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codeName="{00000000-0000-0000-0000-000000000000}"/>
  <workbookPr codeName="ThisWorkbook" defaultThemeVersion="124226"/>
  <mc:AlternateContent xmlns:mc="http://schemas.openxmlformats.org/markup-compatibility/2006">
    <mc:Choice Requires="x15">
      <x15ac:absPath xmlns:x15ac="http://schemas.microsoft.com/office/spreadsheetml/2010/11/ac" url="C:\Users\reichhe\AppData\Roaming\OpenText\OTEdit\EC_dms_prod\c20593743\"/>
    </mc:Choice>
  </mc:AlternateContent>
  <xr:revisionPtr revIDLastSave="0" documentId="13_ncr:1_{3425D106-6E7A-47D7-94F5-226E6144C3FB}" xr6:coauthVersionLast="43" xr6:coauthVersionMax="43" xr10:uidLastSave="{00000000-0000-0000-0000-000000000000}"/>
  <bookViews>
    <workbookView xWindow="-120" yWindow="-120" windowWidth="29040" windowHeight="15840" tabRatio="850" activeTab="2" xr2:uid="{00000000-000D-0000-FFFF-FFFF00000000}"/>
  </bookViews>
  <sheets>
    <sheet name="Background information" sheetId="28" r:id="rId1"/>
    <sheet name="MRL import" sheetId="30" r:id="rId2"/>
    <sheet name="input_values" sheetId="26" r:id="rId3"/>
    <sheet name="Results" sheetId="11" r:id="rId4"/>
    <sheet name="Summary_input_values" sheetId="27" r:id="rId5"/>
    <sheet name="Supplementing_results_chronic" sheetId="29" r:id="rId6"/>
    <sheet name="chronic_intake_assessment" sheetId="10" r:id="rId7"/>
    <sheet name="acute_overview_children" sheetId="6" r:id="rId8"/>
    <sheet name="acute_overview_adults" sheetId="9" r:id="rId9"/>
    <sheet name="chronic_consumption" sheetId="7" r:id="rId10"/>
    <sheet name="NL_consumption_maize" sheetId="31" r:id="rId11"/>
  </sheets>
  <definedNames>
    <definedName name="_xlnm._FilterDatabase" localSheetId="8" hidden="1">acute_overview_adults!$A$1:$E$2</definedName>
    <definedName name="_xlnm._FilterDatabase" localSheetId="7" hidden="1">acute_overview_children!$A$411:$AH$507</definedName>
    <definedName name="_xlnm._FilterDatabase" localSheetId="9" hidden="1">chronic_consumption!$A$11:$BC$11</definedName>
    <definedName name="_xlnm._FilterDatabase" localSheetId="6" hidden="1">chronic_intake_assessment!$A$11:$BF$391</definedName>
    <definedName name="_xlnm._FilterDatabase" localSheetId="2" hidden="1">input_values!$A$411:$BB$538</definedName>
    <definedName name="_xlnm._FilterDatabase" localSheetId="4" hidden="1">Summary_input_values!$A$11:$H$11</definedName>
    <definedName name="_xlnm._FilterDatabase" localSheetId="5" hidden="1">Supplementing_results_chronic!$B$78:$F$352</definedName>
    <definedName name="a_animal" localSheetId="2">input_values!$E$323</definedName>
    <definedName name="a_berries" localSheetId="2">input_values!$E$46</definedName>
    <definedName name="a_brass" localSheetId="2">input_values!$E$144</definedName>
    <definedName name="a_bulb" localSheetId="2">input_values!$E$119</definedName>
    <definedName name="a_cereal" localSheetId="2">input_values!$E$242</definedName>
    <definedName name="a_citrus" localSheetId="2">input_values!$E$13</definedName>
    <definedName name="a_eggs" localSheetId="2">input_values!$E$380</definedName>
    <definedName name="a_fish" localSheetId="2">input_values!$E$390</definedName>
    <definedName name="a_fruit" localSheetId="2">input_values!$E$12</definedName>
    <definedName name="a_fruit_veg" localSheetId="2">input_values!$E$125</definedName>
    <definedName name="a_fungi" localSheetId="2">input_values!$E$207</definedName>
    <definedName name="a_herb_infus">input_values!$E$256</definedName>
    <definedName name="a_hops" localSheetId="2">input_values!$E$276</definedName>
    <definedName name="a_leaf_veg" localSheetId="2">input_values!$E$158</definedName>
    <definedName name="a_leg_veg" localSheetId="2">input_values!$E$189</definedName>
    <definedName name="a_milk" localSheetId="2">input_values!$E$374</definedName>
    <definedName name="a_misc" localSheetId="2">input_values!$E$66</definedName>
    <definedName name="a_nuts" localSheetId="2">input_values!$E$20</definedName>
    <definedName name="a_oilfruit" localSheetId="2">input_values!$E$236</definedName>
    <definedName name="a_oilseed" localSheetId="2">input_values!$E$218</definedName>
    <definedName name="a_oilseeds" localSheetId="2">input_values!$E$219</definedName>
    <definedName name="a_other_terr_animal_products" localSheetId="2">input_values!$E$389</definedName>
    <definedName name="a_pome" localSheetId="2">input_values!$E$33</definedName>
    <definedName name="a_pulses" localSheetId="2">input_values!$E$212</definedName>
    <definedName name="a_root" localSheetId="2">input_values!$E$98</definedName>
    <definedName name="a_sea_weed" localSheetId="2">input_values!$E$211</definedName>
    <definedName name="a_spice_aril" localSheetId="2">input_values!$E$315</definedName>
    <definedName name="a_spice_bark" localSheetId="2">input_values!$E$299</definedName>
    <definedName name="a_spice_buds" localSheetId="2">input_values!$E$308</definedName>
    <definedName name="a_spice_flower" localSheetId="2">input_values!$E$312</definedName>
    <definedName name="a_spice_fruit" localSheetId="2">input_values!$E$289</definedName>
    <definedName name="a_spice_root" localSheetId="2">input_values!$E$302</definedName>
    <definedName name="a_spice_seed" localSheetId="2">input_values!$E$278</definedName>
    <definedName name="a_spices" localSheetId="2">input_values!$E$277</definedName>
    <definedName name="a_stem_veg" localSheetId="2">input_values!$E$196</definedName>
    <definedName name="a_stone" localSheetId="2">input_values!$E$40</definedName>
    <definedName name="a_sugar" localSheetId="2">input_values!$E$318</definedName>
    <definedName name="a_tea" localSheetId="2">input_values!$E$253</definedName>
    <definedName name="a_tissues" localSheetId="2">input_values!$E$324</definedName>
    <definedName name="a_vegetable" localSheetId="2">input_values!$E$97</definedName>
    <definedName name="active_substance" localSheetId="5">#REF!</definedName>
    <definedName name="active_substance">#REF!</definedName>
    <definedName name="Acute_risk_assessment_adults">acute_overview_adults!$B$1</definedName>
    <definedName name="Acute_risk_assessment_children">acute_overview_children!$B$1</definedName>
    <definedName name="ADI">input_values!$D$4</definedName>
    <definedName name="ARfD">input_values!$D$5</definedName>
    <definedName name="Calculation_mode">input_values!$A$10</definedName>
    <definedName name="Chronic_risk_assessment">chronic_intake_assessment!$B$1</definedName>
    <definedName name="input_values_for_dietary_risk_assessment">input_values!$A$1</definedName>
    <definedName name="List_of_input_values">Table14[]</definedName>
    <definedName name="MRL">input_values!$E$12:$E$391</definedName>
    <definedName name="_xlnm.Print_Area" localSheetId="8">acute_overview_adults!$B$11:$Q$390</definedName>
    <definedName name="_xlnm.Print_Area" localSheetId="0">'Background information'!$A$1:$C$76</definedName>
    <definedName name="_xlnm.Print_Area" localSheetId="6">chronic_intake_assessment!$A$1:$BF$397</definedName>
    <definedName name="_xlnm.Print_Area" localSheetId="2">input_values!$A$1:$S$538</definedName>
    <definedName name="_xlnm.Print_Area" localSheetId="3">Results!$A$1:$Q$313</definedName>
    <definedName name="_xlnm.Print_Area" localSheetId="4">Table14[]</definedName>
    <definedName name="_xlnm.Print_Area" localSheetId="5">Supplementing_results_chronic!$A$1:$Q$23</definedName>
    <definedName name="print_chronic" localSheetId="5">Supplementing_results_chronic!$A$1:$Q$23</definedName>
    <definedName name="print_chronic">Results!$A$1:$Q$55</definedName>
    <definedName name="_xlnm.Print_Titles" localSheetId="2">input_values!$11:$11</definedName>
    <definedName name="Results">Results!$B$62</definedName>
    <definedName name="Results_overview" localSheetId="5">Supplementing_results_chronic!$A$9</definedName>
    <definedName name="Results_overview">Results!$A$9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46" i="27" l="1"/>
  <c r="AB66" i="27"/>
  <c r="AB98" i="27"/>
  <c r="AB106" i="27"/>
  <c r="AB118" i="27"/>
  <c r="AB126" i="27"/>
  <c r="AB158" i="27"/>
  <c r="AB206" i="27"/>
  <c r="AB218" i="27"/>
  <c r="AB242" i="27"/>
  <c r="AB278" i="27"/>
  <c r="AB298" i="27"/>
  <c r="AB314" i="27"/>
  <c r="AB318" i="27"/>
  <c r="AB322" i="27"/>
  <c r="AB273" i="27"/>
  <c r="AB302" i="27"/>
  <c r="AB307" i="27"/>
  <c r="AB311" i="27"/>
  <c r="AB19" i="27"/>
  <c r="AB20" i="27"/>
  <c r="AB32" i="27"/>
  <c r="AB33" i="27"/>
  <c r="AB39" i="27"/>
  <c r="AB40" i="27"/>
  <c r="AB45" i="27"/>
  <c r="AB47" i="27"/>
  <c r="AB51" i="27"/>
  <c r="AB55" i="27"/>
  <c r="AB56" i="27"/>
  <c r="AB65" i="27"/>
  <c r="AB67" i="27"/>
  <c r="AB75" i="27"/>
  <c r="AB76" i="27"/>
  <c r="AB83" i="27"/>
  <c r="AB84" i="27"/>
  <c r="AB96" i="27"/>
  <c r="AB97" i="27"/>
  <c r="AB100" i="27"/>
  <c r="AB105" i="27"/>
  <c r="AB119" i="27"/>
  <c r="AB124" i="27"/>
  <c r="AB125" i="27"/>
  <c r="AB131" i="27"/>
  <c r="AB132" i="27"/>
  <c r="AB136" i="27"/>
  <c r="AB137" i="27"/>
  <c r="AB141" i="27"/>
  <c r="AB143" i="27"/>
  <c r="AB144" i="27"/>
  <c r="AB145" i="27"/>
  <c r="AB148" i="27"/>
  <c r="AB149" i="27"/>
  <c r="AB152" i="27"/>
  <c r="AB153" i="27"/>
  <c r="AB156" i="27"/>
  <c r="AB159" i="27"/>
  <c r="AB168" i="27"/>
  <c r="AB169" i="27"/>
  <c r="AB173" i="27"/>
  <c r="AB177" i="27"/>
  <c r="AB188" i="27"/>
  <c r="AB189" i="27"/>
  <c r="AB195" i="27"/>
  <c r="AB196" i="27"/>
  <c r="AB207" i="27"/>
  <c r="AB212" i="27"/>
  <c r="AB217" i="27"/>
  <c r="AB219" i="27"/>
  <c r="AB235" i="27"/>
  <c r="AB236" i="27"/>
  <c r="AB241" i="27"/>
  <c r="AB252" i="27"/>
  <c r="AB253" i="27"/>
  <c r="AB256" i="27"/>
  <c r="AB257" i="27"/>
  <c r="AB263" i="27"/>
  <c r="AB264" i="27"/>
  <c r="AB268" i="27"/>
  <c r="AB269" i="27"/>
  <c r="AB272" i="27"/>
  <c r="AB277" i="27"/>
  <c r="AB288" i="27"/>
  <c r="AB289" i="27"/>
  <c r="AB299" i="27"/>
  <c r="AB301" i="27"/>
  <c r="AB308" i="27"/>
  <c r="AB312" i="27"/>
  <c r="AB315" i="27"/>
  <c r="AB317" i="27"/>
  <c r="AB323" i="27"/>
  <c r="AB324" i="27"/>
  <c r="AB325" i="27"/>
  <c r="AB332" i="27"/>
  <c r="AB339" i="27"/>
  <c r="AB345" i="27"/>
  <c r="AB346" i="27"/>
  <c r="AB352" i="27"/>
  <c r="AB353" i="27"/>
  <c r="AB359" i="27"/>
  <c r="AB360" i="27"/>
  <c r="AB366" i="27"/>
  <c r="AB367" i="27"/>
  <c r="AB373" i="27"/>
  <c r="AB374" i="27"/>
  <c r="AB380" i="27"/>
  <c r="AB390" i="27"/>
  <c r="AB391" i="27"/>
  <c r="F8" i="30"/>
  <c r="F9" i="30"/>
  <c r="F10" i="30"/>
  <c r="F11" i="30"/>
  <c r="F12" i="30"/>
  <c r="F13" i="30"/>
  <c r="F14" i="30"/>
  <c r="F15" i="30"/>
  <c r="F16" i="30"/>
  <c r="F17" i="30"/>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1" i="30"/>
  <c r="F52" i="30"/>
  <c r="F53" i="30"/>
  <c r="F54" i="30"/>
  <c r="F55" i="30"/>
  <c r="F56" i="30"/>
  <c r="F57" i="30"/>
  <c r="F58" i="30"/>
  <c r="F59" i="30"/>
  <c r="F60" i="30"/>
  <c r="F61" i="30"/>
  <c r="F62" i="30"/>
  <c r="F63" i="30"/>
  <c r="F64" i="30"/>
  <c r="F65" i="30"/>
  <c r="F66" i="30"/>
  <c r="F67" i="30"/>
  <c r="F68" i="30"/>
  <c r="F69" i="30"/>
  <c r="F70" i="30"/>
  <c r="F71" i="30"/>
  <c r="F72" i="30"/>
  <c r="F73" i="30"/>
  <c r="F74" i="30"/>
  <c r="F75" i="30"/>
  <c r="F76" i="30"/>
  <c r="F77" i="30"/>
  <c r="F78" i="30"/>
  <c r="F79" i="30"/>
  <c r="F80" i="30"/>
  <c r="F81" i="30"/>
  <c r="F82" i="30"/>
  <c r="F83" i="30"/>
  <c r="F84" i="30"/>
  <c r="F85" i="30"/>
  <c r="F86" i="30"/>
  <c r="F87" i="30"/>
  <c r="F88" i="30"/>
  <c r="F89" i="30"/>
  <c r="F90" i="30"/>
  <c r="F91" i="30"/>
  <c r="F92" i="30"/>
  <c r="F93" i="30"/>
  <c r="F94" i="30"/>
  <c r="F95" i="30"/>
  <c r="F96" i="30"/>
  <c r="F97" i="30"/>
  <c r="F98" i="30"/>
  <c r="F99" i="30"/>
  <c r="F100" i="30"/>
  <c r="F101" i="30"/>
  <c r="F102" i="30"/>
  <c r="F103" i="30"/>
  <c r="F104" i="30"/>
  <c r="F105" i="30"/>
  <c r="F106" i="30"/>
  <c r="F107" i="30"/>
  <c r="F108" i="30"/>
  <c r="F109" i="30"/>
  <c r="F110" i="30"/>
  <c r="F111" i="30"/>
  <c r="F112" i="30"/>
  <c r="F113" i="30"/>
  <c r="F114" i="30"/>
  <c r="F115" i="30"/>
  <c r="F116" i="30"/>
  <c r="F117" i="30"/>
  <c r="F118" i="30"/>
  <c r="F119" i="30"/>
  <c r="F120" i="30"/>
  <c r="F121" i="30"/>
  <c r="F122" i="30"/>
  <c r="F123" i="30"/>
  <c r="F124" i="30"/>
  <c r="F125" i="30"/>
  <c r="F126" i="30"/>
  <c r="F127" i="30"/>
  <c r="F128" i="30"/>
  <c r="F129" i="30"/>
  <c r="F130" i="30"/>
  <c r="F131" i="30"/>
  <c r="F132" i="30"/>
  <c r="F133" i="30"/>
  <c r="F134" i="30"/>
  <c r="F135" i="30"/>
  <c r="F136" i="30"/>
  <c r="F137" i="30"/>
  <c r="F138" i="30"/>
  <c r="F139" i="30"/>
  <c r="F140" i="30"/>
  <c r="F141" i="30"/>
  <c r="F142" i="30"/>
  <c r="F143" i="30"/>
  <c r="F144" i="30"/>
  <c r="F145" i="30"/>
  <c r="F146" i="30"/>
  <c r="F147" i="30"/>
  <c r="F148" i="30"/>
  <c r="F149" i="30"/>
  <c r="F150" i="30"/>
  <c r="F151" i="30"/>
  <c r="F152" i="30"/>
  <c r="F153" i="30"/>
  <c r="F154" i="30"/>
  <c r="F155" i="30"/>
  <c r="F156" i="30"/>
  <c r="F157" i="30"/>
  <c r="F158" i="30"/>
  <c r="F159" i="30"/>
  <c r="F160" i="30"/>
  <c r="F161" i="30"/>
  <c r="F162" i="30"/>
  <c r="F163" i="30"/>
  <c r="F164" i="30"/>
  <c r="F165" i="30"/>
  <c r="F166" i="30"/>
  <c r="F167" i="30"/>
  <c r="F168" i="30"/>
  <c r="F169" i="30"/>
  <c r="F170" i="30"/>
  <c r="F171" i="30"/>
  <c r="F172" i="30"/>
  <c r="F173" i="30"/>
  <c r="F174" i="30"/>
  <c r="F175" i="30"/>
  <c r="F176" i="30"/>
  <c r="F177" i="30"/>
  <c r="F178" i="30"/>
  <c r="F179" i="30"/>
  <c r="F180" i="30"/>
  <c r="F181" i="30"/>
  <c r="F182" i="30"/>
  <c r="F183" i="30"/>
  <c r="F184" i="30"/>
  <c r="F185" i="30"/>
  <c r="F186" i="30"/>
  <c r="F187" i="30"/>
  <c r="F188" i="30"/>
  <c r="F189" i="30"/>
  <c r="F190" i="30"/>
  <c r="F191" i="30"/>
  <c r="F192" i="30"/>
  <c r="F193" i="30"/>
  <c r="F194" i="30"/>
  <c r="F195" i="30"/>
  <c r="F196" i="30"/>
  <c r="F197" i="30"/>
  <c r="F198" i="30"/>
  <c r="F199" i="30"/>
  <c r="F200" i="30"/>
  <c r="F201" i="30"/>
  <c r="F202" i="30"/>
  <c r="F203" i="30"/>
  <c r="F204" i="30"/>
  <c r="F205" i="30"/>
  <c r="F206" i="30"/>
  <c r="F207" i="30"/>
  <c r="F208" i="30"/>
  <c r="F209" i="30"/>
  <c r="F210" i="30"/>
  <c r="F211" i="30"/>
  <c r="F212" i="30"/>
  <c r="F213" i="30"/>
  <c r="F214" i="30"/>
  <c r="F215" i="30"/>
  <c r="F216" i="30"/>
  <c r="F217" i="30"/>
  <c r="F218" i="30"/>
  <c r="F219" i="30"/>
  <c r="F220" i="30"/>
  <c r="F221" i="30"/>
  <c r="F222" i="30"/>
  <c r="F223" i="30"/>
  <c r="F224" i="30"/>
  <c r="F225" i="30"/>
  <c r="F226" i="30"/>
  <c r="F227" i="30"/>
  <c r="F228" i="30"/>
  <c r="F229" i="30"/>
  <c r="F230" i="30"/>
  <c r="F231" i="30"/>
  <c r="F232" i="30"/>
  <c r="F233" i="30"/>
  <c r="F234" i="30"/>
  <c r="F235" i="30"/>
  <c r="F236" i="30"/>
  <c r="F237" i="30"/>
  <c r="F238" i="30"/>
  <c r="F239" i="30"/>
  <c r="F240" i="30"/>
  <c r="F241" i="30"/>
  <c r="F242" i="30"/>
  <c r="F243" i="30"/>
  <c r="F244" i="30"/>
  <c r="F245" i="30"/>
  <c r="F246" i="30"/>
  <c r="F247" i="30"/>
  <c r="F248" i="30"/>
  <c r="F249" i="30"/>
  <c r="F250" i="30"/>
  <c r="F251" i="30"/>
  <c r="F252" i="30"/>
  <c r="F253" i="30"/>
  <c r="F254" i="30"/>
  <c r="F255" i="30"/>
  <c r="F256" i="30"/>
  <c r="F257" i="30"/>
  <c r="F258" i="30"/>
  <c r="F259" i="30"/>
  <c r="F260" i="30"/>
  <c r="F261" i="30"/>
  <c r="F262" i="30"/>
  <c r="F263" i="30"/>
  <c r="F264" i="30"/>
  <c r="F265" i="30"/>
  <c r="F266" i="30"/>
  <c r="F267" i="30"/>
  <c r="F268" i="30"/>
  <c r="F269" i="30"/>
  <c r="F270" i="30"/>
  <c r="F271" i="30"/>
  <c r="F272" i="30"/>
  <c r="F273" i="30"/>
  <c r="F274" i="30"/>
  <c r="F275" i="30"/>
  <c r="F276" i="30"/>
  <c r="F277" i="30"/>
  <c r="F278" i="30"/>
  <c r="F279" i="30"/>
  <c r="F280" i="30"/>
  <c r="F281" i="30"/>
  <c r="F282" i="30"/>
  <c r="F283" i="30"/>
  <c r="F284" i="30"/>
  <c r="F285" i="30"/>
  <c r="F286" i="30"/>
  <c r="F287" i="30"/>
  <c r="F288" i="30"/>
  <c r="F289" i="30"/>
  <c r="F290" i="30"/>
  <c r="F291" i="30"/>
  <c r="F292" i="30"/>
  <c r="F293" i="30"/>
  <c r="F294" i="30"/>
  <c r="F295" i="30"/>
  <c r="F296" i="30"/>
  <c r="F297" i="30"/>
  <c r="F298" i="30"/>
  <c r="F299" i="30"/>
  <c r="F300" i="30"/>
  <c r="F301" i="30"/>
  <c r="F302" i="30"/>
  <c r="F303" i="30"/>
  <c r="F304" i="30"/>
  <c r="F305" i="30"/>
  <c r="F306" i="30"/>
  <c r="F307" i="30"/>
  <c r="F308" i="30"/>
  <c r="F309" i="30"/>
  <c r="F310" i="30"/>
  <c r="F311" i="30"/>
  <c r="F312" i="30"/>
  <c r="F313" i="30"/>
  <c r="F314" i="30"/>
  <c r="F315" i="30"/>
  <c r="F316" i="30"/>
  <c r="F317" i="30"/>
  <c r="F318" i="30"/>
  <c r="F319" i="30"/>
  <c r="F320" i="30"/>
  <c r="F321" i="30"/>
  <c r="F322" i="30"/>
  <c r="F323" i="30"/>
  <c r="F324" i="30"/>
  <c r="F325" i="30"/>
  <c r="F326" i="30"/>
  <c r="F327" i="30"/>
  <c r="F328" i="30"/>
  <c r="F329" i="30"/>
  <c r="F330" i="30"/>
  <c r="F331" i="30"/>
  <c r="F332" i="30"/>
  <c r="F333" i="30"/>
  <c r="F334" i="30"/>
  <c r="F335" i="30"/>
  <c r="F336" i="30"/>
  <c r="F337" i="30"/>
  <c r="F338" i="30"/>
  <c r="F339" i="30"/>
  <c r="F340" i="30"/>
  <c r="F341" i="30"/>
  <c r="F342" i="30"/>
  <c r="F343" i="30"/>
  <c r="F344" i="30"/>
  <c r="F345" i="30"/>
  <c r="F346" i="30"/>
  <c r="F347" i="30"/>
  <c r="F348" i="30"/>
  <c r="F349" i="30"/>
  <c r="F350" i="30"/>
  <c r="F351" i="30"/>
  <c r="F352" i="30"/>
  <c r="F353" i="30"/>
  <c r="F354" i="30"/>
  <c r="F355" i="30"/>
  <c r="F356" i="30"/>
  <c r="F357" i="30"/>
  <c r="F358" i="30"/>
  <c r="F359" i="30"/>
  <c r="F360" i="30"/>
  <c r="F361" i="30"/>
  <c r="F362" i="30"/>
  <c r="F363" i="30"/>
  <c r="F364" i="30"/>
  <c r="F365" i="30"/>
  <c r="F366" i="30"/>
  <c r="F367" i="30"/>
  <c r="F368" i="30"/>
  <c r="F369" i="30"/>
  <c r="F370" i="30"/>
  <c r="F371" i="30"/>
  <c r="F372" i="30"/>
  <c r="F373" i="30"/>
  <c r="F374" i="30"/>
  <c r="F375" i="30"/>
  <c r="F376" i="30"/>
  <c r="F377" i="30"/>
  <c r="F378" i="30"/>
  <c r="F379" i="30"/>
  <c r="F380" i="30"/>
  <c r="F381" i="30"/>
  <c r="F382" i="30"/>
  <c r="F383" i="30"/>
  <c r="F384" i="30"/>
  <c r="F385" i="30"/>
  <c r="S379" i="9" l="1"/>
  <c r="D379" i="9"/>
  <c r="AA177" i="26"/>
  <c r="AB177" i="26"/>
  <c r="AC177" i="26"/>
  <c r="AE177" i="26"/>
  <c r="AF177" i="26"/>
  <c r="AH177" i="26" s="1"/>
  <c r="AG177" i="26" s="1"/>
  <c r="D177" i="9"/>
  <c r="AA391" i="6"/>
  <c r="AD391" i="6"/>
  <c r="AB412" i="9"/>
  <c r="Y412" i="9"/>
  <c r="Y413" i="9"/>
  <c r="Y414" i="9"/>
  <c r="Y415" i="9"/>
  <c r="Y416" i="9"/>
  <c r="Y417" i="9"/>
  <c r="Y419" i="9"/>
  <c r="Y420" i="9"/>
  <c r="Y421" i="9"/>
  <c r="Y422" i="9"/>
  <c r="Y423" i="9"/>
  <c r="Y424" i="9"/>
  <c r="Y425" i="9"/>
  <c r="Y426" i="9"/>
  <c r="Y427" i="9"/>
  <c r="Y429" i="9"/>
  <c r="Y430" i="9"/>
  <c r="Y431" i="9"/>
  <c r="Y432" i="9"/>
  <c r="Y435" i="9"/>
  <c r="Y437" i="9"/>
  <c r="Y445" i="9"/>
  <c r="Y446" i="9"/>
  <c r="Y451" i="9"/>
  <c r="Y454" i="9"/>
  <c r="Y455" i="9"/>
  <c r="Y457" i="9"/>
  <c r="Y459" i="9"/>
  <c r="Y460" i="9"/>
  <c r="Y461" i="9"/>
  <c r="Y467" i="9"/>
  <c r="Y468" i="9"/>
  <c r="Y469" i="9"/>
  <c r="Y470" i="9"/>
  <c r="Y471" i="9"/>
  <c r="Y472" i="9"/>
  <c r="Y473" i="9"/>
  <c r="Y474" i="9"/>
  <c r="Y475" i="9"/>
  <c r="Y476" i="9"/>
  <c r="Y477" i="9"/>
  <c r="Y478" i="9"/>
  <c r="Y479" i="9"/>
  <c r="Y480" i="9"/>
  <c r="Y481" i="9"/>
  <c r="Y482" i="9"/>
  <c r="Y483" i="9"/>
  <c r="Y484" i="9"/>
  <c r="Y485" i="9"/>
  <c r="Y486" i="9"/>
  <c r="Y487" i="9"/>
  <c r="Y488" i="9"/>
  <c r="Y489" i="9"/>
  <c r="Y490" i="9"/>
  <c r="Y491" i="9"/>
  <c r="Y492" i="9"/>
  <c r="Y493" i="9"/>
  <c r="X38" i="6"/>
  <c r="Y38" i="6" s="1"/>
  <c r="X64" i="6"/>
  <c r="Y64" i="6" s="1"/>
  <c r="X74" i="6"/>
  <c r="Y74" i="6" s="1"/>
  <c r="X81" i="6"/>
  <c r="Y81" i="6" s="1"/>
  <c r="X93" i="6"/>
  <c r="Y93" i="6" s="1"/>
  <c r="X94" i="6"/>
  <c r="Y94" i="6" s="1"/>
  <c r="X95" i="6"/>
  <c r="Y95" i="6" s="1"/>
  <c r="X101" i="6"/>
  <c r="Y101" i="6" s="1"/>
  <c r="X104" i="6"/>
  <c r="Y104" i="6" s="1"/>
  <c r="X164" i="6"/>
  <c r="Y164" i="6" s="1"/>
  <c r="X171" i="6"/>
  <c r="Y171" i="6" s="1"/>
  <c r="X205" i="6"/>
  <c r="Y205" i="6" s="1"/>
  <c r="X210" i="6"/>
  <c r="Y210" i="6" s="1"/>
  <c r="X211" i="6"/>
  <c r="Y211" i="6" s="1"/>
  <c r="X239" i="6"/>
  <c r="Y239" i="6" s="1"/>
  <c r="X240" i="6"/>
  <c r="Y240" i="6" s="1"/>
  <c r="X257" i="6"/>
  <c r="Y257" i="6" s="1"/>
  <c r="X263" i="6"/>
  <c r="Y263" i="6" s="1"/>
  <c r="X264" i="6"/>
  <c r="Y264" i="6" s="1"/>
  <c r="X268" i="6"/>
  <c r="Y268" i="6" s="1"/>
  <c r="X269" i="6"/>
  <c r="Y269" i="6" s="1"/>
  <c r="X272" i="6"/>
  <c r="Y272" i="6" s="1"/>
  <c r="X319" i="6"/>
  <c r="Y319" i="6" s="1"/>
  <c r="X321" i="6"/>
  <c r="Y321" i="6" s="1"/>
  <c r="X379" i="6"/>
  <c r="Y379" i="6" s="1"/>
  <c r="X385" i="6"/>
  <c r="Y385" i="6" s="1"/>
  <c r="X391" i="6"/>
  <c r="Y391" i="6" s="1"/>
  <c r="X38" i="9"/>
  <c r="Y38" i="9" s="1"/>
  <c r="X74" i="9"/>
  <c r="Y74" i="9" s="1"/>
  <c r="X81" i="9"/>
  <c r="Y81" i="9" s="1"/>
  <c r="X93" i="9"/>
  <c r="Y93" i="9" s="1"/>
  <c r="X94" i="9"/>
  <c r="Y94" i="9" s="1"/>
  <c r="X95" i="9"/>
  <c r="Y95" i="9" s="1"/>
  <c r="X104" i="9"/>
  <c r="Y104" i="9" s="1"/>
  <c r="X164" i="9"/>
  <c r="Y164" i="9" s="1"/>
  <c r="X210" i="9"/>
  <c r="Y210" i="9" s="1"/>
  <c r="X240" i="9"/>
  <c r="Y240" i="9" s="1"/>
  <c r="X257" i="9"/>
  <c r="Y257" i="9" s="1"/>
  <c r="X263" i="9"/>
  <c r="Y263" i="9" s="1"/>
  <c r="X264" i="9"/>
  <c r="Y264" i="9" s="1"/>
  <c r="X268" i="9"/>
  <c r="Y268" i="9" s="1"/>
  <c r="X269" i="9"/>
  <c r="Y269" i="9" s="1"/>
  <c r="X272" i="9"/>
  <c r="Y272" i="9" s="1"/>
  <c r="X277" i="9"/>
  <c r="Y277" i="9" s="1"/>
  <c r="X304" i="9"/>
  <c r="Y304" i="9" s="1"/>
  <c r="X306" i="9"/>
  <c r="Y306" i="9" s="1"/>
  <c r="X319" i="9"/>
  <c r="Y319" i="9" s="1"/>
  <c r="X373" i="9"/>
  <c r="Y373" i="9" s="1"/>
  <c r="X385" i="9"/>
  <c r="Y440" i="6"/>
  <c r="Y442" i="6"/>
  <c r="Y444" i="6"/>
  <c r="Y445" i="6"/>
  <c r="Y451" i="6"/>
  <c r="Y452" i="6"/>
  <c r="Y458" i="6"/>
  <c r="Y459" i="6"/>
  <c r="Y462" i="6"/>
  <c r="Y465" i="6"/>
  <c r="Y466" i="6"/>
  <c r="Y470" i="6"/>
  <c r="Y471" i="6"/>
  <c r="Y472" i="6"/>
  <c r="Y473" i="6"/>
  <c r="Y474" i="6"/>
  <c r="Y475" i="6"/>
  <c r="Y476" i="6"/>
  <c r="Y477" i="6"/>
  <c r="Y478" i="6"/>
  <c r="Y479" i="6"/>
  <c r="Y480" i="6"/>
  <c r="Y481" i="6"/>
  <c r="Y482" i="6"/>
  <c r="Y483" i="6"/>
  <c r="Y484" i="6"/>
  <c r="Y485" i="6"/>
  <c r="Y486" i="6"/>
  <c r="Y487" i="6"/>
  <c r="Y488" i="6"/>
  <c r="Y489" i="6"/>
  <c r="Y490" i="6"/>
  <c r="Y491" i="6"/>
  <c r="Y492" i="6"/>
  <c r="Y493" i="6"/>
  <c r="Y494" i="6"/>
  <c r="Y495" i="6"/>
  <c r="Y496" i="6"/>
  <c r="Y497" i="6"/>
  <c r="Y498" i="6"/>
  <c r="Y499" i="6"/>
  <c r="Y500" i="6"/>
  <c r="Y501" i="6"/>
  <c r="Y502" i="6"/>
  <c r="Y503" i="6"/>
  <c r="Y504" i="6"/>
  <c r="Y505" i="6"/>
  <c r="Y506" i="6"/>
  <c r="Y507" i="6"/>
  <c r="Y413" i="6"/>
  <c r="Y414" i="6"/>
  <c r="Y415" i="6"/>
  <c r="Y416" i="6"/>
  <c r="Y417" i="6"/>
  <c r="Y418" i="6"/>
  <c r="Y419" i="6"/>
  <c r="Y421" i="6"/>
  <c r="Y422" i="6"/>
  <c r="Y423" i="6"/>
  <c r="Y424" i="6"/>
  <c r="Y425" i="6"/>
  <c r="Y426" i="6"/>
  <c r="Y427" i="6"/>
  <c r="Y428" i="6"/>
  <c r="Y429" i="6"/>
  <c r="Y430" i="6"/>
  <c r="Y431" i="6"/>
  <c r="Y432" i="6"/>
  <c r="Y433" i="6"/>
  <c r="Y434" i="6"/>
  <c r="Y435" i="6"/>
  <c r="Y436" i="6"/>
  <c r="Y438" i="6"/>
  <c r="Y412" i="6"/>
  <c r="K412" i="6"/>
  <c r="AD177" i="26" l="1"/>
  <c r="Y385" i="9"/>
  <c r="AB412" i="6" l="1"/>
  <c r="AB413" i="6"/>
  <c r="AB414" i="6"/>
  <c r="AB415" i="6"/>
  <c r="AB416" i="6"/>
  <c r="AB417" i="6"/>
  <c r="AB418" i="6"/>
  <c r="AB419" i="6"/>
  <c r="AB421" i="6"/>
  <c r="AB422" i="6"/>
  <c r="AB423" i="6"/>
  <c r="AB424" i="6"/>
  <c r="AB425" i="6"/>
  <c r="AB426" i="6"/>
  <c r="AB427" i="6"/>
  <c r="AB428" i="6"/>
  <c r="AB429" i="6"/>
  <c r="AB430" i="6"/>
  <c r="AB431" i="6"/>
  <c r="AB432" i="6"/>
  <c r="AB433" i="6"/>
  <c r="AB434" i="6"/>
  <c r="AB435" i="6"/>
  <c r="AB436" i="6"/>
  <c r="AB438" i="6"/>
  <c r="AB440" i="6"/>
  <c r="AB442" i="6"/>
  <c r="AB444" i="6"/>
  <c r="AB445" i="6"/>
  <c r="AB451" i="6"/>
  <c r="AB452" i="6"/>
  <c r="AB458" i="6"/>
  <c r="AB459" i="6"/>
  <c r="AB462" i="6"/>
  <c r="AB465" i="6"/>
  <c r="AB466"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413" i="9"/>
  <c r="AB414" i="9"/>
  <c r="AB415" i="9"/>
  <c r="AB416" i="9"/>
  <c r="AB417" i="9"/>
  <c r="AB419" i="9"/>
  <c r="AB420" i="9"/>
  <c r="AB421" i="9"/>
  <c r="AB422" i="9"/>
  <c r="AB423" i="9"/>
  <c r="AB424" i="9"/>
  <c r="AB425" i="9"/>
  <c r="AB426" i="9"/>
  <c r="AB427" i="9"/>
  <c r="AB429" i="9"/>
  <c r="AB430" i="9"/>
  <c r="AB431" i="9"/>
  <c r="AB432" i="9"/>
  <c r="AB435" i="9"/>
  <c r="AB437" i="9"/>
  <c r="AB445" i="9"/>
  <c r="AB446" i="9"/>
  <c r="AB451" i="9"/>
  <c r="AB454" i="9"/>
  <c r="AB455" i="9"/>
  <c r="AB457" i="9"/>
  <c r="AB459" i="9"/>
  <c r="AB460" i="9"/>
  <c r="AB461" i="9"/>
  <c r="AB467" i="9"/>
  <c r="AB468" i="9"/>
  <c r="AB469" i="9"/>
  <c r="AB470" i="9"/>
  <c r="AB471" i="9"/>
  <c r="AB472" i="9"/>
  <c r="AB473" i="9"/>
  <c r="AB474" i="9"/>
  <c r="AB475" i="9"/>
  <c r="AB476" i="9"/>
  <c r="AB477" i="9"/>
  <c r="AB478" i="9"/>
  <c r="AB479" i="9"/>
  <c r="AB480" i="9"/>
  <c r="AB481" i="9"/>
  <c r="AB482" i="9"/>
  <c r="AB483" i="9"/>
  <c r="AB484" i="9"/>
  <c r="AB485" i="9"/>
  <c r="AB486" i="9"/>
  <c r="AB487" i="9"/>
  <c r="AB488" i="9"/>
  <c r="AB489" i="9"/>
  <c r="AB490" i="9"/>
  <c r="AB491" i="9"/>
  <c r="AB492" i="9"/>
  <c r="AB493"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AN12" i="26" l="1"/>
  <c r="AN13" i="26"/>
  <c r="AN19" i="26"/>
  <c r="AN20" i="26"/>
  <c r="AN32" i="26"/>
  <c r="AN33" i="26"/>
  <c r="AN39" i="26"/>
  <c r="AN40" i="26"/>
  <c r="AN45" i="26"/>
  <c r="AN46" i="26"/>
  <c r="AN47" i="26"/>
  <c r="AN51" i="26"/>
  <c r="AN55" i="26"/>
  <c r="AN56" i="26"/>
  <c r="AN65" i="26"/>
  <c r="AN66" i="26"/>
  <c r="AN67" i="26"/>
  <c r="AN75" i="26"/>
  <c r="AN76" i="26"/>
  <c r="AN83" i="26"/>
  <c r="AN84" i="26"/>
  <c r="AN96" i="26"/>
  <c r="AN97" i="26"/>
  <c r="AN98" i="26"/>
  <c r="AN100" i="26"/>
  <c r="AN105" i="26"/>
  <c r="AN106" i="26"/>
  <c r="AN118" i="26"/>
  <c r="AN119" i="26"/>
  <c r="AN124" i="26"/>
  <c r="AN125" i="26"/>
  <c r="AN126" i="26"/>
  <c r="AN131" i="26"/>
  <c r="AN132" i="26"/>
  <c r="AN136" i="26"/>
  <c r="AN137" i="26"/>
  <c r="AN141" i="26"/>
  <c r="AN143" i="26"/>
  <c r="AN144" i="26"/>
  <c r="AN145" i="26"/>
  <c r="AN148" i="26"/>
  <c r="AN149" i="26"/>
  <c r="AN152" i="26"/>
  <c r="AN153" i="26"/>
  <c r="AN156" i="26"/>
  <c r="AN158" i="26"/>
  <c r="AN159" i="26"/>
  <c r="AN168" i="26"/>
  <c r="AN169" i="26"/>
  <c r="AN173" i="26"/>
  <c r="AN177" i="26"/>
  <c r="AN188" i="26"/>
  <c r="AN189" i="26"/>
  <c r="AN195" i="26"/>
  <c r="AN196" i="26"/>
  <c r="AN206" i="26"/>
  <c r="AN207" i="26"/>
  <c r="AN212" i="26"/>
  <c r="AN217" i="26"/>
  <c r="AN218" i="26"/>
  <c r="AN219" i="26"/>
  <c r="AN235" i="26"/>
  <c r="AN236" i="26"/>
  <c r="AN241" i="26"/>
  <c r="AN242" i="26"/>
  <c r="AN252" i="26"/>
  <c r="AN253" i="26"/>
  <c r="AN256" i="26"/>
  <c r="AN257" i="26"/>
  <c r="AN263" i="26"/>
  <c r="AN264" i="26"/>
  <c r="AN268" i="26"/>
  <c r="AN269" i="26"/>
  <c r="AN272" i="26"/>
  <c r="AN273" i="26"/>
  <c r="AN277" i="26"/>
  <c r="AN278" i="26"/>
  <c r="AN288" i="26"/>
  <c r="AN289" i="26"/>
  <c r="AN298" i="26"/>
  <c r="AN299" i="26"/>
  <c r="AN301" i="26"/>
  <c r="AN302" i="26"/>
  <c r="AN307" i="26"/>
  <c r="AN308" i="26"/>
  <c r="AN311" i="26"/>
  <c r="AN312" i="26"/>
  <c r="AN314" i="26"/>
  <c r="AN315" i="26"/>
  <c r="AN317" i="26"/>
  <c r="AN318" i="26"/>
  <c r="AN322" i="26"/>
  <c r="AN323" i="26"/>
  <c r="AN324" i="26"/>
  <c r="AN325" i="26"/>
  <c r="AN332" i="26"/>
  <c r="AN339" i="26"/>
  <c r="AN345" i="26"/>
  <c r="AN346" i="26"/>
  <c r="AN352" i="26"/>
  <c r="AN353" i="26"/>
  <c r="AN359" i="26"/>
  <c r="AN360" i="26"/>
  <c r="AN366" i="26"/>
  <c r="AN367" i="26"/>
  <c r="AN373" i="26"/>
  <c r="AN374" i="26"/>
  <c r="AN380" i="26"/>
  <c r="AN390" i="26"/>
  <c r="AQ12" i="26" l="1"/>
  <c r="AR12" i="26" s="1"/>
  <c r="AQ13" i="26"/>
  <c r="AR13" i="26" s="1"/>
  <c r="AQ15" i="26"/>
  <c r="AR15" i="26" s="1"/>
  <c r="AQ16" i="26"/>
  <c r="AR16" i="26" s="1"/>
  <c r="AQ17" i="26"/>
  <c r="AR17" i="26" s="1"/>
  <c r="AQ18" i="26"/>
  <c r="AR18" i="26" s="1"/>
  <c r="AQ19" i="26"/>
  <c r="AR19" i="26" s="1"/>
  <c r="AQ20" i="26"/>
  <c r="AR20" i="26" s="1"/>
  <c r="AQ21" i="26"/>
  <c r="AR21" i="26" s="1"/>
  <c r="AQ22" i="26"/>
  <c r="AR22" i="26" s="1"/>
  <c r="AQ23" i="26"/>
  <c r="AR23" i="26" s="1"/>
  <c r="AQ24" i="26"/>
  <c r="AR24" i="26" s="1"/>
  <c r="AQ25" i="26"/>
  <c r="AR25" i="26" s="1"/>
  <c r="AQ26" i="26"/>
  <c r="AR26" i="26" s="1"/>
  <c r="AQ27" i="26"/>
  <c r="AR27" i="26" s="1"/>
  <c r="AQ28" i="26"/>
  <c r="AR28" i="26" s="1"/>
  <c r="AQ29" i="26"/>
  <c r="AR29" i="26" s="1"/>
  <c r="AQ30" i="26"/>
  <c r="AR30" i="26" s="1"/>
  <c r="AQ31" i="26"/>
  <c r="AR31" i="26" s="1"/>
  <c r="AQ32" i="26"/>
  <c r="AR32" i="26" s="1"/>
  <c r="AQ33" i="26"/>
  <c r="AR33" i="26" s="1"/>
  <c r="AQ34" i="26"/>
  <c r="AR34" i="26" s="1"/>
  <c r="AQ35" i="26"/>
  <c r="AR35" i="26" s="1"/>
  <c r="AQ36" i="26"/>
  <c r="AR36" i="26" s="1"/>
  <c r="AQ37" i="26"/>
  <c r="AR37" i="26" s="1"/>
  <c r="AQ38" i="26"/>
  <c r="AR38" i="26" s="1"/>
  <c r="AQ39" i="26"/>
  <c r="AR39" i="26" s="1"/>
  <c r="AQ40" i="26"/>
  <c r="AR40" i="26" s="1"/>
  <c r="AQ41" i="26"/>
  <c r="AR41" i="26" s="1"/>
  <c r="AQ42" i="26"/>
  <c r="AR42" i="26" s="1"/>
  <c r="AQ43" i="26"/>
  <c r="AR43" i="26" s="1"/>
  <c r="AQ44" i="26"/>
  <c r="AR44" i="26" s="1"/>
  <c r="AQ45" i="26"/>
  <c r="AR45" i="26" s="1"/>
  <c r="AQ46" i="26"/>
  <c r="AR46" i="26" s="1"/>
  <c r="AQ47" i="26"/>
  <c r="AR47" i="26" s="1"/>
  <c r="AQ48" i="26"/>
  <c r="AR48" i="26" s="1"/>
  <c r="AQ49" i="26"/>
  <c r="AR49" i="26" s="1"/>
  <c r="AQ50" i="26"/>
  <c r="AR50" i="26" s="1"/>
  <c r="AQ51" i="26"/>
  <c r="AR51" i="26" s="1"/>
  <c r="AQ52" i="26"/>
  <c r="AR52" i="26" s="1"/>
  <c r="AQ53" i="26"/>
  <c r="AR53" i="26" s="1"/>
  <c r="AQ54" i="26"/>
  <c r="AR54" i="26" s="1"/>
  <c r="AQ55" i="26"/>
  <c r="AR55" i="26" s="1"/>
  <c r="AQ56" i="26"/>
  <c r="AR56" i="26" s="1"/>
  <c r="AQ57" i="26"/>
  <c r="AR57" i="26" s="1"/>
  <c r="AQ58" i="26"/>
  <c r="AR58" i="26" s="1"/>
  <c r="AQ59" i="26"/>
  <c r="AR59" i="26" s="1"/>
  <c r="AQ60" i="26"/>
  <c r="AR60" i="26" s="1"/>
  <c r="AQ61" i="26"/>
  <c r="AR61" i="26" s="1"/>
  <c r="AQ62" i="26"/>
  <c r="AR62" i="26" s="1"/>
  <c r="AQ63" i="26"/>
  <c r="AR63" i="26" s="1"/>
  <c r="AQ64" i="26"/>
  <c r="AR64" i="26" s="1"/>
  <c r="AQ65" i="26"/>
  <c r="AR65" i="26" s="1"/>
  <c r="AQ66" i="26"/>
  <c r="AR66" i="26" s="1"/>
  <c r="AQ67" i="26"/>
  <c r="AR67" i="26" s="1"/>
  <c r="AQ68" i="26"/>
  <c r="AR68" i="26" s="1"/>
  <c r="AQ69" i="26"/>
  <c r="AR69" i="26" s="1"/>
  <c r="AQ70" i="26"/>
  <c r="AR70" i="26" s="1"/>
  <c r="AQ71" i="26"/>
  <c r="AR71" i="26" s="1"/>
  <c r="AQ72" i="26"/>
  <c r="AR72" i="26" s="1"/>
  <c r="AQ73" i="26"/>
  <c r="AR73" i="26" s="1"/>
  <c r="AQ74" i="26"/>
  <c r="AR74" i="26" s="1"/>
  <c r="AQ75" i="26"/>
  <c r="AR75" i="26" s="1"/>
  <c r="AQ76" i="26"/>
  <c r="AR76" i="26" s="1"/>
  <c r="AQ77" i="26"/>
  <c r="AR77" i="26" s="1"/>
  <c r="AQ78" i="26"/>
  <c r="AR78" i="26" s="1"/>
  <c r="AQ79" i="26"/>
  <c r="AR79" i="26" s="1"/>
  <c r="AQ80" i="26"/>
  <c r="AR80" i="26" s="1"/>
  <c r="AQ81" i="26"/>
  <c r="AR81" i="26" s="1"/>
  <c r="AQ82" i="26"/>
  <c r="AR82" i="26" s="1"/>
  <c r="AQ83" i="26"/>
  <c r="AR83" i="26" s="1"/>
  <c r="AQ84" i="26"/>
  <c r="AR84" i="26" s="1"/>
  <c r="AQ85" i="26"/>
  <c r="AR85" i="26" s="1"/>
  <c r="AQ86" i="26"/>
  <c r="AR86" i="26" s="1"/>
  <c r="AQ87" i="26"/>
  <c r="AR87" i="26" s="1"/>
  <c r="AQ88" i="26"/>
  <c r="AR88" i="26" s="1"/>
  <c r="AQ89" i="26"/>
  <c r="AR89" i="26" s="1"/>
  <c r="AQ90" i="26"/>
  <c r="AR90" i="26" s="1"/>
  <c r="AQ91" i="26"/>
  <c r="AR91" i="26" s="1"/>
  <c r="AQ92" i="26"/>
  <c r="AR92" i="26" s="1"/>
  <c r="AQ93" i="26"/>
  <c r="AR93" i="26" s="1"/>
  <c r="AQ94" i="26"/>
  <c r="AR94" i="26" s="1"/>
  <c r="AQ95" i="26"/>
  <c r="AR95" i="26" s="1"/>
  <c r="AQ96" i="26"/>
  <c r="AR96" i="26" s="1"/>
  <c r="AQ97" i="26"/>
  <c r="AR97" i="26" s="1"/>
  <c r="AQ98" i="26"/>
  <c r="AR98" i="26" s="1"/>
  <c r="AQ99" i="26"/>
  <c r="AR99" i="26" s="1"/>
  <c r="AQ100" i="26"/>
  <c r="AR100" i="26" s="1"/>
  <c r="AQ101" i="26"/>
  <c r="AR101" i="26" s="1"/>
  <c r="AQ102" i="26"/>
  <c r="AR102" i="26" s="1"/>
  <c r="AQ103" i="26"/>
  <c r="AR103" i="26" s="1"/>
  <c r="AQ104" i="26"/>
  <c r="AR104" i="26" s="1"/>
  <c r="AQ105" i="26"/>
  <c r="AR105" i="26" s="1"/>
  <c r="AQ106" i="26"/>
  <c r="AR106" i="26" s="1"/>
  <c r="AQ107" i="26"/>
  <c r="AR107" i="26" s="1"/>
  <c r="AQ108" i="26"/>
  <c r="AR108" i="26" s="1"/>
  <c r="AQ109" i="26"/>
  <c r="AR109" i="26" s="1"/>
  <c r="AQ110" i="26"/>
  <c r="AR110" i="26" s="1"/>
  <c r="AQ111" i="26"/>
  <c r="AR111" i="26" s="1"/>
  <c r="AQ112" i="26"/>
  <c r="AR112" i="26" s="1"/>
  <c r="AQ113" i="26"/>
  <c r="AR113" i="26" s="1"/>
  <c r="AQ114" i="26"/>
  <c r="AR114" i="26" s="1"/>
  <c r="AQ115" i="26"/>
  <c r="AR115" i="26" s="1"/>
  <c r="AQ116" i="26"/>
  <c r="AR116" i="26" s="1"/>
  <c r="AQ117" i="26"/>
  <c r="AR117" i="26" s="1"/>
  <c r="AQ118" i="26"/>
  <c r="AR118" i="26" s="1"/>
  <c r="AQ119" i="26"/>
  <c r="AR119" i="26" s="1"/>
  <c r="AQ120" i="26"/>
  <c r="AR120" i="26" s="1"/>
  <c r="AQ121" i="26"/>
  <c r="AR121" i="26" s="1"/>
  <c r="AQ122" i="26"/>
  <c r="AR122" i="26" s="1"/>
  <c r="AQ123" i="26"/>
  <c r="AR123" i="26" s="1"/>
  <c r="AQ124" i="26"/>
  <c r="AR124" i="26" s="1"/>
  <c r="AQ125" i="26"/>
  <c r="AR125" i="26" s="1"/>
  <c r="AQ126" i="26"/>
  <c r="AR126" i="26" s="1"/>
  <c r="AQ127" i="26"/>
  <c r="AR127" i="26" s="1"/>
  <c r="AQ128" i="26"/>
  <c r="AR128" i="26" s="1"/>
  <c r="AQ129" i="26"/>
  <c r="AR129" i="26" s="1"/>
  <c r="AQ130" i="26"/>
  <c r="AR130" i="26" s="1"/>
  <c r="AQ131" i="26"/>
  <c r="AR131" i="26" s="1"/>
  <c r="AQ132" i="26"/>
  <c r="AR132" i="26" s="1"/>
  <c r="AQ133" i="26"/>
  <c r="AR133" i="26" s="1"/>
  <c r="AQ134" i="26"/>
  <c r="AR134" i="26" s="1"/>
  <c r="AQ135" i="26"/>
  <c r="AR135" i="26" s="1"/>
  <c r="AQ136" i="26"/>
  <c r="AR136" i="26" s="1"/>
  <c r="AQ137" i="26"/>
  <c r="AR137" i="26" s="1"/>
  <c r="AQ139" i="26"/>
  <c r="AR139" i="26" s="1"/>
  <c r="AQ140" i="26"/>
  <c r="AR140" i="26" s="1"/>
  <c r="AQ141" i="26"/>
  <c r="AR141" i="26" s="1"/>
  <c r="AQ142" i="26"/>
  <c r="AR142" i="26" s="1"/>
  <c r="AQ143" i="26"/>
  <c r="AR143" i="26" s="1"/>
  <c r="AQ144" i="26"/>
  <c r="AR144" i="26" s="1"/>
  <c r="AQ145" i="26"/>
  <c r="AR145" i="26" s="1"/>
  <c r="AQ146" i="26"/>
  <c r="AR146" i="26" s="1"/>
  <c r="AQ147" i="26"/>
  <c r="AR147" i="26" s="1"/>
  <c r="AQ148" i="26"/>
  <c r="AR148" i="26" s="1"/>
  <c r="AQ149" i="26"/>
  <c r="AR149" i="26" s="1"/>
  <c r="AQ150" i="26"/>
  <c r="AR150" i="26" s="1"/>
  <c r="AQ151" i="26"/>
  <c r="AR151" i="26" s="1"/>
  <c r="AQ152" i="26"/>
  <c r="AR152" i="26" s="1"/>
  <c r="AQ153" i="26"/>
  <c r="AR153" i="26" s="1"/>
  <c r="AQ154" i="26"/>
  <c r="AR154" i="26" s="1"/>
  <c r="AQ155" i="26"/>
  <c r="AR155" i="26" s="1"/>
  <c r="AQ156" i="26"/>
  <c r="AR156" i="26" s="1"/>
  <c r="AQ157" i="26"/>
  <c r="AR157" i="26" s="1"/>
  <c r="AQ158" i="26"/>
  <c r="AR158" i="26" s="1"/>
  <c r="AQ159" i="26"/>
  <c r="AR159" i="26" s="1"/>
  <c r="AQ160" i="26"/>
  <c r="AR160" i="26" s="1"/>
  <c r="AQ161" i="26"/>
  <c r="AR161" i="26" s="1"/>
  <c r="AQ162" i="26"/>
  <c r="AR162" i="26" s="1"/>
  <c r="AQ164" i="26"/>
  <c r="AR164" i="26" s="1"/>
  <c r="AQ165" i="26"/>
  <c r="AR165" i="26" s="1"/>
  <c r="AQ166" i="26"/>
  <c r="AR166" i="26" s="1"/>
  <c r="AQ167" i="26"/>
  <c r="AR167" i="26" s="1"/>
  <c r="AQ168" i="26"/>
  <c r="AR168" i="26" s="1"/>
  <c r="AQ169" i="26"/>
  <c r="AR169" i="26" s="1"/>
  <c r="AQ170" i="26"/>
  <c r="AR170" i="26" s="1"/>
  <c r="AQ171" i="26"/>
  <c r="AR171" i="26" s="1"/>
  <c r="AQ172" i="26"/>
  <c r="AR172" i="26" s="1"/>
  <c r="AQ173" i="26"/>
  <c r="AR173" i="26" s="1"/>
  <c r="AQ174" i="26"/>
  <c r="AR174" i="26" s="1"/>
  <c r="AQ175" i="26"/>
  <c r="AR175" i="26" s="1"/>
  <c r="AQ176" i="26"/>
  <c r="AR176" i="26" s="1"/>
  <c r="AQ177" i="26"/>
  <c r="AR177" i="26" s="1"/>
  <c r="AQ178" i="26"/>
  <c r="AR178" i="26" s="1"/>
  <c r="AQ179" i="26"/>
  <c r="AR179" i="26" s="1"/>
  <c r="AQ180" i="26"/>
  <c r="AR180" i="26" s="1"/>
  <c r="AQ181" i="26"/>
  <c r="AR181" i="26" s="1"/>
  <c r="AQ182" i="26"/>
  <c r="AR182" i="26" s="1"/>
  <c r="AQ183" i="26"/>
  <c r="AR183" i="26" s="1"/>
  <c r="AQ184" i="26"/>
  <c r="AR184" i="26" s="1"/>
  <c r="AQ185" i="26"/>
  <c r="AR185" i="26" s="1"/>
  <c r="AQ186" i="26"/>
  <c r="AR186" i="26" s="1"/>
  <c r="AQ187" i="26"/>
  <c r="AR187" i="26" s="1"/>
  <c r="AQ188" i="26"/>
  <c r="AR188" i="26" s="1"/>
  <c r="AQ189" i="26"/>
  <c r="AR189" i="26" s="1"/>
  <c r="AQ190" i="26"/>
  <c r="AR190" i="26" s="1"/>
  <c r="AQ191" i="26"/>
  <c r="AR191" i="26" s="1"/>
  <c r="AQ192" i="26"/>
  <c r="AR192" i="26" s="1"/>
  <c r="AQ193" i="26"/>
  <c r="AR193" i="26" s="1"/>
  <c r="AQ194" i="26"/>
  <c r="AR194" i="26" s="1"/>
  <c r="AQ195" i="26"/>
  <c r="AR195" i="26" s="1"/>
  <c r="AQ196" i="26"/>
  <c r="AR196" i="26" s="1"/>
  <c r="AQ197" i="26"/>
  <c r="AR197" i="26" s="1"/>
  <c r="AQ198" i="26"/>
  <c r="AR198" i="26" s="1"/>
  <c r="AQ199" i="26"/>
  <c r="AR199" i="26" s="1"/>
  <c r="AQ200" i="26"/>
  <c r="AR200" i="26" s="1"/>
  <c r="AQ201" i="26"/>
  <c r="AR201" i="26" s="1"/>
  <c r="AQ202" i="26"/>
  <c r="AR202" i="26" s="1"/>
  <c r="AQ203" i="26"/>
  <c r="AR203" i="26" s="1"/>
  <c r="AQ204" i="26"/>
  <c r="AR204" i="26" s="1"/>
  <c r="AQ205" i="26"/>
  <c r="AR205" i="26" s="1"/>
  <c r="AQ206" i="26"/>
  <c r="AR206" i="26" s="1"/>
  <c r="AQ207" i="26"/>
  <c r="AR207" i="26" s="1"/>
  <c r="AQ208" i="26"/>
  <c r="AR208" i="26" s="1"/>
  <c r="AQ209" i="26"/>
  <c r="AR209" i="26" s="1"/>
  <c r="AQ210" i="26"/>
  <c r="AR210" i="26" s="1"/>
  <c r="AQ211" i="26"/>
  <c r="AR211" i="26" s="1"/>
  <c r="AQ212" i="26"/>
  <c r="AR212" i="26" s="1"/>
  <c r="AQ217" i="26"/>
  <c r="AR217" i="26" s="1"/>
  <c r="AQ218" i="26"/>
  <c r="AR218" i="26" s="1"/>
  <c r="AQ219" i="26"/>
  <c r="AR219" i="26" s="1"/>
  <c r="AQ222" i="26"/>
  <c r="AR222" i="26" s="1"/>
  <c r="AQ224" i="26"/>
  <c r="AR224" i="26" s="1"/>
  <c r="AQ226" i="26"/>
  <c r="AR226" i="26" s="1"/>
  <c r="AQ228" i="26"/>
  <c r="AR228" i="26" s="1"/>
  <c r="AQ230" i="26"/>
  <c r="AR230" i="26" s="1"/>
  <c r="AQ232" i="26"/>
  <c r="AR232" i="26" s="1"/>
  <c r="AQ234" i="26"/>
  <c r="AR234" i="26" s="1"/>
  <c r="AQ235" i="26"/>
  <c r="AR235" i="26" s="1"/>
  <c r="AQ236" i="26"/>
  <c r="AR236" i="26" s="1"/>
  <c r="AQ237" i="26"/>
  <c r="AR237" i="26" s="1"/>
  <c r="AQ239" i="26"/>
  <c r="AR239" i="26" s="1"/>
  <c r="AQ240" i="26"/>
  <c r="AR240" i="26" s="1"/>
  <c r="AQ241" i="26"/>
  <c r="AR241" i="26" s="1"/>
  <c r="AQ242" i="26"/>
  <c r="AR242" i="26" s="1"/>
  <c r="AQ244" i="26"/>
  <c r="AR244" i="26" s="1"/>
  <c r="AQ246" i="26"/>
  <c r="AR246" i="26" s="1"/>
  <c r="AQ248" i="26"/>
  <c r="AR248" i="26" s="1"/>
  <c r="AQ250" i="26"/>
  <c r="AR250" i="26" s="1"/>
  <c r="AQ252" i="26"/>
  <c r="AR252" i="26" s="1"/>
  <c r="AQ253" i="26"/>
  <c r="AR253" i="26" s="1"/>
  <c r="AQ255" i="26"/>
  <c r="AR255" i="26" s="1"/>
  <c r="AQ256" i="26"/>
  <c r="AR256" i="26" s="1"/>
  <c r="AQ257" i="26"/>
  <c r="AR257" i="26" s="1"/>
  <c r="AQ259" i="26"/>
  <c r="AR259" i="26" s="1"/>
  <c r="AQ261" i="26"/>
  <c r="AR261" i="26" s="1"/>
  <c r="AQ262" i="26"/>
  <c r="AR262" i="26" s="1"/>
  <c r="AQ263" i="26"/>
  <c r="AR263" i="26" s="1"/>
  <c r="AQ264" i="26"/>
  <c r="AR264" i="26" s="1"/>
  <c r="AQ265" i="26"/>
  <c r="AR265" i="26" s="1"/>
  <c r="AQ266" i="26"/>
  <c r="AR266" i="26" s="1"/>
  <c r="AQ267" i="26"/>
  <c r="AR267" i="26" s="1"/>
  <c r="AQ268" i="26"/>
  <c r="AR268" i="26" s="1"/>
  <c r="AQ269" i="26"/>
  <c r="AR269" i="26" s="1"/>
  <c r="AQ270" i="26"/>
  <c r="AR270" i="26" s="1"/>
  <c r="AQ271" i="26"/>
  <c r="AR271" i="26" s="1"/>
  <c r="AQ272" i="26"/>
  <c r="AR272" i="26" s="1"/>
  <c r="AQ273" i="26"/>
  <c r="AR273" i="26" s="1"/>
  <c r="AQ274" i="26"/>
  <c r="AR274" i="26" s="1"/>
  <c r="AQ275" i="26"/>
  <c r="AR275" i="26" s="1"/>
  <c r="AQ276" i="26"/>
  <c r="AR276" i="26" s="1"/>
  <c r="AQ277" i="26"/>
  <c r="AR277" i="26" s="1"/>
  <c r="AQ278" i="26"/>
  <c r="AR278" i="26" s="1"/>
  <c r="AQ279" i="26"/>
  <c r="AR279" i="26" s="1"/>
  <c r="AQ280" i="26"/>
  <c r="AR280" i="26" s="1"/>
  <c r="AQ281" i="26"/>
  <c r="AR281" i="26" s="1"/>
  <c r="AQ282" i="26"/>
  <c r="AR282" i="26" s="1"/>
  <c r="AQ283" i="26"/>
  <c r="AR283" i="26" s="1"/>
  <c r="AQ284" i="26"/>
  <c r="AR284" i="26" s="1"/>
  <c r="AQ285" i="26"/>
  <c r="AR285" i="26" s="1"/>
  <c r="AQ286" i="26"/>
  <c r="AR286" i="26" s="1"/>
  <c r="AQ287" i="26"/>
  <c r="AR287" i="26" s="1"/>
  <c r="AQ288" i="26"/>
  <c r="AR288" i="26" s="1"/>
  <c r="AQ289" i="26"/>
  <c r="AR289" i="26" s="1"/>
  <c r="AQ290" i="26"/>
  <c r="AR290" i="26" s="1"/>
  <c r="AQ291" i="26"/>
  <c r="AR291" i="26" s="1"/>
  <c r="AQ292" i="26"/>
  <c r="AR292" i="26" s="1"/>
  <c r="AQ293" i="26"/>
  <c r="AR293" i="26" s="1"/>
  <c r="AQ294" i="26"/>
  <c r="AR294" i="26" s="1"/>
  <c r="AQ295" i="26"/>
  <c r="AR295" i="26" s="1"/>
  <c r="AQ296" i="26"/>
  <c r="AR296" i="26" s="1"/>
  <c r="AQ297" i="26"/>
  <c r="AR297" i="26" s="1"/>
  <c r="AQ298" i="26"/>
  <c r="AR298" i="26" s="1"/>
  <c r="AQ299" i="26"/>
  <c r="AR299" i="26" s="1"/>
  <c r="AQ300" i="26"/>
  <c r="AR300" i="26" s="1"/>
  <c r="AQ301" i="26"/>
  <c r="AR301" i="26" s="1"/>
  <c r="AQ302" i="26"/>
  <c r="AR302" i="26" s="1"/>
  <c r="AQ303" i="26"/>
  <c r="AR303" i="26" s="1"/>
  <c r="AQ305" i="26"/>
  <c r="AR305" i="26" s="1"/>
  <c r="AQ306" i="26"/>
  <c r="AR306" i="26" s="1"/>
  <c r="AQ307" i="26"/>
  <c r="AR307" i="26" s="1"/>
  <c r="AQ308" i="26"/>
  <c r="AR308" i="26" s="1"/>
  <c r="AQ309" i="26"/>
  <c r="AR309" i="26" s="1"/>
  <c r="AQ310" i="26"/>
  <c r="AR310" i="26" s="1"/>
  <c r="AQ311" i="26"/>
  <c r="AR311" i="26" s="1"/>
  <c r="AQ312" i="26"/>
  <c r="AR312" i="26" s="1"/>
  <c r="AQ313" i="26"/>
  <c r="AR313" i="26" s="1"/>
  <c r="AQ314" i="26"/>
  <c r="AR314" i="26" s="1"/>
  <c r="AQ315" i="26"/>
  <c r="AR315" i="26" s="1"/>
  <c r="AQ316" i="26"/>
  <c r="AR316" i="26" s="1"/>
  <c r="AQ317" i="26"/>
  <c r="AR317" i="26" s="1"/>
  <c r="AQ318" i="26"/>
  <c r="AR318" i="26" s="1"/>
  <c r="AQ319" i="26"/>
  <c r="AR319" i="26" s="1"/>
  <c r="AQ320" i="26"/>
  <c r="AR320" i="26" s="1"/>
  <c r="AQ321" i="26"/>
  <c r="AR321" i="26" s="1"/>
  <c r="AQ322" i="26"/>
  <c r="AR322" i="26" s="1"/>
  <c r="AQ323" i="26"/>
  <c r="AR323" i="26" s="1"/>
  <c r="AQ324" i="26"/>
  <c r="AR324" i="26" s="1"/>
  <c r="AQ325" i="26"/>
  <c r="AR325" i="26" s="1"/>
  <c r="AQ326" i="26"/>
  <c r="AR326" i="26" s="1"/>
  <c r="AQ327" i="26"/>
  <c r="AR327" i="26" s="1"/>
  <c r="AQ328" i="26"/>
  <c r="AR328" i="26" s="1"/>
  <c r="AQ329" i="26"/>
  <c r="AR329" i="26" s="1"/>
  <c r="AQ330" i="26"/>
  <c r="AR330" i="26" s="1"/>
  <c r="AQ331" i="26"/>
  <c r="AR331" i="26" s="1"/>
  <c r="AQ332" i="26"/>
  <c r="AR332" i="26" s="1"/>
  <c r="AQ333" i="26"/>
  <c r="AR333" i="26" s="1"/>
  <c r="AQ334" i="26"/>
  <c r="AR334" i="26" s="1"/>
  <c r="AQ335" i="26"/>
  <c r="AR335" i="26" s="1"/>
  <c r="AQ336" i="26"/>
  <c r="AR336" i="26" s="1"/>
  <c r="AQ337" i="26"/>
  <c r="AR337" i="26" s="1"/>
  <c r="AQ338" i="26"/>
  <c r="AR338" i="26" s="1"/>
  <c r="AQ339" i="26"/>
  <c r="AR339" i="26" s="1"/>
  <c r="AQ340" i="26"/>
  <c r="AR340" i="26" s="1"/>
  <c r="AQ341" i="26"/>
  <c r="AR341" i="26" s="1"/>
  <c r="AQ342" i="26"/>
  <c r="AR342" i="26" s="1"/>
  <c r="AQ343" i="26"/>
  <c r="AR343" i="26" s="1"/>
  <c r="AQ344" i="26"/>
  <c r="AR344" i="26" s="1"/>
  <c r="AQ345" i="26"/>
  <c r="AR345" i="26" s="1"/>
  <c r="AQ346" i="26"/>
  <c r="AR346" i="26" s="1"/>
  <c r="AQ347" i="26"/>
  <c r="AR347" i="26" s="1"/>
  <c r="AQ348" i="26"/>
  <c r="AR348" i="26" s="1"/>
  <c r="AQ349" i="26"/>
  <c r="AR349" i="26" s="1"/>
  <c r="AQ350" i="26"/>
  <c r="AR350" i="26" s="1"/>
  <c r="AQ351" i="26"/>
  <c r="AR351" i="26" s="1"/>
  <c r="AQ352" i="26"/>
  <c r="AR352" i="26" s="1"/>
  <c r="AQ353" i="26"/>
  <c r="AR353" i="26" s="1"/>
  <c r="AQ354" i="26"/>
  <c r="AR354" i="26" s="1"/>
  <c r="AQ355" i="26"/>
  <c r="AR355" i="26" s="1"/>
  <c r="AQ356" i="26"/>
  <c r="AR356" i="26" s="1"/>
  <c r="AQ357" i="26"/>
  <c r="AR357" i="26" s="1"/>
  <c r="AQ358" i="26"/>
  <c r="AR358" i="26" s="1"/>
  <c r="AQ359" i="26"/>
  <c r="AR359" i="26" s="1"/>
  <c r="AQ360" i="26"/>
  <c r="AR360" i="26" s="1"/>
  <c r="AQ361" i="26"/>
  <c r="AR361" i="26" s="1"/>
  <c r="AQ362" i="26"/>
  <c r="AR362" i="26" s="1"/>
  <c r="AQ363" i="26"/>
  <c r="AR363" i="26" s="1"/>
  <c r="AQ364" i="26"/>
  <c r="AR364" i="26" s="1"/>
  <c r="AQ365" i="26"/>
  <c r="AR365" i="26" s="1"/>
  <c r="AQ366" i="26"/>
  <c r="AR366" i="26" s="1"/>
  <c r="AQ367" i="26"/>
  <c r="AR367" i="26" s="1"/>
  <c r="AQ368" i="26"/>
  <c r="AR368" i="26" s="1"/>
  <c r="AQ369" i="26"/>
  <c r="AR369" i="26" s="1"/>
  <c r="AQ370" i="26"/>
  <c r="AR370" i="26" s="1"/>
  <c r="AQ371" i="26"/>
  <c r="AR371" i="26" s="1"/>
  <c r="AQ372" i="26"/>
  <c r="AR372" i="26" s="1"/>
  <c r="AQ373" i="26"/>
  <c r="AR373" i="26" s="1"/>
  <c r="AQ374" i="26"/>
  <c r="AR374" i="26" s="1"/>
  <c r="AQ375" i="26"/>
  <c r="AR375" i="26" s="1"/>
  <c r="AQ377" i="26"/>
  <c r="AR377" i="26" s="1"/>
  <c r="AQ379" i="26"/>
  <c r="AR379" i="26" s="1"/>
  <c r="AQ380" i="26"/>
  <c r="AR380" i="26" s="1"/>
  <c r="AQ381" i="26"/>
  <c r="AR381" i="26" s="1"/>
  <c r="AQ382" i="26"/>
  <c r="AR382" i="26" s="1"/>
  <c r="AQ383" i="26"/>
  <c r="AR383" i="26" s="1"/>
  <c r="AQ384" i="26"/>
  <c r="AR384" i="26" s="1"/>
  <c r="AQ385" i="26"/>
  <c r="AR385" i="26" s="1"/>
  <c r="AQ386" i="26"/>
  <c r="AR386" i="26" s="1"/>
  <c r="AQ387" i="26"/>
  <c r="AR387" i="26" s="1"/>
  <c r="AQ388" i="26"/>
  <c r="AR388" i="26" s="1"/>
  <c r="AQ389" i="26"/>
  <c r="AR389" i="26" s="1"/>
  <c r="AQ390" i="26"/>
  <c r="AR390" i="26" s="1"/>
  <c r="AQ391" i="26"/>
  <c r="AR391" i="26" s="1"/>
  <c r="M7" i="30" l="1"/>
  <c r="S501" i="6" l="1"/>
  <c r="C5" i="6"/>
  <c r="J522" i="26"/>
  <c r="S496" i="6"/>
  <c r="J511" i="26"/>
  <c r="S472" i="9"/>
  <c r="C5" i="9"/>
  <c r="J513" i="26"/>
  <c r="S473" i="9"/>
  <c r="AF458" i="26"/>
  <c r="AL458" i="26" s="1"/>
  <c r="K458" i="26"/>
  <c r="L458" i="26"/>
  <c r="S449" i="6"/>
  <c r="K456" i="26"/>
  <c r="L456" i="26"/>
  <c r="S440" i="9"/>
  <c r="J461" i="26"/>
  <c r="S452" i="6"/>
  <c r="J471" i="26"/>
  <c r="S459" i="6"/>
  <c r="J435" i="26"/>
  <c r="S427" i="9"/>
  <c r="AF424" i="26"/>
  <c r="H8" i="30"/>
  <c r="L8" i="30" s="1"/>
  <c r="H9" i="30"/>
  <c r="L9" i="30" s="1"/>
  <c r="H10" i="30"/>
  <c r="H11" i="30"/>
  <c r="L11" i="30" s="1"/>
  <c r="H12" i="30"/>
  <c r="L12" i="30" s="1"/>
  <c r="H13" i="30"/>
  <c r="L13" i="30" s="1"/>
  <c r="H14" i="30"/>
  <c r="L14" i="30" s="1"/>
  <c r="H15" i="30"/>
  <c r="L15" i="30" s="1"/>
  <c r="H16" i="30"/>
  <c r="L16" i="30" s="1"/>
  <c r="G17" i="30"/>
  <c r="H17" i="30" s="1"/>
  <c r="L17" i="30" s="1"/>
  <c r="G18" i="30"/>
  <c r="H18" i="30"/>
  <c r="L18" i="30" s="1"/>
  <c r="G19" i="30"/>
  <c r="H19" i="30"/>
  <c r="L19" i="30" s="1"/>
  <c r="H20" i="30"/>
  <c r="L20" i="30" s="1"/>
  <c r="G21" i="30"/>
  <c r="H21" i="30"/>
  <c r="L21" i="30" s="1"/>
  <c r="G22" i="30"/>
  <c r="H22" i="30" s="1"/>
  <c r="L22" i="30" s="1"/>
  <c r="G23" i="30"/>
  <c r="H23" i="30"/>
  <c r="L23" i="30" s="1"/>
  <c r="G24" i="30"/>
  <c r="H24" i="30"/>
  <c r="L24" i="30" s="1"/>
  <c r="G25" i="30"/>
  <c r="H25" i="30"/>
  <c r="L25" i="30" s="1"/>
  <c r="G26" i="30"/>
  <c r="H26" i="30"/>
  <c r="L26" i="30" s="1"/>
  <c r="G27" i="30"/>
  <c r="H27" i="30" s="1"/>
  <c r="L27" i="30" s="1"/>
  <c r="G28" i="30"/>
  <c r="H28" i="30"/>
  <c r="L28" i="30" s="1"/>
  <c r="H36" i="30"/>
  <c r="L36" i="30" s="1"/>
  <c r="H37" i="30"/>
  <c r="L37" i="30" s="1"/>
  <c r="H38" i="30"/>
  <c r="L38" i="30" s="1"/>
  <c r="H39" i="30"/>
  <c r="L39" i="30" s="1"/>
  <c r="H40" i="30"/>
  <c r="L40" i="30" s="1"/>
  <c r="H41" i="30"/>
  <c r="L41" i="30" s="1"/>
  <c r="H42" i="30"/>
  <c r="L42" i="30" s="1"/>
  <c r="H43" i="30"/>
  <c r="L43" i="30" s="1"/>
  <c r="H44" i="30"/>
  <c r="L44" i="30" s="1"/>
  <c r="H45" i="30"/>
  <c r="L45" i="30" s="1"/>
  <c r="H46" i="30"/>
  <c r="L46" i="30" s="1"/>
  <c r="H47" i="30"/>
  <c r="L47" i="30" s="1"/>
  <c r="H48" i="30"/>
  <c r="L48" i="30" s="1"/>
  <c r="H49" i="30"/>
  <c r="L49" i="30" s="1"/>
  <c r="H50" i="30"/>
  <c r="L50" i="30" s="1"/>
  <c r="H51" i="30"/>
  <c r="L51" i="30" s="1"/>
  <c r="H52" i="30"/>
  <c r="L52" i="30" s="1"/>
  <c r="H53" i="30"/>
  <c r="L53" i="30" s="1"/>
  <c r="H54" i="30"/>
  <c r="L54" i="30" s="1"/>
  <c r="H57" i="30"/>
  <c r="L57" i="30" s="1"/>
  <c r="H58" i="30"/>
  <c r="L58" i="30" s="1"/>
  <c r="H59" i="30"/>
  <c r="L59" i="30" s="1"/>
  <c r="H60" i="30"/>
  <c r="L60" i="30" s="1"/>
  <c r="H61" i="30"/>
  <c r="L61" i="30" s="1"/>
  <c r="H62" i="30"/>
  <c r="H63" i="30"/>
  <c r="L63" i="30" s="1"/>
  <c r="H64" i="30"/>
  <c r="L64" i="30" s="1"/>
  <c r="H65" i="30"/>
  <c r="L65" i="30" s="1"/>
  <c r="H66" i="30"/>
  <c r="L66" i="30" s="1"/>
  <c r="H67" i="30"/>
  <c r="L67" i="30" s="1"/>
  <c r="H68" i="30"/>
  <c r="L68" i="30" s="1"/>
  <c r="H69" i="30"/>
  <c r="L69" i="30" s="1"/>
  <c r="H70" i="30"/>
  <c r="L70" i="30" s="1"/>
  <c r="H71" i="30"/>
  <c r="L71" i="30" s="1"/>
  <c r="H72" i="30"/>
  <c r="L72" i="30" s="1"/>
  <c r="H73" i="30"/>
  <c r="L73" i="30" s="1"/>
  <c r="H74" i="30"/>
  <c r="L74" i="30" s="1"/>
  <c r="H75" i="30"/>
  <c r="L75" i="30" s="1"/>
  <c r="H76" i="30"/>
  <c r="L76" i="30" s="1"/>
  <c r="H77" i="30"/>
  <c r="L77" i="30" s="1"/>
  <c r="H78" i="30"/>
  <c r="L78" i="30" s="1"/>
  <c r="H79" i="30"/>
  <c r="L79" i="30" s="1"/>
  <c r="H80" i="30"/>
  <c r="L80" i="30" s="1"/>
  <c r="H81" i="30"/>
  <c r="L81" i="30" s="1"/>
  <c r="H82" i="30"/>
  <c r="L82" i="30" s="1"/>
  <c r="H83" i="30"/>
  <c r="L83" i="30" s="1"/>
  <c r="H85" i="30"/>
  <c r="L85" i="30" s="1"/>
  <c r="H86" i="30"/>
  <c r="L86" i="30" s="1"/>
  <c r="H87" i="30"/>
  <c r="L87" i="30" s="1"/>
  <c r="H88" i="30"/>
  <c r="L88" i="30" s="1"/>
  <c r="H89" i="30"/>
  <c r="L89" i="30" s="1"/>
  <c r="H90" i="30"/>
  <c r="L90" i="30" s="1"/>
  <c r="H91" i="30"/>
  <c r="L91" i="30" s="1"/>
  <c r="H92" i="30"/>
  <c r="L92" i="30" s="1"/>
  <c r="H93" i="30"/>
  <c r="L93" i="30" s="1"/>
  <c r="H94" i="30"/>
  <c r="H95" i="30"/>
  <c r="L95" i="30" s="1"/>
  <c r="H96" i="30"/>
  <c r="L96" i="30" s="1"/>
  <c r="H97" i="30"/>
  <c r="L97" i="30" s="1"/>
  <c r="H98" i="30"/>
  <c r="L98" i="30" s="1"/>
  <c r="H99" i="30"/>
  <c r="L99" i="30" s="1"/>
  <c r="H100" i="30"/>
  <c r="L100" i="30" s="1"/>
  <c r="H101" i="30"/>
  <c r="L101" i="30" s="1"/>
  <c r="H102" i="30"/>
  <c r="L102" i="30" s="1"/>
  <c r="H103" i="30"/>
  <c r="L103" i="30" s="1"/>
  <c r="H104" i="30"/>
  <c r="L104" i="30" s="1"/>
  <c r="H105" i="30"/>
  <c r="L105" i="30" s="1"/>
  <c r="H106" i="30"/>
  <c r="L106" i="30" s="1"/>
  <c r="H107" i="30"/>
  <c r="L107" i="30" s="1"/>
  <c r="H108" i="30"/>
  <c r="L108" i="30" s="1"/>
  <c r="H109" i="30"/>
  <c r="L109" i="30" s="1"/>
  <c r="H110" i="30"/>
  <c r="L110" i="30" s="1"/>
  <c r="H111" i="30"/>
  <c r="L111" i="30" s="1"/>
  <c r="H112" i="30"/>
  <c r="L112" i="30" s="1"/>
  <c r="H113" i="30"/>
  <c r="L113" i="30" s="1"/>
  <c r="H114" i="30"/>
  <c r="L114" i="30" s="1"/>
  <c r="H115" i="30"/>
  <c r="L115" i="30" s="1"/>
  <c r="H116" i="30"/>
  <c r="L116" i="30" s="1"/>
  <c r="H117" i="30"/>
  <c r="L117" i="30" s="1"/>
  <c r="H118" i="30"/>
  <c r="L118" i="30" s="1"/>
  <c r="H119" i="30"/>
  <c r="L119" i="30" s="1"/>
  <c r="H120" i="30"/>
  <c r="L120" i="30" s="1"/>
  <c r="H121" i="30"/>
  <c r="L121" i="30" s="1"/>
  <c r="H122" i="30"/>
  <c r="L122" i="30" s="1"/>
  <c r="H124" i="30"/>
  <c r="L124" i="30" s="1"/>
  <c r="H125" i="30"/>
  <c r="L125" i="30" s="1"/>
  <c r="H126" i="30"/>
  <c r="H127" i="30"/>
  <c r="L127" i="30" s="1"/>
  <c r="H128" i="30"/>
  <c r="L128" i="30" s="1"/>
  <c r="H129" i="30"/>
  <c r="L129" i="30" s="1"/>
  <c r="H130" i="30"/>
  <c r="L130" i="30" s="1"/>
  <c r="H131" i="30"/>
  <c r="L131" i="30" s="1"/>
  <c r="H132" i="30"/>
  <c r="L132" i="30" s="1"/>
  <c r="H133" i="30"/>
  <c r="L133" i="30" s="1"/>
  <c r="H134" i="30"/>
  <c r="L134" i="30" s="1"/>
  <c r="H135" i="30"/>
  <c r="L135" i="30" s="1"/>
  <c r="H136" i="30"/>
  <c r="L136" i="30" s="1"/>
  <c r="H137" i="30"/>
  <c r="L137" i="30" s="1"/>
  <c r="H138" i="30"/>
  <c r="H139" i="30"/>
  <c r="L139" i="30" s="1"/>
  <c r="H140" i="30"/>
  <c r="L140" i="30" s="1"/>
  <c r="H141" i="30"/>
  <c r="L141" i="30" s="1"/>
  <c r="H144" i="30"/>
  <c r="L144" i="30" s="1"/>
  <c r="H145" i="30"/>
  <c r="L145" i="30" s="1"/>
  <c r="H146" i="30"/>
  <c r="L146" i="30" s="1"/>
  <c r="H147" i="30"/>
  <c r="L147" i="30" s="1"/>
  <c r="H148" i="30"/>
  <c r="L148" i="30" s="1"/>
  <c r="H149" i="30"/>
  <c r="L149" i="30" s="1"/>
  <c r="H150" i="30"/>
  <c r="L150" i="30" s="1"/>
  <c r="H151" i="30"/>
  <c r="L151" i="30" s="1"/>
  <c r="H152" i="30"/>
  <c r="L152" i="30" s="1"/>
  <c r="H153" i="30"/>
  <c r="L153" i="30" s="1"/>
  <c r="H154" i="30"/>
  <c r="L154" i="30" s="1"/>
  <c r="H155" i="30"/>
  <c r="L155" i="30" s="1"/>
  <c r="H159" i="30"/>
  <c r="L159" i="30" s="1"/>
  <c r="H160" i="30"/>
  <c r="L160" i="30" s="1"/>
  <c r="H162" i="30"/>
  <c r="L162" i="30" s="1"/>
  <c r="H164" i="30"/>
  <c r="L164" i="30" s="1"/>
  <c r="H165" i="30"/>
  <c r="L165" i="30" s="1"/>
  <c r="H166" i="30"/>
  <c r="L166" i="30" s="1"/>
  <c r="H167" i="30"/>
  <c r="L167" i="30" s="1"/>
  <c r="H168" i="30"/>
  <c r="L168" i="30" s="1"/>
  <c r="H169" i="30"/>
  <c r="L169" i="30" s="1"/>
  <c r="H170" i="30"/>
  <c r="H171" i="30"/>
  <c r="L171" i="30" s="1"/>
  <c r="H173" i="30"/>
  <c r="L173" i="30" s="1"/>
  <c r="H174" i="30"/>
  <c r="L174" i="30" s="1"/>
  <c r="H175" i="30"/>
  <c r="L175" i="30" s="1"/>
  <c r="H177" i="30"/>
  <c r="L177" i="30" s="1"/>
  <c r="H178" i="30"/>
  <c r="L178" i="30" s="1"/>
  <c r="H179" i="30"/>
  <c r="L179" i="30" s="1"/>
  <c r="H180" i="30"/>
  <c r="L180" i="30" s="1"/>
  <c r="H181" i="30"/>
  <c r="L181" i="30" s="1"/>
  <c r="H182" i="30"/>
  <c r="L182" i="30" s="1"/>
  <c r="H183" i="30"/>
  <c r="L183" i="30" s="1"/>
  <c r="H184" i="30"/>
  <c r="L184" i="30" s="1"/>
  <c r="H185" i="30"/>
  <c r="L185" i="30" s="1"/>
  <c r="H186" i="30"/>
  <c r="L186" i="30" s="1"/>
  <c r="H187" i="30"/>
  <c r="L187" i="30" s="1"/>
  <c r="H188" i="30"/>
  <c r="L188" i="30" s="1"/>
  <c r="H189" i="30"/>
  <c r="L189" i="30" s="1"/>
  <c r="H190" i="30"/>
  <c r="H191" i="30"/>
  <c r="L191" i="30" s="1"/>
  <c r="H192" i="30"/>
  <c r="L192" i="30" s="1"/>
  <c r="H193" i="30"/>
  <c r="L193" i="30" s="1"/>
  <c r="H194" i="30"/>
  <c r="L194" i="30" s="1"/>
  <c r="H195" i="30"/>
  <c r="L195" i="30" s="1"/>
  <c r="H196" i="30"/>
  <c r="L196" i="30" s="1"/>
  <c r="H197" i="30"/>
  <c r="L197" i="30" s="1"/>
  <c r="H198" i="30"/>
  <c r="L198" i="30" s="1"/>
  <c r="H199" i="30"/>
  <c r="L199" i="30" s="1"/>
  <c r="H200" i="30"/>
  <c r="L200" i="30" s="1"/>
  <c r="H201" i="30"/>
  <c r="L201" i="30" s="1"/>
  <c r="H202" i="30"/>
  <c r="L202" i="30" s="1"/>
  <c r="H203" i="30"/>
  <c r="L203" i="30" s="1"/>
  <c r="H204" i="30"/>
  <c r="L204" i="30" s="1"/>
  <c r="H205" i="30"/>
  <c r="L205" i="30" s="1"/>
  <c r="H206" i="30"/>
  <c r="L206" i="30" s="1"/>
  <c r="H207" i="30"/>
  <c r="L207" i="30" s="1"/>
  <c r="H208" i="30"/>
  <c r="L208" i="30" s="1"/>
  <c r="H209" i="30"/>
  <c r="L209" i="30" s="1"/>
  <c r="H210" i="30"/>
  <c r="L210" i="30" s="1"/>
  <c r="H211" i="30"/>
  <c r="L211" i="30" s="1"/>
  <c r="H212" i="30"/>
  <c r="L212" i="30" s="1"/>
  <c r="H213" i="30"/>
  <c r="L213" i="30" s="1"/>
  <c r="H214" i="30"/>
  <c r="L214" i="30" s="1"/>
  <c r="H215" i="30"/>
  <c r="L215" i="30" s="1"/>
  <c r="H216" i="30"/>
  <c r="L216" i="30" s="1"/>
  <c r="H217" i="30"/>
  <c r="L217" i="30" s="1"/>
  <c r="H218" i="30"/>
  <c r="L218" i="30" s="1"/>
  <c r="H219" i="30"/>
  <c r="L219" i="30" s="1"/>
  <c r="H220" i="30"/>
  <c r="L220" i="30" s="1"/>
  <c r="H221" i="30"/>
  <c r="L221" i="30" s="1"/>
  <c r="G222" i="30"/>
  <c r="H222" i="30"/>
  <c r="L222" i="30" s="1"/>
  <c r="H223" i="30"/>
  <c r="L223" i="30" s="1"/>
  <c r="H224" i="30"/>
  <c r="L224" i="30" s="1"/>
  <c r="H225" i="30"/>
  <c r="L225" i="30" s="1"/>
  <c r="H226" i="30"/>
  <c r="L226" i="30" s="1"/>
  <c r="H227" i="30"/>
  <c r="L227" i="30" s="1"/>
  <c r="H228" i="30"/>
  <c r="L228" i="30" s="1"/>
  <c r="H229" i="30"/>
  <c r="L229" i="30" s="1"/>
  <c r="H230" i="30"/>
  <c r="L230" i="30" s="1"/>
  <c r="H231" i="30"/>
  <c r="L231" i="30" s="1"/>
  <c r="H232" i="30"/>
  <c r="L232" i="30" s="1"/>
  <c r="H233" i="30"/>
  <c r="L233" i="30" s="1"/>
  <c r="H234" i="30"/>
  <c r="L234" i="30" s="1"/>
  <c r="H235" i="30"/>
  <c r="L235" i="30" s="1"/>
  <c r="H236" i="30"/>
  <c r="L236" i="30" s="1"/>
  <c r="H237" i="30"/>
  <c r="L237" i="30" s="1"/>
  <c r="H238" i="30"/>
  <c r="L238" i="30" s="1"/>
  <c r="H239" i="30"/>
  <c r="L239" i="30" s="1"/>
  <c r="G240" i="30"/>
  <c r="H240" i="30"/>
  <c r="L240" i="30" s="1"/>
  <c r="H241" i="30"/>
  <c r="L241" i="30" s="1"/>
  <c r="H242" i="30"/>
  <c r="L242" i="30" s="1"/>
  <c r="H243" i="30"/>
  <c r="L243" i="30" s="1"/>
  <c r="H244" i="30"/>
  <c r="L244" i="30" s="1"/>
  <c r="H245" i="30"/>
  <c r="L245" i="30" s="1"/>
  <c r="H246" i="30"/>
  <c r="L246" i="30" s="1"/>
  <c r="H247" i="30"/>
  <c r="L247" i="30" s="1"/>
  <c r="H248" i="30"/>
  <c r="L248" i="30" s="1"/>
  <c r="H249" i="30"/>
  <c r="L249" i="30" s="1"/>
  <c r="H250" i="30"/>
  <c r="L250" i="30" s="1"/>
  <c r="H251" i="30"/>
  <c r="L251" i="30" s="1"/>
  <c r="H252" i="30"/>
  <c r="L252" i="30" s="1"/>
  <c r="H253" i="30"/>
  <c r="L253" i="30" s="1"/>
  <c r="H254" i="30"/>
  <c r="L254" i="30" s="1"/>
  <c r="H255" i="30"/>
  <c r="L255" i="30" s="1"/>
  <c r="H256" i="30"/>
  <c r="L256" i="30" s="1"/>
  <c r="H257" i="30"/>
  <c r="L257" i="30" s="1"/>
  <c r="H258" i="30"/>
  <c r="H259" i="30"/>
  <c r="L259" i="30" s="1"/>
  <c r="H260" i="30"/>
  <c r="L260" i="30" s="1"/>
  <c r="H261" i="30"/>
  <c r="L261" i="30" s="1"/>
  <c r="H262" i="30"/>
  <c r="H263" i="30"/>
  <c r="L263" i="30" s="1"/>
  <c r="H264" i="30"/>
  <c r="L264" i="30" s="1"/>
  <c r="H269" i="30"/>
  <c r="L269" i="30" s="1"/>
  <c r="H270" i="30"/>
  <c r="L270" i="30" s="1"/>
  <c r="H271" i="30"/>
  <c r="L271" i="30" s="1"/>
  <c r="H272" i="30"/>
  <c r="L272" i="30" s="1"/>
  <c r="H273" i="30"/>
  <c r="L273" i="30" s="1"/>
  <c r="H274" i="30"/>
  <c r="H275" i="30"/>
  <c r="L275" i="30" s="1"/>
  <c r="H276" i="30"/>
  <c r="L276" i="30" s="1"/>
  <c r="H277" i="30"/>
  <c r="L277" i="30" s="1"/>
  <c r="H278" i="30"/>
  <c r="L278" i="30" s="1"/>
  <c r="H279" i="30"/>
  <c r="L279" i="30" s="1"/>
  <c r="H280" i="30"/>
  <c r="L280" i="30" s="1"/>
  <c r="H281" i="30"/>
  <c r="L281" i="30" s="1"/>
  <c r="H282" i="30"/>
  <c r="L282" i="30" s="1"/>
  <c r="H283" i="30"/>
  <c r="L283" i="30" s="1"/>
  <c r="H284" i="30"/>
  <c r="L284" i="30" s="1"/>
  <c r="H285" i="30"/>
  <c r="L285" i="30" s="1"/>
  <c r="H286" i="30"/>
  <c r="L286" i="30" s="1"/>
  <c r="H287" i="30"/>
  <c r="L287" i="30" s="1"/>
  <c r="H288" i="30"/>
  <c r="L288" i="30" s="1"/>
  <c r="H289" i="30"/>
  <c r="L289" i="30" s="1"/>
  <c r="H290" i="30"/>
  <c r="H291" i="30"/>
  <c r="L291" i="30" s="1"/>
  <c r="H292" i="30"/>
  <c r="L292" i="30" s="1"/>
  <c r="H293" i="30"/>
  <c r="L293" i="30" s="1"/>
  <c r="H294" i="30"/>
  <c r="H295" i="30"/>
  <c r="L295" i="30" s="1"/>
  <c r="H296" i="30"/>
  <c r="L296" i="30" s="1"/>
  <c r="H297" i="30"/>
  <c r="L297" i="30" s="1"/>
  <c r="H298" i="30"/>
  <c r="H302" i="30"/>
  <c r="L302" i="30" s="1"/>
  <c r="H304" i="30"/>
  <c r="L304" i="30" s="1"/>
  <c r="H305" i="30"/>
  <c r="L305" i="30" s="1"/>
  <c r="H306" i="30"/>
  <c r="H307" i="30"/>
  <c r="L307" i="30" s="1"/>
  <c r="H308" i="30"/>
  <c r="L308" i="30" s="1"/>
  <c r="H309" i="30"/>
  <c r="L309" i="30" s="1"/>
  <c r="H310" i="30"/>
  <c r="L310" i="30" s="1"/>
  <c r="H311" i="30"/>
  <c r="L311" i="30" s="1"/>
  <c r="H312" i="30"/>
  <c r="L312" i="30" s="1"/>
  <c r="H313" i="30"/>
  <c r="L313" i="30" s="1"/>
  <c r="H314" i="30"/>
  <c r="H315" i="30"/>
  <c r="L315" i="30" s="1"/>
  <c r="H316" i="30"/>
  <c r="L316" i="30" s="1"/>
  <c r="H317" i="30"/>
  <c r="L317" i="30" s="1"/>
  <c r="H318" i="30"/>
  <c r="L318" i="30" s="1"/>
  <c r="H319" i="30"/>
  <c r="L319" i="30" s="1"/>
  <c r="H320" i="30"/>
  <c r="L320" i="30" s="1"/>
  <c r="H328" i="30"/>
  <c r="L328" i="30" s="1"/>
  <c r="H335" i="30"/>
  <c r="L335" i="30" s="1"/>
  <c r="H342" i="30"/>
  <c r="L342" i="30" s="1"/>
  <c r="H349" i="30"/>
  <c r="L349" i="30" s="1"/>
  <c r="H363" i="30"/>
  <c r="L363" i="30" s="1"/>
  <c r="H374" i="30"/>
  <c r="L374" i="30" s="1"/>
  <c r="H375" i="30"/>
  <c r="L375" i="30" s="1"/>
  <c r="H382" i="30"/>
  <c r="L382" i="30" s="1"/>
  <c r="H383" i="30"/>
  <c r="L383" i="30" s="1"/>
  <c r="H384" i="30"/>
  <c r="L384" i="30" s="1"/>
  <c r="H385" i="30"/>
  <c r="L385" i="30" s="1"/>
  <c r="H1" i="30"/>
  <c r="V14" i="26"/>
  <c r="AN14" i="26" s="1"/>
  <c r="G8" i="30"/>
  <c r="G9" i="30"/>
  <c r="G10" i="30"/>
  <c r="G11" i="30"/>
  <c r="G12" i="30"/>
  <c r="G13" i="30"/>
  <c r="G14" i="30"/>
  <c r="G15" i="30"/>
  <c r="G16" i="30"/>
  <c r="G20" i="30"/>
  <c r="G29" i="30"/>
  <c r="H29" i="30" s="1"/>
  <c r="L29" i="30" s="1"/>
  <c r="G30" i="30"/>
  <c r="H30" i="30" s="1"/>
  <c r="L30" i="30" s="1"/>
  <c r="G31" i="30"/>
  <c r="H31" i="30" s="1"/>
  <c r="L31" i="30" s="1"/>
  <c r="G32" i="30"/>
  <c r="H32" i="30" s="1"/>
  <c r="L32" i="30" s="1"/>
  <c r="G33" i="30"/>
  <c r="H33" i="30" s="1"/>
  <c r="L33" i="30" s="1"/>
  <c r="G34" i="30"/>
  <c r="H34" i="30" s="1"/>
  <c r="L34" i="30" s="1"/>
  <c r="G35" i="30"/>
  <c r="H35" i="30" s="1"/>
  <c r="L35" i="30" s="1"/>
  <c r="G36" i="30"/>
  <c r="G37" i="30"/>
  <c r="G38" i="30"/>
  <c r="G39" i="30"/>
  <c r="G40" i="30"/>
  <c r="G41" i="30"/>
  <c r="G42" i="30"/>
  <c r="G43" i="30"/>
  <c r="G44" i="30"/>
  <c r="G45" i="30"/>
  <c r="G46" i="30"/>
  <c r="G47" i="30"/>
  <c r="G48" i="30"/>
  <c r="G49" i="30"/>
  <c r="G50" i="30"/>
  <c r="G51" i="30"/>
  <c r="G52" i="30"/>
  <c r="G53" i="30"/>
  <c r="G54" i="30"/>
  <c r="G55" i="30"/>
  <c r="H55" i="30" s="1"/>
  <c r="L55" i="30" s="1"/>
  <c r="G56" i="30"/>
  <c r="H56" i="30" s="1"/>
  <c r="L56" i="30" s="1"/>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H84" i="30" s="1"/>
  <c r="L84" i="30" s="1"/>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G123" i="30"/>
  <c r="H123" i="30" s="1"/>
  <c r="L123" i="30" s="1"/>
  <c r="G124" i="30"/>
  <c r="G125" i="30"/>
  <c r="G126" i="30"/>
  <c r="G127" i="30"/>
  <c r="G128" i="30"/>
  <c r="G129" i="30"/>
  <c r="G130" i="30"/>
  <c r="G131" i="30"/>
  <c r="G132" i="30"/>
  <c r="G133" i="30"/>
  <c r="G134" i="30"/>
  <c r="G135" i="30"/>
  <c r="G136" i="30"/>
  <c r="G137" i="30"/>
  <c r="G138" i="30"/>
  <c r="G139" i="30"/>
  <c r="G140" i="30"/>
  <c r="G141" i="30"/>
  <c r="G142" i="30"/>
  <c r="H142" i="30" s="1"/>
  <c r="L142" i="30" s="1"/>
  <c r="G143" i="30"/>
  <c r="H143" i="30" s="1"/>
  <c r="L143" i="30" s="1"/>
  <c r="G144" i="30"/>
  <c r="G145" i="30"/>
  <c r="G146" i="30"/>
  <c r="G147" i="30"/>
  <c r="G148" i="30"/>
  <c r="G149" i="30"/>
  <c r="G150" i="30"/>
  <c r="G151" i="30"/>
  <c r="G152" i="30"/>
  <c r="G153" i="30"/>
  <c r="G154" i="30"/>
  <c r="G155" i="30"/>
  <c r="G156" i="30"/>
  <c r="H156" i="30" s="1"/>
  <c r="L156" i="30" s="1"/>
  <c r="G157" i="30"/>
  <c r="H157" i="30" s="1"/>
  <c r="L157" i="30" s="1"/>
  <c r="G158" i="30"/>
  <c r="H158" i="30" s="1"/>
  <c r="L158" i="30" s="1"/>
  <c r="G159" i="30"/>
  <c r="G160" i="30"/>
  <c r="G161" i="30"/>
  <c r="H161" i="30" s="1"/>
  <c r="L161" i="30" s="1"/>
  <c r="G162" i="30"/>
  <c r="G163" i="30"/>
  <c r="H163" i="30" s="1"/>
  <c r="L163" i="30" s="1"/>
  <c r="G164" i="30"/>
  <c r="G165" i="30"/>
  <c r="G166" i="30"/>
  <c r="G167" i="30"/>
  <c r="G168" i="30"/>
  <c r="G169" i="30"/>
  <c r="G170" i="30"/>
  <c r="G171" i="30"/>
  <c r="G172" i="30"/>
  <c r="H172" i="30" s="1"/>
  <c r="L172" i="30" s="1"/>
  <c r="G173" i="30"/>
  <c r="G174" i="30"/>
  <c r="G175" i="30"/>
  <c r="G176" i="30"/>
  <c r="H176" i="30" s="1"/>
  <c r="L176" i="30" s="1"/>
  <c r="G177" i="30"/>
  <c r="G178" i="30"/>
  <c r="G179" i="30"/>
  <c r="G180" i="30"/>
  <c r="G181" i="30"/>
  <c r="G182" i="30"/>
  <c r="G183" i="30"/>
  <c r="G184" i="30"/>
  <c r="G185" i="30"/>
  <c r="G186" i="30"/>
  <c r="G187" i="30"/>
  <c r="G188" i="30"/>
  <c r="G189" i="30"/>
  <c r="G190" i="30"/>
  <c r="G191" i="30"/>
  <c r="G192" i="30"/>
  <c r="G193" i="30"/>
  <c r="G194" i="30"/>
  <c r="G195" i="30"/>
  <c r="G196" i="30"/>
  <c r="G197" i="30"/>
  <c r="G198" i="30"/>
  <c r="G199" i="30"/>
  <c r="G200" i="30"/>
  <c r="G201" i="30"/>
  <c r="G202" i="30"/>
  <c r="G203" i="30"/>
  <c r="G204" i="30"/>
  <c r="G205" i="30"/>
  <c r="G206" i="30"/>
  <c r="G207" i="30"/>
  <c r="G208" i="30"/>
  <c r="G209" i="30"/>
  <c r="G210" i="30"/>
  <c r="G211" i="30"/>
  <c r="G212" i="30"/>
  <c r="G213" i="30"/>
  <c r="G214" i="30"/>
  <c r="G215" i="30"/>
  <c r="G216" i="30"/>
  <c r="G217" i="30"/>
  <c r="G218" i="30"/>
  <c r="G219" i="30"/>
  <c r="G220" i="30"/>
  <c r="G221" i="30"/>
  <c r="G223" i="30"/>
  <c r="G224" i="30"/>
  <c r="G225" i="30"/>
  <c r="G226" i="30"/>
  <c r="G227" i="30"/>
  <c r="G228" i="30"/>
  <c r="G229" i="30"/>
  <c r="G230" i="30"/>
  <c r="G231" i="30"/>
  <c r="G232" i="30"/>
  <c r="G233" i="30"/>
  <c r="G234" i="30"/>
  <c r="G235" i="30"/>
  <c r="G236" i="30"/>
  <c r="G237" i="30"/>
  <c r="G238" i="30"/>
  <c r="G239" i="30"/>
  <c r="G241" i="30"/>
  <c r="G242" i="30"/>
  <c r="G243" i="30"/>
  <c r="G244" i="30"/>
  <c r="G245" i="30"/>
  <c r="G246" i="30"/>
  <c r="G247" i="30"/>
  <c r="G248" i="30"/>
  <c r="G249" i="30"/>
  <c r="G250" i="30"/>
  <c r="G251" i="30"/>
  <c r="G252" i="30"/>
  <c r="G253" i="30"/>
  <c r="G254" i="30"/>
  <c r="G255" i="30"/>
  <c r="G256" i="30"/>
  <c r="G257" i="30"/>
  <c r="G258" i="30"/>
  <c r="G259" i="30"/>
  <c r="G260" i="30"/>
  <c r="G261" i="30"/>
  <c r="G262" i="30"/>
  <c r="G263" i="30"/>
  <c r="G264" i="30"/>
  <c r="G265" i="30"/>
  <c r="H265" i="30" s="1"/>
  <c r="L265" i="30" s="1"/>
  <c r="G266" i="30"/>
  <c r="H266" i="30" s="1"/>
  <c r="G267" i="30"/>
  <c r="H267" i="30" s="1"/>
  <c r="L267" i="30" s="1"/>
  <c r="G268" i="30"/>
  <c r="H268" i="30" s="1"/>
  <c r="G269" i="30"/>
  <c r="G270" i="30"/>
  <c r="G271" i="30"/>
  <c r="G272" i="30"/>
  <c r="G273" i="30"/>
  <c r="G274" i="30"/>
  <c r="G275" i="30"/>
  <c r="G276" i="30"/>
  <c r="G277" i="30"/>
  <c r="G278" i="30"/>
  <c r="G279" i="30"/>
  <c r="G280" i="30"/>
  <c r="G281" i="30"/>
  <c r="G282" i="30"/>
  <c r="G283" i="30"/>
  <c r="G284" i="30"/>
  <c r="G285" i="30"/>
  <c r="G286" i="30"/>
  <c r="G287" i="30"/>
  <c r="G288" i="30"/>
  <c r="G289" i="30"/>
  <c r="G290" i="30"/>
  <c r="G291" i="30"/>
  <c r="G292" i="30"/>
  <c r="G293" i="30"/>
  <c r="G294" i="30"/>
  <c r="G295" i="30"/>
  <c r="G296" i="30"/>
  <c r="G297" i="30"/>
  <c r="G298" i="30"/>
  <c r="G299" i="30"/>
  <c r="H299" i="30" s="1"/>
  <c r="L299" i="30" s="1"/>
  <c r="G300" i="30"/>
  <c r="H300" i="30" s="1"/>
  <c r="G301" i="30"/>
  <c r="H301" i="30" s="1"/>
  <c r="L301" i="30" s="1"/>
  <c r="G302" i="30"/>
  <c r="G303" i="30"/>
  <c r="H303" i="30" s="1"/>
  <c r="L303" i="30" s="1"/>
  <c r="G304" i="30"/>
  <c r="G305" i="30"/>
  <c r="G306" i="30"/>
  <c r="G307" i="30"/>
  <c r="G308" i="30"/>
  <c r="G309" i="30"/>
  <c r="G310" i="30"/>
  <c r="G311" i="30"/>
  <c r="G312" i="30"/>
  <c r="G313" i="30"/>
  <c r="G314" i="30"/>
  <c r="G315" i="30"/>
  <c r="G316" i="30"/>
  <c r="G317" i="30"/>
  <c r="G318" i="30"/>
  <c r="G319" i="30"/>
  <c r="G320" i="30"/>
  <c r="G321" i="30"/>
  <c r="H321" i="30" s="1"/>
  <c r="L321" i="30" s="1"/>
  <c r="G322" i="30"/>
  <c r="H322" i="30" s="1"/>
  <c r="G323" i="30"/>
  <c r="H323" i="30" s="1"/>
  <c r="L323" i="30" s="1"/>
  <c r="G324" i="30"/>
  <c r="H324" i="30" s="1"/>
  <c r="L324" i="30" s="1"/>
  <c r="G325" i="30"/>
  <c r="H325" i="30" s="1"/>
  <c r="L325" i="30" s="1"/>
  <c r="G326" i="30"/>
  <c r="H326" i="30" s="1"/>
  <c r="L326" i="30" s="1"/>
  <c r="G327" i="30"/>
  <c r="H327" i="30" s="1"/>
  <c r="L327" i="30" s="1"/>
  <c r="G328" i="30"/>
  <c r="G329" i="30"/>
  <c r="H329" i="30" s="1"/>
  <c r="L329" i="30" s="1"/>
  <c r="G330" i="30"/>
  <c r="H330" i="30" s="1"/>
  <c r="L330" i="30" s="1"/>
  <c r="G331" i="30"/>
  <c r="H331" i="30" s="1"/>
  <c r="L331" i="30" s="1"/>
  <c r="G332" i="30"/>
  <c r="H332" i="30" s="1"/>
  <c r="L332" i="30" s="1"/>
  <c r="G333" i="30"/>
  <c r="H333" i="30" s="1"/>
  <c r="L333" i="30" s="1"/>
  <c r="G334" i="30"/>
  <c r="H334" i="30" s="1"/>
  <c r="L334" i="30" s="1"/>
  <c r="G335" i="30"/>
  <c r="G336" i="30"/>
  <c r="H336" i="30" s="1"/>
  <c r="L336" i="30" s="1"/>
  <c r="G337" i="30"/>
  <c r="H337" i="30" s="1"/>
  <c r="L337" i="30" s="1"/>
  <c r="G338" i="30"/>
  <c r="H338" i="30" s="1"/>
  <c r="G339" i="30"/>
  <c r="H339" i="30" s="1"/>
  <c r="L339" i="30" s="1"/>
  <c r="G340" i="30"/>
  <c r="H340" i="30" s="1"/>
  <c r="L340" i="30" s="1"/>
  <c r="G341" i="30"/>
  <c r="H341" i="30" s="1"/>
  <c r="L341" i="30" s="1"/>
  <c r="G342" i="30"/>
  <c r="G343" i="30"/>
  <c r="H343" i="30" s="1"/>
  <c r="L343" i="30" s="1"/>
  <c r="G344" i="30"/>
  <c r="H344" i="30" s="1"/>
  <c r="L344" i="30" s="1"/>
  <c r="G345" i="30"/>
  <c r="H345" i="30" s="1"/>
  <c r="L345" i="30" s="1"/>
  <c r="G346" i="30"/>
  <c r="H346" i="30" s="1"/>
  <c r="L346" i="30" s="1"/>
  <c r="G347" i="30"/>
  <c r="H347" i="30" s="1"/>
  <c r="L347" i="30" s="1"/>
  <c r="G348" i="30"/>
  <c r="H348" i="30" s="1"/>
  <c r="L348" i="30" s="1"/>
  <c r="G349" i="30"/>
  <c r="G350" i="30"/>
  <c r="H350" i="30" s="1"/>
  <c r="L350" i="30" s="1"/>
  <c r="G351" i="30"/>
  <c r="H351" i="30" s="1"/>
  <c r="L351" i="30" s="1"/>
  <c r="G352" i="30"/>
  <c r="H352" i="30" s="1"/>
  <c r="L352" i="30" s="1"/>
  <c r="G353" i="30"/>
  <c r="H353" i="30" s="1"/>
  <c r="L353" i="30" s="1"/>
  <c r="G354" i="30"/>
  <c r="H354" i="30" s="1"/>
  <c r="G355" i="30"/>
  <c r="H355" i="30" s="1"/>
  <c r="L355" i="30" s="1"/>
  <c r="G356" i="30"/>
  <c r="H356" i="30" s="1"/>
  <c r="L356" i="30" s="1"/>
  <c r="G357" i="30"/>
  <c r="H357" i="30" s="1"/>
  <c r="L357" i="30" s="1"/>
  <c r="G358" i="30"/>
  <c r="H358" i="30" s="1"/>
  <c r="G359" i="30"/>
  <c r="H359" i="30" s="1"/>
  <c r="L359" i="30" s="1"/>
  <c r="G360" i="30"/>
  <c r="H360" i="30" s="1"/>
  <c r="L360" i="30" s="1"/>
  <c r="G361" i="30"/>
  <c r="H361" i="30" s="1"/>
  <c r="L361" i="30" s="1"/>
  <c r="G362" i="30"/>
  <c r="H362" i="30" s="1"/>
  <c r="L362" i="30" s="1"/>
  <c r="G363" i="30"/>
  <c r="G364" i="30"/>
  <c r="H364" i="30" s="1"/>
  <c r="L364" i="30" s="1"/>
  <c r="G365" i="30"/>
  <c r="H365" i="30" s="1"/>
  <c r="L365" i="30" s="1"/>
  <c r="G366" i="30"/>
  <c r="H366" i="30" s="1"/>
  <c r="L366" i="30" s="1"/>
  <c r="G367" i="30"/>
  <c r="H367" i="30" s="1"/>
  <c r="L367" i="30" s="1"/>
  <c r="G368" i="30"/>
  <c r="H368" i="30" s="1"/>
  <c r="L368" i="30" s="1"/>
  <c r="G369" i="30"/>
  <c r="H369" i="30" s="1"/>
  <c r="L369" i="30" s="1"/>
  <c r="G370" i="30"/>
  <c r="H370" i="30" s="1"/>
  <c r="L370" i="30" s="1"/>
  <c r="G371" i="30"/>
  <c r="H371" i="30" s="1"/>
  <c r="L371" i="30" s="1"/>
  <c r="G372" i="30"/>
  <c r="H372" i="30" s="1"/>
  <c r="L372" i="30" s="1"/>
  <c r="G373" i="30"/>
  <c r="H373" i="30" s="1"/>
  <c r="L373" i="30" s="1"/>
  <c r="G374" i="30"/>
  <c r="G375" i="30"/>
  <c r="G376" i="30"/>
  <c r="H376" i="30" s="1"/>
  <c r="L376" i="30" s="1"/>
  <c r="G377" i="30"/>
  <c r="H377" i="30" s="1"/>
  <c r="L377" i="30" s="1"/>
  <c r="G378" i="30"/>
  <c r="H378" i="30" s="1"/>
  <c r="L378" i="30" s="1"/>
  <c r="G379" i="30"/>
  <c r="H379" i="30" s="1"/>
  <c r="L379" i="30" s="1"/>
  <c r="G380" i="30"/>
  <c r="H380" i="30" s="1"/>
  <c r="L380" i="30" s="1"/>
  <c r="G381" i="30"/>
  <c r="H381" i="30" s="1"/>
  <c r="L381" i="30" s="1"/>
  <c r="G382" i="30"/>
  <c r="G383" i="30"/>
  <c r="G384" i="30"/>
  <c r="G385" i="30"/>
  <c r="U14" i="26"/>
  <c r="W14" i="26"/>
  <c r="G412" i="26" s="1"/>
  <c r="W412" i="26" s="1"/>
  <c r="X14" i="26"/>
  <c r="AT19" i="26"/>
  <c r="AS19" i="26" s="1"/>
  <c r="AT20" i="26"/>
  <c r="AT40" i="26"/>
  <c r="AS40" i="26" s="1"/>
  <c r="AT45" i="26"/>
  <c r="AS45" i="26" s="1"/>
  <c r="AT46" i="26"/>
  <c r="AS46" i="26" s="1"/>
  <c r="AT47" i="26"/>
  <c r="AS47" i="26" s="1"/>
  <c r="AT51" i="26"/>
  <c r="AT55" i="26"/>
  <c r="AS55" i="26" s="1"/>
  <c r="AT65" i="26"/>
  <c r="AS65" i="26" s="1"/>
  <c r="AT66" i="26"/>
  <c r="AS66" i="26" s="1"/>
  <c r="AT75" i="26"/>
  <c r="AS75" i="26" s="1"/>
  <c r="AT76" i="26"/>
  <c r="AS76" i="26" s="1"/>
  <c r="AT83" i="26"/>
  <c r="AT84" i="26"/>
  <c r="AS84" i="26" s="1"/>
  <c r="AT96" i="26"/>
  <c r="AS96" i="26" s="1"/>
  <c r="AT97" i="26"/>
  <c r="AS97" i="26" s="1"/>
  <c r="AT98" i="26"/>
  <c r="AS98" i="26" s="1"/>
  <c r="AT118" i="26"/>
  <c r="AS118" i="26" s="1"/>
  <c r="AT119" i="26"/>
  <c r="AS119" i="26" s="1"/>
  <c r="AT125" i="26"/>
  <c r="AS125" i="26" s="1"/>
  <c r="AT137" i="26"/>
  <c r="AS137" i="26" s="1"/>
  <c r="AT141" i="26"/>
  <c r="AS141" i="26" s="1"/>
  <c r="AT145" i="26"/>
  <c r="AS145" i="26" s="1"/>
  <c r="AT149" i="26"/>
  <c r="AS149" i="26" s="1"/>
  <c r="AT153" i="26"/>
  <c r="AS153" i="26" s="1"/>
  <c r="AT159" i="26"/>
  <c r="AS159" i="26" s="1"/>
  <c r="AT169" i="26"/>
  <c r="AS169" i="26" s="1"/>
  <c r="AT173" i="26"/>
  <c r="AS173" i="26" s="1"/>
  <c r="AT177" i="26"/>
  <c r="AT188" i="26"/>
  <c r="AS188" i="26" s="1"/>
  <c r="AT189" i="26"/>
  <c r="AS189" i="26" s="1"/>
  <c r="AT195" i="26"/>
  <c r="AS195" i="26" s="1"/>
  <c r="AT196" i="26"/>
  <c r="AS196" i="26" s="1"/>
  <c r="AT206" i="26"/>
  <c r="AS206" i="26" s="1"/>
  <c r="AT217" i="26"/>
  <c r="AS217" i="26" s="1"/>
  <c r="AT218" i="26"/>
  <c r="AS218" i="26" s="1"/>
  <c r="AT219" i="26"/>
  <c r="AT241" i="26"/>
  <c r="AS241" i="26" s="1"/>
  <c r="AT256" i="26"/>
  <c r="AS256" i="26" s="1"/>
  <c r="AT257" i="26"/>
  <c r="AT264" i="26"/>
  <c r="AT269" i="26"/>
  <c r="AS269" i="26" s="1"/>
  <c r="AT272" i="26"/>
  <c r="AS272" i="26" s="1"/>
  <c r="AT277" i="26"/>
  <c r="AS277" i="26" s="1"/>
  <c r="AT288" i="26"/>
  <c r="AS288" i="26" s="1"/>
  <c r="AT298" i="26"/>
  <c r="AS298" i="26" s="1"/>
  <c r="AT307" i="26"/>
  <c r="AS307" i="26" s="1"/>
  <c r="AT308" i="26"/>
  <c r="AS308" i="26" s="1"/>
  <c r="AT311" i="26"/>
  <c r="AT312" i="26"/>
  <c r="AS312" i="26" s="1"/>
  <c r="AT314" i="26"/>
  <c r="AS314" i="26" s="1"/>
  <c r="AT315" i="26"/>
  <c r="AS315" i="26" s="1"/>
  <c r="AT318" i="26"/>
  <c r="AT323" i="26"/>
  <c r="AS323" i="26" s="1"/>
  <c r="AT332" i="26"/>
  <c r="AS332" i="26" s="1"/>
  <c r="AT346" i="26"/>
  <c r="AS346" i="26" s="1"/>
  <c r="AT353" i="26"/>
  <c r="AS353" i="26" s="1"/>
  <c r="AT366" i="26"/>
  <c r="AS366" i="26" s="1"/>
  <c r="AT367" i="26"/>
  <c r="AS367" i="26" s="1"/>
  <c r="AT373" i="26"/>
  <c r="AS373" i="26" s="1"/>
  <c r="AT374" i="26"/>
  <c r="AS374" i="26" s="1"/>
  <c r="AT380" i="26"/>
  <c r="AS380" i="26" s="1"/>
  <c r="AT381" i="26"/>
  <c r="AT385" i="26"/>
  <c r="AT389" i="26"/>
  <c r="AT391" i="26"/>
  <c r="AS391" i="26" s="1"/>
  <c r="S227" i="6"/>
  <c r="S214" i="6"/>
  <c r="S90" i="9"/>
  <c r="S425" i="9"/>
  <c r="S172" i="9"/>
  <c r="S304" i="6"/>
  <c r="K413" i="26"/>
  <c r="F5" i="27"/>
  <c r="W15" i="26"/>
  <c r="W16" i="26"/>
  <c r="G414" i="26" s="1"/>
  <c r="W414" i="26" s="1"/>
  <c r="W17" i="26"/>
  <c r="F1217" i="10" s="1"/>
  <c r="W25" i="26"/>
  <c r="W34" i="26"/>
  <c r="W35" i="26"/>
  <c r="F1235" i="10" s="1"/>
  <c r="W36" i="26"/>
  <c r="G420" i="26" s="1"/>
  <c r="W420" i="26" s="1"/>
  <c r="W43" i="26"/>
  <c r="W44" i="26"/>
  <c r="W48" i="26"/>
  <c r="F1248" i="10" s="1"/>
  <c r="W49" i="26"/>
  <c r="F1249" i="10" s="1"/>
  <c r="W54" i="26"/>
  <c r="W57" i="26"/>
  <c r="F1257" i="10" s="1"/>
  <c r="W58" i="26"/>
  <c r="W59" i="26"/>
  <c r="G430" i="26" s="1"/>
  <c r="W430" i="26" s="1"/>
  <c r="W61" i="26"/>
  <c r="W63" i="26"/>
  <c r="G432" i="26" s="1"/>
  <c r="W432" i="26" s="1"/>
  <c r="W64" i="26"/>
  <c r="W69" i="26"/>
  <c r="W70" i="26"/>
  <c r="G435" i="26" s="1"/>
  <c r="W435" i="26" s="1"/>
  <c r="W77" i="26"/>
  <c r="X77" i="26"/>
  <c r="W78" i="26"/>
  <c r="W79" i="26"/>
  <c r="W89" i="26"/>
  <c r="W91" i="26"/>
  <c r="W92" i="26"/>
  <c r="G441" i="26" s="1"/>
  <c r="W441" i="26" s="1"/>
  <c r="W95" i="26"/>
  <c r="W99" i="26"/>
  <c r="G444" i="26" s="1"/>
  <c r="W444" i="26" s="1"/>
  <c r="W101" i="26"/>
  <c r="F1301" i="10" s="1"/>
  <c r="W102" i="26"/>
  <c r="F1302" i="10" s="1"/>
  <c r="W104" i="26"/>
  <c r="W107" i="26"/>
  <c r="W108" i="26"/>
  <c r="G452" i="26" s="1"/>
  <c r="W452" i="26" s="1"/>
  <c r="W109" i="26"/>
  <c r="F1309" i="10" s="1"/>
  <c r="W111" i="26"/>
  <c r="G455" i="26" s="1"/>
  <c r="W455" i="26" s="1"/>
  <c r="W112" i="26"/>
  <c r="W115" i="26"/>
  <c r="G457" i="26" s="1"/>
  <c r="W457" i="26" s="1"/>
  <c r="W117" i="26"/>
  <c r="G458" i="26" s="1"/>
  <c r="W458" i="26" s="1"/>
  <c r="W121" i="26"/>
  <c r="W122" i="26"/>
  <c r="W127" i="26"/>
  <c r="G461" i="26" s="1"/>
  <c r="W461" i="26" s="1"/>
  <c r="W130" i="26"/>
  <c r="G463" i="26" s="1"/>
  <c r="W463" i="26" s="1"/>
  <c r="W134" i="26"/>
  <c r="W135" i="26"/>
  <c r="W139" i="26"/>
  <c r="F1339" i="10" s="1"/>
  <c r="W146" i="26"/>
  <c r="F1346" i="10" s="1"/>
  <c r="W147" i="26"/>
  <c r="W150" i="26"/>
  <c r="W151" i="26"/>
  <c r="G471" i="26" s="1"/>
  <c r="W471" i="26" s="1"/>
  <c r="W155" i="26"/>
  <c r="F1355" i="10" s="1"/>
  <c r="W157" i="26"/>
  <c r="W162" i="26"/>
  <c r="W170" i="26"/>
  <c r="F1370" i="10" s="1"/>
  <c r="X170" i="26"/>
  <c r="W171" i="26"/>
  <c r="W172" i="26"/>
  <c r="W174" i="26"/>
  <c r="G478" i="26" s="1"/>
  <c r="W478" i="26" s="1"/>
  <c r="W176" i="26"/>
  <c r="F1376" i="10" s="1"/>
  <c r="W190" i="26"/>
  <c r="G480" i="26" s="1"/>
  <c r="W480" i="26" s="1"/>
  <c r="W191" i="26"/>
  <c r="W192" i="26"/>
  <c r="G482" i="26" s="1"/>
  <c r="W482" i="26" s="1"/>
  <c r="W193" i="26"/>
  <c r="G483" i="26" s="1"/>
  <c r="W483" i="26" s="1"/>
  <c r="X193" i="26"/>
  <c r="W198" i="26"/>
  <c r="W199" i="26"/>
  <c r="G486" i="26" s="1"/>
  <c r="W486" i="26" s="1"/>
  <c r="W200" i="26"/>
  <c r="G487" i="26" s="1"/>
  <c r="W487" i="26" s="1"/>
  <c r="W202" i="26"/>
  <c r="W203" i="26"/>
  <c r="W205" i="26"/>
  <c r="W208" i="26"/>
  <c r="F1408" i="10" s="1"/>
  <c r="W209" i="26"/>
  <c r="W213" i="26"/>
  <c r="W214" i="26"/>
  <c r="F1414" i="10" s="1"/>
  <c r="W215" i="26"/>
  <c r="F1415" i="10" s="1"/>
  <c r="W221" i="26"/>
  <c r="W224" i="26"/>
  <c r="W225" i="26"/>
  <c r="F1425" i="10" s="1"/>
  <c r="W226" i="26"/>
  <c r="F1426" i="10" s="1"/>
  <c r="W237" i="26"/>
  <c r="W238" i="26"/>
  <c r="W239" i="26"/>
  <c r="F1439" i="10" s="1"/>
  <c r="W243" i="26"/>
  <c r="W244" i="26"/>
  <c r="G508" i="26" s="1"/>
  <c r="W508" i="26" s="1"/>
  <c r="W245" i="26"/>
  <c r="W246" i="26"/>
  <c r="W247" i="26"/>
  <c r="G512" i="26" s="1"/>
  <c r="W512" i="26" s="1"/>
  <c r="W248" i="26"/>
  <c r="W249" i="26"/>
  <c r="W251" i="26"/>
  <c r="G519" i="26" s="1"/>
  <c r="W519" i="26" s="1"/>
  <c r="W254" i="26"/>
  <c r="W255" i="26"/>
  <c r="X255" i="26"/>
  <c r="W258" i="26"/>
  <c r="G524" i="26" s="1"/>
  <c r="W524" i="26" s="1"/>
  <c r="W259" i="26"/>
  <c r="G525" i="26" s="1"/>
  <c r="W525" i="26" s="1"/>
  <c r="W266" i="26"/>
  <c r="G526" i="26" s="1"/>
  <c r="W526" i="26" s="1"/>
  <c r="W270" i="26"/>
  <c r="X270" i="26"/>
  <c r="W274" i="26"/>
  <c r="F1474" i="10" s="1"/>
  <c r="W275" i="26"/>
  <c r="W276" i="26"/>
  <c r="W282" i="26"/>
  <c r="G531" i="26" s="1"/>
  <c r="W531" i="26" s="1"/>
  <c r="W300" i="26"/>
  <c r="F1500" i="10" s="1"/>
  <c r="W304" i="26"/>
  <c r="W305" i="26"/>
  <c r="W310" i="26"/>
  <c r="G535" i="26" s="1"/>
  <c r="W535" i="26" s="1"/>
  <c r="W319" i="26"/>
  <c r="F1519" i="10" s="1"/>
  <c r="W320" i="26"/>
  <c r="W321" i="26"/>
  <c r="J5" i="27"/>
  <c r="H5" i="27" s="1"/>
  <c r="B394" i="27" s="1"/>
  <c r="V5" i="26"/>
  <c r="S14" i="6"/>
  <c r="V15" i="26"/>
  <c r="AN15" i="26" s="1"/>
  <c r="U15" i="26"/>
  <c r="AJ15" i="26" s="1"/>
  <c r="X15" i="26"/>
  <c r="S15" i="6"/>
  <c r="V16" i="26"/>
  <c r="AN16" i="26" s="1"/>
  <c r="U16" i="26"/>
  <c r="E16" i="9" s="1"/>
  <c r="X16" i="26"/>
  <c r="S16" i="6"/>
  <c r="U17" i="26"/>
  <c r="V17" i="26"/>
  <c r="AN17" i="26" s="1"/>
  <c r="X17" i="26"/>
  <c r="S17" i="6"/>
  <c r="V18" i="26"/>
  <c r="AN18" i="26" s="1"/>
  <c r="U18" i="26"/>
  <c r="W18" i="26"/>
  <c r="F1218" i="10" s="1"/>
  <c r="X18" i="26"/>
  <c r="S18" i="6"/>
  <c r="AV19" i="26"/>
  <c r="AK20" i="26"/>
  <c r="AU20" i="26" s="1"/>
  <c r="V21" i="26"/>
  <c r="AN21" i="26" s="1"/>
  <c r="U21" i="26"/>
  <c r="AA21" i="26" s="1"/>
  <c r="W21" i="26"/>
  <c r="F1221" i="10" s="1"/>
  <c r="X21" i="26"/>
  <c r="S21" i="6"/>
  <c r="V22" i="26"/>
  <c r="AN22" i="26" s="1"/>
  <c r="U22" i="26"/>
  <c r="E22" i="9" s="1"/>
  <c r="W22" i="26"/>
  <c r="X22" i="26"/>
  <c r="S22" i="6"/>
  <c r="V23" i="26"/>
  <c r="AN23" i="26" s="1"/>
  <c r="U23" i="26"/>
  <c r="W23" i="26"/>
  <c r="X23" i="26"/>
  <c r="S23" i="6"/>
  <c r="V24" i="26"/>
  <c r="AN24" i="26" s="1"/>
  <c r="U24" i="26"/>
  <c r="W24" i="26"/>
  <c r="F1224" i="10" s="1"/>
  <c r="X24" i="26"/>
  <c r="S24" i="6"/>
  <c r="V25" i="26"/>
  <c r="AN25" i="26" s="1"/>
  <c r="U25" i="26"/>
  <c r="AA25" i="26" s="1"/>
  <c r="X25" i="26"/>
  <c r="S25" i="6"/>
  <c r="V26" i="26"/>
  <c r="AN26" i="26" s="1"/>
  <c r="U26" i="26"/>
  <c r="W26" i="26"/>
  <c r="X26" i="26"/>
  <c r="S26" i="6"/>
  <c r="V27" i="26"/>
  <c r="AN27" i="26" s="1"/>
  <c r="U27" i="26"/>
  <c r="E27" i="6" s="1"/>
  <c r="W27" i="26"/>
  <c r="F1227" i="10" s="1"/>
  <c r="X27" i="26"/>
  <c r="S27" i="6"/>
  <c r="V28" i="26"/>
  <c r="AN28" i="26" s="1"/>
  <c r="U28" i="26"/>
  <c r="AA28" i="26" s="1"/>
  <c r="W28" i="26"/>
  <c r="X28" i="26"/>
  <c r="S28" i="6"/>
  <c r="V29" i="26"/>
  <c r="AN29" i="26" s="1"/>
  <c r="U29" i="26"/>
  <c r="W29" i="26"/>
  <c r="X29" i="26"/>
  <c r="S29" i="6"/>
  <c r="V30" i="26"/>
  <c r="AN30" i="26" s="1"/>
  <c r="U30" i="26"/>
  <c r="D30" i="10" s="1"/>
  <c r="W30" i="26"/>
  <c r="F1230" i="10" s="1"/>
  <c r="X30" i="26"/>
  <c r="S30" i="6"/>
  <c r="V31" i="26"/>
  <c r="AN31" i="26" s="1"/>
  <c r="U31" i="26"/>
  <c r="E31" i="6" s="1"/>
  <c r="W31" i="26"/>
  <c r="F1231" i="10" s="1"/>
  <c r="X31" i="26"/>
  <c r="S31" i="6"/>
  <c r="AK32" i="26"/>
  <c r="AU32" i="26" s="1"/>
  <c r="AK33" i="26"/>
  <c r="AU33" i="26" s="1"/>
  <c r="V34" i="26"/>
  <c r="AN34" i="26" s="1"/>
  <c r="U34" i="26"/>
  <c r="E34" i="6" s="1"/>
  <c r="X34" i="26"/>
  <c r="S34" i="6"/>
  <c r="V35" i="26"/>
  <c r="AN35" i="26" s="1"/>
  <c r="U35" i="26"/>
  <c r="E419" i="26" s="1"/>
  <c r="X35" i="26"/>
  <c r="S35" i="6"/>
  <c r="V36" i="26"/>
  <c r="AN36" i="26" s="1"/>
  <c r="U36" i="26"/>
  <c r="D36" i="10" s="1"/>
  <c r="X36" i="26"/>
  <c r="S36" i="6"/>
  <c r="V37" i="26"/>
  <c r="AN37" i="26" s="1"/>
  <c r="U37" i="26"/>
  <c r="E37" i="9" s="1"/>
  <c r="W37" i="26"/>
  <c r="F1237" i="10" s="1"/>
  <c r="X37" i="26"/>
  <c r="S37" i="6"/>
  <c r="V38" i="26"/>
  <c r="AN38" i="26" s="1"/>
  <c r="U38" i="26"/>
  <c r="E38" i="6" s="1"/>
  <c r="W38" i="26"/>
  <c r="X38" i="26"/>
  <c r="S38" i="6"/>
  <c r="AK39" i="26"/>
  <c r="AU39" i="26" s="1"/>
  <c r="AV39" i="26"/>
  <c r="AK40" i="26"/>
  <c r="AU40" i="26" s="1"/>
  <c r="V41" i="26"/>
  <c r="AN41" i="26" s="1"/>
  <c r="U41" i="26"/>
  <c r="W41" i="26"/>
  <c r="X41" i="26"/>
  <c r="S41" i="6"/>
  <c r="V42" i="26"/>
  <c r="AN42" i="26" s="1"/>
  <c r="U42" i="26"/>
  <c r="E42" i="9" s="1"/>
  <c r="W42" i="26"/>
  <c r="F1242" i="10" s="1"/>
  <c r="X42" i="26"/>
  <c r="S42" i="6"/>
  <c r="V43" i="26"/>
  <c r="AN43" i="26" s="1"/>
  <c r="U43" i="26"/>
  <c r="X43" i="26"/>
  <c r="S43" i="6"/>
  <c r="V44" i="26"/>
  <c r="AN44" i="26" s="1"/>
  <c r="U44" i="26"/>
  <c r="AJ44" i="26" s="1"/>
  <c r="X44" i="26"/>
  <c r="S44" i="6"/>
  <c r="AK45" i="26"/>
  <c r="AK46" i="26"/>
  <c r="AU46" i="26" s="1"/>
  <c r="AK47" i="26"/>
  <c r="AU47" i="26" s="1"/>
  <c r="V48" i="26"/>
  <c r="AN48" i="26" s="1"/>
  <c r="U48" i="26"/>
  <c r="X48" i="26"/>
  <c r="S48" i="6"/>
  <c r="V49" i="26"/>
  <c r="AN49" i="26" s="1"/>
  <c r="U49" i="26"/>
  <c r="E49" i="6" s="1"/>
  <c r="X49" i="26"/>
  <c r="S49" i="6"/>
  <c r="V50" i="26"/>
  <c r="AN50" i="26" s="1"/>
  <c r="U50" i="26"/>
  <c r="E50" i="9" s="1"/>
  <c r="W50" i="26"/>
  <c r="X50" i="26"/>
  <c r="S50" i="6"/>
  <c r="AK51" i="26"/>
  <c r="V52" i="26"/>
  <c r="AN52" i="26" s="1"/>
  <c r="U52" i="26"/>
  <c r="D52" i="10" s="1"/>
  <c r="W52" i="26"/>
  <c r="X52" i="26"/>
  <c r="S52" i="6"/>
  <c r="V53" i="26"/>
  <c r="AN53" i="26" s="1"/>
  <c r="U53" i="26"/>
  <c r="AJ53" i="26" s="1"/>
  <c r="W53" i="26"/>
  <c r="X53" i="26"/>
  <c r="S53" i="6"/>
  <c r="V54" i="26"/>
  <c r="AN54" i="26" s="1"/>
  <c r="U54" i="26"/>
  <c r="X54" i="26"/>
  <c r="S54" i="6"/>
  <c r="AK55" i="26"/>
  <c r="AU55" i="26" s="1"/>
  <c r="AK56" i="26"/>
  <c r="AU56" i="26" s="1"/>
  <c r="V57" i="26"/>
  <c r="AN57" i="26" s="1"/>
  <c r="U57" i="26"/>
  <c r="D57" i="10" s="1"/>
  <c r="X57" i="26"/>
  <c r="S57" i="6"/>
  <c r="V58" i="26"/>
  <c r="AN58" i="26" s="1"/>
  <c r="U58" i="26"/>
  <c r="AA58" i="26" s="1"/>
  <c r="X58" i="26"/>
  <c r="S58" i="6"/>
  <c r="V59" i="26"/>
  <c r="AN59" i="26" s="1"/>
  <c r="U59" i="26"/>
  <c r="X59" i="26"/>
  <c r="S59" i="6"/>
  <c r="V60" i="26"/>
  <c r="AN60" i="26" s="1"/>
  <c r="U60" i="26"/>
  <c r="E60" i="6" s="1"/>
  <c r="W60" i="26"/>
  <c r="X60" i="26"/>
  <c r="S60" i="6"/>
  <c r="V61" i="26"/>
  <c r="AN61" i="26" s="1"/>
  <c r="U61" i="26"/>
  <c r="X61" i="26"/>
  <c r="S61" i="6"/>
  <c r="V62" i="26"/>
  <c r="AN62" i="26" s="1"/>
  <c r="U62" i="26"/>
  <c r="D62" i="10" s="1"/>
  <c r="W62" i="26"/>
  <c r="X62" i="26"/>
  <c r="S62" i="6"/>
  <c r="V63" i="26"/>
  <c r="AN63" i="26" s="1"/>
  <c r="U63" i="26"/>
  <c r="E432" i="26" s="1"/>
  <c r="X63" i="26"/>
  <c r="S63" i="6"/>
  <c r="V64" i="26"/>
  <c r="AN64" i="26" s="1"/>
  <c r="U64" i="26"/>
  <c r="X64" i="26"/>
  <c r="S64" i="6"/>
  <c r="AK65" i="26"/>
  <c r="AV65" i="26" s="1"/>
  <c r="AK66" i="26"/>
  <c r="AU66" i="26" s="1"/>
  <c r="AK67" i="26"/>
  <c r="AU67" i="26" s="1"/>
  <c r="V68" i="26"/>
  <c r="AN68" i="26" s="1"/>
  <c r="U68" i="26"/>
  <c r="D68" i="10" s="1"/>
  <c r="W68" i="26"/>
  <c r="F1268" i="10" s="1"/>
  <c r="X68" i="26"/>
  <c r="S68" i="6"/>
  <c r="V69" i="26"/>
  <c r="AN69" i="26" s="1"/>
  <c r="U69" i="26"/>
  <c r="E434" i="26" s="1"/>
  <c r="X69" i="26"/>
  <c r="S69" i="6"/>
  <c r="V70" i="26"/>
  <c r="AN70" i="26" s="1"/>
  <c r="U70" i="26"/>
  <c r="E70" i="6" s="1"/>
  <c r="X70" i="26"/>
  <c r="S70" i="6"/>
  <c r="V71" i="26"/>
  <c r="AN71" i="26" s="1"/>
  <c r="U71" i="26"/>
  <c r="W71" i="26"/>
  <c r="F1271" i="10" s="1"/>
  <c r="X71" i="26"/>
  <c r="S71" i="6"/>
  <c r="V72" i="26"/>
  <c r="AN72" i="26" s="1"/>
  <c r="U72" i="26"/>
  <c r="AA72" i="26" s="1"/>
  <c r="W72" i="26"/>
  <c r="X72" i="26"/>
  <c r="S72" i="6"/>
  <c r="V73" i="26"/>
  <c r="AN73" i="26" s="1"/>
  <c r="U73" i="26"/>
  <c r="E73" i="9" s="1"/>
  <c r="W73" i="26"/>
  <c r="X73" i="26"/>
  <c r="S73" i="6"/>
  <c r="V74" i="26"/>
  <c r="AN74" i="26" s="1"/>
  <c r="U74" i="26"/>
  <c r="W74" i="26"/>
  <c r="F1274" i="10" s="1"/>
  <c r="X74" i="26"/>
  <c r="S74" i="6"/>
  <c r="AK75" i="26"/>
  <c r="AU75" i="26" s="1"/>
  <c r="AK76" i="26"/>
  <c r="AU76" i="26" s="1"/>
  <c r="V77" i="26"/>
  <c r="AN77" i="26" s="1"/>
  <c r="U77" i="26"/>
  <c r="AJ77" i="26" s="1"/>
  <c r="S77" i="6"/>
  <c r="V78" i="26"/>
  <c r="AN78" i="26" s="1"/>
  <c r="U78" i="26"/>
  <c r="AJ78" i="26" s="1"/>
  <c r="X78" i="26"/>
  <c r="S78" i="6"/>
  <c r="V79" i="26"/>
  <c r="AN79" i="26" s="1"/>
  <c r="U79" i="26"/>
  <c r="E79" i="6" s="1"/>
  <c r="X79" i="26"/>
  <c r="S79" i="6"/>
  <c r="V80" i="26"/>
  <c r="AN80" i="26" s="1"/>
  <c r="U80" i="26"/>
  <c r="AA80" i="26" s="1"/>
  <c r="W80" i="26"/>
  <c r="F1280" i="10" s="1"/>
  <c r="X80" i="26"/>
  <c r="S80" i="6"/>
  <c r="V81" i="26"/>
  <c r="AN81" i="26" s="1"/>
  <c r="U81" i="26"/>
  <c r="AA81" i="26" s="1"/>
  <c r="W81" i="26"/>
  <c r="X81" i="26"/>
  <c r="S81" i="6"/>
  <c r="V82" i="26"/>
  <c r="AN82" i="26" s="1"/>
  <c r="U82" i="26"/>
  <c r="AJ82" i="26" s="1"/>
  <c r="W82" i="26"/>
  <c r="X82" i="26"/>
  <c r="S82" i="6"/>
  <c r="AK83" i="26"/>
  <c r="AU83" i="26" s="1"/>
  <c r="AK84" i="26"/>
  <c r="AU84" i="26" s="1"/>
  <c r="V85" i="26"/>
  <c r="AN85" i="26" s="1"/>
  <c r="U85" i="26"/>
  <c r="D85" i="10" s="1"/>
  <c r="W85" i="26"/>
  <c r="X85" i="26"/>
  <c r="S85" i="6"/>
  <c r="V86" i="26"/>
  <c r="AN86" i="26" s="1"/>
  <c r="U86" i="26"/>
  <c r="AJ86" i="26" s="1"/>
  <c r="W86" i="26"/>
  <c r="F1286" i="10" s="1"/>
  <c r="X86" i="26"/>
  <c r="S86" i="6"/>
  <c r="V87" i="26"/>
  <c r="AN87" i="26" s="1"/>
  <c r="U87" i="26"/>
  <c r="AA87" i="26" s="1"/>
  <c r="W87" i="26"/>
  <c r="F1287" i="10" s="1"/>
  <c r="X87" i="26"/>
  <c r="S87" i="6"/>
  <c r="V88" i="26"/>
  <c r="AN88" i="26" s="1"/>
  <c r="U88" i="26"/>
  <c r="E88" i="6" s="1"/>
  <c r="W88" i="26"/>
  <c r="F1288" i="10" s="1"/>
  <c r="X88" i="26"/>
  <c r="S88" i="6"/>
  <c r="V89" i="26"/>
  <c r="AN89" i="26" s="1"/>
  <c r="U89" i="26"/>
  <c r="E439" i="26" s="1"/>
  <c r="X89" i="26"/>
  <c r="S89" i="6"/>
  <c r="V90" i="26"/>
  <c r="AN90" i="26" s="1"/>
  <c r="U90" i="26"/>
  <c r="W90" i="26"/>
  <c r="X90" i="26"/>
  <c r="S90" i="6"/>
  <c r="V91" i="26"/>
  <c r="AN91" i="26" s="1"/>
  <c r="U91" i="26"/>
  <c r="E91" i="9" s="1"/>
  <c r="X91" i="26"/>
  <c r="S91" i="6"/>
  <c r="V92" i="26"/>
  <c r="AN92" i="26" s="1"/>
  <c r="U92" i="26"/>
  <c r="X92" i="26"/>
  <c r="S92" i="6"/>
  <c r="V93" i="26"/>
  <c r="AN93" i="26" s="1"/>
  <c r="U93" i="26"/>
  <c r="E93" i="6" s="1"/>
  <c r="W93" i="26"/>
  <c r="X93" i="26"/>
  <c r="S93" i="6"/>
  <c r="V94" i="26"/>
  <c r="AN94" i="26" s="1"/>
  <c r="U94" i="26"/>
  <c r="AJ94" i="26" s="1"/>
  <c r="W94" i="26"/>
  <c r="F1294" i="10" s="1"/>
  <c r="X94" i="26"/>
  <c r="S94" i="6"/>
  <c r="V95" i="26"/>
  <c r="AN95" i="26" s="1"/>
  <c r="U95" i="26"/>
  <c r="X95" i="26"/>
  <c r="S95" i="6"/>
  <c r="AK96" i="26"/>
  <c r="AU96" i="26" s="1"/>
  <c r="AK97" i="26"/>
  <c r="AK98" i="26"/>
  <c r="V99" i="26"/>
  <c r="AN99" i="26" s="1"/>
  <c r="U99" i="26"/>
  <c r="E445" i="26" s="1"/>
  <c r="U445" i="26" s="1"/>
  <c r="X99" i="26"/>
  <c r="S99" i="6"/>
  <c r="AK100" i="26"/>
  <c r="V101" i="26"/>
  <c r="AN101" i="26" s="1"/>
  <c r="U101" i="26"/>
  <c r="D101" i="10" s="1"/>
  <c r="X101" i="26"/>
  <c r="V102" i="26"/>
  <c r="AN102" i="26" s="1"/>
  <c r="U102" i="26"/>
  <c r="X102" i="26"/>
  <c r="S102" i="6"/>
  <c r="V103" i="26"/>
  <c r="AN103" i="26" s="1"/>
  <c r="U103" i="26"/>
  <c r="AA103" i="26" s="1"/>
  <c r="W103" i="26"/>
  <c r="X103" i="26"/>
  <c r="S103" i="6"/>
  <c r="V104" i="26"/>
  <c r="AN104" i="26" s="1"/>
  <c r="U104" i="26"/>
  <c r="X104" i="26"/>
  <c r="S104" i="6"/>
  <c r="AK105" i="26"/>
  <c r="AK106" i="26"/>
  <c r="AU106" i="26" s="1"/>
  <c r="V107" i="26"/>
  <c r="AN107" i="26" s="1"/>
  <c r="U107" i="26"/>
  <c r="AJ107" i="26" s="1"/>
  <c r="X107" i="26"/>
  <c r="S107" i="6"/>
  <c r="V108" i="26"/>
  <c r="AN108" i="26" s="1"/>
  <c r="U108" i="26"/>
  <c r="X108" i="26"/>
  <c r="S108" i="6"/>
  <c r="V109" i="26"/>
  <c r="AN109" i="26" s="1"/>
  <c r="U109" i="26"/>
  <c r="E454" i="26" s="1"/>
  <c r="U454" i="26" s="1"/>
  <c r="X109" i="26"/>
  <c r="S109" i="6"/>
  <c r="V110" i="26"/>
  <c r="AN110" i="26" s="1"/>
  <c r="U110" i="26"/>
  <c r="W110" i="26"/>
  <c r="X110" i="26"/>
  <c r="S110" i="6"/>
  <c r="V111" i="26"/>
  <c r="AN111" i="26" s="1"/>
  <c r="U111" i="26"/>
  <c r="X111" i="26"/>
  <c r="S111" i="6"/>
  <c r="V112" i="26"/>
  <c r="AN112" i="26" s="1"/>
  <c r="U112" i="26"/>
  <c r="X112" i="26"/>
  <c r="S112" i="6"/>
  <c r="V113" i="26"/>
  <c r="AN113" i="26" s="1"/>
  <c r="U113" i="26"/>
  <c r="D113" i="10" s="1"/>
  <c r="W113" i="26"/>
  <c r="F1313" i="10" s="1"/>
  <c r="X113" i="26"/>
  <c r="S113" i="6"/>
  <c r="V114" i="26"/>
  <c r="AN114" i="26" s="1"/>
  <c r="U114" i="26"/>
  <c r="E114" i="6" s="1"/>
  <c r="W114" i="26"/>
  <c r="F1314" i="10" s="1"/>
  <c r="X114" i="26"/>
  <c r="S114" i="6"/>
  <c r="V115" i="26"/>
  <c r="AN115" i="26" s="1"/>
  <c r="U115" i="26"/>
  <c r="D115" i="10" s="1"/>
  <c r="X115" i="26"/>
  <c r="S115" i="6"/>
  <c r="V116" i="26"/>
  <c r="AN116" i="26" s="1"/>
  <c r="U116" i="26"/>
  <c r="W116" i="26"/>
  <c r="X116" i="26"/>
  <c r="S116" i="6"/>
  <c r="V117" i="26"/>
  <c r="AN117" i="26" s="1"/>
  <c r="U117" i="26"/>
  <c r="AA117" i="26" s="1"/>
  <c r="X117" i="26"/>
  <c r="S117" i="6"/>
  <c r="AK118" i="26"/>
  <c r="AU118" i="26" s="1"/>
  <c r="AK119" i="26"/>
  <c r="V120" i="26"/>
  <c r="AN120" i="26" s="1"/>
  <c r="U120" i="26"/>
  <c r="AJ120" i="26" s="1"/>
  <c r="W120" i="26"/>
  <c r="X120" i="26"/>
  <c r="S120" i="6"/>
  <c r="V121" i="26"/>
  <c r="AN121" i="26" s="1"/>
  <c r="U121" i="26"/>
  <c r="D121" i="10" s="1"/>
  <c r="X121" i="26"/>
  <c r="S121" i="6"/>
  <c r="V122" i="26"/>
  <c r="AN122" i="26" s="1"/>
  <c r="U122" i="26"/>
  <c r="X122" i="26"/>
  <c r="S122" i="6"/>
  <c r="V123" i="26"/>
  <c r="AN123" i="26" s="1"/>
  <c r="U123" i="26"/>
  <c r="E123" i="6" s="1"/>
  <c r="W123" i="26"/>
  <c r="X123" i="26"/>
  <c r="S123" i="6"/>
  <c r="AK124" i="26"/>
  <c r="AV124" i="26"/>
  <c r="AK125" i="26"/>
  <c r="AU125" i="26" s="1"/>
  <c r="AK126" i="26"/>
  <c r="AU126" i="26" s="1"/>
  <c r="V127" i="26"/>
  <c r="AN127" i="26" s="1"/>
  <c r="U127" i="26"/>
  <c r="E462" i="26" s="1"/>
  <c r="U462" i="26" s="1"/>
  <c r="X127" i="26"/>
  <c r="S127" i="6"/>
  <c r="V128" i="26"/>
  <c r="AN128" i="26" s="1"/>
  <c r="U128" i="26"/>
  <c r="W128" i="26"/>
  <c r="X128" i="26"/>
  <c r="S128" i="6"/>
  <c r="V129" i="26"/>
  <c r="AN129" i="26" s="1"/>
  <c r="U129" i="26"/>
  <c r="D129" i="10" s="1"/>
  <c r="W129" i="26"/>
  <c r="F1329" i="10" s="1"/>
  <c r="X129" i="26"/>
  <c r="S129" i="6"/>
  <c r="V130" i="26"/>
  <c r="AN130" i="26" s="1"/>
  <c r="U130" i="26"/>
  <c r="E463" i="26" s="1"/>
  <c r="U463" i="26" s="1"/>
  <c r="X130" i="26"/>
  <c r="S130" i="6"/>
  <c r="AK131" i="26"/>
  <c r="AU131" i="26" s="1"/>
  <c r="AV131" i="26"/>
  <c r="AK132" i="26"/>
  <c r="AU132" i="26" s="1"/>
  <c r="V133" i="26"/>
  <c r="AN133" i="26" s="1"/>
  <c r="U133" i="26"/>
  <c r="E133" i="6" s="1"/>
  <c r="W133" i="26"/>
  <c r="F1333" i="10" s="1"/>
  <c r="X133" i="26"/>
  <c r="S133" i="6"/>
  <c r="V134" i="26"/>
  <c r="AN134" i="26" s="1"/>
  <c r="U134" i="26"/>
  <c r="X134" i="26"/>
  <c r="S134" i="6"/>
  <c r="V135" i="26"/>
  <c r="AN135" i="26" s="1"/>
  <c r="U135" i="26"/>
  <c r="E135" i="6" s="1"/>
  <c r="X135" i="26"/>
  <c r="S135" i="6"/>
  <c r="AK136" i="26"/>
  <c r="AK137" i="26"/>
  <c r="AU137" i="26" s="1"/>
  <c r="V138" i="26"/>
  <c r="AN138" i="26" s="1"/>
  <c r="U138" i="26"/>
  <c r="E138" i="6" s="1"/>
  <c r="W138" i="26"/>
  <c r="F1338" i="10" s="1"/>
  <c r="X138" i="26"/>
  <c r="S138" i="6"/>
  <c r="V139" i="26"/>
  <c r="AN139" i="26" s="1"/>
  <c r="U139" i="26"/>
  <c r="E139" i="9" s="1"/>
  <c r="X139" i="26"/>
  <c r="S139" i="6"/>
  <c r="V140" i="26"/>
  <c r="AN140" i="26" s="1"/>
  <c r="U140" i="26"/>
  <c r="E140" i="9" s="1"/>
  <c r="W140" i="26"/>
  <c r="X140" i="26"/>
  <c r="S140" i="6"/>
  <c r="AK141" i="26"/>
  <c r="V142" i="26"/>
  <c r="AN142" i="26" s="1"/>
  <c r="U142" i="26"/>
  <c r="AJ142" i="26" s="1"/>
  <c r="W142" i="26"/>
  <c r="F1342" i="10" s="1"/>
  <c r="X142" i="26"/>
  <c r="S142" i="6"/>
  <c r="AK143" i="26"/>
  <c r="AU143" i="26" s="1"/>
  <c r="AK144" i="26"/>
  <c r="AK145" i="26"/>
  <c r="AU145" i="26" s="1"/>
  <c r="V146" i="26"/>
  <c r="AN146" i="26" s="1"/>
  <c r="U146" i="26"/>
  <c r="X146" i="26"/>
  <c r="S146" i="6"/>
  <c r="V147" i="26"/>
  <c r="AN147" i="26" s="1"/>
  <c r="U147" i="26"/>
  <c r="X147" i="26"/>
  <c r="S147" i="6"/>
  <c r="AK148" i="26"/>
  <c r="AK149" i="26"/>
  <c r="V150" i="26"/>
  <c r="AN150" i="26" s="1"/>
  <c r="U150" i="26"/>
  <c r="E150" i="9" s="1"/>
  <c r="X150" i="26"/>
  <c r="S150" i="6"/>
  <c r="V151" i="26"/>
  <c r="AN151" i="26" s="1"/>
  <c r="U151" i="26"/>
  <c r="D151" i="10" s="1"/>
  <c r="X151" i="26"/>
  <c r="S151" i="6"/>
  <c r="AK152" i="26"/>
  <c r="AU152" i="26" s="1"/>
  <c r="AK153" i="26"/>
  <c r="V154" i="26"/>
  <c r="AN154" i="26" s="1"/>
  <c r="U154" i="26"/>
  <c r="W154" i="26"/>
  <c r="F1354" i="10" s="1"/>
  <c r="X154" i="26"/>
  <c r="S154" i="6"/>
  <c r="V155" i="26"/>
  <c r="AN155" i="26" s="1"/>
  <c r="U155" i="26"/>
  <c r="E155" i="6" s="1"/>
  <c r="X155" i="26"/>
  <c r="S155" i="6"/>
  <c r="AK156" i="26"/>
  <c r="AU156" i="26" s="1"/>
  <c r="V157" i="26"/>
  <c r="AN157" i="26" s="1"/>
  <c r="U157" i="26"/>
  <c r="X157" i="26"/>
  <c r="S157" i="6"/>
  <c r="AK158" i="26"/>
  <c r="AU158" i="26" s="1"/>
  <c r="AK159" i="26"/>
  <c r="AU159" i="26" s="1"/>
  <c r="V160" i="26"/>
  <c r="AN160" i="26" s="1"/>
  <c r="U160" i="26"/>
  <c r="AA160" i="26" s="1"/>
  <c r="W160" i="26"/>
  <c r="X160" i="26"/>
  <c r="S160" i="6"/>
  <c r="V161" i="26"/>
  <c r="AN161" i="26" s="1"/>
  <c r="U161" i="26"/>
  <c r="W161" i="26"/>
  <c r="F1361" i="10" s="1"/>
  <c r="X161" i="26"/>
  <c r="S161" i="6"/>
  <c r="U162" i="26"/>
  <c r="D162" i="10" s="1"/>
  <c r="V162" i="26"/>
  <c r="AN162" i="26" s="1"/>
  <c r="X162" i="26"/>
  <c r="S162" i="6"/>
  <c r="V164" i="26"/>
  <c r="AN164" i="26" s="1"/>
  <c r="U164" i="26"/>
  <c r="E164" i="6" s="1"/>
  <c r="W164" i="26"/>
  <c r="X164" i="26"/>
  <c r="S164" i="6"/>
  <c r="V165" i="26"/>
  <c r="AN165" i="26" s="1"/>
  <c r="U165" i="26"/>
  <c r="W165" i="26"/>
  <c r="X165" i="26"/>
  <c r="S165" i="6"/>
  <c r="V166" i="26"/>
  <c r="AN166" i="26" s="1"/>
  <c r="U166" i="26"/>
  <c r="W166" i="26"/>
  <c r="F1366" i="10" s="1"/>
  <c r="X166" i="26"/>
  <c r="S166" i="6"/>
  <c r="V167" i="26"/>
  <c r="AN167" i="26" s="1"/>
  <c r="U167" i="26"/>
  <c r="W167" i="26"/>
  <c r="F1367" i="10" s="1"/>
  <c r="X167" i="26"/>
  <c r="S167" i="6"/>
  <c r="AK168" i="26"/>
  <c r="AU168" i="26" s="1"/>
  <c r="AK169" i="26"/>
  <c r="AU169" i="26" s="1"/>
  <c r="V170" i="26"/>
  <c r="AN170" i="26" s="1"/>
  <c r="U170" i="26"/>
  <c r="S170" i="6"/>
  <c r="V171" i="26"/>
  <c r="AN171" i="26" s="1"/>
  <c r="U171" i="26"/>
  <c r="D171" i="10" s="1"/>
  <c r="X171" i="26"/>
  <c r="S171" i="6"/>
  <c r="V172" i="26"/>
  <c r="AN172" i="26" s="1"/>
  <c r="U172" i="26"/>
  <c r="D172" i="10" s="1"/>
  <c r="X172" i="26"/>
  <c r="S172" i="6"/>
  <c r="AK173" i="26"/>
  <c r="V174" i="26"/>
  <c r="AN174" i="26" s="1"/>
  <c r="S174" i="6"/>
  <c r="U174" i="26"/>
  <c r="X174" i="26"/>
  <c r="V175" i="26"/>
  <c r="AN175" i="26" s="1"/>
  <c r="U175" i="26"/>
  <c r="E175" i="6" s="1"/>
  <c r="W175" i="26"/>
  <c r="F1375" i="10" s="1"/>
  <c r="X175" i="26"/>
  <c r="S175" i="6"/>
  <c r="V176" i="26"/>
  <c r="AN176" i="26" s="1"/>
  <c r="U176" i="26"/>
  <c r="D176" i="10" s="1"/>
  <c r="X176" i="26"/>
  <c r="S176" i="6"/>
  <c r="V178" i="26"/>
  <c r="AN178" i="26" s="1"/>
  <c r="U178" i="26"/>
  <c r="W178" i="26"/>
  <c r="F1378" i="10" s="1"/>
  <c r="X178" i="26"/>
  <c r="S178" i="6"/>
  <c r="V179" i="26"/>
  <c r="AN179" i="26" s="1"/>
  <c r="U179" i="26"/>
  <c r="W179" i="26"/>
  <c r="X179" i="26"/>
  <c r="S179" i="6"/>
  <c r="V180" i="26"/>
  <c r="AN180" i="26" s="1"/>
  <c r="U180" i="26"/>
  <c r="AA180" i="26" s="1"/>
  <c r="W180" i="26"/>
  <c r="X180" i="26"/>
  <c r="S180" i="6"/>
  <c r="V181" i="26"/>
  <c r="AN181" i="26" s="1"/>
  <c r="U181" i="26"/>
  <c r="W181" i="26"/>
  <c r="X181" i="26"/>
  <c r="S181" i="6"/>
  <c r="V182" i="26"/>
  <c r="AN182" i="26" s="1"/>
  <c r="U182" i="26"/>
  <c r="W182" i="26"/>
  <c r="F1382" i="10" s="1"/>
  <c r="X182" i="26"/>
  <c r="S182" i="6"/>
  <c r="V183" i="26"/>
  <c r="AN183" i="26" s="1"/>
  <c r="U183" i="26"/>
  <c r="E183" i="6" s="1"/>
  <c r="W183" i="26"/>
  <c r="X183" i="26"/>
  <c r="S183" i="6"/>
  <c r="V184" i="26"/>
  <c r="AN184" i="26" s="1"/>
  <c r="U184" i="26"/>
  <c r="W184" i="26"/>
  <c r="X184" i="26"/>
  <c r="S184" i="6"/>
  <c r="V185" i="26"/>
  <c r="AN185" i="26" s="1"/>
  <c r="U185" i="26"/>
  <c r="W185" i="26"/>
  <c r="X185" i="26"/>
  <c r="S185" i="6"/>
  <c r="V186" i="26"/>
  <c r="AN186" i="26" s="1"/>
  <c r="U186" i="26"/>
  <c r="E186" i="6" s="1"/>
  <c r="W186" i="26"/>
  <c r="F1386" i="10" s="1"/>
  <c r="X186" i="26"/>
  <c r="S186" i="6"/>
  <c r="V187" i="26"/>
  <c r="AN187" i="26" s="1"/>
  <c r="U187" i="26"/>
  <c r="E187" i="9" s="1"/>
  <c r="W187" i="26"/>
  <c r="X187" i="26"/>
  <c r="S187" i="6"/>
  <c r="AK188" i="26"/>
  <c r="AU188" i="26" s="1"/>
  <c r="AK189" i="26"/>
  <c r="AU189" i="26" s="1"/>
  <c r="V190" i="26"/>
  <c r="AN190" i="26" s="1"/>
  <c r="U190" i="26"/>
  <c r="E190" i="6" s="1"/>
  <c r="X190" i="26"/>
  <c r="S190" i="6"/>
  <c r="V191" i="26"/>
  <c r="AN191" i="26" s="1"/>
  <c r="U191" i="26"/>
  <c r="X191" i="26"/>
  <c r="S191" i="6"/>
  <c r="V192" i="26"/>
  <c r="AN192" i="26" s="1"/>
  <c r="U192" i="26"/>
  <c r="X192" i="26"/>
  <c r="S192" i="6"/>
  <c r="V193" i="26"/>
  <c r="AN193" i="26" s="1"/>
  <c r="U193" i="26"/>
  <c r="S193" i="6"/>
  <c r="V194" i="26"/>
  <c r="AN194" i="26" s="1"/>
  <c r="U194" i="26"/>
  <c r="W194" i="26"/>
  <c r="X194" i="26"/>
  <c r="S194" i="6"/>
  <c r="AK195" i="26"/>
  <c r="AV195" i="26"/>
  <c r="AK196" i="26"/>
  <c r="AU196" i="26" s="1"/>
  <c r="V197" i="26"/>
  <c r="AN197" i="26" s="1"/>
  <c r="U197" i="26"/>
  <c r="AJ197" i="26" s="1"/>
  <c r="W197" i="26"/>
  <c r="X197" i="26"/>
  <c r="S197" i="6"/>
  <c r="V198" i="26"/>
  <c r="AN198" i="26" s="1"/>
  <c r="U198" i="26"/>
  <c r="AA198" i="26" s="1"/>
  <c r="X198" i="26"/>
  <c r="S198" i="6"/>
  <c r="V199" i="26"/>
  <c r="AN199" i="26" s="1"/>
  <c r="U199" i="26"/>
  <c r="E486" i="26" s="1"/>
  <c r="U486" i="26" s="1"/>
  <c r="X199" i="26"/>
  <c r="S199" i="6"/>
  <c r="V200" i="26"/>
  <c r="AN200" i="26" s="1"/>
  <c r="U200" i="26"/>
  <c r="E200" i="9" s="1"/>
  <c r="X200" i="26"/>
  <c r="S200" i="6"/>
  <c r="V201" i="26"/>
  <c r="AN201" i="26" s="1"/>
  <c r="U201" i="26"/>
  <c r="W201" i="26"/>
  <c r="F1401" i="10" s="1"/>
  <c r="X201" i="26"/>
  <c r="S201" i="6"/>
  <c r="V202" i="26"/>
  <c r="AN202" i="26" s="1"/>
  <c r="U202" i="26"/>
  <c r="D202" i="10" s="1"/>
  <c r="X202" i="26"/>
  <c r="S202" i="6"/>
  <c r="V203" i="26"/>
  <c r="AN203" i="26" s="1"/>
  <c r="U203" i="26"/>
  <c r="E203" i="9" s="1"/>
  <c r="X203" i="26"/>
  <c r="S203" i="6"/>
  <c r="V204" i="26"/>
  <c r="AN204" i="26" s="1"/>
  <c r="U204" i="26"/>
  <c r="D204" i="10" s="1"/>
  <c r="W204" i="26"/>
  <c r="X204" i="26"/>
  <c r="S204" i="6"/>
  <c r="V205" i="26"/>
  <c r="AN205" i="26" s="1"/>
  <c r="U205" i="26"/>
  <c r="E205" i="9" s="1"/>
  <c r="X205" i="26"/>
  <c r="S205" i="6"/>
  <c r="AK206" i="26"/>
  <c r="AU206" i="26" s="1"/>
  <c r="AK207" i="26"/>
  <c r="AU207" i="26" s="1"/>
  <c r="V208" i="26"/>
  <c r="AN208" i="26" s="1"/>
  <c r="U208" i="26"/>
  <c r="E208" i="6" s="1"/>
  <c r="X208" i="26"/>
  <c r="S208" i="6"/>
  <c r="V209" i="26"/>
  <c r="AN209" i="26" s="1"/>
  <c r="U209" i="26"/>
  <c r="AA209" i="26" s="1"/>
  <c r="X209" i="26"/>
  <c r="S209" i="6"/>
  <c r="V211" i="26"/>
  <c r="AN211" i="26" s="1"/>
  <c r="U211" i="26"/>
  <c r="AA211" i="26" s="1"/>
  <c r="W211" i="26"/>
  <c r="F1411" i="10" s="1"/>
  <c r="X211" i="26"/>
  <c r="S211" i="6"/>
  <c r="AK212" i="26"/>
  <c r="AU212" i="26" s="1"/>
  <c r="V213" i="26"/>
  <c r="V493" i="26" s="1"/>
  <c r="U213" i="26"/>
  <c r="AA213" i="26" s="1"/>
  <c r="X213" i="26"/>
  <c r="S213" i="6"/>
  <c r="V214" i="26"/>
  <c r="U214" i="26"/>
  <c r="AJ214" i="26" s="1"/>
  <c r="X214" i="26"/>
  <c r="V215" i="26"/>
  <c r="U215" i="26"/>
  <c r="E495" i="26" s="1"/>
  <c r="X215" i="26"/>
  <c r="S215" i="6"/>
  <c r="V216" i="26"/>
  <c r="U216" i="26"/>
  <c r="W216" i="26"/>
  <c r="X216" i="26"/>
  <c r="S216" i="6"/>
  <c r="AK217" i="26"/>
  <c r="AU217" i="26" s="1"/>
  <c r="AV217" i="26"/>
  <c r="AK218" i="26"/>
  <c r="AU218" i="26" s="1"/>
  <c r="AK219" i="26"/>
  <c r="AU219" i="26" s="1"/>
  <c r="V220" i="26"/>
  <c r="U220" i="26"/>
  <c r="E220" i="6" s="1"/>
  <c r="W220" i="26"/>
  <c r="F1420" i="10" s="1"/>
  <c r="X220" i="26"/>
  <c r="S220" i="6"/>
  <c r="V221" i="26"/>
  <c r="U221" i="26"/>
  <c r="D221" i="10" s="1"/>
  <c r="X221" i="26"/>
  <c r="S221" i="6"/>
  <c r="V222" i="26"/>
  <c r="U222" i="26"/>
  <c r="W222" i="26"/>
  <c r="F1422" i="10" s="1"/>
  <c r="X222" i="26"/>
  <c r="S222" i="6"/>
  <c r="V223" i="26"/>
  <c r="U223" i="26"/>
  <c r="AJ223" i="26" s="1"/>
  <c r="W223" i="26"/>
  <c r="X223" i="26"/>
  <c r="S223" i="6"/>
  <c r="V224" i="26"/>
  <c r="U224" i="26"/>
  <c r="X224" i="26"/>
  <c r="S224" i="6"/>
  <c r="V225" i="26"/>
  <c r="U225" i="26"/>
  <c r="D225" i="10" s="1"/>
  <c r="X225" i="26"/>
  <c r="S225" i="6"/>
  <c r="V226" i="26"/>
  <c r="U226" i="26"/>
  <c r="X226" i="26"/>
  <c r="S226" i="6"/>
  <c r="V227" i="26"/>
  <c r="U227" i="26"/>
  <c r="W227" i="26"/>
  <c r="F1427" i="10" s="1"/>
  <c r="X227" i="26"/>
  <c r="V228" i="26"/>
  <c r="U228" i="26"/>
  <c r="E228" i="9" s="1"/>
  <c r="W228" i="26"/>
  <c r="X228" i="26"/>
  <c r="S228" i="6"/>
  <c r="V229" i="26"/>
  <c r="U229" i="26"/>
  <c r="W229" i="26"/>
  <c r="F1429" i="10" s="1"/>
  <c r="X229" i="26"/>
  <c r="S229" i="6"/>
  <c r="V230" i="26"/>
  <c r="U230" i="26"/>
  <c r="AJ230" i="26" s="1"/>
  <c r="W230" i="26"/>
  <c r="F1430" i="10" s="1"/>
  <c r="X230" i="26"/>
  <c r="S230" i="6"/>
  <c r="V231" i="26"/>
  <c r="U231" i="26"/>
  <c r="W231" i="26"/>
  <c r="X231" i="26"/>
  <c r="S231" i="6"/>
  <c r="V232" i="26"/>
  <c r="U232" i="26"/>
  <c r="W232" i="26"/>
  <c r="X232" i="26"/>
  <c r="S232" i="6"/>
  <c r="V233" i="26"/>
  <c r="U233" i="26"/>
  <c r="AA233" i="26" s="1"/>
  <c r="W233" i="26"/>
  <c r="F1433" i="10" s="1"/>
  <c r="X233" i="26"/>
  <c r="S233" i="6"/>
  <c r="V234" i="26"/>
  <c r="U234" i="26"/>
  <c r="AA234" i="26" s="1"/>
  <c r="W234" i="26"/>
  <c r="X234" i="26"/>
  <c r="S234" i="6"/>
  <c r="AK235" i="26"/>
  <c r="AK236" i="26"/>
  <c r="V237" i="26"/>
  <c r="U237" i="26"/>
  <c r="E237" i="9" s="1"/>
  <c r="X237" i="26"/>
  <c r="S237" i="6"/>
  <c r="V238" i="26"/>
  <c r="U238" i="26"/>
  <c r="AJ238" i="26" s="1"/>
  <c r="X238" i="26"/>
  <c r="S238" i="6"/>
  <c r="V239" i="26"/>
  <c r="E239" i="10" s="1"/>
  <c r="U239" i="26"/>
  <c r="E239" i="6" s="1"/>
  <c r="X239" i="26"/>
  <c r="S239" i="6"/>
  <c r="V240" i="26"/>
  <c r="AN240" i="26" s="1"/>
  <c r="U240" i="26"/>
  <c r="AA240" i="26" s="1"/>
  <c r="W240" i="26"/>
  <c r="X240" i="26"/>
  <c r="S240" i="6"/>
  <c r="AK241" i="26"/>
  <c r="AU241" i="26" s="1"/>
  <c r="AK242" i="26"/>
  <c r="V243" i="26"/>
  <c r="U243" i="26"/>
  <c r="E505" i="26" s="1"/>
  <c r="U505" i="26" s="1"/>
  <c r="X243" i="26"/>
  <c r="S243" i="6"/>
  <c r="V244" i="26"/>
  <c r="U244" i="26"/>
  <c r="E244" i="6" s="1"/>
  <c r="X244" i="26"/>
  <c r="S244" i="6"/>
  <c r="V245" i="26"/>
  <c r="U245" i="26"/>
  <c r="X245" i="26"/>
  <c r="S245" i="6"/>
  <c r="V246" i="26"/>
  <c r="U246" i="26"/>
  <c r="D246" i="10" s="1"/>
  <c r="X246" i="26"/>
  <c r="S246" i="6"/>
  <c r="V247" i="26"/>
  <c r="U247" i="26"/>
  <c r="X247" i="26"/>
  <c r="S247" i="6"/>
  <c r="V248" i="26"/>
  <c r="U248" i="26"/>
  <c r="AA248" i="26" s="1"/>
  <c r="X248" i="26"/>
  <c r="S248" i="6"/>
  <c r="V249" i="26"/>
  <c r="U249" i="26"/>
  <c r="E515" i="26" s="1"/>
  <c r="X249" i="26"/>
  <c r="S249" i="6"/>
  <c r="V250" i="26"/>
  <c r="U250" i="26"/>
  <c r="AA250" i="26" s="1"/>
  <c r="W250" i="26"/>
  <c r="X250" i="26"/>
  <c r="S250" i="6"/>
  <c r="V251" i="26"/>
  <c r="U251" i="26"/>
  <c r="X251" i="26"/>
  <c r="S251" i="6"/>
  <c r="AK252" i="26"/>
  <c r="AV252" i="26"/>
  <c r="AK253" i="26"/>
  <c r="AU253" i="26" s="1"/>
  <c r="V254" i="26"/>
  <c r="AF254" i="26" s="1"/>
  <c r="AN254" i="26" s="1"/>
  <c r="U254" i="26"/>
  <c r="E254" i="9" s="1"/>
  <c r="X254" i="26"/>
  <c r="S254" i="6"/>
  <c r="V255" i="26"/>
  <c r="U255" i="26"/>
  <c r="AA255" i="26" s="1"/>
  <c r="S255" i="6"/>
  <c r="AK256" i="26"/>
  <c r="AU256" i="26" s="1"/>
  <c r="AK257" i="26"/>
  <c r="AU257" i="26" s="1"/>
  <c r="V258" i="26"/>
  <c r="AN258" i="26" s="1"/>
  <c r="U258" i="26"/>
  <c r="E258" i="6" s="1"/>
  <c r="X258" i="26"/>
  <c r="S258" i="6"/>
  <c r="V259" i="26"/>
  <c r="AN259" i="26" s="1"/>
  <c r="U259" i="26"/>
  <c r="E259" i="6" s="1"/>
  <c r="X259" i="26"/>
  <c r="S259" i="6"/>
  <c r="V260" i="26"/>
  <c r="AN260" i="26" s="1"/>
  <c r="U260" i="26"/>
  <c r="E260" i="9" s="1"/>
  <c r="W260" i="26"/>
  <c r="X260" i="26"/>
  <c r="S260" i="6"/>
  <c r="V261" i="26"/>
  <c r="AN261" i="26" s="1"/>
  <c r="U261" i="26"/>
  <c r="AJ261" i="26" s="1"/>
  <c r="W261" i="26"/>
  <c r="X261" i="26"/>
  <c r="S261" i="6"/>
  <c r="V262" i="26"/>
  <c r="AN262" i="26" s="1"/>
  <c r="U262" i="26"/>
  <c r="D262" i="10" s="1"/>
  <c r="W262" i="26"/>
  <c r="X262" i="26"/>
  <c r="S262" i="6"/>
  <c r="AK264" i="26"/>
  <c r="V265" i="26"/>
  <c r="AN265" i="26" s="1"/>
  <c r="U265" i="26"/>
  <c r="D265" i="10" s="1"/>
  <c r="W265" i="26"/>
  <c r="F1465" i="10" s="1"/>
  <c r="X265" i="26"/>
  <c r="S265" i="6"/>
  <c r="V266" i="26"/>
  <c r="AN266" i="26" s="1"/>
  <c r="U266" i="26"/>
  <c r="AA266" i="26" s="1"/>
  <c r="X266" i="26"/>
  <c r="S266" i="6"/>
  <c r="V267" i="26"/>
  <c r="AN267" i="26" s="1"/>
  <c r="U267" i="26"/>
  <c r="AJ267" i="26" s="1"/>
  <c r="W267" i="26"/>
  <c r="F1467" i="10" s="1"/>
  <c r="X267" i="26"/>
  <c r="S267" i="6"/>
  <c r="AK269" i="26"/>
  <c r="AU269" i="26" s="1"/>
  <c r="V270" i="26"/>
  <c r="AN270" i="26" s="1"/>
  <c r="U270" i="26"/>
  <c r="D270" i="10" s="1"/>
  <c r="S270" i="6"/>
  <c r="V271" i="26"/>
  <c r="AN271" i="26" s="1"/>
  <c r="U271" i="26"/>
  <c r="W271" i="26"/>
  <c r="X271" i="26"/>
  <c r="S271" i="6"/>
  <c r="V274" i="26"/>
  <c r="AN274" i="26" s="1"/>
  <c r="U274" i="26"/>
  <c r="X274" i="26"/>
  <c r="S274" i="6"/>
  <c r="V275" i="26"/>
  <c r="AN275" i="26" s="1"/>
  <c r="U275" i="26"/>
  <c r="D275" i="10" s="1"/>
  <c r="X275" i="26"/>
  <c r="S275" i="6"/>
  <c r="V276" i="26"/>
  <c r="AN276" i="26" s="1"/>
  <c r="U276" i="26"/>
  <c r="AA276" i="26" s="1"/>
  <c r="X276" i="26"/>
  <c r="S276" i="6"/>
  <c r="AK277" i="26"/>
  <c r="AU277" i="26" s="1"/>
  <c r="AK278" i="26"/>
  <c r="AU278" i="26" s="1"/>
  <c r="V279" i="26"/>
  <c r="AN279" i="26" s="1"/>
  <c r="U279" i="26"/>
  <c r="W279" i="26"/>
  <c r="F1479" i="10" s="1"/>
  <c r="X279" i="26"/>
  <c r="S279" i="6"/>
  <c r="V280" i="26"/>
  <c r="AN280" i="26" s="1"/>
  <c r="U280" i="26"/>
  <c r="W280" i="26"/>
  <c r="F1480" i="10" s="1"/>
  <c r="X280" i="26"/>
  <c r="S280" i="6"/>
  <c r="V281" i="26"/>
  <c r="AN281" i="26" s="1"/>
  <c r="U281" i="26"/>
  <c r="E281" i="6" s="1"/>
  <c r="W281" i="26"/>
  <c r="F1481" i="10" s="1"/>
  <c r="X281" i="26"/>
  <c r="S281" i="6"/>
  <c r="V282" i="26"/>
  <c r="AN282" i="26" s="1"/>
  <c r="U282" i="26"/>
  <c r="AJ282" i="26" s="1"/>
  <c r="X282" i="26"/>
  <c r="S282" i="6"/>
  <c r="V283" i="26"/>
  <c r="AN283" i="26" s="1"/>
  <c r="U283" i="26"/>
  <c r="W283" i="26"/>
  <c r="X283" i="26"/>
  <c r="S283" i="6"/>
  <c r="V284" i="26"/>
  <c r="AN284" i="26" s="1"/>
  <c r="U284" i="26"/>
  <c r="AA284" i="26" s="1"/>
  <c r="W284" i="26"/>
  <c r="X284" i="26"/>
  <c r="S284" i="6"/>
  <c r="V285" i="26"/>
  <c r="AN285" i="26" s="1"/>
  <c r="U285" i="26"/>
  <c r="D285" i="10" s="1"/>
  <c r="W285" i="26"/>
  <c r="F1485" i="10" s="1"/>
  <c r="X285" i="26"/>
  <c r="S285" i="6"/>
  <c r="V286" i="26"/>
  <c r="AN286" i="26" s="1"/>
  <c r="U286" i="26"/>
  <c r="AA286" i="26" s="1"/>
  <c r="W286" i="26"/>
  <c r="X286" i="26"/>
  <c r="S286" i="6"/>
  <c r="V287" i="26"/>
  <c r="AN287" i="26" s="1"/>
  <c r="U287" i="26"/>
  <c r="D287" i="10" s="1"/>
  <c r="W287" i="26"/>
  <c r="X287" i="26"/>
  <c r="S287" i="6"/>
  <c r="AK288" i="26"/>
  <c r="AK289" i="26"/>
  <c r="AU289" i="26" s="1"/>
  <c r="V290" i="26"/>
  <c r="AN290" i="26" s="1"/>
  <c r="U290" i="26"/>
  <c r="E290" i="9" s="1"/>
  <c r="W290" i="26"/>
  <c r="F1490" i="10" s="1"/>
  <c r="X290" i="26"/>
  <c r="S290" i="6"/>
  <c r="V291" i="26"/>
  <c r="AN291" i="26" s="1"/>
  <c r="U291" i="26"/>
  <c r="AJ291" i="26" s="1"/>
  <c r="W291" i="26"/>
  <c r="F1491" i="10" s="1"/>
  <c r="X291" i="26"/>
  <c r="S291" i="6"/>
  <c r="V292" i="26"/>
  <c r="AN292" i="26" s="1"/>
  <c r="U292" i="26"/>
  <c r="W292" i="26"/>
  <c r="X292" i="26"/>
  <c r="S292" i="6"/>
  <c r="V293" i="26"/>
  <c r="AN293" i="26" s="1"/>
  <c r="U293" i="26"/>
  <c r="D293" i="10" s="1"/>
  <c r="W293" i="26"/>
  <c r="F1493" i="10" s="1"/>
  <c r="X293" i="26"/>
  <c r="S293" i="6"/>
  <c r="V294" i="26"/>
  <c r="AN294" i="26" s="1"/>
  <c r="U294" i="26"/>
  <c r="AA294" i="26" s="1"/>
  <c r="W294" i="26"/>
  <c r="F1494" i="10" s="1"/>
  <c r="X294" i="26"/>
  <c r="S294" i="6"/>
  <c r="V295" i="26"/>
  <c r="AN295" i="26" s="1"/>
  <c r="U295" i="26"/>
  <c r="E295" i="9" s="1"/>
  <c r="W295" i="26"/>
  <c r="X295" i="26"/>
  <c r="S295" i="6"/>
  <c r="V296" i="26"/>
  <c r="AN296" i="26" s="1"/>
  <c r="U296" i="26"/>
  <c r="W296" i="26"/>
  <c r="F1496" i="10" s="1"/>
  <c r="X296" i="26"/>
  <c r="S296" i="6"/>
  <c r="V297" i="26"/>
  <c r="AN297" i="26" s="1"/>
  <c r="U297" i="26"/>
  <c r="AJ297" i="26" s="1"/>
  <c r="W297" i="26"/>
  <c r="X297" i="26"/>
  <c r="S297" i="6"/>
  <c r="AK298" i="26"/>
  <c r="AV298" i="26" s="1"/>
  <c r="AK299" i="26"/>
  <c r="AU299" i="26" s="1"/>
  <c r="V300" i="26"/>
  <c r="AN300" i="26" s="1"/>
  <c r="U300" i="26"/>
  <c r="X300" i="26"/>
  <c r="S300" i="6"/>
  <c r="AK301" i="26"/>
  <c r="AU301" i="26" s="1"/>
  <c r="AV301" i="26"/>
  <c r="AK302" i="26"/>
  <c r="AU302" i="26" s="1"/>
  <c r="V303" i="26"/>
  <c r="AN303" i="26" s="1"/>
  <c r="U303" i="26"/>
  <c r="E303" i="6" s="1"/>
  <c r="W303" i="26"/>
  <c r="F1503" i="10" s="1"/>
  <c r="X303" i="26"/>
  <c r="S303" i="6"/>
  <c r="V304" i="26"/>
  <c r="V533" i="26" s="1"/>
  <c r="U304" i="26"/>
  <c r="X304" i="26"/>
  <c r="V305" i="26"/>
  <c r="AN305" i="26" s="1"/>
  <c r="U305" i="26"/>
  <c r="X305" i="26"/>
  <c r="S305" i="6"/>
  <c r="V306" i="26"/>
  <c r="AN306" i="26" s="1"/>
  <c r="U306" i="26"/>
  <c r="W306" i="26"/>
  <c r="F1506" i="10" s="1"/>
  <c r="X306" i="26"/>
  <c r="S306" i="6"/>
  <c r="AK307" i="26"/>
  <c r="AK308" i="26"/>
  <c r="AU308" i="26" s="1"/>
  <c r="V309" i="26"/>
  <c r="AN309" i="26" s="1"/>
  <c r="U309" i="26"/>
  <c r="E309" i="6" s="1"/>
  <c r="W309" i="26"/>
  <c r="X309" i="26"/>
  <c r="S309" i="6"/>
  <c r="V310" i="26"/>
  <c r="AN310" i="26" s="1"/>
  <c r="U310" i="26"/>
  <c r="X310" i="26"/>
  <c r="S310" i="6"/>
  <c r="AK311" i="26"/>
  <c r="AU311" i="26" s="1"/>
  <c r="AK312" i="26"/>
  <c r="AU312" i="26" s="1"/>
  <c r="V313" i="26"/>
  <c r="AN313" i="26" s="1"/>
  <c r="U313" i="26"/>
  <c r="E313" i="9" s="1"/>
  <c r="W313" i="26"/>
  <c r="X313" i="26"/>
  <c r="S313" i="6"/>
  <c r="AK314" i="26"/>
  <c r="AU314" i="26" s="1"/>
  <c r="AK315" i="26"/>
  <c r="AU315" i="26" s="1"/>
  <c r="AV315" i="26"/>
  <c r="V316" i="26"/>
  <c r="AN316" i="26" s="1"/>
  <c r="U316" i="26"/>
  <c r="E316" i="6" s="1"/>
  <c r="W316" i="26"/>
  <c r="F1516" i="10" s="1"/>
  <c r="X316" i="26"/>
  <c r="S316" i="6"/>
  <c r="AK317" i="26"/>
  <c r="AV317" i="26" s="1"/>
  <c r="AK318" i="26"/>
  <c r="AU318" i="26" s="1"/>
  <c r="AV318" i="26"/>
  <c r="V319" i="26"/>
  <c r="AN319" i="26" s="1"/>
  <c r="U319" i="26"/>
  <c r="X319" i="26"/>
  <c r="S319" i="6"/>
  <c r="V320" i="26"/>
  <c r="AN320" i="26" s="1"/>
  <c r="U320" i="26"/>
  <c r="E537" i="26" s="1"/>
  <c r="E506" i="6" s="1"/>
  <c r="X320" i="26"/>
  <c r="S320" i="6"/>
  <c r="V321" i="26"/>
  <c r="AN321" i="26" s="1"/>
  <c r="U321" i="26"/>
  <c r="E321" i="9" s="1"/>
  <c r="X321" i="26"/>
  <c r="S321" i="6"/>
  <c r="AK322" i="26"/>
  <c r="AU322" i="26" s="1"/>
  <c r="AK323" i="26"/>
  <c r="AU323" i="26" s="1"/>
  <c r="AK324" i="26"/>
  <c r="AK325" i="26"/>
  <c r="AU325" i="26" s="1"/>
  <c r="V326" i="26"/>
  <c r="AN326" i="26" s="1"/>
  <c r="U326" i="26"/>
  <c r="W326" i="26"/>
  <c r="F1526" i="10" s="1"/>
  <c r="X326" i="26"/>
  <c r="S326" i="6"/>
  <c r="V327" i="26"/>
  <c r="AN327" i="26" s="1"/>
  <c r="U327" i="26"/>
  <c r="E327" i="6" s="1"/>
  <c r="W327" i="26"/>
  <c r="F1527" i="10" s="1"/>
  <c r="X327" i="26"/>
  <c r="S327" i="6"/>
  <c r="V328" i="26"/>
  <c r="AN328" i="26" s="1"/>
  <c r="U328" i="26"/>
  <c r="AJ328" i="26" s="1"/>
  <c r="W328" i="26"/>
  <c r="F1528" i="10" s="1"/>
  <c r="X328" i="26"/>
  <c r="S328" i="6"/>
  <c r="V329" i="26"/>
  <c r="AN329" i="26" s="1"/>
  <c r="U329" i="26"/>
  <c r="W329" i="26"/>
  <c r="X329" i="26"/>
  <c r="S329" i="6"/>
  <c r="V330" i="26"/>
  <c r="AN330" i="26" s="1"/>
  <c r="U330" i="26"/>
  <c r="W330" i="26"/>
  <c r="F1530" i="10" s="1"/>
  <c r="X330" i="26"/>
  <c r="S330" i="6"/>
  <c r="AK332" i="26"/>
  <c r="V333" i="26"/>
  <c r="AN333" i="26" s="1"/>
  <c r="U333" i="26"/>
  <c r="W333" i="26"/>
  <c r="F1533" i="10" s="1"/>
  <c r="X333" i="26"/>
  <c r="S333" i="6"/>
  <c r="V334" i="26"/>
  <c r="AN334" i="26" s="1"/>
  <c r="U334" i="26"/>
  <c r="W334" i="26"/>
  <c r="X334" i="26"/>
  <c r="S334" i="6"/>
  <c r="V335" i="26"/>
  <c r="AN335" i="26" s="1"/>
  <c r="U335" i="26"/>
  <c r="E335" i="9" s="1"/>
  <c r="W335" i="26"/>
  <c r="F1535" i="10" s="1"/>
  <c r="X335" i="26"/>
  <c r="S335" i="6"/>
  <c r="V336" i="26"/>
  <c r="AN336" i="26" s="1"/>
  <c r="U336" i="26"/>
  <c r="W336" i="26"/>
  <c r="F1536" i="10" s="1"/>
  <c r="X336" i="26"/>
  <c r="S336" i="6"/>
  <c r="V337" i="26"/>
  <c r="AN337" i="26" s="1"/>
  <c r="U337" i="26"/>
  <c r="D337" i="10" s="1"/>
  <c r="W337" i="26"/>
  <c r="F1537" i="10" s="1"/>
  <c r="X337" i="26"/>
  <c r="S337" i="6"/>
  <c r="AK339" i="26"/>
  <c r="AU339" i="26" s="1"/>
  <c r="V340" i="26"/>
  <c r="AN340" i="26" s="1"/>
  <c r="U340" i="26"/>
  <c r="E340" i="9" s="1"/>
  <c r="W340" i="26"/>
  <c r="F1540" i="10" s="1"/>
  <c r="X340" i="26"/>
  <c r="S340" i="6"/>
  <c r="V341" i="26"/>
  <c r="AN341" i="26" s="1"/>
  <c r="U341" i="26"/>
  <c r="W341" i="26"/>
  <c r="F1541" i="10" s="1"/>
  <c r="X341" i="26"/>
  <c r="S341" i="6"/>
  <c r="V342" i="26"/>
  <c r="AN342" i="26" s="1"/>
  <c r="U342" i="26"/>
  <c r="E342" i="6" s="1"/>
  <c r="W342" i="26"/>
  <c r="F1542" i="10" s="1"/>
  <c r="X342" i="26"/>
  <c r="S342" i="6"/>
  <c r="V343" i="26"/>
  <c r="AN343" i="26" s="1"/>
  <c r="U343" i="26"/>
  <c r="D343" i="10" s="1"/>
  <c r="W343" i="26"/>
  <c r="X343" i="26"/>
  <c r="S343" i="6"/>
  <c r="V344" i="26"/>
  <c r="AN344" i="26" s="1"/>
  <c r="U344" i="26"/>
  <c r="E344" i="6" s="1"/>
  <c r="W344" i="26"/>
  <c r="X344" i="26"/>
  <c r="S344" i="6"/>
  <c r="AK345" i="26"/>
  <c r="AU345" i="26" s="1"/>
  <c r="AK346" i="26"/>
  <c r="AU346" i="26" s="1"/>
  <c r="V347" i="26"/>
  <c r="AN347" i="26" s="1"/>
  <c r="U347" i="26"/>
  <c r="W347" i="26"/>
  <c r="X347" i="26"/>
  <c r="S347" i="6"/>
  <c r="V348" i="26"/>
  <c r="AN348" i="26" s="1"/>
  <c r="U348" i="26"/>
  <c r="D348" i="10" s="1"/>
  <c r="W348" i="26"/>
  <c r="X348" i="26"/>
  <c r="S348" i="6"/>
  <c r="V349" i="26"/>
  <c r="AN349" i="26" s="1"/>
  <c r="U349" i="26"/>
  <c r="AA349" i="26" s="1"/>
  <c r="W349" i="26"/>
  <c r="X349" i="26"/>
  <c r="S349" i="6"/>
  <c r="V350" i="26"/>
  <c r="AN350" i="26" s="1"/>
  <c r="U350" i="26"/>
  <c r="AJ350" i="26" s="1"/>
  <c r="W350" i="26"/>
  <c r="F1550" i="10" s="1"/>
  <c r="X350" i="26"/>
  <c r="S350" i="6"/>
  <c r="V351" i="26"/>
  <c r="AN351" i="26" s="1"/>
  <c r="U351" i="26"/>
  <c r="D351" i="10" s="1"/>
  <c r="W351" i="26"/>
  <c r="X351" i="26"/>
  <c r="S351" i="6"/>
  <c r="AK352" i="26"/>
  <c r="AU352" i="26" s="1"/>
  <c r="AK353" i="26"/>
  <c r="AU353" i="26" s="1"/>
  <c r="V354" i="26"/>
  <c r="AN354" i="26" s="1"/>
  <c r="U354" i="26"/>
  <c r="W354" i="26"/>
  <c r="F1554" i="10" s="1"/>
  <c r="X354" i="26"/>
  <c r="S354" i="6"/>
  <c r="V355" i="26"/>
  <c r="AN355" i="26" s="1"/>
  <c r="U355" i="26"/>
  <c r="E355" i="9" s="1"/>
  <c r="W355" i="26"/>
  <c r="F1555" i="10" s="1"/>
  <c r="X355" i="26"/>
  <c r="S355" i="6"/>
  <c r="V356" i="26"/>
  <c r="AN356" i="26" s="1"/>
  <c r="U356" i="26"/>
  <c r="AA356" i="26" s="1"/>
  <c r="W356" i="26"/>
  <c r="F1556" i="10" s="1"/>
  <c r="X356" i="26"/>
  <c r="S356" i="6"/>
  <c r="V357" i="26"/>
  <c r="AN357" i="26" s="1"/>
  <c r="U357" i="26"/>
  <c r="D357" i="10" s="1"/>
  <c r="W357" i="26"/>
  <c r="X357" i="26"/>
  <c r="S357" i="6"/>
  <c r="V358" i="26"/>
  <c r="AN358" i="26" s="1"/>
  <c r="U358" i="26"/>
  <c r="W358" i="26"/>
  <c r="F1558" i="10" s="1"/>
  <c r="X358" i="26"/>
  <c r="S358" i="6"/>
  <c r="AK359" i="26"/>
  <c r="AK360" i="26"/>
  <c r="AU360" i="26" s="1"/>
  <c r="V361" i="26"/>
  <c r="AN361" i="26" s="1"/>
  <c r="U361" i="26"/>
  <c r="W361" i="26"/>
  <c r="X361" i="26"/>
  <c r="S361" i="6"/>
  <c r="V362" i="26"/>
  <c r="AN362" i="26" s="1"/>
  <c r="U362" i="26"/>
  <c r="W362" i="26"/>
  <c r="X362" i="26"/>
  <c r="S362" i="6"/>
  <c r="V363" i="26"/>
  <c r="AN363" i="26" s="1"/>
  <c r="U363" i="26"/>
  <c r="AJ363" i="26" s="1"/>
  <c r="W363" i="26"/>
  <c r="F1563" i="10" s="1"/>
  <c r="X363" i="26"/>
  <c r="S363" i="6"/>
  <c r="V364" i="26"/>
  <c r="AN364" i="26" s="1"/>
  <c r="U364" i="26"/>
  <c r="AJ364" i="26" s="1"/>
  <c r="W364" i="26"/>
  <c r="X364" i="26"/>
  <c r="S364" i="6"/>
  <c r="V365" i="26"/>
  <c r="AN365" i="26" s="1"/>
  <c r="U365" i="26"/>
  <c r="D365" i="10" s="1"/>
  <c r="W365" i="26"/>
  <c r="X365" i="26"/>
  <c r="S365" i="6"/>
  <c r="AK366" i="26"/>
  <c r="AU366" i="26" s="1"/>
  <c r="AK367" i="26"/>
  <c r="AU367" i="26" s="1"/>
  <c r="AV367" i="26"/>
  <c r="V369" i="26"/>
  <c r="AN369" i="26" s="1"/>
  <c r="U369" i="26"/>
  <c r="E369" i="6" s="1"/>
  <c r="W369" i="26"/>
  <c r="X369" i="26"/>
  <c r="S368" i="6"/>
  <c r="S369" i="6"/>
  <c r="V370" i="26"/>
  <c r="AN370" i="26" s="1"/>
  <c r="U370" i="26"/>
  <c r="D370" i="10" s="1"/>
  <c r="W370" i="26"/>
  <c r="X370" i="26"/>
  <c r="S370" i="6"/>
  <c r="V371" i="26"/>
  <c r="AN371" i="26" s="1"/>
  <c r="U371" i="26"/>
  <c r="W371" i="26"/>
  <c r="F1571" i="10" s="1"/>
  <c r="X371" i="26"/>
  <c r="S371" i="6"/>
  <c r="V372" i="26"/>
  <c r="AN372" i="26" s="1"/>
  <c r="U372" i="26"/>
  <c r="D372" i="10" s="1"/>
  <c r="W372" i="26"/>
  <c r="X372" i="26"/>
  <c r="S372" i="6"/>
  <c r="AK373" i="26"/>
  <c r="AU373" i="26" s="1"/>
  <c r="AK374" i="26"/>
  <c r="AU374" i="26" s="1"/>
  <c r="V375" i="26"/>
  <c r="U375" i="26"/>
  <c r="E375" i="6" s="1"/>
  <c r="W375" i="26"/>
  <c r="X375" i="26"/>
  <c r="S375" i="6"/>
  <c r="V376" i="26"/>
  <c r="U376" i="26"/>
  <c r="W376" i="26"/>
  <c r="F1576" i="10" s="1"/>
  <c r="X376" i="26"/>
  <c r="S376" i="6"/>
  <c r="V377" i="26"/>
  <c r="U377" i="26"/>
  <c r="E377" i="9" s="1"/>
  <c r="W377" i="26"/>
  <c r="F1577" i="10" s="1"/>
  <c r="X377" i="26"/>
  <c r="S377" i="6"/>
  <c r="V378" i="26"/>
  <c r="AF378" i="26" s="1"/>
  <c r="AN378" i="26" s="1"/>
  <c r="U378" i="26"/>
  <c r="AJ378" i="26" s="1"/>
  <c r="W378" i="26"/>
  <c r="F1578" i="10" s="1"/>
  <c r="X378" i="26"/>
  <c r="S378" i="6"/>
  <c r="AK380" i="26"/>
  <c r="AU380" i="26" s="1"/>
  <c r="V381" i="26"/>
  <c r="AN381" i="26" s="1"/>
  <c r="U381" i="26"/>
  <c r="W381" i="26"/>
  <c r="F1581" i="10" s="1"/>
  <c r="X381" i="26"/>
  <c r="S381" i="6"/>
  <c r="V382" i="26"/>
  <c r="AN382" i="26" s="1"/>
  <c r="U382" i="26"/>
  <c r="D382" i="10" s="1"/>
  <c r="W382" i="26"/>
  <c r="X382" i="26"/>
  <c r="S382" i="6"/>
  <c r="V383" i="26"/>
  <c r="AN383" i="26" s="1"/>
  <c r="U383" i="26"/>
  <c r="W383" i="26"/>
  <c r="F1583" i="10" s="1"/>
  <c r="X383" i="26"/>
  <c r="S383" i="6"/>
  <c r="V384" i="26"/>
  <c r="AN384" i="26" s="1"/>
  <c r="U384" i="26"/>
  <c r="AA384" i="26" s="1"/>
  <c r="W384" i="26"/>
  <c r="X384" i="26"/>
  <c r="S384" i="6"/>
  <c r="V386" i="26"/>
  <c r="AN386" i="26" s="1"/>
  <c r="U386" i="26"/>
  <c r="W386" i="26"/>
  <c r="F1586" i="10" s="1"/>
  <c r="X386" i="26"/>
  <c r="S386" i="6"/>
  <c r="V387" i="26"/>
  <c r="AN387" i="26" s="1"/>
  <c r="U387" i="26"/>
  <c r="E387" i="6" s="1"/>
  <c r="W387" i="26"/>
  <c r="F1587" i="10" s="1"/>
  <c r="X387" i="26"/>
  <c r="S387" i="6"/>
  <c r="V388" i="26"/>
  <c r="AN388" i="26" s="1"/>
  <c r="U388" i="26"/>
  <c r="W388" i="26"/>
  <c r="X388" i="26"/>
  <c r="S388" i="6"/>
  <c r="V389" i="26"/>
  <c r="AN389" i="26" s="1"/>
  <c r="U389" i="26"/>
  <c r="AJ389" i="26" s="1"/>
  <c r="W389" i="26"/>
  <c r="X389" i="26"/>
  <c r="S389" i="6"/>
  <c r="AK390" i="26"/>
  <c r="AU390" i="26" s="1"/>
  <c r="K6" i="11"/>
  <c r="B60" i="11" s="1"/>
  <c r="J15" i="27"/>
  <c r="A15" i="27" s="1"/>
  <c r="K15" i="27"/>
  <c r="B15" i="27" s="1"/>
  <c r="L15" i="27"/>
  <c r="D15" i="27" s="1"/>
  <c r="M15" i="27"/>
  <c r="C15" i="27" s="1"/>
  <c r="N15" i="27"/>
  <c r="O15" i="27"/>
  <c r="P15" i="27"/>
  <c r="Q15" i="27"/>
  <c r="R15" i="27"/>
  <c r="S15" i="27"/>
  <c r="T15" i="27"/>
  <c r="U15" i="27"/>
  <c r="AC13" i="26"/>
  <c r="AB13" i="26"/>
  <c r="AK13" i="26"/>
  <c r="AU13" i="26" s="1"/>
  <c r="J16" i="27"/>
  <c r="A16" i="27" s="1"/>
  <c r="K16" i="27"/>
  <c r="B16" i="27" s="1"/>
  <c r="L16" i="27"/>
  <c r="D16" i="27" s="1"/>
  <c r="M16" i="27"/>
  <c r="C16" i="27" s="1"/>
  <c r="N16" i="27"/>
  <c r="O16" i="27"/>
  <c r="P16" i="27"/>
  <c r="Q16" i="27"/>
  <c r="R16" i="27"/>
  <c r="S16" i="27"/>
  <c r="T16" i="27"/>
  <c r="U16" i="27"/>
  <c r="J17" i="27"/>
  <c r="A17" i="27" s="1"/>
  <c r="K17" i="27"/>
  <c r="B17" i="27" s="1"/>
  <c r="L17" i="27"/>
  <c r="D17" i="27" s="1"/>
  <c r="M17" i="27"/>
  <c r="C17" i="27" s="1"/>
  <c r="N17" i="27"/>
  <c r="O17" i="27"/>
  <c r="P17" i="27"/>
  <c r="Q17" i="27"/>
  <c r="R17" i="27"/>
  <c r="S17" i="27"/>
  <c r="T17" i="27"/>
  <c r="U17" i="27"/>
  <c r="J18" i="27"/>
  <c r="A18" i="27" s="1"/>
  <c r="K18" i="27"/>
  <c r="B18" i="27" s="1"/>
  <c r="L18" i="27"/>
  <c r="D18" i="27" s="1"/>
  <c r="M18" i="27"/>
  <c r="C18" i="27" s="1"/>
  <c r="N18" i="27"/>
  <c r="O18" i="27"/>
  <c r="P18" i="27"/>
  <c r="Q18" i="27"/>
  <c r="R18" i="27"/>
  <c r="S18" i="27"/>
  <c r="T18" i="27"/>
  <c r="U18" i="27"/>
  <c r="J19" i="27"/>
  <c r="A19" i="27" s="1"/>
  <c r="K19" i="27"/>
  <c r="B19" i="27" s="1"/>
  <c r="L19" i="27"/>
  <c r="D19" i="27" s="1"/>
  <c r="M19" i="27"/>
  <c r="C19" i="27" s="1"/>
  <c r="N19" i="27"/>
  <c r="O19" i="27"/>
  <c r="P19" i="27"/>
  <c r="Q19" i="27"/>
  <c r="R19" i="27"/>
  <c r="S19" i="27"/>
  <c r="T19" i="27"/>
  <c r="U19" i="27"/>
  <c r="W19" i="26"/>
  <c r="F1219" i="10" s="1"/>
  <c r="X19" i="26"/>
  <c r="V19" i="26"/>
  <c r="E19" i="10" s="1"/>
  <c r="U19" i="26"/>
  <c r="J20" i="27"/>
  <c r="A20" i="27" s="1"/>
  <c r="K20" i="27"/>
  <c r="B20" i="27" s="1"/>
  <c r="L20" i="27"/>
  <c r="D20" i="27" s="1"/>
  <c r="M20" i="27"/>
  <c r="C20" i="27" s="1"/>
  <c r="N20" i="27"/>
  <c r="O20" i="27"/>
  <c r="P20" i="27"/>
  <c r="Q20" i="27"/>
  <c r="R20" i="27"/>
  <c r="S20" i="27"/>
  <c r="T20" i="27"/>
  <c r="U20" i="27"/>
  <c r="AC20" i="26"/>
  <c r="AB20" i="26"/>
  <c r="J21" i="27"/>
  <c r="A21" i="27" s="1"/>
  <c r="K21" i="27"/>
  <c r="B21" i="27" s="1"/>
  <c r="L21" i="27"/>
  <c r="D21" i="27" s="1"/>
  <c r="M21" i="27"/>
  <c r="C21" i="27" s="1"/>
  <c r="N21" i="27"/>
  <c r="O21" i="27"/>
  <c r="P21" i="27"/>
  <c r="Q21" i="27"/>
  <c r="R21" i="27"/>
  <c r="S21" i="27"/>
  <c r="T21" i="27"/>
  <c r="U21" i="27"/>
  <c r="J22" i="27"/>
  <c r="A22" i="27" s="1"/>
  <c r="K22" i="27"/>
  <c r="B22" i="27" s="1"/>
  <c r="L22" i="27"/>
  <c r="D22" i="27" s="1"/>
  <c r="M22" i="27"/>
  <c r="C22" i="27" s="1"/>
  <c r="N22" i="27"/>
  <c r="O22" i="27"/>
  <c r="P22" i="27"/>
  <c r="Q22" i="27"/>
  <c r="R22" i="27"/>
  <c r="S22" i="27"/>
  <c r="T22" i="27"/>
  <c r="U22" i="27"/>
  <c r="J23" i="27"/>
  <c r="A23" i="27" s="1"/>
  <c r="K23" i="27"/>
  <c r="B23" i="27" s="1"/>
  <c r="L23" i="27"/>
  <c r="D23" i="27" s="1"/>
  <c r="M23" i="27"/>
  <c r="C23" i="27" s="1"/>
  <c r="N23" i="27"/>
  <c r="O23" i="27"/>
  <c r="P23" i="27"/>
  <c r="Q23" i="27"/>
  <c r="R23" i="27"/>
  <c r="S23" i="27"/>
  <c r="T23" i="27"/>
  <c r="U23" i="27"/>
  <c r="J24" i="27"/>
  <c r="A24" i="27" s="1"/>
  <c r="K24" i="27"/>
  <c r="B24" i="27" s="1"/>
  <c r="L24" i="27"/>
  <c r="D24" i="27" s="1"/>
  <c r="M24" i="27"/>
  <c r="C24" i="27" s="1"/>
  <c r="N24" i="27"/>
  <c r="O24" i="27"/>
  <c r="P24" i="27"/>
  <c r="Q24" i="27"/>
  <c r="R24" i="27"/>
  <c r="S24" i="27"/>
  <c r="T24" i="27"/>
  <c r="U24" i="27"/>
  <c r="J25" i="27"/>
  <c r="A25" i="27" s="1"/>
  <c r="K25" i="27"/>
  <c r="B25" i="27" s="1"/>
  <c r="L25" i="27"/>
  <c r="D25" i="27" s="1"/>
  <c r="M25" i="27"/>
  <c r="C25" i="27" s="1"/>
  <c r="N25" i="27"/>
  <c r="O25" i="27"/>
  <c r="P25" i="27"/>
  <c r="Q25" i="27"/>
  <c r="R25" i="27"/>
  <c r="S25" i="27"/>
  <c r="T25" i="27"/>
  <c r="U25" i="27"/>
  <c r="J26" i="27"/>
  <c r="A26" i="27" s="1"/>
  <c r="K26" i="27"/>
  <c r="B26" i="27" s="1"/>
  <c r="L26" i="27"/>
  <c r="D26" i="27" s="1"/>
  <c r="M26" i="27"/>
  <c r="C26" i="27" s="1"/>
  <c r="N26" i="27"/>
  <c r="O26" i="27"/>
  <c r="P26" i="27"/>
  <c r="Q26" i="27"/>
  <c r="R26" i="27"/>
  <c r="S26" i="27"/>
  <c r="T26" i="27"/>
  <c r="U26" i="27"/>
  <c r="J27" i="27"/>
  <c r="A27" i="27" s="1"/>
  <c r="K27" i="27"/>
  <c r="B27" i="27" s="1"/>
  <c r="L27" i="27"/>
  <c r="D27" i="27" s="1"/>
  <c r="M27" i="27"/>
  <c r="C27" i="27" s="1"/>
  <c r="N27" i="27"/>
  <c r="O27" i="27"/>
  <c r="P27" i="27"/>
  <c r="Q27" i="27"/>
  <c r="R27" i="27"/>
  <c r="S27" i="27"/>
  <c r="T27" i="27"/>
  <c r="U27" i="27"/>
  <c r="J28" i="27"/>
  <c r="A28" i="27" s="1"/>
  <c r="K28" i="27"/>
  <c r="B28" i="27" s="1"/>
  <c r="L28" i="27"/>
  <c r="D28" i="27" s="1"/>
  <c r="M28" i="27"/>
  <c r="C28" i="27" s="1"/>
  <c r="N28" i="27"/>
  <c r="O28" i="27"/>
  <c r="P28" i="27"/>
  <c r="Q28" i="27"/>
  <c r="R28" i="27"/>
  <c r="S28" i="27"/>
  <c r="T28" i="27"/>
  <c r="U28" i="27"/>
  <c r="J29" i="27"/>
  <c r="A29" i="27" s="1"/>
  <c r="K29" i="27"/>
  <c r="B29" i="27" s="1"/>
  <c r="L29" i="27"/>
  <c r="D29" i="27" s="1"/>
  <c r="M29" i="27"/>
  <c r="C29" i="27" s="1"/>
  <c r="N29" i="27"/>
  <c r="O29" i="27"/>
  <c r="P29" i="27"/>
  <c r="Q29" i="27"/>
  <c r="R29" i="27"/>
  <c r="S29" i="27"/>
  <c r="T29" i="27"/>
  <c r="U29" i="27"/>
  <c r="J30" i="27"/>
  <c r="A30" i="27" s="1"/>
  <c r="K30" i="27"/>
  <c r="B30" i="27" s="1"/>
  <c r="L30" i="27"/>
  <c r="D30" i="27" s="1"/>
  <c r="M30" i="27"/>
  <c r="C30" i="27" s="1"/>
  <c r="N30" i="27"/>
  <c r="O30" i="27"/>
  <c r="P30" i="27"/>
  <c r="Q30" i="27"/>
  <c r="R30" i="27"/>
  <c r="S30" i="27"/>
  <c r="T30" i="27"/>
  <c r="U30" i="27"/>
  <c r="J31" i="27"/>
  <c r="A31" i="27" s="1"/>
  <c r="K31" i="27"/>
  <c r="B31" i="27" s="1"/>
  <c r="L31" i="27"/>
  <c r="D31" i="27" s="1"/>
  <c r="M31" i="27"/>
  <c r="C31" i="27" s="1"/>
  <c r="N31" i="27"/>
  <c r="O31" i="27"/>
  <c r="P31" i="27"/>
  <c r="Q31" i="27"/>
  <c r="R31" i="27"/>
  <c r="S31" i="27"/>
  <c r="T31" i="27"/>
  <c r="U31" i="27"/>
  <c r="J32" i="27"/>
  <c r="A32" i="27" s="1"/>
  <c r="K32" i="27"/>
  <c r="B32" i="27" s="1"/>
  <c r="L32" i="27"/>
  <c r="D32" i="27" s="1"/>
  <c r="M32" i="27"/>
  <c r="C32" i="27" s="1"/>
  <c r="N32" i="27"/>
  <c r="O32" i="27"/>
  <c r="P32" i="27"/>
  <c r="Q32" i="27"/>
  <c r="R32" i="27"/>
  <c r="S32" i="27"/>
  <c r="T32" i="27"/>
  <c r="U32" i="27"/>
  <c r="W32" i="26"/>
  <c r="X32" i="26"/>
  <c r="V32" i="26"/>
  <c r="AF32" i="26" s="1"/>
  <c r="U32" i="26"/>
  <c r="D32" i="10" s="1"/>
  <c r="J33" i="27"/>
  <c r="A33" i="27" s="1"/>
  <c r="K33" i="27"/>
  <c r="B33" i="27" s="1"/>
  <c r="L33" i="27"/>
  <c r="D33" i="27" s="1"/>
  <c r="M33" i="27"/>
  <c r="C33" i="27" s="1"/>
  <c r="N33" i="27"/>
  <c r="O33" i="27"/>
  <c r="P33" i="27"/>
  <c r="Q33" i="27"/>
  <c r="R33" i="27"/>
  <c r="S33" i="27"/>
  <c r="T33" i="27"/>
  <c r="U33" i="27"/>
  <c r="AC33" i="26"/>
  <c r="AB33" i="26"/>
  <c r="J34" i="27"/>
  <c r="A34" i="27" s="1"/>
  <c r="K34" i="27"/>
  <c r="B34" i="27" s="1"/>
  <c r="L34" i="27"/>
  <c r="D34" i="27" s="1"/>
  <c r="M34" i="27"/>
  <c r="C34" i="27" s="1"/>
  <c r="N34" i="27"/>
  <c r="O34" i="27"/>
  <c r="P34" i="27"/>
  <c r="Q34" i="27"/>
  <c r="R34" i="27"/>
  <c r="S34" i="27"/>
  <c r="T34" i="27"/>
  <c r="U34" i="27"/>
  <c r="J35" i="27"/>
  <c r="A35" i="27" s="1"/>
  <c r="K35" i="27"/>
  <c r="B35" i="27" s="1"/>
  <c r="L35" i="27"/>
  <c r="D35" i="27" s="1"/>
  <c r="M35" i="27"/>
  <c r="C35" i="27" s="1"/>
  <c r="N35" i="27"/>
  <c r="O35" i="27"/>
  <c r="P35" i="27"/>
  <c r="Q35" i="27"/>
  <c r="R35" i="27"/>
  <c r="S35" i="27"/>
  <c r="T35" i="27"/>
  <c r="U35" i="27"/>
  <c r="J36" i="27"/>
  <c r="A36" i="27" s="1"/>
  <c r="K36" i="27"/>
  <c r="B36" i="27" s="1"/>
  <c r="L36" i="27"/>
  <c r="D36" i="27" s="1"/>
  <c r="M36" i="27"/>
  <c r="C36" i="27" s="1"/>
  <c r="N36" i="27"/>
  <c r="O36" i="27"/>
  <c r="P36" i="27"/>
  <c r="Q36" i="27"/>
  <c r="R36" i="27"/>
  <c r="S36" i="27"/>
  <c r="T36" i="27"/>
  <c r="U36" i="27"/>
  <c r="J37" i="27"/>
  <c r="A37" i="27" s="1"/>
  <c r="K37" i="27"/>
  <c r="B37" i="27" s="1"/>
  <c r="L37" i="27"/>
  <c r="D37" i="27" s="1"/>
  <c r="M37" i="27"/>
  <c r="C37" i="27" s="1"/>
  <c r="N37" i="27"/>
  <c r="O37" i="27"/>
  <c r="P37" i="27"/>
  <c r="Q37" i="27"/>
  <c r="R37" i="27"/>
  <c r="S37" i="27"/>
  <c r="T37" i="27"/>
  <c r="U37" i="27"/>
  <c r="J38" i="27"/>
  <c r="A38" i="27" s="1"/>
  <c r="K38" i="27"/>
  <c r="B38" i="27" s="1"/>
  <c r="L38" i="27"/>
  <c r="D38" i="27" s="1"/>
  <c r="M38" i="27"/>
  <c r="C38" i="27" s="1"/>
  <c r="N38" i="27"/>
  <c r="O38" i="27"/>
  <c r="P38" i="27"/>
  <c r="Q38" i="27"/>
  <c r="R38" i="27"/>
  <c r="S38" i="27"/>
  <c r="T38" i="27"/>
  <c r="U38" i="27"/>
  <c r="J39" i="27"/>
  <c r="A39" i="27" s="1"/>
  <c r="K39" i="27"/>
  <c r="B39" i="27" s="1"/>
  <c r="L39" i="27"/>
  <c r="D39" i="27" s="1"/>
  <c r="M39" i="27"/>
  <c r="C39" i="27" s="1"/>
  <c r="N39" i="27"/>
  <c r="O39" i="27"/>
  <c r="P39" i="27"/>
  <c r="Q39" i="27"/>
  <c r="R39" i="27"/>
  <c r="S39" i="27"/>
  <c r="T39" i="27"/>
  <c r="U39" i="27"/>
  <c r="W39" i="26"/>
  <c r="F1239" i="10" s="1"/>
  <c r="X39" i="26"/>
  <c r="V39" i="26"/>
  <c r="U39" i="26"/>
  <c r="E39" i="6" s="1"/>
  <c r="J40" i="27"/>
  <c r="A40" i="27" s="1"/>
  <c r="K40" i="27"/>
  <c r="B40" i="27" s="1"/>
  <c r="L40" i="27"/>
  <c r="D40" i="27" s="1"/>
  <c r="M40" i="27"/>
  <c r="C40" i="27" s="1"/>
  <c r="N40" i="27"/>
  <c r="O40" i="27"/>
  <c r="P40" i="27"/>
  <c r="Q40" i="27"/>
  <c r="R40" i="27"/>
  <c r="S40" i="27"/>
  <c r="T40" i="27"/>
  <c r="U40" i="27"/>
  <c r="AC40" i="26"/>
  <c r="AB40" i="26"/>
  <c r="J41" i="27"/>
  <c r="A41" i="27" s="1"/>
  <c r="K41" i="27"/>
  <c r="B41" i="27" s="1"/>
  <c r="L41" i="27"/>
  <c r="D41" i="27" s="1"/>
  <c r="M41" i="27"/>
  <c r="C41" i="27" s="1"/>
  <c r="N41" i="27"/>
  <c r="O41" i="27"/>
  <c r="P41" i="27"/>
  <c r="Q41" i="27"/>
  <c r="R41" i="27"/>
  <c r="S41" i="27"/>
  <c r="T41" i="27"/>
  <c r="U41" i="27"/>
  <c r="J42" i="27"/>
  <c r="A42" i="27" s="1"/>
  <c r="K42" i="27"/>
  <c r="B42" i="27" s="1"/>
  <c r="L42" i="27"/>
  <c r="D42" i="27" s="1"/>
  <c r="M42" i="27"/>
  <c r="C42" i="27" s="1"/>
  <c r="N42" i="27"/>
  <c r="O42" i="27"/>
  <c r="P42" i="27"/>
  <c r="Q42" i="27"/>
  <c r="R42" i="27"/>
  <c r="S42" i="27"/>
  <c r="T42" i="27"/>
  <c r="U42" i="27"/>
  <c r="J43" i="27"/>
  <c r="A43" i="27" s="1"/>
  <c r="K43" i="27"/>
  <c r="B43" i="27" s="1"/>
  <c r="L43" i="27"/>
  <c r="D43" i="27" s="1"/>
  <c r="M43" i="27"/>
  <c r="C43" i="27" s="1"/>
  <c r="N43" i="27"/>
  <c r="O43" i="27"/>
  <c r="P43" i="27"/>
  <c r="Q43" i="27"/>
  <c r="R43" i="27"/>
  <c r="S43" i="27"/>
  <c r="T43" i="27"/>
  <c r="U43" i="27"/>
  <c r="J44" i="27"/>
  <c r="A44" i="27" s="1"/>
  <c r="K44" i="27"/>
  <c r="B44" i="27" s="1"/>
  <c r="L44" i="27"/>
  <c r="D44" i="27" s="1"/>
  <c r="M44" i="27"/>
  <c r="C44" i="27" s="1"/>
  <c r="N44" i="27"/>
  <c r="O44" i="27"/>
  <c r="P44" i="27"/>
  <c r="Q44" i="27"/>
  <c r="R44" i="27"/>
  <c r="S44" i="27"/>
  <c r="T44" i="27"/>
  <c r="U44" i="27"/>
  <c r="J45" i="27"/>
  <c r="A45" i="27" s="1"/>
  <c r="K45" i="27"/>
  <c r="B45" i="27" s="1"/>
  <c r="L45" i="27"/>
  <c r="D45" i="27" s="1"/>
  <c r="M45" i="27"/>
  <c r="C45" i="27" s="1"/>
  <c r="N45" i="27"/>
  <c r="O45" i="27"/>
  <c r="P45" i="27"/>
  <c r="Q45" i="27"/>
  <c r="R45" i="27"/>
  <c r="S45" i="27"/>
  <c r="T45" i="27"/>
  <c r="U45" i="27"/>
  <c r="W45" i="26"/>
  <c r="F1245" i="10" s="1"/>
  <c r="X45" i="26"/>
  <c r="V45" i="26"/>
  <c r="AF45" i="26" s="1"/>
  <c r="U45" i="26"/>
  <c r="AA45" i="26" s="1"/>
  <c r="J46" i="27"/>
  <c r="A46" i="27" s="1"/>
  <c r="K46" i="27"/>
  <c r="B46" i="27" s="1"/>
  <c r="L46" i="27"/>
  <c r="D46" i="27" s="1"/>
  <c r="M46" i="27"/>
  <c r="C46" i="27" s="1"/>
  <c r="N46" i="27"/>
  <c r="O46" i="27"/>
  <c r="P46" i="27"/>
  <c r="Q46" i="27"/>
  <c r="R46" i="27"/>
  <c r="S46" i="27"/>
  <c r="T46" i="27"/>
  <c r="U46" i="27"/>
  <c r="AC46" i="26"/>
  <c r="AB46" i="26"/>
  <c r="J47" i="27"/>
  <c r="A47" i="27" s="1"/>
  <c r="K47" i="27"/>
  <c r="B47" i="27" s="1"/>
  <c r="L47" i="27"/>
  <c r="D47" i="27" s="1"/>
  <c r="M47" i="27"/>
  <c r="C47" i="27" s="1"/>
  <c r="N47" i="27"/>
  <c r="O47" i="27"/>
  <c r="P47" i="27"/>
  <c r="Q47" i="27"/>
  <c r="R47" i="27"/>
  <c r="S47" i="27"/>
  <c r="T47" i="27"/>
  <c r="U47" i="27"/>
  <c r="AC47" i="26"/>
  <c r="AB47" i="26"/>
  <c r="J48" i="27"/>
  <c r="A48" i="27" s="1"/>
  <c r="K48" i="27"/>
  <c r="B48" i="27" s="1"/>
  <c r="L48" i="27"/>
  <c r="D48" i="27" s="1"/>
  <c r="M48" i="27"/>
  <c r="C48" i="27" s="1"/>
  <c r="N48" i="27"/>
  <c r="O48" i="27"/>
  <c r="P48" i="27"/>
  <c r="Q48" i="27"/>
  <c r="R48" i="27"/>
  <c r="S48" i="27"/>
  <c r="T48" i="27"/>
  <c r="U48" i="27"/>
  <c r="J49" i="27"/>
  <c r="A49" i="27" s="1"/>
  <c r="K49" i="27"/>
  <c r="B49" i="27" s="1"/>
  <c r="L49" i="27"/>
  <c r="D49" i="27" s="1"/>
  <c r="M49" i="27"/>
  <c r="C49" i="27" s="1"/>
  <c r="N49" i="27"/>
  <c r="O49" i="27"/>
  <c r="P49" i="27"/>
  <c r="Q49" i="27"/>
  <c r="R49" i="27"/>
  <c r="S49" i="27"/>
  <c r="T49" i="27"/>
  <c r="U49" i="27"/>
  <c r="J50" i="27"/>
  <c r="A50" i="27" s="1"/>
  <c r="K50" i="27"/>
  <c r="B50" i="27" s="1"/>
  <c r="L50" i="27"/>
  <c r="D50" i="27" s="1"/>
  <c r="M50" i="27"/>
  <c r="C50" i="27" s="1"/>
  <c r="N50" i="27"/>
  <c r="O50" i="27"/>
  <c r="P50" i="27"/>
  <c r="Q50" i="27"/>
  <c r="R50" i="27"/>
  <c r="S50" i="27"/>
  <c r="T50" i="27"/>
  <c r="U50" i="27"/>
  <c r="J51" i="27"/>
  <c r="A51" i="27" s="1"/>
  <c r="K51" i="27"/>
  <c r="B51" i="27" s="1"/>
  <c r="L51" i="27"/>
  <c r="D51" i="27" s="1"/>
  <c r="M51" i="27"/>
  <c r="C51" i="27" s="1"/>
  <c r="N51" i="27"/>
  <c r="O51" i="27"/>
  <c r="P51" i="27"/>
  <c r="Q51" i="27"/>
  <c r="R51" i="27"/>
  <c r="S51" i="27"/>
  <c r="T51" i="27"/>
  <c r="U51" i="27"/>
  <c r="AC51" i="26"/>
  <c r="AB51" i="26"/>
  <c r="J52" i="27"/>
  <c r="A52" i="27" s="1"/>
  <c r="K52" i="27"/>
  <c r="B52" i="27" s="1"/>
  <c r="L52" i="27"/>
  <c r="D52" i="27" s="1"/>
  <c r="M52" i="27"/>
  <c r="C52" i="27" s="1"/>
  <c r="N52" i="27"/>
  <c r="O52" i="27"/>
  <c r="P52" i="27"/>
  <c r="Q52" i="27"/>
  <c r="R52" i="27"/>
  <c r="S52" i="27"/>
  <c r="T52" i="27"/>
  <c r="U52" i="27"/>
  <c r="J53" i="27"/>
  <c r="A53" i="27" s="1"/>
  <c r="K53" i="27"/>
  <c r="B53" i="27" s="1"/>
  <c r="L53" i="27"/>
  <c r="D53" i="27" s="1"/>
  <c r="M53" i="27"/>
  <c r="C53" i="27" s="1"/>
  <c r="N53" i="27"/>
  <c r="O53" i="27"/>
  <c r="P53" i="27"/>
  <c r="Q53" i="27"/>
  <c r="R53" i="27"/>
  <c r="S53" i="27"/>
  <c r="T53" i="27"/>
  <c r="U53" i="27"/>
  <c r="J54" i="27"/>
  <c r="A54" i="27" s="1"/>
  <c r="K54" i="27"/>
  <c r="B54" i="27" s="1"/>
  <c r="L54" i="27"/>
  <c r="D54" i="27" s="1"/>
  <c r="M54" i="27"/>
  <c r="C54" i="27" s="1"/>
  <c r="N54" i="27"/>
  <c r="O54" i="27"/>
  <c r="P54" i="27"/>
  <c r="Q54" i="27"/>
  <c r="R54" i="27"/>
  <c r="S54" i="27"/>
  <c r="T54" i="27"/>
  <c r="U54" i="27"/>
  <c r="J55" i="27"/>
  <c r="A55" i="27" s="1"/>
  <c r="K55" i="27"/>
  <c r="B55" i="27" s="1"/>
  <c r="L55" i="27"/>
  <c r="D55" i="27" s="1"/>
  <c r="M55" i="27"/>
  <c r="C55" i="27" s="1"/>
  <c r="N55" i="27"/>
  <c r="O55" i="27"/>
  <c r="P55" i="27"/>
  <c r="Q55" i="27"/>
  <c r="R55" i="27"/>
  <c r="S55" i="27"/>
  <c r="T55" i="27"/>
  <c r="U55" i="27"/>
  <c r="W55" i="26"/>
  <c r="F1255" i="10" s="1"/>
  <c r="X55" i="26"/>
  <c r="V55" i="26"/>
  <c r="U55" i="26"/>
  <c r="D55" i="10" s="1"/>
  <c r="J56" i="27"/>
  <c r="A56" i="27" s="1"/>
  <c r="K56" i="27"/>
  <c r="B56" i="27" s="1"/>
  <c r="L56" i="27"/>
  <c r="D56" i="27" s="1"/>
  <c r="M56" i="27"/>
  <c r="C56" i="27" s="1"/>
  <c r="N56" i="27"/>
  <c r="O56" i="27"/>
  <c r="P56" i="27"/>
  <c r="Q56" i="27"/>
  <c r="R56" i="27"/>
  <c r="S56" i="27"/>
  <c r="T56" i="27"/>
  <c r="U56" i="27"/>
  <c r="AC56" i="26"/>
  <c r="AB56" i="26"/>
  <c r="J57" i="27"/>
  <c r="A57" i="27" s="1"/>
  <c r="K57" i="27"/>
  <c r="B57" i="27" s="1"/>
  <c r="L57" i="27"/>
  <c r="D57" i="27" s="1"/>
  <c r="M57" i="27"/>
  <c r="C57" i="27" s="1"/>
  <c r="N57" i="27"/>
  <c r="O57" i="27"/>
  <c r="P57" i="27"/>
  <c r="Q57" i="27"/>
  <c r="R57" i="27"/>
  <c r="S57" i="27"/>
  <c r="T57" i="27"/>
  <c r="U57" i="27"/>
  <c r="J58" i="27"/>
  <c r="A58" i="27" s="1"/>
  <c r="K58" i="27"/>
  <c r="B58" i="27" s="1"/>
  <c r="L58" i="27"/>
  <c r="D58" i="27" s="1"/>
  <c r="M58" i="27"/>
  <c r="C58" i="27" s="1"/>
  <c r="N58" i="27"/>
  <c r="O58" i="27"/>
  <c r="P58" i="27"/>
  <c r="Q58" i="27"/>
  <c r="R58" i="27"/>
  <c r="S58" i="27"/>
  <c r="T58" i="27"/>
  <c r="U58" i="27"/>
  <c r="J59" i="27"/>
  <c r="A59" i="27" s="1"/>
  <c r="K59" i="27"/>
  <c r="B59" i="27" s="1"/>
  <c r="L59" i="27"/>
  <c r="D59" i="27" s="1"/>
  <c r="M59" i="27"/>
  <c r="C59" i="27" s="1"/>
  <c r="N59" i="27"/>
  <c r="O59" i="27"/>
  <c r="P59" i="27"/>
  <c r="Q59" i="27"/>
  <c r="R59" i="27"/>
  <c r="S59" i="27"/>
  <c r="T59" i="27"/>
  <c r="U59" i="27"/>
  <c r="J60" i="27"/>
  <c r="A60" i="27" s="1"/>
  <c r="K60" i="27"/>
  <c r="B60" i="27" s="1"/>
  <c r="L60" i="27"/>
  <c r="D60" i="27" s="1"/>
  <c r="M60" i="27"/>
  <c r="C60" i="27" s="1"/>
  <c r="N60" i="27"/>
  <c r="O60" i="27"/>
  <c r="P60" i="27"/>
  <c r="Q60" i="27"/>
  <c r="R60" i="27"/>
  <c r="S60" i="27"/>
  <c r="T60" i="27"/>
  <c r="U60" i="27"/>
  <c r="J61" i="27"/>
  <c r="A61" i="27" s="1"/>
  <c r="K61" i="27"/>
  <c r="B61" i="27" s="1"/>
  <c r="L61" i="27"/>
  <c r="D61" i="27" s="1"/>
  <c r="M61" i="27"/>
  <c r="C61" i="27" s="1"/>
  <c r="N61" i="27"/>
  <c r="O61" i="27"/>
  <c r="P61" i="27"/>
  <c r="Q61" i="27"/>
  <c r="R61" i="27"/>
  <c r="S61" i="27"/>
  <c r="T61" i="27"/>
  <c r="U61" i="27"/>
  <c r="J62" i="27"/>
  <c r="A62" i="27" s="1"/>
  <c r="K62" i="27"/>
  <c r="B62" i="27" s="1"/>
  <c r="L62" i="27"/>
  <c r="D62" i="27" s="1"/>
  <c r="M62" i="27"/>
  <c r="C62" i="27" s="1"/>
  <c r="N62" i="27"/>
  <c r="O62" i="27"/>
  <c r="P62" i="27"/>
  <c r="Q62" i="27"/>
  <c r="R62" i="27"/>
  <c r="S62" i="27"/>
  <c r="T62" i="27"/>
  <c r="U62" i="27"/>
  <c r="J63" i="27"/>
  <c r="A63" i="27" s="1"/>
  <c r="K63" i="27"/>
  <c r="B63" i="27" s="1"/>
  <c r="L63" i="27"/>
  <c r="D63" i="27" s="1"/>
  <c r="M63" i="27"/>
  <c r="C63" i="27" s="1"/>
  <c r="N63" i="27"/>
  <c r="O63" i="27"/>
  <c r="P63" i="27"/>
  <c r="Q63" i="27"/>
  <c r="R63" i="27"/>
  <c r="S63" i="27"/>
  <c r="T63" i="27"/>
  <c r="U63" i="27"/>
  <c r="J64" i="27"/>
  <c r="A64" i="27" s="1"/>
  <c r="K64" i="27"/>
  <c r="B64" i="27" s="1"/>
  <c r="L64" i="27"/>
  <c r="D64" i="27" s="1"/>
  <c r="M64" i="27"/>
  <c r="C64" i="27" s="1"/>
  <c r="N64" i="27"/>
  <c r="O64" i="27"/>
  <c r="P64" i="27"/>
  <c r="Q64" i="27"/>
  <c r="R64" i="27"/>
  <c r="S64" i="27"/>
  <c r="T64" i="27"/>
  <c r="U64" i="27"/>
  <c r="J65" i="27"/>
  <c r="A65" i="27" s="1"/>
  <c r="K65" i="27"/>
  <c r="B65" i="27" s="1"/>
  <c r="L65" i="27"/>
  <c r="D65" i="27" s="1"/>
  <c r="M65" i="27"/>
  <c r="C65" i="27" s="1"/>
  <c r="N65" i="27"/>
  <c r="O65" i="27"/>
  <c r="P65" i="27"/>
  <c r="Q65" i="27"/>
  <c r="R65" i="27"/>
  <c r="S65" i="27"/>
  <c r="T65" i="27"/>
  <c r="U65" i="27"/>
  <c r="W65" i="26"/>
  <c r="X65" i="26"/>
  <c r="V65" i="26"/>
  <c r="U65" i="26"/>
  <c r="J66" i="27"/>
  <c r="A66" i="27" s="1"/>
  <c r="K66" i="27"/>
  <c r="B66" i="27" s="1"/>
  <c r="L66" i="27"/>
  <c r="D66" i="27" s="1"/>
  <c r="M66" i="27"/>
  <c r="C66" i="27" s="1"/>
  <c r="N66" i="27"/>
  <c r="O66" i="27"/>
  <c r="P66" i="27"/>
  <c r="Q66" i="27"/>
  <c r="R66" i="27"/>
  <c r="S66" i="27"/>
  <c r="T66" i="27"/>
  <c r="U66" i="27"/>
  <c r="AC66" i="26"/>
  <c r="AB66" i="26"/>
  <c r="J67" i="27"/>
  <c r="A67" i="27" s="1"/>
  <c r="K67" i="27"/>
  <c r="B67" i="27" s="1"/>
  <c r="L67" i="27"/>
  <c r="D67" i="27" s="1"/>
  <c r="M67" i="27"/>
  <c r="C67" i="27" s="1"/>
  <c r="N67" i="27"/>
  <c r="O67" i="27"/>
  <c r="P67" i="27"/>
  <c r="Q67" i="27"/>
  <c r="R67" i="27"/>
  <c r="S67" i="27"/>
  <c r="T67" i="27"/>
  <c r="U67" i="27"/>
  <c r="AC67" i="26"/>
  <c r="AB67" i="26"/>
  <c r="J68" i="27"/>
  <c r="A68" i="27" s="1"/>
  <c r="K68" i="27"/>
  <c r="B68" i="27" s="1"/>
  <c r="L68" i="27"/>
  <c r="D68" i="27" s="1"/>
  <c r="M68" i="27"/>
  <c r="C68" i="27" s="1"/>
  <c r="N68" i="27"/>
  <c r="O68" i="27"/>
  <c r="P68" i="27"/>
  <c r="Q68" i="27"/>
  <c r="R68" i="27"/>
  <c r="S68" i="27"/>
  <c r="T68" i="27"/>
  <c r="U68" i="27"/>
  <c r="J69" i="27"/>
  <c r="A69" i="27" s="1"/>
  <c r="K69" i="27"/>
  <c r="B69" i="27" s="1"/>
  <c r="L69" i="27"/>
  <c r="D69" i="27" s="1"/>
  <c r="M69" i="27"/>
  <c r="C69" i="27" s="1"/>
  <c r="N69" i="27"/>
  <c r="O69" i="27"/>
  <c r="P69" i="27"/>
  <c r="Q69" i="27"/>
  <c r="R69" i="27"/>
  <c r="S69" i="27"/>
  <c r="T69" i="27"/>
  <c r="U69" i="27"/>
  <c r="J70" i="27"/>
  <c r="A70" i="27" s="1"/>
  <c r="K70" i="27"/>
  <c r="B70" i="27" s="1"/>
  <c r="L70" i="27"/>
  <c r="D70" i="27" s="1"/>
  <c r="M70" i="27"/>
  <c r="C70" i="27" s="1"/>
  <c r="N70" i="27"/>
  <c r="O70" i="27"/>
  <c r="P70" i="27"/>
  <c r="Q70" i="27"/>
  <c r="R70" i="27"/>
  <c r="S70" i="27"/>
  <c r="T70" i="27"/>
  <c r="U70" i="27"/>
  <c r="J71" i="27"/>
  <c r="A71" i="27" s="1"/>
  <c r="K71" i="27"/>
  <c r="B71" i="27" s="1"/>
  <c r="L71" i="27"/>
  <c r="D71" i="27" s="1"/>
  <c r="M71" i="27"/>
  <c r="C71" i="27" s="1"/>
  <c r="N71" i="27"/>
  <c r="O71" i="27"/>
  <c r="P71" i="27"/>
  <c r="Q71" i="27"/>
  <c r="R71" i="27"/>
  <c r="S71" i="27"/>
  <c r="T71" i="27"/>
  <c r="U71" i="27"/>
  <c r="J72" i="27"/>
  <c r="A72" i="27" s="1"/>
  <c r="K72" i="27"/>
  <c r="B72" i="27" s="1"/>
  <c r="L72" i="27"/>
  <c r="D72" i="27" s="1"/>
  <c r="M72" i="27"/>
  <c r="C72" i="27" s="1"/>
  <c r="N72" i="27"/>
  <c r="O72" i="27"/>
  <c r="P72" i="27"/>
  <c r="Q72" i="27"/>
  <c r="R72" i="27"/>
  <c r="S72" i="27"/>
  <c r="T72" i="27"/>
  <c r="U72" i="27"/>
  <c r="J73" i="27"/>
  <c r="A73" i="27" s="1"/>
  <c r="K73" i="27"/>
  <c r="B73" i="27" s="1"/>
  <c r="L73" i="27"/>
  <c r="D73" i="27" s="1"/>
  <c r="M73" i="27"/>
  <c r="C73" i="27" s="1"/>
  <c r="N73" i="27"/>
  <c r="O73" i="27"/>
  <c r="P73" i="27"/>
  <c r="Q73" i="27"/>
  <c r="R73" i="27"/>
  <c r="S73" i="27"/>
  <c r="T73" i="27"/>
  <c r="U73" i="27"/>
  <c r="J74" i="27"/>
  <c r="A74" i="27" s="1"/>
  <c r="K74" i="27"/>
  <c r="B74" i="27" s="1"/>
  <c r="L74" i="27"/>
  <c r="D74" i="27" s="1"/>
  <c r="M74" i="27"/>
  <c r="C74" i="27" s="1"/>
  <c r="N74" i="27"/>
  <c r="O74" i="27"/>
  <c r="P74" i="27"/>
  <c r="Q74" i="27"/>
  <c r="R74" i="27"/>
  <c r="S74" i="27"/>
  <c r="T74" i="27"/>
  <c r="U74" i="27"/>
  <c r="J75" i="27"/>
  <c r="A75" i="27" s="1"/>
  <c r="K75" i="27"/>
  <c r="B75" i="27" s="1"/>
  <c r="L75" i="27"/>
  <c r="D75" i="27" s="1"/>
  <c r="M75" i="27"/>
  <c r="C75" i="27" s="1"/>
  <c r="N75" i="27"/>
  <c r="O75" i="27"/>
  <c r="P75" i="27"/>
  <c r="Q75" i="27"/>
  <c r="R75" i="27"/>
  <c r="S75" i="27"/>
  <c r="T75" i="27"/>
  <c r="U75" i="27"/>
  <c r="W75" i="26"/>
  <c r="X75" i="26"/>
  <c r="V75" i="26"/>
  <c r="U75" i="26"/>
  <c r="J76" i="27"/>
  <c r="A76" i="27" s="1"/>
  <c r="K76" i="27"/>
  <c r="B76" i="27" s="1"/>
  <c r="L76" i="27"/>
  <c r="D76" i="27" s="1"/>
  <c r="M76" i="27"/>
  <c r="C76" i="27" s="1"/>
  <c r="N76" i="27"/>
  <c r="O76" i="27"/>
  <c r="P76" i="27"/>
  <c r="Q76" i="27"/>
  <c r="R76" i="27"/>
  <c r="S76" i="27"/>
  <c r="T76" i="27"/>
  <c r="U76" i="27"/>
  <c r="AC76" i="26"/>
  <c r="AB76" i="26"/>
  <c r="J77" i="27"/>
  <c r="A77" i="27" s="1"/>
  <c r="K77" i="27"/>
  <c r="B77" i="27" s="1"/>
  <c r="L77" i="27"/>
  <c r="D77" i="27" s="1"/>
  <c r="M77" i="27"/>
  <c r="C77" i="27" s="1"/>
  <c r="N77" i="27"/>
  <c r="O77" i="27"/>
  <c r="P77" i="27"/>
  <c r="Q77" i="27"/>
  <c r="R77" i="27"/>
  <c r="S77" i="27"/>
  <c r="T77" i="27"/>
  <c r="U77" i="27"/>
  <c r="J78" i="27"/>
  <c r="A78" i="27" s="1"/>
  <c r="K78" i="27"/>
  <c r="B78" i="27" s="1"/>
  <c r="L78" i="27"/>
  <c r="D78" i="27" s="1"/>
  <c r="M78" i="27"/>
  <c r="C78" i="27" s="1"/>
  <c r="N78" i="27"/>
  <c r="O78" i="27"/>
  <c r="P78" i="27"/>
  <c r="Q78" i="27"/>
  <c r="R78" i="27"/>
  <c r="S78" i="27"/>
  <c r="T78" i="27"/>
  <c r="U78" i="27"/>
  <c r="J79" i="27"/>
  <c r="A79" i="27" s="1"/>
  <c r="K79" i="27"/>
  <c r="B79" i="27" s="1"/>
  <c r="L79" i="27"/>
  <c r="D79" i="27" s="1"/>
  <c r="M79" i="27"/>
  <c r="C79" i="27" s="1"/>
  <c r="N79" i="27"/>
  <c r="O79" i="27"/>
  <c r="P79" i="27"/>
  <c r="Q79" i="27"/>
  <c r="R79" i="27"/>
  <c r="S79" i="27"/>
  <c r="T79" i="27"/>
  <c r="U79" i="27"/>
  <c r="J80" i="27"/>
  <c r="A80" i="27" s="1"/>
  <c r="K80" i="27"/>
  <c r="B80" i="27" s="1"/>
  <c r="L80" i="27"/>
  <c r="D80" i="27" s="1"/>
  <c r="M80" i="27"/>
  <c r="C80" i="27" s="1"/>
  <c r="N80" i="27"/>
  <c r="O80" i="27"/>
  <c r="P80" i="27"/>
  <c r="Q80" i="27"/>
  <c r="R80" i="27"/>
  <c r="S80" i="27"/>
  <c r="T80" i="27"/>
  <c r="U80" i="27"/>
  <c r="J81" i="27"/>
  <c r="A81" i="27" s="1"/>
  <c r="K81" i="27"/>
  <c r="B81" i="27" s="1"/>
  <c r="L81" i="27"/>
  <c r="D81" i="27" s="1"/>
  <c r="M81" i="27"/>
  <c r="C81" i="27" s="1"/>
  <c r="N81" i="27"/>
  <c r="O81" i="27"/>
  <c r="P81" i="27"/>
  <c r="Q81" i="27"/>
  <c r="R81" i="27"/>
  <c r="S81" i="27"/>
  <c r="T81" i="27"/>
  <c r="U81" i="27"/>
  <c r="J82" i="27"/>
  <c r="A82" i="27" s="1"/>
  <c r="K82" i="27"/>
  <c r="B82" i="27" s="1"/>
  <c r="L82" i="27"/>
  <c r="D82" i="27" s="1"/>
  <c r="M82" i="27"/>
  <c r="C82" i="27" s="1"/>
  <c r="N82" i="27"/>
  <c r="O82" i="27"/>
  <c r="P82" i="27"/>
  <c r="Q82" i="27"/>
  <c r="R82" i="27"/>
  <c r="S82" i="27"/>
  <c r="T82" i="27"/>
  <c r="U82" i="27"/>
  <c r="J83" i="27"/>
  <c r="A83" i="27" s="1"/>
  <c r="K83" i="27"/>
  <c r="B83" i="27" s="1"/>
  <c r="L83" i="27"/>
  <c r="D83" i="27" s="1"/>
  <c r="M83" i="27"/>
  <c r="C83" i="27" s="1"/>
  <c r="N83" i="27"/>
  <c r="O83" i="27"/>
  <c r="P83" i="27"/>
  <c r="Q83" i="27"/>
  <c r="R83" i="27"/>
  <c r="S83" i="27"/>
  <c r="T83" i="27"/>
  <c r="U83" i="27"/>
  <c r="W83" i="26"/>
  <c r="F1283" i="10" s="1"/>
  <c r="X83" i="26"/>
  <c r="V83" i="26"/>
  <c r="E83" i="10" s="1"/>
  <c r="U83" i="26"/>
  <c r="AA83" i="26" s="1"/>
  <c r="J84" i="27"/>
  <c r="A84" i="27" s="1"/>
  <c r="K84" i="27"/>
  <c r="B84" i="27" s="1"/>
  <c r="L84" i="27"/>
  <c r="D84" i="27" s="1"/>
  <c r="M84" i="27"/>
  <c r="C84" i="27" s="1"/>
  <c r="N84" i="27"/>
  <c r="O84" i="27"/>
  <c r="P84" i="27"/>
  <c r="Q84" i="27"/>
  <c r="R84" i="27"/>
  <c r="S84" i="27"/>
  <c r="T84" i="27"/>
  <c r="U84" i="27"/>
  <c r="AC84" i="26"/>
  <c r="AB84" i="26"/>
  <c r="J85" i="27"/>
  <c r="A85" i="27" s="1"/>
  <c r="K85" i="27"/>
  <c r="B85" i="27" s="1"/>
  <c r="L85" i="27"/>
  <c r="D85" i="27" s="1"/>
  <c r="M85" i="27"/>
  <c r="C85" i="27" s="1"/>
  <c r="N85" i="27"/>
  <c r="O85" i="27"/>
  <c r="P85" i="27"/>
  <c r="Q85" i="27"/>
  <c r="R85" i="27"/>
  <c r="S85" i="27"/>
  <c r="T85" i="27"/>
  <c r="U85" i="27"/>
  <c r="J86" i="27"/>
  <c r="A86" i="27" s="1"/>
  <c r="K86" i="27"/>
  <c r="B86" i="27" s="1"/>
  <c r="L86" i="27"/>
  <c r="D86" i="27" s="1"/>
  <c r="M86" i="27"/>
  <c r="C86" i="27" s="1"/>
  <c r="N86" i="27"/>
  <c r="O86" i="27"/>
  <c r="P86" i="27"/>
  <c r="Q86" i="27"/>
  <c r="R86" i="27"/>
  <c r="S86" i="27"/>
  <c r="T86" i="27"/>
  <c r="U86" i="27"/>
  <c r="J87" i="27"/>
  <c r="A87" i="27" s="1"/>
  <c r="K87" i="27"/>
  <c r="B87" i="27" s="1"/>
  <c r="L87" i="27"/>
  <c r="D87" i="27" s="1"/>
  <c r="M87" i="27"/>
  <c r="C87" i="27" s="1"/>
  <c r="N87" i="27"/>
  <c r="O87" i="27"/>
  <c r="P87" i="27"/>
  <c r="Q87" i="27"/>
  <c r="R87" i="27"/>
  <c r="S87" i="27"/>
  <c r="T87" i="27"/>
  <c r="U87" i="27"/>
  <c r="J88" i="27"/>
  <c r="A88" i="27" s="1"/>
  <c r="K88" i="27"/>
  <c r="B88" i="27" s="1"/>
  <c r="L88" i="27"/>
  <c r="D88" i="27" s="1"/>
  <c r="M88" i="27"/>
  <c r="C88" i="27" s="1"/>
  <c r="N88" i="27"/>
  <c r="O88" i="27"/>
  <c r="P88" i="27"/>
  <c r="Q88" i="27"/>
  <c r="R88" i="27"/>
  <c r="S88" i="27"/>
  <c r="T88" i="27"/>
  <c r="U88" i="27"/>
  <c r="J89" i="27"/>
  <c r="A89" i="27" s="1"/>
  <c r="K89" i="27"/>
  <c r="B89" i="27" s="1"/>
  <c r="L89" i="27"/>
  <c r="D89" i="27" s="1"/>
  <c r="M89" i="27"/>
  <c r="C89" i="27" s="1"/>
  <c r="N89" i="27"/>
  <c r="O89" i="27"/>
  <c r="P89" i="27"/>
  <c r="Q89" i="27"/>
  <c r="R89" i="27"/>
  <c r="S89" i="27"/>
  <c r="T89" i="27"/>
  <c r="U89" i="27"/>
  <c r="J90" i="27"/>
  <c r="A90" i="27" s="1"/>
  <c r="K90" i="27"/>
  <c r="B90" i="27" s="1"/>
  <c r="L90" i="27"/>
  <c r="D90" i="27" s="1"/>
  <c r="M90" i="27"/>
  <c r="C90" i="27" s="1"/>
  <c r="N90" i="27"/>
  <c r="O90" i="27"/>
  <c r="P90" i="27"/>
  <c r="Q90" i="27"/>
  <c r="R90" i="27"/>
  <c r="S90" i="27"/>
  <c r="T90" i="27"/>
  <c r="U90" i="27"/>
  <c r="J91" i="27"/>
  <c r="A91" i="27" s="1"/>
  <c r="K91" i="27"/>
  <c r="B91" i="27" s="1"/>
  <c r="L91" i="27"/>
  <c r="D91" i="27" s="1"/>
  <c r="M91" i="27"/>
  <c r="C91" i="27" s="1"/>
  <c r="N91" i="27"/>
  <c r="O91" i="27"/>
  <c r="P91" i="27"/>
  <c r="Q91" i="27"/>
  <c r="R91" i="27"/>
  <c r="S91" i="27"/>
  <c r="T91" i="27"/>
  <c r="U91" i="27"/>
  <c r="J92" i="27"/>
  <c r="A92" i="27" s="1"/>
  <c r="K92" i="27"/>
  <c r="B92" i="27" s="1"/>
  <c r="L92" i="27"/>
  <c r="D92" i="27" s="1"/>
  <c r="M92" i="27"/>
  <c r="C92" i="27" s="1"/>
  <c r="N92" i="27"/>
  <c r="O92" i="27"/>
  <c r="P92" i="27"/>
  <c r="Q92" i="27"/>
  <c r="R92" i="27"/>
  <c r="S92" i="27"/>
  <c r="T92" i="27"/>
  <c r="U92" i="27"/>
  <c r="J93" i="27"/>
  <c r="A93" i="27" s="1"/>
  <c r="K93" i="27"/>
  <c r="B93" i="27" s="1"/>
  <c r="L93" i="27"/>
  <c r="D93" i="27" s="1"/>
  <c r="M93" i="27"/>
  <c r="C93" i="27" s="1"/>
  <c r="N93" i="27"/>
  <c r="O93" i="27"/>
  <c r="P93" i="27"/>
  <c r="Q93" i="27"/>
  <c r="R93" i="27"/>
  <c r="S93" i="27"/>
  <c r="T93" i="27"/>
  <c r="U93" i="27"/>
  <c r="J94" i="27"/>
  <c r="A94" i="27" s="1"/>
  <c r="K94" i="27"/>
  <c r="B94" i="27" s="1"/>
  <c r="L94" i="27"/>
  <c r="D94" i="27" s="1"/>
  <c r="M94" i="27"/>
  <c r="C94" i="27" s="1"/>
  <c r="N94" i="27"/>
  <c r="O94" i="27"/>
  <c r="P94" i="27"/>
  <c r="Q94" i="27"/>
  <c r="R94" i="27"/>
  <c r="S94" i="27"/>
  <c r="T94" i="27"/>
  <c r="U94" i="27"/>
  <c r="J95" i="27"/>
  <c r="A95" i="27" s="1"/>
  <c r="K95" i="27"/>
  <c r="B95" i="27" s="1"/>
  <c r="L95" i="27"/>
  <c r="D95" i="27" s="1"/>
  <c r="M95" i="27"/>
  <c r="C95" i="27" s="1"/>
  <c r="N95" i="27"/>
  <c r="O95" i="27"/>
  <c r="P95" i="27"/>
  <c r="Q95" i="27"/>
  <c r="R95" i="27"/>
  <c r="S95" i="27"/>
  <c r="T95" i="27"/>
  <c r="U95" i="27"/>
  <c r="J96" i="27"/>
  <c r="A96" i="27" s="1"/>
  <c r="K96" i="27"/>
  <c r="B96" i="27" s="1"/>
  <c r="L96" i="27"/>
  <c r="D96" i="27" s="1"/>
  <c r="M96" i="27"/>
  <c r="C96" i="27" s="1"/>
  <c r="N96" i="27"/>
  <c r="O96" i="27"/>
  <c r="P96" i="27"/>
  <c r="Q96" i="27"/>
  <c r="R96" i="27"/>
  <c r="S96" i="27"/>
  <c r="T96" i="27"/>
  <c r="U96" i="27"/>
  <c r="W96" i="26"/>
  <c r="X96" i="26"/>
  <c r="V96" i="26"/>
  <c r="AF96" i="26" s="1"/>
  <c r="U96" i="26"/>
  <c r="D96" i="10" s="1"/>
  <c r="J97" i="27"/>
  <c r="A97" i="27" s="1"/>
  <c r="K97" i="27"/>
  <c r="B97" i="27" s="1"/>
  <c r="L97" i="27"/>
  <c r="D97" i="27" s="1"/>
  <c r="M97" i="27"/>
  <c r="C97" i="27" s="1"/>
  <c r="N97" i="27"/>
  <c r="O97" i="27"/>
  <c r="P97" i="27"/>
  <c r="Q97" i="27"/>
  <c r="R97" i="27"/>
  <c r="S97" i="27"/>
  <c r="T97" i="27"/>
  <c r="U97" i="27"/>
  <c r="AC97" i="26"/>
  <c r="AB97" i="26"/>
  <c r="J98" i="27"/>
  <c r="A98" i="27" s="1"/>
  <c r="K98" i="27"/>
  <c r="B98" i="27" s="1"/>
  <c r="L98" i="27"/>
  <c r="D98" i="27" s="1"/>
  <c r="M98" i="27"/>
  <c r="C98" i="27" s="1"/>
  <c r="N98" i="27"/>
  <c r="O98" i="27"/>
  <c r="P98" i="27"/>
  <c r="Q98" i="27"/>
  <c r="R98" i="27"/>
  <c r="S98" i="27"/>
  <c r="T98" i="27"/>
  <c r="U98" i="27"/>
  <c r="AC98" i="26"/>
  <c r="AB98" i="26"/>
  <c r="J99" i="27"/>
  <c r="A99" i="27" s="1"/>
  <c r="K99" i="27"/>
  <c r="B99" i="27" s="1"/>
  <c r="L99" i="27"/>
  <c r="D99" i="27" s="1"/>
  <c r="M99" i="27"/>
  <c r="C99" i="27" s="1"/>
  <c r="N99" i="27"/>
  <c r="O99" i="27"/>
  <c r="P99" i="27"/>
  <c r="Q99" i="27"/>
  <c r="R99" i="27"/>
  <c r="S99" i="27"/>
  <c r="T99" i="27"/>
  <c r="U99" i="27"/>
  <c r="J100" i="27"/>
  <c r="A100" i="27" s="1"/>
  <c r="K100" i="27"/>
  <c r="B100" i="27" s="1"/>
  <c r="L100" i="27"/>
  <c r="D100" i="27" s="1"/>
  <c r="M100" i="27"/>
  <c r="C100" i="27" s="1"/>
  <c r="N100" i="27"/>
  <c r="O100" i="27"/>
  <c r="P100" i="27"/>
  <c r="Q100" i="27"/>
  <c r="R100" i="27"/>
  <c r="S100" i="27"/>
  <c r="T100" i="27"/>
  <c r="U100" i="27"/>
  <c r="AC100" i="26"/>
  <c r="AB100" i="26"/>
  <c r="J101" i="27"/>
  <c r="A101" i="27" s="1"/>
  <c r="K101" i="27"/>
  <c r="B101" i="27" s="1"/>
  <c r="L101" i="27"/>
  <c r="D101" i="27" s="1"/>
  <c r="M101" i="27"/>
  <c r="C101" i="27" s="1"/>
  <c r="N101" i="27"/>
  <c r="O101" i="27"/>
  <c r="P101" i="27"/>
  <c r="Q101" i="27"/>
  <c r="R101" i="27"/>
  <c r="S101" i="27"/>
  <c r="T101" i="27"/>
  <c r="U101" i="27"/>
  <c r="J102" i="27"/>
  <c r="A102" i="27" s="1"/>
  <c r="K102" i="27"/>
  <c r="B102" i="27" s="1"/>
  <c r="L102" i="27"/>
  <c r="D102" i="27" s="1"/>
  <c r="M102" i="27"/>
  <c r="C102" i="27" s="1"/>
  <c r="N102" i="27"/>
  <c r="O102" i="27"/>
  <c r="P102" i="27"/>
  <c r="Q102" i="27"/>
  <c r="R102" i="27"/>
  <c r="S102" i="27"/>
  <c r="T102" i="27"/>
  <c r="U102" i="27"/>
  <c r="J103" i="27"/>
  <c r="A103" i="27" s="1"/>
  <c r="K103" i="27"/>
  <c r="B103" i="27" s="1"/>
  <c r="L103" i="27"/>
  <c r="D103" i="27" s="1"/>
  <c r="M103" i="27"/>
  <c r="C103" i="27" s="1"/>
  <c r="N103" i="27"/>
  <c r="O103" i="27"/>
  <c r="P103" i="27"/>
  <c r="Q103" i="27"/>
  <c r="R103" i="27"/>
  <c r="S103" i="27"/>
  <c r="T103" i="27"/>
  <c r="U103" i="27"/>
  <c r="J104" i="27"/>
  <c r="A104" i="27" s="1"/>
  <c r="K104" i="27"/>
  <c r="B104" i="27" s="1"/>
  <c r="L104" i="27"/>
  <c r="D104" i="27" s="1"/>
  <c r="M104" i="27"/>
  <c r="C104" i="27" s="1"/>
  <c r="N104" i="27"/>
  <c r="O104" i="27"/>
  <c r="P104" i="27"/>
  <c r="Q104" i="27"/>
  <c r="R104" i="27"/>
  <c r="S104" i="27"/>
  <c r="T104" i="27"/>
  <c r="U104" i="27"/>
  <c r="J105" i="27"/>
  <c r="A105" i="27" s="1"/>
  <c r="K105" i="27"/>
  <c r="B105" i="27" s="1"/>
  <c r="L105" i="27"/>
  <c r="D105" i="27" s="1"/>
  <c r="M105" i="27"/>
  <c r="C105" i="27" s="1"/>
  <c r="N105" i="27"/>
  <c r="O105" i="27"/>
  <c r="P105" i="27"/>
  <c r="Q105" i="27"/>
  <c r="R105" i="27"/>
  <c r="S105" i="27"/>
  <c r="T105" i="27"/>
  <c r="U105" i="27"/>
  <c r="W105" i="26"/>
  <c r="X105" i="26"/>
  <c r="V105" i="26"/>
  <c r="U105" i="26"/>
  <c r="J106" i="27"/>
  <c r="A106" i="27" s="1"/>
  <c r="K106" i="27"/>
  <c r="B106" i="27" s="1"/>
  <c r="L106" i="27"/>
  <c r="D106" i="27" s="1"/>
  <c r="M106" i="27"/>
  <c r="C106" i="27" s="1"/>
  <c r="N106" i="27"/>
  <c r="O106" i="27"/>
  <c r="P106" i="27"/>
  <c r="Q106" i="27"/>
  <c r="R106" i="27"/>
  <c r="S106" i="27"/>
  <c r="T106" i="27"/>
  <c r="U106" i="27"/>
  <c r="AC106" i="26"/>
  <c r="AB106" i="26"/>
  <c r="J107" i="27"/>
  <c r="A107" i="27" s="1"/>
  <c r="K107" i="27"/>
  <c r="B107" i="27" s="1"/>
  <c r="L107" i="27"/>
  <c r="D107" i="27" s="1"/>
  <c r="M107" i="27"/>
  <c r="C107" i="27" s="1"/>
  <c r="N107" i="27"/>
  <c r="O107" i="27"/>
  <c r="P107" i="27"/>
  <c r="Q107" i="27"/>
  <c r="R107" i="27"/>
  <c r="S107" i="27"/>
  <c r="T107" i="27"/>
  <c r="U107" i="27"/>
  <c r="J108" i="27"/>
  <c r="A108" i="27" s="1"/>
  <c r="K108" i="27"/>
  <c r="B108" i="27" s="1"/>
  <c r="L108" i="27"/>
  <c r="D108" i="27" s="1"/>
  <c r="M108" i="27"/>
  <c r="C108" i="27" s="1"/>
  <c r="N108" i="27"/>
  <c r="O108" i="27"/>
  <c r="P108" i="27"/>
  <c r="Q108" i="27"/>
  <c r="R108" i="27"/>
  <c r="S108" i="27"/>
  <c r="T108" i="27"/>
  <c r="U108" i="27"/>
  <c r="J109" i="27"/>
  <c r="A109" i="27" s="1"/>
  <c r="K109" i="27"/>
  <c r="B109" i="27" s="1"/>
  <c r="L109" i="27"/>
  <c r="D109" i="27" s="1"/>
  <c r="M109" i="27"/>
  <c r="C109" i="27" s="1"/>
  <c r="N109" i="27"/>
  <c r="O109" i="27"/>
  <c r="P109" i="27"/>
  <c r="Q109" i="27"/>
  <c r="R109" i="27"/>
  <c r="S109" i="27"/>
  <c r="T109" i="27"/>
  <c r="U109" i="27"/>
  <c r="J110" i="27"/>
  <c r="A110" i="27" s="1"/>
  <c r="K110" i="27"/>
  <c r="B110" i="27" s="1"/>
  <c r="L110" i="27"/>
  <c r="D110" i="27" s="1"/>
  <c r="M110" i="27"/>
  <c r="C110" i="27" s="1"/>
  <c r="N110" i="27"/>
  <c r="O110" i="27"/>
  <c r="P110" i="27"/>
  <c r="Q110" i="27"/>
  <c r="R110" i="27"/>
  <c r="S110" i="27"/>
  <c r="T110" i="27"/>
  <c r="U110" i="27"/>
  <c r="J111" i="27"/>
  <c r="A111" i="27" s="1"/>
  <c r="K111" i="27"/>
  <c r="B111" i="27" s="1"/>
  <c r="L111" i="27"/>
  <c r="D111" i="27" s="1"/>
  <c r="M111" i="27"/>
  <c r="C111" i="27" s="1"/>
  <c r="N111" i="27"/>
  <c r="O111" i="27"/>
  <c r="P111" i="27"/>
  <c r="Q111" i="27"/>
  <c r="R111" i="27"/>
  <c r="S111" i="27"/>
  <c r="T111" i="27"/>
  <c r="U111" i="27"/>
  <c r="J112" i="27"/>
  <c r="A112" i="27" s="1"/>
  <c r="K112" i="27"/>
  <c r="B112" i="27" s="1"/>
  <c r="L112" i="27"/>
  <c r="D112" i="27" s="1"/>
  <c r="M112" i="27"/>
  <c r="C112" i="27" s="1"/>
  <c r="N112" i="27"/>
  <c r="O112" i="27"/>
  <c r="P112" i="27"/>
  <c r="Q112" i="27"/>
  <c r="R112" i="27"/>
  <c r="S112" i="27"/>
  <c r="T112" i="27"/>
  <c r="U112" i="27"/>
  <c r="J113" i="27"/>
  <c r="A113" i="27" s="1"/>
  <c r="K113" i="27"/>
  <c r="B113" i="27" s="1"/>
  <c r="L113" i="27"/>
  <c r="D113" i="27" s="1"/>
  <c r="M113" i="27"/>
  <c r="C113" i="27" s="1"/>
  <c r="N113" i="27"/>
  <c r="O113" i="27"/>
  <c r="P113" i="27"/>
  <c r="Q113" i="27"/>
  <c r="R113" i="27"/>
  <c r="S113" i="27"/>
  <c r="T113" i="27"/>
  <c r="U113" i="27"/>
  <c r="J114" i="27"/>
  <c r="A114" i="27" s="1"/>
  <c r="K114" i="27"/>
  <c r="B114" i="27" s="1"/>
  <c r="L114" i="27"/>
  <c r="D114" i="27" s="1"/>
  <c r="M114" i="27"/>
  <c r="C114" i="27" s="1"/>
  <c r="N114" i="27"/>
  <c r="O114" i="27"/>
  <c r="P114" i="27"/>
  <c r="Q114" i="27"/>
  <c r="R114" i="27"/>
  <c r="S114" i="27"/>
  <c r="T114" i="27"/>
  <c r="U114" i="27"/>
  <c r="J115" i="27"/>
  <c r="A115" i="27" s="1"/>
  <c r="K115" i="27"/>
  <c r="B115" i="27" s="1"/>
  <c r="L115" i="27"/>
  <c r="D115" i="27" s="1"/>
  <c r="M115" i="27"/>
  <c r="C115" i="27" s="1"/>
  <c r="N115" i="27"/>
  <c r="O115" i="27"/>
  <c r="P115" i="27"/>
  <c r="Q115" i="27"/>
  <c r="R115" i="27"/>
  <c r="S115" i="27"/>
  <c r="T115" i="27"/>
  <c r="U115" i="27"/>
  <c r="J116" i="27"/>
  <c r="A116" i="27" s="1"/>
  <c r="K116" i="27"/>
  <c r="B116" i="27" s="1"/>
  <c r="L116" i="27"/>
  <c r="D116" i="27" s="1"/>
  <c r="M116" i="27"/>
  <c r="C116" i="27" s="1"/>
  <c r="N116" i="27"/>
  <c r="O116" i="27"/>
  <c r="P116" i="27"/>
  <c r="Q116" i="27"/>
  <c r="R116" i="27"/>
  <c r="S116" i="27"/>
  <c r="T116" i="27"/>
  <c r="U116" i="27"/>
  <c r="J117" i="27"/>
  <c r="A117" i="27" s="1"/>
  <c r="K117" i="27"/>
  <c r="B117" i="27" s="1"/>
  <c r="L117" i="27"/>
  <c r="D117" i="27" s="1"/>
  <c r="M117" i="27"/>
  <c r="C117" i="27" s="1"/>
  <c r="N117" i="27"/>
  <c r="O117" i="27"/>
  <c r="P117" i="27"/>
  <c r="Q117" i="27"/>
  <c r="R117" i="27"/>
  <c r="S117" i="27"/>
  <c r="T117" i="27"/>
  <c r="U117" i="27"/>
  <c r="J118" i="27"/>
  <c r="A118" i="27" s="1"/>
  <c r="K118" i="27"/>
  <c r="B118" i="27" s="1"/>
  <c r="L118" i="27"/>
  <c r="D118" i="27" s="1"/>
  <c r="M118" i="27"/>
  <c r="C118" i="27" s="1"/>
  <c r="N118" i="27"/>
  <c r="O118" i="27"/>
  <c r="P118" i="27"/>
  <c r="Q118" i="27"/>
  <c r="R118" i="27"/>
  <c r="S118" i="27"/>
  <c r="T118" i="27"/>
  <c r="U118" i="27"/>
  <c r="W118" i="26"/>
  <c r="F1318" i="10" s="1"/>
  <c r="X118" i="26"/>
  <c r="V118" i="26"/>
  <c r="AF118" i="26" s="1"/>
  <c r="AH118" i="26" s="1"/>
  <c r="AG118" i="26" s="1"/>
  <c r="U118" i="26"/>
  <c r="AA118" i="26" s="1"/>
  <c r="J119" i="27"/>
  <c r="A119" i="27" s="1"/>
  <c r="K119" i="27"/>
  <c r="B119" i="27" s="1"/>
  <c r="L119" i="27"/>
  <c r="D119" i="27" s="1"/>
  <c r="M119" i="27"/>
  <c r="C119" i="27" s="1"/>
  <c r="N119" i="27"/>
  <c r="O119" i="27"/>
  <c r="P119" i="27"/>
  <c r="Q119" i="27"/>
  <c r="R119" i="27"/>
  <c r="S119" i="27"/>
  <c r="T119" i="27"/>
  <c r="U119" i="27"/>
  <c r="AC119" i="26"/>
  <c r="AB119" i="26"/>
  <c r="J120" i="27"/>
  <c r="A120" i="27" s="1"/>
  <c r="K120" i="27"/>
  <c r="B120" i="27" s="1"/>
  <c r="L120" i="27"/>
  <c r="D120" i="27" s="1"/>
  <c r="M120" i="27"/>
  <c r="C120" i="27" s="1"/>
  <c r="N120" i="27"/>
  <c r="O120" i="27"/>
  <c r="P120" i="27"/>
  <c r="Q120" i="27"/>
  <c r="R120" i="27"/>
  <c r="S120" i="27"/>
  <c r="T120" i="27"/>
  <c r="U120" i="27"/>
  <c r="J121" i="27"/>
  <c r="A121" i="27" s="1"/>
  <c r="K121" i="27"/>
  <c r="B121" i="27" s="1"/>
  <c r="L121" i="27"/>
  <c r="D121" i="27" s="1"/>
  <c r="M121" i="27"/>
  <c r="C121" i="27" s="1"/>
  <c r="N121" i="27"/>
  <c r="O121" i="27"/>
  <c r="P121" i="27"/>
  <c r="Q121" i="27"/>
  <c r="R121" i="27"/>
  <c r="S121" i="27"/>
  <c r="T121" i="27"/>
  <c r="U121" i="27"/>
  <c r="J122" i="27"/>
  <c r="A122" i="27" s="1"/>
  <c r="K122" i="27"/>
  <c r="B122" i="27" s="1"/>
  <c r="L122" i="27"/>
  <c r="D122" i="27" s="1"/>
  <c r="M122" i="27"/>
  <c r="C122" i="27" s="1"/>
  <c r="N122" i="27"/>
  <c r="O122" i="27"/>
  <c r="P122" i="27"/>
  <c r="Q122" i="27"/>
  <c r="R122" i="27"/>
  <c r="S122" i="27"/>
  <c r="T122" i="27"/>
  <c r="U122" i="27"/>
  <c r="J123" i="27"/>
  <c r="A123" i="27" s="1"/>
  <c r="K123" i="27"/>
  <c r="B123" i="27" s="1"/>
  <c r="L123" i="27"/>
  <c r="D123" i="27" s="1"/>
  <c r="M123" i="27"/>
  <c r="C123" i="27" s="1"/>
  <c r="N123" i="27"/>
  <c r="O123" i="27"/>
  <c r="P123" i="27"/>
  <c r="Q123" i="27"/>
  <c r="R123" i="27"/>
  <c r="S123" i="27"/>
  <c r="T123" i="27"/>
  <c r="U123" i="27"/>
  <c r="J124" i="27"/>
  <c r="A124" i="27" s="1"/>
  <c r="K124" i="27"/>
  <c r="B124" i="27" s="1"/>
  <c r="L124" i="27"/>
  <c r="D124" i="27" s="1"/>
  <c r="M124" i="27"/>
  <c r="C124" i="27" s="1"/>
  <c r="N124" i="27"/>
  <c r="O124" i="27"/>
  <c r="P124" i="27"/>
  <c r="Q124" i="27"/>
  <c r="R124" i="27"/>
  <c r="S124" i="27"/>
  <c r="T124" i="27"/>
  <c r="U124" i="27"/>
  <c r="W124" i="26"/>
  <c r="X124" i="26"/>
  <c r="V124" i="26"/>
  <c r="U124" i="26"/>
  <c r="D124" i="10" s="1"/>
  <c r="J125" i="27"/>
  <c r="A125" i="27" s="1"/>
  <c r="K125" i="27"/>
  <c r="B125" i="27" s="1"/>
  <c r="L125" i="27"/>
  <c r="D125" i="27" s="1"/>
  <c r="M125" i="27"/>
  <c r="C125" i="27" s="1"/>
  <c r="N125" i="27"/>
  <c r="O125" i="27"/>
  <c r="P125" i="27"/>
  <c r="Q125" i="27"/>
  <c r="R125" i="27"/>
  <c r="S125" i="27"/>
  <c r="T125" i="27"/>
  <c r="U125" i="27"/>
  <c r="AC125" i="26"/>
  <c r="AB125" i="26"/>
  <c r="J126" i="27"/>
  <c r="A126" i="27" s="1"/>
  <c r="K126" i="27"/>
  <c r="B126" i="27" s="1"/>
  <c r="L126" i="27"/>
  <c r="D126" i="27" s="1"/>
  <c r="M126" i="27"/>
  <c r="C126" i="27" s="1"/>
  <c r="N126" i="27"/>
  <c r="O126" i="27"/>
  <c r="P126" i="27"/>
  <c r="Q126" i="27"/>
  <c r="R126" i="27"/>
  <c r="S126" i="27"/>
  <c r="T126" i="27"/>
  <c r="U126" i="27"/>
  <c r="AC126" i="26"/>
  <c r="AB126" i="26"/>
  <c r="J127" i="27"/>
  <c r="A127" i="27" s="1"/>
  <c r="K127" i="27"/>
  <c r="B127" i="27" s="1"/>
  <c r="L127" i="27"/>
  <c r="D127" i="27" s="1"/>
  <c r="M127" i="27"/>
  <c r="C127" i="27" s="1"/>
  <c r="N127" i="27"/>
  <c r="O127" i="27"/>
  <c r="P127" i="27"/>
  <c r="Q127" i="27"/>
  <c r="R127" i="27"/>
  <c r="S127" i="27"/>
  <c r="T127" i="27"/>
  <c r="U127" i="27"/>
  <c r="J128" i="27"/>
  <c r="A128" i="27" s="1"/>
  <c r="K128" i="27"/>
  <c r="B128" i="27" s="1"/>
  <c r="L128" i="27"/>
  <c r="D128" i="27" s="1"/>
  <c r="M128" i="27"/>
  <c r="C128" i="27" s="1"/>
  <c r="N128" i="27"/>
  <c r="O128" i="27"/>
  <c r="P128" i="27"/>
  <c r="Q128" i="27"/>
  <c r="R128" i="27"/>
  <c r="S128" i="27"/>
  <c r="T128" i="27"/>
  <c r="U128" i="27"/>
  <c r="J129" i="27"/>
  <c r="A129" i="27" s="1"/>
  <c r="K129" i="27"/>
  <c r="B129" i="27" s="1"/>
  <c r="L129" i="27"/>
  <c r="D129" i="27" s="1"/>
  <c r="M129" i="27"/>
  <c r="C129" i="27" s="1"/>
  <c r="N129" i="27"/>
  <c r="O129" i="27"/>
  <c r="P129" i="27"/>
  <c r="Q129" i="27"/>
  <c r="R129" i="27"/>
  <c r="S129" i="27"/>
  <c r="T129" i="27"/>
  <c r="U129" i="27"/>
  <c r="J130" i="27"/>
  <c r="A130" i="27" s="1"/>
  <c r="K130" i="27"/>
  <c r="B130" i="27" s="1"/>
  <c r="L130" i="27"/>
  <c r="D130" i="27" s="1"/>
  <c r="M130" i="27"/>
  <c r="C130" i="27" s="1"/>
  <c r="N130" i="27"/>
  <c r="O130" i="27"/>
  <c r="P130" i="27"/>
  <c r="Q130" i="27"/>
  <c r="R130" i="27"/>
  <c r="S130" i="27"/>
  <c r="T130" i="27"/>
  <c r="U130" i="27"/>
  <c r="J131" i="27"/>
  <c r="A131" i="27" s="1"/>
  <c r="K131" i="27"/>
  <c r="B131" i="27" s="1"/>
  <c r="L131" i="27"/>
  <c r="D131" i="27" s="1"/>
  <c r="M131" i="27"/>
  <c r="C131" i="27" s="1"/>
  <c r="N131" i="27"/>
  <c r="O131" i="27"/>
  <c r="P131" i="27"/>
  <c r="Q131" i="27"/>
  <c r="R131" i="27"/>
  <c r="S131" i="27"/>
  <c r="T131" i="27"/>
  <c r="U131" i="27"/>
  <c r="W131" i="26"/>
  <c r="X131" i="26"/>
  <c r="V131" i="26"/>
  <c r="E131" i="10" s="1"/>
  <c r="U131" i="26"/>
  <c r="AA131" i="26" s="1"/>
  <c r="J132" i="27"/>
  <c r="A132" i="27" s="1"/>
  <c r="K132" i="27"/>
  <c r="B132" i="27" s="1"/>
  <c r="L132" i="27"/>
  <c r="D132" i="27" s="1"/>
  <c r="M132" i="27"/>
  <c r="C132" i="27" s="1"/>
  <c r="N132" i="27"/>
  <c r="O132" i="27"/>
  <c r="P132" i="27"/>
  <c r="Q132" i="27"/>
  <c r="R132" i="27"/>
  <c r="S132" i="27"/>
  <c r="T132" i="27"/>
  <c r="U132" i="27"/>
  <c r="AC132" i="26"/>
  <c r="AB132" i="26"/>
  <c r="J133" i="27"/>
  <c r="A133" i="27" s="1"/>
  <c r="K133" i="27"/>
  <c r="B133" i="27" s="1"/>
  <c r="L133" i="27"/>
  <c r="D133" i="27" s="1"/>
  <c r="M133" i="27"/>
  <c r="C133" i="27" s="1"/>
  <c r="N133" i="27"/>
  <c r="O133" i="27"/>
  <c r="P133" i="27"/>
  <c r="Q133" i="27"/>
  <c r="R133" i="27"/>
  <c r="S133" i="27"/>
  <c r="T133" i="27"/>
  <c r="U133" i="27"/>
  <c r="J134" i="27"/>
  <c r="A134" i="27" s="1"/>
  <c r="K134" i="27"/>
  <c r="B134" i="27" s="1"/>
  <c r="L134" i="27"/>
  <c r="D134" i="27" s="1"/>
  <c r="M134" i="27"/>
  <c r="C134" i="27" s="1"/>
  <c r="N134" i="27"/>
  <c r="O134" i="27"/>
  <c r="P134" i="27"/>
  <c r="Q134" i="27"/>
  <c r="R134" i="27"/>
  <c r="S134" i="27"/>
  <c r="T134" i="27"/>
  <c r="U134" i="27"/>
  <c r="J135" i="27"/>
  <c r="A135" i="27" s="1"/>
  <c r="K135" i="27"/>
  <c r="B135" i="27" s="1"/>
  <c r="L135" i="27"/>
  <c r="D135" i="27" s="1"/>
  <c r="M135" i="27"/>
  <c r="C135" i="27" s="1"/>
  <c r="N135" i="27"/>
  <c r="O135" i="27"/>
  <c r="P135" i="27"/>
  <c r="Q135" i="27"/>
  <c r="R135" i="27"/>
  <c r="S135" i="27"/>
  <c r="T135" i="27"/>
  <c r="U135" i="27"/>
  <c r="J136" i="27"/>
  <c r="A136" i="27" s="1"/>
  <c r="K136" i="27"/>
  <c r="B136" i="27" s="1"/>
  <c r="L136" i="27"/>
  <c r="D136" i="27" s="1"/>
  <c r="M136" i="27"/>
  <c r="C136" i="27" s="1"/>
  <c r="N136" i="27"/>
  <c r="O136" i="27"/>
  <c r="P136" i="27"/>
  <c r="Q136" i="27"/>
  <c r="R136" i="27"/>
  <c r="S136" i="27"/>
  <c r="T136" i="27"/>
  <c r="U136" i="27"/>
  <c r="W136" i="26"/>
  <c r="X136" i="26"/>
  <c r="V136" i="26"/>
  <c r="U136" i="26"/>
  <c r="J137" i="27"/>
  <c r="A137" i="27" s="1"/>
  <c r="K137" i="27"/>
  <c r="B137" i="27" s="1"/>
  <c r="L137" i="27"/>
  <c r="D137" i="27" s="1"/>
  <c r="M137" i="27"/>
  <c r="C137" i="27" s="1"/>
  <c r="N137" i="27"/>
  <c r="O137" i="27"/>
  <c r="P137" i="27"/>
  <c r="Q137" i="27"/>
  <c r="R137" i="27"/>
  <c r="S137" i="27"/>
  <c r="T137" i="27"/>
  <c r="U137" i="27"/>
  <c r="AC137" i="26"/>
  <c r="AB137" i="26"/>
  <c r="J138" i="27"/>
  <c r="A138" i="27" s="1"/>
  <c r="K138" i="27"/>
  <c r="B138" i="27" s="1"/>
  <c r="L138" i="27"/>
  <c r="D138" i="27" s="1"/>
  <c r="M138" i="27"/>
  <c r="C138" i="27" s="1"/>
  <c r="N138" i="27"/>
  <c r="O138" i="27"/>
  <c r="P138" i="27"/>
  <c r="Q138" i="27"/>
  <c r="R138" i="27"/>
  <c r="S138" i="27"/>
  <c r="T138" i="27"/>
  <c r="U138" i="27"/>
  <c r="J139" i="27"/>
  <c r="A139" i="27" s="1"/>
  <c r="K139" i="27"/>
  <c r="B139" i="27" s="1"/>
  <c r="L139" i="27"/>
  <c r="D139" i="27" s="1"/>
  <c r="M139" i="27"/>
  <c r="C139" i="27" s="1"/>
  <c r="N139" i="27"/>
  <c r="O139" i="27"/>
  <c r="P139" i="27"/>
  <c r="Q139" i="27"/>
  <c r="R139" i="27"/>
  <c r="S139" i="27"/>
  <c r="T139" i="27"/>
  <c r="U139" i="27"/>
  <c r="J140" i="27"/>
  <c r="A140" i="27" s="1"/>
  <c r="K140" i="27"/>
  <c r="B140" i="27" s="1"/>
  <c r="L140" i="27"/>
  <c r="D140" i="27" s="1"/>
  <c r="M140" i="27"/>
  <c r="C140" i="27" s="1"/>
  <c r="N140" i="27"/>
  <c r="O140" i="27"/>
  <c r="P140" i="27"/>
  <c r="Q140" i="27"/>
  <c r="R140" i="27"/>
  <c r="S140" i="27"/>
  <c r="T140" i="27"/>
  <c r="U140" i="27"/>
  <c r="J141" i="27"/>
  <c r="A141" i="27" s="1"/>
  <c r="K141" i="27"/>
  <c r="B141" i="27" s="1"/>
  <c r="L141" i="27"/>
  <c r="D141" i="27" s="1"/>
  <c r="M141" i="27"/>
  <c r="C141" i="27" s="1"/>
  <c r="N141" i="27"/>
  <c r="O141" i="27"/>
  <c r="P141" i="27"/>
  <c r="Q141" i="27"/>
  <c r="R141" i="27"/>
  <c r="S141" i="27"/>
  <c r="T141" i="27"/>
  <c r="U141" i="27"/>
  <c r="W141" i="26"/>
  <c r="F1341" i="10" s="1"/>
  <c r="X141" i="26"/>
  <c r="V141" i="26"/>
  <c r="U141" i="26"/>
  <c r="J142" i="27"/>
  <c r="A142" i="27" s="1"/>
  <c r="K142" i="27"/>
  <c r="B142" i="27" s="1"/>
  <c r="L142" i="27"/>
  <c r="D142" i="27" s="1"/>
  <c r="M142" i="27"/>
  <c r="C142" i="27" s="1"/>
  <c r="N142" i="27"/>
  <c r="O142" i="27"/>
  <c r="P142" i="27"/>
  <c r="Q142" i="27"/>
  <c r="R142" i="27"/>
  <c r="S142" i="27"/>
  <c r="T142" i="27"/>
  <c r="U142" i="27"/>
  <c r="J143" i="27"/>
  <c r="A143" i="27" s="1"/>
  <c r="K143" i="27"/>
  <c r="B143" i="27" s="1"/>
  <c r="L143" i="27"/>
  <c r="D143" i="27" s="1"/>
  <c r="M143" i="27"/>
  <c r="C143" i="27" s="1"/>
  <c r="N143" i="27"/>
  <c r="O143" i="27"/>
  <c r="P143" i="27"/>
  <c r="Q143" i="27"/>
  <c r="R143" i="27"/>
  <c r="S143" i="27"/>
  <c r="T143" i="27"/>
  <c r="U143" i="27"/>
  <c r="AC143" i="26"/>
  <c r="AB143" i="26"/>
  <c r="J144" i="27"/>
  <c r="A144" i="27" s="1"/>
  <c r="K144" i="27"/>
  <c r="B144" i="27" s="1"/>
  <c r="L144" i="27"/>
  <c r="D144" i="27" s="1"/>
  <c r="M144" i="27"/>
  <c r="C144" i="27" s="1"/>
  <c r="N144" i="27"/>
  <c r="O144" i="27"/>
  <c r="P144" i="27"/>
  <c r="Q144" i="27"/>
  <c r="R144" i="27"/>
  <c r="S144" i="27"/>
  <c r="T144" i="27"/>
  <c r="U144" i="27"/>
  <c r="AC144" i="26"/>
  <c r="AB144" i="26"/>
  <c r="J145" i="27"/>
  <c r="A145" i="27" s="1"/>
  <c r="K145" i="27"/>
  <c r="B145" i="27" s="1"/>
  <c r="L145" i="27"/>
  <c r="D145" i="27" s="1"/>
  <c r="M145" i="27"/>
  <c r="C145" i="27" s="1"/>
  <c r="N145" i="27"/>
  <c r="O145" i="27"/>
  <c r="P145" i="27"/>
  <c r="Q145" i="27"/>
  <c r="R145" i="27"/>
  <c r="S145" i="27"/>
  <c r="T145" i="27"/>
  <c r="U145" i="27"/>
  <c r="AC145" i="26"/>
  <c r="AB145" i="26"/>
  <c r="J146" i="27"/>
  <c r="A146" i="27" s="1"/>
  <c r="K146" i="27"/>
  <c r="B146" i="27" s="1"/>
  <c r="L146" i="27"/>
  <c r="D146" i="27" s="1"/>
  <c r="M146" i="27"/>
  <c r="C146" i="27" s="1"/>
  <c r="N146" i="27"/>
  <c r="O146" i="27"/>
  <c r="P146" i="27"/>
  <c r="Q146" i="27"/>
  <c r="R146" i="27"/>
  <c r="S146" i="27"/>
  <c r="T146" i="27"/>
  <c r="U146" i="27"/>
  <c r="J147" i="27"/>
  <c r="A147" i="27" s="1"/>
  <c r="K147" i="27"/>
  <c r="B147" i="27" s="1"/>
  <c r="L147" i="27"/>
  <c r="D147" i="27" s="1"/>
  <c r="M147" i="27"/>
  <c r="C147" i="27" s="1"/>
  <c r="N147" i="27"/>
  <c r="O147" i="27"/>
  <c r="P147" i="27"/>
  <c r="Q147" i="27"/>
  <c r="R147" i="27"/>
  <c r="S147" i="27"/>
  <c r="T147" i="27"/>
  <c r="U147" i="27"/>
  <c r="J148" i="27"/>
  <c r="A148" i="27" s="1"/>
  <c r="K148" i="27"/>
  <c r="B148" i="27" s="1"/>
  <c r="L148" i="27"/>
  <c r="D148" i="27" s="1"/>
  <c r="M148" i="27"/>
  <c r="C148" i="27" s="1"/>
  <c r="N148" i="27"/>
  <c r="O148" i="27"/>
  <c r="P148" i="27"/>
  <c r="Q148" i="27"/>
  <c r="R148" i="27"/>
  <c r="S148" i="27"/>
  <c r="T148" i="27"/>
  <c r="U148" i="27"/>
  <c r="W148" i="26"/>
  <c r="F1348" i="10" s="1"/>
  <c r="X148" i="26"/>
  <c r="V148" i="26"/>
  <c r="AF148" i="26" s="1"/>
  <c r="AH148" i="26" s="1"/>
  <c r="AG148" i="26" s="1"/>
  <c r="U148" i="26"/>
  <c r="J149" i="27"/>
  <c r="A149" i="27" s="1"/>
  <c r="K149" i="27"/>
  <c r="B149" i="27" s="1"/>
  <c r="L149" i="27"/>
  <c r="D149" i="27" s="1"/>
  <c r="M149" i="27"/>
  <c r="C149" i="27" s="1"/>
  <c r="N149" i="27"/>
  <c r="O149" i="27"/>
  <c r="P149" i="27"/>
  <c r="Q149" i="27"/>
  <c r="R149" i="27"/>
  <c r="S149" i="27"/>
  <c r="T149" i="27"/>
  <c r="U149" i="27"/>
  <c r="AC149" i="26"/>
  <c r="AB149" i="26"/>
  <c r="J150" i="27"/>
  <c r="A150" i="27" s="1"/>
  <c r="K150" i="27"/>
  <c r="B150" i="27" s="1"/>
  <c r="L150" i="27"/>
  <c r="D150" i="27" s="1"/>
  <c r="M150" i="27"/>
  <c r="C150" i="27" s="1"/>
  <c r="N150" i="27"/>
  <c r="O150" i="27"/>
  <c r="P150" i="27"/>
  <c r="Q150" i="27"/>
  <c r="R150" i="27"/>
  <c r="S150" i="27"/>
  <c r="T150" i="27"/>
  <c r="U150" i="27"/>
  <c r="J151" i="27"/>
  <c r="A151" i="27" s="1"/>
  <c r="K151" i="27"/>
  <c r="B151" i="27" s="1"/>
  <c r="L151" i="27"/>
  <c r="D151" i="27" s="1"/>
  <c r="M151" i="27"/>
  <c r="C151" i="27" s="1"/>
  <c r="N151" i="27"/>
  <c r="O151" i="27"/>
  <c r="P151" i="27"/>
  <c r="Q151" i="27"/>
  <c r="R151" i="27"/>
  <c r="S151" i="27"/>
  <c r="T151" i="27"/>
  <c r="U151" i="27"/>
  <c r="J152" i="27"/>
  <c r="A152" i="27" s="1"/>
  <c r="K152" i="27"/>
  <c r="B152" i="27" s="1"/>
  <c r="L152" i="27"/>
  <c r="D152" i="27" s="1"/>
  <c r="M152" i="27"/>
  <c r="C152" i="27" s="1"/>
  <c r="N152" i="27"/>
  <c r="O152" i="27"/>
  <c r="P152" i="27"/>
  <c r="Q152" i="27"/>
  <c r="R152" i="27"/>
  <c r="S152" i="27"/>
  <c r="T152" i="27"/>
  <c r="U152" i="27"/>
  <c r="W152" i="26"/>
  <c r="X152" i="26"/>
  <c r="V152" i="26"/>
  <c r="AF152" i="26" s="1"/>
  <c r="AH152" i="26" s="1"/>
  <c r="U152" i="26"/>
  <c r="E152" i="6" s="1"/>
  <c r="J153" i="27"/>
  <c r="A153" i="27" s="1"/>
  <c r="K153" i="27"/>
  <c r="B153" i="27" s="1"/>
  <c r="L153" i="27"/>
  <c r="D153" i="27" s="1"/>
  <c r="M153" i="27"/>
  <c r="C153" i="27" s="1"/>
  <c r="N153" i="27"/>
  <c r="O153" i="27"/>
  <c r="P153" i="27"/>
  <c r="Q153" i="27"/>
  <c r="R153" i="27"/>
  <c r="S153" i="27"/>
  <c r="T153" i="27"/>
  <c r="U153" i="27"/>
  <c r="AC153" i="26"/>
  <c r="AB153" i="26"/>
  <c r="J154" i="27"/>
  <c r="A154" i="27" s="1"/>
  <c r="K154" i="27"/>
  <c r="B154" i="27" s="1"/>
  <c r="L154" i="27"/>
  <c r="D154" i="27" s="1"/>
  <c r="M154" i="27"/>
  <c r="C154" i="27" s="1"/>
  <c r="N154" i="27"/>
  <c r="O154" i="27"/>
  <c r="P154" i="27"/>
  <c r="Q154" i="27"/>
  <c r="R154" i="27"/>
  <c r="S154" i="27"/>
  <c r="T154" i="27"/>
  <c r="U154" i="27"/>
  <c r="J155" i="27"/>
  <c r="A155" i="27" s="1"/>
  <c r="K155" i="27"/>
  <c r="B155" i="27" s="1"/>
  <c r="L155" i="27"/>
  <c r="D155" i="27" s="1"/>
  <c r="M155" i="27"/>
  <c r="C155" i="27" s="1"/>
  <c r="N155" i="27"/>
  <c r="O155" i="27"/>
  <c r="P155" i="27"/>
  <c r="Q155" i="27"/>
  <c r="R155" i="27"/>
  <c r="S155" i="27"/>
  <c r="T155" i="27"/>
  <c r="U155" i="27"/>
  <c r="J156" i="27"/>
  <c r="A156" i="27" s="1"/>
  <c r="K156" i="27"/>
  <c r="B156" i="27" s="1"/>
  <c r="L156" i="27"/>
  <c r="D156" i="27" s="1"/>
  <c r="M156" i="27"/>
  <c r="C156" i="27" s="1"/>
  <c r="N156" i="27"/>
  <c r="O156" i="27"/>
  <c r="P156" i="27"/>
  <c r="Q156" i="27"/>
  <c r="R156" i="27"/>
  <c r="S156" i="27"/>
  <c r="T156" i="27"/>
  <c r="U156" i="27"/>
  <c r="W156" i="26"/>
  <c r="F1356" i="10" s="1"/>
  <c r="X156" i="26"/>
  <c r="V156" i="26"/>
  <c r="U156" i="26"/>
  <c r="D156" i="10" s="1"/>
  <c r="J157" i="27"/>
  <c r="A157" i="27" s="1"/>
  <c r="K157" i="27"/>
  <c r="B157" i="27" s="1"/>
  <c r="L157" i="27"/>
  <c r="D157" i="27" s="1"/>
  <c r="M157" i="27"/>
  <c r="C157" i="27" s="1"/>
  <c r="N157" i="27"/>
  <c r="O157" i="27"/>
  <c r="P157" i="27"/>
  <c r="Q157" i="27"/>
  <c r="R157" i="27"/>
  <c r="S157" i="27"/>
  <c r="T157" i="27"/>
  <c r="U157" i="27"/>
  <c r="J158" i="27"/>
  <c r="A158" i="27" s="1"/>
  <c r="K158" i="27"/>
  <c r="B158" i="27" s="1"/>
  <c r="L158" i="27"/>
  <c r="D158" i="27" s="1"/>
  <c r="M158" i="27"/>
  <c r="C158" i="27" s="1"/>
  <c r="N158" i="27"/>
  <c r="O158" i="27"/>
  <c r="P158" i="27"/>
  <c r="Q158" i="27"/>
  <c r="R158" i="27"/>
  <c r="S158" i="27"/>
  <c r="T158" i="27"/>
  <c r="U158" i="27"/>
  <c r="AC158" i="26"/>
  <c r="AB158" i="26"/>
  <c r="J159" i="27"/>
  <c r="A159" i="27" s="1"/>
  <c r="K159" i="27"/>
  <c r="B159" i="27" s="1"/>
  <c r="L159" i="27"/>
  <c r="D159" i="27" s="1"/>
  <c r="M159" i="27"/>
  <c r="C159" i="27" s="1"/>
  <c r="N159" i="27"/>
  <c r="O159" i="27"/>
  <c r="P159" i="27"/>
  <c r="Q159" i="27"/>
  <c r="R159" i="27"/>
  <c r="S159" i="27"/>
  <c r="T159" i="27"/>
  <c r="U159" i="27"/>
  <c r="AC159" i="26"/>
  <c r="AB159" i="26"/>
  <c r="J160" i="27"/>
  <c r="A160" i="27" s="1"/>
  <c r="K160" i="27"/>
  <c r="B160" i="27" s="1"/>
  <c r="L160" i="27"/>
  <c r="D160" i="27" s="1"/>
  <c r="M160" i="27"/>
  <c r="C160" i="27" s="1"/>
  <c r="N160" i="27"/>
  <c r="O160" i="27"/>
  <c r="P160" i="27"/>
  <c r="Q160" i="27"/>
  <c r="R160" i="27"/>
  <c r="S160" i="27"/>
  <c r="T160" i="27"/>
  <c r="U160" i="27"/>
  <c r="J161" i="27"/>
  <c r="A161" i="27" s="1"/>
  <c r="K161" i="27"/>
  <c r="B161" i="27" s="1"/>
  <c r="L161" i="27"/>
  <c r="D161" i="27" s="1"/>
  <c r="M161" i="27"/>
  <c r="C161" i="27" s="1"/>
  <c r="N161" i="27"/>
  <c r="O161" i="27"/>
  <c r="P161" i="27"/>
  <c r="Q161" i="27"/>
  <c r="R161" i="27"/>
  <c r="S161" i="27"/>
  <c r="T161" i="27"/>
  <c r="U161" i="27"/>
  <c r="J162" i="27"/>
  <c r="A162" i="27" s="1"/>
  <c r="K162" i="27"/>
  <c r="B162" i="27" s="1"/>
  <c r="L162" i="27"/>
  <c r="D162" i="27" s="1"/>
  <c r="M162" i="27"/>
  <c r="C162" i="27" s="1"/>
  <c r="N162" i="27"/>
  <c r="O162" i="27"/>
  <c r="P162" i="27"/>
  <c r="Q162" i="27"/>
  <c r="R162" i="27"/>
  <c r="S162" i="27"/>
  <c r="T162" i="27"/>
  <c r="U162" i="27"/>
  <c r="J163" i="27"/>
  <c r="A163" i="27" s="1"/>
  <c r="K163" i="27"/>
  <c r="B163" i="27" s="1"/>
  <c r="L163" i="27"/>
  <c r="D163" i="27" s="1"/>
  <c r="M163" i="27"/>
  <c r="C163" i="27" s="1"/>
  <c r="N163" i="27"/>
  <c r="O163" i="27"/>
  <c r="P163" i="27"/>
  <c r="Q163" i="27"/>
  <c r="R163" i="27"/>
  <c r="S163" i="27"/>
  <c r="T163" i="27"/>
  <c r="U163" i="27"/>
  <c r="W163" i="26"/>
  <c r="X163" i="26"/>
  <c r="V163" i="26"/>
  <c r="AN163" i="26" s="1"/>
  <c r="U163" i="26"/>
  <c r="E163" i="9" s="1"/>
  <c r="J164" i="27"/>
  <c r="A164" i="27" s="1"/>
  <c r="K164" i="27"/>
  <c r="B164" i="27" s="1"/>
  <c r="L164" i="27"/>
  <c r="D164" i="27" s="1"/>
  <c r="M164" i="27"/>
  <c r="C164" i="27" s="1"/>
  <c r="N164" i="27"/>
  <c r="O164" i="27"/>
  <c r="P164" i="27"/>
  <c r="Q164" i="27"/>
  <c r="R164" i="27"/>
  <c r="S164" i="27"/>
  <c r="T164" i="27"/>
  <c r="U164" i="27"/>
  <c r="J165" i="27"/>
  <c r="A165" i="27" s="1"/>
  <c r="K165" i="27"/>
  <c r="B165" i="27" s="1"/>
  <c r="L165" i="27"/>
  <c r="D165" i="27" s="1"/>
  <c r="M165" i="27"/>
  <c r="C165" i="27" s="1"/>
  <c r="N165" i="27"/>
  <c r="O165" i="27"/>
  <c r="P165" i="27"/>
  <c r="Q165" i="27"/>
  <c r="R165" i="27"/>
  <c r="S165" i="27"/>
  <c r="T165" i="27"/>
  <c r="U165" i="27"/>
  <c r="J166" i="27"/>
  <c r="A166" i="27" s="1"/>
  <c r="K166" i="27"/>
  <c r="B166" i="27" s="1"/>
  <c r="L166" i="27"/>
  <c r="D166" i="27" s="1"/>
  <c r="M166" i="27"/>
  <c r="C166" i="27" s="1"/>
  <c r="N166" i="27"/>
  <c r="O166" i="27"/>
  <c r="P166" i="27"/>
  <c r="Q166" i="27"/>
  <c r="R166" i="27"/>
  <c r="S166" i="27"/>
  <c r="T166" i="27"/>
  <c r="U166" i="27"/>
  <c r="J167" i="27"/>
  <c r="A167" i="27" s="1"/>
  <c r="K167" i="27"/>
  <c r="B167" i="27" s="1"/>
  <c r="L167" i="27"/>
  <c r="D167" i="27" s="1"/>
  <c r="M167" i="27"/>
  <c r="C167" i="27" s="1"/>
  <c r="N167" i="27"/>
  <c r="O167" i="27"/>
  <c r="P167" i="27"/>
  <c r="Q167" i="27"/>
  <c r="R167" i="27"/>
  <c r="S167" i="27"/>
  <c r="T167" i="27"/>
  <c r="U167" i="27"/>
  <c r="J168" i="27"/>
  <c r="A168" i="27" s="1"/>
  <c r="K168" i="27"/>
  <c r="B168" i="27" s="1"/>
  <c r="L168" i="27"/>
  <c r="D168" i="27" s="1"/>
  <c r="M168" i="27"/>
  <c r="C168" i="27" s="1"/>
  <c r="N168" i="27"/>
  <c r="O168" i="27"/>
  <c r="P168" i="27"/>
  <c r="Q168" i="27"/>
  <c r="R168" i="27"/>
  <c r="S168" i="27"/>
  <c r="T168" i="27"/>
  <c r="U168" i="27"/>
  <c r="W168" i="26"/>
  <c r="F1368" i="10" s="1"/>
  <c r="X168" i="26"/>
  <c r="V168" i="26"/>
  <c r="U168" i="26"/>
  <c r="J169" i="27"/>
  <c r="A169" i="27" s="1"/>
  <c r="K169" i="27"/>
  <c r="B169" i="27" s="1"/>
  <c r="L169" i="27"/>
  <c r="D169" i="27" s="1"/>
  <c r="M169" i="27"/>
  <c r="C169" i="27" s="1"/>
  <c r="N169" i="27"/>
  <c r="O169" i="27"/>
  <c r="P169" i="27"/>
  <c r="Q169" i="27"/>
  <c r="R169" i="27"/>
  <c r="S169" i="27"/>
  <c r="T169" i="27"/>
  <c r="U169" i="27"/>
  <c r="AC169" i="26"/>
  <c r="AB169" i="26"/>
  <c r="J170" i="27"/>
  <c r="A170" i="27" s="1"/>
  <c r="K170" i="27"/>
  <c r="B170" i="27" s="1"/>
  <c r="L170" i="27"/>
  <c r="D170" i="27" s="1"/>
  <c r="M170" i="27"/>
  <c r="C170" i="27" s="1"/>
  <c r="N170" i="27"/>
  <c r="O170" i="27"/>
  <c r="P170" i="27"/>
  <c r="Q170" i="27"/>
  <c r="R170" i="27"/>
  <c r="S170" i="27"/>
  <c r="T170" i="27"/>
  <c r="U170" i="27"/>
  <c r="J171" i="27"/>
  <c r="A171" i="27" s="1"/>
  <c r="K171" i="27"/>
  <c r="B171" i="27" s="1"/>
  <c r="L171" i="27"/>
  <c r="D171" i="27" s="1"/>
  <c r="M171" i="27"/>
  <c r="C171" i="27" s="1"/>
  <c r="N171" i="27"/>
  <c r="O171" i="27"/>
  <c r="P171" i="27"/>
  <c r="Q171" i="27"/>
  <c r="R171" i="27"/>
  <c r="S171" i="27"/>
  <c r="T171" i="27"/>
  <c r="U171" i="27"/>
  <c r="J172" i="27"/>
  <c r="A172" i="27" s="1"/>
  <c r="K172" i="27"/>
  <c r="B172" i="27" s="1"/>
  <c r="L172" i="27"/>
  <c r="D172" i="27" s="1"/>
  <c r="M172" i="27"/>
  <c r="C172" i="27" s="1"/>
  <c r="N172" i="27"/>
  <c r="O172" i="27"/>
  <c r="P172" i="27"/>
  <c r="Q172" i="27"/>
  <c r="R172" i="27"/>
  <c r="S172" i="27"/>
  <c r="T172" i="27"/>
  <c r="U172" i="27"/>
  <c r="J173" i="27"/>
  <c r="A173" i="27" s="1"/>
  <c r="K173" i="27"/>
  <c r="B173" i="27" s="1"/>
  <c r="L173" i="27"/>
  <c r="D173" i="27" s="1"/>
  <c r="M173" i="27"/>
  <c r="C173" i="27" s="1"/>
  <c r="N173" i="27"/>
  <c r="O173" i="27"/>
  <c r="P173" i="27"/>
  <c r="Q173" i="27"/>
  <c r="R173" i="27"/>
  <c r="S173" i="27"/>
  <c r="T173" i="27"/>
  <c r="U173" i="27"/>
  <c r="W173" i="26"/>
  <c r="F1373" i="10" s="1"/>
  <c r="X173" i="26"/>
  <c r="V173" i="26"/>
  <c r="E173" i="10" s="1"/>
  <c r="U173" i="26"/>
  <c r="J174" i="27"/>
  <c r="A174" i="27" s="1"/>
  <c r="K174" i="27"/>
  <c r="B174" i="27" s="1"/>
  <c r="L174" i="27"/>
  <c r="D174" i="27" s="1"/>
  <c r="M174" i="27"/>
  <c r="C174" i="27" s="1"/>
  <c r="N174" i="27"/>
  <c r="O174" i="27"/>
  <c r="P174" i="27"/>
  <c r="Q174" i="27"/>
  <c r="R174" i="27"/>
  <c r="S174" i="27"/>
  <c r="T174" i="27"/>
  <c r="U174" i="27"/>
  <c r="J175" i="27"/>
  <c r="A175" i="27" s="1"/>
  <c r="K175" i="27"/>
  <c r="B175" i="27" s="1"/>
  <c r="L175" i="27"/>
  <c r="D175" i="27" s="1"/>
  <c r="M175" i="27"/>
  <c r="C175" i="27" s="1"/>
  <c r="N175" i="27"/>
  <c r="O175" i="27"/>
  <c r="P175" i="27"/>
  <c r="Q175" i="27"/>
  <c r="R175" i="27"/>
  <c r="S175" i="27"/>
  <c r="T175" i="27"/>
  <c r="U175" i="27"/>
  <c r="J176" i="27"/>
  <c r="A176" i="27" s="1"/>
  <c r="K176" i="27"/>
  <c r="B176" i="27" s="1"/>
  <c r="L176" i="27"/>
  <c r="D176" i="27" s="1"/>
  <c r="M176" i="27"/>
  <c r="C176" i="27" s="1"/>
  <c r="N176" i="27"/>
  <c r="O176" i="27"/>
  <c r="P176" i="27"/>
  <c r="Q176" i="27"/>
  <c r="R176" i="27"/>
  <c r="S176" i="27"/>
  <c r="T176" i="27"/>
  <c r="U176" i="27"/>
  <c r="J177" i="27"/>
  <c r="A177" i="27" s="1"/>
  <c r="K177" i="27"/>
  <c r="B177" i="27" s="1"/>
  <c r="L177" i="27"/>
  <c r="D177" i="27" s="1"/>
  <c r="M177" i="27"/>
  <c r="C177" i="27" s="1"/>
  <c r="N177" i="27"/>
  <c r="O177" i="27"/>
  <c r="P177" i="27"/>
  <c r="Q177" i="27"/>
  <c r="R177" i="27"/>
  <c r="S177" i="27"/>
  <c r="T177" i="27"/>
  <c r="U177" i="27"/>
  <c r="J178" i="27"/>
  <c r="A178" i="27" s="1"/>
  <c r="K178" i="27"/>
  <c r="B178" i="27" s="1"/>
  <c r="L178" i="27"/>
  <c r="D178" i="27" s="1"/>
  <c r="M178" i="27"/>
  <c r="C178" i="27" s="1"/>
  <c r="N178" i="27"/>
  <c r="O178" i="27"/>
  <c r="P178" i="27"/>
  <c r="Q178" i="27"/>
  <c r="R178" i="27"/>
  <c r="S178" i="27"/>
  <c r="T178" i="27"/>
  <c r="U178" i="27"/>
  <c r="J179" i="27"/>
  <c r="A179" i="27" s="1"/>
  <c r="K179" i="27"/>
  <c r="B179" i="27" s="1"/>
  <c r="L179" i="27"/>
  <c r="D179" i="27" s="1"/>
  <c r="M179" i="27"/>
  <c r="C179" i="27" s="1"/>
  <c r="N179" i="27"/>
  <c r="O179" i="27"/>
  <c r="P179" i="27"/>
  <c r="Q179" i="27"/>
  <c r="R179" i="27"/>
  <c r="S179" i="27"/>
  <c r="T179" i="27"/>
  <c r="U179" i="27"/>
  <c r="J180" i="27"/>
  <c r="A180" i="27" s="1"/>
  <c r="K180" i="27"/>
  <c r="B180" i="27" s="1"/>
  <c r="L180" i="27"/>
  <c r="D180" i="27" s="1"/>
  <c r="M180" i="27"/>
  <c r="C180" i="27" s="1"/>
  <c r="N180" i="27"/>
  <c r="O180" i="27"/>
  <c r="P180" i="27"/>
  <c r="Q180" i="27"/>
  <c r="R180" i="27"/>
  <c r="S180" i="27"/>
  <c r="T180" i="27"/>
  <c r="U180" i="27"/>
  <c r="J181" i="27"/>
  <c r="A181" i="27" s="1"/>
  <c r="K181" i="27"/>
  <c r="B181" i="27" s="1"/>
  <c r="L181" i="27"/>
  <c r="D181" i="27" s="1"/>
  <c r="M181" i="27"/>
  <c r="C181" i="27" s="1"/>
  <c r="N181" i="27"/>
  <c r="O181" i="27"/>
  <c r="P181" i="27"/>
  <c r="Q181" i="27"/>
  <c r="R181" i="27"/>
  <c r="S181" i="27"/>
  <c r="T181" i="27"/>
  <c r="U181" i="27"/>
  <c r="J182" i="27"/>
  <c r="A182" i="27" s="1"/>
  <c r="K182" i="27"/>
  <c r="B182" i="27" s="1"/>
  <c r="L182" i="27"/>
  <c r="D182" i="27" s="1"/>
  <c r="M182" i="27"/>
  <c r="C182" i="27" s="1"/>
  <c r="N182" i="27"/>
  <c r="O182" i="27"/>
  <c r="P182" i="27"/>
  <c r="Q182" i="27"/>
  <c r="R182" i="27"/>
  <c r="S182" i="27"/>
  <c r="T182" i="27"/>
  <c r="U182" i="27"/>
  <c r="J183" i="27"/>
  <c r="A183" i="27" s="1"/>
  <c r="K183" i="27"/>
  <c r="B183" i="27" s="1"/>
  <c r="L183" i="27"/>
  <c r="D183" i="27" s="1"/>
  <c r="M183" i="27"/>
  <c r="C183" i="27" s="1"/>
  <c r="N183" i="27"/>
  <c r="O183" i="27"/>
  <c r="P183" i="27"/>
  <c r="Q183" i="27"/>
  <c r="R183" i="27"/>
  <c r="S183" i="27"/>
  <c r="T183" i="27"/>
  <c r="U183" i="27"/>
  <c r="J184" i="27"/>
  <c r="A184" i="27" s="1"/>
  <c r="K184" i="27"/>
  <c r="B184" i="27" s="1"/>
  <c r="L184" i="27"/>
  <c r="D184" i="27" s="1"/>
  <c r="M184" i="27"/>
  <c r="C184" i="27" s="1"/>
  <c r="N184" i="27"/>
  <c r="O184" i="27"/>
  <c r="P184" i="27"/>
  <c r="Q184" i="27"/>
  <c r="R184" i="27"/>
  <c r="S184" i="27"/>
  <c r="T184" i="27"/>
  <c r="U184" i="27"/>
  <c r="J185" i="27"/>
  <c r="A185" i="27" s="1"/>
  <c r="K185" i="27"/>
  <c r="B185" i="27" s="1"/>
  <c r="L185" i="27"/>
  <c r="D185" i="27" s="1"/>
  <c r="M185" i="27"/>
  <c r="C185" i="27" s="1"/>
  <c r="N185" i="27"/>
  <c r="O185" i="27"/>
  <c r="P185" i="27"/>
  <c r="Q185" i="27"/>
  <c r="R185" i="27"/>
  <c r="S185" i="27"/>
  <c r="T185" i="27"/>
  <c r="U185" i="27"/>
  <c r="J186" i="27"/>
  <c r="A186" i="27" s="1"/>
  <c r="K186" i="27"/>
  <c r="B186" i="27" s="1"/>
  <c r="L186" i="27"/>
  <c r="D186" i="27" s="1"/>
  <c r="M186" i="27"/>
  <c r="C186" i="27" s="1"/>
  <c r="N186" i="27"/>
  <c r="O186" i="27"/>
  <c r="P186" i="27"/>
  <c r="Q186" i="27"/>
  <c r="R186" i="27"/>
  <c r="S186" i="27"/>
  <c r="T186" i="27"/>
  <c r="U186" i="27"/>
  <c r="J187" i="27"/>
  <c r="A187" i="27" s="1"/>
  <c r="K187" i="27"/>
  <c r="B187" i="27" s="1"/>
  <c r="L187" i="27"/>
  <c r="D187" i="27" s="1"/>
  <c r="M187" i="27"/>
  <c r="C187" i="27" s="1"/>
  <c r="N187" i="27"/>
  <c r="O187" i="27"/>
  <c r="P187" i="27"/>
  <c r="Q187" i="27"/>
  <c r="R187" i="27"/>
  <c r="S187" i="27"/>
  <c r="T187" i="27"/>
  <c r="U187" i="27"/>
  <c r="J188" i="27"/>
  <c r="A188" i="27" s="1"/>
  <c r="K188" i="27"/>
  <c r="B188" i="27" s="1"/>
  <c r="L188" i="27"/>
  <c r="D188" i="27" s="1"/>
  <c r="M188" i="27"/>
  <c r="C188" i="27" s="1"/>
  <c r="N188" i="27"/>
  <c r="O188" i="27"/>
  <c r="P188" i="27"/>
  <c r="Q188" i="27"/>
  <c r="R188" i="27"/>
  <c r="S188" i="27"/>
  <c r="T188" i="27"/>
  <c r="U188" i="27"/>
  <c r="W188" i="26"/>
  <c r="X188" i="26"/>
  <c r="V188" i="26"/>
  <c r="U188" i="26"/>
  <c r="E188" i="6" s="1"/>
  <c r="J189" i="27"/>
  <c r="A189" i="27" s="1"/>
  <c r="K189" i="27"/>
  <c r="B189" i="27" s="1"/>
  <c r="L189" i="27"/>
  <c r="D189" i="27" s="1"/>
  <c r="M189" i="27"/>
  <c r="C189" i="27" s="1"/>
  <c r="N189" i="27"/>
  <c r="O189" i="27"/>
  <c r="P189" i="27"/>
  <c r="Q189" i="27"/>
  <c r="R189" i="27"/>
  <c r="S189" i="27"/>
  <c r="T189" i="27"/>
  <c r="U189" i="27"/>
  <c r="AC189" i="26"/>
  <c r="AB189" i="26"/>
  <c r="J190" i="27"/>
  <c r="A190" i="27" s="1"/>
  <c r="K190" i="27"/>
  <c r="B190" i="27" s="1"/>
  <c r="L190" i="27"/>
  <c r="D190" i="27" s="1"/>
  <c r="M190" i="27"/>
  <c r="C190" i="27" s="1"/>
  <c r="N190" i="27"/>
  <c r="O190" i="27"/>
  <c r="P190" i="27"/>
  <c r="Q190" i="27"/>
  <c r="R190" i="27"/>
  <c r="S190" i="27"/>
  <c r="T190" i="27"/>
  <c r="U190" i="27"/>
  <c r="J191" i="27"/>
  <c r="A191" i="27" s="1"/>
  <c r="K191" i="27"/>
  <c r="B191" i="27" s="1"/>
  <c r="L191" i="27"/>
  <c r="D191" i="27" s="1"/>
  <c r="M191" i="27"/>
  <c r="C191" i="27" s="1"/>
  <c r="N191" i="27"/>
  <c r="O191" i="27"/>
  <c r="P191" i="27"/>
  <c r="Q191" i="27"/>
  <c r="R191" i="27"/>
  <c r="S191" i="27"/>
  <c r="T191" i="27"/>
  <c r="U191" i="27"/>
  <c r="J192" i="27"/>
  <c r="A192" i="27" s="1"/>
  <c r="K192" i="27"/>
  <c r="B192" i="27" s="1"/>
  <c r="L192" i="27"/>
  <c r="D192" i="27" s="1"/>
  <c r="M192" i="27"/>
  <c r="C192" i="27" s="1"/>
  <c r="N192" i="27"/>
  <c r="O192" i="27"/>
  <c r="P192" i="27"/>
  <c r="Q192" i="27"/>
  <c r="R192" i="27"/>
  <c r="S192" i="27"/>
  <c r="T192" i="27"/>
  <c r="U192" i="27"/>
  <c r="J193" i="27"/>
  <c r="A193" i="27" s="1"/>
  <c r="K193" i="27"/>
  <c r="B193" i="27" s="1"/>
  <c r="L193" i="27"/>
  <c r="D193" i="27" s="1"/>
  <c r="M193" i="27"/>
  <c r="C193" i="27" s="1"/>
  <c r="N193" i="27"/>
  <c r="O193" i="27"/>
  <c r="P193" i="27"/>
  <c r="Q193" i="27"/>
  <c r="R193" i="27"/>
  <c r="S193" i="27"/>
  <c r="T193" i="27"/>
  <c r="U193" i="27"/>
  <c r="J194" i="27"/>
  <c r="A194" i="27" s="1"/>
  <c r="K194" i="27"/>
  <c r="B194" i="27" s="1"/>
  <c r="L194" i="27"/>
  <c r="D194" i="27" s="1"/>
  <c r="M194" i="27"/>
  <c r="C194" i="27" s="1"/>
  <c r="N194" i="27"/>
  <c r="O194" i="27"/>
  <c r="P194" i="27"/>
  <c r="Q194" i="27"/>
  <c r="R194" i="27"/>
  <c r="S194" i="27"/>
  <c r="T194" i="27"/>
  <c r="U194" i="27"/>
  <c r="J195" i="27"/>
  <c r="A195" i="27" s="1"/>
  <c r="K195" i="27"/>
  <c r="B195" i="27" s="1"/>
  <c r="L195" i="27"/>
  <c r="D195" i="27" s="1"/>
  <c r="M195" i="27"/>
  <c r="C195" i="27" s="1"/>
  <c r="N195" i="27"/>
  <c r="O195" i="27"/>
  <c r="P195" i="27"/>
  <c r="Q195" i="27"/>
  <c r="R195" i="27"/>
  <c r="S195" i="27"/>
  <c r="T195" i="27"/>
  <c r="U195" i="27"/>
  <c r="W195" i="26"/>
  <c r="X195" i="26"/>
  <c r="V195" i="26"/>
  <c r="E195" i="10" s="1"/>
  <c r="U195" i="26"/>
  <c r="AA195" i="26" s="1"/>
  <c r="J196" i="27"/>
  <c r="A196" i="27" s="1"/>
  <c r="K196" i="27"/>
  <c r="B196" i="27" s="1"/>
  <c r="L196" i="27"/>
  <c r="D196" i="27" s="1"/>
  <c r="M196" i="27"/>
  <c r="C196" i="27" s="1"/>
  <c r="N196" i="27"/>
  <c r="O196" i="27"/>
  <c r="P196" i="27"/>
  <c r="Q196" i="27"/>
  <c r="R196" i="27"/>
  <c r="S196" i="27"/>
  <c r="T196" i="27"/>
  <c r="U196" i="27"/>
  <c r="AC196" i="26"/>
  <c r="AB196" i="26"/>
  <c r="J197" i="27"/>
  <c r="A197" i="27" s="1"/>
  <c r="K197" i="27"/>
  <c r="B197" i="27" s="1"/>
  <c r="L197" i="27"/>
  <c r="D197" i="27" s="1"/>
  <c r="M197" i="27"/>
  <c r="C197" i="27" s="1"/>
  <c r="N197" i="27"/>
  <c r="O197" i="27"/>
  <c r="P197" i="27"/>
  <c r="Q197" i="27"/>
  <c r="R197" i="27"/>
  <c r="S197" i="27"/>
  <c r="T197" i="27"/>
  <c r="U197" i="27"/>
  <c r="J198" i="27"/>
  <c r="A198" i="27" s="1"/>
  <c r="K198" i="27"/>
  <c r="B198" i="27" s="1"/>
  <c r="L198" i="27"/>
  <c r="D198" i="27" s="1"/>
  <c r="M198" i="27"/>
  <c r="C198" i="27" s="1"/>
  <c r="N198" i="27"/>
  <c r="O198" i="27"/>
  <c r="P198" i="27"/>
  <c r="Q198" i="27"/>
  <c r="R198" i="27"/>
  <c r="S198" i="27"/>
  <c r="T198" i="27"/>
  <c r="U198" i="27"/>
  <c r="J199" i="27"/>
  <c r="A199" i="27" s="1"/>
  <c r="K199" i="27"/>
  <c r="B199" i="27" s="1"/>
  <c r="L199" i="27"/>
  <c r="D199" i="27" s="1"/>
  <c r="M199" i="27"/>
  <c r="C199" i="27" s="1"/>
  <c r="N199" i="27"/>
  <c r="O199" i="27"/>
  <c r="P199" i="27"/>
  <c r="Q199" i="27"/>
  <c r="R199" i="27"/>
  <c r="S199" i="27"/>
  <c r="T199" i="27"/>
  <c r="U199" i="27"/>
  <c r="J200" i="27"/>
  <c r="A200" i="27" s="1"/>
  <c r="K200" i="27"/>
  <c r="B200" i="27" s="1"/>
  <c r="L200" i="27"/>
  <c r="D200" i="27" s="1"/>
  <c r="M200" i="27"/>
  <c r="C200" i="27" s="1"/>
  <c r="N200" i="27"/>
  <c r="O200" i="27"/>
  <c r="P200" i="27"/>
  <c r="Q200" i="27"/>
  <c r="R200" i="27"/>
  <c r="S200" i="27"/>
  <c r="T200" i="27"/>
  <c r="U200" i="27"/>
  <c r="J201" i="27"/>
  <c r="A201" i="27" s="1"/>
  <c r="K201" i="27"/>
  <c r="B201" i="27" s="1"/>
  <c r="L201" i="27"/>
  <c r="D201" i="27" s="1"/>
  <c r="M201" i="27"/>
  <c r="C201" i="27" s="1"/>
  <c r="N201" i="27"/>
  <c r="O201" i="27"/>
  <c r="P201" i="27"/>
  <c r="Q201" i="27"/>
  <c r="R201" i="27"/>
  <c r="S201" i="27"/>
  <c r="T201" i="27"/>
  <c r="U201" i="27"/>
  <c r="J202" i="27"/>
  <c r="A202" i="27" s="1"/>
  <c r="K202" i="27"/>
  <c r="B202" i="27" s="1"/>
  <c r="L202" i="27"/>
  <c r="D202" i="27" s="1"/>
  <c r="M202" i="27"/>
  <c r="C202" i="27" s="1"/>
  <c r="N202" i="27"/>
  <c r="O202" i="27"/>
  <c r="P202" i="27"/>
  <c r="Q202" i="27"/>
  <c r="R202" i="27"/>
  <c r="S202" i="27"/>
  <c r="T202" i="27"/>
  <c r="U202" i="27"/>
  <c r="J203" i="27"/>
  <c r="A203" i="27" s="1"/>
  <c r="K203" i="27"/>
  <c r="B203" i="27" s="1"/>
  <c r="L203" i="27"/>
  <c r="D203" i="27" s="1"/>
  <c r="M203" i="27"/>
  <c r="C203" i="27" s="1"/>
  <c r="N203" i="27"/>
  <c r="O203" i="27"/>
  <c r="P203" i="27"/>
  <c r="Q203" i="27"/>
  <c r="R203" i="27"/>
  <c r="S203" i="27"/>
  <c r="T203" i="27"/>
  <c r="U203" i="27"/>
  <c r="J204" i="27"/>
  <c r="A204" i="27" s="1"/>
  <c r="K204" i="27"/>
  <c r="B204" i="27" s="1"/>
  <c r="L204" i="27"/>
  <c r="D204" i="27" s="1"/>
  <c r="M204" i="27"/>
  <c r="C204" i="27" s="1"/>
  <c r="N204" i="27"/>
  <c r="O204" i="27"/>
  <c r="P204" i="27"/>
  <c r="Q204" i="27"/>
  <c r="R204" i="27"/>
  <c r="S204" i="27"/>
  <c r="T204" i="27"/>
  <c r="U204" i="27"/>
  <c r="J205" i="27"/>
  <c r="A205" i="27" s="1"/>
  <c r="K205" i="27"/>
  <c r="B205" i="27" s="1"/>
  <c r="L205" i="27"/>
  <c r="D205" i="27" s="1"/>
  <c r="M205" i="27"/>
  <c r="C205" i="27" s="1"/>
  <c r="N205" i="27"/>
  <c r="O205" i="27"/>
  <c r="P205" i="27"/>
  <c r="Q205" i="27"/>
  <c r="R205" i="27"/>
  <c r="S205" i="27"/>
  <c r="T205" i="27"/>
  <c r="U205" i="27"/>
  <c r="J206" i="27"/>
  <c r="A206" i="27" s="1"/>
  <c r="K206" i="27"/>
  <c r="B206" i="27" s="1"/>
  <c r="L206" i="27"/>
  <c r="D206" i="27" s="1"/>
  <c r="M206" i="27"/>
  <c r="C206" i="27" s="1"/>
  <c r="N206" i="27"/>
  <c r="O206" i="27"/>
  <c r="P206" i="27"/>
  <c r="Q206" i="27"/>
  <c r="R206" i="27"/>
  <c r="S206" i="27"/>
  <c r="T206" i="27"/>
  <c r="U206" i="27"/>
  <c r="W206" i="26"/>
  <c r="X206" i="26"/>
  <c r="V206" i="26"/>
  <c r="AF206" i="26" s="1"/>
  <c r="AH206" i="26" s="1"/>
  <c r="AG206" i="26" s="1"/>
  <c r="U206" i="26"/>
  <c r="D206" i="10" s="1"/>
  <c r="J207" i="27"/>
  <c r="A207" i="27" s="1"/>
  <c r="K207" i="27"/>
  <c r="B207" i="27" s="1"/>
  <c r="L207" i="27"/>
  <c r="D207" i="27" s="1"/>
  <c r="M207" i="27"/>
  <c r="C207" i="27" s="1"/>
  <c r="N207" i="27"/>
  <c r="O207" i="27"/>
  <c r="P207" i="27"/>
  <c r="Q207" i="27"/>
  <c r="R207" i="27"/>
  <c r="S207" i="27"/>
  <c r="T207" i="27"/>
  <c r="U207" i="27"/>
  <c r="AC207" i="26"/>
  <c r="AB207" i="26"/>
  <c r="J208" i="27"/>
  <c r="A208" i="27" s="1"/>
  <c r="K208" i="27"/>
  <c r="B208" i="27" s="1"/>
  <c r="L208" i="27"/>
  <c r="D208" i="27" s="1"/>
  <c r="M208" i="27"/>
  <c r="C208" i="27" s="1"/>
  <c r="N208" i="27"/>
  <c r="O208" i="27"/>
  <c r="P208" i="27"/>
  <c r="Q208" i="27"/>
  <c r="R208" i="27"/>
  <c r="S208" i="27"/>
  <c r="T208" i="27"/>
  <c r="U208" i="27"/>
  <c r="J209" i="27"/>
  <c r="A209" i="27" s="1"/>
  <c r="K209" i="27"/>
  <c r="B209" i="27" s="1"/>
  <c r="L209" i="27"/>
  <c r="D209" i="27" s="1"/>
  <c r="M209" i="27"/>
  <c r="C209" i="27" s="1"/>
  <c r="N209" i="27"/>
  <c r="O209" i="27"/>
  <c r="P209" i="27"/>
  <c r="Q209" i="27"/>
  <c r="R209" i="27"/>
  <c r="S209" i="27"/>
  <c r="T209" i="27"/>
  <c r="U209" i="27"/>
  <c r="J210" i="27"/>
  <c r="A210" i="27" s="1"/>
  <c r="K210" i="27"/>
  <c r="B210" i="27" s="1"/>
  <c r="L210" i="27"/>
  <c r="D210" i="27" s="1"/>
  <c r="M210" i="27"/>
  <c r="C210" i="27" s="1"/>
  <c r="N210" i="27"/>
  <c r="O210" i="27"/>
  <c r="P210" i="27"/>
  <c r="Q210" i="27"/>
  <c r="R210" i="27"/>
  <c r="S210" i="27"/>
  <c r="T210" i="27"/>
  <c r="U210" i="27"/>
  <c r="W210" i="26"/>
  <c r="F1410" i="10" s="1"/>
  <c r="X210" i="26"/>
  <c r="V210" i="26"/>
  <c r="AN210" i="26" s="1"/>
  <c r="U210" i="26"/>
  <c r="E210" i="6" s="1"/>
  <c r="J211" i="27"/>
  <c r="A211" i="27" s="1"/>
  <c r="K211" i="27"/>
  <c r="B211" i="27" s="1"/>
  <c r="L211" i="27"/>
  <c r="D211" i="27" s="1"/>
  <c r="M211" i="27"/>
  <c r="C211" i="27" s="1"/>
  <c r="N211" i="27"/>
  <c r="O211" i="27"/>
  <c r="P211" i="27"/>
  <c r="Q211" i="27"/>
  <c r="R211" i="27"/>
  <c r="S211" i="27"/>
  <c r="T211" i="27"/>
  <c r="U211" i="27"/>
  <c r="J212" i="27"/>
  <c r="A212" i="27" s="1"/>
  <c r="K212" i="27"/>
  <c r="B212" i="27" s="1"/>
  <c r="L212" i="27"/>
  <c r="D212" i="27" s="1"/>
  <c r="M212" i="27"/>
  <c r="C212" i="27" s="1"/>
  <c r="N212" i="27"/>
  <c r="O212" i="27"/>
  <c r="P212" i="27"/>
  <c r="Q212" i="27"/>
  <c r="R212" i="27"/>
  <c r="S212" i="27"/>
  <c r="T212" i="27"/>
  <c r="U212" i="27"/>
  <c r="AC212" i="26"/>
  <c r="AB212" i="26"/>
  <c r="J213" i="27"/>
  <c r="A213" i="27" s="1"/>
  <c r="K213" i="27"/>
  <c r="B213" i="27" s="1"/>
  <c r="L213" i="27"/>
  <c r="D213" i="27" s="1"/>
  <c r="M213" i="27"/>
  <c r="C213" i="27" s="1"/>
  <c r="N213" i="27"/>
  <c r="O213" i="27"/>
  <c r="P213" i="27"/>
  <c r="Q213" i="27"/>
  <c r="R213" i="27"/>
  <c r="S213" i="27"/>
  <c r="T213" i="27"/>
  <c r="U213" i="27"/>
  <c r="J214" i="27"/>
  <c r="A214" i="27" s="1"/>
  <c r="K214" i="27"/>
  <c r="B214" i="27" s="1"/>
  <c r="L214" i="27"/>
  <c r="D214" i="27" s="1"/>
  <c r="M214" i="27"/>
  <c r="C214" i="27" s="1"/>
  <c r="N214" i="27"/>
  <c r="O214" i="27"/>
  <c r="P214" i="27"/>
  <c r="Q214" i="27"/>
  <c r="R214" i="27"/>
  <c r="S214" i="27"/>
  <c r="T214" i="27"/>
  <c r="U214" i="27"/>
  <c r="J215" i="27"/>
  <c r="A215" i="27" s="1"/>
  <c r="K215" i="27"/>
  <c r="B215" i="27" s="1"/>
  <c r="L215" i="27"/>
  <c r="D215" i="27" s="1"/>
  <c r="M215" i="27"/>
  <c r="C215" i="27" s="1"/>
  <c r="N215" i="27"/>
  <c r="O215" i="27"/>
  <c r="P215" i="27"/>
  <c r="Q215" i="27"/>
  <c r="R215" i="27"/>
  <c r="S215" i="27"/>
  <c r="T215" i="27"/>
  <c r="U215" i="27"/>
  <c r="J216" i="27"/>
  <c r="A216" i="27" s="1"/>
  <c r="K216" i="27"/>
  <c r="B216" i="27" s="1"/>
  <c r="L216" i="27"/>
  <c r="D216" i="27" s="1"/>
  <c r="M216" i="27"/>
  <c r="C216" i="27" s="1"/>
  <c r="N216" i="27"/>
  <c r="O216" i="27"/>
  <c r="P216" i="27"/>
  <c r="Q216" i="27"/>
  <c r="R216" i="27"/>
  <c r="S216" i="27"/>
  <c r="T216" i="27"/>
  <c r="U216" i="27"/>
  <c r="J217" i="27"/>
  <c r="A217" i="27" s="1"/>
  <c r="K217" i="27"/>
  <c r="B217" i="27" s="1"/>
  <c r="L217" i="27"/>
  <c r="D217" i="27" s="1"/>
  <c r="M217" i="27"/>
  <c r="C217" i="27" s="1"/>
  <c r="N217" i="27"/>
  <c r="O217" i="27"/>
  <c r="P217" i="27"/>
  <c r="Q217" i="27"/>
  <c r="R217" i="27"/>
  <c r="S217" i="27"/>
  <c r="T217" i="27"/>
  <c r="U217" i="27"/>
  <c r="W217" i="26"/>
  <c r="X217" i="26"/>
  <c r="V217" i="26"/>
  <c r="E217" i="10" s="1"/>
  <c r="U217" i="26"/>
  <c r="J218" i="27"/>
  <c r="A218" i="27" s="1"/>
  <c r="K218" i="27"/>
  <c r="B218" i="27" s="1"/>
  <c r="L218" i="27"/>
  <c r="D218" i="27" s="1"/>
  <c r="M218" i="27"/>
  <c r="C218" i="27" s="1"/>
  <c r="N218" i="27"/>
  <c r="O218" i="27"/>
  <c r="P218" i="27"/>
  <c r="Q218" i="27"/>
  <c r="R218" i="27"/>
  <c r="S218" i="27"/>
  <c r="T218" i="27"/>
  <c r="U218" i="27"/>
  <c r="AC218" i="26"/>
  <c r="AB218" i="26"/>
  <c r="J219" i="27"/>
  <c r="A219" i="27" s="1"/>
  <c r="K219" i="27"/>
  <c r="B219" i="27" s="1"/>
  <c r="L219" i="27"/>
  <c r="D219" i="27" s="1"/>
  <c r="M219" i="27"/>
  <c r="C219" i="27" s="1"/>
  <c r="N219" i="27"/>
  <c r="O219" i="27"/>
  <c r="P219" i="27"/>
  <c r="Q219" i="27"/>
  <c r="R219" i="27"/>
  <c r="S219" i="27"/>
  <c r="T219" i="27"/>
  <c r="U219" i="27"/>
  <c r="AC219" i="26"/>
  <c r="AB219" i="26"/>
  <c r="J220" i="27"/>
  <c r="A220" i="27" s="1"/>
  <c r="K220" i="27"/>
  <c r="B220" i="27" s="1"/>
  <c r="L220" i="27"/>
  <c r="D220" i="27" s="1"/>
  <c r="M220" i="27"/>
  <c r="C220" i="27" s="1"/>
  <c r="N220" i="27"/>
  <c r="O220" i="27"/>
  <c r="P220" i="27"/>
  <c r="Q220" i="27"/>
  <c r="R220" i="27"/>
  <c r="S220" i="27"/>
  <c r="T220" i="27"/>
  <c r="U220" i="27"/>
  <c r="J221" i="27"/>
  <c r="A221" i="27" s="1"/>
  <c r="K221" i="27"/>
  <c r="B221" i="27" s="1"/>
  <c r="L221" i="27"/>
  <c r="D221" i="27" s="1"/>
  <c r="M221" i="27"/>
  <c r="C221" i="27" s="1"/>
  <c r="N221" i="27"/>
  <c r="O221" i="27"/>
  <c r="P221" i="27"/>
  <c r="Q221" i="27"/>
  <c r="R221" i="27"/>
  <c r="S221" i="27"/>
  <c r="T221" i="27"/>
  <c r="U221" i="27"/>
  <c r="J222" i="27"/>
  <c r="A222" i="27" s="1"/>
  <c r="K222" i="27"/>
  <c r="B222" i="27" s="1"/>
  <c r="L222" i="27"/>
  <c r="D222" i="27" s="1"/>
  <c r="M222" i="27"/>
  <c r="C222" i="27" s="1"/>
  <c r="N222" i="27"/>
  <c r="O222" i="27"/>
  <c r="P222" i="27"/>
  <c r="Q222" i="27"/>
  <c r="R222" i="27"/>
  <c r="S222" i="27"/>
  <c r="T222" i="27"/>
  <c r="U222" i="27"/>
  <c r="J223" i="27"/>
  <c r="A223" i="27" s="1"/>
  <c r="K223" i="27"/>
  <c r="B223" i="27" s="1"/>
  <c r="L223" i="27"/>
  <c r="D223" i="27" s="1"/>
  <c r="M223" i="27"/>
  <c r="C223" i="27" s="1"/>
  <c r="N223" i="27"/>
  <c r="O223" i="27"/>
  <c r="P223" i="27"/>
  <c r="Q223" i="27"/>
  <c r="R223" i="27"/>
  <c r="S223" i="27"/>
  <c r="T223" i="27"/>
  <c r="U223" i="27"/>
  <c r="J224" i="27"/>
  <c r="A224" i="27" s="1"/>
  <c r="K224" i="27"/>
  <c r="B224" i="27" s="1"/>
  <c r="L224" i="27"/>
  <c r="D224" i="27" s="1"/>
  <c r="M224" i="27"/>
  <c r="C224" i="27" s="1"/>
  <c r="N224" i="27"/>
  <c r="O224" i="27"/>
  <c r="P224" i="27"/>
  <c r="Q224" i="27"/>
  <c r="R224" i="27"/>
  <c r="S224" i="27"/>
  <c r="T224" i="27"/>
  <c r="U224" i="27"/>
  <c r="J225" i="27"/>
  <c r="A225" i="27" s="1"/>
  <c r="K225" i="27"/>
  <c r="B225" i="27" s="1"/>
  <c r="L225" i="27"/>
  <c r="D225" i="27" s="1"/>
  <c r="M225" i="27"/>
  <c r="C225" i="27" s="1"/>
  <c r="N225" i="27"/>
  <c r="O225" i="27"/>
  <c r="P225" i="27"/>
  <c r="Q225" i="27"/>
  <c r="R225" i="27"/>
  <c r="S225" i="27"/>
  <c r="T225" i="27"/>
  <c r="U225" i="27"/>
  <c r="J226" i="27"/>
  <c r="A226" i="27" s="1"/>
  <c r="K226" i="27"/>
  <c r="B226" i="27" s="1"/>
  <c r="L226" i="27"/>
  <c r="D226" i="27" s="1"/>
  <c r="M226" i="27"/>
  <c r="C226" i="27" s="1"/>
  <c r="N226" i="27"/>
  <c r="O226" i="27"/>
  <c r="P226" i="27"/>
  <c r="Q226" i="27"/>
  <c r="R226" i="27"/>
  <c r="S226" i="27"/>
  <c r="T226" i="27"/>
  <c r="U226" i="27"/>
  <c r="J227" i="27"/>
  <c r="A227" i="27" s="1"/>
  <c r="K227" i="27"/>
  <c r="B227" i="27" s="1"/>
  <c r="L227" i="27"/>
  <c r="D227" i="27" s="1"/>
  <c r="M227" i="27"/>
  <c r="C227" i="27" s="1"/>
  <c r="N227" i="27"/>
  <c r="O227" i="27"/>
  <c r="P227" i="27"/>
  <c r="Q227" i="27"/>
  <c r="R227" i="27"/>
  <c r="S227" i="27"/>
  <c r="T227" i="27"/>
  <c r="U227" i="27"/>
  <c r="J228" i="27"/>
  <c r="A228" i="27" s="1"/>
  <c r="K228" i="27"/>
  <c r="B228" i="27" s="1"/>
  <c r="L228" i="27"/>
  <c r="D228" i="27" s="1"/>
  <c r="M228" i="27"/>
  <c r="C228" i="27" s="1"/>
  <c r="N228" i="27"/>
  <c r="O228" i="27"/>
  <c r="P228" i="27"/>
  <c r="Q228" i="27"/>
  <c r="R228" i="27"/>
  <c r="S228" i="27"/>
  <c r="T228" i="27"/>
  <c r="U228" i="27"/>
  <c r="J229" i="27"/>
  <c r="A229" i="27" s="1"/>
  <c r="K229" i="27"/>
  <c r="B229" i="27" s="1"/>
  <c r="L229" i="27"/>
  <c r="D229" i="27" s="1"/>
  <c r="M229" i="27"/>
  <c r="C229" i="27" s="1"/>
  <c r="N229" i="27"/>
  <c r="O229" i="27"/>
  <c r="P229" i="27"/>
  <c r="Q229" i="27"/>
  <c r="R229" i="27"/>
  <c r="S229" i="27"/>
  <c r="T229" i="27"/>
  <c r="U229" i="27"/>
  <c r="J230" i="27"/>
  <c r="A230" i="27" s="1"/>
  <c r="K230" i="27"/>
  <c r="B230" i="27" s="1"/>
  <c r="L230" i="27"/>
  <c r="D230" i="27" s="1"/>
  <c r="M230" i="27"/>
  <c r="C230" i="27" s="1"/>
  <c r="N230" i="27"/>
  <c r="O230" i="27"/>
  <c r="P230" i="27"/>
  <c r="Q230" i="27"/>
  <c r="R230" i="27"/>
  <c r="S230" i="27"/>
  <c r="T230" i="27"/>
  <c r="U230" i="27"/>
  <c r="J231" i="27"/>
  <c r="A231" i="27" s="1"/>
  <c r="K231" i="27"/>
  <c r="B231" i="27" s="1"/>
  <c r="L231" i="27"/>
  <c r="D231" i="27" s="1"/>
  <c r="M231" i="27"/>
  <c r="C231" i="27" s="1"/>
  <c r="N231" i="27"/>
  <c r="O231" i="27"/>
  <c r="P231" i="27"/>
  <c r="Q231" i="27"/>
  <c r="R231" i="27"/>
  <c r="S231" i="27"/>
  <c r="T231" i="27"/>
  <c r="U231" i="27"/>
  <c r="J232" i="27"/>
  <c r="A232" i="27" s="1"/>
  <c r="K232" i="27"/>
  <c r="B232" i="27" s="1"/>
  <c r="L232" i="27"/>
  <c r="D232" i="27" s="1"/>
  <c r="M232" i="27"/>
  <c r="C232" i="27" s="1"/>
  <c r="N232" i="27"/>
  <c r="O232" i="27"/>
  <c r="P232" i="27"/>
  <c r="Q232" i="27"/>
  <c r="R232" i="27"/>
  <c r="S232" i="27"/>
  <c r="T232" i="27"/>
  <c r="U232" i="27"/>
  <c r="J233" i="27"/>
  <c r="A233" i="27" s="1"/>
  <c r="K233" i="27"/>
  <c r="B233" i="27" s="1"/>
  <c r="L233" i="27"/>
  <c r="D233" i="27" s="1"/>
  <c r="M233" i="27"/>
  <c r="C233" i="27" s="1"/>
  <c r="N233" i="27"/>
  <c r="O233" i="27"/>
  <c r="P233" i="27"/>
  <c r="Q233" i="27"/>
  <c r="R233" i="27"/>
  <c r="S233" i="27"/>
  <c r="T233" i="27"/>
  <c r="U233" i="27"/>
  <c r="J234" i="27"/>
  <c r="A234" i="27" s="1"/>
  <c r="K234" i="27"/>
  <c r="B234" i="27" s="1"/>
  <c r="L234" i="27"/>
  <c r="D234" i="27" s="1"/>
  <c r="M234" i="27"/>
  <c r="C234" i="27" s="1"/>
  <c r="N234" i="27"/>
  <c r="O234" i="27"/>
  <c r="P234" i="27"/>
  <c r="Q234" i="27"/>
  <c r="R234" i="27"/>
  <c r="S234" i="27"/>
  <c r="T234" i="27"/>
  <c r="U234" i="27"/>
  <c r="J235" i="27"/>
  <c r="A235" i="27" s="1"/>
  <c r="K235" i="27"/>
  <c r="B235" i="27" s="1"/>
  <c r="L235" i="27"/>
  <c r="D235" i="27" s="1"/>
  <c r="M235" i="27"/>
  <c r="C235" i="27" s="1"/>
  <c r="N235" i="27"/>
  <c r="O235" i="27"/>
  <c r="P235" i="27"/>
  <c r="Q235" i="27"/>
  <c r="R235" i="27"/>
  <c r="S235" i="27"/>
  <c r="T235" i="27"/>
  <c r="U235" i="27"/>
  <c r="W235" i="26"/>
  <c r="X235" i="26"/>
  <c r="V235" i="26"/>
  <c r="U235" i="26"/>
  <c r="AA235" i="26" s="1"/>
  <c r="J236" i="27"/>
  <c r="A236" i="27" s="1"/>
  <c r="K236" i="27"/>
  <c r="B236" i="27" s="1"/>
  <c r="L236" i="27"/>
  <c r="D236" i="27" s="1"/>
  <c r="M236" i="27"/>
  <c r="C236" i="27" s="1"/>
  <c r="N236" i="27"/>
  <c r="O236" i="27"/>
  <c r="P236" i="27"/>
  <c r="Q236" i="27"/>
  <c r="R236" i="27"/>
  <c r="S236" i="27"/>
  <c r="T236" i="27"/>
  <c r="U236" i="27"/>
  <c r="AC236" i="26"/>
  <c r="AB236" i="26"/>
  <c r="J237" i="27"/>
  <c r="A237" i="27" s="1"/>
  <c r="K237" i="27"/>
  <c r="B237" i="27" s="1"/>
  <c r="L237" i="27"/>
  <c r="D237" i="27" s="1"/>
  <c r="M237" i="27"/>
  <c r="C237" i="27" s="1"/>
  <c r="N237" i="27"/>
  <c r="O237" i="27"/>
  <c r="P237" i="27"/>
  <c r="Q237" i="27"/>
  <c r="R237" i="27"/>
  <c r="S237" i="27"/>
  <c r="T237" i="27"/>
  <c r="U237" i="27"/>
  <c r="J238" i="27"/>
  <c r="A238" i="27" s="1"/>
  <c r="K238" i="27"/>
  <c r="B238" i="27" s="1"/>
  <c r="L238" i="27"/>
  <c r="D238" i="27" s="1"/>
  <c r="M238" i="27"/>
  <c r="C238" i="27" s="1"/>
  <c r="N238" i="27"/>
  <c r="O238" i="27"/>
  <c r="P238" i="27"/>
  <c r="Q238" i="27"/>
  <c r="R238" i="27"/>
  <c r="S238" i="27"/>
  <c r="T238" i="27"/>
  <c r="U238" i="27"/>
  <c r="J239" i="27"/>
  <c r="A239" i="27" s="1"/>
  <c r="K239" i="27"/>
  <c r="B239" i="27" s="1"/>
  <c r="L239" i="27"/>
  <c r="D239" i="27" s="1"/>
  <c r="M239" i="27"/>
  <c r="C239" i="27" s="1"/>
  <c r="N239" i="27"/>
  <c r="O239" i="27"/>
  <c r="P239" i="27"/>
  <c r="Q239" i="27"/>
  <c r="R239" i="27"/>
  <c r="S239" i="27"/>
  <c r="T239" i="27"/>
  <c r="U239" i="27"/>
  <c r="J240" i="27"/>
  <c r="A240" i="27" s="1"/>
  <c r="K240" i="27"/>
  <c r="B240" i="27" s="1"/>
  <c r="L240" i="27"/>
  <c r="D240" i="27" s="1"/>
  <c r="M240" i="27"/>
  <c r="C240" i="27" s="1"/>
  <c r="N240" i="27"/>
  <c r="O240" i="27"/>
  <c r="P240" i="27"/>
  <c r="Q240" i="27"/>
  <c r="R240" i="27"/>
  <c r="S240" i="27"/>
  <c r="T240" i="27"/>
  <c r="U240" i="27"/>
  <c r="J241" i="27"/>
  <c r="A241" i="27" s="1"/>
  <c r="K241" i="27"/>
  <c r="B241" i="27" s="1"/>
  <c r="L241" i="27"/>
  <c r="D241" i="27" s="1"/>
  <c r="M241" i="27"/>
  <c r="C241" i="27" s="1"/>
  <c r="N241" i="27"/>
  <c r="O241" i="27"/>
  <c r="P241" i="27"/>
  <c r="Q241" i="27"/>
  <c r="R241" i="27"/>
  <c r="S241" i="27"/>
  <c r="T241" i="27"/>
  <c r="U241" i="27"/>
  <c r="W241" i="26"/>
  <c r="X241" i="26"/>
  <c r="V241" i="26"/>
  <c r="U241" i="26"/>
  <c r="D241" i="10" s="1"/>
  <c r="J242" i="27"/>
  <c r="A242" i="27" s="1"/>
  <c r="K242" i="27"/>
  <c r="B242" i="27" s="1"/>
  <c r="L242" i="27"/>
  <c r="D242" i="27" s="1"/>
  <c r="M242" i="27"/>
  <c r="C242" i="27" s="1"/>
  <c r="N242" i="27"/>
  <c r="O242" i="27"/>
  <c r="P242" i="27"/>
  <c r="Q242" i="27"/>
  <c r="R242" i="27"/>
  <c r="S242" i="27"/>
  <c r="T242" i="27"/>
  <c r="U242" i="27"/>
  <c r="AC242" i="26"/>
  <c r="AB242" i="26"/>
  <c r="J243" i="27"/>
  <c r="A243" i="27" s="1"/>
  <c r="K243" i="27"/>
  <c r="B243" i="27" s="1"/>
  <c r="L243" i="27"/>
  <c r="D243" i="27" s="1"/>
  <c r="M243" i="27"/>
  <c r="C243" i="27" s="1"/>
  <c r="N243" i="27"/>
  <c r="O243" i="27"/>
  <c r="P243" i="27"/>
  <c r="Q243" i="27"/>
  <c r="R243" i="27"/>
  <c r="S243" i="27"/>
  <c r="T243" i="27"/>
  <c r="U243" i="27"/>
  <c r="J244" i="27"/>
  <c r="A244" i="27" s="1"/>
  <c r="K244" i="27"/>
  <c r="B244" i="27" s="1"/>
  <c r="L244" i="27"/>
  <c r="D244" i="27" s="1"/>
  <c r="M244" i="27"/>
  <c r="C244" i="27" s="1"/>
  <c r="N244" i="27"/>
  <c r="O244" i="27"/>
  <c r="P244" i="27"/>
  <c r="Q244" i="27"/>
  <c r="R244" i="27"/>
  <c r="S244" i="27"/>
  <c r="T244" i="27"/>
  <c r="U244" i="27"/>
  <c r="J245" i="27"/>
  <c r="A245" i="27" s="1"/>
  <c r="K245" i="27"/>
  <c r="B245" i="27" s="1"/>
  <c r="L245" i="27"/>
  <c r="D245" i="27" s="1"/>
  <c r="M245" i="27"/>
  <c r="C245" i="27" s="1"/>
  <c r="N245" i="27"/>
  <c r="O245" i="27"/>
  <c r="P245" i="27"/>
  <c r="Q245" i="27"/>
  <c r="R245" i="27"/>
  <c r="S245" i="27"/>
  <c r="T245" i="27"/>
  <c r="U245" i="27"/>
  <c r="J246" i="27"/>
  <c r="A246" i="27" s="1"/>
  <c r="K246" i="27"/>
  <c r="B246" i="27" s="1"/>
  <c r="L246" i="27"/>
  <c r="D246" i="27" s="1"/>
  <c r="M246" i="27"/>
  <c r="C246" i="27" s="1"/>
  <c r="N246" i="27"/>
  <c r="O246" i="27"/>
  <c r="P246" i="27"/>
  <c r="Q246" i="27"/>
  <c r="R246" i="27"/>
  <c r="S246" i="27"/>
  <c r="T246" i="27"/>
  <c r="U246" i="27"/>
  <c r="J247" i="27"/>
  <c r="A247" i="27" s="1"/>
  <c r="K247" i="27"/>
  <c r="B247" i="27" s="1"/>
  <c r="L247" i="27"/>
  <c r="D247" i="27" s="1"/>
  <c r="M247" i="27"/>
  <c r="C247" i="27" s="1"/>
  <c r="N247" i="27"/>
  <c r="O247" i="27"/>
  <c r="P247" i="27"/>
  <c r="Q247" i="27"/>
  <c r="R247" i="27"/>
  <c r="S247" i="27"/>
  <c r="T247" i="27"/>
  <c r="U247" i="27"/>
  <c r="J248" i="27"/>
  <c r="A248" i="27" s="1"/>
  <c r="K248" i="27"/>
  <c r="B248" i="27" s="1"/>
  <c r="L248" i="27"/>
  <c r="D248" i="27" s="1"/>
  <c r="M248" i="27"/>
  <c r="C248" i="27" s="1"/>
  <c r="N248" i="27"/>
  <c r="O248" i="27"/>
  <c r="P248" i="27"/>
  <c r="Q248" i="27"/>
  <c r="R248" i="27"/>
  <c r="S248" i="27"/>
  <c r="T248" i="27"/>
  <c r="U248" i="27"/>
  <c r="J249" i="27"/>
  <c r="A249" i="27" s="1"/>
  <c r="K249" i="27"/>
  <c r="B249" i="27" s="1"/>
  <c r="L249" i="27"/>
  <c r="D249" i="27" s="1"/>
  <c r="M249" i="27"/>
  <c r="C249" i="27" s="1"/>
  <c r="N249" i="27"/>
  <c r="O249" i="27"/>
  <c r="P249" i="27"/>
  <c r="Q249" i="27"/>
  <c r="R249" i="27"/>
  <c r="S249" i="27"/>
  <c r="T249" i="27"/>
  <c r="U249" i="27"/>
  <c r="J250" i="27"/>
  <c r="A250" i="27" s="1"/>
  <c r="K250" i="27"/>
  <c r="B250" i="27" s="1"/>
  <c r="L250" i="27"/>
  <c r="D250" i="27" s="1"/>
  <c r="M250" i="27"/>
  <c r="C250" i="27" s="1"/>
  <c r="N250" i="27"/>
  <c r="O250" i="27"/>
  <c r="P250" i="27"/>
  <c r="Q250" i="27"/>
  <c r="R250" i="27"/>
  <c r="S250" i="27"/>
  <c r="T250" i="27"/>
  <c r="U250" i="27"/>
  <c r="J251" i="27"/>
  <c r="A251" i="27" s="1"/>
  <c r="K251" i="27"/>
  <c r="B251" i="27" s="1"/>
  <c r="L251" i="27"/>
  <c r="D251" i="27" s="1"/>
  <c r="M251" i="27"/>
  <c r="C251" i="27" s="1"/>
  <c r="N251" i="27"/>
  <c r="O251" i="27"/>
  <c r="P251" i="27"/>
  <c r="Q251" i="27"/>
  <c r="R251" i="27"/>
  <c r="S251" i="27"/>
  <c r="T251" i="27"/>
  <c r="U251" i="27"/>
  <c r="J252" i="27"/>
  <c r="A252" i="27" s="1"/>
  <c r="K252" i="27"/>
  <c r="B252" i="27" s="1"/>
  <c r="L252" i="27"/>
  <c r="D252" i="27" s="1"/>
  <c r="M252" i="27"/>
  <c r="C252" i="27" s="1"/>
  <c r="N252" i="27"/>
  <c r="O252" i="27"/>
  <c r="P252" i="27"/>
  <c r="Q252" i="27"/>
  <c r="R252" i="27"/>
  <c r="S252" i="27"/>
  <c r="T252" i="27"/>
  <c r="U252" i="27"/>
  <c r="W252" i="26"/>
  <c r="F1452" i="10" s="1"/>
  <c r="X252" i="26"/>
  <c r="V252" i="26"/>
  <c r="E252" i="10" s="1"/>
  <c r="U252" i="26"/>
  <c r="J253" i="27"/>
  <c r="A253" i="27" s="1"/>
  <c r="K253" i="27"/>
  <c r="B253" i="27" s="1"/>
  <c r="L253" i="27"/>
  <c r="D253" i="27" s="1"/>
  <c r="M253" i="27"/>
  <c r="C253" i="27" s="1"/>
  <c r="N253" i="27"/>
  <c r="O253" i="27"/>
  <c r="P253" i="27"/>
  <c r="Q253" i="27"/>
  <c r="R253" i="27"/>
  <c r="S253" i="27"/>
  <c r="T253" i="27"/>
  <c r="U253" i="27"/>
  <c r="AC253" i="26"/>
  <c r="AB253" i="26"/>
  <c r="J254" i="27"/>
  <c r="A254" i="27" s="1"/>
  <c r="K254" i="27"/>
  <c r="B254" i="27" s="1"/>
  <c r="L254" i="27"/>
  <c r="D254" i="27" s="1"/>
  <c r="M254" i="27"/>
  <c r="C254" i="27" s="1"/>
  <c r="N254" i="27"/>
  <c r="O254" i="27"/>
  <c r="P254" i="27"/>
  <c r="Q254" i="27"/>
  <c r="R254" i="27"/>
  <c r="S254" i="27"/>
  <c r="T254" i="27"/>
  <c r="U254" i="27"/>
  <c r="J255" i="27"/>
  <c r="A255" i="27" s="1"/>
  <c r="K255" i="27"/>
  <c r="B255" i="27" s="1"/>
  <c r="L255" i="27"/>
  <c r="D255" i="27" s="1"/>
  <c r="M255" i="27"/>
  <c r="C255" i="27" s="1"/>
  <c r="N255" i="27"/>
  <c r="O255" i="27"/>
  <c r="P255" i="27"/>
  <c r="Q255" i="27"/>
  <c r="R255" i="27"/>
  <c r="S255" i="27"/>
  <c r="T255" i="27"/>
  <c r="U255" i="27"/>
  <c r="J256" i="27"/>
  <c r="A256" i="27" s="1"/>
  <c r="K256" i="27"/>
  <c r="B256" i="27" s="1"/>
  <c r="L256" i="27"/>
  <c r="D256" i="27" s="1"/>
  <c r="M256" i="27"/>
  <c r="C256" i="27" s="1"/>
  <c r="N256" i="27"/>
  <c r="O256" i="27"/>
  <c r="P256" i="27"/>
  <c r="Q256" i="27"/>
  <c r="R256" i="27"/>
  <c r="S256" i="27"/>
  <c r="T256" i="27"/>
  <c r="U256" i="27"/>
  <c r="AC256" i="26"/>
  <c r="AB256" i="26"/>
  <c r="J257" i="27"/>
  <c r="A257" i="27" s="1"/>
  <c r="K257" i="27"/>
  <c r="B257" i="27" s="1"/>
  <c r="L257" i="27"/>
  <c r="D257" i="27" s="1"/>
  <c r="M257" i="27"/>
  <c r="C257" i="27" s="1"/>
  <c r="N257" i="27"/>
  <c r="O257" i="27"/>
  <c r="P257" i="27"/>
  <c r="Q257" i="27"/>
  <c r="R257" i="27"/>
  <c r="S257" i="27"/>
  <c r="T257" i="27"/>
  <c r="U257" i="27"/>
  <c r="AC257" i="26"/>
  <c r="AB257" i="26"/>
  <c r="J258" i="27"/>
  <c r="A258" i="27" s="1"/>
  <c r="K258" i="27"/>
  <c r="B258" i="27" s="1"/>
  <c r="L258" i="27"/>
  <c r="D258" i="27" s="1"/>
  <c r="M258" i="27"/>
  <c r="C258" i="27" s="1"/>
  <c r="N258" i="27"/>
  <c r="O258" i="27"/>
  <c r="P258" i="27"/>
  <c r="Q258" i="27"/>
  <c r="R258" i="27"/>
  <c r="S258" i="27"/>
  <c r="T258" i="27"/>
  <c r="U258" i="27"/>
  <c r="J259" i="27"/>
  <c r="A259" i="27" s="1"/>
  <c r="K259" i="27"/>
  <c r="B259" i="27" s="1"/>
  <c r="L259" i="27"/>
  <c r="D259" i="27" s="1"/>
  <c r="M259" i="27"/>
  <c r="C259" i="27" s="1"/>
  <c r="N259" i="27"/>
  <c r="O259" i="27"/>
  <c r="P259" i="27"/>
  <c r="Q259" i="27"/>
  <c r="R259" i="27"/>
  <c r="S259" i="27"/>
  <c r="T259" i="27"/>
  <c r="U259" i="27"/>
  <c r="J260" i="27"/>
  <c r="A260" i="27" s="1"/>
  <c r="K260" i="27"/>
  <c r="B260" i="27" s="1"/>
  <c r="L260" i="27"/>
  <c r="D260" i="27" s="1"/>
  <c r="M260" i="27"/>
  <c r="C260" i="27" s="1"/>
  <c r="N260" i="27"/>
  <c r="O260" i="27"/>
  <c r="P260" i="27"/>
  <c r="Q260" i="27"/>
  <c r="R260" i="27"/>
  <c r="S260" i="27"/>
  <c r="T260" i="27"/>
  <c r="U260" i="27"/>
  <c r="J261" i="27"/>
  <c r="A261" i="27" s="1"/>
  <c r="K261" i="27"/>
  <c r="B261" i="27" s="1"/>
  <c r="L261" i="27"/>
  <c r="D261" i="27" s="1"/>
  <c r="M261" i="27"/>
  <c r="C261" i="27" s="1"/>
  <c r="N261" i="27"/>
  <c r="O261" i="27"/>
  <c r="P261" i="27"/>
  <c r="Q261" i="27"/>
  <c r="R261" i="27"/>
  <c r="S261" i="27"/>
  <c r="T261" i="27"/>
  <c r="U261" i="27"/>
  <c r="J262" i="27"/>
  <c r="A262" i="27" s="1"/>
  <c r="K262" i="27"/>
  <c r="B262" i="27" s="1"/>
  <c r="L262" i="27"/>
  <c r="D262" i="27" s="1"/>
  <c r="M262" i="27"/>
  <c r="C262" i="27" s="1"/>
  <c r="N262" i="27"/>
  <c r="O262" i="27"/>
  <c r="P262" i="27"/>
  <c r="Q262" i="27"/>
  <c r="R262" i="27"/>
  <c r="S262" i="27"/>
  <c r="T262" i="27"/>
  <c r="U262" i="27"/>
  <c r="J263" i="27"/>
  <c r="A263" i="27" s="1"/>
  <c r="K263" i="27"/>
  <c r="B263" i="27" s="1"/>
  <c r="L263" i="27"/>
  <c r="D263" i="27" s="1"/>
  <c r="M263" i="27"/>
  <c r="C263" i="27" s="1"/>
  <c r="N263" i="27"/>
  <c r="O263" i="27"/>
  <c r="P263" i="27"/>
  <c r="Q263" i="27"/>
  <c r="R263" i="27"/>
  <c r="S263" i="27"/>
  <c r="T263" i="27"/>
  <c r="U263" i="27"/>
  <c r="W263" i="26"/>
  <c r="F1463" i="10" s="1"/>
  <c r="X263" i="26"/>
  <c r="V263" i="26"/>
  <c r="U263" i="26"/>
  <c r="AK263" i="26"/>
  <c r="AV263" i="26"/>
  <c r="J264" i="27"/>
  <c r="A264" i="27" s="1"/>
  <c r="K264" i="27"/>
  <c r="B264" i="27" s="1"/>
  <c r="L264" i="27"/>
  <c r="D264" i="27" s="1"/>
  <c r="M264" i="27"/>
  <c r="C264" i="27" s="1"/>
  <c r="N264" i="27"/>
  <c r="O264" i="27"/>
  <c r="P264" i="27"/>
  <c r="Q264" i="27"/>
  <c r="R264" i="27"/>
  <c r="S264" i="27"/>
  <c r="T264" i="27"/>
  <c r="U264" i="27"/>
  <c r="AC264" i="26"/>
  <c r="AB264" i="26"/>
  <c r="J265" i="27"/>
  <c r="A265" i="27" s="1"/>
  <c r="K265" i="27"/>
  <c r="B265" i="27" s="1"/>
  <c r="L265" i="27"/>
  <c r="D265" i="27" s="1"/>
  <c r="M265" i="27"/>
  <c r="C265" i="27" s="1"/>
  <c r="N265" i="27"/>
  <c r="O265" i="27"/>
  <c r="P265" i="27"/>
  <c r="Q265" i="27"/>
  <c r="R265" i="27"/>
  <c r="S265" i="27"/>
  <c r="T265" i="27"/>
  <c r="U265" i="27"/>
  <c r="J266" i="27"/>
  <c r="A266" i="27" s="1"/>
  <c r="K266" i="27"/>
  <c r="B266" i="27" s="1"/>
  <c r="L266" i="27"/>
  <c r="D266" i="27" s="1"/>
  <c r="M266" i="27"/>
  <c r="C266" i="27" s="1"/>
  <c r="N266" i="27"/>
  <c r="O266" i="27"/>
  <c r="P266" i="27"/>
  <c r="Q266" i="27"/>
  <c r="R266" i="27"/>
  <c r="S266" i="27"/>
  <c r="T266" i="27"/>
  <c r="U266" i="27"/>
  <c r="J267" i="27"/>
  <c r="A267" i="27" s="1"/>
  <c r="K267" i="27"/>
  <c r="B267" i="27" s="1"/>
  <c r="L267" i="27"/>
  <c r="D267" i="27" s="1"/>
  <c r="M267" i="27"/>
  <c r="C267" i="27" s="1"/>
  <c r="N267" i="27"/>
  <c r="O267" i="27"/>
  <c r="P267" i="27"/>
  <c r="Q267" i="27"/>
  <c r="R267" i="27"/>
  <c r="S267" i="27"/>
  <c r="T267" i="27"/>
  <c r="U267" i="27"/>
  <c r="J268" i="27"/>
  <c r="A268" i="27" s="1"/>
  <c r="K268" i="27"/>
  <c r="B268" i="27" s="1"/>
  <c r="L268" i="27"/>
  <c r="D268" i="27" s="1"/>
  <c r="M268" i="27"/>
  <c r="C268" i="27" s="1"/>
  <c r="N268" i="27"/>
  <c r="O268" i="27"/>
  <c r="P268" i="27"/>
  <c r="Q268" i="27"/>
  <c r="R268" i="27"/>
  <c r="S268" i="27"/>
  <c r="T268" i="27"/>
  <c r="U268" i="27"/>
  <c r="W268" i="26"/>
  <c r="F1468" i="10" s="1"/>
  <c r="X268" i="26"/>
  <c r="V268" i="26"/>
  <c r="E268" i="10" s="1"/>
  <c r="U268" i="26"/>
  <c r="AK268" i="26"/>
  <c r="AU268" i="26" s="1"/>
  <c r="J269" i="27"/>
  <c r="A269" i="27" s="1"/>
  <c r="K269" i="27"/>
  <c r="B269" i="27" s="1"/>
  <c r="L269" i="27"/>
  <c r="D269" i="27" s="1"/>
  <c r="M269" i="27"/>
  <c r="C269" i="27" s="1"/>
  <c r="N269" i="27"/>
  <c r="O269" i="27"/>
  <c r="P269" i="27"/>
  <c r="Q269" i="27"/>
  <c r="R269" i="27"/>
  <c r="S269" i="27"/>
  <c r="T269" i="27"/>
  <c r="U269" i="27"/>
  <c r="AC269" i="26"/>
  <c r="AB269" i="26"/>
  <c r="J270" i="27"/>
  <c r="A270" i="27" s="1"/>
  <c r="K270" i="27"/>
  <c r="B270" i="27" s="1"/>
  <c r="L270" i="27"/>
  <c r="D270" i="27" s="1"/>
  <c r="M270" i="27"/>
  <c r="C270" i="27" s="1"/>
  <c r="N270" i="27"/>
  <c r="O270" i="27"/>
  <c r="P270" i="27"/>
  <c r="Q270" i="27"/>
  <c r="R270" i="27"/>
  <c r="S270" i="27"/>
  <c r="T270" i="27"/>
  <c r="U270" i="27"/>
  <c r="J271" i="27"/>
  <c r="A271" i="27" s="1"/>
  <c r="K271" i="27"/>
  <c r="B271" i="27" s="1"/>
  <c r="L271" i="27"/>
  <c r="D271" i="27" s="1"/>
  <c r="M271" i="27"/>
  <c r="C271" i="27" s="1"/>
  <c r="N271" i="27"/>
  <c r="O271" i="27"/>
  <c r="P271" i="27"/>
  <c r="Q271" i="27"/>
  <c r="R271" i="27"/>
  <c r="S271" i="27"/>
  <c r="T271" i="27"/>
  <c r="U271" i="27"/>
  <c r="J272" i="27"/>
  <c r="A272" i="27" s="1"/>
  <c r="K272" i="27"/>
  <c r="B272" i="27" s="1"/>
  <c r="L272" i="27"/>
  <c r="D272" i="27" s="1"/>
  <c r="M272" i="27"/>
  <c r="C272" i="27" s="1"/>
  <c r="N272" i="27"/>
  <c r="O272" i="27"/>
  <c r="P272" i="27"/>
  <c r="Q272" i="27"/>
  <c r="R272" i="27"/>
  <c r="S272" i="27"/>
  <c r="T272" i="27"/>
  <c r="U272" i="27"/>
  <c r="W272" i="26"/>
  <c r="F1472" i="10" s="1"/>
  <c r="X272" i="26"/>
  <c r="V272" i="26"/>
  <c r="U272" i="26"/>
  <c r="AK272" i="26"/>
  <c r="J273" i="27"/>
  <c r="A273" i="27" s="1"/>
  <c r="K273" i="27"/>
  <c r="B273" i="27" s="1"/>
  <c r="L273" i="27"/>
  <c r="D273" i="27" s="1"/>
  <c r="M273" i="27"/>
  <c r="C273" i="27" s="1"/>
  <c r="N273" i="27"/>
  <c r="O273" i="27"/>
  <c r="P273" i="27"/>
  <c r="Q273" i="27"/>
  <c r="R273" i="27"/>
  <c r="S273" i="27"/>
  <c r="T273" i="27"/>
  <c r="U273" i="27"/>
  <c r="J274" i="27"/>
  <c r="A274" i="27" s="1"/>
  <c r="K274" i="27"/>
  <c r="B274" i="27" s="1"/>
  <c r="L274" i="27"/>
  <c r="D274" i="27" s="1"/>
  <c r="M274" i="27"/>
  <c r="C274" i="27" s="1"/>
  <c r="N274" i="27"/>
  <c r="O274" i="27"/>
  <c r="P274" i="27"/>
  <c r="Q274" i="27"/>
  <c r="R274" i="27"/>
  <c r="S274" i="27"/>
  <c r="T274" i="27"/>
  <c r="U274" i="27"/>
  <c r="J275" i="27"/>
  <c r="A275" i="27" s="1"/>
  <c r="K275" i="27"/>
  <c r="B275" i="27" s="1"/>
  <c r="L275" i="27"/>
  <c r="D275" i="27" s="1"/>
  <c r="M275" i="27"/>
  <c r="C275" i="27" s="1"/>
  <c r="N275" i="27"/>
  <c r="O275" i="27"/>
  <c r="P275" i="27"/>
  <c r="Q275" i="27"/>
  <c r="R275" i="27"/>
  <c r="S275" i="27"/>
  <c r="T275" i="27"/>
  <c r="U275" i="27"/>
  <c r="J276" i="27"/>
  <c r="A276" i="27" s="1"/>
  <c r="K276" i="27"/>
  <c r="B276" i="27" s="1"/>
  <c r="L276" i="27"/>
  <c r="D276" i="27" s="1"/>
  <c r="M276" i="27"/>
  <c r="C276" i="27" s="1"/>
  <c r="N276" i="27"/>
  <c r="O276" i="27"/>
  <c r="P276" i="27"/>
  <c r="Q276" i="27"/>
  <c r="R276" i="27"/>
  <c r="S276" i="27"/>
  <c r="T276" i="27"/>
  <c r="U276" i="27"/>
  <c r="J277" i="27"/>
  <c r="A277" i="27" s="1"/>
  <c r="K277" i="27"/>
  <c r="B277" i="27" s="1"/>
  <c r="L277" i="27"/>
  <c r="D277" i="27" s="1"/>
  <c r="M277" i="27"/>
  <c r="C277" i="27" s="1"/>
  <c r="N277" i="27"/>
  <c r="O277" i="27"/>
  <c r="P277" i="27"/>
  <c r="Q277" i="27"/>
  <c r="R277" i="27"/>
  <c r="S277" i="27"/>
  <c r="T277" i="27"/>
  <c r="U277" i="27"/>
  <c r="AC277" i="26"/>
  <c r="AB277" i="26"/>
  <c r="J278" i="27"/>
  <c r="A278" i="27" s="1"/>
  <c r="K278" i="27"/>
  <c r="B278" i="27" s="1"/>
  <c r="L278" i="27"/>
  <c r="D278" i="27" s="1"/>
  <c r="M278" i="27"/>
  <c r="C278" i="27" s="1"/>
  <c r="N278" i="27"/>
  <c r="O278" i="27"/>
  <c r="P278" i="27"/>
  <c r="Q278" i="27"/>
  <c r="R278" i="27"/>
  <c r="S278" i="27"/>
  <c r="T278" i="27"/>
  <c r="U278" i="27"/>
  <c r="AC278" i="26"/>
  <c r="AB278" i="26"/>
  <c r="J279" i="27"/>
  <c r="A279" i="27" s="1"/>
  <c r="K279" i="27"/>
  <c r="B279" i="27" s="1"/>
  <c r="L279" i="27"/>
  <c r="D279" i="27" s="1"/>
  <c r="M279" i="27"/>
  <c r="C279" i="27" s="1"/>
  <c r="N279" i="27"/>
  <c r="O279" i="27"/>
  <c r="P279" i="27"/>
  <c r="Q279" i="27"/>
  <c r="R279" i="27"/>
  <c r="S279" i="27"/>
  <c r="T279" i="27"/>
  <c r="U279" i="27"/>
  <c r="J280" i="27"/>
  <c r="A280" i="27" s="1"/>
  <c r="K280" i="27"/>
  <c r="B280" i="27" s="1"/>
  <c r="L280" i="27"/>
  <c r="D280" i="27" s="1"/>
  <c r="M280" i="27"/>
  <c r="C280" i="27" s="1"/>
  <c r="N280" i="27"/>
  <c r="O280" i="27"/>
  <c r="P280" i="27"/>
  <c r="Q280" i="27"/>
  <c r="R280" i="27"/>
  <c r="S280" i="27"/>
  <c r="T280" i="27"/>
  <c r="U280" i="27"/>
  <c r="J281" i="27"/>
  <c r="A281" i="27" s="1"/>
  <c r="K281" i="27"/>
  <c r="B281" i="27" s="1"/>
  <c r="L281" i="27"/>
  <c r="D281" i="27" s="1"/>
  <c r="M281" i="27"/>
  <c r="C281" i="27" s="1"/>
  <c r="N281" i="27"/>
  <c r="O281" i="27"/>
  <c r="P281" i="27"/>
  <c r="Q281" i="27"/>
  <c r="R281" i="27"/>
  <c r="S281" i="27"/>
  <c r="T281" i="27"/>
  <c r="U281" i="27"/>
  <c r="J282" i="27"/>
  <c r="A282" i="27" s="1"/>
  <c r="K282" i="27"/>
  <c r="B282" i="27" s="1"/>
  <c r="L282" i="27"/>
  <c r="D282" i="27" s="1"/>
  <c r="M282" i="27"/>
  <c r="C282" i="27" s="1"/>
  <c r="N282" i="27"/>
  <c r="O282" i="27"/>
  <c r="P282" i="27"/>
  <c r="Q282" i="27"/>
  <c r="R282" i="27"/>
  <c r="S282" i="27"/>
  <c r="T282" i="27"/>
  <c r="U282" i="27"/>
  <c r="J283" i="27"/>
  <c r="A283" i="27" s="1"/>
  <c r="K283" i="27"/>
  <c r="B283" i="27" s="1"/>
  <c r="L283" i="27"/>
  <c r="D283" i="27" s="1"/>
  <c r="M283" i="27"/>
  <c r="C283" i="27" s="1"/>
  <c r="N283" i="27"/>
  <c r="O283" i="27"/>
  <c r="P283" i="27"/>
  <c r="Q283" i="27"/>
  <c r="R283" i="27"/>
  <c r="S283" i="27"/>
  <c r="T283" i="27"/>
  <c r="U283" i="27"/>
  <c r="J284" i="27"/>
  <c r="A284" i="27" s="1"/>
  <c r="K284" i="27"/>
  <c r="B284" i="27" s="1"/>
  <c r="L284" i="27"/>
  <c r="D284" i="27" s="1"/>
  <c r="M284" i="27"/>
  <c r="C284" i="27" s="1"/>
  <c r="N284" i="27"/>
  <c r="O284" i="27"/>
  <c r="P284" i="27"/>
  <c r="Q284" i="27"/>
  <c r="R284" i="27"/>
  <c r="S284" i="27"/>
  <c r="T284" i="27"/>
  <c r="U284" i="27"/>
  <c r="J285" i="27"/>
  <c r="A285" i="27" s="1"/>
  <c r="K285" i="27"/>
  <c r="B285" i="27" s="1"/>
  <c r="L285" i="27"/>
  <c r="D285" i="27" s="1"/>
  <c r="M285" i="27"/>
  <c r="C285" i="27" s="1"/>
  <c r="N285" i="27"/>
  <c r="O285" i="27"/>
  <c r="P285" i="27"/>
  <c r="Q285" i="27"/>
  <c r="R285" i="27"/>
  <c r="S285" i="27"/>
  <c r="T285" i="27"/>
  <c r="U285" i="27"/>
  <c r="J286" i="27"/>
  <c r="A286" i="27" s="1"/>
  <c r="K286" i="27"/>
  <c r="B286" i="27" s="1"/>
  <c r="L286" i="27"/>
  <c r="D286" i="27" s="1"/>
  <c r="M286" i="27"/>
  <c r="C286" i="27" s="1"/>
  <c r="N286" i="27"/>
  <c r="O286" i="27"/>
  <c r="P286" i="27"/>
  <c r="Q286" i="27"/>
  <c r="R286" i="27"/>
  <c r="S286" i="27"/>
  <c r="T286" i="27"/>
  <c r="U286" i="27"/>
  <c r="J287" i="27"/>
  <c r="A287" i="27" s="1"/>
  <c r="K287" i="27"/>
  <c r="B287" i="27" s="1"/>
  <c r="L287" i="27"/>
  <c r="D287" i="27" s="1"/>
  <c r="M287" i="27"/>
  <c r="C287" i="27" s="1"/>
  <c r="N287" i="27"/>
  <c r="O287" i="27"/>
  <c r="P287" i="27"/>
  <c r="Q287" i="27"/>
  <c r="R287" i="27"/>
  <c r="S287" i="27"/>
  <c r="T287" i="27"/>
  <c r="U287" i="27"/>
  <c r="J288" i="27"/>
  <c r="A288" i="27" s="1"/>
  <c r="K288" i="27"/>
  <c r="B288" i="27" s="1"/>
  <c r="L288" i="27"/>
  <c r="D288" i="27" s="1"/>
  <c r="M288" i="27"/>
  <c r="C288" i="27" s="1"/>
  <c r="N288" i="27"/>
  <c r="O288" i="27"/>
  <c r="P288" i="27"/>
  <c r="Q288" i="27"/>
  <c r="R288" i="27"/>
  <c r="S288" i="27"/>
  <c r="T288" i="27"/>
  <c r="U288" i="27"/>
  <c r="W288" i="26"/>
  <c r="F1488" i="10" s="1"/>
  <c r="X288" i="26"/>
  <c r="V288" i="26"/>
  <c r="U288" i="26"/>
  <c r="D288" i="10" s="1"/>
  <c r="J289" i="27"/>
  <c r="A289" i="27" s="1"/>
  <c r="K289" i="27"/>
  <c r="B289" i="27" s="1"/>
  <c r="L289" i="27"/>
  <c r="D289" i="27" s="1"/>
  <c r="M289" i="27"/>
  <c r="C289" i="27" s="1"/>
  <c r="N289" i="27"/>
  <c r="O289" i="27"/>
  <c r="P289" i="27"/>
  <c r="Q289" i="27"/>
  <c r="R289" i="27"/>
  <c r="S289" i="27"/>
  <c r="T289" i="27"/>
  <c r="U289" i="27"/>
  <c r="AC289" i="26"/>
  <c r="AB289" i="26"/>
  <c r="J290" i="27"/>
  <c r="A290" i="27" s="1"/>
  <c r="K290" i="27"/>
  <c r="B290" i="27" s="1"/>
  <c r="L290" i="27"/>
  <c r="D290" i="27" s="1"/>
  <c r="M290" i="27"/>
  <c r="C290" i="27" s="1"/>
  <c r="N290" i="27"/>
  <c r="O290" i="27"/>
  <c r="P290" i="27"/>
  <c r="Q290" i="27"/>
  <c r="R290" i="27"/>
  <c r="S290" i="27"/>
  <c r="T290" i="27"/>
  <c r="U290" i="27"/>
  <c r="J291" i="27"/>
  <c r="A291" i="27" s="1"/>
  <c r="K291" i="27"/>
  <c r="B291" i="27" s="1"/>
  <c r="L291" i="27"/>
  <c r="D291" i="27" s="1"/>
  <c r="M291" i="27"/>
  <c r="C291" i="27" s="1"/>
  <c r="N291" i="27"/>
  <c r="O291" i="27"/>
  <c r="P291" i="27"/>
  <c r="Q291" i="27"/>
  <c r="R291" i="27"/>
  <c r="S291" i="27"/>
  <c r="T291" i="27"/>
  <c r="U291" i="27"/>
  <c r="J292" i="27"/>
  <c r="A292" i="27" s="1"/>
  <c r="K292" i="27"/>
  <c r="B292" i="27" s="1"/>
  <c r="L292" i="27"/>
  <c r="D292" i="27" s="1"/>
  <c r="M292" i="27"/>
  <c r="C292" i="27" s="1"/>
  <c r="N292" i="27"/>
  <c r="O292" i="27"/>
  <c r="P292" i="27"/>
  <c r="Q292" i="27"/>
  <c r="R292" i="27"/>
  <c r="S292" i="27"/>
  <c r="T292" i="27"/>
  <c r="U292" i="27"/>
  <c r="J293" i="27"/>
  <c r="A293" i="27" s="1"/>
  <c r="K293" i="27"/>
  <c r="B293" i="27" s="1"/>
  <c r="L293" i="27"/>
  <c r="D293" i="27" s="1"/>
  <c r="M293" i="27"/>
  <c r="C293" i="27" s="1"/>
  <c r="N293" i="27"/>
  <c r="O293" i="27"/>
  <c r="P293" i="27"/>
  <c r="Q293" i="27"/>
  <c r="R293" i="27"/>
  <c r="S293" i="27"/>
  <c r="T293" i="27"/>
  <c r="U293" i="27"/>
  <c r="J294" i="27"/>
  <c r="A294" i="27" s="1"/>
  <c r="K294" i="27"/>
  <c r="B294" i="27" s="1"/>
  <c r="L294" i="27"/>
  <c r="D294" i="27" s="1"/>
  <c r="M294" i="27"/>
  <c r="C294" i="27" s="1"/>
  <c r="N294" i="27"/>
  <c r="O294" i="27"/>
  <c r="P294" i="27"/>
  <c r="Q294" i="27"/>
  <c r="R294" i="27"/>
  <c r="S294" i="27"/>
  <c r="T294" i="27"/>
  <c r="U294" i="27"/>
  <c r="J295" i="27"/>
  <c r="A295" i="27" s="1"/>
  <c r="K295" i="27"/>
  <c r="B295" i="27" s="1"/>
  <c r="L295" i="27"/>
  <c r="D295" i="27" s="1"/>
  <c r="M295" i="27"/>
  <c r="C295" i="27" s="1"/>
  <c r="N295" i="27"/>
  <c r="O295" i="27"/>
  <c r="P295" i="27"/>
  <c r="Q295" i="27"/>
  <c r="R295" i="27"/>
  <c r="S295" i="27"/>
  <c r="T295" i="27"/>
  <c r="U295" i="27"/>
  <c r="J296" i="27"/>
  <c r="A296" i="27" s="1"/>
  <c r="K296" i="27"/>
  <c r="B296" i="27" s="1"/>
  <c r="L296" i="27"/>
  <c r="D296" i="27" s="1"/>
  <c r="M296" i="27"/>
  <c r="C296" i="27" s="1"/>
  <c r="N296" i="27"/>
  <c r="O296" i="27"/>
  <c r="P296" i="27"/>
  <c r="Q296" i="27"/>
  <c r="R296" i="27"/>
  <c r="S296" i="27"/>
  <c r="T296" i="27"/>
  <c r="U296" i="27"/>
  <c r="J297" i="27"/>
  <c r="A297" i="27" s="1"/>
  <c r="K297" i="27"/>
  <c r="B297" i="27" s="1"/>
  <c r="L297" i="27"/>
  <c r="D297" i="27" s="1"/>
  <c r="M297" i="27"/>
  <c r="C297" i="27" s="1"/>
  <c r="N297" i="27"/>
  <c r="O297" i="27"/>
  <c r="P297" i="27"/>
  <c r="Q297" i="27"/>
  <c r="R297" i="27"/>
  <c r="S297" i="27"/>
  <c r="T297" i="27"/>
  <c r="U297" i="27"/>
  <c r="J298" i="27"/>
  <c r="A298" i="27" s="1"/>
  <c r="K298" i="27"/>
  <c r="B298" i="27" s="1"/>
  <c r="L298" i="27"/>
  <c r="D298" i="27" s="1"/>
  <c r="M298" i="27"/>
  <c r="C298" i="27" s="1"/>
  <c r="N298" i="27"/>
  <c r="O298" i="27"/>
  <c r="P298" i="27"/>
  <c r="Q298" i="27"/>
  <c r="R298" i="27"/>
  <c r="S298" i="27"/>
  <c r="T298" i="27"/>
  <c r="U298" i="27"/>
  <c r="W298" i="26"/>
  <c r="X298" i="26"/>
  <c r="V298" i="26"/>
  <c r="U298" i="26"/>
  <c r="J299" i="27"/>
  <c r="A299" i="27" s="1"/>
  <c r="K299" i="27"/>
  <c r="B299" i="27" s="1"/>
  <c r="L299" i="27"/>
  <c r="D299" i="27" s="1"/>
  <c r="M299" i="27"/>
  <c r="C299" i="27" s="1"/>
  <c r="N299" i="27"/>
  <c r="O299" i="27"/>
  <c r="P299" i="27"/>
  <c r="Q299" i="27"/>
  <c r="R299" i="27"/>
  <c r="S299" i="27"/>
  <c r="T299" i="27"/>
  <c r="U299" i="27"/>
  <c r="AC299" i="26"/>
  <c r="AB299" i="26"/>
  <c r="J300" i="27"/>
  <c r="A300" i="27" s="1"/>
  <c r="K300" i="27"/>
  <c r="B300" i="27" s="1"/>
  <c r="L300" i="27"/>
  <c r="D300" i="27" s="1"/>
  <c r="M300" i="27"/>
  <c r="C300" i="27" s="1"/>
  <c r="N300" i="27"/>
  <c r="O300" i="27"/>
  <c r="P300" i="27"/>
  <c r="Q300" i="27"/>
  <c r="R300" i="27"/>
  <c r="S300" i="27"/>
  <c r="T300" i="27"/>
  <c r="U300" i="27"/>
  <c r="J301" i="27"/>
  <c r="A301" i="27" s="1"/>
  <c r="K301" i="27"/>
  <c r="B301" i="27" s="1"/>
  <c r="L301" i="27"/>
  <c r="D301" i="27" s="1"/>
  <c r="M301" i="27"/>
  <c r="C301" i="27" s="1"/>
  <c r="N301" i="27"/>
  <c r="O301" i="27"/>
  <c r="P301" i="27"/>
  <c r="Q301" i="27"/>
  <c r="R301" i="27"/>
  <c r="S301" i="27"/>
  <c r="T301" i="27"/>
  <c r="U301" i="27"/>
  <c r="W301" i="26"/>
  <c r="X301" i="26"/>
  <c r="V301" i="26"/>
  <c r="AF301" i="26" s="1"/>
  <c r="AH301" i="26" s="1"/>
  <c r="U301" i="26"/>
  <c r="J302" i="27"/>
  <c r="A302" i="27" s="1"/>
  <c r="K302" i="27"/>
  <c r="B302" i="27" s="1"/>
  <c r="L302" i="27"/>
  <c r="D302" i="27" s="1"/>
  <c r="M302" i="27"/>
  <c r="C302" i="27" s="1"/>
  <c r="N302" i="27"/>
  <c r="O302" i="27"/>
  <c r="P302" i="27"/>
  <c r="Q302" i="27"/>
  <c r="R302" i="27"/>
  <c r="S302" i="27"/>
  <c r="T302" i="27"/>
  <c r="U302" i="27"/>
  <c r="AC302" i="26"/>
  <c r="AB302" i="26"/>
  <c r="J303" i="27"/>
  <c r="A303" i="27" s="1"/>
  <c r="K303" i="27"/>
  <c r="B303" i="27" s="1"/>
  <c r="L303" i="27"/>
  <c r="D303" i="27" s="1"/>
  <c r="M303" i="27"/>
  <c r="C303" i="27" s="1"/>
  <c r="N303" i="27"/>
  <c r="O303" i="27"/>
  <c r="P303" i="27"/>
  <c r="Q303" i="27"/>
  <c r="R303" i="27"/>
  <c r="S303" i="27"/>
  <c r="T303" i="27"/>
  <c r="U303" i="27"/>
  <c r="J304" i="27"/>
  <c r="A304" i="27" s="1"/>
  <c r="K304" i="27"/>
  <c r="B304" i="27" s="1"/>
  <c r="L304" i="27"/>
  <c r="D304" i="27" s="1"/>
  <c r="M304" i="27"/>
  <c r="C304" i="27" s="1"/>
  <c r="N304" i="27"/>
  <c r="O304" i="27"/>
  <c r="P304" i="27"/>
  <c r="Q304" i="27"/>
  <c r="R304" i="27"/>
  <c r="S304" i="27"/>
  <c r="T304" i="27"/>
  <c r="U304" i="27"/>
  <c r="J305" i="27"/>
  <c r="A305" i="27" s="1"/>
  <c r="K305" i="27"/>
  <c r="B305" i="27" s="1"/>
  <c r="L305" i="27"/>
  <c r="D305" i="27" s="1"/>
  <c r="M305" i="27"/>
  <c r="C305" i="27" s="1"/>
  <c r="N305" i="27"/>
  <c r="O305" i="27"/>
  <c r="P305" i="27"/>
  <c r="Q305" i="27"/>
  <c r="R305" i="27"/>
  <c r="S305" i="27"/>
  <c r="T305" i="27"/>
  <c r="U305" i="27"/>
  <c r="J306" i="27"/>
  <c r="A306" i="27" s="1"/>
  <c r="K306" i="27"/>
  <c r="B306" i="27" s="1"/>
  <c r="L306" i="27"/>
  <c r="D306" i="27" s="1"/>
  <c r="M306" i="27"/>
  <c r="C306" i="27" s="1"/>
  <c r="N306" i="27"/>
  <c r="O306" i="27"/>
  <c r="P306" i="27"/>
  <c r="Q306" i="27"/>
  <c r="R306" i="27"/>
  <c r="S306" i="27"/>
  <c r="T306" i="27"/>
  <c r="U306" i="27"/>
  <c r="J307" i="27"/>
  <c r="A307" i="27" s="1"/>
  <c r="K307" i="27"/>
  <c r="B307" i="27" s="1"/>
  <c r="L307" i="27"/>
  <c r="D307" i="27" s="1"/>
  <c r="M307" i="27"/>
  <c r="C307" i="27" s="1"/>
  <c r="N307" i="27"/>
  <c r="O307" i="27"/>
  <c r="P307" i="27"/>
  <c r="Q307" i="27"/>
  <c r="R307" i="27"/>
  <c r="S307" i="27"/>
  <c r="T307" i="27"/>
  <c r="U307" i="27"/>
  <c r="W307" i="26"/>
  <c r="F1507" i="10" s="1"/>
  <c r="X307" i="26"/>
  <c r="V307" i="26"/>
  <c r="U307" i="26"/>
  <c r="E307" i="9" s="1"/>
  <c r="J308" i="27"/>
  <c r="A308" i="27" s="1"/>
  <c r="K308" i="27"/>
  <c r="B308" i="27" s="1"/>
  <c r="L308" i="27"/>
  <c r="D308" i="27" s="1"/>
  <c r="M308" i="27"/>
  <c r="C308" i="27" s="1"/>
  <c r="N308" i="27"/>
  <c r="O308" i="27"/>
  <c r="P308" i="27"/>
  <c r="Q308" i="27"/>
  <c r="R308" i="27"/>
  <c r="S308" i="27"/>
  <c r="T308" i="27"/>
  <c r="U308" i="27"/>
  <c r="AC308" i="26"/>
  <c r="AB308" i="26"/>
  <c r="J309" i="27"/>
  <c r="A309" i="27" s="1"/>
  <c r="K309" i="27"/>
  <c r="B309" i="27" s="1"/>
  <c r="L309" i="27"/>
  <c r="D309" i="27" s="1"/>
  <c r="M309" i="27"/>
  <c r="C309" i="27" s="1"/>
  <c r="N309" i="27"/>
  <c r="O309" i="27"/>
  <c r="P309" i="27"/>
  <c r="Q309" i="27"/>
  <c r="R309" i="27"/>
  <c r="S309" i="27"/>
  <c r="T309" i="27"/>
  <c r="U309" i="27"/>
  <c r="J310" i="27"/>
  <c r="A310" i="27" s="1"/>
  <c r="K310" i="27"/>
  <c r="B310" i="27" s="1"/>
  <c r="L310" i="27"/>
  <c r="D310" i="27" s="1"/>
  <c r="M310" i="27"/>
  <c r="C310" i="27" s="1"/>
  <c r="N310" i="27"/>
  <c r="O310" i="27"/>
  <c r="P310" i="27"/>
  <c r="Q310" i="27"/>
  <c r="R310" i="27"/>
  <c r="S310" i="27"/>
  <c r="T310" i="27"/>
  <c r="U310" i="27"/>
  <c r="J311" i="27"/>
  <c r="A311" i="27" s="1"/>
  <c r="K311" i="27"/>
  <c r="B311" i="27" s="1"/>
  <c r="L311" i="27"/>
  <c r="D311" i="27" s="1"/>
  <c r="M311" i="27"/>
  <c r="C311" i="27" s="1"/>
  <c r="N311" i="27"/>
  <c r="O311" i="27"/>
  <c r="P311" i="27"/>
  <c r="Q311" i="27"/>
  <c r="R311" i="27"/>
  <c r="S311" i="27"/>
  <c r="T311" i="27"/>
  <c r="U311" i="27"/>
  <c r="W311" i="26"/>
  <c r="X311" i="26"/>
  <c r="V311" i="26"/>
  <c r="E311" i="10" s="1"/>
  <c r="U311" i="26"/>
  <c r="D311" i="10" s="1"/>
  <c r="J312" i="27"/>
  <c r="A312" i="27" s="1"/>
  <c r="K312" i="27"/>
  <c r="B312" i="27" s="1"/>
  <c r="L312" i="27"/>
  <c r="D312" i="27" s="1"/>
  <c r="M312" i="27"/>
  <c r="C312" i="27" s="1"/>
  <c r="N312" i="27"/>
  <c r="O312" i="27"/>
  <c r="P312" i="27"/>
  <c r="Q312" i="27"/>
  <c r="R312" i="27"/>
  <c r="S312" i="27"/>
  <c r="T312" i="27"/>
  <c r="U312" i="27"/>
  <c r="AC312" i="26"/>
  <c r="AB312" i="26"/>
  <c r="J313" i="27"/>
  <c r="A313" i="27" s="1"/>
  <c r="K313" i="27"/>
  <c r="B313" i="27" s="1"/>
  <c r="L313" i="27"/>
  <c r="D313" i="27" s="1"/>
  <c r="M313" i="27"/>
  <c r="C313" i="27" s="1"/>
  <c r="N313" i="27"/>
  <c r="O313" i="27"/>
  <c r="P313" i="27"/>
  <c r="Q313" i="27"/>
  <c r="R313" i="27"/>
  <c r="S313" i="27"/>
  <c r="T313" i="27"/>
  <c r="U313" i="27"/>
  <c r="J314" i="27"/>
  <c r="A314" i="27" s="1"/>
  <c r="K314" i="27"/>
  <c r="B314" i="27" s="1"/>
  <c r="L314" i="27"/>
  <c r="D314" i="27" s="1"/>
  <c r="M314" i="27"/>
  <c r="C314" i="27" s="1"/>
  <c r="N314" i="27"/>
  <c r="O314" i="27"/>
  <c r="P314" i="27"/>
  <c r="Q314" i="27"/>
  <c r="R314" i="27"/>
  <c r="S314" i="27"/>
  <c r="T314" i="27"/>
  <c r="U314" i="27"/>
  <c r="W314" i="26"/>
  <c r="F1514" i="10" s="1"/>
  <c r="X314" i="26"/>
  <c r="V314" i="26"/>
  <c r="AF314" i="26" s="1"/>
  <c r="AH314" i="26" s="1"/>
  <c r="AG314" i="26" s="1"/>
  <c r="U314" i="26"/>
  <c r="J315" i="27"/>
  <c r="A315" i="27" s="1"/>
  <c r="K315" i="27"/>
  <c r="B315" i="27" s="1"/>
  <c r="L315" i="27"/>
  <c r="D315" i="27" s="1"/>
  <c r="M315" i="27"/>
  <c r="C315" i="27" s="1"/>
  <c r="N315" i="27"/>
  <c r="O315" i="27"/>
  <c r="P315" i="27"/>
  <c r="Q315" i="27"/>
  <c r="R315" i="27"/>
  <c r="S315" i="27"/>
  <c r="T315" i="27"/>
  <c r="U315" i="27"/>
  <c r="AC315" i="26"/>
  <c r="AB315" i="26"/>
  <c r="J316" i="27"/>
  <c r="A316" i="27" s="1"/>
  <c r="K316" i="27"/>
  <c r="B316" i="27" s="1"/>
  <c r="L316" i="27"/>
  <c r="D316" i="27" s="1"/>
  <c r="M316" i="27"/>
  <c r="C316" i="27" s="1"/>
  <c r="N316" i="27"/>
  <c r="O316" i="27"/>
  <c r="P316" i="27"/>
  <c r="Q316" i="27"/>
  <c r="R316" i="27"/>
  <c r="S316" i="27"/>
  <c r="T316" i="27"/>
  <c r="U316" i="27"/>
  <c r="J317" i="27"/>
  <c r="A317" i="27" s="1"/>
  <c r="K317" i="27"/>
  <c r="B317" i="27" s="1"/>
  <c r="L317" i="27"/>
  <c r="D317" i="27" s="1"/>
  <c r="M317" i="27"/>
  <c r="C317" i="27" s="1"/>
  <c r="N317" i="27"/>
  <c r="O317" i="27"/>
  <c r="P317" i="27"/>
  <c r="Q317" i="27"/>
  <c r="R317" i="27"/>
  <c r="S317" i="27"/>
  <c r="T317" i="27"/>
  <c r="U317" i="27"/>
  <c r="W317" i="26"/>
  <c r="X317" i="26"/>
  <c r="V317" i="26"/>
  <c r="E317" i="10" s="1"/>
  <c r="U317" i="26"/>
  <c r="AA317" i="26" s="1"/>
  <c r="J318" i="27"/>
  <c r="A318" i="27" s="1"/>
  <c r="K318" i="27"/>
  <c r="B318" i="27" s="1"/>
  <c r="L318" i="27"/>
  <c r="D318" i="27" s="1"/>
  <c r="M318" i="27"/>
  <c r="C318" i="27" s="1"/>
  <c r="N318" i="27"/>
  <c r="O318" i="27"/>
  <c r="P318" i="27"/>
  <c r="Q318" i="27"/>
  <c r="R318" i="27"/>
  <c r="S318" i="27"/>
  <c r="T318" i="27"/>
  <c r="U318" i="27"/>
  <c r="AC318" i="26"/>
  <c r="AB318" i="26"/>
  <c r="J319" i="27"/>
  <c r="A319" i="27" s="1"/>
  <c r="K319" i="27"/>
  <c r="B319" i="27" s="1"/>
  <c r="L319" i="27"/>
  <c r="D319" i="27" s="1"/>
  <c r="M319" i="27"/>
  <c r="C319" i="27" s="1"/>
  <c r="N319" i="27"/>
  <c r="O319" i="27"/>
  <c r="P319" i="27"/>
  <c r="Q319" i="27"/>
  <c r="R319" i="27"/>
  <c r="S319" i="27"/>
  <c r="T319" i="27"/>
  <c r="U319" i="27"/>
  <c r="J320" i="27"/>
  <c r="A320" i="27" s="1"/>
  <c r="K320" i="27"/>
  <c r="B320" i="27" s="1"/>
  <c r="L320" i="27"/>
  <c r="D320" i="27" s="1"/>
  <c r="M320" i="27"/>
  <c r="C320" i="27" s="1"/>
  <c r="N320" i="27"/>
  <c r="O320" i="27"/>
  <c r="P320" i="27"/>
  <c r="Q320" i="27"/>
  <c r="R320" i="27"/>
  <c r="S320" i="27"/>
  <c r="T320" i="27"/>
  <c r="U320" i="27"/>
  <c r="J321" i="27"/>
  <c r="A321" i="27" s="1"/>
  <c r="K321" i="27"/>
  <c r="B321" i="27" s="1"/>
  <c r="L321" i="27"/>
  <c r="D321" i="27" s="1"/>
  <c r="M321" i="27"/>
  <c r="C321" i="27" s="1"/>
  <c r="N321" i="27"/>
  <c r="O321" i="27"/>
  <c r="P321" i="27"/>
  <c r="Q321" i="27"/>
  <c r="R321" i="27"/>
  <c r="S321" i="27"/>
  <c r="T321" i="27"/>
  <c r="U321" i="27"/>
  <c r="J322" i="27"/>
  <c r="A322" i="27" s="1"/>
  <c r="K322" i="27"/>
  <c r="B322" i="27" s="1"/>
  <c r="L322" i="27"/>
  <c r="D322" i="27" s="1"/>
  <c r="M322" i="27"/>
  <c r="C322" i="27" s="1"/>
  <c r="N322" i="27"/>
  <c r="O322" i="27"/>
  <c r="P322" i="27"/>
  <c r="Q322" i="27"/>
  <c r="R322" i="27"/>
  <c r="S322" i="27"/>
  <c r="T322" i="27"/>
  <c r="U322" i="27"/>
  <c r="W322" i="26"/>
  <c r="F1522" i="10" s="1"/>
  <c r="X322" i="26"/>
  <c r="V322" i="26"/>
  <c r="U322" i="26"/>
  <c r="D322" i="10" s="1"/>
  <c r="J323" i="27"/>
  <c r="A323" i="27" s="1"/>
  <c r="K323" i="27"/>
  <c r="B323" i="27" s="1"/>
  <c r="L323" i="27"/>
  <c r="D323" i="27" s="1"/>
  <c r="M323" i="27"/>
  <c r="C323" i="27" s="1"/>
  <c r="N323" i="27"/>
  <c r="O323" i="27"/>
  <c r="P323" i="27"/>
  <c r="Q323" i="27"/>
  <c r="R323" i="27"/>
  <c r="S323" i="27"/>
  <c r="T323" i="27"/>
  <c r="U323" i="27"/>
  <c r="AC323" i="26"/>
  <c r="AB323" i="26"/>
  <c r="J324" i="27"/>
  <c r="A324" i="27" s="1"/>
  <c r="K324" i="27"/>
  <c r="B324" i="27" s="1"/>
  <c r="L324" i="27"/>
  <c r="D324" i="27" s="1"/>
  <c r="M324" i="27"/>
  <c r="C324" i="27" s="1"/>
  <c r="N324" i="27"/>
  <c r="O324" i="27"/>
  <c r="P324" i="27"/>
  <c r="Q324" i="27"/>
  <c r="R324" i="27"/>
  <c r="S324" i="27"/>
  <c r="T324" i="27"/>
  <c r="U324" i="27"/>
  <c r="AC324" i="26"/>
  <c r="AB324" i="26"/>
  <c r="J325" i="27"/>
  <c r="A325" i="27" s="1"/>
  <c r="K325" i="27"/>
  <c r="B325" i="27" s="1"/>
  <c r="L325" i="27"/>
  <c r="D325" i="27" s="1"/>
  <c r="M325" i="27"/>
  <c r="C325" i="27" s="1"/>
  <c r="N325" i="27"/>
  <c r="O325" i="27"/>
  <c r="P325" i="27"/>
  <c r="Q325" i="27"/>
  <c r="R325" i="27"/>
  <c r="S325" i="27"/>
  <c r="T325" i="27"/>
  <c r="U325" i="27"/>
  <c r="AC325" i="26"/>
  <c r="AB325" i="26"/>
  <c r="J326" i="27"/>
  <c r="A326" i="27" s="1"/>
  <c r="K326" i="27"/>
  <c r="B326" i="27" s="1"/>
  <c r="L326" i="27"/>
  <c r="D326" i="27" s="1"/>
  <c r="M326" i="27"/>
  <c r="C326" i="27" s="1"/>
  <c r="N326" i="27"/>
  <c r="O326" i="27"/>
  <c r="P326" i="27"/>
  <c r="Q326" i="27"/>
  <c r="R326" i="27"/>
  <c r="S326" i="27"/>
  <c r="T326" i="27"/>
  <c r="U326" i="27"/>
  <c r="J327" i="27"/>
  <c r="A327" i="27" s="1"/>
  <c r="K327" i="27"/>
  <c r="B327" i="27" s="1"/>
  <c r="L327" i="27"/>
  <c r="D327" i="27" s="1"/>
  <c r="M327" i="27"/>
  <c r="C327" i="27" s="1"/>
  <c r="N327" i="27"/>
  <c r="O327" i="27"/>
  <c r="P327" i="27"/>
  <c r="Q327" i="27"/>
  <c r="R327" i="27"/>
  <c r="S327" i="27"/>
  <c r="T327" i="27"/>
  <c r="U327" i="27"/>
  <c r="J328" i="27"/>
  <c r="A328" i="27" s="1"/>
  <c r="K328" i="27"/>
  <c r="B328" i="27" s="1"/>
  <c r="L328" i="27"/>
  <c r="D328" i="27" s="1"/>
  <c r="M328" i="27"/>
  <c r="C328" i="27" s="1"/>
  <c r="N328" i="27"/>
  <c r="O328" i="27"/>
  <c r="P328" i="27"/>
  <c r="Q328" i="27"/>
  <c r="R328" i="27"/>
  <c r="S328" i="27"/>
  <c r="T328" i="27"/>
  <c r="U328" i="27"/>
  <c r="J329" i="27"/>
  <c r="A329" i="27" s="1"/>
  <c r="K329" i="27"/>
  <c r="B329" i="27" s="1"/>
  <c r="L329" i="27"/>
  <c r="D329" i="27" s="1"/>
  <c r="M329" i="27"/>
  <c r="C329" i="27" s="1"/>
  <c r="N329" i="27"/>
  <c r="O329" i="27"/>
  <c r="P329" i="27"/>
  <c r="Q329" i="27"/>
  <c r="R329" i="27"/>
  <c r="S329" i="27"/>
  <c r="T329" i="27"/>
  <c r="U329" i="27"/>
  <c r="J330" i="27"/>
  <c r="A330" i="27" s="1"/>
  <c r="K330" i="27"/>
  <c r="B330" i="27" s="1"/>
  <c r="L330" i="27"/>
  <c r="D330" i="27" s="1"/>
  <c r="M330" i="27"/>
  <c r="C330" i="27" s="1"/>
  <c r="N330" i="27"/>
  <c r="O330" i="27"/>
  <c r="P330" i="27"/>
  <c r="Q330" i="27"/>
  <c r="R330" i="27"/>
  <c r="S330" i="27"/>
  <c r="T330" i="27"/>
  <c r="U330" i="27"/>
  <c r="J331" i="27"/>
  <c r="A331" i="27" s="1"/>
  <c r="K331" i="27"/>
  <c r="B331" i="27" s="1"/>
  <c r="L331" i="27"/>
  <c r="D331" i="27" s="1"/>
  <c r="M331" i="27"/>
  <c r="C331" i="27" s="1"/>
  <c r="N331" i="27"/>
  <c r="O331" i="27"/>
  <c r="P331" i="27"/>
  <c r="Q331" i="27"/>
  <c r="R331" i="27"/>
  <c r="S331" i="27"/>
  <c r="T331" i="27"/>
  <c r="U331" i="27"/>
  <c r="W331" i="26"/>
  <c r="F1531" i="10" s="1"/>
  <c r="X331" i="26"/>
  <c r="V331" i="26"/>
  <c r="AN331" i="26" s="1"/>
  <c r="U331" i="26"/>
  <c r="J332" i="27"/>
  <c r="A332" i="27" s="1"/>
  <c r="K332" i="27"/>
  <c r="B332" i="27" s="1"/>
  <c r="L332" i="27"/>
  <c r="D332" i="27" s="1"/>
  <c r="M332" i="27"/>
  <c r="C332" i="27" s="1"/>
  <c r="N332" i="27"/>
  <c r="O332" i="27"/>
  <c r="P332" i="27"/>
  <c r="Q332" i="27"/>
  <c r="R332" i="27"/>
  <c r="S332" i="27"/>
  <c r="T332" i="27"/>
  <c r="U332" i="27"/>
  <c r="AC332" i="26"/>
  <c r="AB332" i="26"/>
  <c r="J333" i="27"/>
  <c r="A333" i="27" s="1"/>
  <c r="K333" i="27"/>
  <c r="B333" i="27" s="1"/>
  <c r="L333" i="27"/>
  <c r="D333" i="27" s="1"/>
  <c r="M333" i="27"/>
  <c r="C333" i="27" s="1"/>
  <c r="N333" i="27"/>
  <c r="O333" i="27"/>
  <c r="P333" i="27"/>
  <c r="Q333" i="27"/>
  <c r="R333" i="27"/>
  <c r="S333" i="27"/>
  <c r="T333" i="27"/>
  <c r="U333" i="27"/>
  <c r="S331" i="6"/>
  <c r="J334" i="27"/>
  <c r="A334" i="27" s="1"/>
  <c r="K334" i="27"/>
  <c r="B334" i="27" s="1"/>
  <c r="L334" i="27"/>
  <c r="D334" i="27" s="1"/>
  <c r="M334" i="27"/>
  <c r="C334" i="27" s="1"/>
  <c r="N334" i="27"/>
  <c r="O334" i="27"/>
  <c r="P334" i="27"/>
  <c r="Q334" i="27"/>
  <c r="R334" i="27"/>
  <c r="S334" i="27"/>
  <c r="T334" i="27"/>
  <c r="U334" i="27"/>
  <c r="J335" i="27"/>
  <c r="A335" i="27" s="1"/>
  <c r="K335" i="27"/>
  <c r="B335" i="27" s="1"/>
  <c r="L335" i="27"/>
  <c r="D335" i="27" s="1"/>
  <c r="M335" i="27"/>
  <c r="C335" i="27" s="1"/>
  <c r="N335" i="27"/>
  <c r="O335" i="27"/>
  <c r="P335" i="27"/>
  <c r="Q335" i="27"/>
  <c r="R335" i="27"/>
  <c r="S335" i="27"/>
  <c r="T335" i="27"/>
  <c r="U335" i="27"/>
  <c r="J336" i="27"/>
  <c r="A336" i="27" s="1"/>
  <c r="K336" i="27"/>
  <c r="B336" i="27" s="1"/>
  <c r="L336" i="27"/>
  <c r="D336" i="27" s="1"/>
  <c r="M336" i="27"/>
  <c r="C336" i="27" s="1"/>
  <c r="N336" i="27"/>
  <c r="O336" i="27"/>
  <c r="P336" i="27"/>
  <c r="Q336" i="27"/>
  <c r="R336" i="27"/>
  <c r="S336" i="27"/>
  <c r="T336" i="27"/>
  <c r="U336" i="27"/>
  <c r="J337" i="27"/>
  <c r="A337" i="27" s="1"/>
  <c r="K337" i="27"/>
  <c r="B337" i="27" s="1"/>
  <c r="L337" i="27"/>
  <c r="D337" i="27" s="1"/>
  <c r="M337" i="27"/>
  <c r="C337" i="27" s="1"/>
  <c r="N337" i="27"/>
  <c r="O337" i="27"/>
  <c r="P337" i="27"/>
  <c r="Q337" i="27"/>
  <c r="R337" i="27"/>
  <c r="S337" i="27"/>
  <c r="T337" i="27"/>
  <c r="U337" i="27"/>
  <c r="J338" i="27"/>
  <c r="A338" i="27" s="1"/>
  <c r="K338" i="27"/>
  <c r="B338" i="27" s="1"/>
  <c r="L338" i="27"/>
  <c r="D338" i="27" s="1"/>
  <c r="M338" i="27"/>
  <c r="C338" i="27" s="1"/>
  <c r="N338" i="27"/>
  <c r="O338" i="27"/>
  <c r="P338" i="27"/>
  <c r="Q338" i="27"/>
  <c r="R338" i="27"/>
  <c r="S338" i="27"/>
  <c r="T338" i="27"/>
  <c r="U338" i="27"/>
  <c r="W338" i="26"/>
  <c r="X338" i="26"/>
  <c r="V338" i="26"/>
  <c r="AN338" i="26" s="1"/>
  <c r="U338" i="26"/>
  <c r="J339" i="27"/>
  <c r="A339" i="27" s="1"/>
  <c r="K339" i="27"/>
  <c r="B339" i="27" s="1"/>
  <c r="L339" i="27"/>
  <c r="D339" i="27" s="1"/>
  <c r="M339" i="27"/>
  <c r="C339" i="27" s="1"/>
  <c r="N339" i="27"/>
  <c r="O339" i="27"/>
  <c r="P339" i="27"/>
  <c r="Q339" i="27"/>
  <c r="R339" i="27"/>
  <c r="S339" i="27"/>
  <c r="T339" i="27"/>
  <c r="U339" i="27"/>
  <c r="AC339" i="26"/>
  <c r="AB339" i="26"/>
  <c r="J340" i="27"/>
  <c r="A340" i="27" s="1"/>
  <c r="K340" i="27"/>
  <c r="B340" i="27" s="1"/>
  <c r="L340" i="27"/>
  <c r="D340" i="27" s="1"/>
  <c r="M340" i="27"/>
  <c r="C340" i="27" s="1"/>
  <c r="N340" i="27"/>
  <c r="O340" i="27"/>
  <c r="P340" i="27"/>
  <c r="Q340" i="27"/>
  <c r="R340" i="27"/>
  <c r="S340" i="27"/>
  <c r="T340" i="27"/>
  <c r="U340" i="27"/>
  <c r="S338" i="6"/>
  <c r="J341" i="27"/>
  <c r="A341" i="27" s="1"/>
  <c r="K341" i="27"/>
  <c r="B341" i="27" s="1"/>
  <c r="L341" i="27"/>
  <c r="D341" i="27" s="1"/>
  <c r="M341" i="27"/>
  <c r="C341" i="27" s="1"/>
  <c r="N341" i="27"/>
  <c r="O341" i="27"/>
  <c r="P341" i="27"/>
  <c r="Q341" i="27"/>
  <c r="R341" i="27"/>
  <c r="S341" i="27"/>
  <c r="T341" i="27"/>
  <c r="U341" i="27"/>
  <c r="J342" i="27"/>
  <c r="A342" i="27" s="1"/>
  <c r="K342" i="27"/>
  <c r="B342" i="27" s="1"/>
  <c r="L342" i="27"/>
  <c r="D342" i="27" s="1"/>
  <c r="M342" i="27"/>
  <c r="C342" i="27" s="1"/>
  <c r="N342" i="27"/>
  <c r="O342" i="27"/>
  <c r="P342" i="27"/>
  <c r="Q342" i="27"/>
  <c r="R342" i="27"/>
  <c r="S342" i="27"/>
  <c r="T342" i="27"/>
  <c r="U342" i="27"/>
  <c r="J343" i="27"/>
  <c r="A343" i="27" s="1"/>
  <c r="K343" i="27"/>
  <c r="B343" i="27" s="1"/>
  <c r="L343" i="27"/>
  <c r="D343" i="27" s="1"/>
  <c r="M343" i="27"/>
  <c r="C343" i="27" s="1"/>
  <c r="N343" i="27"/>
  <c r="O343" i="27"/>
  <c r="P343" i="27"/>
  <c r="Q343" i="27"/>
  <c r="R343" i="27"/>
  <c r="S343" i="27"/>
  <c r="T343" i="27"/>
  <c r="U343" i="27"/>
  <c r="J344" i="27"/>
  <c r="A344" i="27" s="1"/>
  <c r="K344" i="27"/>
  <c r="B344" i="27" s="1"/>
  <c r="L344" i="27"/>
  <c r="D344" i="27" s="1"/>
  <c r="M344" i="27"/>
  <c r="C344" i="27" s="1"/>
  <c r="N344" i="27"/>
  <c r="O344" i="27"/>
  <c r="P344" i="27"/>
  <c r="Q344" i="27"/>
  <c r="R344" i="27"/>
  <c r="S344" i="27"/>
  <c r="T344" i="27"/>
  <c r="U344" i="27"/>
  <c r="J345" i="27"/>
  <c r="A345" i="27" s="1"/>
  <c r="K345" i="27"/>
  <c r="B345" i="27" s="1"/>
  <c r="L345" i="27"/>
  <c r="D345" i="27" s="1"/>
  <c r="M345" i="27"/>
  <c r="C345" i="27" s="1"/>
  <c r="N345" i="27"/>
  <c r="O345" i="27"/>
  <c r="P345" i="27"/>
  <c r="Q345" i="27"/>
  <c r="R345" i="27"/>
  <c r="S345" i="27"/>
  <c r="T345" i="27"/>
  <c r="U345" i="27"/>
  <c r="W345" i="26"/>
  <c r="F1545" i="10" s="1"/>
  <c r="X345" i="26"/>
  <c r="V345" i="26"/>
  <c r="E345" i="10" s="1"/>
  <c r="U345" i="26"/>
  <c r="J346" i="27"/>
  <c r="A346" i="27" s="1"/>
  <c r="K346" i="27"/>
  <c r="B346" i="27" s="1"/>
  <c r="L346" i="27"/>
  <c r="D346" i="27" s="1"/>
  <c r="M346" i="27"/>
  <c r="C346" i="27" s="1"/>
  <c r="N346" i="27"/>
  <c r="O346" i="27"/>
  <c r="P346" i="27"/>
  <c r="Q346" i="27"/>
  <c r="R346" i="27"/>
  <c r="S346" i="27"/>
  <c r="T346" i="27"/>
  <c r="U346" i="27"/>
  <c r="AC346" i="26"/>
  <c r="AB346" i="26"/>
  <c r="J347" i="27"/>
  <c r="A347" i="27" s="1"/>
  <c r="K347" i="27"/>
  <c r="B347" i="27" s="1"/>
  <c r="L347" i="27"/>
  <c r="D347" i="27" s="1"/>
  <c r="M347" i="27"/>
  <c r="C347" i="27" s="1"/>
  <c r="N347" i="27"/>
  <c r="O347" i="27"/>
  <c r="P347" i="27"/>
  <c r="Q347" i="27"/>
  <c r="R347" i="27"/>
  <c r="S347" i="27"/>
  <c r="T347" i="27"/>
  <c r="U347" i="27"/>
  <c r="J348" i="27"/>
  <c r="A348" i="27" s="1"/>
  <c r="K348" i="27"/>
  <c r="B348" i="27" s="1"/>
  <c r="L348" i="27"/>
  <c r="D348" i="27" s="1"/>
  <c r="M348" i="27"/>
  <c r="C348" i="27" s="1"/>
  <c r="N348" i="27"/>
  <c r="O348" i="27"/>
  <c r="P348" i="27"/>
  <c r="Q348" i="27"/>
  <c r="R348" i="27"/>
  <c r="S348" i="27"/>
  <c r="T348" i="27"/>
  <c r="U348" i="27"/>
  <c r="J349" i="27"/>
  <c r="A349" i="27" s="1"/>
  <c r="K349" i="27"/>
  <c r="B349" i="27" s="1"/>
  <c r="L349" i="27"/>
  <c r="D349" i="27" s="1"/>
  <c r="M349" i="27"/>
  <c r="C349" i="27" s="1"/>
  <c r="N349" i="27"/>
  <c r="O349" i="27"/>
  <c r="P349" i="27"/>
  <c r="Q349" i="27"/>
  <c r="R349" i="27"/>
  <c r="S349" i="27"/>
  <c r="T349" i="27"/>
  <c r="U349" i="27"/>
  <c r="J350" i="27"/>
  <c r="A350" i="27" s="1"/>
  <c r="K350" i="27"/>
  <c r="B350" i="27" s="1"/>
  <c r="L350" i="27"/>
  <c r="D350" i="27" s="1"/>
  <c r="M350" i="27"/>
  <c r="C350" i="27" s="1"/>
  <c r="N350" i="27"/>
  <c r="O350" i="27"/>
  <c r="P350" i="27"/>
  <c r="Q350" i="27"/>
  <c r="R350" i="27"/>
  <c r="S350" i="27"/>
  <c r="T350" i="27"/>
  <c r="U350" i="27"/>
  <c r="J351" i="27"/>
  <c r="A351" i="27" s="1"/>
  <c r="K351" i="27"/>
  <c r="B351" i="27" s="1"/>
  <c r="L351" i="27"/>
  <c r="D351" i="27" s="1"/>
  <c r="M351" i="27"/>
  <c r="C351" i="27" s="1"/>
  <c r="N351" i="27"/>
  <c r="O351" i="27"/>
  <c r="P351" i="27"/>
  <c r="Q351" i="27"/>
  <c r="R351" i="27"/>
  <c r="S351" i="27"/>
  <c r="T351" i="27"/>
  <c r="U351" i="27"/>
  <c r="J352" i="27"/>
  <c r="A352" i="27" s="1"/>
  <c r="K352" i="27"/>
  <c r="B352" i="27" s="1"/>
  <c r="L352" i="27"/>
  <c r="D352" i="27" s="1"/>
  <c r="M352" i="27"/>
  <c r="C352" i="27" s="1"/>
  <c r="N352" i="27"/>
  <c r="O352" i="27"/>
  <c r="P352" i="27"/>
  <c r="Q352" i="27"/>
  <c r="R352" i="27"/>
  <c r="S352" i="27"/>
  <c r="T352" i="27"/>
  <c r="U352" i="27"/>
  <c r="W352" i="26"/>
  <c r="X352" i="26"/>
  <c r="V352" i="26"/>
  <c r="AF352" i="26" s="1"/>
  <c r="U352" i="26"/>
  <c r="D352" i="10" s="1"/>
  <c r="J353" i="27"/>
  <c r="A353" i="27" s="1"/>
  <c r="K353" i="27"/>
  <c r="B353" i="27" s="1"/>
  <c r="L353" i="27"/>
  <c r="D353" i="27" s="1"/>
  <c r="M353" i="27"/>
  <c r="C353" i="27" s="1"/>
  <c r="N353" i="27"/>
  <c r="O353" i="27"/>
  <c r="P353" i="27"/>
  <c r="Q353" i="27"/>
  <c r="R353" i="27"/>
  <c r="S353" i="27"/>
  <c r="T353" i="27"/>
  <c r="U353" i="27"/>
  <c r="AC353" i="26"/>
  <c r="AB353" i="26"/>
  <c r="J354" i="27"/>
  <c r="A354" i="27" s="1"/>
  <c r="K354" i="27"/>
  <c r="B354" i="27" s="1"/>
  <c r="L354" i="27"/>
  <c r="D354" i="27" s="1"/>
  <c r="M354" i="27"/>
  <c r="C354" i="27" s="1"/>
  <c r="N354" i="27"/>
  <c r="O354" i="27"/>
  <c r="P354" i="27"/>
  <c r="Q354" i="27"/>
  <c r="R354" i="27"/>
  <c r="S354" i="27"/>
  <c r="T354" i="27"/>
  <c r="U354" i="27"/>
  <c r="J355" i="27"/>
  <c r="A355" i="27" s="1"/>
  <c r="K355" i="27"/>
  <c r="B355" i="27" s="1"/>
  <c r="L355" i="27"/>
  <c r="D355" i="27" s="1"/>
  <c r="M355" i="27"/>
  <c r="C355" i="27" s="1"/>
  <c r="N355" i="27"/>
  <c r="O355" i="27"/>
  <c r="P355" i="27"/>
  <c r="Q355" i="27"/>
  <c r="R355" i="27"/>
  <c r="S355" i="27"/>
  <c r="T355" i="27"/>
  <c r="U355" i="27"/>
  <c r="J356" i="27"/>
  <c r="A356" i="27" s="1"/>
  <c r="K356" i="27"/>
  <c r="B356" i="27" s="1"/>
  <c r="L356" i="27"/>
  <c r="D356" i="27" s="1"/>
  <c r="M356" i="27"/>
  <c r="C356" i="27" s="1"/>
  <c r="N356" i="27"/>
  <c r="O356" i="27"/>
  <c r="P356" i="27"/>
  <c r="Q356" i="27"/>
  <c r="R356" i="27"/>
  <c r="S356" i="27"/>
  <c r="T356" i="27"/>
  <c r="U356" i="27"/>
  <c r="J357" i="27"/>
  <c r="A357" i="27" s="1"/>
  <c r="K357" i="27"/>
  <c r="B357" i="27" s="1"/>
  <c r="L357" i="27"/>
  <c r="D357" i="27" s="1"/>
  <c r="M357" i="27"/>
  <c r="C357" i="27" s="1"/>
  <c r="N357" i="27"/>
  <c r="O357" i="27"/>
  <c r="P357" i="27"/>
  <c r="Q357" i="27"/>
  <c r="R357" i="27"/>
  <c r="S357" i="27"/>
  <c r="T357" i="27"/>
  <c r="U357" i="27"/>
  <c r="J358" i="27"/>
  <c r="A358" i="27" s="1"/>
  <c r="K358" i="27"/>
  <c r="B358" i="27" s="1"/>
  <c r="L358" i="27"/>
  <c r="D358" i="27" s="1"/>
  <c r="M358" i="27"/>
  <c r="C358" i="27" s="1"/>
  <c r="N358" i="27"/>
  <c r="O358" i="27"/>
  <c r="P358" i="27"/>
  <c r="Q358" i="27"/>
  <c r="R358" i="27"/>
  <c r="S358" i="27"/>
  <c r="T358" i="27"/>
  <c r="U358" i="27"/>
  <c r="J359" i="27"/>
  <c r="A359" i="27" s="1"/>
  <c r="K359" i="27"/>
  <c r="B359" i="27" s="1"/>
  <c r="L359" i="27"/>
  <c r="D359" i="27" s="1"/>
  <c r="M359" i="27"/>
  <c r="C359" i="27" s="1"/>
  <c r="N359" i="27"/>
  <c r="O359" i="27"/>
  <c r="P359" i="27"/>
  <c r="Q359" i="27"/>
  <c r="R359" i="27"/>
  <c r="S359" i="27"/>
  <c r="T359" i="27"/>
  <c r="U359" i="27"/>
  <c r="W359" i="26"/>
  <c r="X359" i="26"/>
  <c r="V359" i="26"/>
  <c r="E359" i="10" s="1"/>
  <c r="U359" i="26"/>
  <c r="D359" i="10" s="1"/>
  <c r="J360" i="27"/>
  <c r="A360" i="27" s="1"/>
  <c r="K360" i="27"/>
  <c r="B360" i="27" s="1"/>
  <c r="L360" i="27"/>
  <c r="D360" i="27" s="1"/>
  <c r="M360" i="27"/>
  <c r="C360" i="27" s="1"/>
  <c r="N360" i="27"/>
  <c r="O360" i="27"/>
  <c r="P360" i="27"/>
  <c r="Q360" i="27"/>
  <c r="R360" i="27"/>
  <c r="S360" i="27"/>
  <c r="T360" i="27"/>
  <c r="U360" i="27"/>
  <c r="AC360" i="26"/>
  <c r="AB360" i="26"/>
  <c r="J361" i="27"/>
  <c r="A361" i="27" s="1"/>
  <c r="K361" i="27"/>
  <c r="B361" i="27" s="1"/>
  <c r="L361" i="27"/>
  <c r="D361" i="27" s="1"/>
  <c r="M361" i="27"/>
  <c r="C361" i="27" s="1"/>
  <c r="N361" i="27"/>
  <c r="O361" i="27"/>
  <c r="P361" i="27"/>
  <c r="Q361" i="27"/>
  <c r="R361" i="27"/>
  <c r="S361" i="27"/>
  <c r="T361" i="27"/>
  <c r="U361" i="27"/>
  <c r="J362" i="27"/>
  <c r="A362" i="27" s="1"/>
  <c r="K362" i="27"/>
  <c r="B362" i="27" s="1"/>
  <c r="L362" i="27"/>
  <c r="D362" i="27" s="1"/>
  <c r="M362" i="27"/>
  <c r="C362" i="27" s="1"/>
  <c r="N362" i="27"/>
  <c r="O362" i="27"/>
  <c r="P362" i="27"/>
  <c r="Q362" i="27"/>
  <c r="R362" i="27"/>
  <c r="S362" i="27"/>
  <c r="T362" i="27"/>
  <c r="U362" i="27"/>
  <c r="J363" i="27"/>
  <c r="A363" i="27" s="1"/>
  <c r="K363" i="27"/>
  <c r="B363" i="27" s="1"/>
  <c r="L363" i="27"/>
  <c r="D363" i="27" s="1"/>
  <c r="M363" i="27"/>
  <c r="C363" i="27" s="1"/>
  <c r="N363" i="27"/>
  <c r="O363" i="27"/>
  <c r="P363" i="27"/>
  <c r="Q363" i="27"/>
  <c r="R363" i="27"/>
  <c r="S363" i="27"/>
  <c r="T363" i="27"/>
  <c r="U363" i="27"/>
  <c r="J364" i="27"/>
  <c r="A364" i="27" s="1"/>
  <c r="K364" i="27"/>
  <c r="B364" i="27" s="1"/>
  <c r="L364" i="27"/>
  <c r="D364" i="27" s="1"/>
  <c r="M364" i="27"/>
  <c r="C364" i="27" s="1"/>
  <c r="N364" i="27"/>
  <c r="O364" i="27"/>
  <c r="P364" i="27"/>
  <c r="Q364" i="27"/>
  <c r="R364" i="27"/>
  <c r="S364" i="27"/>
  <c r="T364" i="27"/>
  <c r="U364" i="27"/>
  <c r="J365" i="27"/>
  <c r="A365" i="27" s="1"/>
  <c r="K365" i="27"/>
  <c r="B365" i="27" s="1"/>
  <c r="L365" i="27"/>
  <c r="D365" i="27" s="1"/>
  <c r="M365" i="27"/>
  <c r="C365" i="27" s="1"/>
  <c r="N365" i="27"/>
  <c r="O365" i="27"/>
  <c r="P365" i="27"/>
  <c r="Q365" i="27"/>
  <c r="R365" i="27"/>
  <c r="S365" i="27"/>
  <c r="T365" i="27"/>
  <c r="U365" i="27"/>
  <c r="J366" i="27"/>
  <c r="A366" i="27" s="1"/>
  <c r="K366" i="27"/>
  <c r="B366" i="27" s="1"/>
  <c r="L366" i="27"/>
  <c r="D366" i="27" s="1"/>
  <c r="M366" i="27"/>
  <c r="C366" i="27" s="1"/>
  <c r="N366" i="27"/>
  <c r="O366" i="27"/>
  <c r="P366" i="27"/>
  <c r="Q366" i="27"/>
  <c r="R366" i="27"/>
  <c r="S366" i="27"/>
  <c r="T366" i="27"/>
  <c r="U366" i="27"/>
  <c r="W366" i="26"/>
  <c r="F1566" i="10" s="1"/>
  <c r="X366" i="26"/>
  <c r="V366" i="26"/>
  <c r="U366" i="26"/>
  <c r="J367" i="27"/>
  <c r="A367" i="27" s="1"/>
  <c r="K367" i="27"/>
  <c r="B367" i="27" s="1"/>
  <c r="L367" i="27"/>
  <c r="D367" i="27" s="1"/>
  <c r="M367" i="27"/>
  <c r="C367" i="27" s="1"/>
  <c r="N367" i="27"/>
  <c r="O367" i="27"/>
  <c r="P367" i="27"/>
  <c r="Q367" i="27"/>
  <c r="R367" i="27"/>
  <c r="S367" i="27"/>
  <c r="T367" i="27"/>
  <c r="U367" i="27"/>
  <c r="AC367" i="26"/>
  <c r="AB367" i="26"/>
  <c r="J368" i="27"/>
  <c r="A368" i="27" s="1"/>
  <c r="K368" i="27"/>
  <c r="B368" i="27" s="1"/>
  <c r="L368" i="27"/>
  <c r="D368" i="27" s="1"/>
  <c r="M368" i="27"/>
  <c r="C368" i="27" s="1"/>
  <c r="N368" i="27"/>
  <c r="O368" i="27"/>
  <c r="P368" i="27"/>
  <c r="Q368" i="27"/>
  <c r="R368" i="27"/>
  <c r="S368" i="27"/>
  <c r="T368" i="27"/>
  <c r="U368" i="27"/>
  <c r="V368" i="26"/>
  <c r="AN368" i="26" s="1"/>
  <c r="U368" i="26"/>
  <c r="J369" i="27"/>
  <c r="A369" i="27" s="1"/>
  <c r="K369" i="27"/>
  <c r="B369" i="27" s="1"/>
  <c r="L369" i="27"/>
  <c r="D369" i="27" s="1"/>
  <c r="M369" i="27"/>
  <c r="C369" i="27" s="1"/>
  <c r="N369" i="27"/>
  <c r="O369" i="27"/>
  <c r="P369" i="27"/>
  <c r="Q369" i="27"/>
  <c r="R369" i="27"/>
  <c r="S369" i="27"/>
  <c r="T369" i="27"/>
  <c r="U369" i="27"/>
  <c r="J370" i="27"/>
  <c r="A370" i="27" s="1"/>
  <c r="K370" i="27"/>
  <c r="B370" i="27" s="1"/>
  <c r="L370" i="27"/>
  <c r="D370" i="27" s="1"/>
  <c r="M370" i="27"/>
  <c r="C370" i="27" s="1"/>
  <c r="N370" i="27"/>
  <c r="O370" i="27"/>
  <c r="P370" i="27"/>
  <c r="Q370" i="27"/>
  <c r="R370" i="27"/>
  <c r="S370" i="27"/>
  <c r="T370" i="27"/>
  <c r="U370" i="27"/>
  <c r="J371" i="27"/>
  <c r="A371" i="27" s="1"/>
  <c r="K371" i="27"/>
  <c r="B371" i="27" s="1"/>
  <c r="L371" i="27"/>
  <c r="D371" i="27" s="1"/>
  <c r="M371" i="27"/>
  <c r="C371" i="27" s="1"/>
  <c r="N371" i="27"/>
  <c r="O371" i="27"/>
  <c r="P371" i="27"/>
  <c r="Q371" i="27"/>
  <c r="R371" i="27"/>
  <c r="S371" i="27"/>
  <c r="T371" i="27"/>
  <c r="U371" i="27"/>
  <c r="J372" i="27"/>
  <c r="A372" i="27" s="1"/>
  <c r="K372" i="27"/>
  <c r="B372" i="27" s="1"/>
  <c r="L372" i="27"/>
  <c r="D372" i="27" s="1"/>
  <c r="M372" i="27"/>
  <c r="C372" i="27" s="1"/>
  <c r="N372" i="27"/>
  <c r="O372" i="27"/>
  <c r="P372" i="27"/>
  <c r="Q372" i="27"/>
  <c r="R372" i="27"/>
  <c r="S372" i="27"/>
  <c r="T372" i="27"/>
  <c r="U372" i="27"/>
  <c r="J373" i="27"/>
  <c r="A373" i="27" s="1"/>
  <c r="K373" i="27"/>
  <c r="B373" i="27" s="1"/>
  <c r="L373" i="27"/>
  <c r="D373" i="27" s="1"/>
  <c r="M373" i="27"/>
  <c r="C373" i="27" s="1"/>
  <c r="N373" i="27"/>
  <c r="O373" i="27"/>
  <c r="P373" i="27"/>
  <c r="Q373" i="27"/>
  <c r="R373" i="27"/>
  <c r="S373" i="27"/>
  <c r="T373" i="27"/>
  <c r="U373" i="27"/>
  <c r="W373" i="26"/>
  <c r="F1573" i="10" s="1"/>
  <c r="X373" i="26"/>
  <c r="V373" i="26"/>
  <c r="E373" i="10" s="1"/>
  <c r="U373" i="26"/>
  <c r="AA373" i="26" s="1"/>
  <c r="J374" i="27"/>
  <c r="A374" i="27" s="1"/>
  <c r="K374" i="27"/>
  <c r="B374" i="27" s="1"/>
  <c r="L374" i="27"/>
  <c r="D374" i="27" s="1"/>
  <c r="M374" i="27"/>
  <c r="C374" i="27" s="1"/>
  <c r="N374" i="27"/>
  <c r="O374" i="27"/>
  <c r="P374" i="27"/>
  <c r="Q374" i="27"/>
  <c r="R374" i="27"/>
  <c r="S374" i="27"/>
  <c r="T374" i="27"/>
  <c r="U374" i="27"/>
  <c r="AC374" i="26"/>
  <c r="AB374" i="26"/>
  <c r="J375" i="27"/>
  <c r="A375" i="27" s="1"/>
  <c r="K375" i="27"/>
  <c r="B375" i="27" s="1"/>
  <c r="L375" i="27"/>
  <c r="D375" i="27" s="1"/>
  <c r="M375" i="27"/>
  <c r="C375" i="27" s="1"/>
  <c r="N375" i="27"/>
  <c r="O375" i="27"/>
  <c r="P375" i="27"/>
  <c r="Q375" i="27"/>
  <c r="R375" i="27"/>
  <c r="S375" i="27"/>
  <c r="T375" i="27"/>
  <c r="U375" i="27"/>
  <c r="J376" i="27"/>
  <c r="A376" i="27" s="1"/>
  <c r="K376" i="27"/>
  <c r="B376" i="27" s="1"/>
  <c r="L376" i="27"/>
  <c r="D376" i="27" s="1"/>
  <c r="M376" i="27"/>
  <c r="C376" i="27" s="1"/>
  <c r="N376" i="27"/>
  <c r="O376" i="27"/>
  <c r="P376" i="27"/>
  <c r="Q376" i="27"/>
  <c r="R376" i="27"/>
  <c r="S376" i="27"/>
  <c r="T376" i="27"/>
  <c r="U376" i="27"/>
  <c r="J377" i="27"/>
  <c r="A377" i="27" s="1"/>
  <c r="K377" i="27"/>
  <c r="B377" i="27" s="1"/>
  <c r="L377" i="27"/>
  <c r="D377" i="27" s="1"/>
  <c r="M377" i="27"/>
  <c r="C377" i="27" s="1"/>
  <c r="N377" i="27"/>
  <c r="O377" i="27"/>
  <c r="P377" i="27"/>
  <c r="Q377" i="27"/>
  <c r="R377" i="27"/>
  <c r="S377" i="27"/>
  <c r="T377" i="27"/>
  <c r="U377" i="27"/>
  <c r="J378" i="27"/>
  <c r="A378" i="27" s="1"/>
  <c r="K378" i="27"/>
  <c r="B378" i="27" s="1"/>
  <c r="L378" i="27"/>
  <c r="D378" i="27" s="1"/>
  <c r="M378" i="27"/>
  <c r="C378" i="27" s="1"/>
  <c r="N378" i="27"/>
  <c r="O378" i="27"/>
  <c r="P378" i="27"/>
  <c r="Q378" i="27"/>
  <c r="R378" i="27"/>
  <c r="S378" i="27"/>
  <c r="T378" i="27"/>
  <c r="U378" i="27"/>
  <c r="J379" i="27"/>
  <c r="A379" i="27" s="1"/>
  <c r="K379" i="27"/>
  <c r="B379" i="27" s="1"/>
  <c r="L379" i="27"/>
  <c r="D379" i="27" s="1"/>
  <c r="M379" i="27"/>
  <c r="C379" i="27" s="1"/>
  <c r="N379" i="27"/>
  <c r="O379" i="27"/>
  <c r="P379" i="27"/>
  <c r="Q379" i="27"/>
  <c r="R379" i="27"/>
  <c r="S379" i="27"/>
  <c r="T379" i="27"/>
  <c r="U379" i="27"/>
  <c r="W379" i="26"/>
  <c r="F1579" i="10" s="1"/>
  <c r="X379" i="26"/>
  <c r="V379" i="26"/>
  <c r="AF379" i="26" s="1"/>
  <c r="AN379" i="26" s="1"/>
  <c r="U379" i="26"/>
  <c r="E379" i="6" s="1"/>
  <c r="J380" i="27"/>
  <c r="A380" i="27" s="1"/>
  <c r="K380" i="27"/>
  <c r="B380" i="27" s="1"/>
  <c r="L380" i="27"/>
  <c r="D380" i="27" s="1"/>
  <c r="M380" i="27"/>
  <c r="C380" i="27" s="1"/>
  <c r="N380" i="27"/>
  <c r="O380" i="27"/>
  <c r="P380" i="27"/>
  <c r="Q380" i="27"/>
  <c r="R380" i="27"/>
  <c r="S380" i="27"/>
  <c r="T380" i="27"/>
  <c r="U380" i="27"/>
  <c r="AC380" i="26"/>
  <c r="AB380" i="26"/>
  <c r="J381" i="27"/>
  <c r="A381" i="27" s="1"/>
  <c r="K381" i="27"/>
  <c r="B381" i="27" s="1"/>
  <c r="L381" i="27"/>
  <c r="D381" i="27" s="1"/>
  <c r="M381" i="27"/>
  <c r="C381" i="27" s="1"/>
  <c r="N381" i="27"/>
  <c r="O381" i="27"/>
  <c r="P381" i="27"/>
  <c r="Q381" i="27"/>
  <c r="R381" i="27"/>
  <c r="S381" i="27"/>
  <c r="T381" i="27"/>
  <c r="U381" i="27"/>
  <c r="J382" i="27"/>
  <c r="A382" i="27" s="1"/>
  <c r="K382" i="27"/>
  <c r="B382" i="27" s="1"/>
  <c r="L382" i="27"/>
  <c r="D382" i="27" s="1"/>
  <c r="M382" i="27"/>
  <c r="C382" i="27" s="1"/>
  <c r="N382" i="27"/>
  <c r="O382" i="27"/>
  <c r="P382" i="27"/>
  <c r="Q382" i="27"/>
  <c r="R382" i="27"/>
  <c r="S382" i="27"/>
  <c r="T382" i="27"/>
  <c r="U382" i="27"/>
  <c r="J383" i="27"/>
  <c r="A383" i="27" s="1"/>
  <c r="K383" i="27"/>
  <c r="B383" i="27" s="1"/>
  <c r="L383" i="27"/>
  <c r="D383" i="27" s="1"/>
  <c r="M383" i="27"/>
  <c r="C383" i="27" s="1"/>
  <c r="N383" i="27"/>
  <c r="O383" i="27"/>
  <c r="P383" i="27"/>
  <c r="Q383" i="27"/>
  <c r="R383" i="27"/>
  <c r="S383" i="27"/>
  <c r="T383" i="27"/>
  <c r="U383" i="27"/>
  <c r="J384" i="27"/>
  <c r="A384" i="27" s="1"/>
  <c r="K384" i="27"/>
  <c r="B384" i="27" s="1"/>
  <c r="L384" i="27"/>
  <c r="D384" i="27" s="1"/>
  <c r="M384" i="27"/>
  <c r="C384" i="27" s="1"/>
  <c r="N384" i="27"/>
  <c r="O384" i="27"/>
  <c r="P384" i="27"/>
  <c r="Q384" i="27"/>
  <c r="R384" i="27"/>
  <c r="S384" i="27"/>
  <c r="T384" i="27"/>
  <c r="U384" i="27"/>
  <c r="J385" i="27"/>
  <c r="A385" i="27" s="1"/>
  <c r="K385" i="27"/>
  <c r="B385" i="27" s="1"/>
  <c r="L385" i="27"/>
  <c r="D385" i="27" s="1"/>
  <c r="M385" i="27"/>
  <c r="C385" i="27" s="1"/>
  <c r="N385" i="27"/>
  <c r="O385" i="27"/>
  <c r="P385" i="27"/>
  <c r="Q385" i="27"/>
  <c r="R385" i="27"/>
  <c r="S385" i="27"/>
  <c r="T385" i="27"/>
  <c r="U385" i="27"/>
  <c r="W385" i="26"/>
  <c r="F1585" i="10" s="1"/>
  <c r="X385" i="26"/>
  <c r="V385" i="26"/>
  <c r="AN385" i="26" s="1"/>
  <c r="U385" i="26"/>
  <c r="J386" i="27"/>
  <c r="A386" i="27" s="1"/>
  <c r="K386" i="27"/>
  <c r="B386" i="27" s="1"/>
  <c r="L386" i="27"/>
  <c r="D386" i="27" s="1"/>
  <c r="M386" i="27"/>
  <c r="C386" i="27" s="1"/>
  <c r="N386" i="27"/>
  <c r="O386" i="27"/>
  <c r="P386" i="27"/>
  <c r="Q386" i="27"/>
  <c r="R386" i="27"/>
  <c r="S386" i="27"/>
  <c r="T386" i="27"/>
  <c r="U386" i="27"/>
  <c r="J387" i="27"/>
  <c r="A387" i="27" s="1"/>
  <c r="K387" i="27"/>
  <c r="B387" i="27" s="1"/>
  <c r="L387" i="27"/>
  <c r="D387" i="27" s="1"/>
  <c r="M387" i="27"/>
  <c r="C387" i="27" s="1"/>
  <c r="N387" i="27"/>
  <c r="O387" i="27"/>
  <c r="P387" i="27"/>
  <c r="Q387" i="27"/>
  <c r="R387" i="27"/>
  <c r="S387" i="27"/>
  <c r="T387" i="27"/>
  <c r="U387" i="27"/>
  <c r="J388" i="27"/>
  <c r="A388" i="27" s="1"/>
  <c r="K388" i="27"/>
  <c r="B388" i="27" s="1"/>
  <c r="L388" i="27"/>
  <c r="D388" i="27" s="1"/>
  <c r="M388" i="27"/>
  <c r="C388" i="27" s="1"/>
  <c r="N388" i="27"/>
  <c r="O388" i="27"/>
  <c r="P388" i="27"/>
  <c r="Q388" i="27"/>
  <c r="R388" i="27"/>
  <c r="S388" i="27"/>
  <c r="T388" i="27"/>
  <c r="U388" i="27"/>
  <c r="J389" i="27"/>
  <c r="A389" i="27" s="1"/>
  <c r="K389" i="27"/>
  <c r="B389" i="27" s="1"/>
  <c r="L389" i="27"/>
  <c r="D389" i="27" s="1"/>
  <c r="M389" i="27"/>
  <c r="C389" i="27" s="1"/>
  <c r="N389" i="27"/>
  <c r="O389" i="27"/>
  <c r="P389" i="27"/>
  <c r="Q389" i="27"/>
  <c r="R389" i="27"/>
  <c r="S389" i="27"/>
  <c r="T389" i="27"/>
  <c r="U389" i="27"/>
  <c r="J390" i="27"/>
  <c r="A390" i="27" s="1"/>
  <c r="K390" i="27"/>
  <c r="B390" i="27" s="1"/>
  <c r="L390" i="27"/>
  <c r="D390" i="27" s="1"/>
  <c r="M390" i="27"/>
  <c r="C390" i="27" s="1"/>
  <c r="N390" i="27"/>
  <c r="O390" i="27"/>
  <c r="P390" i="27"/>
  <c r="Q390" i="27"/>
  <c r="R390" i="27"/>
  <c r="S390" i="27"/>
  <c r="T390" i="27"/>
  <c r="U390" i="27"/>
  <c r="AC390" i="26"/>
  <c r="AB390" i="26"/>
  <c r="J391" i="27"/>
  <c r="A391" i="27" s="1"/>
  <c r="K391" i="27"/>
  <c r="B391" i="27" s="1"/>
  <c r="L391" i="27"/>
  <c r="D391" i="27" s="1"/>
  <c r="M391" i="27"/>
  <c r="C391" i="27" s="1"/>
  <c r="N391" i="27"/>
  <c r="O391" i="27"/>
  <c r="P391" i="27"/>
  <c r="Q391" i="27"/>
  <c r="R391" i="27"/>
  <c r="S391" i="27"/>
  <c r="T391" i="27"/>
  <c r="U391" i="27"/>
  <c r="BD391" i="26"/>
  <c r="K14" i="27"/>
  <c r="B14" i="27" s="1"/>
  <c r="L14" i="27"/>
  <c r="D14" i="27" s="1"/>
  <c r="M14" i="27"/>
  <c r="C14" i="27" s="1"/>
  <c r="N14" i="27"/>
  <c r="O14" i="27"/>
  <c r="P14" i="27"/>
  <c r="Q14" i="27"/>
  <c r="R14" i="27"/>
  <c r="S14" i="27"/>
  <c r="T14" i="27"/>
  <c r="U14" i="27"/>
  <c r="AC12" i="26"/>
  <c r="AB12" i="26"/>
  <c r="AK12" i="26"/>
  <c r="AU12" i="26" s="1"/>
  <c r="J14" i="27"/>
  <c r="A14" i="27" s="1"/>
  <c r="AB394" i="27"/>
  <c r="AB392" i="27"/>
  <c r="AB393" i="27"/>
  <c r="AE12" i="26"/>
  <c r="E13" i="7"/>
  <c r="E20" i="7"/>
  <c r="E33" i="7"/>
  <c r="E40" i="7"/>
  <c r="E47" i="7"/>
  <c r="E51" i="7"/>
  <c r="E56" i="7"/>
  <c r="E67" i="7"/>
  <c r="E76" i="7"/>
  <c r="E84" i="7"/>
  <c r="C3" i="10"/>
  <c r="AE13" i="26"/>
  <c r="AE20" i="26"/>
  <c r="AE33" i="26"/>
  <c r="AE40" i="26"/>
  <c r="AE46" i="26"/>
  <c r="AE47" i="26"/>
  <c r="AE51" i="26"/>
  <c r="AE56" i="26"/>
  <c r="AE66" i="26"/>
  <c r="AE67" i="26"/>
  <c r="AE76" i="26"/>
  <c r="AE84" i="26"/>
  <c r="AE97" i="26"/>
  <c r="E106" i="7"/>
  <c r="E119" i="7"/>
  <c r="E126" i="7"/>
  <c r="E132" i="7"/>
  <c r="E137" i="7"/>
  <c r="E145" i="7"/>
  <c r="E149" i="7"/>
  <c r="E153" i="7"/>
  <c r="E159" i="7"/>
  <c r="E169" i="7"/>
  <c r="E177" i="7"/>
  <c r="E189" i="7"/>
  <c r="E196" i="7"/>
  <c r="E207" i="7"/>
  <c r="AE98" i="26"/>
  <c r="AE100" i="26"/>
  <c r="AE106" i="26"/>
  <c r="AE119" i="26"/>
  <c r="AE125" i="26"/>
  <c r="AE126" i="26"/>
  <c r="AE132" i="26"/>
  <c r="AE137" i="26"/>
  <c r="AE143" i="26"/>
  <c r="AE144" i="26"/>
  <c r="AE145" i="26"/>
  <c r="AE149" i="26"/>
  <c r="AE153" i="26"/>
  <c r="AE158" i="26"/>
  <c r="AE159" i="26"/>
  <c r="AE169" i="26"/>
  <c r="AE189" i="26"/>
  <c r="AE196" i="26"/>
  <c r="AE207" i="26"/>
  <c r="AE212" i="26"/>
  <c r="E212" i="7"/>
  <c r="AE218" i="26"/>
  <c r="E219" i="7"/>
  <c r="E236" i="7"/>
  <c r="AE219" i="26"/>
  <c r="AE236" i="26"/>
  <c r="AE242" i="26"/>
  <c r="E242" i="7"/>
  <c r="AE253" i="26"/>
  <c r="E257" i="7"/>
  <c r="E264" i="7"/>
  <c r="AE256" i="26"/>
  <c r="AE257" i="26"/>
  <c r="AE264" i="26"/>
  <c r="AE269" i="26"/>
  <c r="AE277" i="26"/>
  <c r="E278" i="7"/>
  <c r="E289" i="7"/>
  <c r="E299" i="7"/>
  <c r="E302" i="7"/>
  <c r="E308" i="7"/>
  <c r="E312" i="7"/>
  <c r="AE278" i="26"/>
  <c r="AE289" i="26"/>
  <c r="AE299" i="26"/>
  <c r="AE302" i="26"/>
  <c r="AE308" i="26"/>
  <c r="AE312" i="26"/>
  <c r="AE315" i="26"/>
  <c r="AE318" i="26"/>
  <c r="AE323" i="26"/>
  <c r="E325" i="7"/>
  <c r="E332" i="7"/>
  <c r="E339" i="7"/>
  <c r="E360" i="7"/>
  <c r="E367" i="7"/>
  <c r="E374" i="7"/>
  <c r="E380" i="7"/>
  <c r="AE324" i="26"/>
  <c r="AE325" i="26"/>
  <c r="AE332" i="26"/>
  <c r="AE339" i="26"/>
  <c r="AE346" i="26"/>
  <c r="AE353" i="26"/>
  <c r="AE360" i="26"/>
  <c r="AE367" i="26"/>
  <c r="AE374" i="26"/>
  <c r="AE380" i="26"/>
  <c r="AE390" i="26"/>
  <c r="F13" i="7"/>
  <c r="F20" i="7"/>
  <c r="F33" i="7"/>
  <c r="F40" i="7"/>
  <c r="F47" i="7"/>
  <c r="F51" i="7"/>
  <c r="F56" i="7"/>
  <c r="F67" i="7"/>
  <c r="F76" i="7"/>
  <c r="F84" i="7"/>
  <c r="F100" i="7"/>
  <c r="F106" i="7"/>
  <c r="F119" i="7"/>
  <c r="F126" i="7"/>
  <c r="F132" i="7"/>
  <c r="F137" i="7"/>
  <c r="F145" i="7"/>
  <c r="F149" i="7"/>
  <c r="F153" i="7"/>
  <c r="F159" i="7"/>
  <c r="F169" i="7"/>
  <c r="F177" i="7"/>
  <c r="F189" i="7"/>
  <c r="F196" i="7"/>
  <c r="F207" i="7"/>
  <c r="F212" i="7"/>
  <c r="F219" i="7"/>
  <c r="F236" i="7"/>
  <c r="F242" i="7"/>
  <c r="F257" i="7"/>
  <c r="F264" i="7"/>
  <c r="F269" i="7"/>
  <c r="F278" i="7"/>
  <c r="F289" i="7"/>
  <c r="F299" i="7"/>
  <c r="F302" i="7"/>
  <c r="F308" i="7"/>
  <c r="F312" i="7"/>
  <c r="F315" i="7"/>
  <c r="F318" i="7"/>
  <c r="F325" i="7"/>
  <c r="F332" i="7"/>
  <c r="F339" i="7"/>
  <c r="F346" i="7"/>
  <c r="F353" i="7"/>
  <c r="F360" i="7"/>
  <c r="F367" i="7"/>
  <c r="F374" i="7"/>
  <c r="F380" i="7"/>
  <c r="G13" i="7"/>
  <c r="G20" i="7"/>
  <c r="G33" i="7"/>
  <c r="G40" i="7"/>
  <c r="G47" i="7"/>
  <c r="G51" i="7"/>
  <c r="G56" i="7"/>
  <c r="G67" i="7"/>
  <c r="G76" i="7"/>
  <c r="G84" i="7"/>
  <c r="G100" i="7"/>
  <c r="G106" i="7"/>
  <c r="G119" i="7"/>
  <c r="G126" i="7"/>
  <c r="G132" i="7"/>
  <c r="G137" i="7"/>
  <c r="G145" i="7"/>
  <c r="G149" i="7"/>
  <c r="G153" i="7"/>
  <c r="G159" i="7"/>
  <c r="G169" i="7"/>
  <c r="G177" i="7"/>
  <c r="G189" i="7"/>
  <c r="G196" i="7"/>
  <c r="G207" i="7"/>
  <c r="G212" i="7"/>
  <c r="G219" i="7"/>
  <c r="G236" i="7"/>
  <c r="G242" i="7"/>
  <c r="G257" i="7"/>
  <c r="G264" i="7"/>
  <c r="G269" i="7"/>
  <c r="G278" i="7"/>
  <c r="G289" i="7"/>
  <c r="G299" i="7"/>
  <c r="G302" i="7"/>
  <c r="G308" i="7"/>
  <c r="G312" i="7"/>
  <c r="G315" i="7"/>
  <c r="G318" i="7"/>
  <c r="G325" i="7"/>
  <c r="G332" i="7"/>
  <c r="G339" i="7"/>
  <c r="G346" i="7"/>
  <c r="G353" i="7"/>
  <c r="G360" i="7"/>
  <c r="G367" i="7"/>
  <c r="G374" i="7"/>
  <c r="G380" i="7"/>
  <c r="H13" i="7"/>
  <c r="H20" i="7"/>
  <c r="H33" i="7"/>
  <c r="H40" i="7"/>
  <c r="H47" i="7"/>
  <c r="H51" i="7"/>
  <c r="H56" i="7"/>
  <c r="H67" i="7"/>
  <c r="H76" i="7"/>
  <c r="H84" i="7"/>
  <c r="H100" i="7"/>
  <c r="H106" i="7"/>
  <c r="H119" i="7"/>
  <c r="H126" i="7"/>
  <c r="H132" i="7"/>
  <c r="H137" i="7"/>
  <c r="H145" i="7"/>
  <c r="H149" i="7"/>
  <c r="H153" i="7"/>
  <c r="H159" i="7"/>
  <c r="H169" i="7"/>
  <c r="H177" i="7"/>
  <c r="H189" i="7"/>
  <c r="H196" i="7"/>
  <c r="H207" i="7"/>
  <c r="H212" i="7"/>
  <c r="H219" i="7"/>
  <c r="H236" i="7"/>
  <c r="H242" i="7"/>
  <c r="H257" i="7"/>
  <c r="H264" i="7"/>
  <c r="H269" i="7"/>
  <c r="H278" i="7"/>
  <c r="H289" i="7"/>
  <c r="H299" i="7"/>
  <c r="H302" i="7"/>
  <c r="H308" i="7"/>
  <c r="H312" i="7"/>
  <c r="H315" i="7"/>
  <c r="H318" i="7"/>
  <c r="H325" i="7"/>
  <c r="H332" i="7"/>
  <c r="H339" i="7"/>
  <c r="H346" i="7"/>
  <c r="H353" i="7"/>
  <c r="H360" i="7"/>
  <c r="H367" i="7"/>
  <c r="H374" i="7"/>
  <c r="H380" i="7"/>
  <c r="I13" i="7"/>
  <c r="I20" i="7"/>
  <c r="I33" i="7"/>
  <c r="I40" i="7"/>
  <c r="I47" i="7"/>
  <c r="I51" i="7"/>
  <c r="I56" i="7"/>
  <c r="I67" i="7"/>
  <c r="I76" i="7"/>
  <c r="I84" i="7"/>
  <c r="I100" i="7"/>
  <c r="I106" i="7"/>
  <c r="I119" i="7"/>
  <c r="I126" i="7"/>
  <c r="I132" i="7"/>
  <c r="I137" i="7"/>
  <c r="I145" i="7"/>
  <c r="I149" i="7"/>
  <c r="I153" i="7"/>
  <c r="I159" i="7"/>
  <c r="I169" i="7"/>
  <c r="I177" i="7"/>
  <c r="I189" i="7"/>
  <c r="I196" i="7"/>
  <c r="I207" i="7"/>
  <c r="I212" i="7"/>
  <c r="I219" i="7"/>
  <c r="I236" i="7"/>
  <c r="I242" i="7"/>
  <c r="I257" i="7"/>
  <c r="I264" i="7"/>
  <c r="I269" i="7"/>
  <c r="I278" i="7"/>
  <c r="I289" i="7"/>
  <c r="I299" i="7"/>
  <c r="I302" i="7"/>
  <c r="I308" i="7"/>
  <c r="I312" i="7"/>
  <c r="I315" i="7"/>
  <c r="I318" i="7"/>
  <c r="I325" i="7"/>
  <c r="I332" i="7"/>
  <c r="I339" i="7"/>
  <c r="I346" i="7"/>
  <c r="I353" i="7"/>
  <c r="I360" i="7"/>
  <c r="I367" i="7"/>
  <c r="I374" i="7"/>
  <c r="I380" i="7"/>
  <c r="J13" i="7"/>
  <c r="J20" i="7"/>
  <c r="J33" i="7"/>
  <c r="J40" i="7"/>
  <c r="J47" i="7"/>
  <c r="J51" i="7"/>
  <c r="J56" i="7"/>
  <c r="J67" i="7"/>
  <c r="J76" i="7"/>
  <c r="J84" i="7"/>
  <c r="J100" i="7"/>
  <c r="J106" i="7"/>
  <c r="J119" i="7"/>
  <c r="J126" i="7"/>
  <c r="J132" i="7"/>
  <c r="J137" i="7"/>
  <c r="J145" i="7"/>
  <c r="J149" i="7"/>
  <c r="J153" i="7"/>
  <c r="J159" i="7"/>
  <c r="J169" i="7"/>
  <c r="J177" i="7"/>
  <c r="J189" i="7"/>
  <c r="J196" i="7"/>
  <c r="J207" i="7"/>
  <c r="J212" i="7"/>
  <c r="J219" i="7"/>
  <c r="J236" i="7"/>
  <c r="J242" i="7"/>
  <c r="J257" i="7"/>
  <c r="J264" i="7"/>
  <c r="J269" i="7"/>
  <c r="J278" i="7"/>
  <c r="J289" i="7"/>
  <c r="J299" i="7"/>
  <c r="J302" i="7"/>
  <c r="J308" i="7"/>
  <c r="J312" i="7"/>
  <c r="J315" i="7"/>
  <c r="J318" i="7"/>
  <c r="J325" i="7"/>
  <c r="J332" i="7"/>
  <c r="J339" i="7"/>
  <c r="J346" i="7"/>
  <c r="J353" i="7"/>
  <c r="J360" i="7"/>
  <c r="J367" i="7"/>
  <c r="J374" i="7"/>
  <c r="J380" i="7"/>
  <c r="K13" i="7"/>
  <c r="K20" i="7"/>
  <c r="K33" i="7"/>
  <c r="K40" i="7"/>
  <c r="K47" i="7"/>
  <c r="K51" i="7"/>
  <c r="K56" i="7"/>
  <c r="K67" i="7"/>
  <c r="K76" i="7"/>
  <c r="K84" i="7"/>
  <c r="K100" i="7"/>
  <c r="K106" i="7"/>
  <c r="K119" i="7"/>
  <c r="K126" i="7"/>
  <c r="K132" i="7"/>
  <c r="K137" i="7"/>
  <c r="K145" i="7"/>
  <c r="K149" i="7"/>
  <c r="K153" i="7"/>
  <c r="K159" i="7"/>
  <c r="K169" i="7"/>
  <c r="K177" i="7"/>
  <c r="K189" i="7"/>
  <c r="K196" i="7"/>
  <c r="K207" i="7"/>
  <c r="K212" i="7"/>
  <c r="K219" i="7"/>
  <c r="K236" i="7"/>
  <c r="K242" i="7"/>
  <c r="K257" i="7"/>
  <c r="K264" i="7"/>
  <c r="K269" i="7"/>
  <c r="K278" i="7"/>
  <c r="K289" i="7"/>
  <c r="K299" i="7"/>
  <c r="K302" i="7"/>
  <c r="K308" i="7"/>
  <c r="K312" i="7"/>
  <c r="K315" i="7"/>
  <c r="K318" i="7"/>
  <c r="K325" i="7"/>
  <c r="K332" i="7"/>
  <c r="K339" i="7"/>
  <c r="K346" i="7"/>
  <c r="K353" i="7"/>
  <c r="K360" i="7"/>
  <c r="K367" i="7"/>
  <c r="K374" i="7"/>
  <c r="K380" i="7"/>
  <c r="L13" i="7"/>
  <c r="L20" i="7"/>
  <c r="L33" i="7"/>
  <c r="L40" i="7"/>
  <c r="L47" i="7"/>
  <c r="L51" i="7"/>
  <c r="L56" i="7"/>
  <c r="L67" i="7"/>
  <c r="L76" i="7"/>
  <c r="L84" i="7"/>
  <c r="L100" i="7"/>
  <c r="L106" i="7"/>
  <c r="L119" i="7"/>
  <c r="L126" i="7"/>
  <c r="L132" i="7"/>
  <c r="L137" i="7"/>
  <c r="L145" i="7"/>
  <c r="L149" i="7"/>
  <c r="L153" i="7"/>
  <c r="L159" i="7"/>
  <c r="L169" i="7"/>
  <c r="L177" i="7"/>
  <c r="L189" i="7"/>
  <c r="L196" i="7"/>
  <c r="L207" i="7"/>
  <c r="L212" i="7"/>
  <c r="L219" i="7"/>
  <c r="L236" i="7"/>
  <c r="L242" i="7"/>
  <c r="L257" i="7"/>
  <c r="L264" i="7"/>
  <c r="L269" i="7"/>
  <c r="L278" i="7"/>
  <c r="L289" i="7"/>
  <c r="L299" i="7"/>
  <c r="L302" i="7"/>
  <c r="L308" i="7"/>
  <c r="L312" i="7"/>
  <c r="L315" i="7"/>
  <c r="L318" i="7"/>
  <c r="L325" i="7"/>
  <c r="L332" i="7"/>
  <c r="L339" i="7"/>
  <c r="L346" i="7"/>
  <c r="L353" i="7"/>
  <c r="L360" i="7"/>
  <c r="L367" i="7"/>
  <c r="L374" i="7"/>
  <c r="L380" i="7"/>
  <c r="M13" i="7"/>
  <c r="M20" i="7"/>
  <c r="M33" i="7"/>
  <c r="M40" i="7"/>
  <c r="M47" i="7"/>
  <c r="M51" i="7"/>
  <c r="M56" i="7"/>
  <c r="M67" i="7"/>
  <c r="M76" i="7"/>
  <c r="M84" i="7"/>
  <c r="M100" i="7"/>
  <c r="M106" i="7"/>
  <c r="M119" i="7"/>
  <c r="M126" i="7"/>
  <c r="M132" i="7"/>
  <c r="M137" i="7"/>
  <c r="M145" i="7"/>
  <c r="M149" i="7"/>
  <c r="M153" i="7"/>
  <c r="M159" i="7"/>
  <c r="M169" i="7"/>
  <c r="M177" i="7"/>
  <c r="M189" i="7"/>
  <c r="M196" i="7"/>
  <c r="M207" i="7"/>
  <c r="M212" i="7"/>
  <c r="M219" i="7"/>
  <c r="M236" i="7"/>
  <c r="M242" i="7"/>
  <c r="M257" i="7"/>
  <c r="M264" i="7"/>
  <c r="M269" i="7"/>
  <c r="M278" i="7"/>
  <c r="M289" i="7"/>
  <c r="M299" i="7"/>
  <c r="M302" i="7"/>
  <c r="M308" i="7"/>
  <c r="M312" i="7"/>
  <c r="M315" i="7"/>
  <c r="M318" i="7"/>
  <c r="M325" i="7"/>
  <c r="M332" i="7"/>
  <c r="M339" i="7"/>
  <c r="M346" i="7"/>
  <c r="M353" i="7"/>
  <c r="M360" i="7"/>
  <c r="M367" i="7"/>
  <c r="M374" i="7"/>
  <c r="M380" i="7"/>
  <c r="N13" i="7"/>
  <c r="N20" i="7"/>
  <c r="N33" i="7"/>
  <c r="N40" i="7"/>
  <c r="N47" i="7"/>
  <c r="N51" i="7"/>
  <c r="N56" i="7"/>
  <c r="N67" i="7"/>
  <c r="N76" i="7"/>
  <c r="N84" i="7"/>
  <c r="N100" i="7"/>
  <c r="N106" i="7"/>
  <c r="N119" i="7"/>
  <c r="N126" i="7"/>
  <c r="N132" i="7"/>
  <c r="N137" i="7"/>
  <c r="N145" i="7"/>
  <c r="N149" i="7"/>
  <c r="N153" i="7"/>
  <c r="N159" i="7"/>
  <c r="N169" i="7"/>
  <c r="N177" i="7"/>
  <c r="N189" i="7"/>
  <c r="N196" i="7"/>
  <c r="N207" i="7"/>
  <c r="N212" i="7"/>
  <c r="N219" i="7"/>
  <c r="N236" i="7"/>
  <c r="N242" i="7"/>
  <c r="N257" i="7"/>
  <c r="N264" i="7"/>
  <c r="N269" i="7"/>
  <c r="N278" i="7"/>
  <c r="N289" i="7"/>
  <c r="N299" i="7"/>
  <c r="N302" i="7"/>
  <c r="N308" i="7"/>
  <c r="N312" i="7"/>
  <c r="N315" i="7"/>
  <c r="N318" i="7"/>
  <c r="N325" i="7"/>
  <c r="N332" i="7"/>
  <c r="N339" i="7"/>
  <c r="N346" i="7"/>
  <c r="N353" i="7"/>
  <c r="N360" i="7"/>
  <c r="N367" i="7"/>
  <c r="N374" i="7"/>
  <c r="N380" i="7"/>
  <c r="O13" i="7"/>
  <c r="O20" i="7"/>
  <c r="O33" i="7"/>
  <c r="O40" i="7"/>
  <c r="O47" i="7"/>
  <c r="O51" i="7"/>
  <c r="O56" i="7"/>
  <c r="O67" i="7"/>
  <c r="O76" i="7"/>
  <c r="O84" i="7"/>
  <c r="O100" i="7"/>
  <c r="O106" i="7"/>
  <c r="O119" i="7"/>
  <c r="O126" i="7"/>
  <c r="O132" i="7"/>
  <c r="O137" i="7"/>
  <c r="O145" i="7"/>
  <c r="O149" i="7"/>
  <c r="O153" i="7"/>
  <c r="O159" i="7"/>
  <c r="O169" i="7"/>
  <c r="O177" i="7"/>
  <c r="O189" i="7"/>
  <c r="O196" i="7"/>
  <c r="O207" i="7"/>
  <c r="O212" i="7"/>
  <c r="O219" i="7"/>
  <c r="O236" i="7"/>
  <c r="O242" i="7"/>
  <c r="O257" i="7"/>
  <c r="O264" i="7"/>
  <c r="O269" i="7"/>
  <c r="O278" i="7"/>
  <c r="O289" i="7"/>
  <c r="O299" i="7"/>
  <c r="O302" i="7"/>
  <c r="O308" i="7"/>
  <c r="O312" i="7"/>
  <c r="O315" i="7"/>
  <c r="O318" i="7"/>
  <c r="O325" i="7"/>
  <c r="O332" i="7"/>
  <c r="O339" i="7"/>
  <c r="O346" i="7"/>
  <c r="O353" i="7"/>
  <c r="O360" i="7"/>
  <c r="O367" i="7"/>
  <c r="O374" i="7"/>
  <c r="O380" i="7"/>
  <c r="P13" i="7"/>
  <c r="P20" i="7"/>
  <c r="P33" i="7"/>
  <c r="P40" i="7"/>
  <c r="P47" i="7"/>
  <c r="P51" i="7"/>
  <c r="P56" i="7"/>
  <c r="P67" i="7"/>
  <c r="P76" i="7"/>
  <c r="P84" i="7"/>
  <c r="P100" i="7"/>
  <c r="P106" i="7"/>
  <c r="P119" i="7"/>
  <c r="P126" i="7"/>
  <c r="P132" i="7"/>
  <c r="P137" i="7"/>
  <c r="P145" i="7"/>
  <c r="P149" i="7"/>
  <c r="P153" i="7"/>
  <c r="P159" i="7"/>
  <c r="P169" i="7"/>
  <c r="P177" i="7"/>
  <c r="P189" i="7"/>
  <c r="P196" i="7"/>
  <c r="P207" i="7"/>
  <c r="P212" i="7"/>
  <c r="P219" i="7"/>
  <c r="P236" i="7"/>
  <c r="P242" i="7"/>
  <c r="P257" i="7"/>
  <c r="P264" i="7"/>
  <c r="P269" i="7"/>
  <c r="P278" i="7"/>
  <c r="P289" i="7"/>
  <c r="P299" i="7"/>
  <c r="P302" i="7"/>
  <c r="P308" i="7"/>
  <c r="P312" i="7"/>
  <c r="P315" i="7"/>
  <c r="P318" i="7"/>
  <c r="P325" i="7"/>
  <c r="P332" i="7"/>
  <c r="P339" i="7"/>
  <c r="P346" i="7"/>
  <c r="P353" i="7"/>
  <c r="P360" i="7"/>
  <c r="P367" i="7"/>
  <c r="P374" i="7"/>
  <c r="P380" i="7"/>
  <c r="Q13" i="7"/>
  <c r="Q20" i="7"/>
  <c r="Q33" i="7"/>
  <c r="Q40" i="7"/>
  <c r="Q47" i="7"/>
  <c r="Q51" i="7"/>
  <c r="Q56" i="7"/>
  <c r="Q67" i="7"/>
  <c r="Q76" i="7"/>
  <c r="Q84" i="7"/>
  <c r="Q100" i="7"/>
  <c r="Q106" i="7"/>
  <c r="Q119" i="7"/>
  <c r="Q126" i="7"/>
  <c r="Q132" i="7"/>
  <c r="Q137" i="7"/>
  <c r="Q145" i="7"/>
  <c r="Q149" i="7"/>
  <c r="Q153" i="7"/>
  <c r="Q159" i="7"/>
  <c r="Q169" i="7"/>
  <c r="Q177" i="7"/>
  <c r="Q189" i="7"/>
  <c r="Q196" i="7"/>
  <c r="Q207" i="7"/>
  <c r="Q212" i="7"/>
  <c r="Q219" i="7"/>
  <c r="Q236" i="7"/>
  <c r="Q242" i="7"/>
  <c r="Q257" i="7"/>
  <c r="Q264" i="7"/>
  <c r="Q269" i="7"/>
  <c r="Q278" i="7"/>
  <c r="Q289" i="7"/>
  <c r="Q299" i="7"/>
  <c r="Q302" i="7"/>
  <c r="Q308" i="7"/>
  <c r="Q312" i="7"/>
  <c r="Q315" i="7"/>
  <c r="Q318" i="7"/>
  <c r="Q325" i="7"/>
  <c r="Q332" i="7"/>
  <c r="Q339" i="7"/>
  <c r="Q346" i="7"/>
  <c r="Q353" i="7"/>
  <c r="Q360" i="7"/>
  <c r="Q367" i="7"/>
  <c r="Q374" i="7"/>
  <c r="Q380" i="7"/>
  <c r="R13" i="7"/>
  <c r="R20" i="7"/>
  <c r="R33" i="7"/>
  <c r="R40" i="7"/>
  <c r="R47" i="7"/>
  <c r="R51" i="7"/>
  <c r="R56" i="7"/>
  <c r="R67" i="7"/>
  <c r="R76" i="7"/>
  <c r="R84" i="7"/>
  <c r="R100" i="7"/>
  <c r="R106" i="7"/>
  <c r="R119" i="7"/>
  <c r="R126" i="7"/>
  <c r="R132" i="7"/>
  <c r="R137" i="7"/>
  <c r="R145" i="7"/>
  <c r="R149" i="7"/>
  <c r="R153" i="7"/>
  <c r="R159" i="7"/>
  <c r="R169" i="7"/>
  <c r="R177" i="7"/>
  <c r="R189" i="7"/>
  <c r="R196" i="7"/>
  <c r="R207" i="7"/>
  <c r="R212" i="7"/>
  <c r="R219" i="7"/>
  <c r="R236" i="7"/>
  <c r="R242" i="7"/>
  <c r="R257" i="7"/>
  <c r="R264" i="7"/>
  <c r="R269" i="7"/>
  <c r="R278" i="7"/>
  <c r="R289" i="7"/>
  <c r="R299" i="7"/>
  <c r="R302" i="7"/>
  <c r="R308" i="7"/>
  <c r="R312" i="7"/>
  <c r="R315" i="7"/>
  <c r="R318" i="7"/>
  <c r="R325" i="7"/>
  <c r="R332" i="7"/>
  <c r="R339" i="7"/>
  <c r="R346" i="7"/>
  <c r="R353" i="7"/>
  <c r="R360" i="7"/>
  <c r="R367" i="7"/>
  <c r="R374" i="7"/>
  <c r="R380" i="7"/>
  <c r="S13" i="7"/>
  <c r="S20" i="7"/>
  <c r="S33" i="7"/>
  <c r="S40" i="7"/>
  <c r="S47" i="7"/>
  <c r="S51" i="7"/>
  <c r="S56" i="7"/>
  <c r="S67" i="7"/>
  <c r="S76" i="7"/>
  <c r="S84" i="7"/>
  <c r="S100" i="7"/>
  <c r="S106" i="7"/>
  <c r="S119" i="7"/>
  <c r="S126" i="7"/>
  <c r="S132" i="7"/>
  <c r="S137" i="7"/>
  <c r="S145" i="7"/>
  <c r="S149" i="7"/>
  <c r="S153" i="7"/>
  <c r="S159" i="7"/>
  <c r="S169" i="7"/>
  <c r="S177" i="7"/>
  <c r="S189" i="7"/>
  <c r="S196" i="7"/>
  <c r="S207" i="7"/>
  <c r="S212" i="7"/>
  <c r="S219" i="7"/>
  <c r="S236" i="7"/>
  <c r="S242" i="7"/>
  <c r="S257" i="7"/>
  <c r="S264" i="7"/>
  <c r="S269" i="7"/>
  <c r="S278" i="7"/>
  <c r="S289" i="7"/>
  <c r="S299" i="7"/>
  <c r="S302" i="7"/>
  <c r="S308" i="7"/>
  <c r="S312" i="7"/>
  <c r="S315" i="7"/>
  <c r="S318" i="7"/>
  <c r="S325" i="7"/>
  <c r="S332" i="7"/>
  <c r="S339" i="7"/>
  <c r="S346" i="7"/>
  <c r="S353" i="7"/>
  <c r="S360" i="7"/>
  <c r="S367" i="7"/>
  <c r="S374" i="7"/>
  <c r="S380" i="7"/>
  <c r="U13" i="7"/>
  <c r="U20" i="7"/>
  <c r="U33" i="7"/>
  <c r="U40" i="7"/>
  <c r="U47" i="7"/>
  <c r="U51" i="7"/>
  <c r="U56" i="7"/>
  <c r="U67" i="7"/>
  <c r="U76" i="7"/>
  <c r="U84" i="7"/>
  <c r="U100" i="7"/>
  <c r="U106" i="7"/>
  <c r="U119" i="7"/>
  <c r="U126" i="7"/>
  <c r="U132" i="7"/>
  <c r="U137" i="7"/>
  <c r="U145" i="7"/>
  <c r="U149" i="7"/>
  <c r="U153" i="7"/>
  <c r="U159" i="7"/>
  <c r="U169" i="7"/>
  <c r="U177" i="7"/>
  <c r="U189" i="7"/>
  <c r="U196" i="7"/>
  <c r="U207" i="7"/>
  <c r="U212" i="7"/>
  <c r="U219" i="7"/>
  <c r="U236" i="7"/>
  <c r="U242" i="7"/>
  <c r="U257" i="7"/>
  <c r="U264" i="7"/>
  <c r="U269" i="7"/>
  <c r="U278" i="7"/>
  <c r="U289" i="7"/>
  <c r="U299" i="7"/>
  <c r="U302" i="7"/>
  <c r="U308" i="7"/>
  <c r="U312" i="7"/>
  <c r="U315" i="7"/>
  <c r="U318" i="7"/>
  <c r="U325" i="7"/>
  <c r="U332" i="7"/>
  <c r="U339" i="7"/>
  <c r="U346" i="7"/>
  <c r="U353" i="7"/>
  <c r="U360" i="7"/>
  <c r="U367" i="7"/>
  <c r="U374" i="7"/>
  <c r="U380" i="7"/>
  <c r="V13" i="7"/>
  <c r="V20" i="7"/>
  <c r="V33" i="7"/>
  <c r="V40" i="7"/>
  <c r="V47" i="7"/>
  <c r="V51" i="7"/>
  <c r="V56" i="7"/>
  <c r="V67" i="7"/>
  <c r="V76" i="7"/>
  <c r="V84" i="7"/>
  <c r="V100" i="7"/>
  <c r="V106" i="7"/>
  <c r="V119" i="7"/>
  <c r="V126" i="7"/>
  <c r="V132" i="7"/>
  <c r="V137" i="7"/>
  <c r="V145" i="7"/>
  <c r="V149" i="7"/>
  <c r="V153" i="7"/>
  <c r="V159" i="7"/>
  <c r="V169" i="7"/>
  <c r="V177" i="7"/>
  <c r="V189" i="7"/>
  <c r="V196" i="7"/>
  <c r="V207" i="7"/>
  <c r="V212" i="7"/>
  <c r="V219" i="7"/>
  <c r="V236" i="7"/>
  <c r="V242" i="7"/>
  <c r="V257" i="7"/>
  <c r="V264" i="7"/>
  <c r="V269" i="7"/>
  <c r="V278" i="7"/>
  <c r="V289" i="7"/>
  <c r="V299" i="7"/>
  <c r="V302" i="7"/>
  <c r="V308" i="7"/>
  <c r="V312" i="7"/>
  <c r="V315" i="7"/>
  <c r="V318" i="7"/>
  <c r="V325" i="7"/>
  <c r="V332" i="7"/>
  <c r="V339" i="7"/>
  <c r="V346" i="7"/>
  <c r="V353" i="7"/>
  <c r="V360" i="7"/>
  <c r="V367" i="7"/>
  <c r="V374" i="7"/>
  <c r="V380" i="7"/>
  <c r="W13" i="7"/>
  <c r="W20" i="7"/>
  <c r="W33" i="7"/>
  <c r="W40" i="7"/>
  <c r="W47" i="7"/>
  <c r="W51" i="7"/>
  <c r="W56" i="7"/>
  <c r="W67" i="7"/>
  <c r="W76" i="7"/>
  <c r="W84" i="7"/>
  <c r="W100" i="7"/>
  <c r="W106" i="7"/>
  <c r="W119" i="7"/>
  <c r="W126" i="7"/>
  <c r="W132" i="7"/>
  <c r="W137" i="7"/>
  <c r="W145" i="7"/>
  <c r="W149" i="7"/>
  <c r="W153" i="7"/>
  <c r="W159" i="7"/>
  <c r="W169" i="7"/>
  <c r="W177" i="7"/>
  <c r="W189" i="7"/>
  <c r="W196" i="7"/>
  <c r="W207" i="7"/>
  <c r="W212" i="7"/>
  <c r="W219" i="7"/>
  <c r="W236" i="7"/>
  <c r="W242" i="7"/>
  <c r="W257" i="7"/>
  <c r="W264" i="7"/>
  <c r="W269" i="7"/>
  <c r="W278" i="7"/>
  <c r="W289" i="7"/>
  <c r="W299" i="7"/>
  <c r="W302" i="7"/>
  <c r="W308" i="7"/>
  <c r="W312" i="7"/>
  <c r="W315" i="7"/>
  <c r="W318" i="7"/>
  <c r="W325" i="7"/>
  <c r="W332" i="7"/>
  <c r="W339" i="7"/>
  <c r="W346" i="7"/>
  <c r="W353" i="7"/>
  <c r="W360" i="7"/>
  <c r="W367" i="7"/>
  <c r="W374" i="7"/>
  <c r="W380" i="7"/>
  <c r="X13" i="7"/>
  <c r="X20" i="7"/>
  <c r="X33" i="7"/>
  <c r="X40" i="7"/>
  <c r="X47" i="7"/>
  <c r="X51" i="7"/>
  <c r="X56" i="7"/>
  <c r="X67" i="7"/>
  <c r="X76" i="7"/>
  <c r="X84" i="7"/>
  <c r="X100" i="7"/>
  <c r="X106" i="7"/>
  <c r="X119" i="7"/>
  <c r="X126" i="7"/>
  <c r="X132" i="7"/>
  <c r="X137" i="7"/>
  <c r="X145" i="7"/>
  <c r="X149" i="7"/>
  <c r="X153" i="7"/>
  <c r="X159" i="7"/>
  <c r="X169" i="7"/>
  <c r="X177" i="7"/>
  <c r="X189" i="7"/>
  <c r="X196" i="7"/>
  <c r="X207" i="7"/>
  <c r="X212" i="7"/>
  <c r="X219" i="7"/>
  <c r="X236" i="7"/>
  <c r="X242" i="7"/>
  <c r="X257" i="7"/>
  <c r="X264" i="7"/>
  <c r="X269" i="7"/>
  <c r="X278" i="7"/>
  <c r="X289" i="7"/>
  <c r="X299" i="7"/>
  <c r="X302" i="7"/>
  <c r="X308" i="7"/>
  <c r="X312" i="7"/>
  <c r="X315" i="7"/>
  <c r="X318" i="7"/>
  <c r="X325" i="7"/>
  <c r="X332" i="7"/>
  <c r="X339" i="7"/>
  <c r="X346" i="7"/>
  <c r="X353" i="7"/>
  <c r="X360" i="7"/>
  <c r="X367" i="7"/>
  <c r="X374" i="7"/>
  <c r="X380" i="7"/>
  <c r="Y13" i="7"/>
  <c r="Y20" i="7"/>
  <c r="Y33" i="7"/>
  <c r="Y40" i="7"/>
  <c r="Y47" i="7"/>
  <c r="Y51" i="7"/>
  <c r="Y56" i="7"/>
  <c r="Y67" i="7"/>
  <c r="Y76" i="7"/>
  <c r="Y84" i="7"/>
  <c r="Y100" i="7"/>
  <c r="Y106" i="7"/>
  <c r="Y119" i="7"/>
  <c r="Y126" i="7"/>
  <c r="Y132" i="7"/>
  <c r="Y137" i="7"/>
  <c r="Y145" i="7"/>
  <c r="Y149" i="7"/>
  <c r="Y153" i="7"/>
  <c r="Y159" i="7"/>
  <c r="Y169" i="7"/>
  <c r="Y177" i="7"/>
  <c r="Y189" i="7"/>
  <c r="Y196" i="7"/>
  <c r="Y207" i="7"/>
  <c r="Y212" i="7"/>
  <c r="Y219" i="7"/>
  <c r="Y236" i="7"/>
  <c r="Y242" i="7"/>
  <c r="Y257" i="7"/>
  <c r="Y264" i="7"/>
  <c r="Y269" i="7"/>
  <c r="Y278" i="7"/>
  <c r="Y289" i="7"/>
  <c r="Y299" i="7"/>
  <c r="Y302" i="7"/>
  <c r="Y308" i="7"/>
  <c r="Y312" i="7"/>
  <c r="Y315" i="7"/>
  <c r="Y318" i="7"/>
  <c r="Y325" i="7"/>
  <c r="Y332" i="7"/>
  <c r="Y339" i="7"/>
  <c r="Y346" i="7"/>
  <c r="Y353" i="7"/>
  <c r="Y360" i="7"/>
  <c r="Y367" i="7"/>
  <c r="Y374" i="7"/>
  <c r="Y380" i="7"/>
  <c r="Z13" i="7"/>
  <c r="Z20" i="7"/>
  <c r="Z33" i="7"/>
  <c r="Z40" i="7"/>
  <c r="Z47" i="7"/>
  <c r="Z51" i="7"/>
  <c r="Z56" i="7"/>
  <c r="Z67" i="7"/>
  <c r="Z76" i="7"/>
  <c r="Z84" i="7"/>
  <c r="Z100" i="7"/>
  <c r="Z106" i="7"/>
  <c r="Z119" i="7"/>
  <c r="Z126" i="7"/>
  <c r="Z132" i="7"/>
  <c r="Z137" i="7"/>
  <c r="Z145" i="7"/>
  <c r="Z149" i="7"/>
  <c r="Z153" i="7"/>
  <c r="Z159" i="7"/>
  <c r="Z169" i="7"/>
  <c r="Z177" i="7"/>
  <c r="Z189" i="7"/>
  <c r="Z196" i="7"/>
  <c r="Z207" i="7"/>
  <c r="Z212" i="7"/>
  <c r="Z219" i="7"/>
  <c r="Z236" i="7"/>
  <c r="Z242" i="7"/>
  <c r="Z257" i="7"/>
  <c r="Z264" i="7"/>
  <c r="Z269" i="7"/>
  <c r="Z278" i="7"/>
  <c r="Z289" i="7"/>
  <c r="Z299" i="7"/>
  <c r="Z302" i="7"/>
  <c r="Z308" i="7"/>
  <c r="Z312" i="7"/>
  <c r="Z315" i="7"/>
  <c r="Z318" i="7"/>
  <c r="Z325" i="7"/>
  <c r="Z332" i="7"/>
  <c r="Z339" i="7"/>
  <c r="Z346" i="7"/>
  <c r="Z353" i="7"/>
  <c r="Z360" i="7"/>
  <c r="Z367" i="7"/>
  <c r="Z374" i="7"/>
  <c r="Z380" i="7"/>
  <c r="AA13" i="7"/>
  <c r="AA20" i="7"/>
  <c r="AA33" i="7"/>
  <c r="AA40" i="7"/>
  <c r="AA47" i="7"/>
  <c r="AA51" i="7"/>
  <c r="AA56" i="7"/>
  <c r="AA67" i="7"/>
  <c r="AA76" i="7"/>
  <c r="AA84" i="7"/>
  <c r="AA100" i="7"/>
  <c r="AA106" i="7"/>
  <c r="AA119" i="7"/>
  <c r="AA126" i="7"/>
  <c r="AA132" i="7"/>
  <c r="AA137" i="7"/>
  <c r="AA145" i="7"/>
  <c r="AA149" i="7"/>
  <c r="AA153" i="7"/>
  <c r="AA159" i="7"/>
  <c r="AA169" i="7"/>
  <c r="AA177" i="7"/>
  <c r="AA189" i="7"/>
  <c r="AA196" i="7"/>
  <c r="AA207" i="7"/>
  <c r="AA212" i="7"/>
  <c r="AA219" i="7"/>
  <c r="AA236" i="7"/>
  <c r="AA242" i="7"/>
  <c r="AA257" i="7"/>
  <c r="AA264" i="7"/>
  <c r="AA269" i="7"/>
  <c r="AA278" i="7"/>
  <c r="AA289" i="7"/>
  <c r="AA299" i="7"/>
  <c r="AA302" i="7"/>
  <c r="AA308" i="7"/>
  <c r="AA312" i="7"/>
  <c r="AA315" i="7"/>
  <c r="AA318" i="7"/>
  <c r="AA325" i="7"/>
  <c r="AA332" i="7"/>
  <c r="AA339" i="7"/>
  <c r="AA346" i="7"/>
  <c r="AA353" i="7"/>
  <c r="AA360" i="7"/>
  <c r="AA367" i="7"/>
  <c r="AA374" i="7"/>
  <c r="AA380" i="7"/>
  <c r="AB13" i="7"/>
  <c r="AB20" i="7"/>
  <c r="AB33" i="7"/>
  <c r="AB40" i="7"/>
  <c r="AB47" i="7"/>
  <c r="AB51" i="7"/>
  <c r="AB56" i="7"/>
  <c r="AB67" i="7"/>
  <c r="AB76" i="7"/>
  <c r="AB84" i="7"/>
  <c r="AB100" i="7"/>
  <c r="AB106" i="7"/>
  <c r="AB119" i="7"/>
  <c r="AB126" i="7"/>
  <c r="AB132" i="7"/>
  <c r="AB137" i="7"/>
  <c r="AB145" i="7"/>
  <c r="AB149" i="7"/>
  <c r="AB153" i="7"/>
  <c r="AB159" i="7"/>
  <c r="AB169" i="7"/>
  <c r="AB177" i="7"/>
  <c r="AB189" i="7"/>
  <c r="AB196" i="7"/>
  <c r="AB207" i="7"/>
  <c r="AB212" i="7"/>
  <c r="AB219" i="7"/>
  <c r="AB236" i="7"/>
  <c r="AB242" i="7"/>
  <c r="AB257" i="7"/>
  <c r="AB264" i="7"/>
  <c r="AB269" i="7"/>
  <c r="AB278" i="7"/>
  <c r="AB289" i="7"/>
  <c r="AB299" i="7"/>
  <c r="AB302" i="7"/>
  <c r="AB308" i="7"/>
  <c r="AB312" i="7"/>
  <c r="AB315" i="7"/>
  <c r="AB318" i="7"/>
  <c r="AB325" i="7"/>
  <c r="AB332" i="7"/>
  <c r="AB339" i="7"/>
  <c r="AB346" i="7"/>
  <c r="AB353" i="7"/>
  <c r="AB360" i="7"/>
  <c r="AB367" i="7"/>
  <c r="AB374" i="7"/>
  <c r="AB380" i="7"/>
  <c r="AC13" i="7"/>
  <c r="AC20" i="7"/>
  <c r="AC33" i="7"/>
  <c r="AC40" i="7"/>
  <c r="AC47" i="7"/>
  <c r="AC51" i="7"/>
  <c r="AC56" i="7"/>
  <c r="AC67" i="7"/>
  <c r="AC76" i="7"/>
  <c r="AC84" i="7"/>
  <c r="AC100" i="7"/>
  <c r="AC106" i="7"/>
  <c r="AC119" i="7"/>
  <c r="AC126" i="7"/>
  <c r="AC132" i="7"/>
  <c r="AC137" i="7"/>
  <c r="AC145" i="7"/>
  <c r="AC149" i="7"/>
  <c r="AC153" i="7"/>
  <c r="AC159" i="7"/>
  <c r="AC169" i="7"/>
  <c r="AC177" i="7"/>
  <c r="AC189" i="7"/>
  <c r="AC196" i="7"/>
  <c r="AC207" i="7"/>
  <c r="AC212" i="7"/>
  <c r="AC219" i="7"/>
  <c r="AC236" i="7"/>
  <c r="AC242" i="7"/>
  <c r="AC257" i="7"/>
  <c r="AC264" i="7"/>
  <c r="AC269" i="7"/>
  <c r="AC278" i="7"/>
  <c r="AC289" i="7"/>
  <c r="AC299" i="7"/>
  <c r="AC302" i="7"/>
  <c r="AC308" i="7"/>
  <c r="AC312" i="7"/>
  <c r="AC315" i="7"/>
  <c r="AC318" i="7"/>
  <c r="AC325" i="7"/>
  <c r="AC332" i="7"/>
  <c r="AC339" i="7"/>
  <c r="AC346" i="7"/>
  <c r="AC353" i="7"/>
  <c r="AC360" i="7"/>
  <c r="AC367" i="7"/>
  <c r="AC374" i="7"/>
  <c r="AC380" i="7"/>
  <c r="AD13" i="7"/>
  <c r="AD20" i="7"/>
  <c r="AD33" i="7"/>
  <c r="AD40" i="7"/>
  <c r="AD47" i="7"/>
  <c r="AD51" i="7"/>
  <c r="AD56" i="7"/>
  <c r="AD67" i="7"/>
  <c r="AD76" i="7"/>
  <c r="AD84" i="7"/>
  <c r="AD100" i="7"/>
  <c r="AD106" i="7"/>
  <c r="AD119" i="7"/>
  <c r="AD126" i="7"/>
  <c r="AD132" i="7"/>
  <c r="AD137" i="7"/>
  <c r="AD145" i="7"/>
  <c r="AD149" i="7"/>
  <c r="AD153" i="7"/>
  <c r="AD159" i="7"/>
  <c r="AD169" i="7"/>
  <c r="AD177" i="7"/>
  <c r="AD189" i="7"/>
  <c r="AD196" i="7"/>
  <c r="AD207" i="7"/>
  <c r="AD212" i="7"/>
  <c r="AD219" i="7"/>
  <c r="AD236" i="7"/>
  <c r="AD242" i="7"/>
  <c r="AD257" i="7"/>
  <c r="AD264" i="7"/>
  <c r="AD269" i="7"/>
  <c r="AD278" i="7"/>
  <c r="AD289" i="7"/>
  <c r="AD299" i="7"/>
  <c r="AD302" i="7"/>
  <c r="AD308" i="7"/>
  <c r="AD312" i="7"/>
  <c r="AD315" i="7"/>
  <c r="AD318" i="7"/>
  <c r="AD325" i="7"/>
  <c r="AD332" i="7"/>
  <c r="AD339" i="7"/>
  <c r="AD346" i="7"/>
  <c r="AD353" i="7"/>
  <c r="AD360" i="7"/>
  <c r="AD367" i="7"/>
  <c r="AD374" i="7"/>
  <c r="AD380" i="7"/>
  <c r="AE13" i="7"/>
  <c r="AE20" i="7"/>
  <c r="AE33" i="7"/>
  <c r="AE40" i="7"/>
  <c r="AE47" i="7"/>
  <c r="AE51" i="7"/>
  <c r="AE56" i="7"/>
  <c r="AE67" i="7"/>
  <c r="AE76" i="7"/>
  <c r="AE84" i="7"/>
  <c r="AE100" i="7"/>
  <c r="AE106" i="7"/>
  <c r="AE119" i="7"/>
  <c r="AE126" i="7"/>
  <c r="AE132" i="7"/>
  <c r="AE137" i="7"/>
  <c r="AE145" i="7"/>
  <c r="AE149" i="7"/>
  <c r="AE153" i="7"/>
  <c r="AE159" i="7"/>
  <c r="AE169" i="7"/>
  <c r="AE177" i="7"/>
  <c r="AE189" i="7"/>
  <c r="AE196" i="7"/>
  <c r="AE207" i="7"/>
  <c r="AE212" i="7"/>
  <c r="AJ219" i="7"/>
  <c r="AJ236" i="7"/>
  <c r="AE219" i="7"/>
  <c r="AE236" i="7"/>
  <c r="AE242" i="7"/>
  <c r="AE257" i="7"/>
  <c r="AE264" i="7"/>
  <c r="AE269" i="7"/>
  <c r="AE278" i="7"/>
  <c r="AE289" i="7"/>
  <c r="AE299" i="7"/>
  <c r="AE302" i="7"/>
  <c r="AE308" i="7"/>
  <c r="AE312" i="7"/>
  <c r="AE315" i="7"/>
  <c r="AE318" i="7"/>
  <c r="AE325" i="7"/>
  <c r="AE332" i="7"/>
  <c r="AE339" i="7"/>
  <c r="AE346" i="7"/>
  <c r="AE353" i="7"/>
  <c r="AE360" i="7"/>
  <c r="AE367" i="7"/>
  <c r="AE374" i="7"/>
  <c r="AE380" i="7"/>
  <c r="AF13" i="7"/>
  <c r="AF20" i="7"/>
  <c r="AF33" i="7"/>
  <c r="AF40" i="7"/>
  <c r="AF47" i="7"/>
  <c r="AF51" i="7"/>
  <c r="AF56" i="7"/>
  <c r="AF67" i="7"/>
  <c r="AF76" i="7"/>
  <c r="AF84" i="7"/>
  <c r="AF100" i="7"/>
  <c r="AF106" i="7"/>
  <c r="AF119" i="7"/>
  <c r="AF126" i="7"/>
  <c r="AF132" i="7"/>
  <c r="AF137" i="7"/>
  <c r="AF145" i="7"/>
  <c r="AF149" i="7"/>
  <c r="AF153" i="7"/>
  <c r="AF159" i="7"/>
  <c r="AF169" i="7"/>
  <c r="AF177" i="7"/>
  <c r="AF189" i="7"/>
  <c r="AF196" i="7"/>
  <c r="AF207" i="7"/>
  <c r="AF212" i="7"/>
  <c r="AF219" i="7"/>
  <c r="AF236" i="7"/>
  <c r="AF242" i="7"/>
  <c r="AF257" i="7"/>
  <c r="AF264" i="7"/>
  <c r="AF269" i="7"/>
  <c r="AF278" i="7"/>
  <c r="AF289" i="7"/>
  <c r="AF299" i="7"/>
  <c r="AF302" i="7"/>
  <c r="AF308" i="7"/>
  <c r="AF312" i="7"/>
  <c r="AF315" i="7"/>
  <c r="AF318" i="7"/>
  <c r="AF325" i="7"/>
  <c r="AF332" i="7"/>
  <c r="AF339" i="7"/>
  <c r="AF346" i="7"/>
  <c r="AF353" i="7"/>
  <c r="AF360" i="7"/>
  <c r="AF367" i="7"/>
  <c r="AF374" i="7"/>
  <c r="AF380" i="7"/>
  <c r="AG13" i="7"/>
  <c r="AG20" i="7"/>
  <c r="AG33" i="7"/>
  <c r="AG40" i="7"/>
  <c r="AG47" i="7"/>
  <c r="AG51" i="7"/>
  <c r="AG56" i="7"/>
  <c r="AG67" i="7"/>
  <c r="AG76" i="7"/>
  <c r="AG84" i="7"/>
  <c r="AG100" i="7"/>
  <c r="AG106" i="7"/>
  <c r="AG119" i="7"/>
  <c r="AG126" i="7"/>
  <c r="AG132" i="7"/>
  <c r="AG137" i="7"/>
  <c r="AG145" i="7"/>
  <c r="AG149" i="7"/>
  <c r="AG153" i="7"/>
  <c r="AG159" i="7"/>
  <c r="AG169" i="7"/>
  <c r="AG177" i="7"/>
  <c r="AG189" i="7"/>
  <c r="AG196" i="7"/>
  <c r="AG207" i="7"/>
  <c r="AG212" i="7"/>
  <c r="AG219" i="7"/>
  <c r="AG236" i="7"/>
  <c r="AG242" i="7"/>
  <c r="AG257" i="7"/>
  <c r="AG264" i="7"/>
  <c r="AG269" i="7"/>
  <c r="AG278" i="7"/>
  <c r="AG289" i="7"/>
  <c r="AG299" i="7"/>
  <c r="AG302" i="7"/>
  <c r="AG308" i="7"/>
  <c r="AG312" i="7"/>
  <c r="AG315" i="7"/>
  <c r="AG318" i="7"/>
  <c r="AG325" i="7"/>
  <c r="AG332" i="7"/>
  <c r="AG339" i="7"/>
  <c r="AG346" i="7"/>
  <c r="AG353" i="7"/>
  <c r="AG360" i="7"/>
  <c r="AG367" i="7"/>
  <c r="AG374" i="7"/>
  <c r="AG380" i="7"/>
  <c r="AH13" i="7"/>
  <c r="AH20" i="7"/>
  <c r="AH33" i="7"/>
  <c r="AH40" i="7"/>
  <c r="AH47" i="7"/>
  <c r="AH51" i="7"/>
  <c r="AH56" i="7"/>
  <c r="AH67" i="7"/>
  <c r="AH76" i="7"/>
  <c r="AH84" i="7"/>
  <c r="AH100" i="7"/>
  <c r="AH106" i="7"/>
  <c r="AH119" i="7"/>
  <c r="AH126" i="7"/>
  <c r="AH132" i="7"/>
  <c r="AH137" i="7"/>
  <c r="AH145" i="7"/>
  <c r="AH149" i="7"/>
  <c r="AH153" i="7"/>
  <c r="AH159" i="7"/>
  <c r="AH169" i="7"/>
  <c r="AH177" i="7"/>
  <c r="AH189" i="7"/>
  <c r="AH196" i="7"/>
  <c r="AH207" i="7"/>
  <c r="AH212" i="7"/>
  <c r="AH219" i="7"/>
  <c r="AH236" i="7"/>
  <c r="AH242" i="7"/>
  <c r="AH257" i="7"/>
  <c r="AH264" i="7"/>
  <c r="AH269" i="7"/>
  <c r="AH278" i="7"/>
  <c r="AH289" i="7"/>
  <c r="AH299" i="7"/>
  <c r="AH302" i="7"/>
  <c r="AH308" i="7"/>
  <c r="AH312" i="7"/>
  <c r="AH315" i="7"/>
  <c r="AH318" i="7"/>
  <c r="AH325" i="7"/>
  <c r="AH332" i="7"/>
  <c r="AH339" i="7"/>
  <c r="AH346" i="7"/>
  <c r="AH353" i="7"/>
  <c r="AH360" i="7"/>
  <c r="AH367" i="7"/>
  <c r="AH374" i="7"/>
  <c r="AH380" i="7"/>
  <c r="AI13" i="7"/>
  <c r="AI20" i="7"/>
  <c r="AI33" i="7"/>
  <c r="AI40" i="7"/>
  <c r="AI47" i="7"/>
  <c r="AI51" i="7"/>
  <c r="AI56" i="7"/>
  <c r="AI67" i="7"/>
  <c r="AI76" i="7"/>
  <c r="AI84" i="7"/>
  <c r="AI100" i="7"/>
  <c r="AI106" i="7"/>
  <c r="AI119" i="7"/>
  <c r="AI126" i="7"/>
  <c r="AI132" i="7"/>
  <c r="AI137" i="7"/>
  <c r="AI145" i="7"/>
  <c r="AI149" i="7"/>
  <c r="AI153" i="7"/>
  <c r="AI159" i="7"/>
  <c r="AI169" i="7"/>
  <c r="AI177" i="7"/>
  <c r="AI189" i="7"/>
  <c r="AI196" i="7"/>
  <c r="AI207" i="7"/>
  <c r="AI212" i="7"/>
  <c r="AI219" i="7"/>
  <c r="AI236" i="7"/>
  <c r="AI242" i="7"/>
  <c r="AI257" i="7"/>
  <c r="AI264" i="7"/>
  <c r="AI269" i="7"/>
  <c r="AI278" i="7"/>
  <c r="AI289" i="7"/>
  <c r="AI299" i="7"/>
  <c r="AI302" i="7"/>
  <c r="AI308" i="7"/>
  <c r="AI312" i="7"/>
  <c r="AI315" i="7"/>
  <c r="AI318" i="7"/>
  <c r="AI325" i="7"/>
  <c r="AI332" i="7"/>
  <c r="AI339" i="7"/>
  <c r="AI346" i="7"/>
  <c r="AI353" i="7"/>
  <c r="AI360" i="7"/>
  <c r="AI367" i="7"/>
  <c r="AI374" i="7"/>
  <c r="AI380" i="7"/>
  <c r="AJ13" i="7"/>
  <c r="AJ20" i="7"/>
  <c r="AJ33" i="7"/>
  <c r="AJ40" i="7"/>
  <c r="AJ47" i="7"/>
  <c r="AJ51" i="7"/>
  <c r="AJ56" i="7"/>
  <c r="AJ67" i="7"/>
  <c r="AJ76" i="7"/>
  <c r="AJ84" i="7"/>
  <c r="AJ100" i="7"/>
  <c r="AJ106" i="7"/>
  <c r="AJ119" i="7"/>
  <c r="AJ126" i="7"/>
  <c r="AJ132" i="7"/>
  <c r="AJ137" i="7"/>
  <c r="AJ145" i="7"/>
  <c r="AJ149" i="7"/>
  <c r="AJ153" i="7"/>
  <c r="AJ159" i="7"/>
  <c r="AJ169" i="7"/>
  <c r="AJ177" i="7"/>
  <c r="AJ189" i="7"/>
  <c r="AJ196" i="7"/>
  <c r="AJ207" i="7"/>
  <c r="AJ212" i="7"/>
  <c r="AJ242" i="7"/>
  <c r="AJ257" i="7"/>
  <c r="AJ264" i="7"/>
  <c r="AJ269" i="7"/>
  <c r="AJ278" i="7"/>
  <c r="AJ289" i="7"/>
  <c r="AJ299" i="7"/>
  <c r="AJ302" i="7"/>
  <c r="AJ308" i="7"/>
  <c r="AJ312" i="7"/>
  <c r="AJ315" i="7"/>
  <c r="AJ318" i="7"/>
  <c r="AJ325" i="7"/>
  <c r="AJ332" i="7"/>
  <c r="AJ339" i="7"/>
  <c r="AJ346" i="7"/>
  <c r="AJ353" i="7"/>
  <c r="AJ360" i="7"/>
  <c r="AJ367" i="7"/>
  <c r="AJ374" i="7"/>
  <c r="AJ380" i="7"/>
  <c r="AK13" i="7"/>
  <c r="AK20" i="7"/>
  <c r="AK33" i="7"/>
  <c r="AK40" i="7"/>
  <c r="AK47" i="7"/>
  <c r="AK51" i="7"/>
  <c r="AK56" i="7"/>
  <c r="AK67" i="7"/>
  <c r="AK76" i="7"/>
  <c r="AK84" i="7"/>
  <c r="AK100" i="7"/>
  <c r="AK106" i="7"/>
  <c r="AK119" i="7"/>
  <c r="AK126" i="7"/>
  <c r="AK132" i="7"/>
  <c r="AK137" i="7"/>
  <c r="AK145" i="7"/>
  <c r="AK149" i="7"/>
  <c r="AK153" i="7"/>
  <c r="AK159" i="7"/>
  <c r="AK169" i="7"/>
  <c r="AK177" i="7"/>
  <c r="AK189" i="7"/>
  <c r="AK196" i="7"/>
  <c r="AK207" i="7"/>
  <c r="AK212" i="7"/>
  <c r="AK219" i="7"/>
  <c r="AK236" i="7"/>
  <c r="AK242" i="7"/>
  <c r="AK257" i="7"/>
  <c r="AK264" i="7"/>
  <c r="AK269" i="7"/>
  <c r="AK278" i="7"/>
  <c r="AK289" i="7"/>
  <c r="AK299" i="7"/>
  <c r="AK302" i="7"/>
  <c r="AK308" i="7"/>
  <c r="AK312" i="7"/>
  <c r="AK315" i="7"/>
  <c r="AK318" i="7"/>
  <c r="AK325" i="7"/>
  <c r="AK332" i="7"/>
  <c r="AK339" i="7"/>
  <c r="AK346" i="7"/>
  <c r="AK353" i="7"/>
  <c r="AK360" i="7"/>
  <c r="AK367" i="7"/>
  <c r="AK374" i="7"/>
  <c r="AK380" i="7"/>
  <c r="AL13" i="7"/>
  <c r="AL20" i="7"/>
  <c r="AL33" i="7"/>
  <c r="AL40" i="7"/>
  <c r="AL47" i="7"/>
  <c r="AL51" i="7"/>
  <c r="AL56" i="7"/>
  <c r="AL67" i="7"/>
  <c r="AL76" i="7"/>
  <c r="AL84" i="7"/>
  <c r="AL100" i="7"/>
  <c r="AL106" i="7"/>
  <c r="AL119" i="7"/>
  <c r="AL126" i="7"/>
  <c r="AL132" i="7"/>
  <c r="AL137" i="7"/>
  <c r="AL145" i="7"/>
  <c r="AL149" i="7"/>
  <c r="AL153" i="7"/>
  <c r="AL159" i="7"/>
  <c r="AL169" i="7"/>
  <c r="AL177" i="7"/>
  <c r="AL189" i="7"/>
  <c r="AL196" i="7"/>
  <c r="AL207" i="7"/>
  <c r="AL212" i="7"/>
  <c r="AL219" i="7"/>
  <c r="AL236" i="7"/>
  <c r="AL242" i="7"/>
  <c r="AL257" i="7"/>
  <c r="AL264" i="7"/>
  <c r="AL269" i="7"/>
  <c r="AL278" i="7"/>
  <c r="AL289" i="7"/>
  <c r="AL299" i="7"/>
  <c r="AL302" i="7"/>
  <c r="AL308" i="7"/>
  <c r="AL312" i="7"/>
  <c r="AL315" i="7"/>
  <c r="AL318" i="7"/>
  <c r="AL325" i="7"/>
  <c r="AL332" i="7"/>
  <c r="AL339" i="7"/>
  <c r="AL346" i="7"/>
  <c r="AL353" i="7"/>
  <c r="AL360" i="7"/>
  <c r="AL367" i="7"/>
  <c r="AL374" i="7"/>
  <c r="AL380" i="7"/>
  <c r="AM13" i="7"/>
  <c r="AM20" i="7"/>
  <c r="AM33" i="7"/>
  <c r="AM40" i="7"/>
  <c r="AM47" i="7"/>
  <c r="AM51" i="7"/>
  <c r="AM56" i="7"/>
  <c r="AM67" i="7"/>
  <c r="AM76" i="7"/>
  <c r="AM84" i="7"/>
  <c r="AM100" i="7"/>
  <c r="AM106" i="7"/>
  <c r="AM119" i="7"/>
  <c r="AM126" i="7"/>
  <c r="AM132" i="7"/>
  <c r="AM137" i="7"/>
  <c r="AM145" i="7"/>
  <c r="AM149" i="7"/>
  <c r="AM153" i="7"/>
  <c r="AM159" i="7"/>
  <c r="AM169" i="7"/>
  <c r="AM177" i="7"/>
  <c r="AM189" i="7"/>
  <c r="AM196" i="7"/>
  <c r="AM207" i="7"/>
  <c r="AM212" i="7"/>
  <c r="AM219" i="7"/>
  <c r="AM236" i="7"/>
  <c r="AM242" i="7"/>
  <c r="AM257" i="7"/>
  <c r="AM264" i="7"/>
  <c r="AM269" i="7"/>
  <c r="AM278" i="7"/>
  <c r="AM289" i="7"/>
  <c r="AM299" i="7"/>
  <c r="AM302" i="7"/>
  <c r="AM308" i="7"/>
  <c r="AM312" i="7"/>
  <c r="AM315" i="7"/>
  <c r="AM318" i="7"/>
  <c r="AM325" i="7"/>
  <c r="AM332" i="7"/>
  <c r="AM339" i="7"/>
  <c r="AM346" i="7"/>
  <c r="AM353" i="7"/>
  <c r="AM360" i="7"/>
  <c r="AM367" i="7"/>
  <c r="AM374" i="7"/>
  <c r="AM380" i="7"/>
  <c r="AN13" i="7"/>
  <c r="AN20" i="7"/>
  <c r="AN33" i="7"/>
  <c r="AN40" i="7"/>
  <c r="AN47" i="7"/>
  <c r="AN51" i="7"/>
  <c r="AN56" i="7"/>
  <c r="AN67" i="7"/>
  <c r="AN76" i="7"/>
  <c r="AN84" i="7"/>
  <c r="AN100" i="7"/>
  <c r="AN106" i="7"/>
  <c r="AN119" i="7"/>
  <c r="AN126" i="7"/>
  <c r="AN132" i="7"/>
  <c r="AN137" i="7"/>
  <c r="AN145" i="7"/>
  <c r="AN149" i="7"/>
  <c r="AN153" i="7"/>
  <c r="AN159" i="7"/>
  <c r="AN169" i="7"/>
  <c r="AN177" i="7"/>
  <c r="AN189" i="7"/>
  <c r="AN196" i="7"/>
  <c r="AN207" i="7"/>
  <c r="AN212" i="7"/>
  <c r="AN219" i="7"/>
  <c r="AN236" i="7"/>
  <c r="AN242" i="7"/>
  <c r="AN257" i="7"/>
  <c r="AN264" i="7"/>
  <c r="AN269" i="7"/>
  <c r="AN278" i="7"/>
  <c r="AN289" i="7"/>
  <c r="AN299" i="7"/>
  <c r="AN302" i="7"/>
  <c r="AN308" i="7"/>
  <c r="AN312" i="7"/>
  <c r="AN315" i="7"/>
  <c r="AN318" i="7"/>
  <c r="AN325" i="7"/>
  <c r="AN332" i="7"/>
  <c r="AN339" i="7"/>
  <c r="AN346" i="7"/>
  <c r="AN353" i="7"/>
  <c r="AN360" i="7"/>
  <c r="AN367" i="7"/>
  <c r="AN374" i="7"/>
  <c r="AN380" i="7"/>
  <c r="AO13" i="7"/>
  <c r="AO20" i="7"/>
  <c r="AO33" i="7"/>
  <c r="AO40" i="7"/>
  <c r="AO47" i="7"/>
  <c r="AO51" i="7"/>
  <c r="AO56" i="7"/>
  <c r="AO67" i="7"/>
  <c r="AO76" i="7"/>
  <c r="AO84" i="7"/>
  <c r="AO100" i="7"/>
  <c r="AO106" i="7"/>
  <c r="AO119" i="7"/>
  <c r="AO126" i="7"/>
  <c r="AO132" i="7"/>
  <c r="AO137" i="7"/>
  <c r="AO145" i="7"/>
  <c r="AO149" i="7"/>
  <c r="AO153" i="7"/>
  <c r="AO159" i="7"/>
  <c r="AO169" i="7"/>
  <c r="AO177" i="7"/>
  <c r="AO189" i="7"/>
  <c r="AO196" i="7"/>
  <c r="AO207" i="7"/>
  <c r="AO212" i="7"/>
  <c r="AO219" i="7"/>
  <c r="AO236" i="7"/>
  <c r="AO242" i="7"/>
  <c r="AO257" i="7"/>
  <c r="AO264" i="7"/>
  <c r="AO269" i="7"/>
  <c r="AO278" i="7"/>
  <c r="AO289" i="7"/>
  <c r="AO299" i="7"/>
  <c r="AO302" i="7"/>
  <c r="AO308" i="7"/>
  <c r="AO312" i="7"/>
  <c r="AO315" i="7"/>
  <c r="AO318" i="7"/>
  <c r="AO325" i="7"/>
  <c r="AO332" i="7"/>
  <c r="AO339" i="7"/>
  <c r="AO346" i="7"/>
  <c r="AO353" i="7"/>
  <c r="AO360" i="7"/>
  <c r="AO367" i="7"/>
  <c r="AO374" i="7"/>
  <c r="AO380" i="7"/>
  <c r="AU393" i="10"/>
  <c r="AU2" i="10" s="1"/>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339" i="10"/>
  <c r="H340" i="10"/>
  <c r="H341" i="10"/>
  <c r="H342" i="10"/>
  <c r="H343" i="10"/>
  <c r="H344" i="10"/>
  <c r="H345" i="10"/>
  <c r="H346" i="10"/>
  <c r="H347" i="10"/>
  <c r="H348" i="10"/>
  <c r="H349" i="10"/>
  <c r="H350" i="10"/>
  <c r="H351" i="10"/>
  <c r="H352" i="10"/>
  <c r="H353" i="10"/>
  <c r="H354" i="10"/>
  <c r="H355" i="10"/>
  <c r="H356" i="10"/>
  <c r="H357" i="10"/>
  <c r="H358" i="10"/>
  <c r="H359" i="10"/>
  <c r="H360" i="10"/>
  <c r="H361" i="10"/>
  <c r="H362" i="10"/>
  <c r="H363" i="10"/>
  <c r="H364" i="10"/>
  <c r="H365" i="10"/>
  <c r="H366" i="10"/>
  <c r="H367" i="10"/>
  <c r="H368" i="10"/>
  <c r="H369" i="10"/>
  <c r="H370" i="10"/>
  <c r="H371" i="10"/>
  <c r="H372" i="10"/>
  <c r="H373" i="10"/>
  <c r="H374" i="10"/>
  <c r="H375" i="10"/>
  <c r="H376" i="10"/>
  <c r="H377" i="10"/>
  <c r="H378" i="10"/>
  <c r="H379" i="10"/>
  <c r="H380" i="10"/>
  <c r="H381" i="10"/>
  <c r="H382" i="10"/>
  <c r="H383" i="10"/>
  <c r="H384" i="10"/>
  <c r="H385" i="10"/>
  <c r="H386" i="10"/>
  <c r="H387" i="10"/>
  <c r="H388" i="10"/>
  <c r="H389" i="10"/>
  <c r="H390" i="10"/>
  <c r="BG410" i="26"/>
  <c r="D451" i="6" s="1"/>
  <c r="Q410" i="26"/>
  <c r="AF412" i="26"/>
  <c r="AA412" i="26"/>
  <c r="J412" i="26"/>
  <c r="Y412" i="26"/>
  <c r="M412" i="26"/>
  <c r="AF410" i="26"/>
  <c r="S412" i="9"/>
  <c r="L410" i="26"/>
  <c r="AF413" i="26"/>
  <c r="AA413" i="26"/>
  <c r="J413" i="26"/>
  <c r="Y413" i="26"/>
  <c r="M413" i="26"/>
  <c r="S413" i="9"/>
  <c r="AF414" i="26"/>
  <c r="AA414" i="26"/>
  <c r="J414" i="26"/>
  <c r="Y414" i="26"/>
  <c r="M414" i="26"/>
  <c r="S414" i="9"/>
  <c r="AF417" i="26"/>
  <c r="AA417" i="26"/>
  <c r="M416" i="26"/>
  <c r="J417" i="26"/>
  <c r="Y417" i="26"/>
  <c r="M417" i="26"/>
  <c r="S415" i="9"/>
  <c r="AF418" i="26"/>
  <c r="AA418" i="26"/>
  <c r="J418" i="26"/>
  <c r="Y418" i="26"/>
  <c r="M418" i="26"/>
  <c r="S416" i="9"/>
  <c r="AF420" i="26"/>
  <c r="AA420" i="26"/>
  <c r="M419" i="26"/>
  <c r="J420" i="26"/>
  <c r="Y420" i="26"/>
  <c r="M420" i="26"/>
  <c r="S417" i="9"/>
  <c r="AF422" i="26"/>
  <c r="AL422" i="26" s="1"/>
  <c r="AO422" i="26" s="1"/>
  <c r="AA422" i="26"/>
  <c r="K422" i="26"/>
  <c r="Y422" i="26"/>
  <c r="M422" i="26"/>
  <c r="S418" i="9"/>
  <c r="B201" i="9"/>
  <c r="B106" i="9"/>
  <c r="B58" i="9"/>
  <c r="B34" i="9"/>
  <c r="B12" i="9"/>
  <c r="D12" i="9"/>
  <c r="E12" i="9"/>
  <c r="AV12" i="26"/>
  <c r="K12" i="9"/>
  <c r="L12" i="9"/>
  <c r="M12" i="9"/>
  <c r="N12" i="9"/>
  <c r="S12" i="9"/>
  <c r="B13" i="9"/>
  <c r="D13" i="9"/>
  <c r="E13" i="9"/>
  <c r="AV13" i="26"/>
  <c r="K13" i="9"/>
  <c r="L13" i="9"/>
  <c r="M13" i="9"/>
  <c r="N13" i="9"/>
  <c r="S13" i="9"/>
  <c r="B14" i="9"/>
  <c r="D14" i="9"/>
  <c r="K14" i="9"/>
  <c r="L14" i="9"/>
  <c r="M14" i="9"/>
  <c r="N14" i="9"/>
  <c r="S14" i="9"/>
  <c r="B15" i="9"/>
  <c r="S15" i="9"/>
  <c r="D15" i="9"/>
  <c r="K15" i="9"/>
  <c r="L15" i="9"/>
  <c r="M15" i="9"/>
  <c r="N15" i="9"/>
  <c r="B16" i="9"/>
  <c r="D16" i="9"/>
  <c r="K16" i="9"/>
  <c r="L16" i="9"/>
  <c r="M16" i="9"/>
  <c r="N16" i="9"/>
  <c r="S16" i="9"/>
  <c r="B17" i="9"/>
  <c r="D17" i="9"/>
  <c r="K17" i="9"/>
  <c r="L17" i="9"/>
  <c r="M17" i="9"/>
  <c r="N17" i="9"/>
  <c r="S17" i="9"/>
  <c r="B18" i="9"/>
  <c r="D18" i="9"/>
  <c r="K18" i="9"/>
  <c r="L18" i="9"/>
  <c r="M18" i="9"/>
  <c r="N18" i="9"/>
  <c r="S18" i="9"/>
  <c r="B19" i="9"/>
  <c r="D19" i="9"/>
  <c r="K19" i="9"/>
  <c r="L19" i="9"/>
  <c r="M19" i="9"/>
  <c r="N19" i="9"/>
  <c r="S19" i="9"/>
  <c r="B20" i="9"/>
  <c r="D20" i="9"/>
  <c r="E20" i="9"/>
  <c r="AV20" i="26"/>
  <c r="K20" i="9"/>
  <c r="L20" i="9"/>
  <c r="M20" i="9"/>
  <c r="N20" i="9"/>
  <c r="S20" i="9"/>
  <c r="B21" i="9"/>
  <c r="D21" i="9"/>
  <c r="K21" i="9"/>
  <c r="L21" i="9"/>
  <c r="M21" i="9"/>
  <c r="N21" i="9"/>
  <c r="S21" i="9"/>
  <c r="B22" i="9"/>
  <c r="D22" i="9"/>
  <c r="K22" i="9"/>
  <c r="L22" i="9"/>
  <c r="M22" i="9"/>
  <c r="N22" i="9"/>
  <c r="S22" i="9"/>
  <c r="B23" i="9"/>
  <c r="D23" i="9"/>
  <c r="K23" i="9"/>
  <c r="L23" i="9"/>
  <c r="M23" i="9"/>
  <c r="N23" i="9"/>
  <c r="S23" i="9"/>
  <c r="B24" i="9"/>
  <c r="D24" i="9"/>
  <c r="K24" i="9"/>
  <c r="L24" i="9"/>
  <c r="M24" i="9"/>
  <c r="N24" i="9"/>
  <c r="S24" i="9"/>
  <c r="B25" i="9"/>
  <c r="D25" i="9"/>
  <c r="K25" i="9"/>
  <c r="L25" i="9"/>
  <c r="M25" i="9"/>
  <c r="N25" i="9"/>
  <c r="S25" i="9"/>
  <c r="B26" i="9"/>
  <c r="D26" i="9"/>
  <c r="K26" i="9"/>
  <c r="L26" i="9"/>
  <c r="M26" i="9"/>
  <c r="N26" i="9"/>
  <c r="S26" i="9"/>
  <c r="B27" i="9"/>
  <c r="D27" i="9"/>
  <c r="K27" i="9"/>
  <c r="L27" i="9"/>
  <c r="M27" i="9"/>
  <c r="N27" i="9"/>
  <c r="S27" i="9"/>
  <c r="B28" i="9"/>
  <c r="D28" i="9"/>
  <c r="K28" i="9"/>
  <c r="L28" i="9"/>
  <c r="M28" i="9"/>
  <c r="N28" i="9"/>
  <c r="S28" i="9"/>
  <c r="B29" i="9"/>
  <c r="D29" i="9"/>
  <c r="K29" i="9"/>
  <c r="L29" i="9"/>
  <c r="M29" i="9"/>
  <c r="N29" i="9"/>
  <c r="S29" i="9"/>
  <c r="B30" i="9"/>
  <c r="D30" i="9"/>
  <c r="K30" i="9"/>
  <c r="L30" i="9"/>
  <c r="M30" i="9"/>
  <c r="N30" i="9"/>
  <c r="S30" i="9"/>
  <c r="B31" i="9"/>
  <c r="D31" i="9"/>
  <c r="K31" i="9"/>
  <c r="L31" i="9"/>
  <c r="M31" i="9"/>
  <c r="N31" i="9"/>
  <c r="S31" i="9"/>
  <c r="B32" i="9"/>
  <c r="D32" i="9"/>
  <c r="AV32" i="26"/>
  <c r="K32" i="9"/>
  <c r="L32" i="9"/>
  <c r="M32" i="9"/>
  <c r="N32" i="9"/>
  <c r="S32" i="9"/>
  <c r="B33" i="9"/>
  <c r="D33" i="9"/>
  <c r="E33" i="9"/>
  <c r="AV33" i="26"/>
  <c r="K33" i="9"/>
  <c r="L33" i="9"/>
  <c r="M33" i="9"/>
  <c r="N33" i="9"/>
  <c r="S33" i="9"/>
  <c r="D34" i="9"/>
  <c r="K34" i="9"/>
  <c r="L34" i="9"/>
  <c r="M34" i="9"/>
  <c r="N34" i="9"/>
  <c r="S34" i="9"/>
  <c r="B35" i="9"/>
  <c r="D35" i="9"/>
  <c r="K35" i="9"/>
  <c r="L35" i="9"/>
  <c r="M35" i="9"/>
  <c r="N35" i="9"/>
  <c r="S35" i="9"/>
  <c r="B36" i="9"/>
  <c r="D36" i="9"/>
  <c r="K36" i="9"/>
  <c r="L36" i="9"/>
  <c r="M36" i="9"/>
  <c r="N36" i="9"/>
  <c r="S36" i="9"/>
  <c r="B37" i="9"/>
  <c r="D37" i="9"/>
  <c r="K37" i="9"/>
  <c r="L37" i="9"/>
  <c r="M37" i="9"/>
  <c r="N37" i="9"/>
  <c r="S37" i="9"/>
  <c r="B38" i="9"/>
  <c r="D38" i="9"/>
  <c r="K38" i="9"/>
  <c r="L38" i="9"/>
  <c r="M38" i="9"/>
  <c r="N38" i="9"/>
  <c r="S38" i="9"/>
  <c r="B39" i="9"/>
  <c r="D39" i="9"/>
  <c r="K39" i="9"/>
  <c r="L39" i="9"/>
  <c r="M39" i="9"/>
  <c r="N39" i="9"/>
  <c r="S39" i="9"/>
  <c r="B40" i="9"/>
  <c r="D40" i="9"/>
  <c r="E40" i="9"/>
  <c r="K40" i="9"/>
  <c r="L40" i="9"/>
  <c r="M40" i="9"/>
  <c r="N40" i="9"/>
  <c r="S40" i="9"/>
  <c r="B41" i="9"/>
  <c r="D41" i="9"/>
  <c r="K41" i="9"/>
  <c r="L41" i="9"/>
  <c r="M41" i="9"/>
  <c r="N41" i="9"/>
  <c r="S41" i="9"/>
  <c r="B42" i="9"/>
  <c r="D42" i="9"/>
  <c r="K42" i="9"/>
  <c r="L42" i="9"/>
  <c r="M42" i="9"/>
  <c r="N42" i="9"/>
  <c r="O42" i="9"/>
  <c r="S42" i="9" s="1"/>
  <c r="B43" i="9"/>
  <c r="D43" i="9"/>
  <c r="K43" i="9"/>
  <c r="L43" i="9"/>
  <c r="M43" i="9"/>
  <c r="N43" i="9"/>
  <c r="S43" i="9"/>
  <c r="B44" i="9"/>
  <c r="D44" i="9"/>
  <c r="K44" i="9"/>
  <c r="L44" i="9"/>
  <c r="M44" i="9"/>
  <c r="N44" i="9"/>
  <c r="S44" i="9"/>
  <c r="B45" i="9"/>
  <c r="D45" i="9"/>
  <c r="AV45" i="26"/>
  <c r="K45" i="9"/>
  <c r="L45" i="9"/>
  <c r="M45" i="9"/>
  <c r="N45" i="9"/>
  <c r="S45" i="9"/>
  <c r="B46" i="9"/>
  <c r="D46" i="9"/>
  <c r="E46" i="9"/>
  <c r="AV46" i="26"/>
  <c r="K46" i="9"/>
  <c r="L46" i="9"/>
  <c r="M46" i="9"/>
  <c r="N46" i="9"/>
  <c r="S46" i="9"/>
  <c r="B47" i="9"/>
  <c r="D47" i="9"/>
  <c r="E47" i="9"/>
  <c r="K47" i="9"/>
  <c r="L47" i="9"/>
  <c r="M47" i="9"/>
  <c r="N47" i="9"/>
  <c r="S47" i="9"/>
  <c r="B48" i="9"/>
  <c r="D48" i="9"/>
  <c r="K48" i="9"/>
  <c r="L48" i="9"/>
  <c r="M48" i="9"/>
  <c r="N48" i="9"/>
  <c r="S48" i="9"/>
  <c r="B49" i="9"/>
  <c r="D49" i="9"/>
  <c r="K49" i="9"/>
  <c r="L49" i="9"/>
  <c r="M49" i="9"/>
  <c r="N49" i="9"/>
  <c r="S49" i="9"/>
  <c r="B50" i="9"/>
  <c r="D50" i="9"/>
  <c r="K50" i="9"/>
  <c r="L50" i="9"/>
  <c r="M50" i="9"/>
  <c r="N50" i="9"/>
  <c r="O50" i="9"/>
  <c r="S50" i="9" s="1"/>
  <c r="B51" i="9"/>
  <c r="D51" i="9"/>
  <c r="E51" i="9"/>
  <c r="AV51" i="26"/>
  <c r="K51" i="9"/>
  <c r="L51" i="9"/>
  <c r="M51" i="9"/>
  <c r="N51" i="9"/>
  <c r="S51" i="9"/>
  <c r="B52" i="9"/>
  <c r="D52" i="9"/>
  <c r="K52" i="9"/>
  <c r="L52" i="9"/>
  <c r="M52" i="9"/>
  <c r="N52" i="9"/>
  <c r="S52" i="9"/>
  <c r="B53" i="9"/>
  <c r="D53" i="9"/>
  <c r="K53" i="9"/>
  <c r="L53" i="9"/>
  <c r="M53" i="9"/>
  <c r="N53" i="9"/>
  <c r="S53" i="9"/>
  <c r="B54" i="9"/>
  <c r="D54" i="9"/>
  <c r="K54" i="9"/>
  <c r="L54" i="9"/>
  <c r="M54" i="9"/>
  <c r="N54" i="9"/>
  <c r="S54" i="9"/>
  <c r="B55" i="9"/>
  <c r="D55" i="9"/>
  <c r="AV55" i="26"/>
  <c r="K55" i="9"/>
  <c r="L55" i="9"/>
  <c r="M55" i="9"/>
  <c r="N55" i="9"/>
  <c r="S55" i="9"/>
  <c r="B56" i="9"/>
  <c r="D56" i="9"/>
  <c r="E56" i="9"/>
  <c r="K56" i="9"/>
  <c r="L56" i="9"/>
  <c r="M56" i="9"/>
  <c r="N56" i="9"/>
  <c r="S56" i="9"/>
  <c r="B57" i="9"/>
  <c r="D57" i="9"/>
  <c r="K57" i="9"/>
  <c r="L57" i="9"/>
  <c r="M57" i="9"/>
  <c r="N57" i="9"/>
  <c r="O57" i="9"/>
  <c r="S57" i="9" s="1"/>
  <c r="D58" i="9"/>
  <c r="K58" i="9"/>
  <c r="L58" i="9"/>
  <c r="M58" i="9"/>
  <c r="N58" i="9"/>
  <c r="S58" i="9"/>
  <c r="B59" i="9"/>
  <c r="D59" i="9"/>
  <c r="K59" i="9"/>
  <c r="L59" i="9"/>
  <c r="M59" i="9"/>
  <c r="N59" i="9"/>
  <c r="S59" i="9"/>
  <c r="B60" i="9"/>
  <c r="D60" i="9"/>
  <c r="K60" i="9"/>
  <c r="L60" i="9"/>
  <c r="M60" i="9"/>
  <c r="N60" i="9"/>
  <c r="O60" i="9"/>
  <c r="S60" i="9" s="1"/>
  <c r="B61" i="9"/>
  <c r="D61" i="9"/>
  <c r="K61" i="9"/>
  <c r="L61" i="9"/>
  <c r="M61" i="9"/>
  <c r="N61" i="9"/>
  <c r="S61" i="9"/>
  <c r="B62" i="9"/>
  <c r="D62" i="9"/>
  <c r="K62" i="9"/>
  <c r="L62" i="9"/>
  <c r="M62" i="9"/>
  <c r="N62" i="9"/>
  <c r="S62" i="9"/>
  <c r="B63" i="9"/>
  <c r="D63" i="9"/>
  <c r="K63" i="9"/>
  <c r="L63" i="9"/>
  <c r="M63" i="9"/>
  <c r="N63" i="9"/>
  <c r="S63" i="9"/>
  <c r="B64" i="9"/>
  <c r="D64" i="9"/>
  <c r="K64" i="9"/>
  <c r="L64" i="9"/>
  <c r="M64" i="9"/>
  <c r="N64" i="9"/>
  <c r="S64" i="9"/>
  <c r="B65" i="9"/>
  <c r="D65" i="9"/>
  <c r="K65" i="9"/>
  <c r="L65" i="9"/>
  <c r="M65" i="9"/>
  <c r="N65" i="9"/>
  <c r="S65" i="9"/>
  <c r="B66" i="9"/>
  <c r="D66" i="9"/>
  <c r="E66" i="9"/>
  <c r="AV66" i="26"/>
  <c r="K66" i="9"/>
  <c r="L66" i="9"/>
  <c r="M66" i="9"/>
  <c r="N66" i="9"/>
  <c r="S66" i="9"/>
  <c r="B67" i="9"/>
  <c r="D67" i="9"/>
  <c r="E67" i="9"/>
  <c r="K67" i="9"/>
  <c r="L67" i="9"/>
  <c r="M67" i="9"/>
  <c r="N67" i="9"/>
  <c r="S67" i="9"/>
  <c r="B68" i="9"/>
  <c r="D68" i="9"/>
  <c r="K68" i="9"/>
  <c r="L68" i="9"/>
  <c r="M68" i="9"/>
  <c r="N68" i="9"/>
  <c r="S68" i="9"/>
  <c r="B69" i="9"/>
  <c r="D69" i="9"/>
  <c r="K69" i="9"/>
  <c r="L69" i="9"/>
  <c r="M69" i="9"/>
  <c r="N69" i="9"/>
  <c r="S69" i="9"/>
  <c r="B70" i="9"/>
  <c r="D70" i="9"/>
  <c r="K70" i="9"/>
  <c r="L70" i="9"/>
  <c r="M70" i="9"/>
  <c r="N70" i="9"/>
  <c r="S70" i="9"/>
  <c r="B71" i="9"/>
  <c r="D71" i="9"/>
  <c r="K71" i="9"/>
  <c r="L71" i="9"/>
  <c r="M71" i="9"/>
  <c r="N71" i="9"/>
  <c r="S71" i="9"/>
  <c r="B72" i="9"/>
  <c r="D72" i="9"/>
  <c r="K72" i="9"/>
  <c r="L72" i="9"/>
  <c r="M72" i="9"/>
  <c r="N72" i="9"/>
  <c r="S72" i="9"/>
  <c r="B73" i="9"/>
  <c r="D73" i="9"/>
  <c r="K73" i="9"/>
  <c r="L73" i="9"/>
  <c r="M73" i="9"/>
  <c r="N73" i="9"/>
  <c r="S73" i="9"/>
  <c r="B74" i="9"/>
  <c r="D74" i="9"/>
  <c r="K74" i="9"/>
  <c r="L74" i="9"/>
  <c r="M74" i="9"/>
  <c r="N74" i="9"/>
  <c r="S74" i="9"/>
  <c r="B75" i="9"/>
  <c r="D75" i="9"/>
  <c r="AV75" i="26"/>
  <c r="K75" i="9"/>
  <c r="L75" i="9"/>
  <c r="M75" i="9"/>
  <c r="N75" i="9"/>
  <c r="S75" i="9"/>
  <c r="B76" i="9"/>
  <c r="D76" i="9"/>
  <c r="E76" i="9"/>
  <c r="K76" i="9"/>
  <c r="L76" i="9"/>
  <c r="M76" i="9"/>
  <c r="N76" i="9"/>
  <c r="S76" i="9"/>
  <c r="B77" i="9"/>
  <c r="D77" i="9"/>
  <c r="K77" i="9"/>
  <c r="L77" i="9"/>
  <c r="M77" i="9"/>
  <c r="N77" i="9"/>
  <c r="S77" i="9"/>
  <c r="B78" i="9"/>
  <c r="D78" i="9"/>
  <c r="K78" i="9"/>
  <c r="L78" i="9"/>
  <c r="M78" i="9"/>
  <c r="N78" i="9"/>
  <c r="S78" i="9"/>
  <c r="B79" i="9"/>
  <c r="D79" i="9"/>
  <c r="K79" i="9"/>
  <c r="L79" i="9"/>
  <c r="M79" i="9"/>
  <c r="N79" i="9"/>
  <c r="S79" i="9"/>
  <c r="B80" i="9"/>
  <c r="D80" i="9"/>
  <c r="K80" i="9"/>
  <c r="L80" i="9"/>
  <c r="M80" i="9"/>
  <c r="N80" i="9"/>
  <c r="S80" i="9"/>
  <c r="B81" i="9"/>
  <c r="D81" i="9"/>
  <c r="K81" i="9"/>
  <c r="L81" i="9"/>
  <c r="M81" i="9"/>
  <c r="N81" i="9"/>
  <c r="S81" i="9"/>
  <c r="B82" i="9"/>
  <c r="D82" i="9"/>
  <c r="K82" i="9"/>
  <c r="L82" i="9"/>
  <c r="M82" i="9"/>
  <c r="N82" i="9"/>
  <c r="S82" i="9"/>
  <c r="B83" i="9"/>
  <c r="D83" i="9"/>
  <c r="K83" i="9"/>
  <c r="L83" i="9"/>
  <c r="M83" i="9"/>
  <c r="N83" i="9"/>
  <c r="S83" i="9"/>
  <c r="B84" i="9"/>
  <c r="D84" i="9"/>
  <c r="E84" i="9"/>
  <c r="AV84" i="26"/>
  <c r="K84" i="9"/>
  <c r="L84" i="9"/>
  <c r="M84" i="9"/>
  <c r="N84" i="9"/>
  <c r="S84" i="9"/>
  <c r="B85" i="9"/>
  <c r="D85" i="9"/>
  <c r="K85" i="9"/>
  <c r="L85" i="9"/>
  <c r="M85" i="9"/>
  <c r="N85" i="9"/>
  <c r="S85" i="9"/>
  <c r="B86" i="9"/>
  <c r="D86" i="9"/>
  <c r="K86" i="9"/>
  <c r="L86" i="9"/>
  <c r="M86" i="9"/>
  <c r="N86" i="9"/>
  <c r="S86" i="9"/>
  <c r="B87" i="9"/>
  <c r="D87" i="9"/>
  <c r="K87" i="9"/>
  <c r="L87" i="9"/>
  <c r="M87" i="9"/>
  <c r="N87" i="9"/>
  <c r="S87" i="9"/>
  <c r="B88" i="9"/>
  <c r="D88" i="9"/>
  <c r="K88" i="9"/>
  <c r="L88" i="9"/>
  <c r="M88" i="9"/>
  <c r="N88" i="9"/>
  <c r="S88" i="9"/>
  <c r="B89" i="9"/>
  <c r="D89" i="9"/>
  <c r="K89" i="9"/>
  <c r="L89" i="9"/>
  <c r="M89" i="9"/>
  <c r="N89" i="9"/>
  <c r="S89" i="9"/>
  <c r="B90" i="9"/>
  <c r="D90" i="9"/>
  <c r="K90" i="9"/>
  <c r="L90" i="9"/>
  <c r="M90" i="9"/>
  <c r="N90" i="9"/>
  <c r="B91" i="9"/>
  <c r="D91" i="9"/>
  <c r="K91" i="9"/>
  <c r="L91" i="9"/>
  <c r="M91" i="9"/>
  <c r="N91" i="9"/>
  <c r="S91" i="9"/>
  <c r="B92" i="9"/>
  <c r="D92" i="9"/>
  <c r="K92" i="9"/>
  <c r="L92" i="9"/>
  <c r="M92" i="9"/>
  <c r="N92" i="9"/>
  <c r="S92" i="9"/>
  <c r="B93" i="9"/>
  <c r="D93" i="9"/>
  <c r="K93" i="9"/>
  <c r="L93" i="9"/>
  <c r="M93" i="9"/>
  <c r="N93" i="9"/>
  <c r="S93" i="9"/>
  <c r="B94" i="9"/>
  <c r="D94" i="9"/>
  <c r="K94" i="9"/>
  <c r="L94" i="9"/>
  <c r="M94" i="9"/>
  <c r="N94" i="9"/>
  <c r="S94" i="9"/>
  <c r="B95" i="9"/>
  <c r="D95" i="9"/>
  <c r="K95" i="9"/>
  <c r="L95" i="9"/>
  <c r="M95" i="9"/>
  <c r="N95" i="9"/>
  <c r="S95" i="9"/>
  <c r="B96" i="9"/>
  <c r="D96" i="9"/>
  <c r="AV96" i="26"/>
  <c r="K96" i="9"/>
  <c r="L96" i="9"/>
  <c r="M96" i="9"/>
  <c r="N96" i="9"/>
  <c r="S96" i="9"/>
  <c r="B97" i="9"/>
  <c r="D97" i="9"/>
  <c r="E97" i="9"/>
  <c r="AV97" i="26"/>
  <c r="K97" i="9"/>
  <c r="L97" i="9"/>
  <c r="M97" i="9"/>
  <c r="N97" i="9"/>
  <c r="S97" i="9"/>
  <c r="B98" i="9"/>
  <c r="D98" i="9"/>
  <c r="E98" i="9"/>
  <c r="K98" i="9"/>
  <c r="L98" i="9"/>
  <c r="M98" i="9"/>
  <c r="N98" i="9"/>
  <c r="S98" i="9"/>
  <c r="B99" i="9"/>
  <c r="D99" i="9"/>
  <c r="K99" i="9"/>
  <c r="L99" i="9"/>
  <c r="M99" i="9"/>
  <c r="N99" i="9"/>
  <c r="S99" i="9"/>
  <c r="B100" i="9"/>
  <c r="D100" i="9"/>
  <c r="E100" i="9"/>
  <c r="K100" i="9"/>
  <c r="L100" i="9"/>
  <c r="M100" i="9"/>
  <c r="N100" i="9"/>
  <c r="S100" i="9"/>
  <c r="B101" i="9"/>
  <c r="D101" i="9"/>
  <c r="K101" i="9"/>
  <c r="L101" i="9"/>
  <c r="M101" i="9"/>
  <c r="N101" i="9"/>
  <c r="S101" i="9"/>
  <c r="B102" i="9"/>
  <c r="D102" i="9"/>
  <c r="K102" i="9"/>
  <c r="L102" i="9"/>
  <c r="M102" i="9"/>
  <c r="N102" i="9"/>
  <c r="S102" i="9"/>
  <c r="B103" i="9"/>
  <c r="D103" i="9"/>
  <c r="K103" i="9"/>
  <c r="L103" i="9"/>
  <c r="M103" i="9"/>
  <c r="N103" i="9"/>
  <c r="S103" i="9"/>
  <c r="B104" i="9"/>
  <c r="D104" i="9"/>
  <c r="K104" i="9"/>
  <c r="L104" i="9"/>
  <c r="M104" i="9"/>
  <c r="N104" i="9"/>
  <c r="S104" i="9"/>
  <c r="B105" i="9"/>
  <c r="D105" i="9"/>
  <c r="K105" i="9"/>
  <c r="L105" i="9"/>
  <c r="M105" i="9"/>
  <c r="N105" i="9"/>
  <c r="S105" i="9"/>
  <c r="D106" i="9"/>
  <c r="E106" i="9"/>
  <c r="K106" i="9"/>
  <c r="L106" i="9"/>
  <c r="M106" i="9"/>
  <c r="N106" i="9"/>
  <c r="S106" i="9"/>
  <c r="B107" i="9"/>
  <c r="D107" i="9"/>
  <c r="K107" i="9"/>
  <c r="L107" i="9"/>
  <c r="M107" i="9"/>
  <c r="N107" i="9"/>
  <c r="S107" i="9"/>
  <c r="B108" i="9"/>
  <c r="D108" i="9"/>
  <c r="K108" i="9"/>
  <c r="L108" i="9"/>
  <c r="M108" i="9"/>
  <c r="N108" i="9"/>
  <c r="S108" i="9"/>
  <c r="B109" i="9"/>
  <c r="D109" i="9"/>
  <c r="K109" i="9"/>
  <c r="L109" i="9"/>
  <c r="M109" i="9"/>
  <c r="N109" i="9"/>
  <c r="S109" i="9"/>
  <c r="B110" i="9"/>
  <c r="D110" i="9"/>
  <c r="K110" i="9"/>
  <c r="L110" i="9"/>
  <c r="M110" i="9"/>
  <c r="N110" i="9"/>
  <c r="S110" i="9"/>
  <c r="B111" i="9"/>
  <c r="D111" i="9"/>
  <c r="K111" i="9"/>
  <c r="L111" i="9"/>
  <c r="M111" i="9"/>
  <c r="N111" i="9"/>
  <c r="S111" i="9"/>
  <c r="B112" i="9"/>
  <c r="D112" i="9"/>
  <c r="K112" i="9"/>
  <c r="L112" i="9"/>
  <c r="M112" i="9"/>
  <c r="N112" i="9"/>
  <c r="S112" i="9"/>
  <c r="B113" i="9"/>
  <c r="D113" i="9"/>
  <c r="K113" i="9"/>
  <c r="L113" i="9"/>
  <c r="M113" i="9"/>
  <c r="N113" i="9"/>
  <c r="S113" i="9"/>
  <c r="B114" i="9"/>
  <c r="D114" i="9"/>
  <c r="K114" i="9"/>
  <c r="L114" i="9"/>
  <c r="M114" i="9"/>
  <c r="N114" i="9"/>
  <c r="S114" i="9"/>
  <c r="B115" i="9"/>
  <c r="D115" i="9"/>
  <c r="K115" i="9"/>
  <c r="L115" i="9"/>
  <c r="M115" i="9"/>
  <c r="N115" i="9"/>
  <c r="S115" i="9"/>
  <c r="B116" i="9"/>
  <c r="D116" i="9"/>
  <c r="K116" i="9"/>
  <c r="L116" i="9"/>
  <c r="M116" i="9"/>
  <c r="N116" i="9"/>
  <c r="S116" i="9"/>
  <c r="B117" i="9"/>
  <c r="D117" i="9"/>
  <c r="K117" i="9"/>
  <c r="L117" i="9"/>
  <c r="M117" i="9"/>
  <c r="N117" i="9"/>
  <c r="S117" i="9"/>
  <c r="B118" i="9"/>
  <c r="D118" i="9"/>
  <c r="AV118" i="26"/>
  <c r="K118" i="9"/>
  <c r="L118" i="9"/>
  <c r="M118" i="9"/>
  <c r="N118" i="9"/>
  <c r="S118" i="9"/>
  <c r="B119" i="9"/>
  <c r="D119" i="9"/>
  <c r="E119" i="9"/>
  <c r="AV119" i="26"/>
  <c r="K119" i="9"/>
  <c r="L119" i="9"/>
  <c r="M119" i="9"/>
  <c r="N119" i="9"/>
  <c r="S119" i="9"/>
  <c r="B120" i="9"/>
  <c r="D120" i="9"/>
  <c r="K120" i="9"/>
  <c r="L120" i="9"/>
  <c r="M120" i="9"/>
  <c r="N120" i="9"/>
  <c r="S120" i="9"/>
  <c r="B121" i="9"/>
  <c r="D121" i="9"/>
  <c r="K121" i="9"/>
  <c r="L121" i="9"/>
  <c r="M121" i="9"/>
  <c r="N121" i="9"/>
  <c r="S121" i="9"/>
  <c r="B122" i="9"/>
  <c r="D122" i="9"/>
  <c r="K122" i="9"/>
  <c r="L122" i="9"/>
  <c r="M122" i="9"/>
  <c r="N122" i="9"/>
  <c r="S122" i="9"/>
  <c r="B123" i="9"/>
  <c r="D123" i="9"/>
  <c r="K123" i="9"/>
  <c r="L123" i="9"/>
  <c r="M123" i="9"/>
  <c r="N123" i="9"/>
  <c r="S123" i="9"/>
  <c r="B124" i="9"/>
  <c r="D124" i="9"/>
  <c r="K124" i="9"/>
  <c r="L124" i="9"/>
  <c r="M124" i="9"/>
  <c r="N124" i="9"/>
  <c r="S124" i="9"/>
  <c r="B125" i="9"/>
  <c r="D125" i="9"/>
  <c r="E125" i="9"/>
  <c r="AV125" i="26"/>
  <c r="K125" i="9"/>
  <c r="L125" i="9"/>
  <c r="M125" i="9"/>
  <c r="N125" i="9"/>
  <c r="S125" i="9"/>
  <c r="B126" i="9"/>
  <c r="D126" i="9"/>
  <c r="E126" i="9"/>
  <c r="AV126" i="26"/>
  <c r="K126" i="9"/>
  <c r="L126" i="9"/>
  <c r="M126" i="9"/>
  <c r="N126" i="9"/>
  <c r="S126" i="9"/>
  <c r="B127" i="9"/>
  <c r="D127" i="9"/>
  <c r="K127" i="9"/>
  <c r="L127" i="9"/>
  <c r="M127" i="9"/>
  <c r="N127" i="9"/>
  <c r="S127" i="9"/>
  <c r="B128" i="9"/>
  <c r="D128" i="9"/>
  <c r="K128" i="9"/>
  <c r="L128" i="9"/>
  <c r="M128" i="9"/>
  <c r="N128" i="9"/>
  <c r="S128" i="9"/>
  <c r="B129" i="9"/>
  <c r="D129" i="9"/>
  <c r="K129" i="9"/>
  <c r="L129" i="9"/>
  <c r="M129" i="9"/>
  <c r="N129" i="9"/>
  <c r="S129" i="9"/>
  <c r="B130" i="9"/>
  <c r="D130" i="9"/>
  <c r="K130" i="9"/>
  <c r="L130" i="9"/>
  <c r="M130" i="9"/>
  <c r="N130" i="9"/>
  <c r="S130" i="9"/>
  <c r="B131" i="9"/>
  <c r="D131" i="9"/>
  <c r="K131" i="9"/>
  <c r="L131" i="9"/>
  <c r="M131" i="9"/>
  <c r="N131" i="9"/>
  <c r="S131" i="9"/>
  <c r="B132" i="9"/>
  <c r="D132" i="9"/>
  <c r="E132" i="9"/>
  <c r="K132" i="9"/>
  <c r="L132" i="9"/>
  <c r="M132" i="9"/>
  <c r="N132" i="9"/>
  <c r="S132" i="9"/>
  <c r="B133" i="9"/>
  <c r="D133" i="9"/>
  <c r="K133" i="9"/>
  <c r="L133" i="9"/>
  <c r="M133" i="9"/>
  <c r="N133" i="9"/>
  <c r="S133" i="9"/>
  <c r="B134" i="9"/>
  <c r="D134" i="9"/>
  <c r="K134" i="9"/>
  <c r="L134" i="9"/>
  <c r="M134" i="9"/>
  <c r="N134" i="9"/>
  <c r="S134" i="9"/>
  <c r="B135" i="9"/>
  <c r="D135" i="9"/>
  <c r="K135" i="9"/>
  <c r="L135" i="9"/>
  <c r="M135" i="9"/>
  <c r="N135" i="9"/>
  <c r="S135" i="9"/>
  <c r="B136" i="9"/>
  <c r="D136" i="9"/>
  <c r="AV136" i="26"/>
  <c r="K136" i="9"/>
  <c r="L136" i="9"/>
  <c r="M136" i="9"/>
  <c r="N136" i="9"/>
  <c r="S136" i="9"/>
  <c r="B137" i="9"/>
  <c r="D137" i="9"/>
  <c r="E137" i="9"/>
  <c r="K137" i="9"/>
  <c r="L137" i="9"/>
  <c r="M137" i="9"/>
  <c r="N137" i="9"/>
  <c r="S137" i="9"/>
  <c r="B138" i="9"/>
  <c r="D138" i="9"/>
  <c r="K138" i="9"/>
  <c r="L138" i="9"/>
  <c r="M138" i="9"/>
  <c r="N138" i="9"/>
  <c r="S138" i="9"/>
  <c r="B139" i="9"/>
  <c r="D139" i="9"/>
  <c r="K139" i="9"/>
  <c r="L139" i="9"/>
  <c r="M139" i="9"/>
  <c r="N139" i="9"/>
  <c r="S139" i="9"/>
  <c r="B140" i="9"/>
  <c r="D140" i="9"/>
  <c r="K140" i="9"/>
  <c r="L140" i="9"/>
  <c r="M140" i="9"/>
  <c r="N140" i="9"/>
  <c r="S140" i="9"/>
  <c r="B141" i="9"/>
  <c r="D141" i="9"/>
  <c r="K141" i="9"/>
  <c r="L141" i="9"/>
  <c r="M141" i="9"/>
  <c r="N141" i="9"/>
  <c r="S141" i="9"/>
  <c r="B142" i="9"/>
  <c r="D142" i="9"/>
  <c r="K142" i="9"/>
  <c r="L142" i="9"/>
  <c r="M142" i="9"/>
  <c r="N142" i="9"/>
  <c r="S142" i="9"/>
  <c r="B143" i="9"/>
  <c r="D143" i="9"/>
  <c r="E143" i="9"/>
  <c r="AV143" i="26"/>
  <c r="K143" i="9"/>
  <c r="L143" i="9"/>
  <c r="M143" i="9"/>
  <c r="N143" i="9"/>
  <c r="S143" i="9"/>
  <c r="B144" i="9"/>
  <c r="D144" i="9"/>
  <c r="E144" i="9"/>
  <c r="AV144" i="26"/>
  <c r="K144" i="9"/>
  <c r="L144" i="9"/>
  <c r="M144" i="9"/>
  <c r="N144" i="9"/>
  <c r="S144" i="9"/>
  <c r="B145" i="9"/>
  <c r="D145" i="9"/>
  <c r="E145" i="9"/>
  <c r="K145" i="9"/>
  <c r="L145" i="9"/>
  <c r="M145" i="9"/>
  <c r="N145" i="9"/>
  <c r="S145" i="9"/>
  <c r="B146" i="9"/>
  <c r="D146" i="9"/>
  <c r="K146" i="9"/>
  <c r="L146" i="9"/>
  <c r="M146" i="9"/>
  <c r="N146" i="9"/>
  <c r="S146" i="9"/>
  <c r="B147" i="9"/>
  <c r="D147" i="9"/>
  <c r="K147" i="9"/>
  <c r="L147" i="9"/>
  <c r="M147" i="9"/>
  <c r="N147" i="9"/>
  <c r="S147" i="9"/>
  <c r="B148" i="9"/>
  <c r="D148" i="9"/>
  <c r="AV148" i="26"/>
  <c r="K148" i="9"/>
  <c r="L148" i="9"/>
  <c r="M148" i="9"/>
  <c r="N148" i="9"/>
  <c r="S148" i="9"/>
  <c r="B149" i="9"/>
  <c r="D149" i="9"/>
  <c r="E149" i="9"/>
  <c r="K149" i="9"/>
  <c r="L149" i="9"/>
  <c r="M149" i="9"/>
  <c r="N149" i="9"/>
  <c r="S149" i="9"/>
  <c r="B150" i="9"/>
  <c r="D150" i="9"/>
  <c r="K150" i="9"/>
  <c r="L150" i="9"/>
  <c r="M150" i="9"/>
  <c r="N150" i="9"/>
  <c r="S150" i="9"/>
  <c r="B151" i="9"/>
  <c r="D151" i="9"/>
  <c r="K151" i="9"/>
  <c r="L151" i="9"/>
  <c r="M151" i="9"/>
  <c r="N151" i="9"/>
  <c r="S151" i="9"/>
  <c r="B152" i="9"/>
  <c r="D152" i="9"/>
  <c r="K152" i="9"/>
  <c r="L152" i="9"/>
  <c r="M152" i="9"/>
  <c r="N152" i="9"/>
  <c r="S152" i="9"/>
  <c r="B153" i="9"/>
  <c r="D153" i="9"/>
  <c r="E153" i="9"/>
  <c r="K153" i="9"/>
  <c r="L153" i="9"/>
  <c r="M153" i="9"/>
  <c r="N153" i="9"/>
  <c r="S153" i="9"/>
  <c r="B154" i="9"/>
  <c r="D154" i="9"/>
  <c r="K154" i="9"/>
  <c r="L154" i="9"/>
  <c r="M154" i="9"/>
  <c r="N154" i="9"/>
  <c r="S154" i="9"/>
  <c r="B155" i="9"/>
  <c r="D155" i="9"/>
  <c r="K155" i="9"/>
  <c r="L155" i="9"/>
  <c r="M155" i="9"/>
  <c r="N155" i="9"/>
  <c r="S155" i="9"/>
  <c r="B156" i="9"/>
  <c r="D156" i="9"/>
  <c r="K156" i="9"/>
  <c r="L156" i="9"/>
  <c r="M156" i="9"/>
  <c r="N156" i="9"/>
  <c r="S156" i="9"/>
  <c r="B157" i="9"/>
  <c r="D157" i="9"/>
  <c r="K157" i="9"/>
  <c r="L157" i="9"/>
  <c r="M157" i="9"/>
  <c r="N157" i="9"/>
  <c r="S157" i="9"/>
  <c r="B158" i="9"/>
  <c r="D158" i="9"/>
  <c r="E158" i="9"/>
  <c r="AV158" i="26"/>
  <c r="K158" i="9"/>
  <c r="L158" i="9"/>
  <c r="M158" i="9"/>
  <c r="N158" i="9"/>
  <c r="S158" i="9"/>
  <c r="B159" i="9"/>
  <c r="D159" i="9"/>
  <c r="E159" i="9"/>
  <c r="K159" i="9"/>
  <c r="L159" i="9"/>
  <c r="M159" i="9"/>
  <c r="N159" i="9"/>
  <c r="S159" i="9"/>
  <c r="B160" i="9"/>
  <c r="D160" i="9"/>
  <c r="K160" i="9"/>
  <c r="L160" i="9"/>
  <c r="M160" i="9"/>
  <c r="N160" i="9"/>
  <c r="S160" i="9"/>
  <c r="B161" i="9"/>
  <c r="D161" i="9"/>
  <c r="K161" i="9"/>
  <c r="L161" i="9"/>
  <c r="M161" i="9"/>
  <c r="N161" i="9"/>
  <c r="S161" i="9"/>
  <c r="B162" i="9"/>
  <c r="D162" i="9"/>
  <c r="K162" i="9"/>
  <c r="L162" i="9"/>
  <c r="M162" i="9"/>
  <c r="N162" i="9"/>
  <c r="S162" i="9"/>
  <c r="B163" i="9"/>
  <c r="D163" i="9"/>
  <c r="K163" i="9"/>
  <c r="L163" i="9"/>
  <c r="M163" i="9"/>
  <c r="N163" i="9"/>
  <c r="S163" i="9"/>
  <c r="B164" i="9"/>
  <c r="D164" i="9"/>
  <c r="K164" i="9"/>
  <c r="L164" i="9"/>
  <c r="M164" i="9"/>
  <c r="N164" i="9"/>
  <c r="S164" i="9"/>
  <c r="B165" i="9"/>
  <c r="D165" i="9"/>
  <c r="K165" i="9"/>
  <c r="L165" i="9"/>
  <c r="M165" i="9"/>
  <c r="N165" i="9"/>
  <c r="S165" i="9"/>
  <c r="B166" i="9"/>
  <c r="D166" i="9"/>
  <c r="K166" i="9"/>
  <c r="L166" i="9"/>
  <c r="M166" i="9"/>
  <c r="N166" i="9"/>
  <c r="S166" i="9"/>
  <c r="B167" i="9"/>
  <c r="D167" i="9"/>
  <c r="K167" i="9"/>
  <c r="L167" i="9"/>
  <c r="M167" i="9"/>
  <c r="N167" i="9"/>
  <c r="S167" i="9"/>
  <c r="B168" i="9"/>
  <c r="D168" i="9"/>
  <c r="AV168" i="26"/>
  <c r="K168" i="9"/>
  <c r="L168" i="9"/>
  <c r="M168" i="9"/>
  <c r="N168" i="9"/>
  <c r="S168" i="9"/>
  <c r="B169" i="9"/>
  <c r="D169" i="9"/>
  <c r="E169" i="9"/>
  <c r="K169" i="9"/>
  <c r="L169" i="9"/>
  <c r="M169" i="9"/>
  <c r="N169" i="9"/>
  <c r="S169" i="9"/>
  <c r="B170" i="9"/>
  <c r="D170" i="9"/>
  <c r="K170" i="9"/>
  <c r="L170" i="9"/>
  <c r="M170" i="9"/>
  <c r="N170" i="9"/>
  <c r="S170" i="9"/>
  <c r="B171" i="9"/>
  <c r="D171" i="9"/>
  <c r="K171" i="9"/>
  <c r="L171" i="9"/>
  <c r="M171" i="9"/>
  <c r="N171" i="9"/>
  <c r="S171" i="9"/>
  <c r="B172" i="9"/>
  <c r="D172" i="9"/>
  <c r="K172" i="9"/>
  <c r="L172" i="9"/>
  <c r="M172" i="9"/>
  <c r="N172" i="9"/>
  <c r="B173" i="9"/>
  <c r="D173" i="9"/>
  <c r="K173" i="9"/>
  <c r="L173" i="9"/>
  <c r="M173" i="9"/>
  <c r="N173" i="9"/>
  <c r="S173" i="9"/>
  <c r="B174" i="9"/>
  <c r="D174" i="9"/>
  <c r="K174" i="9"/>
  <c r="L174" i="9"/>
  <c r="M174" i="9"/>
  <c r="N174" i="9"/>
  <c r="S174" i="9"/>
  <c r="B175" i="9"/>
  <c r="D175" i="9"/>
  <c r="K175" i="9"/>
  <c r="L175" i="9"/>
  <c r="M175" i="9"/>
  <c r="N175" i="9"/>
  <c r="S175" i="9"/>
  <c r="B176" i="9"/>
  <c r="D176" i="9"/>
  <c r="K176" i="9"/>
  <c r="L176" i="9"/>
  <c r="M176" i="9"/>
  <c r="N176" i="9"/>
  <c r="S176" i="9"/>
  <c r="B177" i="9"/>
  <c r="E177" i="9"/>
  <c r="K177" i="9"/>
  <c r="L177" i="9"/>
  <c r="M177" i="9"/>
  <c r="N177" i="9"/>
  <c r="S177" i="9"/>
  <c r="B178" i="9"/>
  <c r="D178" i="9"/>
  <c r="K178" i="9"/>
  <c r="L178" i="9"/>
  <c r="M178" i="9"/>
  <c r="N178" i="9"/>
  <c r="S178" i="9"/>
  <c r="B179" i="9"/>
  <c r="D179" i="9"/>
  <c r="K179" i="9"/>
  <c r="L179" i="9"/>
  <c r="M179" i="9"/>
  <c r="N179" i="9"/>
  <c r="S179" i="9"/>
  <c r="B180" i="9"/>
  <c r="D180" i="9"/>
  <c r="K180" i="9"/>
  <c r="L180" i="9"/>
  <c r="M180" i="9"/>
  <c r="N180" i="9"/>
  <c r="S180" i="9"/>
  <c r="B181" i="9"/>
  <c r="D181" i="9"/>
  <c r="K181" i="9"/>
  <c r="L181" i="9"/>
  <c r="M181" i="9"/>
  <c r="N181" i="9"/>
  <c r="S181" i="9"/>
  <c r="B182" i="9"/>
  <c r="D182" i="9"/>
  <c r="K182" i="9"/>
  <c r="L182" i="9"/>
  <c r="M182" i="9"/>
  <c r="N182" i="9"/>
  <c r="S182" i="9"/>
  <c r="B183" i="9"/>
  <c r="D183" i="9"/>
  <c r="K183" i="9"/>
  <c r="L183" i="9"/>
  <c r="M183" i="9"/>
  <c r="N183" i="9"/>
  <c r="S183" i="9"/>
  <c r="B184" i="9"/>
  <c r="D184" i="9"/>
  <c r="K184" i="9"/>
  <c r="L184" i="9"/>
  <c r="M184" i="9"/>
  <c r="N184" i="9"/>
  <c r="S184" i="9"/>
  <c r="B185" i="9"/>
  <c r="D185" i="9"/>
  <c r="K185" i="9"/>
  <c r="L185" i="9"/>
  <c r="M185" i="9"/>
  <c r="N185" i="9"/>
  <c r="S185" i="9"/>
  <c r="B186" i="9"/>
  <c r="D186" i="9"/>
  <c r="K186" i="9"/>
  <c r="L186" i="9"/>
  <c r="M186" i="9"/>
  <c r="N186" i="9"/>
  <c r="S186" i="9"/>
  <c r="B187" i="9"/>
  <c r="D187" i="9"/>
  <c r="K187" i="9"/>
  <c r="L187" i="9"/>
  <c r="M187" i="9"/>
  <c r="N187" i="9"/>
  <c r="S187" i="9"/>
  <c r="B188" i="9"/>
  <c r="D188" i="9"/>
  <c r="K188" i="9"/>
  <c r="L188" i="9"/>
  <c r="M188" i="9"/>
  <c r="N188" i="9"/>
  <c r="S188" i="9"/>
  <c r="B189" i="9"/>
  <c r="D189" i="9"/>
  <c r="E189" i="9"/>
  <c r="K189" i="9"/>
  <c r="L189" i="9"/>
  <c r="M189" i="9"/>
  <c r="N189" i="9"/>
  <c r="S189" i="9"/>
  <c r="B190" i="9"/>
  <c r="D190" i="9"/>
  <c r="K190" i="9"/>
  <c r="L190" i="9"/>
  <c r="M190" i="9"/>
  <c r="N190" i="9"/>
  <c r="S190" i="9"/>
  <c r="B191" i="9"/>
  <c r="D191" i="9"/>
  <c r="K191" i="9"/>
  <c r="L191" i="9"/>
  <c r="M191" i="9"/>
  <c r="N191" i="9"/>
  <c r="S191" i="9"/>
  <c r="B192" i="9"/>
  <c r="D192" i="9"/>
  <c r="K192" i="9"/>
  <c r="L192" i="9"/>
  <c r="M192" i="9"/>
  <c r="N192" i="9"/>
  <c r="S192" i="9"/>
  <c r="B193" i="9"/>
  <c r="D193" i="9"/>
  <c r="K193" i="9"/>
  <c r="L193" i="9"/>
  <c r="M193" i="9"/>
  <c r="N193" i="9"/>
  <c r="S193" i="9"/>
  <c r="B194" i="9"/>
  <c r="D194" i="9"/>
  <c r="K194" i="9"/>
  <c r="L194" i="9"/>
  <c r="M194" i="9"/>
  <c r="N194" i="9"/>
  <c r="S194" i="9"/>
  <c r="B195" i="9"/>
  <c r="D195" i="9"/>
  <c r="K195" i="9"/>
  <c r="L195" i="9"/>
  <c r="M195" i="9"/>
  <c r="N195" i="9"/>
  <c r="S195" i="9"/>
  <c r="B196" i="9"/>
  <c r="D196" i="9"/>
  <c r="E196" i="9"/>
  <c r="K196" i="9"/>
  <c r="L196" i="9"/>
  <c r="M196" i="9"/>
  <c r="N196" i="9"/>
  <c r="S196" i="9"/>
  <c r="B197" i="9"/>
  <c r="D197" i="9"/>
  <c r="K197" i="9"/>
  <c r="L197" i="9"/>
  <c r="M197" i="9"/>
  <c r="N197" i="9"/>
  <c r="S197" i="9"/>
  <c r="B198" i="9"/>
  <c r="D198" i="9"/>
  <c r="K198" i="9"/>
  <c r="L198" i="9"/>
  <c r="M198" i="9"/>
  <c r="N198" i="9"/>
  <c r="S198" i="9"/>
  <c r="B199" i="9"/>
  <c r="D199" i="9"/>
  <c r="K199" i="9"/>
  <c r="L199" i="9"/>
  <c r="M199" i="9"/>
  <c r="N199" i="9"/>
  <c r="S199" i="9"/>
  <c r="B200" i="9"/>
  <c r="D200" i="9"/>
  <c r="K200" i="9"/>
  <c r="L200" i="9"/>
  <c r="M200" i="9"/>
  <c r="N200" i="9"/>
  <c r="S200" i="9"/>
  <c r="D201" i="9"/>
  <c r="K201" i="9"/>
  <c r="L201" i="9"/>
  <c r="M201" i="9"/>
  <c r="N201" i="9"/>
  <c r="S201" i="9"/>
  <c r="B202" i="9"/>
  <c r="D202" i="9"/>
  <c r="K202" i="9"/>
  <c r="L202" i="9"/>
  <c r="M202" i="9"/>
  <c r="N202" i="9"/>
  <c r="S202" i="9"/>
  <c r="B203" i="9"/>
  <c r="D203" i="9"/>
  <c r="K203" i="9"/>
  <c r="L203" i="9"/>
  <c r="M203" i="9"/>
  <c r="N203" i="9"/>
  <c r="S203" i="9"/>
  <c r="B204" i="9"/>
  <c r="D204" i="9"/>
  <c r="K204" i="9"/>
  <c r="L204" i="9"/>
  <c r="M204" i="9"/>
  <c r="N204" i="9"/>
  <c r="S204" i="9"/>
  <c r="B205" i="9"/>
  <c r="D205" i="9"/>
  <c r="K205" i="9"/>
  <c r="L205" i="9"/>
  <c r="M205" i="9"/>
  <c r="N205" i="9"/>
  <c r="S205" i="9"/>
  <c r="B206" i="9"/>
  <c r="D206" i="9"/>
  <c r="K206" i="9"/>
  <c r="L206" i="9"/>
  <c r="M206" i="9"/>
  <c r="N206" i="9"/>
  <c r="S206" i="9"/>
  <c r="B207" i="9"/>
  <c r="D207" i="9"/>
  <c r="E207" i="9"/>
  <c r="AV207" i="26"/>
  <c r="K207" i="9"/>
  <c r="L207" i="9"/>
  <c r="M207" i="9"/>
  <c r="N207" i="9"/>
  <c r="S207" i="9"/>
  <c r="B208" i="9"/>
  <c r="D208" i="9"/>
  <c r="K208" i="9"/>
  <c r="L208" i="9"/>
  <c r="M208" i="9"/>
  <c r="N208" i="9"/>
  <c r="S208" i="9"/>
  <c r="B209" i="9"/>
  <c r="D209" i="9"/>
  <c r="K209" i="9"/>
  <c r="L209" i="9"/>
  <c r="M209" i="9"/>
  <c r="N209" i="9"/>
  <c r="S209" i="9"/>
  <c r="B210" i="9"/>
  <c r="D210" i="9"/>
  <c r="K210" i="9"/>
  <c r="L210" i="9"/>
  <c r="M210" i="9"/>
  <c r="N210" i="9"/>
  <c r="AB210" i="9" s="1"/>
  <c r="B211" i="9"/>
  <c r="D211" i="9"/>
  <c r="K211" i="9"/>
  <c r="L211" i="9"/>
  <c r="M211" i="9"/>
  <c r="N211" i="9"/>
  <c r="S211" i="9"/>
  <c r="B212" i="9"/>
  <c r="D212" i="9"/>
  <c r="E212" i="9"/>
  <c r="AV212" i="26"/>
  <c r="K212" i="9"/>
  <c r="L212" i="9"/>
  <c r="M212" i="9"/>
  <c r="N212" i="9"/>
  <c r="S212" i="9"/>
  <c r="B213" i="9"/>
  <c r="D213" i="9"/>
  <c r="K213" i="9"/>
  <c r="L213" i="9"/>
  <c r="M213" i="9"/>
  <c r="N213" i="9"/>
  <c r="S213" i="9"/>
  <c r="B214" i="9"/>
  <c r="D214" i="9"/>
  <c r="K214" i="9"/>
  <c r="L214" i="9"/>
  <c r="M214" i="9"/>
  <c r="N214" i="9"/>
  <c r="S214" i="9"/>
  <c r="B215" i="9"/>
  <c r="D215" i="9"/>
  <c r="K215" i="9"/>
  <c r="L215" i="9"/>
  <c r="M215" i="9"/>
  <c r="N215" i="9"/>
  <c r="S215" i="9"/>
  <c r="B216" i="9"/>
  <c r="D216" i="9"/>
  <c r="K216" i="9"/>
  <c r="L216" i="9"/>
  <c r="M216" i="9"/>
  <c r="N216" i="9"/>
  <c r="S216" i="9"/>
  <c r="B217" i="9"/>
  <c r="D217" i="9"/>
  <c r="K217" i="9"/>
  <c r="L217" i="9"/>
  <c r="M217" i="9"/>
  <c r="N217" i="9"/>
  <c r="S217" i="9"/>
  <c r="B218" i="9"/>
  <c r="D218" i="9"/>
  <c r="E218" i="9"/>
  <c r="K218" i="9"/>
  <c r="L218" i="9"/>
  <c r="M218" i="9"/>
  <c r="N218" i="9"/>
  <c r="S218" i="9"/>
  <c r="B219" i="9"/>
  <c r="D219" i="9"/>
  <c r="E219" i="9"/>
  <c r="AV219" i="26"/>
  <c r="K219" i="9"/>
  <c r="L219" i="9"/>
  <c r="M219" i="9"/>
  <c r="N219" i="9"/>
  <c r="S219" i="9"/>
  <c r="B220" i="9"/>
  <c r="D220" i="9"/>
  <c r="K220" i="9"/>
  <c r="L220" i="9"/>
  <c r="M220" i="9"/>
  <c r="N220" i="9"/>
  <c r="O220" i="9"/>
  <c r="S220" i="9" s="1"/>
  <c r="B221" i="9"/>
  <c r="D221" i="9"/>
  <c r="K221" i="9"/>
  <c r="L221" i="9"/>
  <c r="M221" i="9"/>
  <c r="N221" i="9"/>
  <c r="S221" i="9"/>
  <c r="B222" i="9"/>
  <c r="D222" i="9"/>
  <c r="K222" i="9"/>
  <c r="L222" i="9"/>
  <c r="M222" i="9"/>
  <c r="N222" i="9"/>
  <c r="S222" i="9"/>
  <c r="B223" i="9"/>
  <c r="D223" i="9"/>
  <c r="K223" i="9"/>
  <c r="L223" i="9"/>
  <c r="M223" i="9"/>
  <c r="N223" i="9"/>
  <c r="S223" i="9"/>
  <c r="B224" i="9"/>
  <c r="D224" i="9"/>
  <c r="K224" i="9"/>
  <c r="L224" i="9"/>
  <c r="M224" i="9"/>
  <c r="N224" i="9"/>
  <c r="S224" i="9"/>
  <c r="B225" i="9"/>
  <c r="D225" i="9"/>
  <c r="K225" i="9"/>
  <c r="L225" i="9"/>
  <c r="M225" i="9"/>
  <c r="N225" i="9"/>
  <c r="O225" i="9"/>
  <c r="S225" i="9" s="1"/>
  <c r="B226" i="9"/>
  <c r="D226" i="9"/>
  <c r="K226" i="9"/>
  <c r="L226" i="9"/>
  <c r="M226" i="9"/>
  <c r="N226" i="9"/>
  <c r="S226" i="9"/>
  <c r="B227" i="9"/>
  <c r="D227" i="9"/>
  <c r="K227" i="9"/>
  <c r="L227" i="9"/>
  <c r="M227" i="9"/>
  <c r="N227" i="9"/>
  <c r="S227" i="9"/>
  <c r="B228" i="9"/>
  <c r="D228" i="9"/>
  <c r="K228" i="9"/>
  <c r="L228" i="9"/>
  <c r="M228" i="9"/>
  <c r="N228" i="9"/>
  <c r="S228" i="9"/>
  <c r="B229" i="9"/>
  <c r="D229" i="9"/>
  <c r="K229" i="9"/>
  <c r="L229" i="9"/>
  <c r="M229" i="9"/>
  <c r="N229" i="9"/>
  <c r="S229" i="9"/>
  <c r="B230" i="9"/>
  <c r="D230" i="9"/>
  <c r="K230" i="9"/>
  <c r="L230" i="9"/>
  <c r="M230" i="9"/>
  <c r="N230" i="9"/>
  <c r="O230" i="9"/>
  <c r="S230" i="9" s="1"/>
  <c r="B231" i="9"/>
  <c r="D231" i="9"/>
  <c r="K231" i="9"/>
  <c r="L231" i="9"/>
  <c r="M231" i="9"/>
  <c r="N231" i="9"/>
  <c r="S231" i="9"/>
  <c r="B232" i="9"/>
  <c r="D232" i="9"/>
  <c r="K232" i="9"/>
  <c r="L232" i="9"/>
  <c r="M232" i="9"/>
  <c r="N232" i="9"/>
  <c r="S232" i="9"/>
  <c r="B233" i="9"/>
  <c r="S233" i="9"/>
  <c r="D233" i="9"/>
  <c r="K233" i="9"/>
  <c r="L233" i="9"/>
  <c r="M233" i="9"/>
  <c r="N233" i="9"/>
  <c r="B234" i="9"/>
  <c r="D234" i="9"/>
  <c r="K234" i="9"/>
  <c r="L234" i="9"/>
  <c r="M234" i="9"/>
  <c r="N234" i="9"/>
  <c r="S234" i="9"/>
  <c r="B235" i="9"/>
  <c r="D235" i="9"/>
  <c r="K235" i="9"/>
  <c r="L235" i="9"/>
  <c r="M235" i="9"/>
  <c r="N235" i="9"/>
  <c r="S235" i="9"/>
  <c r="B236" i="9"/>
  <c r="D236" i="9"/>
  <c r="E236" i="9"/>
  <c r="K236" i="9"/>
  <c r="L236" i="9"/>
  <c r="M236" i="9"/>
  <c r="N236" i="9"/>
  <c r="S236" i="9"/>
  <c r="B237" i="9"/>
  <c r="D237" i="9"/>
  <c r="K237" i="9"/>
  <c r="L237" i="9"/>
  <c r="M237" i="9"/>
  <c r="N237" i="9"/>
  <c r="S237" i="9"/>
  <c r="B238" i="9"/>
  <c r="D238" i="9"/>
  <c r="K238" i="9"/>
  <c r="L238" i="9"/>
  <c r="M238" i="9"/>
  <c r="N238" i="9"/>
  <c r="O238" i="9"/>
  <c r="S238" i="9" s="1"/>
  <c r="B239" i="9"/>
  <c r="D239" i="9"/>
  <c r="K239" i="9"/>
  <c r="L239" i="9"/>
  <c r="M239" i="9"/>
  <c r="N239" i="9"/>
  <c r="AB239" i="9" s="1"/>
  <c r="S239" i="9"/>
  <c r="B240" i="9"/>
  <c r="D240" i="9"/>
  <c r="K240" i="9"/>
  <c r="L240" i="9"/>
  <c r="M240" i="9"/>
  <c r="N240" i="9"/>
  <c r="S240" i="9"/>
  <c r="B241" i="9"/>
  <c r="D241" i="9"/>
  <c r="AV241" i="26"/>
  <c r="K241" i="9"/>
  <c r="L241" i="9"/>
  <c r="M241" i="9"/>
  <c r="N241" i="9"/>
  <c r="S241" i="9"/>
  <c r="B242" i="9"/>
  <c r="D242" i="9"/>
  <c r="E242" i="9"/>
  <c r="K242" i="9"/>
  <c r="L242" i="9"/>
  <c r="M242" i="9"/>
  <c r="N242" i="9"/>
  <c r="S242" i="9"/>
  <c r="B243" i="9"/>
  <c r="D243" i="9"/>
  <c r="K243" i="9"/>
  <c r="L243" i="9"/>
  <c r="M243" i="9"/>
  <c r="N243" i="9"/>
  <c r="O243" i="9"/>
  <c r="S243" i="9" s="1"/>
  <c r="B244" i="9"/>
  <c r="D244" i="9"/>
  <c r="K244" i="9"/>
  <c r="L244" i="9"/>
  <c r="M244" i="9"/>
  <c r="N244" i="9"/>
  <c r="S244" i="9"/>
  <c r="B245" i="9"/>
  <c r="S245" i="9"/>
  <c r="D245" i="9"/>
  <c r="K245" i="9"/>
  <c r="L245" i="9"/>
  <c r="M245" i="9"/>
  <c r="N245" i="9"/>
  <c r="B246" i="9"/>
  <c r="D246" i="9"/>
  <c r="K246" i="9"/>
  <c r="L246" i="9"/>
  <c r="M246" i="9"/>
  <c r="N246" i="9"/>
  <c r="S246" i="9"/>
  <c r="B247" i="9"/>
  <c r="D247" i="9"/>
  <c r="K247" i="9"/>
  <c r="L247" i="9"/>
  <c r="M247" i="9"/>
  <c r="N247" i="9"/>
  <c r="O247" i="9"/>
  <c r="S247" i="9" s="1"/>
  <c r="B248" i="9"/>
  <c r="D248" i="9"/>
  <c r="K248" i="9"/>
  <c r="L248" i="9"/>
  <c r="M248" i="9"/>
  <c r="N248" i="9"/>
  <c r="S248" i="9"/>
  <c r="B249" i="9"/>
  <c r="D249" i="9"/>
  <c r="K249" i="9"/>
  <c r="L249" i="9"/>
  <c r="M249" i="9"/>
  <c r="N249" i="9"/>
  <c r="S249" i="9"/>
  <c r="B250" i="9"/>
  <c r="D250" i="9"/>
  <c r="K250" i="9"/>
  <c r="L250" i="9"/>
  <c r="M250" i="9"/>
  <c r="N250" i="9"/>
  <c r="S250" i="9"/>
  <c r="B251" i="9"/>
  <c r="S251" i="9"/>
  <c r="D251" i="9"/>
  <c r="K251" i="9"/>
  <c r="L251" i="9"/>
  <c r="M251" i="9"/>
  <c r="N251" i="9"/>
  <c r="B252" i="9"/>
  <c r="D252" i="9"/>
  <c r="K252" i="9"/>
  <c r="L252" i="9"/>
  <c r="M252" i="9"/>
  <c r="N252" i="9"/>
  <c r="S252" i="9"/>
  <c r="B253" i="9"/>
  <c r="D253" i="9"/>
  <c r="E253" i="9"/>
  <c r="AV253" i="26"/>
  <c r="K253" i="9"/>
  <c r="L253" i="9"/>
  <c r="M253" i="9"/>
  <c r="N253" i="9"/>
  <c r="S253" i="9"/>
  <c r="B254" i="9"/>
  <c r="D254" i="9"/>
  <c r="K254" i="9"/>
  <c r="L254" i="9"/>
  <c r="M254" i="9"/>
  <c r="N254" i="9"/>
  <c r="S254" i="9"/>
  <c r="B255" i="9"/>
  <c r="D255" i="9"/>
  <c r="K255" i="9"/>
  <c r="L255" i="9"/>
  <c r="M255" i="9"/>
  <c r="N255" i="9"/>
  <c r="S255" i="9"/>
  <c r="B256" i="9"/>
  <c r="D256" i="9"/>
  <c r="E256" i="9"/>
  <c r="K256" i="9"/>
  <c r="L256" i="9"/>
  <c r="M256" i="9"/>
  <c r="N256" i="9"/>
  <c r="S256" i="9"/>
  <c r="B257" i="9"/>
  <c r="D257" i="9"/>
  <c r="E257" i="9"/>
  <c r="K257" i="9"/>
  <c r="L257" i="9"/>
  <c r="M257" i="9"/>
  <c r="N257" i="9"/>
  <c r="B258" i="9"/>
  <c r="D258" i="9"/>
  <c r="K258" i="9"/>
  <c r="L258" i="9"/>
  <c r="M258" i="9"/>
  <c r="N258" i="9"/>
  <c r="S258" i="9"/>
  <c r="B259" i="9"/>
  <c r="D259" i="9"/>
  <c r="K259" i="9"/>
  <c r="L259" i="9"/>
  <c r="M259" i="9"/>
  <c r="N259" i="9"/>
  <c r="S259" i="9"/>
  <c r="B260" i="9"/>
  <c r="D260" i="9"/>
  <c r="K260" i="9"/>
  <c r="L260" i="9"/>
  <c r="M260" i="9"/>
  <c r="N260" i="9"/>
  <c r="S260" i="9"/>
  <c r="B261" i="9"/>
  <c r="D261" i="9"/>
  <c r="K261" i="9"/>
  <c r="L261" i="9"/>
  <c r="M261" i="9"/>
  <c r="N261" i="9"/>
  <c r="S261" i="9"/>
  <c r="B262" i="9"/>
  <c r="D262" i="9"/>
  <c r="K262" i="9"/>
  <c r="L262" i="9"/>
  <c r="M262" i="9"/>
  <c r="N262" i="9"/>
  <c r="S262" i="9"/>
  <c r="B263" i="9"/>
  <c r="D263" i="9"/>
  <c r="K263" i="9"/>
  <c r="L263" i="9"/>
  <c r="M263" i="9"/>
  <c r="N263" i="9"/>
  <c r="B264" i="9"/>
  <c r="D264" i="9"/>
  <c r="E264" i="9"/>
  <c r="AV264" i="26"/>
  <c r="K264" i="9"/>
  <c r="L264" i="9"/>
  <c r="M264" i="9"/>
  <c r="N264" i="9"/>
  <c r="AB264" i="9" s="1"/>
  <c r="B265" i="9"/>
  <c r="D265" i="9"/>
  <c r="K265" i="9"/>
  <c r="L265" i="9"/>
  <c r="M265" i="9"/>
  <c r="N265" i="9"/>
  <c r="S265" i="9"/>
  <c r="B266" i="9"/>
  <c r="D266" i="9"/>
  <c r="K266" i="9"/>
  <c r="L266" i="9"/>
  <c r="M266" i="9"/>
  <c r="N266" i="9"/>
  <c r="S266" i="9"/>
  <c r="B267" i="9"/>
  <c r="D267" i="9"/>
  <c r="K267" i="9"/>
  <c r="L267" i="9"/>
  <c r="M267" i="9"/>
  <c r="N267" i="9"/>
  <c r="S267" i="9"/>
  <c r="B268" i="9"/>
  <c r="D268" i="9"/>
  <c r="AV268" i="26"/>
  <c r="K268" i="9"/>
  <c r="L268" i="9"/>
  <c r="M268" i="9"/>
  <c r="N268" i="9"/>
  <c r="B269" i="9"/>
  <c r="D269" i="9"/>
  <c r="E269" i="9"/>
  <c r="AV269" i="26"/>
  <c r="K269" i="9"/>
  <c r="L269" i="9"/>
  <c r="M269" i="9"/>
  <c r="N269" i="9"/>
  <c r="B270" i="9"/>
  <c r="D270" i="9"/>
  <c r="K270" i="9"/>
  <c r="L270" i="9"/>
  <c r="M270" i="9"/>
  <c r="N270" i="9"/>
  <c r="S270" i="9"/>
  <c r="B271" i="9"/>
  <c r="D271" i="9"/>
  <c r="K271" i="9"/>
  <c r="L271" i="9"/>
  <c r="M271" i="9"/>
  <c r="N271" i="9"/>
  <c r="S271" i="9"/>
  <c r="B272" i="9"/>
  <c r="D272" i="9"/>
  <c r="K272" i="9"/>
  <c r="L272" i="9"/>
  <c r="M272" i="9"/>
  <c r="N272" i="9"/>
  <c r="B273" i="9"/>
  <c r="D273" i="9"/>
  <c r="E273" i="9"/>
  <c r="AV273" i="26"/>
  <c r="K273" i="9"/>
  <c r="L273" i="9"/>
  <c r="M273" i="9"/>
  <c r="N273" i="9"/>
  <c r="S273" i="9"/>
  <c r="B274" i="9"/>
  <c r="D274" i="9"/>
  <c r="K274" i="9"/>
  <c r="L274" i="9"/>
  <c r="M274" i="9"/>
  <c r="N274" i="9"/>
  <c r="S274" i="9"/>
  <c r="B275" i="9"/>
  <c r="D275" i="9"/>
  <c r="K275" i="9"/>
  <c r="L275" i="9"/>
  <c r="M275" i="9"/>
  <c r="N275" i="9"/>
  <c r="S275" i="9"/>
  <c r="B276" i="9"/>
  <c r="D276" i="9"/>
  <c r="K276" i="9"/>
  <c r="L276" i="9"/>
  <c r="M276" i="9"/>
  <c r="N276" i="9"/>
  <c r="S276" i="9"/>
  <c r="B277" i="9"/>
  <c r="D277" i="9"/>
  <c r="E277" i="9"/>
  <c r="AV277" i="26"/>
  <c r="K277" i="9"/>
  <c r="L277" i="9"/>
  <c r="M277" i="9"/>
  <c r="N277" i="9"/>
  <c r="B278" i="9"/>
  <c r="D278" i="9"/>
  <c r="E278" i="9"/>
  <c r="K278" i="9"/>
  <c r="L278" i="9"/>
  <c r="M278" i="9"/>
  <c r="N278" i="9"/>
  <c r="S278" i="9"/>
  <c r="B279" i="9"/>
  <c r="D279" i="9"/>
  <c r="K279" i="9"/>
  <c r="L279" i="9"/>
  <c r="M279" i="9"/>
  <c r="N279" i="9"/>
  <c r="S279" i="9"/>
  <c r="B280" i="9"/>
  <c r="D280" i="9"/>
  <c r="K280" i="9"/>
  <c r="L280" i="9"/>
  <c r="M280" i="9"/>
  <c r="N280" i="9"/>
  <c r="S280" i="9"/>
  <c r="B281" i="9"/>
  <c r="D281" i="9"/>
  <c r="K281" i="9"/>
  <c r="L281" i="9"/>
  <c r="M281" i="9"/>
  <c r="N281" i="9"/>
  <c r="S281" i="9"/>
  <c r="B282" i="9"/>
  <c r="D282" i="9"/>
  <c r="K282" i="9"/>
  <c r="L282" i="9"/>
  <c r="M282" i="9"/>
  <c r="N282" i="9"/>
  <c r="S282" i="9"/>
  <c r="B283" i="9"/>
  <c r="D283" i="9"/>
  <c r="K283" i="9"/>
  <c r="L283" i="9"/>
  <c r="M283" i="9"/>
  <c r="N283" i="9"/>
  <c r="S283" i="9"/>
  <c r="B284" i="9"/>
  <c r="S284" i="9"/>
  <c r="D284" i="9"/>
  <c r="K284" i="9"/>
  <c r="L284" i="9"/>
  <c r="M284" i="9"/>
  <c r="N284" i="9"/>
  <c r="B285" i="9"/>
  <c r="D285" i="9"/>
  <c r="K285" i="9"/>
  <c r="L285" i="9"/>
  <c r="M285" i="9"/>
  <c r="N285" i="9"/>
  <c r="S285" i="9"/>
  <c r="B286" i="9"/>
  <c r="D286" i="9"/>
  <c r="K286" i="9"/>
  <c r="L286" i="9"/>
  <c r="M286" i="9"/>
  <c r="N286" i="9"/>
  <c r="S286" i="9"/>
  <c r="B287" i="9"/>
  <c r="D287" i="9"/>
  <c r="K287" i="9"/>
  <c r="L287" i="9"/>
  <c r="M287" i="9"/>
  <c r="N287" i="9"/>
  <c r="S287" i="9"/>
  <c r="B288" i="9"/>
  <c r="D288" i="9"/>
  <c r="AV288" i="26"/>
  <c r="K288" i="9"/>
  <c r="L288" i="9"/>
  <c r="M288" i="9"/>
  <c r="N288" i="9"/>
  <c r="S288" i="9"/>
  <c r="B289" i="9"/>
  <c r="D289" i="9"/>
  <c r="E289" i="9"/>
  <c r="AV289" i="26"/>
  <c r="K289" i="9"/>
  <c r="L289" i="9"/>
  <c r="M289" i="9"/>
  <c r="N289" i="9"/>
  <c r="S289" i="9"/>
  <c r="B290" i="9"/>
  <c r="D290" i="9"/>
  <c r="K290" i="9"/>
  <c r="L290" i="9"/>
  <c r="M290" i="9"/>
  <c r="N290" i="9"/>
  <c r="S290" i="9"/>
  <c r="B291" i="9"/>
  <c r="D291" i="9"/>
  <c r="K291" i="9"/>
  <c r="L291" i="9"/>
  <c r="M291" i="9"/>
  <c r="N291" i="9"/>
  <c r="S291" i="9"/>
  <c r="B292" i="9"/>
  <c r="D292" i="9"/>
  <c r="K292" i="9"/>
  <c r="L292" i="9"/>
  <c r="M292" i="9"/>
  <c r="N292" i="9"/>
  <c r="S292" i="9"/>
  <c r="B293" i="9"/>
  <c r="D293" i="9"/>
  <c r="K293" i="9"/>
  <c r="L293" i="9"/>
  <c r="M293" i="9"/>
  <c r="N293" i="9"/>
  <c r="S293" i="9"/>
  <c r="B294" i="9"/>
  <c r="D294" i="9"/>
  <c r="K294" i="9"/>
  <c r="L294" i="9"/>
  <c r="M294" i="9"/>
  <c r="N294" i="9"/>
  <c r="S294" i="9"/>
  <c r="B295" i="9"/>
  <c r="D295" i="9"/>
  <c r="K295" i="9"/>
  <c r="L295" i="9"/>
  <c r="M295" i="9"/>
  <c r="N295" i="9"/>
  <c r="S295" i="9"/>
  <c r="B296" i="9"/>
  <c r="D296" i="9"/>
  <c r="K296" i="9"/>
  <c r="L296" i="9"/>
  <c r="M296" i="9"/>
  <c r="N296" i="9"/>
  <c r="S296" i="9"/>
  <c r="B297" i="9"/>
  <c r="D297" i="9"/>
  <c r="K297" i="9"/>
  <c r="L297" i="9"/>
  <c r="M297" i="9"/>
  <c r="N297" i="9"/>
  <c r="S297" i="9"/>
  <c r="B298" i="9"/>
  <c r="D298" i="9"/>
  <c r="K298" i="9"/>
  <c r="L298" i="9"/>
  <c r="M298" i="9"/>
  <c r="N298" i="9"/>
  <c r="S298" i="9"/>
  <c r="B299" i="9"/>
  <c r="D299" i="9"/>
  <c r="E299" i="9"/>
  <c r="K299" i="9"/>
  <c r="L299" i="9"/>
  <c r="M299" i="9"/>
  <c r="N299" i="9"/>
  <c r="S299" i="9"/>
  <c r="B300" i="9"/>
  <c r="D300" i="9"/>
  <c r="K300" i="9"/>
  <c r="L300" i="9"/>
  <c r="M300" i="9"/>
  <c r="N300" i="9"/>
  <c r="S300" i="9"/>
  <c r="B301" i="9"/>
  <c r="D301" i="9"/>
  <c r="K301" i="9"/>
  <c r="L301" i="9"/>
  <c r="M301" i="9"/>
  <c r="N301" i="9"/>
  <c r="S301" i="9"/>
  <c r="B302" i="9"/>
  <c r="D302" i="9"/>
  <c r="E302" i="9"/>
  <c r="AV302" i="26"/>
  <c r="K302" i="9"/>
  <c r="L302" i="9"/>
  <c r="M302" i="9"/>
  <c r="N302" i="9"/>
  <c r="S302" i="9"/>
  <c r="B303" i="9"/>
  <c r="D303" i="9"/>
  <c r="K303" i="9"/>
  <c r="L303" i="9"/>
  <c r="M303" i="9"/>
  <c r="N303" i="9"/>
  <c r="S303" i="9"/>
  <c r="B304" i="9"/>
  <c r="D304" i="9"/>
  <c r="K304" i="9"/>
  <c r="L304" i="9"/>
  <c r="M304" i="9"/>
  <c r="N304" i="9"/>
  <c r="S304" i="9"/>
  <c r="B305" i="9"/>
  <c r="D305" i="9"/>
  <c r="K305" i="9"/>
  <c r="L305" i="9"/>
  <c r="M305" i="9"/>
  <c r="N305" i="9"/>
  <c r="S305" i="9"/>
  <c r="B306" i="9"/>
  <c r="D306" i="9"/>
  <c r="K306" i="9"/>
  <c r="L306" i="9"/>
  <c r="M306" i="9"/>
  <c r="N306" i="9"/>
  <c r="S306" i="9"/>
  <c r="B307" i="9"/>
  <c r="D307" i="9"/>
  <c r="K307" i="9"/>
  <c r="L307" i="9"/>
  <c r="M307" i="9"/>
  <c r="N307" i="9"/>
  <c r="S307" i="9"/>
  <c r="B308" i="9"/>
  <c r="D308" i="9"/>
  <c r="E308" i="9"/>
  <c r="AV308" i="26"/>
  <c r="K308" i="9"/>
  <c r="L308" i="9"/>
  <c r="M308" i="9"/>
  <c r="N308" i="9"/>
  <c r="S308" i="9"/>
  <c r="B309" i="9"/>
  <c r="D309" i="9"/>
  <c r="K309" i="9"/>
  <c r="L309" i="9"/>
  <c r="M309" i="9"/>
  <c r="N309" i="9"/>
  <c r="S309" i="9"/>
  <c r="B310" i="9"/>
  <c r="D310" i="9"/>
  <c r="K310" i="9"/>
  <c r="L310" i="9"/>
  <c r="M310" i="9"/>
  <c r="N310" i="9"/>
  <c r="S310" i="9"/>
  <c r="B311" i="9"/>
  <c r="D311" i="9"/>
  <c r="K311" i="9"/>
  <c r="L311" i="9"/>
  <c r="M311" i="9"/>
  <c r="N311" i="9"/>
  <c r="S311" i="9"/>
  <c r="B312" i="9"/>
  <c r="D312" i="9"/>
  <c r="E312" i="9"/>
  <c r="AV312" i="26"/>
  <c r="K312" i="9"/>
  <c r="L312" i="9"/>
  <c r="M312" i="9"/>
  <c r="N312" i="9"/>
  <c r="S312" i="9"/>
  <c r="B313" i="9"/>
  <c r="D313" i="9"/>
  <c r="K313" i="9"/>
  <c r="L313" i="9"/>
  <c r="M313" i="9"/>
  <c r="N313" i="9"/>
  <c r="S313" i="9"/>
  <c r="B314" i="9"/>
  <c r="D314" i="9"/>
  <c r="K314" i="9"/>
  <c r="L314" i="9"/>
  <c r="M314" i="9"/>
  <c r="N314" i="9"/>
  <c r="S314" i="9"/>
  <c r="B315" i="9"/>
  <c r="D315" i="9"/>
  <c r="E315" i="9"/>
  <c r="K315" i="9"/>
  <c r="L315" i="9"/>
  <c r="M315" i="9"/>
  <c r="N315" i="9"/>
  <c r="S315" i="9"/>
  <c r="B316" i="9"/>
  <c r="D316" i="9"/>
  <c r="K316" i="9"/>
  <c r="L316" i="9"/>
  <c r="M316" i="9"/>
  <c r="N316" i="9"/>
  <c r="S316" i="9"/>
  <c r="B317" i="9"/>
  <c r="D317" i="9"/>
  <c r="K317" i="9"/>
  <c r="L317" i="9"/>
  <c r="M317" i="9"/>
  <c r="N317" i="9"/>
  <c r="S317" i="9"/>
  <c r="B318" i="9"/>
  <c r="D318" i="9"/>
  <c r="E318" i="9"/>
  <c r="K318" i="9"/>
  <c r="L318" i="9"/>
  <c r="M318" i="9"/>
  <c r="N318" i="9"/>
  <c r="S318" i="9"/>
  <c r="B319" i="9"/>
  <c r="D319" i="9"/>
  <c r="K319" i="9"/>
  <c r="L319" i="9"/>
  <c r="M319" i="9"/>
  <c r="N319" i="9"/>
  <c r="S319" i="9"/>
  <c r="B320" i="9"/>
  <c r="D320" i="9"/>
  <c r="K320" i="9"/>
  <c r="L320" i="9"/>
  <c r="M320" i="9"/>
  <c r="N320" i="9"/>
  <c r="S320" i="9"/>
  <c r="B321" i="9"/>
  <c r="D321" i="9"/>
  <c r="K321" i="9"/>
  <c r="L321" i="9"/>
  <c r="M321" i="9"/>
  <c r="N321" i="9"/>
  <c r="S321" i="9"/>
  <c r="B322" i="9"/>
  <c r="D322" i="9"/>
  <c r="AV322" i="26"/>
  <c r="K322" i="9"/>
  <c r="L322" i="9"/>
  <c r="M322" i="9"/>
  <c r="N322" i="9"/>
  <c r="S322" i="9"/>
  <c r="B323" i="9"/>
  <c r="D323" i="9"/>
  <c r="E323" i="9"/>
  <c r="AV323" i="26"/>
  <c r="K323" i="9"/>
  <c r="L323" i="9"/>
  <c r="M323" i="9"/>
  <c r="N323" i="9"/>
  <c r="S323" i="9"/>
  <c r="B324" i="9"/>
  <c r="D324" i="9"/>
  <c r="E324" i="9"/>
  <c r="K324" i="9"/>
  <c r="L324" i="9"/>
  <c r="M324" i="9"/>
  <c r="N324" i="9"/>
  <c r="S324" i="9"/>
  <c r="B325" i="9"/>
  <c r="D325" i="9"/>
  <c r="E325" i="9"/>
  <c r="K325" i="9"/>
  <c r="L325" i="9"/>
  <c r="M325" i="9"/>
  <c r="N325" i="9"/>
  <c r="S325" i="9"/>
  <c r="B326" i="9"/>
  <c r="D326" i="9"/>
  <c r="K326" i="9"/>
  <c r="L326" i="9"/>
  <c r="M326" i="9"/>
  <c r="N326" i="9"/>
  <c r="S326" i="9"/>
  <c r="B327" i="9"/>
  <c r="D327" i="9"/>
  <c r="K327" i="9"/>
  <c r="L327" i="9"/>
  <c r="M327" i="9"/>
  <c r="N327" i="9"/>
  <c r="S327" i="9"/>
  <c r="B328" i="9"/>
  <c r="D328" i="9"/>
  <c r="K328" i="9"/>
  <c r="L328" i="9"/>
  <c r="M328" i="9"/>
  <c r="N328" i="9"/>
  <c r="S328" i="9"/>
  <c r="B329" i="9"/>
  <c r="D329" i="9"/>
  <c r="K329" i="9"/>
  <c r="L329" i="9"/>
  <c r="M329" i="9"/>
  <c r="N329" i="9"/>
  <c r="S329" i="9"/>
  <c r="B330" i="9"/>
  <c r="D330" i="9"/>
  <c r="K330" i="9"/>
  <c r="L330" i="9"/>
  <c r="M330" i="9"/>
  <c r="N330" i="9"/>
  <c r="S330" i="9"/>
  <c r="B331" i="9"/>
  <c r="D331" i="9"/>
  <c r="K331" i="9"/>
  <c r="L331" i="9"/>
  <c r="M331" i="9"/>
  <c r="N331" i="9"/>
  <c r="S331" i="9"/>
  <c r="B332" i="9"/>
  <c r="D332" i="9"/>
  <c r="E332" i="9"/>
  <c r="K332" i="9"/>
  <c r="L332" i="9"/>
  <c r="M332" i="9"/>
  <c r="N332" i="9"/>
  <c r="S332" i="9"/>
  <c r="B333" i="9"/>
  <c r="D333" i="9"/>
  <c r="K333" i="9"/>
  <c r="L333" i="9"/>
  <c r="M333" i="9"/>
  <c r="N333" i="9"/>
  <c r="S333" i="9"/>
  <c r="B334" i="9"/>
  <c r="D334" i="9"/>
  <c r="K334" i="9"/>
  <c r="L334" i="9"/>
  <c r="M334" i="9"/>
  <c r="N334" i="9"/>
  <c r="S334" i="9"/>
  <c r="B335" i="9"/>
  <c r="D335" i="9"/>
  <c r="K335" i="9"/>
  <c r="L335" i="9"/>
  <c r="M335" i="9"/>
  <c r="N335" i="9"/>
  <c r="S335" i="9"/>
  <c r="B336" i="9"/>
  <c r="D336" i="9"/>
  <c r="K336" i="9"/>
  <c r="L336" i="9"/>
  <c r="M336" i="9"/>
  <c r="N336" i="9"/>
  <c r="S336" i="9"/>
  <c r="B337" i="9"/>
  <c r="D337" i="9"/>
  <c r="K337" i="9"/>
  <c r="L337" i="9"/>
  <c r="M337" i="9"/>
  <c r="N337" i="9"/>
  <c r="S337" i="9"/>
  <c r="B338" i="9"/>
  <c r="D338" i="9"/>
  <c r="K338" i="9"/>
  <c r="L338" i="9"/>
  <c r="M338" i="9"/>
  <c r="N338" i="9"/>
  <c r="S338" i="9"/>
  <c r="B339" i="9"/>
  <c r="D339" i="9"/>
  <c r="E339" i="9"/>
  <c r="K339" i="9"/>
  <c r="L339" i="9"/>
  <c r="M339" i="9"/>
  <c r="N339" i="9"/>
  <c r="S339" i="9"/>
  <c r="B340" i="9"/>
  <c r="D340" i="9"/>
  <c r="K340" i="9"/>
  <c r="L340" i="9"/>
  <c r="M340" i="9"/>
  <c r="N340" i="9"/>
  <c r="S340" i="9"/>
  <c r="B341" i="9"/>
  <c r="D341" i="9"/>
  <c r="K341" i="9"/>
  <c r="L341" i="9"/>
  <c r="M341" i="9"/>
  <c r="N341" i="9"/>
  <c r="S341" i="9"/>
  <c r="B342" i="9"/>
  <c r="D342" i="9"/>
  <c r="K342" i="9"/>
  <c r="L342" i="9"/>
  <c r="M342" i="9"/>
  <c r="N342" i="9"/>
  <c r="S342" i="9"/>
  <c r="B343" i="9"/>
  <c r="D343" i="9"/>
  <c r="K343" i="9"/>
  <c r="L343" i="9"/>
  <c r="M343" i="9"/>
  <c r="N343" i="9"/>
  <c r="S343" i="9"/>
  <c r="B344" i="9"/>
  <c r="D344" i="9"/>
  <c r="K344" i="9"/>
  <c r="L344" i="9"/>
  <c r="M344" i="9"/>
  <c r="N344" i="9"/>
  <c r="S344" i="9"/>
  <c r="B345" i="9"/>
  <c r="D345" i="9"/>
  <c r="K345" i="9"/>
  <c r="L345" i="9"/>
  <c r="M345" i="9"/>
  <c r="N345" i="9"/>
  <c r="S345" i="9"/>
  <c r="B346" i="9"/>
  <c r="D346" i="9"/>
  <c r="E346" i="9"/>
  <c r="AV346" i="26"/>
  <c r="K346" i="9"/>
  <c r="L346" i="9"/>
  <c r="M346" i="9"/>
  <c r="N346" i="9"/>
  <c r="S346" i="9"/>
  <c r="B347" i="9"/>
  <c r="D347" i="9"/>
  <c r="K347" i="9"/>
  <c r="L347" i="9"/>
  <c r="M347" i="9"/>
  <c r="N347" i="9"/>
  <c r="S347" i="9"/>
  <c r="B348" i="9"/>
  <c r="D348" i="9"/>
  <c r="K348" i="9"/>
  <c r="L348" i="9"/>
  <c r="M348" i="9"/>
  <c r="N348" i="9"/>
  <c r="S348" i="9"/>
  <c r="B349" i="9"/>
  <c r="D349" i="9"/>
  <c r="K349" i="9"/>
  <c r="L349" i="9"/>
  <c r="M349" i="9"/>
  <c r="N349" i="9"/>
  <c r="S349" i="9"/>
  <c r="B350" i="9"/>
  <c r="D350" i="9"/>
  <c r="K350" i="9"/>
  <c r="L350" i="9"/>
  <c r="M350" i="9"/>
  <c r="N350" i="9"/>
  <c r="S350" i="9"/>
  <c r="B351" i="9"/>
  <c r="D351" i="9"/>
  <c r="K351" i="9"/>
  <c r="L351" i="9"/>
  <c r="M351" i="9"/>
  <c r="N351" i="9"/>
  <c r="S351" i="9"/>
  <c r="B352" i="9"/>
  <c r="D352" i="9"/>
  <c r="AV352" i="26"/>
  <c r="K352" i="9"/>
  <c r="L352" i="9"/>
  <c r="M352" i="9"/>
  <c r="N352" i="9"/>
  <c r="S352" i="9"/>
  <c r="B353" i="9"/>
  <c r="D353" i="9"/>
  <c r="E353" i="9"/>
  <c r="AV353" i="26"/>
  <c r="K353" i="9"/>
  <c r="L353" i="9"/>
  <c r="M353" i="9"/>
  <c r="N353" i="9"/>
  <c r="S353" i="9"/>
  <c r="B354" i="9"/>
  <c r="D354" i="9"/>
  <c r="K354" i="9"/>
  <c r="L354" i="9"/>
  <c r="M354" i="9"/>
  <c r="N354" i="9"/>
  <c r="S354" i="9"/>
  <c r="B355" i="9"/>
  <c r="D355" i="9"/>
  <c r="K355" i="9"/>
  <c r="L355" i="9"/>
  <c r="M355" i="9"/>
  <c r="N355" i="9"/>
  <c r="S355" i="9"/>
  <c r="B356" i="9"/>
  <c r="D356" i="9"/>
  <c r="K356" i="9"/>
  <c r="L356" i="9"/>
  <c r="M356" i="9"/>
  <c r="N356" i="9"/>
  <c r="S356" i="9"/>
  <c r="B357" i="9"/>
  <c r="D357" i="9"/>
  <c r="K357" i="9"/>
  <c r="L357" i="9"/>
  <c r="M357" i="9"/>
  <c r="N357" i="9"/>
  <c r="S357" i="9"/>
  <c r="B358" i="9"/>
  <c r="D358" i="9"/>
  <c r="K358" i="9"/>
  <c r="L358" i="9"/>
  <c r="M358" i="9"/>
  <c r="N358" i="9"/>
  <c r="S358" i="9"/>
  <c r="B359" i="9"/>
  <c r="D359" i="9"/>
  <c r="K359" i="9"/>
  <c r="L359" i="9"/>
  <c r="M359" i="9"/>
  <c r="N359" i="9"/>
  <c r="S359" i="9"/>
  <c r="B360" i="9"/>
  <c r="D360" i="9"/>
  <c r="E360" i="9"/>
  <c r="AV360" i="26"/>
  <c r="K360" i="9"/>
  <c r="L360" i="9"/>
  <c r="M360" i="9"/>
  <c r="N360" i="9"/>
  <c r="S360" i="9"/>
  <c r="B361" i="9"/>
  <c r="D361" i="9"/>
  <c r="K361" i="9"/>
  <c r="L361" i="9"/>
  <c r="M361" i="9"/>
  <c r="N361" i="9"/>
  <c r="S361" i="9"/>
  <c r="B362" i="9"/>
  <c r="D362" i="9"/>
  <c r="K362" i="9"/>
  <c r="L362" i="9"/>
  <c r="M362" i="9"/>
  <c r="N362" i="9"/>
  <c r="S362" i="9"/>
  <c r="B363" i="9"/>
  <c r="D363" i="9"/>
  <c r="K363" i="9"/>
  <c r="L363" i="9"/>
  <c r="M363" i="9"/>
  <c r="N363" i="9"/>
  <c r="S363" i="9"/>
  <c r="B364" i="9"/>
  <c r="D364" i="9"/>
  <c r="K364" i="9"/>
  <c r="L364" i="9"/>
  <c r="M364" i="9"/>
  <c r="N364" i="9"/>
  <c r="S364" i="9"/>
  <c r="B365" i="9"/>
  <c r="D365" i="9"/>
  <c r="K365" i="9"/>
  <c r="L365" i="9"/>
  <c r="M365" i="9"/>
  <c r="N365" i="9"/>
  <c r="S365" i="9"/>
  <c r="B366" i="9"/>
  <c r="D366" i="9"/>
  <c r="AV366" i="26"/>
  <c r="K366" i="9"/>
  <c r="L366" i="9"/>
  <c r="M366" i="9"/>
  <c r="N366" i="9"/>
  <c r="S366" i="9"/>
  <c r="B367" i="9"/>
  <c r="D367" i="9"/>
  <c r="E367" i="9"/>
  <c r="K367" i="9"/>
  <c r="L367" i="9"/>
  <c r="M367" i="9"/>
  <c r="N367" i="9"/>
  <c r="S367" i="9"/>
  <c r="B368" i="9"/>
  <c r="D368" i="9"/>
  <c r="K368" i="9"/>
  <c r="L368" i="9"/>
  <c r="M368" i="9"/>
  <c r="N368" i="9"/>
  <c r="S368" i="9"/>
  <c r="B369" i="9"/>
  <c r="D369" i="9"/>
  <c r="K369" i="9"/>
  <c r="L369" i="9"/>
  <c r="M369" i="9"/>
  <c r="N369" i="9"/>
  <c r="S369" i="9"/>
  <c r="B370" i="9"/>
  <c r="D370" i="9"/>
  <c r="K370" i="9"/>
  <c r="L370" i="9"/>
  <c r="M370" i="9"/>
  <c r="N370" i="9"/>
  <c r="S370" i="9"/>
  <c r="B371" i="9"/>
  <c r="D371" i="9"/>
  <c r="K371" i="9"/>
  <c r="L371" i="9"/>
  <c r="M371" i="9"/>
  <c r="N371" i="9"/>
  <c r="S371" i="9"/>
  <c r="B372" i="9"/>
  <c r="D372" i="9"/>
  <c r="K372" i="9"/>
  <c r="L372" i="9"/>
  <c r="M372" i="9"/>
  <c r="N372" i="9"/>
  <c r="S372" i="9"/>
  <c r="B373" i="9"/>
  <c r="D373" i="9"/>
  <c r="K373" i="9"/>
  <c r="L373" i="9"/>
  <c r="M373" i="9"/>
  <c r="N373" i="9"/>
  <c r="B374" i="9"/>
  <c r="D374" i="9"/>
  <c r="E374" i="9"/>
  <c r="K374" i="9"/>
  <c r="L374" i="9"/>
  <c r="M374" i="9"/>
  <c r="N374" i="9"/>
  <c r="S374" i="9"/>
  <c r="B375" i="9"/>
  <c r="D375" i="9"/>
  <c r="K375" i="9"/>
  <c r="L375" i="9"/>
  <c r="M375" i="9"/>
  <c r="N375" i="9"/>
  <c r="S375" i="9"/>
  <c r="B376" i="9"/>
  <c r="D376" i="9"/>
  <c r="K376" i="9"/>
  <c r="L376" i="9"/>
  <c r="M376" i="9"/>
  <c r="N376" i="9"/>
  <c r="S376" i="9"/>
  <c r="B377" i="9"/>
  <c r="D377" i="9"/>
  <c r="K377" i="9"/>
  <c r="L377" i="9"/>
  <c r="M377" i="9"/>
  <c r="N377" i="9"/>
  <c r="S377" i="9"/>
  <c r="B378" i="9"/>
  <c r="D378" i="9"/>
  <c r="K378" i="9"/>
  <c r="L378" i="9"/>
  <c r="M378" i="9"/>
  <c r="N378" i="9"/>
  <c r="S378" i="9"/>
  <c r="B379" i="9"/>
  <c r="X379" i="9" s="1"/>
  <c r="Y379" i="9" s="1"/>
  <c r="K379" i="9"/>
  <c r="L379" i="9"/>
  <c r="M379" i="9"/>
  <c r="N379" i="9"/>
  <c r="B380" i="9"/>
  <c r="D380" i="9"/>
  <c r="E380" i="9"/>
  <c r="AV380" i="26"/>
  <c r="K380" i="9"/>
  <c r="L380" i="9"/>
  <c r="M380" i="9"/>
  <c r="N380" i="9"/>
  <c r="S380" i="9"/>
  <c r="B381" i="9"/>
  <c r="D381" i="9"/>
  <c r="K381" i="9"/>
  <c r="L381" i="9"/>
  <c r="M381" i="9"/>
  <c r="N381" i="9"/>
  <c r="S381" i="9"/>
  <c r="B382" i="9"/>
  <c r="D382" i="9"/>
  <c r="K382" i="9"/>
  <c r="L382" i="9"/>
  <c r="M382" i="9"/>
  <c r="N382" i="9"/>
  <c r="S382" i="9"/>
  <c r="B383" i="9"/>
  <c r="D383" i="9"/>
  <c r="K383" i="9"/>
  <c r="L383" i="9"/>
  <c r="M383" i="9"/>
  <c r="N383" i="9"/>
  <c r="S383" i="9"/>
  <c r="B384" i="9"/>
  <c r="D384" i="9"/>
  <c r="K384" i="9"/>
  <c r="L384" i="9"/>
  <c r="M384" i="9"/>
  <c r="N384" i="9"/>
  <c r="S384" i="9"/>
  <c r="B385" i="9"/>
  <c r="K385" i="9"/>
  <c r="L385" i="9"/>
  <c r="M385" i="9"/>
  <c r="N385" i="9"/>
  <c r="B386" i="9"/>
  <c r="D386" i="9"/>
  <c r="K386" i="9"/>
  <c r="L386" i="9"/>
  <c r="M386" i="9"/>
  <c r="N386" i="9"/>
  <c r="S386" i="9"/>
  <c r="B387" i="9"/>
  <c r="D387" i="9"/>
  <c r="K387" i="9"/>
  <c r="L387" i="9"/>
  <c r="M387" i="9"/>
  <c r="N387" i="9"/>
  <c r="S387" i="9"/>
  <c r="B388" i="9"/>
  <c r="D388" i="9"/>
  <c r="K388" i="9"/>
  <c r="L388" i="9"/>
  <c r="M388" i="9"/>
  <c r="N388" i="9"/>
  <c r="S388" i="9"/>
  <c r="B389" i="9"/>
  <c r="D389" i="9"/>
  <c r="K389" i="9"/>
  <c r="L389" i="9"/>
  <c r="M389" i="9"/>
  <c r="N389" i="9"/>
  <c r="S389" i="9"/>
  <c r="B390" i="9"/>
  <c r="D390" i="9"/>
  <c r="E390" i="9"/>
  <c r="AV390" i="26"/>
  <c r="K390" i="9"/>
  <c r="L390" i="9"/>
  <c r="M390" i="9"/>
  <c r="N390" i="9"/>
  <c r="S390" i="9"/>
  <c r="L422" i="26"/>
  <c r="AF426" i="26"/>
  <c r="AA426" i="26"/>
  <c r="M425" i="26"/>
  <c r="J426" i="26"/>
  <c r="Y426" i="26"/>
  <c r="M426" i="26"/>
  <c r="S419" i="9"/>
  <c r="AA424" i="26"/>
  <c r="M423" i="26"/>
  <c r="J424" i="26"/>
  <c r="Y424" i="26"/>
  <c r="M424" i="26"/>
  <c r="S420" i="9"/>
  <c r="AF425" i="26"/>
  <c r="AL425" i="26" s="1"/>
  <c r="AA425" i="26"/>
  <c r="K425" i="26"/>
  <c r="Y425" i="26"/>
  <c r="S421" i="9"/>
  <c r="AF428" i="26"/>
  <c r="AA428" i="26"/>
  <c r="J428" i="26"/>
  <c r="Y428" i="26"/>
  <c r="M428" i="26"/>
  <c r="S422" i="9"/>
  <c r="AF430" i="26"/>
  <c r="AA430" i="26"/>
  <c r="M429" i="26"/>
  <c r="J430" i="26"/>
  <c r="Y430" i="26"/>
  <c r="M430" i="26"/>
  <c r="S423" i="9"/>
  <c r="AF431" i="26"/>
  <c r="AA431" i="26"/>
  <c r="J431" i="26"/>
  <c r="Y431" i="26"/>
  <c r="M431" i="26"/>
  <c r="S424" i="9"/>
  <c r="AF437" i="26"/>
  <c r="AA437" i="26"/>
  <c r="M436" i="26"/>
  <c r="J437" i="26"/>
  <c r="Y437" i="26"/>
  <c r="M437" i="26"/>
  <c r="S426" i="9"/>
  <c r="AF442" i="26"/>
  <c r="AL442" i="26" s="1"/>
  <c r="AA442" i="26"/>
  <c r="K442" i="26"/>
  <c r="Y442" i="26"/>
  <c r="M442" i="26"/>
  <c r="S428" i="9"/>
  <c r="L442" i="26"/>
  <c r="AF441" i="26"/>
  <c r="AA441" i="26"/>
  <c r="M440" i="26"/>
  <c r="J441" i="26"/>
  <c r="Y441" i="26"/>
  <c r="M441" i="26"/>
  <c r="S429" i="9"/>
  <c r="AF443" i="26"/>
  <c r="AA443" i="26"/>
  <c r="J443" i="26"/>
  <c r="Y443" i="26"/>
  <c r="M443" i="26"/>
  <c r="S430" i="9"/>
  <c r="AF444" i="26"/>
  <c r="AA444" i="26"/>
  <c r="J444" i="26"/>
  <c r="Y444" i="26"/>
  <c r="M444" i="26"/>
  <c r="S431" i="9"/>
  <c r="AF445" i="26"/>
  <c r="AA445" i="26"/>
  <c r="J445" i="26"/>
  <c r="Y445" i="26"/>
  <c r="M445" i="26"/>
  <c r="S432" i="9"/>
  <c r="AF447" i="26"/>
  <c r="AL447" i="26" s="1"/>
  <c r="AA447" i="26"/>
  <c r="K447" i="26"/>
  <c r="Y447" i="26"/>
  <c r="M447" i="26"/>
  <c r="S433" i="9"/>
  <c r="L447" i="26"/>
  <c r="AF448" i="26"/>
  <c r="AL448" i="26" s="1"/>
  <c r="AM448" i="26" s="1"/>
  <c r="AA448" i="26"/>
  <c r="K448" i="26"/>
  <c r="Y448" i="26"/>
  <c r="M448" i="26"/>
  <c r="S434" i="9"/>
  <c r="L448" i="26"/>
  <c r="AF449" i="26"/>
  <c r="AA449" i="26"/>
  <c r="J449" i="26"/>
  <c r="Y449" i="26"/>
  <c r="M449" i="26"/>
  <c r="S435" i="9"/>
  <c r="AF450" i="26"/>
  <c r="AL450" i="26" s="1"/>
  <c r="AM450" i="26" s="1"/>
  <c r="AA450" i="26"/>
  <c r="K450" i="26"/>
  <c r="Y450" i="26"/>
  <c r="M450" i="26"/>
  <c r="S436" i="9"/>
  <c r="L450" i="26"/>
  <c r="AF451" i="26"/>
  <c r="AA451" i="26"/>
  <c r="J451" i="26"/>
  <c r="Y451" i="26"/>
  <c r="M451" i="26"/>
  <c r="S437" i="9"/>
  <c r="AF453" i="26"/>
  <c r="AL453" i="26" s="1"/>
  <c r="AA453" i="26"/>
  <c r="K453" i="26"/>
  <c r="Y453" i="26"/>
  <c r="M453" i="26"/>
  <c r="S438" i="9"/>
  <c r="L453" i="26"/>
  <c r="AF455" i="26"/>
  <c r="AL455" i="26" s="1"/>
  <c r="AA455" i="26"/>
  <c r="K455" i="26"/>
  <c r="Y455" i="26"/>
  <c r="M455" i="26"/>
  <c r="S439" i="9"/>
  <c r="L455" i="26"/>
  <c r="AF457" i="26"/>
  <c r="AL457" i="26" s="1"/>
  <c r="AA457" i="26"/>
  <c r="K457" i="26"/>
  <c r="Y457" i="26"/>
  <c r="M457" i="26"/>
  <c r="S441" i="9"/>
  <c r="L457" i="26"/>
  <c r="AA458" i="26"/>
  <c r="Y458" i="26"/>
  <c r="M458" i="26"/>
  <c r="S442" i="9"/>
  <c r="AF459" i="26"/>
  <c r="AL459" i="26" s="1"/>
  <c r="AA459" i="26"/>
  <c r="K459" i="26"/>
  <c r="Y459" i="26"/>
  <c r="M459" i="26"/>
  <c r="S443" i="9"/>
  <c r="L459" i="26"/>
  <c r="AF460" i="26"/>
  <c r="AL460" i="26" s="1"/>
  <c r="AA460" i="26"/>
  <c r="K460" i="26"/>
  <c r="Y460" i="26"/>
  <c r="M460" i="26"/>
  <c r="S444" i="9"/>
  <c r="L460" i="26"/>
  <c r="AF461" i="26"/>
  <c r="AA461" i="26"/>
  <c r="Y461" i="26"/>
  <c r="M461" i="26"/>
  <c r="S445" i="9"/>
  <c r="AF463" i="26"/>
  <c r="AL463" i="26" s="1"/>
  <c r="AA463" i="26"/>
  <c r="K463" i="26"/>
  <c r="Y463" i="26"/>
  <c r="M463" i="26"/>
  <c r="S446" i="9"/>
  <c r="AF465" i="26"/>
  <c r="AL465" i="26" s="1"/>
  <c r="AA465" i="26"/>
  <c r="K465" i="26"/>
  <c r="Y465" i="26"/>
  <c r="M465" i="26"/>
  <c r="S447" i="9"/>
  <c r="L465" i="26"/>
  <c r="AF466" i="26"/>
  <c r="AL466" i="26" s="1"/>
  <c r="AA466" i="26"/>
  <c r="K466" i="26"/>
  <c r="Y466" i="26"/>
  <c r="M466" i="26"/>
  <c r="S448" i="9"/>
  <c r="L466" i="26"/>
  <c r="AF467" i="26"/>
  <c r="AL467" i="26" s="1"/>
  <c r="AA467" i="26"/>
  <c r="K467" i="26"/>
  <c r="Y467" i="26"/>
  <c r="M467" i="26"/>
  <c r="S449" i="9"/>
  <c r="L467" i="26"/>
  <c r="AF468" i="26"/>
  <c r="AL468" i="26" s="1"/>
  <c r="AA468" i="26"/>
  <c r="K468" i="26"/>
  <c r="Y468" i="26"/>
  <c r="M468" i="26"/>
  <c r="S450" i="9"/>
  <c r="L468" i="26"/>
  <c r="AF471" i="26"/>
  <c r="AA471" i="26"/>
  <c r="M470" i="26"/>
  <c r="Y471" i="26"/>
  <c r="M471" i="26"/>
  <c r="S451" i="9"/>
  <c r="AF473" i="26"/>
  <c r="AL473" i="26" s="1"/>
  <c r="AA473" i="26"/>
  <c r="K473" i="26"/>
  <c r="Y473" i="26"/>
  <c r="M473" i="26"/>
  <c r="S452" i="9"/>
  <c r="L473" i="26"/>
  <c r="AF474" i="26"/>
  <c r="AL474" i="26" s="1"/>
  <c r="AA474" i="26"/>
  <c r="K474" i="26"/>
  <c r="Y474" i="26"/>
  <c r="M474" i="26"/>
  <c r="S453" i="9"/>
  <c r="L474" i="26"/>
  <c r="AF475" i="26"/>
  <c r="AL475" i="26" s="1"/>
  <c r="AM475" i="26" s="1"/>
  <c r="AA475" i="26"/>
  <c r="K475" i="26"/>
  <c r="Y475" i="26"/>
  <c r="M475" i="26"/>
  <c r="S454" i="9"/>
  <c r="AF476" i="26"/>
  <c r="AA476" i="26"/>
  <c r="K476" i="26"/>
  <c r="Y476" i="26"/>
  <c r="M476" i="26"/>
  <c r="S455" i="9"/>
  <c r="AF477" i="26"/>
  <c r="AL477" i="26" s="1"/>
  <c r="AO477" i="26" s="1"/>
  <c r="AA477" i="26"/>
  <c r="K477" i="26"/>
  <c r="Y477" i="26"/>
  <c r="M477" i="26"/>
  <c r="S456" i="9"/>
  <c r="L477" i="26"/>
  <c r="AF478" i="26"/>
  <c r="AL478" i="26" s="1"/>
  <c r="AA478" i="26"/>
  <c r="K478" i="26"/>
  <c r="Y478" i="26"/>
  <c r="M478" i="26"/>
  <c r="S457" i="9"/>
  <c r="AF479" i="26"/>
  <c r="AL479" i="26" s="1"/>
  <c r="AA479" i="26"/>
  <c r="K479" i="26"/>
  <c r="Y479" i="26"/>
  <c r="M479" i="26"/>
  <c r="S458" i="9"/>
  <c r="L479" i="26"/>
  <c r="AF481" i="26"/>
  <c r="AL481" i="26" s="1"/>
  <c r="AM481" i="26" s="1"/>
  <c r="AA481" i="26"/>
  <c r="K481" i="26"/>
  <c r="Y481" i="26"/>
  <c r="M481" i="26"/>
  <c r="S459" i="9"/>
  <c r="AF482" i="26"/>
  <c r="AL482" i="26" s="1"/>
  <c r="AM482" i="26" s="1"/>
  <c r="AA482" i="26"/>
  <c r="K482" i="26"/>
  <c r="Y482" i="26"/>
  <c r="M482" i="26"/>
  <c r="S460" i="9"/>
  <c r="AF483" i="26"/>
  <c r="AL483" i="26" s="1"/>
  <c r="AA483" i="26"/>
  <c r="K483" i="26"/>
  <c r="Y483" i="26"/>
  <c r="M483" i="26"/>
  <c r="S461" i="9"/>
  <c r="AF485" i="26"/>
  <c r="AL485" i="26" s="1"/>
  <c r="AA485" i="26"/>
  <c r="K485" i="26"/>
  <c r="Y485" i="26"/>
  <c r="M485" i="26"/>
  <c r="S462" i="9"/>
  <c r="L485" i="26"/>
  <c r="AF486" i="26"/>
  <c r="AL486" i="26" s="1"/>
  <c r="AA486" i="26"/>
  <c r="K486" i="26"/>
  <c r="Y486" i="26"/>
  <c r="M486" i="26"/>
  <c r="S463" i="9"/>
  <c r="L486" i="26"/>
  <c r="AF487" i="26"/>
  <c r="AL487" i="26" s="1"/>
  <c r="AA487" i="26"/>
  <c r="K487" i="26"/>
  <c r="Y487" i="26"/>
  <c r="M487" i="26"/>
  <c r="S464" i="9"/>
  <c r="L487" i="26"/>
  <c r="AF488" i="26"/>
  <c r="AL488" i="26" s="1"/>
  <c r="AA488" i="26"/>
  <c r="K488" i="26"/>
  <c r="Y488" i="26"/>
  <c r="M488" i="26"/>
  <c r="S465" i="9"/>
  <c r="L488" i="26"/>
  <c r="AF489" i="26"/>
  <c r="AL489" i="26" s="1"/>
  <c r="AA489" i="26"/>
  <c r="K489" i="26"/>
  <c r="Y489" i="26"/>
  <c r="M489" i="26"/>
  <c r="S466" i="9"/>
  <c r="L489" i="26"/>
  <c r="AF490" i="26"/>
  <c r="AL490" i="26" s="1"/>
  <c r="AO490" i="26" s="1"/>
  <c r="AA490" i="26"/>
  <c r="J490" i="26"/>
  <c r="Y490" i="26"/>
  <c r="M490" i="26"/>
  <c r="S467" i="9"/>
  <c r="AF493" i="26"/>
  <c r="N493" i="26"/>
  <c r="AA493" i="26" s="1"/>
  <c r="M492" i="26"/>
  <c r="J493" i="26"/>
  <c r="Y493" i="26"/>
  <c r="M493" i="26"/>
  <c r="S468" i="9"/>
  <c r="AF495" i="26"/>
  <c r="N495" i="26"/>
  <c r="AA495" i="26" s="1"/>
  <c r="K495" i="26"/>
  <c r="Y495" i="26"/>
  <c r="M494" i="26"/>
  <c r="J495" i="26"/>
  <c r="M495" i="26"/>
  <c r="S469" i="9"/>
  <c r="AF504" i="26"/>
  <c r="N504" i="26"/>
  <c r="AA504" i="26" s="1"/>
  <c r="M503" i="26"/>
  <c r="J504" i="26"/>
  <c r="Y504" i="26"/>
  <c r="M504" i="26"/>
  <c r="S470" i="9"/>
  <c r="AF509" i="26"/>
  <c r="N509" i="26"/>
  <c r="AA509" i="26" s="1"/>
  <c r="M508" i="26"/>
  <c r="J509" i="26"/>
  <c r="Y509" i="26"/>
  <c r="M509" i="26"/>
  <c r="S471" i="9"/>
  <c r="AF514" i="26"/>
  <c r="N514" i="26"/>
  <c r="AA514" i="26" s="1"/>
  <c r="M513" i="26"/>
  <c r="J514" i="26"/>
  <c r="M514" i="26"/>
  <c r="S474" i="9"/>
  <c r="AF517" i="26"/>
  <c r="N517" i="26"/>
  <c r="AA517" i="26" s="1"/>
  <c r="M516" i="26"/>
  <c r="J517" i="26"/>
  <c r="Y517" i="26"/>
  <c r="M517" i="26"/>
  <c r="S475" i="9"/>
  <c r="AF518" i="26"/>
  <c r="N518" i="26"/>
  <c r="AA518" i="26" s="1"/>
  <c r="J518" i="26"/>
  <c r="Y518" i="26"/>
  <c r="M518" i="26"/>
  <c r="S476" i="9"/>
  <c r="AF519" i="26"/>
  <c r="N519" i="26"/>
  <c r="AA519" i="26" s="1"/>
  <c r="J519" i="26"/>
  <c r="Y519" i="26"/>
  <c r="M519" i="26"/>
  <c r="S477" i="9"/>
  <c r="AF522" i="26"/>
  <c r="AA522" i="26"/>
  <c r="M521" i="26"/>
  <c r="Y522" i="26"/>
  <c r="M522" i="26"/>
  <c r="S478" i="9"/>
  <c r="AF523" i="26"/>
  <c r="AA523" i="26"/>
  <c r="J523" i="26"/>
  <c r="Y523" i="26"/>
  <c r="M523" i="26"/>
  <c r="S479" i="9"/>
  <c r="AF524" i="26"/>
  <c r="AA524" i="26"/>
  <c r="J524" i="26"/>
  <c r="Y524" i="26"/>
  <c r="M524" i="26"/>
  <c r="S480" i="9"/>
  <c r="AF525" i="26"/>
  <c r="AA525" i="26"/>
  <c r="J525" i="26"/>
  <c r="Y525" i="26"/>
  <c r="M525" i="26"/>
  <c r="S481" i="9"/>
  <c r="AF526" i="26"/>
  <c r="AA526" i="26"/>
  <c r="J526" i="26"/>
  <c r="Y526" i="26"/>
  <c r="M526" i="26"/>
  <c r="S482" i="9"/>
  <c r="AF527" i="26"/>
  <c r="AA527" i="26"/>
  <c r="J527" i="26"/>
  <c r="Y527" i="26"/>
  <c r="M527" i="26"/>
  <c r="S483" i="9"/>
  <c r="AF528" i="26"/>
  <c r="AA528" i="26"/>
  <c r="J528" i="26"/>
  <c r="Y528" i="26"/>
  <c r="M528" i="26"/>
  <c r="S484" i="9"/>
  <c r="AF529" i="26"/>
  <c r="AA529" i="26"/>
  <c r="J529" i="26"/>
  <c r="Y529" i="26"/>
  <c r="M529" i="26"/>
  <c r="S485" i="9"/>
  <c r="AF530" i="26"/>
  <c r="AA530" i="26"/>
  <c r="J530" i="26"/>
  <c r="Y530" i="26"/>
  <c r="M530" i="26"/>
  <c r="S486" i="9"/>
  <c r="AF531" i="26"/>
  <c r="AA531" i="26"/>
  <c r="J531" i="26"/>
  <c r="Y531" i="26"/>
  <c r="M531" i="26"/>
  <c r="S487" i="9"/>
  <c r="AF532" i="26"/>
  <c r="AA532" i="26"/>
  <c r="J532" i="26"/>
  <c r="Y532" i="26"/>
  <c r="M532" i="26"/>
  <c r="S488" i="9"/>
  <c r="AF533" i="26"/>
  <c r="AA533" i="26"/>
  <c r="J533" i="26"/>
  <c r="Y533" i="26"/>
  <c r="M533" i="26"/>
  <c r="S489" i="9"/>
  <c r="AF534" i="26"/>
  <c r="AL534" i="26" s="1"/>
  <c r="AO534" i="26" s="1"/>
  <c r="AA534" i="26"/>
  <c r="J534" i="26"/>
  <c r="Y534" i="26"/>
  <c r="M534" i="26"/>
  <c r="S490" i="9"/>
  <c r="AF536" i="26"/>
  <c r="AA536" i="26"/>
  <c r="M535" i="26"/>
  <c r="J536" i="26"/>
  <c r="Y536" i="26"/>
  <c r="M536" i="26"/>
  <c r="S491" i="9"/>
  <c r="AF537" i="26"/>
  <c r="AA537" i="26"/>
  <c r="J537" i="26"/>
  <c r="Y537" i="26"/>
  <c r="M537" i="26"/>
  <c r="S492" i="9"/>
  <c r="AF538" i="26"/>
  <c r="AA538" i="26"/>
  <c r="J538" i="26"/>
  <c r="Y538" i="26"/>
  <c r="M538" i="26"/>
  <c r="S493" i="9"/>
  <c r="S412" i="6"/>
  <c r="AF415" i="26"/>
  <c r="AA415" i="26"/>
  <c r="J415" i="26"/>
  <c r="Y415" i="26"/>
  <c r="M415" i="26"/>
  <c r="S413" i="6"/>
  <c r="AF416" i="26"/>
  <c r="AA416" i="26"/>
  <c r="J416" i="26"/>
  <c r="Y416" i="26"/>
  <c r="S414" i="6"/>
  <c r="S415" i="6"/>
  <c r="S416" i="6"/>
  <c r="AF419" i="26"/>
  <c r="AA419" i="26"/>
  <c r="J419" i="26"/>
  <c r="Y419" i="26"/>
  <c r="S417" i="6"/>
  <c r="S418" i="6"/>
  <c r="AF421" i="26"/>
  <c r="AA421" i="26"/>
  <c r="J421" i="26"/>
  <c r="Y421" i="26"/>
  <c r="M421" i="26"/>
  <c r="S419" i="6"/>
  <c r="S420" i="6"/>
  <c r="AF423" i="26"/>
  <c r="AA423" i="26"/>
  <c r="J423" i="26"/>
  <c r="Y423" i="26"/>
  <c r="S421" i="6"/>
  <c r="S422" i="6"/>
  <c r="AF427" i="26"/>
  <c r="AA427" i="26"/>
  <c r="J427" i="26"/>
  <c r="Y427" i="26"/>
  <c r="M427" i="26"/>
  <c r="S423" i="6"/>
  <c r="AF429" i="26"/>
  <c r="AA429" i="26"/>
  <c r="J429" i="26"/>
  <c r="Y429" i="26"/>
  <c r="S424" i="6"/>
  <c r="S425" i="6"/>
  <c r="S426" i="6"/>
  <c r="AF432" i="26"/>
  <c r="AA432" i="26"/>
  <c r="J432" i="26"/>
  <c r="Y432" i="26"/>
  <c r="M432" i="26"/>
  <c r="S427" i="6"/>
  <c r="AF433" i="26"/>
  <c r="AA433" i="26"/>
  <c r="J433" i="26"/>
  <c r="Y433" i="26"/>
  <c r="M433" i="26"/>
  <c r="S428" i="6"/>
  <c r="AF434" i="26"/>
  <c r="AA434" i="26"/>
  <c r="J434" i="26"/>
  <c r="Y434" i="26"/>
  <c r="M434" i="26"/>
  <c r="S429" i="6"/>
  <c r="AF435" i="26"/>
  <c r="AA435" i="26"/>
  <c r="Y435" i="26"/>
  <c r="M435" i="26"/>
  <c r="S430" i="6"/>
  <c r="AF436" i="26"/>
  <c r="AA436" i="26"/>
  <c r="J436" i="26"/>
  <c r="Y436" i="26"/>
  <c r="S431" i="6"/>
  <c r="S432" i="6"/>
  <c r="AF438" i="26"/>
  <c r="AA438" i="26"/>
  <c r="J438" i="26"/>
  <c r="Y438" i="26"/>
  <c r="M438" i="26"/>
  <c r="S433" i="6"/>
  <c r="AF439" i="26"/>
  <c r="AA439" i="26"/>
  <c r="J439" i="26"/>
  <c r="Y439" i="26"/>
  <c r="M439" i="26"/>
  <c r="S434" i="6"/>
  <c r="AF440" i="26"/>
  <c r="AA440" i="26"/>
  <c r="J440" i="26"/>
  <c r="Y440" i="26"/>
  <c r="S435" i="6"/>
  <c r="S436" i="6"/>
  <c r="S437" i="6"/>
  <c r="S438" i="6"/>
  <c r="AF446" i="26"/>
  <c r="AL446" i="26" s="1"/>
  <c r="AO446" i="26" s="1"/>
  <c r="AA446" i="26"/>
  <c r="K446" i="26"/>
  <c r="Y446" i="26"/>
  <c r="M446" i="26"/>
  <c r="S439" i="6"/>
  <c r="L446" i="26"/>
  <c r="S440" i="6"/>
  <c r="S441" i="6"/>
  <c r="S442" i="6"/>
  <c r="S443" i="6"/>
  <c r="AF452" i="26"/>
  <c r="AA452" i="26"/>
  <c r="J452" i="26"/>
  <c r="Y452" i="26"/>
  <c r="M452" i="26"/>
  <c r="S444" i="6"/>
  <c r="AF454" i="26"/>
  <c r="AA454" i="26"/>
  <c r="J454" i="26"/>
  <c r="Y454" i="26"/>
  <c r="M454" i="26"/>
  <c r="S445" i="6"/>
  <c r="S446" i="6"/>
  <c r="AF456" i="26"/>
  <c r="AL456" i="26" s="1"/>
  <c r="AA456" i="26"/>
  <c r="Y456" i="26"/>
  <c r="M456" i="26"/>
  <c r="S447" i="6"/>
  <c r="S448" i="6"/>
  <c r="S450" i="6"/>
  <c r="AF462" i="26"/>
  <c r="AA462" i="26"/>
  <c r="J462" i="26"/>
  <c r="Y462" i="26"/>
  <c r="M462" i="26"/>
  <c r="S451" i="6"/>
  <c r="AF464" i="26"/>
  <c r="AL464" i="26" s="1"/>
  <c r="AM464" i="26" s="1"/>
  <c r="AA464" i="26"/>
  <c r="K464" i="26"/>
  <c r="Y464" i="26"/>
  <c r="M464" i="26"/>
  <c r="S453" i="6"/>
  <c r="L464" i="26"/>
  <c r="S454" i="6"/>
  <c r="S455" i="6"/>
  <c r="S456" i="6"/>
  <c r="S457" i="6"/>
  <c r="AF469" i="26"/>
  <c r="AL469" i="26" s="1"/>
  <c r="AA469" i="26"/>
  <c r="K469" i="26"/>
  <c r="Y469" i="26"/>
  <c r="M469" i="26"/>
  <c r="S458" i="6"/>
  <c r="AF470" i="26"/>
  <c r="AL470" i="26" s="1"/>
  <c r="AA470" i="26"/>
  <c r="K470" i="26"/>
  <c r="Y470" i="26"/>
  <c r="L470" i="26"/>
  <c r="AF472" i="26"/>
  <c r="AL472" i="26" s="1"/>
  <c r="AA472" i="26"/>
  <c r="J472" i="26"/>
  <c r="Y472" i="26"/>
  <c r="M472" i="26"/>
  <c r="S460" i="6"/>
  <c r="L472" i="26"/>
  <c r="S461" i="6"/>
  <c r="S462" i="6"/>
  <c r="S463" i="6"/>
  <c r="S464" i="6"/>
  <c r="AF480" i="26"/>
  <c r="AL480" i="26" s="1"/>
  <c r="AM480" i="26" s="1"/>
  <c r="AA480" i="26"/>
  <c r="K480" i="26"/>
  <c r="Y480" i="26"/>
  <c r="M480" i="26"/>
  <c r="S465" i="6"/>
  <c r="AF484" i="26"/>
  <c r="AA484" i="26"/>
  <c r="J484" i="26"/>
  <c r="Y484" i="26"/>
  <c r="M484" i="26"/>
  <c r="S466" i="6"/>
  <c r="S467" i="6"/>
  <c r="S468" i="6"/>
  <c r="S469" i="6"/>
  <c r="AF491" i="26"/>
  <c r="AL491" i="26" s="1"/>
  <c r="AA491" i="26"/>
  <c r="K491" i="26"/>
  <c r="Y491" i="26"/>
  <c r="M491" i="26"/>
  <c r="S470" i="6"/>
  <c r="AF492" i="26"/>
  <c r="AL492" i="26" s="1"/>
  <c r="AM492" i="26" s="1"/>
  <c r="AA492" i="26"/>
  <c r="K492" i="26"/>
  <c r="Y492" i="26"/>
  <c r="S471" i="6"/>
  <c r="AF494" i="26"/>
  <c r="N494" i="26"/>
  <c r="AA494" i="26" s="1"/>
  <c r="K494" i="26"/>
  <c r="Y494" i="26"/>
  <c r="J494" i="26"/>
  <c r="S472" i="6"/>
  <c r="S473" i="6"/>
  <c r="AF496" i="26"/>
  <c r="N496" i="26"/>
  <c r="AA496" i="26" s="1"/>
  <c r="K496" i="26"/>
  <c r="Y496" i="26"/>
  <c r="J496" i="26"/>
  <c r="M496" i="26"/>
  <c r="S474" i="6"/>
  <c r="AF497" i="26"/>
  <c r="N497" i="26"/>
  <c r="AA497" i="26" s="1"/>
  <c r="K497" i="26"/>
  <c r="Y497" i="26"/>
  <c r="M497" i="26"/>
  <c r="J497" i="26"/>
  <c r="S475" i="6"/>
  <c r="AF498" i="26"/>
  <c r="N498" i="26"/>
  <c r="AA498" i="26" s="1"/>
  <c r="K498" i="26"/>
  <c r="Y498" i="26"/>
  <c r="J498" i="26"/>
  <c r="M498" i="26"/>
  <c r="S476" i="6"/>
  <c r="AF499" i="26"/>
  <c r="N499" i="26"/>
  <c r="AA499" i="26" s="1"/>
  <c r="K499" i="26"/>
  <c r="Y499" i="26"/>
  <c r="J499" i="26"/>
  <c r="M499" i="26"/>
  <c r="S477" i="6"/>
  <c r="AF500" i="26"/>
  <c r="N500" i="26"/>
  <c r="AA500" i="26" s="1"/>
  <c r="K500" i="26"/>
  <c r="Y500" i="26"/>
  <c r="J500" i="26"/>
  <c r="M500" i="26"/>
  <c r="S478" i="6"/>
  <c r="AF501" i="26"/>
  <c r="N501" i="26"/>
  <c r="AA501" i="26" s="1"/>
  <c r="K501" i="26"/>
  <c r="Y501" i="26"/>
  <c r="M501" i="26"/>
  <c r="J501" i="26"/>
  <c r="S479" i="6"/>
  <c r="AF502" i="26"/>
  <c r="N502" i="26"/>
  <c r="AA502" i="26" s="1"/>
  <c r="J502" i="26"/>
  <c r="Y502" i="26"/>
  <c r="M502" i="26"/>
  <c r="S480" i="6"/>
  <c r="AF503" i="26"/>
  <c r="N503" i="26"/>
  <c r="AA503" i="26" s="1"/>
  <c r="J503" i="26"/>
  <c r="Y503" i="26"/>
  <c r="S481" i="6"/>
  <c r="AF505" i="26"/>
  <c r="N505" i="26"/>
  <c r="AA505" i="26" s="1"/>
  <c r="J505" i="26"/>
  <c r="Y505" i="26"/>
  <c r="M505" i="26"/>
  <c r="S482" i="6"/>
  <c r="AF506" i="26"/>
  <c r="N506" i="26"/>
  <c r="AA506" i="26" s="1"/>
  <c r="J506" i="26"/>
  <c r="Y506" i="26"/>
  <c r="M506" i="26"/>
  <c r="S483" i="6"/>
  <c r="AF507" i="26"/>
  <c r="N507" i="26"/>
  <c r="AA507" i="26" s="1"/>
  <c r="J507" i="26"/>
  <c r="Y507" i="26"/>
  <c r="M507" i="26"/>
  <c r="S484" i="6"/>
  <c r="AF508" i="26"/>
  <c r="N508" i="26"/>
  <c r="AA508" i="26" s="1"/>
  <c r="J508" i="26"/>
  <c r="Y508" i="26"/>
  <c r="S485" i="6"/>
  <c r="AF510" i="26"/>
  <c r="N510" i="26"/>
  <c r="AA510" i="26" s="1"/>
  <c r="J510" i="26"/>
  <c r="Y510" i="26"/>
  <c r="M510" i="26"/>
  <c r="S486" i="6"/>
  <c r="S487" i="6"/>
  <c r="AF511" i="26"/>
  <c r="N511" i="26"/>
  <c r="AA511" i="26" s="1"/>
  <c r="M511" i="26"/>
  <c r="S488" i="6"/>
  <c r="AF512" i="26"/>
  <c r="N512" i="26"/>
  <c r="AA512" i="26" s="1"/>
  <c r="J512" i="26"/>
  <c r="Y512" i="26"/>
  <c r="M512" i="26"/>
  <c r="S489" i="6"/>
  <c r="AF513" i="26"/>
  <c r="N513" i="26"/>
  <c r="AA513" i="26" s="1"/>
  <c r="Y513" i="26"/>
  <c r="S490" i="6"/>
  <c r="S491" i="6"/>
  <c r="AF515" i="26"/>
  <c r="N515" i="26"/>
  <c r="AA515" i="26" s="1"/>
  <c r="J515" i="26"/>
  <c r="Y515" i="26"/>
  <c r="M515" i="26"/>
  <c r="S492" i="6"/>
  <c r="AF516" i="26"/>
  <c r="N516" i="26"/>
  <c r="AA516" i="26" s="1"/>
  <c r="J516" i="26"/>
  <c r="Y516" i="26"/>
  <c r="S493" i="6"/>
  <c r="S494" i="6"/>
  <c r="AF521" i="26"/>
  <c r="N521" i="26"/>
  <c r="AA521" i="26" s="1"/>
  <c r="M520" i="26"/>
  <c r="J521" i="26"/>
  <c r="Y521" i="26"/>
  <c r="S495" i="6"/>
  <c r="S497" i="6"/>
  <c r="S498" i="6"/>
  <c r="S499" i="6"/>
  <c r="S500" i="6"/>
  <c r="S502" i="6"/>
  <c r="S503" i="6"/>
  <c r="AF535" i="26"/>
  <c r="AL535" i="26" s="1"/>
  <c r="AM535" i="26" s="1"/>
  <c r="AA535" i="26"/>
  <c r="K535" i="26"/>
  <c r="Y535" i="26"/>
  <c r="S504" i="6"/>
  <c r="S505" i="6"/>
  <c r="S506" i="6"/>
  <c r="S507" i="6"/>
  <c r="S410" i="26"/>
  <c r="N14" i="6"/>
  <c r="N15" i="6"/>
  <c r="N16" i="6"/>
  <c r="N17" i="6"/>
  <c r="N18" i="6"/>
  <c r="S19" i="6"/>
  <c r="S20" i="6"/>
  <c r="N21" i="6"/>
  <c r="N22" i="6"/>
  <c r="N23" i="6"/>
  <c r="N24" i="6"/>
  <c r="N25" i="6"/>
  <c r="N26" i="6"/>
  <c r="N27" i="6"/>
  <c r="N28" i="6"/>
  <c r="N29" i="6"/>
  <c r="N30" i="6"/>
  <c r="N31" i="6"/>
  <c r="S32" i="6"/>
  <c r="S33" i="6"/>
  <c r="N34" i="6"/>
  <c r="N35" i="6"/>
  <c r="N36" i="6"/>
  <c r="N37" i="6"/>
  <c r="S39" i="6"/>
  <c r="S40" i="6"/>
  <c r="N41" i="6"/>
  <c r="N42" i="6"/>
  <c r="N43" i="6"/>
  <c r="N44" i="6"/>
  <c r="S45" i="6"/>
  <c r="S46" i="6"/>
  <c r="S47" i="6"/>
  <c r="N48" i="6"/>
  <c r="N49" i="6"/>
  <c r="N50" i="6"/>
  <c r="S51" i="6"/>
  <c r="N52" i="6"/>
  <c r="N53" i="6"/>
  <c r="N54" i="6"/>
  <c r="S55" i="6"/>
  <c r="S56" i="6"/>
  <c r="N57" i="6"/>
  <c r="N58" i="6"/>
  <c r="N59" i="6"/>
  <c r="N60" i="6"/>
  <c r="N63" i="6"/>
  <c r="N64" i="6"/>
  <c r="S65" i="6"/>
  <c r="S66" i="6"/>
  <c r="S67" i="6"/>
  <c r="N68" i="6"/>
  <c r="N69" i="6"/>
  <c r="N70" i="6"/>
  <c r="N71" i="6"/>
  <c r="N72" i="6"/>
  <c r="N73" i="6"/>
  <c r="S75" i="6"/>
  <c r="S76" i="6"/>
  <c r="N77" i="6"/>
  <c r="N78" i="6"/>
  <c r="N79" i="6"/>
  <c r="N80" i="6"/>
  <c r="S83" i="6"/>
  <c r="S84" i="6"/>
  <c r="N85" i="6"/>
  <c r="N86" i="6"/>
  <c r="N87" i="6"/>
  <c r="N88" i="6"/>
  <c r="N89" i="6"/>
  <c r="N90" i="6"/>
  <c r="N91" i="6"/>
  <c r="N92" i="6"/>
  <c r="S96" i="6"/>
  <c r="S97" i="6"/>
  <c r="S98" i="6"/>
  <c r="N99" i="6"/>
  <c r="S100" i="6"/>
  <c r="N102" i="6"/>
  <c r="N103" i="6"/>
  <c r="S105" i="6"/>
  <c r="S106" i="6"/>
  <c r="N107" i="6"/>
  <c r="N108" i="6"/>
  <c r="N109" i="6"/>
  <c r="N110" i="6"/>
  <c r="N112" i="6"/>
  <c r="N113" i="6"/>
  <c r="N114" i="6"/>
  <c r="N115" i="6"/>
  <c r="N116" i="6"/>
  <c r="N117" i="6"/>
  <c r="S118" i="6"/>
  <c r="S119" i="6"/>
  <c r="N120" i="6"/>
  <c r="N121" i="6"/>
  <c r="N122" i="6"/>
  <c r="N123" i="6"/>
  <c r="S124" i="6"/>
  <c r="S125" i="6"/>
  <c r="S126" i="6"/>
  <c r="N127" i="6"/>
  <c r="N128" i="6"/>
  <c r="N129" i="6"/>
  <c r="S131" i="6"/>
  <c r="S132" i="6"/>
  <c r="N133" i="6"/>
  <c r="N134" i="6"/>
  <c r="N135" i="6"/>
  <c r="S136" i="6"/>
  <c r="S137" i="6"/>
  <c r="N138" i="6"/>
  <c r="N139" i="6"/>
  <c r="N140" i="6"/>
  <c r="S141" i="6"/>
  <c r="N142" i="6"/>
  <c r="S143" i="6"/>
  <c r="S144" i="6"/>
  <c r="S145" i="6"/>
  <c r="N146" i="6"/>
  <c r="N147" i="6"/>
  <c r="S148" i="6"/>
  <c r="S149" i="6"/>
  <c r="N150" i="6"/>
  <c r="N151" i="6"/>
  <c r="S152" i="6"/>
  <c r="S153" i="6"/>
  <c r="N154" i="6"/>
  <c r="N155" i="6"/>
  <c r="S156" i="6"/>
  <c r="N157" i="6"/>
  <c r="S158" i="6"/>
  <c r="S159" i="6"/>
  <c r="N160" i="6"/>
  <c r="N161" i="6"/>
  <c r="N162" i="6"/>
  <c r="S163" i="6"/>
  <c r="N165" i="6"/>
  <c r="S168" i="6"/>
  <c r="S169" i="6"/>
  <c r="N170" i="6"/>
  <c r="N172" i="6"/>
  <c r="S173" i="6"/>
  <c r="N174" i="6"/>
  <c r="N175" i="6"/>
  <c r="N176" i="6"/>
  <c r="S177" i="6"/>
  <c r="N178" i="6"/>
  <c r="N179" i="6"/>
  <c r="N180" i="6"/>
  <c r="N181" i="6"/>
  <c r="N182" i="6"/>
  <c r="N183" i="6"/>
  <c r="N184" i="6"/>
  <c r="N185" i="6"/>
  <c r="N186" i="6"/>
  <c r="S188" i="6"/>
  <c r="S189" i="6"/>
  <c r="N190" i="6"/>
  <c r="N191" i="6"/>
  <c r="N192" i="6"/>
  <c r="N193" i="6"/>
  <c r="N194" i="6"/>
  <c r="S195" i="6"/>
  <c r="S196" i="6"/>
  <c r="N197" i="6"/>
  <c r="N199" i="6"/>
  <c r="N200" i="6"/>
  <c r="N201" i="6"/>
  <c r="N202" i="6"/>
  <c r="N203" i="6"/>
  <c r="N204" i="6"/>
  <c r="S206" i="6"/>
  <c r="S207" i="6"/>
  <c r="N208" i="6"/>
  <c r="N209" i="6"/>
  <c r="S212" i="6"/>
  <c r="N213" i="6"/>
  <c r="N214" i="6"/>
  <c r="N215" i="6"/>
  <c r="S217" i="6"/>
  <c r="S218" i="6"/>
  <c r="S219" i="6"/>
  <c r="N220" i="6"/>
  <c r="N221" i="6"/>
  <c r="N223" i="6"/>
  <c r="N224" i="6"/>
  <c r="N225" i="6"/>
  <c r="N226" i="6"/>
  <c r="N227" i="6"/>
  <c r="N229" i="6"/>
  <c r="N230" i="6"/>
  <c r="N233" i="6"/>
  <c r="S235" i="6"/>
  <c r="S236" i="6"/>
  <c r="N237" i="6"/>
  <c r="N238" i="6"/>
  <c r="S241" i="6"/>
  <c r="S242" i="6"/>
  <c r="N243" i="6"/>
  <c r="N244" i="6"/>
  <c r="N245" i="6"/>
  <c r="N246" i="6"/>
  <c r="N247" i="6"/>
  <c r="N248" i="6"/>
  <c r="N249" i="6"/>
  <c r="N250" i="6"/>
  <c r="N251" i="6"/>
  <c r="S252" i="6"/>
  <c r="S253" i="6"/>
  <c r="N254" i="6"/>
  <c r="N255" i="6"/>
  <c r="S256" i="6"/>
  <c r="N258" i="6"/>
  <c r="N259" i="6"/>
  <c r="N260" i="6"/>
  <c r="N261" i="6"/>
  <c r="N262" i="6"/>
  <c r="N265" i="6"/>
  <c r="N266" i="6"/>
  <c r="N267" i="6"/>
  <c r="N270" i="6"/>
  <c r="N271" i="6"/>
  <c r="S273" i="6"/>
  <c r="N274" i="6"/>
  <c r="N275" i="6"/>
  <c r="N276" i="6"/>
  <c r="S277" i="6"/>
  <c r="S278" i="6"/>
  <c r="N279" i="6"/>
  <c r="N282" i="6"/>
  <c r="N283" i="6"/>
  <c r="N284" i="6"/>
  <c r="N285" i="6"/>
  <c r="N286" i="6"/>
  <c r="N287" i="6"/>
  <c r="S288" i="6"/>
  <c r="S289" i="6"/>
  <c r="N290" i="6"/>
  <c r="N292" i="6"/>
  <c r="N293" i="6"/>
  <c r="N294" i="6"/>
  <c r="N295" i="6"/>
  <c r="N296" i="6"/>
  <c r="S298" i="6"/>
  <c r="S299" i="6"/>
  <c r="N300" i="6"/>
  <c r="S301" i="6"/>
  <c r="S302" i="6"/>
  <c r="N303" i="6"/>
  <c r="N304" i="6"/>
  <c r="N305" i="6"/>
  <c r="S307" i="6"/>
  <c r="S308" i="6"/>
  <c r="N309" i="6"/>
  <c r="N310" i="6"/>
  <c r="S311" i="6"/>
  <c r="S312" i="6"/>
  <c r="N313" i="6"/>
  <c r="S314" i="6"/>
  <c r="S315" i="6"/>
  <c r="N316" i="6"/>
  <c r="S317" i="6"/>
  <c r="S318" i="6"/>
  <c r="N320" i="6"/>
  <c r="S322" i="6"/>
  <c r="S323" i="6"/>
  <c r="S324" i="6"/>
  <c r="S325" i="6"/>
  <c r="N326" i="6"/>
  <c r="N327" i="6"/>
  <c r="N328" i="6"/>
  <c r="N329" i="6"/>
  <c r="N330" i="6"/>
  <c r="S332" i="6"/>
  <c r="N333" i="6"/>
  <c r="N334" i="6"/>
  <c r="N335" i="6"/>
  <c r="N336" i="6"/>
  <c r="N337" i="6"/>
  <c r="S339" i="6"/>
  <c r="N340" i="6"/>
  <c r="S345" i="6"/>
  <c r="S346" i="6"/>
  <c r="S352" i="6"/>
  <c r="S353" i="6"/>
  <c r="N354" i="6"/>
  <c r="S359" i="6"/>
  <c r="S360" i="6"/>
  <c r="N361" i="6"/>
  <c r="N362" i="6"/>
  <c r="N363" i="6"/>
  <c r="S366" i="6"/>
  <c r="S367" i="6"/>
  <c r="N368" i="6"/>
  <c r="S373" i="6"/>
  <c r="S374" i="6"/>
  <c r="N375" i="6"/>
  <c r="N376" i="6"/>
  <c r="N377" i="6"/>
  <c r="S380" i="6"/>
  <c r="N381" i="6"/>
  <c r="N386" i="6"/>
  <c r="S390" i="6"/>
  <c r="S12" i="6"/>
  <c r="S13" i="6"/>
  <c r="M225" i="11"/>
  <c r="I308" i="11"/>
  <c r="I225" i="11"/>
  <c r="M7" i="26"/>
  <c r="F2" i="11" s="1"/>
  <c r="A2" i="29" s="1"/>
  <c r="I8" i="11"/>
  <c r="C8" i="29" s="1"/>
  <c r="I7" i="11"/>
  <c r="C7" i="29" s="1"/>
  <c r="D1212" i="10"/>
  <c r="F1212" i="10"/>
  <c r="AU812" i="10"/>
  <c r="D1213" i="10"/>
  <c r="F1213" i="10"/>
  <c r="G1213" i="10" s="1"/>
  <c r="AU813" i="10"/>
  <c r="D1214" i="10"/>
  <c r="AU814" i="10"/>
  <c r="D1215" i="10"/>
  <c r="AU815" i="10"/>
  <c r="D1216" i="10"/>
  <c r="AU816" i="10"/>
  <c r="D1217" i="10"/>
  <c r="AU817" i="10"/>
  <c r="D1218" i="10"/>
  <c r="AU818" i="10"/>
  <c r="D1219" i="10"/>
  <c r="AU819" i="10"/>
  <c r="D1220" i="10"/>
  <c r="F1220" i="10"/>
  <c r="AU820" i="10"/>
  <c r="D1221" i="10"/>
  <c r="AU821" i="10"/>
  <c r="D1222" i="10"/>
  <c r="AU822" i="10"/>
  <c r="D1223" i="10"/>
  <c r="AU823" i="10"/>
  <c r="D1224" i="10"/>
  <c r="AU824" i="10"/>
  <c r="D1225" i="10"/>
  <c r="AU825" i="10"/>
  <c r="D1226" i="10"/>
  <c r="AU826" i="10"/>
  <c r="D1227" i="10"/>
  <c r="AU827" i="10"/>
  <c r="D1228" i="10"/>
  <c r="AU828" i="10"/>
  <c r="D1229" i="10"/>
  <c r="AU829" i="10"/>
  <c r="D1230" i="10"/>
  <c r="AU830" i="10"/>
  <c r="D1231" i="10"/>
  <c r="AU831" i="10"/>
  <c r="D1232" i="10"/>
  <c r="AU832" i="10"/>
  <c r="D1233" i="10"/>
  <c r="F1233" i="10"/>
  <c r="AU833" i="10"/>
  <c r="D1234" i="10"/>
  <c r="AU834" i="10"/>
  <c r="D1235" i="10"/>
  <c r="AU835" i="10"/>
  <c r="D1236" i="10"/>
  <c r="AU836" i="10"/>
  <c r="D1237" i="10"/>
  <c r="AU837" i="10"/>
  <c r="D1238" i="10"/>
  <c r="AU838" i="10"/>
  <c r="D1239" i="10"/>
  <c r="AU839" i="10"/>
  <c r="D1240" i="10"/>
  <c r="F1240" i="10"/>
  <c r="AU840" i="10"/>
  <c r="D1241" i="10"/>
  <c r="AU841" i="10"/>
  <c r="D1242" i="10"/>
  <c r="AU842" i="10"/>
  <c r="D1243" i="10"/>
  <c r="AU843" i="10"/>
  <c r="D1244" i="10"/>
  <c r="AU844" i="10"/>
  <c r="D1245" i="10"/>
  <c r="AU845" i="10"/>
  <c r="D1246" i="10"/>
  <c r="F1246" i="10"/>
  <c r="AU846" i="10"/>
  <c r="D1247" i="10"/>
  <c r="F1247" i="10"/>
  <c r="G1247" i="10" s="1"/>
  <c r="AU847" i="10"/>
  <c r="D1248" i="10"/>
  <c r="AU848" i="10"/>
  <c r="D1249" i="10"/>
  <c r="AU849" i="10"/>
  <c r="D1250" i="10"/>
  <c r="AU850" i="10"/>
  <c r="D1251" i="10"/>
  <c r="F1251" i="10"/>
  <c r="AU851" i="10"/>
  <c r="D1252" i="10"/>
  <c r="AU852" i="10"/>
  <c r="D1253" i="10"/>
  <c r="AU853" i="10"/>
  <c r="D1254" i="10"/>
  <c r="AU854" i="10"/>
  <c r="D1255" i="10"/>
  <c r="AU855" i="10"/>
  <c r="D1256" i="10"/>
  <c r="F1256" i="10"/>
  <c r="AU856" i="10"/>
  <c r="D1257" i="10"/>
  <c r="AU857" i="10"/>
  <c r="D1258" i="10"/>
  <c r="AU858" i="10"/>
  <c r="D1259" i="10"/>
  <c r="AU859" i="10"/>
  <c r="D1260" i="10"/>
  <c r="AU860" i="10"/>
  <c r="D1261" i="10"/>
  <c r="AU861" i="10"/>
  <c r="D1262" i="10"/>
  <c r="AU862" i="10"/>
  <c r="D1263" i="10"/>
  <c r="AU863" i="10"/>
  <c r="D1264" i="10"/>
  <c r="AU864" i="10"/>
  <c r="D1265" i="10"/>
  <c r="AU865" i="10"/>
  <c r="D1266" i="10"/>
  <c r="F1266" i="10"/>
  <c r="G1266" i="10" s="1"/>
  <c r="AU866" i="10"/>
  <c r="D1267" i="10"/>
  <c r="F1267" i="10"/>
  <c r="G1267" i="10" s="1"/>
  <c r="AU867" i="10"/>
  <c r="D1268" i="10"/>
  <c r="AU868" i="10"/>
  <c r="D1269" i="10"/>
  <c r="AU869" i="10"/>
  <c r="D1270" i="10"/>
  <c r="AU870" i="10"/>
  <c r="D1271" i="10"/>
  <c r="AU871" i="10"/>
  <c r="D1272" i="10"/>
  <c r="AU872" i="10"/>
  <c r="D1273" i="10"/>
  <c r="AU873" i="10"/>
  <c r="D1274" i="10"/>
  <c r="AU874" i="10"/>
  <c r="D1275" i="10"/>
  <c r="AU875" i="10"/>
  <c r="D1276" i="10"/>
  <c r="F1276" i="10"/>
  <c r="G1276" i="10" s="1"/>
  <c r="AU876" i="10"/>
  <c r="D1277" i="10"/>
  <c r="AU877" i="10"/>
  <c r="D1278" i="10"/>
  <c r="AU878" i="10"/>
  <c r="D1279" i="10"/>
  <c r="AU879" i="10"/>
  <c r="D1280" i="10"/>
  <c r="AU880" i="10"/>
  <c r="D1281" i="10"/>
  <c r="AU881" i="10"/>
  <c r="D1282" i="10"/>
  <c r="AU882" i="10"/>
  <c r="D1283" i="10"/>
  <c r="AU883" i="10"/>
  <c r="D1284" i="10"/>
  <c r="F1284" i="10"/>
  <c r="AU884" i="10"/>
  <c r="D1285" i="10"/>
  <c r="AU885" i="10"/>
  <c r="D1286" i="10"/>
  <c r="AU886" i="10"/>
  <c r="D1287" i="10"/>
  <c r="AU887" i="10"/>
  <c r="D1288" i="10"/>
  <c r="AU888" i="10"/>
  <c r="D1289" i="10"/>
  <c r="AU889" i="10"/>
  <c r="D1290" i="10"/>
  <c r="AU890" i="10"/>
  <c r="D1291" i="10"/>
  <c r="AU891" i="10"/>
  <c r="D1292" i="10"/>
  <c r="AU892" i="10"/>
  <c r="D1293" i="10"/>
  <c r="AU893" i="10"/>
  <c r="D1294" i="10"/>
  <c r="AU894" i="10"/>
  <c r="D1295" i="10"/>
  <c r="AU895" i="10"/>
  <c r="D1296" i="10"/>
  <c r="AU896" i="10"/>
  <c r="D1297" i="10"/>
  <c r="F1297" i="10"/>
  <c r="G1297" i="10" s="1"/>
  <c r="AU897" i="10"/>
  <c r="D1298" i="10"/>
  <c r="F1298" i="10"/>
  <c r="G1298" i="10" s="1"/>
  <c r="AU898" i="10"/>
  <c r="D1299" i="10"/>
  <c r="AU899" i="10"/>
  <c r="D1300" i="10"/>
  <c r="F1300" i="10"/>
  <c r="G1300" i="10" s="1"/>
  <c r="AU900" i="10"/>
  <c r="D1301" i="10"/>
  <c r="AU901" i="10"/>
  <c r="D1302" i="10"/>
  <c r="AU902" i="10"/>
  <c r="D1303" i="10"/>
  <c r="AU903" i="10"/>
  <c r="D1304" i="10"/>
  <c r="AU904" i="10"/>
  <c r="D1305" i="10"/>
  <c r="AU905" i="10"/>
  <c r="D1306" i="10"/>
  <c r="F1306" i="10"/>
  <c r="G1306" i="10" s="1"/>
  <c r="AU906" i="10"/>
  <c r="D1307" i="10"/>
  <c r="AU907" i="10"/>
  <c r="D1308" i="10"/>
  <c r="AU908" i="10"/>
  <c r="D1309" i="10"/>
  <c r="AU909" i="10"/>
  <c r="D1310" i="10"/>
  <c r="AU910" i="10"/>
  <c r="D1311" i="10"/>
  <c r="AU911" i="10"/>
  <c r="D1312" i="10"/>
  <c r="AU912" i="10"/>
  <c r="D1313" i="10"/>
  <c r="AU913" i="10"/>
  <c r="D1314" i="10"/>
  <c r="AU914" i="10"/>
  <c r="D1315" i="10"/>
  <c r="AU915" i="10"/>
  <c r="D1316" i="10"/>
  <c r="AU916" i="10"/>
  <c r="D1317" i="10"/>
  <c r="AU917" i="10"/>
  <c r="D1318" i="10"/>
  <c r="AU918" i="10"/>
  <c r="D1319" i="10"/>
  <c r="F1319" i="10"/>
  <c r="G1319" i="10" s="1"/>
  <c r="AU919" i="10"/>
  <c r="D1320" i="10"/>
  <c r="AU920" i="10"/>
  <c r="D1321" i="10"/>
  <c r="AU921" i="10"/>
  <c r="D1322" i="10"/>
  <c r="AU922" i="10"/>
  <c r="D1323" i="10"/>
  <c r="AU923" i="10"/>
  <c r="D1324" i="10"/>
  <c r="AU924" i="10"/>
  <c r="D1325" i="10"/>
  <c r="F1325" i="10"/>
  <c r="G1325" i="10" s="1"/>
  <c r="AU925" i="10"/>
  <c r="D1326" i="10"/>
  <c r="F1326" i="10"/>
  <c r="G1326" i="10" s="1"/>
  <c r="AU926" i="10"/>
  <c r="D1327" i="10"/>
  <c r="AU927" i="10"/>
  <c r="D1328" i="10"/>
  <c r="AU928" i="10"/>
  <c r="D1329" i="10"/>
  <c r="AU929" i="10"/>
  <c r="D1330" i="10"/>
  <c r="AU930" i="10"/>
  <c r="D1331" i="10"/>
  <c r="AU931" i="10"/>
  <c r="D1332" i="10"/>
  <c r="F1332" i="10"/>
  <c r="G1332" i="10" s="1"/>
  <c r="AU932" i="10"/>
  <c r="D1333" i="10"/>
  <c r="AU933" i="10"/>
  <c r="D1334" i="10"/>
  <c r="AU934" i="10"/>
  <c r="D1335" i="10"/>
  <c r="AU935" i="10"/>
  <c r="D1336" i="10"/>
  <c r="AU936" i="10"/>
  <c r="D1337" i="10"/>
  <c r="F1337" i="10"/>
  <c r="AU937" i="10"/>
  <c r="D1338" i="10"/>
  <c r="AU938" i="10"/>
  <c r="D1339" i="10"/>
  <c r="AU939" i="10"/>
  <c r="D1340" i="10"/>
  <c r="AU940" i="10"/>
  <c r="D1341" i="10"/>
  <c r="AU941" i="10"/>
  <c r="D1342" i="10"/>
  <c r="AU942" i="10"/>
  <c r="D1343" i="10"/>
  <c r="F1343" i="10"/>
  <c r="G1343" i="10" s="1"/>
  <c r="AU943" i="10"/>
  <c r="D1344" i="10"/>
  <c r="F1344" i="10"/>
  <c r="G1344" i="10" s="1"/>
  <c r="AU944" i="10"/>
  <c r="D1345" i="10"/>
  <c r="F1345" i="10"/>
  <c r="G1345" i="10" s="1"/>
  <c r="AU945" i="10"/>
  <c r="D1346" i="10"/>
  <c r="AU946" i="10"/>
  <c r="D1347" i="10"/>
  <c r="AU947" i="10"/>
  <c r="D1348" i="10"/>
  <c r="AU948" i="10"/>
  <c r="D1349" i="10"/>
  <c r="F1349" i="10"/>
  <c r="G1349" i="10" s="1"/>
  <c r="AU949" i="10"/>
  <c r="D1350" i="10"/>
  <c r="AU950" i="10"/>
  <c r="D1351" i="10"/>
  <c r="AU951" i="10"/>
  <c r="D1352" i="10"/>
  <c r="AU952" i="10"/>
  <c r="D1353" i="10"/>
  <c r="F1353" i="10"/>
  <c r="G1353" i="10" s="1"/>
  <c r="AU953" i="10"/>
  <c r="D1354" i="10"/>
  <c r="AU954" i="10"/>
  <c r="D1355" i="10"/>
  <c r="AU955" i="10"/>
  <c r="D1356" i="10"/>
  <c r="AU956" i="10"/>
  <c r="D1357" i="10"/>
  <c r="AU957" i="10"/>
  <c r="D1358" i="10"/>
  <c r="F1358" i="10"/>
  <c r="G1358" i="10" s="1"/>
  <c r="AU958" i="10"/>
  <c r="D1359" i="10"/>
  <c r="F1359" i="10"/>
  <c r="G1359" i="10" s="1"/>
  <c r="AU959" i="10"/>
  <c r="D1360" i="10"/>
  <c r="AU960" i="10"/>
  <c r="D1361" i="10"/>
  <c r="AU961" i="10"/>
  <c r="D1362" i="10"/>
  <c r="AU962" i="10"/>
  <c r="D1363" i="10"/>
  <c r="AU963" i="10"/>
  <c r="D1364" i="10"/>
  <c r="AU964" i="10"/>
  <c r="D1365" i="10"/>
  <c r="AU965" i="10"/>
  <c r="D1366" i="10"/>
  <c r="AU966" i="10"/>
  <c r="D1367" i="10"/>
  <c r="AU967" i="10"/>
  <c r="D1368" i="10"/>
  <c r="AU968" i="10"/>
  <c r="D1369" i="10"/>
  <c r="F1369" i="10"/>
  <c r="G1369" i="10" s="1"/>
  <c r="AU969" i="10"/>
  <c r="D1370" i="10"/>
  <c r="AU970" i="10"/>
  <c r="D1371" i="10"/>
  <c r="AU971" i="10"/>
  <c r="D1372" i="10"/>
  <c r="AU972" i="10"/>
  <c r="D1373" i="10"/>
  <c r="AU973" i="10"/>
  <c r="D1374" i="10"/>
  <c r="AU974" i="10"/>
  <c r="D1375" i="10"/>
  <c r="AU975" i="10"/>
  <c r="D1376" i="10"/>
  <c r="AU976" i="10"/>
  <c r="D1377" i="10"/>
  <c r="F1377" i="10"/>
  <c r="AU977" i="10"/>
  <c r="D1378" i="10"/>
  <c r="AU978" i="10"/>
  <c r="D1379" i="10"/>
  <c r="AU979" i="10"/>
  <c r="D1380" i="10"/>
  <c r="AU980" i="10"/>
  <c r="D1381" i="10"/>
  <c r="AU981" i="10"/>
  <c r="D1382" i="10"/>
  <c r="AU982" i="10"/>
  <c r="D1383" i="10"/>
  <c r="AU983" i="10"/>
  <c r="D1384" i="10"/>
  <c r="AU984" i="10"/>
  <c r="D1385" i="10"/>
  <c r="AU985" i="10"/>
  <c r="D1386" i="10"/>
  <c r="AU986" i="10"/>
  <c r="D1387" i="10"/>
  <c r="AU987" i="10"/>
  <c r="D1388" i="10"/>
  <c r="AU988" i="10"/>
  <c r="D1389" i="10"/>
  <c r="F1389" i="10"/>
  <c r="G1389" i="10" s="1"/>
  <c r="AU989" i="10"/>
  <c r="D1390" i="10"/>
  <c r="AU990" i="10"/>
  <c r="D1391" i="10"/>
  <c r="AU991" i="10"/>
  <c r="D1392" i="10"/>
  <c r="AU992" i="10"/>
  <c r="D1393" i="10"/>
  <c r="AU993" i="10"/>
  <c r="D1394" i="10"/>
  <c r="AU994" i="10"/>
  <c r="D1395" i="10"/>
  <c r="AU995" i="10"/>
  <c r="D1396" i="10"/>
  <c r="F1396" i="10"/>
  <c r="AU996" i="10"/>
  <c r="D1397" i="10"/>
  <c r="AU997" i="10"/>
  <c r="D1398" i="10"/>
  <c r="AU998" i="10"/>
  <c r="D1399" i="10"/>
  <c r="AU999" i="10"/>
  <c r="D1400" i="10"/>
  <c r="AU1000" i="10"/>
  <c r="D1401" i="10"/>
  <c r="AU1001" i="10"/>
  <c r="D1402" i="10"/>
  <c r="AU1002" i="10"/>
  <c r="D1403" i="10"/>
  <c r="AU1003" i="10"/>
  <c r="D1404" i="10"/>
  <c r="AU1004" i="10"/>
  <c r="D1405" i="10"/>
  <c r="AU1005" i="10"/>
  <c r="D1406" i="10"/>
  <c r="AU1006" i="10"/>
  <c r="D1407" i="10"/>
  <c r="F1407" i="10"/>
  <c r="G1407" i="10" s="1"/>
  <c r="AU1007" i="10"/>
  <c r="D1408" i="10"/>
  <c r="AU1008" i="10"/>
  <c r="D1409" i="10"/>
  <c r="AU1009" i="10"/>
  <c r="D1410" i="10"/>
  <c r="AU1010" i="10"/>
  <c r="D1411" i="10"/>
  <c r="AU1011" i="10"/>
  <c r="D1412" i="10"/>
  <c r="F1412" i="10"/>
  <c r="AU1012" i="10"/>
  <c r="D1413" i="10"/>
  <c r="AU1013" i="10"/>
  <c r="D1414" i="10"/>
  <c r="AU1014" i="10"/>
  <c r="D1415" i="10"/>
  <c r="AU1015" i="10"/>
  <c r="D1416" i="10"/>
  <c r="AU1016" i="10"/>
  <c r="D1417" i="10"/>
  <c r="AU1017" i="10"/>
  <c r="D1418" i="10"/>
  <c r="F1418" i="10"/>
  <c r="G1418" i="10" s="1"/>
  <c r="AU1018" i="10"/>
  <c r="D1419" i="10"/>
  <c r="F1419" i="10"/>
  <c r="G1419" i="10" s="1"/>
  <c r="AU1019" i="10"/>
  <c r="D1420" i="10"/>
  <c r="AU1020" i="10"/>
  <c r="D1421" i="10"/>
  <c r="AU1021" i="10"/>
  <c r="D1422" i="10"/>
  <c r="AU1022" i="10"/>
  <c r="D1423" i="10"/>
  <c r="AU1023" i="10"/>
  <c r="D1424" i="10"/>
  <c r="AU1024" i="10"/>
  <c r="D1425" i="10"/>
  <c r="AU1025" i="10"/>
  <c r="D1426" i="10"/>
  <c r="AU1026" i="10"/>
  <c r="D1427" i="10"/>
  <c r="AU1027" i="10"/>
  <c r="D1428" i="10"/>
  <c r="AU1028" i="10"/>
  <c r="D1429" i="10"/>
  <c r="AU1029" i="10"/>
  <c r="D1430" i="10"/>
  <c r="AU1030" i="10"/>
  <c r="D1431" i="10"/>
  <c r="AU1031" i="10"/>
  <c r="D1432" i="10"/>
  <c r="AU1032" i="10"/>
  <c r="D1433" i="10"/>
  <c r="AU1033" i="10"/>
  <c r="D1434" i="10"/>
  <c r="AU1034" i="10"/>
  <c r="D1435" i="10"/>
  <c r="AU1035" i="10"/>
  <c r="D1436" i="10"/>
  <c r="F1436" i="10"/>
  <c r="G1436" i="10" s="1"/>
  <c r="AU1036" i="10"/>
  <c r="D1437" i="10"/>
  <c r="AU1037" i="10"/>
  <c r="D1438" i="10"/>
  <c r="AU1038" i="10"/>
  <c r="D1439" i="10"/>
  <c r="AU1039" i="10"/>
  <c r="D1440" i="10"/>
  <c r="AU1040" i="10"/>
  <c r="D1441" i="10"/>
  <c r="AU1041" i="10"/>
  <c r="D1442" i="10"/>
  <c r="F1442" i="10"/>
  <c r="AU1042" i="10"/>
  <c r="D1443" i="10"/>
  <c r="AU1043" i="10"/>
  <c r="D1444" i="10"/>
  <c r="AU1044" i="10"/>
  <c r="D1445" i="10"/>
  <c r="AU1045" i="10"/>
  <c r="D1446" i="10"/>
  <c r="AU1046" i="10"/>
  <c r="D1447" i="10"/>
  <c r="AU1047" i="10"/>
  <c r="D1448" i="10"/>
  <c r="AU1048" i="10"/>
  <c r="D1449" i="10"/>
  <c r="AU1049" i="10"/>
  <c r="D1450" i="10"/>
  <c r="AU1050" i="10"/>
  <c r="D1451" i="10"/>
  <c r="AU1051" i="10"/>
  <c r="D1452" i="10"/>
  <c r="AU1052" i="10"/>
  <c r="D1453" i="10"/>
  <c r="F1453" i="10"/>
  <c r="G1453" i="10" s="1"/>
  <c r="AU1053" i="10"/>
  <c r="D1454" i="10"/>
  <c r="AU1054" i="10"/>
  <c r="D1455" i="10"/>
  <c r="AU1055" i="10"/>
  <c r="D1456" i="10"/>
  <c r="F1456" i="10"/>
  <c r="AU1056" i="10"/>
  <c r="D1457" i="10"/>
  <c r="F1457" i="10"/>
  <c r="G1457" i="10" s="1"/>
  <c r="AU1057" i="10"/>
  <c r="D1458" i="10"/>
  <c r="AU1058" i="10"/>
  <c r="D1459" i="10"/>
  <c r="AU1059" i="10"/>
  <c r="D1460" i="10"/>
  <c r="AU1060" i="10"/>
  <c r="D1461" i="10"/>
  <c r="AU1061" i="10"/>
  <c r="D1462" i="10"/>
  <c r="AU1062" i="10"/>
  <c r="D1463" i="10"/>
  <c r="AU1063" i="10"/>
  <c r="D1464" i="10"/>
  <c r="F1464" i="10"/>
  <c r="G1464" i="10" s="1"/>
  <c r="AU1064" i="10"/>
  <c r="D1465" i="10"/>
  <c r="AU1065" i="10"/>
  <c r="D1466" i="10"/>
  <c r="AU1066" i="10"/>
  <c r="D1467" i="10"/>
  <c r="AU1067" i="10"/>
  <c r="D1468" i="10"/>
  <c r="AU1068" i="10"/>
  <c r="D1469" i="10"/>
  <c r="F1469" i="10"/>
  <c r="G1469" i="10" s="1"/>
  <c r="AU1069" i="10"/>
  <c r="D1470" i="10"/>
  <c r="AU1070" i="10"/>
  <c r="D1471" i="10"/>
  <c r="AU1071" i="10"/>
  <c r="D1472" i="10"/>
  <c r="AU1072" i="10"/>
  <c r="D1473" i="10"/>
  <c r="F1473" i="10"/>
  <c r="AU1073" i="10"/>
  <c r="D1474" i="10"/>
  <c r="AU1074" i="10"/>
  <c r="D1475" i="10"/>
  <c r="AU1075" i="10"/>
  <c r="D1476" i="10"/>
  <c r="AU1076" i="10"/>
  <c r="D1477" i="10"/>
  <c r="F1477" i="10"/>
  <c r="G1477" i="10" s="1"/>
  <c r="AU1077" i="10"/>
  <c r="D1478" i="10"/>
  <c r="F1478" i="10"/>
  <c r="G1478" i="10" s="1"/>
  <c r="AU1078" i="10"/>
  <c r="D1479" i="10"/>
  <c r="AU1079" i="10"/>
  <c r="D1480" i="10"/>
  <c r="AU1080" i="10"/>
  <c r="D1481" i="10"/>
  <c r="AU1081" i="10"/>
  <c r="D1482" i="10"/>
  <c r="AU1082" i="10"/>
  <c r="D1483" i="10"/>
  <c r="AU1083" i="10"/>
  <c r="D1484" i="10"/>
  <c r="AU1084" i="10"/>
  <c r="D1485" i="10"/>
  <c r="AU1085" i="10"/>
  <c r="D1486" i="10"/>
  <c r="AU1086" i="10"/>
  <c r="D1487" i="10"/>
  <c r="AU1087" i="10"/>
  <c r="D1488" i="10"/>
  <c r="AU1088" i="10"/>
  <c r="D1489" i="10"/>
  <c r="F1489" i="10"/>
  <c r="G1489" i="10" s="1"/>
  <c r="AU1089" i="10"/>
  <c r="D1490" i="10"/>
  <c r="AU1090" i="10"/>
  <c r="D1491" i="10"/>
  <c r="AU1091" i="10"/>
  <c r="D1492" i="10"/>
  <c r="AU1092" i="10"/>
  <c r="D1493" i="10"/>
  <c r="AU1093" i="10"/>
  <c r="D1494" i="10"/>
  <c r="AU1094" i="10"/>
  <c r="D1495" i="10"/>
  <c r="AU1095" i="10"/>
  <c r="D1496" i="10"/>
  <c r="AU1096" i="10"/>
  <c r="D1497" i="10"/>
  <c r="AU1097" i="10"/>
  <c r="D1498" i="10"/>
  <c r="AU1098" i="10"/>
  <c r="D1499" i="10"/>
  <c r="F1499" i="10"/>
  <c r="G1499" i="10" s="1"/>
  <c r="AU1099" i="10"/>
  <c r="D1500" i="10"/>
  <c r="AU1100" i="10"/>
  <c r="D1501" i="10"/>
  <c r="AU1101" i="10"/>
  <c r="D1502" i="10"/>
  <c r="F1502" i="10"/>
  <c r="AU1102" i="10"/>
  <c r="D1503" i="10"/>
  <c r="AU1103" i="10"/>
  <c r="D1504" i="10"/>
  <c r="AU1104" i="10"/>
  <c r="D1505" i="10"/>
  <c r="AU1105" i="10"/>
  <c r="D1506" i="10"/>
  <c r="AU1106" i="10"/>
  <c r="D1507" i="10"/>
  <c r="AU1107" i="10"/>
  <c r="D1508" i="10"/>
  <c r="F1508" i="10"/>
  <c r="G1508" i="10" s="1"/>
  <c r="AU1108" i="10"/>
  <c r="D1509" i="10"/>
  <c r="AU1109" i="10"/>
  <c r="D1510" i="10"/>
  <c r="AU1110" i="10"/>
  <c r="D1511" i="10"/>
  <c r="AU1111" i="10"/>
  <c r="D1512" i="10"/>
  <c r="F1512" i="10"/>
  <c r="G1512" i="10" s="1"/>
  <c r="AU1112" i="10"/>
  <c r="D1513" i="10"/>
  <c r="AU1113" i="10"/>
  <c r="D1514" i="10"/>
  <c r="AU1114" i="10"/>
  <c r="D1515" i="10"/>
  <c r="F1515" i="10"/>
  <c r="G1515" i="10" s="1"/>
  <c r="AU1115" i="10"/>
  <c r="D1516" i="10"/>
  <c r="AU1116" i="10"/>
  <c r="D1517" i="10"/>
  <c r="AU1117" i="10"/>
  <c r="D1518" i="10"/>
  <c r="F1518" i="10"/>
  <c r="AU1118" i="10"/>
  <c r="D1519" i="10"/>
  <c r="AU1119" i="10"/>
  <c r="D1520" i="10"/>
  <c r="AU1120" i="10"/>
  <c r="D1521" i="10"/>
  <c r="AU1121" i="10"/>
  <c r="D1522" i="10"/>
  <c r="AU1122" i="10"/>
  <c r="D1523" i="10"/>
  <c r="F1523" i="10"/>
  <c r="AU1123" i="10"/>
  <c r="D1524" i="10"/>
  <c r="F1524" i="10"/>
  <c r="G1524" i="10" s="1"/>
  <c r="AU1124" i="10"/>
  <c r="D1525" i="10"/>
  <c r="F1525" i="10"/>
  <c r="G1525" i="10" s="1"/>
  <c r="AU1125" i="10"/>
  <c r="D1526" i="10"/>
  <c r="AU1126" i="10"/>
  <c r="D1527" i="10"/>
  <c r="AU1127" i="10"/>
  <c r="D1528" i="10"/>
  <c r="AU1128" i="10"/>
  <c r="D1529" i="10"/>
  <c r="AU1129" i="10"/>
  <c r="D1530" i="10"/>
  <c r="AU1130" i="10"/>
  <c r="D1531" i="10"/>
  <c r="AU1131" i="10"/>
  <c r="D1532" i="10"/>
  <c r="F1532" i="10"/>
  <c r="G1532" i="10" s="1"/>
  <c r="AU1132" i="10"/>
  <c r="D1533" i="10"/>
  <c r="AU1133" i="10"/>
  <c r="D1534" i="10"/>
  <c r="AU1134" i="10"/>
  <c r="D1535" i="10"/>
  <c r="AU1135" i="10"/>
  <c r="D1536" i="10"/>
  <c r="AU1136" i="10"/>
  <c r="D1537" i="10"/>
  <c r="AU1137" i="10"/>
  <c r="D1538" i="10"/>
  <c r="AU1138" i="10"/>
  <c r="D1539" i="10"/>
  <c r="F1539" i="10"/>
  <c r="AU1139" i="10"/>
  <c r="D1540" i="10"/>
  <c r="AU1140" i="10"/>
  <c r="D1541" i="10"/>
  <c r="AU1141" i="10"/>
  <c r="D1542" i="10"/>
  <c r="AU1142" i="10"/>
  <c r="D1543" i="10"/>
  <c r="AU1143" i="10"/>
  <c r="D1544" i="10"/>
  <c r="AU1144" i="10"/>
  <c r="D1545" i="10"/>
  <c r="AU1145" i="10"/>
  <c r="D1546" i="10"/>
  <c r="F1546" i="10"/>
  <c r="G1546" i="10" s="1"/>
  <c r="AU1146" i="10"/>
  <c r="D1547" i="10"/>
  <c r="AU1147" i="10"/>
  <c r="D1548" i="10"/>
  <c r="AU1148" i="10"/>
  <c r="D1549" i="10"/>
  <c r="AU1149" i="10"/>
  <c r="D1550" i="10"/>
  <c r="AU1150" i="10"/>
  <c r="D1551" i="10"/>
  <c r="AU1151" i="10"/>
  <c r="D1552" i="10"/>
  <c r="AU1152" i="10"/>
  <c r="D1553" i="10"/>
  <c r="F1553" i="10"/>
  <c r="G1553" i="10" s="1"/>
  <c r="AU1153" i="10"/>
  <c r="D1554" i="10"/>
  <c r="AU1154" i="10"/>
  <c r="D1555" i="10"/>
  <c r="AU1155" i="10"/>
  <c r="D1556" i="10"/>
  <c r="AU1156" i="10"/>
  <c r="D1557" i="10"/>
  <c r="AU1157" i="10"/>
  <c r="D1558" i="10"/>
  <c r="AU1158" i="10"/>
  <c r="D1559" i="10"/>
  <c r="AU1159" i="10"/>
  <c r="D1560" i="10"/>
  <c r="F1560" i="10"/>
  <c r="G1560" i="10" s="1"/>
  <c r="AU1160" i="10"/>
  <c r="D1561" i="10"/>
  <c r="AU1161" i="10"/>
  <c r="D1562" i="10"/>
  <c r="AU1162" i="10"/>
  <c r="D1563" i="10"/>
  <c r="AU1163" i="10"/>
  <c r="D1564" i="10"/>
  <c r="AU1164" i="10"/>
  <c r="D1565" i="10"/>
  <c r="AU1165" i="10"/>
  <c r="D1566" i="10"/>
  <c r="AU1166" i="10"/>
  <c r="D1567" i="10"/>
  <c r="F1567" i="10"/>
  <c r="AU1167" i="10"/>
  <c r="D1568" i="10"/>
  <c r="W368" i="26"/>
  <c r="F1568" i="10" s="1"/>
  <c r="AU1168" i="10"/>
  <c r="D1569" i="10"/>
  <c r="AU1169" i="10"/>
  <c r="D1570" i="10"/>
  <c r="AU1170" i="10"/>
  <c r="D1571" i="10"/>
  <c r="AU1171" i="10"/>
  <c r="D1572" i="10"/>
  <c r="AU1172" i="10"/>
  <c r="D1573" i="10"/>
  <c r="AU1173" i="10"/>
  <c r="D1574" i="10"/>
  <c r="F1574" i="10"/>
  <c r="AU1174" i="10"/>
  <c r="D1575" i="10"/>
  <c r="AU1175" i="10"/>
  <c r="D1576" i="10"/>
  <c r="AU1176" i="10"/>
  <c r="D1577" i="10"/>
  <c r="AU1177" i="10"/>
  <c r="D1578" i="10"/>
  <c r="AU1178" i="10"/>
  <c r="D1579" i="10"/>
  <c r="AU1179" i="10"/>
  <c r="D1580" i="10"/>
  <c r="F1580" i="10"/>
  <c r="G1580" i="10" s="1"/>
  <c r="AU1180" i="10"/>
  <c r="D1581" i="10"/>
  <c r="AU1181" i="10"/>
  <c r="D1582" i="10"/>
  <c r="AU1182" i="10"/>
  <c r="D1583" i="10"/>
  <c r="AU1183" i="10"/>
  <c r="D1584" i="10"/>
  <c r="AU1184" i="10"/>
  <c r="D1585" i="10"/>
  <c r="AU1185" i="10"/>
  <c r="D1586" i="10"/>
  <c r="AU1186" i="10"/>
  <c r="D1587" i="10"/>
  <c r="AU1187" i="10"/>
  <c r="D1588" i="10"/>
  <c r="AU1188" i="10"/>
  <c r="D1589" i="10"/>
  <c r="AU1189" i="10"/>
  <c r="D1590" i="10"/>
  <c r="F1590" i="10"/>
  <c r="AU1190" i="10"/>
  <c r="F1591" i="10"/>
  <c r="L1191" i="10"/>
  <c r="L1591" i="10" s="1"/>
  <c r="M1191" i="10"/>
  <c r="M1591" i="10" s="1"/>
  <c r="O1191" i="10"/>
  <c r="O1591" i="10" s="1"/>
  <c r="P1191" i="10"/>
  <c r="P1591" i="10" s="1"/>
  <c r="Q1191" i="10"/>
  <c r="Q1591" i="10" s="1"/>
  <c r="R1191" i="10"/>
  <c r="R1591" i="10" s="1"/>
  <c r="S1191" i="10"/>
  <c r="S1591" i="10" s="1"/>
  <c r="T1191" i="10"/>
  <c r="T1591" i="10" s="1"/>
  <c r="U1191" i="10"/>
  <c r="U1591" i="10" s="1"/>
  <c r="V1191" i="10"/>
  <c r="V1591" i="10" s="1"/>
  <c r="W1191" i="10"/>
  <c r="W1591" i="10" s="1"/>
  <c r="X1191" i="10"/>
  <c r="X1591" i="10" s="1"/>
  <c r="Y1191" i="10"/>
  <c r="Y1591" i="10" s="1"/>
  <c r="Z1191" i="10"/>
  <c r="Z1591" i="10" s="1"/>
  <c r="AA1191" i="10"/>
  <c r="AA1591" i="10" s="1"/>
  <c r="AB1191" i="10"/>
  <c r="AB1591" i="10" s="1"/>
  <c r="AC1191" i="10"/>
  <c r="AC1591" i="10" s="1"/>
  <c r="AD1191" i="10"/>
  <c r="AD1591" i="10" s="1"/>
  <c r="AE1191" i="10"/>
  <c r="AE1591" i="10" s="1"/>
  <c r="AF1191" i="10"/>
  <c r="AF1591" i="10" s="1"/>
  <c r="AG1191" i="10"/>
  <c r="AG1591" i="10" s="1"/>
  <c r="AH1191" i="10"/>
  <c r="AH1591" i="10" s="1"/>
  <c r="AI1191" i="10"/>
  <c r="AI1591" i="10" s="1"/>
  <c r="AJ1191" i="10"/>
  <c r="AJ1591" i="10" s="1"/>
  <c r="AK1191" i="10"/>
  <c r="AK1591" i="10" s="1"/>
  <c r="AL1191" i="10"/>
  <c r="AL1591" i="10" s="1"/>
  <c r="AM1191" i="10"/>
  <c r="AM1591" i="10" s="1"/>
  <c r="AN1191" i="10"/>
  <c r="AN1591" i="10" s="1"/>
  <c r="AO1191" i="10"/>
  <c r="AO1591" i="10" s="1"/>
  <c r="AP1191" i="10"/>
  <c r="AP1591" i="10" s="1"/>
  <c r="AQ1191" i="10"/>
  <c r="AQ1591" i="10" s="1"/>
  <c r="AR1191" i="10"/>
  <c r="AR1591" i="10" s="1"/>
  <c r="AS1191" i="10"/>
  <c r="AS1591" i="10" s="1"/>
  <c r="AT1191" i="10"/>
  <c r="AT1591" i="10" s="1"/>
  <c r="AU1191" i="10"/>
  <c r="AU1591" i="10" s="1"/>
  <c r="AV1191" i="10"/>
  <c r="AV1591" i="10" s="1"/>
  <c r="AW1191" i="10"/>
  <c r="AW1591" i="10" s="1"/>
  <c r="AX1191" i="10"/>
  <c r="AX1591" i="10" s="1"/>
  <c r="AY1191" i="10"/>
  <c r="AY1591" i="10" s="1"/>
  <c r="C1575" i="10"/>
  <c r="C1533" i="10"/>
  <c r="E1575" i="10"/>
  <c r="E1533" i="10"/>
  <c r="C1212" i="10"/>
  <c r="C1213" i="10"/>
  <c r="C1214" i="10"/>
  <c r="C1215" i="10"/>
  <c r="E1212" i="10"/>
  <c r="E1213" i="10"/>
  <c r="E1214" i="10"/>
  <c r="E1215" i="10"/>
  <c r="C1216" i="10"/>
  <c r="E1216" i="10"/>
  <c r="C1217" i="10"/>
  <c r="E1217" i="10"/>
  <c r="C1218" i="10"/>
  <c r="E1218" i="10"/>
  <c r="C1219" i="10"/>
  <c r="E1219" i="10"/>
  <c r="C1220" i="10"/>
  <c r="E1220" i="10"/>
  <c r="C1221" i="10"/>
  <c r="E1221" i="10"/>
  <c r="C1222" i="10"/>
  <c r="E1222" i="10"/>
  <c r="C1223" i="10"/>
  <c r="E1223" i="10"/>
  <c r="C1224" i="10"/>
  <c r="E1224" i="10"/>
  <c r="C1225" i="10"/>
  <c r="E1225" i="10"/>
  <c r="C1226" i="10"/>
  <c r="E1226" i="10"/>
  <c r="C1227" i="10"/>
  <c r="E1227" i="10"/>
  <c r="C1228" i="10"/>
  <c r="E1228" i="10"/>
  <c r="C1229" i="10"/>
  <c r="E1229" i="10"/>
  <c r="C1230" i="10"/>
  <c r="E1230" i="10"/>
  <c r="C1231" i="10"/>
  <c r="E1231" i="10"/>
  <c r="C1232" i="10"/>
  <c r="E1232" i="10"/>
  <c r="C1233" i="10"/>
  <c r="E1233" i="10"/>
  <c r="C1234" i="10"/>
  <c r="E1234" i="10"/>
  <c r="C1235" i="10"/>
  <c r="E1235" i="10"/>
  <c r="C1236" i="10"/>
  <c r="E1236" i="10"/>
  <c r="C1237" i="10"/>
  <c r="E1237" i="10"/>
  <c r="C1238" i="10"/>
  <c r="E1238" i="10"/>
  <c r="C1239" i="10"/>
  <c r="E1239" i="10"/>
  <c r="C1240" i="10"/>
  <c r="E1240" i="10"/>
  <c r="C1241" i="10"/>
  <c r="E1241" i="10"/>
  <c r="C1242" i="10"/>
  <c r="E1242" i="10"/>
  <c r="C1243" i="10"/>
  <c r="E1243" i="10"/>
  <c r="C1244" i="10"/>
  <c r="E1244" i="10"/>
  <c r="C1245" i="10"/>
  <c r="E1245" i="10"/>
  <c r="C1246" i="10"/>
  <c r="E1246" i="10"/>
  <c r="C1247" i="10"/>
  <c r="E1247" i="10"/>
  <c r="C1248" i="10"/>
  <c r="E1248" i="10"/>
  <c r="C1249" i="10"/>
  <c r="E1249" i="10"/>
  <c r="C1250" i="10"/>
  <c r="E1250" i="10"/>
  <c r="C1251" i="10"/>
  <c r="E1251" i="10"/>
  <c r="C1252" i="10"/>
  <c r="E1252" i="10"/>
  <c r="C1253" i="10"/>
  <c r="E1253" i="10"/>
  <c r="C1254" i="10"/>
  <c r="E1254" i="10"/>
  <c r="C1255" i="10"/>
  <c r="E1255" i="10"/>
  <c r="C1256" i="10"/>
  <c r="E1256" i="10"/>
  <c r="C1257" i="10"/>
  <c r="E1257" i="10"/>
  <c r="C1258" i="10"/>
  <c r="E1258" i="10"/>
  <c r="C1259" i="10"/>
  <c r="E1259" i="10"/>
  <c r="C1260" i="10"/>
  <c r="E1260" i="10"/>
  <c r="C1261" i="10"/>
  <c r="E1261" i="10"/>
  <c r="C1262" i="10"/>
  <c r="E1262" i="10"/>
  <c r="C1263" i="10"/>
  <c r="E1263" i="10"/>
  <c r="C1264" i="10"/>
  <c r="E1264" i="10"/>
  <c r="C1265" i="10"/>
  <c r="E1265" i="10"/>
  <c r="C1266" i="10"/>
  <c r="E1266" i="10"/>
  <c r="C1267" i="10"/>
  <c r="E1267" i="10"/>
  <c r="C1268" i="10"/>
  <c r="E1268" i="10"/>
  <c r="C1269" i="10"/>
  <c r="E1269" i="10"/>
  <c r="C1270" i="10"/>
  <c r="E1270" i="10"/>
  <c r="C1271" i="10"/>
  <c r="E1271" i="10"/>
  <c r="C1272" i="10"/>
  <c r="E1272" i="10"/>
  <c r="C1273" i="10"/>
  <c r="E1273" i="10"/>
  <c r="C1274" i="10"/>
  <c r="E1274" i="10"/>
  <c r="C1275" i="10"/>
  <c r="E1275" i="10"/>
  <c r="C1276" i="10"/>
  <c r="E1276" i="10"/>
  <c r="C1277" i="10"/>
  <c r="E1277" i="10"/>
  <c r="C1278" i="10"/>
  <c r="E1278" i="10"/>
  <c r="C1279" i="10"/>
  <c r="E1279" i="10"/>
  <c r="C1280" i="10"/>
  <c r="E1280" i="10"/>
  <c r="C1281" i="10"/>
  <c r="E1281" i="10"/>
  <c r="C1282" i="10"/>
  <c r="E1282" i="10"/>
  <c r="C1283" i="10"/>
  <c r="E1283" i="10"/>
  <c r="C1284" i="10"/>
  <c r="E1284" i="10"/>
  <c r="C1285" i="10"/>
  <c r="E1285" i="10"/>
  <c r="C1286" i="10"/>
  <c r="E1286" i="10"/>
  <c r="C1287" i="10"/>
  <c r="E1287" i="10"/>
  <c r="C1288" i="10"/>
  <c r="E1288" i="10"/>
  <c r="C1289" i="10"/>
  <c r="E1289" i="10"/>
  <c r="C1290" i="10"/>
  <c r="E1290" i="10"/>
  <c r="C1291" i="10"/>
  <c r="E1291" i="10"/>
  <c r="C1292" i="10"/>
  <c r="E1292" i="10"/>
  <c r="C1293" i="10"/>
  <c r="E1293" i="10"/>
  <c r="C1294" i="10"/>
  <c r="E1294" i="10"/>
  <c r="C1295" i="10"/>
  <c r="E1295" i="10"/>
  <c r="C1296" i="10"/>
  <c r="E1296" i="10"/>
  <c r="C1297" i="10"/>
  <c r="E1297" i="10"/>
  <c r="C1298" i="10"/>
  <c r="E1298" i="10"/>
  <c r="C1299" i="10"/>
  <c r="E1299" i="10"/>
  <c r="C1300" i="10"/>
  <c r="E1300" i="10"/>
  <c r="C1301" i="10"/>
  <c r="E1301" i="10"/>
  <c r="C1302" i="10"/>
  <c r="E1302" i="10"/>
  <c r="C1303" i="10"/>
  <c r="E1303" i="10"/>
  <c r="C1304" i="10"/>
  <c r="E1304" i="10"/>
  <c r="C1305" i="10"/>
  <c r="E1305" i="10"/>
  <c r="C1306" i="10"/>
  <c r="E1306" i="10"/>
  <c r="C1307" i="10"/>
  <c r="E1307" i="10"/>
  <c r="C1308" i="10"/>
  <c r="E1308" i="10"/>
  <c r="C1309" i="10"/>
  <c r="E1309" i="10"/>
  <c r="C1310" i="10"/>
  <c r="E1310" i="10"/>
  <c r="C1311" i="10"/>
  <c r="E1311" i="10"/>
  <c r="C1312" i="10"/>
  <c r="E1312" i="10"/>
  <c r="C1313" i="10"/>
  <c r="E1313" i="10"/>
  <c r="C1314" i="10"/>
  <c r="E1314" i="10"/>
  <c r="C1315" i="10"/>
  <c r="E1315" i="10"/>
  <c r="C1316" i="10"/>
  <c r="E1316" i="10"/>
  <c r="C1317" i="10"/>
  <c r="E1317" i="10"/>
  <c r="C1318" i="10"/>
  <c r="E1318" i="10"/>
  <c r="C1319" i="10"/>
  <c r="E1319" i="10"/>
  <c r="C1320" i="10"/>
  <c r="E1320" i="10"/>
  <c r="C1321" i="10"/>
  <c r="E1321" i="10"/>
  <c r="C1322" i="10"/>
  <c r="E1322" i="10"/>
  <c r="C1323" i="10"/>
  <c r="E1323" i="10"/>
  <c r="C1324" i="10"/>
  <c r="E1324" i="10"/>
  <c r="C1325" i="10"/>
  <c r="E1325" i="10"/>
  <c r="C1326" i="10"/>
  <c r="E1326" i="10"/>
  <c r="C1327" i="10"/>
  <c r="E1327" i="10"/>
  <c r="C1328" i="10"/>
  <c r="E1328" i="10"/>
  <c r="C1329" i="10"/>
  <c r="E1329" i="10"/>
  <c r="C1330" i="10"/>
  <c r="E1330" i="10"/>
  <c r="C1331" i="10"/>
  <c r="E1331" i="10"/>
  <c r="C1332" i="10"/>
  <c r="E1332" i="10"/>
  <c r="C1333" i="10"/>
  <c r="E1333" i="10"/>
  <c r="C1334" i="10"/>
  <c r="E1334" i="10"/>
  <c r="C1335" i="10"/>
  <c r="E1335" i="10"/>
  <c r="C1336" i="10"/>
  <c r="E1336" i="10"/>
  <c r="C1337" i="10"/>
  <c r="E1337" i="10"/>
  <c r="C1338" i="10"/>
  <c r="E1338" i="10"/>
  <c r="C1339" i="10"/>
  <c r="E1339" i="10"/>
  <c r="C1340" i="10"/>
  <c r="E1340" i="10"/>
  <c r="C1341" i="10"/>
  <c r="E1341" i="10"/>
  <c r="C1342" i="10"/>
  <c r="E1342" i="10"/>
  <c r="C1343" i="10"/>
  <c r="E1343" i="10"/>
  <c r="C1344" i="10"/>
  <c r="E1344" i="10"/>
  <c r="C1345" i="10"/>
  <c r="E1345" i="10"/>
  <c r="C1346" i="10"/>
  <c r="E1346" i="10"/>
  <c r="C1347" i="10"/>
  <c r="E1347" i="10"/>
  <c r="C1348" i="10"/>
  <c r="E1348" i="10"/>
  <c r="C1349" i="10"/>
  <c r="E1349" i="10"/>
  <c r="C1350" i="10"/>
  <c r="E1350" i="10"/>
  <c r="C1351" i="10"/>
  <c r="E1351" i="10"/>
  <c r="C1352" i="10"/>
  <c r="E1352" i="10"/>
  <c r="C1353" i="10"/>
  <c r="E1353" i="10"/>
  <c r="C1354" i="10"/>
  <c r="E1354" i="10"/>
  <c r="C1355" i="10"/>
  <c r="E1355" i="10"/>
  <c r="C1356" i="10"/>
  <c r="E1356" i="10"/>
  <c r="C1357" i="10"/>
  <c r="E1357" i="10"/>
  <c r="C1358" i="10"/>
  <c r="E1358" i="10"/>
  <c r="C1359" i="10"/>
  <c r="E1359" i="10"/>
  <c r="C1360" i="10"/>
  <c r="E1360" i="10"/>
  <c r="C1361" i="10"/>
  <c r="E1361" i="10"/>
  <c r="C1362" i="10"/>
  <c r="E1362" i="10"/>
  <c r="C1363" i="10"/>
  <c r="E1363" i="10"/>
  <c r="C1364" i="10"/>
  <c r="E1364" i="10"/>
  <c r="C1365" i="10"/>
  <c r="E1365" i="10"/>
  <c r="C1366" i="10"/>
  <c r="E1366" i="10"/>
  <c r="C1367" i="10"/>
  <c r="E1367" i="10"/>
  <c r="C1368" i="10"/>
  <c r="E1368" i="10"/>
  <c r="C1369" i="10"/>
  <c r="E1369" i="10"/>
  <c r="C1370" i="10"/>
  <c r="E1370" i="10"/>
  <c r="C1371" i="10"/>
  <c r="E1371" i="10"/>
  <c r="C1372" i="10"/>
  <c r="E1372" i="10"/>
  <c r="C1373" i="10"/>
  <c r="E1373" i="10"/>
  <c r="C1374" i="10"/>
  <c r="E1374" i="10"/>
  <c r="C1375" i="10"/>
  <c r="E1375" i="10"/>
  <c r="C1376" i="10"/>
  <c r="E1376" i="10"/>
  <c r="C1377" i="10"/>
  <c r="E1377" i="10"/>
  <c r="C1378" i="10"/>
  <c r="E1378" i="10"/>
  <c r="C1379" i="10"/>
  <c r="E1379" i="10"/>
  <c r="C1380" i="10"/>
  <c r="E1380" i="10"/>
  <c r="C1381" i="10"/>
  <c r="E1381" i="10"/>
  <c r="C1382" i="10"/>
  <c r="E1382" i="10"/>
  <c r="C1383" i="10"/>
  <c r="E1383" i="10"/>
  <c r="C1384" i="10"/>
  <c r="E1384" i="10"/>
  <c r="C1385" i="10"/>
  <c r="E1385" i="10"/>
  <c r="C1386" i="10"/>
  <c r="E1386" i="10"/>
  <c r="C1387" i="10"/>
  <c r="E1387" i="10"/>
  <c r="C1388" i="10"/>
  <c r="E1388" i="10"/>
  <c r="C1389" i="10"/>
  <c r="E1389" i="10"/>
  <c r="C1390" i="10"/>
  <c r="E1390" i="10"/>
  <c r="C1391" i="10"/>
  <c r="E1391" i="10"/>
  <c r="C1392" i="10"/>
  <c r="E1392" i="10"/>
  <c r="C1393" i="10"/>
  <c r="E1393" i="10"/>
  <c r="C1394" i="10"/>
  <c r="E1394" i="10"/>
  <c r="C1395" i="10"/>
  <c r="E1395" i="10"/>
  <c r="C1396" i="10"/>
  <c r="E1396" i="10"/>
  <c r="C1397" i="10"/>
  <c r="E1397" i="10"/>
  <c r="C1398" i="10"/>
  <c r="E1398" i="10"/>
  <c r="C1399" i="10"/>
  <c r="E1399" i="10"/>
  <c r="C1400" i="10"/>
  <c r="E1400" i="10"/>
  <c r="C1401" i="10"/>
  <c r="E1401" i="10"/>
  <c r="C1402" i="10"/>
  <c r="E1402" i="10"/>
  <c r="C1403" i="10"/>
  <c r="E1403" i="10"/>
  <c r="C1404" i="10"/>
  <c r="E1404" i="10"/>
  <c r="C1405" i="10"/>
  <c r="E1405" i="10"/>
  <c r="C1406" i="10"/>
  <c r="E1406" i="10"/>
  <c r="C1407" i="10"/>
  <c r="E1407" i="10"/>
  <c r="C1408" i="10"/>
  <c r="E1408" i="10"/>
  <c r="C1409" i="10"/>
  <c r="E1409" i="10"/>
  <c r="C1410" i="10"/>
  <c r="E1410" i="10"/>
  <c r="C1411" i="10"/>
  <c r="E1411" i="10"/>
  <c r="C1412" i="10"/>
  <c r="E1412" i="10"/>
  <c r="C1413" i="10"/>
  <c r="E1413" i="10"/>
  <c r="C1414" i="10"/>
  <c r="E1414" i="10"/>
  <c r="C1415" i="10"/>
  <c r="E1415" i="10"/>
  <c r="C1416" i="10"/>
  <c r="E1416" i="10"/>
  <c r="C1417" i="10"/>
  <c r="E1417" i="10"/>
  <c r="C1418" i="10"/>
  <c r="E1418" i="10"/>
  <c r="C1419" i="10"/>
  <c r="E1419" i="10"/>
  <c r="C1420" i="10"/>
  <c r="E1420" i="10"/>
  <c r="C1421" i="10"/>
  <c r="E1421" i="10"/>
  <c r="C1422" i="10"/>
  <c r="E1422" i="10"/>
  <c r="C1423" i="10"/>
  <c r="E1423" i="10"/>
  <c r="C1424" i="10"/>
  <c r="E1424" i="10"/>
  <c r="C1425" i="10"/>
  <c r="E1425" i="10"/>
  <c r="C1426" i="10"/>
  <c r="E1426" i="10"/>
  <c r="C1427" i="10"/>
  <c r="E1427" i="10"/>
  <c r="C1428" i="10"/>
  <c r="E1428" i="10"/>
  <c r="C1429" i="10"/>
  <c r="E1429" i="10"/>
  <c r="C1430" i="10"/>
  <c r="E1430" i="10"/>
  <c r="C1431" i="10"/>
  <c r="E1431" i="10"/>
  <c r="C1432" i="10"/>
  <c r="E1432" i="10"/>
  <c r="C1433" i="10"/>
  <c r="E1433" i="10"/>
  <c r="C1434" i="10"/>
  <c r="E1434" i="10"/>
  <c r="C1435" i="10"/>
  <c r="E1435" i="10"/>
  <c r="C1436" i="10"/>
  <c r="E1436" i="10"/>
  <c r="C1437" i="10"/>
  <c r="E1437" i="10"/>
  <c r="C1438" i="10"/>
  <c r="E1438" i="10"/>
  <c r="C1439" i="10"/>
  <c r="E1439" i="10"/>
  <c r="C1440" i="10"/>
  <c r="E1440" i="10"/>
  <c r="C1441" i="10"/>
  <c r="E1441" i="10"/>
  <c r="C1442" i="10"/>
  <c r="E1442" i="10"/>
  <c r="C1443" i="10"/>
  <c r="E1443" i="10"/>
  <c r="C1444" i="10"/>
  <c r="E1444" i="10"/>
  <c r="C1445" i="10"/>
  <c r="E1445" i="10"/>
  <c r="C1446" i="10"/>
  <c r="E1446" i="10"/>
  <c r="C1447" i="10"/>
  <c r="E1447" i="10"/>
  <c r="C1448" i="10"/>
  <c r="E1448" i="10"/>
  <c r="C1449" i="10"/>
  <c r="E1449" i="10"/>
  <c r="C1450" i="10"/>
  <c r="E1450" i="10"/>
  <c r="C1451" i="10"/>
  <c r="E1451" i="10"/>
  <c r="C1452" i="10"/>
  <c r="E1452" i="10"/>
  <c r="C1453" i="10"/>
  <c r="E1453" i="10"/>
  <c r="C1454" i="10"/>
  <c r="E1454" i="10"/>
  <c r="C1455" i="10"/>
  <c r="E1455" i="10"/>
  <c r="C1456" i="10"/>
  <c r="E1456" i="10"/>
  <c r="C1457" i="10"/>
  <c r="E1457" i="10"/>
  <c r="C1458" i="10"/>
  <c r="E1458" i="10"/>
  <c r="C1459" i="10"/>
  <c r="E1459" i="10"/>
  <c r="C1460" i="10"/>
  <c r="E1460" i="10"/>
  <c r="C1461" i="10"/>
  <c r="E1461" i="10"/>
  <c r="C1462" i="10"/>
  <c r="E1462" i="10"/>
  <c r="C1463" i="10"/>
  <c r="E1463" i="10"/>
  <c r="C1464" i="10"/>
  <c r="E1464" i="10"/>
  <c r="C1465" i="10"/>
  <c r="E1465" i="10"/>
  <c r="C1466" i="10"/>
  <c r="E1466" i="10"/>
  <c r="C1467" i="10"/>
  <c r="E1467" i="10"/>
  <c r="C1468" i="10"/>
  <c r="E1468" i="10"/>
  <c r="C1469" i="10"/>
  <c r="E1469" i="10"/>
  <c r="C1470" i="10"/>
  <c r="E1470" i="10"/>
  <c r="C1471" i="10"/>
  <c r="E1471" i="10"/>
  <c r="C1472" i="10"/>
  <c r="E1472" i="10"/>
  <c r="C1473" i="10"/>
  <c r="E1473" i="10"/>
  <c r="C1474" i="10"/>
  <c r="E1474" i="10"/>
  <c r="C1475" i="10"/>
  <c r="E1475" i="10"/>
  <c r="C1476" i="10"/>
  <c r="E1476" i="10"/>
  <c r="C1477" i="10"/>
  <c r="E1477" i="10"/>
  <c r="C1478" i="10"/>
  <c r="E1478" i="10"/>
  <c r="C1479" i="10"/>
  <c r="E1479" i="10"/>
  <c r="C1480" i="10"/>
  <c r="E1480" i="10"/>
  <c r="C1481" i="10"/>
  <c r="E1481" i="10"/>
  <c r="C1482" i="10"/>
  <c r="E1482" i="10"/>
  <c r="C1483" i="10"/>
  <c r="E1483" i="10"/>
  <c r="C1484" i="10"/>
  <c r="E1484" i="10"/>
  <c r="C1485" i="10"/>
  <c r="E1485" i="10"/>
  <c r="C1486" i="10"/>
  <c r="E1486" i="10"/>
  <c r="C1487" i="10"/>
  <c r="E1487" i="10"/>
  <c r="C1488" i="10"/>
  <c r="E1488" i="10"/>
  <c r="C1489" i="10"/>
  <c r="E1489" i="10"/>
  <c r="C1490" i="10"/>
  <c r="E1490" i="10"/>
  <c r="C1491" i="10"/>
  <c r="E1491" i="10"/>
  <c r="C1492" i="10"/>
  <c r="E1492" i="10"/>
  <c r="C1493" i="10"/>
  <c r="E1493" i="10"/>
  <c r="C1494" i="10"/>
  <c r="E1494" i="10"/>
  <c r="C1495" i="10"/>
  <c r="E1495" i="10"/>
  <c r="C1496" i="10"/>
  <c r="E1496" i="10"/>
  <c r="C1497" i="10"/>
  <c r="E1497" i="10"/>
  <c r="C1498" i="10"/>
  <c r="E1498" i="10"/>
  <c r="C1499" i="10"/>
  <c r="E1499" i="10"/>
  <c r="C1500" i="10"/>
  <c r="E1500" i="10"/>
  <c r="C1501" i="10"/>
  <c r="E1501" i="10"/>
  <c r="C1502" i="10"/>
  <c r="E1502" i="10"/>
  <c r="C1503" i="10"/>
  <c r="E1503" i="10"/>
  <c r="C1504" i="10"/>
  <c r="E1504" i="10"/>
  <c r="C1505" i="10"/>
  <c r="E1505" i="10"/>
  <c r="C1506" i="10"/>
  <c r="E1506" i="10"/>
  <c r="C1507" i="10"/>
  <c r="E1507" i="10"/>
  <c r="C1508" i="10"/>
  <c r="E1508" i="10"/>
  <c r="C1509" i="10"/>
  <c r="E1509" i="10"/>
  <c r="C1510" i="10"/>
  <c r="E1510" i="10"/>
  <c r="C1511" i="10"/>
  <c r="E1511" i="10"/>
  <c r="C1512" i="10"/>
  <c r="E1512" i="10"/>
  <c r="C1513" i="10"/>
  <c r="E1513" i="10"/>
  <c r="C1514" i="10"/>
  <c r="E1514" i="10"/>
  <c r="C1515" i="10"/>
  <c r="E1515" i="10"/>
  <c r="C1516" i="10"/>
  <c r="E1516" i="10"/>
  <c r="C1517" i="10"/>
  <c r="E1517" i="10"/>
  <c r="C1518" i="10"/>
  <c r="E1518" i="10"/>
  <c r="C1519" i="10"/>
  <c r="E1519" i="10"/>
  <c r="C1520" i="10"/>
  <c r="E1520" i="10"/>
  <c r="C1521" i="10"/>
  <c r="E1521" i="10"/>
  <c r="C1522" i="10"/>
  <c r="E1522" i="10"/>
  <c r="C1523" i="10"/>
  <c r="E1523" i="10"/>
  <c r="C1524" i="10"/>
  <c r="E1524" i="10"/>
  <c r="C1525" i="10"/>
  <c r="E1525" i="10"/>
  <c r="C1526" i="10"/>
  <c r="E1526" i="10"/>
  <c r="C1527" i="10"/>
  <c r="E1527" i="10"/>
  <c r="C1528" i="10"/>
  <c r="E1528" i="10"/>
  <c r="C1529" i="10"/>
  <c r="E1529" i="10"/>
  <c r="C1530" i="10"/>
  <c r="E1530" i="10"/>
  <c r="C1531" i="10"/>
  <c r="E1531" i="10"/>
  <c r="C1532" i="10"/>
  <c r="E1532" i="10"/>
  <c r="C1534" i="10"/>
  <c r="E1534" i="10"/>
  <c r="C1535" i="10"/>
  <c r="E1535" i="10"/>
  <c r="C1536" i="10"/>
  <c r="E1536" i="10"/>
  <c r="C1537" i="10"/>
  <c r="E1537" i="10"/>
  <c r="C1538" i="10"/>
  <c r="E1538" i="10"/>
  <c r="C1539" i="10"/>
  <c r="E1539" i="10"/>
  <c r="C1540" i="10"/>
  <c r="E1540" i="10"/>
  <c r="C1541" i="10"/>
  <c r="E1541" i="10"/>
  <c r="C1542" i="10"/>
  <c r="E1542" i="10"/>
  <c r="C1543" i="10"/>
  <c r="E1543" i="10"/>
  <c r="C1544" i="10"/>
  <c r="E1544" i="10"/>
  <c r="C1545" i="10"/>
  <c r="E1545" i="10"/>
  <c r="C1546" i="10"/>
  <c r="E1546" i="10"/>
  <c r="C1547" i="10"/>
  <c r="E1547" i="10"/>
  <c r="C1548" i="10"/>
  <c r="E1548" i="10"/>
  <c r="C1549" i="10"/>
  <c r="E1549" i="10"/>
  <c r="C1550" i="10"/>
  <c r="E1550" i="10"/>
  <c r="C1551" i="10"/>
  <c r="E1551" i="10"/>
  <c r="C1552" i="10"/>
  <c r="E1552" i="10"/>
  <c r="C1553" i="10"/>
  <c r="E1553" i="10"/>
  <c r="C1554" i="10"/>
  <c r="E1554" i="10"/>
  <c r="C1555" i="10"/>
  <c r="E1555" i="10"/>
  <c r="C1556" i="10"/>
  <c r="E1556" i="10"/>
  <c r="C1557" i="10"/>
  <c r="E1557" i="10"/>
  <c r="C1558" i="10"/>
  <c r="E1558" i="10"/>
  <c r="C1559" i="10"/>
  <c r="E1559" i="10"/>
  <c r="C1560" i="10"/>
  <c r="E1560" i="10"/>
  <c r="C1561" i="10"/>
  <c r="E1561" i="10"/>
  <c r="C1562" i="10"/>
  <c r="E1562" i="10"/>
  <c r="C1563" i="10"/>
  <c r="E1563" i="10"/>
  <c r="C1564" i="10"/>
  <c r="E1564" i="10"/>
  <c r="C1565" i="10"/>
  <c r="E1565" i="10"/>
  <c r="C1566" i="10"/>
  <c r="E1566" i="10"/>
  <c r="C1567" i="10"/>
  <c r="E1567" i="10"/>
  <c r="C1568" i="10"/>
  <c r="E1568" i="10"/>
  <c r="C1569" i="10"/>
  <c r="E1569" i="10"/>
  <c r="C1570" i="10"/>
  <c r="E1570" i="10"/>
  <c r="C1571" i="10"/>
  <c r="E1571" i="10"/>
  <c r="C1572" i="10"/>
  <c r="E1572" i="10"/>
  <c r="C1573" i="10"/>
  <c r="E1573" i="10"/>
  <c r="C1574" i="10"/>
  <c r="E1574" i="10"/>
  <c r="C1576" i="10"/>
  <c r="E1576" i="10"/>
  <c r="C1577" i="10"/>
  <c r="E1577" i="10"/>
  <c r="C1578" i="10"/>
  <c r="E1578" i="10"/>
  <c r="C1579" i="10"/>
  <c r="E1579" i="10"/>
  <c r="C1580" i="10"/>
  <c r="E1580" i="10"/>
  <c r="C1581" i="10"/>
  <c r="E1581" i="10"/>
  <c r="C1582" i="10"/>
  <c r="E1582" i="10"/>
  <c r="C1583" i="10"/>
  <c r="E1583" i="10"/>
  <c r="C1584" i="10"/>
  <c r="E1584" i="10"/>
  <c r="C1585" i="10"/>
  <c r="E1585" i="10"/>
  <c r="C1586" i="10"/>
  <c r="E1586" i="10"/>
  <c r="C1587" i="10"/>
  <c r="E1587" i="10"/>
  <c r="C1588" i="10"/>
  <c r="E1588" i="10"/>
  <c r="C1589" i="10"/>
  <c r="E1589" i="10"/>
  <c r="C1590" i="10"/>
  <c r="E1590" i="10"/>
  <c r="H1234" i="10"/>
  <c r="H1519" i="10"/>
  <c r="H1575" i="10"/>
  <c r="H1451" i="10"/>
  <c r="H1249" i="10"/>
  <c r="H1445" i="10"/>
  <c r="H1526" i="10"/>
  <c r="H1455" i="10"/>
  <c r="H1248" i="10"/>
  <c r="H1449" i="10"/>
  <c r="H1235" i="10"/>
  <c r="H1362" i="10"/>
  <c r="H1286" i="10"/>
  <c r="H1426" i="10"/>
  <c r="H1299" i="10"/>
  <c r="H1327" i="10"/>
  <c r="H1533" i="10"/>
  <c r="H1370" i="10"/>
  <c r="H1215" i="10"/>
  <c r="H1361" i="10"/>
  <c r="H1333" i="10"/>
  <c r="H1302" i="10"/>
  <c r="H1322" i="10"/>
  <c r="H1540" i="10"/>
  <c r="H1403" i="10"/>
  <c r="H1520" i="10"/>
  <c r="H1354" i="10"/>
  <c r="H1399" i="10"/>
  <c r="H1448" i="10"/>
  <c r="H1340" i="10"/>
  <c r="H1527" i="10"/>
  <c r="H1452" i="10"/>
  <c r="H1568" i="10"/>
  <c r="H1561" i="10"/>
  <c r="H1385" i="10"/>
  <c r="H1351" i="10"/>
  <c r="H1335" i="10"/>
  <c r="H1214" i="10"/>
  <c r="H1338" i="10"/>
  <c r="H1308" i="10"/>
  <c r="H1241" i="10"/>
  <c r="H1581" i="10"/>
  <c r="H1243" i="10"/>
  <c r="H1425" i="10"/>
  <c r="H1428" i="10"/>
  <c r="H1277" i="10"/>
  <c r="H1250" i="10"/>
  <c r="H1443" i="10"/>
  <c r="H1400" i="10"/>
  <c r="H1390" i="10"/>
  <c r="H1244" i="10"/>
  <c r="H1437" i="10"/>
  <c r="H1259" i="10"/>
  <c r="H1218" i="10"/>
  <c r="H1360" i="10"/>
  <c r="H1439" i="10"/>
  <c r="H1413" i="10"/>
  <c r="H1321" i="10"/>
  <c r="H1534" i="10"/>
  <c r="H1347" i="10"/>
  <c r="H1424" i="10"/>
  <c r="H1346" i="10"/>
  <c r="H1292" i="10"/>
  <c r="H1398" i="10"/>
  <c r="H1328" i="10"/>
  <c r="H1438" i="10"/>
  <c r="H1329" i="10"/>
  <c r="H1554" i="10"/>
  <c r="H1447" i="10"/>
  <c r="H1261" i="10"/>
  <c r="H1393" i="10"/>
  <c r="H1314" i="10"/>
  <c r="H1339" i="10"/>
  <c r="H1474" i="10"/>
  <c r="H1254" i="10"/>
  <c r="H1264" i="10"/>
  <c r="H1225" i="10"/>
  <c r="H1265" i="10"/>
  <c r="H1381" i="10"/>
  <c r="H1547" i="10"/>
  <c r="H1334" i="10"/>
  <c r="H1391" i="10"/>
  <c r="H1356" i="10"/>
  <c r="H1216" i="10"/>
  <c r="H1355" i="10"/>
  <c r="H1268" i="10"/>
  <c r="H1577" i="10"/>
  <c r="H1521" i="10"/>
  <c r="H1245" i="10"/>
  <c r="H1252" i="10"/>
  <c r="H1415" i="10"/>
  <c r="H1307" i="10"/>
  <c r="H1303" i="10"/>
  <c r="H1365" i="10"/>
  <c r="H1435" i="10"/>
  <c r="H1440" i="10"/>
  <c r="H1414" i="10"/>
  <c r="H1260" i="10"/>
  <c r="H1271" i="10"/>
  <c r="H1388" i="10"/>
  <c r="H1309" i="10"/>
  <c r="H1444" i="10"/>
  <c r="H1402" i="10"/>
  <c r="H1257" i="10"/>
  <c r="H1576" i="10"/>
  <c r="H1421" i="10"/>
  <c r="H1376" i="10"/>
  <c r="H1379" i="10"/>
  <c r="H1387" i="10"/>
  <c r="H1287" i="10"/>
  <c r="H1386" i="10"/>
  <c r="H1316" i="10"/>
  <c r="H1384" i="10"/>
  <c r="H1317" i="10"/>
  <c r="H1383" i="10"/>
  <c r="H1382" i="10"/>
  <c r="H1380" i="10"/>
  <c r="H1378" i="10"/>
  <c r="H1541" i="10"/>
  <c r="H1408" i="10"/>
  <c r="H1401" i="10"/>
  <c r="H1217" i="10"/>
  <c r="H1279" i="10"/>
  <c r="H1342" i="10"/>
  <c r="H1258" i="10"/>
  <c r="H1542" i="10"/>
  <c r="H1296" i="10"/>
  <c r="H1350" i="10"/>
  <c r="H1278" i="10"/>
  <c r="H1285" i="10"/>
  <c r="H1392" i="10"/>
  <c r="H1528" i="10"/>
  <c r="H1269" i="10"/>
  <c r="H1289" i="10"/>
  <c r="H1537" i="10"/>
  <c r="H1262" i="10"/>
  <c r="H1368" i="10"/>
  <c r="H1312" i="10"/>
  <c r="H1263" i="10"/>
  <c r="H1420" i="10"/>
  <c r="H1535" i="10"/>
  <c r="H1454" i="10"/>
  <c r="H1301" i="10"/>
  <c r="H1293" i="10"/>
  <c r="H1397" i="10"/>
  <c r="H1531" i="10"/>
  <c r="H1544" i="10"/>
  <c r="H1586" i="10"/>
  <c r="H1395" i="10"/>
  <c r="H1320" i="10"/>
  <c r="H1237" i="10"/>
  <c r="H1372" i="10"/>
  <c r="H1275" i="10"/>
  <c r="H1283" i="10"/>
  <c r="H1226" i="10"/>
  <c r="H1228" i="10"/>
  <c r="H1313" i="10"/>
  <c r="H1238" i="10"/>
  <c r="H1363" i="10"/>
  <c r="H1373" i="10"/>
  <c r="H1548" i="10"/>
  <c r="H1291" i="10"/>
  <c r="H1270" i="10"/>
  <c r="H1510" i="10"/>
  <c r="H1357" i="10"/>
  <c r="H1446" i="10"/>
  <c r="H1375" i="10"/>
  <c r="H1417" i="10"/>
  <c r="H1231" i="10"/>
  <c r="H1450" i="10"/>
  <c r="H1323" i="10"/>
  <c r="H1423" i="10"/>
  <c r="H1310" i="10"/>
  <c r="H1224" i="10"/>
  <c r="H1562" i="10"/>
  <c r="H1563" i="10"/>
  <c r="H1394" i="10"/>
  <c r="H1230" i="10"/>
  <c r="H1222" i="10"/>
  <c r="H1404" i="10"/>
  <c r="H1221" i="10"/>
  <c r="H1536" i="10"/>
  <c r="H1315" i="10"/>
  <c r="H1282" i="10"/>
  <c r="H1236" i="10"/>
  <c r="H1530" i="10"/>
  <c r="H1496" i="10"/>
  <c r="H1229" i="10"/>
  <c r="H1472" i="10"/>
  <c r="H1223" i="10"/>
  <c r="H1253" i="10"/>
  <c r="H1538" i="10"/>
  <c r="H1311" i="10"/>
  <c r="H1330" i="10"/>
  <c r="H1239" i="10"/>
  <c r="H1290" i="10"/>
  <c r="H1295" i="10"/>
  <c r="H1280" i="10"/>
  <c r="H1427" i="10"/>
  <c r="H1459" i="10"/>
  <c r="H1288" i="10"/>
  <c r="H1318" i="10"/>
  <c r="H1495" i="10"/>
  <c r="H1589" i="10"/>
  <c r="H1504" i="10"/>
  <c r="H1273" i="10"/>
  <c r="H1405" i="10"/>
  <c r="H1513" i="10"/>
  <c r="H1509" i="10"/>
  <c r="H1272" i="10"/>
  <c r="H1505" i="10"/>
  <c r="H1503" i="10"/>
  <c r="H1433" i="10"/>
  <c r="H1500" i="10"/>
  <c r="H1494" i="10"/>
  <c r="H1493" i="10"/>
  <c r="H1492" i="10"/>
  <c r="H1490" i="10"/>
  <c r="H1487" i="10"/>
  <c r="H1485" i="10"/>
  <c r="H1483" i="10"/>
  <c r="H1482" i="10"/>
  <c r="H1479" i="10"/>
  <c r="H1475" i="10"/>
  <c r="H1467" i="10"/>
  <c r="H1463" i="10"/>
  <c r="H1579" i="10"/>
  <c r="H1506" i="10"/>
  <c r="H1429" i="10"/>
  <c r="H1422" i="10"/>
  <c r="H1409" i="10"/>
  <c r="H1476" i="10"/>
  <c r="H1549" i="10"/>
  <c r="H1497" i="10"/>
  <c r="H1374" i="10"/>
  <c r="H1517" i="10"/>
  <c r="H1466" i="10"/>
  <c r="H1430" i="10"/>
  <c r="H1588" i="10"/>
  <c r="H1227" i="10"/>
  <c r="H1232" i="10"/>
  <c r="H1529" i="10"/>
  <c r="H1572" i="10"/>
  <c r="H1371" i="10"/>
  <c r="H1304" i="10"/>
  <c r="H1556" i="10"/>
  <c r="H1564" i="10"/>
  <c r="H1366" i="10"/>
  <c r="H1468" i="10"/>
  <c r="H1514" i="10"/>
  <c r="H1434" i="10"/>
  <c r="H1511" i="10"/>
  <c r="H1294" i="10"/>
  <c r="H1507" i="10"/>
  <c r="H1281" i="10"/>
  <c r="H1501" i="10"/>
  <c r="H1219" i="10"/>
  <c r="H1498" i="10"/>
  <c r="H1488" i="10"/>
  <c r="H1573" i="10"/>
  <c r="H1565" i="10"/>
  <c r="H1480" i="10"/>
  <c r="H1406" i="10"/>
  <c r="H1416" i="10"/>
  <c r="H1491" i="10"/>
  <c r="H1516" i="10"/>
  <c r="H1543" i="10"/>
  <c r="H1484" i="10"/>
  <c r="H1431" i="10"/>
  <c r="H1486" i="10"/>
  <c r="H1212" i="10"/>
  <c r="H1213" i="10"/>
  <c r="H1220" i="10"/>
  <c r="H1233" i="10"/>
  <c r="H1240" i="10"/>
  <c r="H1242" i="10"/>
  <c r="H1246" i="10"/>
  <c r="H1247" i="10"/>
  <c r="H1251" i="10"/>
  <c r="H1255" i="10"/>
  <c r="H1256" i="10"/>
  <c r="H1266" i="10"/>
  <c r="H1267" i="10"/>
  <c r="H1274" i="10"/>
  <c r="H1276" i="10"/>
  <c r="H1284" i="10"/>
  <c r="H1297" i="10"/>
  <c r="H1298" i="10"/>
  <c r="H1300" i="10"/>
  <c r="H1305" i="10"/>
  <c r="H1306" i="10"/>
  <c r="H1319" i="10"/>
  <c r="H1324" i="10"/>
  <c r="H1325" i="10"/>
  <c r="H1326" i="10"/>
  <c r="H1331" i="10"/>
  <c r="H1332" i="10"/>
  <c r="H1336" i="10"/>
  <c r="H1337" i="10"/>
  <c r="H1341" i="10"/>
  <c r="H1343" i="10"/>
  <c r="H1344" i="10"/>
  <c r="H1345" i="10"/>
  <c r="H1348" i="10"/>
  <c r="H1349" i="10"/>
  <c r="H1352" i="10"/>
  <c r="H1353" i="10"/>
  <c r="H1358" i="10"/>
  <c r="H1359" i="10"/>
  <c r="H1364" i="10"/>
  <c r="H1367" i="10"/>
  <c r="H1369" i="10"/>
  <c r="H1377" i="10"/>
  <c r="H1389" i="10"/>
  <c r="H1396" i="10"/>
  <c r="H1407" i="10"/>
  <c r="H1410" i="10"/>
  <c r="H1411" i="10"/>
  <c r="H1412" i="10"/>
  <c r="H1418" i="10"/>
  <c r="H1419" i="10"/>
  <c r="H1432" i="10"/>
  <c r="H1436" i="10"/>
  <c r="H1441" i="10"/>
  <c r="H1442" i="10"/>
  <c r="H1453" i="10"/>
  <c r="H1456" i="10"/>
  <c r="H1457" i="10"/>
  <c r="H1458" i="10"/>
  <c r="H1460" i="10"/>
  <c r="H1461" i="10"/>
  <c r="H1462" i="10"/>
  <c r="H1464" i="10"/>
  <c r="H1465" i="10"/>
  <c r="H1469" i="10"/>
  <c r="H1470" i="10"/>
  <c r="H1471" i="10"/>
  <c r="H1473" i="10"/>
  <c r="H1477" i="10"/>
  <c r="H1478" i="10"/>
  <c r="H1481" i="10"/>
  <c r="H1489" i="10"/>
  <c r="H1499" i="10"/>
  <c r="H1502" i="10"/>
  <c r="H1508" i="10"/>
  <c r="H1512" i="10"/>
  <c r="H1515" i="10"/>
  <c r="H1518" i="10"/>
  <c r="H1522" i="10"/>
  <c r="H1523" i="10"/>
  <c r="H1524" i="10"/>
  <c r="H1525" i="10"/>
  <c r="H1532" i="10"/>
  <c r="H1539" i="10"/>
  <c r="H1545" i="10"/>
  <c r="H1546" i="10"/>
  <c r="H1550" i="10"/>
  <c r="H1551" i="10"/>
  <c r="H1552" i="10"/>
  <c r="H1553" i="10"/>
  <c r="H1555" i="10"/>
  <c r="H1557" i="10"/>
  <c r="H1558" i="10"/>
  <c r="H1559" i="10"/>
  <c r="H1560" i="10"/>
  <c r="H1566" i="10"/>
  <c r="H1567" i="10"/>
  <c r="H1569" i="10"/>
  <c r="H1570" i="10"/>
  <c r="H1571" i="10"/>
  <c r="H1574" i="10"/>
  <c r="H1578" i="10"/>
  <c r="H1580" i="10"/>
  <c r="H1582" i="10"/>
  <c r="H1583" i="10"/>
  <c r="H1584" i="10"/>
  <c r="H1585" i="10"/>
  <c r="H1587" i="10"/>
  <c r="H1590" i="10"/>
  <c r="H1591" i="10"/>
  <c r="I1212" i="10"/>
  <c r="I1213" i="10"/>
  <c r="I1214" i="10"/>
  <c r="I1215" i="10"/>
  <c r="I1216" i="10"/>
  <c r="I1217" i="10"/>
  <c r="I1218" i="10"/>
  <c r="I1219" i="10"/>
  <c r="I1220" i="10"/>
  <c r="I1221" i="10"/>
  <c r="I1222" i="10"/>
  <c r="I1223" i="10"/>
  <c r="I1224" i="10"/>
  <c r="I1225" i="10"/>
  <c r="I1226" i="10"/>
  <c r="I1227" i="10"/>
  <c r="I1228" i="10"/>
  <c r="I1229" i="10"/>
  <c r="I1230" i="10"/>
  <c r="I1231" i="10"/>
  <c r="I1232" i="10"/>
  <c r="I1233" i="10"/>
  <c r="I1234" i="10"/>
  <c r="I1235" i="10"/>
  <c r="I1236" i="10"/>
  <c r="I1237" i="10"/>
  <c r="I1238" i="10"/>
  <c r="I1239" i="10"/>
  <c r="I1240" i="10"/>
  <c r="I1241" i="10"/>
  <c r="I1242" i="10"/>
  <c r="I1243" i="10"/>
  <c r="I1244" i="10"/>
  <c r="I1245" i="10"/>
  <c r="I1246" i="10"/>
  <c r="I1247" i="10"/>
  <c r="I1248" i="10"/>
  <c r="I1249" i="10"/>
  <c r="I1250" i="10"/>
  <c r="I1251" i="10"/>
  <c r="I1252" i="10"/>
  <c r="I1253" i="10"/>
  <c r="I1254" i="10"/>
  <c r="I1255" i="10"/>
  <c r="I1256" i="10"/>
  <c r="I1257" i="10"/>
  <c r="I1258" i="10"/>
  <c r="I1259" i="10"/>
  <c r="I1260" i="10"/>
  <c r="I1261" i="10"/>
  <c r="I1262" i="10"/>
  <c r="I1263" i="10"/>
  <c r="I1264" i="10"/>
  <c r="I1265" i="10"/>
  <c r="I1266" i="10"/>
  <c r="I1267" i="10"/>
  <c r="I1268" i="10"/>
  <c r="I1269" i="10"/>
  <c r="I1270" i="10"/>
  <c r="I1271" i="10"/>
  <c r="I1272" i="10"/>
  <c r="I1273" i="10"/>
  <c r="I1274" i="10"/>
  <c r="I1275" i="10"/>
  <c r="I1276" i="10"/>
  <c r="I1277" i="10"/>
  <c r="I1278" i="10"/>
  <c r="I1279" i="10"/>
  <c r="I1280" i="10"/>
  <c r="I1281" i="10"/>
  <c r="I1282" i="10"/>
  <c r="I1283" i="10"/>
  <c r="I1284" i="10"/>
  <c r="I1285" i="10"/>
  <c r="I1286" i="10"/>
  <c r="I1287" i="10"/>
  <c r="I1288" i="10"/>
  <c r="I1289" i="10"/>
  <c r="I1290" i="10"/>
  <c r="I1291" i="10"/>
  <c r="I1292" i="10"/>
  <c r="I1293" i="10"/>
  <c r="I1294" i="10"/>
  <c r="I1295" i="10"/>
  <c r="I1296" i="10"/>
  <c r="I1297" i="10"/>
  <c r="I1298" i="10"/>
  <c r="I1299" i="10"/>
  <c r="I1300" i="10"/>
  <c r="I1301" i="10"/>
  <c r="I1302" i="10"/>
  <c r="I1303" i="10"/>
  <c r="I1304" i="10"/>
  <c r="I1305" i="10"/>
  <c r="I1306" i="10"/>
  <c r="I1307" i="10"/>
  <c r="I1308" i="10"/>
  <c r="I1309" i="10"/>
  <c r="I1310" i="10"/>
  <c r="I1311" i="10"/>
  <c r="I1312" i="10"/>
  <c r="I1313" i="10"/>
  <c r="I1314" i="10"/>
  <c r="I1315" i="10"/>
  <c r="I1316" i="10"/>
  <c r="I1317" i="10"/>
  <c r="I1318" i="10"/>
  <c r="I1319" i="10"/>
  <c r="I1320" i="10"/>
  <c r="I1321" i="10"/>
  <c r="I1322" i="10"/>
  <c r="I1323" i="10"/>
  <c r="I1324" i="10"/>
  <c r="I1325" i="10"/>
  <c r="I1326" i="10"/>
  <c r="I1327" i="10"/>
  <c r="I1328" i="10"/>
  <c r="I1329" i="10"/>
  <c r="I1330" i="10"/>
  <c r="I1331" i="10"/>
  <c r="I1332" i="10"/>
  <c r="I1333" i="10"/>
  <c r="I1334" i="10"/>
  <c r="I1335" i="10"/>
  <c r="I1336" i="10"/>
  <c r="I1337" i="10"/>
  <c r="I1338" i="10"/>
  <c r="I1339" i="10"/>
  <c r="I1340" i="10"/>
  <c r="I1341" i="10"/>
  <c r="I1342" i="10"/>
  <c r="I1343" i="10"/>
  <c r="I1344" i="10"/>
  <c r="I1345" i="10"/>
  <c r="I1346" i="10"/>
  <c r="I1347" i="10"/>
  <c r="I1348" i="10"/>
  <c r="I1349" i="10"/>
  <c r="I1350" i="10"/>
  <c r="I1351" i="10"/>
  <c r="I1352" i="10"/>
  <c r="I1353" i="10"/>
  <c r="I1354" i="10"/>
  <c r="I1355" i="10"/>
  <c r="I1356" i="10"/>
  <c r="I1357" i="10"/>
  <c r="I1358" i="10"/>
  <c r="I1359" i="10"/>
  <c r="I1360" i="10"/>
  <c r="I1361" i="10"/>
  <c r="I1362" i="10"/>
  <c r="I1363" i="10"/>
  <c r="I1364" i="10"/>
  <c r="I1365" i="10"/>
  <c r="I1366" i="10"/>
  <c r="I1367" i="10"/>
  <c r="I1368" i="10"/>
  <c r="I1369" i="10"/>
  <c r="I1370" i="10"/>
  <c r="I1371" i="10"/>
  <c r="I1372" i="10"/>
  <c r="I1373" i="10"/>
  <c r="I1374" i="10"/>
  <c r="I1375" i="10"/>
  <c r="I1376" i="10"/>
  <c r="I1377" i="10"/>
  <c r="I1378" i="10"/>
  <c r="I1379" i="10"/>
  <c r="I1380" i="10"/>
  <c r="I1381" i="10"/>
  <c r="I1382" i="10"/>
  <c r="I1383" i="10"/>
  <c r="I1384" i="10"/>
  <c r="I1385" i="10"/>
  <c r="I1386" i="10"/>
  <c r="I1387" i="10"/>
  <c r="I1388" i="10"/>
  <c r="I1389" i="10"/>
  <c r="I1390" i="10"/>
  <c r="I1391" i="10"/>
  <c r="I1392" i="10"/>
  <c r="I1393" i="10"/>
  <c r="I1394" i="10"/>
  <c r="I1395" i="10"/>
  <c r="I1396" i="10"/>
  <c r="I1397" i="10"/>
  <c r="I1398" i="10"/>
  <c r="I1399" i="10"/>
  <c r="I1400" i="10"/>
  <c r="I1401" i="10"/>
  <c r="I1402" i="10"/>
  <c r="I1403" i="10"/>
  <c r="I1404" i="10"/>
  <c r="I1405" i="10"/>
  <c r="I1406" i="10"/>
  <c r="I1407" i="10"/>
  <c r="I1408" i="10"/>
  <c r="I1409" i="10"/>
  <c r="I1410" i="10"/>
  <c r="I1411" i="10"/>
  <c r="I1412" i="10"/>
  <c r="I1413" i="10"/>
  <c r="I1414" i="10"/>
  <c r="I1415" i="10"/>
  <c r="I1416" i="10"/>
  <c r="I1417" i="10"/>
  <c r="I1418" i="10"/>
  <c r="I1419" i="10"/>
  <c r="I1420" i="10"/>
  <c r="I1421" i="10"/>
  <c r="I1422" i="10"/>
  <c r="I1423" i="10"/>
  <c r="I1424" i="10"/>
  <c r="I1425" i="10"/>
  <c r="I1426" i="10"/>
  <c r="I1427" i="10"/>
  <c r="I1428" i="10"/>
  <c r="I1429" i="10"/>
  <c r="I1430" i="10"/>
  <c r="I1431" i="10"/>
  <c r="I1432" i="10"/>
  <c r="I1433" i="10"/>
  <c r="I1434" i="10"/>
  <c r="I1435" i="10"/>
  <c r="I1436" i="10"/>
  <c r="I1437" i="10"/>
  <c r="I1438" i="10"/>
  <c r="I1439" i="10"/>
  <c r="I1440" i="10"/>
  <c r="I1441" i="10"/>
  <c r="I1442" i="10"/>
  <c r="I1443" i="10"/>
  <c r="I1444" i="10"/>
  <c r="I1445" i="10"/>
  <c r="I1446" i="10"/>
  <c r="I1447" i="10"/>
  <c r="I1448" i="10"/>
  <c r="I1449" i="10"/>
  <c r="I1450" i="10"/>
  <c r="I1451" i="10"/>
  <c r="I1452" i="10"/>
  <c r="I1453" i="10"/>
  <c r="I1454" i="10"/>
  <c r="I1455" i="10"/>
  <c r="I1456" i="10"/>
  <c r="I1457" i="10"/>
  <c r="I1458" i="10"/>
  <c r="I1459" i="10"/>
  <c r="I1460" i="10"/>
  <c r="I1461" i="10"/>
  <c r="I1462" i="10"/>
  <c r="I1463" i="10"/>
  <c r="I1464" i="10"/>
  <c r="I1465" i="10"/>
  <c r="I1466" i="10"/>
  <c r="I1467" i="10"/>
  <c r="I1468" i="10"/>
  <c r="I1469" i="10"/>
  <c r="I1470" i="10"/>
  <c r="I1471" i="10"/>
  <c r="I1472" i="10"/>
  <c r="I1473" i="10"/>
  <c r="I1474" i="10"/>
  <c r="I1475" i="10"/>
  <c r="I1476" i="10"/>
  <c r="I1477" i="10"/>
  <c r="I1478" i="10"/>
  <c r="I1479" i="10"/>
  <c r="I1480" i="10"/>
  <c r="I1481" i="10"/>
  <c r="I1482" i="10"/>
  <c r="I1483" i="10"/>
  <c r="I1484" i="10"/>
  <c r="I1485" i="10"/>
  <c r="I1486" i="10"/>
  <c r="I1487" i="10"/>
  <c r="I1488" i="10"/>
  <c r="I1489" i="10"/>
  <c r="I1490" i="10"/>
  <c r="I1491" i="10"/>
  <c r="I1492" i="10"/>
  <c r="I1493" i="10"/>
  <c r="I1494" i="10"/>
  <c r="I1495" i="10"/>
  <c r="I1496" i="10"/>
  <c r="I1497" i="10"/>
  <c r="I1498" i="10"/>
  <c r="I1499" i="10"/>
  <c r="I1500" i="10"/>
  <c r="I1501" i="10"/>
  <c r="I1502" i="10"/>
  <c r="I1503" i="10"/>
  <c r="I1504" i="10"/>
  <c r="I1505" i="10"/>
  <c r="I1506" i="10"/>
  <c r="I1507" i="10"/>
  <c r="I1508" i="10"/>
  <c r="I1509" i="10"/>
  <c r="I1510" i="10"/>
  <c r="I1511" i="10"/>
  <c r="I1512" i="10"/>
  <c r="I1513" i="10"/>
  <c r="I1514" i="10"/>
  <c r="I1515" i="10"/>
  <c r="I1516" i="10"/>
  <c r="I1517" i="10"/>
  <c r="I1518" i="10"/>
  <c r="I1519" i="10"/>
  <c r="I1520" i="10"/>
  <c r="I1521" i="10"/>
  <c r="I1522" i="10"/>
  <c r="I1523" i="10"/>
  <c r="I1524" i="10"/>
  <c r="I1525" i="10"/>
  <c r="I1526" i="10"/>
  <c r="I1527" i="10"/>
  <c r="I1528" i="10"/>
  <c r="I1529" i="10"/>
  <c r="I1530" i="10"/>
  <c r="I1531" i="10"/>
  <c r="I1532" i="10"/>
  <c r="I1533" i="10"/>
  <c r="I1534" i="10"/>
  <c r="I1535" i="10"/>
  <c r="I1536" i="10"/>
  <c r="I1537" i="10"/>
  <c r="I1538" i="10"/>
  <c r="I1539" i="10"/>
  <c r="I1540" i="10"/>
  <c r="I1541" i="10"/>
  <c r="I1542" i="10"/>
  <c r="I1543" i="10"/>
  <c r="I1544" i="10"/>
  <c r="I1545" i="10"/>
  <c r="I1546" i="10"/>
  <c r="I1547" i="10"/>
  <c r="I1548" i="10"/>
  <c r="I1549" i="10"/>
  <c r="I1550" i="10"/>
  <c r="I1551" i="10"/>
  <c r="I1552" i="10"/>
  <c r="I1553" i="10"/>
  <c r="I1554" i="10"/>
  <c r="I1555" i="10"/>
  <c r="I1556" i="10"/>
  <c r="I1557" i="10"/>
  <c r="I1558" i="10"/>
  <c r="I1559" i="10"/>
  <c r="I1560" i="10"/>
  <c r="I1561" i="10"/>
  <c r="I1562" i="10"/>
  <c r="I1563" i="10"/>
  <c r="I1564" i="10"/>
  <c r="I1565" i="10"/>
  <c r="I1566" i="10"/>
  <c r="I1567" i="10"/>
  <c r="I1568" i="10"/>
  <c r="I1569" i="10"/>
  <c r="I1570" i="10"/>
  <c r="I1571" i="10"/>
  <c r="I1572" i="10"/>
  <c r="I1573" i="10"/>
  <c r="I1574" i="10"/>
  <c r="I1575" i="10"/>
  <c r="I1576" i="10"/>
  <c r="I1577" i="10"/>
  <c r="I1578" i="10"/>
  <c r="I1579" i="10"/>
  <c r="I1580" i="10"/>
  <c r="I1581" i="10"/>
  <c r="I1582" i="10"/>
  <c r="I1583" i="10"/>
  <c r="I1584" i="10"/>
  <c r="I1585" i="10"/>
  <c r="I1586" i="10"/>
  <c r="I1587" i="10"/>
  <c r="I1588" i="10"/>
  <c r="I1589" i="10"/>
  <c r="I1590" i="10"/>
  <c r="I1591" i="10"/>
  <c r="C812" i="10"/>
  <c r="C813" i="10"/>
  <c r="C814" i="10"/>
  <c r="C815" i="10"/>
  <c r="C816" i="10"/>
  <c r="C817" i="10"/>
  <c r="C818" i="10"/>
  <c r="C819" i="10"/>
  <c r="C820" i="10"/>
  <c r="C821" i="10"/>
  <c r="C822" i="10"/>
  <c r="C823" i="10"/>
  <c r="C824" i="10"/>
  <c r="C825" i="10"/>
  <c r="C826" i="10"/>
  <c r="C827" i="10"/>
  <c r="C828" i="10"/>
  <c r="C829" i="10"/>
  <c r="C830" i="10"/>
  <c r="C831" i="10"/>
  <c r="C832" i="10"/>
  <c r="C833" i="10"/>
  <c r="C834" i="10"/>
  <c r="C835" i="10"/>
  <c r="C836" i="10"/>
  <c r="C837" i="10"/>
  <c r="C838" i="10"/>
  <c r="C839" i="10"/>
  <c r="C840" i="10"/>
  <c r="C841" i="10"/>
  <c r="C842" i="10"/>
  <c r="C843" i="10"/>
  <c r="C844" i="10"/>
  <c r="C845" i="10"/>
  <c r="C846" i="10"/>
  <c r="C847" i="10"/>
  <c r="C848" i="10"/>
  <c r="C849" i="10"/>
  <c r="C850" i="10"/>
  <c r="C851" i="10"/>
  <c r="C852" i="10"/>
  <c r="C853" i="10"/>
  <c r="C854" i="10"/>
  <c r="C855" i="10"/>
  <c r="C856" i="10"/>
  <c r="C857" i="10"/>
  <c r="C858" i="10"/>
  <c r="C859" i="10"/>
  <c r="C860" i="10"/>
  <c r="C861" i="10"/>
  <c r="C862" i="10"/>
  <c r="C863" i="10"/>
  <c r="C864" i="10"/>
  <c r="C865" i="10"/>
  <c r="C866" i="10"/>
  <c r="C867" i="10"/>
  <c r="C868" i="10"/>
  <c r="C869" i="10"/>
  <c r="C870" i="10"/>
  <c r="C871" i="10"/>
  <c r="C872" i="10"/>
  <c r="C873" i="10"/>
  <c r="C874" i="10"/>
  <c r="C875" i="10"/>
  <c r="C876" i="10"/>
  <c r="C877" i="10"/>
  <c r="C878" i="10"/>
  <c r="C879" i="10"/>
  <c r="C880" i="10"/>
  <c r="C881" i="10"/>
  <c r="C882" i="10"/>
  <c r="C883" i="10"/>
  <c r="C884" i="10"/>
  <c r="C885" i="10"/>
  <c r="C886" i="10"/>
  <c r="C887" i="10"/>
  <c r="C888" i="10"/>
  <c r="C889" i="10"/>
  <c r="C890" i="10"/>
  <c r="C891" i="10"/>
  <c r="C892" i="10"/>
  <c r="C893" i="10"/>
  <c r="C894" i="10"/>
  <c r="C895" i="10"/>
  <c r="C896" i="10"/>
  <c r="C897" i="10"/>
  <c r="C898" i="10"/>
  <c r="C899" i="10"/>
  <c r="C900" i="10"/>
  <c r="C901" i="10"/>
  <c r="C902" i="10"/>
  <c r="C903" i="10"/>
  <c r="C904" i="10"/>
  <c r="C905" i="10"/>
  <c r="C906" i="10"/>
  <c r="C907" i="10"/>
  <c r="C908" i="10"/>
  <c r="C909" i="10"/>
  <c r="C910" i="10"/>
  <c r="C911" i="10"/>
  <c r="C912" i="10"/>
  <c r="C913" i="10"/>
  <c r="C914" i="10"/>
  <c r="C915" i="10"/>
  <c r="C916" i="10"/>
  <c r="C917" i="10"/>
  <c r="C918" i="10"/>
  <c r="C919" i="10"/>
  <c r="C920" i="10"/>
  <c r="C921" i="10"/>
  <c r="C922" i="10"/>
  <c r="C923" i="10"/>
  <c r="C924" i="10"/>
  <c r="C925" i="10"/>
  <c r="C926" i="10"/>
  <c r="C927" i="10"/>
  <c r="C928" i="10"/>
  <c r="C929" i="10"/>
  <c r="C930" i="10"/>
  <c r="C931" i="10"/>
  <c r="C932" i="10"/>
  <c r="C933" i="10"/>
  <c r="C934" i="10"/>
  <c r="C935" i="10"/>
  <c r="C936" i="10"/>
  <c r="C937" i="10"/>
  <c r="C938" i="10"/>
  <c r="C939" i="10"/>
  <c r="C940" i="10"/>
  <c r="C941" i="10"/>
  <c r="C942" i="10"/>
  <c r="C943" i="10"/>
  <c r="C944" i="10"/>
  <c r="C945" i="10"/>
  <c r="C946" i="10"/>
  <c r="C947" i="10"/>
  <c r="C948" i="10"/>
  <c r="C949" i="10"/>
  <c r="C950" i="10"/>
  <c r="C951" i="10"/>
  <c r="C952" i="10"/>
  <c r="C953" i="10"/>
  <c r="C954" i="10"/>
  <c r="C955" i="10"/>
  <c r="C956" i="10"/>
  <c r="C957" i="10"/>
  <c r="C958" i="10"/>
  <c r="C959" i="10"/>
  <c r="C960" i="10"/>
  <c r="C961" i="10"/>
  <c r="C962" i="10"/>
  <c r="C963" i="10"/>
  <c r="C964" i="10"/>
  <c r="C965" i="10"/>
  <c r="C966" i="10"/>
  <c r="C967" i="10"/>
  <c r="C968" i="10"/>
  <c r="C969" i="10"/>
  <c r="C970" i="10"/>
  <c r="C971" i="10"/>
  <c r="C972" i="10"/>
  <c r="C973" i="10"/>
  <c r="C974" i="10"/>
  <c r="C975" i="10"/>
  <c r="C976" i="10"/>
  <c r="C977" i="10"/>
  <c r="C978" i="10"/>
  <c r="C979" i="10"/>
  <c r="C980" i="10"/>
  <c r="C981" i="10"/>
  <c r="C982" i="10"/>
  <c r="C983" i="10"/>
  <c r="C984" i="10"/>
  <c r="C985" i="10"/>
  <c r="C986" i="10"/>
  <c r="C987" i="10"/>
  <c r="C988" i="10"/>
  <c r="C989" i="10"/>
  <c r="C990" i="10"/>
  <c r="C991" i="10"/>
  <c r="C992" i="10"/>
  <c r="C993" i="10"/>
  <c r="C994" i="10"/>
  <c r="C995" i="10"/>
  <c r="C996" i="10"/>
  <c r="C997" i="10"/>
  <c r="C998" i="10"/>
  <c r="C999" i="10"/>
  <c r="C1000" i="10"/>
  <c r="C1001" i="10"/>
  <c r="C1002" i="10"/>
  <c r="C1003" i="10"/>
  <c r="C1004" i="10"/>
  <c r="C1005" i="10"/>
  <c r="C1006" i="10"/>
  <c r="C1007" i="10"/>
  <c r="C1008" i="10"/>
  <c r="C1009" i="10"/>
  <c r="C1010" i="10"/>
  <c r="C1011" i="10"/>
  <c r="C1012" i="10"/>
  <c r="C1013" i="10"/>
  <c r="C1014" i="10"/>
  <c r="C1015" i="10"/>
  <c r="C1016" i="10"/>
  <c r="C1017" i="10"/>
  <c r="C1018" i="10"/>
  <c r="C1019" i="10"/>
  <c r="C1020" i="10"/>
  <c r="C1021" i="10"/>
  <c r="C1022" i="10"/>
  <c r="C1023" i="10"/>
  <c r="C1024" i="10"/>
  <c r="C1025" i="10"/>
  <c r="C1026" i="10"/>
  <c r="C1027" i="10"/>
  <c r="C1028" i="10"/>
  <c r="C1029" i="10"/>
  <c r="C1030" i="10"/>
  <c r="C1031" i="10"/>
  <c r="C1032" i="10"/>
  <c r="C1033" i="10"/>
  <c r="C1034" i="10"/>
  <c r="C1035" i="10"/>
  <c r="C1036" i="10"/>
  <c r="C1037" i="10"/>
  <c r="C1038" i="10"/>
  <c r="C1039" i="10"/>
  <c r="C1040" i="10"/>
  <c r="C1041" i="10"/>
  <c r="C1042" i="10"/>
  <c r="C1043" i="10"/>
  <c r="C1044" i="10"/>
  <c r="C1045" i="10"/>
  <c r="C1046" i="10"/>
  <c r="C1047" i="10"/>
  <c r="C1048" i="10"/>
  <c r="C1049" i="10"/>
  <c r="C1050" i="10"/>
  <c r="C1051" i="10"/>
  <c r="C1052" i="10"/>
  <c r="C1053" i="10"/>
  <c r="C1054" i="10"/>
  <c r="C1055" i="10"/>
  <c r="C1056" i="10"/>
  <c r="C1057" i="10"/>
  <c r="C1058" i="10"/>
  <c r="C1059" i="10"/>
  <c r="C1060" i="10"/>
  <c r="C1061" i="10"/>
  <c r="C1062" i="10"/>
  <c r="C1063" i="10"/>
  <c r="C1064" i="10"/>
  <c r="C1065" i="10"/>
  <c r="C1066" i="10"/>
  <c r="C1067" i="10"/>
  <c r="C1068" i="10"/>
  <c r="C1069" i="10"/>
  <c r="C1070" i="10"/>
  <c r="C1071" i="10"/>
  <c r="C1072" i="10"/>
  <c r="C1073" i="10"/>
  <c r="C1074" i="10"/>
  <c r="C1075" i="10"/>
  <c r="C1076" i="10"/>
  <c r="C1077" i="10"/>
  <c r="C1078" i="10"/>
  <c r="C1079" i="10"/>
  <c r="C1080" i="10"/>
  <c r="C1081" i="10"/>
  <c r="C1082" i="10"/>
  <c r="C1083" i="10"/>
  <c r="C1084" i="10"/>
  <c r="C1085" i="10"/>
  <c r="C1086" i="10"/>
  <c r="C1087" i="10"/>
  <c r="C1088" i="10"/>
  <c r="C1089" i="10"/>
  <c r="C1090" i="10"/>
  <c r="C1091" i="10"/>
  <c r="C1092" i="10"/>
  <c r="C1093" i="10"/>
  <c r="C1094" i="10"/>
  <c r="C1095" i="10"/>
  <c r="C1096" i="10"/>
  <c r="C1097" i="10"/>
  <c r="C1098" i="10"/>
  <c r="C1099" i="10"/>
  <c r="C1100" i="10"/>
  <c r="C1101" i="10"/>
  <c r="C1102" i="10"/>
  <c r="C1103" i="10"/>
  <c r="C1104" i="10"/>
  <c r="C1105" i="10"/>
  <c r="C1106" i="10"/>
  <c r="C1107" i="10"/>
  <c r="C1108" i="10"/>
  <c r="C1109" i="10"/>
  <c r="C1110" i="10"/>
  <c r="C1111" i="10"/>
  <c r="C1112" i="10"/>
  <c r="C1113" i="10"/>
  <c r="C1114" i="10"/>
  <c r="C1115" i="10"/>
  <c r="C1116" i="10"/>
  <c r="C1117" i="10"/>
  <c r="C1118" i="10"/>
  <c r="C1119" i="10"/>
  <c r="C1120" i="10"/>
  <c r="C1121" i="10"/>
  <c r="C1122" i="10"/>
  <c r="C1123" i="10"/>
  <c r="C1124" i="10"/>
  <c r="C1125" i="10"/>
  <c r="C1126" i="10"/>
  <c r="C1127" i="10"/>
  <c r="C1128" i="10"/>
  <c r="C1129" i="10"/>
  <c r="C1130" i="10"/>
  <c r="C1131" i="10"/>
  <c r="C1132" i="10"/>
  <c r="C1133" i="10"/>
  <c r="C1134" i="10"/>
  <c r="C1135" i="10"/>
  <c r="C1136" i="10"/>
  <c r="C1137" i="10"/>
  <c r="C1138" i="10"/>
  <c r="C1139" i="10"/>
  <c r="C1140" i="10"/>
  <c r="C1141" i="10"/>
  <c r="C1142" i="10"/>
  <c r="C1143" i="10"/>
  <c r="C1144" i="10"/>
  <c r="C1145" i="10"/>
  <c r="C1146" i="10"/>
  <c r="C1147" i="10"/>
  <c r="C1148" i="10"/>
  <c r="C1149" i="10"/>
  <c r="C1150" i="10"/>
  <c r="C1151" i="10"/>
  <c r="C1152" i="10"/>
  <c r="C1153" i="10"/>
  <c r="C1154" i="10"/>
  <c r="C1155" i="10"/>
  <c r="C1156" i="10"/>
  <c r="C1157" i="10"/>
  <c r="C1158" i="10"/>
  <c r="C1159" i="10"/>
  <c r="C1160" i="10"/>
  <c r="C1161" i="10"/>
  <c r="C1162" i="10"/>
  <c r="C1163" i="10"/>
  <c r="C1164" i="10"/>
  <c r="C1165" i="10"/>
  <c r="C1166" i="10"/>
  <c r="C1167" i="10"/>
  <c r="C1168" i="10"/>
  <c r="C1169" i="10"/>
  <c r="C1170" i="10"/>
  <c r="C1171" i="10"/>
  <c r="C1172" i="10"/>
  <c r="C1173" i="10"/>
  <c r="C1174" i="10"/>
  <c r="C1175" i="10"/>
  <c r="C1176" i="10"/>
  <c r="C1177" i="10"/>
  <c r="C1178" i="10"/>
  <c r="C1179" i="10"/>
  <c r="C1180" i="10"/>
  <c r="C1181" i="10"/>
  <c r="C1182" i="10"/>
  <c r="C1183" i="10"/>
  <c r="C1184" i="10"/>
  <c r="C1185" i="10"/>
  <c r="C1186" i="10"/>
  <c r="C1187" i="10"/>
  <c r="C1188" i="10"/>
  <c r="C1189" i="10"/>
  <c r="C1190" i="10"/>
  <c r="C1191" i="10"/>
  <c r="C1192" i="10"/>
  <c r="C1193" i="10"/>
  <c r="C1194" i="10"/>
  <c r="C1195" i="10"/>
  <c r="B812" i="10"/>
  <c r="B813" i="10"/>
  <c r="B814" i="10"/>
  <c r="B815" i="10"/>
  <c r="B816" i="10"/>
  <c r="B817" i="10"/>
  <c r="B818" i="10"/>
  <c r="B819" i="10"/>
  <c r="B820" i="10"/>
  <c r="B821" i="10"/>
  <c r="B822" i="10"/>
  <c r="B823" i="10"/>
  <c r="B824" i="10"/>
  <c r="B825" i="10"/>
  <c r="B826" i="10"/>
  <c r="B827" i="10"/>
  <c r="B828" i="10"/>
  <c r="B829" i="10"/>
  <c r="B830" i="10"/>
  <c r="B831" i="10"/>
  <c r="B832" i="10"/>
  <c r="B833" i="10"/>
  <c r="B834" i="10"/>
  <c r="B835" i="10"/>
  <c r="B836" i="10"/>
  <c r="B837" i="10"/>
  <c r="B838" i="10"/>
  <c r="B839" i="10"/>
  <c r="B840" i="10"/>
  <c r="B841" i="10"/>
  <c r="B842" i="10"/>
  <c r="B843" i="10"/>
  <c r="B844" i="10"/>
  <c r="B845" i="10"/>
  <c r="B846" i="10"/>
  <c r="B847" i="10"/>
  <c r="B848" i="10"/>
  <c r="B849" i="10"/>
  <c r="B850" i="10"/>
  <c r="B851" i="10"/>
  <c r="B852" i="10"/>
  <c r="B853" i="10"/>
  <c r="B854" i="10"/>
  <c r="B855" i="10"/>
  <c r="B856" i="10"/>
  <c r="B857" i="10"/>
  <c r="B858" i="10"/>
  <c r="B859" i="10"/>
  <c r="B860" i="10"/>
  <c r="B861" i="10"/>
  <c r="B862" i="10"/>
  <c r="B863" i="10"/>
  <c r="B864" i="10"/>
  <c r="B865" i="10"/>
  <c r="B866" i="10"/>
  <c r="B867" i="10"/>
  <c r="B868" i="10"/>
  <c r="B869" i="10"/>
  <c r="B870" i="10"/>
  <c r="B871" i="10"/>
  <c r="B872" i="10"/>
  <c r="B873" i="10"/>
  <c r="B874" i="10"/>
  <c r="B875" i="10"/>
  <c r="B876" i="10"/>
  <c r="B877" i="10"/>
  <c r="B878" i="10"/>
  <c r="B879" i="10"/>
  <c r="B880" i="10"/>
  <c r="B881" i="10"/>
  <c r="B882" i="10"/>
  <c r="B883" i="10"/>
  <c r="B884" i="10"/>
  <c r="B885" i="10"/>
  <c r="B886" i="10"/>
  <c r="B887" i="10"/>
  <c r="B888" i="10"/>
  <c r="B889" i="10"/>
  <c r="B890" i="10"/>
  <c r="B891" i="10"/>
  <c r="B892" i="10"/>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5" i="10"/>
  <c r="B926"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5" i="10"/>
  <c r="B976"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1003" i="10"/>
  <c r="B1004" i="10"/>
  <c r="B1005" i="10"/>
  <c r="B1006" i="10"/>
  <c r="B1007" i="10"/>
  <c r="B1008" i="10"/>
  <c r="B1009" i="10"/>
  <c r="B1010" i="10"/>
  <c r="B1011" i="10"/>
  <c r="B1012" i="10"/>
  <c r="B1013" i="10"/>
  <c r="B1014" i="10"/>
  <c r="B1015" i="10"/>
  <c r="B1016" i="10"/>
  <c r="B1017" i="10"/>
  <c r="B1018" i="10"/>
  <c r="B1019" i="10"/>
  <c r="B1020" i="10"/>
  <c r="B1021" i="10"/>
  <c r="B1022" i="10"/>
  <c r="B1023" i="10"/>
  <c r="B1024" i="10"/>
  <c r="B1025" i="10"/>
  <c r="B1026" i="10"/>
  <c r="B1027" i="10"/>
  <c r="B1028" i="10"/>
  <c r="B1029" i="10"/>
  <c r="B1030" i="10"/>
  <c r="B1031" i="10"/>
  <c r="B1032" i="10"/>
  <c r="B1033" i="10"/>
  <c r="B1034" i="10"/>
  <c r="B1035" i="10"/>
  <c r="B1036" i="10"/>
  <c r="B1037" i="10"/>
  <c r="B1038" i="10"/>
  <c r="B1039" i="10"/>
  <c r="B1040" i="10"/>
  <c r="B1041" i="10"/>
  <c r="B1042" i="10"/>
  <c r="B1043" i="10"/>
  <c r="B1044" i="10"/>
  <c r="B1045" i="10"/>
  <c r="B1046" i="10"/>
  <c r="B1047" i="10"/>
  <c r="B1048" i="10"/>
  <c r="B1049" i="10"/>
  <c r="B1050" i="10"/>
  <c r="B1051" i="10"/>
  <c r="B1052" i="10"/>
  <c r="B1053" i="10"/>
  <c r="B1054" i="10"/>
  <c r="B1055" i="10"/>
  <c r="B1056" i="10"/>
  <c r="B1057" i="10"/>
  <c r="B1058" i="10"/>
  <c r="B1059" i="10"/>
  <c r="B1060" i="10"/>
  <c r="B1061" i="10"/>
  <c r="B1062" i="10"/>
  <c r="B1063" i="10"/>
  <c r="B1064" i="10"/>
  <c r="B1065" i="10"/>
  <c r="B1066" i="10"/>
  <c r="B1067" i="10"/>
  <c r="B1068" i="10"/>
  <c r="B1069" i="10"/>
  <c r="B1070" i="10"/>
  <c r="B1071" i="10"/>
  <c r="B1072" i="10"/>
  <c r="B1073" i="10"/>
  <c r="B1074" i="10"/>
  <c r="B1075" i="10"/>
  <c r="B1076" i="10"/>
  <c r="B1077" i="10"/>
  <c r="B1078" i="10"/>
  <c r="B1079" i="10"/>
  <c r="B1080" i="10"/>
  <c r="B1081" i="10"/>
  <c r="B1082" i="10"/>
  <c r="B1083" i="10"/>
  <c r="B1084" i="10"/>
  <c r="B1085" i="10"/>
  <c r="B1086" i="10"/>
  <c r="B1087" i="10"/>
  <c r="B1088" i="10"/>
  <c r="B1089" i="10"/>
  <c r="B1090" i="10"/>
  <c r="B1091" i="10"/>
  <c r="B1092" i="10"/>
  <c r="B1093" i="10"/>
  <c r="B1094" i="10"/>
  <c r="B1095" i="10"/>
  <c r="B1096" i="10"/>
  <c r="B1097" i="10"/>
  <c r="B1098" i="10"/>
  <c r="B1099" i="10"/>
  <c r="B1100" i="10"/>
  <c r="B1101" i="10"/>
  <c r="B1102" i="10"/>
  <c r="B1103" i="10"/>
  <c r="B1104" i="10"/>
  <c r="B1105" i="10"/>
  <c r="B1106" i="10"/>
  <c r="B1107" i="10"/>
  <c r="B1108" i="10"/>
  <c r="B1109" i="10"/>
  <c r="B1110" i="10"/>
  <c r="B1111" i="10"/>
  <c r="B1112" i="10"/>
  <c r="B1113" i="10"/>
  <c r="B1114" i="10"/>
  <c r="B1115" i="10"/>
  <c r="B1116" i="10"/>
  <c r="B1117" i="10"/>
  <c r="B1118" i="10"/>
  <c r="B1119" i="10"/>
  <c r="B1120" i="10"/>
  <c r="B1121" i="10"/>
  <c r="B1122" i="10"/>
  <c r="B1123" i="10"/>
  <c r="B1124" i="10"/>
  <c r="B1125" i="10"/>
  <c r="B1126" i="10"/>
  <c r="B1127" i="10"/>
  <c r="B1128" i="10"/>
  <c r="B1129" i="10"/>
  <c r="B1130" i="10"/>
  <c r="B1131" i="10"/>
  <c r="B1132" i="10"/>
  <c r="B1133" i="10"/>
  <c r="B1134" i="10"/>
  <c r="B1135" i="10"/>
  <c r="B1136" i="10"/>
  <c r="B1137" i="10"/>
  <c r="B1138" i="10"/>
  <c r="B1139" i="10"/>
  <c r="B1140" i="10"/>
  <c r="B1141" i="10"/>
  <c r="B1142" i="10"/>
  <c r="B1143" i="10"/>
  <c r="B1144" i="10"/>
  <c r="B1145" i="10"/>
  <c r="B1146" i="10"/>
  <c r="B1147" i="10"/>
  <c r="B1148" i="10"/>
  <c r="B1149" i="10"/>
  <c r="B1150" i="10"/>
  <c r="B1151" i="10"/>
  <c r="B1152" i="10"/>
  <c r="B1153" i="10"/>
  <c r="B1154" i="10"/>
  <c r="B1155" i="10"/>
  <c r="B1156" i="10"/>
  <c r="B1157" i="10"/>
  <c r="B1158" i="10"/>
  <c r="B1159" i="10"/>
  <c r="B1160" i="10"/>
  <c r="B1161" i="10"/>
  <c r="B1162" i="10"/>
  <c r="B1163" i="10"/>
  <c r="B1164" i="10"/>
  <c r="B1165" i="10"/>
  <c r="B1166" i="10"/>
  <c r="B1167" i="10"/>
  <c r="B1168" i="10"/>
  <c r="B1169" i="10"/>
  <c r="B1170" i="10"/>
  <c r="B1171" i="10"/>
  <c r="B1172" i="10"/>
  <c r="B1173" i="10"/>
  <c r="B1174" i="10"/>
  <c r="B1175" i="10"/>
  <c r="B1176" i="10"/>
  <c r="B1177" i="10"/>
  <c r="B1178" i="10"/>
  <c r="B1179" i="10"/>
  <c r="B1180" i="10"/>
  <c r="B1181" i="10"/>
  <c r="B1182" i="10"/>
  <c r="B1183" i="10"/>
  <c r="B1184" i="10"/>
  <c r="B1185" i="10"/>
  <c r="B1186" i="10"/>
  <c r="B1187" i="10"/>
  <c r="B1188" i="10"/>
  <c r="B1189" i="10"/>
  <c r="B1190" i="10"/>
  <c r="B1191" i="10"/>
  <c r="B1192" i="10"/>
  <c r="B1193" i="10"/>
  <c r="B1194" i="10"/>
  <c r="B1195" i="10"/>
  <c r="B1212" i="10"/>
  <c r="B1213" i="10"/>
  <c r="B1214" i="10"/>
  <c r="B1215" i="10"/>
  <c r="B1216" i="10"/>
  <c r="B1217" i="10"/>
  <c r="B1218" i="10"/>
  <c r="B1219" i="10"/>
  <c r="B1220" i="10"/>
  <c r="B1221" i="10"/>
  <c r="B1222" i="10"/>
  <c r="B1223" i="10"/>
  <c r="B1224" i="10"/>
  <c r="B1225" i="10"/>
  <c r="B1226" i="10"/>
  <c r="B1227" i="10"/>
  <c r="B1228" i="10"/>
  <c r="B1229" i="10"/>
  <c r="B1230" i="10"/>
  <c r="B1231" i="10"/>
  <c r="B1232" i="10"/>
  <c r="B1233" i="10"/>
  <c r="B1234" i="10"/>
  <c r="B1235" i="10"/>
  <c r="B1236" i="10"/>
  <c r="B1237" i="10"/>
  <c r="B1238" i="10"/>
  <c r="B1239" i="10"/>
  <c r="B1240" i="10"/>
  <c r="B1241" i="10"/>
  <c r="B1242" i="10"/>
  <c r="B1243" i="10"/>
  <c r="B1244" i="10"/>
  <c r="B1245" i="10"/>
  <c r="B1246" i="10"/>
  <c r="B1247" i="10"/>
  <c r="B1248" i="10"/>
  <c r="B1249" i="10"/>
  <c r="B1250" i="10"/>
  <c r="B1251" i="10"/>
  <c r="B1252" i="10"/>
  <c r="B1253" i="10"/>
  <c r="B1254" i="10"/>
  <c r="B1255" i="10"/>
  <c r="B1256" i="10"/>
  <c r="B1257" i="10"/>
  <c r="B1258" i="10"/>
  <c r="B1259" i="10"/>
  <c r="B1260" i="10"/>
  <c r="B1261" i="10"/>
  <c r="B1262" i="10"/>
  <c r="B1263" i="10"/>
  <c r="B1264" i="10"/>
  <c r="B1265" i="10"/>
  <c r="B1266" i="10"/>
  <c r="B1267" i="10"/>
  <c r="B1268" i="10"/>
  <c r="B1269" i="10"/>
  <c r="B1270" i="10"/>
  <c r="B1271" i="10"/>
  <c r="B1272" i="10"/>
  <c r="B1273" i="10"/>
  <c r="B1274" i="10"/>
  <c r="B1275" i="10"/>
  <c r="B1276" i="10"/>
  <c r="B1277" i="10"/>
  <c r="B1278" i="10"/>
  <c r="B1279" i="10"/>
  <c r="B1280" i="10"/>
  <c r="B1281" i="10"/>
  <c r="B1282" i="10"/>
  <c r="B1283" i="10"/>
  <c r="B1284" i="10"/>
  <c r="B1285" i="10"/>
  <c r="B1286" i="10"/>
  <c r="B1287" i="10"/>
  <c r="B1288" i="10"/>
  <c r="B1289" i="10"/>
  <c r="B1290" i="10"/>
  <c r="B1291" i="10"/>
  <c r="B1292" i="10"/>
  <c r="B1293" i="10"/>
  <c r="B1294" i="10"/>
  <c r="B1295" i="10"/>
  <c r="B1296" i="10"/>
  <c r="B1297" i="10"/>
  <c r="B1298" i="10"/>
  <c r="B1299" i="10"/>
  <c r="B1300" i="10"/>
  <c r="B1301" i="10"/>
  <c r="B1302" i="10"/>
  <c r="B1303" i="10"/>
  <c r="B1304" i="10"/>
  <c r="B1305" i="10"/>
  <c r="B1306" i="10"/>
  <c r="B1307" i="10"/>
  <c r="B1308" i="10"/>
  <c r="B1309" i="10"/>
  <c r="B1310" i="10"/>
  <c r="B1311" i="10"/>
  <c r="B1312" i="10"/>
  <c r="B1313" i="10"/>
  <c r="B1314" i="10"/>
  <c r="B1315" i="10"/>
  <c r="B1316" i="10"/>
  <c r="B1317" i="10"/>
  <c r="B1318" i="10"/>
  <c r="B1319" i="10"/>
  <c r="B1320" i="10"/>
  <c r="B1321" i="10"/>
  <c r="B1322" i="10"/>
  <c r="B1323" i="10"/>
  <c r="B1324" i="10"/>
  <c r="B1325" i="10"/>
  <c r="B1326" i="10"/>
  <c r="B1327" i="10"/>
  <c r="B1328" i="10"/>
  <c r="B1329" i="10"/>
  <c r="B1330" i="10"/>
  <c r="B1331" i="10"/>
  <c r="B1332" i="10"/>
  <c r="B1333" i="10"/>
  <c r="B1334" i="10"/>
  <c r="B1335" i="10"/>
  <c r="B1336" i="10"/>
  <c r="B1337" i="10"/>
  <c r="B1338" i="10"/>
  <c r="B1339" i="10"/>
  <c r="B1340" i="10"/>
  <c r="B1341" i="10"/>
  <c r="B1342" i="10"/>
  <c r="B1343" i="10"/>
  <c r="B1344" i="10"/>
  <c r="B1345" i="10"/>
  <c r="B1346" i="10"/>
  <c r="B1347" i="10"/>
  <c r="B1348" i="10"/>
  <c r="B1349" i="10"/>
  <c r="B1350" i="10"/>
  <c r="B1351" i="10"/>
  <c r="B1352" i="10"/>
  <c r="B1353" i="10"/>
  <c r="B1354" i="10"/>
  <c r="B1355" i="10"/>
  <c r="B1356" i="10"/>
  <c r="B1357" i="10"/>
  <c r="B1358" i="10"/>
  <c r="B1359" i="10"/>
  <c r="B1360" i="10"/>
  <c r="B1361" i="10"/>
  <c r="B1362" i="10"/>
  <c r="B1363" i="10"/>
  <c r="B1364" i="10"/>
  <c r="B1365" i="10"/>
  <c r="B1366" i="10"/>
  <c r="B1367" i="10"/>
  <c r="B1368" i="10"/>
  <c r="B1369" i="10"/>
  <c r="B1370" i="10"/>
  <c r="B1371" i="10"/>
  <c r="B1372" i="10"/>
  <c r="B1373" i="10"/>
  <c r="B1374" i="10"/>
  <c r="B1375" i="10"/>
  <c r="B1376" i="10"/>
  <c r="B1377" i="10"/>
  <c r="B1378" i="10"/>
  <c r="B1379" i="10"/>
  <c r="B1380" i="10"/>
  <c r="B1381" i="10"/>
  <c r="B1382" i="10"/>
  <c r="B1383" i="10"/>
  <c r="B1384" i="10"/>
  <c r="B1385" i="10"/>
  <c r="B1386" i="10"/>
  <c r="B1387" i="10"/>
  <c r="B1388" i="10"/>
  <c r="B1389" i="10"/>
  <c r="B1390" i="10"/>
  <c r="B1391" i="10"/>
  <c r="B1392" i="10"/>
  <c r="B1393" i="10"/>
  <c r="B1394" i="10"/>
  <c r="B1395" i="10"/>
  <c r="B1396" i="10"/>
  <c r="B1397" i="10"/>
  <c r="B1398" i="10"/>
  <c r="B1399" i="10"/>
  <c r="B1400" i="10"/>
  <c r="B1401" i="10"/>
  <c r="B1402" i="10"/>
  <c r="B1403" i="10"/>
  <c r="B1404" i="10"/>
  <c r="B1405" i="10"/>
  <c r="B1406" i="10"/>
  <c r="B1407" i="10"/>
  <c r="B1408" i="10"/>
  <c r="B1409" i="10"/>
  <c r="B1410" i="10"/>
  <c r="B1411" i="10"/>
  <c r="B1412" i="10"/>
  <c r="B1413" i="10"/>
  <c r="B1414" i="10"/>
  <c r="B1415" i="10"/>
  <c r="B1416" i="10"/>
  <c r="B1417" i="10"/>
  <c r="B1418" i="10"/>
  <c r="B1419" i="10"/>
  <c r="B1420" i="10"/>
  <c r="B1421" i="10"/>
  <c r="B1422" i="10"/>
  <c r="B1423" i="10"/>
  <c r="B1424" i="10"/>
  <c r="B1425" i="10"/>
  <c r="B1426" i="10"/>
  <c r="B1427" i="10"/>
  <c r="B1428" i="10"/>
  <c r="B1429" i="10"/>
  <c r="B1430" i="10"/>
  <c r="B1431" i="10"/>
  <c r="B1432" i="10"/>
  <c r="B1433" i="10"/>
  <c r="B1434" i="10"/>
  <c r="B1435" i="10"/>
  <c r="B1436" i="10"/>
  <c r="B1437" i="10"/>
  <c r="B1438" i="10"/>
  <c r="B1439" i="10"/>
  <c r="B1440" i="10"/>
  <c r="B1441" i="10"/>
  <c r="B1442" i="10"/>
  <c r="B1443" i="10"/>
  <c r="B1444" i="10"/>
  <c r="B1445" i="10"/>
  <c r="B1446" i="10"/>
  <c r="B1447" i="10"/>
  <c r="B1448" i="10"/>
  <c r="B1449" i="10"/>
  <c r="B1450" i="10"/>
  <c r="B1451" i="10"/>
  <c r="B1452" i="10"/>
  <c r="B1453" i="10"/>
  <c r="B1454" i="10"/>
  <c r="B1455" i="10"/>
  <c r="B1456" i="10"/>
  <c r="B1457" i="10"/>
  <c r="B1458" i="10"/>
  <c r="B1459" i="10"/>
  <c r="B1460" i="10"/>
  <c r="B1461" i="10"/>
  <c r="B1462" i="10"/>
  <c r="B1463" i="10"/>
  <c r="B1464" i="10"/>
  <c r="B1465" i="10"/>
  <c r="B1466" i="10"/>
  <c r="B1467" i="10"/>
  <c r="B1468" i="10"/>
  <c r="B1469" i="10"/>
  <c r="B1470" i="10"/>
  <c r="B1471" i="10"/>
  <c r="B1472" i="10"/>
  <c r="B1473" i="10"/>
  <c r="B1474" i="10"/>
  <c r="B1475" i="10"/>
  <c r="B1476" i="10"/>
  <c r="B1477" i="10"/>
  <c r="B1478" i="10"/>
  <c r="B1479" i="10"/>
  <c r="B1480" i="10"/>
  <c r="B1481" i="10"/>
  <c r="B1482" i="10"/>
  <c r="B1483" i="10"/>
  <c r="B1484" i="10"/>
  <c r="B1485" i="10"/>
  <c r="B1486" i="10"/>
  <c r="B1487" i="10"/>
  <c r="B1488" i="10"/>
  <c r="B1489" i="10"/>
  <c r="B1490" i="10"/>
  <c r="B1491" i="10"/>
  <c r="B1492" i="10"/>
  <c r="B1493" i="10"/>
  <c r="B1494" i="10"/>
  <c r="B1495" i="10"/>
  <c r="B1496" i="10"/>
  <c r="B1497" i="10"/>
  <c r="B1498" i="10"/>
  <c r="B1499" i="10"/>
  <c r="B1500" i="10"/>
  <c r="B1501" i="10"/>
  <c r="B1502" i="10"/>
  <c r="B1503" i="10"/>
  <c r="B1504" i="10"/>
  <c r="B1505" i="10"/>
  <c r="B1506" i="10"/>
  <c r="B1507" i="10"/>
  <c r="B1508" i="10"/>
  <c r="B1509" i="10"/>
  <c r="B1510" i="10"/>
  <c r="B1511" i="10"/>
  <c r="B1512" i="10"/>
  <c r="B1513" i="10"/>
  <c r="B1514" i="10"/>
  <c r="B1515" i="10"/>
  <c r="B1516" i="10"/>
  <c r="B1517" i="10"/>
  <c r="B1518" i="10"/>
  <c r="B1519" i="10"/>
  <c r="B1520" i="10"/>
  <c r="B1521" i="10"/>
  <c r="B1522" i="10"/>
  <c r="B1523" i="10"/>
  <c r="B1524" i="10"/>
  <c r="B1525" i="10"/>
  <c r="B1526" i="10"/>
  <c r="B1527" i="10"/>
  <c r="B1528" i="10"/>
  <c r="B1529" i="10"/>
  <c r="B1530" i="10"/>
  <c r="B1531" i="10"/>
  <c r="B1532" i="10"/>
  <c r="B1533" i="10"/>
  <c r="B1534" i="10"/>
  <c r="B1535" i="10"/>
  <c r="B1536" i="10"/>
  <c r="B1537" i="10"/>
  <c r="B1538" i="10"/>
  <c r="B1539" i="10"/>
  <c r="B1540" i="10"/>
  <c r="B1541" i="10"/>
  <c r="B1542" i="10"/>
  <c r="B1543" i="10"/>
  <c r="B1544" i="10"/>
  <c r="B1545" i="10"/>
  <c r="B1546" i="10"/>
  <c r="B1547" i="10"/>
  <c r="B1548" i="10"/>
  <c r="B1549" i="10"/>
  <c r="B1550" i="10"/>
  <c r="B1551" i="10"/>
  <c r="B1552" i="10"/>
  <c r="B1553" i="10"/>
  <c r="B1554" i="10"/>
  <c r="B1555" i="10"/>
  <c r="B1556" i="10"/>
  <c r="B1557" i="10"/>
  <c r="B1558" i="10"/>
  <c r="B1559" i="10"/>
  <c r="B1560" i="10"/>
  <c r="B1561" i="10"/>
  <c r="B1562" i="10"/>
  <c r="B1563" i="10"/>
  <c r="B1564" i="10"/>
  <c r="B1565" i="10"/>
  <c r="B1566" i="10"/>
  <c r="B1567" i="10"/>
  <c r="B1568" i="10"/>
  <c r="B1569" i="10"/>
  <c r="B1570" i="10"/>
  <c r="B1571" i="10"/>
  <c r="B1572" i="10"/>
  <c r="B1573" i="10"/>
  <c r="B1574" i="10"/>
  <c r="B1575" i="10"/>
  <c r="B1576" i="10"/>
  <c r="B1577" i="10"/>
  <c r="B1578" i="10"/>
  <c r="B1579" i="10"/>
  <c r="B1580" i="10"/>
  <c r="B1581" i="10"/>
  <c r="B1582" i="10"/>
  <c r="B1583" i="10"/>
  <c r="B1584" i="10"/>
  <c r="B1585" i="10"/>
  <c r="B1586" i="10"/>
  <c r="B1587" i="10"/>
  <c r="B1588" i="10"/>
  <c r="B1589" i="10"/>
  <c r="B1590" i="10"/>
  <c r="B1591" i="10"/>
  <c r="C1591" i="10"/>
  <c r="B413" i="10"/>
  <c r="C413" i="10"/>
  <c r="B414" i="10"/>
  <c r="C414" i="10"/>
  <c r="B415" i="10"/>
  <c r="C415" i="10"/>
  <c r="B416" i="10"/>
  <c r="C416" i="10"/>
  <c r="B417" i="10"/>
  <c r="C417" i="10"/>
  <c r="B418" i="10"/>
  <c r="C418" i="10"/>
  <c r="B419" i="10"/>
  <c r="C419" i="10"/>
  <c r="B420" i="10"/>
  <c r="C420" i="10"/>
  <c r="B421" i="10"/>
  <c r="C421" i="10"/>
  <c r="B422" i="10"/>
  <c r="C422" i="10"/>
  <c r="B423" i="10"/>
  <c r="C423" i="10"/>
  <c r="B424" i="10"/>
  <c r="C424" i="10"/>
  <c r="B425" i="10"/>
  <c r="C425" i="10"/>
  <c r="B426" i="10"/>
  <c r="C426" i="10"/>
  <c r="B427" i="10"/>
  <c r="C427" i="10"/>
  <c r="B428" i="10"/>
  <c r="C428" i="10"/>
  <c r="B429" i="10"/>
  <c r="C429" i="10"/>
  <c r="B430" i="10"/>
  <c r="C430" i="10"/>
  <c r="B431" i="10"/>
  <c r="C431" i="10"/>
  <c r="B432" i="10"/>
  <c r="C432" i="10"/>
  <c r="B433" i="10"/>
  <c r="C433" i="10"/>
  <c r="B434" i="10"/>
  <c r="C434" i="10"/>
  <c r="B435" i="10"/>
  <c r="C435" i="10"/>
  <c r="B436" i="10"/>
  <c r="C436" i="10"/>
  <c r="B437" i="10"/>
  <c r="C437" i="10"/>
  <c r="B438" i="10"/>
  <c r="C438" i="10"/>
  <c r="B439" i="10"/>
  <c r="C439" i="10"/>
  <c r="B440" i="10"/>
  <c r="C440" i="10"/>
  <c r="B441" i="10"/>
  <c r="C441" i="10"/>
  <c r="B442" i="10"/>
  <c r="C442" i="10"/>
  <c r="B443" i="10"/>
  <c r="C443" i="10"/>
  <c r="B444" i="10"/>
  <c r="C444" i="10"/>
  <c r="B445" i="10"/>
  <c r="C445" i="10"/>
  <c r="B446" i="10"/>
  <c r="C446" i="10"/>
  <c r="B447" i="10"/>
  <c r="C447" i="10"/>
  <c r="B448" i="10"/>
  <c r="C448" i="10"/>
  <c r="B449" i="10"/>
  <c r="C449" i="10"/>
  <c r="B450" i="10"/>
  <c r="C450" i="10"/>
  <c r="B451" i="10"/>
  <c r="C451" i="10"/>
  <c r="B452" i="10"/>
  <c r="C452" i="10"/>
  <c r="B453" i="10"/>
  <c r="C453" i="10"/>
  <c r="B454" i="10"/>
  <c r="C454" i="10"/>
  <c r="B455" i="10"/>
  <c r="C455" i="10"/>
  <c r="B456" i="10"/>
  <c r="C456" i="10"/>
  <c r="B457" i="10"/>
  <c r="C457" i="10"/>
  <c r="B458" i="10"/>
  <c r="C458" i="10"/>
  <c r="B459" i="10"/>
  <c r="C459" i="10"/>
  <c r="B460" i="10"/>
  <c r="C460" i="10"/>
  <c r="B461" i="10"/>
  <c r="C461" i="10"/>
  <c r="B462" i="10"/>
  <c r="C462" i="10"/>
  <c r="B463" i="10"/>
  <c r="C463" i="10"/>
  <c r="B464" i="10"/>
  <c r="C464" i="10"/>
  <c r="B465" i="10"/>
  <c r="C465" i="10"/>
  <c r="B466" i="10"/>
  <c r="C466" i="10"/>
  <c r="B467" i="10"/>
  <c r="C467" i="10"/>
  <c r="B468" i="10"/>
  <c r="C468" i="10"/>
  <c r="B469" i="10"/>
  <c r="C469" i="10"/>
  <c r="B470" i="10"/>
  <c r="C470" i="10"/>
  <c r="B471" i="10"/>
  <c r="C471" i="10"/>
  <c r="B472" i="10"/>
  <c r="C472" i="10"/>
  <c r="B473" i="10"/>
  <c r="C473" i="10"/>
  <c r="B474" i="10"/>
  <c r="C474" i="10"/>
  <c r="B475" i="10"/>
  <c r="C475" i="10"/>
  <c r="B476" i="10"/>
  <c r="C476" i="10"/>
  <c r="B477" i="10"/>
  <c r="C477" i="10"/>
  <c r="B478" i="10"/>
  <c r="C478" i="10"/>
  <c r="B479" i="10"/>
  <c r="C479" i="10"/>
  <c r="B480" i="10"/>
  <c r="C480" i="10"/>
  <c r="B481" i="10"/>
  <c r="C481" i="10"/>
  <c r="B482" i="10"/>
  <c r="C482" i="10"/>
  <c r="B483" i="10"/>
  <c r="C483" i="10"/>
  <c r="B484" i="10"/>
  <c r="C484" i="10"/>
  <c r="B485" i="10"/>
  <c r="C485" i="10"/>
  <c r="B486" i="10"/>
  <c r="C486" i="10"/>
  <c r="B487" i="10"/>
  <c r="C487" i="10"/>
  <c r="B488" i="10"/>
  <c r="C488" i="10"/>
  <c r="B489" i="10"/>
  <c r="C489" i="10"/>
  <c r="B490" i="10"/>
  <c r="C490" i="10"/>
  <c r="B491" i="10"/>
  <c r="C491" i="10"/>
  <c r="B492" i="10"/>
  <c r="C492" i="10"/>
  <c r="B493" i="10"/>
  <c r="C493" i="10"/>
  <c r="B494" i="10"/>
  <c r="C494" i="10"/>
  <c r="B495" i="10"/>
  <c r="C495" i="10"/>
  <c r="B496" i="10"/>
  <c r="C496" i="10"/>
  <c r="B497" i="10"/>
  <c r="C497" i="10"/>
  <c r="B498" i="10"/>
  <c r="C498" i="10"/>
  <c r="B499" i="10"/>
  <c r="C499" i="10"/>
  <c r="B500" i="10"/>
  <c r="C500" i="10"/>
  <c r="B501" i="10"/>
  <c r="C501" i="10"/>
  <c r="B502" i="10"/>
  <c r="C502" i="10"/>
  <c r="B503" i="10"/>
  <c r="C503" i="10"/>
  <c r="B504" i="10"/>
  <c r="C504" i="10"/>
  <c r="B505" i="10"/>
  <c r="C505" i="10"/>
  <c r="B506" i="10"/>
  <c r="C506" i="10"/>
  <c r="B507" i="10"/>
  <c r="C507" i="10"/>
  <c r="B508" i="10"/>
  <c r="C508" i="10"/>
  <c r="B509" i="10"/>
  <c r="C509" i="10"/>
  <c r="B510" i="10"/>
  <c r="C510" i="10"/>
  <c r="B511" i="10"/>
  <c r="C511" i="10"/>
  <c r="B512" i="10"/>
  <c r="C512" i="10"/>
  <c r="B513" i="10"/>
  <c r="C513" i="10"/>
  <c r="B514" i="10"/>
  <c r="C514" i="10"/>
  <c r="B515" i="10"/>
  <c r="C515" i="10"/>
  <c r="B516" i="10"/>
  <c r="C516" i="10"/>
  <c r="B517" i="10"/>
  <c r="C517" i="10"/>
  <c r="B518" i="10"/>
  <c r="C518" i="10"/>
  <c r="B519" i="10"/>
  <c r="C519" i="10"/>
  <c r="B520" i="10"/>
  <c r="C520" i="10"/>
  <c r="B521" i="10"/>
  <c r="C521" i="10"/>
  <c r="B522" i="10"/>
  <c r="C522" i="10"/>
  <c r="B523" i="10"/>
  <c r="C523" i="10"/>
  <c r="B524" i="10"/>
  <c r="C524" i="10"/>
  <c r="B525" i="10"/>
  <c r="C525" i="10"/>
  <c r="B526" i="10"/>
  <c r="C526" i="10"/>
  <c r="B527" i="10"/>
  <c r="C527" i="10"/>
  <c r="B528" i="10"/>
  <c r="C528" i="10"/>
  <c r="B529" i="10"/>
  <c r="C529" i="10"/>
  <c r="B530" i="10"/>
  <c r="C530" i="10"/>
  <c r="B531" i="10"/>
  <c r="C531" i="10"/>
  <c r="B532" i="10"/>
  <c r="C532" i="10"/>
  <c r="B533" i="10"/>
  <c r="C533" i="10"/>
  <c r="B534" i="10"/>
  <c r="C534" i="10"/>
  <c r="B535" i="10"/>
  <c r="C535" i="10"/>
  <c r="B536" i="10"/>
  <c r="C536" i="10"/>
  <c r="B537" i="10"/>
  <c r="C537" i="10"/>
  <c r="B538" i="10"/>
  <c r="C538" i="10"/>
  <c r="B539" i="10"/>
  <c r="C539" i="10"/>
  <c r="B540" i="10"/>
  <c r="C540" i="10"/>
  <c r="B541" i="10"/>
  <c r="C541" i="10"/>
  <c r="B542" i="10"/>
  <c r="C542" i="10"/>
  <c r="B543" i="10"/>
  <c r="C543" i="10"/>
  <c r="B544" i="10"/>
  <c r="C544" i="10"/>
  <c r="B545" i="10"/>
  <c r="C545" i="10"/>
  <c r="B546" i="10"/>
  <c r="C546" i="10"/>
  <c r="B547" i="10"/>
  <c r="C547" i="10"/>
  <c r="B548" i="10"/>
  <c r="C548" i="10"/>
  <c r="B549" i="10"/>
  <c r="C549" i="10"/>
  <c r="B550" i="10"/>
  <c r="C550" i="10"/>
  <c r="B551" i="10"/>
  <c r="C551" i="10"/>
  <c r="B552" i="10"/>
  <c r="C552" i="10"/>
  <c r="B553" i="10"/>
  <c r="C553" i="10"/>
  <c r="B554" i="10"/>
  <c r="C554" i="10"/>
  <c r="B555" i="10"/>
  <c r="C555" i="10"/>
  <c r="B556" i="10"/>
  <c r="C556" i="10"/>
  <c r="B557" i="10"/>
  <c r="C557" i="10"/>
  <c r="B558" i="10"/>
  <c r="C558" i="10"/>
  <c r="B559" i="10"/>
  <c r="C559" i="10"/>
  <c r="B560" i="10"/>
  <c r="C560" i="10"/>
  <c r="B561" i="10"/>
  <c r="C561" i="10"/>
  <c r="B562" i="10"/>
  <c r="C562" i="10"/>
  <c r="B563" i="10"/>
  <c r="C563" i="10"/>
  <c r="B564" i="10"/>
  <c r="C564" i="10"/>
  <c r="B565" i="10"/>
  <c r="C565" i="10"/>
  <c r="B566" i="10"/>
  <c r="C566" i="10"/>
  <c r="B567" i="10"/>
  <c r="C567" i="10"/>
  <c r="B568" i="10"/>
  <c r="C568" i="10"/>
  <c r="B569" i="10"/>
  <c r="C569" i="10"/>
  <c r="B570" i="10"/>
  <c r="C570" i="10"/>
  <c r="B571" i="10"/>
  <c r="C571" i="10"/>
  <c r="B572" i="10"/>
  <c r="C572" i="10"/>
  <c r="B573" i="10"/>
  <c r="C573" i="10"/>
  <c r="B574" i="10"/>
  <c r="C574" i="10"/>
  <c r="B575" i="10"/>
  <c r="C575" i="10"/>
  <c r="B576" i="10"/>
  <c r="C576" i="10"/>
  <c r="B577" i="10"/>
  <c r="C577" i="10"/>
  <c r="B578" i="10"/>
  <c r="C578" i="10"/>
  <c r="B579" i="10"/>
  <c r="C579" i="10"/>
  <c r="B580" i="10"/>
  <c r="C580" i="10"/>
  <c r="B581" i="10"/>
  <c r="C581" i="10"/>
  <c r="B582" i="10"/>
  <c r="C582" i="10"/>
  <c r="B583" i="10"/>
  <c r="C583" i="10"/>
  <c r="B584" i="10"/>
  <c r="C584" i="10"/>
  <c r="B585" i="10"/>
  <c r="C585" i="10"/>
  <c r="B586" i="10"/>
  <c r="C586" i="10"/>
  <c r="B587" i="10"/>
  <c r="C587" i="10"/>
  <c r="B588" i="10"/>
  <c r="C588" i="10"/>
  <c r="B589" i="10"/>
  <c r="C589" i="10"/>
  <c r="B590" i="10"/>
  <c r="C590" i="10"/>
  <c r="B591" i="10"/>
  <c r="C591" i="10"/>
  <c r="B592" i="10"/>
  <c r="C592" i="10"/>
  <c r="B593" i="10"/>
  <c r="C593" i="10"/>
  <c r="B594" i="10"/>
  <c r="C594" i="10"/>
  <c r="B595" i="10"/>
  <c r="C595" i="10"/>
  <c r="B596" i="10"/>
  <c r="C596" i="10"/>
  <c r="B597" i="10"/>
  <c r="C597" i="10"/>
  <c r="B598" i="10"/>
  <c r="C598" i="10"/>
  <c r="B599" i="10"/>
  <c r="C599" i="10"/>
  <c r="B600" i="10"/>
  <c r="C600" i="10"/>
  <c r="B601" i="10"/>
  <c r="C601" i="10"/>
  <c r="B602" i="10"/>
  <c r="C602" i="10"/>
  <c r="B603" i="10"/>
  <c r="C603" i="10"/>
  <c r="B604" i="10"/>
  <c r="C604" i="10"/>
  <c r="B605" i="10"/>
  <c r="C605" i="10"/>
  <c r="B606" i="10"/>
  <c r="C606" i="10"/>
  <c r="B607" i="10"/>
  <c r="C607" i="10"/>
  <c r="B608" i="10"/>
  <c r="C608" i="10"/>
  <c r="B609" i="10"/>
  <c r="C609" i="10"/>
  <c r="B610" i="10"/>
  <c r="C610" i="10"/>
  <c r="B611" i="10"/>
  <c r="C611" i="10"/>
  <c r="B612" i="10"/>
  <c r="C612" i="10"/>
  <c r="B613" i="10"/>
  <c r="C613" i="10"/>
  <c r="B614" i="10"/>
  <c r="C614" i="10"/>
  <c r="B615" i="10"/>
  <c r="C615" i="10"/>
  <c r="B616" i="10"/>
  <c r="C616" i="10"/>
  <c r="B617" i="10"/>
  <c r="C617" i="10"/>
  <c r="B618" i="10"/>
  <c r="C618" i="10"/>
  <c r="B619" i="10"/>
  <c r="C619" i="10"/>
  <c r="B620" i="10"/>
  <c r="C620" i="10"/>
  <c r="B621" i="10"/>
  <c r="C621" i="10"/>
  <c r="B622" i="10"/>
  <c r="C622" i="10"/>
  <c r="B623" i="10"/>
  <c r="C623" i="10"/>
  <c r="B624" i="10"/>
  <c r="C624" i="10"/>
  <c r="B625" i="10"/>
  <c r="C625" i="10"/>
  <c r="B626" i="10"/>
  <c r="C626" i="10"/>
  <c r="B627" i="10"/>
  <c r="C627" i="10"/>
  <c r="B628" i="10"/>
  <c r="C628" i="10"/>
  <c r="B629" i="10"/>
  <c r="C629" i="10"/>
  <c r="B630" i="10"/>
  <c r="C630" i="10"/>
  <c r="B631" i="10"/>
  <c r="C631" i="10"/>
  <c r="B632" i="10"/>
  <c r="C632" i="10"/>
  <c r="B633" i="10"/>
  <c r="C633" i="10"/>
  <c r="B634" i="10"/>
  <c r="C634" i="10"/>
  <c r="B635" i="10"/>
  <c r="C635" i="10"/>
  <c r="B636" i="10"/>
  <c r="C636" i="10"/>
  <c r="B637" i="10"/>
  <c r="C637" i="10"/>
  <c r="B638" i="10"/>
  <c r="C638" i="10"/>
  <c r="B639" i="10"/>
  <c r="C639" i="10"/>
  <c r="B640" i="10"/>
  <c r="C640" i="10"/>
  <c r="B641" i="10"/>
  <c r="C641" i="10"/>
  <c r="B642" i="10"/>
  <c r="C642" i="10"/>
  <c r="B643" i="10"/>
  <c r="C643" i="10"/>
  <c r="B644" i="10"/>
  <c r="C644" i="10"/>
  <c r="B645" i="10"/>
  <c r="C645" i="10"/>
  <c r="B646" i="10"/>
  <c r="C646" i="10"/>
  <c r="B647" i="10"/>
  <c r="C647" i="10"/>
  <c r="B648" i="10"/>
  <c r="C648" i="10"/>
  <c r="B649" i="10"/>
  <c r="C649" i="10"/>
  <c r="B650" i="10"/>
  <c r="C650" i="10"/>
  <c r="B651" i="10"/>
  <c r="C651" i="10"/>
  <c r="B652" i="10"/>
  <c r="C652" i="10"/>
  <c r="B653" i="10"/>
  <c r="C653" i="10"/>
  <c r="B654" i="10"/>
  <c r="C654" i="10"/>
  <c r="B655" i="10"/>
  <c r="C655" i="10"/>
  <c r="B656" i="10"/>
  <c r="C656" i="10"/>
  <c r="B657" i="10"/>
  <c r="C657" i="10"/>
  <c r="B658" i="10"/>
  <c r="C658" i="10"/>
  <c r="B659" i="10"/>
  <c r="C659" i="10"/>
  <c r="B660" i="10"/>
  <c r="C660" i="10"/>
  <c r="B661" i="10"/>
  <c r="C661" i="10"/>
  <c r="B662" i="10"/>
  <c r="C662" i="10"/>
  <c r="B663" i="10"/>
  <c r="C663" i="10"/>
  <c r="B664" i="10"/>
  <c r="C664" i="10"/>
  <c r="B665" i="10"/>
  <c r="C665" i="10"/>
  <c r="B666" i="10"/>
  <c r="C666" i="10"/>
  <c r="B667" i="10"/>
  <c r="C667" i="10"/>
  <c r="B668" i="10"/>
  <c r="C668" i="10"/>
  <c r="B669" i="10"/>
  <c r="C669" i="10"/>
  <c r="B670" i="10"/>
  <c r="C670" i="10"/>
  <c r="B671" i="10"/>
  <c r="C671" i="10"/>
  <c r="B672" i="10"/>
  <c r="C672" i="10"/>
  <c r="B673" i="10"/>
  <c r="C673" i="10"/>
  <c r="B674" i="10"/>
  <c r="C674" i="10"/>
  <c r="B675" i="10"/>
  <c r="C675" i="10"/>
  <c r="B676" i="10"/>
  <c r="C676" i="10"/>
  <c r="B677" i="10"/>
  <c r="C677" i="10"/>
  <c r="B678" i="10"/>
  <c r="C678" i="10"/>
  <c r="B679" i="10"/>
  <c r="C679" i="10"/>
  <c r="B680" i="10"/>
  <c r="C680" i="10"/>
  <c r="B681" i="10"/>
  <c r="C681" i="10"/>
  <c r="B682" i="10"/>
  <c r="C682" i="10"/>
  <c r="B683" i="10"/>
  <c r="C683" i="10"/>
  <c r="B684" i="10"/>
  <c r="C684" i="10"/>
  <c r="B685" i="10"/>
  <c r="C685" i="10"/>
  <c r="B686" i="10"/>
  <c r="C686" i="10"/>
  <c r="B687" i="10"/>
  <c r="C687" i="10"/>
  <c r="B688" i="10"/>
  <c r="C688" i="10"/>
  <c r="B689" i="10"/>
  <c r="C689" i="10"/>
  <c r="B690" i="10"/>
  <c r="C690" i="10"/>
  <c r="B691" i="10"/>
  <c r="C691" i="10"/>
  <c r="B692" i="10"/>
  <c r="C692" i="10"/>
  <c r="B693" i="10"/>
  <c r="C693" i="10"/>
  <c r="B694" i="10"/>
  <c r="C694" i="10"/>
  <c r="B695" i="10"/>
  <c r="C695" i="10"/>
  <c r="B696" i="10"/>
  <c r="C696" i="10"/>
  <c r="B697" i="10"/>
  <c r="C697" i="10"/>
  <c r="B698" i="10"/>
  <c r="C698" i="10"/>
  <c r="B699" i="10"/>
  <c r="C699" i="10"/>
  <c r="B700" i="10"/>
  <c r="C700" i="10"/>
  <c r="B701" i="10"/>
  <c r="C701" i="10"/>
  <c r="B702" i="10"/>
  <c r="C702" i="10"/>
  <c r="B703" i="10"/>
  <c r="C703" i="10"/>
  <c r="B704" i="10"/>
  <c r="C704" i="10"/>
  <c r="B705" i="10"/>
  <c r="C705" i="10"/>
  <c r="B706" i="10"/>
  <c r="C706" i="10"/>
  <c r="B707" i="10"/>
  <c r="C707" i="10"/>
  <c r="B708" i="10"/>
  <c r="C708" i="10"/>
  <c r="B709" i="10"/>
  <c r="C709" i="10"/>
  <c r="B710" i="10"/>
  <c r="C710" i="10"/>
  <c r="B711" i="10"/>
  <c r="C711" i="10"/>
  <c r="B712" i="10"/>
  <c r="C712" i="10"/>
  <c r="B713" i="10"/>
  <c r="C713" i="10"/>
  <c r="B714" i="10"/>
  <c r="C714" i="10"/>
  <c r="B715" i="10"/>
  <c r="C715" i="10"/>
  <c r="B716" i="10"/>
  <c r="C716" i="10"/>
  <c r="B717" i="10"/>
  <c r="C717" i="10"/>
  <c r="B718" i="10"/>
  <c r="C718" i="10"/>
  <c r="B719" i="10"/>
  <c r="C719" i="10"/>
  <c r="B720" i="10"/>
  <c r="C720" i="10"/>
  <c r="B721" i="10"/>
  <c r="C721" i="10"/>
  <c r="B722" i="10"/>
  <c r="C722" i="10"/>
  <c r="B723" i="10"/>
  <c r="C723" i="10"/>
  <c r="B724" i="10"/>
  <c r="C724" i="10"/>
  <c r="B725" i="10"/>
  <c r="C725" i="10"/>
  <c r="B726" i="10"/>
  <c r="C726" i="10"/>
  <c r="B727" i="10"/>
  <c r="C727" i="10"/>
  <c r="B728" i="10"/>
  <c r="C728" i="10"/>
  <c r="B729" i="10"/>
  <c r="C729" i="10"/>
  <c r="B730" i="10"/>
  <c r="C730" i="10"/>
  <c r="B731" i="10"/>
  <c r="C731" i="10"/>
  <c r="B732" i="10"/>
  <c r="C732" i="10"/>
  <c r="B733" i="10"/>
  <c r="C733" i="10"/>
  <c r="B734" i="10"/>
  <c r="C734" i="10"/>
  <c r="B735" i="10"/>
  <c r="C735" i="10"/>
  <c r="B736" i="10"/>
  <c r="C736" i="10"/>
  <c r="B737" i="10"/>
  <c r="C737" i="10"/>
  <c r="B738" i="10"/>
  <c r="C738" i="10"/>
  <c r="B739" i="10"/>
  <c r="C739" i="10"/>
  <c r="B740" i="10"/>
  <c r="C740" i="10"/>
  <c r="B741" i="10"/>
  <c r="C741" i="10"/>
  <c r="B742" i="10"/>
  <c r="C742" i="10"/>
  <c r="B743" i="10"/>
  <c r="C743" i="10"/>
  <c r="B744" i="10"/>
  <c r="C744" i="10"/>
  <c r="B745" i="10"/>
  <c r="C745" i="10"/>
  <c r="B746" i="10"/>
  <c r="C746" i="10"/>
  <c r="B747" i="10"/>
  <c r="C747" i="10"/>
  <c r="B748" i="10"/>
  <c r="C748" i="10"/>
  <c r="B749" i="10"/>
  <c r="C749" i="10"/>
  <c r="B750" i="10"/>
  <c r="C750" i="10"/>
  <c r="B751" i="10"/>
  <c r="C751" i="10"/>
  <c r="B752" i="10"/>
  <c r="C752" i="10"/>
  <c r="B753" i="10"/>
  <c r="C753" i="10"/>
  <c r="B754" i="10"/>
  <c r="C754" i="10"/>
  <c r="B755" i="10"/>
  <c r="C755" i="10"/>
  <c r="B756" i="10"/>
  <c r="C756" i="10"/>
  <c r="B757" i="10"/>
  <c r="C757" i="10"/>
  <c r="B758" i="10"/>
  <c r="C758" i="10"/>
  <c r="B759" i="10"/>
  <c r="C759" i="10"/>
  <c r="B760" i="10"/>
  <c r="C760" i="10"/>
  <c r="B761" i="10"/>
  <c r="C761" i="10"/>
  <c r="B762" i="10"/>
  <c r="C762" i="10"/>
  <c r="B763" i="10"/>
  <c r="C763" i="10"/>
  <c r="B764" i="10"/>
  <c r="C764" i="10"/>
  <c r="B765" i="10"/>
  <c r="C765" i="10"/>
  <c r="B766" i="10"/>
  <c r="C766" i="10"/>
  <c r="B767" i="10"/>
  <c r="C767" i="10"/>
  <c r="B768" i="10"/>
  <c r="C768" i="10"/>
  <c r="B769" i="10"/>
  <c r="C769" i="10"/>
  <c r="B770" i="10"/>
  <c r="C770" i="10"/>
  <c r="B771" i="10"/>
  <c r="C771" i="10"/>
  <c r="B772" i="10"/>
  <c r="C772" i="10"/>
  <c r="B773" i="10"/>
  <c r="C773" i="10"/>
  <c r="B774" i="10"/>
  <c r="C774" i="10"/>
  <c r="B775" i="10"/>
  <c r="C775" i="10"/>
  <c r="B776" i="10"/>
  <c r="C776" i="10"/>
  <c r="B777" i="10"/>
  <c r="C777" i="10"/>
  <c r="B778" i="10"/>
  <c r="C778" i="10"/>
  <c r="B779" i="10"/>
  <c r="C779" i="10"/>
  <c r="B780" i="10"/>
  <c r="C780" i="10"/>
  <c r="B781" i="10"/>
  <c r="C781" i="10"/>
  <c r="B782" i="10"/>
  <c r="C782" i="10"/>
  <c r="B783" i="10"/>
  <c r="C783" i="10"/>
  <c r="B784" i="10"/>
  <c r="C784" i="10"/>
  <c r="B785" i="10"/>
  <c r="C785" i="10"/>
  <c r="B786" i="10"/>
  <c r="C786" i="10"/>
  <c r="B787" i="10"/>
  <c r="C787" i="10"/>
  <c r="B788" i="10"/>
  <c r="C788" i="10"/>
  <c r="B789" i="10"/>
  <c r="C789" i="10"/>
  <c r="B790" i="10"/>
  <c r="C790" i="10"/>
  <c r="B791" i="10"/>
  <c r="C791" i="10"/>
  <c r="C412" i="10"/>
  <c r="B412" i="10"/>
  <c r="D13" i="10"/>
  <c r="D12" i="10"/>
  <c r="H791" i="10"/>
  <c r="E12" i="10"/>
  <c r="E13" i="10"/>
  <c r="E20" i="10"/>
  <c r="E33" i="10"/>
  <c r="E40" i="10"/>
  <c r="E46" i="10"/>
  <c r="E47" i="10"/>
  <c r="E51" i="10"/>
  <c r="E56" i="10"/>
  <c r="E66" i="10"/>
  <c r="E67" i="10"/>
  <c r="E76" i="10"/>
  <c r="E84" i="10"/>
  <c r="E97" i="10"/>
  <c r="E98" i="10"/>
  <c r="E100" i="10"/>
  <c r="E106" i="10"/>
  <c r="E119" i="10"/>
  <c r="E125" i="10"/>
  <c r="E126" i="10"/>
  <c r="E132" i="10"/>
  <c r="E137" i="10"/>
  <c r="E143" i="10"/>
  <c r="E144" i="10"/>
  <c r="E145" i="10"/>
  <c r="E149" i="10"/>
  <c r="E153" i="10"/>
  <c r="E158" i="10"/>
  <c r="E159" i="10"/>
  <c r="E169" i="10"/>
  <c r="E177" i="10"/>
  <c r="E189" i="10"/>
  <c r="E196" i="10"/>
  <c r="E207" i="10"/>
  <c r="E212" i="10"/>
  <c r="E218" i="10"/>
  <c r="E219" i="10"/>
  <c r="E236" i="10"/>
  <c r="E242" i="10"/>
  <c r="E253" i="10"/>
  <c r="E256" i="10"/>
  <c r="E257" i="10"/>
  <c r="E264" i="10"/>
  <c r="E269" i="10"/>
  <c r="E273" i="10"/>
  <c r="E277" i="10"/>
  <c r="E278" i="10"/>
  <c r="E289" i="10"/>
  <c r="E299" i="10"/>
  <c r="E302" i="10"/>
  <c r="E308" i="10"/>
  <c r="E312" i="10"/>
  <c r="E315" i="10"/>
  <c r="E318" i="10"/>
  <c r="E323" i="10"/>
  <c r="E324" i="10"/>
  <c r="E325" i="10"/>
  <c r="E332" i="10"/>
  <c r="E339" i="10"/>
  <c r="E346" i="10"/>
  <c r="E353" i="10"/>
  <c r="E360" i="10"/>
  <c r="E367" i="10"/>
  <c r="E374" i="10"/>
  <c r="E380" i="10"/>
  <c r="E390" i="10"/>
  <c r="E791" i="10"/>
  <c r="N1191" i="10"/>
  <c r="K1191" i="10"/>
  <c r="J1191" i="10"/>
  <c r="K461" i="26"/>
  <c r="W1" i="10"/>
  <c r="AT1" i="10"/>
  <c r="AS1" i="10"/>
  <c r="AH1" i="10"/>
  <c r="AI1" i="10"/>
  <c r="S1" i="10"/>
  <c r="T1" i="10"/>
  <c r="AR1" i="10"/>
  <c r="J1" i="10"/>
  <c r="K1" i="10"/>
  <c r="L1" i="10"/>
  <c r="M1" i="10"/>
  <c r="N1" i="10"/>
  <c r="O1" i="10"/>
  <c r="P1" i="10"/>
  <c r="Q1" i="10"/>
  <c r="R1" i="10"/>
  <c r="U1" i="10"/>
  <c r="V1" i="10"/>
  <c r="X1" i="10"/>
  <c r="Y1" i="10"/>
  <c r="Z1" i="10"/>
  <c r="AA1" i="10"/>
  <c r="AB1" i="10"/>
  <c r="AC1" i="10"/>
  <c r="AD1" i="10"/>
  <c r="AE1" i="10"/>
  <c r="AF1" i="10"/>
  <c r="AG1" i="10"/>
  <c r="AJ1" i="10"/>
  <c r="AK1" i="10"/>
  <c r="AL1" i="10"/>
  <c r="AM1" i="10"/>
  <c r="AN1" i="10"/>
  <c r="AO1" i="10"/>
  <c r="AP1" i="10"/>
  <c r="AQ1" i="10"/>
  <c r="AU1" i="10"/>
  <c r="AV1" i="10"/>
  <c r="AW1" i="10"/>
  <c r="AX1" i="10"/>
  <c r="AY1" i="10"/>
  <c r="C6" i="29"/>
  <c r="AZ12" i="26"/>
  <c r="AZ13" i="26"/>
  <c r="AZ20" i="26"/>
  <c r="BB20" i="26" s="1"/>
  <c r="AZ33" i="26"/>
  <c r="BB33" i="26" s="1"/>
  <c r="AZ40" i="26"/>
  <c r="BB40" i="26" s="1"/>
  <c r="AZ46" i="26"/>
  <c r="BB46" i="26" s="1"/>
  <c r="AZ47" i="26"/>
  <c r="BB47" i="26" s="1"/>
  <c r="AZ51" i="26"/>
  <c r="BB51" i="26" s="1"/>
  <c r="AZ56" i="26"/>
  <c r="BB56" i="26" s="1"/>
  <c r="AZ66" i="26"/>
  <c r="BB66" i="26" s="1"/>
  <c r="AZ67" i="26"/>
  <c r="BB67" i="26" s="1"/>
  <c r="AZ76" i="26"/>
  <c r="BB76" i="26" s="1"/>
  <c r="AZ84" i="26"/>
  <c r="BB84" i="26" s="1"/>
  <c r="AZ97" i="26"/>
  <c r="BB97" i="26" s="1"/>
  <c r="AZ98" i="26"/>
  <c r="BB98" i="26" s="1"/>
  <c r="AZ100" i="26"/>
  <c r="BB100" i="26" s="1"/>
  <c r="AZ106" i="26"/>
  <c r="BB106" i="26" s="1"/>
  <c r="AZ119" i="26"/>
  <c r="BB119" i="26" s="1"/>
  <c r="AZ125" i="26"/>
  <c r="BB125" i="26" s="1"/>
  <c r="AZ126" i="26"/>
  <c r="BB126" i="26" s="1"/>
  <c r="AZ132" i="26"/>
  <c r="BB132" i="26" s="1"/>
  <c r="AZ137" i="26"/>
  <c r="BB137" i="26" s="1"/>
  <c r="AZ143" i="26"/>
  <c r="BB143" i="26" s="1"/>
  <c r="AZ144" i="26"/>
  <c r="BB144" i="26" s="1"/>
  <c r="AZ145" i="26"/>
  <c r="BB145" i="26" s="1"/>
  <c r="AZ149" i="26"/>
  <c r="BB149" i="26" s="1"/>
  <c r="AZ153" i="26"/>
  <c r="BB153" i="26" s="1"/>
  <c r="AZ158" i="26"/>
  <c r="BB158" i="26" s="1"/>
  <c r="AZ159" i="26"/>
  <c r="BB159" i="26" s="1"/>
  <c r="AZ169" i="26"/>
  <c r="BB169" i="26" s="1"/>
  <c r="AZ177" i="26"/>
  <c r="BB177" i="26" s="1"/>
  <c r="AZ189" i="26"/>
  <c r="BB189" i="26" s="1"/>
  <c r="AZ196" i="26"/>
  <c r="BB196" i="26" s="1"/>
  <c r="AZ207" i="26"/>
  <c r="BB207" i="26" s="1"/>
  <c r="AZ212" i="26"/>
  <c r="BB212" i="26" s="1"/>
  <c r="AZ218" i="26"/>
  <c r="BB218" i="26" s="1"/>
  <c r="AZ219" i="26"/>
  <c r="BB219" i="26" s="1"/>
  <c r="AZ236" i="26"/>
  <c r="BB236" i="26" s="1"/>
  <c r="AZ242" i="26"/>
  <c r="BB242" i="26" s="1"/>
  <c r="AZ253" i="26"/>
  <c r="BB253" i="26" s="1"/>
  <c r="AZ256" i="26"/>
  <c r="BB256" i="26" s="1"/>
  <c r="AZ257" i="26"/>
  <c r="BB257" i="26" s="1"/>
  <c r="AZ264" i="26"/>
  <c r="BB264" i="26" s="1"/>
  <c r="AZ269" i="26"/>
  <c r="BB269" i="26" s="1"/>
  <c r="AZ273" i="26"/>
  <c r="BB273" i="26" s="1"/>
  <c r="AZ277" i="26"/>
  <c r="BB277" i="26" s="1"/>
  <c r="AZ278" i="26"/>
  <c r="BB278" i="26" s="1"/>
  <c r="AZ289" i="26"/>
  <c r="BB289" i="26" s="1"/>
  <c r="AZ299" i="26"/>
  <c r="BB299" i="26" s="1"/>
  <c r="AZ302" i="26"/>
  <c r="BB302" i="26" s="1"/>
  <c r="AZ308" i="26"/>
  <c r="BB308" i="26" s="1"/>
  <c r="AZ312" i="26"/>
  <c r="BB312" i="26" s="1"/>
  <c r="AZ315" i="26"/>
  <c r="BB315" i="26" s="1"/>
  <c r="AZ318" i="26"/>
  <c r="BB318" i="26" s="1"/>
  <c r="AZ323" i="26"/>
  <c r="BB323" i="26" s="1"/>
  <c r="AZ324" i="26"/>
  <c r="BB324" i="26" s="1"/>
  <c r="AZ325" i="26"/>
  <c r="BB325" i="26" s="1"/>
  <c r="AZ332" i="26"/>
  <c r="BB332" i="26" s="1"/>
  <c r="AZ339" i="26"/>
  <c r="BB339" i="26" s="1"/>
  <c r="AZ346" i="26"/>
  <c r="BB346" i="26" s="1"/>
  <c r="AZ353" i="26"/>
  <c r="BB353" i="26" s="1"/>
  <c r="AZ360" i="26"/>
  <c r="BB360" i="26" s="1"/>
  <c r="AZ367" i="26"/>
  <c r="BB367" i="26" s="1"/>
  <c r="AZ374" i="26"/>
  <c r="BB374" i="26" s="1"/>
  <c r="AZ380" i="26"/>
  <c r="BB380" i="26" s="1"/>
  <c r="AZ390" i="26"/>
  <c r="BB390" i="26" s="1"/>
  <c r="AN391" i="26"/>
  <c r="AF520" i="26"/>
  <c r="AP393" i="7"/>
  <c r="AP392" i="7" s="1"/>
  <c r="AZ392" i="7" s="1"/>
  <c r="BA392" i="7" s="1"/>
  <c r="BB14" i="7"/>
  <c r="BC14" i="7" s="1"/>
  <c r="BB15" i="7"/>
  <c r="BC15" i="7" s="1"/>
  <c r="BB16" i="7"/>
  <c r="BC16" i="7" s="1"/>
  <c r="BB17" i="7"/>
  <c r="BC17" i="7" s="1"/>
  <c r="BB18" i="7"/>
  <c r="BC18" i="7" s="1"/>
  <c r="BB19" i="7"/>
  <c r="BC19" i="7" s="1"/>
  <c r="BB21" i="7"/>
  <c r="BC21" i="7" s="1"/>
  <c r="BB22" i="7"/>
  <c r="BC22" i="7" s="1"/>
  <c r="BB23" i="7"/>
  <c r="BC23" i="7" s="1"/>
  <c r="BB24" i="7"/>
  <c r="BC24" i="7" s="1"/>
  <c r="BB25" i="7"/>
  <c r="BC25" i="7" s="1"/>
  <c r="BB26" i="7"/>
  <c r="BC26" i="7" s="1"/>
  <c r="BB27" i="7"/>
  <c r="BC27" i="7" s="1"/>
  <c r="BB28" i="7"/>
  <c r="BC28" i="7" s="1"/>
  <c r="BB29" i="7"/>
  <c r="BC29" i="7" s="1"/>
  <c r="BB30" i="7"/>
  <c r="BC30" i="7" s="1"/>
  <c r="BB31" i="7"/>
  <c r="BC31" i="7" s="1"/>
  <c r="BB32" i="7"/>
  <c r="BC32" i="7" s="1"/>
  <c r="BB34" i="7"/>
  <c r="BC34" i="7" s="1"/>
  <c r="BB35" i="7"/>
  <c r="BC35" i="7" s="1"/>
  <c r="BB36" i="7"/>
  <c r="BC36" i="7" s="1"/>
  <c r="BB37" i="7"/>
  <c r="BC37" i="7" s="1"/>
  <c r="BB38" i="7"/>
  <c r="BC38" i="7" s="1"/>
  <c r="BB39" i="7"/>
  <c r="BC39" i="7" s="1"/>
  <c r="BB41" i="7"/>
  <c r="BC41" i="7" s="1"/>
  <c r="BB42" i="7"/>
  <c r="BC42" i="7" s="1"/>
  <c r="BB43" i="7"/>
  <c r="BC43" i="7" s="1"/>
  <c r="BB44" i="7"/>
  <c r="BC44" i="7" s="1"/>
  <c r="BB45" i="7"/>
  <c r="BC45" i="7" s="1"/>
  <c r="BB48" i="7"/>
  <c r="BC48" i="7" s="1"/>
  <c r="BB49" i="7"/>
  <c r="BC49" i="7" s="1"/>
  <c r="BB50" i="7"/>
  <c r="BC50" i="7" s="1"/>
  <c r="BB52" i="7"/>
  <c r="BC52" i="7" s="1"/>
  <c r="BB53" i="7"/>
  <c r="BC53" i="7" s="1"/>
  <c r="BB54" i="7"/>
  <c r="BC54" i="7" s="1"/>
  <c r="BB55" i="7"/>
  <c r="BC55" i="7" s="1"/>
  <c r="BB57" i="7"/>
  <c r="BC57" i="7" s="1"/>
  <c r="BB58" i="7"/>
  <c r="BC58" i="7" s="1"/>
  <c r="BB59" i="7"/>
  <c r="BC59" i="7" s="1"/>
  <c r="BB60" i="7"/>
  <c r="BC60" i="7" s="1"/>
  <c r="BB61" i="7"/>
  <c r="BC61" i="7" s="1"/>
  <c r="BB62" i="7"/>
  <c r="BC62" i="7" s="1"/>
  <c r="BB63" i="7"/>
  <c r="BC63" i="7" s="1"/>
  <c r="BB64" i="7"/>
  <c r="BC64" i="7" s="1"/>
  <c r="BB65" i="7"/>
  <c r="BC65" i="7" s="1"/>
  <c r="BB68" i="7"/>
  <c r="BC68" i="7" s="1"/>
  <c r="BB69" i="7"/>
  <c r="BC69" i="7" s="1"/>
  <c r="BB70" i="7"/>
  <c r="BC70" i="7" s="1"/>
  <c r="BB71" i="7"/>
  <c r="BC71" i="7" s="1"/>
  <c r="BB72" i="7"/>
  <c r="BC72" i="7" s="1"/>
  <c r="BB73" i="7"/>
  <c r="BC73" i="7" s="1"/>
  <c r="BB74" i="7"/>
  <c r="BC74" i="7" s="1"/>
  <c r="BB75" i="7"/>
  <c r="BC75" i="7" s="1"/>
  <c r="BB77" i="7"/>
  <c r="BC77" i="7" s="1"/>
  <c r="BB78" i="7"/>
  <c r="BC78" i="7" s="1"/>
  <c r="BB79" i="7"/>
  <c r="BC79" i="7" s="1"/>
  <c r="BB80" i="7"/>
  <c r="BC80" i="7" s="1"/>
  <c r="BB81" i="7"/>
  <c r="BC81" i="7" s="1"/>
  <c r="BB82" i="7"/>
  <c r="BC82" i="7" s="1"/>
  <c r="BB83" i="7"/>
  <c r="BC83" i="7" s="1"/>
  <c r="BB85" i="7"/>
  <c r="BC85" i="7" s="1"/>
  <c r="BB86" i="7"/>
  <c r="BC86" i="7" s="1"/>
  <c r="BB87" i="7"/>
  <c r="BC87" i="7" s="1"/>
  <c r="BB88" i="7"/>
  <c r="BC88" i="7" s="1"/>
  <c r="BB89" i="7"/>
  <c r="BC89" i="7" s="1"/>
  <c r="BB90" i="7"/>
  <c r="BC90" i="7" s="1"/>
  <c r="BB91" i="7"/>
  <c r="BC91" i="7" s="1"/>
  <c r="BB92" i="7"/>
  <c r="BC92" i="7" s="1"/>
  <c r="BB93" i="7"/>
  <c r="BC93" i="7" s="1"/>
  <c r="BB94" i="7"/>
  <c r="BC94" i="7" s="1"/>
  <c r="BB95" i="7"/>
  <c r="BC95" i="7" s="1"/>
  <c r="BB96" i="7"/>
  <c r="BC96" i="7" s="1"/>
  <c r="BB99" i="7"/>
  <c r="BC99" i="7" s="1"/>
  <c r="BB101" i="7"/>
  <c r="BC101" i="7" s="1"/>
  <c r="BB102" i="7"/>
  <c r="BC102" i="7" s="1"/>
  <c r="BB103" i="7"/>
  <c r="BC103" i="7" s="1"/>
  <c r="BB104" i="7"/>
  <c r="BC104" i="7" s="1"/>
  <c r="BB105" i="7"/>
  <c r="BC105" i="7" s="1"/>
  <c r="BB107" i="7"/>
  <c r="BC107" i="7" s="1"/>
  <c r="BB108" i="7"/>
  <c r="BC108" i="7" s="1"/>
  <c r="BB109" i="7"/>
  <c r="BC109" i="7" s="1"/>
  <c r="BB110" i="7"/>
  <c r="BC110" i="7" s="1"/>
  <c r="BB111" i="7"/>
  <c r="BC111" i="7" s="1"/>
  <c r="BB112" i="7"/>
  <c r="BC112" i="7" s="1"/>
  <c r="BB113" i="7"/>
  <c r="BC113" i="7" s="1"/>
  <c r="BB114" i="7"/>
  <c r="BC114" i="7" s="1"/>
  <c r="BB115" i="7"/>
  <c r="BC115" i="7" s="1"/>
  <c r="BB116" i="7"/>
  <c r="BC116" i="7" s="1"/>
  <c r="BB117" i="7"/>
  <c r="BC117" i="7" s="1"/>
  <c r="BB118" i="7"/>
  <c r="BC118" i="7" s="1"/>
  <c r="BB120" i="7"/>
  <c r="BC120" i="7" s="1"/>
  <c r="BB121" i="7"/>
  <c r="BC121" i="7" s="1"/>
  <c r="BB122" i="7"/>
  <c r="BC122" i="7" s="1"/>
  <c r="BB123" i="7"/>
  <c r="BC123" i="7" s="1"/>
  <c r="BB124" i="7"/>
  <c r="BC124" i="7" s="1"/>
  <c r="BB127" i="7"/>
  <c r="BC127" i="7" s="1"/>
  <c r="BB128" i="7"/>
  <c r="BC128" i="7" s="1"/>
  <c r="BB129" i="7"/>
  <c r="BC129" i="7" s="1"/>
  <c r="BB130" i="7"/>
  <c r="BC130" i="7" s="1"/>
  <c r="BB131" i="7"/>
  <c r="BC131" i="7" s="1"/>
  <c r="BB133" i="7"/>
  <c r="BC133" i="7" s="1"/>
  <c r="BB134" i="7"/>
  <c r="BC134" i="7" s="1"/>
  <c r="BB135" i="7"/>
  <c r="BC135" i="7" s="1"/>
  <c r="BB136" i="7"/>
  <c r="BC136" i="7" s="1"/>
  <c r="BB138" i="7"/>
  <c r="BC138" i="7" s="1"/>
  <c r="BB139" i="7"/>
  <c r="BC139" i="7" s="1"/>
  <c r="BB140" i="7"/>
  <c r="BC140" i="7" s="1"/>
  <c r="BB141" i="7"/>
  <c r="BC141" i="7" s="1"/>
  <c r="BB142" i="7"/>
  <c r="BC142" i="7" s="1"/>
  <c r="BB143" i="7"/>
  <c r="BC143" i="7" s="1"/>
  <c r="BB146" i="7"/>
  <c r="BC146" i="7" s="1"/>
  <c r="BB147" i="7"/>
  <c r="BC147" i="7" s="1"/>
  <c r="BB148" i="7"/>
  <c r="BC148" i="7" s="1"/>
  <c r="BB150" i="7"/>
  <c r="BC150" i="7" s="1"/>
  <c r="BB151" i="7"/>
  <c r="BC151" i="7" s="1"/>
  <c r="BB152" i="7"/>
  <c r="BC152" i="7" s="1"/>
  <c r="BB154" i="7"/>
  <c r="BC154" i="7" s="1"/>
  <c r="BB155" i="7"/>
  <c r="BC155" i="7" s="1"/>
  <c r="BB156" i="7"/>
  <c r="BC156" i="7" s="1"/>
  <c r="BB157" i="7"/>
  <c r="BC157" i="7" s="1"/>
  <c r="BB160" i="7"/>
  <c r="BC160" i="7" s="1"/>
  <c r="BB161" i="7"/>
  <c r="BC161" i="7" s="1"/>
  <c r="BB162" i="7"/>
  <c r="BC162" i="7" s="1"/>
  <c r="BB163" i="7"/>
  <c r="BC163" i="7" s="1"/>
  <c r="BB164" i="7"/>
  <c r="BC164" i="7" s="1"/>
  <c r="BB165" i="7"/>
  <c r="BC165" i="7" s="1"/>
  <c r="BB166" i="7"/>
  <c r="BC166" i="7" s="1"/>
  <c r="BB167" i="7"/>
  <c r="BC167" i="7" s="1"/>
  <c r="BB168" i="7"/>
  <c r="BC168" i="7" s="1"/>
  <c r="BB170" i="7"/>
  <c r="BC170" i="7" s="1"/>
  <c r="BB171" i="7"/>
  <c r="BC171" i="7" s="1"/>
  <c r="BB172" i="7"/>
  <c r="BC172" i="7" s="1"/>
  <c r="BB173" i="7"/>
  <c r="BC173" i="7" s="1"/>
  <c r="BB174" i="7"/>
  <c r="BC174" i="7" s="1"/>
  <c r="BB175" i="7"/>
  <c r="BC175" i="7" s="1"/>
  <c r="BB176" i="7"/>
  <c r="BC176" i="7" s="1"/>
  <c r="BB178" i="7"/>
  <c r="BC178" i="7" s="1"/>
  <c r="BB179" i="7"/>
  <c r="BC179" i="7" s="1"/>
  <c r="BB180" i="7"/>
  <c r="BC180" i="7" s="1"/>
  <c r="BB181" i="7"/>
  <c r="BC181" i="7" s="1"/>
  <c r="BB182" i="7"/>
  <c r="BC182" i="7" s="1"/>
  <c r="BB183" i="7"/>
  <c r="BC183" i="7" s="1"/>
  <c r="BB184" i="7"/>
  <c r="BC184" i="7" s="1"/>
  <c r="BB185" i="7"/>
  <c r="BC185" i="7" s="1"/>
  <c r="BB186" i="7"/>
  <c r="BC186" i="7" s="1"/>
  <c r="BB187" i="7"/>
  <c r="BC187" i="7" s="1"/>
  <c r="BB188" i="7"/>
  <c r="BC188" i="7" s="1"/>
  <c r="BB190" i="7"/>
  <c r="BC190" i="7" s="1"/>
  <c r="BB191" i="7"/>
  <c r="BC191" i="7" s="1"/>
  <c r="BB192" i="7"/>
  <c r="BC192" i="7" s="1"/>
  <c r="BB193" i="7"/>
  <c r="BC193" i="7" s="1"/>
  <c r="BB194" i="7"/>
  <c r="BC194" i="7" s="1"/>
  <c r="BB195" i="7"/>
  <c r="BC195" i="7" s="1"/>
  <c r="BB197" i="7"/>
  <c r="BC197" i="7" s="1"/>
  <c r="BB198" i="7"/>
  <c r="BC198" i="7" s="1"/>
  <c r="BB199" i="7"/>
  <c r="BC199" i="7" s="1"/>
  <c r="BB200" i="7"/>
  <c r="BC200" i="7" s="1"/>
  <c r="BB201" i="7"/>
  <c r="BC201" i="7" s="1"/>
  <c r="BB202" i="7"/>
  <c r="BC202" i="7" s="1"/>
  <c r="BB203" i="7"/>
  <c r="BC203" i="7" s="1"/>
  <c r="BB204" i="7"/>
  <c r="BC204" i="7" s="1"/>
  <c r="BB205" i="7"/>
  <c r="BC205" i="7" s="1"/>
  <c r="BB206" i="7"/>
  <c r="BC206" i="7" s="1"/>
  <c r="BB208" i="7"/>
  <c r="BC208" i="7" s="1"/>
  <c r="BB209" i="7"/>
  <c r="BC209" i="7" s="1"/>
  <c r="BB210" i="7"/>
  <c r="BC210" i="7" s="1"/>
  <c r="BB211" i="7"/>
  <c r="BC211" i="7" s="1"/>
  <c r="BB213" i="7"/>
  <c r="BC213" i="7" s="1"/>
  <c r="BB214" i="7"/>
  <c r="BC214" i="7" s="1"/>
  <c r="BB215" i="7"/>
  <c r="BC215" i="7" s="1"/>
  <c r="BB216" i="7"/>
  <c r="BC216" i="7" s="1"/>
  <c r="BB217" i="7"/>
  <c r="BC217" i="7" s="1"/>
  <c r="BB220" i="7"/>
  <c r="BC220" i="7" s="1"/>
  <c r="BB221" i="7"/>
  <c r="BC221" i="7" s="1"/>
  <c r="BB222" i="7"/>
  <c r="BC222" i="7" s="1"/>
  <c r="BB223" i="7"/>
  <c r="BC223" i="7" s="1"/>
  <c r="BB224" i="7"/>
  <c r="BC224" i="7" s="1"/>
  <c r="BB225" i="7"/>
  <c r="BC225" i="7" s="1"/>
  <c r="BB226" i="7"/>
  <c r="BC226" i="7" s="1"/>
  <c r="BB227" i="7"/>
  <c r="BC227" i="7" s="1"/>
  <c r="BB228" i="7"/>
  <c r="BC228" i="7" s="1"/>
  <c r="BB229" i="7"/>
  <c r="BC229" i="7" s="1"/>
  <c r="BB230" i="7"/>
  <c r="BC230" i="7" s="1"/>
  <c r="BB231" i="7"/>
  <c r="BC231" i="7" s="1"/>
  <c r="BB232" i="7"/>
  <c r="BC232" i="7" s="1"/>
  <c r="BB233" i="7"/>
  <c r="BC233" i="7" s="1"/>
  <c r="BB234" i="7"/>
  <c r="BC234" i="7" s="1"/>
  <c r="BB235" i="7"/>
  <c r="BC235" i="7" s="1"/>
  <c r="BB237" i="7"/>
  <c r="BC237" i="7" s="1"/>
  <c r="BB238" i="7"/>
  <c r="BC238" i="7" s="1"/>
  <c r="BB239" i="7"/>
  <c r="BC239" i="7" s="1"/>
  <c r="BB240" i="7"/>
  <c r="BC240" i="7" s="1"/>
  <c r="BB241" i="7"/>
  <c r="BC241" i="7" s="1"/>
  <c r="BB243" i="7"/>
  <c r="BC243" i="7" s="1"/>
  <c r="BB244" i="7"/>
  <c r="BC244" i="7" s="1"/>
  <c r="BB245" i="7"/>
  <c r="BC245" i="7" s="1"/>
  <c r="BB246" i="7"/>
  <c r="BC246" i="7" s="1"/>
  <c r="BB247" i="7"/>
  <c r="BC247" i="7" s="1"/>
  <c r="BB248" i="7"/>
  <c r="BC248" i="7" s="1"/>
  <c r="BB249" i="7"/>
  <c r="BC249" i="7" s="1"/>
  <c r="BB250" i="7"/>
  <c r="BC250" i="7" s="1"/>
  <c r="BB251" i="7"/>
  <c r="BC251" i="7" s="1"/>
  <c r="BB252" i="7"/>
  <c r="BC252" i="7" s="1"/>
  <c r="BB254" i="7"/>
  <c r="BC254" i="7" s="1"/>
  <c r="BB255" i="7"/>
  <c r="BC255" i="7" s="1"/>
  <c r="BB258" i="7"/>
  <c r="BC258" i="7" s="1"/>
  <c r="BB259" i="7"/>
  <c r="BC259" i="7" s="1"/>
  <c r="BB260" i="7"/>
  <c r="BC260" i="7" s="1"/>
  <c r="BB261" i="7"/>
  <c r="BC261" i="7" s="1"/>
  <c r="BB262" i="7"/>
  <c r="BC262" i="7" s="1"/>
  <c r="BB263" i="7"/>
  <c r="BC263" i="7" s="1"/>
  <c r="BB265" i="7"/>
  <c r="BC265" i="7" s="1"/>
  <c r="BB266" i="7"/>
  <c r="BC266" i="7" s="1"/>
  <c r="BB267" i="7"/>
  <c r="BC267" i="7" s="1"/>
  <c r="BB268" i="7"/>
  <c r="BC268" i="7" s="1"/>
  <c r="BB270" i="7"/>
  <c r="BC270" i="7" s="1"/>
  <c r="BB271" i="7"/>
  <c r="BC271" i="7" s="1"/>
  <c r="BB272" i="7"/>
  <c r="BC272" i="7" s="1"/>
  <c r="BB273" i="7"/>
  <c r="BC273" i="7" s="1"/>
  <c r="BB274" i="7"/>
  <c r="BC274" i="7" s="1"/>
  <c r="BB275" i="7"/>
  <c r="BC275" i="7" s="1"/>
  <c r="BB276" i="7"/>
  <c r="BC276" i="7" s="1"/>
  <c r="BB279" i="7"/>
  <c r="BC279" i="7" s="1"/>
  <c r="BB280" i="7"/>
  <c r="BC280" i="7" s="1"/>
  <c r="BB281" i="7"/>
  <c r="BC281" i="7" s="1"/>
  <c r="BB282" i="7"/>
  <c r="BC282" i="7" s="1"/>
  <c r="BB283" i="7"/>
  <c r="BC283" i="7" s="1"/>
  <c r="BB284" i="7"/>
  <c r="BC284" i="7" s="1"/>
  <c r="BB285" i="7"/>
  <c r="BC285" i="7" s="1"/>
  <c r="BB286" i="7"/>
  <c r="BC286" i="7" s="1"/>
  <c r="BB287" i="7"/>
  <c r="BC287" i="7" s="1"/>
  <c r="BB288" i="7"/>
  <c r="BC288" i="7" s="1"/>
  <c r="BB290" i="7"/>
  <c r="BC290" i="7" s="1"/>
  <c r="BB291" i="7"/>
  <c r="BC291" i="7" s="1"/>
  <c r="BB292" i="7"/>
  <c r="BC292" i="7" s="1"/>
  <c r="BB293" i="7"/>
  <c r="BC293" i="7" s="1"/>
  <c r="BB294" i="7"/>
  <c r="BC294" i="7" s="1"/>
  <c r="BB295" i="7"/>
  <c r="BC295" i="7" s="1"/>
  <c r="BB296" i="7"/>
  <c r="BC296" i="7" s="1"/>
  <c r="BB297" i="7"/>
  <c r="BC297" i="7" s="1"/>
  <c r="BB298" i="7"/>
  <c r="BC298" i="7" s="1"/>
  <c r="BB300" i="7"/>
  <c r="BC300" i="7" s="1"/>
  <c r="BB301" i="7"/>
  <c r="BC301" i="7" s="1"/>
  <c r="BB303" i="7"/>
  <c r="BC303" i="7" s="1"/>
  <c r="BB304" i="7"/>
  <c r="BC304" i="7" s="1"/>
  <c r="BB305" i="7"/>
  <c r="BC305" i="7" s="1"/>
  <c r="BB306" i="7"/>
  <c r="BC306" i="7" s="1"/>
  <c r="BB307" i="7"/>
  <c r="BC307" i="7" s="1"/>
  <c r="BB309" i="7"/>
  <c r="BC309" i="7" s="1"/>
  <c r="BB310" i="7"/>
  <c r="BC310" i="7" s="1"/>
  <c r="BB311" i="7"/>
  <c r="BC311" i="7" s="1"/>
  <c r="BB313" i="7"/>
  <c r="BC313" i="7" s="1"/>
  <c r="BB314" i="7"/>
  <c r="BC314" i="7" s="1"/>
  <c r="BB316" i="7"/>
  <c r="BC316" i="7" s="1"/>
  <c r="BB317" i="7"/>
  <c r="BC317" i="7" s="1"/>
  <c r="BB319" i="7"/>
  <c r="BC319" i="7" s="1"/>
  <c r="BB320" i="7"/>
  <c r="BC320" i="7" s="1"/>
  <c r="BB321" i="7"/>
  <c r="BC321" i="7" s="1"/>
  <c r="BB322" i="7"/>
  <c r="BC322" i="7" s="1"/>
  <c r="BB326" i="7"/>
  <c r="BC326" i="7" s="1"/>
  <c r="BB327" i="7"/>
  <c r="BC327" i="7" s="1"/>
  <c r="BB328" i="7"/>
  <c r="BC328" i="7" s="1"/>
  <c r="BB329" i="7"/>
  <c r="BC329" i="7" s="1"/>
  <c r="BB330" i="7"/>
  <c r="BC330" i="7" s="1"/>
  <c r="BB331" i="7"/>
  <c r="BC331" i="7" s="1"/>
  <c r="BB333" i="7"/>
  <c r="BC333" i="7" s="1"/>
  <c r="BB334" i="7"/>
  <c r="BC334" i="7" s="1"/>
  <c r="BB335" i="7"/>
  <c r="BC335" i="7" s="1"/>
  <c r="BB336" i="7"/>
  <c r="BC336" i="7" s="1"/>
  <c r="BB337" i="7"/>
  <c r="BC337" i="7" s="1"/>
  <c r="BB338" i="7"/>
  <c r="BC338" i="7" s="1"/>
  <c r="BB340" i="7"/>
  <c r="BC340" i="7" s="1"/>
  <c r="BB341" i="7"/>
  <c r="BC341" i="7" s="1"/>
  <c r="BB342" i="7"/>
  <c r="BC342" i="7" s="1"/>
  <c r="BB343" i="7"/>
  <c r="BC343" i="7" s="1"/>
  <c r="BB344" i="7"/>
  <c r="BC344" i="7" s="1"/>
  <c r="BB345" i="7"/>
  <c r="BC345" i="7" s="1"/>
  <c r="BB347" i="7"/>
  <c r="BC347" i="7" s="1"/>
  <c r="BB348" i="7"/>
  <c r="BC348" i="7" s="1"/>
  <c r="BB349" i="7"/>
  <c r="BC349" i="7" s="1"/>
  <c r="BB350" i="7"/>
  <c r="BC350" i="7" s="1"/>
  <c r="BB351" i="7"/>
  <c r="BC351" i="7" s="1"/>
  <c r="BB352" i="7"/>
  <c r="BC352" i="7" s="1"/>
  <c r="BB354" i="7"/>
  <c r="BC354" i="7" s="1"/>
  <c r="BB355" i="7"/>
  <c r="BC355" i="7" s="1"/>
  <c r="BB356" i="7"/>
  <c r="BC356" i="7" s="1"/>
  <c r="BB357" i="7"/>
  <c r="BC357" i="7" s="1"/>
  <c r="BB358" i="7"/>
  <c r="BC358" i="7" s="1"/>
  <c r="BB359" i="7"/>
  <c r="BC359" i="7" s="1"/>
  <c r="BB361" i="7"/>
  <c r="BC361" i="7" s="1"/>
  <c r="BB362" i="7"/>
  <c r="BC362" i="7" s="1"/>
  <c r="BB363" i="7"/>
  <c r="BC363" i="7" s="1"/>
  <c r="BB364" i="7"/>
  <c r="BC364" i="7" s="1"/>
  <c r="BB365" i="7"/>
  <c r="BC365" i="7" s="1"/>
  <c r="BB366" i="7"/>
  <c r="BC366" i="7" s="1"/>
  <c r="BB368" i="7"/>
  <c r="BC368" i="7" s="1"/>
  <c r="BB369" i="7"/>
  <c r="BC369" i="7" s="1"/>
  <c r="BB370" i="7"/>
  <c r="BC370" i="7" s="1"/>
  <c r="BB371" i="7"/>
  <c r="BC371" i="7" s="1"/>
  <c r="BB372" i="7"/>
  <c r="BC372" i="7" s="1"/>
  <c r="BB373" i="7"/>
  <c r="BC373" i="7" s="1"/>
  <c r="BB375" i="7"/>
  <c r="BC375" i="7" s="1"/>
  <c r="BB376" i="7"/>
  <c r="BC376" i="7" s="1"/>
  <c r="BB377" i="7"/>
  <c r="BC377" i="7" s="1"/>
  <c r="BB378" i="7"/>
  <c r="BC378" i="7" s="1"/>
  <c r="BB379" i="7"/>
  <c r="BC379" i="7" s="1"/>
  <c r="BB381" i="7"/>
  <c r="BC381" i="7" s="1"/>
  <c r="BB382" i="7"/>
  <c r="BC382" i="7" s="1"/>
  <c r="BB383" i="7"/>
  <c r="BC383" i="7" s="1"/>
  <c r="BB384" i="7"/>
  <c r="BC384" i="7" s="1"/>
  <c r="BB385" i="7"/>
  <c r="BC385" i="7" s="1"/>
  <c r="BB386" i="7"/>
  <c r="BC386" i="7" s="1"/>
  <c r="BB387" i="7"/>
  <c r="BC387" i="7" s="1"/>
  <c r="BB388" i="7"/>
  <c r="BC388" i="7" s="1"/>
  <c r="BB389" i="7"/>
  <c r="BC389" i="7" s="1"/>
  <c r="BB390" i="7"/>
  <c r="BC390" i="7" s="1"/>
  <c r="AZ14" i="7"/>
  <c r="BA14" i="7" s="1"/>
  <c r="AZ15" i="7"/>
  <c r="BA15" i="7" s="1"/>
  <c r="AZ16" i="7"/>
  <c r="BA16" i="7" s="1"/>
  <c r="AZ17" i="7"/>
  <c r="BA17" i="7" s="1"/>
  <c r="AZ18" i="7"/>
  <c r="BA18" i="7" s="1"/>
  <c r="AZ19" i="7"/>
  <c r="BA19" i="7" s="1"/>
  <c r="AZ21" i="7"/>
  <c r="BA21" i="7" s="1"/>
  <c r="AZ22" i="7"/>
  <c r="BA22" i="7" s="1"/>
  <c r="AZ23" i="7"/>
  <c r="BA23" i="7" s="1"/>
  <c r="AZ24" i="7"/>
  <c r="BA24" i="7" s="1"/>
  <c r="AZ25" i="7"/>
  <c r="BA25" i="7" s="1"/>
  <c r="AZ26" i="7"/>
  <c r="BA26" i="7" s="1"/>
  <c r="AZ27" i="7"/>
  <c r="BA27" i="7" s="1"/>
  <c r="AZ28" i="7"/>
  <c r="BA28" i="7" s="1"/>
  <c r="AZ29" i="7"/>
  <c r="BA29" i="7" s="1"/>
  <c r="AZ30" i="7"/>
  <c r="BA30" i="7" s="1"/>
  <c r="AZ31" i="7"/>
  <c r="BA31" i="7" s="1"/>
  <c r="AZ32" i="7"/>
  <c r="BA32" i="7" s="1"/>
  <c r="AZ34" i="7"/>
  <c r="BA34" i="7" s="1"/>
  <c r="AZ35" i="7"/>
  <c r="BA35" i="7" s="1"/>
  <c r="AZ36" i="7"/>
  <c r="BA36" i="7" s="1"/>
  <c r="AZ37" i="7"/>
  <c r="BA37" i="7" s="1"/>
  <c r="AZ38" i="7"/>
  <c r="BA38" i="7" s="1"/>
  <c r="AZ39" i="7"/>
  <c r="BA39" i="7" s="1"/>
  <c r="AZ41" i="7"/>
  <c r="BA41" i="7" s="1"/>
  <c r="AZ42" i="7"/>
  <c r="BA42" i="7" s="1"/>
  <c r="AZ43" i="7"/>
  <c r="BA43" i="7" s="1"/>
  <c r="AZ44" i="7"/>
  <c r="BA44" i="7" s="1"/>
  <c r="AZ45" i="7"/>
  <c r="BA45" i="7" s="1"/>
  <c r="AZ48" i="7"/>
  <c r="BA48" i="7" s="1"/>
  <c r="AZ49" i="7"/>
  <c r="BA49" i="7" s="1"/>
  <c r="AZ50" i="7"/>
  <c r="BA50" i="7" s="1"/>
  <c r="AZ52" i="7"/>
  <c r="BA52" i="7" s="1"/>
  <c r="AZ53" i="7"/>
  <c r="BA53" i="7" s="1"/>
  <c r="AZ54" i="7"/>
  <c r="BA54" i="7" s="1"/>
  <c r="AZ55" i="7"/>
  <c r="BA55" i="7" s="1"/>
  <c r="AZ57" i="7"/>
  <c r="BA57" i="7" s="1"/>
  <c r="AZ58" i="7"/>
  <c r="BA58" i="7" s="1"/>
  <c r="AZ59" i="7"/>
  <c r="BA59" i="7" s="1"/>
  <c r="AZ60" i="7"/>
  <c r="BA60" i="7" s="1"/>
  <c r="AZ61" i="7"/>
  <c r="BA61" i="7" s="1"/>
  <c r="AZ62" i="7"/>
  <c r="BA62" i="7" s="1"/>
  <c r="AZ63" i="7"/>
  <c r="BA63" i="7" s="1"/>
  <c r="AZ64" i="7"/>
  <c r="BA64" i="7" s="1"/>
  <c r="AZ65" i="7"/>
  <c r="BA65" i="7" s="1"/>
  <c r="AZ68" i="7"/>
  <c r="BA68" i="7" s="1"/>
  <c r="AZ69" i="7"/>
  <c r="BA69" i="7" s="1"/>
  <c r="AZ70" i="7"/>
  <c r="BA70" i="7" s="1"/>
  <c r="AZ71" i="7"/>
  <c r="BA71" i="7" s="1"/>
  <c r="AZ72" i="7"/>
  <c r="BA72" i="7" s="1"/>
  <c r="AZ73" i="7"/>
  <c r="BA73" i="7" s="1"/>
  <c r="AZ74" i="7"/>
  <c r="BA74" i="7" s="1"/>
  <c r="AZ75" i="7"/>
  <c r="BA75" i="7" s="1"/>
  <c r="AZ77" i="7"/>
  <c r="BA77" i="7" s="1"/>
  <c r="AZ78" i="7"/>
  <c r="BA78" i="7" s="1"/>
  <c r="AZ79" i="7"/>
  <c r="BA79" i="7" s="1"/>
  <c r="AZ80" i="7"/>
  <c r="BA80" i="7" s="1"/>
  <c r="AZ81" i="7"/>
  <c r="BA81" i="7" s="1"/>
  <c r="AZ82" i="7"/>
  <c r="BA82" i="7" s="1"/>
  <c r="AZ83" i="7"/>
  <c r="BA83" i="7" s="1"/>
  <c r="AZ85" i="7"/>
  <c r="BA85" i="7" s="1"/>
  <c r="AZ86" i="7"/>
  <c r="BA86" i="7" s="1"/>
  <c r="AZ87" i="7"/>
  <c r="BA87" i="7" s="1"/>
  <c r="AZ88" i="7"/>
  <c r="BA88" i="7" s="1"/>
  <c r="AZ89" i="7"/>
  <c r="BA89" i="7" s="1"/>
  <c r="AZ90" i="7"/>
  <c r="BA90" i="7" s="1"/>
  <c r="AZ91" i="7"/>
  <c r="BA91" i="7" s="1"/>
  <c r="AZ92" i="7"/>
  <c r="BA92" i="7" s="1"/>
  <c r="AZ93" i="7"/>
  <c r="BA93" i="7" s="1"/>
  <c r="AZ94" i="7"/>
  <c r="BA94" i="7" s="1"/>
  <c r="AZ95" i="7"/>
  <c r="BA95" i="7" s="1"/>
  <c r="AZ96" i="7"/>
  <c r="BA96" i="7" s="1"/>
  <c r="AZ99" i="7"/>
  <c r="BA99" i="7" s="1"/>
  <c r="AZ101" i="7"/>
  <c r="BA101" i="7" s="1"/>
  <c r="AZ102" i="7"/>
  <c r="BA102" i="7" s="1"/>
  <c r="AZ103" i="7"/>
  <c r="BA103" i="7" s="1"/>
  <c r="AZ104" i="7"/>
  <c r="BA104" i="7" s="1"/>
  <c r="AZ105" i="7"/>
  <c r="BA105" i="7" s="1"/>
  <c r="AZ107" i="7"/>
  <c r="BA107" i="7" s="1"/>
  <c r="AZ108" i="7"/>
  <c r="BA108" i="7" s="1"/>
  <c r="AZ109" i="7"/>
  <c r="BA109" i="7" s="1"/>
  <c r="AZ110" i="7"/>
  <c r="BA110" i="7" s="1"/>
  <c r="AZ111" i="7"/>
  <c r="BA111" i="7" s="1"/>
  <c r="AZ112" i="7"/>
  <c r="BA112" i="7" s="1"/>
  <c r="AZ113" i="7"/>
  <c r="BA113" i="7" s="1"/>
  <c r="AZ114" i="7"/>
  <c r="BA114" i="7" s="1"/>
  <c r="AZ115" i="7"/>
  <c r="BA115" i="7" s="1"/>
  <c r="AZ116" i="7"/>
  <c r="BA116" i="7" s="1"/>
  <c r="AZ117" i="7"/>
  <c r="BA117" i="7" s="1"/>
  <c r="AZ118" i="7"/>
  <c r="BA118" i="7" s="1"/>
  <c r="AZ120" i="7"/>
  <c r="BA120" i="7" s="1"/>
  <c r="AZ121" i="7"/>
  <c r="BA121" i="7" s="1"/>
  <c r="AZ122" i="7"/>
  <c r="BA122" i="7" s="1"/>
  <c r="AZ123" i="7"/>
  <c r="BA123" i="7" s="1"/>
  <c r="AZ124" i="7"/>
  <c r="BA124" i="7" s="1"/>
  <c r="AZ127" i="7"/>
  <c r="BA127" i="7" s="1"/>
  <c r="AZ128" i="7"/>
  <c r="BA128" i="7" s="1"/>
  <c r="AZ129" i="7"/>
  <c r="BA129" i="7" s="1"/>
  <c r="AZ130" i="7"/>
  <c r="BA130" i="7" s="1"/>
  <c r="AZ131" i="7"/>
  <c r="BA131" i="7" s="1"/>
  <c r="AZ133" i="7"/>
  <c r="BA133" i="7" s="1"/>
  <c r="AZ134" i="7"/>
  <c r="BA134" i="7" s="1"/>
  <c r="AZ135" i="7"/>
  <c r="BA135" i="7" s="1"/>
  <c r="AZ136" i="7"/>
  <c r="BA136" i="7" s="1"/>
  <c r="AZ138" i="7"/>
  <c r="BA138" i="7" s="1"/>
  <c r="AZ139" i="7"/>
  <c r="BA139" i="7" s="1"/>
  <c r="AZ140" i="7"/>
  <c r="BA140" i="7" s="1"/>
  <c r="AZ141" i="7"/>
  <c r="BA141" i="7" s="1"/>
  <c r="AZ142" i="7"/>
  <c r="BA142" i="7" s="1"/>
  <c r="AZ143" i="7"/>
  <c r="BA143" i="7" s="1"/>
  <c r="AZ146" i="7"/>
  <c r="BA146" i="7" s="1"/>
  <c r="AZ147" i="7"/>
  <c r="BA147" i="7" s="1"/>
  <c r="AZ148" i="7"/>
  <c r="BA148" i="7" s="1"/>
  <c r="AZ150" i="7"/>
  <c r="BA150" i="7" s="1"/>
  <c r="AZ151" i="7"/>
  <c r="BA151" i="7" s="1"/>
  <c r="AZ152" i="7"/>
  <c r="BA152" i="7" s="1"/>
  <c r="AZ154" i="7"/>
  <c r="BA154" i="7" s="1"/>
  <c r="AZ155" i="7"/>
  <c r="BA155" i="7" s="1"/>
  <c r="AZ156" i="7"/>
  <c r="BA156" i="7" s="1"/>
  <c r="AZ157" i="7"/>
  <c r="BA157" i="7" s="1"/>
  <c r="AZ160" i="7"/>
  <c r="BA160" i="7" s="1"/>
  <c r="AZ161" i="7"/>
  <c r="BA161" i="7" s="1"/>
  <c r="AZ162" i="7"/>
  <c r="BA162" i="7" s="1"/>
  <c r="AZ163" i="7"/>
  <c r="BA163" i="7" s="1"/>
  <c r="AZ164" i="7"/>
  <c r="BA164" i="7" s="1"/>
  <c r="AZ165" i="7"/>
  <c r="BA165" i="7" s="1"/>
  <c r="AZ166" i="7"/>
  <c r="BA166" i="7" s="1"/>
  <c r="AZ167" i="7"/>
  <c r="BA167" i="7" s="1"/>
  <c r="AZ168" i="7"/>
  <c r="BA168" i="7" s="1"/>
  <c r="AZ170" i="7"/>
  <c r="BA170" i="7" s="1"/>
  <c r="AZ171" i="7"/>
  <c r="BA171" i="7" s="1"/>
  <c r="AZ172" i="7"/>
  <c r="BA172" i="7" s="1"/>
  <c r="AZ173" i="7"/>
  <c r="BA173" i="7" s="1"/>
  <c r="AZ174" i="7"/>
  <c r="BA174" i="7" s="1"/>
  <c r="AZ175" i="7"/>
  <c r="BA175" i="7" s="1"/>
  <c r="AZ176" i="7"/>
  <c r="BA176" i="7" s="1"/>
  <c r="AZ178" i="7"/>
  <c r="BA178" i="7" s="1"/>
  <c r="AZ179" i="7"/>
  <c r="BA179" i="7" s="1"/>
  <c r="AZ180" i="7"/>
  <c r="BA180" i="7" s="1"/>
  <c r="AZ181" i="7"/>
  <c r="BA181" i="7" s="1"/>
  <c r="AZ182" i="7"/>
  <c r="BA182" i="7" s="1"/>
  <c r="AZ183" i="7"/>
  <c r="BA183" i="7" s="1"/>
  <c r="AZ184" i="7"/>
  <c r="BA184" i="7" s="1"/>
  <c r="AZ185" i="7"/>
  <c r="BA185" i="7" s="1"/>
  <c r="AZ186" i="7"/>
  <c r="BA186" i="7" s="1"/>
  <c r="AZ187" i="7"/>
  <c r="BA187" i="7" s="1"/>
  <c r="AZ188" i="7"/>
  <c r="BA188" i="7" s="1"/>
  <c r="AZ190" i="7"/>
  <c r="BA190" i="7" s="1"/>
  <c r="AZ191" i="7"/>
  <c r="BA191" i="7" s="1"/>
  <c r="AZ192" i="7"/>
  <c r="BA192" i="7" s="1"/>
  <c r="AZ193" i="7"/>
  <c r="BA193" i="7" s="1"/>
  <c r="AZ194" i="7"/>
  <c r="BA194" i="7" s="1"/>
  <c r="AZ195" i="7"/>
  <c r="BA195" i="7" s="1"/>
  <c r="AZ197" i="7"/>
  <c r="BA197" i="7" s="1"/>
  <c r="AZ198" i="7"/>
  <c r="BA198" i="7" s="1"/>
  <c r="AZ199" i="7"/>
  <c r="BA199" i="7" s="1"/>
  <c r="AZ200" i="7"/>
  <c r="BA200" i="7" s="1"/>
  <c r="AZ201" i="7"/>
  <c r="BA201" i="7" s="1"/>
  <c r="AZ202" i="7"/>
  <c r="BA202" i="7" s="1"/>
  <c r="AZ203" i="7"/>
  <c r="BA203" i="7" s="1"/>
  <c r="AZ204" i="7"/>
  <c r="BA204" i="7" s="1"/>
  <c r="AZ205" i="7"/>
  <c r="BA205" i="7" s="1"/>
  <c r="AZ206" i="7"/>
  <c r="BA206" i="7" s="1"/>
  <c r="AZ208" i="7"/>
  <c r="BA208" i="7" s="1"/>
  <c r="AZ209" i="7"/>
  <c r="BA209" i="7" s="1"/>
  <c r="AZ210" i="7"/>
  <c r="BA210" i="7" s="1"/>
  <c r="AZ211" i="7"/>
  <c r="BA211" i="7" s="1"/>
  <c r="AZ213" i="7"/>
  <c r="BA213" i="7" s="1"/>
  <c r="AZ214" i="7"/>
  <c r="BA214" i="7" s="1"/>
  <c r="AZ215" i="7"/>
  <c r="BA215" i="7" s="1"/>
  <c r="AZ216" i="7"/>
  <c r="BA216" i="7" s="1"/>
  <c r="AZ217" i="7"/>
  <c r="BA217" i="7" s="1"/>
  <c r="AZ220" i="7"/>
  <c r="BA220" i="7" s="1"/>
  <c r="AZ221" i="7"/>
  <c r="BA221" i="7" s="1"/>
  <c r="AZ222" i="7"/>
  <c r="BA222" i="7" s="1"/>
  <c r="AZ223" i="7"/>
  <c r="BA223" i="7" s="1"/>
  <c r="AZ224" i="7"/>
  <c r="BA224" i="7" s="1"/>
  <c r="AZ225" i="7"/>
  <c r="BA225" i="7" s="1"/>
  <c r="AZ226" i="7"/>
  <c r="BA226" i="7" s="1"/>
  <c r="AZ227" i="7"/>
  <c r="BA227" i="7" s="1"/>
  <c r="AZ228" i="7"/>
  <c r="BA228" i="7" s="1"/>
  <c r="AZ229" i="7"/>
  <c r="BA229" i="7" s="1"/>
  <c r="AZ230" i="7"/>
  <c r="BA230" i="7" s="1"/>
  <c r="AZ231" i="7"/>
  <c r="BA231" i="7" s="1"/>
  <c r="AZ232" i="7"/>
  <c r="BA232" i="7" s="1"/>
  <c r="AZ233" i="7"/>
  <c r="BA233" i="7" s="1"/>
  <c r="AZ234" i="7"/>
  <c r="BA234" i="7" s="1"/>
  <c r="AZ235" i="7"/>
  <c r="BA235" i="7" s="1"/>
  <c r="AZ237" i="7"/>
  <c r="BA237" i="7" s="1"/>
  <c r="AZ238" i="7"/>
  <c r="BA238" i="7" s="1"/>
  <c r="AZ239" i="7"/>
  <c r="BA239" i="7" s="1"/>
  <c r="AZ240" i="7"/>
  <c r="BA240" i="7" s="1"/>
  <c r="AZ241" i="7"/>
  <c r="BA241" i="7" s="1"/>
  <c r="AZ243" i="7"/>
  <c r="BA243" i="7" s="1"/>
  <c r="AZ244" i="7"/>
  <c r="BA244" i="7" s="1"/>
  <c r="AZ245" i="7"/>
  <c r="BA245" i="7" s="1"/>
  <c r="AZ246" i="7"/>
  <c r="BA246" i="7" s="1"/>
  <c r="AZ247" i="7"/>
  <c r="BA247" i="7" s="1"/>
  <c r="AZ248" i="7"/>
  <c r="BA248" i="7" s="1"/>
  <c r="AZ249" i="7"/>
  <c r="BA249" i="7" s="1"/>
  <c r="AZ250" i="7"/>
  <c r="BA250" i="7" s="1"/>
  <c r="AZ251" i="7"/>
  <c r="BA251" i="7" s="1"/>
  <c r="AZ252" i="7"/>
  <c r="BA252" i="7" s="1"/>
  <c r="AZ254" i="7"/>
  <c r="BA254" i="7" s="1"/>
  <c r="AZ255" i="7"/>
  <c r="BA255" i="7" s="1"/>
  <c r="AZ258" i="7"/>
  <c r="BA258" i="7" s="1"/>
  <c r="AZ259" i="7"/>
  <c r="BA259" i="7" s="1"/>
  <c r="AZ260" i="7"/>
  <c r="BA260" i="7" s="1"/>
  <c r="AZ261" i="7"/>
  <c r="BA261" i="7" s="1"/>
  <c r="AZ262" i="7"/>
  <c r="BA262" i="7" s="1"/>
  <c r="AZ263" i="7"/>
  <c r="BA263" i="7" s="1"/>
  <c r="AZ265" i="7"/>
  <c r="BA265" i="7" s="1"/>
  <c r="AZ266" i="7"/>
  <c r="BA266" i="7" s="1"/>
  <c r="AZ267" i="7"/>
  <c r="BA267" i="7" s="1"/>
  <c r="AZ268" i="7"/>
  <c r="BA268" i="7" s="1"/>
  <c r="AZ270" i="7"/>
  <c r="BA270" i="7" s="1"/>
  <c r="AZ271" i="7"/>
  <c r="BA271" i="7" s="1"/>
  <c r="AZ272" i="7"/>
  <c r="BA272" i="7" s="1"/>
  <c r="AZ273" i="7"/>
  <c r="BA273" i="7" s="1"/>
  <c r="AZ274" i="7"/>
  <c r="BA274" i="7" s="1"/>
  <c r="AZ275" i="7"/>
  <c r="BA275" i="7" s="1"/>
  <c r="AZ276" i="7"/>
  <c r="BA276" i="7" s="1"/>
  <c r="AZ279" i="7"/>
  <c r="BA279" i="7" s="1"/>
  <c r="AZ280" i="7"/>
  <c r="BA280" i="7" s="1"/>
  <c r="AZ281" i="7"/>
  <c r="BA281" i="7" s="1"/>
  <c r="AZ282" i="7"/>
  <c r="BA282" i="7" s="1"/>
  <c r="AZ283" i="7"/>
  <c r="BA283" i="7" s="1"/>
  <c r="AZ284" i="7"/>
  <c r="BA284" i="7" s="1"/>
  <c r="AZ285" i="7"/>
  <c r="BA285" i="7" s="1"/>
  <c r="AZ286" i="7"/>
  <c r="BA286" i="7" s="1"/>
  <c r="AZ287" i="7"/>
  <c r="BA287" i="7" s="1"/>
  <c r="AZ288" i="7"/>
  <c r="BA288" i="7" s="1"/>
  <c r="AZ290" i="7"/>
  <c r="BA290" i="7" s="1"/>
  <c r="AZ291" i="7"/>
  <c r="BA291" i="7" s="1"/>
  <c r="AZ292" i="7"/>
  <c r="BA292" i="7" s="1"/>
  <c r="AZ293" i="7"/>
  <c r="BA293" i="7" s="1"/>
  <c r="AZ294" i="7"/>
  <c r="BA294" i="7" s="1"/>
  <c r="AZ295" i="7"/>
  <c r="BA295" i="7" s="1"/>
  <c r="AZ296" i="7"/>
  <c r="BA296" i="7" s="1"/>
  <c r="AZ297" i="7"/>
  <c r="BA297" i="7" s="1"/>
  <c r="AZ298" i="7"/>
  <c r="BA298" i="7" s="1"/>
  <c r="AZ300" i="7"/>
  <c r="BA300" i="7" s="1"/>
  <c r="AZ301" i="7"/>
  <c r="BA301" i="7" s="1"/>
  <c r="AZ303" i="7"/>
  <c r="BA303" i="7" s="1"/>
  <c r="AZ304" i="7"/>
  <c r="BA304" i="7" s="1"/>
  <c r="AZ305" i="7"/>
  <c r="BA305" i="7" s="1"/>
  <c r="AZ306" i="7"/>
  <c r="BA306" i="7" s="1"/>
  <c r="AZ307" i="7"/>
  <c r="BA307" i="7" s="1"/>
  <c r="AZ309" i="7"/>
  <c r="BA309" i="7" s="1"/>
  <c r="AZ310" i="7"/>
  <c r="BA310" i="7" s="1"/>
  <c r="AZ311" i="7"/>
  <c r="BA311" i="7" s="1"/>
  <c r="AZ313" i="7"/>
  <c r="BA313" i="7" s="1"/>
  <c r="AZ314" i="7"/>
  <c r="BA314" i="7" s="1"/>
  <c r="AZ316" i="7"/>
  <c r="BA316" i="7" s="1"/>
  <c r="AZ317" i="7"/>
  <c r="BA317" i="7" s="1"/>
  <c r="AZ319" i="7"/>
  <c r="BA319" i="7" s="1"/>
  <c r="AZ320" i="7"/>
  <c r="BA320" i="7" s="1"/>
  <c r="AZ321" i="7"/>
  <c r="BA321" i="7" s="1"/>
  <c r="AZ322" i="7"/>
  <c r="BA322" i="7" s="1"/>
  <c r="AZ326" i="7"/>
  <c r="BA326" i="7" s="1"/>
  <c r="AZ327" i="7"/>
  <c r="BA327" i="7" s="1"/>
  <c r="AZ328" i="7"/>
  <c r="BA328" i="7" s="1"/>
  <c r="AZ329" i="7"/>
  <c r="BA329" i="7" s="1"/>
  <c r="AZ330" i="7"/>
  <c r="BA330" i="7" s="1"/>
  <c r="AZ331" i="7"/>
  <c r="BA331" i="7" s="1"/>
  <c r="AZ333" i="7"/>
  <c r="BA333" i="7" s="1"/>
  <c r="AZ334" i="7"/>
  <c r="BA334" i="7" s="1"/>
  <c r="AZ335" i="7"/>
  <c r="BA335" i="7" s="1"/>
  <c r="AZ336" i="7"/>
  <c r="BA336" i="7" s="1"/>
  <c r="AZ337" i="7"/>
  <c r="BA337" i="7" s="1"/>
  <c r="AZ338" i="7"/>
  <c r="BA338" i="7" s="1"/>
  <c r="AZ340" i="7"/>
  <c r="BA340" i="7" s="1"/>
  <c r="AZ341" i="7"/>
  <c r="BA341" i="7" s="1"/>
  <c r="AZ342" i="7"/>
  <c r="BA342" i="7" s="1"/>
  <c r="AZ343" i="7"/>
  <c r="BA343" i="7" s="1"/>
  <c r="AZ344" i="7"/>
  <c r="BA344" i="7" s="1"/>
  <c r="AZ345" i="7"/>
  <c r="BA345" i="7" s="1"/>
  <c r="AZ347" i="7"/>
  <c r="BA347" i="7" s="1"/>
  <c r="AZ348" i="7"/>
  <c r="BA348" i="7" s="1"/>
  <c r="AZ349" i="7"/>
  <c r="BA349" i="7" s="1"/>
  <c r="AZ350" i="7"/>
  <c r="BA350" i="7" s="1"/>
  <c r="AZ351" i="7"/>
  <c r="BA351" i="7" s="1"/>
  <c r="AZ352" i="7"/>
  <c r="BA352" i="7" s="1"/>
  <c r="AZ354" i="7"/>
  <c r="BA354" i="7" s="1"/>
  <c r="AZ355" i="7"/>
  <c r="BA355" i="7" s="1"/>
  <c r="AZ356" i="7"/>
  <c r="BA356" i="7" s="1"/>
  <c r="AZ357" i="7"/>
  <c r="BA357" i="7" s="1"/>
  <c r="AZ358" i="7"/>
  <c r="BA358" i="7" s="1"/>
  <c r="AZ359" i="7"/>
  <c r="BA359" i="7" s="1"/>
  <c r="AZ361" i="7"/>
  <c r="BA361" i="7" s="1"/>
  <c r="AZ362" i="7"/>
  <c r="BA362" i="7" s="1"/>
  <c r="AZ363" i="7"/>
  <c r="BA363" i="7" s="1"/>
  <c r="AZ364" i="7"/>
  <c r="BA364" i="7" s="1"/>
  <c r="AZ365" i="7"/>
  <c r="BA365" i="7" s="1"/>
  <c r="AZ366" i="7"/>
  <c r="BA366" i="7" s="1"/>
  <c r="AZ368" i="7"/>
  <c r="BA368" i="7" s="1"/>
  <c r="AZ369" i="7"/>
  <c r="BA369" i="7" s="1"/>
  <c r="AZ370" i="7"/>
  <c r="BA370" i="7" s="1"/>
  <c r="AZ371" i="7"/>
  <c r="BA371" i="7" s="1"/>
  <c r="AZ372" i="7"/>
  <c r="BA372" i="7" s="1"/>
  <c r="AZ373" i="7"/>
  <c r="BA373" i="7" s="1"/>
  <c r="AZ375" i="7"/>
  <c r="BA375" i="7" s="1"/>
  <c r="AZ376" i="7"/>
  <c r="BA376" i="7" s="1"/>
  <c r="AZ377" i="7"/>
  <c r="BA377" i="7" s="1"/>
  <c r="AZ378" i="7"/>
  <c r="BA378" i="7" s="1"/>
  <c r="AZ379" i="7"/>
  <c r="BA379" i="7" s="1"/>
  <c r="AZ381" i="7"/>
  <c r="BA381" i="7" s="1"/>
  <c r="AZ382" i="7"/>
  <c r="BA382" i="7" s="1"/>
  <c r="AZ383" i="7"/>
  <c r="BA383" i="7" s="1"/>
  <c r="AZ384" i="7"/>
  <c r="BA384" i="7" s="1"/>
  <c r="AZ385" i="7"/>
  <c r="BA385" i="7" s="1"/>
  <c r="AZ386" i="7"/>
  <c r="BA386" i="7" s="1"/>
  <c r="AZ387" i="7"/>
  <c r="BA387" i="7" s="1"/>
  <c r="AZ388" i="7"/>
  <c r="BA388" i="7" s="1"/>
  <c r="AZ389" i="7"/>
  <c r="BA389" i="7" s="1"/>
  <c r="AZ390" i="7"/>
  <c r="BA390" i="7" s="1"/>
  <c r="BE12" i="10"/>
  <c r="BF12" i="10" s="1"/>
  <c r="BE13" i="10"/>
  <c r="BF13" i="10" s="1"/>
  <c r="BE14" i="10"/>
  <c r="BE15" i="10"/>
  <c r="BF15" i="10" s="1"/>
  <c r="BE16" i="10"/>
  <c r="BE17" i="10"/>
  <c r="BF17" i="10" s="1"/>
  <c r="BE18" i="10"/>
  <c r="BE19" i="10"/>
  <c r="BF19" i="10" s="1"/>
  <c r="BE20" i="10"/>
  <c r="BF20" i="10" s="1"/>
  <c r="BE21" i="10"/>
  <c r="BE22" i="10"/>
  <c r="BF22" i="10" s="1"/>
  <c r="BE23" i="10"/>
  <c r="BE24" i="10"/>
  <c r="BF24" i="10" s="1"/>
  <c r="BE25" i="10"/>
  <c r="BE26" i="10"/>
  <c r="BF26" i="10" s="1"/>
  <c r="BE27" i="10"/>
  <c r="BE28" i="10"/>
  <c r="BF28" i="10" s="1"/>
  <c r="BE29" i="10"/>
  <c r="BE30" i="10"/>
  <c r="BF30" i="10" s="1"/>
  <c r="BE31" i="10"/>
  <c r="BE32" i="10"/>
  <c r="BF32" i="10" s="1"/>
  <c r="BE33" i="10"/>
  <c r="BF33" i="10" s="1"/>
  <c r="BE34" i="10"/>
  <c r="BE35" i="10"/>
  <c r="BF35" i="10" s="1"/>
  <c r="BE36" i="10"/>
  <c r="BE37" i="10"/>
  <c r="BF37" i="10" s="1"/>
  <c r="BE38" i="10"/>
  <c r="BE39" i="10"/>
  <c r="BF39" i="10" s="1"/>
  <c r="BE40" i="10"/>
  <c r="BF40" i="10" s="1"/>
  <c r="BE41" i="10"/>
  <c r="BE42" i="10"/>
  <c r="BF42" i="10" s="1"/>
  <c r="BE43" i="10"/>
  <c r="BE44" i="10"/>
  <c r="BF44" i="10" s="1"/>
  <c r="BE45" i="10"/>
  <c r="BE46" i="10"/>
  <c r="BF46" i="10" s="1"/>
  <c r="BE47" i="10"/>
  <c r="BF47" i="10" s="1"/>
  <c r="BE48" i="10"/>
  <c r="BF48" i="10" s="1"/>
  <c r="BE49" i="10"/>
  <c r="BE50" i="10"/>
  <c r="BF50" i="10" s="1"/>
  <c r="BE51" i="10"/>
  <c r="BF51" i="10" s="1"/>
  <c r="BE52" i="10"/>
  <c r="BE53" i="10"/>
  <c r="BF53" i="10" s="1"/>
  <c r="BE54" i="10"/>
  <c r="BE55" i="10"/>
  <c r="BF55" i="10" s="1"/>
  <c r="BE56" i="10"/>
  <c r="BF56" i="10" s="1"/>
  <c r="BE57" i="10"/>
  <c r="BE58" i="10"/>
  <c r="BF58" i="10" s="1"/>
  <c r="BE59" i="10"/>
  <c r="BE60" i="10"/>
  <c r="BF60" i="10" s="1"/>
  <c r="BE61" i="10"/>
  <c r="BE62" i="10"/>
  <c r="BF62" i="10" s="1"/>
  <c r="BE63" i="10"/>
  <c r="BE64" i="10"/>
  <c r="BF64" i="10" s="1"/>
  <c r="BE65" i="10"/>
  <c r="BE66" i="10"/>
  <c r="BF66" i="10" s="1"/>
  <c r="BE67" i="10"/>
  <c r="BF67" i="10" s="1"/>
  <c r="BE68" i="10"/>
  <c r="BF68" i="10" s="1"/>
  <c r="BE69" i="10"/>
  <c r="BE70" i="10"/>
  <c r="BF70" i="10" s="1"/>
  <c r="BE71" i="10"/>
  <c r="BE72" i="10"/>
  <c r="BF72" i="10" s="1"/>
  <c r="BE73" i="10"/>
  <c r="BE74" i="10"/>
  <c r="BF74" i="10" s="1"/>
  <c r="BE75" i="10"/>
  <c r="BE76" i="10"/>
  <c r="BF76" i="10" s="1"/>
  <c r="BE77" i="10"/>
  <c r="BF77" i="10" s="1"/>
  <c r="BE78" i="10"/>
  <c r="BE79" i="10"/>
  <c r="BF79" i="10" s="1"/>
  <c r="BE80" i="10"/>
  <c r="BE81" i="10"/>
  <c r="BF81" i="10" s="1"/>
  <c r="BE82" i="10"/>
  <c r="BE83" i="10"/>
  <c r="BF83" i="10" s="1"/>
  <c r="BE84" i="10"/>
  <c r="BF84" i="10" s="1"/>
  <c r="BE85" i="10"/>
  <c r="BE86" i="10"/>
  <c r="BF86" i="10" s="1"/>
  <c r="BE87" i="10"/>
  <c r="BE88" i="10"/>
  <c r="BF88" i="10" s="1"/>
  <c r="BE89" i="10"/>
  <c r="BE90" i="10"/>
  <c r="BF90" i="10" s="1"/>
  <c r="BE91" i="10"/>
  <c r="BE92" i="10"/>
  <c r="BF92" i="10" s="1"/>
  <c r="BE93" i="10"/>
  <c r="BE94" i="10"/>
  <c r="BF94" i="10" s="1"/>
  <c r="BE95" i="10"/>
  <c r="BE96" i="10"/>
  <c r="BF96" i="10" s="1"/>
  <c r="BE97" i="10"/>
  <c r="BF97" i="10" s="1"/>
  <c r="BE98" i="10"/>
  <c r="BF98" i="10" s="1"/>
  <c r="BE99" i="10"/>
  <c r="BE100" i="10"/>
  <c r="BF100" i="10" s="1"/>
  <c r="BE101" i="10"/>
  <c r="BF101" i="10" s="1"/>
  <c r="BE102" i="10"/>
  <c r="BE103" i="10"/>
  <c r="BF103" i="10" s="1"/>
  <c r="BE104" i="10"/>
  <c r="BE105" i="10"/>
  <c r="BF105" i="10" s="1"/>
  <c r="BE106" i="10"/>
  <c r="BF106" i="10" s="1"/>
  <c r="BE107" i="10"/>
  <c r="BE108" i="10"/>
  <c r="BF108" i="10" s="1"/>
  <c r="BE109" i="10"/>
  <c r="BE110" i="10"/>
  <c r="BF110" i="10" s="1"/>
  <c r="BE111" i="10"/>
  <c r="BE112" i="10"/>
  <c r="BF112" i="10" s="1"/>
  <c r="BE113" i="10"/>
  <c r="BE114" i="10"/>
  <c r="BF114" i="10" s="1"/>
  <c r="BE115" i="10"/>
  <c r="BE116" i="10"/>
  <c r="BF116" i="10" s="1"/>
  <c r="BE117" i="10"/>
  <c r="BE118" i="10"/>
  <c r="BF118" i="10" s="1"/>
  <c r="BE119" i="10"/>
  <c r="BF119" i="10" s="1"/>
  <c r="BE120" i="10"/>
  <c r="BE121" i="10"/>
  <c r="BF121" i="10" s="1"/>
  <c r="BE122" i="10"/>
  <c r="BE123" i="10"/>
  <c r="BF123" i="10" s="1"/>
  <c r="BE124" i="10"/>
  <c r="BE125" i="10"/>
  <c r="BF125" i="10" s="1"/>
  <c r="BE126" i="10"/>
  <c r="BF126" i="10" s="1"/>
  <c r="BE127" i="10"/>
  <c r="BF127" i="10" s="1"/>
  <c r="BE128" i="10"/>
  <c r="BE129" i="10"/>
  <c r="BF129" i="10" s="1"/>
  <c r="BE130" i="10"/>
  <c r="BE131" i="10"/>
  <c r="BF131" i="10" s="1"/>
  <c r="BE132" i="10"/>
  <c r="BF132" i="10" s="1"/>
  <c r="BE133" i="10"/>
  <c r="BE134" i="10"/>
  <c r="BF134" i="10" s="1"/>
  <c r="BE135" i="10"/>
  <c r="BE136" i="10"/>
  <c r="BF136" i="10" s="1"/>
  <c r="BE137" i="10"/>
  <c r="BF137" i="10" s="1"/>
  <c r="BE138" i="10"/>
  <c r="BE139" i="10"/>
  <c r="BF139" i="10" s="1"/>
  <c r="BE140" i="10"/>
  <c r="BE141" i="10"/>
  <c r="BF141" i="10" s="1"/>
  <c r="BE142" i="10"/>
  <c r="BE143" i="10"/>
  <c r="BF143" i="10" s="1"/>
  <c r="BE144" i="10"/>
  <c r="BF144" i="10" s="1"/>
  <c r="BE145" i="10"/>
  <c r="BF145" i="10" s="1"/>
  <c r="BE146" i="10"/>
  <c r="BF146" i="10" s="1"/>
  <c r="BE147" i="10"/>
  <c r="BE148" i="10"/>
  <c r="BF148" i="10" s="1"/>
  <c r="BE149" i="10"/>
  <c r="BF149" i="10" s="1"/>
  <c r="BE150" i="10"/>
  <c r="BE151" i="10"/>
  <c r="BF151" i="10" s="1"/>
  <c r="BE152" i="10"/>
  <c r="BE153" i="10"/>
  <c r="BF153" i="10" s="1"/>
  <c r="BE154" i="10"/>
  <c r="BF154" i="10" s="1"/>
  <c r="BE155" i="10"/>
  <c r="BE156" i="10"/>
  <c r="BF156" i="10" s="1"/>
  <c r="BE157" i="10"/>
  <c r="BE158" i="10"/>
  <c r="BF158" i="10" s="1"/>
  <c r="BE159" i="10"/>
  <c r="BF159" i="10" s="1"/>
  <c r="BE160" i="10"/>
  <c r="BF160" i="10" s="1"/>
  <c r="BE161" i="10"/>
  <c r="BE162" i="10"/>
  <c r="BF162" i="10" s="1"/>
  <c r="BE163" i="10"/>
  <c r="BE164" i="10"/>
  <c r="BF164" i="10" s="1"/>
  <c r="BE165" i="10"/>
  <c r="BE166" i="10"/>
  <c r="BF166" i="10" s="1"/>
  <c r="BE167" i="10"/>
  <c r="BE168" i="10"/>
  <c r="BF168" i="10" s="1"/>
  <c r="BE169" i="10"/>
  <c r="BF169" i="10" s="1"/>
  <c r="BE170" i="10"/>
  <c r="BE171" i="10"/>
  <c r="BF171" i="10" s="1"/>
  <c r="BE172" i="10"/>
  <c r="BE173" i="10"/>
  <c r="BF173" i="10" s="1"/>
  <c r="BE174" i="10"/>
  <c r="BE175" i="10"/>
  <c r="BF175" i="10" s="1"/>
  <c r="BE176" i="10"/>
  <c r="BE177" i="10"/>
  <c r="BF177" i="10" s="1"/>
  <c r="BE178" i="10"/>
  <c r="BF178" i="10" s="1"/>
  <c r="BE179" i="10"/>
  <c r="BE180" i="10"/>
  <c r="BF180" i="10" s="1"/>
  <c r="BE181" i="10"/>
  <c r="BE182" i="10"/>
  <c r="BF182" i="10" s="1"/>
  <c r="BE183" i="10"/>
  <c r="BE184" i="10"/>
  <c r="BF184" i="10" s="1"/>
  <c r="BE185" i="10"/>
  <c r="BE186" i="10"/>
  <c r="BF186" i="10" s="1"/>
  <c r="BE187" i="10"/>
  <c r="BE188" i="10"/>
  <c r="BF188" i="10" s="1"/>
  <c r="BE189" i="10"/>
  <c r="BF189" i="10" s="1"/>
  <c r="BE190" i="10"/>
  <c r="BE191" i="10"/>
  <c r="BF191" i="10" s="1"/>
  <c r="BE192" i="10"/>
  <c r="BE193" i="10"/>
  <c r="BF193" i="10" s="1"/>
  <c r="BE194" i="10"/>
  <c r="BE195" i="10"/>
  <c r="BF195" i="10" s="1"/>
  <c r="BE196" i="10"/>
  <c r="BF196" i="10" s="1"/>
  <c r="BE197" i="10"/>
  <c r="BE198" i="10"/>
  <c r="BF198" i="10" s="1"/>
  <c r="BE199" i="10"/>
  <c r="BE200" i="10"/>
  <c r="BF200" i="10" s="1"/>
  <c r="BE201" i="10"/>
  <c r="BE202" i="10"/>
  <c r="BF202" i="10" s="1"/>
  <c r="BE203" i="10"/>
  <c r="BE204" i="10"/>
  <c r="BF204" i="10" s="1"/>
  <c r="BE205" i="10"/>
  <c r="BE206" i="10"/>
  <c r="BF206" i="10" s="1"/>
  <c r="BE207" i="10"/>
  <c r="BF207" i="10" s="1"/>
  <c r="BE208" i="10"/>
  <c r="BE209" i="10"/>
  <c r="BF209" i="10" s="1"/>
  <c r="BE210" i="10"/>
  <c r="BE211" i="10"/>
  <c r="BF211" i="10" s="1"/>
  <c r="BE212" i="10"/>
  <c r="BF212" i="10" s="1"/>
  <c r="BE213" i="10"/>
  <c r="BE214" i="10"/>
  <c r="BE215" i="10"/>
  <c r="BE216" i="10"/>
  <c r="BE217" i="10"/>
  <c r="BE218" i="10"/>
  <c r="BF218" i="10" s="1"/>
  <c r="BE219" i="10"/>
  <c r="BF219" i="10" s="1"/>
  <c r="BE220" i="10"/>
  <c r="BE221" i="10"/>
  <c r="BE222" i="10"/>
  <c r="BF222" i="10" s="1"/>
  <c r="BE223" i="10"/>
  <c r="BE224" i="10"/>
  <c r="BF224" i="10" s="1"/>
  <c r="BE225" i="10"/>
  <c r="BE226" i="10"/>
  <c r="BF226" i="10" s="1"/>
  <c r="BE227" i="10"/>
  <c r="BE228" i="10"/>
  <c r="BF228" i="10" s="1"/>
  <c r="BE229" i="10"/>
  <c r="BE230" i="10"/>
  <c r="BF230" i="10" s="1"/>
  <c r="BE231" i="10"/>
  <c r="BE232" i="10"/>
  <c r="BF232" i="10" s="1"/>
  <c r="BE233" i="10"/>
  <c r="BE234" i="10"/>
  <c r="BF234" i="10" s="1"/>
  <c r="BE235" i="10"/>
  <c r="BE236" i="10"/>
  <c r="BF236" i="10" s="1"/>
  <c r="BE237" i="10"/>
  <c r="BF237" i="10" s="1"/>
  <c r="BE238" i="10"/>
  <c r="BE239" i="10"/>
  <c r="BF239" i="10" s="1"/>
  <c r="BE240" i="10"/>
  <c r="BE241" i="10"/>
  <c r="BF241" i="10" s="1"/>
  <c r="BE242" i="10"/>
  <c r="BF242" i="10" s="1"/>
  <c r="BE243" i="10"/>
  <c r="BE244" i="10"/>
  <c r="BF244" i="10" s="1"/>
  <c r="BE245" i="10"/>
  <c r="BE246" i="10"/>
  <c r="BF246" i="10" s="1"/>
  <c r="BE247" i="10"/>
  <c r="BE248" i="10"/>
  <c r="BF248" i="10" s="1"/>
  <c r="BE249" i="10"/>
  <c r="BE250" i="10"/>
  <c r="BF250" i="10" s="1"/>
  <c r="BE251" i="10"/>
  <c r="BE252" i="10"/>
  <c r="BF252" i="10" s="1"/>
  <c r="BE253" i="10"/>
  <c r="BF253" i="10" s="1"/>
  <c r="BE254" i="10"/>
  <c r="BE255" i="10"/>
  <c r="BF255" i="10" s="1"/>
  <c r="BE256" i="10"/>
  <c r="BF256" i="10" s="1"/>
  <c r="BE257" i="10"/>
  <c r="BF257" i="10" s="1"/>
  <c r="BE258" i="10"/>
  <c r="BE259" i="10"/>
  <c r="BF259" i="10" s="1"/>
  <c r="BE260" i="10"/>
  <c r="BE261" i="10"/>
  <c r="BF261" i="10" s="1"/>
  <c r="BE262" i="10"/>
  <c r="BE263" i="10"/>
  <c r="BF263" i="10" s="1"/>
  <c r="BE264" i="10"/>
  <c r="BF264" i="10" s="1"/>
  <c r="BE265" i="10"/>
  <c r="BE266" i="10"/>
  <c r="BF266" i="10" s="1"/>
  <c r="BE267" i="10"/>
  <c r="BE268" i="10"/>
  <c r="BF268" i="10" s="1"/>
  <c r="BE269" i="10"/>
  <c r="BF269" i="10" s="1"/>
  <c r="BE270" i="10"/>
  <c r="BE271" i="10"/>
  <c r="BF271" i="10" s="1"/>
  <c r="BE272" i="10"/>
  <c r="BE273" i="10"/>
  <c r="BF273" i="10" s="1"/>
  <c r="BE274" i="10"/>
  <c r="BF274" i="10" s="1"/>
  <c r="BE275" i="10"/>
  <c r="BE276" i="10"/>
  <c r="BE277" i="10"/>
  <c r="BF277" i="10" s="1"/>
  <c r="BE278" i="10"/>
  <c r="BF278" i="10" s="1"/>
  <c r="BE279" i="10"/>
  <c r="BE280" i="10"/>
  <c r="BF280" i="10" s="1"/>
  <c r="BE281" i="10"/>
  <c r="BE282" i="10"/>
  <c r="BF282" i="10" s="1"/>
  <c r="BE283" i="10"/>
  <c r="BE284" i="10"/>
  <c r="BF284" i="10" s="1"/>
  <c r="BE285" i="10"/>
  <c r="BE286" i="10"/>
  <c r="BF286" i="10" s="1"/>
  <c r="BE287" i="10"/>
  <c r="BE288" i="10"/>
  <c r="BF288" i="10" s="1"/>
  <c r="BE289" i="10"/>
  <c r="BF289" i="10" s="1"/>
  <c r="BE290" i="10"/>
  <c r="BE291" i="10"/>
  <c r="BF291" i="10" s="1"/>
  <c r="BE292" i="10"/>
  <c r="BE293" i="10"/>
  <c r="BF293" i="10" s="1"/>
  <c r="BE294" i="10"/>
  <c r="BE295" i="10"/>
  <c r="BF295" i="10" s="1"/>
  <c r="BE296" i="10"/>
  <c r="BE297" i="10"/>
  <c r="BF297" i="10" s="1"/>
  <c r="BE298" i="10"/>
  <c r="BE299" i="10"/>
  <c r="BF299" i="10" s="1"/>
  <c r="BE300" i="10"/>
  <c r="BF300" i="10" s="1"/>
  <c r="BE301" i="10"/>
  <c r="BE302" i="10"/>
  <c r="BF302" i="10" s="1"/>
  <c r="BE303" i="10"/>
  <c r="BF303" i="10" s="1"/>
  <c r="BE304" i="10"/>
  <c r="BE305" i="10"/>
  <c r="BF305" i="10" s="1"/>
  <c r="BE306" i="10"/>
  <c r="BE307" i="10"/>
  <c r="BF307" i="10" s="1"/>
  <c r="BE308" i="10"/>
  <c r="BF308" i="10" s="1"/>
  <c r="BE309" i="10"/>
  <c r="BE310" i="10"/>
  <c r="BF310" i="10" s="1"/>
  <c r="BE311" i="10"/>
  <c r="BE312" i="10"/>
  <c r="BF312" i="10" s="1"/>
  <c r="BE313" i="10"/>
  <c r="BF313" i="10" s="1"/>
  <c r="BE314" i="10"/>
  <c r="BE315" i="10"/>
  <c r="BF315" i="10" s="1"/>
  <c r="BE316" i="10"/>
  <c r="BF316" i="10" s="1"/>
  <c r="BE317" i="10"/>
  <c r="BE318" i="10"/>
  <c r="BF318" i="10" s="1"/>
  <c r="BE319" i="10"/>
  <c r="BF319" i="10" s="1"/>
  <c r="BE320" i="10"/>
  <c r="BE321" i="10"/>
  <c r="BF321" i="10" s="1"/>
  <c r="BE322" i="10"/>
  <c r="BE323" i="10"/>
  <c r="BF323" i="10" s="1"/>
  <c r="BE324" i="10"/>
  <c r="BF324" i="10" s="1"/>
  <c r="BE325" i="10"/>
  <c r="BF325" i="10" s="1"/>
  <c r="BE326" i="10"/>
  <c r="BF326" i="10" s="1"/>
  <c r="BE327" i="10"/>
  <c r="BE328" i="10"/>
  <c r="BF328" i="10" s="1"/>
  <c r="BE329" i="10"/>
  <c r="BE330" i="10"/>
  <c r="BF330" i="10" s="1"/>
  <c r="BE331" i="10"/>
  <c r="BE332" i="10"/>
  <c r="BF332" i="10" s="1"/>
  <c r="BE333" i="10"/>
  <c r="BF333" i="10" s="1"/>
  <c r="BE334" i="10"/>
  <c r="BE335" i="10"/>
  <c r="BF335" i="10" s="1"/>
  <c r="BE336" i="10"/>
  <c r="BE337" i="10"/>
  <c r="BF337" i="10" s="1"/>
  <c r="BE338" i="10"/>
  <c r="BE339" i="10"/>
  <c r="BF339" i="10" s="1"/>
  <c r="BE340" i="10"/>
  <c r="BF340" i="10" s="1"/>
  <c r="BE341" i="10"/>
  <c r="BE342" i="10"/>
  <c r="BF342" i="10" s="1"/>
  <c r="BE343" i="10"/>
  <c r="BE344" i="10"/>
  <c r="BF344" i="10" s="1"/>
  <c r="BE345" i="10"/>
  <c r="BE346" i="10"/>
  <c r="BF346" i="10" s="1"/>
  <c r="BE347" i="10"/>
  <c r="BF347" i="10" s="1"/>
  <c r="BE348" i="10"/>
  <c r="BE349" i="10"/>
  <c r="BF349" i="10" s="1"/>
  <c r="BE350" i="10"/>
  <c r="BE351" i="10"/>
  <c r="BF351" i="10" s="1"/>
  <c r="BE352" i="10"/>
  <c r="BE353" i="10"/>
  <c r="BF353" i="10" s="1"/>
  <c r="BE354" i="10"/>
  <c r="BF354" i="10" s="1"/>
  <c r="BE355" i="10"/>
  <c r="BE356" i="10"/>
  <c r="BF356" i="10" s="1"/>
  <c r="BE357" i="10"/>
  <c r="BE358" i="10"/>
  <c r="BF358" i="10" s="1"/>
  <c r="BE359" i="10"/>
  <c r="BE360" i="10"/>
  <c r="BF360" i="10" s="1"/>
  <c r="BE361" i="10"/>
  <c r="BF361" i="10" s="1"/>
  <c r="BE362" i="10"/>
  <c r="BE363" i="10"/>
  <c r="BF363" i="10" s="1"/>
  <c r="BE364" i="10"/>
  <c r="BE365" i="10"/>
  <c r="BF365" i="10" s="1"/>
  <c r="BE366" i="10"/>
  <c r="BE367" i="10"/>
  <c r="BF367" i="10" s="1"/>
  <c r="BE368" i="10"/>
  <c r="BF368" i="10" s="1"/>
  <c r="BE369" i="10"/>
  <c r="BE370" i="10"/>
  <c r="BF370" i="10" s="1"/>
  <c r="BE371" i="10"/>
  <c r="BE372" i="10"/>
  <c r="BF372" i="10" s="1"/>
  <c r="BE373" i="10"/>
  <c r="BE374" i="10"/>
  <c r="BF374" i="10" s="1"/>
  <c r="BE375" i="10"/>
  <c r="BF375" i="10" s="1"/>
  <c r="BE376" i="10"/>
  <c r="BE377" i="10"/>
  <c r="BF377" i="10" s="1"/>
  <c r="BE378" i="10"/>
  <c r="BE379" i="10"/>
  <c r="BF379" i="10" s="1"/>
  <c r="BE380" i="10"/>
  <c r="BF380" i="10" s="1"/>
  <c r="BE381" i="10"/>
  <c r="BE382" i="10"/>
  <c r="BF382" i="10" s="1"/>
  <c r="BE383" i="10"/>
  <c r="BE384" i="10"/>
  <c r="BF384" i="10" s="1"/>
  <c r="BE385" i="10"/>
  <c r="BE386" i="10"/>
  <c r="BF386" i="10" s="1"/>
  <c r="BE387" i="10"/>
  <c r="BE388" i="10"/>
  <c r="BF388" i="10" s="1"/>
  <c r="BE389" i="10"/>
  <c r="BE390" i="10"/>
  <c r="BF390" i="10" s="1"/>
  <c r="BE391" i="10"/>
  <c r="BE392" i="10"/>
  <c r="BE393" i="10"/>
  <c r="BE394" i="10"/>
  <c r="BE395" i="10"/>
  <c r="BE396" i="10"/>
  <c r="BE397" i="10"/>
  <c r="L10" i="26"/>
  <c r="C7" i="9"/>
  <c r="C7" i="6"/>
  <c r="B410" i="26"/>
  <c r="C410" i="26"/>
  <c r="D410" i="26"/>
  <c r="E410" i="26"/>
  <c r="F410" i="26"/>
  <c r="G410" i="26"/>
  <c r="H410" i="26"/>
  <c r="I410" i="26"/>
  <c r="J410" i="26"/>
  <c r="K410" i="26"/>
  <c r="M410" i="26"/>
  <c r="N410" i="26"/>
  <c r="O410" i="26"/>
  <c r="P410" i="26"/>
  <c r="R410" i="26"/>
  <c r="T410" i="26"/>
  <c r="U410" i="26"/>
  <c r="V410" i="26"/>
  <c r="W410" i="26"/>
  <c r="X410" i="26"/>
  <c r="Y410" i="26"/>
  <c r="Z410" i="26"/>
  <c r="AA410" i="26"/>
  <c r="AB410" i="26"/>
  <c r="AC410" i="26"/>
  <c r="AD410" i="26"/>
  <c r="AE410" i="26"/>
  <c r="AG410" i="26"/>
  <c r="AH410" i="26"/>
  <c r="AI410" i="26"/>
  <c r="AJ410" i="26"/>
  <c r="AK410" i="26"/>
  <c r="AL410" i="26"/>
  <c r="AM410" i="26"/>
  <c r="AN410" i="26"/>
  <c r="AO410" i="26"/>
  <c r="AP410" i="26"/>
  <c r="AQ410" i="26"/>
  <c r="AR410" i="26"/>
  <c r="AS410" i="26"/>
  <c r="AT410" i="26"/>
  <c r="AU410" i="26"/>
  <c r="AV410" i="26"/>
  <c r="AW410" i="26"/>
  <c r="AX410" i="26"/>
  <c r="AY410" i="26"/>
  <c r="AZ410" i="26"/>
  <c r="BA410" i="26"/>
  <c r="BB410" i="26"/>
  <c r="BC410" i="26"/>
  <c r="A410" i="26"/>
  <c r="N520" i="26"/>
  <c r="AA520" i="26" s="1"/>
  <c r="D412" i="26"/>
  <c r="D413" i="26"/>
  <c r="D414" i="26"/>
  <c r="D415" i="26"/>
  <c r="D416" i="26"/>
  <c r="D417" i="26"/>
  <c r="D418" i="26"/>
  <c r="D419" i="26"/>
  <c r="D420" i="26"/>
  <c r="D421" i="26"/>
  <c r="D422" i="26"/>
  <c r="D423" i="26"/>
  <c r="D424" i="26"/>
  <c r="D425" i="26"/>
  <c r="D426" i="26"/>
  <c r="D427" i="26"/>
  <c r="D428" i="26"/>
  <c r="D429" i="26"/>
  <c r="D430" i="26"/>
  <c r="D431" i="26"/>
  <c r="D432" i="26"/>
  <c r="D433" i="26"/>
  <c r="D434"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61"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88"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515"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AP13" i="26"/>
  <c r="AO13" i="26" s="1"/>
  <c r="AP32" i="26"/>
  <c r="AO32" i="26" s="1"/>
  <c r="AP40" i="26"/>
  <c r="AO40" i="26" s="1"/>
  <c r="AP46" i="26"/>
  <c r="AO46" i="26" s="1"/>
  <c r="AP47" i="26"/>
  <c r="AO47" i="26" s="1"/>
  <c r="AP65" i="26"/>
  <c r="AO65" i="26" s="1"/>
  <c r="AP83" i="26"/>
  <c r="AO83" i="26" s="1"/>
  <c r="AP84" i="26"/>
  <c r="AO84" i="26" s="1"/>
  <c r="AP97" i="26"/>
  <c r="AO97" i="26" s="1"/>
  <c r="AP100" i="26"/>
  <c r="AP105" i="26"/>
  <c r="AO105" i="26" s="1"/>
  <c r="AP118" i="26"/>
  <c r="AO118" i="26" s="1"/>
  <c r="AP119" i="26"/>
  <c r="AO119" i="26" s="1"/>
  <c r="AP125" i="26"/>
  <c r="AO125" i="26" s="1"/>
  <c r="AP126" i="26"/>
  <c r="AO126" i="26" s="1"/>
  <c r="AP131" i="26"/>
  <c r="AO131" i="26" s="1"/>
  <c r="AP132" i="26"/>
  <c r="AO132" i="26" s="1"/>
  <c r="AP137" i="26"/>
  <c r="AO137" i="26" s="1"/>
  <c r="AP141" i="26"/>
  <c r="AO141" i="26" s="1"/>
  <c r="AP144" i="26"/>
  <c r="AO144" i="26" s="1"/>
  <c r="AP145" i="26"/>
  <c r="AO145" i="26" s="1"/>
  <c r="AP149" i="26"/>
  <c r="AO149" i="26" s="1"/>
  <c r="AP152" i="26"/>
  <c r="AO152" i="26" s="1"/>
  <c r="AP153" i="26"/>
  <c r="AO153" i="26" s="1"/>
  <c r="AP163" i="26"/>
  <c r="AP168" i="26"/>
  <c r="AO168" i="26" s="1"/>
  <c r="AP169" i="26"/>
  <c r="AO169" i="26" s="1"/>
  <c r="AP189" i="26"/>
  <c r="AO189" i="26" s="1"/>
  <c r="AP196" i="26"/>
  <c r="AO196" i="26" s="1"/>
  <c r="AP241" i="26"/>
  <c r="AO241" i="26" s="1"/>
  <c r="AP253" i="26"/>
  <c r="AO253" i="26" s="1"/>
  <c r="AP264" i="26"/>
  <c r="AO264" i="26" s="1"/>
  <c r="AP277" i="26"/>
  <c r="AP298" i="26"/>
  <c r="AO298" i="26" s="1"/>
  <c r="AP302" i="26"/>
  <c r="AO302" i="26" s="1"/>
  <c r="AP311" i="26"/>
  <c r="AO311" i="26" s="1"/>
  <c r="AP315" i="26"/>
  <c r="AO315" i="26" s="1"/>
  <c r="AP317" i="26"/>
  <c r="AO317" i="26" s="1"/>
  <c r="AP323" i="26"/>
  <c r="AP325" i="26"/>
  <c r="AO325" i="26" s="1"/>
  <c r="AP332" i="26"/>
  <c r="AO332" i="26" s="1"/>
  <c r="AP345" i="26"/>
  <c r="AO345" i="26" s="1"/>
  <c r="AP346" i="26"/>
  <c r="AO346" i="26" s="1"/>
  <c r="AP360" i="26"/>
  <c r="AO360" i="26" s="1"/>
  <c r="AP367" i="26"/>
  <c r="AO367" i="26" s="1"/>
  <c r="AP373" i="26"/>
  <c r="AO373" i="26" s="1"/>
  <c r="AP380" i="26"/>
  <c r="AO380" i="26" s="1"/>
  <c r="AP390" i="26"/>
  <c r="AF12" i="26"/>
  <c r="AH12" i="26" s="1"/>
  <c r="AG12" i="26" s="1"/>
  <c r="AF13" i="26"/>
  <c r="AH13" i="26" s="1"/>
  <c r="AG13" i="26" s="1"/>
  <c r="AF20" i="26"/>
  <c r="AF33" i="26"/>
  <c r="AH33" i="26" s="1"/>
  <c r="AG33" i="26" s="1"/>
  <c r="AF40" i="26"/>
  <c r="AF46" i="26"/>
  <c r="AH46" i="26" s="1"/>
  <c r="AG46" i="26" s="1"/>
  <c r="AF47" i="26"/>
  <c r="AF51" i="26"/>
  <c r="AH51" i="26" s="1"/>
  <c r="AG51" i="26" s="1"/>
  <c r="AF56" i="26"/>
  <c r="AF66" i="26"/>
  <c r="AH66" i="26" s="1"/>
  <c r="AF67" i="26"/>
  <c r="AH67" i="26" s="1"/>
  <c r="AG67" i="26" s="1"/>
  <c r="AF76" i="26"/>
  <c r="AH76" i="26" s="1"/>
  <c r="AG76" i="26" s="1"/>
  <c r="AF84" i="26"/>
  <c r="AH84" i="26" s="1"/>
  <c r="AG84" i="26" s="1"/>
  <c r="AF97" i="26"/>
  <c r="AH97" i="26" s="1"/>
  <c r="AF98" i="26"/>
  <c r="AF100" i="26"/>
  <c r="AH100" i="26" s="1"/>
  <c r="AG100" i="26" s="1"/>
  <c r="AF106" i="26"/>
  <c r="AF119" i="26"/>
  <c r="AF125" i="26"/>
  <c r="AH125" i="26" s="1"/>
  <c r="AG125" i="26" s="1"/>
  <c r="AF126" i="26"/>
  <c r="AH126" i="26" s="1"/>
  <c r="AF132" i="26"/>
  <c r="AH132" i="26" s="1"/>
  <c r="AG132" i="26" s="1"/>
  <c r="AF137" i="26"/>
  <c r="AH137" i="26" s="1"/>
  <c r="AG137" i="26" s="1"/>
  <c r="AF143" i="26"/>
  <c r="AF144" i="26"/>
  <c r="AH144" i="26" s="1"/>
  <c r="AG144" i="26" s="1"/>
  <c r="AF145" i="26"/>
  <c r="AH145" i="26" s="1"/>
  <c r="AG145" i="26" s="1"/>
  <c r="AF149" i="26"/>
  <c r="AF153" i="26"/>
  <c r="AF158" i="26"/>
  <c r="AH158" i="26" s="1"/>
  <c r="AG158" i="26" s="1"/>
  <c r="AF159" i="26"/>
  <c r="AH159" i="26" s="1"/>
  <c r="AG159" i="26" s="1"/>
  <c r="AF169" i="26"/>
  <c r="AF189" i="26"/>
  <c r="AF196" i="26"/>
  <c r="AF207" i="26"/>
  <c r="AH207" i="26" s="1"/>
  <c r="AG207" i="26" s="1"/>
  <c r="AF212" i="26"/>
  <c r="AH212" i="26" s="1"/>
  <c r="AG212" i="26" s="1"/>
  <c r="AF218" i="26"/>
  <c r="AH218" i="26" s="1"/>
  <c r="AG218" i="26" s="1"/>
  <c r="AF219" i="26"/>
  <c r="AH219" i="26" s="1"/>
  <c r="AG219" i="26" s="1"/>
  <c r="AF236" i="26"/>
  <c r="AH236" i="26" s="1"/>
  <c r="AG236" i="26" s="1"/>
  <c r="AF242" i="26"/>
  <c r="AH242" i="26" s="1"/>
  <c r="AG242" i="26" s="1"/>
  <c r="AF253" i="26"/>
  <c r="AH253" i="26" s="1"/>
  <c r="AF256" i="26"/>
  <c r="AH256" i="26" s="1"/>
  <c r="AG256" i="26" s="1"/>
  <c r="AF257" i="26"/>
  <c r="AH257" i="26" s="1"/>
  <c r="AG257" i="26" s="1"/>
  <c r="AF264" i="26"/>
  <c r="AH264" i="26" s="1"/>
  <c r="AG264" i="26" s="1"/>
  <c r="AF269" i="26"/>
  <c r="AH269" i="26" s="1"/>
  <c r="AF277" i="26"/>
  <c r="AH277" i="26" s="1"/>
  <c r="AG277" i="26" s="1"/>
  <c r="AF278" i="26"/>
  <c r="AH278" i="26" s="1"/>
  <c r="AG278" i="26" s="1"/>
  <c r="AF289" i="26"/>
  <c r="AH289" i="26" s="1"/>
  <c r="AG289" i="26" s="1"/>
  <c r="AF299" i="26"/>
  <c r="AF302" i="26"/>
  <c r="AF308" i="26"/>
  <c r="AH308" i="26" s="1"/>
  <c r="AF312" i="26"/>
  <c r="AH312" i="26" s="1"/>
  <c r="AG312" i="26" s="1"/>
  <c r="AF315" i="26"/>
  <c r="AF318" i="26"/>
  <c r="AF323" i="26"/>
  <c r="AH323" i="26" s="1"/>
  <c r="AF324" i="26"/>
  <c r="AH324" i="26" s="1"/>
  <c r="AG324" i="26" s="1"/>
  <c r="AF325" i="26"/>
  <c r="AF332" i="26"/>
  <c r="AF339" i="26"/>
  <c r="AF346" i="26"/>
  <c r="AF353" i="26"/>
  <c r="AF360" i="26"/>
  <c r="AF367" i="26"/>
  <c r="AH367" i="26" s="1"/>
  <c r="AG367" i="26" s="1"/>
  <c r="AF374" i="26"/>
  <c r="AH374" i="26" s="1"/>
  <c r="AF380" i="26"/>
  <c r="AH380" i="26" s="1"/>
  <c r="AG380" i="26" s="1"/>
  <c r="AF390" i="26"/>
  <c r="AH390" i="26" s="1"/>
  <c r="AG390" i="26" s="1"/>
  <c r="D47" i="10"/>
  <c r="D67" i="10"/>
  <c r="D98" i="10"/>
  <c r="D126" i="10"/>
  <c r="D144" i="10"/>
  <c r="D145" i="10"/>
  <c r="D159" i="10"/>
  <c r="D219" i="10"/>
  <c r="D257" i="10"/>
  <c r="D277" i="10"/>
  <c r="D278" i="10"/>
  <c r="D289" i="10"/>
  <c r="D299" i="10"/>
  <c r="D302" i="10"/>
  <c r="D308" i="10"/>
  <c r="D312" i="10"/>
  <c r="D315" i="10"/>
  <c r="D318" i="10"/>
  <c r="D323" i="10"/>
  <c r="D324" i="10"/>
  <c r="D325" i="10"/>
  <c r="D332" i="10"/>
  <c r="D339" i="10"/>
  <c r="D346" i="10"/>
  <c r="D353" i="10"/>
  <c r="D360" i="10"/>
  <c r="D367" i="10"/>
  <c r="D374" i="10"/>
  <c r="D380" i="10"/>
  <c r="D390" i="10"/>
  <c r="C10" i="26"/>
  <c r="M308" i="11"/>
  <c r="Q225" i="11"/>
  <c r="D13" i="6"/>
  <c r="E13" i="6"/>
  <c r="D14" i="6"/>
  <c r="D15" i="6"/>
  <c r="D16" i="6"/>
  <c r="D17" i="6"/>
  <c r="D18" i="6"/>
  <c r="D19" i="6"/>
  <c r="D20" i="6"/>
  <c r="D21" i="6"/>
  <c r="D22" i="6"/>
  <c r="D23" i="6"/>
  <c r="D24" i="6"/>
  <c r="D25" i="6"/>
  <c r="D26" i="6"/>
  <c r="D27" i="6"/>
  <c r="D28" i="6"/>
  <c r="D29" i="6"/>
  <c r="D30" i="6"/>
  <c r="D31" i="6"/>
  <c r="D32" i="6"/>
  <c r="D33" i="6"/>
  <c r="E33" i="6"/>
  <c r="D34" i="6"/>
  <c r="D35" i="6"/>
  <c r="D36" i="6"/>
  <c r="D37" i="6"/>
  <c r="D38" i="6"/>
  <c r="D39" i="6"/>
  <c r="D40" i="6"/>
  <c r="E40" i="6"/>
  <c r="D41" i="6"/>
  <c r="D42" i="6"/>
  <c r="D43" i="6"/>
  <c r="D44" i="6"/>
  <c r="D45" i="6"/>
  <c r="D46" i="6"/>
  <c r="D47" i="6"/>
  <c r="E47" i="6"/>
  <c r="D48" i="6"/>
  <c r="D49" i="6"/>
  <c r="D50" i="6"/>
  <c r="D51" i="6"/>
  <c r="D52" i="6"/>
  <c r="D53" i="6"/>
  <c r="D54" i="6"/>
  <c r="D55" i="6"/>
  <c r="D56" i="6"/>
  <c r="E56" i="6"/>
  <c r="D57" i="6"/>
  <c r="D58" i="6"/>
  <c r="D59" i="6"/>
  <c r="D60" i="6"/>
  <c r="D61" i="6"/>
  <c r="D62" i="6"/>
  <c r="D63" i="6"/>
  <c r="D64" i="6"/>
  <c r="D65" i="6"/>
  <c r="D66" i="6"/>
  <c r="D67" i="6"/>
  <c r="E67" i="6"/>
  <c r="D68" i="6"/>
  <c r="D69" i="6"/>
  <c r="D70" i="6"/>
  <c r="D71" i="6"/>
  <c r="D72" i="6"/>
  <c r="D73" i="6"/>
  <c r="D74" i="6"/>
  <c r="D75" i="6"/>
  <c r="D76" i="6"/>
  <c r="D77" i="6"/>
  <c r="D78" i="6"/>
  <c r="D79" i="6"/>
  <c r="D80" i="6"/>
  <c r="D81" i="6"/>
  <c r="D82" i="6"/>
  <c r="D83" i="6"/>
  <c r="D84" i="6"/>
  <c r="E84" i="6"/>
  <c r="D85" i="6"/>
  <c r="D86" i="6"/>
  <c r="D87" i="6"/>
  <c r="D88" i="6"/>
  <c r="D89" i="6"/>
  <c r="D90" i="6"/>
  <c r="D91" i="6"/>
  <c r="D92" i="6"/>
  <c r="D93" i="6"/>
  <c r="D94" i="6"/>
  <c r="D95" i="6"/>
  <c r="D96" i="6"/>
  <c r="D97" i="6"/>
  <c r="D98" i="6"/>
  <c r="E98" i="6"/>
  <c r="D99" i="6"/>
  <c r="D100" i="6"/>
  <c r="D101" i="6"/>
  <c r="D102" i="6"/>
  <c r="D103" i="6"/>
  <c r="D104" i="6"/>
  <c r="D105" i="6"/>
  <c r="D106" i="6"/>
  <c r="D107" i="6"/>
  <c r="D108" i="6"/>
  <c r="D109" i="6"/>
  <c r="D110" i="6"/>
  <c r="D111" i="6"/>
  <c r="D112" i="6"/>
  <c r="D113" i="6"/>
  <c r="D114" i="6"/>
  <c r="D115" i="6"/>
  <c r="D116" i="6"/>
  <c r="D117" i="6"/>
  <c r="D118" i="6"/>
  <c r="D119" i="6"/>
  <c r="E119" i="6"/>
  <c r="D120" i="6"/>
  <c r="D121" i="6"/>
  <c r="D122" i="6"/>
  <c r="D123" i="6"/>
  <c r="D124" i="6"/>
  <c r="D125" i="6"/>
  <c r="D126" i="6"/>
  <c r="E126" i="6"/>
  <c r="D127" i="6"/>
  <c r="D128" i="6"/>
  <c r="D129" i="6"/>
  <c r="D130" i="6"/>
  <c r="D131" i="6"/>
  <c r="D132" i="6"/>
  <c r="E132" i="6"/>
  <c r="D133" i="6"/>
  <c r="D134" i="6"/>
  <c r="D135" i="6"/>
  <c r="D136" i="6"/>
  <c r="D137" i="6"/>
  <c r="D138" i="6"/>
  <c r="D139" i="6"/>
  <c r="D140" i="6"/>
  <c r="D141" i="6"/>
  <c r="D142" i="6"/>
  <c r="D143" i="6"/>
  <c r="D144" i="6"/>
  <c r="E144" i="6"/>
  <c r="D145" i="6"/>
  <c r="E145" i="6"/>
  <c r="D146" i="6"/>
  <c r="D147" i="6"/>
  <c r="D148" i="6"/>
  <c r="D149" i="6"/>
  <c r="D150" i="6"/>
  <c r="D151" i="6"/>
  <c r="D152" i="6"/>
  <c r="D153" i="6"/>
  <c r="D154" i="6"/>
  <c r="D155" i="6"/>
  <c r="D156" i="6"/>
  <c r="D157" i="6"/>
  <c r="D158" i="6"/>
  <c r="D159" i="6"/>
  <c r="E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E189" i="6"/>
  <c r="D190" i="6"/>
  <c r="D191" i="6"/>
  <c r="D192" i="6"/>
  <c r="D193" i="6"/>
  <c r="D194" i="6"/>
  <c r="D195" i="6"/>
  <c r="D196" i="6"/>
  <c r="E196" i="6"/>
  <c r="D197" i="6"/>
  <c r="D198" i="6"/>
  <c r="D199" i="6"/>
  <c r="D200" i="6"/>
  <c r="D201" i="6"/>
  <c r="D202" i="6"/>
  <c r="D203" i="6"/>
  <c r="D204" i="6"/>
  <c r="D205" i="6"/>
  <c r="D206" i="6"/>
  <c r="D207" i="6"/>
  <c r="E207" i="6"/>
  <c r="D208" i="6"/>
  <c r="D209" i="6"/>
  <c r="D210" i="6"/>
  <c r="D211" i="6"/>
  <c r="D212" i="6"/>
  <c r="D213" i="6"/>
  <c r="D214" i="6"/>
  <c r="D215" i="6"/>
  <c r="D216" i="6"/>
  <c r="D217" i="6"/>
  <c r="D218" i="6"/>
  <c r="D219" i="6"/>
  <c r="E219" i="6"/>
  <c r="D220" i="6"/>
  <c r="D221" i="6"/>
  <c r="D222" i="6"/>
  <c r="D223" i="6"/>
  <c r="D224" i="6"/>
  <c r="D225" i="6"/>
  <c r="D226" i="6"/>
  <c r="D227" i="6"/>
  <c r="D228" i="6"/>
  <c r="D229" i="6"/>
  <c r="D230" i="6"/>
  <c r="D231" i="6"/>
  <c r="D232" i="6"/>
  <c r="D233" i="6"/>
  <c r="D234" i="6"/>
  <c r="D235" i="6"/>
  <c r="D236" i="6"/>
  <c r="D237" i="6"/>
  <c r="D238" i="6"/>
  <c r="D239" i="6"/>
  <c r="D240" i="6"/>
  <c r="D241" i="6"/>
  <c r="D242" i="6"/>
  <c r="E242" i="6"/>
  <c r="D243" i="6"/>
  <c r="D244" i="6"/>
  <c r="D245" i="6"/>
  <c r="D246" i="6"/>
  <c r="D247" i="6"/>
  <c r="D248" i="6"/>
  <c r="D249" i="6"/>
  <c r="D250" i="6"/>
  <c r="D251" i="6"/>
  <c r="D252" i="6"/>
  <c r="D253" i="6"/>
  <c r="E253" i="6"/>
  <c r="D254" i="6"/>
  <c r="D255" i="6"/>
  <c r="D256" i="6"/>
  <c r="D257" i="6"/>
  <c r="E257" i="6"/>
  <c r="D258" i="6"/>
  <c r="D259" i="6"/>
  <c r="D260" i="6"/>
  <c r="D261" i="6"/>
  <c r="D262" i="6"/>
  <c r="D263" i="6"/>
  <c r="D264" i="6"/>
  <c r="D265" i="6"/>
  <c r="D266" i="6"/>
  <c r="D267" i="6"/>
  <c r="D268" i="6"/>
  <c r="D269" i="6"/>
  <c r="E269" i="6"/>
  <c r="D270" i="6"/>
  <c r="D271" i="6"/>
  <c r="D272" i="6"/>
  <c r="D273" i="6"/>
  <c r="D274" i="6"/>
  <c r="D275" i="6"/>
  <c r="D276" i="6"/>
  <c r="D277" i="6"/>
  <c r="E277" i="6"/>
  <c r="D278" i="6"/>
  <c r="E278" i="6"/>
  <c r="D279" i="6"/>
  <c r="D280" i="6"/>
  <c r="D281" i="6"/>
  <c r="D282" i="6"/>
  <c r="D283" i="6"/>
  <c r="D284" i="6"/>
  <c r="D285" i="6"/>
  <c r="D286" i="6"/>
  <c r="D287" i="6"/>
  <c r="D288" i="6"/>
  <c r="D289" i="6"/>
  <c r="E289" i="6"/>
  <c r="D290" i="6"/>
  <c r="D291" i="6"/>
  <c r="D292" i="6"/>
  <c r="D293" i="6"/>
  <c r="D294" i="6"/>
  <c r="D295" i="6"/>
  <c r="D296" i="6"/>
  <c r="D297" i="6"/>
  <c r="D298" i="6"/>
  <c r="D299" i="6"/>
  <c r="E299" i="6"/>
  <c r="D300" i="6"/>
  <c r="D301" i="6"/>
  <c r="D302" i="6"/>
  <c r="E302" i="6"/>
  <c r="D303" i="6"/>
  <c r="D304" i="6"/>
  <c r="D305" i="6"/>
  <c r="D306" i="6"/>
  <c r="D307" i="6"/>
  <c r="D308" i="6"/>
  <c r="E308" i="6"/>
  <c r="D309" i="6"/>
  <c r="D310" i="6"/>
  <c r="D311" i="6"/>
  <c r="D312" i="6"/>
  <c r="E312" i="6"/>
  <c r="D313" i="6"/>
  <c r="D314" i="6"/>
  <c r="D315" i="6"/>
  <c r="E315" i="6"/>
  <c r="D316" i="6"/>
  <c r="D317" i="6"/>
  <c r="D318" i="6"/>
  <c r="E318" i="6"/>
  <c r="D319" i="6"/>
  <c r="D320" i="6"/>
  <c r="D321" i="6"/>
  <c r="D322" i="6"/>
  <c r="D323" i="6"/>
  <c r="E323" i="6"/>
  <c r="D324" i="6"/>
  <c r="E324" i="6"/>
  <c r="D325" i="6"/>
  <c r="E325" i="6"/>
  <c r="D326" i="6"/>
  <c r="D327" i="6"/>
  <c r="D328" i="6"/>
  <c r="D329" i="6"/>
  <c r="D330" i="6"/>
  <c r="D331" i="6"/>
  <c r="D332" i="6"/>
  <c r="E332" i="6"/>
  <c r="D333" i="6"/>
  <c r="D334" i="6"/>
  <c r="D335" i="6"/>
  <c r="D336" i="6"/>
  <c r="D337" i="6"/>
  <c r="D338" i="6"/>
  <c r="D339" i="6"/>
  <c r="E339" i="6"/>
  <c r="D340" i="6"/>
  <c r="D341" i="6"/>
  <c r="D342" i="6"/>
  <c r="D343" i="6"/>
  <c r="D344" i="6"/>
  <c r="D345" i="6"/>
  <c r="D346" i="6"/>
  <c r="E346" i="6"/>
  <c r="D347" i="6"/>
  <c r="D348" i="6"/>
  <c r="D349" i="6"/>
  <c r="D350" i="6"/>
  <c r="D351" i="6"/>
  <c r="D352" i="6"/>
  <c r="D353" i="6"/>
  <c r="E353" i="6"/>
  <c r="D354" i="6"/>
  <c r="D355" i="6"/>
  <c r="D356" i="6"/>
  <c r="D357" i="6"/>
  <c r="D358" i="6"/>
  <c r="D359" i="6"/>
  <c r="D360" i="6"/>
  <c r="E360" i="6"/>
  <c r="D361" i="6"/>
  <c r="D362" i="6"/>
  <c r="D363" i="6"/>
  <c r="D364" i="6"/>
  <c r="D365" i="6"/>
  <c r="D366" i="6"/>
  <c r="D367" i="6"/>
  <c r="E367" i="6"/>
  <c r="D368" i="6"/>
  <c r="D369" i="6"/>
  <c r="D370" i="6"/>
  <c r="D371" i="6"/>
  <c r="D372" i="6"/>
  <c r="D373" i="6"/>
  <c r="D374" i="6"/>
  <c r="E374" i="6"/>
  <c r="D375" i="6"/>
  <c r="D376" i="6"/>
  <c r="D377" i="6"/>
  <c r="D378" i="6"/>
  <c r="D379" i="6"/>
  <c r="D380" i="6"/>
  <c r="E380" i="6"/>
  <c r="D381" i="6"/>
  <c r="D382" i="6"/>
  <c r="D383" i="6"/>
  <c r="D384" i="6"/>
  <c r="D385" i="6"/>
  <c r="D386" i="6"/>
  <c r="D387" i="6"/>
  <c r="D388" i="6"/>
  <c r="D389" i="6"/>
  <c r="D390" i="6"/>
  <c r="E390" i="6"/>
  <c r="D12" i="6"/>
  <c r="K412" i="26"/>
  <c r="K414" i="26"/>
  <c r="K415" i="26"/>
  <c r="K416" i="26"/>
  <c r="K417" i="26"/>
  <c r="K418" i="26"/>
  <c r="K419" i="26"/>
  <c r="K420" i="26"/>
  <c r="K421" i="26"/>
  <c r="K423" i="26"/>
  <c r="K424" i="26"/>
  <c r="K426" i="26"/>
  <c r="K427" i="26"/>
  <c r="K428" i="26"/>
  <c r="K429" i="26"/>
  <c r="K430" i="26"/>
  <c r="K431" i="26"/>
  <c r="K432" i="26"/>
  <c r="K433" i="26"/>
  <c r="K434" i="26"/>
  <c r="K435" i="26"/>
  <c r="K436" i="26"/>
  <c r="K437" i="26"/>
  <c r="K438" i="26"/>
  <c r="K439" i="26"/>
  <c r="K440" i="26"/>
  <c r="K441" i="26"/>
  <c r="K443" i="26"/>
  <c r="K444" i="26"/>
  <c r="K445" i="26"/>
  <c r="K449" i="26"/>
  <c r="K451" i="26"/>
  <c r="K452" i="26"/>
  <c r="K454" i="26"/>
  <c r="K462" i="26"/>
  <c r="K471" i="26"/>
  <c r="K472" i="26"/>
  <c r="K484" i="26"/>
  <c r="K490" i="26"/>
  <c r="K493" i="26"/>
  <c r="K502" i="26"/>
  <c r="K503" i="26"/>
  <c r="K504" i="26"/>
  <c r="K505" i="26"/>
  <c r="K506" i="26"/>
  <c r="K507" i="26"/>
  <c r="K508" i="26"/>
  <c r="K509" i="26"/>
  <c r="K510" i="26"/>
  <c r="K511" i="26"/>
  <c r="K512" i="26"/>
  <c r="K513" i="26"/>
  <c r="K514" i="26"/>
  <c r="K515" i="26"/>
  <c r="K516" i="26"/>
  <c r="K517" i="26"/>
  <c r="K518" i="26"/>
  <c r="K519" i="26"/>
  <c r="K520" i="26"/>
  <c r="K521" i="26"/>
  <c r="K522" i="26"/>
  <c r="K523" i="26"/>
  <c r="K524" i="26"/>
  <c r="K525" i="26"/>
  <c r="K526" i="26"/>
  <c r="K527" i="26"/>
  <c r="K528" i="26"/>
  <c r="K529" i="26"/>
  <c r="K530" i="26"/>
  <c r="K531" i="26"/>
  <c r="K532" i="26"/>
  <c r="K533" i="26"/>
  <c r="K534" i="26"/>
  <c r="K536" i="26"/>
  <c r="K537" i="26"/>
  <c r="K538" i="26"/>
  <c r="J422" i="26"/>
  <c r="J425" i="26"/>
  <c r="J442" i="26"/>
  <c r="J446" i="26"/>
  <c r="J447" i="26"/>
  <c r="J448" i="26"/>
  <c r="J450" i="26"/>
  <c r="J453" i="26"/>
  <c r="J455" i="26"/>
  <c r="J456" i="26"/>
  <c r="J457" i="26"/>
  <c r="J458" i="26"/>
  <c r="J459" i="26"/>
  <c r="J460" i="26"/>
  <c r="J463" i="26"/>
  <c r="J464" i="26"/>
  <c r="J465" i="26"/>
  <c r="J466" i="26"/>
  <c r="J467" i="26"/>
  <c r="J468" i="26"/>
  <c r="J469" i="26"/>
  <c r="J470" i="26"/>
  <c r="J473" i="26"/>
  <c r="J474" i="26"/>
  <c r="J475" i="26"/>
  <c r="J476" i="26"/>
  <c r="J477" i="26"/>
  <c r="J478" i="26"/>
  <c r="J479" i="26"/>
  <c r="J480" i="26"/>
  <c r="J481" i="26"/>
  <c r="J482" i="26"/>
  <c r="J483" i="26"/>
  <c r="J485" i="26"/>
  <c r="J486" i="26"/>
  <c r="J487" i="26"/>
  <c r="J488" i="26"/>
  <c r="J489" i="26"/>
  <c r="J491" i="26"/>
  <c r="J492" i="26"/>
  <c r="J520" i="26"/>
  <c r="J535" i="26"/>
  <c r="AL12" i="26"/>
  <c r="AL13" i="26"/>
  <c r="AL19" i="26"/>
  <c r="AL20" i="26"/>
  <c r="AL32" i="26"/>
  <c r="AL33" i="26"/>
  <c r="AL39" i="26"/>
  <c r="AL40" i="26"/>
  <c r="AL45" i="26"/>
  <c r="AL46" i="26"/>
  <c r="AL47" i="26"/>
  <c r="AL51" i="26"/>
  <c r="AL55" i="26"/>
  <c r="AL56" i="26"/>
  <c r="AL65" i="26"/>
  <c r="AL66" i="26"/>
  <c r="AL67" i="26"/>
  <c r="AL75" i="26"/>
  <c r="AL76" i="26"/>
  <c r="AL83" i="26"/>
  <c r="AL84" i="26"/>
  <c r="AM84" i="26" s="1"/>
  <c r="AL96" i="26"/>
  <c r="AL97" i="26"/>
  <c r="AL98" i="26"/>
  <c r="AL100" i="26"/>
  <c r="AL105" i="26"/>
  <c r="AL106" i="26"/>
  <c r="AL118" i="26"/>
  <c r="AL119" i="26"/>
  <c r="AL124" i="26"/>
  <c r="AL125" i="26"/>
  <c r="AL126" i="26"/>
  <c r="AL131" i="26"/>
  <c r="AL132" i="26"/>
  <c r="AL136" i="26"/>
  <c r="AL137" i="26"/>
  <c r="AL141" i="26"/>
  <c r="AL143" i="26"/>
  <c r="AL144" i="26"/>
  <c r="AL145" i="26"/>
  <c r="AL148" i="26"/>
  <c r="AL149" i="26"/>
  <c r="AL152" i="26"/>
  <c r="AL153" i="26"/>
  <c r="AL156" i="26"/>
  <c r="AL158" i="26"/>
  <c r="AL159" i="26"/>
  <c r="AL168" i="26"/>
  <c r="AL169" i="26"/>
  <c r="AL173" i="26"/>
  <c r="AL177" i="26"/>
  <c r="AL188" i="26"/>
  <c r="AL189" i="26"/>
  <c r="AL195" i="26"/>
  <c r="AL196" i="26"/>
  <c r="AL206" i="26"/>
  <c r="AL207" i="26"/>
  <c r="AL212" i="26"/>
  <c r="AL217" i="26"/>
  <c r="AL218" i="26"/>
  <c r="AL219" i="26"/>
  <c r="AL235" i="26"/>
  <c r="AL236" i="26"/>
  <c r="AL241" i="26"/>
  <c r="AL242" i="26"/>
  <c r="AL252" i="26"/>
  <c r="AL253" i="26"/>
  <c r="AL256" i="26"/>
  <c r="AL257" i="26"/>
  <c r="AL263" i="26"/>
  <c r="AL264" i="26"/>
  <c r="AL268" i="26"/>
  <c r="AL269" i="26"/>
  <c r="AL272" i="26"/>
  <c r="AL273" i="26"/>
  <c r="AL277" i="26"/>
  <c r="AL278" i="26"/>
  <c r="AL288" i="26"/>
  <c r="AL289" i="26"/>
  <c r="AL298" i="26"/>
  <c r="AL299" i="26"/>
  <c r="AL301" i="26"/>
  <c r="AL302" i="26"/>
  <c r="AL307" i="26"/>
  <c r="AL308" i="26"/>
  <c r="AL311" i="26"/>
  <c r="AL312" i="26"/>
  <c r="AL314" i="26"/>
  <c r="AL315" i="26"/>
  <c r="AL317" i="26"/>
  <c r="AL318" i="26"/>
  <c r="AL322" i="26"/>
  <c r="AL323" i="26"/>
  <c r="AL324" i="26"/>
  <c r="AL325" i="26"/>
  <c r="AL332" i="26"/>
  <c r="AL339" i="26"/>
  <c r="AL345" i="26"/>
  <c r="AL346" i="26"/>
  <c r="AL352" i="26"/>
  <c r="AL353" i="26"/>
  <c r="AL359" i="26"/>
  <c r="AL360" i="26"/>
  <c r="AL366" i="26"/>
  <c r="AL367" i="26"/>
  <c r="AL373" i="26"/>
  <c r="AL374" i="26"/>
  <c r="AL380" i="26"/>
  <c r="AL390" i="26"/>
  <c r="AL391" i="26"/>
  <c r="AM391" i="26" s="1"/>
  <c r="AJ12" i="26"/>
  <c r="AW12" i="26" s="1"/>
  <c r="AY12" i="26" s="1"/>
  <c r="AW391" i="26"/>
  <c r="AY391" i="26" s="1"/>
  <c r="AA12" i="26"/>
  <c r="D97" i="10"/>
  <c r="E143" i="6"/>
  <c r="E169" i="6"/>
  <c r="D177" i="10"/>
  <c r="E218" i="6"/>
  <c r="D242" i="10"/>
  <c r="Q393" i="26"/>
  <c r="Q394" i="26"/>
  <c r="Q395" i="26"/>
  <c r="Q396" i="26"/>
  <c r="Q397" i="26"/>
  <c r="Q398" i="26"/>
  <c r="Q399" i="26"/>
  <c r="Q400" i="26"/>
  <c r="Q401" i="26"/>
  <c r="Q402" i="26"/>
  <c r="Q403" i="26"/>
  <c r="Q404" i="26"/>
  <c r="Q405" i="26"/>
  <c r="Q406" i="26"/>
  <c r="O393" i="26"/>
  <c r="O394" i="26"/>
  <c r="O395" i="26"/>
  <c r="O396" i="26"/>
  <c r="O397" i="26"/>
  <c r="O398" i="26"/>
  <c r="O399" i="26"/>
  <c r="O400" i="26"/>
  <c r="O401" i="26"/>
  <c r="O402" i="26"/>
  <c r="O403" i="26"/>
  <c r="O404" i="26"/>
  <c r="O405" i="26"/>
  <c r="O406" i="26"/>
  <c r="L12" i="6"/>
  <c r="C6" i="9"/>
  <c r="C6" i="6"/>
  <c r="AJ13" i="26"/>
  <c r="AW13" i="26" s="1"/>
  <c r="AJ19" i="26"/>
  <c r="AW19" i="26" s="1"/>
  <c r="AY19" i="26" s="1"/>
  <c r="AJ20" i="26"/>
  <c r="AW20" i="26" s="1"/>
  <c r="AY20" i="26" s="1"/>
  <c r="AJ32" i="26"/>
  <c r="AW32" i="26" s="1"/>
  <c r="AY32" i="26" s="1"/>
  <c r="AJ33" i="26"/>
  <c r="AW33" i="26" s="1"/>
  <c r="AY33" i="26" s="1"/>
  <c r="AJ39" i="26"/>
  <c r="AW39" i="26" s="1"/>
  <c r="AY39" i="26" s="1"/>
  <c r="AJ40" i="26"/>
  <c r="AW40" i="26" s="1"/>
  <c r="AY40" i="26" s="1"/>
  <c r="AJ45" i="26"/>
  <c r="AW45" i="26" s="1"/>
  <c r="AY45" i="26" s="1"/>
  <c r="AJ46" i="26"/>
  <c r="AW46" i="26" s="1"/>
  <c r="AY46" i="26" s="1"/>
  <c r="AJ47" i="26"/>
  <c r="AW47" i="26" s="1"/>
  <c r="AY47" i="26" s="1"/>
  <c r="AJ51" i="26"/>
  <c r="AW51" i="26" s="1"/>
  <c r="AY51" i="26" s="1"/>
  <c r="AJ55" i="26"/>
  <c r="AW55" i="26" s="1"/>
  <c r="AY55" i="26" s="1"/>
  <c r="AJ56" i="26"/>
  <c r="AW56" i="26" s="1"/>
  <c r="AY56" i="26" s="1"/>
  <c r="AJ65" i="26"/>
  <c r="AW65" i="26" s="1"/>
  <c r="AY65" i="26" s="1"/>
  <c r="AJ66" i="26"/>
  <c r="AW66" i="26" s="1"/>
  <c r="AY66" i="26" s="1"/>
  <c r="AJ67" i="26"/>
  <c r="AW67" i="26" s="1"/>
  <c r="AY67" i="26" s="1"/>
  <c r="AJ75" i="26"/>
  <c r="AW75" i="26" s="1"/>
  <c r="AY75" i="26" s="1"/>
  <c r="AJ76" i="26"/>
  <c r="AW76" i="26" s="1"/>
  <c r="AY76" i="26" s="1"/>
  <c r="AJ83" i="26"/>
  <c r="AW83" i="26" s="1"/>
  <c r="AY83" i="26" s="1"/>
  <c r="AJ84" i="26"/>
  <c r="AW84" i="26" s="1"/>
  <c r="AY84" i="26" s="1"/>
  <c r="AJ96" i="26"/>
  <c r="AW96" i="26" s="1"/>
  <c r="AY96" i="26" s="1"/>
  <c r="AJ97" i="26"/>
  <c r="AW97" i="26" s="1"/>
  <c r="AY97" i="26" s="1"/>
  <c r="AJ98" i="26"/>
  <c r="AW98" i="26" s="1"/>
  <c r="AY98" i="26" s="1"/>
  <c r="AJ100" i="26"/>
  <c r="AW100" i="26" s="1"/>
  <c r="AY100" i="26" s="1"/>
  <c r="AJ105" i="26"/>
  <c r="AW105" i="26" s="1"/>
  <c r="AY105" i="26" s="1"/>
  <c r="AJ106" i="26"/>
  <c r="AW106" i="26" s="1"/>
  <c r="AY106" i="26" s="1"/>
  <c r="AJ118" i="26"/>
  <c r="AW118" i="26" s="1"/>
  <c r="AY118" i="26" s="1"/>
  <c r="AJ119" i="26"/>
  <c r="AW119" i="26" s="1"/>
  <c r="AY119" i="26" s="1"/>
  <c r="AJ124" i="26"/>
  <c r="AW124" i="26" s="1"/>
  <c r="AY124" i="26" s="1"/>
  <c r="AJ125" i="26"/>
  <c r="AW125" i="26" s="1"/>
  <c r="AY125" i="26" s="1"/>
  <c r="AJ126" i="26"/>
  <c r="AW126" i="26" s="1"/>
  <c r="AY126" i="26" s="1"/>
  <c r="AJ131" i="26"/>
  <c r="AW131" i="26" s="1"/>
  <c r="AY131" i="26" s="1"/>
  <c r="AJ132" i="26"/>
  <c r="AW132" i="26" s="1"/>
  <c r="AY132" i="26" s="1"/>
  <c r="AJ136" i="26"/>
  <c r="AW136" i="26" s="1"/>
  <c r="AY136" i="26" s="1"/>
  <c r="AJ137" i="26"/>
  <c r="AW137" i="26" s="1"/>
  <c r="AY137" i="26" s="1"/>
  <c r="AJ141" i="26"/>
  <c r="AW141" i="26" s="1"/>
  <c r="AY141" i="26" s="1"/>
  <c r="AJ143" i="26"/>
  <c r="AW143" i="26" s="1"/>
  <c r="AY143" i="26" s="1"/>
  <c r="AJ144" i="26"/>
  <c r="AW144" i="26" s="1"/>
  <c r="AY144" i="26" s="1"/>
  <c r="AJ145" i="26"/>
  <c r="AW145" i="26" s="1"/>
  <c r="AY145" i="26" s="1"/>
  <c r="AJ148" i="26"/>
  <c r="AW148" i="26" s="1"/>
  <c r="AY148" i="26" s="1"/>
  <c r="AJ149" i="26"/>
  <c r="AW149" i="26" s="1"/>
  <c r="AY149" i="26" s="1"/>
  <c r="AJ152" i="26"/>
  <c r="AW152" i="26" s="1"/>
  <c r="AY152" i="26" s="1"/>
  <c r="AJ153" i="26"/>
  <c r="AW153" i="26" s="1"/>
  <c r="AY153" i="26" s="1"/>
  <c r="AJ156" i="26"/>
  <c r="AW156" i="26" s="1"/>
  <c r="AY156" i="26" s="1"/>
  <c r="AJ158" i="26"/>
  <c r="AW158" i="26" s="1"/>
  <c r="AY158" i="26" s="1"/>
  <c r="AJ159" i="26"/>
  <c r="AW159" i="26" s="1"/>
  <c r="AY159" i="26" s="1"/>
  <c r="AJ168" i="26"/>
  <c r="AW168" i="26" s="1"/>
  <c r="AY168" i="26" s="1"/>
  <c r="AJ169" i="26"/>
  <c r="AW169" i="26" s="1"/>
  <c r="AY169" i="26" s="1"/>
  <c r="AJ173" i="26"/>
  <c r="AW173" i="26" s="1"/>
  <c r="AY173" i="26" s="1"/>
  <c r="AJ177" i="26"/>
  <c r="AW177" i="26" s="1"/>
  <c r="AY177" i="26" s="1"/>
  <c r="AJ188" i="26"/>
  <c r="AW188" i="26" s="1"/>
  <c r="AY188" i="26" s="1"/>
  <c r="AJ189" i="26"/>
  <c r="AW189" i="26" s="1"/>
  <c r="AY189" i="26" s="1"/>
  <c r="AJ195" i="26"/>
  <c r="AW195" i="26" s="1"/>
  <c r="AY195" i="26" s="1"/>
  <c r="AJ196" i="26"/>
  <c r="AW196" i="26" s="1"/>
  <c r="AY196" i="26" s="1"/>
  <c r="AJ206" i="26"/>
  <c r="AW206" i="26" s="1"/>
  <c r="AY206" i="26" s="1"/>
  <c r="AJ207" i="26"/>
  <c r="AW207" i="26" s="1"/>
  <c r="AY207" i="26" s="1"/>
  <c r="AJ212" i="26"/>
  <c r="AW212" i="26" s="1"/>
  <c r="AY212" i="26" s="1"/>
  <c r="AJ217" i="26"/>
  <c r="AW217" i="26" s="1"/>
  <c r="AY217" i="26" s="1"/>
  <c r="AJ218" i="26"/>
  <c r="AW218" i="26" s="1"/>
  <c r="AY218" i="26" s="1"/>
  <c r="AJ219" i="26"/>
  <c r="AW219" i="26" s="1"/>
  <c r="AY219" i="26" s="1"/>
  <c r="AJ235" i="26"/>
  <c r="AW235" i="26" s="1"/>
  <c r="AY235" i="26" s="1"/>
  <c r="AJ236" i="26"/>
  <c r="AW236" i="26" s="1"/>
  <c r="AY236" i="26" s="1"/>
  <c r="AJ241" i="26"/>
  <c r="AW241" i="26" s="1"/>
  <c r="AY241" i="26" s="1"/>
  <c r="AJ242" i="26"/>
  <c r="AW242" i="26" s="1"/>
  <c r="AY242" i="26" s="1"/>
  <c r="AJ252" i="26"/>
  <c r="AW252" i="26" s="1"/>
  <c r="AY252" i="26" s="1"/>
  <c r="AJ253" i="26"/>
  <c r="AW253" i="26" s="1"/>
  <c r="AY253" i="26" s="1"/>
  <c r="AJ256" i="26"/>
  <c r="AW256" i="26" s="1"/>
  <c r="AY256" i="26" s="1"/>
  <c r="AJ257" i="26"/>
  <c r="AW257" i="26" s="1"/>
  <c r="AY257" i="26" s="1"/>
  <c r="AJ263" i="26"/>
  <c r="AW263" i="26" s="1"/>
  <c r="AY263" i="26" s="1"/>
  <c r="AJ264" i="26"/>
  <c r="AW264" i="26" s="1"/>
  <c r="AY264" i="26" s="1"/>
  <c r="AJ268" i="26"/>
  <c r="AW268" i="26" s="1"/>
  <c r="AY268" i="26" s="1"/>
  <c r="AJ269" i="26"/>
  <c r="AW269" i="26" s="1"/>
  <c r="AY269" i="26" s="1"/>
  <c r="AJ272" i="26"/>
  <c r="AW272" i="26" s="1"/>
  <c r="AY272" i="26" s="1"/>
  <c r="AJ273" i="26"/>
  <c r="AW273" i="26" s="1"/>
  <c r="AY273" i="26" s="1"/>
  <c r="AJ277" i="26"/>
  <c r="AW277" i="26" s="1"/>
  <c r="AY277" i="26" s="1"/>
  <c r="AJ278" i="26"/>
  <c r="AW278" i="26" s="1"/>
  <c r="AY278" i="26" s="1"/>
  <c r="AJ288" i="26"/>
  <c r="AW288" i="26" s="1"/>
  <c r="AY288" i="26" s="1"/>
  <c r="AJ289" i="26"/>
  <c r="AW289" i="26" s="1"/>
  <c r="AY289" i="26" s="1"/>
  <c r="AJ298" i="26"/>
  <c r="AW298" i="26" s="1"/>
  <c r="AY298" i="26" s="1"/>
  <c r="AJ299" i="26"/>
  <c r="AW299" i="26" s="1"/>
  <c r="AY299" i="26" s="1"/>
  <c r="AJ301" i="26"/>
  <c r="AW301" i="26" s="1"/>
  <c r="AY301" i="26" s="1"/>
  <c r="AJ302" i="26"/>
  <c r="AW302" i="26" s="1"/>
  <c r="AY302" i="26" s="1"/>
  <c r="AJ307" i="26"/>
  <c r="AW307" i="26" s="1"/>
  <c r="AY307" i="26" s="1"/>
  <c r="AJ308" i="26"/>
  <c r="AW308" i="26" s="1"/>
  <c r="AY308" i="26" s="1"/>
  <c r="AJ311" i="26"/>
  <c r="AW311" i="26" s="1"/>
  <c r="AY311" i="26" s="1"/>
  <c r="AJ312" i="26"/>
  <c r="AW312" i="26" s="1"/>
  <c r="AY312" i="26" s="1"/>
  <c r="AJ314" i="26"/>
  <c r="AW314" i="26" s="1"/>
  <c r="AY314" i="26" s="1"/>
  <c r="AJ315" i="26"/>
  <c r="AW315" i="26" s="1"/>
  <c r="AY315" i="26" s="1"/>
  <c r="AJ317" i="26"/>
  <c r="AW317" i="26" s="1"/>
  <c r="AY317" i="26" s="1"/>
  <c r="AJ318" i="26"/>
  <c r="AW318" i="26" s="1"/>
  <c r="AY318" i="26" s="1"/>
  <c r="AJ322" i="26"/>
  <c r="AW322" i="26" s="1"/>
  <c r="AY322" i="26" s="1"/>
  <c r="AJ323" i="26"/>
  <c r="AW323" i="26" s="1"/>
  <c r="AY323" i="26" s="1"/>
  <c r="AJ324" i="26"/>
  <c r="AW324" i="26" s="1"/>
  <c r="AY324" i="26" s="1"/>
  <c r="AJ325" i="26"/>
  <c r="AW325" i="26" s="1"/>
  <c r="AY325" i="26" s="1"/>
  <c r="AJ332" i="26"/>
  <c r="AW332" i="26" s="1"/>
  <c r="AY332" i="26" s="1"/>
  <c r="AJ339" i="26"/>
  <c r="AW339" i="26" s="1"/>
  <c r="AY339" i="26" s="1"/>
  <c r="AJ345" i="26"/>
  <c r="AW345" i="26" s="1"/>
  <c r="AY345" i="26" s="1"/>
  <c r="AJ346" i="26"/>
  <c r="AW346" i="26" s="1"/>
  <c r="AY346" i="26" s="1"/>
  <c r="AJ352" i="26"/>
  <c r="AW352" i="26" s="1"/>
  <c r="AY352" i="26" s="1"/>
  <c r="AJ353" i="26"/>
  <c r="AW353" i="26" s="1"/>
  <c r="AY353" i="26" s="1"/>
  <c r="AJ359" i="26"/>
  <c r="AW359" i="26" s="1"/>
  <c r="AY359" i="26" s="1"/>
  <c r="AJ360" i="26"/>
  <c r="AW360" i="26" s="1"/>
  <c r="AY360" i="26" s="1"/>
  <c r="AJ366" i="26"/>
  <c r="AW366" i="26" s="1"/>
  <c r="AY366" i="26" s="1"/>
  <c r="AJ367" i="26"/>
  <c r="AW367" i="26" s="1"/>
  <c r="AY367" i="26" s="1"/>
  <c r="AJ373" i="26"/>
  <c r="AW373" i="26" s="1"/>
  <c r="AY373" i="26" s="1"/>
  <c r="AJ374" i="26"/>
  <c r="AW374" i="26" s="1"/>
  <c r="AY374" i="26" s="1"/>
  <c r="AJ380" i="26"/>
  <c r="AW380" i="26" s="1"/>
  <c r="AY380" i="26" s="1"/>
  <c r="C4" i="10"/>
  <c r="AA13" i="26"/>
  <c r="AA20" i="26"/>
  <c r="AA33" i="26"/>
  <c r="AA40" i="26"/>
  <c r="AA46" i="26"/>
  <c r="AA47" i="26"/>
  <c r="AA51" i="26"/>
  <c r="AA56" i="26"/>
  <c r="AA66" i="26"/>
  <c r="AA67" i="26"/>
  <c r="AA76" i="26"/>
  <c r="AA84" i="26"/>
  <c r="AA97" i="26"/>
  <c r="AA98" i="26"/>
  <c r="AA100" i="26"/>
  <c r="AA106" i="26"/>
  <c r="AA119" i="26"/>
  <c r="AA125" i="26"/>
  <c r="AA126" i="26"/>
  <c r="AA132" i="26"/>
  <c r="AA137" i="26"/>
  <c r="AA144" i="26"/>
  <c r="AA145" i="26"/>
  <c r="AA149" i="26"/>
  <c r="AA153" i="26"/>
  <c r="AA158" i="26"/>
  <c r="AA159" i="26"/>
  <c r="AA169" i="26"/>
  <c r="AA189" i="26"/>
  <c r="AA196" i="26"/>
  <c r="AA207" i="26"/>
  <c r="AA212" i="26"/>
  <c r="AA218" i="26"/>
  <c r="AA219" i="26"/>
  <c r="AA236" i="26"/>
  <c r="AA242" i="26"/>
  <c r="AA253" i="26"/>
  <c r="AA256" i="26"/>
  <c r="AA257" i="26"/>
  <c r="AA264" i="26"/>
  <c r="AA269" i="26"/>
  <c r="AA277" i="26"/>
  <c r="AA278" i="26"/>
  <c r="AA289" i="26"/>
  <c r="AA299" i="26"/>
  <c r="AA302" i="26"/>
  <c r="AA308" i="26"/>
  <c r="AA312" i="26"/>
  <c r="AA315" i="26"/>
  <c r="AA318" i="26"/>
  <c r="AA325" i="26"/>
  <c r="AA332" i="26"/>
  <c r="AA339" i="26"/>
  <c r="AA346" i="26"/>
  <c r="AA353" i="26"/>
  <c r="AA360" i="26"/>
  <c r="AA367" i="26"/>
  <c r="AA374" i="26"/>
  <c r="AA380" i="26"/>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J391" i="10"/>
  <c r="BA391" i="10" s="1"/>
  <c r="C411" i="10"/>
  <c r="Q308" i="11"/>
  <c r="A10" i="11"/>
  <c r="D12" i="7"/>
  <c r="D412" i="7" s="1"/>
  <c r="D13" i="7"/>
  <c r="D413" i="7" s="1"/>
  <c r="D14" i="7"/>
  <c r="D414" i="7" s="1"/>
  <c r="D15" i="7"/>
  <c r="D415" i="7" s="1"/>
  <c r="D16" i="7"/>
  <c r="D416" i="7" s="1"/>
  <c r="D17" i="7"/>
  <c r="D417" i="7" s="1"/>
  <c r="D18" i="7"/>
  <c r="D418" i="7" s="1"/>
  <c r="D19" i="7"/>
  <c r="D419" i="7" s="1"/>
  <c r="D20" i="7"/>
  <c r="D420" i="7" s="1"/>
  <c r="D21" i="7"/>
  <c r="D421" i="7" s="1"/>
  <c r="D22" i="7"/>
  <c r="D422" i="7" s="1"/>
  <c r="D23" i="7"/>
  <c r="D423" i="7" s="1"/>
  <c r="D24" i="7"/>
  <c r="D424" i="7" s="1"/>
  <c r="D25" i="7"/>
  <c r="D425" i="7" s="1"/>
  <c r="D26" i="7"/>
  <c r="D426" i="7" s="1"/>
  <c r="D27" i="7"/>
  <c r="D427" i="7" s="1"/>
  <c r="D28" i="7"/>
  <c r="D428" i="7" s="1"/>
  <c r="D29" i="7"/>
  <c r="D429" i="7" s="1"/>
  <c r="D30" i="7"/>
  <c r="D430" i="7" s="1"/>
  <c r="D31" i="7"/>
  <c r="D431" i="7" s="1"/>
  <c r="D32" i="7"/>
  <c r="D432" i="7" s="1"/>
  <c r="D33" i="7"/>
  <c r="D433" i="7" s="1"/>
  <c r="D34" i="7"/>
  <c r="D434" i="7" s="1"/>
  <c r="D35" i="7"/>
  <c r="D435" i="7" s="1"/>
  <c r="D36" i="7"/>
  <c r="D436" i="7" s="1"/>
  <c r="D37" i="7"/>
  <c r="D437" i="7" s="1"/>
  <c r="D38" i="7"/>
  <c r="D438" i="7" s="1"/>
  <c r="D39" i="7"/>
  <c r="D439" i="7" s="1"/>
  <c r="D40" i="7"/>
  <c r="D440" i="7" s="1"/>
  <c r="D41" i="7"/>
  <c r="D441" i="7" s="1"/>
  <c r="D42" i="7"/>
  <c r="D442" i="7" s="1"/>
  <c r="D43" i="7"/>
  <c r="D443" i="7" s="1"/>
  <c r="D44" i="7"/>
  <c r="D444" i="7" s="1"/>
  <c r="D45" i="7"/>
  <c r="D445" i="7" s="1"/>
  <c r="D46" i="7"/>
  <c r="D446" i="7" s="1"/>
  <c r="D47" i="7"/>
  <c r="D447" i="7" s="1"/>
  <c r="D48" i="7"/>
  <c r="D448" i="7" s="1"/>
  <c r="D49" i="7"/>
  <c r="D449" i="7" s="1"/>
  <c r="D50" i="7"/>
  <c r="D450" i="7" s="1"/>
  <c r="D51" i="7"/>
  <c r="D451" i="7" s="1"/>
  <c r="D52" i="7"/>
  <c r="D452" i="7" s="1"/>
  <c r="D53" i="7"/>
  <c r="D453" i="7" s="1"/>
  <c r="D54" i="7"/>
  <c r="D454" i="7" s="1"/>
  <c r="D55" i="7"/>
  <c r="D455" i="7" s="1"/>
  <c r="D56" i="7"/>
  <c r="D456" i="7" s="1"/>
  <c r="D57" i="7"/>
  <c r="D457" i="7" s="1"/>
  <c r="D58" i="7"/>
  <c r="D458" i="7" s="1"/>
  <c r="D59" i="7"/>
  <c r="D459" i="7" s="1"/>
  <c r="D60" i="7"/>
  <c r="D460" i="7" s="1"/>
  <c r="D61" i="7"/>
  <c r="D461" i="7" s="1"/>
  <c r="D62" i="7"/>
  <c r="D462" i="7" s="1"/>
  <c r="D63" i="7"/>
  <c r="D463" i="7" s="1"/>
  <c r="D64" i="7"/>
  <c r="D464" i="7" s="1"/>
  <c r="D65" i="7"/>
  <c r="D465" i="7" s="1"/>
  <c r="D66" i="7"/>
  <c r="D466" i="7" s="1"/>
  <c r="D67" i="7"/>
  <c r="D467" i="7" s="1"/>
  <c r="D68" i="7"/>
  <c r="D468" i="7" s="1"/>
  <c r="D69" i="7"/>
  <c r="D469" i="7" s="1"/>
  <c r="D70" i="7"/>
  <c r="D470" i="7" s="1"/>
  <c r="D71" i="7"/>
  <c r="D471" i="7" s="1"/>
  <c r="D72" i="7"/>
  <c r="D472" i="7" s="1"/>
  <c r="D73" i="7"/>
  <c r="D473" i="7" s="1"/>
  <c r="D74" i="7"/>
  <c r="D474" i="7" s="1"/>
  <c r="D75" i="7"/>
  <c r="D475" i="7" s="1"/>
  <c r="D76" i="7"/>
  <c r="D476" i="7" s="1"/>
  <c r="D77" i="7"/>
  <c r="D477" i="7" s="1"/>
  <c r="D78" i="7"/>
  <c r="D478" i="7" s="1"/>
  <c r="D79" i="7"/>
  <c r="D479" i="7" s="1"/>
  <c r="D80" i="7"/>
  <c r="D480" i="7" s="1"/>
  <c r="D81" i="7"/>
  <c r="D481" i="7" s="1"/>
  <c r="D82" i="7"/>
  <c r="D482" i="7" s="1"/>
  <c r="D83" i="7"/>
  <c r="D483" i="7" s="1"/>
  <c r="D84" i="7"/>
  <c r="D484" i="7" s="1"/>
  <c r="D85" i="7"/>
  <c r="D485" i="7" s="1"/>
  <c r="D86" i="7"/>
  <c r="D486" i="7" s="1"/>
  <c r="D87" i="7"/>
  <c r="D487" i="7" s="1"/>
  <c r="D88" i="7"/>
  <c r="D488" i="7" s="1"/>
  <c r="D89" i="7"/>
  <c r="D489" i="7" s="1"/>
  <c r="D90" i="7"/>
  <c r="D490" i="7" s="1"/>
  <c r="D91" i="7"/>
  <c r="D491" i="7" s="1"/>
  <c r="D92" i="7"/>
  <c r="D492" i="7" s="1"/>
  <c r="D93" i="7"/>
  <c r="D493" i="7" s="1"/>
  <c r="D94" i="7"/>
  <c r="D494" i="7" s="1"/>
  <c r="D95" i="7"/>
  <c r="D495" i="7" s="1"/>
  <c r="D96" i="7"/>
  <c r="D496" i="7" s="1"/>
  <c r="D97" i="7"/>
  <c r="D497" i="7" s="1"/>
  <c r="D98" i="7"/>
  <c r="D498" i="7" s="1"/>
  <c r="D99" i="7"/>
  <c r="D499" i="7" s="1"/>
  <c r="D100" i="7"/>
  <c r="D500" i="7" s="1"/>
  <c r="D101" i="7"/>
  <c r="D501" i="7" s="1"/>
  <c r="D102" i="7"/>
  <c r="D502" i="7" s="1"/>
  <c r="D103" i="7"/>
  <c r="D503" i="7" s="1"/>
  <c r="D104" i="7"/>
  <c r="D504" i="7" s="1"/>
  <c r="D105" i="7"/>
  <c r="D505" i="7" s="1"/>
  <c r="D106" i="7"/>
  <c r="D506" i="7" s="1"/>
  <c r="D107" i="7"/>
  <c r="D507" i="7" s="1"/>
  <c r="D108" i="7"/>
  <c r="D508" i="7" s="1"/>
  <c r="D109" i="7"/>
  <c r="D509" i="7" s="1"/>
  <c r="D110" i="7"/>
  <c r="D510" i="7" s="1"/>
  <c r="D111" i="7"/>
  <c r="D511" i="7" s="1"/>
  <c r="D112" i="7"/>
  <c r="D512" i="7" s="1"/>
  <c r="D113" i="7"/>
  <c r="D513" i="7" s="1"/>
  <c r="D114" i="7"/>
  <c r="D514" i="7" s="1"/>
  <c r="D115" i="7"/>
  <c r="D515" i="7" s="1"/>
  <c r="D116" i="7"/>
  <c r="D516" i="7" s="1"/>
  <c r="D117" i="7"/>
  <c r="D517" i="7" s="1"/>
  <c r="D118" i="7"/>
  <c r="D518" i="7" s="1"/>
  <c r="D119" i="7"/>
  <c r="D519" i="7" s="1"/>
  <c r="D120" i="7"/>
  <c r="D520" i="7" s="1"/>
  <c r="D121" i="7"/>
  <c r="D521" i="7" s="1"/>
  <c r="D122" i="7"/>
  <c r="D522" i="7" s="1"/>
  <c r="D123" i="7"/>
  <c r="D523" i="7" s="1"/>
  <c r="D124" i="7"/>
  <c r="D524" i="7" s="1"/>
  <c r="D125" i="7"/>
  <c r="D525" i="7" s="1"/>
  <c r="D126" i="7"/>
  <c r="D526" i="7" s="1"/>
  <c r="D127" i="7"/>
  <c r="D527" i="7" s="1"/>
  <c r="D128" i="7"/>
  <c r="D528" i="7" s="1"/>
  <c r="D129" i="7"/>
  <c r="D529" i="7" s="1"/>
  <c r="D130" i="7"/>
  <c r="D530" i="7" s="1"/>
  <c r="D131" i="7"/>
  <c r="D531" i="7" s="1"/>
  <c r="D132" i="7"/>
  <c r="D532" i="7" s="1"/>
  <c r="D133" i="7"/>
  <c r="D533" i="7" s="1"/>
  <c r="D134" i="7"/>
  <c r="D534" i="7" s="1"/>
  <c r="D135" i="7"/>
  <c r="D535" i="7" s="1"/>
  <c r="D136" i="7"/>
  <c r="D536" i="7" s="1"/>
  <c r="D137" i="7"/>
  <c r="D537" i="7" s="1"/>
  <c r="D138" i="7"/>
  <c r="D538" i="7" s="1"/>
  <c r="D139" i="7"/>
  <c r="D539" i="7" s="1"/>
  <c r="D140" i="7"/>
  <c r="D540" i="7" s="1"/>
  <c r="D141" i="7"/>
  <c r="D541" i="7" s="1"/>
  <c r="D142" i="7"/>
  <c r="D542" i="7" s="1"/>
  <c r="D143" i="7"/>
  <c r="D543" i="7" s="1"/>
  <c r="D144" i="7"/>
  <c r="D544" i="7" s="1"/>
  <c r="D145" i="7"/>
  <c r="D545" i="7" s="1"/>
  <c r="D146" i="7"/>
  <c r="D546" i="7" s="1"/>
  <c r="D147" i="7"/>
  <c r="D547" i="7" s="1"/>
  <c r="D148" i="7"/>
  <c r="D548" i="7" s="1"/>
  <c r="D149" i="7"/>
  <c r="D549" i="7" s="1"/>
  <c r="D150" i="7"/>
  <c r="D550" i="7" s="1"/>
  <c r="D151" i="7"/>
  <c r="D551" i="7" s="1"/>
  <c r="D152" i="7"/>
  <c r="D552" i="7" s="1"/>
  <c r="D153" i="7"/>
  <c r="D553" i="7" s="1"/>
  <c r="D154" i="7"/>
  <c r="D554" i="7" s="1"/>
  <c r="D155" i="7"/>
  <c r="D555" i="7" s="1"/>
  <c r="D156" i="7"/>
  <c r="D556" i="7" s="1"/>
  <c r="D157" i="7"/>
  <c r="D557" i="7" s="1"/>
  <c r="D158" i="7"/>
  <c r="D558" i="7" s="1"/>
  <c r="D159" i="7"/>
  <c r="D559" i="7" s="1"/>
  <c r="D160" i="7"/>
  <c r="D560" i="7" s="1"/>
  <c r="D161" i="7"/>
  <c r="D561" i="7" s="1"/>
  <c r="D162" i="7"/>
  <c r="D562" i="7" s="1"/>
  <c r="D163" i="7"/>
  <c r="D563" i="7" s="1"/>
  <c r="D164" i="7"/>
  <c r="D564" i="7" s="1"/>
  <c r="D165" i="7"/>
  <c r="D565" i="7" s="1"/>
  <c r="D166" i="7"/>
  <c r="D566" i="7" s="1"/>
  <c r="D167" i="7"/>
  <c r="D567" i="7" s="1"/>
  <c r="D168" i="7"/>
  <c r="D568" i="7" s="1"/>
  <c r="D169" i="7"/>
  <c r="D569" i="7" s="1"/>
  <c r="D170" i="7"/>
  <c r="D570" i="7" s="1"/>
  <c r="D171" i="7"/>
  <c r="D571" i="7" s="1"/>
  <c r="D172" i="7"/>
  <c r="D572" i="7" s="1"/>
  <c r="D173" i="7"/>
  <c r="D573" i="7" s="1"/>
  <c r="D174" i="7"/>
  <c r="D574" i="7" s="1"/>
  <c r="D175" i="7"/>
  <c r="D575" i="7" s="1"/>
  <c r="D176" i="7"/>
  <c r="D576" i="7" s="1"/>
  <c r="D177" i="7"/>
  <c r="D577" i="7" s="1"/>
  <c r="D178" i="7"/>
  <c r="D578" i="7" s="1"/>
  <c r="D179" i="7"/>
  <c r="D579" i="7" s="1"/>
  <c r="D180" i="7"/>
  <c r="D580" i="7" s="1"/>
  <c r="D181" i="7"/>
  <c r="D581" i="7" s="1"/>
  <c r="D182" i="7"/>
  <c r="D582" i="7" s="1"/>
  <c r="D183" i="7"/>
  <c r="D583" i="7" s="1"/>
  <c r="D184" i="7"/>
  <c r="D584" i="7" s="1"/>
  <c r="D185" i="7"/>
  <c r="D585" i="7" s="1"/>
  <c r="D186" i="7"/>
  <c r="D586" i="7" s="1"/>
  <c r="D187" i="7"/>
  <c r="D587" i="7" s="1"/>
  <c r="D188" i="7"/>
  <c r="D588" i="7" s="1"/>
  <c r="D189" i="7"/>
  <c r="D589" i="7" s="1"/>
  <c r="D190" i="7"/>
  <c r="D590" i="7" s="1"/>
  <c r="D191" i="7"/>
  <c r="D591" i="7" s="1"/>
  <c r="D192" i="7"/>
  <c r="D592" i="7" s="1"/>
  <c r="D193" i="7"/>
  <c r="D593" i="7" s="1"/>
  <c r="D194" i="7"/>
  <c r="D594" i="7" s="1"/>
  <c r="D195" i="7"/>
  <c r="D595" i="7" s="1"/>
  <c r="D196" i="7"/>
  <c r="D596" i="7" s="1"/>
  <c r="D197" i="7"/>
  <c r="D597" i="7" s="1"/>
  <c r="D198" i="7"/>
  <c r="D598" i="7" s="1"/>
  <c r="D199" i="7"/>
  <c r="D599" i="7" s="1"/>
  <c r="D200" i="7"/>
  <c r="D600" i="7" s="1"/>
  <c r="D201" i="7"/>
  <c r="D601" i="7" s="1"/>
  <c r="D202" i="7"/>
  <c r="D602" i="7" s="1"/>
  <c r="D203" i="7"/>
  <c r="D603" i="7" s="1"/>
  <c r="D204" i="7"/>
  <c r="D604" i="7" s="1"/>
  <c r="D205" i="7"/>
  <c r="D605" i="7" s="1"/>
  <c r="D206" i="7"/>
  <c r="D606" i="7" s="1"/>
  <c r="D207" i="7"/>
  <c r="D607" i="7" s="1"/>
  <c r="D208" i="7"/>
  <c r="D608" i="7" s="1"/>
  <c r="D209" i="7"/>
  <c r="D609" i="7" s="1"/>
  <c r="D210" i="7"/>
  <c r="D610" i="7" s="1"/>
  <c r="D211" i="7"/>
  <c r="D611" i="7" s="1"/>
  <c r="D212" i="7"/>
  <c r="D612" i="7" s="1"/>
  <c r="D213" i="7"/>
  <c r="D613" i="7" s="1"/>
  <c r="D214" i="7"/>
  <c r="D614" i="7" s="1"/>
  <c r="D215" i="7"/>
  <c r="D615" i="7" s="1"/>
  <c r="D216" i="7"/>
  <c r="D616" i="7" s="1"/>
  <c r="D217" i="7"/>
  <c r="D617" i="7" s="1"/>
  <c r="D218" i="7"/>
  <c r="D618" i="7" s="1"/>
  <c r="D219" i="7"/>
  <c r="D619" i="7" s="1"/>
  <c r="D220" i="7"/>
  <c r="D620" i="7" s="1"/>
  <c r="D221" i="7"/>
  <c r="D621" i="7" s="1"/>
  <c r="D222" i="7"/>
  <c r="D622" i="7" s="1"/>
  <c r="D223" i="7"/>
  <c r="D623" i="7" s="1"/>
  <c r="D224" i="7"/>
  <c r="D624" i="7" s="1"/>
  <c r="D225" i="7"/>
  <c r="D625" i="7" s="1"/>
  <c r="D226" i="7"/>
  <c r="D626" i="7" s="1"/>
  <c r="D227" i="7"/>
  <c r="D627" i="7" s="1"/>
  <c r="D228" i="7"/>
  <c r="D628" i="7" s="1"/>
  <c r="D229" i="7"/>
  <c r="D629" i="7" s="1"/>
  <c r="D230" i="7"/>
  <c r="D630" i="7" s="1"/>
  <c r="D231" i="7"/>
  <c r="D631" i="7" s="1"/>
  <c r="D232" i="7"/>
  <c r="D632" i="7" s="1"/>
  <c r="D233" i="7"/>
  <c r="D633" i="7" s="1"/>
  <c r="D234" i="7"/>
  <c r="D634" i="7" s="1"/>
  <c r="D235" i="7"/>
  <c r="D635" i="7" s="1"/>
  <c r="D236" i="7"/>
  <c r="D636" i="7" s="1"/>
  <c r="D237" i="7"/>
  <c r="D637" i="7" s="1"/>
  <c r="D238" i="7"/>
  <c r="D638" i="7" s="1"/>
  <c r="D239" i="7"/>
  <c r="D639" i="7" s="1"/>
  <c r="D240" i="7"/>
  <c r="D640" i="7" s="1"/>
  <c r="D241" i="7"/>
  <c r="D641" i="7" s="1"/>
  <c r="D242" i="7"/>
  <c r="D642" i="7" s="1"/>
  <c r="D243" i="7"/>
  <c r="D643" i="7" s="1"/>
  <c r="D244" i="7"/>
  <c r="D644" i="7" s="1"/>
  <c r="D245" i="7"/>
  <c r="D645" i="7" s="1"/>
  <c r="D246" i="7"/>
  <c r="D646" i="7" s="1"/>
  <c r="D247" i="7"/>
  <c r="D647" i="7" s="1"/>
  <c r="D248" i="7"/>
  <c r="D648" i="7" s="1"/>
  <c r="D249" i="7"/>
  <c r="D649" i="7" s="1"/>
  <c r="D250" i="7"/>
  <c r="D650" i="7" s="1"/>
  <c r="D251" i="7"/>
  <c r="D651" i="7" s="1"/>
  <c r="D252" i="7"/>
  <c r="D652" i="7" s="1"/>
  <c r="D253" i="7"/>
  <c r="D653" i="7" s="1"/>
  <c r="D254" i="7"/>
  <c r="D654" i="7" s="1"/>
  <c r="D255" i="7"/>
  <c r="D655" i="7" s="1"/>
  <c r="D256" i="7"/>
  <c r="D656" i="7" s="1"/>
  <c r="D257" i="7"/>
  <c r="D657" i="7" s="1"/>
  <c r="D258" i="7"/>
  <c r="D658" i="7" s="1"/>
  <c r="D259" i="7"/>
  <c r="D659" i="7" s="1"/>
  <c r="D260" i="7"/>
  <c r="D660" i="7" s="1"/>
  <c r="D261" i="7"/>
  <c r="D661" i="7" s="1"/>
  <c r="D262" i="7"/>
  <c r="D662" i="7" s="1"/>
  <c r="D263" i="7"/>
  <c r="D663" i="7" s="1"/>
  <c r="D264" i="7"/>
  <c r="D664" i="7" s="1"/>
  <c r="D265" i="7"/>
  <c r="D665" i="7" s="1"/>
  <c r="D266" i="7"/>
  <c r="D666" i="7" s="1"/>
  <c r="D267" i="7"/>
  <c r="D667" i="7" s="1"/>
  <c r="D268" i="7"/>
  <c r="D668" i="7" s="1"/>
  <c r="D269" i="7"/>
  <c r="D669" i="7" s="1"/>
  <c r="D270" i="7"/>
  <c r="D670" i="7" s="1"/>
  <c r="D271" i="7"/>
  <c r="D671" i="7" s="1"/>
  <c r="D272" i="7"/>
  <c r="D672" i="7" s="1"/>
  <c r="D273" i="7"/>
  <c r="D673" i="7" s="1"/>
  <c r="D274" i="7"/>
  <c r="D674" i="7" s="1"/>
  <c r="D275" i="7"/>
  <c r="D675" i="7" s="1"/>
  <c r="D276" i="7"/>
  <c r="D676" i="7" s="1"/>
  <c r="D277" i="7"/>
  <c r="D677" i="7" s="1"/>
  <c r="D278" i="7"/>
  <c r="D678" i="7" s="1"/>
  <c r="D279" i="7"/>
  <c r="D679" i="7" s="1"/>
  <c r="D280" i="7"/>
  <c r="D680" i="7" s="1"/>
  <c r="D281" i="7"/>
  <c r="D681" i="7" s="1"/>
  <c r="D282" i="7"/>
  <c r="D682" i="7" s="1"/>
  <c r="D283" i="7"/>
  <c r="D683" i="7" s="1"/>
  <c r="D284" i="7"/>
  <c r="D684" i="7" s="1"/>
  <c r="D285" i="7"/>
  <c r="D685" i="7" s="1"/>
  <c r="D286" i="7"/>
  <c r="D686" i="7" s="1"/>
  <c r="D287" i="7"/>
  <c r="D687" i="7" s="1"/>
  <c r="D288" i="7"/>
  <c r="D688" i="7" s="1"/>
  <c r="D289" i="7"/>
  <c r="D689" i="7" s="1"/>
  <c r="D290" i="7"/>
  <c r="D690" i="7" s="1"/>
  <c r="D291" i="7"/>
  <c r="D691" i="7" s="1"/>
  <c r="D292" i="7"/>
  <c r="D692" i="7" s="1"/>
  <c r="D293" i="7"/>
  <c r="D693" i="7" s="1"/>
  <c r="D294" i="7"/>
  <c r="D694" i="7" s="1"/>
  <c r="D295" i="7"/>
  <c r="D695" i="7" s="1"/>
  <c r="D296" i="7"/>
  <c r="D696" i="7" s="1"/>
  <c r="D297" i="7"/>
  <c r="D697" i="7" s="1"/>
  <c r="D298" i="7"/>
  <c r="D698" i="7" s="1"/>
  <c r="D299" i="7"/>
  <c r="D699" i="7" s="1"/>
  <c r="D300" i="7"/>
  <c r="D700" i="7" s="1"/>
  <c r="D301" i="7"/>
  <c r="D701" i="7" s="1"/>
  <c r="D302" i="7"/>
  <c r="D702" i="7" s="1"/>
  <c r="D303" i="7"/>
  <c r="D703" i="7" s="1"/>
  <c r="D304" i="7"/>
  <c r="D704" i="7" s="1"/>
  <c r="D305" i="7"/>
  <c r="D705" i="7" s="1"/>
  <c r="D306" i="7"/>
  <c r="D706" i="7" s="1"/>
  <c r="D307" i="7"/>
  <c r="D707" i="7" s="1"/>
  <c r="D308" i="7"/>
  <c r="D708" i="7" s="1"/>
  <c r="D309" i="7"/>
  <c r="D709" i="7" s="1"/>
  <c r="D310" i="7"/>
  <c r="D710" i="7" s="1"/>
  <c r="D311" i="7"/>
  <c r="D711" i="7" s="1"/>
  <c r="D312" i="7"/>
  <c r="D712" i="7" s="1"/>
  <c r="D313" i="7"/>
  <c r="D713" i="7" s="1"/>
  <c r="D314" i="7"/>
  <c r="D714" i="7" s="1"/>
  <c r="D315" i="7"/>
  <c r="D715" i="7" s="1"/>
  <c r="D316" i="7"/>
  <c r="D716" i="7" s="1"/>
  <c r="D317" i="7"/>
  <c r="D717" i="7" s="1"/>
  <c r="D318" i="7"/>
  <c r="D718" i="7" s="1"/>
  <c r="D319" i="7"/>
  <c r="D719" i="7" s="1"/>
  <c r="D320" i="7"/>
  <c r="D720" i="7" s="1"/>
  <c r="D321" i="7"/>
  <c r="D721" i="7" s="1"/>
  <c r="D322" i="7"/>
  <c r="D722" i="7" s="1"/>
  <c r="D323" i="7"/>
  <c r="D723" i="7" s="1"/>
  <c r="D324" i="7"/>
  <c r="D724" i="7" s="1"/>
  <c r="D325" i="7"/>
  <c r="D725" i="7" s="1"/>
  <c r="D326" i="7"/>
  <c r="D726" i="7" s="1"/>
  <c r="D327" i="7"/>
  <c r="D727" i="7" s="1"/>
  <c r="D328" i="7"/>
  <c r="D728" i="7" s="1"/>
  <c r="D329" i="7"/>
  <c r="D729" i="7" s="1"/>
  <c r="D330" i="7"/>
  <c r="D730" i="7" s="1"/>
  <c r="D331" i="7"/>
  <c r="D731" i="7" s="1"/>
  <c r="D332" i="7"/>
  <c r="D732" i="7" s="1"/>
  <c r="D333" i="7"/>
  <c r="D733" i="7" s="1"/>
  <c r="D334" i="7"/>
  <c r="D734" i="7" s="1"/>
  <c r="D335" i="7"/>
  <c r="D735" i="7" s="1"/>
  <c r="D336" i="7"/>
  <c r="D736" i="7" s="1"/>
  <c r="D337" i="7"/>
  <c r="D737" i="7" s="1"/>
  <c r="D338" i="7"/>
  <c r="D738" i="7" s="1"/>
  <c r="D339" i="7"/>
  <c r="D739" i="7" s="1"/>
  <c r="D340" i="7"/>
  <c r="D740" i="7" s="1"/>
  <c r="D341" i="7"/>
  <c r="D741" i="7" s="1"/>
  <c r="D342" i="7"/>
  <c r="D742" i="7" s="1"/>
  <c r="D343" i="7"/>
  <c r="D743" i="7" s="1"/>
  <c r="D344" i="7"/>
  <c r="D744" i="7" s="1"/>
  <c r="D345" i="7"/>
  <c r="D745" i="7" s="1"/>
  <c r="D346" i="7"/>
  <c r="D746" i="7" s="1"/>
  <c r="D347" i="7"/>
  <c r="D747" i="7" s="1"/>
  <c r="D348" i="7"/>
  <c r="D748" i="7" s="1"/>
  <c r="D349" i="7"/>
  <c r="D749" i="7" s="1"/>
  <c r="D350" i="7"/>
  <c r="D750" i="7" s="1"/>
  <c r="D351" i="7"/>
  <c r="D751" i="7" s="1"/>
  <c r="D352" i="7"/>
  <c r="D752" i="7" s="1"/>
  <c r="D353" i="7"/>
  <c r="D753" i="7" s="1"/>
  <c r="D354" i="7"/>
  <c r="D754" i="7" s="1"/>
  <c r="D355" i="7"/>
  <c r="D755" i="7" s="1"/>
  <c r="D356" i="7"/>
  <c r="D756" i="7" s="1"/>
  <c r="D357" i="7"/>
  <c r="D757" i="7" s="1"/>
  <c r="D358" i="7"/>
  <c r="D758" i="7" s="1"/>
  <c r="D359" i="7"/>
  <c r="D759" i="7" s="1"/>
  <c r="D360" i="7"/>
  <c r="D760" i="7" s="1"/>
  <c r="D361" i="7"/>
  <c r="D761" i="7" s="1"/>
  <c r="D362" i="7"/>
  <c r="D762" i="7" s="1"/>
  <c r="D363" i="7"/>
  <c r="D763" i="7" s="1"/>
  <c r="D364" i="7"/>
  <c r="D764" i="7" s="1"/>
  <c r="D365" i="7"/>
  <c r="D765" i="7" s="1"/>
  <c r="D366" i="7"/>
  <c r="D766" i="7" s="1"/>
  <c r="D367" i="7"/>
  <c r="D767" i="7" s="1"/>
  <c r="D368" i="7"/>
  <c r="D768" i="7" s="1"/>
  <c r="D369" i="7"/>
  <c r="D769" i="7" s="1"/>
  <c r="D370" i="7"/>
  <c r="D770" i="7" s="1"/>
  <c r="D371" i="7"/>
  <c r="D771" i="7" s="1"/>
  <c r="D372" i="7"/>
  <c r="D772" i="7" s="1"/>
  <c r="D373" i="7"/>
  <c r="D773" i="7" s="1"/>
  <c r="D374" i="7"/>
  <c r="D774" i="7" s="1"/>
  <c r="D375" i="7"/>
  <c r="D775" i="7" s="1"/>
  <c r="D376" i="7"/>
  <c r="D776" i="7" s="1"/>
  <c r="D377" i="7"/>
  <c r="D777" i="7" s="1"/>
  <c r="D378" i="7"/>
  <c r="D778" i="7" s="1"/>
  <c r="D379" i="7"/>
  <c r="D779" i="7" s="1"/>
  <c r="D380" i="7"/>
  <c r="D780" i="7" s="1"/>
  <c r="D381" i="7"/>
  <c r="D781" i="7" s="1"/>
  <c r="D382" i="7"/>
  <c r="D782" i="7" s="1"/>
  <c r="D383" i="7"/>
  <c r="D783" i="7" s="1"/>
  <c r="D384" i="7"/>
  <c r="D784" i="7" s="1"/>
  <c r="D385" i="7"/>
  <c r="D785" i="7" s="1"/>
  <c r="D386" i="7"/>
  <c r="D786" i="7" s="1"/>
  <c r="D387" i="7"/>
  <c r="D787" i="7" s="1"/>
  <c r="D388" i="7"/>
  <c r="D788" i="7" s="1"/>
  <c r="D389" i="7"/>
  <c r="D789" i="7" s="1"/>
  <c r="D390" i="7"/>
  <c r="D790" i="7" s="1"/>
  <c r="D391" i="7"/>
  <c r="N13" i="6"/>
  <c r="N19" i="6"/>
  <c r="N20" i="6"/>
  <c r="N32" i="6"/>
  <c r="N33" i="6"/>
  <c r="N38" i="6"/>
  <c r="N39" i="6"/>
  <c r="N40" i="6"/>
  <c r="N45" i="6"/>
  <c r="N46" i="6"/>
  <c r="N47" i="6"/>
  <c r="N51" i="6"/>
  <c r="N55" i="6"/>
  <c r="N56" i="6"/>
  <c r="N61" i="6"/>
  <c r="N62" i="6"/>
  <c r="N65" i="6"/>
  <c r="N66" i="6"/>
  <c r="N67" i="6"/>
  <c r="N74" i="6"/>
  <c r="N75" i="6"/>
  <c r="N76" i="6"/>
  <c r="N81" i="6"/>
  <c r="N82" i="6"/>
  <c r="N83" i="6"/>
  <c r="N84" i="6"/>
  <c r="N93" i="6"/>
  <c r="N94" i="6"/>
  <c r="N95" i="6"/>
  <c r="N96" i="6"/>
  <c r="N97" i="6"/>
  <c r="N98" i="6"/>
  <c r="N100" i="6"/>
  <c r="N101" i="6"/>
  <c r="N104" i="6"/>
  <c r="N105" i="6"/>
  <c r="N106" i="6"/>
  <c r="N111" i="6"/>
  <c r="N118" i="6"/>
  <c r="N119" i="6"/>
  <c r="N124" i="6"/>
  <c r="N125" i="6"/>
  <c r="N126" i="6"/>
  <c r="N130" i="6"/>
  <c r="N131" i="6"/>
  <c r="N132" i="6"/>
  <c r="N136" i="6"/>
  <c r="N137" i="6"/>
  <c r="N141" i="6"/>
  <c r="N143" i="6"/>
  <c r="N144" i="6"/>
  <c r="N145" i="6"/>
  <c r="N148" i="6"/>
  <c r="N149" i="6"/>
  <c r="N152" i="6"/>
  <c r="N153" i="6"/>
  <c r="N156" i="6"/>
  <c r="N158" i="6"/>
  <c r="N159" i="6"/>
  <c r="N163" i="6"/>
  <c r="N164" i="6"/>
  <c r="N166" i="6"/>
  <c r="N167" i="6"/>
  <c r="N168" i="6"/>
  <c r="N169" i="6"/>
  <c r="N171" i="6"/>
  <c r="N173" i="6"/>
  <c r="N177" i="6"/>
  <c r="N187" i="6"/>
  <c r="N188" i="6"/>
  <c r="N189" i="6"/>
  <c r="N195" i="6"/>
  <c r="N196" i="6"/>
  <c r="N198" i="6"/>
  <c r="N205" i="6"/>
  <c r="AB205" i="6" s="1"/>
  <c r="N206" i="6"/>
  <c r="N207" i="6"/>
  <c r="N210" i="6"/>
  <c r="N211" i="6"/>
  <c r="AB211" i="6" s="1"/>
  <c r="N212" i="6"/>
  <c r="N216" i="6"/>
  <c r="N217" i="6"/>
  <c r="N218" i="6"/>
  <c r="N219" i="6"/>
  <c r="N222" i="6"/>
  <c r="N228" i="6"/>
  <c r="N231" i="6"/>
  <c r="N232" i="6"/>
  <c r="N234" i="6"/>
  <c r="N235" i="6"/>
  <c r="N236" i="6"/>
  <c r="N239" i="6"/>
  <c r="AB239" i="6" s="1"/>
  <c r="N240" i="6"/>
  <c r="N241" i="6"/>
  <c r="N242" i="6"/>
  <c r="N252" i="6"/>
  <c r="N253" i="6"/>
  <c r="N256" i="6"/>
  <c r="N257" i="6"/>
  <c r="AB257" i="6" s="1"/>
  <c r="N263" i="6"/>
  <c r="N264" i="6"/>
  <c r="AB264" i="6" s="1"/>
  <c r="N268" i="6"/>
  <c r="N269" i="6"/>
  <c r="AB269" i="6" s="1"/>
  <c r="N272" i="6"/>
  <c r="N273" i="6"/>
  <c r="N277" i="6"/>
  <c r="N278" i="6"/>
  <c r="N280" i="6"/>
  <c r="N281" i="6"/>
  <c r="N288" i="6"/>
  <c r="N289" i="6"/>
  <c r="N291" i="6"/>
  <c r="N297" i="6"/>
  <c r="N298" i="6"/>
  <c r="N299" i="6"/>
  <c r="N301" i="6"/>
  <c r="N302" i="6"/>
  <c r="N306" i="6"/>
  <c r="N307" i="6"/>
  <c r="N308" i="6"/>
  <c r="N311" i="6"/>
  <c r="N312" i="6"/>
  <c r="N314" i="6"/>
  <c r="N315" i="6"/>
  <c r="N317" i="6"/>
  <c r="N318" i="6"/>
  <c r="N319" i="6"/>
  <c r="N321" i="6"/>
  <c r="AB321" i="6" s="1"/>
  <c r="N322" i="6"/>
  <c r="N323" i="6"/>
  <c r="N324" i="6"/>
  <c r="N325" i="6"/>
  <c r="N331" i="6"/>
  <c r="N332" i="6"/>
  <c r="N338" i="6"/>
  <c r="N339" i="6"/>
  <c r="N341" i="6"/>
  <c r="N342" i="6"/>
  <c r="N343" i="6"/>
  <c r="N344" i="6"/>
  <c r="N345" i="6"/>
  <c r="N346" i="6"/>
  <c r="N347" i="6"/>
  <c r="N348" i="6"/>
  <c r="N349" i="6"/>
  <c r="N350" i="6"/>
  <c r="N351" i="6"/>
  <c r="N352" i="6"/>
  <c r="N353" i="6"/>
  <c r="N355" i="6"/>
  <c r="N356" i="6"/>
  <c r="N357" i="6"/>
  <c r="N358" i="6"/>
  <c r="N359" i="6"/>
  <c r="N360" i="6"/>
  <c r="N364" i="6"/>
  <c r="N365" i="6"/>
  <c r="N366" i="6"/>
  <c r="N367" i="6"/>
  <c r="N369" i="6"/>
  <c r="N370" i="6"/>
  <c r="N371" i="6"/>
  <c r="N372" i="6"/>
  <c r="N373" i="6"/>
  <c r="N374" i="6"/>
  <c r="N378" i="6"/>
  <c r="N379" i="6"/>
  <c r="N380" i="6"/>
  <c r="N382" i="6"/>
  <c r="N383" i="6"/>
  <c r="N384" i="6"/>
  <c r="N385" i="6"/>
  <c r="N387" i="6"/>
  <c r="N388" i="6"/>
  <c r="N389" i="6"/>
  <c r="N390" i="6"/>
  <c r="N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1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F791" i="10"/>
  <c r="G791" i="10"/>
  <c r="BD253" i="10"/>
  <c r="BD254" i="10"/>
  <c r="BD255" i="10"/>
  <c r="A391" i="9"/>
  <c r="C4" i="9"/>
  <c r="Y520" i="26"/>
  <c r="X368" i="26"/>
  <c r="K7" i="11"/>
  <c r="C2" i="10"/>
  <c r="C4" i="6"/>
  <c r="BD12" i="10"/>
  <c r="BD13" i="10"/>
  <c r="BD14" i="10"/>
  <c r="BD15" i="10"/>
  <c r="BD16" i="10"/>
  <c r="BD17" i="10"/>
  <c r="BD18" i="10"/>
  <c r="BD19" i="10"/>
  <c r="BD20" i="10"/>
  <c r="BD21" i="10"/>
  <c r="BD22" i="10"/>
  <c r="BD23" i="10"/>
  <c r="BD24" i="10"/>
  <c r="BD25" i="10"/>
  <c r="BD26" i="10"/>
  <c r="BD27" i="10"/>
  <c r="BD28" i="10"/>
  <c r="BD29" i="10"/>
  <c r="BD30" i="10"/>
  <c r="BD31" i="10"/>
  <c r="BD32" i="10"/>
  <c r="BD33" i="10"/>
  <c r="BD34" i="10"/>
  <c r="BD35" i="10"/>
  <c r="BD36" i="10"/>
  <c r="BD37" i="10"/>
  <c r="BD38" i="10"/>
  <c r="BD39" i="10"/>
  <c r="BD40" i="10"/>
  <c r="BD41" i="10"/>
  <c r="BD42" i="10"/>
  <c r="BD43" i="10"/>
  <c r="BD44" i="10"/>
  <c r="BD45" i="10"/>
  <c r="BD46" i="10"/>
  <c r="BD47" i="10"/>
  <c r="BD48" i="10"/>
  <c r="BD49" i="10"/>
  <c r="BD50" i="10"/>
  <c r="BD51" i="10"/>
  <c r="BD52" i="10"/>
  <c r="BD53" i="10"/>
  <c r="BD54" i="10"/>
  <c r="BD55" i="10"/>
  <c r="BD56" i="10"/>
  <c r="BD57" i="10"/>
  <c r="BD58" i="10"/>
  <c r="BD59" i="10"/>
  <c r="BD60" i="10"/>
  <c r="BD61" i="10"/>
  <c r="BD62" i="10"/>
  <c r="BD63" i="10"/>
  <c r="BD64" i="10"/>
  <c r="BD65" i="10"/>
  <c r="BD66" i="10"/>
  <c r="BD67" i="10"/>
  <c r="BD68" i="10"/>
  <c r="BD69" i="10"/>
  <c r="BD70" i="10"/>
  <c r="BD71" i="10"/>
  <c r="BD72" i="10"/>
  <c r="BD73" i="10"/>
  <c r="BD74" i="10"/>
  <c r="BD75" i="10"/>
  <c r="BD76" i="10"/>
  <c r="BD77" i="10"/>
  <c r="BD78" i="10"/>
  <c r="BD79" i="10"/>
  <c r="BD80" i="10"/>
  <c r="BD81" i="10"/>
  <c r="BD82" i="10"/>
  <c r="BD83" i="10"/>
  <c r="BD84" i="10"/>
  <c r="BD85" i="10"/>
  <c r="BD86" i="10"/>
  <c r="BD87" i="10"/>
  <c r="BD88" i="10"/>
  <c r="BD89" i="10"/>
  <c r="BD90" i="10"/>
  <c r="BD91" i="10"/>
  <c r="BD92" i="10"/>
  <c r="BD93" i="10"/>
  <c r="BD94" i="10"/>
  <c r="BD95" i="10"/>
  <c r="BD96" i="10"/>
  <c r="BD97" i="10"/>
  <c r="BD98" i="10"/>
  <c r="BD99" i="10"/>
  <c r="BD100" i="10"/>
  <c r="BD101" i="10"/>
  <c r="BD102" i="10"/>
  <c r="BD103" i="10"/>
  <c r="BD104" i="10"/>
  <c r="BD105" i="10"/>
  <c r="BD106" i="10"/>
  <c r="BD107" i="10"/>
  <c r="BD108" i="10"/>
  <c r="BD109" i="10"/>
  <c r="BD110" i="10"/>
  <c r="BD111" i="10"/>
  <c r="BD112" i="10"/>
  <c r="BD113" i="10"/>
  <c r="BD114" i="10"/>
  <c r="BD115" i="10"/>
  <c r="BD116" i="10"/>
  <c r="BD117" i="10"/>
  <c r="BD118" i="10"/>
  <c r="BD119" i="10"/>
  <c r="BD120" i="10"/>
  <c r="BD121" i="10"/>
  <c r="BD122" i="10"/>
  <c r="BD123" i="10"/>
  <c r="BD124" i="10"/>
  <c r="BD125" i="10"/>
  <c r="BD126" i="10"/>
  <c r="BD127" i="10"/>
  <c r="BD128" i="10"/>
  <c r="BD129" i="10"/>
  <c r="BD130" i="10"/>
  <c r="BD131" i="10"/>
  <c r="BD132" i="10"/>
  <c r="BD133" i="10"/>
  <c r="BD134" i="10"/>
  <c r="BD135" i="10"/>
  <c r="BD136" i="10"/>
  <c r="BD137" i="10"/>
  <c r="BD138" i="10"/>
  <c r="BD139" i="10"/>
  <c r="BD140" i="10"/>
  <c r="BD141" i="10"/>
  <c r="BD142" i="10"/>
  <c r="BD143" i="10"/>
  <c r="BD144" i="10"/>
  <c r="BD145" i="10"/>
  <c r="BD146" i="10"/>
  <c r="BD147" i="10"/>
  <c r="BD148" i="10"/>
  <c r="BD149" i="10"/>
  <c r="BD150" i="10"/>
  <c r="BD151" i="10"/>
  <c r="BD152" i="10"/>
  <c r="BD153" i="10"/>
  <c r="BD154" i="10"/>
  <c r="BD155" i="10"/>
  <c r="BD156" i="10"/>
  <c r="BD157" i="10"/>
  <c r="BD158" i="10"/>
  <c r="BD159" i="10"/>
  <c r="BD160" i="10"/>
  <c r="BD161" i="10"/>
  <c r="BD162" i="10"/>
  <c r="BD163" i="10"/>
  <c r="BD164" i="10"/>
  <c r="BD165" i="10"/>
  <c r="BD166" i="10"/>
  <c r="BD167" i="10"/>
  <c r="BD168" i="10"/>
  <c r="BD169" i="10"/>
  <c r="BD170" i="10"/>
  <c r="BD171" i="10"/>
  <c r="BD172" i="10"/>
  <c r="BD173" i="10"/>
  <c r="BD174" i="10"/>
  <c r="BD175" i="10"/>
  <c r="BD176" i="10"/>
  <c r="BD177" i="10"/>
  <c r="BD178" i="10"/>
  <c r="BD179" i="10"/>
  <c r="BD180" i="10"/>
  <c r="BD181" i="10"/>
  <c r="BD182" i="10"/>
  <c r="BD183" i="10"/>
  <c r="BD184" i="10"/>
  <c r="BD185" i="10"/>
  <c r="BD186" i="10"/>
  <c r="BD187" i="10"/>
  <c r="BD188" i="10"/>
  <c r="BD189" i="10"/>
  <c r="BD190" i="10"/>
  <c r="BD191" i="10"/>
  <c r="BD192" i="10"/>
  <c r="BD193" i="10"/>
  <c r="BD194" i="10"/>
  <c r="BD195" i="10"/>
  <c r="BD196" i="10"/>
  <c r="BD197" i="10"/>
  <c r="BD198" i="10"/>
  <c r="BD199" i="10"/>
  <c r="BD200" i="10"/>
  <c r="BD201" i="10"/>
  <c r="BD202" i="10"/>
  <c r="BD203" i="10"/>
  <c r="BD204" i="10"/>
  <c r="BD205" i="10"/>
  <c r="BD206" i="10"/>
  <c r="BD207" i="10"/>
  <c r="BD208" i="10"/>
  <c r="BD209" i="10"/>
  <c r="BD210" i="10"/>
  <c r="BD211" i="10"/>
  <c r="BD212" i="10"/>
  <c r="BD213" i="10"/>
  <c r="BD214" i="10"/>
  <c r="BD215" i="10"/>
  <c r="BD216" i="10"/>
  <c r="BD217" i="10"/>
  <c r="BD218" i="10"/>
  <c r="BD219" i="10"/>
  <c r="BD220" i="10"/>
  <c r="BD221" i="10"/>
  <c r="BD222" i="10"/>
  <c r="BD223" i="10"/>
  <c r="BD224" i="10"/>
  <c r="BD225" i="10"/>
  <c r="BD226" i="10"/>
  <c r="BD227" i="10"/>
  <c r="BD228" i="10"/>
  <c r="BD229" i="10"/>
  <c r="BD230" i="10"/>
  <c r="BD231" i="10"/>
  <c r="BD232" i="10"/>
  <c r="BD233" i="10"/>
  <c r="BD234" i="10"/>
  <c r="BD235" i="10"/>
  <c r="BD236" i="10"/>
  <c r="BD237" i="10"/>
  <c r="BD238" i="10"/>
  <c r="BD239" i="10"/>
  <c r="BD240" i="10"/>
  <c r="BD241" i="10"/>
  <c r="BD242" i="10"/>
  <c r="BD243" i="10"/>
  <c r="BD244" i="10"/>
  <c r="BD245" i="10"/>
  <c r="BD246" i="10"/>
  <c r="BD247" i="10"/>
  <c r="BD248" i="10"/>
  <c r="BD249" i="10"/>
  <c r="BD250" i="10"/>
  <c r="BD251" i="10"/>
  <c r="BD252" i="10"/>
  <c r="BD256" i="10"/>
  <c r="BD257" i="10"/>
  <c r="BD258" i="10"/>
  <c r="BD259" i="10"/>
  <c r="BD260" i="10"/>
  <c r="BD261" i="10"/>
  <c r="BD262" i="10"/>
  <c r="BD263" i="10"/>
  <c r="BD264" i="10"/>
  <c r="BD265" i="10"/>
  <c r="BD266" i="10"/>
  <c r="BD267" i="10"/>
  <c r="BD268" i="10"/>
  <c r="BD269" i="10"/>
  <c r="BD270" i="10"/>
  <c r="BD271" i="10"/>
  <c r="BD272" i="10"/>
  <c r="BD273" i="10"/>
  <c r="BD274" i="10"/>
  <c r="BD275" i="10"/>
  <c r="BD276" i="10"/>
  <c r="BD277" i="10"/>
  <c r="BD278" i="10"/>
  <c r="BD279" i="10"/>
  <c r="BD280" i="10"/>
  <c r="BD281" i="10"/>
  <c r="BD282" i="10"/>
  <c r="BD283" i="10"/>
  <c r="BD284" i="10"/>
  <c r="BD285" i="10"/>
  <c r="BD286" i="10"/>
  <c r="BD287" i="10"/>
  <c r="BD288" i="10"/>
  <c r="BD289" i="10"/>
  <c r="BD290" i="10"/>
  <c r="BD291" i="10"/>
  <c r="BD292" i="10"/>
  <c r="BD293" i="10"/>
  <c r="BD294" i="10"/>
  <c r="BD295" i="10"/>
  <c r="BD296" i="10"/>
  <c r="BD297" i="10"/>
  <c r="BD298" i="10"/>
  <c r="BD299" i="10"/>
  <c r="BD300" i="10"/>
  <c r="BD301" i="10"/>
  <c r="BD302" i="10"/>
  <c r="BD303" i="10"/>
  <c r="BD304" i="10"/>
  <c r="BD305" i="10"/>
  <c r="BD306" i="10"/>
  <c r="BD307" i="10"/>
  <c r="BD308" i="10"/>
  <c r="BD309" i="10"/>
  <c r="BD310" i="10"/>
  <c r="BD311" i="10"/>
  <c r="BD312" i="10"/>
  <c r="BD313" i="10"/>
  <c r="BD314" i="10"/>
  <c r="BD315" i="10"/>
  <c r="BD316" i="10"/>
  <c r="BD317" i="10"/>
  <c r="BD318" i="10"/>
  <c r="BD319" i="10"/>
  <c r="BD320" i="10"/>
  <c r="BD321" i="10"/>
  <c r="BD322" i="10"/>
  <c r="BD323" i="10"/>
  <c r="BD324" i="10"/>
  <c r="BD325" i="10"/>
  <c r="BD326" i="10"/>
  <c r="BD327" i="10"/>
  <c r="BD328" i="10"/>
  <c r="BD329" i="10"/>
  <c r="BD330" i="10"/>
  <c r="BD331" i="10"/>
  <c r="BD332" i="10"/>
  <c r="BD333" i="10"/>
  <c r="BD334" i="10"/>
  <c r="BD335" i="10"/>
  <c r="BD336" i="10"/>
  <c r="BD337" i="10"/>
  <c r="BD338" i="10"/>
  <c r="BD339" i="10"/>
  <c r="BD340" i="10"/>
  <c r="BD341" i="10"/>
  <c r="BD342" i="10"/>
  <c r="BD343" i="10"/>
  <c r="BD344" i="10"/>
  <c r="BD345" i="10"/>
  <c r="BD346" i="10"/>
  <c r="BD347" i="10"/>
  <c r="BD348" i="10"/>
  <c r="BD349" i="10"/>
  <c r="BD350" i="10"/>
  <c r="BD351" i="10"/>
  <c r="BD352" i="10"/>
  <c r="BD353" i="10"/>
  <c r="BD354" i="10"/>
  <c r="BD355" i="10"/>
  <c r="BD356" i="10"/>
  <c r="BD357" i="10"/>
  <c r="BD358" i="10"/>
  <c r="BD359" i="10"/>
  <c r="BD360" i="10"/>
  <c r="BD361" i="10"/>
  <c r="BD362" i="10"/>
  <c r="BD363" i="10"/>
  <c r="BD364" i="10"/>
  <c r="BD365" i="10"/>
  <c r="BD366" i="10"/>
  <c r="BD367" i="10"/>
  <c r="BD368" i="10"/>
  <c r="BD369" i="10"/>
  <c r="BD370" i="10"/>
  <c r="BD371" i="10"/>
  <c r="BD372" i="10"/>
  <c r="BD373" i="10"/>
  <c r="BD374" i="10"/>
  <c r="BD375" i="10"/>
  <c r="BD376" i="10"/>
  <c r="BD377" i="10"/>
  <c r="BD378" i="10"/>
  <c r="BD379" i="10"/>
  <c r="BD380" i="10"/>
  <c r="BD381" i="10"/>
  <c r="BD382" i="10"/>
  <c r="BD383" i="10"/>
  <c r="BD384" i="10"/>
  <c r="BD385" i="10"/>
  <c r="BD386" i="10"/>
  <c r="BD387" i="10"/>
  <c r="BD388" i="10"/>
  <c r="BD389" i="10"/>
  <c r="BD390" i="10"/>
  <c r="K8" i="11"/>
  <c r="A413" i="7"/>
  <c r="B413" i="7"/>
  <c r="C413" i="7"/>
  <c r="A414" i="7"/>
  <c r="B414" i="7"/>
  <c r="C414" i="7"/>
  <c r="A415" i="7"/>
  <c r="B415" i="7"/>
  <c r="C415" i="7"/>
  <c r="A416" i="7"/>
  <c r="B416" i="7"/>
  <c r="C416" i="7"/>
  <c r="A417" i="7"/>
  <c r="B417" i="7"/>
  <c r="C417" i="7"/>
  <c r="A418" i="7"/>
  <c r="B418" i="7"/>
  <c r="C418" i="7"/>
  <c r="A419" i="7"/>
  <c r="B419" i="7"/>
  <c r="C419" i="7"/>
  <c r="A420" i="7"/>
  <c r="B420" i="7"/>
  <c r="C420" i="7"/>
  <c r="A421" i="7"/>
  <c r="B421" i="7"/>
  <c r="C421" i="7"/>
  <c r="A422" i="7"/>
  <c r="B422" i="7"/>
  <c r="C422" i="7"/>
  <c r="A423" i="7"/>
  <c r="B423" i="7"/>
  <c r="C423" i="7"/>
  <c r="A424" i="7"/>
  <c r="B424" i="7"/>
  <c r="C424" i="7"/>
  <c r="A425" i="7"/>
  <c r="B425" i="7"/>
  <c r="C425" i="7"/>
  <c r="A426" i="7"/>
  <c r="B426" i="7"/>
  <c r="C426" i="7"/>
  <c r="A427" i="7"/>
  <c r="B427" i="7"/>
  <c r="C427" i="7"/>
  <c r="A428" i="7"/>
  <c r="B428" i="7"/>
  <c r="C428" i="7"/>
  <c r="A429" i="7"/>
  <c r="B429" i="7"/>
  <c r="C429" i="7"/>
  <c r="A430" i="7"/>
  <c r="B430" i="7"/>
  <c r="C430" i="7"/>
  <c r="A431" i="7"/>
  <c r="B431" i="7"/>
  <c r="C431" i="7"/>
  <c r="A432" i="7"/>
  <c r="B432" i="7"/>
  <c r="C432" i="7"/>
  <c r="A433" i="7"/>
  <c r="B433" i="7"/>
  <c r="C433" i="7"/>
  <c r="A434" i="7"/>
  <c r="B434" i="7"/>
  <c r="C434" i="7"/>
  <c r="A435" i="7"/>
  <c r="B435" i="7"/>
  <c r="C435" i="7"/>
  <c r="A436" i="7"/>
  <c r="B436" i="7"/>
  <c r="C436" i="7"/>
  <c r="A437" i="7"/>
  <c r="B437" i="7"/>
  <c r="C437" i="7"/>
  <c r="A438" i="7"/>
  <c r="B438" i="7"/>
  <c r="C438" i="7"/>
  <c r="A439" i="7"/>
  <c r="B439" i="7"/>
  <c r="C439" i="7"/>
  <c r="A440" i="7"/>
  <c r="B440" i="7"/>
  <c r="C440" i="7"/>
  <c r="A441" i="7"/>
  <c r="B441" i="7"/>
  <c r="C441" i="7"/>
  <c r="A442" i="7"/>
  <c r="B442" i="7"/>
  <c r="C442" i="7"/>
  <c r="A443" i="7"/>
  <c r="B443" i="7"/>
  <c r="C443" i="7"/>
  <c r="A444" i="7"/>
  <c r="B444" i="7"/>
  <c r="C444" i="7"/>
  <c r="A445" i="7"/>
  <c r="B445" i="7"/>
  <c r="C445" i="7"/>
  <c r="A446" i="7"/>
  <c r="B446" i="7"/>
  <c r="C446" i="7"/>
  <c r="A447" i="7"/>
  <c r="B447" i="7"/>
  <c r="C447" i="7"/>
  <c r="A448" i="7"/>
  <c r="B448" i="7"/>
  <c r="C448" i="7"/>
  <c r="A449" i="7"/>
  <c r="B449" i="7"/>
  <c r="C449" i="7"/>
  <c r="A450" i="7"/>
  <c r="B450" i="7"/>
  <c r="C450" i="7"/>
  <c r="A451" i="7"/>
  <c r="B451" i="7"/>
  <c r="C451" i="7"/>
  <c r="A452" i="7"/>
  <c r="B452" i="7"/>
  <c r="C452" i="7"/>
  <c r="A453" i="7"/>
  <c r="B453" i="7"/>
  <c r="C453" i="7"/>
  <c r="A454" i="7"/>
  <c r="B454" i="7"/>
  <c r="C454" i="7"/>
  <c r="A455" i="7"/>
  <c r="B455" i="7"/>
  <c r="C455" i="7"/>
  <c r="A456" i="7"/>
  <c r="B456" i="7"/>
  <c r="C456" i="7"/>
  <c r="A457" i="7"/>
  <c r="B457" i="7"/>
  <c r="C457" i="7"/>
  <c r="A458" i="7"/>
  <c r="B458" i="7"/>
  <c r="C458" i="7"/>
  <c r="A459" i="7"/>
  <c r="B459" i="7"/>
  <c r="C459" i="7"/>
  <c r="A460" i="7"/>
  <c r="B460" i="7"/>
  <c r="C460" i="7"/>
  <c r="A461" i="7"/>
  <c r="B461" i="7"/>
  <c r="C461" i="7"/>
  <c r="A462" i="7"/>
  <c r="B462" i="7"/>
  <c r="C462" i="7"/>
  <c r="A463" i="7"/>
  <c r="B463" i="7"/>
  <c r="C463" i="7"/>
  <c r="A464" i="7"/>
  <c r="B464" i="7"/>
  <c r="C464" i="7"/>
  <c r="A465" i="7"/>
  <c r="B465" i="7"/>
  <c r="C465" i="7"/>
  <c r="A466" i="7"/>
  <c r="B466" i="7"/>
  <c r="C466" i="7"/>
  <c r="A467" i="7"/>
  <c r="B467" i="7"/>
  <c r="C467" i="7"/>
  <c r="A468" i="7"/>
  <c r="B468" i="7"/>
  <c r="C468" i="7"/>
  <c r="A469" i="7"/>
  <c r="B469" i="7"/>
  <c r="C469" i="7"/>
  <c r="A470" i="7"/>
  <c r="B470" i="7"/>
  <c r="C470" i="7"/>
  <c r="A471" i="7"/>
  <c r="B471" i="7"/>
  <c r="C471" i="7"/>
  <c r="A472" i="7"/>
  <c r="B472" i="7"/>
  <c r="C472" i="7"/>
  <c r="A473" i="7"/>
  <c r="B473" i="7"/>
  <c r="C473" i="7"/>
  <c r="A474" i="7"/>
  <c r="B474" i="7"/>
  <c r="C474" i="7"/>
  <c r="A475" i="7"/>
  <c r="B475" i="7"/>
  <c r="C475" i="7"/>
  <c r="A476" i="7"/>
  <c r="B476" i="7"/>
  <c r="C476" i="7"/>
  <c r="A477" i="7"/>
  <c r="B477" i="7"/>
  <c r="C477" i="7"/>
  <c r="A478" i="7"/>
  <c r="B478" i="7"/>
  <c r="C478" i="7"/>
  <c r="A479" i="7"/>
  <c r="B479" i="7"/>
  <c r="C479" i="7"/>
  <c r="A480" i="7"/>
  <c r="B480" i="7"/>
  <c r="C480" i="7"/>
  <c r="A481" i="7"/>
  <c r="B481" i="7"/>
  <c r="C481" i="7"/>
  <c r="A482" i="7"/>
  <c r="B482" i="7"/>
  <c r="C482" i="7"/>
  <c r="A483" i="7"/>
  <c r="B483" i="7"/>
  <c r="C483" i="7"/>
  <c r="A484" i="7"/>
  <c r="B484" i="7"/>
  <c r="C484" i="7"/>
  <c r="A485" i="7"/>
  <c r="B485" i="7"/>
  <c r="C485" i="7"/>
  <c r="A486" i="7"/>
  <c r="B486" i="7"/>
  <c r="C486" i="7"/>
  <c r="A487" i="7"/>
  <c r="B487" i="7"/>
  <c r="C487" i="7"/>
  <c r="A488" i="7"/>
  <c r="B488" i="7"/>
  <c r="C488" i="7"/>
  <c r="A489" i="7"/>
  <c r="B489" i="7"/>
  <c r="C489" i="7"/>
  <c r="A490" i="7"/>
  <c r="B490" i="7"/>
  <c r="C490" i="7"/>
  <c r="A491" i="7"/>
  <c r="B491" i="7"/>
  <c r="C491" i="7"/>
  <c r="A492" i="7"/>
  <c r="B492" i="7"/>
  <c r="C492" i="7"/>
  <c r="A493" i="7"/>
  <c r="B493" i="7"/>
  <c r="C493" i="7"/>
  <c r="A494" i="7"/>
  <c r="B494" i="7"/>
  <c r="C494" i="7"/>
  <c r="A495" i="7"/>
  <c r="B495" i="7"/>
  <c r="C495" i="7"/>
  <c r="A496" i="7"/>
  <c r="B496" i="7"/>
  <c r="C496" i="7"/>
  <c r="A497" i="7"/>
  <c r="B497" i="7"/>
  <c r="C497" i="7"/>
  <c r="A498" i="7"/>
  <c r="B498" i="7"/>
  <c r="C498" i="7"/>
  <c r="A499" i="7"/>
  <c r="B499" i="7"/>
  <c r="C499" i="7"/>
  <c r="A500" i="7"/>
  <c r="B500" i="7"/>
  <c r="C500" i="7"/>
  <c r="A501" i="7"/>
  <c r="B501" i="7"/>
  <c r="C501" i="7"/>
  <c r="A502" i="7"/>
  <c r="B502" i="7"/>
  <c r="C502" i="7"/>
  <c r="A503" i="7"/>
  <c r="B503" i="7"/>
  <c r="C503" i="7"/>
  <c r="A504" i="7"/>
  <c r="B504" i="7"/>
  <c r="C504" i="7"/>
  <c r="A505" i="7"/>
  <c r="B505" i="7"/>
  <c r="C505" i="7"/>
  <c r="A506" i="7"/>
  <c r="B506" i="7"/>
  <c r="C506" i="7"/>
  <c r="A507" i="7"/>
  <c r="B507" i="7"/>
  <c r="C507" i="7"/>
  <c r="A508" i="7"/>
  <c r="B508" i="7"/>
  <c r="C508" i="7"/>
  <c r="A509" i="7"/>
  <c r="B509" i="7"/>
  <c r="C509" i="7"/>
  <c r="A510" i="7"/>
  <c r="B510" i="7"/>
  <c r="C510" i="7"/>
  <c r="A511" i="7"/>
  <c r="B511" i="7"/>
  <c r="C511" i="7"/>
  <c r="A512" i="7"/>
  <c r="B512" i="7"/>
  <c r="C512" i="7"/>
  <c r="A513" i="7"/>
  <c r="B513" i="7"/>
  <c r="C513" i="7"/>
  <c r="A514" i="7"/>
  <c r="B514" i="7"/>
  <c r="C514" i="7"/>
  <c r="A515" i="7"/>
  <c r="B515" i="7"/>
  <c r="C515" i="7"/>
  <c r="A516" i="7"/>
  <c r="B516" i="7"/>
  <c r="C516" i="7"/>
  <c r="A517" i="7"/>
  <c r="B517" i="7"/>
  <c r="C517" i="7"/>
  <c r="A518" i="7"/>
  <c r="B518" i="7"/>
  <c r="C518" i="7"/>
  <c r="A519" i="7"/>
  <c r="B519" i="7"/>
  <c r="C519" i="7"/>
  <c r="A520" i="7"/>
  <c r="B520" i="7"/>
  <c r="C520" i="7"/>
  <c r="A521" i="7"/>
  <c r="B521" i="7"/>
  <c r="C521" i="7"/>
  <c r="A522" i="7"/>
  <c r="B522" i="7"/>
  <c r="C522" i="7"/>
  <c r="A523" i="7"/>
  <c r="B523" i="7"/>
  <c r="C523" i="7"/>
  <c r="A524" i="7"/>
  <c r="B524" i="7"/>
  <c r="C524" i="7"/>
  <c r="A525" i="7"/>
  <c r="B525" i="7"/>
  <c r="C525" i="7"/>
  <c r="A526" i="7"/>
  <c r="B526" i="7"/>
  <c r="C526" i="7"/>
  <c r="A527" i="7"/>
  <c r="B527" i="7"/>
  <c r="C527" i="7"/>
  <c r="A528" i="7"/>
  <c r="B528" i="7"/>
  <c r="C528" i="7"/>
  <c r="A529" i="7"/>
  <c r="B529" i="7"/>
  <c r="C529" i="7"/>
  <c r="A530" i="7"/>
  <c r="B530" i="7"/>
  <c r="C530" i="7"/>
  <c r="A531" i="7"/>
  <c r="B531" i="7"/>
  <c r="C531" i="7"/>
  <c r="A532" i="7"/>
  <c r="B532" i="7"/>
  <c r="C532" i="7"/>
  <c r="A533" i="7"/>
  <c r="B533" i="7"/>
  <c r="C533" i="7"/>
  <c r="A534" i="7"/>
  <c r="B534" i="7"/>
  <c r="C534" i="7"/>
  <c r="A535" i="7"/>
  <c r="B535" i="7"/>
  <c r="C535" i="7"/>
  <c r="A536" i="7"/>
  <c r="B536" i="7"/>
  <c r="C536" i="7"/>
  <c r="A537" i="7"/>
  <c r="B537" i="7"/>
  <c r="C537" i="7"/>
  <c r="A538" i="7"/>
  <c r="B538" i="7"/>
  <c r="C538" i="7"/>
  <c r="A539" i="7"/>
  <c r="B539" i="7"/>
  <c r="C539" i="7"/>
  <c r="A540" i="7"/>
  <c r="B540" i="7"/>
  <c r="C540" i="7"/>
  <c r="A541" i="7"/>
  <c r="B541" i="7"/>
  <c r="C541" i="7"/>
  <c r="A542" i="7"/>
  <c r="B542" i="7"/>
  <c r="C542" i="7"/>
  <c r="A543" i="7"/>
  <c r="B543" i="7"/>
  <c r="C543" i="7"/>
  <c r="A544" i="7"/>
  <c r="B544" i="7"/>
  <c r="C544" i="7"/>
  <c r="A545" i="7"/>
  <c r="B545" i="7"/>
  <c r="C545" i="7"/>
  <c r="A546" i="7"/>
  <c r="B546" i="7"/>
  <c r="C546" i="7"/>
  <c r="A547" i="7"/>
  <c r="B547" i="7"/>
  <c r="C547" i="7"/>
  <c r="A548" i="7"/>
  <c r="B548" i="7"/>
  <c r="C548" i="7"/>
  <c r="A549" i="7"/>
  <c r="B549" i="7"/>
  <c r="C549" i="7"/>
  <c r="A550" i="7"/>
  <c r="B550" i="7"/>
  <c r="C550" i="7"/>
  <c r="A551" i="7"/>
  <c r="B551" i="7"/>
  <c r="C551" i="7"/>
  <c r="A552" i="7"/>
  <c r="B552" i="7"/>
  <c r="C552" i="7"/>
  <c r="A553" i="7"/>
  <c r="B553" i="7"/>
  <c r="C553" i="7"/>
  <c r="A554" i="7"/>
  <c r="B554" i="7"/>
  <c r="C554" i="7"/>
  <c r="A555" i="7"/>
  <c r="B555" i="7"/>
  <c r="C555" i="7"/>
  <c r="A556" i="7"/>
  <c r="B556" i="7"/>
  <c r="C556" i="7"/>
  <c r="A557" i="7"/>
  <c r="B557" i="7"/>
  <c r="C557" i="7"/>
  <c r="A558" i="7"/>
  <c r="B558" i="7"/>
  <c r="C558" i="7"/>
  <c r="A559" i="7"/>
  <c r="B559" i="7"/>
  <c r="C559" i="7"/>
  <c r="A560" i="7"/>
  <c r="B560" i="7"/>
  <c r="C560" i="7"/>
  <c r="A561" i="7"/>
  <c r="B561" i="7"/>
  <c r="C561" i="7"/>
  <c r="A562" i="7"/>
  <c r="B562" i="7"/>
  <c r="C562" i="7"/>
  <c r="A563" i="7"/>
  <c r="B563" i="7"/>
  <c r="C563" i="7"/>
  <c r="A564" i="7"/>
  <c r="B564" i="7"/>
  <c r="C564" i="7"/>
  <c r="A565" i="7"/>
  <c r="B565" i="7"/>
  <c r="C565" i="7"/>
  <c r="A566" i="7"/>
  <c r="B566" i="7"/>
  <c r="C566" i="7"/>
  <c r="A567" i="7"/>
  <c r="B567" i="7"/>
  <c r="C567" i="7"/>
  <c r="A568" i="7"/>
  <c r="B568" i="7"/>
  <c r="C568" i="7"/>
  <c r="A569" i="7"/>
  <c r="B569" i="7"/>
  <c r="C569" i="7"/>
  <c r="A570" i="7"/>
  <c r="B570" i="7"/>
  <c r="C570" i="7"/>
  <c r="A571" i="7"/>
  <c r="B571" i="7"/>
  <c r="C571" i="7"/>
  <c r="A572" i="7"/>
  <c r="B572" i="7"/>
  <c r="C572" i="7"/>
  <c r="A573" i="7"/>
  <c r="B573" i="7"/>
  <c r="C573" i="7"/>
  <c r="A574" i="7"/>
  <c r="B574" i="7"/>
  <c r="C574" i="7"/>
  <c r="A575" i="7"/>
  <c r="B575" i="7"/>
  <c r="C575" i="7"/>
  <c r="A576" i="7"/>
  <c r="B576" i="7"/>
  <c r="C576" i="7"/>
  <c r="A577" i="7"/>
  <c r="B577" i="7"/>
  <c r="C577" i="7"/>
  <c r="A578" i="7"/>
  <c r="B578" i="7"/>
  <c r="C578" i="7"/>
  <c r="A579" i="7"/>
  <c r="B579" i="7"/>
  <c r="C579" i="7"/>
  <c r="A580" i="7"/>
  <c r="B580" i="7"/>
  <c r="C580" i="7"/>
  <c r="A581" i="7"/>
  <c r="B581" i="7"/>
  <c r="C581" i="7"/>
  <c r="A582" i="7"/>
  <c r="B582" i="7"/>
  <c r="C582" i="7"/>
  <c r="A583" i="7"/>
  <c r="B583" i="7"/>
  <c r="C583" i="7"/>
  <c r="A584" i="7"/>
  <c r="B584" i="7"/>
  <c r="C584" i="7"/>
  <c r="A585" i="7"/>
  <c r="B585" i="7"/>
  <c r="C585" i="7"/>
  <c r="A586" i="7"/>
  <c r="B586" i="7"/>
  <c r="C586" i="7"/>
  <c r="A587" i="7"/>
  <c r="B587" i="7"/>
  <c r="C587" i="7"/>
  <c r="A588" i="7"/>
  <c r="B588" i="7"/>
  <c r="C588" i="7"/>
  <c r="A589" i="7"/>
  <c r="B589" i="7"/>
  <c r="C589" i="7"/>
  <c r="A590" i="7"/>
  <c r="B590" i="7"/>
  <c r="C590" i="7"/>
  <c r="A591" i="7"/>
  <c r="B591" i="7"/>
  <c r="C591" i="7"/>
  <c r="A592" i="7"/>
  <c r="B592" i="7"/>
  <c r="C592" i="7"/>
  <c r="A593" i="7"/>
  <c r="B593" i="7"/>
  <c r="C593" i="7"/>
  <c r="A594" i="7"/>
  <c r="B594" i="7"/>
  <c r="C594" i="7"/>
  <c r="A595" i="7"/>
  <c r="B595" i="7"/>
  <c r="C595" i="7"/>
  <c r="A596" i="7"/>
  <c r="B596" i="7"/>
  <c r="C596" i="7"/>
  <c r="A597" i="7"/>
  <c r="B597" i="7"/>
  <c r="C597" i="7"/>
  <c r="A598" i="7"/>
  <c r="B598" i="7"/>
  <c r="C598" i="7"/>
  <c r="A599" i="7"/>
  <c r="B599" i="7"/>
  <c r="C599" i="7"/>
  <c r="A600" i="7"/>
  <c r="B600" i="7"/>
  <c r="C600" i="7"/>
  <c r="A601" i="7"/>
  <c r="B601" i="7"/>
  <c r="C601" i="7"/>
  <c r="A602" i="7"/>
  <c r="B602" i="7"/>
  <c r="C602" i="7"/>
  <c r="A603" i="7"/>
  <c r="B603" i="7"/>
  <c r="C603" i="7"/>
  <c r="A604" i="7"/>
  <c r="B604" i="7"/>
  <c r="C604" i="7"/>
  <c r="A605" i="7"/>
  <c r="B605" i="7"/>
  <c r="C605" i="7"/>
  <c r="A606" i="7"/>
  <c r="B606" i="7"/>
  <c r="C606" i="7"/>
  <c r="A607" i="7"/>
  <c r="B607" i="7"/>
  <c r="C607" i="7"/>
  <c r="A608" i="7"/>
  <c r="B608" i="7"/>
  <c r="C608" i="7"/>
  <c r="A609" i="7"/>
  <c r="B609" i="7"/>
  <c r="C609" i="7"/>
  <c r="A610" i="7"/>
  <c r="B610" i="7"/>
  <c r="C610" i="7"/>
  <c r="A611" i="7"/>
  <c r="B611" i="7"/>
  <c r="C611" i="7"/>
  <c r="A612" i="7"/>
  <c r="B612" i="7"/>
  <c r="C612" i="7"/>
  <c r="A613" i="7"/>
  <c r="B613" i="7"/>
  <c r="C613" i="7"/>
  <c r="A614" i="7"/>
  <c r="B614" i="7"/>
  <c r="C614" i="7"/>
  <c r="A615" i="7"/>
  <c r="B615" i="7"/>
  <c r="C615" i="7"/>
  <c r="A616" i="7"/>
  <c r="B616" i="7"/>
  <c r="C616" i="7"/>
  <c r="A617" i="7"/>
  <c r="B617" i="7"/>
  <c r="C617" i="7"/>
  <c r="A618" i="7"/>
  <c r="B618" i="7"/>
  <c r="C618" i="7"/>
  <c r="A619" i="7"/>
  <c r="B619" i="7"/>
  <c r="C619" i="7"/>
  <c r="A620" i="7"/>
  <c r="B620" i="7"/>
  <c r="C620" i="7"/>
  <c r="A621" i="7"/>
  <c r="B621" i="7"/>
  <c r="C621" i="7"/>
  <c r="A622" i="7"/>
  <c r="B622" i="7"/>
  <c r="C622" i="7"/>
  <c r="A623" i="7"/>
  <c r="B623" i="7"/>
  <c r="C623" i="7"/>
  <c r="A624" i="7"/>
  <c r="B624" i="7"/>
  <c r="C624" i="7"/>
  <c r="A625" i="7"/>
  <c r="B625" i="7"/>
  <c r="C625" i="7"/>
  <c r="A626" i="7"/>
  <c r="B626" i="7"/>
  <c r="C626" i="7"/>
  <c r="A627" i="7"/>
  <c r="B627" i="7"/>
  <c r="C627" i="7"/>
  <c r="A628" i="7"/>
  <c r="B628" i="7"/>
  <c r="C628" i="7"/>
  <c r="A629" i="7"/>
  <c r="B629" i="7"/>
  <c r="C629" i="7"/>
  <c r="A630" i="7"/>
  <c r="B630" i="7"/>
  <c r="C630" i="7"/>
  <c r="A631" i="7"/>
  <c r="B631" i="7"/>
  <c r="C631" i="7"/>
  <c r="A632" i="7"/>
  <c r="B632" i="7"/>
  <c r="C632" i="7"/>
  <c r="A633" i="7"/>
  <c r="B633" i="7"/>
  <c r="C633" i="7"/>
  <c r="A634" i="7"/>
  <c r="B634" i="7"/>
  <c r="C634" i="7"/>
  <c r="A635" i="7"/>
  <c r="B635" i="7"/>
  <c r="C635" i="7"/>
  <c r="A636" i="7"/>
  <c r="B636" i="7"/>
  <c r="C636" i="7"/>
  <c r="A637" i="7"/>
  <c r="B637" i="7"/>
  <c r="C637" i="7"/>
  <c r="A638" i="7"/>
  <c r="B638" i="7"/>
  <c r="C638" i="7"/>
  <c r="A639" i="7"/>
  <c r="B639" i="7"/>
  <c r="C639" i="7"/>
  <c r="A640" i="7"/>
  <c r="B640" i="7"/>
  <c r="C640" i="7"/>
  <c r="A641" i="7"/>
  <c r="B641" i="7"/>
  <c r="C641" i="7"/>
  <c r="A642" i="7"/>
  <c r="B642" i="7"/>
  <c r="C642" i="7"/>
  <c r="A643" i="7"/>
  <c r="B643" i="7"/>
  <c r="C643" i="7"/>
  <c r="A644" i="7"/>
  <c r="B644" i="7"/>
  <c r="C644" i="7"/>
  <c r="A645" i="7"/>
  <c r="B645" i="7"/>
  <c r="C645" i="7"/>
  <c r="A646" i="7"/>
  <c r="B646" i="7"/>
  <c r="C646" i="7"/>
  <c r="A647" i="7"/>
  <c r="B647" i="7"/>
  <c r="C647" i="7"/>
  <c r="A648" i="7"/>
  <c r="B648" i="7"/>
  <c r="C648" i="7"/>
  <c r="A649" i="7"/>
  <c r="B649" i="7"/>
  <c r="C649" i="7"/>
  <c r="A650" i="7"/>
  <c r="B650" i="7"/>
  <c r="C650" i="7"/>
  <c r="A651" i="7"/>
  <c r="B651" i="7"/>
  <c r="C651" i="7"/>
  <c r="A652" i="7"/>
  <c r="B652" i="7"/>
  <c r="C652" i="7"/>
  <c r="A653" i="7"/>
  <c r="B653" i="7"/>
  <c r="C653" i="7"/>
  <c r="A654" i="7"/>
  <c r="B654" i="7"/>
  <c r="C654" i="7"/>
  <c r="A655" i="7"/>
  <c r="B655" i="7"/>
  <c r="C655" i="7"/>
  <c r="A656" i="7"/>
  <c r="B656" i="7"/>
  <c r="C656" i="7"/>
  <c r="A657" i="7"/>
  <c r="B657" i="7"/>
  <c r="C657" i="7"/>
  <c r="A658" i="7"/>
  <c r="B658" i="7"/>
  <c r="C658" i="7"/>
  <c r="A659" i="7"/>
  <c r="B659" i="7"/>
  <c r="C659" i="7"/>
  <c r="A660" i="7"/>
  <c r="B660" i="7"/>
  <c r="C660" i="7"/>
  <c r="A661" i="7"/>
  <c r="B661" i="7"/>
  <c r="C661" i="7"/>
  <c r="A662" i="7"/>
  <c r="B662" i="7"/>
  <c r="C662" i="7"/>
  <c r="A663" i="7"/>
  <c r="B663" i="7"/>
  <c r="C663" i="7"/>
  <c r="A664" i="7"/>
  <c r="B664" i="7"/>
  <c r="C664" i="7"/>
  <c r="A665" i="7"/>
  <c r="B665" i="7"/>
  <c r="C665" i="7"/>
  <c r="A666" i="7"/>
  <c r="B666" i="7"/>
  <c r="C666" i="7"/>
  <c r="A667" i="7"/>
  <c r="B667" i="7"/>
  <c r="C667" i="7"/>
  <c r="A668" i="7"/>
  <c r="B668" i="7"/>
  <c r="C668" i="7"/>
  <c r="A669" i="7"/>
  <c r="B669" i="7"/>
  <c r="C669" i="7"/>
  <c r="A670" i="7"/>
  <c r="B670" i="7"/>
  <c r="C670" i="7"/>
  <c r="A671" i="7"/>
  <c r="B671" i="7"/>
  <c r="C671" i="7"/>
  <c r="A672" i="7"/>
  <c r="B672" i="7"/>
  <c r="C672" i="7"/>
  <c r="A673" i="7"/>
  <c r="B673" i="7"/>
  <c r="C673" i="7"/>
  <c r="A674" i="7"/>
  <c r="B674" i="7"/>
  <c r="C674" i="7"/>
  <c r="A675" i="7"/>
  <c r="B675" i="7"/>
  <c r="C675" i="7"/>
  <c r="A676" i="7"/>
  <c r="B676" i="7"/>
  <c r="C676" i="7"/>
  <c r="A677" i="7"/>
  <c r="B677" i="7"/>
  <c r="C677" i="7"/>
  <c r="A678" i="7"/>
  <c r="B678" i="7"/>
  <c r="C678" i="7"/>
  <c r="A679" i="7"/>
  <c r="B679" i="7"/>
  <c r="C679" i="7"/>
  <c r="A680" i="7"/>
  <c r="B680" i="7"/>
  <c r="C680" i="7"/>
  <c r="A681" i="7"/>
  <c r="B681" i="7"/>
  <c r="C681" i="7"/>
  <c r="A682" i="7"/>
  <c r="B682" i="7"/>
  <c r="C682" i="7"/>
  <c r="A683" i="7"/>
  <c r="B683" i="7"/>
  <c r="C683" i="7"/>
  <c r="A684" i="7"/>
  <c r="B684" i="7"/>
  <c r="C684" i="7"/>
  <c r="A685" i="7"/>
  <c r="B685" i="7"/>
  <c r="C685" i="7"/>
  <c r="A686" i="7"/>
  <c r="B686" i="7"/>
  <c r="C686" i="7"/>
  <c r="A687" i="7"/>
  <c r="B687" i="7"/>
  <c r="C687" i="7"/>
  <c r="A688" i="7"/>
  <c r="B688" i="7"/>
  <c r="C688" i="7"/>
  <c r="A689" i="7"/>
  <c r="B689" i="7"/>
  <c r="C689" i="7"/>
  <c r="A690" i="7"/>
  <c r="B690" i="7"/>
  <c r="C690" i="7"/>
  <c r="A691" i="7"/>
  <c r="B691" i="7"/>
  <c r="C691" i="7"/>
  <c r="A692" i="7"/>
  <c r="B692" i="7"/>
  <c r="C692" i="7"/>
  <c r="A693" i="7"/>
  <c r="B693" i="7"/>
  <c r="C693" i="7"/>
  <c r="A694" i="7"/>
  <c r="B694" i="7"/>
  <c r="C694" i="7"/>
  <c r="A695" i="7"/>
  <c r="B695" i="7"/>
  <c r="C695" i="7"/>
  <c r="A696" i="7"/>
  <c r="B696" i="7"/>
  <c r="C696" i="7"/>
  <c r="A697" i="7"/>
  <c r="B697" i="7"/>
  <c r="C697" i="7"/>
  <c r="A698" i="7"/>
  <c r="B698" i="7"/>
  <c r="C698" i="7"/>
  <c r="A699" i="7"/>
  <c r="B699" i="7"/>
  <c r="C699" i="7"/>
  <c r="A700" i="7"/>
  <c r="B700" i="7"/>
  <c r="C700" i="7"/>
  <c r="A701" i="7"/>
  <c r="B701" i="7"/>
  <c r="C701" i="7"/>
  <c r="A702" i="7"/>
  <c r="B702" i="7"/>
  <c r="C702" i="7"/>
  <c r="A703" i="7"/>
  <c r="B703" i="7"/>
  <c r="C703" i="7"/>
  <c r="A704" i="7"/>
  <c r="B704" i="7"/>
  <c r="C704" i="7"/>
  <c r="A705" i="7"/>
  <c r="B705" i="7"/>
  <c r="C705" i="7"/>
  <c r="A706" i="7"/>
  <c r="B706" i="7"/>
  <c r="C706" i="7"/>
  <c r="A707" i="7"/>
  <c r="B707" i="7"/>
  <c r="C707" i="7"/>
  <c r="A708" i="7"/>
  <c r="B708" i="7"/>
  <c r="C708" i="7"/>
  <c r="A709" i="7"/>
  <c r="B709" i="7"/>
  <c r="C709" i="7"/>
  <c r="A710" i="7"/>
  <c r="B710" i="7"/>
  <c r="C710" i="7"/>
  <c r="A711" i="7"/>
  <c r="B711" i="7"/>
  <c r="C711" i="7"/>
  <c r="A712" i="7"/>
  <c r="B712" i="7"/>
  <c r="C712" i="7"/>
  <c r="A713" i="7"/>
  <c r="B713" i="7"/>
  <c r="C713" i="7"/>
  <c r="A714" i="7"/>
  <c r="B714" i="7"/>
  <c r="C714" i="7"/>
  <c r="A715" i="7"/>
  <c r="B715" i="7"/>
  <c r="C715" i="7"/>
  <c r="A716" i="7"/>
  <c r="B716" i="7"/>
  <c r="C716" i="7"/>
  <c r="A717" i="7"/>
  <c r="B717" i="7"/>
  <c r="C717" i="7"/>
  <c r="A718" i="7"/>
  <c r="B718" i="7"/>
  <c r="C718" i="7"/>
  <c r="A719" i="7"/>
  <c r="B719" i="7"/>
  <c r="C719" i="7"/>
  <c r="A720" i="7"/>
  <c r="B720" i="7"/>
  <c r="C720" i="7"/>
  <c r="A721" i="7"/>
  <c r="B721" i="7"/>
  <c r="C721" i="7"/>
  <c r="A722" i="7"/>
  <c r="B722" i="7"/>
  <c r="C722" i="7"/>
  <c r="A723" i="7"/>
  <c r="B723" i="7"/>
  <c r="C723" i="7"/>
  <c r="A724" i="7"/>
  <c r="B724" i="7"/>
  <c r="C724" i="7"/>
  <c r="A725" i="7"/>
  <c r="B725" i="7"/>
  <c r="C725" i="7"/>
  <c r="A726" i="7"/>
  <c r="B726" i="7"/>
  <c r="C726" i="7"/>
  <c r="A727" i="7"/>
  <c r="B727" i="7"/>
  <c r="C727" i="7"/>
  <c r="A728" i="7"/>
  <c r="B728" i="7"/>
  <c r="C728" i="7"/>
  <c r="A729" i="7"/>
  <c r="B729" i="7"/>
  <c r="C729" i="7"/>
  <c r="A730" i="7"/>
  <c r="B730" i="7"/>
  <c r="C730" i="7"/>
  <c r="A731" i="7"/>
  <c r="B731" i="7"/>
  <c r="C731" i="7"/>
  <c r="A732" i="7"/>
  <c r="B732" i="7"/>
  <c r="C732" i="7"/>
  <c r="A733" i="7"/>
  <c r="B733" i="7"/>
  <c r="C733" i="7"/>
  <c r="A734" i="7"/>
  <c r="B734" i="7"/>
  <c r="C734" i="7"/>
  <c r="A735" i="7"/>
  <c r="B735" i="7"/>
  <c r="C735" i="7"/>
  <c r="A736" i="7"/>
  <c r="B736" i="7"/>
  <c r="C736" i="7"/>
  <c r="A737" i="7"/>
  <c r="B737" i="7"/>
  <c r="C737" i="7"/>
  <c r="A738" i="7"/>
  <c r="B738" i="7"/>
  <c r="C738" i="7"/>
  <c r="A739" i="7"/>
  <c r="B739" i="7"/>
  <c r="C739" i="7"/>
  <c r="A740" i="7"/>
  <c r="B740" i="7"/>
  <c r="C740" i="7"/>
  <c r="A741" i="7"/>
  <c r="B741" i="7"/>
  <c r="C741" i="7"/>
  <c r="A742" i="7"/>
  <c r="B742" i="7"/>
  <c r="C742" i="7"/>
  <c r="A743" i="7"/>
  <c r="B743" i="7"/>
  <c r="C743" i="7"/>
  <c r="A744" i="7"/>
  <c r="B744" i="7"/>
  <c r="C744" i="7"/>
  <c r="A745" i="7"/>
  <c r="B745" i="7"/>
  <c r="C745" i="7"/>
  <c r="A746" i="7"/>
  <c r="B746" i="7"/>
  <c r="C746" i="7"/>
  <c r="A747" i="7"/>
  <c r="B747" i="7"/>
  <c r="C747" i="7"/>
  <c r="A748" i="7"/>
  <c r="B748" i="7"/>
  <c r="C748" i="7"/>
  <c r="A749" i="7"/>
  <c r="B749" i="7"/>
  <c r="C749" i="7"/>
  <c r="A750" i="7"/>
  <c r="B750" i="7"/>
  <c r="C750" i="7"/>
  <c r="A751" i="7"/>
  <c r="B751" i="7"/>
  <c r="C751" i="7"/>
  <c r="A752" i="7"/>
  <c r="B752" i="7"/>
  <c r="C752" i="7"/>
  <c r="A753" i="7"/>
  <c r="B753" i="7"/>
  <c r="C753" i="7"/>
  <c r="A754" i="7"/>
  <c r="B754" i="7"/>
  <c r="C754" i="7"/>
  <c r="A755" i="7"/>
  <c r="B755" i="7"/>
  <c r="C755" i="7"/>
  <c r="A756" i="7"/>
  <c r="B756" i="7"/>
  <c r="C756" i="7"/>
  <c r="A757" i="7"/>
  <c r="B757" i="7"/>
  <c r="C757" i="7"/>
  <c r="A758" i="7"/>
  <c r="B758" i="7"/>
  <c r="C758" i="7"/>
  <c r="A759" i="7"/>
  <c r="B759" i="7"/>
  <c r="C759" i="7"/>
  <c r="A760" i="7"/>
  <c r="B760" i="7"/>
  <c r="C760" i="7"/>
  <c r="A761" i="7"/>
  <c r="B761" i="7"/>
  <c r="C761" i="7"/>
  <c r="A762" i="7"/>
  <c r="B762" i="7"/>
  <c r="C762" i="7"/>
  <c r="A763" i="7"/>
  <c r="B763" i="7"/>
  <c r="C763" i="7"/>
  <c r="A764" i="7"/>
  <c r="B764" i="7"/>
  <c r="C764" i="7"/>
  <c r="A765" i="7"/>
  <c r="B765" i="7"/>
  <c r="C765" i="7"/>
  <c r="A766" i="7"/>
  <c r="B766" i="7"/>
  <c r="C766" i="7"/>
  <c r="A767" i="7"/>
  <c r="B767" i="7"/>
  <c r="C767" i="7"/>
  <c r="A768" i="7"/>
  <c r="B768" i="7"/>
  <c r="C768" i="7"/>
  <c r="A769" i="7"/>
  <c r="B769" i="7"/>
  <c r="C769" i="7"/>
  <c r="A770" i="7"/>
  <c r="B770" i="7"/>
  <c r="C770" i="7"/>
  <c r="A771" i="7"/>
  <c r="B771" i="7"/>
  <c r="C771" i="7"/>
  <c r="A772" i="7"/>
  <c r="B772" i="7"/>
  <c r="C772" i="7"/>
  <c r="A773" i="7"/>
  <c r="B773" i="7"/>
  <c r="C773" i="7"/>
  <c r="A774" i="7"/>
  <c r="B774" i="7"/>
  <c r="C774" i="7"/>
  <c r="A775" i="7"/>
  <c r="B775" i="7"/>
  <c r="C775" i="7"/>
  <c r="A776" i="7"/>
  <c r="B776" i="7"/>
  <c r="C776" i="7"/>
  <c r="A777" i="7"/>
  <c r="B777" i="7"/>
  <c r="C777" i="7"/>
  <c r="A778" i="7"/>
  <c r="B778" i="7"/>
  <c r="C778" i="7"/>
  <c r="A779" i="7"/>
  <c r="B779" i="7"/>
  <c r="C779" i="7"/>
  <c r="A780" i="7"/>
  <c r="B780" i="7"/>
  <c r="C780" i="7"/>
  <c r="A781" i="7"/>
  <c r="B781" i="7"/>
  <c r="C781" i="7"/>
  <c r="A782" i="7"/>
  <c r="B782" i="7"/>
  <c r="C782" i="7"/>
  <c r="A783" i="7"/>
  <c r="B783" i="7"/>
  <c r="C783" i="7"/>
  <c r="A784" i="7"/>
  <c r="B784" i="7"/>
  <c r="C784" i="7"/>
  <c r="A785" i="7"/>
  <c r="B785" i="7"/>
  <c r="C785" i="7"/>
  <c r="A786" i="7"/>
  <c r="B786" i="7"/>
  <c r="C786" i="7"/>
  <c r="A787" i="7"/>
  <c r="B787" i="7"/>
  <c r="C787" i="7"/>
  <c r="A788" i="7"/>
  <c r="B788" i="7"/>
  <c r="C788" i="7"/>
  <c r="A789" i="7"/>
  <c r="B789" i="7"/>
  <c r="C789" i="7"/>
  <c r="A790" i="7"/>
  <c r="B790" i="7"/>
  <c r="C790" i="7"/>
  <c r="A791" i="7"/>
  <c r="B791" i="7"/>
  <c r="C791" i="7"/>
  <c r="B412" i="7"/>
  <c r="C412" i="7"/>
  <c r="A412" i="7"/>
  <c r="A391" i="7"/>
  <c r="B391" i="7"/>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1108" i="10"/>
  <c r="A1109" i="10"/>
  <c r="A1110" i="10"/>
  <c r="A1111" i="10"/>
  <c r="A1112" i="10"/>
  <c r="A1113" i="10"/>
  <c r="A1114" i="10"/>
  <c r="A1115" i="10"/>
  <c r="A1116" i="10"/>
  <c r="A1117" i="10"/>
  <c r="A1118" i="10"/>
  <c r="A1119" i="10"/>
  <c r="A1120" i="10"/>
  <c r="A1121" i="10"/>
  <c r="A1122" i="10"/>
  <c r="A1123" i="10"/>
  <c r="A1124" i="10"/>
  <c r="A1125" i="10"/>
  <c r="A1126" i="10"/>
  <c r="A1127" i="10"/>
  <c r="A1128" i="10"/>
  <c r="A1129" i="10"/>
  <c r="A1130" i="10"/>
  <c r="A1131" i="10"/>
  <c r="A1132" i="10"/>
  <c r="A1133" i="10"/>
  <c r="A1134" i="10"/>
  <c r="A1135" i="10"/>
  <c r="A1136" i="10"/>
  <c r="A1137" i="10"/>
  <c r="A1138" i="10"/>
  <c r="A1139" i="10"/>
  <c r="A1140" i="10"/>
  <c r="A1141" i="10"/>
  <c r="A1142" i="10"/>
  <c r="A1143" i="10"/>
  <c r="A1144" i="10"/>
  <c r="A1145" i="10"/>
  <c r="A1146" i="10"/>
  <c r="A1147" i="10"/>
  <c r="A1148" i="10"/>
  <c r="A1149" i="10"/>
  <c r="A1150" i="10"/>
  <c r="A1151" i="10"/>
  <c r="A1152" i="10"/>
  <c r="A1153" i="10"/>
  <c r="A1154" i="10"/>
  <c r="A1155" i="10"/>
  <c r="A1156" i="10"/>
  <c r="A1157" i="10"/>
  <c r="A1158" i="10"/>
  <c r="A1159" i="10"/>
  <c r="A1160" i="10"/>
  <c r="A1161" i="10"/>
  <c r="A1162" i="10"/>
  <c r="A1163" i="10"/>
  <c r="A1164" i="10"/>
  <c r="A1165" i="10"/>
  <c r="A1166" i="10"/>
  <c r="A1167" i="10"/>
  <c r="A1168" i="10"/>
  <c r="A1169" i="10"/>
  <c r="A1170" i="10"/>
  <c r="A1171" i="10"/>
  <c r="A1172" i="10"/>
  <c r="A1173" i="10"/>
  <c r="A1174" i="10"/>
  <c r="A1175" i="10"/>
  <c r="A1176" i="10"/>
  <c r="A1177" i="10"/>
  <c r="A1178" i="10"/>
  <c r="A1179" i="10"/>
  <c r="A1180" i="10"/>
  <c r="A1181" i="10"/>
  <c r="A1182" i="10"/>
  <c r="A1183" i="10"/>
  <c r="A1184" i="10"/>
  <c r="A1185" i="10"/>
  <c r="A1186" i="10"/>
  <c r="A1187" i="10"/>
  <c r="A1188" i="10"/>
  <c r="A1189" i="10"/>
  <c r="A1190" i="10"/>
  <c r="A1191" i="10"/>
  <c r="A8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412" i="10"/>
  <c r="AZ397" i="10"/>
  <c r="AA143" i="26"/>
  <c r="I6" i="11"/>
  <c r="AJ390" i="26"/>
  <c r="AW390" i="26" s="1"/>
  <c r="AA390" i="26"/>
  <c r="E12" i="6"/>
  <c r="E256" i="6"/>
  <c r="E177" i="6"/>
  <c r="E153" i="6"/>
  <c r="E125" i="6"/>
  <c r="E100" i="6"/>
  <c r="E76" i="6"/>
  <c r="E66" i="6"/>
  <c r="E46" i="6"/>
  <c r="D269" i="10"/>
  <c r="D253" i="10"/>
  <c r="D218" i="10"/>
  <c r="D189" i="10"/>
  <c r="D158" i="10"/>
  <c r="D100" i="10"/>
  <c r="D76" i="10"/>
  <c r="D51" i="10"/>
  <c r="D33" i="10"/>
  <c r="E264" i="6"/>
  <c r="E212" i="6"/>
  <c r="E149" i="6"/>
  <c r="E137" i="6"/>
  <c r="E106" i="6"/>
  <c r="E97" i="6"/>
  <c r="E51" i="6"/>
  <c r="E20" i="6"/>
  <c r="D264" i="10"/>
  <c r="D212" i="10"/>
  <c r="D153" i="10"/>
  <c r="D143" i="10"/>
  <c r="D125" i="10"/>
  <c r="D20" i="10"/>
  <c r="E273" i="6"/>
  <c r="E236" i="6"/>
  <c r="E158" i="6"/>
  <c r="D236" i="10"/>
  <c r="D207" i="10"/>
  <c r="D169" i="10"/>
  <c r="D149" i="10"/>
  <c r="D137" i="10"/>
  <c r="D119" i="10"/>
  <c r="D66" i="10"/>
  <c r="D46" i="10"/>
  <c r="D273" i="10"/>
  <c r="D256" i="10"/>
  <c r="D196" i="10"/>
  <c r="D132" i="10"/>
  <c r="D106" i="10"/>
  <c r="D84" i="10"/>
  <c r="D56" i="10"/>
  <c r="D40" i="10"/>
  <c r="AH391" i="26"/>
  <c r="AU397" i="10"/>
  <c r="AL476" i="26"/>
  <c r="D458" i="6"/>
  <c r="D425" i="6"/>
  <c r="AE383" i="26"/>
  <c r="AE388" i="26"/>
  <c r="AE381" i="26"/>
  <c r="T393" i="7"/>
  <c r="AE385" i="26"/>
  <c r="AE382" i="26"/>
  <c r="AV386" i="26"/>
  <c r="AV388" i="26"/>
  <c r="AV384" i="26"/>
  <c r="AE389" i="26"/>
  <c r="AE386" i="26"/>
  <c r="AV382" i="26"/>
  <c r="AE384" i="26"/>
  <c r="AE336" i="26"/>
  <c r="AV299" i="26"/>
  <c r="AV256" i="26"/>
  <c r="AV196" i="26"/>
  <c r="AV235" i="26"/>
  <c r="AV159" i="26"/>
  <c r="AV137" i="26"/>
  <c r="AV76" i="26"/>
  <c r="AV67" i="26"/>
  <c r="AV56" i="26"/>
  <c r="AV272" i="26"/>
  <c r="AV242" i="26"/>
  <c r="AV169" i="26"/>
  <c r="AV149" i="26"/>
  <c r="AV345" i="26"/>
  <c r="AV325" i="26"/>
  <c r="AV307" i="26"/>
  <c r="AV257" i="26"/>
  <c r="AV218" i="26"/>
  <c r="AV206" i="26"/>
  <c r="AV189" i="26"/>
  <c r="AV177" i="26"/>
  <c r="AV153" i="26"/>
  <c r="AV145" i="26"/>
  <c r="AV141" i="26"/>
  <c r="AV132" i="26"/>
  <c r="AV106" i="26"/>
  <c r="AV100" i="26"/>
  <c r="AV83" i="26"/>
  <c r="AV40" i="26"/>
  <c r="AV374" i="26"/>
  <c r="AV359" i="26"/>
  <c r="AV332" i="26"/>
  <c r="AV339" i="26"/>
  <c r="AV324" i="26"/>
  <c r="AV314" i="26"/>
  <c r="AV278" i="26"/>
  <c r="AV236" i="26"/>
  <c r="AV188" i="26"/>
  <c r="AV173" i="26"/>
  <c r="AV156" i="26"/>
  <c r="AV105" i="26"/>
  <c r="AV98" i="26"/>
  <c r="AV47" i="26"/>
  <c r="AE172" i="26"/>
  <c r="AE265" i="26"/>
  <c r="AE166" i="26"/>
  <c r="AE21" i="26"/>
  <c r="AE136" i="26"/>
  <c r="AE321" i="26"/>
  <c r="AE290" i="26"/>
  <c r="AE36" i="26"/>
  <c r="AE192" i="26"/>
  <c r="AE174" i="26"/>
  <c r="AE121" i="26"/>
  <c r="AE95" i="26"/>
  <c r="AE249" i="26"/>
  <c r="AQ249" i="26" s="1"/>
  <c r="AR249" i="26" s="1"/>
  <c r="AE157" i="26"/>
  <c r="AE113" i="26"/>
  <c r="AE266" i="26"/>
  <c r="AE114" i="26"/>
  <c r="AE38" i="26"/>
  <c r="AE329" i="26"/>
  <c r="AE72" i="26"/>
  <c r="AE52" i="26"/>
  <c r="AE342" i="26"/>
  <c r="AE292" i="26"/>
  <c r="AE215" i="26"/>
  <c r="AQ215" i="26" s="1"/>
  <c r="AR215" i="26" s="1"/>
  <c r="AE111" i="26"/>
  <c r="AE191" i="26"/>
  <c r="AE43" i="26"/>
  <c r="AE82" i="26"/>
  <c r="AE222" i="26"/>
  <c r="AE306" i="26"/>
  <c r="AE283" i="26"/>
  <c r="AE358" i="26"/>
  <c r="AE354" i="26"/>
  <c r="AE350" i="26"/>
  <c r="AE135" i="26"/>
  <c r="AE49" i="26"/>
  <c r="AE356" i="26"/>
  <c r="AE261" i="26"/>
  <c r="AE187" i="26"/>
  <c r="AE93" i="26"/>
  <c r="AE86" i="26"/>
  <c r="AE70" i="26"/>
  <c r="AE31" i="26"/>
  <c r="AE214" i="26"/>
  <c r="AQ214" i="26" s="1"/>
  <c r="AR214" i="26" s="1"/>
  <c r="AT214" i="26" s="1"/>
  <c r="AE164" i="26"/>
  <c r="AE134" i="26"/>
  <c r="AE88" i="26"/>
  <c r="AE338" i="26"/>
  <c r="AE225" i="26"/>
  <c r="AQ225" i="26" s="1"/>
  <c r="AR225" i="26" s="1"/>
  <c r="AE185" i="26"/>
  <c r="AE120" i="26"/>
  <c r="AE270" i="26"/>
  <c r="AE254" i="26"/>
  <c r="AQ254" i="26" s="1"/>
  <c r="AR254" i="26" s="1"/>
  <c r="AE317" i="26"/>
  <c r="AE281" i="26"/>
  <c r="AE276" i="26"/>
  <c r="AE255" i="26"/>
  <c r="AE190" i="26"/>
  <c r="AE184" i="26"/>
  <c r="AE180" i="26"/>
  <c r="AE146" i="26"/>
  <c r="AE227" i="26"/>
  <c r="AQ227" i="26" s="1"/>
  <c r="AR227" i="26" s="1"/>
  <c r="AE81" i="26"/>
  <c r="AE178" i="26"/>
  <c r="AE160" i="26"/>
  <c r="AE128" i="26"/>
  <c r="AE110" i="26"/>
  <c r="AE77" i="26"/>
  <c r="AE68" i="26"/>
  <c r="AE62" i="26"/>
  <c r="AE60" i="26"/>
  <c r="AE42" i="26"/>
  <c r="AE30" i="26"/>
  <c r="AE22" i="26"/>
  <c r="AE17" i="26"/>
  <c r="AE297" i="26"/>
  <c r="AE295" i="26"/>
  <c r="AE250" i="26"/>
  <c r="AE228" i="26"/>
  <c r="AT228" i="26"/>
  <c r="AS228" i="26" s="1"/>
  <c r="AE231" i="26"/>
  <c r="AQ231" i="26" s="1"/>
  <c r="AR231" i="26" s="1"/>
  <c r="AE319" i="26"/>
  <c r="I13" i="30"/>
  <c r="D439" i="9"/>
  <c r="D462" i="9"/>
  <c r="AE48" i="26"/>
  <c r="AE351" i="26"/>
  <c r="AE200" i="26"/>
  <c r="AE127" i="26"/>
  <c r="AE142" i="26"/>
  <c r="AE300" i="26"/>
  <c r="AE303" i="26"/>
  <c r="AE229" i="26"/>
  <c r="AQ229" i="26" s="1"/>
  <c r="AR229" i="26" s="1"/>
  <c r="AT229" i="26" s="1"/>
  <c r="AS229" i="26" s="1"/>
  <c r="AE27" i="26"/>
  <c r="AE252" i="26"/>
  <c r="AE63" i="26"/>
  <c r="AE355" i="26"/>
  <c r="AE328" i="26"/>
  <c r="AE241" i="26"/>
  <c r="AE37" i="26"/>
  <c r="AE294" i="26"/>
  <c r="AE201" i="26"/>
  <c r="AE90" i="26"/>
  <c r="AE211" i="26"/>
  <c r="AE139" i="26"/>
  <c r="AE74" i="26"/>
  <c r="AE64" i="26"/>
  <c r="AE26" i="26"/>
  <c r="AE262" i="26"/>
  <c r="AE284" i="26"/>
  <c r="AE112" i="26"/>
  <c r="AE363" i="26"/>
  <c r="AE18" i="26"/>
  <c r="AE210" i="26"/>
  <c r="AT210" i="26"/>
  <c r="AS210" i="26" s="1"/>
  <c r="AE54" i="26"/>
  <c r="AE16" i="26"/>
  <c r="AE34" i="26"/>
  <c r="AE198" i="26"/>
  <c r="AE23" i="26"/>
  <c r="AE103" i="26"/>
  <c r="AE92" i="26"/>
  <c r="AE197" i="26"/>
  <c r="AE118" i="26"/>
  <c r="AV295" i="26"/>
  <c r="AE39" i="26"/>
  <c r="AT342" i="26"/>
  <c r="AS342" i="26" s="1"/>
  <c r="AV342" i="26"/>
  <c r="AT281" i="26"/>
  <c r="AS281" i="26" s="1"/>
  <c r="AV35" i="26"/>
  <c r="AE347" i="26"/>
  <c r="AT282" i="26"/>
  <c r="AS282" i="26" s="1"/>
  <c r="AV282" i="26"/>
  <c r="AT61" i="26"/>
  <c r="AS61" i="26" s="1"/>
  <c r="AE167" i="26"/>
  <c r="AE352" i="26"/>
  <c r="AT170" i="26"/>
  <c r="AS170" i="26" s="1"/>
  <c r="AE147" i="26"/>
  <c r="AT331" i="26"/>
  <c r="AE89" i="26"/>
  <c r="AT261" i="26"/>
  <c r="AS261" i="26" s="1"/>
  <c r="AV261" i="26"/>
  <c r="AT135" i="26"/>
  <c r="AE259" i="26"/>
  <c r="AT321" i="26"/>
  <c r="AS321" i="26" s="1"/>
  <c r="AV321" i="26"/>
  <c r="AE163" i="26"/>
  <c r="AE148" i="26"/>
  <c r="AE345" i="26"/>
  <c r="AE370" i="26"/>
  <c r="AT89" i="26"/>
  <c r="AS89" i="26" s="1"/>
  <c r="AT372" i="26"/>
  <c r="AS372" i="26" s="1"/>
  <c r="AV372" i="26"/>
  <c r="AE140" i="26"/>
  <c r="AV28" i="26"/>
  <c r="AT64" i="26"/>
  <c r="AS64" i="26" s="1"/>
  <c r="AV64" i="26"/>
  <c r="AE247" i="26"/>
  <c r="AQ247" i="26" s="1"/>
  <c r="AR247" i="26" s="1"/>
  <c r="AT247" i="26" s="1"/>
  <c r="AS247" i="26" s="1"/>
  <c r="AE182" i="26"/>
  <c r="AT344" i="26"/>
  <c r="AS344" i="26" s="1"/>
  <c r="AV344" i="26"/>
  <c r="AE96" i="26"/>
  <c r="AT205" i="26"/>
  <c r="AT48" i="26"/>
  <c r="AV48" i="26"/>
  <c r="AE298" i="26"/>
  <c r="AT370" i="26"/>
  <c r="AV370" i="26"/>
  <c r="AE364" i="26"/>
  <c r="AV211" i="26"/>
  <c r="AE275" i="26"/>
  <c r="AT112" i="26"/>
  <c r="AV112" i="26"/>
  <c r="AE327" i="26"/>
  <c r="AE335" i="26"/>
  <c r="AE162" i="26"/>
  <c r="AE232" i="26"/>
  <c r="AV330" i="26"/>
  <c r="AT362" i="26"/>
  <c r="AS362" i="26" s="1"/>
  <c r="AV182" i="26"/>
  <c r="AT255" i="26"/>
  <c r="AV255" i="26"/>
  <c r="AE32" i="26"/>
  <c r="AE204" i="26"/>
  <c r="AE223" i="26"/>
  <c r="AQ223" i="26" s="1"/>
  <c r="AR223" i="26" s="1"/>
  <c r="AV232" i="26"/>
  <c r="AT356" i="26"/>
  <c r="AV356" i="26"/>
  <c r="AE286" i="26"/>
  <c r="AE116" i="26"/>
  <c r="AE122" i="26"/>
  <c r="AT179" i="26"/>
  <c r="AE293" i="26"/>
  <c r="AT21" i="26"/>
  <c r="AS21" i="26" s="1"/>
  <c r="AE340" i="26"/>
  <c r="AT300" i="26"/>
  <c r="AV300" i="26"/>
  <c r="AV123" i="26"/>
  <c r="AE24" i="26"/>
  <c r="AE291" i="26"/>
  <c r="AT347" i="26"/>
  <c r="AV347" i="26"/>
  <c r="AE131" i="26"/>
  <c r="AE179" i="26"/>
  <c r="AE188" i="26"/>
  <c r="AE307" i="26"/>
  <c r="AE168" i="26"/>
  <c r="AE73" i="26"/>
  <c r="AE372" i="26"/>
  <c r="AE61" i="26"/>
  <c r="AV351" i="26"/>
  <c r="AE274" i="26"/>
  <c r="AE280" i="26"/>
  <c r="AE216" i="26"/>
  <c r="AQ216" i="26" s="1"/>
  <c r="AR216" i="26" s="1"/>
  <c r="AT216" i="26" s="1"/>
  <c r="AS216" i="26" s="1"/>
  <c r="AT82" i="26"/>
  <c r="AE28" i="26"/>
  <c r="AE304" i="26"/>
  <c r="AQ304" i="26" s="1"/>
  <c r="AR304" i="26" s="1"/>
  <c r="AE243" i="26"/>
  <c r="AQ243" i="26" s="1"/>
  <c r="AR243" i="26" s="1"/>
  <c r="AT243" i="26" s="1"/>
  <c r="AE246" i="26"/>
  <c r="AT246" i="26"/>
  <c r="AE344" i="26"/>
  <c r="AE25" i="26"/>
  <c r="AE59" i="26"/>
  <c r="AE334" i="26"/>
  <c r="AE170" i="26"/>
  <c r="AT313" i="26"/>
  <c r="AV313" i="26"/>
  <c r="AT340" i="26"/>
  <c r="AV340" i="26"/>
  <c r="AT336" i="26"/>
  <c r="AE314" i="26"/>
  <c r="AE199" i="26"/>
  <c r="AE124" i="26"/>
  <c r="AE193" i="26"/>
  <c r="AE282" i="26"/>
  <c r="AE287" i="26"/>
  <c r="AV250" i="26"/>
  <c r="AE87" i="26"/>
  <c r="AE99" i="26"/>
  <c r="AE150" i="26"/>
  <c r="AE226" i="26"/>
  <c r="AT226" i="26"/>
  <c r="AE105" i="26"/>
  <c r="AT292" i="26"/>
  <c r="AE361" i="26"/>
  <c r="AE205" i="26"/>
  <c r="AE348" i="26"/>
  <c r="AE362" i="26"/>
  <c r="AT114" i="26"/>
  <c r="AV114" i="26"/>
  <c r="AT348" i="26"/>
  <c r="AE320" i="26"/>
  <c r="AE301" i="26"/>
  <c r="AT52" i="26"/>
  <c r="AE330" i="26"/>
  <c r="AT63" i="26"/>
  <c r="AS63" i="26" s="1"/>
  <c r="AE313" i="26"/>
  <c r="AE123" i="26"/>
  <c r="AE79" i="26"/>
  <c r="AE377" i="26"/>
  <c r="AE337" i="26"/>
  <c r="AE239" i="26"/>
  <c r="AE271" i="26"/>
  <c r="AE371" i="26"/>
  <c r="AE165" i="26"/>
  <c r="AE341" i="26"/>
  <c r="AE240" i="26"/>
  <c r="AE326" i="26"/>
  <c r="AE230" i="26"/>
  <c r="AE161" i="26"/>
  <c r="AE237" i="26"/>
  <c r="AE194" i="26"/>
  <c r="AE310" i="26"/>
  <c r="AE244" i="26"/>
  <c r="AT244" i="26"/>
  <c r="AS244" i="26" s="1"/>
  <c r="AE202" i="26"/>
  <c r="AE248" i="26"/>
  <c r="AE58" i="26"/>
  <c r="AE343" i="26"/>
  <c r="AE176" i="26"/>
  <c r="AE208" i="26"/>
  <c r="AE154" i="26"/>
  <c r="AE101" i="26"/>
  <c r="AE175" i="26"/>
  <c r="AE50" i="26"/>
  <c r="AE35" i="26"/>
  <c r="AE69" i="26"/>
  <c r="AE155" i="26"/>
  <c r="AE129" i="26"/>
  <c r="AE224" i="26"/>
  <c r="AE331" i="26"/>
  <c r="AE102" i="26"/>
  <c r="AE186" i="26"/>
  <c r="AE234" i="26"/>
  <c r="AT234" i="26"/>
  <c r="AS234" i="26" s="1"/>
  <c r="AE285" i="26"/>
  <c r="AE181" i="26"/>
  <c r="AE245" i="26"/>
  <c r="AQ245" i="26" s="1"/>
  <c r="AR245" i="26" s="1"/>
  <c r="AT245" i="26" s="1"/>
  <c r="AS245" i="26" s="1"/>
  <c r="AE203" i="26"/>
  <c r="AE117" i="26"/>
  <c r="AE130" i="26"/>
  <c r="AV379" i="26"/>
  <c r="AE267" i="26"/>
  <c r="AE53" i="26"/>
  <c r="AE296" i="26"/>
  <c r="AE305" i="26"/>
  <c r="AE107" i="26"/>
  <c r="AE213" i="26"/>
  <c r="AQ213" i="26" s="1"/>
  <c r="AR213" i="26" s="1"/>
  <c r="AT213" i="26" s="1"/>
  <c r="AE133" i="26"/>
  <c r="AE104" i="26"/>
  <c r="AV375" i="26"/>
  <c r="AV377" i="26"/>
  <c r="AE238" i="26"/>
  <c r="AQ238" i="26" s="1"/>
  <c r="AR238" i="26" s="1"/>
  <c r="AE57" i="26"/>
  <c r="AE209" i="26"/>
  <c r="AT329" i="26"/>
  <c r="AT91" i="26"/>
  <c r="AT139" i="26"/>
  <c r="AS139" i="26" s="1"/>
  <c r="AV139" i="26"/>
  <c r="AV204" i="26"/>
  <c r="AT335" i="26"/>
  <c r="AV335" i="26"/>
  <c r="AT310" i="26"/>
  <c r="AV310" i="26"/>
  <c r="AV151" i="26"/>
  <c r="AV305" i="26"/>
  <c r="AT53" i="26"/>
  <c r="AV53" i="26"/>
  <c r="AT30" i="26"/>
  <c r="AS30" i="26" s="1"/>
  <c r="AV30" i="26"/>
  <c r="AV286" i="26"/>
  <c r="AV293" i="26"/>
  <c r="AT343" i="26"/>
  <c r="AE263" i="26"/>
  <c r="AE109" i="26"/>
  <c r="AT164" i="26"/>
  <c r="AV164" i="26"/>
  <c r="AE78" i="26"/>
  <c r="AT26" i="26"/>
  <c r="AV26" i="26"/>
  <c r="AE288" i="26"/>
  <c r="AE217" i="26"/>
  <c r="AE173" i="26"/>
  <c r="AT320" i="26"/>
  <c r="AT130" i="26"/>
  <c r="AT192" i="26"/>
  <c r="AT160" i="26"/>
  <c r="AV160" i="26"/>
  <c r="AT94" i="26"/>
  <c r="AV94" i="26"/>
  <c r="AT68" i="26"/>
  <c r="AV68" i="26"/>
  <c r="AT37" i="26"/>
  <c r="AV37" i="26"/>
  <c r="AT297" i="26"/>
  <c r="AV297" i="26"/>
  <c r="AT115" i="26"/>
  <c r="AV244" i="26"/>
  <c r="AT294" i="26"/>
  <c r="AT15" i="26"/>
  <c r="AV15" i="26"/>
  <c r="AT31" i="26"/>
  <c r="AE156" i="26"/>
  <c r="AE309" i="26"/>
  <c r="AT193" i="26"/>
  <c r="AV193" i="26"/>
  <c r="AT73" i="26"/>
  <c r="AS73" i="26" s="1"/>
  <c r="AT23" i="26"/>
  <c r="AV103" i="26"/>
  <c r="AT267" i="26"/>
  <c r="AE19" i="26"/>
  <c r="AV162" i="26"/>
  <c r="AT274" i="26"/>
  <c r="AV274" i="26"/>
  <c r="AV77" i="26"/>
  <c r="AT17" i="26"/>
  <c r="AV17" i="26"/>
  <c r="AT133" i="26"/>
  <c r="AT349" i="26"/>
  <c r="AV349" i="26"/>
  <c r="AT81" i="26"/>
  <c r="AS81" i="26" s="1"/>
  <c r="AV81" i="26"/>
  <c r="AT108" i="26"/>
  <c r="AS108" i="26" s="1"/>
  <c r="AV108" i="26"/>
  <c r="AT358" i="26"/>
  <c r="AS358" i="26" s="1"/>
  <c r="AV358" i="26"/>
  <c r="AE206" i="26"/>
  <c r="AV222" i="26"/>
  <c r="AV191" i="26"/>
  <c r="AT191" i="26"/>
  <c r="AS191" i="26" s="1"/>
  <c r="AT41" i="26"/>
  <c r="AS41" i="26" s="1"/>
  <c r="AT78" i="26"/>
  <c r="AT43" i="26"/>
  <c r="AS43" i="26" s="1"/>
  <c r="AT290" i="26"/>
  <c r="AT190" i="26"/>
  <c r="AV239" i="26"/>
  <c r="AT326" i="26"/>
  <c r="AS326" i="26" s="1"/>
  <c r="AV326" i="26"/>
  <c r="AT24" i="26"/>
  <c r="AS24" i="26" s="1"/>
  <c r="AV24" i="26"/>
  <c r="AT368" i="26"/>
  <c r="AV368" i="26"/>
  <c r="AT279" i="26"/>
  <c r="AS279" i="26" s="1"/>
  <c r="AT266" i="26"/>
  <c r="AV266" i="26"/>
  <c r="AT319" i="26"/>
  <c r="AS319" i="26" s="1"/>
  <c r="AV319" i="26"/>
  <c r="AT88" i="26"/>
  <c r="AV88" i="26"/>
  <c r="AT25" i="26"/>
  <c r="AS25" i="26" s="1"/>
  <c r="AT327" i="26"/>
  <c r="AS327" i="26" s="1"/>
  <c r="AT101" i="26"/>
  <c r="AV101" i="26"/>
  <c r="AT113" i="26"/>
  <c r="AS113" i="26" s="1"/>
  <c r="AE83" i="26"/>
  <c r="AE378" i="26"/>
  <c r="AQ378" i="26" s="1"/>
  <c r="AR378" i="26" s="1"/>
  <c r="AE171" i="26"/>
  <c r="AT199" i="26"/>
  <c r="AS199" i="26" s="1"/>
  <c r="AT117" i="26"/>
  <c r="AS117" i="26" s="1"/>
  <c r="AT44" i="26"/>
  <c r="AS44" i="26" s="1"/>
  <c r="AV44" i="26"/>
  <c r="AT287" i="26"/>
  <c r="AT60" i="26"/>
  <c r="AS60" i="26" s="1"/>
  <c r="AV60" i="26"/>
  <c r="AT134" i="26"/>
  <c r="AS134" i="26" s="1"/>
  <c r="AV134" i="26"/>
  <c r="AE141" i="26"/>
  <c r="AE115" i="26"/>
  <c r="AV246" i="26"/>
  <c r="AT202" i="26"/>
  <c r="AV202" i="26"/>
  <c r="AT171" i="26"/>
  <c r="AV171" i="26"/>
  <c r="AV175" i="26"/>
  <c r="AV127" i="26"/>
  <c r="AT265" i="26"/>
  <c r="AT150" i="26"/>
  <c r="AV110" i="26"/>
  <c r="AT99" i="26"/>
  <c r="AT16" i="26"/>
  <c r="AT201" i="26"/>
  <c r="AV230" i="26"/>
  <c r="AT240" i="26"/>
  <c r="AS240" i="26" s="1"/>
  <c r="AT270" i="26"/>
  <c r="AS270" i="26" s="1"/>
  <c r="AT59" i="26"/>
  <c r="AS59" i="26" s="1"/>
  <c r="AT291" i="26"/>
  <c r="AS291" i="26" s="1"/>
  <c r="AV291" i="26"/>
  <c r="AT276" i="26"/>
  <c r="AT58" i="26"/>
  <c r="AV58" i="26"/>
  <c r="AT350" i="26"/>
  <c r="AT129" i="26"/>
  <c r="AV129" i="26"/>
  <c r="AE195" i="26"/>
  <c r="AV271" i="26"/>
  <c r="AT271" i="26"/>
  <c r="AS271" i="26" s="1"/>
  <c r="AE379" i="26"/>
  <c r="AV237" i="26"/>
  <c r="AV226" i="26"/>
  <c r="AT303" i="26"/>
  <c r="AS303" i="26" s="1"/>
  <c r="AV303" i="26"/>
  <c r="AV234" i="26"/>
  <c r="AT74" i="26"/>
  <c r="AS74" i="26" s="1"/>
  <c r="AV74" i="26"/>
  <c r="AT57" i="26"/>
  <c r="AT140" i="26"/>
  <c r="AS140" i="26" s="1"/>
  <c r="AT354" i="26"/>
  <c r="AV354" i="26"/>
  <c r="AV184" i="26"/>
  <c r="AT285" i="26"/>
  <c r="AT50" i="26"/>
  <c r="AV50" i="26"/>
  <c r="AT146" i="26"/>
  <c r="AV146" i="26"/>
  <c r="AT107" i="26"/>
  <c r="AE55" i="26"/>
  <c r="AT154" i="26"/>
  <c r="AV154" i="26"/>
  <c r="AT92" i="26"/>
  <c r="AS92" i="26" s="1"/>
  <c r="AV92" i="26"/>
  <c r="AT72" i="26"/>
  <c r="AS72" i="26" s="1"/>
  <c r="AV72" i="26"/>
  <c r="AT209" i="26"/>
  <c r="AS209" i="26" s="1"/>
  <c r="AV209" i="26"/>
  <c r="AT198" i="26"/>
  <c r="AV198" i="26"/>
  <c r="AT157" i="26"/>
  <c r="AS157" i="26" s="1"/>
  <c r="AT203" i="26"/>
  <c r="AE373" i="26"/>
  <c r="AT363" i="26"/>
  <c r="AV363" i="26"/>
  <c r="AV116" i="26"/>
  <c r="AT186" i="26"/>
  <c r="AS186" i="26" s="1"/>
  <c r="AV186" i="26"/>
  <c r="AV79" i="26"/>
  <c r="AT70" i="26"/>
  <c r="AV70" i="26"/>
  <c r="AT185" i="26"/>
  <c r="AT334" i="26"/>
  <c r="AT102" i="26"/>
  <c r="AS102" i="26" s="1"/>
  <c r="AV259" i="26"/>
  <c r="AT49" i="26"/>
  <c r="AS49" i="26" s="1"/>
  <c r="AT309" i="26"/>
  <c r="AS309" i="26" s="1"/>
  <c r="AE80" i="26"/>
  <c r="AE71" i="26"/>
  <c r="AE65" i="26"/>
  <c r="AE151" i="26"/>
  <c r="AT180" i="26"/>
  <c r="AS180" i="26" s="1"/>
  <c r="AV180" i="26"/>
  <c r="AT178" i="26"/>
  <c r="AV178" i="26"/>
  <c r="AT22" i="26"/>
  <c r="AS22" i="26" s="1"/>
  <c r="AV22" i="26"/>
  <c r="AT369" i="26"/>
  <c r="AT62" i="26"/>
  <c r="AV62" i="26"/>
  <c r="AT42" i="26"/>
  <c r="AS42" i="26" s="1"/>
  <c r="AV42" i="26"/>
  <c r="AT200" i="26"/>
  <c r="AV200" i="26"/>
  <c r="AT155" i="26"/>
  <c r="AT128" i="26"/>
  <c r="AT280" i="26"/>
  <c r="AV280" i="26"/>
  <c r="AV337" i="26"/>
  <c r="AT361" i="26"/>
  <c r="AV361" i="26"/>
  <c r="AE359" i="26"/>
  <c r="AE316" i="26"/>
  <c r="AV228" i="26"/>
  <c r="AE311" i="26"/>
  <c r="AV90" i="26"/>
  <c r="AT86" i="26"/>
  <c r="AS86" i="26" s="1"/>
  <c r="AV86" i="26"/>
  <c r="AE376" i="26"/>
  <c r="AQ376" i="26" s="1"/>
  <c r="AR376" i="26" s="1"/>
  <c r="AE366" i="26"/>
  <c r="AE152" i="26"/>
  <c r="AT328" i="26"/>
  <c r="AV328" i="26"/>
  <c r="AV284" i="26"/>
  <c r="AT122" i="26"/>
  <c r="AV316" i="26"/>
  <c r="AT95" i="26"/>
  <c r="AV224" i="26"/>
  <c r="AT166" i="26"/>
  <c r="AV166" i="26"/>
  <c r="AT80" i="26"/>
  <c r="AV121" i="26"/>
  <c r="AT29" i="26"/>
  <c r="AS29" i="26" s="1"/>
  <c r="AT176" i="26"/>
  <c r="AE268" i="26"/>
  <c r="AE75" i="26"/>
  <c r="AE279" i="26"/>
  <c r="AT54" i="26"/>
  <c r="AT355" i="26"/>
  <c r="AE365" i="26"/>
  <c r="AE333" i="26"/>
  <c r="AE322" i="26"/>
  <c r="AE94" i="26"/>
  <c r="AE15" i="26"/>
  <c r="AE375" i="26"/>
  <c r="AE235" i="26"/>
  <c r="AT306" i="26"/>
  <c r="AE45" i="26"/>
  <c r="AV248" i="26"/>
  <c r="AE369" i="26"/>
  <c r="AE368" i="26"/>
  <c r="AT161" i="26"/>
  <c r="AE349" i="26"/>
  <c r="AE41" i="26"/>
  <c r="AT333" i="26"/>
  <c r="AS333" i="26" s="1"/>
  <c r="AV333" i="26"/>
  <c r="AT183" i="26"/>
  <c r="AS183" i="26" s="1"/>
  <c r="AE108" i="26"/>
  <c r="AE44" i="26"/>
  <c r="AT194" i="26"/>
  <c r="AE91" i="26"/>
  <c r="AE29" i="26"/>
  <c r="AE221" i="26"/>
  <c r="AQ221" i="26" s="1"/>
  <c r="AR221" i="26" s="1"/>
  <c r="AT221" i="26" s="1"/>
  <c r="AS221" i="26" s="1"/>
  <c r="AE233" i="26"/>
  <c r="AQ233" i="26" s="1"/>
  <c r="AR233" i="26" s="1"/>
  <c r="AT233" i="26" s="1"/>
  <c r="AE357" i="26"/>
  <c r="AE272" i="26"/>
  <c r="AE183" i="26"/>
  <c r="AT365" i="26"/>
  <c r="AS365" i="26" s="1"/>
  <c r="AV365" i="26"/>
  <c r="AL424" i="26"/>
  <c r="AM424" i="26" s="1"/>
  <c r="B393" i="27" l="1"/>
  <c r="D392" i="27" s="1"/>
  <c r="AA137" i="27"/>
  <c r="AA100" i="27"/>
  <c r="AA84" i="27"/>
  <c r="AA76" i="27"/>
  <c r="AA56" i="27"/>
  <c r="AA40" i="27"/>
  <c r="AA20" i="27"/>
  <c r="AA144" i="27"/>
  <c r="AA153" i="27"/>
  <c r="AA169" i="27"/>
  <c r="AA242" i="27"/>
  <c r="AA253" i="27"/>
  <c r="AA257" i="27"/>
  <c r="AA264" i="27"/>
  <c r="AA273" i="27"/>
  <c r="AA278" i="27"/>
  <c r="AA299" i="27"/>
  <c r="AA119" i="27"/>
  <c r="AA67" i="27"/>
  <c r="AA51" i="27"/>
  <c r="AA47" i="27"/>
  <c r="AA149" i="27"/>
  <c r="AA158" i="27"/>
  <c r="AA126" i="27"/>
  <c r="AA106" i="27"/>
  <c r="AA98" i="27"/>
  <c r="AA66" i="27"/>
  <c r="AA46" i="27"/>
  <c r="AA143" i="27"/>
  <c r="AA145" i="27"/>
  <c r="AA159" i="27"/>
  <c r="AA177" i="27"/>
  <c r="AA207" i="27"/>
  <c r="AA218" i="27"/>
  <c r="AA256" i="27"/>
  <c r="AA277" i="27"/>
  <c r="AA302" i="27"/>
  <c r="AA312" i="27"/>
  <c r="AA236" i="27"/>
  <c r="AA318" i="27"/>
  <c r="AA323" i="27"/>
  <c r="AA325" i="27"/>
  <c r="AA97" i="27"/>
  <c r="AA33" i="27"/>
  <c r="AA189" i="27"/>
  <c r="AA219" i="27"/>
  <c r="AA289" i="27"/>
  <c r="AA346" i="27"/>
  <c r="AA360" i="27"/>
  <c r="AA374" i="27"/>
  <c r="AA380" i="27"/>
  <c r="AA390" i="27"/>
  <c r="AA332" i="27"/>
  <c r="AA125" i="27"/>
  <c r="AA132" i="27"/>
  <c r="AA212" i="27"/>
  <c r="AA269" i="27"/>
  <c r="AA308" i="27"/>
  <c r="AA315" i="27"/>
  <c r="AA324" i="27"/>
  <c r="AA196" i="27"/>
  <c r="AA339" i="27"/>
  <c r="AA353" i="27"/>
  <c r="AA367" i="27"/>
  <c r="AA391" i="27"/>
  <c r="AK19" i="26"/>
  <c r="AU19" i="26" s="1"/>
  <c r="AB379" i="9"/>
  <c r="AF98" i="7"/>
  <c r="V144" i="7"/>
  <c r="G1410" i="10"/>
  <c r="Y225" i="26"/>
  <c r="G1377" i="10"/>
  <c r="G1541" i="10"/>
  <c r="AG210" i="6"/>
  <c r="AG331" i="6"/>
  <c r="AG391" i="6"/>
  <c r="AG272" i="6"/>
  <c r="AG385" i="6"/>
  <c r="AG263" i="6"/>
  <c r="AG338" i="6"/>
  <c r="AG268" i="6"/>
  <c r="AG379" i="6"/>
  <c r="AF281" i="26"/>
  <c r="AH281" i="26" s="1"/>
  <c r="AG281" i="26" s="1"/>
  <c r="Y108" i="26"/>
  <c r="X374" i="9"/>
  <c r="Y374" i="9" s="1"/>
  <c r="AB374" i="9" s="1"/>
  <c r="X317" i="9"/>
  <c r="Y317" i="9" s="1"/>
  <c r="AB317" i="9" s="1"/>
  <c r="X253" i="9"/>
  <c r="Y253" i="9" s="1"/>
  <c r="AB253" i="9" s="1"/>
  <c r="X218" i="9"/>
  <c r="Y218" i="9" s="1"/>
  <c r="AB218" i="9" s="1"/>
  <c r="X217" i="9"/>
  <c r="Y217" i="9" s="1"/>
  <c r="AB217" i="9" s="1"/>
  <c r="X173" i="9"/>
  <c r="Y173" i="9" s="1"/>
  <c r="AB173" i="9" s="1"/>
  <c r="X153" i="9"/>
  <c r="Y153" i="9" s="1"/>
  <c r="AB153" i="9" s="1"/>
  <c r="X152" i="9"/>
  <c r="Y152" i="9" s="1"/>
  <c r="AB152" i="9" s="1"/>
  <c r="X143" i="9"/>
  <c r="Y143" i="9" s="1"/>
  <c r="AB143" i="9" s="1"/>
  <c r="X97" i="9"/>
  <c r="Y97" i="9" s="1"/>
  <c r="AB97" i="9" s="1"/>
  <c r="X380" i="9"/>
  <c r="Y380" i="9" s="1"/>
  <c r="AB380" i="9" s="1"/>
  <c r="X324" i="9"/>
  <c r="Y324" i="9" s="1"/>
  <c r="AB324" i="9" s="1"/>
  <c r="X314" i="9"/>
  <c r="Y314" i="9" s="1"/>
  <c r="AB314" i="9" s="1"/>
  <c r="X302" i="9"/>
  <c r="Y302" i="9" s="1"/>
  <c r="AB302" i="9" s="1"/>
  <c r="X124" i="9"/>
  <c r="Y124" i="9" s="1"/>
  <c r="AB124" i="9" s="1"/>
  <c r="X118" i="9"/>
  <c r="Y118" i="9" s="1"/>
  <c r="AB118" i="9" s="1"/>
  <c r="X360" i="9"/>
  <c r="Y360" i="9" s="1"/>
  <c r="AB360" i="9" s="1"/>
  <c r="X352" i="9"/>
  <c r="Y352" i="9" s="1"/>
  <c r="AB352" i="9" s="1"/>
  <c r="X345" i="9"/>
  <c r="Y345" i="9" s="1"/>
  <c r="AB345" i="9" s="1"/>
  <c r="X332" i="9"/>
  <c r="Y332" i="9" s="1"/>
  <c r="AB332" i="9" s="1"/>
  <c r="X318" i="9"/>
  <c r="Y318" i="9" s="1"/>
  <c r="AB318" i="9" s="1"/>
  <c r="X312" i="9"/>
  <c r="Y312" i="9" s="1"/>
  <c r="AB312" i="9" s="1"/>
  <c r="X289" i="9"/>
  <c r="Y289" i="9" s="1"/>
  <c r="AB289" i="9" s="1"/>
  <c r="X278" i="9"/>
  <c r="Y278" i="9" s="1"/>
  <c r="AB278" i="9" s="1"/>
  <c r="X206" i="9"/>
  <c r="Y206" i="9" s="1"/>
  <c r="AB206" i="9" s="1"/>
  <c r="X141" i="9"/>
  <c r="Y141" i="9" s="1"/>
  <c r="AB141" i="9" s="1"/>
  <c r="X137" i="9"/>
  <c r="Y137" i="9" s="1"/>
  <c r="AB137" i="9" s="1"/>
  <c r="X136" i="9"/>
  <c r="Y136" i="9" s="1"/>
  <c r="AB136" i="9" s="1"/>
  <c r="X126" i="9"/>
  <c r="Y126" i="9" s="1"/>
  <c r="AB126" i="9" s="1"/>
  <c r="X98" i="9"/>
  <c r="Y98" i="9" s="1"/>
  <c r="AB98" i="9" s="1"/>
  <c r="X339" i="9"/>
  <c r="Y339" i="9" s="1"/>
  <c r="AB339" i="9" s="1"/>
  <c r="X325" i="9"/>
  <c r="Y325" i="9" s="1"/>
  <c r="AB325" i="9" s="1"/>
  <c r="X323" i="9"/>
  <c r="Y323" i="9" s="1"/>
  <c r="AB323" i="9" s="1"/>
  <c r="X315" i="9"/>
  <c r="Y315" i="9" s="1"/>
  <c r="AB315" i="9" s="1"/>
  <c r="X308" i="9"/>
  <c r="Y308" i="9" s="1"/>
  <c r="AB308" i="9" s="1"/>
  <c r="X256" i="9"/>
  <c r="Y256" i="9" s="1"/>
  <c r="AB256" i="9" s="1"/>
  <c r="X105" i="9"/>
  <c r="Y105" i="9" s="1"/>
  <c r="AB105" i="9" s="1"/>
  <c r="X83" i="9"/>
  <c r="Y83" i="9" s="1"/>
  <c r="AB83" i="9" s="1"/>
  <c r="X67" i="9"/>
  <c r="Y67" i="9" s="1"/>
  <c r="AB67" i="9" s="1"/>
  <c r="X66" i="9"/>
  <c r="Y66" i="9" s="1"/>
  <c r="AB66" i="9" s="1"/>
  <c r="X51" i="9"/>
  <c r="Y51" i="9" s="1"/>
  <c r="AB51" i="9" s="1"/>
  <c r="X33" i="9"/>
  <c r="Y33" i="9" s="1"/>
  <c r="AB33" i="9" s="1"/>
  <c r="X367" i="9"/>
  <c r="Y367" i="9" s="1"/>
  <c r="AB367" i="9" s="1"/>
  <c r="X366" i="9"/>
  <c r="Y366" i="9" s="1"/>
  <c r="AB366" i="9" s="1"/>
  <c r="X359" i="9"/>
  <c r="Y359" i="9" s="1"/>
  <c r="AB359" i="9" s="1"/>
  <c r="X311" i="9"/>
  <c r="Y311" i="9" s="1"/>
  <c r="AB311" i="9" s="1"/>
  <c r="X299" i="9"/>
  <c r="Y299" i="9" s="1"/>
  <c r="AB299" i="9" s="1"/>
  <c r="X298" i="9"/>
  <c r="Y298" i="9" s="1"/>
  <c r="AB298" i="9" s="1"/>
  <c r="X288" i="9"/>
  <c r="Y288" i="9" s="1"/>
  <c r="AB288" i="9" s="1"/>
  <c r="X252" i="9"/>
  <c r="Y252" i="9" s="1"/>
  <c r="AB252" i="9" s="1"/>
  <c r="X196" i="9"/>
  <c r="Y196" i="9" s="1"/>
  <c r="AB196" i="9" s="1"/>
  <c r="X195" i="9"/>
  <c r="Y195" i="9" s="1"/>
  <c r="AB195" i="9" s="1"/>
  <c r="X149" i="9"/>
  <c r="Y149" i="9" s="1"/>
  <c r="AB149" i="9" s="1"/>
  <c r="X148" i="9"/>
  <c r="Y148" i="9" s="1"/>
  <c r="AB148" i="9" s="1"/>
  <c r="X132" i="9"/>
  <c r="Y132" i="9" s="1"/>
  <c r="AB132" i="9" s="1"/>
  <c r="X131" i="9"/>
  <c r="Y131" i="9" s="1"/>
  <c r="AB131" i="9" s="1"/>
  <c r="X125" i="9"/>
  <c r="Y125" i="9" s="1"/>
  <c r="X119" i="9"/>
  <c r="Y119" i="9" s="1"/>
  <c r="AB119" i="9" s="1"/>
  <c r="X100" i="9"/>
  <c r="Y100" i="9" s="1"/>
  <c r="AB100" i="9" s="1"/>
  <c r="X96" i="9"/>
  <c r="Y96" i="9" s="1"/>
  <c r="AB96" i="9" s="1"/>
  <c r="X84" i="9"/>
  <c r="Y84" i="9" s="1"/>
  <c r="AB84" i="9" s="1"/>
  <c r="X65" i="9"/>
  <c r="Y65" i="9" s="1"/>
  <c r="AB65" i="9" s="1"/>
  <c r="X32" i="9"/>
  <c r="Y32" i="9" s="1"/>
  <c r="AB32" i="9" s="1"/>
  <c r="X13" i="9"/>
  <c r="Y13" i="9" s="1"/>
  <c r="AB13" i="9" s="1"/>
  <c r="X47" i="9"/>
  <c r="Y47" i="9" s="1"/>
  <c r="AB47" i="9" s="1"/>
  <c r="X46" i="9"/>
  <c r="Y46" i="9" s="1"/>
  <c r="AB46" i="9" s="1"/>
  <c r="X20" i="9"/>
  <c r="Y20" i="9" s="1"/>
  <c r="AB20" i="9" s="1"/>
  <c r="X12" i="9"/>
  <c r="Y12" i="9" s="1"/>
  <c r="AB12" i="9" s="1"/>
  <c r="X353" i="9"/>
  <c r="Y353" i="9" s="1"/>
  <c r="AB353" i="9" s="1"/>
  <c r="X346" i="9"/>
  <c r="Y346" i="9" s="1"/>
  <c r="AB346" i="9" s="1"/>
  <c r="X322" i="9"/>
  <c r="Y322" i="9" s="1"/>
  <c r="AB322" i="9" s="1"/>
  <c r="X307" i="9"/>
  <c r="Y307" i="9" s="1"/>
  <c r="AB307" i="9" s="1"/>
  <c r="X301" i="9"/>
  <c r="Y301" i="9" s="1"/>
  <c r="AB301" i="9" s="1"/>
  <c r="X242" i="9"/>
  <c r="Y242" i="9" s="1"/>
  <c r="AB242" i="9" s="1"/>
  <c r="X241" i="9"/>
  <c r="Y241" i="9" s="1"/>
  <c r="AB241" i="9" s="1"/>
  <c r="X236" i="9"/>
  <c r="Y236" i="9" s="1"/>
  <c r="AB236" i="9" s="1"/>
  <c r="X235" i="9"/>
  <c r="Y235" i="9" s="1"/>
  <c r="AB235" i="9" s="1"/>
  <c r="X219" i="9"/>
  <c r="Y219" i="9" s="1"/>
  <c r="AB219" i="9" s="1"/>
  <c r="X212" i="9"/>
  <c r="Y212" i="9" s="1"/>
  <c r="AB212" i="9" s="1"/>
  <c r="X207" i="9"/>
  <c r="Y207" i="9" s="1"/>
  <c r="AB207" i="9" s="1"/>
  <c r="X189" i="9"/>
  <c r="Y189" i="9" s="1"/>
  <c r="AB189" i="9" s="1"/>
  <c r="X188" i="9"/>
  <c r="Y188" i="9" s="1"/>
  <c r="AB188" i="9" s="1"/>
  <c r="X169" i="9"/>
  <c r="Y169" i="9" s="1"/>
  <c r="AB169" i="9" s="1"/>
  <c r="X168" i="9"/>
  <c r="Y168" i="9" s="1"/>
  <c r="AB168" i="9" s="1"/>
  <c r="X159" i="9"/>
  <c r="Y159" i="9" s="1"/>
  <c r="AB159" i="9" s="1"/>
  <c r="X158" i="9"/>
  <c r="Y158" i="9" s="1"/>
  <c r="AB158" i="9" s="1"/>
  <c r="X156" i="9"/>
  <c r="Y156" i="9" s="1"/>
  <c r="AB156" i="9" s="1"/>
  <c r="X145" i="9"/>
  <c r="Y145" i="9" s="1"/>
  <c r="AB145" i="9" s="1"/>
  <c r="X144" i="9"/>
  <c r="Y144" i="9" s="1"/>
  <c r="AB144" i="9" s="1"/>
  <c r="X106" i="9"/>
  <c r="Y106" i="9" s="1"/>
  <c r="AB106" i="9" s="1"/>
  <c r="X76" i="9"/>
  <c r="Y76" i="9" s="1"/>
  <c r="AB76" i="9" s="1"/>
  <c r="X75" i="9"/>
  <c r="Y75" i="9" s="1"/>
  <c r="AB75" i="9" s="1"/>
  <c r="X56" i="9"/>
  <c r="Y56" i="9" s="1"/>
  <c r="AB56" i="9" s="1"/>
  <c r="X55" i="9"/>
  <c r="Y55" i="9" s="1"/>
  <c r="AB55" i="9" s="1"/>
  <c r="X45" i="9"/>
  <c r="Y45" i="9" s="1"/>
  <c r="AB45" i="9" s="1"/>
  <c r="X40" i="9"/>
  <c r="Y40" i="9" s="1"/>
  <c r="AB40" i="9" s="1"/>
  <c r="X39" i="9"/>
  <c r="Y39" i="9" s="1"/>
  <c r="AB39" i="9" s="1"/>
  <c r="X19" i="9"/>
  <c r="Y19" i="9" s="1"/>
  <c r="AB19" i="9" s="1"/>
  <c r="X375" i="9"/>
  <c r="Y375" i="9" s="1"/>
  <c r="AB375" i="9" s="1"/>
  <c r="X371" i="9"/>
  <c r="Y371" i="9" s="1"/>
  <c r="AB371" i="9" s="1"/>
  <c r="X365" i="9"/>
  <c r="Y365" i="9" s="1"/>
  <c r="AB365" i="9" s="1"/>
  <c r="X361" i="9"/>
  <c r="Y361" i="9" s="1"/>
  <c r="X355" i="9"/>
  <c r="Y355" i="9" s="1"/>
  <c r="AB355" i="9" s="1"/>
  <c r="X348" i="9"/>
  <c r="Y348" i="9" s="1"/>
  <c r="AB348" i="9" s="1"/>
  <c r="X342" i="9"/>
  <c r="Y342" i="9" s="1"/>
  <c r="AB342" i="9" s="1"/>
  <c r="X337" i="9"/>
  <c r="Y337" i="9" s="1"/>
  <c r="AB337" i="9" s="1"/>
  <c r="X333" i="9"/>
  <c r="Y333" i="9" s="1"/>
  <c r="AB333" i="9" s="1"/>
  <c r="X328" i="9"/>
  <c r="Y328" i="9" s="1"/>
  <c r="AB328" i="9" s="1"/>
  <c r="X313" i="9"/>
  <c r="Y313" i="9" s="1"/>
  <c r="AB313" i="9" s="1"/>
  <c r="X305" i="9"/>
  <c r="Y305" i="9" s="1"/>
  <c r="AB305" i="9" s="1"/>
  <c r="X294" i="9"/>
  <c r="Y294" i="9" s="1"/>
  <c r="AB294" i="9" s="1"/>
  <c r="X290" i="9"/>
  <c r="Y290" i="9" s="1"/>
  <c r="AB290" i="9" s="1"/>
  <c r="X287" i="9"/>
  <c r="Y287" i="9" s="1"/>
  <c r="AB287" i="9" s="1"/>
  <c r="X283" i="9"/>
  <c r="Y283" i="9" s="1"/>
  <c r="AB283" i="9" s="1"/>
  <c r="X279" i="9"/>
  <c r="Y279" i="9" s="1"/>
  <c r="AB279" i="9" s="1"/>
  <c r="X267" i="9"/>
  <c r="Y267" i="9" s="1"/>
  <c r="AB267" i="9" s="1"/>
  <c r="X259" i="9"/>
  <c r="Y259" i="9" s="1"/>
  <c r="AB259" i="9" s="1"/>
  <c r="X248" i="9"/>
  <c r="Y248" i="9" s="1"/>
  <c r="AB248" i="9" s="1"/>
  <c r="X244" i="9"/>
  <c r="Y244" i="9" s="1"/>
  <c r="AB244" i="9" s="1"/>
  <c r="X238" i="9"/>
  <c r="Y238" i="9" s="1"/>
  <c r="AB238" i="9" s="1"/>
  <c r="X229" i="9"/>
  <c r="Y229" i="9" s="1"/>
  <c r="AB229" i="9" s="1"/>
  <c r="X225" i="9"/>
  <c r="Y225" i="9" s="1"/>
  <c r="AB225" i="9" s="1"/>
  <c r="X221" i="9"/>
  <c r="Y221" i="9" s="1"/>
  <c r="X214" i="9"/>
  <c r="Y214" i="9" s="1"/>
  <c r="AB214" i="9" s="1"/>
  <c r="X209" i="9"/>
  <c r="Y209" i="9" s="1"/>
  <c r="AB209" i="9" s="1"/>
  <c r="X203" i="9"/>
  <c r="Y203" i="9" s="1"/>
  <c r="AB203" i="9" s="1"/>
  <c r="X200" i="9"/>
  <c r="Y200" i="9" s="1"/>
  <c r="AB200" i="9" s="1"/>
  <c r="X191" i="9"/>
  <c r="Y191" i="9" s="1"/>
  <c r="AB191" i="9" s="1"/>
  <c r="X186" i="9"/>
  <c r="Y186" i="9" s="1"/>
  <c r="AB186" i="9" s="1"/>
  <c r="X182" i="9"/>
  <c r="Y182" i="9" s="1"/>
  <c r="AB182" i="9" s="1"/>
  <c r="X178" i="9"/>
  <c r="Y178" i="9" s="1"/>
  <c r="AB178" i="9" s="1"/>
  <c r="X90" i="9"/>
  <c r="Y90" i="9" s="1"/>
  <c r="AB90" i="9" s="1"/>
  <c r="X15" i="9"/>
  <c r="Y15" i="9" s="1"/>
  <c r="AB15" i="9" s="1"/>
  <c r="X170" i="9"/>
  <c r="Y170" i="9" s="1"/>
  <c r="AB170" i="9" s="1"/>
  <c r="X160" i="9"/>
  <c r="Y160" i="9" s="1"/>
  <c r="AB160" i="9" s="1"/>
  <c r="X157" i="9"/>
  <c r="Y157" i="9" s="1"/>
  <c r="AB157" i="9" s="1"/>
  <c r="X146" i="9"/>
  <c r="Y146" i="9" s="1"/>
  <c r="AB146" i="9" s="1"/>
  <c r="X135" i="9"/>
  <c r="Y135" i="9" s="1"/>
  <c r="AB135" i="9" s="1"/>
  <c r="X130" i="9"/>
  <c r="Y130" i="9" s="1"/>
  <c r="AB130" i="9" s="1"/>
  <c r="X122" i="9"/>
  <c r="Y122" i="9" s="1"/>
  <c r="AB122" i="9" s="1"/>
  <c r="X115" i="9"/>
  <c r="Y115" i="9" s="1"/>
  <c r="AB115" i="9" s="1"/>
  <c r="X111" i="9"/>
  <c r="Y111" i="9" s="1"/>
  <c r="AB111" i="9" s="1"/>
  <c r="X107" i="9"/>
  <c r="Y107" i="9" s="1"/>
  <c r="AB107" i="9" s="1"/>
  <c r="X103" i="9"/>
  <c r="Y103" i="9" s="1"/>
  <c r="AB103" i="9" s="1"/>
  <c r="X87" i="9"/>
  <c r="Y87" i="9" s="1"/>
  <c r="AB87" i="9" s="1"/>
  <c r="X77" i="9"/>
  <c r="Y77" i="9" s="1"/>
  <c r="AB77" i="9" s="1"/>
  <c r="X71" i="9"/>
  <c r="Y71" i="9" s="1"/>
  <c r="AB71" i="9" s="1"/>
  <c r="X64" i="9"/>
  <c r="Y64" i="9" s="1"/>
  <c r="AB64" i="9" s="1"/>
  <c r="X60" i="9"/>
  <c r="Y60" i="9" s="1"/>
  <c r="AB60" i="9" s="1"/>
  <c r="X57" i="9"/>
  <c r="Y57" i="9" s="1"/>
  <c r="AB57" i="9" s="1"/>
  <c r="X49" i="9"/>
  <c r="Y49" i="9" s="1"/>
  <c r="AB49" i="9" s="1"/>
  <c r="X41" i="9"/>
  <c r="Y41" i="9" s="1"/>
  <c r="AB41" i="9" s="1"/>
  <c r="X36" i="9"/>
  <c r="Y36" i="9" s="1"/>
  <c r="AB36" i="9" s="1"/>
  <c r="X30" i="9"/>
  <c r="Y30" i="9" s="1"/>
  <c r="AB30" i="9" s="1"/>
  <c r="X26" i="9"/>
  <c r="Y26" i="9" s="1"/>
  <c r="AB26" i="9" s="1"/>
  <c r="X22" i="9"/>
  <c r="Y22" i="9" s="1"/>
  <c r="AB22" i="9" s="1"/>
  <c r="X16" i="9"/>
  <c r="Y16" i="9" s="1"/>
  <c r="AB16" i="9" s="1"/>
  <c r="AK177" i="26"/>
  <c r="AU177" i="26" s="1"/>
  <c r="H177" i="9" s="1"/>
  <c r="AK273" i="26"/>
  <c r="AU273" i="26" s="1"/>
  <c r="X384" i="9"/>
  <c r="Y384" i="9" s="1"/>
  <c r="AB384" i="9" s="1"/>
  <c r="X387" i="9"/>
  <c r="Y387" i="9" s="1"/>
  <c r="AB387" i="9" s="1"/>
  <c r="X251" i="9"/>
  <c r="Y251" i="9" s="1"/>
  <c r="AB251" i="9" s="1"/>
  <c r="X346" i="6"/>
  <c r="Y346" i="6" s="1"/>
  <c r="AB346" i="6" s="1"/>
  <c r="X318" i="6"/>
  <c r="Y318" i="6" s="1"/>
  <c r="AB318" i="6" s="1"/>
  <c r="X301" i="6"/>
  <c r="Y301" i="6" s="1"/>
  <c r="AB301" i="6" s="1"/>
  <c r="X277" i="6"/>
  <c r="Y277" i="6" s="1"/>
  <c r="AB277" i="6" s="1"/>
  <c r="X195" i="6"/>
  <c r="Y195" i="6" s="1"/>
  <c r="AB195" i="6" s="1"/>
  <c r="X383" i="6"/>
  <c r="Y383" i="6" s="1"/>
  <c r="AB383" i="6" s="1"/>
  <c r="X370" i="6"/>
  <c r="Y370" i="6" s="1"/>
  <c r="AB370" i="6" s="1"/>
  <c r="X351" i="6"/>
  <c r="Y351" i="6" s="1"/>
  <c r="AB351" i="6" s="1"/>
  <c r="X347" i="6"/>
  <c r="Y347" i="6" s="1"/>
  <c r="AB347" i="6" s="1"/>
  <c r="X334" i="6"/>
  <c r="Y334" i="6" s="1"/>
  <c r="AB334" i="6" s="1"/>
  <c r="X296" i="6"/>
  <c r="Y296" i="6" s="1"/>
  <c r="AB296" i="6" s="1"/>
  <c r="X284" i="6"/>
  <c r="Y284" i="6" s="1"/>
  <c r="AB284" i="6" s="1"/>
  <c r="X279" i="6"/>
  <c r="Y279" i="6" s="1"/>
  <c r="AB279" i="6" s="1"/>
  <c r="X262" i="6"/>
  <c r="Y262" i="6" s="1"/>
  <c r="AB262" i="6" s="1"/>
  <c r="X249" i="6"/>
  <c r="Y249" i="6" s="1"/>
  <c r="AB249" i="6" s="1"/>
  <c r="X247" i="6"/>
  <c r="Y247" i="6" s="1"/>
  <c r="AB247" i="6" s="1"/>
  <c r="X244" i="6"/>
  <c r="Y244" i="6" s="1"/>
  <c r="AB244" i="6" s="1"/>
  <c r="X231" i="6"/>
  <c r="Y231" i="6" s="1"/>
  <c r="AB231" i="6" s="1"/>
  <c r="X225" i="6"/>
  <c r="Y225" i="6" s="1"/>
  <c r="AB225" i="6" s="1"/>
  <c r="X223" i="6"/>
  <c r="Y223" i="6" s="1"/>
  <c r="AB223" i="6" s="1"/>
  <c r="X215" i="6"/>
  <c r="Y215" i="6" s="1"/>
  <c r="AB215" i="6" s="1"/>
  <c r="X203" i="6"/>
  <c r="Y203" i="6" s="1"/>
  <c r="AB203" i="6" s="1"/>
  <c r="X202" i="6"/>
  <c r="Y202" i="6" s="1"/>
  <c r="AB202" i="6" s="1"/>
  <c r="X178" i="6"/>
  <c r="Y178" i="6" s="1"/>
  <c r="AB178" i="6" s="1"/>
  <c r="X170" i="6"/>
  <c r="Y170" i="6" s="1"/>
  <c r="AB170" i="6" s="1"/>
  <c r="X140" i="6"/>
  <c r="Y140" i="6" s="1"/>
  <c r="AB140" i="6" s="1"/>
  <c r="X130" i="6"/>
  <c r="Y130" i="6" s="1"/>
  <c r="AB130" i="6" s="1"/>
  <c r="X113" i="6"/>
  <c r="Y113" i="6" s="1"/>
  <c r="AB113" i="6" s="1"/>
  <c r="X79" i="6"/>
  <c r="Y79" i="6" s="1"/>
  <c r="AB79" i="6" s="1"/>
  <c r="X77" i="6"/>
  <c r="Y77" i="6" s="1"/>
  <c r="AB77" i="6" s="1"/>
  <c r="X42" i="6"/>
  <c r="Y42" i="6" s="1"/>
  <c r="AB42" i="6" s="1"/>
  <c r="X28" i="6"/>
  <c r="Y28" i="6" s="1"/>
  <c r="AB28" i="6" s="1"/>
  <c r="X317" i="6"/>
  <c r="Y317" i="6" s="1"/>
  <c r="AB317" i="6" s="1"/>
  <c r="X236" i="6"/>
  <c r="Y236" i="6" s="1"/>
  <c r="AB236" i="6" s="1"/>
  <c r="X168" i="6"/>
  <c r="Y168" i="6" s="1"/>
  <c r="AB168" i="6" s="1"/>
  <c r="X149" i="6"/>
  <c r="Y149" i="6" s="1"/>
  <c r="AB149" i="6" s="1"/>
  <c r="X76" i="6"/>
  <c r="Y76" i="6" s="1"/>
  <c r="AB76" i="6" s="1"/>
  <c r="X45" i="6"/>
  <c r="Y45" i="6" s="1"/>
  <c r="AB45" i="6" s="1"/>
  <c r="X32" i="6"/>
  <c r="Y32" i="6" s="1"/>
  <c r="AB32" i="6" s="1"/>
  <c r="X331" i="6"/>
  <c r="Y331" i="6" s="1"/>
  <c r="X369" i="6"/>
  <c r="Y369" i="6" s="1"/>
  <c r="AB369" i="6" s="1"/>
  <c r="X358" i="6"/>
  <c r="Y358" i="6" s="1"/>
  <c r="AB358" i="6" s="1"/>
  <c r="X328" i="6"/>
  <c r="Y328" i="6" s="1"/>
  <c r="AB328" i="6" s="1"/>
  <c r="X287" i="6"/>
  <c r="Y287" i="6" s="1"/>
  <c r="AB287" i="6" s="1"/>
  <c r="X267" i="6"/>
  <c r="Y267" i="6" s="1"/>
  <c r="AB267" i="6" s="1"/>
  <c r="X261" i="6"/>
  <c r="Y261" i="6" s="1"/>
  <c r="AB261" i="6" s="1"/>
  <c r="X230" i="6"/>
  <c r="Y230" i="6" s="1"/>
  <c r="AB230" i="6" s="1"/>
  <c r="X222" i="6"/>
  <c r="Y222" i="6" s="1"/>
  <c r="AB222" i="6" s="1"/>
  <c r="X208" i="6"/>
  <c r="Y208" i="6" s="1"/>
  <c r="AB208" i="6" s="1"/>
  <c r="X199" i="6"/>
  <c r="Y199" i="6" s="1"/>
  <c r="AB199" i="6" s="1"/>
  <c r="X181" i="6"/>
  <c r="Y181" i="6" s="1"/>
  <c r="AB181" i="6" s="1"/>
  <c r="X174" i="6"/>
  <c r="Y174" i="6" s="1"/>
  <c r="AB174" i="6" s="1"/>
  <c r="X162" i="6"/>
  <c r="Y162" i="6" s="1"/>
  <c r="AB162" i="6" s="1"/>
  <c r="X157" i="6"/>
  <c r="Y157" i="6" s="1"/>
  <c r="AB157" i="6" s="1"/>
  <c r="X150" i="6"/>
  <c r="Y150" i="6" s="1"/>
  <c r="AB150" i="6" s="1"/>
  <c r="X138" i="6"/>
  <c r="Y138" i="6" s="1"/>
  <c r="AB138" i="6" s="1"/>
  <c r="X110" i="6"/>
  <c r="Y110" i="6" s="1"/>
  <c r="AB110" i="6" s="1"/>
  <c r="X63" i="6"/>
  <c r="Y63" i="6" s="1"/>
  <c r="AB63" i="6" s="1"/>
  <c r="X53" i="6"/>
  <c r="Y53" i="6" s="1"/>
  <c r="AB53" i="6" s="1"/>
  <c r="X48" i="6"/>
  <c r="Y48" i="6" s="1"/>
  <c r="AB48" i="6" s="1"/>
  <c r="X304" i="6"/>
  <c r="Y304" i="6" s="1"/>
  <c r="AB304" i="6" s="1"/>
  <c r="X13" i="6"/>
  <c r="Y13" i="6" s="1"/>
  <c r="AB13" i="6" s="1"/>
  <c r="X322" i="6"/>
  <c r="Y322" i="6" s="1"/>
  <c r="AB322" i="6" s="1"/>
  <c r="X312" i="6"/>
  <c r="Y312" i="6" s="1"/>
  <c r="AB312" i="6" s="1"/>
  <c r="X308" i="6"/>
  <c r="Y308" i="6" s="1"/>
  <c r="AB308" i="6" s="1"/>
  <c r="X299" i="6"/>
  <c r="Y299" i="6" s="1"/>
  <c r="AB299" i="6" s="1"/>
  <c r="X289" i="6"/>
  <c r="Y289" i="6" s="1"/>
  <c r="AB289" i="6" s="1"/>
  <c r="X253" i="6"/>
  <c r="Y253" i="6" s="1"/>
  <c r="AB253" i="6" s="1"/>
  <c r="X241" i="6"/>
  <c r="Y241" i="6" s="1"/>
  <c r="AB241" i="6" s="1"/>
  <c r="X235" i="6"/>
  <c r="Y235" i="6" s="1"/>
  <c r="AB235" i="6" s="1"/>
  <c r="X218" i="6"/>
  <c r="Y218" i="6" s="1"/>
  <c r="AB218" i="6" s="1"/>
  <c r="X207" i="6"/>
  <c r="Y207" i="6" s="1"/>
  <c r="X189" i="6"/>
  <c r="Y189" i="6" s="1"/>
  <c r="AB189" i="6" s="1"/>
  <c r="X156" i="6"/>
  <c r="Y156" i="6" s="1"/>
  <c r="AB156" i="6" s="1"/>
  <c r="X152" i="6"/>
  <c r="Y152" i="6" s="1"/>
  <c r="AB152" i="6" s="1"/>
  <c r="X148" i="6"/>
  <c r="Y148" i="6" s="1"/>
  <c r="AB148" i="6" s="1"/>
  <c r="X144" i="6"/>
  <c r="Y144" i="6" s="1"/>
  <c r="AB144" i="6" s="1"/>
  <c r="X132" i="6"/>
  <c r="Y132" i="6" s="1"/>
  <c r="AB132" i="6" s="1"/>
  <c r="X119" i="6"/>
  <c r="Y119" i="6" s="1"/>
  <c r="AB119" i="6" s="1"/>
  <c r="X106" i="6"/>
  <c r="Y106" i="6" s="1"/>
  <c r="AB106" i="6" s="1"/>
  <c r="X100" i="6"/>
  <c r="Y100" i="6" s="1"/>
  <c r="AB100" i="6" s="1"/>
  <c r="X96" i="6"/>
  <c r="Y96" i="6" s="1"/>
  <c r="AB96" i="6" s="1"/>
  <c r="X75" i="6"/>
  <c r="Y75" i="6" s="1"/>
  <c r="AB75" i="6" s="1"/>
  <c r="X66" i="6"/>
  <c r="Y66" i="6" s="1"/>
  <c r="AB66" i="6" s="1"/>
  <c r="X56" i="6"/>
  <c r="Y56" i="6" s="1"/>
  <c r="AB56" i="6" s="1"/>
  <c r="X40" i="6"/>
  <c r="Y40" i="6" s="1"/>
  <c r="X19" i="6"/>
  <c r="Y19" i="6" s="1"/>
  <c r="AB19" i="6" s="1"/>
  <c r="X338" i="6"/>
  <c r="Y338" i="6" s="1"/>
  <c r="X386" i="6"/>
  <c r="Y386" i="6" s="1"/>
  <c r="AB386" i="6" s="1"/>
  <c r="X381" i="6"/>
  <c r="Y381" i="6" s="1"/>
  <c r="AB381" i="6" s="1"/>
  <c r="X368" i="6"/>
  <c r="Y368" i="6" s="1"/>
  <c r="AB368" i="6" s="1"/>
  <c r="X365" i="6"/>
  <c r="Y365" i="6" s="1"/>
  <c r="AB365" i="6" s="1"/>
  <c r="X341" i="6"/>
  <c r="Y341" i="6" s="1"/>
  <c r="AB341" i="6" s="1"/>
  <c r="X336" i="6"/>
  <c r="Y336" i="6" s="1"/>
  <c r="AB336" i="6" s="1"/>
  <c r="X327" i="6"/>
  <c r="Y327" i="6" s="1"/>
  <c r="AB327" i="6" s="1"/>
  <c r="X310" i="6"/>
  <c r="Y310" i="6" s="1"/>
  <c r="AB310" i="6" s="1"/>
  <c r="X305" i="6"/>
  <c r="Y305" i="6" s="1"/>
  <c r="AB305" i="6" s="1"/>
  <c r="X294" i="6"/>
  <c r="Y294" i="6" s="1"/>
  <c r="AB294" i="6" s="1"/>
  <c r="X282" i="6"/>
  <c r="Y282" i="6" s="1"/>
  <c r="AB282" i="6" s="1"/>
  <c r="X281" i="6"/>
  <c r="Y281" i="6" s="1"/>
  <c r="AB281" i="6" s="1"/>
  <c r="X266" i="6"/>
  <c r="Y266" i="6" s="1"/>
  <c r="AB266" i="6" s="1"/>
  <c r="X260" i="6"/>
  <c r="Y260" i="6" s="1"/>
  <c r="AB260" i="6" s="1"/>
  <c r="X233" i="6"/>
  <c r="Y233" i="6" s="1"/>
  <c r="AB233" i="6" s="1"/>
  <c r="X229" i="6"/>
  <c r="Y229" i="6" s="1"/>
  <c r="AB229" i="6" s="1"/>
  <c r="X221" i="6"/>
  <c r="Y221" i="6" s="1"/>
  <c r="AB221" i="6" s="1"/>
  <c r="X220" i="6"/>
  <c r="Y220" i="6" s="1"/>
  <c r="AB220" i="6" s="1"/>
  <c r="X193" i="6"/>
  <c r="Y193" i="6" s="1"/>
  <c r="AB193" i="6" s="1"/>
  <c r="X184" i="6"/>
  <c r="Y184" i="6" s="1"/>
  <c r="AB184" i="6" s="1"/>
  <c r="X180" i="6"/>
  <c r="Y180" i="6" s="1"/>
  <c r="AB180" i="6" s="1"/>
  <c r="X176" i="6"/>
  <c r="Y176" i="6" s="1"/>
  <c r="AB176" i="6" s="1"/>
  <c r="X175" i="6"/>
  <c r="Y175" i="6" s="1"/>
  <c r="AB175" i="6" s="1"/>
  <c r="X166" i="6"/>
  <c r="Y166" i="6" s="1"/>
  <c r="AB166" i="6" s="1"/>
  <c r="X160" i="6"/>
  <c r="Y160" i="6" s="1"/>
  <c r="AB160" i="6" s="1"/>
  <c r="X155" i="6"/>
  <c r="Y155" i="6" s="1"/>
  <c r="AB155" i="6" s="1"/>
  <c r="X154" i="6"/>
  <c r="Y154" i="6" s="1"/>
  <c r="AB154" i="6" s="1"/>
  <c r="X127" i="6"/>
  <c r="Y127" i="6" s="1"/>
  <c r="AB127" i="6" s="1"/>
  <c r="X123" i="6"/>
  <c r="Y123" i="6" s="1"/>
  <c r="AB123" i="6" s="1"/>
  <c r="X117" i="6"/>
  <c r="Y117" i="6" s="1"/>
  <c r="AB117" i="6" s="1"/>
  <c r="X116" i="6"/>
  <c r="Y116" i="6" s="1"/>
  <c r="AB116" i="6" s="1"/>
  <c r="X109" i="6"/>
  <c r="Y109" i="6" s="1"/>
  <c r="AB109" i="6" s="1"/>
  <c r="X108" i="6"/>
  <c r="Y108" i="6" s="1"/>
  <c r="AB108" i="6" s="1"/>
  <c r="X107" i="6"/>
  <c r="Y107" i="6" s="1"/>
  <c r="AB107" i="6" s="1"/>
  <c r="X92" i="6"/>
  <c r="Y92" i="6" s="1"/>
  <c r="AB92" i="6" s="1"/>
  <c r="X91" i="6"/>
  <c r="Y91" i="6" s="1"/>
  <c r="AB91" i="6" s="1"/>
  <c r="X90" i="6"/>
  <c r="Y90" i="6" s="1"/>
  <c r="AB90" i="6" s="1"/>
  <c r="X85" i="6"/>
  <c r="Y85" i="6" s="1"/>
  <c r="AB85" i="6" s="1"/>
  <c r="X73" i="6"/>
  <c r="Y73" i="6" s="1"/>
  <c r="AB73" i="6" s="1"/>
  <c r="X61" i="6"/>
  <c r="Y61" i="6" s="1"/>
  <c r="AB61" i="6" s="1"/>
  <c r="X60" i="6"/>
  <c r="Y60" i="6" s="1"/>
  <c r="AB60" i="6" s="1"/>
  <c r="X52" i="6"/>
  <c r="Y52" i="6" s="1"/>
  <c r="AB52" i="6" s="1"/>
  <c r="X37" i="6"/>
  <c r="Y37" i="6" s="1"/>
  <c r="AB37" i="6" s="1"/>
  <c r="X26" i="6"/>
  <c r="Y26" i="6" s="1"/>
  <c r="AB26" i="6" s="1"/>
  <c r="X21" i="6"/>
  <c r="Y21" i="6" s="1"/>
  <c r="AB21" i="6" s="1"/>
  <c r="X18" i="6"/>
  <c r="Y18" i="6" s="1"/>
  <c r="AB18" i="6" s="1"/>
  <c r="X227" i="6"/>
  <c r="Y227" i="6" s="1"/>
  <c r="AB227" i="6" s="1"/>
  <c r="X390" i="6"/>
  <c r="Y390" i="6" s="1"/>
  <c r="AB390" i="6" s="1"/>
  <c r="X359" i="6"/>
  <c r="Y359" i="6" s="1"/>
  <c r="AB359" i="6" s="1"/>
  <c r="X314" i="6"/>
  <c r="Y314" i="6" s="1"/>
  <c r="AB314" i="6" s="1"/>
  <c r="X273" i="6"/>
  <c r="Y273" i="6" s="1"/>
  <c r="AB273" i="6" s="1"/>
  <c r="X158" i="6"/>
  <c r="Y158" i="6" s="1"/>
  <c r="AB158" i="6" s="1"/>
  <c r="X98" i="6"/>
  <c r="Y98" i="6" s="1"/>
  <c r="AB98" i="6" s="1"/>
  <c r="X83" i="6"/>
  <c r="Y83" i="6" s="1"/>
  <c r="AB83" i="6" s="1"/>
  <c r="X33" i="6"/>
  <c r="Y33" i="6" s="1"/>
  <c r="AB33" i="6" s="1"/>
  <c r="X388" i="6"/>
  <c r="Y388" i="6" s="1"/>
  <c r="AB388" i="6" s="1"/>
  <c r="X363" i="6"/>
  <c r="Y363" i="6" s="1"/>
  <c r="AB363" i="6" s="1"/>
  <c r="X355" i="6"/>
  <c r="Y355" i="6" s="1"/>
  <c r="AB355" i="6" s="1"/>
  <c r="X343" i="6"/>
  <c r="Y343" i="6" s="1"/>
  <c r="AB343" i="6" s="1"/>
  <c r="X329" i="6"/>
  <c r="Y329" i="6" s="1"/>
  <c r="AB329" i="6" s="1"/>
  <c r="X320" i="6"/>
  <c r="Y320" i="6" s="1"/>
  <c r="AB320" i="6" s="1"/>
  <c r="X292" i="6"/>
  <c r="Y292" i="6" s="1"/>
  <c r="AB292" i="6" s="1"/>
  <c r="X271" i="6"/>
  <c r="Y271" i="6" s="1"/>
  <c r="AB271" i="6" s="1"/>
  <c r="Y254" i="6"/>
  <c r="AB254" i="6" s="1"/>
  <c r="X248" i="6"/>
  <c r="Y248" i="6" s="1"/>
  <c r="AB248" i="6" s="1"/>
  <c r="X246" i="6"/>
  <c r="Y246" i="6" s="1"/>
  <c r="AB246" i="6" s="1"/>
  <c r="X245" i="6"/>
  <c r="Y245" i="6" s="1"/>
  <c r="AB245" i="6" s="1"/>
  <c r="X243" i="6"/>
  <c r="Y243" i="6" s="1"/>
  <c r="AB243" i="6" s="1"/>
  <c r="X226" i="6"/>
  <c r="Y226" i="6" s="1"/>
  <c r="AB226" i="6" s="1"/>
  <c r="X224" i="6"/>
  <c r="Y224" i="6" s="1"/>
  <c r="AB224" i="6" s="1"/>
  <c r="X186" i="6"/>
  <c r="Y186" i="6" s="1"/>
  <c r="AB186" i="6" s="1"/>
  <c r="X182" i="6"/>
  <c r="Y182" i="6" s="1"/>
  <c r="AB182" i="6" s="1"/>
  <c r="X172" i="6"/>
  <c r="Y172" i="6" s="1"/>
  <c r="AB172" i="6" s="1"/>
  <c r="X129" i="6"/>
  <c r="Y129" i="6" s="1"/>
  <c r="AB129" i="6" s="1"/>
  <c r="X103" i="6"/>
  <c r="Y103" i="6" s="1"/>
  <c r="AB103" i="6" s="1"/>
  <c r="X71" i="6"/>
  <c r="Y71" i="6" s="1"/>
  <c r="AB71" i="6" s="1"/>
  <c r="X50" i="6"/>
  <c r="Y50" i="6" s="1"/>
  <c r="AB50" i="6" s="1"/>
  <c r="X23" i="6"/>
  <c r="Y23" i="6" s="1"/>
  <c r="AB23" i="6" s="1"/>
  <c r="X332" i="6"/>
  <c r="Y332" i="6" s="1"/>
  <c r="AB332" i="6" s="1"/>
  <c r="X242" i="6"/>
  <c r="Y242" i="6" s="1"/>
  <c r="AB242" i="6" s="1"/>
  <c r="X219" i="6"/>
  <c r="Y219" i="6" s="1"/>
  <c r="AB219" i="6" s="1"/>
  <c r="X177" i="6"/>
  <c r="Y177" i="6" s="1"/>
  <c r="AB177" i="6" s="1"/>
  <c r="X173" i="6"/>
  <c r="Y173" i="6" s="1"/>
  <c r="AB173" i="6" s="1"/>
  <c r="X153" i="6"/>
  <c r="Y153" i="6" s="1"/>
  <c r="AB153" i="6" s="1"/>
  <c r="X145" i="6"/>
  <c r="Y145" i="6" s="1"/>
  <c r="AB145" i="6" s="1"/>
  <c r="X141" i="6"/>
  <c r="Y141" i="6" s="1"/>
  <c r="AB141" i="6" s="1"/>
  <c r="X124" i="6"/>
  <c r="Y124" i="6" s="1"/>
  <c r="AB124" i="6" s="1"/>
  <c r="X97" i="6"/>
  <c r="Y97" i="6" s="1"/>
  <c r="AB97" i="6" s="1"/>
  <c r="X67" i="6"/>
  <c r="Y67" i="6" s="1"/>
  <c r="AB67" i="6" s="1"/>
  <c r="X20" i="6"/>
  <c r="Y20" i="6" s="1"/>
  <c r="AB20" i="6" s="1"/>
  <c r="X387" i="6"/>
  <c r="Y387" i="6" s="1"/>
  <c r="AB387" i="6" s="1"/>
  <c r="X382" i="6"/>
  <c r="Y382" i="6" s="1"/>
  <c r="AB382" i="6" s="1"/>
  <c r="X362" i="6"/>
  <c r="Y362" i="6" s="1"/>
  <c r="AB362" i="6" s="1"/>
  <c r="X354" i="6"/>
  <c r="Y354" i="6" s="1"/>
  <c r="AB354" i="6" s="1"/>
  <c r="X350" i="6"/>
  <c r="Y350" i="6" s="1"/>
  <c r="AB350" i="6" s="1"/>
  <c r="X342" i="6"/>
  <c r="Y342" i="6" s="1"/>
  <c r="AB342" i="6" s="1"/>
  <c r="X337" i="6"/>
  <c r="Y337" i="6" s="1"/>
  <c r="AB337" i="6" s="1"/>
  <c r="X306" i="6"/>
  <c r="Y306" i="6" s="1"/>
  <c r="AB306" i="6" s="1"/>
  <c r="X303" i="6"/>
  <c r="Y303" i="6" s="1"/>
  <c r="AB303" i="6" s="1"/>
  <c r="X300" i="6"/>
  <c r="Y300" i="6" s="1"/>
  <c r="AB300" i="6" s="1"/>
  <c r="X295" i="6"/>
  <c r="Y295" i="6" s="1"/>
  <c r="AB295" i="6" s="1"/>
  <c r="X283" i="6"/>
  <c r="Y283" i="6" s="1"/>
  <c r="AB283" i="6" s="1"/>
  <c r="X270" i="6"/>
  <c r="Y270" i="6" s="1"/>
  <c r="AB270" i="6" s="1"/>
  <c r="Y255" i="6"/>
  <c r="AB255" i="6" s="1"/>
  <c r="X234" i="6"/>
  <c r="Y234" i="6" s="1"/>
  <c r="AB234" i="6" s="1"/>
  <c r="X209" i="6"/>
  <c r="Y209" i="6" s="1"/>
  <c r="X194" i="6"/>
  <c r="Y194" i="6" s="1"/>
  <c r="AB194" i="6" s="1"/>
  <c r="X190" i="6"/>
  <c r="Y190" i="6" s="1"/>
  <c r="AB190" i="6" s="1"/>
  <c r="X161" i="6"/>
  <c r="Y161" i="6" s="1"/>
  <c r="AB161" i="6" s="1"/>
  <c r="X151" i="6"/>
  <c r="Y151" i="6" s="1"/>
  <c r="AB151" i="6" s="1"/>
  <c r="X128" i="6"/>
  <c r="Y128" i="6" s="1"/>
  <c r="AB128" i="6" s="1"/>
  <c r="X111" i="6"/>
  <c r="Y111" i="6" s="1"/>
  <c r="AB111" i="6" s="1"/>
  <c r="X99" i="6"/>
  <c r="Y99" i="6" s="1"/>
  <c r="AB99" i="6" s="1"/>
  <c r="X86" i="6"/>
  <c r="Y86" i="6" s="1"/>
  <c r="AB86" i="6" s="1"/>
  <c r="X70" i="6"/>
  <c r="Y70" i="6" s="1"/>
  <c r="AB70" i="6" s="1"/>
  <c r="X69" i="6"/>
  <c r="Y69" i="6" s="1"/>
  <c r="AB69" i="6" s="1"/>
  <c r="X68" i="6"/>
  <c r="Y68" i="6" s="1"/>
  <c r="AB68" i="6" s="1"/>
  <c r="X62" i="6"/>
  <c r="Y62" i="6" s="1"/>
  <c r="AB62" i="6" s="1"/>
  <c r="X54" i="6"/>
  <c r="Y54" i="6" s="1"/>
  <c r="AB54" i="6" s="1"/>
  <c r="X49" i="6"/>
  <c r="Y49" i="6" s="1"/>
  <c r="AB49" i="6" s="1"/>
  <c r="X31" i="6"/>
  <c r="Y31" i="6" s="1"/>
  <c r="AB31" i="6" s="1"/>
  <c r="X27" i="6"/>
  <c r="Y27" i="6" s="1"/>
  <c r="AB27" i="6" s="1"/>
  <c r="X214" i="6"/>
  <c r="Y214" i="6" s="1"/>
  <c r="AB214" i="6" s="1"/>
  <c r="X12" i="6"/>
  <c r="Y12" i="6" s="1"/>
  <c r="AB12" i="6" s="1"/>
  <c r="X380" i="6"/>
  <c r="Y380" i="6" s="1"/>
  <c r="AB380" i="6" s="1"/>
  <c r="X374" i="6"/>
  <c r="Y374" i="6" s="1"/>
  <c r="AB374" i="6" s="1"/>
  <c r="X366" i="6"/>
  <c r="Y366" i="6" s="1"/>
  <c r="AB366" i="6" s="1"/>
  <c r="X360" i="6"/>
  <c r="Y360" i="6" s="1"/>
  <c r="AB360" i="6" s="1"/>
  <c r="X352" i="6"/>
  <c r="Y352" i="6" s="1"/>
  <c r="AB352" i="6" s="1"/>
  <c r="X339" i="6"/>
  <c r="Y339" i="6" s="1"/>
  <c r="AB339" i="6" s="1"/>
  <c r="X325" i="6"/>
  <c r="Y325" i="6" s="1"/>
  <c r="AB325" i="6" s="1"/>
  <c r="X315" i="6"/>
  <c r="Y315" i="6" s="1"/>
  <c r="AB315" i="6" s="1"/>
  <c r="X311" i="6"/>
  <c r="Y311" i="6" s="1"/>
  <c r="AB311" i="6" s="1"/>
  <c r="X307" i="6"/>
  <c r="Y307" i="6" s="1"/>
  <c r="AB307" i="6" s="1"/>
  <c r="X302" i="6"/>
  <c r="Y302" i="6" s="1"/>
  <c r="AB302" i="6" s="1"/>
  <c r="X298" i="6"/>
  <c r="Y298" i="6" s="1"/>
  <c r="AB298" i="6" s="1"/>
  <c r="X288" i="6"/>
  <c r="Y288" i="6" s="1"/>
  <c r="AB288" i="6" s="1"/>
  <c r="X256" i="6"/>
  <c r="Y256" i="6" s="1"/>
  <c r="AB256" i="6" s="1"/>
  <c r="X252" i="6"/>
  <c r="Y252" i="6" s="1"/>
  <c r="AB252" i="6" s="1"/>
  <c r="X217" i="6"/>
  <c r="Y217" i="6" s="1"/>
  <c r="AB217" i="6" s="1"/>
  <c r="X206" i="6"/>
  <c r="Y206" i="6" s="1"/>
  <c r="AB206" i="6" s="1"/>
  <c r="X196" i="6"/>
  <c r="Y196" i="6" s="1"/>
  <c r="AB196" i="6" s="1"/>
  <c r="X188" i="6"/>
  <c r="Y188" i="6" s="1"/>
  <c r="AB188" i="6" s="1"/>
  <c r="X163" i="6"/>
  <c r="Y163" i="6" s="1"/>
  <c r="AB163" i="6" s="1"/>
  <c r="X143" i="6"/>
  <c r="Y143" i="6" s="1"/>
  <c r="AB143" i="6" s="1"/>
  <c r="X131" i="6"/>
  <c r="Y131" i="6" s="1"/>
  <c r="AB131" i="6" s="1"/>
  <c r="X126" i="6"/>
  <c r="Y126" i="6" s="1"/>
  <c r="AB126" i="6" s="1"/>
  <c r="X118" i="6"/>
  <c r="Y118" i="6" s="1"/>
  <c r="AB118" i="6" s="1"/>
  <c r="X105" i="6"/>
  <c r="Y105" i="6" s="1"/>
  <c r="AB105" i="6" s="1"/>
  <c r="X84" i="6"/>
  <c r="Y84" i="6" s="1"/>
  <c r="AB84" i="6" s="1"/>
  <c r="X65" i="6"/>
  <c r="Y65" i="6" s="1"/>
  <c r="AB65" i="6" s="1"/>
  <c r="X55" i="6"/>
  <c r="Y55" i="6" s="1"/>
  <c r="AB55" i="6" s="1"/>
  <c r="X51" i="6"/>
  <c r="Y51" i="6" s="1"/>
  <c r="AB51" i="6" s="1"/>
  <c r="X47" i="6"/>
  <c r="Y47" i="6" s="1"/>
  <c r="AB47" i="6" s="1"/>
  <c r="X39" i="6"/>
  <c r="Y39" i="6" s="1"/>
  <c r="AB39" i="6" s="1"/>
  <c r="X389" i="6"/>
  <c r="Y389" i="6" s="1"/>
  <c r="AB389" i="6" s="1"/>
  <c r="X371" i="6"/>
  <c r="Y371" i="6" s="1"/>
  <c r="AB371" i="6" s="1"/>
  <c r="X364" i="6"/>
  <c r="Y364" i="6" s="1"/>
  <c r="AB364" i="6" s="1"/>
  <c r="X356" i="6"/>
  <c r="Y356" i="6" s="1"/>
  <c r="AB356" i="6" s="1"/>
  <c r="X348" i="6"/>
  <c r="Y348" i="6" s="1"/>
  <c r="AB348" i="6" s="1"/>
  <c r="X344" i="6"/>
  <c r="Y344" i="6" s="1"/>
  <c r="AB344" i="6" s="1"/>
  <c r="X340" i="6"/>
  <c r="Y340" i="6" s="1"/>
  <c r="AB340" i="6" s="1"/>
  <c r="X335" i="6"/>
  <c r="Y335" i="6" s="1"/>
  <c r="AB335" i="6" s="1"/>
  <c r="X330" i="6"/>
  <c r="Y330" i="6" s="1"/>
  <c r="AB330" i="6" s="1"/>
  <c r="X326" i="6"/>
  <c r="Y326" i="6" s="1"/>
  <c r="AB326" i="6" s="1"/>
  <c r="X316" i="6"/>
  <c r="Y316" i="6" s="1"/>
  <c r="AB316" i="6" s="1"/>
  <c r="X313" i="6"/>
  <c r="Y313" i="6" s="1"/>
  <c r="AB313" i="6" s="1"/>
  <c r="X297" i="6"/>
  <c r="Y297" i="6" s="1"/>
  <c r="AB297" i="6" s="1"/>
  <c r="X293" i="6"/>
  <c r="Y293" i="6" s="1"/>
  <c r="AB293" i="6" s="1"/>
  <c r="X285" i="6"/>
  <c r="Y285" i="6" s="1"/>
  <c r="AB285" i="6" s="1"/>
  <c r="X280" i="6"/>
  <c r="Y280" i="6" s="1"/>
  <c r="AB280" i="6" s="1"/>
  <c r="X276" i="6"/>
  <c r="Y276" i="6" s="1"/>
  <c r="AB276" i="6" s="1"/>
  <c r="X274" i="6"/>
  <c r="Y274" i="6" s="1"/>
  <c r="AB274" i="6" s="1"/>
  <c r="X258" i="6"/>
  <c r="Y258" i="6" s="1"/>
  <c r="AB258" i="6" s="1"/>
  <c r="X251" i="6"/>
  <c r="Y251" i="6" s="1"/>
  <c r="X250" i="6"/>
  <c r="Y250" i="6" s="1"/>
  <c r="AB250" i="6" s="1"/>
  <c r="X238" i="6"/>
  <c r="Y238" i="6" s="1"/>
  <c r="AB238" i="6" s="1"/>
  <c r="X237" i="6"/>
  <c r="Y237" i="6" s="1"/>
  <c r="AB237" i="6" s="1"/>
  <c r="X232" i="6"/>
  <c r="Y232" i="6" s="1"/>
  <c r="AB232" i="6" s="1"/>
  <c r="X228" i="6"/>
  <c r="Y228" i="6" s="1"/>
  <c r="AB228" i="6" s="1"/>
  <c r="X216" i="6"/>
  <c r="Y216" i="6" s="1"/>
  <c r="AB216" i="6" s="1"/>
  <c r="X213" i="6"/>
  <c r="Y213" i="6" s="1"/>
  <c r="AB213" i="6" s="1"/>
  <c r="X204" i="6"/>
  <c r="Y204" i="6" s="1"/>
  <c r="AB204" i="6" s="1"/>
  <c r="X187" i="6"/>
  <c r="Y187" i="6" s="1"/>
  <c r="AB187" i="6" s="1"/>
  <c r="X183" i="6"/>
  <c r="Y183" i="6" s="1"/>
  <c r="AB183" i="6" s="1"/>
  <c r="X165" i="6"/>
  <c r="Y165" i="6" s="1"/>
  <c r="AB165" i="6" s="1"/>
  <c r="X122" i="6"/>
  <c r="Y122" i="6" s="1"/>
  <c r="AB122" i="6" s="1"/>
  <c r="X115" i="6"/>
  <c r="Y115" i="6" s="1"/>
  <c r="AB115" i="6" s="1"/>
  <c r="X114" i="6"/>
  <c r="Y114" i="6" s="1"/>
  <c r="AB114" i="6" s="1"/>
  <c r="X89" i="6"/>
  <c r="Y89" i="6" s="1"/>
  <c r="AB89" i="6" s="1"/>
  <c r="X88" i="6"/>
  <c r="Y88" i="6" s="1"/>
  <c r="AB88" i="6" s="1"/>
  <c r="X80" i="6"/>
  <c r="Y80" i="6" s="1"/>
  <c r="AB80" i="6" s="1"/>
  <c r="X59" i="6"/>
  <c r="Y59" i="6" s="1"/>
  <c r="AB59" i="6" s="1"/>
  <c r="X36" i="6"/>
  <c r="Y36" i="6" s="1"/>
  <c r="AB36" i="6" s="1"/>
  <c r="X35" i="6"/>
  <c r="Y35" i="6" s="1"/>
  <c r="AB35" i="6" s="1"/>
  <c r="X34" i="6"/>
  <c r="Y34" i="6" s="1"/>
  <c r="AB34" i="6" s="1"/>
  <c r="X29" i="6"/>
  <c r="Y29" i="6" s="1"/>
  <c r="AB29" i="6" s="1"/>
  <c r="X24" i="6"/>
  <c r="Y24" i="6" s="1"/>
  <c r="AB24" i="6" s="1"/>
  <c r="X17" i="6"/>
  <c r="Y17" i="6" s="1"/>
  <c r="X16" i="6"/>
  <c r="Y16" i="6" s="1"/>
  <c r="AB16" i="6" s="1"/>
  <c r="X15" i="6"/>
  <c r="Y15" i="6" s="1"/>
  <c r="AB15" i="6" s="1"/>
  <c r="X14" i="6"/>
  <c r="Y14" i="6" s="1"/>
  <c r="AB14" i="6" s="1"/>
  <c r="Y255" i="9"/>
  <c r="AB255" i="9" s="1"/>
  <c r="Y321" i="9"/>
  <c r="AB321" i="9" s="1"/>
  <c r="X297" i="9"/>
  <c r="Y211" i="9"/>
  <c r="AB211" i="9" s="1"/>
  <c r="Y205" i="9"/>
  <c r="AB205" i="9" s="1"/>
  <c r="Y254" i="9"/>
  <c r="AB254" i="9" s="1"/>
  <c r="X177" i="9"/>
  <c r="Y177" i="9" s="1"/>
  <c r="AB177" i="9" s="1"/>
  <c r="X386" i="9"/>
  <c r="Y386" i="9" s="1"/>
  <c r="AB386" i="9" s="1"/>
  <c r="X383" i="9"/>
  <c r="Y383" i="9" s="1"/>
  <c r="AB383" i="9" s="1"/>
  <c r="X378" i="9"/>
  <c r="Y378" i="9" s="1"/>
  <c r="AB378" i="9" s="1"/>
  <c r="X370" i="9"/>
  <c r="Y370" i="9" s="1"/>
  <c r="AB370" i="9" s="1"/>
  <c r="X364" i="9"/>
  <c r="Y364" i="9" s="1"/>
  <c r="AB364" i="9" s="1"/>
  <c r="X358" i="9"/>
  <c r="Y358" i="9" s="1"/>
  <c r="AB358" i="9" s="1"/>
  <c r="X354" i="9"/>
  <c r="Y354" i="9" s="1"/>
  <c r="AB354" i="9" s="1"/>
  <c r="X351" i="9"/>
  <c r="Y351" i="9" s="1"/>
  <c r="AB351" i="9" s="1"/>
  <c r="X347" i="9"/>
  <c r="Y347" i="9" s="1"/>
  <c r="AB347" i="9" s="1"/>
  <c r="X341" i="9"/>
  <c r="Y341" i="9" s="1"/>
  <c r="AB341" i="9" s="1"/>
  <c r="X336" i="9"/>
  <c r="Y336" i="9" s="1"/>
  <c r="AB336" i="9" s="1"/>
  <c r="X331" i="9"/>
  <c r="Y331" i="9" s="1"/>
  <c r="AB331" i="9" s="1"/>
  <c r="X327" i="9"/>
  <c r="Y327" i="9" s="1"/>
  <c r="AB327" i="9" s="1"/>
  <c r="X310" i="9"/>
  <c r="Y310" i="9" s="1"/>
  <c r="AB310" i="9" s="1"/>
  <c r="X293" i="9"/>
  <c r="Y293" i="9" s="1"/>
  <c r="X286" i="9"/>
  <c r="Y286" i="9" s="1"/>
  <c r="AB286" i="9" s="1"/>
  <c r="X282" i="9"/>
  <c r="Y282" i="9" s="1"/>
  <c r="AB282" i="9" s="1"/>
  <c r="X276" i="9"/>
  <c r="Y276" i="9" s="1"/>
  <c r="AB276" i="9" s="1"/>
  <c r="X271" i="9"/>
  <c r="Y271" i="9" s="1"/>
  <c r="AB271" i="9" s="1"/>
  <c r="X266" i="9"/>
  <c r="Y266" i="9" s="1"/>
  <c r="AB266" i="9" s="1"/>
  <c r="X262" i="9"/>
  <c r="Y262" i="9" s="1"/>
  <c r="AB262" i="9" s="1"/>
  <c r="X258" i="9"/>
  <c r="Y258" i="9" s="1"/>
  <c r="X247" i="9"/>
  <c r="Y247" i="9" s="1"/>
  <c r="AB247" i="9" s="1"/>
  <c r="X243" i="9"/>
  <c r="Y243" i="9" s="1"/>
  <c r="AB243" i="9" s="1"/>
  <c r="X237" i="9"/>
  <c r="Y237" i="9" s="1"/>
  <c r="AB237" i="9" s="1"/>
  <c r="X232" i="9"/>
  <c r="Y232" i="9" s="1"/>
  <c r="AB232" i="9" s="1"/>
  <c r="X228" i="9"/>
  <c r="Y228" i="9" s="1"/>
  <c r="AB228" i="9" s="1"/>
  <c r="X224" i="9"/>
  <c r="Y224" i="9" s="1"/>
  <c r="AB224" i="9" s="1"/>
  <c r="X220" i="9"/>
  <c r="Y220" i="9" s="1"/>
  <c r="AB220" i="9" s="1"/>
  <c r="X213" i="9"/>
  <c r="Y213" i="9" s="1"/>
  <c r="AB213" i="9" s="1"/>
  <c r="X208" i="9"/>
  <c r="Y208" i="9" s="1"/>
  <c r="AB208" i="9" s="1"/>
  <c r="X202" i="9"/>
  <c r="Y202" i="9" s="1"/>
  <c r="AB202" i="9" s="1"/>
  <c r="X199" i="9"/>
  <c r="Y199" i="9" s="1"/>
  <c r="AB199" i="9" s="1"/>
  <c r="X194" i="9"/>
  <c r="Y194" i="9" s="1"/>
  <c r="AB194" i="9" s="1"/>
  <c r="X190" i="9"/>
  <c r="Y190" i="9" s="1"/>
  <c r="AB190" i="9" s="1"/>
  <c r="X185" i="9"/>
  <c r="Y185" i="9" s="1"/>
  <c r="AB185" i="9" s="1"/>
  <c r="X181" i="9"/>
  <c r="Y181" i="9" s="1"/>
  <c r="AB181" i="9" s="1"/>
  <c r="X176" i="9"/>
  <c r="Y176" i="9" s="1"/>
  <c r="AB176" i="9" s="1"/>
  <c r="X167" i="9"/>
  <c r="Y167" i="9" s="1"/>
  <c r="AB167" i="9" s="1"/>
  <c r="X163" i="9"/>
  <c r="Y163" i="9" s="1"/>
  <c r="AB163" i="9" s="1"/>
  <c r="X151" i="9"/>
  <c r="Y151" i="9" s="1"/>
  <c r="AB151" i="9" s="1"/>
  <c r="X140" i="9"/>
  <c r="Y140" i="9" s="1"/>
  <c r="AB140" i="9" s="1"/>
  <c r="X134" i="9"/>
  <c r="Y134" i="9" s="1"/>
  <c r="AB134" i="9" s="1"/>
  <c r="X129" i="9"/>
  <c r="Y129" i="9" s="1"/>
  <c r="AB129" i="9" s="1"/>
  <c r="X121" i="9"/>
  <c r="Y121" i="9" s="1"/>
  <c r="AB121" i="9" s="1"/>
  <c r="X114" i="9"/>
  <c r="Y114" i="9" s="1"/>
  <c r="AB114" i="9" s="1"/>
  <c r="X110" i="9"/>
  <c r="Y110" i="9" s="1"/>
  <c r="AB110" i="9" s="1"/>
  <c r="X102" i="9"/>
  <c r="Y102" i="9" s="1"/>
  <c r="AB102" i="9" s="1"/>
  <c r="X86" i="9"/>
  <c r="Y86" i="9" s="1"/>
  <c r="AB86" i="9" s="1"/>
  <c r="X80" i="9"/>
  <c r="Y80" i="9" s="1"/>
  <c r="AB80" i="9" s="1"/>
  <c r="X70" i="9"/>
  <c r="Y70" i="9" s="1"/>
  <c r="AB70" i="9" s="1"/>
  <c r="X63" i="9"/>
  <c r="Y63" i="9" s="1"/>
  <c r="AB63" i="9" s="1"/>
  <c r="X59" i="9"/>
  <c r="Y59" i="9" s="1"/>
  <c r="AB59" i="9" s="1"/>
  <c r="X54" i="9"/>
  <c r="Y54" i="9" s="1"/>
  <c r="AB54" i="9" s="1"/>
  <c r="X48" i="9"/>
  <c r="Y48" i="9" s="1"/>
  <c r="AB48" i="9" s="1"/>
  <c r="X44" i="9"/>
  <c r="Y44" i="9" s="1"/>
  <c r="AB44" i="9" s="1"/>
  <c r="X35" i="9"/>
  <c r="Y35" i="9" s="1"/>
  <c r="AB35" i="9" s="1"/>
  <c r="X29" i="9"/>
  <c r="Y29" i="9" s="1"/>
  <c r="AB29" i="9" s="1"/>
  <c r="X25" i="9"/>
  <c r="Y25" i="9" s="1"/>
  <c r="AB25" i="9" s="1"/>
  <c r="X21" i="9"/>
  <c r="Y21" i="9" s="1"/>
  <c r="AB21" i="9" s="1"/>
  <c r="X172" i="9"/>
  <c r="Y172" i="9" s="1"/>
  <c r="AB172" i="9" s="1"/>
  <c r="X390" i="9"/>
  <c r="Y390" i="9" s="1"/>
  <c r="AB390" i="9" s="1"/>
  <c r="X233" i="9"/>
  <c r="Y233" i="9" s="1"/>
  <c r="X388" i="9"/>
  <c r="Y388" i="9" s="1"/>
  <c r="AB388" i="9" s="1"/>
  <c r="X381" i="9"/>
  <c r="Y381" i="9" s="1"/>
  <c r="AB381" i="9" s="1"/>
  <c r="X376" i="9"/>
  <c r="Y376" i="9" s="1"/>
  <c r="AB376" i="9" s="1"/>
  <c r="X372" i="9"/>
  <c r="Y372" i="9" s="1"/>
  <c r="AB372" i="9" s="1"/>
  <c r="X368" i="9"/>
  <c r="Y368" i="9" s="1"/>
  <c r="AB368" i="9" s="1"/>
  <c r="X362" i="9"/>
  <c r="Y362" i="9" s="1"/>
  <c r="AB362" i="9" s="1"/>
  <c r="X356" i="9"/>
  <c r="Y356" i="9" s="1"/>
  <c r="AB356" i="9" s="1"/>
  <c r="X349" i="9"/>
  <c r="Y349" i="9" s="1"/>
  <c r="AB349" i="9" s="1"/>
  <c r="X343" i="9"/>
  <c r="Y343" i="9" s="1"/>
  <c r="AB343" i="9" s="1"/>
  <c r="X338" i="9"/>
  <c r="Y338" i="9" s="1"/>
  <c r="AB338" i="9" s="1"/>
  <c r="X334" i="9"/>
  <c r="Y334" i="9" s="1"/>
  <c r="AB334" i="9" s="1"/>
  <c r="X329" i="9"/>
  <c r="Y329" i="9" s="1"/>
  <c r="AB329" i="9" s="1"/>
  <c r="X320" i="9"/>
  <c r="Y320" i="9" s="1"/>
  <c r="AB320" i="9" s="1"/>
  <c r="X300" i="9"/>
  <c r="Y300" i="9" s="1"/>
  <c r="AB300" i="9" s="1"/>
  <c r="X295" i="9"/>
  <c r="Y295" i="9" s="1"/>
  <c r="AB295" i="9" s="1"/>
  <c r="X291" i="9"/>
  <c r="Y291" i="9" s="1"/>
  <c r="AB291" i="9" s="1"/>
  <c r="X284" i="9"/>
  <c r="Y284" i="9" s="1"/>
  <c r="X280" i="9"/>
  <c r="Y280" i="9" s="1"/>
  <c r="AB280" i="9" s="1"/>
  <c r="X274" i="9"/>
  <c r="Y274" i="9" s="1"/>
  <c r="AB274" i="9" s="1"/>
  <c r="X260" i="9"/>
  <c r="Y260" i="9" s="1"/>
  <c r="AB260" i="9" s="1"/>
  <c r="X249" i="9"/>
  <c r="Y249" i="9" s="1"/>
  <c r="AB249" i="9" s="1"/>
  <c r="X245" i="9"/>
  <c r="Y245" i="9" s="1"/>
  <c r="AB245" i="9" s="1"/>
  <c r="X234" i="9"/>
  <c r="Y234" i="9" s="1"/>
  <c r="AB234" i="9" s="1"/>
  <c r="X230" i="9"/>
  <c r="Y230" i="9" s="1"/>
  <c r="AB230" i="9" s="1"/>
  <c r="X226" i="9"/>
  <c r="Y226" i="9" s="1"/>
  <c r="AB226" i="9" s="1"/>
  <c r="X222" i="9"/>
  <c r="Y222" i="9" s="1"/>
  <c r="AB222" i="9" s="1"/>
  <c r="X215" i="9"/>
  <c r="Y215" i="9" s="1"/>
  <c r="AB215" i="9" s="1"/>
  <c r="X204" i="9"/>
  <c r="Y204" i="9" s="1"/>
  <c r="AB204" i="9" s="1"/>
  <c r="X197" i="9"/>
  <c r="Y197" i="9" s="1"/>
  <c r="AB197" i="9" s="1"/>
  <c r="X192" i="9"/>
  <c r="Y192" i="9" s="1"/>
  <c r="AB192" i="9" s="1"/>
  <c r="X187" i="9"/>
  <c r="Y187" i="9" s="1"/>
  <c r="AB187" i="9" s="1"/>
  <c r="X183" i="9"/>
  <c r="Y183" i="9" s="1"/>
  <c r="AB183" i="9" s="1"/>
  <c r="X179" i="9"/>
  <c r="Y179" i="9" s="1"/>
  <c r="AB179" i="9" s="1"/>
  <c r="X174" i="9"/>
  <c r="Y174" i="9" s="1"/>
  <c r="AB174" i="9" s="1"/>
  <c r="X171" i="9"/>
  <c r="Y171" i="9" s="1"/>
  <c r="AB171" i="9" s="1"/>
  <c r="X165" i="9"/>
  <c r="Y165" i="9" s="1"/>
  <c r="AB165" i="9" s="1"/>
  <c r="X161" i="9"/>
  <c r="Y161" i="9" s="1"/>
  <c r="AB161" i="9" s="1"/>
  <c r="X154" i="9"/>
  <c r="Y154" i="9" s="1"/>
  <c r="AB154" i="9" s="1"/>
  <c r="X147" i="9"/>
  <c r="Y147" i="9" s="1"/>
  <c r="AB147" i="9" s="1"/>
  <c r="X142" i="9"/>
  <c r="Y142" i="9" s="1"/>
  <c r="AB142" i="9" s="1"/>
  <c r="X138" i="9"/>
  <c r="Y138" i="9" s="1"/>
  <c r="AB138" i="9" s="1"/>
  <c r="X127" i="9"/>
  <c r="Y127" i="9" s="1"/>
  <c r="AB127" i="9" s="1"/>
  <c r="X123" i="9"/>
  <c r="Y123" i="9" s="1"/>
  <c r="AB123" i="9" s="1"/>
  <c r="X116" i="9"/>
  <c r="Y116" i="9" s="1"/>
  <c r="AB116" i="9" s="1"/>
  <c r="X112" i="9"/>
  <c r="Y112" i="9" s="1"/>
  <c r="AB112" i="9" s="1"/>
  <c r="X108" i="9"/>
  <c r="Y108" i="9" s="1"/>
  <c r="AB108" i="9" s="1"/>
  <c r="X99" i="9"/>
  <c r="Y99" i="9" s="1"/>
  <c r="AB99" i="9" s="1"/>
  <c r="X91" i="9"/>
  <c r="Y91" i="9" s="1"/>
  <c r="AB91" i="9" s="1"/>
  <c r="X88" i="9"/>
  <c r="Y88" i="9" s="1"/>
  <c r="AB88" i="9" s="1"/>
  <c r="X82" i="9"/>
  <c r="Y82" i="9" s="1"/>
  <c r="AB82" i="9" s="1"/>
  <c r="X78" i="9"/>
  <c r="Y78" i="9" s="1"/>
  <c r="AB78" i="9" s="1"/>
  <c r="X72" i="9"/>
  <c r="Y72" i="9" s="1"/>
  <c r="AB72" i="9" s="1"/>
  <c r="X68" i="9"/>
  <c r="Y68" i="9" s="1"/>
  <c r="AB68" i="9" s="1"/>
  <c r="X61" i="9"/>
  <c r="Y61" i="9" s="1"/>
  <c r="AB61" i="9" s="1"/>
  <c r="X52" i="9"/>
  <c r="Y52" i="9" s="1"/>
  <c r="AB52" i="9" s="1"/>
  <c r="X50" i="9"/>
  <c r="Y50" i="9" s="1"/>
  <c r="AB50" i="9" s="1"/>
  <c r="X42" i="9"/>
  <c r="Y42" i="9" s="1"/>
  <c r="AB42" i="9" s="1"/>
  <c r="X37" i="9"/>
  <c r="Y37" i="9" s="1"/>
  <c r="AB37" i="9" s="1"/>
  <c r="X31" i="9"/>
  <c r="Y31" i="9" s="1"/>
  <c r="AB31" i="9" s="1"/>
  <c r="X27" i="9"/>
  <c r="Y27" i="9" s="1"/>
  <c r="AB27" i="9" s="1"/>
  <c r="X23" i="9"/>
  <c r="Y23" i="9" s="1"/>
  <c r="AB23" i="9" s="1"/>
  <c r="X17" i="9"/>
  <c r="Y17" i="9" s="1"/>
  <c r="AB17" i="9" s="1"/>
  <c r="X34" i="9"/>
  <c r="Y34" i="9" s="1"/>
  <c r="AB34" i="9" s="1"/>
  <c r="X201" i="9"/>
  <c r="Y201" i="9" s="1"/>
  <c r="AB201" i="9" s="1"/>
  <c r="X389" i="9"/>
  <c r="Y389" i="9" s="1"/>
  <c r="AB389" i="9" s="1"/>
  <c r="X382" i="9"/>
  <c r="Y382" i="9" s="1"/>
  <c r="AB382" i="9" s="1"/>
  <c r="X377" i="9"/>
  <c r="Y377" i="9" s="1"/>
  <c r="AB377" i="9" s="1"/>
  <c r="X369" i="9"/>
  <c r="Y369" i="9" s="1"/>
  <c r="AB369" i="9" s="1"/>
  <c r="X363" i="9"/>
  <c r="Y363" i="9" s="1"/>
  <c r="AB363" i="9" s="1"/>
  <c r="X357" i="9"/>
  <c r="Y357" i="9" s="1"/>
  <c r="AB357" i="9" s="1"/>
  <c r="X350" i="9"/>
  <c r="Y350" i="9" s="1"/>
  <c r="AB350" i="9" s="1"/>
  <c r="X344" i="9"/>
  <c r="Y344" i="9" s="1"/>
  <c r="AB344" i="9" s="1"/>
  <c r="X340" i="9"/>
  <c r="Y340" i="9" s="1"/>
  <c r="AB340" i="9" s="1"/>
  <c r="X335" i="9"/>
  <c r="Y335" i="9" s="1"/>
  <c r="AB335" i="9" s="1"/>
  <c r="X330" i="9"/>
  <c r="Y330" i="9" s="1"/>
  <c r="AB330" i="9" s="1"/>
  <c r="X326" i="9"/>
  <c r="Y326" i="9" s="1"/>
  <c r="AB326" i="9" s="1"/>
  <c r="X316" i="9"/>
  <c r="Y316" i="9" s="1"/>
  <c r="AB316" i="9" s="1"/>
  <c r="X309" i="9"/>
  <c r="Y309" i="9" s="1"/>
  <c r="AB309" i="9" s="1"/>
  <c r="X303" i="9"/>
  <c r="Y303" i="9" s="1"/>
  <c r="AB303" i="9" s="1"/>
  <c r="X296" i="9"/>
  <c r="Y296" i="9" s="1"/>
  <c r="AB296" i="9" s="1"/>
  <c r="X292" i="9"/>
  <c r="Y292" i="9" s="1"/>
  <c r="AB292" i="9" s="1"/>
  <c r="X285" i="9"/>
  <c r="Y285" i="9" s="1"/>
  <c r="AB285" i="9" s="1"/>
  <c r="X281" i="9"/>
  <c r="Y281" i="9" s="1"/>
  <c r="AB281" i="9" s="1"/>
  <c r="X275" i="9"/>
  <c r="Y275" i="9" s="1"/>
  <c r="AB275" i="9" s="1"/>
  <c r="X273" i="9"/>
  <c r="Y273" i="9" s="1"/>
  <c r="AB273" i="9" s="1"/>
  <c r="X270" i="9"/>
  <c r="Y270" i="9" s="1"/>
  <c r="AB270" i="9" s="1"/>
  <c r="X265" i="9"/>
  <c r="Y265" i="9" s="1"/>
  <c r="AB265" i="9" s="1"/>
  <c r="X261" i="9"/>
  <c r="Y261" i="9" s="1"/>
  <c r="AB261" i="9" s="1"/>
  <c r="X250" i="9"/>
  <c r="Y250" i="9" s="1"/>
  <c r="AB250" i="9" s="1"/>
  <c r="X246" i="9"/>
  <c r="Y246" i="9" s="1"/>
  <c r="AB246" i="9" s="1"/>
  <c r="X231" i="9"/>
  <c r="Y231" i="9" s="1"/>
  <c r="AB231" i="9" s="1"/>
  <c r="X227" i="9"/>
  <c r="Y227" i="9" s="1"/>
  <c r="AB227" i="9" s="1"/>
  <c r="X223" i="9"/>
  <c r="Y223" i="9" s="1"/>
  <c r="AB223" i="9" s="1"/>
  <c r="X216" i="9"/>
  <c r="Y216" i="9" s="1"/>
  <c r="AB216" i="9" s="1"/>
  <c r="X198" i="9"/>
  <c r="Y198" i="9" s="1"/>
  <c r="AB198" i="9" s="1"/>
  <c r="X193" i="9"/>
  <c r="Y193" i="9" s="1"/>
  <c r="AB193" i="9" s="1"/>
  <c r="X184" i="9"/>
  <c r="Y184" i="9" s="1"/>
  <c r="AB184" i="9" s="1"/>
  <c r="X180" i="9"/>
  <c r="Y180" i="9" s="1"/>
  <c r="AB180" i="9" s="1"/>
  <c r="X175" i="9"/>
  <c r="Y175" i="9" s="1"/>
  <c r="AB175" i="9" s="1"/>
  <c r="X166" i="9"/>
  <c r="Y166" i="9" s="1"/>
  <c r="AB166" i="9" s="1"/>
  <c r="X162" i="9"/>
  <c r="Y162" i="9" s="1"/>
  <c r="AB162" i="9" s="1"/>
  <c r="X155" i="9"/>
  <c r="Y155" i="9" s="1"/>
  <c r="AB155" i="9" s="1"/>
  <c r="X150" i="9"/>
  <c r="Y150" i="9" s="1"/>
  <c r="AB150" i="9" s="1"/>
  <c r="X139" i="9"/>
  <c r="Y139" i="9" s="1"/>
  <c r="AB139" i="9" s="1"/>
  <c r="X133" i="9"/>
  <c r="Y133" i="9" s="1"/>
  <c r="AB133" i="9" s="1"/>
  <c r="X128" i="9"/>
  <c r="Y128" i="9" s="1"/>
  <c r="AB128" i="9" s="1"/>
  <c r="X120" i="9"/>
  <c r="Y120" i="9" s="1"/>
  <c r="AB120" i="9" s="1"/>
  <c r="X117" i="9"/>
  <c r="Y117" i="9" s="1"/>
  <c r="AB117" i="9" s="1"/>
  <c r="X113" i="9"/>
  <c r="Y113" i="9" s="1"/>
  <c r="AB113" i="9" s="1"/>
  <c r="X109" i="9"/>
  <c r="Y109" i="9" s="1"/>
  <c r="AB109" i="9" s="1"/>
  <c r="X101" i="9"/>
  <c r="Y101" i="9" s="1"/>
  <c r="AB101" i="9" s="1"/>
  <c r="X92" i="9"/>
  <c r="Y92" i="9" s="1"/>
  <c r="AB92" i="9" s="1"/>
  <c r="X89" i="9"/>
  <c r="Y89" i="9" s="1"/>
  <c r="AB89" i="9" s="1"/>
  <c r="X85" i="9"/>
  <c r="Y85" i="9" s="1"/>
  <c r="AB85" i="9" s="1"/>
  <c r="X79" i="9"/>
  <c r="Y79" i="9" s="1"/>
  <c r="AB79" i="9" s="1"/>
  <c r="X73" i="9"/>
  <c r="Y73" i="9" s="1"/>
  <c r="AB73" i="9" s="1"/>
  <c r="X69" i="9"/>
  <c r="Y69" i="9" s="1"/>
  <c r="AB69" i="9" s="1"/>
  <c r="X62" i="9"/>
  <c r="Y62" i="9" s="1"/>
  <c r="AB62" i="9" s="1"/>
  <c r="X53" i="9"/>
  <c r="Y53" i="9" s="1"/>
  <c r="AB53" i="9" s="1"/>
  <c r="X43" i="9"/>
  <c r="Y43" i="9" s="1"/>
  <c r="AB43" i="9" s="1"/>
  <c r="X28" i="9"/>
  <c r="Y28" i="9" s="1"/>
  <c r="AB28" i="9" s="1"/>
  <c r="X24" i="9"/>
  <c r="Y24" i="9" s="1"/>
  <c r="AB24" i="9" s="1"/>
  <c r="X18" i="9"/>
  <c r="Y18" i="9" s="1"/>
  <c r="AB18" i="9" s="1"/>
  <c r="X14" i="9"/>
  <c r="Y14" i="9" s="1"/>
  <c r="AB14" i="9" s="1"/>
  <c r="X58" i="9"/>
  <c r="Y58" i="9" s="1"/>
  <c r="AB58" i="9" s="1"/>
  <c r="X353" i="6"/>
  <c r="X136" i="6"/>
  <c r="X378" i="6"/>
  <c r="X134" i="6"/>
  <c r="X133" i="6"/>
  <c r="X87" i="6"/>
  <c r="X44" i="6"/>
  <c r="X43" i="6"/>
  <c r="X377" i="6"/>
  <c r="X291" i="6"/>
  <c r="X200" i="6"/>
  <c r="X198" i="6"/>
  <c r="X197" i="6"/>
  <c r="X185" i="6"/>
  <c r="X167" i="6"/>
  <c r="X373" i="6"/>
  <c r="X324" i="6"/>
  <c r="X169" i="6"/>
  <c r="X125" i="6"/>
  <c r="X46" i="6"/>
  <c r="X376" i="6"/>
  <c r="X372" i="6"/>
  <c r="X361" i="6"/>
  <c r="X357" i="6"/>
  <c r="X349" i="6"/>
  <c r="X309" i="6"/>
  <c r="X290" i="6"/>
  <c r="X286" i="6"/>
  <c r="X265" i="6"/>
  <c r="X142" i="6"/>
  <c r="X30" i="6"/>
  <c r="X367" i="6"/>
  <c r="X201" i="6"/>
  <c r="X135" i="6"/>
  <c r="X78" i="6"/>
  <c r="X278" i="6"/>
  <c r="X212" i="6"/>
  <c r="X159" i="6"/>
  <c r="X333" i="6"/>
  <c r="X192" i="6"/>
  <c r="X191" i="6"/>
  <c r="X139" i="6"/>
  <c r="X112" i="6"/>
  <c r="X102" i="6"/>
  <c r="X82" i="6"/>
  <c r="X41" i="6"/>
  <c r="X22" i="6"/>
  <c r="X345" i="6"/>
  <c r="X323" i="6"/>
  <c r="X137" i="6"/>
  <c r="X384" i="6"/>
  <c r="X375" i="6"/>
  <c r="X275" i="6"/>
  <c r="X259" i="6"/>
  <c r="X179" i="6"/>
  <c r="X147" i="6"/>
  <c r="X146" i="6"/>
  <c r="X121" i="6"/>
  <c r="X120" i="6"/>
  <c r="X72" i="6"/>
  <c r="X58" i="6"/>
  <c r="X57" i="6"/>
  <c r="X25" i="6"/>
  <c r="AM217" i="26"/>
  <c r="AM339" i="26"/>
  <c r="Y155" i="26"/>
  <c r="AC155" i="26" s="1"/>
  <c r="AP351" i="26"/>
  <c r="AO351" i="26" s="1"/>
  <c r="AP371" i="26"/>
  <c r="AO371" i="26" s="1"/>
  <c r="AJ163" i="26"/>
  <c r="AW163" i="26" s="1"/>
  <c r="AY163" i="26" s="1"/>
  <c r="AX163" i="26" s="1"/>
  <c r="AB251" i="6"/>
  <c r="AV373" i="26"/>
  <c r="AV311" i="26"/>
  <c r="AV152" i="26"/>
  <c r="AP24" i="26"/>
  <c r="AO24" i="26" s="1"/>
  <c r="BE484" i="26"/>
  <c r="BE464" i="26"/>
  <c r="BE494" i="26"/>
  <c r="BE476" i="26"/>
  <c r="BE470" i="26"/>
  <c r="BE467" i="26"/>
  <c r="BE419" i="26"/>
  <c r="AI218" i="7"/>
  <c r="AD125" i="7"/>
  <c r="X158" i="7"/>
  <c r="H218" i="7"/>
  <c r="M1418" i="10" s="1"/>
  <c r="H218" i="6"/>
  <c r="AD218" i="6" s="1"/>
  <c r="H55" i="6"/>
  <c r="AD55" i="6" s="1"/>
  <c r="I39" i="9"/>
  <c r="BE438" i="26"/>
  <c r="BE535" i="26"/>
  <c r="BE532" i="26"/>
  <c r="BE526" i="26"/>
  <c r="BE474" i="26"/>
  <c r="BE447" i="26"/>
  <c r="BE416" i="26"/>
  <c r="BE536" i="26"/>
  <c r="AQ499" i="26"/>
  <c r="AR499" i="26" s="1"/>
  <c r="BE499" i="26"/>
  <c r="AS491" i="26"/>
  <c r="AT491" i="26" s="1"/>
  <c r="AQ531" i="26"/>
  <c r="AR531" i="26" s="1"/>
  <c r="BE531" i="26"/>
  <c r="AQ525" i="26"/>
  <c r="AR525" i="26" s="1"/>
  <c r="BE525" i="26"/>
  <c r="AQ523" i="26"/>
  <c r="AR523" i="26" s="1"/>
  <c r="BE523" i="26"/>
  <c r="AQ508" i="26"/>
  <c r="AR508" i="26" s="1"/>
  <c r="BE508" i="26"/>
  <c r="AS488" i="26"/>
  <c r="AT488" i="26" s="1"/>
  <c r="BE488" i="26"/>
  <c r="AS478" i="26"/>
  <c r="AT478" i="26" s="1"/>
  <c r="AS466" i="26"/>
  <c r="AT466" i="26" s="1"/>
  <c r="BE466" i="26"/>
  <c r="AS459" i="26"/>
  <c r="AT459" i="26" s="1"/>
  <c r="BE459" i="26"/>
  <c r="AQ429" i="26"/>
  <c r="AR429" i="26" s="1"/>
  <c r="BE429" i="26"/>
  <c r="AQ428" i="26"/>
  <c r="AR428" i="26" s="1"/>
  <c r="BE428" i="26"/>
  <c r="AS425" i="26"/>
  <c r="AT425" i="26" s="1"/>
  <c r="AS422" i="26"/>
  <c r="AT422" i="26" s="1"/>
  <c r="AQ413" i="26"/>
  <c r="AR413" i="26" s="1"/>
  <c r="BE413" i="26"/>
  <c r="AQ511" i="26"/>
  <c r="AR511" i="26" s="1"/>
  <c r="BE511" i="26"/>
  <c r="AQ507" i="26"/>
  <c r="AR507" i="26" s="1"/>
  <c r="BE507" i="26"/>
  <c r="AQ500" i="26"/>
  <c r="AR500" i="26" s="1"/>
  <c r="BE500" i="26"/>
  <c r="AQ433" i="26"/>
  <c r="AR433" i="26" s="1"/>
  <c r="BE433" i="26"/>
  <c r="AS485" i="26"/>
  <c r="AT485" i="26" s="1"/>
  <c r="BE485" i="26"/>
  <c r="AS482" i="26"/>
  <c r="AT482" i="26" s="1"/>
  <c r="AS473" i="26"/>
  <c r="AT473" i="26" s="1"/>
  <c r="AS453" i="26"/>
  <c r="AT453" i="26" s="1"/>
  <c r="AS469" i="26"/>
  <c r="AT469" i="26" s="1"/>
  <c r="AQ435" i="26"/>
  <c r="AR435" i="26" s="1"/>
  <c r="BE435" i="26"/>
  <c r="AS534" i="26"/>
  <c r="AT534" i="26" s="1"/>
  <c r="BE534" i="26"/>
  <c r="AQ528" i="26"/>
  <c r="AR528" i="26" s="1"/>
  <c r="BE528" i="26"/>
  <c r="AS492" i="26"/>
  <c r="AT492" i="26" s="1"/>
  <c r="BE492" i="26"/>
  <c r="AS486" i="26"/>
  <c r="AT486" i="26" s="1"/>
  <c r="AS479" i="26"/>
  <c r="AT479" i="26" s="1"/>
  <c r="AS458" i="26"/>
  <c r="AT458" i="26" s="1"/>
  <c r="AS455" i="26"/>
  <c r="AT455" i="26" s="1"/>
  <c r="AS450" i="26"/>
  <c r="AT450" i="26" s="1"/>
  <c r="AQ441" i="26"/>
  <c r="AR441" i="26" s="1"/>
  <c r="BE441" i="26"/>
  <c r="AS442" i="26"/>
  <c r="AT442" i="26" s="1"/>
  <c r="BE442" i="26"/>
  <c r="AQ423" i="26"/>
  <c r="AR423" i="26" s="1"/>
  <c r="BE423" i="26"/>
  <c r="AQ501" i="26"/>
  <c r="AR501" i="26" s="1"/>
  <c r="BE501" i="26"/>
  <c r="AS497" i="26"/>
  <c r="AT497" i="26" s="1"/>
  <c r="BE497" i="26"/>
  <c r="AS480" i="26"/>
  <c r="AT480" i="26" s="1"/>
  <c r="AQ462" i="26"/>
  <c r="AR462" i="26" s="1"/>
  <c r="BE462" i="26"/>
  <c r="AS456" i="26"/>
  <c r="AT456" i="26" s="1"/>
  <c r="BE456" i="26"/>
  <c r="AQ452" i="26"/>
  <c r="AR452" i="26" s="1"/>
  <c r="BE452" i="26"/>
  <c r="AQ538" i="26"/>
  <c r="AR538" i="26" s="1"/>
  <c r="BE538" i="26"/>
  <c r="AQ514" i="26"/>
  <c r="AR514" i="26" s="1"/>
  <c r="BE514" i="26"/>
  <c r="AQ503" i="26"/>
  <c r="AR503" i="26" s="1"/>
  <c r="BE503" i="26"/>
  <c r="AS487" i="26"/>
  <c r="AT487" i="26" s="1"/>
  <c r="BE487" i="26"/>
  <c r="AS483" i="26"/>
  <c r="AT483" i="26" s="1"/>
  <c r="BE483" i="26"/>
  <c r="AS481" i="26"/>
  <c r="AT481" i="26" s="1"/>
  <c r="BE481" i="26"/>
  <c r="AS475" i="26"/>
  <c r="AT475" i="26" s="1"/>
  <c r="AQ471" i="26"/>
  <c r="AR471" i="26" s="1"/>
  <c r="BE471" i="26"/>
  <c r="AS465" i="26"/>
  <c r="AT465" i="26" s="1"/>
  <c r="AQ461" i="26"/>
  <c r="AR461" i="26" s="1"/>
  <c r="BE461" i="26"/>
  <c r="AS457" i="26"/>
  <c r="AT457" i="26" s="1"/>
  <c r="AQ451" i="26"/>
  <c r="AR451" i="26" s="1"/>
  <c r="BE451" i="26"/>
  <c r="AS448" i="26"/>
  <c r="AT448" i="26" s="1"/>
  <c r="AQ436" i="26"/>
  <c r="AR436" i="26" s="1"/>
  <c r="BE436" i="26"/>
  <c r="AQ424" i="26"/>
  <c r="AR424" i="26" s="1"/>
  <c r="BE424" i="26"/>
  <c r="AA14" i="26"/>
  <c r="E412" i="26"/>
  <c r="E412" i="9" s="1"/>
  <c r="S66" i="7"/>
  <c r="X1266" i="10" s="1"/>
  <c r="AN144" i="7"/>
  <c r="AB144" i="7"/>
  <c r="AG1344" i="10" s="1"/>
  <c r="AG524" i="26"/>
  <c r="AJ524" i="26" s="1"/>
  <c r="AC125" i="7"/>
  <c r="AH1325" i="10" s="1"/>
  <c r="AB218" i="7"/>
  <c r="AG1418" i="10" s="1"/>
  <c r="AB98" i="7"/>
  <c r="X277" i="7"/>
  <c r="AC1477" i="10" s="1"/>
  <c r="S218" i="7"/>
  <c r="X1418" i="10" s="1"/>
  <c r="G98" i="7"/>
  <c r="H311" i="9"/>
  <c r="AD311" i="9" s="1"/>
  <c r="D423" i="6"/>
  <c r="N423" i="6" s="1"/>
  <c r="AG423" i="26"/>
  <c r="AH423" i="26" s="1"/>
  <c r="AG416" i="26"/>
  <c r="AJ416" i="26" s="1"/>
  <c r="AG532" i="26"/>
  <c r="AJ532" i="26" s="1"/>
  <c r="K277" i="7"/>
  <c r="P1477" i="10" s="1"/>
  <c r="G125" i="7"/>
  <c r="L1325" i="10" s="1"/>
  <c r="D445" i="9"/>
  <c r="N445" i="9" s="1"/>
  <c r="AP391" i="7"/>
  <c r="AZ391" i="7" s="1"/>
  <c r="BA391" i="7" s="1"/>
  <c r="AW78" i="26"/>
  <c r="AY78" i="26" s="1"/>
  <c r="AX78" i="26" s="1"/>
  <c r="AP358" i="26"/>
  <c r="AO358" i="26" s="1"/>
  <c r="F1510" i="10"/>
  <c r="AO1510" i="10" s="1"/>
  <c r="AM241" i="26"/>
  <c r="Y241" i="27" s="1"/>
  <c r="G241" i="27" s="1"/>
  <c r="G1480" i="10"/>
  <c r="G1414" i="10"/>
  <c r="AM278" i="26"/>
  <c r="G278" i="9" s="1"/>
  <c r="AM158" i="26"/>
  <c r="F158" i="9" s="1"/>
  <c r="AP160" i="26"/>
  <c r="AO160" i="26" s="1"/>
  <c r="AP386" i="26"/>
  <c r="AO386" i="26" s="1"/>
  <c r="F1236" i="10"/>
  <c r="AF1236" i="10" s="1"/>
  <c r="AF354" i="26"/>
  <c r="AH354" i="26" s="1"/>
  <c r="AP354" i="26"/>
  <c r="AO354" i="26" s="1"/>
  <c r="AF350" i="26"/>
  <c r="AH350" i="26" s="1"/>
  <c r="AP350" i="26"/>
  <c r="AO350" i="26" s="1"/>
  <c r="AF342" i="26"/>
  <c r="AH342" i="26" s="1"/>
  <c r="AG342" i="26" s="1"/>
  <c r="AP342" i="26"/>
  <c r="AO342" i="26" s="1"/>
  <c r="E328" i="10"/>
  <c r="AP328" i="26"/>
  <c r="AO328" i="26" s="1"/>
  <c r="F498" i="26"/>
  <c r="E203" i="10"/>
  <c r="AP203" i="26"/>
  <c r="AO203" i="26" s="1"/>
  <c r="AF202" i="26"/>
  <c r="AH202" i="26" s="1"/>
  <c r="AG202" i="26" s="1"/>
  <c r="V422" i="26"/>
  <c r="AP43" i="26"/>
  <c r="E369" i="10"/>
  <c r="AF279" i="26"/>
  <c r="AH279" i="26" s="1"/>
  <c r="AG279" i="26" s="1"/>
  <c r="AP279" i="26"/>
  <c r="AO279" i="26" s="1"/>
  <c r="E262" i="10"/>
  <c r="AF223" i="26"/>
  <c r="AN223" i="26" s="1"/>
  <c r="E201" i="10"/>
  <c r="AP201" i="26"/>
  <c r="AO201" i="26" s="1"/>
  <c r="E186" i="10"/>
  <c r="E164" i="10"/>
  <c r="F474" i="26"/>
  <c r="AP162" i="26"/>
  <c r="AO162" i="26" s="1"/>
  <c r="AF123" i="26"/>
  <c r="AH123" i="26" s="1"/>
  <c r="AG123" i="26" s="1"/>
  <c r="AP123" i="26"/>
  <c r="AO123" i="26" s="1"/>
  <c r="F459" i="26"/>
  <c r="AP121" i="26"/>
  <c r="AF116" i="26"/>
  <c r="AH116" i="26" s="1"/>
  <c r="AG116" i="26" s="1"/>
  <c r="AP116" i="26"/>
  <c r="AO116" i="26" s="1"/>
  <c r="E93" i="10"/>
  <c r="AP93" i="26"/>
  <c r="AO93" i="26" s="1"/>
  <c r="E54" i="10"/>
  <c r="AP54" i="26"/>
  <c r="AO54" i="26" s="1"/>
  <c r="E42" i="10"/>
  <c r="AP42" i="26"/>
  <c r="AO42" i="26" s="1"/>
  <c r="E28" i="10"/>
  <c r="AP28" i="26"/>
  <c r="AO28" i="26" s="1"/>
  <c r="E362" i="10"/>
  <c r="AP362" i="26"/>
  <c r="AO362" i="26" s="1"/>
  <c r="AF337" i="26"/>
  <c r="AH337" i="26" s="1"/>
  <c r="AG337" i="26" s="1"/>
  <c r="AP337" i="26"/>
  <c r="AO337" i="26" s="1"/>
  <c r="V512" i="26"/>
  <c r="E245" i="10"/>
  <c r="AF228" i="26"/>
  <c r="AN228" i="26" s="1"/>
  <c r="F500" i="26"/>
  <c r="F497" i="26"/>
  <c r="AF183" i="26"/>
  <c r="AH183" i="26" s="1"/>
  <c r="AG183" i="26" s="1"/>
  <c r="E179" i="10"/>
  <c r="AP179" i="26"/>
  <c r="AO179" i="26" s="1"/>
  <c r="AF165" i="26"/>
  <c r="AH165" i="26" s="1"/>
  <c r="AG165" i="26" s="1"/>
  <c r="E71" i="10"/>
  <c r="AP71" i="26"/>
  <c r="AO71" i="26" s="1"/>
  <c r="AF69" i="26"/>
  <c r="AH69" i="26" s="1"/>
  <c r="AG69" i="26" s="1"/>
  <c r="AP69" i="26"/>
  <c r="AO69" i="26" s="1"/>
  <c r="E389" i="10"/>
  <c r="AP389" i="26"/>
  <c r="AO389" i="26" s="1"/>
  <c r="AF361" i="26"/>
  <c r="AH361" i="26" s="1"/>
  <c r="AG361" i="26" s="1"/>
  <c r="AP361" i="26"/>
  <c r="E357" i="10"/>
  <c r="AP357" i="26"/>
  <c r="AO357" i="26" s="1"/>
  <c r="E327" i="10"/>
  <c r="AP327" i="26"/>
  <c r="AO327" i="26" s="1"/>
  <c r="V532" i="26"/>
  <c r="AF292" i="26"/>
  <c r="AH292" i="26" s="1"/>
  <c r="E211" i="10"/>
  <c r="AP211" i="26"/>
  <c r="AO211" i="26" s="1"/>
  <c r="AF209" i="26"/>
  <c r="AH209" i="26" s="1"/>
  <c r="AG209" i="26" s="1"/>
  <c r="E208" i="10"/>
  <c r="AP208" i="26"/>
  <c r="AO208" i="26" s="1"/>
  <c r="F487" i="26"/>
  <c r="AP200" i="26"/>
  <c r="AO200" i="26" s="1"/>
  <c r="V486" i="26"/>
  <c r="AP199" i="26"/>
  <c r="AO199" i="26" s="1"/>
  <c r="AF198" i="26"/>
  <c r="AH198" i="26" s="1"/>
  <c r="AG198" i="26" s="1"/>
  <c r="AP198" i="26"/>
  <c r="F484" i="26"/>
  <c r="AP193" i="26"/>
  <c r="AO193" i="26" s="1"/>
  <c r="E192" i="10"/>
  <c r="AP192" i="26"/>
  <c r="AO192" i="26" s="1"/>
  <c r="V481" i="26"/>
  <c r="AP191" i="26"/>
  <c r="AO191" i="26" s="1"/>
  <c r="F480" i="26"/>
  <c r="AP190" i="26"/>
  <c r="AF182" i="26"/>
  <c r="AH182" i="26" s="1"/>
  <c r="AG182" i="26" s="1"/>
  <c r="AP182" i="26"/>
  <c r="AO182" i="26" s="1"/>
  <c r="E178" i="10"/>
  <c r="AP178" i="26"/>
  <c r="AO178" i="26" s="1"/>
  <c r="E122" i="10"/>
  <c r="AP122" i="26"/>
  <c r="AO122" i="26" s="1"/>
  <c r="E115" i="10"/>
  <c r="AP115" i="26"/>
  <c r="AO115" i="26" s="1"/>
  <c r="AF91" i="26"/>
  <c r="AH91" i="26" s="1"/>
  <c r="AG91" i="26" s="1"/>
  <c r="AP91" i="26"/>
  <c r="AF82" i="26"/>
  <c r="AH82" i="26" s="1"/>
  <c r="AG82" i="26" s="1"/>
  <c r="AP82" i="26"/>
  <c r="AF68" i="26"/>
  <c r="AH68" i="26" s="1"/>
  <c r="AG68" i="26" s="1"/>
  <c r="AP68" i="26"/>
  <c r="AO68" i="26" s="1"/>
  <c r="F433" i="26"/>
  <c r="AP64" i="26"/>
  <c r="AO64" i="26" s="1"/>
  <c r="E63" i="10"/>
  <c r="AP63" i="26"/>
  <c r="AO63" i="26" s="1"/>
  <c r="E50" i="10"/>
  <c r="AP50" i="26"/>
  <c r="AO50" i="26" s="1"/>
  <c r="AF49" i="26"/>
  <c r="AH49" i="26" s="1"/>
  <c r="AG49" i="26" s="1"/>
  <c r="F424" i="26"/>
  <c r="AP48" i="26"/>
  <c r="AO48" i="26" s="1"/>
  <c r="V412" i="26"/>
  <c r="AP14" i="26"/>
  <c r="AO14" i="26" s="1"/>
  <c r="E385" i="10"/>
  <c r="E331" i="10"/>
  <c r="AP331" i="26"/>
  <c r="AO331" i="26" s="1"/>
  <c r="E210" i="10"/>
  <c r="E388" i="10"/>
  <c r="AP388" i="26"/>
  <c r="AO388" i="26" s="1"/>
  <c r="E383" i="10"/>
  <c r="AP383" i="26"/>
  <c r="AO383" i="26" s="1"/>
  <c r="AT378" i="26"/>
  <c r="AS378" i="26" s="1"/>
  <c r="AP378" i="26"/>
  <c r="AO378" i="26" s="1"/>
  <c r="E364" i="10"/>
  <c r="E356" i="10"/>
  <c r="AP356" i="26"/>
  <c r="E344" i="10"/>
  <c r="AP344" i="26"/>
  <c r="AO344" i="26" s="1"/>
  <c r="AF340" i="26"/>
  <c r="AH340" i="26" s="1"/>
  <c r="AG340" i="26" s="1"/>
  <c r="AP340" i="26"/>
  <c r="AO340" i="26" s="1"/>
  <c r="E335" i="10"/>
  <c r="AP335" i="26"/>
  <c r="AO335" i="26" s="1"/>
  <c r="AF330" i="26"/>
  <c r="AH330" i="26" s="1"/>
  <c r="AP330" i="26"/>
  <c r="AO330" i="26" s="1"/>
  <c r="AF326" i="26"/>
  <c r="AH326" i="26" s="1"/>
  <c r="AG326" i="26" s="1"/>
  <c r="AP326" i="26"/>
  <c r="AO326" i="26" s="1"/>
  <c r="AF321" i="26"/>
  <c r="AH321" i="26" s="1"/>
  <c r="AG321" i="26" s="1"/>
  <c r="AP321" i="26"/>
  <c r="AO321" i="26" s="1"/>
  <c r="AF320" i="26"/>
  <c r="AH320" i="26" s="1"/>
  <c r="AG320" i="26" s="1"/>
  <c r="AP320" i="26"/>
  <c r="AO320" i="26" s="1"/>
  <c r="AF319" i="26"/>
  <c r="AH319" i="26" s="1"/>
  <c r="AG319" i="26" s="1"/>
  <c r="AP319" i="26"/>
  <c r="AO319" i="26" s="1"/>
  <c r="AF306" i="26"/>
  <c r="AH306" i="26" s="1"/>
  <c r="AG306" i="26" s="1"/>
  <c r="AP306" i="26"/>
  <c r="AO306" i="26" s="1"/>
  <c r="F534" i="26"/>
  <c r="AP305" i="26"/>
  <c r="AO305" i="26" s="1"/>
  <c r="AF295" i="26"/>
  <c r="AH295" i="26" s="1"/>
  <c r="AP295" i="26"/>
  <c r="AO295" i="26" s="1"/>
  <c r="E291" i="10"/>
  <c r="AP291" i="26"/>
  <c r="AO291" i="26" s="1"/>
  <c r="AF287" i="26"/>
  <c r="AH287" i="26" s="1"/>
  <c r="AG287" i="26" s="1"/>
  <c r="AP287" i="26"/>
  <c r="AO287" i="26" s="1"/>
  <c r="E283" i="10"/>
  <c r="AP283" i="26"/>
  <c r="AO283" i="26" s="1"/>
  <c r="AF282" i="26"/>
  <c r="AH282" i="26" s="1"/>
  <c r="AG282" i="26" s="1"/>
  <c r="AP282" i="26"/>
  <c r="AO282" i="26" s="1"/>
  <c r="E266" i="10"/>
  <c r="AP266" i="26"/>
  <c r="AO266" i="26" s="1"/>
  <c r="AF234" i="26"/>
  <c r="AN234" i="26" s="1"/>
  <c r="AF230" i="26"/>
  <c r="AN230" i="26" s="1"/>
  <c r="AF197" i="26"/>
  <c r="AH197" i="26" s="1"/>
  <c r="AG197" i="26" s="1"/>
  <c r="AP197" i="26"/>
  <c r="AO197" i="26" s="1"/>
  <c r="V473" i="26"/>
  <c r="AP157" i="26"/>
  <c r="AO157" i="26" s="1"/>
  <c r="V465" i="26"/>
  <c r="AP135" i="26"/>
  <c r="AO135" i="26" s="1"/>
  <c r="V464" i="26"/>
  <c r="AP134" i="26"/>
  <c r="AO134" i="26" s="1"/>
  <c r="E130" i="10"/>
  <c r="AP130" i="26"/>
  <c r="AO130" i="26" s="1"/>
  <c r="AF120" i="26"/>
  <c r="AH120" i="26" s="1"/>
  <c r="AP120" i="26"/>
  <c r="AO120" i="26" s="1"/>
  <c r="E104" i="10"/>
  <c r="AP104" i="26"/>
  <c r="AO104" i="26" s="1"/>
  <c r="AF89" i="26"/>
  <c r="AH89" i="26" s="1"/>
  <c r="AP89" i="26"/>
  <c r="AO89" i="26" s="1"/>
  <c r="AZ85" i="26"/>
  <c r="BB85" i="26" s="1"/>
  <c r="AP85" i="26"/>
  <c r="AO85" i="26" s="1"/>
  <c r="AZ81" i="26"/>
  <c r="BB81" i="26" s="1"/>
  <c r="AP81" i="26"/>
  <c r="E73" i="10"/>
  <c r="AP73" i="26"/>
  <c r="AO73" i="26" s="1"/>
  <c r="AF62" i="26"/>
  <c r="AH62" i="26" s="1"/>
  <c r="AG62" i="26" s="1"/>
  <c r="AP62" i="26"/>
  <c r="AO62" i="26" s="1"/>
  <c r="AF61" i="26"/>
  <c r="AH61" i="26" s="1"/>
  <c r="AG61" i="26" s="1"/>
  <c r="AF53" i="26"/>
  <c r="AH53" i="26" s="1"/>
  <c r="AG53" i="26" s="1"/>
  <c r="AP53" i="26"/>
  <c r="AO53" i="26" s="1"/>
  <c r="AF41" i="26"/>
  <c r="AH41" i="26" s="1"/>
  <c r="AG41" i="26" s="1"/>
  <c r="AP41" i="26"/>
  <c r="AO41" i="26" s="1"/>
  <c r="E38" i="10"/>
  <c r="AP38" i="26"/>
  <c r="AO38" i="26" s="1"/>
  <c r="AF22" i="26"/>
  <c r="AH22" i="26" s="1"/>
  <c r="AP22" i="26"/>
  <c r="AO22" i="26" s="1"/>
  <c r="F416" i="26"/>
  <c r="AZ391" i="26"/>
  <c r="BB391" i="26" s="1"/>
  <c r="AP391" i="26"/>
  <c r="E387" i="10"/>
  <c r="AP387" i="26"/>
  <c r="AO387" i="26" s="1"/>
  <c r="AF382" i="26"/>
  <c r="AH382" i="26" s="1"/>
  <c r="AG382" i="26" s="1"/>
  <c r="AP382" i="26"/>
  <c r="AO382" i="26" s="1"/>
  <c r="AF347" i="26"/>
  <c r="AH347" i="26" s="1"/>
  <c r="AG347" i="26" s="1"/>
  <c r="AP347" i="26"/>
  <c r="AO347" i="26" s="1"/>
  <c r="AF343" i="26"/>
  <c r="AH343" i="26" s="1"/>
  <c r="AP343" i="26"/>
  <c r="AO343" i="26" s="1"/>
  <c r="E334" i="10"/>
  <c r="AP334" i="26"/>
  <c r="AF329" i="26"/>
  <c r="AH329" i="26" s="1"/>
  <c r="AG329" i="26" s="1"/>
  <c r="AP329" i="26"/>
  <c r="AO329" i="26" s="1"/>
  <c r="E316" i="10"/>
  <c r="AP316" i="26"/>
  <c r="E313" i="10"/>
  <c r="AP313" i="26"/>
  <c r="AO313" i="26" s="1"/>
  <c r="AF309" i="26"/>
  <c r="AH309" i="26" s="1"/>
  <c r="AG309" i="26" s="1"/>
  <c r="AP309" i="26"/>
  <c r="AO309" i="26" s="1"/>
  <c r="E286" i="10"/>
  <c r="E281" i="10"/>
  <c r="V530" i="26"/>
  <c r="AP276" i="26"/>
  <c r="AO276" i="26" s="1"/>
  <c r="V529" i="26"/>
  <c r="AP275" i="26"/>
  <c r="V528" i="26"/>
  <c r="AP274" i="26"/>
  <c r="AO274" i="26" s="1"/>
  <c r="E265" i="10"/>
  <c r="AP265" i="26"/>
  <c r="AO265" i="26" s="1"/>
  <c r="AF260" i="26"/>
  <c r="AH260" i="26" s="1"/>
  <c r="F525" i="26"/>
  <c r="AF258" i="26"/>
  <c r="AH258" i="26" s="1"/>
  <c r="E251" i="10"/>
  <c r="E240" i="10"/>
  <c r="AF238" i="26"/>
  <c r="AN238" i="26" s="1"/>
  <c r="AF237" i="26"/>
  <c r="AN237" i="26" s="1"/>
  <c r="V490" i="26"/>
  <c r="AP205" i="26"/>
  <c r="AO205" i="26" s="1"/>
  <c r="AZ180" i="26"/>
  <c r="BB180" i="26" s="1"/>
  <c r="AP180" i="26"/>
  <c r="AO180" i="26" s="1"/>
  <c r="E175" i="10"/>
  <c r="AP175" i="26"/>
  <c r="AO175" i="26" s="1"/>
  <c r="V478" i="26"/>
  <c r="AP174" i="26"/>
  <c r="V475" i="26"/>
  <c r="AP170" i="26"/>
  <c r="AO170" i="26" s="1"/>
  <c r="E155" i="10"/>
  <c r="AP155" i="26"/>
  <c r="AF150" i="26"/>
  <c r="AH150" i="26" s="1"/>
  <c r="AG150" i="26" s="1"/>
  <c r="AF140" i="26"/>
  <c r="AH140" i="26" s="1"/>
  <c r="AG140" i="26" s="1"/>
  <c r="AP140" i="26"/>
  <c r="E139" i="10"/>
  <c r="AP139" i="26"/>
  <c r="AO139" i="26" s="1"/>
  <c r="AZ133" i="26"/>
  <c r="BB133" i="26" s="1"/>
  <c r="AP133" i="26"/>
  <c r="AO133" i="26" s="1"/>
  <c r="E111" i="10"/>
  <c r="AP111" i="26"/>
  <c r="AO111" i="26" s="1"/>
  <c r="E103" i="10"/>
  <c r="F448" i="26"/>
  <c r="AP102" i="26"/>
  <c r="AO102" i="26" s="1"/>
  <c r="E101" i="10"/>
  <c r="AP101" i="26"/>
  <c r="AO101" i="26" s="1"/>
  <c r="F443" i="26"/>
  <c r="AP95" i="26"/>
  <c r="AO95" i="26" s="1"/>
  <c r="E88" i="10"/>
  <c r="AP88" i="26"/>
  <c r="AO88" i="26" s="1"/>
  <c r="V438" i="26"/>
  <c r="E78" i="10"/>
  <c r="AP78" i="26"/>
  <c r="AF72" i="26"/>
  <c r="AH72" i="26" s="1"/>
  <c r="AG72" i="26" s="1"/>
  <c r="AP72" i="26"/>
  <c r="AO72" i="26" s="1"/>
  <c r="F429" i="26"/>
  <c r="AP58" i="26"/>
  <c r="E57" i="10"/>
  <c r="AP57" i="26"/>
  <c r="AO57" i="26" s="1"/>
  <c r="E34" i="10"/>
  <c r="H76" i="6"/>
  <c r="AD76" i="6" s="1"/>
  <c r="D493" i="9"/>
  <c r="N493" i="9" s="1"/>
  <c r="D506" i="6"/>
  <c r="N506" i="6" s="1"/>
  <c r="D415" i="9"/>
  <c r="N415" i="9" s="1"/>
  <c r="D491" i="9"/>
  <c r="D443" i="9"/>
  <c r="N443" i="9" s="1"/>
  <c r="Y443" i="9" s="1"/>
  <c r="D474" i="6"/>
  <c r="M474" i="6" s="1"/>
  <c r="D472" i="6"/>
  <c r="L472" i="6" s="1"/>
  <c r="D450" i="6"/>
  <c r="D442" i="6"/>
  <c r="N442" i="6" s="1"/>
  <c r="D469" i="9"/>
  <c r="D477" i="9"/>
  <c r="M477" i="9" s="1"/>
  <c r="D466" i="9"/>
  <c r="M466" i="9" s="1"/>
  <c r="D505" i="6"/>
  <c r="N505" i="6" s="1"/>
  <c r="D502" i="6"/>
  <c r="M502" i="6" s="1"/>
  <c r="D460" i="9"/>
  <c r="L460" i="9" s="1"/>
  <c r="D444" i="9"/>
  <c r="L444" i="9" s="1"/>
  <c r="D418" i="6"/>
  <c r="N418" i="6" s="1"/>
  <c r="D444" i="6"/>
  <c r="D422" i="6"/>
  <c r="D470" i="6"/>
  <c r="L470" i="6" s="1"/>
  <c r="AL324" i="7"/>
  <c r="AK324" i="7"/>
  <c r="AP1524" i="10" s="1"/>
  <c r="AK125" i="7"/>
  <c r="AP1325" i="10" s="1"/>
  <c r="AE256" i="7"/>
  <c r="AB324" i="7"/>
  <c r="AB323" i="7" s="1"/>
  <c r="Z46" i="7"/>
  <c r="AE1246" i="10" s="1"/>
  <c r="U125" i="7"/>
  <c r="Z1325" i="10" s="1"/>
  <c r="N66" i="7"/>
  <c r="S1266" i="10" s="1"/>
  <c r="M46" i="7"/>
  <c r="R1246" i="10" s="1"/>
  <c r="L256" i="7"/>
  <c r="L253" i="7" s="1"/>
  <c r="Q1453" i="10" s="1"/>
  <c r="J66" i="7"/>
  <c r="E277" i="7"/>
  <c r="J1477" i="10" s="1"/>
  <c r="AZ305" i="26"/>
  <c r="BB305" i="26" s="1"/>
  <c r="AG441" i="26"/>
  <c r="AH441" i="26" s="1"/>
  <c r="AI277" i="7"/>
  <c r="AN1477" i="10" s="1"/>
  <c r="AG324" i="7"/>
  <c r="AG323" i="7" s="1"/>
  <c r="AL1523" i="10" s="1"/>
  <c r="AG218" i="7"/>
  <c r="AL1418" i="10" s="1"/>
  <c r="L66" i="7"/>
  <c r="Q1266" i="10" s="1"/>
  <c r="I98" i="7"/>
  <c r="N1298" i="10" s="1"/>
  <c r="G66" i="7"/>
  <c r="L1266" i="10" s="1"/>
  <c r="E144" i="7"/>
  <c r="J1344" i="10" s="1"/>
  <c r="AI98" i="7"/>
  <c r="AN1298" i="10" s="1"/>
  <c r="AE218" i="7"/>
  <c r="AJ1418" i="10" s="1"/>
  <c r="P98" i="7"/>
  <c r="G454" i="26"/>
  <c r="W454" i="26" s="1"/>
  <c r="AB454" i="26" s="1"/>
  <c r="G479" i="26"/>
  <c r="W479" i="26" s="1"/>
  <c r="Z479" i="26" s="1"/>
  <c r="AE479" i="26" s="1"/>
  <c r="I346" i="9"/>
  <c r="AZ271" i="26"/>
  <c r="BB271" i="26" s="1"/>
  <c r="AZ113" i="26"/>
  <c r="BB113" i="26" s="1"/>
  <c r="AM366" i="26"/>
  <c r="F366" i="6" s="1"/>
  <c r="AM206" i="26"/>
  <c r="AM188" i="26"/>
  <c r="F188" i="6" s="1"/>
  <c r="AM156" i="26"/>
  <c r="F156" i="9" s="1"/>
  <c r="D471" i="9"/>
  <c r="N471" i="9" s="1"/>
  <c r="D423" i="9"/>
  <c r="M423" i="9" s="1"/>
  <c r="D464" i="6"/>
  <c r="M464" i="6" s="1"/>
  <c r="D448" i="6"/>
  <c r="D465" i="9"/>
  <c r="M465" i="9" s="1"/>
  <c r="D474" i="9"/>
  <c r="D446" i="9"/>
  <c r="N446" i="9" s="1"/>
  <c r="D463" i="6"/>
  <c r="D447" i="6"/>
  <c r="D447" i="9"/>
  <c r="L447" i="9" s="1"/>
  <c r="D469" i="6"/>
  <c r="D431" i="9"/>
  <c r="D435" i="6"/>
  <c r="N435" i="6" s="1"/>
  <c r="D483" i="9"/>
  <c r="D443" i="6"/>
  <c r="M443" i="6" s="1"/>
  <c r="D452" i="9"/>
  <c r="L452" i="9" s="1"/>
  <c r="D420" i="6"/>
  <c r="D485" i="6"/>
  <c r="D436" i="9"/>
  <c r="L436" i="9" s="1"/>
  <c r="D442" i="9"/>
  <c r="D456" i="9"/>
  <c r="N456" i="9" s="1"/>
  <c r="Y456" i="9" s="1"/>
  <c r="D434" i="6"/>
  <c r="D455" i="9"/>
  <c r="D414" i="6"/>
  <c r="D446" i="6"/>
  <c r="L446" i="6" s="1"/>
  <c r="D482" i="9"/>
  <c r="D430" i="6"/>
  <c r="M430" i="6" s="1"/>
  <c r="D437" i="6"/>
  <c r="L437" i="6" s="1"/>
  <c r="D419" i="6"/>
  <c r="M419" i="6" s="1"/>
  <c r="AF54" i="26"/>
  <c r="AH54" i="26" s="1"/>
  <c r="AG54" i="26" s="1"/>
  <c r="D413" i="9"/>
  <c r="D419" i="9"/>
  <c r="L419" i="9" s="1"/>
  <c r="D435" i="9"/>
  <c r="D489" i="9"/>
  <c r="L489" i="9" s="1"/>
  <c r="D449" i="9"/>
  <c r="L449" i="9" s="1"/>
  <c r="D465" i="6"/>
  <c r="N465" i="6" s="1"/>
  <c r="D503" i="6"/>
  <c r="D438" i="9"/>
  <c r="L438" i="9" s="1"/>
  <c r="D494" i="6"/>
  <c r="D484" i="6"/>
  <c r="N484" i="6" s="1"/>
  <c r="D453" i="6"/>
  <c r="AM301" i="26"/>
  <c r="G301" i="9" s="1"/>
  <c r="AM106" i="26"/>
  <c r="F106" i="9" s="1"/>
  <c r="AM39" i="26"/>
  <c r="F39" i="9" s="1"/>
  <c r="AG454" i="26"/>
  <c r="AJ454" i="26" s="1"/>
  <c r="AG440" i="26"/>
  <c r="AJ440" i="26" s="1"/>
  <c r="AG526" i="26"/>
  <c r="AH526" i="26" s="1"/>
  <c r="AG414" i="26"/>
  <c r="AQ414" i="26" s="1"/>
  <c r="AR414" i="26" s="1"/>
  <c r="AN218" i="7"/>
  <c r="AS1418" i="10" s="1"/>
  <c r="AM66" i="7"/>
  <c r="AR1266" i="10" s="1"/>
  <c r="AK144" i="7"/>
  <c r="AP1344" i="10" s="1"/>
  <c r="N158" i="7"/>
  <c r="S1358" i="10" s="1"/>
  <c r="K218" i="7"/>
  <c r="P1418" i="10" s="1"/>
  <c r="K98" i="7"/>
  <c r="P1298" i="10" s="1"/>
  <c r="K66" i="7"/>
  <c r="P1266" i="10" s="1"/>
  <c r="BB360" i="7"/>
  <c r="BC360" i="7" s="1"/>
  <c r="G218" i="7"/>
  <c r="L1418" i="10" s="1"/>
  <c r="E256" i="7"/>
  <c r="J1456" i="10" s="1"/>
  <c r="Y14" i="26"/>
  <c r="AL14" i="26" s="1"/>
  <c r="D416" i="6"/>
  <c r="N416" i="6" s="1"/>
  <c r="D486" i="9"/>
  <c r="M486" i="9" s="1"/>
  <c r="D459" i="9"/>
  <c r="D417" i="9"/>
  <c r="L417" i="9" s="1"/>
  <c r="D429" i="9"/>
  <c r="L429" i="9" s="1"/>
  <c r="D439" i="6"/>
  <c r="D413" i="6"/>
  <c r="M413" i="6" s="1"/>
  <c r="D497" i="6"/>
  <c r="N497" i="6" s="1"/>
  <c r="F1214" i="10"/>
  <c r="N1214" i="10" s="1"/>
  <c r="D467" i="9"/>
  <c r="M467" i="9" s="1"/>
  <c r="D436" i="6"/>
  <c r="D475" i="6"/>
  <c r="N475" i="6" s="1"/>
  <c r="D480" i="6"/>
  <c r="N480" i="6" s="1"/>
  <c r="D429" i="6"/>
  <c r="AG462" i="26"/>
  <c r="AJ462" i="26" s="1"/>
  <c r="W98" i="7"/>
  <c r="AB1298" i="10" s="1"/>
  <c r="R98" i="7"/>
  <c r="W1298" i="10" s="1"/>
  <c r="N218" i="7"/>
  <c r="S1418" i="10" s="1"/>
  <c r="I269" i="9"/>
  <c r="D479" i="9"/>
  <c r="N479" i="9" s="1"/>
  <c r="D440" i="6"/>
  <c r="N440" i="6" s="1"/>
  <c r="D441" i="9"/>
  <c r="M441" i="9" s="1"/>
  <c r="D492" i="9"/>
  <c r="D438" i="6"/>
  <c r="M438" i="6" s="1"/>
  <c r="D492" i="6"/>
  <c r="N492" i="6" s="1"/>
  <c r="D432" i="9"/>
  <c r="N432" i="9" s="1"/>
  <c r="D434" i="9"/>
  <c r="M434" i="9" s="1"/>
  <c r="D412" i="6"/>
  <c r="D450" i="9"/>
  <c r="N450" i="9" s="1"/>
  <c r="Y450" i="9" s="1"/>
  <c r="D487" i="9"/>
  <c r="D441" i="6"/>
  <c r="M441" i="6" s="1"/>
  <c r="D454" i="9"/>
  <c r="D421" i="6"/>
  <c r="N421" i="6" s="1"/>
  <c r="D499" i="6"/>
  <c r="M499" i="6" s="1"/>
  <c r="D458" i="9"/>
  <c r="D433" i="9"/>
  <c r="L433" i="9" s="1"/>
  <c r="AZ304" i="26"/>
  <c r="BB304" i="26" s="1"/>
  <c r="G495" i="26"/>
  <c r="W495" i="26" s="1"/>
  <c r="AB495" i="26" s="1"/>
  <c r="F1330" i="10"/>
  <c r="P1330" i="10" s="1"/>
  <c r="F486" i="26"/>
  <c r="G467" i="26"/>
  <c r="W467" i="26" s="1"/>
  <c r="AB467" i="26" s="1"/>
  <c r="D428" i="9"/>
  <c r="Y17" i="26"/>
  <c r="F1400" i="10"/>
  <c r="J1400" i="10" s="1"/>
  <c r="D476" i="9"/>
  <c r="D448" i="9"/>
  <c r="D455" i="6"/>
  <c r="D487" i="6"/>
  <c r="N487" i="6" s="1"/>
  <c r="D486" i="6"/>
  <c r="D461" i="6"/>
  <c r="M461" i="6" s="1"/>
  <c r="AM83" i="26"/>
  <c r="N458" i="6"/>
  <c r="AN98" i="7"/>
  <c r="AS1298" i="10" s="1"/>
  <c r="AH218" i="7"/>
  <c r="AM1418" i="10" s="1"/>
  <c r="AH98" i="7"/>
  <c r="AM1298" i="10" s="1"/>
  <c r="X218" i="7"/>
  <c r="AC1418" i="10" s="1"/>
  <c r="X98" i="7"/>
  <c r="AC1298" i="10" s="1"/>
  <c r="S98" i="7"/>
  <c r="X1298" i="10" s="1"/>
  <c r="O218" i="7"/>
  <c r="T1418" i="10" s="1"/>
  <c r="O98" i="7"/>
  <c r="AN256" i="7"/>
  <c r="AN253" i="7" s="1"/>
  <c r="AM324" i="7"/>
  <c r="AM323" i="7" s="1"/>
  <c r="AL98" i="7"/>
  <c r="AQ1298" i="10" s="1"/>
  <c r="AK46" i="7"/>
  <c r="AP1246" i="10" s="1"/>
  <c r="AJ98" i="7"/>
  <c r="AO1298" i="10" s="1"/>
  <c r="AI46" i="7"/>
  <c r="AN1246" i="10" s="1"/>
  <c r="AG256" i="7"/>
  <c r="AG253" i="7" s="1"/>
  <c r="AL1453" i="10" s="1"/>
  <c r="AB256" i="7"/>
  <c r="Z158" i="7"/>
  <c r="Y66" i="7"/>
  <c r="AD1266" i="10" s="1"/>
  <c r="V66" i="7"/>
  <c r="AA1266" i="10" s="1"/>
  <c r="R46" i="7"/>
  <c r="W1246" i="10" s="1"/>
  <c r="Q158" i="7"/>
  <c r="V1358" i="10" s="1"/>
  <c r="Q66" i="7"/>
  <c r="V1266" i="10" s="1"/>
  <c r="N256" i="7"/>
  <c r="L46" i="7"/>
  <c r="Q1246" i="10" s="1"/>
  <c r="H46" i="7"/>
  <c r="M1246" i="10" s="1"/>
  <c r="E324" i="7"/>
  <c r="E323" i="7" s="1"/>
  <c r="J1523" i="10" s="1"/>
  <c r="Y243" i="26"/>
  <c r="AC243" i="26" s="1"/>
  <c r="BB392" i="7"/>
  <c r="BC392" i="7" s="1"/>
  <c r="N451" i="6"/>
  <c r="AG499" i="26"/>
  <c r="AH499" i="26" s="1"/>
  <c r="AG484" i="26"/>
  <c r="AH484" i="26" s="1"/>
  <c r="AG433" i="26"/>
  <c r="AJ433" i="26" s="1"/>
  <c r="AG421" i="26"/>
  <c r="AH421" i="26" s="1"/>
  <c r="AG537" i="26"/>
  <c r="AJ537" i="26" s="1"/>
  <c r="AO218" i="7"/>
  <c r="AL144" i="7"/>
  <c r="AQ1344" i="10" s="1"/>
  <c r="AL46" i="7"/>
  <c r="AQ1246" i="10" s="1"/>
  <c r="AK256" i="7"/>
  <c r="AK253" i="7" s="1"/>
  <c r="AP1453" i="10" s="1"/>
  <c r="AK218" i="7"/>
  <c r="AP1418" i="10" s="1"/>
  <c r="AK98" i="7"/>
  <c r="AJ144" i="7"/>
  <c r="AO1344" i="10" s="1"/>
  <c r="AJ46" i="7"/>
  <c r="AO1246" i="10" s="1"/>
  <c r="AI256" i="7"/>
  <c r="AI125" i="7"/>
  <c r="AN1325" i="10" s="1"/>
  <c r="AG158" i="7"/>
  <c r="AL1358" i="10" s="1"/>
  <c r="AF46" i="7"/>
  <c r="AK1246" i="10" s="1"/>
  <c r="AE158" i="7"/>
  <c r="AJ1358" i="10" s="1"/>
  <c r="AC218" i="7"/>
  <c r="AH1418" i="10" s="1"/>
  <c r="AC98" i="7"/>
  <c r="AH1298" i="10" s="1"/>
  <c r="AA158" i="7"/>
  <c r="AF1358" i="10" s="1"/>
  <c r="AA66" i="7"/>
  <c r="AF1266" i="10" s="1"/>
  <c r="Z144" i="7"/>
  <c r="AE1344" i="10" s="1"/>
  <c r="Y218" i="7"/>
  <c r="AD1418" i="10" s="1"/>
  <c r="Y98" i="7"/>
  <c r="W158" i="7"/>
  <c r="AB1358" i="10" s="1"/>
  <c r="U256" i="7"/>
  <c r="U218" i="7"/>
  <c r="Z1418" i="10" s="1"/>
  <c r="U98" i="7"/>
  <c r="Z1298" i="10" s="1"/>
  <c r="R66" i="7"/>
  <c r="W1266" i="10" s="1"/>
  <c r="P218" i="7"/>
  <c r="U1418" i="10" s="1"/>
  <c r="L218" i="7"/>
  <c r="Q1418" i="10" s="1"/>
  <c r="L125" i="7"/>
  <c r="Q1325" i="10" s="1"/>
  <c r="L98" i="7"/>
  <c r="I46" i="7"/>
  <c r="H125" i="7"/>
  <c r="M1325" i="10" s="1"/>
  <c r="H98" i="7"/>
  <c r="M1298" i="10" s="1"/>
  <c r="F158" i="7"/>
  <c r="K1358" i="10" s="1"/>
  <c r="E218" i="7"/>
  <c r="J1418" i="10" s="1"/>
  <c r="AF50" i="26"/>
  <c r="AH50" i="26" s="1"/>
  <c r="G484" i="26"/>
  <c r="W484" i="26" s="1"/>
  <c r="AB484" i="26" s="1"/>
  <c r="G491" i="26"/>
  <c r="W491" i="26" s="1"/>
  <c r="AB491" i="26" s="1"/>
  <c r="E279" i="10"/>
  <c r="G453" i="26"/>
  <c r="W453" i="26" s="1"/>
  <c r="Z453" i="26" s="1"/>
  <c r="I125" i="6"/>
  <c r="G499" i="26"/>
  <c r="W499" i="26" s="1"/>
  <c r="AB499" i="26" s="1"/>
  <c r="G505" i="26"/>
  <c r="W505" i="26" s="1"/>
  <c r="Z505" i="26" s="1"/>
  <c r="E305" i="10"/>
  <c r="AF64" i="26"/>
  <c r="AH64" i="26" s="1"/>
  <c r="AG64" i="26" s="1"/>
  <c r="Y208" i="26"/>
  <c r="AC208" i="26" s="1"/>
  <c r="G506" i="26"/>
  <c r="W506" i="26" s="1"/>
  <c r="AB506" i="26" s="1"/>
  <c r="F1292" i="10"/>
  <c r="AN1292" i="10" s="1"/>
  <c r="G472" i="26"/>
  <c r="W472" i="26" s="1"/>
  <c r="AB472" i="26" s="1"/>
  <c r="H360" i="6"/>
  <c r="G532" i="26"/>
  <c r="W532" i="26" s="1"/>
  <c r="AB532" i="26" s="1"/>
  <c r="G426" i="26"/>
  <c r="W426" i="26" s="1"/>
  <c r="Z426" i="26" s="1"/>
  <c r="AD426" i="26" s="1"/>
  <c r="F1459" i="10"/>
  <c r="AR1459" i="10" s="1"/>
  <c r="AF175" i="26"/>
  <c r="AH175" i="26" s="1"/>
  <c r="AG175" i="26" s="1"/>
  <c r="F1393" i="10"/>
  <c r="J1393" i="10" s="1"/>
  <c r="F1443" i="10"/>
  <c r="AS1443" i="10" s="1"/>
  <c r="V502" i="26"/>
  <c r="E32" i="10"/>
  <c r="G448" i="26"/>
  <c r="W448" i="26" s="1"/>
  <c r="Z448" i="26" s="1"/>
  <c r="AD448" i="26" s="1"/>
  <c r="F1317" i="10"/>
  <c r="AS1317" i="10" s="1"/>
  <c r="H12" i="9"/>
  <c r="AC12" i="9" s="1"/>
  <c r="AH12" i="9" s="1"/>
  <c r="F492" i="26"/>
  <c r="I168" i="6"/>
  <c r="G536" i="26"/>
  <c r="W536" i="26" s="1"/>
  <c r="AB536" i="26" s="1"/>
  <c r="Y274" i="26"/>
  <c r="AL274" i="26" s="1"/>
  <c r="G425" i="26"/>
  <c r="W425" i="26" s="1"/>
  <c r="AB425" i="26" s="1"/>
  <c r="G504" i="26"/>
  <c r="W504" i="26" s="1"/>
  <c r="Z504" i="26" s="1"/>
  <c r="G416" i="26"/>
  <c r="W416" i="26" s="1"/>
  <c r="AB416" i="26" s="1"/>
  <c r="AM346" i="26"/>
  <c r="Y346" i="27" s="1"/>
  <c r="G346" i="27" s="1"/>
  <c r="AM318" i="26"/>
  <c r="AM312" i="26"/>
  <c r="AM302" i="26"/>
  <c r="AM196" i="26"/>
  <c r="F196" i="9" s="1"/>
  <c r="G1540" i="10"/>
  <c r="G1519" i="10"/>
  <c r="G1355" i="10"/>
  <c r="G1245" i="10"/>
  <c r="Y338" i="26"/>
  <c r="AL338" i="26" s="1"/>
  <c r="AD219" i="26"/>
  <c r="AD207" i="26"/>
  <c r="AD143" i="26"/>
  <c r="Y141" i="26"/>
  <c r="AC141" i="26" s="1"/>
  <c r="AD97" i="26"/>
  <c r="Y19" i="26"/>
  <c r="AC19" i="26" s="1"/>
  <c r="Y386" i="26"/>
  <c r="AZ199" i="26"/>
  <c r="BB199" i="26" s="1"/>
  <c r="E275" i="10"/>
  <c r="V536" i="26"/>
  <c r="V480" i="26"/>
  <c r="G442" i="26"/>
  <c r="W442" i="26" s="1"/>
  <c r="AB442" i="26" s="1"/>
  <c r="H212" i="9"/>
  <c r="AD212" i="9" s="1"/>
  <c r="G528" i="26"/>
  <c r="W528" i="26" s="1"/>
  <c r="Z528" i="26" s="1"/>
  <c r="G500" i="26"/>
  <c r="W500" i="26" s="1"/>
  <c r="Z500" i="26" s="1"/>
  <c r="F1259" i="10"/>
  <c r="V1259" i="10" s="1"/>
  <c r="G1586" i="10"/>
  <c r="G1537" i="10"/>
  <c r="G1530" i="10"/>
  <c r="G1500" i="10"/>
  <c r="G1494" i="10"/>
  <c r="G1474" i="10"/>
  <c r="G1472" i="10"/>
  <c r="G1426" i="10"/>
  <c r="G1366" i="10"/>
  <c r="G1346" i="10"/>
  <c r="G1342" i="10"/>
  <c r="G1318" i="10"/>
  <c r="G1302" i="10"/>
  <c r="G1230" i="10"/>
  <c r="Y366" i="26"/>
  <c r="AC366" i="26" s="1"/>
  <c r="Y331" i="26"/>
  <c r="AD236" i="26"/>
  <c r="Y148" i="26"/>
  <c r="AC148" i="26" s="1"/>
  <c r="Y118" i="26"/>
  <c r="AC118" i="26" s="1"/>
  <c r="Y45" i="26"/>
  <c r="AC45" i="26" s="1"/>
  <c r="Y368" i="26"/>
  <c r="AL368" i="26" s="1"/>
  <c r="Y340" i="26"/>
  <c r="AC340" i="26" s="1"/>
  <c r="Y326" i="26"/>
  <c r="Y296" i="26"/>
  <c r="AL296" i="26" s="1"/>
  <c r="Y279" i="26"/>
  <c r="AC279" i="26" s="1"/>
  <c r="Y226" i="26"/>
  <c r="AZ161" i="26"/>
  <c r="BB161" i="26" s="1"/>
  <c r="Y117" i="26"/>
  <c r="AC117" i="26" s="1"/>
  <c r="Y69" i="26"/>
  <c r="F1458" i="10"/>
  <c r="W1458" i="10" s="1"/>
  <c r="F1315" i="10"/>
  <c r="Q1315" i="10" s="1"/>
  <c r="Y35" i="26"/>
  <c r="I374" i="6"/>
  <c r="F84" i="6"/>
  <c r="H207" i="6"/>
  <c r="AC207" i="6" s="1"/>
  <c r="AH207" i="6" s="1"/>
  <c r="H143" i="6"/>
  <c r="I301" i="6"/>
  <c r="H289" i="6"/>
  <c r="AC289" i="6" s="1"/>
  <c r="AH289" i="6" s="1"/>
  <c r="H314" i="9"/>
  <c r="AD314" i="9" s="1"/>
  <c r="H253" i="9"/>
  <c r="I32" i="9"/>
  <c r="H277" i="6"/>
  <c r="AD277" i="6" s="1"/>
  <c r="I66" i="9"/>
  <c r="H33" i="9"/>
  <c r="I380" i="9"/>
  <c r="H158" i="6"/>
  <c r="AC158" i="6" s="1"/>
  <c r="AH158" i="6" s="1"/>
  <c r="H13" i="6"/>
  <c r="AD13" i="6" s="1"/>
  <c r="I196" i="6"/>
  <c r="H325" i="9"/>
  <c r="AC325" i="9" s="1"/>
  <c r="AH325" i="9" s="1"/>
  <c r="H278" i="6"/>
  <c r="AD278" i="6" s="1"/>
  <c r="I241" i="6"/>
  <c r="H131" i="9"/>
  <c r="AC131" i="9" s="1"/>
  <c r="AH131" i="9" s="1"/>
  <c r="I47" i="6"/>
  <c r="H19" i="9"/>
  <c r="AD19" i="9" s="1"/>
  <c r="H390" i="9"/>
  <c r="H84" i="9"/>
  <c r="AC84" i="9" s="1"/>
  <c r="AH84" i="9" s="1"/>
  <c r="I268" i="9"/>
  <c r="I46" i="9"/>
  <c r="H312" i="6"/>
  <c r="AD312" i="6" s="1"/>
  <c r="H353" i="6"/>
  <c r="AD353" i="6" s="1"/>
  <c r="H126" i="6"/>
  <c r="AD126" i="6" s="1"/>
  <c r="H217" i="9"/>
  <c r="AC217" i="9" s="1"/>
  <c r="AH217" i="9" s="1"/>
  <c r="H206" i="9"/>
  <c r="H188" i="9"/>
  <c r="AD188" i="9" s="1"/>
  <c r="H152" i="6"/>
  <c r="AD152" i="6" s="1"/>
  <c r="H96" i="6"/>
  <c r="AD96" i="6" s="1"/>
  <c r="J31" i="30"/>
  <c r="K31" i="30" s="1"/>
  <c r="E31" i="30" s="1"/>
  <c r="J47" i="30"/>
  <c r="K47" i="30" s="1"/>
  <c r="E47" i="30" s="1"/>
  <c r="Y16" i="26"/>
  <c r="AC16" i="26" s="1"/>
  <c r="AH391" i="6"/>
  <c r="F1270" i="10"/>
  <c r="Y1270" i="10" s="1"/>
  <c r="AH379" i="6"/>
  <c r="AH268" i="6"/>
  <c r="AH385" i="6"/>
  <c r="G466" i="26"/>
  <c r="W466" i="26" s="1"/>
  <c r="Z466" i="26" s="1"/>
  <c r="G518" i="26"/>
  <c r="W518" i="26" s="1"/>
  <c r="Z518" i="26" s="1"/>
  <c r="AH210" i="6"/>
  <c r="AH331" i="6"/>
  <c r="AH338" i="6"/>
  <c r="F530" i="26"/>
  <c r="AH263" i="6"/>
  <c r="F1374" i="10"/>
  <c r="S1374" i="10" s="1"/>
  <c r="F1451" i="10"/>
  <c r="AN1451" i="10" s="1"/>
  <c r="F1392" i="10"/>
  <c r="AG1392" i="10" s="1"/>
  <c r="AH272" i="6"/>
  <c r="G419" i="26"/>
  <c r="W419" i="26" s="1"/>
  <c r="Z419" i="26" s="1"/>
  <c r="AD419" i="26" s="1"/>
  <c r="G498" i="26"/>
  <c r="W498" i="26" s="1"/>
  <c r="AB498" i="26" s="1"/>
  <c r="G517" i="26"/>
  <c r="W517" i="26" s="1"/>
  <c r="AM125" i="26"/>
  <c r="AM47" i="26"/>
  <c r="BE47" i="26" s="1"/>
  <c r="V429" i="26"/>
  <c r="AF275" i="26"/>
  <c r="AH275" i="26" s="1"/>
  <c r="AG275" i="26" s="1"/>
  <c r="V428" i="26"/>
  <c r="E260" i="10"/>
  <c r="AJ81" i="26"/>
  <c r="AW81" i="26" s="1"/>
  <c r="AY81" i="26" s="1"/>
  <c r="AX81" i="26" s="1"/>
  <c r="E295" i="6"/>
  <c r="G470" i="26"/>
  <c r="W470" i="26" s="1"/>
  <c r="AB470" i="26" s="1"/>
  <c r="G475" i="26"/>
  <c r="W475" i="26" s="1"/>
  <c r="Z475" i="26" s="1"/>
  <c r="AE475" i="26" s="1"/>
  <c r="G447" i="26"/>
  <c r="W447" i="26" s="1"/>
  <c r="Z447" i="26" s="1"/>
  <c r="AE447" i="26" s="1"/>
  <c r="Y214" i="26"/>
  <c r="Y280" i="26"/>
  <c r="AL280" i="26" s="1"/>
  <c r="F1399" i="10"/>
  <c r="AP1399" i="10" s="1"/>
  <c r="F1482" i="10"/>
  <c r="R1482" i="10" s="1"/>
  <c r="Y310" i="26"/>
  <c r="AL310" i="26" s="1"/>
  <c r="F1351" i="10"/>
  <c r="AF1351" i="10" s="1"/>
  <c r="G503" i="26"/>
  <c r="W503" i="26" s="1"/>
  <c r="Z503" i="26" s="1"/>
  <c r="AE503" i="26" s="1"/>
  <c r="AG503" i="26" s="1"/>
  <c r="AA394" i="27"/>
  <c r="W391" i="27"/>
  <c r="E391" i="27" s="1"/>
  <c r="F1538" i="10"/>
  <c r="AF1538" i="10" s="1"/>
  <c r="G1555" i="10"/>
  <c r="G1280" i="10"/>
  <c r="V466" i="26"/>
  <c r="AF103" i="26"/>
  <c r="AH103" i="26" s="1"/>
  <c r="AG103" i="26" s="1"/>
  <c r="AF131" i="26"/>
  <c r="AH131" i="26" s="1"/>
  <c r="AG131" i="26" s="1"/>
  <c r="AF359" i="26"/>
  <c r="AH359" i="26" s="1"/>
  <c r="AG359" i="26" s="1"/>
  <c r="F428" i="26"/>
  <c r="V455" i="26"/>
  <c r="AF19" i="26"/>
  <c r="AH19" i="26" s="1"/>
  <c r="AG19" i="26" s="1"/>
  <c r="AF205" i="26"/>
  <c r="AH205" i="26" s="1"/>
  <c r="AG205" i="26" s="1"/>
  <c r="AF274" i="26"/>
  <c r="AH274" i="26" s="1"/>
  <c r="AG274" i="26" s="1"/>
  <c r="AM263" i="26"/>
  <c r="Y263" i="27" s="1"/>
  <c r="G263" i="27" s="1"/>
  <c r="Y127" i="26"/>
  <c r="G462" i="26"/>
  <c r="W462" i="26" s="1"/>
  <c r="Z462" i="26" s="1"/>
  <c r="G494" i="26"/>
  <c r="W494" i="26" s="1"/>
  <c r="AB494" i="26" s="1"/>
  <c r="Y341" i="26"/>
  <c r="AL341" i="26" s="1"/>
  <c r="G1536" i="10"/>
  <c r="AM1378" i="10"/>
  <c r="AM317" i="26"/>
  <c r="F317" i="9" s="1"/>
  <c r="AM195" i="26"/>
  <c r="F195" i="6" s="1"/>
  <c r="AA195" i="6" s="1"/>
  <c r="AM65" i="26"/>
  <c r="F65" i="6" s="1"/>
  <c r="E361" i="10"/>
  <c r="AF38" i="26"/>
  <c r="AH38" i="26" s="1"/>
  <c r="AG38" i="26" s="1"/>
  <c r="V517" i="26"/>
  <c r="E238" i="10"/>
  <c r="E174" i="10"/>
  <c r="E342" i="10"/>
  <c r="AF83" i="26"/>
  <c r="AH83" i="26" s="1"/>
  <c r="AG83" i="26" s="1"/>
  <c r="F529" i="26"/>
  <c r="F437" i="26"/>
  <c r="AF240" i="26"/>
  <c r="AH240" i="26" s="1"/>
  <c r="AG240" i="26" s="1"/>
  <c r="E274" i="10"/>
  <c r="V448" i="26"/>
  <c r="E140" i="10"/>
  <c r="F517" i="26"/>
  <c r="AF239" i="26"/>
  <c r="AN239" i="26" s="1"/>
  <c r="AF174" i="26"/>
  <c r="AH174" i="26" s="1"/>
  <c r="AG174" i="26" s="1"/>
  <c r="E205" i="10"/>
  <c r="F472" i="26"/>
  <c r="F528" i="26"/>
  <c r="AF317" i="26"/>
  <c r="AH317" i="26" s="1"/>
  <c r="AG317" i="26" s="1"/>
  <c r="AA316" i="26"/>
  <c r="AZ194" i="26"/>
  <c r="BB194" i="26" s="1"/>
  <c r="AZ146" i="26"/>
  <c r="BB146" i="26" s="1"/>
  <c r="AZ121" i="26"/>
  <c r="BB121" i="26" s="1"/>
  <c r="AF385" i="26"/>
  <c r="AH385" i="26" s="1"/>
  <c r="E162" i="10"/>
  <c r="F536" i="26"/>
  <c r="E292" i="10"/>
  <c r="E209" i="10"/>
  <c r="AF121" i="26"/>
  <c r="AH121" i="26" s="1"/>
  <c r="AZ50" i="26"/>
  <c r="BB50" i="26" s="1"/>
  <c r="F425" i="26"/>
  <c r="AF162" i="26"/>
  <c r="AH162" i="26" s="1"/>
  <c r="AG162" i="26" s="1"/>
  <c r="V534" i="26"/>
  <c r="AZ122" i="26"/>
  <c r="BB122" i="26" s="1"/>
  <c r="AZ48" i="26"/>
  <c r="BB48" i="26" s="1"/>
  <c r="AZ63" i="26"/>
  <c r="BB63" i="26" s="1"/>
  <c r="F481" i="26"/>
  <c r="E306" i="10"/>
  <c r="V537" i="26"/>
  <c r="AF356" i="26"/>
  <c r="AH356" i="26" s="1"/>
  <c r="AG356" i="26" s="1"/>
  <c r="E48" i="10"/>
  <c r="F485" i="26"/>
  <c r="F482" i="26"/>
  <c r="V487" i="26"/>
  <c r="V424" i="26"/>
  <c r="V426" i="26"/>
  <c r="AZ200" i="26"/>
  <c r="BB200" i="26" s="1"/>
  <c r="AF208" i="26"/>
  <c r="AH208" i="26" s="1"/>
  <c r="AG208" i="26" s="1"/>
  <c r="F432" i="26"/>
  <c r="E304" i="10"/>
  <c r="E223" i="10"/>
  <c r="AF186" i="26"/>
  <c r="AH186" i="26" s="1"/>
  <c r="AG186" i="26" s="1"/>
  <c r="AF199" i="26"/>
  <c r="AH199" i="26" s="1"/>
  <c r="AG199" i="26" s="1"/>
  <c r="F491" i="26"/>
  <c r="AP181" i="26"/>
  <c r="AO181" i="26" s="1"/>
  <c r="AZ335" i="26"/>
  <c r="BB335" i="26" s="1"/>
  <c r="AF300" i="26"/>
  <c r="AH300" i="26" s="1"/>
  <c r="AG300" i="26" s="1"/>
  <c r="AZ193" i="26"/>
  <c r="BB193" i="26" s="1"/>
  <c r="AZ178" i="26"/>
  <c r="BB178" i="26" s="1"/>
  <c r="AZ49" i="26"/>
  <c r="BB49" i="26" s="1"/>
  <c r="F460" i="26"/>
  <c r="E64" i="10"/>
  <c r="AF271" i="26"/>
  <c r="AH271" i="26" s="1"/>
  <c r="AG271" i="26" s="1"/>
  <c r="AZ306" i="26"/>
  <c r="BB306" i="26" s="1"/>
  <c r="F538" i="26"/>
  <c r="V427" i="26"/>
  <c r="AF48" i="26"/>
  <c r="AH48" i="26" s="1"/>
  <c r="E190" i="10"/>
  <c r="F412" i="26"/>
  <c r="V482" i="26"/>
  <c r="AF200" i="26"/>
  <c r="AH200" i="26" s="1"/>
  <c r="AG200" i="26" s="1"/>
  <c r="V483" i="26"/>
  <c r="V457" i="26"/>
  <c r="AZ188" i="26"/>
  <c r="BB188" i="26" s="1"/>
  <c r="AZ342" i="26"/>
  <c r="BB342" i="26" s="1"/>
  <c r="AZ213" i="26"/>
  <c r="BB213" i="26" s="1"/>
  <c r="AZ166" i="26"/>
  <c r="BB166" i="26" s="1"/>
  <c r="AZ112" i="26"/>
  <c r="BB112" i="26" s="1"/>
  <c r="AZ60" i="26"/>
  <c r="BB60" i="26" s="1"/>
  <c r="AZ59" i="26"/>
  <c r="BB59" i="26" s="1"/>
  <c r="AZ36" i="26"/>
  <c r="BB36" i="26" s="1"/>
  <c r="AZ307" i="26"/>
  <c r="BB307" i="26" s="1"/>
  <c r="AZ215" i="26"/>
  <c r="BB215" i="26" s="1"/>
  <c r="AZ160" i="26"/>
  <c r="BB160" i="26" s="1"/>
  <c r="AZ138" i="26"/>
  <c r="BB138" i="26" s="1"/>
  <c r="AZ128" i="26"/>
  <c r="BB128" i="26" s="1"/>
  <c r="AZ107" i="26"/>
  <c r="BB107" i="26" s="1"/>
  <c r="AZ163" i="26"/>
  <c r="BB163" i="26" s="1"/>
  <c r="AZ136" i="26"/>
  <c r="BB136" i="26" s="1"/>
  <c r="AZ65" i="26"/>
  <c r="BB65" i="26" s="1"/>
  <c r="AQ485" i="26"/>
  <c r="AR485" i="26" s="1"/>
  <c r="AJ369" i="26"/>
  <c r="AW369" i="26" s="1"/>
  <c r="AY369" i="26" s="1"/>
  <c r="AX368" i="26" s="1"/>
  <c r="AZ105" i="26"/>
  <c r="BB105" i="26" s="1"/>
  <c r="AZ19" i="26"/>
  <c r="BB19" i="26" s="1"/>
  <c r="AZ386" i="26"/>
  <c r="BB386" i="26" s="1"/>
  <c r="AZ362" i="26"/>
  <c r="BB362" i="26" s="1"/>
  <c r="AZ358" i="26"/>
  <c r="BB358" i="26" s="1"/>
  <c r="AW328" i="26"/>
  <c r="AY328" i="26" s="1"/>
  <c r="AX328" i="26" s="1"/>
  <c r="AZ274" i="26"/>
  <c r="BB274" i="26" s="1"/>
  <c r="AZ111" i="26"/>
  <c r="BB111" i="26" s="1"/>
  <c r="V449" i="26"/>
  <c r="V488" i="26"/>
  <c r="E183" i="10"/>
  <c r="E297" i="9"/>
  <c r="E203" i="6"/>
  <c r="F422" i="26"/>
  <c r="AF224" i="26"/>
  <c r="AN224" i="26" s="1"/>
  <c r="AF334" i="26"/>
  <c r="AH334" i="26" s="1"/>
  <c r="AG334" i="26" s="1"/>
  <c r="F464" i="26"/>
  <c r="AZ183" i="26"/>
  <c r="BB183" i="26" s="1"/>
  <c r="E22" i="10"/>
  <c r="AZ61" i="26"/>
  <c r="BB61" i="26" s="1"/>
  <c r="E234" i="10"/>
  <c r="E329" i="10"/>
  <c r="AW44" i="26"/>
  <c r="AY44" i="26" s="1"/>
  <c r="AZ29" i="26"/>
  <c r="BB29" i="26" s="1"/>
  <c r="AF313" i="26"/>
  <c r="AH313" i="26" s="1"/>
  <c r="AG313" i="26" s="1"/>
  <c r="E309" i="10"/>
  <c r="V434" i="26"/>
  <c r="E41" i="10"/>
  <c r="E282" i="10"/>
  <c r="E14" i="10"/>
  <c r="E270" i="6"/>
  <c r="E476" i="26"/>
  <c r="E455" i="9" s="1"/>
  <c r="AZ375" i="26"/>
  <c r="BB375" i="26" s="1"/>
  <c r="AJ244" i="26"/>
  <c r="AW244" i="26" s="1"/>
  <c r="AY244" i="26" s="1"/>
  <c r="AX244" i="26" s="1"/>
  <c r="D349" i="10"/>
  <c r="AS433" i="26"/>
  <c r="E293" i="6"/>
  <c r="E389" i="6"/>
  <c r="E243" i="6"/>
  <c r="AZ135" i="26"/>
  <c r="BB135" i="26" s="1"/>
  <c r="AZ62" i="26"/>
  <c r="BB62" i="26" s="1"/>
  <c r="E157" i="10"/>
  <c r="E347" i="10"/>
  <c r="E61" i="10"/>
  <c r="E62" i="10"/>
  <c r="AF266" i="26"/>
  <c r="AH266" i="26" s="1"/>
  <c r="AG266" i="26" s="1"/>
  <c r="AZ41" i="26"/>
  <c r="BB41" i="26" s="1"/>
  <c r="E17" i="10"/>
  <c r="AZ140" i="26"/>
  <c r="BB140" i="26" s="1"/>
  <c r="AF134" i="26"/>
  <c r="AH134" i="26" s="1"/>
  <c r="F518" i="26"/>
  <c r="F519" i="26"/>
  <c r="E135" i="10"/>
  <c r="AZ139" i="26"/>
  <c r="BB139" i="26" s="1"/>
  <c r="AZ251" i="26"/>
  <c r="BB251" i="26" s="1"/>
  <c r="AF311" i="26"/>
  <c r="AH311" i="26" s="1"/>
  <c r="AG311" i="26" s="1"/>
  <c r="E276" i="10"/>
  <c r="F501" i="26"/>
  <c r="V525" i="26"/>
  <c r="V447" i="26"/>
  <c r="F463" i="26"/>
  <c r="AF265" i="26"/>
  <c r="AH265" i="26" s="1"/>
  <c r="AG265" i="26" s="1"/>
  <c r="E287" i="10"/>
  <c r="E301" i="10"/>
  <c r="AF286" i="26"/>
  <c r="AH286" i="26" s="1"/>
  <c r="E295" i="10"/>
  <c r="AF17" i="26"/>
  <c r="AH17" i="26" s="1"/>
  <c r="AG17" i="26" s="1"/>
  <c r="E96" i="10"/>
  <c r="AF130" i="26"/>
  <c r="AH130" i="26" s="1"/>
  <c r="AG130" i="26" s="1"/>
  <c r="AF251" i="26"/>
  <c r="AN251" i="26" s="1"/>
  <c r="AF88" i="26"/>
  <c r="AH88" i="26" s="1"/>
  <c r="AG88" i="26" s="1"/>
  <c r="AF73" i="26"/>
  <c r="AH73" i="26" s="1"/>
  <c r="AG73" i="26" s="1"/>
  <c r="E350" i="10"/>
  <c r="G1354" i="10"/>
  <c r="V416" i="26"/>
  <c r="AW378" i="26"/>
  <c r="AY378" i="26" s="1"/>
  <c r="AX378" i="26" s="1"/>
  <c r="AZ330" i="26"/>
  <c r="BB330" i="26" s="1"/>
  <c r="AZ300" i="26"/>
  <c r="BB300" i="26" s="1"/>
  <c r="AZ296" i="26"/>
  <c r="BB296" i="26" s="1"/>
  <c r="AZ231" i="26"/>
  <c r="BB231" i="26" s="1"/>
  <c r="AZ116" i="26"/>
  <c r="BB116" i="26" s="1"/>
  <c r="AZ23" i="26"/>
  <c r="BB23" i="26" s="1"/>
  <c r="E134" i="10"/>
  <c r="AZ197" i="26"/>
  <c r="BB197" i="26" s="1"/>
  <c r="AF283" i="26"/>
  <c r="AH283" i="26" s="1"/>
  <c r="AG283" i="26" s="1"/>
  <c r="F531" i="26"/>
  <c r="AZ134" i="26"/>
  <c r="BB134" i="26" s="1"/>
  <c r="V520" i="26"/>
  <c r="F521" i="26"/>
  <c r="E120" i="10"/>
  <c r="AZ120" i="26"/>
  <c r="BB120" i="26" s="1"/>
  <c r="E337" i="10"/>
  <c r="AG301" i="26"/>
  <c r="AF259" i="26"/>
  <c r="AH259" i="26" s="1"/>
  <c r="AG259" i="26" s="1"/>
  <c r="V463" i="26"/>
  <c r="AF328" i="26"/>
  <c r="AH328" i="26" s="1"/>
  <c r="AG328" i="26" s="1"/>
  <c r="AF362" i="26"/>
  <c r="AH362" i="26" s="1"/>
  <c r="AG362" i="26" s="1"/>
  <c r="AF291" i="26"/>
  <c r="AH291" i="26" s="1"/>
  <c r="AG291" i="26" s="1"/>
  <c r="E152" i="10"/>
  <c r="F431" i="26"/>
  <c r="AZ350" i="26"/>
  <c r="BB350" i="26" s="1"/>
  <c r="AZ38" i="26"/>
  <c r="BB38" i="26" s="1"/>
  <c r="E53" i="10"/>
  <c r="AZ73" i="26"/>
  <c r="BB73" i="26" s="1"/>
  <c r="E230" i="10"/>
  <c r="E259" i="10"/>
  <c r="V531" i="26"/>
  <c r="AF252" i="26"/>
  <c r="AH252" i="26" s="1"/>
  <c r="AG252" i="26" s="1"/>
  <c r="F473" i="26"/>
  <c r="AF157" i="26"/>
  <c r="AH157" i="26" s="1"/>
  <c r="AG157" i="26" s="1"/>
  <c r="E379" i="10"/>
  <c r="V431" i="26"/>
  <c r="AF14" i="26"/>
  <c r="AH14" i="26" s="1"/>
  <c r="AZ252" i="26"/>
  <c r="BB252" i="26" s="1"/>
  <c r="AW363" i="26"/>
  <c r="AY363" i="26" s="1"/>
  <c r="AX363" i="26" s="1"/>
  <c r="AZ347" i="26"/>
  <c r="BB347" i="26" s="1"/>
  <c r="AZ334" i="26"/>
  <c r="BB334" i="26" s="1"/>
  <c r="AZ329" i="26"/>
  <c r="BB329" i="26" s="1"/>
  <c r="AW291" i="26"/>
  <c r="AY291" i="26" s="1"/>
  <c r="AZ283" i="26"/>
  <c r="BB283" i="26" s="1"/>
  <c r="AW282" i="26"/>
  <c r="AY282" i="26" s="1"/>
  <c r="AW230" i="26"/>
  <c r="AY230" i="26" s="1"/>
  <c r="AX230" i="26" s="1"/>
  <c r="AW197" i="26"/>
  <c r="AY197" i="26" s="1"/>
  <c r="AX197" i="26" s="1"/>
  <c r="AZ157" i="26"/>
  <c r="BB157" i="26" s="1"/>
  <c r="AW120" i="26"/>
  <c r="AY120" i="26" s="1"/>
  <c r="AX120" i="26" s="1"/>
  <c r="AZ104" i="26"/>
  <c r="BB104" i="26" s="1"/>
  <c r="AW53" i="26"/>
  <c r="AY53" i="26" s="1"/>
  <c r="AZ328" i="26"/>
  <c r="BB328" i="26" s="1"/>
  <c r="I9" i="30"/>
  <c r="J9" i="30" s="1"/>
  <c r="K9" i="30" s="1"/>
  <c r="E9" i="30" s="1"/>
  <c r="I71" i="30"/>
  <c r="J71" i="30" s="1"/>
  <c r="K71" i="30" s="1"/>
  <c r="E71" i="30" s="1"/>
  <c r="E155" i="9"/>
  <c r="D21" i="10"/>
  <c r="E240" i="9"/>
  <c r="D37" i="10"/>
  <c r="AD1576" i="10"/>
  <c r="E150" i="6"/>
  <c r="AA359" i="26"/>
  <c r="AQ466" i="26"/>
  <c r="AR466" i="26" s="1"/>
  <c r="AQ459" i="26"/>
  <c r="AZ379" i="26"/>
  <c r="BB379" i="26" s="1"/>
  <c r="E199" i="6"/>
  <c r="T1255" i="10"/>
  <c r="E22" i="6"/>
  <c r="AZ317" i="26"/>
  <c r="BB317" i="26" s="1"/>
  <c r="AZ311" i="26"/>
  <c r="BB311" i="26" s="1"/>
  <c r="AZ295" i="26"/>
  <c r="BB295" i="26" s="1"/>
  <c r="E528" i="26"/>
  <c r="U528" i="26" s="1"/>
  <c r="E16" i="6"/>
  <c r="D88" i="10"/>
  <c r="E413" i="26"/>
  <c r="E412" i="6" s="1"/>
  <c r="AZ88" i="26"/>
  <c r="BB88" i="26" s="1"/>
  <c r="AU263" i="26"/>
  <c r="H263" i="9" s="1"/>
  <c r="AD263" i="9" s="1"/>
  <c r="D39" i="10"/>
  <c r="D133" i="10"/>
  <c r="E151" i="6"/>
  <c r="E352" i="9"/>
  <c r="E238" i="6"/>
  <c r="D35" i="10"/>
  <c r="AA337" i="26"/>
  <c r="AJ21" i="26"/>
  <c r="AW21" i="26" s="1"/>
  <c r="AY21" i="26" s="1"/>
  <c r="AX21" i="26" s="1"/>
  <c r="I60" i="30"/>
  <c r="J60" i="30" s="1"/>
  <c r="K60" i="30" s="1"/>
  <c r="E60" i="30" s="1"/>
  <c r="I196" i="30"/>
  <c r="J196" i="30" s="1"/>
  <c r="K196" i="30" s="1"/>
  <c r="E196" i="30" s="1"/>
  <c r="E171" i="9"/>
  <c r="E172" i="6"/>
  <c r="E250" i="9"/>
  <c r="AZ266" i="26"/>
  <c r="BB266" i="26" s="1"/>
  <c r="E69" i="9"/>
  <c r="E285" i="6"/>
  <c r="AZ365" i="26"/>
  <c r="BB365" i="26" s="1"/>
  <c r="AZ291" i="26"/>
  <c r="BB291" i="26" s="1"/>
  <c r="AZ309" i="26"/>
  <c r="BB309" i="26" s="1"/>
  <c r="AJ171" i="26"/>
  <c r="AW171" i="26" s="1"/>
  <c r="AY171" i="26" s="1"/>
  <c r="AX171" i="26" s="1"/>
  <c r="AM152" i="26"/>
  <c r="E204" i="6"/>
  <c r="AA287" i="26"/>
  <c r="E372" i="9"/>
  <c r="AA31" i="26"/>
  <c r="AA104" i="26"/>
  <c r="AZ282" i="26"/>
  <c r="BB282" i="26" s="1"/>
  <c r="E514" i="26"/>
  <c r="U514" i="26" s="1"/>
  <c r="AA389" i="26"/>
  <c r="AZ22" i="26"/>
  <c r="BB22" i="26" s="1"/>
  <c r="AZ53" i="26"/>
  <c r="BB53" i="26" s="1"/>
  <c r="AZ130" i="26"/>
  <c r="BB130" i="26" s="1"/>
  <c r="E230" i="9"/>
  <c r="D267" i="10"/>
  <c r="E109" i="9"/>
  <c r="AZ313" i="26"/>
  <c r="BB313" i="26" s="1"/>
  <c r="E283" i="9"/>
  <c r="E210" i="9"/>
  <c r="D73" i="10"/>
  <c r="E120" i="6"/>
  <c r="E234" i="9"/>
  <c r="AA282" i="26"/>
  <c r="AJ377" i="26"/>
  <c r="AW377" i="26" s="1"/>
  <c r="AY377" i="26" s="1"/>
  <c r="AZ234" i="26"/>
  <c r="BB234" i="26" s="1"/>
  <c r="AA27" i="26"/>
  <c r="AZ230" i="26"/>
  <c r="BB230" i="26" s="1"/>
  <c r="E53" i="9"/>
  <c r="AZ89" i="26"/>
  <c r="BB89" i="26" s="1"/>
  <c r="AZ287" i="26"/>
  <c r="BB287" i="26" s="1"/>
  <c r="AZ351" i="26"/>
  <c r="BB351" i="26" s="1"/>
  <c r="D355" i="10"/>
  <c r="AZ96" i="26"/>
  <c r="BB96" i="26" s="1"/>
  <c r="D309" i="10"/>
  <c r="AA288" i="26"/>
  <c r="E282" i="6"/>
  <c r="E62" i="9"/>
  <c r="E498" i="26"/>
  <c r="U498" i="26" s="1"/>
  <c r="E249" i="6"/>
  <c r="AU65" i="26"/>
  <c r="H65" i="9" s="1"/>
  <c r="AC65" i="9" s="1"/>
  <c r="AH65" i="9" s="1"/>
  <c r="AA249" i="26"/>
  <c r="AJ365" i="26"/>
  <c r="AW365" i="26" s="1"/>
  <c r="AZ261" i="26"/>
  <c r="BB261" i="26" s="1"/>
  <c r="AQ484" i="26"/>
  <c r="AR484" i="26" s="1"/>
  <c r="AS484" i="26"/>
  <c r="AS464" i="26"/>
  <c r="AT464" i="26" s="1"/>
  <c r="AQ464" i="26"/>
  <c r="AR464" i="26" s="1"/>
  <c r="AS489" i="26"/>
  <c r="AT489" i="26" s="1"/>
  <c r="AS476" i="26"/>
  <c r="AT476" i="26" s="1"/>
  <c r="AQ476" i="26"/>
  <c r="AR476" i="26" s="1"/>
  <c r="AS470" i="26"/>
  <c r="AT470" i="26" s="1"/>
  <c r="AQ470" i="26"/>
  <c r="AR470" i="26" s="1"/>
  <c r="AS467" i="26"/>
  <c r="AT467" i="26" s="1"/>
  <c r="AQ467" i="26"/>
  <c r="AR467" i="26" s="1"/>
  <c r="AS463" i="26"/>
  <c r="AT463" i="26" s="1"/>
  <c r="AS460" i="26"/>
  <c r="AT460" i="26" s="1"/>
  <c r="AQ419" i="26"/>
  <c r="AR419" i="26" s="1"/>
  <c r="AS419" i="26"/>
  <c r="AT419" i="26" s="1"/>
  <c r="AA298" i="26"/>
  <c r="E298" i="6"/>
  <c r="E268" i="9"/>
  <c r="E268" i="6"/>
  <c r="D263" i="10"/>
  <c r="E263" i="6"/>
  <c r="E217" i="9"/>
  <c r="E217" i="6"/>
  <c r="E168" i="9"/>
  <c r="E168" i="6"/>
  <c r="D384" i="10"/>
  <c r="E384" i="9"/>
  <c r="AA375" i="26"/>
  <c r="D375" i="10"/>
  <c r="E375" i="9"/>
  <c r="AJ375" i="26"/>
  <c r="AW375" i="26" s="1"/>
  <c r="AY375" i="26" s="1"/>
  <c r="AZ372" i="26"/>
  <c r="BB372" i="26" s="1"/>
  <c r="E372" i="6"/>
  <c r="E369" i="9"/>
  <c r="AA369" i="26"/>
  <c r="D369" i="10"/>
  <c r="AA341" i="26"/>
  <c r="D341" i="10"/>
  <c r="AJ341" i="26"/>
  <c r="AW341" i="26" s="1"/>
  <c r="AJ336" i="26"/>
  <c r="AW336" i="26" s="1"/>
  <c r="AY336" i="26" s="1"/>
  <c r="AX336" i="26" s="1"/>
  <c r="D336" i="10"/>
  <c r="E297" i="6"/>
  <c r="D297" i="10"/>
  <c r="AA297" i="26"/>
  <c r="E293" i="9"/>
  <c r="AA293" i="26"/>
  <c r="AJ293" i="26"/>
  <c r="AW293" i="26" s="1"/>
  <c r="AY293" i="26" s="1"/>
  <c r="E280" i="6"/>
  <c r="D280" i="10"/>
  <c r="AJ270" i="26"/>
  <c r="AW270" i="26" s="1"/>
  <c r="AY270" i="26" s="1"/>
  <c r="E270" i="9"/>
  <c r="AA270" i="26"/>
  <c r="E527" i="26"/>
  <c r="E483" i="9" s="1"/>
  <c r="E255" i="9"/>
  <c r="D255" i="10"/>
  <c r="D254" i="10"/>
  <c r="E254" i="6"/>
  <c r="AJ254" i="26"/>
  <c r="AU252" i="26"/>
  <c r="I252" i="6" s="1"/>
  <c r="AM252" i="26"/>
  <c r="AJ250" i="26"/>
  <c r="AW250" i="26" s="1"/>
  <c r="AY250" i="26" s="1"/>
  <c r="AX250" i="26" s="1"/>
  <c r="D250" i="10"/>
  <c r="E250" i="6"/>
  <c r="AA247" i="26"/>
  <c r="D247" i="10"/>
  <c r="E245" i="6"/>
  <c r="E245" i="9"/>
  <c r="E510" i="26"/>
  <c r="U510" i="26" s="1"/>
  <c r="AA244" i="26"/>
  <c r="E507" i="26"/>
  <c r="U507" i="26" s="1"/>
  <c r="AJ226" i="26"/>
  <c r="AW226" i="26" s="1"/>
  <c r="AY226" i="26" s="1"/>
  <c r="D226" i="10"/>
  <c r="AA226" i="26"/>
  <c r="D224" i="10"/>
  <c r="AA224" i="26"/>
  <c r="E497" i="26"/>
  <c r="E475" i="6" s="1"/>
  <c r="D216" i="10"/>
  <c r="E216" i="6"/>
  <c r="E216" i="9"/>
  <c r="AJ215" i="26"/>
  <c r="AW215" i="26" s="1"/>
  <c r="AA215" i="26"/>
  <c r="AA204" i="26"/>
  <c r="E204" i="9"/>
  <c r="AJ204" i="26"/>
  <c r="AW204" i="26" s="1"/>
  <c r="AY204" i="26" s="1"/>
  <c r="AX204" i="26" s="1"/>
  <c r="AA203" i="26"/>
  <c r="D203" i="10"/>
  <c r="AZ202" i="26"/>
  <c r="BB202" i="26" s="1"/>
  <c r="E202" i="6"/>
  <c r="AA187" i="26"/>
  <c r="D187" i="10"/>
  <c r="E187" i="6"/>
  <c r="AJ187" i="26"/>
  <c r="AW187" i="26" s="1"/>
  <c r="AY187" i="26" s="1"/>
  <c r="AX187" i="26" s="1"/>
  <c r="AA183" i="26"/>
  <c r="AJ183" i="26"/>
  <c r="AW183" i="26" s="1"/>
  <c r="AY183" i="26" s="1"/>
  <c r="AX183" i="26" s="1"/>
  <c r="E183" i="9"/>
  <c r="D183" i="10"/>
  <c r="E172" i="9"/>
  <c r="E477" i="26"/>
  <c r="E456" i="9" s="1"/>
  <c r="D160" i="10"/>
  <c r="AJ160" i="26"/>
  <c r="AW160" i="26" s="1"/>
  <c r="AY160" i="26" s="1"/>
  <c r="AJ154" i="26"/>
  <c r="AW154" i="26" s="1"/>
  <c r="AY154" i="26" s="1"/>
  <c r="AX154" i="26" s="1"/>
  <c r="D154" i="10"/>
  <c r="E154" i="6"/>
  <c r="AJ110" i="26"/>
  <c r="AW110" i="26" s="1"/>
  <c r="AY110" i="26" s="1"/>
  <c r="AX110" i="26" s="1"/>
  <c r="E110" i="6"/>
  <c r="AA110" i="26"/>
  <c r="E108" i="9"/>
  <c r="AJ108" i="26"/>
  <c r="AJ99" i="26"/>
  <c r="AW99" i="26" s="1"/>
  <c r="AY99" i="26" s="1"/>
  <c r="D99" i="10"/>
  <c r="E99" i="9"/>
  <c r="E94" i="9"/>
  <c r="E94" i="6"/>
  <c r="AA94" i="26"/>
  <c r="D94" i="10"/>
  <c r="D87" i="10"/>
  <c r="E87" i="9"/>
  <c r="E87" i="6"/>
  <c r="AJ87" i="26"/>
  <c r="AW87" i="26" s="1"/>
  <c r="AY87" i="26" s="1"/>
  <c r="AX87" i="26" s="1"/>
  <c r="AJ71" i="26"/>
  <c r="AW71" i="26" s="1"/>
  <c r="D71" i="10"/>
  <c r="E71" i="9"/>
  <c r="AJ24" i="26"/>
  <c r="AW24" i="26" s="1"/>
  <c r="AY24" i="26" s="1"/>
  <c r="AX24" i="26" s="1"/>
  <c r="AZ24" i="26"/>
  <c r="BB24" i="26" s="1"/>
  <c r="E17" i="6"/>
  <c r="AZ17" i="26"/>
  <c r="BB17" i="26" s="1"/>
  <c r="AZ263" i="26"/>
  <c r="BB263" i="26" s="1"/>
  <c r="AZ361" i="26"/>
  <c r="BB361" i="26" s="1"/>
  <c r="AZ285" i="26"/>
  <c r="BB285" i="26" s="1"/>
  <c r="AZ99" i="26"/>
  <c r="BB99" i="26" s="1"/>
  <c r="I81" i="30"/>
  <c r="J81" i="30" s="1"/>
  <c r="K81" i="30" s="1"/>
  <c r="E81" i="30" s="1"/>
  <c r="AE1506" i="10"/>
  <c r="S1415" i="10"/>
  <c r="AT1586" i="10"/>
  <c r="AD1280" i="10"/>
  <c r="D142" i="10"/>
  <c r="I231" i="30"/>
  <c r="J231" i="30" s="1"/>
  <c r="K231" i="30" s="1"/>
  <c r="E231" i="30" s="1"/>
  <c r="I22" i="30"/>
  <c r="J22" i="30" s="1"/>
  <c r="K22" i="30" s="1"/>
  <c r="E22" i="30" s="1"/>
  <c r="I188" i="30"/>
  <c r="AQ488" i="26"/>
  <c r="E415" i="26"/>
  <c r="U415" i="26" s="1"/>
  <c r="D60" i="10"/>
  <c r="AA60" i="26"/>
  <c r="D150" i="10"/>
  <c r="AJ151" i="26"/>
  <c r="AW151" i="26" s="1"/>
  <c r="AY151" i="26" s="1"/>
  <c r="AX151" i="26" s="1"/>
  <c r="AZ214" i="26"/>
  <c r="BB214" i="26" s="1"/>
  <c r="E131" i="6"/>
  <c r="D258" i="10"/>
  <c r="AS508" i="26"/>
  <c r="AT508" i="26" s="1"/>
  <c r="AZ337" i="26"/>
  <c r="BB337" i="26" s="1"/>
  <c r="E265" i="6"/>
  <c r="AA55" i="26"/>
  <c r="AJ30" i="26"/>
  <c r="AW30" i="26" s="1"/>
  <c r="AY30" i="26" s="1"/>
  <c r="AX30" i="26" s="1"/>
  <c r="E133" i="9"/>
  <c r="AZ155" i="26"/>
  <c r="BB155" i="26" s="1"/>
  <c r="AZ83" i="26"/>
  <c r="BB83" i="26" s="1"/>
  <c r="AJ14" i="26"/>
  <c r="AW14" i="26" s="1"/>
  <c r="AY14" i="26" s="1"/>
  <c r="AX14" i="26" s="1"/>
  <c r="AZ220" i="26"/>
  <c r="BB220" i="26" s="1"/>
  <c r="E276" i="6"/>
  <c r="E78" i="6"/>
  <c r="D286" i="10"/>
  <c r="AJ34" i="26"/>
  <c r="E72" i="9"/>
  <c r="AA15" i="26"/>
  <c r="AJ72" i="26"/>
  <c r="AW72" i="26" s="1"/>
  <c r="AY72" i="26" s="1"/>
  <c r="E188" i="9"/>
  <c r="AS413" i="26"/>
  <c r="AT413" i="26" s="1"/>
  <c r="D274" i="10"/>
  <c r="E14" i="6"/>
  <c r="AS428" i="26"/>
  <c r="AS429" i="26"/>
  <c r="AS523" i="26"/>
  <c r="AS499" i="26"/>
  <c r="AT499" i="26" s="1"/>
  <c r="AS531" i="26"/>
  <c r="AT531" i="26" s="1"/>
  <c r="AS525" i="26"/>
  <c r="AZ175" i="26"/>
  <c r="BB175" i="26" s="1"/>
  <c r="AZ359" i="26"/>
  <c r="BB359" i="26" s="1"/>
  <c r="E79" i="9"/>
  <c r="I342" i="30"/>
  <c r="I53" i="30"/>
  <c r="AS500" i="26"/>
  <c r="AT500" i="26" s="1"/>
  <c r="AS507" i="26"/>
  <c r="AT507" i="26" s="1"/>
  <c r="AS511" i="26"/>
  <c r="AI1566" i="10"/>
  <c r="AZ90" i="26"/>
  <c r="BB90" i="26" s="1"/>
  <c r="I354" i="30"/>
  <c r="L354" i="30"/>
  <c r="I138" i="30"/>
  <c r="L138" i="30"/>
  <c r="I94" i="30"/>
  <c r="L94" i="30"/>
  <c r="I62" i="30"/>
  <c r="L62" i="30"/>
  <c r="I25" i="30"/>
  <c r="J25" i="30" s="1"/>
  <c r="K25" i="30" s="1"/>
  <c r="E25" i="30" s="1"/>
  <c r="I358" i="30"/>
  <c r="L358" i="30"/>
  <c r="I338" i="30"/>
  <c r="L338" i="30"/>
  <c r="I322" i="30"/>
  <c r="L322" i="30"/>
  <c r="I266" i="30"/>
  <c r="L266" i="30"/>
  <c r="I190" i="30"/>
  <c r="L190" i="30"/>
  <c r="I170" i="30"/>
  <c r="L170" i="30"/>
  <c r="I126" i="30"/>
  <c r="L126" i="30"/>
  <c r="I300" i="30"/>
  <c r="L300" i="30"/>
  <c r="I268" i="30"/>
  <c r="L268" i="30"/>
  <c r="I314" i="30"/>
  <c r="L314" i="30"/>
  <c r="I306" i="30"/>
  <c r="L306" i="30"/>
  <c r="I298" i="30"/>
  <c r="L298" i="30"/>
  <c r="I294" i="30"/>
  <c r="L294" i="30"/>
  <c r="I290" i="30"/>
  <c r="L290" i="30"/>
  <c r="I274" i="30"/>
  <c r="L274" i="30"/>
  <c r="I262" i="30"/>
  <c r="L262" i="30"/>
  <c r="I258" i="30"/>
  <c r="L258" i="30"/>
  <c r="L10" i="30"/>
  <c r="AH1579" i="10"/>
  <c r="AK1247" i="10"/>
  <c r="X1343" i="10"/>
  <c r="K1494" i="10"/>
  <c r="AF1439" i="10"/>
  <c r="S1577" i="10"/>
  <c r="AM1485" i="10"/>
  <c r="AK1231" i="10"/>
  <c r="Z1586" i="10"/>
  <c r="AL1377" i="10"/>
  <c r="AL1526" i="10"/>
  <c r="AT1410" i="10"/>
  <c r="O1219" i="10"/>
  <c r="AL1280" i="10"/>
  <c r="AI1280" i="10"/>
  <c r="AT1493" i="10"/>
  <c r="AG1245" i="10"/>
  <c r="AK1526" i="10"/>
  <c r="R1219" i="10"/>
  <c r="AQ1280" i="10"/>
  <c r="O1378" i="10"/>
  <c r="U1280" i="10"/>
  <c r="AD1566" i="10"/>
  <c r="AF1333" i="10"/>
  <c r="AI1255" i="10"/>
  <c r="AA385" i="26"/>
  <c r="AJ385" i="26"/>
  <c r="AW385" i="26" s="1"/>
  <c r="AY385" i="26" s="1"/>
  <c r="E366" i="9"/>
  <c r="E366" i="6"/>
  <c r="E75" i="9"/>
  <c r="AA75" i="26"/>
  <c r="D209" i="10"/>
  <c r="AZ209" i="26"/>
  <c r="BB209" i="26" s="1"/>
  <c r="E209" i="6"/>
  <c r="E492" i="26"/>
  <c r="E471" i="6" s="1"/>
  <c r="AZ201" i="26"/>
  <c r="BB201" i="26" s="1"/>
  <c r="AA201" i="26"/>
  <c r="D201" i="10"/>
  <c r="AJ201" i="26"/>
  <c r="AW201" i="26" s="1"/>
  <c r="AY201" i="26" s="1"/>
  <c r="AX201" i="26" s="1"/>
  <c r="AJ182" i="26"/>
  <c r="AW182" i="26" s="1"/>
  <c r="AY182" i="26" s="1"/>
  <c r="AX182" i="26" s="1"/>
  <c r="E182" i="9"/>
  <c r="AA182" i="26"/>
  <c r="D182" i="10"/>
  <c r="E146" i="6"/>
  <c r="AA146" i="26"/>
  <c r="D146" i="10"/>
  <c r="E467" i="26"/>
  <c r="U467" i="26" s="1"/>
  <c r="E92" i="9"/>
  <c r="E442" i="26"/>
  <c r="U442" i="26" s="1"/>
  <c r="Z1496" i="10"/>
  <c r="AC1280" i="10"/>
  <c r="AG1472" i="10"/>
  <c r="J1341" i="10"/>
  <c r="E28" i="6"/>
  <c r="AG1566" i="10"/>
  <c r="O1576" i="10"/>
  <c r="O1280" i="10"/>
  <c r="D211" i="10"/>
  <c r="D366" i="10"/>
  <c r="E201" i="9"/>
  <c r="AZ198" i="26"/>
  <c r="BB198" i="26" s="1"/>
  <c r="AF1566" i="10"/>
  <c r="M1525" i="10"/>
  <c r="AL1506" i="10"/>
  <c r="O1480" i="10"/>
  <c r="L1430" i="10"/>
  <c r="AR1342" i="10"/>
  <c r="AM1255" i="10"/>
  <c r="W1251" i="10"/>
  <c r="E322" i="6"/>
  <c r="E322" i="9"/>
  <c r="D152" i="10"/>
  <c r="AA152" i="26"/>
  <c r="E152" i="9"/>
  <c r="AZ152" i="26"/>
  <c r="BB152" i="26" s="1"/>
  <c r="E141" i="9"/>
  <c r="AA141" i="26"/>
  <c r="E141" i="6"/>
  <c r="D141" i="10"/>
  <c r="E131" i="9"/>
  <c r="AZ131" i="26"/>
  <c r="BB131" i="26" s="1"/>
  <c r="D131" i="10"/>
  <c r="E124" i="6"/>
  <c r="E124" i="9"/>
  <c r="AZ124" i="26"/>
  <c r="BB124" i="26" s="1"/>
  <c r="AA124" i="26"/>
  <c r="E83" i="6"/>
  <c r="E83" i="9"/>
  <c r="D83" i="10"/>
  <c r="E55" i="9"/>
  <c r="E55" i="6"/>
  <c r="E39" i="9"/>
  <c r="AA39" i="26"/>
  <c r="AJ381" i="26"/>
  <c r="AW381" i="26" s="1"/>
  <c r="AY381" i="26" s="1"/>
  <c r="AZ381" i="26"/>
  <c r="BB381" i="26" s="1"/>
  <c r="AA381" i="26"/>
  <c r="AZ376" i="26"/>
  <c r="BB376" i="26" s="1"/>
  <c r="D376" i="10"/>
  <c r="D342" i="10"/>
  <c r="E342" i="9"/>
  <c r="E337" i="6"/>
  <c r="AJ337" i="26"/>
  <c r="AW337" i="26" s="1"/>
  <c r="AY337" i="26" s="1"/>
  <c r="E337" i="9"/>
  <c r="AJ333" i="26"/>
  <c r="AW333" i="26" s="1"/>
  <c r="AY333" i="26" s="1"/>
  <c r="AX333" i="26" s="1"/>
  <c r="E333" i="6"/>
  <c r="AZ333" i="26"/>
  <c r="BB333" i="26" s="1"/>
  <c r="D328" i="10"/>
  <c r="E328" i="9"/>
  <c r="E294" i="9"/>
  <c r="AJ294" i="26"/>
  <c r="AW294" i="26" s="1"/>
  <c r="D294" i="10"/>
  <c r="E294" i="6"/>
  <c r="AJ290" i="26"/>
  <c r="AW290" i="26" s="1"/>
  <c r="AY290" i="26" s="1"/>
  <c r="AZ290" i="26"/>
  <c r="BB290" i="26" s="1"/>
  <c r="D290" i="10"/>
  <c r="E286" i="6"/>
  <c r="E286" i="9"/>
  <c r="AJ286" i="26"/>
  <c r="AW286" i="26" s="1"/>
  <c r="AY286" i="26" s="1"/>
  <c r="AZ286" i="26"/>
  <c r="BB286" i="26" s="1"/>
  <c r="AJ281" i="26"/>
  <c r="AW281" i="26" s="1"/>
  <c r="AY281" i="26" s="1"/>
  <c r="E281" i="9"/>
  <c r="D281" i="10"/>
  <c r="AZ281" i="26"/>
  <c r="BB281" i="26" s="1"/>
  <c r="AA281" i="26"/>
  <c r="E276" i="9"/>
  <c r="E530" i="26"/>
  <c r="E486" i="9" s="1"/>
  <c r="D276" i="10"/>
  <c r="AJ276" i="26"/>
  <c r="AW276" i="26" s="1"/>
  <c r="AY276" i="26" s="1"/>
  <c r="E275" i="6"/>
  <c r="AJ275" i="26"/>
  <c r="AW275" i="26" s="1"/>
  <c r="AY275" i="26" s="1"/>
  <c r="AX275" i="26" s="1"/>
  <c r="E275" i="9"/>
  <c r="E529" i="26"/>
  <c r="U529" i="26" s="1"/>
  <c r="AA275" i="26"/>
  <c r="AA274" i="26"/>
  <c r="AJ274" i="26"/>
  <c r="AW274" i="26" s="1"/>
  <c r="AY274" i="26" s="1"/>
  <c r="AX274" i="26" s="1"/>
  <c r="E274" i="9"/>
  <c r="E274" i="6"/>
  <c r="AZ265" i="26"/>
  <c r="BB265" i="26" s="1"/>
  <c r="AJ265" i="26"/>
  <c r="AW265" i="26" s="1"/>
  <c r="AY265" i="26" s="1"/>
  <c r="AA260" i="26"/>
  <c r="AZ260" i="26"/>
  <c r="BB260" i="26" s="1"/>
  <c r="AJ260" i="26"/>
  <c r="AW260" i="26" s="1"/>
  <c r="AY260" i="26" s="1"/>
  <c r="D259" i="10"/>
  <c r="E259" i="9"/>
  <c r="AJ259" i="26"/>
  <c r="AW259" i="26" s="1"/>
  <c r="AY259" i="26" s="1"/>
  <c r="AZ259" i="26"/>
  <c r="BB259" i="26" s="1"/>
  <c r="AA258" i="26"/>
  <c r="E524" i="26"/>
  <c r="E480" i="9" s="1"/>
  <c r="D240" i="10"/>
  <c r="AZ240" i="26"/>
  <c r="BB240" i="26" s="1"/>
  <c r="E240" i="6"/>
  <c r="AJ240" i="26"/>
  <c r="AW240" i="26" s="1"/>
  <c r="AY240" i="26" s="1"/>
  <c r="AJ239" i="26"/>
  <c r="AW239" i="26" s="1"/>
  <c r="AY239" i="26" s="1"/>
  <c r="AX239" i="26" s="1"/>
  <c r="E239" i="9"/>
  <c r="AA239" i="26"/>
  <c r="AZ239" i="26"/>
  <c r="BB239" i="26" s="1"/>
  <c r="E502" i="26"/>
  <c r="U502" i="26" s="1"/>
  <c r="AA238" i="26"/>
  <c r="E238" i="9"/>
  <c r="D238" i="10"/>
  <c r="AZ237" i="26"/>
  <c r="BB237" i="26" s="1"/>
  <c r="AA237" i="26"/>
  <c r="E501" i="26"/>
  <c r="E479" i="6" s="1"/>
  <c r="AJ237" i="26"/>
  <c r="AW237" i="26" s="1"/>
  <c r="AY237" i="26" s="1"/>
  <c r="AX237" i="26" s="1"/>
  <c r="E233" i="9"/>
  <c r="E233" i="6"/>
  <c r="E229" i="9"/>
  <c r="E229" i="6"/>
  <c r="AJ229" i="26"/>
  <c r="AW229" i="26" s="1"/>
  <c r="AJ184" i="26"/>
  <c r="AW184" i="26" s="1"/>
  <c r="AY184" i="26" s="1"/>
  <c r="AX184" i="26" s="1"/>
  <c r="D184" i="10"/>
  <c r="D155" i="10"/>
  <c r="AA155" i="26"/>
  <c r="AB155" i="26" s="1"/>
  <c r="E472" i="26"/>
  <c r="E460" i="6" s="1"/>
  <c r="AJ155" i="26"/>
  <c r="AW155" i="26" s="1"/>
  <c r="AY155" i="26" s="1"/>
  <c r="AX155" i="26" s="1"/>
  <c r="E151" i="9"/>
  <c r="AA151" i="26"/>
  <c r="E469" i="26"/>
  <c r="E458" i="6" s="1"/>
  <c r="AA150" i="26"/>
  <c r="AJ150" i="26"/>
  <c r="AW150" i="26" s="1"/>
  <c r="AY150" i="26" s="1"/>
  <c r="AU136" i="26"/>
  <c r="H136" i="6" s="1"/>
  <c r="AM136" i="26"/>
  <c r="F136" i="6" s="1"/>
  <c r="AA136" i="6" s="1"/>
  <c r="AA133" i="26"/>
  <c r="AJ133" i="26"/>
  <c r="AW133" i="26" s="1"/>
  <c r="AY133" i="26" s="1"/>
  <c r="AX133" i="26" s="1"/>
  <c r="E129" i="9"/>
  <c r="AA129" i="26"/>
  <c r="E129" i="6"/>
  <c r="AJ129" i="26"/>
  <c r="E103" i="9"/>
  <c r="AZ103" i="26"/>
  <c r="BB103" i="26" s="1"/>
  <c r="D102" i="10"/>
  <c r="E102" i="6"/>
  <c r="AZ102" i="26"/>
  <c r="BB102" i="26" s="1"/>
  <c r="AZ101" i="26"/>
  <c r="BB101" i="26" s="1"/>
  <c r="E101" i="6"/>
  <c r="E95" i="9"/>
  <c r="AA95" i="26"/>
  <c r="E95" i="6"/>
  <c r="E80" i="9"/>
  <c r="AJ80" i="26"/>
  <c r="AW80" i="26" s="1"/>
  <c r="AY80" i="26" s="1"/>
  <c r="AX80" i="26" s="1"/>
  <c r="E80" i="6"/>
  <c r="D80" i="10"/>
  <c r="AA79" i="26"/>
  <c r="AJ79" i="26"/>
  <c r="AW79" i="26" s="1"/>
  <c r="AY79" i="26" s="1"/>
  <c r="AX79" i="26" s="1"/>
  <c r="D79" i="10"/>
  <c r="E438" i="26"/>
  <c r="E433" i="6" s="1"/>
  <c r="E437" i="26"/>
  <c r="E432" i="6" s="1"/>
  <c r="AA78" i="26"/>
  <c r="D78" i="10"/>
  <c r="E78" i="9"/>
  <c r="AJ60" i="26"/>
  <c r="AW60" i="26" s="1"/>
  <c r="AY60" i="26" s="1"/>
  <c r="AX60" i="26" s="1"/>
  <c r="E60" i="9"/>
  <c r="E59" i="9"/>
  <c r="E59" i="6"/>
  <c r="AJ59" i="26"/>
  <c r="AW59" i="26" s="1"/>
  <c r="AY59" i="26" s="1"/>
  <c r="D59" i="10"/>
  <c r="E430" i="26"/>
  <c r="E425" i="6" s="1"/>
  <c r="AA59" i="26"/>
  <c r="E52" i="6"/>
  <c r="AA52" i="26"/>
  <c r="AJ37" i="26"/>
  <c r="AW37" i="26" s="1"/>
  <c r="AY37" i="26" s="1"/>
  <c r="AX37" i="26" s="1"/>
  <c r="E37" i="6"/>
  <c r="AA37" i="26"/>
  <c r="E36" i="9"/>
  <c r="AJ36" i="26"/>
  <c r="E420" i="26"/>
  <c r="E417" i="9" s="1"/>
  <c r="AA36" i="26"/>
  <c r="E36" i="6"/>
  <c r="AJ35" i="26"/>
  <c r="AW35" i="26" s="1"/>
  <c r="AY35" i="26" s="1"/>
  <c r="AX35" i="26" s="1"/>
  <c r="AA35" i="26"/>
  <c r="E35" i="6"/>
  <c r="E35" i="9"/>
  <c r="E418" i="26"/>
  <c r="E416" i="6" s="1"/>
  <c r="E34" i="9"/>
  <c r="AA34" i="26"/>
  <c r="D34" i="10"/>
  <c r="E26" i="6"/>
  <c r="E26" i="9"/>
  <c r="E21" i="6"/>
  <c r="E21" i="9"/>
  <c r="E18" i="6"/>
  <c r="AA18" i="26"/>
  <c r="AJ18" i="26"/>
  <c r="AW18" i="26" s="1"/>
  <c r="AY18" i="26" s="1"/>
  <c r="AX18" i="26" s="1"/>
  <c r="D16" i="10"/>
  <c r="AA16" i="26"/>
  <c r="AJ16" i="26"/>
  <c r="AW16" i="26" s="1"/>
  <c r="AY16" i="26" s="1"/>
  <c r="AX16" i="26" s="1"/>
  <c r="E414" i="26"/>
  <c r="E413" i="6" s="1"/>
  <c r="E15" i="9"/>
  <c r="E15" i="6"/>
  <c r="D15" i="10"/>
  <c r="AZ14" i="26"/>
  <c r="D14" i="10"/>
  <c r="E14" i="9"/>
  <c r="E368" i="6"/>
  <c r="AA368" i="26"/>
  <c r="D368" i="10"/>
  <c r="E368" i="9"/>
  <c r="D272" i="10"/>
  <c r="E272" i="6"/>
  <c r="E195" i="9"/>
  <c r="E195" i="6"/>
  <c r="AA32" i="26"/>
  <c r="E32" i="6"/>
  <c r="E32" i="9"/>
  <c r="E388" i="9"/>
  <c r="E388" i="6"/>
  <c r="E383" i="9"/>
  <c r="AJ383" i="26"/>
  <c r="AW383" i="26" s="1"/>
  <c r="AY383" i="26" s="1"/>
  <c r="AX383" i="26" s="1"/>
  <c r="E383" i="6"/>
  <c r="AA383" i="26"/>
  <c r="AA378" i="26"/>
  <c r="E378" i="6"/>
  <c r="E378" i="9"/>
  <c r="D378" i="10"/>
  <c r="E371" i="9"/>
  <c r="AA371" i="26"/>
  <c r="AJ371" i="26"/>
  <c r="AW371" i="26" s="1"/>
  <c r="AY371" i="26" s="1"/>
  <c r="AX371" i="26" s="1"/>
  <c r="E364" i="9"/>
  <c r="D364" i="10"/>
  <c r="E292" i="9"/>
  <c r="AZ292" i="26"/>
  <c r="BB292" i="26" s="1"/>
  <c r="E200" i="6"/>
  <c r="E487" i="26"/>
  <c r="U487" i="26" s="1"/>
  <c r="E199" i="9"/>
  <c r="AA199" i="26"/>
  <c r="D199" i="10"/>
  <c r="AJ199" i="26"/>
  <c r="AW199" i="26" s="1"/>
  <c r="AY199" i="26" s="1"/>
  <c r="AX199" i="26" s="1"/>
  <c r="D186" i="10"/>
  <c r="AJ186" i="26"/>
  <c r="AJ178" i="26"/>
  <c r="AW178" i="26" s="1"/>
  <c r="AY178" i="26" s="1"/>
  <c r="AX178" i="26" s="1"/>
  <c r="E178" i="6"/>
  <c r="D178" i="10"/>
  <c r="AA178" i="26"/>
  <c r="E468" i="26"/>
  <c r="E457" i="6" s="1"/>
  <c r="E147" i="6"/>
  <c r="AJ147" i="26"/>
  <c r="AW147" i="26" s="1"/>
  <c r="AY147" i="26" s="1"/>
  <c r="E142" i="9"/>
  <c r="E142" i="6"/>
  <c r="AA142" i="26"/>
  <c r="AS528" i="26"/>
  <c r="AT528" i="26" s="1"/>
  <c r="L1566" i="10"/>
  <c r="AC1378" i="10"/>
  <c r="AD1219" i="10"/>
  <c r="T1410" i="10"/>
  <c r="E211" i="6"/>
  <c r="AZ321" i="26"/>
  <c r="BB321" i="26" s="1"/>
  <c r="E364" i="6"/>
  <c r="E178" i="9"/>
  <c r="AJ209" i="26"/>
  <c r="AW209" i="26" s="1"/>
  <c r="AY209" i="26" s="1"/>
  <c r="AX209" i="26" s="1"/>
  <c r="D383" i="10"/>
  <c r="D195" i="10"/>
  <c r="E201" i="6"/>
  <c r="AO1576" i="10"/>
  <c r="AB1408" i="10"/>
  <c r="P1378" i="10"/>
  <c r="M1219" i="10"/>
  <c r="E272" i="9"/>
  <c r="AA200" i="26"/>
  <c r="D200" i="10"/>
  <c r="E182" i="6"/>
  <c r="D371" i="10"/>
  <c r="E146" i="9"/>
  <c r="D28" i="10"/>
  <c r="AZ364" i="26"/>
  <c r="BB364" i="26" s="1"/>
  <c r="AE1467" i="10"/>
  <c r="AH1375" i="10"/>
  <c r="AI1235" i="10"/>
  <c r="X1378" i="10"/>
  <c r="Y1219" i="10"/>
  <c r="T1219" i="10"/>
  <c r="L1248" i="10"/>
  <c r="AA272" i="26"/>
  <c r="AZ340" i="26"/>
  <c r="BB340" i="26" s="1"/>
  <c r="AJ200" i="26"/>
  <c r="AA364" i="26"/>
  <c r="AA366" i="26"/>
  <c r="AJ146" i="26"/>
  <c r="AW146" i="26" s="1"/>
  <c r="AY146" i="26" s="1"/>
  <c r="E371" i="6"/>
  <c r="AA388" i="26"/>
  <c r="AK1407" i="10"/>
  <c r="E147" i="9"/>
  <c r="E209" i="9"/>
  <c r="E156" i="6"/>
  <c r="E118" i="9"/>
  <c r="AM19" i="26"/>
  <c r="F19" i="9" s="1"/>
  <c r="AG1419" i="10"/>
  <c r="AI1412" i="10"/>
  <c r="AQ1410" i="10"/>
  <c r="AS1369" i="10"/>
  <c r="AM1245" i="10"/>
  <c r="AO1267" i="10"/>
  <c r="AZ368" i="26"/>
  <c r="BB368" i="26" s="1"/>
  <c r="AZ156" i="26"/>
  <c r="BB156" i="26" s="1"/>
  <c r="AZ75" i="26"/>
  <c r="BB75" i="26" s="1"/>
  <c r="AZ310" i="26"/>
  <c r="BB310" i="26" s="1"/>
  <c r="AZ275" i="26"/>
  <c r="BB275" i="26" s="1"/>
  <c r="AZ78" i="26"/>
  <c r="BB78" i="26" s="1"/>
  <c r="I122" i="30"/>
  <c r="AQ536" i="26"/>
  <c r="AR536" i="26" s="1"/>
  <c r="AS536" i="26"/>
  <c r="AS477" i="26"/>
  <c r="AT477" i="26" s="1"/>
  <c r="AF366" i="26"/>
  <c r="AH366" i="26" s="1"/>
  <c r="E366" i="10"/>
  <c r="AZ366" i="26"/>
  <c r="BB366" i="26" s="1"/>
  <c r="AZ383" i="26"/>
  <c r="BB383" i="26" s="1"/>
  <c r="AF383" i="26"/>
  <c r="AH383" i="26" s="1"/>
  <c r="AZ378" i="26"/>
  <c r="BB378" i="26" s="1"/>
  <c r="E378" i="10"/>
  <c r="E371" i="10"/>
  <c r="AZ371" i="26"/>
  <c r="BB371" i="26" s="1"/>
  <c r="AS501" i="26"/>
  <c r="AT501" i="26" s="1"/>
  <c r="AZ352" i="26"/>
  <c r="BB352" i="26" s="1"/>
  <c r="AZ388" i="26"/>
  <c r="BB388" i="26" s="1"/>
  <c r="AZ32" i="26"/>
  <c r="BB32" i="26" s="1"/>
  <c r="E352" i="10"/>
  <c r="AF388" i="26"/>
  <c r="AH388" i="26" s="1"/>
  <c r="AG388" i="26" s="1"/>
  <c r="AZ385" i="26"/>
  <c r="BB385" i="26" s="1"/>
  <c r="AF371" i="26"/>
  <c r="AH371" i="26" s="1"/>
  <c r="AF364" i="26"/>
  <c r="AH364" i="26" s="1"/>
  <c r="AG364" i="26" s="1"/>
  <c r="AS472" i="26"/>
  <c r="AT472" i="26" s="1"/>
  <c r="AS446" i="26"/>
  <c r="AT446" i="26" s="1"/>
  <c r="AQ438" i="26"/>
  <c r="AR438" i="26" s="1"/>
  <c r="AS438" i="26"/>
  <c r="AT438" i="26" s="1"/>
  <c r="AS474" i="26"/>
  <c r="AT474" i="26" s="1"/>
  <c r="AQ474" i="26"/>
  <c r="AR474" i="26" s="1"/>
  <c r="AS416" i="26"/>
  <c r="AT416" i="26" s="1"/>
  <c r="AQ416" i="26"/>
  <c r="AR416" i="26" s="1"/>
  <c r="E314" i="10"/>
  <c r="AZ314" i="26"/>
  <c r="BB314" i="26" s="1"/>
  <c r="AZ168" i="26"/>
  <c r="BB168" i="26" s="1"/>
  <c r="E168" i="10"/>
  <c r="E384" i="10"/>
  <c r="AF384" i="26"/>
  <c r="AH384" i="26" s="1"/>
  <c r="AG384" i="26" s="1"/>
  <c r="AZ384" i="26"/>
  <c r="BB384" i="26" s="1"/>
  <c r="AF369" i="26"/>
  <c r="AH369" i="26" s="1"/>
  <c r="AG368" i="26" s="1"/>
  <c r="AZ369" i="26"/>
  <c r="BB369" i="26" s="1"/>
  <c r="E365" i="10"/>
  <c r="AF365" i="26"/>
  <c r="AH365" i="26" s="1"/>
  <c r="AG365" i="26" s="1"/>
  <c r="AF357" i="26"/>
  <c r="AH357" i="26" s="1"/>
  <c r="AZ357" i="26"/>
  <c r="BB357" i="26" s="1"/>
  <c r="V516" i="26"/>
  <c r="E249" i="10"/>
  <c r="AF226" i="26"/>
  <c r="AN226" i="26" s="1"/>
  <c r="AZ226" i="26"/>
  <c r="BB226" i="26" s="1"/>
  <c r="V498" i="26"/>
  <c r="AZ225" i="26"/>
  <c r="BB225" i="26" s="1"/>
  <c r="E204" i="10"/>
  <c r="AZ204" i="26"/>
  <c r="BB204" i="26" s="1"/>
  <c r="AF204" i="26"/>
  <c r="AH204" i="26" s="1"/>
  <c r="AG204" i="26" s="1"/>
  <c r="AZ165" i="26"/>
  <c r="BB165" i="26" s="1"/>
  <c r="E165" i="10"/>
  <c r="AU124" i="26"/>
  <c r="H124" i="6" s="1"/>
  <c r="AD124" i="6" s="1"/>
  <c r="AM124" i="26"/>
  <c r="Y124" i="27" s="1"/>
  <c r="G124" i="27" s="1"/>
  <c r="AZ42" i="26"/>
  <c r="BB42" i="26" s="1"/>
  <c r="V425" i="26"/>
  <c r="AF164" i="26"/>
  <c r="AH164" i="26" s="1"/>
  <c r="AG164" i="26" s="1"/>
  <c r="E330" i="10"/>
  <c r="F532" i="26"/>
  <c r="AZ115" i="26"/>
  <c r="BB115" i="26" s="1"/>
  <c r="AZ186" i="26"/>
  <c r="BB186" i="26" s="1"/>
  <c r="AZ326" i="26"/>
  <c r="BB326" i="26" s="1"/>
  <c r="AF122" i="26"/>
  <c r="AH122" i="26" s="1"/>
  <c r="AG122" i="26" s="1"/>
  <c r="AZ28" i="26"/>
  <c r="BB28" i="26" s="1"/>
  <c r="AF63" i="26"/>
  <c r="AH63" i="26" s="1"/>
  <c r="AG63" i="26" s="1"/>
  <c r="E68" i="10"/>
  <c r="AZ123" i="26"/>
  <c r="BB123" i="26" s="1"/>
  <c r="AF191" i="26"/>
  <c r="AH191" i="26" s="1"/>
  <c r="AG191" i="26" s="1"/>
  <c r="E198" i="10"/>
  <c r="AF335" i="26"/>
  <c r="AH335" i="26" s="1"/>
  <c r="AG335" i="26" s="1"/>
  <c r="E320" i="10"/>
  <c r="E321" i="10"/>
  <c r="E116" i="10"/>
  <c r="AZ64" i="26"/>
  <c r="BB64" i="26" s="1"/>
  <c r="AZ164" i="26"/>
  <c r="BB164" i="26" s="1"/>
  <c r="AF201" i="26"/>
  <c r="AH201" i="26" s="1"/>
  <c r="AZ356" i="26"/>
  <c r="BB356" i="26" s="1"/>
  <c r="V460" i="26"/>
  <c r="AZ211" i="26"/>
  <c r="BB211" i="26" s="1"/>
  <c r="E49" i="10"/>
  <c r="AF190" i="26"/>
  <c r="AH190" i="26" s="1"/>
  <c r="AG190" i="26" s="1"/>
  <c r="AZ223" i="26"/>
  <c r="BB223" i="26" s="1"/>
  <c r="E326" i="10"/>
  <c r="V491" i="26"/>
  <c r="AF192" i="26"/>
  <c r="AH192" i="26" s="1"/>
  <c r="AG192" i="26" s="1"/>
  <c r="AF193" i="26"/>
  <c r="AH193" i="26" s="1"/>
  <c r="AG193" i="26" s="1"/>
  <c r="E199" i="10"/>
  <c r="E200" i="10"/>
  <c r="V492" i="26"/>
  <c r="AW223" i="26"/>
  <c r="AY223" i="26" s="1"/>
  <c r="AX223" i="26" s="1"/>
  <c r="E193" i="10"/>
  <c r="E191" i="10"/>
  <c r="V485" i="26"/>
  <c r="AF42" i="26"/>
  <c r="AH42" i="26" s="1"/>
  <c r="AG42" i="26" s="1"/>
  <c r="F426" i="26"/>
  <c r="AZ162" i="26"/>
  <c r="BB162" i="26" s="1"/>
  <c r="AZ319" i="26"/>
  <c r="BB319" i="26" s="1"/>
  <c r="E300" i="10"/>
  <c r="AF305" i="26"/>
  <c r="AH305" i="26" s="1"/>
  <c r="AG305" i="26" s="1"/>
  <c r="AZ192" i="26"/>
  <c r="BB192" i="26" s="1"/>
  <c r="AZ279" i="26"/>
  <c r="BB279" i="26" s="1"/>
  <c r="AW364" i="26"/>
  <c r="AY364" i="26" s="1"/>
  <c r="AX364" i="26" s="1"/>
  <c r="AZ68" i="26"/>
  <c r="BB68" i="26" s="1"/>
  <c r="AW94" i="26"/>
  <c r="AY94" i="26" s="1"/>
  <c r="AX94" i="26" s="1"/>
  <c r="AW142" i="26"/>
  <c r="AY142" i="26" s="1"/>
  <c r="AX142" i="26" s="1"/>
  <c r="AF28" i="26"/>
  <c r="AH28" i="26" s="1"/>
  <c r="AG28" i="26" s="1"/>
  <c r="V432" i="26"/>
  <c r="V433" i="26"/>
  <c r="E123" i="10"/>
  <c r="AZ191" i="26"/>
  <c r="BB191" i="26" s="1"/>
  <c r="E271" i="10"/>
  <c r="E319" i="10"/>
  <c r="V538" i="26"/>
  <c r="AZ54" i="26"/>
  <c r="BB54" i="26" s="1"/>
  <c r="AF211" i="26"/>
  <c r="AH211" i="26" s="1"/>
  <c r="AG211" i="26" s="1"/>
  <c r="AZ190" i="26"/>
  <c r="BB190" i="26" s="1"/>
  <c r="E340" i="10"/>
  <c r="AZ208" i="26"/>
  <c r="BB208" i="26" s="1"/>
  <c r="V474" i="26"/>
  <c r="V484" i="26"/>
  <c r="F483" i="26"/>
  <c r="AF178" i="26"/>
  <c r="AH178" i="26" s="1"/>
  <c r="AG178" i="26" s="1"/>
  <c r="F427" i="26"/>
  <c r="AW107" i="26"/>
  <c r="AY107" i="26" s="1"/>
  <c r="D301" i="10"/>
  <c r="E301" i="9"/>
  <c r="E387" i="9"/>
  <c r="AJ387" i="26"/>
  <c r="AW387" i="26" s="1"/>
  <c r="AY387" i="26" s="1"/>
  <c r="AX387" i="26" s="1"/>
  <c r="E382" i="9"/>
  <c r="AA382" i="26"/>
  <c r="AA363" i="26"/>
  <c r="E363" i="6"/>
  <c r="D363" i="10"/>
  <c r="D347" i="10"/>
  <c r="E347" i="6"/>
  <c r="AJ347" i="26"/>
  <c r="AW347" i="26" s="1"/>
  <c r="AY347" i="26" s="1"/>
  <c r="AX347" i="26" s="1"/>
  <c r="E334" i="9"/>
  <c r="AA334" i="26"/>
  <c r="D329" i="10"/>
  <c r="E329" i="9"/>
  <c r="E222" i="6"/>
  <c r="AA222" i="26"/>
  <c r="D222" i="10"/>
  <c r="E221" i="6"/>
  <c r="E221" i="9"/>
  <c r="AJ221" i="26"/>
  <c r="AW221" i="26" s="1"/>
  <c r="AY221" i="26" s="1"/>
  <c r="D197" i="10"/>
  <c r="AA197" i="26"/>
  <c r="AJ194" i="26"/>
  <c r="AW194" i="26" s="1"/>
  <c r="AY194" i="26" s="1"/>
  <c r="AA194" i="26"/>
  <c r="E194" i="6"/>
  <c r="AA185" i="26"/>
  <c r="D185" i="10"/>
  <c r="AJ185" i="26"/>
  <c r="AW185" i="26" s="1"/>
  <c r="AY185" i="26" s="1"/>
  <c r="AX185" i="26" s="1"/>
  <c r="AJ176" i="26"/>
  <c r="AW176" i="26" s="1"/>
  <c r="AY176" i="26" s="1"/>
  <c r="AX176" i="26" s="1"/>
  <c r="AA176" i="26"/>
  <c r="AA174" i="26"/>
  <c r="E174" i="6"/>
  <c r="AJ174" i="26"/>
  <c r="AW174" i="26" s="1"/>
  <c r="AY174" i="26" s="1"/>
  <c r="AX174" i="26" s="1"/>
  <c r="E174" i="9"/>
  <c r="D167" i="10"/>
  <c r="E167" i="9"/>
  <c r="AJ61" i="26"/>
  <c r="AW61" i="26" s="1"/>
  <c r="AY61" i="26" s="1"/>
  <c r="AX61" i="26" s="1"/>
  <c r="D61" i="10"/>
  <c r="AA61" i="26"/>
  <c r="E431" i="26"/>
  <c r="E426" i="6" s="1"/>
  <c r="E61" i="6"/>
  <c r="D41" i="10"/>
  <c r="AJ41" i="26"/>
  <c r="AW41" i="26" s="1"/>
  <c r="AY41" i="26" s="1"/>
  <c r="AX41" i="26" s="1"/>
  <c r="E41" i="9"/>
  <c r="E41" i="6"/>
  <c r="E185" i="6"/>
  <c r="AJ287" i="26"/>
  <c r="AW287" i="26" s="1"/>
  <c r="AY287" i="26" s="1"/>
  <c r="AA295" i="26"/>
  <c r="E382" i="6"/>
  <c r="AA62" i="26"/>
  <c r="E62" i="6"/>
  <c r="AA230" i="26"/>
  <c r="AA303" i="26"/>
  <c r="E96" i="6"/>
  <c r="D194" i="10"/>
  <c r="E267" i="9"/>
  <c r="AJ27" i="26"/>
  <c r="AW27" i="26" s="1"/>
  <c r="AY27" i="26" s="1"/>
  <c r="AX27" i="26" s="1"/>
  <c r="E197" i="9"/>
  <c r="E185" i="9"/>
  <c r="AA377" i="26"/>
  <c r="AQ483" i="26"/>
  <c r="AR483" i="26" s="1"/>
  <c r="AS503" i="26"/>
  <c r="AQ481" i="26"/>
  <c r="D282" i="10"/>
  <c r="D53" i="10"/>
  <c r="E291" i="6"/>
  <c r="E197" i="6"/>
  <c r="E351" i="9"/>
  <c r="AA41" i="26"/>
  <c r="AA167" i="26"/>
  <c r="AA221" i="26"/>
  <c r="AJ222" i="26"/>
  <c r="AW222" i="26" s="1"/>
  <c r="AY222" i="26" s="1"/>
  <c r="D334" i="10"/>
  <c r="AM168" i="26"/>
  <c r="Y168" i="27" s="1"/>
  <c r="G168" i="27" s="1"/>
  <c r="AM55" i="26"/>
  <c r="Y55" i="27" s="1"/>
  <c r="G55" i="27" s="1"/>
  <c r="AM32" i="26"/>
  <c r="F32" i="9" s="1"/>
  <c r="E241" i="6"/>
  <c r="AA241" i="26"/>
  <c r="E241" i="9"/>
  <c r="D217" i="10"/>
  <c r="AA217" i="26"/>
  <c r="D210" i="10"/>
  <c r="AA210" i="26"/>
  <c r="AJ210" i="26"/>
  <c r="AW210" i="26" s="1"/>
  <c r="AY210" i="26" s="1"/>
  <c r="D168" i="10"/>
  <c r="AA168" i="26"/>
  <c r="E389" i="9"/>
  <c r="D389" i="10"/>
  <c r="AJ384" i="26"/>
  <c r="AW384" i="26" s="1"/>
  <c r="AY384" i="26" s="1"/>
  <c r="AX384" i="26" s="1"/>
  <c r="E384" i="6"/>
  <c r="AJ361" i="26"/>
  <c r="AW361" i="26" s="1"/>
  <c r="AY361" i="26" s="1"/>
  <c r="E361" i="9"/>
  <c r="E357" i="9"/>
  <c r="E357" i="6"/>
  <c r="AJ349" i="26"/>
  <c r="AW349" i="26" s="1"/>
  <c r="AY349" i="26" s="1"/>
  <c r="E349" i="6"/>
  <c r="E349" i="9"/>
  <c r="E327" i="9"/>
  <c r="AJ327" i="26"/>
  <c r="AW327" i="26" s="1"/>
  <c r="AY327" i="26" s="1"/>
  <c r="AX327" i="26" s="1"/>
  <c r="AJ285" i="26"/>
  <c r="AW285" i="26" s="1"/>
  <c r="AY285" i="26" s="1"/>
  <c r="AA285" i="26"/>
  <c r="E285" i="9"/>
  <c r="E280" i="9"/>
  <c r="AA280" i="26"/>
  <c r="AJ280" i="26"/>
  <c r="AW280" i="26" s="1"/>
  <c r="AY280" i="26" s="1"/>
  <c r="AJ255" i="26"/>
  <c r="AW255" i="26" s="1"/>
  <c r="AY255" i="26" s="1"/>
  <c r="AX255" i="26" s="1"/>
  <c r="E523" i="26"/>
  <c r="E497" i="6" s="1"/>
  <c r="E255" i="6"/>
  <c r="E249" i="9"/>
  <c r="E516" i="26"/>
  <c r="U516" i="26" s="1"/>
  <c r="E248" i="6"/>
  <c r="AJ248" i="26"/>
  <c r="AW248" i="26" s="1"/>
  <c r="AY248" i="26" s="1"/>
  <c r="AX248" i="26" s="1"/>
  <c r="AJ247" i="26"/>
  <c r="AW247" i="26" s="1"/>
  <c r="AY247" i="26" s="1"/>
  <c r="E247" i="6"/>
  <c r="E247" i="9"/>
  <c r="E246" i="6"/>
  <c r="E246" i="9"/>
  <c r="AJ246" i="26"/>
  <c r="AW246" i="26" s="1"/>
  <c r="AY246" i="26" s="1"/>
  <c r="AX246" i="26" s="1"/>
  <c r="E509" i="26"/>
  <c r="E487" i="6" s="1"/>
  <c r="D245" i="10"/>
  <c r="E508" i="26"/>
  <c r="U508" i="26" s="1"/>
  <c r="E244" i="9"/>
  <c r="D244" i="10"/>
  <c r="E243" i="9"/>
  <c r="E504" i="26"/>
  <c r="E470" i="9" s="1"/>
  <c r="D243" i="10"/>
  <c r="E500" i="26"/>
  <c r="U500" i="26" s="1"/>
  <c r="E499" i="26"/>
  <c r="E478" i="6" s="1"/>
  <c r="E225" i="9"/>
  <c r="E225" i="6"/>
  <c r="E224" i="9"/>
  <c r="AJ224" i="26"/>
  <c r="AW224" i="26" s="1"/>
  <c r="AY224" i="26" s="1"/>
  <c r="AX224" i="26" s="1"/>
  <c r="E224" i="6"/>
  <c r="E488" i="26"/>
  <c r="U488" i="26" s="1"/>
  <c r="AA202" i="26"/>
  <c r="D179" i="10"/>
  <c r="AJ179" i="26"/>
  <c r="AW179" i="26" s="1"/>
  <c r="E179" i="9"/>
  <c r="AA171" i="26"/>
  <c r="E171" i="6"/>
  <c r="E160" i="6"/>
  <c r="E160" i="9"/>
  <c r="AA128" i="26"/>
  <c r="E128" i="9"/>
  <c r="E110" i="9"/>
  <c r="D110" i="10"/>
  <c r="D108" i="10"/>
  <c r="E451" i="26"/>
  <c r="U451" i="26" s="1"/>
  <c r="AA108" i="26"/>
  <c r="E444" i="26"/>
  <c r="E432" i="9" s="1"/>
  <c r="E446" i="26"/>
  <c r="U446" i="26" s="1"/>
  <c r="E99" i="6"/>
  <c r="AA99" i="26"/>
  <c r="AA370" i="26"/>
  <c r="E370" i="6"/>
  <c r="E370" i="9"/>
  <c r="E355" i="6"/>
  <c r="AA355" i="26"/>
  <c r="AJ355" i="26"/>
  <c r="AW355" i="26" s="1"/>
  <c r="AY355" i="26" s="1"/>
  <c r="AX355" i="26" s="1"/>
  <c r="AA343" i="26"/>
  <c r="AJ343" i="26"/>
  <c r="AW343" i="26" s="1"/>
  <c r="E343" i="9"/>
  <c r="D316" i="10"/>
  <c r="E316" i="9"/>
  <c r="AJ316" i="26"/>
  <c r="AJ303" i="26"/>
  <c r="AW303" i="26" s="1"/>
  <c r="AY303" i="26" s="1"/>
  <c r="D303" i="10"/>
  <c r="E303" i="9"/>
  <c r="AU288" i="26"/>
  <c r="H288" i="6" s="1"/>
  <c r="AD288" i="6" s="1"/>
  <c r="AM288" i="26"/>
  <c r="Y288" i="27" s="1"/>
  <c r="G288" i="27" s="1"/>
  <c r="E283" i="6"/>
  <c r="D283" i="10"/>
  <c r="E266" i="6"/>
  <c r="D266" i="10"/>
  <c r="E266" i="9"/>
  <c r="AA130" i="26"/>
  <c r="AJ130" i="26"/>
  <c r="AW130" i="26" s="1"/>
  <c r="AY130" i="26" s="1"/>
  <c r="AX130" i="26" s="1"/>
  <c r="D130" i="10"/>
  <c r="AA120" i="26"/>
  <c r="E120" i="9"/>
  <c r="D120" i="10"/>
  <c r="AJ114" i="26"/>
  <c r="AW114" i="26" s="1"/>
  <c r="AY114" i="26" s="1"/>
  <c r="D114" i="10"/>
  <c r="D104" i="10"/>
  <c r="E104" i="6"/>
  <c r="AJ104" i="26"/>
  <c r="AW104" i="26" s="1"/>
  <c r="AY104" i="26" s="1"/>
  <c r="AX104" i="26" s="1"/>
  <c r="AA73" i="26"/>
  <c r="AJ73" i="26"/>
  <c r="AW73" i="26" s="1"/>
  <c r="AY73" i="26" s="1"/>
  <c r="AX73" i="26" s="1"/>
  <c r="E73" i="6"/>
  <c r="E38" i="9"/>
  <c r="AJ38" i="26"/>
  <c r="AW38" i="26" s="1"/>
  <c r="AY38" i="26" s="1"/>
  <c r="AX38" i="26" s="1"/>
  <c r="AA38" i="26"/>
  <c r="D38" i="10"/>
  <c r="AJ31" i="26"/>
  <c r="AW31" i="26" s="1"/>
  <c r="AY31" i="26" s="1"/>
  <c r="AX31" i="26" s="1"/>
  <c r="E31" i="9"/>
  <c r="D27" i="10"/>
  <c r="E27" i="9"/>
  <c r="E282" i="9"/>
  <c r="D377" i="10"/>
  <c r="E53" i="6"/>
  <c r="E436" i="26"/>
  <c r="E431" i="6" s="1"/>
  <c r="AA85" i="26"/>
  <c r="E130" i="6"/>
  <c r="AU195" i="26"/>
  <c r="H195" i="9" s="1"/>
  <c r="AC195" i="9" s="1"/>
  <c r="AH195" i="9" s="1"/>
  <c r="E61" i="9"/>
  <c r="E347" i="9"/>
  <c r="AM322" i="26"/>
  <c r="Y322" i="27" s="1"/>
  <c r="G322" i="27" s="1"/>
  <c r="D31" i="10"/>
  <c r="E167" i="6"/>
  <c r="E449" i="26"/>
  <c r="U449" i="26" s="1"/>
  <c r="AJ370" i="26"/>
  <c r="AW370" i="26" s="1"/>
  <c r="E478" i="26"/>
  <c r="E457" i="9" s="1"/>
  <c r="AS461" i="26"/>
  <c r="E287" i="9"/>
  <c r="AJ295" i="26"/>
  <c r="AW295" i="26" s="1"/>
  <c r="AY295" i="26" s="1"/>
  <c r="E377" i="6"/>
  <c r="AA387" i="26"/>
  <c r="AA311" i="26"/>
  <c r="AQ497" i="26"/>
  <c r="AA22" i="26"/>
  <c r="AS451" i="26"/>
  <c r="AT451" i="26" s="1"/>
  <c r="AS514" i="26"/>
  <c r="AS471" i="26"/>
  <c r="AS436" i="26"/>
  <c r="AS538" i="26"/>
  <c r="AT538" i="26" s="1"/>
  <c r="AS452" i="26"/>
  <c r="D295" i="10"/>
  <c r="D234" i="10"/>
  <c r="E531" i="26"/>
  <c r="U531" i="26" s="1"/>
  <c r="E287" i="6"/>
  <c r="AJ382" i="26"/>
  <c r="AW382" i="26" s="1"/>
  <c r="AY382" i="26" s="1"/>
  <c r="AX382" i="26" s="1"/>
  <c r="D387" i="10"/>
  <c r="AA53" i="26"/>
  <c r="AJ62" i="26"/>
  <c r="AW62" i="26" s="1"/>
  <c r="AY62" i="26" s="1"/>
  <c r="E130" i="9"/>
  <c r="E114" i="9"/>
  <c r="AU317" i="26"/>
  <c r="I317" i="9" s="1"/>
  <c r="D174" i="10"/>
  <c r="AA291" i="26"/>
  <c r="AA347" i="26"/>
  <c r="AJ167" i="26"/>
  <c r="AW167" i="26" s="1"/>
  <c r="AY167" i="26" s="1"/>
  <c r="E194" i="9"/>
  <c r="E104" i="9"/>
  <c r="E343" i="6"/>
  <c r="E496" i="26"/>
  <c r="U496" i="26" s="1"/>
  <c r="E222" i="9"/>
  <c r="E176" i="6"/>
  <c r="E176" i="9"/>
  <c r="AA114" i="26"/>
  <c r="E309" i="9"/>
  <c r="E363" i="9"/>
  <c r="E479" i="26"/>
  <c r="S1489" i="10"/>
  <c r="I308" i="30"/>
  <c r="J308" i="30" s="1"/>
  <c r="K308" i="30" s="1"/>
  <c r="E308" i="30" s="1"/>
  <c r="I12" i="30"/>
  <c r="J12" i="30" s="1"/>
  <c r="K12" i="30" s="1"/>
  <c r="E12" i="30" s="1"/>
  <c r="I54" i="30"/>
  <c r="J54" i="30" s="1"/>
  <c r="K54" i="30" s="1"/>
  <c r="E54" i="30" s="1"/>
  <c r="I27" i="30"/>
  <c r="J27" i="30" s="1"/>
  <c r="K27" i="30" s="1"/>
  <c r="E27" i="30" s="1"/>
  <c r="I272" i="30"/>
  <c r="J272" i="30" s="1"/>
  <c r="K272" i="30" s="1"/>
  <c r="E272" i="30" s="1"/>
  <c r="J130" i="30"/>
  <c r="K130" i="30" s="1"/>
  <c r="E130" i="30" s="1"/>
  <c r="I363" i="30"/>
  <c r="I257" i="30"/>
  <c r="J257" i="30" s="1"/>
  <c r="K257" i="30" s="1"/>
  <c r="E257" i="30" s="1"/>
  <c r="I50" i="30"/>
  <c r="I42" i="30"/>
  <c r="I23" i="30"/>
  <c r="J23" i="30" s="1"/>
  <c r="K23" i="30" s="1"/>
  <c r="E23" i="30" s="1"/>
  <c r="I292" i="30"/>
  <c r="J292" i="30" s="1"/>
  <c r="K292" i="30" s="1"/>
  <c r="E292" i="30" s="1"/>
  <c r="I151" i="30"/>
  <c r="J151" i="30" s="1"/>
  <c r="K151" i="30" s="1"/>
  <c r="E151" i="30" s="1"/>
  <c r="I102" i="30"/>
  <c r="I58" i="30"/>
  <c r="J58" i="30" s="1"/>
  <c r="K58" i="30" s="1"/>
  <c r="E58" i="30" s="1"/>
  <c r="I46" i="30"/>
  <c r="I154" i="30"/>
  <c r="I21" i="30"/>
  <c r="J21" i="30" s="1"/>
  <c r="K21" i="30" s="1"/>
  <c r="E21" i="30" s="1"/>
  <c r="I276" i="30"/>
  <c r="J276" i="30" s="1"/>
  <c r="K276" i="30" s="1"/>
  <c r="E276" i="30" s="1"/>
  <c r="I198" i="30"/>
  <c r="J198" i="30" s="1"/>
  <c r="K198" i="30" s="1"/>
  <c r="E198" i="30" s="1"/>
  <c r="I146" i="30"/>
  <c r="J146" i="30" s="1"/>
  <c r="K146" i="30" s="1"/>
  <c r="E146" i="30" s="1"/>
  <c r="I30" i="30"/>
  <c r="I340" i="30"/>
  <c r="I332" i="30"/>
  <c r="I351" i="30"/>
  <c r="I339" i="30"/>
  <c r="J331" i="30"/>
  <c r="K331" i="30" s="1"/>
  <c r="E331" i="30" s="1"/>
  <c r="I331" i="30"/>
  <c r="I299" i="30"/>
  <c r="I364" i="30"/>
  <c r="I356" i="30"/>
  <c r="I348" i="30"/>
  <c r="I324" i="30"/>
  <c r="I366" i="30"/>
  <c r="I350" i="30"/>
  <c r="I346" i="30"/>
  <c r="I334" i="30"/>
  <c r="I330" i="30"/>
  <c r="I326" i="30"/>
  <c r="J326" i="30" s="1"/>
  <c r="K326" i="30" s="1"/>
  <c r="E326" i="30" s="1"/>
  <c r="I315" i="30"/>
  <c r="J315" i="30" s="1"/>
  <c r="K315" i="30" s="1"/>
  <c r="E315" i="30" s="1"/>
  <c r="I217" i="30"/>
  <c r="J217" i="30" s="1"/>
  <c r="K217" i="30" s="1"/>
  <c r="E217" i="30" s="1"/>
  <c r="I113" i="30"/>
  <c r="J113" i="30" s="1"/>
  <c r="K113" i="30" s="1"/>
  <c r="E113" i="30" s="1"/>
  <c r="I26" i="30"/>
  <c r="J26" i="30" s="1"/>
  <c r="K26" i="30" s="1"/>
  <c r="E26" i="30" s="1"/>
  <c r="I20" i="30"/>
  <c r="J20" i="30" s="1"/>
  <c r="K20" i="30" s="1"/>
  <c r="E20" i="30" s="1"/>
  <c r="I11" i="30"/>
  <c r="J11" i="30" s="1"/>
  <c r="K11" i="30" s="1"/>
  <c r="E11" i="30" s="1"/>
  <c r="I283" i="30"/>
  <c r="J283" i="30" s="1"/>
  <c r="K283" i="30" s="1"/>
  <c r="E283" i="30" s="1"/>
  <c r="I251" i="30"/>
  <c r="J251" i="30" s="1"/>
  <c r="K251" i="30" s="1"/>
  <c r="E251" i="30" s="1"/>
  <c r="I160" i="30"/>
  <c r="J160" i="30" s="1"/>
  <c r="K160" i="30" s="1"/>
  <c r="E160" i="30" s="1"/>
  <c r="I137" i="30"/>
  <c r="J175" i="30"/>
  <c r="K175" i="30" s="1"/>
  <c r="E175" i="30" s="1"/>
  <c r="J39" i="30"/>
  <c r="K39" i="30" s="1"/>
  <c r="E39" i="30" s="1"/>
  <c r="I61" i="30"/>
  <c r="J61" i="30" s="1"/>
  <c r="K61" i="30" s="1"/>
  <c r="E61" i="30" s="1"/>
  <c r="I247" i="30"/>
  <c r="I57" i="30"/>
  <c r="I291" i="30"/>
  <c r="J291" i="30" s="1"/>
  <c r="K291" i="30" s="1"/>
  <c r="E291" i="30" s="1"/>
  <c r="I24" i="30"/>
  <c r="J24" i="30" s="1"/>
  <c r="K24" i="30" s="1"/>
  <c r="E24" i="30" s="1"/>
  <c r="I239" i="30"/>
  <c r="J239" i="30" s="1"/>
  <c r="K239" i="30" s="1"/>
  <c r="E239" i="30" s="1"/>
  <c r="I156" i="30"/>
  <c r="I89" i="30"/>
  <c r="J89" i="30" s="1"/>
  <c r="K89" i="30" s="1"/>
  <c r="E89" i="30" s="1"/>
  <c r="I47" i="30"/>
  <c r="I207" i="30"/>
  <c r="J207" i="30" s="1"/>
  <c r="K207" i="30" s="1"/>
  <c r="E207" i="30" s="1"/>
  <c r="I159" i="30"/>
  <c r="J159" i="30" s="1"/>
  <c r="K159" i="30" s="1"/>
  <c r="E159" i="30" s="1"/>
  <c r="I139" i="30"/>
  <c r="J139" i="30" s="1"/>
  <c r="K139" i="30" s="1"/>
  <c r="E139" i="30" s="1"/>
  <c r="I79" i="30"/>
  <c r="J79" i="30" s="1"/>
  <c r="K79" i="30" s="1"/>
  <c r="E79" i="30" s="1"/>
  <c r="I63" i="30"/>
  <c r="J63" i="30" s="1"/>
  <c r="K63" i="30" s="1"/>
  <c r="E63" i="30" s="1"/>
  <c r="I10" i="30"/>
  <c r="I17" i="30"/>
  <c r="J17" i="30" s="1"/>
  <c r="K17" i="30" s="1"/>
  <c r="E17" i="30" s="1"/>
  <c r="I43" i="30"/>
  <c r="J43" i="30" s="1"/>
  <c r="K43" i="30" s="1"/>
  <c r="E43" i="30" s="1"/>
  <c r="I379" i="30"/>
  <c r="J379" i="30" s="1"/>
  <c r="K379" i="30" s="1"/>
  <c r="E379" i="30" s="1"/>
  <c r="I307" i="30"/>
  <c r="J307" i="30" s="1"/>
  <c r="K307" i="30" s="1"/>
  <c r="E307" i="30" s="1"/>
  <c r="I284" i="30"/>
  <c r="J284" i="30" s="1"/>
  <c r="K284" i="30" s="1"/>
  <c r="E284" i="30" s="1"/>
  <c r="I199" i="30"/>
  <c r="J199" i="30" s="1"/>
  <c r="K199" i="30" s="1"/>
  <c r="E199" i="30" s="1"/>
  <c r="I191" i="30"/>
  <c r="J191" i="30" s="1"/>
  <c r="K191" i="30" s="1"/>
  <c r="E191" i="30" s="1"/>
  <c r="I167" i="30"/>
  <c r="J167" i="30" s="1"/>
  <c r="K167" i="30" s="1"/>
  <c r="E167" i="30" s="1"/>
  <c r="I87" i="30"/>
  <c r="J87" i="30" s="1"/>
  <c r="K87" i="30" s="1"/>
  <c r="E87" i="30" s="1"/>
  <c r="I39" i="30"/>
  <c r="I51" i="30"/>
  <c r="J51" i="30" s="1"/>
  <c r="K51" i="30" s="1"/>
  <c r="E51" i="30" s="1"/>
  <c r="I281" i="30"/>
  <c r="J281" i="30" s="1"/>
  <c r="K281" i="30" s="1"/>
  <c r="E281" i="30" s="1"/>
  <c r="I127" i="30"/>
  <c r="J127" i="30" s="1"/>
  <c r="K127" i="30" s="1"/>
  <c r="E127" i="30" s="1"/>
  <c r="I31" i="30"/>
  <c r="R1586" i="10"/>
  <c r="AS1586" i="10"/>
  <c r="J1536" i="10"/>
  <c r="Q1536" i="10"/>
  <c r="AJ1469" i="10"/>
  <c r="AG428" i="26"/>
  <c r="AJ428" i="26" s="1"/>
  <c r="AG413" i="26"/>
  <c r="AN158" i="7"/>
  <c r="AS1358" i="10" s="1"/>
  <c r="AG125" i="7"/>
  <c r="AF218" i="7"/>
  <c r="AK1418" i="10" s="1"/>
  <c r="AA144" i="7"/>
  <c r="AF1344" i="10" s="1"/>
  <c r="Z256" i="7"/>
  <c r="W144" i="7"/>
  <c r="AB1344" i="10" s="1"/>
  <c r="U158" i="7"/>
  <c r="Z1358" i="10" s="1"/>
  <c r="Q256" i="7"/>
  <c r="N144" i="7"/>
  <c r="S1344" i="10" s="1"/>
  <c r="J277" i="7"/>
  <c r="O1477" i="10" s="1"/>
  <c r="J46" i="7"/>
  <c r="F324" i="7"/>
  <c r="K1524" i="10" s="1"/>
  <c r="AZ242" i="7"/>
  <c r="BA242" i="7" s="1"/>
  <c r="AD315" i="26"/>
  <c r="AD308" i="26"/>
  <c r="AH360" i="26"/>
  <c r="AG360" i="26" s="1"/>
  <c r="AS462" i="26"/>
  <c r="AT462" i="26" s="1"/>
  <c r="AS424" i="26"/>
  <c r="AT424" i="26" s="1"/>
  <c r="AQ487" i="26"/>
  <c r="AQ456" i="26"/>
  <c r="AB1566" i="10"/>
  <c r="AO1410" i="10"/>
  <c r="BB391" i="10"/>
  <c r="BC391" i="10" s="1"/>
  <c r="AL1555" i="10"/>
  <c r="AH1555" i="10"/>
  <c r="AO324" i="7"/>
  <c r="AO323" i="7" s="1"/>
  <c r="Y324" i="7"/>
  <c r="BB264" i="7"/>
  <c r="BC264" i="7" s="1"/>
  <c r="AZ302" i="7"/>
  <c r="BA302" i="7" s="1"/>
  <c r="AZ189" i="7"/>
  <c r="BA189" i="7" s="1"/>
  <c r="BB189" i="7"/>
  <c r="BC189" i="7" s="1"/>
  <c r="AZ373" i="26"/>
  <c r="BB373" i="26" s="1"/>
  <c r="AF373" i="26"/>
  <c r="AH373" i="26" s="1"/>
  <c r="AG373" i="26" s="1"/>
  <c r="E368" i="10"/>
  <c r="AF368" i="26"/>
  <c r="AH368" i="26" s="1"/>
  <c r="G1545" i="10"/>
  <c r="AF331" i="26"/>
  <c r="AH331" i="26" s="1"/>
  <c r="AG331" i="26" s="1"/>
  <c r="AZ331" i="26"/>
  <c r="BB331" i="26" s="1"/>
  <c r="G1522" i="10"/>
  <c r="E317" i="9"/>
  <c r="D317" i="10"/>
  <c r="E317" i="6"/>
  <c r="E311" i="6"/>
  <c r="E311" i="9"/>
  <c r="E288" i="9"/>
  <c r="E288" i="6"/>
  <c r="E206" i="6"/>
  <c r="AA206" i="26"/>
  <c r="E206" i="9"/>
  <c r="AF173" i="26"/>
  <c r="AH173" i="26" s="1"/>
  <c r="AG173" i="26" s="1"/>
  <c r="AZ173" i="26"/>
  <c r="BB173" i="26" s="1"/>
  <c r="E163" i="10"/>
  <c r="AF163" i="26"/>
  <c r="AH163" i="26" s="1"/>
  <c r="AF156" i="26"/>
  <c r="AH156" i="26" s="1"/>
  <c r="AG156" i="26" s="1"/>
  <c r="E156" i="10"/>
  <c r="AZ148" i="26"/>
  <c r="BB148" i="26" s="1"/>
  <c r="E148" i="10"/>
  <c r="AF136" i="26"/>
  <c r="AH136" i="26" s="1"/>
  <c r="E136" i="10"/>
  <c r="AZ118" i="26"/>
  <c r="BB118" i="26" s="1"/>
  <c r="E118" i="10"/>
  <c r="E96" i="9"/>
  <c r="AA96" i="26"/>
  <c r="AF75" i="26"/>
  <c r="AH75" i="26" s="1"/>
  <c r="AG75" i="26" s="1"/>
  <c r="E75" i="10"/>
  <c r="AF65" i="26"/>
  <c r="AH65" i="26" s="1"/>
  <c r="AG65" i="26" s="1"/>
  <c r="E65" i="10"/>
  <c r="AN46" i="7"/>
  <c r="AS1246" i="10" s="1"/>
  <c r="AG46" i="7"/>
  <c r="AL1246" i="10" s="1"/>
  <c r="Z324" i="7"/>
  <c r="Z323" i="7" s="1"/>
  <c r="AE1523" i="10" s="1"/>
  <c r="Z277" i="7"/>
  <c r="AE1477" i="10" s="1"/>
  <c r="V277" i="7"/>
  <c r="AA1477" i="10" s="1"/>
  <c r="P158" i="7"/>
  <c r="U1358" i="10" s="1"/>
  <c r="O158" i="7"/>
  <c r="T1358" i="10" s="1"/>
  <c r="M256" i="7"/>
  <c r="M253" i="7" s="1"/>
  <c r="M125" i="7"/>
  <c r="R1325" i="10" s="1"/>
  <c r="F125" i="7"/>
  <c r="K1325" i="10" s="1"/>
  <c r="F46" i="7"/>
  <c r="K1246" i="10" s="1"/>
  <c r="AG1343" i="10"/>
  <c r="AD1231" i="10"/>
  <c r="AR1490" i="10"/>
  <c r="J1507" i="10"/>
  <c r="N1468" i="10"/>
  <c r="AD98" i="26"/>
  <c r="E343" i="10"/>
  <c r="AZ343" i="26"/>
  <c r="BB343" i="26" s="1"/>
  <c r="AJ342" i="26"/>
  <c r="AW342" i="26" s="1"/>
  <c r="AY342" i="26" s="1"/>
  <c r="AX342" i="26" s="1"/>
  <c r="AA342" i="26"/>
  <c r="E333" i="9"/>
  <c r="AA333" i="26"/>
  <c r="D333" i="10"/>
  <c r="E328" i="6"/>
  <c r="AA328" i="26"/>
  <c r="F1497" i="10"/>
  <c r="Y297" i="26"/>
  <c r="AC297" i="26" s="1"/>
  <c r="AA290" i="26"/>
  <c r="E290" i="6"/>
  <c r="V526" i="26"/>
  <c r="F526" i="26"/>
  <c r="E265" i="9"/>
  <c r="AA265" i="26"/>
  <c r="AF261" i="26"/>
  <c r="AH261" i="26" s="1"/>
  <c r="AG261" i="26" s="1"/>
  <c r="E261" i="10"/>
  <c r="D260" i="10"/>
  <c r="E260" i="6"/>
  <c r="AA259" i="26"/>
  <c r="E525" i="26"/>
  <c r="AJ258" i="26"/>
  <c r="E258" i="9"/>
  <c r="D239" i="10"/>
  <c r="E503" i="26"/>
  <c r="U503" i="26" s="1"/>
  <c r="D237" i="10"/>
  <c r="E237" i="6"/>
  <c r="D233" i="10"/>
  <c r="AJ233" i="26"/>
  <c r="AW233" i="26" s="1"/>
  <c r="AY233" i="26" s="1"/>
  <c r="AX233" i="26" s="1"/>
  <c r="AA229" i="26"/>
  <c r="D229" i="10"/>
  <c r="AF135" i="26"/>
  <c r="AH135" i="26" s="1"/>
  <c r="AG135" i="26" s="1"/>
  <c r="F465" i="26"/>
  <c r="D72" i="10"/>
  <c r="E72" i="6"/>
  <c r="AJ52" i="26"/>
  <c r="AW52" i="26" s="1"/>
  <c r="AY52" i="26" s="1"/>
  <c r="AX52" i="26" s="1"/>
  <c r="E52" i="9"/>
  <c r="E18" i="9"/>
  <c r="D18" i="10"/>
  <c r="G520" i="26"/>
  <c r="W520" i="26" s="1"/>
  <c r="AB520" i="26" s="1"/>
  <c r="G521" i="26"/>
  <c r="W521" i="26" s="1"/>
  <c r="Z521" i="26" s="1"/>
  <c r="AD521" i="26" s="1"/>
  <c r="G511" i="26"/>
  <c r="W511" i="26" s="1"/>
  <c r="AB511" i="26" s="1"/>
  <c r="F1446" i="10"/>
  <c r="AO1446" i="10" s="1"/>
  <c r="G490" i="26"/>
  <c r="W490" i="26" s="1"/>
  <c r="Z490" i="26" s="1"/>
  <c r="F1405" i="10"/>
  <c r="G451" i="26"/>
  <c r="W451" i="26" s="1"/>
  <c r="Z451" i="26" s="1"/>
  <c r="F1308" i="10"/>
  <c r="S1308" i="10" s="1"/>
  <c r="F1264" i="10"/>
  <c r="AO1264" i="10" s="1"/>
  <c r="G433" i="26"/>
  <c r="W433" i="26" s="1"/>
  <c r="I282" i="30"/>
  <c r="I278" i="30"/>
  <c r="I270" i="30"/>
  <c r="I254" i="30"/>
  <c r="I246" i="30"/>
  <c r="I242" i="30"/>
  <c r="I235" i="30"/>
  <c r="I227" i="30"/>
  <c r="I220" i="30"/>
  <c r="J188" i="30"/>
  <c r="K188" i="30" s="1"/>
  <c r="E188" i="30" s="1"/>
  <c r="I164" i="30"/>
  <c r="J156" i="30"/>
  <c r="K156" i="30" s="1"/>
  <c r="E156" i="30" s="1"/>
  <c r="I132" i="30"/>
  <c r="I124" i="30"/>
  <c r="AN1507" i="10"/>
  <c r="R1221" i="10"/>
  <c r="AL1355" i="10"/>
  <c r="AZ301" i="26"/>
  <c r="BB301" i="26" s="1"/>
  <c r="AE1494" i="10"/>
  <c r="AA1227" i="10"/>
  <c r="AA322" i="26"/>
  <c r="Y307" i="26"/>
  <c r="AC307" i="26" s="1"/>
  <c r="I377" i="30"/>
  <c r="I353" i="30"/>
  <c r="I337" i="30"/>
  <c r="I305" i="30"/>
  <c r="J305" i="30" s="1"/>
  <c r="K305" i="30" s="1"/>
  <c r="E305" i="30" s="1"/>
  <c r="AT1332" i="10"/>
  <c r="AN1343" i="10"/>
  <c r="L1221" i="10"/>
  <c r="Y314" i="26"/>
  <c r="AC314" i="26" s="1"/>
  <c r="I223" i="30"/>
  <c r="J223" i="30" s="1"/>
  <c r="K223" i="30" s="1"/>
  <c r="E223" i="30" s="1"/>
  <c r="I204" i="30"/>
  <c r="J204" i="30" s="1"/>
  <c r="K204" i="30" s="1"/>
  <c r="E204" i="30" s="1"/>
  <c r="I172" i="30"/>
  <c r="J172" i="30" s="1"/>
  <c r="K172" i="30" s="1"/>
  <c r="E172" i="30" s="1"/>
  <c r="Z483" i="26"/>
  <c r="AE483" i="26" s="1"/>
  <c r="AB164" i="9"/>
  <c r="AB93" i="9"/>
  <c r="AM352" i="26"/>
  <c r="AM314" i="26"/>
  <c r="F314" i="6" s="1"/>
  <c r="AA314" i="6" s="1"/>
  <c r="AM268" i="26"/>
  <c r="F268" i="6" s="1"/>
  <c r="AA268" i="6" s="1"/>
  <c r="AM256" i="26"/>
  <c r="AM218" i="26"/>
  <c r="G218" i="6" s="1"/>
  <c r="AM131" i="26"/>
  <c r="G131" i="6" s="1"/>
  <c r="AM67" i="26"/>
  <c r="Y67" i="27" s="1"/>
  <c r="G67" i="27" s="1"/>
  <c r="AD353" i="26"/>
  <c r="AD149" i="26"/>
  <c r="AD144" i="26"/>
  <c r="AD137" i="26"/>
  <c r="AD66" i="26"/>
  <c r="AD51" i="26"/>
  <c r="Y319" i="26"/>
  <c r="AC319" i="26" s="1"/>
  <c r="H318" i="9"/>
  <c r="AC318" i="9" s="1"/>
  <c r="AH318" i="9" s="1"/>
  <c r="Y306" i="26"/>
  <c r="H302" i="9"/>
  <c r="AD302" i="9" s="1"/>
  <c r="Y300" i="26"/>
  <c r="AC300" i="26" s="1"/>
  <c r="Y200" i="26"/>
  <c r="Y199" i="26"/>
  <c r="AL199" i="26" s="1"/>
  <c r="Y192" i="26"/>
  <c r="AC192" i="26" s="1"/>
  <c r="G1382" i="10"/>
  <c r="H156" i="6"/>
  <c r="Y146" i="26"/>
  <c r="Y115" i="26"/>
  <c r="Y92" i="26"/>
  <c r="AC92" i="26" s="1"/>
  <c r="G1274" i="10"/>
  <c r="Y64" i="26"/>
  <c r="I378" i="30"/>
  <c r="J378" i="30" s="1"/>
  <c r="K378" i="30" s="1"/>
  <c r="E378" i="30" s="1"/>
  <c r="I209" i="30"/>
  <c r="J209" i="30" s="1"/>
  <c r="K209" i="30" s="1"/>
  <c r="E209" i="30" s="1"/>
  <c r="I185" i="30"/>
  <c r="I105" i="30"/>
  <c r="J105" i="30" s="1"/>
  <c r="K105" i="30" s="1"/>
  <c r="E105" i="30" s="1"/>
  <c r="I33" i="30"/>
  <c r="AM374" i="26"/>
  <c r="Y374" i="27" s="1"/>
  <c r="G374" i="27" s="1"/>
  <c r="AM360" i="26"/>
  <c r="F360" i="6" s="1"/>
  <c r="AM325" i="26"/>
  <c r="F325" i="6" s="1"/>
  <c r="AA325" i="6" s="1"/>
  <c r="G1581" i="10"/>
  <c r="G1558" i="10"/>
  <c r="G1527" i="10"/>
  <c r="G1507" i="10"/>
  <c r="G1493" i="10"/>
  <c r="G1485" i="10"/>
  <c r="G1439" i="10"/>
  <c r="G1433" i="10"/>
  <c r="G1427" i="10"/>
  <c r="G1361" i="10"/>
  <c r="G1341" i="10"/>
  <c r="G1313" i="10"/>
  <c r="G1271" i="10"/>
  <c r="G1239" i="10"/>
  <c r="G1237" i="10"/>
  <c r="G1219" i="10"/>
  <c r="Y1401" i="10"/>
  <c r="Y1515" i="10"/>
  <c r="AO256" i="7"/>
  <c r="AO125" i="7"/>
  <c r="AT1325" i="10" s="1"/>
  <c r="AM158" i="7"/>
  <c r="AR1358" i="10" s="1"/>
  <c r="AG66" i="7"/>
  <c r="AL1266" i="10" s="1"/>
  <c r="AF144" i="7"/>
  <c r="AE66" i="7"/>
  <c r="AJ1266" i="10" s="1"/>
  <c r="AD144" i="7"/>
  <c r="AD46" i="7"/>
  <c r="AI1246" i="10" s="1"/>
  <c r="AC256" i="7"/>
  <c r="AC253" i="7" s="1"/>
  <c r="AH1453" i="10" s="1"/>
  <c r="Y256" i="7"/>
  <c r="Y253" i="7" s="1"/>
  <c r="AD1453" i="10" s="1"/>
  <c r="Y125" i="7"/>
  <c r="AD1325" i="10" s="1"/>
  <c r="W66" i="7"/>
  <c r="AB1266" i="10" s="1"/>
  <c r="V46" i="7"/>
  <c r="R158" i="7"/>
  <c r="W1358" i="10" s="1"/>
  <c r="Q144" i="7"/>
  <c r="V1344" i="10" s="1"/>
  <c r="Q46" i="7"/>
  <c r="V1246" i="10" s="1"/>
  <c r="P256" i="7"/>
  <c r="P253" i="7" s="1"/>
  <c r="U1453" i="10" s="1"/>
  <c r="P125" i="7"/>
  <c r="U1325" i="10" s="1"/>
  <c r="M144" i="7"/>
  <c r="R1344" i="10" s="1"/>
  <c r="J158" i="7"/>
  <c r="O1358" i="10" s="1"/>
  <c r="I144" i="7"/>
  <c r="N1344" i="10" s="1"/>
  <c r="H256" i="7"/>
  <c r="H253" i="7" s="1"/>
  <c r="M1453" i="10" s="1"/>
  <c r="F66" i="7"/>
  <c r="K1266" i="10" s="1"/>
  <c r="E158" i="7"/>
  <c r="J1358" i="10" s="1"/>
  <c r="E46" i="7"/>
  <c r="J1246" i="10" s="1"/>
  <c r="AD380" i="26"/>
  <c r="AD132" i="26"/>
  <c r="AD106" i="26"/>
  <c r="AD84" i="26"/>
  <c r="Y83" i="26"/>
  <c r="AD67" i="26"/>
  <c r="AD56" i="26"/>
  <c r="Y55" i="26"/>
  <c r="AD47" i="26"/>
  <c r="AD20" i="26"/>
  <c r="Y376" i="26"/>
  <c r="AC376" i="26" s="1"/>
  <c r="H323" i="6"/>
  <c r="AD323" i="6" s="1"/>
  <c r="Y282" i="26"/>
  <c r="AL282" i="26" s="1"/>
  <c r="Y220" i="26"/>
  <c r="Y161" i="26"/>
  <c r="AB508" i="26"/>
  <c r="I49" i="30"/>
  <c r="J49" i="30" s="1"/>
  <c r="K49" i="30" s="1"/>
  <c r="E49" i="30" s="1"/>
  <c r="I153" i="30"/>
  <c r="J153" i="30" s="1"/>
  <c r="K153" i="30" s="1"/>
  <c r="E153" i="30" s="1"/>
  <c r="I145" i="30"/>
  <c r="J145" i="30" s="1"/>
  <c r="K145" i="30" s="1"/>
  <c r="E145" i="30" s="1"/>
  <c r="I85" i="30"/>
  <c r="J85" i="30" s="1"/>
  <c r="K85" i="30" s="1"/>
  <c r="E85" i="30" s="1"/>
  <c r="I73" i="30"/>
  <c r="J73" i="30" s="1"/>
  <c r="K73" i="30" s="1"/>
  <c r="E73" i="30" s="1"/>
  <c r="I41" i="30"/>
  <c r="J41" i="30" s="1"/>
  <c r="K41" i="30" s="1"/>
  <c r="E41" i="30" s="1"/>
  <c r="Y258" i="26"/>
  <c r="Y251" i="26"/>
  <c r="Y239" i="26"/>
  <c r="U1494" i="10"/>
  <c r="O1485" i="10"/>
  <c r="Z1490" i="10"/>
  <c r="O1333" i="10"/>
  <c r="AI1341" i="10"/>
  <c r="AB1233" i="10"/>
  <c r="P1231" i="10"/>
  <c r="W1332" i="10"/>
  <c r="AG1332" i="10"/>
  <c r="AT1341" i="10"/>
  <c r="AC1343" i="10"/>
  <c r="S1419" i="10"/>
  <c r="P1426" i="10"/>
  <c r="L1247" i="10"/>
  <c r="AS1233" i="10"/>
  <c r="AA1366" i="10"/>
  <c r="AL1468" i="10"/>
  <c r="AC1427" i="10"/>
  <c r="AH1412" i="10"/>
  <c r="N1306" i="10"/>
  <c r="AL1478" i="10"/>
  <c r="AN1489" i="10"/>
  <c r="AQ1473" i="10"/>
  <c r="AM1412" i="10"/>
  <c r="G1235" i="10"/>
  <c r="AJ1375" i="10"/>
  <c r="AS435" i="26"/>
  <c r="Y1248" i="10"/>
  <c r="AJ1255" i="10"/>
  <c r="AG1496" i="10"/>
  <c r="K1333" i="10"/>
  <c r="U1566" i="10"/>
  <c r="Z1566" i="10"/>
  <c r="W1566" i="10"/>
  <c r="AQ1506" i="10"/>
  <c r="V1415" i="10"/>
  <c r="AK1506" i="10"/>
  <c r="R1280" i="10"/>
  <c r="R1378" i="10"/>
  <c r="AB1378" i="10"/>
  <c r="AJ1354" i="10"/>
  <c r="N1280" i="10"/>
  <c r="AN1280" i="10"/>
  <c r="Y1280" i="10"/>
  <c r="N1410" i="10"/>
  <c r="AQ1219" i="10"/>
  <c r="M1533" i="10"/>
  <c r="P1472" i="10"/>
  <c r="AQ1472" i="10"/>
  <c r="AL1354" i="10"/>
  <c r="U1485" i="10"/>
  <c r="AK1377" i="10"/>
  <c r="N1407" i="10"/>
  <c r="AB1412" i="10"/>
  <c r="AD1525" i="10"/>
  <c r="AP1555" i="10"/>
  <c r="T1586" i="10"/>
  <c r="AF1586" i="10"/>
  <c r="AP1485" i="10"/>
  <c r="G1255" i="10"/>
  <c r="AP1463" i="10"/>
  <c r="G1463" i="10"/>
  <c r="AN1457" i="10"/>
  <c r="AO1490" i="10"/>
  <c r="R1485" i="10"/>
  <c r="AL1490" i="10"/>
  <c r="AL1332" i="10"/>
  <c r="M1227" i="10"/>
  <c r="K1231" i="10"/>
  <c r="AN1332" i="10"/>
  <c r="P1341" i="10"/>
  <c r="AQ1341" i="10"/>
  <c r="AD1343" i="10"/>
  <c r="R1419" i="10"/>
  <c r="R1469" i="10"/>
  <c r="AK1233" i="10"/>
  <c r="X1516" i="10"/>
  <c r="AT1494" i="10"/>
  <c r="AO1507" i="10"/>
  <c r="P1377" i="10"/>
  <c r="AR1302" i="10"/>
  <c r="AO1553" i="10"/>
  <c r="W1579" i="10"/>
  <c r="AK1546" i="10"/>
  <c r="M1542" i="10"/>
  <c r="AR1457" i="10"/>
  <c r="AA1452" i="10"/>
  <c r="AH20" i="26"/>
  <c r="AG20" i="26" s="1"/>
  <c r="AM1478" i="10"/>
  <c r="P1306" i="10"/>
  <c r="T1326" i="10"/>
  <c r="AP1571" i="10"/>
  <c r="Q1249" i="10"/>
  <c r="K1507" i="10"/>
  <c r="W1457" i="10"/>
  <c r="N1433" i="10"/>
  <c r="Q1464" i="10"/>
  <c r="O1457" i="10"/>
  <c r="M1249" i="10"/>
  <c r="AC1240" i="10"/>
  <c r="S1367" i="10"/>
  <c r="AG1571" i="10"/>
  <c r="AB1478" i="10"/>
  <c r="P1579" i="10"/>
  <c r="Z1573" i="10"/>
  <c r="AR1319" i="10"/>
  <c r="AP1326" i="10"/>
  <c r="AD1442" i="10"/>
  <c r="AK1571" i="10"/>
  <c r="AQ1522" i="10"/>
  <c r="AD1353" i="10"/>
  <c r="T1256" i="10"/>
  <c r="X1373" i="10"/>
  <c r="Q1553" i="10"/>
  <c r="S1286" i="10"/>
  <c r="X1249" i="10"/>
  <c r="S1573" i="10"/>
  <c r="R1353" i="10"/>
  <c r="AH1571" i="10"/>
  <c r="S1306" i="10"/>
  <c r="Y1427" i="10"/>
  <c r="AC1271" i="10"/>
  <c r="V1271" i="10"/>
  <c r="AC1464" i="10"/>
  <c r="J1553" i="10"/>
  <c r="AL1512" i="10"/>
  <c r="AM1464" i="10"/>
  <c r="AJ1473" i="10"/>
  <c r="AF1478" i="10"/>
  <c r="W1319" i="10"/>
  <c r="Y1540" i="10"/>
  <c r="O1468" i="10"/>
  <c r="AR1361" i="10"/>
  <c r="W1256" i="10"/>
  <c r="AS1555" i="10"/>
  <c r="N1573" i="10"/>
  <c r="AA1542" i="10"/>
  <c r="AS1353" i="10"/>
  <c r="Q1427" i="10"/>
  <c r="AS1489" i="10"/>
  <c r="AH1525" i="10"/>
  <c r="N1267" i="10"/>
  <c r="X1525" i="10"/>
  <c r="AH1489" i="10"/>
  <c r="Y1477" i="10"/>
  <c r="AE1251" i="10"/>
  <c r="T1294" i="10"/>
  <c r="R1546" i="10"/>
  <c r="AP1361" i="10"/>
  <c r="AQ1442" i="10"/>
  <c r="AC1489" i="10"/>
  <c r="AG1485" i="10"/>
  <c r="AA1313" i="10"/>
  <c r="Z1313" i="10"/>
  <c r="AC1457" i="10"/>
  <c r="AK1527" i="10"/>
  <c r="AE1369" i="10"/>
  <c r="AI1546" i="10"/>
  <c r="AD1361" i="10"/>
  <c r="AB1536" i="10"/>
  <c r="R1366" i="10"/>
  <c r="U1247" i="10"/>
  <c r="AA1233" i="10"/>
  <c r="J1233" i="10"/>
  <c r="AR1221" i="10"/>
  <c r="M1221" i="10"/>
  <c r="AJ1465" i="10"/>
  <c r="U1419" i="10"/>
  <c r="AR1419" i="10"/>
  <c r="AT1419" i="10"/>
  <c r="AO1343" i="10"/>
  <c r="L1343" i="10"/>
  <c r="AF1343" i="10"/>
  <c r="AJ1343" i="10"/>
  <c r="N1341" i="10"/>
  <c r="AR1341" i="10"/>
  <c r="S1341" i="10"/>
  <c r="J1332" i="10"/>
  <c r="AK1332" i="10"/>
  <c r="Y1332" i="10"/>
  <c r="AR1332" i="10"/>
  <c r="N1231" i="10"/>
  <c r="Q1231" i="10"/>
  <c r="AQ1227" i="10"/>
  <c r="Z1227" i="10"/>
  <c r="O1227" i="10"/>
  <c r="AQ1419" i="10"/>
  <c r="AF1332" i="10"/>
  <c r="AS1536" i="10"/>
  <c r="N1342" i="10"/>
  <c r="V1490" i="10"/>
  <c r="AP1490" i="10"/>
  <c r="AN1485" i="10"/>
  <c r="Y1485" i="10"/>
  <c r="AG1494" i="10"/>
  <c r="Z1494" i="10"/>
  <c r="R1494" i="10"/>
  <c r="S1425" i="10"/>
  <c r="AB1485" i="10"/>
  <c r="AH1586" i="10"/>
  <c r="L1586" i="10"/>
  <c r="J1586" i="10"/>
  <c r="AH1346" i="10"/>
  <c r="L1555" i="10"/>
  <c r="N1525" i="10"/>
  <c r="AP1499" i="10"/>
  <c r="K1412" i="10"/>
  <c r="Y1407" i="10"/>
  <c r="R1407" i="10"/>
  <c r="Y1377" i="10"/>
  <c r="AD1377" i="10"/>
  <c r="AC1233" i="10"/>
  <c r="AT1507" i="10"/>
  <c r="J1427" i="10"/>
  <c r="AS1300" i="10"/>
  <c r="AK1468" i="10"/>
  <c r="U1341" i="10"/>
  <c r="V1313" i="10"/>
  <c r="AF1579" i="10"/>
  <c r="AF1326" i="10"/>
  <c r="AJ1573" i="10"/>
  <c r="T1369" i="10"/>
  <c r="AF1401" i="10"/>
  <c r="O1302" i="10"/>
  <c r="AF1251" i="10"/>
  <c r="J1382" i="10"/>
  <c r="Y1414" i="10"/>
  <c r="AC1401" i="10"/>
  <c r="AM1353" i="10"/>
  <c r="AI1542" i="10"/>
  <c r="T1553" i="10"/>
  <c r="AO1332" i="10"/>
  <c r="V1536" i="10"/>
  <c r="Y1436" i="10"/>
  <c r="AP1247" i="10"/>
  <c r="AL1233" i="10"/>
  <c r="V1221" i="10"/>
  <c r="AR1247" i="10"/>
  <c r="AN1518" i="10"/>
  <c r="X1469" i="10"/>
  <c r="AL1419" i="10"/>
  <c r="Y1419" i="10"/>
  <c r="AB1343" i="10"/>
  <c r="AA1343" i="10"/>
  <c r="X1341" i="10"/>
  <c r="AK1341" i="10"/>
  <c r="Z1341" i="10"/>
  <c r="U1332" i="10"/>
  <c r="AJ1332" i="10"/>
  <c r="Z1242" i="10"/>
  <c r="O1231" i="10"/>
  <c r="W1227" i="10"/>
  <c r="AE1345" i="10"/>
  <c r="AS1341" i="10"/>
  <c r="T1342" i="10"/>
  <c r="Y1490" i="10"/>
  <c r="AR1485" i="10"/>
  <c r="AR1494" i="10"/>
  <c r="AI1494" i="10"/>
  <c r="AQ1490" i="10"/>
  <c r="AQ1545" i="10"/>
  <c r="AC1586" i="10"/>
  <c r="AD1586" i="10"/>
  <c r="AF1555" i="10"/>
  <c r="AP1525" i="10"/>
  <c r="AI1519" i="10"/>
  <c r="X1412" i="10"/>
  <c r="U1407" i="10"/>
  <c r="AC1377" i="10"/>
  <c r="Z1373" i="10"/>
  <c r="AC1414" i="10"/>
  <c r="P1219" i="10"/>
  <c r="AP1245" i="10"/>
  <c r="AG1339" i="10"/>
  <c r="K1370" i="10"/>
  <c r="AF1378" i="10"/>
  <c r="Z1219" i="10"/>
  <c r="AS1219" i="10"/>
  <c r="M1378" i="10"/>
  <c r="AG1410" i="10"/>
  <c r="Q1378" i="10"/>
  <c r="AC1235" i="10"/>
  <c r="AM1280" i="10"/>
  <c r="Q1280" i="10"/>
  <c r="AF1280" i="10"/>
  <c r="W1375" i="10"/>
  <c r="AM1354" i="10"/>
  <c r="AR1576" i="10"/>
  <c r="AN1576" i="10"/>
  <c r="T1378" i="10"/>
  <c r="Z1378" i="10"/>
  <c r="U1430" i="10"/>
  <c r="AH1280" i="10"/>
  <c r="V1280" i="10"/>
  <c r="Y1408" i="10"/>
  <c r="R1576" i="10"/>
  <c r="AM1506" i="10"/>
  <c r="AN1566" i="10"/>
  <c r="AP1566" i="10"/>
  <c r="AE1566" i="10"/>
  <c r="S1566" i="10"/>
  <c r="L1333" i="10"/>
  <c r="Y1566" i="10"/>
  <c r="U1496" i="10"/>
  <c r="M1566" i="10"/>
  <c r="AF1329" i="10"/>
  <c r="AF1255" i="10"/>
  <c r="AA1255" i="10"/>
  <c r="AG1367" i="10"/>
  <c r="AP1433" i="10"/>
  <c r="W1479" i="10"/>
  <c r="AH1267" i="10"/>
  <c r="M1546" i="10"/>
  <c r="AM1540" i="10"/>
  <c r="V1468" i="10"/>
  <c r="AT1442" i="10"/>
  <c r="V1478" i="10"/>
  <c r="AJ1274" i="10"/>
  <c r="Y1553" i="10"/>
  <c r="AP1294" i="10"/>
  <c r="AN1313" i="10"/>
  <c r="AQ1337" i="10"/>
  <c r="AG1481" i="10"/>
  <c r="N1590" i="10"/>
  <c r="W1478" i="10"/>
  <c r="AN1240" i="10"/>
  <c r="AH1271" i="10"/>
  <c r="Z1536" i="10"/>
  <c r="AE1247" i="10"/>
  <c r="N1247" i="10"/>
  <c r="AJ1233" i="10"/>
  <c r="AL1580" i="10"/>
  <c r="AA1536" i="10"/>
  <c r="L1480" i="10"/>
  <c r="AP1426" i="10"/>
  <c r="P1419" i="10"/>
  <c r="AM1419" i="10"/>
  <c r="AL1343" i="10"/>
  <c r="S1343" i="10"/>
  <c r="M1343" i="10"/>
  <c r="O1341" i="10"/>
  <c r="AM1341" i="10"/>
  <c r="AA1332" i="10"/>
  <c r="AI1332" i="10"/>
  <c r="S1332" i="10"/>
  <c r="AP1231" i="10"/>
  <c r="AJ1231" i="10"/>
  <c r="AH1227" i="10"/>
  <c r="K1343" i="10"/>
  <c r="AR1233" i="10"/>
  <c r="AT1508" i="10"/>
  <c r="Y1343" i="10"/>
  <c r="L1490" i="10"/>
  <c r="AB1490" i="10"/>
  <c r="Q1485" i="10"/>
  <c r="W1494" i="10"/>
  <c r="O1494" i="10"/>
  <c r="AS535" i="26"/>
  <c r="AT535" i="26" s="1"/>
  <c r="AQ535" i="26"/>
  <c r="AR535" i="26" s="1"/>
  <c r="AQ532" i="26"/>
  <c r="AR532" i="26" s="1"/>
  <c r="AS532" i="26"/>
  <c r="AQ526" i="26"/>
  <c r="AR526" i="26" s="1"/>
  <c r="AS526" i="26"/>
  <c r="AS490" i="26"/>
  <c r="AT490" i="26" s="1"/>
  <c r="AS447" i="26"/>
  <c r="AT447" i="26" s="1"/>
  <c r="AQ447" i="26"/>
  <c r="AR447" i="26" s="1"/>
  <c r="AQ534" i="26"/>
  <c r="AR534" i="26" s="1"/>
  <c r="AQ492" i="26"/>
  <c r="AR492" i="26" s="1"/>
  <c r="AR1255" i="10"/>
  <c r="V1255" i="10"/>
  <c r="W1467" i="10"/>
  <c r="AQ1566" i="10"/>
  <c r="J1566" i="10"/>
  <c r="T1566" i="10"/>
  <c r="T1576" i="10"/>
  <c r="AL1415" i="10"/>
  <c r="AP1408" i="10"/>
  <c r="AR1280" i="10"/>
  <c r="AH1378" i="10"/>
  <c r="AE1378" i="10"/>
  <c r="W1378" i="10"/>
  <c r="Z1280" i="10"/>
  <c r="AK1280" i="10"/>
  <c r="AP1280" i="10"/>
  <c r="J1309" i="10"/>
  <c r="X1354" i="10"/>
  <c r="X1219" i="10"/>
  <c r="J1585" i="10"/>
  <c r="AT1219" i="10"/>
  <c r="AM1219" i="10"/>
  <c r="AH1410" i="10"/>
  <c r="X1585" i="10"/>
  <c r="K1245" i="10"/>
  <c r="AG1219" i="10"/>
  <c r="J1280" i="10"/>
  <c r="AA1472" i="10"/>
  <c r="AN1418" i="10"/>
  <c r="AA1422" i="10"/>
  <c r="AS1377" i="10"/>
  <c r="M1407" i="10"/>
  <c r="Y1478" i="10"/>
  <c r="AJ1525" i="10"/>
  <c r="AG1586" i="10"/>
  <c r="AM1586" i="10"/>
  <c r="AB1545" i="10"/>
  <c r="AQ1485" i="10"/>
  <c r="AF1494" i="10"/>
  <c r="AD1494" i="10"/>
  <c r="O1420" i="10"/>
  <c r="AO1415" i="10"/>
  <c r="L1233" i="10"/>
  <c r="AG1341" i="10"/>
  <c r="AO1227" i="10"/>
  <c r="L1242" i="10"/>
  <c r="T1332" i="10"/>
  <c r="AE1341" i="10"/>
  <c r="J1343" i="10"/>
  <c r="AR1368" i="10"/>
  <c r="Z1422" i="10"/>
  <c r="R1518" i="10"/>
  <c r="AE1221" i="10"/>
  <c r="J1247" i="10"/>
  <c r="AJ1512" i="10"/>
  <c r="M1286" i="10"/>
  <c r="AI1407" i="10"/>
  <c r="L1271" i="10"/>
  <c r="AI1326" i="10"/>
  <c r="AK1256" i="10"/>
  <c r="Y1358" i="10"/>
  <c r="Y1579" i="10"/>
  <c r="AD1249" i="10"/>
  <c r="R1339" i="10"/>
  <c r="AE1585" i="10"/>
  <c r="F1552" i="10"/>
  <c r="AB1552" i="10" s="1"/>
  <c r="Y352" i="26"/>
  <c r="AC352" i="26" s="1"/>
  <c r="R1531" i="10"/>
  <c r="E298" i="9"/>
  <c r="D298" i="10"/>
  <c r="G1373" i="10"/>
  <c r="F1336" i="10"/>
  <c r="AH1336" i="10" s="1"/>
  <c r="Y136" i="26"/>
  <c r="AC136" i="26" s="1"/>
  <c r="AF124" i="26"/>
  <c r="E124" i="10"/>
  <c r="AF105" i="26"/>
  <c r="AH105" i="26" s="1"/>
  <c r="AG105" i="26" s="1"/>
  <c r="E105" i="10"/>
  <c r="F1265" i="10"/>
  <c r="Y65" i="26"/>
  <c r="AC65" i="26" s="1"/>
  <c r="E381" i="10"/>
  <c r="AF381" i="26"/>
  <c r="AH381" i="26" s="1"/>
  <c r="AG381" i="26" s="1"/>
  <c r="E376" i="10"/>
  <c r="AF376" i="26"/>
  <c r="AN376" i="26" s="1"/>
  <c r="AJ372" i="26"/>
  <c r="AW372" i="26" s="1"/>
  <c r="AY372" i="26" s="1"/>
  <c r="AX372" i="26" s="1"/>
  <c r="AA372" i="26"/>
  <c r="E365" i="9"/>
  <c r="E365" i="6"/>
  <c r="AA365" i="26"/>
  <c r="AZ354" i="26"/>
  <c r="BB354" i="26" s="1"/>
  <c r="E354" i="10"/>
  <c r="F1548" i="10"/>
  <c r="AJ1548" i="10" s="1"/>
  <c r="Y348" i="26"/>
  <c r="F1544" i="10"/>
  <c r="Y344" i="26"/>
  <c r="AL344" i="26" s="1"/>
  <c r="E341" i="6"/>
  <c r="E341" i="9"/>
  <c r="E336" i="9"/>
  <c r="AA336" i="26"/>
  <c r="E336" i="6"/>
  <c r="E333" i="10"/>
  <c r="AF333" i="26"/>
  <c r="AH333" i="26" s="1"/>
  <c r="D327" i="10"/>
  <c r="AA327" i="26"/>
  <c r="AG1526" i="10"/>
  <c r="AM324" i="26"/>
  <c r="G324" i="6" s="1"/>
  <c r="AU324" i="26"/>
  <c r="I324" i="6" s="1"/>
  <c r="AF1496" i="10"/>
  <c r="E290" i="10"/>
  <c r="AF290" i="26"/>
  <c r="AH290" i="26" s="1"/>
  <c r="AG290" i="26" s="1"/>
  <c r="F1484" i="10"/>
  <c r="Z1484" i="10" s="1"/>
  <c r="Y284" i="26"/>
  <c r="G1479" i="10"/>
  <c r="AF276" i="26"/>
  <c r="AH276" i="26" s="1"/>
  <c r="AG276" i="26" s="1"/>
  <c r="AZ276" i="26"/>
  <c r="BB276" i="26" s="1"/>
  <c r="F1471" i="10"/>
  <c r="AB1471" i="10" s="1"/>
  <c r="Y271" i="26"/>
  <c r="AC271" i="26" s="1"/>
  <c r="F1462" i="10"/>
  <c r="AB1462" i="10" s="1"/>
  <c r="Y262" i="26"/>
  <c r="V518" i="26"/>
  <c r="V521" i="26"/>
  <c r="D249" i="10"/>
  <c r="AJ249" i="26"/>
  <c r="AW249" i="26" s="1"/>
  <c r="AY249" i="26" s="1"/>
  <c r="AX249" i="26" s="1"/>
  <c r="E248" i="9"/>
  <c r="D248" i="10"/>
  <c r="E511" i="26"/>
  <c r="E488" i="6" s="1"/>
  <c r="AA246" i="26"/>
  <c r="AJ245" i="26"/>
  <c r="AW245" i="26" s="1"/>
  <c r="AY245" i="26" s="1"/>
  <c r="AX245" i="26" s="1"/>
  <c r="AA245" i="26"/>
  <c r="AJ243" i="26"/>
  <c r="AW243" i="26" s="1"/>
  <c r="AY243" i="26" s="1"/>
  <c r="AX243" i="26" s="1"/>
  <c r="E506" i="26"/>
  <c r="U506" i="26" s="1"/>
  <c r="AA243" i="26"/>
  <c r="V503" i="26"/>
  <c r="F503" i="26"/>
  <c r="AZ238" i="26"/>
  <c r="BB238" i="26" s="1"/>
  <c r="F502" i="26"/>
  <c r="V501" i="26"/>
  <c r="E237" i="10"/>
  <c r="AF220" i="26"/>
  <c r="AN220" i="26" s="1"/>
  <c r="E220" i="10"/>
  <c r="AA216" i="26"/>
  <c r="AJ216" i="26"/>
  <c r="AW216" i="26" s="1"/>
  <c r="D215" i="10"/>
  <c r="E215" i="6"/>
  <c r="E215" i="9"/>
  <c r="F494" i="26"/>
  <c r="E214" i="10"/>
  <c r="AJ202" i="26"/>
  <c r="AW202" i="26" s="1"/>
  <c r="AY202" i="26" s="1"/>
  <c r="E202" i="9"/>
  <c r="X1386" i="10"/>
  <c r="E180" i="10"/>
  <c r="AF180" i="26"/>
  <c r="AH180" i="26" s="1"/>
  <c r="AG180" i="26" s="1"/>
  <c r="F478" i="26"/>
  <c r="AZ174" i="26"/>
  <c r="BB174" i="26" s="1"/>
  <c r="AJ172" i="26"/>
  <c r="AW172" i="26" s="1"/>
  <c r="AY172" i="26" s="1"/>
  <c r="AA172" i="26"/>
  <c r="V472" i="26"/>
  <c r="AF155" i="26"/>
  <c r="AH155" i="26" s="1"/>
  <c r="AG155" i="26" s="1"/>
  <c r="AA154" i="26"/>
  <c r="E154" i="9"/>
  <c r="AU144" i="26"/>
  <c r="H144" i="9" s="1"/>
  <c r="AC144" i="9" s="1"/>
  <c r="AH144" i="9" s="1"/>
  <c r="AM144" i="26"/>
  <c r="F466" i="26"/>
  <c r="AF139" i="26"/>
  <c r="AH139" i="26" s="1"/>
  <c r="AG139" i="26" s="1"/>
  <c r="AJ138" i="26"/>
  <c r="AW138" i="26" s="1"/>
  <c r="AY138" i="26" s="1"/>
  <c r="D138" i="10"/>
  <c r="AF133" i="26"/>
  <c r="AH133" i="26" s="1"/>
  <c r="AG133" i="26" s="1"/>
  <c r="E133" i="10"/>
  <c r="D109" i="10"/>
  <c r="AJ109" i="26"/>
  <c r="AW109" i="26" s="1"/>
  <c r="AY109" i="26" s="1"/>
  <c r="E109" i="6"/>
  <c r="AA109" i="26"/>
  <c r="E453" i="26"/>
  <c r="E107" i="9"/>
  <c r="D107" i="10"/>
  <c r="AA107" i="26"/>
  <c r="AF102" i="26"/>
  <c r="AH102" i="26" s="1"/>
  <c r="AG102" i="26" s="1"/>
  <c r="E102" i="10"/>
  <c r="AZ95" i="26"/>
  <c r="BB95" i="26" s="1"/>
  <c r="V443" i="26"/>
  <c r="E72" i="10"/>
  <c r="AZ72" i="26"/>
  <c r="BB72" i="26" s="1"/>
  <c r="AA71" i="26"/>
  <c r="E71" i="6"/>
  <c r="AF60" i="26"/>
  <c r="E60" i="10"/>
  <c r="AF59" i="26"/>
  <c r="AH59" i="26" s="1"/>
  <c r="V430" i="26"/>
  <c r="E58" i="10"/>
  <c r="AZ58" i="26"/>
  <c r="BB58" i="26" s="1"/>
  <c r="AF58" i="26"/>
  <c r="AH58" i="26" s="1"/>
  <c r="AG58" i="26" s="1"/>
  <c r="AZ57" i="26"/>
  <c r="BB57" i="26" s="1"/>
  <c r="AF57" i="26"/>
  <c r="AH57" i="26" s="1"/>
  <c r="AG57" i="26" s="1"/>
  <c r="E373" i="6"/>
  <c r="E373" i="9"/>
  <c r="E352" i="6"/>
  <c r="AA352" i="26"/>
  <c r="U1248" i="10"/>
  <c r="AJ368" i="26"/>
  <c r="D373" i="10"/>
  <c r="E385" i="6"/>
  <c r="AD264" i="26"/>
  <c r="X1563" i="10"/>
  <c r="X1555" i="10"/>
  <c r="E227" i="10"/>
  <c r="AF227" i="26"/>
  <c r="AN227" i="26" s="1"/>
  <c r="AZ227" i="26"/>
  <c r="BB227" i="26" s="1"/>
  <c r="AZ216" i="26"/>
  <c r="BB216" i="26" s="1"/>
  <c r="E216" i="10"/>
  <c r="AF216" i="26"/>
  <c r="AN216" i="26" s="1"/>
  <c r="AZ179" i="26"/>
  <c r="BB179" i="26" s="1"/>
  <c r="AF179" i="26"/>
  <c r="AH179" i="26" s="1"/>
  <c r="AG179" i="26" s="1"/>
  <c r="Y209" i="26"/>
  <c r="R1309" i="10"/>
  <c r="K1429" i="10"/>
  <c r="G1535" i="10"/>
  <c r="G1286" i="10"/>
  <c r="AD1571" i="10"/>
  <c r="Q1480" i="10"/>
  <c r="X1465" i="10"/>
  <c r="AB1426" i="10"/>
  <c r="AC1342" i="10"/>
  <c r="AD278" i="26"/>
  <c r="Q1354" i="10"/>
  <c r="AH1546" i="10"/>
  <c r="R1540" i="10"/>
  <c r="W1464" i="10"/>
  <c r="AA1412" i="10"/>
  <c r="AJ1369" i="10"/>
  <c r="J1361" i="10"/>
  <c r="L1319" i="10"/>
  <c r="AP1313" i="10"/>
  <c r="Z1274" i="10"/>
  <c r="AI1240" i="10"/>
  <c r="AB1256" i="10"/>
  <c r="AA1267" i="10"/>
  <c r="AD145" i="26"/>
  <c r="W1425" i="10"/>
  <c r="AK1425" i="10"/>
  <c r="T1425" i="10"/>
  <c r="V1425" i="10"/>
  <c r="AR1425" i="10"/>
  <c r="I385" i="30"/>
  <c r="AH1420" i="10"/>
  <c r="AH379" i="26"/>
  <c r="AG379" i="26" s="1"/>
  <c r="N1339" i="10"/>
  <c r="AF307" i="26"/>
  <c r="AH307" i="26" s="1"/>
  <c r="AG307" i="26" s="1"/>
  <c r="E307" i="10"/>
  <c r="AZ268" i="26"/>
  <c r="BB268" i="26" s="1"/>
  <c r="AF268" i="26"/>
  <c r="AH268" i="26" s="1"/>
  <c r="AG268" i="26" s="1"/>
  <c r="E263" i="10"/>
  <c r="AF263" i="26"/>
  <c r="E235" i="10"/>
  <c r="AZ235" i="26"/>
  <c r="BB235" i="26" s="1"/>
  <c r="AF235" i="26"/>
  <c r="AH235" i="26" s="1"/>
  <c r="AG235" i="26" s="1"/>
  <c r="AF217" i="26"/>
  <c r="AH217" i="26" s="1"/>
  <c r="AG217" i="26" s="1"/>
  <c r="AZ217" i="26"/>
  <c r="BB217" i="26" s="1"/>
  <c r="AF210" i="26"/>
  <c r="AH210" i="26" s="1"/>
  <c r="AG210" i="26" s="1"/>
  <c r="AZ210" i="26"/>
  <c r="BB210" i="26" s="1"/>
  <c r="D118" i="10"/>
  <c r="E118" i="6"/>
  <c r="E75" i="6"/>
  <c r="D75" i="10"/>
  <c r="AZ389" i="26"/>
  <c r="BB389" i="26" s="1"/>
  <c r="AF389" i="26"/>
  <c r="AH389" i="26" s="1"/>
  <c r="AG389" i="26" s="1"/>
  <c r="AJ388" i="26"/>
  <c r="AW388" i="26" s="1"/>
  <c r="AY388" i="26" s="1"/>
  <c r="AX388" i="26" s="1"/>
  <c r="D388" i="10"/>
  <c r="F1582" i="10"/>
  <c r="AO1582" i="10" s="1"/>
  <c r="Y382" i="26"/>
  <c r="AF375" i="26"/>
  <c r="AN375" i="26" s="1"/>
  <c r="E375" i="10"/>
  <c r="E372" i="10"/>
  <c r="AF372" i="26"/>
  <c r="AH372" i="26" s="1"/>
  <c r="AJ356" i="26"/>
  <c r="AW356" i="26" s="1"/>
  <c r="AY356" i="26" s="1"/>
  <c r="E356" i="6"/>
  <c r="D356" i="10"/>
  <c r="E356" i="9"/>
  <c r="E226" i="10"/>
  <c r="V499" i="26"/>
  <c r="V500" i="26"/>
  <c r="F499" i="26"/>
  <c r="E225" i="10"/>
  <c r="AF225" i="26"/>
  <c r="AN225" i="26" s="1"/>
  <c r="V497" i="26"/>
  <c r="AZ224" i="26"/>
  <c r="BB224" i="26" s="1"/>
  <c r="E224" i="10"/>
  <c r="AA223" i="26"/>
  <c r="E223" i="9"/>
  <c r="E223" i="6"/>
  <c r="D223" i="10"/>
  <c r="V495" i="26"/>
  <c r="AF215" i="26"/>
  <c r="AN215" i="26" s="1"/>
  <c r="E215" i="10"/>
  <c r="F495" i="26"/>
  <c r="AJ211" i="26"/>
  <c r="AW211" i="26" s="1"/>
  <c r="AY211" i="26" s="1"/>
  <c r="E211" i="9"/>
  <c r="E208" i="9"/>
  <c r="AA208" i="26"/>
  <c r="E491" i="26"/>
  <c r="U491" i="26" s="1"/>
  <c r="AJ208" i="26"/>
  <c r="AW208" i="26" s="1"/>
  <c r="AY208" i="26" s="1"/>
  <c r="AX208" i="26" s="1"/>
  <c r="D208" i="10"/>
  <c r="V489" i="26"/>
  <c r="F489" i="26"/>
  <c r="AF203" i="26"/>
  <c r="AH203" i="26" s="1"/>
  <c r="AG203" i="26" s="1"/>
  <c r="AZ203" i="26"/>
  <c r="BB203" i="26" s="1"/>
  <c r="E202" i="10"/>
  <c r="F488" i="26"/>
  <c r="E198" i="6"/>
  <c r="E485" i="26"/>
  <c r="E462" i="9" s="1"/>
  <c r="D198" i="10"/>
  <c r="AJ198" i="26"/>
  <c r="AW198" i="26" s="1"/>
  <c r="AY198" i="26" s="1"/>
  <c r="AX198" i="26" s="1"/>
  <c r="E198" i="9"/>
  <c r="E186" i="9"/>
  <c r="AA186" i="26"/>
  <c r="Y181" i="26"/>
  <c r="F1381" i="10"/>
  <c r="AG1381" i="10" s="1"/>
  <c r="AI1367" i="10"/>
  <c r="AA1367" i="10"/>
  <c r="D164" i="10"/>
  <c r="E164" i="9"/>
  <c r="AA164" i="26"/>
  <c r="AJ164" i="26"/>
  <c r="AW164" i="26" s="1"/>
  <c r="AY164" i="26" s="1"/>
  <c r="AX164" i="26" s="1"/>
  <c r="AF160" i="26"/>
  <c r="AH160" i="26" s="1"/>
  <c r="AG160" i="26" s="1"/>
  <c r="E160" i="10"/>
  <c r="AU149" i="26"/>
  <c r="I149" i="6" s="1"/>
  <c r="AM149" i="26"/>
  <c r="G149" i="9" s="1"/>
  <c r="AA147" i="26"/>
  <c r="D147" i="10"/>
  <c r="AF138" i="26"/>
  <c r="AH138" i="26" s="1"/>
  <c r="AG138" i="26" s="1"/>
  <c r="E138" i="10"/>
  <c r="AH1231" i="10"/>
  <c r="AE1231" i="10"/>
  <c r="AG1231" i="10"/>
  <c r="AF1231" i="10"/>
  <c r="U1231" i="10"/>
  <c r="R1231" i="10"/>
  <c r="AS1231" i="10"/>
  <c r="AM1231" i="10"/>
  <c r="T1231" i="10"/>
  <c r="AF29" i="26"/>
  <c r="AH29" i="26" s="1"/>
  <c r="AG29" i="26" s="1"/>
  <c r="E29" i="10"/>
  <c r="AJ28" i="26"/>
  <c r="AW28" i="26" s="1"/>
  <c r="AY28" i="26" s="1"/>
  <c r="AX28" i="26" s="1"/>
  <c r="E28" i="9"/>
  <c r="G1227" i="10"/>
  <c r="AD1227" i="10"/>
  <c r="Q1227" i="10"/>
  <c r="U1227" i="10"/>
  <c r="J1227" i="10"/>
  <c r="N1227" i="10"/>
  <c r="AP1227" i="10"/>
  <c r="AI1227" i="10"/>
  <c r="AL1227" i="10"/>
  <c r="AR1227" i="10"/>
  <c r="AF24" i="26"/>
  <c r="AH24" i="26" s="1"/>
  <c r="AG24" i="26" s="1"/>
  <c r="E24" i="10"/>
  <c r="F1455" i="10"/>
  <c r="AG1455" i="10" s="1"/>
  <c r="G523" i="26"/>
  <c r="W523" i="26" s="1"/>
  <c r="AB523" i="26" s="1"/>
  <c r="AA393" i="27"/>
  <c r="AA392" i="27"/>
  <c r="AK1339" i="10"/>
  <c r="V1339" i="10"/>
  <c r="AB1425" i="10"/>
  <c r="U1425" i="10"/>
  <c r="AB1531" i="10"/>
  <c r="N1463" i="10"/>
  <c r="AE1255" i="10"/>
  <c r="AS1255" i="10"/>
  <c r="AL1255" i="10"/>
  <c r="P1496" i="10"/>
  <c r="Q1496" i="10"/>
  <c r="W1354" i="10"/>
  <c r="AQ1354" i="10"/>
  <c r="W1309" i="10"/>
  <c r="AQ1309" i="10"/>
  <c r="AJ1339" i="10"/>
  <c r="O1339" i="10"/>
  <c r="AD1425" i="10"/>
  <c r="K1339" i="10"/>
  <c r="AM353" i="26"/>
  <c r="F353" i="9" s="1"/>
  <c r="AM169" i="26"/>
  <c r="Y169" i="27" s="1"/>
  <c r="G169" i="27" s="1"/>
  <c r="AM143" i="26"/>
  <c r="BE143" i="26" s="1"/>
  <c r="T1555" i="10"/>
  <c r="O1512" i="10"/>
  <c r="AO1512" i="10"/>
  <c r="T1442" i="10"/>
  <c r="AG1442" i="10"/>
  <c r="AH1367" i="10"/>
  <c r="AE1349" i="10"/>
  <c r="N1349" i="10"/>
  <c r="R1337" i="10"/>
  <c r="AT1337" i="10"/>
  <c r="R1326" i="10"/>
  <c r="AN1326" i="10"/>
  <c r="Q1300" i="10"/>
  <c r="AM1300" i="10"/>
  <c r="AJ324" i="7"/>
  <c r="AO1524" i="10" s="1"/>
  <c r="AA324" i="7"/>
  <c r="AA323" i="7" s="1"/>
  <c r="AF1523" i="10" s="1"/>
  <c r="S277" i="7"/>
  <c r="X1477" i="10" s="1"/>
  <c r="K324" i="7"/>
  <c r="K323" i="7" s="1"/>
  <c r="P1523" i="10" s="1"/>
  <c r="H324" i="7"/>
  <c r="H323" i="7" s="1"/>
  <c r="M1523" i="10" s="1"/>
  <c r="BB13" i="7"/>
  <c r="BC13" i="7" s="1"/>
  <c r="AZ84" i="7"/>
  <c r="BA84" i="7" s="1"/>
  <c r="L1284" i="10"/>
  <c r="BB51" i="7"/>
  <c r="BC51" i="7" s="1"/>
  <c r="I158" i="30"/>
  <c r="I150" i="30"/>
  <c r="I142" i="30"/>
  <c r="I118" i="30"/>
  <c r="J118" i="30" s="1"/>
  <c r="K118" i="30" s="1"/>
  <c r="E118" i="30" s="1"/>
  <c r="I114" i="30"/>
  <c r="I110" i="30"/>
  <c r="J110" i="30" s="1"/>
  <c r="K110" i="30" s="1"/>
  <c r="E110" i="30" s="1"/>
  <c r="I106" i="30"/>
  <c r="I90" i="30"/>
  <c r="I86" i="30"/>
  <c r="I82" i="30"/>
  <c r="I78" i="30"/>
  <c r="I70" i="30"/>
  <c r="J50" i="30"/>
  <c r="K50" i="30" s="1"/>
  <c r="E50" i="30" s="1"/>
  <c r="I19" i="30"/>
  <c r="G1488" i="10"/>
  <c r="AI1590" i="10"/>
  <c r="AD1553" i="10"/>
  <c r="K1525" i="10"/>
  <c r="AS1515" i="10"/>
  <c r="AR1422" i="10"/>
  <c r="G1251" i="10"/>
  <c r="AQ1251" i="10"/>
  <c r="AG439" i="26"/>
  <c r="AH439" i="26" s="1"/>
  <c r="AG536" i="26"/>
  <c r="AJ536" i="26" s="1"/>
  <c r="AG529" i="26"/>
  <c r="AQ529" i="26" s="1"/>
  <c r="AR529" i="26" s="1"/>
  <c r="AG523" i="26"/>
  <c r="AG449" i="26"/>
  <c r="AJ449" i="26" s="1"/>
  <c r="AG445" i="26"/>
  <c r="AJ445" i="26" s="1"/>
  <c r="I370" i="30"/>
  <c r="J370" i="30" s="1"/>
  <c r="K370" i="30" s="1"/>
  <c r="E370" i="30" s="1"/>
  <c r="I271" i="30"/>
  <c r="I267" i="30"/>
  <c r="J267" i="30" s="1"/>
  <c r="K267" i="30" s="1"/>
  <c r="E267" i="30" s="1"/>
  <c r="I263" i="30"/>
  <c r="I259" i="30"/>
  <c r="J259" i="30" s="1"/>
  <c r="K259" i="30" s="1"/>
  <c r="E259" i="30" s="1"/>
  <c r="I255" i="30"/>
  <c r="J247" i="30"/>
  <c r="K247" i="30" s="1"/>
  <c r="E247" i="30" s="1"/>
  <c r="I243" i="30"/>
  <c r="I224" i="30"/>
  <c r="J224" i="30" s="1"/>
  <c r="K224" i="30" s="1"/>
  <c r="E224" i="30" s="1"/>
  <c r="I201" i="30"/>
  <c r="J185" i="30"/>
  <c r="K185" i="30" s="1"/>
  <c r="E185" i="30" s="1"/>
  <c r="I177" i="30"/>
  <c r="I169" i="30"/>
  <c r="I161" i="30"/>
  <c r="AB319" i="9"/>
  <c r="AM212" i="26"/>
  <c r="BE212" i="26" s="1"/>
  <c r="AD159" i="26"/>
  <c r="G1587" i="10"/>
  <c r="G1579" i="10"/>
  <c r="G1577" i="10"/>
  <c r="G1231" i="10"/>
  <c r="AO144" i="7"/>
  <c r="AT1344" i="10" s="1"/>
  <c r="AO46" i="7"/>
  <c r="AT1246" i="10" s="1"/>
  <c r="AM277" i="7"/>
  <c r="AR1477" i="10" s="1"/>
  <c r="AM125" i="7"/>
  <c r="AR1325" i="10" s="1"/>
  <c r="BB325" i="7"/>
  <c r="BC325" i="7" s="1"/>
  <c r="AK66" i="7"/>
  <c r="AP1266" i="10" s="1"/>
  <c r="AI66" i="7"/>
  <c r="AN1266" i="10" s="1"/>
  <c r="AH144" i="7"/>
  <c r="AM1344" i="10" s="1"/>
  <c r="AG277" i="7"/>
  <c r="AL1477" i="10" s="1"/>
  <c r="AL1240" i="10"/>
  <c r="AF66" i="7"/>
  <c r="AK1266" i="10" s="1"/>
  <c r="AC158" i="7"/>
  <c r="AH1358" i="10" s="1"/>
  <c r="AC144" i="7"/>
  <c r="AH1344" i="10" s="1"/>
  <c r="AA277" i="7"/>
  <c r="AF1477" i="10" s="1"/>
  <c r="AA125" i="7"/>
  <c r="AF1325" i="10" s="1"/>
  <c r="Z66" i="7"/>
  <c r="Y158" i="7"/>
  <c r="AD1358" i="10" s="1"/>
  <c r="Y46" i="7"/>
  <c r="AD1246" i="10" s="1"/>
  <c r="X256" i="7"/>
  <c r="X253" i="7" s="1"/>
  <c r="AC1453" i="10" s="1"/>
  <c r="X125" i="7"/>
  <c r="AC1325" i="10" s="1"/>
  <c r="W324" i="7"/>
  <c r="W323" i="7" s="1"/>
  <c r="W277" i="7"/>
  <c r="AB1477" i="10" s="1"/>
  <c r="W256" i="7"/>
  <c r="W253" i="7" s="1"/>
  <c r="AB1453" i="10" s="1"/>
  <c r="U144" i="7"/>
  <c r="Z1344" i="10" s="1"/>
  <c r="S256" i="7"/>
  <c r="R256" i="7"/>
  <c r="W1456" i="10" s="1"/>
  <c r="R125" i="7"/>
  <c r="W1325" i="10" s="1"/>
  <c r="U1284" i="10"/>
  <c r="O256" i="7"/>
  <c r="O253" i="7" s="1"/>
  <c r="T1453" i="10" s="1"/>
  <c r="N277" i="7"/>
  <c r="S1477" i="10" s="1"/>
  <c r="N98" i="7"/>
  <c r="S1298" i="10" s="1"/>
  <c r="L158" i="7"/>
  <c r="Q1358" i="10" s="1"/>
  <c r="J324" i="7"/>
  <c r="J323" i="7" s="1"/>
  <c r="O1523" i="10" s="1"/>
  <c r="J125" i="7"/>
  <c r="O1325" i="10" s="1"/>
  <c r="H144" i="7"/>
  <c r="M1344" i="10" s="1"/>
  <c r="G46" i="7"/>
  <c r="L1246" i="10" s="1"/>
  <c r="F98" i="7"/>
  <c r="K1298" i="10" s="1"/>
  <c r="E66" i="7"/>
  <c r="J1266" i="10" s="1"/>
  <c r="AD339" i="26"/>
  <c r="AD253" i="26"/>
  <c r="Y252" i="26"/>
  <c r="AC252" i="26" s="1"/>
  <c r="Y363" i="26"/>
  <c r="AL363" i="26" s="1"/>
  <c r="Y355" i="26"/>
  <c r="AJ1286" i="10"/>
  <c r="Y54" i="26"/>
  <c r="AC54" i="26" s="1"/>
  <c r="AD390" i="26"/>
  <c r="AD269" i="26"/>
  <c r="Y285" i="26"/>
  <c r="AL285" i="26" s="1"/>
  <c r="Y79" i="26"/>
  <c r="AC79" i="26" s="1"/>
  <c r="I312" i="30"/>
  <c r="J312" i="30" s="1"/>
  <c r="K312" i="30" s="1"/>
  <c r="E312" i="30" s="1"/>
  <c r="I273" i="30"/>
  <c r="J183" i="30"/>
  <c r="K183" i="30" s="1"/>
  <c r="E183" i="30" s="1"/>
  <c r="I175" i="30"/>
  <c r="I40" i="30"/>
  <c r="I29" i="30"/>
  <c r="AI1333" i="10"/>
  <c r="Y1354" i="10"/>
  <c r="L1354" i="10"/>
  <c r="Z1526" i="10"/>
  <c r="M462" i="9"/>
  <c r="I44" i="30"/>
  <c r="E156" i="9"/>
  <c r="AH98" i="26"/>
  <c r="AG98" i="26" s="1"/>
  <c r="D481" i="9"/>
  <c r="L481" i="9" s="1"/>
  <c r="D417" i="6"/>
  <c r="L417" i="6" s="1"/>
  <c r="D485" i="9"/>
  <c r="D467" i="6"/>
  <c r="M467" i="6" s="1"/>
  <c r="D483" i="6"/>
  <c r="D456" i="6"/>
  <c r="M456" i="6" s="1"/>
  <c r="D432" i="6"/>
  <c r="L432" i="6" s="1"/>
  <c r="D490" i="6"/>
  <c r="D479" i="6"/>
  <c r="M479" i="6" s="1"/>
  <c r="D460" i="6"/>
  <c r="L460" i="6" s="1"/>
  <c r="D424" i="9"/>
  <c r="N424" i="9" s="1"/>
  <c r="D500" i="6"/>
  <c r="D481" i="6"/>
  <c r="M481" i="6" s="1"/>
  <c r="D471" i="6"/>
  <c r="N471" i="6" s="1"/>
  <c r="D462" i="6"/>
  <c r="D433" i="6"/>
  <c r="N433" i="6" s="1"/>
  <c r="D461" i="9"/>
  <c r="M461" i="9" s="1"/>
  <c r="D426" i="9"/>
  <c r="L426" i="9" s="1"/>
  <c r="D466" i="6"/>
  <c r="M466" i="6" s="1"/>
  <c r="D488" i="9"/>
  <c r="L488" i="9" s="1"/>
  <c r="D475" i="9"/>
  <c r="D464" i="9"/>
  <c r="D470" i="9"/>
  <c r="N470" i="9" s="1"/>
  <c r="D437" i="9"/>
  <c r="N437" i="9" s="1"/>
  <c r="D412" i="9"/>
  <c r="D430" i="9"/>
  <c r="L430" i="9" s="1"/>
  <c r="D488" i="6"/>
  <c r="N488" i="6" s="1"/>
  <c r="D490" i="9"/>
  <c r="D504" i="6"/>
  <c r="D482" i="6"/>
  <c r="D424" i="6"/>
  <c r="D426" i="6"/>
  <c r="M426" i="6" s="1"/>
  <c r="D489" i="6"/>
  <c r="N489" i="6" s="1"/>
  <c r="D478" i="6"/>
  <c r="M478" i="6" s="1"/>
  <c r="D445" i="6"/>
  <c r="D507" i="6"/>
  <c r="D498" i="6"/>
  <c r="D476" i="6"/>
  <c r="N476" i="6" s="1"/>
  <c r="D468" i="6"/>
  <c r="D457" i="6"/>
  <c r="N457" i="6" s="1"/>
  <c r="Y457" i="6" s="1"/>
  <c r="D431" i="6"/>
  <c r="N431" i="6" s="1"/>
  <c r="D451" i="9"/>
  <c r="L451" i="9" s="1"/>
  <c r="D416" i="9"/>
  <c r="D428" i="6"/>
  <c r="D484" i="9"/>
  <c r="D468" i="9"/>
  <c r="L468" i="9" s="1"/>
  <c r="D463" i="9"/>
  <c r="D453" i="9"/>
  <c r="N453" i="9" s="1"/>
  <c r="Y453" i="9" s="1"/>
  <c r="D421" i="9"/>
  <c r="L421" i="9" s="1"/>
  <c r="D418" i="9"/>
  <c r="L418" i="9" s="1"/>
  <c r="D422" i="9"/>
  <c r="D414" i="9"/>
  <c r="AN324" i="7"/>
  <c r="AN323" i="7" s="1"/>
  <c r="AS1523" i="10" s="1"/>
  <c r="AN277" i="7"/>
  <c r="AS1477" i="10" s="1"/>
  <c r="AH324" i="7"/>
  <c r="AH323" i="7" s="1"/>
  <c r="X324" i="7"/>
  <c r="L324" i="7"/>
  <c r="L323" i="7" s="1"/>
  <c r="Q1523" i="10" s="1"/>
  <c r="L277" i="7"/>
  <c r="Q1477" i="10" s="1"/>
  <c r="BB380" i="7"/>
  <c r="BC380" i="7" s="1"/>
  <c r="AZ169" i="7"/>
  <c r="BA169" i="7" s="1"/>
  <c r="I158" i="7"/>
  <c r="N1358" i="10" s="1"/>
  <c r="AZ360" i="7"/>
  <c r="BA360" i="7" s="1"/>
  <c r="AZ312" i="7"/>
  <c r="BA312" i="7" s="1"/>
  <c r="BB289" i="7"/>
  <c r="BC289" i="7" s="1"/>
  <c r="AZ289" i="7"/>
  <c r="BA289" i="7" s="1"/>
  <c r="H277" i="7"/>
  <c r="M1477" i="10" s="1"/>
  <c r="BB153" i="7"/>
  <c r="BC153" i="7" s="1"/>
  <c r="BB100" i="7"/>
  <c r="BC100" i="7" s="1"/>
  <c r="AZ33" i="7"/>
  <c r="BA33" i="7" s="1"/>
  <c r="BB33" i="7"/>
  <c r="BC33" i="7" s="1"/>
  <c r="BB332" i="7"/>
  <c r="BC332" i="7" s="1"/>
  <c r="AZ257" i="7"/>
  <c r="BA257" i="7" s="1"/>
  <c r="E98" i="7"/>
  <c r="AZ106" i="7"/>
  <c r="BA106" i="7" s="1"/>
  <c r="D385" i="10"/>
  <c r="E385" i="9"/>
  <c r="AU272" i="26"/>
  <c r="H272" i="6" s="1"/>
  <c r="AD272" i="6" s="1"/>
  <c r="AM272" i="26"/>
  <c r="Y272" i="27" s="1"/>
  <c r="G272" i="27" s="1"/>
  <c r="D268" i="10"/>
  <c r="AA268" i="26"/>
  <c r="E263" i="9"/>
  <c r="AA263" i="26"/>
  <c r="AF386" i="26"/>
  <c r="AH386" i="26" s="1"/>
  <c r="AG386" i="26" s="1"/>
  <c r="E386" i="10"/>
  <c r="E361" i="6"/>
  <c r="D361" i="10"/>
  <c r="AA361" i="26"/>
  <c r="AF358" i="26"/>
  <c r="AH358" i="26" s="1"/>
  <c r="AG358" i="26" s="1"/>
  <c r="E358" i="10"/>
  <c r="AA357" i="26"/>
  <c r="AJ357" i="26"/>
  <c r="AW357" i="26" s="1"/>
  <c r="AY357" i="26" s="1"/>
  <c r="E226" i="9"/>
  <c r="E226" i="6"/>
  <c r="AA225" i="26"/>
  <c r="AB225" i="26" s="1"/>
  <c r="AJ225" i="26"/>
  <c r="AF214" i="26"/>
  <c r="AN214" i="26" s="1"/>
  <c r="V494" i="26"/>
  <c r="F493" i="26"/>
  <c r="E213" i="10"/>
  <c r="AF213" i="26"/>
  <c r="AN213" i="26" s="1"/>
  <c r="F490" i="26"/>
  <c r="AZ205" i="26"/>
  <c r="BB205" i="26" s="1"/>
  <c r="E489" i="26"/>
  <c r="U489" i="26" s="1"/>
  <c r="AJ203" i="26"/>
  <c r="AW203" i="26" s="1"/>
  <c r="AY203" i="26" s="1"/>
  <c r="AX203" i="26" s="1"/>
  <c r="G1401" i="10"/>
  <c r="M1401" i="10"/>
  <c r="J1401" i="10"/>
  <c r="AA179" i="26"/>
  <c r="E179" i="6"/>
  <c r="AF166" i="26"/>
  <c r="AH166" i="26" s="1"/>
  <c r="E166" i="10"/>
  <c r="AF161" i="26"/>
  <c r="E161" i="10"/>
  <c r="E138" i="9"/>
  <c r="AA138" i="26"/>
  <c r="F456" i="26"/>
  <c r="E112" i="10"/>
  <c r="AF111" i="26"/>
  <c r="AH111" i="26" s="1"/>
  <c r="AG111" i="26" s="1"/>
  <c r="F455" i="26"/>
  <c r="E108" i="6"/>
  <c r="E452" i="26"/>
  <c r="U452" i="26" s="1"/>
  <c r="E107" i="6"/>
  <c r="E450" i="26"/>
  <c r="E436" i="9" s="1"/>
  <c r="AF101" i="26"/>
  <c r="AH101" i="26" s="1"/>
  <c r="AG101" i="26" s="1"/>
  <c r="F447" i="26"/>
  <c r="E95" i="10"/>
  <c r="AF95" i="26"/>
  <c r="AH95" i="26" s="1"/>
  <c r="AG95" i="26" s="1"/>
  <c r="V437" i="26"/>
  <c r="AF78" i="26"/>
  <c r="AH78" i="26" s="1"/>
  <c r="AG78" i="26" s="1"/>
  <c r="AA69" i="26"/>
  <c r="E69" i="6"/>
  <c r="F1250" i="10"/>
  <c r="Y50" i="26"/>
  <c r="AC50" i="26" s="1"/>
  <c r="I64" i="30"/>
  <c r="J64" i="30" s="1"/>
  <c r="K64" i="30" s="1"/>
  <c r="E64" i="30" s="1"/>
  <c r="I371" i="30"/>
  <c r="I367" i="30"/>
  <c r="I359" i="30"/>
  <c r="I264" i="30"/>
  <c r="I260" i="30"/>
  <c r="I233" i="30"/>
  <c r="I218" i="30"/>
  <c r="I214" i="30"/>
  <c r="I206" i="30"/>
  <c r="I186" i="30"/>
  <c r="I182" i="30"/>
  <c r="I178" i="30"/>
  <c r="I174" i="30"/>
  <c r="I162" i="30"/>
  <c r="I143" i="30"/>
  <c r="I135" i="30"/>
  <c r="I119" i="30"/>
  <c r="I111" i="30"/>
  <c r="I107" i="30"/>
  <c r="I103" i="30"/>
  <c r="I99" i="30"/>
  <c r="I95" i="30"/>
  <c r="D354" i="10"/>
  <c r="AA354" i="26"/>
  <c r="I76" i="30"/>
  <c r="J76" i="30" s="1"/>
  <c r="K76" i="30" s="1"/>
  <c r="E76" i="30" s="1"/>
  <c r="J44" i="30"/>
  <c r="K44" i="30" s="1"/>
  <c r="E44" i="30" s="1"/>
  <c r="I32" i="30"/>
  <c r="AR1496" i="10"/>
  <c r="R1333" i="10"/>
  <c r="AT1333" i="10"/>
  <c r="AG1415" i="10"/>
  <c r="AN1354" i="10"/>
  <c r="AB1375" i="10"/>
  <c r="J1526" i="10"/>
  <c r="AG269" i="26"/>
  <c r="X1496" i="10"/>
  <c r="AD1496" i="10"/>
  <c r="U1333" i="10"/>
  <c r="O1415" i="10"/>
  <c r="AS1354" i="10"/>
  <c r="S1375" i="10"/>
  <c r="N1375" i="10"/>
  <c r="AS1375" i="10"/>
  <c r="AA1429" i="10"/>
  <c r="I48" i="30"/>
  <c r="AA156" i="26"/>
  <c r="AO1425" i="10"/>
  <c r="AA1425" i="10"/>
  <c r="AM1425" i="10"/>
  <c r="AF168" i="26"/>
  <c r="AH168" i="26" s="1"/>
  <c r="AG168" i="26" s="1"/>
  <c r="AI1577" i="10"/>
  <c r="X1577" i="10"/>
  <c r="AO1546" i="10"/>
  <c r="AM1546" i="10"/>
  <c r="K1542" i="10"/>
  <c r="AF1542" i="10"/>
  <c r="W1512" i="10"/>
  <c r="AC1512" i="10"/>
  <c r="AK1419" i="10"/>
  <c r="Q1419" i="10"/>
  <c r="V1419" i="10"/>
  <c r="AJ1419" i="10"/>
  <c r="X1367" i="10"/>
  <c r="AK1367" i="10"/>
  <c r="AB1361" i="10"/>
  <c r="Q1361" i="10"/>
  <c r="AA1344" i="10"/>
  <c r="I302" i="30"/>
  <c r="I286" i="30"/>
  <c r="I275" i="30"/>
  <c r="J275" i="30" s="1"/>
  <c r="K275" i="30" s="1"/>
  <c r="E275" i="30" s="1"/>
  <c r="I92" i="30"/>
  <c r="I72" i="30"/>
  <c r="I68" i="30"/>
  <c r="I36" i="30"/>
  <c r="AF1248" i="10"/>
  <c r="AG1420" i="10"/>
  <c r="AB1496" i="10"/>
  <c r="AJ1496" i="10"/>
  <c r="W1496" i="10"/>
  <c r="AS1333" i="10"/>
  <c r="AC1415" i="10"/>
  <c r="Q1415" i="10"/>
  <c r="M1354" i="10"/>
  <c r="AB1354" i="10"/>
  <c r="AR1354" i="10"/>
  <c r="AT1354" i="10"/>
  <c r="P1375" i="10"/>
  <c r="AI1526" i="10"/>
  <c r="S1354" i="10"/>
  <c r="I16" i="30"/>
  <c r="J16" i="30" s="1"/>
  <c r="K16" i="30" s="1"/>
  <c r="E16" i="30" s="1"/>
  <c r="E354" i="9"/>
  <c r="AG1425" i="10"/>
  <c r="G1425" i="10"/>
  <c r="Y1425" i="10"/>
  <c r="M1248" i="10"/>
  <c r="AS1420" i="10"/>
  <c r="AA1496" i="10"/>
  <c r="S1496" i="10"/>
  <c r="O1496" i="10"/>
  <c r="AQ1333" i="10"/>
  <c r="X1333" i="10"/>
  <c r="AO1333" i="10"/>
  <c r="AF1415" i="10"/>
  <c r="W1386" i="10"/>
  <c r="K1354" i="10"/>
  <c r="J1354" i="10"/>
  <c r="AD1354" i="10"/>
  <c r="AF1375" i="10"/>
  <c r="AC1452" i="10"/>
  <c r="AF1429" i="10"/>
  <c r="AR1248" i="10"/>
  <c r="AM1248" i="10"/>
  <c r="AN1463" i="10"/>
  <c r="AG1255" i="10"/>
  <c r="X1255" i="10"/>
  <c r="N1255" i="10"/>
  <c r="R1255" i="10"/>
  <c r="Y1420" i="10"/>
  <c r="Y1496" i="10"/>
  <c r="K1496" i="10"/>
  <c r="R1496" i="10"/>
  <c r="J1496" i="10"/>
  <c r="AJ1333" i="10"/>
  <c r="AP1333" i="10"/>
  <c r="AR1333" i="10"/>
  <c r="U1415" i="10"/>
  <c r="AP1354" i="10"/>
  <c r="Z1354" i="10"/>
  <c r="T1354" i="10"/>
  <c r="AK1354" i="10"/>
  <c r="AO1354" i="10"/>
  <c r="R1452" i="10"/>
  <c r="AH1452" i="10"/>
  <c r="AD1429" i="10"/>
  <c r="AM1429" i="10"/>
  <c r="AT1425" i="10"/>
  <c r="AN1425" i="10"/>
  <c r="O1425" i="10"/>
  <c r="E354" i="6"/>
  <c r="AJ354" i="26"/>
  <c r="AW354" i="26" s="1"/>
  <c r="AY354" i="26" s="1"/>
  <c r="AX354" i="26" s="1"/>
  <c r="I18" i="30"/>
  <c r="J18" i="30" s="1"/>
  <c r="K18" i="30" s="1"/>
  <c r="E18" i="30" s="1"/>
  <c r="D478" i="9"/>
  <c r="D425" i="9"/>
  <c r="M425" i="9" s="1"/>
  <c r="D457" i="9"/>
  <c r="D480" i="9"/>
  <c r="L480" i="9" s="1"/>
  <c r="D495" i="6"/>
  <c r="D427" i="6"/>
  <c r="D491" i="6"/>
  <c r="L491" i="6" s="1"/>
  <c r="D477" i="6"/>
  <c r="N477" i="6" s="1"/>
  <c r="D415" i="6"/>
  <c r="L415" i="6" s="1"/>
  <c r="D473" i="6"/>
  <c r="D493" i="6"/>
  <c r="D454" i="6"/>
  <c r="N454" i="6" s="1"/>
  <c r="Y454" i="6" s="1"/>
  <c r="X1590" i="10"/>
  <c r="AJ1586" i="10"/>
  <c r="S1586" i="10"/>
  <c r="AK1586" i="10"/>
  <c r="AP1586" i="10"/>
  <c r="Y1573" i="10"/>
  <c r="AS1573" i="10"/>
  <c r="AT1553" i="10"/>
  <c r="X1536" i="10"/>
  <c r="AM1536" i="10"/>
  <c r="J1525" i="10"/>
  <c r="AL1525" i="10"/>
  <c r="G1518" i="10"/>
  <c r="AQ1518" i="10"/>
  <c r="U1515" i="10"/>
  <c r="AN1515" i="10"/>
  <c r="V1515" i="10"/>
  <c r="AC1515" i="10"/>
  <c r="AI1499" i="10"/>
  <c r="G1246" i="10"/>
  <c r="Y1246" i="10"/>
  <c r="G1233" i="10"/>
  <c r="O1233" i="10"/>
  <c r="M1233" i="10"/>
  <c r="N1233" i="10"/>
  <c r="V1233" i="10"/>
  <c r="F1331" i="10"/>
  <c r="AT1331" i="10" s="1"/>
  <c r="Y131" i="26"/>
  <c r="AC131" i="26" s="1"/>
  <c r="AJ351" i="26"/>
  <c r="AW351" i="26" s="1"/>
  <c r="AY351" i="26" s="1"/>
  <c r="AA351" i="26"/>
  <c r="E351" i="6"/>
  <c r="AF344" i="26"/>
  <c r="AH344" i="26" s="1"/>
  <c r="AG344" i="26" s="1"/>
  <c r="AZ344" i="26"/>
  <c r="BB344" i="26" s="1"/>
  <c r="AJ334" i="26"/>
  <c r="AW334" i="26" s="1"/>
  <c r="AY334" i="26" s="1"/>
  <c r="AX334" i="26" s="1"/>
  <c r="E334" i="6"/>
  <c r="AA329" i="26"/>
  <c r="AJ329" i="26"/>
  <c r="AW329" i="26" s="1"/>
  <c r="AY329" i="26" s="1"/>
  <c r="AX329" i="26" s="1"/>
  <c r="E329" i="6"/>
  <c r="G1528" i="10"/>
  <c r="F537" i="26"/>
  <c r="AZ320" i="26"/>
  <c r="BB320" i="26" s="1"/>
  <c r="AJ309" i="26"/>
  <c r="AW309" i="26" s="1"/>
  <c r="AY309" i="26" s="1"/>
  <c r="AA309" i="26"/>
  <c r="F533" i="26"/>
  <c r="AF304" i="26"/>
  <c r="AN304" i="26" s="1"/>
  <c r="AF296" i="26"/>
  <c r="AH296" i="26" s="1"/>
  <c r="AG296" i="26" s="1"/>
  <c r="E296" i="10"/>
  <c r="AO1494" i="10"/>
  <c r="T1494" i="10"/>
  <c r="J1494" i="10"/>
  <c r="D291" i="10"/>
  <c r="E291" i="9"/>
  <c r="T1490" i="10"/>
  <c r="AK1490" i="10"/>
  <c r="K1490" i="10"/>
  <c r="G1490" i="10"/>
  <c r="AA283" i="26"/>
  <c r="AJ283" i="26"/>
  <c r="AW283" i="26" s="1"/>
  <c r="AY283" i="26" s="1"/>
  <c r="E267" i="6"/>
  <c r="AA267" i="26"/>
  <c r="E526" i="26"/>
  <c r="U526" i="26" s="1"/>
  <c r="AJ266" i="26"/>
  <c r="AW266" i="26" s="1"/>
  <c r="AY266" i="26" s="1"/>
  <c r="E234" i="6"/>
  <c r="AJ234" i="26"/>
  <c r="AW234" i="26" s="1"/>
  <c r="AY234" i="26" s="1"/>
  <c r="AX234" i="26" s="1"/>
  <c r="AF231" i="26"/>
  <c r="AN231" i="26" s="1"/>
  <c r="E231" i="10"/>
  <c r="E230" i="6"/>
  <c r="D230" i="10"/>
  <c r="I237" i="30"/>
  <c r="J237" i="30" s="1"/>
  <c r="K237" i="30" s="1"/>
  <c r="E237" i="30" s="1"/>
  <c r="I210" i="30"/>
  <c r="J210" i="30" s="1"/>
  <c r="K210" i="30" s="1"/>
  <c r="E210" i="30" s="1"/>
  <c r="I329" i="30"/>
  <c r="I313" i="30"/>
  <c r="AM76" i="26"/>
  <c r="F76" i="9" s="1"/>
  <c r="AM218" i="7"/>
  <c r="AR1418" i="10" s="1"/>
  <c r="AM98" i="7"/>
  <c r="AR1298" i="10" s="1"/>
  <c r="AG98" i="7"/>
  <c r="AL1298" i="10" s="1"/>
  <c r="AJ218" i="7"/>
  <c r="AO1418" i="10" s="1"/>
  <c r="AE98" i="7"/>
  <c r="AA218" i="7"/>
  <c r="AA98" i="7"/>
  <c r="AF1298" i="10" s="1"/>
  <c r="W218" i="7"/>
  <c r="AB1418" i="10" s="1"/>
  <c r="R218" i="7"/>
  <c r="W1418" i="10" s="1"/>
  <c r="J218" i="7"/>
  <c r="O1418" i="10" s="1"/>
  <c r="J98" i="7"/>
  <c r="O1298" i="10" s="1"/>
  <c r="AD312" i="26"/>
  <c r="AD153" i="26"/>
  <c r="Y246" i="26"/>
  <c r="AC246" i="26" s="1"/>
  <c r="Y174" i="26"/>
  <c r="I369" i="30"/>
  <c r="J369" i="30" s="1"/>
  <c r="K369" i="30" s="1"/>
  <c r="E369" i="30" s="1"/>
  <c r="I318" i="30"/>
  <c r="J318" i="30" s="1"/>
  <c r="K318" i="30" s="1"/>
  <c r="E318" i="30" s="1"/>
  <c r="I310" i="30"/>
  <c r="J310" i="30" s="1"/>
  <c r="K310" i="30" s="1"/>
  <c r="E310" i="30" s="1"/>
  <c r="I304" i="30"/>
  <c r="J304" i="30" s="1"/>
  <c r="K304" i="30" s="1"/>
  <c r="E304" i="30" s="1"/>
  <c r="I296" i="30"/>
  <c r="J296" i="30" s="1"/>
  <c r="K296" i="30" s="1"/>
  <c r="E296" i="30" s="1"/>
  <c r="I287" i="30"/>
  <c r="J287" i="30" s="1"/>
  <c r="K287" i="30" s="1"/>
  <c r="E287" i="30" s="1"/>
  <c r="AB480" i="26"/>
  <c r="AX360" i="26"/>
  <c r="AX346" i="26"/>
  <c r="AX325" i="26"/>
  <c r="AM390" i="26"/>
  <c r="Y390" i="27" s="1"/>
  <c r="G390" i="27" s="1"/>
  <c r="AM269" i="26"/>
  <c r="F269" i="6" s="1"/>
  <c r="AA269" i="6" s="1"/>
  <c r="AM96" i="26"/>
  <c r="F96" i="9" s="1"/>
  <c r="AX359" i="26"/>
  <c r="G1583" i="10"/>
  <c r="G1556" i="10"/>
  <c r="G1550" i="10"/>
  <c r="G1542" i="10"/>
  <c r="G1481" i="10"/>
  <c r="G1411" i="10"/>
  <c r="AG438" i="26"/>
  <c r="AH438" i="26" s="1"/>
  <c r="AG429" i="26"/>
  <c r="AH429" i="26" s="1"/>
  <c r="AG530" i="26"/>
  <c r="AJ530" i="26" s="1"/>
  <c r="AG528" i="26"/>
  <c r="AG443" i="26"/>
  <c r="AJ443" i="26" s="1"/>
  <c r="AG437" i="26"/>
  <c r="AJ437" i="26" s="1"/>
  <c r="AG417" i="26"/>
  <c r="AJ417" i="26" s="1"/>
  <c r="AG412" i="26"/>
  <c r="AH412" i="26" s="1"/>
  <c r="Y173" i="26"/>
  <c r="AC173" i="26" s="1"/>
  <c r="AD169" i="26"/>
  <c r="Y154" i="26"/>
  <c r="Y151" i="26"/>
  <c r="AC151" i="26" s="1"/>
  <c r="Y139" i="26"/>
  <c r="AL139" i="26" s="1"/>
  <c r="I303" i="30"/>
  <c r="I295" i="30"/>
  <c r="J295" i="30" s="1"/>
  <c r="K295" i="30" s="1"/>
  <c r="E295" i="30" s="1"/>
  <c r="I280" i="30"/>
  <c r="J280" i="30" s="1"/>
  <c r="K280" i="30" s="1"/>
  <c r="E280" i="30" s="1"/>
  <c r="AG451" i="26"/>
  <c r="AH451" i="26" s="1"/>
  <c r="AD125" i="26"/>
  <c r="Y371" i="26"/>
  <c r="AL371" i="26" s="1"/>
  <c r="Y294" i="26"/>
  <c r="Y229" i="26"/>
  <c r="AL229" i="26" s="1"/>
  <c r="Y201" i="26"/>
  <c r="Y178" i="26"/>
  <c r="AL178" i="26" s="1"/>
  <c r="AM1531" i="10"/>
  <c r="P1531" i="10"/>
  <c r="L1420" i="10"/>
  <c r="AI1420" i="10"/>
  <c r="AJ1420" i="10"/>
  <c r="V1420" i="10"/>
  <c r="T1420" i="10"/>
  <c r="N1386" i="10"/>
  <c r="AH1386" i="10"/>
  <c r="P1235" i="10"/>
  <c r="AT1309" i="10"/>
  <c r="AK1309" i="10"/>
  <c r="L1452" i="10"/>
  <c r="Z1452" i="10"/>
  <c r="AL1452" i="10"/>
  <c r="AN1452" i="10"/>
  <c r="AT1429" i="10"/>
  <c r="AN1429" i="10"/>
  <c r="G1429" i="10"/>
  <c r="AP1429" i="10"/>
  <c r="AO1531" i="10"/>
  <c r="Z1420" i="10"/>
  <c r="M1420" i="10"/>
  <c r="AB1420" i="10"/>
  <c r="AF1420" i="10"/>
  <c r="AG1235" i="10"/>
  <c r="AK1386" i="10"/>
  <c r="Y1309" i="10"/>
  <c r="U1235" i="10"/>
  <c r="AS1309" i="10"/>
  <c r="S1309" i="10"/>
  <c r="K1452" i="10"/>
  <c r="AB1452" i="10"/>
  <c r="T1452" i="10"/>
  <c r="Z1429" i="10"/>
  <c r="R1429" i="10"/>
  <c r="AH1429" i="10"/>
  <c r="O1429" i="10"/>
  <c r="AC1531" i="10"/>
  <c r="Z1531" i="10"/>
  <c r="N1420" i="10"/>
  <c r="AT1420" i="10"/>
  <c r="AM1420" i="10"/>
  <c r="AM1235" i="10"/>
  <c r="AP1309" i="10"/>
  <c r="P1309" i="10"/>
  <c r="AJ1309" i="10"/>
  <c r="S1452" i="10"/>
  <c r="AG1452" i="10"/>
  <c r="AQ1452" i="10"/>
  <c r="AM1452" i="10"/>
  <c r="AS1429" i="10"/>
  <c r="AH189" i="26"/>
  <c r="AG189" i="26" s="1"/>
  <c r="AT1556" i="10"/>
  <c r="AC1545" i="10"/>
  <c r="P1541" i="10"/>
  <c r="AH1530" i="10"/>
  <c r="AC1528" i="10"/>
  <c r="N1508" i="10"/>
  <c r="AB1493" i="10"/>
  <c r="AQ1488" i="10"/>
  <c r="AS1480" i="10"/>
  <c r="AS1465" i="10"/>
  <c r="AO1436" i="10"/>
  <c r="AK1426" i="10"/>
  <c r="AM1422" i="10"/>
  <c r="Z1345" i="10"/>
  <c r="AI1342" i="10"/>
  <c r="AA1287" i="10"/>
  <c r="M1274" i="10"/>
  <c r="R1268" i="10"/>
  <c r="O1245" i="10"/>
  <c r="M1224" i="10"/>
  <c r="J1213" i="10"/>
  <c r="Y215" i="26"/>
  <c r="I189" i="6"/>
  <c r="H145" i="9"/>
  <c r="Y109" i="26"/>
  <c r="AG525" i="26"/>
  <c r="AG444" i="26"/>
  <c r="AJ444" i="26" s="1"/>
  <c r="AG431" i="26"/>
  <c r="AQ431" i="26" s="1"/>
  <c r="AR431" i="26" s="1"/>
  <c r="AG430" i="26"/>
  <c r="AH430" i="26" s="1"/>
  <c r="AG426" i="26"/>
  <c r="AH426" i="26" s="1"/>
  <c r="AD158" i="26"/>
  <c r="Y156" i="26"/>
  <c r="AC156" i="26" s="1"/>
  <c r="Y305" i="26"/>
  <c r="AL305" i="26" s="1"/>
  <c r="I382" i="30"/>
  <c r="J382" i="30" s="1"/>
  <c r="K382" i="30" s="1"/>
  <c r="E382" i="30" s="1"/>
  <c r="I372" i="30"/>
  <c r="J372" i="30" s="1"/>
  <c r="K372" i="30" s="1"/>
  <c r="E372" i="30" s="1"/>
  <c r="G1526" i="10"/>
  <c r="AN125" i="7"/>
  <c r="AS1325" i="10" s="1"/>
  <c r="AL158" i="7"/>
  <c r="AQ1358" i="10" s="1"/>
  <c r="AL66" i="7"/>
  <c r="AJ256" i="7"/>
  <c r="AJ253" i="7" s="1"/>
  <c r="AO1453" i="10" s="1"/>
  <c r="AJ158" i="7"/>
  <c r="AO1358" i="10" s="1"/>
  <c r="AJ66" i="7"/>
  <c r="AI144" i="7"/>
  <c r="AN1344" i="10" s="1"/>
  <c r="AH256" i="7"/>
  <c r="AH253" i="7" s="1"/>
  <c r="AM1453" i="10" s="1"/>
  <c r="AH125" i="7"/>
  <c r="AM1325" i="10" s="1"/>
  <c r="AF158" i="7"/>
  <c r="AK1358" i="10" s="1"/>
  <c r="AD158" i="7"/>
  <c r="AI1358" i="10" s="1"/>
  <c r="AD66" i="7"/>
  <c r="AI1266" i="10" s="1"/>
  <c r="AC46" i="7"/>
  <c r="AH1246" i="10" s="1"/>
  <c r="AB125" i="7"/>
  <c r="AG1325" i="10" s="1"/>
  <c r="Y144" i="7"/>
  <c r="AD1344" i="10" s="1"/>
  <c r="V158" i="7"/>
  <c r="AA1358" i="10" s="1"/>
  <c r="U46" i="7"/>
  <c r="Z1246" i="10" s="1"/>
  <c r="S125" i="7"/>
  <c r="P144" i="7"/>
  <c r="U1344" i="10" s="1"/>
  <c r="P46" i="7"/>
  <c r="U1246" i="10" s="1"/>
  <c r="O125" i="7"/>
  <c r="T1325" i="10" s="1"/>
  <c r="M158" i="7"/>
  <c r="R1358" i="10" s="1"/>
  <c r="M66" i="7"/>
  <c r="L144" i="7"/>
  <c r="Q1344" i="10" s="1"/>
  <c r="K256" i="7"/>
  <c r="P1456" i="10" s="1"/>
  <c r="K125" i="7"/>
  <c r="I66" i="7"/>
  <c r="N1266" i="10" s="1"/>
  <c r="AD360" i="26"/>
  <c r="AD332" i="26"/>
  <c r="AD324" i="26"/>
  <c r="AD299" i="26"/>
  <c r="Y268" i="26"/>
  <c r="AC268" i="26" s="1"/>
  <c r="Y263" i="26"/>
  <c r="AC263" i="26" s="1"/>
  <c r="AD256" i="26"/>
  <c r="W256" i="27" s="1"/>
  <c r="E256" i="27" s="1"/>
  <c r="AD189" i="26"/>
  <c r="AD76" i="26"/>
  <c r="AD33" i="26"/>
  <c r="Y254" i="26"/>
  <c r="Y247" i="26"/>
  <c r="AL247" i="26" s="1"/>
  <c r="Y176" i="26"/>
  <c r="AL176" i="26" s="1"/>
  <c r="H132" i="6"/>
  <c r="AD132" i="6" s="1"/>
  <c r="Y130" i="26"/>
  <c r="AL130" i="26" s="1"/>
  <c r="Y129" i="26"/>
  <c r="AC129" i="26" s="1"/>
  <c r="H118" i="6"/>
  <c r="AD118" i="6" s="1"/>
  <c r="Y113" i="26"/>
  <c r="AC113" i="26" s="1"/>
  <c r="H83" i="6"/>
  <c r="AD83" i="6" s="1"/>
  <c r="H75" i="6"/>
  <c r="AD75" i="6" s="1"/>
  <c r="AG418" i="26"/>
  <c r="AJ418" i="26" s="1"/>
  <c r="Y385" i="26"/>
  <c r="AL385" i="26" s="1"/>
  <c r="AD367" i="26"/>
  <c r="W1356" i="10"/>
  <c r="X1356" i="10"/>
  <c r="AG1356" i="10"/>
  <c r="R1356" i="10"/>
  <c r="AN1356" i="10"/>
  <c r="AS1356" i="10"/>
  <c r="AK1356" i="10"/>
  <c r="AP1378" i="10"/>
  <c r="K1378" i="10"/>
  <c r="AD1378" i="10"/>
  <c r="G1378" i="10"/>
  <c r="S1378" i="10"/>
  <c r="Y1378" i="10"/>
  <c r="AS1378" i="10"/>
  <c r="U1378" i="10"/>
  <c r="AJ1378" i="10"/>
  <c r="AI1378" i="10"/>
  <c r="J1378" i="10"/>
  <c r="AO1378" i="10"/>
  <c r="L1378" i="10"/>
  <c r="AN1378" i="10"/>
  <c r="AQ442" i="26"/>
  <c r="AC1348" i="10"/>
  <c r="N1348" i="10"/>
  <c r="AQ1348" i="10"/>
  <c r="G1348" i="10"/>
  <c r="M1348" i="10"/>
  <c r="AF338" i="26"/>
  <c r="AH338" i="26" s="1"/>
  <c r="AZ338" i="26"/>
  <c r="BB338" i="26" s="1"/>
  <c r="E338" i="10"/>
  <c r="AS423" i="26"/>
  <c r="AS441" i="26"/>
  <c r="AD1356" i="10"/>
  <c r="J1356" i="10"/>
  <c r="N1585" i="10"/>
  <c r="AF1585" i="10"/>
  <c r="AG1585" i="10"/>
  <c r="K1563" i="10"/>
  <c r="G1563" i="10"/>
  <c r="N1563" i="10"/>
  <c r="AC1563" i="10"/>
  <c r="G1370" i="10"/>
  <c r="AH1370" i="10"/>
  <c r="AT1370" i="10"/>
  <c r="P1370" i="10"/>
  <c r="R1370" i="10"/>
  <c r="Z1370" i="10"/>
  <c r="M1376" i="10"/>
  <c r="T1376" i="10"/>
  <c r="G1533" i="10"/>
  <c r="Y1533" i="10"/>
  <c r="AQ1533" i="10"/>
  <c r="AJ1533" i="10"/>
  <c r="AJ1429" i="10"/>
  <c r="AR1429" i="10"/>
  <c r="AK1429" i="10"/>
  <c r="AG1429" i="10"/>
  <c r="L1578" i="10"/>
  <c r="AK1578" i="10"/>
  <c r="U1526" i="10"/>
  <c r="P1526" i="10"/>
  <c r="AP1526" i="10"/>
  <c r="AS1506" i="10"/>
  <c r="AC1469" i="10"/>
  <c r="W1469" i="10"/>
  <c r="P1376" i="10"/>
  <c r="AN1370" i="10"/>
  <c r="W1370" i="10"/>
  <c r="AD1301" i="10"/>
  <c r="AJ1257" i="10"/>
  <c r="AR1257" i="10"/>
  <c r="AM1257" i="10"/>
  <c r="M1255" i="10"/>
  <c r="AB1255" i="10"/>
  <c r="J1255" i="10"/>
  <c r="AP1255" i="10"/>
  <c r="S1255" i="10"/>
  <c r="K1255" i="10"/>
  <c r="J122" i="30"/>
  <c r="K122" i="30" s="1"/>
  <c r="E122" i="30" s="1"/>
  <c r="L1329" i="10"/>
  <c r="F217" i="9"/>
  <c r="AG502" i="26"/>
  <c r="AH502" i="26" s="1"/>
  <c r="AG452" i="26"/>
  <c r="AJ452" i="26" s="1"/>
  <c r="AG436" i="26"/>
  <c r="AJ436" i="26" s="1"/>
  <c r="AG434" i="26"/>
  <c r="AH434" i="26" s="1"/>
  <c r="AG432" i="26"/>
  <c r="AQ432" i="26" s="1"/>
  <c r="AR432" i="26" s="1"/>
  <c r="AG427" i="26"/>
  <c r="AQ427" i="26" s="1"/>
  <c r="AR427" i="26" s="1"/>
  <c r="AG419" i="26"/>
  <c r="AJ419" i="26" s="1"/>
  <c r="AG415" i="26"/>
  <c r="AQ415" i="26" s="1"/>
  <c r="AR415" i="26" s="1"/>
  <c r="AG538" i="26"/>
  <c r="AG533" i="26"/>
  <c r="AQ533" i="26" s="1"/>
  <c r="AR533" i="26" s="1"/>
  <c r="AG531" i="26"/>
  <c r="AJ531" i="26" s="1"/>
  <c r="AG527" i="26"/>
  <c r="AQ527" i="26" s="1"/>
  <c r="AR527" i="26" s="1"/>
  <c r="AO158" i="7"/>
  <c r="AT1358" i="10" s="1"/>
  <c r="AO66" i="7"/>
  <c r="AN66" i="7"/>
  <c r="AS1266" i="10" s="1"/>
  <c r="AM256" i="7"/>
  <c r="AM253" i="7" s="1"/>
  <c r="AR1453" i="10" s="1"/>
  <c r="AM144" i="7"/>
  <c r="AR1344" i="10" s="1"/>
  <c r="AM46" i="7"/>
  <c r="AL277" i="7"/>
  <c r="AQ1477" i="10" s="1"/>
  <c r="AL256" i="7"/>
  <c r="AL253" i="7" s="1"/>
  <c r="AQ1453" i="10" s="1"/>
  <c r="AL218" i="7"/>
  <c r="AQ1418" i="10" s="1"/>
  <c r="AL125" i="7"/>
  <c r="AQ1325" i="10" s="1"/>
  <c r="AK158" i="7"/>
  <c r="AP1358" i="10" s="1"/>
  <c r="AJ125" i="7"/>
  <c r="AO1325" i="10" s="1"/>
  <c r="AI158" i="7"/>
  <c r="AH158" i="7"/>
  <c r="AM1358" i="10" s="1"/>
  <c r="AH66" i="7"/>
  <c r="AM1266" i="10" s="1"/>
  <c r="AH46" i="7"/>
  <c r="AM1246" i="10" s="1"/>
  <c r="AG144" i="7"/>
  <c r="AF324" i="7"/>
  <c r="AF323" i="7" s="1"/>
  <c r="AK1523" i="10" s="1"/>
  <c r="AF277" i="7"/>
  <c r="AK1477" i="10" s="1"/>
  <c r="AF256" i="7"/>
  <c r="AF125" i="7"/>
  <c r="J42" i="30"/>
  <c r="K42" i="30" s="1"/>
  <c r="E42" i="30" s="1"/>
  <c r="I355" i="30"/>
  <c r="J355" i="30" s="1"/>
  <c r="K355" i="30" s="1"/>
  <c r="E355" i="30" s="1"/>
  <c r="I297" i="30"/>
  <c r="J297" i="30" s="1"/>
  <c r="K297" i="30" s="1"/>
  <c r="E297" i="30" s="1"/>
  <c r="I265" i="30"/>
  <c r="J265" i="30" s="1"/>
  <c r="K265" i="30" s="1"/>
  <c r="E265" i="30" s="1"/>
  <c r="I202" i="30"/>
  <c r="J202" i="30" s="1"/>
  <c r="K202" i="30" s="1"/>
  <c r="E202" i="30" s="1"/>
  <c r="I74" i="30"/>
  <c r="J74" i="30" s="1"/>
  <c r="K74" i="30" s="1"/>
  <c r="E74" i="30" s="1"/>
  <c r="J8" i="30"/>
  <c r="K8" i="30" s="1"/>
  <c r="E8" i="30" s="1"/>
  <c r="AE144" i="7"/>
  <c r="AJ1344" i="10" s="1"/>
  <c r="AE125" i="7"/>
  <c r="AJ1325" i="10" s="1"/>
  <c r="AE46" i="7"/>
  <c r="AD324" i="7"/>
  <c r="AI1524" i="10" s="1"/>
  <c r="AD277" i="7"/>
  <c r="AI1477" i="10" s="1"/>
  <c r="AD256" i="7"/>
  <c r="AD253" i="7" s="1"/>
  <c r="AI1453" i="10" s="1"/>
  <c r="AD218" i="7"/>
  <c r="AI1418" i="10" s="1"/>
  <c r="AD98" i="7"/>
  <c r="AI1298" i="10" s="1"/>
  <c r="AC66" i="7"/>
  <c r="AB158" i="7"/>
  <c r="AG1358" i="10" s="1"/>
  <c r="AB66" i="7"/>
  <c r="AB46" i="7"/>
  <c r="AG1246" i="10" s="1"/>
  <c r="AA256" i="7"/>
  <c r="AF1456" i="10" s="1"/>
  <c r="AA46" i="7"/>
  <c r="Z218" i="7"/>
  <c r="AE1418" i="10" s="1"/>
  <c r="Z125" i="7"/>
  <c r="AE1325" i="10" s="1"/>
  <c r="Z98" i="7"/>
  <c r="X144" i="7"/>
  <c r="AC1344" i="10" s="1"/>
  <c r="X66" i="7"/>
  <c r="AC1266" i="10" s="1"/>
  <c r="X46" i="7"/>
  <c r="AC1246" i="10" s="1"/>
  <c r="W125" i="7"/>
  <c r="AB1325" i="10" s="1"/>
  <c r="W46" i="7"/>
  <c r="AB1246" i="10" s="1"/>
  <c r="V324" i="7"/>
  <c r="V323" i="7" s="1"/>
  <c r="AA1523" i="10" s="1"/>
  <c r="V256" i="7"/>
  <c r="V253" i="7" s="1"/>
  <c r="AA1453" i="10" s="1"/>
  <c r="V218" i="7"/>
  <c r="AA1418" i="10" s="1"/>
  <c r="V125" i="7"/>
  <c r="AA1325" i="10" s="1"/>
  <c r="V98" i="7"/>
  <c r="U66" i="7"/>
  <c r="Z1266" i="10" s="1"/>
  <c r="S158" i="7"/>
  <c r="S144" i="7"/>
  <c r="X1344" i="10" s="1"/>
  <c r="S46" i="7"/>
  <c r="X1246" i="10" s="1"/>
  <c r="R144" i="7"/>
  <c r="W1344" i="10" s="1"/>
  <c r="Q324" i="7"/>
  <c r="Q277" i="7"/>
  <c r="V1477" i="10" s="1"/>
  <c r="Q218" i="7"/>
  <c r="V1418" i="10" s="1"/>
  <c r="Q125" i="7"/>
  <c r="V1325" i="10" s="1"/>
  <c r="Q98" i="7"/>
  <c r="P66" i="7"/>
  <c r="U1266" i="10" s="1"/>
  <c r="O144" i="7"/>
  <c r="O66" i="7"/>
  <c r="O46" i="7"/>
  <c r="T1246" i="10" s="1"/>
  <c r="N125" i="7"/>
  <c r="S1325" i="10" s="1"/>
  <c r="N46" i="7"/>
  <c r="M324" i="7"/>
  <c r="M323" i="7" s="1"/>
  <c r="R1523" i="10" s="1"/>
  <c r="M277" i="7"/>
  <c r="R1477" i="10" s="1"/>
  <c r="M218" i="7"/>
  <c r="R1418" i="10" s="1"/>
  <c r="M98" i="7"/>
  <c r="K158" i="7"/>
  <c r="P1358" i="10" s="1"/>
  <c r="K144" i="7"/>
  <c r="P1344" i="10" s="1"/>
  <c r="K46" i="7"/>
  <c r="P1246" i="10" s="1"/>
  <c r="J256" i="7"/>
  <c r="J144" i="7"/>
  <c r="O1344" i="10" s="1"/>
  <c r="I277" i="7"/>
  <c r="N1477" i="10" s="1"/>
  <c r="F144" i="7"/>
  <c r="K1344" i="10" s="1"/>
  <c r="AD346" i="26"/>
  <c r="AP338" i="26"/>
  <c r="AO338" i="26" s="1"/>
  <c r="AD318" i="26"/>
  <c r="F318" i="10" s="1"/>
  <c r="AD302" i="26"/>
  <c r="G1467" i="10"/>
  <c r="AJ1430" i="10"/>
  <c r="AM1242" i="10"/>
  <c r="J162" i="30"/>
  <c r="K162" i="30" s="1"/>
  <c r="E162" i="30" s="1"/>
  <c r="AD277" i="26"/>
  <c r="AD100" i="26"/>
  <c r="AD46" i="26"/>
  <c r="AD40" i="26"/>
  <c r="Y39" i="26"/>
  <c r="Y387" i="26"/>
  <c r="AL387" i="26" s="1"/>
  <c r="Y377" i="26"/>
  <c r="Y336" i="26"/>
  <c r="Y227" i="26"/>
  <c r="Y102" i="26"/>
  <c r="Y101" i="26"/>
  <c r="Y37" i="26"/>
  <c r="AL37" i="26" s="1"/>
  <c r="Y30" i="26"/>
  <c r="Z455" i="26"/>
  <c r="I347" i="30"/>
  <c r="J347" i="30" s="1"/>
  <c r="K347" i="30" s="1"/>
  <c r="E347" i="30" s="1"/>
  <c r="I323" i="30"/>
  <c r="J323" i="30" s="1"/>
  <c r="K323" i="30" s="1"/>
  <c r="E323" i="30" s="1"/>
  <c r="I380" i="30"/>
  <c r="J380" i="30" s="1"/>
  <c r="K380" i="30" s="1"/>
  <c r="E380" i="30" s="1"/>
  <c r="I374" i="30"/>
  <c r="J374" i="30" s="1"/>
  <c r="K374" i="30" s="1"/>
  <c r="E374" i="30" s="1"/>
  <c r="I362" i="30"/>
  <c r="J362" i="30" s="1"/>
  <c r="K362" i="30" s="1"/>
  <c r="E362" i="30" s="1"/>
  <c r="I316" i="30"/>
  <c r="J316" i="30" s="1"/>
  <c r="K316" i="30" s="1"/>
  <c r="E316" i="30" s="1"/>
  <c r="I311" i="30"/>
  <c r="J311" i="30" s="1"/>
  <c r="K311" i="30" s="1"/>
  <c r="E311" i="30" s="1"/>
  <c r="I289" i="30"/>
  <c r="J289" i="30" s="1"/>
  <c r="K289" i="30" s="1"/>
  <c r="E289" i="30" s="1"/>
  <c r="I279" i="30"/>
  <c r="J279" i="30" s="1"/>
  <c r="K279" i="30" s="1"/>
  <c r="E279" i="30" s="1"/>
  <c r="I253" i="30"/>
  <c r="J253" i="30" s="1"/>
  <c r="K253" i="30" s="1"/>
  <c r="E253" i="30" s="1"/>
  <c r="I249" i="30"/>
  <c r="J249" i="30" s="1"/>
  <c r="K249" i="30" s="1"/>
  <c r="E249" i="30" s="1"/>
  <c r="I134" i="30"/>
  <c r="I80" i="30"/>
  <c r="I77" i="30"/>
  <c r="J77" i="30" s="1"/>
  <c r="K77" i="30" s="1"/>
  <c r="E77" i="30" s="1"/>
  <c r="J129" i="30"/>
  <c r="K129" i="30" s="1"/>
  <c r="E129" i="30" s="1"/>
  <c r="G1368" i="10"/>
  <c r="I343" i="30"/>
  <c r="J343" i="30" s="1"/>
  <c r="K343" i="30" s="1"/>
  <c r="E343" i="30" s="1"/>
  <c r="I361" i="30"/>
  <c r="J361" i="30" s="1"/>
  <c r="K361" i="30" s="1"/>
  <c r="E361" i="30" s="1"/>
  <c r="I288" i="30"/>
  <c r="J288" i="30" s="1"/>
  <c r="K288" i="30" s="1"/>
  <c r="E288" i="30" s="1"/>
  <c r="I256" i="30"/>
  <c r="J256" i="30" s="1"/>
  <c r="K256" i="30" s="1"/>
  <c r="E256" i="30" s="1"/>
  <c r="J180" i="30"/>
  <c r="K180" i="30" s="1"/>
  <c r="E180" i="30" s="1"/>
  <c r="I166" i="30"/>
  <c r="J166" i="30" s="1"/>
  <c r="K166" i="30" s="1"/>
  <c r="E166" i="30" s="1"/>
  <c r="I141" i="30"/>
  <c r="J141" i="30" s="1"/>
  <c r="K141" i="30" s="1"/>
  <c r="E141" i="30" s="1"/>
  <c r="I84" i="30"/>
  <c r="J84" i="30" s="1"/>
  <c r="K84" i="30" s="1"/>
  <c r="E84" i="30" s="1"/>
  <c r="I38" i="30"/>
  <c r="J38" i="30" s="1"/>
  <c r="K38" i="30" s="1"/>
  <c r="E38" i="30" s="1"/>
  <c r="I365" i="30"/>
  <c r="I349" i="30"/>
  <c r="I34" i="30"/>
  <c r="I328" i="30"/>
  <c r="I344" i="30"/>
  <c r="J344" i="30" s="1"/>
  <c r="K344" i="30" s="1"/>
  <c r="E344" i="30" s="1"/>
  <c r="I368" i="30"/>
  <c r="J368" i="30" s="1"/>
  <c r="K368" i="30" s="1"/>
  <c r="E368" i="30" s="1"/>
  <c r="I15" i="30"/>
  <c r="J15" i="30" s="1"/>
  <c r="K15" i="30" s="1"/>
  <c r="E15" i="30" s="1"/>
  <c r="I238" i="30"/>
  <c r="J238" i="30" s="1"/>
  <c r="K238" i="30" s="1"/>
  <c r="E238" i="30" s="1"/>
  <c r="I245" i="30"/>
  <c r="J245" i="30" s="1"/>
  <c r="K245" i="30" s="1"/>
  <c r="E245" i="30" s="1"/>
  <c r="I325" i="30"/>
  <c r="J325" i="30" s="1"/>
  <c r="K325" i="30" s="1"/>
  <c r="E325" i="30" s="1"/>
  <c r="I381" i="30"/>
  <c r="J381" i="30" s="1"/>
  <c r="K381" i="30" s="1"/>
  <c r="E381" i="30" s="1"/>
  <c r="I373" i="30"/>
  <c r="J373" i="30" s="1"/>
  <c r="K373" i="30" s="1"/>
  <c r="E373" i="30" s="1"/>
  <c r="I194" i="30"/>
  <c r="J194" i="30" s="1"/>
  <c r="K194" i="30" s="1"/>
  <c r="E194" i="30" s="1"/>
  <c r="I130" i="30"/>
  <c r="I123" i="30"/>
  <c r="I98" i="30"/>
  <c r="J98" i="30" s="1"/>
  <c r="K98" i="30" s="1"/>
  <c r="E98" i="30" s="1"/>
  <c r="I66" i="30"/>
  <c r="J66" i="30" s="1"/>
  <c r="K66" i="30" s="1"/>
  <c r="E66" i="30" s="1"/>
  <c r="I14" i="30"/>
  <c r="I327" i="30"/>
  <c r="J327" i="30" s="1"/>
  <c r="K327" i="30" s="1"/>
  <c r="E327" i="30" s="1"/>
  <c r="I333" i="30"/>
  <c r="J333" i="30" s="1"/>
  <c r="K333" i="30" s="1"/>
  <c r="E333" i="30" s="1"/>
  <c r="I341" i="30"/>
  <c r="J341" i="30" s="1"/>
  <c r="K341" i="30" s="1"/>
  <c r="E341" i="30" s="1"/>
  <c r="I384" i="30"/>
  <c r="J384" i="30" s="1"/>
  <c r="K384" i="30" s="1"/>
  <c r="E384" i="30" s="1"/>
  <c r="I376" i="30"/>
  <c r="J376" i="30" s="1"/>
  <c r="K376" i="30" s="1"/>
  <c r="E376" i="30" s="1"/>
  <c r="I240" i="30"/>
  <c r="J240" i="30" s="1"/>
  <c r="K240" i="30" s="1"/>
  <c r="E240" i="30" s="1"/>
  <c r="I215" i="30"/>
  <c r="J215" i="30" s="1"/>
  <c r="K215" i="30" s="1"/>
  <c r="E215" i="30" s="1"/>
  <c r="I183" i="30"/>
  <c r="I152" i="30"/>
  <c r="J152" i="30" s="1"/>
  <c r="K152" i="30" s="1"/>
  <c r="E152" i="30" s="1"/>
  <c r="I97" i="30"/>
  <c r="J97" i="30" s="1"/>
  <c r="K97" i="30" s="1"/>
  <c r="E97" i="30" s="1"/>
  <c r="I65" i="30"/>
  <c r="J65" i="30" s="1"/>
  <c r="K65" i="30" s="1"/>
  <c r="E65" i="30" s="1"/>
  <c r="I345" i="30"/>
  <c r="J345" i="30"/>
  <c r="K345" i="30" s="1"/>
  <c r="E345" i="30" s="1"/>
  <c r="I321" i="30"/>
  <c r="I59" i="30"/>
  <c r="J59" i="30" s="1"/>
  <c r="K59" i="30" s="1"/>
  <c r="E59" i="30" s="1"/>
  <c r="I212" i="30"/>
  <c r="J212" i="30" s="1"/>
  <c r="K212" i="30" s="1"/>
  <c r="E212" i="30" s="1"/>
  <c r="I180" i="30"/>
  <c r="I335" i="30"/>
  <c r="I336" i="30"/>
  <c r="J336" i="30" s="1"/>
  <c r="K336" i="30" s="1"/>
  <c r="E336" i="30" s="1"/>
  <c r="I352" i="30"/>
  <c r="I28" i="30"/>
  <c r="J28" i="30" s="1"/>
  <c r="K28" i="30" s="1"/>
  <c r="E28" i="30" s="1"/>
  <c r="I320" i="30"/>
  <c r="I56" i="30"/>
  <c r="J56" i="30" s="1"/>
  <c r="K56" i="30" s="1"/>
  <c r="E56" i="30" s="1"/>
  <c r="I52" i="30"/>
  <c r="J52" i="30" s="1"/>
  <c r="K52" i="30" s="1"/>
  <c r="E52" i="30" s="1"/>
  <c r="I244" i="30"/>
  <c r="J244" i="30" s="1"/>
  <c r="K244" i="30" s="1"/>
  <c r="E244" i="30" s="1"/>
  <c r="I319" i="30"/>
  <c r="I55" i="30"/>
  <c r="J55" i="30" s="1"/>
  <c r="K55" i="30" s="1"/>
  <c r="E55" i="30" s="1"/>
  <c r="I8" i="30"/>
  <c r="I383" i="30"/>
  <c r="J383" i="30" s="1"/>
  <c r="K383" i="30" s="1"/>
  <c r="E383" i="30" s="1"/>
  <c r="I375" i="30"/>
  <c r="J375" i="30" s="1"/>
  <c r="K375" i="30" s="1"/>
  <c r="E375" i="30" s="1"/>
  <c r="I360" i="30"/>
  <c r="J360" i="30" s="1"/>
  <c r="K360" i="30" s="1"/>
  <c r="E360" i="30" s="1"/>
  <c r="I357" i="30"/>
  <c r="J357" i="30" s="1"/>
  <c r="K357" i="30" s="1"/>
  <c r="E357" i="30" s="1"/>
  <c r="I317" i="30"/>
  <c r="J317" i="30" s="1"/>
  <c r="K317" i="30" s="1"/>
  <c r="E317" i="30" s="1"/>
  <c r="I309" i="30"/>
  <c r="J309" i="30" s="1"/>
  <c r="K309" i="30" s="1"/>
  <c r="E309" i="30" s="1"/>
  <c r="I301" i="30"/>
  <c r="J301" i="30" s="1"/>
  <c r="K301" i="30" s="1"/>
  <c r="E301" i="30" s="1"/>
  <c r="I293" i="30"/>
  <c r="J293" i="30" s="1"/>
  <c r="K293" i="30" s="1"/>
  <c r="E293" i="30" s="1"/>
  <c r="I285" i="30"/>
  <c r="J285" i="30" s="1"/>
  <c r="K285" i="30" s="1"/>
  <c r="E285" i="30" s="1"/>
  <c r="I277" i="30"/>
  <c r="J277" i="30" s="1"/>
  <c r="K277" i="30" s="1"/>
  <c r="E277" i="30" s="1"/>
  <c r="I269" i="30"/>
  <c r="J269" i="30" s="1"/>
  <c r="K269" i="30" s="1"/>
  <c r="E269" i="30" s="1"/>
  <c r="I261" i="30"/>
  <c r="J261" i="30" s="1"/>
  <c r="K261" i="30" s="1"/>
  <c r="E261" i="30" s="1"/>
  <c r="I229" i="30"/>
  <c r="J229" i="30" s="1"/>
  <c r="K229" i="30" s="1"/>
  <c r="E229" i="30" s="1"/>
  <c r="I225" i="30"/>
  <c r="J225" i="30" s="1"/>
  <c r="K225" i="30" s="1"/>
  <c r="E225" i="30" s="1"/>
  <c r="I193" i="30"/>
  <c r="J193" i="30" s="1"/>
  <c r="K193" i="30" s="1"/>
  <c r="E193" i="30" s="1"/>
  <c r="I148" i="30"/>
  <c r="J148" i="30" s="1"/>
  <c r="K148" i="30" s="1"/>
  <c r="E148" i="30" s="1"/>
  <c r="I129" i="30"/>
  <c r="I116" i="30"/>
  <c r="J116" i="30" s="1"/>
  <c r="K116" i="30" s="1"/>
  <c r="E116" i="30" s="1"/>
  <c r="I88" i="30"/>
  <c r="J88" i="30" s="1"/>
  <c r="K88" i="30" s="1"/>
  <c r="E88" i="30" s="1"/>
  <c r="I69" i="30"/>
  <c r="J69" i="30" s="1"/>
  <c r="K69" i="30" s="1"/>
  <c r="E69" i="30" s="1"/>
  <c r="I37" i="30"/>
  <c r="AF345" i="26"/>
  <c r="AH345" i="26" s="1"/>
  <c r="AG345" i="26" s="1"/>
  <c r="AZ345" i="26"/>
  <c r="BB345" i="26" s="1"/>
  <c r="AJ331" i="26"/>
  <c r="AW331" i="26" s="1"/>
  <c r="AY331" i="26" s="1"/>
  <c r="AX331" i="26" s="1"/>
  <c r="D331" i="10"/>
  <c r="E331" i="9"/>
  <c r="D252" i="10"/>
  <c r="E252" i="9"/>
  <c r="E252" i="6"/>
  <c r="E241" i="10"/>
  <c r="AF241" i="26"/>
  <c r="AH241" i="26" s="1"/>
  <c r="AG241" i="26" s="1"/>
  <c r="AZ241" i="26"/>
  <c r="BB241" i="26" s="1"/>
  <c r="F1352" i="10"/>
  <c r="Y152" i="26"/>
  <c r="AZ141" i="26"/>
  <c r="BB141" i="26" s="1"/>
  <c r="AF141" i="26"/>
  <c r="AH141" i="26" s="1"/>
  <c r="AG141" i="26" s="1"/>
  <c r="E141" i="10"/>
  <c r="AA136" i="26"/>
  <c r="D136" i="10"/>
  <c r="E136" i="6"/>
  <c r="E65" i="9"/>
  <c r="AA65" i="26"/>
  <c r="E65" i="6"/>
  <c r="D65" i="10"/>
  <c r="E55" i="10"/>
  <c r="AZ55" i="26"/>
  <c r="BB55" i="26" s="1"/>
  <c r="AF55" i="26"/>
  <c r="AH55" i="26" s="1"/>
  <c r="AG55" i="26" s="1"/>
  <c r="E45" i="6"/>
  <c r="E45" i="9"/>
  <c r="D45" i="10"/>
  <c r="AA19" i="26"/>
  <c r="E19" i="9"/>
  <c r="E19" i="6"/>
  <c r="F1589" i="10"/>
  <c r="K1589" i="10" s="1"/>
  <c r="Y389" i="26"/>
  <c r="AF387" i="26"/>
  <c r="AZ387" i="26"/>
  <c r="BB387" i="26" s="1"/>
  <c r="AA386" i="26"/>
  <c r="AJ386" i="26"/>
  <c r="E386" i="6"/>
  <c r="E386" i="9"/>
  <c r="F1584" i="10"/>
  <c r="AH1584" i="10" s="1"/>
  <c r="Y384" i="26"/>
  <c r="AB384" i="26" s="1"/>
  <c r="E377" i="10"/>
  <c r="AF377" i="26"/>
  <c r="AN377" i="26" s="1"/>
  <c r="E376" i="6"/>
  <c r="E376" i="9"/>
  <c r="Y375" i="26"/>
  <c r="AC375" i="26" s="1"/>
  <c r="F1575" i="10"/>
  <c r="F1572" i="10"/>
  <c r="N1572" i="10" s="1"/>
  <c r="Y372" i="26"/>
  <c r="AF370" i="26"/>
  <c r="E370" i="10"/>
  <c r="AZ370" i="26"/>
  <c r="BB370" i="26" s="1"/>
  <c r="F1565" i="10"/>
  <c r="AA1565" i="10" s="1"/>
  <c r="Y365" i="26"/>
  <c r="E363" i="10"/>
  <c r="AZ363" i="26"/>
  <c r="BB363" i="26" s="1"/>
  <c r="AF363" i="26"/>
  <c r="E362" i="9"/>
  <c r="E362" i="6"/>
  <c r="D362" i="10"/>
  <c r="AJ362" i="26"/>
  <c r="AW362" i="26" s="1"/>
  <c r="AY362" i="26" s="1"/>
  <c r="AX362" i="26" s="1"/>
  <c r="AA362" i="26"/>
  <c r="AM359" i="26"/>
  <c r="AU359" i="26"/>
  <c r="E358" i="6"/>
  <c r="D358" i="10"/>
  <c r="AJ358" i="26"/>
  <c r="AW358" i="26" s="1"/>
  <c r="AY358" i="26" s="1"/>
  <c r="AX358" i="26" s="1"/>
  <c r="E358" i="9"/>
  <c r="AA358" i="26"/>
  <c r="F1557" i="10"/>
  <c r="N1557" i="10" s="1"/>
  <c r="Y357" i="26"/>
  <c r="AJ348" i="26"/>
  <c r="AA348" i="26"/>
  <c r="E348" i="9"/>
  <c r="E348" i="6"/>
  <c r="AA326" i="26"/>
  <c r="E326" i="6"/>
  <c r="AA320" i="26"/>
  <c r="E320" i="6"/>
  <c r="E320" i="9"/>
  <c r="D320" i="10"/>
  <c r="AJ320" i="26"/>
  <c r="AW320" i="26" s="1"/>
  <c r="AY320" i="26" s="1"/>
  <c r="AX320" i="26" s="1"/>
  <c r="E310" i="9"/>
  <c r="AA310" i="26"/>
  <c r="E535" i="26"/>
  <c r="AU307" i="26"/>
  <c r="AM307" i="26"/>
  <c r="F307" i="9" s="1"/>
  <c r="AA306" i="26"/>
  <c r="D306" i="10"/>
  <c r="E306" i="6"/>
  <c r="AJ306" i="26"/>
  <c r="E306" i="9"/>
  <c r="E305" i="6"/>
  <c r="D305" i="10"/>
  <c r="AA305" i="26"/>
  <c r="AJ305" i="26"/>
  <c r="E534" i="26"/>
  <c r="E305" i="9"/>
  <c r="AK1503" i="10"/>
  <c r="Q1503" i="10"/>
  <c r="Y1503" i="10"/>
  <c r="AJ1503" i="10"/>
  <c r="W1503" i="10"/>
  <c r="AH1503" i="10"/>
  <c r="T1503" i="10"/>
  <c r="L1503" i="10"/>
  <c r="AO1503" i="10"/>
  <c r="O1503" i="10"/>
  <c r="R1503" i="10"/>
  <c r="AE1503" i="10"/>
  <c r="J1503" i="10"/>
  <c r="AB1503" i="10"/>
  <c r="AF1503" i="10"/>
  <c r="AL1503" i="10"/>
  <c r="AT1503" i="10"/>
  <c r="M1503" i="10"/>
  <c r="AD1503" i="10"/>
  <c r="Z1503" i="10"/>
  <c r="AA1503" i="10"/>
  <c r="S1503" i="10"/>
  <c r="P1503" i="10"/>
  <c r="AR1503" i="10"/>
  <c r="AN1503" i="10"/>
  <c r="N1503" i="10"/>
  <c r="AG1503" i="10"/>
  <c r="AS1503" i="10"/>
  <c r="K1503" i="10"/>
  <c r="AP1503" i="10"/>
  <c r="AC1503" i="10"/>
  <c r="G1503" i="10"/>
  <c r="AQ1503" i="10"/>
  <c r="X1503" i="10"/>
  <c r="AJ300" i="26"/>
  <c r="AA300" i="26"/>
  <c r="E532" i="26"/>
  <c r="U532" i="26" s="1"/>
  <c r="AJ292" i="26"/>
  <c r="AW292" i="26" s="1"/>
  <c r="AY292" i="26" s="1"/>
  <c r="AA292" i="26"/>
  <c r="D292" i="10"/>
  <c r="G1491" i="10"/>
  <c r="X1491" i="10"/>
  <c r="AF270" i="26"/>
  <c r="AH270" i="26" s="1"/>
  <c r="AG270" i="26" s="1"/>
  <c r="AZ270" i="26"/>
  <c r="BB270" i="26" s="1"/>
  <c r="E270" i="10"/>
  <c r="F527" i="26"/>
  <c r="V523" i="26"/>
  <c r="E255" i="10"/>
  <c r="F523" i="26"/>
  <c r="F522" i="26"/>
  <c r="AZ254" i="26"/>
  <c r="BB254" i="26" s="1"/>
  <c r="E250" i="10"/>
  <c r="AF250" i="26"/>
  <c r="AN250" i="26" s="1"/>
  <c r="AZ248" i="26"/>
  <c r="BB248" i="26" s="1"/>
  <c r="AF248" i="26"/>
  <c r="AN248" i="26" s="1"/>
  <c r="E248" i="10"/>
  <c r="V514" i="26"/>
  <c r="F514" i="26"/>
  <c r="V511" i="26"/>
  <c r="E246" i="10"/>
  <c r="F511" i="26"/>
  <c r="V507" i="26"/>
  <c r="E244" i="10"/>
  <c r="F508" i="26"/>
  <c r="F507" i="26"/>
  <c r="V508" i="26"/>
  <c r="AF244" i="26"/>
  <c r="AN244" i="26" s="1"/>
  <c r="Y234" i="26"/>
  <c r="F1434" i="10"/>
  <c r="E231" i="6"/>
  <c r="D231" i="10"/>
  <c r="E231" i="9"/>
  <c r="AC225" i="26"/>
  <c r="AL225" i="26"/>
  <c r="E222" i="10"/>
  <c r="AZ222" i="26"/>
  <c r="BB222" i="26" s="1"/>
  <c r="AJ205" i="26"/>
  <c r="AW205" i="26" s="1"/>
  <c r="AY205" i="26" s="1"/>
  <c r="AX205" i="26" s="1"/>
  <c r="AA205" i="26"/>
  <c r="D205" i="10"/>
  <c r="E205" i="6"/>
  <c r="F1404" i="10"/>
  <c r="Y204" i="26"/>
  <c r="AF185" i="26"/>
  <c r="AH185" i="26" s="1"/>
  <c r="AG185" i="26" s="1"/>
  <c r="E185" i="10"/>
  <c r="AZ185" i="26"/>
  <c r="BB185" i="26" s="1"/>
  <c r="E184" i="9"/>
  <c r="E184" i="6"/>
  <c r="E181" i="10"/>
  <c r="AZ181" i="26"/>
  <c r="BB181" i="26" s="1"/>
  <c r="AF181" i="26"/>
  <c r="AH181" i="26" s="1"/>
  <c r="AG181" i="26" s="1"/>
  <c r="E180" i="9"/>
  <c r="AJ180" i="26"/>
  <c r="AW180" i="26" s="1"/>
  <c r="AY180" i="26" s="1"/>
  <c r="AX180" i="26" s="1"/>
  <c r="E180" i="6"/>
  <c r="D180" i="10"/>
  <c r="AF176" i="26"/>
  <c r="V479" i="26"/>
  <c r="F479" i="26"/>
  <c r="E176" i="10"/>
  <c r="AA170" i="26"/>
  <c r="E475" i="26"/>
  <c r="E170" i="9"/>
  <c r="E170" i="6"/>
  <c r="D170" i="10"/>
  <c r="AJ170" i="26"/>
  <c r="AW170" i="26" s="1"/>
  <c r="AY170" i="26" s="1"/>
  <c r="E162" i="9"/>
  <c r="E474" i="26"/>
  <c r="E461" i="6" s="1"/>
  <c r="E162" i="6"/>
  <c r="AA162" i="26"/>
  <c r="AA157" i="26"/>
  <c r="D157" i="10"/>
  <c r="E157" i="6"/>
  <c r="E473" i="26"/>
  <c r="U473" i="26" s="1"/>
  <c r="AU153" i="26"/>
  <c r="AM153" i="26"/>
  <c r="F153" i="9" s="1"/>
  <c r="AU148" i="26"/>
  <c r="AM148" i="26"/>
  <c r="F148" i="6" s="1"/>
  <c r="V468" i="26"/>
  <c r="F468" i="26"/>
  <c r="AZ147" i="26"/>
  <c r="BB147" i="26" s="1"/>
  <c r="AF147" i="26"/>
  <c r="AH147" i="26" s="1"/>
  <c r="AF146" i="26"/>
  <c r="AH146" i="26" s="1"/>
  <c r="AG146" i="26" s="1"/>
  <c r="E146" i="10"/>
  <c r="V467" i="26"/>
  <c r="F467" i="26"/>
  <c r="AF142" i="26"/>
  <c r="AH142" i="26" s="1"/>
  <c r="AG142" i="26" s="1"/>
  <c r="E142" i="10"/>
  <c r="AZ142" i="26"/>
  <c r="BB142" i="26" s="1"/>
  <c r="F1340" i="10"/>
  <c r="R1340" i="10" s="1"/>
  <c r="Y140" i="26"/>
  <c r="E128" i="10"/>
  <c r="AF128" i="26"/>
  <c r="V461" i="26"/>
  <c r="E127" i="10"/>
  <c r="F462" i="26"/>
  <c r="F461" i="26"/>
  <c r="AZ127" i="26"/>
  <c r="BB127" i="26" s="1"/>
  <c r="D116" i="10"/>
  <c r="AA116" i="26"/>
  <c r="E116" i="9"/>
  <c r="E116" i="6"/>
  <c r="E109" i="10"/>
  <c r="F453" i="26"/>
  <c r="AF109" i="26"/>
  <c r="AH109" i="26" s="1"/>
  <c r="AG109" i="26" s="1"/>
  <c r="F454" i="26"/>
  <c r="V453" i="26"/>
  <c r="AZ109" i="26"/>
  <c r="BB109" i="26" s="1"/>
  <c r="V454" i="26"/>
  <c r="E86" i="9"/>
  <c r="D86" i="10"/>
  <c r="AA86" i="26"/>
  <c r="E86" i="6"/>
  <c r="F1285" i="10"/>
  <c r="AJ1285" i="10" s="1"/>
  <c r="Y85" i="26"/>
  <c r="AL85" i="26" s="1"/>
  <c r="AA82" i="26"/>
  <c r="E82" i="9"/>
  <c r="E82" i="6"/>
  <c r="V435" i="26"/>
  <c r="AZ70" i="26"/>
  <c r="BB70" i="26" s="1"/>
  <c r="F435" i="26"/>
  <c r="E70" i="10"/>
  <c r="AF70" i="26"/>
  <c r="AH70" i="26" s="1"/>
  <c r="AG70" i="26" s="1"/>
  <c r="AA68" i="26"/>
  <c r="E68" i="9"/>
  <c r="AJ68" i="26"/>
  <c r="AW68" i="26" s="1"/>
  <c r="AY68" i="26" s="1"/>
  <c r="AX68" i="26" s="1"/>
  <c r="E44" i="6"/>
  <c r="D44" i="10"/>
  <c r="E44" i="9"/>
  <c r="AA44" i="26"/>
  <c r="E421" i="26"/>
  <c r="AA43" i="26"/>
  <c r="E43" i="6"/>
  <c r="AJ43" i="26"/>
  <c r="AW43" i="26" s="1"/>
  <c r="AY43" i="26" s="1"/>
  <c r="AX43" i="26" s="1"/>
  <c r="E43" i="9"/>
  <c r="E422" i="26"/>
  <c r="U422" i="26" s="1"/>
  <c r="E37" i="10"/>
  <c r="AF37" i="26"/>
  <c r="AH37" i="26" s="1"/>
  <c r="AG37" i="26" s="1"/>
  <c r="AF35" i="26"/>
  <c r="AH35" i="26" s="1"/>
  <c r="AG35" i="26" s="1"/>
  <c r="F419" i="26"/>
  <c r="AZ35" i="26"/>
  <c r="BB35" i="26" s="1"/>
  <c r="E35" i="10"/>
  <c r="V419" i="26"/>
  <c r="AF30" i="26"/>
  <c r="AH30" i="26" s="1"/>
  <c r="AG30" i="26" s="1"/>
  <c r="E30" i="10"/>
  <c r="AZ30" i="26"/>
  <c r="BB30" i="26" s="1"/>
  <c r="AA29" i="26"/>
  <c r="AJ29" i="26"/>
  <c r="AW29" i="26" s="1"/>
  <c r="D29" i="10"/>
  <c r="E29" i="6"/>
  <c r="AF26" i="26"/>
  <c r="AH26" i="26" s="1"/>
  <c r="AG26" i="26" s="1"/>
  <c r="E26" i="10"/>
  <c r="E21" i="10"/>
  <c r="AZ21" i="26"/>
  <c r="BB21" i="26" s="1"/>
  <c r="F1277" i="10"/>
  <c r="S1277" i="10" s="1"/>
  <c r="G436" i="26"/>
  <c r="W436" i="26" s="1"/>
  <c r="AE1257" i="10"/>
  <c r="P1257" i="10"/>
  <c r="G423" i="26"/>
  <c r="W423" i="26" s="1"/>
  <c r="AB423" i="26" s="1"/>
  <c r="F1244" i="10"/>
  <c r="G1244" i="10" s="1"/>
  <c r="Y44" i="26"/>
  <c r="AK44" i="26" s="1"/>
  <c r="AU44" i="26" s="1"/>
  <c r="S44" i="26" s="1"/>
  <c r="F1234" i="10"/>
  <c r="G1234" i="10" s="1"/>
  <c r="Y34" i="26"/>
  <c r="G418" i="26"/>
  <c r="W418" i="26" s="1"/>
  <c r="Z418" i="26" s="1"/>
  <c r="AD418" i="26" s="1"/>
  <c r="Y15" i="26"/>
  <c r="G413" i="26"/>
  <c r="W413" i="26" s="1"/>
  <c r="F1215" i="10"/>
  <c r="T1215" i="10" s="1"/>
  <c r="AH378" i="26"/>
  <c r="AG378" i="26" s="1"/>
  <c r="AH1467" i="10"/>
  <c r="AB1430" i="10"/>
  <c r="Q1257" i="10"/>
  <c r="AI1257" i="10"/>
  <c r="AJ115" i="26"/>
  <c r="AA376" i="26"/>
  <c r="AF21" i="26"/>
  <c r="AH21" i="26" s="1"/>
  <c r="AG21" i="26" s="1"/>
  <c r="Y316" i="26"/>
  <c r="AC1242" i="10"/>
  <c r="AK1248" i="10"/>
  <c r="AG1248" i="10"/>
  <c r="AA1531" i="10"/>
  <c r="N1531" i="10"/>
  <c r="AF1531" i="10"/>
  <c r="AO1467" i="10"/>
  <c r="R1467" i="10"/>
  <c r="P1430" i="10"/>
  <c r="AH1430" i="10"/>
  <c r="AG1430" i="10"/>
  <c r="Y1257" i="10"/>
  <c r="J1257" i="10"/>
  <c r="G1257" i="10"/>
  <c r="AB1257" i="10"/>
  <c r="AL1257" i="10"/>
  <c r="AJ310" i="26"/>
  <c r="AJ231" i="26"/>
  <c r="AW231" i="26" s="1"/>
  <c r="AY231" i="26" s="1"/>
  <c r="AX231" i="26" s="1"/>
  <c r="AA231" i="26"/>
  <c r="D310" i="10"/>
  <c r="AZ250" i="26"/>
  <c r="BB250" i="26" s="1"/>
  <c r="E300" i="6"/>
  <c r="AM75" i="26"/>
  <c r="F75" i="6" s="1"/>
  <c r="AA75" i="6" s="1"/>
  <c r="AA184" i="26"/>
  <c r="AJ376" i="26"/>
  <c r="R1491" i="10"/>
  <c r="E157" i="9"/>
  <c r="D43" i="10"/>
  <c r="AA252" i="26"/>
  <c r="E136" i="9"/>
  <c r="AF246" i="26"/>
  <c r="AN246" i="26" s="1"/>
  <c r="E147" i="10"/>
  <c r="AF222" i="26"/>
  <c r="AN222" i="26" s="1"/>
  <c r="F1263" i="10"/>
  <c r="AJ1263" i="10" s="1"/>
  <c r="V1503" i="10"/>
  <c r="X1329" i="10"/>
  <c r="W1329" i="10"/>
  <c r="AF322" i="26"/>
  <c r="AH322" i="26" s="1"/>
  <c r="AG322" i="26" s="1"/>
  <c r="E322" i="10"/>
  <c r="AZ322" i="26"/>
  <c r="BB322" i="26" s="1"/>
  <c r="E314" i="9"/>
  <c r="AA314" i="26"/>
  <c r="E314" i="6"/>
  <c r="D314" i="10"/>
  <c r="F1498" i="10"/>
  <c r="M1498" i="10" s="1"/>
  <c r="Y298" i="26"/>
  <c r="AC298" i="26" s="1"/>
  <c r="E163" i="6"/>
  <c r="D163" i="10"/>
  <c r="AA163" i="26"/>
  <c r="E148" i="6"/>
  <c r="AA148" i="26"/>
  <c r="D148" i="10"/>
  <c r="E148" i="9"/>
  <c r="AF39" i="26"/>
  <c r="AH39" i="26" s="1"/>
  <c r="AG39" i="26" s="1"/>
  <c r="E39" i="10"/>
  <c r="AZ39" i="26"/>
  <c r="BB39" i="26" s="1"/>
  <c r="AZ382" i="26"/>
  <c r="BB382" i="26" s="1"/>
  <c r="E382" i="10"/>
  <c r="D381" i="10"/>
  <c r="E381" i="6"/>
  <c r="E381" i="9"/>
  <c r="F1561" i="10"/>
  <c r="N1561" i="10" s="1"/>
  <c r="Y361" i="26"/>
  <c r="AF355" i="26"/>
  <c r="AH355" i="26" s="1"/>
  <c r="AG355" i="26" s="1"/>
  <c r="E355" i="10"/>
  <c r="AZ355" i="26"/>
  <c r="BB355" i="26" s="1"/>
  <c r="F1551" i="10"/>
  <c r="V1551" i="10" s="1"/>
  <c r="Y351" i="26"/>
  <c r="AZ349" i="26"/>
  <c r="BB349" i="26" s="1"/>
  <c r="AF349" i="26"/>
  <c r="AH349" i="26" s="1"/>
  <c r="AG349" i="26" s="1"/>
  <c r="E536" i="26"/>
  <c r="U536" i="26" s="1"/>
  <c r="E319" i="6"/>
  <c r="E319" i="9"/>
  <c r="D319" i="10"/>
  <c r="AA319" i="26"/>
  <c r="G1516" i="10"/>
  <c r="AN1516" i="10"/>
  <c r="F1513" i="10"/>
  <c r="Y313" i="26"/>
  <c r="F1509" i="10"/>
  <c r="AC1509" i="10" s="1"/>
  <c r="Y309" i="26"/>
  <c r="AZ297" i="26"/>
  <c r="BB297" i="26" s="1"/>
  <c r="AF297" i="26"/>
  <c r="E293" i="10"/>
  <c r="AZ293" i="26"/>
  <c r="BB293" i="26" s="1"/>
  <c r="AF285" i="26"/>
  <c r="AH285" i="26" s="1"/>
  <c r="AG285" i="26" s="1"/>
  <c r="E285" i="10"/>
  <c r="E284" i="9"/>
  <c r="D284" i="10"/>
  <c r="E284" i="6"/>
  <c r="E271" i="6"/>
  <c r="AJ271" i="26"/>
  <c r="AA271" i="26"/>
  <c r="D271" i="10"/>
  <c r="AI1467" i="10"/>
  <c r="AR1467" i="10"/>
  <c r="T1467" i="10"/>
  <c r="AU264" i="26"/>
  <c r="H264" i="6" s="1"/>
  <c r="AM264" i="26"/>
  <c r="Y264" i="27" s="1"/>
  <c r="G264" i="27" s="1"/>
  <c r="AJ262" i="26"/>
  <c r="AA262" i="26"/>
  <c r="E262" i="9"/>
  <c r="E262" i="6"/>
  <c r="F1461" i="10"/>
  <c r="AG1461" i="10" s="1"/>
  <c r="Y261" i="26"/>
  <c r="AK261" i="26" s="1"/>
  <c r="AF249" i="26"/>
  <c r="AN249" i="26" s="1"/>
  <c r="AZ249" i="26"/>
  <c r="BB249" i="26" s="1"/>
  <c r="F515" i="26"/>
  <c r="V515" i="26"/>
  <c r="F516" i="26"/>
  <c r="V513" i="26"/>
  <c r="F512" i="26"/>
  <c r="AZ247" i="26"/>
  <c r="BB247" i="26" s="1"/>
  <c r="E247" i="10"/>
  <c r="F513" i="26"/>
  <c r="F510" i="26"/>
  <c r="V509" i="26"/>
  <c r="V510" i="26"/>
  <c r="F509" i="26"/>
  <c r="F504" i="26"/>
  <c r="V504" i="26"/>
  <c r="F506" i="26"/>
  <c r="E243" i="10"/>
  <c r="AF243" i="26"/>
  <c r="AN243" i="26" s="1"/>
  <c r="F505" i="26"/>
  <c r="AU236" i="26"/>
  <c r="AM236" i="26"/>
  <c r="AF232" i="26"/>
  <c r="AN232" i="26" s="1"/>
  <c r="E232" i="10"/>
  <c r="AZ232" i="26"/>
  <c r="BB232" i="26" s="1"/>
  <c r="J1430" i="10"/>
  <c r="M1430" i="10"/>
  <c r="AZ228" i="26"/>
  <c r="BB228" i="26" s="1"/>
  <c r="E228" i="10"/>
  <c r="F1387" i="10"/>
  <c r="S1387" i="10" s="1"/>
  <c r="Y187" i="26"/>
  <c r="E175" i="9"/>
  <c r="AA175" i="26"/>
  <c r="AJ175" i="26"/>
  <c r="AW175" i="26" s="1"/>
  <c r="AY175" i="26" s="1"/>
  <c r="D175" i="10"/>
  <c r="E167" i="10"/>
  <c r="AZ167" i="26"/>
  <c r="BB167" i="26" s="1"/>
  <c r="AF167" i="26"/>
  <c r="AH167" i="26" s="1"/>
  <c r="AG167" i="26" s="1"/>
  <c r="AA166" i="26"/>
  <c r="AJ166" i="26"/>
  <c r="AW166" i="26" s="1"/>
  <c r="E166" i="6"/>
  <c r="D166" i="10"/>
  <c r="E166" i="9"/>
  <c r="F1365" i="10"/>
  <c r="AI1365" i="10" s="1"/>
  <c r="Y165" i="26"/>
  <c r="AA123" i="26"/>
  <c r="AJ123" i="26"/>
  <c r="AW123" i="26" s="1"/>
  <c r="AY123" i="26" s="1"/>
  <c r="AX123" i="26" s="1"/>
  <c r="D123" i="10"/>
  <c r="E123" i="9"/>
  <c r="AA122" i="26"/>
  <c r="E460" i="26"/>
  <c r="E444" i="9" s="1"/>
  <c r="E122" i="6"/>
  <c r="E122" i="9"/>
  <c r="D122" i="10"/>
  <c r="AA121" i="26"/>
  <c r="E121" i="6"/>
  <c r="E459" i="26"/>
  <c r="U459" i="26" s="1"/>
  <c r="AJ121" i="26"/>
  <c r="E121" i="9"/>
  <c r="AF117" i="26"/>
  <c r="AH117" i="26" s="1"/>
  <c r="AG117" i="26" s="1"/>
  <c r="E117" i="10"/>
  <c r="AZ117" i="26"/>
  <c r="BB117" i="26" s="1"/>
  <c r="E115" i="9"/>
  <c r="E115" i="6"/>
  <c r="E457" i="26"/>
  <c r="AA115" i="26"/>
  <c r="AF110" i="26"/>
  <c r="AH110" i="26" s="1"/>
  <c r="AG110" i="26" s="1"/>
  <c r="E110" i="10"/>
  <c r="AZ110" i="26"/>
  <c r="BB110" i="26" s="1"/>
  <c r="F451" i="26"/>
  <c r="F452" i="26"/>
  <c r="AF108" i="26"/>
  <c r="V452" i="26"/>
  <c r="V451" i="26"/>
  <c r="AZ108" i="26"/>
  <c r="BB108" i="26" s="1"/>
  <c r="E108" i="10"/>
  <c r="V450" i="26"/>
  <c r="AF107" i="26"/>
  <c r="E107" i="10"/>
  <c r="F450" i="26"/>
  <c r="AM100" i="26"/>
  <c r="AU100" i="26"/>
  <c r="H100" i="6" s="1"/>
  <c r="AD100" i="6" s="1"/>
  <c r="V445" i="26"/>
  <c r="V446" i="26"/>
  <c r="F446" i="26"/>
  <c r="V444" i="26"/>
  <c r="E99" i="10"/>
  <c r="AF99" i="26"/>
  <c r="F445" i="26"/>
  <c r="AF94" i="26"/>
  <c r="E94" i="10"/>
  <c r="AJ93" i="26"/>
  <c r="AW93" i="26" s="1"/>
  <c r="AY93" i="26" s="1"/>
  <c r="AX93" i="26" s="1"/>
  <c r="D93" i="10"/>
  <c r="E93" i="9"/>
  <c r="AA93" i="26"/>
  <c r="AA92" i="26"/>
  <c r="D92" i="10"/>
  <c r="E441" i="26"/>
  <c r="E437" i="6" s="1"/>
  <c r="E92" i="6"/>
  <c r="AJ92" i="26"/>
  <c r="AW92" i="26" s="1"/>
  <c r="AY92" i="26" s="1"/>
  <c r="AX92" i="26" s="1"/>
  <c r="E440" i="26"/>
  <c r="AJ91" i="26"/>
  <c r="AW91" i="26" s="1"/>
  <c r="AY91" i="26" s="1"/>
  <c r="AX91" i="26" s="1"/>
  <c r="D91" i="10"/>
  <c r="AA91" i="26"/>
  <c r="E91" i="6"/>
  <c r="E74" i="9"/>
  <c r="E74" i="6"/>
  <c r="D74" i="10"/>
  <c r="AJ74" i="26"/>
  <c r="AW74" i="26" s="1"/>
  <c r="AY74" i="26" s="1"/>
  <c r="AX74" i="26" s="1"/>
  <c r="AF71" i="26"/>
  <c r="AZ71" i="26"/>
  <c r="BB71" i="26" s="1"/>
  <c r="F434" i="26"/>
  <c r="E69" i="10"/>
  <c r="AZ69" i="26"/>
  <c r="BB69" i="26" s="1"/>
  <c r="AJ64" i="26"/>
  <c r="AW64" i="26" s="1"/>
  <c r="D64" i="10"/>
  <c r="E64" i="6"/>
  <c r="AA64" i="26"/>
  <c r="E433" i="26"/>
  <c r="E428" i="6" s="1"/>
  <c r="E64" i="9"/>
  <c r="AJ63" i="26"/>
  <c r="AW63" i="26" s="1"/>
  <c r="E63" i="9"/>
  <c r="E63" i="6"/>
  <c r="D63" i="10"/>
  <c r="AA63" i="26"/>
  <c r="AF52" i="26"/>
  <c r="E52" i="10"/>
  <c r="AZ52" i="26"/>
  <c r="BB52" i="26" s="1"/>
  <c r="AB1242" i="10"/>
  <c r="S1242" i="10"/>
  <c r="AL1242" i="10"/>
  <c r="R1242" i="10"/>
  <c r="AG1242" i="10"/>
  <c r="K1242" i="10"/>
  <c r="AI1242" i="10"/>
  <c r="AK1242" i="10"/>
  <c r="AP1242" i="10"/>
  <c r="AD1242" i="10"/>
  <c r="AS1242" i="10"/>
  <c r="V1242" i="10"/>
  <c r="AN1242" i="10"/>
  <c r="T1242" i="10"/>
  <c r="X1242" i="10"/>
  <c r="AF1242" i="10"/>
  <c r="AJ1242" i="10"/>
  <c r="AR1242" i="10"/>
  <c r="AQ1242" i="10"/>
  <c r="AT1242" i="10"/>
  <c r="AH1242" i="10"/>
  <c r="P1242" i="10"/>
  <c r="W1242" i="10"/>
  <c r="Y1242" i="10"/>
  <c r="AO1242" i="10"/>
  <c r="M1242" i="10"/>
  <c r="O1242" i="10"/>
  <c r="AA1242" i="10"/>
  <c r="Q1242" i="10"/>
  <c r="J1242" i="10"/>
  <c r="E36" i="10"/>
  <c r="V420" i="26"/>
  <c r="F420" i="26"/>
  <c r="AF36" i="26"/>
  <c r="AH36" i="26" s="1"/>
  <c r="AG36" i="26" s="1"/>
  <c r="F418" i="26"/>
  <c r="V418" i="26"/>
  <c r="AF34" i="26"/>
  <c r="AH34" i="26" s="1"/>
  <c r="AZ34" i="26"/>
  <c r="BB34" i="26" s="1"/>
  <c r="AF25" i="26"/>
  <c r="AH25" i="26" s="1"/>
  <c r="AG25" i="26" s="1"/>
  <c r="AZ25" i="26"/>
  <c r="BB25" i="26" s="1"/>
  <c r="E25" i="10"/>
  <c r="F417" i="26"/>
  <c r="V417" i="26"/>
  <c r="AA24" i="26"/>
  <c r="E24" i="9"/>
  <c r="D24" i="10"/>
  <c r="F1223" i="10"/>
  <c r="Y23" i="26"/>
  <c r="E18" i="10"/>
  <c r="AF18" i="26"/>
  <c r="AH18" i="26" s="1"/>
  <c r="AG18" i="26" s="1"/>
  <c r="AZ18" i="26"/>
  <c r="BB18" i="26" s="1"/>
  <c r="Y150" i="26"/>
  <c r="AC150" i="26" s="1"/>
  <c r="AS1467" i="10"/>
  <c r="AN1430" i="10"/>
  <c r="AQ1248" i="10"/>
  <c r="AC1248" i="10"/>
  <c r="K1248" i="10"/>
  <c r="AT1248" i="10"/>
  <c r="E197" i="10"/>
  <c r="E423" i="26"/>
  <c r="E68" i="6"/>
  <c r="AZ255" i="26"/>
  <c r="BB255" i="26" s="1"/>
  <c r="AJ1531" i="10"/>
  <c r="X1531" i="10"/>
  <c r="AQ1531" i="10"/>
  <c r="Q1531" i="10"/>
  <c r="V1531" i="10"/>
  <c r="AJ284" i="26"/>
  <c r="AF245" i="26"/>
  <c r="AN245" i="26" s="1"/>
  <c r="V527" i="26"/>
  <c r="AF255" i="26"/>
  <c r="AN255" i="26" s="1"/>
  <c r="Y267" i="26"/>
  <c r="AJ116" i="26"/>
  <c r="AW116" i="26" s="1"/>
  <c r="AY116" i="26" s="1"/>
  <c r="AX116" i="26" s="1"/>
  <c r="U1242" i="10"/>
  <c r="AJ157" i="26"/>
  <c r="AW157" i="26" s="1"/>
  <c r="AE1248" i="10"/>
  <c r="O1248" i="10"/>
  <c r="P1248" i="10"/>
  <c r="O1531" i="10"/>
  <c r="AK1531" i="10"/>
  <c r="L1531" i="10"/>
  <c r="AE1531" i="10"/>
  <c r="AC1329" i="10"/>
  <c r="Y1467" i="10"/>
  <c r="S1467" i="10"/>
  <c r="AB1467" i="10"/>
  <c r="Z1430" i="10"/>
  <c r="AM1430" i="10"/>
  <c r="AG1257" i="10"/>
  <c r="AF127" i="26"/>
  <c r="AH127" i="26" s="1"/>
  <c r="AG127" i="26" s="1"/>
  <c r="E310" i="6"/>
  <c r="AF293" i="26"/>
  <c r="AH293" i="26" s="1"/>
  <c r="AG293" i="26" s="1"/>
  <c r="E297" i="10"/>
  <c r="D300" i="10"/>
  <c r="E331" i="6"/>
  <c r="E24" i="6"/>
  <c r="AZ37" i="26"/>
  <c r="BB37" i="26" s="1"/>
  <c r="AZ94" i="26"/>
  <c r="BB94" i="26" s="1"/>
  <c r="AJ162" i="26"/>
  <c r="AW162" i="26" s="1"/>
  <c r="AY162" i="26" s="1"/>
  <c r="AX162" i="26" s="1"/>
  <c r="AZ244" i="26"/>
  <c r="BB244" i="26" s="1"/>
  <c r="E292" i="6"/>
  <c r="AZ245" i="26"/>
  <c r="BB245" i="26" s="1"/>
  <c r="AZ246" i="26"/>
  <c r="BB246" i="26" s="1"/>
  <c r="E490" i="26"/>
  <c r="E220" i="9"/>
  <c r="AJ319" i="26"/>
  <c r="D386" i="10"/>
  <c r="AZ243" i="26"/>
  <c r="BB243" i="26" s="1"/>
  <c r="D82" i="10"/>
  <c r="B59" i="11"/>
  <c r="AA331" i="26"/>
  <c r="AA74" i="26"/>
  <c r="V505" i="26"/>
  <c r="F444" i="26"/>
  <c r="AZ176" i="26"/>
  <c r="BB176" i="26" s="1"/>
  <c r="AF247" i="26"/>
  <c r="AN247" i="26" s="1"/>
  <c r="E349" i="10"/>
  <c r="AZ377" i="26"/>
  <c r="BB377" i="26" s="1"/>
  <c r="E300" i="9"/>
  <c r="AJ122" i="26"/>
  <c r="AW122" i="26" s="1"/>
  <c r="AY122" i="26" s="1"/>
  <c r="AX122" i="26" s="1"/>
  <c r="E29" i="9"/>
  <c r="V506" i="26"/>
  <c r="G1415" i="10"/>
  <c r="Y1415" i="10"/>
  <c r="AD1415" i="10"/>
  <c r="AM1415" i="10"/>
  <c r="M1415" i="10"/>
  <c r="N1242" i="10"/>
  <c r="AE1242" i="10"/>
  <c r="AZ26" i="26"/>
  <c r="BB26" i="26" s="1"/>
  <c r="AG1491" i="10"/>
  <c r="E271" i="9"/>
  <c r="D19" i="10"/>
  <c r="AM1503" i="10"/>
  <c r="AM315" i="26"/>
  <c r="F315" i="9" s="1"/>
  <c r="AM257" i="26"/>
  <c r="F257" i="9" s="1"/>
  <c r="AM207" i="26"/>
  <c r="F207" i="9" s="1"/>
  <c r="AM189" i="26"/>
  <c r="Y189" i="27" s="1"/>
  <c r="G189" i="27" s="1"/>
  <c r="AM56" i="26"/>
  <c r="F56" i="9" s="1"/>
  <c r="AM46" i="26"/>
  <c r="F46" i="9" s="1"/>
  <c r="AH106" i="26"/>
  <c r="AG106" i="26" s="1"/>
  <c r="AH40" i="26"/>
  <c r="AG40" i="26" s="1"/>
  <c r="P1580" i="10"/>
  <c r="AH1580" i="10"/>
  <c r="L1560" i="10"/>
  <c r="R1560" i="10"/>
  <c r="AF1560" i="10"/>
  <c r="O1554" i="10"/>
  <c r="AH1554" i="10"/>
  <c r="Q1541" i="10"/>
  <c r="AM1541" i="10"/>
  <c r="K1532" i="10"/>
  <c r="AJ1532" i="10"/>
  <c r="AR1526" i="10"/>
  <c r="AD1526" i="10"/>
  <c r="W1526" i="10"/>
  <c r="N1526" i="10"/>
  <c r="AN1526" i="10"/>
  <c r="K1526" i="10"/>
  <c r="AF1518" i="10"/>
  <c r="Y1518" i="10"/>
  <c r="O1518" i="10"/>
  <c r="W1516" i="10"/>
  <c r="P1516" i="10"/>
  <c r="AG1508" i="10"/>
  <c r="X1508" i="10"/>
  <c r="AL1508" i="10"/>
  <c r="AO1508" i="10"/>
  <c r="L1508" i="10"/>
  <c r="J1499" i="10"/>
  <c r="AJ1499" i="10"/>
  <c r="AK1493" i="10"/>
  <c r="AP1493" i="10"/>
  <c r="P1493" i="10"/>
  <c r="AQ1493" i="10"/>
  <c r="AF1493" i="10"/>
  <c r="AJ1491" i="10"/>
  <c r="L1491" i="10"/>
  <c r="T1491" i="10"/>
  <c r="K1491" i="10"/>
  <c r="AM1488" i="10"/>
  <c r="V1488" i="10"/>
  <c r="J1488" i="10"/>
  <c r="AP1480" i="10"/>
  <c r="AT1480" i="10"/>
  <c r="AB1480" i="10"/>
  <c r="U1480" i="10"/>
  <c r="AE1480" i="10"/>
  <c r="AF1474" i="10"/>
  <c r="AB1474" i="10"/>
  <c r="AL1469" i="10"/>
  <c r="AP1469" i="10"/>
  <c r="AT1465" i="10"/>
  <c r="AK1465" i="10"/>
  <c r="AF1465" i="10"/>
  <c r="AB1465" i="10"/>
  <c r="AG1465" i="10"/>
  <c r="Y1453" i="10"/>
  <c r="J1436" i="10"/>
  <c r="AI1436" i="10"/>
  <c r="V1436" i="10"/>
  <c r="AQ1436" i="10"/>
  <c r="AS1430" i="10"/>
  <c r="Y1430" i="10"/>
  <c r="AA1430" i="10"/>
  <c r="AT1430" i="10"/>
  <c r="S1430" i="10"/>
  <c r="AI1426" i="10"/>
  <c r="X1426" i="10"/>
  <c r="AH1426" i="10"/>
  <c r="AD1426" i="10"/>
  <c r="T1422" i="10"/>
  <c r="J1422" i="10"/>
  <c r="AT1422" i="10"/>
  <c r="V1422" i="10"/>
  <c r="AA1389" i="10"/>
  <c r="J1389" i="10"/>
  <c r="AC1389" i="10"/>
  <c r="AD1389" i="10"/>
  <c r="O1389" i="10"/>
  <c r="AR1389" i="10"/>
  <c r="AR1370" i="10"/>
  <c r="AL1370" i="10"/>
  <c r="U1370" i="10"/>
  <c r="L1370" i="10"/>
  <c r="AB1370" i="10"/>
  <c r="AG1370" i="10"/>
  <c r="AP1370" i="10"/>
  <c r="AD1370" i="10"/>
  <c r="N1359" i="10"/>
  <c r="AK1359" i="10"/>
  <c r="R1359" i="10"/>
  <c r="N1345" i="10"/>
  <c r="W1345" i="10"/>
  <c r="AL1345" i="10"/>
  <c r="R1345" i="10"/>
  <c r="AI1345" i="10"/>
  <c r="AP1345" i="10"/>
  <c r="AM1342" i="10"/>
  <c r="AT1342" i="10"/>
  <c r="R1342" i="10"/>
  <c r="J1342" i="10"/>
  <c r="AK1298" i="10"/>
  <c r="R1257" i="10"/>
  <c r="AD1257" i="10"/>
  <c r="AN1257" i="10"/>
  <c r="AK1257" i="10"/>
  <c r="O1257" i="10"/>
  <c r="AH1257" i="10"/>
  <c r="T1245" i="10"/>
  <c r="AF1245" i="10"/>
  <c r="AL1245" i="10"/>
  <c r="AI1245" i="10"/>
  <c r="AT1230" i="10"/>
  <c r="S1230" i="10"/>
  <c r="AL1230" i="10"/>
  <c r="J1284" i="10"/>
  <c r="S1326" i="10"/>
  <c r="K1577" i="10"/>
  <c r="O1377" i="10"/>
  <c r="J1522" i="10"/>
  <c r="W1573" i="10"/>
  <c r="R1414" i="10"/>
  <c r="AC1284" i="10"/>
  <c r="V1382" i="10"/>
  <c r="AS1302" i="10"/>
  <c r="AD1300" i="10"/>
  <c r="AQ1319" i="10"/>
  <c r="AN1577" i="10"/>
  <c r="V1522" i="10"/>
  <c r="AL1442" i="10"/>
  <c r="AH1349" i="10"/>
  <c r="M1326" i="10"/>
  <c r="AC1382" i="10"/>
  <c r="W1313" i="10"/>
  <c r="AK1284" i="10"/>
  <c r="AL1302" i="10"/>
  <c r="L1540" i="10"/>
  <c r="AE1481" i="10"/>
  <c r="R1468" i="10"/>
  <c r="M1382" i="10"/>
  <c r="U1369" i="10"/>
  <c r="M1361" i="10"/>
  <c r="AS1326" i="10"/>
  <c r="T1313" i="10"/>
  <c r="AM1284" i="10"/>
  <c r="AA1515" i="10"/>
  <c r="U1478" i="10"/>
  <c r="V1525" i="10"/>
  <c r="AP1527" i="10"/>
  <c r="M1478" i="10"/>
  <c r="T1577" i="10"/>
  <c r="Q1515" i="10"/>
  <c r="AR1407" i="10"/>
  <c r="V1414" i="10"/>
  <c r="T1349" i="10"/>
  <c r="AC1249" i="10"/>
  <c r="W1577" i="10"/>
  <c r="AC1479" i="10"/>
  <c r="X1427" i="10"/>
  <c r="AA1369" i="10"/>
  <c r="AT1353" i="10"/>
  <c r="AH1319" i="10"/>
  <c r="AG1302" i="10"/>
  <c r="AQ1302" i="10"/>
  <c r="L1302" i="10"/>
  <c r="AL1485" i="10"/>
  <c r="AH1306" i="10"/>
  <c r="AP1286" i="10"/>
  <c r="V1284" i="10"/>
  <c r="AB1267" i="10"/>
  <c r="AL1256" i="10"/>
  <c r="AN1249" i="10"/>
  <c r="Z1240" i="10"/>
  <c r="AF1227" i="10"/>
  <c r="P1300" i="10"/>
  <c r="AA1300" i="10"/>
  <c r="K1361" i="10"/>
  <c r="Y1382" i="10"/>
  <c r="AQ1286" i="10"/>
  <c r="AR1249" i="10"/>
  <c r="AD1256" i="10"/>
  <c r="AQ1377" i="10"/>
  <c r="AP1300" i="10"/>
  <c r="AD1373" i="10"/>
  <c r="U1300" i="10"/>
  <c r="AB1512" i="10"/>
  <c r="U1319" i="10"/>
  <c r="AJ1284" i="10"/>
  <c r="AB1527" i="10"/>
  <c r="U1457" i="10"/>
  <c r="AJ1414" i="10"/>
  <c r="O1427" i="10"/>
  <c r="AH1382" i="10"/>
  <c r="S1546" i="10"/>
  <c r="AA1302" i="10"/>
  <c r="AJ1540" i="10"/>
  <c r="AI1485" i="10"/>
  <c r="AG1473" i="10"/>
  <c r="AS1382" i="10"/>
  <c r="AB1367" i="10"/>
  <c r="AJ1361" i="10"/>
  <c r="AL1326" i="10"/>
  <c r="Q1284" i="10"/>
  <c r="AH1302" i="10"/>
  <c r="P1302" i="10"/>
  <c r="AL1573" i="10"/>
  <c r="AQ1249" i="10"/>
  <c r="K1256" i="10"/>
  <c r="AO1527" i="10"/>
  <c r="AF1337" i="10"/>
  <c r="AB1377" i="10"/>
  <c r="L1373" i="10"/>
  <c r="AU4" i="10"/>
  <c r="N1577" i="10"/>
  <c r="AA1512" i="10"/>
  <c r="Y1489" i="10"/>
  <c r="S1427" i="10"/>
  <c r="W1353" i="10"/>
  <c r="AE1319" i="10"/>
  <c r="AK1302" i="10"/>
  <c r="S1485" i="10"/>
  <c r="AL1300" i="10"/>
  <c r="AL1284" i="10"/>
  <c r="L1267" i="10"/>
  <c r="AJ1251" i="10"/>
  <c r="AP1240" i="10"/>
  <c r="R1249" i="10"/>
  <c r="O1284" i="10"/>
  <c r="AB1313" i="10"/>
  <c r="AF1349" i="10"/>
  <c r="AJ1377" i="10"/>
  <c r="AT1382" i="10"/>
  <c r="U1382" i="10"/>
  <c r="AD1414" i="10"/>
  <c r="AG1284" i="10"/>
  <c r="AK1306" i="10"/>
  <c r="AR1337" i="10"/>
  <c r="O1337" i="10"/>
  <c r="T1407" i="10"/>
  <c r="T1414" i="10"/>
  <c r="AC1433" i="10"/>
  <c r="U1479" i="10"/>
  <c r="AK1489" i="10"/>
  <c r="Y1525" i="10"/>
  <c r="U1555" i="10"/>
  <c r="AM1401" i="10"/>
  <c r="V1442" i="10"/>
  <c r="Z1590" i="10"/>
  <c r="AB1286" i="10"/>
  <c r="V1326" i="10"/>
  <c r="AN1353" i="10"/>
  <c r="X1361" i="10"/>
  <c r="AQ1369" i="10"/>
  <c r="J1478" i="10"/>
  <c r="AE1522" i="10"/>
  <c r="V1542" i="10"/>
  <c r="AF1590" i="10"/>
  <c r="AQ1367" i="10"/>
  <c r="AL1464" i="10"/>
  <c r="L1478" i="10"/>
  <c r="Q1512" i="10"/>
  <c r="M1573" i="10"/>
  <c r="AD1579" i="10"/>
  <c r="Z1527" i="10"/>
  <c r="Q1468" i="10"/>
  <c r="AP1579" i="10"/>
  <c r="AP1267" i="10"/>
  <c r="O1249" i="10"/>
  <c r="N1271" i="10"/>
  <c r="AO1369" i="10"/>
  <c r="W1414" i="10"/>
  <c r="K1249" i="10"/>
  <c r="O1286" i="10"/>
  <c r="T1427" i="10"/>
  <c r="N1489" i="10"/>
  <c r="U1377" i="10"/>
  <c r="AF1464" i="10"/>
  <c r="AD1457" i="10"/>
  <c r="AL1553" i="10"/>
  <c r="O1515" i="10"/>
  <c r="AO1577" i="10"/>
  <c r="AI1553" i="10"/>
  <c r="Q1573" i="10"/>
  <c r="Y1418" i="10"/>
  <c r="AE1284" i="10"/>
  <c r="AD1349" i="10"/>
  <c r="AA1382" i="10"/>
  <c r="AJ1433" i="10"/>
  <c r="L1515" i="10"/>
  <c r="R1373" i="10"/>
  <c r="AR1433" i="10"/>
  <c r="AD1555" i="10"/>
  <c r="X1553" i="10"/>
  <c r="Q1546" i="10"/>
  <c r="J1479" i="10"/>
  <c r="P1489" i="10"/>
  <c r="AQ1527" i="10"/>
  <c r="V1473" i="10"/>
  <c r="Z1249" i="10"/>
  <c r="AJ1326" i="10"/>
  <c r="AQ1457" i="10"/>
  <c r="AI1507" i="10"/>
  <c r="M1468" i="10"/>
  <c r="AN1473" i="10"/>
  <c r="AQ1489" i="10"/>
  <c r="AP1367" i="10"/>
  <c r="K1473" i="10"/>
  <c r="P1555" i="10"/>
  <c r="P1442" i="10"/>
  <c r="AP1515" i="10"/>
  <c r="AG1407" i="10"/>
  <c r="R1267" i="10"/>
  <c r="L1300" i="10"/>
  <c r="AD1337" i="10"/>
  <c r="N1251" i="10"/>
  <c r="AC1306" i="10"/>
  <c r="V1349" i="10"/>
  <c r="AD1267" i="10"/>
  <c r="T1284" i="10"/>
  <c r="V1377" i="10"/>
  <c r="M1414" i="10"/>
  <c r="AT1249" i="10"/>
  <c r="U1337" i="10"/>
  <c r="AA1457" i="10"/>
  <c r="AM1433" i="10"/>
  <c r="R1571" i="10"/>
  <c r="AE1590" i="10"/>
  <c r="N1555" i="10"/>
  <c r="J1577" i="10"/>
  <c r="AF1473" i="10"/>
  <c r="S1382" i="10"/>
  <c r="AK1249" i="10"/>
  <c r="AA1251" i="10"/>
  <c r="W1271" i="10"/>
  <c r="AS1306" i="10"/>
  <c r="AL1349" i="10"/>
  <c r="AC1256" i="10"/>
  <c r="AK1271" i="10"/>
  <c r="AO1313" i="10"/>
  <c r="AI1249" i="10"/>
  <c r="Y1349" i="10"/>
  <c r="Z1367" i="10"/>
  <c r="AO1401" i="10"/>
  <c r="S1271" i="10"/>
  <c r="S1553" i="10"/>
  <c r="AM1590" i="10"/>
  <c r="P1464" i="10"/>
  <c r="AE1382" i="10"/>
  <c r="T1515" i="10"/>
  <c r="J1251" i="10"/>
  <c r="X1306" i="10"/>
  <c r="J1353" i="10"/>
  <c r="AJ1302" i="10"/>
  <c r="J1300" i="10"/>
  <c r="N1256" i="10"/>
  <c r="T1267" i="10"/>
  <c r="K1407" i="10"/>
  <c r="U1573" i="10"/>
  <c r="J1412" i="10"/>
  <c r="AT1256" i="10"/>
  <c r="AM1313" i="10"/>
  <c r="N1302" i="10"/>
  <c r="J1306" i="10"/>
  <c r="Z1302" i="10"/>
  <c r="R1481" i="10"/>
  <c r="AP1522" i="10"/>
  <c r="AA1490" i="10"/>
  <c r="AR1442" i="10"/>
  <c r="Z1349" i="10"/>
  <c r="AH1313" i="10"/>
  <c r="AL1414" i="10"/>
  <c r="AG1546" i="10"/>
  <c r="Y1507" i="10"/>
  <c r="AK1481" i="10"/>
  <c r="AK1433" i="10"/>
  <c r="AL1382" i="10"/>
  <c r="AN1367" i="10"/>
  <c r="AG1353" i="10"/>
  <c r="AI1313" i="10"/>
  <c r="P1284" i="10"/>
  <c r="AG1251" i="10"/>
  <c r="AK1522" i="10"/>
  <c r="N1478" i="10"/>
  <c r="AO1256" i="10"/>
  <c r="Q1457" i="10"/>
  <c r="O1306" i="10"/>
  <c r="W1349" i="10"/>
  <c r="AF1233" i="10"/>
  <c r="AO1419" i="10"/>
  <c r="T1337" i="10"/>
  <c r="K1401" i="10"/>
  <c r="AR1251" i="10"/>
  <c r="AL1542" i="10"/>
  <c r="AE1414" i="10"/>
  <c r="AR1284" i="10"/>
  <c r="V1427" i="10"/>
  <c r="M1485" i="10"/>
  <c r="S1284" i="10"/>
  <c r="V1302" i="10"/>
  <c r="T1401" i="10"/>
  <c r="U1306" i="10"/>
  <c r="AA1579" i="10"/>
  <c r="T1546" i="10"/>
  <c r="AE1542" i="10"/>
  <c r="AN1479" i="10"/>
  <c r="P1468" i="10"/>
  <c r="Z1369" i="10"/>
  <c r="R1425" i="10"/>
  <c r="AM1302" i="10"/>
  <c r="X1485" i="10"/>
  <c r="Y1524" i="10"/>
  <c r="V1300" i="10"/>
  <c r="P1271" i="10"/>
  <c r="V1256" i="10"/>
  <c r="J1240" i="10"/>
  <c r="AR1313" i="10"/>
  <c r="P1349" i="10"/>
  <c r="AM1377" i="10"/>
  <c r="AK1382" i="10"/>
  <c r="N1414" i="10"/>
  <c r="AA1284" i="10"/>
  <c r="R1313" i="10"/>
  <c r="AP1349" i="10"/>
  <c r="Y1412" i="10"/>
  <c r="AS1433" i="10"/>
  <c r="U1473" i="10"/>
  <c r="Q1489" i="10"/>
  <c r="Q1507" i="10"/>
  <c r="AJ1401" i="10"/>
  <c r="AJ1577" i="10"/>
  <c r="AE1256" i="10"/>
  <c r="X1286" i="10"/>
  <c r="AC1326" i="10"/>
  <c r="K1353" i="10"/>
  <c r="AN1369" i="10"/>
  <c r="AB1468" i="10"/>
  <c r="O1542" i="10"/>
  <c r="L1571" i="10"/>
  <c r="K1319" i="10"/>
  <c r="AC1546" i="10"/>
  <c r="AB1522" i="10"/>
  <c r="Y1325" i="10"/>
  <c r="Q1571" i="10"/>
  <c r="AT1313" i="10"/>
  <c r="AL1489" i="10"/>
  <c r="AL1251" i="10"/>
  <c r="AB1300" i="10"/>
  <c r="AD1271" i="10"/>
  <c r="M1300" i="10"/>
  <c r="AN1468" i="10"/>
  <c r="AC1337" i="10"/>
  <c r="K1481" i="10"/>
  <c r="X1507" i="10"/>
  <c r="AL1481" i="10"/>
  <c r="AG1579" i="10"/>
  <c r="Y1353" i="10"/>
  <c r="AO1353" i="10"/>
  <c r="P1457" i="10"/>
  <c r="AF1457" i="10"/>
  <c r="AO1271" i="10"/>
  <c r="T1433" i="10"/>
  <c r="AA1553" i="10"/>
  <c r="W1515" i="10"/>
  <c r="AG1573" i="10"/>
  <c r="V1489" i="10"/>
  <c r="AB1479" i="10"/>
  <c r="AM1382" i="10"/>
  <c r="P1414" i="10"/>
  <c r="AN1481" i="10"/>
  <c r="W1433" i="10"/>
  <c r="N1527" i="10"/>
  <c r="P1527" i="10"/>
  <c r="W1382" i="10"/>
  <c r="X1481" i="10"/>
  <c r="AT1251" i="10"/>
  <c r="AP1412" i="10"/>
  <c r="AO1306" i="10"/>
  <c r="P1313" i="10"/>
  <c r="AJ1579" i="10"/>
  <c r="S1542" i="10"/>
  <c r="N1490" i="10"/>
  <c r="AI1256" i="10"/>
  <c r="AM1361" i="10"/>
  <c r="AE1546" i="10"/>
  <c r="U1481" i="10"/>
  <c r="X1369" i="10"/>
  <c r="T1353" i="10"/>
  <c r="AB1302" i="10"/>
  <c r="J1302" i="10"/>
  <c r="L1590" i="10"/>
  <c r="P1573" i="10"/>
  <c r="AT1401" i="10"/>
  <c r="AT1412" i="10"/>
  <c r="AL1546" i="10"/>
  <c r="Y1512" i="10"/>
  <c r="AT1473" i="10"/>
  <c r="AE1468" i="10"/>
  <c r="U1353" i="10"/>
  <c r="Y1302" i="10"/>
  <c r="Z1286" i="10"/>
  <c r="AR1267" i="10"/>
  <c r="T1251" i="10"/>
  <c r="L1313" i="10"/>
  <c r="AI1349" i="10"/>
  <c r="W1377" i="10"/>
  <c r="AL1412" i="10"/>
  <c r="AE1419" i="10"/>
  <c r="AC1300" i="10"/>
  <c r="AB1337" i="10"/>
  <c r="AJ1407" i="10"/>
  <c r="AO1414" i="10"/>
  <c r="Y1457" i="10"/>
  <c r="AK1473" i="10"/>
  <c r="AK1507" i="10"/>
  <c r="U1553" i="10"/>
  <c r="AO1427" i="10"/>
  <c r="AM1577" i="10"/>
  <c r="L1256" i="10"/>
  <c r="U1286" i="10"/>
  <c r="AT1343" i="10"/>
  <c r="Z1361" i="10"/>
  <c r="K1369" i="10"/>
  <c r="AI1478" i="10"/>
  <c r="X1579" i="10"/>
  <c r="V1367" i="10"/>
  <c r="K1468" i="10"/>
  <c r="AE1240" i="10"/>
  <c r="S1300" i="10"/>
  <c r="S1479" i="10"/>
  <c r="AI1284" i="10"/>
  <c r="AN1527" i="10"/>
  <c r="AS1251" i="10"/>
  <c r="V1361" i="10"/>
  <c r="T1479" i="10"/>
  <c r="O1433" i="10"/>
  <c r="AD1527" i="10"/>
  <c r="M1540" i="10"/>
  <c r="AB1515" i="10"/>
  <c r="AD1427" i="10"/>
  <c r="AG1313" i="10"/>
  <c r="U1412" i="10"/>
  <c r="AT1489" i="10"/>
  <c r="V1553" i="10"/>
  <c r="Q1306" i="10"/>
  <c r="M1337" i="10"/>
  <c r="AD1473" i="10"/>
  <c r="AP1427" i="10"/>
  <c r="Y1494" i="10"/>
  <c r="AA1414" i="10"/>
  <c r="AH1479" i="10"/>
  <c r="AC1579" i="10"/>
  <c r="S1481" i="10"/>
  <c r="AI1457" i="10"/>
  <c r="AB1433" i="10"/>
  <c r="AI1473" i="10"/>
  <c r="AF1527" i="10"/>
  <c r="U1579" i="10"/>
  <c r="U1349" i="10"/>
  <c r="Y1249" i="10"/>
  <c r="R1271" i="10"/>
  <c r="W1326" i="10"/>
  <c r="AE1267" i="10"/>
  <c r="J1337" i="10"/>
  <c r="S1256" i="10"/>
  <c r="Y1286" i="10"/>
  <c r="AL1407" i="10"/>
  <c r="AK1337" i="10"/>
  <c r="AF1412" i="10"/>
  <c r="AI1489" i="10"/>
  <c r="X1457" i="10"/>
  <c r="AQ1382" i="10"/>
  <c r="L1479" i="10"/>
  <c r="AA1507" i="10"/>
  <c r="AC1468" i="10"/>
  <c r="AE1515" i="10"/>
  <c r="AD1251" i="10"/>
  <c r="W1267" i="10"/>
  <c r="X1300" i="10"/>
  <c r="AP1353" i="10"/>
  <c r="AK1267" i="10"/>
  <c r="AN1306" i="10"/>
  <c r="AE1249" i="10"/>
  <c r="Y1361" i="10"/>
  <c r="AB1382" i="10"/>
  <c r="AR1300" i="10"/>
  <c r="AQ1468" i="10"/>
  <c r="AJ1313" i="10"/>
  <c r="AQ1361" i="10"/>
  <c r="N1284" i="10"/>
  <c r="Y1433" i="10"/>
  <c r="S1313" i="10"/>
  <c r="J1407" i="10"/>
  <c r="AR1286" i="10"/>
  <c r="AC1473" i="10"/>
  <c r="AO1326" i="10"/>
  <c r="T1302" i="10"/>
  <c r="P1485" i="10"/>
  <c r="AF1271" i="10"/>
  <c r="AB1247" i="10"/>
  <c r="AE1300" i="10"/>
  <c r="T1377" i="10"/>
  <c r="AT1414" i="10"/>
  <c r="AE1306" i="10"/>
  <c r="K1427" i="10"/>
  <c r="Y1481" i="10"/>
  <c r="Y1527" i="10"/>
  <c r="O1442" i="10"/>
  <c r="AQ1353" i="10"/>
  <c r="AR1540" i="10"/>
  <c r="AN1319" i="10"/>
  <c r="AJ1507" i="10"/>
  <c r="AC1412" i="10"/>
  <c r="AT1271" i="10"/>
  <c r="AH1515" i="10"/>
  <c r="P1481" i="10"/>
  <c r="AL1571" i="10"/>
  <c r="K1251" i="10"/>
  <c r="R1515" i="10"/>
  <c r="AK1414" i="10"/>
  <c r="Q1542" i="10"/>
  <c r="AB1525" i="10"/>
  <c r="AL1527" i="10"/>
  <c r="Y1369" i="10"/>
  <c r="Q1579" i="10"/>
  <c r="N1361" i="10"/>
  <c r="AG1468" i="10"/>
  <c r="X1473" i="10"/>
  <c r="V1251" i="10"/>
  <c r="AM1271" i="10"/>
  <c r="Z1353" i="10"/>
  <c r="AD1313" i="10"/>
  <c r="AR1306" i="10"/>
  <c r="Y1271" i="10"/>
  <c r="AF1481" i="10"/>
  <c r="P1553" i="10"/>
  <c r="M1515" i="10"/>
  <c r="S1473" i="10"/>
  <c r="Q1267" i="10"/>
  <c r="AS1271" i="10"/>
  <c r="AL1337" i="10"/>
  <c r="O1271" i="10"/>
  <c r="AG1349" i="10"/>
  <c r="Q1353" i="10"/>
  <c r="U1414" i="10"/>
  <c r="AL1457" i="10"/>
  <c r="AT1457" i="10"/>
  <c r="AQ1553" i="10"/>
  <c r="AS1579" i="10"/>
  <c r="AO1349" i="10"/>
  <c r="AO1251" i="10"/>
  <c r="AL1319" i="10"/>
  <c r="AM1251" i="10"/>
  <c r="AE1326" i="10"/>
  <c r="AO1319" i="10"/>
  <c r="AD1407" i="10"/>
  <c r="AF1433" i="10"/>
  <c r="T1473" i="10"/>
  <c r="W1481" i="10"/>
  <c r="AB1507" i="10"/>
  <c r="S1525" i="10"/>
  <c r="Y1546" i="10"/>
  <c r="U1571" i="10"/>
  <c r="J1271" i="10"/>
  <c r="AK1349" i="10"/>
  <c r="AF1382" i="10"/>
  <c r="Q1414" i="10"/>
  <c r="AI1433" i="10"/>
  <c r="N1507" i="10"/>
  <c r="AT1555" i="10"/>
  <c r="V1571" i="10"/>
  <c r="J1571" i="10"/>
  <c r="N1473" i="10"/>
  <c r="K1382" i="10"/>
  <c r="AG1369" i="10"/>
  <c r="AT1361" i="10"/>
  <c r="AK1251" i="10"/>
  <c r="AL1249" i="10"/>
  <c r="Q1251" i="10"/>
  <c r="AJ1382" i="10"/>
  <c r="AS1442" i="10"/>
  <c r="AQ1479" i="10"/>
  <c r="AH1507" i="10"/>
  <c r="R1527" i="10"/>
  <c r="AC1571" i="10"/>
  <c r="S1590" i="10"/>
  <c r="AG1306" i="10"/>
  <c r="AP1407" i="10"/>
  <c r="S1433" i="10"/>
  <c r="AJ1457" i="10"/>
  <c r="J1481" i="10"/>
  <c r="Y1522" i="10"/>
  <c r="S1457" i="10"/>
  <c r="M1579" i="10"/>
  <c r="AS1313" i="10"/>
  <c r="Z1271" i="10"/>
  <c r="S1267" i="10"/>
  <c r="AR1382" i="10"/>
  <c r="M1442" i="10"/>
  <c r="AE1473" i="10"/>
  <c r="AR1527" i="10"/>
  <c r="AO1573" i="10"/>
  <c r="AT1433" i="10"/>
  <c r="AJ1481" i="10"/>
  <c r="T1507" i="10"/>
  <c r="AA1525" i="10"/>
  <c r="AO1540" i="10"/>
  <c r="AE1553" i="10"/>
  <c r="AS1577" i="10"/>
  <c r="P1540" i="10"/>
  <c r="M1457" i="10"/>
  <c r="X1573" i="10"/>
  <c r="J1573" i="10"/>
  <c r="AS1542" i="10"/>
  <c r="AG1542" i="10"/>
  <c r="AR1522" i="10"/>
  <c r="AE1512" i="10"/>
  <c r="AG1512" i="10"/>
  <c r="P1240" i="10"/>
  <c r="M1240" i="10"/>
  <c r="AS1546" i="10"/>
  <c r="AC1478" i="10"/>
  <c r="AF1583" i="10"/>
  <c r="S1540" i="10"/>
  <c r="AP1468" i="10"/>
  <c r="AD1464" i="10"/>
  <c r="AI1373" i="10"/>
  <c r="AS1373" i="10"/>
  <c r="P1367" i="10"/>
  <c r="AL1367" i="10"/>
  <c r="P1319" i="10"/>
  <c r="AK1319" i="10"/>
  <c r="O1579" i="10"/>
  <c r="AR1579" i="10"/>
  <c r="P1571" i="10"/>
  <c r="V1481" i="10"/>
  <c r="AI1527" i="10"/>
  <c r="K1555" i="10"/>
  <c r="AI1251" i="10"/>
  <c r="AS1284" i="10"/>
  <c r="Y1337" i="10"/>
  <c r="AM1457" i="10"/>
  <c r="AF1479" i="10"/>
  <c r="J1579" i="10"/>
  <c r="X1382" i="10"/>
  <c r="AO1468" i="10"/>
  <c r="T1481" i="10"/>
  <c r="Q1522" i="10"/>
  <c r="AO1542" i="10"/>
  <c r="AJ1553" i="10"/>
  <c r="N1579" i="10"/>
  <c r="AA1590" i="10"/>
  <c r="AB1573" i="10"/>
  <c r="R1573" i="10"/>
  <c r="L1542" i="10"/>
  <c r="X1522" i="10"/>
  <c r="AP1512" i="10"/>
  <c r="M1512" i="10"/>
  <c r="AQ1240" i="10"/>
  <c r="AJ1240" i="10"/>
  <c r="AR1546" i="10"/>
  <c r="AH1332" i="10"/>
  <c r="AT1540" i="10"/>
  <c r="AD1468" i="10"/>
  <c r="R1464" i="10"/>
  <c r="AQ1464" i="10"/>
  <c r="W1373" i="10"/>
  <c r="U1373" i="10"/>
  <c r="AM1367" i="10"/>
  <c r="N1367" i="10"/>
  <c r="AM1319" i="10"/>
  <c r="M1319" i="10"/>
  <c r="S1579" i="10"/>
  <c r="AP1577" i="10"/>
  <c r="AJ1571" i="10"/>
  <c r="Z1571" i="10"/>
  <c r="N1337" i="10"/>
  <c r="AQ1427" i="10"/>
  <c r="K1479" i="10"/>
  <c r="AG1522" i="10"/>
  <c r="AQ1271" i="10"/>
  <c r="Z1407" i="10"/>
  <c r="AR1473" i="10"/>
  <c r="O1507" i="10"/>
  <c r="Z1553" i="10"/>
  <c r="AC1294" i="10"/>
  <c r="AI1573" i="10"/>
  <c r="AC1542" i="10"/>
  <c r="AM1512" i="10"/>
  <c r="AA1240" i="10"/>
  <c r="AB1546" i="10"/>
  <c r="P1332" i="10"/>
  <c r="AL1540" i="10"/>
  <c r="J1464" i="10"/>
  <c r="AK1373" i="10"/>
  <c r="AD1367" i="10"/>
  <c r="AC1319" i="10"/>
  <c r="AQ1579" i="10"/>
  <c r="AH1568" i="10"/>
  <c r="AT1546" i="10"/>
  <c r="N1542" i="10"/>
  <c r="AM1542" i="10"/>
  <c r="AT1522" i="10"/>
  <c r="AA1494" i="10"/>
  <c r="K1478" i="10"/>
  <c r="L1468" i="10"/>
  <c r="U1427" i="10"/>
  <c r="AI1369" i="10"/>
  <c r="AP1369" i="10"/>
  <c r="AE1361" i="10"/>
  <c r="AH1361" i="10"/>
  <c r="L1353" i="10"/>
  <c r="V1353" i="10"/>
  <c r="J1326" i="10"/>
  <c r="AA1326" i="10"/>
  <c r="AG1286" i="10"/>
  <c r="AR1256" i="10"/>
  <c r="AO1590" i="10"/>
  <c r="AE1577" i="10"/>
  <c r="W1442" i="10"/>
  <c r="M1427" i="10"/>
  <c r="L1401" i="10"/>
  <c r="AD1401" i="10"/>
  <c r="AC1555" i="10"/>
  <c r="Q1525" i="10"/>
  <c r="M1479" i="10"/>
  <c r="N1249" i="10"/>
  <c r="Z1267" i="10"/>
  <c r="L1481" i="10"/>
  <c r="AO1284" i="10"/>
  <c r="AC1442" i="10"/>
  <c r="N1479" i="10"/>
  <c r="T1527" i="10"/>
  <c r="AQ1590" i="10"/>
  <c r="AH1573" i="10"/>
  <c r="K1512" i="10"/>
  <c r="X1546" i="10"/>
  <c r="AR1478" i="10"/>
  <c r="K1540" i="10"/>
  <c r="X1468" i="10"/>
  <c r="AJ1306" i="10"/>
  <c r="AC1251" i="10"/>
  <c r="AE1442" i="10"/>
  <c r="AN1349" i="10"/>
  <c r="O1540" i="10"/>
  <c r="O1369" i="10"/>
  <c r="AD1302" i="10"/>
  <c r="AM1306" i="10"/>
  <c r="O1407" i="10"/>
  <c r="X1542" i="10"/>
  <c r="K1326" i="10"/>
  <c r="AE1313" i="10"/>
  <c r="AD1382" i="10"/>
  <c r="L1337" i="10"/>
  <c r="AM1407" i="10"/>
  <c r="AO1457" i="10"/>
  <c r="AM1294" i="10"/>
  <c r="AG1319" i="10"/>
  <c r="AA1361" i="10"/>
  <c r="AP1478" i="10"/>
  <c r="O1546" i="10"/>
  <c r="AC1373" i="10"/>
  <c r="O1414" i="10"/>
  <c r="AO1367" i="10"/>
  <c r="AO1249" i="10"/>
  <c r="J1267" i="10"/>
  <c r="AL1267" i="10"/>
  <c r="AB1306" i="10"/>
  <c r="AF1442" i="10"/>
  <c r="N1457" i="10"/>
  <c r="AJ1256" i="10"/>
  <c r="AT1427" i="10"/>
  <c r="AS1337" i="10"/>
  <c r="AH1433" i="10"/>
  <c r="AO1522" i="10"/>
  <c r="P1473" i="10"/>
  <c r="AS1540" i="10"/>
  <c r="Y1464" i="10"/>
  <c r="P1507" i="10"/>
  <c r="AG1267" i="10"/>
  <c r="S1251" i="10"/>
  <c r="AI1306" i="10"/>
  <c r="S1249" i="10"/>
  <c r="AP1337" i="10"/>
  <c r="AI1267" i="10"/>
  <c r="AQ1414" i="10"/>
  <c r="AL1361" i="10"/>
  <c r="AR1515" i="10"/>
  <c r="AF1553" i="10"/>
  <c r="O1479" i="10"/>
  <c r="Q1407" i="10"/>
  <c r="AG1249" i="10"/>
  <c r="M1284" i="10"/>
  <c r="AA1249" i="10"/>
  <c r="X1284" i="10"/>
  <c r="AH1353" i="10"/>
  <c r="AH1427" i="10"/>
  <c r="AQ1481" i="10"/>
  <c r="N1553" i="10"/>
  <c r="S1507" i="10"/>
  <c r="AN1414" i="10"/>
  <c r="AQ1555" i="10"/>
  <c r="AQ1267" i="10"/>
  <c r="K1267" i="10"/>
  <c r="V1337" i="10"/>
  <c r="AN1286" i="10"/>
  <c r="AH1337" i="10"/>
  <c r="AO1337" i="10"/>
  <c r="AK1412" i="10"/>
  <c r="AJ1442" i="10"/>
  <c r="Y1468" i="10"/>
  <c r="AP1473" i="10"/>
  <c r="AR1481" i="10"/>
  <c r="L1527" i="10"/>
  <c r="R1579" i="10"/>
  <c r="L1306" i="10"/>
  <c r="AS1414" i="10"/>
  <c r="J1457" i="10"/>
  <c r="K1457" i="10"/>
  <c r="AG1577" i="10"/>
  <c r="N1481" i="10"/>
  <c r="AI1382" i="10"/>
  <c r="K1527" i="10"/>
  <c r="AT1527" i="10"/>
  <c r="Q1442" i="10"/>
  <c r="AC1267" i="10"/>
  <c r="U1267" i="10"/>
  <c r="U1251" i="10"/>
  <c r="AB1414" i="10"/>
  <c r="AB1457" i="10"/>
  <c r="AB1481" i="10"/>
  <c r="S1515" i="10"/>
  <c r="AM1527" i="10"/>
  <c r="L1553" i="10"/>
  <c r="U1577" i="10"/>
  <c r="U1249" i="10"/>
  <c r="AR1326" i="10"/>
  <c r="AL1369" i="10"/>
  <c r="AG1412" i="10"/>
  <c r="AN1433" i="10"/>
  <c r="R1473" i="10"/>
  <c r="U1464" i="10"/>
  <c r="AO1464" i="10"/>
  <c r="AF1489" i="10"/>
  <c r="X1527" i="10"/>
  <c r="O1251" i="10"/>
  <c r="V1267" i="10"/>
  <c r="AH1457" i="10"/>
  <c r="AA1479" i="10"/>
  <c r="AM1507" i="10"/>
  <c r="AK1577" i="10"/>
  <c r="T1457" i="10"/>
  <c r="W1473" i="10"/>
  <c r="L1489" i="10"/>
  <c r="AP1507" i="10"/>
  <c r="J1527" i="10"/>
  <c r="J1555" i="10"/>
  <c r="AL1579" i="10"/>
  <c r="M1489" i="10"/>
  <c r="K1573" i="10"/>
  <c r="AN1573" i="10"/>
  <c r="AP1573" i="10"/>
  <c r="AN1542" i="10"/>
  <c r="U1522" i="10"/>
  <c r="V1512" i="10"/>
  <c r="L1512" i="10"/>
  <c r="AK1240" i="10"/>
  <c r="O1240" i="10"/>
  <c r="AN1546" i="10"/>
  <c r="X1478" i="10"/>
  <c r="AD1577" i="10"/>
  <c r="J1540" i="10"/>
  <c r="AI1540" i="10"/>
  <c r="S1468" i="10"/>
  <c r="AT1464" i="10"/>
  <c r="P1373" i="10"/>
  <c r="AL1373" i="10"/>
  <c r="AF1367" i="10"/>
  <c r="AF1319" i="10"/>
  <c r="AE1579" i="10"/>
  <c r="R1577" i="10"/>
  <c r="AF1571" i="10"/>
  <c r="U1540" i="10"/>
  <c r="Q1369" i="10"/>
  <c r="AL1507" i="10"/>
  <c r="AC1286" i="10"/>
  <c r="AG1300" i="10"/>
  <c r="AO1361" i="10"/>
  <c r="AN1464" i="10"/>
  <c r="AM1481" i="10"/>
  <c r="AR1507" i="10"/>
  <c r="K1414" i="10"/>
  <c r="AP1481" i="10"/>
  <c r="Z1507" i="10"/>
  <c r="AF1525" i="10"/>
  <c r="O1555" i="10"/>
  <c r="AT1579" i="10"/>
  <c r="M1473" i="10"/>
  <c r="M1481" i="10"/>
  <c r="O1573" i="10"/>
  <c r="AR1573" i="10"/>
  <c r="AP1341" i="10"/>
  <c r="AR1542" i="10"/>
  <c r="T1522" i="10"/>
  <c r="S1512" i="10"/>
  <c r="AS1512" i="10"/>
  <c r="AB1240" i="10"/>
  <c r="U1546" i="10"/>
  <c r="AK1478" i="10"/>
  <c r="T1590" i="10"/>
  <c r="AN1540" i="10"/>
  <c r="W1540" i="10"/>
  <c r="AT1468" i="10"/>
  <c r="AH1464" i="10"/>
  <c r="AM1373" i="10"/>
  <c r="N1373" i="10"/>
  <c r="T1367" i="10"/>
  <c r="AT1367" i="10"/>
  <c r="T1319" i="10"/>
  <c r="AS1319" i="10"/>
  <c r="AI1579" i="10"/>
  <c r="W1571" i="10"/>
  <c r="M1433" i="10"/>
  <c r="Y1577" i="10"/>
  <c r="AS1349" i="10"/>
  <c r="AA1433" i="10"/>
  <c r="AE1489" i="10"/>
  <c r="W1553" i="10"/>
  <c r="AI1300" i="10"/>
  <c r="AM1414" i="10"/>
  <c r="AT1479" i="10"/>
  <c r="AN1512" i="10"/>
  <c r="AE1555" i="10"/>
  <c r="AF1573" i="10"/>
  <c r="T1542" i="10"/>
  <c r="AF1522" i="10"/>
  <c r="U1512" i="10"/>
  <c r="AG1240" i="10"/>
  <c r="AR1590" i="10"/>
  <c r="AE1540" i="10"/>
  <c r="AP1464" i="10"/>
  <c r="O1367" i="10"/>
  <c r="O1319" i="10"/>
  <c r="AN1579" i="10"/>
  <c r="W1546" i="10"/>
  <c r="AD1542" i="10"/>
  <c r="AB1540" i="10"/>
  <c r="W1522" i="10"/>
  <c r="AH1490" i="10"/>
  <c r="AA1478" i="10"/>
  <c r="T1464" i="10"/>
  <c r="P1369" i="10"/>
  <c r="AC1369" i="10"/>
  <c r="L1361" i="10"/>
  <c r="AC1361" i="10"/>
  <c r="AB1353" i="10"/>
  <c r="Z1326" i="10"/>
  <c r="Q1319" i="10"/>
  <c r="AE1286" i="10"/>
  <c r="P1256" i="10"/>
  <c r="M1256" i="10"/>
  <c r="R1590" i="10"/>
  <c r="L1577" i="10"/>
  <c r="N1442" i="10"/>
  <c r="AM1442" i="10"/>
  <c r="AG1427" i="10"/>
  <c r="AB1401" i="10"/>
  <c r="AD1319" i="10"/>
  <c r="AS1553" i="10"/>
  <c r="AG1527" i="10"/>
  <c r="AA1481" i="10"/>
  <c r="O1382" i="10"/>
  <c r="N1313" i="10"/>
  <c r="AP1251" i="10"/>
  <c r="R1507" i="10"/>
  <c r="AR1555" i="10"/>
  <c r="Q1313" i="10"/>
  <c r="AP1457" i="10"/>
  <c r="Z1481" i="10"/>
  <c r="AE1507" i="10"/>
  <c r="Q1490" i="10"/>
  <c r="M1251" i="10"/>
  <c r="AM1573" i="10"/>
  <c r="W1341" i="10"/>
  <c r="M1522" i="10"/>
  <c r="AQ1512" i="10"/>
  <c r="AF1240" i="10"/>
  <c r="Y1542" i="10"/>
  <c r="AQ1540" i="10"/>
  <c r="AH1468" i="10"/>
  <c r="AH1249" i="10"/>
  <c r="W1507" i="10"/>
  <c r="L1407" i="10"/>
  <c r="Z1489" i="10"/>
  <c r="Q1302" i="10"/>
  <c r="R1306" i="10"/>
  <c r="R1251" i="10"/>
  <c r="N1382" i="10"/>
  <c r="AE1337" i="10"/>
  <c r="N1401" i="10"/>
  <c r="X1326" i="10"/>
  <c r="AA1373" i="10"/>
  <c r="Y1240" i="10"/>
  <c r="J1367" i="10"/>
  <c r="Z1251" i="10"/>
  <c r="V1457" i="10"/>
  <c r="AO1579" i="10"/>
  <c r="J1433" i="10"/>
  <c r="AT1571" i="10"/>
  <c r="AI1427" i="10"/>
  <c r="AM1525" i="10"/>
  <c r="V1507" i="10"/>
  <c r="O1256" i="10"/>
  <c r="AE1271" i="10"/>
  <c r="AA1271" i="10"/>
  <c r="N1427" i="10"/>
  <c r="AP1479" i="10"/>
  <c r="AG1414" i="10"/>
  <c r="AK1442" i="10"/>
  <c r="AN1256" i="10"/>
  <c r="Y1251" i="10"/>
  <c r="AT1267" i="10"/>
  <c r="X1429" i="10"/>
  <c r="N1571" i="10"/>
  <c r="R1479" i="10"/>
  <c r="AT1481" i="10"/>
  <c r="Q1349" i="10"/>
  <c r="Q1271" i="10"/>
  <c r="N1429" i="10"/>
  <c r="O1489" i="10"/>
  <c r="N1515" i="10"/>
  <c r="AB1553" i="10"/>
  <c r="L1326" i="10"/>
  <c r="AH1407" i="10"/>
  <c r="AE1457" i="10"/>
  <c r="L1442" i="10"/>
  <c r="AA1489" i="10"/>
  <c r="AQ1507" i="10"/>
  <c r="AP1249" i="10"/>
  <c r="U1271" i="10"/>
  <c r="P1433" i="10"/>
  <c r="Z1473" i="10"/>
  <c r="AG1540" i="10"/>
  <c r="Z1579" i="10"/>
  <c r="AG1337" i="10"/>
  <c r="X1414" i="10"/>
  <c r="AS1464" i="10"/>
  <c r="AM1249" i="10"/>
  <c r="U1313" i="10"/>
  <c r="AI1414" i="10"/>
  <c r="AH1481" i="10"/>
  <c r="P1382" i="10"/>
  <c r="X1479" i="10"/>
  <c r="AE1527" i="10"/>
  <c r="AJ1555" i="10"/>
  <c r="AC1573" i="10"/>
  <c r="AJ1542" i="10"/>
  <c r="P1522" i="10"/>
  <c r="AR1512" i="10"/>
  <c r="W1240" i="10"/>
  <c r="AJ1546" i="10"/>
  <c r="Z1540" i="10"/>
  <c r="AI1468" i="10"/>
  <c r="AF1373" i="10"/>
  <c r="M1367" i="10"/>
  <c r="J1319" i="10"/>
  <c r="S1571" i="10"/>
  <c r="Z1433" i="10"/>
  <c r="V1527" i="10"/>
  <c r="M1306" i="10"/>
  <c r="AP1373" i="10"/>
  <c r="J1489" i="10"/>
  <c r="AR1553" i="10"/>
  <c r="Z1457" i="10"/>
  <c r="R1489" i="10"/>
  <c r="P1515" i="10"/>
  <c r="J1313" i="10"/>
  <c r="AE1573" i="10"/>
  <c r="U1542" i="10"/>
  <c r="U1586" i="10"/>
  <c r="AI1512" i="10"/>
  <c r="P1546" i="10"/>
  <c r="V1577" i="10"/>
  <c r="N1540" i="10"/>
  <c r="W1468" i="10"/>
  <c r="T1373" i="10"/>
  <c r="AJ1367" i="10"/>
  <c r="AJ1319" i="10"/>
  <c r="AM1571" i="10"/>
  <c r="AE1479" i="10"/>
  <c r="AC1313" i="10"/>
  <c r="AG1361" i="10"/>
  <c r="AB1489" i="10"/>
  <c r="AS1478" i="10"/>
  <c r="AI1464" i="10"/>
  <c r="L1367" i="10"/>
  <c r="N1546" i="10"/>
  <c r="AT1542" i="10"/>
  <c r="AM1522" i="10"/>
  <c r="R1478" i="10"/>
  <c r="Q1373" i="10"/>
  <c r="Q1367" i="10"/>
  <c r="O1353" i="10"/>
  <c r="Q1326" i="10"/>
  <c r="AA1286" i="10"/>
  <c r="AB1577" i="10"/>
  <c r="L1427" i="10"/>
  <c r="AR1401" i="10"/>
  <c r="AC1553" i="10"/>
  <c r="AE1525" i="10"/>
  <c r="AT1515" i="10"/>
  <c r="R1367" i="10"/>
  <c r="AR1489" i="10"/>
  <c r="AP1553" i="10"/>
  <c r="AK1542" i="10"/>
  <c r="AN1522" i="10"/>
  <c r="AM1240" i="10"/>
  <c r="AJ1590" i="10"/>
  <c r="O1464" i="10"/>
  <c r="AN1373" i="10"/>
  <c r="AC1367" i="10"/>
  <c r="AN1590" i="10"/>
  <c r="T1579" i="10"/>
  <c r="AN1571" i="10"/>
  <c r="K1546" i="10"/>
  <c r="R1542" i="10"/>
  <c r="AQ1542" i="10"/>
  <c r="K1522" i="10"/>
  <c r="AM1494" i="10"/>
  <c r="O1478" i="10"/>
  <c r="L1464" i="10"/>
  <c r="W1369" i="10"/>
  <c r="R1369" i="10"/>
  <c r="P1361" i="10"/>
  <c r="AK1361" i="10"/>
  <c r="AF1353" i="10"/>
  <c r="AD1326" i="10"/>
  <c r="K1286" i="10"/>
  <c r="AO1286" i="10"/>
  <c r="U1256" i="10"/>
  <c r="X1256" i="10"/>
  <c r="V1590" i="10"/>
  <c r="P1577" i="10"/>
  <c r="K1442" i="10"/>
  <c r="AJ1427" i="10"/>
  <c r="AI1401" i="10"/>
  <c r="AS1401" i="10"/>
  <c r="AO1555" i="10"/>
  <c r="AS1525" i="10"/>
  <c r="AS1507" i="10"/>
  <c r="AS1481" i="10"/>
  <c r="X1302" i="10"/>
  <c r="AT1302" i="10"/>
  <c r="AH1300" i="10"/>
  <c r="V1286" i="10"/>
  <c r="AR1271" i="10"/>
  <c r="AN1267" i="10"/>
  <c r="AH1256" i="10"/>
  <c r="AJ1249" i="10"/>
  <c r="V1240" i="10"/>
  <c r="AF1300" i="10"/>
  <c r="X1313" i="10"/>
  <c r="AR1349" i="10"/>
  <c r="O1349" i="10"/>
  <c r="S1377" i="10"/>
  <c r="AG1382" i="10"/>
  <c r="AP1414" i="10"/>
  <c r="AB1284" i="10"/>
  <c r="AF1306" i="10"/>
  <c r="AN1337" i="10"/>
  <c r="K1337" i="10"/>
  <c r="S1407" i="10"/>
  <c r="Q1433" i="10"/>
  <c r="AS1457" i="10"/>
  <c r="AO1473" i="10"/>
  <c r="U1489" i="10"/>
  <c r="AG1515" i="10"/>
  <c r="AG1553" i="10"/>
  <c r="X1401" i="10"/>
  <c r="AI1442" i="10"/>
  <c r="AA1577" i="10"/>
  <c r="AS1256" i="10"/>
  <c r="P1286" i="10"/>
  <c r="Y1326" i="10"/>
  <c r="R1361" i="10"/>
  <c r="AH1369" i="10"/>
  <c r="AD1478" i="10"/>
  <c r="AP1542" i="10"/>
  <c r="J1546" i="10"/>
  <c r="AR1373" i="10"/>
  <c r="P1427" i="10"/>
  <c r="V1540" i="10"/>
  <c r="Q1240" i="10"/>
  <c r="AS1522" i="10"/>
  <c r="AT1573" i="10"/>
  <c r="AQ1525" i="10"/>
  <c r="AH1473" i="10"/>
  <c r="AG1271" i="10"/>
  <c r="AR1479" i="10"/>
  <c r="O1246" i="10"/>
  <c r="P1227" i="10"/>
  <c r="AO1536" i="10"/>
  <c r="AL1536" i="10"/>
  <c r="L1536" i="10"/>
  <c r="AP1536" i="10"/>
  <c r="N1536" i="10"/>
  <c r="U1536" i="10"/>
  <c r="T1536" i="10"/>
  <c r="AD1247" i="10"/>
  <c r="V1247" i="10"/>
  <c r="AQ1247" i="10"/>
  <c r="AS1247" i="10"/>
  <c r="Y1247" i="10"/>
  <c r="AC1247" i="10"/>
  <c r="W1247" i="10"/>
  <c r="X1247" i="10"/>
  <c r="S1233" i="10"/>
  <c r="U1233" i="10"/>
  <c r="AQ1233" i="10"/>
  <c r="R1233" i="10"/>
  <c r="AG1233" i="10"/>
  <c r="AI1233" i="10"/>
  <c r="AO1233" i="10"/>
  <c r="U1221" i="10"/>
  <c r="Q1221" i="10"/>
  <c r="J1221" i="10"/>
  <c r="P1221" i="10"/>
  <c r="X1231" i="10"/>
  <c r="O1525" i="10"/>
  <c r="Q1473" i="10"/>
  <c r="L1457" i="10"/>
  <c r="AO1300" i="10"/>
  <c r="W1302" i="10"/>
  <c r="J1286" i="10"/>
  <c r="AK1300" i="10"/>
  <c r="V1412" i="10"/>
  <c r="AK1479" i="10"/>
  <c r="AN1427" i="10"/>
  <c r="N1353" i="10"/>
  <c r="AL1522" i="10"/>
  <c r="AH1540" i="10"/>
  <c r="AR1414" i="10"/>
  <c r="Z1515" i="10"/>
  <c r="M1313" i="10"/>
  <c r="W1590" i="10"/>
  <c r="Y1367" i="10"/>
  <c r="AK1540" i="10"/>
  <c r="Q1401" i="10"/>
  <c r="AJ1479" i="10"/>
  <c r="AM1267" i="10"/>
  <c r="AI1288" i="10"/>
  <c r="AN1294" i="10"/>
  <c r="AI1271" i="10"/>
  <c r="AJ1515" i="10"/>
  <c r="O1412" i="10"/>
  <c r="AA1527" i="10"/>
  <c r="J1349" i="10"/>
  <c r="AS1267" i="10"/>
  <c r="O1267" i="10"/>
  <c r="AL1271" i="10"/>
  <c r="AQ1412" i="10"/>
  <c r="O1590" i="10"/>
  <c r="AL1473" i="10"/>
  <c r="V1249" i="10"/>
  <c r="J1249" i="10"/>
  <c r="W1300" i="10"/>
  <c r="K1433" i="10"/>
  <c r="AJ1489" i="10"/>
  <c r="AI1515" i="10"/>
  <c r="W1555" i="10"/>
  <c r="Q1337" i="10"/>
  <c r="S1412" i="10"/>
  <c r="AO1478" i="10"/>
  <c r="AN1553" i="10"/>
  <c r="Z1479" i="10"/>
  <c r="AK1464" i="10"/>
  <c r="Y1256" i="10"/>
  <c r="AL1433" i="10"/>
  <c r="V1479" i="10"/>
  <c r="L1507" i="10"/>
  <c r="AL1427" i="10"/>
  <c r="P1512" i="10"/>
  <c r="AB1442" i="10"/>
  <c r="AH1251" i="10"/>
  <c r="AQ1433" i="10"/>
  <c r="AM1553" i="10"/>
  <c r="AN1412" i="10"/>
  <c r="O1481" i="10"/>
  <c r="AK1536" i="10"/>
  <c r="Y1571" i="10"/>
  <c r="M1507" i="10"/>
  <c r="V1573" i="10"/>
  <c r="L1522" i="10"/>
  <c r="AK1512" i="10"/>
  <c r="AR1240" i="10"/>
  <c r="AJ1494" i="10"/>
  <c r="AP1540" i="10"/>
  <c r="N1464" i="10"/>
  <c r="M1373" i="10"/>
  <c r="AS1367" i="10"/>
  <c r="AP1319" i="10"/>
  <c r="AI1571" i="10"/>
  <c r="AM1515" i="10"/>
  <c r="U1468" i="10"/>
  <c r="AP1271" i="10"/>
  <c r="X1442" i="10"/>
  <c r="M1571" i="10"/>
  <c r="X1464" i="10"/>
  <c r="AM1489" i="10"/>
  <c r="AL1515" i="10"/>
  <c r="O1553" i="10"/>
  <c r="M1271" i="10"/>
  <c r="L1573" i="10"/>
  <c r="P1542" i="10"/>
  <c r="AC1522" i="10"/>
  <c r="T1512" i="10"/>
  <c r="U1240" i="10"/>
  <c r="L1546" i="10"/>
  <c r="AD1540" i="10"/>
  <c r="AM1468" i="10"/>
  <c r="AJ1373" i="10"/>
  <c r="U1367" i="10"/>
  <c r="R1319" i="10"/>
  <c r="T1571" i="10"/>
  <c r="K1489" i="10"/>
  <c r="N1369" i="10"/>
  <c r="X1512" i="10"/>
  <c r="AH1373" i="10"/>
  <c r="AC1577" i="10"/>
  <c r="AJ1478" i="10"/>
  <c r="X1540" i="10"/>
  <c r="AR1367" i="10"/>
  <c r="K1579" i="10"/>
  <c r="AD1546" i="10"/>
  <c r="W1542" i="10"/>
  <c r="AH1478" i="10"/>
  <c r="S1369" i="10"/>
  <c r="O1361" i="10"/>
  <c r="AE1353" i="10"/>
  <c r="AG1326" i="10"/>
  <c r="L1286" i="10"/>
  <c r="Y1590" i="10"/>
  <c r="AR1577" i="10"/>
  <c r="AF1427" i="10"/>
  <c r="AK1401" i="10"/>
  <c r="U1442" i="10"/>
  <c r="AS1249" i="10"/>
  <c r="W1527" i="10"/>
  <c r="R1377" i="10"/>
  <c r="V1579" i="10"/>
  <c r="AB1542" i="10"/>
  <c r="R1512" i="10"/>
  <c r="AS1240" i="10"/>
  <c r="AL1577" i="10"/>
  <c r="Z1427" i="10"/>
  <c r="V1373" i="10"/>
  <c r="AA1319" i="10"/>
  <c r="AH1577" i="10"/>
  <c r="AA1546" i="10"/>
  <c r="AH1542" i="10"/>
  <c r="T1540" i="10"/>
  <c r="AA1522" i="10"/>
  <c r="AT1490" i="10"/>
  <c r="AE1478" i="10"/>
  <c r="Y1442" i="10"/>
  <c r="AM1369" i="10"/>
  <c r="AK1369" i="10"/>
  <c r="AF1361" i="10"/>
  <c r="S1353" i="10"/>
  <c r="M1353" i="10"/>
  <c r="U1326" i="10"/>
  <c r="AT1326" i="10"/>
  <c r="AF1286" i="10"/>
  <c r="AS1286" i="10"/>
  <c r="AQ1256" i="10"/>
  <c r="M1590" i="10"/>
  <c r="AL1590" i="10"/>
  <c r="AF1577" i="10"/>
  <c r="AA1442" i="10"/>
  <c r="R1427" i="10"/>
  <c r="P1401" i="10"/>
  <c r="AL1401" i="10"/>
  <c r="Y1555" i="10"/>
  <c r="AC1525" i="10"/>
  <c r="AC1507" i="10"/>
  <c r="AC1481" i="10"/>
  <c r="K1425" i="10"/>
  <c r="M1302" i="10"/>
  <c r="S1302" i="10"/>
  <c r="AN1302" i="10"/>
  <c r="AO1485" i="10"/>
  <c r="AT1306" i="10"/>
  <c r="R1300" i="10"/>
  <c r="AH1284" i="10"/>
  <c r="AB1271" i="10"/>
  <c r="X1267" i="10"/>
  <c r="R1256" i="10"/>
  <c r="T1249" i="10"/>
  <c r="K1300" i="10"/>
  <c r="AQ1313" i="10"/>
  <c r="AB1349" i="10"/>
  <c r="AF1377" i="10"/>
  <c r="AP1382" i="10"/>
  <c r="Q1382" i="10"/>
  <c r="Z1414" i="10"/>
  <c r="AQ1284" i="10"/>
  <c r="K1306" i="10"/>
  <c r="X1337" i="10"/>
  <c r="R1349" i="10"/>
  <c r="AF1407" i="10"/>
  <c r="AE1412" i="10"/>
  <c r="AG1433" i="10"/>
  <c r="Y1479" i="10"/>
  <c r="AO1489" i="10"/>
  <c r="AK1525" i="10"/>
  <c r="AG1555" i="10"/>
  <c r="AA1401" i="10"/>
  <c r="AP1442" i="10"/>
  <c r="AT1590" i="10"/>
  <c r="AM1256" i="10"/>
  <c r="AQ1326" i="10"/>
  <c r="AJ1353" i="10"/>
  <c r="T1361" i="10"/>
  <c r="AB1369" i="10"/>
  <c r="AM1490" i="10"/>
  <c r="S1522" i="10"/>
  <c r="J1542" i="10"/>
  <c r="AA1571" i="10"/>
  <c r="AB1319" i="10"/>
  <c r="O1373" i="10"/>
  <c r="Z1464" i="10"/>
  <c r="T1573" i="10"/>
  <c r="AQ1515" i="10"/>
  <c r="X1433" i="10"/>
  <c r="R1553" i="10"/>
  <c r="W1306" i="10"/>
  <c r="AC1540" i="10"/>
  <c r="T1343" i="10"/>
  <c r="M1536" i="10"/>
  <c r="O1536" i="10"/>
  <c r="AC1536" i="10"/>
  <c r="S1536" i="10"/>
  <c r="AT1536" i="10"/>
  <c r="R1536" i="10"/>
  <c r="Z1247" i="10"/>
  <c r="Q1247" i="10"/>
  <c r="O1247" i="10"/>
  <c r="M1247" i="10"/>
  <c r="AH1247" i="10"/>
  <c r="AG1247" i="10"/>
  <c r="T1247" i="10"/>
  <c r="AN1247" i="10"/>
  <c r="AD1233" i="10"/>
  <c r="AP1233" i="10"/>
  <c r="AM1233" i="10"/>
  <c r="AE1233" i="10"/>
  <c r="Y1233" i="10"/>
  <c r="T1233" i="10"/>
  <c r="X1233" i="10"/>
  <c r="Y1221" i="10"/>
  <c r="K1221" i="10"/>
  <c r="AH1221" i="10"/>
  <c r="T1227" i="10"/>
  <c r="AF1341" i="10"/>
  <c r="AF1302" i="10"/>
  <c r="AP1284" i="10"/>
  <c r="AC1353" i="10"/>
  <c r="Z1577" i="10"/>
  <c r="O1313" i="10"/>
  <c r="W1407" i="10"/>
  <c r="AG1590" i="10"/>
  <c r="V1546" i="10"/>
  <c r="AL1313" i="10"/>
  <c r="AE1433" i="10"/>
  <c r="Y1267" i="10"/>
  <c r="R1433" i="10"/>
  <c r="AS1468" i="10"/>
  <c r="S1414" i="10"/>
  <c r="Y1313" i="10"/>
  <c r="AT1369" i="10"/>
  <c r="AK1579" i="10"/>
  <c r="AK1313" i="10"/>
  <c r="Y1373" i="10"/>
  <c r="S1527" i="10"/>
  <c r="K1271" i="10"/>
  <c r="AD1369" i="10"/>
  <c r="P1479" i="10"/>
  <c r="AH1527" i="10"/>
  <c r="V1369" i="10"/>
  <c r="AD1489" i="10"/>
  <c r="J1515" i="10"/>
  <c r="AT1349" i="10"/>
  <c r="T1489" i="10"/>
  <c r="AH1553" i="10"/>
  <c r="AN1382" i="10"/>
  <c r="AM1473" i="10"/>
  <c r="L1414" i="10"/>
  <c r="X1515" i="10"/>
  <c r="M1464" i="10"/>
  <c r="K1515" i="10"/>
  <c r="AA1573" i="10"/>
  <c r="AJ1490" i="10"/>
  <c r="T1478" i="10"/>
  <c r="J1468" i="10"/>
  <c r="S1319" i="10"/>
  <c r="L1579" i="10"/>
  <c r="V1319" i="10"/>
  <c r="AD1515" i="10"/>
  <c r="AB1473" i="10"/>
  <c r="O1527" i="10"/>
  <c r="P1590" i="10"/>
  <c r="AK1573" i="10"/>
  <c r="J1512" i="10"/>
  <c r="T1240" i="10"/>
  <c r="K1464" i="10"/>
  <c r="AT1373" i="10"/>
  <c r="R1457" i="10"/>
  <c r="AD1433" i="10"/>
  <c r="M1553" i="10"/>
  <c r="N1512" i="10"/>
  <c r="AT1577" i="10"/>
  <c r="AE1373" i="10"/>
  <c r="AE1571" i="10"/>
  <c r="N1522" i="10"/>
  <c r="AQ1478" i="10"/>
  <c r="AF1369" i="10"/>
  <c r="AR1353" i="10"/>
  <c r="AI1286" i="10"/>
  <c r="AH1590" i="10"/>
  <c r="O1401" i="10"/>
  <c r="Q1527" i="10"/>
  <c r="N1377" i="10"/>
  <c r="AG1464" i="10"/>
  <c r="Q1478" i="10"/>
  <c r="AB1494" i="10"/>
  <c r="AA1468" i="10"/>
  <c r="K1373" i="10"/>
  <c r="X1319" i="10"/>
  <c r="K1571" i="10"/>
  <c r="AQ1546" i="10"/>
  <c r="R1522" i="10"/>
  <c r="AJ1468" i="10"/>
  <c r="AP1401" i="10"/>
  <c r="S1361" i="10"/>
  <c r="AI1353" i="10"/>
  <c r="AK1326" i="10"/>
  <c r="Q1286" i="10"/>
  <c r="AC1590" i="10"/>
  <c r="R1442" i="10"/>
  <c r="AK1427" i="10"/>
  <c r="N1319" i="10"/>
  <c r="AS1527" i="10"/>
  <c r="AS1479" i="10"/>
  <c r="P1524" i="10"/>
  <c r="AC1302" i="10"/>
  <c r="AL1286" i="10"/>
  <c r="P1251" i="10"/>
  <c r="Y1284" i="10"/>
  <c r="K1313" i="10"/>
  <c r="AI1377" i="10"/>
  <c r="R1412" i="10"/>
  <c r="AN1300" i="10"/>
  <c r="AA1337" i="10"/>
  <c r="W1427" i="10"/>
  <c r="Y1473" i="10"/>
  <c r="AB1427" i="10"/>
  <c r="U1590" i="10"/>
  <c r="W1286" i="10"/>
  <c r="AS1361" i="10"/>
  <c r="AE1427" i="10"/>
  <c r="AP1546" i="10"/>
  <c r="AE1367" i="10"/>
  <c r="AH1536" i="10"/>
  <c r="AH1512" i="10"/>
  <c r="W1489" i="10"/>
  <c r="V1433" i="10"/>
  <c r="O1419" i="10"/>
  <c r="L1231" i="10"/>
  <c r="Y1536" i="10"/>
  <c r="AE1536" i="10"/>
  <c r="AI1536" i="10"/>
  <c r="K1536" i="10"/>
  <c r="AI1247" i="10"/>
  <c r="AT1247" i="10"/>
  <c r="AO1247" i="10"/>
  <c r="AJ1247" i="10"/>
  <c r="AT1233" i="10"/>
  <c r="Z1233" i="10"/>
  <c r="Q1233" i="10"/>
  <c r="AN1233" i="10"/>
  <c r="AG1221" i="10"/>
  <c r="L1332" i="10"/>
  <c r="P1233" i="10"/>
  <c r="AS1343" i="10"/>
  <c r="AF1536" i="10"/>
  <c r="AL1341" i="10"/>
  <c r="AF1419" i="10"/>
  <c r="M1419" i="10"/>
  <c r="AB1419" i="10"/>
  <c r="L1419" i="10"/>
  <c r="AD1419" i="10"/>
  <c r="AI1419" i="10"/>
  <c r="T1419" i="10"/>
  <c r="Z1368" i="10"/>
  <c r="N1343" i="10"/>
  <c r="O1343" i="10"/>
  <c r="AR1343" i="10"/>
  <c r="AI1343" i="10"/>
  <c r="AP1343" i="10"/>
  <c r="Z1343" i="10"/>
  <c r="K1341" i="10"/>
  <c r="AN1341" i="10"/>
  <c r="AH1341" i="10"/>
  <c r="L1341" i="10"/>
  <c r="V1341" i="10"/>
  <c r="AJ1341" i="10"/>
  <c r="M1341" i="10"/>
  <c r="AM1332" i="10"/>
  <c r="Z1332" i="10"/>
  <c r="O1332" i="10"/>
  <c r="N1332" i="10"/>
  <c r="AB1332" i="10"/>
  <c r="R1332" i="10"/>
  <c r="AC1332" i="10"/>
  <c r="W1231" i="10"/>
  <c r="AI1231" i="10"/>
  <c r="V1231" i="10"/>
  <c r="Y1231" i="10"/>
  <c r="Z1231" i="10"/>
  <c r="AO1231" i="10"/>
  <c r="AT1231" i="10"/>
  <c r="R1227" i="10"/>
  <c r="AS1227" i="10"/>
  <c r="Y1227" i="10"/>
  <c r="V1227" i="10"/>
  <c r="AG1227" i="10"/>
  <c r="AE1227" i="10"/>
  <c r="X1227" i="10"/>
  <c r="L1227" i="10"/>
  <c r="AA1419" i="10"/>
  <c r="AD1536" i="10"/>
  <c r="AF1247" i="10"/>
  <c r="AN1231" i="10"/>
  <c r="K1419" i="10"/>
  <c r="U1343" i="10"/>
  <c r="W1536" i="10"/>
  <c r="M1332" i="10"/>
  <c r="AC1419" i="10"/>
  <c r="S1247" i="10"/>
  <c r="AS1494" i="10"/>
  <c r="U1490" i="10"/>
  <c r="AC1490" i="10"/>
  <c r="M1490" i="10"/>
  <c r="O1490" i="10"/>
  <c r="AG1490" i="10"/>
  <c r="S1490" i="10"/>
  <c r="L1485" i="10"/>
  <c r="AD1485" i="10"/>
  <c r="T1485" i="10"/>
  <c r="W1490" i="10"/>
  <c r="AF1490" i="10"/>
  <c r="P1494" i="10"/>
  <c r="AC1494" i="10"/>
  <c r="V1494" i="10"/>
  <c r="M1494" i="10"/>
  <c r="AP1494" i="10"/>
  <c r="AA1485" i="10"/>
  <c r="AK1485" i="10"/>
  <c r="R1490" i="10"/>
  <c r="AK1494" i="10"/>
  <c r="X1425" i="10"/>
  <c r="AP1425" i="10"/>
  <c r="AQ1425" i="10"/>
  <c r="J1425" i="10"/>
  <c r="Z1425" i="10"/>
  <c r="M1425" i="10"/>
  <c r="N1425" i="10"/>
  <c r="Z1355" i="10"/>
  <c r="AI1425" i="10"/>
  <c r="N1318" i="10"/>
  <c r="AH1425" i="10"/>
  <c r="AE1425" i="10"/>
  <c r="AE1485" i="10"/>
  <c r="AC1485" i="10"/>
  <c r="AG1536" i="10"/>
  <c r="X1419" i="10"/>
  <c r="W1586" i="10"/>
  <c r="Y1586" i="10"/>
  <c r="K1586" i="10"/>
  <c r="AE1586" i="10"/>
  <c r="V1586" i="10"/>
  <c r="AR1586" i="10"/>
  <c r="AA1586" i="10"/>
  <c r="AI1586" i="10"/>
  <c r="N1586" i="10"/>
  <c r="Q1586" i="10"/>
  <c r="AN1555" i="10"/>
  <c r="R1555" i="10"/>
  <c r="V1555" i="10"/>
  <c r="R1525" i="10"/>
  <c r="AI1525" i="10"/>
  <c r="L1525" i="10"/>
  <c r="AG1478" i="10"/>
  <c r="M1412" i="10"/>
  <c r="Q1412" i="10"/>
  <c r="P1412" i="10"/>
  <c r="AS1407" i="10"/>
  <c r="AO1407" i="10"/>
  <c r="AT1407" i="10"/>
  <c r="AH1401" i="10"/>
  <c r="Q1377" i="10"/>
  <c r="J1377" i="10"/>
  <c r="AO1373" i="10"/>
  <c r="AD1507" i="10"/>
  <c r="S1555" i="10"/>
  <c r="AD1481" i="10"/>
  <c r="AO1452" i="10"/>
  <c r="AF1219" i="10"/>
  <c r="J1348" i="10"/>
  <c r="L1429" i="10"/>
  <c r="AO1429" i="10"/>
  <c r="AC1429" i="10"/>
  <c r="J1429" i="10"/>
  <c r="Q1429" i="10"/>
  <c r="V1429" i="10"/>
  <c r="AI1429" i="10"/>
  <c r="AB1429" i="10"/>
  <c r="Z1533" i="10"/>
  <c r="AR1533" i="10"/>
  <c r="AP1585" i="10"/>
  <c r="AQ1356" i="10"/>
  <c r="P1354" i="10"/>
  <c r="AR1219" i="10"/>
  <c r="AC1219" i="10"/>
  <c r="Y1452" i="10"/>
  <c r="J1219" i="10"/>
  <c r="AS1339" i="10"/>
  <c r="AI1472" i="10"/>
  <c r="AR1472" i="10"/>
  <c r="AT1339" i="10"/>
  <c r="AQ1339" i="10"/>
  <c r="AF1339" i="10"/>
  <c r="X1472" i="10"/>
  <c r="T1386" i="10"/>
  <c r="AA1410" i="10"/>
  <c r="AL1386" i="10"/>
  <c r="AH1219" i="10"/>
  <c r="AB1219" i="10"/>
  <c r="AB1563" i="10"/>
  <c r="T1563" i="10"/>
  <c r="AK1378" i="10"/>
  <c r="S1386" i="10"/>
  <c r="AT1533" i="10"/>
  <c r="L1219" i="10"/>
  <c r="AO1219" i="10"/>
  <c r="AL1219" i="10"/>
  <c r="AA1219" i="10"/>
  <c r="K1219" i="10"/>
  <c r="X1452" i="10"/>
  <c r="AJ1452" i="10"/>
  <c r="AT1452" i="10"/>
  <c r="AI1452" i="10"/>
  <c r="P1452" i="10"/>
  <c r="M1452" i="10"/>
  <c r="AI1219" i="10"/>
  <c r="N1219" i="10"/>
  <c r="AP1219" i="10"/>
  <c r="AN1533" i="10"/>
  <c r="AE1452" i="10"/>
  <c r="O1354" i="10"/>
  <c r="Y1410" i="10"/>
  <c r="AG1378" i="10"/>
  <c r="AT1378" i="10"/>
  <c r="AL1378" i="10"/>
  <c r="L1309" i="10"/>
  <c r="AM1309" i="10"/>
  <c r="Z1309" i="10"/>
  <c r="AO1309" i="10"/>
  <c r="AT1235" i="10"/>
  <c r="V1309" i="10"/>
  <c r="AT1280" i="10"/>
  <c r="AB1280" i="10"/>
  <c r="AG1280" i="10"/>
  <c r="W1280" i="10"/>
  <c r="AO1280" i="10"/>
  <c r="T1280" i="10"/>
  <c r="M1280" i="10"/>
  <c r="AG1375" i="10"/>
  <c r="O1375" i="10"/>
  <c r="AL1309" i="10"/>
  <c r="AB1309" i="10"/>
  <c r="AS1280" i="10"/>
  <c r="N1354" i="10"/>
  <c r="AG1354" i="10"/>
  <c r="AA1354" i="10"/>
  <c r="AI1354" i="10"/>
  <c r="AQ1577" i="10"/>
  <c r="W1485" i="10"/>
  <c r="S1349" i="10"/>
  <c r="AA1427" i="10"/>
  <c r="O1473" i="10"/>
  <c r="AO1377" i="10"/>
  <c r="AF1512" i="10"/>
  <c r="Y1319" i="10"/>
  <c r="AM1479" i="10"/>
  <c r="AC1349" i="10"/>
  <c r="T1382" i="10"/>
  <c r="L1433" i="10"/>
  <c r="AF1507" i="10"/>
  <c r="AM1326" i="10"/>
  <c r="AT1377" i="10"/>
  <c r="L1382" i="10"/>
  <c r="AL1479" i="10"/>
  <c r="Q1540" i="10"/>
  <c r="AH1377" i="10"/>
  <c r="X1489" i="10"/>
  <c r="AR1525" i="10"/>
  <c r="AI1481" i="10"/>
  <c r="AP1489" i="10"/>
  <c r="AB1555" i="10"/>
  <c r="AG1401" i="10"/>
  <c r="AD1479" i="10"/>
  <c r="AA1473" i="10"/>
  <c r="AB1326" i="10"/>
  <c r="AN1525" i="10"/>
  <c r="AF1468" i="10"/>
  <c r="AF1515" i="10"/>
  <c r="K1590" i="10"/>
  <c r="AQ1573" i="10"/>
  <c r="AB1590" i="10"/>
  <c r="Z1468" i="10"/>
  <c r="S1373" i="10"/>
  <c r="AI1319" i="10"/>
  <c r="AB1579" i="10"/>
  <c r="Z1337" i="10"/>
  <c r="AT1525" i="10"/>
  <c r="AI1479" i="10"/>
  <c r="AJ1527" i="10"/>
  <c r="M1555" i="10"/>
  <c r="AD1573" i="10"/>
  <c r="Z1512" i="10"/>
  <c r="X1240" i="10"/>
  <c r="AA1464" i="10"/>
  <c r="W1367" i="10"/>
  <c r="Q1577" i="10"/>
  <c r="Q1494" i="10"/>
  <c r="AT1512" i="10"/>
  <c r="AB1373" i="10"/>
  <c r="AB1571" i="10"/>
  <c r="AD1522" i="10"/>
  <c r="AR1468" i="10"/>
  <c r="J1369" i="10"/>
  <c r="AK1353" i="10"/>
  <c r="AN1284" i="10"/>
  <c r="O1577" i="10"/>
  <c r="AE1401" i="10"/>
  <c r="AG1525" i="10"/>
  <c r="J1473" i="10"/>
  <c r="M1267" i="10"/>
  <c r="O1411" i="10"/>
  <c r="P1478" i="10"/>
  <c r="V1464" i="10"/>
  <c r="AQ1373" i="10"/>
  <c r="Z1319" i="10"/>
  <c r="AQ1571" i="10"/>
  <c r="AH1522" i="10"/>
  <c r="N1494" i="10"/>
  <c r="AR1464" i="10"/>
  <c r="AI1361" i="10"/>
  <c r="P1353" i="10"/>
  <c r="N1326" i="10"/>
  <c r="AM1286" i="10"/>
  <c r="AS1590" i="10"/>
  <c r="AH1442" i="10"/>
  <c r="S1401" i="10"/>
  <c r="AG1294" i="10"/>
  <c r="AC1527" i="10"/>
  <c r="AB1524" i="10"/>
  <c r="AI1302" i="10"/>
  <c r="AD1306" i="10"/>
  <c r="R1284" i="10"/>
  <c r="W1249" i="10"/>
  <c r="Y1300" i="10"/>
  <c r="L1349" i="10"/>
  <c r="Z1382" i="10"/>
  <c r="J1414" i="10"/>
  <c r="Y1306" i="10"/>
  <c r="P1407" i="10"/>
  <c r="AO1479" i="10"/>
  <c r="U1507" i="10"/>
  <c r="R1343" i="10"/>
  <c r="J1442" i="10"/>
  <c r="AF1256" i="10"/>
  <c r="P1326" i="10"/>
  <c r="W1361" i="10"/>
  <c r="AB1464" i="10"/>
  <c r="Z1522" i="10"/>
  <c r="AM1579" i="10"/>
  <c r="AN1478" i="10"/>
  <c r="M1577" i="10"/>
  <c r="AF1414" i="10"/>
  <c r="M1349" i="10"/>
  <c r="T1341" i="10"/>
  <c r="P1536" i="10"/>
  <c r="AR1536" i="10"/>
  <c r="AJ1536" i="10"/>
  <c r="AQ1536" i="10"/>
  <c r="AM1247" i="10"/>
  <c r="AL1247" i="10"/>
  <c r="K1247" i="10"/>
  <c r="R1247" i="10"/>
  <c r="K1233" i="10"/>
  <c r="W1233" i="10"/>
  <c r="AH1233" i="10"/>
  <c r="AO1221" i="10"/>
  <c r="AM1221" i="10"/>
  <c r="AR1231" i="10"/>
  <c r="AQ1332" i="10"/>
  <c r="Y1344" i="10"/>
  <c r="N1419" i="10"/>
  <c r="AH1419" i="10"/>
  <c r="AS1419" i="10"/>
  <c r="AN1419" i="10"/>
  <c r="AP1419" i="10"/>
  <c r="J1419" i="10"/>
  <c r="W1419" i="10"/>
  <c r="AK1344" i="10"/>
  <c r="V1343" i="10"/>
  <c r="Q1343" i="10"/>
  <c r="AE1343" i="10"/>
  <c r="AH1343" i="10"/>
  <c r="P1343" i="10"/>
  <c r="AK1343" i="10"/>
  <c r="AM1343" i="10"/>
  <c r="AA1341" i="10"/>
  <c r="AC1341" i="10"/>
  <c r="Y1341" i="10"/>
  <c r="AB1341" i="10"/>
  <c r="Q1341" i="10"/>
  <c r="R1341" i="10"/>
  <c r="AD1341" i="10"/>
  <c r="Q1332" i="10"/>
  <c r="AP1332" i="10"/>
  <c r="X1332" i="10"/>
  <c r="AD1332" i="10"/>
  <c r="AE1332" i="10"/>
  <c r="K1332" i="10"/>
  <c r="V1332" i="10"/>
  <c r="AT1283" i="10"/>
  <c r="AQ1231" i="10"/>
  <c r="M1231" i="10"/>
  <c r="S1231" i="10"/>
  <c r="J1231" i="10"/>
  <c r="AA1231" i="10"/>
  <c r="AL1231" i="10"/>
  <c r="AC1231" i="10"/>
  <c r="S1227" i="10"/>
  <c r="K1227" i="10"/>
  <c r="AT1227" i="10"/>
  <c r="AM1227" i="10"/>
  <c r="AC1227" i="10"/>
  <c r="AK1227" i="10"/>
  <c r="AN1227" i="10"/>
  <c r="AB1227" i="10"/>
  <c r="P1247" i="10"/>
  <c r="AS1332" i="10"/>
  <c r="AJ1227" i="10"/>
  <c r="AQ1343" i="10"/>
  <c r="AN1536" i="10"/>
  <c r="Z1419" i="10"/>
  <c r="AA1247" i="10"/>
  <c r="P1490" i="10"/>
  <c r="X1490" i="10"/>
  <c r="AN1490" i="10"/>
  <c r="AE1490" i="10"/>
  <c r="J1490" i="10"/>
  <c r="AI1490" i="10"/>
  <c r="AJ1485" i="10"/>
  <c r="AH1485" i="10"/>
  <c r="Z1485" i="10"/>
  <c r="AD1490" i="10"/>
  <c r="L1494" i="10"/>
  <c r="X1494" i="10"/>
  <c r="AL1494" i="10"/>
  <c r="AN1494" i="10"/>
  <c r="S1494" i="10"/>
  <c r="K1485" i="10"/>
  <c r="V1485" i="10"/>
  <c r="AQ1494" i="10"/>
  <c r="AS1490" i="10"/>
  <c r="AS1425" i="10"/>
  <c r="AJ1425" i="10"/>
  <c r="AC1425" i="10"/>
  <c r="Q1425" i="10"/>
  <c r="AL1425" i="10"/>
  <c r="L1425" i="10"/>
  <c r="P1425" i="10"/>
  <c r="Q1318" i="10"/>
  <c r="AT1485" i="10"/>
  <c r="AS1485" i="10"/>
  <c r="AO1341" i="10"/>
  <c r="O1586" i="10"/>
  <c r="AO1586" i="10"/>
  <c r="AQ1586" i="10"/>
  <c r="M1586" i="10"/>
  <c r="AL1586" i="10"/>
  <c r="AN1586" i="10"/>
  <c r="P1586" i="10"/>
  <c r="X1586" i="10"/>
  <c r="AB1586" i="10"/>
  <c r="AS1587" i="10"/>
  <c r="AI1555" i="10"/>
  <c r="AM1555" i="10"/>
  <c r="AA1555" i="10"/>
  <c r="T1525" i="10"/>
  <c r="W1525" i="10"/>
  <c r="P1525" i="10"/>
  <c r="Z1525" i="10"/>
  <c r="AS1412" i="10"/>
  <c r="W1412" i="10"/>
  <c r="AR1412" i="10"/>
  <c r="AC1407" i="10"/>
  <c r="V1407" i="10"/>
  <c r="R1401" i="10"/>
  <c r="M1377" i="10"/>
  <c r="AG1377" i="10"/>
  <c r="AP1377" i="10"/>
  <c r="J1373" i="10"/>
  <c r="AR1535" i="10"/>
  <c r="N1452" i="10"/>
  <c r="AS1452" i="10"/>
  <c r="AJ1356" i="10"/>
  <c r="P1429" i="10"/>
  <c r="M1429" i="10"/>
  <c r="T1429" i="10"/>
  <c r="W1429" i="10"/>
  <c r="U1429" i="10"/>
  <c r="AE1429" i="10"/>
  <c r="AL1429" i="10"/>
  <c r="AQ1429" i="10"/>
  <c r="T1533" i="10"/>
  <c r="AF1356" i="10"/>
  <c r="Q1219" i="10"/>
  <c r="AE1280" i="10"/>
  <c r="V1354" i="10"/>
  <c r="AK1219" i="10"/>
  <c r="Q1452" i="10"/>
  <c r="V1452" i="10"/>
  <c r="AC1356" i="10"/>
  <c r="AP1563" i="10"/>
  <c r="T1339" i="10"/>
  <c r="N1472" i="10"/>
  <c r="AJ1472" i="10"/>
  <c r="T1585" i="10"/>
  <c r="L1339" i="10"/>
  <c r="AE1339" i="10"/>
  <c r="X1339" i="10"/>
  <c r="S1410" i="10"/>
  <c r="AQ1378" i="10"/>
  <c r="AK1533" i="10"/>
  <c r="V1219" i="10"/>
  <c r="R1563" i="10"/>
  <c r="V1378" i="10"/>
  <c r="X1533" i="10"/>
  <c r="S1219" i="10"/>
  <c r="W1219" i="10"/>
  <c r="AE1219" i="10"/>
  <c r="AN1219" i="10"/>
  <c r="AD1452" i="10"/>
  <c r="AP1452" i="10"/>
  <c r="U1452" i="10"/>
  <c r="AK1452" i="10"/>
  <c r="AC1585" i="10"/>
  <c r="J1410" i="10"/>
  <c r="O1452" i="10"/>
  <c r="AF1452" i="10"/>
  <c r="W1452" i="10"/>
  <c r="R1533" i="10"/>
  <c r="AR1452" i="10"/>
  <c r="AH1354" i="10"/>
  <c r="AJ1219" i="10"/>
  <c r="V1410" i="10"/>
  <c r="AP1410" i="10"/>
  <c r="AR1378" i="10"/>
  <c r="U1410" i="10"/>
  <c r="AF1386" i="10"/>
  <c r="AR1309" i="10"/>
  <c r="AE1309" i="10"/>
  <c r="AF1309" i="10"/>
  <c r="W1235" i="10"/>
  <c r="X1280" i="10"/>
  <c r="P1280" i="10"/>
  <c r="S1280" i="10"/>
  <c r="K1280" i="10"/>
  <c r="AA1280" i="10"/>
  <c r="L1280" i="10"/>
  <c r="Q1375" i="10"/>
  <c r="AI1375" i="10"/>
  <c r="J1375" i="10"/>
  <c r="AL1375" i="10"/>
  <c r="Y1235" i="10"/>
  <c r="U1354" i="10"/>
  <c r="R1354" i="10"/>
  <c r="AF1354" i="10"/>
  <c r="AC1354" i="10"/>
  <c r="AE1354" i="10"/>
  <c r="E359" i="9"/>
  <c r="E359" i="6"/>
  <c r="F1388" i="10"/>
  <c r="Y188" i="26"/>
  <c r="AC188" i="26" s="1"/>
  <c r="W1333" i="10"/>
  <c r="AD1333" i="10"/>
  <c r="Y1333" i="10"/>
  <c r="V1333" i="10"/>
  <c r="J1518" i="10"/>
  <c r="AL1422" i="10"/>
  <c r="AC1465" i="10"/>
  <c r="AG1469" i="10"/>
  <c r="K1480" i="10"/>
  <c r="Z1518" i="10"/>
  <c r="O1541" i="10"/>
  <c r="AF1389" i="10"/>
  <c r="AR1345" i="10"/>
  <c r="U1389" i="10"/>
  <c r="AX373" i="26"/>
  <c r="AX345" i="26"/>
  <c r="AM12" i="26"/>
  <c r="P1574" i="10"/>
  <c r="AJ1539" i="10"/>
  <c r="AD1535" i="10"/>
  <c r="AR1463" i="10"/>
  <c r="W1237" i="10"/>
  <c r="D188" i="10"/>
  <c r="AA188" i="26"/>
  <c r="AB81" i="9"/>
  <c r="J1235" i="10"/>
  <c r="F1501" i="10"/>
  <c r="AR1501" i="10" s="1"/>
  <c r="Y301" i="26"/>
  <c r="AC301" i="26" s="1"/>
  <c r="E45" i="10"/>
  <c r="AZ45" i="26"/>
  <c r="BB45" i="26" s="1"/>
  <c r="F1486" i="10"/>
  <c r="Y1486" i="10" s="1"/>
  <c r="Y286" i="26"/>
  <c r="AP254" i="26"/>
  <c r="AO254" i="26" s="1"/>
  <c r="AP176" i="26"/>
  <c r="AO176" i="26" s="1"/>
  <c r="V459" i="26"/>
  <c r="E121" i="10"/>
  <c r="F457" i="26"/>
  <c r="AF115" i="26"/>
  <c r="AP108" i="26"/>
  <c r="AO108" i="26" s="1"/>
  <c r="AP107" i="26"/>
  <c r="AO107" i="26" s="1"/>
  <c r="AP70" i="26"/>
  <c r="AO70" i="26" s="1"/>
  <c r="Y57" i="26"/>
  <c r="AL57" i="26" s="1"/>
  <c r="AJ1280" i="10"/>
  <c r="AS1344" i="10"/>
  <c r="F1324" i="10"/>
  <c r="AC1324" i="10" s="1"/>
  <c r="Y124" i="26"/>
  <c r="AB74" i="9"/>
  <c r="AM289" i="26"/>
  <c r="Y289" i="27" s="1"/>
  <c r="G289" i="27" s="1"/>
  <c r="AM253" i="26"/>
  <c r="AM177" i="26"/>
  <c r="AM126" i="26"/>
  <c r="Y126" i="27" s="1"/>
  <c r="G126" i="27" s="1"/>
  <c r="AM118" i="26"/>
  <c r="G118" i="6" s="1"/>
  <c r="AM40" i="26"/>
  <c r="AX366" i="26"/>
  <c r="AX352" i="26"/>
  <c r="Q1590" i="10"/>
  <c r="AF1540" i="10"/>
  <c r="M1527" i="10"/>
  <c r="AF1485" i="10"/>
  <c r="AK1457" i="10"/>
  <c r="AE1407" i="10"/>
  <c r="AQ1306" i="10"/>
  <c r="AP1302" i="10"/>
  <c r="R1286" i="10"/>
  <c r="AD242" i="26"/>
  <c r="AD218" i="26"/>
  <c r="AJ1410" i="10"/>
  <c r="AD119" i="26"/>
  <c r="AP368" i="26"/>
  <c r="Y166" i="26"/>
  <c r="Z487" i="26"/>
  <c r="AB412" i="26"/>
  <c r="AB240" i="9"/>
  <c r="AB94" i="9"/>
  <c r="AX318" i="26"/>
  <c r="AX312" i="26"/>
  <c r="AX289" i="26"/>
  <c r="AX273" i="26"/>
  <c r="AX177" i="26"/>
  <c r="AX98" i="26"/>
  <c r="AX66" i="26"/>
  <c r="AX51" i="26"/>
  <c r="AX20" i="26"/>
  <c r="G1242" i="10"/>
  <c r="Y379" i="26"/>
  <c r="U1219" i="10"/>
  <c r="Y230" i="26"/>
  <c r="Y63" i="26"/>
  <c r="AS264" i="26"/>
  <c r="AS177" i="26"/>
  <c r="AS83" i="26"/>
  <c r="AS20" i="26"/>
  <c r="AP167" i="26"/>
  <c r="AO167" i="26" s="1"/>
  <c r="AS51" i="26"/>
  <c r="AP185" i="26"/>
  <c r="AO185" i="26" s="1"/>
  <c r="AP372" i="26"/>
  <c r="AO372" i="26" s="1"/>
  <c r="AP44" i="26"/>
  <c r="AO44" i="26" s="1"/>
  <c r="AP333" i="26"/>
  <c r="AO333" i="26" s="1"/>
  <c r="AX169" i="26"/>
  <c r="AX367" i="26"/>
  <c r="AB38" i="6"/>
  <c r="AP94" i="26"/>
  <c r="AO94" i="26" s="1"/>
  <c r="AX83" i="26"/>
  <c r="AP290" i="26"/>
  <c r="AB95" i="6"/>
  <c r="AX380" i="26"/>
  <c r="AP20" i="26"/>
  <c r="AO20" i="26" s="1"/>
  <c r="AP312" i="26"/>
  <c r="AO312" i="26" s="1"/>
  <c r="AP366" i="26"/>
  <c r="AO366" i="26" s="1"/>
  <c r="AX131" i="26"/>
  <c r="AB101" i="6"/>
  <c r="AB74" i="6"/>
  <c r="AS356" i="26"/>
  <c r="AX118" i="26"/>
  <c r="AX100" i="26"/>
  <c r="AP349" i="26"/>
  <c r="AO349" i="26" s="1"/>
  <c r="AP87" i="26"/>
  <c r="AO87" i="26" s="1"/>
  <c r="AP112" i="26"/>
  <c r="AX40" i="26"/>
  <c r="AO100" i="26"/>
  <c r="AP146" i="26"/>
  <c r="AO146" i="26" s="1"/>
  <c r="AP348" i="26"/>
  <c r="AO348" i="26" s="1"/>
  <c r="AP114" i="26"/>
  <c r="AO114" i="26" s="1"/>
  <c r="AP318" i="26"/>
  <c r="AO318" i="26" s="1"/>
  <c r="AX145" i="26"/>
  <c r="AP384" i="26"/>
  <c r="AP142" i="26"/>
  <c r="AO142" i="26" s="1"/>
  <c r="AP51" i="26"/>
  <c r="AO51" i="26" s="1"/>
  <c r="AP66" i="26"/>
  <c r="AO66" i="26" s="1"/>
  <c r="AP289" i="26"/>
  <c r="AO289" i="26" s="1"/>
  <c r="AX137" i="26"/>
  <c r="AM477" i="26"/>
  <c r="AN477" i="26" s="1"/>
  <c r="AP477" i="26" s="1"/>
  <c r="AO475" i="26"/>
  <c r="AN475" i="26" s="1"/>
  <c r="AP475" i="26" s="1"/>
  <c r="AO481" i="26"/>
  <c r="AN481" i="26" s="1"/>
  <c r="AP481" i="26" s="1"/>
  <c r="AO482" i="26"/>
  <c r="AN482" i="26" s="1"/>
  <c r="AP482" i="26" s="1"/>
  <c r="AO480" i="26"/>
  <c r="AN480" i="26" s="1"/>
  <c r="AP480" i="26" s="1"/>
  <c r="AP272" i="26"/>
  <c r="AO272" i="26" s="1"/>
  <c r="AX272" i="26"/>
  <c r="AP195" i="26"/>
  <c r="AO195" i="26" s="1"/>
  <c r="AX195" i="26"/>
  <c r="AP271" i="26"/>
  <c r="AO271" i="26" s="1"/>
  <c r="AP52" i="26"/>
  <c r="AO52" i="26" s="1"/>
  <c r="AP26" i="26"/>
  <c r="AO26" i="26" s="1"/>
  <c r="AB64" i="6"/>
  <c r="AT100" i="26"/>
  <c r="AS100" i="26" s="1"/>
  <c r="AP30" i="26"/>
  <c r="AO30" i="26" s="1"/>
  <c r="AP138" i="26"/>
  <c r="AP173" i="26"/>
  <c r="AO173" i="26" s="1"/>
  <c r="AX173" i="26"/>
  <c r="AX159" i="26"/>
  <c r="AP159" i="26"/>
  <c r="AO159" i="26" s="1"/>
  <c r="AP136" i="26"/>
  <c r="AO136" i="26" s="1"/>
  <c r="AX136" i="26"/>
  <c r="AP106" i="26"/>
  <c r="AO106" i="26" s="1"/>
  <c r="AX106" i="26"/>
  <c r="AP19" i="26"/>
  <c r="AO19" i="26" s="1"/>
  <c r="AX19" i="26"/>
  <c r="AX152" i="26"/>
  <c r="AP297" i="26"/>
  <c r="AO297" i="26" s="1"/>
  <c r="AP301" i="26"/>
  <c r="AO301" i="26" s="1"/>
  <c r="AX301" i="26"/>
  <c r="AX76" i="26"/>
  <c r="AP76" i="26"/>
  <c r="AO76" i="26" s="1"/>
  <c r="AT67" i="26"/>
  <c r="AS67" i="26" s="1"/>
  <c r="AO458" i="26"/>
  <c r="AM458" i="26"/>
  <c r="AX47" i="26"/>
  <c r="Z412" i="26"/>
  <c r="AE412" i="26" s="1"/>
  <c r="AO464" i="26"/>
  <c r="AN464" i="26" s="1"/>
  <c r="AP464" i="26" s="1"/>
  <c r="AP303" i="26"/>
  <c r="AO303" i="26" s="1"/>
  <c r="AP324" i="26"/>
  <c r="AO324" i="26" s="1"/>
  <c r="AX324" i="26"/>
  <c r="AP288" i="26"/>
  <c r="AO288" i="26" s="1"/>
  <c r="AX288" i="26"/>
  <c r="AP263" i="26"/>
  <c r="AO263" i="26" s="1"/>
  <c r="AX263" i="26"/>
  <c r="AB93" i="6"/>
  <c r="AP113" i="26"/>
  <c r="AO113" i="26" s="1"/>
  <c r="AP80" i="26"/>
  <c r="AO80" i="26" s="1"/>
  <c r="AP37" i="26"/>
  <c r="AO37" i="26" s="1"/>
  <c r="AP18" i="26"/>
  <c r="AO18" i="26" s="1"/>
  <c r="AO472" i="26"/>
  <c r="AM472" i="26"/>
  <c r="AP310" i="26"/>
  <c r="AO310" i="26" s="1"/>
  <c r="AS348" i="26"/>
  <c r="AM490" i="26"/>
  <c r="AP381" i="26"/>
  <c r="AO381" i="26" s="1"/>
  <c r="AP370" i="26"/>
  <c r="AO370" i="26" s="1"/>
  <c r="AP355" i="26"/>
  <c r="AO355" i="26" s="1"/>
  <c r="AT299" i="26"/>
  <c r="AS299" i="26" s="1"/>
  <c r="AT242" i="26"/>
  <c r="AS242" i="26" s="1"/>
  <c r="AT33" i="26"/>
  <c r="AS33" i="26" s="1"/>
  <c r="AX317" i="26"/>
  <c r="AP285" i="26"/>
  <c r="AP110" i="26"/>
  <c r="AO110" i="26" s="1"/>
  <c r="AX144" i="26"/>
  <c r="AX65" i="26"/>
  <c r="AX39" i="26"/>
  <c r="E463" i="9"/>
  <c r="AO535" i="26"/>
  <c r="AN535" i="26" s="1"/>
  <c r="AO450" i="26"/>
  <c r="AN450" i="26" s="1"/>
  <c r="AP450" i="26" s="1"/>
  <c r="AO492" i="26"/>
  <c r="AN492" i="26" s="1"/>
  <c r="AP492" i="26" s="1"/>
  <c r="L458" i="6"/>
  <c r="AB483" i="26"/>
  <c r="AM446" i="26"/>
  <c r="AN446" i="26" s="1"/>
  <c r="AP446" i="26" s="1"/>
  <c r="AO448" i="26"/>
  <c r="AN448" i="26" s="1"/>
  <c r="AP448" i="26" s="1"/>
  <c r="M458" i="6"/>
  <c r="E446" i="9"/>
  <c r="AM534" i="26"/>
  <c r="AN534" i="26" s="1"/>
  <c r="AP534" i="26" s="1"/>
  <c r="Z480" i="26"/>
  <c r="AE480" i="26" s="1"/>
  <c r="Z452" i="26"/>
  <c r="AB452" i="26"/>
  <c r="Z482" i="26"/>
  <c r="AE482" i="26" s="1"/>
  <c r="AB482" i="26"/>
  <c r="U537" i="26"/>
  <c r="E492" i="9"/>
  <c r="E473" i="6"/>
  <c r="E469" i="9"/>
  <c r="U495" i="26"/>
  <c r="AM486" i="26"/>
  <c r="AO486" i="26"/>
  <c r="AO460" i="26"/>
  <c r="AM460" i="26"/>
  <c r="AO467" i="26"/>
  <c r="AM467" i="26"/>
  <c r="AM466" i="26"/>
  <c r="AO466" i="26"/>
  <c r="AO442" i="26"/>
  <c r="AM442" i="26"/>
  <c r="AB441" i="26"/>
  <c r="Z441" i="26"/>
  <c r="AE441" i="26" s="1"/>
  <c r="AB430" i="26"/>
  <c r="Z430" i="26"/>
  <c r="AD430" i="26" s="1"/>
  <c r="Z420" i="26"/>
  <c r="AE420" i="26" s="1"/>
  <c r="AB420" i="26"/>
  <c r="AO474" i="26"/>
  <c r="AM474" i="26"/>
  <c r="AM478" i="26"/>
  <c r="AO478" i="26"/>
  <c r="AO425" i="26"/>
  <c r="AM425" i="26"/>
  <c r="AB432" i="26"/>
  <c r="Z432" i="26"/>
  <c r="AD432" i="26" s="1"/>
  <c r="AM456" i="26"/>
  <c r="AO456" i="26"/>
  <c r="AO463" i="26"/>
  <c r="AM463" i="26"/>
  <c r="AB487" i="26"/>
  <c r="Z531" i="26"/>
  <c r="AD531" i="26" s="1"/>
  <c r="AB531" i="26"/>
  <c r="AH269" i="9"/>
  <c r="AH268" i="9"/>
  <c r="AH373" i="9"/>
  <c r="AH263" i="9"/>
  <c r="AH272" i="9"/>
  <c r="AM459" i="26"/>
  <c r="AO459" i="26"/>
  <c r="AO457" i="26"/>
  <c r="AM457" i="26"/>
  <c r="AM453" i="26"/>
  <c r="AO453" i="26"/>
  <c r="AO483" i="26"/>
  <c r="AM483" i="26"/>
  <c r="AM468" i="26"/>
  <c r="AO468" i="26"/>
  <c r="AW297" i="26"/>
  <c r="AY297" i="26" s="1"/>
  <c r="AT1375" i="10"/>
  <c r="K1375" i="10"/>
  <c r="AK1375" i="10"/>
  <c r="X1375" i="10"/>
  <c r="AP1375" i="10"/>
  <c r="G1375" i="10"/>
  <c r="Y1375" i="10"/>
  <c r="Z1375" i="10"/>
  <c r="AE1375" i="10"/>
  <c r="V1375" i="10"/>
  <c r="AN1375" i="10"/>
  <c r="R1375" i="10"/>
  <c r="AD1375" i="10"/>
  <c r="AR1375" i="10"/>
  <c r="AM1375" i="10"/>
  <c r="T1375" i="10"/>
  <c r="M1375" i="10"/>
  <c r="AQ1375" i="10"/>
  <c r="AO1375" i="10"/>
  <c r="AC1375" i="10"/>
  <c r="AA1375" i="10"/>
  <c r="L1375" i="10"/>
  <c r="U1375" i="10"/>
  <c r="S1248" i="10"/>
  <c r="AN1248" i="10"/>
  <c r="AP1248" i="10"/>
  <c r="AB1248" i="10"/>
  <c r="AL1248" i="10"/>
  <c r="T1248" i="10"/>
  <c r="AO1248" i="10"/>
  <c r="W1248" i="10"/>
  <c r="V1248" i="10"/>
  <c r="R1248" i="10"/>
  <c r="X1248" i="10"/>
  <c r="N1248" i="10"/>
  <c r="O1587" i="10"/>
  <c r="AR1587" i="10"/>
  <c r="X1587" i="10"/>
  <c r="AI1587" i="10"/>
  <c r="AC1587" i="10"/>
  <c r="AP1587" i="10"/>
  <c r="V1587" i="10"/>
  <c r="AF1587" i="10"/>
  <c r="L1587" i="10"/>
  <c r="Z1587" i="10"/>
  <c r="AL1587" i="10"/>
  <c r="AT1587" i="10"/>
  <c r="AK1587" i="10"/>
  <c r="W1587" i="10"/>
  <c r="AE1587" i="10"/>
  <c r="U1587" i="10"/>
  <c r="K1587" i="10"/>
  <c r="Q1587" i="10"/>
  <c r="S1587" i="10"/>
  <c r="T1587" i="10"/>
  <c r="AN1587" i="10"/>
  <c r="P1587" i="10"/>
  <c r="AD1587" i="10"/>
  <c r="N1587" i="10"/>
  <c r="AO1587" i="10"/>
  <c r="AM1587" i="10"/>
  <c r="AB1587" i="10"/>
  <c r="R1587" i="10"/>
  <c r="M1587" i="10"/>
  <c r="J1587" i="10"/>
  <c r="AH1587" i="10"/>
  <c r="AG1587" i="10"/>
  <c r="AQ1587" i="10"/>
  <c r="Y1587" i="10"/>
  <c r="AA1587" i="10"/>
  <c r="AQ1585" i="10"/>
  <c r="AT1585" i="10"/>
  <c r="AO1585" i="10"/>
  <c r="AB1585" i="10"/>
  <c r="Q1585" i="10"/>
  <c r="Y1585" i="10"/>
  <c r="U1585" i="10"/>
  <c r="AN1585" i="10"/>
  <c r="O1585" i="10"/>
  <c r="AL1585" i="10"/>
  <c r="S1585" i="10"/>
  <c r="AK1585" i="10"/>
  <c r="AM1585" i="10"/>
  <c r="AH1585" i="10"/>
  <c r="Z1585" i="10"/>
  <c r="AR1585" i="10"/>
  <c r="K1585" i="10"/>
  <c r="AA1585" i="10"/>
  <c r="M1585" i="10"/>
  <c r="AI1585" i="10"/>
  <c r="R1585" i="10"/>
  <c r="AS1585" i="10"/>
  <c r="P1585" i="10"/>
  <c r="AJ1585" i="10"/>
  <c r="L1585" i="10"/>
  <c r="Y1583" i="10"/>
  <c r="AG1583" i="10"/>
  <c r="AO1583" i="10"/>
  <c r="S1583" i="10"/>
  <c r="AK1583" i="10"/>
  <c r="AA1583" i="10"/>
  <c r="AL1583" i="10"/>
  <c r="P1583" i="10"/>
  <c r="R1583" i="10"/>
  <c r="AE1583" i="10"/>
  <c r="T1583" i="10"/>
  <c r="AS1583" i="10"/>
  <c r="M1583" i="10"/>
  <c r="AH1583" i="10"/>
  <c r="AI1583" i="10"/>
  <c r="W1583" i="10"/>
  <c r="AQ1583" i="10"/>
  <c r="L1583" i="10"/>
  <c r="AD1583" i="10"/>
  <c r="K1583" i="10"/>
  <c r="AP1583" i="10"/>
  <c r="AM1583" i="10"/>
  <c r="N1583" i="10"/>
  <c r="AR1583" i="10"/>
  <c r="U1583" i="10"/>
  <c r="J1583" i="10"/>
  <c r="Z1583" i="10"/>
  <c r="AC1583" i="10"/>
  <c r="AB1583" i="10"/>
  <c r="Q1583" i="10"/>
  <c r="AT1583" i="10"/>
  <c r="AJ1583" i="10"/>
  <c r="O1583" i="10"/>
  <c r="V1583" i="10"/>
  <c r="T1581" i="10"/>
  <c r="AG1581" i="10"/>
  <c r="O1581" i="10"/>
  <c r="AR1581" i="10"/>
  <c r="AI1581" i="10"/>
  <c r="AS1581" i="10"/>
  <c r="AC1581" i="10"/>
  <c r="W1581" i="10"/>
  <c r="L1581" i="10"/>
  <c r="AD1581" i="10"/>
  <c r="AF1581" i="10"/>
  <c r="Z1581" i="10"/>
  <c r="AA1581" i="10"/>
  <c r="U1581" i="10"/>
  <c r="AB1581" i="10"/>
  <c r="AL1581" i="10"/>
  <c r="Q1581" i="10"/>
  <c r="AH1581" i="10"/>
  <c r="AQ1581" i="10"/>
  <c r="AT1581" i="10"/>
  <c r="Y1581" i="10"/>
  <c r="R1581" i="10"/>
  <c r="P1581" i="10"/>
  <c r="AJ1581" i="10"/>
  <c r="V1581" i="10"/>
  <c r="AE1581" i="10"/>
  <c r="S1581" i="10"/>
  <c r="N1581" i="10"/>
  <c r="AO1581" i="10"/>
  <c r="AN1581" i="10"/>
  <c r="X1581" i="10"/>
  <c r="AK1581" i="10"/>
  <c r="M1581" i="10"/>
  <c r="AM1581" i="10"/>
  <c r="K1581" i="10"/>
  <c r="AP1581" i="10"/>
  <c r="AN1568" i="10"/>
  <c r="AK1568" i="10"/>
  <c r="AM1568" i="10"/>
  <c r="V1568" i="10"/>
  <c r="Y1568" i="10"/>
  <c r="L1568" i="10"/>
  <c r="AC1568" i="10"/>
  <c r="K1568" i="10"/>
  <c r="AI1568" i="10"/>
  <c r="M1568" i="10"/>
  <c r="P1568" i="10"/>
  <c r="J1568" i="10"/>
  <c r="AJ1568" i="10"/>
  <c r="AO1568" i="10"/>
  <c r="W1568" i="10"/>
  <c r="U1568" i="10"/>
  <c r="S1568" i="10"/>
  <c r="AB1568" i="10"/>
  <c r="AL1568" i="10"/>
  <c r="O1568" i="10"/>
  <c r="Q1568" i="10"/>
  <c r="AP1568" i="10"/>
  <c r="AT1568" i="10"/>
  <c r="AA1568" i="10"/>
  <c r="X1568" i="10"/>
  <c r="AF1568" i="10"/>
  <c r="T1568" i="10"/>
  <c r="Z1568" i="10"/>
  <c r="AR1568" i="10"/>
  <c r="AS1568" i="10"/>
  <c r="L1563" i="10"/>
  <c r="W1563" i="10"/>
  <c r="AD1563" i="10"/>
  <c r="AG1563" i="10"/>
  <c r="M1563" i="10"/>
  <c r="U1563" i="10"/>
  <c r="Z1563" i="10"/>
  <c r="Q1563" i="10"/>
  <c r="S1563" i="10"/>
  <c r="V1563" i="10"/>
  <c r="AR1563" i="10"/>
  <c r="AL1563" i="10"/>
  <c r="AS1563" i="10"/>
  <c r="AT1563" i="10"/>
  <c r="AM1563" i="10"/>
  <c r="AI1563" i="10"/>
  <c r="AK1563" i="10"/>
  <c r="P1563" i="10"/>
  <c r="O1563" i="10"/>
  <c r="AQ1563" i="10"/>
  <c r="AO1563" i="10"/>
  <c r="Y1563" i="10"/>
  <c r="AE1563" i="10"/>
  <c r="AN1563" i="10"/>
  <c r="AH1563" i="10"/>
  <c r="J1563" i="10"/>
  <c r="AJ1563" i="10"/>
  <c r="AR1550" i="10"/>
  <c r="V1550" i="10"/>
  <c r="AO1550" i="10"/>
  <c r="T1550" i="10"/>
  <c r="S1550" i="10"/>
  <c r="Q1550" i="10"/>
  <c r="AJ1550" i="10"/>
  <c r="AC1550" i="10"/>
  <c r="AF1550" i="10"/>
  <c r="AB1550" i="10"/>
  <c r="AD1550" i="10"/>
  <c r="R1550" i="10"/>
  <c r="AQ1550" i="10"/>
  <c r="O1550" i="10"/>
  <c r="AN1550" i="10"/>
  <c r="W1550" i="10"/>
  <c r="L1550" i="10"/>
  <c r="K1550" i="10"/>
  <c r="X1550" i="10"/>
  <c r="AK1550" i="10"/>
  <c r="AA1550" i="10"/>
  <c r="AI1550" i="10"/>
  <c r="Z1550" i="10"/>
  <c r="AT1550" i="10"/>
  <c r="J1550" i="10"/>
  <c r="P1550" i="10"/>
  <c r="U1550" i="10"/>
  <c r="AH1550" i="10"/>
  <c r="N1550" i="10"/>
  <c r="AP1550" i="10"/>
  <c r="Y1550" i="10"/>
  <c r="AJ1537" i="10"/>
  <c r="U1537" i="10"/>
  <c r="W1537" i="10"/>
  <c r="AI1537" i="10"/>
  <c r="X1537" i="10"/>
  <c r="AQ1537" i="10"/>
  <c r="AN1537" i="10"/>
  <c r="AA1537" i="10"/>
  <c r="AP1537" i="10"/>
  <c r="N1537" i="10"/>
  <c r="Z1537" i="10"/>
  <c r="AB1537" i="10"/>
  <c r="L1537" i="10"/>
  <c r="Y1537" i="10"/>
  <c r="AT1537" i="10"/>
  <c r="AF1537" i="10"/>
  <c r="K1537" i="10"/>
  <c r="J1537" i="10"/>
  <c r="O1537" i="10"/>
  <c r="AM1537" i="10"/>
  <c r="AR1537" i="10"/>
  <c r="AE1537" i="10"/>
  <c r="AS1537" i="10"/>
  <c r="AK1537" i="10"/>
  <c r="V1537" i="10"/>
  <c r="AD1537" i="10"/>
  <c r="Q1537" i="10"/>
  <c r="R1537" i="10"/>
  <c r="T1537" i="10"/>
  <c r="AG1537" i="10"/>
  <c r="S1537" i="10"/>
  <c r="AH1537" i="10"/>
  <c r="M1537" i="10"/>
  <c r="AC1537" i="10"/>
  <c r="V1535" i="10"/>
  <c r="Z1535" i="10"/>
  <c r="AE1535" i="10"/>
  <c r="AH1535" i="10"/>
  <c r="O1535" i="10"/>
  <c r="U1535" i="10"/>
  <c r="AO1535" i="10"/>
  <c r="AM1535" i="10"/>
  <c r="J1535" i="10"/>
  <c r="AP1535" i="10"/>
  <c r="W1535" i="10"/>
  <c r="M1535" i="10"/>
  <c r="AN1535" i="10"/>
  <c r="X1535" i="10"/>
  <c r="AA1535" i="10"/>
  <c r="K1535" i="10"/>
  <c r="R1535" i="10"/>
  <c r="S1535" i="10"/>
  <c r="AF1535" i="10"/>
  <c r="Q1535" i="10"/>
  <c r="L1535" i="10"/>
  <c r="T1535" i="10"/>
  <c r="AT1535" i="10"/>
  <c r="N1535" i="10"/>
  <c r="AI1535" i="10"/>
  <c r="AS1535" i="10"/>
  <c r="Y1535" i="10"/>
  <c r="AB1535" i="10"/>
  <c r="AQ1535" i="10"/>
  <c r="AK1535" i="10"/>
  <c r="AC1535" i="10"/>
  <c r="AL1535" i="10"/>
  <c r="AG1535" i="10"/>
  <c r="P1535" i="10"/>
  <c r="L1533" i="10"/>
  <c r="AF1533" i="10"/>
  <c r="AS1533" i="10"/>
  <c r="AL1533" i="10"/>
  <c r="V1533" i="10"/>
  <c r="U1533" i="10"/>
  <c r="AA1533" i="10"/>
  <c r="W1533" i="10"/>
  <c r="AE1533" i="10"/>
  <c r="K1533" i="10"/>
  <c r="AO1533" i="10"/>
  <c r="N1533" i="10"/>
  <c r="O1533" i="10"/>
  <c r="AG1533" i="10"/>
  <c r="S1533" i="10"/>
  <c r="AH1533" i="10"/>
  <c r="AB1533" i="10"/>
  <c r="AM1533" i="10"/>
  <c r="P1533" i="10"/>
  <c r="AC1533" i="10"/>
  <c r="Q1533" i="10"/>
  <c r="Y1519" i="10"/>
  <c r="J1519" i="10"/>
  <c r="AK1519" i="10"/>
  <c r="AR1519" i="10"/>
  <c r="AN1519" i="10"/>
  <c r="AE1519" i="10"/>
  <c r="W1519" i="10"/>
  <c r="O1519" i="10"/>
  <c r="AS1519" i="10"/>
  <c r="AO1519" i="10"/>
  <c r="M1519" i="10"/>
  <c r="Q1519" i="10"/>
  <c r="AJ1519" i="10"/>
  <c r="R1519" i="10"/>
  <c r="AM1519" i="10"/>
  <c r="N1519" i="10"/>
  <c r="X1519" i="10"/>
  <c r="AT1519" i="10"/>
  <c r="AH1519" i="10"/>
  <c r="V1519" i="10"/>
  <c r="AL1519" i="10"/>
  <c r="Z1519" i="10"/>
  <c r="T1519" i="10"/>
  <c r="AQ1519" i="10"/>
  <c r="AP1519" i="10"/>
  <c r="U1519" i="10"/>
  <c r="P1519" i="10"/>
  <c r="AF1519" i="10"/>
  <c r="AA1519" i="10"/>
  <c r="AB1519" i="10"/>
  <c r="L1519" i="10"/>
  <c r="K1519" i="10"/>
  <c r="M1502" i="10"/>
  <c r="AQ1502" i="10"/>
  <c r="J1502" i="10"/>
  <c r="AP1500" i="10"/>
  <c r="Q1500" i="10"/>
  <c r="X1500" i="10"/>
  <c r="AA1500" i="10"/>
  <c r="AI1500" i="10"/>
  <c r="AH1500" i="10"/>
  <c r="AO1500" i="10"/>
  <c r="AQ1500" i="10"/>
  <c r="V1500" i="10"/>
  <c r="AM1500" i="10"/>
  <c r="AS1500" i="10"/>
  <c r="Z1500" i="10"/>
  <c r="L1500" i="10"/>
  <c r="R1500" i="10"/>
  <c r="O1500" i="10"/>
  <c r="AK1500" i="10"/>
  <c r="N1500" i="10"/>
  <c r="AL1500" i="10"/>
  <c r="S1500" i="10"/>
  <c r="W1500" i="10"/>
  <c r="AG1500" i="10"/>
  <c r="K1500" i="10"/>
  <c r="AT1500" i="10"/>
  <c r="U1500" i="10"/>
  <c r="Y1500" i="10"/>
  <c r="P1500" i="10"/>
  <c r="T1500" i="10"/>
  <c r="AB1500" i="10"/>
  <c r="AE1500" i="10"/>
  <c r="AC1500" i="10"/>
  <c r="J1500" i="10"/>
  <c r="AN1500" i="10"/>
  <c r="AR1500" i="10"/>
  <c r="M1500" i="10"/>
  <c r="AO1472" i="10"/>
  <c r="W1472" i="10"/>
  <c r="L1472" i="10"/>
  <c r="AL1472" i="10"/>
  <c r="J1472" i="10"/>
  <c r="R1472" i="10"/>
  <c r="O1472" i="10"/>
  <c r="AD1472" i="10"/>
  <c r="T1472" i="10"/>
  <c r="K1472" i="10"/>
  <c r="Z1472" i="10"/>
  <c r="Q1472" i="10"/>
  <c r="U1472" i="10"/>
  <c r="AC1472" i="10"/>
  <c r="S1472" i="10"/>
  <c r="AK1472" i="10"/>
  <c r="AB1472" i="10"/>
  <c r="AF1472" i="10"/>
  <c r="AM1472" i="10"/>
  <c r="AP1472" i="10"/>
  <c r="AH1472" i="10"/>
  <c r="Y1472" i="10"/>
  <c r="AT1472" i="10"/>
  <c r="V1472" i="10"/>
  <c r="AS1439" i="10"/>
  <c r="AD1439" i="10"/>
  <c r="AA1439" i="10"/>
  <c r="AT1439" i="10"/>
  <c r="AR1439" i="10"/>
  <c r="AO1439" i="10"/>
  <c r="U1439" i="10"/>
  <c r="AI1439" i="10"/>
  <c r="AP1439" i="10"/>
  <c r="L1439" i="10"/>
  <c r="Q1439" i="10"/>
  <c r="AC1439" i="10"/>
  <c r="R1439" i="10"/>
  <c r="AH1439" i="10"/>
  <c r="Z1439" i="10"/>
  <c r="AG1439" i="10"/>
  <c r="AQ1439" i="10"/>
  <c r="K1439" i="10"/>
  <c r="O1439" i="10"/>
  <c r="AL1439" i="10"/>
  <c r="X1439" i="10"/>
  <c r="AN1439" i="10"/>
  <c r="AB1439" i="10"/>
  <c r="J1439" i="10"/>
  <c r="S1439" i="10"/>
  <c r="AJ1439" i="10"/>
  <c r="P1439" i="10"/>
  <c r="M1439" i="10"/>
  <c r="N1439" i="10"/>
  <c r="V1439" i="10"/>
  <c r="X1411" i="10"/>
  <c r="U1411" i="10"/>
  <c r="Z1411" i="10"/>
  <c r="AC1411" i="10"/>
  <c r="AF1411" i="10"/>
  <c r="AL1411" i="10"/>
  <c r="AB1411" i="10"/>
  <c r="AG1411" i="10"/>
  <c r="AE1411" i="10"/>
  <c r="AM1411" i="10"/>
  <c r="R1411" i="10"/>
  <c r="K1411" i="10"/>
  <c r="P1411" i="10"/>
  <c r="AS1411" i="10"/>
  <c r="AP1411" i="10"/>
  <c r="AO1411" i="10"/>
  <c r="T1411" i="10"/>
  <c r="AA1411" i="10"/>
  <c r="L1411" i="10"/>
  <c r="AH1411" i="10"/>
  <c r="Q1411" i="10"/>
  <c r="W1411" i="10"/>
  <c r="V1411" i="10"/>
  <c r="M1411" i="10"/>
  <c r="S1411" i="10"/>
  <c r="J1411" i="10"/>
  <c r="AT1411" i="10"/>
  <c r="Y1411" i="10"/>
  <c r="AN1411" i="10"/>
  <c r="AQ1411" i="10"/>
  <c r="AJ1411" i="10"/>
  <c r="N1411" i="10"/>
  <c r="AI1411" i="10"/>
  <c r="AA1396" i="10"/>
  <c r="AS1396" i="10"/>
  <c r="AD1396" i="10"/>
  <c r="AB1396" i="10"/>
  <c r="AT1368" i="10"/>
  <c r="N1368" i="10"/>
  <c r="U1368" i="10"/>
  <c r="P1368" i="10"/>
  <c r="S1368" i="10"/>
  <c r="L1368" i="10"/>
  <c r="AS1368" i="10"/>
  <c r="Q1368" i="10"/>
  <c r="AP1368" i="10"/>
  <c r="Y1368" i="10"/>
  <c r="AE1368" i="10"/>
  <c r="X1368" i="10"/>
  <c r="AK1368" i="10"/>
  <c r="AA1368" i="10"/>
  <c r="AB1368" i="10"/>
  <c r="M1368" i="10"/>
  <c r="AL1368" i="10"/>
  <c r="J1368" i="10"/>
  <c r="AJ1368" i="10"/>
  <c r="O1368" i="10"/>
  <c r="AM1368" i="10"/>
  <c r="AF1368" i="10"/>
  <c r="T1368" i="10"/>
  <c r="AO1368" i="10"/>
  <c r="AD1368" i="10"/>
  <c r="AI1368" i="10"/>
  <c r="AN1368" i="10"/>
  <c r="AG1368" i="10"/>
  <c r="R1368" i="10"/>
  <c r="AQ1368" i="10"/>
  <c r="K1368" i="10"/>
  <c r="V1368" i="10"/>
  <c r="W1368" i="10"/>
  <c r="W1366" i="10"/>
  <c r="Z1366" i="10"/>
  <c r="L1366" i="10"/>
  <c r="N1366" i="10"/>
  <c r="AI1366" i="10"/>
  <c r="S1366" i="10"/>
  <c r="P1366" i="10"/>
  <c r="AR1366" i="10"/>
  <c r="AH1366" i="10"/>
  <c r="T1366" i="10"/>
  <c r="AG1366" i="10"/>
  <c r="AF1366" i="10"/>
  <c r="U1366" i="10"/>
  <c r="AT1366" i="10"/>
  <c r="AS1366" i="10"/>
  <c r="Y1366" i="10"/>
  <c r="V1366" i="10"/>
  <c r="K1366" i="10"/>
  <c r="O1366" i="10"/>
  <c r="AC1366" i="10"/>
  <c r="Q1366" i="10"/>
  <c r="AB1366" i="10"/>
  <c r="M1366" i="10"/>
  <c r="AQ1366" i="10"/>
  <c r="J1366" i="10"/>
  <c r="AK1366" i="10"/>
  <c r="AL1366" i="10"/>
  <c r="AO1366" i="10"/>
  <c r="AP1366" i="10"/>
  <c r="AM1366" i="10"/>
  <c r="AE1366" i="10"/>
  <c r="AD1366" i="10"/>
  <c r="X1366" i="10"/>
  <c r="AF1355" i="10"/>
  <c r="AQ1355" i="10"/>
  <c r="AE1355" i="10"/>
  <c r="AC1355" i="10"/>
  <c r="AB1355" i="10"/>
  <c r="AR1355" i="10"/>
  <c r="AI1355" i="10"/>
  <c r="V1355" i="10"/>
  <c r="AK1355" i="10"/>
  <c r="AD1355" i="10"/>
  <c r="X1355" i="10"/>
  <c r="AA1355" i="10"/>
  <c r="T1355" i="10"/>
  <c r="AN1355" i="10"/>
  <c r="AP1355" i="10"/>
  <c r="J1355" i="10"/>
  <c r="W1355" i="10"/>
  <c r="P1355" i="10"/>
  <c r="U1355" i="10"/>
  <c r="AT1355" i="10"/>
  <c r="R1355" i="10"/>
  <c r="S1355" i="10"/>
  <c r="AH1355" i="10"/>
  <c r="L1355" i="10"/>
  <c r="AG1355" i="10"/>
  <c r="AS1355" i="10"/>
  <c r="M1355" i="10"/>
  <c r="Q1355" i="10"/>
  <c r="N1355" i="10"/>
  <c r="AJ1355" i="10"/>
  <c r="AM1355" i="10"/>
  <c r="Q1348" i="10"/>
  <c r="AR1348" i="10"/>
  <c r="AG1348" i="10"/>
  <c r="AN1348" i="10"/>
  <c r="AL1348" i="10"/>
  <c r="T1348" i="10"/>
  <c r="AK1348" i="10"/>
  <c r="AM1348" i="10"/>
  <c r="AF1348" i="10"/>
  <c r="L1348" i="10"/>
  <c r="AS1348" i="10"/>
  <c r="W1348" i="10"/>
  <c r="AO1348" i="10"/>
  <c r="X1348" i="10"/>
  <c r="R1348" i="10"/>
  <c r="K1348" i="10"/>
  <c r="AP1348" i="10"/>
  <c r="AA1348" i="10"/>
  <c r="U1348" i="10"/>
  <c r="AD1348" i="10"/>
  <c r="O1348" i="10"/>
  <c r="AT1348" i="10"/>
  <c r="Y1348" i="10"/>
  <c r="AJ1348" i="10"/>
  <c r="P1348" i="10"/>
  <c r="AH1348" i="10"/>
  <c r="Z1348" i="10"/>
  <c r="AI1348" i="10"/>
  <c r="S1348" i="10"/>
  <c r="AB1348" i="10"/>
  <c r="AE1348" i="10"/>
  <c r="X1346" i="10"/>
  <c r="AB1346" i="10"/>
  <c r="Q1346" i="10"/>
  <c r="AD1346" i="10"/>
  <c r="V1346" i="10"/>
  <c r="W1346" i="10"/>
  <c r="AR1346" i="10"/>
  <c r="O1346" i="10"/>
  <c r="AT1346" i="10"/>
  <c r="T1346" i="10"/>
  <c r="AP1346" i="10"/>
  <c r="P1346" i="10"/>
  <c r="Z1346" i="10"/>
  <c r="K1346" i="10"/>
  <c r="AK1346" i="10"/>
  <c r="AF1346" i="10"/>
  <c r="AM1346" i="10"/>
  <c r="AI1346" i="10"/>
  <c r="M1346" i="10"/>
  <c r="AL1346" i="10"/>
  <c r="AS1346" i="10"/>
  <c r="Y1346" i="10"/>
  <c r="AG1346" i="10"/>
  <c r="AC1346" i="10"/>
  <c r="R1346" i="10"/>
  <c r="U1346" i="10"/>
  <c r="AE1346" i="10"/>
  <c r="AA1346" i="10"/>
  <c r="AE1318" i="10"/>
  <c r="AF1318" i="10"/>
  <c r="AD1318" i="10"/>
  <c r="AJ1318" i="10"/>
  <c r="R1318" i="10"/>
  <c r="AL1318" i="10"/>
  <c r="J1318" i="10"/>
  <c r="AI1318" i="10"/>
  <c r="V1318" i="10"/>
  <c r="AA1318" i="10"/>
  <c r="AK1318" i="10"/>
  <c r="S1318" i="10"/>
  <c r="Y1318" i="10"/>
  <c r="M1318" i="10"/>
  <c r="W1318" i="10"/>
  <c r="P1318" i="10"/>
  <c r="AM1318" i="10"/>
  <c r="AQ1318" i="10"/>
  <c r="O1318" i="10"/>
  <c r="L1318" i="10"/>
  <c r="AS1318" i="10"/>
  <c r="K1318" i="10"/>
  <c r="Z1318" i="10"/>
  <c r="U1318" i="10"/>
  <c r="X1318" i="10"/>
  <c r="AB1318" i="10"/>
  <c r="AC1318" i="10"/>
  <c r="T1318" i="10"/>
  <c r="AT1318" i="10"/>
  <c r="AP1318" i="10"/>
  <c r="AR1318" i="10"/>
  <c r="AH1318" i="10"/>
  <c r="T1314" i="10"/>
  <c r="AT1314" i="10"/>
  <c r="R1314" i="10"/>
  <c r="AH1314" i="10"/>
  <c r="Z1314" i="10"/>
  <c r="AP1314" i="10"/>
  <c r="AJ1314" i="10"/>
  <c r="AQ1314" i="10"/>
  <c r="AF1314" i="10"/>
  <c r="O1314" i="10"/>
  <c r="AI1314" i="10"/>
  <c r="L1314" i="10"/>
  <c r="N1314" i="10"/>
  <c r="AC1314" i="10"/>
  <c r="AL1314" i="10"/>
  <c r="AA1314" i="10"/>
  <c r="Y1314" i="10"/>
  <c r="M1314" i="10"/>
  <c r="AO1314" i="10"/>
  <c r="AS1314" i="10"/>
  <c r="Q1314" i="10"/>
  <c r="K1314" i="10"/>
  <c r="AN1314" i="10"/>
  <c r="AM1314" i="10"/>
  <c r="AE1314" i="10"/>
  <c r="AR1314" i="10"/>
  <c r="V1314" i="10"/>
  <c r="AB1314" i="10"/>
  <c r="AD1314" i="10"/>
  <c r="AB1283" i="10"/>
  <c r="AG1283" i="10"/>
  <c r="AR1283" i="10"/>
  <c r="V1283" i="10"/>
  <c r="AA1283" i="10"/>
  <c r="J1283" i="10"/>
  <c r="O1283" i="10"/>
  <c r="AS1283" i="10"/>
  <c r="P1283" i="10"/>
  <c r="U1283" i="10"/>
  <c r="K1283" i="10"/>
  <c r="S1283" i="10"/>
  <c r="AE1283" i="10"/>
  <c r="M1283" i="10"/>
  <c r="AM1283" i="10"/>
  <c r="Z1283" i="10"/>
  <c r="T1283" i="10"/>
  <c r="AN1283" i="10"/>
  <c r="AP1283" i="10"/>
  <c r="X1283" i="10"/>
  <c r="AI1283" i="10"/>
  <c r="AD1283" i="10"/>
  <c r="AL1283" i="10"/>
  <c r="AJ1283" i="10"/>
  <c r="AQ1283" i="10"/>
  <c r="AC1283" i="10"/>
  <c r="Y1283" i="10"/>
  <c r="W1283" i="10"/>
  <c r="AF1283" i="10"/>
  <c r="AK1283" i="10"/>
  <c r="AH1283" i="10"/>
  <c r="N1283" i="10"/>
  <c r="W1255" i="10"/>
  <c r="AT1255" i="10"/>
  <c r="P1255" i="10"/>
  <c r="Y1255" i="10"/>
  <c r="AK1255" i="10"/>
  <c r="AO1255" i="10"/>
  <c r="AH1255" i="10"/>
  <c r="O1255" i="10"/>
  <c r="L1255" i="10"/>
  <c r="AM1463" i="10"/>
  <c r="AN1255" i="10"/>
  <c r="AC1255" i="10"/>
  <c r="U1255" i="10"/>
  <c r="Z1255" i="10"/>
  <c r="AQ1255" i="10"/>
  <c r="AD1255" i="10"/>
  <c r="Q1255" i="10"/>
  <c r="AP1533" i="10"/>
  <c r="W1585" i="10"/>
  <c r="J1533" i="10"/>
  <c r="AF1563" i="10"/>
  <c r="AA1563" i="10"/>
  <c r="AD1585" i="10"/>
  <c r="M1472" i="10"/>
  <c r="AE1472" i="10"/>
  <c r="AI1533" i="10"/>
  <c r="AD1533" i="10"/>
  <c r="S1519" i="10"/>
  <c r="AN1318" i="10"/>
  <c r="AG1318" i="10"/>
  <c r="AL1467" i="10"/>
  <c r="AQ1467" i="10"/>
  <c r="AG1467" i="10"/>
  <c r="AN1467" i="10"/>
  <c r="P1467" i="10"/>
  <c r="AR1506" i="10"/>
  <c r="K1506" i="10"/>
  <c r="L1506" i="10"/>
  <c r="AO1506" i="10"/>
  <c r="J1506" i="10"/>
  <c r="AC1506" i="10"/>
  <c r="G1506" i="10"/>
  <c r="AG1506" i="10"/>
  <c r="Q1283" i="10"/>
  <c r="AG1314" i="10"/>
  <c r="AH1368" i="10"/>
  <c r="R1283" i="10"/>
  <c r="AC1368" i="10"/>
  <c r="L1283" i="10"/>
  <c r="AK1314" i="10"/>
  <c r="AN1366" i="10"/>
  <c r="J1581" i="10"/>
  <c r="AD1568" i="10"/>
  <c r="AJ1587" i="10"/>
  <c r="P1537" i="10"/>
  <c r="AJ1535" i="10"/>
  <c r="AD1519" i="10"/>
  <c r="AF1500" i="10"/>
  <c r="N1568" i="10"/>
  <c r="AM1550" i="10"/>
  <c r="M1550" i="10"/>
  <c r="AG1568" i="10"/>
  <c r="AQ1568" i="10"/>
  <c r="AM1439" i="10"/>
  <c r="AR1411" i="10"/>
  <c r="W1439" i="10"/>
  <c r="AL1537" i="10"/>
  <c r="AE1439" i="10"/>
  <c r="AO1318" i="10"/>
  <c r="AO1355" i="10"/>
  <c r="V1348" i="10"/>
  <c r="AO1283" i="10"/>
  <c r="AJ1366" i="10"/>
  <c r="AN1346" i="10"/>
  <c r="AC1519" i="10"/>
  <c r="AN1583" i="10"/>
  <c r="AN1239" i="10"/>
  <c r="Y1239" i="10"/>
  <c r="AK1239" i="10"/>
  <c r="AS1239" i="10"/>
  <c r="J1239" i="10"/>
  <c r="AE1239" i="10"/>
  <c r="AD1239" i="10"/>
  <c r="AH1239" i="10"/>
  <c r="AF1239" i="10"/>
  <c r="AM1239" i="10"/>
  <c r="AG1239" i="10"/>
  <c r="U1239" i="10"/>
  <c r="M1239" i="10"/>
  <c r="AA1239" i="10"/>
  <c r="P1239" i="10"/>
  <c r="AQ1239" i="10"/>
  <c r="AI1239" i="10"/>
  <c r="AC1239" i="10"/>
  <c r="R1239" i="10"/>
  <c r="AB1239" i="10"/>
  <c r="O1239" i="10"/>
  <c r="S1239" i="10"/>
  <c r="N1239" i="10"/>
  <c r="AT1239" i="10"/>
  <c r="Z1239" i="10"/>
  <c r="AL1239" i="10"/>
  <c r="AP1239" i="10"/>
  <c r="W1239" i="10"/>
  <c r="AO1239" i="10"/>
  <c r="V1239" i="10"/>
  <c r="L1239" i="10"/>
  <c r="Q1239" i="10"/>
  <c r="K1239" i="10"/>
  <c r="P1237" i="10"/>
  <c r="AF1237" i="10"/>
  <c r="AJ1237" i="10"/>
  <c r="L1237" i="10"/>
  <c r="AL1237" i="10"/>
  <c r="R1237" i="10"/>
  <c r="AI1237" i="10"/>
  <c r="AT1237" i="10"/>
  <c r="V1237" i="10"/>
  <c r="U1237" i="10"/>
  <c r="O1237" i="10"/>
  <c r="AR1237" i="10"/>
  <c r="AH1237" i="10"/>
  <c r="AA1237" i="10"/>
  <c r="AD1237" i="10"/>
  <c r="AE1237" i="10"/>
  <c r="AB1237" i="10"/>
  <c r="Z1237" i="10"/>
  <c r="S1237" i="10"/>
  <c r="M1237" i="10"/>
  <c r="J1237" i="10"/>
  <c r="AS1237" i="10"/>
  <c r="Y1237" i="10"/>
  <c r="AM1237" i="10"/>
  <c r="K1237" i="10"/>
  <c r="AN1237" i="10"/>
  <c r="X1237" i="10"/>
  <c r="Q1237" i="10"/>
  <c r="AC1237" i="10"/>
  <c r="N1237" i="10"/>
  <c r="AP1237" i="10"/>
  <c r="AK1237" i="10"/>
  <c r="AI1220" i="10"/>
  <c r="R1220" i="10"/>
  <c r="AB1218" i="10"/>
  <c r="AC1218" i="10"/>
  <c r="AI1218" i="10"/>
  <c r="M1218" i="10"/>
  <c r="AP1218" i="10"/>
  <c r="AH1218" i="10"/>
  <c r="X1218" i="10"/>
  <c r="AK1218" i="10"/>
  <c r="AF1218" i="10"/>
  <c r="Q1218" i="10"/>
  <c r="AE1218" i="10"/>
  <c r="U1218" i="10"/>
  <c r="AQ1218" i="10"/>
  <c r="AJ1218" i="10"/>
  <c r="AO1218" i="10"/>
  <c r="R1218" i="10"/>
  <c r="AS1218" i="10"/>
  <c r="AD1218" i="10"/>
  <c r="P1218" i="10"/>
  <c r="K1218" i="10"/>
  <c r="O1218" i="10"/>
  <c r="S1218" i="10"/>
  <c r="N1218" i="10"/>
  <c r="Y1218" i="10"/>
  <c r="AN1218" i="10"/>
  <c r="T1218" i="10"/>
  <c r="AA1218" i="10"/>
  <c r="AT1218" i="10"/>
  <c r="E272" i="10"/>
  <c r="AZ272" i="26"/>
  <c r="BB272" i="26" s="1"/>
  <c r="AF272" i="26"/>
  <c r="AH272" i="26" s="1"/>
  <c r="AG272" i="26" s="1"/>
  <c r="F1260" i="10"/>
  <c r="G1260" i="10" s="1"/>
  <c r="Y60" i="26"/>
  <c r="D54" i="10"/>
  <c r="E54" i="9"/>
  <c r="AZ44" i="26"/>
  <c r="BB44" i="26" s="1"/>
  <c r="F423" i="26"/>
  <c r="F421" i="26"/>
  <c r="AZ43" i="26"/>
  <c r="BB43" i="26" s="1"/>
  <c r="E43" i="10"/>
  <c r="V421" i="26"/>
  <c r="AF43" i="26"/>
  <c r="D42" i="10"/>
  <c r="AJ42" i="26"/>
  <c r="AA42" i="26"/>
  <c r="E42" i="6"/>
  <c r="F1241" i="10"/>
  <c r="AM1241" i="10" s="1"/>
  <c r="Y41" i="26"/>
  <c r="AL41" i="26" s="1"/>
  <c r="F1238" i="10"/>
  <c r="G1238" i="10" s="1"/>
  <c r="Y38" i="26"/>
  <c r="AP36" i="26"/>
  <c r="AO36" i="26" s="1"/>
  <c r="AP35" i="26"/>
  <c r="AO35" i="26" s="1"/>
  <c r="G429" i="26"/>
  <c r="W429" i="26" s="1"/>
  <c r="Y58" i="26"/>
  <c r="AB58" i="26" s="1"/>
  <c r="G428" i="26"/>
  <c r="W428" i="26" s="1"/>
  <c r="Z428" i="26" s="1"/>
  <c r="AE428" i="26" s="1"/>
  <c r="F1258" i="10"/>
  <c r="G1258" i="10" s="1"/>
  <c r="G424" i="26"/>
  <c r="W424" i="26" s="1"/>
  <c r="AB424" i="26" s="1"/>
  <c r="Y48" i="26"/>
  <c r="AT324" i="26"/>
  <c r="AS324" i="26" s="1"/>
  <c r="AK1235" i="10"/>
  <c r="AD1235" i="10"/>
  <c r="AP1235" i="10"/>
  <c r="AJ1235" i="10"/>
  <c r="N1235" i="10"/>
  <c r="E49" i="9"/>
  <c r="AB104" i="6"/>
  <c r="AG1218" i="10"/>
  <c r="AR1239" i="10"/>
  <c r="AG1237" i="10"/>
  <c r="AQ1237" i="10"/>
  <c r="AM1218" i="10"/>
  <c r="L1218" i="10"/>
  <c r="AL1235" i="10"/>
  <c r="L1235" i="10"/>
  <c r="X1235" i="10"/>
  <c r="S1235" i="10"/>
  <c r="Z508" i="26"/>
  <c r="AO1237" i="10"/>
  <c r="AG1488" i="10"/>
  <c r="AI1488" i="10"/>
  <c r="AR1488" i="10"/>
  <c r="W1488" i="10"/>
  <c r="E235" i="9"/>
  <c r="D235" i="10"/>
  <c r="E235" i="6"/>
  <c r="E206" i="10"/>
  <c r="AZ206" i="26"/>
  <c r="BB206" i="26" s="1"/>
  <c r="AF195" i="26"/>
  <c r="AZ195" i="26"/>
  <c r="BB195" i="26" s="1"/>
  <c r="AF188" i="26"/>
  <c r="AH188" i="26" s="1"/>
  <c r="AG188" i="26" s="1"/>
  <c r="E188" i="10"/>
  <c r="V535" i="26"/>
  <c r="E310" i="10"/>
  <c r="F535" i="26"/>
  <c r="AF310" i="26"/>
  <c r="AH310" i="26" s="1"/>
  <c r="AG310" i="26" s="1"/>
  <c r="F449" i="26"/>
  <c r="AF104" i="26"/>
  <c r="AH104" i="26" s="1"/>
  <c r="AG104" i="26" s="1"/>
  <c r="AJ103" i="26"/>
  <c r="AW103" i="26" s="1"/>
  <c r="AY103" i="26" s="1"/>
  <c r="AX103" i="26" s="1"/>
  <c r="D103" i="10"/>
  <c r="E103" i="6"/>
  <c r="AJ102" i="26"/>
  <c r="AW102" i="26" s="1"/>
  <c r="AA102" i="26"/>
  <c r="E448" i="26"/>
  <c r="U448" i="26" s="1"/>
  <c r="E102" i="9"/>
  <c r="AA101" i="26"/>
  <c r="AJ101" i="26"/>
  <c r="AW101" i="26" s="1"/>
  <c r="AY101" i="26" s="1"/>
  <c r="E447" i="26"/>
  <c r="U447" i="26" s="1"/>
  <c r="E101" i="9"/>
  <c r="AU97" i="26"/>
  <c r="AM97" i="26"/>
  <c r="F97" i="6" s="1"/>
  <c r="AA97" i="6" s="1"/>
  <c r="E443" i="26"/>
  <c r="E430" i="9" s="1"/>
  <c r="D95" i="10"/>
  <c r="AJ95" i="26"/>
  <c r="AW95" i="26" s="1"/>
  <c r="S1294" i="10"/>
  <c r="AO1294" i="10"/>
  <c r="AT1294" i="10"/>
  <c r="AF1294" i="10"/>
  <c r="O1294" i="10"/>
  <c r="N1294" i="10"/>
  <c r="AS1294" i="10"/>
  <c r="AB1294" i="10"/>
  <c r="AE1294" i="10"/>
  <c r="Z1294" i="10"/>
  <c r="M1294" i="10"/>
  <c r="Y1294" i="10"/>
  <c r="U1294" i="10"/>
  <c r="X1294" i="10"/>
  <c r="L1294" i="10"/>
  <c r="P1294" i="10"/>
  <c r="G1294" i="10"/>
  <c r="AD1294" i="10"/>
  <c r="AQ1294" i="10"/>
  <c r="AA1294" i="10"/>
  <c r="AJ1294" i="10"/>
  <c r="AI1294" i="10"/>
  <c r="J1294" i="10"/>
  <c r="W1294" i="10"/>
  <c r="AP92" i="26"/>
  <c r="AO92" i="26" s="1"/>
  <c r="AP90" i="26"/>
  <c r="AO90" i="26" s="1"/>
  <c r="AF90" i="26"/>
  <c r="AH90" i="26" s="1"/>
  <c r="AG90" i="26" s="1"/>
  <c r="E90" i="10"/>
  <c r="E89" i="10"/>
  <c r="F439" i="26"/>
  <c r="V439" i="26"/>
  <c r="E88" i="9"/>
  <c r="AJ88" i="26"/>
  <c r="AW88" i="26" s="1"/>
  <c r="AA88" i="26"/>
  <c r="G1287" i="10"/>
  <c r="AF1287" i="10"/>
  <c r="AF85" i="26"/>
  <c r="AH85" i="26" s="1"/>
  <c r="AG85" i="26" s="1"/>
  <c r="E85" i="10"/>
  <c r="AF81" i="26"/>
  <c r="E81" i="10"/>
  <c r="E77" i="9"/>
  <c r="E77" i="6"/>
  <c r="AA77" i="26"/>
  <c r="D77" i="10"/>
  <c r="E74" i="10"/>
  <c r="AZ74" i="26"/>
  <c r="BB74" i="26" s="1"/>
  <c r="AP74" i="26"/>
  <c r="AF74" i="26"/>
  <c r="AH74" i="26" s="1"/>
  <c r="AG74" i="26" s="1"/>
  <c r="E435" i="26"/>
  <c r="E430" i="6" s="1"/>
  <c r="E70" i="9"/>
  <c r="AA70" i="26"/>
  <c r="AJ70" i="26"/>
  <c r="AW70" i="26" s="1"/>
  <c r="AY70" i="26" s="1"/>
  <c r="AX70" i="26" s="1"/>
  <c r="D70" i="10"/>
  <c r="AJ69" i="26"/>
  <c r="AW69" i="26" s="1"/>
  <c r="AY69" i="26" s="1"/>
  <c r="AX69" i="26" s="1"/>
  <c r="D69" i="10"/>
  <c r="U1268" i="10"/>
  <c r="AE1268" i="10"/>
  <c r="T1268" i="10"/>
  <c r="AP60" i="26"/>
  <c r="AO60" i="26" s="1"/>
  <c r="AP31" i="26"/>
  <c r="AO31" i="26" s="1"/>
  <c r="AF31" i="26"/>
  <c r="AH31" i="26" s="1"/>
  <c r="AG31" i="26" s="1"/>
  <c r="AZ31" i="26"/>
  <c r="BB31" i="26" s="1"/>
  <c r="E31" i="10"/>
  <c r="E30" i="6"/>
  <c r="AA30" i="26"/>
  <c r="E30" i="9"/>
  <c r="Y29" i="26"/>
  <c r="F1229" i="10"/>
  <c r="AD1229" i="10" s="1"/>
  <c r="AP27" i="26"/>
  <c r="AO27" i="26" s="1"/>
  <c r="AF27" i="26"/>
  <c r="E27" i="10"/>
  <c r="AZ27" i="26"/>
  <c r="BB27" i="26" s="1"/>
  <c r="AA26" i="26"/>
  <c r="AJ26" i="26"/>
  <c r="AW26" i="26" s="1"/>
  <c r="AY26" i="26" s="1"/>
  <c r="AX26" i="26" s="1"/>
  <c r="D26" i="10"/>
  <c r="E25" i="9"/>
  <c r="E25" i="6"/>
  <c r="AJ25" i="26"/>
  <c r="AW25" i="26" s="1"/>
  <c r="AY25" i="26" s="1"/>
  <c r="AX25" i="26" s="1"/>
  <c r="D25" i="10"/>
  <c r="E417" i="26"/>
  <c r="E415" i="9" s="1"/>
  <c r="AA1224" i="10"/>
  <c r="AF1224" i="10"/>
  <c r="E23" i="10"/>
  <c r="AF23" i="26"/>
  <c r="AH23" i="26" s="1"/>
  <c r="AG23" i="26" s="1"/>
  <c r="AJ22" i="26"/>
  <c r="AW22" i="26" s="1"/>
  <c r="AY22" i="26" s="1"/>
  <c r="AX22" i="26" s="1"/>
  <c r="D22" i="10"/>
  <c r="W1221" i="10"/>
  <c r="AT1221" i="10"/>
  <c r="AI1221" i="10"/>
  <c r="AL1221" i="10"/>
  <c r="N1221" i="10"/>
  <c r="O1221" i="10"/>
  <c r="AS1221" i="10"/>
  <c r="T1221" i="10"/>
  <c r="Z1221" i="10"/>
  <c r="AJ1221" i="10"/>
  <c r="S1221" i="10"/>
  <c r="AQ1221" i="10"/>
  <c r="AA1221" i="10"/>
  <c r="AP1221" i="10"/>
  <c r="AC1221" i="10"/>
  <c r="AD1221" i="10"/>
  <c r="AB1221" i="10"/>
  <c r="AF1221" i="10"/>
  <c r="X1221" i="10"/>
  <c r="AN1221" i="10"/>
  <c r="AK1221" i="10"/>
  <c r="AP16" i="26"/>
  <c r="AO16" i="26" s="1"/>
  <c r="AP15" i="26"/>
  <c r="AO15" i="26" s="1"/>
  <c r="G537" i="26"/>
  <c r="W537" i="26" s="1"/>
  <c r="F1520" i="10"/>
  <c r="R1520" i="10" s="1"/>
  <c r="F1504" i="10"/>
  <c r="G1504" i="10" s="1"/>
  <c r="G533" i="26"/>
  <c r="W533" i="26" s="1"/>
  <c r="Z533" i="26" s="1"/>
  <c r="G529" i="26"/>
  <c r="W529" i="26" s="1"/>
  <c r="AB529" i="26" s="1"/>
  <c r="Y275" i="26"/>
  <c r="AL275" i="26" s="1"/>
  <c r="F1475" i="10"/>
  <c r="O1475" i="10" s="1"/>
  <c r="G514" i="26"/>
  <c r="W514" i="26" s="1"/>
  <c r="F1448" i="10"/>
  <c r="O1448" i="10" s="1"/>
  <c r="Y244" i="26"/>
  <c r="F1444" i="10"/>
  <c r="G507" i="26"/>
  <c r="W507" i="26" s="1"/>
  <c r="G501" i="26"/>
  <c r="W501" i="26" s="1"/>
  <c r="Y237" i="26"/>
  <c r="F1437" i="10"/>
  <c r="AP1437" i="10" s="1"/>
  <c r="Y221" i="26"/>
  <c r="F1421" i="10"/>
  <c r="G496" i="26"/>
  <c r="W496" i="26" s="1"/>
  <c r="F1409" i="10"/>
  <c r="G492" i="26"/>
  <c r="W492" i="26" s="1"/>
  <c r="G488" i="26"/>
  <c r="W488" i="26" s="1"/>
  <c r="Y202" i="26"/>
  <c r="F1402" i="10"/>
  <c r="AF1402" i="10" s="1"/>
  <c r="F1390" i="10"/>
  <c r="W1390" i="10" s="1"/>
  <c r="Y190" i="26"/>
  <c r="F1371" i="10"/>
  <c r="G476" i="26"/>
  <c r="W476" i="26" s="1"/>
  <c r="Y171" i="26"/>
  <c r="G473" i="26"/>
  <c r="W473" i="26" s="1"/>
  <c r="F1357" i="10"/>
  <c r="F1347" i="10"/>
  <c r="AJ1347" i="10" s="1"/>
  <c r="G468" i="26"/>
  <c r="W468" i="26" s="1"/>
  <c r="G464" i="26"/>
  <c r="W464" i="26" s="1"/>
  <c r="F1334" i="10"/>
  <c r="K1334" i="10" s="1"/>
  <c r="Y134" i="26"/>
  <c r="G459" i="26"/>
  <c r="W459" i="26" s="1"/>
  <c r="F1321" i="10"/>
  <c r="AB455" i="26"/>
  <c r="G449" i="26"/>
  <c r="W449" i="26" s="1"/>
  <c r="F1304" i="10"/>
  <c r="AO1304" i="10" s="1"/>
  <c r="Y104" i="26"/>
  <c r="AL104" i="26" s="1"/>
  <c r="F1295" i="10"/>
  <c r="AL1295" i="10" s="1"/>
  <c r="G443" i="26"/>
  <c r="W443" i="26" s="1"/>
  <c r="F1279" i="10"/>
  <c r="AN1279" i="10" s="1"/>
  <c r="G438" i="26"/>
  <c r="W438" i="26" s="1"/>
  <c r="AB438" i="26" s="1"/>
  <c r="F1261" i="10"/>
  <c r="U1261" i="10" s="1"/>
  <c r="G431" i="26"/>
  <c r="W431" i="26" s="1"/>
  <c r="Z431" i="26" s="1"/>
  <c r="Y61" i="26"/>
  <c r="F1243" i="10"/>
  <c r="P1243" i="10" s="1"/>
  <c r="G422" i="26"/>
  <c r="W422" i="26" s="1"/>
  <c r="G421" i="26"/>
  <c r="W421" i="26" s="1"/>
  <c r="G417" i="26"/>
  <c r="W417" i="26" s="1"/>
  <c r="F1225" i="10"/>
  <c r="AM66" i="26"/>
  <c r="AB304" i="9"/>
  <c r="V1585" i="10"/>
  <c r="G1268" i="10"/>
  <c r="G1224" i="10"/>
  <c r="G1218" i="10"/>
  <c r="F1569" i="10"/>
  <c r="T1569" i="10" s="1"/>
  <c r="Y369" i="26"/>
  <c r="F520" i="26"/>
  <c r="V519" i="26"/>
  <c r="AP194" i="26"/>
  <c r="AO194" i="26" s="1"/>
  <c r="AF194" i="26"/>
  <c r="AH194" i="26" s="1"/>
  <c r="AG194" i="26" s="1"/>
  <c r="E194" i="10"/>
  <c r="F1384" i="10"/>
  <c r="AG1384" i="10" s="1"/>
  <c r="Y184" i="26"/>
  <c r="Y147" i="26"/>
  <c r="E113" i="10"/>
  <c r="AF113" i="26"/>
  <c r="AH113" i="26" s="1"/>
  <c r="AG113" i="26" s="1"/>
  <c r="AX33" i="26"/>
  <c r="G1568" i="10"/>
  <c r="G1554" i="10"/>
  <c r="AD257" i="26"/>
  <c r="Y142" i="26"/>
  <c r="Y133" i="26"/>
  <c r="AC133" i="26" s="1"/>
  <c r="Y121" i="26"/>
  <c r="AC121" i="26" s="1"/>
  <c r="Y94" i="26"/>
  <c r="AK94" i="26" s="1"/>
  <c r="AU94" i="26" s="1"/>
  <c r="S94" i="26" s="1"/>
  <c r="Y87" i="26"/>
  <c r="AC87" i="26" s="1"/>
  <c r="Y80" i="26"/>
  <c r="Y25" i="26"/>
  <c r="AB25" i="26" s="1"/>
  <c r="Y24" i="26"/>
  <c r="AC24" i="26" s="1"/>
  <c r="Y21" i="26"/>
  <c r="AC21" i="26" s="1"/>
  <c r="AD289" i="26"/>
  <c r="Y288" i="26"/>
  <c r="Y337" i="26"/>
  <c r="AL337" i="26" s="1"/>
  <c r="Y333" i="26"/>
  <c r="Y328" i="26"/>
  <c r="Y320" i="26"/>
  <c r="AM311" i="26"/>
  <c r="Y311" i="27" s="1"/>
  <c r="G311" i="27" s="1"/>
  <c r="Y303" i="26"/>
  <c r="AM367" i="26"/>
  <c r="F367" i="6" s="1"/>
  <c r="AM323" i="26"/>
  <c r="Y323" i="27" s="1"/>
  <c r="G323" i="27" s="1"/>
  <c r="AM308" i="26"/>
  <c r="AM219" i="26"/>
  <c r="F219" i="6" s="1"/>
  <c r="AA219" i="6" s="1"/>
  <c r="AM33" i="26"/>
  <c r="Y33" i="27" s="1"/>
  <c r="G33" i="27" s="1"/>
  <c r="AM13" i="26"/>
  <c r="G13" i="9" s="1"/>
  <c r="AX217" i="26"/>
  <c r="AX126" i="26"/>
  <c r="G1573" i="10"/>
  <c r="G1249" i="10"/>
  <c r="G1221" i="10"/>
  <c r="AF1425" i="10"/>
  <c r="W1401" i="10"/>
  <c r="R1382" i="10"/>
  <c r="L1249" i="10"/>
  <c r="AD196" i="26"/>
  <c r="AD126" i="26"/>
  <c r="G1283" i="10"/>
  <c r="AD13" i="26"/>
  <c r="F13" i="10" s="1"/>
  <c r="Y378" i="26"/>
  <c r="Y211" i="26"/>
  <c r="AC211" i="26" s="1"/>
  <c r="Y186" i="26"/>
  <c r="Y175" i="26"/>
  <c r="AC175" i="26" s="1"/>
  <c r="Y43" i="26"/>
  <c r="Y42" i="26"/>
  <c r="Y36" i="26"/>
  <c r="Y27" i="26"/>
  <c r="AL27" i="26" s="1"/>
  <c r="AM277" i="26"/>
  <c r="BE277" i="26" s="1"/>
  <c r="G1468" i="10"/>
  <c r="G1422" i="10"/>
  <c r="G1338" i="10"/>
  <c r="AD212" i="26"/>
  <c r="Y248" i="26"/>
  <c r="AB248" i="26" s="1"/>
  <c r="Y49" i="26"/>
  <c r="J1463" i="10"/>
  <c r="AK1463" i="10"/>
  <c r="M1463" i="10"/>
  <c r="R1463" i="10"/>
  <c r="AL1463" i="10"/>
  <c r="Y1463" i="10"/>
  <c r="T1463" i="10"/>
  <c r="Z1463" i="10"/>
  <c r="Q1463" i="10"/>
  <c r="S1463" i="10"/>
  <c r="AC1463" i="10"/>
  <c r="X1463" i="10"/>
  <c r="AO1463" i="10"/>
  <c r="O1463" i="10"/>
  <c r="AI1463" i="10"/>
  <c r="AF1463" i="10"/>
  <c r="AH1463" i="10"/>
  <c r="AA1463" i="10"/>
  <c r="K1463" i="10"/>
  <c r="L1463" i="10"/>
  <c r="U1463" i="10"/>
  <c r="AS1463" i="10"/>
  <c r="V1463" i="10"/>
  <c r="AG1463" i="10"/>
  <c r="P1463" i="10"/>
  <c r="AT1463" i="10"/>
  <c r="AE1463" i="10"/>
  <c r="W1463" i="10"/>
  <c r="AQ1463" i="10"/>
  <c r="Z444" i="26"/>
  <c r="AB444" i="26"/>
  <c r="L451" i="6"/>
  <c r="M451" i="6"/>
  <c r="AO465" i="26"/>
  <c r="AM465" i="26"/>
  <c r="AO485" i="26"/>
  <c r="AM485" i="26"/>
  <c r="AH339" i="26"/>
  <c r="AG339" i="26" s="1"/>
  <c r="AX353" i="26"/>
  <c r="AP353" i="26"/>
  <c r="AO353" i="26" s="1"/>
  <c r="AP339" i="26"/>
  <c r="AO339" i="26" s="1"/>
  <c r="AX339" i="26"/>
  <c r="AP308" i="26"/>
  <c r="AO308" i="26" s="1"/>
  <c r="AX308" i="26"/>
  <c r="AP299" i="26"/>
  <c r="AO299" i="26" s="1"/>
  <c r="AX299" i="26"/>
  <c r="AP278" i="26"/>
  <c r="AO278" i="26" s="1"/>
  <c r="AX278" i="26"/>
  <c r="AX269" i="26"/>
  <c r="AP269" i="26"/>
  <c r="AO269" i="26" s="1"/>
  <c r="AP242" i="26"/>
  <c r="AO242" i="26" s="1"/>
  <c r="AX242" i="26"/>
  <c r="AP219" i="26"/>
  <c r="AO219" i="26" s="1"/>
  <c r="AX219" i="26"/>
  <c r="AX207" i="26"/>
  <c r="AP207" i="26"/>
  <c r="AO207" i="26" s="1"/>
  <c r="AX189" i="26"/>
  <c r="AX158" i="26"/>
  <c r="AP158" i="26"/>
  <c r="AO158" i="26" s="1"/>
  <c r="AP143" i="26"/>
  <c r="AO143" i="26" s="1"/>
  <c r="AX143" i="26"/>
  <c r="AP124" i="26"/>
  <c r="AO124" i="26" s="1"/>
  <c r="AX124" i="26"/>
  <c r="AP96" i="26"/>
  <c r="AO96" i="26" s="1"/>
  <c r="AX96" i="26"/>
  <c r="AP56" i="26"/>
  <c r="AO56" i="26" s="1"/>
  <c r="AX56" i="26"/>
  <c r="G1591" i="10"/>
  <c r="J1591" i="10"/>
  <c r="N1591" i="10"/>
  <c r="W1580" i="10"/>
  <c r="AG1580" i="10"/>
  <c r="Z1580" i="10"/>
  <c r="AI1580" i="10"/>
  <c r="T1580" i="10"/>
  <c r="L1580" i="10"/>
  <c r="N1580" i="10"/>
  <c r="Y1580" i="10"/>
  <c r="S1580" i="10"/>
  <c r="K1580" i="10"/>
  <c r="V1580" i="10"/>
  <c r="M1580" i="10"/>
  <c r="AE1580" i="10"/>
  <c r="AR1580" i="10"/>
  <c r="U1580" i="10"/>
  <c r="AT1580" i="10"/>
  <c r="R1580" i="10"/>
  <c r="J1580" i="10"/>
  <c r="AB1580" i="10"/>
  <c r="AQ1580" i="10"/>
  <c r="AS1580" i="10"/>
  <c r="O1580" i="10"/>
  <c r="AD1580" i="10"/>
  <c r="Q1580" i="10"/>
  <c r="AM1580" i="10"/>
  <c r="AJ1580" i="10"/>
  <c r="AF1580" i="10"/>
  <c r="AO1580" i="10"/>
  <c r="AN1580" i="10"/>
  <c r="AK1580" i="10"/>
  <c r="AC1580" i="10"/>
  <c r="X1580" i="10"/>
  <c r="AP1580" i="10"/>
  <c r="AA1580" i="10"/>
  <c r="Y1578" i="10"/>
  <c r="AB1578" i="10"/>
  <c r="AO1578" i="10"/>
  <c r="AH1576" i="10"/>
  <c r="AF1576" i="10"/>
  <c r="AT1576" i="10"/>
  <c r="K1576" i="10"/>
  <c r="X1576" i="10"/>
  <c r="AQ1576" i="10"/>
  <c r="Y1576" i="10"/>
  <c r="AP1576" i="10"/>
  <c r="AA1576" i="10"/>
  <c r="AS1576" i="10"/>
  <c r="J1576" i="10"/>
  <c r="P1576" i="10"/>
  <c r="AB1576" i="10"/>
  <c r="Q1576" i="10"/>
  <c r="AE1576" i="10"/>
  <c r="L1576" i="10"/>
  <c r="U1576" i="10"/>
  <c r="G1574" i="10"/>
  <c r="AD1574" i="10"/>
  <c r="L1574" i="10"/>
  <c r="Q1574" i="10"/>
  <c r="J1574" i="10"/>
  <c r="AG1574" i="10"/>
  <c r="AF1574" i="10"/>
  <c r="AE1574" i="10"/>
  <c r="X1574" i="10"/>
  <c r="AJ1574" i="10"/>
  <c r="AQ1574" i="10"/>
  <c r="AB1574" i="10"/>
  <c r="T1574" i="10"/>
  <c r="O1574" i="10"/>
  <c r="R1574" i="10"/>
  <c r="S1574" i="10"/>
  <c r="AC1574" i="10"/>
  <c r="N1574" i="10"/>
  <c r="Z1574" i="10"/>
  <c r="AA1574" i="10"/>
  <c r="Y1574" i="10"/>
  <c r="AR1574" i="10"/>
  <c r="V1574" i="10"/>
  <c r="AH1574" i="10"/>
  <c r="M1574" i="10"/>
  <c r="AI1574" i="10"/>
  <c r="AL1574" i="10"/>
  <c r="AT1574" i="10"/>
  <c r="AM1574" i="10"/>
  <c r="AS1574" i="10"/>
  <c r="K1574" i="10"/>
  <c r="W1574" i="10"/>
  <c r="AO1574" i="10"/>
  <c r="U1574" i="10"/>
  <c r="AN1574" i="10"/>
  <c r="G1567" i="10"/>
  <c r="Q1567" i="10"/>
  <c r="AK1567" i="10"/>
  <c r="U1567" i="10"/>
  <c r="AF1567" i="10"/>
  <c r="AD1567" i="10"/>
  <c r="L1567" i="10"/>
  <c r="W1567" i="10"/>
  <c r="J1567" i="10"/>
  <c r="AQ1567" i="10"/>
  <c r="AI1567" i="10"/>
  <c r="AT1567" i="10"/>
  <c r="P1567" i="10"/>
  <c r="O1567" i="10"/>
  <c r="AP1567" i="10"/>
  <c r="X1567" i="10"/>
  <c r="AJ1567" i="10"/>
  <c r="T1567" i="10"/>
  <c r="Z1567" i="10"/>
  <c r="AE1567" i="10"/>
  <c r="AH1567" i="10"/>
  <c r="M1567" i="10"/>
  <c r="AS1567" i="10"/>
  <c r="AM1567" i="10"/>
  <c r="AN1567" i="10"/>
  <c r="S1567" i="10"/>
  <c r="N1567" i="10"/>
  <c r="AO1567" i="10"/>
  <c r="AC1567" i="10"/>
  <c r="AA1567" i="10"/>
  <c r="Y1567" i="10"/>
  <c r="AG1567" i="10"/>
  <c r="AL1567" i="10"/>
  <c r="AB1567" i="10"/>
  <c r="K1567" i="10"/>
  <c r="AR1567" i="10"/>
  <c r="R1567" i="10"/>
  <c r="V1567" i="10"/>
  <c r="AT1560" i="10"/>
  <c r="S1560" i="10"/>
  <c r="AC1560" i="10"/>
  <c r="M1560" i="10"/>
  <c r="AG1560" i="10"/>
  <c r="Y1560" i="10"/>
  <c r="AH1560" i="10"/>
  <c r="AR1560" i="10"/>
  <c r="AN1560" i="10"/>
  <c r="AS1560" i="10"/>
  <c r="X1560" i="10"/>
  <c r="AA1560" i="10"/>
  <c r="AJ1560" i="10"/>
  <c r="AO1560" i="10"/>
  <c r="U1560" i="10"/>
  <c r="K1560" i="10"/>
  <c r="V1560" i="10"/>
  <c r="AB1560" i="10"/>
  <c r="AI1560" i="10"/>
  <c r="T1560" i="10"/>
  <c r="O1560" i="10"/>
  <c r="Q1560" i="10"/>
  <c r="AD1560" i="10"/>
  <c r="J1560" i="10"/>
  <c r="AM1560" i="10"/>
  <c r="AL1560" i="10"/>
  <c r="AQ1560" i="10"/>
  <c r="W1560" i="10"/>
  <c r="AP1560" i="10"/>
  <c r="N1560" i="10"/>
  <c r="AK1560" i="10"/>
  <c r="Z1560" i="10"/>
  <c r="AE1560" i="10"/>
  <c r="P1560" i="10"/>
  <c r="AO1558" i="10"/>
  <c r="AG1558" i="10"/>
  <c r="AJ1558" i="10"/>
  <c r="L1558" i="10"/>
  <c r="O1558" i="10"/>
  <c r="AS1558" i="10"/>
  <c r="U1558" i="10"/>
  <c r="T1558" i="10"/>
  <c r="AN1558" i="10"/>
  <c r="Z1558" i="10"/>
  <c r="J1558" i="10"/>
  <c r="AQ1558" i="10"/>
  <c r="AK1558" i="10"/>
  <c r="AL1558" i="10"/>
  <c r="P1558" i="10"/>
  <c r="AD1558" i="10"/>
  <c r="W1558" i="10"/>
  <c r="AF1558" i="10"/>
  <c r="K1558" i="10"/>
  <c r="AI1558" i="10"/>
  <c r="R1558" i="10"/>
  <c r="AR1558" i="10"/>
  <c r="X1558" i="10"/>
  <c r="AH1558" i="10"/>
  <c r="Y1558" i="10"/>
  <c r="AE1558" i="10"/>
  <c r="AT1558" i="10"/>
  <c r="Q1558" i="10"/>
  <c r="M1558" i="10"/>
  <c r="N1558" i="10"/>
  <c r="AM1558" i="10"/>
  <c r="AA1558" i="10"/>
  <c r="AP1558" i="10"/>
  <c r="AJ1556" i="10"/>
  <c r="M1556" i="10"/>
  <c r="AH1556" i="10"/>
  <c r="AK1556" i="10"/>
  <c r="U1556" i="10"/>
  <c r="P1556" i="10"/>
  <c r="J1556" i="10"/>
  <c r="AI1556" i="10"/>
  <c r="AF1556" i="10"/>
  <c r="AP1556" i="10"/>
  <c r="AR1556" i="10"/>
  <c r="Y1556" i="10"/>
  <c r="AN1556" i="10"/>
  <c r="W1556" i="10"/>
  <c r="X1556" i="10"/>
  <c r="AB1556" i="10"/>
  <c r="AA1556" i="10"/>
  <c r="AO1556" i="10"/>
  <c r="Z1556" i="10"/>
  <c r="Q1556" i="10"/>
  <c r="AD1556" i="10"/>
  <c r="AE1556" i="10"/>
  <c r="K1556" i="10"/>
  <c r="AM1556" i="10"/>
  <c r="AQ1556" i="10"/>
  <c r="N1556" i="10"/>
  <c r="T1556" i="10"/>
  <c r="AG1556" i="10"/>
  <c r="R1556" i="10"/>
  <c r="O1556" i="10"/>
  <c r="S1556" i="10"/>
  <c r="AL1556" i="10"/>
  <c r="AC1556" i="10"/>
  <c r="AS1556" i="10"/>
  <c r="AF1554" i="10"/>
  <c r="V1554" i="10"/>
  <c r="AO1554" i="10"/>
  <c r="AN1554" i="10"/>
  <c r="U1554" i="10"/>
  <c r="AG1554" i="10"/>
  <c r="M1554" i="10"/>
  <c r="L1554" i="10"/>
  <c r="AK1554" i="10"/>
  <c r="W1554" i="10"/>
  <c r="X1554" i="10"/>
  <c r="K1554" i="10"/>
  <c r="AP1554" i="10"/>
  <c r="AC1554" i="10"/>
  <c r="Q1554" i="10"/>
  <c r="Y1554" i="10"/>
  <c r="AS1554" i="10"/>
  <c r="P1554" i="10"/>
  <c r="AD1554" i="10"/>
  <c r="R1554" i="10"/>
  <c r="AQ1554" i="10"/>
  <c r="AE1554" i="10"/>
  <c r="AJ1554" i="10"/>
  <c r="N1554" i="10"/>
  <c r="AA1554" i="10"/>
  <c r="Z1554" i="10"/>
  <c r="AR1554" i="10"/>
  <c r="AM1554" i="10"/>
  <c r="J1554" i="10"/>
  <c r="AB1554" i="10"/>
  <c r="AI1554" i="10"/>
  <c r="AT1554" i="10"/>
  <c r="AJ1545" i="10"/>
  <c r="N1545" i="10"/>
  <c r="AS1545" i="10"/>
  <c r="R1545" i="10"/>
  <c r="V1545" i="10"/>
  <c r="AP1545" i="10"/>
  <c r="AK1545" i="10"/>
  <c r="AF1545" i="10"/>
  <c r="AE1545" i="10"/>
  <c r="M1545" i="10"/>
  <c r="P1545" i="10"/>
  <c r="O1545" i="10"/>
  <c r="S1545" i="10"/>
  <c r="AO1545" i="10"/>
  <c r="X1545" i="10"/>
  <c r="AR1545" i="10"/>
  <c r="AT1545" i="10"/>
  <c r="T1545" i="10"/>
  <c r="AL1545" i="10"/>
  <c r="AN1545" i="10"/>
  <c r="AA1545" i="10"/>
  <c r="K1545" i="10"/>
  <c r="AM1545" i="10"/>
  <c r="Q1545" i="10"/>
  <c r="Z1545" i="10"/>
  <c r="L1545" i="10"/>
  <c r="J1545" i="10"/>
  <c r="Y1545" i="10"/>
  <c r="AD1545" i="10"/>
  <c r="U1545" i="10"/>
  <c r="AI1545" i="10"/>
  <c r="AH1545" i="10"/>
  <c r="W1545" i="10"/>
  <c r="AG1545" i="10"/>
  <c r="AO1541" i="10"/>
  <c r="AS1541" i="10"/>
  <c r="R1541" i="10"/>
  <c r="N1541" i="10"/>
  <c r="AL1541" i="10"/>
  <c r="X1541" i="10"/>
  <c r="AQ1541" i="10"/>
  <c r="V1541" i="10"/>
  <c r="AT1541" i="10"/>
  <c r="T1541" i="10"/>
  <c r="AE1541" i="10"/>
  <c r="AR1541" i="10"/>
  <c r="J1541" i="10"/>
  <c r="K1541" i="10"/>
  <c r="W1541" i="10"/>
  <c r="AN1541" i="10"/>
  <c r="U1541" i="10"/>
  <c r="AG1541" i="10"/>
  <c r="Y1541" i="10"/>
  <c r="L1541" i="10"/>
  <c r="AH1541" i="10"/>
  <c r="AI1541" i="10"/>
  <c r="AK1541" i="10"/>
  <c r="AC1541" i="10"/>
  <c r="AJ1541" i="10"/>
  <c r="M1541" i="10"/>
  <c r="S1541" i="10"/>
  <c r="AD1541" i="10"/>
  <c r="Z1541" i="10"/>
  <c r="AA1541" i="10"/>
  <c r="AF1541" i="10"/>
  <c r="AP1541" i="10"/>
  <c r="AB1541" i="10"/>
  <c r="G1539" i="10"/>
  <c r="AO1539" i="10"/>
  <c r="AL1539" i="10"/>
  <c r="V1539" i="10"/>
  <c r="AE1539" i="10"/>
  <c r="AM1539" i="10"/>
  <c r="Y1539" i="10"/>
  <c r="S1539" i="10"/>
  <c r="Z1539" i="10"/>
  <c r="AH1539" i="10"/>
  <c r="T1539" i="10"/>
  <c r="AI1539" i="10"/>
  <c r="AN1539" i="10"/>
  <c r="J1539" i="10"/>
  <c r="AP1539" i="10"/>
  <c r="W1539" i="10"/>
  <c r="AC1539" i="10"/>
  <c r="AK1539" i="10"/>
  <c r="AB1539" i="10"/>
  <c r="K1539" i="10"/>
  <c r="P1539" i="10"/>
  <c r="O1539" i="10"/>
  <c r="L1539" i="10"/>
  <c r="R1539" i="10"/>
  <c r="M1539" i="10"/>
  <c r="Q1539" i="10"/>
  <c r="AR1539" i="10"/>
  <c r="AG1539" i="10"/>
  <c r="AF1539" i="10"/>
  <c r="N1539" i="10"/>
  <c r="X1539" i="10"/>
  <c r="AS1539" i="10"/>
  <c r="AA1539" i="10"/>
  <c r="AT1539" i="10"/>
  <c r="AD1539" i="10"/>
  <c r="AQ1539" i="10"/>
  <c r="AT1532" i="10"/>
  <c r="S1532" i="10"/>
  <c r="AI1532" i="10"/>
  <c r="Y1532" i="10"/>
  <c r="P1532" i="10"/>
  <c r="M1532" i="10"/>
  <c r="J1532" i="10"/>
  <c r="AR1532" i="10"/>
  <c r="T1532" i="10"/>
  <c r="AK1532" i="10"/>
  <c r="AH1532" i="10"/>
  <c r="AE1532" i="10"/>
  <c r="AD1532" i="10"/>
  <c r="AB1532" i="10"/>
  <c r="L1532" i="10"/>
  <c r="U1532" i="10"/>
  <c r="AA1532" i="10"/>
  <c r="Q1532" i="10"/>
  <c r="AG1532" i="10"/>
  <c r="AL1532" i="10"/>
  <c r="AC1532" i="10"/>
  <c r="AQ1532" i="10"/>
  <c r="V1532" i="10"/>
  <c r="X1532" i="10"/>
  <c r="R1532" i="10"/>
  <c r="AN1532" i="10"/>
  <c r="AP1532" i="10"/>
  <c r="AF1532" i="10"/>
  <c r="AO1532" i="10"/>
  <c r="O1532" i="10"/>
  <c r="W1532" i="10"/>
  <c r="AS1532" i="10"/>
  <c r="AB1530" i="10"/>
  <c r="O1530" i="10"/>
  <c r="AK1530" i="10"/>
  <c r="J1530" i="10"/>
  <c r="AI1530" i="10"/>
  <c r="AO1530" i="10"/>
  <c r="Q1530" i="10"/>
  <c r="V1530" i="10"/>
  <c r="L1530" i="10"/>
  <c r="AP1530" i="10"/>
  <c r="M1530" i="10"/>
  <c r="P1530" i="10"/>
  <c r="AL1530" i="10"/>
  <c r="S1530" i="10"/>
  <c r="U1530" i="10"/>
  <c r="R1530" i="10"/>
  <c r="AF1530" i="10"/>
  <c r="AA1530" i="10"/>
  <c r="X1530" i="10"/>
  <c r="AR1530" i="10"/>
  <c r="AS1530" i="10"/>
  <c r="AT1530" i="10"/>
  <c r="AQ1530" i="10"/>
  <c r="AJ1530" i="10"/>
  <c r="AE1530" i="10"/>
  <c r="AM1530" i="10"/>
  <c r="AC1530" i="10"/>
  <c r="AN1530" i="10"/>
  <c r="W1530" i="10"/>
  <c r="T1530" i="10"/>
  <c r="AG1530" i="10"/>
  <c r="Z1530" i="10"/>
  <c r="K1530" i="10"/>
  <c r="N1530" i="10"/>
  <c r="AR1528" i="10"/>
  <c r="S1528" i="10"/>
  <c r="L1528" i="10"/>
  <c r="R1528" i="10"/>
  <c r="AP1528" i="10"/>
  <c r="W1528" i="10"/>
  <c r="T1528" i="10"/>
  <c r="AL1528" i="10"/>
  <c r="AK1528" i="10"/>
  <c r="P1528" i="10"/>
  <c r="Z1528" i="10"/>
  <c r="Y1528" i="10"/>
  <c r="AI1528" i="10"/>
  <c r="V1528" i="10"/>
  <c r="AS1528" i="10"/>
  <c r="O1528" i="10"/>
  <c r="AG1528" i="10"/>
  <c r="AT1528" i="10"/>
  <c r="K1528" i="10"/>
  <c r="Q1528" i="10"/>
  <c r="AO1528" i="10"/>
  <c r="AA1528" i="10"/>
  <c r="AQ1528" i="10"/>
  <c r="AJ1528" i="10"/>
  <c r="AO1329" i="10"/>
  <c r="U1329" i="10"/>
  <c r="T1329" i="10"/>
  <c r="AS1329" i="10"/>
  <c r="AJ1329" i="10"/>
  <c r="AO488" i="26"/>
  <c r="AM488" i="26"/>
  <c r="AM476" i="26"/>
  <c r="AO476" i="26"/>
  <c r="AD1463" i="10"/>
  <c r="AJ1463" i="10"/>
  <c r="AB1463" i="10"/>
  <c r="E434" i="6"/>
  <c r="U439" i="26"/>
  <c r="G1496" i="10"/>
  <c r="N1496" i="10"/>
  <c r="AM1496" i="10"/>
  <c r="AH1496" i="10"/>
  <c r="L1496" i="10"/>
  <c r="AL1496" i="10"/>
  <c r="AK1496" i="10"/>
  <c r="T1496" i="10"/>
  <c r="AS1496" i="10"/>
  <c r="V1496" i="10"/>
  <c r="M1496" i="10"/>
  <c r="AT1496" i="10"/>
  <c r="AC1496" i="10"/>
  <c r="AI1496" i="10"/>
  <c r="AN1496" i="10"/>
  <c r="AQ1496" i="10"/>
  <c r="AE1496" i="10"/>
  <c r="AP1496" i="10"/>
  <c r="AO1496" i="10"/>
  <c r="AK1408" i="10"/>
  <c r="S1408" i="10"/>
  <c r="AN1408" i="10"/>
  <c r="K1408" i="10"/>
  <c r="S1526" i="10"/>
  <c r="AF1526" i="10"/>
  <c r="Y1526" i="10"/>
  <c r="AQ1526" i="10"/>
  <c r="L1526" i="10"/>
  <c r="AA1526" i="10"/>
  <c r="T1526" i="10"/>
  <c r="R1526" i="10"/>
  <c r="M1526" i="10"/>
  <c r="V1526" i="10"/>
  <c r="X1526" i="10"/>
  <c r="AO1526" i="10"/>
  <c r="AS1526" i="10"/>
  <c r="AT1526" i="10"/>
  <c r="AE1526" i="10"/>
  <c r="Q1526" i="10"/>
  <c r="AH1526" i="10"/>
  <c r="AM1526" i="10"/>
  <c r="O1526" i="10"/>
  <c r="AC1526" i="10"/>
  <c r="AB1526" i="10"/>
  <c r="G1523" i="10"/>
  <c r="Y1523" i="10"/>
  <c r="AT1518" i="10"/>
  <c r="AC1518" i="10"/>
  <c r="L1518" i="10"/>
  <c r="AM1518" i="10"/>
  <c r="AK1518" i="10"/>
  <c r="AH1518" i="10"/>
  <c r="AG1518" i="10"/>
  <c r="AB1518" i="10"/>
  <c r="AE1518" i="10"/>
  <c r="S1518" i="10"/>
  <c r="AD1518" i="10"/>
  <c r="AP1518" i="10"/>
  <c r="AO1518" i="10"/>
  <c r="T1518" i="10"/>
  <c r="AA1518" i="10"/>
  <c r="AS1518" i="10"/>
  <c r="AL1518" i="10"/>
  <c r="AR1518" i="10"/>
  <c r="U1518" i="10"/>
  <c r="AI1518" i="10"/>
  <c r="X1518" i="10"/>
  <c r="M1518" i="10"/>
  <c r="P1518" i="10"/>
  <c r="W1518" i="10"/>
  <c r="AJ1518" i="10"/>
  <c r="N1518" i="10"/>
  <c r="K1518" i="10"/>
  <c r="V1518" i="10"/>
  <c r="Q1518" i="10"/>
  <c r="AK1516" i="10"/>
  <c r="V1516" i="10"/>
  <c r="T1516" i="10"/>
  <c r="J1516" i="10"/>
  <c r="AI1516" i="10"/>
  <c r="AH1516" i="10"/>
  <c r="AT1516" i="10"/>
  <c r="Q1516" i="10"/>
  <c r="U1516" i="10"/>
  <c r="O1516" i="10"/>
  <c r="AC1516" i="10"/>
  <c r="AP1516" i="10"/>
  <c r="L1516" i="10"/>
  <c r="AJ1516" i="10"/>
  <c r="AB1516" i="10"/>
  <c r="AF1516" i="10"/>
  <c r="Y1516" i="10"/>
  <c r="AL1516" i="10"/>
  <c r="Z1516" i="10"/>
  <c r="AA1516" i="10"/>
  <c r="K1516" i="10"/>
  <c r="M1516" i="10"/>
  <c r="AG1516" i="10"/>
  <c r="AR1516" i="10"/>
  <c r="AM1516" i="10"/>
  <c r="AD1516" i="10"/>
  <c r="AQ1516" i="10"/>
  <c r="AO1516" i="10"/>
  <c r="AS1516" i="10"/>
  <c r="S1516" i="10"/>
  <c r="R1516" i="10"/>
  <c r="AE1516" i="10"/>
  <c r="N1516" i="10"/>
  <c r="U1508" i="10"/>
  <c r="R1508" i="10"/>
  <c r="AQ1508" i="10"/>
  <c r="M1508" i="10"/>
  <c r="Y1508" i="10"/>
  <c r="O1508" i="10"/>
  <c r="AN1508" i="10"/>
  <c r="S1508" i="10"/>
  <c r="AF1508" i="10"/>
  <c r="AH1508" i="10"/>
  <c r="Q1508" i="10"/>
  <c r="V1508" i="10"/>
  <c r="T1508" i="10"/>
  <c r="Z1508" i="10"/>
  <c r="AR1508" i="10"/>
  <c r="W1508" i="10"/>
  <c r="AJ1508" i="10"/>
  <c r="AK1508" i="10"/>
  <c r="AE1508" i="10"/>
  <c r="AI1508" i="10"/>
  <c r="AA1508" i="10"/>
  <c r="P1508" i="10"/>
  <c r="J1508" i="10"/>
  <c r="AD1508" i="10"/>
  <c r="AM1508" i="10"/>
  <c r="AS1508" i="10"/>
  <c r="T1506" i="10"/>
  <c r="P1506" i="10"/>
  <c r="Y1506" i="10"/>
  <c r="AJ1506" i="10"/>
  <c r="Q1506" i="10"/>
  <c r="AF1506" i="10"/>
  <c r="AB1506" i="10"/>
  <c r="AA1506" i="10"/>
  <c r="W1506" i="10"/>
  <c r="M1506" i="10"/>
  <c r="AN1506" i="10"/>
  <c r="AT1506" i="10"/>
  <c r="X1506" i="10"/>
  <c r="AI1506" i="10"/>
  <c r="S1506" i="10"/>
  <c r="AD1506" i="10"/>
  <c r="U1506" i="10"/>
  <c r="R1506" i="10"/>
  <c r="V1506" i="10"/>
  <c r="O1506" i="10"/>
  <c r="AP1506" i="10"/>
  <c r="AH1506" i="10"/>
  <c r="Z1506" i="10"/>
  <c r="N1506" i="10"/>
  <c r="G1502" i="10"/>
  <c r="AM1502" i="10"/>
  <c r="Z1502" i="10"/>
  <c r="AO1502" i="10"/>
  <c r="AP1502" i="10"/>
  <c r="U1502" i="10"/>
  <c r="Q1502" i="10"/>
  <c r="AR1502" i="10"/>
  <c r="Y1502" i="10"/>
  <c r="AB1502" i="10"/>
  <c r="AJ1502" i="10"/>
  <c r="P1502" i="10"/>
  <c r="AN1502" i="10"/>
  <c r="L1502" i="10"/>
  <c r="AK1502" i="10"/>
  <c r="AH1502" i="10"/>
  <c r="T1502" i="10"/>
  <c r="V1502" i="10"/>
  <c r="AI1502" i="10"/>
  <c r="AG1502" i="10"/>
  <c r="AA1502" i="10"/>
  <c r="O1502" i="10"/>
  <c r="AD1502" i="10"/>
  <c r="AT1502" i="10"/>
  <c r="AC1502" i="10"/>
  <c r="K1502" i="10"/>
  <c r="W1502" i="10"/>
  <c r="X1502" i="10"/>
  <c r="AE1502" i="10"/>
  <c r="AF1502" i="10"/>
  <c r="R1502" i="10"/>
  <c r="AL1502" i="10"/>
  <c r="AS1502" i="10"/>
  <c r="AA1499" i="10"/>
  <c r="U1499" i="10"/>
  <c r="Y1499" i="10"/>
  <c r="T1499" i="10"/>
  <c r="X1499" i="10"/>
  <c r="AE1499" i="10"/>
  <c r="AT1499" i="10"/>
  <c r="AF1499" i="10"/>
  <c r="K1499" i="10"/>
  <c r="Q1499" i="10"/>
  <c r="S1499" i="10"/>
  <c r="AL1499" i="10"/>
  <c r="AM1499" i="10"/>
  <c r="AC1499" i="10"/>
  <c r="AG1499" i="10"/>
  <c r="R1499" i="10"/>
  <c r="M1499" i="10"/>
  <c r="AR1499" i="10"/>
  <c r="V1499" i="10"/>
  <c r="AD1499" i="10"/>
  <c r="AN1499" i="10"/>
  <c r="O1499" i="10"/>
  <c r="AH1499" i="10"/>
  <c r="N1499" i="10"/>
  <c r="L1499" i="10"/>
  <c r="W1499" i="10"/>
  <c r="Z1499" i="10"/>
  <c r="P1499" i="10"/>
  <c r="AB1499" i="10"/>
  <c r="AQ1499" i="10"/>
  <c r="X1493" i="10"/>
  <c r="J1493" i="10"/>
  <c r="O1493" i="10"/>
  <c r="Q1493" i="10"/>
  <c r="AH1493" i="10"/>
  <c r="AM1493" i="10"/>
  <c r="AJ1493" i="10"/>
  <c r="M1493" i="10"/>
  <c r="T1493" i="10"/>
  <c r="AS1493" i="10"/>
  <c r="U1493" i="10"/>
  <c r="L1493" i="10"/>
  <c r="AO1493" i="10"/>
  <c r="K1493" i="10"/>
  <c r="AN1493" i="10"/>
  <c r="Z1493" i="10"/>
  <c r="W1493" i="10"/>
  <c r="V1493" i="10"/>
  <c r="AI1493" i="10"/>
  <c r="N1493" i="10"/>
  <c r="AL1493" i="10"/>
  <c r="AR1493" i="10"/>
  <c r="S1493" i="10"/>
  <c r="AC1493" i="10"/>
  <c r="AA1493" i="10"/>
  <c r="AD1493" i="10"/>
  <c r="AK1491" i="10"/>
  <c r="U1491" i="10"/>
  <c r="N1491" i="10"/>
  <c r="AM1491" i="10"/>
  <c r="O1491" i="10"/>
  <c r="AQ1491" i="10"/>
  <c r="AR1491" i="10"/>
  <c r="P1491" i="10"/>
  <c r="Y1491" i="10"/>
  <c r="AL1491" i="10"/>
  <c r="AP1491" i="10"/>
  <c r="Z1491" i="10"/>
  <c r="V1491" i="10"/>
  <c r="AD1491" i="10"/>
  <c r="AS1491" i="10"/>
  <c r="J1491" i="10"/>
  <c r="AF1491" i="10"/>
  <c r="W1491" i="10"/>
  <c r="AO1491" i="10"/>
  <c r="AC1491" i="10"/>
  <c r="AE1491" i="10"/>
  <c r="AH1491" i="10"/>
  <c r="AN1491" i="10"/>
  <c r="S1491" i="10"/>
  <c r="M1491" i="10"/>
  <c r="AT1491" i="10"/>
  <c r="AB1491" i="10"/>
  <c r="AA1491" i="10"/>
  <c r="X1488" i="10"/>
  <c r="AH1488" i="10"/>
  <c r="AA1488" i="10"/>
  <c r="Y1488" i="10"/>
  <c r="U1488" i="10"/>
  <c r="AL1488" i="10"/>
  <c r="L1488" i="10"/>
  <c r="Z1488" i="10"/>
  <c r="AJ1488" i="10"/>
  <c r="AC1488" i="10"/>
  <c r="AB1488" i="10"/>
  <c r="AT1488" i="10"/>
  <c r="N1488" i="10"/>
  <c r="Q1488" i="10"/>
  <c r="P1488" i="10"/>
  <c r="AE1488" i="10"/>
  <c r="AN1488" i="10"/>
  <c r="S1488" i="10"/>
  <c r="K1488" i="10"/>
  <c r="AD1488" i="10"/>
  <c r="AO1488" i="10"/>
  <c r="AS1488" i="10"/>
  <c r="O1488" i="10"/>
  <c r="AP1488" i="10"/>
  <c r="AF1488" i="10"/>
  <c r="T1488" i="10"/>
  <c r="AK1488" i="10"/>
  <c r="M1488" i="10"/>
  <c r="R1488" i="10"/>
  <c r="J1480" i="10"/>
  <c r="AJ1480" i="10"/>
  <c r="V1480" i="10"/>
  <c r="AG1480" i="10"/>
  <c r="AF1480" i="10"/>
  <c r="W1480" i="10"/>
  <c r="X1480" i="10"/>
  <c r="AA1480" i="10"/>
  <c r="AN1480" i="10"/>
  <c r="M1480" i="10"/>
  <c r="Y1480" i="10"/>
  <c r="AC1480" i="10"/>
  <c r="AD1480" i="10"/>
  <c r="T1480" i="10"/>
  <c r="AH1480" i="10"/>
  <c r="AR1480" i="10"/>
  <c r="S1480" i="10"/>
  <c r="AL1480" i="10"/>
  <c r="AO1480" i="10"/>
  <c r="N1480" i="10"/>
  <c r="R1480" i="10"/>
  <c r="Z1480" i="10"/>
  <c r="AI1480" i="10"/>
  <c r="AK1480" i="10"/>
  <c r="AM1480" i="10"/>
  <c r="AQ1480" i="10"/>
  <c r="P1480" i="10"/>
  <c r="AH1474" i="10"/>
  <c r="AA1474" i="10"/>
  <c r="AL1474" i="10"/>
  <c r="AR1474" i="10"/>
  <c r="J1474" i="10"/>
  <c r="AI1474" i="10"/>
  <c r="AO1474" i="10"/>
  <c r="AJ1474" i="10"/>
  <c r="AE1474" i="10"/>
  <c r="AG1474" i="10"/>
  <c r="X1474" i="10"/>
  <c r="AP1474" i="10"/>
  <c r="M1474" i="10"/>
  <c r="Y1474" i="10"/>
  <c r="AK1474" i="10"/>
  <c r="Z1474" i="10"/>
  <c r="P1474" i="10"/>
  <c r="R1474" i="10"/>
  <c r="W1474" i="10"/>
  <c r="O1474" i="10"/>
  <c r="T1474" i="10"/>
  <c r="AQ1474" i="10"/>
  <c r="Q1474" i="10"/>
  <c r="U1474" i="10"/>
  <c r="AM1474" i="10"/>
  <c r="L1474" i="10"/>
  <c r="S1474" i="10"/>
  <c r="K1474" i="10"/>
  <c r="AD1474" i="10"/>
  <c r="AN1474" i="10"/>
  <c r="AT1474" i="10"/>
  <c r="V1474" i="10"/>
  <c r="P1469" i="10"/>
  <c r="O1469" i="10"/>
  <c r="AH1469" i="10"/>
  <c r="AT1469" i="10"/>
  <c r="AI1469" i="10"/>
  <c r="L1469" i="10"/>
  <c r="Q1469" i="10"/>
  <c r="Y1469" i="10"/>
  <c r="AM1469" i="10"/>
  <c r="AR1469" i="10"/>
  <c r="AS1469" i="10"/>
  <c r="AB1469" i="10"/>
  <c r="AQ1469" i="10"/>
  <c r="AD1469" i="10"/>
  <c r="U1469" i="10"/>
  <c r="AN1469" i="10"/>
  <c r="S1469" i="10"/>
  <c r="Z1469" i="10"/>
  <c r="T1469" i="10"/>
  <c r="AE1469" i="10"/>
  <c r="AA1469" i="10"/>
  <c r="K1469" i="10"/>
  <c r="M1469" i="10"/>
  <c r="AO1469" i="10"/>
  <c r="N1469" i="10"/>
  <c r="V1469" i="10"/>
  <c r="AK1469" i="10"/>
  <c r="AF1469" i="10"/>
  <c r="J1469" i="10"/>
  <c r="AD1467" i="10"/>
  <c r="AF1467" i="10"/>
  <c r="J1467" i="10"/>
  <c r="AP1467" i="10"/>
  <c r="K1467" i="10"/>
  <c r="AC1467" i="10"/>
  <c r="AK1467" i="10"/>
  <c r="U1467" i="10"/>
  <c r="AM1467" i="10"/>
  <c r="N1467" i="10"/>
  <c r="AT1467" i="10"/>
  <c r="Z1467" i="10"/>
  <c r="L1467" i="10"/>
  <c r="AA1467" i="10"/>
  <c r="Q1467" i="10"/>
  <c r="O1467" i="10"/>
  <c r="V1467" i="10"/>
  <c r="AJ1467" i="10"/>
  <c r="M1467" i="10"/>
  <c r="AP1465" i="10"/>
  <c r="AD1465" i="10"/>
  <c r="J1465" i="10"/>
  <c r="L1465" i="10"/>
  <c r="N1465" i="10"/>
  <c r="U1465" i="10"/>
  <c r="Q1465" i="10"/>
  <c r="P1465" i="10"/>
  <c r="AL1465" i="10"/>
  <c r="S1465" i="10"/>
  <c r="AI1465" i="10"/>
  <c r="K1465" i="10"/>
  <c r="O1465" i="10"/>
  <c r="T1465" i="10"/>
  <c r="Z1465" i="10"/>
  <c r="M1465" i="10"/>
  <c r="V1465" i="10"/>
  <c r="AA1465" i="10"/>
  <c r="AE1465" i="10"/>
  <c r="W1465" i="10"/>
  <c r="AR1465" i="10"/>
  <c r="AO1465" i="10"/>
  <c r="AN1465" i="10"/>
  <c r="AH1465" i="10"/>
  <c r="AM1465" i="10"/>
  <c r="Y1465" i="10"/>
  <c r="R1465" i="10"/>
  <c r="AQ1465" i="10"/>
  <c r="G1456" i="10"/>
  <c r="Y1456" i="10"/>
  <c r="U1456" i="10"/>
  <c r="AS1453" i="10"/>
  <c r="AT1436" i="10"/>
  <c r="X1436" i="10"/>
  <c r="AL1436" i="10"/>
  <c r="AR1436" i="10"/>
  <c r="Z1436" i="10"/>
  <c r="T1436" i="10"/>
  <c r="AD1436" i="10"/>
  <c r="AH1436" i="10"/>
  <c r="AM1436" i="10"/>
  <c r="K1436" i="10"/>
  <c r="AF1436" i="10"/>
  <c r="AE1436" i="10"/>
  <c r="AG1436" i="10"/>
  <c r="S1436" i="10"/>
  <c r="AS1436" i="10"/>
  <c r="AB1436" i="10"/>
  <c r="AJ1436" i="10"/>
  <c r="R1436" i="10"/>
  <c r="AN1436" i="10"/>
  <c r="AK1436" i="10"/>
  <c r="M1436" i="10"/>
  <c r="AA1436" i="10"/>
  <c r="N1436" i="10"/>
  <c r="P1436" i="10"/>
  <c r="U1436" i="10"/>
  <c r="O1436" i="10"/>
  <c r="AP1436" i="10"/>
  <c r="W1436" i="10"/>
  <c r="AC1436" i="10"/>
  <c r="T1430" i="10"/>
  <c r="X1430" i="10"/>
  <c r="R1430" i="10"/>
  <c r="AP1430" i="10"/>
  <c r="AR1430" i="10"/>
  <c r="AI1430" i="10"/>
  <c r="AD1430" i="10"/>
  <c r="AK1430" i="10"/>
  <c r="AO1430" i="10"/>
  <c r="N1430" i="10"/>
  <c r="AE1430" i="10"/>
  <c r="AF1430" i="10"/>
  <c r="AC1430" i="10"/>
  <c r="V1430" i="10"/>
  <c r="AL1430" i="10"/>
  <c r="K1430" i="10"/>
  <c r="W1430" i="10"/>
  <c r="O1430" i="10"/>
  <c r="AQ1430" i="10"/>
  <c r="AS1426" i="10"/>
  <c r="J1426" i="10"/>
  <c r="Q1426" i="10"/>
  <c r="O1426" i="10"/>
  <c r="AM1426" i="10"/>
  <c r="S1426" i="10"/>
  <c r="AQ1426" i="10"/>
  <c r="Z1426" i="10"/>
  <c r="AE1426" i="10"/>
  <c r="M1426" i="10"/>
  <c r="AA1426" i="10"/>
  <c r="N1426" i="10"/>
  <c r="AF1426" i="10"/>
  <c r="U1426" i="10"/>
  <c r="T1426" i="10"/>
  <c r="Y1426" i="10"/>
  <c r="AC1426" i="10"/>
  <c r="K1426" i="10"/>
  <c r="R1426" i="10"/>
  <c r="V1426" i="10"/>
  <c r="AG1426" i="10"/>
  <c r="AL1426" i="10"/>
  <c r="AR1426" i="10"/>
  <c r="W1426" i="10"/>
  <c r="AT1426" i="10"/>
  <c r="AO1426" i="10"/>
  <c r="AJ1426" i="10"/>
  <c r="AN1426" i="10"/>
  <c r="L1426" i="10"/>
  <c r="AH1422" i="10"/>
  <c r="U1422" i="10"/>
  <c r="K1422" i="10"/>
  <c r="O1422" i="10"/>
  <c r="AP1422" i="10"/>
  <c r="Y1422" i="10"/>
  <c r="M1422" i="10"/>
  <c r="AK1422" i="10"/>
  <c r="AG1422" i="10"/>
  <c r="AN1422" i="10"/>
  <c r="AF1422" i="10"/>
  <c r="N1422" i="10"/>
  <c r="W1422" i="10"/>
  <c r="AB1422" i="10"/>
  <c r="L1422" i="10"/>
  <c r="R1422" i="10"/>
  <c r="AS1422" i="10"/>
  <c r="Q1422" i="10"/>
  <c r="P1422" i="10"/>
  <c r="AI1422" i="10"/>
  <c r="AJ1422" i="10"/>
  <c r="AO1422" i="10"/>
  <c r="AE1422" i="10"/>
  <c r="X1422" i="10"/>
  <c r="AQ1422" i="10"/>
  <c r="AD1422" i="10"/>
  <c r="AC1422" i="10"/>
  <c r="S1422" i="10"/>
  <c r="AP1420" i="10"/>
  <c r="W1420" i="10"/>
  <c r="K1420" i="10"/>
  <c r="AD1420" i="10"/>
  <c r="R1420" i="10"/>
  <c r="AC1420" i="10"/>
  <c r="U1420" i="10"/>
  <c r="S1420" i="10"/>
  <c r="Q1420" i="10"/>
  <c r="P1420" i="10"/>
  <c r="AQ1420" i="10"/>
  <c r="AL1420" i="10"/>
  <c r="AA1420" i="10"/>
  <c r="AO1420" i="10"/>
  <c r="X1420" i="10"/>
  <c r="J1420" i="10"/>
  <c r="AK1420" i="10"/>
  <c r="AN1420" i="10"/>
  <c r="AR1415" i="10"/>
  <c r="AH1415" i="10"/>
  <c r="AA1415" i="10"/>
  <c r="AB1415" i="10"/>
  <c r="AP1415" i="10"/>
  <c r="N1415" i="10"/>
  <c r="P1415" i="10"/>
  <c r="AN1415" i="10"/>
  <c r="AS1415" i="10"/>
  <c r="W1415" i="10"/>
  <c r="AK1415" i="10"/>
  <c r="R1415" i="10"/>
  <c r="AT1415" i="10"/>
  <c r="G1396" i="10"/>
  <c r="K1396" i="10"/>
  <c r="AQ1396" i="10"/>
  <c r="T1396" i="10"/>
  <c r="AM1396" i="10"/>
  <c r="R1396" i="10"/>
  <c r="Z1396" i="10"/>
  <c r="N1396" i="10"/>
  <c r="AI1396" i="10"/>
  <c r="M1396" i="10"/>
  <c r="P1396" i="10"/>
  <c r="AG1396" i="10"/>
  <c r="AF1396" i="10"/>
  <c r="U1396" i="10"/>
  <c r="AT1396" i="10"/>
  <c r="AL1396" i="10"/>
  <c r="Y1396" i="10"/>
  <c r="AP1396" i="10"/>
  <c r="AK1396" i="10"/>
  <c r="AJ1396" i="10"/>
  <c r="Q1396" i="10"/>
  <c r="AN1396" i="10"/>
  <c r="S1396" i="10"/>
  <c r="L1396" i="10"/>
  <c r="AR1396" i="10"/>
  <c r="W1396" i="10"/>
  <c r="O1396" i="10"/>
  <c r="J1396" i="10"/>
  <c r="AO1389" i="10"/>
  <c r="AQ1389" i="10"/>
  <c r="N1389" i="10"/>
  <c r="AE1389" i="10"/>
  <c r="AK1389" i="10"/>
  <c r="S1389" i="10"/>
  <c r="Z1389" i="10"/>
  <c r="AL1389" i="10"/>
  <c r="R1389" i="10"/>
  <c r="AJ1389" i="10"/>
  <c r="AS1389" i="10"/>
  <c r="K1389" i="10"/>
  <c r="AN1389" i="10"/>
  <c r="AH1389" i="10"/>
  <c r="AB1389" i="10"/>
  <c r="Q1389" i="10"/>
  <c r="M1389" i="10"/>
  <c r="T1389" i="10"/>
  <c r="AG1389" i="10"/>
  <c r="AM1389" i="10"/>
  <c r="X1389" i="10"/>
  <c r="L1389" i="10"/>
  <c r="P1389" i="10"/>
  <c r="AP1389" i="10"/>
  <c r="AI1389" i="10"/>
  <c r="Y1389" i="10"/>
  <c r="AT1389" i="10"/>
  <c r="V1389" i="10"/>
  <c r="W1389" i="10"/>
  <c r="S1376" i="10"/>
  <c r="AK1376" i="10"/>
  <c r="K1376" i="10"/>
  <c r="AJ1376" i="10"/>
  <c r="O1376" i="10"/>
  <c r="AN1376" i="10"/>
  <c r="AI1376" i="10"/>
  <c r="Z1376" i="10"/>
  <c r="AP1376" i="10"/>
  <c r="AG1376" i="10"/>
  <c r="L1376" i="10"/>
  <c r="AD1376" i="10"/>
  <c r="J1376" i="10"/>
  <c r="AF1376" i="10"/>
  <c r="U1376" i="10"/>
  <c r="AO1376" i="10"/>
  <c r="AH1376" i="10"/>
  <c r="N1376" i="10"/>
  <c r="AE1376" i="10"/>
  <c r="AB1376" i="10"/>
  <c r="AA1376" i="10"/>
  <c r="Y1376" i="10"/>
  <c r="AQ1376" i="10"/>
  <c r="AS1376" i="10"/>
  <c r="Q1376" i="10"/>
  <c r="V1376" i="10"/>
  <c r="AT1376" i="10"/>
  <c r="AE1370" i="10"/>
  <c r="AC1370" i="10"/>
  <c r="AQ1370" i="10"/>
  <c r="AO1370" i="10"/>
  <c r="S1370" i="10"/>
  <c r="O1370" i="10"/>
  <c r="V1370" i="10"/>
  <c r="AI1370" i="10"/>
  <c r="M1370" i="10"/>
  <c r="X1370" i="10"/>
  <c r="AF1370" i="10"/>
  <c r="N1370" i="10"/>
  <c r="AA1370" i="10"/>
  <c r="AK1370" i="10"/>
  <c r="AM1370" i="10"/>
  <c r="Q1370" i="10"/>
  <c r="Y1370" i="10"/>
  <c r="AS1370" i="10"/>
  <c r="AJ1370" i="10"/>
  <c r="T1370" i="10"/>
  <c r="K1359" i="10"/>
  <c r="AN1359" i="10"/>
  <c r="AA1359" i="10"/>
  <c r="AJ1359" i="10"/>
  <c r="Q1359" i="10"/>
  <c r="AO1359" i="10"/>
  <c r="M1359" i="10"/>
  <c r="AT1359" i="10"/>
  <c r="J1359" i="10"/>
  <c r="AG1359" i="10"/>
  <c r="AL1359" i="10"/>
  <c r="Z1359" i="10"/>
  <c r="AE1359" i="10"/>
  <c r="X1359" i="10"/>
  <c r="AM1359" i="10"/>
  <c r="Y1359" i="10"/>
  <c r="V1359" i="10"/>
  <c r="AH1359" i="10"/>
  <c r="AC1359" i="10"/>
  <c r="AS1359" i="10"/>
  <c r="AP1359" i="10"/>
  <c r="AI1359" i="10"/>
  <c r="AR1359" i="10"/>
  <c r="T1359" i="10"/>
  <c r="AD1359" i="10"/>
  <c r="AF1359" i="10"/>
  <c r="W1359" i="10"/>
  <c r="S1359" i="10"/>
  <c r="U1359" i="10"/>
  <c r="O1359" i="10"/>
  <c r="P1359" i="10"/>
  <c r="K1345" i="10"/>
  <c r="AN1345" i="10"/>
  <c r="AD1345" i="10"/>
  <c r="S1345" i="10"/>
  <c r="J1345" i="10"/>
  <c r="AG1345" i="10"/>
  <c r="AJ1345" i="10"/>
  <c r="L1345" i="10"/>
  <c r="X1345" i="10"/>
  <c r="AQ1345" i="10"/>
  <c r="V1345" i="10"/>
  <c r="Y1345" i="10"/>
  <c r="P1345" i="10"/>
  <c r="AC1345" i="10"/>
  <c r="AM1345" i="10"/>
  <c r="AK1345" i="10"/>
  <c r="M1345" i="10"/>
  <c r="U1345" i="10"/>
  <c r="AS1345" i="10"/>
  <c r="AH1345" i="10"/>
  <c r="AO1345" i="10"/>
  <c r="AF1345" i="10"/>
  <c r="T1345" i="10"/>
  <c r="AA1345" i="10"/>
  <c r="Q1345" i="10"/>
  <c r="AT1345" i="10"/>
  <c r="O1345" i="10"/>
  <c r="AB1345" i="10"/>
  <c r="AG1342" i="10"/>
  <c r="K1342" i="10"/>
  <c r="O1342" i="10"/>
  <c r="AJ1342" i="10"/>
  <c r="AO1342" i="10"/>
  <c r="M1342" i="10"/>
  <c r="AL1342" i="10"/>
  <c r="U1342" i="10"/>
  <c r="Q1342" i="10"/>
  <c r="X1342" i="10"/>
  <c r="W1342" i="10"/>
  <c r="AB1342" i="10"/>
  <c r="AN1342" i="10"/>
  <c r="AH1342" i="10"/>
  <c r="AS1342" i="10"/>
  <c r="AK1342" i="10"/>
  <c r="P1342" i="10"/>
  <c r="AP1342" i="10"/>
  <c r="AA1342" i="10"/>
  <c r="AF1342" i="10"/>
  <c r="AD1342" i="10"/>
  <c r="AQ1342" i="10"/>
  <c r="L1342" i="10"/>
  <c r="S1342" i="10"/>
  <c r="Y1342" i="10"/>
  <c r="V1342" i="10"/>
  <c r="AE1342" i="10"/>
  <c r="Q1338" i="10"/>
  <c r="AP1338" i="10"/>
  <c r="S1338" i="10"/>
  <c r="AS1338" i="10"/>
  <c r="AM1338" i="10"/>
  <c r="AF1338" i="10"/>
  <c r="O1338" i="10"/>
  <c r="T1338" i="10"/>
  <c r="J1338" i="10"/>
  <c r="L1338" i="10"/>
  <c r="W1338" i="10"/>
  <c r="AE1338" i="10"/>
  <c r="AR1338" i="10"/>
  <c r="AL1338" i="10"/>
  <c r="AK1338" i="10"/>
  <c r="AI1338" i="10"/>
  <c r="AH1338" i="10"/>
  <c r="AA1338" i="10"/>
  <c r="X1338" i="10"/>
  <c r="V1338" i="10"/>
  <c r="AD1338" i="10"/>
  <c r="AO1338" i="10"/>
  <c r="AQ1338" i="10"/>
  <c r="AG1338" i="10"/>
  <c r="M1338" i="10"/>
  <c r="U1338" i="10"/>
  <c r="K1338" i="10"/>
  <c r="AC1338" i="10"/>
  <c r="AT1338" i="10"/>
  <c r="Y1338" i="10"/>
  <c r="P1338" i="10"/>
  <c r="AB1338" i="10"/>
  <c r="R1338" i="10"/>
  <c r="Z1329" i="10"/>
  <c r="AR1329" i="10"/>
  <c r="AG1329" i="10"/>
  <c r="S1329" i="10"/>
  <c r="AA1329" i="10"/>
  <c r="O1329" i="10"/>
  <c r="N1329" i="10"/>
  <c r="V1329" i="10"/>
  <c r="J1329" i="10"/>
  <c r="AE1301" i="10"/>
  <c r="S1301" i="10"/>
  <c r="AR1301" i="10"/>
  <c r="AS1301" i="10"/>
  <c r="T1298" i="10"/>
  <c r="AP1298" i="10"/>
  <c r="J1298" i="10"/>
  <c r="V1298" i="10"/>
  <c r="U1298" i="10"/>
  <c r="Q1298" i="10"/>
  <c r="AG1298" i="10"/>
  <c r="L1298" i="10"/>
  <c r="Y1298" i="10"/>
  <c r="Y1297" i="10"/>
  <c r="AM1287" i="10"/>
  <c r="AH1287" i="10"/>
  <c r="K1287" i="10"/>
  <c r="AS1287" i="10"/>
  <c r="W1287" i="10"/>
  <c r="S1287" i="10"/>
  <c r="AL1287" i="10"/>
  <c r="R1287" i="10"/>
  <c r="AE1287" i="10"/>
  <c r="O1287" i="10"/>
  <c r="AJ1287" i="10"/>
  <c r="AG1287" i="10"/>
  <c r="AT1287" i="10"/>
  <c r="AP1287" i="10"/>
  <c r="Z1287" i="10"/>
  <c r="AC1287" i="10"/>
  <c r="AK1287" i="10"/>
  <c r="Y1287" i="10"/>
  <c r="U1287" i="10"/>
  <c r="AD1287" i="10"/>
  <c r="T1287" i="10"/>
  <c r="AO1287" i="10"/>
  <c r="J1287" i="10"/>
  <c r="N1287" i="10"/>
  <c r="M1287" i="10"/>
  <c r="AQ1287" i="10"/>
  <c r="P1287" i="10"/>
  <c r="Q1287" i="10"/>
  <c r="V1287" i="10"/>
  <c r="X1287" i="10"/>
  <c r="W1276" i="10"/>
  <c r="AK1276" i="10"/>
  <c r="N1276" i="10"/>
  <c r="AT1276" i="10"/>
  <c r="Q1276" i="10"/>
  <c r="K1276" i="10"/>
  <c r="AJ1276" i="10"/>
  <c r="AL1276" i="10"/>
  <c r="AG1276" i="10"/>
  <c r="AI1276" i="10"/>
  <c r="AE1276" i="10"/>
  <c r="AO1276" i="10"/>
  <c r="M1276" i="10"/>
  <c r="P1276" i="10"/>
  <c r="AM1276" i="10"/>
  <c r="AA1276" i="10"/>
  <c r="Z1276" i="10"/>
  <c r="AP1276" i="10"/>
  <c r="AN1276" i="10"/>
  <c r="U1276" i="10"/>
  <c r="V1276" i="10"/>
  <c r="AH1276" i="10"/>
  <c r="AB1276" i="10"/>
  <c r="S1276" i="10"/>
  <c r="R1276" i="10"/>
  <c r="AQ1276" i="10"/>
  <c r="J1276" i="10"/>
  <c r="X1276" i="10"/>
  <c r="L1276" i="10"/>
  <c r="AH1274" i="10"/>
  <c r="L1274" i="10"/>
  <c r="V1274" i="10"/>
  <c r="AG1274" i="10"/>
  <c r="S1274" i="10"/>
  <c r="N1274" i="10"/>
  <c r="AR1274" i="10"/>
  <c r="R1274" i="10"/>
  <c r="AT1274" i="10"/>
  <c r="AK1274" i="10"/>
  <c r="T1274" i="10"/>
  <c r="P1274" i="10"/>
  <c r="AO1274" i="10"/>
  <c r="AI1274" i="10"/>
  <c r="AS1274" i="10"/>
  <c r="AE1274" i="10"/>
  <c r="Y1274" i="10"/>
  <c r="AP1274" i="10"/>
  <c r="AF1274" i="10"/>
  <c r="X1274" i="10"/>
  <c r="J1274" i="10"/>
  <c r="AM1274" i="10"/>
  <c r="AC1274" i="10"/>
  <c r="W1274" i="10"/>
  <c r="Q1274" i="10"/>
  <c r="AQ1274" i="10"/>
  <c r="AN1274" i="10"/>
  <c r="K1274" i="10"/>
  <c r="X1268" i="10"/>
  <c r="AB1268" i="10"/>
  <c r="V1268" i="10"/>
  <c r="Z1268" i="10"/>
  <c r="AT1268" i="10"/>
  <c r="AR1268" i="10"/>
  <c r="W1268" i="10"/>
  <c r="AC1268" i="10"/>
  <c r="S1268" i="10"/>
  <c r="AG1268" i="10"/>
  <c r="Q1268" i="10"/>
  <c r="AL1268" i="10"/>
  <c r="P1268" i="10"/>
  <c r="AA1268" i="10"/>
  <c r="AI1268" i="10"/>
  <c r="K1268" i="10"/>
  <c r="AO1268" i="10"/>
  <c r="AH1268" i="10"/>
  <c r="AQ1268" i="10"/>
  <c r="M1268" i="10"/>
  <c r="AN1268" i="10"/>
  <c r="AS1268" i="10"/>
  <c r="AJ1268" i="10"/>
  <c r="L1268" i="10"/>
  <c r="AF1268" i="10"/>
  <c r="Y1268" i="10"/>
  <c r="AM1268" i="10"/>
  <c r="O1268" i="10"/>
  <c r="V1257" i="10"/>
  <c r="M1257" i="10"/>
  <c r="T1257" i="10"/>
  <c r="X1257" i="10"/>
  <c r="AC1257" i="10"/>
  <c r="K1257" i="10"/>
  <c r="AO1257" i="10"/>
  <c r="L1257" i="10"/>
  <c r="S1257" i="10"/>
  <c r="N1257" i="10"/>
  <c r="AA1257" i="10"/>
  <c r="AQ1257" i="10"/>
  <c r="W1257" i="10"/>
  <c r="Z1257" i="10"/>
  <c r="AF1257" i="10"/>
  <c r="AS1257" i="10"/>
  <c r="AP1257" i="10"/>
  <c r="AT1257" i="10"/>
  <c r="U1257" i="10"/>
  <c r="AO1245" i="10"/>
  <c r="AC1245" i="10"/>
  <c r="S1245" i="10"/>
  <c r="Z1245" i="10"/>
  <c r="AE1245" i="10"/>
  <c r="AQ1245" i="10"/>
  <c r="AJ1245" i="10"/>
  <c r="Y1245" i="10"/>
  <c r="AD1245" i="10"/>
  <c r="AN1245" i="10"/>
  <c r="X1245" i="10"/>
  <c r="N1245" i="10"/>
  <c r="U1245" i="10"/>
  <c r="AS1245" i="10"/>
  <c r="AK1245" i="10"/>
  <c r="AR1245" i="10"/>
  <c r="Q1245" i="10"/>
  <c r="AB1245" i="10"/>
  <c r="AT1245" i="10"/>
  <c r="J1245" i="10"/>
  <c r="AA1245" i="10"/>
  <c r="W1245" i="10"/>
  <c r="P1245" i="10"/>
  <c r="L1245" i="10"/>
  <c r="AH1245" i="10"/>
  <c r="M1245" i="10"/>
  <c r="V1245" i="10"/>
  <c r="L1230" i="10"/>
  <c r="W1230" i="10"/>
  <c r="AD1230" i="10"/>
  <c r="X1230" i="10"/>
  <c r="Z1230" i="10"/>
  <c r="AN1230" i="10"/>
  <c r="AF1230" i="10"/>
  <c r="AA1230" i="10"/>
  <c r="T1230" i="10"/>
  <c r="AK1230" i="10"/>
  <c r="AH1230" i="10"/>
  <c r="AG1230" i="10"/>
  <c r="K1230" i="10"/>
  <c r="AQ1230" i="10"/>
  <c r="P1230" i="10"/>
  <c r="AO1230" i="10"/>
  <c r="AS1230" i="10"/>
  <c r="AP1230" i="10"/>
  <c r="AE1230" i="10"/>
  <c r="U1230" i="10"/>
  <c r="Y1230" i="10"/>
  <c r="AI1230" i="10"/>
  <c r="N1230" i="10"/>
  <c r="O1230" i="10"/>
  <c r="V1230" i="10"/>
  <c r="AB1230" i="10"/>
  <c r="AJ1230" i="10"/>
  <c r="J1230" i="10"/>
  <c r="M1230" i="10"/>
  <c r="O1224" i="10"/>
  <c r="AM1224" i="10"/>
  <c r="X1224" i="10"/>
  <c r="AE1224" i="10"/>
  <c r="R1224" i="10"/>
  <c r="AD1224" i="10"/>
  <c r="Z1224" i="10"/>
  <c r="AO1224" i="10"/>
  <c r="AC1224" i="10"/>
  <c r="AP1224" i="10"/>
  <c r="AI1224" i="10"/>
  <c r="AG1224" i="10"/>
  <c r="AJ1224" i="10"/>
  <c r="Q1224" i="10"/>
  <c r="AB1224" i="10"/>
  <c r="Y1224" i="10"/>
  <c r="AN1224" i="10"/>
  <c r="AL1224" i="10"/>
  <c r="K1224" i="10"/>
  <c r="P1224" i="10"/>
  <c r="AK1224" i="10"/>
  <c r="V1224" i="10"/>
  <c r="AH1224" i="10"/>
  <c r="U1224" i="10"/>
  <c r="S1224" i="10"/>
  <c r="AQ1224" i="10"/>
  <c r="T1224" i="10"/>
  <c r="L1224" i="10"/>
  <c r="AR1224" i="10"/>
  <c r="J1224" i="10"/>
  <c r="G1220" i="10"/>
  <c r="Q1220" i="10"/>
  <c r="AG1220" i="10"/>
  <c r="N1220" i="10"/>
  <c r="AT1220" i="10"/>
  <c r="AL1220" i="10"/>
  <c r="AA1220" i="10"/>
  <c r="O1220" i="10"/>
  <c r="AK1220" i="10"/>
  <c r="J1220" i="10"/>
  <c r="M1220" i="10"/>
  <c r="P1220" i="10"/>
  <c r="AO1220" i="10"/>
  <c r="AE1220" i="10"/>
  <c r="AB1220" i="10"/>
  <c r="U1220" i="10"/>
  <c r="AC1220" i="10"/>
  <c r="V1220" i="10"/>
  <c r="T1220" i="10"/>
  <c r="AH1220" i="10"/>
  <c r="W1220" i="10"/>
  <c r="K1220" i="10"/>
  <c r="Y1220" i="10"/>
  <c r="AJ1220" i="10"/>
  <c r="AS1220" i="10"/>
  <c r="L1220" i="10"/>
  <c r="AR1220" i="10"/>
  <c r="AF1220" i="10"/>
  <c r="AU1193" i="10"/>
  <c r="V1213" i="10"/>
  <c r="T1213" i="10"/>
  <c r="AN1213" i="10"/>
  <c r="P1213" i="10"/>
  <c r="AS1213" i="10"/>
  <c r="Z1213" i="10"/>
  <c r="Y1213" i="10"/>
  <c r="AC1213" i="10"/>
  <c r="AG1213" i="10"/>
  <c r="R1213" i="10"/>
  <c r="AM1213" i="10"/>
  <c r="AD1213" i="10"/>
  <c r="W1213" i="10"/>
  <c r="AE1213" i="10"/>
  <c r="AI1213" i="10"/>
  <c r="N1213" i="10"/>
  <c r="AK1213" i="10"/>
  <c r="M1213" i="10"/>
  <c r="AP1213" i="10"/>
  <c r="AF1213" i="10"/>
  <c r="AO1213" i="10"/>
  <c r="S1213" i="10"/>
  <c r="AL1213" i="10"/>
  <c r="U1213" i="10"/>
  <c r="AT1213" i="10"/>
  <c r="AB1213" i="10"/>
  <c r="AJ1213" i="10"/>
  <c r="O1213" i="10"/>
  <c r="AR1213" i="10"/>
  <c r="K1213" i="10"/>
  <c r="Q1213" i="10"/>
  <c r="AA1213" i="10"/>
  <c r="AQ1213" i="10"/>
  <c r="AH1213" i="10"/>
  <c r="L1213" i="10"/>
  <c r="AO470" i="26"/>
  <c r="AM470" i="26"/>
  <c r="AM487" i="26"/>
  <c r="AO487" i="26"/>
  <c r="AO479" i="26"/>
  <c r="AM479" i="26"/>
  <c r="AS468" i="26"/>
  <c r="AM455" i="26"/>
  <c r="AO455" i="26"/>
  <c r="AO447" i="26"/>
  <c r="AM447" i="26"/>
  <c r="AA379" i="26"/>
  <c r="D379" i="10"/>
  <c r="AJ379" i="26"/>
  <c r="E379" i="9"/>
  <c r="F1559" i="10"/>
  <c r="Y359" i="26"/>
  <c r="AC359" i="26" s="1"/>
  <c r="AA345" i="26"/>
  <c r="E345" i="9"/>
  <c r="D345" i="10"/>
  <c r="E345" i="6"/>
  <c r="X1410" i="10"/>
  <c r="Q1410" i="10"/>
  <c r="Z1410" i="10"/>
  <c r="AI1410" i="10"/>
  <c r="AR1410" i="10"/>
  <c r="AS1410" i="10"/>
  <c r="AE1410" i="10"/>
  <c r="AL1410" i="10"/>
  <c r="W1410" i="10"/>
  <c r="AD1410" i="10"/>
  <c r="AN1410" i="10"/>
  <c r="M1410" i="10"/>
  <c r="R1410" i="10"/>
  <c r="K1410" i="10"/>
  <c r="AB1410" i="10"/>
  <c r="L1410" i="10"/>
  <c r="AF1410" i="10"/>
  <c r="AM1410" i="10"/>
  <c r="AK1410" i="10"/>
  <c r="P1410" i="10"/>
  <c r="AC1410" i="10"/>
  <c r="O1410" i="10"/>
  <c r="D173" i="10"/>
  <c r="AA173" i="26"/>
  <c r="E173" i="9"/>
  <c r="E173" i="6"/>
  <c r="AP171" i="26"/>
  <c r="AO171" i="26" s="1"/>
  <c r="AB171" i="6"/>
  <c r="E105" i="9"/>
  <c r="D105" i="10"/>
  <c r="AA105" i="26"/>
  <c r="E105" i="6"/>
  <c r="F1305" i="10"/>
  <c r="L1305" i="10" s="1"/>
  <c r="Y105" i="26"/>
  <c r="AC105" i="26" s="1"/>
  <c r="Y75" i="26"/>
  <c r="AC75" i="26" s="1"/>
  <c r="F1275" i="10"/>
  <c r="L1275" i="10" s="1"/>
  <c r="AF351" i="26"/>
  <c r="AH351" i="26" s="1"/>
  <c r="E351" i="10"/>
  <c r="D350" i="10"/>
  <c r="E350" i="6"/>
  <c r="AA350" i="26"/>
  <c r="E350" i="9"/>
  <c r="Y349" i="26"/>
  <c r="F1549" i="10"/>
  <c r="AZ348" i="26"/>
  <c r="BB348" i="26" s="1"/>
  <c r="E348" i="10"/>
  <c r="AF348" i="26"/>
  <c r="AH348" i="26" s="1"/>
  <c r="AG348" i="26" s="1"/>
  <c r="F1547" i="10"/>
  <c r="G1547" i="10" s="1"/>
  <c r="Y347" i="26"/>
  <c r="E344" i="9"/>
  <c r="AA344" i="26"/>
  <c r="AJ344" i="26"/>
  <c r="D344" i="10"/>
  <c r="F1543" i="10"/>
  <c r="P1543" i="10" s="1"/>
  <c r="Y343" i="26"/>
  <c r="AP341" i="26"/>
  <c r="AO341" i="26" s="1"/>
  <c r="AF341" i="26"/>
  <c r="E341" i="10"/>
  <c r="AZ341" i="26"/>
  <c r="BB341" i="26" s="1"/>
  <c r="E340" i="6"/>
  <c r="AJ340" i="26"/>
  <c r="D340" i="10"/>
  <c r="AA340" i="26"/>
  <c r="AP336" i="26"/>
  <c r="AO336" i="26" s="1"/>
  <c r="E336" i="10"/>
  <c r="AZ336" i="26"/>
  <c r="BB336" i="26" s="1"/>
  <c r="AF336" i="26"/>
  <c r="AH336" i="26" s="1"/>
  <c r="AG336" i="26" s="1"/>
  <c r="D335" i="10"/>
  <c r="E335" i="6"/>
  <c r="AA335" i="26"/>
  <c r="AJ335" i="26"/>
  <c r="AW335" i="26" s="1"/>
  <c r="AY335" i="26" s="1"/>
  <c r="AX335" i="26" s="1"/>
  <c r="F1534" i="10"/>
  <c r="Y334" i="26"/>
  <c r="AU332" i="26"/>
  <c r="AM332" i="26"/>
  <c r="AA330" i="26"/>
  <c r="E330" i="6"/>
  <c r="D330" i="10"/>
  <c r="AJ330" i="26"/>
  <c r="AW330" i="26" s="1"/>
  <c r="AY330" i="26" s="1"/>
  <c r="E330" i="9"/>
  <c r="F1529" i="10"/>
  <c r="Y329" i="26"/>
  <c r="AF327" i="26"/>
  <c r="AH327" i="26" s="1"/>
  <c r="AG327" i="26" s="1"/>
  <c r="AZ327" i="26"/>
  <c r="BB327" i="26" s="1"/>
  <c r="AJ326" i="26"/>
  <c r="E326" i="9"/>
  <c r="D326" i="10"/>
  <c r="AJ321" i="26"/>
  <c r="AW321" i="26" s="1"/>
  <c r="E538" i="26"/>
  <c r="U538" i="26" s="1"/>
  <c r="AA321" i="26"/>
  <c r="E321" i="6"/>
  <c r="D321" i="10"/>
  <c r="AF316" i="26"/>
  <c r="AH316" i="26" s="1"/>
  <c r="AZ316" i="26"/>
  <c r="BB316" i="26" s="1"/>
  <c r="AA313" i="26"/>
  <c r="E313" i="6"/>
  <c r="AJ313" i="26"/>
  <c r="AW313" i="26" s="1"/>
  <c r="AY313" i="26" s="1"/>
  <c r="D313" i="10"/>
  <c r="AJ304" i="26"/>
  <c r="AW304" i="26" s="1"/>
  <c r="AY304" i="26" s="1"/>
  <c r="AA304" i="26"/>
  <c r="E533" i="26"/>
  <c r="E489" i="9" s="1"/>
  <c r="E304" i="6"/>
  <c r="E304" i="9"/>
  <c r="D304" i="10"/>
  <c r="AU298" i="26"/>
  <c r="AM298" i="26"/>
  <c r="Y298" i="27" s="1"/>
  <c r="G298" i="27" s="1"/>
  <c r="D232" i="10"/>
  <c r="AA232" i="26"/>
  <c r="AF229" i="26"/>
  <c r="AN229" i="26" s="1"/>
  <c r="E229" i="10"/>
  <c r="AZ229" i="26"/>
  <c r="BB229" i="26" s="1"/>
  <c r="E228" i="6"/>
  <c r="AJ228" i="26"/>
  <c r="AW228" i="26" s="1"/>
  <c r="AY228" i="26" s="1"/>
  <c r="AX228" i="26" s="1"/>
  <c r="D228" i="10"/>
  <c r="AA228" i="26"/>
  <c r="AJ227" i="26"/>
  <c r="AW227" i="26" s="1"/>
  <c r="AY227" i="26" s="1"/>
  <c r="AX227" i="26" s="1"/>
  <c r="D227" i="10"/>
  <c r="AA227" i="26"/>
  <c r="E227" i="6"/>
  <c r="E227" i="9"/>
  <c r="AP154" i="26"/>
  <c r="AO154" i="26" s="1"/>
  <c r="E140" i="6"/>
  <c r="AJ140" i="26"/>
  <c r="AW140" i="26" s="1"/>
  <c r="AA140" i="26"/>
  <c r="D140" i="10"/>
  <c r="AJ139" i="26"/>
  <c r="E466" i="26"/>
  <c r="E139" i="6"/>
  <c r="D139" i="10"/>
  <c r="AA139" i="26"/>
  <c r="D135" i="10"/>
  <c r="E465" i="26"/>
  <c r="U465" i="26" s="1"/>
  <c r="AA135" i="26"/>
  <c r="AJ135" i="26"/>
  <c r="E135" i="9"/>
  <c r="E134" i="6"/>
  <c r="E134" i="9"/>
  <c r="AA134" i="26"/>
  <c r="E464" i="26"/>
  <c r="AJ134" i="26"/>
  <c r="D134" i="10"/>
  <c r="AP129" i="26"/>
  <c r="AO129" i="26" s="1"/>
  <c r="AF129" i="26"/>
  <c r="AZ129" i="26"/>
  <c r="BB129" i="26" s="1"/>
  <c r="E129" i="10"/>
  <c r="D128" i="10"/>
  <c r="E128" i="6"/>
  <c r="AJ128" i="26"/>
  <c r="AW128" i="26" s="1"/>
  <c r="E461" i="26"/>
  <c r="U461" i="26" s="1"/>
  <c r="E127" i="6"/>
  <c r="D127" i="10"/>
  <c r="AJ127" i="26"/>
  <c r="AA127" i="26"/>
  <c r="E127" i="9"/>
  <c r="AZ114" i="26"/>
  <c r="BB114" i="26" s="1"/>
  <c r="AF114" i="26"/>
  <c r="AH114" i="26" s="1"/>
  <c r="AG114" i="26" s="1"/>
  <c r="E114" i="10"/>
  <c r="AJ113" i="26"/>
  <c r="AW113" i="26" s="1"/>
  <c r="AY113" i="26" s="1"/>
  <c r="AX113" i="26" s="1"/>
  <c r="E113" i="9"/>
  <c r="AA113" i="26"/>
  <c r="E113" i="6"/>
  <c r="E456" i="26"/>
  <c r="E447" i="6" s="1"/>
  <c r="E112" i="6"/>
  <c r="AJ112" i="26"/>
  <c r="AW112" i="26" s="1"/>
  <c r="AY112" i="26" s="1"/>
  <c r="AX112" i="26" s="1"/>
  <c r="AA112" i="26"/>
  <c r="D112" i="10"/>
  <c r="E112" i="9"/>
  <c r="AJ111" i="26"/>
  <c r="AW111" i="26" s="1"/>
  <c r="E111" i="6"/>
  <c r="E455" i="26"/>
  <c r="D111" i="10"/>
  <c r="E111" i="9"/>
  <c r="AA111" i="26"/>
  <c r="AL108" i="26"/>
  <c r="AC108" i="26"/>
  <c r="AU105" i="26"/>
  <c r="AM105" i="26"/>
  <c r="F105" i="6" s="1"/>
  <c r="AA105" i="6" s="1"/>
  <c r="F1303" i="10"/>
  <c r="Z1303" i="10" s="1"/>
  <c r="Y103" i="26"/>
  <c r="AB103" i="26" s="1"/>
  <c r="AP99" i="26"/>
  <c r="AO99" i="26" s="1"/>
  <c r="AU98" i="26"/>
  <c r="H98" i="9" s="1"/>
  <c r="AD98" i="9" s="1"/>
  <c r="AM98" i="26"/>
  <c r="AZ93" i="26"/>
  <c r="BB93" i="26" s="1"/>
  <c r="AF93" i="26"/>
  <c r="AH93" i="26" s="1"/>
  <c r="AG93" i="26" s="1"/>
  <c r="AF92" i="26"/>
  <c r="AH92" i="26" s="1"/>
  <c r="AG92" i="26" s="1"/>
  <c r="E92" i="10"/>
  <c r="V442" i="26"/>
  <c r="F441" i="26"/>
  <c r="AZ92" i="26"/>
  <c r="BB92" i="26" s="1"/>
  <c r="F442" i="26"/>
  <c r="V441" i="26"/>
  <c r="F440" i="26"/>
  <c r="V440" i="26"/>
  <c r="E91" i="10"/>
  <c r="AZ91" i="26"/>
  <c r="BB91" i="26" s="1"/>
  <c r="E90" i="9"/>
  <c r="D90" i="10"/>
  <c r="E90" i="6"/>
  <c r="AJ90" i="26"/>
  <c r="AW90" i="26" s="1"/>
  <c r="AA90" i="26"/>
  <c r="AJ89" i="26"/>
  <c r="AW89" i="26" s="1"/>
  <c r="AY89" i="26" s="1"/>
  <c r="AX89" i="26" s="1"/>
  <c r="AA89" i="26"/>
  <c r="E89" i="6"/>
  <c r="D89" i="10"/>
  <c r="E89" i="9"/>
  <c r="AD1288" i="10"/>
  <c r="AM1288" i="10"/>
  <c r="AC1288" i="10"/>
  <c r="AB1288" i="10"/>
  <c r="AF1288" i="10"/>
  <c r="AE1288" i="10"/>
  <c r="AS1288" i="10"/>
  <c r="AN1288" i="10"/>
  <c r="AJ1288" i="10"/>
  <c r="Y1288" i="10"/>
  <c r="S1288" i="10"/>
  <c r="AR1288" i="10"/>
  <c r="U1288" i="10"/>
  <c r="AT1288" i="10"/>
  <c r="K1288" i="10"/>
  <c r="J1288" i="10"/>
  <c r="L1288" i="10"/>
  <c r="AO1288" i="10"/>
  <c r="AP1288" i="10"/>
  <c r="AL1288" i="10"/>
  <c r="M1288" i="10"/>
  <c r="Z1288" i="10"/>
  <c r="AG1288" i="10"/>
  <c r="N1288" i="10"/>
  <c r="AA1288" i="10"/>
  <c r="Q1288" i="10"/>
  <c r="O1288" i="10"/>
  <c r="AP86" i="26"/>
  <c r="AO86" i="26" s="1"/>
  <c r="E86" i="10"/>
  <c r="AZ86" i="26"/>
  <c r="BB86" i="26" s="1"/>
  <c r="AF86" i="26"/>
  <c r="E85" i="9"/>
  <c r="AJ85" i="26"/>
  <c r="E85" i="6"/>
  <c r="AZ82" i="26"/>
  <c r="BB82" i="26" s="1"/>
  <c r="E82" i="10"/>
  <c r="E81" i="9"/>
  <c r="D81" i="10"/>
  <c r="E81" i="6"/>
  <c r="AU51" i="26"/>
  <c r="I51" i="6" s="1"/>
  <c r="AM51" i="26"/>
  <c r="F51" i="9" s="1"/>
  <c r="E50" i="6"/>
  <c r="D50" i="10"/>
  <c r="AA50" i="26"/>
  <c r="AJ50" i="26"/>
  <c r="D49" i="10"/>
  <c r="E426" i="26"/>
  <c r="U426" i="26" s="1"/>
  <c r="AJ49" i="26"/>
  <c r="AA49" i="26"/>
  <c r="E425" i="26"/>
  <c r="E424" i="26"/>
  <c r="U424" i="26" s="1"/>
  <c r="AA48" i="26"/>
  <c r="E48" i="6"/>
  <c r="E48" i="9"/>
  <c r="D48" i="10"/>
  <c r="AJ48" i="26"/>
  <c r="AU45" i="26"/>
  <c r="AM45" i="26"/>
  <c r="Y45" i="27" s="1"/>
  <c r="G45" i="27" s="1"/>
  <c r="E44" i="10"/>
  <c r="V423" i="26"/>
  <c r="AF44" i="26"/>
  <c r="AH44" i="26" s="1"/>
  <c r="AG44" i="26" s="1"/>
  <c r="F1226" i="10"/>
  <c r="Y26" i="26"/>
  <c r="AP23" i="26"/>
  <c r="AO23" i="26" s="1"/>
  <c r="D23" i="10"/>
  <c r="AA23" i="26"/>
  <c r="E23" i="9"/>
  <c r="AJ23" i="26"/>
  <c r="E23" i="6"/>
  <c r="Y22" i="26"/>
  <c r="F1222" i="10"/>
  <c r="AC1222" i="10" s="1"/>
  <c r="F1505" i="10"/>
  <c r="G534" i="26"/>
  <c r="W534" i="26" s="1"/>
  <c r="AB534" i="26" s="1"/>
  <c r="F1449" i="10"/>
  <c r="G516" i="26"/>
  <c r="W516" i="26" s="1"/>
  <c r="G515" i="26"/>
  <c r="W515" i="26" s="1"/>
  <c r="Z515" i="26" s="1"/>
  <c r="AD515" i="26" s="1"/>
  <c r="G510" i="26"/>
  <c r="W510" i="26" s="1"/>
  <c r="G509" i="26"/>
  <c r="W509" i="26" s="1"/>
  <c r="Z509" i="26" s="1"/>
  <c r="F1445" i="10"/>
  <c r="AM1445" i="10" s="1"/>
  <c r="Y238" i="26"/>
  <c r="G502" i="26"/>
  <c r="W502" i="26" s="1"/>
  <c r="Z502" i="26" s="1"/>
  <c r="F1438" i="10"/>
  <c r="Y224" i="26"/>
  <c r="F1424" i="10"/>
  <c r="G497" i="26"/>
  <c r="W497" i="26" s="1"/>
  <c r="AB497" i="26" s="1"/>
  <c r="G493" i="26"/>
  <c r="W493" i="26" s="1"/>
  <c r="F1413" i="10"/>
  <c r="Y213" i="26"/>
  <c r="AB213" i="26" s="1"/>
  <c r="F1403" i="10"/>
  <c r="AF1403" i="10" s="1"/>
  <c r="G489" i="26"/>
  <c r="W489" i="26" s="1"/>
  <c r="Z489" i="26" s="1"/>
  <c r="Y203" i="26"/>
  <c r="AL203" i="26" s="1"/>
  <c r="Y198" i="26"/>
  <c r="G485" i="26"/>
  <c r="W485" i="26" s="1"/>
  <c r="F1398" i="10"/>
  <c r="AM1398" i="10" s="1"/>
  <c r="F1391" i="10"/>
  <c r="AR1391" i="10" s="1"/>
  <c r="G481" i="26"/>
  <c r="W481" i="26" s="1"/>
  <c r="Y191" i="26"/>
  <c r="F1372" i="10"/>
  <c r="Y1372" i="10" s="1"/>
  <c r="G477" i="26"/>
  <c r="W477" i="26" s="1"/>
  <c r="Y172" i="26"/>
  <c r="Y162" i="26"/>
  <c r="F1362" i="10"/>
  <c r="AQ1362" i="10" s="1"/>
  <c r="G474" i="26"/>
  <c r="W474" i="26" s="1"/>
  <c r="G469" i="26"/>
  <c r="W469" i="26" s="1"/>
  <c r="F1350" i="10"/>
  <c r="AJ1350" i="10" s="1"/>
  <c r="Y135" i="26"/>
  <c r="F1335" i="10"/>
  <c r="G465" i="26"/>
  <c r="W465" i="26" s="1"/>
  <c r="Y122" i="26"/>
  <c r="G460" i="26"/>
  <c r="W460" i="26" s="1"/>
  <c r="F1322" i="10"/>
  <c r="Y1322" i="10" s="1"/>
  <c r="G456" i="26"/>
  <c r="W456" i="26" s="1"/>
  <c r="AB456" i="26" s="1"/>
  <c r="F1312" i="10"/>
  <c r="Y112" i="26"/>
  <c r="F1307" i="10"/>
  <c r="Y107" i="26"/>
  <c r="G450" i="26"/>
  <c r="W450" i="26" s="1"/>
  <c r="AB450" i="26" s="1"/>
  <c r="G445" i="26"/>
  <c r="W445" i="26" s="1"/>
  <c r="G446" i="26"/>
  <c r="W446" i="26" s="1"/>
  <c r="AB446" i="26" s="1"/>
  <c r="F1289" i="10"/>
  <c r="AF1289" i="10" s="1"/>
  <c r="G439" i="26"/>
  <c r="W439" i="26" s="1"/>
  <c r="AT317" i="26"/>
  <c r="AS317" i="26" s="1"/>
  <c r="AT252" i="26"/>
  <c r="AS252" i="26" s="1"/>
  <c r="AT235" i="26"/>
  <c r="AS235" i="26" s="1"/>
  <c r="K1508" i="10"/>
  <c r="AB1508" i="10"/>
  <c r="Q1436" i="10"/>
  <c r="L1436" i="10"/>
  <c r="AP1508" i="10"/>
  <c r="AC1508" i="10"/>
  <c r="Z1338" i="10"/>
  <c r="AS1499" i="10"/>
  <c r="AJ1338" i="10"/>
  <c r="AC1276" i="10"/>
  <c r="N1338" i="10"/>
  <c r="AC1474" i="10"/>
  <c r="AE1396" i="10"/>
  <c r="AS1474" i="10"/>
  <c r="T1276" i="10"/>
  <c r="AD1274" i="10"/>
  <c r="X1467" i="10"/>
  <c r="M1356" i="10"/>
  <c r="Y1356" i="10"/>
  <c r="O1356" i="10"/>
  <c r="P1356" i="10"/>
  <c r="AT1356" i="10"/>
  <c r="G1356" i="10"/>
  <c r="Z1356" i="10"/>
  <c r="Q1356" i="10"/>
  <c r="AW82" i="26"/>
  <c r="AY82" i="26" s="1"/>
  <c r="AA1378" i="10"/>
  <c r="N1378" i="10"/>
  <c r="Q1430" i="10"/>
  <c r="AO163" i="26"/>
  <c r="AX196" i="26"/>
  <c r="Z1401" i="10"/>
  <c r="J1590" i="10"/>
  <c r="K1553" i="10"/>
  <c r="X1349" i="10"/>
  <c r="AR1369" i="10"/>
  <c r="AL1325" i="10"/>
  <c r="AP236" i="26"/>
  <c r="AO236" i="26" s="1"/>
  <c r="AX236" i="26"/>
  <c r="G1590" i="10"/>
  <c r="AP1590" i="10"/>
  <c r="G1473" i="10"/>
  <c r="AS1473" i="10"/>
  <c r="G1442" i="10"/>
  <c r="AO1442" i="10"/>
  <c r="G1412" i="10"/>
  <c r="L1412" i="10"/>
  <c r="X1377" i="10"/>
  <c r="AN1377" i="10"/>
  <c r="G1337" i="10"/>
  <c r="W1337" i="10"/>
  <c r="AK1294" i="10"/>
  <c r="AH1294" i="10"/>
  <c r="AH1288" i="10"/>
  <c r="P1288" i="10"/>
  <c r="V1288" i="10"/>
  <c r="AK1288" i="10"/>
  <c r="G1284" i="10"/>
  <c r="AT1284" i="10"/>
  <c r="G1256" i="10"/>
  <c r="J1256" i="10"/>
  <c r="AA1256" i="10"/>
  <c r="G1240" i="10"/>
  <c r="AT1240" i="10"/>
  <c r="N1240" i="10"/>
  <c r="G1212" i="10"/>
  <c r="Y1212" i="10"/>
  <c r="F1296" i="10"/>
  <c r="Y96" i="26"/>
  <c r="AC96" i="26" s="1"/>
  <c r="F1232" i="10"/>
  <c r="AK1232" i="10" s="1"/>
  <c r="Y32" i="26"/>
  <c r="O1571" i="10"/>
  <c r="G1571" i="10"/>
  <c r="AR1571" i="10"/>
  <c r="F1423" i="10"/>
  <c r="Y223" i="26"/>
  <c r="F1397" i="10"/>
  <c r="Y197" i="26"/>
  <c r="E59" i="10"/>
  <c r="F430" i="26"/>
  <c r="G427" i="26"/>
  <c r="W427" i="26" s="1"/>
  <c r="Z427" i="26" s="1"/>
  <c r="F1254" i="10"/>
  <c r="Y1254" i="10" s="1"/>
  <c r="F1216" i="10"/>
  <c r="AN1216" i="10" s="1"/>
  <c r="G415" i="26"/>
  <c r="W415" i="26" s="1"/>
  <c r="AB81" i="6"/>
  <c r="AX253" i="26"/>
  <c r="AX149" i="26"/>
  <c r="AM373" i="26"/>
  <c r="F373" i="6" s="1"/>
  <c r="AM159" i="26"/>
  <c r="R1245" i="10"/>
  <c r="AI1325" i="10"/>
  <c r="AT1418" i="10"/>
  <c r="AX153" i="26"/>
  <c r="AM380" i="26"/>
  <c r="F380" i="6" s="1"/>
  <c r="AA380" i="6" s="1"/>
  <c r="G1288" i="10"/>
  <c r="Y249" i="26"/>
  <c r="AC249" i="26" s="1"/>
  <c r="Y245" i="26"/>
  <c r="AP59" i="26"/>
  <c r="AO59" i="26" s="1"/>
  <c r="AM132" i="26"/>
  <c r="F132" i="6" s="1"/>
  <c r="AA132" i="6" s="1"/>
  <c r="G1465" i="10"/>
  <c r="Y89" i="26"/>
  <c r="AC89" i="26" s="1"/>
  <c r="Y88" i="26"/>
  <c r="AL88" i="26" s="1"/>
  <c r="Y74" i="26"/>
  <c r="Y71" i="26"/>
  <c r="AB277" i="9"/>
  <c r="AM345" i="26"/>
  <c r="AM273" i="26"/>
  <c r="AM145" i="26"/>
  <c r="AM20" i="26"/>
  <c r="AX148" i="26"/>
  <c r="G1585" i="10"/>
  <c r="G1452" i="10"/>
  <c r="G1430" i="10"/>
  <c r="AB125" i="9"/>
  <c r="AB95" i="9"/>
  <c r="AB38" i="9"/>
  <c r="AD12" i="26"/>
  <c r="AD374" i="26"/>
  <c r="Y373" i="26"/>
  <c r="AD325" i="26"/>
  <c r="AD323" i="26"/>
  <c r="Y322" i="26"/>
  <c r="Y272" i="26"/>
  <c r="AC272" i="26" s="1"/>
  <c r="Y210" i="26"/>
  <c r="Y168" i="26"/>
  <c r="AC168" i="26" s="1"/>
  <c r="Y291" i="26"/>
  <c r="AL291" i="26" s="1"/>
  <c r="Y233" i="26"/>
  <c r="AC233" i="26" s="1"/>
  <c r="Y167" i="26"/>
  <c r="Y358" i="26"/>
  <c r="Y59" i="26"/>
  <c r="Y354" i="26"/>
  <c r="Y170" i="26"/>
  <c r="AO424" i="26"/>
  <c r="AN424" i="26" s="1"/>
  <c r="AP424" i="26" s="1"/>
  <c r="Z414" i="26"/>
  <c r="AD414" i="26" s="1"/>
  <c r="AB414" i="26"/>
  <c r="AP322" i="26"/>
  <c r="AO322" i="26" s="1"/>
  <c r="AX322" i="26"/>
  <c r="AP307" i="26"/>
  <c r="AO307" i="26" s="1"/>
  <c r="AX307" i="26"/>
  <c r="AX218" i="26"/>
  <c r="AP218" i="26"/>
  <c r="AO218" i="26" s="1"/>
  <c r="AX206" i="26"/>
  <c r="AP206" i="26"/>
  <c r="AO206" i="26" s="1"/>
  <c r="AP156" i="26"/>
  <c r="AO156" i="26" s="1"/>
  <c r="AP67" i="26"/>
  <c r="AO67" i="26" s="1"/>
  <c r="AX67" i="26"/>
  <c r="AP55" i="26"/>
  <c r="AO55" i="26" s="1"/>
  <c r="AP45" i="26"/>
  <c r="AO45" i="26" s="1"/>
  <c r="AX45" i="26"/>
  <c r="AW214" i="26"/>
  <c r="AW261" i="26"/>
  <c r="AY261" i="26" s="1"/>
  <c r="AX261" i="26" s="1"/>
  <c r="V1217" i="10"/>
  <c r="Y1217" i="10"/>
  <c r="AQ1217" i="10"/>
  <c r="AP1217" i="10"/>
  <c r="AO1217" i="10"/>
  <c r="AE1217" i="10"/>
  <c r="P1217" i="10"/>
  <c r="R1217" i="10"/>
  <c r="O1217" i="10"/>
  <c r="AI1217" i="10"/>
  <c r="M1217" i="10"/>
  <c r="AB1217" i="10"/>
  <c r="X1217" i="10"/>
  <c r="J1217" i="10"/>
  <c r="AM1217" i="10"/>
  <c r="L1217" i="10"/>
  <c r="Q1217" i="10"/>
  <c r="N1217" i="10"/>
  <c r="G1217" i="10"/>
  <c r="AK1217" i="10"/>
  <c r="AH1217" i="10"/>
  <c r="AN1217" i="10"/>
  <c r="AD1217" i="10"/>
  <c r="S1217" i="10"/>
  <c r="AL1217" i="10"/>
  <c r="T1217" i="10"/>
  <c r="W1217" i="10"/>
  <c r="K1217" i="10"/>
  <c r="AS1217" i="10"/>
  <c r="AF1217" i="10"/>
  <c r="U1217" i="10"/>
  <c r="AC1217" i="10"/>
  <c r="AB486" i="26"/>
  <c r="Z486" i="26"/>
  <c r="AW389" i="26"/>
  <c r="AY389" i="26" s="1"/>
  <c r="AX389" i="26" s="1"/>
  <c r="AD1386" i="10"/>
  <c r="Y1386" i="10"/>
  <c r="AM1386" i="10"/>
  <c r="AT1386" i="10"/>
  <c r="G1386" i="10"/>
  <c r="AN1386" i="10"/>
  <c r="AR1386" i="10"/>
  <c r="P1386" i="10"/>
  <c r="AI1386" i="10"/>
  <c r="AE1386" i="10"/>
  <c r="AB1386" i="10"/>
  <c r="Z1386" i="10"/>
  <c r="L1386" i="10"/>
  <c r="AO1386" i="10"/>
  <c r="V1386" i="10"/>
  <c r="K1386" i="10"/>
  <c r="AP1386" i="10"/>
  <c r="R1386" i="10"/>
  <c r="AA1386" i="10"/>
  <c r="AJ1386" i="10"/>
  <c r="AQ1386" i="10"/>
  <c r="AS1386" i="10"/>
  <c r="M1386" i="10"/>
  <c r="O1386" i="10"/>
  <c r="U1386" i="10"/>
  <c r="J1386" i="10"/>
  <c r="AC1386" i="10"/>
  <c r="Q1386" i="10"/>
  <c r="AG1386" i="10"/>
  <c r="AP379" i="26"/>
  <c r="AO379" i="26" s="1"/>
  <c r="AT379" i="26"/>
  <c r="AU395" i="10"/>
  <c r="AU396" i="10" s="1"/>
  <c r="AA338" i="26"/>
  <c r="D338" i="10"/>
  <c r="E338" i="6"/>
  <c r="AJ338" i="26"/>
  <c r="E338" i="9"/>
  <c r="AB319" i="6"/>
  <c r="F1517" i="10"/>
  <c r="Y317" i="26"/>
  <c r="AC317" i="26" s="1"/>
  <c r="AT1514" i="10"/>
  <c r="AN1514" i="10"/>
  <c r="AB1514" i="10"/>
  <c r="N1514" i="10"/>
  <c r="X1514" i="10"/>
  <c r="AF1514" i="10"/>
  <c r="M1514" i="10"/>
  <c r="T1514" i="10"/>
  <c r="AK1514" i="10"/>
  <c r="V1514" i="10"/>
  <c r="W1514" i="10"/>
  <c r="Q1514" i="10"/>
  <c r="AJ1514" i="10"/>
  <c r="Z1514" i="10"/>
  <c r="J1514" i="10"/>
  <c r="AP1514" i="10"/>
  <c r="AL1514" i="10"/>
  <c r="L1514" i="10"/>
  <c r="AH1514" i="10"/>
  <c r="U1514" i="10"/>
  <c r="AS1514" i="10"/>
  <c r="AQ1514" i="10"/>
  <c r="AM1514" i="10"/>
  <c r="P1514" i="10"/>
  <c r="G1514" i="10"/>
  <c r="AG1514" i="10"/>
  <c r="AD1514" i="10"/>
  <c r="AI1514" i="10"/>
  <c r="AE1514" i="10"/>
  <c r="Y311" i="26"/>
  <c r="F1511" i="10"/>
  <c r="E307" i="6"/>
  <c r="AA307" i="26"/>
  <c r="D307" i="10"/>
  <c r="AF298" i="26"/>
  <c r="AH298" i="26" s="1"/>
  <c r="AZ298" i="26"/>
  <c r="BB298" i="26" s="1"/>
  <c r="E298" i="10"/>
  <c r="E288" i="10"/>
  <c r="AZ288" i="26"/>
  <c r="BB288" i="26" s="1"/>
  <c r="AF288" i="26"/>
  <c r="AH288" i="26" s="1"/>
  <c r="F1441" i="10"/>
  <c r="Y241" i="26"/>
  <c r="F1435" i="10"/>
  <c r="U1435" i="10" s="1"/>
  <c r="Y235" i="26"/>
  <c r="F1417" i="10"/>
  <c r="J1417" i="10" s="1"/>
  <c r="Y217" i="26"/>
  <c r="F1406" i="10"/>
  <c r="AE1406" i="10" s="1"/>
  <c r="Y206" i="26"/>
  <c r="F1395" i="10"/>
  <c r="Y195" i="26"/>
  <c r="AB195" i="26" s="1"/>
  <c r="F1363" i="10"/>
  <c r="AM1363" i="10" s="1"/>
  <c r="Y163" i="26"/>
  <c r="AF303" i="26"/>
  <c r="E303" i="10"/>
  <c r="AZ303" i="26"/>
  <c r="BB303" i="26" s="1"/>
  <c r="AP296" i="26"/>
  <c r="AO296" i="26" s="1"/>
  <c r="AJ296" i="26"/>
  <c r="AW296" i="26" s="1"/>
  <c r="AY296" i="26" s="1"/>
  <c r="E296" i="9"/>
  <c r="D296" i="10"/>
  <c r="AA296" i="26"/>
  <c r="F1495" i="10"/>
  <c r="AO1495" i="10" s="1"/>
  <c r="Y295" i="26"/>
  <c r="AF294" i="26"/>
  <c r="E294" i="10"/>
  <c r="F1492" i="10"/>
  <c r="Y292" i="26"/>
  <c r="AF284" i="26"/>
  <c r="AZ284" i="26"/>
  <c r="BB284" i="26" s="1"/>
  <c r="E284" i="10"/>
  <c r="F1483" i="10"/>
  <c r="Y283" i="26"/>
  <c r="AP280" i="26"/>
  <c r="AO280" i="26" s="1"/>
  <c r="AZ280" i="26"/>
  <c r="BB280" i="26" s="1"/>
  <c r="E280" i="10"/>
  <c r="E279" i="9"/>
  <c r="AA279" i="26"/>
  <c r="AJ279" i="26"/>
  <c r="D279" i="10"/>
  <c r="AP267" i="26"/>
  <c r="AO267" i="26" s="1"/>
  <c r="E267" i="10"/>
  <c r="AF267" i="26"/>
  <c r="AH267" i="26" s="1"/>
  <c r="AG267" i="26" s="1"/>
  <c r="AZ267" i="26"/>
  <c r="BB267" i="26" s="1"/>
  <c r="AF262" i="26"/>
  <c r="AZ262" i="26"/>
  <c r="BB262" i="26" s="1"/>
  <c r="D261" i="10"/>
  <c r="E261" i="9"/>
  <c r="E261" i="6"/>
  <c r="AA261" i="26"/>
  <c r="Y260" i="26"/>
  <c r="F1460" i="10"/>
  <c r="AZ258" i="26"/>
  <c r="BB258" i="26" s="1"/>
  <c r="E258" i="10"/>
  <c r="V524" i="26"/>
  <c r="D251" i="10"/>
  <c r="AA251" i="26"/>
  <c r="E521" i="26"/>
  <c r="U521" i="26" s="1"/>
  <c r="E519" i="26"/>
  <c r="U519" i="26" s="1"/>
  <c r="E520" i="26"/>
  <c r="U520" i="26" s="1"/>
  <c r="E251" i="6"/>
  <c r="AU242" i="26"/>
  <c r="AM242" i="26"/>
  <c r="F1440" i="10"/>
  <c r="AO1440" i="10" s="1"/>
  <c r="Y240" i="26"/>
  <c r="AU235" i="26"/>
  <c r="AM235" i="26"/>
  <c r="F235" i="9" s="1"/>
  <c r="AF233" i="26"/>
  <c r="AN233" i="26" s="1"/>
  <c r="AZ233" i="26"/>
  <c r="BB233" i="26" s="1"/>
  <c r="E233" i="10"/>
  <c r="AJ232" i="26"/>
  <c r="AW232" i="26" s="1"/>
  <c r="AY232" i="26" s="1"/>
  <c r="AX232" i="26" s="1"/>
  <c r="E232" i="6"/>
  <c r="E232" i="9"/>
  <c r="F1431" i="10"/>
  <c r="X1431" i="10" s="1"/>
  <c r="Y231" i="26"/>
  <c r="V496" i="26"/>
  <c r="AF221" i="26"/>
  <c r="AN221" i="26" s="1"/>
  <c r="E221" i="10"/>
  <c r="F496" i="26"/>
  <c r="AZ221" i="26"/>
  <c r="BB221" i="26" s="1"/>
  <c r="AJ220" i="26"/>
  <c r="AW220" i="26" s="1"/>
  <c r="D220" i="10"/>
  <c r="AA220" i="26"/>
  <c r="E214" i="9"/>
  <c r="E494" i="26"/>
  <c r="U494" i="26" s="1"/>
  <c r="E214" i="6"/>
  <c r="AA214" i="26"/>
  <c r="E493" i="26"/>
  <c r="D213" i="10"/>
  <c r="E213" i="6"/>
  <c r="AJ213" i="26"/>
  <c r="F1394" i="10"/>
  <c r="Y194" i="26"/>
  <c r="AL194" i="26" s="1"/>
  <c r="D193" i="10"/>
  <c r="E193" i="6"/>
  <c r="E483" i="26"/>
  <c r="AJ193" i="26"/>
  <c r="AW193" i="26" s="1"/>
  <c r="E193" i="9"/>
  <c r="AA193" i="26"/>
  <c r="E484" i="26"/>
  <c r="U484" i="26" s="1"/>
  <c r="E192" i="6"/>
  <c r="E482" i="26"/>
  <c r="D192" i="10"/>
  <c r="AA192" i="26"/>
  <c r="AJ192" i="26"/>
  <c r="E191" i="6"/>
  <c r="D191" i="10"/>
  <c r="E481" i="26"/>
  <c r="E191" i="9"/>
  <c r="AA191" i="26"/>
  <c r="AJ190" i="26"/>
  <c r="D190" i="10"/>
  <c r="E480" i="26"/>
  <c r="AA190" i="26"/>
  <c r="E190" i="9"/>
  <c r="AF187" i="26"/>
  <c r="AH187" i="26" s="1"/>
  <c r="AG187" i="26" s="1"/>
  <c r="E187" i="10"/>
  <c r="AF184" i="26"/>
  <c r="AH184" i="26" s="1"/>
  <c r="AG184" i="26" s="1"/>
  <c r="AZ184" i="26"/>
  <c r="BB184" i="26" s="1"/>
  <c r="Y183" i="26"/>
  <c r="F1383" i="10"/>
  <c r="E182" i="10"/>
  <c r="AZ182" i="26"/>
  <c r="BB182" i="26" s="1"/>
  <c r="AJ181" i="26"/>
  <c r="E181" i="6"/>
  <c r="E181" i="9"/>
  <c r="D181" i="10"/>
  <c r="F1380" i="10"/>
  <c r="Y180" i="26"/>
  <c r="AB180" i="26" s="1"/>
  <c r="AU173" i="26"/>
  <c r="AM173" i="26"/>
  <c r="Y173" i="27" s="1"/>
  <c r="G173" i="27" s="1"/>
  <c r="F477" i="26"/>
  <c r="AF172" i="26"/>
  <c r="AH172" i="26" s="1"/>
  <c r="AG172" i="26" s="1"/>
  <c r="AZ172" i="26"/>
  <c r="BB172" i="26" s="1"/>
  <c r="V477" i="26"/>
  <c r="E171" i="10"/>
  <c r="F476" i="26"/>
  <c r="AZ171" i="26"/>
  <c r="BB171" i="26" s="1"/>
  <c r="AF171" i="26"/>
  <c r="AZ170" i="26"/>
  <c r="BB170" i="26" s="1"/>
  <c r="F475" i="26"/>
  <c r="AF170" i="26"/>
  <c r="AH170" i="26" s="1"/>
  <c r="AG170" i="26" s="1"/>
  <c r="E170" i="10"/>
  <c r="D165" i="10"/>
  <c r="E165" i="6"/>
  <c r="E165" i="9"/>
  <c r="AA165" i="26"/>
  <c r="AJ165" i="26"/>
  <c r="AP161" i="26"/>
  <c r="AA161" i="26"/>
  <c r="E161" i="6"/>
  <c r="E161" i="9"/>
  <c r="E154" i="10"/>
  <c r="AF154" i="26"/>
  <c r="AZ154" i="26"/>
  <c r="BB154" i="26" s="1"/>
  <c r="AP151" i="26"/>
  <c r="AO151" i="26" s="1"/>
  <c r="V471" i="26"/>
  <c r="F471" i="26"/>
  <c r="AZ151" i="26"/>
  <c r="BB151" i="26" s="1"/>
  <c r="E151" i="10"/>
  <c r="AF151" i="26"/>
  <c r="AH151" i="26" s="1"/>
  <c r="AG151" i="26" s="1"/>
  <c r="F470" i="26"/>
  <c r="E150" i="10"/>
  <c r="AZ150" i="26"/>
  <c r="BB150" i="26" s="1"/>
  <c r="V469" i="26"/>
  <c r="F469" i="26"/>
  <c r="AU141" i="26"/>
  <c r="AM141" i="26"/>
  <c r="F141" i="9" s="1"/>
  <c r="AU119" i="26"/>
  <c r="AM119" i="26"/>
  <c r="F119" i="9" s="1"/>
  <c r="E458" i="26"/>
  <c r="E442" i="9" s="1"/>
  <c r="E117" i="6"/>
  <c r="E117" i="9"/>
  <c r="D117" i="10"/>
  <c r="AJ117" i="26"/>
  <c r="F1316" i="10"/>
  <c r="Y116" i="26"/>
  <c r="AL116" i="26" s="1"/>
  <c r="F1290" i="10"/>
  <c r="Y90" i="26"/>
  <c r="AF87" i="26"/>
  <c r="E87" i="10"/>
  <c r="F1281" i="10"/>
  <c r="Y81" i="26"/>
  <c r="AZ80" i="26"/>
  <c r="BB80" i="26" s="1"/>
  <c r="AF80" i="26"/>
  <c r="AH80" i="26" s="1"/>
  <c r="E80" i="10"/>
  <c r="F438" i="26"/>
  <c r="AF79" i="26"/>
  <c r="AH79" i="26" s="1"/>
  <c r="AG79" i="26" s="1"/>
  <c r="AZ79" i="26"/>
  <c r="BB79" i="26" s="1"/>
  <c r="E79" i="10"/>
  <c r="AF77" i="26"/>
  <c r="AH77" i="26" s="1"/>
  <c r="AG77" i="26" s="1"/>
  <c r="F436" i="26"/>
  <c r="V436" i="26"/>
  <c r="E77" i="10"/>
  <c r="AZ77" i="26"/>
  <c r="BB77" i="26" s="1"/>
  <c r="F1272" i="10"/>
  <c r="G1272" i="10" s="1"/>
  <c r="Y72" i="26"/>
  <c r="E429" i="26"/>
  <c r="U429" i="26" s="1"/>
  <c r="E58" i="6"/>
  <c r="E58" i="9"/>
  <c r="E428" i="26"/>
  <c r="AJ58" i="26"/>
  <c r="AA57" i="26"/>
  <c r="E57" i="9"/>
  <c r="AJ57" i="26"/>
  <c r="E57" i="6"/>
  <c r="AJ54" i="26"/>
  <c r="AW54" i="26" s="1"/>
  <c r="E427" i="26"/>
  <c r="AA54" i="26"/>
  <c r="E54" i="6"/>
  <c r="Y53" i="26"/>
  <c r="AK53" i="26" s="1"/>
  <c r="AU53" i="26" s="1"/>
  <c r="S53" i="26" s="1"/>
  <c r="F1253" i="10"/>
  <c r="D17" i="10"/>
  <c r="AA17" i="26"/>
  <c r="E17" i="9"/>
  <c r="AJ17" i="26"/>
  <c r="E416" i="26"/>
  <c r="F415" i="26"/>
  <c r="F414" i="26"/>
  <c r="V414" i="26"/>
  <c r="V415" i="26"/>
  <c r="AZ16" i="26"/>
  <c r="BB16" i="26" s="1"/>
  <c r="AF16" i="26"/>
  <c r="E15" i="10"/>
  <c r="V413" i="26"/>
  <c r="AF15" i="26"/>
  <c r="AH15" i="26" s="1"/>
  <c r="AZ15" i="26"/>
  <c r="BB15" i="26" s="1"/>
  <c r="F413" i="26"/>
  <c r="F1521" i="10"/>
  <c r="Y321" i="26"/>
  <c r="G538" i="26"/>
  <c r="W538" i="26" s="1"/>
  <c r="F1476" i="10"/>
  <c r="O1476" i="10" s="1"/>
  <c r="G530" i="26"/>
  <c r="W530" i="26" s="1"/>
  <c r="G527" i="26"/>
  <c r="W527" i="26" s="1"/>
  <c r="F1470" i="10"/>
  <c r="V1470" i="10" s="1"/>
  <c r="G440" i="26"/>
  <c r="W440" i="26" s="1"/>
  <c r="Y91" i="26"/>
  <c r="F1291" i="10"/>
  <c r="K1291" i="10" s="1"/>
  <c r="G437" i="26"/>
  <c r="W437" i="26" s="1"/>
  <c r="Y78" i="26"/>
  <c r="F1278" i="10"/>
  <c r="J1278" i="10" s="1"/>
  <c r="G434" i="26"/>
  <c r="W434" i="26" s="1"/>
  <c r="F1269" i="10"/>
  <c r="AT144" i="26"/>
  <c r="AS144" i="26" s="1"/>
  <c r="AT39" i="26"/>
  <c r="AS39" i="26" s="1"/>
  <c r="E192" i="9"/>
  <c r="E279" i="6"/>
  <c r="AZ87" i="26"/>
  <c r="BB87" i="26" s="1"/>
  <c r="AJ251" i="26"/>
  <c r="AM422" i="26"/>
  <c r="AN422" i="26" s="1"/>
  <c r="AP422" i="26" s="1"/>
  <c r="E213" i="9"/>
  <c r="D214" i="10"/>
  <c r="E172" i="10"/>
  <c r="E16" i="10"/>
  <c r="E184" i="10"/>
  <c r="AJ1576" i="10"/>
  <c r="N1576" i="10"/>
  <c r="AI1576" i="10"/>
  <c r="M1576" i="10"/>
  <c r="S1576" i="10"/>
  <c r="G1576" i="10"/>
  <c r="AL1576" i="10"/>
  <c r="Z1576" i="10"/>
  <c r="V1576" i="10"/>
  <c r="AM1576" i="10"/>
  <c r="AK1576" i="10"/>
  <c r="L1415" i="10"/>
  <c r="K1415" i="10"/>
  <c r="T1415" i="10"/>
  <c r="Z1415" i="10"/>
  <c r="X1415" i="10"/>
  <c r="AJ1415" i="10"/>
  <c r="AI1415" i="10"/>
  <c r="J1415" i="10"/>
  <c r="AE1415" i="10"/>
  <c r="AQ1415" i="10"/>
  <c r="AJ191" i="26"/>
  <c r="AW191" i="26" s="1"/>
  <c r="AA181" i="26"/>
  <c r="E251" i="9"/>
  <c r="V470" i="26"/>
  <c r="Y1514" i="10"/>
  <c r="AZ187" i="26"/>
  <c r="BB187" i="26" s="1"/>
  <c r="D161" i="10"/>
  <c r="E518" i="26"/>
  <c r="U518" i="26" s="1"/>
  <c r="AZ294" i="26"/>
  <c r="BB294" i="26" s="1"/>
  <c r="E296" i="6"/>
  <c r="AU1195" i="10"/>
  <c r="AW267" i="26"/>
  <c r="AY267" i="26" s="1"/>
  <c r="F524" i="26"/>
  <c r="AF280" i="26"/>
  <c r="AH280" i="26" s="1"/>
  <c r="AG280" i="26" s="1"/>
  <c r="D58" i="10"/>
  <c r="V476" i="26"/>
  <c r="AJ161" i="26"/>
  <c r="E517" i="26"/>
  <c r="E495" i="6" s="1"/>
  <c r="AP77" i="26"/>
  <c r="AO77" i="26" s="1"/>
  <c r="AS1472" i="10"/>
  <c r="AN1472" i="10"/>
  <c r="AW77" i="26"/>
  <c r="AB104" i="9"/>
  <c r="AM299" i="26"/>
  <c r="AP172" i="26"/>
  <c r="AO172" i="26" s="1"/>
  <c r="AX298" i="26"/>
  <c r="AP75" i="26"/>
  <c r="AO75" i="26" s="1"/>
  <c r="AA301" i="26"/>
  <c r="E301" i="6"/>
  <c r="AB94" i="6"/>
  <c r="AX332" i="26"/>
  <c r="AX315" i="26"/>
  <c r="AX241" i="26"/>
  <c r="AX168" i="26"/>
  <c r="AX132" i="26"/>
  <c r="AX105" i="26"/>
  <c r="AX75" i="26"/>
  <c r="AX46" i="26"/>
  <c r="AB306" i="9"/>
  <c r="AX156" i="26"/>
  <c r="AX141" i="26"/>
  <c r="AX84" i="26"/>
  <c r="AX55" i="26"/>
  <c r="AX32" i="26"/>
  <c r="AM137" i="26"/>
  <c r="AG500" i="26"/>
  <c r="Y276" i="26"/>
  <c r="AB276" i="26" s="1"/>
  <c r="Y120" i="26"/>
  <c r="F1320" i="10"/>
  <c r="AD1320" i="10" s="1"/>
  <c r="Y293" i="26"/>
  <c r="Y259" i="26"/>
  <c r="Y205" i="26"/>
  <c r="Y31" i="26"/>
  <c r="Y270" i="26"/>
  <c r="Y77" i="26"/>
  <c r="Y342" i="26"/>
  <c r="Y330" i="26"/>
  <c r="Y304" i="26"/>
  <c r="Y182" i="26"/>
  <c r="Y138" i="26"/>
  <c r="Y18" i="26"/>
  <c r="Y255" i="26"/>
  <c r="AB255" i="26" s="1"/>
  <c r="AW15" i="26"/>
  <c r="AY15" i="26" s="1"/>
  <c r="U432" i="26"/>
  <c r="E427" i="6"/>
  <c r="Z535" i="26"/>
  <c r="AE535" i="26" s="1"/>
  <c r="AB535" i="26"/>
  <c r="U419" i="26"/>
  <c r="E417" i="6"/>
  <c r="AH32" i="26"/>
  <c r="AG32" i="26" s="1"/>
  <c r="AP166" i="26"/>
  <c r="AO166" i="26" s="1"/>
  <c r="U253" i="7"/>
  <c r="Z1453" i="10" s="1"/>
  <c r="Z1456" i="10"/>
  <c r="AH352" i="26"/>
  <c r="AG352" i="26" s="1"/>
  <c r="Z478" i="26"/>
  <c r="AB478" i="26"/>
  <c r="AB463" i="26"/>
  <c r="Z463" i="26"/>
  <c r="AT36" i="26"/>
  <c r="AS36" i="26" s="1"/>
  <c r="AW86" i="26"/>
  <c r="AY86" i="26" s="1"/>
  <c r="AX86" i="26" s="1"/>
  <c r="G1408" i="10"/>
  <c r="AD1408" i="10"/>
  <c r="W1408" i="10"/>
  <c r="AR1408" i="10"/>
  <c r="AJ1408" i="10"/>
  <c r="P1408" i="10"/>
  <c r="AT1408" i="10"/>
  <c r="AI1408" i="10"/>
  <c r="N1408" i="10"/>
  <c r="X1408" i="10"/>
  <c r="AM1408" i="10"/>
  <c r="Z1408" i="10"/>
  <c r="AS1408" i="10"/>
  <c r="AH1408" i="10"/>
  <c r="R1408" i="10"/>
  <c r="AO1408" i="10"/>
  <c r="U1408" i="10"/>
  <c r="AA1408" i="10"/>
  <c r="AC1408" i="10"/>
  <c r="AL1408" i="10"/>
  <c r="AG1408" i="10"/>
  <c r="AO1566" i="10"/>
  <c r="P1566" i="10"/>
  <c r="N1566" i="10"/>
  <c r="AM1566" i="10"/>
  <c r="AA1566" i="10"/>
  <c r="X1566" i="10"/>
  <c r="AR1566" i="10"/>
  <c r="O1566" i="10"/>
  <c r="AJ1566" i="10"/>
  <c r="AL1566" i="10"/>
  <c r="Q1566" i="10"/>
  <c r="AS1566" i="10"/>
  <c r="AT1566" i="10"/>
  <c r="V1566" i="10"/>
  <c r="G1566" i="10"/>
  <c r="K1566" i="10"/>
  <c r="AC1566" i="10"/>
  <c r="R1566" i="10"/>
  <c r="AH1566" i="10"/>
  <c r="AK1566" i="10"/>
  <c r="AG1333" i="10"/>
  <c r="AB1333" i="10"/>
  <c r="AL1333" i="10"/>
  <c r="P1333" i="10"/>
  <c r="AC1333" i="10"/>
  <c r="Z1333" i="10"/>
  <c r="AN1333" i="10"/>
  <c r="G1333" i="10"/>
  <c r="AK1333" i="10"/>
  <c r="Q1333" i="10"/>
  <c r="AE1333" i="10"/>
  <c r="AH1333" i="10"/>
  <c r="S1333" i="10"/>
  <c r="J1333" i="10"/>
  <c r="AA1333" i="10"/>
  <c r="N1333" i="10"/>
  <c r="AM1333" i="10"/>
  <c r="M1333" i="10"/>
  <c r="T1333" i="10"/>
  <c r="G1531" i="10"/>
  <c r="J1531" i="10"/>
  <c r="AL1531" i="10"/>
  <c r="M1531" i="10"/>
  <c r="AR1531" i="10"/>
  <c r="Y1531" i="10"/>
  <c r="U1531" i="10"/>
  <c r="AS1531" i="10"/>
  <c r="AH1531" i="10"/>
  <c r="AI1531" i="10"/>
  <c r="AP1531" i="10"/>
  <c r="W1531" i="10"/>
  <c r="AT1531" i="10"/>
  <c r="K1531" i="10"/>
  <c r="S1531" i="10"/>
  <c r="AD1531" i="10"/>
  <c r="T1531" i="10"/>
  <c r="AN1531" i="10"/>
  <c r="AG1531" i="10"/>
  <c r="AQ1329" i="10"/>
  <c r="M1329" i="10"/>
  <c r="AE1329" i="10"/>
  <c r="AH1329" i="10"/>
  <c r="AI1329" i="10"/>
  <c r="AM1329" i="10"/>
  <c r="P1329" i="10"/>
  <c r="AD1329" i="10"/>
  <c r="R1329" i="10"/>
  <c r="K1329" i="10"/>
  <c r="AN1329" i="10"/>
  <c r="AL1329" i="10"/>
  <c r="AB1329" i="10"/>
  <c r="Q1329" i="10"/>
  <c r="AP1329" i="10"/>
  <c r="G1329" i="10"/>
  <c r="Y1329" i="10"/>
  <c r="AK1329" i="10"/>
  <c r="AT1329" i="10"/>
  <c r="AR1420" i="10"/>
  <c r="G1420" i="10"/>
  <c r="AE1420" i="10"/>
  <c r="AC1576" i="10"/>
  <c r="AG1576" i="10"/>
  <c r="W1576" i="10"/>
  <c r="AA1356" i="10"/>
  <c r="AH1356" i="10"/>
  <c r="S1356" i="10"/>
  <c r="AM1356" i="10"/>
  <c r="AE1356" i="10"/>
  <c r="AO1356" i="10"/>
  <c r="U1356" i="10"/>
  <c r="AB1356" i="10"/>
  <c r="AL1356" i="10"/>
  <c r="T1356" i="10"/>
  <c r="N1356" i="10"/>
  <c r="AI1356" i="10"/>
  <c r="L1356" i="10"/>
  <c r="AR1356" i="10"/>
  <c r="K1356" i="10"/>
  <c r="V1356" i="10"/>
  <c r="AP1356" i="10"/>
  <c r="AH254" i="26"/>
  <c r="AG254" i="26" s="1"/>
  <c r="Z1235" i="10"/>
  <c r="T1235" i="10"/>
  <c r="AO1235" i="10"/>
  <c r="AH1235" i="10"/>
  <c r="AA1235" i="10"/>
  <c r="AQ1235" i="10"/>
  <c r="AR1235" i="10"/>
  <c r="AB1235" i="10"/>
  <c r="Q1235" i="10"/>
  <c r="O1235" i="10"/>
  <c r="R1235" i="10"/>
  <c r="M1235" i="10"/>
  <c r="V1235" i="10"/>
  <c r="K1235" i="10"/>
  <c r="AF1235" i="10"/>
  <c r="AE1235" i="10"/>
  <c r="AN1235" i="10"/>
  <c r="AS1235" i="10"/>
  <c r="AA1309" i="10"/>
  <c r="N1309" i="10"/>
  <c r="Q1309" i="10"/>
  <c r="AC1309" i="10"/>
  <c r="M1309" i="10"/>
  <c r="AH1309" i="10"/>
  <c r="AG1309" i="10"/>
  <c r="K1309" i="10"/>
  <c r="AI1309" i="10"/>
  <c r="U1309" i="10"/>
  <c r="T1309" i="10"/>
  <c r="X1309" i="10"/>
  <c r="AD1309" i="10"/>
  <c r="O1309" i="10"/>
  <c r="G1309" i="10"/>
  <c r="AH1339" i="10"/>
  <c r="AB1339" i="10"/>
  <c r="W1339" i="10"/>
  <c r="AP1339" i="10"/>
  <c r="AI1339" i="10"/>
  <c r="AN1339" i="10"/>
  <c r="Y1339" i="10"/>
  <c r="S1339" i="10"/>
  <c r="AM1339" i="10"/>
  <c r="AL1339" i="10"/>
  <c r="AA1339" i="10"/>
  <c r="Q1339" i="10"/>
  <c r="Z1339" i="10"/>
  <c r="M1339" i="10"/>
  <c r="P1339" i="10"/>
  <c r="G1339" i="10"/>
  <c r="AC1339" i="10"/>
  <c r="U1339" i="10"/>
  <c r="AO1339" i="10"/>
  <c r="AD1339" i="10"/>
  <c r="AR1339" i="10"/>
  <c r="J1339" i="10"/>
  <c r="J1314" i="10"/>
  <c r="AT1319" i="10"/>
  <c r="X1213" i="10"/>
  <c r="O1355" i="10"/>
  <c r="J1370" i="10"/>
  <c r="Q1524" i="10"/>
  <c r="AT1217" i="10"/>
  <c r="O1514" i="10"/>
  <c r="AG1507" i="10"/>
  <c r="AP1306" i="10"/>
  <c r="N1528" i="10"/>
  <c r="AD1268" i="10"/>
  <c r="L1251" i="10"/>
  <c r="AI1503" i="10"/>
  <c r="Z1342" i="10"/>
  <c r="AM1427" i="10"/>
  <c r="X1353" i="10"/>
  <c r="P1267" i="10"/>
  <c r="R1230" i="10"/>
  <c r="W1224" i="10"/>
  <c r="AD1411" i="10"/>
  <c r="S1554" i="10"/>
  <c r="Z1478" i="10"/>
  <c r="AG1373" i="10"/>
  <c r="V1401" i="10"/>
  <c r="AK1555" i="10"/>
  <c r="AK1439" i="10"/>
  <c r="X1407" i="10"/>
  <c r="S1337" i="10"/>
  <c r="AB1274" i="10"/>
  <c r="AH1414" i="10"/>
  <c r="AA1377" i="10"/>
  <c r="AJ1300" i="10"/>
  <c r="AN1220" i="10"/>
  <c r="AB1231" i="10"/>
  <c r="AJ1239" i="10"/>
  <c r="AN1251" i="10"/>
  <c r="AH1286" i="10"/>
  <c r="AS1571" i="10"/>
  <c r="AB1558" i="10"/>
  <c r="AD1500" i="10"/>
  <c r="S1502" i="10"/>
  <c r="AH1396" i="10"/>
  <c r="AO1525" i="10"/>
  <c r="AA1407" i="10"/>
  <c r="AJ1337" i="10"/>
  <c r="Z1412" i="10"/>
  <c r="AR1377" i="10"/>
  <c r="AQ1300" i="10"/>
  <c r="S1220" i="10"/>
  <c r="P1249" i="10"/>
  <c r="AN1271" i="10"/>
  <c r="AD1286" i="10"/>
  <c r="AI1491" i="10"/>
  <c r="AS1550" i="10"/>
  <c r="S1478" i="10"/>
  <c r="AK1590" i="10"/>
  <c r="W1343" i="10"/>
  <c r="U1525" i="10"/>
  <c r="AR1276" i="10"/>
  <c r="AJ1349" i="10"/>
  <c r="AK1286" i="10"/>
  <c r="AQ1401" i="10"/>
  <c r="AG1493" i="10"/>
  <c r="Z1377" i="10"/>
  <c r="AE1464" i="10"/>
  <c r="AQ1407" i="10"/>
  <c r="AR1218" i="10"/>
  <c r="T1300" i="10"/>
  <c r="X1220" i="10"/>
  <c r="T1239" i="10"/>
  <c r="AT1286" i="10"/>
  <c r="N1300" i="10"/>
  <c r="AC1358" i="10"/>
  <c r="K1514" i="10"/>
  <c r="AO1514" i="10"/>
  <c r="AB1528" i="10"/>
  <c r="AN1528" i="10"/>
  <c r="AO1346" i="10"/>
  <c r="Y1355" i="10"/>
  <c r="AL1306" i="10"/>
  <c r="Y1530" i="10"/>
  <c r="K1355" i="10"/>
  <c r="AJ1346" i="10"/>
  <c r="AG1217" i="10"/>
  <c r="J1528" i="10"/>
  <c r="M1528" i="10"/>
  <c r="V1294" i="10"/>
  <c r="R1240" i="10"/>
  <c r="J1218" i="10"/>
  <c r="U1274" i="10"/>
  <c r="U1528" i="10"/>
  <c r="X1571" i="10"/>
  <c r="AG1489" i="10"/>
  <c r="U1433" i="10"/>
  <c r="K1367" i="10"/>
  <c r="J1346" i="10"/>
  <c r="AQ1346" i="10"/>
  <c r="AJ1217" i="10"/>
  <c r="W1288" i="10"/>
  <c r="AO1537" i="10"/>
  <c r="AA1353" i="10"/>
  <c r="AF1267" i="10"/>
  <c r="AC1230" i="10"/>
  <c r="AE1493" i="10"/>
  <c r="L1240" i="10"/>
  <c r="AE1550" i="10"/>
  <c r="AK1268" i="10"/>
  <c r="AM1532" i="10"/>
  <c r="AR1294" i="10"/>
  <c r="AO1499" i="10"/>
  <c r="AA1306" i="10"/>
  <c r="AL1218" i="10"/>
  <c r="T1271" i="10"/>
  <c r="S1240" i="10"/>
  <c r="T1286" i="10"/>
  <c r="Z1442" i="10"/>
  <c r="Q1555" i="10"/>
  <c r="AN1407" i="10"/>
  <c r="AQ1349" i="10"/>
  <c r="Y1276" i="10"/>
  <c r="AD1220" i="10"/>
  <c r="X1251" i="10"/>
  <c r="X1288" i="10"/>
  <c r="AJ1500" i="10"/>
  <c r="N1532" i="10"/>
  <c r="Q1491" i="10"/>
  <c r="AD1412" i="10"/>
  <c r="AK1411" i="10"/>
  <c r="AC1396" i="10"/>
  <c r="Q1294" i="10"/>
  <c r="K1377" i="10"/>
  <c r="K1591" i="10"/>
  <c r="AL1550" i="10"/>
  <c r="AN1401" i="10"/>
  <c r="L1377" i="10"/>
  <c r="AH1240" i="10"/>
  <c r="J1268" i="10"/>
  <c r="AL1294" i="10"/>
  <c r="V1306" i="10"/>
  <c r="R1514" i="10"/>
  <c r="X1528" i="10"/>
  <c r="AF1528" i="10"/>
  <c r="AC1514" i="10"/>
  <c r="N1286" i="10"/>
  <c r="N1502" i="10"/>
  <c r="AE1528" i="10"/>
  <c r="Z1217" i="10"/>
  <c r="S1514" i="10"/>
  <c r="AD1276" i="10"/>
  <c r="Z1220" i="10"/>
  <c r="AA1349" i="10"/>
  <c r="AM1337" i="10"/>
  <c r="AH1494" i="10"/>
  <c r="AA1217" i="10"/>
  <c r="K1240" i="10"/>
  <c r="AF1546" i="10"/>
  <c r="AG1479" i="10"/>
  <c r="Y1439" i="10"/>
  <c r="AL1274" i="10"/>
  <c r="X1239" i="10"/>
  <c r="AO1302" i="10"/>
  <c r="J1485" i="10"/>
  <c r="AR1427" i="10"/>
  <c r="AM1230" i="10"/>
  <c r="AS1224" i="10"/>
  <c r="Z1555" i="10"/>
  <c r="AI1522" i="10"/>
  <c r="AO1396" i="10"/>
  <c r="Y1493" i="10"/>
  <c r="L1359" i="10"/>
  <c r="AQ1220" i="10"/>
  <c r="AP1220" i="10"/>
  <c r="AD1240" i="10"/>
  <c r="Z1256" i="10"/>
  <c r="AB1287" i="10"/>
  <c r="V1556" i="10"/>
  <c r="AT1478" i="10"/>
  <c r="U1401" i="10"/>
  <c r="AO1515" i="10"/>
  <c r="T1237" i="10"/>
  <c r="AP1268" i="10"/>
  <c r="AN1287" i="10"/>
  <c r="R1294" i="10"/>
  <c r="Z1300" i="10"/>
  <c r="AO1571" i="10"/>
  <c r="AG1550" i="10"/>
  <c r="X1396" i="10"/>
  <c r="AO1412" i="10"/>
  <c r="AQ1359" i="10"/>
  <c r="T1439" i="10"/>
  <c r="AJ1522" i="10"/>
  <c r="Q1256" i="10"/>
  <c r="P1337" i="10"/>
  <c r="O1300" i="10"/>
  <c r="T1288" i="10"/>
  <c r="AG1519" i="10"/>
  <c r="K1349" i="10"/>
  <c r="AB1251" i="10"/>
  <c r="X1271" i="10"/>
  <c r="R1288" i="10"/>
  <c r="AM1528" i="10"/>
  <c r="AT1300" i="10"/>
  <c r="N1268" i="10"/>
  <c r="V1218" i="10"/>
  <c r="L1346" i="10"/>
  <c r="AR1514" i="10"/>
  <c r="AH1528" i="10"/>
  <c r="Z1306" i="10"/>
  <c r="AJ1271" i="10"/>
  <c r="AB1249" i="10"/>
  <c r="T1412" i="10"/>
  <c r="W1284" i="10"/>
  <c r="N1346" i="10"/>
  <c r="AR1287" i="10"/>
  <c r="AF1249" i="10"/>
  <c r="AQ1288" i="10"/>
  <c r="AB1407" i="10"/>
  <c r="S1346" i="10"/>
  <c r="X1314" i="10"/>
  <c r="AD1528" i="10"/>
  <c r="AR1217" i="10"/>
  <c r="AA1514" i="10"/>
  <c r="AE1358" i="10"/>
  <c r="AG1523" i="10"/>
  <c r="L1287" i="10"/>
  <c r="AP1256" i="10"/>
  <c r="T1306" i="10"/>
  <c r="AJ1464" i="10"/>
  <c r="R1568" i="10"/>
  <c r="V1558" i="10"/>
  <c r="Z1542" i="10"/>
  <c r="AD1512" i="10"/>
  <c r="AO1481" i="10"/>
  <c r="U1361" i="10"/>
  <c r="Q1230" i="10"/>
  <c r="Q1479" i="10"/>
  <c r="L1369" i="10"/>
  <c r="L1556" i="10"/>
  <c r="U1527" i="10"/>
  <c r="AK1515" i="10"/>
  <c r="AG1457" i="10"/>
  <c r="AB1359" i="10"/>
  <c r="AG1256" i="10"/>
  <c r="AP1574" i="10"/>
  <c r="AS1427" i="10"/>
  <c r="AH1326" i="10"/>
  <c r="AF1284" i="10"/>
  <c r="AD1284" i="10"/>
  <c r="AJ1267" i="10"/>
  <c r="AT1224" i="10"/>
  <c r="AM1349" i="10"/>
  <c r="AA1274" i="10"/>
  <c r="Q1481" i="10"/>
  <c r="AK1574" i="10"/>
  <c r="AL1554" i="10"/>
  <c r="R1302" i="10"/>
  <c r="AE1568" i="10"/>
  <c r="Z1546" i="10"/>
  <c r="AA1540" i="10"/>
  <c r="U1539" i="10"/>
  <c r="U1503" i="10"/>
  <c r="N1485" i="10"/>
  <c r="L1473" i="10"/>
  <c r="T1468" i="10"/>
  <c r="AO1433" i="10"/>
  <c r="AO1382" i="10"/>
  <c r="M1369" i="10"/>
  <c r="AN1361" i="10"/>
  <c r="AL1353" i="10"/>
  <c r="AN1338" i="10"/>
  <c r="O1326" i="10"/>
  <c r="AF1313" i="10"/>
  <c r="K1284" i="10"/>
  <c r="Z1284" i="10"/>
  <c r="AR1230" i="10"/>
  <c r="N1224" i="10"/>
  <c r="U1302" i="10"/>
  <c r="AE1302" i="10"/>
  <c r="K1302" i="10"/>
  <c r="AS1276" i="10"/>
  <c r="R1493" i="10"/>
  <c r="AN1442" i="10"/>
  <c r="Y1266" i="10"/>
  <c r="AC1558" i="10"/>
  <c r="AD1530" i="10"/>
  <c r="AO1240" i="10"/>
  <c r="X1583" i="10"/>
  <c r="AI1287" i="10"/>
  <c r="T1554" i="10"/>
  <c r="S1464" i="10"/>
  <c r="S1558" i="10"/>
  <c r="O1522" i="10"/>
  <c r="V1396" i="10"/>
  <c r="O1274" i="10"/>
  <c r="AD1590" i="10"/>
  <c r="Z1532" i="10"/>
  <c r="S1442" i="10"/>
  <c r="K1294" i="10"/>
  <c r="AK1553" i="10"/>
  <c r="AK1499" i="10"/>
  <c r="AJ1412" i="10"/>
  <c r="AI1337" i="10"/>
  <c r="AF1276" i="10"/>
  <c r="W1218" i="10"/>
  <c r="N1412" i="10"/>
  <c r="AE1377" i="10"/>
  <c r="O1276" i="10"/>
  <c r="AM1220" i="10"/>
  <c r="Z1218" i="10"/>
  <c r="N1474" i="10"/>
  <c r="AN1309" i="10"/>
  <c r="J1452" i="10"/>
  <c r="AP256" i="26"/>
  <c r="AO256" i="26" s="1"/>
  <c r="W418" i="9"/>
  <c r="U418" i="9"/>
  <c r="AO277" i="7"/>
  <c r="AT1477" i="10" s="1"/>
  <c r="AK277" i="7"/>
  <c r="AP1477" i="10" s="1"/>
  <c r="AJ277" i="7"/>
  <c r="AO1477" i="10" s="1"/>
  <c r="AI324" i="7"/>
  <c r="AH277" i="7"/>
  <c r="AM1477" i="10" s="1"/>
  <c r="AE324" i="7"/>
  <c r="AE323" i="7" s="1"/>
  <c r="AE277" i="7"/>
  <c r="AJ1477" i="10" s="1"/>
  <c r="AC324" i="7"/>
  <c r="AH1524" i="10" s="1"/>
  <c r="AC277" i="7"/>
  <c r="AH1477" i="10" s="1"/>
  <c r="AB277" i="7"/>
  <c r="AG1477" i="10" s="1"/>
  <c r="AF1418" i="10"/>
  <c r="Y277" i="7"/>
  <c r="AD1477" i="10" s="1"/>
  <c r="W97" i="7"/>
  <c r="AB1297" i="10" s="1"/>
  <c r="U324" i="7"/>
  <c r="U277" i="7"/>
  <c r="Z1477" i="10" s="1"/>
  <c r="S324" i="7"/>
  <c r="R324" i="7"/>
  <c r="R277" i="7"/>
  <c r="W1477" i="10" s="1"/>
  <c r="R12" i="7"/>
  <c r="W1212" i="10" s="1"/>
  <c r="P324" i="7"/>
  <c r="P277" i="7"/>
  <c r="U1477" i="10" s="1"/>
  <c r="O324" i="7"/>
  <c r="O277" i="7"/>
  <c r="T1477" i="10" s="1"/>
  <c r="N324" i="7"/>
  <c r="N323" i="7" s="1"/>
  <c r="S1523" i="10" s="1"/>
  <c r="L12" i="7"/>
  <c r="Q1212" i="10" s="1"/>
  <c r="BB374" i="7"/>
  <c r="BC374" i="7" s="1"/>
  <c r="AZ374" i="7"/>
  <c r="BA374" i="7" s="1"/>
  <c r="BB346" i="7"/>
  <c r="BC346" i="7" s="1"/>
  <c r="AZ346" i="7"/>
  <c r="BA346" i="7" s="1"/>
  <c r="I324" i="7"/>
  <c r="AZ318" i="7"/>
  <c r="BA318" i="7" s="1"/>
  <c r="BB318" i="7"/>
  <c r="BC318" i="7" s="1"/>
  <c r="AZ269" i="7"/>
  <c r="BA269" i="7" s="1"/>
  <c r="BB269" i="7"/>
  <c r="BC269" i="7" s="1"/>
  <c r="I256" i="7"/>
  <c r="BB236" i="7"/>
  <c r="BC236" i="7" s="1"/>
  <c r="I218" i="7"/>
  <c r="N1418" i="10" s="1"/>
  <c r="AZ236" i="7"/>
  <c r="BA236" i="7" s="1"/>
  <c r="BB196" i="7"/>
  <c r="BC196" i="7" s="1"/>
  <c r="AZ196" i="7"/>
  <c r="BA196" i="7" s="1"/>
  <c r="AZ159" i="7"/>
  <c r="BA159" i="7" s="1"/>
  <c r="BB159" i="7"/>
  <c r="BC159" i="7" s="1"/>
  <c r="AZ137" i="7"/>
  <c r="BA137" i="7" s="1"/>
  <c r="I125" i="7"/>
  <c r="BB137" i="7"/>
  <c r="BC137" i="7" s="1"/>
  <c r="BB106" i="7"/>
  <c r="BC106" i="7" s="1"/>
  <c r="AZ380" i="7"/>
  <c r="BA380" i="7" s="1"/>
  <c r="AZ353" i="7"/>
  <c r="BA353" i="7" s="1"/>
  <c r="BB353" i="7"/>
  <c r="BC353" i="7" s="1"/>
  <c r="AZ308" i="7"/>
  <c r="BA308" i="7" s="1"/>
  <c r="BB308" i="7"/>
  <c r="BC308" i="7" s="1"/>
  <c r="AZ278" i="7"/>
  <c r="BA278" i="7" s="1"/>
  <c r="BB278" i="7"/>
  <c r="BC278" i="7" s="1"/>
  <c r="BB242" i="7"/>
  <c r="BC242" i="7" s="1"/>
  <c r="BB207" i="7"/>
  <c r="BC207" i="7" s="1"/>
  <c r="AZ207" i="7"/>
  <c r="BA207" i="7" s="1"/>
  <c r="BB169" i="7"/>
  <c r="BC169" i="7" s="1"/>
  <c r="H158" i="7"/>
  <c r="M1358" i="10" s="1"/>
  <c r="AZ145" i="7"/>
  <c r="BA145" i="7" s="1"/>
  <c r="BB145" i="7"/>
  <c r="BC145" i="7" s="1"/>
  <c r="AZ119" i="7"/>
  <c r="BA119" i="7" s="1"/>
  <c r="BB119" i="7"/>
  <c r="BC119" i="7" s="1"/>
  <c r="BB76" i="7"/>
  <c r="BC76" i="7" s="1"/>
  <c r="AZ76" i="7"/>
  <c r="BA76" i="7" s="1"/>
  <c r="H66" i="7"/>
  <c r="BB47" i="7"/>
  <c r="BC47" i="7" s="1"/>
  <c r="AZ47" i="7"/>
  <c r="BA47" i="7" s="1"/>
  <c r="AZ13" i="7"/>
  <c r="BA13" i="7" s="1"/>
  <c r="AZ332" i="7"/>
  <c r="BA332" i="7" s="1"/>
  <c r="G324" i="7"/>
  <c r="G323" i="7" s="1"/>
  <c r="BB312" i="7"/>
  <c r="BC312" i="7" s="1"/>
  <c r="G277" i="7"/>
  <c r="L1477" i="10" s="1"/>
  <c r="BB257" i="7"/>
  <c r="BC257" i="7" s="1"/>
  <c r="G256" i="7"/>
  <c r="BB177" i="7"/>
  <c r="BC177" i="7" s="1"/>
  <c r="G158" i="7"/>
  <c r="L1358" i="10" s="1"/>
  <c r="AZ177" i="7"/>
  <c r="BA177" i="7" s="1"/>
  <c r="AZ149" i="7"/>
  <c r="BA149" i="7" s="1"/>
  <c r="G144" i="7"/>
  <c r="L1344" i="10" s="1"/>
  <c r="BB149" i="7"/>
  <c r="BC149" i="7" s="1"/>
  <c r="AZ126" i="7"/>
  <c r="BA126" i="7" s="1"/>
  <c r="BB126" i="7"/>
  <c r="BC126" i="7" s="1"/>
  <c r="BB84" i="7"/>
  <c r="BC84" i="7" s="1"/>
  <c r="AZ51" i="7"/>
  <c r="BA51" i="7" s="1"/>
  <c r="BB20" i="7"/>
  <c r="BC20" i="7" s="1"/>
  <c r="AZ20" i="7"/>
  <c r="BA20" i="7" s="1"/>
  <c r="BB339" i="7"/>
  <c r="BC339" i="7" s="1"/>
  <c r="AZ339" i="7"/>
  <c r="BA339" i="7" s="1"/>
  <c r="BB315" i="7"/>
  <c r="BC315" i="7" s="1"/>
  <c r="AZ315" i="7"/>
  <c r="BA315" i="7" s="1"/>
  <c r="AZ299" i="7"/>
  <c r="BA299" i="7" s="1"/>
  <c r="BB299" i="7"/>
  <c r="BC299" i="7" s="1"/>
  <c r="F277" i="7"/>
  <c r="K1477" i="10" s="1"/>
  <c r="F256" i="7"/>
  <c r="AZ264" i="7"/>
  <c r="BA264" i="7" s="1"/>
  <c r="BB219" i="7"/>
  <c r="BC219" i="7" s="1"/>
  <c r="F218" i="7"/>
  <c r="AZ219" i="7"/>
  <c r="BA219" i="7" s="1"/>
  <c r="AZ100" i="7"/>
  <c r="BA100" i="7" s="1"/>
  <c r="BB56" i="7"/>
  <c r="BC56" i="7" s="1"/>
  <c r="AZ56" i="7"/>
  <c r="BA56" i="7" s="1"/>
  <c r="BB367" i="7"/>
  <c r="BC367" i="7" s="1"/>
  <c r="AZ367" i="7"/>
  <c r="BA367" i="7" s="1"/>
  <c r="AZ325" i="7"/>
  <c r="BA325" i="7" s="1"/>
  <c r="BB302" i="7"/>
  <c r="BC302" i="7" s="1"/>
  <c r="BB212" i="7"/>
  <c r="BC212" i="7" s="1"/>
  <c r="AZ212" i="7"/>
  <c r="BA212" i="7" s="1"/>
  <c r="AZ153" i="7"/>
  <c r="BA153" i="7" s="1"/>
  <c r="AZ132" i="7"/>
  <c r="BA132" i="7" s="1"/>
  <c r="BB132" i="7"/>
  <c r="BC132" i="7" s="1"/>
  <c r="E125" i="7"/>
  <c r="J1325" i="10" s="1"/>
  <c r="BB67" i="7"/>
  <c r="BC67" i="7" s="1"/>
  <c r="AZ67" i="7"/>
  <c r="BA67" i="7" s="1"/>
  <c r="BB40" i="7"/>
  <c r="BC40" i="7" s="1"/>
  <c r="AZ40" i="7"/>
  <c r="BA40" i="7" s="1"/>
  <c r="F1310" i="10"/>
  <c r="AE1310" i="10" s="1"/>
  <c r="Y110" i="26"/>
  <c r="AJ1526" i="10"/>
  <c r="AH325" i="26"/>
  <c r="AG325" i="26" s="1"/>
  <c r="AH315" i="26"/>
  <c r="AG315" i="26" s="1"/>
  <c r="AH299" i="26"/>
  <c r="AG299" i="26" s="1"/>
  <c r="AX257" i="26"/>
  <c r="F1416" i="10"/>
  <c r="AE1416" i="10" s="1"/>
  <c r="Y216" i="26"/>
  <c r="J352" i="30"/>
  <c r="K352" i="30" s="1"/>
  <c r="E352" i="30" s="1"/>
  <c r="J342" i="30"/>
  <c r="K342" i="30" s="1"/>
  <c r="E342" i="30" s="1"/>
  <c r="J328" i="30"/>
  <c r="K328" i="30" s="1"/>
  <c r="E328" i="30" s="1"/>
  <c r="J320" i="30"/>
  <c r="K320" i="30" s="1"/>
  <c r="E320" i="30" s="1"/>
  <c r="I241" i="30"/>
  <c r="I234" i="30"/>
  <c r="I230" i="30"/>
  <c r="I226" i="30"/>
  <c r="I222" i="30"/>
  <c r="I216" i="30"/>
  <c r="I213" i="30"/>
  <c r="I200" i="30"/>
  <c r="I197" i="30"/>
  <c r="I184" i="30"/>
  <c r="I181" i="30"/>
  <c r="I168" i="30"/>
  <c r="I165" i="30"/>
  <c r="I149" i="30"/>
  <c r="I136" i="30"/>
  <c r="I133" i="30"/>
  <c r="I120" i="30"/>
  <c r="I117" i="30"/>
  <c r="I104" i="30"/>
  <c r="I101" i="30"/>
  <c r="J53" i="30"/>
  <c r="K53" i="30" s="1"/>
  <c r="E53" i="30" s="1"/>
  <c r="J46" i="30"/>
  <c r="K46" i="30" s="1"/>
  <c r="E46" i="30" s="1"/>
  <c r="J37" i="30"/>
  <c r="K37" i="30" s="1"/>
  <c r="E37" i="30" s="1"/>
  <c r="J30" i="30"/>
  <c r="K30" i="30" s="1"/>
  <c r="E30" i="30" s="1"/>
  <c r="AX323" i="26"/>
  <c r="AX277" i="26"/>
  <c r="AX125" i="26"/>
  <c r="AX97" i="26"/>
  <c r="AG514" i="26"/>
  <c r="F1564" i="10"/>
  <c r="L1564" i="10" s="1"/>
  <c r="Y364" i="26"/>
  <c r="AX311" i="26"/>
  <c r="AX302" i="26"/>
  <c r="AX264" i="26"/>
  <c r="AX119" i="26"/>
  <c r="F1379" i="10"/>
  <c r="Y179" i="26"/>
  <c r="V456" i="26"/>
  <c r="AF112" i="26"/>
  <c r="AH112" i="26" s="1"/>
  <c r="AG112" i="26" s="1"/>
  <c r="AG420" i="26"/>
  <c r="AQ420" i="26" s="1"/>
  <c r="AR420" i="26" s="1"/>
  <c r="E522" i="26"/>
  <c r="E478" i="9" s="1"/>
  <c r="AA254" i="26"/>
  <c r="Y232" i="26"/>
  <c r="F1432" i="10"/>
  <c r="V458" i="26"/>
  <c r="F458" i="26"/>
  <c r="Y93" i="26"/>
  <c r="F1293" i="10"/>
  <c r="J367" i="30"/>
  <c r="K367" i="30" s="1"/>
  <c r="E367" i="30" s="1"/>
  <c r="J363" i="30"/>
  <c r="K363" i="30" s="1"/>
  <c r="E363" i="30" s="1"/>
  <c r="J319" i="30"/>
  <c r="K319" i="30" s="1"/>
  <c r="E319" i="30" s="1"/>
  <c r="J303" i="30"/>
  <c r="K303" i="30" s="1"/>
  <c r="E303" i="30" s="1"/>
  <c r="J273" i="30"/>
  <c r="K273" i="30" s="1"/>
  <c r="E273" i="30" s="1"/>
  <c r="I236" i="30"/>
  <c r="I232" i="30"/>
  <c r="I228" i="30"/>
  <c r="I208" i="30"/>
  <c r="I205" i="30"/>
  <c r="I192" i="30"/>
  <c r="I189" i="30"/>
  <c r="I176" i="30"/>
  <c r="I173" i="30"/>
  <c r="I157" i="30"/>
  <c r="J144" i="30"/>
  <c r="K144" i="30" s="1"/>
  <c r="E144" i="30" s="1"/>
  <c r="I144" i="30"/>
  <c r="J134" i="30"/>
  <c r="K134" i="30" s="1"/>
  <c r="E134" i="30" s="1"/>
  <c r="I128" i="30"/>
  <c r="I125" i="30"/>
  <c r="I112" i="30"/>
  <c r="I109" i="30"/>
  <c r="J102" i="30"/>
  <c r="K102" i="30" s="1"/>
  <c r="E102" i="30" s="1"/>
  <c r="I96" i="30"/>
  <c r="I93" i="30"/>
  <c r="J80" i="30"/>
  <c r="K80" i="30" s="1"/>
  <c r="E80" i="30" s="1"/>
  <c r="J48" i="30"/>
  <c r="K48" i="30" s="1"/>
  <c r="E48" i="30" s="1"/>
  <c r="I45" i="30"/>
  <c r="J13" i="30"/>
  <c r="K13" i="30" s="1"/>
  <c r="E13" i="30" s="1"/>
  <c r="Y345" i="26"/>
  <c r="Y383" i="26"/>
  <c r="Y381" i="26"/>
  <c r="Y370" i="26"/>
  <c r="F1570" i="10"/>
  <c r="G1570" i="10" s="1"/>
  <c r="Y222" i="26"/>
  <c r="Y52" i="26"/>
  <c r="F1252" i="10"/>
  <c r="G1252" i="10" s="1"/>
  <c r="F1311" i="10"/>
  <c r="Y111" i="26"/>
  <c r="I221" i="30"/>
  <c r="J221" i="30" s="1"/>
  <c r="K221" i="30" s="1"/>
  <c r="E221" i="30" s="1"/>
  <c r="G1367" i="10"/>
  <c r="AO98" i="7"/>
  <c r="AT1298" i="10" s="1"/>
  <c r="Y356" i="26"/>
  <c r="AB356" i="26" s="1"/>
  <c r="Y228" i="26"/>
  <c r="F1428" i="10"/>
  <c r="G1428" i="10" s="1"/>
  <c r="Y160" i="26"/>
  <c r="F1360" i="10"/>
  <c r="F1328" i="10"/>
  <c r="Y128" i="26"/>
  <c r="Y350" i="26"/>
  <c r="AK350" i="26" s="1"/>
  <c r="AV350" i="26" s="1"/>
  <c r="Y327" i="26"/>
  <c r="Y250" i="26"/>
  <c r="F1450" i="10"/>
  <c r="K1450" i="10" s="1"/>
  <c r="Y185" i="26"/>
  <c r="F1385" i="10"/>
  <c r="T1385" i="10" s="1"/>
  <c r="Y157" i="26"/>
  <c r="Y114" i="26"/>
  <c r="AP109" i="26"/>
  <c r="AO109" i="26" s="1"/>
  <c r="Y70" i="26"/>
  <c r="Y68" i="26"/>
  <c r="F1299" i="10"/>
  <c r="AF1299" i="10" s="1"/>
  <c r="Y99" i="26"/>
  <c r="AT124" i="26"/>
  <c r="AS124" i="26" s="1"/>
  <c r="F1228" i="10"/>
  <c r="AQ1228" i="10" s="1"/>
  <c r="Y28" i="26"/>
  <c r="Y265" i="26"/>
  <c r="Y86" i="26"/>
  <c r="I140" i="30"/>
  <c r="J137" i="30"/>
  <c r="K137" i="30" s="1"/>
  <c r="E137" i="30" s="1"/>
  <c r="I121" i="30"/>
  <c r="I108" i="30"/>
  <c r="J57" i="30"/>
  <c r="K57" i="30" s="1"/>
  <c r="E57" i="30" s="1"/>
  <c r="Y95" i="26"/>
  <c r="Y193" i="26"/>
  <c r="J154" i="30"/>
  <c r="K154" i="30" s="1"/>
  <c r="E154" i="30" s="1"/>
  <c r="I100" i="30"/>
  <c r="J33" i="30"/>
  <c r="K33" i="30" s="1"/>
  <c r="E33" i="30" s="1"/>
  <c r="AT175" i="26"/>
  <c r="AS175" i="26" s="1"/>
  <c r="AT275" i="26"/>
  <c r="AS275" i="26" s="1"/>
  <c r="AT316" i="26"/>
  <c r="AS316" i="26" s="1"/>
  <c r="AT337" i="26"/>
  <c r="AS337" i="26" s="1"/>
  <c r="AT167" i="26"/>
  <c r="AS167" i="26" s="1"/>
  <c r="AT184" i="26"/>
  <c r="AS184" i="26" s="1"/>
  <c r="AT295" i="26"/>
  <c r="AS295" i="26" s="1"/>
  <c r="AT204" i="26"/>
  <c r="AS204" i="26" s="1"/>
  <c r="AT77" i="26"/>
  <c r="AS77" i="26" s="1"/>
  <c r="AT87" i="26"/>
  <c r="AS87" i="26" s="1"/>
  <c r="AT116" i="26"/>
  <c r="AS116" i="26" s="1"/>
  <c r="AT109" i="26"/>
  <c r="AS109" i="26" s="1"/>
  <c r="AS343" i="26"/>
  <c r="AT305" i="26"/>
  <c r="AS305" i="26" s="1"/>
  <c r="AT239" i="26"/>
  <c r="AS239" i="26" s="1"/>
  <c r="AT187" i="26"/>
  <c r="AS187" i="26" s="1"/>
  <c r="AT151" i="26"/>
  <c r="AS151" i="26" s="1"/>
  <c r="AT127" i="26"/>
  <c r="AS127" i="26" s="1"/>
  <c r="AT79" i="26"/>
  <c r="AS79" i="26" s="1"/>
  <c r="AT357" i="26"/>
  <c r="AS357" i="26" s="1"/>
  <c r="AT364" i="26"/>
  <c r="AS364" i="26" s="1"/>
  <c r="AT208" i="26"/>
  <c r="AS208" i="26" s="1"/>
  <c r="AT182" i="26"/>
  <c r="AS182" i="26" s="1"/>
  <c r="AT341" i="26"/>
  <c r="AS341" i="26" s="1"/>
  <c r="AT69" i="26"/>
  <c r="AS69" i="26" s="1"/>
  <c r="AO491" i="26"/>
  <c r="AM491" i="26"/>
  <c r="Z519" i="26"/>
  <c r="AE519" i="26" s="1"/>
  <c r="AG519" i="26" s="1"/>
  <c r="AQ519" i="26" s="1"/>
  <c r="AB519" i="26"/>
  <c r="AO469" i="26"/>
  <c r="AM469" i="26"/>
  <c r="AO473" i="26"/>
  <c r="AM473" i="26"/>
  <c r="AO489" i="26"/>
  <c r="AM489" i="26"/>
  <c r="AP374" i="26"/>
  <c r="AO374" i="26" s="1"/>
  <c r="AX374" i="26"/>
  <c r="AX268" i="26"/>
  <c r="AP268" i="26"/>
  <c r="AO268" i="26" s="1"/>
  <c r="AP252" i="26"/>
  <c r="AO252" i="26" s="1"/>
  <c r="AX252" i="26"/>
  <c r="AP235" i="26"/>
  <c r="AO235" i="26" s="1"/>
  <c r="AX235" i="26"/>
  <c r="AP212" i="26"/>
  <c r="AO212" i="26" s="1"/>
  <c r="AX212" i="26"/>
  <c r="AB240" i="6"/>
  <c r="AB164" i="6"/>
  <c r="AT286" i="26"/>
  <c r="AS286" i="26" s="1"/>
  <c r="AT103" i="26"/>
  <c r="AS103" i="26" s="1"/>
  <c r="AT162" i="26"/>
  <c r="AS162" i="26" s="1"/>
  <c r="AT18" i="26"/>
  <c r="AS18" i="26" s="1"/>
  <c r="AT90" i="26"/>
  <c r="AS90" i="26" s="1"/>
  <c r="AT254" i="26"/>
  <c r="AS254" i="26" s="1"/>
  <c r="AT121" i="26"/>
  <c r="AS121" i="26" s="1"/>
  <c r="AT293" i="26"/>
  <c r="AS293" i="26" s="1"/>
  <c r="AS310" i="26"/>
  <c r="AS267" i="26"/>
  <c r="AS78" i="26"/>
  <c r="AS368" i="26"/>
  <c r="AS265" i="26"/>
  <c r="AS129" i="26"/>
  <c r="AS154" i="26"/>
  <c r="AS361" i="26"/>
  <c r="AS233" i="26"/>
  <c r="AS335" i="26"/>
  <c r="AS16" i="26"/>
  <c r="AS198" i="26"/>
  <c r="AT110" i="26"/>
  <c r="AS110" i="26" s="1"/>
  <c r="AT104" i="26"/>
  <c r="AS104" i="26" s="1"/>
  <c r="L462" i="9"/>
  <c r="N462" i="9"/>
  <c r="Y462" i="9" s="1"/>
  <c r="N439" i="9"/>
  <c r="M439" i="9"/>
  <c r="L439" i="9"/>
  <c r="AT231" i="26"/>
  <c r="AS231" i="26" s="1"/>
  <c r="AS91" i="26"/>
  <c r="AS53" i="26"/>
  <c r="AS290" i="26"/>
  <c r="AS266" i="26"/>
  <c r="AS280" i="26"/>
  <c r="AS328" i="26"/>
  <c r="AS26" i="26"/>
  <c r="AS363" i="26"/>
  <c r="AS122" i="26"/>
  <c r="AS107" i="26"/>
  <c r="AT296" i="26"/>
  <c r="AS296" i="26" s="1"/>
  <c r="AT338" i="26"/>
  <c r="AS338" i="26" s="1"/>
  <c r="AT120" i="26"/>
  <c r="AS120" i="26" s="1"/>
  <c r="AT351" i="26"/>
  <c r="AS351" i="26" s="1"/>
  <c r="AS287" i="26"/>
  <c r="AT223" i="26"/>
  <c r="AS223" i="26" s="1"/>
  <c r="E492" i="6"/>
  <c r="U515" i="26"/>
  <c r="E493" i="6"/>
  <c r="AS155" i="26"/>
  <c r="AS176" i="26"/>
  <c r="AS164" i="26"/>
  <c r="AT224" i="26"/>
  <c r="AS224" i="26" s="1"/>
  <c r="AT28" i="26"/>
  <c r="AS28" i="26" s="1"/>
  <c r="AT250" i="26"/>
  <c r="AS250" i="26" s="1"/>
  <c r="AS370" i="26"/>
  <c r="AS179" i="26"/>
  <c r="AS82" i="26"/>
  <c r="AS114" i="26"/>
  <c r="AS292" i="26"/>
  <c r="AS331" i="26"/>
  <c r="AS48" i="26"/>
  <c r="AS347" i="26"/>
  <c r="AB526" i="26"/>
  <c r="Z526" i="26"/>
  <c r="AT359" i="26"/>
  <c r="AS359" i="26" s="1"/>
  <c r="AT289" i="26"/>
  <c r="AS289" i="26" s="1"/>
  <c r="AP365" i="26"/>
  <c r="AP12" i="26"/>
  <c r="AO12" i="26" s="1"/>
  <c r="AT352" i="26"/>
  <c r="AS352" i="26" s="1"/>
  <c r="AT278" i="26"/>
  <c r="AS278" i="26" s="1"/>
  <c r="AT165" i="26"/>
  <c r="AS165" i="26" s="1"/>
  <c r="AT371" i="26"/>
  <c r="AS371" i="26" s="1"/>
  <c r="AT181" i="26"/>
  <c r="AS181" i="26" s="1"/>
  <c r="AT197" i="26"/>
  <c r="AS197" i="26" s="1"/>
  <c r="AT259" i="26"/>
  <c r="AS259" i="26" s="1"/>
  <c r="AT142" i="26"/>
  <c r="AS142" i="26" s="1"/>
  <c r="AT147" i="26"/>
  <c r="AS147" i="26" s="1"/>
  <c r="AT71" i="26"/>
  <c r="AS71" i="26" s="1"/>
  <c r="AT174" i="26"/>
  <c r="AS174" i="26" s="1"/>
  <c r="AT284" i="26"/>
  <c r="AS284" i="26" s="1"/>
  <c r="AS202" i="26"/>
  <c r="AS178" i="26"/>
  <c r="AS369" i="26"/>
  <c r="AS62" i="26"/>
  <c r="AS200" i="26"/>
  <c r="AS128" i="26"/>
  <c r="AS320" i="26"/>
  <c r="AS192" i="26"/>
  <c r="AS94" i="26"/>
  <c r="AS37" i="26"/>
  <c r="AS115" i="26"/>
  <c r="AS15" i="26"/>
  <c r="AS31" i="26"/>
  <c r="AS99" i="26"/>
  <c r="AS201" i="26"/>
  <c r="AS57" i="26"/>
  <c r="AS146" i="26"/>
  <c r="AS166" i="26"/>
  <c r="AS130" i="26"/>
  <c r="AS160" i="26"/>
  <c r="AS68" i="26"/>
  <c r="AS297" i="26"/>
  <c r="AS294" i="26"/>
  <c r="AS193" i="26"/>
  <c r="AS23" i="26"/>
  <c r="AS190" i="26"/>
  <c r="AS171" i="26"/>
  <c r="AS58" i="26"/>
  <c r="AS354" i="26"/>
  <c r="AS285" i="26"/>
  <c r="AS50" i="26"/>
  <c r="AS185" i="26"/>
  <c r="AS334" i="26"/>
  <c r="AS355" i="26"/>
  <c r="AS161" i="26"/>
  <c r="AS133" i="26"/>
  <c r="AS349" i="26"/>
  <c r="AS274" i="26"/>
  <c r="AS17" i="26"/>
  <c r="AS150" i="26"/>
  <c r="AS276" i="26"/>
  <c r="AS350" i="26"/>
  <c r="AS95" i="26"/>
  <c r="AS80" i="26"/>
  <c r="AS54" i="26"/>
  <c r="AS306" i="26"/>
  <c r="AS88" i="26"/>
  <c r="AS101" i="26"/>
  <c r="AS203" i="26"/>
  <c r="AS70" i="26"/>
  <c r="AS194" i="26"/>
  <c r="AS336" i="26"/>
  <c r="AS112" i="26"/>
  <c r="AS255" i="26"/>
  <c r="AS300" i="26"/>
  <c r="AS340" i="26"/>
  <c r="AS52" i="26"/>
  <c r="AT248" i="26"/>
  <c r="AS248" i="26" s="1"/>
  <c r="AS213" i="26"/>
  <c r="AS313" i="26"/>
  <c r="AT330" i="26"/>
  <c r="AS330" i="26" s="1"/>
  <c r="AS226" i="26"/>
  <c r="AS205" i="26"/>
  <c r="AT172" i="26"/>
  <c r="AS172" i="26" s="1"/>
  <c r="AT238" i="26"/>
  <c r="AS238" i="26" s="1"/>
  <c r="AS243" i="26"/>
  <c r="AT230" i="26"/>
  <c r="AS230" i="26" s="1"/>
  <c r="AT232" i="26"/>
  <c r="AS232" i="26" s="1"/>
  <c r="AS246" i="26"/>
  <c r="AT35" i="26"/>
  <c r="AS35" i="26" s="1"/>
  <c r="AT111" i="26"/>
  <c r="AS111" i="26" s="1"/>
  <c r="AT237" i="26"/>
  <c r="AS237" i="26" s="1"/>
  <c r="AS135" i="26"/>
  <c r="AT27" i="26"/>
  <c r="AS27" i="26" s="1"/>
  <c r="AT211" i="26"/>
  <c r="AS211" i="26" s="1"/>
  <c r="AT93" i="26"/>
  <c r="AS93" i="26" s="1"/>
  <c r="AT123" i="26"/>
  <c r="AS123" i="26" s="1"/>
  <c r="AT283" i="26"/>
  <c r="AS283" i="26" s="1"/>
  <c r="AT38" i="26"/>
  <c r="AS38" i="26" s="1"/>
  <c r="AT262" i="26"/>
  <c r="AS262" i="26" s="1"/>
  <c r="AT304" i="26"/>
  <c r="AS304" i="26" s="1"/>
  <c r="AS1248" i="10"/>
  <c r="AI1248" i="10"/>
  <c r="AA1248" i="10"/>
  <c r="AH1248" i="10"/>
  <c r="Q1248" i="10"/>
  <c r="G1248" i="10"/>
  <c r="AJ1248" i="10"/>
  <c r="AD1248" i="10"/>
  <c r="Z1248" i="10"/>
  <c r="J1248" i="10"/>
  <c r="AS329" i="26"/>
  <c r="AW238" i="26"/>
  <c r="AT249" i="26"/>
  <c r="AS249" i="26" s="1"/>
  <c r="E429" i="6"/>
  <c r="U434" i="26"/>
  <c r="Z524" i="26"/>
  <c r="AB524" i="26"/>
  <c r="AT215" i="26"/>
  <c r="AS215" i="26" s="1"/>
  <c r="O1578" i="10"/>
  <c r="W1578" i="10"/>
  <c r="R1578" i="10"/>
  <c r="AT1578" i="10"/>
  <c r="K1578" i="10"/>
  <c r="S1578" i="10"/>
  <c r="AR1578" i="10"/>
  <c r="AC1578" i="10"/>
  <c r="Z1578" i="10"/>
  <c r="AF1578" i="10"/>
  <c r="G1578" i="10"/>
  <c r="J1578" i="10"/>
  <c r="P1578" i="10"/>
  <c r="M1578" i="10"/>
  <c r="AI1578" i="10"/>
  <c r="AG1578" i="10"/>
  <c r="AJ1578" i="10"/>
  <c r="AM1578" i="10"/>
  <c r="AA1578" i="10"/>
  <c r="U1578" i="10"/>
  <c r="X1578" i="10"/>
  <c r="V1578" i="10"/>
  <c r="AS1578" i="10"/>
  <c r="AN1578" i="10"/>
  <c r="AE1578" i="10"/>
  <c r="AP1578" i="10"/>
  <c r="AD1578" i="10"/>
  <c r="AH1578" i="10"/>
  <c r="Q1578" i="10"/>
  <c r="AL1578" i="10"/>
  <c r="T1578" i="10"/>
  <c r="N1578" i="10"/>
  <c r="AQ1578" i="10"/>
  <c r="AT222" i="26"/>
  <c r="AS222" i="26" s="1"/>
  <c r="N1246" i="10"/>
  <c r="X1358" i="10"/>
  <c r="AB512" i="26"/>
  <c r="Z512" i="26"/>
  <c r="AB525" i="26"/>
  <c r="Z525" i="26"/>
  <c r="L425" i="6"/>
  <c r="M425" i="6"/>
  <c r="N425" i="6"/>
  <c r="AY390" i="26"/>
  <c r="AX390" i="26" s="1"/>
  <c r="AY13" i="26"/>
  <c r="AX13" i="26" s="1"/>
  <c r="AH353" i="26"/>
  <c r="AG353" i="26" s="1"/>
  <c r="AH196" i="26"/>
  <c r="AG196" i="26" s="1"/>
  <c r="AP314" i="26"/>
  <c r="AO314" i="26" s="1"/>
  <c r="AX314" i="26"/>
  <c r="AP188" i="26"/>
  <c r="AO188" i="26" s="1"/>
  <c r="AX188" i="26"/>
  <c r="AT227" i="26"/>
  <c r="AS227" i="26" s="1"/>
  <c r="AP261" i="26"/>
  <c r="AO261" i="26" s="1"/>
  <c r="M1408" i="10"/>
  <c r="T1408" i="10"/>
  <c r="Q1408" i="10"/>
  <c r="AQ1408" i="10"/>
  <c r="O1408" i="10"/>
  <c r="AE1408" i="10"/>
  <c r="J1408" i="10"/>
  <c r="AF1408" i="10"/>
  <c r="L1408" i="10"/>
  <c r="V1408" i="10"/>
  <c r="AS214" i="26"/>
  <c r="AT225" i="26"/>
  <c r="AS225" i="26" s="1"/>
  <c r="AB457" i="26"/>
  <c r="Z457" i="26"/>
  <c r="AG152" i="26"/>
  <c r="U1301" i="10"/>
  <c r="AA1301" i="10"/>
  <c r="AI1301" i="10"/>
  <c r="N1301" i="10"/>
  <c r="Y1301" i="10"/>
  <c r="V1301" i="10"/>
  <c r="AL1301" i="10"/>
  <c r="AJ1301" i="10"/>
  <c r="AC1301" i="10"/>
  <c r="AT1301" i="10"/>
  <c r="L1301" i="10"/>
  <c r="G1301" i="10"/>
  <c r="AN1301" i="10"/>
  <c r="Z1301" i="10"/>
  <c r="R1301" i="10"/>
  <c r="P1301" i="10"/>
  <c r="J1301" i="10"/>
  <c r="AM1301" i="10"/>
  <c r="M1301" i="10"/>
  <c r="AH1301" i="10"/>
  <c r="AK1301" i="10"/>
  <c r="AQ1301" i="10"/>
  <c r="W1301" i="10"/>
  <c r="AB1301" i="10"/>
  <c r="Q1301" i="10"/>
  <c r="O1301" i="10"/>
  <c r="K1301" i="10"/>
  <c r="T1301" i="10"/>
  <c r="AF1301" i="10"/>
  <c r="AO1301" i="10"/>
  <c r="X1301" i="10"/>
  <c r="AP1301" i="10"/>
  <c r="AG1301" i="10"/>
  <c r="AW350" i="26"/>
  <c r="AB1523" i="10"/>
  <c r="AJ323" i="7"/>
  <c r="AQ1524" i="10"/>
  <c r="AL323" i="7"/>
  <c r="G1314" i="10"/>
  <c r="S1314" i="10"/>
  <c r="P1314" i="10"/>
  <c r="U1314" i="10"/>
  <c r="W1314" i="10"/>
  <c r="G1376" i="10"/>
  <c r="AL1376" i="10"/>
  <c r="AC1376" i="10"/>
  <c r="X1376" i="10"/>
  <c r="AM1376" i="10"/>
  <c r="R1376" i="10"/>
  <c r="W1376" i="10"/>
  <c r="AR1376" i="10"/>
  <c r="Y1429" i="10"/>
  <c r="S1429" i="10"/>
  <c r="AR1524" i="10"/>
  <c r="AT1523" i="10"/>
  <c r="AL1456" i="10"/>
  <c r="AH153" i="26"/>
  <c r="AG153" i="26" s="1"/>
  <c r="AH119" i="26"/>
  <c r="AG119" i="26" s="1"/>
  <c r="AP98" i="26"/>
  <c r="AO98" i="26" s="1"/>
  <c r="AH45" i="26"/>
  <c r="AG45" i="26" s="1"/>
  <c r="E253" i="7"/>
  <c r="AH47" i="26"/>
  <c r="AG47" i="26" s="1"/>
  <c r="AP39" i="26"/>
  <c r="AO39" i="26" s="1"/>
  <c r="BB391" i="7"/>
  <c r="BC391" i="7" s="1"/>
  <c r="AX256" i="26"/>
  <c r="AG374" i="26"/>
  <c r="AH346" i="26"/>
  <c r="AG346" i="26" s="1"/>
  <c r="AH169" i="26"/>
  <c r="AG169" i="26" s="1"/>
  <c r="AH149" i="26"/>
  <c r="AG149" i="26" s="1"/>
  <c r="AG126" i="26"/>
  <c r="AG66" i="26"/>
  <c r="AP352" i="26"/>
  <c r="AO352" i="26" s="1"/>
  <c r="AO277" i="26"/>
  <c r="AP177" i="26"/>
  <c r="AO177" i="26" s="1"/>
  <c r="AP33" i="26"/>
  <c r="AO33" i="26" s="1"/>
  <c r="AG522" i="26"/>
  <c r="AQ522" i="26" s="1"/>
  <c r="AR522" i="26" s="1"/>
  <c r="AG509" i="26"/>
  <c r="AQ509" i="26" s="1"/>
  <c r="AR509" i="26" s="1"/>
  <c r="AX12" i="26"/>
  <c r="AG323" i="26"/>
  <c r="AG308" i="26"/>
  <c r="AH143" i="26"/>
  <c r="AG143" i="26" s="1"/>
  <c r="AG97" i="26"/>
  <c r="AH56" i="26"/>
  <c r="AG56" i="26" s="1"/>
  <c r="AO390" i="26"/>
  <c r="AP273" i="26"/>
  <c r="AO273" i="26" s="1"/>
  <c r="AP148" i="26"/>
  <c r="AO148" i="26" s="1"/>
  <c r="AG510" i="26"/>
  <c r="AQ510" i="26" s="1"/>
  <c r="AR510" i="26" s="1"/>
  <c r="AH332" i="26"/>
  <c r="AG332" i="26" s="1"/>
  <c r="AH318" i="26"/>
  <c r="AG318" i="26" s="1"/>
  <c r="AH302" i="26"/>
  <c r="AG302" i="26" s="1"/>
  <c r="AG253" i="26"/>
  <c r="AP359" i="26"/>
  <c r="AO359" i="26" s="1"/>
  <c r="AO323" i="26"/>
  <c r="AP257" i="26"/>
  <c r="AO257" i="26" s="1"/>
  <c r="AP217" i="26"/>
  <c r="AO217" i="26" s="1"/>
  <c r="AG461" i="26"/>
  <c r="D501" i="6"/>
  <c r="D452" i="6"/>
  <c r="D472" i="9"/>
  <c r="D473" i="9"/>
  <c r="D449" i="6"/>
  <c r="D440" i="9"/>
  <c r="D496" i="6"/>
  <c r="D459" i="6"/>
  <c r="D427" i="9"/>
  <c r="D420" i="9"/>
  <c r="AG435" i="26"/>
  <c r="AG471" i="26"/>
  <c r="AH96" i="26"/>
  <c r="AG96" i="26" s="1"/>
  <c r="F1487" i="10"/>
  <c r="Y287" i="26"/>
  <c r="F1588" i="10"/>
  <c r="Y388" i="26"/>
  <c r="Y362" i="26"/>
  <c r="F1562" i="10"/>
  <c r="F1466" i="10"/>
  <c r="Y266" i="26"/>
  <c r="AT388" i="26"/>
  <c r="AS388" i="26" s="1"/>
  <c r="AT383" i="26"/>
  <c r="AS383" i="26" s="1"/>
  <c r="AT207" i="26"/>
  <c r="AS207" i="26" s="1"/>
  <c r="AT168" i="26"/>
  <c r="AS168" i="26" s="1"/>
  <c r="Y335" i="26"/>
  <c r="Y290" i="26"/>
  <c r="Y281" i="26"/>
  <c r="F1364" i="10"/>
  <c r="Y164" i="26"/>
  <c r="Y73" i="26"/>
  <c r="F1273" i="10"/>
  <c r="V522" i="26"/>
  <c r="E254" i="10"/>
  <c r="E471" i="26"/>
  <c r="U471" i="26" s="1"/>
  <c r="E470" i="26"/>
  <c r="F1262" i="10"/>
  <c r="Y62" i="26"/>
  <c r="AT13" i="26"/>
  <c r="AS13" i="26" s="1"/>
  <c r="F1323" i="10"/>
  <c r="Y123" i="26"/>
  <c r="F1282" i="10"/>
  <c r="Y82" i="26"/>
  <c r="AK82" i="26" s="1"/>
  <c r="AB471" i="26"/>
  <c r="Z471" i="26"/>
  <c r="AT390" i="26"/>
  <c r="AS390" i="26" s="1"/>
  <c r="AS385" i="26"/>
  <c r="AT382" i="26"/>
  <c r="AS382" i="26" s="1"/>
  <c r="AT345" i="26"/>
  <c r="AS345" i="26" s="1"/>
  <c r="AT325" i="26"/>
  <c r="AS325" i="26" s="1"/>
  <c r="AT322" i="26"/>
  <c r="AS322" i="26" s="1"/>
  <c r="AS219" i="26"/>
  <c r="AT156" i="26"/>
  <c r="AS156" i="26" s="1"/>
  <c r="AT148" i="26"/>
  <c r="AS148" i="26" s="1"/>
  <c r="AT132" i="26"/>
  <c r="AS132" i="26" s="1"/>
  <c r="AT126" i="26"/>
  <c r="AS126" i="26" s="1"/>
  <c r="AT106" i="26"/>
  <c r="AS106" i="26" s="1"/>
  <c r="AT56" i="26"/>
  <c r="AS56" i="26" s="1"/>
  <c r="AT32" i="26"/>
  <c r="AS32" i="26" s="1"/>
  <c r="AT12" i="26"/>
  <c r="AS12" i="26" s="1"/>
  <c r="V462" i="26"/>
  <c r="G513" i="26"/>
  <c r="W513" i="26" s="1"/>
  <c r="F1447" i="10"/>
  <c r="AB461" i="26"/>
  <c r="Z461" i="26"/>
  <c r="AT384" i="26"/>
  <c r="AS384" i="26" s="1"/>
  <c r="AT360" i="26"/>
  <c r="AS360" i="26" s="1"/>
  <c r="AT339" i="26"/>
  <c r="AS339" i="26" s="1"/>
  <c r="AS311" i="26"/>
  <c r="AT302" i="26"/>
  <c r="AS302" i="26" s="1"/>
  <c r="AT263" i="26"/>
  <c r="AS263" i="26" s="1"/>
  <c r="AT253" i="26"/>
  <c r="AS253" i="26" s="1"/>
  <c r="AT236" i="26"/>
  <c r="AS236" i="26" s="1"/>
  <c r="AT212" i="26"/>
  <c r="AS212" i="26" s="1"/>
  <c r="AT143" i="26"/>
  <c r="AS143" i="26" s="1"/>
  <c r="E512" i="26"/>
  <c r="E513" i="26"/>
  <c r="U513" i="26" s="1"/>
  <c r="AS389" i="26"/>
  <c r="AT386" i="26"/>
  <c r="AS386" i="26" s="1"/>
  <c r="AS381" i="26"/>
  <c r="AT301" i="26"/>
  <c r="AS301" i="26" s="1"/>
  <c r="AT273" i="26"/>
  <c r="AS273" i="26" s="1"/>
  <c r="AT268" i="26"/>
  <c r="AS268" i="26" s="1"/>
  <c r="AT158" i="26"/>
  <c r="AS158" i="26" s="1"/>
  <c r="AT152" i="26"/>
  <c r="AS152" i="26" s="1"/>
  <c r="AT136" i="26"/>
  <c r="AS136" i="26" s="1"/>
  <c r="AT131" i="26"/>
  <c r="AS131" i="26" s="1"/>
  <c r="AT105" i="26"/>
  <c r="AS105" i="26" s="1"/>
  <c r="Z435" i="26"/>
  <c r="AB435" i="26"/>
  <c r="G522" i="26"/>
  <c r="W522" i="26" s="1"/>
  <c r="F1454" i="10"/>
  <c r="AS318" i="26"/>
  <c r="AS257" i="26"/>
  <c r="I147" i="30"/>
  <c r="J147" i="30" s="1"/>
  <c r="K147" i="30" s="1"/>
  <c r="E147" i="30" s="1"/>
  <c r="I131" i="30"/>
  <c r="I115" i="30"/>
  <c r="J115" i="30" s="1"/>
  <c r="K115" i="30" s="1"/>
  <c r="E115" i="30" s="1"/>
  <c r="F1327" i="10"/>
  <c r="Z458" i="26"/>
  <c r="AB458" i="26"/>
  <c r="I252" i="30"/>
  <c r="I219" i="30"/>
  <c r="I211" i="30"/>
  <c r="I203" i="30"/>
  <c r="I195" i="30"/>
  <c r="I187" i="30"/>
  <c r="I179" i="30"/>
  <c r="I171" i="30"/>
  <c r="I163" i="30"/>
  <c r="I155" i="30"/>
  <c r="J131" i="30"/>
  <c r="K131" i="30" s="1"/>
  <c r="E131" i="30" s="1"/>
  <c r="J123" i="30"/>
  <c r="K123" i="30" s="1"/>
  <c r="E123" i="30" s="1"/>
  <c r="I91" i="30"/>
  <c r="I83" i="30"/>
  <c r="I75" i="30"/>
  <c r="I67" i="30"/>
  <c r="I35" i="30"/>
  <c r="J353" i="30"/>
  <c r="K353" i="30" s="1"/>
  <c r="E353" i="30" s="1"/>
  <c r="I250" i="30"/>
  <c r="J250" i="30" s="1"/>
  <c r="K250" i="30" s="1"/>
  <c r="E250" i="30" s="1"/>
  <c r="I248" i="30"/>
  <c r="J248" i="30" s="1"/>
  <c r="K248" i="30" s="1"/>
  <c r="E248" i="30" s="1"/>
  <c r="F277" i="10" l="1"/>
  <c r="F189" i="10"/>
  <c r="N189" i="10" s="1"/>
  <c r="F299" i="10"/>
  <c r="F158" i="10"/>
  <c r="W264" i="27"/>
  <c r="E264" i="27" s="1"/>
  <c r="G20" i="10"/>
  <c r="W51" i="27"/>
  <c r="E51" i="27" s="1"/>
  <c r="W149" i="27"/>
  <c r="E149" i="27" s="1"/>
  <c r="F212" i="10"/>
  <c r="AG612" i="10" s="1"/>
  <c r="W218" i="27"/>
  <c r="E218" i="27" s="1"/>
  <c r="AH176" i="26"/>
  <c r="F367" i="10"/>
  <c r="W253" i="27"/>
  <c r="E253" i="27" s="1"/>
  <c r="W353" i="27"/>
  <c r="E353" i="27" s="1"/>
  <c r="F308" i="10"/>
  <c r="AE708" i="10" s="1"/>
  <c r="W207" i="27"/>
  <c r="E207" i="27" s="1"/>
  <c r="F323" i="10"/>
  <c r="W257" i="27"/>
  <c r="E257" i="27" s="1"/>
  <c r="F33" i="10"/>
  <c r="F332" i="10"/>
  <c r="W312" i="27"/>
  <c r="E312" i="27" s="1"/>
  <c r="W84" i="27"/>
  <c r="E84" i="27" s="1"/>
  <c r="F137" i="10"/>
  <c r="AE537" i="10" s="1"/>
  <c r="BD236" i="26"/>
  <c r="F219" i="10"/>
  <c r="R219" i="10" s="1"/>
  <c r="F325" i="10"/>
  <c r="L325" i="10" s="1"/>
  <c r="W278" i="27"/>
  <c r="E278" i="27" s="1"/>
  <c r="F56" i="10"/>
  <c r="AH56" i="10" s="1"/>
  <c r="W144" i="27"/>
  <c r="E144" i="27" s="1"/>
  <c r="AR1456" i="10"/>
  <c r="AQ1456" i="10"/>
  <c r="AE1524" i="10"/>
  <c r="Q1456" i="10"/>
  <c r="AS1456" i="10"/>
  <c r="AB108" i="26"/>
  <c r="AD108" i="26" s="1"/>
  <c r="AC1456" i="10"/>
  <c r="AT1524" i="10"/>
  <c r="AG12" i="7"/>
  <c r="AL1212" i="10" s="1"/>
  <c r="AD144" i="9"/>
  <c r="AF144" i="9" s="1"/>
  <c r="AD217" i="9"/>
  <c r="AF217" i="9" s="1"/>
  <c r="AD289" i="6"/>
  <c r="AF289" i="6" s="1"/>
  <c r="AD12" i="9"/>
  <c r="AF12" i="9" s="1"/>
  <c r="AA367" i="6"/>
  <c r="AE367" i="6" s="1"/>
  <c r="AD264" i="6"/>
  <c r="AF264" i="6" s="1"/>
  <c r="Z148" i="6"/>
  <c r="AG148" i="6" s="1"/>
  <c r="AA148" i="6"/>
  <c r="AE148" i="6" s="1"/>
  <c r="AA96" i="9"/>
  <c r="AE96" i="9" s="1"/>
  <c r="Z96" i="9"/>
  <c r="AG96" i="9" s="1"/>
  <c r="Z76" i="9"/>
  <c r="AG76" i="9" s="1"/>
  <c r="AA76" i="9"/>
  <c r="AE76" i="9" s="1"/>
  <c r="Z353" i="9"/>
  <c r="AG353" i="9" s="1"/>
  <c r="AA353" i="9"/>
  <c r="AE353" i="9" s="1"/>
  <c r="AA32" i="9"/>
  <c r="AE32" i="9" s="1"/>
  <c r="Z32" i="9"/>
  <c r="AG32" i="9" s="1"/>
  <c r="Z19" i="9"/>
  <c r="AG19" i="9" s="1"/>
  <c r="AA19" i="9"/>
  <c r="AE19" i="9" s="1"/>
  <c r="AC206" i="9"/>
  <c r="AH206" i="9" s="1"/>
  <c r="AD206" i="9"/>
  <c r="AF206" i="9" s="1"/>
  <c r="Z366" i="6"/>
  <c r="AG366" i="6" s="1"/>
  <c r="AA366" i="6"/>
  <c r="AE366" i="6" s="1"/>
  <c r="AD195" i="9"/>
  <c r="AF195" i="9" s="1"/>
  <c r="AA141" i="9"/>
  <c r="AE141" i="9" s="1"/>
  <c r="Z141" i="9"/>
  <c r="AG141" i="9" s="1"/>
  <c r="AA235" i="9"/>
  <c r="AE235" i="9" s="1"/>
  <c r="Z235" i="9"/>
  <c r="AG235" i="9" s="1"/>
  <c r="AC379" i="26"/>
  <c r="AL379" i="26"/>
  <c r="AD84" i="9"/>
  <c r="AF84" i="9" s="1"/>
  <c r="Z51" i="9"/>
  <c r="AG51" i="9" s="1"/>
  <c r="AA51" i="9"/>
  <c r="AE51" i="9" s="1"/>
  <c r="AC145" i="9"/>
  <c r="AH145" i="9" s="1"/>
  <c r="AD145" i="9"/>
  <c r="AF145" i="9" s="1"/>
  <c r="AD131" i="9"/>
  <c r="AF131" i="9" s="1"/>
  <c r="AD318" i="9"/>
  <c r="AF318" i="9" s="1"/>
  <c r="Z207" i="9"/>
  <c r="AG207" i="9" s="1"/>
  <c r="AA207" i="9"/>
  <c r="AE207" i="9" s="1"/>
  <c r="AC136" i="6"/>
  <c r="AH136" i="6" s="1"/>
  <c r="AD136" i="6"/>
  <c r="AF136" i="6" s="1"/>
  <c r="AC143" i="6"/>
  <c r="AH143" i="6" s="1"/>
  <c r="AD143" i="6"/>
  <c r="AF143" i="6" s="1"/>
  <c r="AA119" i="9"/>
  <c r="AE119" i="9" s="1"/>
  <c r="Z119" i="9"/>
  <c r="AG119" i="9" s="1"/>
  <c r="AA373" i="6"/>
  <c r="AE373" i="6" s="1"/>
  <c r="AA307" i="9"/>
  <c r="AE307" i="9" s="1"/>
  <c r="Z307" i="9"/>
  <c r="AG307" i="9" s="1"/>
  <c r="Z360" i="6"/>
  <c r="AG360" i="6" s="1"/>
  <c r="AA360" i="6"/>
  <c r="AE360" i="6" s="1"/>
  <c r="AC156" i="6"/>
  <c r="AH156" i="6" s="1"/>
  <c r="AD156" i="6"/>
  <c r="AF156" i="6" s="1"/>
  <c r="Z317" i="9"/>
  <c r="AG317" i="9" s="1"/>
  <c r="AA317" i="9"/>
  <c r="AE317" i="9" s="1"/>
  <c r="AC253" i="9"/>
  <c r="AH253" i="9" s="1"/>
  <c r="AD253" i="9"/>
  <c r="AF253" i="9" s="1"/>
  <c r="AA196" i="9"/>
  <c r="AE196" i="9" s="1"/>
  <c r="Z196" i="9"/>
  <c r="AG196" i="9" s="1"/>
  <c r="AC360" i="6"/>
  <c r="AH360" i="6" s="1"/>
  <c r="AD360" i="6"/>
  <c r="AF360" i="6" s="1"/>
  <c r="AA158" i="9"/>
  <c r="AE158" i="9" s="1"/>
  <c r="Z158" i="9"/>
  <c r="AG158" i="9" s="1"/>
  <c r="AD325" i="9"/>
  <c r="AF325" i="9" s="1"/>
  <c r="AA46" i="9"/>
  <c r="AE46" i="9" s="1"/>
  <c r="Z46" i="9"/>
  <c r="AG46" i="9" s="1"/>
  <c r="Z257" i="9"/>
  <c r="AG257" i="9" s="1"/>
  <c r="AA257" i="9"/>
  <c r="AE257" i="9" s="1"/>
  <c r="AA217" i="9"/>
  <c r="AE217" i="9" s="1"/>
  <c r="Z217" i="9"/>
  <c r="AG217" i="9" s="1"/>
  <c r="Z65" i="6"/>
  <c r="AG65" i="6" s="1"/>
  <c r="AA65" i="6"/>
  <c r="AE65" i="6" s="1"/>
  <c r="Z39" i="9"/>
  <c r="AG39" i="9" s="1"/>
  <c r="AA39" i="9"/>
  <c r="AE39" i="9" s="1"/>
  <c r="AA156" i="9"/>
  <c r="AE156" i="9" s="1"/>
  <c r="Z156" i="9"/>
  <c r="AG156" i="9" s="1"/>
  <c r="AD158" i="6"/>
  <c r="AF158" i="6" s="1"/>
  <c r="AD207" i="6"/>
  <c r="AF207" i="6" s="1"/>
  <c r="AD65" i="9"/>
  <c r="AF65" i="9" s="1"/>
  <c r="AD390" i="9"/>
  <c r="AF390" i="9" s="1"/>
  <c r="AA56" i="9"/>
  <c r="AE56" i="9" s="1"/>
  <c r="Z56" i="9"/>
  <c r="AG56" i="9" s="1"/>
  <c r="Z315" i="9"/>
  <c r="AG315" i="9" s="1"/>
  <c r="AA315" i="9"/>
  <c r="AE315" i="9" s="1"/>
  <c r="Z153" i="9"/>
  <c r="AG153" i="9" s="1"/>
  <c r="AA153" i="9"/>
  <c r="AE153" i="9" s="1"/>
  <c r="AK108" i="26"/>
  <c r="AU108" i="26" s="1"/>
  <c r="S108" i="26" s="1"/>
  <c r="H108" i="9" s="1"/>
  <c r="AC108" i="9" s="1"/>
  <c r="AF278" i="6"/>
  <c r="Z84" i="6"/>
  <c r="AG84" i="6" s="1"/>
  <c r="AA84" i="6"/>
  <c r="AE84" i="6" s="1"/>
  <c r="Z106" i="9"/>
  <c r="AG106" i="9" s="1"/>
  <c r="AA106" i="9"/>
  <c r="AE106" i="9" s="1"/>
  <c r="Z188" i="6"/>
  <c r="AG188" i="6" s="1"/>
  <c r="AA188" i="6"/>
  <c r="AE188" i="6" s="1"/>
  <c r="AD33" i="9"/>
  <c r="AF33" i="9" s="1"/>
  <c r="AF212" i="9"/>
  <c r="AF188" i="9"/>
  <c r="BE177" i="26"/>
  <c r="I177" i="6"/>
  <c r="I273" i="6"/>
  <c r="Y297" i="9"/>
  <c r="AB297" i="9" s="1"/>
  <c r="AF55" i="6"/>
  <c r="AF288" i="6"/>
  <c r="AF277" i="6"/>
  <c r="AF152" i="6"/>
  <c r="Y72" i="6"/>
  <c r="AB72" i="6" s="1"/>
  <c r="Y147" i="6"/>
  <c r="AB147" i="6" s="1"/>
  <c r="Y375" i="6"/>
  <c r="AB375" i="6" s="1"/>
  <c r="Y345" i="6"/>
  <c r="AB345" i="6" s="1"/>
  <c r="Y102" i="6"/>
  <c r="AB102" i="6" s="1"/>
  <c r="Y192" i="6"/>
  <c r="AB192" i="6" s="1"/>
  <c r="Y278" i="6"/>
  <c r="AB278" i="6" s="1"/>
  <c r="Y367" i="6"/>
  <c r="AB367" i="6" s="1"/>
  <c r="Y286" i="6"/>
  <c r="AB286" i="6" s="1"/>
  <c r="Y357" i="6"/>
  <c r="AB357" i="6" s="1"/>
  <c r="Y46" i="6"/>
  <c r="AB46" i="6" s="1"/>
  <c r="Y373" i="6"/>
  <c r="AB373" i="6" s="1"/>
  <c r="Y198" i="6"/>
  <c r="AB198" i="6" s="1"/>
  <c r="Y134" i="6"/>
  <c r="AB134" i="6" s="1"/>
  <c r="Y25" i="6"/>
  <c r="AB25" i="6" s="1"/>
  <c r="Y179" i="6"/>
  <c r="AB179" i="6" s="1"/>
  <c r="Y22" i="6"/>
  <c r="AB22" i="6" s="1"/>
  <c r="Y333" i="6"/>
  <c r="AB333" i="6" s="1"/>
  <c r="Y30" i="6"/>
  <c r="AB30" i="6" s="1"/>
  <c r="Y361" i="6"/>
  <c r="AB361" i="6" s="1"/>
  <c r="Y125" i="6"/>
  <c r="AB125" i="6" s="1"/>
  <c r="Y200" i="6"/>
  <c r="AB200" i="6" s="1"/>
  <c r="Y378" i="6"/>
  <c r="AB378" i="6" s="1"/>
  <c r="Y57" i="6"/>
  <c r="AB57" i="6" s="1"/>
  <c r="Y121" i="6"/>
  <c r="AB121" i="6" s="1"/>
  <c r="Y259" i="6"/>
  <c r="AB259" i="6" s="1"/>
  <c r="Y137" i="6"/>
  <c r="AB137" i="6" s="1"/>
  <c r="Y41" i="6"/>
  <c r="AB41" i="6" s="1"/>
  <c r="Y139" i="6"/>
  <c r="AB139" i="6" s="1"/>
  <c r="Y159" i="6"/>
  <c r="AB159" i="6" s="1"/>
  <c r="Y135" i="6"/>
  <c r="AB135" i="6" s="1"/>
  <c r="Y142" i="6"/>
  <c r="AB142" i="6" s="1"/>
  <c r="Y309" i="6"/>
  <c r="AB309" i="6" s="1"/>
  <c r="Y372" i="6"/>
  <c r="AB372" i="6" s="1"/>
  <c r="Y169" i="6"/>
  <c r="AB169" i="6" s="1"/>
  <c r="Y185" i="6"/>
  <c r="AB185" i="6" s="1"/>
  <c r="Y291" i="6"/>
  <c r="AB291" i="6" s="1"/>
  <c r="Y87" i="6"/>
  <c r="AB87" i="6" s="1"/>
  <c r="Y136" i="6"/>
  <c r="AB136" i="6" s="1"/>
  <c r="Y43" i="6"/>
  <c r="AB43" i="6" s="1"/>
  <c r="Y120" i="6"/>
  <c r="AB120" i="6" s="1"/>
  <c r="Y384" i="6"/>
  <c r="AB384" i="6" s="1"/>
  <c r="Y112" i="6"/>
  <c r="AB112" i="6" s="1"/>
  <c r="Y78" i="6"/>
  <c r="AB78" i="6" s="1"/>
  <c r="Y290" i="6"/>
  <c r="AB290" i="6" s="1"/>
  <c r="Y167" i="6"/>
  <c r="AB167" i="6" s="1"/>
  <c r="Y44" i="6"/>
  <c r="AB44" i="6" s="1"/>
  <c r="Y58" i="6"/>
  <c r="AB58" i="6" s="1"/>
  <c r="Y146" i="6"/>
  <c r="AB146" i="6" s="1"/>
  <c r="Y275" i="6"/>
  <c r="AB275" i="6" s="1"/>
  <c r="Y323" i="6"/>
  <c r="AB323" i="6" s="1"/>
  <c r="Y82" i="6"/>
  <c r="AB82" i="6" s="1"/>
  <c r="Y191" i="6"/>
  <c r="AB191" i="6" s="1"/>
  <c r="Y212" i="6"/>
  <c r="AB212" i="6" s="1"/>
  <c r="Y201" i="6"/>
  <c r="AB201" i="6" s="1"/>
  <c r="Y265" i="6"/>
  <c r="AB265" i="6" s="1"/>
  <c r="Y349" i="6"/>
  <c r="AB349" i="6" s="1"/>
  <c r="Y376" i="6"/>
  <c r="AB376" i="6" s="1"/>
  <c r="Y324" i="6"/>
  <c r="AB324" i="6" s="1"/>
  <c r="Y197" i="6"/>
  <c r="AB197" i="6" s="1"/>
  <c r="Y377" i="6"/>
  <c r="AB377" i="6" s="1"/>
  <c r="Y133" i="6"/>
  <c r="AB133" i="6" s="1"/>
  <c r="Y353" i="6"/>
  <c r="AB353" i="6" s="1"/>
  <c r="Y439" i="9"/>
  <c r="AB439" i="9" s="1"/>
  <c r="AL155" i="26"/>
  <c r="AC163" i="26"/>
  <c r="AL163" i="26"/>
  <c r="AK163" i="26"/>
  <c r="H137" i="6"/>
  <c r="I39" i="6"/>
  <c r="AQ537" i="26"/>
  <c r="AR537" i="26" s="1"/>
  <c r="AQ524" i="26"/>
  <c r="AR524" i="26" s="1"/>
  <c r="AQ502" i="26"/>
  <c r="AR502" i="26" s="1"/>
  <c r="AQ454" i="26"/>
  <c r="AR454" i="26" s="1"/>
  <c r="AQ449" i="26"/>
  <c r="AR449" i="26" s="1"/>
  <c r="AQ440" i="26"/>
  <c r="AR440" i="26" s="1"/>
  <c r="AQ444" i="26"/>
  <c r="AR444" i="26" s="1"/>
  <c r="AQ443" i="26"/>
  <c r="AR443" i="26" s="1"/>
  <c r="AQ445" i="26"/>
  <c r="AR445" i="26" s="1"/>
  <c r="AQ439" i="26"/>
  <c r="AR439" i="26" s="1"/>
  <c r="AU82" i="26"/>
  <c r="S82" i="26" s="1"/>
  <c r="H82" i="9" s="1"/>
  <c r="AV82" i="26"/>
  <c r="AQ437" i="26"/>
  <c r="AR437" i="26" s="1"/>
  <c r="AQ434" i="26"/>
  <c r="AR434" i="26" s="1"/>
  <c r="AQ426" i="26"/>
  <c r="AR426" i="26" s="1"/>
  <c r="AQ430" i="26"/>
  <c r="AR430" i="26" s="1"/>
  <c r="AQ421" i="26"/>
  <c r="AR421" i="26" s="1"/>
  <c r="AQ417" i="26"/>
  <c r="AR417" i="26" s="1"/>
  <c r="AW461" i="26"/>
  <c r="AW481" i="26"/>
  <c r="AX501" i="26"/>
  <c r="I55" i="9"/>
  <c r="H55" i="9"/>
  <c r="H218" i="9"/>
  <c r="H39" i="6"/>
  <c r="I218" i="6"/>
  <c r="H39" i="9"/>
  <c r="AW511" i="26"/>
  <c r="AW428" i="26"/>
  <c r="H137" i="9"/>
  <c r="AX507" i="26"/>
  <c r="AW488" i="26"/>
  <c r="AX538" i="26"/>
  <c r="AW471" i="26"/>
  <c r="AX528" i="26"/>
  <c r="AW433" i="26"/>
  <c r="AQ530" i="26"/>
  <c r="AR530" i="26" s="1"/>
  <c r="AW525" i="26"/>
  <c r="AX413" i="26"/>
  <c r="AX508" i="26"/>
  <c r="AX462" i="26"/>
  <c r="AW429" i="26"/>
  <c r="H159" i="6"/>
  <c r="AX487" i="26"/>
  <c r="AW514" i="26"/>
  <c r="AX531" i="26"/>
  <c r="AW523" i="26"/>
  <c r="AX459" i="26"/>
  <c r="H159" i="9"/>
  <c r="AX424" i="26"/>
  <c r="AX451" i="26"/>
  <c r="AX500" i="26"/>
  <c r="AX499" i="26"/>
  <c r="AC55" i="6"/>
  <c r="AH55" i="6" s="1"/>
  <c r="R253" i="7"/>
  <c r="W1453" i="10" s="1"/>
  <c r="AM12" i="7"/>
  <c r="AR1212" i="10" s="1"/>
  <c r="AD12" i="7"/>
  <c r="AI1212" i="10" s="1"/>
  <c r="AW435" i="26"/>
  <c r="AW452" i="26"/>
  <c r="AW503" i="26"/>
  <c r="AQ412" i="26"/>
  <c r="AR412" i="26" s="1"/>
  <c r="M469" i="6"/>
  <c r="N412" i="6"/>
  <c r="Y1400" i="10"/>
  <c r="U423" i="26"/>
  <c r="E421" i="6"/>
  <c r="E419" i="6"/>
  <c r="E420" i="6"/>
  <c r="E420" i="9"/>
  <c r="E422" i="6"/>
  <c r="W12" i="7"/>
  <c r="AB1212" i="10" s="1"/>
  <c r="AG1524" i="10"/>
  <c r="AO12" i="7"/>
  <c r="AT1212" i="10" s="1"/>
  <c r="AB97" i="7"/>
  <c r="AG1297" i="10" s="1"/>
  <c r="I311" i="6"/>
  <c r="L423" i="6"/>
  <c r="AH524" i="26"/>
  <c r="AI524" i="26" s="1"/>
  <c r="AK524" i="26" s="1"/>
  <c r="M423" i="6"/>
  <c r="AJ423" i="26"/>
  <c r="AI423" i="26" s="1"/>
  <c r="AK423" i="26" s="1"/>
  <c r="H311" i="6"/>
  <c r="AH532" i="26"/>
  <c r="AI532" i="26" s="1"/>
  <c r="AK532" i="26" s="1"/>
  <c r="AH237" i="26"/>
  <c r="AG237" i="26" s="1"/>
  <c r="AC1510" i="10"/>
  <c r="K253" i="7"/>
  <c r="P1453" i="10" s="1"/>
  <c r="L445" i="9"/>
  <c r="Q12" i="7"/>
  <c r="V1212" i="10" s="1"/>
  <c r="M1524" i="10"/>
  <c r="AO1456" i="10"/>
  <c r="V1510" i="10"/>
  <c r="O1524" i="10"/>
  <c r="AP243" i="26"/>
  <c r="AO243" i="26" s="1"/>
  <c r="AH244" i="26"/>
  <c r="AG244" i="26" s="1"/>
  <c r="Q97" i="7"/>
  <c r="V1297" i="10" s="1"/>
  <c r="AH214" i="26"/>
  <c r="AG214" i="26" s="1"/>
  <c r="AP214" i="26"/>
  <c r="AO214" i="26" s="1"/>
  <c r="AK323" i="7"/>
  <c r="AP1523" i="10" s="1"/>
  <c r="AH225" i="26"/>
  <c r="AG225" i="26" s="1"/>
  <c r="P97" i="7"/>
  <c r="U1297" i="10" s="1"/>
  <c r="G12" i="7"/>
  <c r="L1212" i="10" s="1"/>
  <c r="AH246" i="26"/>
  <c r="AG246" i="26" s="1"/>
  <c r="AP246" i="26"/>
  <c r="AO246" i="26" s="1"/>
  <c r="R1524" i="10"/>
  <c r="AH416" i="26"/>
  <c r="AI416" i="26" s="1"/>
  <c r="AK416" i="26" s="1"/>
  <c r="AH220" i="26"/>
  <c r="AG220" i="26" s="1"/>
  <c r="AH230" i="26"/>
  <c r="AG230" i="26" s="1"/>
  <c r="AP230" i="26"/>
  <c r="AO230" i="26" s="1"/>
  <c r="AH228" i="26"/>
  <c r="AG228" i="26" s="1"/>
  <c r="AP228" i="26"/>
  <c r="AO228" i="26" s="1"/>
  <c r="AH223" i="26"/>
  <c r="AG223" i="26" s="1"/>
  <c r="AP223" i="26"/>
  <c r="AO223" i="26" s="1"/>
  <c r="F323" i="7"/>
  <c r="AJ1392" i="10"/>
  <c r="M445" i="9"/>
  <c r="AM1524" i="10"/>
  <c r="T1456" i="10"/>
  <c r="M1456" i="10"/>
  <c r="AH231" i="26"/>
  <c r="AG231" i="26" s="1"/>
  <c r="AH215" i="26"/>
  <c r="AG215" i="26" s="1"/>
  <c r="AP215" i="26"/>
  <c r="AO215" i="26" s="1"/>
  <c r="AH227" i="26"/>
  <c r="AG227" i="26" s="1"/>
  <c r="AH226" i="26"/>
  <c r="AG226" i="26" s="1"/>
  <c r="AP226" i="26"/>
  <c r="AO226" i="26" s="1"/>
  <c r="AH238" i="26"/>
  <c r="AG238" i="26" s="1"/>
  <c r="AP238" i="26"/>
  <c r="AO238" i="26" s="1"/>
  <c r="AH234" i="26"/>
  <c r="AG234" i="26" s="1"/>
  <c r="AP216" i="26"/>
  <c r="AO216" i="26" s="1"/>
  <c r="U1510" i="10"/>
  <c r="AM1510" i="10"/>
  <c r="AB1510" i="10"/>
  <c r="AJ1510" i="10"/>
  <c r="AS1270" i="10"/>
  <c r="K1510" i="10"/>
  <c r="Y1510" i="10"/>
  <c r="W1510" i="10"/>
  <c r="AI1459" i="10"/>
  <c r="AQ1510" i="10"/>
  <c r="S1458" i="10"/>
  <c r="V1446" i="10"/>
  <c r="AE1400" i="10"/>
  <c r="O1374" i="10"/>
  <c r="AA1392" i="10"/>
  <c r="T1510" i="10"/>
  <c r="N1510" i="10"/>
  <c r="AA1510" i="10"/>
  <c r="S1510" i="10"/>
  <c r="K1392" i="10"/>
  <c r="AC1392" i="10"/>
  <c r="N1236" i="10"/>
  <c r="X1510" i="10"/>
  <c r="Q1510" i="10"/>
  <c r="P1510" i="10"/>
  <c r="AH1510" i="10"/>
  <c r="AG1510" i="10"/>
  <c r="L1510" i="10"/>
  <c r="AR1510" i="10"/>
  <c r="AP1510" i="10"/>
  <c r="AE1510" i="10"/>
  <c r="AT1510" i="10"/>
  <c r="AL1510" i="10"/>
  <c r="AD1510" i="10"/>
  <c r="AI1510" i="10"/>
  <c r="G1510" i="10"/>
  <c r="J1510" i="10"/>
  <c r="P1392" i="10"/>
  <c r="AP1236" i="10"/>
  <c r="H76" i="9"/>
  <c r="O1510" i="10"/>
  <c r="R1510" i="10"/>
  <c r="AF1510" i="10"/>
  <c r="AS1510" i="10"/>
  <c r="M1510" i="10"/>
  <c r="Z1510" i="10"/>
  <c r="AN1510" i="10"/>
  <c r="AK1510" i="10"/>
  <c r="S1214" i="10"/>
  <c r="J1214" i="10"/>
  <c r="AL1234" i="10"/>
  <c r="H67" i="6"/>
  <c r="W1459" i="10"/>
  <c r="AG89" i="26"/>
  <c r="AJ1236" i="10"/>
  <c r="AI1236" i="10"/>
  <c r="AK1393" i="10"/>
  <c r="S1236" i="10"/>
  <c r="P1236" i="10"/>
  <c r="R1374" i="10"/>
  <c r="K1393" i="10"/>
  <c r="V1236" i="10"/>
  <c r="J1236" i="10"/>
  <c r="T1292" i="10"/>
  <c r="AG258" i="26"/>
  <c r="AA1459" i="10"/>
  <c r="AC1400" i="10"/>
  <c r="G1236" i="10"/>
  <c r="AE1236" i="10"/>
  <c r="K1236" i="10"/>
  <c r="Y1236" i="10"/>
  <c r="Q1236" i="10"/>
  <c r="AG354" i="26"/>
  <c r="S1459" i="10"/>
  <c r="AK1400" i="10"/>
  <c r="AN1459" i="10"/>
  <c r="AS1392" i="10"/>
  <c r="AK1392" i="10"/>
  <c r="AG260" i="26"/>
  <c r="M1459" i="10"/>
  <c r="Z1331" i="10"/>
  <c r="W1400" i="10"/>
  <c r="AM1236" i="10"/>
  <c r="AD1236" i="10"/>
  <c r="O1236" i="10"/>
  <c r="U1236" i="10"/>
  <c r="AC285" i="26"/>
  <c r="W1259" i="10"/>
  <c r="X1443" i="10"/>
  <c r="I269" i="6"/>
  <c r="AG120" i="26"/>
  <c r="N1392" i="10"/>
  <c r="U1458" i="10"/>
  <c r="AQ1392" i="10"/>
  <c r="O1392" i="10"/>
  <c r="Y1392" i="10"/>
  <c r="AB338" i="26"/>
  <c r="L1236" i="10"/>
  <c r="AN1236" i="10"/>
  <c r="AB1236" i="10"/>
  <c r="AH1236" i="10"/>
  <c r="T1236" i="10"/>
  <c r="AC1236" i="10"/>
  <c r="AO1236" i="10"/>
  <c r="I76" i="9"/>
  <c r="AT1236" i="10"/>
  <c r="AR1330" i="10"/>
  <c r="AX283" i="26"/>
  <c r="X1236" i="10"/>
  <c r="AL1236" i="10"/>
  <c r="AH1259" i="10"/>
  <c r="AC338" i="26"/>
  <c r="Z1392" i="10"/>
  <c r="S1392" i="10"/>
  <c r="AC1443" i="10"/>
  <c r="AT1259" i="10"/>
  <c r="AH1443" i="10"/>
  <c r="Z1236" i="10"/>
  <c r="AS1236" i="10"/>
  <c r="AG1236" i="10"/>
  <c r="R1236" i="10"/>
  <c r="AA1236" i="10"/>
  <c r="W1236" i="10"/>
  <c r="AQ1236" i="10"/>
  <c r="M1236" i="10"/>
  <c r="AL340" i="26"/>
  <c r="K1330" i="10"/>
  <c r="AM1330" i="10"/>
  <c r="AN1458" i="10"/>
  <c r="AR1236" i="10"/>
  <c r="AK1236" i="10"/>
  <c r="AG292" i="26"/>
  <c r="AJ1455" i="10"/>
  <c r="J1381" i="10"/>
  <c r="AO1459" i="10"/>
  <c r="AQ1446" i="10"/>
  <c r="K1482" i="10"/>
  <c r="G1214" i="10"/>
  <c r="J1270" i="10"/>
  <c r="L1400" i="10"/>
  <c r="AQ1400" i="10"/>
  <c r="AI1400" i="10"/>
  <c r="AI1482" i="10"/>
  <c r="AL1214" i="10"/>
  <c r="P1308" i="10"/>
  <c r="O1446" i="10"/>
  <c r="AX295" i="26"/>
  <c r="AM1214" i="10"/>
  <c r="P1459" i="10"/>
  <c r="AL1482" i="10"/>
  <c r="Q1459" i="10"/>
  <c r="AT1400" i="10"/>
  <c r="AB1400" i="10"/>
  <c r="AQ1308" i="10"/>
  <c r="Q1446" i="10"/>
  <c r="AG343" i="26"/>
  <c r="M506" i="6"/>
  <c r="U1214" i="10"/>
  <c r="U1596" i="10" s="1"/>
  <c r="AQ1214" i="10"/>
  <c r="AG330" i="26"/>
  <c r="AR1214" i="10"/>
  <c r="J1482" i="10"/>
  <c r="F207" i="10"/>
  <c r="AO607" i="10" s="1"/>
  <c r="AC486" i="26"/>
  <c r="AP1214" i="10"/>
  <c r="AO1214" i="10"/>
  <c r="AK1270" i="10"/>
  <c r="AN1214" i="10"/>
  <c r="N1459" i="10"/>
  <c r="AX287" i="26"/>
  <c r="AB274" i="26"/>
  <c r="AG350" i="26"/>
  <c r="AC1214" i="10"/>
  <c r="Z1459" i="10"/>
  <c r="F39" i="6"/>
  <c r="AG22" i="26"/>
  <c r="H236" i="6"/>
  <c r="H236" i="9"/>
  <c r="H153" i="6"/>
  <c r="I153" i="6"/>
  <c r="H97" i="6"/>
  <c r="AD97" i="6" s="1"/>
  <c r="I97" i="9"/>
  <c r="H97" i="9"/>
  <c r="AH1264" i="10"/>
  <c r="Q1458" i="10"/>
  <c r="AP224" i="26"/>
  <c r="AO224" i="26" s="1"/>
  <c r="AH239" i="26"/>
  <c r="AG239" i="26" s="1"/>
  <c r="AP239" i="26"/>
  <c r="AO239" i="26" s="1"/>
  <c r="H269" i="9"/>
  <c r="AD269" i="9" s="1"/>
  <c r="AK1458" i="10"/>
  <c r="AL117" i="26"/>
  <c r="AH375" i="26"/>
  <c r="AG375" i="26" s="1"/>
  <c r="T1482" i="10"/>
  <c r="AQ1458" i="10"/>
  <c r="H269" i="6"/>
  <c r="AP1482" i="10"/>
  <c r="AH255" i="26"/>
  <c r="AG255" i="26" s="1"/>
  <c r="AP255" i="26"/>
  <c r="AO255" i="26" s="1"/>
  <c r="AD1458" i="10"/>
  <c r="AC116" i="26"/>
  <c r="G236" i="10"/>
  <c r="AC296" i="26"/>
  <c r="AC274" i="26"/>
  <c r="AL1270" i="10"/>
  <c r="AJ1270" i="10"/>
  <c r="AB19" i="26"/>
  <c r="AD19" i="26" s="1"/>
  <c r="AH304" i="26"/>
  <c r="AG304" i="26" s="1"/>
  <c r="AX304" i="26"/>
  <c r="AH1458" i="10"/>
  <c r="AJ1317" i="10"/>
  <c r="AB243" i="26"/>
  <c r="AD243" i="26" s="1"/>
  <c r="AH376" i="26"/>
  <c r="AG376" i="26" s="1"/>
  <c r="AP376" i="26"/>
  <c r="AO376" i="26" s="1"/>
  <c r="X1458" i="10"/>
  <c r="AG295" i="26"/>
  <c r="AP251" i="26"/>
  <c r="AO251" i="26" s="1"/>
  <c r="N428" i="9"/>
  <c r="F301" i="9"/>
  <c r="Y301" i="27"/>
  <c r="G301" i="27" s="1"/>
  <c r="F301" i="6"/>
  <c r="AH213" i="26"/>
  <c r="AG213" i="26" s="1"/>
  <c r="AB443" i="9"/>
  <c r="L474" i="6"/>
  <c r="M505" i="6"/>
  <c r="M418" i="6"/>
  <c r="L442" i="6"/>
  <c r="L469" i="9"/>
  <c r="L444" i="6"/>
  <c r="AH462" i="26"/>
  <c r="AI462" i="26" s="1"/>
  <c r="AK462" i="26" s="1"/>
  <c r="M493" i="9"/>
  <c r="L443" i="9"/>
  <c r="L418" i="6"/>
  <c r="M442" i="6"/>
  <c r="M487" i="9"/>
  <c r="M443" i="9"/>
  <c r="L493" i="9"/>
  <c r="L505" i="6"/>
  <c r="L448" i="9"/>
  <c r="Z454" i="26"/>
  <c r="AD454" i="26" s="1"/>
  <c r="L446" i="9"/>
  <c r="N472" i="6"/>
  <c r="L487" i="6"/>
  <c r="L465" i="6"/>
  <c r="F196" i="6"/>
  <c r="M469" i="9"/>
  <c r="F367" i="9"/>
  <c r="Y367" i="27"/>
  <c r="G367" i="27" s="1"/>
  <c r="H367" i="27"/>
  <c r="N474" i="6"/>
  <c r="F346" i="6"/>
  <c r="N502" i="6"/>
  <c r="Z367" i="6"/>
  <c r="AG367" i="6" s="1"/>
  <c r="M415" i="9"/>
  <c r="M479" i="9"/>
  <c r="N433" i="9"/>
  <c r="Y433" i="9" s="1"/>
  <c r="M419" i="9"/>
  <c r="L412" i="6"/>
  <c r="M447" i="6"/>
  <c r="M444" i="6"/>
  <c r="N469" i="9"/>
  <c r="L502" i="6"/>
  <c r="N444" i="6"/>
  <c r="L506" i="6"/>
  <c r="M487" i="6"/>
  <c r="M470" i="6"/>
  <c r="AB456" i="9"/>
  <c r="N444" i="9"/>
  <c r="Y444" i="9" s="1"/>
  <c r="L484" i="6"/>
  <c r="L435" i="6"/>
  <c r="L438" i="6"/>
  <c r="M433" i="9"/>
  <c r="AA1451" i="10"/>
  <c r="AJ1451" i="10"/>
  <c r="AC35" i="26"/>
  <c r="AL35" i="26"/>
  <c r="AA12" i="7"/>
  <c r="AF1212" i="10" s="1"/>
  <c r="AF1246" i="10"/>
  <c r="AR1405" i="10"/>
  <c r="V1405" i="10"/>
  <c r="F312" i="6"/>
  <c r="Y312" i="27"/>
  <c r="G312" i="27" s="1"/>
  <c r="AT1317" i="10"/>
  <c r="G1317" i="10"/>
  <c r="AL1317" i="10"/>
  <c r="AF1317" i="10"/>
  <c r="U1317" i="10"/>
  <c r="AP1317" i="10"/>
  <c r="AQ1317" i="10"/>
  <c r="AK1317" i="10"/>
  <c r="AC1317" i="10"/>
  <c r="Y1317" i="10"/>
  <c r="W1317" i="10"/>
  <c r="P1317" i="10"/>
  <c r="AH1317" i="10"/>
  <c r="AE1317" i="10"/>
  <c r="AA1443" i="10"/>
  <c r="N1443" i="10"/>
  <c r="T1443" i="10"/>
  <c r="AD1443" i="10"/>
  <c r="Z1443" i="10"/>
  <c r="AF1443" i="10"/>
  <c r="AD1298" i="10"/>
  <c r="Y97" i="7"/>
  <c r="AD1297" i="10" s="1"/>
  <c r="M450" i="6"/>
  <c r="R1456" i="10"/>
  <c r="Q1443" i="10"/>
  <c r="O1443" i="10"/>
  <c r="K1443" i="10"/>
  <c r="N470" i="6"/>
  <c r="V1524" i="10"/>
  <c r="Q323" i="7"/>
  <c r="V1523" i="10" s="1"/>
  <c r="Q1552" i="10"/>
  <c r="W1552" i="10"/>
  <c r="AA1317" i="10"/>
  <c r="N1317" i="10"/>
  <c r="AR1317" i="10"/>
  <c r="AM1443" i="10"/>
  <c r="V1443" i="10"/>
  <c r="AH1400" i="10"/>
  <c r="AO1400" i="10"/>
  <c r="AD1400" i="10"/>
  <c r="X1400" i="10"/>
  <c r="K1400" i="10"/>
  <c r="T1400" i="10"/>
  <c r="AL1400" i="10"/>
  <c r="U1400" i="10"/>
  <c r="AF1400" i="10"/>
  <c r="Z1400" i="10"/>
  <c r="O1400" i="10"/>
  <c r="V1400" i="10"/>
  <c r="G1400" i="10"/>
  <c r="AR1400" i="10"/>
  <c r="AH414" i="26"/>
  <c r="AJ414" i="26"/>
  <c r="N419" i="6"/>
  <c r="L419" i="6"/>
  <c r="L422" i="6"/>
  <c r="N422" i="6"/>
  <c r="M422" i="6"/>
  <c r="AA253" i="7"/>
  <c r="AF1453" i="10" s="1"/>
  <c r="G39" i="9"/>
  <c r="I12" i="7"/>
  <c r="N1212" i="10" s="1"/>
  <c r="M472" i="6"/>
  <c r="AH12" i="7"/>
  <c r="AM1212" i="10" s="1"/>
  <c r="AJ1214" i="10"/>
  <c r="K1214" i="10"/>
  <c r="AA1400" i="10"/>
  <c r="M435" i="6"/>
  <c r="AB479" i="26"/>
  <c r="L1214" i="10"/>
  <c r="L466" i="9"/>
  <c r="N446" i="6"/>
  <c r="Y446" i="6" s="1"/>
  <c r="L479" i="9"/>
  <c r="M416" i="6"/>
  <c r="N419" i="9"/>
  <c r="T1317" i="10"/>
  <c r="AL1524" i="10"/>
  <c r="AJ1400" i="10"/>
  <c r="J1443" i="10"/>
  <c r="W1351" i="10"/>
  <c r="Z253" i="7"/>
  <c r="AE1453" i="10" s="1"/>
  <c r="AE1456" i="10"/>
  <c r="R1266" i="10"/>
  <c r="M12" i="7"/>
  <c r="R1212" i="10" s="1"/>
  <c r="AI1344" i="10"/>
  <c r="AD97" i="7"/>
  <c r="AI1297" i="10" s="1"/>
  <c r="AL226" i="26"/>
  <c r="AC226" i="26"/>
  <c r="N253" i="7"/>
  <c r="S1453" i="10" s="1"/>
  <c r="S1456" i="10"/>
  <c r="AE253" i="7"/>
  <c r="AJ1453" i="10" s="1"/>
  <c r="AJ1456" i="10"/>
  <c r="N491" i="9"/>
  <c r="M444" i="9"/>
  <c r="AB340" i="26"/>
  <c r="AD340" i="26" s="1"/>
  <c r="N466" i="9"/>
  <c r="Y466" i="9" s="1"/>
  <c r="AI1456" i="10"/>
  <c r="Q1317" i="10"/>
  <c r="AB35" i="26"/>
  <c r="L454" i="9"/>
  <c r="M454" i="9"/>
  <c r="M412" i="6"/>
  <c r="L480" i="6"/>
  <c r="Q1214" i="10"/>
  <c r="AS1214" i="10"/>
  <c r="AF1214" i="10"/>
  <c r="W1214" i="10"/>
  <c r="W1596" i="10" s="1"/>
  <c r="AK1214" i="10"/>
  <c r="AK1596" i="10" s="1"/>
  <c r="M1214" i="10"/>
  <c r="Z1214" i="10"/>
  <c r="AD1214" i="10"/>
  <c r="O1214" i="10"/>
  <c r="AH1214" i="10"/>
  <c r="Y1214" i="10"/>
  <c r="M429" i="9"/>
  <c r="N429" i="9"/>
  <c r="M456" i="9"/>
  <c r="L456" i="9"/>
  <c r="M420" i="6"/>
  <c r="L420" i="6"/>
  <c r="N420" i="6"/>
  <c r="L447" i="6"/>
  <c r="N447" i="6"/>
  <c r="Y447" i="6" s="1"/>
  <c r="L465" i="9"/>
  <c r="N465" i="9"/>
  <c r="Y465" i="9" s="1"/>
  <c r="L471" i="9"/>
  <c r="M471" i="9"/>
  <c r="J12" i="7"/>
  <c r="O1212" i="10" s="1"/>
  <c r="O1266" i="10"/>
  <c r="N460" i="9"/>
  <c r="M460" i="9"/>
  <c r="N477" i="9"/>
  <c r="L415" i="9"/>
  <c r="AR1246" i="10"/>
  <c r="L491" i="9"/>
  <c r="N450" i="6"/>
  <c r="Y450" i="6" s="1"/>
  <c r="AP1456" i="10"/>
  <c r="Z1451" i="10"/>
  <c r="AK12" i="7"/>
  <c r="AP1212" i="10" s="1"/>
  <c r="AA1214" i="10"/>
  <c r="O1399" i="10"/>
  <c r="AE1214" i="10"/>
  <c r="AR1443" i="10"/>
  <c r="AQ1443" i="10"/>
  <c r="AG1214" i="10"/>
  <c r="V1214" i="10"/>
  <c r="P1400" i="10"/>
  <c r="AP1400" i="10"/>
  <c r="AG1400" i="10"/>
  <c r="AM1400" i="10"/>
  <c r="AK1443" i="10"/>
  <c r="Y39" i="27"/>
  <c r="G39" i="27" s="1"/>
  <c r="R1393" i="10"/>
  <c r="L477" i="9"/>
  <c r="L450" i="6"/>
  <c r="M484" i="6"/>
  <c r="AL243" i="26"/>
  <c r="M1400" i="10"/>
  <c r="X1214" i="10"/>
  <c r="X1596" i="10" s="1"/>
  <c r="P1214" i="10"/>
  <c r="AI1214" i="10"/>
  <c r="N454" i="9"/>
  <c r="N438" i="6"/>
  <c r="AN1443" i="10"/>
  <c r="Y1443" i="10"/>
  <c r="AT1214" i="10"/>
  <c r="R1214" i="10"/>
  <c r="AS1400" i="10"/>
  <c r="AN1400" i="10"/>
  <c r="R1400" i="10"/>
  <c r="Q1400" i="10"/>
  <c r="N1400" i="10"/>
  <c r="S1400" i="10"/>
  <c r="AL1443" i="10"/>
  <c r="AB1214" i="10"/>
  <c r="T1214" i="10"/>
  <c r="M480" i="6"/>
  <c r="M465" i="6"/>
  <c r="M446" i="6"/>
  <c r="L416" i="6"/>
  <c r="M491" i="9"/>
  <c r="AB1317" i="10"/>
  <c r="AN1317" i="10"/>
  <c r="AB366" i="26"/>
  <c r="AD366" i="26" s="1"/>
  <c r="O12" i="7"/>
  <c r="T1212" i="10" s="1"/>
  <c r="U97" i="7"/>
  <c r="Z1297" i="10" s="1"/>
  <c r="V12" i="7"/>
  <c r="AA1212" i="10" s="1"/>
  <c r="AJ441" i="26"/>
  <c r="AI441" i="26" s="1"/>
  <c r="AK441" i="26" s="1"/>
  <c r="L423" i="9"/>
  <c r="H67" i="9"/>
  <c r="AB450" i="9"/>
  <c r="H346" i="9"/>
  <c r="N467" i="9"/>
  <c r="M447" i="9"/>
  <c r="Z467" i="26"/>
  <c r="AE467" i="26" s="1"/>
  <c r="M503" i="6"/>
  <c r="M435" i="9"/>
  <c r="N447" i="9"/>
  <c r="Y447" i="9" s="1"/>
  <c r="N476" i="9"/>
  <c r="AH454" i="26"/>
  <c r="AI454" i="26" s="1"/>
  <c r="AK454" i="26" s="1"/>
  <c r="I346" i="6"/>
  <c r="N474" i="9"/>
  <c r="L486" i="6"/>
  <c r="N486" i="6"/>
  <c r="K1399" i="10"/>
  <c r="AI1392" i="10"/>
  <c r="AO1392" i="10"/>
  <c r="AN1392" i="10"/>
  <c r="U1392" i="10"/>
  <c r="AE1392" i="10"/>
  <c r="AB1392" i="10"/>
  <c r="AP1392" i="10"/>
  <c r="O1393" i="10"/>
  <c r="AC1393" i="10"/>
  <c r="AB1459" i="10"/>
  <c r="AE1459" i="10"/>
  <c r="Y1459" i="10"/>
  <c r="AK1482" i="10"/>
  <c r="AC1459" i="10"/>
  <c r="AG1459" i="10"/>
  <c r="AF1459" i="10"/>
  <c r="N483" i="9"/>
  <c r="M486" i="6"/>
  <c r="M482" i="9"/>
  <c r="N482" i="9"/>
  <c r="N423" i="9"/>
  <c r="AO1331" i="10"/>
  <c r="AB326" i="26"/>
  <c r="M1330" i="10"/>
  <c r="Y1446" i="10"/>
  <c r="S1482" i="10"/>
  <c r="AL297" i="26"/>
  <c r="Z1381" i="10"/>
  <c r="H346" i="6"/>
  <c r="J1392" i="10"/>
  <c r="V1392" i="10"/>
  <c r="AL1392" i="10"/>
  <c r="L1392" i="10"/>
  <c r="AD1392" i="10"/>
  <c r="Q1392" i="10"/>
  <c r="AG1393" i="10"/>
  <c r="AP1459" i="10"/>
  <c r="T1459" i="10"/>
  <c r="L1459" i="10"/>
  <c r="AK1459" i="10"/>
  <c r="AN1405" i="10"/>
  <c r="V1459" i="10"/>
  <c r="P1259" i="10"/>
  <c r="AA1315" i="10"/>
  <c r="L421" i="6"/>
  <c r="M440" i="6"/>
  <c r="AL246" i="26"/>
  <c r="K1459" i="10"/>
  <c r="U1484" i="10"/>
  <c r="Y1308" i="10"/>
  <c r="J1459" i="10"/>
  <c r="S1399" i="10"/>
  <c r="L483" i="9"/>
  <c r="M483" i="9"/>
  <c r="L482" i="9"/>
  <c r="AO1330" i="10"/>
  <c r="AB14" i="26"/>
  <c r="AC195" i="26"/>
  <c r="AD195" i="26" s="1"/>
  <c r="AL208" i="26"/>
  <c r="Z499" i="26"/>
  <c r="AD499" i="26" s="1"/>
  <c r="AC14" i="26"/>
  <c r="L467" i="9"/>
  <c r="Z495" i="26"/>
  <c r="AD495" i="26" s="1"/>
  <c r="AH440" i="26"/>
  <c r="AI440" i="26" s="1"/>
  <c r="AK440" i="26" s="1"/>
  <c r="N448" i="9"/>
  <c r="Y448" i="9" s="1"/>
  <c r="N499" i="6"/>
  <c r="L441" i="9"/>
  <c r="M428" i="9"/>
  <c r="N469" i="6"/>
  <c r="Y469" i="6" s="1"/>
  <c r="M489" i="9"/>
  <c r="M436" i="6"/>
  <c r="L455" i="9"/>
  <c r="L464" i="6"/>
  <c r="L413" i="6"/>
  <c r="L461" i="6"/>
  <c r="L469" i="6"/>
  <c r="N443" i="6"/>
  <c r="Y443" i="6" s="1"/>
  <c r="N441" i="9"/>
  <c r="Y441" i="9" s="1"/>
  <c r="L430" i="6"/>
  <c r="N413" i="6"/>
  <c r="M446" i="9"/>
  <c r="L443" i="6"/>
  <c r="N438" i="9"/>
  <c r="Y438" i="9" s="1"/>
  <c r="L436" i="6"/>
  <c r="L499" i="6"/>
  <c r="L459" i="9"/>
  <c r="M459" i="9"/>
  <c r="AJ499" i="26"/>
  <c r="AI499" i="26" s="1"/>
  <c r="AK499" i="26" s="1"/>
  <c r="M421" i="6"/>
  <c r="M442" i="9"/>
  <c r="M438" i="9"/>
  <c r="N461" i="6"/>
  <c r="Y461" i="6" s="1"/>
  <c r="M475" i="6"/>
  <c r="M448" i="9"/>
  <c r="N487" i="9"/>
  <c r="L428" i="9"/>
  <c r="AH537" i="26"/>
  <c r="AI537" i="26" s="1"/>
  <c r="AK537" i="26" s="1"/>
  <c r="N489" i="9"/>
  <c r="N437" i="6"/>
  <c r="Y437" i="6" s="1"/>
  <c r="N436" i="6"/>
  <c r="L432" i="9"/>
  <c r="N492" i="9"/>
  <c r="M455" i="9"/>
  <c r="N459" i="9"/>
  <c r="M436" i="9"/>
  <c r="M432" i="9"/>
  <c r="N436" i="9"/>
  <c r="Y436" i="9" s="1"/>
  <c r="N464" i="6"/>
  <c r="Y464" i="6" s="1"/>
  <c r="L487" i="9"/>
  <c r="N455" i="9"/>
  <c r="N430" i="6"/>
  <c r="AJ526" i="26"/>
  <c r="AI526" i="26" s="1"/>
  <c r="AK526" i="26" s="1"/>
  <c r="AO253" i="7"/>
  <c r="AT1453" i="10" s="1"/>
  <c r="AT1456" i="10"/>
  <c r="N458" i="9"/>
  <c r="Y458" i="9" s="1"/>
  <c r="L458" i="9"/>
  <c r="L441" i="6"/>
  <c r="L434" i="9"/>
  <c r="N434" i="9"/>
  <c r="Y434" i="9" s="1"/>
  <c r="N417" i="9"/>
  <c r="M417" i="9"/>
  <c r="N449" i="9"/>
  <c r="Y449" i="9" s="1"/>
  <c r="L414" i="6"/>
  <c r="N414" i="6"/>
  <c r="L431" i="9"/>
  <c r="N431" i="9"/>
  <c r="M431" i="9"/>
  <c r="M448" i="6"/>
  <c r="AK97" i="7"/>
  <c r="AP1297" i="10" s="1"/>
  <c r="L97" i="7"/>
  <c r="Q1297" i="10" s="1"/>
  <c r="AR1336" i="10"/>
  <c r="M463" i="6"/>
  <c r="AH1330" i="10"/>
  <c r="Z1330" i="10"/>
  <c r="W1330" i="10"/>
  <c r="AA1246" i="10"/>
  <c r="AT1330" i="10"/>
  <c r="AG1330" i="10"/>
  <c r="AA1351" i="10"/>
  <c r="AN1351" i="10"/>
  <c r="AQ1292" i="10"/>
  <c r="AJ1292" i="10"/>
  <c r="AT1292" i="10"/>
  <c r="Q1292" i="10"/>
  <c r="M1292" i="10"/>
  <c r="AL97" i="7"/>
  <c r="AQ1297" i="10" s="1"/>
  <c r="AF1399" i="10"/>
  <c r="T1266" i="10"/>
  <c r="T1393" i="10"/>
  <c r="AQ1393" i="10"/>
  <c r="U1393" i="10"/>
  <c r="L475" i="6"/>
  <c r="N442" i="9"/>
  <c r="AD323" i="7"/>
  <c r="AI1523" i="10" s="1"/>
  <c r="AC97" i="7"/>
  <c r="AH1297" i="10" s="1"/>
  <c r="L1315" i="10"/>
  <c r="M458" i="9"/>
  <c r="AA1456" i="10"/>
  <c r="N463" i="6"/>
  <c r="N441" i="6"/>
  <c r="Y441" i="6" s="1"/>
  <c r="L448" i="6"/>
  <c r="L463" i="6"/>
  <c r="N452" i="9"/>
  <c r="Y452" i="9" s="1"/>
  <c r="AT1266" i="10"/>
  <c r="AL1330" i="10"/>
  <c r="AC1330" i="10"/>
  <c r="AR1265" i="10"/>
  <c r="K1265" i="10"/>
  <c r="Q253" i="7"/>
  <c r="V1453" i="10" s="1"/>
  <c r="V1456" i="10"/>
  <c r="L476" i="9"/>
  <c r="M476" i="9"/>
  <c r="M450" i="9"/>
  <c r="L450" i="9"/>
  <c r="M492" i="6"/>
  <c r="L492" i="6"/>
  <c r="L440" i="6"/>
  <c r="M429" i="6"/>
  <c r="L429" i="6"/>
  <c r="N429" i="6"/>
  <c r="N439" i="6"/>
  <c r="M439" i="6"/>
  <c r="L439" i="6"/>
  <c r="N486" i="9"/>
  <c r="L486" i="9"/>
  <c r="L453" i="6"/>
  <c r="N453" i="6"/>
  <c r="M453" i="6"/>
  <c r="N503" i="6"/>
  <c r="L503" i="6"/>
  <c r="N435" i="9"/>
  <c r="L435" i="9"/>
  <c r="N434" i="6"/>
  <c r="L434" i="6"/>
  <c r="M434" i="6"/>
  <c r="N485" i="6"/>
  <c r="M485" i="6"/>
  <c r="L485" i="6"/>
  <c r="M474" i="9"/>
  <c r="L474" i="9"/>
  <c r="AO1336" i="10"/>
  <c r="AN1336" i="10"/>
  <c r="AL1336" i="10"/>
  <c r="N455" i="6"/>
  <c r="Y455" i="6" s="1"/>
  <c r="M455" i="6"/>
  <c r="AC17" i="26"/>
  <c r="AL17" i="26"/>
  <c r="AF1330" i="10"/>
  <c r="J1330" i="10"/>
  <c r="AS1330" i="10"/>
  <c r="R1330" i="10"/>
  <c r="AJ1330" i="10"/>
  <c r="Q1330" i="10"/>
  <c r="X1330" i="10"/>
  <c r="AI1330" i="10"/>
  <c r="S1330" i="10"/>
  <c r="G1330" i="10"/>
  <c r="AN1330" i="10"/>
  <c r="L1330" i="10"/>
  <c r="AP1330" i="10"/>
  <c r="N1330" i="10"/>
  <c r="AB1330" i="10"/>
  <c r="V1330" i="10"/>
  <c r="T1330" i="10"/>
  <c r="AK1330" i="10"/>
  <c r="AD1330" i="10"/>
  <c r="O1330" i="10"/>
  <c r="AQ1330" i="10"/>
  <c r="L492" i="9"/>
  <c r="M492" i="9"/>
  <c r="L497" i="6"/>
  <c r="M497" i="6"/>
  <c r="M494" i="6"/>
  <c r="L494" i="6"/>
  <c r="M413" i="9"/>
  <c r="N413" i="9"/>
  <c r="I97" i="7"/>
  <c r="N1297" i="10" s="1"/>
  <c r="AD1336" i="10"/>
  <c r="L442" i="9"/>
  <c r="AN12" i="7"/>
  <c r="AS1212" i="10" s="1"/>
  <c r="AK1524" i="10"/>
  <c r="AH1456" i="10"/>
  <c r="AM1456" i="10"/>
  <c r="N494" i="6"/>
  <c r="M449" i="9"/>
  <c r="M414" i="6"/>
  <c r="M452" i="9"/>
  <c r="M437" i="6"/>
  <c r="N448" i="6"/>
  <c r="Y448" i="6" s="1"/>
  <c r="L413" i="9"/>
  <c r="K12" i="7"/>
  <c r="P1212" i="10" s="1"/>
  <c r="P12" i="7"/>
  <c r="U1212" i="10" s="1"/>
  <c r="AF253" i="7"/>
  <c r="AK1453" i="10" s="1"/>
  <c r="AK1456" i="10"/>
  <c r="U1330" i="10"/>
  <c r="AA1330" i="10"/>
  <c r="Y1330" i="10"/>
  <c r="S253" i="7"/>
  <c r="X1453" i="10" s="1"/>
  <c r="X1456" i="10"/>
  <c r="Y12" i="7"/>
  <c r="AD1212" i="10" s="1"/>
  <c r="AE1330" i="10"/>
  <c r="O1292" i="10"/>
  <c r="AI1292" i="10"/>
  <c r="L455" i="6"/>
  <c r="AG1482" i="10"/>
  <c r="AA1482" i="10"/>
  <c r="X1482" i="10"/>
  <c r="AL214" i="26"/>
  <c r="AC214" i="26"/>
  <c r="AK214" i="26"/>
  <c r="AL326" i="26"/>
  <c r="AC326" i="26"/>
  <c r="G1259" i="10"/>
  <c r="O1259" i="10"/>
  <c r="AL1259" i="10"/>
  <c r="AA1259" i="10"/>
  <c r="AL1459" i="10"/>
  <c r="AJ1459" i="10"/>
  <c r="AH1459" i="10"/>
  <c r="AM1459" i="10"/>
  <c r="AQ1459" i="10"/>
  <c r="X1459" i="10"/>
  <c r="AD1459" i="10"/>
  <c r="O1459" i="10"/>
  <c r="AS1459" i="10"/>
  <c r="R1459" i="10"/>
  <c r="U1459" i="10"/>
  <c r="G1459" i="10"/>
  <c r="AT1459" i="10"/>
  <c r="AI253" i="7"/>
  <c r="AN1453" i="10" s="1"/>
  <c r="AN1456" i="10"/>
  <c r="AB253" i="7"/>
  <c r="AG1453" i="10" s="1"/>
  <c r="AG1456" i="10"/>
  <c r="AB17" i="26"/>
  <c r="M97" i="7"/>
  <c r="R1297" i="10" s="1"/>
  <c r="AB208" i="26"/>
  <c r="AD208" i="26" s="1"/>
  <c r="Z491" i="26"/>
  <c r="AC491" i="26" s="1"/>
  <c r="BE491" i="26" s="1"/>
  <c r="AJ484" i="26"/>
  <c r="AI484" i="26" s="1"/>
  <c r="AK484" i="26" s="1"/>
  <c r="BE106" i="26"/>
  <c r="AH433" i="26"/>
  <c r="AI433" i="26" s="1"/>
  <c r="AK433" i="26" s="1"/>
  <c r="Z532" i="26"/>
  <c r="AE532" i="26" s="1"/>
  <c r="AB453" i="26"/>
  <c r="F97" i="7"/>
  <c r="K1297" i="10" s="1"/>
  <c r="AM97" i="7"/>
  <c r="AR1297" i="10" s="1"/>
  <c r="Q1399" i="10"/>
  <c r="R1322" i="10"/>
  <c r="R1298" i="10"/>
  <c r="AR1393" i="10"/>
  <c r="S1393" i="10"/>
  <c r="AE1393" i="10"/>
  <c r="AC104" i="26"/>
  <c r="AN97" i="7"/>
  <c r="H97" i="7"/>
  <c r="M1297" i="10" s="1"/>
  <c r="AA97" i="7"/>
  <c r="AF1297" i="10" s="1"/>
  <c r="V1399" i="10"/>
  <c r="AB1315" i="10"/>
  <c r="AG50" i="26"/>
  <c r="AO1399" i="10"/>
  <c r="AI1399" i="10"/>
  <c r="AJ421" i="26"/>
  <c r="AI421" i="26" s="1"/>
  <c r="AK421" i="26" s="1"/>
  <c r="W1292" i="10"/>
  <c r="AO1292" i="10"/>
  <c r="Y1292" i="10"/>
  <c r="AB306" i="26"/>
  <c r="AB386" i="26"/>
  <c r="AF12" i="7"/>
  <c r="AK1212" i="10" s="1"/>
  <c r="AI12" i="7"/>
  <c r="AN1212" i="10" s="1"/>
  <c r="K1292" i="10"/>
  <c r="AD1292" i="10"/>
  <c r="X1292" i="10"/>
  <c r="Z1292" i="10"/>
  <c r="AQ1351" i="10"/>
  <c r="AC1292" i="10"/>
  <c r="AA1292" i="10"/>
  <c r="AM1292" i="10"/>
  <c r="AH1292" i="10"/>
  <c r="R1292" i="10"/>
  <c r="AR1292" i="10"/>
  <c r="AD1504" i="10"/>
  <c r="R1324" i="10"/>
  <c r="AD1456" i="10"/>
  <c r="AB1456" i="10"/>
  <c r="AD1399" i="10"/>
  <c r="M1399" i="10"/>
  <c r="L1399" i="10"/>
  <c r="AK1292" i="10"/>
  <c r="AL1351" i="10"/>
  <c r="J1524" i="10"/>
  <c r="AS1351" i="10"/>
  <c r="P1292" i="10"/>
  <c r="AF1393" i="10"/>
  <c r="S1292" i="10"/>
  <c r="AB1292" i="10"/>
  <c r="U1292" i="10"/>
  <c r="AS1292" i="10"/>
  <c r="AF1292" i="10"/>
  <c r="U12" i="7"/>
  <c r="Z1212" i="10" s="1"/>
  <c r="AJ97" i="7"/>
  <c r="AO1297" i="10" s="1"/>
  <c r="AS1524" i="10"/>
  <c r="AL92" i="26"/>
  <c r="AL1292" i="10"/>
  <c r="AE1292" i="10"/>
  <c r="AD1405" i="10"/>
  <c r="J97" i="7"/>
  <c r="O1297" i="10" s="1"/>
  <c r="R97" i="7"/>
  <c r="W1297" i="10" s="1"/>
  <c r="J1292" i="10"/>
  <c r="L1292" i="10"/>
  <c r="V1292" i="10"/>
  <c r="G1292" i="10"/>
  <c r="AP1292" i="10"/>
  <c r="AG1292" i="10"/>
  <c r="N1292" i="10"/>
  <c r="Y106" i="27"/>
  <c r="G106" i="27" s="1"/>
  <c r="I33" i="9"/>
  <c r="F106" i="6"/>
  <c r="G196" i="6"/>
  <c r="W236" i="27"/>
  <c r="E236" i="27" s="1"/>
  <c r="G207" i="10"/>
  <c r="H125" i="9"/>
  <c r="AB505" i="26"/>
  <c r="I168" i="9"/>
  <c r="Z506" i="26"/>
  <c r="AE506" i="26" s="1"/>
  <c r="AG506" i="26" s="1"/>
  <c r="AQ506" i="26" s="1"/>
  <c r="H12" i="6"/>
  <c r="I66" i="6"/>
  <c r="Z484" i="26"/>
  <c r="AD484" i="26" s="1"/>
  <c r="F83" i="9"/>
  <c r="AJ1458" i="10"/>
  <c r="G346" i="6"/>
  <c r="Y196" i="27"/>
  <c r="G196" i="27" s="1"/>
  <c r="F236" i="10"/>
  <c r="AG236" i="10" s="1"/>
  <c r="F236" i="27"/>
  <c r="AO1443" i="10"/>
  <c r="U1443" i="10"/>
  <c r="G1443" i="10"/>
  <c r="AG1443" i="10"/>
  <c r="W1443" i="10"/>
  <c r="AB296" i="26"/>
  <c r="H125" i="6"/>
  <c r="Z1270" i="10"/>
  <c r="P1443" i="10"/>
  <c r="S1443" i="10"/>
  <c r="M1451" i="10"/>
  <c r="AI1451" i="10"/>
  <c r="AB117" i="26"/>
  <c r="AD117" i="26" s="1"/>
  <c r="AG1270" i="10"/>
  <c r="AB426" i="26"/>
  <c r="AD1317" i="10"/>
  <c r="G1374" i="10"/>
  <c r="I360" i="6"/>
  <c r="AA1458" i="10"/>
  <c r="AM1458" i="10"/>
  <c r="AI1317" i="10"/>
  <c r="AM1317" i="10"/>
  <c r="V1317" i="10"/>
  <c r="Z1317" i="10"/>
  <c r="J1317" i="10"/>
  <c r="O1317" i="10"/>
  <c r="AO1317" i="10"/>
  <c r="Z1458" i="10"/>
  <c r="M1443" i="10"/>
  <c r="AG1317" i="10"/>
  <c r="AE1443" i="10"/>
  <c r="Y1458" i="10"/>
  <c r="AB141" i="26"/>
  <c r="AD141" i="26" s="1"/>
  <c r="AJ1443" i="10"/>
  <c r="G1458" i="10"/>
  <c r="AF1458" i="10"/>
  <c r="F346" i="9"/>
  <c r="V1451" i="10"/>
  <c r="I12" i="6"/>
  <c r="L1443" i="10"/>
  <c r="AP1443" i="10"/>
  <c r="AB1443" i="10"/>
  <c r="AT1443" i="10"/>
  <c r="AL1374" i="10"/>
  <c r="Q1270" i="10"/>
  <c r="K1374" i="10"/>
  <c r="AI1443" i="10"/>
  <c r="R1443" i="10"/>
  <c r="T1451" i="10"/>
  <c r="Z472" i="26"/>
  <c r="AD472" i="26" s="1"/>
  <c r="S1317" i="10"/>
  <c r="AB148" i="26"/>
  <c r="AD148" i="26" s="1"/>
  <c r="O148" i="26" s="1"/>
  <c r="W148" i="27" s="1"/>
  <c r="E148" i="27" s="1"/>
  <c r="AB45" i="26"/>
  <c r="AD45" i="26" s="1"/>
  <c r="G1270" i="10"/>
  <c r="K1458" i="10"/>
  <c r="X1317" i="10"/>
  <c r="K1317" i="10"/>
  <c r="R1317" i="10"/>
  <c r="L1317" i="10"/>
  <c r="M1317" i="10"/>
  <c r="AA1270" i="10"/>
  <c r="N1458" i="10"/>
  <c r="AG1458" i="10"/>
  <c r="P1458" i="10"/>
  <c r="AB226" i="26"/>
  <c r="H360" i="9"/>
  <c r="AB500" i="26"/>
  <c r="AB528" i="26"/>
  <c r="F97" i="10"/>
  <c r="AB97" i="10" s="1"/>
  <c r="AB448" i="26"/>
  <c r="H56" i="6"/>
  <c r="Z536" i="26"/>
  <c r="AD536" i="26" s="1"/>
  <c r="AB504" i="26"/>
  <c r="H168" i="6"/>
  <c r="Z442" i="26"/>
  <c r="AD442" i="26" s="1"/>
  <c r="F312" i="9"/>
  <c r="BE312" i="26"/>
  <c r="H168" i="9"/>
  <c r="F143" i="10"/>
  <c r="W143" i="27"/>
  <c r="E143" i="27" s="1"/>
  <c r="T1357" i="10"/>
  <c r="AR1357" i="10"/>
  <c r="S1264" i="10"/>
  <c r="AB1264" i="10"/>
  <c r="Z1497" i="10"/>
  <c r="P1497" i="10"/>
  <c r="AC331" i="26"/>
  <c r="AL331" i="26"/>
  <c r="AE1259" i="10"/>
  <c r="AS1259" i="10"/>
  <c r="U1259" i="10"/>
  <c r="AO1259" i="10"/>
  <c r="N1259" i="10"/>
  <c r="AK1259" i="10"/>
  <c r="AI1259" i="10"/>
  <c r="AN1259" i="10"/>
  <c r="AP1259" i="10"/>
  <c r="AD1259" i="10"/>
  <c r="T1259" i="10"/>
  <c r="AM1259" i="10"/>
  <c r="AQ1259" i="10"/>
  <c r="Q1259" i="10"/>
  <c r="L1259" i="10"/>
  <c r="Z1259" i="10"/>
  <c r="X1259" i="10"/>
  <c r="M1259" i="10"/>
  <c r="AF1259" i="10"/>
  <c r="R1259" i="10"/>
  <c r="Y1259" i="10"/>
  <c r="H212" i="6"/>
  <c r="W219" i="27"/>
  <c r="E219" i="27" s="1"/>
  <c r="Y302" i="27"/>
  <c r="G302" i="27" s="1"/>
  <c r="F302" i="6"/>
  <c r="H352" i="9"/>
  <c r="AD352" i="9" s="1"/>
  <c r="I352" i="9"/>
  <c r="AK282" i="26"/>
  <c r="AU282" i="26" s="1"/>
  <c r="S282" i="26" s="1"/>
  <c r="H282" i="9" s="1"/>
  <c r="P1393" i="10"/>
  <c r="AN1393" i="10"/>
  <c r="AT1393" i="10"/>
  <c r="Y1393" i="10"/>
  <c r="W1393" i="10"/>
  <c r="G1393" i="10"/>
  <c r="Z425" i="26"/>
  <c r="AE425" i="26" s="1"/>
  <c r="Z1264" i="10"/>
  <c r="W1497" i="10"/>
  <c r="AB1259" i="10"/>
  <c r="AJ1259" i="10"/>
  <c r="AG1259" i="10"/>
  <c r="S1259" i="10"/>
  <c r="F302" i="9"/>
  <c r="AL215" i="26"/>
  <c r="AC215" i="26"/>
  <c r="AJ1393" i="10"/>
  <c r="Z416" i="26"/>
  <c r="AD416" i="26" s="1"/>
  <c r="I219" i="6"/>
  <c r="H219" i="9"/>
  <c r="P1315" i="10"/>
  <c r="AI1315" i="10"/>
  <c r="V1315" i="10"/>
  <c r="M1315" i="10"/>
  <c r="AG1315" i="10"/>
  <c r="AL69" i="26"/>
  <c r="AC69" i="26"/>
  <c r="BD177" i="26"/>
  <c r="AC386" i="26"/>
  <c r="AL386" i="26"/>
  <c r="Y83" i="27"/>
  <c r="G83" i="27" s="1"/>
  <c r="F83" i="6"/>
  <c r="F318" i="9"/>
  <c r="F318" i="6"/>
  <c r="Y318" i="27"/>
  <c r="G318" i="27" s="1"/>
  <c r="AB1393" i="10"/>
  <c r="AO1393" i="10"/>
  <c r="AI1393" i="10"/>
  <c r="L1393" i="10"/>
  <c r="N1393" i="10"/>
  <c r="M1393" i="10"/>
  <c r="AM1393" i="10"/>
  <c r="AD1393" i="10"/>
  <c r="AH1393" i="10"/>
  <c r="AN1334" i="10"/>
  <c r="X1393" i="10"/>
  <c r="AS1393" i="10"/>
  <c r="AL1393" i="10"/>
  <c r="V1393" i="10"/>
  <c r="Z1393" i="10"/>
  <c r="AP1393" i="10"/>
  <c r="AC1259" i="10"/>
  <c r="AF1569" i="10"/>
  <c r="AL279" i="26"/>
  <c r="H352" i="6"/>
  <c r="AR1259" i="10"/>
  <c r="K1259" i="10"/>
  <c r="J1259" i="10"/>
  <c r="AL1324" i="10"/>
  <c r="W97" i="27"/>
  <c r="E97" i="27" s="1"/>
  <c r="AF1264" i="10"/>
  <c r="AS1263" i="10"/>
  <c r="AM1263" i="10"/>
  <c r="AE1404" i="10"/>
  <c r="AB1404" i="10"/>
  <c r="Q1393" i="10"/>
  <c r="AC1331" i="10"/>
  <c r="AS1331" i="10"/>
  <c r="W1331" i="10"/>
  <c r="AB118" i="26"/>
  <c r="AD118" i="26" s="1"/>
  <c r="AB69" i="26"/>
  <c r="AA1393" i="10"/>
  <c r="Y206" i="27"/>
  <c r="G206" i="27" s="1"/>
  <c r="F206" i="9"/>
  <c r="F206" i="6"/>
  <c r="Y253" i="27"/>
  <c r="G253" i="27" s="1"/>
  <c r="H322" i="9"/>
  <c r="I253" i="9"/>
  <c r="H253" i="6"/>
  <c r="F264" i="9"/>
  <c r="G264" i="6"/>
  <c r="H339" i="6"/>
  <c r="H339" i="9"/>
  <c r="AK368" i="26"/>
  <c r="AM368" i="26" s="1"/>
  <c r="Q368" i="26" s="1"/>
  <c r="F368" i="9" s="1"/>
  <c r="Z368" i="9" s="1"/>
  <c r="AA368" i="9" s="1"/>
  <c r="AB368" i="26"/>
  <c r="AB251" i="26"/>
  <c r="AB279" i="26"/>
  <c r="AD279" i="26" s="1"/>
  <c r="AB331" i="26"/>
  <c r="AB92" i="26"/>
  <c r="AD92" i="26" s="1"/>
  <c r="AK310" i="26"/>
  <c r="AM310" i="26" s="1"/>
  <c r="Q310" i="26" s="1"/>
  <c r="Y339" i="27"/>
  <c r="G339" i="27" s="1"/>
  <c r="F264" i="6"/>
  <c r="H268" i="6"/>
  <c r="AD268" i="6" s="1"/>
  <c r="I206" i="9"/>
  <c r="F339" i="6"/>
  <c r="F360" i="9"/>
  <c r="H56" i="9"/>
  <c r="H322" i="6"/>
  <c r="G360" i="9"/>
  <c r="BE156" i="26"/>
  <c r="I301" i="9"/>
  <c r="Y84" i="27"/>
  <c r="G84" i="27" s="1"/>
  <c r="Y278" i="27"/>
  <c r="G278" i="27" s="1"/>
  <c r="G278" i="6"/>
  <c r="AC278" i="6"/>
  <c r="AH278" i="6" s="1"/>
  <c r="H256" i="9"/>
  <c r="H278" i="9"/>
  <c r="AC188" i="9"/>
  <c r="AH188" i="9" s="1"/>
  <c r="Y212" i="27"/>
  <c r="G212" i="27" s="1"/>
  <c r="F67" i="9"/>
  <c r="Z1482" i="10"/>
  <c r="AS1482" i="10"/>
  <c r="AP1315" i="10"/>
  <c r="AR1315" i="10"/>
  <c r="Z1263" i="10"/>
  <c r="AL192" i="26"/>
  <c r="AR1263" i="10"/>
  <c r="AQ1263" i="10"/>
  <c r="V1482" i="10"/>
  <c r="AM1336" i="10"/>
  <c r="P1336" i="10"/>
  <c r="U1315" i="10"/>
  <c r="AH1482" i="10"/>
  <c r="W1315" i="10"/>
  <c r="AC282" i="26"/>
  <c r="AC139" i="26"/>
  <c r="V1458" i="10"/>
  <c r="R1458" i="10"/>
  <c r="T1458" i="10"/>
  <c r="O1405" i="10"/>
  <c r="G1482" i="10"/>
  <c r="Y1482" i="10"/>
  <c r="N1482" i="10"/>
  <c r="AQ1482" i="10"/>
  <c r="AJ1482" i="10"/>
  <c r="AF1315" i="10"/>
  <c r="K1315" i="10"/>
  <c r="AO1315" i="10"/>
  <c r="J1315" i="10"/>
  <c r="S1315" i="10"/>
  <c r="O1263" i="10"/>
  <c r="L1263" i="10"/>
  <c r="AL271" i="26"/>
  <c r="H126" i="9"/>
  <c r="AQ1374" i="10"/>
  <c r="AB192" i="26"/>
  <c r="AD192" i="26" s="1"/>
  <c r="O192" i="26" s="1"/>
  <c r="F192" i="10" s="1"/>
  <c r="L1497" i="10"/>
  <c r="M1263" i="10"/>
  <c r="K1270" i="10"/>
  <c r="P1270" i="10"/>
  <c r="AH1404" i="10"/>
  <c r="W1482" i="10"/>
  <c r="AN1497" i="10"/>
  <c r="AQ1270" i="10"/>
  <c r="T1336" i="10"/>
  <c r="AS1336" i="10"/>
  <c r="W1336" i="10"/>
  <c r="AF1548" i="10"/>
  <c r="AQ1561" i="10"/>
  <c r="G212" i="9"/>
  <c r="I277" i="6"/>
  <c r="I32" i="6"/>
  <c r="O1315" i="10"/>
  <c r="AL1315" i="10"/>
  <c r="AD1315" i="10"/>
  <c r="AT1458" i="10"/>
  <c r="AI1458" i="10"/>
  <c r="J1458" i="10"/>
  <c r="AK1315" i="10"/>
  <c r="AC1458" i="10"/>
  <c r="Q1482" i="10"/>
  <c r="AT1482" i="10"/>
  <c r="AP1458" i="10"/>
  <c r="AT1315" i="10"/>
  <c r="AO1458" i="10"/>
  <c r="AB16" i="26"/>
  <c r="AD16" i="26" s="1"/>
  <c r="O16" i="26" s="1"/>
  <c r="F16" i="10" s="1"/>
  <c r="T1315" i="10"/>
  <c r="M1482" i="10"/>
  <c r="AO1482" i="10"/>
  <c r="AN1482" i="10"/>
  <c r="O1482" i="10"/>
  <c r="Z1315" i="10"/>
  <c r="G1315" i="10"/>
  <c r="AM1315" i="10"/>
  <c r="T1263" i="10"/>
  <c r="U1482" i="10"/>
  <c r="AG1336" i="10"/>
  <c r="AK297" i="26"/>
  <c r="AU297" i="26" s="1"/>
  <c r="S297" i="26" s="1"/>
  <c r="H297" i="9" s="1"/>
  <c r="AC1315" i="10"/>
  <c r="AQ1315" i="10"/>
  <c r="AM1482" i="10"/>
  <c r="AL16" i="26"/>
  <c r="AB1458" i="10"/>
  <c r="AL1458" i="10"/>
  <c r="AT1405" i="10"/>
  <c r="H301" i="6"/>
  <c r="AE1482" i="10"/>
  <c r="AC1482" i="10"/>
  <c r="AF1482" i="10"/>
  <c r="AB1482" i="10"/>
  <c r="L1482" i="10"/>
  <c r="Y1315" i="10"/>
  <c r="X1315" i="10"/>
  <c r="AE1315" i="10"/>
  <c r="AJ1315" i="10"/>
  <c r="N1315" i="10"/>
  <c r="AK1263" i="10"/>
  <c r="F84" i="9"/>
  <c r="F188" i="9"/>
  <c r="AA1374" i="10"/>
  <c r="AB214" i="26"/>
  <c r="AL249" i="26"/>
  <c r="AB261" i="26"/>
  <c r="AF1497" i="10"/>
  <c r="H380" i="6"/>
  <c r="AB139" i="26"/>
  <c r="AF1270" i="10"/>
  <c r="AR1270" i="10"/>
  <c r="AD1270" i="10"/>
  <c r="N1374" i="10"/>
  <c r="AG1404" i="10"/>
  <c r="AD1482" i="10"/>
  <c r="AR1482" i="10"/>
  <c r="J1336" i="10"/>
  <c r="Z1336" i="10"/>
  <c r="H19" i="6"/>
  <c r="H106" i="6"/>
  <c r="F277" i="6"/>
  <c r="F277" i="9"/>
  <c r="AH1270" i="10"/>
  <c r="AB115" i="26"/>
  <c r="I188" i="9"/>
  <c r="AB1270" i="10"/>
  <c r="AS1315" i="10"/>
  <c r="AN1315" i="10"/>
  <c r="AH1315" i="10"/>
  <c r="AE1458" i="10"/>
  <c r="Y1374" i="10"/>
  <c r="L1458" i="10"/>
  <c r="M1458" i="10"/>
  <c r="O1458" i="10"/>
  <c r="L1270" i="10"/>
  <c r="R1315" i="10"/>
  <c r="AS1458" i="10"/>
  <c r="AR1458" i="10"/>
  <c r="F219" i="9"/>
  <c r="H158" i="9"/>
  <c r="H289" i="9"/>
  <c r="H241" i="6"/>
  <c r="I196" i="9"/>
  <c r="Y158" i="27"/>
  <c r="G158" i="27" s="1"/>
  <c r="Y391" i="27"/>
  <c r="G391" i="27" s="1"/>
  <c r="BE278" i="26"/>
  <c r="I19" i="6"/>
  <c r="H217" i="6"/>
  <c r="F153" i="6"/>
  <c r="I96" i="6"/>
  <c r="H256" i="6"/>
  <c r="I126" i="6"/>
  <c r="F278" i="6"/>
  <c r="G212" i="6"/>
  <c r="F212" i="9"/>
  <c r="I374" i="9"/>
  <c r="H314" i="6"/>
  <c r="H367" i="6"/>
  <c r="I46" i="6"/>
  <c r="H149" i="9"/>
  <c r="I131" i="6"/>
  <c r="I314" i="9"/>
  <c r="H84" i="6"/>
  <c r="H367" i="9"/>
  <c r="H353" i="9"/>
  <c r="I13" i="9"/>
  <c r="F33" i="9"/>
  <c r="H196" i="6"/>
  <c r="G366" i="9"/>
  <c r="I217" i="6"/>
  <c r="F33" i="6"/>
  <c r="F366" i="9"/>
  <c r="G33" i="9"/>
  <c r="F156" i="6"/>
  <c r="I149" i="9"/>
  <c r="AP612" i="10"/>
  <c r="H13" i="9"/>
  <c r="H46" i="9"/>
  <c r="I241" i="9"/>
  <c r="F257" i="6"/>
  <c r="I207" i="6"/>
  <c r="I143" i="6"/>
  <c r="H301" i="9"/>
  <c r="H153" i="9"/>
  <c r="G188" i="9"/>
  <c r="H212" i="27"/>
  <c r="I278" i="6"/>
  <c r="Y277" i="27"/>
  <c r="G277" i="27" s="1"/>
  <c r="H32" i="6"/>
  <c r="H374" i="9"/>
  <c r="H374" i="6"/>
  <c r="H188" i="6"/>
  <c r="H143" i="9"/>
  <c r="Y153" i="27"/>
  <c r="G153" i="27" s="1"/>
  <c r="Y188" i="27"/>
  <c r="G188" i="27" s="1"/>
  <c r="F278" i="9"/>
  <c r="H278" i="27"/>
  <c r="F212" i="6"/>
  <c r="H32" i="9"/>
  <c r="AP34" i="26"/>
  <c r="AO34" i="26" s="1"/>
  <c r="AQ418" i="26"/>
  <c r="AR418" i="26" s="1"/>
  <c r="H149" i="6"/>
  <c r="H152" i="9"/>
  <c r="Y219" i="27"/>
  <c r="G219" i="27" s="1"/>
  <c r="I158" i="6"/>
  <c r="AC152" i="6"/>
  <c r="AH152" i="6" s="1"/>
  <c r="H241" i="9"/>
  <c r="F158" i="6"/>
  <c r="I312" i="6"/>
  <c r="H390" i="6"/>
  <c r="H207" i="9"/>
  <c r="H273" i="9"/>
  <c r="AC273" i="9" s="1"/>
  <c r="G219" i="6"/>
  <c r="H219" i="6"/>
  <c r="I289" i="9"/>
  <c r="H380" i="9"/>
  <c r="H277" i="9"/>
  <c r="G158" i="6"/>
  <c r="AC277" i="6"/>
  <c r="AH277" i="6" s="1"/>
  <c r="H273" i="6"/>
  <c r="Y156" i="27"/>
  <c r="G156" i="27" s="1"/>
  <c r="H106" i="9"/>
  <c r="H312" i="9"/>
  <c r="I390" i="6"/>
  <c r="I152" i="9"/>
  <c r="I380" i="6"/>
  <c r="H268" i="9"/>
  <c r="AD268" i="9" s="1"/>
  <c r="H47" i="6"/>
  <c r="F339" i="9"/>
  <c r="Y360" i="27"/>
  <c r="G360" i="27" s="1"/>
  <c r="I268" i="6"/>
  <c r="H325" i="6"/>
  <c r="AC264" i="6"/>
  <c r="AH264" i="6" s="1"/>
  <c r="H144" i="6"/>
  <c r="I264" i="6"/>
  <c r="H131" i="6"/>
  <c r="F253" i="6"/>
  <c r="I84" i="9"/>
  <c r="H96" i="9"/>
  <c r="H47" i="9"/>
  <c r="I353" i="6"/>
  <c r="H46" i="6"/>
  <c r="H66" i="9"/>
  <c r="AC33" i="9"/>
  <c r="AH33" i="9" s="1"/>
  <c r="H196" i="9"/>
  <c r="Y366" i="27"/>
  <c r="G366" i="27" s="1"/>
  <c r="Y257" i="27"/>
  <c r="G257" i="27" s="1"/>
  <c r="H264" i="9"/>
  <c r="I325" i="9"/>
  <c r="F253" i="9"/>
  <c r="H206" i="6"/>
  <c r="H33" i="6"/>
  <c r="H66" i="6"/>
  <c r="BE257" i="26"/>
  <c r="I144" i="9"/>
  <c r="AD589" i="10"/>
  <c r="AC199" i="26"/>
  <c r="J1334" i="10"/>
  <c r="AO1215" i="10"/>
  <c r="AM1498" i="10"/>
  <c r="AJ1365" i="10"/>
  <c r="W1365" i="10"/>
  <c r="AE1304" i="10"/>
  <c r="AR1261" i="10"/>
  <c r="F84" i="10"/>
  <c r="AF484" i="10" s="1"/>
  <c r="W612" i="10"/>
  <c r="W189" i="27"/>
  <c r="E189" i="27" s="1"/>
  <c r="K1497" i="10"/>
  <c r="R1497" i="10"/>
  <c r="W1215" i="10"/>
  <c r="N1270" i="10"/>
  <c r="U1270" i="10"/>
  <c r="AN1270" i="10"/>
  <c r="V1270" i="10"/>
  <c r="AM1404" i="10"/>
  <c r="AQ1451" i="10"/>
  <c r="AR1451" i="10"/>
  <c r="AL1451" i="10"/>
  <c r="AO1270" i="10"/>
  <c r="M1270" i="10"/>
  <c r="AM1471" i="10"/>
  <c r="W1471" i="10"/>
  <c r="AB314" i="26"/>
  <c r="AD314" i="26" s="1"/>
  <c r="AG1538" i="10"/>
  <c r="X1270" i="10"/>
  <c r="AT1270" i="10"/>
  <c r="W1270" i="10"/>
  <c r="AI1270" i="10"/>
  <c r="G1451" i="10"/>
  <c r="AC280" i="26"/>
  <c r="AB131" i="26"/>
  <c r="AD131" i="26" s="1"/>
  <c r="G47" i="6"/>
  <c r="AH1497" i="10"/>
  <c r="O1270" i="10"/>
  <c r="T1270" i="10"/>
  <c r="AC1270" i="10"/>
  <c r="S1270" i="10"/>
  <c r="AM1270" i="10"/>
  <c r="M1404" i="10"/>
  <c r="AP1451" i="10"/>
  <c r="J1451" i="10"/>
  <c r="R1270" i="10"/>
  <c r="AP1270" i="10"/>
  <c r="AG1264" i="10"/>
  <c r="AL129" i="26"/>
  <c r="AE1270" i="10"/>
  <c r="Z1538" i="10"/>
  <c r="N1538" i="10"/>
  <c r="G1538" i="10"/>
  <c r="F195" i="9"/>
  <c r="I302" i="6"/>
  <c r="Q612" i="10"/>
  <c r="U212" i="10"/>
  <c r="AL319" i="26"/>
  <c r="AM1265" i="10"/>
  <c r="V1486" i="10"/>
  <c r="M1308" i="10"/>
  <c r="N1308" i="10"/>
  <c r="AJ1446" i="10"/>
  <c r="G1308" i="10"/>
  <c r="AC337" i="26"/>
  <c r="AT1504" i="10"/>
  <c r="U1446" i="10"/>
  <c r="AB220" i="26"/>
  <c r="K1552" i="10"/>
  <c r="AQ1484" i="10"/>
  <c r="AB1308" i="10"/>
  <c r="U1308" i="10"/>
  <c r="AD1455" i="10"/>
  <c r="R1504" i="10"/>
  <c r="AE1504" i="10"/>
  <c r="AA1238" i="10"/>
  <c r="P1446" i="10"/>
  <c r="AR1372" i="10"/>
  <c r="M1552" i="10"/>
  <c r="AQ1265" i="10"/>
  <c r="AA1486" i="10"/>
  <c r="V1308" i="10"/>
  <c r="Z1308" i="10"/>
  <c r="AI1308" i="10"/>
  <c r="AC1446" i="10"/>
  <c r="AA1446" i="10"/>
  <c r="AN1446" i="10"/>
  <c r="AF1446" i="10"/>
  <c r="AL1446" i="10"/>
  <c r="AB376" i="26"/>
  <c r="AD376" i="26" s="1"/>
  <c r="AK1446" i="10"/>
  <c r="M1372" i="10"/>
  <c r="AB1446" i="10"/>
  <c r="L1446" i="10"/>
  <c r="H302" i="6"/>
  <c r="AC344" i="26"/>
  <c r="G1446" i="10"/>
  <c r="AO1308" i="10"/>
  <c r="AS1308" i="10"/>
  <c r="AD1308" i="10"/>
  <c r="F67" i="6"/>
  <c r="R1446" i="10"/>
  <c r="T1308" i="10"/>
  <c r="AA1308" i="10"/>
  <c r="X1446" i="10"/>
  <c r="AP1446" i="10"/>
  <c r="T1446" i="10"/>
  <c r="AB319" i="26"/>
  <c r="AD319" i="26" s="1"/>
  <c r="AJ56" i="10"/>
  <c r="S1446" i="10"/>
  <c r="H359" i="6"/>
  <c r="H359" i="9"/>
  <c r="I136" i="9"/>
  <c r="H148" i="9"/>
  <c r="H136" i="9"/>
  <c r="BE118" i="26"/>
  <c r="Y118" i="27"/>
  <c r="G118" i="27" s="1"/>
  <c r="Y19" i="27"/>
  <c r="G19" i="27" s="1"/>
  <c r="F19" i="6"/>
  <c r="H148" i="6"/>
  <c r="Y195" i="27"/>
  <c r="G195" i="27" s="1"/>
  <c r="F118" i="9"/>
  <c r="G118" i="9"/>
  <c r="G195" i="9"/>
  <c r="F118" i="6"/>
  <c r="Z498" i="26"/>
  <c r="AD498" i="26" s="1"/>
  <c r="AB518" i="26"/>
  <c r="Y47" i="27"/>
  <c r="G47" i="27" s="1"/>
  <c r="F47" i="6"/>
  <c r="L56" i="10"/>
  <c r="AF456" i="10"/>
  <c r="F47" i="9"/>
  <c r="H47" i="27"/>
  <c r="F40" i="10"/>
  <c r="AU440" i="10" s="1"/>
  <c r="G47" i="9"/>
  <c r="AR56" i="10"/>
  <c r="AA456" i="10"/>
  <c r="Y56" i="10"/>
  <c r="AB466" i="26"/>
  <c r="AD1390" i="10"/>
  <c r="AF1390" i="10"/>
  <c r="AG189" i="10"/>
  <c r="AI189" i="10"/>
  <c r="AN189" i="10"/>
  <c r="Y589" i="10"/>
  <c r="S189" i="10"/>
  <c r="AL589" i="10"/>
  <c r="G1264" i="10"/>
  <c r="AA1264" i="10"/>
  <c r="AC1264" i="10"/>
  <c r="W1264" i="10"/>
  <c r="AR1264" i="10"/>
  <c r="AT1264" i="10"/>
  <c r="Q1264" i="10"/>
  <c r="AK1264" i="10"/>
  <c r="AJ1264" i="10"/>
  <c r="AP1264" i="10"/>
  <c r="T1264" i="10"/>
  <c r="P1264" i="10"/>
  <c r="X1264" i="10"/>
  <c r="AM1264" i="10"/>
  <c r="N1264" i="10"/>
  <c r="AI1497" i="10"/>
  <c r="M1497" i="10"/>
  <c r="AK1497" i="10"/>
  <c r="AE1497" i="10"/>
  <c r="AA1497" i="10"/>
  <c r="S1497" i="10"/>
  <c r="Y1497" i="10"/>
  <c r="AT1497" i="10"/>
  <c r="N1497" i="10"/>
  <c r="U1497" i="10"/>
  <c r="AL1497" i="10"/>
  <c r="AP1497" i="10"/>
  <c r="AD1497" i="10"/>
  <c r="AO1497" i="10"/>
  <c r="AB1497" i="10"/>
  <c r="AQ1497" i="10"/>
  <c r="Q1497" i="10"/>
  <c r="AR1497" i="10"/>
  <c r="Z1351" i="10"/>
  <c r="AB1351" i="10"/>
  <c r="R1351" i="10"/>
  <c r="AO1351" i="10"/>
  <c r="AM1351" i="10"/>
  <c r="AI1351" i="10"/>
  <c r="AJ1351" i="10"/>
  <c r="X1351" i="10"/>
  <c r="P1351" i="10"/>
  <c r="M1351" i="10"/>
  <c r="T1351" i="10"/>
  <c r="AR1351" i="10"/>
  <c r="V1351" i="10"/>
  <c r="AP1351" i="10"/>
  <c r="AD1351" i="10"/>
  <c r="L1351" i="10"/>
  <c r="AK1351" i="10"/>
  <c r="Q1351" i="10"/>
  <c r="AT1351" i="10"/>
  <c r="AG1351" i="10"/>
  <c r="AC1351" i="10"/>
  <c r="AH1351" i="10"/>
  <c r="U1351" i="10"/>
  <c r="N1351" i="10"/>
  <c r="AQ1399" i="10"/>
  <c r="P1399" i="10"/>
  <c r="AB1399" i="10"/>
  <c r="AG1399" i="10"/>
  <c r="R1399" i="10"/>
  <c r="AA1399" i="10"/>
  <c r="AN1399" i="10"/>
  <c r="Y1399" i="10"/>
  <c r="AK1399" i="10"/>
  <c r="X1399" i="10"/>
  <c r="AM1399" i="10"/>
  <c r="AE1399" i="10"/>
  <c r="AL1399" i="10"/>
  <c r="U1399" i="10"/>
  <c r="J1399" i="10"/>
  <c r="AS1399" i="10"/>
  <c r="AR1399" i="10"/>
  <c r="AH1399" i="10"/>
  <c r="N1399" i="10"/>
  <c r="F125" i="6"/>
  <c r="G125" i="9"/>
  <c r="W1392" i="10"/>
  <c r="AT1392" i="10"/>
  <c r="AP1374" i="10"/>
  <c r="AR1374" i="10"/>
  <c r="AT1374" i="10"/>
  <c r="W1374" i="10"/>
  <c r="AJ1374" i="10"/>
  <c r="L1374" i="10"/>
  <c r="AD1374" i="10"/>
  <c r="T1374" i="10"/>
  <c r="AG1374" i="10"/>
  <c r="Z1374" i="10"/>
  <c r="AF1374" i="10"/>
  <c r="AE1374" i="10"/>
  <c r="Q1374" i="10"/>
  <c r="AI1374" i="10"/>
  <c r="M1374" i="10"/>
  <c r="P1374" i="10"/>
  <c r="U1374" i="10"/>
  <c r="AC1374" i="10"/>
  <c r="AO1374" i="10"/>
  <c r="AH1374" i="10"/>
  <c r="AF1392" i="10"/>
  <c r="G1392" i="10"/>
  <c r="AH1392" i="10"/>
  <c r="X1392" i="10"/>
  <c r="T1392" i="10"/>
  <c r="AR1392" i="10"/>
  <c r="R1392" i="10"/>
  <c r="AM1392" i="10"/>
  <c r="M1392" i="10"/>
  <c r="K1264" i="10"/>
  <c r="AR1304" i="10"/>
  <c r="AC1399" i="10"/>
  <c r="AI1264" i="10"/>
  <c r="AG1497" i="10"/>
  <c r="N1390" i="10"/>
  <c r="AC341" i="26"/>
  <c r="AI589" i="10"/>
  <c r="J1374" i="10"/>
  <c r="X1374" i="10"/>
  <c r="AM1497" i="10"/>
  <c r="X1497" i="10"/>
  <c r="T1497" i="10"/>
  <c r="G1497" i="10"/>
  <c r="V1374" i="10"/>
  <c r="AF1444" i="10"/>
  <c r="AI1444" i="10"/>
  <c r="AG1504" i="10"/>
  <c r="AL1504" i="10"/>
  <c r="AJ1504" i="10"/>
  <c r="Z1399" i="10"/>
  <c r="AT1399" i="10"/>
  <c r="T1399" i="10"/>
  <c r="AE1351" i="10"/>
  <c r="O1351" i="10"/>
  <c r="AD1264" i="10"/>
  <c r="S1498" i="10"/>
  <c r="Z1498" i="10"/>
  <c r="AA1277" i="10"/>
  <c r="AH1277" i="10"/>
  <c r="AL140" i="26"/>
  <c r="AC140" i="26"/>
  <c r="S1404" i="10"/>
  <c r="N1404" i="10"/>
  <c r="J1404" i="10"/>
  <c r="V1404" i="10"/>
  <c r="AD1404" i="10"/>
  <c r="AA1404" i="10"/>
  <c r="W1404" i="10"/>
  <c r="AS1374" i="10"/>
  <c r="Y1484" i="10"/>
  <c r="V1484" i="10"/>
  <c r="AF1484" i="10"/>
  <c r="AM1484" i="10"/>
  <c r="AO1484" i="10"/>
  <c r="R1484" i="10"/>
  <c r="W1265" i="10"/>
  <c r="X1265" i="10"/>
  <c r="AH1265" i="10"/>
  <c r="Q1265" i="10"/>
  <c r="O1265" i="10"/>
  <c r="S1552" i="10"/>
  <c r="L1552" i="10"/>
  <c r="AH1552" i="10"/>
  <c r="AT1552" i="10"/>
  <c r="T1552" i="10"/>
  <c r="AS1552" i="10"/>
  <c r="Y1351" i="10"/>
  <c r="K1351" i="10"/>
  <c r="S1351" i="10"/>
  <c r="X1250" i="10"/>
  <c r="AE1250" i="10"/>
  <c r="AN1250" i="10"/>
  <c r="N1222" i="10"/>
  <c r="AJ1399" i="10"/>
  <c r="AK1304" i="10"/>
  <c r="AN1264" i="10"/>
  <c r="AS1390" i="10"/>
  <c r="Q589" i="10"/>
  <c r="AC385" i="26"/>
  <c r="O1497" i="10"/>
  <c r="AB1374" i="10"/>
  <c r="AK1374" i="10"/>
  <c r="V1497" i="10"/>
  <c r="AJ1497" i="10"/>
  <c r="J1497" i="10"/>
  <c r="AC1497" i="10"/>
  <c r="AC74" i="26"/>
  <c r="AL74" i="26"/>
  <c r="J1264" i="10"/>
  <c r="K1250" i="10"/>
  <c r="AM1374" i="10"/>
  <c r="AN1374" i="10"/>
  <c r="AS1497" i="10"/>
  <c r="W1399" i="10"/>
  <c r="G1399" i="10"/>
  <c r="AT1486" i="10"/>
  <c r="N1486" i="10"/>
  <c r="AI1486" i="10"/>
  <c r="AF1486" i="10"/>
  <c r="AJ1486" i="10"/>
  <c r="J1351" i="10"/>
  <c r="AE1264" i="10"/>
  <c r="O1264" i="10"/>
  <c r="G1351" i="10"/>
  <c r="AB1405" i="10"/>
  <c r="AH1405" i="10"/>
  <c r="K1405" i="10"/>
  <c r="T1405" i="10"/>
  <c r="AO1405" i="10"/>
  <c r="AG1405" i="10"/>
  <c r="AB57" i="26"/>
  <c r="AB23" i="26"/>
  <c r="AB344" i="26"/>
  <c r="AC229" i="26"/>
  <c r="M456" i="10"/>
  <c r="P1482" i="10"/>
  <c r="AK81" i="26"/>
  <c r="AU81" i="26" s="1"/>
  <c r="S81" i="26" s="1"/>
  <c r="R81" i="26" s="1"/>
  <c r="AB462" i="26"/>
  <c r="AB419" i="26"/>
  <c r="Y125" i="27"/>
  <c r="G125" i="27" s="1"/>
  <c r="Y149" i="27"/>
  <c r="G149" i="27" s="1"/>
  <c r="G149" i="6"/>
  <c r="F125" i="9"/>
  <c r="J1226" i="10"/>
  <c r="AP1226" i="10"/>
  <c r="AR1371" i="10"/>
  <c r="O1371" i="10"/>
  <c r="AR1334" i="10"/>
  <c r="AD1384" i="10"/>
  <c r="Z1403" i="10"/>
  <c r="W1569" i="10"/>
  <c r="AX612" i="10"/>
  <c r="AB54" i="26"/>
  <c r="AD54" i="26" s="1"/>
  <c r="O54" i="26" s="1"/>
  <c r="AN1552" i="10"/>
  <c r="Y1552" i="10"/>
  <c r="R1552" i="10"/>
  <c r="G1552" i="10"/>
  <c r="Y1265" i="10"/>
  <c r="AE1265" i="10"/>
  <c r="AJ1265" i="10"/>
  <c r="AG1484" i="10"/>
  <c r="AR1484" i="10"/>
  <c r="W1484" i="10"/>
  <c r="P1484" i="10"/>
  <c r="N308" i="10"/>
  <c r="S1451" i="10"/>
  <c r="W1352" i="10"/>
  <c r="R1352" i="10"/>
  <c r="AH1538" i="10"/>
  <c r="AK1265" i="10"/>
  <c r="S708" i="10"/>
  <c r="Q1538" i="10"/>
  <c r="AK1538" i="10"/>
  <c r="BD47" i="26"/>
  <c r="BF47" i="26" s="1"/>
  <c r="F47" i="10"/>
  <c r="R47" i="10" s="1"/>
  <c r="F380" i="10"/>
  <c r="Y780" i="10" s="1"/>
  <c r="BD380" i="26"/>
  <c r="W380" i="27"/>
  <c r="E380" i="27" s="1"/>
  <c r="F66" i="10"/>
  <c r="U66" i="10" s="1"/>
  <c r="G66" i="10"/>
  <c r="Y1538" i="10"/>
  <c r="AE1263" i="10"/>
  <c r="AH1263" i="10"/>
  <c r="AL1263" i="10"/>
  <c r="Q1263" i="10"/>
  <c r="P1263" i="10"/>
  <c r="S1263" i="10"/>
  <c r="AI1263" i="10"/>
  <c r="K1263" i="10"/>
  <c r="AG1263" i="10"/>
  <c r="AD1263" i="10"/>
  <c r="X1263" i="10"/>
  <c r="AF1263" i="10"/>
  <c r="AB1263" i="10"/>
  <c r="AC1538" i="10"/>
  <c r="AJ1538" i="10"/>
  <c r="R1538" i="10"/>
  <c r="AC310" i="26"/>
  <c r="AT612" i="10"/>
  <c r="S612" i="10"/>
  <c r="AK212" i="10"/>
  <c r="AN212" i="10"/>
  <c r="AB612" i="10"/>
  <c r="K212" i="10"/>
  <c r="X212" i="10"/>
  <c r="AF612" i="10"/>
  <c r="AM212" i="10"/>
  <c r="N612" i="10"/>
  <c r="AD1250" i="10"/>
  <c r="V1250" i="10"/>
  <c r="AL1250" i="10"/>
  <c r="AQ1250" i="10"/>
  <c r="AB209" i="26"/>
  <c r="AC209" i="26"/>
  <c r="AL209" i="26"/>
  <c r="AC262" i="26"/>
  <c r="AL262" i="26"/>
  <c r="AT1484" i="10"/>
  <c r="AA1484" i="10"/>
  <c r="AL1484" i="10"/>
  <c r="S1484" i="10"/>
  <c r="AB1484" i="10"/>
  <c r="AK1484" i="10"/>
  <c r="AJ1484" i="10"/>
  <c r="AI1484" i="10"/>
  <c r="N1484" i="10"/>
  <c r="AP1484" i="10"/>
  <c r="L1484" i="10"/>
  <c r="AE1484" i="10"/>
  <c r="AN1484" i="10"/>
  <c r="O1484" i="10"/>
  <c r="Q1484" i="10"/>
  <c r="AD1484" i="10"/>
  <c r="AS1484" i="10"/>
  <c r="J1484" i="10"/>
  <c r="V1265" i="10"/>
  <c r="M1265" i="10"/>
  <c r="AT1265" i="10"/>
  <c r="P1265" i="10"/>
  <c r="R1265" i="10"/>
  <c r="L1265" i="10"/>
  <c r="AF1265" i="10"/>
  <c r="U1265" i="10"/>
  <c r="AD1265" i="10"/>
  <c r="AO1265" i="10"/>
  <c r="J1265" i="10"/>
  <c r="AS1265" i="10"/>
  <c r="N1265" i="10"/>
  <c r="AG1265" i="10"/>
  <c r="AL1265" i="10"/>
  <c r="T1265" i="10"/>
  <c r="AB1265" i="10"/>
  <c r="G1265" i="10"/>
  <c r="AM1552" i="10"/>
  <c r="U1552" i="10"/>
  <c r="P1552" i="10"/>
  <c r="AL1552" i="10"/>
  <c r="AD1552" i="10"/>
  <c r="AE1552" i="10"/>
  <c r="AG1552" i="10"/>
  <c r="V1552" i="10"/>
  <c r="AI1552" i="10"/>
  <c r="J1552" i="10"/>
  <c r="AK1552" i="10"/>
  <c r="AP1552" i="10"/>
  <c r="AR1552" i="10"/>
  <c r="AF1552" i="10"/>
  <c r="Z1552" i="10"/>
  <c r="X1552" i="10"/>
  <c r="N1552" i="10"/>
  <c r="AO1552" i="10"/>
  <c r="AC1552" i="10"/>
  <c r="O708" i="10"/>
  <c r="L708" i="10"/>
  <c r="AN708" i="10"/>
  <c r="AB1538" i="10"/>
  <c r="AR1538" i="10"/>
  <c r="T1538" i="10"/>
  <c r="X1538" i="10"/>
  <c r="O1538" i="10"/>
  <c r="AT1538" i="10"/>
  <c r="AQ1538" i="10"/>
  <c r="W1538" i="10"/>
  <c r="U1538" i="10"/>
  <c r="AN1538" i="10"/>
  <c r="AE1538" i="10"/>
  <c r="AM1538" i="10"/>
  <c r="AA1538" i="10"/>
  <c r="K1538" i="10"/>
  <c r="S1538" i="10"/>
  <c r="J1538" i="10"/>
  <c r="AL1538" i="10"/>
  <c r="AP1538" i="10"/>
  <c r="V1538" i="10"/>
  <c r="AB517" i="26"/>
  <c r="Z517" i="26"/>
  <c r="AE517" i="26" s="1"/>
  <c r="AG517" i="26" s="1"/>
  <c r="AC1451" i="10"/>
  <c r="AF1451" i="10"/>
  <c r="Q1451" i="10"/>
  <c r="P1451" i="10"/>
  <c r="N1451" i="10"/>
  <c r="W1451" i="10"/>
  <c r="U1451" i="10"/>
  <c r="AM1451" i="10"/>
  <c r="AS1451" i="10"/>
  <c r="AH1451" i="10"/>
  <c r="AK1451" i="10"/>
  <c r="AT1451" i="10"/>
  <c r="R1451" i="10"/>
  <c r="O1451" i="10"/>
  <c r="AG1451" i="10"/>
  <c r="AD1451" i="10"/>
  <c r="X1451" i="10"/>
  <c r="AB1451" i="10"/>
  <c r="K1451" i="10"/>
  <c r="AO1451" i="10"/>
  <c r="AQ1334" i="10"/>
  <c r="AJ1334" i="10"/>
  <c r="Z1384" i="10"/>
  <c r="AH1403" i="10"/>
  <c r="R1250" i="10"/>
  <c r="W1232" i="10"/>
  <c r="Y1334" i="10"/>
  <c r="Z212" i="10"/>
  <c r="P1357" i="10"/>
  <c r="AB307" i="26"/>
  <c r="AD307" i="26" s="1"/>
  <c r="AW212" i="10"/>
  <c r="L1250" i="10"/>
  <c r="AL300" i="26"/>
  <c r="O1552" i="10"/>
  <c r="AA1552" i="10"/>
  <c r="AQ1552" i="10"/>
  <c r="AJ1552" i="10"/>
  <c r="AA1250" i="10"/>
  <c r="W1250" i="10"/>
  <c r="AP1265" i="10"/>
  <c r="AA1265" i="10"/>
  <c r="AC1265" i="10"/>
  <c r="L1451" i="10"/>
  <c r="AE1451" i="10"/>
  <c r="Y1451" i="10"/>
  <c r="X1484" i="10"/>
  <c r="AH1484" i="10"/>
  <c r="K1484" i="10"/>
  <c r="T1484" i="10"/>
  <c r="O308" i="10"/>
  <c r="M1484" i="10"/>
  <c r="AC708" i="10"/>
  <c r="AY308" i="10"/>
  <c r="AE1285" i="10"/>
  <c r="AD1285" i="10"/>
  <c r="AB310" i="26"/>
  <c r="AO1538" i="10"/>
  <c r="AD1538" i="10"/>
  <c r="P1538" i="10"/>
  <c r="AS1538" i="10"/>
  <c r="M1538" i="10"/>
  <c r="AI1538" i="10"/>
  <c r="AC239" i="26"/>
  <c r="AL239" i="26"/>
  <c r="W132" i="27"/>
  <c r="E132" i="27" s="1"/>
  <c r="F132" i="10"/>
  <c r="T532" i="10" s="1"/>
  <c r="AA1405" i="10"/>
  <c r="AE1405" i="10"/>
  <c r="L1538" i="10"/>
  <c r="AB181" i="26"/>
  <c r="AB262" i="26"/>
  <c r="AB300" i="26"/>
  <c r="AD300" i="26" s="1"/>
  <c r="AB280" i="26"/>
  <c r="F144" i="10"/>
  <c r="AL544" i="10" s="1"/>
  <c r="W47" i="27"/>
  <c r="E47" i="27" s="1"/>
  <c r="W66" i="27"/>
  <c r="E66" i="27" s="1"/>
  <c r="AQ589" i="10"/>
  <c r="AT189" i="10"/>
  <c r="AY189" i="10"/>
  <c r="X589" i="10"/>
  <c r="W318" i="27"/>
  <c r="E318" i="27" s="1"/>
  <c r="Z470" i="26"/>
  <c r="AE470" i="26" s="1"/>
  <c r="AO456" i="10"/>
  <c r="AE56" i="10"/>
  <c r="U219" i="10"/>
  <c r="K189" i="10"/>
  <c r="AP589" i="10"/>
  <c r="U589" i="10"/>
  <c r="K456" i="10"/>
  <c r="Z56" i="10"/>
  <c r="AB503" i="26"/>
  <c r="AJ503" i="26" s="1"/>
  <c r="F126" i="9"/>
  <c r="AB475" i="26"/>
  <c r="AJ1261" i="10"/>
  <c r="AN1261" i="10"/>
  <c r="W1261" i="10"/>
  <c r="AS1261" i="10"/>
  <c r="AO1261" i="10"/>
  <c r="V1295" i="10"/>
  <c r="AE1295" i="10"/>
  <c r="AC1295" i="10"/>
  <c r="AP1295" i="10"/>
  <c r="Z1295" i="10"/>
  <c r="AK1357" i="10"/>
  <c r="Q1357" i="10"/>
  <c r="G1357" i="10"/>
  <c r="AP1357" i="10"/>
  <c r="J699" i="10"/>
  <c r="AC299" i="10"/>
  <c r="AC258" i="26"/>
  <c r="AE258" i="26" s="1"/>
  <c r="AL258" i="26"/>
  <c r="AQ258" i="26" s="1"/>
  <c r="AR258" i="26" s="1"/>
  <c r="I308" i="9"/>
  <c r="H308" i="6"/>
  <c r="AJ308" i="10"/>
  <c r="AN308" i="10"/>
  <c r="T708" i="10"/>
  <c r="AY708" i="10"/>
  <c r="AO308" i="10"/>
  <c r="AF708" i="10"/>
  <c r="AX708" i="10"/>
  <c r="AQ308" i="10"/>
  <c r="AT308" i="10"/>
  <c r="Y308" i="10"/>
  <c r="J308" i="10"/>
  <c r="AS708" i="10"/>
  <c r="W708" i="10"/>
  <c r="M708" i="10"/>
  <c r="AQ708" i="10"/>
  <c r="Q308" i="10"/>
  <c r="AK308" i="10"/>
  <c r="Z308" i="10"/>
  <c r="AB308" i="10"/>
  <c r="AA308" i="10"/>
  <c r="AH308" i="10"/>
  <c r="V308" i="10"/>
  <c r="V1334" i="10"/>
  <c r="Z1334" i="10"/>
  <c r="AG1334" i="10"/>
  <c r="AF1334" i="10"/>
  <c r="AD1334" i="10"/>
  <c r="AN1381" i="10"/>
  <c r="AM1455" i="10"/>
  <c r="Z1455" i="10"/>
  <c r="AO1371" i="10"/>
  <c r="AB1295" i="10"/>
  <c r="AK1520" i="10"/>
  <c r="V1234" i="10"/>
  <c r="AA1371" i="10"/>
  <c r="X1261" i="10"/>
  <c r="AR1295" i="10"/>
  <c r="AC371" i="26"/>
  <c r="AA1357" i="10"/>
  <c r="AB50" i="26"/>
  <c r="AD50" i="26" s="1"/>
  <c r="O50" i="26" s="1"/>
  <c r="AF1261" i="10"/>
  <c r="Q1295" i="10"/>
  <c r="AB447" i="26"/>
  <c r="X308" i="10"/>
  <c r="AB708" i="10"/>
  <c r="AP708" i="10"/>
  <c r="AM708" i="10"/>
  <c r="N708" i="10"/>
  <c r="AL348" i="26"/>
  <c r="AC348" i="26"/>
  <c r="Q1336" i="10"/>
  <c r="K1336" i="10"/>
  <c r="AF1336" i="10"/>
  <c r="R1336" i="10"/>
  <c r="AA1336" i="10"/>
  <c r="AB1336" i="10"/>
  <c r="AP1336" i="10"/>
  <c r="AK1336" i="10"/>
  <c r="M1336" i="10"/>
  <c r="AE1336" i="10"/>
  <c r="AT1336" i="10"/>
  <c r="V1336" i="10"/>
  <c r="AJ1336" i="10"/>
  <c r="AH1446" i="10"/>
  <c r="AK1334" i="10"/>
  <c r="AS1334" i="10"/>
  <c r="AT1334" i="10"/>
  <c r="L1334" i="10"/>
  <c r="O1334" i="10"/>
  <c r="G1334" i="10"/>
  <c r="AT1357" i="10"/>
  <c r="AB1371" i="10"/>
  <c r="AB1260" i="10"/>
  <c r="L1371" i="10"/>
  <c r="AF1357" i="10"/>
  <c r="L1261" i="10"/>
  <c r="AD1357" i="10"/>
  <c r="S1357" i="10"/>
  <c r="AD1261" i="10"/>
  <c r="AD1295" i="10"/>
  <c r="Z1357" i="10"/>
  <c r="AN1572" i="10"/>
  <c r="AR1572" i="10"/>
  <c r="L1572" i="10"/>
  <c r="AQ1589" i="10"/>
  <c r="AP1589" i="10"/>
  <c r="AE1589" i="10"/>
  <c r="W169" i="27"/>
  <c r="E169" i="27" s="1"/>
  <c r="G169" i="10"/>
  <c r="P1471" i="10"/>
  <c r="AA1471" i="10"/>
  <c r="J1548" i="10"/>
  <c r="AC1548" i="10"/>
  <c r="Y1548" i="10"/>
  <c r="AB1548" i="10"/>
  <c r="W1334" i="10"/>
  <c r="N1334" i="10"/>
  <c r="Q1334" i="10"/>
  <c r="AA1334" i="10"/>
  <c r="AP1334" i="10"/>
  <c r="AC1381" i="10"/>
  <c r="W1455" i="10"/>
  <c r="AM1357" i="10"/>
  <c r="AK1234" i="10"/>
  <c r="J1520" i="10"/>
  <c r="X1371" i="10"/>
  <c r="L1340" i="10"/>
  <c r="AF1295" i="10"/>
  <c r="AL1357" i="10"/>
  <c r="AS1357" i="10"/>
  <c r="P1295" i="10"/>
  <c r="AA1520" i="10"/>
  <c r="AM1520" i="10"/>
  <c r="AC130" i="26"/>
  <c r="H315" i="6"/>
  <c r="F51" i="10"/>
  <c r="AJ451" i="10" s="1"/>
  <c r="BD132" i="26"/>
  <c r="AQ1357" i="10"/>
  <c r="AL167" i="26"/>
  <c r="AC167" i="26"/>
  <c r="AC1261" i="10"/>
  <c r="AT1295" i="10"/>
  <c r="AB1340" i="10"/>
  <c r="AB1357" i="10"/>
  <c r="AF308" i="10"/>
  <c r="W1548" i="10"/>
  <c r="R1561" i="10"/>
  <c r="AS1572" i="10"/>
  <c r="W308" i="27"/>
  <c r="E308" i="27" s="1"/>
  <c r="J708" i="10"/>
  <c r="Q1324" i="10"/>
  <c r="AR1324" i="10"/>
  <c r="AS1324" i="10"/>
  <c r="AA1324" i="10"/>
  <c r="K1324" i="10"/>
  <c r="R708" i="10"/>
  <c r="AB64" i="26"/>
  <c r="K708" i="10"/>
  <c r="AV708" i="10"/>
  <c r="V708" i="10"/>
  <c r="AI1575" i="10"/>
  <c r="AJ1575" i="10"/>
  <c r="G100" i="10"/>
  <c r="W100" i="27"/>
  <c r="E100" i="27" s="1"/>
  <c r="AC254" i="26"/>
  <c r="AL254" i="26"/>
  <c r="AU589" i="10"/>
  <c r="R189" i="10"/>
  <c r="K589" i="10"/>
  <c r="AN589" i="10"/>
  <c r="L589" i="10"/>
  <c r="R589" i="10"/>
  <c r="AA589" i="10"/>
  <c r="Z589" i="10"/>
  <c r="P1250" i="10"/>
  <c r="AJ1250" i="10"/>
  <c r="AT1250" i="10"/>
  <c r="Q1250" i="10"/>
  <c r="AF1250" i="10"/>
  <c r="AM1250" i="10"/>
  <c r="O1250" i="10"/>
  <c r="S1250" i="10"/>
  <c r="J1250" i="10"/>
  <c r="Z1250" i="10"/>
  <c r="AH456" i="10"/>
  <c r="O456" i="10"/>
  <c r="S456" i="10"/>
  <c r="N456" i="10"/>
  <c r="S56" i="10"/>
  <c r="AQ456" i="10"/>
  <c r="AQ56" i="10"/>
  <c r="AR456" i="10"/>
  <c r="AP56" i="10"/>
  <c r="U56" i="10"/>
  <c r="AT56" i="10"/>
  <c r="P56" i="10"/>
  <c r="AL306" i="26"/>
  <c r="AC306" i="26"/>
  <c r="AP1308" i="10"/>
  <c r="AN1308" i="10"/>
  <c r="L1308" i="10"/>
  <c r="Q1308" i="10"/>
  <c r="J1308" i="10"/>
  <c r="O1308" i="10"/>
  <c r="AG1308" i="10"/>
  <c r="K1308" i="10"/>
  <c r="X1308" i="10"/>
  <c r="W1308" i="10"/>
  <c r="AE1308" i="10"/>
  <c r="AF1308" i="10"/>
  <c r="AK1308" i="10"/>
  <c r="AR1308" i="10"/>
  <c r="AT1308" i="10"/>
  <c r="AJ1308" i="10"/>
  <c r="R1308" i="10"/>
  <c r="AL1308" i="10"/>
  <c r="AM1308" i="10"/>
  <c r="AH1308" i="10"/>
  <c r="AC1308" i="10"/>
  <c r="J1446" i="10"/>
  <c r="AG1446" i="10"/>
  <c r="Z1446" i="10"/>
  <c r="M1446" i="10"/>
  <c r="N1446" i="10"/>
  <c r="AD1446" i="10"/>
  <c r="AE1446" i="10"/>
  <c r="AT1446" i="10"/>
  <c r="W1446" i="10"/>
  <c r="K1446" i="10"/>
  <c r="AM1446" i="10"/>
  <c r="AS1446" i="10"/>
  <c r="AI1446" i="10"/>
  <c r="AR1446" i="10"/>
  <c r="AB161" i="26"/>
  <c r="AB227" i="26"/>
  <c r="AB285" i="26"/>
  <c r="AB215" i="26"/>
  <c r="AB341" i="26"/>
  <c r="AB282" i="26"/>
  <c r="H323" i="9"/>
  <c r="H324" i="9"/>
  <c r="H324" i="6"/>
  <c r="AD324" i="6" s="1"/>
  <c r="I324" i="9"/>
  <c r="AP767" i="10"/>
  <c r="Z767" i="10"/>
  <c r="U725" i="10"/>
  <c r="BD84" i="26"/>
  <c r="H315" i="9"/>
  <c r="H308" i="9"/>
  <c r="AD308" i="9" s="1"/>
  <c r="AL325" i="10"/>
  <c r="W158" i="27"/>
  <c r="E158" i="27" s="1"/>
  <c r="W76" i="27"/>
  <c r="E76" i="27" s="1"/>
  <c r="Z708" i="10"/>
  <c r="AR708" i="10"/>
  <c r="Q708" i="10"/>
  <c r="Y708" i="10"/>
  <c r="R308" i="10"/>
  <c r="BE67" i="26"/>
  <c r="AG308" i="10"/>
  <c r="AP308" i="10"/>
  <c r="P308" i="10"/>
  <c r="BD20" i="26"/>
  <c r="AI708" i="10"/>
  <c r="M308" i="10"/>
  <c r="U708" i="10"/>
  <c r="AI308" i="10"/>
  <c r="AX308" i="10"/>
  <c r="K308" i="10"/>
  <c r="AD708" i="10"/>
  <c r="AS308" i="10"/>
  <c r="AU708" i="10"/>
  <c r="AG708" i="10"/>
  <c r="AA708" i="10"/>
  <c r="AE219" i="10"/>
  <c r="BE149" i="26"/>
  <c r="W332" i="27"/>
  <c r="E332" i="27" s="1"/>
  <c r="N725" i="10"/>
  <c r="S308" i="10"/>
  <c r="AE308" i="10"/>
  <c r="AW308" i="10"/>
  <c r="P708" i="10"/>
  <c r="AC308" i="10"/>
  <c r="BD308" i="26"/>
  <c r="AL708" i="10"/>
  <c r="U308" i="10"/>
  <c r="AT708" i="10"/>
  <c r="L308" i="10"/>
  <c r="X708" i="10"/>
  <c r="AH708" i="10"/>
  <c r="T308" i="10"/>
  <c r="W308" i="10"/>
  <c r="AW708" i="10"/>
  <c r="AK708" i="10"/>
  <c r="AO708" i="10"/>
  <c r="AR308" i="10"/>
  <c r="AJ708" i="10"/>
  <c r="AM308" i="10"/>
  <c r="AL308" i="10"/>
  <c r="AV308" i="10"/>
  <c r="AD308" i="10"/>
  <c r="G169" i="9"/>
  <c r="G76" i="9"/>
  <c r="J1390" i="10"/>
  <c r="P1390" i="10"/>
  <c r="AQ1390" i="10"/>
  <c r="AP1390" i="10"/>
  <c r="AM1390" i="10"/>
  <c r="AE1390" i="10"/>
  <c r="AD1335" i="10"/>
  <c r="N1335" i="10"/>
  <c r="AM1215" i="10"/>
  <c r="Y1215" i="10"/>
  <c r="AC1215" i="10"/>
  <c r="AC102" i="26"/>
  <c r="AL102" i="26"/>
  <c r="AR699" i="10"/>
  <c r="AB699" i="10"/>
  <c r="AD699" i="10"/>
  <c r="R299" i="10"/>
  <c r="AY299" i="10"/>
  <c r="M699" i="10"/>
  <c r="N299" i="10"/>
  <c r="AF1277" i="10"/>
  <c r="AD1215" i="10"/>
  <c r="AK1551" i="10"/>
  <c r="S1445" i="10"/>
  <c r="G1390" i="10"/>
  <c r="AO1390" i="10"/>
  <c r="L1390" i="10"/>
  <c r="T1390" i="10"/>
  <c r="Z1390" i="10"/>
  <c r="AL21" i="26"/>
  <c r="U699" i="10"/>
  <c r="AK699" i="10"/>
  <c r="W299" i="27"/>
  <c r="E299" i="27" s="1"/>
  <c r="AN1215" i="10"/>
  <c r="R1215" i="10"/>
  <c r="AE612" i="10"/>
  <c r="AG212" i="10"/>
  <c r="AD612" i="10"/>
  <c r="U612" i="10"/>
  <c r="AI612" i="10"/>
  <c r="J612" i="10"/>
  <c r="AB30" i="26"/>
  <c r="O1277" i="10"/>
  <c r="AL220" i="26"/>
  <c r="AC220" i="26"/>
  <c r="AE220" i="26" s="1"/>
  <c r="AC83" i="26"/>
  <c r="AB83" i="26"/>
  <c r="F353" i="10"/>
  <c r="P353" i="10" s="1"/>
  <c r="Y256" i="27"/>
  <c r="G256" i="27" s="1"/>
  <c r="F256" i="6"/>
  <c r="AA256" i="6" s="1"/>
  <c r="AK1405" i="10"/>
  <c r="Q1405" i="10"/>
  <c r="G1405" i="10"/>
  <c r="F315" i="10"/>
  <c r="AM715" i="10" s="1"/>
  <c r="W315" i="27"/>
  <c r="E315" i="27" s="1"/>
  <c r="AB371" i="26"/>
  <c r="AB151" i="26"/>
  <c r="AD151" i="26" s="1"/>
  <c r="K1413" i="10"/>
  <c r="AS1413" i="10"/>
  <c r="AC80" i="26"/>
  <c r="AL80" i="26"/>
  <c r="AG1277" i="10"/>
  <c r="AL1215" i="10"/>
  <c r="M1304" i="10"/>
  <c r="AA1304" i="10"/>
  <c r="AF1304" i="10"/>
  <c r="Z1304" i="10"/>
  <c r="AB21" i="26"/>
  <c r="AD21" i="26" s="1"/>
  <c r="AK1390" i="10"/>
  <c r="AT1390" i="10"/>
  <c r="O1390" i="10"/>
  <c r="AC1390" i="10"/>
  <c r="AD1222" i="10"/>
  <c r="P699" i="10"/>
  <c r="AN299" i="10"/>
  <c r="M1215" i="10"/>
  <c r="O1215" i="10"/>
  <c r="AB313" i="26"/>
  <c r="AK537" i="10"/>
  <c r="AF1405" i="10"/>
  <c r="G315" i="9"/>
  <c r="Y315" i="27"/>
  <c r="G315" i="27" s="1"/>
  <c r="AX699" i="10"/>
  <c r="AG1250" i="10"/>
  <c r="AK1250" i="10"/>
  <c r="AB1250" i="10"/>
  <c r="AI1250" i="10"/>
  <c r="AP1250" i="10"/>
  <c r="M1250" i="10"/>
  <c r="U1250" i="10"/>
  <c r="AS1250" i="10"/>
  <c r="AH1250" i="10"/>
  <c r="AR1250" i="10"/>
  <c r="N1250" i="10"/>
  <c r="AO1250" i="10"/>
  <c r="AC1250" i="10"/>
  <c r="G1250" i="10"/>
  <c r="T1250" i="10"/>
  <c r="Y1250" i="10"/>
  <c r="AK1277" i="10"/>
  <c r="L1322" i="10"/>
  <c r="Z1215" i="10"/>
  <c r="K1304" i="10"/>
  <c r="R1391" i="10"/>
  <c r="AB1304" i="10"/>
  <c r="Q1304" i="10"/>
  <c r="AB80" i="26"/>
  <c r="K1390" i="10"/>
  <c r="AB1390" i="10"/>
  <c r="AJ1390" i="10"/>
  <c r="AR1390" i="10"/>
  <c r="Q1390" i="10"/>
  <c r="BD256" i="26"/>
  <c r="H189" i="6"/>
  <c r="AF299" i="10"/>
  <c r="AY699" i="10"/>
  <c r="AJ1215" i="10"/>
  <c r="AK1215" i="10"/>
  <c r="L137" i="10"/>
  <c r="AG1241" i="10"/>
  <c r="K1241" i="10"/>
  <c r="AD1381" i="10"/>
  <c r="AR1381" i="10"/>
  <c r="G1336" i="10"/>
  <c r="AI1336" i="10"/>
  <c r="Y1336" i="10"/>
  <c r="X1336" i="10"/>
  <c r="U1336" i="10"/>
  <c r="L1336" i="10"/>
  <c r="AQ1336" i="10"/>
  <c r="O1336" i="10"/>
  <c r="S1336" i="10"/>
  <c r="N1336" i="10"/>
  <c r="AC1336" i="10"/>
  <c r="AK271" i="26"/>
  <c r="AB175" i="26"/>
  <c r="AD175" i="26" s="1"/>
  <c r="AB348" i="26"/>
  <c r="AB271" i="26"/>
  <c r="AD271" i="26" s="1"/>
  <c r="AK348" i="26"/>
  <c r="AB267" i="26"/>
  <c r="R1264" i="10"/>
  <c r="AB291" i="26"/>
  <c r="AB202" i="26"/>
  <c r="AB200" i="26"/>
  <c r="AB37" i="26"/>
  <c r="AB150" i="26"/>
  <c r="AD150" i="26" s="1"/>
  <c r="AB239" i="26"/>
  <c r="AB258" i="26"/>
  <c r="AB385" i="26"/>
  <c r="AX485" i="26"/>
  <c r="F317" i="6"/>
  <c r="H299" i="6"/>
  <c r="I323" i="9"/>
  <c r="F374" i="9"/>
  <c r="H318" i="6"/>
  <c r="F374" i="6"/>
  <c r="F256" i="9"/>
  <c r="Y317" i="27"/>
  <c r="G317" i="27" s="1"/>
  <c r="I318" i="9"/>
  <c r="G374" i="6"/>
  <c r="Z494" i="26"/>
  <c r="AE494" i="26" s="1"/>
  <c r="AG494" i="26" s="1"/>
  <c r="AQ494" i="26" s="1"/>
  <c r="G144" i="10"/>
  <c r="F302" i="10"/>
  <c r="AM302" i="10" s="1"/>
  <c r="R537" i="10"/>
  <c r="AI137" i="10"/>
  <c r="F106" i="27"/>
  <c r="Z456" i="10"/>
  <c r="AN456" i="10"/>
  <c r="AX56" i="10"/>
  <c r="M56" i="10"/>
  <c r="R456" i="10"/>
  <c r="AY56" i="10"/>
  <c r="AG56" i="10"/>
  <c r="AU456" i="10"/>
  <c r="AB56" i="10"/>
  <c r="AS456" i="10"/>
  <c r="N56" i="10"/>
  <c r="AD56" i="10"/>
  <c r="L456" i="10"/>
  <c r="AS56" i="10"/>
  <c r="AB456" i="10"/>
  <c r="AI56" i="10"/>
  <c r="AC56" i="10"/>
  <c r="AW537" i="10"/>
  <c r="M137" i="10"/>
  <c r="U456" i="10"/>
  <c r="AA56" i="10"/>
  <c r="AJ456" i="10"/>
  <c r="K56" i="10"/>
  <c r="W56" i="10"/>
  <c r="AK56" i="10"/>
  <c r="T56" i="10"/>
  <c r="AV456" i="10"/>
  <c r="AD456" i="10"/>
  <c r="R56" i="10"/>
  <c r="AV56" i="10"/>
  <c r="AM56" i="10"/>
  <c r="AK456" i="10"/>
  <c r="Y456" i="10"/>
  <c r="J456" i="10"/>
  <c r="AL56" i="10"/>
  <c r="AN56" i="10"/>
  <c r="V456" i="10"/>
  <c r="AW56" i="10"/>
  <c r="W106" i="27"/>
  <c r="E106" i="27" s="1"/>
  <c r="AM767" i="10"/>
  <c r="Y325" i="27"/>
  <c r="G325" i="27" s="1"/>
  <c r="AS767" i="10"/>
  <c r="W339" i="27"/>
  <c r="E339" i="27" s="1"/>
  <c r="F325" i="9"/>
  <c r="F339" i="10"/>
  <c r="X339" i="10" s="1"/>
  <c r="Q137" i="10"/>
  <c r="AC456" i="10"/>
  <c r="AL456" i="10"/>
  <c r="AX456" i="10"/>
  <c r="W56" i="27"/>
  <c r="E56" i="27" s="1"/>
  <c r="AG456" i="10"/>
  <c r="AY456" i="10"/>
  <c r="AW456" i="10"/>
  <c r="W456" i="10"/>
  <c r="P456" i="10"/>
  <c r="X56" i="10"/>
  <c r="X456" i="10"/>
  <c r="AM456" i="10"/>
  <c r="AO56" i="10"/>
  <c r="AT456" i="10"/>
  <c r="AF56" i="10"/>
  <c r="AI456" i="10"/>
  <c r="V56" i="10"/>
  <c r="AE456" i="10"/>
  <c r="O56" i="10"/>
  <c r="AP456" i="10"/>
  <c r="F106" i="10"/>
  <c r="Q506" i="10" s="1"/>
  <c r="Q56" i="10"/>
  <c r="Q456" i="10"/>
  <c r="BD106" i="26"/>
  <c r="G263" i="9"/>
  <c r="BE325" i="26"/>
  <c r="G65" i="9"/>
  <c r="F263" i="9"/>
  <c r="F263" i="6"/>
  <c r="AA263" i="6" s="1"/>
  <c r="Y65" i="27"/>
  <c r="G65" i="27" s="1"/>
  <c r="F65" i="9"/>
  <c r="G1243" i="10"/>
  <c r="AO1243" i="10"/>
  <c r="AJ1561" i="10"/>
  <c r="K1561" i="10"/>
  <c r="AO1561" i="10"/>
  <c r="S1285" i="10"/>
  <c r="AF1285" i="10"/>
  <c r="AP1340" i="10"/>
  <c r="T1340" i="10"/>
  <c r="AG1340" i="10"/>
  <c r="G1404" i="10"/>
  <c r="AK1404" i="10"/>
  <c r="Q1404" i="10"/>
  <c r="AJ1404" i="10"/>
  <c r="AR1404" i="10"/>
  <c r="O1404" i="10"/>
  <c r="AQ1404" i="10"/>
  <c r="AC1404" i="10"/>
  <c r="AL1404" i="10"/>
  <c r="AH1381" i="10"/>
  <c r="Q1381" i="10"/>
  <c r="AQ1381" i="10"/>
  <c r="AO1381" i="10"/>
  <c r="N1381" i="10"/>
  <c r="AJ1582" i="10"/>
  <c r="AR1582" i="10"/>
  <c r="AC127" i="26"/>
  <c r="AL127" i="26"/>
  <c r="AG1335" i="10"/>
  <c r="AP1470" i="10"/>
  <c r="AM1381" i="10"/>
  <c r="S1322" i="10"/>
  <c r="P1455" i="10"/>
  <c r="AB254" i="26"/>
  <c r="AO1404" i="10"/>
  <c r="R1404" i="10"/>
  <c r="X1285" i="10"/>
  <c r="T1391" i="10"/>
  <c r="AC1232" i="10"/>
  <c r="Y353" i="27"/>
  <c r="G353" i="27" s="1"/>
  <c r="AT1413" i="10"/>
  <c r="AU612" i="10"/>
  <c r="AV212" i="10"/>
  <c r="L612" i="10"/>
  <c r="AC212" i="10"/>
  <c r="T612" i="10"/>
  <c r="AR612" i="10"/>
  <c r="AV612" i="10"/>
  <c r="AK612" i="10"/>
  <c r="AQ212" i="10"/>
  <c r="J212" i="10"/>
  <c r="V189" i="10"/>
  <c r="AQ189" i="10"/>
  <c r="AJ189" i="10"/>
  <c r="AT589" i="10"/>
  <c r="U189" i="10"/>
  <c r="AV589" i="10"/>
  <c r="P589" i="10"/>
  <c r="M589" i="10"/>
  <c r="AO589" i="10"/>
  <c r="AX189" i="10"/>
  <c r="Y1222" i="10"/>
  <c r="AJ1357" i="10"/>
  <c r="V1357" i="10"/>
  <c r="AH1357" i="10"/>
  <c r="AB165" i="26"/>
  <c r="G325" i="10"/>
  <c r="AN725" i="10"/>
  <c r="W589" i="10"/>
  <c r="AO612" i="10"/>
  <c r="AL54" i="26"/>
  <c r="L1404" i="10"/>
  <c r="AB127" i="26"/>
  <c r="Z1243" i="10"/>
  <c r="AL1261" i="10"/>
  <c r="T1261" i="10"/>
  <c r="Q1285" i="10"/>
  <c r="N1295" i="10"/>
  <c r="AS1340" i="10"/>
  <c r="P1381" i="10"/>
  <c r="P1404" i="10"/>
  <c r="T1404" i="10"/>
  <c r="U1404" i="10"/>
  <c r="AN1404" i="10"/>
  <c r="K1404" i="10"/>
  <c r="Y1404" i="10"/>
  <c r="P1548" i="10"/>
  <c r="Q1548" i="10"/>
  <c r="AL1561" i="10"/>
  <c r="P1561" i="10"/>
  <c r="K1471" i="10"/>
  <c r="AE1471" i="10"/>
  <c r="W67" i="27"/>
  <c r="E67" i="27" s="1"/>
  <c r="F67" i="10"/>
  <c r="AB67" i="10" s="1"/>
  <c r="AK258" i="26"/>
  <c r="AV258" i="26" s="1"/>
  <c r="R1335" i="10"/>
  <c r="AK1413" i="10"/>
  <c r="S1582" i="10"/>
  <c r="AQ1582" i="10"/>
  <c r="AN1582" i="10"/>
  <c r="AI1471" i="10"/>
  <c r="AS1471" i="10"/>
  <c r="AH1471" i="10"/>
  <c r="AR1471" i="10"/>
  <c r="Q1471" i="10"/>
  <c r="Z1471" i="10"/>
  <c r="N1471" i="10"/>
  <c r="AC284" i="26"/>
  <c r="AB284" i="26"/>
  <c r="AL284" i="26"/>
  <c r="G1548" i="10"/>
  <c r="AR1548" i="10"/>
  <c r="AG1548" i="10"/>
  <c r="Z1548" i="10"/>
  <c r="AK1548" i="10"/>
  <c r="N1548" i="10"/>
  <c r="AE1548" i="10"/>
  <c r="R1232" i="10"/>
  <c r="AS1222" i="10"/>
  <c r="AO212" i="10"/>
  <c r="AA612" i="10"/>
  <c r="AM612" i="10"/>
  <c r="AF1234" i="10"/>
  <c r="T1243" i="10"/>
  <c r="J1391" i="10"/>
  <c r="AL212" i="10"/>
  <c r="AB212" i="10"/>
  <c r="L212" i="10"/>
  <c r="K612" i="10"/>
  <c r="AI212" i="10"/>
  <c r="AL612" i="10"/>
  <c r="M612" i="10"/>
  <c r="AE212" i="10"/>
  <c r="AP212" i="10"/>
  <c r="AJ612" i="10"/>
  <c r="R212" i="10"/>
  <c r="AK1222" i="10"/>
  <c r="AR212" i="10"/>
  <c r="AI1241" i="10"/>
  <c r="L1285" i="10"/>
  <c r="P1285" i="10"/>
  <c r="AJ1340" i="10"/>
  <c r="AT1381" i="10"/>
  <c r="AI1404" i="10"/>
  <c r="Z1404" i="10"/>
  <c r="AF1404" i="10"/>
  <c r="X1404" i="10"/>
  <c r="AT1404" i="10"/>
  <c r="AP1404" i="10"/>
  <c r="AB1261" i="10"/>
  <c r="AE1261" i="10"/>
  <c r="AI1261" i="10"/>
  <c r="N1261" i="10"/>
  <c r="V1261" i="10"/>
  <c r="L1295" i="10"/>
  <c r="R1295" i="10"/>
  <c r="AA1295" i="10"/>
  <c r="AO1295" i="10"/>
  <c r="AC1357" i="10"/>
  <c r="M1357" i="10"/>
  <c r="V1520" i="10"/>
  <c r="X1520" i="10"/>
  <c r="O1548" i="10"/>
  <c r="AH1548" i="10"/>
  <c r="M1548" i="10"/>
  <c r="M1561" i="10"/>
  <c r="Q1561" i="10"/>
  <c r="K1381" i="10"/>
  <c r="AT1582" i="10"/>
  <c r="AK1471" i="10"/>
  <c r="M1471" i="10"/>
  <c r="AS1404" i="10"/>
  <c r="AB252" i="26"/>
  <c r="AD252" i="26" s="1"/>
  <c r="L1215" i="10"/>
  <c r="G1215" i="10"/>
  <c r="AB140" i="26"/>
  <c r="Y1264" i="10"/>
  <c r="M1264" i="10"/>
  <c r="L1264" i="10"/>
  <c r="AQ1264" i="10"/>
  <c r="AL1264" i="10"/>
  <c r="U1264" i="10"/>
  <c r="AK284" i="26"/>
  <c r="AU284" i="26" s="1"/>
  <c r="S284" i="26" s="1"/>
  <c r="AB65" i="26"/>
  <c r="AD65" i="26" s="1"/>
  <c r="AB136" i="26"/>
  <c r="AD136" i="26" s="1"/>
  <c r="AB154" i="26"/>
  <c r="AB246" i="26"/>
  <c r="AD246" i="26" s="1"/>
  <c r="AB336" i="26"/>
  <c r="AS1264" i="10"/>
  <c r="AB167" i="26"/>
  <c r="AK200" i="26"/>
  <c r="AU200" i="26" s="1"/>
  <c r="S200" i="26" s="1"/>
  <c r="AK186" i="26"/>
  <c r="AB129" i="26"/>
  <c r="AD129" i="26" s="1"/>
  <c r="O129" i="26" s="1"/>
  <c r="W129" i="27" s="1"/>
  <c r="E129" i="27" s="1"/>
  <c r="AB201" i="26"/>
  <c r="AB94" i="26"/>
  <c r="AK254" i="26"/>
  <c r="AB116" i="26"/>
  <c r="AK316" i="26"/>
  <c r="AU316" i="26" s="1"/>
  <c r="S316" i="26" s="1"/>
  <c r="AB41" i="26"/>
  <c r="AB176" i="26"/>
  <c r="AK36" i="26"/>
  <c r="AB275" i="26"/>
  <c r="AB187" i="26"/>
  <c r="AB365" i="26"/>
  <c r="V1264" i="10"/>
  <c r="AB142" i="26"/>
  <c r="AK129" i="26"/>
  <c r="AK34" i="26"/>
  <c r="AB298" i="26"/>
  <c r="AD298" i="26" s="1"/>
  <c r="AB316" i="26"/>
  <c r="AG121" i="26"/>
  <c r="AK71" i="26"/>
  <c r="AB31" i="26"/>
  <c r="AG48" i="26"/>
  <c r="AG385" i="26"/>
  <c r="AP225" i="26"/>
  <c r="AW485" i="26"/>
  <c r="AH251" i="26"/>
  <c r="AG251" i="26" s="1"/>
  <c r="AG288" i="26"/>
  <c r="AH428" i="26"/>
  <c r="AI428" i="26" s="1"/>
  <c r="AK428" i="26" s="1"/>
  <c r="I263" i="6"/>
  <c r="AK21" i="26"/>
  <c r="U413" i="26"/>
  <c r="AT525" i="26"/>
  <c r="AX525" i="26" s="1"/>
  <c r="AX53" i="26"/>
  <c r="R53" i="26" s="1"/>
  <c r="I53" i="6" s="1"/>
  <c r="BE152" i="26"/>
  <c r="AH224" i="26"/>
  <c r="AG224" i="26" s="1"/>
  <c r="AX369" i="26"/>
  <c r="AO356" i="26"/>
  <c r="F252" i="6"/>
  <c r="AH243" i="26"/>
  <c r="AG243" i="26" s="1"/>
  <c r="AP220" i="26"/>
  <c r="AO220" i="26" s="1"/>
  <c r="AG166" i="26"/>
  <c r="AG383" i="26"/>
  <c r="AG366" i="26"/>
  <c r="AG134" i="26"/>
  <c r="U476" i="26"/>
  <c r="AG371" i="26"/>
  <c r="AX44" i="26"/>
  <c r="R44" i="26" s="1"/>
  <c r="I44" i="6" s="1"/>
  <c r="AX282" i="26"/>
  <c r="AC463" i="26"/>
  <c r="BE463" i="26" s="1"/>
  <c r="AT433" i="26"/>
  <c r="AX433" i="26" s="1"/>
  <c r="AK355" i="26"/>
  <c r="AG316" i="26"/>
  <c r="E498" i="6"/>
  <c r="AG14" i="26"/>
  <c r="BE252" i="26"/>
  <c r="AG286" i="26"/>
  <c r="H152" i="27"/>
  <c r="AG201" i="26"/>
  <c r="G152" i="6"/>
  <c r="AG163" i="26"/>
  <c r="F152" i="6"/>
  <c r="E491" i="6"/>
  <c r="F55" i="6"/>
  <c r="E476" i="6"/>
  <c r="AW466" i="26"/>
  <c r="AX466" i="26"/>
  <c r="Y268" i="27"/>
  <c r="G268" i="27" s="1"/>
  <c r="AR459" i="26"/>
  <c r="AW459" i="26"/>
  <c r="AB222" i="26"/>
  <c r="E474" i="9"/>
  <c r="AK341" i="26"/>
  <c r="AK226" i="26"/>
  <c r="AU226" i="26" s="1"/>
  <c r="S226" i="26" s="1"/>
  <c r="AR488" i="26"/>
  <c r="H252" i="27"/>
  <c r="H263" i="6"/>
  <c r="AD263" i="6" s="1"/>
  <c r="E481" i="6"/>
  <c r="AK198" i="26"/>
  <c r="AU198" i="26" s="1"/>
  <c r="S198" i="26" s="1"/>
  <c r="AB27" i="26"/>
  <c r="E413" i="9"/>
  <c r="AK365" i="26"/>
  <c r="AU365" i="26" s="1"/>
  <c r="S365" i="26" s="1"/>
  <c r="Y152" i="27"/>
  <c r="G152" i="27" s="1"/>
  <c r="G252" i="9"/>
  <c r="AW462" i="26"/>
  <c r="I65" i="9"/>
  <c r="G152" i="9"/>
  <c r="AK336" i="26"/>
  <c r="F152" i="9"/>
  <c r="AK201" i="26"/>
  <c r="AV201" i="26" s="1"/>
  <c r="AK92" i="26"/>
  <c r="AU92" i="26" s="1"/>
  <c r="S92" i="26" s="1"/>
  <c r="R92" i="26" s="1"/>
  <c r="AB288" i="26"/>
  <c r="E484" i="9"/>
  <c r="M460" i="6"/>
  <c r="AH443" i="26"/>
  <c r="AI443" i="26" s="1"/>
  <c r="AK443" i="26" s="1"/>
  <c r="I252" i="9"/>
  <c r="E502" i="6"/>
  <c r="U530" i="26"/>
  <c r="AX476" i="26"/>
  <c r="AX464" i="26"/>
  <c r="AW254" i="26"/>
  <c r="AY254" i="26" s="1"/>
  <c r="J190" i="30"/>
  <c r="K190" i="30" s="1"/>
  <c r="E190" i="30" s="1"/>
  <c r="U438" i="26"/>
  <c r="E484" i="6"/>
  <c r="AW186" i="26"/>
  <c r="AY186" i="26" s="1"/>
  <c r="AW108" i="26"/>
  <c r="AY108" i="26" s="1"/>
  <c r="AX108" i="26" s="1"/>
  <c r="AX419" i="26"/>
  <c r="AW484" i="26"/>
  <c r="AX377" i="26"/>
  <c r="E485" i="6"/>
  <c r="E463" i="6"/>
  <c r="AK16" i="26"/>
  <c r="AV16" i="26" s="1"/>
  <c r="U477" i="26"/>
  <c r="AB18" i="26"/>
  <c r="AW284" i="26"/>
  <c r="AY284" i="26" s="1"/>
  <c r="AX284" i="26" s="1"/>
  <c r="AB237" i="26"/>
  <c r="AW464" i="26"/>
  <c r="U527" i="26"/>
  <c r="U412" i="26"/>
  <c r="AC412" i="26" s="1"/>
  <c r="AX488" i="26"/>
  <c r="F136" i="9"/>
  <c r="U420" i="26"/>
  <c r="AC420" i="26" s="1"/>
  <c r="AW200" i="26"/>
  <c r="AY200" i="26" s="1"/>
  <c r="AX200" i="26" s="1"/>
  <c r="AW499" i="26"/>
  <c r="Y136" i="27"/>
  <c r="G136" i="27" s="1"/>
  <c r="AX381" i="26"/>
  <c r="BE136" i="26"/>
  <c r="AX337" i="26"/>
  <c r="U469" i="26"/>
  <c r="H65" i="6"/>
  <c r="AB293" i="26"/>
  <c r="AJ438" i="26"/>
  <c r="AI438" i="26" s="1"/>
  <c r="AK438" i="26" s="1"/>
  <c r="AW467" i="26"/>
  <c r="AX114" i="26"/>
  <c r="G148" i="6"/>
  <c r="F268" i="9"/>
  <c r="AK182" i="26"/>
  <c r="AU182" i="26" s="1"/>
  <c r="S182" i="26" s="1"/>
  <c r="R182" i="26" s="1"/>
  <c r="I182" i="6" s="1"/>
  <c r="AT484" i="26"/>
  <c r="AX484" i="26" s="1"/>
  <c r="AX467" i="26"/>
  <c r="AW476" i="26"/>
  <c r="AX226" i="26"/>
  <c r="AD479" i="26"/>
  <c r="AJ412" i="26"/>
  <c r="AI412" i="26" s="1"/>
  <c r="AK412" i="26" s="1"/>
  <c r="AB184" i="26"/>
  <c r="AB61" i="26"/>
  <c r="AX470" i="26"/>
  <c r="N418" i="9"/>
  <c r="Y418" i="9" s="1"/>
  <c r="U501" i="26"/>
  <c r="AX293" i="26"/>
  <c r="AK375" i="26"/>
  <c r="AU375" i="26" s="1"/>
  <c r="S375" i="26" s="1"/>
  <c r="H375" i="6" s="1"/>
  <c r="AK239" i="26"/>
  <c r="AU239" i="26" s="1"/>
  <c r="S239" i="26" s="1"/>
  <c r="H239" i="6" s="1"/>
  <c r="AC239" i="6" s="1"/>
  <c r="AY215" i="26"/>
  <c r="AX215" i="26" s="1"/>
  <c r="E440" i="6"/>
  <c r="AW470" i="26"/>
  <c r="Y148" i="27"/>
  <c r="G148" i="27" s="1"/>
  <c r="H195" i="6"/>
  <c r="G252" i="6"/>
  <c r="AW419" i="26"/>
  <c r="H373" i="6"/>
  <c r="F252" i="9"/>
  <c r="AK102" i="26"/>
  <c r="AW34" i="26"/>
  <c r="AY34" i="26" s="1"/>
  <c r="AK303" i="26"/>
  <c r="AU303" i="26" s="1"/>
  <c r="S303" i="26" s="1"/>
  <c r="F288" i="6"/>
  <c r="U444" i="26"/>
  <c r="AC444" i="26" s="1"/>
  <c r="BE444" i="26" s="1"/>
  <c r="AB174" i="26"/>
  <c r="F148" i="9"/>
  <c r="G131" i="9"/>
  <c r="AK372" i="26"/>
  <c r="AU372" i="26" s="1"/>
  <c r="S372" i="26" s="1"/>
  <c r="H372" i="9" s="1"/>
  <c r="AC372" i="9" s="1"/>
  <c r="E501" i="6"/>
  <c r="F131" i="6"/>
  <c r="AK199" i="26"/>
  <c r="F131" i="9"/>
  <c r="M470" i="9"/>
  <c r="F168" i="9"/>
  <c r="AK99" i="26"/>
  <c r="Y252" i="27"/>
  <c r="G252" i="27" s="1"/>
  <c r="AK194" i="26"/>
  <c r="I83" i="6"/>
  <c r="G288" i="6"/>
  <c r="E465" i="9"/>
  <c r="U497" i="26"/>
  <c r="AX270" i="26"/>
  <c r="AK204" i="26"/>
  <c r="AU204" i="26" s="1"/>
  <c r="S204" i="26" s="1"/>
  <c r="R204" i="26" s="1"/>
  <c r="I204" i="6" s="1"/>
  <c r="AB297" i="26"/>
  <c r="AD297" i="26" s="1"/>
  <c r="AX375" i="26"/>
  <c r="AT428" i="26"/>
  <c r="AX428" i="26" s="1"/>
  <c r="AW507" i="26"/>
  <c r="U414" i="26"/>
  <c r="AC414" i="26" s="1"/>
  <c r="AB451" i="26"/>
  <c r="E418" i="6"/>
  <c r="AK371" i="26"/>
  <c r="AK285" i="26"/>
  <c r="AB59" i="26"/>
  <c r="AW528" i="26"/>
  <c r="U472" i="26"/>
  <c r="AW483" i="26"/>
  <c r="AK30" i="26"/>
  <c r="AU30" i="26" s="1"/>
  <c r="S30" i="26" s="1"/>
  <c r="AK294" i="26"/>
  <c r="AT523" i="26"/>
  <c r="AX523" i="26" s="1"/>
  <c r="L471" i="6"/>
  <c r="AK178" i="26"/>
  <c r="AM178" i="26" s="1"/>
  <c r="Q178" i="26" s="1"/>
  <c r="P178" i="26" s="1"/>
  <c r="X178" i="27" s="1"/>
  <c r="AB178" i="27" s="1"/>
  <c r="AK155" i="26"/>
  <c r="M417" i="6"/>
  <c r="AX99" i="26"/>
  <c r="AK174" i="26"/>
  <c r="N456" i="6"/>
  <c r="Y456" i="6" s="1"/>
  <c r="AW500" i="26"/>
  <c r="AB15" i="26"/>
  <c r="AK151" i="26"/>
  <c r="AU151" i="26" s="1"/>
  <c r="S151" i="26" s="1"/>
  <c r="H151" i="6" s="1"/>
  <c r="U524" i="26"/>
  <c r="AC524" i="26" s="1"/>
  <c r="BE524" i="26" s="1"/>
  <c r="AT511" i="26"/>
  <c r="AX511" i="26" s="1"/>
  <c r="Y32" i="27"/>
  <c r="G32" i="27" s="1"/>
  <c r="E437" i="9"/>
  <c r="L478" i="6"/>
  <c r="AB327" i="26"/>
  <c r="AB52" i="26"/>
  <c r="AB381" i="26"/>
  <c r="AW271" i="26"/>
  <c r="AY271" i="26" s="1"/>
  <c r="AX271" i="26" s="1"/>
  <c r="F352" i="6"/>
  <c r="AK274" i="26"/>
  <c r="AU274" i="26" s="1"/>
  <c r="S274" i="26" s="1"/>
  <c r="H274" i="6" s="1"/>
  <c r="AK167" i="26"/>
  <c r="E449" i="9"/>
  <c r="AH449" i="26"/>
  <c r="AI449" i="26" s="1"/>
  <c r="AK449" i="26" s="1"/>
  <c r="E450" i="9"/>
  <c r="AT503" i="26"/>
  <c r="AX503" i="26" s="1"/>
  <c r="AT429" i="26"/>
  <c r="AX429" i="26" s="1"/>
  <c r="L456" i="6"/>
  <c r="AW531" i="26"/>
  <c r="AX483" i="26"/>
  <c r="M476" i="6"/>
  <c r="AW508" i="26"/>
  <c r="AK14" i="26"/>
  <c r="AX150" i="26"/>
  <c r="N417" i="6"/>
  <c r="L476" i="6"/>
  <c r="AX276" i="26"/>
  <c r="H317" i="9"/>
  <c r="AK179" i="26"/>
  <c r="AK203" i="26"/>
  <c r="AB43" i="26"/>
  <c r="AB378" i="26"/>
  <c r="M426" i="9"/>
  <c r="E426" i="9"/>
  <c r="AW413" i="26"/>
  <c r="M418" i="9"/>
  <c r="E485" i="9"/>
  <c r="E423" i="9"/>
  <c r="E487" i="9"/>
  <c r="AW538" i="26"/>
  <c r="H75" i="9"/>
  <c r="AX222" i="26"/>
  <c r="AX247" i="26"/>
  <c r="U418" i="26"/>
  <c r="AC418" i="26" s="1"/>
  <c r="BE322" i="26"/>
  <c r="E442" i="6"/>
  <c r="AB114" i="26"/>
  <c r="AE418" i="26"/>
  <c r="AX351" i="26"/>
  <c r="AT471" i="26"/>
  <c r="AX471" i="26" s="1"/>
  <c r="AK385" i="26"/>
  <c r="AK113" i="26"/>
  <c r="AW129" i="26"/>
  <c r="AB22" i="26"/>
  <c r="E464" i="9"/>
  <c r="AB85" i="26"/>
  <c r="AE85" i="26" s="1"/>
  <c r="AK209" i="26"/>
  <c r="AU209" i="26" s="1"/>
  <c r="S209" i="26" s="1"/>
  <c r="H209" i="6" s="1"/>
  <c r="E416" i="9"/>
  <c r="AW36" i="26"/>
  <c r="AY36" i="26" s="1"/>
  <c r="AX36" i="26" s="1"/>
  <c r="E480" i="6"/>
  <c r="AW316" i="26"/>
  <c r="AY316" i="26" s="1"/>
  <c r="AX316" i="26" s="1"/>
  <c r="F124" i="9"/>
  <c r="AK387" i="26"/>
  <c r="AB281" i="26"/>
  <c r="AX101" i="26"/>
  <c r="AX211" i="26"/>
  <c r="AB68" i="26"/>
  <c r="AK370" i="26"/>
  <c r="AU370" i="26" s="1"/>
  <c r="S370" i="26" s="1"/>
  <c r="H370" i="9" s="1"/>
  <c r="E474" i="6"/>
  <c r="U460" i="26"/>
  <c r="AX240" i="26"/>
  <c r="AK280" i="26"/>
  <c r="AU280" i="26" s="1"/>
  <c r="S280" i="26" s="1"/>
  <c r="F352" i="9"/>
  <c r="I317" i="6"/>
  <c r="H156" i="9"/>
  <c r="AB78" i="26"/>
  <c r="AB260" i="26"/>
  <c r="AK229" i="26"/>
  <c r="E456" i="6"/>
  <c r="E467" i="6"/>
  <c r="AR487" i="26"/>
  <c r="U499" i="26"/>
  <c r="U492" i="26"/>
  <c r="AW492" i="26"/>
  <c r="E477" i="6"/>
  <c r="BE32" i="26"/>
  <c r="J10" i="30"/>
  <c r="K10" i="30" s="1"/>
  <c r="E10" i="30" s="1"/>
  <c r="AB362" i="26"/>
  <c r="AX146" i="26"/>
  <c r="AX147" i="26"/>
  <c r="AK116" i="26"/>
  <c r="AU116" i="26" s="1"/>
  <c r="S116" i="26" s="1"/>
  <c r="H116" i="9" s="1"/>
  <c r="AK41" i="26"/>
  <c r="I195" i="6"/>
  <c r="AH530" i="26"/>
  <c r="AI530" i="26" s="1"/>
  <c r="AK530" i="26" s="1"/>
  <c r="E435" i="9"/>
  <c r="G268" i="9"/>
  <c r="E444" i="6"/>
  <c r="N460" i="6"/>
  <c r="Y460" i="6" s="1"/>
  <c r="N478" i="6"/>
  <c r="F168" i="6"/>
  <c r="AB364" i="26"/>
  <c r="U430" i="26"/>
  <c r="AC430" i="26" s="1"/>
  <c r="Y352" i="27"/>
  <c r="G352" i="27" s="1"/>
  <c r="AK246" i="26"/>
  <c r="AU246" i="26" s="1"/>
  <c r="S246" i="26" s="1"/>
  <c r="H246" i="9" s="1"/>
  <c r="AC246" i="9" s="1"/>
  <c r="AH444" i="26"/>
  <c r="AI444" i="26" s="1"/>
  <c r="AK444" i="26" s="1"/>
  <c r="F288" i="9"/>
  <c r="U468" i="26"/>
  <c r="E439" i="6"/>
  <c r="U437" i="26"/>
  <c r="E468" i="6"/>
  <c r="AT461" i="26"/>
  <c r="AX461" i="26" s="1"/>
  <c r="AB521" i="26"/>
  <c r="AX259" i="26"/>
  <c r="AX474" i="26"/>
  <c r="F32" i="6"/>
  <c r="AA32" i="6" s="1"/>
  <c r="AX59" i="26"/>
  <c r="AX160" i="26"/>
  <c r="AW310" i="26"/>
  <c r="AY310" i="26" s="1"/>
  <c r="AX310" i="26" s="1"/>
  <c r="AH418" i="26"/>
  <c r="AI418" i="26" s="1"/>
  <c r="AK418" i="26" s="1"/>
  <c r="AK69" i="26"/>
  <c r="AB147" i="26"/>
  <c r="AW368" i="26"/>
  <c r="AY368" i="26" s="1"/>
  <c r="E431" i="9"/>
  <c r="AT452" i="26"/>
  <c r="AX452" i="26" s="1"/>
  <c r="AW487" i="26"/>
  <c r="E470" i="6"/>
  <c r="AW451" i="26"/>
  <c r="E414" i="9"/>
  <c r="AW416" i="26"/>
  <c r="AK35" i="26"/>
  <c r="AU35" i="26" s="1"/>
  <c r="S35" i="26" s="1"/>
  <c r="R35" i="26" s="1"/>
  <c r="I35" i="9" s="1"/>
  <c r="AX107" i="26"/>
  <c r="AB387" i="26"/>
  <c r="AX194" i="26"/>
  <c r="AX438" i="26"/>
  <c r="AW536" i="26"/>
  <c r="J82" i="30"/>
  <c r="K82" i="30" s="1"/>
  <c r="E82" i="30" s="1"/>
  <c r="J348" i="30"/>
  <c r="K348" i="30" s="1"/>
  <c r="E348" i="30" s="1"/>
  <c r="J351" i="30"/>
  <c r="K351" i="30" s="1"/>
  <c r="E351" i="30" s="1"/>
  <c r="J70" i="30"/>
  <c r="K70" i="30" s="1"/>
  <c r="E70" i="30" s="1"/>
  <c r="J241" i="30"/>
  <c r="K241" i="30" s="1"/>
  <c r="E241" i="30" s="1"/>
  <c r="L489" i="6"/>
  <c r="N421" i="9"/>
  <c r="AT514" i="26"/>
  <c r="AX514" i="26" s="1"/>
  <c r="AX416" i="26"/>
  <c r="N479" i="6"/>
  <c r="L461" i="9"/>
  <c r="Z520" i="26"/>
  <c r="AE520" i="26" s="1"/>
  <c r="AG520" i="26" s="1"/>
  <c r="E424" i="9"/>
  <c r="Z511" i="26"/>
  <c r="AD511" i="26" s="1"/>
  <c r="AG59" i="26"/>
  <c r="AG357" i="26"/>
  <c r="AX167" i="26"/>
  <c r="F322" i="6"/>
  <c r="M475" i="9"/>
  <c r="F314" i="9"/>
  <c r="BE131" i="26"/>
  <c r="AJ439" i="26"/>
  <c r="AI439" i="26" s="1"/>
  <c r="AK439" i="26" s="1"/>
  <c r="AT375" i="26"/>
  <c r="AS375" i="26" s="1"/>
  <c r="AW424" i="26"/>
  <c r="U523" i="26"/>
  <c r="G124" i="6"/>
  <c r="AT536" i="26"/>
  <c r="AX536" i="26" s="1"/>
  <c r="AX492" i="26"/>
  <c r="H252" i="6"/>
  <c r="AG136" i="26"/>
  <c r="H317" i="6"/>
  <c r="AX356" i="26"/>
  <c r="AB490" i="26"/>
  <c r="M481" i="9"/>
  <c r="AG80" i="26"/>
  <c r="AX291" i="26"/>
  <c r="F124" i="6"/>
  <c r="AD483" i="26"/>
  <c r="AW438" i="26"/>
  <c r="AW474" i="26"/>
  <c r="AW501" i="26"/>
  <c r="AO190" i="26"/>
  <c r="N493" i="6"/>
  <c r="M493" i="6"/>
  <c r="N422" i="9"/>
  <c r="L463" i="9"/>
  <c r="N468" i="6"/>
  <c r="Y468" i="6" s="1"/>
  <c r="N445" i="6"/>
  <c r="M424" i="6"/>
  <c r="N424" i="6"/>
  <c r="L488" i="6"/>
  <c r="N466" i="6"/>
  <c r="N462" i="6"/>
  <c r="M462" i="6"/>
  <c r="M485" i="9"/>
  <c r="E445" i="6"/>
  <c r="U453" i="26"/>
  <c r="AC453" i="26" s="1"/>
  <c r="E458" i="9"/>
  <c r="E464" i="6"/>
  <c r="AR497" i="26"/>
  <c r="AW497" i="26"/>
  <c r="H288" i="9"/>
  <c r="AD288" i="9" s="1"/>
  <c r="I288" i="6"/>
  <c r="E483" i="6"/>
  <c r="U504" i="26"/>
  <c r="AC504" i="26" s="1"/>
  <c r="BE504" i="26" s="1"/>
  <c r="AX361" i="26"/>
  <c r="L479" i="6"/>
  <c r="E443" i="6"/>
  <c r="AX62" i="26"/>
  <c r="Y96" i="27"/>
  <c r="G96" i="27" s="1"/>
  <c r="M424" i="9"/>
  <c r="M431" i="6"/>
  <c r="H373" i="9"/>
  <c r="AD373" i="9" s="1"/>
  <c r="AK130" i="26"/>
  <c r="F55" i="9"/>
  <c r="I156" i="9"/>
  <c r="AB342" i="26"/>
  <c r="AW258" i="26"/>
  <c r="AY258" i="26" s="1"/>
  <c r="AX258" i="26" s="1"/>
  <c r="N463" i="9"/>
  <c r="Y463" i="9" s="1"/>
  <c r="U479" i="26"/>
  <c r="AC479" i="26" s="1"/>
  <c r="BE479" i="26" s="1"/>
  <c r="N483" i="6"/>
  <c r="U431" i="26"/>
  <c r="AC431" i="26" s="1"/>
  <c r="Z314" i="6"/>
  <c r="AG314" i="6" s="1"/>
  <c r="AE314" i="6"/>
  <c r="AT436" i="26"/>
  <c r="AX436" i="26" s="1"/>
  <c r="AW436" i="26"/>
  <c r="E471" i="9"/>
  <c r="E486" i="6"/>
  <c r="AX481" i="26"/>
  <c r="AR481" i="26"/>
  <c r="AX138" i="26"/>
  <c r="H252" i="9"/>
  <c r="Y131" i="27"/>
  <c r="G131" i="27" s="1"/>
  <c r="F322" i="9"/>
  <c r="Y314" i="27"/>
  <c r="G314" i="27" s="1"/>
  <c r="N491" i="6"/>
  <c r="AB128" i="26"/>
  <c r="H131" i="27"/>
  <c r="AB197" i="26"/>
  <c r="AB334" i="26"/>
  <c r="L485" i="9"/>
  <c r="BB1591" i="10"/>
  <c r="AK208" i="26"/>
  <c r="E482" i="6"/>
  <c r="L424" i="6"/>
  <c r="E479" i="9"/>
  <c r="U478" i="26"/>
  <c r="AC478" i="26" s="1"/>
  <c r="BE478" i="26" s="1"/>
  <c r="U509" i="26"/>
  <c r="AC509" i="26" s="1"/>
  <c r="N416" i="9"/>
  <c r="U436" i="26"/>
  <c r="L466" i="6"/>
  <c r="AB26" i="26"/>
  <c r="AX497" i="26"/>
  <c r="AB210" i="26"/>
  <c r="AK172" i="26"/>
  <c r="AB347" i="26"/>
  <c r="J290" i="30"/>
  <c r="K290" i="30" s="1"/>
  <c r="E290" i="30" s="1"/>
  <c r="J340" i="30"/>
  <c r="K340" i="30" s="1"/>
  <c r="E340" i="30" s="1"/>
  <c r="J274" i="30"/>
  <c r="K274" i="30" s="1"/>
  <c r="E274" i="30" s="1"/>
  <c r="J338" i="30"/>
  <c r="K338" i="30" s="1"/>
  <c r="E338" i="30" s="1"/>
  <c r="J242" i="30"/>
  <c r="K242" i="30" s="1"/>
  <c r="E242" i="30" s="1"/>
  <c r="J335" i="30"/>
  <c r="K335" i="30" s="1"/>
  <c r="E335" i="30" s="1"/>
  <c r="J254" i="30"/>
  <c r="K254" i="30" s="1"/>
  <c r="E254" i="30" s="1"/>
  <c r="J330" i="30"/>
  <c r="K330" i="30" s="1"/>
  <c r="E330" i="30" s="1"/>
  <c r="J313" i="30"/>
  <c r="K313" i="30" s="1"/>
  <c r="E313" i="30" s="1"/>
  <c r="J278" i="30"/>
  <c r="K278" i="30" s="1"/>
  <c r="E278" i="30" s="1"/>
  <c r="J298" i="30"/>
  <c r="K298" i="30" s="1"/>
  <c r="E298" i="30" s="1"/>
  <c r="J371" i="30"/>
  <c r="K371" i="30" s="1"/>
  <c r="E371" i="30" s="1"/>
  <c r="J32" i="30"/>
  <c r="K32" i="30" s="1"/>
  <c r="E32" i="30" s="1"/>
  <c r="J182" i="30"/>
  <c r="K182" i="30" s="1"/>
  <c r="E182" i="30" s="1"/>
  <c r="J299" i="30"/>
  <c r="K299" i="30" s="1"/>
  <c r="E299" i="30" s="1"/>
  <c r="J40" i="30"/>
  <c r="K40" i="30" s="1"/>
  <c r="E40" i="30" s="1"/>
  <c r="J62" i="30"/>
  <c r="K62" i="30" s="1"/>
  <c r="E62" i="30" s="1"/>
  <c r="J174" i="30"/>
  <c r="K174" i="30" s="1"/>
  <c r="E174" i="30" s="1"/>
  <c r="J322" i="30"/>
  <c r="K322" i="30" s="1"/>
  <c r="E322" i="30" s="1"/>
  <c r="J334" i="30"/>
  <c r="K334" i="30" s="1"/>
  <c r="E334" i="30" s="1"/>
  <c r="J350" i="30"/>
  <c r="K350" i="30" s="1"/>
  <c r="E350" i="30" s="1"/>
  <c r="J385" i="30"/>
  <c r="K385" i="30" s="1"/>
  <c r="E385" i="30" s="1"/>
  <c r="J356" i="30"/>
  <c r="K356" i="30" s="1"/>
  <c r="E356" i="30" s="1"/>
  <c r="J366" i="30"/>
  <c r="K366" i="30" s="1"/>
  <c r="E366" i="30" s="1"/>
  <c r="J90" i="30"/>
  <c r="K90" i="30" s="1"/>
  <c r="E90" i="30" s="1"/>
  <c r="J72" i="30"/>
  <c r="K72" i="30" s="1"/>
  <c r="E72" i="30" s="1"/>
  <c r="J206" i="30"/>
  <c r="K206" i="30" s="1"/>
  <c r="E206" i="30" s="1"/>
  <c r="J302" i="30"/>
  <c r="J346" i="30"/>
  <c r="K346" i="30" s="1"/>
  <c r="E346" i="30" s="1"/>
  <c r="J364" i="30"/>
  <c r="K364" i="30" s="1"/>
  <c r="E364" i="30" s="1"/>
  <c r="J365" i="30"/>
  <c r="K365" i="30" s="1"/>
  <c r="E365" i="30" s="1"/>
  <c r="J218" i="30"/>
  <c r="K218" i="30" s="1"/>
  <c r="E218" i="30" s="1"/>
  <c r="J264" i="30"/>
  <c r="K264" i="30" s="1"/>
  <c r="E264" i="30" s="1"/>
  <c r="J150" i="30"/>
  <c r="K150" i="30" s="1"/>
  <c r="E150" i="30" s="1"/>
  <c r="J282" i="30"/>
  <c r="K282" i="30" s="1"/>
  <c r="E282" i="30" s="1"/>
  <c r="J258" i="30"/>
  <c r="K258" i="30" s="1"/>
  <c r="E258" i="30" s="1"/>
  <c r="J262" i="30"/>
  <c r="K262" i="30" s="1"/>
  <c r="E262" i="30" s="1"/>
  <c r="J329" i="30"/>
  <c r="K329" i="30" s="1"/>
  <c r="E329" i="30" s="1"/>
  <c r="J36" i="30"/>
  <c r="K36" i="30" s="1"/>
  <c r="E36" i="30" s="1"/>
  <c r="J107" i="30"/>
  <c r="K107" i="30" s="1"/>
  <c r="E107" i="30" s="1"/>
  <c r="J158" i="30"/>
  <c r="K158" i="30" s="1"/>
  <c r="E158" i="30" s="1"/>
  <c r="J377" i="30"/>
  <c r="K377" i="30" s="1"/>
  <c r="E377" i="30" s="1"/>
  <c r="J164" i="30"/>
  <c r="K164" i="30" s="1"/>
  <c r="E164" i="30" s="1"/>
  <c r="J358" i="30"/>
  <c r="K358" i="30" s="1"/>
  <c r="E358" i="30" s="1"/>
  <c r="J34" i="30"/>
  <c r="K34" i="30" s="1"/>
  <c r="E34" i="30" s="1"/>
  <c r="J92" i="30"/>
  <c r="K92" i="30" s="1"/>
  <c r="E92" i="30" s="1"/>
  <c r="J255" i="30"/>
  <c r="K255" i="30" s="1"/>
  <c r="E255" i="30" s="1"/>
  <c r="J263" i="30"/>
  <c r="K263" i="30" s="1"/>
  <c r="E263" i="30" s="1"/>
  <c r="J271" i="30"/>
  <c r="K271" i="30" s="1"/>
  <c r="E271" i="30" s="1"/>
  <c r="J19" i="30"/>
  <c r="K19" i="30" s="1"/>
  <c r="E19" i="30" s="1"/>
  <c r="J260" i="30"/>
  <c r="K260" i="30" s="1"/>
  <c r="E260" i="30" s="1"/>
  <c r="J294" i="30"/>
  <c r="K294" i="30" s="1"/>
  <c r="E294" i="30" s="1"/>
  <c r="J314" i="30"/>
  <c r="K314" i="30" s="1"/>
  <c r="E314" i="30" s="1"/>
  <c r="J186" i="30"/>
  <c r="K186" i="30" s="1"/>
  <c r="E186" i="30" s="1"/>
  <c r="J300" i="30"/>
  <c r="K300" i="30" s="1"/>
  <c r="E300" i="30" s="1"/>
  <c r="J214" i="30"/>
  <c r="K214" i="30" s="1"/>
  <c r="E214" i="30" s="1"/>
  <c r="J337" i="30"/>
  <c r="K337" i="30" s="1"/>
  <c r="E337" i="30" s="1"/>
  <c r="J270" i="30"/>
  <c r="K270" i="30" s="1"/>
  <c r="E270" i="30" s="1"/>
  <c r="J321" i="30"/>
  <c r="K321" i="30" s="1"/>
  <c r="E321" i="30" s="1"/>
  <c r="J99" i="30"/>
  <c r="K99" i="30" s="1"/>
  <c r="E99" i="30" s="1"/>
  <c r="J339" i="30"/>
  <c r="K339" i="30" s="1"/>
  <c r="E339" i="30" s="1"/>
  <c r="J324" i="30"/>
  <c r="K324" i="30" s="1"/>
  <c r="E324" i="30" s="1"/>
  <c r="J332" i="30"/>
  <c r="K332" i="30" s="1"/>
  <c r="E332" i="30" s="1"/>
  <c r="G1544" i="10"/>
  <c r="AD1544" i="10"/>
  <c r="AP1544" i="10"/>
  <c r="AG1544" i="10"/>
  <c r="AR1544" i="10"/>
  <c r="L1544" i="10"/>
  <c r="R1544" i="10"/>
  <c r="AE1544" i="10"/>
  <c r="AN1544" i="10"/>
  <c r="P1544" i="10"/>
  <c r="W1544" i="10"/>
  <c r="S1544" i="10"/>
  <c r="AO1544" i="10"/>
  <c r="O1544" i="10"/>
  <c r="AR367" i="10"/>
  <c r="T1462" i="10"/>
  <c r="F76" i="6"/>
  <c r="AA76" i="6" s="1"/>
  <c r="G1572" i="10"/>
  <c r="T1572" i="10"/>
  <c r="S1572" i="10"/>
  <c r="K1572" i="10"/>
  <c r="AL1589" i="10"/>
  <c r="U1589" i="10"/>
  <c r="AQ1486" i="10"/>
  <c r="P1486" i="10"/>
  <c r="AR1486" i="10"/>
  <c r="R1486" i="10"/>
  <c r="AH232" i="26"/>
  <c r="AG232" i="26" s="1"/>
  <c r="AP232" i="26"/>
  <c r="R1263" i="10"/>
  <c r="W1263" i="10"/>
  <c r="AP1263" i="10"/>
  <c r="AH533" i="26"/>
  <c r="AJ533" i="26"/>
  <c r="AH427" i="26"/>
  <c r="AJ427" i="26"/>
  <c r="F391" i="27"/>
  <c r="AP299" i="10"/>
  <c r="T299" i="10"/>
  <c r="AF699" i="10"/>
  <c r="AE299" i="10"/>
  <c r="Q299" i="10"/>
  <c r="O299" i="10"/>
  <c r="Q699" i="10"/>
  <c r="AS699" i="10"/>
  <c r="AN699" i="10"/>
  <c r="AA699" i="10"/>
  <c r="AL699" i="10"/>
  <c r="AU699" i="10"/>
  <c r="AA299" i="10"/>
  <c r="R699" i="10"/>
  <c r="AB299" i="10"/>
  <c r="AI299" i="10"/>
  <c r="L299" i="10"/>
  <c r="Y699" i="10"/>
  <c r="AC699" i="10"/>
  <c r="W299" i="10"/>
  <c r="AL12" i="7"/>
  <c r="AQ1212" i="10" s="1"/>
  <c r="AQ1266" i="10"/>
  <c r="N484" i="9"/>
  <c r="M484" i="9"/>
  <c r="L498" i="6"/>
  <c r="M498" i="6"/>
  <c r="N504" i="6"/>
  <c r="M412" i="9"/>
  <c r="L412" i="9"/>
  <c r="AL251" i="26"/>
  <c r="AC251" i="26"/>
  <c r="H345" i="6"/>
  <c r="AD345" i="6" s="1"/>
  <c r="H345" i="9"/>
  <c r="AC55" i="26"/>
  <c r="AB55" i="26"/>
  <c r="AL64" i="26"/>
  <c r="AC64" i="26"/>
  <c r="AC146" i="26"/>
  <c r="AL146" i="26"/>
  <c r="AB146" i="26"/>
  <c r="AK146" i="26"/>
  <c r="AU146" i="26" s="1"/>
  <c r="S146" i="26" s="1"/>
  <c r="F149" i="10"/>
  <c r="BD149" i="26"/>
  <c r="F218" i="9"/>
  <c r="Y218" i="27"/>
  <c r="G218" i="27" s="1"/>
  <c r="F218" i="6"/>
  <c r="AA218" i="6" s="1"/>
  <c r="Y1462" i="10"/>
  <c r="AI1462" i="10"/>
  <c r="S1462" i="10"/>
  <c r="P1462" i="10"/>
  <c r="AR1462" i="10"/>
  <c r="AH1462" i="10"/>
  <c r="L1462" i="10"/>
  <c r="AJ1462" i="10"/>
  <c r="W1462" i="10"/>
  <c r="AC1462" i="10"/>
  <c r="AT1462" i="10"/>
  <c r="X1462" i="10"/>
  <c r="AG1462" i="10"/>
  <c r="AF1462" i="10"/>
  <c r="J184" i="30"/>
  <c r="K184" i="30" s="1"/>
  <c r="E184" i="30" s="1"/>
  <c r="AI367" i="10"/>
  <c r="AH1572" i="10"/>
  <c r="AG372" i="26"/>
  <c r="J128" i="30"/>
  <c r="K128" i="30" s="1"/>
  <c r="E128" i="30" s="1"/>
  <c r="AG351" i="26"/>
  <c r="AX767" i="10"/>
  <c r="AW767" i="10"/>
  <c r="AI619" i="10"/>
  <c r="J94" i="30"/>
  <c r="K94" i="30" s="1"/>
  <c r="E94" i="30" s="1"/>
  <c r="AT1272" i="10"/>
  <c r="AT1362" i="10"/>
  <c r="AC27" i="26"/>
  <c r="Y76" i="27"/>
  <c r="G76" i="27" s="1"/>
  <c r="AC288" i="6"/>
  <c r="AH288" i="6" s="1"/>
  <c r="AK80" i="26"/>
  <c r="AV80" i="26" s="1"/>
  <c r="AB49" i="26"/>
  <c r="J1261" i="10"/>
  <c r="AM1261" i="10"/>
  <c r="AG1261" i="10"/>
  <c r="AJ1295" i="10"/>
  <c r="U1295" i="10"/>
  <c r="AM1295" i="10"/>
  <c r="AQ1295" i="10"/>
  <c r="AP1486" i="10"/>
  <c r="K1486" i="10"/>
  <c r="AN1486" i="10"/>
  <c r="O1304" i="10"/>
  <c r="N1304" i="10"/>
  <c r="AB221" i="26"/>
  <c r="AK221" i="26"/>
  <c r="AF1572" i="10"/>
  <c r="AO1572" i="10"/>
  <c r="AF1589" i="10"/>
  <c r="AH452" i="26"/>
  <c r="AI452" i="26" s="1"/>
  <c r="AK452" i="26" s="1"/>
  <c r="AN1462" i="10"/>
  <c r="Q1462" i="10"/>
  <c r="U1462" i="10"/>
  <c r="AK299" i="10"/>
  <c r="M473" i="6"/>
  <c r="N473" i="6"/>
  <c r="M427" i="6"/>
  <c r="AE1572" i="10"/>
  <c r="AG1572" i="10"/>
  <c r="AD1572" i="10"/>
  <c r="Y1572" i="10"/>
  <c r="U1572" i="10"/>
  <c r="Q1589" i="10"/>
  <c r="S1589" i="10"/>
  <c r="AB1589" i="10"/>
  <c r="Z1589" i="10"/>
  <c r="BD145" i="26"/>
  <c r="G145" i="10"/>
  <c r="AC367" i="10"/>
  <c r="AD767" i="10"/>
  <c r="V367" i="10"/>
  <c r="AK337" i="26"/>
  <c r="AU337" i="26" s="1"/>
  <c r="S337" i="26" s="1"/>
  <c r="AB337" i="26"/>
  <c r="AT1261" i="10"/>
  <c r="S1261" i="10"/>
  <c r="R1261" i="10"/>
  <c r="AQ1261" i="10"/>
  <c r="AK1261" i="10"/>
  <c r="P1261" i="10"/>
  <c r="AH1261" i="10"/>
  <c r="O1295" i="10"/>
  <c r="Y1295" i="10"/>
  <c r="AI1295" i="10"/>
  <c r="AG1295" i="10"/>
  <c r="T1295" i="10"/>
  <c r="K1295" i="10"/>
  <c r="J1295" i="10"/>
  <c r="O1357" i="10"/>
  <c r="AN1357" i="10"/>
  <c r="Y1357" i="10"/>
  <c r="AK275" i="26"/>
  <c r="AC275" i="26"/>
  <c r="AL1520" i="10"/>
  <c r="S1520" i="10"/>
  <c r="AB1572" i="10"/>
  <c r="W1572" i="10"/>
  <c r="AI1572" i="10"/>
  <c r="AJ1572" i="10"/>
  <c r="W1589" i="10"/>
  <c r="AA1589" i="10"/>
  <c r="AS1462" i="10"/>
  <c r="AM1544" i="10"/>
  <c r="AM1462" i="10"/>
  <c r="AR299" i="10"/>
  <c r="AM699" i="10"/>
  <c r="AB433" i="26"/>
  <c r="Z433" i="26"/>
  <c r="AD433" i="26" s="1"/>
  <c r="J1405" i="10"/>
  <c r="AL1405" i="10"/>
  <c r="X1405" i="10"/>
  <c r="M1405" i="10"/>
  <c r="AQ1405" i="10"/>
  <c r="AM1405" i="10"/>
  <c r="AS1405" i="10"/>
  <c r="N1405" i="10"/>
  <c r="Y1405" i="10"/>
  <c r="U1405" i="10"/>
  <c r="W1405" i="10"/>
  <c r="L1405" i="10"/>
  <c r="AP1405" i="10"/>
  <c r="AI1405" i="10"/>
  <c r="Z1405" i="10"/>
  <c r="S1405" i="10"/>
  <c r="AJ1405" i="10"/>
  <c r="AC1405" i="10"/>
  <c r="R1405" i="10"/>
  <c r="P1405" i="10"/>
  <c r="U525" i="26"/>
  <c r="AC525" i="26" s="1"/>
  <c r="AZ525" i="26" s="1"/>
  <c r="E481" i="9"/>
  <c r="E499" i="6"/>
  <c r="Y323" i="7"/>
  <c r="AD1524" i="10"/>
  <c r="AR456" i="26"/>
  <c r="AX456" i="26"/>
  <c r="AW456" i="26"/>
  <c r="AB199" i="26"/>
  <c r="AH413" i="26"/>
  <c r="AJ413" i="26"/>
  <c r="AZ46" i="7"/>
  <c r="BA46" i="7" s="1"/>
  <c r="AB156" i="26"/>
  <c r="AD156" i="26" s="1"/>
  <c r="O156" i="26" s="1"/>
  <c r="AB109" i="26"/>
  <c r="AN1265" i="10"/>
  <c r="G106" i="10"/>
  <c r="AL161" i="26"/>
  <c r="AC161" i="26"/>
  <c r="W20" i="27"/>
  <c r="E20" i="27" s="1"/>
  <c r="F20" i="10"/>
  <c r="W137" i="27"/>
  <c r="E137" i="27" s="1"/>
  <c r="AK283" i="26"/>
  <c r="AB379" i="26"/>
  <c r="AD379" i="26" s="1"/>
  <c r="AK64" i="26"/>
  <c r="AU64" i="26" s="1"/>
  <c r="S64" i="26" s="1"/>
  <c r="AC305" i="26"/>
  <c r="AL115" i="26"/>
  <c r="AC115" i="26"/>
  <c r="J124" i="30"/>
  <c r="K124" i="30" s="1"/>
  <c r="E124" i="30" s="1"/>
  <c r="J220" i="30"/>
  <c r="K220" i="30" s="1"/>
  <c r="E220" i="30" s="1"/>
  <c r="J227" i="30"/>
  <c r="K227" i="30" s="1"/>
  <c r="E227" i="30" s="1"/>
  <c r="J235" i="30"/>
  <c r="K235" i="30" s="1"/>
  <c r="E235" i="30" s="1"/>
  <c r="J246" i="30"/>
  <c r="K246" i="30" s="1"/>
  <c r="E246" i="30" s="1"/>
  <c r="W98" i="27"/>
  <c r="E98" i="27" s="1"/>
  <c r="F98" i="10"/>
  <c r="AB63" i="26"/>
  <c r="AX447" i="26"/>
  <c r="T456" i="10"/>
  <c r="J56" i="10"/>
  <c r="AC200" i="26"/>
  <c r="AL200" i="26"/>
  <c r="J132" i="30"/>
  <c r="K132" i="30" s="1"/>
  <c r="E132" i="30" s="1"/>
  <c r="F12" i="7"/>
  <c r="K1212" i="10" s="1"/>
  <c r="F289" i="6"/>
  <c r="G143" i="9"/>
  <c r="E438" i="9"/>
  <c r="F143" i="6"/>
  <c r="E453" i="9"/>
  <c r="AJ429" i="26"/>
  <c r="AI429" i="26" s="1"/>
  <c r="AK429" i="26" s="1"/>
  <c r="I145" i="6"/>
  <c r="AJ525" i="26"/>
  <c r="AH525" i="26"/>
  <c r="M478" i="9"/>
  <c r="F144" i="9"/>
  <c r="Y144" i="27"/>
  <c r="G144" i="27" s="1"/>
  <c r="AT526" i="26"/>
  <c r="AX526" i="26" s="1"/>
  <c r="AW526" i="26"/>
  <c r="AD619" i="10"/>
  <c r="AK219" i="10"/>
  <c r="W302" i="27"/>
  <c r="E302" i="27" s="1"/>
  <c r="G96" i="9"/>
  <c r="M491" i="6"/>
  <c r="M189" i="10"/>
  <c r="AG589" i="10"/>
  <c r="G189" i="10"/>
  <c r="AA189" i="10"/>
  <c r="AO189" i="10"/>
  <c r="AE589" i="10"/>
  <c r="T589" i="10"/>
  <c r="AF589" i="10"/>
  <c r="N589" i="10"/>
  <c r="Z189" i="10"/>
  <c r="AW189" i="10"/>
  <c r="AY589" i="10"/>
  <c r="AM589" i="10"/>
  <c r="J589" i="10"/>
  <c r="AC189" i="10"/>
  <c r="Q189" i="10"/>
  <c r="AW589" i="10"/>
  <c r="X189" i="10"/>
  <c r="AH417" i="26"/>
  <c r="AI417" i="26" s="1"/>
  <c r="AK417" i="26" s="1"/>
  <c r="H83" i="9"/>
  <c r="F145" i="10"/>
  <c r="AL545" i="10" s="1"/>
  <c r="W145" i="27"/>
  <c r="E145" i="27" s="1"/>
  <c r="AO137" i="10"/>
  <c r="AE137" i="10"/>
  <c r="AY537" i="10"/>
  <c r="AD137" i="10"/>
  <c r="Z537" i="10"/>
  <c r="AU537" i="10"/>
  <c r="U537" i="10"/>
  <c r="AJ432" i="26"/>
  <c r="AH432" i="26"/>
  <c r="AH189" i="10"/>
  <c r="Y189" i="10"/>
  <c r="L189" i="10"/>
  <c r="AX589" i="10"/>
  <c r="W189" i="10"/>
  <c r="AB589" i="10"/>
  <c r="V589" i="10"/>
  <c r="AC589" i="10"/>
  <c r="AB189" i="10"/>
  <c r="AR189" i="10"/>
  <c r="W273" i="27"/>
  <c r="E273" i="27" s="1"/>
  <c r="F273" i="10"/>
  <c r="Y273" i="10" s="1"/>
  <c r="W360" i="27"/>
  <c r="E360" i="27" s="1"/>
  <c r="F360" i="10"/>
  <c r="AC760" i="10" s="1"/>
  <c r="AJ431" i="26"/>
  <c r="AH431" i="26"/>
  <c r="AH528" i="26"/>
  <c r="AJ528" i="26"/>
  <c r="L457" i="9"/>
  <c r="M457" i="9"/>
  <c r="F278" i="10"/>
  <c r="L678" i="10" s="1"/>
  <c r="AT532" i="26"/>
  <c r="AX532" i="26" s="1"/>
  <c r="AW532" i="26"/>
  <c r="X619" i="10"/>
  <c r="P189" i="10"/>
  <c r="AS589" i="10"/>
  <c r="AV189" i="10"/>
  <c r="F100" i="10"/>
  <c r="AH100" i="10" s="1"/>
  <c r="AH589" i="10"/>
  <c r="S589" i="10"/>
  <c r="AF189" i="10"/>
  <c r="T189" i="10"/>
  <c r="O589" i="10"/>
  <c r="AS189" i="10"/>
  <c r="AL189" i="10"/>
  <c r="AM189" i="10"/>
  <c r="AD189" i="10"/>
  <c r="AK589" i="10"/>
  <c r="AK189" i="10"/>
  <c r="AJ589" i="10"/>
  <c r="O189" i="10"/>
  <c r="AP189" i="10"/>
  <c r="J189" i="10"/>
  <c r="AJ502" i="26"/>
  <c r="AI502" i="26" s="1"/>
  <c r="AK502" i="26" s="1"/>
  <c r="E436" i="6"/>
  <c r="E428" i="9"/>
  <c r="H100" i="9"/>
  <c r="AD100" i="9" s="1"/>
  <c r="I100" i="9"/>
  <c r="N468" i="9"/>
  <c r="M468" i="9"/>
  <c r="N451" i="9"/>
  <c r="M451" i="9"/>
  <c r="N482" i="6"/>
  <c r="L482" i="6"/>
  <c r="M482" i="6"/>
  <c r="M430" i="9"/>
  <c r="N430" i="9"/>
  <c r="L464" i="9"/>
  <c r="M464" i="9"/>
  <c r="N464" i="9"/>
  <c r="Y464" i="9" s="1"/>
  <c r="N426" i="9"/>
  <c r="M471" i="6"/>
  <c r="F269" i="10"/>
  <c r="AR669" i="10" s="1"/>
  <c r="L490" i="6"/>
  <c r="L426" i="6"/>
  <c r="AD447" i="26"/>
  <c r="AJ426" i="26"/>
  <c r="AI426" i="26" s="1"/>
  <c r="AK426" i="26" s="1"/>
  <c r="AH531" i="26"/>
  <c r="AI531" i="26" s="1"/>
  <c r="AK531" i="26" s="1"/>
  <c r="F143" i="9"/>
  <c r="AH445" i="26"/>
  <c r="AI445" i="26" s="1"/>
  <c r="AK445" i="26" s="1"/>
  <c r="H324" i="27"/>
  <c r="Z423" i="26"/>
  <c r="AT435" i="26"/>
  <c r="AX435" i="26" s="1"/>
  <c r="AH436" i="26"/>
  <c r="AI436" i="26" s="1"/>
  <c r="AK436" i="26" s="1"/>
  <c r="AW534" i="26"/>
  <c r="E443" i="9"/>
  <c r="E472" i="9"/>
  <c r="Z523" i="26"/>
  <c r="AD523" i="26" s="1"/>
  <c r="AB457" i="6"/>
  <c r="U474" i="26"/>
  <c r="F324" i="9"/>
  <c r="E418" i="9"/>
  <c r="BE390" i="26"/>
  <c r="G324" i="9"/>
  <c r="AH419" i="26"/>
  <c r="AI419" i="26" s="1"/>
  <c r="AK419" i="26" s="1"/>
  <c r="AX535" i="26"/>
  <c r="G143" i="6"/>
  <c r="Y143" i="27"/>
  <c r="G143" i="27" s="1"/>
  <c r="G1471" i="10"/>
  <c r="AO1471" i="10"/>
  <c r="AL1462" i="10"/>
  <c r="AG176" i="26"/>
  <c r="Q1222" i="10"/>
  <c r="AH216" i="26"/>
  <c r="AG216" i="26" s="1"/>
  <c r="W40" i="27"/>
  <c r="E40" i="27" s="1"/>
  <c r="Y1381" i="10"/>
  <c r="AI1381" i="10"/>
  <c r="L1381" i="10"/>
  <c r="J1277" i="10"/>
  <c r="AI1277" i="10"/>
  <c r="I75" i="6"/>
  <c r="U1322" i="10"/>
  <c r="AE1455" i="10"/>
  <c r="J1455" i="10"/>
  <c r="R1455" i="10"/>
  <c r="AP1215" i="10"/>
  <c r="X1215" i="10"/>
  <c r="AL133" i="26"/>
  <c r="L470" i="9"/>
  <c r="Z1504" i="10"/>
  <c r="AC1504" i="10"/>
  <c r="AN1504" i="10"/>
  <c r="AN367" i="10"/>
  <c r="K367" i="10"/>
  <c r="AV367" i="10"/>
  <c r="K767" i="10"/>
  <c r="AC41" i="26"/>
  <c r="AX357" i="26"/>
  <c r="AK104" i="26"/>
  <c r="F96" i="6"/>
  <c r="L475" i="9"/>
  <c r="M421" i="9"/>
  <c r="F56" i="6"/>
  <c r="N481" i="9"/>
  <c r="M489" i="6"/>
  <c r="L424" i="9"/>
  <c r="L431" i="6"/>
  <c r="N461" i="9"/>
  <c r="L416" i="9"/>
  <c r="AK216" i="26"/>
  <c r="U1548" i="10"/>
  <c r="AM1403" i="10"/>
  <c r="AT1391" i="10"/>
  <c r="K1548" i="10"/>
  <c r="AG1471" i="10"/>
  <c r="N1445" i="10"/>
  <c r="AB194" i="26"/>
  <c r="Y324" i="27"/>
  <c r="G324" i="27" s="1"/>
  <c r="F169" i="6"/>
  <c r="AO1413" i="10"/>
  <c r="AG1413" i="10"/>
  <c r="AB130" i="26"/>
  <c r="AL50" i="26"/>
  <c r="G13" i="10"/>
  <c r="AK27" i="26"/>
  <c r="AB375" i="26"/>
  <c r="AD375" i="26" s="1"/>
  <c r="X1222" i="10"/>
  <c r="M1444" i="10"/>
  <c r="F256" i="10"/>
  <c r="S656" i="10" s="1"/>
  <c r="AB79" i="26"/>
  <c r="AD79" i="26" s="1"/>
  <c r="O79" i="26" s="1"/>
  <c r="W79" i="27" s="1"/>
  <c r="E79" i="27" s="1"/>
  <c r="AB247" i="26"/>
  <c r="U421" i="26"/>
  <c r="H299" i="9"/>
  <c r="F149" i="9"/>
  <c r="F315" i="6"/>
  <c r="AA315" i="6" s="1"/>
  <c r="AW299" i="10"/>
  <c r="AL299" i="10"/>
  <c r="AS299" i="10"/>
  <c r="AE699" i="10"/>
  <c r="S299" i="10"/>
  <c r="AO299" i="10"/>
  <c r="AH299" i="10"/>
  <c r="AF1215" i="10"/>
  <c r="Q1215" i="10"/>
  <c r="AA1215" i="10"/>
  <c r="AE1215" i="10"/>
  <c r="AT1215" i="10"/>
  <c r="S1215" i="10"/>
  <c r="AL113" i="26"/>
  <c r="L493" i="6"/>
  <c r="G1589" i="10"/>
  <c r="AC85" i="26"/>
  <c r="AS1486" i="10"/>
  <c r="AK85" i="26"/>
  <c r="AB229" i="26"/>
  <c r="K1243" i="10"/>
  <c r="Q1243" i="10"/>
  <c r="Y1331" i="10"/>
  <c r="K1331" i="10"/>
  <c r="AL1381" i="10"/>
  <c r="U1381" i="10"/>
  <c r="AJ1381" i="10"/>
  <c r="T1486" i="10"/>
  <c r="AM1486" i="10"/>
  <c r="AB1486" i="10"/>
  <c r="S1486" i="10"/>
  <c r="M1486" i="10"/>
  <c r="Z1486" i="10"/>
  <c r="Q1486" i="10"/>
  <c r="AI1215" i="10"/>
  <c r="N485" i="9"/>
  <c r="G1462" i="10"/>
  <c r="AK25" i="26"/>
  <c r="AL79" i="26"/>
  <c r="AT1589" i="10"/>
  <c r="AD1277" i="10"/>
  <c r="T1548" i="10"/>
  <c r="X1548" i="10"/>
  <c r="AS1548" i="10"/>
  <c r="AN1548" i="10"/>
  <c r="R1548" i="10"/>
  <c r="AP1548" i="10"/>
  <c r="AI1548" i="10"/>
  <c r="AL1548" i="10"/>
  <c r="AF1561" i="10"/>
  <c r="S1561" i="10"/>
  <c r="O1561" i="10"/>
  <c r="AD1561" i="10"/>
  <c r="AI1561" i="10"/>
  <c r="AQ1572" i="10"/>
  <c r="M1572" i="10"/>
  <c r="P1572" i="10"/>
  <c r="AC1572" i="10"/>
  <c r="AP1572" i="10"/>
  <c r="O1572" i="10"/>
  <c r="AA1572" i="10"/>
  <c r="AM1572" i="10"/>
  <c r="Z1572" i="10"/>
  <c r="AI1589" i="10"/>
  <c r="AK1589" i="10"/>
  <c r="AR1589" i="10"/>
  <c r="AO1589" i="10"/>
  <c r="AG1589" i="10"/>
  <c r="P1589" i="10"/>
  <c r="O1381" i="10"/>
  <c r="AF1381" i="10"/>
  <c r="BE324" i="26"/>
  <c r="AJ451" i="26"/>
  <c r="AI451" i="26" s="1"/>
  <c r="AK451" i="26" s="1"/>
  <c r="N432" i="6"/>
  <c r="M445" i="6"/>
  <c r="N457" i="9"/>
  <c r="AW535" i="26"/>
  <c r="AX534" i="26"/>
  <c r="F144" i="6"/>
  <c r="AA144" i="6" s="1"/>
  <c r="M422" i="9"/>
  <c r="M468" i="6"/>
  <c r="L468" i="6"/>
  <c r="N475" i="9"/>
  <c r="F324" i="6"/>
  <c r="AA324" i="6" s="1"/>
  <c r="AK166" i="26"/>
  <c r="AU166" i="26" s="1"/>
  <c r="S166" i="26" s="1"/>
  <c r="V1471" i="10"/>
  <c r="Y1471" i="10"/>
  <c r="V1462" i="10"/>
  <c r="AE1462" i="10"/>
  <c r="S1471" i="10"/>
  <c r="AL1471" i="10"/>
  <c r="AK1462" i="10"/>
  <c r="AT1471" i="10"/>
  <c r="AS1544" i="10"/>
  <c r="J1544" i="10"/>
  <c r="AK1544" i="10"/>
  <c r="AF1471" i="10"/>
  <c r="AP1462" i="10"/>
  <c r="J1471" i="10"/>
  <c r="Z1544" i="10"/>
  <c r="AC1544" i="10"/>
  <c r="AJ1471" i="10"/>
  <c r="J1462" i="10"/>
  <c r="N1544" i="10"/>
  <c r="V1381" i="10"/>
  <c r="AH699" i="10"/>
  <c r="AD299" i="10"/>
  <c r="O699" i="10"/>
  <c r="AQ699" i="10"/>
  <c r="K699" i="10"/>
  <c r="AK243" i="26"/>
  <c r="AB361" i="26"/>
  <c r="AO699" i="10"/>
  <c r="AG299" i="10"/>
  <c r="W699" i="10"/>
  <c r="AL151" i="26"/>
  <c r="AB305" i="26"/>
  <c r="AV299" i="10"/>
  <c r="T699" i="10"/>
  <c r="AM299" i="10"/>
  <c r="M1582" i="10"/>
  <c r="AX202" i="26"/>
  <c r="T1471" i="10"/>
  <c r="M1462" i="10"/>
  <c r="AA1544" i="10"/>
  <c r="F264" i="10"/>
  <c r="G1484" i="10"/>
  <c r="AC1484" i="10"/>
  <c r="AH124" i="26"/>
  <c r="AG124" i="26" s="1"/>
  <c r="Z1265" i="10"/>
  <c r="K1544" i="10"/>
  <c r="O1462" i="10"/>
  <c r="AQ1462" i="10"/>
  <c r="L1471" i="10"/>
  <c r="AB1544" i="10"/>
  <c r="U511" i="26"/>
  <c r="AG333" i="26"/>
  <c r="T1381" i="10"/>
  <c r="R1381" i="10"/>
  <c r="AK1381" i="10"/>
  <c r="F289" i="9"/>
  <c r="AS1322" i="10"/>
  <c r="AR1455" i="10"/>
  <c r="AP1455" i="10"/>
  <c r="AR1215" i="10"/>
  <c r="AS1215" i="10"/>
  <c r="AK331" i="26"/>
  <c r="AV331" i="26" s="1"/>
  <c r="T1504" i="10"/>
  <c r="O1504" i="10"/>
  <c r="AM1504" i="10"/>
  <c r="AS367" i="10"/>
  <c r="T367" i="10"/>
  <c r="U367" i="10"/>
  <c r="Y367" i="10"/>
  <c r="AD367" i="10"/>
  <c r="U450" i="26"/>
  <c r="AB104" i="26"/>
  <c r="Y56" i="27"/>
  <c r="G56" i="27" s="1"/>
  <c r="BE75" i="26"/>
  <c r="Y1504" i="10"/>
  <c r="N1462" i="10"/>
  <c r="V1572" i="10"/>
  <c r="Y1431" i="10"/>
  <c r="L1548" i="10"/>
  <c r="Y1347" i="10"/>
  <c r="F169" i="9"/>
  <c r="J1413" i="10"/>
  <c r="AB203" i="26"/>
  <c r="F169" i="10"/>
  <c r="Q169" i="10" s="1"/>
  <c r="V1222" i="10"/>
  <c r="H189" i="9"/>
  <c r="AB352" i="26"/>
  <c r="AD352" i="26" s="1"/>
  <c r="AB268" i="26"/>
  <c r="AD268" i="26" s="1"/>
  <c r="W269" i="27"/>
  <c r="E269" i="27" s="1"/>
  <c r="AK79" i="26"/>
  <c r="AU79" i="26" s="1"/>
  <c r="S79" i="26" s="1"/>
  <c r="R79" i="26" s="1"/>
  <c r="AB190" i="26"/>
  <c r="AB191" i="26"/>
  <c r="F149" i="6"/>
  <c r="J299" i="10"/>
  <c r="AI699" i="10"/>
  <c r="AV699" i="10"/>
  <c r="AW699" i="10"/>
  <c r="AT699" i="10"/>
  <c r="AJ299" i="10"/>
  <c r="AP699" i="10"/>
  <c r="Y299" i="10"/>
  <c r="AH1215" i="10"/>
  <c r="AQ1215" i="10"/>
  <c r="J1215" i="10"/>
  <c r="AB1215" i="10"/>
  <c r="AG1215" i="10"/>
  <c r="AC387" i="26"/>
  <c r="AK50" i="26"/>
  <c r="AU50" i="26" s="1"/>
  <c r="S50" i="26" s="1"/>
  <c r="AB102" i="26"/>
  <c r="AB113" i="26"/>
  <c r="AD113" i="26" s="1"/>
  <c r="AW348" i="26"/>
  <c r="AY348" i="26" s="1"/>
  <c r="AX348" i="26" s="1"/>
  <c r="AH437" i="26"/>
  <c r="AI437" i="26" s="1"/>
  <c r="AK437" i="26" s="1"/>
  <c r="AK1243" i="10"/>
  <c r="AE1381" i="10"/>
  <c r="M1381" i="10"/>
  <c r="Q1387" i="10"/>
  <c r="AE1486" i="10"/>
  <c r="L1486" i="10"/>
  <c r="AD1486" i="10"/>
  <c r="AG1486" i="10"/>
  <c r="AC1486" i="10"/>
  <c r="O1486" i="10"/>
  <c r="AK1486" i="10"/>
  <c r="T1509" i="10"/>
  <c r="F76" i="10"/>
  <c r="AK76" i="10" s="1"/>
  <c r="G1561" i="10"/>
  <c r="AD1589" i="10"/>
  <c r="AC57" i="26"/>
  <c r="Y1589" i="10"/>
  <c r="AA1548" i="10"/>
  <c r="AM1548" i="10"/>
  <c r="AT1548" i="10"/>
  <c r="V1548" i="10"/>
  <c r="S1548" i="10"/>
  <c r="AD1548" i="10"/>
  <c r="AQ1548" i="10"/>
  <c r="AO1548" i="10"/>
  <c r="AT1561" i="10"/>
  <c r="AE1561" i="10"/>
  <c r="W1561" i="10"/>
  <c r="AT1572" i="10"/>
  <c r="Q1572" i="10"/>
  <c r="X1572" i="10"/>
  <c r="AL1572" i="10"/>
  <c r="R1572" i="10"/>
  <c r="J1572" i="10"/>
  <c r="AK1572" i="10"/>
  <c r="AS1589" i="10"/>
  <c r="M1589" i="10"/>
  <c r="AH1589" i="10"/>
  <c r="V1589" i="10"/>
  <c r="AC1589" i="10"/>
  <c r="M432" i="6"/>
  <c r="L462" i="6"/>
  <c r="L445" i="6"/>
  <c r="M488" i="6"/>
  <c r="M416" i="9"/>
  <c r="M463" i="9"/>
  <c r="L422" i="9"/>
  <c r="M483" i="6"/>
  <c r="AW447" i="26"/>
  <c r="AH536" i="26"/>
  <c r="AJ430" i="26"/>
  <c r="AI430" i="26" s="1"/>
  <c r="AK430" i="26" s="1"/>
  <c r="L483" i="6"/>
  <c r="R1582" i="10"/>
  <c r="T1544" i="10"/>
  <c r="AQ1471" i="10"/>
  <c r="AL1544" i="10"/>
  <c r="M1544" i="10"/>
  <c r="AT1544" i="10"/>
  <c r="AD1462" i="10"/>
  <c r="AF1544" i="10"/>
  <c r="AN1471" i="10"/>
  <c r="R1462" i="10"/>
  <c r="U1544" i="10"/>
  <c r="Q1544" i="10"/>
  <c r="AA1462" i="10"/>
  <c r="V1544" i="10"/>
  <c r="AH1544" i="10"/>
  <c r="Y1544" i="10"/>
  <c r="AO1462" i="10"/>
  <c r="AC1471" i="10"/>
  <c r="AJ1544" i="10"/>
  <c r="K1462" i="10"/>
  <c r="X1544" i="10"/>
  <c r="AQ1544" i="10"/>
  <c r="X1471" i="10"/>
  <c r="Z1462" i="10"/>
  <c r="AP1471" i="10"/>
  <c r="O1471" i="10"/>
  <c r="U1471" i="10"/>
  <c r="AG699" i="10"/>
  <c r="Z699" i="10"/>
  <c r="L699" i="10"/>
  <c r="AK215" i="26"/>
  <c r="N699" i="10"/>
  <c r="V699" i="10"/>
  <c r="AT299" i="10"/>
  <c r="S699" i="10"/>
  <c r="X299" i="10"/>
  <c r="Z299" i="10"/>
  <c r="P299" i="10"/>
  <c r="AJ699" i="10"/>
  <c r="H145" i="6"/>
  <c r="AD145" i="6" s="1"/>
  <c r="AX109" i="26"/>
  <c r="R1471" i="10"/>
  <c r="AB263" i="26"/>
  <c r="AD263" i="26" s="1"/>
  <c r="AH60" i="26"/>
  <c r="AG60" i="26" s="1"/>
  <c r="AI1265" i="10"/>
  <c r="S1265" i="10"/>
  <c r="AI1544" i="10"/>
  <c r="AD1471" i="10"/>
  <c r="Z1290" i="10"/>
  <c r="AR1290" i="10"/>
  <c r="AK320" i="26"/>
  <c r="AB320" i="26"/>
  <c r="AC320" i="26"/>
  <c r="AS1444" i="10"/>
  <c r="N1444" i="10"/>
  <c r="AE487" i="26"/>
  <c r="AD487" i="26"/>
  <c r="W242" i="27"/>
  <c r="E242" i="27" s="1"/>
  <c r="F40" i="9"/>
  <c r="G40" i="9"/>
  <c r="AJ537" i="10"/>
  <c r="AF537" i="10"/>
  <c r="AL137" i="10"/>
  <c r="J537" i="10"/>
  <c r="V137" i="10"/>
  <c r="S537" i="10"/>
  <c r="N537" i="10"/>
  <c r="L537" i="10"/>
  <c r="AK137" i="10"/>
  <c r="AL537" i="10"/>
  <c r="AN137" i="10"/>
  <c r="AB137" i="10"/>
  <c r="AI537" i="10"/>
  <c r="AV137" i="10"/>
  <c r="AC137" i="10"/>
  <c r="AX537" i="10"/>
  <c r="AN537" i="10"/>
  <c r="AM537" i="10"/>
  <c r="Y137" i="10"/>
  <c r="Y537" i="10"/>
  <c r="AR137" i="10"/>
  <c r="S137" i="10"/>
  <c r="M537" i="10"/>
  <c r="N137" i="10"/>
  <c r="AH537" i="10"/>
  <c r="AQ537" i="10"/>
  <c r="AB537" i="10"/>
  <c r="AT537" i="10"/>
  <c r="AV537" i="10"/>
  <c r="K537" i="10"/>
  <c r="AQ137" i="10"/>
  <c r="P537" i="10"/>
  <c r="O137" i="10"/>
  <c r="AJ137" i="10"/>
  <c r="X137" i="10"/>
  <c r="AF137" i="10"/>
  <c r="AY137" i="10"/>
  <c r="Q537" i="10"/>
  <c r="P137" i="10"/>
  <c r="T137" i="10"/>
  <c r="AP137" i="10"/>
  <c r="AS537" i="10"/>
  <c r="AP537" i="10"/>
  <c r="AA537" i="10"/>
  <c r="AG137" i="10"/>
  <c r="AH137" i="10"/>
  <c r="AT137" i="10"/>
  <c r="AD537" i="10"/>
  <c r="AC537" i="10"/>
  <c r="AS137" i="10"/>
  <c r="W537" i="10"/>
  <c r="AL382" i="26"/>
  <c r="AC382" i="26"/>
  <c r="AB382" i="26"/>
  <c r="J243" i="30"/>
  <c r="K243" i="30" s="1"/>
  <c r="E243" i="30" s="1"/>
  <c r="M490" i="6"/>
  <c r="M1504" i="10"/>
  <c r="AI1504" i="10"/>
  <c r="L1504" i="10"/>
  <c r="K1504" i="10"/>
  <c r="AR1504" i="10"/>
  <c r="U1504" i="10"/>
  <c r="AF1504" i="10"/>
  <c r="AB367" i="10"/>
  <c r="AE767" i="10"/>
  <c r="X767" i="10"/>
  <c r="L767" i="10"/>
  <c r="AG767" i="10"/>
  <c r="AW367" i="10"/>
  <c r="AV767" i="10"/>
  <c r="AA367" i="10"/>
  <c r="AJ367" i="10"/>
  <c r="J142" i="30"/>
  <c r="K142" i="30" s="1"/>
  <c r="E142" i="30" s="1"/>
  <c r="AH97" i="7"/>
  <c r="AM1297" i="10" s="1"/>
  <c r="AS1347" i="10"/>
  <c r="AF1290" i="10"/>
  <c r="AF1524" i="10"/>
  <c r="AK1290" i="10"/>
  <c r="F353" i="6"/>
  <c r="E12" i="7"/>
  <c r="J1212" i="10" s="1"/>
  <c r="F40" i="6"/>
  <c r="Q1444" i="10"/>
  <c r="AA1444" i="10"/>
  <c r="AK87" i="26"/>
  <c r="AV87" i="26" s="1"/>
  <c r="F242" i="10"/>
  <c r="Z242" i="10" s="1"/>
  <c r="X537" i="10"/>
  <c r="AO537" i="10"/>
  <c r="T537" i="10"/>
  <c r="AJ1335" i="10"/>
  <c r="AL1335" i="10"/>
  <c r="AO1335" i="10"/>
  <c r="T1335" i="10"/>
  <c r="AD1391" i="10"/>
  <c r="AB1391" i="10"/>
  <c r="S1413" i="10"/>
  <c r="AM1413" i="10"/>
  <c r="AD1413" i="10"/>
  <c r="AP1445" i="10"/>
  <c r="O1445" i="10"/>
  <c r="Z1222" i="10"/>
  <c r="AB1222" i="10"/>
  <c r="AJ1222" i="10"/>
  <c r="AL320" i="26"/>
  <c r="AX137" i="10"/>
  <c r="K137" i="10"/>
  <c r="Z137" i="10"/>
  <c r="J137" i="10"/>
  <c r="AX175" i="26"/>
  <c r="AR537" i="10"/>
  <c r="AG537" i="10"/>
  <c r="AK382" i="26"/>
  <c r="AU382" i="26" s="1"/>
  <c r="S382" i="26" s="1"/>
  <c r="AL1565" i="10"/>
  <c r="AC1565" i="10"/>
  <c r="AT423" i="26"/>
  <c r="AX423" i="26" s="1"/>
  <c r="AW423" i="26"/>
  <c r="H366" i="9"/>
  <c r="AD366" i="9" s="1"/>
  <c r="H366" i="6"/>
  <c r="AD366" i="6" s="1"/>
  <c r="AC38" i="26"/>
  <c r="AK38" i="26"/>
  <c r="AV38" i="26" s="1"/>
  <c r="P1387" i="10"/>
  <c r="AP1387" i="10"/>
  <c r="AA1461" i="10"/>
  <c r="AJ1461" i="10"/>
  <c r="R1509" i="10"/>
  <c r="AP1509" i="10"/>
  <c r="M1509" i="10"/>
  <c r="AJ527" i="26"/>
  <c r="AH527" i="26"/>
  <c r="J286" i="30"/>
  <c r="K286" i="30" s="1"/>
  <c r="E286" i="30" s="1"/>
  <c r="F390" i="10"/>
  <c r="K390" i="10" s="1"/>
  <c r="W390" i="27"/>
  <c r="E390" i="27" s="1"/>
  <c r="AC363" i="26"/>
  <c r="AB363" i="26"/>
  <c r="Z12" i="7"/>
  <c r="AE1212" i="10" s="1"/>
  <c r="AE1266" i="10"/>
  <c r="W159" i="27"/>
  <c r="E159" i="27" s="1"/>
  <c r="F159" i="10"/>
  <c r="J177" i="30"/>
  <c r="K177" i="30" s="1"/>
  <c r="E177" i="30" s="1"/>
  <c r="J201" i="30"/>
  <c r="K201" i="30" s="1"/>
  <c r="E201" i="30" s="1"/>
  <c r="AJ529" i="26"/>
  <c r="AH529" i="26"/>
  <c r="J78" i="30"/>
  <c r="K78" i="30" s="1"/>
  <c r="E78" i="30" s="1"/>
  <c r="J86" i="30"/>
  <c r="K86" i="30" s="1"/>
  <c r="E86" i="30" s="1"/>
  <c r="J114" i="30"/>
  <c r="K114" i="30" s="1"/>
  <c r="E114" i="30" s="1"/>
  <c r="BB46" i="7"/>
  <c r="BC46" i="7" s="1"/>
  <c r="AG34" i="26"/>
  <c r="AP270" i="26"/>
  <c r="AO270" i="26" s="1"/>
  <c r="F217" i="6"/>
  <c r="N490" i="6"/>
  <c r="Q1504" i="10"/>
  <c r="AK1504" i="10"/>
  <c r="AA1504" i="10"/>
  <c r="N1504" i="10"/>
  <c r="P1504" i="10"/>
  <c r="AH1504" i="10"/>
  <c r="J367" i="10"/>
  <c r="T767" i="10"/>
  <c r="P367" i="10"/>
  <c r="R767" i="10"/>
  <c r="M767" i="10"/>
  <c r="AX367" i="10"/>
  <c r="AO767" i="10"/>
  <c r="S767" i="10"/>
  <c r="AQ767" i="10"/>
  <c r="AQ367" i="10"/>
  <c r="AZ158" i="7"/>
  <c r="BA158" i="7" s="1"/>
  <c r="AZ66" i="7"/>
  <c r="BA66" i="7" s="1"/>
  <c r="M367" i="10"/>
  <c r="J68" i="30"/>
  <c r="K68" i="30" s="1"/>
  <c r="E68" i="30" s="1"/>
  <c r="J106" i="30"/>
  <c r="K106" i="30" s="1"/>
  <c r="E106" i="30" s="1"/>
  <c r="K302" i="30" s="1"/>
  <c r="E302" i="30" s="1"/>
  <c r="J161" i="30"/>
  <c r="K161" i="30" s="1"/>
  <c r="E161" i="30" s="1"/>
  <c r="X97" i="7"/>
  <c r="AC1297" i="10" s="1"/>
  <c r="AP1290" i="10"/>
  <c r="Y1437" i="10"/>
  <c r="O1290" i="10"/>
  <c r="BE353" i="26"/>
  <c r="AK363" i="26"/>
  <c r="AB1444" i="10"/>
  <c r="AM1444" i="10"/>
  <c r="AK15" i="26"/>
  <c r="AU15" i="26" s="1"/>
  <c r="S15" i="26" s="1"/>
  <c r="AC288" i="26"/>
  <c r="AB301" i="26"/>
  <c r="AD301" i="26" s="1"/>
  <c r="AT1517" i="10"/>
  <c r="Q1517" i="10"/>
  <c r="AA137" i="10"/>
  <c r="R137" i="10"/>
  <c r="AI1226" i="10"/>
  <c r="X1226" i="10"/>
  <c r="AQ1387" i="10"/>
  <c r="W137" i="10"/>
  <c r="U137" i="10"/>
  <c r="V537" i="10"/>
  <c r="O537" i="10"/>
  <c r="AM137" i="10"/>
  <c r="AW137" i="10"/>
  <c r="U485" i="26"/>
  <c r="W367" i="27"/>
  <c r="E367" i="27" s="1"/>
  <c r="AC75" i="6"/>
  <c r="AH75" i="6" s="1"/>
  <c r="AF75" i="6"/>
  <c r="H124" i="9"/>
  <c r="AD124" i="9" s="1"/>
  <c r="I124" i="9"/>
  <c r="H169" i="9"/>
  <c r="AD169" i="9" s="1"/>
  <c r="H169" i="6"/>
  <c r="AD169" i="6" s="1"/>
  <c r="AK247" i="26"/>
  <c r="AC247" i="26"/>
  <c r="AC178" i="26"/>
  <c r="AB178" i="26"/>
  <c r="AC294" i="26"/>
  <c r="AB294" i="26"/>
  <c r="AL294" i="26"/>
  <c r="F390" i="6"/>
  <c r="AA390" i="6" s="1"/>
  <c r="F390" i="9"/>
  <c r="AL174" i="26"/>
  <c r="AC174" i="26"/>
  <c r="E500" i="6"/>
  <c r="E482" i="9"/>
  <c r="N415" i="6"/>
  <c r="M415" i="6"/>
  <c r="M495" i="6"/>
  <c r="N495" i="6"/>
  <c r="L495" i="6"/>
  <c r="N478" i="9"/>
  <c r="L478" i="9"/>
  <c r="AB90" i="26"/>
  <c r="AK60" i="26"/>
  <c r="AU60" i="26" s="1"/>
  <c r="S60" i="26" s="1"/>
  <c r="AB60" i="26"/>
  <c r="F12" i="6"/>
  <c r="AA12" i="6" s="1"/>
  <c r="G12" i="9"/>
  <c r="AL313" i="26"/>
  <c r="AC313" i="26"/>
  <c r="AL316" i="26"/>
  <c r="AC316" i="26"/>
  <c r="AB44" i="26"/>
  <c r="S97" i="7"/>
  <c r="X1297" i="10" s="1"/>
  <c r="X1325" i="10"/>
  <c r="L473" i="6"/>
  <c r="N427" i="6"/>
  <c r="L427" i="6"/>
  <c r="L425" i="9"/>
  <c r="N425" i="9"/>
  <c r="J233" i="30"/>
  <c r="K233" i="30" s="1"/>
  <c r="E233" i="30" s="1"/>
  <c r="E466" i="9"/>
  <c r="E469" i="6"/>
  <c r="L484" i="9"/>
  <c r="N498" i="6"/>
  <c r="L504" i="6"/>
  <c r="M504" i="6"/>
  <c r="N412" i="9"/>
  <c r="N481" i="6"/>
  <c r="L481" i="6"/>
  <c r="AL355" i="26"/>
  <c r="AC355" i="26"/>
  <c r="AB355" i="26"/>
  <c r="AJ523" i="26"/>
  <c r="AH523" i="26"/>
  <c r="AL1455" i="10"/>
  <c r="AS1455" i="10"/>
  <c r="Q1455" i="10"/>
  <c r="U1455" i="10"/>
  <c r="AN1455" i="10"/>
  <c r="S1455" i="10"/>
  <c r="Y1455" i="10"/>
  <c r="AC1455" i="10"/>
  <c r="G1455" i="10"/>
  <c r="AB1455" i="10"/>
  <c r="AI1455" i="10"/>
  <c r="V1455" i="10"/>
  <c r="AK1455" i="10"/>
  <c r="AQ1455" i="10"/>
  <c r="L1455" i="10"/>
  <c r="O1455" i="10"/>
  <c r="AH1455" i="10"/>
  <c r="AO1455" i="10"/>
  <c r="AT1455" i="10"/>
  <c r="T1455" i="10"/>
  <c r="M1455" i="10"/>
  <c r="N1455" i="10"/>
  <c r="AA1455" i="10"/>
  <c r="K1455" i="10"/>
  <c r="X1455" i="10"/>
  <c r="AF1455" i="10"/>
  <c r="S1381" i="10"/>
  <c r="W1381" i="10"/>
  <c r="AB1381" i="10"/>
  <c r="X1381" i="10"/>
  <c r="AP1381" i="10"/>
  <c r="G1381" i="10"/>
  <c r="AA1381" i="10"/>
  <c r="AS1381" i="10"/>
  <c r="K1582" i="10"/>
  <c r="T1582" i="10"/>
  <c r="AB1582" i="10"/>
  <c r="U1582" i="10"/>
  <c r="O1582" i="10"/>
  <c r="X1582" i="10"/>
  <c r="W1582" i="10"/>
  <c r="AI1582" i="10"/>
  <c r="AD1582" i="10"/>
  <c r="G1582" i="10"/>
  <c r="AL1582" i="10"/>
  <c r="L1582" i="10"/>
  <c r="J1582" i="10"/>
  <c r="AC1582" i="10"/>
  <c r="AE1582" i="10"/>
  <c r="AK1582" i="10"/>
  <c r="N1582" i="10"/>
  <c r="AH1582" i="10"/>
  <c r="AM1582" i="10"/>
  <c r="AA1582" i="10"/>
  <c r="AP1582" i="10"/>
  <c r="P1582" i="10"/>
  <c r="V1582" i="10"/>
  <c r="AG1582" i="10"/>
  <c r="Q1582" i="10"/>
  <c r="Z1582" i="10"/>
  <c r="AS1582" i="10"/>
  <c r="AF1582" i="10"/>
  <c r="Y1582" i="10"/>
  <c r="AH263" i="26"/>
  <c r="AG263" i="26" s="1"/>
  <c r="AB157" i="26"/>
  <c r="AB111" i="26"/>
  <c r="AC194" i="26"/>
  <c r="AB121" i="26"/>
  <c r="AD121" i="26" s="1"/>
  <c r="AL121" i="26"/>
  <c r="F12" i="9"/>
  <c r="BE46" i="26"/>
  <c r="F46" i="6"/>
  <c r="AA46" i="6" s="1"/>
  <c r="AD455" i="26"/>
  <c r="AE455" i="26"/>
  <c r="AH538" i="26"/>
  <c r="AJ538" i="26"/>
  <c r="AL201" i="26"/>
  <c r="AC201" i="26"/>
  <c r="AB188" i="26"/>
  <c r="AD188" i="26" s="1"/>
  <c r="AB162" i="26"/>
  <c r="N97" i="7"/>
  <c r="S1297" i="10" s="1"/>
  <c r="AC181" i="26"/>
  <c r="AL181" i="26"/>
  <c r="AC447" i="26"/>
  <c r="AG447" i="26" s="1"/>
  <c r="AB309" i="26"/>
  <c r="F253" i="10"/>
  <c r="J169" i="30"/>
  <c r="K169" i="30" s="1"/>
  <c r="E169" i="30" s="1"/>
  <c r="AT1424" i="10"/>
  <c r="M1424" i="10"/>
  <c r="AB238" i="26"/>
  <c r="AK238" i="26"/>
  <c r="J266" i="30"/>
  <c r="K266" i="30" s="1"/>
  <c r="E266" i="30" s="1"/>
  <c r="J354" i="30"/>
  <c r="K354" i="30" s="1"/>
  <c r="E354" i="30" s="1"/>
  <c r="H20" i="9"/>
  <c r="AD20" i="9" s="1"/>
  <c r="H20" i="6"/>
  <c r="AD20" i="6" s="1"/>
  <c r="AC101" i="26"/>
  <c r="AL101" i="26"/>
  <c r="AB101" i="26"/>
  <c r="AC377" i="26"/>
  <c r="AB377" i="26"/>
  <c r="F46" i="10"/>
  <c r="AT446" i="10" s="1"/>
  <c r="W46" i="27"/>
  <c r="E46" i="27" s="1"/>
  <c r="F346" i="10"/>
  <c r="AO746" i="10" s="1"/>
  <c r="W346" i="27"/>
  <c r="E346" i="27" s="1"/>
  <c r="J253" i="7"/>
  <c r="O1456" i="10"/>
  <c r="T1344" i="10"/>
  <c r="O97" i="7"/>
  <c r="T1297" i="10" s="1"/>
  <c r="AA1298" i="10"/>
  <c r="V97" i="7"/>
  <c r="AA1297" i="10" s="1"/>
  <c r="AB12" i="7"/>
  <c r="AG1212" i="10" s="1"/>
  <c r="AG1266" i="10"/>
  <c r="AJ1246" i="10"/>
  <c r="AE12" i="7"/>
  <c r="AJ1212" i="10" s="1"/>
  <c r="J268" i="30"/>
  <c r="K268" i="30" s="1"/>
  <c r="E268" i="30" s="1"/>
  <c r="J306" i="30"/>
  <c r="K306" i="30" s="1"/>
  <c r="E306" i="30" s="1"/>
  <c r="AF97" i="7"/>
  <c r="AK1297" i="10" s="1"/>
  <c r="AK1325" i="10"/>
  <c r="AL1344" i="10"/>
  <c r="AG97" i="7"/>
  <c r="AL1297" i="10" s="1"/>
  <c r="AI97" i="7"/>
  <c r="AN1297" i="10" s="1"/>
  <c r="AN1358" i="10"/>
  <c r="AJ415" i="26"/>
  <c r="AH415" i="26"/>
  <c r="BB66" i="7"/>
  <c r="BC66" i="7" s="1"/>
  <c r="BB158" i="7"/>
  <c r="BC158" i="7" s="1"/>
  <c r="Y217" i="27"/>
  <c r="G217" i="27" s="1"/>
  <c r="AZ218" i="7"/>
  <c r="BA218" i="7" s="1"/>
  <c r="K1418" i="10"/>
  <c r="BB218" i="7"/>
  <c r="BC218" i="7" s="1"/>
  <c r="AK101" i="26"/>
  <c r="AU101" i="26" s="1"/>
  <c r="S101" i="26" s="1"/>
  <c r="AW213" i="26"/>
  <c r="AY213" i="26" s="1"/>
  <c r="AX213" i="26" s="1"/>
  <c r="AK213" i="26"/>
  <c r="AB87" i="26"/>
  <c r="AD87" i="26" s="1"/>
  <c r="O87" i="26" s="1"/>
  <c r="AY343" i="26"/>
  <c r="AX343" i="26" s="1"/>
  <c r="AA1241" i="10"/>
  <c r="AC1241" i="10"/>
  <c r="AB1241" i="10"/>
  <c r="L1241" i="10"/>
  <c r="AR1241" i="10"/>
  <c r="N1241" i="10"/>
  <c r="M1241" i="10"/>
  <c r="T1241" i="10"/>
  <c r="X1241" i="10"/>
  <c r="AD1241" i="10"/>
  <c r="AT1241" i="10"/>
  <c r="V1241" i="10"/>
  <c r="AQ1241" i="10"/>
  <c r="AN1241" i="10"/>
  <c r="AH1460" i="10"/>
  <c r="P1460" i="10"/>
  <c r="AW344" i="26"/>
  <c r="AK344" i="26"/>
  <c r="AU344" i="26" s="1"/>
  <c r="S344" i="26" s="1"/>
  <c r="H344" i="6" s="1"/>
  <c r="AC344" i="6" s="1"/>
  <c r="AB349" i="26"/>
  <c r="AK349" i="26"/>
  <c r="AU349" i="26" s="1"/>
  <c r="S349" i="26" s="1"/>
  <c r="X1460" i="10"/>
  <c r="AA1524" i="10"/>
  <c r="AB72" i="26"/>
  <c r="AK72" i="26"/>
  <c r="AU72" i="26" s="1"/>
  <c r="S72" i="26" s="1"/>
  <c r="AS1305" i="10"/>
  <c r="AE1305" i="10"/>
  <c r="O1305" i="10"/>
  <c r="V1305" i="10"/>
  <c r="G1305" i="10"/>
  <c r="P1305" i="10"/>
  <c r="AD1305" i="10"/>
  <c r="AC134" i="26"/>
  <c r="AL134" i="26"/>
  <c r="AB134" i="26"/>
  <c r="P1347" i="10"/>
  <c r="L1347" i="10"/>
  <c r="X1347" i="10"/>
  <c r="AH1347" i="10"/>
  <c r="AG1347" i="10"/>
  <c r="AI1347" i="10"/>
  <c r="AF1347" i="10"/>
  <c r="AT1347" i="10"/>
  <c r="AI1402" i="10"/>
  <c r="Y1402" i="10"/>
  <c r="O1402" i="10"/>
  <c r="AL1409" i="10"/>
  <c r="M1409" i="10"/>
  <c r="Z1444" i="10"/>
  <c r="U1444" i="10"/>
  <c r="AG1444" i="10"/>
  <c r="S1444" i="10"/>
  <c r="AC1444" i="10"/>
  <c r="AH1444" i="10"/>
  <c r="AD1444" i="10"/>
  <c r="AT1444" i="10"/>
  <c r="J1444" i="10"/>
  <c r="AE1444" i="10"/>
  <c r="L1444" i="10"/>
  <c r="AK1444" i="10"/>
  <c r="X1444" i="10"/>
  <c r="Y1444" i="10"/>
  <c r="AR1444" i="10"/>
  <c r="V1444" i="10"/>
  <c r="AQ1444" i="10"/>
  <c r="K1444" i="10"/>
  <c r="P1444" i="10"/>
  <c r="AP1444" i="10"/>
  <c r="AJ1444" i="10"/>
  <c r="G1444" i="10"/>
  <c r="AN1444" i="10"/>
  <c r="O1444" i="10"/>
  <c r="AL1444" i="10"/>
  <c r="R1444" i="10"/>
  <c r="T1444" i="10"/>
  <c r="W1444" i="10"/>
  <c r="AO1444" i="10"/>
  <c r="AI1475" i="10"/>
  <c r="AA1475" i="10"/>
  <c r="AK1475" i="10"/>
  <c r="AQ1475" i="10"/>
  <c r="V1504" i="10"/>
  <c r="W1504" i="10"/>
  <c r="X1504" i="10"/>
  <c r="AQ1504" i="10"/>
  <c r="AO1504" i="10"/>
  <c r="J1504" i="10"/>
  <c r="S1504" i="10"/>
  <c r="AB1504" i="10"/>
  <c r="AP1504" i="10"/>
  <c r="AS1504" i="10"/>
  <c r="AY88" i="26"/>
  <c r="AX88" i="26" s="1"/>
  <c r="AJ434" i="26"/>
  <c r="AI434" i="26" s="1"/>
  <c r="AK434" i="26" s="1"/>
  <c r="AY63" i="26"/>
  <c r="AX63" i="26" s="1"/>
  <c r="E435" i="6"/>
  <c r="U440" i="26"/>
  <c r="Y100" i="27"/>
  <c r="G100" i="27" s="1"/>
  <c r="AW121" i="26"/>
  <c r="AY121" i="26" s="1"/>
  <c r="AX121" i="26" s="1"/>
  <c r="AK121" i="26"/>
  <c r="AS1387" i="10"/>
  <c r="AN1387" i="10"/>
  <c r="K1387" i="10"/>
  <c r="M1387" i="10"/>
  <c r="X1387" i="10"/>
  <c r="Y1387" i="10"/>
  <c r="AD1387" i="10"/>
  <c r="V1387" i="10"/>
  <c r="T1387" i="10"/>
  <c r="R1387" i="10"/>
  <c r="U1387" i="10"/>
  <c r="N1387" i="10"/>
  <c r="AH1387" i="10"/>
  <c r="AG1387" i="10"/>
  <c r="AB1387" i="10"/>
  <c r="Z1387" i="10"/>
  <c r="L1387" i="10"/>
  <c r="F236" i="6"/>
  <c r="AA236" i="6" s="1"/>
  <c r="F236" i="9"/>
  <c r="Y236" i="27"/>
  <c r="G236" i="27" s="1"/>
  <c r="AO1461" i="10"/>
  <c r="AP1461" i="10"/>
  <c r="AL1461" i="10"/>
  <c r="K1461" i="10"/>
  <c r="R1461" i="10"/>
  <c r="Y1461" i="10"/>
  <c r="Q1461" i="10"/>
  <c r="AT1461" i="10"/>
  <c r="J1461" i="10"/>
  <c r="AW262" i="26"/>
  <c r="AY262" i="26" s="1"/>
  <c r="AX262" i="26" s="1"/>
  <c r="AK262" i="26"/>
  <c r="AV262" i="26" s="1"/>
  <c r="AB1509" i="10"/>
  <c r="AQ1509" i="10"/>
  <c r="AO1509" i="10"/>
  <c r="AT1509" i="10"/>
  <c r="J1509" i="10"/>
  <c r="AE1509" i="10"/>
  <c r="AK1509" i="10"/>
  <c r="W1509" i="10"/>
  <c r="AL1509" i="10"/>
  <c r="AA1509" i="10"/>
  <c r="U1509" i="10"/>
  <c r="O1509" i="10"/>
  <c r="Q1509" i="10"/>
  <c r="AH1509" i="10"/>
  <c r="P1509" i="10"/>
  <c r="L1509" i="10"/>
  <c r="AR1509" i="10"/>
  <c r="AK351" i="26"/>
  <c r="AU351" i="26" s="1"/>
  <c r="S351" i="26" s="1"/>
  <c r="H351" i="9" s="1"/>
  <c r="AB351" i="26"/>
  <c r="Y75" i="27"/>
  <c r="G75" i="27" s="1"/>
  <c r="F75" i="9"/>
  <c r="AK377" i="26"/>
  <c r="AU377" i="26" s="1"/>
  <c r="S377" i="26" s="1"/>
  <c r="AD225" i="26"/>
  <c r="AH248" i="26"/>
  <c r="AG248" i="26" s="1"/>
  <c r="AP248" i="26"/>
  <c r="E490" i="9"/>
  <c r="U534" i="26"/>
  <c r="AH363" i="26"/>
  <c r="AG363" i="26" s="1"/>
  <c r="AK1565" i="10"/>
  <c r="U1565" i="10"/>
  <c r="X1565" i="10"/>
  <c r="AP1565" i="10"/>
  <c r="M1565" i="10"/>
  <c r="N1565" i="10"/>
  <c r="AQ1565" i="10"/>
  <c r="S1565" i="10"/>
  <c r="P1565" i="10"/>
  <c r="AN1565" i="10"/>
  <c r="AT1565" i="10"/>
  <c r="AG1565" i="10"/>
  <c r="Q1565" i="10"/>
  <c r="AB389" i="26"/>
  <c r="AK389" i="26"/>
  <c r="J126" i="30"/>
  <c r="K126" i="30" s="1"/>
  <c r="E126" i="30" s="1"/>
  <c r="H118" i="9"/>
  <c r="I118" i="6"/>
  <c r="I132" i="9"/>
  <c r="H132" i="9"/>
  <c r="AD132" i="9" s="1"/>
  <c r="W33" i="27"/>
  <c r="E33" i="27" s="1"/>
  <c r="G33" i="10"/>
  <c r="G324" i="10"/>
  <c r="F324" i="10"/>
  <c r="AY324" i="10" s="1"/>
  <c r="W324" i="27"/>
  <c r="E324" i="27" s="1"/>
  <c r="K97" i="7"/>
  <c r="P1297" i="10" s="1"/>
  <c r="P1325" i="10"/>
  <c r="AJ12" i="7"/>
  <c r="AO1212" i="10" s="1"/>
  <c r="AO1266" i="10"/>
  <c r="H177" i="6"/>
  <c r="H257" i="6"/>
  <c r="AD257" i="6" s="1"/>
  <c r="H257" i="9"/>
  <c r="I257" i="6"/>
  <c r="AJ1524" i="10"/>
  <c r="AO1460" i="10"/>
  <c r="J120" i="30"/>
  <c r="K120" i="30" s="1"/>
  <c r="E120" i="30" s="1"/>
  <c r="AK328" i="26"/>
  <c r="AU328" i="26" s="1"/>
  <c r="S328" i="26" s="1"/>
  <c r="R328" i="26" s="1"/>
  <c r="I328" i="6" s="1"/>
  <c r="AB328" i="26"/>
  <c r="W289" i="27"/>
  <c r="E289" i="27" s="1"/>
  <c r="F289" i="10"/>
  <c r="S689" i="10" s="1"/>
  <c r="AK24" i="26"/>
  <c r="AU24" i="26" s="1"/>
  <c r="S24" i="26" s="1"/>
  <c r="R24" i="26" s="1"/>
  <c r="AB24" i="26"/>
  <c r="AD24" i="26" s="1"/>
  <c r="AL24" i="26"/>
  <c r="AK1388" i="10"/>
  <c r="AN1388" i="10"/>
  <c r="AB436" i="26"/>
  <c r="Z436" i="26"/>
  <c r="AD436" i="26" s="1"/>
  <c r="AY29" i="26"/>
  <c r="AX29" i="26" s="1"/>
  <c r="U475" i="26"/>
  <c r="AC475" i="26" s="1"/>
  <c r="E462" i="6"/>
  <c r="AW441" i="26"/>
  <c r="AT441" i="26"/>
  <c r="AX441" i="26" s="1"/>
  <c r="AR442" i="26"/>
  <c r="AX442" i="26"/>
  <c r="AW442" i="26"/>
  <c r="AC154" i="26"/>
  <c r="AL154" i="26"/>
  <c r="AK154" i="26"/>
  <c r="AU154" i="26" s="1"/>
  <c r="S154" i="26" s="1"/>
  <c r="H154" i="6" s="1"/>
  <c r="Y269" i="27"/>
  <c r="G269" i="27" s="1"/>
  <c r="F269" i="9"/>
  <c r="F153" i="10"/>
  <c r="M553" i="10" s="1"/>
  <c r="G153" i="10"/>
  <c r="W153" i="27"/>
  <c r="E153" i="27" s="1"/>
  <c r="AJ1298" i="10"/>
  <c r="AE97" i="7"/>
  <c r="AJ1297" i="10" s="1"/>
  <c r="G1331" i="10"/>
  <c r="AJ1331" i="10"/>
  <c r="AD1331" i="10"/>
  <c r="AK1331" i="10"/>
  <c r="AG1331" i="10"/>
  <c r="P1331" i="10"/>
  <c r="AN1331" i="10"/>
  <c r="AF1331" i="10"/>
  <c r="AQ1331" i="10"/>
  <c r="AH1331" i="10"/>
  <c r="R1331" i="10"/>
  <c r="X1331" i="10"/>
  <c r="J1331" i="10"/>
  <c r="AE1331" i="10"/>
  <c r="U1331" i="10"/>
  <c r="O1331" i="10"/>
  <c r="V1331" i="10"/>
  <c r="AL1331" i="10"/>
  <c r="AM1331" i="10"/>
  <c r="AP1331" i="10"/>
  <c r="AB1331" i="10"/>
  <c r="M1331" i="10"/>
  <c r="N1331" i="10"/>
  <c r="AR1331" i="10"/>
  <c r="Q1331" i="10"/>
  <c r="L1331" i="10"/>
  <c r="S1331" i="10"/>
  <c r="T1331" i="10"/>
  <c r="AI1331" i="10"/>
  <c r="AA1331" i="10"/>
  <c r="M454" i="6"/>
  <c r="AB454" i="6"/>
  <c r="L454" i="6"/>
  <c r="M477" i="6"/>
  <c r="L477" i="6"/>
  <c r="N480" i="9"/>
  <c r="M480" i="9"/>
  <c r="F272" i="6"/>
  <c r="AA272" i="6" s="1"/>
  <c r="F272" i="9"/>
  <c r="G272" i="6"/>
  <c r="X323" i="7"/>
  <c r="AC1523" i="10" s="1"/>
  <c r="AC1524" i="10"/>
  <c r="N414" i="9"/>
  <c r="M414" i="9"/>
  <c r="L414" i="9"/>
  <c r="M453" i="9"/>
  <c r="AB453" i="9"/>
  <c r="L453" i="9"/>
  <c r="L428" i="6"/>
  <c r="M428" i="6"/>
  <c r="N428" i="6"/>
  <c r="M457" i="6"/>
  <c r="L457" i="6"/>
  <c r="M507" i="6"/>
  <c r="N507" i="6"/>
  <c r="L507" i="6"/>
  <c r="N426" i="6"/>
  <c r="N490" i="9"/>
  <c r="M490" i="9"/>
  <c r="L490" i="9"/>
  <c r="L437" i="9"/>
  <c r="M437" i="9"/>
  <c r="N488" i="9"/>
  <c r="M488" i="9"/>
  <c r="M433" i="6"/>
  <c r="L433" i="6"/>
  <c r="N500" i="6"/>
  <c r="M500" i="6"/>
  <c r="L500" i="6"/>
  <c r="N467" i="6"/>
  <c r="Y467" i="6" s="1"/>
  <c r="L467" i="6"/>
  <c r="J29" i="30"/>
  <c r="K29" i="30" s="1"/>
  <c r="E29" i="30" s="1"/>
  <c r="AB205" i="26"/>
  <c r="AB292" i="26"/>
  <c r="AB173" i="26"/>
  <c r="AD173" i="26" s="1"/>
  <c r="F312" i="10"/>
  <c r="J119" i="30"/>
  <c r="K119" i="30" s="1"/>
  <c r="E119" i="30" s="1"/>
  <c r="J135" i="30"/>
  <c r="K135" i="30" s="1"/>
  <c r="E135" i="30" s="1"/>
  <c r="J178" i="30"/>
  <c r="K178" i="30" s="1"/>
  <c r="E178" i="30" s="1"/>
  <c r="H272" i="9"/>
  <c r="AD272" i="9" s="1"/>
  <c r="AH161" i="26"/>
  <c r="AG161" i="26" s="1"/>
  <c r="AB86" i="26"/>
  <c r="BB324" i="7"/>
  <c r="BC324" i="7" s="1"/>
  <c r="BB144" i="7"/>
  <c r="BC144" i="7" s="1"/>
  <c r="AH619" i="10"/>
  <c r="AN219" i="10"/>
  <c r="G1431" i="10"/>
  <c r="O1391" i="10"/>
  <c r="AM1335" i="10"/>
  <c r="T1445" i="10"/>
  <c r="J1445" i="10"/>
  <c r="N1413" i="10"/>
  <c r="W1413" i="10"/>
  <c r="AW85" i="26"/>
  <c r="AY85" i="26" s="1"/>
  <c r="AX85" i="26" s="1"/>
  <c r="AO1222" i="10"/>
  <c r="AH1222" i="10"/>
  <c r="G1222" i="10"/>
  <c r="AS212" i="10"/>
  <c r="AS612" i="10"/>
  <c r="AE1520" i="10"/>
  <c r="AB122" i="26"/>
  <c r="AN1243" i="10"/>
  <c r="AS1243" i="10"/>
  <c r="M1261" i="10"/>
  <c r="AA1261" i="10"/>
  <c r="O1261" i="10"/>
  <c r="Z1261" i="10"/>
  <c r="K1261" i="10"/>
  <c r="AP1261" i="10"/>
  <c r="Q1261" i="10"/>
  <c r="X1295" i="10"/>
  <c r="AH1295" i="10"/>
  <c r="W1295" i="10"/>
  <c r="M1295" i="10"/>
  <c r="AS1295" i="10"/>
  <c r="AK1295" i="10"/>
  <c r="S1295" i="10"/>
  <c r="AN1295" i="10"/>
  <c r="R1357" i="10"/>
  <c r="AO1357" i="10"/>
  <c r="G1295" i="10"/>
  <c r="X12" i="7"/>
  <c r="AC1212" i="10" s="1"/>
  <c r="F125" i="10"/>
  <c r="W125" i="27"/>
  <c r="E125" i="27" s="1"/>
  <c r="J95" i="30"/>
  <c r="K95" i="30" s="1"/>
  <c r="E95" i="30" s="1"/>
  <c r="J103" i="30"/>
  <c r="K103" i="30" s="1"/>
  <c r="E103" i="30" s="1"/>
  <c r="J111" i="30"/>
  <c r="K111" i="30" s="1"/>
  <c r="E111" i="30" s="1"/>
  <c r="J143" i="30"/>
  <c r="K143" i="30" s="1"/>
  <c r="E143" i="30" s="1"/>
  <c r="J359" i="30"/>
  <c r="K359" i="30" s="1"/>
  <c r="E359" i="30" s="1"/>
  <c r="AK225" i="26"/>
  <c r="AW225" i="26"/>
  <c r="AY225" i="26" s="1"/>
  <c r="AX225" i="26" s="1"/>
  <c r="AC323" i="7"/>
  <c r="J1440" i="10"/>
  <c r="J1424" i="10"/>
  <c r="AQ1347" i="10"/>
  <c r="AE1475" i="10"/>
  <c r="M1402" i="10"/>
  <c r="AO1402" i="10"/>
  <c r="S1402" i="10"/>
  <c r="Q1437" i="10"/>
  <c r="V299" i="10"/>
  <c r="K299" i="10"/>
  <c r="U299" i="10"/>
  <c r="AX299" i="10"/>
  <c r="M299" i="10"/>
  <c r="AQ299" i="10"/>
  <c r="X699" i="10"/>
  <c r="AZ125" i="7"/>
  <c r="BA125" i="7" s="1"/>
  <c r="AK1517" i="10"/>
  <c r="AD1424" i="10"/>
  <c r="R1347" i="10"/>
  <c r="W1347" i="10"/>
  <c r="AG1475" i="10"/>
  <c r="AL87" i="26"/>
  <c r="AL328" i="26"/>
  <c r="T1402" i="10"/>
  <c r="K1402" i="10"/>
  <c r="P1402" i="10"/>
  <c r="AP1409" i="10"/>
  <c r="X1424" i="10"/>
  <c r="P1475" i="10"/>
  <c r="U1347" i="10"/>
  <c r="AR1475" i="10"/>
  <c r="AC328" i="26"/>
  <c r="AQ1402" i="10"/>
  <c r="Z1402" i="10"/>
  <c r="AB1402" i="10"/>
  <c r="X1402" i="10"/>
  <c r="AC176" i="26"/>
  <c r="AK176" i="26"/>
  <c r="AR589" i="10"/>
  <c r="AE189" i="10"/>
  <c r="AL109" i="26"/>
  <c r="AK109" i="26"/>
  <c r="AC109" i="26"/>
  <c r="AZ144" i="7"/>
  <c r="BA144" i="7" s="1"/>
  <c r="Y1470" i="10"/>
  <c r="AK227" i="26"/>
  <c r="N1325" i="10"/>
  <c r="AF1460" i="10"/>
  <c r="Y1460" i="10"/>
  <c r="T1234" i="10"/>
  <c r="AP1238" i="10"/>
  <c r="J1234" i="10"/>
  <c r="S1362" i="10"/>
  <c r="AD1460" i="10"/>
  <c r="AL211" i="26"/>
  <c r="AP1352" i="10"/>
  <c r="AT1575" i="10"/>
  <c r="AG1285" i="10"/>
  <c r="AR1285" i="10"/>
  <c r="AB1285" i="10"/>
  <c r="AC1285" i="10"/>
  <c r="AT1285" i="10"/>
  <c r="AS1285" i="10"/>
  <c r="AJ1324" i="10"/>
  <c r="S1324" i="10"/>
  <c r="O1324" i="10"/>
  <c r="W1324" i="10"/>
  <c r="AN1324" i="10"/>
  <c r="J1324" i="10"/>
  <c r="J1340" i="10"/>
  <c r="AA1340" i="10"/>
  <c r="AI1340" i="10"/>
  <c r="N1340" i="10"/>
  <c r="AK1340" i="10"/>
  <c r="H40" i="6"/>
  <c r="AD40" i="6" s="1"/>
  <c r="H40" i="9"/>
  <c r="I40" i="6"/>
  <c r="J136" i="30"/>
  <c r="K136" i="30" s="1"/>
  <c r="E136" i="30" s="1"/>
  <c r="AM1296" i="10"/>
  <c r="Z1296" i="10"/>
  <c r="V1362" i="10"/>
  <c r="P1362" i="10"/>
  <c r="J1362" i="10"/>
  <c r="Q1372" i="10"/>
  <c r="AB1372" i="10"/>
  <c r="AD1372" i="10"/>
  <c r="G1324" i="10"/>
  <c r="V1324" i="10"/>
  <c r="X1324" i="10"/>
  <c r="T1324" i="10"/>
  <c r="N1324" i="10"/>
  <c r="AF1324" i="10"/>
  <c r="AB1324" i="10"/>
  <c r="U1324" i="10"/>
  <c r="AE1324" i="10"/>
  <c r="AO1324" i="10"/>
  <c r="Z413" i="26"/>
  <c r="AE413" i="26" s="1"/>
  <c r="AB413" i="26"/>
  <c r="G1285" i="10"/>
  <c r="AL1285" i="10"/>
  <c r="AK1285" i="10"/>
  <c r="Z1285" i="10"/>
  <c r="R1285" i="10"/>
  <c r="AA1285" i="10"/>
  <c r="Y1285" i="10"/>
  <c r="AQ1285" i="10"/>
  <c r="AM1285" i="10"/>
  <c r="K1285" i="10"/>
  <c r="AQ1340" i="10"/>
  <c r="AT1340" i="10"/>
  <c r="AC1340" i="10"/>
  <c r="O1340" i="10"/>
  <c r="Q1340" i="10"/>
  <c r="AH1340" i="10"/>
  <c r="W1340" i="10"/>
  <c r="AM1340" i="10"/>
  <c r="U1340" i="10"/>
  <c r="Y1340" i="10"/>
  <c r="AF1340" i="10"/>
  <c r="M1340" i="10"/>
  <c r="G1340" i="10"/>
  <c r="T1434" i="10"/>
  <c r="AB1434" i="10"/>
  <c r="AR1434" i="10"/>
  <c r="L1434" i="10"/>
  <c r="AP250" i="26"/>
  <c r="AO250" i="26" s="1"/>
  <c r="AH250" i="26"/>
  <c r="AG250" i="26" s="1"/>
  <c r="Y359" i="27"/>
  <c r="G359" i="27" s="1"/>
  <c r="AH377" i="26"/>
  <c r="AG377" i="26" s="1"/>
  <c r="AP377" i="26"/>
  <c r="AO377" i="26" s="1"/>
  <c r="AL1352" i="10"/>
  <c r="AA1352" i="10"/>
  <c r="AO1352" i="10"/>
  <c r="N1352" i="10"/>
  <c r="AD1352" i="10"/>
  <c r="J216" i="30"/>
  <c r="K216" i="30" s="1"/>
  <c r="E216" i="30" s="1"/>
  <c r="AZ98" i="7"/>
  <c r="BA98" i="7" s="1"/>
  <c r="E97" i="7"/>
  <c r="J1297" i="10" s="1"/>
  <c r="AG338" i="26"/>
  <c r="AX172" i="26"/>
  <c r="AX82" i="26"/>
  <c r="T1460" i="10"/>
  <c r="AP1460" i="10"/>
  <c r="G126" i="9"/>
  <c r="N1216" i="10"/>
  <c r="AR1234" i="10"/>
  <c r="AM1234" i="10"/>
  <c r="Q1234" i="10"/>
  <c r="AN1285" i="10"/>
  <c r="K1234" i="10"/>
  <c r="AG147" i="26"/>
  <c r="AB163" i="26"/>
  <c r="AR1362" i="10"/>
  <c r="AK321" i="26"/>
  <c r="AU321" i="26" s="1"/>
  <c r="S321" i="26" s="1"/>
  <c r="H321" i="6" s="1"/>
  <c r="AK295" i="26"/>
  <c r="AU295" i="26" s="1"/>
  <c r="S295" i="26" s="1"/>
  <c r="AC295" i="26"/>
  <c r="K1352" i="10"/>
  <c r="N1372" i="10"/>
  <c r="AE325" i="10"/>
  <c r="S725" i="10"/>
  <c r="AV725" i="10"/>
  <c r="AK249" i="26"/>
  <c r="AB249" i="26"/>
  <c r="AD249" i="26" s="1"/>
  <c r="AQ1397" i="10"/>
  <c r="AM1397" i="10"/>
  <c r="V1285" i="10"/>
  <c r="AR1226" i="10"/>
  <c r="P1226" i="10"/>
  <c r="O1285" i="10"/>
  <c r="W1285" i="10"/>
  <c r="AH1285" i="10"/>
  <c r="AP1285" i="10"/>
  <c r="J1285" i="10"/>
  <c r="AT1324" i="10"/>
  <c r="AQ1324" i="10"/>
  <c r="AH1324" i="10"/>
  <c r="M1324" i="10"/>
  <c r="AI1324" i="10"/>
  <c r="AD1324" i="10"/>
  <c r="Y1324" i="10"/>
  <c r="AL1340" i="10"/>
  <c r="P1340" i="10"/>
  <c r="K1340" i="10"/>
  <c r="S1340" i="10"/>
  <c r="AE1340" i="10"/>
  <c r="AD1340" i="10"/>
  <c r="K1279" i="10"/>
  <c r="J1279" i="10"/>
  <c r="AI1279" i="10"/>
  <c r="V1390" i="10"/>
  <c r="AL1390" i="10"/>
  <c r="M1390" i="10"/>
  <c r="X1390" i="10"/>
  <c r="AA1390" i="10"/>
  <c r="Y1390" i="10"/>
  <c r="S1390" i="10"/>
  <c r="AH1390" i="10"/>
  <c r="J112" i="30"/>
  <c r="K112" i="30" s="1"/>
  <c r="E112" i="30" s="1"/>
  <c r="AK88" i="26"/>
  <c r="AC88" i="26"/>
  <c r="BB125" i="7"/>
  <c r="BC125" i="7" s="1"/>
  <c r="AN1460" i="10"/>
  <c r="G1460" i="10"/>
  <c r="F126" i="6"/>
  <c r="J104" i="30"/>
  <c r="K104" i="30" s="1"/>
  <c r="E104" i="30" s="1"/>
  <c r="AI1440" i="10"/>
  <c r="AF1296" i="10"/>
  <c r="M1238" i="10"/>
  <c r="AE1517" i="10"/>
  <c r="T1285" i="10"/>
  <c r="Y1238" i="10"/>
  <c r="AO1234" i="10"/>
  <c r="AP1234" i="10"/>
  <c r="AM1362" i="10"/>
  <c r="AF1278" i="10"/>
  <c r="AQ1278" i="10"/>
  <c r="AT1352" i="10"/>
  <c r="O1372" i="10"/>
  <c r="AC373" i="26"/>
  <c r="AB373" i="26"/>
  <c r="AP1575" i="10"/>
  <c r="T1424" i="10"/>
  <c r="W1424" i="10"/>
  <c r="AM1424" i="10"/>
  <c r="AI1285" i="10"/>
  <c r="N1285" i="10"/>
  <c r="U1285" i="10"/>
  <c r="AO1285" i="10"/>
  <c r="M1285" i="10"/>
  <c r="Z1324" i="10"/>
  <c r="AM1324" i="10"/>
  <c r="AG1324" i="10"/>
  <c r="P1324" i="10"/>
  <c r="AK1324" i="10"/>
  <c r="AP1324" i="10"/>
  <c r="AR1340" i="10"/>
  <c r="X1340" i="10"/>
  <c r="AO1340" i="10"/>
  <c r="Z1340" i="10"/>
  <c r="AN1340" i="10"/>
  <c r="V1340" i="10"/>
  <c r="N1434" i="10"/>
  <c r="L1324" i="10"/>
  <c r="AH245" i="26"/>
  <c r="AG245" i="26" s="1"/>
  <c r="AP245" i="26"/>
  <c r="AO245" i="26" s="1"/>
  <c r="AK150" i="26"/>
  <c r="AL150" i="26"/>
  <c r="E441" i="9"/>
  <c r="U457" i="26"/>
  <c r="AC457" i="26" s="1"/>
  <c r="BE457" i="26" s="1"/>
  <c r="E448" i="6"/>
  <c r="E491" i="9"/>
  <c r="E505" i="6"/>
  <c r="U1263" i="10"/>
  <c r="AT1263" i="10"/>
  <c r="Y1263" i="10"/>
  <c r="AO1263" i="10"/>
  <c r="AA1263" i="10"/>
  <c r="AN1263" i="10"/>
  <c r="J1263" i="10"/>
  <c r="AC37" i="26"/>
  <c r="AK37" i="26"/>
  <c r="AU37" i="26" s="1"/>
  <c r="S37" i="26" s="1"/>
  <c r="AC336" i="26"/>
  <c r="AL336" i="26"/>
  <c r="AC39" i="26"/>
  <c r="AB39" i="26"/>
  <c r="W277" i="27"/>
  <c r="E277" i="27" s="1"/>
  <c r="Z97" i="7"/>
  <c r="AE1298" i="10"/>
  <c r="AC12" i="7"/>
  <c r="AH1212" i="10" s="1"/>
  <c r="AH1266" i="10"/>
  <c r="J170" i="30"/>
  <c r="K170" i="30" s="1"/>
  <c r="E170" i="30" s="1"/>
  <c r="AB1409" i="10"/>
  <c r="P1409" i="10"/>
  <c r="X1437" i="10"/>
  <c r="AO1486" i="10"/>
  <c r="AL30" i="26"/>
  <c r="AC30" i="26"/>
  <c r="J138" i="30"/>
  <c r="K138" i="30" s="1"/>
  <c r="E138" i="30" s="1"/>
  <c r="S12" i="7"/>
  <c r="X1212" i="10" s="1"/>
  <c r="K1409" i="10"/>
  <c r="AD1437" i="10"/>
  <c r="AC452" i="26"/>
  <c r="X1486" i="10"/>
  <c r="J14" i="30"/>
  <c r="K14" i="30" s="1"/>
  <c r="E14" i="30" s="1"/>
  <c r="AL227" i="26"/>
  <c r="AC227" i="26"/>
  <c r="AB48" i="26"/>
  <c r="Y1243" i="10"/>
  <c r="J1243" i="10"/>
  <c r="AE1303" i="10"/>
  <c r="L1402" i="10"/>
  <c r="N1402" i="10"/>
  <c r="AD1402" i="10"/>
  <c r="J1402" i="10"/>
  <c r="AM1409" i="10"/>
  <c r="AO1437" i="10"/>
  <c r="W1486" i="10"/>
  <c r="J349" i="30"/>
  <c r="K349" i="30" s="1"/>
  <c r="E349" i="30" s="1"/>
  <c r="N12" i="7"/>
  <c r="S1212" i="10" s="1"/>
  <c r="S1246" i="10"/>
  <c r="BE207" i="26"/>
  <c r="W126" i="27"/>
  <c r="E126" i="27" s="1"/>
  <c r="BD126" i="26"/>
  <c r="I307" i="6"/>
  <c r="H307" i="9"/>
  <c r="BD374" i="26"/>
  <c r="W374" i="27"/>
  <c r="E374" i="27" s="1"/>
  <c r="Y46" i="27"/>
  <c r="G46" i="27" s="1"/>
  <c r="E450" i="6"/>
  <c r="E454" i="9"/>
  <c r="Y40" i="27"/>
  <c r="G40" i="27" s="1"/>
  <c r="AC212" i="9"/>
  <c r="AH212" i="9" s="1"/>
  <c r="AC487" i="26"/>
  <c r="E429" i="9"/>
  <c r="E452" i="9"/>
  <c r="U441" i="26"/>
  <c r="AC441" i="26" s="1"/>
  <c r="AY441" i="26" s="1"/>
  <c r="S441" i="26" s="1"/>
  <c r="AB418" i="26"/>
  <c r="H51" i="9"/>
  <c r="H307" i="6"/>
  <c r="F207" i="6"/>
  <c r="AA207" i="6" s="1"/>
  <c r="Y207" i="27"/>
  <c r="G207" i="27" s="1"/>
  <c r="AC230" i="26"/>
  <c r="AL230" i="26"/>
  <c r="AK230" i="26"/>
  <c r="AU230" i="26" s="1"/>
  <c r="S230" i="26" s="1"/>
  <c r="F189" i="9"/>
  <c r="F189" i="6"/>
  <c r="AW306" i="26"/>
  <c r="AY306" i="26" s="1"/>
  <c r="AX306" i="26" s="1"/>
  <c r="AK306" i="26"/>
  <c r="AV306" i="26" s="1"/>
  <c r="V1575" i="10"/>
  <c r="AE1575" i="10"/>
  <c r="W1575" i="10"/>
  <c r="AB1575" i="10"/>
  <c r="AC1575" i="10"/>
  <c r="AH1575" i="10"/>
  <c r="AR1575" i="10"/>
  <c r="G1575" i="10"/>
  <c r="P1575" i="10"/>
  <c r="Q1575" i="10"/>
  <c r="U1575" i="10"/>
  <c r="R1575" i="10"/>
  <c r="AF1575" i="10"/>
  <c r="AG1575" i="10"/>
  <c r="O1575" i="10"/>
  <c r="Y1575" i="10"/>
  <c r="J1575" i="10"/>
  <c r="X1575" i="10"/>
  <c r="AM1575" i="10"/>
  <c r="N1575" i="10"/>
  <c r="AG15" i="26"/>
  <c r="AO121" i="26"/>
  <c r="V1547" i="10"/>
  <c r="AL295" i="26"/>
  <c r="F359" i="6"/>
  <c r="AA1424" i="10"/>
  <c r="K1424" i="10"/>
  <c r="Q1424" i="10"/>
  <c r="BB12" i="26" a="1"/>
  <c r="BB12" i="26" s="1"/>
  <c r="I4" i="11" s="1"/>
  <c r="P1352" i="10"/>
  <c r="AR1352" i="10"/>
  <c r="S1575" i="10"/>
  <c r="M1575" i="10"/>
  <c r="K1434" i="10"/>
  <c r="AS1434" i="10"/>
  <c r="S1335" i="10"/>
  <c r="AR1335" i="10"/>
  <c r="R1222" i="10"/>
  <c r="AK260" i="26"/>
  <c r="V1322" i="10"/>
  <c r="AK1322" i="10"/>
  <c r="F218" i="10"/>
  <c r="AR618" i="10" s="1"/>
  <c r="AS379" i="26"/>
  <c r="AE1254" i="10"/>
  <c r="AI1291" i="10"/>
  <c r="AQ1413" i="10"/>
  <c r="Q1320" i="10"/>
  <c r="AL1391" i="10"/>
  <c r="Q1335" i="10"/>
  <c r="Y1391" i="10"/>
  <c r="W1391" i="10"/>
  <c r="M1391" i="10"/>
  <c r="M1254" i="10"/>
  <c r="AR1289" i="10"/>
  <c r="AC1254" i="10"/>
  <c r="AA1391" i="10"/>
  <c r="G1445" i="10"/>
  <c r="AQ1445" i="10"/>
  <c r="L1445" i="10"/>
  <c r="AC238" i="26"/>
  <c r="F359" i="9"/>
  <c r="AN1424" i="10"/>
  <c r="AK1424" i="10"/>
  <c r="AC1424" i="10"/>
  <c r="Y1424" i="10"/>
  <c r="N1424" i="10"/>
  <c r="Z1424" i="10"/>
  <c r="O1424" i="10"/>
  <c r="AL1413" i="10"/>
  <c r="P1413" i="10"/>
  <c r="Q1413" i="10"/>
  <c r="Z1413" i="10"/>
  <c r="AN1413" i="10"/>
  <c r="AB53" i="26"/>
  <c r="AB74" i="26"/>
  <c r="AC203" i="26"/>
  <c r="AW50" i="26"/>
  <c r="AY50" i="26" s="1"/>
  <c r="AX50" i="26" s="1"/>
  <c r="AK74" i="26"/>
  <c r="AU74" i="26" s="1"/>
  <c r="S74" i="26" s="1"/>
  <c r="R74" i="26" s="1"/>
  <c r="M1222" i="10"/>
  <c r="L1222" i="10"/>
  <c r="AT1222" i="10"/>
  <c r="AA1222" i="10"/>
  <c r="U1222" i="10"/>
  <c r="S1222" i="10"/>
  <c r="O1222" i="10"/>
  <c r="E488" i="9"/>
  <c r="I98" i="9"/>
  <c r="AB211" i="26"/>
  <c r="AD211" i="26" s="1"/>
  <c r="AC25" i="26"/>
  <c r="AD25" i="26" s="1"/>
  <c r="AK211" i="26"/>
  <c r="AU211" i="26" s="1"/>
  <c r="S211" i="26" s="1"/>
  <c r="V1352" i="10"/>
  <c r="L1352" i="10"/>
  <c r="AQ1352" i="10"/>
  <c r="AF1352" i="10"/>
  <c r="AH1352" i="10"/>
  <c r="S1352" i="10"/>
  <c r="AB1352" i="10"/>
  <c r="AP325" i="10"/>
  <c r="W325" i="10"/>
  <c r="Q725" i="10"/>
  <c r="V1335" i="10"/>
  <c r="Y1335" i="10"/>
  <c r="G1434" i="10"/>
  <c r="AN1575" i="10"/>
  <c r="AD1575" i="10"/>
  <c r="AL1575" i="10"/>
  <c r="Z1575" i="10"/>
  <c r="AB359" i="26"/>
  <c r="AD359" i="26" s="1"/>
  <c r="AC94" i="26"/>
  <c r="W1226" i="10"/>
  <c r="J1232" i="10"/>
  <c r="L1289" i="10"/>
  <c r="AT1305" i="10"/>
  <c r="AO1350" i="10"/>
  <c r="P1434" i="10"/>
  <c r="AH1434" i="10"/>
  <c r="AG1434" i="10"/>
  <c r="AF1434" i="10"/>
  <c r="L1296" i="10"/>
  <c r="AW319" i="26"/>
  <c r="AY319" i="26" s="1"/>
  <c r="AX319" i="26" s="1"/>
  <c r="AK319" i="26"/>
  <c r="AU319" i="26" s="1"/>
  <c r="S319" i="26" s="1"/>
  <c r="AM1434" i="10"/>
  <c r="AT1434" i="10"/>
  <c r="U1434" i="10"/>
  <c r="S1434" i="10"/>
  <c r="Z1434" i="10"/>
  <c r="AO1434" i="10"/>
  <c r="AK1434" i="10"/>
  <c r="AA1434" i="10"/>
  <c r="Q1434" i="10"/>
  <c r="AN1434" i="10"/>
  <c r="AP1434" i="10"/>
  <c r="Y1434" i="10"/>
  <c r="O1434" i="10"/>
  <c r="AD1434" i="10"/>
  <c r="AE1434" i="10"/>
  <c r="R1434" i="10"/>
  <c r="AI1434" i="10"/>
  <c r="V1434" i="10"/>
  <c r="AJ1434" i="10"/>
  <c r="AQ1434" i="10"/>
  <c r="Y307" i="27"/>
  <c r="G307" i="27" s="1"/>
  <c r="F307" i="6"/>
  <c r="AA307" i="6" s="1"/>
  <c r="AL357" i="26"/>
  <c r="AB357" i="26"/>
  <c r="AK357" i="26"/>
  <c r="AC357" i="26"/>
  <c r="G1352" i="10"/>
  <c r="AG1352" i="10"/>
  <c r="AN1352" i="10"/>
  <c r="O1352" i="10"/>
  <c r="T1352" i="10"/>
  <c r="K1296" i="10"/>
  <c r="N1320" i="10"/>
  <c r="X1254" i="10"/>
  <c r="S1406" i="10"/>
  <c r="AP1254" i="10"/>
  <c r="AR1424" i="10"/>
  <c r="P1424" i="10"/>
  <c r="AS1424" i="10"/>
  <c r="AG1424" i="10"/>
  <c r="AB304" i="26"/>
  <c r="Z1352" i="10"/>
  <c r="AK1352" i="10"/>
  <c r="Q1352" i="10"/>
  <c r="AC1352" i="10"/>
  <c r="U1352" i="10"/>
  <c r="AS1575" i="10"/>
  <c r="T1575" i="10"/>
  <c r="AM1352" i="10"/>
  <c r="AL1434" i="10"/>
  <c r="W1434" i="10"/>
  <c r="AL38" i="26"/>
  <c r="AB38" i="26"/>
  <c r="AP286" i="26"/>
  <c r="AO286" i="26" s="1"/>
  <c r="AX286" i="26"/>
  <c r="U1335" i="10"/>
  <c r="AS1335" i="10"/>
  <c r="P1322" i="10"/>
  <c r="AM1322" i="10"/>
  <c r="AE1322" i="10"/>
  <c r="AX330" i="26"/>
  <c r="AX15" i="26"/>
  <c r="AN1391" i="10"/>
  <c r="X1335" i="10"/>
  <c r="J1296" i="10"/>
  <c r="M1335" i="10"/>
  <c r="AI1335" i="10"/>
  <c r="K1397" i="10"/>
  <c r="Y1435" i="10"/>
  <c r="M1406" i="10"/>
  <c r="L1575" i="10"/>
  <c r="Q1445" i="10"/>
  <c r="AL1445" i="10"/>
  <c r="AL238" i="26"/>
  <c r="AH1424" i="10"/>
  <c r="AJ1424" i="10"/>
  <c r="AF1424" i="10"/>
  <c r="AB1424" i="10"/>
  <c r="L1424" i="10"/>
  <c r="V1424" i="10"/>
  <c r="AO1424" i="10"/>
  <c r="G1413" i="10"/>
  <c r="X1413" i="10"/>
  <c r="AB1413" i="10"/>
  <c r="AE1413" i="10"/>
  <c r="L1413" i="10"/>
  <c r="P1222" i="10"/>
  <c r="J1222" i="10"/>
  <c r="AQ1222" i="10"/>
  <c r="W1222" i="10"/>
  <c r="AI1222" i="10"/>
  <c r="AP1222" i="10"/>
  <c r="AB172" i="26"/>
  <c r="AB230" i="26"/>
  <c r="AS1352" i="10"/>
  <c r="AJ1352" i="10"/>
  <c r="J1352" i="10"/>
  <c r="AI1352" i="10"/>
  <c r="AE1352" i="10"/>
  <c r="Y1352" i="10"/>
  <c r="M1352" i="10"/>
  <c r="O725" i="10"/>
  <c r="AK725" i="10"/>
  <c r="K725" i="10"/>
  <c r="Z1335" i="10"/>
  <c r="G1296" i="10"/>
  <c r="K1575" i="10"/>
  <c r="AK1575" i="10"/>
  <c r="AQ1575" i="10"/>
  <c r="AO1575" i="10"/>
  <c r="AA1575" i="10"/>
  <c r="AD1289" i="10"/>
  <c r="T1226" i="10"/>
  <c r="AB1232" i="10"/>
  <c r="AP1289" i="10"/>
  <c r="J1305" i="10"/>
  <c r="O1350" i="10"/>
  <c r="X1352" i="10"/>
  <c r="AC1434" i="10"/>
  <c r="X1434" i="10"/>
  <c r="J1434" i="10"/>
  <c r="Y1261" i="10"/>
  <c r="G1261" i="10"/>
  <c r="AI1334" i="10"/>
  <c r="AL1334" i="10"/>
  <c r="AB1334" i="10"/>
  <c r="AG1357" i="10"/>
  <c r="X1357" i="10"/>
  <c r="U1357" i="10"/>
  <c r="W1357" i="10"/>
  <c r="L1357" i="10"/>
  <c r="K1357" i="10"/>
  <c r="N1357" i="10"/>
  <c r="AI1357" i="10"/>
  <c r="AE1357" i="10"/>
  <c r="J1357" i="10"/>
  <c r="AH115" i="26"/>
  <c r="AG115" i="26" s="1"/>
  <c r="M1434" i="10"/>
  <c r="F100" i="9"/>
  <c r="F100" i="6"/>
  <c r="AM1387" i="10"/>
  <c r="W1387" i="10"/>
  <c r="AC1387" i="10"/>
  <c r="AR1387" i="10"/>
  <c r="J1387" i="10"/>
  <c r="G1387" i="10"/>
  <c r="AF1387" i="10"/>
  <c r="O1387" i="10"/>
  <c r="AK1387" i="10"/>
  <c r="AA1387" i="10"/>
  <c r="AO1387" i="10"/>
  <c r="AI1387" i="10"/>
  <c r="AT1387" i="10"/>
  <c r="AE1387" i="10"/>
  <c r="AJ1387" i="10"/>
  <c r="AL1387" i="10"/>
  <c r="AN1461" i="10"/>
  <c r="U1461" i="10"/>
  <c r="AK1461" i="10"/>
  <c r="P1461" i="10"/>
  <c r="AQ1461" i="10"/>
  <c r="O1461" i="10"/>
  <c r="AI1461" i="10"/>
  <c r="AF1461" i="10"/>
  <c r="AR1461" i="10"/>
  <c r="M1461" i="10"/>
  <c r="W1461" i="10"/>
  <c r="L1461" i="10"/>
  <c r="AM1461" i="10"/>
  <c r="S1461" i="10"/>
  <c r="AE1461" i="10"/>
  <c r="AH1461" i="10"/>
  <c r="T1461" i="10"/>
  <c r="AC1461" i="10"/>
  <c r="Z1461" i="10"/>
  <c r="N1461" i="10"/>
  <c r="G1461" i="10"/>
  <c r="X1461" i="10"/>
  <c r="AS1461" i="10"/>
  <c r="AB1461" i="10"/>
  <c r="AD1461" i="10"/>
  <c r="V1461" i="10"/>
  <c r="V1509" i="10"/>
  <c r="X1509" i="10"/>
  <c r="S1509" i="10"/>
  <c r="Y1509" i="10"/>
  <c r="AJ1509" i="10"/>
  <c r="AG1509" i="10"/>
  <c r="K1509" i="10"/>
  <c r="AF1509" i="10"/>
  <c r="AN1509" i="10"/>
  <c r="AS1509" i="10"/>
  <c r="AI1509" i="10"/>
  <c r="AD1509" i="10"/>
  <c r="N1509" i="10"/>
  <c r="Z1509" i="10"/>
  <c r="AM1509" i="10"/>
  <c r="G1509" i="10"/>
  <c r="AL351" i="26"/>
  <c r="AC351" i="26"/>
  <c r="H44" i="9"/>
  <c r="H44" i="6"/>
  <c r="P1215" i="10"/>
  <c r="K1215" i="10"/>
  <c r="N1215" i="10"/>
  <c r="U1215" i="10"/>
  <c r="V1215" i="10"/>
  <c r="AL34" i="26"/>
  <c r="AC34" i="26"/>
  <c r="AB34" i="26"/>
  <c r="M1277" i="10"/>
  <c r="Y1277" i="10"/>
  <c r="G1277" i="10"/>
  <c r="AL1277" i="10"/>
  <c r="W1277" i="10"/>
  <c r="Z1277" i="10"/>
  <c r="P1277" i="10"/>
  <c r="Q1277" i="10"/>
  <c r="N1277" i="10"/>
  <c r="AC1277" i="10"/>
  <c r="AP1277" i="10"/>
  <c r="X1277" i="10"/>
  <c r="V1277" i="10"/>
  <c r="AM1277" i="10"/>
  <c r="U1277" i="10"/>
  <c r="T1277" i="10"/>
  <c r="R1277" i="10"/>
  <c r="AJ1277" i="10"/>
  <c r="AE1277" i="10"/>
  <c r="AT1277" i="10"/>
  <c r="AQ1277" i="10"/>
  <c r="AO1277" i="10"/>
  <c r="L1277" i="10"/>
  <c r="K1277" i="10"/>
  <c r="AB1277" i="10"/>
  <c r="AN1277" i="10"/>
  <c r="AR1277" i="10"/>
  <c r="AS1277" i="10"/>
  <c r="F119" i="10"/>
  <c r="W119" i="27"/>
  <c r="E119" i="27" s="1"/>
  <c r="AP385" i="26"/>
  <c r="AO385" i="26" s="1"/>
  <c r="AX385" i="26"/>
  <c r="AC124" i="26"/>
  <c r="AB124" i="26"/>
  <c r="AR1388" i="10"/>
  <c r="AD1388" i="10"/>
  <c r="AJ1388" i="10"/>
  <c r="T1388" i="10"/>
  <c r="AM1388" i="10"/>
  <c r="M1388" i="10"/>
  <c r="AL1388" i="10"/>
  <c r="Z1388" i="10"/>
  <c r="AH1388" i="10"/>
  <c r="AE1388" i="10"/>
  <c r="W1388" i="10"/>
  <c r="AC1388" i="10"/>
  <c r="X1388" i="10"/>
  <c r="Q1388" i="10"/>
  <c r="AP1388" i="10"/>
  <c r="K1388" i="10"/>
  <c r="AB1388" i="10"/>
  <c r="AS1388" i="10"/>
  <c r="AG1388" i="10"/>
  <c r="AT1388" i="10"/>
  <c r="O1388" i="10"/>
  <c r="P1388" i="10"/>
  <c r="V1388" i="10"/>
  <c r="J1388" i="10"/>
  <c r="AO1388" i="10"/>
  <c r="AI1388" i="10"/>
  <c r="S1388" i="10"/>
  <c r="L1388" i="10"/>
  <c r="AQ1388" i="10"/>
  <c r="AA1388" i="10"/>
  <c r="N1388" i="10"/>
  <c r="R1388" i="10"/>
  <c r="U1388" i="10"/>
  <c r="AF1388" i="10"/>
  <c r="Y1388" i="10"/>
  <c r="G1388" i="10"/>
  <c r="AH247" i="26"/>
  <c r="AG247" i="26" s="1"/>
  <c r="AP247" i="26"/>
  <c r="AO247" i="26" s="1"/>
  <c r="U490" i="26"/>
  <c r="AC490" i="26" s="1"/>
  <c r="BE490" i="26" s="1"/>
  <c r="E467" i="9"/>
  <c r="AC204" i="26"/>
  <c r="AL204" i="26"/>
  <c r="AB204" i="26"/>
  <c r="AK300" i="26"/>
  <c r="AU300" i="26" s="1"/>
  <c r="S300" i="26" s="1"/>
  <c r="AW300" i="26"/>
  <c r="AY300" i="26" s="1"/>
  <c r="AX300" i="26" s="1"/>
  <c r="U535" i="26"/>
  <c r="AC535" i="26" s="1"/>
  <c r="BF535" i="26" s="1"/>
  <c r="E504" i="6"/>
  <c r="K1565" i="10"/>
  <c r="W1565" i="10"/>
  <c r="AM1565" i="10"/>
  <c r="G1565" i="10"/>
  <c r="L1565" i="10"/>
  <c r="AD1565" i="10"/>
  <c r="AF1565" i="10"/>
  <c r="O1565" i="10"/>
  <c r="R1565" i="10"/>
  <c r="J1565" i="10"/>
  <c r="AR1565" i="10"/>
  <c r="AB1565" i="10"/>
  <c r="AO1565" i="10"/>
  <c r="Z1565" i="10"/>
  <c r="AI1565" i="10"/>
  <c r="Y1565" i="10"/>
  <c r="AS1565" i="10"/>
  <c r="AJ1565" i="10"/>
  <c r="AE1565" i="10"/>
  <c r="AH1565" i="10"/>
  <c r="T1565" i="10"/>
  <c r="V1565" i="10"/>
  <c r="AC372" i="26"/>
  <c r="AL372" i="26"/>
  <c r="AB372" i="26"/>
  <c r="AC384" i="26"/>
  <c r="AD384" i="26" s="1"/>
  <c r="AL384" i="26"/>
  <c r="AK384" i="26"/>
  <c r="AU384" i="26" s="1"/>
  <c r="S384" i="26" s="1"/>
  <c r="AK386" i="26"/>
  <c r="AW386" i="26"/>
  <c r="AC389" i="26"/>
  <c r="AL389" i="26"/>
  <c r="M1279" i="10"/>
  <c r="T1279" i="10"/>
  <c r="W1279" i="10"/>
  <c r="AC1279" i="10"/>
  <c r="AM1279" i="10"/>
  <c r="Y1279" i="10"/>
  <c r="AC286" i="26"/>
  <c r="AL286" i="26"/>
  <c r="AK286" i="26"/>
  <c r="AU286" i="26" s="1"/>
  <c r="S286" i="26" s="1"/>
  <c r="AB286" i="26"/>
  <c r="AL267" i="26"/>
  <c r="AC267" i="26"/>
  <c r="AK267" i="26"/>
  <c r="G1223" i="10"/>
  <c r="L1223" i="10"/>
  <c r="AR1223" i="10"/>
  <c r="AD1223" i="10"/>
  <c r="AM1223" i="10"/>
  <c r="AL1223" i="10"/>
  <c r="Z1223" i="10"/>
  <c r="AK1223" i="10"/>
  <c r="AG1223" i="10"/>
  <c r="AA1223" i="10"/>
  <c r="AF1223" i="10"/>
  <c r="AP1223" i="10"/>
  <c r="AN1223" i="10"/>
  <c r="N1223" i="10"/>
  <c r="W1223" i="10"/>
  <c r="Q1223" i="10"/>
  <c r="AE1223" i="10"/>
  <c r="AT1223" i="10"/>
  <c r="AC1223" i="10"/>
  <c r="T1223" i="10"/>
  <c r="M1223" i="10"/>
  <c r="AB1223" i="10"/>
  <c r="AS1223" i="10"/>
  <c r="U1223" i="10"/>
  <c r="O1223" i="10"/>
  <c r="J1223" i="10"/>
  <c r="AQ1223" i="10"/>
  <c r="AI1223" i="10"/>
  <c r="K1223" i="10"/>
  <c r="AJ1223" i="10"/>
  <c r="R1223" i="10"/>
  <c r="Y1223" i="10"/>
  <c r="X1223" i="10"/>
  <c r="P1223" i="10"/>
  <c r="S1223" i="10"/>
  <c r="AO1223" i="10"/>
  <c r="V1223" i="10"/>
  <c r="AH1223" i="10"/>
  <c r="E425" i="9"/>
  <c r="U433" i="26"/>
  <c r="AH108" i="26"/>
  <c r="AG108" i="26" s="1"/>
  <c r="S1365" i="10"/>
  <c r="T1365" i="10"/>
  <c r="AL1365" i="10"/>
  <c r="L1365" i="10"/>
  <c r="Q1365" i="10"/>
  <c r="P1365" i="10"/>
  <c r="O1365" i="10"/>
  <c r="AM1365" i="10"/>
  <c r="AR1365" i="10"/>
  <c r="AC1365" i="10"/>
  <c r="AO1365" i="10"/>
  <c r="AT1365" i="10"/>
  <c r="AE1365" i="10"/>
  <c r="AP1365" i="10"/>
  <c r="Y1365" i="10"/>
  <c r="N1365" i="10"/>
  <c r="V1365" i="10"/>
  <c r="AH1365" i="10"/>
  <c r="M1365" i="10"/>
  <c r="R1365" i="10"/>
  <c r="AK1365" i="10"/>
  <c r="U1365" i="10"/>
  <c r="AG1365" i="10"/>
  <c r="X1365" i="10"/>
  <c r="AB1365" i="10"/>
  <c r="J1365" i="10"/>
  <c r="AQ1365" i="10"/>
  <c r="K1365" i="10"/>
  <c r="AD1365" i="10"/>
  <c r="AF1365" i="10"/>
  <c r="Z1365" i="10"/>
  <c r="AN1365" i="10"/>
  <c r="AS1365" i="10"/>
  <c r="G1365" i="10"/>
  <c r="AA1365" i="10"/>
  <c r="AH249" i="26"/>
  <c r="AG249" i="26" s="1"/>
  <c r="AP249" i="26"/>
  <c r="AO249" i="26" s="1"/>
  <c r="V1513" i="10"/>
  <c r="J1513" i="10"/>
  <c r="AT1513" i="10"/>
  <c r="AJ1513" i="10"/>
  <c r="K1513" i="10"/>
  <c r="AR1513" i="10"/>
  <c r="Y1513" i="10"/>
  <c r="AB1513" i="10"/>
  <c r="AH1513" i="10"/>
  <c r="U1513" i="10"/>
  <c r="G1513" i="10"/>
  <c r="R1513" i="10"/>
  <c r="AS1513" i="10"/>
  <c r="AA1513" i="10"/>
  <c r="T1513" i="10"/>
  <c r="P1513" i="10"/>
  <c r="Z1513" i="10"/>
  <c r="AE1513" i="10"/>
  <c r="L1513" i="10"/>
  <c r="AQ1513" i="10"/>
  <c r="AC1513" i="10"/>
  <c r="AP1513" i="10"/>
  <c r="AK1513" i="10"/>
  <c r="M1513" i="10"/>
  <c r="AM1513" i="10"/>
  <c r="AI1513" i="10"/>
  <c r="AN1513" i="10"/>
  <c r="AG1513" i="10"/>
  <c r="W1513" i="10"/>
  <c r="N1513" i="10"/>
  <c r="X1513" i="10"/>
  <c r="O1513" i="10"/>
  <c r="AL1513" i="10"/>
  <c r="AO1513" i="10"/>
  <c r="Q1513" i="10"/>
  <c r="S1513" i="10"/>
  <c r="AF1513" i="10"/>
  <c r="AD1513" i="10"/>
  <c r="AN1561" i="10"/>
  <c r="AM1561" i="10"/>
  <c r="X1561" i="10"/>
  <c r="U1561" i="10"/>
  <c r="V1561" i="10"/>
  <c r="L1561" i="10"/>
  <c r="AG1561" i="10"/>
  <c r="T1561" i="10"/>
  <c r="Y1561" i="10"/>
  <c r="AK1561" i="10"/>
  <c r="J1561" i="10"/>
  <c r="Z1561" i="10"/>
  <c r="AR1561" i="10"/>
  <c r="AB1561" i="10"/>
  <c r="AA1561" i="10"/>
  <c r="AP1561" i="10"/>
  <c r="AC1561" i="10"/>
  <c r="AS1561" i="10"/>
  <c r="AH1561" i="10"/>
  <c r="AH222" i="26"/>
  <c r="AG222" i="26" s="1"/>
  <c r="AC15" i="26"/>
  <c r="AL15" i="26"/>
  <c r="AL44" i="26"/>
  <c r="AM44" i="26" s="1"/>
  <c r="Q44" i="26" s="1"/>
  <c r="AC44" i="26"/>
  <c r="AH128" i="26"/>
  <c r="AG128" i="26" s="1"/>
  <c r="Z1409" i="10"/>
  <c r="AS1409" i="10"/>
  <c r="V1437" i="10"/>
  <c r="W1437" i="10"/>
  <c r="AC23" i="26"/>
  <c r="AL23" i="26"/>
  <c r="AH99" i="26"/>
  <c r="AG99" i="26" s="1"/>
  <c r="AL165" i="26"/>
  <c r="AC165" i="26"/>
  <c r="AH297" i="26"/>
  <c r="AG297" i="26" s="1"/>
  <c r="Q1551" i="10"/>
  <c r="AE1551" i="10"/>
  <c r="AM1551" i="10"/>
  <c r="Z1551" i="10"/>
  <c r="L1551" i="10"/>
  <c r="AD1551" i="10"/>
  <c r="U1551" i="10"/>
  <c r="J1551" i="10"/>
  <c r="N1551" i="10"/>
  <c r="M1551" i="10"/>
  <c r="AH1551" i="10"/>
  <c r="AP1551" i="10"/>
  <c r="AJ1551" i="10"/>
  <c r="T1551" i="10"/>
  <c r="AF1551" i="10"/>
  <c r="AC1551" i="10"/>
  <c r="P1551" i="10"/>
  <c r="W1551" i="10"/>
  <c r="O1551" i="10"/>
  <c r="AA1551" i="10"/>
  <c r="S1551" i="10"/>
  <c r="AQ1551" i="10"/>
  <c r="X1551" i="10"/>
  <c r="AL1551" i="10"/>
  <c r="AT1551" i="10"/>
  <c r="AO1551" i="10"/>
  <c r="K1551" i="10"/>
  <c r="AS1551" i="10"/>
  <c r="Y1551" i="10"/>
  <c r="R1551" i="10"/>
  <c r="AG1551" i="10"/>
  <c r="AB1551" i="10"/>
  <c r="G1551" i="10"/>
  <c r="AR1551" i="10"/>
  <c r="AI1551" i="10"/>
  <c r="AN1551" i="10"/>
  <c r="AL361" i="26"/>
  <c r="AC361" i="26"/>
  <c r="G1263" i="10"/>
  <c r="N1263" i="10"/>
  <c r="V1263" i="10"/>
  <c r="AC1263" i="10"/>
  <c r="AK361" i="26"/>
  <c r="AU361" i="26" s="1"/>
  <c r="S361" i="26" s="1"/>
  <c r="AK115" i="26"/>
  <c r="AV115" i="26" s="1"/>
  <c r="AW115" i="26"/>
  <c r="AY115" i="26" s="1"/>
  <c r="AX115" i="26" s="1"/>
  <c r="Z1234" i="10"/>
  <c r="L1234" i="10"/>
  <c r="AE1234" i="10"/>
  <c r="W1234" i="10"/>
  <c r="AI1234" i="10"/>
  <c r="S1234" i="10"/>
  <c r="AG1234" i="10"/>
  <c r="AH1234" i="10"/>
  <c r="AA1234" i="10"/>
  <c r="P1234" i="10"/>
  <c r="X1234" i="10"/>
  <c r="AJ1234" i="10"/>
  <c r="R1234" i="10"/>
  <c r="AC1234" i="10"/>
  <c r="AN1234" i="10"/>
  <c r="Y1234" i="10"/>
  <c r="AB1234" i="10"/>
  <c r="M1234" i="10"/>
  <c r="AT1234" i="10"/>
  <c r="AQ1234" i="10"/>
  <c r="N1234" i="10"/>
  <c r="AS1234" i="10"/>
  <c r="O1234" i="10"/>
  <c r="U1234" i="10"/>
  <c r="AD1234" i="10"/>
  <c r="AW305" i="26"/>
  <c r="AY305" i="26" s="1"/>
  <c r="AX305" i="26" s="1"/>
  <c r="AK305" i="26"/>
  <c r="AU305" i="26" s="1"/>
  <c r="S305" i="26" s="1"/>
  <c r="N1584" i="10"/>
  <c r="L1584" i="10"/>
  <c r="O1584" i="10"/>
  <c r="X1584" i="10"/>
  <c r="AJ1584" i="10"/>
  <c r="AN1584" i="10"/>
  <c r="T1584" i="10"/>
  <c r="AC1584" i="10"/>
  <c r="AG1584" i="10"/>
  <c r="AA1584" i="10"/>
  <c r="AF1584" i="10"/>
  <c r="P1584" i="10"/>
  <c r="AS1584" i="10"/>
  <c r="J1584" i="10"/>
  <c r="Y1584" i="10"/>
  <c r="AB1584" i="10"/>
  <c r="V1584" i="10"/>
  <c r="K1584" i="10"/>
  <c r="Z1584" i="10"/>
  <c r="R1584" i="10"/>
  <c r="U1584" i="10"/>
  <c r="AM1584" i="10"/>
  <c r="AL1584" i="10"/>
  <c r="AQ1584" i="10"/>
  <c r="AP1584" i="10"/>
  <c r="AK1584" i="10"/>
  <c r="S1584" i="10"/>
  <c r="AI1584" i="10"/>
  <c r="AR1584" i="10"/>
  <c r="G1584" i="10"/>
  <c r="AO1584" i="10"/>
  <c r="Q1584" i="10"/>
  <c r="M1584" i="10"/>
  <c r="AT1584" i="10"/>
  <c r="AD1584" i="10"/>
  <c r="AE1584" i="10"/>
  <c r="W1584" i="10"/>
  <c r="J1589" i="10"/>
  <c r="R1589" i="10"/>
  <c r="AM1589" i="10"/>
  <c r="AN1589" i="10"/>
  <c r="T1589" i="10"/>
  <c r="X1589" i="10"/>
  <c r="AJ1589" i="10"/>
  <c r="N1589" i="10"/>
  <c r="L1589" i="10"/>
  <c r="O1589" i="10"/>
  <c r="AC152" i="26"/>
  <c r="AB152" i="26"/>
  <c r="L1409" i="10"/>
  <c r="AL1437" i="10"/>
  <c r="AM1437" i="10"/>
  <c r="AK63" i="26"/>
  <c r="AC63" i="26"/>
  <c r="AL63" i="26"/>
  <c r="AC166" i="26"/>
  <c r="AL166" i="26"/>
  <c r="G1486" i="10"/>
  <c r="U1486" i="10"/>
  <c r="G1501" i="10"/>
  <c r="AG1501" i="10"/>
  <c r="V1501" i="10"/>
  <c r="AQ1501" i="10"/>
  <c r="Y1501" i="10"/>
  <c r="AB1501" i="10"/>
  <c r="AD1501" i="10"/>
  <c r="K1501" i="10"/>
  <c r="AF1501" i="10"/>
  <c r="J1501" i="10"/>
  <c r="P1501" i="10"/>
  <c r="N1501" i="10"/>
  <c r="AT1501" i="10"/>
  <c r="O1501" i="10"/>
  <c r="T1501" i="10"/>
  <c r="L1501" i="10"/>
  <c r="Q1501" i="10"/>
  <c r="AN1501" i="10"/>
  <c r="AJ1501" i="10"/>
  <c r="X1501" i="10"/>
  <c r="AP1501" i="10"/>
  <c r="AH1501" i="10"/>
  <c r="R1501" i="10"/>
  <c r="M1501" i="10"/>
  <c r="AI1501" i="10"/>
  <c r="AS1501" i="10"/>
  <c r="AO1501" i="10"/>
  <c r="S1501" i="10"/>
  <c r="AA1501" i="10"/>
  <c r="Z1501" i="10"/>
  <c r="AE1501" i="10"/>
  <c r="W1501" i="10"/>
  <c r="AC1501" i="10"/>
  <c r="U1501" i="10"/>
  <c r="AL1501" i="10"/>
  <c r="AK1501" i="10"/>
  <c r="AM1501" i="10"/>
  <c r="AL1486" i="10"/>
  <c r="AH1486" i="10"/>
  <c r="J1486" i="10"/>
  <c r="AY157" i="26"/>
  <c r="AX157" i="26" s="1"/>
  <c r="AH52" i="26"/>
  <c r="AG52" i="26" s="1"/>
  <c r="AH71" i="26"/>
  <c r="AG71" i="26" s="1"/>
  <c r="AH94" i="26"/>
  <c r="AG94" i="26" s="1"/>
  <c r="AH107" i="26"/>
  <c r="AG107" i="26" s="1"/>
  <c r="AB166" i="26"/>
  <c r="AL187" i="26"/>
  <c r="AC187" i="26"/>
  <c r="AK187" i="26"/>
  <c r="AL261" i="26"/>
  <c r="AM261" i="26" s="1"/>
  <c r="Q261" i="26" s="1"/>
  <c r="P261" i="26" s="1"/>
  <c r="X261" i="27" s="1"/>
  <c r="AB261" i="27" s="1"/>
  <c r="AC261" i="26"/>
  <c r="AC309" i="26"/>
  <c r="AK309" i="26"/>
  <c r="AL309" i="26"/>
  <c r="P1498" i="10"/>
  <c r="AT1498" i="10"/>
  <c r="N1498" i="10"/>
  <c r="AP1498" i="10"/>
  <c r="J1498" i="10"/>
  <c r="AR1498" i="10"/>
  <c r="X1498" i="10"/>
  <c r="Q1498" i="10"/>
  <c r="AB1498" i="10"/>
  <c r="AH1498" i="10"/>
  <c r="AS1498" i="10"/>
  <c r="T1498" i="10"/>
  <c r="Y1498" i="10"/>
  <c r="K1498" i="10"/>
  <c r="AJ1498" i="10"/>
  <c r="AI1498" i="10"/>
  <c r="U1498" i="10"/>
  <c r="AL1498" i="10"/>
  <c r="AD1498" i="10"/>
  <c r="AC1498" i="10"/>
  <c r="L1498" i="10"/>
  <c r="R1498" i="10"/>
  <c r="O1498" i="10"/>
  <c r="AE1498" i="10"/>
  <c r="W1498" i="10"/>
  <c r="AN1498" i="10"/>
  <c r="AF1498" i="10"/>
  <c r="AG1498" i="10"/>
  <c r="AO1498" i="10"/>
  <c r="AQ1498" i="10"/>
  <c r="V1498" i="10"/>
  <c r="AK1498" i="10"/>
  <c r="G1498" i="10"/>
  <c r="AA1498" i="10"/>
  <c r="AK376" i="26"/>
  <c r="AW376" i="26"/>
  <c r="L1244" i="10"/>
  <c r="O1244" i="10"/>
  <c r="AN1244" i="10"/>
  <c r="N1244" i="10"/>
  <c r="AH1244" i="10"/>
  <c r="V1244" i="10"/>
  <c r="AM1244" i="10"/>
  <c r="AJ1244" i="10"/>
  <c r="U1244" i="10"/>
  <c r="AG1244" i="10"/>
  <c r="AP1244" i="10"/>
  <c r="AE1244" i="10"/>
  <c r="AO1244" i="10"/>
  <c r="AD1244" i="10"/>
  <c r="AB1244" i="10"/>
  <c r="AL1244" i="10"/>
  <c r="AC1244" i="10"/>
  <c r="AR1244" i="10"/>
  <c r="M1244" i="10"/>
  <c r="AA1244" i="10"/>
  <c r="T1244" i="10"/>
  <c r="AK1244" i="10"/>
  <c r="P1244" i="10"/>
  <c r="J1244" i="10"/>
  <c r="Z1244" i="10"/>
  <c r="K1244" i="10"/>
  <c r="AS1244" i="10"/>
  <c r="Y1244" i="10"/>
  <c r="Q1244" i="10"/>
  <c r="W1244" i="10"/>
  <c r="AT1244" i="10"/>
  <c r="AF1244" i="10"/>
  <c r="X1244" i="10"/>
  <c r="AI1244" i="10"/>
  <c r="AQ1244" i="10"/>
  <c r="R1244" i="10"/>
  <c r="S1244" i="10"/>
  <c r="AC234" i="26"/>
  <c r="AK234" i="26"/>
  <c r="AU234" i="26" s="1"/>
  <c r="S234" i="26" s="1"/>
  <c r="AL234" i="26"/>
  <c r="AB234" i="26"/>
  <c r="S1557" i="10"/>
  <c r="AE1557" i="10"/>
  <c r="O1557" i="10"/>
  <c r="U1557" i="10"/>
  <c r="X1557" i="10"/>
  <c r="R1557" i="10"/>
  <c r="V1557" i="10"/>
  <c r="AS1557" i="10"/>
  <c r="Q1557" i="10"/>
  <c r="AN1557" i="10"/>
  <c r="AA1557" i="10"/>
  <c r="AQ1557" i="10"/>
  <c r="Y1557" i="10"/>
  <c r="AF1557" i="10"/>
  <c r="AM1557" i="10"/>
  <c r="AB1557" i="10"/>
  <c r="AP1557" i="10"/>
  <c r="T1557" i="10"/>
  <c r="AJ1557" i="10"/>
  <c r="AR1557" i="10"/>
  <c r="AH1557" i="10"/>
  <c r="AG1557" i="10"/>
  <c r="Z1557" i="10"/>
  <c r="AO1557" i="10"/>
  <c r="AI1557" i="10"/>
  <c r="AC1557" i="10"/>
  <c r="K1557" i="10"/>
  <c r="G1557" i="10"/>
  <c r="W1557" i="10"/>
  <c r="AL1557" i="10"/>
  <c r="P1557" i="10"/>
  <c r="AT1557" i="10"/>
  <c r="AK1557" i="10"/>
  <c r="L1557" i="10"/>
  <c r="M1557" i="10"/>
  <c r="J1557" i="10"/>
  <c r="AD1557" i="10"/>
  <c r="AL365" i="26"/>
  <c r="AC365" i="26"/>
  <c r="AH370" i="26"/>
  <c r="AG370" i="26" s="1"/>
  <c r="AH387" i="26"/>
  <c r="AG387" i="26" s="1"/>
  <c r="AP293" i="26"/>
  <c r="AO293" i="26" s="1"/>
  <c r="AO138" i="26"/>
  <c r="AO43" i="26"/>
  <c r="AO78" i="26"/>
  <c r="AX309" i="26"/>
  <c r="AO361" i="26"/>
  <c r="Y159" i="27"/>
  <c r="G159" i="27" s="1"/>
  <c r="H218" i="27"/>
  <c r="AO290" i="26"/>
  <c r="AX290" i="26"/>
  <c r="BE301" i="26"/>
  <c r="F45" i="6"/>
  <c r="AO58" i="26"/>
  <c r="AP259" i="26"/>
  <c r="AO259" i="26" s="1"/>
  <c r="AO334" i="26"/>
  <c r="AO82" i="26"/>
  <c r="AO384" i="26"/>
  <c r="Y105" i="27"/>
  <c r="G105" i="27" s="1"/>
  <c r="G45" i="6"/>
  <c r="F105" i="9"/>
  <c r="F45" i="9"/>
  <c r="F311" i="9"/>
  <c r="G311" i="6"/>
  <c r="AX313" i="26"/>
  <c r="AX260" i="26"/>
  <c r="F159" i="9"/>
  <c r="F311" i="6"/>
  <c r="G301" i="6"/>
  <c r="AO140" i="26"/>
  <c r="F159" i="6"/>
  <c r="F298" i="6"/>
  <c r="AO112" i="26"/>
  <c r="AX267" i="26"/>
  <c r="F97" i="9"/>
  <c r="F13" i="9"/>
  <c r="Y51" i="27"/>
  <c r="G51" i="27" s="1"/>
  <c r="G298" i="6"/>
  <c r="F51" i="6"/>
  <c r="AP25" i="26"/>
  <c r="AO25" i="26" s="1"/>
  <c r="BE323" i="26"/>
  <c r="AO161" i="26"/>
  <c r="G51" i="9"/>
  <c r="AP147" i="26"/>
  <c r="AO147" i="26" s="1"/>
  <c r="E421" i="9"/>
  <c r="AN458" i="26"/>
  <c r="AP458" i="26" s="1"/>
  <c r="AD452" i="26"/>
  <c r="AN472" i="26"/>
  <c r="AP472" i="26" s="1"/>
  <c r="AE531" i="26"/>
  <c r="AD412" i="26"/>
  <c r="AE419" i="26"/>
  <c r="AP364" i="26"/>
  <c r="AO364" i="26" s="1"/>
  <c r="AP21" i="26"/>
  <c r="AO21" i="26" s="1"/>
  <c r="U522" i="26"/>
  <c r="AO275" i="26"/>
  <c r="I189" i="9"/>
  <c r="F119" i="6"/>
  <c r="AX265" i="26"/>
  <c r="AX266" i="26"/>
  <c r="AO198" i="26"/>
  <c r="BE13" i="26"/>
  <c r="AX297" i="26"/>
  <c r="AC419" i="26"/>
  <c r="AZ419" i="26" s="1"/>
  <c r="BB419" i="26" s="1"/>
  <c r="BA419" i="26" s="1"/>
  <c r="AN442" i="26"/>
  <c r="AP442" i="26" s="1"/>
  <c r="AE448" i="26"/>
  <c r="AB427" i="26"/>
  <c r="AP127" i="26"/>
  <c r="AO127" i="26" s="1"/>
  <c r="AP369" i="26"/>
  <c r="AO368" i="26" s="1"/>
  <c r="G277" i="6"/>
  <c r="AO174" i="26"/>
  <c r="F323" i="6"/>
  <c r="AX285" i="26"/>
  <c r="AC426" i="26"/>
  <c r="BE426" i="26" s="1"/>
  <c r="AP363" i="26"/>
  <c r="AO363" i="26" s="1"/>
  <c r="AO91" i="26"/>
  <c r="AO74" i="26"/>
  <c r="F241" i="9"/>
  <c r="AP300" i="26"/>
  <c r="AO300" i="26" s="1"/>
  <c r="AE426" i="26"/>
  <c r="AC448" i="26"/>
  <c r="AN490" i="26"/>
  <c r="AP490" i="26" s="1"/>
  <c r="AP292" i="26"/>
  <c r="AO292" i="26" s="1"/>
  <c r="AX292" i="26"/>
  <c r="G13" i="6"/>
  <c r="AC521" i="26"/>
  <c r="F13" i="6"/>
  <c r="AA13" i="6" s="1"/>
  <c r="F323" i="9"/>
  <c r="BE218" i="26"/>
  <c r="G277" i="9"/>
  <c r="AP128" i="26"/>
  <c r="AO128" i="26" s="1"/>
  <c r="Y299" i="27"/>
  <c r="G299" i="27" s="1"/>
  <c r="AO285" i="26"/>
  <c r="F373" i="9"/>
  <c r="Z529" i="26"/>
  <c r="AC529" i="26" s="1"/>
  <c r="AE521" i="26"/>
  <c r="AG521" i="26" s="1"/>
  <c r="AB207" i="6"/>
  <c r="AP103" i="26"/>
  <c r="AO103" i="26" s="1"/>
  <c r="AP260" i="26"/>
  <c r="AO260" i="26" s="1"/>
  <c r="Z446" i="26"/>
  <c r="AC446" i="26" s="1"/>
  <c r="AD480" i="26"/>
  <c r="AC503" i="26"/>
  <c r="AZ503" i="26" s="1"/>
  <c r="AB515" i="26"/>
  <c r="AN478" i="26"/>
  <c r="AP478" i="26" s="1"/>
  <c r="AN466" i="26"/>
  <c r="AP466" i="26" s="1"/>
  <c r="AN460" i="26"/>
  <c r="AP460" i="26" s="1"/>
  <c r="Z456" i="26"/>
  <c r="AE456" i="26" s="1"/>
  <c r="U456" i="26"/>
  <c r="AD420" i="26"/>
  <c r="E493" i="9"/>
  <c r="AD475" i="26"/>
  <c r="Z424" i="26"/>
  <c r="AE424" i="26" s="1"/>
  <c r="U533" i="26"/>
  <c r="AC533" i="26" s="1"/>
  <c r="AE432" i="26"/>
  <c r="AN447" i="26"/>
  <c r="AP447" i="26" s="1"/>
  <c r="AD482" i="26"/>
  <c r="AN457" i="26"/>
  <c r="AP457" i="26" s="1"/>
  <c r="E449" i="6"/>
  <c r="AE452" i="26"/>
  <c r="AN467" i="26"/>
  <c r="AP467" i="26" s="1"/>
  <c r="AC515" i="26"/>
  <c r="AE515" i="26"/>
  <c r="AG515" i="26" s="1"/>
  <c r="AQ515" i="26" s="1"/>
  <c r="AB428" i="26"/>
  <c r="E472" i="6"/>
  <c r="E441" i="6"/>
  <c r="E427" i="9"/>
  <c r="F299" i="9"/>
  <c r="E438" i="6"/>
  <c r="Z373" i="6"/>
  <c r="AG373" i="6" s="1"/>
  <c r="AC390" i="9"/>
  <c r="AH390" i="9" s="1"/>
  <c r="AN425" i="26"/>
  <c r="AP425" i="26" s="1"/>
  <c r="AN474" i="26"/>
  <c r="AP474" i="26" s="1"/>
  <c r="AN486" i="26"/>
  <c r="AP486" i="26" s="1"/>
  <c r="AF312" i="6"/>
  <c r="AC312" i="6"/>
  <c r="AH312" i="6" s="1"/>
  <c r="I339" i="6"/>
  <c r="I339" i="9"/>
  <c r="AB502" i="26"/>
  <c r="Y132" i="27"/>
  <c r="G132" i="27" s="1"/>
  <c r="U417" i="26"/>
  <c r="AC531" i="26"/>
  <c r="AN463" i="26"/>
  <c r="AP463" i="26" s="1"/>
  <c r="AN456" i="26"/>
  <c r="AP456" i="26" s="1"/>
  <c r="I169" i="6"/>
  <c r="I169" i="9"/>
  <c r="Z534" i="26"/>
  <c r="AD534" i="26" s="1"/>
  <c r="BE373" i="26"/>
  <c r="AB431" i="26"/>
  <c r="Z497" i="26"/>
  <c r="AD497" i="26" s="1"/>
  <c r="Z450" i="26"/>
  <c r="AD450" i="26" s="1"/>
  <c r="Y235" i="27"/>
  <c r="G235" i="27" s="1"/>
  <c r="E433" i="9"/>
  <c r="E475" i="9"/>
  <c r="AC432" i="26"/>
  <c r="BE432" i="26" s="1"/>
  <c r="AN453" i="26"/>
  <c r="AP453" i="26" s="1"/>
  <c r="N767" i="10"/>
  <c r="AY367" i="10"/>
  <c r="W767" i="10"/>
  <c r="AF767" i="10"/>
  <c r="AI767" i="10"/>
  <c r="AC767" i="10"/>
  <c r="S367" i="10"/>
  <c r="Q767" i="10"/>
  <c r="AR767" i="10"/>
  <c r="W367" i="10"/>
  <c r="J767" i="10"/>
  <c r="Y767" i="10"/>
  <c r="N367" i="10"/>
  <c r="AF367" i="10"/>
  <c r="AL367" i="10"/>
  <c r="O767" i="10"/>
  <c r="R367" i="10"/>
  <c r="AN767" i="10"/>
  <c r="AJ767" i="10"/>
  <c r="L219" i="10"/>
  <c r="K219" i="10"/>
  <c r="W219" i="10"/>
  <c r="Y219" i="10"/>
  <c r="AD503" i="26"/>
  <c r="G173" i="9"/>
  <c r="Y119" i="27"/>
  <c r="G119" i="27" s="1"/>
  <c r="F298" i="9"/>
  <c r="F374" i="10"/>
  <c r="AW774" i="10" s="1"/>
  <c r="E476" i="9"/>
  <c r="F126" i="10"/>
  <c r="W526" i="10" s="1"/>
  <c r="U325" i="10"/>
  <c r="AG725" i="10"/>
  <c r="AO325" i="10"/>
  <c r="AC325" i="10"/>
  <c r="AR725" i="10"/>
  <c r="AS725" i="10"/>
  <c r="F257" i="10"/>
  <c r="AY257" i="10" s="1"/>
  <c r="AN487" i="26"/>
  <c r="AP487" i="26" s="1"/>
  <c r="AN488" i="26"/>
  <c r="AP488" i="26" s="1"/>
  <c r="G218" i="9"/>
  <c r="AL767" i="10"/>
  <c r="AH767" i="10"/>
  <c r="AT367" i="10"/>
  <c r="Z367" i="10"/>
  <c r="U435" i="26"/>
  <c r="AC435" i="26" s="1"/>
  <c r="E496" i="6"/>
  <c r="E440" i="9"/>
  <c r="F299" i="6"/>
  <c r="Y373" i="27"/>
  <c r="G373" i="27" s="1"/>
  <c r="AY767" i="10"/>
  <c r="Q367" i="10"/>
  <c r="U767" i="10"/>
  <c r="X367" i="10"/>
  <c r="AO367" i="10"/>
  <c r="V767" i="10"/>
  <c r="AU767" i="10"/>
  <c r="AM367" i="10"/>
  <c r="O367" i="10"/>
  <c r="L367" i="10"/>
  <c r="AE367" i="10"/>
  <c r="P767" i="10"/>
  <c r="AB767" i="10"/>
  <c r="AP367" i="10"/>
  <c r="AA767" i="10"/>
  <c r="AT767" i="10"/>
  <c r="AH367" i="10"/>
  <c r="AK767" i="10"/>
  <c r="AG367" i="10"/>
  <c r="AS219" i="10"/>
  <c r="AG619" i="10"/>
  <c r="V619" i="10"/>
  <c r="AK367" i="10"/>
  <c r="U443" i="26"/>
  <c r="F308" i="6"/>
  <c r="E447" i="9"/>
  <c r="E434" i="9"/>
  <c r="E415" i="6"/>
  <c r="E494" i="6"/>
  <c r="W325" i="27"/>
  <c r="E325" i="27" s="1"/>
  <c r="AD325" i="10"/>
  <c r="AO725" i="10"/>
  <c r="AT725" i="10"/>
  <c r="O325" i="10"/>
  <c r="P725" i="10"/>
  <c r="AD725" i="10"/>
  <c r="Z438" i="26"/>
  <c r="AE438" i="26" s="1"/>
  <c r="AE430" i="26"/>
  <c r="AD441" i="26"/>
  <c r="BD97" i="26"/>
  <c r="G97" i="10"/>
  <c r="AT677" i="10"/>
  <c r="AI277" i="10"/>
  <c r="J677" i="10"/>
  <c r="AW677" i="10"/>
  <c r="AB677" i="10"/>
  <c r="W277" i="10"/>
  <c r="AM277" i="10"/>
  <c r="AH677" i="10"/>
  <c r="AG277" i="10"/>
  <c r="AL677" i="10"/>
  <c r="AO277" i="10"/>
  <c r="AY277" i="10"/>
  <c r="AE677" i="10"/>
  <c r="AO677" i="10"/>
  <c r="AF677" i="10"/>
  <c r="L677" i="10"/>
  <c r="Y677" i="10"/>
  <c r="AE277" i="10"/>
  <c r="S277" i="10"/>
  <c r="P677" i="10"/>
  <c r="AD277" i="10"/>
  <c r="AJ277" i="10"/>
  <c r="AV677" i="10"/>
  <c r="AY677" i="10"/>
  <c r="AX677" i="10"/>
  <c r="AH277" i="10"/>
  <c r="AL277" i="10"/>
  <c r="W677" i="10"/>
  <c r="J277" i="10"/>
  <c r="AA677" i="10"/>
  <c r="O677" i="10"/>
  <c r="Y277" i="10"/>
  <c r="AW277" i="10"/>
  <c r="AP277" i="10"/>
  <c r="T277" i="10"/>
  <c r="AC677" i="10"/>
  <c r="S677" i="10"/>
  <c r="AR277" i="10"/>
  <c r="AB277" i="10"/>
  <c r="AM677" i="10"/>
  <c r="AR677" i="10"/>
  <c r="AV277" i="10"/>
  <c r="AT277" i="10"/>
  <c r="T677" i="10"/>
  <c r="AD677" i="10"/>
  <c r="Z277" i="10"/>
  <c r="P277" i="10"/>
  <c r="AU677" i="10"/>
  <c r="L277" i="10"/>
  <c r="AG677" i="10"/>
  <c r="O277" i="10"/>
  <c r="AS277" i="10"/>
  <c r="X277" i="10"/>
  <c r="Q277" i="10"/>
  <c r="AF277" i="10"/>
  <c r="AQ677" i="10"/>
  <c r="K677" i="10"/>
  <c r="V277" i="10"/>
  <c r="AN677" i="10"/>
  <c r="AP677" i="10"/>
  <c r="U677" i="10"/>
  <c r="AK677" i="10"/>
  <c r="U277" i="10"/>
  <c r="AA277" i="10"/>
  <c r="AC277" i="10"/>
  <c r="AK277" i="10"/>
  <c r="R277" i="10"/>
  <c r="AN277" i="10"/>
  <c r="X677" i="10"/>
  <c r="M677" i="10"/>
  <c r="K277" i="10"/>
  <c r="Q677" i="10"/>
  <c r="N677" i="10"/>
  <c r="R677" i="10"/>
  <c r="AQ277" i="10"/>
  <c r="N277" i="10"/>
  <c r="AI677" i="10"/>
  <c r="V677" i="10"/>
  <c r="AX277" i="10"/>
  <c r="M277" i="10"/>
  <c r="AS677" i="10"/>
  <c r="AJ677" i="10"/>
  <c r="Z677" i="10"/>
  <c r="AN468" i="26"/>
  <c r="AP468" i="26" s="1"/>
  <c r="AE533" i="26"/>
  <c r="AD533" i="26"/>
  <c r="F241" i="6"/>
  <c r="G141" i="6"/>
  <c r="Y308" i="27"/>
  <c r="G308" i="27" s="1"/>
  <c r="AN483" i="26"/>
  <c r="AP483" i="26" s="1"/>
  <c r="I56" i="6"/>
  <c r="I56" i="9"/>
  <c r="AN459" i="26"/>
  <c r="AP459" i="26" s="1"/>
  <c r="AF76" i="6"/>
  <c r="AC76" i="6"/>
  <c r="AH76" i="6" s="1"/>
  <c r="AC83" i="6"/>
  <c r="AH83" i="6" s="1"/>
  <c r="AF83" i="6"/>
  <c r="F308" i="9"/>
  <c r="AB533" i="26"/>
  <c r="E452" i="6"/>
  <c r="AC471" i="26"/>
  <c r="AY471" i="26" s="1"/>
  <c r="S471" i="26" s="1"/>
  <c r="F173" i="9"/>
  <c r="E477" i="9"/>
  <c r="AN476" i="26"/>
  <c r="AP476" i="26" s="1"/>
  <c r="I106" i="6"/>
  <c r="I106" i="9"/>
  <c r="Z1416" i="10"/>
  <c r="AC461" i="26"/>
  <c r="AC1322" i="10"/>
  <c r="AI1445" i="10"/>
  <c r="AB75" i="26"/>
  <c r="AD75" i="26" s="1"/>
  <c r="AM1543" i="10"/>
  <c r="AN1543" i="10"/>
  <c r="AX212" i="10"/>
  <c r="AF212" i="10"/>
  <c r="O212" i="10"/>
  <c r="T212" i="10"/>
  <c r="P212" i="10"/>
  <c r="AQ612" i="10"/>
  <c r="X612" i="10"/>
  <c r="M212" i="10"/>
  <c r="P612" i="10"/>
  <c r="V612" i="10"/>
  <c r="AY212" i="10"/>
  <c r="AT212" i="10"/>
  <c r="AN612" i="10"/>
  <c r="V212" i="10"/>
  <c r="W212" i="10"/>
  <c r="AW612" i="10"/>
  <c r="Q212" i="10"/>
  <c r="Y212" i="10"/>
  <c r="AY612" i="10"/>
  <c r="AC612" i="10"/>
  <c r="Y612" i="10"/>
  <c r="AC303" i="26"/>
  <c r="AL303" i="26"/>
  <c r="AB333" i="26"/>
  <c r="AK333" i="26"/>
  <c r="AU333" i="26" s="1"/>
  <c r="S333" i="26" s="1"/>
  <c r="AL142" i="26"/>
  <c r="AC142" i="26"/>
  <c r="AK142" i="26"/>
  <c r="AV142" i="26" s="1"/>
  <c r="AP202" i="26"/>
  <c r="AO202" i="26" s="1"/>
  <c r="F66" i="6"/>
  <c r="AA66" i="6" s="1"/>
  <c r="F66" i="9"/>
  <c r="Y66" i="27"/>
  <c r="G66" i="27" s="1"/>
  <c r="AB1225" i="10"/>
  <c r="J1225" i="10"/>
  <c r="W1225" i="10"/>
  <c r="Y1225" i="10"/>
  <c r="N1225" i="10"/>
  <c r="AC1225" i="10"/>
  <c r="AH1225" i="10"/>
  <c r="AJ1225" i="10"/>
  <c r="T1225" i="10"/>
  <c r="AF1225" i="10"/>
  <c r="AL1225" i="10"/>
  <c r="AD1225" i="10"/>
  <c r="G1225" i="10"/>
  <c r="M1225" i="10"/>
  <c r="X1225" i="10"/>
  <c r="Q1225" i="10"/>
  <c r="P1225" i="10"/>
  <c r="R1225" i="10"/>
  <c r="AR1225" i="10"/>
  <c r="K1225" i="10"/>
  <c r="AN1225" i="10"/>
  <c r="U1225" i="10"/>
  <c r="AI1225" i="10"/>
  <c r="AO1225" i="10"/>
  <c r="AT1225" i="10"/>
  <c r="V1225" i="10"/>
  <c r="AQ1225" i="10"/>
  <c r="AG1225" i="10"/>
  <c r="AS1225" i="10"/>
  <c r="L1225" i="10"/>
  <c r="AE1225" i="10"/>
  <c r="S1225" i="10"/>
  <c r="O1225" i="10"/>
  <c r="AK1225" i="10"/>
  <c r="AA1225" i="10"/>
  <c r="Z1225" i="10"/>
  <c r="AP1225" i="10"/>
  <c r="AM1225" i="10"/>
  <c r="R1243" i="10"/>
  <c r="AC1243" i="10"/>
  <c r="AR1321" i="10"/>
  <c r="AH1321" i="10"/>
  <c r="AP1321" i="10"/>
  <c r="AE1321" i="10"/>
  <c r="P1321" i="10"/>
  <c r="S1321" i="10"/>
  <c r="AJ1321" i="10"/>
  <c r="M1321" i="10"/>
  <c r="O1321" i="10"/>
  <c r="AG1321" i="10"/>
  <c r="X1321" i="10"/>
  <c r="Z1321" i="10"/>
  <c r="Q1321" i="10"/>
  <c r="AM1321" i="10"/>
  <c r="AB1321" i="10"/>
  <c r="U1321" i="10"/>
  <c r="Y1321" i="10"/>
  <c r="R1321" i="10"/>
  <c r="AN1321" i="10"/>
  <c r="AS1321" i="10"/>
  <c r="AI1321" i="10"/>
  <c r="AT1321" i="10"/>
  <c r="AA1321" i="10"/>
  <c r="AL1321" i="10"/>
  <c r="G1321" i="10"/>
  <c r="N1321" i="10"/>
  <c r="AC1321" i="10"/>
  <c r="T1321" i="10"/>
  <c r="V1321" i="10"/>
  <c r="L1321" i="10"/>
  <c r="AF1321" i="10"/>
  <c r="K1321" i="10"/>
  <c r="W1321" i="10"/>
  <c r="J1321" i="10"/>
  <c r="AD1321" i="10"/>
  <c r="AQ1321" i="10"/>
  <c r="AO1321" i="10"/>
  <c r="AK1321" i="10"/>
  <c r="Z464" i="26"/>
  <c r="AB464" i="26"/>
  <c r="AB473" i="26"/>
  <c r="Z473" i="26"/>
  <c r="AC190" i="26"/>
  <c r="AL190" i="26"/>
  <c r="AB488" i="26"/>
  <c r="Z488" i="26"/>
  <c r="AH1421" i="10"/>
  <c r="P1421" i="10"/>
  <c r="AF1421" i="10"/>
  <c r="T1421" i="10"/>
  <c r="M1421" i="10"/>
  <c r="U1421" i="10"/>
  <c r="AE1421" i="10"/>
  <c r="AA1421" i="10"/>
  <c r="AO1421" i="10"/>
  <c r="AI1421" i="10"/>
  <c r="Q1421" i="10"/>
  <c r="AT1421" i="10"/>
  <c r="K1421" i="10"/>
  <c r="L1421" i="10"/>
  <c r="AL1421" i="10"/>
  <c r="AB1421" i="10"/>
  <c r="J1421" i="10"/>
  <c r="Z1421" i="10"/>
  <c r="AG1421" i="10"/>
  <c r="AN1421" i="10"/>
  <c r="V1421" i="10"/>
  <c r="Y1421" i="10"/>
  <c r="AC1421" i="10"/>
  <c r="AK1421" i="10"/>
  <c r="AM1421" i="10"/>
  <c r="AJ1421" i="10"/>
  <c r="N1421" i="10"/>
  <c r="S1421" i="10"/>
  <c r="AR1421" i="10"/>
  <c r="G1421" i="10"/>
  <c r="AP1421" i="10"/>
  <c r="AD1421" i="10"/>
  <c r="X1421" i="10"/>
  <c r="R1421" i="10"/>
  <c r="O1421" i="10"/>
  <c r="AQ1421" i="10"/>
  <c r="W1421" i="10"/>
  <c r="AS1421" i="10"/>
  <c r="AB501" i="26"/>
  <c r="Z501" i="26"/>
  <c r="AH1448" i="10"/>
  <c r="K1448" i="10"/>
  <c r="AS1448" i="10"/>
  <c r="AB1448" i="10"/>
  <c r="Z1448" i="10"/>
  <c r="AA1448" i="10"/>
  <c r="AN1448" i="10"/>
  <c r="Q1448" i="10"/>
  <c r="Y1448" i="10"/>
  <c r="AQ1448" i="10"/>
  <c r="AD1448" i="10"/>
  <c r="T1448" i="10"/>
  <c r="AK1448" i="10"/>
  <c r="W1448" i="10"/>
  <c r="AO1448" i="10"/>
  <c r="AF1448" i="10"/>
  <c r="S1448" i="10"/>
  <c r="U1448" i="10"/>
  <c r="AP1448" i="10"/>
  <c r="AL1448" i="10"/>
  <c r="P1448" i="10"/>
  <c r="V1448" i="10"/>
  <c r="X1448" i="10"/>
  <c r="AT1448" i="10"/>
  <c r="AJ1448" i="10"/>
  <c r="AE1448" i="10"/>
  <c r="L1448" i="10"/>
  <c r="AC1448" i="10"/>
  <c r="AM1448" i="10"/>
  <c r="AI1448" i="10"/>
  <c r="N1448" i="10"/>
  <c r="R1448" i="10"/>
  <c r="AR1448" i="10"/>
  <c r="AG1448" i="10"/>
  <c r="M1448" i="10"/>
  <c r="J1448" i="10"/>
  <c r="AB537" i="26"/>
  <c r="Z537" i="26"/>
  <c r="AH27" i="26"/>
  <c r="AG27" i="26" s="1"/>
  <c r="AL29" i="26"/>
  <c r="AC29" i="26"/>
  <c r="AK29" i="26"/>
  <c r="AB29" i="26"/>
  <c r="AP61" i="26"/>
  <c r="AO61" i="26" s="1"/>
  <c r="Y1241" i="10"/>
  <c r="Q1241" i="10"/>
  <c r="G1241" i="10"/>
  <c r="R1241" i="10"/>
  <c r="G273" i="10"/>
  <c r="BD273" i="26"/>
  <c r="AK233" i="26"/>
  <c r="AL233" i="26"/>
  <c r="W212" i="27"/>
  <c r="E212" i="27" s="1"/>
  <c r="AQ325" i="10"/>
  <c r="AY725" i="10"/>
  <c r="AH725" i="10"/>
  <c r="AJ325" i="10"/>
  <c r="Q325" i="10"/>
  <c r="AB325" i="10"/>
  <c r="AB725" i="10"/>
  <c r="AM725" i="10"/>
  <c r="AX325" i="10"/>
  <c r="AY325" i="10"/>
  <c r="AF325" i="10"/>
  <c r="AU725" i="10"/>
  <c r="AP1335" i="10"/>
  <c r="AB1335" i="10"/>
  <c r="L1335" i="10"/>
  <c r="O1335" i="10"/>
  <c r="AH1335" i="10"/>
  <c r="J1335" i="10"/>
  <c r="F12" i="10"/>
  <c r="W12" i="10" s="1"/>
  <c r="S212" i="10"/>
  <c r="AH212" i="10"/>
  <c r="AJ212" i="10"/>
  <c r="O612" i="10"/>
  <c r="Z612" i="10"/>
  <c r="AC43" i="26"/>
  <c r="T1305" i="10"/>
  <c r="AK26" i="26"/>
  <c r="AU26" i="26" s="1"/>
  <c r="S26" i="26" s="1"/>
  <c r="AB89" i="26"/>
  <c r="AD89" i="26" s="1"/>
  <c r="AB233" i="26"/>
  <c r="AD233" i="26" s="1"/>
  <c r="AL333" i="26"/>
  <c r="AN455" i="26"/>
  <c r="AP455" i="26" s="1"/>
  <c r="AN479" i="26"/>
  <c r="AP479" i="26" s="1"/>
  <c r="AG1222" i="10"/>
  <c r="AF1226" i="10"/>
  <c r="S1226" i="10"/>
  <c r="AD1232" i="10"/>
  <c r="AM1232" i="10"/>
  <c r="AS1241" i="10"/>
  <c r="W1241" i="10"/>
  <c r="S1241" i="10"/>
  <c r="J1241" i="10"/>
  <c r="Z1241" i="10"/>
  <c r="AJ1241" i="10"/>
  <c r="AO1241" i="10"/>
  <c r="AE1241" i="10"/>
  <c r="AP1243" i="10"/>
  <c r="AT1243" i="10"/>
  <c r="U1243" i="10"/>
  <c r="AH1243" i="10"/>
  <c r="S1243" i="10"/>
  <c r="AQ1243" i="10"/>
  <c r="AL1243" i="10"/>
  <c r="O1243" i="10"/>
  <c r="W1289" i="10"/>
  <c r="S1289" i="10"/>
  <c r="AF1303" i="10"/>
  <c r="X1305" i="10"/>
  <c r="AP1305" i="10"/>
  <c r="Q1322" i="10"/>
  <c r="AP1350" i="10"/>
  <c r="Z1445" i="10"/>
  <c r="AI1543" i="10"/>
  <c r="Q1543" i="10"/>
  <c r="AK175" i="26"/>
  <c r="AU175" i="26" s="1"/>
  <c r="S175" i="26" s="1"/>
  <c r="AL175" i="26"/>
  <c r="AC378" i="26"/>
  <c r="AK378" i="26"/>
  <c r="F196" i="10"/>
  <c r="W196" i="27"/>
  <c r="E196" i="27" s="1"/>
  <c r="AP117" i="26"/>
  <c r="AO117" i="26" s="1"/>
  <c r="AB417" i="26"/>
  <c r="Z417" i="26"/>
  <c r="AL61" i="26"/>
  <c r="AC61" i="26"/>
  <c r="AK61" i="26"/>
  <c r="G1279" i="10"/>
  <c r="AR1279" i="10"/>
  <c r="AI1304" i="10"/>
  <c r="G1304" i="10"/>
  <c r="AD1304" i="10"/>
  <c r="U1304" i="10"/>
  <c r="AG1304" i="10"/>
  <c r="T1304" i="10"/>
  <c r="AP1304" i="10"/>
  <c r="P1304" i="10"/>
  <c r="Y1304" i="10"/>
  <c r="X1304" i="10"/>
  <c r="AS1304" i="10"/>
  <c r="L1304" i="10"/>
  <c r="AL1304" i="10"/>
  <c r="AN1304" i="10"/>
  <c r="AT1304" i="10"/>
  <c r="AH1304" i="10"/>
  <c r="W1304" i="10"/>
  <c r="V1304" i="10"/>
  <c r="J1304" i="10"/>
  <c r="AQ1304" i="10"/>
  <c r="AM1304" i="10"/>
  <c r="S1304" i="10"/>
  <c r="R1304" i="10"/>
  <c r="AC1304" i="10"/>
  <c r="AJ1304" i="10"/>
  <c r="AB459" i="26"/>
  <c r="Z459" i="26"/>
  <c r="AB468" i="26"/>
  <c r="Z468" i="26"/>
  <c r="AK171" i="26"/>
  <c r="AU171" i="26" s="1"/>
  <c r="S171" i="26" s="1"/>
  <c r="AC171" i="26"/>
  <c r="AB171" i="26"/>
  <c r="AL171" i="26"/>
  <c r="R1390" i="10"/>
  <c r="AI1390" i="10"/>
  <c r="AN1390" i="10"/>
  <c r="Z492" i="26"/>
  <c r="AB492" i="26"/>
  <c r="AC221" i="26"/>
  <c r="AL221" i="26"/>
  <c r="AB507" i="26"/>
  <c r="Z507" i="26"/>
  <c r="AB514" i="26"/>
  <c r="Z514" i="26"/>
  <c r="AC514" i="26" s="1"/>
  <c r="AH195" i="26"/>
  <c r="AG195" i="26" s="1"/>
  <c r="AC508" i="26"/>
  <c r="AE508" i="26"/>
  <c r="AG508" i="26" s="1"/>
  <c r="AJ508" i="26" s="1"/>
  <c r="AD508" i="26"/>
  <c r="AK43" i="26"/>
  <c r="AL48" i="26"/>
  <c r="AC48" i="26"/>
  <c r="AL58" i="26"/>
  <c r="AC58" i="26"/>
  <c r="AD58" i="26" s="1"/>
  <c r="AH43" i="26"/>
  <c r="AG43" i="26" s="1"/>
  <c r="AS1279" i="10"/>
  <c r="Y1409" i="10"/>
  <c r="AG1409" i="10"/>
  <c r="AF1279" i="10"/>
  <c r="AJ1279" i="10"/>
  <c r="L1279" i="10"/>
  <c r="AQ1279" i="10"/>
  <c r="AT1279" i="10"/>
  <c r="V1279" i="10"/>
  <c r="Z1279" i="10"/>
  <c r="AA1279" i="10"/>
  <c r="AE1279" i="10"/>
  <c r="U1334" i="10"/>
  <c r="T1334" i="10"/>
  <c r="AE1334" i="10"/>
  <c r="AO1409" i="10"/>
  <c r="AJ1409" i="10"/>
  <c r="X1409" i="10"/>
  <c r="J1409" i="10"/>
  <c r="R1409" i="10"/>
  <c r="AJ1437" i="10"/>
  <c r="M1437" i="10"/>
  <c r="S1437" i="10"/>
  <c r="AN1437" i="10"/>
  <c r="AB1437" i="10"/>
  <c r="AQ1437" i="10"/>
  <c r="AD535" i="26"/>
  <c r="P1290" i="10"/>
  <c r="J1290" i="10"/>
  <c r="AM1290" i="10"/>
  <c r="AC1445" i="10"/>
  <c r="V1445" i="10"/>
  <c r="AJ1445" i="10"/>
  <c r="AF1445" i="10"/>
  <c r="AA1278" i="10"/>
  <c r="F132" i="9"/>
  <c r="AK220" i="26"/>
  <c r="AX303" i="26"/>
  <c r="AI1413" i="10"/>
  <c r="AF1413" i="10"/>
  <c r="R1413" i="10"/>
  <c r="AC1413" i="10"/>
  <c r="V1413" i="10"/>
  <c r="AJ1413" i="10"/>
  <c r="AR1413" i="10"/>
  <c r="Y1413" i="10"/>
  <c r="AM1222" i="10"/>
  <c r="AL1222" i="10"/>
  <c r="AR1222" i="10"/>
  <c r="AF1222" i="10"/>
  <c r="AN1222" i="10"/>
  <c r="T1222" i="10"/>
  <c r="AE1222" i="10"/>
  <c r="K1222" i="10"/>
  <c r="AK313" i="26"/>
  <c r="AB272" i="26"/>
  <c r="AD272" i="26" s="1"/>
  <c r="O272" i="26" s="1"/>
  <c r="F272" i="10" s="1"/>
  <c r="AB295" i="26"/>
  <c r="AB303" i="26"/>
  <c r="AL25" i="26"/>
  <c r="G212" i="10"/>
  <c r="R325" i="10"/>
  <c r="X325" i="10"/>
  <c r="Y725" i="10"/>
  <c r="N325" i="10"/>
  <c r="L725" i="10"/>
  <c r="T325" i="10"/>
  <c r="AN325" i="10"/>
  <c r="AR325" i="10"/>
  <c r="AK325" i="10"/>
  <c r="V325" i="10"/>
  <c r="AW325" i="10"/>
  <c r="AE1335" i="10"/>
  <c r="AN1335" i="10"/>
  <c r="AQ1335" i="10"/>
  <c r="AK1335" i="10"/>
  <c r="AF1335" i="10"/>
  <c r="AD212" i="10"/>
  <c r="AH612" i="10"/>
  <c r="N212" i="10"/>
  <c r="AA212" i="10"/>
  <c r="R612" i="10"/>
  <c r="G1424" i="10"/>
  <c r="G1448" i="10"/>
  <c r="G1289" i="10"/>
  <c r="AL43" i="26"/>
  <c r="AB96" i="26"/>
  <c r="AD96" i="26" s="1"/>
  <c r="AQ1232" i="10"/>
  <c r="AL94" i="26"/>
  <c r="AM94" i="26" s="1"/>
  <c r="Q94" i="26" s="1"/>
  <c r="P94" i="26" s="1"/>
  <c r="X94" i="27" s="1"/>
  <c r="AB94" i="27" s="1"/>
  <c r="AC333" i="26"/>
  <c r="AN1226" i="10"/>
  <c r="M1232" i="10"/>
  <c r="AJ1232" i="10"/>
  <c r="P1241" i="10"/>
  <c r="AP1241" i="10"/>
  <c r="AF1241" i="10"/>
  <c r="AL1241" i="10"/>
  <c r="O1241" i="10"/>
  <c r="AH1241" i="10"/>
  <c r="U1241" i="10"/>
  <c r="AK1241" i="10"/>
  <c r="AF1243" i="10"/>
  <c r="AI1243" i="10"/>
  <c r="L1243" i="10"/>
  <c r="AG1243" i="10"/>
  <c r="N1243" i="10"/>
  <c r="AA1243" i="10"/>
  <c r="V1243" i="10"/>
  <c r="AM1243" i="10"/>
  <c r="AI1289" i="10"/>
  <c r="AA1289" i="10"/>
  <c r="X1303" i="10"/>
  <c r="N1305" i="10"/>
  <c r="AH1413" i="10"/>
  <c r="R1424" i="10"/>
  <c r="AG1445" i="10"/>
  <c r="AS1543" i="10"/>
  <c r="J1543" i="10"/>
  <c r="AC49" i="26"/>
  <c r="AL49" i="26"/>
  <c r="AL36" i="26"/>
  <c r="AC36" i="26"/>
  <c r="AL186" i="26"/>
  <c r="AB186" i="26"/>
  <c r="AC186" i="26"/>
  <c r="AC184" i="26"/>
  <c r="AL184" i="26"/>
  <c r="AK184" i="26"/>
  <c r="AU184" i="26" s="1"/>
  <c r="S184" i="26" s="1"/>
  <c r="AC368" i="26"/>
  <c r="AC369" i="26"/>
  <c r="AL369" i="26"/>
  <c r="AK369" i="26"/>
  <c r="AV369" i="26" s="1"/>
  <c r="AB36" i="26"/>
  <c r="AB421" i="26"/>
  <c r="Z421" i="26"/>
  <c r="AB443" i="26"/>
  <c r="Z443" i="26"/>
  <c r="AB449" i="26"/>
  <c r="Z449" i="26"/>
  <c r="AC449" i="26" s="1"/>
  <c r="BE449" i="26" s="1"/>
  <c r="AK1347" i="10"/>
  <c r="T1347" i="10"/>
  <c r="AC1347" i="10"/>
  <c r="AP1347" i="10"/>
  <c r="AR1347" i="10"/>
  <c r="AA1347" i="10"/>
  <c r="AM1347" i="10"/>
  <c r="AO1347" i="10"/>
  <c r="V1347" i="10"/>
  <c r="O1347" i="10"/>
  <c r="S1347" i="10"/>
  <c r="Q1347" i="10"/>
  <c r="N1347" i="10"/>
  <c r="K1347" i="10"/>
  <c r="AL1347" i="10"/>
  <c r="M1347" i="10"/>
  <c r="AN1347" i="10"/>
  <c r="AB1347" i="10"/>
  <c r="Z1347" i="10"/>
  <c r="J1347" i="10"/>
  <c r="G1347" i="10"/>
  <c r="AE1347" i="10"/>
  <c r="AD1347" i="10"/>
  <c r="Z476" i="26"/>
  <c r="AB476" i="26"/>
  <c r="R1402" i="10"/>
  <c r="U1402" i="10"/>
  <c r="AL1402" i="10"/>
  <c r="Q1402" i="10"/>
  <c r="AH1402" i="10"/>
  <c r="AN1402" i="10"/>
  <c r="V1402" i="10"/>
  <c r="G1402" i="10"/>
  <c r="AR1402" i="10"/>
  <c r="AE1402" i="10"/>
  <c r="AT1402" i="10"/>
  <c r="AC1402" i="10"/>
  <c r="AJ1402" i="10"/>
  <c r="AS1402" i="10"/>
  <c r="AK1402" i="10"/>
  <c r="AM1402" i="10"/>
  <c r="W1402" i="10"/>
  <c r="AP1402" i="10"/>
  <c r="AG1402" i="10"/>
  <c r="AA1402" i="10"/>
  <c r="AR1409" i="10"/>
  <c r="Q1409" i="10"/>
  <c r="V1409" i="10"/>
  <c r="AD1409" i="10"/>
  <c r="G1409" i="10"/>
  <c r="N1409" i="10"/>
  <c r="AC1409" i="10"/>
  <c r="U1409" i="10"/>
  <c r="G1437" i="10"/>
  <c r="O1437" i="10"/>
  <c r="U1437" i="10"/>
  <c r="AR1437" i="10"/>
  <c r="N1437" i="10"/>
  <c r="AH1475" i="10"/>
  <c r="L1475" i="10"/>
  <c r="AS1475" i="10"/>
  <c r="U1475" i="10"/>
  <c r="AO1475" i="10"/>
  <c r="R1475" i="10"/>
  <c r="AN1475" i="10"/>
  <c r="N1475" i="10"/>
  <c r="X1475" i="10"/>
  <c r="Y1475" i="10"/>
  <c r="AB1475" i="10"/>
  <c r="J1475" i="10"/>
  <c r="AT1475" i="10"/>
  <c r="AP1475" i="10"/>
  <c r="M1475" i="10"/>
  <c r="AL1475" i="10"/>
  <c r="K1475" i="10"/>
  <c r="AF1475" i="10"/>
  <c r="V1475" i="10"/>
  <c r="G1475" i="10"/>
  <c r="Q1475" i="10"/>
  <c r="AM1475" i="10"/>
  <c r="AJ1475" i="10"/>
  <c r="AC1475" i="10"/>
  <c r="W1475" i="10"/>
  <c r="AD1475" i="10"/>
  <c r="T1475" i="10"/>
  <c r="Z1475" i="10"/>
  <c r="S1475" i="10"/>
  <c r="AH81" i="26"/>
  <c r="AG81" i="26" s="1"/>
  <c r="AB429" i="26"/>
  <c r="Z429" i="26"/>
  <c r="N1238" i="10"/>
  <c r="AG1238" i="10"/>
  <c r="AT1238" i="10"/>
  <c r="Z1238" i="10"/>
  <c r="AL1238" i="10"/>
  <c r="AB1238" i="10"/>
  <c r="AO1238" i="10"/>
  <c r="AD1238" i="10"/>
  <c r="AQ1238" i="10"/>
  <c r="AN1238" i="10"/>
  <c r="T1238" i="10"/>
  <c r="AC1238" i="10"/>
  <c r="S1238" i="10"/>
  <c r="AF1238" i="10"/>
  <c r="AJ1238" i="10"/>
  <c r="W1238" i="10"/>
  <c r="AH1238" i="10"/>
  <c r="J1238" i="10"/>
  <c r="U1238" i="10"/>
  <c r="AM1238" i="10"/>
  <c r="P1238" i="10"/>
  <c r="AS1238" i="10"/>
  <c r="X1238" i="10"/>
  <c r="O1238" i="10"/>
  <c r="AI1238" i="10"/>
  <c r="AR1238" i="10"/>
  <c r="K1238" i="10"/>
  <c r="V1238" i="10"/>
  <c r="Q1238" i="10"/>
  <c r="AK1238" i="10"/>
  <c r="AE1238" i="10"/>
  <c r="L1238" i="10"/>
  <c r="R1238" i="10"/>
  <c r="AB42" i="26"/>
  <c r="AL60" i="26"/>
  <c r="AC60" i="26"/>
  <c r="AM1334" i="10"/>
  <c r="AL1279" i="10"/>
  <c r="AD1279" i="10"/>
  <c r="AG1279" i="10"/>
  <c r="X1279" i="10"/>
  <c r="AK1279" i="10"/>
  <c r="AB1279" i="10"/>
  <c r="R1279" i="10"/>
  <c r="O1279" i="10"/>
  <c r="AH1334" i="10"/>
  <c r="P1334" i="10"/>
  <c r="X1334" i="10"/>
  <c r="AC1334" i="10"/>
  <c r="AG1390" i="10"/>
  <c r="W1409" i="10"/>
  <c r="S1409" i="10"/>
  <c r="O1409" i="10"/>
  <c r="AN1409" i="10"/>
  <c r="AK1409" i="10"/>
  <c r="T1409" i="10"/>
  <c r="AG1437" i="10"/>
  <c r="AH1437" i="10"/>
  <c r="P1437" i="10"/>
  <c r="R1437" i="10"/>
  <c r="K1437" i="10"/>
  <c r="AK1437" i="10"/>
  <c r="AF1437" i="10"/>
  <c r="T1437" i="10"/>
  <c r="AD505" i="26"/>
  <c r="AC505" i="26"/>
  <c r="BE505" i="26" s="1"/>
  <c r="AE505" i="26"/>
  <c r="AG505" i="26" s="1"/>
  <c r="AH505" i="26" s="1"/>
  <c r="AT1335" i="10"/>
  <c r="W1335" i="10"/>
  <c r="AC1335" i="10"/>
  <c r="P1335" i="10"/>
  <c r="G1335" i="10"/>
  <c r="AP1232" i="10"/>
  <c r="AE1243" i="10"/>
  <c r="AD1243" i="10"/>
  <c r="X1243" i="10"/>
  <c r="W1243" i="10"/>
  <c r="AR1243" i="10"/>
  <c r="M1243" i="10"/>
  <c r="AJ1243" i="10"/>
  <c r="AB1243" i="10"/>
  <c r="AN1289" i="10"/>
  <c r="R1289" i="10"/>
  <c r="K1303" i="10"/>
  <c r="S1303" i="10"/>
  <c r="AJ1322" i="10"/>
  <c r="X1543" i="10"/>
  <c r="AC1543" i="10"/>
  <c r="AC248" i="26"/>
  <c r="AD248" i="26" s="1"/>
  <c r="AL248" i="26"/>
  <c r="AK248" i="26"/>
  <c r="AU248" i="26" s="1"/>
  <c r="S248" i="26" s="1"/>
  <c r="R248" i="26" s="1"/>
  <c r="AC42" i="26"/>
  <c r="AL42" i="26"/>
  <c r="AB133" i="26"/>
  <c r="AD133" i="26" s="1"/>
  <c r="AK133" i="26"/>
  <c r="AC147" i="26"/>
  <c r="AL147" i="26"/>
  <c r="AK147" i="26"/>
  <c r="AT1384" i="10"/>
  <c r="J1384" i="10"/>
  <c r="Q1384" i="10"/>
  <c r="AK1384" i="10"/>
  <c r="V1384" i="10"/>
  <c r="X1384" i="10"/>
  <c r="AF1384" i="10"/>
  <c r="U1384" i="10"/>
  <c r="AC1384" i="10"/>
  <c r="AN1384" i="10"/>
  <c r="T1384" i="10"/>
  <c r="AI1384" i="10"/>
  <c r="AB1384" i="10"/>
  <c r="K1384" i="10"/>
  <c r="AE1384" i="10"/>
  <c r="AJ1384" i="10"/>
  <c r="S1384" i="10"/>
  <c r="AL1384" i="10"/>
  <c r="P1384" i="10"/>
  <c r="W1384" i="10"/>
  <c r="AO1384" i="10"/>
  <c r="M1384" i="10"/>
  <c r="L1384" i="10"/>
  <c r="AA1384" i="10"/>
  <c r="AH1384" i="10"/>
  <c r="AP1384" i="10"/>
  <c r="R1384" i="10"/>
  <c r="O1384" i="10"/>
  <c r="AQ1384" i="10"/>
  <c r="AS1384" i="10"/>
  <c r="Y1384" i="10"/>
  <c r="AR1384" i="10"/>
  <c r="AM1384" i="10"/>
  <c r="G1384" i="10"/>
  <c r="N1384" i="10"/>
  <c r="P1569" i="10"/>
  <c r="N1569" i="10"/>
  <c r="Y1569" i="10"/>
  <c r="AC1569" i="10"/>
  <c r="AP1569" i="10"/>
  <c r="G1569" i="10"/>
  <c r="U1569" i="10"/>
  <c r="AD1569" i="10"/>
  <c r="J1569" i="10"/>
  <c r="AK1569" i="10"/>
  <c r="V1569" i="10"/>
  <c r="M1569" i="10"/>
  <c r="AA1569" i="10"/>
  <c r="L1569" i="10"/>
  <c r="AJ1569" i="10"/>
  <c r="AI1569" i="10"/>
  <c r="AS1569" i="10"/>
  <c r="AG1569" i="10"/>
  <c r="X1569" i="10"/>
  <c r="O1569" i="10"/>
  <c r="AR1569" i="10"/>
  <c r="AH1569" i="10"/>
  <c r="AQ1569" i="10"/>
  <c r="AE1569" i="10"/>
  <c r="AM1569" i="10"/>
  <c r="Z1569" i="10"/>
  <c r="R1569" i="10"/>
  <c r="Q1569" i="10"/>
  <c r="AN1569" i="10"/>
  <c r="AT1569" i="10"/>
  <c r="K1569" i="10"/>
  <c r="S1569" i="10"/>
  <c r="AO1569" i="10"/>
  <c r="AL1569" i="10"/>
  <c r="AB1569" i="10"/>
  <c r="AB369" i="26"/>
  <c r="Z422" i="26"/>
  <c r="AB422" i="26"/>
  <c r="K1371" i="10"/>
  <c r="T1371" i="10"/>
  <c r="N1371" i="10"/>
  <c r="AE1371" i="10"/>
  <c r="AN1371" i="10"/>
  <c r="W1371" i="10"/>
  <c r="R1371" i="10"/>
  <c r="AL1371" i="10"/>
  <c r="AI1371" i="10"/>
  <c r="G1371" i="10"/>
  <c r="AJ1371" i="10"/>
  <c r="U1371" i="10"/>
  <c r="AF1371" i="10"/>
  <c r="AQ1371" i="10"/>
  <c r="J1371" i="10"/>
  <c r="Q1371" i="10"/>
  <c r="AM1371" i="10"/>
  <c r="P1371" i="10"/>
  <c r="Z1371" i="10"/>
  <c r="M1371" i="10"/>
  <c r="V1371" i="10"/>
  <c r="AC1371" i="10"/>
  <c r="AT1371" i="10"/>
  <c r="AK1371" i="10"/>
  <c r="AG1371" i="10"/>
  <c r="AP1371" i="10"/>
  <c r="S1371" i="10"/>
  <c r="AD1371" i="10"/>
  <c r="AH1371" i="10"/>
  <c r="Y1371" i="10"/>
  <c r="AS1371" i="10"/>
  <c r="AC202" i="26"/>
  <c r="AL202" i="26"/>
  <c r="AK202" i="26"/>
  <c r="AU202" i="26" s="1"/>
  <c r="S202" i="26" s="1"/>
  <c r="Z496" i="26"/>
  <c r="AB496" i="26"/>
  <c r="AL237" i="26"/>
  <c r="AC237" i="26"/>
  <c r="AK237" i="26"/>
  <c r="AU237" i="26" s="1"/>
  <c r="S237" i="26" s="1"/>
  <c r="AC244" i="26"/>
  <c r="AL244" i="26"/>
  <c r="AB244" i="26"/>
  <c r="AK244" i="26"/>
  <c r="AU244" i="26" s="1"/>
  <c r="S244" i="26" s="1"/>
  <c r="AN1520" i="10"/>
  <c r="AG1520" i="10"/>
  <c r="AQ1520" i="10"/>
  <c r="AR1520" i="10"/>
  <c r="AD1520" i="10"/>
  <c r="AB1520" i="10"/>
  <c r="M1520" i="10"/>
  <c r="T1520" i="10"/>
  <c r="AC1520" i="10"/>
  <c r="Y1520" i="10"/>
  <c r="U1520" i="10"/>
  <c r="AT1520" i="10"/>
  <c r="AJ1520" i="10"/>
  <c r="AS1520" i="10"/>
  <c r="Q1520" i="10"/>
  <c r="L1520" i="10"/>
  <c r="Z1520" i="10"/>
  <c r="K1520" i="10"/>
  <c r="AO1520" i="10"/>
  <c r="AI1520" i="10"/>
  <c r="N1520" i="10"/>
  <c r="P1520" i="10"/>
  <c r="AP1520" i="10"/>
  <c r="AH1520" i="10"/>
  <c r="W1520" i="10"/>
  <c r="AF1520" i="10"/>
  <c r="O1520" i="10"/>
  <c r="G1520" i="10"/>
  <c r="AP1229" i="10"/>
  <c r="J1229" i="10"/>
  <c r="AO1229" i="10"/>
  <c r="AL1229" i="10"/>
  <c r="AB1229" i="10"/>
  <c r="V1229" i="10"/>
  <c r="M1229" i="10"/>
  <c r="Z1229" i="10"/>
  <c r="Q1229" i="10"/>
  <c r="AR1229" i="10"/>
  <c r="AH1229" i="10"/>
  <c r="K1229" i="10"/>
  <c r="Y1229" i="10"/>
  <c r="P1229" i="10"/>
  <c r="AA1229" i="10"/>
  <c r="N1229" i="10"/>
  <c r="U1229" i="10"/>
  <c r="AM1229" i="10"/>
  <c r="T1229" i="10"/>
  <c r="AS1229" i="10"/>
  <c r="AN1229" i="10"/>
  <c r="L1229" i="10"/>
  <c r="X1229" i="10"/>
  <c r="O1229" i="10"/>
  <c r="AI1229" i="10"/>
  <c r="R1229" i="10"/>
  <c r="AT1229" i="10"/>
  <c r="S1229" i="10"/>
  <c r="G1229" i="10"/>
  <c r="AG1229" i="10"/>
  <c r="AC1229" i="10"/>
  <c r="AE1229" i="10"/>
  <c r="W1229" i="10"/>
  <c r="AK1229" i="10"/>
  <c r="AQ1229" i="10"/>
  <c r="AJ1229" i="10"/>
  <c r="AF1229" i="10"/>
  <c r="Y97" i="27"/>
  <c r="G97" i="27" s="1"/>
  <c r="Z1258" i="10"/>
  <c r="X1258" i="10"/>
  <c r="V1258" i="10"/>
  <c r="U1258" i="10"/>
  <c r="AA1258" i="10"/>
  <c r="AT1258" i="10"/>
  <c r="AR1258" i="10"/>
  <c r="AN1258" i="10"/>
  <c r="M1258" i="10"/>
  <c r="J1258" i="10"/>
  <c r="AS1258" i="10"/>
  <c r="AP1258" i="10"/>
  <c r="AK1258" i="10"/>
  <c r="AH1258" i="10"/>
  <c r="AD1258" i="10"/>
  <c r="AG1258" i="10"/>
  <c r="AQ1258" i="10"/>
  <c r="AB1258" i="10"/>
  <c r="AI1258" i="10"/>
  <c r="AF1258" i="10"/>
  <c r="AL1258" i="10"/>
  <c r="K1258" i="10"/>
  <c r="AE1258" i="10"/>
  <c r="L1258" i="10"/>
  <c r="W1258" i="10"/>
  <c r="AC1258" i="10"/>
  <c r="O1258" i="10"/>
  <c r="AO1258" i="10"/>
  <c r="AJ1258" i="10"/>
  <c r="R1258" i="10"/>
  <c r="S1258" i="10"/>
  <c r="T1258" i="10"/>
  <c r="N1258" i="10"/>
  <c r="Q1258" i="10"/>
  <c r="Y1258" i="10"/>
  <c r="AM1258" i="10"/>
  <c r="P1258" i="10"/>
  <c r="AK42" i="26"/>
  <c r="AW42" i="26"/>
  <c r="AY42" i="26" s="1"/>
  <c r="AX42" i="26" s="1"/>
  <c r="AG1260" i="10"/>
  <c r="Z1260" i="10"/>
  <c r="Q1260" i="10"/>
  <c r="N1260" i="10"/>
  <c r="AN1260" i="10"/>
  <c r="P1260" i="10"/>
  <c r="AL1260" i="10"/>
  <c r="X1260" i="10"/>
  <c r="O1260" i="10"/>
  <c r="AA1260" i="10"/>
  <c r="AI1260" i="10"/>
  <c r="K1260" i="10"/>
  <c r="AO1260" i="10"/>
  <c r="AT1260" i="10"/>
  <c r="T1260" i="10"/>
  <c r="M1260" i="10"/>
  <c r="R1260" i="10"/>
  <c r="V1260" i="10"/>
  <c r="L1260" i="10"/>
  <c r="AF1260" i="10"/>
  <c r="S1260" i="10"/>
  <c r="AC1260" i="10"/>
  <c r="AK1260" i="10"/>
  <c r="AE1260" i="10"/>
  <c r="AM1260" i="10"/>
  <c r="AQ1260" i="10"/>
  <c r="AR1260" i="10"/>
  <c r="J1260" i="10"/>
  <c r="AH1260" i="10"/>
  <c r="AS1260" i="10"/>
  <c r="U1260" i="10"/>
  <c r="AD1260" i="10"/>
  <c r="Y1260" i="10"/>
  <c r="AJ1260" i="10"/>
  <c r="W1260" i="10"/>
  <c r="AP1260" i="10"/>
  <c r="L1437" i="10"/>
  <c r="AQ1409" i="10"/>
  <c r="Q1279" i="10"/>
  <c r="N1279" i="10"/>
  <c r="AO1279" i="10"/>
  <c r="U1279" i="10"/>
  <c r="AP1279" i="10"/>
  <c r="S1279" i="10"/>
  <c r="P1279" i="10"/>
  <c r="AH1279" i="10"/>
  <c r="AO1334" i="10"/>
  <c r="S1334" i="10"/>
  <c r="M1334" i="10"/>
  <c r="R1334" i="10"/>
  <c r="U1390" i="10"/>
  <c r="AE1409" i="10"/>
  <c r="AA1409" i="10"/>
  <c r="AF1409" i="10"/>
  <c r="AH1409" i="10"/>
  <c r="AT1409" i="10"/>
  <c r="AI1409" i="10"/>
  <c r="AS1437" i="10"/>
  <c r="AE1437" i="10"/>
  <c r="AT1437" i="10"/>
  <c r="AC1437" i="10"/>
  <c r="AA1437" i="10"/>
  <c r="Z1437" i="10"/>
  <c r="J1437" i="10"/>
  <c r="AI1437" i="10"/>
  <c r="Z195" i="6"/>
  <c r="AG195" i="6" s="1"/>
  <c r="AE195" i="6"/>
  <c r="AC19" i="9"/>
  <c r="AH19" i="9" s="1"/>
  <c r="AF19" i="9"/>
  <c r="AP262" i="26"/>
  <c r="AO262" i="26" s="1"/>
  <c r="AC170" i="26"/>
  <c r="AL170" i="26"/>
  <c r="AL358" i="26"/>
  <c r="AC358" i="26"/>
  <c r="AK358" i="26"/>
  <c r="AT1216" i="10"/>
  <c r="G1216" i="10"/>
  <c r="AP1216" i="10"/>
  <c r="AK1216" i="10"/>
  <c r="K1216" i="10"/>
  <c r="AF1216" i="10"/>
  <c r="AD1216" i="10"/>
  <c r="M1216" i="10"/>
  <c r="J1216" i="10"/>
  <c r="AB1216" i="10"/>
  <c r="AH1216" i="10"/>
  <c r="AI1216" i="10"/>
  <c r="AM1216" i="10"/>
  <c r="U1216" i="10"/>
  <c r="O1216" i="10"/>
  <c r="V1216" i="10"/>
  <c r="S1216" i="10"/>
  <c r="AS1216" i="10"/>
  <c r="AR1216" i="10"/>
  <c r="Z1216" i="10"/>
  <c r="AO1216" i="10"/>
  <c r="X1216" i="10"/>
  <c r="W1216" i="10"/>
  <c r="R1216" i="10"/>
  <c r="AG1216" i="10"/>
  <c r="T1216" i="10"/>
  <c r="AA1216" i="10"/>
  <c r="L1216" i="10"/>
  <c r="AE1216" i="10"/>
  <c r="Q1216" i="10"/>
  <c r="AC1216" i="10"/>
  <c r="AQ1216" i="10"/>
  <c r="AL1216" i="10"/>
  <c r="P1216" i="10"/>
  <c r="AJ1216" i="10"/>
  <c r="AB358" i="26"/>
  <c r="AB445" i="26"/>
  <c r="Z445" i="26"/>
  <c r="AC112" i="26"/>
  <c r="AL112" i="26"/>
  <c r="AL135" i="26"/>
  <c r="AC135" i="26"/>
  <c r="AB493" i="26"/>
  <c r="Z493" i="26"/>
  <c r="AF1438" i="10"/>
  <c r="O1438" i="10"/>
  <c r="Z1438" i="10"/>
  <c r="AR1438" i="10"/>
  <c r="K1438" i="10"/>
  <c r="AT1438" i="10"/>
  <c r="AO1438" i="10"/>
  <c r="Y1438" i="10"/>
  <c r="AJ1438" i="10"/>
  <c r="AN1438" i="10"/>
  <c r="AH1438" i="10"/>
  <c r="Q1438" i="10"/>
  <c r="L1438" i="10"/>
  <c r="M1438" i="10"/>
  <c r="AB1438" i="10"/>
  <c r="AD1438" i="10"/>
  <c r="AA1438" i="10"/>
  <c r="R1438" i="10"/>
  <c r="AC1438" i="10"/>
  <c r="AG1438" i="10"/>
  <c r="AS1438" i="10"/>
  <c r="X1438" i="10"/>
  <c r="AL1438" i="10"/>
  <c r="U1438" i="10"/>
  <c r="AP1438" i="10"/>
  <c r="V1438" i="10"/>
  <c r="AM1438" i="10"/>
  <c r="T1438" i="10"/>
  <c r="N1438" i="10"/>
  <c r="AE1438" i="10"/>
  <c r="S1438" i="10"/>
  <c r="P1438" i="10"/>
  <c r="AI1438" i="10"/>
  <c r="AK1438" i="10"/>
  <c r="J1438" i="10"/>
  <c r="W1438" i="10"/>
  <c r="G1438" i="10"/>
  <c r="AQ1438" i="10"/>
  <c r="G1449" i="10"/>
  <c r="J1449" i="10"/>
  <c r="T1449" i="10"/>
  <c r="AP1449" i="10"/>
  <c r="AM1449" i="10"/>
  <c r="R1449" i="10"/>
  <c r="AT1449" i="10"/>
  <c r="AF1449" i="10"/>
  <c r="AW49" i="26"/>
  <c r="AK49" i="26"/>
  <c r="AV49" i="26" s="1"/>
  <c r="H105" i="6"/>
  <c r="AD105" i="6" s="1"/>
  <c r="H105" i="9"/>
  <c r="AD105" i="9" s="1"/>
  <c r="AY111" i="26"/>
  <c r="AX111" i="26" s="1"/>
  <c r="AF132" i="6"/>
  <c r="AC132" i="6"/>
  <c r="AH132" i="6" s="1"/>
  <c r="AK134" i="26"/>
  <c r="AW134" i="26"/>
  <c r="AY134" i="26" s="1"/>
  <c r="AX134" i="26" s="1"/>
  <c r="I137" i="9"/>
  <c r="I137" i="6"/>
  <c r="E455" i="6"/>
  <c r="E448" i="9"/>
  <c r="U466" i="26"/>
  <c r="AC466" i="26" s="1"/>
  <c r="AY140" i="26"/>
  <c r="AX140" i="26" s="1"/>
  <c r="I159" i="6"/>
  <c r="I159" i="9"/>
  <c r="G1529" i="10"/>
  <c r="Z1529" i="10"/>
  <c r="W1529" i="10"/>
  <c r="S1529" i="10"/>
  <c r="AL1529" i="10"/>
  <c r="V1529" i="10"/>
  <c r="AP1529" i="10"/>
  <c r="AM1529" i="10"/>
  <c r="X1529" i="10"/>
  <c r="O1529" i="10"/>
  <c r="N1529" i="10"/>
  <c r="AF1529" i="10"/>
  <c r="Y1529" i="10"/>
  <c r="AT1529" i="10"/>
  <c r="Q1529" i="10"/>
  <c r="AD1529" i="10"/>
  <c r="AR1529" i="10"/>
  <c r="AJ1529" i="10"/>
  <c r="AN1529" i="10"/>
  <c r="AI1529" i="10"/>
  <c r="AC1529" i="10"/>
  <c r="L1529" i="10"/>
  <c r="T1529" i="10"/>
  <c r="P1529" i="10"/>
  <c r="AQ1529" i="10"/>
  <c r="AS1529" i="10"/>
  <c r="AE1529" i="10"/>
  <c r="J1529" i="10"/>
  <c r="R1529" i="10"/>
  <c r="K1529" i="10"/>
  <c r="AO1529" i="10"/>
  <c r="AA1529" i="10"/>
  <c r="AK1529" i="10"/>
  <c r="AH1529" i="10"/>
  <c r="AB1529" i="10"/>
  <c r="M1529" i="10"/>
  <c r="AG1529" i="10"/>
  <c r="I345" i="9"/>
  <c r="I345" i="6"/>
  <c r="G1549" i="10"/>
  <c r="AG1549" i="10"/>
  <c r="AM1549" i="10"/>
  <c r="AD1549" i="10"/>
  <c r="X1549" i="10"/>
  <c r="P1549" i="10"/>
  <c r="Y1549" i="10"/>
  <c r="AC1549" i="10"/>
  <c r="AP1549" i="10"/>
  <c r="AA1549" i="10"/>
  <c r="M1549" i="10"/>
  <c r="AN1549" i="10"/>
  <c r="Z1549" i="10"/>
  <c r="O1549" i="10"/>
  <c r="W1549" i="10"/>
  <c r="AE1549" i="10"/>
  <c r="AL1549" i="10"/>
  <c r="AR1549" i="10"/>
  <c r="S1549" i="10"/>
  <c r="AI1549" i="10"/>
  <c r="AB1549" i="10"/>
  <c r="AK1549" i="10"/>
  <c r="K1549" i="10"/>
  <c r="AJ1549" i="10"/>
  <c r="AO1549" i="10"/>
  <c r="AQ1549" i="10"/>
  <c r="J1549" i="10"/>
  <c r="AH1549" i="10"/>
  <c r="L1549" i="10"/>
  <c r="AT1549" i="10"/>
  <c r="AS1549" i="10"/>
  <c r="T1549" i="10"/>
  <c r="Q1549" i="10"/>
  <c r="V1549" i="10"/>
  <c r="R1549" i="10"/>
  <c r="U1549" i="10"/>
  <c r="AF1549" i="10"/>
  <c r="N1549" i="10"/>
  <c r="AD1398" i="10"/>
  <c r="Z1398" i="10"/>
  <c r="T1398" i="10"/>
  <c r="AI1398" i="10"/>
  <c r="AB1398" i="10"/>
  <c r="K1449" i="10"/>
  <c r="X1449" i="10"/>
  <c r="AS1449" i="10"/>
  <c r="AA1449" i="10"/>
  <c r="V1449" i="10"/>
  <c r="AC1449" i="10"/>
  <c r="AD1449" i="10"/>
  <c r="AG1372" i="10"/>
  <c r="F173" i="6"/>
  <c r="AX72" i="26"/>
  <c r="AK140" i="26"/>
  <c r="H51" i="6"/>
  <c r="AS1460" i="10"/>
  <c r="K1460" i="10"/>
  <c r="J1460" i="10"/>
  <c r="L1460" i="10"/>
  <c r="AK1460" i="10"/>
  <c r="AA1460" i="10"/>
  <c r="AB1460" i="10"/>
  <c r="I47" i="9"/>
  <c r="AE414" i="26"/>
  <c r="U1529" i="10"/>
  <c r="AS1517" i="10"/>
  <c r="AJ1397" i="10"/>
  <c r="T1397" i="10"/>
  <c r="AI1406" i="10"/>
  <c r="AB1417" i="10"/>
  <c r="AK112" i="26"/>
  <c r="AU112" i="26" s="1"/>
  <c r="S112" i="26" s="1"/>
  <c r="R112" i="26" s="1"/>
  <c r="I112" i="9" s="1"/>
  <c r="AL53" i="26"/>
  <c r="AM53" i="26" s="1"/>
  <c r="Q53" i="26" s="1"/>
  <c r="F53" i="6" s="1"/>
  <c r="O1362" i="10"/>
  <c r="AS1362" i="10"/>
  <c r="AH1362" i="10"/>
  <c r="N1362" i="10"/>
  <c r="Q1362" i="10"/>
  <c r="AE1362" i="10"/>
  <c r="E507" i="6"/>
  <c r="Y380" i="27"/>
  <c r="G380" i="27" s="1"/>
  <c r="AQ1460" i="10"/>
  <c r="R1460" i="10"/>
  <c r="U517" i="26"/>
  <c r="H98" i="6"/>
  <c r="AB321" i="26"/>
  <c r="AB317" i="26"/>
  <c r="AD317" i="26" s="1"/>
  <c r="X1372" i="10"/>
  <c r="P1372" i="10"/>
  <c r="AO1372" i="10"/>
  <c r="AJ1372" i="10"/>
  <c r="Z1372" i="10"/>
  <c r="AH1372" i="10"/>
  <c r="AF1372" i="10"/>
  <c r="AL354" i="26"/>
  <c r="AK354" i="26"/>
  <c r="AU354" i="26" s="1"/>
  <c r="S354" i="26" s="1"/>
  <c r="R354" i="26" s="1"/>
  <c r="I354" i="6" s="1"/>
  <c r="AC354" i="26"/>
  <c r="AC210" i="26"/>
  <c r="AK210" i="26"/>
  <c r="AL210" i="26"/>
  <c r="P325" i="10"/>
  <c r="AI725" i="10"/>
  <c r="AT325" i="10"/>
  <c r="J725" i="10"/>
  <c r="AS325" i="10"/>
  <c r="X725" i="10"/>
  <c r="AH325" i="10"/>
  <c r="V725" i="10"/>
  <c r="T725" i="10"/>
  <c r="AF725" i="10"/>
  <c r="Y325" i="10"/>
  <c r="AL725" i="10"/>
  <c r="Z325" i="10"/>
  <c r="AJ725" i="10"/>
  <c r="AP725" i="10"/>
  <c r="AV325" i="10"/>
  <c r="AQ725" i="10"/>
  <c r="K325" i="10"/>
  <c r="AM325" i="10"/>
  <c r="AI325" i="10"/>
  <c r="M725" i="10"/>
  <c r="J325" i="10"/>
  <c r="AG325" i="10"/>
  <c r="AW725" i="10"/>
  <c r="S325" i="10"/>
  <c r="AA725" i="10"/>
  <c r="AE725" i="10"/>
  <c r="AX725" i="10"/>
  <c r="R725" i="10"/>
  <c r="M325" i="10"/>
  <c r="AA325" i="10"/>
  <c r="Z725" i="10"/>
  <c r="W725" i="10"/>
  <c r="AC725" i="10"/>
  <c r="Y145" i="27"/>
  <c r="G145" i="27" s="1"/>
  <c r="F145" i="6"/>
  <c r="AA145" i="6" s="1"/>
  <c r="F145" i="9"/>
  <c r="AC71" i="26"/>
  <c r="AB71" i="26"/>
  <c r="AL71" i="26"/>
  <c r="G1254" i="10"/>
  <c r="AO1254" i="10"/>
  <c r="O1254" i="10"/>
  <c r="AT1254" i="10"/>
  <c r="U1254" i="10"/>
  <c r="K1254" i="10"/>
  <c r="Z1254" i="10"/>
  <c r="AL1254" i="10"/>
  <c r="P1254" i="10"/>
  <c r="Q1254" i="10"/>
  <c r="AM1254" i="10"/>
  <c r="AJ1254" i="10"/>
  <c r="AA1254" i="10"/>
  <c r="W1254" i="10"/>
  <c r="AB1254" i="10"/>
  <c r="AI1254" i="10"/>
  <c r="AD1254" i="10"/>
  <c r="T1254" i="10"/>
  <c r="L1254" i="10"/>
  <c r="AS1254" i="10"/>
  <c r="AG1254" i="10"/>
  <c r="J1254" i="10"/>
  <c r="AQ1254" i="10"/>
  <c r="R1254" i="10"/>
  <c r="AK1254" i="10"/>
  <c r="AR1254" i="10"/>
  <c r="N1254" i="10"/>
  <c r="V1254" i="10"/>
  <c r="S1254" i="10"/>
  <c r="AN1254" i="10"/>
  <c r="AH1254" i="10"/>
  <c r="AF1254" i="10"/>
  <c r="AL223" i="26"/>
  <c r="AB223" i="26"/>
  <c r="AK223" i="26"/>
  <c r="AC223" i="26"/>
  <c r="G1232" i="10"/>
  <c r="AG1232" i="10"/>
  <c r="AH1232" i="10"/>
  <c r="AL1296" i="10"/>
  <c r="AB354" i="26"/>
  <c r="Z439" i="26"/>
  <c r="AB439" i="26"/>
  <c r="G1312" i="10"/>
  <c r="O1312" i="10"/>
  <c r="AE1312" i="10"/>
  <c r="AG1312" i="10"/>
  <c r="N1312" i="10"/>
  <c r="Q1312" i="10"/>
  <c r="AM1312" i="10"/>
  <c r="AC1312" i="10"/>
  <c r="W1312" i="10"/>
  <c r="AB1312" i="10"/>
  <c r="AP1312" i="10"/>
  <c r="U1312" i="10"/>
  <c r="Z1312" i="10"/>
  <c r="K1312" i="10"/>
  <c r="AA1312" i="10"/>
  <c r="R1312" i="10"/>
  <c r="J1312" i="10"/>
  <c r="L1312" i="10"/>
  <c r="AF1312" i="10"/>
  <c r="Y1312" i="10"/>
  <c r="S1312" i="10"/>
  <c r="AQ1312" i="10"/>
  <c r="M1312" i="10"/>
  <c r="AT1312" i="10"/>
  <c r="AL1312" i="10"/>
  <c r="AS1312" i="10"/>
  <c r="T1312" i="10"/>
  <c r="X1312" i="10"/>
  <c r="AI1312" i="10"/>
  <c r="AR1312" i="10"/>
  <c r="AH1312" i="10"/>
  <c r="AN1312" i="10"/>
  <c r="AK1312" i="10"/>
  <c r="P1312" i="10"/>
  <c r="V1312" i="10"/>
  <c r="AO1312" i="10"/>
  <c r="AD1312" i="10"/>
  <c r="AJ1312" i="10"/>
  <c r="AC122" i="26"/>
  <c r="AL122" i="26"/>
  <c r="AK122" i="26"/>
  <c r="W1350" i="10"/>
  <c r="G1350" i="10"/>
  <c r="AI1350" i="10"/>
  <c r="Z1350" i="10"/>
  <c r="U1350" i="10"/>
  <c r="AG1350" i="10"/>
  <c r="AD1350" i="10"/>
  <c r="AE1350" i="10"/>
  <c r="V1350" i="10"/>
  <c r="Q1350" i="10"/>
  <c r="AK1350" i="10"/>
  <c r="AR1350" i="10"/>
  <c r="AB1350" i="10"/>
  <c r="S1350" i="10"/>
  <c r="AF1350" i="10"/>
  <c r="Y1350" i="10"/>
  <c r="L1350" i="10"/>
  <c r="AM1350" i="10"/>
  <c r="R1350" i="10"/>
  <c r="M1350" i="10"/>
  <c r="AS1350" i="10"/>
  <c r="AH1350" i="10"/>
  <c r="K1350" i="10"/>
  <c r="AL162" i="26"/>
  <c r="AC162" i="26"/>
  <c r="AK162" i="26"/>
  <c r="AU162" i="26" s="1"/>
  <c r="S162" i="26" s="1"/>
  <c r="AL191" i="26"/>
  <c r="AC191" i="26"/>
  <c r="Z485" i="26"/>
  <c r="AB485" i="26"/>
  <c r="P1403" i="10"/>
  <c r="AT1403" i="10"/>
  <c r="AD1403" i="10"/>
  <c r="V1403" i="10"/>
  <c r="AG1403" i="10"/>
  <c r="M1403" i="10"/>
  <c r="S1403" i="10"/>
  <c r="AS1403" i="10"/>
  <c r="AK1403" i="10"/>
  <c r="R1403" i="10"/>
  <c r="L1403" i="10"/>
  <c r="AL1403" i="10"/>
  <c r="AR1403" i="10"/>
  <c r="AE1403" i="10"/>
  <c r="U1403" i="10"/>
  <c r="AP1403" i="10"/>
  <c r="AN1403" i="10"/>
  <c r="AB1403" i="10"/>
  <c r="Q1403" i="10"/>
  <c r="O1403" i="10"/>
  <c r="AA1403" i="10"/>
  <c r="G1403" i="10"/>
  <c r="J1403" i="10"/>
  <c r="AI1403" i="10"/>
  <c r="Y1403" i="10"/>
  <c r="AQ1403" i="10"/>
  <c r="K1403" i="10"/>
  <c r="X1403" i="10"/>
  <c r="T1403" i="10"/>
  <c r="AJ1403" i="10"/>
  <c r="W1403" i="10"/>
  <c r="AO1403" i="10"/>
  <c r="N1403" i="10"/>
  <c r="AC1403" i="10"/>
  <c r="Z510" i="26"/>
  <c r="AB510" i="26"/>
  <c r="G1226" i="10"/>
  <c r="AG1226" i="10"/>
  <c r="V1226" i="10"/>
  <c r="AC103" i="26"/>
  <c r="AD103" i="26" s="1"/>
  <c r="O103" i="26" s="1"/>
  <c r="AK103" i="26"/>
  <c r="AU103" i="26" s="1"/>
  <c r="S103" i="26" s="1"/>
  <c r="AL103" i="26"/>
  <c r="E451" i="6"/>
  <c r="E445" i="9"/>
  <c r="AH129" i="26"/>
  <c r="AG129" i="26" s="1"/>
  <c r="E453" i="6"/>
  <c r="U464" i="26"/>
  <c r="AW139" i="26"/>
  <c r="AY139" i="26" s="1"/>
  <c r="AX139" i="26" s="1"/>
  <c r="AK139" i="26"/>
  <c r="AH229" i="26"/>
  <c r="AG229" i="26" s="1"/>
  <c r="AY321" i="26"/>
  <c r="AX321" i="26" s="1"/>
  <c r="AC349" i="26"/>
  <c r="AL349" i="26"/>
  <c r="K1305" i="10"/>
  <c r="Z1305" i="10"/>
  <c r="N1559" i="10"/>
  <c r="J1559" i="10"/>
  <c r="AT1559" i="10"/>
  <c r="K1559" i="10"/>
  <c r="AF1559" i="10"/>
  <c r="AS1559" i="10"/>
  <c r="AJ1559" i="10"/>
  <c r="AP1559" i="10"/>
  <c r="AG1559" i="10"/>
  <c r="L1559" i="10"/>
  <c r="P1559" i="10"/>
  <c r="V1559" i="10"/>
  <c r="AB1559" i="10"/>
  <c r="AD1559" i="10"/>
  <c r="AO1559" i="10"/>
  <c r="AK1559" i="10"/>
  <c r="U1559" i="10"/>
  <c r="R1559" i="10"/>
  <c r="AR1559" i="10"/>
  <c r="S1559" i="10"/>
  <c r="W1559" i="10"/>
  <c r="AC1559" i="10"/>
  <c r="AM1559" i="10"/>
  <c r="Q1559" i="10"/>
  <c r="AN1559" i="10"/>
  <c r="Z1559" i="10"/>
  <c r="AH1559" i="10"/>
  <c r="O1559" i="10"/>
  <c r="AL1559" i="10"/>
  <c r="AI1559" i="10"/>
  <c r="Y1559" i="10"/>
  <c r="AA1559" i="10"/>
  <c r="AE1559" i="10"/>
  <c r="AQ1559" i="10"/>
  <c r="M1559" i="10"/>
  <c r="T1559" i="10"/>
  <c r="G1559" i="10"/>
  <c r="X1559" i="10"/>
  <c r="AN470" i="26"/>
  <c r="AP470" i="26" s="1"/>
  <c r="AO1226" i="10"/>
  <c r="AB1226" i="10"/>
  <c r="AK1226" i="10"/>
  <c r="AJ1226" i="10"/>
  <c r="AQ1226" i="10"/>
  <c r="Y1226" i="10"/>
  <c r="R1226" i="10"/>
  <c r="AL1226" i="10"/>
  <c r="AN1232" i="10"/>
  <c r="Z1232" i="10"/>
  <c r="AF1232" i="10"/>
  <c r="P1232" i="10"/>
  <c r="N1232" i="10"/>
  <c r="Y1232" i="10"/>
  <c r="AS1232" i="10"/>
  <c r="AR1232" i="10"/>
  <c r="AO1289" i="10"/>
  <c r="T1289" i="10"/>
  <c r="M1289" i="10"/>
  <c r="AJ1289" i="10"/>
  <c r="Y1289" i="10"/>
  <c r="J1289" i="10"/>
  <c r="AT1289" i="10"/>
  <c r="AK1289" i="10"/>
  <c r="AB1289" i="10"/>
  <c r="AJ1303" i="10"/>
  <c r="AC1303" i="10"/>
  <c r="AA1303" i="10"/>
  <c r="AD1303" i="10"/>
  <c r="Q1305" i="10"/>
  <c r="AF1305" i="10"/>
  <c r="AK1305" i="10"/>
  <c r="AC1305" i="10"/>
  <c r="M1305" i="10"/>
  <c r="AN1305" i="10"/>
  <c r="AR1305" i="10"/>
  <c r="AL1322" i="10"/>
  <c r="O1322" i="10"/>
  <c r="AN1322" i="10"/>
  <c r="AC1350" i="10"/>
  <c r="AL1350" i="10"/>
  <c r="AN1350" i="10"/>
  <c r="W1398" i="10"/>
  <c r="O1398" i="10"/>
  <c r="P1398" i="10"/>
  <c r="AL1398" i="10"/>
  <c r="U1413" i="10"/>
  <c r="Y1445" i="10"/>
  <c r="M1445" i="10"/>
  <c r="X1445" i="10"/>
  <c r="AB1449" i="10"/>
  <c r="AN1449" i="10"/>
  <c r="AL1449" i="10"/>
  <c r="U1449" i="10"/>
  <c r="AQ1449" i="10"/>
  <c r="AI1449" i="10"/>
  <c r="Y1449" i="10"/>
  <c r="AO1449" i="10"/>
  <c r="AB88" i="26"/>
  <c r="AH1543" i="10"/>
  <c r="S1543" i="10"/>
  <c r="AF1543" i="10"/>
  <c r="AQ1543" i="10"/>
  <c r="U1543" i="10"/>
  <c r="AD1543" i="10"/>
  <c r="Z1543" i="10"/>
  <c r="R1543" i="10"/>
  <c r="AN485" i="26"/>
  <c r="AP485" i="26" s="1"/>
  <c r="AN465" i="26"/>
  <c r="AP465" i="26" s="1"/>
  <c r="AK1372" i="10"/>
  <c r="T1372" i="10"/>
  <c r="AO155" i="26"/>
  <c r="AO316" i="26"/>
  <c r="AR1460" i="10"/>
  <c r="Z1460" i="10"/>
  <c r="N1460" i="10"/>
  <c r="AL1460" i="10"/>
  <c r="W1460" i="10"/>
  <c r="U1460" i="10"/>
  <c r="AJ1460" i="10"/>
  <c r="V1460" i="10"/>
  <c r="AO81" i="26"/>
  <c r="AB489" i="26"/>
  <c r="E503" i="6"/>
  <c r="Z1406" i="10"/>
  <c r="W1397" i="10"/>
  <c r="AA1517" i="10"/>
  <c r="AC1372" i="10"/>
  <c r="AP1372" i="10"/>
  <c r="E454" i="6"/>
  <c r="AB1362" i="10"/>
  <c r="AD1362" i="10"/>
  <c r="R1362" i="10"/>
  <c r="L1362" i="10"/>
  <c r="AP1362" i="10"/>
  <c r="AK54" i="26"/>
  <c r="AV54" i="26" s="1"/>
  <c r="I51" i="9"/>
  <c r="F380" i="9"/>
  <c r="AK191" i="26"/>
  <c r="AU191" i="26" s="1"/>
  <c r="S191" i="26" s="1"/>
  <c r="AE1460" i="10"/>
  <c r="S1460" i="10"/>
  <c r="AB168" i="26"/>
  <c r="AD168" i="26" s="1"/>
  <c r="AK89" i="26"/>
  <c r="AB170" i="26"/>
  <c r="AB509" i="26"/>
  <c r="W1372" i="10"/>
  <c r="AI1372" i="10"/>
  <c r="G1372" i="10"/>
  <c r="AE1372" i="10"/>
  <c r="AL1372" i="10"/>
  <c r="AM1372" i="10"/>
  <c r="AQ1372" i="10"/>
  <c r="AC59" i="26"/>
  <c r="AL59" i="26"/>
  <c r="AK59" i="26"/>
  <c r="F273" i="6"/>
  <c r="Y273" i="27"/>
  <c r="G273" i="27" s="1"/>
  <c r="F273" i="9"/>
  <c r="Z273" i="9" s="1"/>
  <c r="AA273" i="9" s="1"/>
  <c r="AE132" i="6"/>
  <c r="Z132" i="6"/>
  <c r="AG132" i="6" s="1"/>
  <c r="AC245" i="26"/>
  <c r="AK245" i="26"/>
  <c r="AB245" i="26"/>
  <c r="AL245" i="26"/>
  <c r="G159" i="6"/>
  <c r="BE159" i="26"/>
  <c r="G159" i="9"/>
  <c r="AT1423" i="10"/>
  <c r="U1423" i="10"/>
  <c r="G1423" i="10"/>
  <c r="AB1423" i="10"/>
  <c r="AC1423" i="10"/>
  <c r="L1423" i="10"/>
  <c r="Q1423" i="10"/>
  <c r="AO1423" i="10"/>
  <c r="X1423" i="10"/>
  <c r="AG1423" i="10"/>
  <c r="AL1423" i="10"/>
  <c r="M1423" i="10"/>
  <c r="AD1423" i="10"/>
  <c r="N1423" i="10"/>
  <c r="Y1423" i="10"/>
  <c r="T1423" i="10"/>
  <c r="AI1423" i="10"/>
  <c r="V1423" i="10"/>
  <c r="AA1423" i="10"/>
  <c r="AF1423" i="10"/>
  <c r="R1423" i="10"/>
  <c r="AN1423" i="10"/>
  <c r="O1423" i="10"/>
  <c r="P1423" i="10"/>
  <c r="AP1423" i="10"/>
  <c r="AH1423" i="10"/>
  <c r="J1423" i="10"/>
  <c r="AJ1423" i="10"/>
  <c r="Z1423" i="10"/>
  <c r="AM1423" i="10"/>
  <c r="S1423" i="10"/>
  <c r="AR1423" i="10"/>
  <c r="AS1423" i="10"/>
  <c r="K1423" i="10"/>
  <c r="AE1423" i="10"/>
  <c r="W1423" i="10"/>
  <c r="AQ1423" i="10"/>
  <c r="AK1423" i="10"/>
  <c r="AC107" i="26"/>
  <c r="AK107" i="26"/>
  <c r="AB107" i="26"/>
  <c r="AL107" i="26"/>
  <c r="Z465" i="26"/>
  <c r="AB465" i="26"/>
  <c r="AB469" i="26"/>
  <c r="Z469" i="26"/>
  <c r="AL172" i="26"/>
  <c r="AC172" i="26"/>
  <c r="AB481" i="26"/>
  <c r="Z481" i="26"/>
  <c r="AC198" i="26"/>
  <c r="AB198" i="26"/>
  <c r="AL198" i="26"/>
  <c r="AL213" i="26"/>
  <c r="AC213" i="26"/>
  <c r="AD213" i="26" s="1"/>
  <c r="S1424" i="10"/>
  <c r="AQ1424" i="10"/>
  <c r="AI1424" i="10"/>
  <c r="AP1424" i="10"/>
  <c r="AD1505" i="10"/>
  <c r="AH1505" i="10"/>
  <c r="AN1505" i="10"/>
  <c r="S1505" i="10"/>
  <c r="AI1505" i="10"/>
  <c r="Y1505" i="10"/>
  <c r="O1505" i="10"/>
  <c r="AK1505" i="10"/>
  <c r="AR1505" i="10"/>
  <c r="AS1505" i="10"/>
  <c r="AM1505" i="10"/>
  <c r="AJ1505" i="10"/>
  <c r="AT1505" i="10"/>
  <c r="V1505" i="10"/>
  <c r="T1505" i="10"/>
  <c r="N1505" i="10"/>
  <c r="AP1505" i="10"/>
  <c r="AG1505" i="10"/>
  <c r="AQ1505" i="10"/>
  <c r="AB1505" i="10"/>
  <c r="AE1505" i="10"/>
  <c r="J1505" i="10"/>
  <c r="AO1505" i="10"/>
  <c r="Z1505" i="10"/>
  <c r="AF1505" i="10"/>
  <c r="W1505" i="10"/>
  <c r="AC1505" i="10"/>
  <c r="L1505" i="10"/>
  <c r="AL1505" i="10"/>
  <c r="P1505" i="10"/>
  <c r="R1505" i="10"/>
  <c r="K1505" i="10"/>
  <c r="M1505" i="10"/>
  <c r="Q1505" i="10"/>
  <c r="X1505" i="10"/>
  <c r="G1505" i="10"/>
  <c r="AA1505" i="10"/>
  <c r="U1505" i="10"/>
  <c r="AK23" i="26"/>
  <c r="AV23" i="26" s="1"/>
  <c r="AW23" i="26"/>
  <c r="U425" i="26"/>
  <c r="E419" i="9"/>
  <c r="AQ1303" i="10"/>
  <c r="G1303" i="10"/>
  <c r="N1303" i="10"/>
  <c r="AB1303" i="10"/>
  <c r="AL1303" i="10"/>
  <c r="R1303" i="10"/>
  <c r="T1303" i="10"/>
  <c r="V1303" i="10"/>
  <c r="Q1303" i="10"/>
  <c r="AK1303" i="10"/>
  <c r="AI1303" i="10"/>
  <c r="AT1303" i="10"/>
  <c r="M1303" i="10"/>
  <c r="AR1303" i="10"/>
  <c r="AH1303" i="10"/>
  <c r="AN1303" i="10"/>
  <c r="AG1303" i="10"/>
  <c r="AO1303" i="10"/>
  <c r="Y1303" i="10"/>
  <c r="P1303" i="10"/>
  <c r="E446" i="6"/>
  <c r="E439" i="9"/>
  <c r="U455" i="26"/>
  <c r="AC455" i="26" s="1"/>
  <c r="AW127" i="26"/>
  <c r="AY127" i="26" s="1"/>
  <c r="AX127" i="26" s="1"/>
  <c r="AK127" i="26"/>
  <c r="AY128" i="26"/>
  <c r="AX128" i="26" s="1"/>
  <c r="AK135" i="26"/>
  <c r="AW135" i="26"/>
  <c r="AY135" i="26" s="1"/>
  <c r="AX135" i="26" s="1"/>
  <c r="H298" i="9"/>
  <c r="AD298" i="9" s="1"/>
  <c r="H298" i="6"/>
  <c r="AD298" i="6" s="1"/>
  <c r="AF323" i="6"/>
  <c r="AC323" i="6"/>
  <c r="AH323" i="6" s="1"/>
  <c r="Y332" i="27"/>
  <c r="G332" i="27" s="1"/>
  <c r="F332" i="9"/>
  <c r="F332" i="6"/>
  <c r="AA332" i="6" s="1"/>
  <c r="AL334" i="26"/>
  <c r="AC334" i="26"/>
  <c r="AK334" i="26"/>
  <c r="AL343" i="26"/>
  <c r="AC343" i="26"/>
  <c r="AC347" i="26"/>
  <c r="AK347" i="26"/>
  <c r="AU347" i="26" s="1"/>
  <c r="S347" i="26" s="1"/>
  <c r="R347" i="26" s="1"/>
  <c r="AL347" i="26"/>
  <c r="O1275" i="10"/>
  <c r="AE1275" i="10"/>
  <c r="AI1275" i="10"/>
  <c r="J1275" i="10"/>
  <c r="T1275" i="10"/>
  <c r="M1275" i="10"/>
  <c r="G1275" i="10"/>
  <c r="AA1275" i="10"/>
  <c r="V1275" i="10"/>
  <c r="AP1275" i="10"/>
  <c r="R1275" i="10"/>
  <c r="N1275" i="10"/>
  <c r="X1275" i="10"/>
  <c r="AQ1275" i="10"/>
  <c r="AL1275" i="10"/>
  <c r="AK1275" i="10"/>
  <c r="AG1275" i="10"/>
  <c r="AM1275" i="10"/>
  <c r="AT1275" i="10"/>
  <c r="S1275" i="10"/>
  <c r="P1275" i="10"/>
  <c r="K1275" i="10"/>
  <c r="AC1275" i="10"/>
  <c r="AF1275" i="10"/>
  <c r="AJ1275" i="10"/>
  <c r="AR1275" i="10"/>
  <c r="U1275" i="10"/>
  <c r="AH1275" i="10"/>
  <c r="AB1275" i="10"/>
  <c r="Q1275" i="10"/>
  <c r="Y1275" i="10"/>
  <c r="AN1275" i="10"/>
  <c r="W1275" i="10"/>
  <c r="AO1275" i="10"/>
  <c r="Z1275" i="10"/>
  <c r="AS1275" i="10"/>
  <c r="AD1275" i="10"/>
  <c r="AW379" i="26"/>
  <c r="AY379" i="26" s="1"/>
  <c r="AX379" i="26" s="1"/>
  <c r="AK379" i="26"/>
  <c r="AT468" i="26"/>
  <c r="K1226" i="10"/>
  <c r="AM1226" i="10"/>
  <c r="U1226" i="10"/>
  <c r="L1226" i="10"/>
  <c r="AA1226" i="10"/>
  <c r="AE1226" i="10"/>
  <c r="Q1226" i="10"/>
  <c r="O1226" i="10"/>
  <c r="AA1232" i="10"/>
  <c r="AE1232" i="10"/>
  <c r="Q1232" i="10"/>
  <c r="U1232" i="10"/>
  <c r="AI1232" i="10"/>
  <c r="K1232" i="10"/>
  <c r="AT1232" i="10"/>
  <c r="V1232" i="10"/>
  <c r="O1289" i="10"/>
  <c r="AE1289" i="10"/>
  <c r="AS1289" i="10"/>
  <c r="N1289" i="10"/>
  <c r="AL1289" i="10"/>
  <c r="AH1289" i="10"/>
  <c r="U1289" i="10"/>
  <c r="AC1289" i="10"/>
  <c r="P1289" i="10"/>
  <c r="O1303" i="10"/>
  <c r="AS1303" i="10"/>
  <c r="W1303" i="10"/>
  <c r="L1303" i="10"/>
  <c r="AI1305" i="10"/>
  <c r="AQ1305" i="10"/>
  <c r="R1305" i="10"/>
  <c r="AG1305" i="10"/>
  <c r="AJ1305" i="10"/>
  <c r="S1305" i="10"/>
  <c r="U1305" i="10"/>
  <c r="AB1305" i="10"/>
  <c r="AT1322" i="10"/>
  <c r="AF1322" i="10"/>
  <c r="X1350" i="10"/>
  <c r="AT1350" i="10"/>
  <c r="T1350" i="10"/>
  <c r="AQ1350" i="10"/>
  <c r="AA1372" i="10"/>
  <c r="L1398" i="10"/>
  <c r="Q1398" i="10"/>
  <c r="AP1398" i="10"/>
  <c r="R1398" i="10"/>
  <c r="U1424" i="10"/>
  <c r="U1445" i="10"/>
  <c r="AE1445" i="10"/>
  <c r="N1449" i="10"/>
  <c r="Q1449" i="10"/>
  <c r="AE1449" i="10"/>
  <c r="AG1449" i="10"/>
  <c r="AH1449" i="10"/>
  <c r="AR1449" i="10"/>
  <c r="O1449" i="10"/>
  <c r="AK1449" i="10"/>
  <c r="AK343" i="26"/>
  <c r="AV343" i="26" s="1"/>
  <c r="AA1543" i="10"/>
  <c r="AP1543" i="10"/>
  <c r="AK1543" i="10"/>
  <c r="AG1543" i="10"/>
  <c r="AB1543" i="10"/>
  <c r="M1543" i="10"/>
  <c r="AT1543" i="10"/>
  <c r="T1543" i="10"/>
  <c r="AD444" i="26"/>
  <c r="AE444" i="26"/>
  <c r="AB343" i="26"/>
  <c r="AD1228" i="10"/>
  <c r="W323" i="27"/>
  <c r="E323" i="27" s="1"/>
  <c r="F20" i="6"/>
  <c r="AA20" i="6" s="1"/>
  <c r="F20" i="9"/>
  <c r="Y20" i="27"/>
  <c r="G20" i="27" s="1"/>
  <c r="X1397" i="10"/>
  <c r="AI1397" i="10"/>
  <c r="Y1397" i="10"/>
  <c r="AH1397" i="10"/>
  <c r="AF1397" i="10"/>
  <c r="AT1397" i="10"/>
  <c r="V1397" i="10"/>
  <c r="AL1397" i="10"/>
  <c r="AK1397" i="10"/>
  <c r="L1397" i="10"/>
  <c r="S1397" i="10"/>
  <c r="AO1397" i="10"/>
  <c r="AR1397" i="10"/>
  <c r="O1397" i="10"/>
  <c r="G1397" i="10"/>
  <c r="Q1397" i="10"/>
  <c r="AE1397" i="10"/>
  <c r="AD1397" i="10"/>
  <c r="M1397" i="10"/>
  <c r="AP1397" i="10"/>
  <c r="AG1397" i="10"/>
  <c r="AA1397" i="10"/>
  <c r="U1397" i="10"/>
  <c r="Z1397" i="10"/>
  <c r="AC1397" i="10"/>
  <c r="R1397" i="10"/>
  <c r="AS1397" i="10"/>
  <c r="P1397" i="10"/>
  <c r="N1397" i="10"/>
  <c r="J1397" i="10"/>
  <c r="AB1397" i="10"/>
  <c r="AC32" i="26"/>
  <c r="AB32" i="26"/>
  <c r="AB460" i="26"/>
  <c r="Z460" i="26"/>
  <c r="AI1362" i="10"/>
  <c r="AN1362" i="10"/>
  <c r="T1362" i="10"/>
  <c r="AF1362" i="10"/>
  <c r="U1362" i="10"/>
  <c r="W1362" i="10"/>
  <c r="Z1362" i="10"/>
  <c r="X1362" i="10"/>
  <c r="AC1362" i="10"/>
  <c r="K1362" i="10"/>
  <c r="G1362" i="10"/>
  <c r="AO1362" i="10"/>
  <c r="G1398" i="10"/>
  <c r="AF1398" i="10"/>
  <c r="AQ1398" i="10"/>
  <c r="AS1398" i="10"/>
  <c r="S1398" i="10"/>
  <c r="AK1398" i="10"/>
  <c r="N1398" i="10"/>
  <c r="Y1398" i="10"/>
  <c r="AE1398" i="10"/>
  <c r="AA1398" i="10"/>
  <c r="AG1398" i="10"/>
  <c r="AC1398" i="10"/>
  <c r="K1398" i="10"/>
  <c r="AT1398" i="10"/>
  <c r="AO1398" i="10"/>
  <c r="AN1398" i="10"/>
  <c r="U1398" i="10"/>
  <c r="J1398" i="10"/>
  <c r="X1398" i="10"/>
  <c r="AL22" i="26"/>
  <c r="AC22" i="26"/>
  <c r="AK22" i="26"/>
  <c r="AU22" i="26" s="1"/>
  <c r="S22" i="26" s="1"/>
  <c r="AC26" i="26"/>
  <c r="AL26" i="26"/>
  <c r="AK48" i="26"/>
  <c r="AW48" i="26"/>
  <c r="U458" i="26"/>
  <c r="AC458" i="26" s="1"/>
  <c r="BE458" i="26" s="1"/>
  <c r="U1372" i="10"/>
  <c r="L1372" i="10"/>
  <c r="AM1460" i="10"/>
  <c r="O1460" i="10"/>
  <c r="AT1460" i="10"/>
  <c r="AC1460" i="10"/>
  <c r="AI1460" i="10"/>
  <c r="AG1460" i="10"/>
  <c r="Q1460" i="10"/>
  <c r="M1460" i="10"/>
  <c r="AG298" i="26"/>
  <c r="N1517" i="10"/>
  <c r="L1517" i="10"/>
  <c r="AN1372" i="10"/>
  <c r="K1372" i="10"/>
  <c r="Y1216" i="10"/>
  <c r="AK90" i="26"/>
  <c r="AU90" i="26" s="1"/>
  <c r="S90" i="26" s="1"/>
  <c r="AC53" i="26"/>
  <c r="Y1362" i="10"/>
  <c r="AG1362" i="10"/>
  <c r="AK1362" i="10"/>
  <c r="AJ1362" i="10"/>
  <c r="M1362" i="10"/>
  <c r="AL1362" i="10"/>
  <c r="AA1362" i="10"/>
  <c r="AK296" i="26"/>
  <c r="AL89" i="26"/>
  <c r="V1372" i="10"/>
  <c r="R1372" i="10"/>
  <c r="S1372" i="10"/>
  <c r="J1372" i="10"/>
  <c r="AT1372" i="10"/>
  <c r="AS1372" i="10"/>
  <c r="AC291" i="26"/>
  <c r="AK291" i="26"/>
  <c r="AU291" i="26" s="1"/>
  <c r="S291" i="26" s="1"/>
  <c r="AC322" i="26"/>
  <c r="AB322" i="26"/>
  <c r="Y345" i="27"/>
  <c r="G345" i="27" s="1"/>
  <c r="F345" i="6"/>
  <c r="AA345" i="6" s="1"/>
  <c r="F345" i="9"/>
  <c r="Z415" i="26"/>
  <c r="AC415" i="26" s="1"/>
  <c r="BE415" i="26" s="1"/>
  <c r="AB415" i="26"/>
  <c r="AL197" i="26"/>
  <c r="AK197" i="26"/>
  <c r="AC197" i="26"/>
  <c r="Q1296" i="10"/>
  <c r="AA1296" i="10"/>
  <c r="AB1296" i="10"/>
  <c r="Y1296" i="10"/>
  <c r="AJ1296" i="10"/>
  <c r="O1296" i="10"/>
  <c r="AP1296" i="10"/>
  <c r="AH1296" i="10"/>
  <c r="U1296" i="10"/>
  <c r="AI1296" i="10"/>
  <c r="AG1296" i="10"/>
  <c r="V1296" i="10"/>
  <c r="AS1296" i="10"/>
  <c r="AT1296" i="10"/>
  <c r="AK1296" i="10"/>
  <c r="T1296" i="10"/>
  <c r="R1296" i="10"/>
  <c r="M1296" i="10"/>
  <c r="S1296" i="10"/>
  <c r="N1296" i="10"/>
  <c r="AR1296" i="10"/>
  <c r="AQ1296" i="10"/>
  <c r="AO1296" i="10"/>
  <c r="AD1296" i="10"/>
  <c r="W1296" i="10"/>
  <c r="AE1296" i="10"/>
  <c r="X1296" i="10"/>
  <c r="AN1296" i="10"/>
  <c r="P1296" i="10"/>
  <c r="AC1296" i="10"/>
  <c r="AN1397" i="10"/>
  <c r="AE1307" i="10"/>
  <c r="AL1307" i="10"/>
  <c r="AJ1307" i="10"/>
  <c r="AB1307" i="10"/>
  <c r="AC1307" i="10"/>
  <c r="AG1307" i="10"/>
  <c r="M1307" i="10"/>
  <c r="Z1307" i="10"/>
  <c r="AT1307" i="10"/>
  <c r="W1307" i="10"/>
  <c r="Y1307" i="10"/>
  <c r="AP1307" i="10"/>
  <c r="AS1307" i="10"/>
  <c r="P1307" i="10"/>
  <c r="AI1307" i="10"/>
  <c r="AR1307" i="10"/>
  <c r="AQ1307" i="10"/>
  <c r="G1307" i="10"/>
  <c r="AA1307" i="10"/>
  <c r="L1307" i="10"/>
  <c r="Q1307" i="10"/>
  <c r="N1307" i="10"/>
  <c r="AF1307" i="10"/>
  <c r="AO1307" i="10"/>
  <c r="K1307" i="10"/>
  <c r="AK1307" i="10"/>
  <c r="R1307" i="10"/>
  <c r="U1307" i="10"/>
  <c r="V1307" i="10"/>
  <c r="AH1307" i="10"/>
  <c r="T1307" i="10"/>
  <c r="AM1307" i="10"/>
  <c r="O1307" i="10"/>
  <c r="J1307" i="10"/>
  <c r="X1307" i="10"/>
  <c r="AN1307" i="10"/>
  <c r="S1307" i="10"/>
  <c r="AD1307" i="10"/>
  <c r="G1322" i="10"/>
  <c r="AI1322" i="10"/>
  <c r="AQ1322" i="10"/>
  <c r="AB1322" i="10"/>
  <c r="AO1322" i="10"/>
  <c r="N1322" i="10"/>
  <c r="W1322" i="10"/>
  <c r="AD1322" i="10"/>
  <c r="J1322" i="10"/>
  <c r="AG1322" i="10"/>
  <c r="M1322" i="10"/>
  <c r="X1322" i="10"/>
  <c r="T1322" i="10"/>
  <c r="Z1322" i="10"/>
  <c r="AR1322" i="10"/>
  <c r="AA1335" i="10"/>
  <c r="K1335" i="10"/>
  <c r="Z474" i="26"/>
  <c r="AB474" i="26"/>
  <c r="Z477" i="26"/>
  <c r="AB477" i="26"/>
  <c r="N1391" i="10"/>
  <c r="AO1391" i="10"/>
  <c r="AG1391" i="10"/>
  <c r="S1391" i="10"/>
  <c r="G1391" i="10"/>
  <c r="AC1391" i="10"/>
  <c r="AS1391" i="10"/>
  <c r="V1391" i="10"/>
  <c r="AF1391" i="10"/>
  <c r="U1391" i="10"/>
  <c r="AI1391" i="10"/>
  <c r="AM1391" i="10"/>
  <c r="L1391" i="10"/>
  <c r="AE1391" i="10"/>
  <c r="K1391" i="10"/>
  <c r="X1391" i="10"/>
  <c r="P1391" i="10"/>
  <c r="AK1391" i="10"/>
  <c r="AQ1391" i="10"/>
  <c r="AJ1391" i="10"/>
  <c r="AH1391" i="10"/>
  <c r="Z1391" i="10"/>
  <c r="Q1391" i="10"/>
  <c r="AP1391" i="10"/>
  <c r="AA1413" i="10"/>
  <c r="T1413" i="10"/>
  <c r="M1413" i="10"/>
  <c r="AL224" i="26"/>
  <c r="AK224" i="26"/>
  <c r="AU224" i="26" s="1"/>
  <c r="S224" i="26" s="1"/>
  <c r="AC224" i="26"/>
  <c r="AR1445" i="10"/>
  <c r="AN1445" i="10"/>
  <c r="P1445" i="10"/>
  <c r="AH1445" i="10"/>
  <c r="W1445" i="10"/>
  <c r="AK1445" i="10"/>
  <c r="R1445" i="10"/>
  <c r="AO1445" i="10"/>
  <c r="AD1445" i="10"/>
  <c r="AA1445" i="10"/>
  <c r="AT1445" i="10"/>
  <c r="AB516" i="26"/>
  <c r="Z516" i="26"/>
  <c r="H45" i="6"/>
  <c r="AD45" i="6" s="1"/>
  <c r="H45" i="9"/>
  <c r="AD45" i="9" s="1"/>
  <c r="AH86" i="26"/>
  <c r="AG86" i="26" s="1"/>
  <c r="F98" i="6"/>
  <c r="AA98" i="6" s="1"/>
  <c r="F98" i="9"/>
  <c r="Y98" i="27"/>
  <c r="G98" i="27" s="1"/>
  <c r="AB112" i="26"/>
  <c r="AB135" i="26"/>
  <c r="AW326" i="26"/>
  <c r="AK326" i="26"/>
  <c r="AB329" i="26"/>
  <c r="AC329" i="26"/>
  <c r="AK329" i="26"/>
  <c r="AL329" i="26"/>
  <c r="H332" i="6"/>
  <c r="AD332" i="6" s="1"/>
  <c r="H332" i="9"/>
  <c r="AD332" i="9" s="1"/>
  <c r="G1534" i="10"/>
  <c r="L1534" i="10"/>
  <c r="AK1534" i="10"/>
  <c r="V1534" i="10"/>
  <c r="M1534" i="10"/>
  <c r="J1534" i="10"/>
  <c r="AI1534" i="10"/>
  <c r="AG1534" i="10"/>
  <c r="AH1534" i="10"/>
  <c r="AM1534" i="10"/>
  <c r="T1534" i="10"/>
  <c r="U1534" i="10"/>
  <c r="AQ1534" i="10"/>
  <c r="AB1534" i="10"/>
  <c r="O1534" i="10"/>
  <c r="AN1534" i="10"/>
  <c r="AP1534" i="10"/>
  <c r="P1534" i="10"/>
  <c r="W1534" i="10"/>
  <c r="K1534" i="10"/>
  <c r="AL1534" i="10"/>
  <c r="Z1534" i="10"/>
  <c r="AD1534" i="10"/>
  <c r="AT1534" i="10"/>
  <c r="AF1534" i="10"/>
  <c r="AS1534" i="10"/>
  <c r="Q1534" i="10"/>
  <c r="AA1534" i="10"/>
  <c r="N1534" i="10"/>
  <c r="Y1534" i="10"/>
  <c r="AR1534" i="10"/>
  <c r="R1534" i="10"/>
  <c r="AO1534" i="10"/>
  <c r="X1534" i="10"/>
  <c r="AC1534" i="10"/>
  <c r="AJ1534" i="10"/>
  <c r="AE1534" i="10"/>
  <c r="S1534" i="10"/>
  <c r="AK340" i="26"/>
  <c r="AW340" i="26"/>
  <c r="AH341" i="26"/>
  <c r="AG341" i="26" s="1"/>
  <c r="G1543" i="10"/>
  <c r="AO1543" i="10"/>
  <c r="N1543" i="10"/>
  <c r="AE1543" i="10"/>
  <c r="K1543" i="10"/>
  <c r="Q1547" i="10"/>
  <c r="AK1547" i="10"/>
  <c r="X1547" i="10"/>
  <c r="AJ1547" i="10"/>
  <c r="M1547" i="10"/>
  <c r="K1547" i="10"/>
  <c r="AT1547" i="10"/>
  <c r="Z1547" i="10"/>
  <c r="O1547" i="10"/>
  <c r="L1547" i="10"/>
  <c r="N1547" i="10"/>
  <c r="AE1547" i="10"/>
  <c r="P1547" i="10"/>
  <c r="AP1547" i="10"/>
  <c r="AN1547" i="10"/>
  <c r="AF1547" i="10"/>
  <c r="AL1547" i="10"/>
  <c r="S1547" i="10"/>
  <c r="W1547" i="10"/>
  <c r="J1547" i="10"/>
  <c r="AI1547" i="10"/>
  <c r="AM1547" i="10"/>
  <c r="AA1547" i="10"/>
  <c r="AS1547" i="10"/>
  <c r="AQ1547" i="10"/>
  <c r="Y1547" i="10"/>
  <c r="U1547" i="10"/>
  <c r="AR1547" i="10"/>
  <c r="R1547" i="10"/>
  <c r="AO1547" i="10"/>
  <c r="AG1547" i="10"/>
  <c r="AC1547" i="10"/>
  <c r="AB1547" i="10"/>
  <c r="T1547" i="10"/>
  <c r="AD1547" i="10"/>
  <c r="AH1547" i="10"/>
  <c r="AB105" i="26"/>
  <c r="AD105" i="26" s="1"/>
  <c r="G360" i="10"/>
  <c r="BD360" i="26"/>
  <c r="N1226" i="10"/>
  <c r="AT1226" i="10"/>
  <c r="AC1226" i="10"/>
  <c r="AH1226" i="10"/>
  <c r="M1226" i="10"/>
  <c r="AD1226" i="10"/>
  <c r="AS1226" i="10"/>
  <c r="Z1226" i="10"/>
  <c r="X1232" i="10"/>
  <c r="L1232" i="10"/>
  <c r="S1232" i="10"/>
  <c r="T1232" i="10"/>
  <c r="O1232" i="10"/>
  <c r="AO1232" i="10"/>
  <c r="AL1232" i="10"/>
  <c r="AG1289" i="10"/>
  <c r="V1289" i="10"/>
  <c r="K1289" i="10"/>
  <c r="AM1289" i="10"/>
  <c r="Z1289" i="10"/>
  <c r="X1289" i="10"/>
  <c r="AQ1289" i="10"/>
  <c r="Q1289" i="10"/>
  <c r="U1303" i="10"/>
  <c r="AM1303" i="10"/>
  <c r="AP1303" i="10"/>
  <c r="J1303" i="10"/>
  <c r="AA1305" i="10"/>
  <c r="AH1305" i="10"/>
  <c r="AO1305" i="10"/>
  <c r="Y1305" i="10"/>
  <c r="AM1305" i="10"/>
  <c r="AL1305" i="10"/>
  <c r="W1305" i="10"/>
  <c r="AH1322" i="10"/>
  <c r="AP1322" i="10"/>
  <c r="K1322" i="10"/>
  <c r="AA1322" i="10"/>
  <c r="AA1350" i="10"/>
  <c r="P1350" i="10"/>
  <c r="N1350" i="10"/>
  <c r="J1350" i="10"/>
  <c r="AH1398" i="10"/>
  <c r="V1398" i="10"/>
  <c r="AJ1398" i="10"/>
  <c r="AR1398" i="10"/>
  <c r="M1398" i="10"/>
  <c r="AP1413" i="10"/>
  <c r="O1413" i="10"/>
  <c r="AL1424" i="10"/>
  <c r="AE1424" i="10"/>
  <c r="K1445" i="10"/>
  <c r="AB1445" i="10"/>
  <c r="AS1445" i="10"/>
  <c r="Z1449" i="10"/>
  <c r="L1449" i="10"/>
  <c r="P1449" i="10"/>
  <c r="AJ1449" i="10"/>
  <c r="S1449" i="10"/>
  <c r="M1449" i="10"/>
  <c r="W1449" i="10"/>
  <c r="H94" i="9"/>
  <c r="R94" i="26"/>
  <c r="H94" i="6"/>
  <c r="G308" i="9"/>
  <c r="BE308" i="26"/>
  <c r="G308" i="6"/>
  <c r="BD76" i="26"/>
  <c r="G76" i="10"/>
  <c r="AB224" i="26"/>
  <c r="AL1543" i="10"/>
  <c r="AR1543" i="10"/>
  <c r="V1543" i="10"/>
  <c r="AJ1543" i="10"/>
  <c r="L1543" i="10"/>
  <c r="W1543" i="10"/>
  <c r="Y1543" i="10"/>
  <c r="O1543" i="10"/>
  <c r="G302" i="9"/>
  <c r="G302" i="6"/>
  <c r="BE302" i="26"/>
  <c r="BE318" i="26"/>
  <c r="G318" i="6"/>
  <c r="G318" i="9"/>
  <c r="AK170" i="26"/>
  <c r="F137" i="6"/>
  <c r="AA137" i="6" s="1"/>
  <c r="Y137" i="27"/>
  <c r="G137" i="27" s="1"/>
  <c r="F137" i="9"/>
  <c r="AC81" i="26"/>
  <c r="AX349" i="26"/>
  <c r="F235" i="6"/>
  <c r="AE1272" i="10"/>
  <c r="U1320" i="10"/>
  <c r="AG1299" i="10"/>
  <c r="AS1278" i="10"/>
  <c r="Q1278" i="10"/>
  <c r="U1278" i="10"/>
  <c r="AX280" i="26"/>
  <c r="F141" i="6"/>
  <c r="AC18" i="26"/>
  <c r="AL18" i="26"/>
  <c r="AL330" i="26"/>
  <c r="AC330" i="26"/>
  <c r="AB330" i="26"/>
  <c r="AL31" i="26"/>
  <c r="AC31" i="26"/>
  <c r="AK31" i="26"/>
  <c r="G1320" i="10"/>
  <c r="AC293" i="26"/>
  <c r="AL293" i="26"/>
  <c r="AK293" i="26"/>
  <c r="BE299" i="26"/>
  <c r="G299" i="9"/>
  <c r="G299" i="6"/>
  <c r="AE97" i="6"/>
  <c r="Z97" i="6"/>
  <c r="AG97" i="6" s="1"/>
  <c r="AB81" i="26"/>
  <c r="AP258" i="26"/>
  <c r="AO258" i="26" s="1"/>
  <c r="Z434" i="26"/>
  <c r="AC434" i="26" s="1"/>
  <c r="AB434" i="26"/>
  <c r="M1291" i="10"/>
  <c r="AB1291" i="10"/>
  <c r="O1291" i="10"/>
  <c r="AT1291" i="10"/>
  <c r="J1291" i="10"/>
  <c r="AD1291" i="10"/>
  <c r="AQ1291" i="10"/>
  <c r="L1291" i="10"/>
  <c r="G1291" i="10"/>
  <c r="V1291" i="10"/>
  <c r="AE1291" i="10"/>
  <c r="AK1291" i="10"/>
  <c r="AM1291" i="10"/>
  <c r="AO1291" i="10"/>
  <c r="AJ1291" i="10"/>
  <c r="Z1291" i="10"/>
  <c r="AH1291" i="10"/>
  <c r="P1291" i="10"/>
  <c r="X1291" i="10"/>
  <c r="AG1291" i="10"/>
  <c r="AN1291" i="10"/>
  <c r="N1291" i="10"/>
  <c r="AA1291" i="10"/>
  <c r="Q1291" i="10"/>
  <c r="T1291" i="10"/>
  <c r="AC1291" i="10"/>
  <c r="AS1291" i="10"/>
  <c r="AL1291" i="10"/>
  <c r="S1291" i="10"/>
  <c r="AP1291" i="10"/>
  <c r="W1291" i="10"/>
  <c r="U1291" i="10"/>
  <c r="AR1291" i="10"/>
  <c r="AF1291" i="10"/>
  <c r="R1291" i="10"/>
  <c r="Y1291" i="10"/>
  <c r="AB527" i="26"/>
  <c r="Z527" i="26"/>
  <c r="AL321" i="26"/>
  <c r="AC321" i="26"/>
  <c r="AH16" i="26"/>
  <c r="AG16" i="26" s="1"/>
  <c r="AK57" i="26"/>
  <c r="AV57" i="26" s="1"/>
  <c r="AW57" i="26"/>
  <c r="U428" i="26"/>
  <c r="AC428" i="26" s="1"/>
  <c r="E422" i="9"/>
  <c r="E424" i="6"/>
  <c r="AL72" i="26"/>
  <c r="AC72" i="26"/>
  <c r="H119" i="6"/>
  <c r="AD119" i="6" s="1"/>
  <c r="H119" i="9"/>
  <c r="AD119" i="9" s="1"/>
  <c r="AW190" i="26"/>
  <c r="AK190" i="26"/>
  <c r="AV190" i="26" s="1"/>
  <c r="AP209" i="26"/>
  <c r="AO209" i="26" s="1"/>
  <c r="H242" i="9"/>
  <c r="AD242" i="9" s="1"/>
  <c r="H242" i="6"/>
  <c r="AD242" i="6" s="1"/>
  <c r="AC260" i="26"/>
  <c r="AE260" i="26" s="1"/>
  <c r="AL260" i="26"/>
  <c r="AQ260" i="26" s="1"/>
  <c r="AR260" i="26" s="1"/>
  <c r="AT260" i="26" s="1"/>
  <c r="AS260" i="26" s="1"/>
  <c r="AH262" i="26"/>
  <c r="AG262" i="26" s="1"/>
  <c r="AK279" i="26"/>
  <c r="AV279" i="26" s="1"/>
  <c r="AW279" i="26"/>
  <c r="AY279" i="26" s="1"/>
  <c r="AX279" i="26" s="1"/>
  <c r="Y1483" i="10"/>
  <c r="AH1483" i="10"/>
  <c r="AM1483" i="10"/>
  <c r="AN1483" i="10"/>
  <c r="AQ1483" i="10"/>
  <c r="AE1483" i="10"/>
  <c r="X1483" i="10"/>
  <c r="AF1483" i="10"/>
  <c r="Q1483" i="10"/>
  <c r="AL1483" i="10"/>
  <c r="Z1483" i="10"/>
  <c r="R1483" i="10"/>
  <c r="W1483" i="10"/>
  <c r="O1483" i="10"/>
  <c r="AB1483" i="10"/>
  <c r="T1483" i="10"/>
  <c r="N1483" i="10"/>
  <c r="P1483" i="10"/>
  <c r="AC1483" i="10"/>
  <c r="AO1483" i="10"/>
  <c r="AR1483" i="10"/>
  <c r="AI1483" i="10"/>
  <c r="AA1483" i="10"/>
  <c r="AG1483" i="10"/>
  <c r="L1483" i="10"/>
  <c r="V1483" i="10"/>
  <c r="K1483" i="10"/>
  <c r="G1483" i="10"/>
  <c r="J1483" i="10"/>
  <c r="AS1483" i="10"/>
  <c r="AK1483" i="10"/>
  <c r="AJ1483" i="10"/>
  <c r="AD1483" i="10"/>
  <c r="AT1483" i="10"/>
  <c r="U1483" i="10"/>
  <c r="S1483" i="10"/>
  <c r="AP1483" i="10"/>
  <c r="M1483" i="10"/>
  <c r="AH284" i="26"/>
  <c r="AG284" i="26" s="1"/>
  <c r="AH294" i="26"/>
  <c r="AG294" i="26" s="1"/>
  <c r="AC235" i="26"/>
  <c r="AB235" i="26"/>
  <c r="AQ1511" i="10"/>
  <c r="AL1511" i="10"/>
  <c r="AD1511" i="10"/>
  <c r="V1511" i="10"/>
  <c r="AT1511" i="10"/>
  <c r="AI1511" i="10"/>
  <c r="AN1511" i="10"/>
  <c r="O1511" i="10"/>
  <c r="M1511" i="10"/>
  <c r="X1511" i="10"/>
  <c r="AR1511" i="10"/>
  <c r="Z1511" i="10"/>
  <c r="AE1511" i="10"/>
  <c r="J1511" i="10"/>
  <c r="N1511" i="10"/>
  <c r="R1511" i="10"/>
  <c r="AC1511" i="10"/>
  <c r="AP1511" i="10"/>
  <c r="Y1511" i="10"/>
  <c r="AK1511" i="10"/>
  <c r="AG1511" i="10"/>
  <c r="U1511" i="10"/>
  <c r="AM1511" i="10"/>
  <c r="W1511" i="10"/>
  <c r="AA1511" i="10"/>
  <c r="P1511" i="10"/>
  <c r="AS1511" i="10"/>
  <c r="AO1511" i="10"/>
  <c r="AH1511" i="10"/>
  <c r="K1511" i="10"/>
  <c r="AF1511" i="10"/>
  <c r="S1511" i="10"/>
  <c r="G1511" i="10"/>
  <c r="L1511" i="10"/>
  <c r="Q1511" i="10"/>
  <c r="AJ1511" i="10"/>
  <c r="AB1511" i="10"/>
  <c r="T1511" i="10"/>
  <c r="Y1517" i="10"/>
  <c r="G1517" i="10"/>
  <c r="R1517" i="10"/>
  <c r="X1517" i="10"/>
  <c r="AM1517" i="10"/>
  <c r="U1517" i="10"/>
  <c r="AR1517" i="10"/>
  <c r="AB1517" i="10"/>
  <c r="O1517" i="10"/>
  <c r="J1517" i="10"/>
  <c r="P1517" i="10"/>
  <c r="AQ1517" i="10"/>
  <c r="AO1517" i="10"/>
  <c r="AI1517" i="10"/>
  <c r="K1517" i="10"/>
  <c r="AL1517" i="10"/>
  <c r="AD1517" i="10"/>
  <c r="AF1517" i="10"/>
  <c r="V1517" i="10"/>
  <c r="M1517" i="10"/>
  <c r="T1517" i="10"/>
  <c r="AC1517" i="10"/>
  <c r="AH1517" i="10"/>
  <c r="AG1517" i="10"/>
  <c r="AP1517" i="10"/>
  <c r="AJ1517" i="10"/>
  <c r="S1517" i="10"/>
  <c r="Z1517" i="10"/>
  <c r="W1517" i="10"/>
  <c r="AN1517" i="10"/>
  <c r="AK338" i="26"/>
  <c r="AV338" i="26" s="1"/>
  <c r="AW338" i="26"/>
  <c r="G12" i="10"/>
  <c r="BD12" i="26"/>
  <c r="AK18" i="26"/>
  <c r="K1570" i="10"/>
  <c r="AL259" i="26"/>
  <c r="AC259" i="26"/>
  <c r="AB259" i="26"/>
  <c r="AK259" i="26"/>
  <c r="AU259" i="26" s="1"/>
  <c r="S259" i="26" s="1"/>
  <c r="AB530" i="26"/>
  <c r="Z530" i="26"/>
  <c r="U1521" i="10"/>
  <c r="Q1521" i="10"/>
  <c r="Y1521" i="10"/>
  <c r="AT1521" i="10"/>
  <c r="AI1521" i="10"/>
  <c r="AG1521" i="10"/>
  <c r="AK1521" i="10"/>
  <c r="AE1521" i="10"/>
  <c r="R1521" i="10"/>
  <c r="AP1521" i="10"/>
  <c r="AM1521" i="10"/>
  <c r="V1521" i="10"/>
  <c r="P1521" i="10"/>
  <c r="AB1521" i="10"/>
  <c r="AC1521" i="10"/>
  <c r="AS1521" i="10"/>
  <c r="L1521" i="10"/>
  <c r="T1521" i="10"/>
  <c r="S1521" i="10"/>
  <c r="M1521" i="10"/>
  <c r="G1521" i="10"/>
  <c r="O1521" i="10"/>
  <c r="K1521" i="10"/>
  <c r="AJ1521" i="10"/>
  <c r="J1521" i="10"/>
  <c r="AN1521" i="10"/>
  <c r="AO1521" i="10"/>
  <c r="AL1521" i="10"/>
  <c r="Z1521" i="10"/>
  <c r="AA1521" i="10"/>
  <c r="W1521" i="10"/>
  <c r="AR1521" i="10"/>
  <c r="X1521" i="10"/>
  <c r="AH1521" i="10"/>
  <c r="AF1521" i="10"/>
  <c r="N1521" i="10"/>
  <c r="E423" i="6"/>
  <c r="U427" i="26"/>
  <c r="AC427" i="26" s="1"/>
  <c r="BE427" i="26" s="1"/>
  <c r="AG1272" i="10"/>
  <c r="R1272" i="10"/>
  <c r="J1272" i="10"/>
  <c r="AR1272" i="10"/>
  <c r="M1272" i="10"/>
  <c r="AA1272" i="10"/>
  <c r="L1272" i="10"/>
  <c r="P1272" i="10"/>
  <c r="AS1272" i="10"/>
  <c r="AJ1272" i="10"/>
  <c r="X1272" i="10"/>
  <c r="AL1272" i="10"/>
  <c r="K1272" i="10"/>
  <c r="AQ1272" i="10"/>
  <c r="AO1272" i="10"/>
  <c r="AP1272" i="10"/>
  <c r="W1272" i="10"/>
  <c r="Y1272" i="10"/>
  <c r="AI1272" i="10"/>
  <c r="T1272" i="10"/>
  <c r="S1272" i="10"/>
  <c r="Q1272" i="10"/>
  <c r="AN1272" i="10"/>
  <c r="AF1272" i="10"/>
  <c r="U1272" i="10"/>
  <c r="Z1272" i="10"/>
  <c r="O1272" i="10"/>
  <c r="AK1272" i="10"/>
  <c r="AC1272" i="10"/>
  <c r="V1272" i="10"/>
  <c r="AM1272" i="10"/>
  <c r="AH87" i="26"/>
  <c r="AG87" i="26" s="1"/>
  <c r="AD1316" i="10"/>
  <c r="AK1316" i="10"/>
  <c r="R1316" i="10"/>
  <c r="AQ1316" i="10"/>
  <c r="AS1316" i="10"/>
  <c r="S1316" i="10"/>
  <c r="U1316" i="10"/>
  <c r="AM1316" i="10"/>
  <c r="AB1316" i="10"/>
  <c r="J1316" i="10"/>
  <c r="W1316" i="10"/>
  <c r="AN1316" i="10"/>
  <c r="Y1316" i="10"/>
  <c r="P1316" i="10"/>
  <c r="M1316" i="10"/>
  <c r="AL1316" i="10"/>
  <c r="AE1316" i="10"/>
  <c r="AT1316" i="10"/>
  <c r="Z1316" i="10"/>
  <c r="Q1316" i="10"/>
  <c r="O1316" i="10"/>
  <c r="L1316" i="10"/>
  <c r="AG1316" i="10"/>
  <c r="AP1316" i="10"/>
  <c r="AH1316" i="10"/>
  <c r="V1316" i="10"/>
  <c r="N1316" i="10"/>
  <c r="AO1316" i="10"/>
  <c r="AJ1316" i="10"/>
  <c r="AR1316" i="10"/>
  <c r="AC1316" i="10"/>
  <c r="AF1316" i="10"/>
  <c r="T1316" i="10"/>
  <c r="K1316" i="10"/>
  <c r="X1316" i="10"/>
  <c r="AA1316" i="10"/>
  <c r="AI1316" i="10"/>
  <c r="AC231" i="26"/>
  <c r="AL231" i="26"/>
  <c r="AB240" i="26"/>
  <c r="AL240" i="26"/>
  <c r="AC240" i="26"/>
  <c r="AK240" i="26"/>
  <c r="AP294" i="26"/>
  <c r="AO294" i="26" s="1"/>
  <c r="G1395" i="10"/>
  <c r="AO1395" i="10"/>
  <c r="Q1395" i="10"/>
  <c r="AA1395" i="10"/>
  <c r="AD1395" i="10"/>
  <c r="AE1395" i="10"/>
  <c r="J1395" i="10"/>
  <c r="AM1395" i="10"/>
  <c r="AF1395" i="10"/>
  <c r="Y1395" i="10"/>
  <c r="AP1395" i="10"/>
  <c r="N1395" i="10"/>
  <c r="AG1395" i="10"/>
  <c r="X1395" i="10"/>
  <c r="M1395" i="10"/>
  <c r="AB1395" i="10"/>
  <c r="T1395" i="10"/>
  <c r="Z1395" i="10"/>
  <c r="AS1395" i="10"/>
  <c r="R1395" i="10"/>
  <c r="AC1395" i="10"/>
  <c r="V1395" i="10"/>
  <c r="W1395" i="10"/>
  <c r="AJ1395" i="10"/>
  <c r="AL1395" i="10"/>
  <c r="K1395" i="10"/>
  <c r="O1395" i="10"/>
  <c r="AK1395" i="10"/>
  <c r="S1395" i="10"/>
  <c r="U1395" i="10"/>
  <c r="AQ1395" i="10"/>
  <c r="L1395" i="10"/>
  <c r="AT1395" i="10"/>
  <c r="P1395" i="10"/>
  <c r="AH1395" i="10"/>
  <c r="AN1395" i="10"/>
  <c r="AI1395" i="10"/>
  <c r="AR1395" i="10"/>
  <c r="G1435" i="10"/>
  <c r="AO1435" i="10"/>
  <c r="AB1435" i="10"/>
  <c r="AC1435" i="10"/>
  <c r="AF1435" i="10"/>
  <c r="AE1435" i="10"/>
  <c r="L1435" i="10"/>
  <c r="AR1435" i="10"/>
  <c r="AL1435" i="10"/>
  <c r="AN1435" i="10"/>
  <c r="V1435" i="10"/>
  <c r="K1435" i="10"/>
  <c r="AD1435" i="10"/>
  <c r="AG1435" i="10"/>
  <c r="AK1435" i="10"/>
  <c r="AS1435" i="10"/>
  <c r="AI1435" i="10"/>
  <c r="O1435" i="10"/>
  <c r="AT1435" i="10"/>
  <c r="N1435" i="10"/>
  <c r="T1435" i="10"/>
  <c r="P1435" i="10"/>
  <c r="AQ1435" i="10"/>
  <c r="X1435" i="10"/>
  <c r="AP1435" i="10"/>
  <c r="AA1435" i="10"/>
  <c r="AH1435" i="10"/>
  <c r="Q1435" i="10"/>
  <c r="J1435" i="10"/>
  <c r="R1435" i="10"/>
  <c r="AJ1435" i="10"/>
  <c r="M1435" i="10"/>
  <c r="S1435" i="10"/>
  <c r="Z1435" i="10"/>
  <c r="AM1435" i="10"/>
  <c r="W1435" i="10"/>
  <c r="AC311" i="26"/>
  <c r="AB311" i="26"/>
  <c r="AU1194" i="10"/>
  <c r="AG1320" i="10"/>
  <c r="AD1272" i="10"/>
  <c r="AR1278" i="10"/>
  <c r="Y141" i="27"/>
  <c r="G141" i="27" s="1"/>
  <c r="I125" i="9"/>
  <c r="AP79" i="26"/>
  <c r="AO79" i="26" s="1"/>
  <c r="AC182" i="26"/>
  <c r="AL182" i="26"/>
  <c r="AC77" i="26"/>
  <c r="AL77" i="26"/>
  <c r="AK77" i="26"/>
  <c r="AU77" i="26" s="1"/>
  <c r="S77" i="26" s="1"/>
  <c r="H77" i="9" s="1"/>
  <c r="AL120" i="26"/>
  <c r="AC120" i="26"/>
  <c r="AB120" i="26"/>
  <c r="AK120" i="26"/>
  <c r="AY294" i="26"/>
  <c r="AX294" i="26" s="1"/>
  <c r="AB231" i="26"/>
  <c r="AP284" i="26"/>
  <c r="AO284" i="26" s="1"/>
  <c r="AL78" i="26"/>
  <c r="AK78" i="26"/>
  <c r="AC78" i="26"/>
  <c r="Z440" i="26"/>
  <c r="AB440" i="26"/>
  <c r="AQ1476" i="10"/>
  <c r="U1476" i="10"/>
  <c r="AH1476" i="10"/>
  <c r="R1476" i="10"/>
  <c r="J1476" i="10"/>
  <c r="AI1476" i="10"/>
  <c r="N1476" i="10"/>
  <c r="AM1476" i="10"/>
  <c r="Q1476" i="10"/>
  <c r="V1476" i="10"/>
  <c r="P1476" i="10"/>
  <c r="T1476" i="10"/>
  <c r="AK1476" i="10"/>
  <c r="AC1476" i="10"/>
  <c r="AP1476" i="10"/>
  <c r="AT1476" i="10"/>
  <c r="AE1476" i="10"/>
  <c r="Y1476" i="10"/>
  <c r="AS1476" i="10"/>
  <c r="AG1476" i="10"/>
  <c r="AB1476" i="10"/>
  <c r="S1476" i="10"/>
  <c r="W1476" i="10"/>
  <c r="AL1476" i="10"/>
  <c r="AJ1476" i="10"/>
  <c r="K1476" i="10"/>
  <c r="L1476" i="10"/>
  <c r="AA1476" i="10"/>
  <c r="M1476" i="10"/>
  <c r="Z1476" i="10"/>
  <c r="G1476" i="10"/>
  <c r="AF1476" i="10"/>
  <c r="AD1476" i="10"/>
  <c r="AN1476" i="10"/>
  <c r="AR1476" i="10"/>
  <c r="AO1476" i="10"/>
  <c r="X1476" i="10"/>
  <c r="E414" i="6"/>
  <c r="U416" i="26"/>
  <c r="H53" i="9"/>
  <c r="AC53" i="9" s="1"/>
  <c r="H53" i="6"/>
  <c r="G1281" i="10"/>
  <c r="AC1281" i="10"/>
  <c r="AS1281" i="10"/>
  <c r="AL1281" i="10"/>
  <c r="AQ1281" i="10"/>
  <c r="AT1281" i="10"/>
  <c r="Q1281" i="10"/>
  <c r="AA1281" i="10"/>
  <c r="AF1281" i="10"/>
  <c r="AJ1281" i="10"/>
  <c r="AP1281" i="10"/>
  <c r="AG1281" i="10"/>
  <c r="AI1281" i="10"/>
  <c r="V1281" i="10"/>
  <c r="AO1281" i="10"/>
  <c r="U1281" i="10"/>
  <c r="AB1281" i="10"/>
  <c r="W1281" i="10"/>
  <c r="N1281" i="10"/>
  <c r="Z1281" i="10"/>
  <c r="AR1281" i="10"/>
  <c r="M1281" i="10"/>
  <c r="Y1281" i="10"/>
  <c r="AK1281" i="10"/>
  <c r="P1281" i="10"/>
  <c r="K1281" i="10"/>
  <c r="AM1281" i="10"/>
  <c r="AH1281" i="10"/>
  <c r="J1281" i="10"/>
  <c r="L1281" i="10"/>
  <c r="T1281" i="10"/>
  <c r="O1281" i="10"/>
  <c r="X1281" i="10"/>
  <c r="AE1281" i="10"/>
  <c r="AD1281" i="10"/>
  <c r="AN1281" i="10"/>
  <c r="R1281" i="10"/>
  <c r="S1281" i="10"/>
  <c r="AC90" i="26"/>
  <c r="AL90" i="26"/>
  <c r="AW117" i="26"/>
  <c r="AK117" i="26"/>
  <c r="AV117" i="26" s="1"/>
  <c r="H141" i="6"/>
  <c r="AD141" i="6" s="1"/>
  <c r="H141" i="9"/>
  <c r="AD141" i="9" s="1"/>
  <c r="AH154" i="26"/>
  <c r="AG154" i="26" s="1"/>
  <c r="AL180" i="26"/>
  <c r="AK180" i="26"/>
  <c r="AU180" i="26" s="1"/>
  <c r="S180" i="26" s="1"/>
  <c r="R180" i="26" s="1"/>
  <c r="AC180" i="26"/>
  <c r="AD180" i="26" s="1"/>
  <c r="O180" i="26" s="1"/>
  <c r="AB182" i="26"/>
  <c r="AC183" i="26"/>
  <c r="AK183" i="26"/>
  <c r="AB183" i="26"/>
  <c r="AL183" i="26"/>
  <c r="AP187" i="26"/>
  <c r="AO187" i="26" s="1"/>
  <c r="U480" i="26"/>
  <c r="AC480" i="26" s="1"/>
  <c r="BE480" i="26" s="1"/>
  <c r="E465" i="6"/>
  <c r="AW192" i="26"/>
  <c r="AY192" i="26" s="1"/>
  <c r="AX192" i="26" s="1"/>
  <c r="AK192" i="26"/>
  <c r="AY220" i="26"/>
  <c r="AX220" i="26" s="1"/>
  <c r="AO1431" i="10"/>
  <c r="V1431" i="10"/>
  <c r="AC1431" i="10"/>
  <c r="R1431" i="10"/>
  <c r="O1431" i="10"/>
  <c r="AD1431" i="10"/>
  <c r="AA1431" i="10"/>
  <c r="N1431" i="10"/>
  <c r="AG1431" i="10"/>
  <c r="AF1431" i="10"/>
  <c r="AN1431" i="10"/>
  <c r="S1431" i="10"/>
  <c r="AK1431" i="10"/>
  <c r="W1431" i="10"/>
  <c r="M1431" i="10"/>
  <c r="J1431" i="10"/>
  <c r="Z1431" i="10"/>
  <c r="T1431" i="10"/>
  <c r="AL1431" i="10"/>
  <c r="AT1431" i="10"/>
  <c r="U1431" i="10"/>
  <c r="AB1431" i="10"/>
  <c r="AR1431" i="10"/>
  <c r="L1431" i="10"/>
  <c r="AJ1431" i="10"/>
  <c r="AH1431" i="10"/>
  <c r="AS1431" i="10"/>
  <c r="K1431" i="10"/>
  <c r="AQ1431" i="10"/>
  <c r="AP1431" i="10"/>
  <c r="Q1431" i="10"/>
  <c r="AE1431" i="10"/>
  <c r="AI1431" i="10"/>
  <c r="AM1431" i="10"/>
  <c r="P1431" i="10"/>
  <c r="AP233" i="26"/>
  <c r="AO233" i="26" s="1"/>
  <c r="AH233" i="26"/>
  <c r="AG233" i="26" s="1"/>
  <c r="H235" i="9"/>
  <c r="AD235" i="9" s="1"/>
  <c r="H235" i="6"/>
  <c r="AD235" i="6" s="1"/>
  <c r="AG1440" i="10"/>
  <c r="W1440" i="10"/>
  <c r="Q1440" i="10"/>
  <c r="AN1440" i="10"/>
  <c r="AA1440" i="10"/>
  <c r="Y1440" i="10"/>
  <c r="L1440" i="10"/>
  <c r="Z1440" i="10"/>
  <c r="X1440" i="10"/>
  <c r="AD1440" i="10"/>
  <c r="AB1440" i="10"/>
  <c r="AH1440" i="10"/>
  <c r="AJ1440" i="10"/>
  <c r="V1440" i="10"/>
  <c r="T1440" i="10"/>
  <c r="M1440" i="10"/>
  <c r="N1440" i="10"/>
  <c r="R1440" i="10"/>
  <c r="P1440" i="10"/>
  <c r="O1440" i="10"/>
  <c r="G1440" i="10"/>
  <c r="AF1440" i="10"/>
  <c r="AM1440" i="10"/>
  <c r="AQ1440" i="10"/>
  <c r="S1440" i="10"/>
  <c r="AE1440" i="10"/>
  <c r="AS1440" i="10"/>
  <c r="AT1440" i="10"/>
  <c r="AC1440" i="10"/>
  <c r="K1440" i="10"/>
  <c r="AK1440" i="10"/>
  <c r="AL1440" i="10"/>
  <c r="U1440" i="10"/>
  <c r="AP1440" i="10"/>
  <c r="AR1440" i="10"/>
  <c r="AM1492" i="10"/>
  <c r="AT1492" i="10"/>
  <c r="AA1492" i="10"/>
  <c r="T1492" i="10"/>
  <c r="AB1492" i="10"/>
  <c r="AD1492" i="10"/>
  <c r="X1492" i="10"/>
  <c r="AC1492" i="10"/>
  <c r="AL1492" i="10"/>
  <c r="L1492" i="10"/>
  <c r="AP1492" i="10"/>
  <c r="AF1492" i="10"/>
  <c r="U1492" i="10"/>
  <c r="AO1492" i="10"/>
  <c r="P1492" i="10"/>
  <c r="AE1492" i="10"/>
  <c r="J1492" i="10"/>
  <c r="AI1492" i="10"/>
  <c r="K1492" i="10"/>
  <c r="G1492" i="10"/>
  <c r="AH1492" i="10"/>
  <c r="M1492" i="10"/>
  <c r="V1492" i="10"/>
  <c r="Z1492" i="10"/>
  <c r="R1492" i="10"/>
  <c r="AK1492" i="10"/>
  <c r="AR1492" i="10"/>
  <c r="AJ1492" i="10"/>
  <c r="AN1492" i="10"/>
  <c r="Y1492" i="10"/>
  <c r="S1492" i="10"/>
  <c r="AQ1492" i="10"/>
  <c r="O1492" i="10"/>
  <c r="N1492" i="10"/>
  <c r="AS1492" i="10"/>
  <c r="W1492" i="10"/>
  <c r="Q1492" i="10"/>
  <c r="AG1492" i="10"/>
  <c r="AB206" i="26"/>
  <c r="AC206" i="26"/>
  <c r="AC217" i="26"/>
  <c r="AB217" i="26"/>
  <c r="AC241" i="26"/>
  <c r="AB241" i="26"/>
  <c r="AK332" i="10"/>
  <c r="V332" i="10"/>
  <c r="Q332" i="10"/>
  <c r="S732" i="10"/>
  <c r="AB732" i="10"/>
  <c r="AP732" i="10"/>
  <c r="AS732" i="10"/>
  <c r="AC732" i="10"/>
  <c r="T732" i="10"/>
  <c r="X332" i="10"/>
  <c r="AH732" i="10"/>
  <c r="AY332" i="10"/>
  <c r="AG332" i="10"/>
  <c r="AO332" i="10"/>
  <c r="AW732" i="10"/>
  <c r="AI732" i="10"/>
  <c r="Y732" i="10"/>
  <c r="T332" i="10"/>
  <c r="AB332" i="10"/>
  <c r="U332" i="10"/>
  <c r="AE332" i="10"/>
  <c r="AT732" i="10"/>
  <c r="M732" i="10"/>
  <c r="N732" i="10"/>
  <c r="J332" i="10"/>
  <c r="L732" i="10"/>
  <c r="AD732" i="10"/>
  <c r="AI332" i="10"/>
  <c r="AO732" i="10"/>
  <c r="P732" i="10"/>
  <c r="AD332" i="10"/>
  <c r="AE732" i="10"/>
  <c r="AA332" i="10"/>
  <c r="AQ332" i="10"/>
  <c r="M332" i="10"/>
  <c r="AT332" i="10"/>
  <c r="W732" i="10"/>
  <c r="S332" i="10"/>
  <c r="P332" i="10"/>
  <c r="AW332" i="10"/>
  <c r="Z732" i="10"/>
  <c r="R332" i="10"/>
  <c r="AJ732" i="10"/>
  <c r="AX732" i="10"/>
  <c r="AJ332" i="10"/>
  <c r="W332" i="10"/>
  <c r="AR732" i="10"/>
  <c r="O332" i="10"/>
  <c r="AF332" i="10"/>
  <c r="AA732" i="10"/>
  <c r="AP332" i="10"/>
  <c r="AX332" i="10"/>
  <c r="AY732" i="10"/>
  <c r="AU732" i="10"/>
  <c r="K332" i="10"/>
  <c r="Q732" i="10"/>
  <c r="K732" i="10"/>
  <c r="X732" i="10"/>
  <c r="U732" i="10"/>
  <c r="AM732" i="10"/>
  <c r="AV732" i="10"/>
  <c r="J732" i="10"/>
  <c r="Z332" i="10"/>
  <c r="L332" i="10"/>
  <c r="AL732" i="10"/>
  <c r="R732" i="10"/>
  <c r="AC332" i="10"/>
  <c r="O732" i="10"/>
  <c r="AN732" i="10"/>
  <c r="AM332" i="10"/>
  <c r="AK732" i="10"/>
  <c r="AQ732" i="10"/>
  <c r="V732" i="10"/>
  <c r="N332" i="10"/>
  <c r="AG732" i="10"/>
  <c r="Y332" i="10"/>
  <c r="AN332" i="10"/>
  <c r="AS332" i="10"/>
  <c r="AH332" i="10"/>
  <c r="AL332" i="10"/>
  <c r="AV332" i="10"/>
  <c r="AF732" i="10"/>
  <c r="AR332" i="10"/>
  <c r="AU261" i="26"/>
  <c r="S261" i="26" s="1"/>
  <c r="AC138" i="26"/>
  <c r="AE138" i="26" s="1"/>
  <c r="AL138" i="26"/>
  <c r="AQ138" i="26" s="1"/>
  <c r="AR138" i="26" s="1"/>
  <c r="AK138" i="26"/>
  <c r="AC342" i="26"/>
  <c r="AL342" i="26"/>
  <c r="AK342" i="26"/>
  <c r="AU342" i="26" s="1"/>
  <c r="S342" i="26" s="1"/>
  <c r="AL205" i="26"/>
  <c r="AC205" i="26"/>
  <c r="AK205" i="26"/>
  <c r="AN1320" i="10"/>
  <c r="AT1320" i="10"/>
  <c r="Z1320" i="10"/>
  <c r="J1320" i="10"/>
  <c r="AL1320" i="10"/>
  <c r="M1320" i="10"/>
  <c r="O1320" i="10"/>
  <c r="AA1320" i="10"/>
  <c r="K1320" i="10"/>
  <c r="AM1320" i="10"/>
  <c r="P1320" i="10"/>
  <c r="Y1320" i="10"/>
  <c r="AS1320" i="10"/>
  <c r="AJ1320" i="10"/>
  <c r="S1320" i="10"/>
  <c r="W1320" i="10"/>
  <c r="AE1320" i="10"/>
  <c r="T1320" i="10"/>
  <c r="R1320" i="10"/>
  <c r="AF1320" i="10"/>
  <c r="AI1320" i="10"/>
  <c r="AP1320" i="10"/>
  <c r="V1320" i="10"/>
  <c r="L1320" i="10"/>
  <c r="AO1320" i="10"/>
  <c r="AB1320" i="10"/>
  <c r="AR1320" i="10"/>
  <c r="X1320" i="10"/>
  <c r="AQ1320" i="10"/>
  <c r="AH1320" i="10"/>
  <c r="AC1320" i="10"/>
  <c r="AK251" i="26"/>
  <c r="AW251" i="26"/>
  <c r="AH1278" i="10"/>
  <c r="V1278" i="10"/>
  <c r="AJ1278" i="10"/>
  <c r="K1278" i="10"/>
  <c r="AT1278" i="10"/>
  <c r="O1278" i="10"/>
  <c r="W1278" i="10"/>
  <c r="S1278" i="10"/>
  <c r="AE1278" i="10"/>
  <c r="G1278" i="10"/>
  <c r="T1278" i="10"/>
  <c r="AP1278" i="10"/>
  <c r="AC1278" i="10"/>
  <c r="X1278" i="10"/>
  <c r="AB1278" i="10"/>
  <c r="AN1278" i="10"/>
  <c r="AK1278" i="10"/>
  <c r="AI1278" i="10"/>
  <c r="Y1278" i="10"/>
  <c r="R1278" i="10"/>
  <c r="N1278" i="10"/>
  <c r="AD1278" i="10"/>
  <c r="Z1278" i="10"/>
  <c r="AM1278" i="10"/>
  <c r="AO1278" i="10"/>
  <c r="AG1278" i="10"/>
  <c r="AL1278" i="10"/>
  <c r="P1278" i="10"/>
  <c r="AC91" i="26"/>
  <c r="AL91" i="26"/>
  <c r="AK91" i="26"/>
  <c r="AB91" i="26"/>
  <c r="G1253" i="10"/>
  <c r="J1253" i="10"/>
  <c r="AE1253" i="10"/>
  <c r="AM1253" i="10"/>
  <c r="AA1253" i="10"/>
  <c r="AO1253" i="10"/>
  <c r="AL1253" i="10"/>
  <c r="U1253" i="10"/>
  <c r="AD1253" i="10"/>
  <c r="Q1253" i="10"/>
  <c r="AI1253" i="10"/>
  <c r="AG1253" i="10"/>
  <c r="R1253" i="10"/>
  <c r="AJ1253" i="10"/>
  <c r="W1253" i="10"/>
  <c r="N1253" i="10"/>
  <c r="S1253" i="10"/>
  <c r="AT1253" i="10"/>
  <c r="O1253" i="10"/>
  <c r="T1253" i="10"/>
  <c r="AN1253" i="10"/>
  <c r="AP1253" i="10"/>
  <c r="AC1253" i="10"/>
  <c r="Z1253" i="10"/>
  <c r="P1253" i="10"/>
  <c r="AB1253" i="10"/>
  <c r="X1253" i="10"/>
  <c r="Y1253" i="10"/>
  <c r="AH1253" i="10"/>
  <c r="K1253" i="10"/>
  <c r="AQ1253" i="10"/>
  <c r="AK1253" i="10"/>
  <c r="L1253" i="10"/>
  <c r="AS1253" i="10"/>
  <c r="M1253" i="10"/>
  <c r="AR1253" i="10"/>
  <c r="V1253" i="10"/>
  <c r="AF1253" i="10"/>
  <c r="AP150" i="26"/>
  <c r="AO150" i="26" s="1"/>
  <c r="AK165" i="26"/>
  <c r="AV165" i="26" s="1"/>
  <c r="AW165" i="26"/>
  <c r="AY165" i="26" s="1"/>
  <c r="AX165" i="26" s="1"/>
  <c r="R1383" i="10"/>
  <c r="Y1383" i="10"/>
  <c r="AQ1383" i="10"/>
  <c r="AA1383" i="10"/>
  <c r="J1383" i="10"/>
  <c r="S1383" i="10"/>
  <c r="AB1383" i="10"/>
  <c r="AK1383" i="10"/>
  <c r="O1383" i="10"/>
  <c r="P1383" i="10"/>
  <c r="AT1383" i="10"/>
  <c r="AH1383" i="10"/>
  <c r="L1383" i="10"/>
  <c r="G1383" i="10"/>
  <c r="X1383" i="10"/>
  <c r="AS1383" i="10"/>
  <c r="K1383" i="10"/>
  <c r="W1383" i="10"/>
  <c r="AM1383" i="10"/>
  <c r="AC1383" i="10"/>
  <c r="Q1383" i="10"/>
  <c r="V1383" i="10"/>
  <c r="AN1383" i="10"/>
  <c r="AD1383" i="10"/>
  <c r="AP1383" i="10"/>
  <c r="N1383" i="10"/>
  <c r="U1383" i="10"/>
  <c r="AI1383" i="10"/>
  <c r="AR1383" i="10"/>
  <c r="AF1383" i="10"/>
  <c r="Z1383" i="10"/>
  <c r="AG1383" i="10"/>
  <c r="AJ1383" i="10"/>
  <c r="T1383" i="10"/>
  <c r="AE1383" i="10"/>
  <c r="AL1383" i="10"/>
  <c r="M1383" i="10"/>
  <c r="AO1383" i="10"/>
  <c r="U482" i="26"/>
  <c r="AC482" i="26" s="1"/>
  <c r="BE482" i="26" s="1"/>
  <c r="E460" i="9"/>
  <c r="AP204" i="26"/>
  <c r="AO204" i="26" s="1"/>
  <c r="AB209" i="6"/>
  <c r="AL292" i="26"/>
  <c r="AK292" i="26"/>
  <c r="AC292" i="26"/>
  <c r="I299" i="9"/>
  <c r="I299" i="6"/>
  <c r="AH303" i="26"/>
  <c r="AG303" i="26" s="1"/>
  <c r="AD486" i="26"/>
  <c r="AE486" i="26"/>
  <c r="Y158" i="10"/>
  <c r="AS558" i="10"/>
  <c r="S558" i="10"/>
  <c r="U558" i="10"/>
  <c r="AK558" i="10"/>
  <c r="Z158" i="10"/>
  <c r="X558" i="10"/>
  <c r="V158" i="10"/>
  <c r="AH158" i="10"/>
  <c r="T158" i="10"/>
  <c r="O558" i="10"/>
  <c r="AB558" i="10"/>
  <c r="L158" i="10"/>
  <c r="Z558" i="10"/>
  <c r="AT558" i="10"/>
  <c r="AE558" i="10"/>
  <c r="M558" i="10"/>
  <c r="AI558" i="10"/>
  <c r="AJ158" i="10"/>
  <c r="AE158" i="10"/>
  <c r="AN558" i="10"/>
  <c r="AO158" i="10"/>
  <c r="AP558" i="10"/>
  <c r="J158" i="10"/>
  <c r="AG158" i="10"/>
  <c r="Q558" i="10"/>
  <c r="AA558" i="10"/>
  <c r="AX558" i="10"/>
  <c r="R558" i="10"/>
  <c r="Y558" i="10"/>
  <c r="P558" i="10"/>
  <c r="AW558" i="10"/>
  <c r="AO558" i="10"/>
  <c r="Q158" i="10"/>
  <c r="AB158" i="10"/>
  <c r="AM158" i="10"/>
  <c r="S158" i="10"/>
  <c r="AX158" i="10"/>
  <c r="M158" i="10"/>
  <c r="AC158" i="10"/>
  <c r="R158" i="10"/>
  <c r="W558" i="10"/>
  <c r="N158" i="10"/>
  <c r="T558" i="10"/>
  <c r="N558" i="10"/>
  <c r="AR158" i="10"/>
  <c r="AY158" i="10"/>
  <c r="O158" i="10"/>
  <c r="AP158" i="10"/>
  <c r="V558" i="10"/>
  <c r="AN158" i="10"/>
  <c r="U158" i="10"/>
  <c r="AF158" i="10"/>
  <c r="AQ158" i="10"/>
  <c r="J558" i="10"/>
  <c r="AG558" i="10"/>
  <c r="AC558" i="10"/>
  <c r="AQ558" i="10"/>
  <c r="AF558" i="10"/>
  <c r="AI158" i="10"/>
  <c r="AA158" i="10"/>
  <c r="K158" i="10"/>
  <c r="AL158" i="10"/>
  <c r="AY558" i="10"/>
  <c r="AS158" i="10"/>
  <c r="AV158" i="10"/>
  <c r="AW158" i="10"/>
  <c r="P158" i="10"/>
  <c r="AH558" i="10"/>
  <c r="AR558" i="10"/>
  <c r="K558" i="10"/>
  <c r="AJ558" i="10"/>
  <c r="AD558" i="10"/>
  <c r="AK158" i="10"/>
  <c r="AU558" i="10"/>
  <c r="L558" i="10"/>
  <c r="AD158" i="10"/>
  <c r="AM558" i="10"/>
  <c r="AV558" i="10"/>
  <c r="X158" i="10"/>
  <c r="W158" i="10"/>
  <c r="AL558" i="10"/>
  <c r="AT158" i="10"/>
  <c r="AL81" i="26"/>
  <c r="AX221" i="26"/>
  <c r="BB13" i="26"/>
  <c r="K4" i="11" s="1"/>
  <c r="AQ1521" i="10"/>
  <c r="AT1228" i="10"/>
  <c r="N1272" i="10"/>
  <c r="AS1299" i="10"/>
  <c r="AK1320" i="10"/>
  <c r="AH1272" i="10"/>
  <c r="AB1272" i="10"/>
  <c r="AD1521" i="10"/>
  <c r="L1278" i="10"/>
  <c r="M1278" i="10"/>
  <c r="AX170" i="26"/>
  <c r="AL255" i="26"/>
  <c r="AC255" i="26"/>
  <c r="AD255" i="26" s="1"/>
  <c r="AK255" i="26"/>
  <c r="AU255" i="26" s="1"/>
  <c r="S255" i="26" s="1"/>
  <c r="AC304" i="26"/>
  <c r="AL304" i="26"/>
  <c r="AK304" i="26"/>
  <c r="AC270" i="26"/>
  <c r="AL270" i="26"/>
  <c r="AK270" i="26"/>
  <c r="G1316" i="10"/>
  <c r="AL276" i="26"/>
  <c r="AC276" i="26"/>
  <c r="AD276" i="26" s="1"/>
  <c r="O276" i="26" s="1"/>
  <c r="AK276" i="26"/>
  <c r="AH500" i="26"/>
  <c r="AJ500" i="26"/>
  <c r="AP184" i="26"/>
  <c r="AO184" i="26" s="1"/>
  <c r="AB138" i="26"/>
  <c r="AY77" i="26"/>
  <c r="AX77" i="26" s="1"/>
  <c r="AK231" i="26"/>
  <c r="AB270" i="26"/>
  <c r="AW161" i="26"/>
  <c r="AK161" i="26"/>
  <c r="AV161" i="26" s="1"/>
  <c r="AK330" i="26"/>
  <c r="AU330" i="26" s="1"/>
  <c r="S330" i="26" s="1"/>
  <c r="R723" i="10"/>
  <c r="AW323" i="10"/>
  <c r="AE723" i="10"/>
  <c r="AX323" i="10"/>
  <c r="AM323" i="10"/>
  <c r="AM723" i="10"/>
  <c r="L323" i="10"/>
  <c r="AT723" i="10"/>
  <c r="AF323" i="10"/>
  <c r="Q323" i="10"/>
  <c r="V323" i="10"/>
  <c r="AH723" i="10"/>
  <c r="AQ723" i="10"/>
  <c r="L723" i="10"/>
  <c r="AJ323" i="10"/>
  <c r="AS723" i="10"/>
  <c r="U723" i="10"/>
  <c r="AF723" i="10"/>
  <c r="AI723" i="10"/>
  <c r="M323" i="10"/>
  <c r="AO723" i="10"/>
  <c r="AY723" i="10"/>
  <c r="K723" i="10"/>
  <c r="P723" i="10"/>
  <c r="AG323" i="10"/>
  <c r="AV323" i="10"/>
  <c r="AR323" i="10"/>
  <c r="S723" i="10"/>
  <c r="O323" i="10"/>
  <c r="AY323" i="10"/>
  <c r="W723" i="10"/>
  <c r="AD723" i="10"/>
  <c r="Z723" i="10"/>
  <c r="AJ723" i="10"/>
  <c r="AD323" i="10"/>
  <c r="M723" i="10"/>
  <c r="AA723" i="10"/>
  <c r="AO323" i="10"/>
  <c r="AQ323" i="10"/>
  <c r="K323" i="10"/>
  <c r="Y723" i="10"/>
  <c r="O723" i="10"/>
  <c r="Q723" i="10"/>
  <c r="AT323" i="10"/>
  <c r="AR723" i="10"/>
  <c r="J723" i="10"/>
  <c r="J323" i="10"/>
  <c r="X723" i="10"/>
  <c r="AH323" i="10"/>
  <c r="P323" i="10"/>
  <c r="AB723" i="10"/>
  <c r="T723" i="10"/>
  <c r="R323" i="10"/>
  <c r="AV723" i="10"/>
  <c r="AP723" i="10"/>
  <c r="AL323" i="10"/>
  <c r="AX723" i="10"/>
  <c r="V723" i="10"/>
  <c r="AC323" i="10"/>
  <c r="AK723" i="10"/>
  <c r="AS323" i="10"/>
  <c r="AB323" i="10"/>
  <c r="AN723" i="10"/>
  <c r="AA323" i="10"/>
  <c r="AC723" i="10"/>
  <c r="AW723" i="10"/>
  <c r="N723" i="10"/>
  <c r="AK323" i="10"/>
  <c r="Y323" i="10"/>
  <c r="AE323" i="10"/>
  <c r="S323" i="10"/>
  <c r="AU723" i="10"/>
  <c r="AL723" i="10"/>
  <c r="AI323" i="10"/>
  <c r="AG723" i="10"/>
  <c r="AP323" i="10"/>
  <c r="M1269" i="10"/>
  <c r="AO1269" i="10"/>
  <c r="AQ1269" i="10"/>
  <c r="G1269" i="10"/>
  <c r="AT1269" i="10"/>
  <c r="AC1269" i="10"/>
  <c r="AM1269" i="10"/>
  <c r="AI1269" i="10"/>
  <c r="X1269" i="10"/>
  <c r="AN1269" i="10"/>
  <c r="K1269" i="10"/>
  <c r="V1269" i="10"/>
  <c r="AJ1269" i="10"/>
  <c r="Y1269" i="10"/>
  <c r="AE1269" i="10"/>
  <c r="N1269" i="10"/>
  <c r="AD1269" i="10"/>
  <c r="L1269" i="10"/>
  <c r="AA1269" i="10"/>
  <c r="U1269" i="10"/>
  <c r="R1269" i="10"/>
  <c r="AS1269" i="10"/>
  <c r="Q1269" i="10"/>
  <c r="AF1269" i="10"/>
  <c r="O1269" i="10"/>
  <c r="AP1269" i="10"/>
  <c r="S1269" i="10"/>
  <c r="AH1269" i="10"/>
  <c r="AB1269" i="10"/>
  <c r="AR1269" i="10"/>
  <c r="Z1269" i="10"/>
  <c r="J1269" i="10"/>
  <c r="AG1269" i="10"/>
  <c r="P1269" i="10"/>
  <c r="AL1269" i="10"/>
  <c r="AK1269" i="10"/>
  <c r="T1269" i="10"/>
  <c r="W1269" i="10"/>
  <c r="AB437" i="26"/>
  <c r="Z437" i="26"/>
  <c r="N1470" i="10"/>
  <c r="AK1470" i="10"/>
  <c r="W1470" i="10"/>
  <c r="AE1470" i="10"/>
  <c r="Q1470" i="10"/>
  <c r="AC1470" i="10"/>
  <c r="AO1470" i="10"/>
  <c r="AS1470" i="10"/>
  <c r="AM1470" i="10"/>
  <c r="J1470" i="10"/>
  <c r="AI1470" i="10"/>
  <c r="AG1470" i="10"/>
  <c r="AH1470" i="10"/>
  <c r="AA1470" i="10"/>
  <c r="Z1470" i="10"/>
  <c r="AT1470" i="10"/>
  <c r="X1470" i="10"/>
  <c r="AR1470" i="10"/>
  <c r="L1470" i="10"/>
  <c r="M1470" i="10"/>
  <c r="AN1470" i="10"/>
  <c r="R1470" i="10"/>
  <c r="G1470" i="10"/>
  <c r="K1470" i="10"/>
  <c r="AB1470" i="10"/>
  <c r="AF1470" i="10"/>
  <c r="T1470" i="10"/>
  <c r="AL1470" i="10"/>
  <c r="U1470" i="10"/>
  <c r="AJ1470" i="10"/>
  <c r="AQ1470" i="10"/>
  <c r="O1470" i="10"/>
  <c r="AD1470" i="10"/>
  <c r="P1470" i="10"/>
  <c r="S1470" i="10"/>
  <c r="AB538" i="26"/>
  <c r="Z538" i="26"/>
  <c r="AW17" i="26"/>
  <c r="AK17" i="26"/>
  <c r="AW58" i="26"/>
  <c r="AY58" i="26" s="1"/>
  <c r="AX58" i="26" s="1"/>
  <c r="AK58" i="26"/>
  <c r="S1290" i="10"/>
  <c r="Q1290" i="10"/>
  <c r="AH1290" i="10"/>
  <c r="AE1290" i="10"/>
  <c r="AG1290" i="10"/>
  <c r="AO1290" i="10"/>
  <c r="AS1290" i="10"/>
  <c r="AJ1290" i="10"/>
  <c r="N1290" i="10"/>
  <c r="AA1290" i="10"/>
  <c r="Y1290" i="10"/>
  <c r="AT1290" i="10"/>
  <c r="AQ1290" i="10"/>
  <c r="G1290" i="10"/>
  <c r="L1290" i="10"/>
  <c r="X1290" i="10"/>
  <c r="AI1290" i="10"/>
  <c r="U1290" i="10"/>
  <c r="AL1290" i="10"/>
  <c r="M1290" i="10"/>
  <c r="AN1290" i="10"/>
  <c r="W1290" i="10"/>
  <c r="K1290" i="10"/>
  <c r="T1290" i="10"/>
  <c r="AC1290" i="10"/>
  <c r="AD1290" i="10"/>
  <c r="V1290" i="10"/>
  <c r="R1290" i="10"/>
  <c r="AB1290" i="10"/>
  <c r="AH171" i="26"/>
  <c r="AG171" i="26" s="1"/>
  <c r="H173" i="6"/>
  <c r="AD173" i="6" s="1"/>
  <c r="H173" i="9"/>
  <c r="AD173" i="9" s="1"/>
  <c r="W1380" i="10"/>
  <c r="AJ1380" i="10"/>
  <c r="Z1380" i="10"/>
  <c r="U1380" i="10"/>
  <c r="AT1380" i="10"/>
  <c r="Y1380" i="10"/>
  <c r="G1380" i="10"/>
  <c r="X1380" i="10"/>
  <c r="AH1380" i="10"/>
  <c r="AL1380" i="10"/>
  <c r="AB1380" i="10"/>
  <c r="AG1380" i="10"/>
  <c r="AF1380" i="10"/>
  <c r="N1380" i="10"/>
  <c r="AI1380" i="10"/>
  <c r="P1380" i="10"/>
  <c r="AC1380" i="10"/>
  <c r="S1380" i="10"/>
  <c r="M1380" i="10"/>
  <c r="AR1380" i="10"/>
  <c r="J1380" i="10"/>
  <c r="AD1380" i="10"/>
  <c r="AQ1380" i="10"/>
  <c r="AM1380" i="10"/>
  <c r="T1380" i="10"/>
  <c r="AA1380" i="10"/>
  <c r="L1380" i="10"/>
  <c r="V1380" i="10"/>
  <c r="AO1380" i="10"/>
  <c r="Q1380" i="10"/>
  <c r="R1380" i="10"/>
  <c r="AK1380" i="10"/>
  <c r="AS1380" i="10"/>
  <c r="AN1380" i="10"/>
  <c r="O1380" i="10"/>
  <c r="AE1380" i="10"/>
  <c r="K1380" i="10"/>
  <c r="AP1380" i="10"/>
  <c r="AK181" i="26"/>
  <c r="AV181" i="26" s="1"/>
  <c r="AW181" i="26"/>
  <c r="E459" i="9"/>
  <c r="U481" i="26"/>
  <c r="U483" i="26"/>
  <c r="AC483" i="26" s="1"/>
  <c r="E461" i="9"/>
  <c r="E466" i="6"/>
  <c r="R1394" i="10"/>
  <c r="Y1394" i="10"/>
  <c r="AC1394" i="10"/>
  <c r="S1394" i="10"/>
  <c r="AJ1394" i="10"/>
  <c r="Q1394" i="10"/>
  <c r="AP1394" i="10"/>
  <c r="X1394" i="10"/>
  <c r="AK1394" i="10"/>
  <c r="AI1394" i="10"/>
  <c r="AH1394" i="10"/>
  <c r="AS1394" i="10"/>
  <c r="J1394" i="10"/>
  <c r="T1394" i="10"/>
  <c r="AD1394" i="10"/>
  <c r="AE1394" i="10"/>
  <c r="P1394" i="10"/>
  <c r="L1394" i="10"/>
  <c r="V1394" i="10"/>
  <c r="K1394" i="10"/>
  <c r="Z1394" i="10"/>
  <c r="AT1394" i="10"/>
  <c r="AQ1394" i="10"/>
  <c r="AL1394" i="10"/>
  <c r="G1394" i="10"/>
  <c r="O1394" i="10"/>
  <c r="U1394" i="10"/>
  <c r="AN1394" i="10"/>
  <c r="W1394" i="10"/>
  <c r="AA1394" i="10"/>
  <c r="N1394" i="10"/>
  <c r="M1394" i="10"/>
  <c r="AG1394" i="10"/>
  <c r="AB1394" i="10"/>
  <c r="AO1394" i="10"/>
  <c r="AR1394" i="10"/>
  <c r="AM1394" i="10"/>
  <c r="AF1394" i="10"/>
  <c r="E468" i="9"/>
  <c r="U493" i="26"/>
  <c r="AH221" i="26"/>
  <c r="AG221" i="26" s="1"/>
  <c r="F242" i="9"/>
  <c r="F242" i="6"/>
  <c r="AA242" i="6" s="1"/>
  <c r="Y242" i="27"/>
  <c r="G242" i="27" s="1"/>
  <c r="AL283" i="26"/>
  <c r="AC283" i="26"/>
  <c r="AB283" i="26"/>
  <c r="U1495" i="10"/>
  <c r="AK1495" i="10"/>
  <c r="Q1495" i="10"/>
  <c r="Y1495" i="10"/>
  <c r="AT1495" i="10"/>
  <c r="O1495" i="10"/>
  <c r="AR1495" i="10"/>
  <c r="AQ1495" i="10"/>
  <c r="V1495" i="10"/>
  <c r="AG1495" i="10"/>
  <c r="J1495" i="10"/>
  <c r="AL1495" i="10"/>
  <c r="P1495" i="10"/>
  <c r="X1495" i="10"/>
  <c r="AC1495" i="10"/>
  <c r="AH1495" i="10"/>
  <c r="N1495" i="10"/>
  <c r="T1495" i="10"/>
  <c r="AJ1495" i="10"/>
  <c r="L1495" i="10"/>
  <c r="M1495" i="10"/>
  <c r="AI1495" i="10"/>
  <c r="AS1495" i="10"/>
  <c r="W1495" i="10"/>
  <c r="AF1495" i="10"/>
  <c r="Z1495" i="10"/>
  <c r="AD1495" i="10"/>
  <c r="G1495" i="10"/>
  <c r="S1495" i="10"/>
  <c r="AB1495" i="10"/>
  <c r="AA1495" i="10"/>
  <c r="AE1495" i="10"/>
  <c r="R1495" i="10"/>
  <c r="AM1495" i="10"/>
  <c r="AP1495" i="10"/>
  <c r="AN1495" i="10"/>
  <c r="K1495" i="10"/>
  <c r="AX296" i="26"/>
  <c r="Q1363" i="10"/>
  <c r="AD1363" i="10"/>
  <c r="AO1363" i="10"/>
  <c r="M1363" i="10"/>
  <c r="AE1363" i="10"/>
  <c r="AK1363" i="10"/>
  <c r="AI1363" i="10"/>
  <c r="AQ1363" i="10"/>
  <c r="J1363" i="10"/>
  <c r="X1363" i="10"/>
  <c r="AC1363" i="10"/>
  <c r="AT1363" i="10"/>
  <c r="AP1363" i="10"/>
  <c r="AB1363" i="10"/>
  <c r="AH1363" i="10"/>
  <c r="AF1363" i="10"/>
  <c r="R1363" i="10"/>
  <c r="W1363" i="10"/>
  <c r="G1363" i="10"/>
  <c r="Y1363" i="10"/>
  <c r="N1363" i="10"/>
  <c r="V1363" i="10"/>
  <c r="AN1363" i="10"/>
  <c r="U1363" i="10"/>
  <c r="L1363" i="10"/>
  <c r="P1363" i="10"/>
  <c r="Z1363" i="10"/>
  <c r="AG1363" i="10"/>
  <c r="AL1363" i="10"/>
  <c r="K1363" i="10"/>
  <c r="AR1363" i="10"/>
  <c r="T1363" i="10"/>
  <c r="O1363" i="10"/>
  <c r="S1363" i="10"/>
  <c r="AA1363" i="10"/>
  <c r="AJ1363" i="10"/>
  <c r="AS1363" i="10"/>
  <c r="K1406" i="10"/>
  <c r="O1406" i="10"/>
  <c r="J1406" i="10"/>
  <c r="AD1406" i="10"/>
  <c r="AT1406" i="10"/>
  <c r="N1406" i="10"/>
  <c r="Q1406" i="10"/>
  <c r="AR1406" i="10"/>
  <c r="R1406" i="10"/>
  <c r="T1406" i="10"/>
  <c r="AS1406" i="10"/>
  <c r="AO1406" i="10"/>
  <c r="L1406" i="10"/>
  <c r="G1406" i="10"/>
  <c r="Y1406" i="10"/>
  <c r="AP1406" i="10"/>
  <c r="U1406" i="10"/>
  <c r="W1406" i="10"/>
  <c r="AB1406" i="10"/>
  <c r="AG1406" i="10"/>
  <c r="AH1406" i="10"/>
  <c r="AC1406" i="10"/>
  <c r="AF1406" i="10"/>
  <c r="V1406" i="10"/>
  <c r="AN1406" i="10"/>
  <c r="AA1406" i="10"/>
  <c r="X1406" i="10"/>
  <c r="AK1406" i="10"/>
  <c r="P1406" i="10"/>
  <c r="AL1406" i="10"/>
  <c r="AM1406" i="10"/>
  <c r="AQ1406" i="10"/>
  <c r="AJ1406" i="10"/>
  <c r="G1417" i="10"/>
  <c r="Q1417" i="10"/>
  <c r="AR1417" i="10"/>
  <c r="Y1417" i="10"/>
  <c r="P1417" i="10"/>
  <c r="AK1417" i="10"/>
  <c r="U1417" i="10"/>
  <c r="AE1417" i="10"/>
  <c r="L1417" i="10"/>
  <c r="AT1417" i="10"/>
  <c r="AJ1417" i="10"/>
  <c r="AQ1417" i="10"/>
  <c r="N1417" i="10"/>
  <c r="X1417" i="10"/>
  <c r="AA1417" i="10"/>
  <c r="Z1417" i="10"/>
  <c r="S1417" i="10"/>
  <c r="O1417" i="10"/>
  <c r="AN1417" i="10"/>
  <c r="AL1417" i="10"/>
  <c r="AS1417" i="10"/>
  <c r="AH1417" i="10"/>
  <c r="AD1417" i="10"/>
  <c r="AO1417" i="10"/>
  <c r="R1417" i="10"/>
  <c r="AP1417" i="10"/>
  <c r="AM1417" i="10"/>
  <c r="AG1417" i="10"/>
  <c r="AC1417" i="10"/>
  <c r="T1417" i="10"/>
  <c r="W1417" i="10"/>
  <c r="K1417" i="10"/>
  <c r="V1417" i="10"/>
  <c r="AF1417" i="10"/>
  <c r="M1417" i="10"/>
  <c r="AI1417" i="10"/>
  <c r="AM1441" i="10"/>
  <c r="G1441" i="10"/>
  <c r="AO1441" i="10"/>
  <c r="X1441" i="10"/>
  <c r="Z1441" i="10"/>
  <c r="M1441" i="10"/>
  <c r="AD1441" i="10"/>
  <c r="O1441" i="10"/>
  <c r="AF1441" i="10"/>
  <c r="AE1441" i="10"/>
  <c r="AN1441" i="10"/>
  <c r="AC1441" i="10"/>
  <c r="R1441" i="10"/>
  <c r="V1441" i="10"/>
  <c r="Q1441" i="10"/>
  <c r="K1441" i="10"/>
  <c r="AG1441" i="10"/>
  <c r="AQ1441" i="10"/>
  <c r="L1441" i="10"/>
  <c r="N1441" i="10"/>
  <c r="P1441" i="10"/>
  <c r="AR1441" i="10"/>
  <c r="W1441" i="10"/>
  <c r="AT1441" i="10"/>
  <c r="J1441" i="10"/>
  <c r="AA1441" i="10"/>
  <c r="U1441" i="10"/>
  <c r="AP1441" i="10"/>
  <c r="AH1441" i="10"/>
  <c r="AI1441" i="10"/>
  <c r="T1441" i="10"/>
  <c r="AK1441" i="10"/>
  <c r="AJ1441" i="10"/>
  <c r="Y1441" i="10"/>
  <c r="AB1441" i="10"/>
  <c r="S1441" i="10"/>
  <c r="AL1441" i="10"/>
  <c r="AS1441" i="10"/>
  <c r="I148" i="6"/>
  <c r="I148" i="9"/>
  <c r="AE509" i="26"/>
  <c r="AD509" i="26"/>
  <c r="AB77" i="26"/>
  <c r="AG369" i="26"/>
  <c r="G83" i="9"/>
  <c r="G83" i="6"/>
  <c r="BE83" i="26"/>
  <c r="AY214" i="26"/>
  <c r="AX214" i="26" s="1"/>
  <c r="AC193" i="26"/>
  <c r="AL193" i="26"/>
  <c r="AB361" i="9"/>
  <c r="J232" i="30"/>
  <c r="K232" i="30" s="1"/>
  <c r="E232" i="30" s="1"/>
  <c r="G1379" i="10"/>
  <c r="AH1379" i="10"/>
  <c r="U1379" i="10"/>
  <c r="Q1379" i="10"/>
  <c r="AT1379" i="10"/>
  <c r="AJ1379" i="10"/>
  <c r="X1379" i="10"/>
  <c r="AI1379" i="10"/>
  <c r="AE1379" i="10"/>
  <c r="S1379" i="10"/>
  <c r="R1379" i="10"/>
  <c r="Z1379" i="10"/>
  <c r="V1379" i="10"/>
  <c r="AS1379" i="10"/>
  <c r="AM1379" i="10"/>
  <c r="AA1379" i="10"/>
  <c r="N1379" i="10"/>
  <c r="AF1379" i="10"/>
  <c r="Y1379" i="10"/>
  <c r="O1379" i="10"/>
  <c r="M1379" i="10"/>
  <c r="AG1379" i="10"/>
  <c r="AQ1379" i="10"/>
  <c r="AK1379" i="10"/>
  <c r="AC1379" i="10"/>
  <c r="T1379" i="10"/>
  <c r="AB1379" i="10"/>
  <c r="AD1379" i="10"/>
  <c r="L1379" i="10"/>
  <c r="AL1379" i="10"/>
  <c r="K1379" i="10"/>
  <c r="P1379" i="10"/>
  <c r="W1379" i="10"/>
  <c r="J1379" i="10"/>
  <c r="AP1379" i="10"/>
  <c r="AN1379" i="10"/>
  <c r="AO1379" i="10"/>
  <c r="J230" i="30"/>
  <c r="K230" i="30" s="1"/>
  <c r="E230" i="30" s="1"/>
  <c r="F253" i="7"/>
  <c r="K1453" i="10" s="1"/>
  <c r="K1456" i="10"/>
  <c r="L1523" i="10"/>
  <c r="AF314" i="9"/>
  <c r="AC314" i="9"/>
  <c r="AH314" i="9" s="1"/>
  <c r="AY95" i="26"/>
  <c r="AX95" i="26" s="1"/>
  <c r="AD478" i="26"/>
  <c r="AE478" i="26"/>
  <c r="AD518" i="26"/>
  <c r="AE518" i="26"/>
  <c r="AG518" i="26" s="1"/>
  <c r="AC413" i="10"/>
  <c r="AD13" i="10"/>
  <c r="Y413" i="10"/>
  <c r="AI13" i="10"/>
  <c r="AA13" i="10"/>
  <c r="AN13" i="10"/>
  <c r="AJ413" i="10"/>
  <c r="T413" i="10"/>
  <c r="Q13" i="10"/>
  <c r="N13" i="10"/>
  <c r="W13" i="10"/>
  <c r="AA413" i="10"/>
  <c r="AJ13" i="10"/>
  <c r="AH413" i="10"/>
  <c r="L13" i="10"/>
  <c r="AO13" i="10"/>
  <c r="AR13" i="10"/>
  <c r="AC13" i="10"/>
  <c r="AP13" i="10"/>
  <c r="AV13" i="10"/>
  <c r="AW13" i="10"/>
  <c r="AY13" i="10"/>
  <c r="P413" i="10"/>
  <c r="V13" i="10"/>
  <c r="AE413" i="10"/>
  <c r="AN413" i="10"/>
  <c r="X413" i="10"/>
  <c r="AQ413" i="10"/>
  <c r="X13" i="10"/>
  <c r="Q413" i="10"/>
  <c r="AX13" i="10"/>
  <c r="AP413" i="10"/>
  <c r="AF13" i="10"/>
  <c r="N413" i="10"/>
  <c r="AB413" i="10"/>
  <c r="Z413" i="10"/>
  <c r="AU413" i="10"/>
  <c r="AW413" i="10"/>
  <c r="AS413" i="10"/>
  <c r="S413" i="10"/>
  <c r="AG413" i="10"/>
  <c r="Z13" i="10"/>
  <c r="AY413" i="10"/>
  <c r="AT13" i="10"/>
  <c r="AK13" i="10"/>
  <c r="K413" i="10"/>
  <c r="AL413" i="10"/>
  <c r="P13" i="10"/>
  <c r="AF413" i="10"/>
  <c r="U13" i="10"/>
  <c r="AL13" i="10"/>
  <c r="V413" i="10"/>
  <c r="W413" i="10"/>
  <c r="R13" i="10"/>
  <c r="AS13" i="10"/>
  <c r="R413" i="10"/>
  <c r="AB13" i="10"/>
  <c r="Y13" i="10"/>
  <c r="AM13" i="10"/>
  <c r="AV413" i="10"/>
  <c r="AX413" i="10"/>
  <c r="AH13" i="10"/>
  <c r="L413" i="10"/>
  <c r="AK413" i="10"/>
  <c r="U413" i="10"/>
  <c r="M413" i="10"/>
  <c r="O13" i="10"/>
  <c r="AT413" i="10"/>
  <c r="AR413" i="10"/>
  <c r="K13" i="10"/>
  <c r="J13" i="10"/>
  <c r="M13" i="10"/>
  <c r="S13" i="10"/>
  <c r="AD413" i="10"/>
  <c r="AQ13" i="10"/>
  <c r="O413" i="10"/>
  <c r="AM413" i="10"/>
  <c r="AI413" i="10"/>
  <c r="AE13" i="10"/>
  <c r="AO413" i="10"/>
  <c r="AG13" i="10"/>
  <c r="J413" i="10"/>
  <c r="T13" i="10"/>
  <c r="AX33" i="10"/>
  <c r="AI33" i="10"/>
  <c r="P33" i="10"/>
  <c r="AO33" i="10"/>
  <c r="N433" i="10"/>
  <c r="AA33" i="10"/>
  <c r="X33" i="10"/>
  <c r="AF33" i="10"/>
  <c r="AD433" i="10"/>
  <c r="AI433" i="10"/>
  <c r="AT433" i="10"/>
  <c r="U33" i="10"/>
  <c r="AC433" i="10"/>
  <c r="AL433" i="10"/>
  <c r="W433" i="10"/>
  <c r="Y433" i="10"/>
  <c r="K33" i="10"/>
  <c r="AQ433" i="10"/>
  <c r="J33" i="10"/>
  <c r="K433" i="10"/>
  <c r="Q33" i="10"/>
  <c r="AB33" i="10"/>
  <c r="AD33" i="10"/>
  <c r="M33" i="10"/>
  <c r="AN433" i="10"/>
  <c r="R433" i="10"/>
  <c r="AQ33" i="10"/>
  <c r="AC33" i="10"/>
  <c r="AW433" i="10"/>
  <c r="AK433" i="10"/>
  <c r="AH33" i="10"/>
  <c r="AO433" i="10"/>
  <c r="AM433" i="10"/>
  <c r="AK33" i="10"/>
  <c r="J433" i="10"/>
  <c r="AG433" i="10"/>
  <c r="V33" i="10"/>
  <c r="AG33" i="10"/>
  <c r="W33" i="10"/>
  <c r="T33" i="10"/>
  <c r="AH433" i="10"/>
  <c r="AP433" i="10"/>
  <c r="AY33" i="10"/>
  <c r="Y33" i="10"/>
  <c r="AS33" i="10"/>
  <c r="AA433" i="10"/>
  <c r="AE33" i="10"/>
  <c r="Q433" i="10"/>
  <c r="U433" i="10"/>
  <c r="P433" i="10"/>
  <c r="Z433" i="10"/>
  <c r="AN33" i="10"/>
  <c r="AM33" i="10"/>
  <c r="O33" i="10"/>
  <c r="AR433" i="10"/>
  <c r="S33" i="10"/>
  <c r="AV33" i="10"/>
  <c r="AB433" i="10"/>
  <c r="AY433" i="10"/>
  <c r="AF433" i="10"/>
  <c r="AJ33" i="10"/>
  <c r="X433" i="10"/>
  <c r="AW33" i="10"/>
  <c r="V433" i="10"/>
  <c r="AV433" i="10"/>
  <c r="S433" i="10"/>
  <c r="L33" i="10"/>
  <c r="Z33" i="10"/>
  <c r="AT33" i="10"/>
  <c r="AU433" i="10"/>
  <c r="R33" i="10"/>
  <c r="N33" i="10"/>
  <c r="AL33" i="10"/>
  <c r="AS433" i="10"/>
  <c r="L433" i="10"/>
  <c r="AP33" i="10"/>
  <c r="O433" i="10"/>
  <c r="AX433" i="10"/>
  <c r="AR33" i="10"/>
  <c r="AJ433" i="10"/>
  <c r="T433" i="10"/>
  <c r="M433" i="10"/>
  <c r="AE433" i="10"/>
  <c r="AD428" i="26"/>
  <c r="G352" i="6"/>
  <c r="BE352" i="26"/>
  <c r="G352" i="9"/>
  <c r="I256" i="9"/>
  <c r="I256" i="6"/>
  <c r="AY370" i="26"/>
  <c r="AX370" i="26" s="1"/>
  <c r="J96" i="30"/>
  <c r="K96" i="30" s="1"/>
  <c r="E96" i="30" s="1"/>
  <c r="AZ324" i="7"/>
  <c r="BA324" i="7" s="1"/>
  <c r="BB277" i="7"/>
  <c r="BC277" i="7" s="1"/>
  <c r="AL95" i="26"/>
  <c r="AC95" i="26"/>
  <c r="J121" i="30"/>
  <c r="K121" i="30" s="1"/>
  <c r="E121" i="30" s="1"/>
  <c r="J140" i="30"/>
  <c r="K140" i="30" s="1"/>
  <c r="E140" i="30" s="1"/>
  <c r="AL265" i="26"/>
  <c r="AC265" i="26"/>
  <c r="AK265" i="26"/>
  <c r="AL70" i="26"/>
  <c r="AC70" i="26"/>
  <c r="AK70" i="26"/>
  <c r="AU70" i="26" s="1"/>
  <c r="S70" i="26" s="1"/>
  <c r="AP165" i="26"/>
  <c r="AO165" i="26" s="1"/>
  <c r="AL250" i="26"/>
  <c r="AK250" i="26"/>
  <c r="AU250" i="26" s="1"/>
  <c r="S250" i="26" s="1"/>
  <c r="AC250" i="26"/>
  <c r="N1360" i="10"/>
  <c r="AP1360" i="10"/>
  <c r="AD1360" i="10"/>
  <c r="AI1360" i="10"/>
  <c r="AQ1360" i="10"/>
  <c r="L1360" i="10"/>
  <c r="AO1360" i="10"/>
  <c r="AN1360" i="10"/>
  <c r="V1360" i="10"/>
  <c r="Z1360" i="10"/>
  <c r="X1360" i="10"/>
  <c r="AM1360" i="10"/>
  <c r="K1360" i="10"/>
  <c r="P1360" i="10"/>
  <c r="AH1360" i="10"/>
  <c r="AC1360" i="10"/>
  <c r="AJ1360" i="10"/>
  <c r="AF1360" i="10"/>
  <c r="AB1360" i="10"/>
  <c r="Q1360" i="10"/>
  <c r="AR1360" i="10"/>
  <c r="Y1360" i="10"/>
  <c r="AS1360" i="10"/>
  <c r="G1360" i="10"/>
  <c r="AK1360" i="10"/>
  <c r="O1360" i="10"/>
  <c r="AA1360" i="10"/>
  <c r="AG1360" i="10"/>
  <c r="W1360" i="10"/>
  <c r="M1360" i="10"/>
  <c r="J1360" i="10"/>
  <c r="AE1360" i="10"/>
  <c r="AL1360" i="10"/>
  <c r="U1360" i="10"/>
  <c r="S1360" i="10"/>
  <c r="R1360" i="10"/>
  <c r="T1360" i="10"/>
  <c r="AJ519" i="26"/>
  <c r="AH519" i="26"/>
  <c r="AM1252" i="10"/>
  <c r="AE1252" i="10"/>
  <c r="AT1252" i="10"/>
  <c r="L1252" i="10"/>
  <c r="AN1252" i="10"/>
  <c r="S1252" i="10"/>
  <c r="P1252" i="10"/>
  <c r="M1252" i="10"/>
  <c r="U1252" i="10"/>
  <c r="X1252" i="10"/>
  <c r="Q1252" i="10"/>
  <c r="O1252" i="10"/>
  <c r="AS1252" i="10"/>
  <c r="N1252" i="10"/>
  <c r="W1252" i="10"/>
  <c r="AB1252" i="10"/>
  <c r="AG1252" i="10"/>
  <c r="Z1252" i="10"/>
  <c r="Y1252" i="10"/>
  <c r="AQ1252" i="10"/>
  <c r="AO1252" i="10"/>
  <c r="AJ1252" i="10"/>
  <c r="AA1252" i="10"/>
  <c r="AP1252" i="10"/>
  <c r="AK1252" i="10"/>
  <c r="AD1252" i="10"/>
  <c r="AR1252" i="10"/>
  <c r="J1252" i="10"/>
  <c r="AC1252" i="10"/>
  <c r="K1252" i="10"/>
  <c r="AI1252" i="10"/>
  <c r="T1252" i="10"/>
  <c r="AF1252" i="10"/>
  <c r="AL222" i="26"/>
  <c r="AC222" i="26"/>
  <c r="AK222" i="26"/>
  <c r="AU222" i="26" s="1"/>
  <c r="S222" i="26" s="1"/>
  <c r="AL383" i="26"/>
  <c r="AK383" i="26"/>
  <c r="AC383" i="26"/>
  <c r="J45" i="30"/>
  <c r="K45" i="30" s="1"/>
  <c r="E45" i="30" s="1"/>
  <c r="J109" i="30"/>
  <c r="K109" i="30" s="1"/>
  <c r="E109" i="30" s="1"/>
  <c r="J173" i="30"/>
  <c r="K173" i="30" s="1"/>
  <c r="E173" i="30" s="1"/>
  <c r="J192" i="30"/>
  <c r="K192" i="30" s="1"/>
  <c r="E192" i="30" s="1"/>
  <c r="J205" i="30"/>
  <c r="K205" i="30" s="1"/>
  <c r="E205" i="30" s="1"/>
  <c r="AL93" i="26"/>
  <c r="AK93" i="26"/>
  <c r="AC93" i="26"/>
  <c r="AB93" i="26"/>
  <c r="AC232" i="26"/>
  <c r="AL232" i="26"/>
  <c r="AK232" i="26"/>
  <c r="AU232" i="26" s="1"/>
  <c r="S232" i="26" s="1"/>
  <c r="AB258" i="9"/>
  <c r="AH503" i="26"/>
  <c r="J101" i="30"/>
  <c r="K101" i="30" s="1"/>
  <c r="E101" i="30" s="1"/>
  <c r="J133" i="30"/>
  <c r="K133" i="30" s="1"/>
  <c r="E133" i="30" s="1"/>
  <c r="J168" i="30"/>
  <c r="K168" i="30" s="1"/>
  <c r="E168" i="30" s="1"/>
  <c r="J181" i="30"/>
  <c r="K181" i="30" s="1"/>
  <c r="E181" i="30" s="1"/>
  <c r="J200" i="30"/>
  <c r="K200" i="30" s="1"/>
  <c r="E200" i="30" s="1"/>
  <c r="J213" i="30"/>
  <c r="K213" i="30" s="1"/>
  <c r="E213" i="30" s="1"/>
  <c r="J222" i="30"/>
  <c r="K222" i="30" s="1"/>
  <c r="E222" i="30" s="1"/>
  <c r="AP1416" i="10"/>
  <c r="AQ1416" i="10"/>
  <c r="U1416" i="10"/>
  <c r="Q1416" i="10"/>
  <c r="AM1416" i="10"/>
  <c r="AC1416" i="10"/>
  <c r="L1416" i="10"/>
  <c r="X1416" i="10"/>
  <c r="S1416" i="10"/>
  <c r="G1416" i="10"/>
  <c r="AB1416" i="10"/>
  <c r="AT1416" i="10"/>
  <c r="Y1416" i="10"/>
  <c r="AL1416" i="10"/>
  <c r="O1416" i="10"/>
  <c r="AR1416" i="10"/>
  <c r="AG1416" i="10"/>
  <c r="AS1416" i="10"/>
  <c r="K1416" i="10"/>
  <c r="AA1416" i="10"/>
  <c r="AH1416" i="10"/>
  <c r="T1416" i="10"/>
  <c r="N1416" i="10"/>
  <c r="P1416" i="10"/>
  <c r="W1416" i="10"/>
  <c r="J1416" i="10"/>
  <c r="AJ1416" i="10"/>
  <c r="M1416" i="10"/>
  <c r="AD1416" i="10"/>
  <c r="AI1416" i="10"/>
  <c r="AK1416" i="10"/>
  <c r="AF1416" i="10"/>
  <c r="R1416" i="10"/>
  <c r="AO1416" i="10"/>
  <c r="V1416" i="10"/>
  <c r="AN1416" i="10"/>
  <c r="G1228" i="10"/>
  <c r="AC110" i="26"/>
  <c r="AL110" i="26"/>
  <c r="AK110" i="26"/>
  <c r="AU110" i="26" s="1"/>
  <c r="S110" i="26" s="1"/>
  <c r="H12" i="7"/>
  <c r="M1266" i="10"/>
  <c r="O323" i="7"/>
  <c r="T323" i="10" s="1"/>
  <c r="T1524" i="10"/>
  <c r="S323" i="7"/>
  <c r="X323" i="10" s="1"/>
  <c r="X1524" i="10"/>
  <c r="AI323" i="7"/>
  <c r="AN323" i="10" s="1"/>
  <c r="AN1524" i="10"/>
  <c r="J1228" i="10"/>
  <c r="R1450" i="10"/>
  <c r="R1252" i="10"/>
  <c r="AL1299" i="10"/>
  <c r="AH1252" i="10"/>
  <c r="AP1564" i="10"/>
  <c r="AB383" i="26"/>
  <c r="AB193" i="26"/>
  <c r="Z269" i="6"/>
  <c r="AG269" i="6" s="1"/>
  <c r="AE269" i="6"/>
  <c r="AE325" i="6"/>
  <c r="Z325" i="6"/>
  <c r="AG325" i="6" s="1"/>
  <c r="BD289" i="26"/>
  <c r="G289" i="10"/>
  <c r="AB95" i="26"/>
  <c r="AB99" i="26"/>
  <c r="I359" i="6"/>
  <c r="I359" i="9"/>
  <c r="AC302" i="9"/>
  <c r="AH302" i="9" s="1"/>
  <c r="AF302" i="9"/>
  <c r="AD453" i="26"/>
  <c r="AE453" i="26"/>
  <c r="AK86" i="26"/>
  <c r="AU86" i="26" s="1"/>
  <c r="S86" i="26" s="1"/>
  <c r="R86" i="26" s="1"/>
  <c r="BD339" i="26"/>
  <c r="G339" i="10"/>
  <c r="AC96" i="6"/>
  <c r="AH96" i="6" s="1"/>
  <c r="AF96" i="6"/>
  <c r="AF13" i="6"/>
  <c r="AC13" i="6"/>
  <c r="AH13" i="6" s="1"/>
  <c r="AC86" i="26"/>
  <c r="AL86" i="26"/>
  <c r="AL68" i="26"/>
  <c r="AC68" i="26"/>
  <c r="AK68" i="26"/>
  <c r="AU68" i="26" s="1"/>
  <c r="S68" i="26" s="1"/>
  <c r="AB1450" i="10"/>
  <c r="U1450" i="10"/>
  <c r="AO1450" i="10"/>
  <c r="S1450" i="10"/>
  <c r="AG1450" i="10"/>
  <c r="W1450" i="10"/>
  <c r="AN1450" i="10"/>
  <c r="P1450" i="10"/>
  <c r="AL1450" i="10"/>
  <c r="AA1450" i="10"/>
  <c r="X1450" i="10"/>
  <c r="AJ1450" i="10"/>
  <c r="Z1450" i="10"/>
  <c r="AD1450" i="10"/>
  <c r="V1450" i="10"/>
  <c r="AC1450" i="10"/>
  <c r="AR1450" i="10"/>
  <c r="AK1450" i="10"/>
  <c r="AT1450" i="10"/>
  <c r="AS1450" i="10"/>
  <c r="Q1450" i="10"/>
  <c r="AF1450" i="10"/>
  <c r="AP1450" i="10"/>
  <c r="M1450" i="10"/>
  <c r="AE1450" i="10"/>
  <c r="AH1450" i="10"/>
  <c r="Y1450" i="10"/>
  <c r="O1450" i="10"/>
  <c r="T1450" i="10"/>
  <c r="AI1450" i="10"/>
  <c r="N1450" i="10"/>
  <c r="L1450" i="10"/>
  <c r="AM1450" i="10"/>
  <c r="J1450" i="10"/>
  <c r="AQ1450" i="10"/>
  <c r="G1450" i="10"/>
  <c r="AL350" i="26"/>
  <c r="AM350" i="26" s="1"/>
  <c r="Q350" i="26" s="1"/>
  <c r="AB350" i="26"/>
  <c r="AC350" i="26"/>
  <c r="G1328" i="10"/>
  <c r="AJ1328" i="10"/>
  <c r="AE1328" i="10"/>
  <c r="AR1328" i="10"/>
  <c r="AO1328" i="10"/>
  <c r="M1328" i="10"/>
  <c r="AL1328" i="10"/>
  <c r="AT1328" i="10"/>
  <c r="P1328" i="10"/>
  <c r="AF1328" i="10"/>
  <c r="AB1328" i="10"/>
  <c r="AA1328" i="10"/>
  <c r="S1328" i="10"/>
  <c r="AM1328" i="10"/>
  <c r="X1328" i="10"/>
  <c r="AH1328" i="10"/>
  <c r="AS1328" i="10"/>
  <c r="N1328" i="10"/>
  <c r="J1328" i="10"/>
  <c r="AD1328" i="10"/>
  <c r="W1328" i="10"/>
  <c r="R1328" i="10"/>
  <c r="AP1328" i="10"/>
  <c r="Z1328" i="10"/>
  <c r="K1328" i="10"/>
  <c r="AI1328" i="10"/>
  <c r="AC1328" i="10"/>
  <c r="O1328" i="10"/>
  <c r="V1328" i="10"/>
  <c r="Y1328" i="10"/>
  <c r="AG1328" i="10"/>
  <c r="L1328" i="10"/>
  <c r="U1328" i="10"/>
  <c r="Q1328" i="10"/>
  <c r="AQ1328" i="10"/>
  <c r="AK1328" i="10"/>
  <c r="T1328" i="10"/>
  <c r="AL228" i="26"/>
  <c r="AK228" i="26"/>
  <c r="AU228" i="26" s="1"/>
  <c r="S228" i="26" s="1"/>
  <c r="AC228" i="26"/>
  <c r="AC1311" i="10"/>
  <c r="AF1311" i="10"/>
  <c r="AJ1311" i="10"/>
  <c r="AE1311" i="10"/>
  <c r="U1311" i="10"/>
  <c r="AG1311" i="10"/>
  <c r="AA1311" i="10"/>
  <c r="V1311" i="10"/>
  <c r="AI1311" i="10"/>
  <c r="AP1311" i="10"/>
  <c r="AM1311" i="10"/>
  <c r="M1311" i="10"/>
  <c r="AH1311" i="10"/>
  <c r="AQ1311" i="10"/>
  <c r="AR1311" i="10"/>
  <c r="J1311" i="10"/>
  <c r="W1311" i="10"/>
  <c r="O1311" i="10"/>
  <c r="L1311" i="10"/>
  <c r="Y1311" i="10"/>
  <c r="AO1311" i="10"/>
  <c r="S1311" i="10"/>
  <c r="R1311" i="10"/>
  <c r="AB1311" i="10"/>
  <c r="K1311" i="10"/>
  <c r="AT1311" i="10"/>
  <c r="AN1311" i="10"/>
  <c r="AD1311" i="10"/>
  <c r="P1311" i="10"/>
  <c r="AS1311" i="10"/>
  <c r="N1311" i="10"/>
  <c r="AL1311" i="10"/>
  <c r="AK1311" i="10"/>
  <c r="G1311" i="10"/>
  <c r="X1311" i="10"/>
  <c r="T1311" i="10"/>
  <c r="Z1311" i="10"/>
  <c r="L1293" i="10"/>
  <c r="T1293" i="10"/>
  <c r="J1293" i="10"/>
  <c r="R1293" i="10"/>
  <c r="W1293" i="10"/>
  <c r="AR1293" i="10"/>
  <c r="AG1293" i="10"/>
  <c r="AA1293" i="10"/>
  <c r="AK1293" i="10"/>
  <c r="AP1293" i="10"/>
  <c r="AH1293" i="10"/>
  <c r="N1293" i="10"/>
  <c r="Z1293" i="10"/>
  <c r="Y1293" i="10"/>
  <c r="AE1293" i="10"/>
  <c r="AI1293" i="10"/>
  <c r="P1293" i="10"/>
  <c r="AT1293" i="10"/>
  <c r="Q1293" i="10"/>
  <c r="V1293" i="10"/>
  <c r="K1293" i="10"/>
  <c r="AM1293" i="10"/>
  <c r="AD1293" i="10"/>
  <c r="AJ1293" i="10"/>
  <c r="AQ1293" i="10"/>
  <c r="AL1293" i="10"/>
  <c r="AC1293" i="10"/>
  <c r="S1293" i="10"/>
  <c r="M1293" i="10"/>
  <c r="O1293" i="10"/>
  <c r="U1293" i="10"/>
  <c r="AS1293" i="10"/>
  <c r="AF1293" i="10"/>
  <c r="AO1293" i="10"/>
  <c r="G253" i="7"/>
  <c r="L1453" i="10" s="1"/>
  <c r="L1456" i="10"/>
  <c r="I253" i="7"/>
  <c r="N1453" i="10" s="1"/>
  <c r="N1456" i="10"/>
  <c r="R323" i="7"/>
  <c r="W323" i="10" s="1"/>
  <c r="W1524" i="10"/>
  <c r="AZ256" i="7"/>
  <c r="BA256" i="7" s="1"/>
  <c r="BB98" i="7"/>
  <c r="BC98" i="7" s="1"/>
  <c r="AC451" i="26"/>
  <c r="AZ451" i="26" s="1"/>
  <c r="BB451" i="26" s="1"/>
  <c r="BA451" i="26" s="1"/>
  <c r="AC28" i="26"/>
  <c r="AL28" i="26"/>
  <c r="AK28" i="26"/>
  <c r="AU28" i="26" s="1"/>
  <c r="S28" i="26" s="1"/>
  <c r="AL99" i="26"/>
  <c r="AC99" i="26"/>
  <c r="G1385" i="10"/>
  <c r="W1385" i="10"/>
  <c r="AJ1385" i="10"/>
  <c r="AT1385" i="10"/>
  <c r="Y1385" i="10"/>
  <c r="U1385" i="10"/>
  <c r="AQ1385" i="10"/>
  <c r="R1385" i="10"/>
  <c r="AB1385" i="10"/>
  <c r="AF1385" i="10"/>
  <c r="AD1385" i="10"/>
  <c r="N1385" i="10"/>
  <c r="AO1385" i="10"/>
  <c r="K1385" i="10"/>
  <c r="AN1385" i="10"/>
  <c r="AE1385" i="10"/>
  <c r="AL1385" i="10"/>
  <c r="V1385" i="10"/>
  <c r="J1385" i="10"/>
  <c r="X1385" i="10"/>
  <c r="AR1385" i="10"/>
  <c r="Z1385" i="10"/>
  <c r="S1385" i="10"/>
  <c r="AK1385" i="10"/>
  <c r="AC1385" i="10"/>
  <c r="O1385" i="10"/>
  <c r="AH1385" i="10"/>
  <c r="M1385" i="10"/>
  <c r="AG1385" i="10"/>
  <c r="AP1385" i="10"/>
  <c r="P1385" i="10"/>
  <c r="AI1385" i="10"/>
  <c r="AA1385" i="10"/>
  <c r="L1385" i="10"/>
  <c r="Q1385" i="10"/>
  <c r="AM1385" i="10"/>
  <c r="AS1385" i="10"/>
  <c r="AC160" i="26"/>
  <c r="AL160" i="26"/>
  <c r="AK160" i="26"/>
  <c r="AU160" i="26" s="1"/>
  <c r="S160" i="26" s="1"/>
  <c r="AL356" i="26"/>
  <c r="AC356" i="26"/>
  <c r="AD356" i="26" s="1"/>
  <c r="O356" i="26" s="1"/>
  <c r="AK356" i="26"/>
  <c r="AU356" i="26" s="1"/>
  <c r="S356" i="26" s="1"/>
  <c r="AB233" i="9"/>
  <c r="AL52" i="26"/>
  <c r="AC52" i="26"/>
  <c r="AK52" i="26"/>
  <c r="N1570" i="10"/>
  <c r="AM1570" i="10"/>
  <c r="V1570" i="10"/>
  <c r="AR1570" i="10"/>
  <c r="AG1570" i="10"/>
  <c r="AA1570" i="10"/>
  <c r="AI1570" i="10"/>
  <c r="AE1570" i="10"/>
  <c r="AQ1570" i="10"/>
  <c r="AJ1570" i="10"/>
  <c r="W1570" i="10"/>
  <c r="AT1570" i="10"/>
  <c r="AC1570" i="10"/>
  <c r="S1570" i="10"/>
  <c r="Z1570" i="10"/>
  <c r="P1570" i="10"/>
  <c r="AK1570" i="10"/>
  <c r="AO1570" i="10"/>
  <c r="O1570" i="10"/>
  <c r="AL1570" i="10"/>
  <c r="AP1570" i="10"/>
  <c r="M1570" i="10"/>
  <c r="AN1570" i="10"/>
  <c r="Q1570" i="10"/>
  <c r="AD1570" i="10"/>
  <c r="AF1570" i="10"/>
  <c r="L1570" i="10"/>
  <c r="J1570" i="10"/>
  <c r="X1570" i="10"/>
  <c r="AS1570" i="10"/>
  <c r="T1570" i="10"/>
  <c r="AH1570" i="10"/>
  <c r="R1570" i="10"/>
  <c r="U1570" i="10"/>
  <c r="AC345" i="26"/>
  <c r="AB345" i="26"/>
  <c r="J228" i="30"/>
  <c r="K228" i="30" s="1"/>
  <c r="E228" i="30" s="1"/>
  <c r="J236" i="30"/>
  <c r="K236" i="30" s="1"/>
  <c r="E236" i="30" s="1"/>
  <c r="AJ420" i="26"/>
  <c r="AH420" i="26"/>
  <c r="AB293" i="9"/>
  <c r="AO97" i="7"/>
  <c r="AH514" i="26"/>
  <c r="AJ514" i="26"/>
  <c r="J234" i="30"/>
  <c r="K234" i="30" s="1"/>
  <c r="E234" i="30" s="1"/>
  <c r="G1310" i="10"/>
  <c r="K1310" i="10"/>
  <c r="AM1310" i="10"/>
  <c r="Q1310" i="10"/>
  <c r="AB1310" i="10"/>
  <c r="U1310" i="10"/>
  <c r="AC1310" i="10"/>
  <c r="AT1310" i="10"/>
  <c r="AK1310" i="10"/>
  <c r="V1310" i="10"/>
  <c r="AQ1310" i="10"/>
  <c r="S1310" i="10"/>
  <c r="T1310" i="10"/>
  <c r="J1310" i="10"/>
  <c r="AS1310" i="10"/>
  <c r="AD1310" i="10"/>
  <c r="R1310" i="10"/>
  <c r="AR1310" i="10"/>
  <c r="AP1310" i="10"/>
  <c r="N1310" i="10"/>
  <c r="O1310" i="10"/>
  <c r="AJ1310" i="10"/>
  <c r="P1310" i="10"/>
  <c r="W1310" i="10"/>
  <c r="AN1310" i="10"/>
  <c r="Y1310" i="10"/>
  <c r="AF1310" i="10"/>
  <c r="X1310" i="10"/>
  <c r="Z1310" i="10"/>
  <c r="AH1310" i="10"/>
  <c r="AL1310" i="10"/>
  <c r="M1310" i="10"/>
  <c r="AO1310" i="10"/>
  <c r="L1310" i="10"/>
  <c r="AI1310" i="10"/>
  <c r="AA1310" i="10"/>
  <c r="AG1310" i="10"/>
  <c r="I323" i="7"/>
  <c r="N323" i="10" s="1"/>
  <c r="N1524" i="10"/>
  <c r="Y1570" i="10"/>
  <c r="AT1360" i="10"/>
  <c r="S1524" i="10"/>
  <c r="W1299" i="10"/>
  <c r="V1252" i="10"/>
  <c r="Q1311" i="10"/>
  <c r="AL1252" i="10"/>
  <c r="AN1328" i="10"/>
  <c r="AB1293" i="10"/>
  <c r="AB265" i="26"/>
  <c r="AB70" i="26"/>
  <c r="AB232" i="26"/>
  <c r="I373" i="9"/>
  <c r="I373" i="6"/>
  <c r="G339" i="6"/>
  <c r="G339" i="9"/>
  <c r="BE339" i="26"/>
  <c r="AB250" i="26"/>
  <c r="I67" i="6"/>
  <c r="I67" i="9"/>
  <c r="AB110" i="26"/>
  <c r="AY90" i="26"/>
  <c r="AX90" i="26" s="1"/>
  <c r="AY216" i="26"/>
  <c r="AX216" i="26" s="1"/>
  <c r="AF118" i="6"/>
  <c r="AC118" i="6"/>
  <c r="AH118" i="6" s="1"/>
  <c r="N219" i="10"/>
  <c r="V219" i="10"/>
  <c r="AQ219" i="10"/>
  <c r="AK619" i="10"/>
  <c r="AB619" i="10"/>
  <c r="AG219" i="10"/>
  <c r="T619" i="10"/>
  <c r="Q619" i="10"/>
  <c r="AD219" i="10"/>
  <c r="AC619" i="10"/>
  <c r="J619" i="10"/>
  <c r="Z219" i="10"/>
  <c r="S619" i="10"/>
  <c r="AR619" i="10"/>
  <c r="AV619" i="10"/>
  <c r="AV219" i="10"/>
  <c r="AL219" i="10"/>
  <c r="M219" i="10"/>
  <c r="AW619" i="10"/>
  <c r="AS619" i="10"/>
  <c r="AN619" i="10"/>
  <c r="T219" i="10"/>
  <c r="AX219" i="10"/>
  <c r="AJ619" i="10"/>
  <c r="U619" i="10"/>
  <c r="AB219" i="10"/>
  <c r="AF619" i="10"/>
  <c r="P219" i="10"/>
  <c r="W619" i="10"/>
  <c r="M619" i="10"/>
  <c r="Q219" i="10"/>
  <c r="O619" i="10"/>
  <c r="AI219" i="10"/>
  <c r="L619" i="10"/>
  <c r="AH219" i="10"/>
  <c r="Y619" i="10"/>
  <c r="AR219" i="10"/>
  <c r="AT619" i="10"/>
  <c r="AQ619" i="10"/>
  <c r="AP219" i="10"/>
  <c r="AJ219" i="10"/>
  <c r="AX619" i="10"/>
  <c r="AA219" i="10"/>
  <c r="N619" i="10"/>
  <c r="AE619" i="10"/>
  <c r="AO619" i="10"/>
  <c r="AY619" i="10"/>
  <c r="R619" i="10"/>
  <c r="AM219" i="10"/>
  <c r="J219" i="10"/>
  <c r="O219" i="10"/>
  <c r="AU619" i="10"/>
  <c r="AF219" i="10"/>
  <c r="S219" i="10"/>
  <c r="Z619" i="10"/>
  <c r="AP619" i="10"/>
  <c r="P619" i="10"/>
  <c r="K619" i="10"/>
  <c r="X219" i="10"/>
  <c r="AL619" i="10"/>
  <c r="AY219" i="10"/>
  <c r="AM619" i="10"/>
  <c r="AA619" i="10"/>
  <c r="AC219" i="10"/>
  <c r="AT219" i="10"/>
  <c r="AW219" i="10"/>
  <c r="AO219" i="10"/>
  <c r="AC518" i="26"/>
  <c r="BE518" i="26" s="1"/>
  <c r="AC124" i="6"/>
  <c r="AH124" i="6" s="1"/>
  <c r="AF124" i="6"/>
  <c r="I315" i="6"/>
  <c r="I315" i="9"/>
  <c r="AE463" i="26"/>
  <c r="AD463" i="26"/>
  <c r="AY365" i="26"/>
  <c r="AX365" i="26" s="1"/>
  <c r="AY54" i="26"/>
  <c r="AX54" i="26" s="1"/>
  <c r="AY229" i="26"/>
  <c r="AX229" i="26" s="1"/>
  <c r="AM1523" i="10"/>
  <c r="Z380" i="6"/>
  <c r="AG380" i="6" s="1"/>
  <c r="AE380" i="6"/>
  <c r="I367" i="6"/>
  <c r="I367" i="9"/>
  <c r="AF353" i="6"/>
  <c r="AC353" i="6"/>
  <c r="AH353" i="6" s="1"/>
  <c r="AY191" i="26"/>
  <c r="AX191" i="26" s="1"/>
  <c r="P718" i="10"/>
  <c r="U718" i="10"/>
  <c r="AK318" i="10"/>
  <c r="AY718" i="10"/>
  <c r="O318" i="10"/>
  <c r="AC718" i="10"/>
  <c r="AR318" i="10"/>
  <c r="AX718" i="10"/>
  <c r="AB718" i="10"/>
  <c r="AG318" i="10"/>
  <c r="AJ318" i="10"/>
  <c r="AG718" i="10"/>
  <c r="AE718" i="10"/>
  <c r="Z318" i="10"/>
  <c r="AH718" i="10"/>
  <c r="AL318" i="10"/>
  <c r="R318" i="10"/>
  <c r="K718" i="10"/>
  <c r="AP318" i="10"/>
  <c r="AS718" i="10"/>
  <c r="S318" i="10"/>
  <c r="AI718" i="10"/>
  <c r="X718" i="10"/>
  <c r="AC318" i="10"/>
  <c r="L718" i="10"/>
  <c r="Z718" i="10"/>
  <c r="AX318" i="10"/>
  <c r="AA318" i="10"/>
  <c r="AT718" i="10"/>
  <c r="AS318" i="10"/>
  <c r="AD718" i="10"/>
  <c r="U318" i="10"/>
  <c r="X318" i="10"/>
  <c r="Y318" i="10"/>
  <c r="N318" i="10"/>
  <c r="AM318" i="10"/>
  <c r="AY318" i="10"/>
  <c r="AP718" i="10"/>
  <c r="J718" i="10"/>
  <c r="AK718" i="10"/>
  <c r="M318" i="10"/>
  <c r="AF318" i="10"/>
  <c r="AT318" i="10"/>
  <c r="AO318" i="10"/>
  <c r="AV718" i="10"/>
  <c r="AW318" i="10"/>
  <c r="AM718" i="10"/>
  <c r="T718" i="10"/>
  <c r="AB318" i="10"/>
  <c r="Q718" i="10"/>
  <c r="AU718" i="10"/>
  <c r="M718" i="10"/>
  <c r="AO718" i="10"/>
  <c r="AF718" i="10"/>
  <c r="J318" i="10"/>
  <c r="AE318" i="10"/>
  <c r="AW718" i="10"/>
  <c r="AI318" i="10"/>
  <c r="O718" i="10"/>
  <c r="AN318" i="10"/>
  <c r="AH318" i="10"/>
  <c r="AN718" i="10"/>
  <c r="T318" i="10"/>
  <c r="W718" i="10"/>
  <c r="V718" i="10"/>
  <c r="V318" i="10"/>
  <c r="AL718" i="10"/>
  <c r="AD318" i="10"/>
  <c r="R718" i="10"/>
  <c r="AQ318" i="10"/>
  <c r="Y718" i="10"/>
  <c r="K318" i="10"/>
  <c r="AQ718" i="10"/>
  <c r="AR718" i="10"/>
  <c r="AV318" i="10"/>
  <c r="L318" i="10"/>
  <c r="N718" i="10"/>
  <c r="Q318" i="10"/>
  <c r="W318" i="10"/>
  <c r="AA718" i="10"/>
  <c r="S718" i="10"/>
  <c r="P318" i="10"/>
  <c r="AJ718" i="10"/>
  <c r="AF218" i="6"/>
  <c r="AC218" i="6"/>
  <c r="AH218" i="6" s="1"/>
  <c r="AF98" i="9"/>
  <c r="AC98" i="9"/>
  <c r="AH98" i="9" s="1"/>
  <c r="AL157" i="26"/>
  <c r="AK157" i="26"/>
  <c r="AC157" i="26"/>
  <c r="AC381" i="26"/>
  <c r="AL381" i="26"/>
  <c r="AK381" i="26"/>
  <c r="G1432" i="10"/>
  <c r="K1432" i="10"/>
  <c r="AN1432" i="10"/>
  <c r="AE1432" i="10"/>
  <c r="AG1432" i="10"/>
  <c r="S1432" i="10"/>
  <c r="AS1432" i="10"/>
  <c r="AB1432" i="10"/>
  <c r="AJ1432" i="10"/>
  <c r="U1432" i="10"/>
  <c r="P1432" i="10"/>
  <c r="AL1432" i="10"/>
  <c r="AR1432" i="10"/>
  <c r="Z1432" i="10"/>
  <c r="T1432" i="10"/>
  <c r="AD1432" i="10"/>
  <c r="AH1432" i="10"/>
  <c r="AQ1432" i="10"/>
  <c r="N1432" i="10"/>
  <c r="AF1432" i="10"/>
  <c r="AK1432" i="10"/>
  <c r="M1432" i="10"/>
  <c r="AA1432" i="10"/>
  <c r="AC1432" i="10"/>
  <c r="O1432" i="10"/>
  <c r="AP1432" i="10"/>
  <c r="W1432" i="10"/>
  <c r="X1432" i="10"/>
  <c r="AI1432" i="10"/>
  <c r="L1432" i="10"/>
  <c r="Q1432" i="10"/>
  <c r="AM1432" i="10"/>
  <c r="V1432" i="10"/>
  <c r="AT1432" i="10"/>
  <c r="AO1432" i="10"/>
  <c r="R1432" i="10"/>
  <c r="J1432" i="10"/>
  <c r="Y1432" i="10"/>
  <c r="G1564" i="10"/>
  <c r="M1564" i="10"/>
  <c r="AI1564" i="10"/>
  <c r="T1564" i="10"/>
  <c r="N1564" i="10"/>
  <c r="AM1564" i="10"/>
  <c r="AB1564" i="10"/>
  <c r="K1564" i="10"/>
  <c r="S1564" i="10"/>
  <c r="AL1564" i="10"/>
  <c r="V1564" i="10"/>
  <c r="AC1564" i="10"/>
  <c r="AT1564" i="10"/>
  <c r="AK1564" i="10"/>
  <c r="R1564" i="10"/>
  <c r="AQ1564" i="10"/>
  <c r="AJ1564" i="10"/>
  <c r="P1564" i="10"/>
  <c r="J1564" i="10"/>
  <c r="W1564" i="10"/>
  <c r="AA1564" i="10"/>
  <c r="Q1564" i="10"/>
  <c r="Y1564" i="10"/>
  <c r="AO1564" i="10"/>
  <c r="AG1564" i="10"/>
  <c r="Z1564" i="10"/>
  <c r="AR1564" i="10"/>
  <c r="AE1564" i="10"/>
  <c r="O1564" i="10"/>
  <c r="X1564" i="10"/>
  <c r="AD1564" i="10"/>
  <c r="AS1564" i="10"/>
  <c r="AF1564" i="10"/>
  <c r="AH1564" i="10"/>
  <c r="AN1564" i="10"/>
  <c r="U1564" i="10"/>
  <c r="AC216" i="26"/>
  <c r="AL216" i="26"/>
  <c r="AE451" i="26"/>
  <c r="AD451" i="26"/>
  <c r="AZ277" i="7"/>
  <c r="BA277" i="7" s="1"/>
  <c r="BB256" i="7"/>
  <c r="BC256" i="7" s="1"/>
  <c r="W393" i="7"/>
  <c r="AK193" i="26"/>
  <c r="J100" i="30"/>
  <c r="K100" i="30" s="1"/>
  <c r="E100" i="30" s="1"/>
  <c r="J108" i="30"/>
  <c r="K108" i="30" s="1"/>
  <c r="E108" i="30" s="1"/>
  <c r="Q1228" i="10"/>
  <c r="V1228" i="10"/>
  <c r="AK1228" i="10"/>
  <c r="U1228" i="10"/>
  <c r="AN1228" i="10"/>
  <c r="O1228" i="10"/>
  <c r="X1228" i="10"/>
  <c r="AM1228" i="10"/>
  <c r="AA1228" i="10"/>
  <c r="T1228" i="10"/>
  <c r="M1228" i="10"/>
  <c r="AG1228" i="10"/>
  <c r="AJ1228" i="10"/>
  <c r="AH1228" i="10"/>
  <c r="W1228" i="10"/>
  <c r="AI1228" i="10"/>
  <c r="R1228" i="10"/>
  <c r="AP1228" i="10"/>
  <c r="AL1228" i="10"/>
  <c r="AO1228" i="10"/>
  <c r="P1228" i="10"/>
  <c r="S1228" i="10"/>
  <c r="AC1228" i="10"/>
  <c r="K1228" i="10"/>
  <c r="AS1228" i="10"/>
  <c r="AF1228" i="10"/>
  <c r="Z1228" i="10"/>
  <c r="AE1228" i="10"/>
  <c r="AB1228" i="10"/>
  <c r="Y1228" i="10"/>
  <c r="L1228" i="10"/>
  <c r="N1228" i="10"/>
  <c r="AR1228" i="10"/>
  <c r="G1299" i="10"/>
  <c r="R1299" i="10"/>
  <c r="AH1299" i="10"/>
  <c r="U1299" i="10"/>
  <c r="AI1299" i="10"/>
  <c r="O1299" i="10"/>
  <c r="X1299" i="10"/>
  <c r="AB1299" i="10"/>
  <c r="AA1299" i="10"/>
  <c r="AP1299" i="10"/>
  <c r="S1299" i="10"/>
  <c r="AQ1299" i="10"/>
  <c r="AT1299" i="10"/>
  <c r="AM1299" i="10"/>
  <c r="AR1299" i="10"/>
  <c r="M1299" i="10"/>
  <c r="J1299" i="10"/>
  <c r="Y1299" i="10"/>
  <c r="Z1299" i="10"/>
  <c r="AN1299" i="10"/>
  <c r="AK1299" i="10"/>
  <c r="N1299" i="10"/>
  <c r="AE1299" i="10"/>
  <c r="AD1299" i="10"/>
  <c r="V1299" i="10"/>
  <c r="L1299" i="10"/>
  <c r="AO1299" i="10"/>
  <c r="AC1299" i="10"/>
  <c r="P1299" i="10"/>
  <c r="T1299" i="10"/>
  <c r="AJ1299" i="10"/>
  <c r="AC114" i="26"/>
  <c r="AK114" i="26"/>
  <c r="AU114" i="26" s="1"/>
  <c r="S114" i="26" s="1"/>
  <c r="R114" i="26" s="1"/>
  <c r="AL114" i="26"/>
  <c r="AL185" i="26"/>
  <c r="AB185" i="26"/>
  <c r="AC185" i="26"/>
  <c r="AC327" i="26"/>
  <c r="AL327" i="26"/>
  <c r="AK327" i="26"/>
  <c r="AL128" i="26"/>
  <c r="AC128" i="26"/>
  <c r="AK128" i="26"/>
  <c r="Q1428" i="10"/>
  <c r="AH1428" i="10"/>
  <c r="AJ1428" i="10"/>
  <c r="AL1428" i="10"/>
  <c r="AR1428" i="10"/>
  <c r="AP1428" i="10"/>
  <c r="N1428" i="10"/>
  <c r="P1428" i="10"/>
  <c r="AB1428" i="10"/>
  <c r="X1428" i="10"/>
  <c r="Z1428" i="10"/>
  <c r="AF1428" i="10"/>
  <c r="AN1428" i="10"/>
  <c r="AA1428" i="10"/>
  <c r="Y1428" i="10"/>
  <c r="AE1428" i="10"/>
  <c r="AG1428" i="10"/>
  <c r="M1428" i="10"/>
  <c r="AM1428" i="10"/>
  <c r="S1428" i="10"/>
  <c r="AQ1428" i="10"/>
  <c r="L1428" i="10"/>
  <c r="AO1428" i="10"/>
  <c r="AD1428" i="10"/>
  <c r="W1428" i="10"/>
  <c r="R1428" i="10"/>
  <c r="V1428" i="10"/>
  <c r="J1428" i="10"/>
  <c r="U1428" i="10"/>
  <c r="T1428" i="10"/>
  <c r="K1428" i="10"/>
  <c r="AI1428" i="10"/>
  <c r="O1428" i="10"/>
  <c r="AS1428" i="10"/>
  <c r="AC1428" i="10"/>
  <c r="AT1428" i="10"/>
  <c r="AK1428" i="10"/>
  <c r="AB284" i="9"/>
  <c r="AL111" i="26"/>
  <c r="AK111" i="26"/>
  <c r="AC111" i="26"/>
  <c r="AC370" i="26"/>
  <c r="AB370" i="26"/>
  <c r="AL370" i="26"/>
  <c r="J93" i="30"/>
  <c r="K93" i="30" s="1"/>
  <c r="E93" i="30" s="1"/>
  <c r="J125" i="30"/>
  <c r="K125" i="30" s="1"/>
  <c r="E125" i="30" s="1"/>
  <c r="J157" i="30"/>
  <c r="K157" i="30" s="1"/>
  <c r="E157" i="30" s="1"/>
  <c r="J176" i="30"/>
  <c r="K176" i="30" s="1"/>
  <c r="E176" i="30" s="1"/>
  <c r="J189" i="30"/>
  <c r="K189" i="30" s="1"/>
  <c r="E189" i="30" s="1"/>
  <c r="J208" i="30"/>
  <c r="K208" i="30" s="1"/>
  <c r="E208" i="30" s="1"/>
  <c r="AC179" i="26"/>
  <c r="AL179" i="26"/>
  <c r="AB179" i="26"/>
  <c r="AC364" i="26"/>
  <c r="AL364" i="26"/>
  <c r="AK364" i="26"/>
  <c r="G1293" i="10"/>
  <c r="J117" i="30"/>
  <c r="K117" i="30" s="1"/>
  <c r="E117" i="30" s="1"/>
  <c r="J149" i="30"/>
  <c r="K149" i="30" s="1"/>
  <c r="E149" i="30" s="1"/>
  <c r="J165" i="30"/>
  <c r="K165" i="30" s="1"/>
  <c r="E165" i="30" s="1"/>
  <c r="J197" i="30"/>
  <c r="K197" i="30" s="1"/>
  <c r="E197" i="30" s="1"/>
  <c r="J226" i="30"/>
  <c r="K226" i="30" s="1"/>
  <c r="E226" i="30" s="1"/>
  <c r="P323" i="7"/>
  <c r="U323" i="10" s="1"/>
  <c r="U1524" i="10"/>
  <c r="U323" i="7"/>
  <c r="Z323" i="10" s="1"/>
  <c r="Z1524" i="10"/>
  <c r="K1299" i="10"/>
  <c r="L1524" i="10"/>
  <c r="AR1379" i="10"/>
  <c r="X1293" i="10"/>
  <c r="Q1299" i="10"/>
  <c r="AN1293" i="10"/>
  <c r="AB1570" i="10"/>
  <c r="AB216" i="26"/>
  <c r="AC311" i="9"/>
  <c r="AH311" i="9" s="1"/>
  <c r="AF311" i="9"/>
  <c r="AB160" i="26"/>
  <c r="AB28" i="26"/>
  <c r="AY166" i="26"/>
  <c r="AX166" i="26" s="1"/>
  <c r="AK185" i="26"/>
  <c r="AD155" i="26"/>
  <c r="AK95" i="26"/>
  <c r="AY102" i="26"/>
  <c r="AX102" i="26" s="1"/>
  <c r="AB228" i="26"/>
  <c r="G97" i="7"/>
  <c r="L1297" i="10" s="1"/>
  <c r="BE391" i="26"/>
  <c r="BF391" i="26" s="1"/>
  <c r="AC177" i="9"/>
  <c r="AF100" i="6"/>
  <c r="AC100" i="6"/>
  <c r="AH100" i="6" s="1"/>
  <c r="AC126" i="6"/>
  <c r="AH126" i="6" s="1"/>
  <c r="AF126" i="6"/>
  <c r="AP281" i="26"/>
  <c r="AO281" i="26" s="1"/>
  <c r="AX281" i="26"/>
  <c r="AE528" i="26"/>
  <c r="AD528" i="26"/>
  <c r="Z219" i="6"/>
  <c r="AG219" i="6" s="1"/>
  <c r="AE219" i="6"/>
  <c r="AB462" i="9"/>
  <c r="AP164" i="26"/>
  <c r="AO164" i="26" s="1"/>
  <c r="AP17" i="26"/>
  <c r="AO17" i="26" s="1"/>
  <c r="AD431" i="26"/>
  <c r="AE431" i="26"/>
  <c r="AD526" i="26"/>
  <c r="AC526" i="26"/>
  <c r="AE526" i="26"/>
  <c r="AC528" i="26"/>
  <c r="AP183" i="26"/>
  <c r="AO183" i="26" s="1"/>
  <c r="AB40" i="6"/>
  <c r="AN473" i="26"/>
  <c r="AP473" i="26" s="1"/>
  <c r="AN491" i="26"/>
  <c r="AP491" i="26" s="1"/>
  <c r="AE136" i="6"/>
  <c r="Z136" i="6"/>
  <c r="AG136" i="6" s="1"/>
  <c r="AE75" i="6"/>
  <c r="Z75" i="6"/>
  <c r="AG75" i="6" s="1"/>
  <c r="AB17" i="6"/>
  <c r="AP49" i="26"/>
  <c r="AO49" i="26" s="1"/>
  <c r="AE105" i="6"/>
  <c r="Z105" i="6"/>
  <c r="AG105" i="6" s="1"/>
  <c r="AE466" i="26"/>
  <c r="G236" i="9"/>
  <c r="G236" i="6"/>
  <c r="BE236" i="26"/>
  <c r="BF236" i="26" s="1"/>
  <c r="AE489" i="26"/>
  <c r="AC489" i="26"/>
  <c r="BE489" i="26" s="1"/>
  <c r="AP186" i="26"/>
  <c r="AO186" i="26" s="1"/>
  <c r="AP240" i="26"/>
  <c r="AO240" i="26" s="1"/>
  <c r="AD466" i="26"/>
  <c r="AB221" i="9"/>
  <c r="AP29" i="26"/>
  <c r="AO29" i="26" s="1"/>
  <c r="AD519" i="26"/>
  <c r="AC519" i="26"/>
  <c r="BE519" i="26" s="1"/>
  <c r="AO365" i="26"/>
  <c r="AP535" i="26"/>
  <c r="AE502" i="26"/>
  <c r="AC502" i="26"/>
  <c r="BE502" i="26" s="1"/>
  <c r="AD502" i="26"/>
  <c r="AD489" i="26"/>
  <c r="AN489" i="26"/>
  <c r="AP489" i="26" s="1"/>
  <c r="AN469" i="26"/>
  <c r="AP469" i="26" s="1"/>
  <c r="AC462" i="26"/>
  <c r="M496" i="6"/>
  <c r="N496" i="6"/>
  <c r="L496" i="6"/>
  <c r="AD427" i="26"/>
  <c r="AE427" i="26"/>
  <c r="R1453" i="10"/>
  <c r="AJ1523" i="10"/>
  <c r="AE524" i="26"/>
  <c r="AD524" i="26"/>
  <c r="Z522" i="26"/>
  <c r="AB522" i="26"/>
  <c r="AJ461" i="26"/>
  <c r="AH461" i="26"/>
  <c r="J35" i="30"/>
  <c r="K35" i="30" s="1"/>
  <c r="E35" i="30" s="1"/>
  <c r="J75" i="30"/>
  <c r="K75" i="30" s="1"/>
  <c r="E75" i="30" s="1"/>
  <c r="J91" i="30"/>
  <c r="K91" i="30" s="1"/>
  <c r="E91" i="30" s="1"/>
  <c r="J155" i="30"/>
  <c r="K155" i="30" s="1"/>
  <c r="E155" i="30" s="1"/>
  <c r="J171" i="30"/>
  <c r="K171" i="30" s="1"/>
  <c r="E171" i="30" s="1"/>
  <c r="J187" i="30"/>
  <c r="K187" i="30" s="1"/>
  <c r="E187" i="30" s="1"/>
  <c r="J203" i="30"/>
  <c r="K203" i="30" s="1"/>
  <c r="E203" i="30" s="1"/>
  <c r="J219" i="30"/>
  <c r="K219" i="30" s="1"/>
  <c r="E219" i="30" s="1"/>
  <c r="G1447" i="10"/>
  <c r="U1447" i="10"/>
  <c r="M1447" i="10"/>
  <c r="O1447" i="10"/>
  <c r="AC1447" i="10"/>
  <c r="AP1447" i="10"/>
  <c r="AE1447" i="10"/>
  <c r="Z1447" i="10"/>
  <c r="R1447" i="10"/>
  <c r="AJ1447" i="10"/>
  <c r="K1447" i="10"/>
  <c r="AK1447" i="10"/>
  <c r="Y1447" i="10"/>
  <c r="AO1447" i="10"/>
  <c r="AM1447" i="10"/>
  <c r="S1447" i="10"/>
  <c r="AD1447" i="10"/>
  <c r="V1447" i="10"/>
  <c r="W1447" i="10"/>
  <c r="AN1447" i="10"/>
  <c r="X1447" i="10"/>
  <c r="Q1447" i="10"/>
  <c r="AS1447" i="10"/>
  <c r="AB1447" i="10"/>
  <c r="J1447" i="10"/>
  <c r="AT1447" i="10"/>
  <c r="AQ1447" i="10"/>
  <c r="AR1447" i="10"/>
  <c r="N1447" i="10"/>
  <c r="AG1447" i="10"/>
  <c r="P1447" i="10"/>
  <c r="AF1447" i="10"/>
  <c r="AI1447" i="10"/>
  <c r="AA1447" i="10"/>
  <c r="AL1447" i="10"/>
  <c r="T1447" i="10"/>
  <c r="AH1447" i="10"/>
  <c r="L1447" i="10"/>
  <c r="AC123" i="26"/>
  <c r="AL123" i="26"/>
  <c r="AB123" i="26"/>
  <c r="AK123" i="26"/>
  <c r="AU123" i="26" s="1"/>
  <c r="S123" i="26" s="1"/>
  <c r="G1262" i="10"/>
  <c r="AK1262" i="10"/>
  <c r="AH1262" i="10"/>
  <c r="K1262" i="10"/>
  <c r="P1262" i="10"/>
  <c r="R1262" i="10"/>
  <c r="N1262" i="10"/>
  <c r="AG1262" i="10"/>
  <c r="AE1262" i="10"/>
  <c r="AI1262" i="10"/>
  <c r="O1262" i="10"/>
  <c r="AM1262" i="10"/>
  <c r="AF1262" i="10"/>
  <c r="L1262" i="10"/>
  <c r="V1262" i="10"/>
  <c r="AS1262" i="10"/>
  <c r="T1262" i="10"/>
  <c r="AT1262" i="10"/>
  <c r="AA1262" i="10"/>
  <c r="J1262" i="10"/>
  <c r="AQ1262" i="10"/>
  <c r="AO1262" i="10"/>
  <c r="Q1262" i="10"/>
  <c r="AJ1262" i="10"/>
  <c r="AC1262" i="10"/>
  <c r="M1262" i="10"/>
  <c r="Y1262" i="10"/>
  <c r="U1262" i="10"/>
  <c r="AR1262" i="10"/>
  <c r="W1262" i="10"/>
  <c r="X1262" i="10"/>
  <c r="AN1262" i="10"/>
  <c r="AP1262" i="10"/>
  <c r="AB1262" i="10"/>
  <c r="AL1262" i="10"/>
  <c r="AD1262" i="10"/>
  <c r="S1262" i="10"/>
  <c r="Z1262" i="10"/>
  <c r="G1273" i="10"/>
  <c r="L1273" i="10"/>
  <c r="AB1273" i="10"/>
  <c r="X1273" i="10"/>
  <c r="Q1273" i="10"/>
  <c r="AJ1273" i="10"/>
  <c r="AM1273" i="10"/>
  <c r="R1273" i="10"/>
  <c r="K1273" i="10"/>
  <c r="AQ1273" i="10"/>
  <c r="AO1273" i="10"/>
  <c r="W1273" i="10"/>
  <c r="AN1273" i="10"/>
  <c r="AR1273" i="10"/>
  <c r="O1273" i="10"/>
  <c r="T1273" i="10"/>
  <c r="AK1273" i="10"/>
  <c r="AL1273" i="10"/>
  <c r="Y1273" i="10"/>
  <c r="J1273" i="10"/>
  <c r="AP1273" i="10"/>
  <c r="M1273" i="10"/>
  <c r="AH1273" i="10"/>
  <c r="V1273" i="10"/>
  <c r="Z1273" i="10"/>
  <c r="U1273" i="10"/>
  <c r="AD1273" i="10"/>
  <c r="AE1273" i="10"/>
  <c r="AG1273" i="10"/>
  <c r="AF1273" i="10"/>
  <c r="AS1273" i="10"/>
  <c r="N1273" i="10"/>
  <c r="P1273" i="10"/>
  <c r="AI1273" i="10"/>
  <c r="S1273" i="10"/>
  <c r="AC1273" i="10"/>
  <c r="AT1273" i="10"/>
  <c r="AA1273" i="10"/>
  <c r="AL164" i="26"/>
  <c r="AC164" i="26"/>
  <c r="AK164" i="26"/>
  <c r="AU164" i="26" s="1"/>
  <c r="S164" i="26" s="1"/>
  <c r="AC335" i="26"/>
  <c r="AL335" i="26"/>
  <c r="AK335" i="26"/>
  <c r="AU335" i="26" s="1"/>
  <c r="S335" i="26" s="1"/>
  <c r="AC362" i="26"/>
  <c r="AL362" i="26"/>
  <c r="AK362" i="26"/>
  <c r="G1487" i="10"/>
  <c r="AQ1487" i="10"/>
  <c r="AP1487" i="10"/>
  <c r="R1487" i="10"/>
  <c r="T1487" i="10"/>
  <c r="O1487" i="10"/>
  <c r="U1487" i="10"/>
  <c r="AR1487" i="10"/>
  <c r="AE1487" i="10"/>
  <c r="N1487" i="10"/>
  <c r="AB1487" i="10"/>
  <c r="AA1487" i="10"/>
  <c r="AC1487" i="10"/>
  <c r="AO1487" i="10"/>
  <c r="P1487" i="10"/>
  <c r="L1487" i="10"/>
  <c r="AI1487" i="10"/>
  <c r="AN1487" i="10"/>
  <c r="AT1487" i="10"/>
  <c r="K1487" i="10"/>
  <c r="V1487" i="10"/>
  <c r="AK1487" i="10"/>
  <c r="AD1487" i="10"/>
  <c r="AF1487" i="10"/>
  <c r="X1487" i="10"/>
  <c r="AL1487" i="10"/>
  <c r="Y1487" i="10"/>
  <c r="Z1487" i="10"/>
  <c r="W1487" i="10"/>
  <c r="AM1487" i="10"/>
  <c r="Q1487" i="10"/>
  <c r="S1487" i="10"/>
  <c r="AS1487" i="10"/>
  <c r="AG1487" i="10"/>
  <c r="AJ1487" i="10"/>
  <c r="M1487" i="10"/>
  <c r="AH1487" i="10"/>
  <c r="J1487" i="10"/>
  <c r="AH435" i="26"/>
  <c r="AJ435" i="26"/>
  <c r="M420" i="9"/>
  <c r="L420" i="9"/>
  <c r="N420" i="9"/>
  <c r="N440" i="9"/>
  <c r="Y440" i="9" s="1"/>
  <c r="L440" i="9"/>
  <c r="M440" i="9"/>
  <c r="L452" i="6"/>
  <c r="N452" i="6"/>
  <c r="M452" i="6"/>
  <c r="AO1523" i="10"/>
  <c r="AU350" i="26"/>
  <c r="S350" i="26" s="1"/>
  <c r="AB164" i="26"/>
  <c r="AB335" i="26"/>
  <c r="AD457" i="26"/>
  <c r="AE457" i="26"/>
  <c r="AP237" i="26"/>
  <c r="AO237" i="26" s="1"/>
  <c r="AE504" i="26"/>
  <c r="AG504" i="26" s="1"/>
  <c r="AD504" i="26"/>
  <c r="AE500" i="26"/>
  <c r="AD500" i="26"/>
  <c r="AC500" i="26"/>
  <c r="AD490" i="26"/>
  <c r="AE490" i="26"/>
  <c r="AD462" i="26"/>
  <c r="AE462" i="26"/>
  <c r="AY179" i="26"/>
  <c r="AX179" i="26" s="1"/>
  <c r="AD435" i="26"/>
  <c r="AE435" i="26"/>
  <c r="G1282" i="10"/>
  <c r="AG1282" i="10"/>
  <c r="AA1282" i="10"/>
  <c r="V1282" i="10"/>
  <c r="L1282" i="10"/>
  <c r="AQ1282" i="10"/>
  <c r="AL1282" i="10"/>
  <c r="AR1282" i="10"/>
  <c r="AS1282" i="10"/>
  <c r="J1282" i="10"/>
  <c r="Y1282" i="10"/>
  <c r="AH1282" i="10"/>
  <c r="W1282" i="10"/>
  <c r="T1282" i="10"/>
  <c r="AE1282" i="10"/>
  <c r="AO1282" i="10"/>
  <c r="AP1282" i="10"/>
  <c r="Z1282" i="10"/>
  <c r="U1282" i="10"/>
  <c r="R1282" i="10"/>
  <c r="AK1282" i="10"/>
  <c r="M1282" i="10"/>
  <c r="X1282" i="10"/>
  <c r="AT1282" i="10"/>
  <c r="AM1282" i="10"/>
  <c r="P1282" i="10"/>
  <c r="S1282" i="10"/>
  <c r="AD1282" i="10"/>
  <c r="Q1282" i="10"/>
  <c r="AI1282" i="10"/>
  <c r="AN1282" i="10"/>
  <c r="N1282" i="10"/>
  <c r="AF1282" i="10"/>
  <c r="AB1282" i="10"/>
  <c r="K1282" i="10"/>
  <c r="O1282" i="10"/>
  <c r="AC1282" i="10"/>
  <c r="AJ1282" i="10"/>
  <c r="AC62" i="26"/>
  <c r="AL62" i="26"/>
  <c r="AK62" i="26"/>
  <c r="AU62" i="26" s="1"/>
  <c r="S62" i="26" s="1"/>
  <c r="AB62" i="26"/>
  <c r="G1562" i="10"/>
  <c r="J1562" i="10"/>
  <c r="AR1562" i="10"/>
  <c r="O1562" i="10"/>
  <c r="V1562" i="10"/>
  <c r="AK1562" i="10"/>
  <c r="AG1562" i="10"/>
  <c r="AT1562" i="10"/>
  <c r="X1562" i="10"/>
  <c r="AA1562" i="10"/>
  <c r="S1562" i="10"/>
  <c r="AL1562" i="10"/>
  <c r="AD1562" i="10"/>
  <c r="M1562" i="10"/>
  <c r="R1562" i="10"/>
  <c r="P1562" i="10"/>
  <c r="U1562" i="10"/>
  <c r="W1562" i="10"/>
  <c r="AH1562" i="10"/>
  <c r="AE1562" i="10"/>
  <c r="AS1562" i="10"/>
  <c r="AF1562" i="10"/>
  <c r="AM1562" i="10"/>
  <c r="K1562" i="10"/>
  <c r="T1562" i="10"/>
  <c r="AN1562" i="10"/>
  <c r="L1562" i="10"/>
  <c r="AP1562" i="10"/>
  <c r="Y1562" i="10"/>
  <c r="AO1562" i="10"/>
  <c r="AI1562" i="10"/>
  <c r="Z1562" i="10"/>
  <c r="AJ1562" i="10"/>
  <c r="Q1562" i="10"/>
  <c r="AQ1562" i="10"/>
  <c r="AC1562" i="10"/>
  <c r="N1562" i="10"/>
  <c r="AB1562" i="10"/>
  <c r="AC287" i="26"/>
  <c r="AL287" i="26"/>
  <c r="AB287" i="26"/>
  <c r="AK287" i="26"/>
  <c r="AC73" i="26"/>
  <c r="AL73" i="26"/>
  <c r="AB73" i="26"/>
  <c r="AK73" i="26"/>
  <c r="G1364" i="10"/>
  <c r="Y1364" i="10"/>
  <c r="R1364" i="10"/>
  <c r="M1364" i="10"/>
  <c r="P1364" i="10"/>
  <c r="Q1364" i="10"/>
  <c r="AP1364" i="10"/>
  <c r="AK1364" i="10"/>
  <c r="AI1364" i="10"/>
  <c r="S1364" i="10"/>
  <c r="AQ1364" i="10"/>
  <c r="AE1364" i="10"/>
  <c r="X1364" i="10"/>
  <c r="AN1364" i="10"/>
  <c r="AG1364" i="10"/>
  <c r="AA1364" i="10"/>
  <c r="N1364" i="10"/>
  <c r="AB1364" i="10"/>
  <c r="AR1364" i="10"/>
  <c r="AJ1364" i="10"/>
  <c r="AF1364" i="10"/>
  <c r="J1364" i="10"/>
  <c r="T1364" i="10"/>
  <c r="AD1364" i="10"/>
  <c r="AC1364" i="10"/>
  <c r="AO1364" i="10"/>
  <c r="L1364" i="10"/>
  <c r="U1364" i="10"/>
  <c r="K1364" i="10"/>
  <c r="AM1364" i="10"/>
  <c r="AT1364" i="10"/>
  <c r="AS1364" i="10"/>
  <c r="W1364" i="10"/>
  <c r="O1364" i="10"/>
  <c r="V1364" i="10"/>
  <c r="AL1364" i="10"/>
  <c r="Z1364" i="10"/>
  <c r="AH1364" i="10"/>
  <c r="AL281" i="26"/>
  <c r="AC281" i="26"/>
  <c r="AK281" i="26"/>
  <c r="AC266" i="26"/>
  <c r="AL266" i="26"/>
  <c r="AK266" i="26"/>
  <c r="AU266" i="26" s="1"/>
  <c r="S266" i="26" s="1"/>
  <c r="AL388" i="26"/>
  <c r="AC388" i="26"/>
  <c r="AK388" i="26"/>
  <c r="AU388" i="26" s="1"/>
  <c r="S388" i="26" s="1"/>
  <c r="AJ471" i="26"/>
  <c r="AH471" i="26"/>
  <c r="L427" i="9"/>
  <c r="M427" i="9"/>
  <c r="N427" i="9"/>
  <c r="N449" i="6"/>
  <c r="Y449" i="6" s="1"/>
  <c r="L449" i="6"/>
  <c r="M449" i="6"/>
  <c r="L501" i="6"/>
  <c r="M501" i="6"/>
  <c r="N501" i="6"/>
  <c r="AH510" i="26"/>
  <c r="AJ510" i="26"/>
  <c r="AJ522" i="26"/>
  <c r="AH522" i="26"/>
  <c r="AR1523" i="10"/>
  <c r="AQ1523" i="10"/>
  <c r="AY350" i="26"/>
  <c r="AX350" i="26" s="1"/>
  <c r="AE525" i="26"/>
  <c r="AD525" i="26"/>
  <c r="AY238" i="26"/>
  <c r="AX238" i="26" s="1"/>
  <c r="AY71" i="26"/>
  <c r="AX71" i="26" s="1"/>
  <c r="AB388" i="26"/>
  <c r="Z1327" i="10"/>
  <c r="X1327" i="10"/>
  <c r="AM1327" i="10"/>
  <c r="AT1327" i="10"/>
  <c r="AH1327" i="10"/>
  <c r="AA1327" i="10"/>
  <c r="G1327" i="10"/>
  <c r="N1327" i="10"/>
  <c r="U1327" i="10"/>
  <c r="AO1327" i="10"/>
  <c r="AB1327" i="10"/>
  <c r="AP1327" i="10"/>
  <c r="AF1327" i="10"/>
  <c r="AC1327" i="10"/>
  <c r="Q1327" i="10"/>
  <c r="T1327" i="10"/>
  <c r="R1327" i="10"/>
  <c r="L1327" i="10"/>
  <c r="P1327" i="10"/>
  <c r="K1327" i="10"/>
  <c r="AJ1327" i="10"/>
  <c r="W1327" i="10"/>
  <c r="AR1327" i="10"/>
  <c r="M1327" i="10"/>
  <c r="V1327" i="10"/>
  <c r="J1327" i="10"/>
  <c r="AG1327" i="10"/>
  <c r="O1327" i="10"/>
  <c r="AK1327" i="10"/>
  <c r="S1327" i="10"/>
  <c r="AS1327" i="10"/>
  <c r="AN1327" i="10"/>
  <c r="AI1327" i="10"/>
  <c r="Y1327" i="10"/>
  <c r="AE1327" i="10"/>
  <c r="AL1327" i="10"/>
  <c r="AD1327" i="10"/>
  <c r="AQ1327" i="10"/>
  <c r="E459" i="6"/>
  <c r="U470" i="26"/>
  <c r="E451" i="9"/>
  <c r="N472" i="9"/>
  <c r="L472" i="9"/>
  <c r="M472" i="9"/>
  <c r="Z513" i="26"/>
  <c r="AB513" i="26"/>
  <c r="G1323" i="10"/>
  <c r="AA1323" i="10"/>
  <c r="R1323" i="10"/>
  <c r="T1323" i="10"/>
  <c r="AN1323" i="10"/>
  <c r="K1323" i="10"/>
  <c r="AP1323" i="10"/>
  <c r="W1323" i="10"/>
  <c r="AI1323" i="10"/>
  <c r="V1323" i="10"/>
  <c r="AO1323" i="10"/>
  <c r="AM1323" i="10"/>
  <c r="S1323" i="10"/>
  <c r="Z1323" i="10"/>
  <c r="AS1323" i="10"/>
  <c r="AG1323" i="10"/>
  <c r="Y1323" i="10"/>
  <c r="AD1323" i="10"/>
  <c r="J1323" i="10"/>
  <c r="AT1323" i="10"/>
  <c r="AJ1323" i="10"/>
  <c r="M1323" i="10"/>
  <c r="AK1323" i="10"/>
  <c r="AC1323" i="10"/>
  <c r="N1323" i="10"/>
  <c r="Q1323" i="10"/>
  <c r="AR1323" i="10"/>
  <c r="O1323" i="10"/>
  <c r="AQ1323" i="10"/>
  <c r="X1323" i="10"/>
  <c r="AF1323" i="10"/>
  <c r="U1323" i="10"/>
  <c r="AB1323" i="10"/>
  <c r="AH1323" i="10"/>
  <c r="P1323" i="10"/>
  <c r="L1323" i="10"/>
  <c r="AL1323" i="10"/>
  <c r="AE1323" i="10"/>
  <c r="J67" i="30"/>
  <c r="K67" i="30" s="1"/>
  <c r="E67" i="30" s="1"/>
  <c r="J83" i="30"/>
  <c r="K83" i="30" s="1"/>
  <c r="E83" i="30" s="1"/>
  <c r="J163" i="30"/>
  <c r="K163" i="30" s="1"/>
  <c r="E163" i="30" s="1"/>
  <c r="J179" i="30"/>
  <c r="K179" i="30" s="1"/>
  <c r="E179" i="30" s="1"/>
  <c r="J195" i="30"/>
  <c r="K195" i="30" s="1"/>
  <c r="E195" i="30" s="1"/>
  <c r="J211" i="30"/>
  <c r="K211" i="30" s="1"/>
  <c r="E211" i="30" s="1"/>
  <c r="J252" i="30"/>
  <c r="K252" i="30" s="1"/>
  <c r="E252" i="30" s="1"/>
  <c r="AE458" i="26"/>
  <c r="AD458" i="26"/>
  <c r="AH1454" i="10"/>
  <c r="P1454" i="10"/>
  <c r="W1454" i="10"/>
  <c r="N1454" i="10"/>
  <c r="AD1454" i="10"/>
  <c r="AR1454" i="10"/>
  <c r="AO1454" i="10"/>
  <c r="AS1454" i="10"/>
  <c r="AE1454" i="10"/>
  <c r="T1454" i="10"/>
  <c r="Y1454" i="10"/>
  <c r="S1454" i="10"/>
  <c r="AM1454" i="10"/>
  <c r="Q1454" i="10"/>
  <c r="AT1454" i="10"/>
  <c r="AG1454" i="10"/>
  <c r="AJ1454" i="10"/>
  <c r="L1454" i="10"/>
  <c r="AL1454" i="10"/>
  <c r="AI1454" i="10"/>
  <c r="K1454" i="10"/>
  <c r="X1454" i="10"/>
  <c r="G1454" i="10"/>
  <c r="AA1454" i="10"/>
  <c r="AK1454" i="10"/>
  <c r="O1454" i="10"/>
  <c r="J1454" i="10"/>
  <c r="R1454" i="10"/>
  <c r="AF1454" i="10"/>
  <c r="M1454" i="10"/>
  <c r="AC1454" i="10"/>
  <c r="Z1454" i="10"/>
  <c r="V1454" i="10"/>
  <c r="U1454" i="10"/>
  <c r="AP1454" i="10"/>
  <c r="AQ1454" i="10"/>
  <c r="AB1454" i="10"/>
  <c r="AN1454" i="10"/>
  <c r="E473" i="9"/>
  <c r="E490" i="6"/>
  <c r="U512" i="26"/>
  <c r="AC512" i="26" s="1"/>
  <c r="BE512" i="26" s="1"/>
  <c r="E489" i="6"/>
  <c r="AD461" i="26"/>
  <c r="AE461" i="26"/>
  <c r="AD471" i="26"/>
  <c r="AE471" i="26"/>
  <c r="AC82" i="26"/>
  <c r="AL82" i="26"/>
  <c r="AM82" i="26" s="1"/>
  <c r="Q82" i="26" s="1"/>
  <c r="AB82" i="26"/>
  <c r="AC290" i="26"/>
  <c r="AL290" i="26"/>
  <c r="AK290" i="26"/>
  <c r="G1466" i="10"/>
  <c r="AF1466" i="10"/>
  <c r="AL1466" i="10"/>
  <c r="Y1466" i="10"/>
  <c r="AG1466" i="10"/>
  <c r="Z1466" i="10"/>
  <c r="W1466" i="10"/>
  <c r="AD1466" i="10"/>
  <c r="R1466" i="10"/>
  <c r="J1466" i="10"/>
  <c r="U1466" i="10"/>
  <c r="N1466" i="10"/>
  <c r="AK1466" i="10"/>
  <c r="P1466" i="10"/>
  <c r="T1466" i="10"/>
  <c r="AJ1466" i="10"/>
  <c r="AH1466" i="10"/>
  <c r="AC1466" i="10"/>
  <c r="K1466" i="10"/>
  <c r="L1466" i="10"/>
  <c r="AT1466" i="10"/>
  <c r="AP1466" i="10"/>
  <c r="V1466" i="10"/>
  <c r="M1466" i="10"/>
  <c r="AO1466" i="10"/>
  <c r="AB1466" i="10"/>
  <c r="AN1466" i="10"/>
  <c r="AI1466" i="10"/>
  <c r="Q1466" i="10"/>
  <c r="AS1466" i="10"/>
  <c r="AR1466" i="10"/>
  <c r="X1466" i="10"/>
  <c r="S1466" i="10"/>
  <c r="AM1466" i="10"/>
  <c r="AE1466" i="10"/>
  <c r="O1466" i="10"/>
  <c r="AQ1466" i="10"/>
  <c r="AA1466" i="10"/>
  <c r="G1588" i="10"/>
  <c r="AH1588" i="10"/>
  <c r="AE1588" i="10"/>
  <c r="AS1588" i="10"/>
  <c r="AO1588" i="10"/>
  <c r="W1588" i="10"/>
  <c r="AB1588" i="10"/>
  <c r="AI1588" i="10"/>
  <c r="P1588" i="10"/>
  <c r="L1588" i="10"/>
  <c r="AF1588" i="10"/>
  <c r="Q1588" i="10"/>
  <c r="AP1588" i="10"/>
  <c r="T1588" i="10"/>
  <c r="N1588" i="10"/>
  <c r="K1588" i="10"/>
  <c r="AA1588" i="10"/>
  <c r="AJ1588" i="10"/>
  <c r="O1588" i="10"/>
  <c r="J1588" i="10"/>
  <c r="AK1588" i="10"/>
  <c r="Z1588" i="10"/>
  <c r="S1588" i="10"/>
  <c r="AD1588" i="10"/>
  <c r="AQ1588" i="10"/>
  <c r="Y1588" i="10"/>
  <c r="AM1588" i="10"/>
  <c r="AT1588" i="10"/>
  <c r="AN1588" i="10"/>
  <c r="R1588" i="10"/>
  <c r="X1588" i="10"/>
  <c r="AC1588" i="10"/>
  <c r="AL1588" i="10"/>
  <c r="AR1588" i="10"/>
  <c r="U1588" i="10"/>
  <c r="AG1588" i="10"/>
  <c r="M1588" i="10"/>
  <c r="V1588" i="10"/>
  <c r="L459" i="6"/>
  <c r="N459" i="6"/>
  <c r="M459" i="6"/>
  <c r="M473" i="9"/>
  <c r="N473" i="9"/>
  <c r="L473" i="9"/>
  <c r="AH509" i="26"/>
  <c r="AJ509" i="26"/>
  <c r="J1453" i="10"/>
  <c r="K1523" i="10"/>
  <c r="AB290" i="26"/>
  <c r="G40" i="10"/>
  <c r="BD40" i="26"/>
  <c r="AY193" i="26"/>
  <c r="AX193" i="26" s="1"/>
  <c r="AY341" i="26"/>
  <c r="AX341" i="26" s="1"/>
  <c r="AE512" i="26"/>
  <c r="AG512" i="26" s="1"/>
  <c r="AQ512" i="26" s="1"/>
  <c r="AD512" i="26"/>
  <c r="AY64" i="26"/>
  <c r="AX64" i="26" s="1"/>
  <c r="AB266" i="26"/>
  <c r="G302" i="10"/>
  <c r="BD302" i="26"/>
  <c r="O384" i="26" l="1"/>
  <c r="O211" i="26"/>
  <c r="F211" i="10" s="1"/>
  <c r="O24" i="26"/>
  <c r="N24" i="26" s="1"/>
  <c r="O188" i="26"/>
  <c r="O301" i="26"/>
  <c r="W301" i="27" s="1"/>
  <c r="E301" i="27" s="1"/>
  <c r="O113" i="26"/>
  <c r="W113" i="27" s="1"/>
  <c r="E113" i="27" s="1"/>
  <c r="O375" i="26"/>
  <c r="O150" i="26"/>
  <c r="W150" i="27" s="1"/>
  <c r="E150" i="27" s="1"/>
  <c r="O271" i="26"/>
  <c r="O300" i="26"/>
  <c r="W300" i="27" s="1"/>
  <c r="E300" i="27" s="1"/>
  <c r="O376" i="26"/>
  <c r="O108" i="26"/>
  <c r="W108" i="27" s="1"/>
  <c r="E108" i="27" s="1"/>
  <c r="O58" i="26"/>
  <c r="F58" i="10" s="1"/>
  <c r="O75" i="26"/>
  <c r="O298" i="26"/>
  <c r="O136" i="26"/>
  <c r="W136" i="27" s="1"/>
  <c r="E136" i="27" s="1"/>
  <c r="O252" i="26"/>
  <c r="W252" i="27" s="1"/>
  <c r="E252" i="27" s="1"/>
  <c r="O151" i="26"/>
  <c r="O279" i="26"/>
  <c r="O45" i="26"/>
  <c r="N45" i="26" s="1"/>
  <c r="V45" i="27" s="1"/>
  <c r="AA45" i="27" s="1"/>
  <c r="O141" i="26"/>
  <c r="O117" i="26"/>
  <c r="F117" i="10" s="1"/>
  <c r="O208" i="26"/>
  <c r="O155" i="26"/>
  <c r="O105" i="26"/>
  <c r="AM213" i="26"/>
  <c r="O317" i="26"/>
  <c r="W317" i="27" s="1"/>
  <c r="E317" i="27" s="1"/>
  <c r="O133" i="26"/>
  <c r="N133" i="26" s="1"/>
  <c r="BD133" i="26" s="1"/>
  <c r="O96" i="26"/>
  <c r="O173" i="26"/>
  <c r="W173" i="27" s="1"/>
  <c r="E173" i="27" s="1"/>
  <c r="O268" i="26"/>
  <c r="N268" i="26" s="1"/>
  <c r="O65" i="26"/>
  <c r="N65" i="26" s="1"/>
  <c r="O175" i="26"/>
  <c r="O21" i="26"/>
  <c r="O307" i="26"/>
  <c r="F307" i="10" s="1"/>
  <c r="O319" i="26"/>
  <c r="F319" i="10" s="1"/>
  <c r="AC719" i="10" s="1"/>
  <c r="O366" i="26"/>
  <c r="F366" i="10" s="1"/>
  <c r="S766" i="10" s="1"/>
  <c r="O168" i="26"/>
  <c r="O89" i="26"/>
  <c r="F89" i="10" s="1"/>
  <c r="O359" i="26"/>
  <c r="F359" i="10" s="1"/>
  <c r="O25" i="26"/>
  <c r="O121" i="26"/>
  <c r="O263" i="26"/>
  <c r="O352" i="26"/>
  <c r="F352" i="10" s="1"/>
  <c r="AI352" i="10" s="1"/>
  <c r="O297" i="26"/>
  <c r="O131" i="26"/>
  <c r="O314" i="26"/>
  <c r="W314" i="27" s="1"/>
  <c r="E314" i="27" s="1"/>
  <c r="O92" i="26"/>
  <c r="O118" i="26"/>
  <c r="N118" i="26" s="1"/>
  <c r="G118" i="10" s="1"/>
  <c r="O195" i="26"/>
  <c r="O340" i="26"/>
  <c r="N340" i="26" s="1"/>
  <c r="V393" i="7"/>
  <c r="I273" i="9"/>
  <c r="AM108" i="26"/>
  <c r="Q108" i="26" s="1"/>
  <c r="F108" i="9" s="1"/>
  <c r="Z108" i="9" s="1"/>
  <c r="AA108" i="9" s="1"/>
  <c r="AE108" i="9" s="1"/>
  <c r="R108" i="26"/>
  <c r="I108" i="9" s="1"/>
  <c r="AE393" i="7"/>
  <c r="F177" i="10"/>
  <c r="O577" i="10" s="1"/>
  <c r="H108" i="6"/>
  <c r="AC108" i="6" s="1"/>
  <c r="AH108" i="6" s="1"/>
  <c r="AA141" i="6"/>
  <c r="AE141" i="6" s="1"/>
  <c r="Z345" i="9"/>
  <c r="AG345" i="9" s="1"/>
  <c r="AA345" i="9"/>
  <c r="AE345" i="9" s="1"/>
  <c r="Z20" i="9"/>
  <c r="AG20" i="9" s="1"/>
  <c r="AA20" i="9"/>
  <c r="AE20" i="9" s="1"/>
  <c r="AC98" i="6"/>
  <c r="AH98" i="6" s="1"/>
  <c r="AD98" i="6"/>
  <c r="AF98" i="6" s="1"/>
  <c r="AA173" i="6"/>
  <c r="AE173" i="6" s="1"/>
  <c r="Z66" i="9"/>
  <c r="AG66" i="9" s="1"/>
  <c r="AA66" i="9"/>
  <c r="AE66" i="9" s="1"/>
  <c r="Z308" i="9"/>
  <c r="AG308" i="9" s="1"/>
  <c r="AA308" i="9"/>
  <c r="AE308" i="9" s="1"/>
  <c r="Z299" i="6"/>
  <c r="AG299" i="6" s="1"/>
  <c r="AA299" i="6"/>
  <c r="AE299" i="6" s="1"/>
  <c r="Z323" i="9"/>
  <c r="AG323" i="9" s="1"/>
  <c r="AA323" i="9"/>
  <c r="AE323" i="9" s="1"/>
  <c r="Z323" i="6"/>
  <c r="AG323" i="6" s="1"/>
  <c r="AA323" i="6"/>
  <c r="AE323" i="6" s="1"/>
  <c r="AA105" i="9"/>
  <c r="AE105" i="9" s="1"/>
  <c r="Z105" i="9"/>
  <c r="AG105" i="9" s="1"/>
  <c r="Z359" i="9"/>
  <c r="AG359" i="9" s="1"/>
  <c r="AA359" i="9"/>
  <c r="AE359" i="9" s="1"/>
  <c r="Z359" i="6"/>
  <c r="AG359" i="6" s="1"/>
  <c r="AA359" i="6"/>
  <c r="AE359" i="6" s="1"/>
  <c r="AC307" i="6"/>
  <c r="AH307" i="6" s="1"/>
  <c r="AD307" i="6"/>
  <c r="AF307" i="6" s="1"/>
  <c r="AA272" i="9"/>
  <c r="Z272" i="9"/>
  <c r="AG272" i="9" s="1"/>
  <c r="Z269" i="9"/>
  <c r="AG269" i="9" s="1"/>
  <c r="AA269" i="9"/>
  <c r="AA12" i="9"/>
  <c r="AE12" i="9" s="1"/>
  <c r="Z12" i="9"/>
  <c r="AG12" i="9" s="1"/>
  <c r="AD189" i="9"/>
  <c r="AF189" i="9" s="1"/>
  <c r="AC83" i="9"/>
  <c r="AH83" i="9" s="1"/>
  <c r="AD83" i="9"/>
  <c r="AF83" i="9" s="1"/>
  <c r="Z144" i="9"/>
  <c r="AG144" i="9" s="1"/>
  <c r="AA144" i="9"/>
  <c r="AE144" i="9" s="1"/>
  <c r="AC345" i="9"/>
  <c r="AH345" i="9" s="1"/>
  <c r="AD345" i="9"/>
  <c r="AF345" i="9" s="1"/>
  <c r="AA322" i="9"/>
  <c r="AE322" i="9" s="1"/>
  <c r="Z322" i="9"/>
  <c r="AG322" i="9" s="1"/>
  <c r="AD317" i="6"/>
  <c r="AF317" i="6" s="1"/>
  <c r="AD317" i="9"/>
  <c r="AF317" i="9" s="1"/>
  <c r="Z131" i="6"/>
  <c r="AG131" i="6" s="1"/>
  <c r="AA131" i="6"/>
  <c r="AE131" i="6" s="1"/>
  <c r="AA148" i="9"/>
  <c r="AE148" i="9" s="1"/>
  <c r="Z148" i="9"/>
  <c r="AG148" i="9" s="1"/>
  <c r="AC373" i="6"/>
  <c r="AH373" i="6" s="1"/>
  <c r="AD373" i="6"/>
  <c r="AF373" i="6" s="1"/>
  <c r="AD195" i="6"/>
  <c r="AF195" i="6" s="1"/>
  <c r="Z268" i="9"/>
  <c r="AG268" i="9" s="1"/>
  <c r="AA268" i="9"/>
  <c r="Z152" i="6"/>
  <c r="AG152" i="6" s="1"/>
  <c r="AA152" i="6"/>
  <c r="AE152" i="6" s="1"/>
  <c r="AA325" i="9"/>
  <c r="AE325" i="9" s="1"/>
  <c r="Z325" i="9"/>
  <c r="AG325" i="9" s="1"/>
  <c r="Z374" i="6"/>
  <c r="AG374" i="6" s="1"/>
  <c r="AA374" i="6"/>
  <c r="AE374" i="6" s="1"/>
  <c r="AC315" i="6"/>
  <c r="AH315" i="6" s="1"/>
  <c r="AD315" i="6"/>
  <c r="AF315" i="6" s="1"/>
  <c r="Z126" i="9"/>
  <c r="AG126" i="9" s="1"/>
  <c r="AA126" i="9"/>
  <c r="AE126" i="9" s="1"/>
  <c r="AA125" i="6"/>
  <c r="AE125" i="6" s="1"/>
  <c r="Z19" i="6"/>
  <c r="AG19" i="6" s="1"/>
  <c r="AA19" i="6"/>
  <c r="AE19" i="6" s="1"/>
  <c r="AA195" i="9"/>
  <c r="AE195" i="9" s="1"/>
  <c r="Z195" i="9"/>
  <c r="AG195" i="9" s="1"/>
  <c r="AD33" i="6"/>
  <c r="AF33" i="6" s="1"/>
  <c r="AD264" i="9"/>
  <c r="AF264" i="9" s="1"/>
  <c r="AC46" i="6"/>
  <c r="AH46" i="6" s="1"/>
  <c r="AD46" i="6"/>
  <c r="AF46" i="6" s="1"/>
  <c r="AC144" i="6"/>
  <c r="AH144" i="6" s="1"/>
  <c r="AD144" i="6"/>
  <c r="AF144" i="6" s="1"/>
  <c r="AD277" i="9"/>
  <c r="AF277" i="9" s="1"/>
  <c r="AD219" i="6"/>
  <c r="AF219" i="6" s="1"/>
  <c r="AC241" i="9"/>
  <c r="AH241" i="9" s="1"/>
  <c r="AD241" i="9"/>
  <c r="AF241" i="9" s="1"/>
  <c r="AC152" i="9"/>
  <c r="AH152" i="9" s="1"/>
  <c r="AD152" i="9"/>
  <c r="AF152" i="9" s="1"/>
  <c r="AC32" i="9"/>
  <c r="AH32" i="9" s="1"/>
  <c r="AD32" i="9"/>
  <c r="AF32" i="9" s="1"/>
  <c r="AC188" i="6"/>
  <c r="AH188" i="6" s="1"/>
  <c r="AD188" i="6"/>
  <c r="AF188" i="6" s="1"/>
  <c r="AC13" i="9"/>
  <c r="AH13" i="9" s="1"/>
  <c r="AD13" i="9"/>
  <c r="AF13" i="9" s="1"/>
  <c r="AD353" i="9"/>
  <c r="AF353" i="9" s="1"/>
  <c r="AD314" i="6"/>
  <c r="AF314" i="6" s="1"/>
  <c r="AC241" i="6"/>
  <c r="AH241" i="6" s="1"/>
  <c r="AD241" i="6"/>
  <c r="AF241" i="6" s="1"/>
  <c r="AA277" i="9"/>
  <c r="AE277" i="9" s="1"/>
  <c r="Z277" i="9"/>
  <c r="AG277" i="9" s="1"/>
  <c r="Z188" i="9"/>
  <c r="AG188" i="9" s="1"/>
  <c r="AA188" i="9"/>
  <c r="AE188" i="9" s="1"/>
  <c r="AD322" i="6"/>
  <c r="AF322" i="6" s="1"/>
  <c r="AA339" i="6"/>
  <c r="AE339" i="6" s="1"/>
  <c r="AC339" i="9"/>
  <c r="AH339" i="9" s="1"/>
  <c r="AD339" i="9"/>
  <c r="AF339" i="9" s="1"/>
  <c r="AC253" i="6"/>
  <c r="AH253" i="6" s="1"/>
  <c r="AD253" i="6"/>
  <c r="AF253" i="6" s="1"/>
  <c r="AA318" i="9"/>
  <c r="AE318" i="9" s="1"/>
  <c r="Z318" i="9"/>
  <c r="AG318" i="9" s="1"/>
  <c r="AA302" i="9"/>
  <c r="AE302" i="9" s="1"/>
  <c r="Z302" i="9"/>
  <c r="AG302" i="9" s="1"/>
  <c r="AA346" i="9"/>
  <c r="AE346" i="9" s="1"/>
  <c r="Z346" i="9"/>
  <c r="AG346" i="9" s="1"/>
  <c r="AD346" i="6"/>
  <c r="AF346" i="6" s="1"/>
  <c r="AD67" i="9"/>
  <c r="AF67" i="9" s="1"/>
  <c r="Z346" i="6"/>
  <c r="AG346" i="6" s="1"/>
  <c r="AA346" i="6"/>
  <c r="AE346" i="6" s="1"/>
  <c r="Z367" i="9"/>
  <c r="AG367" i="9" s="1"/>
  <c r="AA367" i="9"/>
  <c r="AE367" i="9" s="1"/>
  <c r="Z301" i="9"/>
  <c r="AG301" i="9" s="1"/>
  <c r="AA301" i="9"/>
  <c r="AE301" i="9" s="1"/>
  <c r="AC269" i="6"/>
  <c r="AH269" i="6" s="1"/>
  <c r="AD269" i="6"/>
  <c r="AF269" i="6" s="1"/>
  <c r="AD97" i="9"/>
  <c r="AF97" i="9" s="1"/>
  <c r="AD153" i="6"/>
  <c r="AF153" i="6" s="1"/>
  <c r="AD67" i="6"/>
  <c r="AF67" i="6" s="1"/>
  <c r="AC76" i="9"/>
  <c r="AH76" i="9" s="1"/>
  <c r="AD76" i="9"/>
  <c r="AF76" i="9" s="1"/>
  <c r="AD159" i="6"/>
  <c r="AF159" i="6" s="1"/>
  <c r="AC39" i="9"/>
  <c r="AH39" i="9" s="1"/>
  <c r="AD39" i="9"/>
  <c r="AF39" i="9" s="1"/>
  <c r="AC55" i="9"/>
  <c r="AH55" i="9" s="1"/>
  <c r="AD55" i="9"/>
  <c r="AF55" i="9" s="1"/>
  <c r="AC137" i="6"/>
  <c r="AH137" i="6" s="1"/>
  <c r="AD137" i="6"/>
  <c r="AF137" i="6" s="1"/>
  <c r="Z242" i="9"/>
  <c r="AG242" i="9" s="1"/>
  <c r="AA242" i="9"/>
  <c r="AE242" i="9" s="1"/>
  <c r="Z235" i="6"/>
  <c r="AG235" i="6" s="1"/>
  <c r="AA235" i="6"/>
  <c r="AE235" i="6" s="1"/>
  <c r="Z137" i="9"/>
  <c r="AG137" i="9" s="1"/>
  <c r="AA137" i="9"/>
  <c r="AE137" i="9" s="1"/>
  <c r="AD51" i="6"/>
  <c r="AF51" i="6" s="1"/>
  <c r="AA241" i="6"/>
  <c r="AE241" i="6" s="1"/>
  <c r="AA298" i="9"/>
  <c r="AE298" i="9" s="1"/>
  <c r="Z298" i="9"/>
  <c r="AG298" i="9" s="1"/>
  <c r="Z299" i="9"/>
  <c r="AG299" i="9" s="1"/>
  <c r="AA299" i="9"/>
  <c r="AE299" i="9" s="1"/>
  <c r="Z51" i="6"/>
  <c r="AG51" i="6" s="1"/>
  <c r="AA51" i="6"/>
  <c r="AE51" i="6" s="1"/>
  <c r="AA13" i="9"/>
  <c r="AE13" i="9" s="1"/>
  <c r="Z13" i="9"/>
  <c r="AG13" i="9" s="1"/>
  <c r="Z298" i="6"/>
  <c r="AG298" i="6" s="1"/>
  <c r="AA298" i="6"/>
  <c r="AE298" i="6" s="1"/>
  <c r="Z311" i="6"/>
  <c r="AG311" i="6" s="1"/>
  <c r="AA311" i="6"/>
  <c r="AE311" i="6" s="1"/>
  <c r="Z45" i="6"/>
  <c r="AG45" i="6" s="1"/>
  <c r="AA45" i="6"/>
  <c r="AE45" i="6" s="1"/>
  <c r="Z100" i="6"/>
  <c r="AG100" i="6" s="1"/>
  <c r="AA100" i="6"/>
  <c r="AE100" i="6" s="1"/>
  <c r="Z189" i="9"/>
  <c r="AG189" i="9" s="1"/>
  <c r="AA189" i="9"/>
  <c r="AE189" i="9" s="1"/>
  <c r="AD51" i="9"/>
  <c r="AF51" i="9" s="1"/>
  <c r="Z126" i="6"/>
  <c r="AG126" i="6" s="1"/>
  <c r="AA126" i="6"/>
  <c r="AE126" i="6" s="1"/>
  <c r="AC118" i="9"/>
  <c r="AH118" i="9" s="1"/>
  <c r="AD118" i="9"/>
  <c r="AF118" i="9" s="1"/>
  <c r="AA75" i="9"/>
  <c r="AE75" i="9" s="1"/>
  <c r="Z75" i="9"/>
  <c r="AG75" i="9" s="1"/>
  <c r="Z390" i="9"/>
  <c r="AG390" i="9" s="1"/>
  <c r="AA390" i="9"/>
  <c r="AE390" i="9" s="1"/>
  <c r="AA353" i="6"/>
  <c r="AE353" i="6" s="1"/>
  <c r="Z40" i="9"/>
  <c r="AG40" i="9" s="1"/>
  <c r="AA40" i="9"/>
  <c r="AE40" i="9" s="1"/>
  <c r="AA149" i="6"/>
  <c r="AE149" i="6" s="1"/>
  <c r="AA169" i="9"/>
  <c r="AE169" i="9" s="1"/>
  <c r="Z169" i="9"/>
  <c r="AG169" i="9" s="1"/>
  <c r="AA96" i="6"/>
  <c r="AE96" i="6" s="1"/>
  <c r="Z324" i="9"/>
  <c r="AG324" i="9" s="1"/>
  <c r="AA324" i="9"/>
  <c r="AE324" i="9" s="1"/>
  <c r="Z218" i="9"/>
  <c r="AG218" i="9" s="1"/>
  <c r="AA218" i="9"/>
  <c r="AE218" i="9" s="1"/>
  <c r="AA124" i="6"/>
  <c r="AE124" i="6" s="1"/>
  <c r="Z322" i="6"/>
  <c r="AG322" i="6" s="1"/>
  <c r="AA322" i="6"/>
  <c r="AE322" i="6" s="1"/>
  <c r="Z288" i="9"/>
  <c r="AG288" i="9" s="1"/>
  <c r="AA288" i="9"/>
  <c r="AE288" i="9" s="1"/>
  <c r="AD156" i="9"/>
  <c r="AF156" i="9" s="1"/>
  <c r="Z152" i="9"/>
  <c r="AG152" i="9" s="1"/>
  <c r="AA152" i="9"/>
  <c r="AE152" i="9" s="1"/>
  <c r="AC318" i="6"/>
  <c r="AH318" i="6" s="1"/>
  <c r="AD318" i="6"/>
  <c r="AF318" i="6" s="1"/>
  <c r="AC299" i="6"/>
  <c r="AH299" i="6" s="1"/>
  <c r="AD299" i="6"/>
  <c r="AF299" i="6" s="1"/>
  <c r="AC189" i="6"/>
  <c r="AH189" i="6" s="1"/>
  <c r="AD189" i="6"/>
  <c r="AF189" i="6" s="1"/>
  <c r="AC315" i="9"/>
  <c r="AH315" i="9" s="1"/>
  <c r="AD315" i="9"/>
  <c r="AF315" i="9" s="1"/>
  <c r="AD324" i="9"/>
  <c r="AF324" i="9" s="1"/>
  <c r="Z47" i="9"/>
  <c r="AG47" i="9" s="1"/>
  <c r="AA47" i="9"/>
  <c r="AE47" i="9" s="1"/>
  <c r="AA47" i="6"/>
  <c r="AE47" i="6" s="1"/>
  <c r="Z118" i="9"/>
  <c r="AG118" i="9" s="1"/>
  <c r="AA118" i="9"/>
  <c r="AE118" i="9" s="1"/>
  <c r="AC136" i="9"/>
  <c r="AH136" i="9" s="1"/>
  <c r="AD136" i="9"/>
  <c r="AF136" i="9" s="1"/>
  <c r="AA67" i="6"/>
  <c r="AE67" i="6" s="1"/>
  <c r="AC206" i="6"/>
  <c r="AH206" i="6" s="1"/>
  <c r="AD206" i="6"/>
  <c r="AF206" i="6" s="1"/>
  <c r="AD196" i="9"/>
  <c r="AF196" i="9" s="1"/>
  <c r="AA253" i="6"/>
  <c r="AE253" i="6" s="1"/>
  <c r="AD390" i="6"/>
  <c r="AF390" i="6" s="1"/>
  <c r="AC149" i="6"/>
  <c r="AH149" i="6" s="1"/>
  <c r="AD149" i="6"/>
  <c r="AF149" i="6" s="1"/>
  <c r="AA212" i="6"/>
  <c r="AE212" i="6" s="1"/>
  <c r="AC374" i="6"/>
  <c r="AH374" i="6" s="1"/>
  <c r="AD374" i="6"/>
  <c r="AF374" i="6" s="1"/>
  <c r="AD46" i="9"/>
  <c r="AF46" i="9" s="1"/>
  <c r="AA366" i="9"/>
  <c r="AE366" i="9" s="1"/>
  <c r="Z366" i="9"/>
  <c r="AG366" i="9" s="1"/>
  <c r="AC196" i="6"/>
  <c r="AH196" i="6" s="1"/>
  <c r="AD196" i="6"/>
  <c r="AF196" i="6" s="1"/>
  <c r="AC367" i="9"/>
  <c r="AH367" i="9" s="1"/>
  <c r="AD367" i="9"/>
  <c r="AF367" i="9" s="1"/>
  <c r="AC149" i="9"/>
  <c r="AH149" i="9" s="1"/>
  <c r="AD149" i="9"/>
  <c r="AF149" i="9" s="1"/>
  <c r="Z278" i="6"/>
  <c r="AG278" i="6" s="1"/>
  <c r="AA278" i="6"/>
  <c r="AE278" i="6" s="1"/>
  <c r="Z153" i="6"/>
  <c r="AG153" i="6" s="1"/>
  <c r="AA153" i="6"/>
  <c r="AE153" i="6" s="1"/>
  <c r="AC289" i="9"/>
  <c r="AH289" i="9" s="1"/>
  <c r="AD289" i="9"/>
  <c r="AF289" i="9" s="1"/>
  <c r="Z277" i="6"/>
  <c r="AG277" i="6" s="1"/>
  <c r="AA277" i="6"/>
  <c r="AE277" i="6" s="1"/>
  <c r="AA84" i="9"/>
  <c r="AE84" i="9" s="1"/>
  <c r="Z84" i="9"/>
  <c r="AG84" i="9" s="1"/>
  <c r="AC301" i="6"/>
  <c r="AH301" i="6" s="1"/>
  <c r="AD301" i="6"/>
  <c r="AF301" i="6" s="1"/>
  <c r="AD126" i="9"/>
  <c r="AF126" i="9" s="1"/>
  <c r="AC339" i="6"/>
  <c r="AH339" i="6" s="1"/>
  <c r="AD339" i="6"/>
  <c r="AF339" i="6" s="1"/>
  <c r="Z83" i="6"/>
  <c r="AG83" i="6" s="1"/>
  <c r="AA83" i="6"/>
  <c r="AE83" i="6" s="1"/>
  <c r="Z302" i="6"/>
  <c r="AG302" i="6" s="1"/>
  <c r="AA302" i="6"/>
  <c r="AE302" i="6" s="1"/>
  <c r="AC212" i="6"/>
  <c r="AH212" i="6" s="1"/>
  <c r="AD212" i="6"/>
  <c r="AF212" i="6" s="1"/>
  <c r="AA312" i="9"/>
  <c r="AE312" i="9" s="1"/>
  <c r="Z312" i="9"/>
  <c r="AG312" i="9" s="1"/>
  <c r="AD236" i="9"/>
  <c r="AF236" i="9" s="1"/>
  <c r="Z39" i="6"/>
  <c r="AG39" i="6" s="1"/>
  <c r="AA39" i="6"/>
  <c r="AE39" i="6" s="1"/>
  <c r="AC137" i="9"/>
  <c r="AH137" i="9" s="1"/>
  <c r="AD137" i="9"/>
  <c r="AF137" i="9" s="1"/>
  <c r="AA332" i="9"/>
  <c r="AE332" i="9" s="1"/>
  <c r="Z332" i="9"/>
  <c r="AG332" i="9" s="1"/>
  <c r="AA380" i="9"/>
  <c r="AE380" i="9" s="1"/>
  <c r="Z380" i="9"/>
  <c r="AG380" i="9" s="1"/>
  <c r="AA132" i="9"/>
  <c r="AE132" i="9" s="1"/>
  <c r="Z132" i="9"/>
  <c r="AG132" i="9" s="1"/>
  <c r="Z373" i="9"/>
  <c r="AG373" i="9" s="1"/>
  <c r="AA373" i="9"/>
  <c r="Z241" i="9"/>
  <c r="AG241" i="9" s="1"/>
  <c r="AA241" i="9"/>
  <c r="AE241" i="9" s="1"/>
  <c r="Z97" i="9"/>
  <c r="AG97" i="9" s="1"/>
  <c r="AA97" i="9"/>
  <c r="AE97" i="9" s="1"/>
  <c r="AA159" i="6"/>
  <c r="AE159" i="6" s="1"/>
  <c r="Z159" i="9"/>
  <c r="AG159" i="9" s="1"/>
  <c r="AA159" i="9"/>
  <c r="AE159" i="9" s="1"/>
  <c r="Z311" i="9"/>
  <c r="AG311" i="9" s="1"/>
  <c r="AA311" i="9"/>
  <c r="AE311" i="9" s="1"/>
  <c r="AA100" i="9"/>
  <c r="AE100" i="9" s="1"/>
  <c r="Z100" i="9"/>
  <c r="AG100" i="9" s="1"/>
  <c r="AD307" i="9"/>
  <c r="AF307" i="9" s="1"/>
  <c r="AC40" i="9"/>
  <c r="AH40" i="9" s="1"/>
  <c r="AD40" i="9"/>
  <c r="AF40" i="9" s="1"/>
  <c r="AD257" i="9"/>
  <c r="AF257" i="9" s="1"/>
  <c r="AA236" i="9"/>
  <c r="AE236" i="9" s="1"/>
  <c r="Z236" i="9"/>
  <c r="AG236" i="9" s="1"/>
  <c r="AA289" i="9"/>
  <c r="AE289" i="9" s="1"/>
  <c r="Z289" i="9"/>
  <c r="AG289" i="9" s="1"/>
  <c r="AA149" i="9"/>
  <c r="AE149" i="9" s="1"/>
  <c r="Z149" i="9"/>
  <c r="AG149" i="9" s="1"/>
  <c r="AA169" i="6"/>
  <c r="AE169" i="6" s="1"/>
  <c r="Z56" i="6"/>
  <c r="AG56" i="6" s="1"/>
  <c r="AA56" i="6"/>
  <c r="AE56" i="6" s="1"/>
  <c r="AA143" i="9"/>
  <c r="AE143" i="9" s="1"/>
  <c r="Z143" i="9"/>
  <c r="AG143" i="9" s="1"/>
  <c r="AA289" i="6"/>
  <c r="AE289" i="6" s="1"/>
  <c r="AC252" i="9"/>
  <c r="AH252" i="9" s="1"/>
  <c r="AD252" i="9"/>
  <c r="AF252" i="9" s="1"/>
  <c r="AD252" i="6"/>
  <c r="AF252" i="6" s="1"/>
  <c r="AA124" i="9"/>
  <c r="AE124" i="9" s="1"/>
  <c r="Z124" i="9"/>
  <c r="AG124" i="9" s="1"/>
  <c r="AA352" i="6"/>
  <c r="AE352" i="6" s="1"/>
  <c r="AA131" i="9"/>
  <c r="AE131" i="9" s="1"/>
  <c r="Z131" i="9"/>
  <c r="AG131" i="9" s="1"/>
  <c r="AD65" i="6"/>
  <c r="AF65" i="6" s="1"/>
  <c r="Z55" i="6"/>
  <c r="AG55" i="6" s="1"/>
  <c r="AA55" i="6"/>
  <c r="AE55" i="6" s="1"/>
  <c r="Z65" i="9"/>
  <c r="AG65" i="9" s="1"/>
  <c r="AA65" i="9"/>
  <c r="AE65" i="9" s="1"/>
  <c r="AA263" i="9"/>
  <c r="Z263" i="9"/>
  <c r="AG263" i="9" s="1"/>
  <c r="AD323" i="9"/>
  <c r="AF323" i="9" s="1"/>
  <c r="Z125" i="9"/>
  <c r="AG125" i="9" s="1"/>
  <c r="AA125" i="9"/>
  <c r="AE125" i="9" s="1"/>
  <c r="Z118" i="6"/>
  <c r="AG118" i="6" s="1"/>
  <c r="AA118" i="6"/>
  <c r="AE118" i="6" s="1"/>
  <c r="AD148" i="9"/>
  <c r="AF148" i="9" s="1"/>
  <c r="AD359" i="9"/>
  <c r="AF359" i="9" s="1"/>
  <c r="AA253" i="9"/>
  <c r="AE253" i="9" s="1"/>
  <c r="Z253" i="9"/>
  <c r="AG253" i="9" s="1"/>
  <c r="AC47" i="9"/>
  <c r="AH47" i="9" s="1"/>
  <c r="AD47" i="9"/>
  <c r="AF47" i="9" s="1"/>
  <c r="AD131" i="6"/>
  <c r="AF131" i="6" s="1"/>
  <c r="AC325" i="6"/>
  <c r="AH325" i="6" s="1"/>
  <c r="AD325" i="6"/>
  <c r="AF325" i="6" s="1"/>
  <c r="Z339" i="9"/>
  <c r="AG339" i="9" s="1"/>
  <c r="AA339" i="9"/>
  <c r="AE339" i="9" s="1"/>
  <c r="AC312" i="9"/>
  <c r="AH312" i="9" s="1"/>
  <c r="AD312" i="9"/>
  <c r="AF312" i="9" s="1"/>
  <c r="AC380" i="9"/>
  <c r="AH380" i="9" s="1"/>
  <c r="AD380" i="9"/>
  <c r="AF380" i="9" s="1"/>
  <c r="AD374" i="9"/>
  <c r="AF374" i="9" s="1"/>
  <c r="AD153" i="9"/>
  <c r="AF153" i="9" s="1"/>
  <c r="AA257" i="6"/>
  <c r="AE257" i="6" s="1"/>
  <c r="AA33" i="6"/>
  <c r="AE33" i="6" s="1"/>
  <c r="AA33" i="9"/>
  <c r="AE33" i="9" s="1"/>
  <c r="Z33" i="9"/>
  <c r="AG33" i="9" s="1"/>
  <c r="AC84" i="6"/>
  <c r="AH84" i="6" s="1"/>
  <c r="AD84" i="6"/>
  <c r="AF84" i="6" s="1"/>
  <c r="AA212" i="9"/>
  <c r="AE212" i="9" s="1"/>
  <c r="Z212" i="9"/>
  <c r="AG212" i="9" s="1"/>
  <c r="AC217" i="6"/>
  <c r="AH217" i="6" s="1"/>
  <c r="AD217" i="6"/>
  <c r="AF217" i="6" s="1"/>
  <c r="AD158" i="9"/>
  <c r="AF158" i="9" s="1"/>
  <c r="AC106" i="6"/>
  <c r="AH106" i="6" s="1"/>
  <c r="AD106" i="6"/>
  <c r="AF106" i="6" s="1"/>
  <c r="AC380" i="6"/>
  <c r="AH380" i="6" s="1"/>
  <c r="AD380" i="6"/>
  <c r="AF380" i="6" s="1"/>
  <c r="AC278" i="9"/>
  <c r="AH278" i="9" s="1"/>
  <c r="AD278" i="9"/>
  <c r="AF278" i="9" s="1"/>
  <c r="AC56" i="9"/>
  <c r="AH56" i="9" s="1"/>
  <c r="AD56" i="9"/>
  <c r="AF56" i="9" s="1"/>
  <c r="AD322" i="9"/>
  <c r="AF322" i="9" s="1"/>
  <c r="AA206" i="6"/>
  <c r="AE206" i="6" s="1"/>
  <c r="AD352" i="6"/>
  <c r="AF352" i="6" s="1"/>
  <c r="AD219" i="9"/>
  <c r="AF219" i="9" s="1"/>
  <c r="AC56" i="6"/>
  <c r="AH56" i="6" s="1"/>
  <c r="AD56" i="6"/>
  <c r="AF56" i="6" s="1"/>
  <c r="AD12" i="6"/>
  <c r="AF12" i="6" s="1"/>
  <c r="AC125" i="9"/>
  <c r="AH125" i="9" s="1"/>
  <c r="AD125" i="9"/>
  <c r="AF125" i="9" s="1"/>
  <c r="Z106" i="6"/>
  <c r="AG106" i="6" s="1"/>
  <c r="AA106" i="6"/>
  <c r="AE106" i="6" s="1"/>
  <c r="AC346" i="9"/>
  <c r="AH346" i="9" s="1"/>
  <c r="AD346" i="9"/>
  <c r="AF346" i="9" s="1"/>
  <c r="AA312" i="6"/>
  <c r="AE312" i="6" s="1"/>
  <c r="Z196" i="6"/>
  <c r="AG196" i="6" s="1"/>
  <c r="AA196" i="6"/>
  <c r="AE196" i="6" s="1"/>
  <c r="AA301" i="6"/>
  <c r="AE301" i="6" s="1"/>
  <c r="AD236" i="6"/>
  <c r="AF236" i="6" s="1"/>
  <c r="AD159" i="9"/>
  <c r="AF159" i="9" s="1"/>
  <c r="AD39" i="6"/>
  <c r="AF39" i="6" s="1"/>
  <c r="AA308" i="6"/>
  <c r="AE308" i="6" s="1"/>
  <c r="Z98" i="9"/>
  <c r="AG98" i="9" s="1"/>
  <c r="AA98" i="9"/>
  <c r="AE98" i="9" s="1"/>
  <c r="Z145" i="9"/>
  <c r="AG145" i="9" s="1"/>
  <c r="AA145" i="9"/>
  <c r="AE145" i="9" s="1"/>
  <c r="AA173" i="9"/>
  <c r="AE173" i="9" s="1"/>
  <c r="Z173" i="9"/>
  <c r="AG173" i="9" s="1"/>
  <c r="Z119" i="6"/>
  <c r="AG119" i="6" s="1"/>
  <c r="AA119" i="6"/>
  <c r="AE119" i="6" s="1"/>
  <c r="AA45" i="9"/>
  <c r="AE45" i="9" s="1"/>
  <c r="Z45" i="9"/>
  <c r="AG45" i="9" s="1"/>
  <c r="Z189" i="6"/>
  <c r="AG189" i="6" s="1"/>
  <c r="AA189" i="6"/>
  <c r="AE189" i="6" s="1"/>
  <c r="Z217" i="6"/>
  <c r="AG217" i="6" s="1"/>
  <c r="AA217" i="6"/>
  <c r="AE217" i="6" s="1"/>
  <c r="Z40" i="6"/>
  <c r="AG40" i="6" s="1"/>
  <c r="AA40" i="6"/>
  <c r="AE40" i="6" s="1"/>
  <c r="AC299" i="9"/>
  <c r="AH299" i="9" s="1"/>
  <c r="AD299" i="9"/>
  <c r="AF299" i="9" s="1"/>
  <c r="AA143" i="6"/>
  <c r="AE143" i="6" s="1"/>
  <c r="AA55" i="9"/>
  <c r="AE55" i="9" s="1"/>
  <c r="Z55" i="9"/>
  <c r="AG55" i="9" s="1"/>
  <c r="AA314" i="9"/>
  <c r="AE314" i="9" s="1"/>
  <c r="Z314" i="9"/>
  <c r="AG314" i="9" s="1"/>
  <c r="Z168" i="6"/>
  <c r="AG168" i="6" s="1"/>
  <c r="AA168" i="6"/>
  <c r="AE168" i="6" s="1"/>
  <c r="AA352" i="9"/>
  <c r="AE352" i="9" s="1"/>
  <c r="Z352" i="9"/>
  <c r="AG352" i="9" s="1"/>
  <c r="AD75" i="9"/>
  <c r="AF75" i="9" s="1"/>
  <c r="Z168" i="9"/>
  <c r="AG168" i="9" s="1"/>
  <c r="AA168" i="9"/>
  <c r="AE168" i="9" s="1"/>
  <c r="Z288" i="6"/>
  <c r="AG288" i="6" s="1"/>
  <c r="AA288" i="6"/>
  <c r="AE288" i="6" s="1"/>
  <c r="AA252" i="9"/>
  <c r="AE252" i="9" s="1"/>
  <c r="Z252" i="9"/>
  <c r="AG252" i="9" s="1"/>
  <c r="Z136" i="9"/>
  <c r="AG136" i="9" s="1"/>
  <c r="AA136" i="9"/>
  <c r="AE136" i="9" s="1"/>
  <c r="AA252" i="6"/>
  <c r="AE252" i="6" s="1"/>
  <c r="Z256" i="9"/>
  <c r="AG256" i="9" s="1"/>
  <c r="AA256" i="9"/>
  <c r="AE256" i="9" s="1"/>
  <c r="AA374" i="9"/>
  <c r="AE374" i="9" s="1"/>
  <c r="Z374" i="9"/>
  <c r="AG374" i="9" s="1"/>
  <c r="Z317" i="6"/>
  <c r="AG317" i="6" s="1"/>
  <c r="AA317" i="6"/>
  <c r="AE317" i="6" s="1"/>
  <c r="AD308" i="6"/>
  <c r="AF308" i="6" s="1"/>
  <c r="AD148" i="6"/>
  <c r="AF148" i="6" s="1"/>
  <c r="AD359" i="6"/>
  <c r="AF359" i="6" s="1"/>
  <c r="AC302" i="6"/>
  <c r="AH302" i="6" s="1"/>
  <c r="AD302" i="6"/>
  <c r="AF302" i="6" s="1"/>
  <c r="AD66" i="6"/>
  <c r="AF66" i="6" s="1"/>
  <c r="AD66" i="9"/>
  <c r="AF66" i="9" s="1"/>
  <c r="AD96" i="9"/>
  <c r="AF96" i="9" s="1"/>
  <c r="AD47" i="6"/>
  <c r="AF47" i="6" s="1"/>
  <c r="AC106" i="9"/>
  <c r="AH106" i="9" s="1"/>
  <c r="AD106" i="9"/>
  <c r="AF106" i="9" s="1"/>
  <c r="AD207" i="9"/>
  <c r="AF207" i="9" s="1"/>
  <c r="AA158" i="6"/>
  <c r="AE158" i="6" s="1"/>
  <c r="Z278" i="9"/>
  <c r="AG278" i="9" s="1"/>
  <c r="AA278" i="9"/>
  <c r="AE278" i="9" s="1"/>
  <c r="AD143" i="9"/>
  <c r="AF143" i="9" s="1"/>
  <c r="AC32" i="6"/>
  <c r="AH32" i="6" s="1"/>
  <c r="AD32" i="6"/>
  <c r="AF32" i="6" s="1"/>
  <c r="AD301" i="9"/>
  <c r="AF301" i="9" s="1"/>
  <c r="AA156" i="6"/>
  <c r="AE156" i="6" s="1"/>
  <c r="AC367" i="6"/>
  <c r="AH367" i="6" s="1"/>
  <c r="AD367" i="6"/>
  <c r="AF367" i="6" s="1"/>
  <c r="AC256" i="6"/>
  <c r="AH256" i="6" s="1"/>
  <c r="AD256" i="6"/>
  <c r="AF256" i="6" s="1"/>
  <c r="Z219" i="9"/>
  <c r="AG219" i="9" s="1"/>
  <c r="AA219" i="9"/>
  <c r="AE219" i="9" s="1"/>
  <c r="AC19" i="6"/>
  <c r="AH19" i="6" s="1"/>
  <c r="AD19" i="6"/>
  <c r="AF19" i="6" s="1"/>
  <c r="AA67" i="9"/>
  <c r="AE67" i="9" s="1"/>
  <c r="Z67" i="9"/>
  <c r="AG67" i="9" s="1"/>
  <c r="AC256" i="9"/>
  <c r="AH256" i="9" s="1"/>
  <c r="AD256" i="9"/>
  <c r="AF256" i="9" s="1"/>
  <c r="AA360" i="9"/>
  <c r="AE360" i="9" s="1"/>
  <c r="Z360" i="9"/>
  <c r="AG360" i="9" s="1"/>
  <c r="AA264" i="6"/>
  <c r="AE264" i="6" s="1"/>
  <c r="AA264" i="9"/>
  <c r="AE264" i="9" s="1"/>
  <c r="Z264" i="9"/>
  <c r="AG264" i="9" s="1"/>
  <c r="Z206" i="9"/>
  <c r="AG206" i="9" s="1"/>
  <c r="AA206" i="9"/>
  <c r="AE206" i="9" s="1"/>
  <c r="AA318" i="6"/>
  <c r="AE318" i="6" s="1"/>
  <c r="AC168" i="9"/>
  <c r="AH168" i="9" s="1"/>
  <c r="AD168" i="9"/>
  <c r="AF168" i="9" s="1"/>
  <c r="AD168" i="6"/>
  <c r="AF168" i="6" s="1"/>
  <c r="AC360" i="9"/>
  <c r="AH360" i="9" s="1"/>
  <c r="AD360" i="9"/>
  <c r="AF360" i="9" s="1"/>
  <c r="AC125" i="6"/>
  <c r="AH125" i="6" s="1"/>
  <c r="AD125" i="6"/>
  <c r="AF125" i="6" s="1"/>
  <c r="Z83" i="9"/>
  <c r="AG83" i="9" s="1"/>
  <c r="AA83" i="9"/>
  <c r="AE83" i="9" s="1"/>
  <c r="AD311" i="6"/>
  <c r="AF311" i="6" s="1"/>
  <c r="AD218" i="9"/>
  <c r="AF218" i="9" s="1"/>
  <c r="AH372" i="9"/>
  <c r="AD372" i="9"/>
  <c r="AF372" i="9" s="1"/>
  <c r="AH273" i="9"/>
  <c r="AD273" i="9"/>
  <c r="AF273" i="9" s="1"/>
  <c r="AH177" i="9"/>
  <c r="AD177" i="9"/>
  <c r="AF177" i="9" s="1"/>
  <c r="AH53" i="9"/>
  <c r="AD53" i="9"/>
  <c r="AF53" i="9" s="1"/>
  <c r="AH246" i="9"/>
  <c r="AD246" i="9"/>
  <c r="AF246" i="9" s="1"/>
  <c r="AH108" i="9"/>
  <c r="AD108" i="9"/>
  <c r="AF108" i="9" s="1"/>
  <c r="Y177" i="27"/>
  <c r="G177" i="27" s="1"/>
  <c r="F177" i="9"/>
  <c r="F177" i="6"/>
  <c r="W177" i="27"/>
  <c r="E177" i="27" s="1"/>
  <c r="AC297" i="9"/>
  <c r="AH239" i="6"/>
  <c r="AD239" i="6"/>
  <c r="AF239" i="6" s="1"/>
  <c r="AH344" i="6"/>
  <c r="AD344" i="6"/>
  <c r="AF344" i="6" s="1"/>
  <c r="AC375" i="6"/>
  <c r="AD163" i="26"/>
  <c r="Y439" i="6"/>
  <c r="AB439" i="6" s="1"/>
  <c r="Y442" i="9"/>
  <c r="AB442" i="9" s="1"/>
  <c r="Y420" i="6"/>
  <c r="AB420" i="6" s="1"/>
  <c r="Y428" i="9"/>
  <c r="AB428" i="9" s="1"/>
  <c r="Y453" i="6"/>
  <c r="AB453" i="6" s="1"/>
  <c r="Y463" i="6"/>
  <c r="AB463" i="6" s="1"/>
  <c r="AH508" i="26"/>
  <c r="AI508" i="26" s="1"/>
  <c r="AK508" i="26" s="1"/>
  <c r="I55" i="6"/>
  <c r="H82" i="6"/>
  <c r="AC82" i="6" s="1"/>
  <c r="R82" i="26"/>
  <c r="I82" i="6" s="1"/>
  <c r="AV163" i="26"/>
  <c r="AU163" i="26"/>
  <c r="S163" i="26" s="1"/>
  <c r="AQ163" i="26"/>
  <c r="AR163" i="26" s="1"/>
  <c r="AT163" i="26" s="1"/>
  <c r="AS163" i="26" s="1"/>
  <c r="AM163" i="26"/>
  <c r="Q163" i="26" s="1"/>
  <c r="AC159" i="6"/>
  <c r="AH159" i="6" s="1"/>
  <c r="AT138" i="26"/>
  <c r="AS138" i="26" s="1"/>
  <c r="AH515" i="26"/>
  <c r="AJ515" i="26"/>
  <c r="AD1596" i="10"/>
  <c r="AO1596" i="10"/>
  <c r="V1596" i="10"/>
  <c r="J1596" i="10"/>
  <c r="AT1596" i="10"/>
  <c r="AI1596" i="10"/>
  <c r="AG1596" i="10"/>
  <c r="L1596" i="10"/>
  <c r="K1596" i="10"/>
  <c r="AC1596" i="10"/>
  <c r="S1596" i="10"/>
  <c r="N1596" i="10"/>
  <c r="AQ1596" i="10"/>
  <c r="AH1596" i="10"/>
  <c r="AT258" i="26"/>
  <c r="AS258" i="26" s="1"/>
  <c r="AR1596" i="10"/>
  <c r="T1596" i="10"/>
  <c r="Z1596" i="10"/>
  <c r="R1596" i="10"/>
  <c r="O1596" i="10"/>
  <c r="Q1596" i="10"/>
  <c r="AE1596" i="10"/>
  <c r="Y1596" i="10"/>
  <c r="AF1596" i="10"/>
  <c r="AP1596" i="10"/>
  <c r="AB1596" i="10"/>
  <c r="P1596" i="10"/>
  <c r="AA1596" i="10"/>
  <c r="M1596" i="10"/>
  <c r="AS1596" i="10"/>
  <c r="AJ1596" i="10"/>
  <c r="AN1596" i="10"/>
  <c r="AM1596" i="10"/>
  <c r="AL1596" i="10"/>
  <c r="AH512" i="26"/>
  <c r="AJ512" i="26"/>
  <c r="AH506" i="26"/>
  <c r="AQ505" i="26"/>
  <c r="AJ504" i="26"/>
  <c r="AJ506" i="26"/>
  <c r="AH504" i="26"/>
  <c r="AJ505" i="26"/>
  <c r="AI505" i="26" s="1"/>
  <c r="AK505" i="26" s="1"/>
  <c r="AQ504" i="26"/>
  <c r="AU389" i="26"/>
  <c r="S389" i="26" s="1"/>
  <c r="R389" i="26" s="1"/>
  <c r="I389" i="9" s="1"/>
  <c r="AV389" i="26"/>
  <c r="AM385" i="26"/>
  <c r="Q385" i="26" s="1"/>
  <c r="F385" i="6" s="1"/>
  <c r="AA385" i="6" s="1"/>
  <c r="AV385" i="26"/>
  <c r="AU383" i="26"/>
  <c r="S383" i="26" s="1"/>
  <c r="R383" i="26" s="1"/>
  <c r="I383" i="9" s="1"/>
  <c r="AV383" i="26"/>
  <c r="AU381" i="26"/>
  <c r="S381" i="26" s="1"/>
  <c r="H381" i="6" s="1"/>
  <c r="AV381" i="26"/>
  <c r="AU378" i="26"/>
  <c r="S378" i="26" s="1"/>
  <c r="H378" i="9" s="1"/>
  <c r="AC378" i="9" s="1"/>
  <c r="AV378" i="26"/>
  <c r="AU376" i="26"/>
  <c r="S376" i="26" s="1"/>
  <c r="H376" i="9" s="1"/>
  <c r="AV376" i="26"/>
  <c r="AU371" i="26"/>
  <c r="S371" i="26" s="1"/>
  <c r="R371" i="26" s="1"/>
  <c r="I371" i="9" s="1"/>
  <c r="AV371" i="26"/>
  <c r="AU364" i="26"/>
  <c r="S364" i="26" s="1"/>
  <c r="H364" i="6" s="1"/>
  <c r="AV364" i="26"/>
  <c r="AU362" i="26"/>
  <c r="S362" i="26" s="1"/>
  <c r="R362" i="26" s="1"/>
  <c r="AV362" i="26"/>
  <c r="AU357" i="26"/>
  <c r="S357" i="26" s="1"/>
  <c r="H357" i="9" s="1"/>
  <c r="AV357" i="26"/>
  <c r="AU355" i="26"/>
  <c r="S355" i="26" s="1"/>
  <c r="R355" i="26" s="1"/>
  <c r="I355" i="9" s="1"/>
  <c r="AV355" i="26"/>
  <c r="AU348" i="26"/>
  <c r="S348" i="26" s="1"/>
  <c r="H348" i="9" s="1"/>
  <c r="AC348" i="9" s="1"/>
  <c r="AV348" i="26"/>
  <c r="AM341" i="26"/>
  <c r="Q341" i="26" s="1"/>
  <c r="F341" i="9" s="1"/>
  <c r="Z341" i="9" s="1"/>
  <c r="AA341" i="9" s="1"/>
  <c r="AV341" i="26"/>
  <c r="AU336" i="26"/>
  <c r="S336" i="26" s="1"/>
  <c r="R336" i="26" s="1"/>
  <c r="I336" i="9" s="1"/>
  <c r="AV336" i="26"/>
  <c r="AU334" i="26"/>
  <c r="S334" i="26" s="1"/>
  <c r="H334" i="6" s="1"/>
  <c r="AV334" i="26"/>
  <c r="AU329" i="26"/>
  <c r="S329" i="26" s="1"/>
  <c r="R329" i="26" s="1"/>
  <c r="AV329" i="26"/>
  <c r="AU327" i="26"/>
  <c r="S327" i="26" s="1"/>
  <c r="R327" i="26" s="1"/>
  <c r="I327" i="6" s="1"/>
  <c r="AV327" i="26"/>
  <c r="AU320" i="26"/>
  <c r="S320" i="26" s="1"/>
  <c r="R320" i="26" s="1"/>
  <c r="AV320" i="26"/>
  <c r="AU309" i="26"/>
  <c r="S309" i="26" s="1"/>
  <c r="H309" i="9" s="1"/>
  <c r="AV309" i="26"/>
  <c r="AU304" i="26"/>
  <c r="S304" i="26" s="1"/>
  <c r="H304" i="9" s="1"/>
  <c r="AV304" i="26"/>
  <c r="AY533" i="26"/>
  <c r="BE533" i="26"/>
  <c r="AU296" i="26"/>
  <c r="S296" i="26" s="1"/>
  <c r="H296" i="9" s="1"/>
  <c r="AC296" i="9" s="1"/>
  <c r="AV296" i="26"/>
  <c r="AU294" i="26"/>
  <c r="S294" i="26" s="1"/>
  <c r="H294" i="6" s="1"/>
  <c r="AC294" i="6" s="1"/>
  <c r="AV294" i="26"/>
  <c r="AU292" i="26"/>
  <c r="S292" i="26" s="1"/>
  <c r="H292" i="9" s="1"/>
  <c r="AC292" i="9" s="1"/>
  <c r="AV292" i="26"/>
  <c r="AU290" i="26"/>
  <c r="S290" i="26" s="1"/>
  <c r="R290" i="26" s="1"/>
  <c r="AV290" i="26"/>
  <c r="AU287" i="26"/>
  <c r="S287" i="26" s="1"/>
  <c r="R287" i="26" s="1"/>
  <c r="AV287" i="26"/>
  <c r="AU285" i="26"/>
  <c r="S285" i="26" s="1"/>
  <c r="H285" i="9" s="1"/>
  <c r="AC285" i="9" s="1"/>
  <c r="AV285" i="26"/>
  <c r="AU283" i="26"/>
  <c r="S283" i="26" s="1"/>
  <c r="R283" i="26" s="1"/>
  <c r="AV283" i="26"/>
  <c r="AU281" i="26"/>
  <c r="S281" i="26" s="1"/>
  <c r="H281" i="9" s="1"/>
  <c r="AV281" i="26"/>
  <c r="AZ529" i="26"/>
  <c r="BB529" i="26" s="1"/>
  <c r="BA529" i="26" s="1"/>
  <c r="BE529" i="26"/>
  <c r="AU275" i="26"/>
  <c r="S275" i="26" s="1"/>
  <c r="H275" i="6" s="1"/>
  <c r="AC275" i="6" s="1"/>
  <c r="AV275" i="26"/>
  <c r="AU270" i="26"/>
  <c r="S270" i="26" s="1"/>
  <c r="H270" i="9" s="1"/>
  <c r="AV270" i="26"/>
  <c r="AU267" i="26"/>
  <c r="S267" i="26" s="1"/>
  <c r="R267" i="26" s="1"/>
  <c r="I267" i="9" s="1"/>
  <c r="AV267" i="26"/>
  <c r="AU265" i="26"/>
  <c r="S265" i="26" s="1"/>
  <c r="R265" i="26" s="1"/>
  <c r="AV265" i="26"/>
  <c r="AU260" i="26"/>
  <c r="S260" i="26" s="1"/>
  <c r="H260" i="6" s="1"/>
  <c r="AV260" i="26"/>
  <c r="AU254" i="26"/>
  <c r="S254" i="26" s="1"/>
  <c r="H254" i="6" s="1"/>
  <c r="AC254" i="6" s="1"/>
  <c r="AV254" i="26"/>
  <c r="AZ515" i="26"/>
  <c r="BB515" i="26" s="1"/>
  <c r="BA515" i="26" s="1"/>
  <c r="BE515" i="26"/>
  <c r="AU249" i="26"/>
  <c r="S249" i="26" s="1"/>
  <c r="H249" i="6" s="1"/>
  <c r="AC249" i="6" s="1"/>
  <c r="AV249" i="26"/>
  <c r="AU247" i="26"/>
  <c r="S247" i="26" s="1"/>
  <c r="R247" i="26" s="1"/>
  <c r="I247" i="6" s="1"/>
  <c r="AV247" i="26"/>
  <c r="AU245" i="26"/>
  <c r="S245" i="26" s="1"/>
  <c r="H245" i="9" s="1"/>
  <c r="AV245" i="26"/>
  <c r="AY509" i="26"/>
  <c r="BE509" i="26"/>
  <c r="AU243" i="26"/>
  <c r="S243" i="26" s="1"/>
  <c r="H243" i="9" s="1"/>
  <c r="AC243" i="9" s="1"/>
  <c r="AV243" i="26"/>
  <c r="AU240" i="26"/>
  <c r="S240" i="26" s="1"/>
  <c r="R240" i="26" s="1"/>
  <c r="I240" i="9" s="1"/>
  <c r="AV240" i="26"/>
  <c r="AU238" i="26"/>
  <c r="S238" i="26" s="1"/>
  <c r="H238" i="9" s="1"/>
  <c r="AC238" i="9" s="1"/>
  <c r="AV238" i="26"/>
  <c r="AU233" i="26"/>
  <c r="S233" i="26" s="1"/>
  <c r="R233" i="26" s="1"/>
  <c r="I233" i="9" s="1"/>
  <c r="AV233" i="26"/>
  <c r="AU231" i="26"/>
  <c r="S231" i="26" s="1"/>
  <c r="H231" i="6" s="1"/>
  <c r="AV231" i="26"/>
  <c r="AU229" i="26"/>
  <c r="S229" i="26" s="1"/>
  <c r="H229" i="6" s="1"/>
  <c r="AC229" i="6" s="1"/>
  <c r="AV229" i="26"/>
  <c r="AU227" i="26"/>
  <c r="S227" i="26" s="1"/>
  <c r="H227" i="9" s="1"/>
  <c r="AC227" i="9" s="1"/>
  <c r="AV227" i="26"/>
  <c r="AU225" i="26"/>
  <c r="S225" i="26" s="1"/>
  <c r="R225" i="26" s="1"/>
  <c r="AV225" i="26"/>
  <c r="AU223" i="26"/>
  <c r="S223" i="26" s="1"/>
  <c r="H223" i="9" s="1"/>
  <c r="AV223" i="26"/>
  <c r="AU221" i="26"/>
  <c r="S221" i="26" s="1"/>
  <c r="H221" i="9" s="1"/>
  <c r="AC221" i="9" s="1"/>
  <c r="AV221" i="26"/>
  <c r="AU210" i="26"/>
  <c r="S210" i="26" s="1"/>
  <c r="H210" i="9" s="1"/>
  <c r="AV210" i="26"/>
  <c r="AU208" i="26"/>
  <c r="S208" i="26" s="1"/>
  <c r="H208" i="6" s="1"/>
  <c r="AC208" i="6" s="1"/>
  <c r="AV208" i="26"/>
  <c r="AU205" i="26"/>
  <c r="S205" i="26" s="1"/>
  <c r="R205" i="26" s="1"/>
  <c r="AV205" i="26"/>
  <c r="AU203" i="26"/>
  <c r="S203" i="26" s="1"/>
  <c r="R203" i="26" s="1"/>
  <c r="I203" i="9" s="1"/>
  <c r="AV203" i="26"/>
  <c r="AY486" i="26"/>
  <c r="BE486" i="26"/>
  <c r="BF486" i="26" s="1"/>
  <c r="AU199" i="26"/>
  <c r="S199" i="26" s="1"/>
  <c r="H199" i="9" s="1"/>
  <c r="AC199" i="9" s="1"/>
  <c r="AV199" i="26"/>
  <c r="AU197" i="26"/>
  <c r="S197" i="26" s="1"/>
  <c r="H197" i="9" s="1"/>
  <c r="AV197" i="26"/>
  <c r="AU194" i="26"/>
  <c r="S194" i="26" s="1"/>
  <c r="H194" i="9" s="1"/>
  <c r="AC194" i="9" s="1"/>
  <c r="AV194" i="26"/>
  <c r="AU192" i="26"/>
  <c r="S192" i="26" s="1"/>
  <c r="H192" i="6" s="1"/>
  <c r="AV192" i="26"/>
  <c r="AU187" i="26"/>
  <c r="S187" i="26" s="1"/>
  <c r="H187" i="9" s="1"/>
  <c r="AV187" i="26"/>
  <c r="AU185" i="26"/>
  <c r="S185" i="26" s="1"/>
  <c r="H185" i="9" s="1"/>
  <c r="AV185" i="26"/>
  <c r="AU183" i="26"/>
  <c r="S183" i="26" s="1"/>
  <c r="H183" i="6" s="1"/>
  <c r="AV183" i="26"/>
  <c r="AU179" i="26"/>
  <c r="S179" i="26" s="1"/>
  <c r="H179" i="6" s="1"/>
  <c r="AV179" i="26"/>
  <c r="AU176" i="26"/>
  <c r="S176" i="26" s="1"/>
  <c r="H176" i="9" s="1"/>
  <c r="AV176" i="26"/>
  <c r="AU174" i="26"/>
  <c r="S174" i="26" s="1"/>
  <c r="H174" i="6" s="1"/>
  <c r="AC174" i="6" s="1"/>
  <c r="AV174" i="26"/>
  <c r="AU172" i="26"/>
  <c r="S172" i="26" s="1"/>
  <c r="R172" i="26" s="1"/>
  <c r="I172" i="6" s="1"/>
  <c r="AV172" i="26"/>
  <c r="BE475" i="26"/>
  <c r="BF475" i="26" s="1"/>
  <c r="AU170" i="26"/>
  <c r="S170" i="26" s="1"/>
  <c r="H170" i="9" s="1"/>
  <c r="AV170" i="26"/>
  <c r="AU167" i="26"/>
  <c r="S167" i="26" s="1"/>
  <c r="H167" i="6" s="1"/>
  <c r="AC167" i="6" s="1"/>
  <c r="AV167" i="26"/>
  <c r="AU157" i="26"/>
  <c r="S157" i="26" s="1"/>
  <c r="R157" i="26" s="1"/>
  <c r="AV157" i="26"/>
  <c r="AU155" i="26"/>
  <c r="S155" i="26" s="1"/>
  <c r="H155" i="6" s="1"/>
  <c r="AC155" i="6" s="1"/>
  <c r="AV155" i="26"/>
  <c r="AU150" i="26"/>
  <c r="S150" i="26" s="1"/>
  <c r="H150" i="6" s="1"/>
  <c r="AC150" i="6" s="1"/>
  <c r="AV150" i="26"/>
  <c r="AU147" i="26"/>
  <c r="S147" i="26" s="1"/>
  <c r="R147" i="26" s="1"/>
  <c r="I147" i="9" s="1"/>
  <c r="AV147" i="26"/>
  <c r="AU140" i="26"/>
  <c r="S140" i="26" s="1"/>
  <c r="H140" i="9" s="1"/>
  <c r="AC140" i="9" s="1"/>
  <c r="AV140" i="26"/>
  <c r="AU138" i="26"/>
  <c r="S138" i="26" s="1"/>
  <c r="H138" i="9" s="1"/>
  <c r="AV138" i="26"/>
  <c r="AU135" i="26"/>
  <c r="S135" i="26" s="1"/>
  <c r="H135" i="9" s="1"/>
  <c r="AV135" i="26"/>
  <c r="AU133" i="26"/>
  <c r="S133" i="26" s="1"/>
  <c r="H133" i="6" s="1"/>
  <c r="AV133" i="26"/>
  <c r="AU130" i="26"/>
  <c r="S130" i="26" s="1"/>
  <c r="H130" i="6" s="1"/>
  <c r="AC130" i="6" s="1"/>
  <c r="AV130" i="26"/>
  <c r="AU128" i="26"/>
  <c r="S128" i="26" s="1"/>
  <c r="H128" i="6" s="1"/>
  <c r="AV128" i="26"/>
  <c r="AU122" i="26"/>
  <c r="S122" i="26" s="1"/>
  <c r="H122" i="6" s="1"/>
  <c r="AC122" i="6" s="1"/>
  <c r="AV122" i="26"/>
  <c r="AU120" i="26"/>
  <c r="S120" i="26" s="1"/>
  <c r="H120" i="9" s="1"/>
  <c r="AV120" i="26"/>
  <c r="AU113" i="26"/>
  <c r="S113" i="26" s="1"/>
  <c r="H113" i="9" s="1"/>
  <c r="AC113" i="9" s="1"/>
  <c r="AV113" i="26"/>
  <c r="AU111" i="26"/>
  <c r="S111" i="26" s="1"/>
  <c r="H111" i="6" s="1"/>
  <c r="AV111" i="26"/>
  <c r="AZ455" i="26"/>
  <c r="BB455" i="26" s="1"/>
  <c r="BA455" i="26" s="1"/>
  <c r="BE455" i="26"/>
  <c r="BF455" i="26" s="1"/>
  <c r="AY453" i="26"/>
  <c r="BE453" i="26"/>
  <c r="BF453" i="26" s="1"/>
  <c r="AU109" i="26"/>
  <c r="S109" i="26" s="1"/>
  <c r="H109" i="9" s="1"/>
  <c r="AV109" i="26"/>
  <c r="AU107" i="26"/>
  <c r="S107" i="26" s="1"/>
  <c r="H107" i="9" s="1"/>
  <c r="AV107" i="26"/>
  <c r="AM104" i="26"/>
  <c r="Q104" i="26" s="1"/>
  <c r="Y104" i="27" s="1"/>
  <c r="G104" i="27" s="1"/>
  <c r="AV104" i="26"/>
  <c r="BE448" i="26"/>
  <c r="BF448" i="26" s="1"/>
  <c r="AU102" i="26"/>
  <c r="S102" i="26" s="1"/>
  <c r="H102" i="6" s="1"/>
  <c r="AC102" i="6" s="1"/>
  <c r="AV102" i="26"/>
  <c r="BE446" i="26"/>
  <c r="BF446" i="26" s="1"/>
  <c r="AU99" i="26"/>
  <c r="S99" i="26" s="1"/>
  <c r="H99" i="6" s="1"/>
  <c r="AC99" i="6" s="1"/>
  <c r="AV99" i="26"/>
  <c r="AU95" i="26"/>
  <c r="S95" i="26" s="1"/>
  <c r="R95" i="26" s="1"/>
  <c r="AV95" i="26"/>
  <c r="AU93" i="26"/>
  <c r="S93" i="26" s="1"/>
  <c r="H93" i="9" s="1"/>
  <c r="AV93" i="26"/>
  <c r="AU91" i="26"/>
  <c r="S91" i="26" s="1"/>
  <c r="H91" i="6" s="1"/>
  <c r="AV91" i="26"/>
  <c r="AU89" i="26"/>
  <c r="S89" i="26" s="1"/>
  <c r="H89" i="6" s="1"/>
  <c r="AC89" i="6" s="1"/>
  <c r="AV89" i="26"/>
  <c r="AU78" i="26"/>
  <c r="S78" i="26" s="1"/>
  <c r="R78" i="26" s="1"/>
  <c r="I78" i="6" s="1"/>
  <c r="AV78" i="26"/>
  <c r="AU73" i="26"/>
  <c r="S73" i="26" s="1"/>
  <c r="H73" i="6" s="1"/>
  <c r="AV73" i="26"/>
  <c r="AU71" i="26"/>
  <c r="S71" i="26" s="1"/>
  <c r="H71" i="6" s="1"/>
  <c r="AV71" i="26"/>
  <c r="AY434" i="26"/>
  <c r="BE434" i="26"/>
  <c r="AU69" i="26"/>
  <c r="S69" i="26" s="1"/>
  <c r="H69" i="6" s="1"/>
  <c r="AC69" i="6" s="1"/>
  <c r="AV69" i="26"/>
  <c r="AU63" i="26"/>
  <c r="S63" i="26" s="1"/>
  <c r="H63" i="6" s="1"/>
  <c r="AV63" i="26"/>
  <c r="AZ431" i="26"/>
  <c r="BB431" i="26" s="1"/>
  <c r="BA431" i="26" s="1"/>
  <c r="BE431" i="26"/>
  <c r="AU61" i="26"/>
  <c r="S61" i="26" s="1"/>
  <c r="R61" i="26" s="1"/>
  <c r="I61" i="9" s="1"/>
  <c r="AV61" i="26"/>
  <c r="AU59" i="26"/>
  <c r="S59" i="26" s="1"/>
  <c r="R59" i="26" s="1"/>
  <c r="I59" i="6" s="1"/>
  <c r="AV59" i="26"/>
  <c r="AL430" i="26"/>
  <c r="AM430" i="26" s="1"/>
  <c r="AO430" i="26" s="1"/>
  <c r="AN430" i="26" s="1"/>
  <c r="BE430" i="26"/>
  <c r="AU52" i="26"/>
  <c r="S52" i="26" s="1"/>
  <c r="R52" i="26" s="1"/>
  <c r="AV52" i="26"/>
  <c r="AU43" i="26"/>
  <c r="S43" i="26" s="1"/>
  <c r="H43" i="9" s="1"/>
  <c r="AV43" i="26"/>
  <c r="AU41" i="26"/>
  <c r="S41" i="26" s="1"/>
  <c r="H41" i="6" s="1"/>
  <c r="AC41" i="6" s="1"/>
  <c r="AV41" i="26"/>
  <c r="AY420" i="26"/>
  <c r="BE420" i="26"/>
  <c r="AU36" i="26"/>
  <c r="S36" i="26" s="1"/>
  <c r="H36" i="6" s="1"/>
  <c r="AC36" i="6" s="1"/>
  <c r="AV36" i="26"/>
  <c r="AZ418" i="26"/>
  <c r="BB418" i="26" s="1"/>
  <c r="BA418" i="26" s="1"/>
  <c r="BE418" i="26"/>
  <c r="AU31" i="26"/>
  <c r="S31" i="26" s="1"/>
  <c r="H31" i="9" s="1"/>
  <c r="AC31" i="9" s="1"/>
  <c r="AV31" i="26"/>
  <c r="AU29" i="26"/>
  <c r="S29" i="26" s="1"/>
  <c r="R29" i="26" s="1"/>
  <c r="I29" i="9" s="1"/>
  <c r="AV29" i="26"/>
  <c r="AU27" i="26"/>
  <c r="S27" i="26" s="1"/>
  <c r="H27" i="9" s="1"/>
  <c r="AC27" i="9" s="1"/>
  <c r="AV27" i="26"/>
  <c r="AU25" i="26"/>
  <c r="S25" i="26" s="1"/>
  <c r="R25" i="26" s="1"/>
  <c r="I25" i="6" s="1"/>
  <c r="AV25" i="26"/>
  <c r="AU21" i="26"/>
  <c r="S21" i="26" s="1"/>
  <c r="H21" i="6" s="1"/>
  <c r="AC21" i="6" s="1"/>
  <c r="AV21" i="26"/>
  <c r="AU18" i="26"/>
  <c r="S18" i="26" s="1"/>
  <c r="R18" i="26" s="1"/>
  <c r="I18" i="6" s="1"/>
  <c r="AV18" i="26"/>
  <c r="AL414" i="26"/>
  <c r="AS414" i="26" s="1"/>
  <c r="BE414" i="26"/>
  <c r="R138" i="26"/>
  <c r="I138" i="9" s="1"/>
  <c r="AC218" i="9"/>
  <c r="AH218" i="9" s="1"/>
  <c r="I218" i="9"/>
  <c r="AC39" i="6"/>
  <c r="AH39" i="6" s="1"/>
  <c r="AC159" i="9"/>
  <c r="AH159" i="9" s="1"/>
  <c r="AE251" i="26"/>
  <c r="AQ251" i="26" s="1"/>
  <c r="AR251" i="26" s="1"/>
  <c r="AT251" i="26" s="1"/>
  <c r="AS251" i="26" s="1"/>
  <c r="AU276" i="26"/>
  <c r="AV276" i="26"/>
  <c r="AD14" i="26"/>
  <c r="O14" i="26" s="1"/>
  <c r="W14" i="27" s="1"/>
  <c r="E14" i="27" s="1"/>
  <c r="AE14" i="26"/>
  <c r="AH521" i="26"/>
  <c r="AQ521" i="26"/>
  <c r="AU251" i="26"/>
  <c r="AV251" i="26"/>
  <c r="AY521" i="26"/>
  <c r="BE521" i="26"/>
  <c r="AJ520" i="26"/>
  <c r="AQ520" i="26"/>
  <c r="AH518" i="26"/>
  <c r="AQ518" i="26"/>
  <c r="AH517" i="26"/>
  <c r="AQ517" i="26"/>
  <c r="AY412" i="26"/>
  <c r="BE412" i="26"/>
  <c r="AU14" i="26"/>
  <c r="S14" i="26" s="1"/>
  <c r="R14" i="26" s="1"/>
  <c r="I14" i="6" s="1"/>
  <c r="AQ14" i="26"/>
  <c r="AR14" i="26" s="1"/>
  <c r="AT14" i="26" s="1"/>
  <c r="AS14" i="26" s="1"/>
  <c r="AV14" i="26"/>
  <c r="R146" i="26"/>
  <c r="I146" i="6" s="1"/>
  <c r="AB447" i="6"/>
  <c r="AB450" i="6"/>
  <c r="I311" i="9"/>
  <c r="AC311" i="6"/>
  <c r="AH311" i="6" s="1"/>
  <c r="Q393" i="7"/>
  <c r="O248" i="26"/>
  <c r="W248" i="27" s="1"/>
  <c r="E248" i="27" s="1"/>
  <c r="AM248" i="26"/>
  <c r="Q248" i="26" s="1"/>
  <c r="O233" i="26"/>
  <c r="F233" i="10" s="1"/>
  <c r="M633" i="10" s="1"/>
  <c r="AM233" i="26"/>
  <c r="Q233" i="26" s="1"/>
  <c r="P233" i="26" s="1"/>
  <c r="X233" i="27" s="1"/>
  <c r="AB233" i="27" s="1"/>
  <c r="O249" i="26"/>
  <c r="N249" i="26" s="1"/>
  <c r="G249" i="10" s="1"/>
  <c r="AM249" i="26"/>
  <c r="Q249" i="26" s="1"/>
  <c r="O379" i="26"/>
  <c r="W379" i="27" s="1"/>
  <c r="E379" i="27" s="1"/>
  <c r="AM379" i="26"/>
  <c r="Q379" i="26" s="1"/>
  <c r="P379" i="26" s="1"/>
  <c r="X379" i="27" s="1"/>
  <c r="AB379" i="27" s="1"/>
  <c r="O243" i="26"/>
  <c r="N243" i="26" s="1"/>
  <c r="G243" i="10" s="1"/>
  <c r="AM243" i="26"/>
  <c r="Q243" i="26" s="1"/>
  <c r="O255" i="26"/>
  <c r="F255" i="10" s="1"/>
  <c r="AM255" i="26"/>
  <c r="Q255" i="26" s="1"/>
  <c r="P255" i="26" s="1"/>
  <c r="X255" i="27" s="1"/>
  <c r="AB255" i="27" s="1"/>
  <c r="O246" i="26"/>
  <c r="N246" i="26" s="1"/>
  <c r="V246" i="27" s="1"/>
  <c r="AA246" i="27" s="1"/>
  <c r="AM246" i="26"/>
  <c r="Q246" i="26" s="1"/>
  <c r="F246" i="6" s="1"/>
  <c r="O225" i="26"/>
  <c r="N225" i="26" s="1"/>
  <c r="V225" i="27" s="1"/>
  <c r="AA225" i="27" s="1"/>
  <c r="AM225" i="26"/>
  <c r="Q225" i="26" s="1"/>
  <c r="Y225" i="27" s="1"/>
  <c r="G225" i="27" s="1"/>
  <c r="AB433" i="9"/>
  <c r="AD296" i="26"/>
  <c r="O213" i="26"/>
  <c r="Q213" i="26" s="1"/>
  <c r="AP213" i="26"/>
  <c r="AO213" i="26" s="1"/>
  <c r="AH520" i="26"/>
  <c r="AC67" i="6"/>
  <c r="AH67" i="6" s="1"/>
  <c r="AJ393" i="7"/>
  <c r="N393" i="7"/>
  <c r="AA393" i="7"/>
  <c r="Z12" i="6"/>
  <c r="AG12" i="6" s="1"/>
  <c r="AL393" i="7"/>
  <c r="AD393" i="7"/>
  <c r="AJ521" i="26"/>
  <c r="AJ517" i="26"/>
  <c r="AJ518" i="26"/>
  <c r="AH494" i="26"/>
  <c r="AQ220" i="26"/>
  <c r="AR220" i="26" s="1"/>
  <c r="AT220" i="26" s="1"/>
  <c r="AS220" i="26" s="1"/>
  <c r="AU216" i="26"/>
  <c r="S216" i="26" s="1"/>
  <c r="H216" i="6" s="1"/>
  <c r="AC216" i="6" s="1"/>
  <c r="AV216" i="26"/>
  <c r="AU215" i="26"/>
  <c r="AV215" i="26"/>
  <c r="AJ494" i="26"/>
  <c r="AU214" i="26"/>
  <c r="AV214" i="26"/>
  <c r="AU213" i="26"/>
  <c r="AV213" i="26"/>
  <c r="AY236" i="10"/>
  <c r="AV636" i="10"/>
  <c r="R222" i="26"/>
  <c r="I222" i="9" s="1"/>
  <c r="R330" i="26"/>
  <c r="I330" i="6" s="1"/>
  <c r="I264" i="9"/>
  <c r="AP304" i="26"/>
  <c r="AO304" i="26" s="1"/>
  <c r="T636" i="10"/>
  <c r="AD285" i="26"/>
  <c r="I97" i="6"/>
  <c r="R160" i="26"/>
  <c r="I160" i="6" s="1"/>
  <c r="I153" i="9"/>
  <c r="N366" i="26"/>
  <c r="G366" i="10" s="1"/>
  <c r="AC67" i="9"/>
  <c r="AH67" i="9" s="1"/>
  <c r="X40" i="10"/>
  <c r="W340" i="27"/>
  <c r="E340" i="27" s="1"/>
  <c r="O97" i="10"/>
  <c r="AD338" i="26"/>
  <c r="AG486" i="26"/>
  <c r="AT144" i="10"/>
  <c r="T500" i="10"/>
  <c r="AZ486" i="26"/>
  <c r="BB486" i="26" s="1"/>
  <c r="BA486" i="26" s="1"/>
  <c r="I76" i="6"/>
  <c r="W366" i="27"/>
  <c r="E366" i="27" s="1"/>
  <c r="G143" i="10"/>
  <c r="AM306" i="26"/>
  <c r="Q306" i="26" s="1"/>
  <c r="F306" i="9" s="1"/>
  <c r="Z306" i="9" s="1"/>
  <c r="AA306" i="9" s="1"/>
  <c r="AC153" i="6"/>
  <c r="AH153" i="6" s="1"/>
  <c r="AC236" i="9"/>
  <c r="AH236" i="9" s="1"/>
  <c r="AU636" i="10"/>
  <c r="AC236" i="6"/>
  <c r="AH236" i="6" s="1"/>
  <c r="AG636" i="10"/>
  <c r="BD207" i="26"/>
  <c r="BF207" i="26" s="1"/>
  <c r="X207" i="10"/>
  <c r="T607" i="10"/>
  <c r="AK607" i="10"/>
  <c r="J207" i="10"/>
  <c r="AC207" i="10"/>
  <c r="AT607" i="10"/>
  <c r="AY607" i="10"/>
  <c r="O207" i="10"/>
  <c r="AO207" i="10"/>
  <c r="AF207" i="10"/>
  <c r="V607" i="10"/>
  <c r="AN207" i="10"/>
  <c r="Z207" i="10"/>
  <c r="U607" i="10"/>
  <c r="P207" i="10"/>
  <c r="W607" i="10"/>
  <c r="AV207" i="10"/>
  <c r="AX207" i="10"/>
  <c r="AL207" i="10"/>
  <c r="AV607" i="10"/>
  <c r="AK207" i="10"/>
  <c r="AF607" i="10"/>
  <c r="AP207" i="10"/>
  <c r="AH607" i="10"/>
  <c r="AG607" i="10"/>
  <c r="AL607" i="10"/>
  <c r="R607" i="10"/>
  <c r="R207" i="10"/>
  <c r="AA607" i="10"/>
  <c r="AS607" i="10"/>
  <c r="N207" i="10"/>
  <c r="AJ607" i="10"/>
  <c r="L607" i="10"/>
  <c r="Q607" i="10"/>
  <c r="U207" i="10"/>
  <c r="AN607" i="10"/>
  <c r="AR607" i="10"/>
  <c r="P607" i="10"/>
  <c r="T207" i="10"/>
  <c r="V207" i="10"/>
  <c r="AQ207" i="10"/>
  <c r="X607" i="10"/>
  <c r="AK380" i="10"/>
  <c r="AY484" i="10"/>
  <c r="AI497" i="10"/>
  <c r="AM207" i="10"/>
  <c r="AJ207" i="10"/>
  <c r="AC607" i="10"/>
  <c r="AE207" i="10"/>
  <c r="K207" i="10"/>
  <c r="J607" i="10"/>
  <c r="AA207" i="10"/>
  <c r="AS207" i="10"/>
  <c r="AT207" i="10"/>
  <c r="AE607" i="10"/>
  <c r="W207" i="10"/>
  <c r="AW607" i="10"/>
  <c r="AI207" i="10"/>
  <c r="AW207" i="10"/>
  <c r="N607" i="10"/>
  <c r="Q207" i="10"/>
  <c r="AX607" i="10"/>
  <c r="AP607" i="10"/>
  <c r="AY207" i="10"/>
  <c r="M207" i="10"/>
  <c r="AB207" i="10"/>
  <c r="S207" i="10"/>
  <c r="AM607" i="10"/>
  <c r="AB607" i="10"/>
  <c r="Y607" i="10"/>
  <c r="O607" i="10"/>
  <c r="AU607" i="10"/>
  <c r="AG207" i="10"/>
  <c r="S607" i="10"/>
  <c r="AD607" i="10"/>
  <c r="M607" i="10"/>
  <c r="AD207" i="10"/>
  <c r="AQ607" i="10"/>
  <c r="AH207" i="10"/>
  <c r="L207" i="10"/>
  <c r="Z607" i="10"/>
  <c r="K607" i="10"/>
  <c r="AR207" i="10"/>
  <c r="AI607" i="10"/>
  <c r="Y207" i="10"/>
  <c r="AT97" i="10"/>
  <c r="AD306" i="26"/>
  <c r="AD35" i="26"/>
  <c r="AD274" i="26"/>
  <c r="I236" i="6"/>
  <c r="I236" i="9"/>
  <c r="AO236" i="10"/>
  <c r="AP636" i="10"/>
  <c r="K636" i="10"/>
  <c r="R636" i="10"/>
  <c r="AA236" i="10"/>
  <c r="AF236" i="10"/>
  <c r="AX236" i="10"/>
  <c r="AP236" i="10"/>
  <c r="U636" i="10"/>
  <c r="AM240" i="26"/>
  <c r="Q240" i="26" s="1"/>
  <c r="Y240" i="27" s="1"/>
  <c r="G240" i="27" s="1"/>
  <c r="F340" i="10"/>
  <c r="O340" i="10" s="1"/>
  <c r="AC97" i="9"/>
  <c r="AH97" i="9" s="1"/>
  <c r="R97" i="10"/>
  <c r="AD116" i="26"/>
  <c r="AL236" i="10"/>
  <c r="AD226" i="26"/>
  <c r="AC346" i="6"/>
  <c r="AH346" i="6" s="1"/>
  <c r="AI236" i="10"/>
  <c r="AN236" i="10"/>
  <c r="AW236" i="10"/>
  <c r="AJ236" i="10"/>
  <c r="Z636" i="10"/>
  <c r="AD236" i="10"/>
  <c r="AD497" i="10"/>
  <c r="AC97" i="6"/>
  <c r="AH97" i="6" s="1"/>
  <c r="AF97" i="6"/>
  <c r="G106" i="9"/>
  <c r="Z312" i="6"/>
  <c r="AG312" i="6" s="1"/>
  <c r="Z301" i="6"/>
  <c r="AG301" i="6" s="1"/>
  <c r="G367" i="6"/>
  <c r="G367" i="9"/>
  <c r="AB466" i="9"/>
  <c r="AE454" i="26"/>
  <c r="AU220" i="26"/>
  <c r="AV220" i="26"/>
  <c r="AC454" i="26"/>
  <c r="AB441" i="9"/>
  <c r="AB465" i="9"/>
  <c r="AD491" i="26"/>
  <c r="AC499" i="26"/>
  <c r="AL499" i="26" s="1"/>
  <c r="AU499" i="26" s="1"/>
  <c r="Q499" i="26" s="1"/>
  <c r="F477" i="6" s="1"/>
  <c r="AB444" i="9"/>
  <c r="AI414" i="26"/>
  <c r="AK414" i="26" s="1"/>
  <c r="BE39" i="26"/>
  <c r="BE367" i="26"/>
  <c r="AB446" i="6"/>
  <c r="G39" i="6"/>
  <c r="AC467" i="26"/>
  <c r="BF467" i="26" s="1"/>
  <c r="AE472" i="26"/>
  <c r="K97" i="10"/>
  <c r="AG497" i="10"/>
  <c r="S497" i="10"/>
  <c r="S97" i="10"/>
  <c r="AE497" i="10"/>
  <c r="AV97" i="10"/>
  <c r="AB443" i="6"/>
  <c r="AB447" i="9"/>
  <c r="G253" i="6"/>
  <c r="BE84" i="26"/>
  <c r="BF84" i="26" s="1"/>
  <c r="U497" i="10"/>
  <c r="AW97" i="10"/>
  <c r="Y97" i="10"/>
  <c r="W97" i="10"/>
  <c r="AR497" i="10"/>
  <c r="AD215" i="26"/>
  <c r="P642" i="10"/>
  <c r="Z339" i="6"/>
  <c r="AG339" i="6" s="1"/>
  <c r="AP497" i="10"/>
  <c r="AI97" i="10"/>
  <c r="AO97" i="10"/>
  <c r="AS497" i="10"/>
  <c r="O497" i="10"/>
  <c r="AM331" i="26"/>
  <c r="Q331" i="26" s="1"/>
  <c r="F331" i="9" s="1"/>
  <c r="Z331" i="9" s="1"/>
  <c r="AA331" i="9" s="1"/>
  <c r="AE495" i="26"/>
  <c r="AG495" i="26" s="1"/>
  <c r="AQ495" i="26" s="1"/>
  <c r="AD214" i="26"/>
  <c r="AD326" i="26"/>
  <c r="O326" i="26" s="1"/>
  <c r="W326" i="27" s="1"/>
  <c r="E326" i="27" s="1"/>
  <c r="AC393" i="7"/>
  <c r="AB464" i="6"/>
  <c r="AI40" i="10"/>
  <c r="AE491" i="26"/>
  <c r="AG491" i="26" s="1"/>
  <c r="AQ491" i="26" s="1"/>
  <c r="AT100" i="10"/>
  <c r="AQ236" i="10"/>
  <c r="AO636" i="10"/>
  <c r="N236" i="10"/>
  <c r="AT236" i="10"/>
  <c r="AW636" i="10"/>
  <c r="Z236" i="10"/>
  <c r="AX636" i="10"/>
  <c r="AE636" i="10"/>
  <c r="Q636" i="10"/>
  <c r="W236" i="10"/>
  <c r="AT636" i="10"/>
  <c r="AD467" i="26"/>
  <c r="AB469" i="6"/>
  <c r="M544" i="10"/>
  <c r="G106" i="6"/>
  <c r="AS636" i="10"/>
  <c r="L236" i="10"/>
  <c r="AL636" i="10"/>
  <c r="AR636" i="10"/>
  <c r="AN636" i="10"/>
  <c r="T236" i="10"/>
  <c r="AV236" i="10"/>
  <c r="O236" i="10"/>
  <c r="AH236" i="10"/>
  <c r="M236" i="10"/>
  <c r="Q84" i="10"/>
  <c r="AC532" i="26"/>
  <c r="AY532" i="26" s="1"/>
  <c r="S532" i="26" s="1"/>
  <c r="BE264" i="26"/>
  <c r="G253" i="9"/>
  <c r="I158" i="9"/>
  <c r="AE236" i="10"/>
  <c r="AB236" i="10"/>
  <c r="S236" i="10"/>
  <c r="Q236" i="10"/>
  <c r="S636" i="10"/>
  <c r="N636" i="10"/>
  <c r="AY636" i="10"/>
  <c r="AI636" i="10"/>
  <c r="Y236" i="10"/>
  <c r="AM236" i="10"/>
  <c r="U236" i="10"/>
  <c r="AM636" i="10"/>
  <c r="L636" i="10"/>
  <c r="P636" i="10"/>
  <c r="M636" i="10"/>
  <c r="AB636" i="10"/>
  <c r="AD636" i="10"/>
  <c r="AS236" i="10"/>
  <c r="AC636" i="10"/>
  <c r="V236" i="10"/>
  <c r="F207" i="27"/>
  <c r="G312" i="6"/>
  <c r="N497" i="10"/>
  <c r="AX97" i="10"/>
  <c r="AJ97" i="10"/>
  <c r="X97" i="10"/>
  <c r="AH497" i="10"/>
  <c r="AF497" i="10"/>
  <c r="J97" i="10"/>
  <c r="Z497" i="10"/>
  <c r="Q497" i="10"/>
  <c r="U97" i="10"/>
  <c r="AT497" i="10"/>
  <c r="AA497" i="10"/>
  <c r="AY497" i="10"/>
  <c r="L97" i="10"/>
  <c r="AC97" i="10"/>
  <c r="AM497" i="10"/>
  <c r="AD97" i="10"/>
  <c r="AY97" i="10"/>
  <c r="T97" i="10"/>
  <c r="J497" i="10"/>
  <c r="AD104" i="26"/>
  <c r="AV497" i="10"/>
  <c r="N97" i="10"/>
  <c r="AK97" i="10"/>
  <c r="P97" i="10"/>
  <c r="W497" i="10"/>
  <c r="AP97" i="10"/>
  <c r="AA97" i="10"/>
  <c r="K497" i="10"/>
  <c r="Z97" i="10"/>
  <c r="V97" i="10"/>
  <c r="AM97" i="10"/>
  <c r="M97" i="10"/>
  <c r="L497" i="10"/>
  <c r="AQ97" i="10"/>
  <c r="AN497" i="10"/>
  <c r="V497" i="10"/>
  <c r="AL97" i="10"/>
  <c r="AU497" i="10"/>
  <c r="X497" i="10"/>
  <c r="AB497" i="10"/>
  <c r="AE97" i="10"/>
  <c r="AD17" i="26"/>
  <c r="AB449" i="9"/>
  <c r="AB438" i="9"/>
  <c r="X236" i="10"/>
  <c r="AF636" i="10"/>
  <c r="O636" i="10"/>
  <c r="AQ636" i="10"/>
  <c r="AK636" i="10"/>
  <c r="P236" i="10"/>
  <c r="AH636" i="10"/>
  <c r="V636" i="10"/>
  <c r="AA636" i="10"/>
  <c r="Y636" i="10"/>
  <c r="R236" i="10"/>
  <c r="AK236" i="10"/>
  <c r="K236" i="10"/>
  <c r="J636" i="10"/>
  <c r="AR236" i="10"/>
  <c r="W636" i="10"/>
  <c r="X636" i="10"/>
  <c r="AJ636" i="10"/>
  <c r="AC236" i="10"/>
  <c r="J236" i="10"/>
  <c r="AC126" i="9"/>
  <c r="AH126" i="9" s="1"/>
  <c r="I33" i="6"/>
  <c r="AC322" i="6"/>
  <c r="AH322" i="6" s="1"/>
  <c r="Y497" i="10"/>
  <c r="R497" i="10"/>
  <c r="AH97" i="10"/>
  <c r="AL497" i="10"/>
  <c r="AG97" i="10"/>
  <c r="AO497" i="10"/>
  <c r="AF97" i="10"/>
  <c r="AC497" i="10"/>
  <c r="Q97" i="10"/>
  <c r="M497" i="10"/>
  <c r="AX497" i="10"/>
  <c r="AR97" i="10"/>
  <c r="AW497" i="10"/>
  <c r="T497" i="10"/>
  <c r="P497" i="10"/>
  <c r="AQ497" i="10"/>
  <c r="AK497" i="10"/>
  <c r="AN97" i="10"/>
  <c r="AJ497" i="10"/>
  <c r="AS97" i="10"/>
  <c r="AE499" i="26"/>
  <c r="AB436" i="9"/>
  <c r="AM544" i="10"/>
  <c r="AC495" i="26"/>
  <c r="AV132" i="10"/>
  <c r="J484" i="10"/>
  <c r="AO153" i="10"/>
  <c r="W118" i="27"/>
  <c r="E118" i="27" s="1"/>
  <c r="AD282" i="26"/>
  <c r="Q544" i="10"/>
  <c r="AN440" i="10"/>
  <c r="AU310" i="26"/>
  <c r="S310" i="26" s="1"/>
  <c r="H310" i="9" s="1"/>
  <c r="AN484" i="10"/>
  <c r="AR84" i="10"/>
  <c r="AD69" i="26"/>
  <c r="O69" i="26" s="1"/>
  <c r="AB448" i="9"/>
  <c r="AB437" i="6"/>
  <c r="AB461" i="6"/>
  <c r="AB455" i="6"/>
  <c r="AD261" i="26"/>
  <c r="AB434" i="9"/>
  <c r="AB458" i="9"/>
  <c r="AD139" i="26"/>
  <c r="H297" i="6"/>
  <c r="AC297" i="6" s="1"/>
  <c r="F314" i="10"/>
  <c r="AI714" i="10" s="1"/>
  <c r="AB452" i="9"/>
  <c r="AB441" i="6"/>
  <c r="AF393" i="7"/>
  <c r="AH1523" i="10"/>
  <c r="AH1593" i="10" s="1"/>
  <c r="M393" i="7"/>
  <c r="Z106" i="27"/>
  <c r="AJ380" i="10"/>
  <c r="AH393" i="7"/>
  <c r="L393" i="7"/>
  <c r="AE669" i="10"/>
  <c r="AD115" i="26"/>
  <c r="AD251" i="26"/>
  <c r="AB448" i="6"/>
  <c r="F393" i="7"/>
  <c r="AN393" i="7"/>
  <c r="BE346" i="26"/>
  <c r="AY380" i="10"/>
  <c r="F66" i="27"/>
  <c r="AE484" i="26"/>
  <c r="AK393" i="7"/>
  <c r="AD386" i="26"/>
  <c r="I12" i="9"/>
  <c r="AC12" i="6"/>
  <c r="AH12" i="6" s="1"/>
  <c r="AC506" i="26"/>
  <c r="BE253" i="26"/>
  <c r="BE188" i="26"/>
  <c r="G312" i="9"/>
  <c r="R297" i="26"/>
  <c r="I297" i="9" s="1"/>
  <c r="I360" i="9"/>
  <c r="AD506" i="26"/>
  <c r="AC416" i="26"/>
  <c r="AD532" i="26"/>
  <c r="AC472" i="26"/>
  <c r="AC484" i="26"/>
  <c r="N642" i="10"/>
  <c r="AX76" i="10"/>
  <c r="AC322" i="9"/>
  <c r="AH322" i="9" s="1"/>
  <c r="AS1297" i="10"/>
  <c r="AS1593" i="10" s="1"/>
  <c r="AJ302" i="10"/>
  <c r="AM393" i="7"/>
  <c r="G196" i="9"/>
  <c r="H282" i="6"/>
  <c r="AC282" i="6" s="1"/>
  <c r="BE196" i="26"/>
  <c r="AJ47" i="10"/>
  <c r="AC339" i="10"/>
  <c r="AB393" i="7"/>
  <c r="Y66" i="10"/>
  <c r="X242" i="10"/>
  <c r="AC277" i="9"/>
  <c r="AH277" i="9" s="1"/>
  <c r="G264" i="9"/>
  <c r="Z264" i="6"/>
  <c r="AG264" i="6" s="1"/>
  <c r="AC168" i="6"/>
  <c r="AH168" i="6" s="1"/>
  <c r="T544" i="10"/>
  <c r="AG544" i="10"/>
  <c r="U440" i="10"/>
  <c r="AK780" i="10"/>
  <c r="AA484" i="10"/>
  <c r="V484" i="10"/>
  <c r="I352" i="6"/>
  <c r="J544" i="10"/>
  <c r="Z144" i="10"/>
  <c r="S440" i="10"/>
  <c r="U132" i="10"/>
  <c r="AP780" i="10"/>
  <c r="S780" i="10"/>
  <c r="AX484" i="10"/>
  <c r="AG484" i="10"/>
  <c r="AH484" i="10"/>
  <c r="Z318" i="6"/>
  <c r="AG318" i="6" s="1"/>
  <c r="G177" i="10"/>
  <c r="BE360" i="26"/>
  <c r="BF360" i="26" s="1"/>
  <c r="V118" i="27"/>
  <c r="BD118" i="26"/>
  <c r="BF118" i="26" s="1"/>
  <c r="F143" i="27"/>
  <c r="AW324" i="10"/>
  <c r="S618" i="10"/>
  <c r="AA466" i="10"/>
  <c r="AR169" i="10"/>
  <c r="AC219" i="9"/>
  <c r="AH219" i="9" s="1"/>
  <c r="AC352" i="6"/>
  <c r="AH352" i="6" s="1"/>
  <c r="AD368" i="26"/>
  <c r="G156" i="6"/>
  <c r="Z206" i="6"/>
  <c r="AG206" i="6" s="1"/>
  <c r="G156" i="9"/>
  <c r="AD102" i="26"/>
  <c r="W16" i="27"/>
  <c r="E16" i="27" s="1"/>
  <c r="N16" i="26"/>
  <c r="BD16" i="26" s="1"/>
  <c r="R282" i="26"/>
  <c r="I282" i="6" s="1"/>
  <c r="S51" i="10"/>
  <c r="AQ66" i="10"/>
  <c r="R569" i="10"/>
  <c r="AM282" i="26"/>
  <c r="Q282" i="26" s="1"/>
  <c r="F282" i="9" s="1"/>
  <c r="Z282" i="9" s="1"/>
  <c r="AA282" i="9" s="1"/>
  <c r="G346" i="9"/>
  <c r="X51" i="10"/>
  <c r="W117" i="27"/>
  <c r="E117" i="27" s="1"/>
  <c r="N117" i="26"/>
  <c r="G117" i="10" s="1"/>
  <c r="AE218" i="10"/>
  <c r="AX66" i="10"/>
  <c r="AH66" i="10"/>
  <c r="Q447" i="10"/>
  <c r="AM447" i="10"/>
  <c r="H264" i="27"/>
  <c r="AD337" i="26"/>
  <c r="AE416" i="26"/>
  <c r="AM129" i="26"/>
  <c r="Q129" i="26" s="1"/>
  <c r="P129" i="26" s="1"/>
  <c r="AD140" i="26"/>
  <c r="O140" i="26" s="1"/>
  <c r="N140" i="26" s="1"/>
  <c r="AD310" i="26"/>
  <c r="AE442" i="26"/>
  <c r="AC442" i="26"/>
  <c r="AZ442" i="26" s="1"/>
  <c r="BB442" i="26" s="1"/>
  <c r="BA442" i="26" s="1"/>
  <c r="AE536" i="26"/>
  <c r="AC536" i="26"/>
  <c r="AL536" i="26" s="1"/>
  <c r="AM536" i="26" s="1"/>
  <c r="V218" i="10"/>
  <c r="AB218" i="10"/>
  <c r="AW544" i="10"/>
  <c r="AH144" i="10"/>
  <c r="W144" i="10"/>
  <c r="L144" i="10"/>
  <c r="J40" i="10"/>
  <c r="AE440" i="10"/>
  <c r="Q40" i="10"/>
  <c r="R702" i="10"/>
  <c r="X100" i="10"/>
  <c r="AQ532" i="10"/>
  <c r="AM532" i="10"/>
  <c r="AI780" i="10"/>
  <c r="K380" i="10"/>
  <c r="AR780" i="10"/>
  <c r="M484" i="10"/>
  <c r="AB484" i="10"/>
  <c r="AC84" i="10"/>
  <c r="Z484" i="10"/>
  <c r="N484" i="10"/>
  <c r="AC425" i="26"/>
  <c r="F177" i="27"/>
  <c r="I277" i="9"/>
  <c r="G33" i="6"/>
  <c r="BD143" i="26"/>
  <c r="BF143" i="26" s="1"/>
  <c r="L618" i="10"/>
  <c r="AK544" i="10"/>
  <c r="AH544" i="10"/>
  <c r="O144" i="10"/>
  <c r="AQ144" i="10"/>
  <c r="AO440" i="10"/>
  <c r="AR440" i="10"/>
  <c r="AY100" i="10"/>
  <c r="W532" i="10"/>
  <c r="AH780" i="10"/>
  <c r="AH380" i="10"/>
  <c r="T484" i="10"/>
  <c r="O84" i="10"/>
  <c r="AS84" i="10"/>
  <c r="X84" i="10"/>
  <c r="AP484" i="10"/>
  <c r="AI84" i="10"/>
  <c r="BD158" i="26"/>
  <c r="Y368" i="27"/>
  <c r="G368" i="27" s="1"/>
  <c r="AO106" i="10"/>
  <c r="F118" i="10"/>
  <c r="U518" i="10" s="1"/>
  <c r="AD425" i="26"/>
  <c r="F368" i="6"/>
  <c r="Z368" i="6" s="1"/>
  <c r="P368" i="26"/>
  <c r="I253" i="6"/>
  <c r="AS451" i="10"/>
  <c r="W466" i="10"/>
  <c r="AD466" i="10"/>
  <c r="W100" i="10"/>
  <c r="Q500" i="10"/>
  <c r="AD447" i="10"/>
  <c r="AE273" i="10"/>
  <c r="N390" i="10"/>
  <c r="AD239" i="26"/>
  <c r="AC352" i="9"/>
  <c r="AH352" i="9" s="1"/>
  <c r="AF352" i="9"/>
  <c r="G219" i="10"/>
  <c r="BD219" i="26"/>
  <c r="AL66" i="10"/>
  <c r="AG66" i="10"/>
  <c r="P66" i="10"/>
  <c r="AW100" i="10"/>
  <c r="AK100" i="10"/>
  <c r="AE447" i="10"/>
  <c r="BD56" i="26"/>
  <c r="AC207" i="9"/>
  <c r="AH207" i="9" s="1"/>
  <c r="AD167" i="26"/>
  <c r="AW177" i="10"/>
  <c r="K177" i="10"/>
  <c r="Z177" i="10"/>
  <c r="AC577" i="10"/>
  <c r="AR577" i="10"/>
  <c r="Z577" i="10"/>
  <c r="AE177" i="10"/>
  <c r="T177" i="10"/>
  <c r="AD577" i="10"/>
  <c r="AF177" i="10"/>
  <c r="AX177" i="10"/>
  <c r="AV177" i="10"/>
  <c r="AA177" i="10"/>
  <c r="AN177" i="10"/>
  <c r="AQ577" i="10"/>
  <c r="AH177" i="10"/>
  <c r="K577" i="10"/>
  <c r="AA577" i="10"/>
  <c r="J177" i="10"/>
  <c r="U177" i="10"/>
  <c r="T577" i="10"/>
  <c r="N177" i="10"/>
  <c r="AQ177" i="10"/>
  <c r="Q177" i="10"/>
  <c r="AJ577" i="10"/>
  <c r="AY177" i="10"/>
  <c r="AP577" i="10"/>
  <c r="AO577" i="10"/>
  <c r="AH577" i="10"/>
  <c r="L577" i="10"/>
  <c r="V177" i="10"/>
  <c r="X577" i="10"/>
  <c r="L177" i="10"/>
  <c r="N577" i="10"/>
  <c r="Y177" i="10"/>
  <c r="AL177" i="10"/>
  <c r="W177" i="10"/>
  <c r="AK177" i="10"/>
  <c r="AS177" i="10"/>
  <c r="AS577" i="10"/>
  <c r="AM577" i="10"/>
  <c r="I219" i="9"/>
  <c r="AD331" i="26"/>
  <c r="I322" i="9"/>
  <c r="I322" i="6"/>
  <c r="I212" i="9"/>
  <c r="I212" i="6"/>
  <c r="Q543" i="10"/>
  <c r="AP143" i="10"/>
  <c r="AW143" i="10"/>
  <c r="AM543" i="10"/>
  <c r="AE543" i="10"/>
  <c r="N543" i="10"/>
  <c r="AV543" i="10"/>
  <c r="J543" i="10"/>
  <c r="AX143" i="10"/>
  <c r="Z143" i="10"/>
  <c r="AY143" i="10"/>
  <c r="AR543" i="10"/>
  <c r="AI143" i="10"/>
  <c r="AL143" i="10"/>
  <c r="AG543" i="10"/>
  <c r="Q143" i="10"/>
  <c r="AH143" i="10"/>
  <c r="AJ143" i="10"/>
  <c r="P143" i="10"/>
  <c r="T543" i="10"/>
  <c r="AI543" i="10"/>
  <c r="AL543" i="10"/>
  <c r="AD143" i="10"/>
  <c r="N143" i="10"/>
  <c r="L143" i="10"/>
  <c r="AX543" i="10"/>
  <c r="M543" i="10"/>
  <c r="AS143" i="10"/>
  <c r="AG143" i="10"/>
  <c r="AF143" i="10"/>
  <c r="AC543" i="10"/>
  <c r="AF543" i="10"/>
  <c r="AC143" i="10"/>
  <c r="M143" i="10"/>
  <c r="Z543" i="10"/>
  <c r="AP543" i="10"/>
  <c r="L543" i="10"/>
  <c r="AM143" i="10"/>
  <c r="AO543" i="10"/>
  <c r="S143" i="10"/>
  <c r="AS543" i="10"/>
  <c r="AH543" i="10"/>
  <c r="O143" i="10"/>
  <c r="AQ143" i="10"/>
  <c r="AY543" i="10"/>
  <c r="AO143" i="10"/>
  <c r="AJ543" i="10"/>
  <c r="AE143" i="10"/>
  <c r="K143" i="10"/>
  <c r="AA143" i="10"/>
  <c r="AU543" i="10"/>
  <c r="AB543" i="10"/>
  <c r="AK143" i="10"/>
  <c r="O543" i="10"/>
  <c r="U143" i="10"/>
  <c r="AT143" i="10"/>
  <c r="R543" i="10"/>
  <c r="AB143" i="10"/>
  <c r="AD543" i="10"/>
  <c r="R143" i="10"/>
  <c r="P543" i="10"/>
  <c r="AQ543" i="10"/>
  <c r="T143" i="10"/>
  <c r="Y143" i="10"/>
  <c r="AR143" i="10"/>
  <c r="AW543" i="10"/>
  <c r="V143" i="10"/>
  <c r="AN543" i="10"/>
  <c r="AT543" i="10"/>
  <c r="AN143" i="10"/>
  <c r="AA543" i="10"/>
  <c r="K543" i="10"/>
  <c r="W143" i="10"/>
  <c r="Y543" i="10"/>
  <c r="W543" i="10"/>
  <c r="AV143" i="10"/>
  <c r="J143" i="10"/>
  <c r="AK543" i="10"/>
  <c r="U543" i="10"/>
  <c r="X143" i="10"/>
  <c r="V543" i="10"/>
  <c r="X543" i="10"/>
  <c r="S543" i="10"/>
  <c r="I206" i="6"/>
  <c r="G360" i="6"/>
  <c r="BE366" i="26"/>
  <c r="H219" i="27"/>
  <c r="BE33" i="26"/>
  <c r="I143" i="9"/>
  <c r="AE387" i="26"/>
  <c r="AU387" i="26"/>
  <c r="S387" i="26" s="1"/>
  <c r="R387" i="26" s="1"/>
  <c r="AT387" i="26"/>
  <c r="AS387" i="26" s="1"/>
  <c r="AV387" i="26"/>
  <c r="I126" i="9"/>
  <c r="I278" i="9"/>
  <c r="Z257" i="6"/>
  <c r="AG257" i="6" s="1"/>
  <c r="AC153" i="9"/>
  <c r="AH153" i="9" s="1"/>
  <c r="AC158" i="9"/>
  <c r="AH158" i="9" s="1"/>
  <c r="I289" i="6"/>
  <c r="H158" i="27"/>
  <c r="AC33" i="6"/>
  <c r="AH33" i="6" s="1"/>
  <c r="I152" i="6"/>
  <c r="I84" i="6"/>
  <c r="Z33" i="6"/>
  <c r="AG33" i="6" s="1"/>
  <c r="AS790" i="10"/>
  <c r="AD790" i="10"/>
  <c r="I188" i="6"/>
  <c r="AP289" i="10"/>
  <c r="O390" i="10"/>
  <c r="O790" i="10"/>
  <c r="Z212" i="6"/>
  <c r="AG212" i="6" s="1"/>
  <c r="R673" i="10"/>
  <c r="AC301" i="9"/>
  <c r="AH301" i="9" s="1"/>
  <c r="I19" i="9"/>
  <c r="AC273" i="6"/>
  <c r="AH273" i="6" s="1"/>
  <c r="AD220" i="26"/>
  <c r="AM144" i="10"/>
  <c r="T144" i="10"/>
  <c r="AR144" i="10"/>
  <c r="AT544" i="10"/>
  <c r="Z544" i="10"/>
  <c r="X144" i="10"/>
  <c r="J144" i="10"/>
  <c r="K544" i="10"/>
  <c r="Z156" i="6"/>
  <c r="AG156" i="6" s="1"/>
  <c r="AG40" i="10"/>
  <c r="AO40" i="10"/>
  <c r="AC40" i="10"/>
  <c r="AH440" i="10"/>
  <c r="T40" i="10"/>
  <c r="AM500" i="10"/>
  <c r="N500" i="10"/>
  <c r="U500" i="10"/>
  <c r="AD532" i="10"/>
  <c r="AF532" i="10"/>
  <c r="R532" i="10"/>
  <c r="J380" i="10"/>
  <c r="M780" i="10"/>
  <c r="AX380" i="10"/>
  <c r="J780" i="10"/>
  <c r="V780" i="10"/>
  <c r="U84" i="10"/>
  <c r="AJ84" i="10"/>
  <c r="AD84" i="10"/>
  <c r="AM484" i="10"/>
  <c r="R484" i="10"/>
  <c r="V84" i="10"/>
  <c r="AG84" i="10"/>
  <c r="O484" i="10"/>
  <c r="AR484" i="10"/>
  <c r="P84" i="10"/>
  <c r="AC47" i="6"/>
  <c r="AH47" i="6" s="1"/>
  <c r="F47" i="27"/>
  <c r="G84" i="9"/>
  <c r="AC219" i="6"/>
  <c r="AH219" i="6" s="1"/>
  <c r="AJ353" i="10"/>
  <c r="K669" i="10"/>
  <c r="AC46" i="9"/>
  <c r="AH46" i="9" s="1"/>
  <c r="P390" i="10"/>
  <c r="AV390" i="10"/>
  <c r="R790" i="10"/>
  <c r="I217" i="9"/>
  <c r="AC143" i="9"/>
  <c r="AH143" i="9" s="1"/>
  <c r="AD229" i="26"/>
  <c r="AM297" i="26"/>
  <c r="Q297" i="26" s="1"/>
  <c r="Y297" i="27" s="1"/>
  <c r="G297" i="27" s="1"/>
  <c r="AM16" i="26"/>
  <c r="Q16" i="26" s="1"/>
  <c r="P16" i="26" s="1"/>
  <c r="AD280" i="26"/>
  <c r="O280" i="26" s="1"/>
  <c r="N280" i="26" s="1"/>
  <c r="BD280" i="26" s="1"/>
  <c r="AD344" i="26"/>
  <c r="AX144" i="10"/>
  <c r="R544" i="10"/>
  <c r="X544" i="10"/>
  <c r="AG144" i="10"/>
  <c r="AV144" i="10"/>
  <c r="AY544" i="10"/>
  <c r="AB144" i="10"/>
  <c r="AF144" i="10"/>
  <c r="AM40" i="10"/>
  <c r="AD40" i="10"/>
  <c r="L40" i="10"/>
  <c r="AV40" i="10"/>
  <c r="V440" i="10"/>
  <c r="AN40" i="10"/>
  <c r="I13" i="6"/>
  <c r="AX500" i="10"/>
  <c r="AB500" i="10"/>
  <c r="AU500" i="10"/>
  <c r="AG100" i="10"/>
  <c r="I314" i="6"/>
  <c r="H153" i="27"/>
  <c r="N532" i="10"/>
  <c r="Z532" i="10"/>
  <c r="AN380" i="10"/>
  <c r="AV780" i="10"/>
  <c r="AF380" i="10"/>
  <c r="P380" i="10"/>
  <c r="AM780" i="10"/>
  <c r="AO84" i="10"/>
  <c r="AB84" i="10"/>
  <c r="AD484" i="10"/>
  <c r="AX84" i="10"/>
  <c r="AV84" i="10"/>
  <c r="AO484" i="10"/>
  <c r="AJ484" i="10"/>
  <c r="AC484" i="10"/>
  <c r="AV484" i="10"/>
  <c r="S484" i="10"/>
  <c r="R84" i="10"/>
  <c r="AT273" i="10"/>
  <c r="AL269" i="10"/>
  <c r="L790" i="10"/>
  <c r="Q790" i="10"/>
  <c r="AQ390" i="10"/>
  <c r="I312" i="9"/>
  <c r="I390" i="9"/>
  <c r="BE153" i="26"/>
  <c r="G153" i="9"/>
  <c r="G153" i="6"/>
  <c r="J673" i="10"/>
  <c r="AD199" i="26"/>
  <c r="O199" i="26" s="1"/>
  <c r="W199" i="27" s="1"/>
  <c r="E199" i="27" s="1"/>
  <c r="AR715" i="10"/>
  <c r="I131" i="9"/>
  <c r="I96" i="9"/>
  <c r="AC390" i="6"/>
  <c r="AH390" i="6" s="1"/>
  <c r="BE158" i="26"/>
  <c r="BE219" i="26"/>
  <c r="AC314" i="6"/>
  <c r="AH314" i="6" s="1"/>
  <c r="AC353" i="9"/>
  <c r="AH353" i="9" s="1"/>
  <c r="AC374" i="9"/>
  <c r="AH374" i="9" s="1"/>
  <c r="AC131" i="6"/>
  <c r="AH131" i="6" s="1"/>
  <c r="G219" i="9"/>
  <c r="G158" i="9"/>
  <c r="G366" i="6"/>
  <c r="BE206" i="26"/>
  <c r="H206" i="27"/>
  <c r="Z158" i="6"/>
  <c r="AG158" i="6" s="1"/>
  <c r="H366" i="27"/>
  <c r="AC264" i="9"/>
  <c r="AH264" i="9" s="1"/>
  <c r="AW440" i="10"/>
  <c r="L440" i="10"/>
  <c r="AH40" i="10"/>
  <c r="AI440" i="10"/>
  <c r="AL440" i="10"/>
  <c r="Q440" i="10"/>
  <c r="AQ440" i="10"/>
  <c r="AP440" i="10"/>
  <c r="R40" i="10"/>
  <c r="AY440" i="10"/>
  <c r="AW302" i="10"/>
  <c r="K451" i="10"/>
  <c r="R66" i="10"/>
  <c r="Z466" i="10"/>
  <c r="AW466" i="10"/>
  <c r="AL466" i="10"/>
  <c r="AO66" i="10"/>
  <c r="AO447" i="10"/>
  <c r="AV47" i="10"/>
  <c r="AQ447" i="10"/>
  <c r="K339" i="10"/>
  <c r="M84" i="10"/>
  <c r="Y84" i="10"/>
  <c r="AW84" i="10"/>
  <c r="J84" i="10"/>
  <c r="AE484" i="10"/>
  <c r="AM84" i="10"/>
  <c r="AT84" i="10"/>
  <c r="AQ84" i="10"/>
  <c r="S84" i="10"/>
  <c r="AP84" i="10"/>
  <c r="Q484" i="10"/>
  <c r="AL84" i="10"/>
  <c r="X484" i="10"/>
  <c r="N84" i="10"/>
  <c r="AK84" i="10"/>
  <c r="AH84" i="10"/>
  <c r="AY84" i="10"/>
  <c r="L484" i="10"/>
  <c r="AQ484" i="10"/>
  <c r="AK484" i="10"/>
  <c r="G188" i="6"/>
  <c r="G84" i="6"/>
  <c r="AD440" i="10"/>
  <c r="AS40" i="10"/>
  <c r="U40" i="10"/>
  <c r="P40" i="10"/>
  <c r="V40" i="10"/>
  <c r="AB40" i="10"/>
  <c r="M40" i="10"/>
  <c r="AR40" i="10"/>
  <c r="AQ40" i="10"/>
  <c r="Y440" i="10"/>
  <c r="AV440" i="10"/>
  <c r="O302" i="10"/>
  <c r="AJ256" i="10"/>
  <c r="AA451" i="10"/>
  <c r="AN466" i="10"/>
  <c r="X466" i="10"/>
  <c r="W66" i="10"/>
  <c r="AJ466" i="10"/>
  <c r="AR66" i="10"/>
  <c r="AF447" i="10"/>
  <c r="Z447" i="10"/>
  <c r="N47" i="10"/>
  <c r="K484" i="10"/>
  <c r="AF84" i="10"/>
  <c r="AN84" i="10"/>
  <c r="P484" i="10"/>
  <c r="AI484" i="10"/>
  <c r="AU484" i="10"/>
  <c r="W84" i="10"/>
  <c r="AA84" i="10"/>
  <c r="U484" i="10"/>
  <c r="AW484" i="10"/>
  <c r="L84" i="10"/>
  <c r="AT484" i="10"/>
  <c r="AE84" i="10"/>
  <c r="Z84" i="10"/>
  <c r="K84" i="10"/>
  <c r="AS484" i="10"/>
  <c r="Y484" i="10"/>
  <c r="AL484" i="10"/>
  <c r="W484" i="10"/>
  <c r="T84" i="10"/>
  <c r="AC96" i="9"/>
  <c r="AH96" i="9" s="1"/>
  <c r="AC66" i="6"/>
  <c r="AH66" i="6" s="1"/>
  <c r="AC66" i="9"/>
  <c r="AH66" i="9" s="1"/>
  <c r="G257" i="6"/>
  <c r="I207" i="9"/>
  <c r="AM85" i="26"/>
  <c r="Q85" i="26" s="1"/>
  <c r="P85" i="26" s="1"/>
  <c r="AT85" i="26"/>
  <c r="AS85" i="26" s="1"/>
  <c r="AV85" i="26"/>
  <c r="AT34" i="26"/>
  <c r="AS34" i="26" s="1"/>
  <c r="AU34" i="26"/>
  <c r="S34" i="26" s="1"/>
  <c r="H34" i="9" s="1"/>
  <c r="AC34" i="9" s="1"/>
  <c r="AV34" i="26"/>
  <c r="I325" i="6"/>
  <c r="I144" i="6"/>
  <c r="I353" i="9"/>
  <c r="G125" i="6"/>
  <c r="G206" i="9"/>
  <c r="Z253" i="6"/>
  <c r="AG253" i="6" s="1"/>
  <c r="G257" i="9"/>
  <c r="AC196" i="9"/>
  <c r="AH196" i="9" s="1"/>
  <c r="I302" i="9"/>
  <c r="G206" i="6"/>
  <c r="N314" i="26"/>
  <c r="BD314" i="26" s="1"/>
  <c r="AF544" i="10"/>
  <c r="AD544" i="10"/>
  <c r="N544" i="10"/>
  <c r="AS544" i="10"/>
  <c r="AI544" i="10"/>
  <c r="M144" i="10"/>
  <c r="Y544" i="10"/>
  <c r="AU544" i="10"/>
  <c r="AS144" i="10"/>
  <c r="P144" i="10"/>
  <c r="N256" i="10"/>
  <c r="AP256" i="10"/>
  <c r="AM466" i="10"/>
  <c r="AX466" i="10"/>
  <c r="AB466" i="10"/>
  <c r="R466" i="10"/>
  <c r="AC66" i="10"/>
  <c r="N466" i="10"/>
  <c r="V66" i="10"/>
  <c r="M66" i="10"/>
  <c r="T66" i="10"/>
  <c r="AS66" i="10"/>
  <c r="AS47" i="10"/>
  <c r="X47" i="10"/>
  <c r="AN47" i="10"/>
  <c r="AQ47" i="10"/>
  <c r="AK47" i="10"/>
  <c r="G158" i="10"/>
  <c r="F308" i="27"/>
  <c r="K553" i="10"/>
  <c r="N106" i="10"/>
  <c r="O256" i="10"/>
  <c r="AI656" i="10"/>
  <c r="AY466" i="10"/>
  <c r="AK66" i="10"/>
  <c r="Y466" i="10"/>
  <c r="Z66" i="10"/>
  <c r="AM66" i="10"/>
  <c r="Q466" i="10"/>
  <c r="AK466" i="10"/>
  <c r="AA66" i="10"/>
  <c r="AO466" i="10"/>
  <c r="AD66" i="10"/>
  <c r="O466" i="10"/>
  <c r="T447" i="10"/>
  <c r="AP47" i="10"/>
  <c r="AL47" i="10"/>
  <c r="AO47" i="10"/>
  <c r="AR47" i="10"/>
  <c r="S553" i="10"/>
  <c r="AI678" i="10"/>
  <c r="AL506" i="10"/>
  <c r="BE76" i="26"/>
  <c r="BF76" i="26" s="1"/>
  <c r="AC359" i="6"/>
  <c r="AH359" i="6" s="1"/>
  <c r="AH256" i="10"/>
  <c r="L656" i="10"/>
  <c r="S256" i="10"/>
  <c r="J51" i="10"/>
  <c r="N451" i="10"/>
  <c r="L51" i="10"/>
  <c r="R780" i="10"/>
  <c r="L780" i="10"/>
  <c r="N780" i="10"/>
  <c r="AI380" i="10"/>
  <c r="W380" i="10"/>
  <c r="AJ780" i="10"/>
  <c r="P780" i="10"/>
  <c r="AE380" i="10"/>
  <c r="S380" i="10"/>
  <c r="AS780" i="10"/>
  <c r="AS153" i="10"/>
  <c r="BD66" i="26"/>
  <c r="AU753" i="10"/>
  <c r="AG256" i="10"/>
  <c r="AD656" i="10"/>
  <c r="L256" i="10"/>
  <c r="M451" i="10"/>
  <c r="Q51" i="10"/>
  <c r="AR380" i="10"/>
  <c r="Q380" i="10"/>
  <c r="AA780" i="10"/>
  <c r="AC380" i="10"/>
  <c r="AD380" i="10"/>
  <c r="W780" i="10"/>
  <c r="Y380" i="10"/>
  <c r="AF780" i="10"/>
  <c r="AM380" i="10"/>
  <c r="AO380" i="10"/>
  <c r="AQ553" i="10"/>
  <c r="W153" i="10"/>
  <c r="AD341" i="26"/>
  <c r="AC148" i="9"/>
  <c r="AH148" i="9" s="1"/>
  <c r="AW532" i="10"/>
  <c r="M532" i="10"/>
  <c r="Z132" i="10"/>
  <c r="AT532" i="10"/>
  <c r="L132" i="10"/>
  <c r="AJ132" i="10"/>
  <c r="AK132" i="10"/>
  <c r="AR132" i="10"/>
  <c r="L532" i="10"/>
  <c r="Z67" i="6"/>
  <c r="AG67" i="6" s="1"/>
  <c r="AJ218" i="10"/>
  <c r="AD218" i="10"/>
  <c r="S218" i="10"/>
  <c r="P440" i="10"/>
  <c r="AK40" i="10"/>
  <c r="K40" i="10"/>
  <c r="J440" i="10"/>
  <c r="R440" i="10"/>
  <c r="AM440" i="10"/>
  <c r="AF40" i="10"/>
  <c r="AX440" i="10"/>
  <c r="AK440" i="10"/>
  <c r="AJ40" i="10"/>
  <c r="AF440" i="10"/>
  <c r="AL40" i="10"/>
  <c r="AT40" i="10"/>
  <c r="AJ440" i="10"/>
  <c r="W40" i="10"/>
  <c r="AS440" i="10"/>
  <c r="N40" i="10"/>
  <c r="AC440" i="10"/>
  <c r="AA440" i="10"/>
  <c r="N440" i="10"/>
  <c r="AW40" i="10"/>
  <c r="U302" i="10"/>
  <c r="AG702" i="10"/>
  <c r="G19" i="9"/>
  <c r="AU446" i="10"/>
  <c r="K532" i="10"/>
  <c r="Y132" i="10"/>
  <c r="AU532" i="10"/>
  <c r="O132" i="10"/>
  <c r="AM132" i="10"/>
  <c r="P132" i="10"/>
  <c r="AN532" i="10"/>
  <c r="AS532" i="10"/>
  <c r="AJ532" i="10"/>
  <c r="J132" i="10"/>
  <c r="AY532" i="10"/>
  <c r="AV374" i="10"/>
  <c r="P739" i="10"/>
  <c r="F380" i="27"/>
  <c r="AC359" i="9"/>
  <c r="AH359" i="9" s="1"/>
  <c r="Z269" i="10"/>
  <c r="AA132" i="10"/>
  <c r="AJ618" i="10"/>
  <c r="AL618" i="10"/>
  <c r="AI218" i="10"/>
  <c r="AX40" i="10"/>
  <c r="Z40" i="10"/>
  <c r="Y40" i="10"/>
  <c r="X440" i="10"/>
  <c r="O440" i="10"/>
  <c r="K440" i="10"/>
  <c r="AT440" i="10"/>
  <c r="AY40" i="10"/>
  <c r="O40" i="10"/>
  <c r="AA40" i="10"/>
  <c r="AG440" i="10"/>
  <c r="AB440" i="10"/>
  <c r="S40" i="10"/>
  <c r="AP40" i="10"/>
  <c r="AE40" i="10"/>
  <c r="M440" i="10"/>
  <c r="W440" i="10"/>
  <c r="Z440" i="10"/>
  <c r="T440" i="10"/>
  <c r="AN702" i="10"/>
  <c r="AA302" i="10"/>
  <c r="G19" i="6"/>
  <c r="V132" i="10"/>
  <c r="Y532" i="10"/>
  <c r="K132" i="10"/>
  <c r="AX132" i="10"/>
  <c r="R132" i="10"/>
  <c r="AA532" i="10"/>
  <c r="AD132" i="10"/>
  <c r="Q132" i="10"/>
  <c r="AC132" i="10"/>
  <c r="AT132" i="10"/>
  <c r="AI532" i="10"/>
  <c r="AP774" i="10"/>
  <c r="AX339" i="10"/>
  <c r="AV669" i="10"/>
  <c r="AO126" i="10"/>
  <c r="AC153" i="10"/>
  <c r="AP553" i="10"/>
  <c r="Q126" i="10"/>
  <c r="X553" i="10"/>
  <c r="AL153" i="10"/>
  <c r="AS257" i="10"/>
  <c r="AD371" i="26"/>
  <c r="I136" i="6"/>
  <c r="BE19" i="26"/>
  <c r="AC148" i="6"/>
  <c r="AH148" i="6" s="1"/>
  <c r="I248" i="6"/>
  <c r="I248" i="9"/>
  <c r="H195" i="27"/>
  <c r="AC498" i="26"/>
  <c r="R226" i="26"/>
  <c r="I226" i="6" s="1"/>
  <c r="R175" i="26"/>
  <c r="I175" i="9" s="1"/>
  <c r="G195" i="6"/>
  <c r="R284" i="26"/>
  <c r="I284" i="6" s="1"/>
  <c r="H244" i="9"/>
  <c r="R244" i="26"/>
  <c r="H244" i="6"/>
  <c r="H237" i="9"/>
  <c r="AC237" i="9" s="1"/>
  <c r="H237" i="6"/>
  <c r="AC237" i="6" s="1"/>
  <c r="R171" i="26"/>
  <c r="H171" i="9"/>
  <c r="AC171" i="9" s="1"/>
  <c r="H171" i="6"/>
  <c r="R234" i="26"/>
  <c r="H234" i="6"/>
  <c r="AC234" i="6" s="1"/>
  <c r="H234" i="9"/>
  <c r="AC234" i="9" s="1"/>
  <c r="O19" i="26"/>
  <c r="N19" i="26" s="1"/>
  <c r="R15" i="26"/>
  <c r="I15" i="6" s="1"/>
  <c r="R356" i="26"/>
  <c r="I356" i="9" s="1"/>
  <c r="H202" i="9"/>
  <c r="AC202" i="9" s="1"/>
  <c r="H202" i="6"/>
  <c r="AC202" i="6" s="1"/>
  <c r="R202" i="26"/>
  <c r="H248" i="9"/>
  <c r="AC248" i="9" s="1"/>
  <c r="H248" i="6"/>
  <c r="AC248" i="6" s="1"/>
  <c r="BE195" i="26"/>
  <c r="H118" i="27"/>
  <c r="AD23" i="26"/>
  <c r="O23" i="26" s="1"/>
  <c r="W23" i="27" s="1"/>
  <c r="E23" i="27" s="1"/>
  <c r="F44" i="9"/>
  <c r="Z44" i="9" s="1"/>
  <c r="AA44" i="9" s="1"/>
  <c r="Y44" i="27"/>
  <c r="G44" i="27" s="1"/>
  <c r="F44" i="6"/>
  <c r="H286" i="6"/>
  <c r="H286" i="9"/>
  <c r="R286" i="26"/>
  <c r="R300" i="26"/>
  <c r="I300" i="6" s="1"/>
  <c r="R377" i="26"/>
  <c r="I377" i="6" s="1"/>
  <c r="R72" i="26"/>
  <c r="I72" i="6" s="1"/>
  <c r="R101" i="26"/>
  <c r="I101" i="9" s="1"/>
  <c r="H284" i="9"/>
  <c r="AC284" i="9" s="1"/>
  <c r="AD284" i="9" s="1"/>
  <c r="H284" i="6"/>
  <c r="P44" i="26"/>
  <c r="X44" i="27" s="1"/>
  <c r="AB44" i="27" s="1"/>
  <c r="H333" i="6"/>
  <c r="H333" i="9"/>
  <c r="AC333" i="9" s="1"/>
  <c r="R333" i="26"/>
  <c r="H300" i="6"/>
  <c r="H300" i="9"/>
  <c r="AC300" i="9" s="1"/>
  <c r="H337" i="9"/>
  <c r="H337" i="6"/>
  <c r="R280" i="26"/>
  <c r="I280" i="6" s="1"/>
  <c r="R337" i="26"/>
  <c r="I337" i="6" s="1"/>
  <c r="R237" i="26"/>
  <c r="AE498" i="26"/>
  <c r="AM81" i="26"/>
  <c r="Q81" i="26" s="1"/>
  <c r="F81" i="6" s="1"/>
  <c r="Z81" i="6" s="1"/>
  <c r="H81" i="9"/>
  <c r="AD57" i="26"/>
  <c r="AK1597" i="10"/>
  <c r="I318" i="6"/>
  <c r="H67" i="27"/>
  <c r="AH618" i="10"/>
  <c r="AG218" i="10"/>
  <c r="K618" i="10"/>
  <c r="AM618" i="10"/>
  <c r="AK618" i="10"/>
  <c r="AE144" i="10"/>
  <c r="L544" i="10"/>
  <c r="AW144" i="10"/>
  <c r="U144" i="10"/>
  <c r="AA144" i="10"/>
  <c r="AJ144" i="10"/>
  <c r="R144" i="10"/>
  <c r="O544" i="10"/>
  <c r="Q144" i="10"/>
  <c r="AY144" i="10"/>
  <c r="V544" i="10"/>
  <c r="AK144" i="10"/>
  <c r="AR544" i="10"/>
  <c r="W544" i="10"/>
  <c r="AO144" i="10"/>
  <c r="AN544" i="10"/>
  <c r="U544" i="10"/>
  <c r="AB544" i="10"/>
  <c r="AN144" i="10"/>
  <c r="Y144" i="10"/>
  <c r="R302" i="10"/>
  <c r="AX702" i="10"/>
  <c r="M302" i="10"/>
  <c r="AY702" i="10"/>
  <c r="K702" i="10"/>
  <c r="G76" i="6"/>
  <c r="Q66" i="10"/>
  <c r="P466" i="10"/>
  <c r="AI66" i="10"/>
  <c r="AQ466" i="10"/>
  <c r="K66" i="10"/>
  <c r="AB66" i="10"/>
  <c r="AV66" i="10"/>
  <c r="AI466" i="10"/>
  <c r="S466" i="10"/>
  <c r="AT466" i="10"/>
  <c r="AP66" i="10"/>
  <c r="AV466" i="10"/>
  <c r="AW66" i="10"/>
  <c r="J466" i="10"/>
  <c r="S66" i="10"/>
  <c r="AT66" i="10"/>
  <c r="AJ66" i="10"/>
  <c r="N66" i="10"/>
  <c r="AP466" i="10"/>
  <c r="U466" i="10"/>
  <c r="AR466" i="10"/>
  <c r="BD100" i="26"/>
  <c r="AM47" i="10"/>
  <c r="P47" i="10"/>
  <c r="T47" i="10"/>
  <c r="AG47" i="10"/>
  <c r="AA47" i="10"/>
  <c r="P447" i="10"/>
  <c r="AC47" i="10"/>
  <c r="J47" i="10"/>
  <c r="AX47" i="10"/>
  <c r="J447" i="10"/>
  <c r="U447" i="10"/>
  <c r="Q739" i="10"/>
  <c r="M739" i="10"/>
  <c r="AP242" i="10"/>
  <c r="AC323" i="9"/>
  <c r="AH323" i="9" s="1"/>
  <c r="AG790" i="10"/>
  <c r="AL390" i="10"/>
  <c r="Y390" i="10"/>
  <c r="AW790" i="10"/>
  <c r="AI390" i="10"/>
  <c r="G67" i="9"/>
  <c r="AM106" i="10"/>
  <c r="G308" i="10"/>
  <c r="K506" i="10"/>
  <c r="S106" i="10"/>
  <c r="AW618" i="10"/>
  <c r="M218" i="10"/>
  <c r="V618" i="10"/>
  <c r="P618" i="10"/>
  <c r="Y218" i="10"/>
  <c r="AE544" i="10"/>
  <c r="AC144" i="10"/>
  <c r="AX544" i="10"/>
  <c r="AQ544" i="10"/>
  <c r="K144" i="10"/>
  <c r="AP144" i="10"/>
  <c r="P544" i="10"/>
  <c r="AI144" i="10"/>
  <c r="AJ544" i="10"/>
  <c r="AP544" i="10"/>
  <c r="AC544" i="10"/>
  <c r="AO544" i="10"/>
  <c r="S544" i="10"/>
  <c r="V144" i="10"/>
  <c r="S144" i="10"/>
  <c r="N144" i="10"/>
  <c r="AA544" i="10"/>
  <c r="AL144" i="10"/>
  <c r="AV544" i="10"/>
  <c r="AD144" i="10"/>
  <c r="AM702" i="10"/>
  <c r="AU702" i="10"/>
  <c r="AY302" i="10"/>
  <c r="AF302" i="10"/>
  <c r="T466" i="10"/>
  <c r="V466" i="10"/>
  <c r="L466" i="10"/>
  <c r="AC466" i="10"/>
  <c r="X66" i="10"/>
  <c r="AN66" i="10"/>
  <c r="AY66" i="10"/>
  <c r="AG466" i="10"/>
  <c r="AE66" i="10"/>
  <c r="J66" i="10"/>
  <c r="K466" i="10"/>
  <c r="AF66" i="10"/>
  <c r="AS466" i="10"/>
  <c r="M466" i="10"/>
  <c r="L66" i="10"/>
  <c r="AE466" i="10"/>
  <c r="AH466" i="10"/>
  <c r="O66" i="10"/>
  <c r="AF466" i="10"/>
  <c r="AU466" i="10"/>
  <c r="N447" i="10"/>
  <c r="AI47" i="10"/>
  <c r="M47" i="10"/>
  <c r="AS447" i="10"/>
  <c r="Y47" i="10"/>
  <c r="W447" i="10"/>
  <c r="U47" i="10"/>
  <c r="AT47" i="10"/>
  <c r="AL447" i="10"/>
  <c r="AB47" i="10"/>
  <c r="AE339" i="10"/>
  <c r="I308" i="6"/>
  <c r="AY790" i="10"/>
  <c r="AD390" i="10"/>
  <c r="AR390" i="10"/>
  <c r="X790" i="10"/>
  <c r="Z47" i="6"/>
  <c r="AG47" i="6" s="1"/>
  <c r="Z125" i="6"/>
  <c r="AG125" i="6" s="1"/>
  <c r="V256" i="10"/>
  <c r="R256" i="10"/>
  <c r="AM256" i="10"/>
  <c r="N656" i="10"/>
  <c r="T656" i="10"/>
  <c r="Q656" i="10"/>
  <c r="AO451" i="10"/>
  <c r="AP51" i="10"/>
  <c r="AP451" i="10"/>
  <c r="AY451" i="10"/>
  <c r="Z451" i="10"/>
  <c r="X446" i="10"/>
  <c r="AJ500" i="10"/>
  <c r="AO100" i="10"/>
  <c r="AM100" i="10"/>
  <c r="K100" i="10"/>
  <c r="Q100" i="10"/>
  <c r="Z500" i="10"/>
  <c r="AE500" i="10"/>
  <c r="AF132" i="10"/>
  <c r="S532" i="10"/>
  <c r="AH532" i="10"/>
  <c r="AE532" i="10"/>
  <c r="AX532" i="10"/>
  <c r="AO132" i="10"/>
  <c r="O532" i="10"/>
  <c r="AS132" i="10"/>
  <c r="X532" i="10"/>
  <c r="AV532" i="10"/>
  <c r="V532" i="10"/>
  <c r="N132" i="10"/>
  <c r="AG132" i="10"/>
  <c r="AL132" i="10"/>
  <c r="P532" i="10"/>
  <c r="AY132" i="10"/>
  <c r="Q532" i="10"/>
  <c r="S132" i="10"/>
  <c r="W132" i="10"/>
  <c r="AR532" i="10"/>
  <c r="J532" i="10"/>
  <c r="L374" i="10"/>
  <c r="AG380" i="10"/>
  <c r="AP380" i="10"/>
  <c r="AT780" i="10"/>
  <c r="X780" i="10"/>
  <c r="X380" i="10"/>
  <c r="T380" i="10"/>
  <c r="AQ780" i="10"/>
  <c r="AS380" i="10"/>
  <c r="U780" i="10"/>
  <c r="AL780" i="10"/>
  <c r="AW380" i="10"/>
  <c r="O780" i="10"/>
  <c r="Z380" i="10"/>
  <c r="AO780" i="10"/>
  <c r="AG780" i="10"/>
  <c r="AX780" i="10"/>
  <c r="L380" i="10"/>
  <c r="AE780" i="10"/>
  <c r="AQ380" i="10"/>
  <c r="K780" i="10"/>
  <c r="V380" i="10"/>
  <c r="AD553" i="10"/>
  <c r="AN553" i="10"/>
  <c r="AW553" i="10"/>
  <c r="AB553" i="10"/>
  <c r="P553" i="10"/>
  <c r="G47" i="10"/>
  <c r="H81" i="6"/>
  <c r="AC81" i="6" s="1"/>
  <c r="Y257" i="10"/>
  <c r="U753" i="10"/>
  <c r="AU669" i="10"/>
  <c r="AP273" i="10"/>
  <c r="AX269" i="10"/>
  <c r="AM269" i="10"/>
  <c r="F20" i="27"/>
  <c r="BE125" i="26"/>
  <c r="AG273" i="10"/>
  <c r="AD55" i="26"/>
  <c r="AD385" i="26"/>
  <c r="AD209" i="26"/>
  <c r="V656" i="10"/>
  <c r="AQ256" i="10"/>
  <c r="AH656" i="10"/>
  <c r="AW256" i="10"/>
  <c r="AH451" i="10"/>
  <c r="T51" i="10"/>
  <c r="U451" i="10"/>
  <c r="AO51" i="10"/>
  <c r="P451" i="10"/>
  <c r="K51" i="10"/>
  <c r="S100" i="10"/>
  <c r="AB100" i="10"/>
  <c r="R100" i="10"/>
  <c r="AS100" i="10"/>
  <c r="J500" i="10"/>
  <c r="AV100" i="10"/>
  <c r="L500" i="10"/>
  <c r="AK532" i="10"/>
  <c r="AH132" i="10"/>
  <c r="AP532" i="10"/>
  <c r="AO532" i="10"/>
  <c r="M132" i="10"/>
  <c r="U532" i="10"/>
  <c r="X132" i="10"/>
  <c r="AW132" i="10"/>
  <c r="AE132" i="10"/>
  <c r="AG532" i="10"/>
  <c r="AB132" i="10"/>
  <c r="AB532" i="10"/>
  <c r="AC532" i="10"/>
  <c r="AN132" i="10"/>
  <c r="T132" i="10"/>
  <c r="AI132" i="10"/>
  <c r="AQ132" i="10"/>
  <c r="AP132" i="10"/>
  <c r="AL532" i="10"/>
  <c r="T780" i="10"/>
  <c r="AL380" i="10"/>
  <c r="U380" i="10"/>
  <c r="AC780" i="10"/>
  <c r="N380" i="10"/>
  <c r="AN780" i="10"/>
  <c r="AD780" i="10"/>
  <c r="AY780" i="10"/>
  <c r="AV380" i="10"/>
  <c r="AA380" i="10"/>
  <c r="AU780" i="10"/>
  <c r="R380" i="10"/>
  <c r="AB780" i="10"/>
  <c r="Z780" i="10"/>
  <c r="M380" i="10"/>
  <c r="AT380" i="10"/>
  <c r="AW780" i="10"/>
  <c r="O380" i="10"/>
  <c r="AB380" i="10"/>
  <c r="Q780" i="10"/>
  <c r="AF553" i="10"/>
  <c r="P153" i="10"/>
  <c r="AW153" i="10"/>
  <c r="W553" i="10"/>
  <c r="AE553" i="10"/>
  <c r="AS269" i="10"/>
  <c r="N673" i="10"/>
  <c r="AM313" i="26"/>
  <c r="Q313" i="26" s="1"/>
  <c r="P313" i="26" s="1"/>
  <c r="X313" i="27" s="1"/>
  <c r="AB313" i="27" s="1"/>
  <c r="AD74" i="26"/>
  <c r="AD262" i="26"/>
  <c r="W307" i="27"/>
  <c r="E307" i="27" s="1"/>
  <c r="N300" i="26"/>
  <c r="BD300" i="26" s="1"/>
  <c r="AL1597" i="10"/>
  <c r="AD64" i="26"/>
  <c r="N307" i="26"/>
  <c r="V307" i="27" s="1"/>
  <c r="AA307" i="27" s="1"/>
  <c r="F300" i="10"/>
  <c r="P300" i="10" s="1"/>
  <c r="AD181" i="26"/>
  <c r="AD517" i="26"/>
  <c r="AC517" i="26"/>
  <c r="I132" i="6"/>
  <c r="G65" i="6"/>
  <c r="H149" i="27"/>
  <c r="AC739" i="10"/>
  <c r="AG739" i="10"/>
  <c r="P339" i="10"/>
  <c r="S739" i="10"/>
  <c r="W339" i="10"/>
  <c r="AS339" i="10"/>
  <c r="M339" i="10"/>
  <c r="AR339" i="10"/>
  <c r="AJ339" i="10"/>
  <c r="Y739" i="10"/>
  <c r="U339" i="10"/>
  <c r="AK739" i="10"/>
  <c r="AQ339" i="10"/>
  <c r="AU739" i="10"/>
  <c r="AT739" i="10"/>
  <c r="AA339" i="10"/>
  <c r="AI739" i="10"/>
  <c r="O339" i="10"/>
  <c r="U739" i="10"/>
  <c r="AI339" i="10"/>
  <c r="AK339" i="10"/>
  <c r="AN739" i="10"/>
  <c r="AE739" i="10"/>
  <c r="AV739" i="10"/>
  <c r="AH339" i="10"/>
  <c r="T739" i="10"/>
  <c r="Y339" i="10"/>
  <c r="AD339" i="10"/>
  <c r="AL339" i="10"/>
  <c r="AH739" i="10"/>
  <c r="AB339" i="10"/>
  <c r="G56" i="6"/>
  <c r="X702" i="10"/>
  <c r="AP702" i="10"/>
  <c r="AP339" i="10"/>
  <c r="AN669" i="10"/>
  <c r="AE269" i="10"/>
  <c r="AX669" i="10"/>
  <c r="K269" i="10"/>
  <c r="AC669" i="10"/>
  <c r="S269" i="10"/>
  <c r="AR269" i="10"/>
  <c r="AF669" i="10"/>
  <c r="AP269" i="10"/>
  <c r="AM669" i="10"/>
  <c r="S669" i="10"/>
  <c r="AP106" i="10"/>
  <c r="W506" i="10"/>
  <c r="Y506" i="10"/>
  <c r="AB506" i="10"/>
  <c r="AG106" i="10"/>
  <c r="AM506" i="10"/>
  <c r="AB106" i="10"/>
  <c r="Z506" i="10"/>
  <c r="AU271" i="26"/>
  <c r="S271" i="26" s="1"/>
  <c r="H271" i="9" s="1"/>
  <c r="AC271" i="9" s="1"/>
  <c r="AM271" i="26"/>
  <c r="Q271" i="26" s="1"/>
  <c r="P271" i="26" s="1"/>
  <c r="X271" i="27" s="1"/>
  <c r="AB271" i="27" s="1"/>
  <c r="BA308" i="10"/>
  <c r="AQ302" i="10"/>
  <c r="AI702" i="10"/>
  <c r="S302" i="10"/>
  <c r="S702" i="10"/>
  <c r="AL702" i="10"/>
  <c r="Q302" i="10"/>
  <c r="AS702" i="10"/>
  <c r="W702" i="10"/>
  <c r="G256" i="10"/>
  <c r="G318" i="10"/>
  <c r="F318" i="27"/>
  <c r="AG302" i="10"/>
  <c r="Z702" i="10"/>
  <c r="P302" i="10"/>
  <c r="Z302" i="10"/>
  <c r="AE702" i="10"/>
  <c r="AK302" i="10"/>
  <c r="T702" i="10"/>
  <c r="AL302" i="10"/>
  <c r="AO302" i="10"/>
  <c r="U702" i="10"/>
  <c r="Y302" i="10"/>
  <c r="AP302" i="10"/>
  <c r="T302" i="10"/>
  <c r="T339" i="10"/>
  <c r="J739" i="10"/>
  <c r="AA739" i="10"/>
  <c r="AD739" i="10"/>
  <c r="N739" i="10"/>
  <c r="AV339" i="10"/>
  <c r="AB739" i="10"/>
  <c r="G132" i="10"/>
  <c r="AT302" i="10"/>
  <c r="AV702" i="10"/>
  <c r="AR702" i="10"/>
  <c r="N702" i="10"/>
  <c r="O702" i="10"/>
  <c r="AS302" i="10"/>
  <c r="AJ702" i="10"/>
  <c r="AV302" i="10"/>
  <c r="AN302" i="10"/>
  <c r="AC702" i="10"/>
  <c r="L302" i="10"/>
  <c r="X302" i="10"/>
  <c r="Q702" i="10"/>
  <c r="Y702" i="10"/>
  <c r="AK702" i="10"/>
  <c r="P702" i="10"/>
  <c r="V739" i="10"/>
  <c r="AO739" i="10"/>
  <c r="R339" i="10"/>
  <c r="AG339" i="10"/>
  <c r="AT339" i="10"/>
  <c r="K739" i="10"/>
  <c r="AM739" i="10"/>
  <c r="AM339" i="10"/>
  <c r="U657" i="10"/>
  <c r="R657" i="10"/>
  <c r="AE126" i="10"/>
  <c r="AU526" i="10"/>
  <c r="AD324" i="10"/>
  <c r="T724" i="10"/>
  <c r="AD134" i="26"/>
  <c r="W790" i="10"/>
  <c r="AP790" i="10"/>
  <c r="S790" i="10"/>
  <c r="AT390" i="10"/>
  <c r="AX390" i="10"/>
  <c r="AH790" i="10"/>
  <c r="P790" i="10"/>
  <c r="AW390" i="10"/>
  <c r="R390" i="10"/>
  <c r="AY390" i="10"/>
  <c r="U390" i="10"/>
  <c r="X390" i="10"/>
  <c r="AC390" i="10"/>
  <c r="AU790" i="10"/>
  <c r="V790" i="10"/>
  <c r="AL790" i="10"/>
  <c r="AM390" i="10"/>
  <c r="M390" i="10"/>
  <c r="AN390" i="10"/>
  <c r="AO790" i="10"/>
  <c r="AW242" i="10"/>
  <c r="AO642" i="10"/>
  <c r="R242" i="10"/>
  <c r="U242" i="10"/>
  <c r="AE678" i="10"/>
  <c r="M678" i="10"/>
  <c r="J702" i="10"/>
  <c r="AO702" i="10"/>
  <c r="AC302" i="10"/>
  <c r="AH702" i="10"/>
  <c r="AR302" i="10"/>
  <c r="AI302" i="10"/>
  <c r="M702" i="10"/>
  <c r="AA702" i="10"/>
  <c r="AT702" i="10"/>
  <c r="AB702" i="10"/>
  <c r="V302" i="10"/>
  <c r="AB302" i="10"/>
  <c r="AF702" i="10"/>
  <c r="AH302" i="10"/>
  <c r="K302" i="10"/>
  <c r="W302" i="10"/>
  <c r="AW339" i="10"/>
  <c r="AW739" i="10"/>
  <c r="AN339" i="10"/>
  <c r="AY339" i="10"/>
  <c r="AR739" i="10"/>
  <c r="AP739" i="10"/>
  <c r="O739" i="10"/>
  <c r="BD169" i="26"/>
  <c r="BD318" i="26"/>
  <c r="BF318" i="26" s="1"/>
  <c r="Z374" i="10"/>
  <c r="AA374" i="10"/>
  <c r="AP374" i="10"/>
  <c r="AS374" i="10"/>
  <c r="AX774" i="10"/>
  <c r="AM689" i="10"/>
  <c r="AL689" i="10"/>
  <c r="AG447" i="10"/>
  <c r="AR447" i="10"/>
  <c r="V447" i="10"/>
  <c r="L47" i="10"/>
  <c r="S447" i="10"/>
  <c r="AX447" i="10"/>
  <c r="AE47" i="10"/>
  <c r="AH447" i="10"/>
  <c r="AV447" i="10"/>
  <c r="AJ447" i="10"/>
  <c r="O47" i="10"/>
  <c r="AY47" i="10"/>
  <c r="AB447" i="10"/>
  <c r="AN447" i="10"/>
  <c r="K447" i="10"/>
  <c r="X447" i="10"/>
  <c r="L447" i="10"/>
  <c r="AK447" i="10"/>
  <c r="AU447" i="10"/>
  <c r="AY447" i="10"/>
  <c r="G380" i="10"/>
  <c r="G67" i="6"/>
  <c r="Y447" i="10"/>
  <c r="AP447" i="10"/>
  <c r="V47" i="10"/>
  <c r="AF47" i="10"/>
  <c r="O447" i="10"/>
  <c r="AW47" i="10"/>
  <c r="K47" i="10"/>
  <c r="Z47" i="10"/>
  <c r="W47" i="10"/>
  <c r="AA447" i="10"/>
  <c r="S47" i="10"/>
  <c r="R447" i="10"/>
  <c r="M447" i="10"/>
  <c r="AI447" i="10"/>
  <c r="AD47" i="10"/>
  <c r="Q47" i="10"/>
  <c r="AW447" i="10"/>
  <c r="AH47" i="10"/>
  <c r="AC447" i="10"/>
  <c r="AT447" i="10"/>
  <c r="BB308" i="10"/>
  <c r="BC308" i="10" s="1"/>
  <c r="AD254" i="26"/>
  <c r="AD258" i="26"/>
  <c r="AD470" i="26"/>
  <c r="AC470" i="26"/>
  <c r="BF470" i="26" s="1"/>
  <c r="AD94" i="26"/>
  <c r="AC308" i="6"/>
  <c r="AH308" i="6" s="1"/>
  <c r="AE257" i="10"/>
  <c r="V257" i="10"/>
  <c r="AW257" i="10"/>
  <c r="AU657" i="10"/>
  <c r="L657" i="10"/>
  <c r="AY657" i="10"/>
  <c r="S257" i="10"/>
  <c r="X657" i="10"/>
  <c r="AC257" i="10"/>
  <c r="AX257" i="10"/>
  <c r="AK657" i="10"/>
  <c r="J153" i="10"/>
  <c r="AG553" i="10"/>
  <c r="AI153" i="10"/>
  <c r="AP153" i="10"/>
  <c r="Q153" i="10"/>
  <c r="AJ553" i="10"/>
  <c r="AQ153" i="10"/>
  <c r="AD153" i="10"/>
  <c r="R153" i="10"/>
  <c r="L553" i="10"/>
  <c r="AX153" i="10"/>
  <c r="T153" i="10"/>
  <c r="M153" i="10"/>
  <c r="V153" i="10"/>
  <c r="AM553" i="10"/>
  <c r="AS553" i="10"/>
  <c r="Z153" i="10"/>
  <c r="AN153" i="10"/>
  <c r="V553" i="10"/>
  <c r="X153" i="10"/>
  <c r="AJ153" i="10"/>
  <c r="AT553" i="10"/>
  <c r="AB153" i="10"/>
  <c r="Z553" i="10"/>
  <c r="AI553" i="10"/>
  <c r="AF153" i="10"/>
  <c r="AU553" i="10"/>
  <c r="U553" i="10"/>
  <c r="Y153" i="10"/>
  <c r="S153" i="10"/>
  <c r="AG153" i="10"/>
  <c r="AX553" i="10"/>
  <c r="AC553" i="10"/>
  <c r="O153" i="10"/>
  <c r="Q553" i="10"/>
  <c r="AL553" i="10"/>
  <c r="AR553" i="10"/>
  <c r="R553" i="10"/>
  <c r="Y553" i="10"/>
  <c r="AH153" i="10"/>
  <c r="AO553" i="10"/>
  <c r="Z289" i="6"/>
  <c r="AG289" i="6" s="1"/>
  <c r="BD144" i="26"/>
  <c r="J526" i="10"/>
  <c r="T126" i="10"/>
  <c r="AA51" i="10"/>
  <c r="AI451" i="10"/>
  <c r="AM451" i="10"/>
  <c r="AJ51" i="10"/>
  <c r="X451" i="10"/>
  <c r="R51" i="10"/>
  <c r="AT451" i="10"/>
  <c r="AY51" i="10"/>
  <c r="J451" i="10"/>
  <c r="J374" i="10"/>
  <c r="AD774" i="10"/>
  <c r="AQ374" i="10"/>
  <c r="AH553" i="10"/>
  <c r="K153" i="10"/>
  <c r="L153" i="10"/>
  <c r="AT153" i="10"/>
  <c r="N553" i="10"/>
  <c r="AM153" i="10"/>
  <c r="N153" i="10"/>
  <c r="U153" i="10"/>
  <c r="AK553" i="10"/>
  <c r="J553" i="10"/>
  <c r="AA553" i="10"/>
  <c r="AP257" i="10"/>
  <c r="AV657" i="10"/>
  <c r="Y656" i="10"/>
  <c r="AY256" i="10"/>
  <c r="AN256" i="10"/>
  <c r="X656" i="10"/>
  <c r="Z656" i="10"/>
  <c r="M656" i="10"/>
  <c r="AA656" i="10"/>
  <c r="M256" i="10"/>
  <c r="G269" i="10"/>
  <c r="BD269" i="26"/>
  <c r="AQ100" i="10"/>
  <c r="M100" i="10"/>
  <c r="AW500" i="10"/>
  <c r="AP100" i="10"/>
  <c r="AA100" i="10"/>
  <c r="W500" i="10"/>
  <c r="AA500" i="10"/>
  <c r="S500" i="10"/>
  <c r="AT500" i="10"/>
  <c r="AE100" i="10"/>
  <c r="AV500" i="10"/>
  <c r="AJ100" i="10"/>
  <c r="AI100" i="10"/>
  <c r="P100" i="10"/>
  <c r="AR100" i="10"/>
  <c r="AL100" i="10"/>
  <c r="U100" i="10"/>
  <c r="K500" i="10"/>
  <c r="M500" i="10"/>
  <c r="AX100" i="10"/>
  <c r="O500" i="10"/>
  <c r="AC500" i="10"/>
  <c r="AC100" i="10"/>
  <c r="AI500" i="10"/>
  <c r="AF500" i="10"/>
  <c r="AN500" i="10"/>
  <c r="N100" i="10"/>
  <c r="AF100" i="10"/>
  <c r="Y100" i="10"/>
  <c r="Y500" i="10"/>
  <c r="AA273" i="10"/>
  <c r="AX273" i="10"/>
  <c r="S673" i="10"/>
  <c r="Q673" i="10"/>
  <c r="AG673" i="10"/>
  <c r="AX673" i="10"/>
  <c r="U673" i="10"/>
  <c r="M774" i="10"/>
  <c r="R774" i="10"/>
  <c r="Y374" i="10"/>
  <c r="M374" i="10"/>
  <c r="O774" i="10"/>
  <c r="V374" i="10"/>
  <c r="AC774" i="10"/>
  <c r="AV774" i="10"/>
  <c r="P774" i="10"/>
  <c r="AN774" i="10"/>
  <c r="W374" i="10"/>
  <c r="AT374" i="10"/>
  <c r="AL374" i="10"/>
  <c r="AA774" i="10"/>
  <c r="Z774" i="10"/>
  <c r="AB374" i="10"/>
  <c r="AS467" i="10"/>
  <c r="AB467" i="10"/>
  <c r="AC67" i="10"/>
  <c r="AE753" i="10"/>
  <c r="AX753" i="10"/>
  <c r="AP753" i="10"/>
  <c r="AP353" i="10"/>
  <c r="V753" i="10"/>
  <c r="AB451" i="10"/>
  <c r="AI51" i="10"/>
  <c r="AD451" i="10"/>
  <c r="W451" i="10"/>
  <c r="AV51" i="10"/>
  <c r="AF51" i="10"/>
  <c r="AW451" i="10"/>
  <c r="AL51" i="10"/>
  <c r="AB51" i="10"/>
  <c r="AT51" i="10"/>
  <c r="V451" i="10"/>
  <c r="AW51" i="10"/>
  <c r="U51" i="10"/>
  <c r="N51" i="10"/>
  <c r="AM51" i="10"/>
  <c r="AU451" i="10"/>
  <c r="S451" i="10"/>
  <c r="V51" i="10"/>
  <c r="AG51" i="10"/>
  <c r="AL451" i="10"/>
  <c r="W51" i="10"/>
  <c r="AQ51" i="10"/>
  <c r="AR51" i="10"/>
  <c r="R451" i="10"/>
  <c r="AD51" i="10"/>
  <c r="Y451" i="10"/>
  <c r="Z51" i="10"/>
  <c r="AX451" i="10"/>
  <c r="AK51" i="10"/>
  <c r="Q451" i="10"/>
  <c r="T451" i="10"/>
  <c r="L451" i="10"/>
  <c r="AK451" i="10"/>
  <c r="AG451" i="10"/>
  <c r="O451" i="10"/>
  <c r="AX51" i="10"/>
  <c r="O51" i="10"/>
  <c r="AN451" i="10"/>
  <c r="AS51" i="10"/>
  <c r="AR451" i="10"/>
  <c r="AC451" i="10"/>
  <c r="F50" i="10"/>
  <c r="T450" i="10" s="1"/>
  <c r="N50" i="26"/>
  <c r="BD50" i="26" s="1"/>
  <c r="AY526" i="10"/>
  <c r="AQ526" i="10"/>
  <c r="M51" i="10"/>
  <c r="P51" i="10"/>
  <c r="AF451" i="10"/>
  <c r="Y51" i="10"/>
  <c r="AH51" i="10"/>
  <c r="AV451" i="10"/>
  <c r="AN51" i="10"/>
  <c r="AE51" i="10"/>
  <c r="AQ451" i="10"/>
  <c r="AE451" i="10"/>
  <c r="AC51" i="10"/>
  <c r="AL774" i="10"/>
  <c r="AI774" i="10"/>
  <c r="X774" i="10"/>
  <c r="T374" i="10"/>
  <c r="T553" i="10"/>
  <c r="O553" i="10"/>
  <c r="AA153" i="10"/>
  <c r="AK153" i="10"/>
  <c r="AV553" i="10"/>
  <c r="AY553" i="10"/>
  <c r="AE153" i="10"/>
  <c r="AV153" i="10"/>
  <c r="AR153" i="10"/>
  <c r="AY153" i="10"/>
  <c r="W50" i="27"/>
  <c r="E50" i="27" s="1"/>
  <c r="AA657" i="10"/>
  <c r="AG257" i="10"/>
  <c r="T657" i="10"/>
  <c r="M753" i="10"/>
  <c r="G56" i="10"/>
  <c r="BD324" i="26"/>
  <c r="BF324" i="26" s="1"/>
  <c r="AV446" i="10"/>
  <c r="K46" i="10"/>
  <c r="AJ46" i="10"/>
  <c r="Z315" i="6"/>
  <c r="AG315" i="6" s="1"/>
  <c r="AE315" i="6"/>
  <c r="AF100" i="9"/>
  <c r="AC100" i="9"/>
  <c r="AH100" i="9" s="1"/>
  <c r="AW467" i="10"/>
  <c r="G56" i="9"/>
  <c r="BE56" i="26"/>
  <c r="AD227" i="26"/>
  <c r="AT467" i="10"/>
  <c r="AH67" i="10"/>
  <c r="AN467" i="10"/>
  <c r="W467" i="10"/>
  <c r="AK67" i="10"/>
  <c r="AT67" i="10"/>
  <c r="AQ67" i="10"/>
  <c r="AM67" i="10"/>
  <c r="AH467" i="10"/>
  <c r="AO67" i="10"/>
  <c r="X467" i="10"/>
  <c r="U467" i="10"/>
  <c r="X753" i="10"/>
  <c r="AD753" i="10"/>
  <c r="AL753" i="10"/>
  <c r="AH353" i="10"/>
  <c r="AW353" i="10"/>
  <c r="AE353" i="10"/>
  <c r="AK353" i="10"/>
  <c r="T753" i="10"/>
  <c r="AM753" i="10"/>
  <c r="AI753" i="10"/>
  <c r="M353" i="10"/>
  <c r="X353" i="10"/>
  <c r="G51" i="10"/>
  <c r="F51" i="27"/>
  <c r="BF106" i="26"/>
  <c r="AH289" i="10"/>
  <c r="O289" i="10"/>
  <c r="AW289" i="10"/>
  <c r="AK689" i="10"/>
  <c r="AD313" i="26"/>
  <c r="V169" i="10"/>
  <c r="P169" i="10"/>
  <c r="AD760" i="10"/>
  <c r="S760" i="10"/>
  <c r="AG67" i="10"/>
  <c r="G315" i="10"/>
  <c r="BD315" i="26"/>
  <c r="AD715" i="10"/>
  <c r="AV315" i="10"/>
  <c r="AN315" i="10"/>
  <c r="AF308" i="9"/>
  <c r="AC308" i="9"/>
  <c r="AH308" i="9" s="1"/>
  <c r="AC324" i="6"/>
  <c r="AH324" i="6" s="1"/>
  <c r="AF324" i="6"/>
  <c r="BB189" i="10"/>
  <c r="BC189" i="10" s="1"/>
  <c r="F269" i="27"/>
  <c r="AA324" i="10"/>
  <c r="V724" i="10"/>
  <c r="Y324" i="10"/>
  <c r="AK324" i="10"/>
  <c r="AN724" i="10"/>
  <c r="AO390" i="10"/>
  <c r="N790" i="10"/>
  <c r="AB790" i="10"/>
  <c r="K790" i="10"/>
  <c r="AF390" i="10"/>
  <c r="L390" i="10"/>
  <c r="AE790" i="10"/>
  <c r="Z790" i="10"/>
  <c r="AB390" i="10"/>
  <c r="AT790" i="10"/>
  <c r="AQ790" i="10"/>
  <c r="AP390" i="10"/>
  <c r="J790" i="10"/>
  <c r="Y790" i="10"/>
  <c r="AK390" i="10"/>
  <c r="AJ790" i="10"/>
  <c r="AF790" i="10"/>
  <c r="AK790" i="10"/>
  <c r="S390" i="10"/>
  <c r="AN790" i="10"/>
  <c r="AV790" i="10"/>
  <c r="Z390" i="10"/>
  <c r="AH390" i="10"/>
  <c r="AX790" i="10"/>
  <c r="Q390" i="10"/>
  <c r="U790" i="10"/>
  <c r="AC790" i="10"/>
  <c r="AJ390" i="10"/>
  <c r="J390" i="10"/>
  <c r="AS390" i="10"/>
  <c r="AG390" i="10"/>
  <c r="V390" i="10"/>
  <c r="AE390" i="10"/>
  <c r="AI790" i="10"/>
  <c r="W390" i="10"/>
  <c r="T390" i="10"/>
  <c r="AM790" i="10"/>
  <c r="T790" i="10"/>
  <c r="AA390" i="10"/>
  <c r="M790" i="10"/>
  <c r="AA790" i="10"/>
  <c r="AR790" i="10"/>
  <c r="J242" i="10"/>
  <c r="Q242" i="10"/>
  <c r="L242" i="10"/>
  <c r="AT642" i="10"/>
  <c r="P242" i="10"/>
  <c r="K642" i="10"/>
  <c r="AE242" i="10"/>
  <c r="J642" i="10"/>
  <c r="M242" i="10"/>
  <c r="T642" i="10"/>
  <c r="G242" i="10"/>
  <c r="F242" i="27"/>
  <c r="BD242" i="26"/>
  <c r="M476" i="10"/>
  <c r="AR76" i="10"/>
  <c r="L67" i="10"/>
  <c r="AL500" i="10"/>
  <c r="J100" i="10"/>
  <c r="AN100" i="10"/>
  <c r="AP500" i="10"/>
  <c r="AQ500" i="10"/>
  <c r="Z100" i="10"/>
  <c r="O100" i="10"/>
  <c r="AG500" i="10"/>
  <c r="AD500" i="10"/>
  <c r="AD100" i="10"/>
  <c r="X500" i="10"/>
  <c r="R500" i="10"/>
  <c r="V500" i="10"/>
  <c r="T100" i="10"/>
  <c r="AS500" i="10"/>
  <c r="AY500" i="10"/>
  <c r="AK500" i="10"/>
  <c r="AO500" i="10"/>
  <c r="L100" i="10"/>
  <c r="AH500" i="10"/>
  <c r="AR500" i="10"/>
  <c r="V100" i="10"/>
  <c r="P500" i="10"/>
  <c r="AY673" i="10"/>
  <c r="AV673" i="10"/>
  <c r="AH273" i="10"/>
  <c r="K673" i="10"/>
  <c r="AD673" i="10"/>
  <c r="T673" i="10"/>
  <c r="AH673" i="10"/>
  <c r="AO273" i="10"/>
  <c r="M673" i="10"/>
  <c r="W273" i="10"/>
  <c r="X673" i="10"/>
  <c r="AN273" i="10"/>
  <c r="AB273" i="10"/>
  <c r="Z273" i="10"/>
  <c r="AC673" i="10"/>
  <c r="T273" i="10"/>
  <c r="S273" i="10"/>
  <c r="Y673" i="10"/>
  <c r="V467" i="10"/>
  <c r="AD200" i="26"/>
  <c r="AF467" i="10"/>
  <c r="AP227" i="26"/>
  <c r="AO227" i="26" s="1"/>
  <c r="AD38" i="26"/>
  <c r="AD130" i="26"/>
  <c r="AD80" i="26"/>
  <c r="AD161" i="26"/>
  <c r="O161" i="26" s="1"/>
  <c r="W161" i="27" s="1"/>
  <c r="E161" i="27" s="1"/>
  <c r="AD284" i="26"/>
  <c r="AD348" i="26"/>
  <c r="AD202" i="26"/>
  <c r="AM284" i="26"/>
  <c r="Q284" i="26" s="1"/>
  <c r="AM348" i="26"/>
  <c r="Q348" i="26" s="1"/>
  <c r="AD494" i="26"/>
  <c r="F252" i="10"/>
  <c r="W652" i="10" s="1"/>
  <c r="AD37" i="26"/>
  <c r="BE65" i="26"/>
  <c r="AD201" i="26"/>
  <c r="AD267" i="26"/>
  <c r="O267" i="26" s="1"/>
  <c r="W267" i="27" s="1"/>
  <c r="E267" i="27" s="1"/>
  <c r="AD142" i="26"/>
  <c r="AD365" i="26"/>
  <c r="AD291" i="26"/>
  <c r="AD187" i="26"/>
  <c r="AD165" i="26"/>
  <c r="AD176" i="26"/>
  <c r="Z353" i="6"/>
  <c r="AG353" i="6" s="1"/>
  <c r="BE374" i="26"/>
  <c r="BF374" i="26" s="1"/>
  <c r="AC324" i="9"/>
  <c r="AH324" i="9" s="1"/>
  <c r="BF149" i="26"/>
  <c r="Y689" i="10"/>
  <c r="P289" i="10"/>
  <c r="AG689" i="10"/>
  <c r="AJ289" i="10"/>
  <c r="AN689" i="10"/>
  <c r="Y746" i="10"/>
  <c r="M346" i="10"/>
  <c r="BE317" i="26"/>
  <c r="G317" i="6"/>
  <c r="Q315" i="10"/>
  <c r="AD315" i="10"/>
  <c r="AN715" i="10"/>
  <c r="Z315" i="10"/>
  <c r="O715" i="10"/>
  <c r="N715" i="10"/>
  <c r="M715" i="10"/>
  <c r="AM315" i="10"/>
  <c r="AX715" i="10"/>
  <c r="AW315" i="10"/>
  <c r="Z256" i="6"/>
  <c r="AG256" i="6" s="1"/>
  <c r="AE256" i="6"/>
  <c r="G169" i="6"/>
  <c r="G332" i="10"/>
  <c r="BD332" i="26"/>
  <c r="G84" i="10"/>
  <c r="V526" i="10"/>
  <c r="AG126" i="10"/>
  <c r="AG526" i="10"/>
  <c r="U126" i="10"/>
  <c r="L724" i="10"/>
  <c r="AY724" i="10"/>
  <c r="AR324" i="10"/>
  <c r="AK724" i="10"/>
  <c r="AO774" i="10"/>
  <c r="U374" i="10"/>
  <c r="W774" i="10"/>
  <c r="AN374" i="10"/>
  <c r="AG774" i="10"/>
  <c r="AY774" i="10"/>
  <c r="T774" i="10"/>
  <c r="AF774" i="10"/>
  <c r="AC374" i="10"/>
  <c r="S774" i="10"/>
  <c r="U774" i="10"/>
  <c r="AE774" i="10"/>
  <c r="AT774" i="10"/>
  <c r="Y774" i="10"/>
  <c r="AO374" i="10"/>
  <c r="N374" i="10"/>
  <c r="BD51" i="26"/>
  <c r="BE169" i="26"/>
  <c r="AQ289" i="10"/>
  <c r="AK289" i="10"/>
  <c r="AB289" i="10"/>
  <c r="AH689" i="10"/>
  <c r="J289" i="10"/>
  <c r="W753" i="10"/>
  <c r="AS753" i="10"/>
  <c r="AB353" i="10"/>
  <c r="Q753" i="10"/>
  <c r="AQ753" i="10"/>
  <c r="AY753" i="10"/>
  <c r="AV753" i="10"/>
  <c r="Z353" i="10"/>
  <c r="AT353" i="10"/>
  <c r="F315" i="27"/>
  <c r="U67" i="10"/>
  <c r="AM360" i="10"/>
  <c r="AW760" i="10"/>
  <c r="AS67" i="10"/>
  <c r="AM467" i="10"/>
  <c r="AF67" i="10"/>
  <c r="AL467" i="10"/>
  <c r="O67" i="10"/>
  <c r="AE467" i="10"/>
  <c r="AI467" i="10"/>
  <c r="AP715" i="10"/>
  <c r="AG715" i="10"/>
  <c r="AH715" i="10"/>
  <c r="I20" i="9"/>
  <c r="I20" i="6"/>
  <c r="AD545" i="10"/>
  <c r="P545" i="10"/>
  <c r="AW545" i="10"/>
  <c r="W67" i="10"/>
  <c r="T467" i="10"/>
  <c r="Q467" i="10"/>
  <c r="AY467" i="10"/>
  <c r="X67" i="10"/>
  <c r="Y467" i="10"/>
  <c r="Z467" i="10"/>
  <c r="V67" i="10"/>
  <c r="J467" i="10"/>
  <c r="Y67" i="10"/>
  <c r="AX67" i="10"/>
  <c r="AD467" i="10"/>
  <c r="AV67" i="10"/>
  <c r="AW67" i="10"/>
  <c r="O467" i="10"/>
  <c r="S67" i="10"/>
  <c r="AK467" i="10"/>
  <c r="Z67" i="10"/>
  <c r="AJ67" i="10"/>
  <c r="AV467" i="10"/>
  <c r="AJ467" i="10"/>
  <c r="AR67" i="10"/>
  <c r="R467" i="10"/>
  <c r="AY67" i="10"/>
  <c r="AE67" i="10"/>
  <c r="K467" i="10"/>
  <c r="AC467" i="10"/>
  <c r="M67" i="10"/>
  <c r="AP467" i="10"/>
  <c r="R67" i="10"/>
  <c r="AI67" i="10"/>
  <c r="AX467" i="10"/>
  <c r="M467" i="10"/>
  <c r="P67" i="10"/>
  <c r="K67" i="10"/>
  <c r="T67" i="10"/>
  <c r="AQ467" i="10"/>
  <c r="P467" i="10"/>
  <c r="AO467" i="10"/>
  <c r="N753" i="10"/>
  <c r="AR353" i="10"/>
  <c r="AF753" i="10"/>
  <c r="V353" i="10"/>
  <c r="AB753" i="10"/>
  <c r="AQ353" i="10"/>
  <c r="P753" i="10"/>
  <c r="AH753" i="10"/>
  <c r="AR753" i="10"/>
  <c r="U353" i="10"/>
  <c r="AS353" i="10"/>
  <c r="AC753" i="10"/>
  <c r="J753" i="10"/>
  <c r="Y753" i="10"/>
  <c r="AL353" i="10"/>
  <c r="O353" i="10"/>
  <c r="AN353" i="10"/>
  <c r="AG753" i="10"/>
  <c r="AJ753" i="10"/>
  <c r="L753" i="10"/>
  <c r="T353" i="10"/>
  <c r="L353" i="10"/>
  <c r="J353" i="10"/>
  <c r="AF353" i="10"/>
  <c r="K753" i="10"/>
  <c r="Y353" i="10"/>
  <c r="N353" i="10"/>
  <c r="AN753" i="10"/>
  <c r="S353" i="10"/>
  <c r="Q353" i="10"/>
  <c r="AV353" i="10"/>
  <c r="AI353" i="10"/>
  <c r="AM353" i="10"/>
  <c r="R753" i="10"/>
  <c r="AK753" i="10"/>
  <c r="AD353" i="10"/>
  <c r="AA353" i="10"/>
  <c r="AX353" i="10"/>
  <c r="Z753" i="10"/>
  <c r="AT753" i="10"/>
  <c r="AY353" i="10"/>
  <c r="N526" i="10"/>
  <c r="AC526" i="10"/>
  <c r="AT526" i="10"/>
  <c r="Q526" i="10"/>
  <c r="AF324" i="10"/>
  <c r="O724" i="10"/>
  <c r="AJ774" i="10"/>
  <c r="P374" i="10"/>
  <c r="AM374" i="10"/>
  <c r="K774" i="10"/>
  <c r="Q774" i="10"/>
  <c r="S374" i="10"/>
  <c r="AE374" i="10"/>
  <c r="AM774" i="10"/>
  <c r="AS774" i="10"/>
  <c r="Q374" i="10"/>
  <c r="AH374" i="10"/>
  <c r="AK374" i="10"/>
  <c r="V774" i="10"/>
  <c r="AK774" i="10"/>
  <c r="AB689" i="10"/>
  <c r="AO289" i="10"/>
  <c r="AF689" i="10"/>
  <c r="Q289" i="10"/>
  <c r="AC353" i="10"/>
  <c r="AG353" i="10"/>
  <c r="AO353" i="10"/>
  <c r="K353" i="10"/>
  <c r="S753" i="10"/>
  <c r="AW753" i="10"/>
  <c r="W353" i="10"/>
  <c r="AA753" i="10"/>
  <c r="O753" i="10"/>
  <c r="R353" i="10"/>
  <c r="AO753" i="10"/>
  <c r="AN269" i="10"/>
  <c r="AJ669" i="10"/>
  <c r="AY269" i="10"/>
  <c r="V269" i="10"/>
  <c r="X269" i="10"/>
  <c r="U669" i="10"/>
  <c r="L669" i="10"/>
  <c r="J269" i="10"/>
  <c r="J669" i="10"/>
  <c r="AI669" i="10"/>
  <c r="AF269" i="10"/>
  <c r="AK669" i="10"/>
  <c r="Q669" i="10"/>
  <c r="X669" i="10"/>
  <c r="O669" i="10"/>
  <c r="U269" i="10"/>
  <c r="AC269" i="10"/>
  <c r="Q269" i="10"/>
  <c r="O269" i="10"/>
  <c r="S467" i="10"/>
  <c r="AL67" i="10"/>
  <c r="O273" i="10"/>
  <c r="AQ273" i="10"/>
  <c r="U273" i="10"/>
  <c r="AL273" i="10"/>
  <c r="AD273" i="10"/>
  <c r="AK673" i="10"/>
  <c r="N273" i="10"/>
  <c r="V273" i="10"/>
  <c r="L273" i="10"/>
  <c r="R273" i="10"/>
  <c r="AF673" i="10"/>
  <c r="K273" i="10"/>
  <c r="AJ673" i="10"/>
  <c r="AC273" i="10"/>
  <c r="X273" i="10"/>
  <c r="O673" i="10"/>
  <c r="AL673" i="10"/>
  <c r="AW273" i="10"/>
  <c r="M273" i="10"/>
  <c r="AS673" i="10"/>
  <c r="AM673" i="10"/>
  <c r="AF273" i="10"/>
  <c r="AV273" i="10"/>
  <c r="AN673" i="10"/>
  <c r="L673" i="10"/>
  <c r="AI273" i="10"/>
  <c r="AA673" i="10"/>
  <c r="AQ673" i="10"/>
  <c r="AP673" i="10"/>
  <c r="AY273" i="10"/>
  <c r="AR273" i="10"/>
  <c r="W673" i="10"/>
  <c r="V673" i="10"/>
  <c r="AT673" i="10"/>
  <c r="Q67" i="10"/>
  <c r="AU467" i="10"/>
  <c r="AN67" i="10"/>
  <c r="AG467" i="10"/>
  <c r="AD67" i="10"/>
  <c r="AA467" i="10"/>
  <c r="L467" i="10"/>
  <c r="AP67" i="10"/>
  <c r="N67" i="10"/>
  <c r="V715" i="10"/>
  <c r="R715" i="10"/>
  <c r="N129" i="26"/>
  <c r="G129" i="10" s="1"/>
  <c r="BD153" i="26"/>
  <c r="Z153" i="27"/>
  <c r="Z724" i="10"/>
  <c r="L324" i="10"/>
  <c r="Q724" i="10"/>
  <c r="AV724" i="10"/>
  <c r="AW724" i="10"/>
  <c r="S324" i="10"/>
  <c r="AA760" i="10"/>
  <c r="L760" i="10"/>
  <c r="O360" i="10"/>
  <c r="AK760" i="10"/>
  <c r="AY360" i="10"/>
  <c r="AG360" i="10"/>
  <c r="T360" i="10"/>
  <c r="Y760" i="10"/>
  <c r="AE360" i="10"/>
  <c r="W760" i="10"/>
  <c r="AR360" i="10"/>
  <c r="AE760" i="10"/>
  <c r="AC360" i="10"/>
  <c r="V760" i="10"/>
  <c r="N760" i="10"/>
  <c r="AB760" i="10"/>
  <c r="F145" i="27"/>
  <c r="AM258" i="26"/>
  <c r="Q258" i="26" s="1"/>
  <c r="F258" i="9" s="1"/>
  <c r="AU258" i="26"/>
  <c r="S258" i="26" s="1"/>
  <c r="R258" i="26" s="1"/>
  <c r="AF339" i="10"/>
  <c r="R739" i="10"/>
  <c r="AJ739" i="10"/>
  <c r="W739" i="10"/>
  <c r="AS739" i="10"/>
  <c r="Z739" i="10"/>
  <c r="V339" i="10"/>
  <c r="J339" i="10"/>
  <c r="AX739" i="10"/>
  <c r="AY739" i="10"/>
  <c r="AL739" i="10"/>
  <c r="L339" i="10"/>
  <c r="N339" i="10"/>
  <c r="S339" i="10"/>
  <c r="L739" i="10"/>
  <c r="AF739" i="10"/>
  <c r="AQ739" i="10"/>
  <c r="AO339" i="10"/>
  <c r="Z339" i="10"/>
  <c r="X739" i="10"/>
  <c r="Q339" i="10"/>
  <c r="V702" i="10"/>
  <c r="J302" i="10"/>
  <c r="AX302" i="10"/>
  <c r="AW702" i="10"/>
  <c r="L702" i="10"/>
  <c r="AE302" i="10"/>
  <c r="AD302" i="10"/>
  <c r="AD702" i="10"/>
  <c r="N302" i="10"/>
  <c r="AQ702" i="10"/>
  <c r="G256" i="9"/>
  <c r="G256" i="6"/>
  <c r="BE256" i="26"/>
  <c r="BF256" i="26" s="1"/>
  <c r="BE315" i="26"/>
  <c r="G315" i="6"/>
  <c r="AU774" i="10"/>
  <c r="AD374" i="10"/>
  <c r="J774" i="10"/>
  <c r="AJ374" i="10"/>
  <c r="AI374" i="10"/>
  <c r="AH774" i="10"/>
  <c r="AY374" i="10"/>
  <c r="AB774" i="10"/>
  <c r="O374" i="10"/>
  <c r="R374" i="10"/>
  <c r="X374" i="10"/>
  <c r="AR774" i="10"/>
  <c r="AF374" i="10"/>
  <c r="N774" i="10"/>
  <c r="AR374" i="10"/>
  <c r="AW374" i="10"/>
  <c r="AX374" i="10"/>
  <c r="AQ774" i="10"/>
  <c r="AG374" i="10"/>
  <c r="L774" i="10"/>
  <c r="K374" i="10"/>
  <c r="AI346" i="10"/>
  <c r="AR346" i="10"/>
  <c r="AI746" i="10"/>
  <c r="AB346" i="10"/>
  <c r="AR746" i="10"/>
  <c r="AT346" i="10"/>
  <c r="Z746" i="10"/>
  <c r="AP746" i="10"/>
  <c r="AD305" i="26"/>
  <c r="O305" i="26" s="1"/>
  <c r="W305" i="27" s="1"/>
  <c r="E305" i="27" s="1"/>
  <c r="AD170" i="26"/>
  <c r="AD190" i="26"/>
  <c r="AM186" i="26"/>
  <c r="Q186" i="26" s="1"/>
  <c r="F186" i="9" s="1"/>
  <c r="Z186" i="9" s="1"/>
  <c r="AA186" i="9" s="1"/>
  <c r="G353" i="10"/>
  <c r="BD353" i="26"/>
  <c r="BF353" i="26" s="1"/>
  <c r="BF308" i="26"/>
  <c r="AD154" i="26"/>
  <c r="AM316" i="26"/>
  <c r="Q316" i="26" s="1"/>
  <c r="P316" i="26" s="1"/>
  <c r="X316" i="27" s="1"/>
  <c r="AB316" i="27" s="1"/>
  <c r="AE673" i="10"/>
  <c r="AR673" i="10"/>
  <c r="AD288" i="26"/>
  <c r="AD316" i="26"/>
  <c r="AD275" i="26"/>
  <c r="AD41" i="26"/>
  <c r="J715" i="10"/>
  <c r="AT715" i="10"/>
  <c r="AS315" i="10"/>
  <c r="AB315" i="10"/>
  <c r="AX315" i="10"/>
  <c r="AC715" i="10"/>
  <c r="AG315" i="10"/>
  <c r="AC315" i="10"/>
  <c r="X715" i="10"/>
  <c r="M315" i="10"/>
  <c r="W315" i="10"/>
  <c r="AU715" i="10"/>
  <c r="Y715" i="10"/>
  <c r="AK315" i="10"/>
  <c r="AJ315" i="10"/>
  <c r="L315" i="10"/>
  <c r="AL315" i="10"/>
  <c r="T315" i="10"/>
  <c r="AR315" i="10"/>
  <c r="AE715" i="10"/>
  <c r="AK715" i="10"/>
  <c r="AI315" i="10"/>
  <c r="Z715" i="10"/>
  <c r="K715" i="10"/>
  <c r="AF315" i="10"/>
  <c r="T715" i="10"/>
  <c r="AA315" i="10"/>
  <c r="AV715" i="10"/>
  <c r="AQ315" i="10"/>
  <c r="AO315" i="10"/>
  <c r="AE315" i="10"/>
  <c r="P715" i="10"/>
  <c r="K315" i="10"/>
  <c r="X315" i="10"/>
  <c r="AF715" i="10"/>
  <c r="V315" i="10"/>
  <c r="U715" i="10"/>
  <c r="P315" i="10"/>
  <c r="O315" i="10"/>
  <c r="AW715" i="10"/>
  <c r="S315" i="10"/>
  <c r="AT315" i="10"/>
  <c r="AY315" i="10"/>
  <c r="N315" i="10"/>
  <c r="AP315" i="10"/>
  <c r="AY715" i="10"/>
  <c r="AQ715" i="10"/>
  <c r="R315" i="10"/>
  <c r="AJ715" i="10"/>
  <c r="AI715" i="10"/>
  <c r="AA715" i="10"/>
  <c r="Y315" i="10"/>
  <c r="AH315" i="10"/>
  <c r="W715" i="10"/>
  <c r="AO715" i="10"/>
  <c r="AB715" i="10"/>
  <c r="U315" i="10"/>
  <c r="L715" i="10"/>
  <c r="J315" i="10"/>
  <c r="AL715" i="10"/>
  <c r="S715" i="10"/>
  <c r="Q715" i="10"/>
  <c r="AS715" i="10"/>
  <c r="AD83" i="26"/>
  <c r="AD30" i="26"/>
  <c r="G263" i="6"/>
  <c r="BE263" i="26"/>
  <c r="AU186" i="26"/>
  <c r="S186" i="26" s="1"/>
  <c r="AU129" i="26"/>
  <c r="S129" i="26" s="1"/>
  <c r="H129" i="9" s="1"/>
  <c r="AF1597" i="10"/>
  <c r="AC494" i="26"/>
  <c r="AD336" i="26"/>
  <c r="H317" i="27"/>
  <c r="AM36" i="26"/>
  <c r="Q36" i="26" s="1"/>
  <c r="P36" i="26" s="1"/>
  <c r="N252" i="26"/>
  <c r="V252" i="27" s="1"/>
  <c r="AM200" i="26"/>
  <c r="Q200" i="26" s="1"/>
  <c r="P200" i="26" s="1"/>
  <c r="G317" i="9"/>
  <c r="F129" i="10"/>
  <c r="K529" i="10" s="1"/>
  <c r="AM34" i="26"/>
  <c r="Q34" i="26" s="1"/>
  <c r="P34" i="26" s="1"/>
  <c r="X34" i="27" s="1"/>
  <c r="AB34" i="27" s="1"/>
  <c r="H325" i="27"/>
  <c r="Z149" i="6"/>
  <c r="AG149" i="6" s="1"/>
  <c r="I323" i="6"/>
  <c r="H374" i="27"/>
  <c r="G374" i="9"/>
  <c r="AE218" i="6"/>
  <c r="Z218" i="6"/>
  <c r="AG218" i="6" s="1"/>
  <c r="Z76" i="6"/>
  <c r="AG76" i="6" s="1"/>
  <c r="AE76" i="6"/>
  <c r="AR545" i="10"/>
  <c r="R545" i="10"/>
  <c r="AP545" i="10"/>
  <c r="AF145" i="6"/>
  <c r="AC145" i="6"/>
  <c r="AH145" i="6" s="1"/>
  <c r="N545" i="10"/>
  <c r="AX545" i="10"/>
  <c r="AR106" i="10"/>
  <c r="R506" i="10"/>
  <c r="J506" i="10"/>
  <c r="AE506" i="10"/>
  <c r="AT506" i="10"/>
  <c r="Y106" i="10"/>
  <c r="AJ506" i="10"/>
  <c r="AH106" i="10"/>
  <c r="AV106" i="10"/>
  <c r="Z106" i="10"/>
  <c r="AO506" i="10"/>
  <c r="AG506" i="10"/>
  <c r="AF506" i="10"/>
  <c r="AX106" i="10"/>
  <c r="O106" i="10"/>
  <c r="L506" i="10"/>
  <c r="AN506" i="10"/>
  <c r="T106" i="10"/>
  <c r="N506" i="10"/>
  <c r="V106" i="10"/>
  <c r="AK106" i="10"/>
  <c r="M506" i="10"/>
  <c r="R106" i="10"/>
  <c r="AF106" i="10"/>
  <c r="AC106" i="10"/>
  <c r="AX506" i="10"/>
  <c r="X506" i="10"/>
  <c r="W106" i="10"/>
  <c r="AU506" i="10"/>
  <c r="AK506" i="10"/>
  <c r="AH506" i="10"/>
  <c r="P506" i="10"/>
  <c r="J106" i="10"/>
  <c r="AW506" i="10"/>
  <c r="AY106" i="10"/>
  <c r="AS506" i="10"/>
  <c r="U106" i="10"/>
  <c r="S506" i="10"/>
  <c r="AL106" i="10"/>
  <c r="X106" i="10"/>
  <c r="AW106" i="10"/>
  <c r="AD506" i="10"/>
  <c r="AI506" i="10"/>
  <c r="AR506" i="10"/>
  <c r="AP506" i="10"/>
  <c r="V506" i="10"/>
  <c r="L106" i="10"/>
  <c r="AA106" i="10"/>
  <c r="AV506" i="10"/>
  <c r="AS106" i="10"/>
  <c r="Q106" i="10"/>
  <c r="AT106" i="10"/>
  <c r="AD106" i="10"/>
  <c r="M106" i="10"/>
  <c r="AC506" i="10"/>
  <c r="AI106" i="10"/>
  <c r="U506" i="10"/>
  <c r="AQ506" i="10"/>
  <c r="AE106" i="10"/>
  <c r="AQ106" i="10"/>
  <c r="AA506" i="10"/>
  <c r="O506" i="10"/>
  <c r="AY506" i="10"/>
  <c r="T506" i="10"/>
  <c r="AN106" i="10"/>
  <c r="P106" i="10"/>
  <c r="AJ106" i="10"/>
  <c r="AV145" i="10"/>
  <c r="AF132" i="9"/>
  <c r="AC132" i="9"/>
  <c r="AH132" i="9" s="1"/>
  <c r="AB746" i="10"/>
  <c r="V346" i="10"/>
  <c r="AL746" i="10"/>
  <c r="AF346" i="10"/>
  <c r="AS746" i="10"/>
  <c r="AP346" i="10"/>
  <c r="AV346" i="10"/>
  <c r="R346" i="10"/>
  <c r="V746" i="10"/>
  <c r="Y346" i="10"/>
  <c r="AE346" i="10"/>
  <c r="AO346" i="10"/>
  <c r="AH746" i="10"/>
  <c r="L746" i="10"/>
  <c r="AE746" i="10"/>
  <c r="J346" i="10"/>
  <c r="AM346" i="10"/>
  <c r="AJ746" i="10"/>
  <c r="AT746" i="10"/>
  <c r="Q346" i="10"/>
  <c r="AX346" i="10"/>
  <c r="L346" i="10"/>
  <c r="AA746" i="10"/>
  <c r="P746" i="10"/>
  <c r="O346" i="10"/>
  <c r="AF746" i="10"/>
  <c r="T346" i="10"/>
  <c r="AK746" i="10"/>
  <c r="AU746" i="10"/>
  <c r="AC746" i="10"/>
  <c r="M746" i="10"/>
  <c r="AW746" i="10"/>
  <c r="K106" i="10"/>
  <c r="U145" i="10"/>
  <c r="AM145" i="10"/>
  <c r="AQ545" i="10"/>
  <c r="O545" i="10"/>
  <c r="L145" i="10"/>
  <c r="AV545" i="10"/>
  <c r="AI545" i="10"/>
  <c r="O145" i="10"/>
  <c r="M145" i="10"/>
  <c r="X145" i="10"/>
  <c r="Y145" i="10"/>
  <c r="AM545" i="10"/>
  <c r="M545" i="10"/>
  <c r="AQ145" i="10"/>
  <c r="AS545" i="10"/>
  <c r="T545" i="10"/>
  <c r="V145" i="10"/>
  <c r="X545" i="10"/>
  <c r="W545" i="10"/>
  <c r="AE545" i="10"/>
  <c r="N145" i="10"/>
  <c r="J545" i="10"/>
  <c r="AY545" i="10"/>
  <c r="T145" i="10"/>
  <c r="AC145" i="10"/>
  <c r="Y545" i="10"/>
  <c r="AD145" i="10"/>
  <c r="AY145" i="10"/>
  <c r="AH545" i="10"/>
  <c r="W145" i="10"/>
  <c r="P145" i="10"/>
  <c r="AB545" i="10"/>
  <c r="AO545" i="10"/>
  <c r="AB145" i="10"/>
  <c r="AP145" i="10"/>
  <c r="AI145" i="10"/>
  <c r="AJ145" i="10"/>
  <c r="V545" i="10"/>
  <c r="AU545" i="10"/>
  <c r="AN145" i="10"/>
  <c r="AT545" i="10"/>
  <c r="S545" i="10"/>
  <c r="Q145" i="10"/>
  <c r="U545" i="10"/>
  <c r="AF145" i="10"/>
  <c r="R145" i="10"/>
  <c r="AJ545" i="10"/>
  <c r="AH145" i="10"/>
  <c r="Z145" i="10"/>
  <c r="AA145" i="10"/>
  <c r="AC545" i="10"/>
  <c r="F298" i="10"/>
  <c r="W298" i="27"/>
  <c r="E298" i="27" s="1"/>
  <c r="W151" i="27"/>
  <c r="E151" i="27" s="1"/>
  <c r="N151" i="26"/>
  <c r="BD151" i="26" s="1"/>
  <c r="F151" i="10"/>
  <c r="AH151" i="10" s="1"/>
  <c r="N298" i="26"/>
  <c r="BD298" i="26" s="1"/>
  <c r="AO145" i="10"/>
  <c r="J145" i="10"/>
  <c r="Q545" i="10"/>
  <c r="S145" i="10"/>
  <c r="AK145" i="10"/>
  <c r="G278" i="10"/>
  <c r="BD278" i="26"/>
  <c r="BF278" i="26" s="1"/>
  <c r="F278" i="27"/>
  <c r="U360" i="10"/>
  <c r="S360" i="10"/>
  <c r="AN360" i="10"/>
  <c r="AL760" i="10"/>
  <c r="AQ360" i="10"/>
  <c r="L360" i="10"/>
  <c r="J360" i="10"/>
  <c r="AJ760" i="10"/>
  <c r="AX760" i="10"/>
  <c r="AH360" i="10"/>
  <c r="AY760" i="10"/>
  <c r="T760" i="10"/>
  <c r="X360" i="10"/>
  <c r="AD360" i="10"/>
  <c r="P360" i="10"/>
  <c r="Q760" i="10"/>
  <c r="AS760" i="10"/>
  <c r="AX360" i="10"/>
  <c r="AS360" i="10"/>
  <c r="K360" i="10"/>
  <c r="V360" i="10"/>
  <c r="P760" i="10"/>
  <c r="AK360" i="10"/>
  <c r="AT360" i="10"/>
  <c r="AB360" i="10"/>
  <c r="AP760" i="10"/>
  <c r="AN760" i="10"/>
  <c r="O760" i="10"/>
  <c r="AP360" i="10"/>
  <c r="M360" i="10"/>
  <c r="AU760" i="10"/>
  <c r="AW360" i="10"/>
  <c r="Z360" i="10"/>
  <c r="AI760" i="10"/>
  <c r="K760" i="10"/>
  <c r="AO760" i="10"/>
  <c r="Y360" i="10"/>
  <c r="J760" i="10"/>
  <c r="AV760" i="10"/>
  <c r="R760" i="10"/>
  <c r="AG760" i="10"/>
  <c r="AF360" i="10"/>
  <c r="AF760" i="10"/>
  <c r="N360" i="10"/>
  <c r="AM760" i="10"/>
  <c r="M760" i="10"/>
  <c r="AV360" i="10"/>
  <c r="AT760" i="10"/>
  <c r="AA360" i="10"/>
  <c r="X760" i="10"/>
  <c r="AL360" i="10"/>
  <c r="AR760" i="10"/>
  <c r="W360" i="10"/>
  <c r="AJ360" i="10"/>
  <c r="AO360" i="10"/>
  <c r="R360" i="10"/>
  <c r="AI360" i="10"/>
  <c r="U760" i="10"/>
  <c r="AQ760" i="10"/>
  <c r="AH760" i="10"/>
  <c r="Z760" i="10"/>
  <c r="Q360" i="10"/>
  <c r="G325" i="6"/>
  <c r="G325" i="9"/>
  <c r="Y618" i="10"/>
  <c r="AN618" i="10"/>
  <c r="AT618" i="10"/>
  <c r="AQ618" i="10"/>
  <c r="Z218" i="10"/>
  <c r="AX218" i="10"/>
  <c r="AE618" i="10"/>
  <c r="AF618" i="10"/>
  <c r="Z618" i="10"/>
  <c r="AV618" i="10"/>
  <c r="N218" i="10"/>
  <c r="AC618" i="10"/>
  <c r="AT218" i="10"/>
  <c r="AG618" i="10"/>
  <c r="AO218" i="10"/>
  <c r="Q618" i="10"/>
  <c r="AC218" i="10"/>
  <c r="AB618" i="10"/>
  <c r="AV218" i="10"/>
  <c r="AP218" i="10"/>
  <c r="U218" i="10"/>
  <c r="H40" i="27"/>
  <c r="O46" i="10"/>
  <c r="U446" i="10"/>
  <c r="P46" i="10"/>
  <c r="AA446" i="10"/>
  <c r="AJ446" i="10"/>
  <c r="AC46" i="10"/>
  <c r="G126" i="10"/>
  <c r="BD325" i="26"/>
  <c r="BF325" i="26" s="1"/>
  <c r="AD178" i="26"/>
  <c r="AD194" i="26"/>
  <c r="K218" i="10"/>
  <c r="AA218" i="10"/>
  <c r="AL218" i="10"/>
  <c r="AY618" i="10"/>
  <c r="AO618" i="10"/>
  <c r="AK218" i="10"/>
  <c r="AQ218" i="10"/>
  <c r="M618" i="10"/>
  <c r="AS618" i="10"/>
  <c r="AW46" i="10"/>
  <c r="F136" i="10"/>
  <c r="AY536" i="10" s="1"/>
  <c r="I145" i="9"/>
  <c r="AC257" i="9"/>
  <c r="AH257" i="9" s="1"/>
  <c r="BA56" i="10"/>
  <c r="AD328" i="26"/>
  <c r="O328" i="26" s="1"/>
  <c r="N328" i="26" s="1"/>
  <c r="AD320" i="26"/>
  <c r="AD247" i="26"/>
  <c r="AA67" i="10"/>
  <c r="N467" i="10"/>
  <c r="J67" i="10"/>
  <c r="AR467" i="10"/>
  <c r="AD174" i="26"/>
  <c r="AS218" i="10"/>
  <c r="T618" i="10"/>
  <c r="AF218" i="10"/>
  <c r="AR218" i="10"/>
  <c r="AM218" i="10"/>
  <c r="W618" i="10"/>
  <c r="AY218" i="10"/>
  <c r="T218" i="10"/>
  <c r="L218" i="10"/>
  <c r="AU618" i="10"/>
  <c r="O218" i="10"/>
  <c r="J446" i="10"/>
  <c r="T446" i="10"/>
  <c r="S446" i="10"/>
  <c r="AX446" i="10"/>
  <c r="R12" i="10"/>
  <c r="F325" i="27"/>
  <c r="AX618" i="10"/>
  <c r="J218" i="10"/>
  <c r="N618" i="10"/>
  <c r="X618" i="10"/>
  <c r="AH218" i="10"/>
  <c r="Q218" i="10"/>
  <c r="X218" i="10"/>
  <c r="AP618" i="10"/>
  <c r="AD618" i="10"/>
  <c r="AW218" i="10"/>
  <c r="W218" i="10"/>
  <c r="AI618" i="10"/>
  <c r="R618" i="10"/>
  <c r="U618" i="10"/>
  <c r="AN218" i="10"/>
  <c r="J618" i="10"/>
  <c r="O618" i="10"/>
  <c r="P218" i="10"/>
  <c r="R218" i="10"/>
  <c r="AA618" i="10"/>
  <c r="G177" i="6"/>
  <c r="AH446" i="10"/>
  <c r="Q46" i="10"/>
  <c r="M446" i="10"/>
  <c r="AQ446" i="10"/>
  <c r="AX412" i="10"/>
  <c r="BB56" i="10"/>
  <c r="BC56" i="10" s="1"/>
  <c r="L545" i="10"/>
  <c r="AM201" i="26"/>
  <c r="Q201" i="26" s="1"/>
  <c r="F201" i="6" s="1"/>
  <c r="Z201" i="6" s="1"/>
  <c r="AD127" i="26"/>
  <c r="AM71" i="26"/>
  <c r="Q71" i="26" s="1"/>
  <c r="P71" i="26" s="1"/>
  <c r="X71" i="27" s="1"/>
  <c r="AB71" i="27" s="1"/>
  <c r="AO225" i="26"/>
  <c r="I263" i="9"/>
  <c r="AD31" i="26"/>
  <c r="G217" i="9"/>
  <c r="AM21" i="26"/>
  <c r="Q21" i="26" s="1"/>
  <c r="F21" i="6" s="1"/>
  <c r="Z21" i="6" s="1"/>
  <c r="AM365" i="26"/>
  <c r="Q365" i="26" s="1"/>
  <c r="F365" i="9" s="1"/>
  <c r="Z365" i="9" s="1"/>
  <c r="AA365" i="9" s="1"/>
  <c r="Z252" i="6"/>
  <c r="AG252" i="6" s="1"/>
  <c r="H239" i="9"/>
  <c r="AM372" i="26"/>
  <c r="Q372" i="26" s="1"/>
  <c r="P372" i="26" s="1"/>
  <c r="AU341" i="26"/>
  <c r="S341" i="26" s="1"/>
  <c r="H341" i="9" s="1"/>
  <c r="R766" i="10"/>
  <c r="G136" i="9"/>
  <c r="H92" i="9"/>
  <c r="AC92" i="9" s="1"/>
  <c r="R151" i="26"/>
  <c r="I151" i="9" s="1"/>
  <c r="AC307" i="9"/>
  <c r="AH307" i="9" s="1"/>
  <c r="N195" i="26"/>
  <c r="G195" i="10" s="1"/>
  <c r="AT376" i="26"/>
  <c r="AS376" i="26" s="1"/>
  <c r="I65" i="6"/>
  <c r="G217" i="6"/>
  <c r="AU201" i="26"/>
  <c r="S201" i="26" s="1"/>
  <c r="AZ463" i="26"/>
  <c r="BB463" i="26" s="1"/>
  <c r="BA463" i="26" s="1"/>
  <c r="AG463" i="26"/>
  <c r="AM336" i="26"/>
  <c r="Q336" i="26" s="1"/>
  <c r="F336" i="9" s="1"/>
  <c r="Z336" i="9" s="1"/>
  <c r="AA336" i="9" s="1"/>
  <c r="AY463" i="26"/>
  <c r="S463" i="26" s="1"/>
  <c r="AC476" i="26"/>
  <c r="AZ476" i="26" s="1"/>
  <c r="BB476" i="26" s="1"/>
  <c r="BA476" i="26" s="1"/>
  <c r="AC195" i="6"/>
  <c r="AH195" i="6" s="1"/>
  <c r="H92" i="6"/>
  <c r="AC92" i="6" s="1"/>
  <c r="H372" i="6"/>
  <c r="AM155" i="26"/>
  <c r="Q155" i="26" s="1"/>
  <c r="Y155" i="27" s="1"/>
  <c r="G155" i="27" s="1"/>
  <c r="AM355" i="26"/>
  <c r="Q355" i="26" s="1"/>
  <c r="F355" i="6" s="1"/>
  <c r="Z355" i="6" s="1"/>
  <c r="H226" i="9"/>
  <c r="AC226" i="9" s="1"/>
  <c r="AT377" i="26"/>
  <c r="AS377" i="26" s="1"/>
  <c r="G272" i="9"/>
  <c r="AD222" i="26"/>
  <c r="H226" i="6"/>
  <c r="AT319" i="10"/>
  <c r="BE217" i="26"/>
  <c r="AM204" i="26"/>
  <c r="Q204" i="26" s="1"/>
  <c r="F204" i="6" s="1"/>
  <c r="Z204" i="6" s="1"/>
  <c r="AC65" i="6"/>
  <c r="AH65" i="6" s="1"/>
  <c r="H288" i="27"/>
  <c r="AD27" i="26"/>
  <c r="G136" i="6"/>
  <c r="AD157" i="26"/>
  <c r="AD18" i="26"/>
  <c r="AM294" i="26"/>
  <c r="Q294" i="26" s="1"/>
  <c r="F294" i="6" s="1"/>
  <c r="Z294" i="6" s="1"/>
  <c r="AM198" i="26"/>
  <c r="Q198" i="26" s="1"/>
  <c r="F198" i="6" s="1"/>
  <c r="AD59" i="26"/>
  <c r="O59" i="26" s="1"/>
  <c r="AM92" i="26"/>
  <c r="Q92" i="26" s="1"/>
  <c r="Y92" i="27" s="1"/>
  <c r="G92" i="27" s="1"/>
  <c r="I83" i="9"/>
  <c r="R239" i="26"/>
  <c r="H182" i="9"/>
  <c r="AC182" i="9" s="1"/>
  <c r="H154" i="9"/>
  <c r="AC154" i="9" s="1"/>
  <c r="AC252" i="6"/>
  <c r="AH252" i="6" s="1"/>
  <c r="AD237" i="26"/>
  <c r="AU16" i="26"/>
  <c r="S16" i="26" s="1"/>
  <c r="AL525" i="26"/>
  <c r="AU525" i="26" s="1"/>
  <c r="AC317" i="9"/>
  <c r="AH317" i="9" s="1"/>
  <c r="AM64" i="26"/>
  <c r="Q64" i="26" s="1"/>
  <c r="F64" i="6" s="1"/>
  <c r="I204" i="9"/>
  <c r="H375" i="9"/>
  <c r="AC375" i="9" s="1"/>
  <c r="AX186" i="26"/>
  <c r="G148" i="9"/>
  <c r="AM99" i="26"/>
  <c r="Q99" i="26" s="1"/>
  <c r="P99" i="26" s="1"/>
  <c r="AD293" i="26"/>
  <c r="AC469" i="26"/>
  <c r="Q319" i="10"/>
  <c r="H204" i="9"/>
  <c r="AC204" i="9" s="1"/>
  <c r="G288" i="9"/>
  <c r="R375" i="26"/>
  <c r="I375" i="6" s="1"/>
  <c r="AX254" i="26"/>
  <c r="G96" i="6"/>
  <c r="R154" i="26"/>
  <c r="AM154" i="26"/>
  <c r="Q154" i="26" s="1"/>
  <c r="Y154" i="27" s="1"/>
  <c r="G154" i="27" s="1"/>
  <c r="AJ319" i="10"/>
  <c r="R372" i="26"/>
  <c r="AM102" i="26"/>
  <c r="Q102" i="26" s="1"/>
  <c r="Y102" i="27" s="1"/>
  <c r="G102" i="27" s="1"/>
  <c r="AM274" i="26"/>
  <c r="Q274" i="26" s="1"/>
  <c r="F274" i="6" s="1"/>
  <c r="AR319" i="10"/>
  <c r="H280" i="9"/>
  <c r="AC280" i="9" s="1"/>
  <c r="AM182" i="26"/>
  <c r="Q182" i="26" s="1"/>
  <c r="Y182" i="27" s="1"/>
  <c r="G182" i="27" s="1"/>
  <c r="AC477" i="26"/>
  <c r="BE477" i="26" s="1"/>
  <c r="BE314" i="26"/>
  <c r="AM303" i="26"/>
  <c r="Q303" i="26" s="1"/>
  <c r="AM382" i="26"/>
  <c r="Q382" i="26" s="1"/>
  <c r="F382" i="9" s="1"/>
  <c r="G314" i="6"/>
  <c r="R274" i="26"/>
  <c r="AM371" i="26"/>
  <c r="Q371" i="26" s="1"/>
  <c r="G55" i="9"/>
  <c r="Z352" i="6"/>
  <c r="AG352" i="6" s="1"/>
  <c r="AD90" i="26"/>
  <c r="H182" i="6"/>
  <c r="AC182" i="6" s="1"/>
  <c r="AD147" i="26"/>
  <c r="O147" i="26" s="1"/>
  <c r="W147" i="27" s="1"/>
  <c r="E147" i="27" s="1"/>
  <c r="AD184" i="26"/>
  <c r="AB418" i="9"/>
  <c r="BE148" i="26"/>
  <c r="G168" i="9"/>
  <c r="G268" i="6"/>
  <c r="AM375" i="26"/>
  <c r="Q375" i="26" s="1"/>
  <c r="AM172" i="26"/>
  <c r="Q172" i="26" s="1"/>
  <c r="P172" i="26" s="1"/>
  <c r="X172" i="27" s="1"/>
  <c r="AB172" i="27" s="1"/>
  <c r="AD61" i="26"/>
  <c r="BE288" i="26"/>
  <c r="AM179" i="26"/>
  <c r="Q179" i="26" s="1"/>
  <c r="AX34" i="26"/>
  <c r="H204" i="6"/>
  <c r="AD44" i="26"/>
  <c r="H209" i="9"/>
  <c r="AC209" i="9" s="1"/>
  <c r="R209" i="26"/>
  <c r="AM387" i="26"/>
  <c r="N297" i="26"/>
  <c r="V297" i="27" s="1"/>
  <c r="AA297" i="27" s="1"/>
  <c r="F297" i="10"/>
  <c r="AB697" i="10" s="1"/>
  <c r="W297" i="27"/>
  <c r="E297" i="27" s="1"/>
  <c r="G322" i="9"/>
  <c r="AM285" i="26"/>
  <c r="Q285" i="26" s="1"/>
  <c r="AC317" i="6"/>
  <c r="AH317" i="6" s="1"/>
  <c r="I75" i="9"/>
  <c r="G314" i="9"/>
  <c r="G168" i="6"/>
  <c r="H274" i="9"/>
  <c r="AC274" i="9" s="1"/>
  <c r="BE272" i="26"/>
  <c r="AD364" i="26"/>
  <c r="AD381" i="26"/>
  <c r="H370" i="6"/>
  <c r="AC370" i="6" s="1"/>
  <c r="AM203" i="26"/>
  <c r="Q203" i="26" s="1"/>
  <c r="AM174" i="26"/>
  <c r="Q174" i="26" s="1"/>
  <c r="Y174" i="27" s="1"/>
  <c r="G174" i="27" s="1"/>
  <c r="G32" i="6"/>
  <c r="AU178" i="26"/>
  <c r="S178" i="26" s="1"/>
  <c r="H178" i="6" s="1"/>
  <c r="AC178" i="6" s="1"/>
  <c r="BE168" i="26"/>
  <c r="AU385" i="26"/>
  <c r="S385" i="26" s="1"/>
  <c r="R385" i="26" s="1"/>
  <c r="AM199" i="26"/>
  <c r="Q199" i="26" s="1"/>
  <c r="H116" i="6"/>
  <c r="AC116" i="6" s="1"/>
  <c r="AM194" i="26"/>
  <c r="Q194" i="26" s="1"/>
  <c r="F194" i="9" s="1"/>
  <c r="Z194" i="9" s="1"/>
  <c r="AA194" i="9" s="1"/>
  <c r="AU313" i="26"/>
  <c r="S313" i="26" s="1"/>
  <c r="R313" i="26" s="1"/>
  <c r="G32" i="9"/>
  <c r="AD309" i="26"/>
  <c r="AM30" i="26"/>
  <c r="Q30" i="26" s="1"/>
  <c r="F30" i="6" s="1"/>
  <c r="Z30" i="6" s="1"/>
  <c r="AB456" i="6"/>
  <c r="AD114" i="26"/>
  <c r="H151" i="9"/>
  <c r="AC151" i="9" s="1"/>
  <c r="I156" i="6"/>
  <c r="R370" i="26"/>
  <c r="I370" i="6" s="1"/>
  <c r="AD22" i="26"/>
  <c r="AD122" i="26"/>
  <c r="O122" i="26" s="1"/>
  <c r="F122" i="10" s="1"/>
  <c r="AD210" i="26"/>
  <c r="O210" i="26" s="1"/>
  <c r="BE124" i="26"/>
  <c r="AD387" i="26"/>
  <c r="AM167" i="26"/>
  <c r="Q167" i="26" s="1"/>
  <c r="BE55" i="26"/>
  <c r="AD327" i="26"/>
  <c r="O327" i="26" s="1"/>
  <c r="N327" i="26" s="1"/>
  <c r="L1597" i="10"/>
  <c r="AU85" i="26"/>
  <c r="S85" i="26" s="1"/>
  <c r="R85" i="26" s="1"/>
  <c r="AM130" i="26"/>
  <c r="Q130" i="26" s="1"/>
  <c r="F130" i="6" s="1"/>
  <c r="AM283" i="26"/>
  <c r="Q283" i="26" s="1"/>
  <c r="Y283" i="27" s="1"/>
  <c r="G283" i="27" s="1"/>
  <c r="AM349" i="26"/>
  <c r="Q349" i="26" s="1"/>
  <c r="Y349" i="27" s="1"/>
  <c r="G349" i="27" s="1"/>
  <c r="AD15" i="26"/>
  <c r="O15" i="26" s="1"/>
  <c r="AM35" i="26"/>
  <c r="Q35" i="26" s="1"/>
  <c r="AM24" i="26"/>
  <c r="Q24" i="26" s="1"/>
  <c r="AM151" i="26"/>
  <c r="Q151" i="26" s="1"/>
  <c r="AY479" i="26"/>
  <c r="S479" i="26" s="1"/>
  <c r="BF479" i="26"/>
  <c r="I195" i="9"/>
  <c r="H246" i="6"/>
  <c r="AC246" i="6" s="1"/>
  <c r="AU306" i="26"/>
  <c r="S306" i="26" s="1"/>
  <c r="AU104" i="26"/>
  <c r="S104" i="26" s="1"/>
  <c r="H104" i="6" s="1"/>
  <c r="AD362" i="26"/>
  <c r="BE268" i="26"/>
  <c r="AW366" i="10"/>
  <c r="G55" i="6"/>
  <c r="AM41" i="26"/>
  <c r="Q41" i="26" s="1"/>
  <c r="AC156" i="9"/>
  <c r="AH156" i="9" s="1"/>
  <c r="AD52" i="26"/>
  <c r="H359" i="27"/>
  <c r="AP719" i="10"/>
  <c r="AD378" i="26"/>
  <c r="AD43" i="26"/>
  <c r="O43" i="26" s="1"/>
  <c r="AM69" i="26"/>
  <c r="Q69" i="26" s="1"/>
  <c r="F69" i="9" s="1"/>
  <c r="Z69" i="9" s="1"/>
  <c r="AA69" i="9" s="1"/>
  <c r="AM14" i="26"/>
  <c r="Q14" i="26" s="1"/>
  <c r="P14" i="26" s="1"/>
  <c r="X14" i="27" s="1"/>
  <c r="AM146" i="26"/>
  <c r="Q146" i="26" s="1"/>
  <c r="F146" i="9" s="1"/>
  <c r="Z146" i="9" s="1"/>
  <c r="AA146" i="9" s="1"/>
  <c r="AM27" i="26"/>
  <c r="Q27" i="26" s="1"/>
  <c r="P27" i="26" s="1"/>
  <c r="X27" i="27" s="1"/>
  <c r="AB27" i="27" s="1"/>
  <c r="T366" i="10"/>
  <c r="AM376" i="26"/>
  <c r="Q376" i="26" s="1"/>
  <c r="Y376" i="27" s="1"/>
  <c r="G376" i="27" s="1"/>
  <c r="AD68" i="26"/>
  <c r="AM113" i="26"/>
  <c r="Q113" i="26" s="1"/>
  <c r="F108" i="10"/>
  <c r="AK508" i="10" s="1"/>
  <c r="BE359" i="26"/>
  <c r="AM209" i="26"/>
  <c r="Q209" i="26" s="1"/>
  <c r="F209" i="9" s="1"/>
  <c r="AD85" i="26"/>
  <c r="AB464" i="9"/>
  <c r="R116" i="26"/>
  <c r="AC75" i="9"/>
  <c r="AH75" i="9" s="1"/>
  <c r="AR766" i="10"/>
  <c r="P366" i="10"/>
  <c r="AM50" i="26"/>
  <c r="Q50" i="26" s="1"/>
  <c r="P50" i="26" s="1"/>
  <c r="X50" i="27" s="1"/>
  <c r="AB50" i="27" s="1"/>
  <c r="N79" i="26"/>
  <c r="AD221" i="26"/>
  <c r="O221" i="26" s="1"/>
  <c r="AC520" i="26"/>
  <c r="BE520" i="26" s="1"/>
  <c r="Z32" i="6"/>
  <c r="AG32" i="6" s="1"/>
  <c r="AU331" i="26"/>
  <c r="S331" i="26" s="1"/>
  <c r="H331" i="6" s="1"/>
  <c r="AD331" i="6" s="1"/>
  <c r="AD281" i="26"/>
  <c r="O281" i="26" s="1"/>
  <c r="AB460" i="6"/>
  <c r="AQ766" i="10"/>
  <c r="AR366" i="10"/>
  <c r="AM370" i="26"/>
  <c r="Q370" i="26" s="1"/>
  <c r="H280" i="6"/>
  <c r="AC280" i="6" s="1"/>
  <c r="AD292" i="26"/>
  <c r="O292" i="26" s="1"/>
  <c r="W292" i="27" s="1"/>
  <c r="E292" i="27" s="1"/>
  <c r="AD260" i="26"/>
  <c r="O260" i="26" s="1"/>
  <c r="F79" i="10"/>
  <c r="W79" i="10" s="1"/>
  <c r="AD26" i="26"/>
  <c r="G124" i="9"/>
  <c r="AM15" i="26"/>
  <c r="Q15" i="26" s="1"/>
  <c r="P15" i="26" s="1"/>
  <c r="AY129" i="26"/>
  <c r="AX129" i="26" s="1"/>
  <c r="G322" i="6"/>
  <c r="AM116" i="26"/>
  <c r="Q116" i="26" s="1"/>
  <c r="F116" i="9" s="1"/>
  <c r="AD520" i="26"/>
  <c r="AX366" i="10"/>
  <c r="V366" i="10"/>
  <c r="AN366" i="10"/>
  <c r="Y1597" i="10"/>
  <c r="AD78" i="26"/>
  <c r="AD72" i="26"/>
  <c r="AD334" i="26"/>
  <c r="AM280" i="26"/>
  <c r="Q280" i="26" s="1"/>
  <c r="I307" i="9"/>
  <c r="AM208" i="26"/>
  <c r="Q208" i="26" s="1"/>
  <c r="P208" i="26" s="1"/>
  <c r="X208" i="27" s="1"/>
  <c r="AB208" i="27" s="1"/>
  <c r="AI427" i="26"/>
  <c r="AK427" i="26" s="1"/>
  <c r="AG766" i="10"/>
  <c r="AL366" i="10"/>
  <c r="AM366" i="10"/>
  <c r="AW766" i="10"/>
  <c r="Q766" i="10"/>
  <c r="AO1597" i="10"/>
  <c r="AM74" i="26"/>
  <c r="Q74" i="26" s="1"/>
  <c r="F74" i="9" s="1"/>
  <c r="Z74" i="9" s="1"/>
  <c r="AA74" i="9" s="1"/>
  <c r="AD347" i="26"/>
  <c r="AW319" i="10"/>
  <c r="R246" i="26"/>
  <c r="AC44" i="9"/>
  <c r="AB463" i="9"/>
  <c r="Z96" i="6"/>
  <c r="AG96" i="6" s="1"/>
  <c r="AO766" i="10"/>
  <c r="J366" i="10"/>
  <c r="M766" i="10"/>
  <c r="AT366" i="10"/>
  <c r="AQ366" i="10"/>
  <c r="P319" i="10"/>
  <c r="G359" i="9"/>
  <c r="G359" i="6"/>
  <c r="AM166" i="26"/>
  <c r="Q166" i="26" s="1"/>
  <c r="F166" i="6" s="1"/>
  <c r="Z166" i="6" s="1"/>
  <c r="AY525" i="26"/>
  <c r="S525" i="26" s="1"/>
  <c r="AE511" i="26"/>
  <c r="AG511" i="26" s="1"/>
  <c r="AC511" i="26"/>
  <c r="AZ511" i="26" s="1"/>
  <c r="AI525" i="26"/>
  <c r="AK525" i="26" s="1"/>
  <c r="AC366" i="10"/>
  <c r="AN766" i="10"/>
  <c r="M366" i="10"/>
  <c r="AK366" i="10"/>
  <c r="U366" i="10"/>
  <c r="AF366" i="10"/>
  <c r="O366" i="10"/>
  <c r="AG366" i="10"/>
  <c r="AI766" i="10"/>
  <c r="AJ766" i="10"/>
  <c r="AY366" i="10"/>
  <c r="X366" i="10"/>
  <c r="AC766" i="10"/>
  <c r="P766" i="10"/>
  <c r="AD766" i="10"/>
  <c r="AU766" i="10"/>
  <c r="AB366" i="10"/>
  <c r="AE766" i="10"/>
  <c r="AA766" i="10"/>
  <c r="S366" i="10"/>
  <c r="AH366" i="10"/>
  <c r="AI366" i="10"/>
  <c r="W366" i="10"/>
  <c r="AA366" i="10"/>
  <c r="AP366" i="10"/>
  <c r="AO366" i="10"/>
  <c r="Y766" i="10"/>
  <c r="AM766" i="10"/>
  <c r="Z366" i="10"/>
  <c r="R366" i="10"/>
  <c r="AY766" i="10"/>
  <c r="W766" i="10"/>
  <c r="Z766" i="10"/>
  <c r="AL766" i="10"/>
  <c r="K766" i="10"/>
  <c r="AP766" i="10"/>
  <c r="V766" i="10"/>
  <c r="O766" i="10"/>
  <c r="AF766" i="10"/>
  <c r="K366" i="10"/>
  <c r="X766" i="10"/>
  <c r="AU262" i="26"/>
  <c r="S262" i="26" s="1"/>
  <c r="AM262" i="26"/>
  <c r="Q262" i="26" s="1"/>
  <c r="W156" i="27"/>
  <c r="E156" i="27" s="1"/>
  <c r="N156" i="26"/>
  <c r="F156" i="10"/>
  <c r="AP556" i="10" s="1"/>
  <c r="BD1591" i="10"/>
  <c r="BA1591" i="10"/>
  <c r="BE96" i="26"/>
  <c r="AT766" i="10"/>
  <c r="AX766" i="10"/>
  <c r="AS366" i="10"/>
  <c r="T766" i="10"/>
  <c r="J766" i="10"/>
  <c r="AD366" i="10"/>
  <c r="AK766" i="10"/>
  <c r="AE366" i="10"/>
  <c r="Q366" i="10"/>
  <c r="AV766" i="10"/>
  <c r="L366" i="10"/>
  <c r="AD128" i="26"/>
  <c r="O128" i="26" s="1"/>
  <c r="W128" i="27" s="1"/>
  <c r="E128" i="27" s="1"/>
  <c r="AD197" i="26"/>
  <c r="AD49" i="26"/>
  <c r="O49" i="26" s="1"/>
  <c r="Z124" i="6"/>
  <c r="AG124" i="6" s="1"/>
  <c r="I288" i="9"/>
  <c r="AD63" i="26"/>
  <c r="H295" i="9"/>
  <c r="H295" i="6"/>
  <c r="AC295" i="6" s="1"/>
  <c r="N173" i="26"/>
  <c r="V173" i="27" s="1"/>
  <c r="AA173" i="27" s="1"/>
  <c r="F173" i="10"/>
  <c r="AE573" i="10" s="1"/>
  <c r="BC1591" i="10"/>
  <c r="AE433" i="26"/>
  <c r="AO232" i="26"/>
  <c r="AM101" i="26"/>
  <c r="Q101" i="26" s="1"/>
  <c r="F101" i="9" s="1"/>
  <c r="Z101" i="9" s="1"/>
  <c r="AA101" i="9" s="1"/>
  <c r="N366" i="10"/>
  <c r="AJ366" i="10"/>
  <c r="AB766" i="10"/>
  <c r="N766" i="10"/>
  <c r="Y366" i="10"/>
  <c r="L766" i="10"/>
  <c r="AH766" i="10"/>
  <c r="AV366" i="10"/>
  <c r="U766" i="10"/>
  <c r="AS766" i="10"/>
  <c r="AD111" i="26"/>
  <c r="H101" i="9"/>
  <c r="AC101" i="9" s="1"/>
  <c r="AP375" i="26"/>
  <c r="AO375" i="26" s="1"/>
  <c r="AU363" i="26"/>
  <c r="S363" i="26" s="1"/>
  <c r="AM363" i="26"/>
  <c r="Q363" i="26" s="1"/>
  <c r="AM87" i="26"/>
  <c r="Q87" i="26" s="1"/>
  <c r="F87" i="6" s="1"/>
  <c r="AU87" i="26"/>
  <c r="S87" i="26" s="1"/>
  <c r="H87" i="9" s="1"/>
  <c r="R50" i="26"/>
  <c r="I50" i="9" s="1"/>
  <c r="H50" i="6"/>
  <c r="AC50" i="6" s="1"/>
  <c r="AX210" i="26"/>
  <c r="AP210" i="26"/>
  <c r="AO210" i="26" s="1"/>
  <c r="BF463" i="26"/>
  <c r="AD205" i="26"/>
  <c r="AD342" i="26"/>
  <c r="O342" i="26" s="1"/>
  <c r="F342" i="10" s="1"/>
  <c r="AD48" i="26"/>
  <c r="AM60" i="26"/>
  <c r="Q60" i="26" s="1"/>
  <c r="AM25" i="26"/>
  <c r="Q25" i="26" s="1"/>
  <c r="Y25" i="27" s="1"/>
  <c r="G25" i="27" s="1"/>
  <c r="AD203" i="26"/>
  <c r="AG487" i="26"/>
  <c r="AH487" i="26" s="1"/>
  <c r="AM79" i="26"/>
  <c r="Q79" i="26" s="1"/>
  <c r="J1597" i="10"/>
  <c r="L1593" i="10"/>
  <c r="R1593" i="10"/>
  <c r="V1593" i="10"/>
  <c r="AK1593" i="10"/>
  <c r="AL1593" i="10"/>
  <c r="AM1593" i="10"/>
  <c r="AA1593" i="10"/>
  <c r="AJ1597" i="10"/>
  <c r="K1597" i="10"/>
  <c r="Y1593" i="10"/>
  <c r="AC1597" i="10"/>
  <c r="AJ1593" i="10"/>
  <c r="J1593" i="10"/>
  <c r="J1595" i="10" s="1"/>
  <c r="AB1597" i="10"/>
  <c r="R1597" i="10"/>
  <c r="AM1597" i="10"/>
  <c r="S1597" i="10"/>
  <c r="Q1597" i="10"/>
  <c r="AP1597" i="10"/>
  <c r="AP1593" i="10"/>
  <c r="AQ1597" i="10"/>
  <c r="AI1597" i="10"/>
  <c r="AI1593" i="10"/>
  <c r="AQ1593" i="10"/>
  <c r="Q1593" i="10"/>
  <c r="AB1593" i="10"/>
  <c r="AC288" i="9"/>
  <c r="AH288" i="9" s="1"/>
  <c r="AF288" i="9"/>
  <c r="AD361" i="26"/>
  <c r="AM109" i="26"/>
  <c r="Q109" i="26" s="1"/>
  <c r="F109" i="6" s="1"/>
  <c r="Z109" i="6" s="1"/>
  <c r="AC1593" i="10"/>
  <c r="AO1593" i="10"/>
  <c r="AG1593" i="10"/>
  <c r="AD363" i="26"/>
  <c r="O363" i="26" s="1"/>
  <c r="AR1597" i="10"/>
  <c r="AA1597" i="10"/>
  <c r="K1593" i="10"/>
  <c r="AI413" i="26"/>
  <c r="AK413" i="26" s="1"/>
  <c r="AF1593" i="10"/>
  <c r="AB468" i="6"/>
  <c r="V1597" i="10"/>
  <c r="P1597" i="10"/>
  <c r="AM351" i="26"/>
  <c r="Q351" i="26" s="1"/>
  <c r="S1593" i="10"/>
  <c r="AG1597" i="10"/>
  <c r="AI533" i="26"/>
  <c r="AK533" i="26" s="1"/>
  <c r="P1593" i="10"/>
  <c r="AR1593" i="10"/>
  <c r="AM54" i="26"/>
  <c r="Q54" i="26" s="1"/>
  <c r="Y54" i="27" s="1"/>
  <c r="G54" i="27" s="1"/>
  <c r="AU54" i="26"/>
  <c r="S54" i="26" s="1"/>
  <c r="H54" i="9" s="1"/>
  <c r="AC169" i="6"/>
  <c r="AH169" i="6" s="1"/>
  <c r="AF169" i="6"/>
  <c r="AU38" i="26"/>
  <c r="S38" i="26" s="1"/>
  <c r="AM38" i="26"/>
  <c r="Q38" i="26" s="1"/>
  <c r="Y38" i="27" s="1"/>
  <c r="G38" i="27" s="1"/>
  <c r="K476" i="10"/>
  <c r="AB476" i="10"/>
  <c r="X476" i="10"/>
  <c r="AI76" i="10"/>
  <c r="AD476" i="10"/>
  <c r="P476" i="10"/>
  <c r="AK476" i="10"/>
  <c r="AY76" i="10"/>
  <c r="AV76" i="10"/>
  <c r="AX476" i="10"/>
  <c r="R76" i="10"/>
  <c r="L76" i="10"/>
  <c r="AF476" i="10"/>
  <c r="AU476" i="10"/>
  <c r="L476" i="10"/>
  <c r="AL76" i="10"/>
  <c r="AW76" i="10"/>
  <c r="V476" i="10"/>
  <c r="AN76" i="10"/>
  <c r="V76" i="10"/>
  <c r="U76" i="10"/>
  <c r="S476" i="10"/>
  <c r="AH76" i="10"/>
  <c r="O76" i="10"/>
  <c r="AM76" i="10"/>
  <c r="AJ476" i="10"/>
  <c r="AG76" i="10"/>
  <c r="AC476" i="10"/>
  <c r="Q476" i="10"/>
  <c r="AP76" i="10"/>
  <c r="R476" i="10"/>
  <c r="AO76" i="10"/>
  <c r="AN476" i="10"/>
  <c r="AH476" i="10"/>
  <c r="S76" i="10"/>
  <c r="W76" i="10"/>
  <c r="AA476" i="10"/>
  <c r="Y76" i="10"/>
  <c r="AG476" i="10"/>
  <c r="K76" i="10"/>
  <c r="AJ76" i="10"/>
  <c r="N76" i="10"/>
  <c r="AE476" i="10"/>
  <c r="AQ476" i="10"/>
  <c r="J76" i="10"/>
  <c r="AI476" i="10"/>
  <c r="T476" i="10"/>
  <c r="AS476" i="10"/>
  <c r="BD299" i="26"/>
  <c r="BF299" i="26" s="1"/>
  <c r="AN569" i="10"/>
  <c r="AH169" i="10"/>
  <c r="Y569" i="10"/>
  <c r="V569" i="10"/>
  <c r="AI169" i="10"/>
  <c r="AG569" i="10"/>
  <c r="AM169" i="10"/>
  <c r="Z569" i="10"/>
  <c r="T569" i="10"/>
  <c r="AT569" i="10"/>
  <c r="AL169" i="10"/>
  <c r="O169" i="10"/>
  <c r="U569" i="10"/>
  <c r="AS169" i="10"/>
  <c r="AJ169" i="10"/>
  <c r="AA169" i="10"/>
  <c r="AF169" i="10"/>
  <c r="S169" i="10"/>
  <c r="AV169" i="10"/>
  <c r="AE569" i="10"/>
  <c r="AF569" i="10"/>
  <c r="AQ569" i="10"/>
  <c r="T169" i="10"/>
  <c r="AT169" i="10"/>
  <c r="AP169" i="10"/>
  <c r="N169" i="10"/>
  <c r="AC169" i="10"/>
  <c r="K569" i="10"/>
  <c r="AV569" i="10"/>
  <c r="X569" i="10"/>
  <c r="AW169" i="10"/>
  <c r="AJ569" i="10"/>
  <c r="AR569" i="10"/>
  <c r="AY169" i="10"/>
  <c r="L569" i="10"/>
  <c r="AY569" i="10"/>
  <c r="M169" i="10"/>
  <c r="AO169" i="10"/>
  <c r="M569" i="10"/>
  <c r="AP569" i="10"/>
  <c r="Q569" i="10"/>
  <c r="AA569" i="10"/>
  <c r="O569" i="10"/>
  <c r="AC569" i="10"/>
  <c r="AL569" i="10"/>
  <c r="AU569" i="10"/>
  <c r="AX169" i="10"/>
  <c r="N569" i="10"/>
  <c r="AM569" i="10"/>
  <c r="Y169" i="10"/>
  <c r="U169" i="10"/>
  <c r="W169" i="10"/>
  <c r="AG169" i="10"/>
  <c r="AX569" i="10"/>
  <c r="L169" i="10"/>
  <c r="W569" i="10"/>
  <c r="AQ169" i="10"/>
  <c r="AN169" i="10"/>
  <c r="R169" i="10"/>
  <c r="AK569" i="10"/>
  <c r="AS569" i="10"/>
  <c r="S569" i="10"/>
  <c r="H143" i="27"/>
  <c r="Z143" i="27"/>
  <c r="BA189" i="10"/>
  <c r="AB569" i="10"/>
  <c r="AI569" i="10"/>
  <c r="AW569" i="10"/>
  <c r="Z169" i="10"/>
  <c r="AH569" i="10"/>
  <c r="J569" i="10"/>
  <c r="N476" i="10"/>
  <c r="AT476" i="10"/>
  <c r="AR476" i="10"/>
  <c r="P76" i="10"/>
  <c r="P678" i="10"/>
  <c r="AD678" i="10"/>
  <c r="F56" i="27"/>
  <c r="G100" i="6"/>
  <c r="G100" i="9"/>
  <c r="AZ447" i="26"/>
  <c r="BB447" i="26" s="1"/>
  <c r="BA447" i="26" s="1"/>
  <c r="BF447" i="26"/>
  <c r="AY447" i="26"/>
  <c r="S447" i="26" s="1"/>
  <c r="AE46" i="6"/>
  <c r="Z46" i="6"/>
  <c r="AG46" i="6" s="1"/>
  <c r="G149" i="10"/>
  <c r="R211" i="26"/>
  <c r="H211" i="9"/>
  <c r="AC211" i="9" s="1"/>
  <c r="H211" i="6"/>
  <c r="AC211" i="6" s="1"/>
  <c r="G207" i="9"/>
  <c r="G207" i="6"/>
  <c r="Z390" i="6"/>
  <c r="AG390" i="6" s="1"/>
  <c r="AE390" i="6"/>
  <c r="G289" i="9"/>
  <c r="G289" i="6"/>
  <c r="Y278" i="10"/>
  <c r="Q278" i="10"/>
  <c r="T278" i="10"/>
  <c r="AS678" i="10"/>
  <c r="P278" i="10"/>
  <c r="X678" i="10"/>
  <c r="AK678" i="10"/>
  <c r="U678" i="10"/>
  <c r="X278" i="10"/>
  <c r="AV678" i="10"/>
  <c r="AL278" i="10"/>
  <c r="AJ278" i="10"/>
  <c r="AI278" i="10"/>
  <c r="M278" i="10"/>
  <c r="AS278" i="10"/>
  <c r="Q678" i="10"/>
  <c r="AB678" i="10"/>
  <c r="AH678" i="10"/>
  <c r="Z678" i="10"/>
  <c r="AO678" i="10"/>
  <c r="AF278" i="10"/>
  <c r="AA278" i="10"/>
  <c r="K678" i="10"/>
  <c r="AY678" i="10"/>
  <c r="AN678" i="10"/>
  <c r="AV278" i="10"/>
  <c r="AE278" i="10"/>
  <c r="AW278" i="10"/>
  <c r="AH278" i="10"/>
  <c r="N278" i="10"/>
  <c r="AO278" i="10"/>
  <c r="AP678" i="10"/>
  <c r="BD189" i="26"/>
  <c r="F189" i="27"/>
  <c r="BD13" i="26"/>
  <c r="BF13" i="26" s="1"/>
  <c r="J169" i="10"/>
  <c r="AO569" i="10"/>
  <c r="X169" i="10"/>
  <c r="AD169" i="10"/>
  <c r="K169" i="10"/>
  <c r="Y476" i="10"/>
  <c r="AE76" i="10"/>
  <c r="AM476" i="10"/>
  <c r="AQ76" i="10"/>
  <c r="T678" i="10"/>
  <c r="Z278" i="10"/>
  <c r="W87" i="27"/>
  <c r="E87" i="27" s="1"/>
  <c r="F87" i="10"/>
  <c r="AT487" i="10" s="1"/>
  <c r="AU80" i="26"/>
  <c r="S80" i="26" s="1"/>
  <c r="AM80" i="26"/>
  <c r="Q80" i="26" s="1"/>
  <c r="W268" i="27"/>
  <c r="E268" i="27" s="1"/>
  <c r="F268" i="10"/>
  <c r="AB668" i="10" s="1"/>
  <c r="BB12" i="7"/>
  <c r="BC12" i="7" s="1"/>
  <c r="P569" i="10"/>
  <c r="AK169" i="10"/>
  <c r="AE169" i="10"/>
  <c r="AB169" i="10"/>
  <c r="AD569" i="10"/>
  <c r="G299" i="10"/>
  <c r="AF76" i="10"/>
  <c r="AS76" i="10"/>
  <c r="AL476" i="10"/>
  <c r="AG278" i="10"/>
  <c r="AX278" i="10"/>
  <c r="W263" i="27"/>
  <c r="E263" i="27" s="1"/>
  <c r="F263" i="10"/>
  <c r="Q663" i="10" s="1"/>
  <c r="G98" i="10"/>
  <c r="BD98" i="26"/>
  <c r="AD1523" i="10"/>
  <c r="AD1593" i="10" s="1"/>
  <c r="Y393" i="7"/>
  <c r="AC421" i="26"/>
  <c r="G137" i="10"/>
  <c r="BD137" i="26"/>
  <c r="N549" i="10"/>
  <c r="AL549" i="10"/>
  <c r="AN149" i="10"/>
  <c r="S549" i="10"/>
  <c r="P149" i="10"/>
  <c r="AI149" i="10"/>
  <c r="AF149" i="10"/>
  <c r="AA149" i="10"/>
  <c r="V149" i="10"/>
  <c r="AJ149" i="10"/>
  <c r="AH549" i="10"/>
  <c r="AX149" i="10"/>
  <c r="Z149" i="10"/>
  <c r="AG549" i="10"/>
  <c r="AR149" i="10"/>
  <c r="AH149" i="10"/>
  <c r="AN549" i="10"/>
  <c r="AP149" i="10"/>
  <c r="Y549" i="10"/>
  <c r="AK549" i="10"/>
  <c r="L549" i="10"/>
  <c r="AS149" i="10"/>
  <c r="J149" i="10"/>
  <c r="AJ549" i="10"/>
  <c r="X149" i="10"/>
  <c r="AB149" i="10"/>
  <c r="T549" i="10"/>
  <c r="L149" i="10"/>
  <c r="N149" i="10"/>
  <c r="AD549" i="10"/>
  <c r="AK149" i="10"/>
  <c r="Z549" i="10"/>
  <c r="AX549" i="10"/>
  <c r="U149" i="10"/>
  <c r="AB549" i="10"/>
  <c r="U549" i="10"/>
  <c r="J549" i="10"/>
  <c r="O149" i="10"/>
  <c r="T149" i="10"/>
  <c r="AM149" i="10"/>
  <c r="AA549" i="10"/>
  <c r="AV149" i="10"/>
  <c r="AO149" i="10"/>
  <c r="Q149" i="10"/>
  <c r="AE549" i="10"/>
  <c r="AY549" i="10"/>
  <c r="X549" i="10"/>
  <c r="AQ549" i="10"/>
  <c r="AT549" i="10"/>
  <c r="AU549" i="10"/>
  <c r="Q549" i="10"/>
  <c r="AV549" i="10"/>
  <c r="V549" i="10"/>
  <c r="AD149" i="10"/>
  <c r="K549" i="10"/>
  <c r="AP549" i="10"/>
  <c r="AS549" i="10"/>
  <c r="AM549" i="10"/>
  <c r="AQ149" i="10"/>
  <c r="AI549" i="10"/>
  <c r="AC549" i="10"/>
  <c r="Y149" i="10"/>
  <c r="R549" i="10"/>
  <c r="O549" i="10"/>
  <c r="AE149" i="10"/>
  <c r="AF549" i="10"/>
  <c r="AG149" i="10"/>
  <c r="P549" i="10"/>
  <c r="K149" i="10"/>
  <c r="W549" i="10"/>
  <c r="M549" i="10"/>
  <c r="W149" i="10"/>
  <c r="S149" i="10"/>
  <c r="AW549" i="10"/>
  <c r="AC149" i="10"/>
  <c r="AW149" i="10"/>
  <c r="AT149" i="10"/>
  <c r="M149" i="10"/>
  <c r="AL149" i="10"/>
  <c r="AY149" i="10"/>
  <c r="R149" i="10"/>
  <c r="AR549" i="10"/>
  <c r="AO549" i="10"/>
  <c r="N87" i="26"/>
  <c r="BD87" i="26" s="1"/>
  <c r="AD349" i="26"/>
  <c r="O349" i="26" s="1"/>
  <c r="F349" i="10" s="1"/>
  <c r="L349" i="10" s="1"/>
  <c r="AC433" i="26"/>
  <c r="AZ433" i="26" s="1"/>
  <c r="BB433" i="26" s="1"/>
  <c r="BA433" i="26" s="1"/>
  <c r="E393" i="7"/>
  <c r="AD109" i="26"/>
  <c r="O109" i="26" s="1"/>
  <c r="W109" i="27" s="1"/>
  <c r="E109" i="27" s="1"/>
  <c r="AI431" i="26"/>
  <c r="AK431" i="26" s="1"/>
  <c r="AI432" i="26"/>
  <c r="AK432" i="26" s="1"/>
  <c r="BD67" i="26"/>
  <c r="G67" i="10"/>
  <c r="T20" i="10"/>
  <c r="AQ20" i="10"/>
  <c r="AY420" i="10"/>
  <c r="AG20" i="10"/>
  <c r="S420" i="10"/>
  <c r="P20" i="10"/>
  <c r="AY20" i="10"/>
  <c r="AX20" i="10"/>
  <c r="AI20" i="10"/>
  <c r="AW20" i="10"/>
  <c r="O420" i="10"/>
  <c r="AQ420" i="10"/>
  <c r="W20" i="10"/>
  <c r="K20" i="10"/>
  <c r="K420" i="10"/>
  <c r="AF420" i="10"/>
  <c r="N420" i="10"/>
  <c r="AB420" i="10"/>
  <c r="AX420" i="10"/>
  <c r="M20" i="10"/>
  <c r="AE20" i="10"/>
  <c r="Y20" i="10"/>
  <c r="AO20" i="10"/>
  <c r="AN20" i="10"/>
  <c r="U20" i="10"/>
  <c r="AR420" i="10"/>
  <c r="W420" i="10"/>
  <c r="J420" i="10"/>
  <c r="AK420" i="10"/>
  <c r="Q20" i="10"/>
  <c r="AE420" i="10"/>
  <c r="AJ420" i="10"/>
  <c r="AD420" i="10"/>
  <c r="AP420" i="10"/>
  <c r="AF20" i="10"/>
  <c r="O20" i="10"/>
  <c r="AS420" i="10"/>
  <c r="X20" i="10"/>
  <c r="AK20" i="10"/>
  <c r="AM420" i="10"/>
  <c r="AL20" i="10"/>
  <c r="R420" i="10"/>
  <c r="Y420" i="10"/>
  <c r="N20" i="10"/>
  <c r="AT420" i="10"/>
  <c r="L420" i="10"/>
  <c r="AN420" i="10"/>
  <c r="AG420" i="10"/>
  <c r="AA20" i="10"/>
  <c r="AL420" i="10"/>
  <c r="AH20" i="10"/>
  <c r="S20" i="10"/>
  <c r="Z420" i="10"/>
  <c r="AO420" i="10"/>
  <c r="AT20" i="10"/>
  <c r="L20" i="10"/>
  <c r="AD20" i="10"/>
  <c r="U420" i="10"/>
  <c r="AM20" i="10"/>
  <c r="AR20" i="10"/>
  <c r="Q420" i="10"/>
  <c r="AS20" i="10"/>
  <c r="AP20" i="10"/>
  <c r="AW420" i="10"/>
  <c r="P420" i="10"/>
  <c r="T420" i="10"/>
  <c r="AJ20" i="10"/>
  <c r="M420" i="10"/>
  <c r="R20" i="10"/>
  <c r="X420" i="10"/>
  <c r="J20" i="10"/>
  <c r="AB20" i="10"/>
  <c r="AC20" i="10"/>
  <c r="Z20" i="10"/>
  <c r="AV420" i="10"/>
  <c r="V420" i="10"/>
  <c r="V20" i="10"/>
  <c r="AI420" i="10"/>
  <c r="AV20" i="10"/>
  <c r="AU420" i="10"/>
  <c r="AH420" i="10"/>
  <c r="AA420" i="10"/>
  <c r="AC420" i="10"/>
  <c r="AM337" i="26"/>
  <c r="Q337" i="26" s="1"/>
  <c r="AD162" i="26"/>
  <c r="O162" i="26" s="1"/>
  <c r="N162" i="26" s="1"/>
  <c r="BF67" i="26"/>
  <c r="AM389" i="26"/>
  <c r="Q389" i="26" s="1"/>
  <c r="Y389" i="27" s="1"/>
  <c r="G389" i="27" s="1"/>
  <c r="AM150" i="26"/>
  <c r="Q150" i="26" s="1"/>
  <c r="Y150" i="27" s="1"/>
  <c r="G150" i="27" s="1"/>
  <c r="AI415" i="26"/>
  <c r="AK415" i="26" s="1"/>
  <c r="AW98" i="10"/>
  <c r="AB498" i="10"/>
  <c r="U498" i="10"/>
  <c r="AX498" i="10"/>
  <c r="R498" i="10"/>
  <c r="AD498" i="10"/>
  <c r="AT498" i="10"/>
  <c r="X98" i="10"/>
  <c r="M498" i="10"/>
  <c r="AA498" i="10"/>
  <c r="AP98" i="10"/>
  <c r="T98" i="10"/>
  <c r="AC98" i="10"/>
  <c r="AF98" i="10"/>
  <c r="AQ498" i="10"/>
  <c r="AQ98" i="10"/>
  <c r="J498" i="10"/>
  <c r="AY98" i="10"/>
  <c r="AN498" i="10"/>
  <c r="AB98" i="10"/>
  <c r="AG98" i="10"/>
  <c r="AY498" i="10"/>
  <c r="AI498" i="10"/>
  <c r="AI98" i="10"/>
  <c r="Y498" i="10"/>
  <c r="AD98" i="10"/>
  <c r="K98" i="10"/>
  <c r="AO98" i="10"/>
  <c r="X498" i="10"/>
  <c r="V98" i="10"/>
  <c r="AX98" i="10"/>
  <c r="AU498" i="10"/>
  <c r="AH98" i="10"/>
  <c r="AR98" i="10"/>
  <c r="K498" i="10"/>
  <c r="AT98" i="10"/>
  <c r="Q498" i="10"/>
  <c r="M98" i="10"/>
  <c r="S498" i="10"/>
  <c r="Z98" i="10"/>
  <c r="AA98" i="10"/>
  <c r="W98" i="10"/>
  <c r="V498" i="10"/>
  <c r="T498" i="10"/>
  <c r="AV98" i="10"/>
  <c r="L498" i="10"/>
  <c r="AP498" i="10"/>
  <c r="AK98" i="10"/>
  <c r="Y98" i="10"/>
  <c r="W498" i="10"/>
  <c r="AC498" i="10"/>
  <c r="AS98" i="10"/>
  <c r="AM98" i="10"/>
  <c r="AL98" i="10"/>
  <c r="AW498" i="10"/>
  <c r="S98" i="10"/>
  <c r="AO498" i="10"/>
  <c r="AJ498" i="10"/>
  <c r="P98" i="10"/>
  <c r="AM498" i="10"/>
  <c r="AK498" i="10"/>
  <c r="AL498" i="10"/>
  <c r="AH498" i="10"/>
  <c r="AV498" i="10"/>
  <c r="AE498" i="10"/>
  <c r="AF498" i="10"/>
  <c r="AE98" i="10"/>
  <c r="AN98" i="10"/>
  <c r="AG498" i="10"/>
  <c r="N498" i="10"/>
  <c r="R98" i="10"/>
  <c r="O498" i="10"/>
  <c r="P498" i="10"/>
  <c r="AR498" i="10"/>
  <c r="O98" i="10"/>
  <c r="L98" i="10"/>
  <c r="J98" i="10"/>
  <c r="N98" i="10"/>
  <c r="Q98" i="10"/>
  <c r="AJ98" i="10"/>
  <c r="Z498" i="10"/>
  <c r="AS498" i="10"/>
  <c r="U98" i="10"/>
  <c r="AD146" i="26"/>
  <c r="O146" i="26" s="1"/>
  <c r="AC345" i="6"/>
  <c r="AH345" i="6" s="1"/>
  <c r="AF345" i="6"/>
  <c r="AM275" i="26"/>
  <c r="Q275" i="26" s="1"/>
  <c r="P275" i="26" s="1"/>
  <c r="X275" i="27" s="1"/>
  <c r="AB275" i="27" s="1"/>
  <c r="AC523" i="26"/>
  <c r="AL523" i="26" s="1"/>
  <c r="AU523" i="26" s="1"/>
  <c r="I100" i="6"/>
  <c r="G353" i="6"/>
  <c r="I124" i="6"/>
  <c r="R295" i="26"/>
  <c r="I295" i="9" s="1"/>
  <c r="I53" i="9"/>
  <c r="I177" i="9"/>
  <c r="Z143" i="6"/>
  <c r="AG143" i="6" s="1"/>
  <c r="AY418" i="26"/>
  <c r="I40" i="9"/>
  <c r="AI528" i="26"/>
  <c r="AK528" i="26" s="1"/>
  <c r="AC177" i="6"/>
  <c r="AH177" i="6" s="1"/>
  <c r="R351" i="26"/>
  <c r="I351" i="9" s="1"/>
  <c r="H351" i="6"/>
  <c r="AC351" i="6" s="1"/>
  <c r="AW446" i="10"/>
  <c r="AS446" i="10"/>
  <c r="AR46" i="10"/>
  <c r="AE446" i="10"/>
  <c r="V46" i="10"/>
  <c r="W446" i="10"/>
  <c r="X46" i="10"/>
  <c r="AK446" i="10"/>
  <c r="Y46" i="10"/>
  <c r="AL446" i="10"/>
  <c r="AB46" i="10"/>
  <c r="M46" i="10"/>
  <c r="AB446" i="10"/>
  <c r="AG446" i="10"/>
  <c r="AV46" i="10"/>
  <c r="W46" i="10"/>
  <c r="O446" i="10"/>
  <c r="AT46" i="10"/>
  <c r="N46" i="10"/>
  <c r="AM46" i="10"/>
  <c r="AI446" i="10"/>
  <c r="AC446" i="10"/>
  <c r="T46" i="10"/>
  <c r="AL46" i="10"/>
  <c r="AQ46" i="10"/>
  <c r="AI46" i="10"/>
  <c r="AN446" i="10"/>
  <c r="AM446" i="10"/>
  <c r="R446" i="10"/>
  <c r="AK46" i="10"/>
  <c r="K446" i="10"/>
  <c r="AR446" i="10"/>
  <c r="P446" i="10"/>
  <c r="AY46" i="10"/>
  <c r="S46" i="10"/>
  <c r="AO446" i="10"/>
  <c r="Z46" i="10"/>
  <c r="AY446" i="10"/>
  <c r="AF46" i="10"/>
  <c r="L446" i="10"/>
  <c r="AA46" i="10"/>
  <c r="AD46" i="10"/>
  <c r="AC169" i="9"/>
  <c r="AH169" i="9" s="1"/>
  <c r="AF169" i="9"/>
  <c r="I366" i="9"/>
  <c r="I366" i="6"/>
  <c r="AI536" i="26"/>
  <c r="AK536" i="26" s="1"/>
  <c r="N352" i="26"/>
  <c r="V352" i="27" s="1"/>
  <c r="G75" i="6"/>
  <c r="G75" i="9"/>
  <c r="Z144" i="6"/>
  <c r="AG144" i="6" s="1"/>
  <c r="AE144" i="6"/>
  <c r="BE144" i="26"/>
  <c r="G144" i="9"/>
  <c r="G390" i="9"/>
  <c r="G390" i="6"/>
  <c r="AD423" i="26"/>
  <c r="AE423" i="26"/>
  <c r="AC423" i="26"/>
  <c r="BD45" i="26"/>
  <c r="AI256" i="10"/>
  <c r="AO256" i="10"/>
  <c r="AQ656" i="10"/>
  <c r="AW656" i="10"/>
  <c r="P656" i="10"/>
  <c r="K656" i="10"/>
  <c r="AM656" i="10"/>
  <c r="AF656" i="10"/>
  <c r="AS256" i="10"/>
  <c r="AE656" i="10"/>
  <c r="AS656" i="10"/>
  <c r="AY656" i="10"/>
  <c r="AJ656" i="10"/>
  <c r="AH46" i="10"/>
  <c r="AD446" i="10"/>
  <c r="Z446" i="10"/>
  <c r="N446" i="10"/>
  <c r="AE46" i="10"/>
  <c r="AG46" i="10"/>
  <c r="AN46" i="10"/>
  <c r="AP46" i="10"/>
  <c r="J46" i="10"/>
  <c r="V446" i="10"/>
  <c r="U324" i="10"/>
  <c r="N324" i="10"/>
  <c r="P724" i="10"/>
  <c r="AO724" i="10"/>
  <c r="J324" i="10"/>
  <c r="R324" i="10"/>
  <c r="AT724" i="10"/>
  <c r="AS324" i="10"/>
  <c r="T324" i="10"/>
  <c r="AB324" i="10"/>
  <c r="AW689" i="10"/>
  <c r="X689" i="10"/>
  <c r="AA289" i="10"/>
  <c r="AP689" i="10"/>
  <c r="AO689" i="10"/>
  <c r="M289" i="10"/>
  <c r="L289" i="10"/>
  <c r="AE689" i="10"/>
  <c r="P689" i="10"/>
  <c r="BD33" i="26"/>
  <c r="AA242" i="10"/>
  <c r="AG242" i="10"/>
  <c r="AH642" i="10"/>
  <c r="S242" i="10"/>
  <c r="AC642" i="10"/>
  <c r="AG642" i="10"/>
  <c r="N242" i="10"/>
  <c r="AE642" i="10"/>
  <c r="G144" i="6"/>
  <c r="AY452" i="26"/>
  <c r="S452" i="26" s="1"/>
  <c r="W289" i="10"/>
  <c r="O689" i="10"/>
  <c r="AY289" i="10"/>
  <c r="M689" i="10"/>
  <c r="AG289" i="10"/>
  <c r="T689" i="10"/>
  <c r="AT289" i="10"/>
  <c r="T289" i="10"/>
  <c r="AU689" i="10"/>
  <c r="U289" i="10"/>
  <c r="AV689" i="10"/>
  <c r="AV289" i="10"/>
  <c r="L689" i="10"/>
  <c r="AA689" i="10"/>
  <c r="V289" i="10"/>
  <c r="U689" i="10"/>
  <c r="AC689" i="10"/>
  <c r="V689" i="10"/>
  <c r="AY689" i="10"/>
  <c r="Z689" i="10"/>
  <c r="R289" i="10"/>
  <c r="AR289" i="10"/>
  <c r="X289" i="10"/>
  <c r="AT689" i="10"/>
  <c r="Y289" i="10"/>
  <c r="AX689" i="10"/>
  <c r="AI689" i="10"/>
  <c r="J689" i="10"/>
  <c r="AC289" i="10"/>
  <c r="AS689" i="10"/>
  <c r="AD289" i="10"/>
  <c r="N689" i="10"/>
  <c r="Q689" i="10"/>
  <c r="AF289" i="10"/>
  <c r="R689" i="10"/>
  <c r="AJ689" i="10"/>
  <c r="AQ689" i="10"/>
  <c r="AL289" i="10"/>
  <c r="Z289" i="10"/>
  <c r="AI289" i="10"/>
  <c r="AD689" i="10"/>
  <c r="W689" i="10"/>
  <c r="K324" i="10"/>
  <c r="AQ324" i="10"/>
  <c r="N724" i="10"/>
  <c r="AC724" i="10"/>
  <c r="AL324" i="10"/>
  <c r="M724" i="10"/>
  <c r="P324" i="10"/>
  <c r="AI324" i="10"/>
  <c r="X324" i="10"/>
  <c r="AS724" i="10"/>
  <c r="AX724" i="10"/>
  <c r="AV324" i="10"/>
  <c r="O324" i="10"/>
  <c r="AD724" i="10"/>
  <c r="AJ324" i="10"/>
  <c r="AH324" i="10"/>
  <c r="M324" i="10"/>
  <c r="R724" i="10"/>
  <c r="AM724" i="10"/>
  <c r="AN324" i="10"/>
  <c r="AL724" i="10"/>
  <c r="AP324" i="10"/>
  <c r="AR724" i="10"/>
  <c r="AX324" i="10"/>
  <c r="S724" i="10"/>
  <c r="AQ724" i="10"/>
  <c r="U724" i="10"/>
  <c r="V324" i="10"/>
  <c r="AE324" i="10"/>
  <c r="AB724" i="10"/>
  <c r="AO324" i="10"/>
  <c r="AI724" i="10"/>
  <c r="AF724" i="10"/>
  <c r="AG324" i="10"/>
  <c r="Y724" i="10"/>
  <c r="AH724" i="10"/>
  <c r="AJ724" i="10"/>
  <c r="J724" i="10"/>
  <c r="X724" i="10"/>
  <c r="Z324" i="10"/>
  <c r="AP724" i="10"/>
  <c r="AG724" i="10"/>
  <c r="AC20" i="6"/>
  <c r="AH20" i="6" s="1"/>
  <c r="AF20" i="6"/>
  <c r="N121" i="26"/>
  <c r="F121" i="10"/>
  <c r="T521" i="10" s="1"/>
  <c r="W121" i="27"/>
  <c r="E121" i="27" s="1"/>
  <c r="BD390" i="26"/>
  <c r="BF390" i="26" s="1"/>
  <c r="G390" i="10"/>
  <c r="N301" i="26"/>
  <c r="BD301" i="26" s="1"/>
  <c r="BF301" i="26" s="1"/>
  <c r="F301" i="10"/>
  <c r="AY301" i="10" s="1"/>
  <c r="S559" i="10"/>
  <c r="AL559" i="10"/>
  <c r="AK642" i="10"/>
  <c r="Y642" i="10"/>
  <c r="AQ642" i="10"/>
  <c r="W242" i="10"/>
  <c r="L642" i="10"/>
  <c r="AB242" i="10"/>
  <c r="AI242" i="10"/>
  <c r="AJ242" i="10"/>
  <c r="AX242" i="10"/>
  <c r="AQ242" i="10"/>
  <c r="AN242" i="10"/>
  <c r="AR242" i="10"/>
  <c r="AY242" i="10"/>
  <c r="AB642" i="10"/>
  <c r="AO242" i="10"/>
  <c r="AF242" i="10"/>
  <c r="AP642" i="10"/>
  <c r="AU642" i="10"/>
  <c r="AM242" i="10"/>
  <c r="O642" i="10"/>
  <c r="M642" i="10"/>
  <c r="Q642" i="10"/>
  <c r="AF642" i="10"/>
  <c r="AI642" i="10"/>
  <c r="AT242" i="10"/>
  <c r="AV642" i="10"/>
  <c r="AW642" i="10"/>
  <c r="AN642" i="10"/>
  <c r="AS642" i="10"/>
  <c r="R642" i="10"/>
  <c r="W642" i="10"/>
  <c r="U642" i="10"/>
  <c r="Y242" i="10"/>
  <c r="AA642" i="10"/>
  <c r="AK242" i="10"/>
  <c r="AY642" i="10"/>
  <c r="AC242" i="10"/>
  <c r="O242" i="10"/>
  <c r="AL242" i="10"/>
  <c r="V642" i="10"/>
  <c r="AM642" i="10"/>
  <c r="AR642" i="10"/>
  <c r="Z642" i="10"/>
  <c r="AX642" i="10"/>
  <c r="T242" i="10"/>
  <c r="V242" i="10"/>
  <c r="BA137" i="10"/>
  <c r="BE40" i="26"/>
  <c r="BF40" i="26" s="1"/>
  <c r="G40" i="6"/>
  <c r="Z324" i="6"/>
  <c r="AG324" i="6" s="1"/>
  <c r="AE324" i="6"/>
  <c r="AT256" i="10"/>
  <c r="Y256" i="10"/>
  <c r="AC256" i="10"/>
  <c r="AP656" i="10"/>
  <c r="Z256" i="10"/>
  <c r="U256" i="10"/>
  <c r="AB256" i="10"/>
  <c r="AV656" i="10"/>
  <c r="AK256" i="10"/>
  <c r="K256" i="10"/>
  <c r="AB656" i="10"/>
  <c r="X256" i="10"/>
  <c r="AR256" i="10"/>
  <c r="W656" i="10"/>
  <c r="U656" i="10"/>
  <c r="AX656" i="10"/>
  <c r="AT656" i="10"/>
  <c r="T256" i="10"/>
  <c r="J256" i="10"/>
  <c r="J656" i="10"/>
  <c r="AE256" i="10"/>
  <c r="AA256" i="10"/>
  <c r="AX256" i="10"/>
  <c r="AF256" i="10"/>
  <c r="AN656" i="10"/>
  <c r="AV256" i="10"/>
  <c r="AG656" i="10"/>
  <c r="AC656" i="10"/>
  <c r="AR656" i="10"/>
  <c r="AL656" i="10"/>
  <c r="P256" i="10"/>
  <c r="O656" i="10"/>
  <c r="AD256" i="10"/>
  <c r="AK656" i="10"/>
  <c r="AL256" i="10"/>
  <c r="AO656" i="10"/>
  <c r="R656" i="10"/>
  <c r="Q256" i="10"/>
  <c r="W256" i="10"/>
  <c r="AU656" i="10"/>
  <c r="AS46" i="10"/>
  <c r="AX46" i="10"/>
  <c r="U46" i="10"/>
  <c r="R46" i="10"/>
  <c r="AP446" i="10"/>
  <c r="Y446" i="10"/>
  <c r="AF446" i="10"/>
  <c r="AO46" i="10"/>
  <c r="L46" i="10"/>
  <c r="Q446" i="10"/>
  <c r="W324" i="10"/>
  <c r="K724" i="10"/>
  <c r="AM324" i="10"/>
  <c r="AE724" i="10"/>
  <c r="AT324" i="10"/>
  <c r="W724" i="10"/>
  <c r="AU724" i="10"/>
  <c r="Q324" i="10"/>
  <c r="AA724" i="10"/>
  <c r="AC324" i="10"/>
  <c r="N289" i="10"/>
  <c r="K289" i="10"/>
  <c r="AX289" i="10"/>
  <c r="K689" i="10"/>
  <c r="AR689" i="10"/>
  <c r="AE289" i="10"/>
  <c r="AS289" i="10"/>
  <c r="S289" i="10"/>
  <c r="AN289" i="10"/>
  <c r="AM289" i="10"/>
  <c r="Z169" i="6"/>
  <c r="AG169" i="6" s="1"/>
  <c r="H50" i="9"/>
  <c r="BB137" i="10"/>
  <c r="BC137" i="10" s="1"/>
  <c r="S642" i="10"/>
  <c r="AV242" i="10"/>
  <c r="K242" i="10"/>
  <c r="AH242" i="10"/>
  <c r="AL642" i="10"/>
  <c r="AS242" i="10"/>
  <c r="AD642" i="10"/>
  <c r="X642" i="10"/>
  <c r="AJ642" i="10"/>
  <c r="AD242" i="10"/>
  <c r="AW559" i="10"/>
  <c r="R37" i="26"/>
  <c r="H37" i="9"/>
  <c r="H37" i="6"/>
  <c r="BF487" i="26"/>
  <c r="AY487" i="26"/>
  <c r="S487" i="26" s="1"/>
  <c r="Z669" i="10"/>
  <c r="AD269" i="10"/>
  <c r="M669" i="10"/>
  <c r="R269" i="10"/>
  <c r="N669" i="10"/>
  <c r="AS669" i="10"/>
  <c r="P669" i="10"/>
  <c r="AW669" i="10"/>
  <c r="AY669" i="10"/>
  <c r="AT269" i="10"/>
  <c r="AW269" i="10"/>
  <c r="AA669" i="10"/>
  <c r="AQ269" i="10"/>
  <c r="AG669" i="10"/>
  <c r="Y269" i="10"/>
  <c r="L269" i="10"/>
  <c r="AO269" i="10"/>
  <c r="AP669" i="10"/>
  <c r="W669" i="10"/>
  <c r="AT669" i="10"/>
  <c r="AB669" i="10"/>
  <c r="R669" i="10"/>
  <c r="T669" i="10"/>
  <c r="AA269" i="10"/>
  <c r="W269" i="10"/>
  <c r="T269" i="10"/>
  <c r="AO669" i="10"/>
  <c r="V669" i="10"/>
  <c r="AK269" i="10"/>
  <c r="AQ669" i="10"/>
  <c r="AH669" i="10"/>
  <c r="AL669" i="10"/>
  <c r="AG269" i="10"/>
  <c r="M269" i="10"/>
  <c r="AJ269" i="10"/>
  <c r="AI269" i="10"/>
  <c r="P269" i="10"/>
  <c r="AB269" i="10"/>
  <c r="Y669" i="10"/>
  <c r="N269" i="10"/>
  <c r="AD669" i="10"/>
  <c r="AV269" i="10"/>
  <c r="AH269" i="10"/>
  <c r="AR678" i="10"/>
  <c r="AW678" i="10"/>
  <c r="AJ678" i="10"/>
  <c r="AM678" i="10"/>
  <c r="AB278" i="10"/>
  <c r="AL678" i="10"/>
  <c r="AQ678" i="10"/>
  <c r="U278" i="10"/>
  <c r="K278" i="10"/>
  <c r="S278" i="10"/>
  <c r="J678" i="10"/>
  <c r="S678" i="10"/>
  <c r="AU678" i="10"/>
  <c r="R678" i="10"/>
  <c r="AT678" i="10"/>
  <c r="W278" i="10"/>
  <c r="O678" i="10"/>
  <c r="AC278" i="10"/>
  <c r="AD278" i="10"/>
  <c r="W678" i="10"/>
  <c r="R278" i="10"/>
  <c r="AA678" i="10"/>
  <c r="AG678" i="10"/>
  <c r="AR278" i="10"/>
  <c r="J278" i="10"/>
  <c r="AP278" i="10"/>
  <c r="V678" i="10"/>
  <c r="AQ278" i="10"/>
  <c r="AM278" i="10"/>
  <c r="AX678" i="10"/>
  <c r="N678" i="10"/>
  <c r="AN278" i="10"/>
  <c r="L278" i="10"/>
  <c r="AY278" i="10"/>
  <c r="AF678" i="10"/>
  <c r="V278" i="10"/>
  <c r="Y678" i="10"/>
  <c r="AC678" i="10"/>
  <c r="AT278" i="10"/>
  <c r="AK278" i="10"/>
  <c r="O278" i="10"/>
  <c r="P273" i="10"/>
  <c r="AM273" i="10"/>
  <c r="AW673" i="10"/>
  <c r="AS273" i="10"/>
  <c r="AO673" i="10"/>
  <c r="AU673" i="10"/>
  <c r="AI673" i="10"/>
  <c r="AK273" i="10"/>
  <c r="AB673" i="10"/>
  <c r="Q273" i="10"/>
  <c r="J273" i="10"/>
  <c r="Z673" i="10"/>
  <c r="P673" i="10"/>
  <c r="AJ273" i="10"/>
  <c r="K545" i="10"/>
  <c r="AG545" i="10"/>
  <c r="K145" i="10"/>
  <c r="AT145" i="10"/>
  <c r="AR145" i="10"/>
  <c r="Z545" i="10"/>
  <c r="AX145" i="10"/>
  <c r="AN545" i="10"/>
  <c r="AK545" i="10"/>
  <c r="AS145" i="10"/>
  <c r="AF545" i="10"/>
  <c r="AA545" i="10"/>
  <c r="AE145" i="10"/>
  <c r="AW145" i="10"/>
  <c r="AG145" i="10"/>
  <c r="AL145" i="10"/>
  <c r="AE523" i="26"/>
  <c r="AG479" i="26"/>
  <c r="AZ479" i="26"/>
  <c r="BB479" i="26" s="1"/>
  <c r="BA479" i="26" s="1"/>
  <c r="BE126" i="26"/>
  <c r="BF126" i="26" s="1"/>
  <c r="I328" i="9"/>
  <c r="G353" i="9"/>
  <c r="I44" i="9"/>
  <c r="AC189" i="9"/>
  <c r="AH189" i="9" s="1"/>
  <c r="H321" i="9"/>
  <c r="AC321" i="9" s="1"/>
  <c r="AL418" i="26"/>
  <c r="G126" i="6"/>
  <c r="H328" i="6"/>
  <c r="AI538" i="26"/>
  <c r="AK538" i="26" s="1"/>
  <c r="AI523" i="26"/>
  <c r="AK523" i="26" s="1"/>
  <c r="AI529" i="26"/>
  <c r="AK529" i="26" s="1"/>
  <c r="AI527" i="26"/>
  <c r="AK527" i="26" s="1"/>
  <c r="AC209" i="6"/>
  <c r="AM193" i="26"/>
  <c r="Q193" i="26" s="1"/>
  <c r="F193" i="9" s="1"/>
  <c r="Z193" i="9" s="1"/>
  <c r="AA193" i="9" s="1"/>
  <c r="AD232" i="26"/>
  <c r="R321" i="26"/>
  <c r="I321" i="6" s="1"/>
  <c r="N108" i="26"/>
  <c r="R746" i="10"/>
  <c r="T746" i="10"/>
  <c r="AQ746" i="10"/>
  <c r="AG746" i="10"/>
  <c r="S746" i="10"/>
  <c r="AK346" i="10"/>
  <c r="X746" i="10"/>
  <c r="U746" i="10"/>
  <c r="AY746" i="10"/>
  <c r="Z346" i="10"/>
  <c r="AV746" i="10"/>
  <c r="U346" i="10"/>
  <c r="K346" i="10"/>
  <c r="AC346" i="10"/>
  <c r="AD346" i="10"/>
  <c r="X346" i="10"/>
  <c r="AJ346" i="10"/>
  <c r="AN746" i="10"/>
  <c r="P346" i="10"/>
  <c r="W346" i="10"/>
  <c r="K746" i="10"/>
  <c r="AA719" i="10"/>
  <c r="AN319" i="10"/>
  <c r="AN719" i="10"/>
  <c r="AK719" i="10"/>
  <c r="AF319" i="10"/>
  <c r="AI719" i="10"/>
  <c r="AB319" i="10"/>
  <c r="L719" i="10"/>
  <c r="S319" i="10"/>
  <c r="AT719" i="10"/>
  <c r="H328" i="9"/>
  <c r="H24" i="6"/>
  <c r="G46" i="6"/>
  <c r="BE289" i="26"/>
  <c r="BF289" i="26" s="1"/>
  <c r="AM328" i="26"/>
  <c r="Q328" i="26" s="1"/>
  <c r="AM320" i="26"/>
  <c r="Q320" i="26" s="1"/>
  <c r="AK319" i="10"/>
  <c r="R719" i="10"/>
  <c r="AG719" i="10"/>
  <c r="AL719" i="10"/>
  <c r="AS719" i="10"/>
  <c r="R319" i="10"/>
  <c r="AO719" i="10"/>
  <c r="X719" i="10"/>
  <c r="Y319" i="10"/>
  <c r="AG319" i="10"/>
  <c r="AM319" i="10"/>
  <c r="H24" i="9"/>
  <c r="G46" i="9"/>
  <c r="G12" i="6"/>
  <c r="AO248" i="26"/>
  <c r="BE12" i="26"/>
  <c r="BF12" i="26" s="1"/>
  <c r="M664" i="10"/>
  <c r="O264" i="10"/>
  <c r="AB264" i="10"/>
  <c r="K664" i="10"/>
  <c r="T264" i="10"/>
  <c r="AO664" i="10"/>
  <c r="AA664" i="10"/>
  <c r="AC664" i="10"/>
  <c r="AF264" i="10"/>
  <c r="P264" i="10"/>
  <c r="AL264" i="10"/>
  <c r="AI264" i="10"/>
  <c r="X264" i="10"/>
  <c r="AO264" i="10"/>
  <c r="X664" i="10"/>
  <c r="W664" i="10"/>
  <c r="L264" i="10"/>
  <c r="K264" i="10"/>
  <c r="AV664" i="10"/>
  <c r="O664" i="10"/>
  <c r="P664" i="10"/>
  <c r="AK664" i="10"/>
  <c r="AQ264" i="10"/>
  <c r="AH264" i="10"/>
  <c r="V264" i="10"/>
  <c r="AS664" i="10"/>
  <c r="AA264" i="10"/>
  <c r="U664" i="10"/>
  <c r="AD264" i="10"/>
  <c r="Y264" i="10"/>
  <c r="W264" i="10"/>
  <c r="AL664" i="10"/>
  <c r="AT264" i="10"/>
  <c r="M264" i="10"/>
  <c r="AY664" i="10"/>
  <c r="AW264" i="10"/>
  <c r="T664" i="10"/>
  <c r="AJ664" i="10"/>
  <c r="Z264" i="10"/>
  <c r="AP264" i="10"/>
  <c r="AB664" i="10"/>
  <c r="AG264" i="10"/>
  <c r="S664" i="10"/>
  <c r="AN664" i="10"/>
  <c r="AS264" i="10"/>
  <c r="J264" i="10"/>
  <c r="AH664" i="10"/>
  <c r="R264" i="10"/>
  <c r="AX664" i="10"/>
  <c r="AF664" i="10"/>
  <c r="Q664" i="10"/>
  <c r="AW664" i="10"/>
  <c r="AX264" i="10"/>
  <c r="V664" i="10"/>
  <c r="U264" i="10"/>
  <c r="AV264" i="10"/>
  <c r="AN264" i="10"/>
  <c r="AY264" i="10"/>
  <c r="N664" i="10"/>
  <c r="AJ264" i="10"/>
  <c r="AM264" i="10"/>
  <c r="AR264" i="10"/>
  <c r="AC264" i="10"/>
  <c r="AE664" i="10"/>
  <c r="AE264" i="10"/>
  <c r="Y664" i="10"/>
  <c r="AG664" i="10"/>
  <c r="AQ664" i="10"/>
  <c r="N264" i="10"/>
  <c r="AP664" i="10"/>
  <c r="R664" i="10"/>
  <c r="Z664" i="10"/>
  <c r="AU664" i="10"/>
  <c r="AK264" i="10"/>
  <c r="AR664" i="10"/>
  <c r="L664" i="10"/>
  <c r="AT664" i="10"/>
  <c r="AM664" i="10"/>
  <c r="J664" i="10"/>
  <c r="S264" i="10"/>
  <c r="Q264" i="10"/>
  <c r="AD664" i="10"/>
  <c r="AI664" i="10"/>
  <c r="AM321" i="26"/>
  <c r="Q321" i="26" s="1"/>
  <c r="N319" i="26"/>
  <c r="J476" i="10"/>
  <c r="AT76" i="10"/>
  <c r="AO476" i="10"/>
  <c r="Z76" i="10"/>
  <c r="AB76" i="10"/>
  <c r="O476" i="10"/>
  <c r="AY476" i="10"/>
  <c r="AD76" i="10"/>
  <c r="AV476" i="10"/>
  <c r="AP476" i="10"/>
  <c r="W476" i="10"/>
  <c r="AA76" i="10"/>
  <c r="AW476" i="10"/>
  <c r="AC76" i="10"/>
  <c r="Q76" i="10"/>
  <c r="T76" i="10"/>
  <c r="Z476" i="10"/>
  <c r="U476" i="10"/>
  <c r="X76" i="10"/>
  <c r="M76" i="10"/>
  <c r="W319" i="27"/>
  <c r="E319" i="27" s="1"/>
  <c r="AD191" i="26"/>
  <c r="S346" i="10"/>
  <c r="AA346" i="10"/>
  <c r="W746" i="10"/>
  <c r="Q746" i="10"/>
  <c r="AX746" i="10"/>
  <c r="AL346" i="10"/>
  <c r="AW346" i="10"/>
  <c r="AN346" i="10"/>
  <c r="AM746" i="10"/>
  <c r="AD746" i="10"/>
  <c r="AG346" i="10"/>
  <c r="AY346" i="10"/>
  <c r="O746" i="10"/>
  <c r="AQ346" i="10"/>
  <c r="N346" i="10"/>
  <c r="J746" i="10"/>
  <c r="AH346" i="10"/>
  <c r="N746" i="10"/>
  <c r="AS346" i="10"/>
  <c r="AF719" i="10"/>
  <c r="AQ719" i="10"/>
  <c r="P719" i="10"/>
  <c r="AI319" i="10"/>
  <c r="AD719" i="10"/>
  <c r="V319" i="10"/>
  <c r="AD319" i="10"/>
  <c r="AX319" i="10"/>
  <c r="AQ319" i="10"/>
  <c r="Q719" i="10"/>
  <c r="AD60" i="26"/>
  <c r="I257" i="9"/>
  <c r="AD355" i="26"/>
  <c r="G264" i="10"/>
  <c r="BD264" i="26"/>
  <c r="BA367" i="10"/>
  <c r="BB253" i="7"/>
  <c r="BC253" i="7" s="1"/>
  <c r="H77" i="6"/>
  <c r="AC77" i="6" s="1"/>
  <c r="Z412" i="10"/>
  <c r="AE12" i="10"/>
  <c r="G159" i="10"/>
  <c r="BD159" i="26"/>
  <c r="BF159" i="26" s="1"/>
  <c r="AF366" i="6"/>
  <c r="AC366" i="6"/>
  <c r="AH366" i="6" s="1"/>
  <c r="AB467" i="6"/>
  <c r="AD294" i="26"/>
  <c r="G367" i="10"/>
  <c r="BD367" i="26"/>
  <c r="AM191" i="26"/>
  <c r="Q191" i="26" s="1"/>
  <c r="P191" i="26" s="1"/>
  <c r="AI412" i="10"/>
  <c r="AM12" i="10"/>
  <c r="AD238" i="26"/>
  <c r="AM295" i="26"/>
  <c r="Q295" i="26" s="1"/>
  <c r="P253" i="10"/>
  <c r="Z253" i="10"/>
  <c r="M653" i="10"/>
  <c r="N653" i="10"/>
  <c r="O253" i="10"/>
  <c r="AS653" i="10"/>
  <c r="AH653" i="10"/>
  <c r="L253" i="10"/>
  <c r="Z653" i="10"/>
  <c r="AJ253" i="10"/>
  <c r="U253" i="10"/>
  <c r="AN653" i="10"/>
  <c r="AH253" i="10"/>
  <c r="S653" i="10"/>
  <c r="AV253" i="10"/>
  <c r="AG653" i="10"/>
  <c r="AI253" i="10"/>
  <c r="AJ653" i="10"/>
  <c r="K653" i="10"/>
  <c r="AP253" i="10"/>
  <c r="AG253" i="10"/>
  <c r="AT653" i="10"/>
  <c r="AP653" i="10"/>
  <c r="AW253" i="10"/>
  <c r="O653" i="10"/>
  <c r="AX653" i="10"/>
  <c r="AL253" i="10"/>
  <c r="AN253" i="10"/>
  <c r="AD653" i="10"/>
  <c r="Y653" i="10"/>
  <c r="N253" i="10"/>
  <c r="AY653" i="10"/>
  <c r="AE653" i="10"/>
  <c r="AF253" i="10"/>
  <c r="AU653" i="10"/>
  <c r="P653" i="10"/>
  <c r="AQ253" i="10"/>
  <c r="X653" i="10"/>
  <c r="AF653" i="10"/>
  <c r="S253" i="10"/>
  <c r="V253" i="10"/>
  <c r="AM253" i="10"/>
  <c r="AA253" i="10"/>
  <c r="AK653" i="10"/>
  <c r="J653" i="10"/>
  <c r="W653" i="10"/>
  <c r="AA653" i="10"/>
  <c r="AO253" i="10"/>
  <c r="T653" i="10"/>
  <c r="T253" i="10"/>
  <c r="AW653" i="10"/>
  <c r="X253" i="10"/>
  <c r="AT253" i="10"/>
  <c r="AB653" i="10"/>
  <c r="AB253" i="10"/>
  <c r="AS253" i="10"/>
  <c r="AO653" i="10"/>
  <c r="Q253" i="10"/>
  <c r="AX253" i="10"/>
  <c r="U653" i="10"/>
  <c r="J253" i="10"/>
  <c r="L653" i="10"/>
  <c r="AC653" i="10"/>
  <c r="AC253" i="10"/>
  <c r="V653" i="10"/>
  <c r="W253" i="10"/>
  <c r="AR653" i="10"/>
  <c r="AK253" i="10"/>
  <c r="AE253" i="10"/>
  <c r="Q653" i="10"/>
  <c r="AM653" i="10"/>
  <c r="AV653" i="10"/>
  <c r="AY253" i="10"/>
  <c r="AL653" i="10"/>
  <c r="AD253" i="10"/>
  <c r="R253" i="10"/>
  <c r="M253" i="10"/>
  <c r="AI653" i="10"/>
  <c r="Y253" i="10"/>
  <c r="R653" i="10"/>
  <c r="AQ653" i="10"/>
  <c r="AR253" i="10"/>
  <c r="K253" i="10"/>
  <c r="AC124" i="9"/>
  <c r="AH124" i="9" s="1"/>
  <c r="AF124" i="9"/>
  <c r="AG559" i="10"/>
  <c r="AQ559" i="10"/>
  <c r="AY159" i="10"/>
  <c r="AY559" i="10"/>
  <c r="AF559" i="10"/>
  <c r="X559" i="10"/>
  <c r="AM559" i="10"/>
  <c r="Z559" i="10"/>
  <c r="AV559" i="10"/>
  <c r="AD559" i="10"/>
  <c r="AS559" i="10"/>
  <c r="Q559" i="10"/>
  <c r="J159" i="10"/>
  <c r="AF159" i="10"/>
  <c r="AO559" i="10"/>
  <c r="AN559" i="10"/>
  <c r="AI159" i="10"/>
  <c r="AX159" i="10"/>
  <c r="AU559" i="10"/>
  <c r="AT159" i="10"/>
  <c r="AI559" i="10"/>
  <c r="W159" i="10"/>
  <c r="L159" i="10"/>
  <c r="AM159" i="10"/>
  <c r="AL159" i="10"/>
  <c r="AR159" i="10"/>
  <c r="AK559" i="10"/>
  <c r="M559" i="10"/>
  <c r="AE159" i="10"/>
  <c r="R159" i="10"/>
  <c r="V159" i="10"/>
  <c r="Y159" i="10"/>
  <c r="K559" i="10"/>
  <c r="Y559" i="10"/>
  <c r="O159" i="10"/>
  <c r="U559" i="10"/>
  <c r="AS159" i="10"/>
  <c r="P159" i="10"/>
  <c r="J559" i="10"/>
  <c r="AG159" i="10"/>
  <c r="AT559" i="10"/>
  <c r="N159" i="10"/>
  <c r="O559" i="10"/>
  <c r="AA159" i="10"/>
  <c r="AH159" i="10"/>
  <c r="AJ159" i="10"/>
  <c r="AK159" i="10"/>
  <c r="AB159" i="10"/>
  <c r="N559" i="10"/>
  <c r="AC159" i="10"/>
  <c r="AJ559" i="10"/>
  <c r="K159" i="10"/>
  <c r="AP159" i="10"/>
  <c r="T559" i="10"/>
  <c r="T159" i="10"/>
  <c r="Q159" i="10"/>
  <c r="AV159" i="10"/>
  <c r="AH559" i="10"/>
  <c r="V559" i="10"/>
  <c r="AX559" i="10"/>
  <c r="R559" i="10"/>
  <c r="AD159" i="10"/>
  <c r="AE559" i="10"/>
  <c r="AA559" i="10"/>
  <c r="AQ159" i="10"/>
  <c r="AO159" i="10"/>
  <c r="M159" i="10"/>
  <c r="AP559" i="10"/>
  <c r="AN159" i="10"/>
  <c r="AR559" i="10"/>
  <c r="P559" i="10"/>
  <c r="L559" i="10"/>
  <c r="AC559" i="10"/>
  <c r="AB559" i="10"/>
  <c r="X159" i="10"/>
  <c r="S159" i="10"/>
  <c r="Z159" i="10"/>
  <c r="U159" i="10"/>
  <c r="AW159" i="10"/>
  <c r="W559" i="10"/>
  <c r="AF366" i="9"/>
  <c r="AC366" i="9"/>
  <c r="AH366" i="9" s="1"/>
  <c r="AD382" i="26"/>
  <c r="AK12" i="10"/>
  <c r="V412" i="10"/>
  <c r="AS412" i="10"/>
  <c r="AD303" i="26"/>
  <c r="AM211" i="26"/>
  <c r="Q211" i="26" s="1"/>
  <c r="Y211" i="27" s="1"/>
  <c r="G211" i="27" s="1"/>
  <c r="AM377" i="26"/>
  <c r="Q377" i="26" s="1"/>
  <c r="BD253" i="26"/>
  <c r="G253" i="10"/>
  <c r="G125" i="10"/>
  <c r="BD125" i="26"/>
  <c r="AP231" i="26"/>
  <c r="AO231" i="26" s="1"/>
  <c r="BE269" i="26"/>
  <c r="G269" i="9"/>
  <c r="G269" i="6"/>
  <c r="Z236" i="6"/>
  <c r="AG236" i="6" s="1"/>
  <c r="AE236" i="6"/>
  <c r="BD346" i="26"/>
  <c r="G346" i="10"/>
  <c r="AZ12" i="7"/>
  <c r="BA12" i="7" s="1"/>
  <c r="AZ253" i="7"/>
  <c r="BA253" i="7" s="1"/>
  <c r="AG393" i="7"/>
  <c r="L526" i="10"/>
  <c r="AX526" i="10"/>
  <c r="AR126" i="10"/>
  <c r="K126" i="10"/>
  <c r="O126" i="10"/>
  <c r="J126" i="10"/>
  <c r="AW126" i="10"/>
  <c r="Z126" i="10"/>
  <c r="AS126" i="10"/>
  <c r="AV126" i="10"/>
  <c r="AF526" i="10"/>
  <c r="AJ526" i="10"/>
  <c r="Y526" i="10"/>
  <c r="Z526" i="10"/>
  <c r="AT126" i="10"/>
  <c r="I118" i="9"/>
  <c r="BE100" i="26"/>
  <c r="H101" i="6"/>
  <c r="AC101" i="6" s="1"/>
  <c r="AD86" i="26"/>
  <c r="BD46" i="26"/>
  <c r="BF46" i="26" s="1"/>
  <c r="AD53" i="26"/>
  <c r="AD88" i="26"/>
  <c r="AM175" i="26"/>
  <c r="Q175" i="26" s="1"/>
  <c r="AE436" i="26"/>
  <c r="AZ452" i="26"/>
  <c r="BB452" i="26" s="1"/>
  <c r="BA452" i="26" s="1"/>
  <c r="AL452" i="26"/>
  <c r="AO125" i="10"/>
  <c r="AN525" i="10"/>
  <c r="N125" i="10"/>
  <c r="AG525" i="10"/>
  <c r="AN125" i="10"/>
  <c r="AL525" i="10"/>
  <c r="AA125" i="10"/>
  <c r="Y525" i="10"/>
  <c r="AY525" i="10"/>
  <c r="W125" i="10"/>
  <c r="AS525" i="10"/>
  <c r="M125" i="10"/>
  <c r="AL125" i="10"/>
  <c r="AR125" i="10"/>
  <c r="AX525" i="10"/>
  <c r="AT525" i="10"/>
  <c r="AC125" i="10"/>
  <c r="S125" i="10"/>
  <c r="AB125" i="10"/>
  <c r="AC525" i="10"/>
  <c r="AH125" i="10"/>
  <c r="W525" i="10"/>
  <c r="AR525" i="10"/>
  <c r="V525" i="10"/>
  <c r="V125" i="10"/>
  <c r="P125" i="10"/>
  <c r="AI525" i="10"/>
  <c r="AF525" i="10"/>
  <c r="AE525" i="10"/>
  <c r="O125" i="10"/>
  <c r="R125" i="10"/>
  <c r="AX125" i="10"/>
  <c r="L125" i="10"/>
  <c r="AO525" i="10"/>
  <c r="AQ525" i="10"/>
  <c r="AJ525" i="10"/>
  <c r="AV125" i="10"/>
  <c r="U125" i="10"/>
  <c r="AK525" i="10"/>
  <c r="P525" i="10"/>
  <c r="AV525" i="10"/>
  <c r="Z525" i="10"/>
  <c r="AY125" i="10"/>
  <c r="AT125" i="10"/>
  <c r="T125" i="10"/>
  <c r="AH525" i="10"/>
  <c r="AM125" i="10"/>
  <c r="U525" i="10"/>
  <c r="AE125" i="10"/>
  <c r="AU525" i="10"/>
  <c r="AK125" i="10"/>
  <c r="X125" i="10"/>
  <c r="L525" i="10"/>
  <c r="AJ125" i="10"/>
  <c r="R525" i="10"/>
  <c r="AP525" i="10"/>
  <c r="AI125" i="10"/>
  <c r="Q525" i="10"/>
  <c r="Y125" i="10"/>
  <c r="K525" i="10"/>
  <c r="AM525" i="10"/>
  <c r="AA525" i="10"/>
  <c r="O525" i="10"/>
  <c r="AW125" i="10"/>
  <c r="AQ125" i="10"/>
  <c r="AW525" i="10"/>
  <c r="Z125" i="10"/>
  <c r="X525" i="10"/>
  <c r="AD125" i="10"/>
  <c r="K125" i="10"/>
  <c r="M525" i="10"/>
  <c r="AD525" i="10"/>
  <c r="T525" i="10"/>
  <c r="Q125" i="10"/>
  <c r="AB525" i="10"/>
  <c r="J525" i="10"/>
  <c r="AG125" i="10"/>
  <c r="J125" i="10"/>
  <c r="AF125" i="10"/>
  <c r="S525" i="10"/>
  <c r="AS125" i="10"/>
  <c r="AP125" i="10"/>
  <c r="N525" i="10"/>
  <c r="I272" i="9"/>
  <c r="I272" i="6"/>
  <c r="AG312" i="10"/>
  <c r="Z712" i="10"/>
  <c r="P312" i="10"/>
  <c r="AN712" i="10"/>
  <c r="AP312" i="10"/>
  <c r="AY312" i="10"/>
  <c r="AC312" i="10"/>
  <c r="R712" i="10"/>
  <c r="AI312" i="10"/>
  <c r="K312" i="10"/>
  <c r="M712" i="10"/>
  <c r="O712" i="10"/>
  <c r="L712" i="10"/>
  <c r="AT312" i="10"/>
  <c r="AF712" i="10"/>
  <c r="S712" i="10"/>
  <c r="Q712" i="10"/>
  <c r="S312" i="10"/>
  <c r="R312" i="10"/>
  <c r="AM312" i="10"/>
  <c r="AR712" i="10"/>
  <c r="AT712" i="10"/>
  <c r="AX312" i="10"/>
  <c r="K712" i="10"/>
  <c r="AJ712" i="10"/>
  <c r="Y712" i="10"/>
  <c r="AV712" i="10"/>
  <c r="AQ712" i="10"/>
  <c r="AE312" i="10"/>
  <c r="M312" i="10"/>
  <c r="AY712" i="10"/>
  <c r="AA312" i="10"/>
  <c r="U712" i="10"/>
  <c r="AW312" i="10"/>
  <c r="AX712" i="10"/>
  <c r="AB312" i="10"/>
  <c r="AR312" i="10"/>
  <c r="AW712" i="10"/>
  <c r="AH312" i="10"/>
  <c r="AA712" i="10"/>
  <c r="L312" i="10"/>
  <c r="X712" i="10"/>
  <c r="AQ312" i="10"/>
  <c r="O312" i="10"/>
  <c r="J312" i="10"/>
  <c r="W312" i="10"/>
  <c r="N712" i="10"/>
  <c r="AD312" i="10"/>
  <c r="AJ312" i="10"/>
  <c r="AO312" i="10"/>
  <c r="V312" i="10"/>
  <c r="AS712" i="10"/>
  <c r="AD712" i="10"/>
  <c r="N312" i="10"/>
  <c r="AH712" i="10"/>
  <c r="AV312" i="10"/>
  <c r="AL312" i="10"/>
  <c r="AP712" i="10"/>
  <c r="J712" i="10"/>
  <c r="AS312" i="10"/>
  <c r="Z312" i="10"/>
  <c r="Y312" i="10"/>
  <c r="AK312" i="10"/>
  <c r="AE712" i="10"/>
  <c r="AG712" i="10"/>
  <c r="U312" i="10"/>
  <c r="X312" i="10"/>
  <c r="AL712" i="10"/>
  <c r="T712" i="10"/>
  <c r="AO712" i="10"/>
  <c r="T312" i="10"/>
  <c r="AU712" i="10"/>
  <c r="AB712" i="10"/>
  <c r="AF312" i="10"/>
  <c r="AI712" i="10"/>
  <c r="AM712" i="10"/>
  <c r="AK712" i="10"/>
  <c r="AC712" i="10"/>
  <c r="V712" i="10"/>
  <c r="W712" i="10"/>
  <c r="P712" i="10"/>
  <c r="AN312" i="10"/>
  <c r="Q312" i="10"/>
  <c r="H377" i="6"/>
  <c r="AC377" i="6" s="1"/>
  <c r="H377" i="9"/>
  <c r="AC377" i="9" s="1"/>
  <c r="AY344" i="26"/>
  <c r="AX344" i="26" s="1"/>
  <c r="R344" i="26" s="1"/>
  <c r="O1453" i="10"/>
  <c r="O1593" i="10" s="1"/>
  <c r="J393" i="7"/>
  <c r="AD101" i="26"/>
  <c r="O101" i="26" s="1"/>
  <c r="AD126" i="10"/>
  <c r="AL526" i="10"/>
  <c r="AR526" i="10"/>
  <c r="T526" i="10"/>
  <c r="AI526" i="10"/>
  <c r="AB526" i="10"/>
  <c r="AY126" i="10"/>
  <c r="N126" i="10"/>
  <c r="AL126" i="10"/>
  <c r="AN526" i="10"/>
  <c r="AC126" i="10"/>
  <c r="P126" i="10"/>
  <c r="X526" i="10"/>
  <c r="AP126" i="10"/>
  <c r="L126" i="10"/>
  <c r="H100" i="27"/>
  <c r="X393" i="7"/>
  <c r="AM72" i="26"/>
  <c r="Q72" i="26" s="1"/>
  <c r="G46" i="10"/>
  <c r="N148" i="26"/>
  <c r="BD148" i="26" s="1"/>
  <c r="BA299" i="10"/>
  <c r="AC436" i="26"/>
  <c r="AY436" i="26" s="1"/>
  <c r="S436" i="26" s="1"/>
  <c r="AZ487" i="26"/>
  <c r="BB487" i="26" s="1"/>
  <c r="BA487" i="26" s="1"/>
  <c r="AD413" i="26"/>
  <c r="AC413" i="26"/>
  <c r="AD389" i="26"/>
  <c r="AD124" i="26"/>
  <c r="AD351" i="26"/>
  <c r="G312" i="10"/>
  <c r="BD312" i="26"/>
  <c r="BF312" i="26" s="1"/>
  <c r="AM121" i="26"/>
  <c r="Q121" i="26" s="1"/>
  <c r="AU121" i="26"/>
  <c r="S121" i="26" s="1"/>
  <c r="AC20" i="9"/>
  <c r="AH20" i="9" s="1"/>
  <c r="AF20" i="9"/>
  <c r="M526" i="10"/>
  <c r="S126" i="10"/>
  <c r="P526" i="10"/>
  <c r="AF126" i="10"/>
  <c r="Y126" i="10"/>
  <c r="M126" i="10"/>
  <c r="AV526" i="10"/>
  <c r="AK526" i="10"/>
  <c r="AI126" i="10"/>
  <c r="AX126" i="10"/>
  <c r="AA126" i="10"/>
  <c r="AM126" i="10"/>
  <c r="AH526" i="10"/>
  <c r="AQ126" i="10"/>
  <c r="K526" i="10"/>
  <c r="F317" i="10"/>
  <c r="J317" i="10" s="1"/>
  <c r="AM344" i="26"/>
  <c r="Q344" i="26" s="1"/>
  <c r="Y344" i="27" s="1"/>
  <c r="G344" i="27" s="1"/>
  <c r="BB299" i="10"/>
  <c r="BC299" i="10" s="1"/>
  <c r="AM305" i="26"/>
  <c r="Q305" i="26" s="1"/>
  <c r="H344" i="9"/>
  <c r="K393" i="7"/>
  <c r="AC257" i="6"/>
  <c r="AH257" i="6" s="1"/>
  <c r="AF257" i="6"/>
  <c r="AD377" i="26"/>
  <c r="O377" i="26" s="1"/>
  <c r="BB323" i="7"/>
  <c r="BC323" i="7" s="1"/>
  <c r="AM114" i="26"/>
  <c r="Q114" i="26" s="1"/>
  <c r="F114" i="6" s="1"/>
  <c r="Z114" i="6" s="1"/>
  <c r="AD322" i="26"/>
  <c r="AD333" i="26"/>
  <c r="AM171" i="26"/>
  <c r="Q171" i="26" s="1"/>
  <c r="AM176" i="26"/>
  <c r="Q176" i="26" s="1"/>
  <c r="AD373" i="26"/>
  <c r="AD36" i="26"/>
  <c r="O36" i="26" s="1"/>
  <c r="AD372" i="26"/>
  <c r="T12" i="10"/>
  <c r="R412" i="10"/>
  <c r="AQ12" i="10"/>
  <c r="AF412" i="10"/>
  <c r="AP12" i="10"/>
  <c r="N412" i="10"/>
  <c r="AD412" i="10"/>
  <c r="N12" i="10"/>
  <c r="Q412" i="10"/>
  <c r="AA12" i="10"/>
  <c r="AH412" i="10"/>
  <c r="X12" i="10"/>
  <c r="K12" i="10"/>
  <c r="P412" i="10"/>
  <c r="AU412" i="10"/>
  <c r="O12" i="10"/>
  <c r="J412" i="10"/>
  <c r="W412" i="10"/>
  <c r="AC12" i="10"/>
  <c r="M12" i="10"/>
  <c r="J12" i="10"/>
  <c r="AF12" i="10"/>
  <c r="AV12" i="10"/>
  <c r="AJ412" i="10"/>
  <c r="AP412" i="10"/>
  <c r="X412" i="10"/>
  <c r="AX12" i="10"/>
  <c r="H189" i="27"/>
  <c r="G189" i="9"/>
  <c r="H114" i="6"/>
  <c r="AC114" i="6" s="1"/>
  <c r="H114" i="9"/>
  <c r="AC114" i="9" s="1"/>
  <c r="AZ323" i="7"/>
  <c r="BA323" i="7" s="1"/>
  <c r="W25" i="27"/>
  <c r="E25" i="27" s="1"/>
  <c r="F25" i="10"/>
  <c r="AL25" i="10" s="1"/>
  <c r="H307" i="27"/>
  <c r="G307" i="6"/>
  <c r="F374" i="27"/>
  <c r="G374" i="10"/>
  <c r="G277" i="10"/>
  <c r="BD277" i="26"/>
  <c r="BF277" i="26" s="1"/>
  <c r="AU88" i="26"/>
  <c r="S88" i="26" s="1"/>
  <c r="AM88" i="26"/>
  <c r="Q88" i="26" s="1"/>
  <c r="AD295" i="26"/>
  <c r="AM526" i="10"/>
  <c r="R526" i="10"/>
  <c r="W126" i="10"/>
  <c r="AK126" i="10"/>
  <c r="AN126" i="10"/>
  <c r="AB126" i="10"/>
  <c r="U526" i="10"/>
  <c r="AA526" i="10"/>
  <c r="O526" i="10"/>
  <c r="AO526" i="10"/>
  <c r="AP526" i="10"/>
  <c r="AJ126" i="10"/>
  <c r="X126" i="10"/>
  <c r="V126" i="10"/>
  <c r="AE526" i="10"/>
  <c r="AH126" i="10"/>
  <c r="AS526" i="10"/>
  <c r="S526" i="10"/>
  <c r="AW526" i="10"/>
  <c r="AD526" i="10"/>
  <c r="R126" i="10"/>
  <c r="AM187" i="26"/>
  <c r="Q187" i="26" s="1"/>
  <c r="AD152" i="26"/>
  <c r="O152" i="26" s="1"/>
  <c r="AE1297" i="10"/>
  <c r="AE1593" i="10" s="1"/>
  <c r="AE5" i="10" s="1"/>
  <c r="Z393" i="7"/>
  <c r="AC40" i="6"/>
  <c r="AH40" i="6" s="1"/>
  <c r="AF40" i="6"/>
  <c r="AM37" i="26"/>
  <c r="Q37" i="26" s="1"/>
  <c r="AM383" i="26"/>
  <c r="Q383" i="26" s="1"/>
  <c r="Y383" i="27" s="1"/>
  <c r="G383" i="27" s="1"/>
  <c r="AM90" i="26"/>
  <c r="Q90" i="26" s="1"/>
  <c r="P90" i="26" s="1"/>
  <c r="X90" i="27" s="1"/>
  <c r="AB90" i="27" s="1"/>
  <c r="AM202" i="26"/>
  <c r="Q202" i="26" s="1"/>
  <c r="Y202" i="27" s="1"/>
  <c r="G202" i="27" s="1"/>
  <c r="AM333" i="26"/>
  <c r="Q333" i="26" s="1"/>
  <c r="P333" i="26" s="1"/>
  <c r="X333" i="27" s="1"/>
  <c r="AB333" i="27" s="1"/>
  <c r="AD230" i="26"/>
  <c r="AD39" i="26"/>
  <c r="AC51" i="9"/>
  <c r="AH51" i="9" s="1"/>
  <c r="BE307" i="26"/>
  <c r="G177" i="9"/>
  <c r="G307" i="9"/>
  <c r="H177" i="27"/>
  <c r="BE119" i="26"/>
  <c r="N25" i="26"/>
  <c r="G25" i="10" s="1"/>
  <c r="G189" i="6"/>
  <c r="BE189" i="26"/>
  <c r="Z207" i="6"/>
  <c r="AG207" i="6" s="1"/>
  <c r="AE207" i="6"/>
  <c r="F195" i="10"/>
  <c r="AR595" i="10" s="1"/>
  <c r="N192" i="26"/>
  <c r="N96" i="26"/>
  <c r="V96" i="27" s="1"/>
  <c r="AA96" i="27" s="1"/>
  <c r="F96" i="10"/>
  <c r="N96" i="10" s="1"/>
  <c r="W96" i="27"/>
  <c r="E96" i="27" s="1"/>
  <c r="BD212" i="26"/>
  <c r="BF212" i="26" s="1"/>
  <c r="F113" i="10"/>
  <c r="R113" i="10" s="1"/>
  <c r="N113" i="26"/>
  <c r="V113" i="27" s="1"/>
  <c r="AA113" i="27" s="1"/>
  <c r="W168" i="27"/>
  <c r="E168" i="27" s="1"/>
  <c r="N168" i="26"/>
  <c r="BD168" i="26" s="1"/>
  <c r="N263" i="26"/>
  <c r="V263" i="27" s="1"/>
  <c r="AA263" i="27" s="1"/>
  <c r="G178" i="9"/>
  <c r="H178" i="27"/>
  <c r="BE178" i="26"/>
  <c r="G178" i="6"/>
  <c r="I98" i="6"/>
  <c r="R319" i="26"/>
  <c r="AM140" i="26"/>
  <c r="Q140" i="26" s="1"/>
  <c r="W257" i="10"/>
  <c r="AP657" i="10"/>
  <c r="AW657" i="10"/>
  <c r="AF657" i="10"/>
  <c r="K657" i="10"/>
  <c r="AO657" i="10"/>
  <c r="AL257" i="10"/>
  <c r="AL657" i="10"/>
  <c r="J657" i="10"/>
  <c r="AQ657" i="10"/>
  <c r="AG657" i="10"/>
  <c r="X257" i="10"/>
  <c r="N657" i="10"/>
  <c r="AR257" i="10"/>
  <c r="O657" i="10"/>
  <c r="Q657" i="10"/>
  <c r="AK257" i="10"/>
  <c r="AQ257" i="10"/>
  <c r="AC657" i="10"/>
  <c r="M657" i="10"/>
  <c r="Z257" i="10"/>
  <c r="P657" i="10"/>
  <c r="AX657" i="10"/>
  <c r="Q257" i="10"/>
  <c r="L257" i="10"/>
  <c r="AM257" i="10"/>
  <c r="O257" i="10"/>
  <c r="AT657" i="10"/>
  <c r="U257" i="10"/>
  <c r="AI657" i="10"/>
  <c r="AR657" i="10"/>
  <c r="AS657" i="10"/>
  <c r="AB257" i="10"/>
  <c r="K257" i="10"/>
  <c r="AI257" i="10"/>
  <c r="Y657" i="10"/>
  <c r="AB657" i="10"/>
  <c r="P257" i="10"/>
  <c r="N257" i="10"/>
  <c r="AA257" i="10"/>
  <c r="AE657" i="10"/>
  <c r="R257" i="10"/>
  <c r="R361" i="26"/>
  <c r="H361" i="9"/>
  <c r="AC361" i="9" s="1"/>
  <c r="AM361" i="26"/>
  <c r="Q361" i="26" s="1"/>
  <c r="AY386" i="26"/>
  <c r="AX386" i="26" s="1"/>
  <c r="BD218" i="26"/>
  <c r="BF218" i="26" s="1"/>
  <c r="AM26" i="26"/>
  <c r="Q26" i="26" s="1"/>
  <c r="P26" i="26" s="1"/>
  <c r="X26" i="27" s="1"/>
  <c r="AB26" i="27" s="1"/>
  <c r="AD28" i="26"/>
  <c r="W657" i="10"/>
  <c r="AT257" i="10"/>
  <c r="AF257" i="10"/>
  <c r="AJ657" i="10"/>
  <c r="M257" i="10"/>
  <c r="AV257" i="10"/>
  <c r="AN657" i="10"/>
  <c r="AO257" i="10"/>
  <c r="V657" i="10"/>
  <c r="AM657" i="10"/>
  <c r="W211" i="27"/>
  <c r="E211" i="27" s="1"/>
  <c r="O412" i="10"/>
  <c r="AI12" i="10"/>
  <c r="AV412" i="10"/>
  <c r="AL412" i="10"/>
  <c r="S12" i="10"/>
  <c r="AG412" i="10"/>
  <c r="AC412" i="10"/>
  <c r="AB412" i="10"/>
  <c r="AS12" i="10"/>
  <c r="AJ12" i="10"/>
  <c r="L412" i="10"/>
  <c r="AL12" i="10"/>
  <c r="AW412" i="10"/>
  <c r="T412" i="10"/>
  <c r="AM412" i="10"/>
  <c r="AD12" i="10"/>
  <c r="AG12" i="10"/>
  <c r="Z12" i="10"/>
  <c r="AO12" i="10"/>
  <c r="AY12" i="10"/>
  <c r="U12" i="10"/>
  <c r="U412" i="10"/>
  <c r="Y412" i="10"/>
  <c r="AB12" i="10"/>
  <c r="AE412" i="10"/>
  <c r="AA412" i="10"/>
  <c r="AR412" i="10"/>
  <c r="AH12" i="10"/>
  <c r="AY412" i="10"/>
  <c r="AT412" i="10"/>
  <c r="AN412" i="10"/>
  <c r="AR12" i="10"/>
  <c r="AW12" i="10"/>
  <c r="K412" i="10"/>
  <c r="M412" i="10"/>
  <c r="AN12" i="10"/>
  <c r="S412" i="10"/>
  <c r="L12" i="10"/>
  <c r="AM63" i="26"/>
  <c r="Q63" i="26" s="1"/>
  <c r="AP222" i="26"/>
  <c r="AO222" i="26" s="1"/>
  <c r="AM267" i="26"/>
  <c r="Q267" i="26" s="1"/>
  <c r="R384" i="26"/>
  <c r="H384" i="9"/>
  <c r="AC384" i="9" s="1"/>
  <c r="H384" i="6"/>
  <c r="AC384" i="6" s="1"/>
  <c r="AD204" i="26"/>
  <c r="S119" i="10"/>
  <c r="AB119" i="10"/>
  <c r="AK119" i="10"/>
  <c r="AA519" i="10"/>
  <c r="AC119" i="10"/>
  <c r="R119" i="10"/>
  <c r="AV519" i="10"/>
  <c r="AW119" i="10"/>
  <c r="AX119" i="10"/>
  <c r="Y519" i="10"/>
  <c r="AF519" i="10"/>
  <c r="AK519" i="10"/>
  <c r="AT519" i="10"/>
  <c r="M119" i="10"/>
  <c r="Q519" i="10"/>
  <c r="AJ119" i="10"/>
  <c r="Z519" i="10"/>
  <c r="AN519" i="10"/>
  <c r="AY519" i="10"/>
  <c r="AC519" i="10"/>
  <c r="AS519" i="10"/>
  <c r="AU519" i="10"/>
  <c r="AW519" i="10"/>
  <c r="AL519" i="10"/>
  <c r="O519" i="10"/>
  <c r="P119" i="10"/>
  <c r="W519" i="10"/>
  <c r="AD119" i="10"/>
  <c r="AB519" i="10"/>
  <c r="AH519" i="10"/>
  <c r="AM519" i="10"/>
  <c r="AF119" i="10"/>
  <c r="AQ519" i="10"/>
  <c r="AR519" i="10"/>
  <c r="AX519" i="10"/>
  <c r="AL119" i="10"/>
  <c r="AN119" i="10"/>
  <c r="AA119" i="10"/>
  <c r="AP119" i="10"/>
  <c r="X119" i="10"/>
  <c r="AI519" i="10"/>
  <c r="W119" i="10"/>
  <c r="AO119" i="10"/>
  <c r="AV119" i="10"/>
  <c r="AH119" i="10"/>
  <c r="AS119" i="10"/>
  <c r="U119" i="10"/>
  <c r="T519" i="10"/>
  <c r="S519" i="10"/>
  <c r="AT119" i="10"/>
  <c r="K519" i="10"/>
  <c r="J119" i="10"/>
  <c r="N119" i="10"/>
  <c r="Y119" i="10"/>
  <c r="O119" i="10"/>
  <c r="Z119" i="10"/>
  <c r="Q119" i="10"/>
  <c r="AQ119" i="10"/>
  <c r="AP519" i="10"/>
  <c r="AJ519" i="10"/>
  <c r="J519" i="10"/>
  <c r="AY119" i="10"/>
  <c r="V119" i="10"/>
  <c r="AE119" i="10"/>
  <c r="V519" i="10"/>
  <c r="AI119" i="10"/>
  <c r="AM119" i="10"/>
  <c r="L119" i="10"/>
  <c r="X519" i="10"/>
  <c r="N519" i="10"/>
  <c r="U519" i="10"/>
  <c r="P519" i="10"/>
  <c r="M519" i="10"/>
  <c r="AD519" i="10"/>
  <c r="K119" i="10"/>
  <c r="AE519" i="10"/>
  <c r="R519" i="10"/>
  <c r="AO519" i="10"/>
  <c r="AG119" i="10"/>
  <c r="AG519" i="10"/>
  <c r="AR119" i="10"/>
  <c r="T119" i="10"/>
  <c r="L519" i="10"/>
  <c r="AC44" i="6"/>
  <c r="AD357" i="26"/>
  <c r="Z307" i="6"/>
  <c r="AG307" i="6" s="1"/>
  <c r="AE307" i="6"/>
  <c r="G257" i="10"/>
  <c r="BD257" i="26"/>
  <c r="BF257" i="26" s="1"/>
  <c r="F54" i="10"/>
  <c r="W54" i="27"/>
  <c r="E54" i="27" s="1"/>
  <c r="N54" i="26"/>
  <c r="H74" i="9"/>
  <c r="AC74" i="9" s="1"/>
  <c r="H74" i="6"/>
  <c r="AC74" i="6" s="1"/>
  <c r="AU134" i="26"/>
  <c r="S134" i="26" s="1"/>
  <c r="AM134" i="26"/>
  <c r="Q134" i="26" s="1"/>
  <c r="W384" i="27"/>
  <c r="E384" i="27" s="1"/>
  <c r="F384" i="10"/>
  <c r="N384" i="26"/>
  <c r="BB367" i="10"/>
  <c r="BC367" i="10" s="1"/>
  <c r="G218" i="10"/>
  <c r="AM296" i="26"/>
  <c r="Q296" i="26" s="1"/>
  <c r="P296" i="26" s="1"/>
  <c r="AM86" i="26"/>
  <c r="Q86" i="26" s="1"/>
  <c r="F86" i="6" s="1"/>
  <c r="I35" i="6"/>
  <c r="F148" i="10"/>
  <c r="AE148" i="10" s="1"/>
  <c r="AN257" i="10"/>
  <c r="Z657" i="10"/>
  <c r="AD657" i="10"/>
  <c r="AH257" i="10"/>
  <c r="T257" i="10"/>
  <c r="AH657" i="10"/>
  <c r="J257" i="10"/>
  <c r="S657" i="10"/>
  <c r="AD257" i="10"/>
  <c r="AJ257" i="10"/>
  <c r="AD172" i="26"/>
  <c r="O172" i="26" s="1"/>
  <c r="N211" i="26"/>
  <c r="V211" i="27" s="1"/>
  <c r="P12" i="10"/>
  <c r="N272" i="26"/>
  <c r="W272" i="27"/>
  <c r="E272" i="27" s="1"/>
  <c r="H361" i="6"/>
  <c r="AD304" i="26"/>
  <c r="AM342" i="26"/>
  <c r="Q342" i="26" s="1"/>
  <c r="P342" i="26" s="1"/>
  <c r="AM260" i="26"/>
  <c r="Q260" i="26" s="1"/>
  <c r="F260" i="9" s="1"/>
  <c r="Z260" i="9" s="1"/>
  <c r="AA260" i="9" s="1"/>
  <c r="AM369" i="26"/>
  <c r="Q369" i="26" s="1"/>
  <c r="AM184" i="26"/>
  <c r="Q184" i="26" s="1"/>
  <c r="AD186" i="26"/>
  <c r="AM378" i="26"/>
  <c r="Q378" i="26" s="1"/>
  <c r="AY376" i="26"/>
  <c r="AX376" i="26" s="1"/>
  <c r="AM309" i="26"/>
  <c r="Q309" i="26" s="1"/>
  <c r="AD166" i="26"/>
  <c r="H305" i="9"/>
  <c r="H305" i="6"/>
  <c r="R305" i="26"/>
  <c r="AU115" i="26"/>
  <c r="S115" i="26" s="1"/>
  <c r="AM115" i="26"/>
  <c r="Q115" i="26" s="1"/>
  <c r="H30" i="9"/>
  <c r="R30" i="26"/>
  <c r="H30" i="6"/>
  <c r="AD286" i="26"/>
  <c r="AU386" i="26"/>
  <c r="S386" i="26" s="1"/>
  <c r="AM386" i="26"/>
  <c r="Q386" i="26" s="1"/>
  <c r="H382" i="9"/>
  <c r="H382" i="6"/>
  <c r="R382" i="26"/>
  <c r="H319" i="6"/>
  <c r="H319" i="9"/>
  <c r="H35" i="9"/>
  <c r="H35" i="6"/>
  <c r="AM300" i="26"/>
  <c r="Q300" i="26" s="1"/>
  <c r="AM292" i="26"/>
  <c r="Q292" i="26" s="1"/>
  <c r="AD231" i="26"/>
  <c r="AD198" i="26"/>
  <c r="AD171" i="26"/>
  <c r="AD234" i="26"/>
  <c r="H146" i="9"/>
  <c r="AC146" i="9" s="1"/>
  <c r="H146" i="6"/>
  <c r="AM286" i="26"/>
  <c r="Q286" i="26" s="1"/>
  <c r="AM384" i="26"/>
  <c r="Q384" i="26" s="1"/>
  <c r="BD119" i="26"/>
  <c r="G119" i="10"/>
  <c r="AD34" i="26"/>
  <c r="AM357" i="26"/>
  <c r="Q357" i="26" s="1"/>
  <c r="Y178" i="27"/>
  <c r="G178" i="27" s="1"/>
  <c r="F178" i="9"/>
  <c r="Z178" i="9" s="1"/>
  <c r="AA178" i="9" s="1"/>
  <c r="F178" i="6"/>
  <c r="H230" i="9"/>
  <c r="AC230" i="9" s="1"/>
  <c r="H230" i="6"/>
  <c r="R230" i="26"/>
  <c r="AM319" i="26"/>
  <c r="Q319" i="26" s="1"/>
  <c r="H323" i="27"/>
  <c r="BE105" i="26"/>
  <c r="G105" i="9"/>
  <c r="H301" i="27"/>
  <c r="BE298" i="26"/>
  <c r="BE45" i="26"/>
  <c r="G323" i="6"/>
  <c r="G323" i="9"/>
  <c r="G105" i="6"/>
  <c r="BE311" i="26"/>
  <c r="G45" i="9"/>
  <c r="G311" i="9"/>
  <c r="Z159" i="6"/>
  <c r="AG159" i="6" s="1"/>
  <c r="BE235" i="26"/>
  <c r="H45" i="27"/>
  <c r="H298" i="27"/>
  <c r="BE132" i="26"/>
  <c r="BF132" i="26" s="1"/>
  <c r="G298" i="9"/>
  <c r="G373" i="9"/>
  <c r="G51" i="6"/>
  <c r="Z241" i="6"/>
  <c r="AG241" i="6" s="1"/>
  <c r="BE241" i="26"/>
  <c r="Z141" i="6"/>
  <c r="AG141" i="6" s="1"/>
  <c r="G241" i="6"/>
  <c r="Z173" i="6"/>
  <c r="AG173" i="6" s="1"/>
  <c r="G119" i="9"/>
  <c r="Y53" i="27"/>
  <c r="G53" i="27" s="1"/>
  <c r="P53" i="26"/>
  <c r="X53" i="27" s="1"/>
  <c r="AB53" i="27" s="1"/>
  <c r="BF302" i="26"/>
  <c r="G241" i="9"/>
  <c r="G373" i="6"/>
  <c r="G173" i="6"/>
  <c r="G119" i="6"/>
  <c r="F53" i="9"/>
  <c r="H173" i="27"/>
  <c r="G132" i="9"/>
  <c r="H51" i="27"/>
  <c r="G132" i="6"/>
  <c r="BE51" i="26"/>
  <c r="AD456" i="26"/>
  <c r="AZ441" i="26"/>
  <c r="BB441" i="26" s="1"/>
  <c r="BA441" i="26" s="1"/>
  <c r="AC456" i="26"/>
  <c r="AY456" i="26" s="1"/>
  <c r="S456" i="26" s="1"/>
  <c r="AZ420" i="26"/>
  <c r="BB420" i="26" s="1"/>
  <c r="BA420" i="26" s="1"/>
  <c r="AL431" i="26"/>
  <c r="AY446" i="26"/>
  <c r="AL461" i="26"/>
  <c r="AM461" i="26" s="1"/>
  <c r="AO461" i="26" s="1"/>
  <c r="AZ521" i="26"/>
  <c r="BB521" i="26" s="1"/>
  <c r="BA521" i="26" s="1"/>
  <c r="AY419" i="26"/>
  <c r="S419" i="26" s="1"/>
  <c r="AZ412" i="26"/>
  <c r="BB412" i="26" s="1"/>
  <c r="BA412" i="26" s="1"/>
  <c r="AL515" i="26"/>
  <c r="AG453" i="26"/>
  <c r="AL412" i="26"/>
  <c r="AY461" i="26"/>
  <c r="S461" i="26" s="1"/>
  <c r="AD529" i="26"/>
  <c r="AL529" i="26" s="1"/>
  <c r="AY529" i="26"/>
  <c r="AD446" i="26"/>
  <c r="AZ535" i="26"/>
  <c r="BB535" i="26" s="1"/>
  <c r="BA535" i="26" s="1"/>
  <c r="AL521" i="26"/>
  <c r="AL432" i="26"/>
  <c r="AL441" i="26"/>
  <c r="AM441" i="26" s="1"/>
  <c r="AO441" i="26" s="1"/>
  <c r="AN441" i="26" s="1"/>
  <c r="AC497" i="26"/>
  <c r="AZ497" i="26" s="1"/>
  <c r="AE529" i="26"/>
  <c r="AG475" i="26"/>
  <c r="AY431" i="26"/>
  <c r="AL426" i="26"/>
  <c r="AY448" i="26"/>
  <c r="AZ453" i="26"/>
  <c r="BB453" i="26" s="1"/>
  <c r="BA453" i="26" s="1"/>
  <c r="AZ426" i="26"/>
  <c r="BB426" i="26" s="1"/>
  <c r="BA426" i="26" s="1"/>
  <c r="AZ448" i="26"/>
  <c r="BB448" i="26" s="1"/>
  <c r="BA448" i="26" s="1"/>
  <c r="AC522" i="26"/>
  <c r="AY426" i="26"/>
  <c r="S426" i="26" s="1"/>
  <c r="BE380" i="26"/>
  <c r="BF380" i="26" s="1"/>
  <c r="AG448" i="26"/>
  <c r="AE497" i="26"/>
  <c r="AZ430" i="26"/>
  <c r="BB430" i="26" s="1"/>
  <c r="BA430" i="26" s="1"/>
  <c r="AL419" i="26"/>
  <c r="AY430" i="26"/>
  <c r="AL420" i="26"/>
  <c r="AY475" i="26"/>
  <c r="AZ475" i="26"/>
  <c r="BB475" i="26" s="1"/>
  <c r="BA475" i="26" s="1"/>
  <c r="Z13" i="6"/>
  <c r="AG13" i="6" s="1"/>
  <c r="AE13" i="6"/>
  <c r="AO369" i="26"/>
  <c r="H277" i="27"/>
  <c r="AC450" i="26"/>
  <c r="AY503" i="26"/>
  <c r="S503" i="26" s="1"/>
  <c r="AZ446" i="26"/>
  <c r="BB446" i="26" s="1"/>
  <c r="BA446" i="26" s="1"/>
  <c r="AL503" i="26"/>
  <c r="AU503" i="26" s="1"/>
  <c r="Q503" i="26" s="1"/>
  <c r="F481" i="6" s="1"/>
  <c r="AE450" i="26"/>
  <c r="AE446" i="26"/>
  <c r="AG446" i="26" s="1"/>
  <c r="AC493" i="26"/>
  <c r="AL471" i="26"/>
  <c r="AM471" i="26" s="1"/>
  <c r="AO471" i="26" s="1"/>
  <c r="AC534" i="26"/>
  <c r="BF534" i="26" s="1"/>
  <c r="AZ471" i="26"/>
  <c r="BB471" i="26" s="1"/>
  <c r="BA471" i="26" s="1"/>
  <c r="AD438" i="26"/>
  <c r="AZ533" i="26"/>
  <c r="BB533" i="26" s="1"/>
  <c r="BA533" i="26" s="1"/>
  <c r="AC438" i="26"/>
  <c r="AZ438" i="26" s="1"/>
  <c r="BB438" i="26" s="1"/>
  <c r="BA438" i="26" s="1"/>
  <c r="AY531" i="26"/>
  <c r="S531" i="26" s="1"/>
  <c r="AE534" i="26"/>
  <c r="AY535" i="26"/>
  <c r="S535" i="26" s="1"/>
  <c r="AD424" i="26"/>
  <c r="AG535" i="26"/>
  <c r="AU535" i="26" s="1"/>
  <c r="AL531" i="26"/>
  <c r="AC424" i="26"/>
  <c r="AY424" i="26" s="1"/>
  <c r="S424" i="26" s="1"/>
  <c r="AZ531" i="26"/>
  <c r="BB531" i="26" s="1"/>
  <c r="BA531" i="26" s="1"/>
  <c r="AY515" i="26"/>
  <c r="AC417" i="26"/>
  <c r="AZ435" i="26"/>
  <c r="BB435" i="26" s="1"/>
  <c r="BA435" i="26" s="1"/>
  <c r="AZ461" i="26"/>
  <c r="BB461" i="26" s="1"/>
  <c r="BA461" i="26" s="1"/>
  <c r="AL462" i="26"/>
  <c r="AU462" i="26" s="1"/>
  <c r="AL509" i="26"/>
  <c r="G235" i="6"/>
  <c r="G141" i="9"/>
  <c r="Y94" i="27"/>
  <c r="G94" i="27" s="1"/>
  <c r="G235" i="9"/>
  <c r="Z308" i="6"/>
  <c r="AG308" i="6" s="1"/>
  <c r="F94" i="9"/>
  <c r="Z94" i="9" s="1"/>
  <c r="AA94" i="9" s="1"/>
  <c r="AL505" i="26"/>
  <c r="AZ432" i="26"/>
  <c r="AY432" i="26"/>
  <c r="S432" i="26" s="1"/>
  <c r="F94" i="6"/>
  <c r="Z94" i="6" s="1"/>
  <c r="BA325" i="10"/>
  <c r="N89" i="26"/>
  <c r="G89" i="10" s="1"/>
  <c r="W89" i="27"/>
  <c r="E89" i="27" s="1"/>
  <c r="BA212" i="10"/>
  <c r="AL435" i="26"/>
  <c r="AU435" i="26" s="1"/>
  <c r="AY435" i="26"/>
  <c r="S435" i="26" s="1"/>
  <c r="BE173" i="26"/>
  <c r="BF177" i="26"/>
  <c r="BB212" i="10"/>
  <c r="BC212" i="10" s="1"/>
  <c r="F24" i="10"/>
  <c r="W24" i="27"/>
  <c r="E24" i="27" s="1"/>
  <c r="BB277" i="10"/>
  <c r="BC277" i="10" s="1"/>
  <c r="BA277" i="10"/>
  <c r="W195" i="27"/>
  <c r="E195" i="27" s="1"/>
  <c r="W192" i="27"/>
  <c r="E192" i="27" s="1"/>
  <c r="F168" i="10"/>
  <c r="AF568" i="10" s="1"/>
  <c r="H141" i="27"/>
  <c r="BE141" i="26"/>
  <c r="AZ509" i="26"/>
  <c r="BB509" i="26" s="1"/>
  <c r="BA509" i="26" s="1"/>
  <c r="F97" i="27"/>
  <c r="H256" i="27"/>
  <c r="AC464" i="26"/>
  <c r="AL533" i="26"/>
  <c r="I347" i="6"/>
  <c r="I347" i="9"/>
  <c r="BE94" i="26"/>
  <c r="G94" i="9"/>
  <c r="G94" i="6"/>
  <c r="BE261" i="26"/>
  <c r="AY449" i="26"/>
  <c r="S449" i="26" s="1"/>
  <c r="AZ449" i="26"/>
  <c r="BB449" i="26" s="1"/>
  <c r="BA449" i="26" s="1"/>
  <c r="AZ514" i="26"/>
  <c r="BB514" i="26" s="1"/>
  <c r="BA514" i="26" s="1"/>
  <c r="AY514" i="26"/>
  <c r="S514" i="26" s="1"/>
  <c r="G380" i="9"/>
  <c r="I182" i="9"/>
  <c r="I354" i="9"/>
  <c r="G380" i="6"/>
  <c r="W133" i="27"/>
  <c r="E133" i="27" s="1"/>
  <c r="AD77" i="26"/>
  <c r="N317" i="26"/>
  <c r="AM210" i="26"/>
  <c r="Q210" i="26" s="1"/>
  <c r="AM112" i="26"/>
  <c r="Q112" i="26" s="1"/>
  <c r="F112" i="6" s="1"/>
  <c r="G97" i="6"/>
  <c r="BE97" i="26"/>
  <c r="BF97" i="26" s="1"/>
  <c r="G97" i="9"/>
  <c r="AZ505" i="26"/>
  <c r="BB505" i="26" s="1"/>
  <c r="BA505" i="26" s="1"/>
  <c r="AY505" i="26"/>
  <c r="S505" i="26" s="1"/>
  <c r="AE429" i="26"/>
  <c r="AD429" i="26"/>
  <c r="AU369" i="26"/>
  <c r="S369" i="26" s="1"/>
  <c r="AU368" i="26"/>
  <c r="S368" i="26" s="1"/>
  <c r="H184" i="9"/>
  <c r="R184" i="26"/>
  <c r="H184" i="6"/>
  <c r="AC184" i="6" s="1"/>
  <c r="AG368" i="9"/>
  <c r="AY508" i="26"/>
  <c r="S508" i="26" s="1"/>
  <c r="AZ508" i="26"/>
  <c r="BB508" i="26" s="1"/>
  <c r="BA508" i="26" s="1"/>
  <c r="AD507" i="26"/>
  <c r="AE507" i="26"/>
  <c r="AG507" i="26" s="1"/>
  <c r="AC507" i="26"/>
  <c r="AM29" i="26"/>
  <c r="Q29" i="26" s="1"/>
  <c r="AE464" i="26"/>
  <c r="AD464" i="26"/>
  <c r="N58" i="26"/>
  <c r="AD138" i="26"/>
  <c r="AE443" i="26"/>
  <c r="AD443" i="26"/>
  <c r="AC443" i="26"/>
  <c r="BE443" i="26" s="1"/>
  <c r="AD492" i="26"/>
  <c r="AC492" i="26"/>
  <c r="AE492" i="26"/>
  <c r="AE468" i="26"/>
  <c r="AC468" i="26"/>
  <c r="BE468" i="26" s="1"/>
  <c r="AD468" i="26"/>
  <c r="F273" i="27"/>
  <c r="AD501" i="26"/>
  <c r="AE501" i="26"/>
  <c r="AG501" i="26" s="1"/>
  <c r="AC501" i="26"/>
  <c r="AD488" i="26"/>
  <c r="AE488" i="26"/>
  <c r="AC488" i="26"/>
  <c r="AD473" i="26"/>
  <c r="AE473" i="26"/>
  <c r="AC473" i="26"/>
  <c r="BE473" i="26" s="1"/>
  <c r="G66" i="9"/>
  <c r="BE66" i="26"/>
  <c r="G66" i="6"/>
  <c r="I24" i="9"/>
  <c r="I24" i="6"/>
  <c r="AM327" i="26"/>
  <c r="Q327" i="26" s="1"/>
  <c r="F327" i="6" s="1"/>
  <c r="AM68" i="26"/>
  <c r="Q68" i="26" s="1"/>
  <c r="F68" i="6" s="1"/>
  <c r="AI519" i="26"/>
  <c r="AK519" i="26" s="1"/>
  <c r="AR519" i="26" s="1"/>
  <c r="AD91" i="26"/>
  <c r="AD112" i="26"/>
  <c r="AM107" i="26"/>
  <c r="Q107" i="26" s="1"/>
  <c r="F107" i="6" s="1"/>
  <c r="W58" i="27"/>
  <c r="E58" i="27" s="1"/>
  <c r="AM42" i="26"/>
  <c r="Q42" i="26" s="1"/>
  <c r="AU42" i="26"/>
  <c r="S42" i="26" s="1"/>
  <c r="AD244" i="26"/>
  <c r="AM147" i="26"/>
  <c r="Q147" i="26" s="1"/>
  <c r="AD369" i="26"/>
  <c r="AC429" i="26"/>
  <c r="AM133" i="26"/>
  <c r="Q133" i="26" s="1"/>
  <c r="AL508" i="26"/>
  <c r="AD514" i="26"/>
  <c r="AL514" i="26" s="1"/>
  <c r="AE514" i="26"/>
  <c r="AM61" i="26"/>
  <c r="Q61" i="26" s="1"/>
  <c r="AC16" i="10"/>
  <c r="K16" i="10"/>
  <c r="AJ16" i="10"/>
  <c r="AI16" i="10"/>
  <c r="AY416" i="10"/>
  <c r="AA416" i="10"/>
  <c r="AF16" i="10"/>
  <c r="AM416" i="10"/>
  <c r="N16" i="10"/>
  <c r="J416" i="10"/>
  <c r="AX16" i="10"/>
  <c r="AT16" i="10"/>
  <c r="AQ416" i="10"/>
  <c r="N416" i="10"/>
  <c r="AN416" i="10"/>
  <c r="AK416" i="10"/>
  <c r="AW16" i="10"/>
  <c r="O16" i="10"/>
  <c r="AM16" i="10"/>
  <c r="R16" i="10"/>
  <c r="AP416" i="10"/>
  <c r="AT416" i="10"/>
  <c r="AC416" i="10"/>
  <c r="P416" i="10"/>
  <c r="AV416" i="10"/>
  <c r="Z16" i="10"/>
  <c r="S16" i="10"/>
  <c r="K416" i="10"/>
  <c r="AD16" i="10"/>
  <c r="X16" i="10"/>
  <c r="AW416" i="10"/>
  <c r="AF416" i="10"/>
  <c r="U16" i="10"/>
  <c r="J16" i="10"/>
  <c r="Y416" i="10"/>
  <c r="V416" i="10"/>
  <c r="L16" i="10"/>
  <c r="AP16" i="10"/>
  <c r="X416" i="10"/>
  <c r="AG16" i="10"/>
  <c r="O416" i="10"/>
  <c r="AE16" i="10"/>
  <c r="AN16" i="10"/>
  <c r="W416" i="10"/>
  <c r="W16" i="10"/>
  <c r="T416" i="10"/>
  <c r="AJ416" i="10"/>
  <c r="AX416" i="10"/>
  <c r="AK16" i="10"/>
  <c r="AQ16" i="10"/>
  <c r="AH16" i="10"/>
  <c r="M416" i="10"/>
  <c r="AL16" i="10"/>
  <c r="AS416" i="10"/>
  <c r="AO416" i="10"/>
  <c r="AG416" i="10"/>
  <c r="R416" i="10"/>
  <c r="U416" i="10"/>
  <c r="AR416" i="10"/>
  <c r="AB416" i="10"/>
  <c r="AH416" i="10"/>
  <c r="AO16" i="10"/>
  <c r="S416" i="10"/>
  <c r="AA16" i="10"/>
  <c r="AS16" i="10"/>
  <c r="AD416" i="10"/>
  <c r="Y16" i="10"/>
  <c r="V16" i="10"/>
  <c r="AU416" i="10"/>
  <c r="T16" i="10"/>
  <c r="AL416" i="10"/>
  <c r="Q16" i="10"/>
  <c r="AV16" i="10"/>
  <c r="AB16" i="10"/>
  <c r="P16" i="10"/>
  <c r="AR16" i="10"/>
  <c r="AY16" i="10"/>
  <c r="Z416" i="10"/>
  <c r="M16" i="10"/>
  <c r="AE416" i="10"/>
  <c r="AI416" i="10"/>
  <c r="Q416" i="10"/>
  <c r="L416" i="10"/>
  <c r="G196" i="10"/>
  <c r="BD196" i="26"/>
  <c r="AT12" i="10"/>
  <c r="AO412" i="10"/>
  <c r="AQ412" i="10"/>
  <c r="Q12" i="10"/>
  <c r="Y12" i="10"/>
  <c r="AK412" i="10"/>
  <c r="V12" i="10"/>
  <c r="AM142" i="26"/>
  <c r="Q142" i="26" s="1"/>
  <c r="AU142" i="26"/>
  <c r="S142" i="26" s="1"/>
  <c r="AD217" i="26"/>
  <c r="AD330" i="26"/>
  <c r="AD329" i="26"/>
  <c r="AD343" i="26"/>
  <c r="AM162" i="26"/>
  <c r="Q162" i="26" s="1"/>
  <c r="P162" i="26" s="1"/>
  <c r="AM354" i="26"/>
  <c r="Q354" i="26" s="1"/>
  <c r="F354" i="9" s="1"/>
  <c r="Z354" i="9" s="1"/>
  <c r="AA354" i="9" s="1"/>
  <c r="AE496" i="26"/>
  <c r="AD496" i="26"/>
  <c r="AD422" i="26"/>
  <c r="AE422" i="26"/>
  <c r="AC422" i="26"/>
  <c r="BE422" i="26" s="1"/>
  <c r="AD42" i="26"/>
  <c r="AE476" i="26"/>
  <c r="AD476" i="26"/>
  <c r="AD449" i="26"/>
  <c r="AL449" i="26" s="1"/>
  <c r="AS449" i="26" s="1"/>
  <c r="AE449" i="26"/>
  <c r="AD421" i="26"/>
  <c r="AE421" i="26"/>
  <c r="AM43" i="26"/>
  <c r="Q43" i="26" s="1"/>
  <c r="AE459" i="26"/>
  <c r="AC459" i="26"/>
  <c r="AD459" i="26"/>
  <c r="AD417" i="26"/>
  <c r="AE417" i="26"/>
  <c r="Z196" i="10"/>
  <c r="W196" i="10"/>
  <c r="AG596" i="10"/>
  <c r="AK196" i="10"/>
  <c r="X596" i="10"/>
  <c r="AY596" i="10"/>
  <c r="U596" i="10"/>
  <c r="P196" i="10"/>
  <c r="AT196" i="10"/>
  <c r="AO196" i="10"/>
  <c r="AX596" i="10"/>
  <c r="Q196" i="10"/>
  <c r="AE196" i="10"/>
  <c r="P596" i="10"/>
  <c r="N596" i="10"/>
  <c r="AW196" i="10"/>
  <c r="AI596" i="10"/>
  <c r="AN196" i="10"/>
  <c r="AJ196" i="10"/>
  <c r="AV596" i="10"/>
  <c r="K596" i="10"/>
  <c r="AR596" i="10"/>
  <c r="AQ196" i="10"/>
  <c r="T196" i="10"/>
  <c r="AS196" i="10"/>
  <c r="L196" i="10"/>
  <c r="AA596" i="10"/>
  <c r="AN596" i="10"/>
  <c r="AD196" i="10"/>
  <c r="N196" i="10"/>
  <c r="AF596" i="10"/>
  <c r="AO596" i="10"/>
  <c r="V196" i="10"/>
  <c r="AI196" i="10"/>
  <c r="AR196" i="10"/>
  <c r="AW596" i="10"/>
  <c r="M596" i="10"/>
  <c r="Z596" i="10"/>
  <c r="AM596" i="10"/>
  <c r="AC596" i="10"/>
  <c r="S596" i="10"/>
  <c r="AM196" i="10"/>
  <c r="Y196" i="10"/>
  <c r="AF196" i="10"/>
  <c r="AX196" i="10"/>
  <c r="J596" i="10"/>
  <c r="O596" i="10"/>
  <c r="AP196" i="10"/>
  <c r="O196" i="10"/>
  <c r="AJ596" i="10"/>
  <c r="X196" i="10"/>
  <c r="AA196" i="10"/>
  <c r="R196" i="10"/>
  <c r="AE596" i="10"/>
  <c r="Y596" i="10"/>
  <c r="AT596" i="10"/>
  <c r="AG196" i="10"/>
  <c r="AL196" i="10"/>
  <c r="AH596" i="10"/>
  <c r="R596" i="10"/>
  <c r="M196" i="10"/>
  <c r="AC196" i="10"/>
  <c r="AH196" i="10"/>
  <c r="AB596" i="10"/>
  <c r="AD596" i="10"/>
  <c r="AS596" i="10"/>
  <c r="L596" i="10"/>
  <c r="AQ596" i="10"/>
  <c r="V596" i="10"/>
  <c r="T596" i="10"/>
  <c r="AY196" i="10"/>
  <c r="Q596" i="10"/>
  <c r="W596" i="10"/>
  <c r="AU596" i="10"/>
  <c r="S196" i="10"/>
  <c r="U196" i="10"/>
  <c r="AP596" i="10"/>
  <c r="K196" i="10"/>
  <c r="AK596" i="10"/>
  <c r="AL596" i="10"/>
  <c r="AB196" i="10"/>
  <c r="AV196" i="10"/>
  <c r="J196" i="10"/>
  <c r="H175" i="6"/>
  <c r="H175" i="9"/>
  <c r="AD29" i="26"/>
  <c r="AD537" i="26"/>
  <c r="AE537" i="26"/>
  <c r="AC537" i="26"/>
  <c r="BE537" i="26" s="1"/>
  <c r="AE66" i="6"/>
  <c r="Z66" i="6"/>
  <c r="AG66" i="6" s="1"/>
  <c r="AC496" i="26"/>
  <c r="BE496" i="26" s="1"/>
  <c r="BF458" i="26"/>
  <c r="AY458" i="26"/>
  <c r="S458" i="26" s="1"/>
  <c r="AZ458" i="26"/>
  <c r="BB458" i="26" s="1"/>
  <c r="BA458" i="26" s="1"/>
  <c r="N103" i="26"/>
  <c r="W103" i="27"/>
  <c r="E103" i="27" s="1"/>
  <c r="F103" i="10"/>
  <c r="AI503" i="10" s="1"/>
  <c r="W75" i="27"/>
  <c r="E75" i="27" s="1"/>
  <c r="F75" i="10"/>
  <c r="AC332" i="9"/>
  <c r="AH332" i="9" s="1"/>
  <c r="AF332" i="9"/>
  <c r="H224" i="6"/>
  <c r="H224" i="9"/>
  <c r="R224" i="26"/>
  <c r="G261" i="9"/>
  <c r="AY451" i="26"/>
  <c r="S451" i="26" s="1"/>
  <c r="AD120" i="26"/>
  <c r="AD182" i="26"/>
  <c r="BB325" i="10"/>
  <c r="BC325" i="10" s="1"/>
  <c r="H302" i="27"/>
  <c r="AC94" i="6"/>
  <c r="F105" i="10"/>
  <c r="W105" i="27"/>
  <c r="E105" i="27" s="1"/>
  <c r="N105" i="26"/>
  <c r="AM329" i="26"/>
  <c r="Q329" i="26" s="1"/>
  <c r="AU326" i="26"/>
  <c r="S326" i="26" s="1"/>
  <c r="AM326" i="26"/>
  <c r="Q326" i="26" s="1"/>
  <c r="G98" i="9"/>
  <c r="BE98" i="26"/>
  <c r="G98" i="6"/>
  <c r="AF45" i="9"/>
  <c r="AC45" i="9"/>
  <c r="AH45" i="9" s="1"/>
  <c r="AD224" i="26"/>
  <c r="AM22" i="26"/>
  <c r="Q22" i="26" s="1"/>
  <c r="AE460" i="26"/>
  <c r="AD460" i="26"/>
  <c r="AD32" i="26"/>
  <c r="AM343" i="26"/>
  <c r="Q343" i="26" s="1"/>
  <c r="AU343" i="26"/>
  <c r="S343" i="26" s="1"/>
  <c r="H347" i="6"/>
  <c r="H347" i="9"/>
  <c r="AC298" i="6"/>
  <c r="AH298" i="6" s="1"/>
  <c r="AF298" i="6"/>
  <c r="AY23" i="26"/>
  <c r="AX23" i="26" s="1"/>
  <c r="AE465" i="26"/>
  <c r="AD465" i="26"/>
  <c r="AD107" i="26"/>
  <c r="H159" i="27"/>
  <c r="Z273" i="6"/>
  <c r="AG273" i="6" s="1"/>
  <c r="AM103" i="26"/>
  <c r="Q103" i="26" s="1"/>
  <c r="AE510" i="26"/>
  <c r="AD510" i="26"/>
  <c r="AC510" i="26"/>
  <c r="BE510" i="26" s="1"/>
  <c r="AD485" i="26"/>
  <c r="AC485" i="26"/>
  <c r="AE485" i="26"/>
  <c r="H354" i="9"/>
  <c r="H354" i="6"/>
  <c r="AF105" i="6"/>
  <c r="AC105" i="6"/>
  <c r="AH105" i="6" s="1"/>
  <c r="AM135" i="26"/>
  <c r="Q135" i="26" s="1"/>
  <c r="AM358" i="26"/>
  <c r="Q358" i="26" s="1"/>
  <c r="AU358" i="26"/>
  <c r="S358" i="26" s="1"/>
  <c r="AY326" i="26"/>
  <c r="AX326" i="26" s="1"/>
  <c r="AE98" i="6"/>
  <c r="Z98" i="6"/>
  <c r="AG98" i="6" s="1"/>
  <c r="AE474" i="26"/>
  <c r="AD474" i="26"/>
  <c r="AF298" i="9"/>
  <c r="AC298" i="9"/>
  <c r="AH298" i="9" s="1"/>
  <c r="AE273" i="9"/>
  <c r="AG273" i="9"/>
  <c r="AM139" i="26"/>
  <c r="Q139" i="26" s="1"/>
  <c r="AU139" i="26"/>
  <c r="S139" i="26" s="1"/>
  <c r="H103" i="6"/>
  <c r="R103" i="26"/>
  <c r="H103" i="9"/>
  <c r="AE145" i="6"/>
  <c r="Z145" i="6"/>
  <c r="AG145" i="6" s="1"/>
  <c r="AC474" i="26"/>
  <c r="I105" i="6"/>
  <c r="I105" i="9"/>
  <c r="AD493" i="26"/>
  <c r="AE493" i="26"/>
  <c r="AG493" i="26" s="1"/>
  <c r="G261" i="6"/>
  <c r="AM111" i="26"/>
  <c r="Q111" i="26" s="1"/>
  <c r="F111" i="9" s="1"/>
  <c r="Z111" i="9" s="1"/>
  <c r="AA111" i="9" s="1"/>
  <c r="AD93" i="26"/>
  <c r="R349" i="26"/>
  <c r="AC481" i="26"/>
  <c r="AY481" i="26" s="1"/>
  <c r="S481" i="26" s="1"/>
  <c r="AD259" i="26"/>
  <c r="O259" i="26" s="1"/>
  <c r="AD321" i="26"/>
  <c r="O321" i="26" s="1"/>
  <c r="AY444" i="26"/>
  <c r="S444" i="26" s="1"/>
  <c r="AZ444" i="26"/>
  <c r="BB444" i="26" s="1"/>
  <c r="BA444" i="26" s="1"/>
  <c r="H318" i="27"/>
  <c r="H308" i="27"/>
  <c r="AC94" i="9"/>
  <c r="AU340" i="26"/>
  <c r="S340" i="26" s="1"/>
  <c r="AM340" i="26"/>
  <c r="Q340" i="26" s="1"/>
  <c r="AC332" i="6"/>
  <c r="AH332" i="6" s="1"/>
  <c r="AF332" i="6"/>
  <c r="I45" i="6"/>
  <c r="I45" i="9"/>
  <c r="AE345" i="6"/>
  <c r="Z345" i="6"/>
  <c r="AG345" i="6" s="1"/>
  <c r="AM89" i="26"/>
  <c r="Q89" i="26" s="1"/>
  <c r="AY48" i="26"/>
  <c r="AX48" i="26" s="1"/>
  <c r="H22" i="6"/>
  <c r="H22" i="9"/>
  <c r="R22" i="26"/>
  <c r="G20" i="6"/>
  <c r="BE20" i="26"/>
  <c r="BF20" i="26" s="1"/>
  <c r="G20" i="9"/>
  <c r="AM334" i="26"/>
  <c r="Q334" i="26" s="1"/>
  <c r="BE332" i="26"/>
  <c r="G332" i="9"/>
  <c r="G332" i="6"/>
  <c r="I298" i="9"/>
  <c r="I298" i="6"/>
  <c r="AM58" i="10"/>
  <c r="U458" i="10"/>
  <c r="AN458" i="10"/>
  <c r="AF458" i="10"/>
  <c r="Z458" i="10"/>
  <c r="S458" i="10"/>
  <c r="AY458" i="10"/>
  <c r="AL58" i="10"/>
  <c r="AJ58" i="10"/>
  <c r="AL458" i="10"/>
  <c r="AH458" i="10"/>
  <c r="AF58" i="10"/>
  <c r="Q58" i="10"/>
  <c r="AW58" i="10"/>
  <c r="J458" i="10"/>
  <c r="T58" i="10"/>
  <c r="N458" i="10"/>
  <c r="AI458" i="10"/>
  <c r="AD58" i="10"/>
  <c r="AG458" i="10"/>
  <c r="N58" i="10"/>
  <c r="AC58" i="10"/>
  <c r="L58" i="10"/>
  <c r="AJ458" i="10"/>
  <c r="AP458" i="10"/>
  <c r="AY58" i="10"/>
  <c r="AR458" i="10"/>
  <c r="Z58" i="10"/>
  <c r="Y58" i="10"/>
  <c r="L458" i="10"/>
  <c r="X458" i="10"/>
  <c r="K458" i="10"/>
  <c r="AK458" i="10"/>
  <c r="AO58" i="10"/>
  <c r="AT58" i="10"/>
  <c r="M58" i="10"/>
  <c r="AS458" i="10"/>
  <c r="O458" i="10"/>
  <c r="AK58" i="10"/>
  <c r="AR58" i="10"/>
  <c r="AP58" i="10"/>
  <c r="AV458" i="10"/>
  <c r="AN58" i="10"/>
  <c r="J58" i="10"/>
  <c r="AQ458" i="10"/>
  <c r="AH58" i="10"/>
  <c r="AU458" i="10"/>
  <c r="AT458" i="10"/>
  <c r="AG58" i="10"/>
  <c r="AA58" i="10"/>
  <c r="X58" i="10"/>
  <c r="P58" i="10"/>
  <c r="AX458" i="10"/>
  <c r="U58" i="10"/>
  <c r="AE458" i="10"/>
  <c r="R58" i="10"/>
  <c r="AC458" i="10"/>
  <c r="AQ58" i="10"/>
  <c r="P458" i="10"/>
  <c r="K58" i="10"/>
  <c r="R458" i="10"/>
  <c r="AS58" i="10"/>
  <c r="AA458" i="10"/>
  <c r="AM458" i="10"/>
  <c r="AW458" i="10"/>
  <c r="O58" i="10"/>
  <c r="S58" i="10"/>
  <c r="AV58" i="10"/>
  <c r="AD458" i="10"/>
  <c r="M458" i="10"/>
  <c r="T458" i="10"/>
  <c r="Y458" i="10"/>
  <c r="Q458" i="10"/>
  <c r="AB58" i="10"/>
  <c r="AI58" i="10"/>
  <c r="AO458" i="10"/>
  <c r="W458" i="10"/>
  <c r="V458" i="10"/>
  <c r="AE58" i="10"/>
  <c r="AX58" i="10"/>
  <c r="W58" i="10"/>
  <c r="AB458" i="10"/>
  <c r="V58" i="10"/>
  <c r="AD245" i="26"/>
  <c r="AM59" i="26"/>
  <c r="Q59" i="26" s="1"/>
  <c r="AC460" i="26"/>
  <c r="BE460" i="26" s="1"/>
  <c r="AM122" i="26"/>
  <c r="Q122" i="26" s="1"/>
  <c r="G145" i="6"/>
  <c r="BE145" i="26"/>
  <c r="BF145" i="26" s="1"/>
  <c r="G145" i="9"/>
  <c r="W359" i="27"/>
  <c r="E359" i="27" s="1"/>
  <c r="AY49" i="26"/>
  <c r="AX49" i="26" s="1"/>
  <c r="AC465" i="26"/>
  <c r="BE465" i="26" s="1"/>
  <c r="I94" i="6"/>
  <c r="I94" i="9"/>
  <c r="AY340" i="26"/>
  <c r="AX340" i="26" s="1"/>
  <c r="AF45" i="6"/>
  <c r="AC45" i="6"/>
  <c r="AH45" i="6" s="1"/>
  <c r="AE415" i="26"/>
  <c r="AD415" i="26"/>
  <c r="AL415" i="26" s="1"/>
  <c r="AS415" i="26" s="1"/>
  <c r="AM23" i="26"/>
  <c r="Q23" i="26" s="1"/>
  <c r="AU23" i="26"/>
  <c r="S23" i="26" s="1"/>
  <c r="AE481" i="26"/>
  <c r="AD481" i="26"/>
  <c r="AD469" i="26"/>
  <c r="AE469" i="26"/>
  <c r="BD340" i="26"/>
  <c r="G340" i="10"/>
  <c r="V340" i="27"/>
  <c r="AA340" i="27" s="1"/>
  <c r="AU49" i="26"/>
  <c r="S49" i="26" s="1"/>
  <c r="AM49" i="26"/>
  <c r="Q49" i="26" s="1"/>
  <c r="P49" i="26" s="1"/>
  <c r="X49" i="27" s="1"/>
  <c r="AB49" i="27" s="1"/>
  <c r="AD358" i="26"/>
  <c r="AC51" i="6"/>
  <c r="AH51" i="6" s="1"/>
  <c r="AG458" i="26"/>
  <c r="AM128" i="26"/>
  <c r="Q128" i="26" s="1"/>
  <c r="P128" i="26" s="1"/>
  <c r="X128" i="27" s="1"/>
  <c r="AB128" i="27" s="1"/>
  <c r="AD185" i="26"/>
  <c r="AL451" i="26"/>
  <c r="AI514" i="26"/>
  <c r="AK514" i="26" s="1"/>
  <c r="AI503" i="26"/>
  <c r="AK503" i="26" s="1"/>
  <c r="AM138" i="26"/>
  <c r="Q138" i="26" s="1"/>
  <c r="AY455" i="26"/>
  <c r="AG455" i="26"/>
  <c r="AM259" i="26"/>
  <c r="Q259" i="26" s="1"/>
  <c r="AD235" i="26"/>
  <c r="F76" i="27"/>
  <c r="F360" i="27"/>
  <c r="I332" i="6"/>
  <c r="I332" i="9"/>
  <c r="AD516" i="26"/>
  <c r="AE516" i="26"/>
  <c r="AG516" i="26" s="1"/>
  <c r="AC516" i="26"/>
  <c r="BE516" i="26" s="1"/>
  <c r="AE477" i="26"/>
  <c r="AD477" i="26"/>
  <c r="AM197" i="26"/>
  <c r="Q197" i="26" s="1"/>
  <c r="BE345" i="26"/>
  <c r="G345" i="9"/>
  <c r="G345" i="6"/>
  <c r="H291" i="9"/>
  <c r="R291" i="26"/>
  <c r="H291" i="6"/>
  <c r="AU48" i="26"/>
  <c r="S48" i="26" s="1"/>
  <c r="AM48" i="26"/>
  <c r="Q48" i="26" s="1"/>
  <c r="AE20" i="6"/>
  <c r="Z20" i="6"/>
  <c r="AG20" i="6" s="1"/>
  <c r="G323" i="10"/>
  <c r="BD323" i="26"/>
  <c r="BF323" i="26" s="1"/>
  <c r="N75" i="26"/>
  <c r="AL444" i="26"/>
  <c r="AS444" i="26" s="1"/>
  <c r="AU379" i="26"/>
  <c r="S379" i="26" s="1"/>
  <c r="AM347" i="26"/>
  <c r="Q347" i="26" s="1"/>
  <c r="Z332" i="6"/>
  <c r="AG332" i="6" s="1"/>
  <c r="AE332" i="6"/>
  <c r="AU127" i="26"/>
  <c r="S127" i="26" s="1"/>
  <c r="AM127" i="26"/>
  <c r="Q127" i="26" s="1"/>
  <c r="G273" i="9"/>
  <c r="BE273" i="26"/>
  <c r="BF273" i="26" s="1"/>
  <c r="G273" i="6"/>
  <c r="AM291" i="26"/>
  <c r="Q291" i="26" s="1"/>
  <c r="AP229" i="26"/>
  <c r="AO229" i="26" s="1"/>
  <c r="H162" i="9"/>
  <c r="AC162" i="9" s="1"/>
  <c r="AD162" i="9" s="1"/>
  <c r="R162" i="26"/>
  <c r="H162" i="6"/>
  <c r="AD439" i="26"/>
  <c r="AE439" i="26"/>
  <c r="AC439" i="26"/>
  <c r="BE439" i="26" s="1"/>
  <c r="AD223" i="26"/>
  <c r="AD71" i="26"/>
  <c r="AD354" i="26"/>
  <c r="AC105" i="9"/>
  <c r="AH105" i="9" s="1"/>
  <c r="AF105" i="9"/>
  <c r="AD135" i="26"/>
  <c r="O135" i="26" s="1"/>
  <c r="AD445" i="26"/>
  <c r="AE445" i="26"/>
  <c r="AC445" i="26"/>
  <c r="BE445" i="26" s="1"/>
  <c r="AM170" i="26"/>
  <c r="Q170" i="26" s="1"/>
  <c r="I180" i="9"/>
  <c r="I180" i="6"/>
  <c r="I79" i="6"/>
  <c r="I79" i="9"/>
  <c r="AD228" i="26"/>
  <c r="AD350" i="26"/>
  <c r="R77" i="26"/>
  <c r="I77" i="6" s="1"/>
  <c r="AD283" i="26"/>
  <c r="AY181" i="26"/>
  <c r="AX181" i="26" s="1"/>
  <c r="N175" i="26"/>
  <c r="F175" i="10"/>
  <c r="W175" i="27"/>
  <c r="E175" i="27" s="1"/>
  <c r="AM17" i="26"/>
  <c r="Q17" i="26" s="1"/>
  <c r="P17" i="26" s="1"/>
  <c r="X17" i="27" s="1"/>
  <c r="AB17" i="27" s="1"/>
  <c r="AU17" i="26"/>
  <c r="S17" i="26" s="1"/>
  <c r="AE538" i="26"/>
  <c r="AD538" i="26"/>
  <c r="AC538" i="26"/>
  <c r="AY161" i="26"/>
  <c r="AX161" i="26" s="1"/>
  <c r="N279" i="26"/>
  <c r="F279" i="10"/>
  <c r="W279" i="27"/>
  <c r="E279" i="27" s="1"/>
  <c r="AI500" i="26"/>
  <c r="AK500" i="26" s="1"/>
  <c r="AM276" i="26"/>
  <c r="Q276" i="26" s="1"/>
  <c r="AD270" i="26"/>
  <c r="H255" i="6"/>
  <c r="H255" i="9"/>
  <c r="R255" i="26"/>
  <c r="AY482" i="26"/>
  <c r="S482" i="26" s="1"/>
  <c r="AG482" i="26"/>
  <c r="AQ482" i="26" s="1"/>
  <c r="AZ482" i="26"/>
  <c r="BB482" i="26" s="1"/>
  <c r="BA482" i="26" s="1"/>
  <c r="BF482" i="26"/>
  <c r="H342" i="9"/>
  <c r="AC342" i="9" s="1"/>
  <c r="R342" i="26"/>
  <c r="H342" i="6"/>
  <c r="AC235" i="6"/>
  <c r="AH235" i="6" s="1"/>
  <c r="AF235" i="6"/>
  <c r="AM183" i="26"/>
  <c r="Q183" i="26" s="1"/>
  <c r="P183" i="26" s="1"/>
  <c r="X183" i="27" s="1"/>
  <c r="AB183" i="27" s="1"/>
  <c r="AC141" i="6"/>
  <c r="AH141" i="6" s="1"/>
  <c r="AF141" i="6"/>
  <c r="AC53" i="6"/>
  <c r="AD440" i="26"/>
  <c r="AE440" i="26"/>
  <c r="AD240" i="26"/>
  <c r="AE530" i="26"/>
  <c r="AD530" i="26"/>
  <c r="AC530" i="26"/>
  <c r="BE530" i="26" s="1"/>
  <c r="AY57" i="26"/>
  <c r="AX57" i="26" s="1"/>
  <c r="AC321" i="6"/>
  <c r="H299" i="27"/>
  <c r="AE137" i="6"/>
  <c r="Z137" i="6"/>
  <c r="AG137" i="6" s="1"/>
  <c r="AG483" i="26"/>
  <c r="AZ483" i="26"/>
  <c r="BB483" i="26" s="1"/>
  <c r="BA483" i="26" s="1"/>
  <c r="AY483" i="26"/>
  <c r="S483" i="26" s="1"/>
  <c r="BF483" i="26"/>
  <c r="AF173" i="9"/>
  <c r="AC173" i="9"/>
  <c r="AH173" i="9" s="1"/>
  <c r="I81" i="6"/>
  <c r="I81" i="9"/>
  <c r="H261" i="6"/>
  <c r="H261" i="9"/>
  <c r="R261" i="26"/>
  <c r="BB332" i="10"/>
  <c r="BC332" i="10" s="1"/>
  <c r="BA332" i="10"/>
  <c r="W180" i="27"/>
  <c r="E180" i="27" s="1"/>
  <c r="F180" i="10"/>
  <c r="I141" i="6"/>
  <c r="I141" i="9"/>
  <c r="N180" i="26"/>
  <c r="AF242" i="6"/>
  <c r="AC242" i="6"/>
  <c r="AH242" i="6" s="1"/>
  <c r="AU190" i="26"/>
  <c r="S190" i="26" s="1"/>
  <c r="AM190" i="26"/>
  <c r="Q190" i="26" s="1"/>
  <c r="H83" i="27"/>
  <c r="AP221" i="26"/>
  <c r="AO221" i="26" s="1"/>
  <c r="AC173" i="6"/>
  <c r="AH173" i="6" s="1"/>
  <c r="AF173" i="6"/>
  <c r="AU58" i="26"/>
  <c r="S58" i="26" s="1"/>
  <c r="AM58" i="26"/>
  <c r="Q58" i="26" s="1"/>
  <c r="F257" i="27"/>
  <c r="F332" i="27"/>
  <c r="AM165" i="26"/>
  <c r="Q165" i="26" s="1"/>
  <c r="AU165" i="26"/>
  <c r="S165" i="26" s="1"/>
  <c r="R165" i="26" s="1"/>
  <c r="F261" i="9"/>
  <c r="Z261" i="9" s="1"/>
  <c r="AA261" i="9" s="1"/>
  <c r="F261" i="6"/>
  <c r="Y261" i="27"/>
  <c r="G261" i="27" s="1"/>
  <c r="AD307" i="10"/>
  <c r="U307" i="10"/>
  <c r="U707" i="10"/>
  <c r="AC707" i="10"/>
  <c r="P307" i="10"/>
  <c r="W707" i="10"/>
  <c r="V707" i="10"/>
  <c r="AI707" i="10"/>
  <c r="AS307" i="10"/>
  <c r="AW707" i="10"/>
  <c r="AV707" i="10"/>
  <c r="W307" i="10"/>
  <c r="AH707" i="10"/>
  <c r="AY307" i="10"/>
  <c r="AV307" i="10"/>
  <c r="R307" i="10"/>
  <c r="AI307" i="10"/>
  <c r="AB307" i="10"/>
  <c r="Q307" i="10"/>
  <c r="AR707" i="10"/>
  <c r="AD707" i="10"/>
  <c r="O707" i="10"/>
  <c r="T307" i="10"/>
  <c r="AB707" i="10"/>
  <c r="M707" i="10"/>
  <c r="J307" i="10"/>
  <c r="K707" i="10"/>
  <c r="P707" i="10"/>
  <c r="AE707" i="10"/>
  <c r="Q707" i="10"/>
  <c r="AJ707" i="10"/>
  <c r="AX307" i="10"/>
  <c r="X707" i="10"/>
  <c r="V307" i="10"/>
  <c r="AL307" i="10"/>
  <c r="AL707" i="10"/>
  <c r="AF307" i="10"/>
  <c r="AT707" i="10"/>
  <c r="AP307" i="10"/>
  <c r="AJ307" i="10"/>
  <c r="AK707" i="10"/>
  <c r="N307" i="10"/>
  <c r="AM307" i="10"/>
  <c r="AO707" i="10"/>
  <c r="AW307" i="10"/>
  <c r="AO307" i="10"/>
  <c r="AT307" i="10"/>
  <c r="L307" i="10"/>
  <c r="L707" i="10"/>
  <c r="AQ307" i="10"/>
  <c r="R707" i="10"/>
  <c r="S307" i="10"/>
  <c r="AS707" i="10"/>
  <c r="AX707" i="10"/>
  <c r="AU707" i="10"/>
  <c r="O307" i="10"/>
  <c r="AN307" i="10"/>
  <c r="AR307" i="10"/>
  <c r="Y707" i="10"/>
  <c r="AA707" i="10"/>
  <c r="Z307" i="10"/>
  <c r="M307" i="10"/>
  <c r="AC307" i="10"/>
  <c r="AQ707" i="10"/>
  <c r="T707" i="10"/>
  <c r="Z707" i="10"/>
  <c r="AK307" i="10"/>
  <c r="AE307" i="10"/>
  <c r="AF707" i="10"/>
  <c r="X307" i="10"/>
  <c r="AH307" i="10"/>
  <c r="Y307" i="10"/>
  <c r="AY707" i="10"/>
  <c r="N707" i="10"/>
  <c r="AG307" i="10"/>
  <c r="J707" i="10"/>
  <c r="AA307" i="10"/>
  <c r="S707" i="10"/>
  <c r="AP707" i="10"/>
  <c r="AM707" i="10"/>
  <c r="K307" i="10"/>
  <c r="AN707" i="10"/>
  <c r="AG707" i="10"/>
  <c r="AD241" i="26"/>
  <c r="AD206" i="26"/>
  <c r="H180" i="9"/>
  <c r="H180" i="6"/>
  <c r="AU117" i="26"/>
  <c r="S117" i="26" s="1"/>
  <c r="AM117" i="26"/>
  <c r="Q117" i="26" s="1"/>
  <c r="X117" i="10"/>
  <c r="AV517" i="10"/>
  <c r="M117" i="10"/>
  <c r="S117" i="10"/>
  <c r="Q117" i="10"/>
  <c r="Y517" i="10"/>
  <c r="AK117" i="10"/>
  <c r="AK517" i="10"/>
  <c r="U117" i="10"/>
  <c r="AM517" i="10"/>
  <c r="AO517" i="10"/>
  <c r="T117" i="10"/>
  <c r="L117" i="10"/>
  <c r="AY117" i="10"/>
  <c r="J117" i="10"/>
  <c r="AA117" i="10"/>
  <c r="AJ117" i="10"/>
  <c r="M517" i="10"/>
  <c r="AJ517" i="10"/>
  <c r="AN517" i="10"/>
  <c r="AR517" i="10"/>
  <c r="P117" i="10"/>
  <c r="AH517" i="10"/>
  <c r="AX517" i="10"/>
  <c r="Y117" i="10"/>
  <c r="P517" i="10"/>
  <c r="AD117" i="10"/>
  <c r="K117" i="10"/>
  <c r="AV117" i="10"/>
  <c r="T517" i="10"/>
  <c r="Z517" i="10"/>
  <c r="L517" i="10"/>
  <c r="X517" i="10"/>
  <c r="N117" i="10"/>
  <c r="K517" i="10"/>
  <c r="V117" i="10"/>
  <c r="AR117" i="10"/>
  <c r="W117" i="10"/>
  <c r="AT517" i="10"/>
  <c r="AL117" i="10"/>
  <c r="AC517" i="10"/>
  <c r="AG117" i="10"/>
  <c r="AQ517" i="10"/>
  <c r="AM117" i="10"/>
  <c r="AF517" i="10"/>
  <c r="J517" i="10"/>
  <c r="S517" i="10"/>
  <c r="AW117" i="10"/>
  <c r="AD517" i="10"/>
  <c r="Z117" i="10"/>
  <c r="AQ117" i="10"/>
  <c r="AP117" i="10"/>
  <c r="AS117" i="10"/>
  <c r="AP517" i="10"/>
  <c r="V517" i="10"/>
  <c r="O117" i="10"/>
  <c r="AL517" i="10"/>
  <c r="AH117" i="10"/>
  <c r="AE117" i="10"/>
  <c r="U517" i="10"/>
  <c r="AW517" i="10"/>
  <c r="AI117" i="10"/>
  <c r="AC117" i="10"/>
  <c r="R117" i="10"/>
  <c r="R517" i="10"/>
  <c r="AB117" i="10"/>
  <c r="Q517" i="10"/>
  <c r="AT117" i="10"/>
  <c r="AE517" i="10"/>
  <c r="AU517" i="10"/>
  <c r="AO117" i="10"/>
  <c r="AA517" i="10"/>
  <c r="N517" i="10"/>
  <c r="AX117" i="10"/>
  <c r="AB517" i="10"/>
  <c r="W517" i="10"/>
  <c r="AI517" i="10"/>
  <c r="O517" i="10"/>
  <c r="AF117" i="10"/>
  <c r="AS517" i="10"/>
  <c r="AY517" i="10"/>
  <c r="AN117" i="10"/>
  <c r="AG517" i="10"/>
  <c r="AM77" i="26"/>
  <c r="Q77" i="26" s="1"/>
  <c r="AM192" i="26"/>
  <c r="Q192" i="26" s="1"/>
  <c r="F158" i="27"/>
  <c r="AY338" i="26"/>
  <c r="AX338" i="26" s="1"/>
  <c r="AM279" i="26"/>
  <c r="Q279" i="26" s="1"/>
  <c r="AU279" i="26"/>
  <c r="S279" i="26" s="1"/>
  <c r="AC242" i="9"/>
  <c r="AH242" i="9" s="1"/>
  <c r="AF242" i="9"/>
  <c r="AY190" i="26"/>
  <c r="AX190" i="26" s="1"/>
  <c r="I119" i="6"/>
  <c r="I119" i="9"/>
  <c r="AD527" i="26"/>
  <c r="AC527" i="26"/>
  <c r="BE527" i="26" s="1"/>
  <c r="AE527" i="26"/>
  <c r="AM330" i="26"/>
  <c r="Q330" i="26" s="1"/>
  <c r="AC440" i="26"/>
  <c r="BE440" i="26" s="1"/>
  <c r="V268" i="27"/>
  <c r="AA268" i="27" s="1"/>
  <c r="G268" i="10"/>
  <c r="BD268" i="26"/>
  <c r="AD193" i="26"/>
  <c r="Z242" i="6"/>
  <c r="AG242" i="6" s="1"/>
  <c r="AE242" i="6"/>
  <c r="AM181" i="26"/>
  <c r="Q181" i="26" s="1"/>
  <c r="AU181" i="26"/>
  <c r="S181" i="26" s="1"/>
  <c r="H79" i="9"/>
  <c r="H79" i="6"/>
  <c r="AY17" i="26"/>
  <c r="AX17" i="26" s="1"/>
  <c r="AD437" i="26"/>
  <c r="AC437" i="26"/>
  <c r="BE437" i="26" s="1"/>
  <c r="AE437" i="26"/>
  <c r="BA323" i="10"/>
  <c r="BB323" i="10"/>
  <c r="BC323" i="10" s="1"/>
  <c r="H330" i="6"/>
  <c r="AC330" i="6" s="1"/>
  <c r="H330" i="9"/>
  <c r="AC330" i="9" s="1"/>
  <c r="AF235" i="9"/>
  <c r="AC235" i="9"/>
  <c r="AH235" i="9" s="1"/>
  <c r="AY480" i="26"/>
  <c r="S480" i="26" s="1"/>
  <c r="BF480" i="26"/>
  <c r="AG480" i="26"/>
  <c r="AQ480" i="26" s="1"/>
  <c r="AZ480" i="26"/>
  <c r="AY415" i="26"/>
  <c r="S415" i="26" s="1"/>
  <c r="AZ415" i="26"/>
  <c r="BB415" i="26" s="1"/>
  <c r="BA415" i="26" s="1"/>
  <c r="AC119" i="9"/>
  <c r="AH119" i="9" s="1"/>
  <c r="AF119" i="9"/>
  <c r="AU57" i="26"/>
  <c r="S57" i="26" s="1"/>
  <c r="AM57" i="26"/>
  <c r="Q57" i="26" s="1"/>
  <c r="AE434" i="26"/>
  <c r="AD434" i="26"/>
  <c r="AL434" i="26" s="1"/>
  <c r="AS272" i="10"/>
  <c r="AX272" i="10"/>
  <c r="Y672" i="10"/>
  <c r="L272" i="10"/>
  <c r="W672" i="10"/>
  <c r="AU672" i="10"/>
  <c r="R672" i="10"/>
  <c r="AI672" i="10"/>
  <c r="AW672" i="10"/>
  <c r="Y272" i="10"/>
  <c r="AG672" i="10"/>
  <c r="AJ672" i="10"/>
  <c r="AP272" i="10"/>
  <c r="AD272" i="10"/>
  <c r="K672" i="10"/>
  <c r="AP672" i="10"/>
  <c r="AO272" i="10"/>
  <c r="S272" i="10"/>
  <c r="AQ672" i="10"/>
  <c r="AJ272" i="10"/>
  <c r="J272" i="10"/>
  <c r="U672" i="10"/>
  <c r="AN272" i="10"/>
  <c r="AF672" i="10"/>
  <c r="AA672" i="10"/>
  <c r="AH672" i="10"/>
  <c r="AB272" i="10"/>
  <c r="AX672" i="10"/>
  <c r="AM672" i="10"/>
  <c r="AV672" i="10"/>
  <c r="P672" i="10"/>
  <c r="AQ272" i="10"/>
  <c r="N672" i="10"/>
  <c r="AY272" i="10"/>
  <c r="AV272" i="10"/>
  <c r="L672" i="10"/>
  <c r="AW272" i="10"/>
  <c r="AE272" i="10"/>
  <c r="AB672" i="10"/>
  <c r="W272" i="10"/>
  <c r="Z272" i="10"/>
  <c r="AC272" i="10"/>
  <c r="AR272" i="10"/>
  <c r="AO672" i="10"/>
  <c r="X672" i="10"/>
  <c r="T672" i="10"/>
  <c r="Q272" i="10"/>
  <c r="AC672" i="10"/>
  <c r="K272" i="10"/>
  <c r="Q672" i="10"/>
  <c r="AL272" i="10"/>
  <c r="R272" i="10"/>
  <c r="AI272" i="10"/>
  <c r="AL672" i="10"/>
  <c r="O672" i="10"/>
  <c r="AE672" i="10"/>
  <c r="O272" i="10"/>
  <c r="AD672" i="10"/>
  <c r="J672" i="10"/>
  <c r="AK672" i="10"/>
  <c r="AM272" i="10"/>
  <c r="V672" i="10"/>
  <c r="AK272" i="10"/>
  <c r="AT672" i="10"/>
  <c r="V272" i="10"/>
  <c r="AN672" i="10"/>
  <c r="S672" i="10"/>
  <c r="AH272" i="10"/>
  <c r="AA272" i="10"/>
  <c r="T272" i="10"/>
  <c r="Z672" i="10"/>
  <c r="M672" i="10"/>
  <c r="AG272" i="10"/>
  <c r="X272" i="10"/>
  <c r="AY672" i="10"/>
  <c r="AR672" i="10"/>
  <c r="M272" i="10"/>
  <c r="AF272" i="10"/>
  <c r="AS672" i="10"/>
  <c r="N272" i="10"/>
  <c r="P272" i="10"/>
  <c r="U272" i="10"/>
  <c r="AT272" i="10"/>
  <c r="BE137" i="26"/>
  <c r="G137" i="9"/>
  <c r="G137" i="6"/>
  <c r="AL512" i="26"/>
  <c r="AZ434" i="26"/>
  <c r="BB434" i="26" s="1"/>
  <c r="BA434" i="26" s="1"/>
  <c r="AM290" i="26"/>
  <c r="Q290" i="26" s="1"/>
  <c r="Y290" i="27" s="1"/>
  <c r="G290" i="27" s="1"/>
  <c r="AD82" i="26"/>
  <c r="AM73" i="26"/>
  <c r="Q73" i="26" s="1"/>
  <c r="Y73" i="27" s="1"/>
  <c r="G73" i="27" s="1"/>
  <c r="AM362" i="26"/>
  <c r="Q362" i="26" s="1"/>
  <c r="F362" i="9" s="1"/>
  <c r="Z362" i="9" s="1"/>
  <c r="AA362" i="9" s="1"/>
  <c r="BA219" i="10"/>
  <c r="I112" i="6"/>
  <c r="AL502" i="26"/>
  <c r="AD110" i="26"/>
  <c r="AM356" i="26"/>
  <c r="Q356" i="26" s="1"/>
  <c r="F356" i="6" s="1"/>
  <c r="AM28" i="26"/>
  <c r="Q28" i="26" s="1"/>
  <c r="AM95" i="26"/>
  <c r="Q95" i="26" s="1"/>
  <c r="F95" i="9" s="1"/>
  <c r="Z95" i="9" s="1"/>
  <c r="AA95" i="9" s="1"/>
  <c r="G242" i="6"/>
  <c r="G242" i="9"/>
  <c r="BE242" i="26"/>
  <c r="I173" i="9"/>
  <c r="I173" i="6"/>
  <c r="AZ414" i="26"/>
  <c r="BB414" i="26" s="1"/>
  <c r="BA414" i="26" s="1"/>
  <c r="AY414" i="26"/>
  <c r="AU161" i="26"/>
  <c r="S161" i="26" s="1"/>
  <c r="AM161" i="26"/>
  <c r="Q161" i="26" s="1"/>
  <c r="N276" i="26"/>
  <c r="W276" i="27"/>
  <c r="E276" i="27" s="1"/>
  <c r="F276" i="10"/>
  <c r="AM270" i="26"/>
  <c r="Q270" i="26" s="1"/>
  <c r="BA158" i="10"/>
  <c r="BB158" i="10"/>
  <c r="BC158" i="10" s="1"/>
  <c r="AM91" i="26"/>
  <c r="Q91" i="26" s="1"/>
  <c r="AY251" i="26"/>
  <c r="AX251" i="26" s="1"/>
  <c r="AM205" i="26"/>
  <c r="Q205" i="26" s="1"/>
  <c r="I235" i="6"/>
  <c r="I235" i="9"/>
  <c r="AD183" i="26"/>
  <c r="AM180" i="26"/>
  <c r="Q180" i="26" s="1"/>
  <c r="AF141" i="9"/>
  <c r="AC141" i="9"/>
  <c r="AH141" i="9" s="1"/>
  <c r="AY117" i="26"/>
  <c r="AX117" i="26" s="1"/>
  <c r="AM78" i="26"/>
  <c r="Q78" i="26" s="1"/>
  <c r="U611" i="10"/>
  <c r="AM611" i="10"/>
  <c r="AQ211" i="10"/>
  <c r="AT211" i="10"/>
  <c r="AC611" i="10"/>
  <c r="AO611" i="10"/>
  <c r="AX611" i="10"/>
  <c r="AL611" i="10"/>
  <c r="Z611" i="10"/>
  <c r="V211" i="10"/>
  <c r="O611" i="10"/>
  <c r="AG211" i="10"/>
  <c r="X211" i="10"/>
  <c r="N611" i="10"/>
  <c r="AV611" i="10"/>
  <c r="AM211" i="10"/>
  <c r="AW211" i="10"/>
  <c r="AG611" i="10"/>
  <c r="AK611" i="10"/>
  <c r="W611" i="10"/>
  <c r="J211" i="10"/>
  <c r="N211" i="10"/>
  <c r="AX211" i="10"/>
  <c r="T611" i="10"/>
  <c r="S211" i="10"/>
  <c r="AA611" i="10"/>
  <c r="M211" i="10"/>
  <c r="AH211" i="10"/>
  <c r="AL211" i="10"/>
  <c r="AW611" i="10"/>
  <c r="Z211" i="10"/>
  <c r="AN611" i="10"/>
  <c r="AB611" i="10"/>
  <c r="AI211" i="10"/>
  <c r="AQ611" i="10"/>
  <c r="T211" i="10"/>
  <c r="AH611" i="10"/>
  <c r="AY611" i="10"/>
  <c r="Y611" i="10"/>
  <c r="Q611" i="10"/>
  <c r="AS611" i="10"/>
  <c r="K611" i="10"/>
  <c r="W211" i="10"/>
  <c r="AU611" i="10"/>
  <c r="AB211" i="10"/>
  <c r="O211" i="10"/>
  <c r="AS211" i="10"/>
  <c r="AO211" i="10"/>
  <c r="U211" i="10"/>
  <c r="AE211" i="10"/>
  <c r="M611" i="10"/>
  <c r="K211" i="10"/>
  <c r="AE611" i="10"/>
  <c r="P611" i="10"/>
  <c r="AA211" i="10"/>
  <c r="V611" i="10"/>
  <c r="Y211" i="10"/>
  <c r="AD211" i="10"/>
  <c r="AR611" i="10"/>
  <c r="P211" i="10"/>
  <c r="Q211" i="10"/>
  <c r="AT611" i="10"/>
  <c r="X611" i="10"/>
  <c r="AY211" i="10"/>
  <c r="AC211" i="10"/>
  <c r="AP211" i="10"/>
  <c r="J611" i="10"/>
  <c r="L211" i="10"/>
  <c r="AJ611" i="10"/>
  <c r="L611" i="10"/>
  <c r="AV211" i="10"/>
  <c r="AJ211" i="10"/>
  <c r="R611" i="10"/>
  <c r="AD611" i="10"/>
  <c r="R211" i="10"/>
  <c r="AN211" i="10"/>
  <c r="AF611" i="10"/>
  <c r="AF211" i="10"/>
  <c r="AI611" i="10"/>
  <c r="AR211" i="10"/>
  <c r="S611" i="10"/>
  <c r="AK211" i="10"/>
  <c r="AP611" i="10"/>
  <c r="AM120" i="26"/>
  <c r="Q120" i="26" s="1"/>
  <c r="AD311" i="26"/>
  <c r="O311" i="26" s="1"/>
  <c r="H259" i="9"/>
  <c r="H259" i="6"/>
  <c r="R259" i="26"/>
  <c r="AM338" i="26"/>
  <c r="Q338" i="26" s="1"/>
  <c r="AU338" i="26"/>
  <c r="S338" i="26" s="1"/>
  <c r="I242" i="6"/>
  <c r="I242" i="9"/>
  <c r="AC119" i="6"/>
  <c r="AH119" i="6" s="1"/>
  <c r="AF119" i="6"/>
  <c r="AM293" i="26"/>
  <c r="Q293" i="26" s="1"/>
  <c r="AU293" i="26"/>
  <c r="S293" i="26" s="1"/>
  <c r="AM31" i="26"/>
  <c r="Q31" i="26" s="1"/>
  <c r="AM18" i="26"/>
  <c r="Q18" i="26" s="1"/>
  <c r="AD81" i="26"/>
  <c r="I86" i="6"/>
  <c r="I86" i="9"/>
  <c r="W155" i="27"/>
  <c r="E155" i="27" s="1"/>
  <c r="F155" i="10"/>
  <c r="BB318" i="10"/>
  <c r="BC318" i="10" s="1"/>
  <c r="BA318" i="10"/>
  <c r="G4" i="30"/>
  <c r="AU193" i="26"/>
  <c r="S193" i="26" s="1"/>
  <c r="H193" i="9" s="1"/>
  <c r="AZ97" i="7"/>
  <c r="BA97" i="7" s="1"/>
  <c r="AC274" i="6"/>
  <c r="H380" i="27"/>
  <c r="F310" i="6"/>
  <c r="Y310" i="27"/>
  <c r="G310" i="27" s="1"/>
  <c r="F310" i="9"/>
  <c r="Z310" i="9" s="1"/>
  <c r="AA310" i="9" s="1"/>
  <c r="Z1523" i="10"/>
  <c r="Z1593" i="10" s="1"/>
  <c r="U393" i="7"/>
  <c r="AM185" i="26"/>
  <c r="Q185" i="26" s="1"/>
  <c r="BF478" i="26"/>
  <c r="AZ478" i="26"/>
  <c r="BB478" i="26" s="1"/>
  <c r="BA478" i="26" s="1"/>
  <c r="AY478" i="26"/>
  <c r="S478" i="26" s="1"/>
  <c r="I393" i="7"/>
  <c r="N1523" i="10"/>
  <c r="N1593" i="10" s="1"/>
  <c r="N1595" i="10" s="1"/>
  <c r="AT1297" i="10"/>
  <c r="AT1597" i="10" s="1"/>
  <c r="AO393" i="7"/>
  <c r="AI420" i="26"/>
  <c r="AK420" i="26" s="1"/>
  <c r="AM52" i="26"/>
  <c r="Q52" i="26" s="1"/>
  <c r="N356" i="26"/>
  <c r="F356" i="10"/>
  <c r="W356" i="27"/>
  <c r="E356" i="27" s="1"/>
  <c r="AD160" i="26"/>
  <c r="H28" i="6"/>
  <c r="H28" i="9"/>
  <c r="R28" i="26"/>
  <c r="H68" i="6"/>
  <c r="H68" i="9"/>
  <c r="R68" i="26"/>
  <c r="H15" i="6"/>
  <c r="H15" i="9"/>
  <c r="N375" i="26"/>
  <c r="F375" i="10"/>
  <c r="W375" i="27"/>
  <c r="E375" i="27" s="1"/>
  <c r="F289" i="27"/>
  <c r="AD250" i="26"/>
  <c r="AM70" i="26"/>
  <c r="Q70" i="26" s="1"/>
  <c r="AD95" i="26"/>
  <c r="H352" i="27"/>
  <c r="AL428" i="26"/>
  <c r="BA33" i="10"/>
  <c r="BB33" i="10"/>
  <c r="BC33" i="10" s="1"/>
  <c r="H84" i="27"/>
  <c r="AC370" i="9"/>
  <c r="AC351" i="9"/>
  <c r="AC151" i="6"/>
  <c r="X1523" i="10"/>
  <c r="X1593" i="10" s="1"/>
  <c r="S393" i="7"/>
  <c r="H72" i="9"/>
  <c r="H72" i="6"/>
  <c r="H349" i="6"/>
  <c r="H349" i="9"/>
  <c r="AM388" i="26"/>
  <c r="Q388" i="26" s="1"/>
  <c r="P388" i="26" s="1"/>
  <c r="X388" i="27" s="1"/>
  <c r="AB388" i="27" s="1"/>
  <c r="AD73" i="26"/>
  <c r="AL526" i="26"/>
  <c r="AM526" i="26" s="1"/>
  <c r="I92" i="9"/>
  <c r="I92" i="6"/>
  <c r="H26" i="6"/>
  <c r="H26" i="9"/>
  <c r="N141" i="26"/>
  <c r="F141" i="10"/>
  <c r="W141" i="27"/>
  <c r="E141" i="27" s="1"/>
  <c r="H132" i="27"/>
  <c r="U1523" i="10"/>
  <c r="U1593" i="10" s="1"/>
  <c r="P393" i="7"/>
  <c r="AD370" i="26"/>
  <c r="O370" i="26" s="1"/>
  <c r="AM381" i="26"/>
  <c r="Q381" i="26" s="1"/>
  <c r="AM157" i="26"/>
  <c r="Q157" i="26" s="1"/>
  <c r="AL518" i="26"/>
  <c r="AS518" i="26" s="1"/>
  <c r="AZ518" i="26"/>
  <c r="AY518" i="26"/>
  <c r="S518" i="26" s="1"/>
  <c r="H339" i="27"/>
  <c r="J192" i="10"/>
  <c r="AQ592" i="10"/>
  <c r="AC592" i="10"/>
  <c r="AD192" i="10"/>
  <c r="AM192" i="10"/>
  <c r="AC192" i="10"/>
  <c r="AF192" i="10"/>
  <c r="Z592" i="10"/>
  <c r="AS192" i="10"/>
  <c r="AK192" i="10"/>
  <c r="AQ192" i="10"/>
  <c r="AP592" i="10"/>
  <c r="N592" i="10"/>
  <c r="AL192" i="10"/>
  <c r="AX592" i="10"/>
  <c r="AH192" i="10"/>
  <c r="T192" i="10"/>
  <c r="AJ592" i="10"/>
  <c r="AO192" i="10"/>
  <c r="AM592" i="10"/>
  <c r="AE192" i="10"/>
  <c r="AO592" i="10"/>
  <c r="K192" i="10"/>
  <c r="Q592" i="10"/>
  <c r="S592" i="10"/>
  <c r="AG592" i="10"/>
  <c r="AU592" i="10"/>
  <c r="AY192" i="10"/>
  <c r="AK592" i="10"/>
  <c r="U192" i="10"/>
  <c r="AX192" i="10"/>
  <c r="X592" i="10"/>
  <c r="Y192" i="10"/>
  <c r="X192" i="10"/>
  <c r="N192" i="10"/>
  <c r="AR192" i="10"/>
  <c r="AB192" i="10"/>
  <c r="AN592" i="10"/>
  <c r="R192" i="10"/>
  <c r="AD592" i="10"/>
  <c r="AL592" i="10"/>
  <c r="Y592" i="10"/>
  <c r="W192" i="10"/>
  <c r="K592" i="10"/>
  <c r="R592" i="10"/>
  <c r="AV192" i="10"/>
  <c r="S192" i="10"/>
  <c r="P592" i="10"/>
  <c r="AV592" i="10"/>
  <c r="U592" i="10"/>
  <c r="O592" i="10"/>
  <c r="AB592" i="10"/>
  <c r="AI592" i="10"/>
  <c r="Q192" i="10"/>
  <c r="AS592" i="10"/>
  <c r="AR592" i="10"/>
  <c r="P192" i="10"/>
  <c r="AG192" i="10"/>
  <c r="AH592" i="10"/>
  <c r="L592" i="10"/>
  <c r="AT192" i="10"/>
  <c r="AE592" i="10"/>
  <c r="W592" i="10"/>
  <c r="AI192" i="10"/>
  <c r="M192" i="10"/>
  <c r="AJ192" i="10"/>
  <c r="AA592" i="10"/>
  <c r="Z192" i="10"/>
  <c r="M592" i="10"/>
  <c r="V192" i="10"/>
  <c r="AF592" i="10"/>
  <c r="AN192" i="10"/>
  <c r="V592" i="10"/>
  <c r="AW192" i="10"/>
  <c r="AP192" i="10"/>
  <c r="T592" i="10"/>
  <c r="AA192" i="10"/>
  <c r="AW592" i="10"/>
  <c r="AY592" i="10"/>
  <c r="AT592" i="10"/>
  <c r="J592" i="10"/>
  <c r="L192" i="10"/>
  <c r="O192" i="10"/>
  <c r="H160" i="9"/>
  <c r="H160" i="6"/>
  <c r="W1523" i="10"/>
  <c r="W1593" i="10" s="1"/>
  <c r="R393" i="7"/>
  <c r="R228" i="26"/>
  <c r="H228" i="6"/>
  <c r="H228" i="9"/>
  <c r="R191" i="26"/>
  <c r="H191" i="9"/>
  <c r="H191" i="6"/>
  <c r="F271" i="10"/>
  <c r="N271" i="26"/>
  <c r="W271" i="27"/>
  <c r="E271" i="27" s="1"/>
  <c r="H365" i="6"/>
  <c r="H365" i="9"/>
  <c r="R365" i="26"/>
  <c r="Z53" i="6"/>
  <c r="AD99" i="26"/>
  <c r="R110" i="26"/>
  <c r="H110" i="9"/>
  <c r="H110" i="6"/>
  <c r="AD383" i="26"/>
  <c r="O383" i="26" s="1"/>
  <c r="H70" i="6"/>
  <c r="H70" i="9"/>
  <c r="R70" i="26"/>
  <c r="AD265" i="26"/>
  <c r="H316" i="9"/>
  <c r="R316" i="26"/>
  <c r="H316" i="6"/>
  <c r="AO489" i="10"/>
  <c r="AN89" i="10"/>
  <c r="AG489" i="10"/>
  <c r="O489" i="10"/>
  <c r="Q489" i="10"/>
  <c r="R489" i="10"/>
  <c r="AW489" i="10"/>
  <c r="AD489" i="10"/>
  <c r="S89" i="10"/>
  <c r="T89" i="10"/>
  <c r="AR489" i="10"/>
  <c r="AF89" i="10"/>
  <c r="J89" i="10"/>
  <c r="AH89" i="10"/>
  <c r="AK89" i="10"/>
  <c r="AL489" i="10"/>
  <c r="AU489" i="10"/>
  <c r="Z89" i="10"/>
  <c r="AN489" i="10"/>
  <c r="AI489" i="10"/>
  <c r="P89" i="10"/>
  <c r="AV489" i="10"/>
  <c r="Z489" i="10"/>
  <c r="M489" i="10"/>
  <c r="W89" i="10"/>
  <c r="AM489" i="10"/>
  <c r="AH489" i="10"/>
  <c r="AY489" i="10"/>
  <c r="AB89" i="10"/>
  <c r="AK489" i="10"/>
  <c r="V489" i="10"/>
  <c r="P489" i="10"/>
  <c r="AJ89" i="10"/>
  <c r="N89" i="10"/>
  <c r="AF489" i="10"/>
  <c r="AJ489" i="10"/>
  <c r="AT89" i="10"/>
  <c r="AR89" i="10"/>
  <c r="AS89" i="10"/>
  <c r="T489" i="10"/>
  <c r="U89" i="10"/>
  <c r="AA89" i="10"/>
  <c r="AL89" i="10"/>
  <c r="AP489" i="10"/>
  <c r="AE89" i="10"/>
  <c r="AY89" i="10"/>
  <c r="AO89" i="10"/>
  <c r="AP89" i="10"/>
  <c r="AX489" i="10"/>
  <c r="AX89" i="10"/>
  <c r="AC89" i="10"/>
  <c r="AD89" i="10"/>
  <c r="AE489" i="10"/>
  <c r="AM89" i="10"/>
  <c r="K489" i="10"/>
  <c r="AC489" i="10"/>
  <c r="R89" i="10"/>
  <c r="AV89" i="10"/>
  <c r="O89" i="10"/>
  <c r="AA489" i="10"/>
  <c r="L489" i="10"/>
  <c r="AQ89" i="10"/>
  <c r="AG89" i="10"/>
  <c r="AS489" i="10"/>
  <c r="Y89" i="10"/>
  <c r="AQ489" i="10"/>
  <c r="U489" i="10"/>
  <c r="K89" i="10"/>
  <c r="J489" i="10"/>
  <c r="M89" i="10"/>
  <c r="V89" i="10"/>
  <c r="W489" i="10"/>
  <c r="N489" i="10"/>
  <c r="X89" i="10"/>
  <c r="Q89" i="10"/>
  <c r="S489" i="10"/>
  <c r="AB489" i="10"/>
  <c r="L89" i="10"/>
  <c r="AT489" i="10"/>
  <c r="X489" i="10"/>
  <c r="AW89" i="10"/>
  <c r="AI89" i="10"/>
  <c r="Y489" i="10"/>
  <c r="AU447" i="26"/>
  <c r="AH447" i="26"/>
  <c r="AJ447" i="26"/>
  <c r="AC154" i="6"/>
  <c r="F376" i="10"/>
  <c r="W376" i="27"/>
  <c r="E376" i="27" s="1"/>
  <c r="N376" i="26"/>
  <c r="G24" i="10"/>
  <c r="V24" i="27"/>
  <c r="AA24" i="27" s="1"/>
  <c r="BD24" i="26"/>
  <c r="N155" i="26"/>
  <c r="F92" i="10"/>
  <c r="N92" i="26"/>
  <c r="W92" i="27"/>
  <c r="E92" i="27" s="1"/>
  <c r="H200" i="9"/>
  <c r="H200" i="6"/>
  <c r="R200" i="26"/>
  <c r="F339" i="27"/>
  <c r="M1212" i="10"/>
  <c r="M1597" i="10" s="1"/>
  <c r="H393" i="7"/>
  <c r="H232" i="6"/>
  <c r="R232" i="26"/>
  <c r="H232" i="9"/>
  <c r="H222" i="9"/>
  <c r="H222" i="6"/>
  <c r="R250" i="26"/>
  <c r="H250" i="6"/>
  <c r="H250" i="9"/>
  <c r="AC77" i="9"/>
  <c r="W208" i="27"/>
  <c r="E208" i="27" s="1"/>
  <c r="N208" i="26"/>
  <c r="F208" i="10"/>
  <c r="I74" i="9"/>
  <c r="I74" i="6"/>
  <c r="AZ428" i="26"/>
  <c r="AY428" i="26"/>
  <c r="S428" i="26" s="1"/>
  <c r="H303" i="9"/>
  <c r="R303" i="26"/>
  <c r="H303" i="6"/>
  <c r="AM287" i="26"/>
  <c r="Q287" i="26" s="1"/>
  <c r="Y287" i="27" s="1"/>
  <c r="G287" i="27" s="1"/>
  <c r="W1594" i="10"/>
  <c r="BB219" i="10"/>
  <c r="BC219" i="10" s="1"/>
  <c r="AG457" i="26"/>
  <c r="BB97" i="7"/>
  <c r="BC97" i="7" s="1"/>
  <c r="AG466" i="26"/>
  <c r="AU466" i="26" s="1"/>
  <c r="Z391" i="27"/>
  <c r="H391" i="27"/>
  <c r="F21" i="10"/>
  <c r="W21" i="27"/>
  <c r="E21" i="27" s="1"/>
  <c r="H198" i="9"/>
  <c r="H198" i="6"/>
  <c r="H55" i="27"/>
  <c r="H112" i="6"/>
  <c r="H112" i="9"/>
  <c r="AM364" i="26"/>
  <c r="Q364" i="26" s="1"/>
  <c r="AD179" i="26"/>
  <c r="AD216" i="26"/>
  <c r="R26" i="26"/>
  <c r="H119" i="27"/>
  <c r="H166" i="6"/>
  <c r="H166" i="9"/>
  <c r="R166" i="26"/>
  <c r="AD345" i="26"/>
  <c r="H356" i="9"/>
  <c r="H356" i="6"/>
  <c r="AM160" i="26"/>
  <c r="Q160" i="26" s="1"/>
  <c r="N21" i="26"/>
  <c r="P310" i="26"/>
  <c r="X310" i="27" s="1"/>
  <c r="AB310" i="27" s="1"/>
  <c r="H60" i="6"/>
  <c r="R60" i="26"/>
  <c r="H60" i="9"/>
  <c r="BF339" i="26"/>
  <c r="H86" i="9"/>
  <c r="H86" i="6"/>
  <c r="H90" i="9"/>
  <c r="H90" i="6"/>
  <c r="R90" i="26"/>
  <c r="F188" i="10"/>
  <c r="W188" i="27"/>
  <c r="E188" i="27" s="1"/>
  <c r="N188" i="26"/>
  <c r="AN1523" i="10"/>
  <c r="AN1593" i="10" s="1"/>
  <c r="AI393" i="7"/>
  <c r="T1523" i="10"/>
  <c r="T1593" i="10" s="1"/>
  <c r="O393" i="7"/>
  <c r="AM110" i="26"/>
  <c r="Q110" i="26" s="1"/>
  <c r="AM93" i="26"/>
  <c r="Q93" i="26" s="1"/>
  <c r="AD70" i="26"/>
  <c r="O70" i="26" s="1"/>
  <c r="AM265" i="26"/>
  <c r="Q265" i="26" s="1"/>
  <c r="F46" i="27"/>
  <c r="BA13" i="10"/>
  <c r="BB13" i="10"/>
  <c r="BC13" i="10" s="1"/>
  <c r="AG478" i="26"/>
  <c r="AQ478" i="26" s="1"/>
  <c r="G393" i="7"/>
  <c r="R198" i="26"/>
  <c r="H168" i="27"/>
  <c r="BB503" i="26"/>
  <c r="BA503" i="26" s="1"/>
  <c r="H235" i="27"/>
  <c r="AL528" i="26"/>
  <c r="H105" i="27"/>
  <c r="H253" i="27"/>
  <c r="H314" i="27"/>
  <c r="AZ519" i="26"/>
  <c r="BB519" i="26" s="1"/>
  <c r="BA519" i="26" s="1"/>
  <c r="AY519" i="26"/>
  <c r="S519" i="26" s="1"/>
  <c r="AG489" i="26"/>
  <c r="AQ489" i="26" s="1"/>
  <c r="H236" i="27"/>
  <c r="BF466" i="26"/>
  <c r="AY466" i="26"/>
  <c r="S466" i="26" s="1"/>
  <c r="AZ466" i="26"/>
  <c r="AZ528" i="26"/>
  <c r="BB528" i="26" s="1"/>
  <c r="BA528" i="26" s="1"/>
  <c r="AY528" i="26"/>
  <c r="S528" i="26" s="1"/>
  <c r="AY489" i="26"/>
  <c r="S489" i="26" s="1"/>
  <c r="AZ489" i="26"/>
  <c r="BF489" i="26"/>
  <c r="AP244" i="26"/>
  <c r="AO244" i="26" s="1"/>
  <c r="AY502" i="26"/>
  <c r="S502" i="26" s="1"/>
  <c r="AZ502" i="26"/>
  <c r="BB502" i="26" s="1"/>
  <c r="BA502" i="26" s="1"/>
  <c r="H19" i="27"/>
  <c r="AL519" i="26"/>
  <c r="AS519" i="26" s="1"/>
  <c r="AP234" i="26"/>
  <c r="AO234" i="26" s="1"/>
  <c r="AY526" i="26"/>
  <c r="S526" i="26" s="1"/>
  <c r="AZ526" i="26"/>
  <c r="F302" i="27"/>
  <c r="F82" i="6"/>
  <c r="F82" i="9"/>
  <c r="Z82" i="9" s="1"/>
  <c r="AA82" i="9" s="1"/>
  <c r="P82" i="26"/>
  <c r="X82" i="27" s="1"/>
  <c r="AB82" i="27" s="1"/>
  <c r="Y82" i="27"/>
  <c r="G82" i="27" s="1"/>
  <c r="AI522" i="26"/>
  <c r="AK522" i="26" s="1"/>
  <c r="AI471" i="26"/>
  <c r="AK471" i="26" s="1"/>
  <c r="H388" i="9"/>
  <c r="R388" i="26"/>
  <c r="H388" i="6"/>
  <c r="AM266" i="26"/>
  <c r="Q266" i="26" s="1"/>
  <c r="AD62" i="26"/>
  <c r="Z1594" i="10"/>
  <c r="AK1594" i="10"/>
  <c r="N1594" i="10"/>
  <c r="AR1594" i="10"/>
  <c r="T1594" i="10"/>
  <c r="J1594" i="10"/>
  <c r="AA1594" i="10"/>
  <c r="AI1594" i="10"/>
  <c r="R1594" i="10"/>
  <c r="AL504" i="26"/>
  <c r="AS504" i="26" s="1"/>
  <c r="AY457" i="26"/>
  <c r="S457" i="26" s="1"/>
  <c r="AZ457" i="26"/>
  <c r="BF457" i="26"/>
  <c r="AM335" i="26"/>
  <c r="Q335" i="26" s="1"/>
  <c r="AM164" i="26"/>
  <c r="Q164" i="26" s="1"/>
  <c r="AD123" i="26"/>
  <c r="AL427" i="26"/>
  <c r="AS427" i="26" s="1"/>
  <c r="F218" i="27"/>
  <c r="F40" i="27"/>
  <c r="AC282" i="9"/>
  <c r="AB449" i="6"/>
  <c r="AD388" i="26"/>
  <c r="AD266" i="26"/>
  <c r="AB1594" i="10"/>
  <c r="S1594" i="10"/>
  <c r="Y1594" i="10"/>
  <c r="AS1594" i="10"/>
  <c r="P1594" i="10"/>
  <c r="AJ1594" i="10"/>
  <c r="AQ1594" i="10"/>
  <c r="V1594" i="10"/>
  <c r="AC1594" i="10"/>
  <c r="AE1594" i="10"/>
  <c r="I114" i="9"/>
  <c r="I114" i="6"/>
  <c r="AY500" i="26"/>
  <c r="S500" i="26" s="1"/>
  <c r="AZ500" i="26"/>
  <c r="H350" i="9"/>
  <c r="R350" i="26"/>
  <c r="H350" i="6"/>
  <c r="AD335" i="26"/>
  <c r="O335" i="26" s="1"/>
  <c r="H123" i="9"/>
  <c r="R123" i="26"/>
  <c r="H123" i="6"/>
  <c r="AL524" i="26"/>
  <c r="AS524" i="26" s="1"/>
  <c r="AC82" i="9"/>
  <c r="BF491" i="26"/>
  <c r="AY491" i="26"/>
  <c r="S491" i="26" s="1"/>
  <c r="AZ491" i="26"/>
  <c r="AE32" i="6"/>
  <c r="AD290" i="26"/>
  <c r="AD513" i="26"/>
  <c r="AE513" i="26"/>
  <c r="AG513" i="26" s="1"/>
  <c r="H217" i="27"/>
  <c r="R62" i="26"/>
  <c r="H62" i="9"/>
  <c r="H62" i="6"/>
  <c r="O1594" i="10"/>
  <c r="AL1594" i="10"/>
  <c r="AH1594" i="10"/>
  <c r="AG1594" i="10"/>
  <c r="Q1594" i="10"/>
  <c r="AN1594" i="10"/>
  <c r="AF1594" i="10"/>
  <c r="AT1594" i="10"/>
  <c r="K1594" i="10"/>
  <c r="AZ490" i="26"/>
  <c r="BF490" i="26"/>
  <c r="AY490" i="26"/>
  <c r="S490" i="26" s="1"/>
  <c r="AL500" i="26"/>
  <c r="F350" i="9"/>
  <c r="Z350" i="9" s="1"/>
  <c r="AA350" i="9" s="1"/>
  <c r="F350" i="6"/>
  <c r="P350" i="26"/>
  <c r="X350" i="27" s="1"/>
  <c r="AB350" i="27" s="1"/>
  <c r="Y350" i="27"/>
  <c r="G350" i="27" s="1"/>
  <c r="H164" i="9"/>
  <c r="R164" i="26"/>
  <c r="H164" i="6"/>
  <c r="AI461" i="26"/>
  <c r="AK461" i="26" s="1"/>
  <c r="AD522" i="26"/>
  <c r="AE522" i="26"/>
  <c r="AY524" i="26"/>
  <c r="S524" i="26" s="1"/>
  <c r="AZ524" i="26"/>
  <c r="AC513" i="26"/>
  <c r="BE513" i="26" s="1"/>
  <c r="H241" i="27"/>
  <c r="AC116" i="9"/>
  <c r="AI509" i="26"/>
  <c r="AK509" i="26" s="1"/>
  <c r="AZ512" i="26"/>
  <c r="AY512" i="26"/>
  <c r="S512" i="26" s="1"/>
  <c r="F131" i="10"/>
  <c r="W131" i="27"/>
  <c r="E131" i="27" s="1"/>
  <c r="N131" i="26"/>
  <c r="AI510" i="26"/>
  <c r="AK510" i="26" s="1"/>
  <c r="H266" i="9"/>
  <c r="R266" i="26"/>
  <c r="H266" i="6"/>
  <c r="AM281" i="26"/>
  <c r="Q281" i="26" s="1"/>
  <c r="AD287" i="26"/>
  <c r="AM62" i="26"/>
  <c r="Q62" i="26" s="1"/>
  <c r="AM1594" i="10"/>
  <c r="AD1594" i="10"/>
  <c r="X1594" i="10"/>
  <c r="L1594" i="10"/>
  <c r="M1594" i="10"/>
  <c r="U1594" i="10"/>
  <c r="AP1594" i="10"/>
  <c r="AO1594" i="10"/>
  <c r="AZ427" i="26"/>
  <c r="AY427" i="26"/>
  <c r="S427" i="26" s="1"/>
  <c r="AG490" i="26"/>
  <c r="AQ490" i="26" s="1"/>
  <c r="AY504" i="26"/>
  <c r="S504" i="26" s="1"/>
  <c r="AZ504" i="26"/>
  <c r="AB440" i="9"/>
  <c r="AI435" i="26"/>
  <c r="AK435" i="26" s="1"/>
  <c r="H335" i="9"/>
  <c r="H335" i="6"/>
  <c r="R335" i="26"/>
  <c r="AD164" i="26"/>
  <c r="AM123" i="26"/>
  <c r="Q123" i="26" s="1"/>
  <c r="BB525" i="26"/>
  <c r="BA525" i="26" s="1"/>
  <c r="H64" i="6"/>
  <c r="H64" i="9"/>
  <c r="R64" i="26"/>
  <c r="AY462" i="26"/>
  <c r="S462" i="26" s="1"/>
  <c r="AZ462" i="26"/>
  <c r="X342" i="27" l="1"/>
  <c r="AB342" i="27" s="1"/>
  <c r="BE15" i="26"/>
  <c r="X15" i="27"/>
  <c r="AB15" i="27" s="1"/>
  <c r="G372" i="9"/>
  <c r="X372" i="27"/>
  <c r="AB372" i="27" s="1"/>
  <c r="G36" i="6"/>
  <c r="X36" i="27"/>
  <c r="AB36" i="27" s="1"/>
  <c r="G85" i="9"/>
  <c r="X85" i="27"/>
  <c r="AB85" i="27" s="1"/>
  <c r="BE296" i="26"/>
  <c r="X296" i="27"/>
  <c r="AB296" i="27" s="1"/>
  <c r="G162" i="9"/>
  <c r="X162" i="27"/>
  <c r="AB162" i="27" s="1"/>
  <c r="X191" i="27"/>
  <c r="AB191" i="27" s="1"/>
  <c r="G99" i="9"/>
  <c r="X99" i="27"/>
  <c r="AB99" i="27" s="1"/>
  <c r="G200" i="9"/>
  <c r="X200" i="27"/>
  <c r="AB200" i="27" s="1"/>
  <c r="G16" i="6"/>
  <c r="X16" i="27"/>
  <c r="AB16" i="27" s="1"/>
  <c r="G368" i="9"/>
  <c r="X368" i="27"/>
  <c r="AB368" i="27" s="1"/>
  <c r="BE129" i="26"/>
  <c r="X129" i="27"/>
  <c r="AB129" i="27" s="1"/>
  <c r="F252" i="27"/>
  <c r="AA252" i="27"/>
  <c r="F118" i="27"/>
  <c r="AA118" i="27"/>
  <c r="Z118" i="27" s="1"/>
  <c r="F45" i="27"/>
  <c r="F352" i="27"/>
  <c r="AA352" i="27"/>
  <c r="F211" i="27"/>
  <c r="AA211" i="27"/>
  <c r="W352" i="27"/>
  <c r="E352" i="27" s="1"/>
  <c r="F150" i="10"/>
  <c r="AA319" i="10"/>
  <c r="AY319" i="10"/>
  <c r="AC319" i="10"/>
  <c r="AE319" i="10"/>
  <c r="AV319" i="10"/>
  <c r="N136" i="26"/>
  <c r="V136" i="27" s="1"/>
  <c r="F45" i="10"/>
  <c r="AC445" i="10" s="1"/>
  <c r="N359" i="26"/>
  <c r="F133" i="10"/>
  <c r="AY133" i="10" s="1"/>
  <c r="M319" i="10"/>
  <c r="AR719" i="10"/>
  <c r="AY719" i="10"/>
  <c r="AH319" i="10"/>
  <c r="W319" i="10"/>
  <c r="Z719" i="10"/>
  <c r="J719" i="10"/>
  <c r="T319" i="10"/>
  <c r="N719" i="10"/>
  <c r="AM719" i="10"/>
  <c r="L319" i="10"/>
  <c r="K719" i="10"/>
  <c r="U319" i="10"/>
  <c r="O319" i="10"/>
  <c r="AO319" i="10"/>
  <c r="N150" i="26"/>
  <c r="BD150" i="26" s="1"/>
  <c r="AP319" i="10"/>
  <c r="M719" i="10"/>
  <c r="AE719" i="10"/>
  <c r="U719" i="10"/>
  <c r="F65" i="10"/>
  <c r="AD465" i="10" s="1"/>
  <c r="AW719" i="10"/>
  <c r="N319" i="10"/>
  <c r="AV719" i="10"/>
  <c r="AH719" i="10"/>
  <c r="W719" i="10"/>
  <c r="AB719" i="10"/>
  <c r="Y719" i="10"/>
  <c r="AS319" i="10"/>
  <c r="AJ719" i="10"/>
  <c r="Z319" i="10"/>
  <c r="T719" i="10"/>
  <c r="AX719" i="10"/>
  <c r="J319" i="10"/>
  <c r="V719" i="10"/>
  <c r="X319" i="10"/>
  <c r="AU719" i="10"/>
  <c r="S719" i="10"/>
  <c r="K319" i="10"/>
  <c r="AL319" i="10"/>
  <c r="O719" i="10"/>
  <c r="G45" i="10"/>
  <c r="W65" i="27"/>
  <c r="E65" i="27" s="1"/>
  <c r="W45" i="27"/>
  <c r="E45" i="27" s="1"/>
  <c r="O290" i="26"/>
  <c r="O266" i="26"/>
  <c r="O345" i="26"/>
  <c r="O179" i="26"/>
  <c r="O265" i="26"/>
  <c r="O99" i="26"/>
  <c r="O193" i="26"/>
  <c r="O206" i="26"/>
  <c r="O240" i="26"/>
  <c r="O32" i="26"/>
  <c r="O224" i="26"/>
  <c r="O29" i="26"/>
  <c r="O330" i="26"/>
  <c r="O77" i="26"/>
  <c r="F77" i="10" s="1"/>
  <c r="O286" i="26"/>
  <c r="O357" i="26"/>
  <c r="O39" i="26"/>
  <c r="O373" i="26"/>
  <c r="O322" i="26"/>
  <c r="F322" i="10" s="1"/>
  <c r="O389" i="26"/>
  <c r="N389" i="26" s="1"/>
  <c r="O88" i="26"/>
  <c r="F88" i="10" s="1"/>
  <c r="O86" i="26"/>
  <c r="F86" i="10" s="1"/>
  <c r="O303" i="26"/>
  <c r="O382" i="26"/>
  <c r="O294" i="26"/>
  <c r="O334" i="26"/>
  <c r="W334" i="27" s="1"/>
  <c r="E334" i="27" s="1"/>
  <c r="O52" i="26"/>
  <c r="O22" i="26"/>
  <c r="O309" i="26"/>
  <c r="O293" i="26"/>
  <c r="F293" i="10" s="1"/>
  <c r="O336" i="26"/>
  <c r="N336" i="26" s="1"/>
  <c r="V336" i="27" s="1"/>
  <c r="O316" i="26"/>
  <c r="N316" i="26" s="1"/>
  <c r="V316" i="27" s="1"/>
  <c r="AA316" i="27" s="1"/>
  <c r="Z316" i="27" s="1"/>
  <c r="O170" i="26"/>
  <c r="N170" i="26" s="1"/>
  <c r="BD170" i="26" s="1"/>
  <c r="O165" i="26"/>
  <c r="N165" i="26" s="1"/>
  <c r="O142" i="26"/>
  <c r="F142" i="10" s="1"/>
  <c r="AT542" i="10" s="1"/>
  <c r="O37" i="26"/>
  <c r="F37" i="10" s="1"/>
  <c r="O313" i="26"/>
  <c r="O209" i="26"/>
  <c r="N209" i="26" s="1"/>
  <c r="BD209" i="26" s="1"/>
  <c r="O102" i="26"/>
  <c r="W102" i="27" s="1"/>
  <c r="E102" i="27" s="1"/>
  <c r="O261" i="26"/>
  <c r="W261" i="27" s="1"/>
  <c r="E261" i="27" s="1"/>
  <c r="O306" i="26"/>
  <c r="F306" i="10" s="1"/>
  <c r="M306" i="10" s="1"/>
  <c r="O163" i="26"/>
  <c r="W163" i="27" s="1"/>
  <c r="E163" i="27" s="1"/>
  <c r="O388" i="26"/>
  <c r="O123" i="26"/>
  <c r="O62" i="26"/>
  <c r="O73" i="26"/>
  <c r="N73" i="26" s="1"/>
  <c r="O250" i="26"/>
  <c r="O82" i="26"/>
  <c r="N82" i="26" s="1"/>
  <c r="O241" i="26"/>
  <c r="O350" i="26"/>
  <c r="F350" i="10" s="1"/>
  <c r="O93" i="26"/>
  <c r="O182" i="26"/>
  <c r="O217" i="26"/>
  <c r="O138" i="26"/>
  <c r="F138" i="10" s="1"/>
  <c r="O34" i="26"/>
  <c r="O166" i="26"/>
  <c r="O186" i="26"/>
  <c r="W186" i="27" s="1"/>
  <c r="E186" i="27" s="1"/>
  <c r="O204" i="26"/>
  <c r="O28" i="26"/>
  <c r="W28" i="27" s="1"/>
  <c r="E28" i="27" s="1"/>
  <c r="O53" i="26"/>
  <c r="O48" i="26"/>
  <c r="O72" i="26"/>
  <c r="O26" i="26"/>
  <c r="O114" i="26"/>
  <c r="N114" i="26" s="1"/>
  <c r="O90" i="26"/>
  <c r="F90" i="10" s="1"/>
  <c r="O18" i="26"/>
  <c r="N18" i="26" s="1"/>
  <c r="O27" i="26"/>
  <c r="N27" i="26" s="1"/>
  <c r="O320" i="26"/>
  <c r="N320" i="26" s="1"/>
  <c r="BD320" i="26" s="1"/>
  <c r="O194" i="26"/>
  <c r="N194" i="26" s="1"/>
  <c r="O30" i="26"/>
  <c r="N30" i="26" s="1"/>
  <c r="G30" i="10" s="1"/>
  <c r="O288" i="26"/>
  <c r="F288" i="10" s="1"/>
  <c r="Y288" i="10" s="1"/>
  <c r="O154" i="26"/>
  <c r="F154" i="10" s="1"/>
  <c r="O187" i="26"/>
  <c r="N187" i="26" s="1"/>
  <c r="G187" i="10" s="1"/>
  <c r="O202" i="26"/>
  <c r="F202" i="10" s="1"/>
  <c r="O80" i="26"/>
  <c r="O134" i="26"/>
  <c r="W134" i="27" s="1"/>
  <c r="E134" i="27" s="1"/>
  <c r="O64" i="26"/>
  <c r="W64" i="27" s="1"/>
  <c r="E64" i="27" s="1"/>
  <c r="O262" i="26"/>
  <c r="W262" i="27" s="1"/>
  <c r="E262" i="27" s="1"/>
  <c r="O385" i="26"/>
  <c r="N385" i="26" s="1"/>
  <c r="V385" i="27" s="1"/>
  <c r="O310" i="26"/>
  <c r="N310" i="26" s="1"/>
  <c r="BD310" i="26" s="1"/>
  <c r="O337" i="26"/>
  <c r="W337" i="27" s="1"/>
  <c r="E337" i="27" s="1"/>
  <c r="O368" i="26"/>
  <c r="N368" i="26" s="1"/>
  <c r="G368" i="10" s="1"/>
  <c r="O386" i="26"/>
  <c r="W386" i="27" s="1"/>
  <c r="E386" i="27" s="1"/>
  <c r="O139" i="26"/>
  <c r="N139" i="26" s="1"/>
  <c r="O104" i="26"/>
  <c r="F104" i="10" s="1"/>
  <c r="O214" i="26"/>
  <c r="O287" i="26"/>
  <c r="O81" i="26"/>
  <c r="O183" i="26"/>
  <c r="O354" i="26"/>
  <c r="O107" i="26"/>
  <c r="O120" i="26"/>
  <c r="F120" i="10" s="1"/>
  <c r="O42" i="26"/>
  <c r="O343" i="26"/>
  <c r="O112" i="26"/>
  <c r="O171" i="26"/>
  <c r="O295" i="26"/>
  <c r="O372" i="26"/>
  <c r="O351" i="26"/>
  <c r="O60" i="26"/>
  <c r="W60" i="27" s="1"/>
  <c r="E60" i="27" s="1"/>
  <c r="O191" i="26"/>
  <c r="O361" i="26"/>
  <c r="W361" i="27" s="1"/>
  <c r="E361" i="27" s="1"/>
  <c r="O203" i="26"/>
  <c r="W203" i="27" s="1"/>
  <c r="E203" i="27" s="1"/>
  <c r="O63" i="26"/>
  <c r="W63" i="27" s="1"/>
  <c r="E63" i="27" s="1"/>
  <c r="O197" i="26"/>
  <c r="W197" i="27" s="1"/>
  <c r="E197" i="27" s="1"/>
  <c r="O78" i="26"/>
  <c r="W78" i="27" s="1"/>
  <c r="E78" i="27" s="1"/>
  <c r="O362" i="26"/>
  <c r="F362" i="10" s="1"/>
  <c r="O381" i="26"/>
  <c r="O44" i="26"/>
  <c r="O184" i="26"/>
  <c r="N184" i="26" s="1"/>
  <c r="O157" i="26"/>
  <c r="W157" i="27" s="1"/>
  <c r="E157" i="27" s="1"/>
  <c r="O178" i="26"/>
  <c r="F178" i="10" s="1"/>
  <c r="T178" i="10" s="1"/>
  <c r="O83" i="26"/>
  <c r="O41" i="26"/>
  <c r="W41" i="27" s="1"/>
  <c r="E41" i="27" s="1"/>
  <c r="O291" i="26"/>
  <c r="N291" i="26" s="1"/>
  <c r="BD291" i="26" s="1"/>
  <c r="O201" i="26"/>
  <c r="F201" i="10" s="1"/>
  <c r="O348" i="26"/>
  <c r="O130" i="26"/>
  <c r="F130" i="10" s="1"/>
  <c r="Z530" i="10" s="1"/>
  <c r="O200" i="26"/>
  <c r="W200" i="27" s="1"/>
  <c r="E200" i="27" s="1"/>
  <c r="O258" i="26"/>
  <c r="N258" i="26" s="1"/>
  <c r="G258" i="10" s="1"/>
  <c r="O181" i="26"/>
  <c r="W181" i="27" s="1"/>
  <c r="E181" i="27" s="1"/>
  <c r="O74" i="26"/>
  <c r="F74" i="10" s="1"/>
  <c r="O55" i="26"/>
  <c r="W55" i="27" s="1"/>
  <c r="E55" i="27" s="1"/>
  <c r="O341" i="26"/>
  <c r="F341" i="10" s="1"/>
  <c r="O167" i="26"/>
  <c r="F167" i="10" s="1"/>
  <c r="AP167" i="10" s="1"/>
  <c r="O251" i="26"/>
  <c r="F251" i="10" s="1"/>
  <c r="U651" i="10" s="1"/>
  <c r="O116" i="26"/>
  <c r="F116" i="10" s="1"/>
  <c r="AT116" i="10" s="1"/>
  <c r="O274" i="26"/>
  <c r="F274" i="10" s="1"/>
  <c r="O338" i="26"/>
  <c r="F338" i="10" s="1"/>
  <c r="M738" i="10" s="1"/>
  <c r="O164" i="26"/>
  <c r="AM216" i="26"/>
  <c r="O95" i="26"/>
  <c r="O160" i="26"/>
  <c r="O110" i="26"/>
  <c r="F110" i="10" s="1"/>
  <c r="O270" i="26"/>
  <c r="O283" i="26"/>
  <c r="O71" i="26"/>
  <c r="O235" i="26"/>
  <c r="F235" i="10" s="1"/>
  <c r="O185" i="26"/>
  <c r="F185" i="10" s="1"/>
  <c r="O358" i="26"/>
  <c r="O329" i="26"/>
  <c r="W329" i="27" s="1"/>
  <c r="E329" i="27" s="1"/>
  <c r="O369" i="26"/>
  <c r="N369" i="26" s="1"/>
  <c r="BD369" i="26" s="1"/>
  <c r="O91" i="26"/>
  <c r="W91" i="27" s="1"/>
  <c r="E91" i="27" s="1"/>
  <c r="O198" i="26"/>
  <c r="O333" i="26"/>
  <c r="N333" i="26" s="1"/>
  <c r="BD333" i="26" s="1"/>
  <c r="O124" i="26"/>
  <c r="O355" i="26"/>
  <c r="O205" i="26"/>
  <c r="O111" i="26"/>
  <c r="O347" i="26"/>
  <c r="N347" i="26" s="1"/>
  <c r="O85" i="26"/>
  <c r="N85" i="26" s="1"/>
  <c r="O68" i="26"/>
  <c r="F68" i="10" s="1"/>
  <c r="O378" i="26"/>
  <c r="N378" i="26" s="1"/>
  <c r="G378" i="10" s="1"/>
  <c r="O387" i="26"/>
  <c r="O364" i="26"/>
  <c r="O61" i="26"/>
  <c r="N61" i="26" s="1"/>
  <c r="O31" i="26"/>
  <c r="N31" i="26" s="1"/>
  <c r="O127" i="26"/>
  <c r="O174" i="26"/>
  <c r="N174" i="26" s="1"/>
  <c r="O275" i="26"/>
  <c r="F275" i="10" s="1"/>
  <c r="O190" i="26"/>
  <c r="O176" i="26"/>
  <c r="F176" i="10" s="1"/>
  <c r="AN576" i="10" s="1"/>
  <c r="O365" i="26"/>
  <c r="W365" i="27" s="1"/>
  <c r="E365" i="27" s="1"/>
  <c r="O284" i="26"/>
  <c r="F284" i="10" s="1"/>
  <c r="AA284" i="10" s="1"/>
  <c r="O38" i="26"/>
  <c r="O94" i="26"/>
  <c r="N94" i="26" s="1"/>
  <c r="V94" i="27" s="1"/>
  <c r="AA94" i="27" s="1"/>
  <c r="O57" i="26"/>
  <c r="N57" i="26" s="1"/>
  <c r="V57" i="27" s="1"/>
  <c r="AA57" i="27" s="1"/>
  <c r="O371" i="26"/>
  <c r="F371" i="10" s="1"/>
  <c r="O344" i="26"/>
  <c r="F344" i="10" s="1"/>
  <c r="O331" i="26"/>
  <c r="O115" i="26"/>
  <c r="W115" i="27" s="1"/>
  <c r="E115" i="27" s="1"/>
  <c r="O282" i="26"/>
  <c r="N282" i="26" s="1"/>
  <c r="BD282" i="26" s="1"/>
  <c r="O17" i="26"/>
  <c r="O35" i="26"/>
  <c r="O285" i="26"/>
  <c r="N285" i="26" s="1"/>
  <c r="O296" i="26"/>
  <c r="N296" i="26" s="1"/>
  <c r="V296" i="27" s="1"/>
  <c r="AA296" i="27" s="1"/>
  <c r="P108" i="26"/>
  <c r="F163" i="10"/>
  <c r="AL563" i="10" s="1"/>
  <c r="I108" i="6"/>
  <c r="Y108" i="27"/>
  <c r="G108" i="27" s="1"/>
  <c r="AD108" i="6"/>
  <c r="AF108" i="6" s="1"/>
  <c r="H133" i="9"/>
  <c r="AC133" i="9" s="1"/>
  <c r="AG108" i="9"/>
  <c r="F108" i="6"/>
  <c r="Z108" i="6" s="1"/>
  <c r="AG108" i="6" s="1"/>
  <c r="N163" i="26"/>
  <c r="BD163" i="26" s="1"/>
  <c r="AG577" i="10"/>
  <c r="Q577" i="10"/>
  <c r="X177" i="10"/>
  <c r="AG177" i="10"/>
  <c r="P177" i="10"/>
  <c r="AI577" i="10"/>
  <c r="AE577" i="10"/>
  <c r="R577" i="10"/>
  <c r="J577" i="10"/>
  <c r="AM177" i="10"/>
  <c r="AT177" i="10"/>
  <c r="AB177" i="10"/>
  <c r="AT577" i="10"/>
  <c r="AF577" i="10"/>
  <c r="AY577" i="10"/>
  <c r="R177" i="10"/>
  <c r="AD177" i="10"/>
  <c r="O177" i="10"/>
  <c r="AR177" i="10"/>
  <c r="P577" i="10"/>
  <c r="Y577" i="10"/>
  <c r="AL577" i="10"/>
  <c r="AP177" i="10"/>
  <c r="AB577" i="10"/>
  <c r="AO177" i="10"/>
  <c r="AJ177" i="10"/>
  <c r="AN577" i="10"/>
  <c r="AW577" i="10"/>
  <c r="U577" i="10"/>
  <c r="M577" i="10"/>
  <c r="AI177" i="10"/>
  <c r="V577" i="10"/>
  <c r="AK577" i="10"/>
  <c r="AU577" i="10"/>
  <c r="AX577" i="10"/>
  <c r="AC177" i="10"/>
  <c r="M177" i="10"/>
  <c r="AV577" i="10"/>
  <c r="S577" i="10"/>
  <c r="S177" i="10"/>
  <c r="W577" i="10"/>
  <c r="AD210" i="9"/>
  <c r="AC210" i="9"/>
  <c r="AH210" i="9" s="1"/>
  <c r="Z116" i="9"/>
  <c r="AA116" i="9" s="1"/>
  <c r="AE116" i="9" s="1"/>
  <c r="Z382" i="9"/>
  <c r="AA382" i="9" s="1"/>
  <c r="AE382" i="9" s="1"/>
  <c r="Z258" i="9"/>
  <c r="AA258" i="9" s="1"/>
  <c r="AE258" i="9" s="1"/>
  <c r="Z53" i="9"/>
  <c r="AA53" i="9" s="1"/>
  <c r="AE53" i="9" s="1"/>
  <c r="Z209" i="9"/>
  <c r="AA209" i="9" s="1"/>
  <c r="AE209" i="9" s="1"/>
  <c r="AH230" i="9"/>
  <c r="AD230" i="9"/>
  <c r="AF230" i="9" s="1"/>
  <c r="AH243" i="9"/>
  <c r="AD243" i="9"/>
  <c r="AF243" i="9" s="1"/>
  <c r="AH296" i="9"/>
  <c r="AD296" i="9"/>
  <c r="AF296" i="9" s="1"/>
  <c r="AH94" i="9"/>
  <c r="AD94" i="9"/>
  <c r="AF94" i="9" s="1"/>
  <c r="AH101" i="9"/>
  <c r="AD101" i="9"/>
  <c r="AF101" i="9" s="1"/>
  <c r="AH274" i="9"/>
  <c r="AD274" i="9"/>
  <c r="AF274" i="9" s="1"/>
  <c r="AH333" i="9"/>
  <c r="AD333" i="9"/>
  <c r="AF333" i="9" s="1"/>
  <c r="AH282" i="9"/>
  <c r="AD282" i="9"/>
  <c r="AF282" i="9" s="1"/>
  <c r="AH351" i="9"/>
  <c r="AD351" i="9"/>
  <c r="AF351" i="9" s="1"/>
  <c r="AH330" i="9"/>
  <c r="AD330" i="9"/>
  <c r="AF330" i="9" s="1"/>
  <c r="AH74" i="9"/>
  <c r="AD74" i="9"/>
  <c r="AF74" i="9" s="1"/>
  <c r="AH361" i="9"/>
  <c r="AD361" i="9"/>
  <c r="AF361" i="9" s="1"/>
  <c r="AH151" i="9"/>
  <c r="AD151" i="9"/>
  <c r="AF151" i="9" s="1"/>
  <c r="AD209" i="9"/>
  <c r="AF209" i="9" s="1"/>
  <c r="AH375" i="9"/>
  <c r="AD375" i="9"/>
  <c r="AF375" i="9" s="1"/>
  <c r="AH226" i="9"/>
  <c r="AD226" i="9"/>
  <c r="AF226" i="9" s="1"/>
  <c r="AH92" i="9"/>
  <c r="AD92" i="9"/>
  <c r="AH300" i="9"/>
  <c r="AD300" i="9"/>
  <c r="AF300" i="9" s="1"/>
  <c r="AH237" i="9"/>
  <c r="AD237" i="9"/>
  <c r="AF237" i="9" s="1"/>
  <c r="AH194" i="9"/>
  <c r="AD194" i="9"/>
  <c r="AF194" i="9" s="1"/>
  <c r="AH199" i="9"/>
  <c r="AD199" i="9"/>
  <c r="AF199" i="9" s="1"/>
  <c r="AH221" i="9"/>
  <c r="AD221" i="9"/>
  <c r="AF221" i="9" s="1"/>
  <c r="AH285" i="9"/>
  <c r="AD285" i="9"/>
  <c r="AF285" i="9" s="1"/>
  <c r="AH378" i="9"/>
  <c r="AD378" i="9"/>
  <c r="AF378" i="9" s="1"/>
  <c r="AH297" i="9"/>
  <c r="AD297" i="9"/>
  <c r="AF297" i="9" s="1"/>
  <c r="AH82" i="9"/>
  <c r="AD82" i="9"/>
  <c r="AF82" i="9" s="1"/>
  <c r="AH77" i="9"/>
  <c r="AD77" i="9"/>
  <c r="AF77" i="9" s="1"/>
  <c r="AH342" i="9"/>
  <c r="AD342" i="9"/>
  <c r="AF342" i="9" s="1"/>
  <c r="AH146" i="9"/>
  <c r="AD146" i="9"/>
  <c r="AF146" i="9" s="1"/>
  <c r="AH377" i="9"/>
  <c r="AD377" i="9"/>
  <c r="AF377" i="9" s="1"/>
  <c r="AH321" i="9"/>
  <c r="AD321" i="9"/>
  <c r="AF321" i="9" s="1"/>
  <c r="AH44" i="9"/>
  <c r="AD44" i="9"/>
  <c r="AF44" i="9" s="1"/>
  <c r="AH182" i="9"/>
  <c r="AD182" i="9"/>
  <c r="AF182" i="9" s="1"/>
  <c r="AH271" i="9"/>
  <c r="AD271" i="9"/>
  <c r="AF271" i="9" s="1"/>
  <c r="AH248" i="9"/>
  <c r="AD248" i="9"/>
  <c r="AF248" i="9" s="1"/>
  <c r="AH34" i="9"/>
  <c r="AD34" i="9"/>
  <c r="AF34" i="9" s="1"/>
  <c r="AH227" i="9"/>
  <c r="AD227" i="9"/>
  <c r="AF227" i="9" s="1"/>
  <c r="AH238" i="9"/>
  <c r="AD238" i="9"/>
  <c r="AF238" i="9" s="1"/>
  <c r="AH292" i="9"/>
  <c r="AD292" i="9"/>
  <c r="AF292" i="9" s="1"/>
  <c r="AH348" i="9"/>
  <c r="AD348" i="9"/>
  <c r="AF348" i="9" s="1"/>
  <c r="AH116" i="9"/>
  <c r="AD116" i="9"/>
  <c r="AF116" i="9" s="1"/>
  <c r="AH384" i="9"/>
  <c r="AD384" i="9"/>
  <c r="AF384" i="9" s="1"/>
  <c r="AH370" i="9"/>
  <c r="AD370" i="9"/>
  <c r="AH114" i="9"/>
  <c r="AD114" i="9"/>
  <c r="AF114" i="9" s="1"/>
  <c r="AH211" i="9"/>
  <c r="AD211" i="9"/>
  <c r="AF211" i="9" s="1"/>
  <c r="AH280" i="9"/>
  <c r="AD280" i="9"/>
  <c r="AF280" i="9" s="1"/>
  <c r="AH204" i="9"/>
  <c r="AD204" i="9"/>
  <c r="AF204" i="9" s="1"/>
  <c r="AH154" i="9"/>
  <c r="AD154" i="9"/>
  <c r="AF154" i="9" s="1"/>
  <c r="AH202" i="9"/>
  <c r="AD202" i="9"/>
  <c r="AF202" i="9" s="1"/>
  <c r="AH234" i="9"/>
  <c r="AD234" i="9"/>
  <c r="AF234" i="9" s="1"/>
  <c r="AH171" i="9"/>
  <c r="AD171" i="9"/>
  <c r="AF171" i="9" s="1"/>
  <c r="AH27" i="9"/>
  <c r="AD27" i="9"/>
  <c r="AF27" i="9" s="1"/>
  <c r="AH31" i="9"/>
  <c r="AD31" i="9"/>
  <c r="AF31" i="9" s="1"/>
  <c r="AH113" i="9"/>
  <c r="AD113" i="9"/>
  <c r="AF113" i="9" s="1"/>
  <c r="AH140" i="9"/>
  <c r="AD140" i="9"/>
  <c r="AF140" i="9" s="1"/>
  <c r="Z177" i="9"/>
  <c r="Z177" i="6"/>
  <c r="AG177" i="6" s="1"/>
  <c r="AD177" i="6"/>
  <c r="AF177" i="6" s="1"/>
  <c r="AD273" i="6"/>
  <c r="AF273" i="6" s="1"/>
  <c r="AA273" i="6"/>
  <c r="AE273" i="6" s="1"/>
  <c r="AI517" i="26"/>
  <c r="AK517" i="26" s="1"/>
  <c r="AH154" i="6"/>
  <c r="AD154" i="6"/>
  <c r="AF154" i="6" s="1"/>
  <c r="AH184" i="6"/>
  <c r="AD184" i="6"/>
  <c r="AF184" i="6" s="1"/>
  <c r="AH44" i="6"/>
  <c r="AD44" i="6"/>
  <c r="AF44" i="6" s="1"/>
  <c r="AH377" i="6"/>
  <c r="AD377" i="6"/>
  <c r="AF377" i="6" s="1"/>
  <c r="AH351" i="6"/>
  <c r="AD351" i="6"/>
  <c r="AF351" i="6" s="1"/>
  <c r="AG109" i="6"/>
  <c r="AA109" i="6"/>
  <c r="AE109" i="6" s="1"/>
  <c r="AH280" i="6"/>
  <c r="AD280" i="6"/>
  <c r="AF280" i="6" s="1"/>
  <c r="AH246" i="6"/>
  <c r="AD246" i="6"/>
  <c r="AF246" i="6" s="1"/>
  <c r="AH234" i="6"/>
  <c r="AD234" i="6"/>
  <c r="AF234" i="6" s="1"/>
  <c r="AH102" i="6"/>
  <c r="AD102" i="6"/>
  <c r="AF102" i="6" s="1"/>
  <c r="AH254" i="6"/>
  <c r="AD254" i="6"/>
  <c r="AF254" i="6" s="1"/>
  <c r="AH330" i="6"/>
  <c r="AD330" i="6"/>
  <c r="AF330" i="6" s="1"/>
  <c r="AH321" i="6"/>
  <c r="AD321" i="6"/>
  <c r="AF321" i="6" s="1"/>
  <c r="AG94" i="6"/>
  <c r="AA94" i="6"/>
  <c r="AH384" i="6"/>
  <c r="AD384" i="6"/>
  <c r="AF384" i="6" s="1"/>
  <c r="AG21" i="6"/>
  <c r="AA21" i="6"/>
  <c r="AE21" i="6" s="1"/>
  <c r="AH237" i="6"/>
  <c r="AD237" i="6"/>
  <c r="AF237" i="6" s="1"/>
  <c r="AH282" i="6"/>
  <c r="AD282" i="6"/>
  <c r="AF282" i="6" s="1"/>
  <c r="AH99" i="6"/>
  <c r="AD99" i="6"/>
  <c r="AF99" i="6" s="1"/>
  <c r="AH155" i="6"/>
  <c r="AD155" i="6"/>
  <c r="AF155" i="6" s="1"/>
  <c r="AH167" i="6"/>
  <c r="AD167" i="6"/>
  <c r="AF167" i="6" s="1"/>
  <c r="AH375" i="6"/>
  <c r="AD375" i="6"/>
  <c r="AH94" i="6"/>
  <c r="AD94" i="6"/>
  <c r="AF94" i="6" s="1"/>
  <c r="AG201" i="6"/>
  <c r="AA201" i="6"/>
  <c r="AE201" i="6" s="1"/>
  <c r="AH174" i="6"/>
  <c r="AD174" i="6"/>
  <c r="AF174" i="6" s="1"/>
  <c r="AH274" i="6"/>
  <c r="AD274" i="6"/>
  <c r="AF274" i="6" s="1"/>
  <c r="AH53" i="6"/>
  <c r="AD53" i="6"/>
  <c r="AF53" i="6" s="1"/>
  <c r="AH74" i="6"/>
  <c r="AD74" i="6"/>
  <c r="AH114" i="6"/>
  <c r="AD114" i="6"/>
  <c r="AF114" i="6" s="1"/>
  <c r="AH101" i="6"/>
  <c r="AD101" i="6"/>
  <c r="AF101" i="6" s="1"/>
  <c r="AH77" i="6"/>
  <c r="AD77" i="6"/>
  <c r="AF77" i="6" s="1"/>
  <c r="AH209" i="6"/>
  <c r="AD209" i="6"/>
  <c r="AF209" i="6" s="1"/>
  <c r="AH211" i="6"/>
  <c r="AD211" i="6"/>
  <c r="AH50" i="6"/>
  <c r="AD50" i="6"/>
  <c r="AF50" i="6" s="1"/>
  <c r="AG30" i="6"/>
  <c r="AA30" i="6"/>
  <c r="AE30" i="6" s="1"/>
  <c r="AG294" i="6"/>
  <c r="AA294" i="6"/>
  <c r="AE294" i="6" s="1"/>
  <c r="AG204" i="6"/>
  <c r="AA204" i="6"/>
  <c r="AE204" i="6" s="1"/>
  <c r="AH92" i="6"/>
  <c r="AD92" i="6"/>
  <c r="AG81" i="6"/>
  <c r="AA81" i="6"/>
  <c r="AH202" i="6"/>
  <c r="AD202" i="6"/>
  <c r="AF202" i="6" s="1"/>
  <c r="AG368" i="6"/>
  <c r="AA368" i="6"/>
  <c r="AE368" i="6" s="1"/>
  <c r="AH216" i="6"/>
  <c r="AD216" i="6"/>
  <c r="AF216" i="6" s="1"/>
  <c r="AH208" i="6"/>
  <c r="AD208" i="6"/>
  <c r="AF208" i="6" s="1"/>
  <c r="AH229" i="6"/>
  <c r="AD229" i="6"/>
  <c r="AF229" i="6" s="1"/>
  <c r="AH275" i="6"/>
  <c r="AD275" i="6"/>
  <c r="AF275" i="6" s="1"/>
  <c r="AH294" i="6"/>
  <c r="AD294" i="6"/>
  <c r="AF294" i="6" s="1"/>
  <c r="AH370" i="6"/>
  <c r="AD370" i="6"/>
  <c r="AH249" i="6"/>
  <c r="AD249" i="6"/>
  <c r="AF249" i="6" s="1"/>
  <c r="AG53" i="6"/>
  <c r="AA53" i="6"/>
  <c r="AE53" i="6" s="1"/>
  <c r="AH151" i="6"/>
  <c r="AD151" i="6"/>
  <c r="AF151" i="6" s="1"/>
  <c r="AH89" i="6"/>
  <c r="AD89" i="6"/>
  <c r="AF89" i="6" s="1"/>
  <c r="AG114" i="6"/>
  <c r="AA114" i="6"/>
  <c r="AE114" i="6" s="1"/>
  <c r="AH295" i="6"/>
  <c r="AD295" i="6"/>
  <c r="AF295" i="6" s="1"/>
  <c r="AG166" i="6"/>
  <c r="AA166" i="6"/>
  <c r="AE166" i="6" s="1"/>
  <c r="AH116" i="6"/>
  <c r="AD116" i="6"/>
  <c r="AF116" i="6" s="1"/>
  <c r="AH178" i="6"/>
  <c r="AD178" i="6"/>
  <c r="AF178" i="6" s="1"/>
  <c r="AH182" i="6"/>
  <c r="AD182" i="6"/>
  <c r="AF182" i="6" s="1"/>
  <c r="AG355" i="6"/>
  <c r="AA355" i="6"/>
  <c r="AE355" i="6" s="1"/>
  <c r="AH81" i="6"/>
  <c r="AD81" i="6"/>
  <c r="AH248" i="6"/>
  <c r="AD248" i="6"/>
  <c r="AF248" i="6" s="1"/>
  <c r="AH297" i="6"/>
  <c r="AD297" i="6"/>
  <c r="AH21" i="6"/>
  <c r="AD21" i="6"/>
  <c r="AF21" i="6" s="1"/>
  <c r="AH36" i="6"/>
  <c r="AD36" i="6"/>
  <c r="AF36" i="6" s="1"/>
  <c r="AH41" i="6"/>
  <c r="AD41" i="6"/>
  <c r="AH69" i="6"/>
  <c r="AD69" i="6"/>
  <c r="AF69" i="6" s="1"/>
  <c r="AH122" i="6"/>
  <c r="AD122" i="6"/>
  <c r="AF122" i="6" s="1"/>
  <c r="AH130" i="6"/>
  <c r="AD130" i="6"/>
  <c r="AH150" i="6"/>
  <c r="AD150" i="6"/>
  <c r="AF150" i="6" s="1"/>
  <c r="AH82" i="6"/>
  <c r="AD82" i="6"/>
  <c r="U1597" i="10"/>
  <c r="AS1597" i="10"/>
  <c r="R27" i="26"/>
  <c r="I27" i="9" s="1"/>
  <c r="H130" i="9"/>
  <c r="AC130" i="9" s="1"/>
  <c r="R130" i="26"/>
  <c r="I130" i="9" s="1"/>
  <c r="AH1597" i="10"/>
  <c r="AN1597" i="10"/>
  <c r="W1597" i="10"/>
  <c r="O1597" i="10"/>
  <c r="X1597" i="10"/>
  <c r="N1597" i="10"/>
  <c r="AE1597" i="10"/>
  <c r="AD1597" i="10"/>
  <c r="Z1597" i="10"/>
  <c r="T1597" i="10"/>
  <c r="I327" i="9"/>
  <c r="H233" i="6"/>
  <c r="AC233" i="6" s="1"/>
  <c r="H378" i="6"/>
  <c r="AC378" i="6" s="1"/>
  <c r="H71" i="9"/>
  <c r="AC71" i="9" s="1"/>
  <c r="I203" i="6"/>
  <c r="R109" i="26"/>
  <c r="I109" i="6" s="1"/>
  <c r="H225" i="9"/>
  <c r="AC225" i="9" s="1"/>
  <c r="F341" i="6"/>
  <c r="Z341" i="6" s="1"/>
  <c r="R91" i="26"/>
  <c r="I91" i="9" s="1"/>
  <c r="R36" i="26"/>
  <c r="I36" i="9" s="1"/>
  <c r="R334" i="26"/>
  <c r="I334" i="6" s="1"/>
  <c r="H78" i="6"/>
  <c r="AC78" i="6" s="1"/>
  <c r="R187" i="26"/>
  <c r="I187" i="9" s="1"/>
  <c r="I355" i="6"/>
  <c r="H221" i="6"/>
  <c r="AC221" i="6" s="1"/>
  <c r="AD221" i="6" s="1"/>
  <c r="R221" i="26"/>
  <c r="I221" i="9" s="1"/>
  <c r="R208" i="26"/>
  <c r="I208" i="9" s="1"/>
  <c r="H389" i="9"/>
  <c r="AC389" i="9" s="1"/>
  <c r="P104" i="26"/>
  <c r="R281" i="26"/>
  <c r="I281" i="6" s="1"/>
  <c r="H157" i="9"/>
  <c r="AC157" i="9" s="1"/>
  <c r="I371" i="6"/>
  <c r="H52" i="6"/>
  <c r="AC52" i="6" s="1"/>
  <c r="R183" i="26"/>
  <c r="I183" i="9" s="1"/>
  <c r="H135" i="6"/>
  <c r="AC135" i="6" s="1"/>
  <c r="H150" i="9"/>
  <c r="AC150" i="9" s="1"/>
  <c r="F104" i="9"/>
  <c r="R71" i="26"/>
  <c r="I71" i="9" s="1"/>
  <c r="H36" i="9"/>
  <c r="AC36" i="9" s="1"/>
  <c r="H157" i="6"/>
  <c r="AC157" i="6" s="1"/>
  <c r="H95" i="9"/>
  <c r="AC95" i="9" s="1"/>
  <c r="H31" i="6"/>
  <c r="AC31" i="6" s="1"/>
  <c r="H122" i="9"/>
  <c r="AC122" i="9" s="1"/>
  <c r="H78" i="9"/>
  <c r="AC78" i="9" s="1"/>
  <c r="R69" i="26"/>
  <c r="I69" i="9" s="1"/>
  <c r="R122" i="26"/>
  <c r="I122" i="9" s="1"/>
  <c r="H167" i="9"/>
  <c r="AC167" i="9" s="1"/>
  <c r="I82" i="9"/>
  <c r="Y341" i="27"/>
  <c r="G341" i="27" s="1"/>
  <c r="H362" i="6"/>
  <c r="AC362" i="6" s="1"/>
  <c r="H290" i="6"/>
  <c r="AC290" i="6" s="1"/>
  <c r="I383" i="6"/>
  <c r="H240" i="6"/>
  <c r="AC240" i="6" s="1"/>
  <c r="I389" i="6"/>
  <c r="H371" i="9"/>
  <c r="AC371" i="9" s="1"/>
  <c r="R294" i="26"/>
  <c r="I294" i="9" s="1"/>
  <c r="H172" i="9"/>
  <c r="AC172" i="9" s="1"/>
  <c r="I233" i="6"/>
  <c r="H334" i="9"/>
  <c r="AC334" i="9" s="1"/>
  <c r="H187" i="6"/>
  <c r="AC187" i="6" s="1"/>
  <c r="H285" i="6"/>
  <c r="AC285" i="6" s="1"/>
  <c r="R275" i="26"/>
  <c r="I275" i="6" s="1"/>
  <c r="H281" i="6"/>
  <c r="AC281" i="6" s="1"/>
  <c r="H290" i="9"/>
  <c r="AC290" i="9" s="1"/>
  <c r="R192" i="26"/>
  <c r="I192" i="6" s="1"/>
  <c r="H270" i="6"/>
  <c r="AC270" i="6" s="1"/>
  <c r="H233" i="9"/>
  <c r="AC233" i="9" s="1"/>
  <c r="R309" i="26"/>
  <c r="I309" i="9" s="1"/>
  <c r="H194" i="6"/>
  <c r="AC194" i="6" s="1"/>
  <c r="H247" i="6"/>
  <c r="AC247" i="6" s="1"/>
  <c r="P341" i="26"/>
  <c r="H362" i="9"/>
  <c r="AC362" i="9" s="1"/>
  <c r="H383" i="9"/>
  <c r="AC383" i="9" s="1"/>
  <c r="H327" i="6"/>
  <c r="AC327" i="6" s="1"/>
  <c r="H240" i="9"/>
  <c r="AC240" i="9" s="1"/>
  <c r="H389" i="6"/>
  <c r="AC389" i="6" s="1"/>
  <c r="H172" i="6"/>
  <c r="AC172" i="6" s="1"/>
  <c r="H183" i="9"/>
  <c r="AC183" i="9" s="1"/>
  <c r="R378" i="26"/>
  <c r="I378" i="9" s="1"/>
  <c r="H309" i="6"/>
  <c r="AC309" i="6" s="1"/>
  <c r="H176" i="6"/>
  <c r="AC176" i="6" s="1"/>
  <c r="H376" i="6"/>
  <c r="AC376" i="6" s="1"/>
  <c r="R185" i="26"/>
  <c r="I185" i="9" s="1"/>
  <c r="H205" i="6"/>
  <c r="AC205" i="6" s="1"/>
  <c r="H245" i="6"/>
  <c r="AC245" i="6" s="1"/>
  <c r="R296" i="26"/>
  <c r="I296" i="9" s="1"/>
  <c r="R73" i="26"/>
  <c r="I73" i="9" s="1"/>
  <c r="H283" i="6"/>
  <c r="AC283" i="6" s="1"/>
  <c r="H185" i="6"/>
  <c r="AC185" i="6" s="1"/>
  <c r="R120" i="26"/>
  <c r="I120" i="9" s="1"/>
  <c r="H329" i="6"/>
  <c r="AC329" i="6" s="1"/>
  <c r="H287" i="6"/>
  <c r="AC287" i="6" s="1"/>
  <c r="Y385" i="27"/>
  <c r="G385" i="27" s="1"/>
  <c r="R292" i="26"/>
  <c r="I292" i="6" s="1"/>
  <c r="R243" i="26"/>
  <c r="I243" i="6" s="1"/>
  <c r="H179" i="9"/>
  <c r="AC179" i="9" s="1"/>
  <c r="R364" i="26"/>
  <c r="I364" i="6" s="1"/>
  <c r="H265" i="6"/>
  <c r="AC265" i="6" s="1"/>
  <c r="R111" i="26"/>
  <c r="I111" i="9" s="1"/>
  <c r="H223" i="6"/>
  <c r="AC223" i="6" s="1"/>
  <c r="H357" i="6"/>
  <c r="AC357" i="6" s="1"/>
  <c r="H254" i="9"/>
  <c r="AC254" i="9" s="1"/>
  <c r="R128" i="26"/>
  <c r="I128" i="9" s="1"/>
  <c r="H107" i="6"/>
  <c r="AC107" i="6" s="1"/>
  <c r="H29" i="6"/>
  <c r="AC29" i="6" s="1"/>
  <c r="H155" i="9"/>
  <c r="AC155" i="9" s="1"/>
  <c r="R93" i="26"/>
  <c r="I93" i="6" s="1"/>
  <c r="H111" i="9"/>
  <c r="AC111" i="9" s="1"/>
  <c r="H120" i="6"/>
  <c r="AC120" i="6" s="1"/>
  <c r="R89" i="26"/>
  <c r="I89" i="6" s="1"/>
  <c r="H89" i="9"/>
  <c r="AC89" i="9" s="1"/>
  <c r="H99" i="9"/>
  <c r="AC99" i="9" s="1"/>
  <c r="H25" i="6"/>
  <c r="AC25" i="6" s="1"/>
  <c r="H128" i="9"/>
  <c r="AC128" i="9" s="1"/>
  <c r="R107" i="26"/>
  <c r="I107" i="9" s="1"/>
  <c r="H29" i="9"/>
  <c r="AC29" i="9" s="1"/>
  <c r="H43" i="6"/>
  <c r="AC43" i="6" s="1"/>
  <c r="R99" i="26"/>
  <c r="I99" i="6" s="1"/>
  <c r="Y163" i="27"/>
  <c r="G163" i="27" s="1"/>
  <c r="F163" i="9"/>
  <c r="F163" i="6"/>
  <c r="P163" i="26"/>
  <c r="X163" i="27" s="1"/>
  <c r="AB163" i="27" s="1"/>
  <c r="R140" i="26"/>
  <c r="I140" i="9" s="1"/>
  <c r="H69" i="9"/>
  <c r="AC69" i="9" s="1"/>
  <c r="H27" i="6"/>
  <c r="AC27" i="6" s="1"/>
  <c r="F104" i="6"/>
  <c r="Z104" i="6" s="1"/>
  <c r="H52" i="9"/>
  <c r="AC52" i="9" s="1"/>
  <c r="H95" i="6"/>
  <c r="AC95" i="6" s="1"/>
  <c r="H91" i="9"/>
  <c r="AC91" i="9" s="1"/>
  <c r="R31" i="26"/>
  <c r="I31" i="6" s="1"/>
  <c r="H59" i="9"/>
  <c r="AC59" i="9" s="1"/>
  <c r="R135" i="26"/>
  <c r="I135" i="6" s="1"/>
  <c r="H170" i="6"/>
  <c r="AC170" i="6" s="1"/>
  <c r="R170" i="26"/>
  <c r="I170" i="6" s="1"/>
  <c r="H59" i="6"/>
  <c r="AC59" i="6" s="1"/>
  <c r="H140" i="6"/>
  <c r="AC140" i="6" s="1"/>
  <c r="R21" i="26"/>
  <c r="I21" i="6" s="1"/>
  <c r="H163" i="9"/>
  <c r="H163" i="6"/>
  <c r="AC163" i="6" s="1"/>
  <c r="R163" i="26"/>
  <c r="R150" i="26"/>
  <c r="I150" i="6" s="1"/>
  <c r="H41" i="9"/>
  <c r="AC41" i="9" s="1"/>
  <c r="R41" i="26"/>
  <c r="I41" i="9" s="1"/>
  <c r="H113" i="6"/>
  <c r="AC113" i="6" s="1"/>
  <c r="H21" i="9"/>
  <c r="AC21" i="9" s="1"/>
  <c r="AI515" i="26"/>
  <c r="AK515" i="26" s="1"/>
  <c r="AR515" i="26" s="1"/>
  <c r="H203" i="6"/>
  <c r="AC203" i="6" s="1"/>
  <c r="H294" i="9"/>
  <c r="AC294" i="9" s="1"/>
  <c r="R229" i="26"/>
  <c r="I229" i="6" s="1"/>
  <c r="H275" i="9"/>
  <c r="AC275" i="9" s="1"/>
  <c r="H267" i="9"/>
  <c r="AC267" i="9" s="1"/>
  <c r="R176" i="26"/>
  <c r="I176" i="6" s="1"/>
  <c r="H225" i="6"/>
  <c r="AC225" i="6" s="1"/>
  <c r="H208" i="9"/>
  <c r="AC208" i="9" s="1"/>
  <c r="R194" i="26"/>
  <c r="I194" i="9" s="1"/>
  <c r="H371" i="6"/>
  <c r="AC371" i="6" s="1"/>
  <c r="R174" i="26"/>
  <c r="I174" i="9" s="1"/>
  <c r="H229" i="9"/>
  <c r="AC229" i="9" s="1"/>
  <c r="H355" i="6"/>
  <c r="AC355" i="6" s="1"/>
  <c r="H267" i="6"/>
  <c r="AC267" i="6" s="1"/>
  <c r="R260" i="26"/>
  <c r="I260" i="9" s="1"/>
  <c r="H383" i="6"/>
  <c r="AC383" i="6" s="1"/>
  <c r="H327" i="9"/>
  <c r="AC327" i="9" s="1"/>
  <c r="H203" i="9"/>
  <c r="AC203" i="9" s="1"/>
  <c r="R285" i="26"/>
  <c r="I285" i="6" s="1"/>
  <c r="R254" i="26"/>
  <c r="I254" i="6" s="1"/>
  <c r="H355" i="9"/>
  <c r="AC355" i="9" s="1"/>
  <c r="H247" i="9"/>
  <c r="AC247" i="9" s="1"/>
  <c r="H63" i="9"/>
  <c r="AC63" i="9" s="1"/>
  <c r="S276" i="26"/>
  <c r="H276" i="9" s="1"/>
  <c r="AC276" i="9" s="1"/>
  <c r="H260" i="9"/>
  <c r="AC260" i="9" s="1"/>
  <c r="AI512" i="26"/>
  <c r="AK512" i="26" s="1"/>
  <c r="AR512" i="26" s="1"/>
  <c r="AQ516" i="26"/>
  <c r="AH516" i="26"/>
  <c r="AJ516" i="26"/>
  <c r="AI506" i="26"/>
  <c r="AK506" i="26" s="1"/>
  <c r="AR506" i="26" s="1"/>
  <c r="AQ513" i="26"/>
  <c r="AH513" i="26"/>
  <c r="AJ513" i="26"/>
  <c r="AH511" i="26"/>
  <c r="AJ511" i="26"/>
  <c r="AI504" i="26"/>
  <c r="AK504" i="26" s="1"/>
  <c r="AR504" i="26" s="1"/>
  <c r="S414" i="26"/>
  <c r="H414" i="9" s="1"/>
  <c r="AH507" i="26"/>
  <c r="AJ507" i="26"/>
  <c r="AR505" i="26"/>
  <c r="S446" i="26"/>
  <c r="S455" i="26"/>
  <c r="S431" i="26"/>
  <c r="AH501" i="26"/>
  <c r="AJ501" i="26"/>
  <c r="S486" i="26"/>
  <c r="S529" i="26"/>
  <c r="H265" i="9"/>
  <c r="AC265" i="9" s="1"/>
  <c r="H205" i="9"/>
  <c r="AC205" i="9" s="1"/>
  <c r="R270" i="26"/>
  <c r="I270" i="9" s="1"/>
  <c r="R245" i="26"/>
  <c r="I245" i="9" s="1"/>
  <c r="H292" i="6"/>
  <c r="AC292" i="6" s="1"/>
  <c r="S430" i="26"/>
  <c r="H423" i="9" s="1"/>
  <c r="AC423" i="9" s="1"/>
  <c r="H320" i="6"/>
  <c r="AC320" i="6" s="1"/>
  <c r="H320" i="9"/>
  <c r="AC320" i="9" s="1"/>
  <c r="R227" i="26"/>
  <c r="I227" i="9" s="1"/>
  <c r="H73" i="9"/>
  <c r="AC73" i="9" s="1"/>
  <c r="R179" i="26"/>
  <c r="I179" i="9" s="1"/>
  <c r="H287" i="9"/>
  <c r="AC287" i="9" s="1"/>
  <c r="H283" i="9"/>
  <c r="AC283" i="9" s="1"/>
  <c r="H93" i="6"/>
  <c r="AC93" i="6" s="1"/>
  <c r="H381" i="9"/>
  <c r="AC381" i="9" s="1"/>
  <c r="H138" i="6"/>
  <c r="AC138" i="6" s="1"/>
  <c r="R231" i="26"/>
  <c r="I231" i="9" s="1"/>
  <c r="H18" i="6"/>
  <c r="AC18" i="6" s="1"/>
  <c r="H304" i="6"/>
  <c r="AC304" i="6" s="1"/>
  <c r="F385" i="9"/>
  <c r="H276" i="6"/>
  <c r="AC276" i="6" s="1"/>
  <c r="I18" i="9"/>
  <c r="H210" i="6"/>
  <c r="AD210" i="6" s="1"/>
  <c r="H329" i="9"/>
  <c r="AC329" i="9" s="1"/>
  <c r="R223" i="26"/>
  <c r="I223" i="6" s="1"/>
  <c r="R197" i="26"/>
  <c r="I197" i="9" s="1"/>
  <c r="H197" i="6"/>
  <c r="AC197" i="6" s="1"/>
  <c r="R133" i="26"/>
  <c r="I133" i="6" s="1"/>
  <c r="H147" i="9"/>
  <c r="AC147" i="9" s="1"/>
  <c r="H296" i="6"/>
  <c r="AC296" i="6" s="1"/>
  <c r="S515" i="26"/>
  <c r="S475" i="26"/>
  <c r="H462" i="6" s="1"/>
  <c r="AC462" i="6" s="1"/>
  <c r="AD462" i="6" s="1"/>
  <c r="S448" i="26"/>
  <c r="R357" i="26"/>
  <c r="I357" i="6" s="1"/>
  <c r="H227" i="6"/>
  <c r="AC227" i="6" s="1"/>
  <c r="R210" i="26"/>
  <c r="I210" i="6" s="1"/>
  <c r="H25" i="9"/>
  <c r="AC25" i="9" s="1"/>
  <c r="R155" i="26"/>
  <c r="I155" i="6" s="1"/>
  <c r="I25" i="9"/>
  <c r="R63" i="26"/>
  <c r="I63" i="9" s="1"/>
  <c r="R167" i="26"/>
  <c r="I167" i="9" s="1"/>
  <c r="H336" i="6"/>
  <c r="AC336" i="6" s="1"/>
  <c r="R381" i="26"/>
  <c r="I381" i="9" s="1"/>
  <c r="H364" i="9"/>
  <c r="AC364" i="9" s="1"/>
  <c r="H231" i="9"/>
  <c r="AC231" i="9" s="1"/>
  <c r="R304" i="26"/>
  <c r="I304" i="6" s="1"/>
  <c r="P385" i="26"/>
  <c r="X385" i="27" s="1"/>
  <c r="AB385" i="27" s="1"/>
  <c r="H192" i="9"/>
  <c r="AC192" i="9" s="1"/>
  <c r="R376" i="26"/>
  <c r="I376" i="9" s="1"/>
  <c r="I336" i="6"/>
  <c r="H174" i="9"/>
  <c r="AC174" i="9" s="1"/>
  <c r="H238" i="6"/>
  <c r="AC238" i="6" s="1"/>
  <c r="H348" i="6"/>
  <c r="AC348" i="6" s="1"/>
  <c r="R348" i="26"/>
  <c r="I348" i="6" s="1"/>
  <c r="H336" i="9"/>
  <c r="AC336" i="9" s="1"/>
  <c r="I61" i="6"/>
  <c r="R43" i="26"/>
  <c r="I43" i="9" s="1"/>
  <c r="H147" i="6"/>
  <c r="AC147" i="6" s="1"/>
  <c r="R249" i="26"/>
  <c r="I249" i="6" s="1"/>
  <c r="R238" i="26"/>
  <c r="I238" i="9" s="1"/>
  <c r="S418" i="26"/>
  <c r="H102" i="9"/>
  <c r="AC102" i="9" s="1"/>
  <c r="S509" i="26"/>
  <c r="H487" i="6" s="1"/>
  <c r="AC487" i="6" s="1"/>
  <c r="AD487" i="6" s="1"/>
  <c r="S533" i="26"/>
  <c r="R102" i="26"/>
  <c r="I102" i="6" s="1"/>
  <c r="H243" i="6"/>
  <c r="AC243" i="6" s="1"/>
  <c r="S420" i="26"/>
  <c r="S434" i="26"/>
  <c r="S453" i="26"/>
  <c r="AM533" i="26"/>
  <c r="AO533" i="26" s="1"/>
  <c r="AS533" i="26"/>
  <c r="AM529" i="26"/>
  <c r="AO529" i="26" s="1"/>
  <c r="AN529" i="26" s="1"/>
  <c r="BF529" i="26" s="1"/>
  <c r="AS529" i="26"/>
  <c r="AW524" i="26"/>
  <c r="AY522" i="26"/>
  <c r="BE522" i="26"/>
  <c r="AU515" i="26"/>
  <c r="AS515" i="26"/>
  <c r="H249" i="9"/>
  <c r="AC249" i="9" s="1"/>
  <c r="AM512" i="26"/>
  <c r="AO512" i="26" s="1"/>
  <c r="AS512" i="26"/>
  <c r="AU509" i="26"/>
  <c r="AS509" i="26"/>
  <c r="AW504" i="26"/>
  <c r="AU505" i="26"/>
  <c r="AS505" i="26"/>
  <c r="AY506" i="26"/>
  <c r="BE506" i="26"/>
  <c r="AU502" i="26"/>
  <c r="AS502" i="26"/>
  <c r="AL498" i="26"/>
  <c r="BE498" i="26"/>
  <c r="AL495" i="26"/>
  <c r="AS495" i="26" s="1"/>
  <c r="AW495" i="26" s="1"/>
  <c r="BE495" i="26"/>
  <c r="AY493" i="26"/>
  <c r="BE493" i="26"/>
  <c r="AW491" i="26"/>
  <c r="AW490" i="26"/>
  <c r="AW489" i="26"/>
  <c r="H199" i="6"/>
  <c r="AC199" i="6" s="1"/>
  <c r="AU486" i="26"/>
  <c r="AQ486" i="26"/>
  <c r="R199" i="26"/>
  <c r="I199" i="9" s="1"/>
  <c r="AW482" i="26"/>
  <c r="AW480" i="26"/>
  <c r="AJ479" i="26"/>
  <c r="AQ479" i="26"/>
  <c r="AW478" i="26"/>
  <c r="AU475" i="26"/>
  <c r="AQ475" i="26"/>
  <c r="AZ472" i="26"/>
  <c r="BB472" i="26" s="1"/>
  <c r="BA472" i="26" s="1"/>
  <c r="BE472" i="26"/>
  <c r="BF472" i="26" s="1"/>
  <c r="AZ469" i="26"/>
  <c r="BB469" i="26" s="1"/>
  <c r="BA469" i="26" s="1"/>
  <c r="BE469" i="26"/>
  <c r="BF469" i="26" s="1"/>
  <c r="AH463" i="26"/>
  <c r="AQ463" i="26"/>
  <c r="AJ458" i="26"/>
  <c r="AQ458" i="26"/>
  <c r="AU457" i="26"/>
  <c r="AQ457" i="26"/>
  <c r="R113" i="26"/>
  <c r="I113" i="6" s="1"/>
  <c r="AU455" i="26"/>
  <c r="AQ455" i="26"/>
  <c r="H109" i="6"/>
  <c r="AC109" i="6" s="1"/>
  <c r="AU453" i="26"/>
  <c r="AQ453" i="26"/>
  <c r="AY454" i="26"/>
  <c r="BE454" i="26"/>
  <c r="AY450" i="26"/>
  <c r="BE450" i="26"/>
  <c r="BF450" i="26" s="1"/>
  <c r="AW449" i="26"/>
  <c r="AH448" i="26"/>
  <c r="AQ448" i="26"/>
  <c r="AW444" i="26"/>
  <c r="AH446" i="26"/>
  <c r="AQ446" i="26"/>
  <c r="AM434" i="26"/>
  <c r="AO434" i="26" s="1"/>
  <c r="AS434" i="26"/>
  <c r="AU432" i="26"/>
  <c r="AS432" i="26"/>
  <c r="H61" i="9"/>
  <c r="AC61" i="9" s="1"/>
  <c r="AM431" i="26"/>
  <c r="AO431" i="26" s="1"/>
  <c r="AN431" i="26" s="1"/>
  <c r="BF431" i="26" s="1"/>
  <c r="AS431" i="26"/>
  <c r="H61" i="6"/>
  <c r="AC61" i="6" s="1"/>
  <c r="AU430" i="26"/>
  <c r="AS430" i="26"/>
  <c r="AW427" i="26"/>
  <c r="AZ425" i="26"/>
  <c r="BB425" i="26" s="1"/>
  <c r="BA425" i="26" s="1"/>
  <c r="BE425" i="26"/>
  <c r="BF425" i="26" s="1"/>
  <c r="AM426" i="26"/>
  <c r="AO426" i="26" s="1"/>
  <c r="AS426" i="26"/>
  <c r="AZ421" i="26"/>
  <c r="BB421" i="26" s="1"/>
  <c r="BA421" i="26" s="1"/>
  <c r="BE421" i="26"/>
  <c r="AU420" i="26"/>
  <c r="AS420" i="26"/>
  <c r="AZ417" i="26"/>
  <c r="BB417" i="26" s="1"/>
  <c r="BA417" i="26" s="1"/>
  <c r="BE417" i="26"/>
  <c r="AM414" i="26"/>
  <c r="AO414" i="26" s="1"/>
  <c r="AU414" i="26"/>
  <c r="H18" i="9"/>
  <c r="AC18" i="9" s="1"/>
  <c r="AW415" i="26"/>
  <c r="AW414" i="26"/>
  <c r="I138" i="6"/>
  <c r="Z481" i="6"/>
  <c r="AG481" i="6" s="1"/>
  <c r="Z477" i="6"/>
  <c r="AG477" i="6" s="1"/>
  <c r="S412" i="26"/>
  <c r="R412" i="26" s="1"/>
  <c r="I412" i="9" s="1"/>
  <c r="S521" i="26"/>
  <c r="H14" i="9"/>
  <c r="AC14" i="9" s="1"/>
  <c r="H14" i="6"/>
  <c r="AC14" i="6" s="1"/>
  <c r="F14" i="10"/>
  <c r="AG14" i="10" s="1"/>
  <c r="I14" i="9"/>
  <c r="N14" i="26"/>
  <c r="V14" i="27" s="1"/>
  <c r="AI520" i="26"/>
  <c r="AK520" i="26" s="1"/>
  <c r="AR520" i="26" s="1"/>
  <c r="AI521" i="26"/>
  <c r="AK521" i="26" s="1"/>
  <c r="AR521" i="26" s="1"/>
  <c r="I146" i="9"/>
  <c r="AI518" i="26"/>
  <c r="AK518" i="26" s="1"/>
  <c r="AR518" i="26" s="1"/>
  <c r="S215" i="26"/>
  <c r="R215" i="26" s="1"/>
  <c r="I215" i="6" s="1"/>
  <c r="AR517" i="26"/>
  <c r="AW519" i="26"/>
  <c r="AU521" i="26"/>
  <c r="AS521" i="26"/>
  <c r="AW521" i="26" s="1"/>
  <c r="S251" i="26"/>
  <c r="R251" i="26" s="1"/>
  <c r="AZ517" i="26"/>
  <c r="BB517" i="26" s="1"/>
  <c r="BA517" i="26" s="1"/>
  <c r="BE517" i="26"/>
  <c r="AW518" i="26"/>
  <c r="AU412" i="26"/>
  <c r="AS412" i="26"/>
  <c r="G296" i="10"/>
  <c r="F296" i="10"/>
  <c r="S296" i="10" s="1"/>
  <c r="W225" i="27"/>
  <c r="E225" i="27" s="1"/>
  <c r="F246" i="10"/>
  <c r="P646" i="10" s="1"/>
  <c r="BD296" i="26"/>
  <c r="BF296" i="26" s="1"/>
  <c r="F225" i="10"/>
  <c r="AC225" i="10" s="1"/>
  <c r="W233" i="27"/>
  <c r="E233" i="27" s="1"/>
  <c r="N233" i="26"/>
  <c r="G233" i="10" s="1"/>
  <c r="F248" i="10"/>
  <c r="AS248" i="10" s="1"/>
  <c r="W213" i="27"/>
  <c r="E213" i="27" s="1"/>
  <c r="R738" i="10"/>
  <c r="AR738" i="10"/>
  <c r="G246" i="10"/>
  <c r="N248" i="26"/>
  <c r="G248" i="10" s="1"/>
  <c r="W249" i="27"/>
  <c r="E249" i="27" s="1"/>
  <c r="W243" i="27"/>
  <c r="E243" i="27" s="1"/>
  <c r="F249" i="10"/>
  <c r="AE649" i="10" s="1"/>
  <c r="F243" i="10"/>
  <c r="O243" i="10" s="1"/>
  <c r="AW516" i="10"/>
  <c r="F213" i="10"/>
  <c r="M213" i="10" s="1"/>
  <c r="BD246" i="26"/>
  <c r="AM214" i="26"/>
  <c r="Q214" i="26" s="1"/>
  <c r="AM221" i="26"/>
  <c r="Q221" i="26" s="1"/>
  <c r="Y221" i="27" s="1"/>
  <c r="G221" i="27" s="1"/>
  <c r="AM251" i="26"/>
  <c r="Q251" i="26" s="1"/>
  <c r="F251" i="6" s="1"/>
  <c r="AM224" i="26"/>
  <c r="Q224" i="26" s="1"/>
  <c r="AM250" i="26"/>
  <c r="Q250" i="26" s="1"/>
  <c r="N255" i="26"/>
  <c r="G255" i="10" s="1"/>
  <c r="W255" i="27"/>
  <c r="E255" i="27" s="1"/>
  <c r="F379" i="10"/>
  <c r="AP379" i="10" s="1"/>
  <c r="N379" i="26"/>
  <c r="V379" i="27" s="1"/>
  <c r="AA379" i="27" s="1"/>
  <c r="O228" i="26"/>
  <c r="W228" i="27" s="1"/>
  <c r="E228" i="27" s="1"/>
  <c r="AM228" i="26"/>
  <c r="Q228" i="26" s="1"/>
  <c r="O245" i="26"/>
  <c r="F245" i="10" s="1"/>
  <c r="AM245" i="26"/>
  <c r="Q245" i="26" s="1"/>
  <c r="O231" i="26"/>
  <c r="N231" i="26" s="1"/>
  <c r="AM231" i="26"/>
  <c r="Q231" i="26" s="1"/>
  <c r="Y231" i="27" s="1"/>
  <c r="G231" i="27" s="1"/>
  <c r="O237" i="26"/>
  <c r="N237" i="26" s="1"/>
  <c r="AM237" i="26"/>
  <c r="Q237" i="26" s="1"/>
  <c r="Y237" i="27" s="1"/>
  <c r="G237" i="27" s="1"/>
  <c r="O239" i="26"/>
  <c r="N239" i="26" s="1"/>
  <c r="V239" i="27" s="1"/>
  <c r="AM239" i="26"/>
  <c r="Q239" i="26" s="1"/>
  <c r="F239" i="9" s="1"/>
  <c r="Z239" i="9" s="1"/>
  <c r="AA239" i="9" s="1"/>
  <c r="O223" i="26"/>
  <c r="F223" i="10" s="1"/>
  <c r="AM223" i="26"/>
  <c r="Q223" i="26" s="1"/>
  <c r="O234" i="26"/>
  <c r="F234" i="10" s="1"/>
  <c r="AM234" i="26"/>
  <c r="Q234" i="26" s="1"/>
  <c r="P234" i="26" s="1"/>
  <c r="X234" i="27" s="1"/>
  <c r="AB234" i="27" s="1"/>
  <c r="O238" i="26"/>
  <c r="W238" i="27" s="1"/>
  <c r="E238" i="27" s="1"/>
  <c r="AM238" i="26"/>
  <c r="Q238" i="26" s="1"/>
  <c r="O247" i="26"/>
  <c r="N247" i="26" s="1"/>
  <c r="V247" i="27" s="1"/>
  <c r="AM247" i="26"/>
  <c r="Q247" i="26" s="1"/>
  <c r="P247" i="26" s="1"/>
  <c r="N213" i="26"/>
  <c r="V213" i="27" s="1"/>
  <c r="AA213" i="27" s="1"/>
  <c r="W246" i="27"/>
  <c r="E246" i="27" s="1"/>
  <c r="O244" i="26"/>
  <c r="W244" i="27" s="1"/>
  <c r="E244" i="27" s="1"/>
  <c r="AM244" i="26"/>
  <c r="Q244" i="26" s="1"/>
  <c r="O230" i="26"/>
  <c r="AM230" i="26"/>
  <c r="Q230" i="26" s="1"/>
  <c r="O232" i="26"/>
  <c r="F232" i="10" s="1"/>
  <c r="O232" i="10" s="1"/>
  <c r="AM232" i="26"/>
  <c r="Q232" i="26" s="1"/>
  <c r="F232" i="6" s="1"/>
  <c r="O229" i="26"/>
  <c r="AM229" i="26"/>
  <c r="Q229" i="26" s="1"/>
  <c r="P229" i="26" s="1"/>
  <c r="X229" i="27" s="1"/>
  <c r="AB229" i="27" s="1"/>
  <c r="O304" i="26"/>
  <c r="N304" i="26" s="1"/>
  <c r="BD304" i="26" s="1"/>
  <c r="AM304" i="26"/>
  <c r="Q304" i="26" s="1"/>
  <c r="F304" i="6" s="1"/>
  <c r="O254" i="26"/>
  <c r="N254" i="26" s="1"/>
  <c r="BD254" i="26" s="1"/>
  <c r="AM254" i="26"/>
  <c r="Q254" i="26" s="1"/>
  <c r="P254" i="26" s="1"/>
  <c r="O220" i="26"/>
  <c r="F220" i="10" s="1"/>
  <c r="AX620" i="10" s="1"/>
  <c r="AM220" i="26"/>
  <c r="Q220" i="26" s="1"/>
  <c r="F220" i="6" s="1"/>
  <c r="Z220" i="6" s="1"/>
  <c r="O215" i="26"/>
  <c r="AM215" i="26"/>
  <c r="Q215" i="26" s="1"/>
  <c r="Y215" i="27" s="1"/>
  <c r="G215" i="27" s="1"/>
  <c r="O227" i="26"/>
  <c r="W227" i="27" s="1"/>
  <c r="E227" i="27" s="1"/>
  <c r="AM227" i="26"/>
  <c r="Q227" i="26" s="1"/>
  <c r="F227" i="6" s="1"/>
  <c r="Z227" i="6" s="1"/>
  <c r="AG498" i="26"/>
  <c r="O226" i="26"/>
  <c r="F226" i="10" s="1"/>
  <c r="AY626" i="10" s="1"/>
  <c r="AM226" i="26"/>
  <c r="Q226" i="26" s="1"/>
  <c r="F226" i="9" s="1"/>
  <c r="AG497" i="26"/>
  <c r="I222" i="6"/>
  <c r="O222" i="26"/>
  <c r="W222" i="27" s="1"/>
  <c r="E222" i="27" s="1"/>
  <c r="AM222" i="26"/>
  <c r="Q222" i="26" s="1"/>
  <c r="P222" i="26" s="1"/>
  <c r="X222" i="27" s="1"/>
  <c r="AB222" i="27" s="1"/>
  <c r="AG496" i="26"/>
  <c r="O216" i="26"/>
  <c r="W216" i="27" s="1"/>
  <c r="E216" i="27" s="1"/>
  <c r="Q216" i="26"/>
  <c r="W296" i="27"/>
  <c r="E296" i="27" s="1"/>
  <c r="AM338" i="10"/>
  <c r="V338" i="10"/>
  <c r="I160" i="9"/>
  <c r="AE12" i="6"/>
  <c r="AV338" i="10"/>
  <c r="P213" i="26"/>
  <c r="X213" i="27" s="1"/>
  <c r="AB213" i="27" s="1"/>
  <c r="H216" i="9"/>
  <c r="AC216" i="9" s="1"/>
  <c r="AI494" i="26"/>
  <c r="AK494" i="26" s="1"/>
  <c r="AR494" i="26" s="1"/>
  <c r="AY738" i="10"/>
  <c r="AK338" i="10"/>
  <c r="AD738" i="10"/>
  <c r="J738" i="10"/>
  <c r="N338" i="10"/>
  <c r="AS738" i="10"/>
  <c r="I29" i="6"/>
  <c r="W285" i="27"/>
  <c r="E285" i="27" s="1"/>
  <c r="AF338" i="10"/>
  <c r="AA338" i="10"/>
  <c r="AO738" i="10"/>
  <c r="Q338" i="10"/>
  <c r="AW738" i="10"/>
  <c r="L338" i="10"/>
  <c r="W338" i="10"/>
  <c r="AT738" i="10"/>
  <c r="AA738" i="10"/>
  <c r="R216" i="26"/>
  <c r="I216" i="6" s="1"/>
  <c r="N326" i="26"/>
  <c r="V326" i="27" s="1"/>
  <c r="S214" i="26"/>
  <c r="S220" i="26"/>
  <c r="H220" i="9" s="1"/>
  <c r="AC220" i="9" s="1"/>
  <c r="S213" i="26"/>
  <c r="H213" i="9" s="1"/>
  <c r="AH495" i="26"/>
  <c r="AJ495" i="26"/>
  <c r="AQ493" i="26"/>
  <c r="AH493" i="26"/>
  <c r="AJ493" i="26"/>
  <c r="AV516" i="10"/>
  <c r="I330" i="9"/>
  <c r="N340" i="10"/>
  <c r="L516" i="10"/>
  <c r="P516" i="10"/>
  <c r="P248" i="26"/>
  <c r="I59" i="9"/>
  <c r="F306" i="6"/>
  <c r="Z306" i="6" s="1"/>
  <c r="AM251" i="10"/>
  <c r="AC251" i="10"/>
  <c r="F285" i="10"/>
  <c r="J685" i="10" s="1"/>
  <c r="AT651" i="10"/>
  <c r="AF738" i="10"/>
  <c r="AJ338" i="10"/>
  <c r="AV738" i="10"/>
  <c r="AL738" i="10"/>
  <c r="AR338" i="10"/>
  <c r="O738" i="10"/>
  <c r="AM738" i="10"/>
  <c r="AE738" i="10"/>
  <c r="AK738" i="10"/>
  <c r="AI738" i="10"/>
  <c r="AX118" i="10"/>
  <c r="AQ738" i="10"/>
  <c r="AY338" i="10"/>
  <c r="Z738" i="10"/>
  <c r="T338" i="10"/>
  <c r="X738" i="10"/>
  <c r="AB738" i="10"/>
  <c r="S338" i="10"/>
  <c r="N738" i="10"/>
  <c r="O338" i="10"/>
  <c r="U338" i="10"/>
  <c r="AJ738" i="10"/>
  <c r="P210" i="26"/>
  <c r="W338" i="27"/>
  <c r="E338" i="27" s="1"/>
  <c r="V366" i="27"/>
  <c r="AA366" i="27" s="1"/>
  <c r="AM445" i="10"/>
  <c r="Q445" i="10"/>
  <c r="BD366" i="26"/>
  <c r="BF366" i="26" s="1"/>
  <c r="AS116" i="10"/>
  <c r="AI340" i="10"/>
  <c r="N261" i="26"/>
  <c r="V261" i="27" s="1"/>
  <c r="AG45" i="10"/>
  <c r="AH314" i="10"/>
  <c r="Y116" i="10"/>
  <c r="AA340" i="10"/>
  <c r="P445" i="10"/>
  <c r="AH45" i="10"/>
  <c r="N314" i="10"/>
  <c r="W139" i="27"/>
  <c r="E139" i="27" s="1"/>
  <c r="M314" i="10"/>
  <c r="AJ486" i="26"/>
  <c r="P306" i="26"/>
  <c r="AH251" i="10"/>
  <c r="BF264" i="26"/>
  <c r="F331" i="6"/>
  <c r="AA331" i="6" s="1"/>
  <c r="W104" i="27"/>
  <c r="E104" i="27" s="1"/>
  <c r="AH486" i="26"/>
  <c r="AQ651" i="10"/>
  <c r="AP338" i="10"/>
  <c r="R338" i="10"/>
  <c r="AU738" i="10"/>
  <c r="P338" i="10"/>
  <c r="AX338" i="10"/>
  <c r="AN738" i="10"/>
  <c r="Q738" i="10"/>
  <c r="Z338" i="10"/>
  <c r="L738" i="10"/>
  <c r="AX738" i="10"/>
  <c r="P738" i="10"/>
  <c r="K338" i="10"/>
  <c r="AC738" i="10"/>
  <c r="M338" i="10"/>
  <c r="AN338" i="10"/>
  <c r="AS338" i="10"/>
  <c r="AT338" i="10"/>
  <c r="AI338" i="10"/>
  <c r="AP738" i="10"/>
  <c r="K738" i="10"/>
  <c r="J338" i="10"/>
  <c r="AK651" i="10"/>
  <c r="Y306" i="27"/>
  <c r="G306" i="27" s="1"/>
  <c r="W306" i="27"/>
  <c r="E306" i="27" s="1"/>
  <c r="P331" i="26"/>
  <c r="U251" i="10"/>
  <c r="L251" i="10"/>
  <c r="X338" i="10"/>
  <c r="AD338" i="10"/>
  <c r="AO338" i="10"/>
  <c r="V738" i="10"/>
  <c r="U738" i="10"/>
  <c r="AH738" i="10"/>
  <c r="T738" i="10"/>
  <c r="AE338" i="10"/>
  <c r="AB338" i="10"/>
  <c r="AW338" i="10"/>
  <c r="W738" i="10"/>
  <c r="Y338" i="10"/>
  <c r="AC338" i="10"/>
  <c r="Y738" i="10"/>
  <c r="AH338" i="10"/>
  <c r="AQ338" i="10"/>
  <c r="AL338" i="10"/>
  <c r="S738" i="10"/>
  <c r="AG738" i="10"/>
  <c r="AG338" i="10"/>
  <c r="AC651" i="10"/>
  <c r="AV251" i="10"/>
  <c r="K251" i="10"/>
  <c r="N338" i="26"/>
  <c r="V338" i="27" s="1"/>
  <c r="AI116" i="10"/>
  <c r="R516" i="10"/>
  <c r="AW740" i="10"/>
  <c r="K445" i="10"/>
  <c r="W45" i="10"/>
  <c r="AE45" i="10"/>
  <c r="N306" i="26"/>
  <c r="G306" i="10" s="1"/>
  <c r="AP116" i="10"/>
  <c r="AX516" i="10"/>
  <c r="AH116" i="10"/>
  <c r="W740" i="10"/>
  <c r="U445" i="10"/>
  <c r="AX45" i="10"/>
  <c r="Z45" i="10"/>
  <c r="AX116" i="10"/>
  <c r="L116" i="10"/>
  <c r="Z116" i="10"/>
  <c r="AR116" i="10"/>
  <c r="AO116" i="10"/>
  <c r="Q116" i="10"/>
  <c r="V516" i="10"/>
  <c r="AQ516" i="10"/>
  <c r="AK116" i="10"/>
  <c r="W274" i="27"/>
  <c r="E274" i="27" s="1"/>
  <c r="K340" i="10"/>
  <c r="AR340" i="10"/>
  <c r="V340" i="10"/>
  <c r="Y445" i="10"/>
  <c r="AJ45" i="10"/>
  <c r="P118" i="10"/>
  <c r="BA207" i="10"/>
  <c r="U740" i="10"/>
  <c r="AL740" i="10"/>
  <c r="X45" i="10"/>
  <c r="AV45" i="10"/>
  <c r="AW45" i="10"/>
  <c r="AM45" i="10"/>
  <c r="K45" i="10"/>
  <c r="M45" i="10"/>
  <c r="AG116" i="10"/>
  <c r="AI516" i="10"/>
  <c r="AC116" i="10"/>
  <c r="AR516" i="10"/>
  <c r="AL116" i="10"/>
  <c r="U516" i="10"/>
  <c r="AN116" i="10"/>
  <c r="AF116" i="10"/>
  <c r="Z516" i="10"/>
  <c r="AD116" i="10"/>
  <c r="Z236" i="27"/>
  <c r="N274" i="26"/>
  <c r="V274" i="27" s="1"/>
  <c r="AA274" i="27" s="1"/>
  <c r="Z207" i="27"/>
  <c r="AI251" i="10"/>
  <c r="AX651" i="10"/>
  <c r="AL251" i="10"/>
  <c r="V251" i="10"/>
  <c r="R251" i="10"/>
  <c r="N740" i="10"/>
  <c r="R740" i="10"/>
  <c r="Z740" i="10"/>
  <c r="AB340" i="10"/>
  <c r="AD340" i="10"/>
  <c r="AS45" i="10"/>
  <c r="AL45" i="10"/>
  <c r="W445" i="10"/>
  <c r="L445" i="10"/>
  <c r="Y45" i="10"/>
  <c r="AF445" i="10"/>
  <c r="AA45" i="10"/>
  <c r="AO445" i="10"/>
  <c r="AV445" i="10"/>
  <c r="N45" i="10"/>
  <c r="W116" i="10"/>
  <c r="Y516" i="10"/>
  <c r="AV340" i="10"/>
  <c r="AX445" i="10"/>
  <c r="AL445" i="10"/>
  <c r="AF45" i="10"/>
  <c r="Q516" i="10"/>
  <c r="R116" i="10"/>
  <c r="O116" i="10"/>
  <c r="K116" i="10"/>
  <c r="AD516" i="10"/>
  <c r="AE116" i="10"/>
  <c r="P116" i="10"/>
  <c r="N516" i="10"/>
  <c r="J516" i="10"/>
  <c r="M116" i="10"/>
  <c r="H196" i="27"/>
  <c r="W251" i="10"/>
  <c r="AK251" i="10"/>
  <c r="X251" i="10"/>
  <c r="AE651" i="10"/>
  <c r="L340" i="10"/>
  <c r="M340" i="10"/>
  <c r="AA740" i="10"/>
  <c r="AY340" i="10"/>
  <c r="AR740" i="10"/>
  <c r="S651" i="10"/>
  <c r="T651" i="10"/>
  <c r="AY445" i="10"/>
  <c r="AT445" i="10"/>
  <c r="AS445" i="10"/>
  <c r="AJ445" i="10"/>
  <c r="J45" i="10"/>
  <c r="AC45" i="10"/>
  <c r="AK445" i="10"/>
  <c r="M445" i="10"/>
  <c r="Q45" i="10"/>
  <c r="AG445" i="10"/>
  <c r="AA651" i="10"/>
  <c r="AX251" i="10"/>
  <c r="AE118" i="10"/>
  <c r="X518" i="10"/>
  <c r="W35" i="27"/>
  <c r="E35" i="27" s="1"/>
  <c r="N35" i="26"/>
  <c r="BD35" i="26" s="1"/>
  <c r="F35" i="10"/>
  <c r="BB207" i="10"/>
  <c r="BC207" i="10" s="1"/>
  <c r="AS714" i="10"/>
  <c r="AF314" i="10"/>
  <c r="T714" i="10"/>
  <c r="AX714" i="10"/>
  <c r="AM314" i="10"/>
  <c r="K714" i="10"/>
  <c r="AP314" i="10"/>
  <c r="AD714" i="10"/>
  <c r="N69" i="26"/>
  <c r="G69" i="10" s="1"/>
  <c r="W69" i="27"/>
  <c r="E69" i="27" s="1"/>
  <c r="W214" i="27"/>
  <c r="E214" i="27" s="1"/>
  <c r="N214" i="26"/>
  <c r="BD214" i="26" s="1"/>
  <c r="M516" i="10"/>
  <c r="AA516" i="10"/>
  <c r="AM516" i="10"/>
  <c r="AG516" i="10"/>
  <c r="AJ516" i="10"/>
  <c r="J116" i="10"/>
  <c r="AM116" i="10"/>
  <c r="K516" i="10"/>
  <c r="AK516" i="10"/>
  <c r="AF516" i="10"/>
  <c r="AS516" i="10"/>
  <c r="AH516" i="10"/>
  <c r="X116" i="10"/>
  <c r="AQ116" i="10"/>
  <c r="T516" i="10"/>
  <c r="AW116" i="10"/>
  <c r="R45" i="10"/>
  <c r="AI445" i="10"/>
  <c r="AR45" i="10"/>
  <c r="N445" i="10"/>
  <c r="O445" i="10"/>
  <c r="AT45" i="10"/>
  <c r="AB445" i="10"/>
  <c r="S445" i="10"/>
  <c r="AD45" i="10"/>
  <c r="AN45" i="10"/>
  <c r="AA445" i="10"/>
  <c r="AR445" i="10"/>
  <c r="U45" i="10"/>
  <c r="AE445" i="10"/>
  <c r="AQ445" i="10"/>
  <c r="O45" i="10"/>
  <c r="AO45" i="10"/>
  <c r="X445" i="10"/>
  <c r="T445" i="10"/>
  <c r="AY45" i="10"/>
  <c r="Z445" i="10"/>
  <c r="N116" i="26"/>
  <c r="V116" i="27" s="1"/>
  <c r="AT516" i="10"/>
  <c r="AE516" i="10"/>
  <c r="S516" i="10"/>
  <c r="O516" i="10"/>
  <c r="S116" i="10"/>
  <c r="AL516" i="10"/>
  <c r="AP516" i="10"/>
  <c r="AY116" i="10"/>
  <c r="AU516" i="10"/>
  <c r="U116" i="10"/>
  <c r="W516" i="10"/>
  <c r="V116" i="10"/>
  <c r="AC516" i="10"/>
  <c r="AV116" i="10"/>
  <c r="AY516" i="10"/>
  <c r="T116" i="10"/>
  <c r="AB116" i="10"/>
  <c r="AO516" i="10"/>
  <c r="AJ116" i="10"/>
  <c r="AA116" i="10"/>
  <c r="N116" i="10"/>
  <c r="AB516" i="10"/>
  <c r="AN516" i="10"/>
  <c r="X516" i="10"/>
  <c r="H106" i="27"/>
  <c r="V445" i="10"/>
  <c r="AH445" i="10"/>
  <c r="P45" i="10"/>
  <c r="AK45" i="10"/>
  <c r="AI45" i="10"/>
  <c r="AP445" i="10"/>
  <c r="AW445" i="10"/>
  <c r="AN445" i="10"/>
  <c r="AQ45" i="10"/>
  <c r="S45" i="10"/>
  <c r="AB45" i="10"/>
  <c r="R445" i="10"/>
  <c r="L45" i="10"/>
  <c r="AU445" i="10"/>
  <c r="J445" i="10"/>
  <c r="AP45" i="10"/>
  <c r="T45" i="10"/>
  <c r="V45" i="10"/>
  <c r="AD445" i="10"/>
  <c r="BF367" i="26"/>
  <c r="Z518" i="10"/>
  <c r="W116" i="27"/>
  <c r="E116" i="27" s="1"/>
  <c r="F214" i="10"/>
  <c r="AL614" i="10" s="1"/>
  <c r="AL506" i="26"/>
  <c r="F249" i="6"/>
  <c r="Z249" i="6" s="1"/>
  <c r="P249" i="26"/>
  <c r="F249" i="9"/>
  <c r="Y249" i="27"/>
  <c r="G249" i="27" s="1"/>
  <c r="W340" i="10"/>
  <c r="AQ340" i="10"/>
  <c r="AK740" i="10"/>
  <c r="AS740" i="10"/>
  <c r="L740" i="10"/>
  <c r="AB740" i="10"/>
  <c r="AV740" i="10"/>
  <c r="U340" i="10"/>
  <c r="AG740" i="10"/>
  <c r="J340" i="10"/>
  <c r="H312" i="27"/>
  <c r="AK340" i="10"/>
  <c r="AG340" i="10"/>
  <c r="R340" i="10"/>
  <c r="S340" i="10"/>
  <c r="AU740" i="10"/>
  <c r="AI740" i="10"/>
  <c r="T340" i="10"/>
  <c r="Y340" i="10"/>
  <c r="Q740" i="10"/>
  <c r="P340" i="10"/>
  <c r="AT740" i="10"/>
  <c r="AE340" i="10"/>
  <c r="AP740" i="10"/>
  <c r="M740" i="10"/>
  <c r="AP340" i="10"/>
  <c r="X740" i="10"/>
  <c r="AF740" i="10"/>
  <c r="AL340" i="10"/>
  <c r="AX740" i="10"/>
  <c r="Q340" i="10"/>
  <c r="W314" i="10"/>
  <c r="AQ714" i="10"/>
  <c r="AH714" i="10"/>
  <c r="AV314" i="10"/>
  <c r="Q387" i="26"/>
  <c r="Y387" i="27" s="1"/>
  <c r="G387" i="27" s="1"/>
  <c r="AM340" i="10"/>
  <c r="AE740" i="10"/>
  <c r="Z340" i="10"/>
  <c r="AJ340" i="10"/>
  <c r="AW340" i="10"/>
  <c r="AM740" i="10"/>
  <c r="X340" i="10"/>
  <c r="AC740" i="10"/>
  <c r="P740" i="10"/>
  <c r="AC340" i="10"/>
  <c r="T740" i="10"/>
  <c r="H39" i="27"/>
  <c r="AQ740" i="10"/>
  <c r="O740" i="10"/>
  <c r="J740" i="10"/>
  <c r="AH340" i="10"/>
  <c r="AX340" i="10"/>
  <c r="Y740" i="10"/>
  <c r="AN340" i="10"/>
  <c r="AS340" i="10"/>
  <c r="S740" i="10"/>
  <c r="AD740" i="10"/>
  <c r="AN740" i="10"/>
  <c r="AH740" i="10"/>
  <c r="AO740" i="10"/>
  <c r="K740" i="10"/>
  <c r="AO340" i="10"/>
  <c r="V740" i="10"/>
  <c r="AY740" i="10"/>
  <c r="AT340" i="10"/>
  <c r="AJ740" i="10"/>
  <c r="AF340" i="10"/>
  <c r="Z314" i="10"/>
  <c r="AM714" i="10"/>
  <c r="AP714" i="10"/>
  <c r="AB314" i="10"/>
  <c r="BF346" i="26"/>
  <c r="AY495" i="26"/>
  <c r="BB97" i="10"/>
  <c r="BC97" i="10" s="1"/>
  <c r="Z257" i="27"/>
  <c r="BB236" i="10"/>
  <c r="BC236" i="10" s="1"/>
  <c r="AL454" i="26"/>
  <c r="AZ454" i="26"/>
  <c r="BB454" i="26" s="1"/>
  <c r="BA454" i="26" s="1"/>
  <c r="AM499" i="26"/>
  <c r="AO499" i="26" s="1"/>
  <c r="AY499" i="26"/>
  <c r="S499" i="26" s="1"/>
  <c r="AZ499" i="26"/>
  <c r="BB499" i="26" s="1"/>
  <c r="BA499" i="26" s="1"/>
  <c r="AZ467" i="26"/>
  <c r="BB467" i="26" s="1"/>
  <c r="BA467" i="26" s="1"/>
  <c r="AY467" i="26"/>
  <c r="S467" i="26" s="1"/>
  <c r="AG467" i="26"/>
  <c r="AJ467" i="26" s="1"/>
  <c r="Y331" i="27"/>
  <c r="G331" i="27" s="1"/>
  <c r="V282" i="27"/>
  <c r="AA282" i="27" s="1"/>
  <c r="AM567" i="10"/>
  <c r="AY484" i="26"/>
  <c r="S484" i="26" s="1"/>
  <c r="W282" i="27"/>
  <c r="E282" i="27" s="1"/>
  <c r="G282" i="10"/>
  <c r="F85" i="9"/>
  <c r="M567" i="10"/>
  <c r="G16" i="10"/>
  <c r="F282" i="10"/>
  <c r="AV282" i="10" s="1"/>
  <c r="F326" i="10"/>
  <c r="X726" i="10" s="1"/>
  <c r="BA236" i="10"/>
  <c r="AN167" i="10"/>
  <c r="N115" i="26"/>
  <c r="G115" i="10" s="1"/>
  <c r="BA97" i="10"/>
  <c r="R310" i="26"/>
  <c r="I310" i="9" s="1"/>
  <c r="AL484" i="26"/>
  <c r="AU484" i="26" s="1"/>
  <c r="Q484" i="26" s="1"/>
  <c r="F466" i="6" s="1"/>
  <c r="N104" i="26"/>
  <c r="V104" i="27" s="1"/>
  <c r="AA104" i="27" s="1"/>
  <c r="N371" i="26"/>
  <c r="V371" i="27" s="1"/>
  <c r="AA371" i="27" s="1"/>
  <c r="T251" i="10"/>
  <c r="Q251" i="10"/>
  <c r="AE251" i="10"/>
  <c r="AA251" i="10"/>
  <c r="AH651" i="10"/>
  <c r="AN251" i="10"/>
  <c r="S251" i="10"/>
  <c r="AJ651" i="10"/>
  <c r="BD368" i="26"/>
  <c r="AC714" i="10"/>
  <c r="J314" i="10"/>
  <c r="AC314" i="10"/>
  <c r="AS314" i="10"/>
  <c r="AE714" i="10"/>
  <c r="Q714" i="10"/>
  <c r="AZ532" i="26"/>
  <c r="BB532" i="26" s="1"/>
  <c r="BA532" i="26" s="1"/>
  <c r="AG314" i="10"/>
  <c r="F261" i="10"/>
  <c r="AE661" i="10" s="1"/>
  <c r="P251" i="10"/>
  <c r="AT714" i="10"/>
  <c r="O518" i="10"/>
  <c r="X714" i="10"/>
  <c r="AV714" i="10"/>
  <c r="AL714" i="10"/>
  <c r="X314" i="10"/>
  <c r="AL532" i="26"/>
  <c r="AM532" i="26" s="1"/>
  <c r="Y651" i="10"/>
  <c r="J651" i="10"/>
  <c r="Y251" i="10"/>
  <c r="K651" i="10"/>
  <c r="Z651" i="10"/>
  <c r="AD651" i="10"/>
  <c r="M651" i="10"/>
  <c r="AG651" i="10"/>
  <c r="AU714" i="10"/>
  <c r="M714" i="10"/>
  <c r="N714" i="10"/>
  <c r="AI314" i="10"/>
  <c r="Q314" i="10"/>
  <c r="AR714" i="10"/>
  <c r="V314" i="10"/>
  <c r="AG251" i="10"/>
  <c r="AN651" i="10"/>
  <c r="W251" i="27"/>
  <c r="E251" i="27" s="1"/>
  <c r="AA118" i="10"/>
  <c r="N118" i="10"/>
  <c r="AA714" i="10"/>
  <c r="AP118" i="10"/>
  <c r="AA314" i="10"/>
  <c r="L714" i="10"/>
  <c r="AZ495" i="26"/>
  <c r="BB495" i="26" s="1"/>
  <c r="BA495" i="26" s="1"/>
  <c r="H310" i="6"/>
  <c r="AC310" i="6" s="1"/>
  <c r="N17" i="26"/>
  <c r="F17" i="10"/>
  <c r="W17" i="27"/>
  <c r="E17" i="27" s="1"/>
  <c r="F139" i="10"/>
  <c r="M139" i="10" s="1"/>
  <c r="AZ506" i="26"/>
  <c r="BB506" i="26" s="1"/>
  <c r="BA506" i="26" s="1"/>
  <c r="S567" i="10"/>
  <c r="BF242" i="26"/>
  <c r="AB251" i="10"/>
  <c r="AO251" i="10"/>
  <c r="O651" i="10"/>
  <c r="Z251" i="10"/>
  <c r="AM651" i="10"/>
  <c r="W651" i="10"/>
  <c r="AS651" i="10"/>
  <c r="O251" i="10"/>
  <c r="V651" i="10"/>
  <c r="AR651" i="10"/>
  <c r="R651" i="10"/>
  <c r="AI651" i="10"/>
  <c r="AY651" i="10"/>
  <c r="AQ251" i="10"/>
  <c r="AU651" i="10"/>
  <c r="Y129" i="27"/>
  <c r="G129" i="27" s="1"/>
  <c r="AY314" i="10"/>
  <c r="AW314" i="10"/>
  <c r="AY714" i="10"/>
  <c r="K314" i="10"/>
  <c r="AO714" i="10"/>
  <c r="AG714" i="10"/>
  <c r="AF714" i="10"/>
  <c r="AB714" i="10"/>
  <c r="R714" i="10"/>
  <c r="AX314" i="10"/>
  <c r="W714" i="10"/>
  <c r="AR314" i="10"/>
  <c r="AJ314" i="10"/>
  <c r="AN714" i="10"/>
  <c r="X651" i="10"/>
  <c r="P651" i="10"/>
  <c r="AF251" i="10"/>
  <c r="N651" i="10"/>
  <c r="F69" i="10"/>
  <c r="M469" i="10" s="1"/>
  <c r="AB651" i="10"/>
  <c r="AL314" i="10"/>
  <c r="AQ314" i="10"/>
  <c r="P314" i="10"/>
  <c r="Z714" i="10"/>
  <c r="AN314" i="10"/>
  <c r="P714" i="10"/>
  <c r="N251" i="26"/>
  <c r="BD251" i="26" s="1"/>
  <c r="AJ167" i="10"/>
  <c r="AT251" i="10"/>
  <c r="AS251" i="10"/>
  <c r="AD251" i="10"/>
  <c r="J251" i="10"/>
  <c r="AO651" i="10"/>
  <c r="AP251" i="10"/>
  <c r="L651" i="10"/>
  <c r="AF651" i="10"/>
  <c r="N251" i="10"/>
  <c r="AV651" i="10"/>
  <c r="AJ251" i="10"/>
  <c r="AW251" i="10"/>
  <c r="AW651" i="10"/>
  <c r="AY251" i="10"/>
  <c r="AL651" i="10"/>
  <c r="AW714" i="10"/>
  <c r="AD314" i="10"/>
  <c r="AT314" i="10"/>
  <c r="AK314" i="10"/>
  <c r="J714" i="10"/>
  <c r="R314" i="10"/>
  <c r="S314" i="10"/>
  <c r="V714" i="10"/>
  <c r="Y314" i="10"/>
  <c r="O714" i="10"/>
  <c r="AZ484" i="26"/>
  <c r="BB484" i="26" s="1"/>
  <c r="BA484" i="26" s="1"/>
  <c r="Y714" i="10"/>
  <c r="O314" i="10"/>
  <c r="T314" i="10"/>
  <c r="AO314" i="10"/>
  <c r="M251" i="10"/>
  <c r="AR251" i="10"/>
  <c r="Q651" i="10"/>
  <c r="AP651" i="10"/>
  <c r="U714" i="10"/>
  <c r="L314" i="10"/>
  <c r="U314" i="10"/>
  <c r="AE314" i="10"/>
  <c r="S714" i="10"/>
  <c r="AJ714" i="10"/>
  <c r="AK714" i="10"/>
  <c r="O167" i="10"/>
  <c r="AC167" i="10"/>
  <c r="W368" i="27"/>
  <c r="E368" i="27" s="1"/>
  <c r="V368" i="27"/>
  <c r="AA368" i="27" s="1"/>
  <c r="AC518" i="10"/>
  <c r="M518" i="10"/>
  <c r="AS518" i="10"/>
  <c r="AO118" i="10"/>
  <c r="AF518" i="10"/>
  <c r="N386" i="26"/>
  <c r="G386" i="10" s="1"/>
  <c r="X167" i="10"/>
  <c r="Z167" i="10"/>
  <c r="Q167" i="10"/>
  <c r="F115" i="10"/>
  <c r="AT115" i="10" s="1"/>
  <c r="T118" i="10"/>
  <c r="Q518" i="10"/>
  <c r="Z118" i="10"/>
  <c r="W118" i="10"/>
  <c r="AL118" i="10"/>
  <c r="AY118" i="10"/>
  <c r="AW118" i="10"/>
  <c r="AB518" i="10"/>
  <c r="L518" i="10"/>
  <c r="AF118" i="10"/>
  <c r="O118" i="10"/>
  <c r="K518" i="10"/>
  <c r="AI118" i="10"/>
  <c r="F386" i="10"/>
  <c r="R518" i="10"/>
  <c r="N518" i="10"/>
  <c r="S118" i="10"/>
  <c r="AS118" i="10"/>
  <c r="AV118" i="10"/>
  <c r="AD118" i="10"/>
  <c r="S518" i="10"/>
  <c r="AK118" i="10"/>
  <c r="AQ518" i="10"/>
  <c r="J118" i="10"/>
  <c r="K118" i="10"/>
  <c r="AR518" i="10"/>
  <c r="AZ536" i="26"/>
  <c r="BB536" i="26" s="1"/>
  <c r="BA536" i="26" s="1"/>
  <c r="W310" i="27"/>
  <c r="E310" i="27" s="1"/>
  <c r="N337" i="26"/>
  <c r="V337" i="27" s="1"/>
  <c r="F102" i="10"/>
  <c r="O502" i="10" s="1"/>
  <c r="N102" i="26"/>
  <c r="V102" i="27" s="1"/>
  <c r="V310" i="27"/>
  <c r="F310" i="10"/>
  <c r="AE710" i="10" s="1"/>
  <c r="V280" i="27"/>
  <c r="F337" i="10"/>
  <c r="N337" i="10" s="1"/>
  <c r="I297" i="6"/>
  <c r="G310" i="10"/>
  <c r="H360" i="27"/>
  <c r="AZ416" i="26"/>
  <c r="BB416" i="26" s="1"/>
  <c r="BA416" i="26" s="1"/>
  <c r="BF253" i="26"/>
  <c r="H346" i="27"/>
  <c r="AL416" i="26"/>
  <c r="AM416" i="26" s="1"/>
  <c r="BF196" i="26"/>
  <c r="AG472" i="26"/>
  <c r="AY472" i="26"/>
  <c r="P297" i="26"/>
  <c r="BF153" i="26"/>
  <c r="AY416" i="26"/>
  <c r="S416" i="26" s="1"/>
  <c r="G129" i="9"/>
  <c r="Z33" i="27"/>
  <c r="W344" i="27"/>
  <c r="E344" i="27" s="1"/>
  <c r="N344" i="26"/>
  <c r="BD344" i="26" s="1"/>
  <c r="H188" i="27"/>
  <c r="F129" i="9"/>
  <c r="Z158" i="27"/>
  <c r="AG442" i="26"/>
  <c r="AU442" i="26" s="1"/>
  <c r="H85" i="27"/>
  <c r="G129" i="6"/>
  <c r="BE85" i="26"/>
  <c r="F129" i="6"/>
  <c r="Z129" i="6" s="1"/>
  <c r="F297" i="6"/>
  <c r="Z297" i="6" s="1"/>
  <c r="G280" i="10"/>
  <c r="W140" i="27"/>
  <c r="E140" i="27" s="1"/>
  <c r="F282" i="6"/>
  <c r="Z282" i="6" s="1"/>
  <c r="Z47" i="27"/>
  <c r="K567" i="10"/>
  <c r="L167" i="10"/>
  <c r="AP567" i="10"/>
  <c r="R167" i="10"/>
  <c r="AX567" i="10"/>
  <c r="AW167" i="10"/>
  <c r="AD518" i="10"/>
  <c r="AC118" i="10"/>
  <c r="AG118" i="10"/>
  <c r="AJ518" i="10"/>
  <c r="Y118" i="10"/>
  <c r="V118" i="10"/>
  <c r="M118" i="10"/>
  <c r="AX518" i="10"/>
  <c r="AN518" i="10"/>
  <c r="X118" i="10"/>
  <c r="AM118" i="10"/>
  <c r="R118" i="10"/>
  <c r="AW518" i="10"/>
  <c r="W280" i="27"/>
  <c r="E280" i="27" s="1"/>
  <c r="AI518" i="10"/>
  <c r="L118" i="10"/>
  <c r="AU518" i="10"/>
  <c r="J518" i="10"/>
  <c r="AR118" i="10"/>
  <c r="AT118" i="10"/>
  <c r="F280" i="10"/>
  <c r="AJ280" i="10" s="1"/>
  <c r="AH518" i="10"/>
  <c r="AG518" i="10"/>
  <c r="AJ567" i="10"/>
  <c r="AY567" i="10"/>
  <c r="P567" i="10"/>
  <c r="N567" i="10"/>
  <c r="J167" i="10"/>
  <c r="F368" i="10"/>
  <c r="AH768" i="10" s="1"/>
  <c r="Z308" i="27"/>
  <c r="AP518" i="10"/>
  <c r="AE518" i="10"/>
  <c r="AM518" i="10"/>
  <c r="AH118" i="10"/>
  <c r="AN118" i="10"/>
  <c r="W518" i="10"/>
  <c r="AO518" i="10"/>
  <c r="P518" i="10"/>
  <c r="AB118" i="10"/>
  <c r="AV518" i="10"/>
  <c r="U118" i="10"/>
  <c r="AA518" i="10"/>
  <c r="AY518" i="10"/>
  <c r="Y518" i="10"/>
  <c r="AQ118" i="10"/>
  <c r="T518" i="10"/>
  <c r="AK518" i="10"/>
  <c r="AT518" i="10"/>
  <c r="AL518" i="10"/>
  <c r="Q118" i="10"/>
  <c r="AJ118" i="10"/>
  <c r="V518" i="10"/>
  <c r="AU536" i="26"/>
  <c r="G368" i="6"/>
  <c r="BE368" i="26"/>
  <c r="V300" i="27"/>
  <c r="AA300" i="27" s="1"/>
  <c r="H156" i="27"/>
  <c r="BF56" i="26"/>
  <c r="I282" i="9"/>
  <c r="P282" i="26"/>
  <c r="X282" i="27" s="1"/>
  <c r="AB282" i="27" s="1"/>
  <c r="F140" i="10"/>
  <c r="W140" i="10" s="1"/>
  <c r="Y282" i="27"/>
  <c r="G282" i="27" s="1"/>
  <c r="AG425" i="26"/>
  <c r="AY425" i="26"/>
  <c r="V117" i="27"/>
  <c r="BD117" i="26"/>
  <c r="F100" i="27"/>
  <c r="F16" i="9"/>
  <c r="Z16" i="9" s="1"/>
  <c r="AA16" i="9" s="1"/>
  <c r="G16" i="9"/>
  <c r="BF219" i="26"/>
  <c r="AY442" i="26"/>
  <c r="S442" i="26" s="1"/>
  <c r="BF441" i="26"/>
  <c r="BF442" i="26"/>
  <c r="AO536" i="26"/>
  <c r="AN536" i="26" s="1"/>
  <c r="AP536" i="26" s="1"/>
  <c r="AV536" i="26" s="1"/>
  <c r="P536" i="26" s="1"/>
  <c r="AY536" i="26"/>
  <c r="S536" i="26" s="1"/>
  <c r="Y85" i="27"/>
  <c r="G85" i="27" s="1"/>
  <c r="G85" i="6"/>
  <c r="H368" i="27"/>
  <c r="H33" i="27"/>
  <c r="Z315" i="27"/>
  <c r="N199" i="26"/>
  <c r="BD199" i="26" s="1"/>
  <c r="BF158" i="26"/>
  <c r="F85" i="6"/>
  <c r="Z85" i="6" s="1"/>
  <c r="Z380" i="27"/>
  <c r="F199" i="10"/>
  <c r="AH199" i="10" s="1"/>
  <c r="F297" i="9"/>
  <c r="BF33" i="26"/>
  <c r="Y167" i="10"/>
  <c r="X567" i="10"/>
  <c r="V167" i="10"/>
  <c r="AA567" i="10"/>
  <c r="AD567" i="10"/>
  <c r="AD167" i="10"/>
  <c r="AB567" i="10"/>
  <c r="AV167" i="10"/>
  <c r="AC567" i="10"/>
  <c r="AE567" i="10"/>
  <c r="S167" i="10"/>
  <c r="U567" i="10"/>
  <c r="W167" i="10"/>
  <c r="AI567" i="10"/>
  <c r="AM167" i="10"/>
  <c r="J567" i="10"/>
  <c r="AU567" i="10"/>
  <c r="L567" i="10"/>
  <c r="AE167" i="10"/>
  <c r="P167" i="10"/>
  <c r="AI167" i="10"/>
  <c r="V16" i="27"/>
  <c r="AA16" i="27" s="1"/>
  <c r="F19" i="10"/>
  <c r="AS19" i="10" s="1"/>
  <c r="N167" i="26"/>
  <c r="G167" i="10" s="1"/>
  <c r="F219" i="27"/>
  <c r="N341" i="26"/>
  <c r="V341" i="27" s="1"/>
  <c r="AA341" i="27" s="1"/>
  <c r="AT567" i="10"/>
  <c r="AQ167" i="10"/>
  <c r="AR567" i="10"/>
  <c r="AL167" i="10"/>
  <c r="R567" i="10"/>
  <c r="AB167" i="10"/>
  <c r="AA167" i="10"/>
  <c r="V567" i="10"/>
  <c r="Y567" i="10"/>
  <c r="AH567" i="10"/>
  <c r="AQ567" i="10"/>
  <c r="AX167" i="10"/>
  <c r="O567" i="10"/>
  <c r="AF167" i="10"/>
  <c r="AF567" i="10"/>
  <c r="U167" i="10"/>
  <c r="AW567" i="10"/>
  <c r="T567" i="10"/>
  <c r="AY167" i="10"/>
  <c r="AV567" i="10"/>
  <c r="AG167" i="10"/>
  <c r="W167" i="27"/>
  <c r="E167" i="27" s="1"/>
  <c r="BA143" i="10"/>
  <c r="BB143" i="10"/>
  <c r="BC143" i="10" s="1"/>
  <c r="F84" i="27"/>
  <c r="AN567" i="10"/>
  <c r="Q567" i="10"/>
  <c r="AT167" i="10"/>
  <c r="M167" i="10"/>
  <c r="AK167" i="10"/>
  <c r="K167" i="10"/>
  <c r="AL567" i="10"/>
  <c r="AH167" i="10"/>
  <c r="Z567" i="10"/>
  <c r="AO167" i="10"/>
  <c r="W567" i="10"/>
  <c r="AS167" i="10"/>
  <c r="AR167" i="10"/>
  <c r="N167" i="10"/>
  <c r="AG567" i="10"/>
  <c r="AS567" i="10"/>
  <c r="AO567" i="10"/>
  <c r="T167" i="10"/>
  <c r="AK567" i="10"/>
  <c r="N331" i="26"/>
  <c r="F331" i="10"/>
  <c r="W331" i="27"/>
  <c r="E331" i="27" s="1"/>
  <c r="I267" i="6"/>
  <c r="BA84" i="10"/>
  <c r="F16" i="6"/>
  <c r="Z16" i="6" s="1"/>
  <c r="BE16" i="26"/>
  <c r="BF16" i="26" s="1"/>
  <c r="H34" i="6"/>
  <c r="AC34" i="6" s="1"/>
  <c r="Y16" i="27"/>
  <c r="G16" i="27" s="1"/>
  <c r="H16" i="27"/>
  <c r="BB84" i="10"/>
  <c r="BC84" i="10" s="1"/>
  <c r="BF332" i="26"/>
  <c r="BF314" i="26"/>
  <c r="H257" i="27"/>
  <c r="Z212" i="27"/>
  <c r="I300" i="9"/>
  <c r="Z318" i="27"/>
  <c r="I280" i="9"/>
  <c r="W19" i="27"/>
  <c r="E19" i="27" s="1"/>
  <c r="R34" i="26"/>
  <c r="I34" i="6" s="1"/>
  <c r="AU418" i="26"/>
  <c r="AS418" i="26"/>
  <c r="H76" i="27"/>
  <c r="G314" i="10"/>
  <c r="V314" i="27"/>
  <c r="F23" i="10"/>
  <c r="AO23" i="10" s="1"/>
  <c r="F15" i="10"/>
  <c r="N15" i="10" s="1"/>
  <c r="N15" i="26"/>
  <c r="W341" i="27"/>
  <c r="E341" i="27" s="1"/>
  <c r="I175" i="6"/>
  <c r="H125" i="27"/>
  <c r="BB144" i="10"/>
  <c r="BC144" i="10" s="1"/>
  <c r="BF66" i="26"/>
  <c r="F132" i="27"/>
  <c r="BB40" i="10"/>
  <c r="BC40" i="10" s="1"/>
  <c r="F169" i="27"/>
  <c r="F299" i="27"/>
  <c r="I284" i="9"/>
  <c r="BF269" i="26"/>
  <c r="BA66" i="10"/>
  <c r="BA40" i="10"/>
  <c r="BF100" i="26"/>
  <c r="F256" i="27"/>
  <c r="H315" i="27"/>
  <c r="I226" i="9"/>
  <c r="BB47" i="10"/>
  <c r="BC47" i="10" s="1"/>
  <c r="W371" i="27"/>
  <c r="E371" i="27" s="1"/>
  <c r="J65" i="10"/>
  <c r="I356" i="6"/>
  <c r="N23" i="26"/>
  <c r="BD23" i="26" s="1"/>
  <c r="BB132" i="10"/>
  <c r="BC132" i="10" s="1"/>
  <c r="F33" i="27"/>
  <c r="BB380" i="10"/>
  <c r="BC380" i="10" s="1"/>
  <c r="I172" i="9"/>
  <c r="I101" i="6"/>
  <c r="AY498" i="26"/>
  <c r="AZ498" i="26"/>
  <c r="BB498" i="26" s="1"/>
  <c r="BA498" i="26" s="1"/>
  <c r="H387" i="6"/>
  <c r="AC387" i="6" s="1"/>
  <c r="P369" i="26"/>
  <c r="I247" i="9"/>
  <c r="AF284" i="9"/>
  <c r="AH284" i="9"/>
  <c r="BD19" i="26"/>
  <c r="BF19" i="26" s="1"/>
  <c r="G19" i="10"/>
  <c r="R186" i="26"/>
  <c r="I186" i="6" s="1"/>
  <c r="I72" i="9"/>
  <c r="I147" i="6"/>
  <c r="F81" i="9"/>
  <c r="I337" i="9"/>
  <c r="I377" i="9"/>
  <c r="Y81" i="27"/>
  <c r="G81" i="27" s="1"/>
  <c r="I15" i="9"/>
  <c r="P375" i="26"/>
  <c r="H368" i="6"/>
  <c r="H368" i="9"/>
  <c r="R368" i="26"/>
  <c r="F14" i="9"/>
  <c r="Z14" i="9" s="1"/>
  <c r="AA14" i="9" s="1"/>
  <c r="F14" i="6"/>
  <c r="Y14" i="27"/>
  <c r="G14" i="27" s="1"/>
  <c r="F35" i="6"/>
  <c r="Y35" i="27"/>
  <c r="G35" i="27" s="1"/>
  <c r="F35" i="9"/>
  <c r="Z35" i="9" s="1"/>
  <c r="AA35" i="9" s="1"/>
  <c r="P35" i="26"/>
  <c r="X35" i="27" s="1"/>
  <c r="AB35" i="27" s="1"/>
  <c r="H201" i="9"/>
  <c r="H201" i="6"/>
  <c r="R201" i="26"/>
  <c r="F284" i="6"/>
  <c r="Y284" i="27"/>
  <c r="G284" i="27" s="1"/>
  <c r="F284" i="9"/>
  <c r="Z284" i="9" s="1"/>
  <c r="AA284" i="9" s="1"/>
  <c r="P284" i="26"/>
  <c r="X284" i="27" s="1"/>
  <c r="AB284" i="27" s="1"/>
  <c r="I237" i="9"/>
  <c r="I237" i="6"/>
  <c r="AC337" i="9"/>
  <c r="AC286" i="9"/>
  <c r="Z44" i="6"/>
  <c r="I202" i="6"/>
  <c r="I202" i="9"/>
  <c r="AC171" i="6"/>
  <c r="V19" i="27"/>
  <c r="I240" i="6"/>
  <c r="H42" i="9"/>
  <c r="H42" i="6"/>
  <c r="Y29" i="27"/>
  <c r="G29" i="27" s="1"/>
  <c r="F29" i="9"/>
  <c r="Z29" i="9" s="1"/>
  <c r="AA29" i="9" s="1"/>
  <c r="F29" i="6"/>
  <c r="Y309" i="27"/>
  <c r="G309" i="27" s="1"/>
  <c r="F309" i="9"/>
  <c r="Z309" i="9" s="1"/>
  <c r="AA309" i="9" s="1"/>
  <c r="F309" i="6"/>
  <c r="P309" i="26"/>
  <c r="X309" i="27" s="1"/>
  <c r="AB309" i="27" s="1"/>
  <c r="F305" i="6"/>
  <c r="F305" i="9"/>
  <c r="Z305" i="9" s="1"/>
  <c r="AA305" i="9" s="1"/>
  <c r="Y305" i="27"/>
  <c r="G305" i="27" s="1"/>
  <c r="P305" i="26"/>
  <c r="X305" i="27" s="1"/>
  <c r="AB305" i="27" s="1"/>
  <c r="AC63" i="6"/>
  <c r="AC333" i="6"/>
  <c r="AC286" i="6"/>
  <c r="H387" i="9"/>
  <c r="AC244" i="6"/>
  <c r="F286" i="6"/>
  <c r="Y286" i="27"/>
  <c r="G286" i="27" s="1"/>
  <c r="F286" i="9"/>
  <c r="Z286" i="9" s="1"/>
  <c r="AA286" i="9" s="1"/>
  <c r="Y267" i="27"/>
  <c r="G267" i="27" s="1"/>
  <c r="F267" i="9"/>
  <c r="Z267" i="9" s="1"/>
  <c r="AA267" i="9" s="1"/>
  <c r="F267" i="6"/>
  <c r="P267" i="26"/>
  <c r="X267" i="27" s="1"/>
  <c r="AB267" i="27" s="1"/>
  <c r="F361" i="9"/>
  <c r="Z361" i="9" s="1"/>
  <c r="AA361" i="9" s="1"/>
  <c r="F361" i="6"/>
  <c r="Y361" i="27"/>
  <c r="G361" i="27" s="1"/>
  <c r="H306" i="9"/>
  <c r="H306" i="6"/>
  <c r="R306" i="26"/>
  <c r="P361" i="26"/>
  <c r="X361" i="27" s="1"/>
  <c r="AB361" i="27" s="1"/>
  <c r="AC300" i="6"/>
  <c r="AC284" i="6"/>
  <c r="AG44" i="9"/>
  <c r="I171" i="6"/>
  <c r="I171" i="9"/>
  <c r="I244" i="9"/>
  <c r="I244" i="6"/>
  <c r="M700" i="10"/>
  <c r="P81" i="26"/>
  <c r="Y142" i="27"/>
  <c r="G142" i="27" s="1"/>
  <c r="F142" i="6"/>
  <c r="F142" i="9"/>
  <c r="Z142" i="9" s="1"/>
  <c r="AA142" i="9" s="1"/>
  <c r="P142" i="26"/>
  <c r="X142" i="27" s="1"/>
  <c r="AB142" i="27" s="1"/>
  <c r="F147" i="9"/>
  <c r="Z147" i="9" s="1"/>
  <c r="AA147" i="9" s="1"/>
  <c r="P147" i="26"/>
  <c r="X147" i="27" s="1"/>
  <c r="AB147" i="27" s="1"/>
  <c r="Y147" i="27"/>
  <c r="G147" i="27" s="1"/>
  <c r="F147" i="6"/>
  <c r="AE368" i="9"/>
  <c r="Y369" i="27"/>
  <c r="G369" i="27" s="1"/>
  <c r="F369" i="9"/>
  <c r="Z369" i="9" s="1"/>
  <c r="AA369" i="9" s="1"/>
  <c r="F369" i="6"/>
  <c r="R129" i="26"/>
  <c r="I129" i="6" s="1"/>
  <c r="P286" i="26"/>
  <c r="X286" i="27" s="1"/>
  <c r="AB286" i="27" s="1"/>
  <c r="R42" i="26"/>
  <c r="AC337" i="6"/>
  <c r="I333" i="6"/>
  <c r="I333" i="9"/>
  <c r="G44" i="6"/>
  <c r="BE44" i="26"/>
  <c r="G44" i="9"/>
  <c r="I286" i="9"/>
  <c r="I286" i="6"/>
  <c r="I234" i="9"/>
  <c r="I234" i="6"/>
  <c r="AC244" i="9"/>
  <c r="P29" i="26"/>
  <c r="X29" i="27" s="1"/>
  <c r="AB29" i="27" s="1"/>
  <c r="BB66" i="10"/>
  <c r="BC66" i="10" s="1"/>
  <c r="BA366" i="10"/>
  <c r="BF125" i="26"/>
  <c r="AF65" i="10"/>
  <c r="X252" i="10"/>
  <c r="N136" i="10"/>
  <c r="W209" i="27"/>
  <c r="E209" i="27" s="1"/>
  <c r="AC81" i="9"/>
  <c r="AJ284" i="10"/>
  <c r="AJ536" i="10"/>
  <c r="F64" i="10"/>
  <c r="AK464" i="10" s="1"/>
  <c r="F262" i="10"/>
  <c r="AP262" i="10" s="1"/>
  <c r="G209" i="10"/>
  <c r="W385" i="27"/>
  <c r="E385" i="27" s="1"/>
  <c r="F313" i="6"/>
  <c r="Z313" i="6" s="1"/>
  <c r="L684" i="10"/>
  <c r="F57" i="10"/>
  <c r="AD57" i="10" s="1"/>
  <c r="AW300" i="10"/>
  <c r="AJ700" i="10"/>
  <c r="AA450" i="10"/>
  <c r="N74" i="26"/>
  <c r="V74" i="27" s="1"/>
  <c r="AA74" i="27" s="1"/>
  <c r="AA700" i="10"/>
  <c r="AN300" i="10"/>
  <c r="AR50" i="10"/>
  <c r="Y313" i="27"/>
  <c r="G313" i="27" s="1"/>
  <c r="Z300" i="10"/>
  <c r="AR300" i="10"/>
  <c r="Q700" i="10"/>
  <c r="N55" i="26"/>
  <c r="V55" i="27" s="1"/>
  <c r="AA55" i="27" s="1"/>
  <c r="S300" i="10"/>
  <c r="AP700" i="10"/>
  <c r="AH700" i="10"/>
  <c r="V209" i="27"/>
  <c r="P465" i="10"/>
  <c r="W57" i="27"/>
  <c r="E57" i="27" s="1"/>
  <c r="U252" i="10"/>
  <c r="AC684" i="10"/>
  <c r="AT50" i="10"/>
  <c r="F385" i="10"/>
  <c r="AX785" i="10" s="1"/>
  <c r="F134" i="10"/>
  <c r="J134" i="10" s="1"/>
  <c r="G300" i="10"/>
  <c r="N262" i="26"/>
  <c r="BD262" i="26" s="1"/>
  <c r="H56" i="27"/>
  <c r="F126" i="27"/>
  <c r="G50" i="10"/>
  <c r="W74" i="27"/>
  <c r="E74" i="27" s="1"/>
  <c r="BA153" i="10"/>
  <c r="F313" i="9"/>
  <c r="AO65" i="10"/>
  <c r="AX700" i="10"/>
  <c r="L300" i="10"/>
  <c r="AB300" i="10"/>
  <c r="Y300" i="10"/>
  <c r="AC700" i="10"/>
  <c r="AK284" i="10"/>
  <c r="Y536" i="10"/>
  <c r="F181" i="10"/>
  <c r="AV181" i="10" s="1"/>
  <c r="F55" i="10"/>
  <c r="K55" i="10" s="1"/>
  <c r="F209" i="10"/>
  <c r="P609" i="10" s="1"/>
  <c r="BA144" i="10"/>
  <c r="BA47" i="10"/>
  <c r="BA380" i="10"/>
  <c r="BA132" i="10"/>
  <c r="F258" i="6"/>
  <c r="Z258" i="6" s="1"/>
  <c r="AK65" i="10"/>
  <c r="AY465" i="10"/>
  <c r="J300" i="10"/>
  <c r="P700" i="10"/>
  <c r="AM300" i="10"/>
  <c r="AJ300" i="10"/>
  <c r="AA300" i="10"/>
  <c r="AX652" i="10"/>
  <c r="AL284" i="10"/>
  <c r="AN684" i="10"/>
  <c r="BF51" i="26"/>
  <c r="BD136" i="26"/>
  <c r="BF136" i="26" s="1"/>
  <c r="N64" i="26"/>
  <c r="G64" i="10" s="1"/>
  <c r="W284" i="27"/>
  <c r="E284" i="27" s="1"/>
  <c r="N284" i="26"/>
  <c r="G284" i="10" s="1"/>
  <c r="AO50" i="10"/>
  <c r="V50" i="10"/>
  <c r="AF450" i="10"/>
  <c r="AM450" i="10"/>
  <c r="Z450" i="10"/>
  <c r="AU450" i="10"/>
  <c r="Y271" i="27"/>
  <c r="G271" i="27" s="1"/>
  <c r="M465" i="10"/>
  <c r="AD65" i="10"/>
  <c r="V700" i="10"/>
  <c r="AE700" i="10"/>
  <c r="AC300" i="10"/>
  <c r="O300" i="10"/>
  <c r="AL700" i="10"/>
  <c r="AX300" i="10"/>
  <c r="T300" i="10"/>
  <c r="W300" i="10"/>
  <c r="S700" i="10"/>
  <c r="K700" i="10"/>
  <c r="AY652" i="10"/>
  <c r="F258" i="10"/>
  <c r="V258" i="10" s="1"/>
  <c r="BD258" i="26"/>
  <c r="AO450" i="10"/>
  <c r="AC50" i="10"/>
  <c r="F271" i="9"/>
  <c r="K465" i="10"/>
  <c r="AI465" i="10"/>
  <c r="AG65" i="10"/>
  <c r="X700" i="10"/>
  <c r="AU700" i="10"/>
  <c r="Q300" i="10"/>
  <c r="X300" i="10"/>
  <c r="Z700" i="10"/>
  <c r="AO300" i="10"/>
  <c r="AI300" i="10"/>
  <c r="AS700" i="10"/>
  <c r="T700" i="10"/>
  <c r="AS300" i="10"/>
  <c r="AK700" i="10"/>
  <c r="M252" i="10"/>
  <c r="K578" i="10"/>
  <c r="G307" i="10"/>
  <c r="AM529" i="10"/>
  <c r="AG470" i="26"/>
  <c r="AJ470" i="26" s="1"/>
  <c r="G36" i="9"/>
  <c r="AY517" i="26"/>
  <c r="AP50" i="10"/>
  <c r="R50" i="10"/>
  <c r="K50" i="10"/>
  <c r="AH50" i="10"/>
  <c r="Z50" i="10"/>
  <c r="N134" i="26"/>
  <c r="G134" i="10" s="1"/>
  <c r="BD307" i="26"/>
  <c r="BF307" i="26" s="1"/>
  <c r="AN284" i="10"/>
  <c r="AP284" i="10"/>
  <c r="N202" i="26"/>
  <c r="BD202" i="26" s="1"/>
  <c r="W258" i="27"/>
  <c r="E258" i="27" s="1"/>
  <c r="V258" i="27"/>
  <c r="AZ470" i="26"/>
  <c r="BB470" i="26" s="1"/>
  <c r="BA470" i="26" s="1"/>
  <c r="J50" i="10"/>
  <c r="AS450" i="10"/>
  <c r="AF50" i="10"/>
  <c r="AW450" i="10"/>
  <c r="AK450" i="10"/>
  <c r="Z551" i="10"/>
  <c r="AM284" i="10"/>
  <c r="AF284" i="10"/>
  <c r="Y284" i="10"/>
  <c r="R271" i="26"/>
  <c r="I271" i="9" s="1"/>
  <c r="F271" i="6"/>
  <c r="Z271" i="6" s="1"/>
  <c r="N275" i="26"/>
  <c r="P258" i="26"/>
  <c r="X465" i="10"/>
  <c r="X65" i="10"/>
  <c r="AE465" i="10"/>
  <c r="AN65" i="10"/>
  <c r="AM465" i="10"/>
  <c r="AP300" i="10"/>
  <c r="AQ700" i="10"/>
  <c r="U700" i="10"/>
  <c r="AO700" i="10"/>
  <c r="J700" i="10"/>
  <c r="W700" i="10"/>
  <c r="K300" i="10"/>
  <c r="AF700" i="10"/>
  <c r="V300" i="10"/>
  <c r="AK300" i="10"/>
  <c r="AQ300" i="10"/>
  <c r="Y700" i="10"/>
  <c r="AN700" i="10"/>
  <c r="AM700" i="10"/>
  <c r="N300" i="10"/>
  <c r="AF300" i="10"/>
  <c r="AL300" i="10"/>
  <c r="N700" i="10"/>
  <c r="AI700" i="10"/>
  <c r="M300" i="10"/>
  <c r="AW700" i="10"/>
  <c r="AE252" i="10"/>
  <c r="R252" i="10"/>
  <c r="AV652" i="10"/>
  <c r="W142" i="27"/>
  <c r="E142" i="27" s="1"/>
  <c r="AL517" i="26"/>
  <c r="AJ136" i="10"/>
  <c r="R536" i="10"/>
  <c r="W201" i="27"/>
  <c r="E201" i="27" s="1"/>
  <c r="N181" i="26"/>
  <c r="BD181" i="26" s="1"/>
  <c r="Z252" i="27"/>
  <c r="AC465" i="10"/>
  <c r="AP465" i="10"/>
  <c r="S65" i="10"/>
  <c r="AI65" i="10"/>
  <c r="V465" i="10"/>
  <c r="AT300" i="10"/>
  <c r="AE300" i="10"/>
  <c r="AV700" i="10"/>
  <c r="AV300" i="10"/>
  <c r="AY700" i="10"/>
  <c r="R700" i="10"/>
  <c r="AG700" i="10"/>
  <c r="AR700" i="10"/>
  <c r="U300" i="10"/>
  <c r="L700" i="10"/>
  <c r="AD700" i="10"/>
  <c r="AY300" i="10"/>
  <c r="O700" i="10"/>
  <c r="AH300" i="10"/>
  <c r="AD300" i="10"/>
  <c r="AT700" i="10"/>
  <c r="R300" i="10"/>
  <c r="AB700" i="10"/>
  <c r="AG300" i="10"/>
  <c r="AV252" i="10"/>
  <c r="AK652" i="10"/>
  <c r="BF169" i="26"/>
  <c r="H144" i="27"/>
  <c r="Z278" i="27"/>
  <c r="H271" i="6"/>
  <c r="AC271" i="6" s="1"/>
  <c r="BF315" i="26"/>
  <c r="BF137" i="26"/>
  <c r="BD328" i="26"/>
  <c r="V328" i="27"/>
  <c r="AA328" i="27" s="1"/>
  <c r="AW136" i="10"/>
  <c r="J536" i="10"/>
  <c r="AH536" i="10"/>
  <c r="AQ136" i="10"/>
  <c r="AV536" i="10"/>
  <c r="X136" i="10"/>
  <c r="AL536" i="10"/>
  <c r="L136" i="10"/>
  <c r="N536" i="10"/>
  <c r="AG536" i="10"/>
  <c r="AG136" i="10"/>
  <c r="AN536" i="10"/>
  <c r="AE536" i="10"/>
  <c r="AT136" i="10"/>
  <c r="V129" i="27"/>
  <c r="AA129" i="27" s="1"/>
  <c r="BD129" i="26"/>
  <c r="BF129" i="26" s="1"/>
  <c r="F165" i="10"/>
  <c r="W165" i="27"/>
  <c r="E165" i="27" s="1"/>
  <c r="F348" i="6"/>
  <c r="Z348" i="6" s="1"/>
  <c r="F348" i="9"/>
  <c r="Z348" i="9" s="1"/>
  <c r="AA348" i="9" s="1"/>
  <c r="W130" i="27"/>
  <c r="E130" i="27" s="1"/>
  <c r="N130" i="26"/>
  <c r="V130" i="27" s="1"/>
  <c r="AY470" i="26"/>
  <c r="S470" i="26" s="1"/>
  <c r="V50" i="27"/>
  <c r="Y258" i="27"/>
  <c r="G258" i="27" s="1"/>
  <c r="W275" i="27"/>
  <c r="E275" i="27" s="1"/>
  <c r="Q465" i="10"/>
  <c r="Y65" i="10"/>
  <c r="N65" i="10"/>
  <c r="AP65" i="10"/>
  <c r="AV65" i="10"/>
  <c r="AX465" i="10"/>
  <c r="J465" i="10"/>
  <c r="Y465" i="10"/>
  <c r="O65" i="10"/>
  <c r="Z252" i="10"/>
  <c r="AI252" i="10"/>
  <c r="X652" i="10"/>
  <c r="AU652" i="10"/>
  <c r="AC136" i="10"/>
  <c r="AH136" i="10"/>
  <c r="L536" i="10"/>
  <c r="Z136" i="10"/>
  <c r="AD536" i="10"/>
  <c r="W154" i="27"/>
  <c r="E154" i="27" s="1"/>
  <c r="N190" i="26"/>
  <c r="W190" i="27"/>
  <c r="E190" i="27" s="1"/>
  <c r="Z65" i="10"/>
  <c r="AR465" i="10"/>
  <c r="AM65" i="10"/>
  <c r="K65" i="10"/>
  <c r="Z465" i="10"/>
  <c r="U465" i="10"/>
  <c r="AN465" i="10"/>
  <c r="AS65" i="10"/>
  <c r="V65" i="10"/>
  <c r="AX65" i="10"/>
  <c r="AA65" i="10"/>
  <c r="AT465" i="10"/>
  <c r="AL65" i="10"/>
  <c r="AB465" i="10"/>
  <c r="O465" i="10"/>
  <c r="AK465" i="10"/>
  <c r="R65" i="10"/>
  <c r="AF465" i="10"/>
  <c r="U65" i="10"/>
  <c r="AL465" i="10"/>
  <c r="W65" i="10"/>
  <c r="AO465" i="10"/>
  <c r="P65" i="10"/>
  <c r="AU465" i="10"/>
  <c r="AC65" i="10"/>
  <c r="AS465" i="10"/>
  <c r="AV465" i="10"/>
  <c r="AT65" i="10"/>
  <c r="W465" i="10"/>
  <c r="Q65" i="10"/>
  <c r="AQ65" i="10"/>
  <c r="M65" i="10"/>
  <c r="N465" i="10"/>
  <c r="AG465" i="10"/>
  <c r="AH465" i="10"/>
  <c r="T65" i="10"/>
  <c r="S465" i="10"/>
  <c r="R465" i="10"/>
  <c r="T465" i="10"/>
  <c r="AY65" i="10"/>
  <c r="AJ65" i="10"/>
  <c r="W291" i="27"/>
  <c r="E291" i="27" s="1"/>
  <c r="F291" i="10"/>
  <c r="AY291" i="10" s="1"/>
  <c r="AY252" i="10"/>
  <c r="AG252" i="10"/>
  <c r="AS252" i="10"/>
  <c r="AN652" i="10"/>
  <c r="P652" i="10"/>
  <c r="AT652" i="10"/>
  <c r="Z652" i="10"/>
  <c r="AH652" i="10"/>
  <c r="V252" i="10"/>
  <c r="AL252" i="10"/>
  <c r="AQ252" i="10"/>
  <c r="AN252" i="10"/>
  <c r="AM252" i="10"/>
  <c r="AW252" i="10"/>
  <c r="AI652" i="10"/>
  <c r="O652" i="10"/>
  <c r="Q252" i="10"/>
  <c r="J652" i="10"/>
  <c r="L652" i="10"/>
  <c r="AX252" i="10"/>
  <c r="N652" i="10"/>
  <c r="F94" i="10"/>
  <c r="AA494" i="10" s="1"/>
  <c r="W94" i="27"/>
  <c r="E94" i="27" s="1"/>
  <c r="F194" i="10"/>
  <c r="AB194" i="10" s="1"/>
  <c r="AR65" i="10"/>
  <c r="AA465" i="10"/>
  <c r="L465" i="10"/>
  <c r="AB65" i="10"/>
  <c r="AE65" i="10"/>
  <c r="AH65" i="10"/>
  <c r="AJ465" i="10"/>
  <c r="AW465" i="10"/>
  <c r="AW65" i="10"/>
  <c r="L65" i="10"/>
  <c r="AQ465" i="10"/>
  <c r="AQ652" i="10"/>
  <c r="AA252" i="10"/>
  <c r="AB652" i="10"/>
  <c r="P252" i="10"/>
  <c r="O252" i="10"/>
  <c r="AR652" i="10"/>
  <c r="N142" i="26"/>
  <c r="BD142" i="26" s="1"/>
  <c r="N288" i="26"/>
  <c r="V288" i="27" s="1"/>
  <c r="AA288" i="27" s="1"/>
  <c r="AD136" i="10"/>
  <c r="AF536" i="10"/>
  <c r="N201" i="26"/>
  <c r="R136" i="10"/>
  <c r="N154" i="26"/>
  <c r="BD154" i="26" s="1"/>
  <c r="F305" i="10"/>
  <c r="AM305" i="10" s="1"/>
  <c r="N37" i="26"/>
  <c r="V37" i="27" s="1"/>
  <c r="AA37" i="27" s="1"/>
  <c r="AY684" i="10"/>
  <c r="AG684" i="10"/>
  <c r="K684" i="10"/>
  <c r="AQ284" i="10"/>
  <c r="O284" i="10"/>
  <c r="AH284" i="10"/>
  <c r="AE684" i="10"/>
  <c r="U284" i="10"/>
  <c r="V284" i="10"/>
  <c r="J684" i="10"/>
  <c r="U684" i="10"/>
  <c r="T684" i="10"/>
  <c r="AD284" i="10"/>
  <c r="AL684" i="10"/>
  <c r="AF684" i="10"/>
  <c r="AG284" i="10"/>
  <c r="AR284" i="10"/>
  <c r="Q284" i="10"/>
  <c r="AO684" i="10"/>
  <c r="AB284" i="10"/>
  <c r="AX684" i="10"/>
  <c r="X284" i="10"/>
  <c r="AU684" i="10"/>
  <c r="R284" i="10"/>
  <c r="AA684" i="10"/>
  <c r="Y684" i="10"/>
  <c r="N684" i="10"/>
  <c r="AS284" i="10"/>
  <c r="AV284" i="10"/>
  <c r="AI284" i="10"/>
  <c r="AW684" i="10"/>
  <c r="M284" i="10"/>
  <c r="AM684" i="10"/>
  <c r="P684" i="10"/>
  <c r="AJ684" i="10"/>
  <c r="W684" i="10"/>
  <c r="S284" i="10"/>
  <c r="O684" i="10"/>
  <c r="W284" i="10"/>
  <c r="R684" i="10"/>
  <c r="AV684" i="10"/>
  <c r="P284" i="10"/>
  <c r="L284" i="10"/>
  <c r="AP684" i="10"/>
  <c r="AO284" i="10"/>
  <c r="AT284" i="10"/>
  <c r="AK684" i="10"/>
  <c r="Z684" i="10"/>
  <c r="AQ684" i="10"/>
  <c r="AD684" i="10"/>
  <c r="F38" i="10"/>
  <c r="W38" i="27"/>
  <c r="E38" i="27" s="1"/>
  <c r="F200" i="10"/>
  <c r="AV200" i="10" s="1"/>
  <c r="N200" i="26"/>
  <c r="BB153" i="10"/>
  <c r="BC153" i="10" s="1"/>
  <c r="H65" i="27"/>
  <c r="W37" i="27"/>
  <c r="E37" i="27" s="1"/>
  <c r="L50" i="10"/>
  <c r="AV50" i="10"/>
  <c r="AI50" i="10"/>
  <c r="AW50" i="10"/>
  <c r="AY50" i="10"/>
  <c r="AK50" i="10"/>
  <c r="AV450" i="10"/>
  <c r="AQ450" i="10"/>
  <c r="AB50" i="10"/>
  <c r="AI450" i="10"/>
  <c r="BB339" i="10"/>
  <c r="BC339" i="10" s="1"/>
  <c r="N284" i="10"/>
  <c r="V684" i="10"/>
  <c r="AY284" i="10"/>
  <c r="AB684" i="10"/>
  <c r="X684" i="10"/>
  <c r="AT684" i="10"/>
  <c r="AX284" i="10"/>
  <c r="M684" i="10"/>
  <c r="AI684" i="10"/>
  <c r="S684" i="10"/>
  <c r="W202" i="27"/>
  <c r="E202" i="27" s="1"/>
  <c r="BB390" i="10"/>
  <c r="BC390" i="10" s="1"/>
  <c r="W31" i="27"/>
  <c r="E31" i="27" s="1"/>
  <c r="F31" i="10"/>
  <c r="AV31" i="10" s="1"/>
  <c r="AE578" i="10"/>
  <c r="AJ578" i="10"/>
  <c r="AQ578" i="10"/>
  <c r="T151" i="10"/>
  <c r="AB551" i="10"/>
  <c r="AK151" i="10"/>
  <c r="AX129" i="10"/>
  <c r="Q129" i="10"/>
  <c r="V65" i="27"/>
  <c r="G65" i="10"/>
  <c r="W80" i="27"/>
  <c r="E80" i="27" s="1"/>
  <c r="F80" i="10"/>
  <c r="AG80" i="10" s="1"/>
  <c r="N80" i="26"/>
  <c r="G80" i="10" s="1"/>
  <c r="W313" i="27"/>
  <c r="E313" i="27" s="1"/>
  <c r="F313" i="10"/>
  <c r="AG313" i="10" s="1"/>
  <c r="BA51" i="10"/>
  <c r="U50" i="10"/>
  <c r="O450" i="10"/>
  <c r="AL50" i="10"/>
  <c r="N450" i="10"/>
  <c r="AM50" i="10"/>
  <c r="AR450" i="10"/>
  <c r="AN450" i="10"/>
  <c r="Y50" i="10"/>
  <c r="AG50" i="10"/>
  <c r="Y450" i="10"/>
  <c r="U450" i="10"/>
  <c r="AL450" i="10"/>
  <c r="AS50" i="10"/>
  <c r="AH450" i="10"/>
  <c r="M50" i="10"/>
  <c r="J450" i="10"/>
  <c r="T50" i="10"/>
  <c r="AC450" i="10"/>
  <c r="L450" i="10"/>
  <c r="Q50" i="10"/>
  <c r="P50" i="10"/>
  <c r="X450" i="10"/>
  <c r="M450" i="10"/>
  <c r="AQ50" i="10"/>
  <c r="K450" i="10"/>
  <c r="AT450" i="10"/>
  <c r="N50" i="10"/>
  <c r="S450" i="10"/>
  <c r="AB450" i="10"/>
  <c r="W450" i="10"/>
  <c r="AJ450" i="10"/>
  <c r="AE50" i="10"/>
  <c r="AN50" i="10"/>
  <c r="O50" i="10"/>
  <c r="AY450" i="10"/>
  <c r="W50" i="10"/>
  <c r="AD450" i="10"/>
  <c r="AX450" i="10"/>
  <c r="X50" i="10"/>
  <c r="AP450" i="10"/>
  <c r="Q450" i="10"/>
  <c r="F316" i="9"/>
  <c r="BA324" i="10"/>
  <c r="AA50" i="10"/>
  <c r="AX50" i="10"/>
  <c r="S50" i="10"/>
  <c r="AG450" i="10"/>
  <c r="AD50" i="10"/>
  <c r="V450" i="10"/>
  <c r="AJ50" i="10"/>
  <c r="P450" i="10"/>
  <c r="AE450" i="10"/>
  <c r="R450" i="10"/>
  <c r="Y36" i="27"/>
  <c r="G36" i="27" s="1"/>
  <c r="BB51" i="10"/>
  <c r="BC51" i="10" s="1"/>
  <c r="F324" i="27"/>
  <c r="N178" i="10"/>
  <c r="AG151" i="10"/>
  <c r="T284" i="10"/>
  <c r="J284" i="10"/>
  <c r="AE284" i="10"/>
  <c r="AC284" i="10"/>
  <c r="AS684" i="10"/>
  <c r="Z284" i="10"/>
  <c r="AW284" i="10"/>
  <c r="Q684" i="10"/>
  <c r="AR684" i="10"/>
  <c r="K284" i="10"/>
  <c r="AH684" i="10"/>
  <c r="N313" i="26"/>
  <c r="G313" i="10" s="1"/>
  <c r="Z390" i="27"/>
  <c r="F390" i="27"/>
  <c r="BF144" i="26"/>
  <c r="Z149" i="27"/>
  <c r="F149" i="27"/>
  <c r="N38" i="26"/>
  <c r="G38" i="10" s="1"/>
  <c r="BA100" i="10"/>
  <c r="BA256" i="10"/>
  <c r="BB100" i="10"/>
  <c r="BC100" i="10" s="1"/>
  <c r="F161" i="10"/>
  <c r="AC561" i="10" s="1"/>
  <c r="W348" i="27"/>
  <c r="E348" i="27" s="1"/>
  <c r="F348" i="10"/>
  <c r="BB302" i="10"/>
  <c r="BC302" i="10" s="1"/>
  <c r="BA302" i="10"/>
  <c r="BB218" i="10"/>
  <c r="BC218" i="10" s="1"/>
  <c r="Z100" i="27"/>
  <c r="BA374" i="10"/>
  <c r="BB353" i="10"/>
  <c r="BC353" i="10" s="1"/>
  <c r="BA390" i="10"/>
  <c r="BF189" i="26"/>
  <c r="N348" i="26"/>
  <c r="F144" i="27"/>
  <c r="F153" i="27"/>
  <c r="BA339" i="10"/>
  <c r="F187" i="10"/>
  <c r="AR587" i="10" s="1"/>
  <c r="Y348" i="27"/>
  <c r="G348" i="27" s="1"/>
  <c r="N161" i="26"/>
  <c r="G161" i="10" s="1"/>
  <c r="R578" i="10"/>
  <c r="W578" i="10"/>
  <c r="P178" i="10"/>
  <c r="AB151" i="10"/>
  <c r="AY151" i="10"/>
  <c r="AO151" i="10"/>
  <c r="P186" i="26"/>
  <c r="W170" i="27"/>
  <c r="E170" i="27" s="1"/>
  <c r="AJ652" i="10"/>
  <c r="K652" i="10"/>
  <c r="AC652" i="10"/>
  <c r="L252" i="10"/>
  <c r="AO652" i="10"/>
  <c r="R652" i="10"/>
  <c r="K252" i="10"/>
  <c r="AM652" i="10"/>
  <c r="J252" i="10"/>
  <c r="V652" i="10"/>
  <c r="T652" i="10"/>
  <c r="AJ252" i="10"/>
  <c r="Q652" i="10"/>
  <c r="Y652" i="10"/>
  <c r="AD252" i="10"/>
  <c r="AW652" i="10"/>
  <c r="AD652" i="10"/>
  <c r="AT252" i="10"/>
  <c r="M652" i="10"/>
  <c r="U652" i="10"/>
  <c r="AP652" i="10"/>
  <c r="AW529" i="10"/>
  <c r="Z529" i="10"/>
  <c r="W176" i="27"/>
  <c r="E176" i="27" s="1"/>
  <c r="P348" i="26"/>
  <c r="Y316" i="27"/>
  <c r="G316" i="27" s="1"/>
  <c r="V187" i="27"/>
  <c r="AF178" i="10"/>
  <c r="R178" i="10"/>
  <c r="AY578" i="10"/>
  <c r="AL551" i="10"/>
  <c r="AD151" i="10"/>
  <c r="AH252" i="10"/>
  <c r="S252" i="10"/>
  <c r="N252" i="10"/>
  <c r="W252" i="10"/>
  <c r="AL652" i="10"/>
  <c r="AF252" i="10"/>
  <c r="AB252" i="10"/>
  <c r="AF652" i="10"/>
  <c r="AR252" i="10"/>
  <c r="AA652" i="10"/>
  <c r="AP252" i="10"/>
  <c r="AS652" i="10"/>
  <c r="T252" i="10"/>
  <c r="Y252" i="10"/>
  <c r="AG652" i="10"/>
  <c r="S652" i="10"/>
  <c r="AC252" i="10"/>
  <c r="AO252" i="10"/>
  <c r="AE652" i="10"/>
  <c r="AK252" i="10"/>
  <c r="AB529" i="10"/>
  <c r="AJ529" i="10"/>
  <c r="BD187" i="26"/>
  <c r="BD336" i="26"/>
  <c r="F267" i="10"/>
  <c r="J667" i="10" s="1"/>
  <c r="N267" i="26"/>
  <c r="BD267" i="26" s="1"/>
  <c r="F336" i="10"/>
  <c r="AE336" i="10" s="1"/>
  <c r="W187" i="27"/>
  <c r="E187" i="27" s="1"/>
  <c r="H200" i="27"/>
  <c r="H258" i="6"/>
  <c r="AC258" i="6" s="1"/>
  <c r="BE316" i="26"/>
  <c r="AL129" i="10"/>
  <c r="T129" i="10"/>
  <c r="AA529" i="10"/>
  <c r="F365" i="10"/>
  <c r="AD765" i="10" s="1"/>
  <c r="AF129" i="10"/>
  <c r="AT129" i="10"/>
  <c r="N176" i="26"/>
  <c r="V176" i="27" s="1"/>
  <c r="AA176" i="27" s="1"/>
  <c r="F36" i="6"/>
  <c r="Z36" i="6" s="1"/>
  <c r="AN578" i="10"/>
  <c r="M178" i="10"/>
  <c r="AF578" i="10"/>
  <c r="AW578" i="10"/>
  <c r="Y178" i="10"/>
  <c r="AS551" i="10"/>
  <c r="AS151" i="10"/>
  <c r="Y551" i="10"/>
  <c r="T551" i="10"/>
  <c r="AP551" i="10"/>
  <c r="BD65" i="26"/>
  <c r="BF65" i="26" s="1"/>
  <c r="G316" i="9"/>
  <c r="AG529" i="10"/>
  <c r="AD529" i="10"/>
  <c r="G170" i="10"/>
  <c r="BE36" i="26"/>
  <c r="AU529" i="10"/>
  <c r="AS129" i="10"/>
  <c r="S178" i="10"/>
  <c r="Q578" i="10"/>
  <c r="AS578" i="10"/>
  <c r="V578" i="10"/>
  <c r="O578" i="10"/>
  <c r="AV151" i="10"/>
  <c r="AE551" i="10"/>
  <c r="Y151" i="10"/>
  <c r="AO551" i="10"/>
  <c r="N551" i="10"/>
  <c r="H258" i="9"/>
  <c r="F190" i="10"/>
  <c r="AK190" i="10" s="1"/>
  <c r="Y529" i="10"/>
  <c r="T529" i="10"/>
  <c r="N365" i="26"/>
  <c r="G365" i="10" s="1"/>
  <c r="O529" i="10"/>
  <c r="AW129" i="10"/>
  <c r="AB129" i="10"/>
  <c r="AV529" i="10"/>
  <c r="X529" i="10"/>
  <c r="W30" i="27"/>
  <c r="E30" i="27" s="1"/>
  <c r="W288" i="27"/>
  <c r="E288" i="27" s="1"/>
  <c r="S136" i="10"/>
  <c r="Z169" i="27"/>
  <c r="H169" i="27"/>
  <c r="F316" i="6"/>
  <c r="Z316" i="6" s="1"/>
  <c r="BA46" i="10"/>
  <c r="AK178" i="10"/>
  <c r="AI178" i="10"/>
  <c r="AN178" i="10"/>
  <c r="AM578" i="10"/>
  <c r="AO578" i="10"/>
  <c r="V178" i="10"/>
  <c r="L178" i="10"/>
  <c r="S578" i="10"/>
  <c r="AA178" i="10"/>
  <c r="AU578" i="10"/>
  <c r="O151" i="10"/>
  <c r="K151" i="10"/>
  <c r="AM551" i="10"/>
  <c r="AQ551" i="10"/>
  <c r="Q151" i="10"/>
  <c r="P551" i="10"/>
  <c r="AN151" i="10"/>
  <c r="U151" i="10"/>
  <c r="AF151" i="10"/>
  <c r="AE151" i="10"/>
  <c r="V151" i="10"/>
  <c r="BF98" i="26"/>
  <c r="G316" i="6"/>
  <c r="AI129" i="10"/>
  <c r="AF529" i="10"/>
  <c r="N129" i="10"/>
  <c r="AG129" i="10"/>
  <c r="W129" i="10"/>
  <c r="G336" i="10"/>
  <c r="X129" i="10"/>
  <c r="U529" i="10"/>
  <c r="AE129" i="10"/>
  <c r="W336" i="27"/>
  <c r="E336" i="27" s="1"/>
  <c r="AO529" i="10"/>
  <c r="N178" i="26"/>
  <c r="V178" i="27" s="1"/>
  <c r="F36" i="9"/>
  <c r="BB374" i="10"/>
  <c r="BC374" i="10" s="1"/>
  <c r="AA578" i="10"/>
  <c r="U178" i="10"/>
  <c r="AD178" i="10"/>
  <c r="Z178" i="10"/>
  <c r="AX578" i="10"/>
  <c r="AH578" i="10"/>
  <c r="AT178" i="10"/>
  <c r="AK578" i="10"/>
  <c r="M578" i="10"/>
  <c r="AQ178" i="10"/>
  <c r="AD578" i="10"/>
  <c r="BA353" i="10"/>
  <c r="AH551" i="10"/>
  <c r="M151" i="10"/>
  <c r="AI551" i="10"/>
  <c r="R551" i="10"/>
  <c r="AF551" i="10"/>
  <c r="AA151" i="10"/>
  <c r="U551" i="10"/>
  <c r="W551" i="10"/>
  <c r="V551" i="10"/>
  <c r="O551" i="10"/>
  <c r="W174" i="27"/>
  <c r="E174" i="27" s="1"/>
  <c r="H186" i="6"/>
  <c r="F170" i="10"/>
  <c r="R570" i="10" s="1"/>
  <c r="V170" i="27"/>
  <c r="AA170" i="27" s="1"/>
  <c r="W316" i="27"/>
  <c r="E316" i="27" s="1"/>
  <c r="R129" i="10"/>
  <c r="AV129" i="10"/>
  <c r="AP129" i="10"/>
  <c r="AO129" i="10"/>
  <c r="V529" i="10"/>
  <c r="P129" i="10"/>
  <c r="F316" i="10"/>
  <c r="AE716" i="10" s="1"/>
  <c r="R529" i="10"/>
  <c r="AH129" i="10"/>
  <c r="N41" i="26"/>
  <c r="V41" i="27" s="1"/>
  <c r="AA41" i="27" s="1"/>
  <c r="Q529" i="10"/>
  <c r="AR529" i="10"/>
  <c r="AI529" i="10"/>
  <c r="AY529" i="10"/>
  <c r="F41" i="10"/>
  <c r="AX441" i="10" s="1"/>
  <c r="H263" i="27"/>
  <c r="F200" i="6"/>
  <c r="Z200" i="6" s="1"/>
  <c r="Y186" i="27"/>
  <c r="G186" i="27" s="1"/>
  <c r="H207" i="27"/>
  <c r="F186" i="6"/>
  <c r="Z186" i="6" s="1"/>
  <c r="H186" i="9"/>
  <c r="AC186" i="9" s="1"/>
  <c r="BA169" i="10"/>
  <c r="V30" i="27"/>
  <c r="BA218" i="10"/>
  <c r="BB315" i="10"/>
  <c r="BC315" i="10" s="1"/>
  <c r="W83" i="27"/>
  <c r="E83" i="27" s="1"/>
  <c r="F83" i="10"/>
  <c r="N83" i="26"/>
  <c r="N305" i="26"/>
  <c r="V305" i="27" s="1"/>
  <c r="AA305" i="27" s="1"/>
  <c r="BA67" i="10"/>
  <c r="BB67" i="10"/>
  <c r="BC67" i="10" s="1"/>
  <c r="BA315" i="10"/>
  <c r="BD30" i="26"/>
  <c r="F30" i="10"/>
  <c r="AT430" i="10" s="1"/>
  <c r="F353" i="27"/>
  <c r="Z353" i="27"/>
  <c r="F34" i="6"/>
  <c r="Z34" i="6" s="1"/>
  <c r="W320" i="27"/>
  <c r="E320" i="27" s="1"/>
  <c r="G320" i="10"/>
  <c r="AY494" i="26"/>
  <c r="S494" i="26" s="1"/>
  <c r="AL494" i="26"/>
  <c r="BF298" i="26"/>
  <c r="Y201" i="27"/>
  <c r="G201" i="27" s="1"/>
  <c r="W194" i="27"/>
  <c r="E194" i="27" s="1"/>
  <c r="V320" i="27"/>
  <c r="AZ494" i="26"/>
  <c r="BB494" i="26" s="1"/>
  <c r="BA494" i="26" s="1"/>
  <c r="BD252" i="26"/>
  <c r="BF252" i="26" s="1"/>
  <c r="G136" i="10"/>
  <c r="V298" i="27"/>
  <c r="AA298" i="27" s="1"/>
  <c r="Y34" i="27"/>
  <c r="G34" i="27" s="1"/>
  <c r="P201" i="26"/>
  <c r="X201" i="27" s="1"/>
  <c r="AB201" i="27" s="1"/>
  <c r="H129" i="6"/>
  <c r="AC129" i="6" s="1"/>
  <c r="V151" i="27"/>
  <c r="AA151" i="27" s="1"/>
  <c r="F174" i="10"/>
  <c r="X574" i="10" s="1"/>
  <c r="G151" i="10"/>
  <c r="F200" i="9"/>
  <c r="F34" i="9"/>
  <c r="F320" i="10"/>
  <c r="AW720" i="10" s="1"/>
  <c r="F201" i="9"/>
  <c r="G252" i="10"/>
  <c r="G298" i="10"/>
  <c r="G200" i="6"/>
  <c r="Y200" i="27"/>
  <c r="G200" i="27" s="1"/>
  <c r="BE200" i="26"/>
  <c r="R104" i="26"/>
  <c r="I104" i="6" s="1"/>
  <c r="AC178" i="10"/>
  <c r="Z578" i="10"/>
  <c r="AO178" i="10"/>
  <c r="AC578" i="10"/>
  <c r="AG578" i="10"/>
  <c r="AY178" i="10"/>
  <c r="P578" i="10"/>
  <c r="L578" i="10"/>
  <c r="AB578" i="10"/>
  <c r="AM178" i="10"/>
  <c r="AL578" i="10"/>
  <c r="AV178" i="10"/>
  <c r="X578" i="10"/>
  <c r="K178" i="10"/>
  <c r="U578" i="10"/>
  <c r="AH178" i="10"/>
  <c r="AJ178" i="10"/>
  <c r="Q178" i="10"/>
  <c r="J578" i="10"/>
  <c r="AS178" i="10"/>
  <c r="AR551" i="10"/>
  <c r="W151" i="10"/>
  <c r="AC551" i="10"/>
  <c r="AI151" i="10"/>
  <c r="J151" i="10"/>
  <c r="AM151" i="10"/>
  <c r="J551" i="10"/>
  <c r="AQ151" i="10"/>
  <c r="AC151" i="10"/>
  <c r="AR151" i="10"/>
  <c r="AX551" i="10"/>
  <c r="X151" i="10"/>
  <c r="AU551" i="10"/>
  <c r="AJ551" i="10"/>
  <c r="L151" i="10"/>
  <c r="AT151" i="10"/>
  <c r="AW551" i="10"/>
  <c r="Q551" i="10"/>
  <c r="AP151" i="10"/>
  <c r="AT551" i="10"/>
  <c r="N151" i="10"/>
  <c r="Y129" i="10"/>
  <c r="AM129" i="10"/>
  <c r="P529" i="10"/>
  <c r="L529" i="10"/>
  <c r="AX529" i="10"/>
  <c r="AD129" i="10"/>
  <c r="O129" i="10"/>
  <c r="AC529" i="10"/>
  <c r="U129" i="10"/>
  <c r="AY129" i="10"/>
  <c r="AN136" i="10"/>
  <c r="S536" i="10"/>
  <c r="W136" i="10"/>
  <c r="AL529" i="10"/>
  <c r="AL136" i="10"/>
  <c r="AP136" i="10"/>
  <c r="AQ129" i="10"/>
  <c r="AP536" i="10"/>
  <c r="Y136" i="10"/>
  <c r="AB136" i="10"/>
  <c r="AV136" i="10"/>
  <c r="W536" i="10"/>
  <c r="K536" i="10"/>
  <c r="AY136" i="10"/>
  <c r="AN129" i="10"/>
  <c r="Z129" i="10"/>
  <c r="AH529" i="10"/>
  <c r="J129" i="10"/>
  <c r="AJ129" i="10"/>
  <c r="W328" i="27"/>
  <c r="E328" i="27" s="1"/>
  <c r="AK529" i="10"/>
  <c r="G328" i="10"/>
  <c r="AR136" i="10"/>
  <c r="AA129" i="10"/>
  <c r="AP178" i="10"/>
  <c r="J178" i="10"/>
  <c r="T578" i="10"/>
  <c r="AP578" i="10"/>
  <c r="AX178" i="10"/>
  <c r="AW178" i="10"/>
  <c r="AV578" i="10"/>
  <c r="AE178" i="10"/>
  <c r="AI578" i="10"/>
  <c r="AB178" i="10"/>
  <c r="N578" i="10"/>
  <c r="W178" i="10"/>
  <c r="AT578" i="10"/>
  <c r="Y578" i="10"/>
  <c r="AG178" i="10"/>
  <c r="X178" i="10"/>
  <c r="AR178" i="10"/>
  <c r="O178" i="10"/>
  <c r="AR578" i="10"/>
  <c r="AL178" i="10"/>
  <c r="P151" i="10"/>
  <c r="M551" i="10"/>
  <c r="AG551" i="10"/>
  <c r="AJ151" i="10"/>
  <c r="AK551" i="10"/>
  <c r="AD551" i="10"/>
  <c r="AY551" i="10"/>
  <c r="S151" i="10"/>
  <c r="R151" i="10"/>
  <c r="AA551" i="10"/>
  <c r="X551" i="10"/>
  <c r="L551" i="10"/>
  <c r="S551" i="10"/>
  <c r="AN551" i="10"/>
  <c r="AL151" i="10"/>
  <c r="AX151" i="10"/>
  <c r="AV551" i="10"/>
  <c r="Z151" i="10"/>
  <c r="K551" i="10"/>
  <c r="AW151" i="10"/>
  <c r="AT529" i="10"/>
  <c r="AR129" i="10"/>
  <c r="AC129" i="10"/>
  <c r="K129" i="10"/>
  <c r="V129" i="10"/>
  <c r="AQ529" i="10"/>
  <c r="S129" i="10"/>
  <c r="AK129" i="10"/>
  <c r="M529" i="10"/>
  <c r="AS529" i="10"/>
  <c r="V536" i="10"/>
  <c r="T536" i="10"/>
  <c r="N529" i="10"/>
  <c r="AM136" i="10"/>
  <c r="AO136" i="10"/>
  <c r="M129" i="10"/>
  <c r="L129" i="10"/>
  <c r="M136" i="10"/>
  <c r="M536" i="10"/>
  <c r="AE136" i="10"/>
  <c r="K136" i="10"/>
  <c r="AB536" i="10"/>
  <c r="AA136" i="10"/>
  <c r="Q136" i="10"/>
  <c r="P536" i="10"/>
  <c r="AN529" i="10"/>
  <c r="AP529" i="10"/>
  <c r="J529" i="10"/>
  <c r="S529" i="10"/>
  <c r="AE529" i="10"/>
  <c r="W529" i="10"/>
  <c r="AX536" i="10"/>
  <c r="Z40" i="27"/>
  <c r="BF119" i="26"/>
  <c r="BB256" i="10"/>
  <c r="BC256" i="10" s="1"/>
  <c r="BB289" i="10"/>
  <c r="BC289" i="10" s="1"/>
  <c r="BB106" i="10"/>
  <c r="BC106" i="10" s="1"/>
  <c r="Z56" i="27"/>
  <c r="BB46" i="10"/>
  <c r="BC46" i="10" s="1"/>
  <c r="BB169" i="10"/>
  <c r="BC169" i="10" s="1"/>
  <c r="BB360" i="10"/>
  <c r="BC360" i="10" s="1"/>
  <c r="AK698" i="10"/>
  <c r="X298" i="10"/>
  <c r="O698" i="10"/>
  <c r="AN298" i="10"/>
  <c r="R298" i="10"/>
  <c r="AJ298" i="10"/>
  <c r="AY298" i="10"/>
  <c r="AP298" i="10"/>
  <c r="P298" i="10"/>
  <c r="AC298" i="10"/>
  <c r="AT698" i="10"/>
  <c r="AE298" i="10"/>
  <c r="AL298" i="10"/>
  <c r="AO298" i="10"/>
  <c r="AE698" i="10"/>
  <c r="AK298" i="10"/>
  <c r="AY698" i="10"/>
  <c r="Z298" i="10"/>
  <c r="AV698" i="10"/>
  <c r="AQ698" i="10"/>
  <c r="AX298" i="10"/>
  <c r="U298" i="10"/>
  <c r="L298" i="10"/>
  <c r="M698" i="10"/>
  <c r="AR698" i="10"/>
  <c r="S298" i="10"/>
  <c r="AB698" i="10"/>
  <c r="W698" i="10"/>
  <c r="Y298" i="10"/>
  <c r="AD698" i="10"/>
  <c r="V698" i="10"/>
  <c r="AG298" i="10"/>
  <c r="N698" i="10"/>
  <c r="AU698" i="10"/>
  <c r="AM698" i="10"/>
  <c r="L698" i="10"/>
  <c r="Q298" i="10"/>
  <c r="AL698" i="10"/>
  <c r="T698" i="10"/>
  <c r="Y698" i="10"/>
  <c r="P698" i="10"/>
  <c r="AT298" i="10"/>
  <c r="Q698" i="10"/>
  <c r="J698" i="10"/>
  <c r="AA298" i="10"/>
  <c r="AI698" i="10"/>
  <c r="AD298" i="10"/>
  <c r="AM298" i="10"/>
  <c r="AW298" i="10"/>
  <c r="U698" i="10"/>
  <c r="N298" i="10"/>
  <c r="AG698" i="10"/>
  <c r="AC698" i="10"/>
  <c r="Z698" i="10"/>
  <c r="AO698" i="10"/>
  <c r="AF298" i="10"/>
  <c r="J298" i="10"/>
  <c r="M298" i="10"/>
  <c r="AF698" i="10"/>
  <c r="V298" i="10"/>
  <c r="AH298" i="10"/>
  <c r="S698" i="10"/>
  <c r="X698" i="10"/>
  <c r="K698" i="10"/>
  <c r="R698" i="10"/>
  <c r="W298" i="10"/>
  <c r="AS298" i="10"/>
  <c r="AJ698" i="10"/>
  <c r="AP698" i="10"/>
  <c r="AV298" i="10"/>
  <c r="AA698" i="10"/>
  <c r="AN698" i="10"/>
  <c r="AW698" i="10"/>
  <c r="AX698" i="10"/>
  <c r="AI298" i="10"/>
  <c r="AB298" i="10"/>
  <c r="AS698" i="10"/>
  <c r="AQ298" i="10"/>
  <c r="T298" i="10"/>
  <c r="O298" i="10"/>
  <c r="AH698" i="10"/>
  <c r="K298" i="10"/>
  <c r="AR298" i="10"/>
  <c r="BB324" i="10"/>
  <c r="BC324" i="10" s="1"/>
  <c r="BA289" i="10"/>
  <c r="Z324" i="27"/>
  <c r="H390" i="27"/>
  <c r="BA360" i="10"/>
  <c r="BA269" i="10"/>
  <c r="BA106" i="10"/>
  <c r="H126" i="27"/>
  <c r="H353" i="27"/>
  <c r="X536" i="10"/>
  <c r="J136" i="10"/>
  <c r="AK136" i="10"/>
  <c r="W178" i="27"/>
  <c r="E178" i="27" s="1"/>
  <c r="AX136" i="10"/>
  <c r="AQ536" i="10"/>
  <c r="AM536" i="10"/>
  <c r="AS536" i="10"/>
  <c r="AT536" i="10"/>
  <c r="U536" i="10"/>
  <c r="V136" i="10"/>
  <c r="AI136" i="10"/>
  <c r="P136" i="10"/>
  <c r="AA536" i="10"/>
  <c r="AK536" i="10"/>
  <c r="T136" i="10"/>
  <c r="AW536" i="10"/>
  <c r="Z536" i="10"/>
  <c r="AC536" i="10"/>
  <c r="O536" i="10"/>
  <c r="Q536" i="10"/>
  <c r="U136" i="10"/>
  <c r="AI536" i="10"/>
  <c r="AS136" i="10"/>
  <c r="F328" i="10"/>
  <c r="AC328" i="10" s="1"/>
  <c r="O136" i="10"/>
  <c r="AR536" i="10"/>
  <c r="AU536" i="10"/>
  <c r="AF136" i="10"/>
  <c r="AO536" i="10"/>
  <c r="N127" i="26"/>
  <c r="W127" i="27"/>
  <c r="E127" i="27" s="1"/>
  <c r="F127" i="10"/>
  <c r="F71" i="9"/>
  <c r="F71" i="6"/>
  <c r="Z71" i="6" s="1"/>
  <c r="Y71" i="27"/>
  <c r="G71" i="27" s="1"/>
  <c r="BD385" i="26"/>
  <c r="Y21" i="27"/>
  <c r="G21" i="27" s="1"/>
  <c r="G385" i="10"/>
  <c r="V243" i="27"/>
  <c r="P21" i="26"/>
  <c r="G316" i="10"/>
  <c r="BD316" i="26"/>
  <c r="P365" i="26"/>
  <c r="R341" i="26"/>
  <c r="I341" i="9" s="1"/>
  <c r="AU463" i="26"/>
  <c r="H446" i="9" s="1"/>
  <c r="I151" i="6"/>
  <c r="AC239" i="9"/>
  <c r="AD239" i="9" s="1"/>
  <c r="W576" i="10"/>
  <c r="AE663" i="10"/>
  <c r="O108" i="10"/>
  <c r="R533" i="10"/>
  <c r="F365" i="6"/>
  <c r="Z365" i="6" s="1"/>
  <c r="F21" i="9"/>
  <c r="BD243" i="26"/>
  <c r="Y365" i="27"/>
  <c r="G365" i="27" s="1"/>
  <c r="H341" i="6"/>
  <c r="AC341" i="6" s="1"/>
  <c r="U288" i="10"/>
  <c r="V195" i="27"/>
  <c r="AA195" i="27" s="1"/>
  <c r="P355" i="26"/>
  <c r="F355" i="9"/>
  <c r="Y355" i="27"/>
  <c r="G355" i="27" s="1"/>
  <c r="BD195" i="26"/>
  <c r="BF195" i="26" s="1"/>
  <c r="BF476" i="26"/>
  <c r="H372" i="27"/>
  <c r="BE372" i="26"/>
  <c r="F372" i="9"/>
  <c r="Z372" i="9" s="1"/>
  <c r="AA372" i="9" s="1"/>
  <c r="AT533" i="10"/>
  <c r="AT576" i="10"/>
  <c r="AV176" i="10"/>
  <c r="Y15" i="27"/>
  <c r="G15" i="27" s="1"/>
  <c r="U663" i="10"/>
  <c r="Z533" i="10"/>
  <c r="Z176" i="10"/>
  <c r="H15" i="27"/>
  <c r="AY476" i="26"/>
  <c r="S476" i="26" s="1"/>
  <c r="G372" i="6"/>
  <c r="F372" i="6"/>
  <c r="Z372" i="6" s="1"/>
  <c r="Y372" i="27"/>
  <c r="G372" i="27" s="1"/>
  <c r="AD576" i="10"/>
  <c r="AG476" i="26"/>
  <c r="AH476" i="26" s="1"/>
  <c r="F349" i="6"/>
  <c r="Z349" i="6" s="1"/>
  <c r="S108" i="10"/>
  <c r="AG508" i="10"/>
  <c r="U108" i="10"/>
  <c r="AC226" i="6"/>
  <c r="V508" i="10"/>
  <c r="AG108" i="10"/>
  <c r="X508" i="10"/>
  <c r="R331" i="26"/>
  <c r="I331" i="6" s="1"/>
  <c r="W114" i="27"/>
  <c r="E114" i="27" s="1"/>
  <c r="N157" i="26"/>
  <c r="BD157" i="26" s="1"/>
  <c r="BF268" i="26"/>
  <c r="V108" i="10"/>
  <c r="AC508" i="10"/>
  <c r="AP108" i="10"/>
  <c r="W108" i="10"/>
  <c r="Q508" i="10"/>
  <c r="H104" i="9"/>
  <c r="AC104" i="9" s="1"/>
  <c r="Y375" i="27"/>
  <c r="G375" i="27" s="1"/>
  <c r="AD508" i="10"/>
  <c r="AX508" i="10"/>
  <c r="AW508" i="10"/>
  <c r="AC372" i="6"/>
  <c r="BD297" i="26"/>
  <c r="H331" i="9"/>
  <c r="AC331" i="9" s="1"/>
  <c r="F157" i="10"/>
  <c r="AQ557" i="10" s="1"/>
  <c r="P508" i="10"/>
  <c r="O508" i="10"/>
  <c r="AN108" i="10"/>
  <c r="Y108" i="10"/>
  <c r="F336" i="6"/>
  <c r="Z336" i="6" s="1"/>
  <c r="AA288" i="10"/>
  <c r="I375" i="9"/>
  <c r="AJ463" i="26"/>
  <c r="AY576" i="10"/>
  <c r="X576" i="10"/>
  <c r="Z576" i="10"/>
  <c r="AR576" i="10"/>
  <c r="AU576" i="10"/>
  <c r="Y336" i="27"/>
  <c r="G336" i="27" s="1"/>
  <c r="AQ176" i="10"/>
  <c r="AL576" i="10"/>
  <c r="AG576" i="10"/>
  <c r="AT176" i="10"/>
  <c r="R576" i="10"/>
  <c r="AK576" i="10"/>
  <c r="P336" i="26"/>
  <c r="AX576" i="10"/>
  <c r="J176" i="10"/>
  <c r="V176" i="10"/>
  <c r="AM176" i="10"/>
  <c r="AO479" i="10"/>
  <c r="P155" i="26"/>
  <c r="X155" i="27" s="1"/>
  <c r="AB155" i="27" s="1"/>
  <c r="F155" i="9"/>
  <c r="V249" i="27"/>
  <c r="AA249" i="27" s="1"/>
  <c r="AK548" i="10"/>
  <c r="F69" i="6"/>
  <c r="F155" i="6"/>
  <c r="P198" i="26"/>
  <c r="Y198" i="27"/>
  <c r="G198" i="27" s="1"/>
  <c r="H148" i="27"/>
  <c r="F198" i="9"/>
  <c r="F92" i="9"/>
  <c r="P64" i="26"/>
  <c r="AO297" i="10"/>
  <c r="W27" i="27"/>
  <c r="E27" i="27" s="1"/>
  <c r="Y64" i="27"/>
  <c r="G64" i="27" s="1"/>
  <c r="AE297" i="10"/>
  <c r="F27" i="10"/>
  <c r="AM27" i="10" s="1"/>
  <c r="F18" i="10"/>
  <c r="N418" i="10" s="1"/>
  <c r="AM525" i="26"/>
  <c r="AO525" i="26" s="1"/>
  <c r="L697" i="10"/>
  <c r="W18" i="27"/>
  <c r="E18" i="27" s="1"/>
  <c r="Y663" i="10"/>
  <c r="AU663" i="10"/>
  <c r="AV263" i="10"/>
  <c r="AQ263" i="10"/>
  <c r="AP263" i="10"/>
  <c r="W663" i="10"/>
  <c r="Z663" i="10"/>
  <c r="AG663" i="10"/>
  <c r="AC663" i="10"/>
  <c r="U263" i="10"/>
  <c r="AC263" i="10"/>
  <c r="AI268" i="10"/>
  <c r="AO668" i="10"/>
  <c r="AW268" i="10"/>
  <c r="AX306" i="10"/>
  <c r="M706" i="10"/>
  <c r="U306" i="10"/>
  <c r="X306" i="10"/>
  <c r="P706" i="10"/>
  <c r="V706" i="10"/>
  <c r="W52" i="27"/>
  <c r="E52" i="27" s="1"/>
  <c r="N52" i="26"/>
  <c r="BD52" i="26" s="1"/>
  <c r="P371" i="26"/>
  <c r="F371" i="9"/>
  <c r="N59" i="26"/>
  <c r="G59" i="10" s="1"/>
  <c r="F59" i="10"/>
  <c r="K459" i="10" s="1"/>
  <c r="S268" i="10"/>
  <c r="N293" i="26"/>
  <c r="BD293" i="26" s="1"/>
  <c r="L663" i="10"/>
  <c r="J663" i="10"/>
  <c r="I351" i="6"/>
  <c r="AH706" i="10"/>
  <c r="O706" i="10"/>
  <c r="F52" i="10"/>
  <c r="W52" i="10" s="1"/>
  <c r="N668" i="10"/>
  <c r="W59" i="27"/>
  <c r="E59" i="27" s="1"/>
  <c r="F294" i="9"/>
  <c r="Z294" i="9" s="1"/>
  <c r="AA294" i="9" s="1"/>
  <c r="V192" i="27"/>
  <c r="G192" i="10"/>
  <c r="M576" i="10"/>
  <c r="AR176" i="10"/>
  <c r="AN176" i="10"/>
  <c r="Q176" i="10"/>
  <c r="L576" i="10"/>
  <c r="AY176" i="10"/>
  <c r="AE176" i="10"/>
  <c r="AQ576" i="10"/>
  <c r="U576" i="10"/>
  <c r="AD176" i="10"/>
  <c r="O176" i="10"/>
  <c r="P176" i="10"/>
  <c r="AE576" i="10"/>
  <c r="K576" i="10"/>
  <c r="AC576" i="10"/>
  <c r="AX176" i="10"/>
  <c r="S176" i="10"/>
  <c r="AF576" i="10"/>
  <c r="P576" i="10"/>
  <c r="AH176" i="10"/>
  <c r="AL176" i="10"/>
  <c r="W85" i="27"/>
  <c r="E85" i="27" s="1"/>
  <c r="F85" i="10"/>
  <c r="X485" i="10" s="1"/>
  <c r="AP508" i="10"/>
  <c r="Z108" i="10"/>
  <c r="Q108" i="10"/>
  <c r="K508" i="10"/>
  <c r="J508" i="10"/>
  <c r="R508" i="10"/>
  <c r="AT108" i="10"/>
  <c r="AU508" i="10"/>
  <c r="AO508" i="10"/>
  <c r="AC108" i="10"/>
  <c r="Y508" i="10"/>
  <c r="AB108" i="10"/>
  <c r="AQ108" i="10"/>
  <c r="X108" i="10"/>
  <c r="AN508" i="10"/>
  <c r="AH508" i="10"/>
  <c r="AR508" i="10"/>
  <c r="M508" i="10"/>
  <c r="K108" i="10"/>
  <c r="AM108" i="10"/>
  <c r="T108" i="10"/>
  <c r="W378" i="27"/>
  <c r="E378" i="27" s="1"/>
  <c r="F378" i="10"/>
  <c r="S778" i="10" s="1"/>
  <c r="P349" i="26"/>
  <c r="F349" i="9"/>
  <c r="F327" i="10"/>
  <c r="AC727" i="10" s="1"/>
  <c r="W327" i="27"/>
  <c r="E327" i="27" s="1"/>
  <c r="H16" i="9"/>
  <c r="AC16" i="9" s="1"/>
  <c r="R16" i="26"/>
  <c r="I16" i="9" s="1"/>
  <c r="F204" i="9"/>
  <c r="Z204" i="9" s="1"/>
  <c r="AA204" i="9" s="1"/>
  <c r="P204" i="26"/>
  <c r="Y204" i="27"/>
  <c r="G204" i="27" s="1"/>
  <c r="G79" i="10"/>
  <c r="V79" i="27"/>
  <c r="AA79" i="27" s="1"/>
  <c r="I116" i="9"/>
  <c r="I116" i="6"/>
  <c r="F24" i="9"/>
  <c r="P24" i="26"/>
  <c r="BE172" i="26"/>
  <c r="F274" i="9"/>
  <c r="Y274" i="27"/>
  <c r="G274" i="27" s="1"/>
  <c r="P154" i="26"/>
  <c r="X154" i="27" s="1"/>
  <c r="AB154" i="27" s="1"/>
  <c r="F154" i="6"/>
  <c r="Z154" i="6" s="1"/>
  <c r="P663" i="10"/>
  <c r="AQ663" i="10"/>
  <c r="R306" i="10"/>
  <c r="P283" i="26"/>
  <c r="Y371" i="27"/>
  <c r="G371" i="27" s="1"/>
  <c r="H385" i="6"/>
  <c r="AD385" i="6" s="1"/>
  <c r="W487" i="10"/>
  <c r="F146" i="6"/>
  <c r="Z146" i="6" s="1"/>
  <c r="P60" i="26"/>
  <c r="Y60" i="27"/>
  <c r="G60" i="27" s="1"/>
  <c r="AB263" i="10"/>
  <c r="O663" i="10"/>
  <c r="AA663" i="10"/>
  <c r="AH306" i="10"/>
  <c r="Z668" i="10"/>
  <c r="W293" i="27"/>
  <c r="E293" i="27" s="1"/>
  <c r="BD79" i="26"/>
  <c r="Y172" i="27"/>
  <c r="G172" i="27" s="1"/>
  <c r="P294" i="26"/>
  <c r="Y294" i="27"/>
  <c r="G294" i="27" s="1"/>
  <c r="I239" i="6"/>
  <c r="I239" i="9"/>
  <c r="J133" i="10"/>
  <c r="F64" i="9"/>
  <c r="R697" i="10"/>
  <c r="AM418" i="26"/>
  <c r="AO418" i="26" s="1"/>
  <c r="S576" i="10"/>
  <c r="AW176" i="10"/>
  <c r="AP176" i="10"/>
  <c r="AB176" i="10"/>
  <c r="T576" i="10"/>
  <c r="AM576" i="10"/>
  <c r="AS176" i="10"/>
  <c r="AO176" i="10"/>
  <c r="J576" i="10"/>
  <c r="L176" i="10"/>
  <c r="AH576" i="10"/>
  <c r="U176" i="10"/>
  <c r="Y176" i="10"/>
  <c r="AC176" i="10"/>
  <c r="V576" i="10"/>
  <c r="T176" i="10"/>
  <c r="O576" i="10"/>
  <c r="AP576" i="10"/>
  <c r="AJ576" i="10"/>
  <c r="K176" i="10"/>
  <c r="R176" i="10"/>
  <c r="AJ542" i="10"/>
  <c r="AY469" i="26"/>
  <c r="P92" i="26"/>
  <c r="X92" i="27" s="1"/>
  <c r="AB92" i="27" s="1"/>
  <c r="F92" i="6"/>
  <c r="AH209" i="9"/>
  <c r="AF133" i="10"/>
  <c r="F246" i="27"/>
  <c r="AX297" i="10"/>
  <c r="N576" i="10"/>
  <c r="AI576" i="10"/>
  <c r="AK176" i="10"/>
  <c r="AF176" i="10"/>
  <c r="AV576" i="10"/>
  <c r="AJ176" i="10"/>
  <c r="N176" i="10"/>
  <c r="AW576" i="10"/>
  <c r="AB576" i="10"/>
  <c r="AI176" i="10"/>
  <c r="Q576" i="10"/>
  <c r="M176" i="10"/>
  <c r="X176" i="10"/>
  <c r="AA176" i="10"/>
  <c r="AG176" i="10"/>
  <c r="AA576" i="10"/>
  <c r="AS576" i="10"/>
  <c r="W176" i="10"/>
  <c r="Y576" i="10"/>
  <c r="AO576" i="10"/>
  <c r="AP148" i="10"/>
  <c r="W381" i="27"/>
  <c r="E381" i="27" s="1"/>
  <c r="N381" i="26"/>
  <c r="G381" i="10" s="1"/>
  <c r="F303" i="9"/>
  <c r="Y303" i="27"/>
  <c r="G303" i="27" s="1"/>
  <c r="O288" i="10"/>
  <c r="S688" i="10"/>
  <c r="AJ688" i="10"/>
  <c r="AL288" i="10"/>
  <c r="AA688" i="10"/>
  <c r="T688" i="10"/>
  <c r="AA479" i="10"/>
  <c r="Y479" i="10"/>
  <c r="Z79" i="10"/>
  <c r="AR479" i="10"/>
  <c r="Y179" i="27"/>
  <c r="G179" i="27" s="1"/>
  <c r="F179" i="6"/>
  <c r="Z179" i="6" s="1"/>
  <c r="G297" i="10"/>
  <c r="H136" i="27"/>
  <c r="F375" i="9"/>
  <c r="AE688" i="10"/>
  <c r="F128" i="10"/>
  <c r="Y382" i="27"/>
  <c r="G382" i="27" s="1"/>
  <c r="H16" i="6"/>
  <c r="AC16" i="6" s="1"/>
  <c r="I274" i="9"/>
  <c r="I274" i="6"/>
  <c r="AY477" i="26"/>
  <c r="S477" i="26" s="1"/>
  <c r="BF477" i="26"/>
  <c r="I154" i="9"/>
  <c r="I154" i="6"/>
  <c r="Y99" i="27"/>
  <c r="G99" i="27" s="1"/>
  <c r="F99" i="9"/>
  <c r="AG288" i="10"/>
  <c r="P303" i="26"/>
  <c r="X303" i="27" s="1"/>
  <c r="AB303" i="27" s="1"/>
  <c r="G99" i="6"/>
  <c r="AG469" i="26"/>
  <c r="Z263" i="10"/>
  <c r="K263" i="10"/>
  <c r="Q263" i="10"/>
  <c r="K663" i="10"/>
  <c r="N263" i="10"/>
  <c r="X263" i="10"/>
  <c r="AO663" i="10"/>
  <c r="AO263" i="10"/>
  <c r="AE263" i="10"/>
  <c r="Y263" i="10"/>
  <c r="AD663" i="10"/>
  <c r="M663" i="10"/>
  <c r="AL663" i="10"/>
  <c r="AR263" i="10"/>
  <c r="AF263" i="10"/>
  <c r="J263" i="10"/>
  <c r="AT663" i="10"/>
  <c r="AM263" i="10"/>
  <c r="R263" i="10"/>
  <c r="R663" i="10"/>
  <c r="X663" i="10"/>
  <c r="AW668" i="10"/>
  <c r="L668" i="10"/>
  <c r="AA268" i="10"/>
  <c r="U268" i="10"/>
  <c r="AF268" i="10"/>
  <c r="AU668" i="10"/>
  <c r="AX668" i="10"/>
  <c r="AA87" i="10"/>
  <c r="O487" i="10"/>
  <c r="Z306" i="10"/>
  <c r="Z706" i="10"/>
  <c r="AE706" i="10"/>
  <c r="AN706" i="10"/>
  <c r="K706" i="10"/>
  <c r="AG706" i="10"/>
  <c r="R706" i="10"/>
  <c r="AK306" i="10"/>
  <c r="O306" i="10"/>
  <c r="N706" i="10"/>
  <c r="I387" i="9"/>
  <c r="I387" i="6"/>
  <c r="W68" i="27"/>
  <c r="E68" i="27" s="1"/>
  <c r="N68" i="26"/>
  <c r="F283" i="9"/>
  <c r="F283" i="6"/>
  <c r="Z283" i="6" s="1"/>
  <c r="H85" i="6"/>
  <c r="AC85" i="6" s="1"/>
  <c r="H85" i="9"/>
  <c r="AC85" i="9" s="1"/>
  <c r="H268" i="27"/>
  <c r="H178" i="9"/>
  <c r="Y167" i="27"/>
  <c r="G167" i="27" s="1"/>
  <c r="F167" i="6"/>
  <c r="Z167" i="6" s="1"/>
  <c r="F167" i="9"/>
  <c r="Z167" i="9" s="1"/>
  <c r="AA167" i="9" s="1"/>
  <c r="N122" i="26"/>
  <c r="V122" i="27" s="1"/>
  <c r="AA122" i="27" s="1"/>
  <c r="W122" i="27"/>
  <c r="E122" i="27" s="1"/>
  <c r="P30" i="26"/>
  <c r="X30" i="27" s="1"/>
  <c r="AB30" i="27" s="1"/>
  <c r="F30" i="9"/>
  <c r="Y30" i="27"/>
  <c r="G30" i="27" s="1"/>
  <c r="F174" i="6"/>
  <c r="F174" i="9"/>
  <c r="P174" i="26"/>
  <c r="W44" i="27"/>
  <c r="E44" i="27" s="1"/>
  <c r="F44" i="10"/>
  <c r="AN444" i="10" s="1"/>
  <c r="AT633" i="10"/>
  <c r="G172" i="6"/>
  <c r="BD249" i="26"/>
  <c r="F375" i="6"/>
  <c r="Z375" i="6" s="1"/>
  <c r="F114" i="10"/>
  <c r="F15" i="6"/>
  <c r="F303" i="6"/>
  <c r="Z303" i="6" s="1"/>
  <c r="F154" i="9"/>
  <c r="F381" i="10"/>
  <c r="Z781" i="10" s="1"/>
  <c r="P274" i="26"/>
  <c r="X274" i="27" s="1"/>
  <c r="AB274" i="27" s="1"/>
  <c r="F371" i="6"/>
  <c r="Z371" i="6" s="1"/>
  <c r="G15" i="6"/>
  <c r="H385" i="9"/>
  <c r="AD385" i="9" s="1"/>
  <c r="M79" i="10"/>
  <c r="AM79" i="10"/>
  <c r="F172" i="6"/>
  <c r="Z172" i="6" s="1"/>
  <c r="BE99" i="26"/>
  <c r="AG477" i="26"/>
  <c r="AZ477" i="26"/>
  <c r="BB477" i="26" s="1"/>
  <c r="BA477" i="26" s="1"/>
  <c r="R178" i="26"/>
  <c r="I178" i="9" s="1"/>
  <c r="Y24" i="27"/>
  <c r="G24" i="27" s="1"/>
  <c r="F24" i="6"/>
  <c r="N309" i="26"/>
  <c r="W309" i="27"/>
  <c r="E309" i="27" s="1"/>
  <c r="F199" i="9"/>
  <c r="Y199" i="27"/>
  <c r="G199" i="27" s="1"/>
  <c r="I209" i="6"/>
  <c r="I209" i="9"/>
  <c r="N147" i="26"/>
  <c r="BD147" i="26" s="1"/>
  <c r="F147" i="10"/>
  <c r="AE547" i="10" s="1"/>
  <c r="I372" i="6"/>
  <c r="I372" i="9"/>
  <c r="F99" i="6"/>
  <c r="Z99" i="6" s="1"/>
  <c r="AD79" i="10"/>
  <c r="AG79" i="10"/>
  <c r="F172" i="9"/>
  <c r="G172" i="9"/>
  <c r="F309" i="10"/>
  <c r="AR709" i="10" s="1"/>
  <c r="N44" i="26"/>
  <c r="V44" i="27" s="1"/>
  <c r="AA44" i="27" s="1"/>
  <c r="P167" i="26"/>
  <c r="T508" i="10"/>
  <c r="AA508" i="10"/>
  <c r="AQ508" i="10"/>
  <c r="AA108" i="10"/>
  <c r="L108" i="10"/>
  <c r="AW108" i="10"/>
  <c r="AJ108" i="10"/>
  <c r="AT508" i="10"/>
  <c r="AV508" i="10"/>
  <c r="AE508" i="10"/>
  <c r="AO108" i="10"/>
  <c r="U508" i="10"/>
  <c r="N108" i="10"/>
  <c r="AH108" i="10"/>
  <c r="AF108" i="10"/>
  <c r="AL508" i="10"/>
  <c r="P108" i="10"/>
  <c r="AD108" i="10"/>
  <c r="AX108" i="10"/>
  <c r="AK108" i="10"/>
  <c r="AE108" i="10"/>
  <c r="AB508" i="10"/>
  <c r="AV108" i="10"/>
  <c r="AS508" i="10"/>
  <c r="AY508" i="10"/>
  <c r="R108" i="10"/>
  <c r="AM508" i="10"/>
  <c r="AS108" i="10"/>
  <c r="AI508" i="10"/>
  <c r="AI108" i="10"/>
  <c r="AJ508" i="10"/>
  <c r="J108" i="10"/>
  <c r="S508" i="10"/>
  <c r="AF508" i="10"/>
  <c r="W508" i="10"/>
  <c r="L508" i="10"/>
  <c r="AL108" i="10"/>
  <c r="N508" i="10"/>
  <c r="AR108" i="10"/>
  <c r="Z508" i="10"/>
  <c r="AY108" i="10"/>
  <c r="M108" i="10"/>
  <c r="Y69" i="27"/>
  <c r="G69" i="27" s="1"/>
  <c r="P69" i="26"/>
  <c r="W15" i="27"/>
  <c r="E15" i="27" s="1"/>
  <c r="BF168" i="26"/>
  <c r="BF148" i="26"/>
  <c r="AU554" i="10"/>
  <c r="AF554" i="10"/>
  <c r="Q752" i="10"/>
  <c r="AP352" i="10"/>
  <c r="I320" i="9"/>
  <c r="I320" i="6"/>
  <c r="H272" i="27"/>
  <c r="V697" i="10"/>
  <c r="Z297" i="10"/>
  <c r="W697" i="10"/>
  <c r="AJ697" i="10"/>
  <c r="R530" i="10"/>
  <c r="S263" i="10"/>
  <c r="P263" i="10"/>
  <c r="AG263" i="10"/>
  <c r="T263" i="10"/>
  <c r="AW263" i="10"/>
  <c r="AN263" i="10"/>
  <c r="AA263" i="10"/>
  <c r="AX263" i="10"/>
  <c r="AY263" i="10"/>
  <c r="AT263" i="10"/>
  <c r="AD263" i="10"/>
  <c r="AH263" i="10"/>
  <c r="AX663" i="10"/>
  <c r="AK663" i="10"/>
  <c r="AS263" i="10"/>
  <c r="AI663" i="10"/>
  <c r="AJ263" i="10"/>
  <c r="W263" i="10"/>
  <c r="AB663" i="10"/>
  <c r="AY663" i="10"/>
  <c r="V263" i="10"/>
  <c r="AJ663" i="10"/>
  <c r="AS663" i="10"/>
  <c r="AP663" i="10"/>
  <c r="AK263" i="10"/>
  <c r="AL263" i="10"/>
  <c r="AH663" i="10"/>
  <c r="S663" i="10"/>
  <c r="AM663" i="10"/>
  <c r="V663" i="10"/>
  <c r="AR663" i="10"/>
  <c r="T663" i="10"/>
  <c r="O263" i="10"/>
  <c r="N663" i="10"/>
  <c r="AW663" i="10"/>
  <c r="M263" i="10"/>
  <c r="AI263" i="10"/>
  <c r="AF663" i="10"/>
  <c r="L263" i="10"/>
  <c r="AV663" i="10"/>
  <c r="AN663" i="10"/>
  <c r="N268" i="10"/>
  <c r="K268" i="10"/>
  <c r="T268" i="10"/>
  <c r="AT668" i="10"/>
  <c r="W268" i="10"/>
  <c r="AK268" i="10"/>
  <c r="AB268" i="10"/>
  <c r="U668" i="10"/>
  <c r="AL268" i="10"/>
  <c r="AH668" i="10"/>
  <c r="AJ668" i="10"/>
  <c r="AN668" i="10"/>
  <c r="J268" i="10"/>
  <c r="AM268" i="10"/>
  <c r="Y268" i="10"/>
  <c r="AN487" i="10"/>
  <c r="AR487" i="10"/>
  <c r="AK487" i="10"/>
  <c r="U487" i="10"/>
  <c r="AF306" i="10"/>
  <c r="L306" i="10"/>
  <c r="AB706" i="10"/>
  <c r="AW306" i="10"/>
  <c r="AU706" i="10"/>
  <c r="AV706" i="10"/>
  <c r="AY706" i="10"/>
  <c r="AC706" i="10"/>
  <c r="W706" i="10"/>
  <c r="AW706" i="10"/>
  <c r="AN306" i="10"/>
  <c r="AF706" i="10"/>
  <c r="AG306" i="10"/>
  <c r="Q706" i="10"/>
  <c r="AI306" i="10"/>
  <c r="AA706" i="10"/>
  <c r="AT306" i="10"/>
  <c r="AJ706" i="10"/>
  <c r="AT706" i="10"/>
  <c r="AB306" i="10"/>
  <c r="N111" i="26"/>
  <c r="W111" i="27"/>
  <c r="E111" i="27" s="1"/>
  <c r="X688" i="10"/>
  <c r="W288" i="10"/>
  <c r="AU688" i="10"/>
  <c r="Z288" i="10"/>
  <c r="AM288" i="10"/>
  <c r="L688" i="10"/>
  <c r="AO288" i="10"/>
  <c r="AP288" i="10"/>
  <c r="W688" i="10"/>
  <c r="AJ288" i="10"/>
  <c r="F182" i="6"/>
  <c r="Z182" i="6" s="1"/>
  <c r="F182" i="9"/>
  <c r="P182" i="26"/>
  <c r="X182" i="27" s="1"/>
  <c r="AB182" i="27" s="1"/>
  <c r="F102" i="9"/>
  <c r="F102" i="6"/>
  <c r="N697" i="10"/>
  <c r="AM297" i="10"/>
  <c r="AE697" i="10"/>
  <c r="AV697" i="10"/>
  <c r="AC297" i="10"/>
  <c r="M297" i="10"/>
  <c r="T595" i="10"/>
  <c r="AL297" i="10"/>
  <c r="J697" i="10"/>
  <c r="AP297" i="10"/>
  <c r="K297" i="10"/>
  <c r="AF297" i="10"/>
  <c r="Y297" i="10"/>
  <c r="P102" i="26"/>
  <c r="X102" i="27" s="1"/>
  <c r="AB102" i="27" s="1"/>
  <c r="Y87" i="10"/>
  <c r="J297" i="10"/>
  <c r="U297" i="10"/>
  <c r="X697" i="10"/>
  <c r="AS297" i="10"/>
  <c r="AS352" i="10"/>
  <c r="Q297" i="10"/>
  <c r="AQ297" i="10"/>
  <c r="AR697" i="10"/>
  <c r="AL697" i="10"/>
  <c r="Y697" i="10"/>
  <c r="AG697" i="10"/>
  <c r="AB297" i="10"/>
  <c r="P697" i="10"/>
  <c r="AX697" i="10"/>
  <c r="U595" i="10"/>
  <c r="AP752" i="10"/>
  <c r="AN697" i="10"/>
  <c r="Q697" i="10"/>
  <c r="AY297" i="10"/>
  <c r="AI297" i="10"/>
  <c r="AA697" i="10"/>
  <c r="AY697" i="10"/>
  <c r="L297" i="10"/>
  <c r="AC697" i="10"/>
  <c r="AV195" i="10"/>
  <c r="AF195" i="10"/>
  <c r="N752" i="10"/>
  <c r="S352" i="10"/>
  <c r="F259" i="10"/>
  <c r="AO259" i="10" s="1"/>
  <c r="N259" i="26"/>
  <c r="V259" i="27" s="1"/>
  <c r="AA259" i="27" s="1"/>
  <c r="AC204" i="6"/>
  <c r="AM550" i="10"/>
  <c r="AD150" i="10"/>
  <c r="V268" i="10"/>
  <c r="R268" i="10"/>
  <c r="AT268" i="10"/>
  <c r="R668" i="10"/>
  <c r="AV668" i="10"/>
  <c r="AG268" i="10"/>
  <c r="AR668" i="10"/>
  <c r="AL668" i="10"/>
  <c r="L268" i="10"/>
  <c r="O268" i="10"/>
  <c r="AX268" i="10"/>
  <c r="W668" i="10"/>
  <c r="K668" i="10"/>
  <c r="X268" i="10"/>
  <c r="AO268" i="10"/>
  <c r="M268" i="10"/>
  <c r="P668" i="10"/>
  <c r="AP268" i="10"/>
  <c r="S668" i="10"/>
  <c r="O668" i="10"/>
  <c r="AJ268" i="10"/>
  <c r="Q668" i="10"/>
  <c r="AQ268" i="10"/>
  <c r="AI668" i="10"/>
  <c r="Z268" i="10"/>
  <c r="V668" i="10"/>
  <c r="AD668" i="10"/>
  <c r="AD268" i="10"/>
  <c r="AF668" i="10"/>
  <c r="AE668" i="10"/>
  <c r="T487" i="10"/>
  <c r="AL487" i="10"/>
  <c r="AR87" i="10"/>
  <c r="M487" i="10"/>
  <c r="X87" i="10"/>
  <c r="V487" i="10"/>
  <c r="AP487" i="10"/>
  <c r="K487" i="10"/>
  <c r="M87" i="10"/>
  <c r="AL87" i="10"/>
  <c r="U87" i="10"/>
  <c r="T87" i="10"/>
  <c r="AW87" i="10"/>
  <c r="AP706" i="10"/>
  <c r="AD306" i="10"/>
  <c r="AS306" i="10"/>
  <c r="T306" i="10"/>
  <c r="AL706" i="10"/>
  <c r="AC306" i="10"/>
  <c r="AQ306" i="10"/>
  <c r="U706" i="10"/>
  <c r="AK706" i="10"/>
  <c r="T706" i="10"/>
  <c r="AR706" i="10"/>
  <c r="N306" i="10"/>
  <c r="AE306" i="10"/>
  <c r="AP306" i="10"/>
  <c r="AS706" i="10"/>
  <c r="AX706" i="10"/>
  <c r="AR306" i="10"/>
  <c r="AY306" i="10"/>
  <c r="K306" i="10"/>
  <c r="AI706" i="10"/>
  <c r="AM706" i="10"/>
  <c r="X706" i="10"/>
  <c r="Y706" i="10"/>
  <c r="Y306" i="10"/>
  <c r="AL306" i="10"/>
  <c r="V306" i="10"/>
  <c r="AM306" i="10"/>
  <c r="AJ306" i="10"/>
  <c r="AO706" i="10"/>
  <c r="AV306" i="10"/>
  <c r="AD706" i="10"/>
  <c r="W306" i="10"/>
  <c r="S306" i="10"/>
  <c r="AO306" i="10"/>
  <c r="Q306" i="10"/>
  <c r="AA306" i="10"/>
  <c r="P306" i="10"/>
  <c r="J306" i="10"/>
  <c r="S706" i="10"/>
  <c r="J706" i="10"/>
  <c r="L706" i="10"/>
  <c r="AQ706" i="10"/>
  <c r="AL520" i="26"/>
  <c r="F184" i="10"/>
  <c r="AC584" i="10" s="1"/>
  <c r="W184" i="27"/>
  <c r="E184" i="27" s="1"/>
  <c r="W90" i="27"/>
  <c r="E90" i="27" s="1"/>
  <c r="N90" i="26"/>
  <c r="BD90" i="26" s="1"/>
  <c r="F382" i="6"/>
  <c r="Z382" i="6" s="1"/>
  <c r="P382" i="26"/>
  <c r="AD752" i="10"/>
  <c r="AC752" i="10"/>
  <c r="AB352" i="10"/>
  <c r="AC352" i="10"/>
  <c r="AS752" i="10"/>
  <c r="AV752" i="10"/>
  <c r="AM352" i="10"/>
  <c r="AX752" i="10"/>
  <c r="AG752" i="10"/>
  <c r="N352" i="10"/>
  <c r="AR752" i="10"/>
  <c r="AP697" i="10"/>
  <c r="N297" i="10"/>
  <c r="AH697" i="10"/>
  <c r="AJ297" i="10"/>
  <c r="AI697" i="10"/>
  <c r="T297" i="10"/>
  <c r="AV297" i="10"/>
  <c r="AA297" i="10"/>
  <c r="AI752" i="10"/>
  <c r="Z697" i="10"/>
  <c r="P297" i="10"/>
  <c r="R297" i="10"/>
  <c r="W297" i="10"/>
  <c r="AM697" i="10"/>
  <c r="V297" i="10"/>
  <c r="AD697" i="10"/>
  <c r="AK297" i="10"/>
  <c r="AH297" i="10"/>
  <c r="O297" i="10"/>
  <c r="U697" i="10"/>
  <c r="AF697" i="10"/>
  <c r="AD297" i="10"/>
  <c r="J5" i="10"/>
  <c r="AN297" i="10"/>
  <c r="AS697" i="10"/>
  <c r="AG297" i="10"/>
  <c r="S297" i="10"/>
  <c r="AT697" i="10"/>
  <c r="AU697" i="10"/>
  <c r="AQ697" i="10"/>
  <c r="T697" i="10"/>
  <c r="AT297" i="10"/>
  <c r="K697" i="10"/>
  <c r="AW297" i="10"/>
  <c r="M697" i="10"/>
  <c r="AO697" i="10"/>
  <c r="AK697" i="10"/>
  <c r="S697" i="10"/>
  <c r="AW697" i="10"/>
  <c r="AR297" i="10"/>
  <c r="X297" i="10"/>
  <c r="O697" i="10"/>
  <c r="AP195" i="10"/>
  <c r="AD154" i="10"/>
  <c r="R752" i="10"/>
  <c r="AK752" i="10"/>
  <c r="AN87" i="10"/>
  <c r="AQ87" i="10"/>
  <c r="X487" i="10"/>
  <c r="Q487" i="10"/>
  <c r="AA425" i="10"/>
  <c r="M424" i="10"/>
  <c r="Q24" i="10"/>
  <c r="AK24" i="10"/>
  <c r="AN424" i="10"/>
  <c r="F179" i="9"/>
  <c r="AI424" i="10"/>
  <c r="Z503" i="10"/>
  <c r="P194" i="26"/>
  <c r="X194" i="27" s="1"/>
  <c r="AB194" i="27" s="1"/>
  <c r="Y194" i="27"/>
  <c r="G194" i="27" s="1"/>
  <c r="P179" i="26"/>
  <c r="F111" i="10"/>
  <c r="L111" i="10" s="1"/>
  <c r="R424" i="10"/>
  <c r="AW148" i="10"/>
  <c r="X548" i="10"/>
  <c r="T148" i="10"/>
  <c r="P233" i="10"/>
  <c r="X233" i="10"/>
  <c r="R633" i="10"/>
  <c r="V301" i="27"/>
  <c r="G301" i="10"/>
  <c r="H124" i="27"/>
  <c r="W61" i="27"/>
  <c r="E61" i="27" s="1"/>
  <c r="F61" i="10"/>
  <c r="Y61" i="10" s="1"/>
  <c r="AQ24" i="10"/>
  <c r="F194" i="6"/>
  <c r="Z194" i="6" s="1"/>
  <c r="F72" i="6"/>
  <c r="Z72" i="6" s="1"/>
  <c r="P72" i="26"/>
  <c r="X72" i="27" s="1"/>
  <c r="AB72" i="27" s="1"/>
  <c r="AR96" i="10"/>
  <c r="AV496" i="10"/>
  <c r="Z496" i="10"/>
  <c r="AX496" i="10"/>
  <c r="AC96" i="10"/>
  <c r="F150" i="6"/>
  <c r="Z150" i="6" s="1"/>
  <c r="P150" i="26"/>
  <c r="F150" i="9"/>
  <c r="Q163" i="10"/>
  <c r="AI163" i="10"/>
  <c r="AY163" i="10"/>
  <c r="N573" i="10"/>
  <c r="AC573" i="10"/>
  <c r="AO573" i="10"/>
  <c r="AE173" i="10"/>
  <c r="AH173" i="10"/>
  <c r="Z173" i="10"/>
  <c r="X573" i="10"/>
  <c r="AU573" i="10"/>
  <c r="N72" i="26"/>
  <c r="W72" i="27"/>
  <c r="E72" i="27" s="1"/>
  <c r="H313" i="9"/>
  <c r="AC313" i="9" s="1"/>
  <c r="H313" i="6"/>
  <c r="Y203" i="27"/>
  <c r="G203" i="27" s="1"/>
  <c r="P203" i="26"/>
  <c r="F203" i="9"/>
  <c r="W364" i="27"/>
  <c r="E364" i="27" s="1"/>
  <c r="N364" i="26"/>
  <c r="BD364" i="26" s="1"/>
  <c r="N362" i="26"/>
  <c r="BD362" i="26" s="1"/>
  <c r="P595" i="10"/>
  <c r="M195" i="10"/>
  <c r="J195" i="10"/>
  <c r="AV595" i="10"/>
  <c r="AA25" i="10"/>
  <c r="F203" i="6"/>
  <c r="AY433" i="26"/>
  <c r="S433" i="26" s="1"/>
  <c r="AM554" i="10"/>
  <c r="T154" i="10"/>
  <c r="AC154" i="10"/>
  <c r="K154" i="10"/>
  <c r="AX554" i="10"/>
  <c r="P262" i="26"/>
  <c r="Y262" i="27"/>
  <c r="G262" i="27" s="1"/>
  <c r="F43" i="10"/>
  <c r="AM443" i="10" s="1"/>
  <c r="N43" i="26"/>
  <c r="W43" i="27"/>
  <c r="E43" i="27" s="1"/>
  <c r="R595" i="10"/>
  <c r="F27" i="6"/>
  <c r="V154" i="10"/>
  <c r="AS563" i="10"/>
  <c r="AD113" i="10"/>
  <c r="AE103" i="10"/>
  <c r="AO503" i="10"/>
  <c r="Y103" i="10"/>
  <c r="AP503" i="10"/>
  <c r="T503" i="10"/>
  <c r="W362" i="27"/>
  <c r="E362" i="27" s="1"/>
  <c r="AR195" i="10"/>
  <c r="AQ195" i="10"/>
  <c r="AK595" i="10"/>
  <c r="AM595" i="10"/>
  <c r="AF595" i="10"/>
  <c r="P101" i="26"/>
  <c r="Y27" i="27"/>
  <c r="G27" i="27" s="1"/>
  <c r="N185" i="26"/>
  <c r="G185" i="10" s="1"/>
  <c r="X503" i="10"/>
  <c r="Y154" i="10"/>
  <c r="G263" i="10"/>
  <c r="T563" i="10"/>
  <c r="F364" i="10"/>
  <c r="AI764" i="10" s="1"/>
  <c r="I370" i="9"/>
  <c r="F72" i="10"/>
  <c r="J72" i="10" s="1"/>
  <c r="AT752" i="10"/>
  <c r="P352" i="10"/>
  <c r="AA352" i="10"/>
  <c r="V352" i="10"/>
  <c r="W352" i="10"/>
  <c r="O352" i="10"/>
  <c r="Y752" i="10"/>
  <c r="AL352" i="10"/>
  <c r="M752" i="10"/>
  <c r="T425" i="10"/>
  <c r="Z573" i="10"/>
  <c r="AR602" i="10"/>
  <c r="O602" i="10"/>
  <c r="AN513" i="10"/>
  <c r="AK113" i="10"/>
  <c r="S513" i="10"/>
  <c r="AI513" i="10"/>
  <c r="AS113" i="10"/>
  <c r="AO513" i="10"/>
  <c r="X513" i="10"/>
  <c r="N113" i="10"/>
  <c r="U513" i="10"/>
  <c r="AL425" i="10"/>
  <c r="AP25" i="10"/>
  <c r="R25" i="10"/>
  <c r="M425" i="10"/>
  <c r="AK25" i="10"/>
  <c r="AQ25" i="10"/>
  <c r="AF425" i="10"/>
  <c r="V25" i="10"/>
  <c r="AV25" i="10"/>
  <c r="J425" i="10"/>
  <c r="AM25" i="10"/>
  <c r="Y25" i="10"/>
  <c r="AT25" i="10"/>
  <c r="P25" i="10"/>
  <c r="W25" i="10"/>
  <c r="F53" i="10"/>
  <c r="AX53" i="10" s="1"/>
  <c r="N53" i="26"/>
  <c r="BB366" i="10"/>
  <c r="G27" i="6"/>
  <c r="G27" i="9"/>
  <c r="N22" i="26"/>
  <c r="BD22" i="26" s="1"/>
  <c r="F22" i="10"/>
  <c r="AF22" i="10" s="1"/>
  <c r="W22" i="27"/>
  <c r="E22" i="27" s="1"/>
  <c r="F285" i="9"/>
  <c r="Z285" i="9" s="1"/>
  <c r="AA285" i="9" s="1"/>
  <c r="P285" i="26"/>
  <c r="X285" i="27" s="1"/>
  <c r="AB285" i="27" s="1"/>
  <c r="Y285" i="27"/>
  <c r="G285" i="27" s="1"/>
  <c r="F285" i="6"/>
  <c r="Z285" i="6" s="1"/>
  <c r="W185" i="27"/>
  <c r="E185" i="27" s="1"/>
  <c r="U163" i="10"/>
  <c r="AB752" i="10"/>
  <c r="X752" i="10"/>
  <c r="O752" i="10"/>
  <c r="AQ352" i="10"/>
  <c r="AA752" i="10"/>
  <c r="J352" i="10"/>
  <c r="J752" i="10"/>
  <c r="W752" i="10"/>
  <c r="AO752" i="10"/>
  <c r="P752" i="10"/>
  <c r="AH352" i="10"/>
  <c r="AY752" i="10"/>
  <c r="AT352" i="10"/>
  <c r="K352" i="10"/>
  <c r="AN352" i="10"/>
  <c r="U752" i="10"/>
  <c r="AY352" i="10"/>
  <c r="AG352" i="10"/>
  <c r="AJ752" i="10"/>
  <c r="AM752" i="10"/>
  <c r="AQ752" i="10"/>
  <c r="AV352" i="10"/>
  <c r="L352" i="10"/>
  <c r="AK352" i="10"/>
  <c r="Q352" i="10"/>
  <c r="AH752" i="10"/>
  <c r="AJ352" i="10"/>
  <c r="AU752" i="10"/>
  <c r="AF352" i="10"/>
  <c r="X352" i="10"/>
  <c r="AO352" i="10"/>
  <c r="AF752" i="10"/>
  <c r="Y352" i="10"/>
  <c r="M352" i="10"/>
  <c r="AN752" i="10"/>
  <c r="S752" i="10"/>
  <c r="K752" i="10"/>
  <c r="R352" i="10"/>
  <c r="AW752" i="10"/>
  <c r="X195" i="10"/>
  <c r="AJ595" i="10"/>
  <c r="L195" i="10"/>
  <c r="AM195" i="10"/>
  <c r="AE195" i="10"/>
  <c r="AI595" i="10"/>
  <c r="F27" i="9"/>
  <c r="BE27" i="26"/>
  <c r="L103" i="10"/>
  <c r="J154" i="10"/>
  <c r="Y101" i="27"/>
  <c r="G101" i="27" s="1"/>
  <c r="AX352" i="10"/>
  <c r="Z752" i="10"/>
  <c r="AD352" i="10"/>
  <c r="U352" i="10"/>
  <c r="AE752" i="10"/>
  <c r="V752" i="10"/>
  <c r="AE352" i="10"/>
  <c r="T352" i="10"/>
  <c r="AR352" i="10"/>
  <c r="L752" i="10"/>
  <c r="AL511" i="26"/>
  <c r="AW202" i="10"/>
  <c r="AJ425" i="10"/>
  <c r="AO425" i="10"/>
  <c r="L573" i="10"/>
  <c r="N201" i="10"/>
  <c r="P601" i="10"/>
  <c r="Q233" i="10"/>
  <c r="AB233" i="10"/>
  <c r="AS233" i="10"/>
  <c r="AQ633" i="10"/>
  <c r="Y633" i="10"/>
  <c r="F199" i="6"/>
  <c r="Z199" i="6" s="1"/>
  <c r="P199" i="26"/>
  <c r="X199" i="27" s="1"/>
  <c r="AB199" i="27" s="1"/>
  <c r="Y363" i="27"/>
  <c r="G363" i="27" s="1"/>
  <c r="F363" i="9"/>
  <c r="N281" i="26"/>
  <c r="BD281" i="26" s="1"/>
  <c r="W281" i="27"/>
  <c r="E281" i="27" s="1"/>
  <c r="H322" i="27"/>
  <c r="F151" i="6"/>
  <c r="F151" i="9"/>
  <c r="Z151" i="9" s="1"/>
  <c r="AA151" i="9" s="1"/>
  <c r="Y151" i="27"/>
  <c r="G151" i="27" s="1"/>
  <c r="P151" i="26"/>
  <c r="X151" i="27" s="1"/>
  <c r="AB151" i="27" s="1"/>
  <c r="F210" i="10"/>
  <c r="T610" i="10" s="1"/>
  <c r="W210" i="27"/>
  <c r="E210" i="27" s="1"/>
  <c r="N210" i="26"/>
  <c r="F203" i="10"/>
  <c r="AC603" i="10" s="1"/>
  <c r="H32" i="27"/>
  <c r="F243" i="9"/>
  <c r="P243" i="26"/>
  <c r="AL701" i="10"/>
  <c r="M301" i="10"/>
  <c r="AJ701" i="10"/>
  <c r="N701" i="10"/>
  <c r="Z701" i="10"/>
  <c r="T701" i="10"/>
  <c r="AC301" i="10"/>
  <c r="R701" i="10"/>
  <c r="AJ121" i="10"/>
  <c r="R121" i="10"/>
  <c r="AR550" i="10"/>
  <c r="M150" i="10"/>
  <c r="T550" i="10"/>
  <c r="AW550" i="10"/>
  <c r="AI150" i="10"/>
  <c r="AX550" i="10"/>
  <c r="X550" i="10"/>
  <c r="S550" i="10"/>
  <c r="F363" i="6"/>
  <c r="Z363" i="6" s="1"/>
  <c r="F130" i="9"/>
  <c r="N203" i="26"/>
  <c r="BD203" i="26" s="1"/>
  <c r="U701" i="10"/>
  <c r="V285" i="27"/>
  <c r="AA285" i="27" s="1"/>
  <c r="BD285" i="26"/>
  <c r="Y166" i="27"/>
  <c r="G166" i="27" s="1"/>
  <c r="F166" i="9"/>
  <c r="I246" i="9"/>
  <c r="I246" i="6"/>
  <c r="N260" i="26"/>
  <c r="W260" i="27"/>
  <c r="E260" i="27" s="1"/>
  <c r="F260" i="10"/>
  <c r="O260" i="10" s="1"/>
  <c r="H96" i="27"/>
  <c r="I50" i="6"/>
  <c r="P130" i="26"/>
  <c r="Y130" i="27"/>
  <c r="G130" i="27" s="1"/>
  <c r="F50" i="6"/>
  <c r="Z50" i="6" s="1"/>
  <c r="O424" i="10"/>
  <c r="V424" i="10"/>
  <c r="G15" i="9"/>
  <c r="AM487" i="10"/>
  <c r="AW487" i="10"/>
  <c r="AP87" i="10"/>
  <c r="AQ487" i="10"/>
  <c r="AC487" i="10"/>
  <c r="Q87" i="10"/>
  <c r="J487" i="10"/>
  <c r="AE487" i="10"/>
  <c r="AG87" i="10"/>
  <c r="AI87" i="10"/>
  <c r="AE87" i="10"/>
  <c r="AF487" i="10"/>
  <c r="S87" i="10"/>
  <c r="AA487" i="10"/>
  <c r="AD487" i="10"/>
  <c r="AD87" i="10"/>
  <c r="T573" i="10"/>
  <c r="AD173" i="10"/>
  <c r="R573" i="10"/>
  <c r="AQ573" i="10"/>
  <c r="J573" i="10"/>
  <c r="AA573" i="10"/>
  <c r="AH573" i="10"/>
  <c r="AF573" i="10"/>
  <c r="AP573" i="10"/>
  <c r="AD573" i="10"/>
  <c r="F387" i="10"/>
  <c r="N387" i="26"/>
  <c r="G387" i="10" s="1"/>
  <c r="W387" i="27"/>
  <c r="E387" i="27" s="1"/>
  <c r="F15" i="9"/>
  <c r="Y26" i="27"/>
  <c r="G26" i="27" s="1"/>
  <c r="AT424" i="10"/>
  <c r="AG424" i="10"/>
  <c r="K542" i="10"/>
  <c r="W142" i="10"/>
  <c r="F351" i="10"/>
  <c r="Z351" i="10" s="1"/>
  <c r="N351" i="26"/>
  <c r="V351" i="27" s="1"/>
  <c r="AA351" i="27" s="1"/>
  <c r="R54" i="26"/>
  <c r="H54" i="6"/>
  <c r="AC54" i="6" s="1"/>
  <c r="AC109" i="9"/>
  <c r="P246" i="26"/>
  <c r="F246" i="9"/>
  <c r="F209" i="6"/>
  <c r="Y209" i="27"/>
  <c r="G209" i="27" s="1"/>
  <c r="P209" i="26"/>
  <c r="P113" i="26"/>
  <c r="X113" i="27" s="1"/>
  <c r="AB113" i="27" s="1"/>
  <c r="F113" i="6"/>
  <c r="Z113" i="6" s="1"/>
  <c r="F113" i="9"/>
  <c r="Y113" i="27"/>
  <c r="G113" i="27" s="1"/>
  <c r="P376" i="26"/>
  <c r="F376" i="6"/>
  <c r="Z376" i="6" s="1"/>
  <c r="P41" i="26"/>
  <c r="X41" i="27" s="1"/>
  <c r="AB41" i="27" s="1"/>
  <c r="Y41" i="27"/>
  <c r="G41" i="27" s="1"/>
  <c r="F41" i="6"/>
  <c r="F41" i="9"/>
  <c r="F60" i="9"/>
  <c r="P166" i="26"/>
  <c r="X166" i="27" s="1"/>
  <c r="AB166" i="27" s="1"/>
  <c r="F376" i="9"/>
  <c r="F292" i="10"/>
  <c r="M692" i="10" s="1"/>
  <c r="N292" i="26"/>
  <c r="V292" i="27" s="1"/>
  <c r="AA292" i="27" s="1"/>
  <c r="V156" i="27"/>
  <c r="AA156" i="27" s="1"/>
  <c r="BD156" i="26"/>
  <c r="BF156" i="26" s="1"/>
  <c r="G156" i="10"/>
  <c r="N334" i="26"/>
  <c r="V334" i="27" s="1"/>
  <c r="AA334" i="27" s="1"/>
  <c r="F334" i="10"/>
  <c r="N78" i="26"/>
  <c r="F78" i="10"/>
  <c r="L478" i="10" s="1"/>
  <c r="F296" i="27"/>
  <c r="F281" i="10"/>
  <c r="AO681" i="10" s="1"/>
  <c r="Y246" i="27"/>
  <c r="G246" i="27" s="1"/>
  <c r="AC37" i="6"/>
  <c r="J701" i="10"/>
  <c r="AA301" i="10"/>
  <c r="U301" i="10"/>
  <c r="T301" i="10"/>
  <c r="AK301" i="10"/>
  <c r="R301" i="10"/>
  <c r="AI301" i="10"/>
  <c r="AS701" i="10"/>
  <c r="AN301" i="10"/>
  <c r="AS301" i="10"/>
  <c r="AB701" i="10"/>
  <c r="J521" i="10"/>
  <c r="Q121" i="10"/>
  <c r="L521" i="10"/>
  <c r="AK521" i="10"/>
  <c r="AJ521" i="10"/>
  <c r="AS121" i="10"/>
  <c r="AB121" i="10"/>
  <c r="AJ550" i="10"/>
  <c r="AG150" i="10"/>
  <c r="U150" i="10"/>
  <c r="AY150" i="10"/>
  <c r="AU550" i="10"/>
  <c r="AQ150" i="10"/>
  <c r="N550" i="10"/>
  <c r="AK150" i="10"/>
  <c r="W150" i="10"/>
  <c r="AQ550" i="10"/>
  <c r="X150" i="10"/>
  <c r="AX150" i="10"/>
  <c r="Q150" i="10"/>
  <c r="Z550" i="10"/>
  <c r="AB550" i="10"/>
  <c r="AS150" i="10"/>
  <c r="AJ150" i="10"/>
  <c r="L150" i="10"/>
  <c r="AD550" i="10"/>
  <c r="O150" i="10"/>
  <c r="U550" i="10"/>
  <c r="AY550" i="10"/>
  <c r="AF150" i="10"/>
  <c r="AL150" i="10"/>
  <c r="J150" i="10"/>
  <c r="AG550" i="10"/>
  <c r="AV150" i="10"/>
  <c r="R550" i="10"/>
  <c r="AW150" i="10"/>
  <c r="AH150" i="10"/>
  <c r="T150" i="10"/>
  <c r="P116" i="26"/>
  <c r="X116" i="27" s="1"/>
  <c r="AB116" i="27" s="1"/>
  <c r="F116" i="6"/>
  <c r="Y116" i="27"/>
  <c r="G116" i="27" s="1"/>
  <c r="P146" i="26"/>
  <c r="X146" i="27" s="1"/>
  <c r="AB146" i="27" s="1"/>
  <c r="Y146" i="27"/>
  <c r="G146" i="27" s="1"/>
  <c r="AM633" i="10"/>
  <c r="AS633" i="10"/>
  <c r="AT233" i="10"/>
  <c r="AD233" i="10"/>
  <c r="AO233" i="10"/>
  <c r="T233" i="10"/>
  <c r="AI233" i="10"/>
  <c r="AG233" i="10"/>
  <c r="N233" i="10"/>
  <c r="U633" i="10"/>
  <c r="M25" i="10"/>
  <c r="AX25" i="10"/>
  <c r="AR25" i="10"/>
  <c r="AB425" i="10"/>
  <c r="V425" i="10"/>
  <c r="AN425" i="10"/>
  <c r="AH25" i="10"/>
  <c r="AF25" i="10"/>
  <c r="AR425" i="10"/>
  <c r="AI425" i="10"/>
  <c r="AW25" i="10"/>
  <c r="AE25" i="10"/>
  <c r="W425" i="10"/>
  <c r="AK425" i="10"/>
  <c r="AD425" i="10"/>
  <c r="AT425" i="10"/>
  <c r="S425" i="10"/>
  <c r="L425" i="10"/>
  <c r="AS425" i="10"/>
  <c r="AG425" i="10"/>
  <c r="AV425" i="10"/>
  <c r="AE425" i="10"/>
  <c r="P54" i="26"/>
  <c r="F54" i="9"/>
  <c r="AJ487" i="26"/>
  <c r="AI487" i="26" s="1"/>
  <c r="AK487" i="26" s="1"/>
  <c r="AV487" i="26" s="1"/>
  <c r="P487" i="26" s="1"/>
  <c r="AU487" i="26"/>
  <c r="H464" i="9" s="1"/>
  <c r="AC464" i="9" s="1"/>
  <c r="AD464" i="9" s="1"/>
  <c r="W205" i="27"/>
  <c r="E205" i="27" s="1"/>
  <c r="N205" i="26"/>
  <c r="G205" i="10" s="1"/>
  <c r="AT479" i="10"/>
  <c r="T79" i="10"/>
  <c r="AV79" i="10"/>
  <c r="W479" i="10"/>
  <c r="V79" i="10"/>
  <c r="P479" i="10"/>
  <c r="AC79" i="10"/>
  <c r="AQ79" i="10"/>
  <c r="AA79" i="10"/>
  <c r="AP479" i="10"/>
  <c r="AF79" i="10"/>
  <c r="AL79" i="10"/>
  <c r="U79" i="10"/>
  <c r="AS479" i="10"/>
  <c r="J79" i="10"/>
  <c r="AV479" i="10"/>
  <c r="AS79" i="10"/>
  <c r="Y79" i="10"/>
  <c r="AR79" i="10"/>
  <c r="AE79" i="10"/>
  <c r="AT79" i="10"/>
  <c r="AJ479" i="10"/>
  <c r="J479" i="10"/>
  <c r="P79" i="10"/>
  <c r="AX79" i="10"/>
  <c r="AE479" i="10"/>
  <c r="M479" i="10"/>
  <c r="AN79" i="10"/>
  <c r="AY479" i="10"/>
  <c r="S479" i="10"/>
  <c r="V479" i="10"/>
  <c r="AK79" i="10"/>
  <c r="AP79" i="10"/>
  <c r="AI79" i="10"/>
  <c r="AG479" i="10"/>
  <c r="AY79" i="10"/>
  <c r="X479" i="10"/>
  <c r="AN479" i="10"/>
  <c r="U479" i="10"/>
  <c r="T479" i="10"/>
  <c r="O479" i="10"/>
  <c r="AL479" i="10"/>
  <c r="N479" i="10"/>
  <c r="AW79" i="10"/>
  <c r="Z479" i="10"/>
  <c r="AD479" i="10"/>
  <c r="AX479" i="10"/>
  <c r="N79" i="10"/>
  <c r="Q479" i="10"/>
  <c r="AI479" i="10"/>
  <c r="AQ479" i="10"/>
  <c r="L79" i="10"/>
  <c r="L479" i="10"/>
  <c r="AH79" i="10"/>
  <c r="AC479" i="10"/>
  <c r="X79" i="10"/>
  <c r="S79" i="10"/>
  <c r="AH479" i="10"/>
  <c r="AM479" i="10"/>
  <c r="AU479" i="10"/>
  <c r="AK479" i="10"/>
  <c r="AB79" i="10"/>
  <c r="AZ520" i="26"/>
  <c r="BB520" i="26" s="1"/>
  <c r="BA520" i="26" s="1"/>
  <c r="AY520" i="26"/>
  <c r="S520" i="26" s="1"/>
  <c r="F90" i="9"/>
  <c r="AO554" i="10"/>
  <c r="AD554" i="10"/>
  <c r="O554" i="10"/>
  <c r="AO154" i="10"/>
  <c r="AS554" i="10"/>
  <c r="F54" i="6"/>
  <c r="Z54" i="6" s="1"/>
  <c r="R117" i="26"/>
  <c r="I117" i="9" s="1"/>
  <c r="F205" i="10"/>
  <c r="AI205" i="10" s="1"/>
  <c r="K479" i="10"/>
  <c r="AF479" i="10"/>
  <c r="AO79" i="10"/>
  <c r="O79" i="10"/>
  <c r="R79" i="10"/>
  <c r="Q79" i="10"/>
  <c r="N171" i="26"/>
  <c r="F171" i="10"/>
  <c r="W171" i="27"/>
  <c r="E171" i="27" s="1"/>
  <c r="F292" i="6"/>
  <c r="P292" i="26"/>
  <c r="X292" i="27" s="1"/>
  <c r="AB292" i="27" s="1"/>
  <c r="F292" i="9"/>
  <c r="F184" i="9"/>
  <c r="Y184" i="27"/>
  <c r="G184" i="27" s="1"/>
  <c r="N88" i="26"/>
  <c r="BD88" i="26" s="1"/>
  <c r="W88" i="27"/>
  <c r="E88" i="27" s="1"/>
  <c r="W191" i="27"/>
  <c r="E191" i="27" s="1"/>
  <c r="N191" i="26"/>
  <c r="BD191" i="26" s="1"/>
  <c r="W26" i="27"/>
  <c r="E26" i="27" s="1"/>
  <c r="N26" i="26"/>
  <c r="V26" i="27" s="1"/>
  <c r="AA26" i="27" s="1"/>
  <c r="F370" i="9"/>
  <c r="Y370" i="27"/>
  <c r="G370" i="27" s="1"/>
  <c r="F370" i="6"/>
  <c r="P370" i="26"/>
  <c r="F221" i="10"/>
  <c r="N221" i="26"/>
  <c r="W221" i="27"/>
  <c r="E221" i="27" s="1"/>
  <c r="Y50" i="27"/>
  <c r="G50" i="27" s="1"/>
  <c r="F50" i="9"/>
  <c r="P193" i="26"/>
  <c r="AI530" i="10"/>
  <c r="W86" i="27"/>
  <c r="E86" i="27" s="1"/>
  <c r="AV554" i="10"/>
  <c r="R554" i="10"/>
  <c r="AJ154" i="10"/>
  <c r="AY554" i="10"/>
  <c r="W154" i="10"/>
  <c r="AB479" i="10"/>
  <c r="K79" i="10"/>
  <c r="AJ79" i="10"/>
  <c r="R479" i="10"/>
  <c r="AW479" i="10"/>
  <c r="F26" i="10"/>
  <c r="AN201" i="10"/>
  <c r="AA201" i="10"/>
  <c r="K601" i="10"/>
  <c r="X201" i="10"/>
  <c r="AL433" i="26"/>
  <c r="Y280" i="27"/>
  <c r="G280" i="27" s="1"/>
  <c r="F280" i="6"/>
  <c r="Z280" i="6" s="1"/>
  <c r="P280" i="26"/>
  <c r="X280" i="27" s="1"/>
  <c r="AB280" i="27" s="1"/>
  <c r="F280" i="9"/>
  <c r="Z280" i="9" s="1"/>
  <c r="AA280" i="9" s="1"/>
  <c r="BD113" i="26"/>
  <c r="G113" i="10"/>
  <c r="AC37" i="9"/>
  <c r="F109" i="10"/>
  <c r="AH109" i="10" s="1"/>
  <c r="N109" i="26"/>
  <c r="F197" i="10"/>
  <c r="AH597" i="10" s="1"/>
  <c r="N197" i="26"/>
  <c r="Y208" i="27"/>
  <c r="G208" i="27" s="1"/>
  <c r="F208" i="9"/>
  <c r="F208" i="6"/>
  <c r="Z208" i="6" s="1"/>
  <c r="L424" i="10"/>
  <c r="AS24" i="10"/>
  <c r="AE24" i="10"/>
  <c r="W24" i="10"/>
  <c r="AD24" i="10"/>
  <c r="T424" i="10"/>
  <c r="AH24" i="10"/>
  <c r="AB24" i="10"/>
  <c r="AL424" i="10"/>
  <c r="AO24" i="10"/>
  <c r="AS424" i="10"/>
  <c r="AX424" i="10"/>
  <c r="AM24" i="10"/>
  <c r="AL24" i="10"/>
  <c r="U24" i="10"/>
  <c r="AM424" i="10"/>
  <c r="AF424" i="10"/>
  <c r="S24" i="10"/>
  <c r="AV24" i="10"/>
  <c r="J424" i="10"/>
  <c r="W424" i="10"/>
  <c r="P25" i="26"/>
  <c r="X25" i="27" s="1"/>
  <c r="AB25" i="27" s="1"/>
  <c r="F25" i="6"/>
  <c r="F25" i="9"/>
  <c r="Z25" i="9" s="1"/>
  <c r="AA25" i="9" s="1"/>
  <c r="W48" i="27"/>
  <c r="E48" i="27" s="1"/>
  <c r="F48" i="10"/>
  <c r="Q448" i="10" s="1"/>
  <c r="R87" i="26"/>
  <c r="H87" i="6"/>
  <c r="AC87" i="6" s="1"/>
  <c r="R363" i="26"/>
  <c r="H363" i="9"/>
  <c r="H363" i="6"/>
  <c r="G208" i="9"/>
  <c r="G208" i="6"/>
  <c r="BE208" i="26"/>
  <c r="H208" i="27"/>
  <c r="G173" i="10"/>
  <c r="BD173" i="26"/>
  <c r="BF173" i="26" s="1"/>
  <c r="U688" i="10"/>
  <c r="AX688" i="10"/>
  <c r="J288" i="10"/>
  <c r="AM688" i="10"/>
  <c r="AB688" i="10"/>
  <c r="AO688" i="10"/>
  <c r="AD688" i="10"/>
  <c r="O688" i="10"/>
  <c r="AL688" i="10"/>
  <c r="AH288" i="10"/>
  <c r="N288" i="10"/>
  <c r="AC288" i="10"/>
  <c r="T288" i="10"/>
  <c r="AS288" i="10"/>
  <c r="AW288" i="10"/>
  <c r="AF688" i="10"/>
  <c r="AV288" i="10"/>
  <c r="R688" i="10"/>
  <c r="AR688" i="10"/>
  <c r="AC688" i="10"/>
  <c r="Q688" i="10"/>
  <c r="AQ688" i="10"/>
  <c r="P688" i="10"/>
  <c r="AT288" i="10"/>
  <c r="AI688" i="10"/>
  <c r="AR288" i="10"/>
  <c r="AK688" i="10"/>
  <c r="AI288" i="10"/>
  <c r="AB288" i="10"/>
  <c r="AQ288" i="10"/>
  <c r="AN688" i="10"/>
  <c r="AD288" i="10"/>
  <c r="Y688" i="10"/>
  <c r="J688" i="10"/>
  <c r="AN288" i="10"/>
  <c r="AY288" i="10"/>
  <c r="AH688" i="10"/>
  <c r="AS688" i="10"/>
  <c r="K688" i="10"/>
  <c r="AF288" i="10"/>
  <c r="M288" i="10"/>
  <c r="Z156" i="10"/>
  <c r="AM156" i="10"/>
  <c r="AL156" i="10"/>
  <c r="Y556" i="10"/>
  <c r="W156" i="10"/>
  <c r="P156" i="10"/>
  <c r="AW156" i="10"/>
  <c r="AY556" i="10"/>
  <c r="AI156" i="10"/>
  <c r="P74" i="26"/>
  <c r="X74" i="27" s="1"/>
  <c r="AB74" i="27" s="1"/>
  <c r="Y74" i="27"/>
  <c r="G74" i="27" s="1"/>
  <c r="V688" i="10"/>
  <c r="AE288" i="10"/>
  <c r="AY688" i="10"/>
  <c r="P288" i="10"/>
  <c r="AW688" i="10"/>
  <c r="L288" i="10"/>
  <c r="S288" i="10"/>
  <c r="Z688" i="10"/>
  <c r="AP688" i="10"/>
  <c r="AV688" i="10"/>
  <c r="AC424" i="10"/>
  <c r="M24" i="10"/>
  <c r="AH424" i="10"/>
  <c r="AE424" i="10"/>
  <c r="AD424" i="10"/>
  <c r="L513" i="10"/>
  <c r="AR113" i="10"/>
  <c r="AA513" i="10"/>
  <c r="W113" i="10"/>
  <c r="S96" i="10"/>
  <c r="N48" i="26"/>
  <c r="BD48" i="26" s="1"/>
  <c r="AC344" i="9"/>
  <c r="S5" i="10"/>
  <c r="S1595" i="10"/>
  <c r="F363" i="10"/>
  <c r="N363" i="26"/>
  <c r="W363" i="27"/>
  <c r="E363" i="27" s="1"/>
  <c r="P109" i="26"/>
  <c r="Y109" i="27"/>
  <c r="G109" i="27" s="1"/>
  <c r="F109" i="9"/>
  <c r="Z109" i="9" s="1"/>
  <c r="AA109" i="9" s="1"/>
  <c r="AO113" i="10"/>
  <c r="AT513" i="10"/>
  <c r="AJ513" i="10"/>
  <c r="O113" i="10"/>
  <c r="Z113" i="10"/>
  <c r="AE513" i="10"/>
  <c r="AP513" i="10"/>
  <c r="O513" i="10"/>
  <c r="AB113" i="10"/>
  <c r="AW513" i="10"/>
  <c r="AK513" i="10"/>
  <c r="AR513" i="10"/>
  <c r="AM113" i="10"/>
  <c r="M113" i="10"/>
  <c r="K113" i="10"/>
  <c r="AF513" i="10"/>
  <c r="AB513" i="10"/>
  <c r="L113" i="10"/>
  <c r="P113" i="10"/>
  <c r="AW113" i="10"/>
  <c r="AF113" i="10"/>
  <c r="AB96" i="10"/>
  <c r="AR496" i="10"/>
  <c r="AE496" i="10"/>
  <c r="AI96" i="10"/>
  <c r="AH96" i="10"/>
  <c r="U496" i="10"/>
  <c r="AO96" i="10"/>
  <c r="R496" i="10"/>
  <c r="AY96" i="10"/>
  <c r="Z96" i="10"/>
  <c r="L96" i="10"/>
  <c r="M96" i="10"/>
  <c r="AK496" i="10"/>
  <c r="N496" i="10"/>
  <c r="AQ496" i="10"/>
  <c r="AQ96" i="10"/>
  <c r="AD496" i="10"/>
  <c r="AM96" i="10"/>
  <c r="J96" i="10"/>
  <c r="O496" i="10"/>
  <c r="AL96" i="10"/>
  <c r="AU496" i="10"/>
  <c r="K96" i="10"/>
  <c r="Q496" i="10"/>
  <c r="J496" i="10"/>
  <c r="AA496" i="10"/>
  <c r="AA96" i="10"/>
  <c r="V96" i="10"/>
  <c r="P496" i="10"/>
  <c r="K496" i="10"/>
  <c r="X496" i="10"/>
  <c r="F74" i="6"/>
  <c r="Z74" i="6" s="1"/>
  <c r="K288" i="10"/>
  <c r="AX288" i="10"/>
  <c r="AT688" i="10"/>
  <c r="M688" i="10"/>
  <c r="R288" i="10"/>
  <c r="V288" i="10"/>
  <c r="Q288" i="10"/>
  <c r="N688" i="10"/>
  <c r="X288" i="10"/>
  <c r="AK288" i="10"/>
  <c r="AG688" i="10"/>
  <c r="P24" i="10"/>
  <c r="L24" i="10"/>
  <c r="AJ424" i="10"/>
  <c r="Q424" i="10"/>
  <c r="AW24" i="10"/>
  <c r="N128" i="26"/>
  <c r="G128" i="10" s="1"/>
  <c r="AU513" i="10"/>
  <c r="N513" i="10"/>
  <c r="AM513" i="10"/>
  <c r="J113" i="10"/>
  <c r="W513" i="10"/>
  <c r="V496" i="10"/>
  <c r="T496" i="10"/>
  <c r="AF96" i="10"/>
  <c r="AC142" i="10"/>
  <c r="AD142" i="10"/>
  <c r="AK542" i="10"/>
  <c r="AM542" i="10"/>
  <c r="AJ142" i="10"/>
  <c r="AX542" i="10"/>
  <c r="AF542" i="10"/>
  <c r="N142" i="10"/>
  <c r="N542" i="10"/>
  <c r="Z142" i="10"/>
  <c r="AQ142" i="10"/>
  <c r="F28" i="10"/>
  <c r="AN28" i="10" s="1"/>
  <c r="N28" i="26"/>
  <c r="BD28" i="26" s="1"/>
  <c r="AW556" i="10"/>
  <c r="AE1595" i="10"/>
  <c r="BA319" i="10"/>
  <c r="R556" i="10"/>
  <c r="AG69" i="9"/>
  <c r="BD272" i="26"/>
  <c r="BF272" i="26" s="1"/>
  <c r="G272" i="10"/>
  <c r="K25" i="10"/>
  <c r="R425" i="10"/>
  <c r="AS25" i="10"/>
  <c r="AY425" i="10"/>
  <c r="O425" i="10"/>
  <c r="O25" i="10"/>
  <c r="U425" i="10"/>
  <c r="S25" i="10"/>
  <c r="K425" i="10"/>
  <c r="AH425" i="10"/>
  <c r="AI25" i="10"/>
  <c r="AX425" i="10"/>
  <c r="L25" i="10"/>
  <c r="P425" i="10"/>
  <c r="AB25" i="10"/>
  <c r="J25" i="10"/>
  <c r="AD25" i="10"/>
  <c r="Z425" i="10"/>
  <c r="AY25" i="10"/>
  <c r="V87" i="27"/>
  <c r="AA87" i="27" s="1"/>
  <c r="G87" i="10"/>
  <c r="Y79" i="27"/>
  <c r="G79" i="27" s="1"/>
  <c r="F79" i="6"/>
  <c r="Z79" i="6" s="1"/>
  <c r="F377" i="6"/>
  <c r="Y377" i="27"/>
  <c r="G377" i="27" s="1"/>
  <c r="P321" i="26"/>
  <c r="F321" i="9"/>
  <c r="Y521" i="10"/>
  <c r="AW521" i="10"/>
  <c r="O121" i="10"/>
  <c r="AD521" i="10"/>
  <c r="AE521" i="10"/>
  <c r="P521" i="10"/>
  <c r="V521" i="10"/>
  <c r="AH521" i="10"/>
  <c r="O521" i="10"/>
  <c r="AR121" i="10"/>
  <c r="W121" i="10"/>
  <c r="K550" i="10"/>
  <c r="N150" i="10"/>
  <c r="Q550" i="10"/>
  <c r="AL550" i="10"/>
  <c r="AO550" i="10"/>
  <c r="AM150" i="10"/>
  <c r="V550" i="10"/>
  <c r="W550" i="10"/>
  <c r="AS550" i="10"/>
  <c r="P150" i="10"/>
  <c r="AB150" i="10"/>
  <c r="AA150" i="10"/>
  <c r="AC550" i="10"/>
  <c r="AE150" i="10"/>
  <c r="AP150" i="10"/>
  <c r="Z150" i="10"/>
  <c r="AR150" i="10"/>
  <c r="AC150" i="10"/>
  <c r="AT550" i="10"/>
  <c r="R150" i="10"/>
  <c r="P550" i="10"/>
  <c r="V150" i="10"/>
  <c r="S150" i="10"/>
  <c r="O550" i="10"/>
  <c r="AN150" i="10"/>
  <c r="M550" i="10"/>
  <c r="AI550" i="10"/>
  <c r="K150" i="10"/>
  <c r="AA550" i="10"/>
  <c r="AN550" i="10"/>
  <c r="AF550" i="10"/>
  <c r="AV550" i="10"/>
  <c r="L550" i="10"/>
  <c r="AK550" i="10"/>
  <c r="J550" i="10"/>
  <c r="AE550" i="10"/>
  <c r="AT150" i="10"/>
  <c r="Y150" i="10"/>
  <c r="AH550" i="10"/>
  <c r="Y550" i="10"/>
  <c r="AO150" i="10"/>
  <c r="AP550" i="10"/>
  <c r="F351" i="6"/>
  <c r="Z351" i="6" s="1"/>
  <c r="Y351" i="27"/>
  <c r="G351" i="27" s="1"/>
  <c r="F262" i="9"/>
  <c r="F262" i="6"/>
  <c r="W347" i="27"/>
  <c r="E347" i="27" s="1"/>
  <c r="F347" i="10"/>
  <c r="AL421" i="26"/>
  <c r="AS421" i="26" s="1"/>
  <c r="AY523" i="26"/>
  <c r="S523" i="26" s="1"/>
  <c r="AZ523" i="26"/>
  <c r="BB523" i="26" s="1"/>
  <c r="BA523" i="26" s="1"/>
  <c r="AY511" i="26"/>
  <c r="S511" i="26" s="1"/>
  <c r="AS173" i="10"/>
  <c r="AO173" i="10"/>
  <c r="AA173" i="10"/>
  <c r="V573" i="10"/>
  <c r="M573" i="10"/>
  <c r="Q173" i="10"/>
  <c r="AS573" i="10"/>
  <c r="W173" i="10"/>
  <c r="AN573" i="10"/>
  <c r="AJ173" i="10"/>
  <c r="AF173" i="10"/>
  <c r="W573" i="10"/>
  <c r="T173" i="10"/>
  <c r="S573" i="10"/>
  <c r="AY573" i="10"/>
  <c r="AV573" i="10"/>
  <c r="K173" i="10"/>
  <c r="O173" i="10"/>
  <c r="Y573" i="10"/>
  <c r="AT573" i="10"/>
  <c r="AG173" i="10"/>
  <c r="AL173" i="10"/>
  <c r="AC173" i="10"/>
  <c r="L173" i="10"/>
  <c r="AM173" i="10"/>
  <c r="AW573" i="10"/>
  <c r="U573" i="10"/>
  <c r="AJ573" i="10"/>
  <c r="AQ173" i="10"/>
  <c r="M173" i="10"/>
  <c r="AV173" i="10"/>
  <c r="S173" i="10"/>
  <c r="AI573" i="10"/>
  <c r="AI173" i="10"/>
  <c r="AX573" i="10"/>
  <c r="AX173" i="10"/>
  <c r="AK173" i="10"/>
  <c r="AK573" i="10"/>
  <c r="K573" i="10"/>
  <c r="X173" i="10"/>
  <c r="O573" i="10"/>
  <c r="AL573" i="10"/>
  <c r="F63" i="10"/>
  <c r="N63" i="26"/>
  <c r="BD63" i="26" s="1"/>
  <c r="P363" i="26"/>
  <c r="F60" i="6"/>
  <c r="Z60" i="6" s="1"/>
  <c r="N24" i="10"/>
  <c r="T24" i="10"/>
  <c r="X424" i="10"/>
  <c r="K24" i="10"/>
  <c r="Y24" i="10"/>
  <c r="AP424" i="10"/>
  <c r="P424" i="10"/>
  <c r="X24" i="10"/>
  <c r="Y424" i="10"/>
  <c r="AQ424" i="10"/>
  <c r="Z424" i="10"/>
  <c r="AY24" i="10"/>
  <c r="AG24" i="10"/>
  <c r="U424" i="10"/>
  <c r="O24" i="10"/>
  <c r="R24" i="10"/>
  <c r="AV424" i="10"/>
  <c r="AN24" i="10"/>
  <c r="AR424" i="10"/>
  <c r="AI24" i="10"/>
  <c r="V24" i="10"/>
  <c r="F101" i="6"/>
  <c r="Z101" i="6" s="1"/>
  <c r="AY173" i="10"/>
  <c r="AB573" i="10"/>
  <c r="AN173" i="10"/>
  <c r="V173" i="10"/>
  <c r="AR173" i="10"/>
  <c r="U173" i="10"/>
  <c r="AR573" i="10"/>
  <c r="R173" i="10"/>
  <c r="J173" i="10"/>
  <c r="AB173" i="10"/>
  <c r="AX156" i="10"/>
  <c r="X156" i="10"/>
  <c r="W556" i="10"/>
  <c r="K156" i="10"/>
  <c r="AC50" i="9"/>
  <c r="AY421" i="26"/>
  <c r="BD225" i="26"/>
  <c r="G225" i="10"/>
  <c r="G57" i="10"/>
  <c r="BD57" i="26"/>
  <c r="R38" i="26"/>
  <c r="H38" i="9"/>
  <c r="H38" i="6"/>
  <c r="AC38" i="6" s="1"/>
  <c r="BF430" i="26"/>
  <c r="N342" i="26"/>
  <c r="V342" i="27" s="1"/>
  <c r="AA342" i="27" s="1"/>
  <c r="W342" i="27"/>
  <c r="E342" i="27" s="1"/>
  <c r="Y87" i="27"/>
  <c r="G87" i="27" s="1"/>
  <c r="P87" i="26"/>
  <c r="AC295" i="9"/>
  <c r="N49" i="26"/>
  <c r="W49" i="27"/>
  <c r="E49" i="27" s="1"/>
  <c r="F49" i="10"/>
  <c r="V556" i="10"/>
  <c r="AS156" i="10"/>
  <c r="S156" i="10"/>
  <c r="P556" i="10"/>
  <c r="Y156" i="10"/>
  <c r="AU556" i="10"/>
  <c r="AF556" i="10"/>
  <c r="AV556" i="10"/>
  <c r="AB556" i="10"/>
  <c r="O156" i="10"/>
  <c r="AF156" i="10"/>
  <c r="J156" i="10"/>
  <c r="AG556" i="10"/>
  <c r="S556" i="10"/>
  <c r="AS556" i="10"/>
  <c r="X556" i="10"/>
  <c r="AQ556" i="10"/>
  <c r="AE556" i="10"/>
  <c r="M156" i="10"/>
  <c r="AR556" i="10"/>
  <c r="N156" i="10"/>
  <c r="AV156" i="10"/>
  <c r="T156" i="10"/>
  <c r="U556" i="10"/>
  <c r="U156" i="10"/>
  <c r="L556" i="10"/>
  <c r="M556" i="10"/>
  <c r="L156" i="10"/>
  <c r="N556" i="10"/>
  <c r="AD556" i="10"/>
  <c r="AH156" i="10"/>
  <c r="Z556" i="10"/>
  <c r="AT156" i="10"/>
  <c r="T556" i="10"/>
  <c r="AE156" i="10"/>
  <c r="AH556" i="10"/>
  <c r="AM556" i="10"/>
  <c r="AL556" i="10"/>
  <c r="AI556" i="10"/>
  <c r="AR156" i="10"/>
  <c r="AA156" i="10"/>
  <c r="AQ156" i="10"/>
  <c r="AO156" i="10"/>
  <c r="AC156" i="10"/>
  <c r="AY156" i="10"/>
  <c r="AX556" i="10"/>
  <c r="AP156" i="10"/>
  <c r="Q156" i="10"/>
  <c r="AC556" i="10"/>
  <c r="Q556" i="10"/>
  <c r="AA556" i="10"/>
  <c r="AB156" i="10"/>
  <c r="AG156" i="10"/>
  <c r="K556" i="10"/>
  <c r="J556" i="10"/>
  <c r="AJ556" i="10"/>
  <c r="AD156" i="10"/>
  <c r="AK156" i="10"/>
  <c r="R156" i="10"/>
  <c r="V156" i="10"/>
  <c r="AN556" i="10"/>
  <c r="AN156" i="10"/>
  <c r="O556" i="10"/>
  <c r="R262" i="26"/>
  <c r="H262" i="6"/>
  <c r="AC262" i="6" s="1"/>
  <c r="AU424" i="10"/>
  <c r="AA424" i="10"/>
  <c r="AO424" i="10"/>
  <c r="AF24" i="10"/>
  <c r="AX24" i="10"/>
  <c r="S424" i="10"/>
  <c r="J24" i="10"/>
  <c r="AW424" i="10"/>
  <c r="AJ24" i="10"/>
  <c r="AR24" i="10"/>
  <c r="Z24" i="10"/>
  <c r="AA24" i="10"/>
  <c r="AB424" i="10"/>
  <c r="K424" i="10"/>
  <c r="AK424" i="10"/>
  <c r="AC24" i="10"/>
  <c r="AT24" i="10"/>
  <c r="N424" i="10"/>
  <c r="AY424" i="10"/>
  <c r="AP24" i="10"/>
  <c r="F87" i="9"/>
  <c r="Z87" i="9" s="1"/>
  <c r="AA87" i="9" s="1"/>
  <c r="AB317" i="10"/>
  <c r="F79" i="9"/>
  <c r="Z79" i="9" s="1"/>
  <c r="AA79" i="9" s="1"/>
  <c r="N173" i="10"/>
  <c r="AG573" i="10"/>
  <c r="AM573" i="10"/>
  <c r="Q573" i="10"/>
  <c r="Y173" i="10"/>
  <c r="AW173" i="10"/>
  <c r="AP173" i="10"/>
  <c r="AT173" i="10"/>
  <c r="P573" i="10"/>
  <c r="P173" i="10"/>
  <c r="BB319" i="10"/>
  <c r="BC319" i="10" s="1"/>
  <c r="AU602" i="10"/>
  <c r="AI202" i="10"/>
  <c r="Z602" i="10"/>
  <c r="P79" i="26"/>
  <c r="AJ156" i="10"/>
  <c r="AO556" i="10"/>
  <c r="AT556" i="10"/>
  <c r="F295" i="10"/>
  <c r="AT695" i="10" s="1"/>
  <c r="W295" i="27"/>
  <c r="E295" i="27" s="1"/>
  <c r="AK556" i="10"/>
  <c r="Z301" i="10"/>
  <c r="AG701" i="10"/>
  <c r="AE701" i="10"/>
  <c r="AF701" i="10"/>
  <c r="Y301" i="10"/>
  <c r="N301" i="10"/>
  <c r="L301" i="10"/>
  <c r="AX301" i="10"/>
  <c r="AD301" i="10"/>
  <c r="P301" i="10"/>
  <c r="AQ701" i="10"/>
  <c r="V301" i="10"/>
  <c r="AW701" i="10"/>
  <c r="AV701" i="10"/>
  <c r="AC701" i="10"/>
  <c r="AX701" i="10"/>
  <c r="AK701" i="10"/>
  <c r="AA701" i="10"/>
  <c r="AO701" i="10"/>
  <c r="AI701" i="10"/>
  <c r="AL521" i="10"/>
  <c r="AH121" i="10"/>
  <c r="Y121" i="10"/>
  <c r="J121" i="10"/>
  <c r="Z121" i="10"/>
  <c r="AL121" i="10"/>
  <c r="AX521" i="10"/>
  <c r="AO521" i="10"/>
  <c r="AQ521" i="10"/>
  <c r="AO121" i="10"/>
  <c r="AG521" i="10"/>
  <c r="U521" i="10"/>
  <c r="AI121" i="10"/>
  <c r="AV521" i="10"/>
  <c r="AF121" i="10"/>
  <c r="AI521" i="10"/>
  <c r="AQ121" i="10"/>
  <c r="AX121" i="10"/>
  <c r="N521" i="10"/>
  <c r="P121" i="10"/>
  <c r="M121" i="10"/>
  <c r="H262" i="9"/>
  <c r="W349" i="27"/>
  <c r="E349" i="27" s="1"/>
  <c r="N349" i="26"/>
  <c r="AY668" i="10"/>
  <c r="T668" i="10"/>
  <c r="X668" i="10"/>
  <c r="AC668" i="10"/>
  <c r="AG668" i="10"/>
  <c r="AA668" i="10"/>
  <c r="P268" i="10"/>
  <c r="AC268" i="10"/>
  <c r="AH268" i="10"/>
  <c r="AK668" i="10"/>
  <c r="AP668" i="10"/>
  <c r="Y668" i="10"/>
  <c r="AM668" i="10"/>
  <c r="Q268" i="10"/>
  <c r="AE268" i="10"/>
  <c r="AS268" i="10"/>
  <c r="AQ668" i="10"/>
  <c r="AR268" i="10"/>
  <c r="AV268" i="10"/>
  <c r="AS668" i="10"/>
  <c r="J668" i="10"/>
  <c r="AN268" i="10"/>
  <c r="AY268" i="10"/>
  <c r="M668" i="10"/>
  <c r="AY487" i="10"/>
  <c r="Y487" i="10"/>
  <c r="AB487" i="10"/>
  <c r="AY87" i="10"/>
  <c r="S487" i="10"/>
  <c r="L87" i="10"/>
  <c r="P487" i="10"/>
  <c r="Z487" i="10"/>
  <c r="AI487" i="10"/>
  <c r="AF87" i="10"/>
  <c r="AJ487" i="10"/>
  <c r="Z87" i="10"/>
  <c r="AO487" i="10"/>
  <c r="AS87" i="10"/>
  <c r="AS487" i="10"/>
  <c r="O87" i="10"/>
  <c r="AH487" i="10"/>
  <c r="AM87" i="10"/>
  <c r="AX487" i="10"/>
  <c r="AV87" i="10"/>
  <c r="AV487" i="10"/>
  <c r="R487" i="10"/>
  <c r="P87" i="10"/>
  <c r="N487" i="10"/>
  <c r="W87" i="10"/>
  <c r="L487" i="10"/>
  <c r="AX87" i="10"/>
  <c r="AG487" i="10"/>
  <c r="AK87" i="10"/>
  <c r="AJ87" i="10"/>
  <c r="AT87" i="10"/>
  <c r="N87" i="10"/>
  <c r="AC87" i="10"/>
  <c r="K87" i="10"/>
  <c r="J87" i="10"/>
  <c r="AH87" i="10"/>
  <c r="AB87" i="10"/>
  <c r="V87" i="10"/>
  <c r="R87" i="10"/>
  <c r="AO87" i="10"/>
  <c r="AU487" i="10"/>
  <c r="I211" i="9"/>
  <c r="I211" i="6"/>
  <c r="F361" i="10"/>
  <c r="P761" i="10" s="1"/>
  <c r="N361" i="26"/>
  <c r="V361" i="27" s="1"/>
  <c r="AA361" i="27" s="1"/>
  <c r="G191" i="9"/>
  <c r="G191" i="6"/>
  <c r="T5" i="10"/>
  <c r="T1595" i="10"/>
  <c r="W1595" i="10"/>
  <c r="W5" i="10"/>
  <c r="U1595" i="10"/>
  <c r="U5" i="10"/>
  <c r="X5" i="10"/>
  <c r="X1595" i="10"/>
  <c r="Z5" i="10"/>
  <c r="Z1595" i="10"/>
  <c r="BE275" i="26"/>
  <c r="H275" i="27"/>
  <c r="AL423" i="26"/>
  <c r="AZ423" i="26"/>
  <c r="BB423" i="26" s="1"/>
  <c r="BA423" i="26" s="1"/>
  <c r="N133" i="10"/>
  <c r="AF533" i="10"/>
  <c r="N5" i="10"/>
  <c r="G285" i="10"/>
  <c r="AU479" i="26"/>
  <c r="AN1595" i="10"/>
  <c r="AN5" i="10"/>
  <c r="AA530" i="10"/>
  <c r="T530" i="10"/>
  <c r="M1593" i="10"/>
  <c r="M1595" i="10" s="1"/>
  <c r="V103" i="10"/>
  <c r="Z103" i="10"/>
  <c r="AL103" i="10"/>
  <c r="AI103" i="10"/>
  <c r="W53" i="27"/>
  <c r="E53" i="27" s="1"/>
  <c r="U542" i="10"/>
  <c r="AT142" i="10"/>
  <c r="T542" i="10"/>
  <c r="AK142" i="10"/>
  <c r="AY423" i="26"/>
  <c r="S423" i="26" s="1"/>
  <c r="AR5" i="10"/>
  <c r="AR1595" i="10"/>
  <c r="K5" i="10"/>
  <c r="K1595" i="10"/>
  <c r="AS1595" i="10"/>
  <c r="AS5" i="10"/>
  <c r="AJ1595" i="10"/>
  <c r="AJ5" i="10"/>
  <c r="AD1595" i="10"/>
  <c r="AD5" i="10"/>
  <c r="AT1593" i="10"/>
  <c r="AK1595" i="10"/>
  <c r="AK5" i="10"/>
  <c r="L5" i="10"/>
  <c r="L1595" i="10"/>
  <c r="AC328" i="6"/>
  <c r="AP133" i="10"/>
  <c r="AH530" i="10"/>
  <c r="AQ503" i="10"/>
  <c r="AM103" i="10"/>
  <c r="J103" i="10"/>
  <c r="AO103" i="10"/>
  <c r="AQ542" i="10"/>
  <c r="AX142" i="10"/>
  <c r="AI542" i="10"/>
  <c r="BF45" i="26"/>
  <c r="F187" i="6"/>
  <c r="Y187" i="27"/>
  <c r="G187" i="27" s="1"/>
  <c r="P187" i="26"/>
  <c r="X187" i="27" s="1"/>
  <c r="AB187" i="27" s="1"/>
  <c r="H75" i="27"/>
  <c r="G352" i="10"/>
  <c r="BD352" i="26"/>
  <c r="BF352" i="26" s="1"/>
  <c r="AG5" i="10"/>
  <c r="AG1595" i="10"/>
  <c r="AM5" i="10"/>
  <c r="AM1595" i="10"/>
  <c r="P378" i="26"/>
  <c r="Y378" i="27"/>
  <c r="G378" i="27" s="1"/>
  <c r="O1595" i="10"/>
  <c r="O5" i="10"/>
  <c r="W162" i="27"/>
  <c r="E162" i="27" s="1"/>
  <c r="F162" i="10"/>
  <c r="AF5" i="10"/>
  <c r="AF1595" i="10"/>
  <c r="Q5" i="10"/>
  <c r="Q1595" i="10"/>
  <c r="AP1595" i="10"/>
  <c r="AP5" i="10"/>
  <c r="AO5" i="10"/>
  <c r="AO1595" i="10"/>
  <c r="AH1595" i="10"/>
  <c r="AH5" i="10"/>
  <c r="AQ5" i="10"/>
  <c r="AQ1595" i="10"/>
  <c r="AL5" i="10"/>
  <c r="AL1595" i="10"/>
  <c r="R5" i="10"/>
  <c r="R1595" i="10"/>
  <c r="P1595" i="10"/>
  <c r="P5" i="10"/>
  <c r="P351" i="26"/>
  <c r="X351" i="27" s="1"/>
  <c r="AB351" i="27" s="1"/>
  <c r="F351" i="9"/>
  <c r="AC1595" i="10"/>
  <c r="AC5" i="10"/>
  <c r="AB5" i="10"/>
  <c r="AB1595" i="10"/>
  <c r="AI1595" i="10"/>
  <c r="AI5" i="10"/>
  <c r="Y1595" i="10"/>
  <c r="Y5" i="10"/>
  <c r="AA1595" i="10"/>
  <c r="AA5" i="10"/>
  <c r="V5" i="10"/>
  <c r="V1595" i="10"/>
  <c r="W124" i="27"/>
  <c r="E124" i="27" s="1"/>
  <c r="N124" i="26"/>
  <c r="Y72" i="27"/>
  <c r="G72" i="27" s="1"/>
  <c r="R317" i="10"/>
  <c r="R717" i="10"/>
  <c r="G317" i="10"/>
  <c r="V317" i="27"/>
  <c r="AA317" i="27" s="1"/>
  <c r="AW233" i="10"/>
  <c r="AE233" i="10"/>
  <c r="AN633" i="10"/>
  <c r="X633" i="10"/>
  <c r="AX633" i="10"/>
  <c r="M233" i="10"/>
  <c r="Z233" i="10"/>
  <c r="L633" i="10"/>
  <c r="AB633" i="10"/>
  <c r="J233" i="10"/>
  <c r="AC633" i="10"/>
  <c r="AA633" i="10"/>
  <c r="AE633" i="10"/>
  <c r="Q633" i="10"/>
  <c r="AW633" i="10"/>
  <c r="AO633" i="10"/>
  <c r="AP233" i="10"/>
  <c r="AP633" i="10"/>
  <c r="AN233" i="10"/>
  <c r="AC233" i="10"/>
  <c r="AD633" i="10"/>
  <c r="J633" i="10"/>
  <c r="W233" i="10"/>
  <c r="AM233" i="10"/>
  <c r="AF633" i="10"/>
  <c r="AH233" i="10"/>
  <c r="R233" i="10"/>
  <c r="Y233" i="10"/>
  <c r="AF233" i="10"/>
  <c r="AQ233" i="10"/>
  <c r="AA233" i="10"/>
  <c r="AH633" i="10"/>
  <c r="AJ633" i="10"/>
  <c r="AR233" i="10"/>
  <c r="AR633" i="10"/>
  <c r="O233" i="10"/>
  <c r="AY233" i="10"/>
  <c r="K633" i="10"/>
  <c r="AX233" i="10"/>
  <c r="AK233" i="10"/>
  <c r="W633" i="10"/>
  <c r="AK633" i="10"/>
  <c r="AG633" i="10"/>
  <c r="S633" i="10"/>
  <c r="AY633" i="10"/>
  <c r="S233" i="10"/>
  <c r="U233" i="10"/>
  <c r="AJ233" i="10"/>
  <c r="K233" i="10"/>
  <c r="AL633" i="10"/>
  <c r="N633" i="10"/>
  <c r="AL233" i="10"/>
  <c r="AU633" i="10"/>
  <c r="T633" i="10"/>
  <c r="AV633" i="10"/>
  <c r="Z633" i="10"/>
  <c r="AV233" i="10"/>
  <c r="V633" i="10"/>
  <c r="L233" i="10"/>
  <c r="P633" i="10"/>
  <c r="O633" i="10"/>
  <c r="AI633" i="10"/>
  <c r="V233" i="10"/>
  <c r="BD108" i="26"/>
  <c r="G108" i="10"/>
  <c r="V108" i="27"/>
  <c r="AA108" i="27" s="1"/>
  <c r="F277" i="27"/>
  <c r="Z277" i="27"/>
  <c r="F372" i="10"/>
  <c r="J372" i="10" s="1"/>
  <c r="N372" i="26"/>
  <c r="W372" i="27"/>
  <c r="E372" i="27" s="1"/>
  <c r="F124" i="10"/>
  <c r="AY524" i="10" s="1"/>
  <c r="P389" i="26"/>
  <c r="X389" i="27" s="1"/>
  <c r="AB389" i="27" s="1"/>
  <c r="F389" i="6"/>
  <c r="Z389" i="6" s="1"/>
  <c r="F389" i="9"/>
  <c r="BA20" i="10"/>
  <c r="BB20" i="10"/>
  <c r="BC20" i="10" s="1"/>
  <c r="G275" i="6"/>
  <c r="G275" i="9"/>
  <c r="F137" i="27"/>
  <c r="F38" i="9"/>
  <c r="Z38" i="9" s="1"/>
  <c r="AA38" i="9" s="1"/>
  <c r="F38" i="6"/>
  <c r="P38" i="26"/>
  <c r="X38" i="27" s="1"/>
  <c r="AB38" i="27" s="1"/>
  <c r="AG317" i="10"/>
  <c r="AW717" i="10"/>
  <c r="AH717" i="10"/>
  <c r="AQ317" i="10"/>
  <c r="AP317" i="10"/>
  <c r="Y717" i="10"/>
  <c r="AF317" i="10"/>
  <c r="L317" i="10"/>
  <c r="AQ717" i="10"/>
  <c r="P717" i="10"/>
  <c r="AX317" i="10"/>
  <c r="AL717" i="10"/>
  <c r="V717" i="10"/>
  <c r="P317" i="10"/>
  <c r="AJ317" i="10"/>
  <c r="AT317" i="10"/>
  <c r="AE717" i="10"/>
  <c r="F72" i="9"/>
  <c r="AV317" i="10"/>
  <c r="BA242" i="10"/>
  <c r="BB242" i="10"/>
  <c r="BC242" i="10" s="1"/>
  <c r="AW352" i="10"/>
  <c r="T752" i="10"/>
  <c r="AL752" i="10"/>
  <c r="Z352" i="10"/>
  <c r="Q201" i="10"/>
  <c r="AX601" i="10"/>
  <c r="AH201" i="10"/>
  <c r="Y275" i="27"/>
  <c r="G275" i="27" s="1"/>
  <c r="F275" i="9"/>
  <c r="F275" i="6"/>
  <c r="F80" i="6"/>
  <c r="Y80" i="27"/>
  <c r="G80" i="27" s="1"/>
  <c r="P80" i="26"/>
  <c r="X80" i="27" s="1"/>
  <c r="AB80" i="27" s="1"/>
  <c r="F80" i="9"/>
  <c r="Z80" i="9" s="1"/>
  <c r="AA80" i="9" s="1"/>
  <c r="F337" i="6"/>
  <c r="Z337" i="6" s="1"/>
  <c r="Y337" i="27"/>
  <c r="G337" i="27" s="1"/>
  <c r="F337" i="9"/>
  <c r="P337" i="26"/>
  <c r="X337" i="27" s="1"/>
  <c r="AB337" i="27" s="1"/>
  <c r="F67" i="27"/>
  <c r="BB149" i="10"/>
  <c r="BC149" i="10" s="1"/>
  <c r="BA149" i="10"/>
  <c r="F98" i="27"/>
  <c r="H80" i="9"/>
  <c r="H80" i="6"/>
  <c r="R80" i="26"/>
  <c r="AI601" i="10"/>
  <c r="W146" i="27"/>
  <c r="E146" i="27" s="1"/>
  <c r="N146" i="26"/>
  <c r="F146" i="10"/>
  <c r="BA98" i="10"/>
  <c r="BB98" i="10"/>
  <c r="BC98" i="10" s="1"/>
  <c r="F243" i="6"/>
  <c r="Z243" i="6" s="1"/>
  <c r="F191" i="9"/>
  <c r="F383" i="9"/>
  <c r="BE191" i="26"/>
  <c r="Y342" i="27"/>
  <c r="G342" i="27" s="1"/>
  <c r="Y321" i="27"/>
  <c r="G321" i="27" s="1"/>
  <c r="Z289" i="27"/>
  <c r="Y243" i="27"/>
  <c r="G243" i="27" s="1"/>
  <c r="Y191" i="27"/>
  <c r="G191" i="27" s="1"/>
  <c r="F383" i="6"/>
  <c r="I295" i="6"/>
  <c r="F321" i="6"/>
  <c r="Z321" i="6" s="1"/>
  <c r="H289" i="27"/>
  <c r="F191" i="6"/>
  <c r="Z191" i="6" s="1"/>
  <c r="P383" i="26"/>
  <c r="W195" i="10"/>
  <c r="AW195" i="10"/>
  <c r="AC595" i="10"/>
  <c r="O195" i="10"/>
  <c r="AT195" i="10"/>
  <c r="AL195" i="10"/>
  <c r="AW602" i="10"/>
  <c r="N202" i="10"/>
  <c r="AP602" i="10"/>
  <c r="V202" i="10"/>
  <c r="AO202" i="10"/>
  <c r="AI602" i="10"/>
  <c r="M202" i="10"/>
  <c r="N602" i="10"/>
  <c r="AD602" i="10"/>
  <c r="J602" i="10"/>
  <c r="S602" i="10"/>
  <c r="AE602" i="10"/>
  <c r="L601" i="10"/>
  <c r="T201" i="10"/>
  <c r="AD601" i="10"/>
  <c r="AK601" i="10"/>
  <c r="AJ201" i="10"/>
  <c r="W601" i="10"/>
  <c r="AL201" i="10"/>
  <c r="AE201" i="10"/>
  <c r="AW201" i="10"/>
  <c r="AT601" i="10"/>
  <c r="AN601" i="10"/>
  <c r="S601" i="10"/>
  <c r="Z601" i="10"/>
  <c r="M201" i="10"/>
  <c r="AS201" i="10"/>
  <c r="P201" i="10"/>
  <c r="O201" i="10"/>
  <c r="Y601" i="10"/>
  <c r="AG601" i="10"/>
  <c r="AJ601" i="10"/>
  <c r="AR201" i="10"/>
  <c r="G148" i="10"/>
  <c r="V148" i="27"/>
  <c r="V319" i="27"/>
  <c r="AA319" i="27" s="1"/>
  <c r="BD319" i="26"/>
  <c r="AC328" i="9"/>
  <c r="BB145" i="10"/>
  <c r="BC145" i="10" s="1"/>
  <c r="BA145" i="10"/>
  <c r="F86" i="9"/>
  <c r="AK130" i="10"/>
  <c r="AK530" i="10"/>
  <c r="N130" i="10"/>
  <c r="AF130" i="10"/>
  <c r="AL130" i="10"/>
  <c r="AA195" i="10"/>
  <c r="AQ595" i="10"/>
  <c r="AB195" i="10"/>
  <c r="N595" i="10"/>
  <c r="X595" i="10"/>
  <c r="AN595" i="10"/>
  <c r="AK195" i="10"/>
  <c r="AN195" i="10"/>
  <c r="AW595" i="10"/>
  <c r="O595" i="10"/>
  <c r="AJ195" i="10"/>
  <c r="AY195" i="10"/>
  <c r="AY595" i="10"/>
  <c r="AO195" i="10"/>
  <c r="AT595" i="10"/>
  <c r="AH479" i="26"/>
  <c r="AP530" i="10"/>
  <c r="V530" i="10"/>
  <c r="M530" i="10"/>
  <c r="AX530" i="10"/>
  <c r="AV530" i="10"/>
  <c r="R195" i="10"/>
  <c r="W595" i="10"/>
  <c r="Y195" i="10"/>
  <c r="AX595" i="10"/>
  <c r="V595" i="10"/>
  <c r="AC195" i="10"/>
  <c r="AD195" i="10"/>
  <c r="T195" i="10"/>
  <c r="K195" i="10"/>
  <c r="AU595" i="10"/>
  <c r="AE595" i="10"/>
  <c r="Z595" i="10"/>
  <c r="AD595" i="10"/>
  <c r="AH195" i="10"/>
  <c r="J595" i="10"/>
  <c r="Q195" i="10"/>
  <c r="V195" i="10"/>
  <c r="P195" i="10"/>
  <c r="AI195" i="10"/>
  <c r="S195" i="10"/>
  <c r="P202" i="10"/>
  <c r="K602" i="10"/>
  <c r="AE202" i="10"/>
  <c r="AT168" i="10"/>
  <c r="F191" i="10"/>
  <c r="AX591" i="10" s="1"/>
  <c r="G319" i="10"/>
  <c r="V201" i="10"/>
  <c r="AB601" i="10"/>
  <c r="AL601" i="10"/>
  <c r="J601" i="10"/>
  <c r="X601" i="10"/>
  <c r="F171" i="9"/>
  <c r="P171" i="26"/>
  <c r="BB278" i="10"/>
  <c r="BC278" i="10" s="1"/>
  <c r="BA278" i="10"/>
  <c r="I37" i="6"/>
  <c r="I37" i="9"/>
  <c r="J301" i="10"/>
  <c r="AR301" i="10"/>
  <c r="AJ301" i="10"/>
  <c r="AT701" i="10"/>
  <c r="AT301" i="10"/>
  <c r="S301" i="10"/>
  <c r="AR701" i="10"/>
  <c r="W701" i="10"/>
  <c r="AL301" i="10"/>
  <c r="Y701" i="10"/>
  <c r="AD701" i="10"/>
  <c r="AH701" i="10"/>
  <c r="AO301" i="10"/>
  <c r="AB301" i="10"/>
  <c r="AW301" i="10"/>
  <c r="W301" i="10"/>
  <c r="AM701" i="10"/>
  <c r="P701" i="10"/>
  <c r="L701" i="10"/>
  <c r="AP701" i="10"/>
  <c r="AF301" i="10"/>
  <c r="K301" i="10"/>
  <c r="AY701" i="10"/>
  <c r="AM301" i="10"/>
  <c r="O301" i="10"/>
  <c r="V701" i="10"/>
  <c r="M701" i="10"/>
  <c r="Q701" i="10"/>
  <c r="O701" i="10"/>
  <c r="X701" i="10"/>
  <c r="AG301" i="10"/>
  <c r="AE301" i="10"/>
  <c r="K701" i="10"/>
  <c r="AV301" i="10"/>
  <c r="AP301" i="10"/>
  <c r="AQ301" i="10"/>
  <c r="AH301" i="10"/>
  <c r="S701" i="10"/>
  <c r="Q301" i="10"/>
  <c r="AN701" i="10"/>
  <c r="X301" i="10"/>
  <c r="AU701" i="10"/>
  <c r="S521" i="10"/>
  <c r="AF521" i="10"/>
  <c r="AC521" i="10"/>
  <c r="AR521" i="10"/>
  <c r="AS521" i="10"/>
  <c r="AM521" i="10"/>
  <c r="AD121" i="10"/>
  <c r="AG121" i="10"/>
  <c r="AM121" i="10"/>
  <c r="K521" i="10"/>
  <c r="V121" i="10"/>
  <c r="R521" i="10"/>
  <c r="AV121" i="10"/>
  <c r="AK121" i="10"/>
  <c r="AE121" i="10"/>
  <c r="S121" i="10"/>
  <c r="AA521" i="10"/>
  <c r="AP121" i="10"/>
  <c r="AN521" i="10"/>
  <c r="AN121" i="10"/>
  <c r="AP521" i="10"/>
  <c r="AY521" i="10"/>
  <c r="U121" i="10"/>
  <c r="N121" i="10"/>
  <c r="AC121" i="10"/>
  <c r="Z521" i="10"/>
  <c r="AU521" i="10"/>
  <c r="AW121" i="10"/>
  <c r="AY121" i="10"/>
  <c r="Q521" i="10"/>
  <c r="M521" i="10"/>
  <c r="X121" i="10"/>
  <c r="AT521" i="10"/>
  <c r="T121" i="10"/>
  <c r="AB521" i="10"/>
  <c r="AA121" i="10"/>
  <c r="K121" i="10"/>
  <c r="X521" i="10"/>
  <c r="W521" i="10"/>
  <c r="L121" i="10"/>
  <c r="AT121" i="10"/>
  <c r="H46" i="27"/>
  <c r="Z46" i="27"/>
  <c r="BB273" i="10"/>
  <c r="BC273" i="10" s="1"/>
  <c r="BA273" i="10"/>
  <c r="AO130" i="10"/>
  <c r="W130" i="10"/>
  <c r="AB530" i="10"/>
  <c r="L130" i="10"/>
  <c r="AP130" i="10"/>
  <c r="K530" i="10"/>
  <c r="N195" i="10"/>
  <c r="AP595" i="10"/>
  <c r="L595" i="10"/>
  <c r="AB595" i="10"/>
  <c r="S595" i="10"/>
  <c r="AS195" i="10"/>
  <c r="U195" i="10"/>
  <c r="M595" i="10"/>
  <c r="AG195" i="10"/>
  <c r="AX195" i="10"/>
  <c r="AL595" i="10"/>
  <c r="AH595" i="10"/>
  <c r="Q595" i="10"/>
  <c r="AS595" i="10"/>
  <c r="Y595" i="10"/>
  <c r="AA595" i="10"/>
  <c r="K595" i="10"/>
  <c r="AG595" i="10"/>
  <c r="Z195" i="10"/>
  <c r="AO595" i="10"/>
  <c r="W110" i="27"/>
  <c r="E110" i="27" s="1"/>
  <c r="AG202" i="10"/>
  <c r="Q602" i="10"/>
  <c r="U202" i="10"/>
  <c r="G94" i="10"/>
  <c r="N198" i="26"/>
  <c r="W198" i="27"/>
  <c r="E198" i="27" s="1"/>
  <c r="W351" i="27"/>
  <c r="E351" i="27" s="1"/>
  <c r="J513" i="10"/>
  <c r="R513" i="10"/>
  <c r="V513" i="10"/>
  <c r="T513" i="10"/>
  <c r="AX113" i="10"/>
  <c r="T113" i="10"/>
  <c r="Q513" i="10"/>
  <c r="AN113" i="10"/>
  <c r="Q113" i="10"/>
  <c r="AT113" i="10"/>
  <c r="AX513" i="10"/>
  <c r="AQ513" i="10"/>
  <c r="AL513" i="10"/>
  <c r="Y113" i="10"/>
  <c r="AS513" i="10"/>
  <c r="AV113" i="10"/>
  <c r="U113" i="10"/>
  <c r="AP113" i="10"/>
  <c r="M513" i="10"/>
  <c r="AH513" i="10"/>
  <c r="S113" i="10"/>
  <c r="V113" i="10"/>
  <c r="X113" i="10"/>
  <c r="AH113" i="10"/>
  <c r="AJ113" i="10"/>
  <c r="AG113" i="10"/>
  <c r="Y513" i="10"/>
  <c r="K513" i="10"/>
  <c r="AL113" i="10"/>
  <c r="AY513" i="10"/>
  <c r="AV513" i="10"/>
  <c r="AA113" i="10"/>
  <c r="AC513" i="10"/>
  <c r="AE113" i="10"/>
  <c r="P513" i="10"/>
  <c r="AY113" i="10"/>
  <c r="AD513" i="10"/>
  <c r="AI113" i="10"/>
  <c r="Z513" i="10"/>
  <c r="AG513" i="10"/>
  <c r="AC113" i="10"/>
  <c r="AQ113" i="10"/>
  <c r="S496" i="10"/>
  <c r="AB496" i="10"/>
  <c r="AX96" i="10"/>
  <c r="M496" i="10"/>
  <c r="AG96" i="10"/>
  <c r="AP96" i="10"/>
  <c r="AV96" i="10"/>
  <c r="AD96" i="10"/>
  <c r="AS96" i="10"/>
  <c r="AL496" i="10"/>
  <c r="Q96" i="10"/>
  <c r="W496" i="10"/>
  <c r="U96" i="10"/>
  <c r="AN496" i="10"/>
  <c r="AH496" i="10"/>
  <c r="AJ96" i="10"/>
  <c r="AK96" i="10"/>
  <c r="P96" i="10"/>
  <c r="AM496" i="10"/>
  <c r="Y96" i="10"/>
  <c r="AN96" i="10"/>
  <c r="R96" i="10"/>
  <c r="T96" i="10"/>
  <c r="AC496" i="10"/>
  <c r="AY496" i="10"/>
  <c r="L496" i="10"/>
  <c r="AG496" i="10"/>
  <c r="AS496" i="10"/>
  <c r="AW96" i="10"/>
  <c r="Y496" i="10"/>
  <c r="AT496" i="10"/>
  <c r="AP496" i="10"/>
  <c r="AF496" i="10"/>
  <c r="AT96" i="10"/>
  <c r="AW496" i="10"/>
  <c r="O96" i="10"/>
  <c r="X96" i="10"/>
  <c r="AI496" i="10"/>
  <c r="AJ496" i="10"/>
  <c r="AE96" i="10"/>
  <c r="W96" i="10"/>
  <c r="AO496" i="10"/>
  <c r="AV601" i="10"/>
  <c r="AM601" i="10"/>
  <c r="AK201" i="10"/>
  <c r="AA601" i="10"/>
  <c r="W322" i="27"/>
  <c r="E322" i="27" s="1"/>
  <c r="N322" i="26"/>
  <c r="G322" i="10" s="1"/>
  <c r="F211" i="6"/>
  <c r="Z211" i="6" s="1"/>
  <c r="F211" i="9"/>
  <c r="P211" i="26"/>
  <c r="BB269" i="10"/>
  <c r="BC269" i="10" s="1"/>
  <c r="V150" i="27"/>
  <c r="AA150" i="27" s="1"/>
  <c r="G150" i="10"/>
  <c r="G121" i="10"/>
  <c r="BD121" i="26"/>
  <c r="V121" i="27"/>
  <c r="AA121" i="27" s="1"/>
  <c r="Y193" i="27"/>
  <c r="G193" i="27" s="1"/>
  <c r="F90" i="6"/>
  <c r="Z90" i="6" s="1"/>
  <c r="I321" i="9"/>
  <c r="F255" i="9"/>
  <c r="AL436" i="26"/>
  <c r="AU436" i="26" s="1"/>
  <c r="F193" i="6"/>
  <c r="Z193" i="6" s="1"/>
  <c r="F260" i="6"/>
  <c r="Z260" i="6" s="1"/>
  <c r="Y90" i="27"/>
  <c r="G90" i="27" s="1"/>
  <c r="P344" i="26"/>
  <c r="X344" i="27" s="1"/>
  <c r="AB344" i="27" s="1"/>
  <c r="AZ436" i="26"/>
  <c r="BB436" i="26" s="1"/>
  <c r="BA436" i="26" s="1"/>
  <c r="F321" i="10"/>
  <c r="V721" i="10" s="1"/>
  <c r="N321" i="26"/>
  <c r="G321" i="10" s="1"/>
  <c r="N182" i="26"/>
  <c r="W182" i="27"/>
  <c r="E182" i="27" s="1"/>
  <c r="M103" i="10"/>
  <c r="AG103" i="10"/>
  <c r="AD503" i="10"/>
  <c r="M503" i="10"/>
  <c r="R103" i="10"/>
  <c r="AY503" i="10"/>
  <c r="AA103" i="10"/>
  <c r="AC103" i="10"/>
  <c r="AS503" i="10"/>
  <c r="P503" i="10"/>
  <c r="AB103" i="10"/>
  <c r="AY103" i="10"/>
  <c r="AV103" i="10"/>
  <c r="AA503" i="10"/>
  <c r="AN503" i="10"/>
  <c r="W321" i="27"/>
  <c r="E321" i="27" s="1"/>
  <c r="W93" i="27"/>
  <c r="E93" i="27" s="1"/>
  <c r="F93" i="10"/>
  <c r="K93" i="10" s="1"/>
  <c r="Z148" i="10"/>
  <c r="AF548" i="10"/>
  <c r="R548" i="10"/>
  <c r="AG148" i="10"/>
  <c r="AR148" i="10"/>
  <c r="L148" i="10"/>
  <c r="AT148" i="10"/>
  <c r="AQ548" i="10"/>
  <c r="W148" i="10"/>
  <c r="R148" i="10"/>
  <c r="AN548" i="10"/>
  <c r="P548" i="10"/>
  <c r="P148" i="10"/>
  <c r="K148" i="10"/>
  <c r="J548" i="10"/>
  <c r="AI148" i="10"/>
  <c r="V165" i="27"/>
  <c r="G165" i="10"/>
  <c r="F389" i="10"/>
  <c r="AY389" i="10" s="1"/>
  <c r="W389" i="27"/>
  <c r="E389" i="27" s="1"/>
  <c r="T103" i="10"/>
  <c r="Y503" i="10"/>
  <c r="N103" i="10"/>
  <c r="L503" i="10"/>
  <c r="K503" i="10"/>
  <c r="AJ103" i="10"/>
  <c r="AF503" i="10"/>
  <c r="S103" i="10"/>
  <c r="AF103" i="10"/>
  <c r="AX103" i="10"/>
  <c r="AC503" i="10"/>
  <c r="J503" i="10"/>
  <c r="AH103" i="10"/>
  <c r="AG503" i="10"/>
  <c r="Q103" i="10"/>
  <c r="F333" i="6"/>
  <c r="Z333" i="6" s="1"/>
  <c r="F333" i="9"/>
  <c r="Z333" i="9" s="1"/>
  <c r="AA333" i="9" s="1"/>
  <c r="Y333" i="27"/>
  <c r="G333" i="27" s="1"/>
  <c r="N36" i="26"/>
  <c r="W36" i="27"/>
  <c r="E36" i="27" s="1"/>
  <c r="F36" i="10"/>
  <c r="F114" i="9"/>
  <c r="Y114" i="27"/>
  <c r="G114" i="27" s="1"/>
  <c r="P114" i="26"/>
  <c r="N60" i="26"/>
  <c r="F60" i="10"/>
  <c r="AT460" i="10" s="1"/>
  <c r="BA76" i="10"/>
  <c r="BB76" i="10"/>
  <c r="BC76" i="10" s="1"/>
  <c r="AR103" i="10"/>
  <c r="W103" i="10"/>
  <c r="K103" i="10"/>
  <c r="AK103" i="10"/>
  <c r="AP103" i="10"/>
  <c r="AD103" i="10"/>
  <c r="AM503" i="10"/>
  <c r="AV503" i="10"/>
  <c r="AW103" i="10"/>
  <c r="AW503" i="10"/>
  <c r="X103" i="10"/>
  <c r="AE503" i="10"/>
  <c r="AJ503" i="10"/>
  <c r="Q503" i="10"/>
  <c r="U103" i="10"/>
  <c r="AT103" i="10"/>
  <c r="AH503" i="10"/>
  <c r="R503" i="10"/>
  <c r="AN103" i="10"/>
  <c r="O103" i="10"/>
  <c r="S503" i="10"/>
  <c r="H333" i="27"/>
  <c r="BE333" i="26"/>
  <c r="BF333" i="26" s="1"/>
  <c r="F344" i="9"/>
  <c r="F344" i="6"/>
  <c r="Z344" i="6" s="1"/>
  <c r="F328" i="9"/>
  <c r="Z328" i="9" s="1"/>
  <c r="AA328" i="9" s="1"/>
  <c r="F328" i="6"/>
  <c r="Z328" i="6" s="1"/>
  <c r="Y328" i="27"/>
  <c r="G328" i="27" s="1"/>
  <c r="P328" i="26"/>
  <c r="X328" i="27" s="1"/>
  <c r="AB328" i="27" s="1"/>
  <c r="BB346" i="10"/>
  <c r="BC346" i="10" s="1"/>
  <c r="BA346" i="10"/>
  <c r="P103" i="10"/>
  <c r="AT503" i="10"/>
  <c r="U503" i="10"/>
  <c r="N503" i="10"/>
  <c r="W503" i="10"/>
  <c r="AL503" i="10"/>
  <c r="AS103" i="10"/>
  <c r="V503" i="10"/>
  <c r="AU503" i="10"/>
  <c r="AX503" i="10"/>
  <c r="AK503" i="10"/>
  <c r="O503" i="10"/>
  <c r="AR503" i="10"/>
  <c r="AQ103" i="10"/>
  <c r="AB503" i="10"/>
  <c r="F182" i="10"/>
  <c r="AY582" i="10" s="1"/>
  <c r="P225" i="26"/>
  <c r="X225" i="27" s="1"/>
  <c r="AB225" i="27" s="1"/>
  <c r="F225" i="9"/>
  <c r="F225" i="6"/>
  <c r="Z225" i="6" s="1"/>
  <c r="F264" i="27"/>
  <c r="BA264" i="10"/>
  <c r="BB264" i="10"/>
  <c r="BC264" i="10" s="1"/>
  <c r="Y320" i="27"/>
  <c r="G320" i="27" s="1"/>
  <c r="F320" i="6"/>
  <c r="Z320" i="6" s="1"/>
  <c r="P320" i="26"/>
  <c r="X320" i="27" s="1"/>
  <c r="AB320" i="27" s="1"/>
  <c r="F320" i="9"/>
  <c r="AC24" i="6"/>
  <c r="W355" i="27"/>
  <c r="E355" i="27" s="1"/>
  <c r="F355" i="10"/>
  <c r="N355" i="26"/>
  <c r="AC24" i="9"/>
  <c r="AM201" i="10"/>
  <c r="Q601" i="10"/>
  <c r="AE601" i="10"/>
  <c r="M601" i="10"/>
  <c r="AR601" i="10"/>
  <c r="AW601" i="10"/>
  <c r="O601" i="10"/>
  <c r="AS601" i="10"/>
  <c r="AC201" i="10"/>
  <c r="K201" i="10"/>
  <c r="N601" i="10"/>
  <c r="J201" i="10"/>
  <c r="R601" i="10"/>
  <c r="AC601" i="10"/>
  <c r="N749" i="10"/>
  <c r="AS749" i="10"/>
  <c r="AJ749" i="10"/>
  <c r="AP349" i="10"/>
  <c r="U749" i="10"/>
  <c r="W349" i="10"/>
  <c r="J349" i="10"/>
  <c r="Q349" i="10"/>
  <c r="M749" i="10"/>
  <c r="J749" i="10"/>
  <c r="M349" i="10"/>
  <c r="AK349" i="10"/>
  <c r="AA349" i="10"/>
  <c r="Y349" i="10"/>
  <c r="O349" i="10"/>
  <c r="AX749" i="10"/>
  <c r="H134" i="9"/>
  <c r="H134" i="6"/>
  <c r="AC376" i="9"/>
  <c r="AU452" i="26"/>
  <c r="P175" i="26"/>
  <c r="X175" i="27" s="1"/>
  <c r="AB175" i="27" s="1"/>
  <c r="F175" i="6"/>
  <c r="Y175" i="27"/>
  <c r="G175" i="27" s="1"/>
  <c r="F175" i="9"/>
  <c r="Z175" i="9" s="1"/>
  <c r="AA175" i="9" s="1"/>
  <c r="BB126" i="10"/>
  <c r="BC126" i="10" s="1"/>
  <c r="N86" i="26"/>
  <c r="BD86" i="26" s="1"/>
  <c r="AR349" i="10"/>
  <c r="N343" i="26"/>
  <c r="G343" i="10" s="1"/>
  <c r="F343" i="10"/>
  <c r="J743" i="10" s="1"/>
  <c r="N217" i="26"/>
  <c r="G217" i="10" s="1"/>
  <c r="F217" i="10"/>
  <c r="F172" i="10"/>
  <c r="AY172" i="10" s="1"/>
  <c r="N172" i="26"/>
  <c r="BD172" i="26" s="1"/>
  <c r="BD25" i="26"/>
  <c r="V25" i="27"/>
  <c r="AA25" i="27" s="1"/>
  <c r="AN349" i="10"/>
  <c r="R134" i="26"/>
  <c r="I134" i="9" s="1"/>
  <c r="G333" i="10"/>
  <c r="V333" i="27"/>
  <c r="AA333" i="27" s="1"/>
  <c r="AM452" i="26"/>
  <c r="AO452" i="26" s="1"/>
  <c r="P202" i="26"/>
  <c r="F202" i="6"/>
  <c r="F202" i="9"/>
  <c r="W152" i="27"/>
  <c r="E152" i="27" s="1"/>
  <c r="F152" i="10"/>
  <c r="S152" i="10" s="1"/>
  <c r="N152" i="26"/>
  <c r="G152" i="10" s="1"/>
  <c r="AW749" i="10"/>
  <c r="AD749" i="10"/>
  <c r="I319" i="6"/>
  <c r="I319" i="9"/>
  <c r="X25" i="10"/>
  <c r="X425" i="10"/>
  <c r="AM425" i="10"/>
  <c r="AC25" i="10"/>
  <c r="Q25" i="10"/>
  <c r="AP425" i="10"/>
  <c r="AW425" i="10"/>
  <c r="Q425" i="10"/>
  <c r="AG25" i="10"/>
  <c r="N25" i="10"/>
  <c r="AJ25" i="10"/>
  <c r="AQ425" i="10"/>
  <c r="Z25" i="10"/>
  <c r="T25" i="10"/>
  <c r="AO25" i="10"/>
  <c r="AN25" i="10"/>
  <c r="Y425" i="10"/>
  <c r="U25" i="10"/>
  <c r="AU425" i="10"/>
  <c r="N425" i="10"/>
  <c r="AC425" i="10"/>
  <c r="W333" i="27"/>
  <c r="E333" i="27" s="1"/>
  <c r="F333" i="10"/>
  <c r="AW333" i="10" s="1"/>
  <c r="AZ413" i="26"/>
  <c r="BB413" i="26" s="1"/>
  <c r="BA413" i="26" s="1"/>
  <c r="AY413" i="26"/>
  <c r="S413" i="26" s="1"/>
  <c r="AL413" i="26"/>
  <c r="AU413" i="26" s="1"/>
  <c r="W303" i="27"/>
  <c r="E303" i="27" s="1"/>
  <c r="N303" i="26"/>
  <c r="F303" i="10"/>
  <c r="F295" i="6"/>
  <c r="F295" i="9"/>
  <c r="Z295" i="9" s="1"/>
  <c r="AA295" i="9" s="1"/>
  <c r="Y295" i="27"/>
  <c r="G295" i="27" s="1"/>
  <c r="P295" i="26"/>
  <c r="X295" i="27" s="1"/>
  <c r="AB295" i="27" s="1"/>
  <c r="W201" i="10"/>
  <c r="Z201" i="10"/>
  <c r="AI201" i="10"/>
  <c r="AT201" i="10"/>
  <c r="U601" i="10"/>
  <c r="L201" i="10"/>
  <c r="S201" i="10"/>
  <c r="AY601" i="10"/>
  <c r="AO601" i="10"/>
  <c r="AF201" i="10"/>
  <c r="T601" i="10"/>
  <c r="AB201" i="10"/>
  <c r="AU601" i="10"/>
  <c r="AF601" i="10"/>
  <c r="AX201" i="10"/>
  <c r="AO201" i="10"/>
  <c r="V601" i="10"/>
  <c r="U201" i="10"/>
  <c r="P377" i="26"/>
  <c r="X377" i="27" s="1"/>
  <c r="AB377" i="27" s="1"/>
  <c r="F377" i="9"/>
  <c r="Z377" i="9" s="1"/>
  <c r="AA377" i="9" s="1"/>
  <c r="F294" i="10"/>
  <c r="W294" i="27"/>
  <c r="E294" i="27" s="1"/>
  <c r="I225" i="9"/>
  <c r="I225" i="6"/>
  <c r="F159" i="27"/>
  <c r="Z159" i="27"/>
  <c r="Z253" i="27"/>
  <c r="F253" i="27"/>
  <c r="F382" i="10"/>
  <c r="N382" i="26"/>
  <c r="W382" i="27"/>
  <c r="E382" i="27" s="1"/>
  <c r="BA159" i="10"/>
  <c r="BB159" i="10"/>
  <c r="BC159" i="10" s="1"/>
  <c r="BA126" i="10"/>
  <c r="BA253" i="10"/>
  <c r="BB253" i="10"/>
  <c r="BC253" i="10" s="1"/>
  <c r="Z367" i="27"/>
  <c r="F367" i="27"/>
  <c r="N294" i="26"/>
  <c r="Z96" i="27"/>
  <c r="F96" i="27"/>
  <c r="R121" i="26"/>
  <c r="H121" i="9"/>
  <c r="AC121" i="9" s="1"/>
  <c r="H121" i="6"/>
  <c r="AC121" i="6" s="1"/>
  <c r="Z312" i="27"/>
  <c r="F312" i="27"/>
  <c r="BA312" i="10"/>
  <c r="BB312" i="10"/>
  <c r="BC312" i="10" s="1"/>
  <c r="BB125" i="10"/>
  <c r="BC125" i="10" s="1"/>
  <c r="BA125" i="10"/>
  <c r="BB393" i="7"/>
  <c r="BC393" i="7" s="1"/>
  <c r="V89" i="27"/>
  <c r="AA89" i="27" s="1"/>
  <c r="F296" i="9"/>
  <c r="AG554" i="10"/>
  <c r="AB554" i="10"/>
  <c r="AN554" i="10"/>
  <c r="AJ554" i="10"/>
  <c r="AS154" i="10"/>
  <c r="P554" i="10"/>
  <c r="AY154" i="10"/>
  <c r="AP154" i="10"/>
  <c r="P154" i="10"/>
  <c r="S554" i="10"/>
  <c r="O154" i="10"/>
  <c r="L154" i="10"/>
  <c r="AT154" i="10"/>
  <c r="AI154" i="10"/>
  <c r="U154" i="10"/>
  <c r="AK154" i="10"/>
  <c r="AL154" i="10"/>
  <c r="AR154" i="10"/>
  <c r="M554" i="10"/>
  <c r="AM154" i="10"/>
  <c r="AN154" i="10"/>
  <c r="BD263" i="26"/>
  <c r="BF263" i="26" s="1"/>
  <c r="BD378" i="26"/>
  <c r="AS548" i="10"/>
  <c r="AR548" i="10"/>
  <c r="AI548" i="10"/>
  <c r="AM148" i="10"/>
  <c r="AD148" i="10"/>
  <c r="AC148" i="10"/>
  <c r="AU548" i="10"/>
  <c r="AH148" i="10"/>
  <c r="Q548" i="10"/>
  <c r="Q148" i="10"/>
  <c r="AN148" i="10"/>
  <c r="U548" i="10"/>
  <c r="AE548" i="10"/>
  <c r="N148" i="10"/>
  <c r="AQ148" i="10"/>
  <c r="T548" i="10"/>
  <c r="O148" i="10"/>
  <c r="AB548" i="10"/>
  <c r="AL548" i="10"/>
  <c r="AC548" i="10"/>
  <c r="AK148" i="10"/>
  <c r="AI717" i="10"/>
  <c r="AU717" i="10"/>
  <c r="S317" i="10"/>
  <c r="W317" i="10"/>
  <c r="N717" i="10"/>
  <c r="AT717" i="10"/>
  <c r="X317" i="10"/>
  <c r="Z317" i="10"/>
  <c r="AY317" i="10"/>
  <c r="U317" i="10"/>
  <c r="M317" i="10"/>
  <c r="AA717" i="10"/>
  <c r="AE317" i="10"/>
  <c r="AP717" i="10"/>
  <c r="AO717" i="10"/>
  <c r="K717" i="10"/>
  <c r="Q717" i="10"/>
  <c r="AR317" i="10"/>
  <c r="W717" i="10"/>
  <c r="AG717" i="10"/>
  <c r="AK717" i="10"/>
  <c r="AM142" i="10"/>
  <c r="S542" i="10"/>
  <c r="AO542" i="10"/>
  <c r="J142" i="10"/>
  <c r="AR142" i="10"/>
  <c r="V542" i="10"/>
  <c r="AG542" i="10"/>
  <c r="P142" i="10"/>
  <c r="R142" i="10"/>
  <c r="X142" i="10"/>
  <c r="AL142" i="10"/>
  <c r="P542" i="10"/>
  <c r="T142" i="10"/>
  <c r="AA542" i="10"/>
  <c r="L542" i="10"/>
  <c r="AY542" i="10"/>
  <c r="AB542" i="10"/>
  <c r="AV142" i="10"/>
  <c r="J542" i="10"/>
  <c r="Y142" i="10"/>
  <c r="AN542" i="10"/>
  <c r="BD94" i="26"/>
  <c r="BF94" i="26" s="1"/>
  <c r="F329" i="10"/>
  <c r="AO729" i="10" s="1"/>
  <c r="F198" i="10"/>
  <c r="M598" i="10" s="1"/>
  <c r="G96" i="10"/>
  <c r="V272" i="27"/>
  <c r="AA272" i="27" s="1"/>
  <c r="N295" i="26"/>
  <c r="F187" i="9"/>
  <c r="Z187" i="9" s="1"/>
  <c r="AA187" i="9" s="1"/>
  <c r="F121" i="6"/>
  <c r="Z121" i="6" s="1"/>
  <c r="F121" i="9"/>
  <c r="Y121" i="27"/>
  <c r="G121" i="27" s="1"/>
  <c r="P121" i="26"/>
  <c r="X121" i="27" s="1"/>
  <c r="AB121" i="27" s="1"/>
  <c r="I344" i="9"/>
  <c r="I344" i="6"/>
  <c r="F101" i="10"/>
  <c r="N101" i="26"/>
  <c r="W101" i="27"/>
  <c r="E101" i="27" s="1"/>
  <c r="H269" i="27"/>
  <c r="Z218" i="27"/>
  <c r="BD89" i="26"/>
  <c r="Z352" i="27"/>
  <c r="AQ154" i="10"/>
  <c r="V554" i="10"/>
  <c r="AT554" i="10"/>
  <c r="AV154" i="10"/>
  <c r="AP554" i="10"/>
  <c r="L554" i="10"/>
  <c r="K554" i="10"/>
  <c r="AF154" i="10"/>
  <c r="AL554" i="10"/>
  <c r="J554" i="10"/>
  <c r="Q554" i="10"/>
  <c r="AW154" i="10"/>
  <c r="AE154" i="10"/>
  <c r="R154" i="10"/>
  <c r="Z154" i="10"/>
  <c r="AH554" i="10"/>
  <c r="AK554" i="10"/>
  <c r="N554" i="10"/>
  <c r="M154" i="10"/>
  <c r="AG154" i="10"/>
  <c r="X154" i="10"/>
  <c r="F212" i="27"/>
  <c r="V378" i="27"/>
  <c r="AA378" i="27" s="1"/>
  <c r="M148" i="10"/>
  <c r="AX148" i="10"/>
  <c r="AV548" i="10"/>
  <c r="J148" i="10"/>
  <c r="AD548" i="10"/>
  <c r="O548" i="10"/>
  <c r="AT548" i="10"/>
  <c r="U148" i="10"/>
  <c r="AV148" i="10"/>
  <c r="M548" i="10"/>
  <c r="AB148" i="10"/>
  <c r="AY548" i="10"/>
  <c r="AY148" i="10"/>
  <c r="V148" i="10"/>
  <c r="X148" i="10"/>
  <c r="L548" i="10"/>
  <c r="AJ148" i="10"/>
  <c r="S548" i="10"/>
  <c r="AW548" i="10"/>
  <c r="AJ548" i="10"/>
  <c r="AL148" i="10"/>
  <c r="AA317" i="10"/>
  <c r="AV717" i="10"/>
  <c r="AS317" i="10"/>
  <c r="V317" i="10"/>
  <c r="N317" i="10"/>
  <c r="S717" i="10"/>
  <c r="O717" i="10"/>
  <c r="AM717" i="10"/>
  <c r="Y317" i="10"/>
  <c r="M717" i="10"/>
  <c r="AN717" i="10"/>
  <c r="AJ717" i="10"/>
  <c r="U717" i="10"/>
  <c r="AM317" i="10"/>
  <c r="X717" i="10"/>
  <c r="K317" i="10"/>
  <c r="AF717" i="10"/>
  <c r="Z717" i="10"/>
  <c r="AC717" i="10"/>
  <c r="L717" i="10"/>
  <c r="J717" i="10"/>
  <c r="AE542" i="10"/>
  <c r="Y542" i="10"/>
  <c r="AW142" i="10"/>
  <c r="AF142" i="10"/>
  <c r="L142" i="10"/>
  <c r="M142" i="10"/>
  <c r="AB142" i="10"/>
  <c r="V142" i="10"/>
  <c r="AI142" i="10"/>
  <c r="AU542" i="10"/>
  <c r="Q542" i="10"/>
  <c r="K142" i="10"/>
  <c r="AE142" i="10"/>
  <c r="Q142" i="10"/>
  <c r="O142" i="10"/>
  <c r="S142" i="10"/>
  <c r="AO142" i="10"/>
  <c r="AV542" i="10"/>
  <c r="AS542" i="10"/>
  <c r="W542" i="10"/>
  <c r="AA142" i="10"/>
  <c r="N329" i="26"/>
  <c r="V329" i="27" s="1"/>
  <c r="AA329" i="27" s="1"/>
  <c r="N186" i="26"/>
  <c r="G186" i="10" s="1"/>
  <c r="F186" i="10"/>
  <c r="AT586" i="10" s="1"/>
  <c r="BD96" i="26"/>
  <c r="BF96" i="26" s="1"/>
  <c r="F171" i="6"/>
  <c r="BD389" i="26"/>
  <c r="Z346" i="27"/>
  <c r="F346" i="27"/>
  <c r="AA554" i="10"/>
  <c r="Q154" i="10"/>
  <c r="AI554" i="10"/>
  <c r="AQ554" i="10"/>
  <c r="AC554" i="10"/>
  <c r="AH154" i="10"/>
  <c r="AR554" i="10"/>
  <c r="AA154" i="10"/>
  <c r="AB154" i="10"/>
  <c r="Z554" i="10"/>
  <c r="AX154" i="10"/>
  <c r="S154" i="10"/>
  <c r="T554" i="10"/>
  <c r="AE554" i="10"/>
  <c r="X554" i="10"/>
  <c r="AW554" i="10"/>
  <c r="Y554" i="10"/>
  <c r="U554" i="10"/>
  <c r="W554" i="10"/>
  <c r="N154" i="10"/>
  <c r="G296" i="9"/>
  <c r="S148" i="10"/>
  <c r="Y148" i="10"/>
  <c r="AA548" i="10"/>
  <c r="Z548" i="10"/>
  <c r="Y548" i="10"/>
  <c r="AA148" i="10"/>
  <c r="AF148" i="10"/>
  <c r="AS148" i="10"/>
  <c r="AG548" i="10"/>
  <c r="K548" i="10"/>
  <c r="AP548" i="10"/>
  <c r="AM548" i="10"/>
  <c r="AO548" i="10"/>
  <c r="AH548" i="10"/>
  <c r="W548" i="10"/>
  <c r="N548" i="10"/>
  <c r="AX548" i="10"/>
  <c r="V548" i="10"/>
  <c r="AO148" i="10"/>
  <c r="AH317" i="10"/>
  <c r="AO317" i="10"/>
  <c r="AB717" i="10"/>
  <c r="AR717" i="10"/>
  <c r="AK317" i="10"/>
  <c r="T317" i="10"/>
  <c r="O317" i="10"/>
  <c r="AD317" i="10"/>
  <c r="T717" i="10"/>
  <c r="Q317" i="10"/>
  <c r="AC317" i="10"/>
  <c r="AY717" i="10"/>
  <c r="AL317" i="10"/>
  <c r="AX717" i="10"/>
  <c r="AI317" i="10"/>
  <c r="AS717" i="10"/>
  <c r="AW317" i="10"/>
  <c r="AN317" i="10"/>
  <c r="AD717" i="10"/>
  <c r="AH542" i="10"/>
  <c r="AG142" i="10"/>
  <c r="AS142" i="10"/>
  <c r="AR542" i="10"/>
  <c r="AH142" i="10"/>
  <c r="U142" i="10"/>
  <c r="AP142" i="10"/>
  <c r="O542" i="10"/>
  <c r="X542" i="10"/>
  <c r="AD542" i="10"/>
  <c r="AL542" i="10"/>
  <c r="AW542" i="10"/>
  <c r="AY142" i="10"/>
  <c r="AP542" i="10"/>
  <c r="M542" i="10"/>
  <c r="AN142" i="10"/>
  <c r="AC542" i="10"/>
  <c r="Z542" i="10"/>
  <c r="R542" i="10"/>
  <c r="Y171" i="27"/>
  <c r="G171" i="27" s="1"/>
  <c r="F377" i="10"/>
  <c r="W377" i="27"/>
  <c r="E377" i="27" s="1"/>
  <c r="N377" i="26"/>
  <c r="Z125" i="27"/>
  <c r="F125" i="27"/>
  <c r="AC176" i="9"/>
  <c r="N373" i="26"/>
  <c r="F373" i="10"/>
  <c r="W373" i="27"/>
  <c r="E373" i="27" s="1"/>
  <c r="F176" i="9"/>
  <c r="F176" i="6"/>
  <c r="Y176" i="27"/>
  <c r="G176" i="27" s="1"/>
  <c r="P176" i="26"/>
  <c r="X176" i="27" s="1"/>
  <c r="AB176" i="27" s="1"/>
  <c r="P88" i="26"/>
  <c r="X88" i="27" s="1"/>
  <c r="AB88" i="27" s="1"/>
  <c r="F88" i="6"/>
  <c r="Y88" i="27"/>
  <c r="G88" i="27" s="1"/>
  <c r="F88" i="9"/>
  <c r="Z88" i="9" s="1"/>
  <c r="AA88" i="9" s="1"/>
  <c r="AD201" i="10"/>
  <c r="AQ201" i="10"/>
  <c r="AH601" i="10"/>
  <c r="AP201" i="10"/>
  <c r="Y201" i="10"/>
  <c r="AP601" i="10"/>
  <c r="AG201" i="10"/>
  <c r="R201" i="10"/>
  <c r="AY201" i="10"/>
  <c r="AQ601" i="10"/>
  <c r="AV201" i="10"/>
  <c r="H88" i="6"/>
  <c r="AC88" i="6" s="1"/>
  <c r="H88" i="9"/>
  <c r="R88" i="26"/>
  <c r="AZ393" i="7"/>
  <c r="BA393" i="7" s="1"/>
  <c r="P37" i="26"/>
  <c r="X37" i="27" s="1"/>
  <c r="AB37" i="27" s="1"/>
  <c r="F37" i="6"/>
  <c r="F37" i="9"/>
  <c r="Z37" i="9" s="1"/>
  <c r="AA37" i="9" s="1"/>
  <c r="Y37" i="27"/>
  <c r="G37" i="27" s="1"/>
  <c r="F39" i="10"/>
  <c r="W39" i="27"/>
  <c r="E39" i="27" s="1"/>
  <c r="N39" i="26"/>
  <c r="Y296" i="27"/>
  <c r="G296" i="27" s="1"/>
  <c r="G296" i="6"/>
  <c r="Y292" i="27"/>
  <c r="G292" i="27" s="1"/>
  <c r="F296" i="6"/>
  <c r="Z296" i="6" s="1"/>
  <c r="H296" i="27"/>
  <c r="P86" i="26"/>
  <c r="BD192" i="26"/>
  <c r="F26" i="6"/>
  <c r="Z26" i="6" s="1"/>
  <c r="N350" i="26"/>
  <c r="G350" i="10" s="1"/>
  <c r="AC361" i="6"/>
  <c r="X568" i="10"/>
  <c r="AT568" i="10"/>
  <c r="T568" i="10"/>
  <c r="AV568" i="10"/>
  <c r="AL568" i="10"/>
  <c r="AK168" i="10"/>
  <c r="AM168" i="10"/>
  <c r="AM568" i="10"/>
  <c r="P168" i="10"/>
  <c r="R568" i="10"/>
  <c r="Z168" i="10"/>
  <c r="T168" i="10"/>
  <c r="AG168" i="10"/>
  <c r="AS568" i="10"/>
  <c r="V168" i="10"/>
  <c r="O168" i="10"/>
  <c r="BD211" i="26"/>
  <c r="G211" i="10"/>
  <c r="Y140" i="27"/>
  <c r="G140" i="27" s="1"/>
  <c r="F140" i="9"/>
  <c r="F140" i="6"/>
  <c r="Z140" i="6" s="1"/>
  <c r="W350" i="27"/>
  <c r="E350" i="27" s="1"/>
  <c r="J168" i="10"/>
  <c r="AQ168" i="10"/>
  <c r="P140" i="26"/>
  <c r="AY202" i="10"/>
  <c r="AB202" i="10"/>
  <c r="AV602" i="10"/>
  <c r="AT202" i="10"/>
  <c r="AK602" i="10"/>
  <c r="Z202" i="10"/>
  <c r="AF602" i="10"/>
  <c r="AX602" i="10"/>
  <c r="AM602" i="10"/>
  <c r="AY602" i="10"/>
  <c r="AH602" i="10"/>
  <c r="AC202" i="10"/>
  <c r="AQ602" i="10"/>
  <c r="AS202" i="10"/>
  <c r="AJ202" i="10"/>
  <c r="AK202" i="10"/>
  <c r="AD202" i="10"/>
  <c r="AC602" i="10"/>
  <c r="AS602" i="10"/>
  <c r="AB602" i="10"/>
  <c r="Q202" i="10"/>
  <c r="AJ602" i="10"/>
  <c r="AX202" i="10"/>
  <c r="Y602" i="10"/>
  <c r="T602" i="10"/>
  <c r="O202" i="10"/>
  <c r="P602" i="10"/>
  <c r="AG602" i="10"/>
  <c r="R202" i="10"/>
  <c r="AM202" i="10"/>
  <c r="AR202" i="10"/>
  <c r="AA602" i="10"/>
  <c r="AV202" i="10"/>
  <c r="T202" i="10"/>
  <c r="W202" i="10"/>
  <c r="AP202" i="10"/>
  <c r="AT602" i="10"/>
  <c r="Y202" i="10"/>
  <c r="R602" i="10"/>
  <c r="AF202" i="10"/>
  <c r="M602" i="10"/>
  <c r="AA202" i="10"/>
  <c r="J202" i="10"/>
  <c r="AN202" i="10"/>
  <c r="AL202" i="10"/>
  <c r="AH202" i="10"/>
  <c r="L202" i="10"/>
  <c r="AN602" i="10"/>
  <c r="X202" i="10"/>
  <c r="AL602" i="10"/>
  <c r="W602" i="10"/>
  <c r="U602" i="10"/>
  <c r="X602" i="10"/>
  <c r="V602" i="10"/>
  <c r="L602" i="10"/>
  <c r="AO602" i="10"/>
  <c r="AQ202" i="10"/>
  <c r="K202" i="10"/>
  <c r="S202" i="10"/>
  <c r="AC382" i="6"/>
  <c r="Y134" i="27"/>
  <c r="G134" i="27" s="1"/>
  <c r="F134" i="6"/>
  <c r="Z134" i="6" s="1"/>
  <c r="P134" i="26"/>
  <c r="X134" i="27" s="1"/>
  <c r="AB134" i="27" s="1"/>
  <c r="F134" i="9"/>
  <c r="BA257" i="10"/>
  <c r="G168" i="10"/>
  <c r="V168" i="27"/>
  <c r="AA168" i="27" s="1"/>
  <c r="Y86" i="27"/>
  <c r="G86" i="27" s="1"/>
  <c r="F26" i="9"/>
  <c r="AB168" i="10"/>
  <c r="AH168" i="10"/>
  <c r="W77" i="27"/>
  <c r="E77" i="27" s="1"/>
  <c r="N77" i="26"/>
  <c r="G77" i="10" s="1"/>
  <c r="R386" i="26"/>
  <c r="I386" i="9" s="1"/>
  <c r="W235" i="27"/>
  <c r="E235" i="27" s="1"/>
  <c r="V85" i="27"/>
  <c r="AA85" i="27" s="1"/>
  <c r="G85" i="10"/>
  <c r="BD85" i="26"/>
  <c r="Y255" i="27"/>
  <c r="G255" i="27" s="1"/>
  <c r="G342" i="6"/>
  <c r="BE342" i="26"/>
  <c r="F342" i="6"/>
  <c r="Z342" i="6" s="1"/>
  <c r="F255" i="6"/>
  <c r="Z255" i="6" s="1"/>
  <c r="G342" i="9"/>
  <c r="P184" i="26"/>
  <c r="X184" i="27" s="1"/>
  <c r="AB184" i="27" s="1"/>
  <c r="F184" i="6"/>
  <c r="Z184" i="6" s="1"/>
  <c r="F342" i="9"/>
  <c r="F384" i="6"/>
  <c r="F384" i="9"/>
  <c r="Z384" i="9" s="1"/>
  <c r="AA384" i="9" s="1"/>
  <c r="Y384" i="27"/>
  <c r="G384" i="27" s="1"/>
  <c r="AC35" i="6"/>
  <c r="AC357" i="9"/>
  <c r="I382" i="6"/>
  <c r="I382" i="9"/>
  <c r="F286" i="10"/>
  <c r="W286" i="27"/>
  <c r="E286" i="27" s="1"/>
  <c r="N286" i="26"/>
  <c r="F115" i="6"/>
  <c r="F115" i="9"/>
  <c r="Z115" i="9" s="1"/>
  <c r="AA115" i="9" s="1"/>
  <c r="Y115" i="27"/>
  <c r="G115" i="27" s="1"/>
  <c r="P115" i="26"/>
  <c r="X115" i="27" s="1"/>
  <c r="AB115" i="27" s="1"/>
  <c r="AC305" i="9"/>
  <c r="O784" i="10"/>
  <c r="AN784" i="10"/>
  <c r="M784" i="10"/>
  <c r="AH784" i="10"/>
  <c r="AU784" i="10"/>
  <c r="V784" i="10"/>
  <c r="AX784" i="10"/>
  <c r="Z784" i="10"/>
  <c r="W784" i="10"/>
  <c r="L384" i="10"/>
  <c r="AV384" i="10"/>
  <c r="AO784" i="10"/>
  <c r="W384" i="10"/>
  <c r="L784" i="10"/>
  <c r="Q384" i="10"/>
  <c r="T384" i="10"/>
  <c r="AO384" i="10"/>
  <c r="AQ784" i="10"/>
  <c r="AB384" i="10"/>
  <c r="AD784" i="10"/>
  <c r="AM784" i="10"/>
  <c r="N384" i="10"/>
  <c r="AV784" i="10"/>
  <c r="AI784" i="10"/>
  <c r="AJ784" i="10"/>
  <c r="AE384" i="10"/>
  <c r="U784" i="10"/>
  <c r="R384" i="10"/>
  <c r="AE784" i="10"/>
  <c r="AY384" i="10"/>
  <c r="AR784" i="10"/>
  <c r="AP384" i="10"/>
  <c r="AD384" i="10"/>
  <c r="AL384" i="10"/>
  <c r="AN384" i="10"/>
  <c r="U384" i="10"/>
  <c r="AA784" i="10"/>
  <c r="AT384" i="10"/>
  <c r="AF384" i="10"/>
  <c r="O384" i="10"/>
  <c r="AR384" i="10"/>
  <c r="AK384" i="10"/>
  <c r="AH384" i="10"/>
  <c r="S784" i="10"/>
  <c r="Z384" i="10"/>
  <c r="AT784" i="10"/>
  <c r="K784" i="10"/>
  <c r="V384" i="10"/>
  <c r="AK784" i="10"/>
  <c r="N784" i="10"/>
  <c r="AI384" i="10"/>
  <c r="Y384" i="10"/>
  <c r="AW384" i="10"/>
  <c r="AY784" i="10"/>
  <c r="AC784" i="10"/>
  <c r="AJ384" i="10"/>
  <c r="M384" i="10"/>
  <c r="P384" i="10"/>
  <c r="AX384" i="10"/>
  <c r="X384" i="10"/>
  <c r="AG384" i="10"/>
  <c r="AM384" i="10"/>
  <c r="Q784" i="10"/>
  <c r="K384" i="10"/>
  <c r="X784" i="10"/>
  <c r="AB784" i="10"/>
  <c r="AS784" i="10"/>
  <c r="AL784" i="10"/>
  <c r="AQ384" i="10"/>
  <c r="S384" i="10"/>
  <c r="T784" i="10"/>
  <c r="Y784" i="10"/>
  <c r="AP784" i="10"/>
  <c r="AA384" i="10"/>
  <c r="AG784" i="10"/>
  <c r="AC384" i="10"/>
  <c r="J784" i="10"/>
  <c r="AF784" i="10"/>
  <c r="J384" i="10"/>
  <c r="AS384" i="10"/>
  <c r="R784" i="10"/>
  <c r="AW784" i="10"/>
  <c r="P784" i="10"/>
  <c r="N357" i="26"/>
  <c r="F357" i="10"/>
  <c r="W357" i="27"/>
  <c r="E357" i="27" s="1"/>
  <c r="I361" i="6"/>
  <c r="I361" i="9"/>
  <c r="V133" i="27"/>
  <c r="P260" i="26"/>
  <c r="AT130" i="10"/>
  <c r="AE130" i="10"/>
  <c r="O130" i="10"/>
  <c r="X130" i="10"/>
  <c r="Q530" i="10"/>
  <c r="T130" i="10"/>
  <c r="V130" i="10"/>
  <c r="R130" i="10"/>
  <c r="P130" i="10"/>
  <c r="AT530" i="10"/>
  <c r="AW130" i="10"/>
  <c r="AO530" i="10"/>
  <c r="AY530" i="10"/>
  <c r="S530" i="10"/>
  <c r="K130" i="10"/>
  <c r="AW530" i="10"/>
  <c r="AJ130" i="10"/>
  <c r="AG130" i="10"/>
  <c r="X530" i="10"/>
  <c r="AR530" i="10"/>
  <c r="AC530" i="10"/>
  <c r="W259" i="27"/>
  <c r="E259" i="27" s="1"/>
  <c r="BD165" i="26"/>
  <c r="F233" i="9"/>
  <c r="Z233" i="9" s="1"/>
  <c r="AA233" i="9" s="1"/>
  <c r="Z568" i="10"/>
  <c r="AH568" i="10"/>
  <c r="X168" i="10"/>
  <c r="M168" i="10"/>
  <c r="U168" i="10"/>
  <c r="K168" i="10"/>
  <c r="AY168" i="10"/>
  <c r="N168" i="10"/>
  <c r="AI568" i="10"/>
  <c r="AP168" i="10"/>
  <c r="AC168" i="10"/>
  <c r="AR168" i="10"/>
  <c r="S568" i="10"/>
  <c r="AO568" i="10"/>
  <c r="AP568" i="10"/>
  <c r="AD168" i="10"/>
  <c r="AU568" i="10"/>
  <c r="J568" i="10"/>
  <c r="AV168" i="10"/>
  <c r="L168" i="10"/>
  <c r="K568" i="10"/>
  <c r="F378" i="9"/>
  <c r="Z378" i="9" s="1"/>
  <c r="AA378" i="9" s="1"/>
  <c r="F319" i="6"/>
  <c r="P319" i="26"/>
  <c r="X319" i="27" s="1"/>
  <c r="AB319" i="27" s="1"/>
  <c r="F319" i="9"/>
  <c r="Y319" i="27"/>
  <c r="G319" i="27" s="1"/>
  <c r="Z178" i="6"/>
  <c r="F357" i="6"/>
  <c r="F357" i="9"/>
  <c r="Z357" i="9" s="1"/>
  <c r="AA357" i="9" s="1"/>
  <c r="Y357" i="27"/>
  <c r="G357" i="27" s="1"/>
  <c r="P357" i="26"/>
  <c r="X357" i="27" s="1"/>
  <c r="AB357" i="27" s="1"/>
  <c r="F34" i="10"/>
  <c r="W34" i="27"/>
  <c r="E34" i="27" s="1"/>
  <c r="N34" i="26"/>
  <c r="AC35" i="9"/>
  <c r="AC30" i="6"/>
  <c r="H115" i="6"/>
  <c r="H115" i="9"/>
  <c r="R115" i="26"/>
  <c r="G54" i="10"/>
  <c r="V54" i="27"/>
  <c r="AA54" i="27" s="1"/>
  <c r="BD54" i="26"/>
  <c r="BA119" i="10"/>
  <c r="W204" i="27"/>
  <c r="E204" i="27" s="1"/>
  <c r="F204" i="10"/>
  <c r="N204" i="26"/>
  <c r="Y63" i="27"/>
  <c r="G63" i="27" s="1"/>
  <c r="F63" i="6"/>
  <c r="F63" i="9"/>
  <c r="Z63" i="9" s="1"/>
  <c r="AA63" i="9" s="1"/>
  <c r="P63" i="26"/>
  <c r="X63" i="27" s="1"/>
  <c r="AB63" i="27" s="1"/>
  <c r="AC309" i="9"/>
  <c r="G133" i="10"/>
  <c r="F82" i="10"/>
  <c r="AY482" i="10" s="1"/>
  <c r="Y260" i="27"/>
  <c r="G260" i="27" s="1"/>
  <c r="O530" i="10"/>
  <c r="P530" i="10"/>
  <c r="AF530" i="10"/>
  <c r="AD130" i="10"/>
  <c r="AS130" i="10"/>
  <c r="AD530" i="10"/>
  <c r="J130" i="10"/>
  <c r="M130" i="10"/>
  <c r="AC130" i="10"/>
  <c r="S130" i="10"/>
  <c r="AM130" i="10"/>
  <c r="AQ130" i="10"/>
  <c r="AX130" i="10"/>
  <c r="W530" i="10"/>
  <c r="L530" i="10"/>
  <c r="U130" i="10"/>
  <c r="J530" i="10"/>
  <c r="AN130" i="10"/>
  <c r="AG530" i="10"/>
  <c r="AB130" i="10"/>
  <c r="Y530" i="10"/>
  <c r="F233" i="6"/>
  <c r="Z233" i="6" s="1"/>
  <c r="L568" i="10"/>
  <c r="AE568" i="10"/>
  <c r="AO168" i="10"/>
  <c r="AX568" i="10"/>
  <c r="Y168" i="10"/>
  <c r="W568" i="10"/>
  <c r="AW168" i="10"/>
  <c r="Q568" i="10"/>
  <c r="AI168" i="10"/>
  <c r="AY568" i="10"/>
  <c r="AE168" i="10"/>
  <c r="V568" i="10"/>
  <c r="M568" i="10"/>
  <c r="AJ568" i="10"/>
  <c r="U568" i="10"/>
  <c r="AA568" i="10"/>
  <c r="AW568" i="10"/>
  <c r="AL168" i="10"/>
  <c r="R168" i="10"/>
  <c r="P568" i="10"/>
  <c r="W172" i="27"/>
  <c r="E172" i="27" s="1"/>
  <c r="F378" i="6"/>
  <c r="Z378" i="6" s="1"/>
  <c r="I230" i="6"/>
  <c r="I230" i="9"/>
  <c r="AG178" i="9"/>
  <c r="AC146" i="6"/>
  <c r="AC319" i="9"/>
  <c r="AC382" i="9"/>
  <c r="P386" i="26"/>
  <c r="X386" i="27" s="1"/>
  <c r="AB386" i="27" s="1"/>
  <c r="F386" i="9"/>
  <c r="Z386" i="9" s="1"/>
  <c r="AA386" i="9" s="1"/>
  <c r="Y386" i="27"/>
  <c r="G386" i="27" s="1"/>
  <c r="F386" i="6"/>
  <c r="I30" i="9"/>
  <c r="I30" i="6"/>
  <c r="I305" i="9"/>
  <c r="I305" i="6"/>
  <c r="BB119" i="10"/>
  <c r="BC119" i="10" s="1"/>
  <c r="I384" i="9"/>
  <c r="I384" i="6"/>
  <c r="AJ530" i="10"/>
  <c r="AH130" i="10"/>
  <c r="AQ530" i="10"/>
  <c r="AE530" i="10"/>
  <c r="Z130" i="10"/>
  <c r="AY130" i="10"/>
  <c r="AM530" i="10"/>
  <c r="AA130" i="10"/>
  <c r="AR130" i="10"/>
  <c r="U530" i="10"/>
  <c r="AV130" i="10"/>
  <c r="Y130" i="10"/>
  <c r="Q130" i="10"/>
  <c r="AL530" i="10"/>
  <c r="N530" i="10"/>
  <c r="AN530" i="10"/>
  <c r="AS530" i="10"/>
  <c r="AI130" i="10"/>
  <c r="AU530" i="10"/>
  <c r="I78" i="9"/>
  <c r="BB257" i="10"/>
  <c r="BC257" i="10" s="1"/>
  <c r="Y233" i="27"/>
  <c r="G233" i="27" s="1"/>
  <c r="S168" i="10"/>
  <c r="AR568" i="10"/>
  <c r="AK568" i="10"/>
  <c r="AD568" i="10"/>
  <c r="AC568" i="10"/>
  <c r="AN568" i="10"/>
  <c r="AF168" i="10"/>
  <c r="Y568" i="10"/>
  <c r="W168" i="10"/>
  <c r="AS168" i="10"/>
  <c r="Q168" i="10"/>
  <c r="N568" i="10"/>
  <c r="AX168" i="10"/>
  <c r="AN168" i="10"/>
  <c r="O568" i="10"/>
  <c r="AB568" i="10"/>
  <c r="AJ168" i="10"/>
  <c r="AG568" i="10"/>
  <c r="AA168" i="10"/>
  <c r="AQ568" i="10"/>
  <c r="AC230" i="6"/>
  <c r="Z119" i="27"/>
  <c r="F119" i="27"/>
  <c r="F300" i="6"/>
  <c r="P300" i="26"/>
  <c r="X300" i="27" s="1"/>
  <c r="AB300" i="27" s="1"/>
  <c r="Y300" i="27"/>
  <c r="G300" i="27" s="1"/>
  <c r="F300" i="9"/>
  <c r="Z300" i="9" s="1"/>
  <c r="AA300" i="9" s="1"/>
  <c r="AC319" i="6"/>
  <c r="H386" i="6"/>
  <c r="H386" i="9"/>
  <c r="AC30" i="9"/>
  <c r="AC305" i="6"/>
  <c r="F166" i="10"/>
  <c r="W166" i="27"/>
  <c r="E166" i="27" s="1"/>
  <c r="N166" i="26"/>
  <c r="P384" i="26"/>
  <c r="X384" i="27" s="1"/>
  <c r="AB384" i="27" s="1"/>
  <c r="V384" i="27"/>
  <c r="AA384" i="27" s="1"/>
  <c r="G384" i="10"/>
  <c r="BD384" i="26"/>
  <c r="AG146" i="9"/>
  <c r="AL454" i="10"/>
  <c r="AW454" i="10"/>
  <c r="J54" i="10"/>
  <c r="AX54" i="10"/>
  <c r="AH54" i="10"/>
  <c r="P454" i="10"/>
  <c r="Z54" i="10"/>
  <c r="V54" i="10"/>
  <c r="AF454" i="10"/>
  <c r="S54" i="10"/>
  <c r="Y454" i="10"/>
  <c r="AN454" i="10"/>
  <c r="AW54" i="10"/>
  <c r="W454" i="10"/>
  <c r="AT54" i="10"/>
  <c r="O54" i="10"/>
  <c r="AS54" i="10"/>
  <c r="AY454" i="10"/>
  <c r="Z454" i="10"/>
  <c r="AS454" i="10"/>
  <c r="AK54" i="10"/>
  <c r="AO54" i="10"/>
  <c r="T54" i="10"/>
  <c r="R454" i="10"/>
  <c r="AM454" i="10"/>
  <c r="P54" i="10"/>
  <c r="L454" i="10"/>
  <c r="Y54" i="10"/>
  <c r="U454" i="10"/>
  <c r="AY54" i="10"/>
  <c r="AR54" i="10"/>
  <c r="AU454" i="10"/>
  <c r="AA454" i="10"/>
  <c r="O454" i="10"/>
  <c r="AI54" i="10"/>
  <c r="AA54" i="10"/>
  <c r="V454" i="10"/>
  <c r="K54" i="10"/>
  <c r="AV54" i="10"/>
  <c r="AP54" i="10"/>
  <c r="AQ454" i="10"/>
  <c r="AG54" i="10"/>
  <c r="AV454" i="10"/>
  <c r="AO454" i="10"/>
  <c r="AX454" i="10"/>
  <c r="N54" i="10"/>
  <c r="AP454" i="10"/>
  <c r="AD454" i="10"/>
  <c r="AM54" i="10"/>
  <c r="X54" i="10"/>
  <c r="L54" i="10"/>
  <c r="W54" i="10"/>
  <c r="AE54" i="10"/>
  <c r="AJ454" i="10"/>
  <c r="X454" i="10"/>
  <c r="AE454" i="10"/>
  <c r="M454" i="10"/>
  <c r="R54" i="10"/>
  <c r="AG454" i="10"/>
  <c r="AC454" i="10"/>
  <c r="AT454" i="10"/>
  <c r="AK454" i="10"/>
  <c r="AJ54" i="10"/>
  <c r="AH454" i="10"/>
  <c r="AF54" i="10"/>
  <c r="AB454" i="10"/>
  <c r="AN54" i="10"/>
  <c r="AI454" i="10"/>
  <c r="J454" i="10"/>
  <c r="AD54" i="10"/>
  <c r="AB54" i="10"/>
  <c r="S454" i="10"/>
  <c r="AQ54" i="10"/>
  <c r="AR454" i="10"/>
  <c r="Q54" i="10"/>
  <c r="M54" i="10"/>
  <c r="Q454" i="10"/>
  <c r="T454" i="10"/>
  <c r="AC54" i="10"/>
  <c r="K454" i="10"/>
  <c r="AL54" i="10"/>
  <c r="N454" i="10"/>
  <c r="U54" i="10"/>
  <c r="AC187" i="9"/>
  <c r="F68" i="9"/>
  <c r="Z68" i="9" s="1"/>
  <c r="AA68" i="9" s="1"/>
  <c r="F240" i="9"/>
  <c r="H311" i="27"/>
  <c r="F73" i="9"/>
  <c r="G333" i="6"/>
  <c r="Z256" i="27"/>
  <c r="G333" i="9"/>
  <c r="H261" i="27"/>
  <c r="Z45" i="27"/>
  <c r="F287" i="9"/>
  <c r="H316" i="27"/>
  <c r="Z302" i="27"/>
  <c r="H94" i="27"/>
  <c r="H373" i="27"/>
  <c r="Y356" i="27"/>
  <c r="G356" i="27" s="1"/>
  <c r="P240" i="26"/>
  <c r="Y111" i="27"/>
  <c r="G111" i="27" s="1"/>
  <c r="F248" i="9"/>
  <c r="AG94" i="9"/>
  <c r="BE53" i="26"/>
  <c r="G53" i="9"/>
  <c r="G53" i="6"/>
  <c r="Z144" i="27"/>
  <c r="P327" i="26"/>
  <c r="AZ456" i="26"/>
  <c r="BB456" i="26" s="1"/>
  <c r="BA456" i="26" s="1"/>
  <c r="AU441" i="26"/>
  <c r="AU461" i="26"/>
  <c r="Q461" i="26" s="1"/>
  <c r="AU431" i="26"/>
  <c r="AU529" i="26"/>
  <c r="AH535" i="26"/>
  <c r="BF456" i="26"/>
  <c r="AG456" i="26"/>
  <c r="AU456" i="26" s="1"/>
  <c r="AJ453" i="26"/>
  <c r="AH453" i="26"/>
  <c r="AZ522" i="26"/>
  <c r="BB522" i="26" s="1"/>
  <c r="BA522" i="26" s="1"/>
  <c r="AM432" i="26"/>
  <c r="AO432" i="26" s="1"/>
  <c r="AU471" i="26"/>
  <c r="AZ450" i="26"/>
  <c r="BB450" i="26" s="1"/>
  <c r="BA450" i="26" s="1"/>
  <c r="AM515" i="26"/>
  <c r="AO515" i="26" s="1"/>
  <c r="AM521" i="26"/>
  <c r="AO521" i="26" s="1"/>
  <c r="AU448" i="26"/>
  <c r="AM412" i="26"/>
  <c r="AM503" i="26"/>
  <c r="AO503" i="26" s="1"/>
  <c r="AL497" i="26"/>
  <c r="AU446" i="26"/>
  <c r="AU426" i="26"/>
  <c r="AM531" i="26"/>
  <c r="AY497" i="26"/>
  <c r="S497" i="26" s="1"/>
  <c r="AJ475" i="26"/>
  <c r="AJ448" i="26"/>
  <c r="AH475" i="26"/>
  <c r="Z360" i="27"/>
  <c r="F128" i="6"/>
  <c r="Z128" i="6" s="1"/>
  <c r="AL522" i="26"/>
  <c r="AZ534" i="26"/>
  <c r="BB534" i="26" s="1"/>
  <c r="BA534" i="26" s="1"/>
  <c r="AJ446" i="26"/>
  <c r="AM420" i="26"/>
  <c r="AO420" i="26" s="1"/>
  <c r="AG534" i="26"/>
  <c r="AH534" i="26" s="1"/>
  <c r="AM419" i="26"/>
  <c r="AU419" i="26"/>
  <c r="AP430" i="26"/>
  <c r="AV430" i="26" s="1"/>
  <c r="AL438" i="26"/>
  <c r="AU438" i="26" s="1"/>
  <c r="P287" i="26"/>
  <c r="P356" i="26"/>
  <c r="F356" i="9"/>
  <c r="AU531" i="26"/>
  <c r="Q531" i="26" s="1"/>
  <c r="F487" i="9" s="1"/>
  <c r="F287" i="6"/>
  <c r="Z287" i="6" s="1"/>
  <c r="F290" i="6"/>
  <c r="Z290" i="6" s="1"/>
  <c r="AG450" i="26"/>
  <c r="AU512" i="26"/>
  <c r="H481" i="6"/>
  <c r="AC481" i="6" s="1"/>
  <c r="AD481" i="6" s="1"/>
  <c r="AJ535" i="26"/>
  <c r="AL493" i="26"/>
  <c r="AZ493" i="26"/>
  <c r="BB493" i="26" s="1"/>
  <c r="BA493" i="26" s="1"/>
  <c r="AM505" i="26"/>
  <c r="AO505" i="26" s="1"/>
  <c r="AY534" i="26"/>
  <c r="S534" i="26" s="1"/>
  <c r="AG424" i="26"/>
  <c r="AJ424" i="26" s="1"/>
  <c r="AU533" i="26"/>
  <c r="AL417" i="26"/>
  <c r="AM435" i="26"/>
  <c r="AO435" i="26" s="1"/>
  <c r="AY417" i="26"/>
  <c r="AY438" i="26"/>
  <c r="S438" i="26" s="1"/>
  <c r="AU526" i="26"/>
  <c r="AJ455" i="26"/>
  <c r="AH466" i="26"/>
  <c r="AZ424" i="26"/>
  <c r="BB424" i="26" s="1"/>
  <c r="BA424" i="26" s="1"/>
  <c r="BF424" i="26"/>
  <c r="AM462" i="26"/>
  <c r="AO462" i="26" s="1"/>
  <c r="AM509" i="26"/>
  <c r="AO509" i="26" s="1"/>
  <c r="AN509" i="26" s="1"/>
  <c r="BF509" i="26" s="1"/>
  <c r="AH455" i="26"/>
  <c r="AG464" i="26"/>
  <c r="AU464" i="26" s="1"/>
  <c r="AH458" i="26"/>
  <c r="Y112" i="27"/>
  <c r="G112" i="27" s="1"/>
  <c r="F248" i="6"/>
  <c r="Z248" i="6" s="1"/>
  <c r="F162" i="6"/>
  <c r="Z162" i="6" s="1"/>
  <c r="F162" i="9"/>
  <c r="Z162" i="9" s="1"/>
  <c r="AA162" i="9" s="1"/>
  <c r="BB432" i="26"/>
  <c r="BA432" i="26" s="1"/>
  <c r="R432" i="26" s="1"/>
  <c r="I427" i="6" s="1"/>
  <c r="Z132" i="27"/>
  <c r="AG481" i="26"/>
  <c r="AU481" i="26" s="1"/>
  <c r="Y248" i="27"/>
  <c r="G248" i="27" s="1"/>
  <c r="Y162" i="27"/>
  <c r="G162" i="27" s="1"/>
  <c r="N120" i="26"/>
  <c r="W120" i="27"/>
  <c r="E120" i="27" s="1"/>
  <c r="P354" i="26"/>
  <c r="X354" i="27" s="1"/>
  <c r="AB354" i="27" s="1"/>
  <c r="Y354" i="27"/>
  <c r="G354" i="27" s="1"/>
  <c r="F354" i="6"/>
  <c r="Z354" i="6" s="1"/>
  <c r="N330" i="26"/>
  <c r="W330" i="27"/>
  <c r="E330" i="27" s="1"/>
  <c r="F330" i="10"/>
  <c r="AH730" i="10" s="1"/>
  <c r="G369" i="10"/>
  <c r="V369" i="27"/>
  <c r="AA369" i="27" s="1"/>
  <c r="BA12" i="10"/>
  <c r="F112" i="10"/>
  <c r="N112" i="26"/>
  <c r="W112" i="27"/>
  <c r="E112" i="27" s="1"/>
  <c r="W138" i="27"/>
  <c r="E138" i="27" s="1"/>
  <c r="N138" i="26"/>
  <c r="V138" i="27" s="1"/>
  <c r="AA138" i="27" s="1"/>
  <c r="AI533" i="10"/>
  <c r="U533" i="10"/>
  <c r="U133" i="10"/>
  <c r="AW133" i="10"/>
  <c r="O533" i="10"/>
  <c r="AI133" i="10"/>
  <c r="X533" i="10"/>
  <c r="Z133" i="10"/>
  <c r="AS533" i="10"/>
  <c r="AJ533" i="10"/>
  <c r="AV533" i="10"/>
  <c r="AX533" i="10"/>
  <c r="G233" i="6"/>
  <c r="G233" i="9"/>
  <c r="N193" i="26"/>
  <c r="V193" i="27" s="1"/>
  <c r="AA193" i="27" s="1"/>
  <c r="F193" i="10"/>
  <c r="AH593" i="10" s="1"/>
  <c r="P259" i="26"/>
  <c r="F259" i="6"/>
  <c r="Z259" i="6" s="1"/>
  <c r="Y138" i="27"/>
  <c r="G138" i="27" s="1"/>
  <c r="P138" i="26"/>
  <c r="F138" i="9"/>
  <c r="AU451" i="26"/>
  <c r="AM451" i="26"/>
  <c r="AO451" i="26" s="1"/>
  <c r="I349" i="9"/>
  <c r="I349" i="6"/>
  <c r="AW349" i="10"/>
  <c r="Z749" i="10"/>
  <c r="AF349" i="10"/>
  <c r="AM349" i="10"/>
  <c r="K749" i="10"/>
  <c r="AY349" i="10"/>
  <c r="AS349" i="10"/>
  <c r="K349" i="10"/>
  <c r="Q749" i="10"/>
  <c r="V749" i="10"/>
  <c r="W749" i="10"/>
  <c r="AN749" i="10"/>
  <c r="AV749" i="10"/>
  <c r="AI749" i="10"/>
  <c r="AC349" i="10"/>
  <c r="AC749" i="10"/>
  <c r="AB749" i="10"/>
  <c r="AQ749" i="10"/>
  <c r="AV349" i="10"/>
  <c r="AQ349" i="10"/>
  <c r="AO349" i="10"/>
  <c r="Z349" i="10"/>
  <c r="Y749" i="10"/>
  <c r="AT749" i="10"/>
  <c r="R749" i="10"/>
  <c r="AK749" i="10"/>
  <c r="X349" i="10"/>
  <c r="AH349" i="10"/>
  <c r="AX349" i="10"/>
  <c r="AG749" i="10"/>
  <c r="AU749" i="10"/>
  <c r="X749" i="10"/>
  <c r="AY749" i="10"/>
  <c r="U349" i="10"/>
  <c r="AG349" i="10"/>
  <c r="AP749" i="10"/>
  <c r="AH749" i="10"/>
  <c r="S749" i="10"/>
  <c r="AD349" i="10"/>
  <c r="AM749" i="10"/>
  <c r="AJ349" i="10"/>
  <c r="AL749" i="10"/>
  <c r="AA749" i="10"/>
  <c r="AI349" i="10"/>
  <c r="AR749" i="10"/>
  <c r="O749" i="10"/>
  <c r="AO749" i="10"/>
  <c r="AE349" i="10"/>
  <c r="T349" i="10"/>
  <c r="L749" i="10"/>
  <c r="P749" i="10"/>
  <c r="R349" i="10"/>
  <c r="AT349" i="10"/>
  <c r="AF749" i="10"/>
  <c r="T749" i="10"/>
  <c r="AB349" i="10"/>
  <c r="N349" i="10"/>
  <c r="P349" i="10"/>
  <c r="V349" i="10"/>
  <c r="AE749" i="10"/>
  <c r="AL349" i="10"/>
  <c r="S349" i="10"/>
  <c r="AC342" i="6"/>
  <c r="Y362" i="27"/>
  <c r="G362" i="27" s="1"/>
  <c r="F362" i="6"/>
  <c r="Z362" i="6" s="1"/>
  <c r="P362" i="26"/>
  <c r="X362" i="27" s="1"/>
  <c r="AB362" i="27" s="1"/>
  <c r="AJ491" i="26"/>
  <c r="AH491" i="26"/>
  <c r="Y28" i="27"/>
  <c r="G28" i="27" s="1"/>
  <c r="P28" i="26"/>
  <c r="AY464" i="26"/>
  <c r="S464" i="26" s="1"/>
  <c r="AZ464" i="26"/>
  <c r="BB464" i="26" s="1"/>
  <c r="BA464" i="26" s="1"/>
  <c r="BF464" i="26"/>
  <c r="R17" i="26"/>
  <c r="AL538" i="26"/>
  <c r="AM538" i="26" s="1"/>
  <c r="AO538" i="26" s="1"/>
  <c r="AL537" i="26"/>
  <c r="AS537" i="26" s="1"/>
  <c r="AL439" i="26"/>
  <c r="AG422" i="26"/>
  <c r="AL507" i="26"/>
  <c r="AL496" i="26"/>
  <c r="AG492" i="26"/>
  <c r="AJ492" i="26" s="1"/>
  <c r="AU458" i="26"/>
  <c r="F240" i="6"/>
  <c r="Z240" i="6" s="1"/>
  <c r="P111" i="26"/>
  <c r="X111" i="27" s="1"/>
  <c r="AB111" i="27" s="1"/>
  <c r="Y128" i="27"/>
  <c r="G128" i="27" s="1"/>
  <c r="Y327" i="27"/>
  <c r="G327" i="27" s="1"/>
  <c r="P107" i="26"/>
  <c r="F210" i="9"/>
  <c r="Y107" i="27"/>
  <c r="G107" i="27" s="1"/>
  <c r="BE233" i="26"/>
  <c r="F111" i="6"/>
  <c r="F128" i="9"/>
  <c r="F327" i="9"/>
  <c r="AL445" i="26"/>
  <c r="F210" i="6"/>
  <c r="AA210" i="6" s="1"/>
  <c r="F107" i="9"/>
  <c r="R340" i="26"/>
  <c r="I340" i="9" s="1"/>
  <c r="Y210" i="27"/>
  <c r="G210" i="27" s="1"/>
  <c r="AG485" i="26"/>
  <c r="AG473" i="26"/>
  <c r="G183" i="6"/>
  <c r="G49" i="9"/>
  <c r="H49" i="27"/>
  <c r="AU514" i="26"/>
  <c r="AM514" i="26"/>
  <c r="AO514" i="26" s="1"/>
  <c r="Q133" i="10"/>
  <c r="T533" i="10"/>
  <c r="M533" i="10"/>
  <c r="Y533" i="10"/>
  <c r="AD533" i="10"/>
  <c r="X133" i="10"/>
  <c r="AA133" i="10"/>
  <c r="L533" i="10"/>
  <c r="AD133" i="10"/>
  <c r="AY533" i="10"/>
  <c r="K133" i="10"/>
  <c r="T133" i="10"/>
  <c r="AG533" i="10"/>
  <c r="AP533" i="10"/>
  <c r="K533" i="10"/>
  <c r="AE133" i="10"/>
  <c r="AH133" i="10"/>
  <c r="AR533" i="10"/>
  <c r="AH533" i="10"/>
  <c r="AB133" i="10"/>
  <c r="W133" i="10"/>
  <c r="W82" i="27"/>
  <c r="E82" i="27" s="1"/>
  <c r="P68" i="26"/>
  <c r="X68" i="27" s="1"/>
  <c r="AB68" i="27" s="1"/>
  <c r="F112" i="9"/>
  <c r="BB12" i="10"/>
  <c r="BC12" i="10" s="1"/>
  <c r="N91" i="26"/>
  <c r="AZ481" i="26"/>
  <c r="BB481" i="26" s="1"/>
  <c r="BA481" i="26" s="1"/>
  <c r="BD317" i="26"/>
  <c r="BF317" i="26" s="1"/>
  <c r="W343" i="27"/>
  <c r="E343" i="27" s="1"/>
  <c r="AZ537" i="26"/>
  <c r="BB537" i="26" s="1"/>
  <c r="BA537" i="26" s="1"/>
  <c r="AY537" i="26"/>
  <c r="S537" i="26" s="1"/>
  <c r="BB196" i="10"/>
  <c r="BC196" i="10" s="1"/>
  <c r="BA196" i="10"/>
  <c r="AG459" i="26"/>
  <c r="AZ429" i="26"/>
  <c r="BB429" i="26" s="1"/>
  <c r="BA429" i="26" s="1"/>
  <c r="AY429" i="26"/>
  <c r="S429" i="26" s="1"/>
  <c r="P42" i="26"/>
  <c r="X42" i="27" s="1"/>
  <c r="AB42" i="27" s="1"/>
  <c r="F42" i="6"/>
  <c r="Y42" i="27"/>
  <c r="G42" i="27" s="1"/>
  <c r="F42" i="9"/>
  <c r="Z42" i="9" s="1"/>
  <c r="AA42" i="9" s="1"/>
  <c r="AG488" i="26"/>
  <c r="AY488" i="26"/>
  <c r="S488" i="26" s="1"/>
  <c r="BF488" i="26"/>
  <c r="AZ488" i="26"/>
  <c r="AC43" i="9"/>
  <c r="H369" i="6"/>
  <c r="H369" i="9"/>
  <c r="R369" i="26"/>
  <c r="G61" i="10"/>
  <c r="BD61" i="26"/>
  <c r="V61" i="27"/>
  <c r="AA61" i="27" s="1"/>
  <c r="R133" i="10"/>
  <c r="O133" i="10"/>
  <c r="AQ133" i="10"/>
  <c r="AS133" i="10"/>
  <c r="AL533" i="10"/>
  <c r="W533" i="10"/>
  <c r="S533" i="10"/>
  <c r="AJ133" i="10"/>
  <c r="AO533" i="10"/>
  <c r="AQ533" i="10"/>
  <c r="J533" i="10"/>
  <c r="AB533" i="10"/>
  <c r="V133" i="10"/>
  <c r="AE533" i="10"/>
  <c r="M133" i="10"/>
  <c r="AM523" i="26"/>
  <c r="AO523" i="26" s="1"/>
  <c r="AU434" i="26"/>
  <c r="AM133" i="10"/>
  <c r="P133" i="10"/>
  <c r="AW533" i="10"/>
  <c r="AK533" i="10"/>
  <c r="AG133" i="10"/>
  <c r="AA533" i="10"/>
  <c r="AK133" i="10"/>
  <c r="AN133" i="10"/>
  <c r="AL133" i="10"/>
  <c r="AR133" i="10"/>
  <c r="AV133" i="10"/>
  <c r="AN533" i="10"/>
  <c r="N533" i="10"/>
  <c r="P533" i="10"/>
  <c r="S133" i="10"/>
  <c r="AU533" i="10"/>
  <c r="AM533" i="10"/>
  <c r="AO133" i="10"/>
  <c r="V533" i="10"/>
  <c r="Q533" i="10"/>
  <c r="AX133" i="10"/>
  <c r="AJ466" i="26"/>
  <c r="Y68" i="27"/>
  <c r="G68" i="27" s="1"/>
  <c r="P112" i="26"/>
  <c r="F91" i="10"/>
  <c r="AV91" i="10" s="1"/>
  <c r="AL527" i="26"/>
  <c r="BF481" i="26"/>
  <c r="N235" i="26"/>
  <c r="BD235" i="26" s="1"/>
  <c r="BF235" i="26" s="1"/>
  <c r="AZ496" i="26"/>
  <c r="BB496" i="26" s="1"/>
  <c r="BA496" i="26" s="1"/>
  <c r="AY496" i="26"/>
  <c r="S496" i="26" s="1"/>
  <c r="W42" i="27"/>
  <c r="E42" i="27" s="1"/>
  <c r="N42" i="26"/>
  <c r="F42" i="10"/>
  <c r="AY422" i="26"/>
  <c r="S422" i="26" s="1"/>
  <c r="AZ422" i="26"/>
  <c r="BB422" i="26" s="1"/>
  <c r="BA422" i="26" s="1"/>
  <c r="G162" i="6"/>
  <c r="BE162" i="26"/>
  <c r="F196" i="27"/>
  <c r="Z196" i="27"/>
  <c r="BB16" i="10"/>
  <c r="BA16" i="10"/>
  <c r="W369" i="27"/>
  <c r="E369" i="27" s="1"/>
  <c r="F369" i="10"/>
  <c r="AY473" i="26"/>
  <c r="S473" i="26" s="1"/>
  <c r="AZ473" i="26"/>
  <c r="BB473" i="26" s="1"/>
  <c r="BA473" i="26" s="1"/>
  <c r="BF473" i="26"/>
  <c r="AL501" i="26"/>
  <c r="AZ492" i="26"/>
  <c r="BB492" i="26" s="1"/>
  <c r="BA492" i="26" s="1"/>
  <c r="BF492" i="26"/>
  <c r="AY492" i="26"/>
  <c r="S492" i="26" s="1"/>
  <c r="AZ507" i="26"/>
  <c r="BB507" i="26" s="1"/>
  <c r="BA507" i="26" s="1"/>
  <c r="AY507" i="26"/>
  <c r="S507" i="26" s="1"/>
  <c r="I184" i="6"/>
  <c r="I184" i="9"/>
  <c r="AL429" i="26"/>
  <c r="AC133" i="6"/>
  <c r="V184" i="27"/>
  <c r="AA184" i="27" s="1"/>
  <c r="BD184" i="26"/>
  <c r="G184" i="10"/>
  <c r="AC175" i="9"/>
  <c r="H142" i="9"/>
  <c r="R142" i="26"/>
  <c r="H142" i="6"/>
  <c r="F61" i="9"/>
  <c r="F61" i="6"/>
  <c r="Z61" i="6" s="1"/>
  <c r="P61" i="26"/>
  <c r="X61" i="27" s="1"/>
  <c r="AB61" i="27" s="1"/>
  <c r="Y61" i="27"/>
  <c r="G61" i="27" s="1"/>
  <c r="AY468" i="26"/>
  <c r="S468" i="26" s="1"/>
  <c r="AZ468" i="26"/>
  <c r="BB468" i="26" s="1"/>
  <c r="BA468" i="26" s="1"/>
  <c r="BF468" i="26"/>
  <c r="AZ443" i="26"/>
  <c r="BB443" i="26" s="1"/>
  <c r="BA443" i="26" s="1"/>
  <c r="AY443" i="26"/>
  <c r="S443" i="26" s="1"/>
  <c r="AC184" i="9"/>
  <c r="AT133" i="10"/>
  <c r="AC133" i="10"/>
  <c r="AC533" i="10"/>
  <c r="Y133" i="10"/>
  <c r="L133" i="10"/>
  <c r="Y95" i="27"/>
  <c r="G95" i="27" s="1"/>
  <c r="V291" i="27"/>
  <c r="AA291" i="27" s="1"/>
  <c r="W217" i="27"/>
  <c r="E217" i="27" s="1"/>
  <c r="AL510" i="26"/>
  <c r="W29" i="27"/>
  <c r="E29" i="27" s="1"/>
  <c r="N29" i="26"/>
  <c r="F29" i="10"/>
  <c r="AC175" i="6"/>
  <c r="AZ459" i="26"/>
  <c r="BB459" i="26" s="1"/>
  <c r="BA459" i="26" s="1"/>
  <c r="BF459" i="26"/>
  <c r="AY459" i="26"/>
  <c r="S459" i="26" s="1"/>
  <c r="F43" i="6"/>
  <c r="Z43" i="6" s="1"/>
  <c r="Y43" i="27"/>
  <c r="G43" i="27" s="1"/>
  <c r="P43" i="26"/>
  <c r="X43" i="27" s="1"/>
  <c r="AB43" i="27" s="1"/>
  <c r="F43" i="9"/>
  <c r="Z43" i="9" s="1"/>
  <c r="AA43" i="9" s="1"/>
  <c r="AM449" i="26"/>
  <c r="AO449" i="26" s="1"/>
  <c r="AU449" i="26"/>
  <c r="AG306" i="9"/>
  <c r="AU508" i="26"/>
  <c r="AM508" i="26"/>
  <c r="AO508" i="26" s="1"/>
  <c r="F133" i="6"/>
  <c r="Z133" i="6" s="1"/>
  <c r="Y133" i="27"/>
  <c r="G133" i="27" s="1"/>
  <c r="F133" i="9"/>
  <c r="P133" i="26"/>
  <c r="X133" i="27" s="1"/>
  <c r="AB133" i="27" s="1"/>
  <c r="H66" i="27"/>
  <c r="AY501" i="26"/>
  <c r="S501" i="26" s="1"/>
  <c r="AZ501" i="26"/>
  <c r="BB501" i="26" s="1"/>
  <c r="BA501" i="26" s="1"/>
  <c r="AG468" i="26"/>
  <c r="AQ468" i="26" s="1"/>
  <c r="AL443" i="26"/>
  <c r="AS443" i="26" s="1"/>
  <c r="G58" i="10"/>
  <c r="V58" i="27"/>
  <c r="AA58" i="27" s="1"/>
  <c r="BD58" i="26"/>
  <c r="H97" i="27"/>
  <c r="Z97" i="27"/>
  <c r="AM415" i="26"/>
  <c r="AO415" i="26" s="1"/>
  <c r="AU415" i="26"/>
  <c r="AH457" i="26"/>
  <c r="G183" i="9"/>
  <c r="G49" i="6"/>
  <c r="F95" i="6"/>
  <c r="Z95" i="6" s="1"/>
  <c r="N110" i="26"/>
  <c r="V110" i="27" s="1"/>
  <c r="AA110" i="27" s="1"/>
  <c r="G291" i="10"/>
  <c r="F259" i="9"/>
  <c r="R161" i="26"/>
  <c r="I161" i="9" s="1"/>
  <c r="AH162" i="9"/>
  <c r="H127" i="6"/>
  <c r="H127" i="9"/>
  <c r="R127" i="26"/>
  <c r="AM444" i="26"/>
  <c r="AU444" i="26"/>
  <c r="F323" i="27"/>
  <c r="AC291" i="6"/>
  <c r="H345" i="27"/>
  <c r="W358" i="27"/>
  <c r="E358" i="27" s="1"/>
  <c r="F358" i="10"/>
  <c r="N358" i="26"/>
  <c r="F49" i="9"/>
  <c r="Z49" i="9" s="1"/>
  <c r="AA49" i="9" s="1"/>
  <c r="F49" i="6"/>
  <c r="Y49" i="27"/>
  <c r="G49" i="27" s="1"/>
  <c r="I329" i="6"/>
  <c r="I329" i="9"/>
  <c r="F94" i="27"/>
  <c r="Z94" i="27"/>
  <c r="G359" i="10"/>
  <c r="V359" i="27"/>
  <c r="AA359" i="27" s="1"/>
  <c r="BD359" i="26"/>
  <c r="BF359" i="26" s="1"/>
  <c r="Z145" i="27"/>
  <c r="H145" i="27"/>
  <c r="BB58" i="10"/>
  <c r="BC58" i="10" s="1"/>
  <c r="BA58" i="10"/>
  <c r="AC135" i="9"/>
  <c r="Z332" i="27"/>
  <c r="H332" i="27"/>
  <c r="F334" i="6"/>
  <c r="F334" i="9"/>
  <c r="Z334" i="9" s="1"/>
  <c r="AA334" i="9" s="1"/>
  <c r="Y334" i="27"/>
  <c r="G334" i="27" s="1"/>
  <c r="P334" i="26"/>
  <c r="X334" i="27" s="1"/>
  <c r="AB334" i="27" s="1"/>
  <c r="AC22" i="6"/>
  <c r="AC197" i="9"/>
  <c r="H340" i="9"/>
  <c r="H340" i="6"/>
  <c r="I103" i="9"/>
  <c r="I103" i="6"/>
  <c r="AC245" i="9"/>
  <c r="AG474" i="26"/>
  <c r="H358" i="6"/>
  <c r="H358" i="9"/>
  <c r="R358" i="26"/>
  <c r="P135" i="26"/>
  <c r="X135" i="27" s="1"/>
  <c r="AB135" i="27" s="1"/>
  <c r="Y135" i="27"/>
  <c r="G135" i="27" s="1"/>
  <c r="F135" i="6"/>
  <c r="F135" i="9"/>
  <c r="Z135" i="9" s="1"/>
  <c r="AA135" i="9" s="1"/>
  <c r="V162" i="27"/>
  <c r="AA162" i="27" s="1"/>
  <c r="BD162" i="26"/>
  <c r="G162" i="10"/>
  <c r="AZ510" i="26"/>
  <c r="AY510" i="26"/>
  <c r="S510" i="26" s="1"/>
  <c r="W107" i="27"/>
  <c r="E107" i="27" s="1"/>
  <c r="F107" i="10"/>
  <c r="N107" i="26"/>
  <c r="AC334" i="6"/>
  <c r="F22" i="6"/>
  <c r="Y22" i="27"/>
  <c r="G22" i="27" s="1"/>
  <c r="P22" i="26"/>
  <c r="X22" i="27" s="1"/>
  <c r="AB22" i="27" s="1"/>
  <c r="F22" i="9"/>
  <c r="Z22" i="9" s="1"/>
  <c r="AA22" i="9" s="1"/>
  <c r="F326" i="6"/>
  <c r="F326" i="9"/>
  <c r="Z326" i="9" s="1"/>
  <c r="AA326" i="9" s="1"/>
  <c r="P326" i="26"/>
  <c r="X326" i="27" s="1"/>
  <c r="AB326" i="27" s="1"/>
  <c r="Y326" i="27"/>
  <c r="G326" i="27" s="1"/>
  <c r="V75" i="27"/>
  <c r="AA75" i="27" s="1"/>
  <c r="BD75" i="26"/>
  <c r="BF75" i="26" s="1"/>
  <c r="G75" i="10"/>
  <c r="Y48" i="27"/>
  <c r="G48" i="27" s="1"/>
  <c r="F48" i="6"/>
  <c r="P48" i="26"/>
  <c r="X48" i="27" s="1"/>
  <c r="AB48" i="27" s="1"/>
  <c r="F48" i="9"/>
  <c r="Z48" i="9" s="1"/>
  <c r="AA48" i="9" s="1"/>
  <c r="H49" i="6"/>
  <c r="H49" i="9"/>
  <c r="AC223" i="9"/>
  <c r="AY474" i="26"/>
  <c r="S474" i="26" s="1"/>
  <c r="AZ474" i="26"/>
  <c r="BB474" i="26" s="1"/>
  <c r="BA474" i="26" s="1"/>
  <c r="BF474" i="26"/>
  <c r="Y103" i="27"/>
  <c r="G103" i="27" s="1"/>
  <c r="F103" i="6"/>
  <c r="F103" i="9"/>
  <c r="Z103" i="9" s="1"/>
  <c r="AA103" i="9" s="1"/>
  <c r="P103" i="26"/>
  <c r="X103" i="27" s="1"/>
  <c r="AB103" i="27" s="1"/>
  <c r="F224" i="10"/>
  <c r="W224" i="27"/>
  <c r="E224" i="27" s="1"/>
  <c r="N224" i="26"/>
  <c r="H326" i="6"/>
  <c r="R326" i="26"/>
  <c r="H326" i="9"/>
  <c r="I224" i="9"/>
  <c r="I224" i="6"/>
  <c r="BE183" i="26"/>
  <c r="BE49" i="26"/>
  <c r="I77" i="9"/>
  <c r="P95" i="26"/>
  <c r="N93" i="26"/>
  <c r="G93" i="10" s="1"/>
  <c r="Z76" i="27"/>
  <c r="Z299" i="27"/>
  <c r="Y259" i="27"/>
  <c r="G259" i="27" s="1"/>
  <c r="F138" i="6"/>
  <c r="Z138" i="6" s="1"/>
  <c r="W135" i="27"/>
  <c r="E135" i="27" s="1"/>
  <c r="N135" i="26"/>
  <c r="F135" i="10"/>
  <c r="AC162" i="6"/>
  <c r="Z273" i="27"/>
  <c r="H273" i="27"/>
  <c r="AC107" i="9"/>
  <c r="H379" i="6"/>
  <c r="AD379" i="6" s="1"/>
  <c r="R379" i="26"/>
  <c r="H379" i="9"/>
  <c r="H48" i="6"/>
  <c r="R48" i="26"/>
  <c r="H48" i="9"/>
  <c r="AC291" i="9"/>
  <c r="AG354" i="9"/>
  <c r="F340" i="27"/>
  <c r="Y23" i="27"/>
  <c r="G23" i="27" s="1"/>
  <c r="P23" i="26"/>
  <c r="X23" i="27" s="1"/>
  <c r="AB23" i="27" s="1"/>
  <c r="F23" i="9"/>
  <c r="Z23" i="9" s="1"/>
  <c r="AA23" i="9" s="1"/>
  <c r="F23" i="6"/>
  <c r="BF465" i="26"/>
  <c r="AY465" i="26"/>
  <c r="S465" i="26" s="1"/>
  <c r="AZ465" i="26"/>
  <c r="BB465" i="26" s="1"/>
  <c r="BA465" i="26" s="1"/>
  <c r="R49" i="26"/>
  <c r="P59" i="26"/>
  <c r="X59" i="27" s="1"/>
  <c r="AB59" i="27" s="1"/>
  <c r="F59" i="9"/>
  <c r="Z59" i="9" s="1"/>
  <c r="AA59" i="9" s="1"/>
  <c r="Y59" i="27"/>
  <c r="G59" i="27" s="1"/>
  <c r="F59" i="6"/>
  <c r="Z20" i="27"/>
  <c r="H20" i="27"/>
  <c r="I22" i="9"/>
  <c r="I22" i="6"/>
  <c r="H139" i="9"/>
  <c r="H139" i="6"/>
  <c r="R139" i="26"/>
  <c r="AF322" i="10"/>
  <c r="W722" i="10"/>
  <c r="X322" i="10"/>
  <c r="M722" i="10"/>
  <c r="AB322" i="10"/>
  <c r="AL722" i="10"/>
  <c r="AN722" i="10"/>
  <c r="AM322" i="10"/>
  <c r="AP322" i="10"/>
  <c r="AP722" i="10"/>
  <c r="AC322" i="10"/>
  <c r="AK722" i="10"/>
  <c r="AE722" i="10"/>
  <c r="AN322" i="10"/>
  <c r="V722" i="10"/>
  <c r="AD322" i="10"/>
  <c r="AW722" i="10"/>
  <c r="AW322" i="10"/>
  <c r="AF722" i="10"/>
  <c r="AV722" i="10"/>
  <c r="S722" i="10"/>
  <c r="AB722" i="10"/>
  <c r="AV322" i="10"/>
  <c r="J322" i="10"/>
  <c r="T322" i="10"/>
  <c r="L322" i="10"/>
  <c r="AX322" i="10"/>
  <c r="Y722" i="10"/>
  <c r="AX722" i="10"/>
  <c r="AG322" i="10"/>
  <c r="AR322" i="10"/>
  <c r="N322" i="10"/>
  <c r="AJ722" i="10"/>
  <c r="AA722" i="10"/>
  <c r="AH722" i="10"/>
  <c r="AS322" i="10"/>
  <c r="P322" i="10"/>
  <c r="AL322" i="10"/>
  <c r="Z322" i="10"/>
  <c r="N722" i="10"/>
  <c r="AG722" i="10"/>
  <c r="U322" i="10"/>
  <c r="P722" i="10"/>
  <c r="AK322" i="10"/>
  <c r="AS722" i="10"/>
  <c r="AH322" i="10"/>
  <c r="S322" i="10"/>
  <c r="O722" i="10"/>
  <c r="R722" i="10"/>
  <c r="AQ722" i="10"/>
  <c r="AY322" i="10"/>
  <c r="AT722" i="10"/>
  <c r="AI322" i="10"/>
  <c r="AM722" i="10"/>
  <c r="AE322" i="10"/>
  <c r="AY722" i="10"/>
  <c r="AO322" i="10"/>
  <c r="AR722" i="10"/>
  <c r="W322" i="10"/>
  <c r="M322" i="10"/>
  <c r="AJ322" i="10"/>
  <c r="V322" i="10"/>
  <c r="U722" i="10"/>
  <c r="Y322" i="10"/>
  <c r="AT322" i="10"/>
  <c r="R322" i="10"/>
  <c r="AU722" i="10"/>
  <c r="O322" i="10"/>
  <c r="AQ322" i="10"/>
  <c r="J722" i="10"/>
  <c r="AD722" i="10"/>
  <c r="L722" i="10"/>
  <c r="K322" i="10"/>
  <c r="Q722" i="10"/>
  <c r="X722" i="10"/>
  <c r="AA322" i="10"/>
  <c r="T722" i="10"/>
  <c r="AI722" i="10"/>
  <c r="Z722" i="10"/>
  <c r="Q322" i="10"/>
  <c r="AC722" i="10"/>
  <c r="K722" i="10"/>
  <c r="AO722" i="10"/>
  <c r="AC170" i="9"/>
  <c r="AC354" i="6"/>
  <c r="AG465" i="26"/>
  <c r="AQ465" i="26" s="1"/>
  <c r="AC347" i="9"/>
  <c r="H343" i="9"/>
  <c r="H343" i="6"/>
  <c r="R343" i="26"/>
  <c r="Y329" i="27"/>
  <c r="G329" i="27" s="1"/>
  <c r="F329" i="6"/>
  <c r="P329" i="26"/>
  <c r="X329" i="27" s="1"/>
  <c r="AB329" i="27" s="1"/>
  <c r="F329" i="9"/>
  <c r="Z329" i="9" s="1"/>
  <c r="AA329" i="9" s="1"/>
  <c r="AC224" i="9"/>
  <c r="AL75" i="10"/>
  <c r="AL475" i="10"/>
  <c r="AQ475" i="10"/>
  <c r="S75" i="10"/>
  <c r="Q75" i="10"/>
  <c r="AW475" i="10"/>
  <c r="V475" i="10"/>
  <c r="W75" i="10"/>
  <c r="O75" i="10"/>
  <c r="AO75" i="10"/>
  <c r="J475" i="10"/>
  <c r="Q475" i="10"/>
  <c r="AF475" i="10"/>
  <c r="O475" i="10"/>
  <c r="AD75" i="10"/>
  <c r="M75" i="10"/>
  <c r="AG475" i="10"/>
  <c r="P475" i="10"/>
  <c r="AE475" i="10"/>
  <c r="M475" i="10"/>
  <c r="J75" i="10"/>
  <c r="AW75" i="10"/>
  <c r="AI475" i="10"/>
  <c r="AA475" i="10"/>
  <c r="AV75" i="10"/>
  <c r="AD475" i="10"/>
  <c r="L75" i="10"/>
  <c r="Z75" i="10"/>
  <c r="N475" i="10"/>
  <c r="U475" i="10"/>
  <c r="P75" i="10"/>
  <c r="Y475" i="10"/>
  <c r="N75" i="10"/>
  <c r="AO475" i="10"/>
  <c r="X75" i="10"/>
  <c r="AI75" i="10"/>
  <c r="AC475" i="10"/>
  <c r="Y75" i="10"/>
  <c r="L475" i="10"/>
  <c r="U75" i="10"/>
  <c r="AB475" i="10"/>
  <c r="AR75" i="10"/>
  <c r="AR475" i="10"/>
  <c r="AU475" i="10"/>
  <c r="AM475" i="10"/>
  <c r="T75" i="10"/>
  <c r="AM75" i="10"/>
  <c r="AY475" i="10"/>
  <c r="AV475" i="10"/>
  <c r="AJ75" i="10"/>
  <c r="AS475" i="10"/>
  <c r="AT75" i="10"/>
  <c r="AY75" i="10"/>
  <c r="AA75" i="10"/>
  <c r="X475" i="10"/>
  <c r="AK75" i="10"/>
  <c r="AH75" i="10"/>
  <c r="AT475" i="10"/>
  <c r="AP475" i="10"/>
  <c r="Z475" i="10"/>
  <c r="AB75" i="10"/>
  <c r="AN75" i="10"/>
  <c r="S475" i="10"/>
  <c r="W475" i="10"/>
  <c r="AX475" i="10"/>
  <c r="AP75" i="10"/>
  <c r="AK475" i="10"/>
  <c r="V75" i="10"/>
  <c r="AX75" i="10"/>
  <c r="AN475" i="10"/>
  <c r="T475" i="10"/>
  <c r="K475" i="10"/>
  <c r="AE75" i="10"/>
  <c r="AQ75" i="10"/>
  <c r="R475" i="10"/>
  <c r="R75" i="10"/>
  <c r="AC75" i="10"/>
  <c r="AF75" i="10"/>
  <c r="AJ475" i="10"/>
  <c r="K75" i="10"/>
  <c r="AH475" i="10"/>
  <c r="AG75" i="10"/>
  <c r="AS75" i="10"/>
  <c r="I291" i="9"/>
  <c r="I291" i="6"/>
  <c r="F197" i="6"/>
  <c r="P197" i="26"/>
  <c r="X197" i="27" s="1"/>
  <c r="AB197" i="27" s="1"/>
  <c r="Y197" i="27"/>
  <c r="G197" i="27" s="1"/>
  <c r="F197" i="9"/>
  <c r="Z197" i="9" s="1"/>
  <c r="AA197" i="9" s="1"/>
  <c r="AL516" i="26"/>
  <c r="AS516" i="26" s="1"/>
  <c r="AY516" i="26"/>
  <c r="S516" i="26" s="1"/>
  <c r="AZ516" i="26"/>
  <c r="BB516" i="26" s="1"/>
  <c r="BA516" i="26" s="1"/>
  <c r="H23" i="9"/>
  <c r="H23" i="6"/>
  <c r="AL759" i="10"/>
  <c r="AH359" i="10"/>
  <c r="J759" i="10"/>
  <c r="S359" i="10"/>
  <c r="AC359" i="10"/>
  <c r="W359" i="10"/>
  <c r="L759" i="10"/>
  <c r="AO759" i="10"/>
  <c r="L359" i="10"/>
  <c r="AF359" i="10"/>
  <c r="R359" i="10"/>
  <c r="AP759" i="10"/>
  <c r="T759" i="10"/>
  <c r="AM759" i="10"/>
  <c r="S759" i="10"/>
  <c r="AK359" i="10"/>
  <c r="Q359" i="10"/>
  <c r="J359" i="10"/>
  <c r="AQ359" i="10"/>
  <c r="AY359" i="10"/>
  <c r="AE359" i="10"/>
  <c r="M759" i="10"/>
  <c r="AD759" i="10"/>
  <c r="AE759" i="10"/>
  <c r="AF759" i="10"/>
  <c r="V759" i="10"/>
  <c r="AU759" i="10"/>
  <c r="AB359" i="10"/>
  <c r="M359" i="10"/>
  <c r="T359" i="10"/>
  <c r="U759" i="10"/>
  <c r="K359" i="10"/>
  <c r="AG359" i="10"/>
  <c r="W759" i="10"/>
  <c r="R759" i="10"/>
  <c r="AK759" i="10"/>
  <c r="AX359" i="10"/>
  <c r="AO359" i="10"/>
  <c r="AR759" i="10"/>
  <c r="AI759" i="10"/>
  <c r="X759" i="10"/>
  <c r="N359" i="10"/>
  <c r="X359" i="10"/>
  <c r="Y759" i="10"/>
  <c r="Z759" i="10"/>
  <c r="AH759" i="10"/>
  <c r="AW759" i="10"/>
  <c r="Z359" i="10"/>
  <c r="AW359" i="10"/>
  <c r="AL359" i="10"/>
  <c r="O759" i="10"/>
  <c r="AG759" i="10"/>
  <c r="V359" i="10"/>
  <c r="U359" i="10"/>
  <c r="AR359" i="10"/>
  <c r="AQ759" i="10"/>
  <c r="AI359" i="10"/>
  <c r="AD359" i="10"/>
  <c r="AJ359" i="10"/>
  <c r="AV759" i="10"/>
  <c r="AJ759" i="10"/>
  <c r="AT359" i="10"/>
  <c r="AS759" i="10"/>
  <c r="O359" i="10"/>
  <c r="Y359" i="10"/>
  <c r="Q759" i="10"/>
  <c r="AX759" i="10"/>
  <c r="P759" i="10"/>
  <c r="AT759" i="10"/>
  <c r="AA359" i="10"/>
  <c r="AA759" i="10"/>
  <c r="AS359" i="10"/>
  <c r="K759" i="10"/>
  <c r="AP359" i="10"/>
  <c r="AY759" i="10"/>
  <c r="N759" i="10"/>
  <c r="AN759" i="10"/>
  <c r="AB759" i="10"/>
  <c r="AC759" i="10"/>
  <c r="P359" i="10"/>
  <c r="AV359" i="10"/>
  <c r="AN359" i="10"/>
  <c r="AM359" i="10"/>
  <c r="Y122" i="27"/>
  <c r="G122" i="27" s="1"/>
  <c r="F122" i="6"/>
  <c r="Z122" i="6" s="1"/>
  <c r="P122" i="26"/>
  <c r="X122" i="27" s="1"/>
  <c r="AB122" i="27" s="1"/>
  <c r="F122" i="9"/>
  <c r="AC103" i="6"/>
  <c r="Y358" i="27"/>
  <c r="G358" i="27" s="1"/>
  <c r="P358" i="26"/>
  <c r="X358" i="27" s="1"/>
  <c r="AB358" i="27" s="1"/>
  <c r="F358" i="9"/>
  <c r="Z358" i="9" s="1"/>
  <c r="AA358" i="9" s="1"/>
  <c r="F358" i="6"/>
  <c r="R23" i="26"/>
  <c r="F173" i="27"/>
  <c r="AS105" i="10"/>
  <c r="AG505" i="10"/>
  <c r="AV105" i="10"/>
  <c r="N105" i="10"/>
  <c r="K505" i="10"/>
  <c r="AO505" i="10"/>
  <c r="AC505" i="10"/>
  <c r="AB105" i="10"/>
  <c r="Q105" i="10"/>
  <c r="U505" i="10"/>
  <c r="AW505" i="10"/>
  <c r="AR505" i="10"/>
  <c r="AU505" i="10"/>
  <c r="V105" i="10"/>
  <c r="AX505" i="10"/>
  <c r="M105" i="10"/>
  <c r="AF105" i="10"/>
  <c r="L105" i="10"/>
  <c r="T505" i="10"/>
  <c r="AS505" i="10"/>
  <c r="AM105" i="10"/>
  <c r="AV505" i="10"/>
  <c r="O105" i="10"/>
  <c r="Q505" i="10"/>
  <c r="AY505" i="10"/>
  <c r="AD505" i="10"/>
  <c r="AH105" i="10"/>
  <c r="AE105" i="10"/>
  <c r="AB505" i="10"/>
  <c r="AX105" i="10"/>
  <c r="AA105" i="10"/>
  <c r="AK105" i="10"/>
  <c r="W505" i="10"/>
  <c r="AO105" i="10"/>
  <c r="R505" i="10"/>
  <c r="Y105" i="10"/>
  <c r="K105" i="10"/>
  <c r="P505" i="10"/>
  <c r="AN105" i="10"/>
  <c r="Z105" i="10"/>
  <c r="AT105" i="10"/>
  <c r="Z505" i="10"/>
  <c r="W105" i="10"/>
  <c r="AG105" i="10"/>
  <c r="R105" i="10"/>
  <c r="AL105" i="10"/>
  <c r="AA505" i="10"/>
  <c r="AJ105" i="10"/>
  <c r="AN505" i="10"/>
  <c r="O505" i="10"/>
  <c r="AM505" i="10"/>
  <c r="AC105" i="10"/>
  <c r="AD105" i="10"/>
  <c r="AI105" i="10"/>
  <c r="AT505" i="10"/>
  <c r="U105" i="10"/>
  <c r="N505" i="10"/>
  <c r="AW105" i="10"/>
  <c r="P105" i="10"/>
  <c r="AP105" i="10"/>
  <c r="X505" i="10"/>
  <c r="AE505" i="10"/>
  <c r="AI505" i="10"/>
  <c r="AP505" i="10"/>
  <c r="AR105" i="10"/>
  <c r="M505" i="10"/>
  <c r="AL505" i="10"/>
  <c r="AY105" i="10"/>
  <c r="AJ505" i="10"/>
  <c r="V505" i="10"/>
  <c r="J505" i="10"/>
  <c r="J105" i="10"/>
  <c r="AQ505" i="10"/>
  <c r="S505" i="10"/>
  <c r="Y505" i="10"/>
  <c r="S105" i="10"/>
  <c r="AH505" i="10"/>
  <c r="AQ105" i="10"/>
  <c r="AF505" i="10"/>
  <c r="X105" i="10"/>
  <c r="AK505" i="10"/>
  <c r="L505" i="10"/>
  <c r="T105" i="10"/>
  <c r="G103" i="10"/>
  <c r="V103" i="27"/>
  <c r="AA103" i="27" s="1"/>
  <c r="BD103" i="26"/>
  <c r="AJ457" i="26"/>
  <c r="Y388" i="27"/>
  <c r="G388" i="27" s="1"/>
  <c r="F170" i="9"/>
  <c r="Z170" i="9" s="1"/>
  <c r="AA170" i="9" s="1"/>
  <c r="Y170" i="27"/>
  <c r="G170" i="27" s="1"/>
  <c r="P170" i="26"/>
  <c r="X170" i="27" s="1"/>
  <c r="AB170" i="27" s="1"/>
  <c r="F170" i="6"/>
  <c r="AY445" i="26"/>
  <c r="S445" i="26" s="1"/>
  <c r="AZ445" i="26"/>
  <c r="F354" i="10"/>
  <c r="W354" i="27"/>
  <c r="E354" i="27" s="1"/>
  <c r="N354" i="26"/>
  <c r="W71" i="27"/>
  <c r="E71" i="27" s="1"/>
  <c r="F71" i="10"/>
  <c r="N71" i="26"/>
  <c r="AZ439" i="26"/>
  <c r="BB439" i="26" s="1"/>
  <c r="BA439" i="26" s="1"/>
  <c r="AY439" i="26"/>
  <c r="S439" i="26" s="1"/>
  <c r="I162" i="9"/>
  <c r="I162" i="6"/>
  <c r="P291" i="26"/>
  <c r="X291" i="27" s="1"/>
  <c r="AB291" i="27" s="1"/>
  <c r="F291" i="6"/>
  <c r="Y291" i="27"/>
  <c r="G291" i="27" s="1"/>
  <c r="F291" i="9"/>
  <c r="Z291" i="9" s="1"/>
  <c r="AA291" i="9" s="1"/>
  <c r="F127" i="9"/>
  <c r="Z127" i="9" s="1"/>
  <c r="AA127" i="9" s="1"/>
  <c r="Y127" i="27"/>
  <c r="G127" i="27" s="1"/>
  <c r="F127" i="6"/>
  <c r="P127" i="26"/>
  <c r="X127" i="27" s="1"/>
  <c r="AB127" i="27" s="1"/>
  <c r="Y347" i="27"/>
  <c r="G347" i="27" s="1"/>
  <c r="F347" i="9"/>
  <c r="Z347" i="9" s="1"/>
  <c r="AA347" i="9" s="1"/>
  <c r="F347" i="6"/>
  <c r="P347" i="26"/>
  <c r="X347" i="27" s="1"/>
  <c r="AB347" i="27" s="1"/>
  <c r="F379" i="6"/>
  <c r="AA379" i="6" s="1"/>
  <c r="F379" i="9"/>
  <c r="Z379" i="9" s="1"/>
  <c r="AA379" i="9" s="1"/>
  <c r="Y379" i="27"/>
  <c r="G379" i="27" s="1"/>
  <c r="AC129" i="9"/>
  <c r="BF460" i="26"/>
  <c r="AY460" i="26"/>
  <c r="S460" i="26" s="1"/>
  <c r="AZ460" i="26"/>
  <c r="BB460" i="26" s="1"/>
  <c r="BA460" i="26" s="1"/>
  <c r="AC22" i="9"/>
  <c r="Y89" i="27"/>
  <c r="G89" i="27" s="1"/>
  <c r="P89" i="26"/>
  <c r="X89" i="27" s="1"/>
  <c r="AB89" i="27" s="1"/>
  <c r="F89" i="9"/>
  <c r="Z89" i="9" s="1"/>
  <c r="AA89" i="9" s="1"/>
  <c r="F89" i="6"/>
  <c r="Z89" i="6" s="1"/>
  <c r="F340" i="9"/>
  <c r="Z340" i="9" s="1"/>
  <c r="AA340" i="9" s="1"/>
  <c r="F340" i="6"/>
  <c r="Y340" i="27"/>
  <c r="G340" i="27" s="1"/>
  <c r="P340" i="26"/>
  <c r="X340" i="27" s="1"/>
  <c r="AB340" i="27" s="1"/>
  <c r="AC103" i="9"/>
  <c r="F139" i="9"/>
  <c r="Z139" i="9" s="1"/>
  <c r="AA139" i="9" s="1"/>
  <c r="F139" i="6"/>
  <c r="Y139" i="27"/>
  <c r="G139" i="27" s="1"/>
  <c r="P139" i="26"/>
  <c r="X139" i="27" s="1"/>
  <c r="AB139" i="27" s="1"/>
  <c r="Z107" i="6"/>
  <c r="AC354" i="9"/>
  <c r="BF485" i="26"/>
  <c r="AY485" i="26"/>
  <c r="S485" i="26" s="1"/>
  <c r="AZ485" i="26"/>
  <c r="BB485" i="26" s="1"/>
  <c r="BA485" i="26" s="1"/>
  <c r="AW122" i="10"/>
  <c r="AU522" i="10"/>
  <c r="N522" i="10"/>
  <c r="AS122" i="10"/>
  <c r="P122" i="10"/>
  <c r="Q522" i="10"/>
  <c r="U122" i="10"/>
  <c r="AR522" i="10"/>
  <c r="AX522" i="10"/>
  <c r="AV122" i="10"/>
  <c r="AM522" i="10"/>
  <c r="M122" i="10"/>
  <c r="X122" i="10"/>
  <c r="T122" i="10"/>
  <c r="AK122" i="10"/>
  <c r="S122" i="10"/>
  <c r="AM122" i="10"/>
  <c r="T522" i="10"/>
  <c r="AT522" i="10"/>
  <c r="AE122" i="10"/>
  <c r="AG522" i="10"/>
  <c r="U522" i="10"/>
  <c r="AD122" i="10"/>
  <c r="Q122" i="10"/>
  <c r="L522" i="10"/>
  <c r="AB122" i="10"/>
  <c r="AR122" i="10"/>
  <c r="AY122" i="10"/>
  <c r="AY522" i="10"/>
  <c r="V122" i="10"/>
  <c r="AW522" i="10"/>
  <c r="AO522" i="10"/>
  <c r="Y522" i="10"/>
  <c r="L122" i="10"/>
  <c r="AO122" i="10"/>
  <c r="S522" i="10"/>
  <c r="AL122" i="10"/>
  <c r="AX122" i="10"/>
  <c r="AJ122" i="10"/>
  <c r="N122" i="10"/>
  <c r="AH122" i="10"/>
  <c r="AC522" i="10"/>
  <c r="P522" i="10"/>
  <c r="Z122" i="10"/>
  <c r="W522" i="10"/>
  <c r="AP122" i="10"/>
  <c r="W122" i="10"/>
  <c r="AB522" i="10"/>
  <c r="AE522" i="10"/>
  <c r="AG122" i="10"/>
  <c r="R522" i="10"/>
  <c r="AK522" i="10"/>
  <c r="AQ522" i="10"/>
  <c r="AN122" i="10"/>
  <c r="O122" i="10"/>
  <c r="V522" i="10"/>
  <c r="AV522" i="10"/>
  <c r="AF522" i="10"/>
  <c r="AP522" i="10"/>
  <c r="AC122" i="10"/>
  <c r="K522" i="10"/>
  <c r="AN522" i="10"/>
  <c r="AA522" i="10"/>
  <c r="R122" i="10"/>
  <c r="J522" i="10"/>
  <c r="M522" i="10"/>
  <c r="AD522" i="10"/>
  <c r="AT122" i="10"/>
  <c r="AJ522" i="10"/>
  <c r="AI522" i="10"/>
  <c r="AF122" i="10"/>
  <c r="Z522" i="10"/>
  <c r="O522" i="10"/>
  <c r="AL522" i="10"/>
  <c r="Y122" i="10"/>
  <c r="J122" i="10"/>
  <c r="AA122" i="10"/>
  <c r="AH522" i="10"/>
  <c r="AS522" i="10"/>
  <c r="X522" i="10"/>
  <c r="K122" i="10"/>
  <c r="AQ122" i="10"/>
  <c r="AI122" i="10"/>
  <c r="Y213" i="27"/>
  <c r="G213" i="27" s="1"/>
  <c r="F213" i="6"/>
  <c r="F213" i="9"/>
  <c r="Z213" i="9" s="1"/>
  <c r="AA213" i="9" s="1"/>
  <c r="AC347" i="6"/>
  <c r="Y343" i="27"/>
  <c r="G343" i="27" s="1"/>
  <c r="F343" i="9"/>
  <c r="Z343" i="9" s="1"/>
  <c r="AA343" i="9" s="1"/>
  <c r="F343" i="6"/>
  <c r="P343" i="26"/>
  <c r="X343" i="27" s="1"/>
  <c r="AB343" i="27" s="1"/>
  <c r="W32" i="27"/>
  <c r="E32" i="27" s="1"/>
  <c r="F32" i="10"/>
  <c r="N32" i="26"/>
  <c r="AG460" i="26"/>
  <c r="AQ460" i="26" s="1"/>
  <c r="H98" i="27"/>
  <c r="G105" i="10"/>
  <c r="V105" i="27"/>
  <c r="AA105" i="27" s="1"/>
  <c r="BD105" i="26"/>
  <c r="BF105" i="26" s="1"/>
  <c r="AC224" i="6"/>
  <c r="AV88" i="10"/>
  <c r="AG88" i="10"/>
  <c r="Y488" i="10"/>
  <c r="AA88" i="10"/>
  <c r="O488" i="10"/>
  <c r="AW88" i="10"/>
  <c r="AO88" i="10"/>
  <c r="AP488" i="10"/>
  <c r="X488" i="10"/>
  <c r="AQ88" i="10"/>
  <c r="AR88" i="10"/>
  <c r="Z88" i="10"/>
  <c r="AS488" i="10"/>
  <c r="J88" i="10"/>
  <c r="AH488" i="10"/>
  <c r="R488" i="10"/>
  <c r="P88" i="10"/>
  <c r="AK488" i="10"/>
  <c r="P488" i="10"/>
  <c r="AQ488" i="10"/>
  <c r="AB488" i="10"/>
  <c r="AB88" i="10"/>
  <c r="AE88" i="10"/>
  <c r="AL88" i="10"/>
  <c r="M488" i="10"/>
  <c r="U88" i="10"/>
  <c r="K488" i="10"/>
  <c r="AN88" i="10"/>
  <c r="AP88" i="10"/>
  <c r="Z488" i="10"/>
  <c r="AJ88" i="10"/>
  <c r="O88" i="10"/>
  <c r="AU488" i="10"/>
  <c r="T88" i="10"/>
  <c r="AC88" i="10"/>
  <c r="AI88" i="10"/>
  <c r="Q488" i="10"/>
  <c r="T488" i="10"/>
  <c r="AM488" i="10"/>
  <c r="AM88" i="10"/>
  <c r="AW488" i="10"/>
  <c r="AI488" i="10"/>
  <c r="AF88" i="10"/>
  <c r="AH88" i="10"/>
  <c r="R88" i="10"/>
  <c r="N488" i="10"/>
  <c r="W488" i="10"/>
  <c r="M88" i="10"/>
  <c r="W88" i="10"/>
  <c r="AC488" i="10"/>
  <c r="AG488" i="10"/>
  <c r="AT88" i="10"/>
  <c r="Q88" i="10"/>
  <c r="AN488" i="10"/>
  <c r="U488" i="10"/>
  <c r="AS88" i="10"/>
  <c r="AO488" i="10"/>
  <c r="AT488" i="10"/>
  <c r="AY88" i="10"/>
  <c r="L88" i="10"/>
  <c r="AR488" i="10"/>
  <c r="J488" i="10"/>
  <c r="N88" i="10"/>
  <c r="AD88" i="10"/>
  <c r="V488" i="10"/>
  <c r="S88" i="10"/>
  <c r="AE488" i="10"/>
  <c r="AK88" i="10"/>
  <c r="AL488" i="10"/>
  <c r="AV488" i="10"/>
  <c r="AD488" i="10"/>
  <c r="S488" i="10"/>
  <c r="AA488" i="10"/>
  <c r="AX88" i="10"/>
  <c r="AF488" i="10"/>
  <c r="V88" i="10"/>
  <c r="K88" i="10"/>
  <c r="AX488" i="10"/>
  <c r="X88" i="10"/>
  <c r="Y88" i="10"/>
  <c r="AY488" i="10"/>
  <c r="AJ488" i="10"/>
  <c r="L488" i="10"/>
  <c r="BD347" i="26"/>
  <c r="G347" i="10"/>
  <c r="V347" i="27"/>
  <c r="AA347" i="27" s="1"/>
  <c r="F18" i="6"/>
  <c r="Y18" i="27"/>
  <c r="G18" i="27" s="1"/>
  <c r="F18" i="9"/>
  <c r="Z18" i="9" s="1"/>
  <c r="AA18" i="9" s="1"/>
  <c r="P18" i="26"/>
  <c r="X18" i="27" s="1"/>
  <c r="AB18" i="27" s="1"/>
  <c r="H338" i="9"/>
  <c r="H338" i="6"/>
  <c r="AD338" i="6" s="1"/>
  <c r="F311" i="10"/>
  <c r="N311" i="26"/>
  <c r="W311" i="27"/>
  <c r="E311" i="27" s="1"/>
  <c r="F78" i="6"/>
  <c r="F78" i="9"/>
  <c r="Z78" i="9" s="1"/>
  <c r="AA78" i="9" s="1"/>
  <c r="P78" i="26"/>
  <c r="X78" i="27" s="1"/>
  <c r="AB78" i="27" s="1"/>
  <c r="Y78" i="27"/>
  <c r="G78" i="27" s="1"/>
  <c r="AC231" i="6"/>
  <c r="H242" i="27"/>
  <c r="BB480" i="26"/>
  <c r="BA480" i="26" s="1"/>
  <c r="AC79" i="9"/>
  <c r="AU491" i="26"/>
  <c r="F388" i="6"/>
  <c r="Z388" i="6" s="1"/>
  <c r="P73" i="26"/>
  <c r="X73" i="27" s="1"/>
  <c r="AB73" i="27" s="1"/>
  <c r="F290" i="9"/>
  <c r="W193" i="27"/>
  <c r="E193" i="27" s="1"/>
  <c r="F28" i="9"/>
  <c r="F81" i="10"/>
  <c r="W81" i="27"/>
  <c r="E81" i="27" s="1"/>
  <c r="N81" i="26"/>
  <c r="F293" i="9"/>
  <c r="Z293" i="9" s="1"/>
  <c r="AA293" i="9" s="1"/>
  <c r="F293" i="6"/>
  <c r="Y293" i="27"/>
  <c r="G293" i="27" s="1"/>
  <c r="P293" i="26"/>
  <c r="X293" i="27" s="1"/>
  <c r="AB293" i="27" s="1"/>
  <c r="AC259" i="6"/>
  <c r="F180" i="6"/>
  <c r="Y180" i="27"/>
  <c r="G180" i="27" s="1"/>
  <c r="F180" i="9"/>
  <c r="Z180" i="9" s="1"/>
  <c r="AA180" i="9" s="1"/>
  <c r="P180" i="26"/>
  <c r="X180" i="27" s="1"/>
  <c r="AB180" i="27" s="1"/>
  <c r="F205" i="9"/>
  <c r="Z205" i="9" s="1"/>
  <c r="AA205" i="9" s="1"/>
  <c r="P205" i="26"/>
  <c r="X205" i="27" s="1"/>
  <c r="AB205" i="27" s="1"/>
  <c r="Y205" i="27"/>
  <c r="G205" i="27" s="1"/>
  <c r="F205" i="6"/>
  <c r="G276" i="10"/>
  <c r="BD276" i="26"/>
  <c r="V276" i="27"/>
  <c r="AA276" i="27" s="1"/>
  <c r="H161" i="9"/>
  <c r="H161" i="6"/>
  <c r="AM490" i="10"/>
  <c r="V90" i="10"/>
  <c r="AS90" i="10"/>
  <c r="Z90" i="10"/>
  <c r="O90" i="10"/>
  <c r="W90" i="10"/>
  <c r="AI90" i="10"/>
  <c r="AP90" i="10"/>
  <c r="P490" i="10"/>
  <c r="AW90" i="10"/>
  <c r="Z490" i="10"/>
  <c r="AR90" i="10"/>
  <c r="AA90" i="10"/>
  <c r="AW490" i="10"/>
  <c r="AF490" i="10"/>
  <c r="AR490" i="10"/>
  <c r="AA490" i="10"/>
  <c r="AD90" i="10"/>
  <c r="K490" i="10"/>
  <c r="AY490" i="10"/>
  <c r="AM90" i="10"/>
  <c r="S90" i="10"/>
  <c r="AY90" i="10"/>
  <c r="AV90" i="10"/>
  <c r="V490" i="10"/>
  <c r="AH490" i="10"/>
  <c r="J90" i="10"/>
  <c r="AE490" i="10"/>
  <c r="AN90" i="10"/>
  <c r="J490" i="10"/>
  <c r="AL490" i="10"/>
  <c r="X90" i="10"/>
  <c r="AJ90" i="10"/>
  <c r="AC490" i="10"/>
  <c r="AC90" i="10"/>
  <c r="AH90" i="10"/>
  <c r="AK490" i="10"/>
  <c r="AX90" i="10"/>
  <c r="T90" i="10"/>
  <c r="T490" i="10"/>
  <c r="AB490" i="10"/>
  <c r="AX490" i="10"/>
  <c r="W490" i="10"/>
  <c r="AJ490" i="10"/>
  <c r="L490" i="10"/>
  <c r="L90" i="10"/>
  <c r="M90" i="10"/>
  <c r="AO90" i="10"/>
  <c r="N490" i="10"/>
  <c r="AI490" i="10"/>
  <c r="AE90" i="10"/>
  <c r="U490" i="10"/>
  <c r="AG490" i="10"/>
  <c r="AT490" i="10"/>
  <c r="AQ490" i="10"/>
  <c r="Q490" i="10"/>
  <c r="AL90" i="10"/>
  <c r="AB90" i="10"/>
  <c r="X490" i="10"/>
  <c r="AG90" i="10"/>
  <c r="N90" i="10"/>
  <c r="AQ90" i="10"/>
  <c r="O490" i="10"/>
  <c r="AD490" i="10"/>
  <c r="AK90" i="10"/>
  <c r="AT90" i="10"/>
  <c r="AS490" i="10"/>
  <c r="AU490" i="10"/>
  <c r="AO490" i="10"/>
  <c r="S490" i="10"/>
  <c r="Y90" i="10"/>
  <c r="R490" i="10"/>
  <c r="Y490" i="10"/>
  <c r="AF90" i="10"/>
  <c r="Q90" i="10"/>
  <c r="AV490" i="10"/>
  <c r="P90" i="10"/>
  <c r="AN490" i="10"/>
  <c r="U90" i="10"/>
  <c r="AP490" i="10"/>
  <c r="R90" i="10"/>
  <c r="M490" i="10"/>
  <c r="K90" i="10"/>
  <c r="AC304" i="9"/>
  <c r="AC79" i="6"/>
  <c r="R181" i="26"/>
  <c r="H181" i="9"/>
  <c r="AC181" i="9" s="1"/>
  <c r="H181" i="6"/>
  <c r="AC181" i="6" s="1"/>
  <c r="F57" i="27"/>
  <c r="AZ527" i="26"/>
  <c r="BB527" i="26" s="1"/>
  <c r="BA527" i="26" s="1"/>
  <c r="AY527" i="26"/>
  <c r="S527" i="26" s="1"/>
  <c r="H279" i="9"/>
  <c r="H279" i="6"/>
  <c r="R279" i="26"/>
  <c r="Y77" i="27"/>
  <c r="G77" i="27" s="1"/>
  <c r="F77" i="9"/>
  <c r="Z77" i="9" s="1"/>
  <c r="AA77" i="9" s="1"/>
  <c r="F77" i="6"/>
  <c r="P77" i="26"/>
  <c r="X77" i="27" s="1"/>
  <c r="AB77" i="27" s="1"/>
  <c r="BA117" i="10"/>
  <c r="BB117" i="10"/>
  <c r="W206" i="27"/>
  <c r="E206" i="27" s="1"/>
  <c r="F206" i="10"/>
  <c r="N206" i="26"/>
  <c r="AC91" i="6"/>
  <c r="H165" i="6"/>
  <c r="H165" i="9"/>
  <c r="AC180" i="10"/>
  <c r="M180" i="10"/>
  <c r="S180" i="10"/>
  <c r="AI580" i="10"/>
  <c r="N580" i="10"/>
  <c r="K580" i="10"/>
  <c r="AF580" i="10"/>
  <c r="AH580" i="10"/>
  <c r="AP580" i="10"/>
  <c r="AB580" i="10"/>
  <c r="O180" i="10"/>
  <c r="AT580" i="10"/>
  <c r="AH180" i="10"/>
  <c r="AM580" i="10"/>
  <c r="J180" i="10"/>
  <c r="AP180" i="10"/>
  <c r="V580" i="10"/>
  <c r="Q180" i="10"/>
  <c r="R180" i="10"/>
  <c r="AS180" i="10"/>
  <c r="W180" i="10"/>
  <c r="W580" i="10"/>
  <c r="U580" i="10"/>
  <c r="AV580" i="10"/>
  <c r="AQ580" i="10"/>
  <c r="AD180" i="10"/>
  <c r="AX180" i="10"/>
  <c r="AB180" i="10"/>
  <c r="AI180" i="10"/>
  <c r="AY180" i="10"/>
  <c r="P580" i="10"/>
  <c r="AL180" i="10"/>
  <c r="Y580" i="10"/>
  <c r="AW180" i="10"/>
  <c r="AY580" i="10"/>
  <c r="AA180" i="10"/>
  <c r="AS580" i="10"/>
  <c r="Q580" i="10"/>
  <c r="V180" i="10"/>
  <c r="Y180" i="10"/>
  <c r="AX580" i="10"/>
  <c r="AW580" i="10"/>
  <c r="M580" i="10"/>
  <c r="L180" i="10"/>
  <c r="AT180" i="10"/>
  <c r="AC580" i="10"/>
  <c r="L580" i="10"/>
  <c r="X580" i="10"/>
  <c r="AA580" i="10"/>
  <c r="S580" i="10"/>
  <c r="AR580" i="10"/>
  <c r="Z180" i="10"/>
  <c r="J580" i="10"/>
  <c r="K180" i="10"/>
  <c r="AK180" i="10"/>
  <c r="AN580" i="10"/>
  <c r="AG180" i="10"/>
  <c r="P180" i="10"/>
  <c r="T180" i="10"/>
  <c r="AJ580" i="10"/>
  <c r="Z580" i="10"/>
  <c r="AJ180" i="10"/>
  <c r="AR180" i="10"/>
  <c r="AD580" i="10"/>
  <c r="AV180" i="10"/>
  <c r="X180" i="10"/>
  <c r="AE580" i="10"/>
  <c r="AE180" i="10"/>
  <c r="AF180" i="10"/>
  <c r="AQ180" i="10"/>
  <c r="AG580" i="10"/>
  <c r="N180" i="10"/>
  <c r="AL580" i="10"/>
  <c r="AM180" i="10"/>
  <c r="AO180" i="10"/>
  <c r="U180" i="10"/>
  <c r="AN180" i="10"/>
  <c r="AK580" i="10"/>
  <c r="AU580" i="10"/>
  <c r="AO580" i="10"/>
  <c r="T580" i="10"/>
  <c r="R580" i="10"/>
  <c r="O580" i="10"/>
  <c r="I258" i="6"/>
  <c r="I258" i="9"/>
  <c r="AC87" i="9"/>
  <c r="AC255" i="6"/>
  <c r="AZ538" i="26"/>
  <c r="BB538" i="26" s="1"/>
  <c r="BA538" i="26" s="1"/>
  <c r="AY538" i="26"/>
  <c r="S538" i="26" s="1"/>
  <c r="Y17" i="27"/>
  <c r="G17" i="27" s="1"/>
  <c r="F17" i="9"/>
  <c r="Z17" i="9" s="1"/>
  <c r="AA17" i="9" s="1"/>
  <c r="F17" i="6"/>
  <c r="AS575" i="10"/>
  <c r="AW175" i="10"/>
  <c r="O175" i="10"/>
  <c r="O575" i="10"/>
  <c r="R175" i="10"/>
  <c r="AB575" i="10"/>
  <c r="R575" i="10"/>
  <c r="AA175" i="10"/>
  <c r="AK575" i="10"/>
  <c r="AX575" i="10"/>
  <c r="U575" i="10"/>
  <c r="AU575" i="10"/>
  <c r="AV175" i="10"/>
  <c r="AI575" i="10"/>
  <c r="AP575" i="10"/>
  <c r="P575" i="10"/>
  <c r="AN175" i="10"/>
  <c r="AH175" i="10"/>
  <c r="M175" i="10"/>
  <c r="Y575" i="10"/>
  <c r="J175" i="10"/>
  <c r="T575" i="10"/>
  <c r="AY175" i="10"/>
  <c r="AG175" i="10"/>
  <c r="M575" i="10"/>
  <c r="AM175" i="10"/>
  <c r="AJ175" i="10"/>
  <c r="AF175" i="10"/>
  <c r="AW575" i="10"/>
  <c r="J575" i="10"/>
  <c r="AC575" i="10"/>
  <c r="K575" i="10"/>
  <c r="AC175" i="10"/>
  <c r="T175" i="10"/>
  <c r="AS175" i="10"/>
  <c r="AM575" i="10"/>
  <c r="AD175" i="10"/>
  <c r="K175" i="10"/>
  <c r="Y175" i="10"/>
  <c r="S175" i="10"/>
  <c r="U175" i="10"/>
  <c r="Z175" i="10"/>
  <c r="L175" i="10"/>
  <c r="AE175" i="10"/>
  <c r="AD575" i="10"/>
  <c r="V575" i="10"/>
  <c r="Q175" i="10"/>
  <c r="AG575" i="10"/>
  <c r="AO575" i="10"/>
  <c r="AE575" i="10"/>
  <c r="AQ175" i="10"/>
  <c r="N575" i="10"/>
  <c r="AK175" i="10"/>
  <c r="AN575" i="10"/>
  <c r="Q575" i="10"/>
  <c r="AX175" i="10"/>
  <c r="X175" i="10"/>
  <c r="AO175" i="10"/>
  <c r="AJ575" i="10"/>
  <c r="AT575" i="10"/>
  <c r="AT175" i="10"/>
  <c r="AP175" i="10"/>
  <c r="Z575" i="10"/>
  <c r="L575" i="10"/>
  <c r="AB175" i="10"/>
  <c r="AI175" i="10"/>
  <c r="AH575" i="10"/>
  <c r="P175" i="10"/>
  <c r="AR575" i="10"/>
  <c r="W575" i="10"/>
  <c r="W175" i="10"/>
  <c r="AF575" i="10"/>
  <c r="V175" i="10"/>
  <c r="N175" i="10"/>
  <c r="AR175" i="10"/>
  <c r="S575" i="10"/>
  <c r="AQ575" i="10"/>
  <c r="AY575" i="10"/>
  <c r="AL175" i="10"/>
  <c r="AA575" i="10"/>
  <c r="X575" i="10"/>
  <c r="AL575" i="10"/>
  <c r="AV575" i="10"/>
  <c r="R255" i="10"/>
  <c r="AT255" i="10"/>
  <c r="AM255" i="10"/>
  <c r="AA655" i="10"/>
  <c r="AH655" i="10"/>
  <c r="AB255" i="10"/>
  <c r="AL655" i="10"/>
  <c r="AV655" i="10"/>
  <c r="AN655" i="10"/>
  <c r="L255" i="10"/>
  <c r="AM655" i="10"/>
  <c r="T655" i="10"/>
  <c r="AE655" i="10"/>
  <c r="AQ255" i="10"/>
  <c r="Z255" i="10"/>
  <c r="AG255" i="10"/>
  <c r="M255" i="10"/>
  <c r="AB655" i="10"/>
  <c r="AG655" i="10"/>
  <c r="AR655" i="10"/>
  <c r="AY655" i="10"/>
  <c r="P655" i="10"/>
  <c r="X255" i="10"/>
  <c r="V255" i="10"/>
  <c r="U255" i="10"/>
  <c r="S255" i="10"/>
  <c r="AK255" i="10"/>
  <c r="AP655" i="10"/>
  <c r="J655" i="10"/>
  <c r="AD255" i="10"/>
  <c r="AW655" i="10"/>
  <c r="AI255" i="10"/>
  <c r="AS655" i="10"/>
  <c r="AJ655" i="10"/>
  <c r="AX255" i="10"/>
  <c r="O655" i="10"/>
  <c r="L655" i="10"/>
  <c r="M655" i="10"/>
  <c r="X655" i="10"/>
  <c r="AF255" i="10"/>
  <c r="AH255" i="10"/>
  <c r="AO255" i="10"/>
  <c r="W655" i="10"/>
  <c r="AU655" i="10"/>
  <c r="U655" i="10"/>
  <c r="AS255" i="10"/>
  <c r="AW255" i="10"/>
  <c r="AV255" i="10"/>
  <c r="T255" i="10"/>
  <c r="AC655" i="10"/>
  <c r="AD655" i="10"/>
  <c r="AQ655" i="10"/>
  <c r="AA255" i="10"/>
  <c r="AJ255" i="10"/>
  <c r="AT655" i="10"/>
  <c r="Y655" i="10"/>
  <c r="AC255" i="10"/>
  <c r="AE255" i="10"/>
  <c r="Q655" i="10"/>
  <c r="V655" i="10"/>
  <c r="AN255" i="10"/>
  <c r="K655" i="10"/>
  <c r="Z655" i="10"/>
  <c r="N655" i="10"/>
  <c r="O255" i="10"/>
  <c r="W255" i="10"/>
  <c r="K255" i="10"/>
  <c r="AF655" i="10"/>
  <c r="P255" i="10"/>
  <c r="N255" i="10"/>
  <c r="AP255" i="10"/>
  <c r="AR255" i="10"/>
  <c r="J255" i="10"/>
  <c r="AY255" i="10"/>
  <c r="AL255" i="10"/>
  <c r="AX655" i="10"/>
  <c r="AK655" i="10"/>
  <c r="AO655" i="10"/>
  <c r="R655" i="10"/>
  <c r="Q255" i="10"/>
  <c r="AI655" i="10"/>
  <c r="Y255" i="10"/>
  <c r="S655" i="10"/>
  <c r="F270" i="9"/>
  <c r="Z270" i="9" s="1"/>
  <c r="AA270" i="9" s="1"/>
  <c r="Y270" i="27"/>
  <c r="G270" i="27" s="1"/>
  <c r="F270" i="6"/>
  <c r="P270" i="26"/>
  <c r="X270" i="27" s="1"/>
  <c r="AB270" i="27" s="1"/>
  <c r="Y57" i="27"/>
  <c r="G57" i="27" s="1"/>
  <c r="P57" i="26"/>
  <c r="X57" i="27" s="1"/>
  <c r="AB57" i="27" s="1"/>
  <c r="F57" i="6"/>
  <c r="F57" i="9"/>
  <c r="Z57" i="9" s="1"/>
  <c r="AA57" i="9" s="1"/>
  <c r="Y279" i="27"/>
  <c r="G279" i="27" s="1"/>
  <c r="F279" i="6"/>
  <c r="F279" i="9"/>
  <c r="Z279" i="9" s="1"/>
  <c r="AA279" i="9" s="1"/>
  <c r="P279" i="26"/>
  <c r="X279" i="27" s="1"/>
  <c r="AB279" i="27" s="1"/>
  <c r="AC192" i="6"/>
  <c r="Y58" i="27"/>
  <c r="G58" i="27" s="1"/>
  <c r="F58" i="9"/>
  <c r="Z58" i="9" s="1"/>
  <c r="AA58" i="9" s="1"/>
  <c r="F58" i="6"/>
  <c r="P58" i="26"/>
  <c r="X58" i="27" s="1"/>
  <c r="AB58" i="27" s="1"/>
  <c r="I261" i="9"/>
  <c r="I261" i="6"/>
  <c r="F240" i="10"/>
  <c r="W240" i="27"/>
  <c r="E240" i="27" s="1"/>
  <c r="N240" i="26"/>
  <c r="BD175" i="26"/>
  <c r="G175" i="10"/>
  <c r="V175" i="27"/>
  <c r="AA175" i="27" s="1"/>
  <c r="H193" i="6"/>
  <c r="AC193" i="6" s="1"/>
  <c r="F388" i="9"/>
  <c r="F73" i="6"/>
  <c r="Z73" i="6" s="1"/>
  <c r="P290" i="26"/>
  <c r="AM502" i="26"/>
  <c r="AO502" i="26" s="1"/>
  <c r="AN502" i="26" s="1"/>
  <c r="BF502" i="26" s="1"/>
  <c r="F28" i="6"/>
  <c r="Z28" i="6" s="1"/>
  <c r="I205" i="9"/>
  <c r="I205" i="6"/>
  <c r="F31" i="9"/>
  <c r="Z31" i="9" s="1"/>
  <c r="AA31" i="9" s="1"/>
  <c r="F31" i="6"/>
  <c r="Y31" i="27"/>
  <c r="G31" i="27" s="1"/>
  <c r="P31" i="26"/>
  <c r="X31" i="27" s="1"/>
  <c r="AB31" i="27" s="1"/>
  <c r="F338" i="9"/>
  <c r="Z338" i="9" s="1"/>
  <c r="AA338" i="9" s="1"/>
  <c r="P338" i="26"/>
  <c r="X338" i="27" s="1"/>
  <c r="AB338" i="27" s="1"/>
  <c r="F338" i="6"/>
  <c r="AA338" i="6" s="1"/>
  <c r="Y338" i="27"/>
  <c r="G338" i="27" s="1"/>
  <c r="I385" i="9"/>
  <c r="I385" i="6"/>
  <c r="P120" i="26"/>
  <c r="X120" i="27" s="1"/>
  <c r="AB120" i="27" s="1"/>
  <c r="F120" i="9"/>
  <c r="Z120" i="9" s="1"/>
  <c r="AA120" i="9" s="1"/>
  <c r="Y120" i="27"/>
  <c r="G120" i="27" s="1"/>
  <c r="F120" i="6"/>
  <c r="BA211" i="10"/>
  <c r="BB211" i="10"/>
  <c r="BC211" i="10" s="1"/>
  <c r="AC138" i="9"/>
  <c r="O276" i="10"/>
  <c r="AN276" i="10"/>
  <c r="AX276" i="10"/>
  <c r="AQ676" i="10"/>
  <c r="R676" i="10"/>
  <c r="AD676" i="10"/>
  <c r="AV676" i="10"/>
  <c r="P676" i="10"/>
  <c r="AF276" i="10"/>
  <c r="X276" i="10"/>
  <c r="Y276" i="10"/>
  <c r="AH676" i="10"/>
  <c r="AI276" i="10"/>
  <c r="AG276" i="10"/>
  <c r="AA276" i="10"/>
  <c r="AF676" i="10"/>
  <c r="R276" i="10"/>
  <c r="S676" i="10"/>
  <c r="J276" i="10"/>
  <c r="O676" i="10"/>
  <c r="AT276" i="10"/>
  <c r="AJ276" i="10"/>
  <c r="AR276" i="10"/>
  <c r="Z676" i="10"/>
  <c r="AB276" i="10"/>
  <c r="AR676" i="10"/>
  <c r="AN676" i="10"/>
  <c r="X676" i="10"/>
  <c r="L276" i="10"/>
  <c r="AM676" i="10"/>
  <c r="AW676" i="10"/>
  <c r="AJ676" i="10"/>
  <c r="AC276" i="10"/>
  <c r="L676" i="10"/>
  <c r="N676" i="10"/>
  <c r="AE276" i="10"/>
  <c r="J676" i="10"/>
  <c r="AC676" i="10"/>
  <c r="AS676" i="10"/>
  <c r="U676" i="10"/>
  <c r="AD276" i="10"/>
  <c r="AO676" i="10"/>
  <c r="AO276" i="10"/>
  <c r="AV276" i="10"/>
  <c r="AI676" i="10"/>
  <c r="AL276" i="10"/>
  <c r="AB676" i="10"/>
  <c r="T676" i="10"/>
  <c r="AY676" i="10"/>
  <c r="AT676" i="10"/>
  <c r="AK276" i="10"/>
  <c r="AG676" i="10"/>
  <c r="AP676" i="10"/>
  <c r="T276" i="10"/>
  <c r="AQ276" i="10"/>
  <c r="U276" i="10"/>
  <c r="AL676" i="10"/>
  <c r="AX676" i="10"/>
  <c r="V676" i="10"/>
  <c r="AW276" i="10"/>
  <c r="S276" i="10"/>
  <c r="W676" i="10"/>
  <c r="Y676" i="10"/>
  <c r="V276" i="10"/>
  <c r="Z276" i="10"/>
  <c r="AU676" i="10"/>
  <c r="N276" i="10"/>
  <c r="K676" i="10"/>
  <c r="P276" i="10"/>
  <c r="Q676" i="10"/>
  <c r="AS276" i="10"/>
  <c r="AP276" i="10"/>
  <c r="M676" i="10"/>
  <c r="AK676" i="10"/>
  <c r="AM276" i="10"/>
  <c r="AH276" i="10"/>
  <c r="K276" i="10"/>
  <c r="Q276" i="10"/>
  <c r="AY276" i="10"/>
  <c r="AE676" i="10"/>
  <c r="AA676" i="10"/>
  <c r="M276" i="10"/>
  <c r="W276" i="10"/>
  <c r="AR742" i="10"/>
  <c r="J742" i="10"/>
  <c r="AD342" i="10"/>
  <c r="AY742" i="10"/>
  <c r="AV342" i="10"/>
  <c r="X342" i="10"/>
  <c r="AO342" i="10"/>
  <c r="AA342" i="10"/>
  <c r="AG342" i="10"/>
  <c r="AS342" i="10"/>
  <c r="AC742" i="10"/>
  <c r="AQ742" i="10"/>
  <c r="AG742" i="10"/>
  <c r="Z342" i="10"/>
  <c r="AM342" i="10"/>
  <c r="AO742" i="10"/>
  <c r="Q742" i="10"/>
  <c r="AS742" i="10"/>
  <c r="L742" i="10"/>
  <c r="AJ742" i="10"/>
  <c r="R342" i="10"/>
  <c r="O742" i="10"/>
  <c r="Z742" i="10"/>
  <c r="AI342" i="10"/>
  <c r="N742" i="10"/>
  <c r="V342" i="10"/>
  <c r="AX742" i="10"/>
  <c r="AK342" i="10"/>
  <c r="AH342" i="10"/>
  <c r="AK742" i="10"/>
  <c r="AB342" i="10"/>
  <c r="Y742" i="10"/>
  <c r="AL342" i="10"/>
  <c r="U742" i="10"/>
  <c r="AI742" i="10"/>
  <c r="M342" i="10"/>
  <c r="AQ342" i="10"/>
  <c r="AH742" i="10"/>
  <c r="AJ342" i="10"/>
  <c r="AC342" i="10"/>
  <c r="W742" i="10"/>
  <c r="AP342" i="10"/>
  <c r="U342" i="10"/>
  <c r="AN342" i="10"/>
  <c r="AM742" i="10"/>
  <c r="AD742" i="10"/>
  <c r="AT742" i="10"/>
  <c r="AW742" i="10"/>
  <c r="AA742" i="10"/>
  <c r="X742" i="10"/>
  <c r="V742" i="10"/>
  <c r="O342" i="10"/>
  <c r="S342" i="10"/>
  <c r="AP742" i="10"/>
  <c r="Y342" i="10"/>
  <c r="AE342" i="10"/>
  <c r="P742" i="10"/>
  <c r="AB742" i="10"/>
  <c r="AY342" i="10"/>
  <c r="J342" i="10"/>
  <c r="AE742" i="10"/>
  <c r="AL742" i="10"/>
  <c r="S742" i="10"/>
  <c r="AW342" i="10"/>
  <c r="AN742" i="10"/>
  <c r="R742" i="10"/>
  <c r="Q342" i="10"/>
  <c r="W342" i="10"/>
  <c r="AX342" i="10"/>
  <c r="K342" i="10"/>
  <c r="K742" i="10"/>
  <c r="AU742" i="10"/>
  <c r="AT342" i="10"/>
  <c r="T742" i="10"/>
  <c r="M742" i="10"/>
  <c r="L342" i="10"/>
  <c r="AF742" i="10"/>
  <c r="AF342" i="10"/>
  <c r="AV742" i="10"/>
  <c r="N342" i="10"/>
  <c r="T342" i="10"/>
  <c r="P342" i="10"/>
  <c r="AR342" i="10"/>
  <c r="BA272" i="10"/>
  <c r="BB272" i="10"/>
  <c r="R57" i="26"/>
  <c r="H57" i="6"/>
  <c r="AC57" i="6" s="1"/>
  <c r="H57" i="9"/>
  <c r="AG186" i="9"/>
  <c r="AJ480" i="26"/>
  <c r="AH480" i="26"/>
  <c r="AU480" i="26"/>
  <c r="AY437" i="26"/>
  <c r="S437" i="26" s="1"/>
  <c r="AZ437" i="26"/>
  <c r="F268" i="27"/>
  <c r="Y330" i="27"/>
  <c r="G330" i="27" s="1"/>
  <c r="F330" i="6"/>
  <c r="F330" i="9"/>
  <c r="Z330" i="9" s="1"/>
  <c r="AA330" i="9" s="1"/>
  <c r="P330" i="26"/>
  <c r="X330" i="27" s="1"/>
  <c r="AB330" i="27" s="1"/>
  <c r="Y192" i="27"/>
  <c r="G192" i="27" s="1"/>
  <c r="F192" i="9"/>
  <c r="Z192" i="9" s="1"/>
  <c r="AA192" i="9" s="1"/>
  <c r="F192" i="6"/>
  <c r="P192" i="26"/>
  <c r="X192" i="27" s="1"/>
  <c r="AB192" i="27" s="1"/>
  <c r="AC120" i="9"/>
  <c r="H117" i="9"/>
  <c r="H117" i="6"/>
  <c r="AC180" i="6"/>
  <c r="AC183" i="6"/>
  <c r="Z261" i="6"/>
  <c r="G255" i="9"/>
  <c r="BE255" i="26"/>
  <c r="G255" i="6"/>
  <c r="G313" i="6"/>
  <c r="G313" i="9"/>
  <c r="BE313" i="26"/>
  <c r="BD174" i="26"/>
  <c r="G174" i="10"/>
  <c r="V174" i="27"/>
  <c r="AA174" i="27" s="1"/>
  <c r="H58" i="6"/>
  <c r="R58" i="26"/>
  <c r="H58" i="9"/>
  <c r="F190" i="6"/>
  <c r="Y190" i="27"/>
  <c r="G190" i="27" s="1"/>
  <c r="F190" i="9"/>
  <c r="Z190" i="9" s="1"/>
  <c r="AA190" i="9" s="1"/>
  <c r="P190" i="26"/>
  <c r="X190" i="27" s="1"/>
  <c r="AB190" i="27" s="1"/>
  <c r="AC261" i="9"/>
  <c r="AH483" i="26"/>
  <c r="AJ483" i="26"/>
  <c r="AU483" i="26"/>
  <c r="F113" i="27"/>
  <c r="AL530" i="26"/>
  <c r="AS530" i="26" s="1"/>
  <c r="I255" i="9"/>
  <c r="I255" i="6"/>
  <c r="Y276" i="27"/>
  <c r="G276" i="27" s="1"/>
  <c r="F276" i="9"/>
  <c r="Z276" i="9" s="1"/>
  <c r="AA276" i="9" s="1"/>
  <c r="F276" i="6"/>
  <c r="P276" i="26"/>
  <c r="X276" i="27" s="1"/>
  <c r="AB276" i="27" s="1"/>
  <c r="AE279" i="10"/>
  <c r="AO679" i="10"/>
  <c r="AJ679" i="10"/>
  <c r="AK679" i="10"/>
  <c r="AF279" i="10"/>
  <c r="T679" i="10"/>
  <c r="AH679" i="10"/>
  <c r="AL279" i="10"/>
  <c r="R679" i="10"/>
  <c r="AE679" i="10"/>
  <c r="AN679" i="10"/>
  <c r="AW279" i="10"/>
  <c r="AD679" i="10"/>
  <c r="P679" i="10"/>
  <c r="AT679" i="10"/>
  <c r="S679" i="10"/>
  <c r="AW679" i="10"/>
  <c r="W279" i="10"/>
  <c r="O279" i="10"/>
  <c r="AI679" i="10"/>
  <c r="Z679" i="10"/>
  <c r="Y679" i="10"/>
  <c r="M279" i="10"/>
  <c r="AX679" i="10"/>
  <c r="O679" i="10"/>
  <c r="AM679" i="10"/>
  <c r="R279" i="10"/>
  <c r="T279" i="10"/>
  <c r="AB279" i="10"/>
  <c r="L279" i="10"/>
  <c r="J679" i="10"/>
  <c r="AC679" i="10"/>
  <c r="AP679" i="10"/>
  <c r="Q279" i="10"/>
  <c r="AJ279" i="10"/>
  <c r="K679" i="10"/>
  <c r="AA279" i="10"/>
  <c r="AY679" i="10"/>
  <c r="AD279" i="10"/>
  <c r="N279" i="10"/>
  <c r="P279" i="10"/>
  <c r="N679" i="10"/>
  <c r="AV279" i="10"/>
  <c r="AY279" i="10"/>
  <c r="AH279" i="10"/>
  <c r="W679" i="10"/>
  <c r="AP279" i="10"/>
  <c r="AR679" i="10"/>
  <c r="Q679" i="10"/>
  <c r="AL679" i="10"/>
  <c r="AC279" i="10"/>
  <c r="U679" i="10"/>
  <c r="J279" i="10"/>
  <c r="V679" i="10"/>
  <c r="AO279" i="10"/>
  <c r="AQ279" i="10"/>
  <c r="AG679" i="10"/>
  <c r="AR279" i="10"/>
  <c r="AK279" i="10"/>
  <c r="X679" i="10"/>
  <c r="AS679" i="10"/>
  <c r="U279" i="10"/>
  <c r="AU679" i="10"/>
  <c r="L679" i="10"/>
  <c r="AN279" i="10"/>
  <c r="V279" i="10"/>
  <c r="AA679" i="10"/>
  <c r="AV679" i="10"/>
  <c r="M679" i="10"/>
  <c r="AQ679" i="10"/>
  <c r="AB679" i="10"/>
  <c r="AF679" i="10"/>
  <c r="S279" i="10"/>
  <c r="AX279" i="10"/>
  <c r="AT279" i="10"/>
  <c r="X279" i="10"/>
  <c r="AM279" i="10"/>
  <c r="AI279" i="10"/>
  <c r="AG279" i="10"/>
  <c r="AS279" i="10"/>
  <c r="Y279" i="10"/>
  <c r="Z279" i="10"/>
  <c r="K279" i="10"/>
  <c r="W283" i="27"/>
  <c r="E283" i="27" s="1"/>
  <c r="F283" i="10"/>
  <c r="N283" i="26"/>
  <c r="AC259" i="9"/>
  <c r="F183" i="10"/>
  <c r="W183" i="27"/>
  <c r="E183" i="27" s="1"/>
  <c r="N183" i="26"/>
  <c r="I313" i="6"/>
  <c r="I313" i="9"/>
  <c r="P120" i="10"/>
  <c r="AK520" i="10"/>
  <c r="P520" i="10"/>
  <c r="S520" i="10"/>
  <c r="AI520" i="10"/>
  <c r="L520" i="10"/>
  <c r="Q120" i="10"/>
  <c r="O120" i="10"/>
  <c r="N120" i="10"/>
  <c r="T120" i="10"/>
  <c r="AL120" i="10"/>
  <c r="K120" i="10"/>
  <c r="M520" i="10"/>
  <c r="AV120" i="10"/>
  <c r="AK120" i="10"/>
  <c r="AS120" i="10"/>
  <c r="AG120" i="10"/>
  <c r="AE520" i="10"/>
  <c r="AM120" i="10"/>
  <c r="AR520" i="10"/>
  <c r="R120" i="10"/>
  <c r="AS520" i="10"/>
  <c r="AQ120" i="10"/>
  <c r="AT520" i="10"/>
  <c r="AX120" i="10"/>
  <c r="V120" i="10"/>
  <c r="AD520" i="10"/>
  <c r="AX520" i="10"/>
  <c r="AV520" i="10"/>
  <c r="AJ520" i="10"/>
  <c r="M120" i="10"/>
  <c r="AA520" i="10"/>
  <c r="AQ520" i="10"/>
  <c r="AF520" i="10"/>
  <c r="AY120" i="10"/>
  <c r="AC120" i="10"/>
  <c r="AT120" i="10"/>
  <c r="AW520" i="10"/>
  <c r="AW120" i="10"/>
  <c r="J120" i="10"/>
  <c r="Y520" i="10"/>
  <c r="AB520" i="10"/>
  <c r="W520" i="10"/>
  <c r="AP120" i="10"/>
  <c r="Z520" i="10"/>
  <c r="AD120" i="10"/>
  <c r="AB120" i="10"/>
  <c r="AP520" i="10"/>
  <c r="V520" i="10"/>
  <c r="AH520" i="10"/>
  <c r="AN520" i="10"/>
  <c r="N520" i="10"/>
  <c r="AL520" i="10"/>
  <c r="Y120" i="10"/>
  <c r="AF120" i="10"/>
  <c r="X120" i="10"/>
  <c r="AH120" i="10"/>
  <c r="AJ120" i="10"/>
  <c r="AU520" i="10"/>
  <c r="AC520" i="10"/>
  <c r="T520" i="10"/>
  <c r="W120" i="10"/>
  <c r="AM520" i="10"/>
  <c r="K520" i="10"/>
  <c r="AG520" i="10"/>
  <c r="U120" i="10"/>
  <c r="AA120" i="10"/>
  <c r="O520" i="10"/>
  <c r="AR120" i="10"/>
  <c r="AO520" i="10"/>
  <c r="Q520" i="10"/>
  <c r="X520" i="10"/>
  <c r="U520" i="10"/>
  <c r="J520" i="10"/>
  <c r="S120" i="10"/>
  <c r="AN120" i="10"/>
  <c r="AY520" i="10"/>
  <c r="AI120" i="10"/>
  <c r="AE120" i="10"/>
  <c r="AO120" i="10"/>
  <c r="L120" i="10"/>
  <c r="Z120" i="10"/>
  <c r="R520" i="10"/>
  <c r="I165" i="9"/>
  <c r="I165" i="6"/>
  <c r="P181" i="26"/>
  <c r="X181" i="27" s="1"/>
  <c r="AB181" i="27" s="1"/>
  <c r="F181" i="6"/>
  <c r="F181" i="9"/>
  <c r="Y181" i="27"/>
  <c r="G181" i="27" s="1"/>
  <c r="AY440" i="26"/>
  <c r="S440" i="26" s="1"/>
  <c r="AZ440" i="26"/>
  <c r="BB440" i="26" s="1"/>
  <c r="BA440" i="26" s="1"/>
  <c r="R338" i="26"/>
  <c r="Y117" i="27"/>
  <c r="G117" i="27" s="1"/>
  <c r="P117" i="26"/>
  <c r="X117" i="27" s="1"/>
  <c r="AB117" i="27" s="1"/>
  <c r="F117" i="9"/>
  <c r="Z117" i="9" s="1"/>
  <c r="AA117" i="9" s="1"/>
  <c r="F117" i="6"/>
  <c r="F241" i="10"/>
  <c r="W241" i="27"/>
  <c r="E241" i="27" s="1"/>
  <c r="N241" i="26"/>
  <c r="Y165" i="27"/>
  <c r="G165" i="27" s="1"/>
  <c r="F165" i="6"/>
  <c r="F165" i="9"/>
  <c r="Z165" i="9" s="1"/>
  <c r="AA165" i="9" s="1"/>
  <c r="AC270" i="9"/>
  <c r="G180" i="10"/>
  <c r="V180" i="27"/>
  <c r="AA180" i="27" s="1"/>
  <c r="BD180" i="26"/>
  <c r="AT538" i="10"/>
  <c r="O138" i="10"/>
  <c r="M138" i="10"/>
  <c r="AI538" i="10"/>
  <c r="AP138" i="10"/>
  <c r="P138" i="10"/>
  <c r="AA538" i="10"/>
  <c r="AS538" i="10"/>
  <c r="S538" i="10"/>
  <c r="V138" i="10"/>
  <c r="AP538" i="10"/>
  <c r="AI138" i="10"/>
  <c r="R138" i="10"/>
  <c r="AW138" i="10"/>
  <c r="AV138" i="10"/>
  <c r="AG138" i="10"/>
  <c r="U538" i="10"/>
  <c r="P538" i="10"/>
  <c r="Y138" i="10"/>
  <c r="AR538" i="10"/>
  <c r="AS138" i="10"/>
  <c r="AR138" i="10"/>
  <c r="AY538" i="10"/>
  <c r="AX538" i="10"/>
  <c r="X138" i="10"/>
  <c r="W138" i="10"/>
  <c r="T538" i="10"/>
  <c r="O538" i="10"/>
  <c r="AF538" i="10"/>
  <c r="S138" i="10"/>
  <c r="AQ138" i="10"/>
  <c r="L538" i="10"/>
  <c r="AD138" i="10"/>
  <c r="AT138" i="10"/>
  <c r="U138" i="10"/>
  <c r="AK538" i="10"/>
  <c r="W538" i="10"/>
  <c r="V538" i="10"/>
  <c r="AQ538" i="10"/>
  <c r="AN138" i="10"/>
  <c r="Z538" i="10"/>
  <c r="AB538" i="10"/>
  <c r="AJ138" i="10"/>
  <c r="AY138" i="10"/>
  <c r="AE538" i="10"/>
  <c r="X538" i="10"/>
  <c r="AD538" i="10"/>
  <c r="K138" i="10"/>
  <c r="J138" i="10"/>
  <c r="N138" i="10"/>
  <c r="AO538" i="10"/>
  <c r="AK138" i="10"/>
  <c r="AO138" i="10"/>
  <c r="AC538" i="10"/>
  <c r="AF138" i="10"/>
  <c r="T138" i="10"/>
  <c r="AV538" i="10"/>
  <c r="L138" i="10"/>
  <c r="AH138" i="10"/>
  <c r="AN538" i="10"/>
  <c r="AE138" i="10"/>
  <c r="AX138" i="10"/>
  <c r="AC138" i="10"/>
  <c r="AH538" i="10"/>
  <c r="AL538" i="10"/>
  <c r="M538" i="10"/>
  <c r="Q538" i="10"/>
  <c r="R538" i="10"/>
  <c r="AL138" i="10"/>
  <c r="N538" i="10"/>
  <c r="J538" i="10"/>
  <c r="Z138" i="10"/>
  <c r="Y538" i="10"/>
  <c r="K538" i="10"/>
  <c r="AG538" i="10"/>
  <c r="AW538" i="10"/>
  <c r="AA138" i="10"/>
  <c r="AB138" i="10"/>
  <c r="Q138" i="10"/>
  <c r="AJ538" i="10"/>
  <c r="AM538" i="10"/>
  <c r="AM138" i="10"/>
  <c r="AU538" i="10"/>
  <c r="V18" i="27"/>
  <c r="G18" i="10"/>
  <c r="BD18" i="26"/>
  <c r="AY530" i="26"/>
  <c r="S530" i="26" s="1"/>
  <c r="AZ530" i="26"/>
  <c r="BB530" i="26" s="1"/>
  <c r="BA530" i="26" s="1"/>
  <c r="F307" i="27"/>
  <c r="W270" i="27"/>
  <c r="E270" i="27" s="1"/>
  <c r="F270" i="10"/>
  <c r="N270" i="26"/>
  <c r="R193" i="26"/>
  <c r="I193" i="6" s="1"/>
  <c r="H293" i="6"/>
  <c r="R293" i="26"/>
  <c r="H293" i="9"/>
  <c r="I259" i="9"/>
  <c r="I259" i="6"/>
  <c r="F91" i="9"/>
  <c r="Z91" i="9" s="1"/>
  <c r="AA91" i="9" s="1"/>
  <c r="F91" i="6"/>
  <c r="Y91" i="27"/>
  <c r="G91" i="27" s="1"/>
  <c r="P91" i="26"/>
  <c r="X91" i="27" s="1"/>
  <c r="AB91" i="27" s="1"/>
  <c r="Y161" i="27"/>
  <c r="G161" i="27" s="1"/>
  <c r="F161" i="9"/>
  <c r="Z161" i="9" s="1"/>
  <c r="AA161" i="9" s="1"/>
  <c r="F161" i="6"/>
  <c r="P161" i="26"/>
  <c r="X161" i="27" s="1"/>
  <c r="AB161" i="27" s="1"/>
  <c r="P165" i="26"/>
  <c r="X165" i="27" s="1"/>
  <c r="AB165" i="27" s="1"/>
  <c r="H137" i="27"/>
  <c r="Z87" i="6"/>
  <c r="Q693" i="10"/>
  <c r="N693" i="10"/>
  <c r="Q293" i="10"/>
  <c r="AM693" i="10"/>
  <c r="AL693" i="10"/>
  <c r="AJ693" i="10"/>
  <c r="AB293" i="10"/>
  <c r="AE293" i="10"/>
  <c r="Y293" i="10"/>
  <c r="AX693" i="10"/>
  <c r="AR293" i="10"/>
  <c r="K693" i="10"/>
  <c r="O693" i="10"/>
  <c r="U693" i="10"/>
  <c r="AH293" i="10"/>
  <c r="AY293" i="10"/>
  <c r="W693" i="10"/>
  <c r="AP693" i="10"/>
  <c r="AR693" i="10"/>
  <c r="K293" i="10"/>
  <c r="AX293" i="10"/>
  <c r="Y693" i="10"/>
  <c r="P293" i="10"/>
  <c r="AJ293" i="10"/>
  <c r="W293" i="10"/>
  <c r="J293" i="10"/>
  <c r="AA293" i="10"/>
  <c r="X293" i="10"/>
  <c r="Z293" i="10"/>
  <c r="AO693" i="10"/>
  <c r="AF693" i="10"/>
  <c r="AV293" i="10"/>
  <c r="AH693" i="10"/>
  <c r="T293" i="10"/>
  <c r="L693" i="10"/>
  <c r="S693" i="10"/>
  <c r="R293" i="10"/>
  <c r="X693" i="10"/>
  <c r="AY693" i="10"/>
  <c r="U293" i="10"/>
  <c r="AD693" i="10"/>
  <c r="AB693" i="10"/>
  <c r="AK693" i="10"/>
  <c r="AU693" i="10"/>
  <c r="N293" i="10"/>
  <c r="AS293" i="10"/>
  <c r="M693" i="10"/>
  <c r="AG293" i="10"/>
  <c r="J693" i="10"/>
  <c r="AA693" i="10"/>
  <c r="AO293" i="10"/>
  <c r="AL293" i="10"/>
  <c r="Z693" i="10"/>
  <c r="AC293" i="10"/>
  <c r="AE693" i="10"/>
  <c r="O293" i="10"/>
  <c r="AF293" i="10"/>
  <c r="AM293" i="10"/>
  <c r="AI693" i="10"/>
  <c r="AD293" i="10"/>
  <c r="AP293" i="10"/>
  <c r="AT293" i="10"/>
  <c r="AN293" i="10"/>
  <c r="M293" i="10"/>
  <c r="AI293" i="10"/>
  <c r="AV693" i="10"/>
  <c r="L293" i="10"/>
  <c r="AW693" i="10"/>
  <c r="V293" i="10"/>
  <c r="AS693" i="10"/>
  <c r="S293" i="10"/>
  <c r="R693" i="10"/>
  <c r="P693" i="10"/>
  <c r="V693" i="10"/>
  <c r="AG693" i="10"/>
  <c r="AQ693" i="10"/>
  <c r="AN693" i="10"/>
  <c r="AW293" i="10"/>
  <c r="AK293" i="10"/>
  <c r="AQ293" i="10"/>
  <c r="AC693" i="10"/>
  <c r="AT693" i="10"/>
  <c r="T693" i="10"/>
  <c r="AL437" i="26"/>
  <c r="AS437" i="26" s="1"/>
  <c r="G31" i="10"/>
  <c r="V31" i="27"/>
  <c r="AA31" i="27" s="1"/>
  <c r="BD31" i="26"/>
  <c r="F225" i="27"/>
  <c r="AC180" i="9"/>
  <c r="BA307" i="10"/>
  <c r="BB307" i="10"/>
  <c r="BC307" i="10" s="1"/>
  <c r="AG261" i="9"/>
  <c r="AW77" i="10"/>
  <c r="Q477" i="10"/>
  <c r="AC477" i="10"/>
  <c r="X77" i="10"/>
  <c r="AH477" i="10"/>
  <c r="L477" i="10"/>
  <c r="L77" i="10"/>
  <c r="AF77" i="10"/>
  <c r="P77" i="10"/>
  <c r="Y77" i="10"/>
  <c r="AX77" i="10"/>
  <c r="AN77" i="10"/>
  <c r="Z77" i="10"/>
  <c r="AS77" i="10"/>
  <c r="K77" i="10"/>
  <c r="U477" i="10"/>
  <c r="N477" i="10"/>
  <c r="AY77" i="10"/>
  <c r="W477" i="10"/>
  <c r="P477" i="10"/>
  <c r="AA77" i="10"/>
  <c r="X477" i="10"/>
  <c r="AP477" i="10"/>
  <c r="AD77" i="10"/>
  <c r="N77" i="10"/>
  <c r="R477" i="10"/>
  <c r="R77" i="10"/>
  <c r="AI77" i="10"/>
  <c r="AU477" i="10"/>
  <c r="AN477" i="10"/>
  <c r="AJ77" i="10"/>
  <c r="Q77" i="10"/>
  <c r="AG77" i="10"/>
  <c r="AO77" i="10"/>
  <c r="AQ77" i="10"/>
  <c r="AT477" i="10"/>
  <c r="M77" i="10"/>
  <c r="T477" i="10"/>
  <c r="AK77" i="10"/>
  <c r="AT77" i="10"/>
  <c r="AO477" i="10"/>
  <c r="AW477" i="10"/>
  <c r="AM477" i="10"/>
  <c r="AS477" i="10"/>
  <c r="S477" i="10"/>
  <c r="AQ477" i="10"/>
  <c r="AR477" i="10"/>
  <c r="AM77" i="10"/>
  <c r="AV77" i="10"/>
  <c r="J477" i="10"/>
  <c r="AE477" i="10"/>
  <c r="AG477" i="10"/>
  <c r="AL477" i="10"/>
  <c r="U77" i="10"/>
  <c r="J77" i="10"/>
  <c r="AP77" i="10"/>
  <c r="AH77" i="10"/>
  <c r="AD477" i="10"/>
  <c r="O77" i="10"/>
  <c r="AK477" i="10"/>
  <c r="AV477" i="10"/>
  <c r="AA477" i="10"/>
  <c r="S77" i="10"/>
  <c r="AF477" i="10"/>
  <c r="AR77" i="10"/>
  <c r="AY477" i="10"/>
  <c r="AI477" i="10"/>
  <c r="V477" i="10"/>
  <c r="K477" i="10"/>
  <c r="AC77" i="10"/>
  <c r="AE77" i="10"/>
  <c r="T77" i="10"/>
  <c r="M477" i="10"/>
  <c r="O477" i="10"/>
  <c r="AL77" i="10"/>
  <c r="Z477" i="10"/>
  <c r="AX477" i="10"/>
  <c r="Y477" i="10"/>
  <c r="AB477" i="10"/>
  <c r="W77" i="10"/>
  <c r="V77" i="10"/>
  <c r="AJ477" i="10"/>
  <c r="AB77" i="10"/>
  <c r="R190" i="26"/>
  <c r="H190" i="6"/>
  <c r="H190" i="9"/>
  <c r="AI635" i="10"/>
  <c r="AE635" i="10"/>
  <c r="L635" i="10"/>
  <c r="Z635" i="10"/>
  <c r="AA235" i="10"/>
  <c r="AF235" i="10"/>
  <c r="Y635" i="10"/>
  <c r="AY635" i="10"/>
  <c r="S635" i="10"/>
  <c r="X235" i="10"/>
  <c r="AS235" i="10"/>
  <c r="AD635" i="10"/>
  <c r="O635" i="10"/>
  <c r="AW235" i="10"/>
  <c r="R635" i="10"/>
  <c r="AQ635" i="10"/>
  <c r="AC635" i="10"/>
  <c r="AO635" i="10"/>
  <c r="U235" i="10"/>
  <c r="AM635" i="10"/>
  <c r="AM235" i="10"/>
  <c r="N235" i="10"/>
  <c r="J235" i="10"/>
  <c r="AP635" i="10"/>
  <c r="AU635" i="10"/>
  <c r="AO235" i="10"/>
  <c r="Q235" i="10"/>
  <c r="AP235" i="10"/>
  <c r="W635" i="10"/>
  <c r="N635" i="10"/>
  <c r="AJ235" i="10"/>
  <c r="AN235" i="10"/>
  <c r="AH635" i="10"/>
  <c r="O235" i="10"/>
  <c r="AB635" i="10"/>
  <c r="L235" i="10"/>
  <c r="AR635" i="10"/>
  <c r="Y235" i="10"/>
  <c r="K635" i="10"/>
  <c r="AK235" i="10"/>
  <c r="AG635" i="10"/>
  <c r="AT235" i="10"/>
  <c r="R235" i="10"/>
  <c r="P235" i="10"/>
  <c r="AK635" i="10"/>
  <c r="AA635" i="10"/>
  <c r="AG235" i="10"/>
  <c r="W235" i="10"/>
  <c r="AB235" i="10"/>
  <c r="X635" i="10"/>
  <c r="AX235" i="10"/>
  <c r="AV635" i="10"/>
  <c r="AI235" i="10"/>
  <c r="Z235" i="10"/>
  <c r="AL635" i="10"/>
  <c r="AE235" i="10"/>
  <c r="AW635" i="10"/>
  <c r="AH235" i="10"/>
  <c r="AL235" i="10"/>
  <c r="T235" i="10"/>
  <c r="S235" i="10"/>
  <c r="U635" i="10"/>
  <c r="AY235" i="10"/>
  <c r="M235" i="10"/>
  <c r="AS635" i="10"/>
  <c r="V635" i="10"/>
  <c r="AX635" i="10"/>
  <c r="AT635" i="10"/>
  <c r="V235" i="10"/>
  <c r="T635" i="10"/>
  <c r="AC235" i="10"/>
  <c r="AV235" i="10"/>
  <c r="AR235" i="10"/>
  <c r="AF635" i="10"/>
  <c r="K235" i="10"/>
  <c r="AJ635" i="10"/>
  <c r="P635" i="10"/>
  <c r="AD235" i="10"/>
  <c r="J635" i="10"/>
  <c r="AN635" i="10"/>
  <c r="M635" i="10"/>
  <c r="AQ235" i="10"/>
  <c r="Q635" i="10"/>
  <c r="AC261" i="6"/>
  <c r="AL440" i="26"/>
  <c r="AS440" i="26" s="1"/>
  <c r="Y183" i="27"/>
  <c r="G183" i="27" s="1"/>
  <c r="F183" i="9"/>
  <c r="Z183" i="9" s="1"/>
  <c r="AA183" i="9" s="1"/>
  <c r="F183" i="6"/>
  <c r="I342" i="9"/>
  <c r="I342" i="6"/>
  <c r="AH482" i="26"/>
  <c r="AJ482" i="26"/>
  <c r="AU482" i="26"/>
  <c r="AC255" i="9"/>
  <c r="S675" i="10"/>
  <c r="Y675" i="10"/>
  <c r="X675" i="10"/>
  <c r="AT675" i="10"/>
  <c r="R675" i="10"/>
  <c r="AL275" i="10"/>
  <c r="J275" i="10"/>
  <c r="L275" i="10"/>
  <c r="M675" i="10"/>
  <c r="AA675" i="10"/>
  <c r="AW675" i="10"/>
  <c r="S275" i="10"/>
  <c r="AJ675" i="10"/>
  <c r="Q275" i="10"/>
  <c r="P675" i="10"/>
  <c r="AK275" i="10"/>
  <c r="AF675" i="10"/>
  <c r="M275" i="10"/>
  <c r="AF275" i="10"/>
  <c r="R275" i="10"/>
  <c r="Z675" i="10"/>
  <c r="K275" i="10"/>
  <c r="V675" i="10"/>
  <c r="AK675" i="10"/>
  <c r="Q675" i="10"/>
  <c r="AR275" i="10"/>
  <c r="AY675" i="10"/>
  <c r="AJ275" i="10"/>
  <c r="Y275" i="10"/>
  <c r="AL675" i="10"/>
  <c r="AN275" i="10"/>
  <c r="AB275" i="10"/>
  <c r="T675" i="10"/>
  <c r="N275" i="10"/>
  <c r="AD675" i="10"/>
  <c r="AV275" i="10"/>
  <c r="AW275" i="10"/>
  <c r="AX675" i="10"/>
  <c r="Z275" i="10"/>
  <c r="X275" i="10"/>
  <c r="N675" i="10"/>
  <c r="AT275" i="10"/>
  <c r="AH675" i="10"/>
  <c r="K675" i="10"/>
  <c r="AE675" i="10"/>
  <c r="O675" i="10"/>
  <c r="AI275" i="10"/>
  <c r="AO675" i="10"/>
  <c r="AP675" i="10"/>
  <c r="AB675" i="10"/>
  <c r="AV675" i="10"/>
  <c r="AX275" i="10"/>
  <c r="L675" i="10"/>
  <c r="V275" i="10"/>
  <c r="AO275" i="10"/>
  <c r="W675" i="10"/>
  <c r="AS275" i="10"/>
  <c r="AN675" i="10"/>
  <c r="U675" i="10"/>
  <c r="AP275" i="10"/>
  <c r="AH275" i="10"/>
  <c r="J675" i="10"/>
  <c r="O275" i="10"/>
  <c r="U275" i="10"/>
  <c r="AI675" i="10"/>
  <c r="AM275" i="10"/>
  <c r="AQ675" i="10"/>
  <c r="AG675" i="10"/>
  <c r="AS675" i="10"/>
  <c r="AY275" i="10"/>
  <c r="AG275" i="10"/>
  <c r="AD275" i="10"/>
  <c r="AE275" i="10"/>
  <c r="AU675" i="10"/>
  <c r="AQ275" i="10"/>
  <c r="AM675" i="10"/>
  <c r="AC275" i="10"/>
  <c r="AC675" i="10"/>
  <c r="T275" i="10"/>
  <c r="AA275" i="10"/>
  <c r="AR675" i="10"/>
  <c r="W275" i="10"/>
  <c r="P275" i="10"/>
  <c r="BD279" i="26"/>
  <c r="V279" i="27"/>
  <c r="AA279" i="27" s="1"/>
  <c r="G279" i="10"/>
  <c r="H17" i="9"/>
  <c r="H17" i="6"/>
  <c r="AX37" i="10"/>
  <c r="AG437" i="10"/>
  <c r="AA437" i="10"/>
  <c r="L37" i="10"/>
  <c r="Z37" i="10"/>
  <c r="AE437" i="10"/>
  <c r="AI437" i="10"/>
  <c r="Q37" i="10"/>
  <c r="AD437" i="10"/>
  <c r="AV437" i="10"/>
  <c r="J37" i="10"/>
  <c r="AN437" i="10"/>
  <c r="J437" i="10"/>
  <c r="O437" i="10"/>
  <c r="AP37" i="10"/>
  <c r="AR37" i="10"/>
  <c r="AS437" i="10"/>
  <c r="AU437" i="10"/>
  <c r="W37" i="10"/>
  <c r="AQ37" i="10"/>
  <c r="AF37" i="10"/>
  <c r="AM37" i="10"/>
  <c r="AB437" i="10"/>
  <c r="AP437" i="10"/>
  <c r="R37" i="10"/>
  <c r="M37" i="10"/>
  <c r="AV37" i="10"/>
  <c r="AT437" i="10"/>
  <c r="AM437" i="10"/>
  <c r="AY37" i="10"/>
  <c r="AI37" i="10"/>
  <c r="AT37" i="10"/>
  <c r="W437" i="10"/>
  <c r="K437" i="10"/>
  <c r="AQ437" i="10"/>
  <c r="AF437" i="10"/>
  <c r="AX437" i="10"/>
  <c r="AL437" i="10"/>
  <c r="AS37" i="10"/>
  <c r="V37" i="10"/>
  <c r="AD37" i="10"/>
  <c r="AH37" i="10"/>
  <c r="AC37" i="10"/>
  <c r="Q437" i="10"/>
  <c r="AO437" i="10"/>
  <c r="AC437" i="10"/>
  <c r="AR437" i="10"/>
  <c r="AJ437" i="10"/>
  <c r="N437" i="10"/>
  <c r="P37" i="10"/>
  <c r="AJ37" i="10"/>
  <c r="R437" i="10"/>
  <c r="M437" i="10"/>
  <c r="U437" i="10"/>
  <c r="S37" i="10"/>
  <c r="AG37" i="10"/>
  <c r="X37" i="10"/>
  <c r="X437" i="10"/>
  <c r="AL37" i="10"/>
  <c r="Y437" i="10"/>
  <c r="P437" i="10"/>
  <c r="AA37" i="10"/>
  <c r="N37" i="10"/>
  <c r="K37" i="10"/>
  <c r="AO37" i="10"/>
  <c r="AW437" i="10"/>
  <c r="T437" i="10"/>
  <c r="O37" i="10"/>
  <c r="AE37" i="10"/>
  <c r="AW37" i="10"/>
  <c r="AY437" i="10"/>
  <c r="AK437" i="10"/>
  <c r="V437" i="10"/>
  <c r="AB37" i="10"/>
  <c r="AH437" i="10"/>
  <c r="S437" i="10"/>
  <c r="Z437" i="10"/>
  <c r="Y37" i="10"/>
  <c r="AN37" i="10"/>
  <c r="U37" i="10"/>
  <c r="AK37" i="10"/>
  <c r="T37" i="10"/>
  <c r="L437" i="10"/>
  <c r="AA588" i="10"/>
  <c r="Z588" i="10"/>
  <c r="O188" i="10"/>
  <c r="AF188" i="10"/>
  <c r="Z188" i="10"/>
  <c r="P188" i="10"/>
  <c r="AH588" i="10"/>
  <c r="AT588" i="10"/>
  <c r="AL188" i="10"/>
  <c r="X588" i="10"/>
  <c r="AX588" i="10"/>
  <c r="T588" i="10"/>
  <c r="AO588" i="10"/>
  <c r="AM188" i="10"/>
  <c r="L588" i="10"/>
  <c r="AM588" i="10"/>
  <c r="K588" i="10"/>
  <c r="AS588" i="10"/>
  <c r="AF588" i="10"/>
  <c r="AQ188" i="10"/>
  <c r="AT188" i="10"/>
  <c r="AJ588" i="10"/>
  <c r="Q588" i="10"/>
  <c r="N588" i="10"/>
  <c r="U188" i="10"/>
  <c r="Y588" i="10"/>
  <c r="AK188" i="10"/>
  <c r="J588" i="10"/>
  <c r="AY188" i="10"/>
  <c r="AC588" i="10"/>
  <c r="AC188" i="10"/>
  <c r="AO188" i="10"/>
  <c r="AL588" i="10"/>
  <c r="W188" i="10"/>
  <c r="AW188" i="10"/>
  <c r="AP588" i="10"/>
  <c r="AJ188" i="10"/>
  <c r="AP188" i="10"/>
  <c r="AK588" i="10"/>
  <c r="AD588" i="10"/>
  <c r="AQ588" i="10"/>
  <c r="R188" i="10"/>
  <c r="AA188" i="10"/>
  <c r="AG588" i="10"/>
  <c r="AB188" i="10"/>
  <c r="M588" i="10"/>
  <c r="R588" i="10"/>
  <c r="AE188" i="10"/>
  <c r="M188" i="10"/>
  <c r="AU588" i="10"/>
  <c r="AW588" i="10"/>
  <c r="AI188" i="10"/>
  <c r="X188" i="10"/>
  <c r="AI588" i="10"/>
  <c r="N188" i="10"/>
  <c r="AH188" i="10"/>
  <c r="O588" i="10"/>
  <c r="AV588" i="10"/>
  <c r="V188" i="10"/>
  <c r="P588" i="10"/>
  <c r="AN188" i="10"/>
  <c r="AR188" i="10"/>
  <c r="S188" i="10"/>
  <c r="AS188" i="10"/>
  <c r="AG188" i="10"/>
  <c r="AR588" i="10"/>
  <c r="V588" i="10"/>
  <c r="T188" i="10"/>
  <c r="AX188" i="10"/>
  <c r="AV188" i="10"/>
  <c r="U588" i="10"/>
  <c r="J188" i="10"/>
  <c r="Q188" i="10"/>
  <c r="L188" i="10"/>
  <c r="AE588" i="10"/>
  <c r="AN588" i="10"/>
  <c r="W588" i="10"/>
  <c r="AB588" i="10"/>
  <c r="Y188" i="10"/>
  <c r="S588" i="10"/>
  <c r="AY588" i="10"/>
  <c r="AD188" i="10"/>
  <c r="K188" i="10"/>
  <c r="AP674" i="10"/>
  <c r="W274" i="10"/>
  <c r="AW674" i="10"/>
  <c r="Z274" i="10"/>
  <c r="AG674" i="10"/>
  <c r="AY674" i="10"/>
  <c r="AL274" i="10"/>
  <c r="AN274" i="10"/>
  <c r="X274" i="10"/>
  <c r="AA674" i="10"/>
  <c r="AS674" i="10"/>
  <c r="AM274" i="10"/>
  <c r="Z674" i="10"/>
  <c r="AU674" i="10"/>
  <c r="Y274" i="10"/>
  <c r="AB674" i="10"/>
  <c r="AK274" i="10"/>
  <c r="AT274" i="10"/>
  <c r="N674" i="10"/>
  <c r="AP274" i="10"/>
  <c r="AD274" i="10"/>
  <c r="S274" i="10"/>
  <c r="AM674" i="10"/>
  <c r="AE674" i="10"/>
  <c r="AN674" i="10"/>
  <c r="AI274" i="10"/>
  <c r="AR274" i="10"/>
  <c r="U674" i="10"/>
  <c r="AY274" i="10"/>
  <c r="J274" i="10"/>
  <c r="W674" i="10"/>
  <c r="AR674" i="10"/>
  <c r="AH674" i="10"/>
  <c r="V274" i="10"/>
  <c r="AA274" i="10"/>
  <c r="AQ674" i="10"/>
  <c r="S674" i="10"/>
  <c r="AQ274" i="10"/>
  <c r="AD674" i="10"/>
  <c r="AH274" i="10"/>
  <c r="V674" i="10"/>
  <c r="U274" i="10"/>
  <c r="AC274" i="10"/>
  <c r="L674" i="10"/>
  <c r="AJ674" i="10"/>
  <c r="AL674" i="10"/>
  <c r="AO274" i="10"/>
  <c r="AB274" i="10"/>
  <c r="L274" i="10"/>
  <c r="T274" i="10"/>
  <c r="AV674" i="10"/>
  <c r="AF274" i="10"/>
  <c r="AW274" i="10"/>
  <c r="N274" i="10"/>
  <c r="AX274" i="10"/>
  <c r="R674" i="10"/>
  <c r="J674" i="10"/>
  <c r="Q274" i="10"/>
  <c r="P674" i="10"/>
  <c r="M674" i="10"/>
  <c r="AE274" i="10"/>
  <c r="AG274" i="10"/>
  <c r="K674" i="10"/>
  <c r="AC674" i="10"/>
  <c r="O274" i="10"/>
  <c r="T674" i="10"/>
  <c r="AI674" i="10"/>
  <c r="AK674" i="10"/>
  <c r="AV274" i="10"/>
  <c r="X674" i="10"/>
  <c r="K274" i="10"/>
  <c r="O674" i="10"/>
  <c r="AF674" i="10"/>
  <c r="M274" i="10"/>
  <c r="P274" i="10"/>
  <c r="AJ274" i="10"/>
  <c r="R274" i="10"/>
  <c r="AS274" i="10"/>
  <c r="Y674" i="10"/>
  <c r="Q674" i="10"/>
  <c r="AX674" i="10"/>
  <c r="AT674" i="10"/>
  <c r="AO674" i="10"/>
  <c r="AC166" i="9"/>
  <c r="I26" i="6"/>
  <c r="I26" i="9"/>
  <c r="U208" i="10"/>
  <c r="O608" i="10"/>
  <c r="AW608" i="10"/>
  <c r="AW208" i="10"/>
  <c r="AS208" i="10"/>
  <c r="R608" i="10"/>
  <c r="L608" i="10"/>
  <c r="S608" i="10"/>
  <c r="AF208" i="10"/>
  <c r="AX608" i="10"/>
  <c r="AN608" i="10"/>
  <c r="AE608" i="10"/>
  <c r="L208" i="10"/>
  <c r="AU608" i="10"/>
  <c r="AN208" i="10"/>
  <c r="AM208" i="10"/>
  <c r="AV608" i="10"/>
  <c r="W208" i="10"/>
  <c r="AY208" i="10"/>
  <c r="N208" i="10"/>
  <c r="V608" i="10"/>
  <c r="T208" i="10"/>
  <c r="Y208" i="10"/>
  <c r="AD608" i="10"/>
  <c r="V208" i="10"/>
  <c r="AL608" i="10"/>
  <c r="AX208" i="10"/>
  <c r="P608" i="10"/>
  <c r="AS608" i="10"/>
  <c r="AC608" i="10"/>
  <c r="M208" i="10"/>
  <c r="AI208" i="10"/>
  <c r="O208" i="10"/>
  <c r="AT608" i="10"/>
  <c r="K208" i="10"/>
  <c r="U608" i="10"/>
  <c r="AP608" i="10"/>
  <c r="AJ208" i="10"/>
  <c r="AL208" i="10"/>
  <c r="R208" i="10"/>
  <c r="T608" i="10"/>
  <c r="AB608" i="10"/>
  <c r="AH608" i="10"/>
  <c r="AB208" i="10"/>
  <c r="J208" i="10"/>
  <c r="AR208" i="10"/>
  <c r="AK608" i="10"/>
  <c r="AO208" i="10"/>
  <c r="X208" i="10"/>
  <c r="AV208" i="10"/>
  <c r="AE208" i="10"/>
  <c r="Q608" i="10"/>
  <c r="Y608" i="10"/>
  <c r="AA208" i="10"/>
  <c r="AJ608" i="10"/>
  <c r="AI608" i="10"/>
  <c r="AG208" i="10"/>
  <c r="AA608" i="10"/>
  <c r="AQ608" i="10"/>
  <c r="AT208" i="10"/>
  <c r="J608" i="10"/>
  <c r="AM608" i="10"/>
  <c r="W608" i="10"/>
  <c r="AG608" i="10"/>
  <c r="X608" i="10"/>
  <c r="AP208" i="10"/>
  <c r="AO608" i="10"/>
  <c r="AR608" i="10"/>
  <c r="S208" i="10"/>
  <c r="AH208" i="10"/>
  <c r="AF608" i="10"/>
  <c r="AD208" i="10"/>
  <c r="AQ208" i="10"/>
  <c r="Z208" i="10"/>
  <c r="M608" i="10"/>
  <c r="Q208" i="10"/>
  <c r="Z608" i="10"/>
  <c r="AY608" i="10"/>
  <c r="N608" i="10"/>
  <c r="AC208" i="10"/>
  <c r="K608" i="10"/>
  <c r="AK208" i="10"/>
  <c r="P208" i="10"/>
  <c r="AC250" i="9"/>
  <c r="F73" i="10"/>
  <c r="W473" i="10" s="1"/>
  <c r="I198" i="9"/>
  <c r="I198" i="6"/>
  <c r="AH478" i="26"/>
  <c r="AU478" i="26"/>
  <c r="AJ478" i="26"/>
  <c r="F265" i="6"/>
  <c r="Y265" i="27"/>
  <c r="G265" i="27" s="1"/>
  <c r="F265" i="9"/>
  <c r="Z265" i="9" s="1"/>
  <c r="AA265" i="9" s="1"/>
  <c r="P265" i="26"/>
  <c r="X265" i="27" s="1"/>
  <c r="AB265" i="27" s="1"/>
  <c r="F93" i="9"/>
  <c r="Z93" i="9" s="1"/>
  <c r="AA93" i="9" s="1"/>
  <c r="Y93" i="27"/>
  <c r="G93" i="27" s="1"/>
  <c r="P93" i="26"/>
  <c r="X93" i="27" s="1"/>
  <c r="AB93" i="27" s="1"/>
  <c r="F93" i="6"/>
  <c r="Y110" i="27"/>
  <c r="G110" i="27" s="1"/>
  <c r="P110" i="26"/>
  <c r="X110" i="27" s="1"/>
  <c r="AB110" i="27" s="1"/>
  <c r="F110" i="9"/>
  <c r="Z110" i="9" s="1"/>
  <c r="AA110" i="9" s="1"/>
  <c r="F110" i="6"/>
  <c r="AC90" i="9"/>
  <c r="I60" i="6"/>
  <c r="I60" i="9"/>
  <c r="AC356" i="9"/>
  <c r="I166" i="6"/>
  <c r="I166" i="9"/>
  <c r="AG74" i="9"/>
  <c r="AC112" i="6"/>
  <c r="AC198" i="9"/>
  <c r="AL86" i="10"/>
  <c r="AD86" i="10"/>
  <c r="AP86" i="10"/>
  <c r="J86" i="10"/>
  <c r="Z86" i="10"/>
  <c r="N86" i="10"/>
  <c r="AW86" i="10"/>
  <c r="P486" i="10"/>
  <c r="AF86" i="10"/>
  <c r="AO486" i="10"/>
  <c r="X486" i="10"/>
  <c r="AB486" i="10"/>
  <c r="AE86" i="10"/>
  <c r="K86" i="10"/>
  <c r="AE486" i="10"/>
  <c r="L486" i="10"/>
  <c r="AY486" i="10"/>
  <c r="AO86" i="10"/>
  <c r="AK86" i="10"/>
  <c r="N486" i="10"/>
  <c r="AY86" i="10"/>
  <c r="W486" i="10"/>
  <c r="M86" i="10"/>
  <c r="AM486" i="10"/>
  <c r="T86" i="10"/>
  <c r="AI86" i="10"/>
  <c r="O486" i="10"/>
  <c r="X86" i="10"/>
  <c r="AK486" i="10"/>
  <c r="L86" i="10"/>
  <c r="AA486" i="10"/>
  <c r="AR486" i="10"/>
  <c r="AH486" i="10"/>
  <c r="Z486" i="10"/>
  <c r="U86" i="10"/>
  <c r="AQ486" i="10"/>
  <c r="AS486" i="10"/>
  <c r="AT86" i="10"/>
  <c r="W86" i="10"/>
  <c r="AP486" i="10"/>
  <c r="AS86" i="10"/>
  <c r="J486" i="10"/>
  <c r="AF486" i="10"/>
  <c r="AV86" i="10"/>
  <c r="AC486" i="10"/>
  <c r="O86" i="10"/>
  <c r="AT486" i="10"/>
  <c r="AH86" i="10"/>
  <c r="R486" i="10"/>
  <c r="AB86" i="10"/>
  <c r="AJ486" i="10"/>
  <c r="AG86" i="10"/>
  <c r="AR86" i="10"/>
  <c r="AA86" i="10"/>
  <c r="AV486" i="10"/>
  <c r="M486" i="10"/>
  <c r="AL486" i="10"/>
  <c r="AX86" i="10"/>
  <c r="V86" i="10"/>
  <c r="S486" i="10"/>
  <c r="Q486" i="10"/>
  <c r="AN86" i="10"/>
  <c r="AI486" i="10"/>
  <c r="AQ86" i="10"/>
  <c r="T486" i="10"/>
  <c r="Y486" i="10"/>
  <c r="K486" i="10"/>
  <c r="Q86" i="10"/>
  <c r="AJ86" i="10"/>
  <c r="AX486" i="10"/>
  <c r="AM86" i="10"/>
  <c r="U486" i="10"/>
  <c r="AN486" i="10"/>
  <c r="AU486" i="10"/>
  <c r="Y86" i="10"/>
  <c r="AG486" i="10"/>
  <c r="S86" i="10"/>
  <c r="P86" i="10"/>
  <c r="AC86" i="10"/>
  <c r="V486" i="10"/>
  <c r="AD486" i="10"/>
  <c r="R86" i="10"/>
  <c r="AW486" i="10"/>
  <c r="AC303" i="9"/>
  <c r="AC222" i="9"/>
  <c r="Z130" i="6"/>
  <c r="AC200" i="9"/>
  <c r="X92" i="10"/>
  <c r="S92" i="10"/>
  <c r="S492" i="10"/>
  <c r="AI92" i="10"/>
  <c r="AR92" i="10"/>
  <c r="O492" i="10"/>
  <c r="AV92" i="10"/>
  <c r="AH92" i="10"/>
  <c r="U492" i="10"/>
  <c r="AX92" i="10"/>
  <c r="AU492" i="10"/>
  <c r="AL492" i="10"/>
  <c r="AG492" i="10"/>
  <c r="AM492" i="10"/>
  <c r="AA492" i="10"/>
  <c r="AP492" i="10"/>
  <c r="V92" i="10"/>
  <c r="AE92" i="10"/>
  <c r="R492" i="10"/>
  <c r="M492" i="10"/>
  <c r="Y92" i="10"/>
  <c r="AH492" i="10"/>
  <c r="AN92" i="10"/>
  <c r="P492" i="10"/>
  <c r="Z92" i="10"/>
  <c r="AQ492" i="10"/>
  <c r="AV492" i="10"/>
  <c r="AK492" i="10"/>
  <c r="W492" i="10"/>
  <c r="AD492" i="10"/>
  <c r="AF92" i="10"/>
  <c r="AB92" i="10"/>
  <c r="O92" i="10"/>
  <c r="AS92" i="10"/>
  <c r="AN492" i="10"/>
  <c r="X492" i="10"/>
  <c r="AY92" i="10"/>
  <c r="AP92" i="10"/>
  <c r="AL92" i="10"/>
  <c r="AW492" i="10"/>
  <c r="AY492" i="10"/>
  <c r="J492" i="10"/>
  <c r="Q92" i="10"/>
  <c r="K492" i="10"/>
  <c r="T492" i="10"/>
  <c r="AG92" i="10"/>
  <c r="AT92" i="10"/>
  <c r="Y492" i="10"/>
  <c r="AX492" i="10"/>
  <c r="AO492" i="10"/>
  <c r="AE492" i="10"/>
  <c r="AS492" i="10"/>
  <c r="AF492" i="10"/>
  <c r="AI492" i="10"/>
  <c r="V492" i="10"/>
  <c r="P92" i="10"/>
  <c r="AK92" i="10"/>
  <c r="Q492" i="10"/>
  <c r="K92" i="10"/>
  <c r="AT492" i="10"/>
  <c r="AO92" i="10"/>
  <c r="R92" i="10"/>
  <c r="T92" i="10"/>
  <c r="AJ92" i="10"/>
  <c r="AQ92" i="10"/>
  <c r="N492" i="10"/>
  <c r="J92" i="10"/>
  <c r="AB492" i="10"/>
  <c r="N92" i="10"/>
  <c r="AW92" i="10"/>
  <c r="W92" i="10"/>
  <c r="AD92" i="10"/>
  <c r="AJ492" i="10"/>
  <c r="U92" i="10"/>
  <c r="L92" i="10"/>
  <c r="AC92" i="10"/>
  <c r="AA92" i="10"/>
  <c r="AR492" i="10"/>
  <c r="Z492" i="10"/>
  <c r="M92" i="10"/>
  <c r="L492" i="10"/>
  <c r="AM92" i="10"/>
  <c r="AC492" i="10"/>
  <c r="BD327" i="26"/>
  <c r="G327" i="10"/>
  <c r="V327" i="27"/>
  <c r="AA327" i="27" s="1"/>
  <c r="G26" i="9"/>
  <c r="BE26" i="26"/>
  <c r="G26" i="6"/>
  <c r="AI447" i="26"/>
  <c r="AK447" i="26" s="1"/>
  <c r="AV447" i="26" s="1"/>
  <c r="P447" i="26" s="1"/>
  <c r="G433" i="9" s="1"/>
  <c r="I316" i="6"/>
  <c r="I316" i="9"/>
  <c r="AC70" i="6"/>
  <c r="AC110" i="9"/>
  <c r="AC365" i="9"/>
  <c r="AQ271" i="10"/>
  <c r="AO271" i="10"/>
  <c r="AR271" i="10"/>
  <c r="AT271" i="10"/>
  <c r="AM671" i="10"/>
  <c r="Y671" i="10"/>
  <c r="AC271" i="10"/>
  <c r="AO671" i="10"/>
  <c r="AB271" i="10"/>
  <c r="AX271" i="10"/>
  <c r="X271" i="10"/>
  <c r="AV271" i="10"/>
  <c r="J671" i="10"/>
  <c r="Q271" i="10"/>
  <c r="Z271" i="10"/>
  <c r="AW671" i="10"/>
  <c r="O671" i="10"/>
  <c r="K271" i="10"/>
  <c r="AH671" i="10"/>
  <c r="K671" i="10"/>
  <c r="AF271" i="10"/>
  <c r="AD271" i="10"/>
  <c r="AH271" i="10"/>
  <c r="AQ671" i="10"/>
  <c r="AN271" i="10"/>
  <c r="AU671" i="10"/>
  <c r="O271" i="10"/>
  <c r="W671" i="10"/>
  <c r="AY671" i="10"/>
  <c r="AE271" i="10"/>
  <c r="AA271" i="10"/>
  <c r="AC671" i="10"/>
  <c r="N671" i="10"/>
  <c r="AW271" i="10"/>
  <c r="AA671" i="10"/>
  <c r="T271" i="10"/>
  <c r="AN671" i="10"/>
  <c r="AM271" i="10"/>
  <c r="AS271" i="10"/>
  <c r="AB671" i="10"/>
  <c r="P271" i="10"/>
  <c r="AD671" i="10"/>
  <c r="AF671" i="10"/>
  <c r="AK271" i="10"/>
  <c r="X671" i="10"/>
  <c r="S671" i="10"/>
  <c r="AJ271" i="10"/>
  <c r="AL271" i="10"/>
  <c r="L671" i="10"/>
  <c r="Z671" i="10"/>
  <c r="AI671" i="10"/>
  <c r="AP271" i="10"/>
  <c r="AE671" i="10"/>
  <c r="M271" i="10"/>
  <c r="AT671" i="10"/>
  <c r="U671" i="10"/>
  <c r="J271" i="10"/>
  <c r="AX671" i="10"/>
  <c r="R271" i="10"/>
  <c r="M671" i="10"/>
  <c r="AG271" i="10"/>
  <c r="T671" i="10"/>
  <c r="P671" i="10"/>
  <c r="U271" i="10"/>
  <c r="AJ671" i="10"/>
  <c r="AY271" i="10"/>
  <c r="W271" i="10"/>
  <c r="AR671" i="10"/>
  <c r="V271" i="10"/>
  <c r="Q671" i="10"/>
  <c r="S271" i="10"/>
  <c r="L271" i="10"/>
  <c r="R671" i="10"/>
  <c r="AK671" i="10"/>
  <c r="Y271" i="10"/>
  <c r="N271" i="10"/>
  <c r="AG671" i="10"/>
  <c r="AV671" i="10"/>
  <c r="AL671" i="10"/>
  <c r="AI271" i="10"/>
  <c r="AS671" i="10"/>
  <c r="AP671" i="10"/>
  <c r="V671" i="10"/>
  <c r="AC191" i="9"/>
  <c r="Z68" i="6"/>
  <c r="BB518" i="26"/>
  <c r="BA518" i="26" s="1"/>
  <c r="G128" i="9"/>
  <c r="G128" i="6"/>
  <c r="BE128" i="26"/>
  <c r="AC364" i="6"/>
  <c r="AC26" i="6"/>
  <c r="AC349" i="9"/>
  <c r="AC72" i="6"/>
  <c r="G27" i="10"/>
  <c r="V27" i="27"/>
  <c r="AA27" i="27" s="1"/>
  <c r="BD27" i="26"/>
  <c r="AC381" i="6"/>
  <c r="AM428" i="26"/>
  <c r="AU428" i="26"/>
  <c r="N250" i="26"/>
  <c r="F250" i="10"/>
  <c r="W250" i="27"/>
  <c r="E250" i="27" s="1"/>
  <c r="R771" i="10"/>
  <c r="U771" i="10"/>
  <c r="AL771" i="10"/>
  <c r="V771" i="10"/>
  <c r="AW371" i="10"/>
  <c r="AV771" i="10"/>
  <c r="M371" i="10"/>
  <c r="AY371" i="10"/>
  <c r="AO771" i="10"/>
  <c r="AH371" i="10"/>
  <c r="AQ771" i="10"/>
  <c r="AR771" i="10"/>
  <c r="AD771" i="10"/>
  <c r="AG371" i="10"/>
  <c r="J371" i="10"/>
  <c r="Y371" i="10"/>
  <c r="L371" i="10"/>
  <c r="AF771" i="10"/>
  <c r="AM771" i="10"/>
  <c r="AC371" i="10"/>
  <c r="AS371" i="10"/>
  <c r="Q771" i="10"/>
  <c r="R371" i="10"/>
  <c r="O771" i="10"/>
  <c r="AI771" i="10"/>
  <c r="S371" i="10"/>
  <c r="AW771" i="10"/>
  <c r="L771" i="10"/>
  <c r="AJ771" i="10"/>
  <c r="S771" i="10"/>
  <c r="T371" i="10"/>
  <c r="Z371" i="10"/>
  <c r="AJ371" i="10"/>
  <c r="AE371" i="10"/>
  <c r="AO371" i="10"/>
  <c r="Q371" i="10"/>
  <c r="AD371" i="10"/>
  <c r="AP371" i="10"/>
  <c r="P371" i="10"/>
  <c r="AU771" i="10"/>
  <c r="AA771" i="10"/>
  <c r="P771" i="10"/>
  <c r="N371" i="10"/>
  <c r="AX371" i="10"/>
  <c r="X771" i="10"/>
  <c r="Z771" i="10"/>
  <c r="AY771" i="10"/>
  <c r="AC771" i="10"/>
  <c r="W371" i="10"/>
  <c r="AA371" i="10"/>
  <c r="AN771" i="10"/>
  <c r="M771" i="10"/>
  <c r="AL371" i="10"/>
  <c r="AI371" i="10"/>
  <c r="AQ371" i="10"/>
  <c r="Y771" i="10"/>
  <c r="W771" i="10"/>
  <c r="AT771" i="10"/>
  <c r="AE771" i="10"/>
  <c r="U371" i="10"/>
  <c r="J771" i="10"/>
  <c r="X371" i="10"/>
  <c r="AF371" i="10"/>
  <c r="AX771" i="10"/>
  <c r="V371" i="10"/>
  <c r="AK371" i="10"/>
  <c r="AB371" i="10"/>
  <c r="AS771" i="10"/>
  <c r="AH771" i="10"/>
  <c r="T771" i="10"/>
  <c r="AK771" i="10"/>
  <c r="K771" i="10"/>
  <c r="AB771" i="10"/>
  <c r="AT371" i="10"/>
  <c r="N771" i="10"/>
  <c r="K371" i="10"/>
  <c r="AV371" i="10"/>
  <c r="AM371" i="10"/>
  <c r="AR371" i="10"/>
  <c r="AN371" i="10"/>
  <c r="AP771" i="10"/>
  <c r="O371" i="10"/>
  <c r="AG771" i="10"/>
  <c r="AU474" i="10"/>
  <c r="AO474" i="10"/>
  <c r="W74" i="10"/>
  <c r="Y474" i="10"/>
  <c r="AV474" i="10"/>
  <c r="AM474" i="10"/>
  <c r="V74" i="10"/>
  <c r="AQ74" i="10"/>
  <c r="AO74" i="10"/>
  <c r="O474" i="10"/>
  <c r="AG74" i="10"/>
  <c r="AE74" i="10"/>
  <c r="U74" i="10"/>
  <c r="AP74" i="10"/>
  <c r="L474" i="10"/>
  <c r="N74" i="10"/>
  <c r="AV74" i="10"/>
  <c r="S74" i="10"/>
  <c r="R474" i="10"/>
  <c r="S474" i="10"/>
  <c r="X74" i="10"/>
  <c r="J474" i="10"/>
  <c r="AI74" i="10"/>
  <c r="Z474" i="10"/>
  <c r="AT474" i="10"/>
  <c r="AD474" i="10"/>
  <c r="K74" i="10"/>
  <c r="P474" i="10"/>
  <c r="Q474" i="10"/>
  <c r="AD74" i="10"/>
  <c r="AH474" i="10"/>
  <c r="AX74" i="10"/>
  <c r="R74" i="10"/>
  <c r="AW474" i="10"/>
  <c r="M74" i="10"/>
  <c r="AH74" i="10"/>
  <c r="Y74" i="10"/>
  <c r="AE474" i="10"/>
  <c r="AB74" i="10"/>
  <c r="AA474" i="10"/>
  <c r="AK74" i="10"/>
  <c r="AJ474" i="10"/>
  <c r="K474" i="10"/>
  <c r="AY74" i="10"/>
  <c r="AK474" i="10"/>
  <c r="AP474" i="10"/>
  <c r="AT74" i="10"/>
  <c r="AY474" i="10"/>
  <c r="U474" i="10"/>
  <c r="AM74" i="10"/>
  <c r="AB474" i="10"/>
  <c r="AL74" i="10"/>
  <c r="Q74" i="10"/>
  <c r="AA74" i="10"/>
  <c r="P74" i="10"/>
  <c r="AC474" i="10"/>
  <c r="N474" i="10"/>
  <c r="T474" i="10"/>
  <c r="AR74" i="10"/>
  <c r="AN474" i="10"/>
  <c r="Z74" i="10"/>
  <c r="AL474" i="10"/>
  <c r="AC74" i="10"/>
  <c r="AX474" i="10"/>
  <c r="AG474" i="10"/>
  <c r="AR474" i="10"/>
  <c r="T74" i="10"/>
  <c r="W474" i="10"/>
  <c r="M474" i="10"/>
  <c r="AS474" i="10"/>
  <c r="AW74" i="10"/>
  <c r="L74" i="10"/>
  <c r="AI474" i="10"/>
  <c r="AF74" i="10"/>
  <c r="J74" i="10"/>
  <c r="AF474" i="10"/>
  <c r="AQ474" i="10"/>
  <c r="V474" i="10"/>
  <c r="O74" i="10"/>
  <c r="AJ74" i="10"/>
  <c r="X474" i="10"/>
  <c r="AS74" i="10"/>
  <c r="AN74" i="10"/>
  <c r="I68" i="9"/>
  <c r="I68" i="6"/>
  <c r="AC28" i="6"/>
  <c r="G356" i="10"/>
  <c r="BD356" i="26"/>
  <c r="V356" i="27"/>
  <c r="AA356" i="27" s="1"/>
  <c r="AC128" i="6"/>
  <c r="Z198" i="6"/>
  <c r="AG310" i="9"/>
  <c r="L744" i="10"/>
  <c r="T744" i="10"/>
  <c r="AY744" i="10"/>
  <c r="U344" i="10"/>
  <c r="Q344" i="10"/>
  <c r="AR344" i="10"/>
  <c r="M344" i="10"/>
  <c r="N744" i="10"/>
  <c r="AJ744" i="10"/>
  <c r="R744" i="10"/>
  <c r="AG344" i="10"/>
  <c r="Y344" i="10"/>
  <c r="V744" i="10"/>
  <c r="S744" i="10"/>
  <c r="V344" i="10"/>
  <c r="O344" i="10"/>
  <c r="R344" i="10"/>
  <c r="AK344" i="10"/>
  <c r="K744" i="10"/>
  <c r="AL344" i="10"/>
  <c r="AS744" i="10"/>
  <c r="AH744" i="10"/>
  <c r="AB344" i="10"/>
  <c r="AV744" i="10"/>
  <c r="AN344" i="10"/>
  <c r="AA744" i="10"/>
  <c r="Y744" i="10"/>
  <c r="AQ744" i="10"/>
  <c r="AN744" i="10"/>
  <c r="AS344" i="10"/>
  <c r="Z344" i="10"/>
  <c r="AC344" i="10"/>
  <c r="K344" i="10"/>
  <c r="W344" i="10"/>
  <c r="AI744" i="10"/>
  <c r="AF344" i="10"/>
  <c r="AO744" i="10"/>
  <c r="AD344" i="10"/>
  <c r="N344" i="10"/>
  <c r="P344" i="10"/>
  <c r="AA344" i="10"/>
  <c r="Z744" i="10"/>
  <c r="AM744" i="10"/>
  <c r="AV344" i="10"/>
  <c r="W744" i="10"/>
  <c r="AK744" i="10"/>
  <c r="AY344" i="10"/>
  <c r="Q744" i="10"/>
  <c r="AQ344" i="10"/>
  <c r="J744" i="10"/>
  <c r="M744" i="10"/>
  <c r="AE744" i="10"/>
  <c r="AM344" i="10"/>
  <c r="S344" i="10"/>
  <c r="AJ344" i="10"/>
  <c r="AL744" i="10"/>
  <c r="AI344" i="10"/>
  <c r="AD744" i="10"/>
  <c r="L344" i="10"/>
  <c r="X344" i="10"/>
  <c r="AT744" i="10"/>
  <c r="AP344" i="10"/>
  <c r="AR744" i="10"/>
  <c r="AE344" i="10"/>
  <c r="U744" i="10"/>
  <c r="X744" i="10"/>
  <c r="AX344" i="10"/>
  <c r="AW744" i="10"/>
  <c r="T344" i="10"/>
  <c r="O744" i="10"/>
  <c r="AH344" i="10"/>
  <c r="AW344" i="10"/>
  <c r="AB744" i="10"/>
  <c r="AP744" i="10"/>
  <c r="AT344" i="10"/>
  <c r="AX744" i="10"/>
  <c r="AC744" i="10"/>
  <c r="AO344" i="10"/>
  <c r="AU744" i="10"/>
  <c r="J344" i="10"/>
  <c r="AF744" i="10"/>
  <c r="AG744" i="10"/>
  <c r="P744" i="10"/>
  <c r="F70" i="10"/>
  <c r="W70" i="27"/>
  <c r="E70" i="27" s="1"/>
  <c r="N70" i="26"/>
  <c r="AC86" i="6"/>
  <c r="AC60" i="6"/>
  <c r="F345" i="10"/>
  <c r="W345" i="27"/>
  <c r="E345" i="27" s="1"/>
  <c r="N345" i="26"/>
  <c r="AP441" i="26"/>
  <c r="AV441" i="26" s="1"/>
  <c r="P441" i="26" s="1"/>
  <c r="AG111" i="9"/>
  <c r="Q447" i="26"/>
  <c r="F433" i="9" s="1"/>
  <c r="BB89" i="10"/>
  <c r="BA89" i="10"/>
  <c r="I110" i="9"/>
  <c r="I110" i="6"/>
  <c r="I191" i="9"/>
  <c r="I191" i="6"/>
  <c r="H504" i="6"/>
  <c r="AC504" i="6" s="1"/>
  <c r="AD504" i="6" s="1"/>
  <c r="Q535" i="26"/>
  <c r="F504" i="6" s="1"/>
  <c r="I52" i="6"/>
  <c r="I52" i="9"/>
  <c r="AC72" i="9"/>
  <c r="I265" i="9"/>
  <c r="I265" i="6"/>
  <c r="AC54" i="9"/>
  <c r="AH750" i="10"/>
  <c r="T350" i="10"/>
  <c r="X350" i="10"/>
  <c r="AF350" i="10"/>
  <c r="AC750" i="10"/>
  <c r="AD350" i="10"/>
  <c r="AA750" i="10"/>
  <c r="S350" i="10"/>
  <c r="AS750" i="10"/>
  <c r="AY350" i="10"/>
  <c r="AG750" i="10"/>
  <c r="AJ750" i="10"/>
  <c r="AL750" i="10"/>
  <c r="AI750" i="10"/>
  <c r="Q350" i="10"/>
  <c r="AO350" i="10"/>
  <c r="AM350" i="10"/>
  <c r="W750" i="10"/>
  <c r="R750" i="10"/>
  <c r="Y750" i="10"/>
  <c r="AY750" i="10"/>
  <c r="K350" i="10"/>
  <c r="V350" i="10"/>
  <c r="AB350" i="10"/>
  <c r="V750" i="10"/>
  <c r="Z350" i="10"/>
  <c r="AL350" i="10"/>
  <c r="R350" i="10"/>
  <c r="AU750" i="10"/>
  <c r="AE750" i="10"/>
  <c r="M750" i="10"/>
  <c r="AM750" i="10"/>
  <c r="AQ750" i="10"/>
  <c r="W350" i="10"/>
  <c r="AC350" i="10"/>
  <c r="AP350" i="10"/>
  <c r="AO750" i="10"/>
  <c r="AP750" i="10"/>
  <c r="N750" i="10"/>
  <c r="J350" i="10"/>
  <c r="AB750" i="10"/>
  <c r="AX750" i="10"/>
  <c r="AJ350" i="10"/>
  <c r="AR750" i="10"/>
  <c r="L350" i="10"/>
  <c r="AK350" i="10"/>
  <c r="T750" i="10"/>
  <c r="L750" i="10"/>
  <c r="S750" i="10"/>
  <c r="K750" i="10"/>
  <c r="U750" i="10"/>
  <c r="AD750" i="10"/>
  <c r="Q750" i="10"/>
  <c r="AV750" i="10"/>
  <c r="AV350" i="10"/>
  <c r="AW350" i="10"/>
  <c r="AE350" i="10"/>
  <c r="U350" i="10"/>
  <c r="X750" i="10"/>
  <c r="AW750" i="10"/>
  <c r="AN350" i="10"/>
  <c r="Z750" i="10"/>
  <c r="AN750" i="10"/>
  <c r="AS350" i="10"/>
  <c r="M350" i="10"/>
  <c r="AG350" i="10"/>
  <c r="O350" i="10"/>
  <c r="AT350" i="10"/>
  <c r="AH350" i="10"/>
  <c r="P750" i="10"/>
  <c r="AI350" i="10"/>
  <c r="AA350" i="10"/>
  <c r="AK750" i="10"/>
  <c r="O750" i="10"/>
  <c r="AX350" i="10"/>
  <c r="N350" i="10"/>
  <c r="J750" i="10"/>
  <c r="P350" i="10"/>
  <c r="AR350" i="10"/>
  <c r="AQ350" i="10"/>
  <c r="AT750" i="10"/>
  <c r="AF750" i="10"/>
  <c r="Y350" i="10"/>
  <c r="P52" i="26"/>
  <c r="X52" i="27" s="1"/>
  <c r="AB52" i="27" s="1"/>
  <c r="F52" i="9"/>
  <c r="Z52" i="9" s="1"/>
  <c r="AA52" i="9" s="1"/>
  <c r="Y52" i="27"/>
  <c r="G52" i="27" s="1"/>
  <c r="F52" i="6"/>
  <c r="AG101" i="9"/>
  <c r="W73" i="27"/>
  <c r="E73" i="27" s="1"/>
  <c r="Z126" i="27"/>
  <c r="I90" i="9"/>
  <c r="I90" i="6"/>
  <c r="AC86" i="9"/>
  <c r="BE310" i="26"/>
  <c r="BF310" i="26" s="1"/>
  <c r="G310" i="6"/>
  <c r="G310" i="9"/>
  <c r="F160" i="6"/>
  <c r="P160" i="26"/>
  <c r="X160" i="27" s="1"/>
  <c r="AB160" i="27" s="1"/>
  <c r="F160" i="9"/>
  <c r="Z160" i="9" s="1"/>
  <c r="AA160" i="9" s="1"/>
  <c r="Y160" i="27"/>
  <c r="G160" i="27" s="1"/>
  <c r="AC166" i="6"/>
  <c r="F179" i="10"/>
  <c r="N179" i="26"/>
  <c r="W179" i="27"/>
  <c r="E179" i="27" s="1"/>
  <c r="V421" i="10"/>
  <c r="AL421" i="10"/>
  <c r="T421" i="10"/>
  <c r="AL21" i="10"/>
  <c r="AV421" i="10"/>
  <c r="AO421" i="10"/>
  <c r="AJ21" i="10"/>
  <c r="AP21" i="10"/>
  <c r="AM21" i="10"/>
  <c r="AH421" i="10"/>
  <c r="Z421" i="10"/>
  <c r="O421" i="10"/>
  <c r="X421" i="10"/>
  <c r="T21" i="10"/>
  <c r="J21" i="10"/>
  <c r="AR21" i="10"/>
  <c r="AM421" i="10"/>
  <c r="R21" i="10"/>
  <c r="AK421" i="10"/>
  <c r="AW21" i="10"/>
  <c r="N21" i="10"/>
  <c r="AT421" i="10"/>
  <c r="AX21" i="10"/>
  <c r="AP421" i="10"/>
  <c r="K421" i="10"/>
  <c r="O21" i="10"/>
  <c r="AF421" i="10"/>
  <c r="AG21" i="10"/>
  <c r="AN421" i="10"/>
  <c r="Y21" i="10"/>
  <c r="M421" i="10"/>
  <c r="U21" i="10"/>
  <c r="AI421" i="10"/>
  <c r="S421" i="10"/>
  <c r="AY421" i="10"/>
  <c r="AQ21" i="10"/>
  <c r="X21" i="10"/>
  <c r="V21" i="10"/>
  <c r="AD421" i="10"/>
  <c r="W21" i="10"/>
  <c r="AE421" i="10"/>
  <c r="AS421" i="10"/>
  <c r="R421" i="10"/>
  <c r="AC421" i="10"/>
  <c r="P421" i="10"/>
  <c r="AH21" i="10"/>
  <c r="AR421" i="10"/>
  <c r="W421" i="10"/>
  <c r="AS21" i="10"/>
  <c r="L21" i="10"/>
  <c r="AK21" i="10"/>
  <c r="AI21" i="10"/>
  <c r="AX421" i="10"/>
  <c r="AC21" i="10"/>
  <c r="AG421" i="10"/>
  <c r="Y421" i="10"/>
  <c r="Q21" i="10"/>
  <c r="AY21" i="10"/>
  <c r="M21" i="10"/>
  <c r="AB421" i="10"/>
  <c r="AV21" i="10"/>
  <c r="AO21" i="10"/>
  <c r="AU421" i="10"/>
  <c r="P21" i="10"/>
  <c r="U421" i="10"/>
  <c r="AF21" i="10"/>
  <c r="N421" i="10"/>
  <c r="L421" i="10"/>
  <c r="AT21" i="10"/>
  <c r="K21" i="10"/>
  <c r="J421" i="10"/>
  <c r="AN21" i="10"/>
  <c r="AQ421" i="10"/>
  <c r="AJ421" i="10"/>
  <c r="AW421" i="10"/>
  <c r="Q421" i="10"/>
  <c r="Z21" i="10"/>
  <c r="S21" i="10"/>
  <c r="AA21" i="10"/>
  <c r="AE21" i="10"/>
  <c r="AD21" i="10"/>
  <c r="AA421" i="10"/>
  <c r="AB21" i="10"/>
  <c r="AC303" i="6"/>
  <c r="BB428" i="26"/>
  <c r="BA428" i="26" s="1"/>
  <c r="V208" i="27"/>
  <c r="AA208" i="27" s="1"/>
  <c r="G208" i="10"/>
  <c r="BD208" i="26"/>
  <c r="AC250" i="6"/>
  <c r="I232" i="6"/>
  <c r="I232" i="9"/>
  <c r="I200" i="9"/>
  <c r="I200" i="6"/>
  <c r="I157" i="6"/>
  <c r="I157" i="9"/>
  <c r="AW741" i="10"/>
  <c r="O341" i="10"/>
  <c r="P341" i="10"/>
  <c r="AV341" i="10"/>
  <c r="Z741" i="10"/>
  <c r="AH741" i="10"/>
  <c r="AO741" i="10"/>
  <c r="AS741" i="10"/>
  <c r="AX341" i="10"/>
  <c r="AH341" i="10"/>
  <c r="AD741" i="10"/>
  <c r="AK741" i="10"/>
  <c r="Q341" i="10"/>
  <c r="W341" i="10"/>
  <c r="AJ341" i="10"/>
  <c r="AF741" i="10"/>
  <c r="AB341" i="10"/>
  <c r="N741" i="10"/>
  <c r="W741" i="10"/>
  <c r="AR341" i="10"/>
  <c r="AB741" i="10"/>
  <c r="AA341" i="10"/>
  <c r="Q741" i="10"/>
  <c r="Z341" i="10"/>
  <c r="V341" i="10"/>
  <c r="J341" i="10"/>
  <c r="AC741" i="10"/>
  <c r="AA741" i="10"/>
  <c r="P741" i="10"/>
  <c r="AL341" i="10"/>
  <c r="AE341" i="10"/>
  <c r="K741" i="10"/>
  <c r="AG341" i="10"/>
  <c r="J741" i="10"/>
  <c r="AD341" i="10"/>
  <c r="AU741" i="10"/>
  <c r="AM341" i="10"/>
  <c r="AP341" i="10"/>
  <c r="T741" i="10"/>
  <c r="K341" i="10"/>
  <c r="AM741" i="10"/>
  <c r="AC341" i="10"/>
  <c r="Y741" i="10"/>
  <c r="Y341" i="10"/>
  <c r="AI741" i="10"/>
  <c r="AP741" i="10"/>
  <c r="AN341" i="10"/>
  <c r="X741" i="10"/>
  <c r="S741" i="10"/>
  <c r="U741" i="10"/>
  <c r="AS341" i="10"/>
  <c r="AV741" i="10"/>
  <c r="AO341" i="10"/>
  <c r="V741" i="10"/>
  <c r="R741" i="10"/>
  <c r="AW341" i="10"/>
  <c r="S341" i="10"/>
  <c r="AK341" i="10"/>
  <c r="AQ741" i="10"/>
  <c r="L741" i="10"/>
  <c r="AF341" i="10"/>
  <c r="AY741" i="10"/>
  <c r="AY341" i="10"/>
  <c r="AQ341" i="10"/>
  <c r="U341" i="10"/>
  <c r="M741" i="10"/>
  <c r="O741" i="10"/>
  <c r="AT341" i="10"/>
  <c r="AT741" i="10"/>
  <c r="R341" i="10"/>
  <c r="M341" i="10"/>
  <c r="AE741" i="10"/>
  <c r="AJ741" i="10"/>
  <c r="N341" i="10"/>
  <c r="AR741" i="10"/>
  <c r="AG741" i="10"/>
  <c r="AL741" i="10"/>
  <c r="X341" i="10"/>
  <c r="AI341" i="10"/>
  <c r="T341" i="10"/>
  <c r="L341" i="10"/>
  <c r="AN741" i="10"/>
  <c r="AX741" i="10"/>
  <c r="AG336" i="9"/>
  <c r="I70" i="6"/>
  <c r="I70" i="9"/>
  <c r="AC93" i="9"/>
  <c r="AC228" i="6"/>
  <c r="AC160" i="6"/>
  <c r="Z339" i="27"/>
  <c r="I85" i="6"/>
  <c r="I85" i="9"/>
  <c r="F157" i="9"/>
  <c r="Z157" i="9" s="1"/>
  <c r="AA157" i="9" s="1"/>
  <c r="F157" i="6"/>
  <c r="Y157" i="27"/>
  <c r="G157" i="27" s="1"/>
  <c r="P157" i="26"/>
  <c r="X157" i="27" s="1"/>
  <c r="AB157" i="27" s="1"/>
  <c r="AR585" i="10"/>
  <c r="AJ585" i="10"/>
  <c r="AY185" i="10"/>
  <c r="AH585" i="10"/>
  <c r="O585" i="10"/>
  <c r="AD585" i="10"/>
  <c r="AQ185" i="10"/>
  <c r="X185" i="10"/>
  <c r="Y185" i="10"/>
  <c r="AS185" i="10"/>
  <c r="AJ185" i="10"/>
  <c r="Z585" i="10"/>
  <c r="AT185" i="10"/>
  <c r="AP185" i="10"/>
  <c r="AH185" i="10"/>
  <c r="AX585" i="10"/>
  <c r="AS585" i="10"/>
  <c r="AO585" i="10"/>
  <c r="AC185" i="10"/>
  <c r="O185" i="10"/>
  <c r="K185" i="10"/>
  <c r="N585" i="10"/>
  <c r="AB185" i="10"/>
  <c r="AG185" i="10"/>
  <c r="AT585" i="10"/>
  <c r="AC585" i="10"/>
  <c r="AK185" i="10"/>
  <c r="K585" i="10"/>
  <c r="S185" i="10"/>
  <c r="AD185" i="10"/>
  <c r="AF185" i="10"/>
  <c r="U185" i="10"/>
  <c r="AE585" i="10"/>
  <c r="AP585" i="10"/>
  <c r="AY585" i="10"/>
  <c r="AV585" i="10"/>
  <c r="AG585" i="10"/>
  <c r="AM185" i="10"/>
  <c r="Q585" i="10"/>
  <c r="AE185" i="10"/>
  <c r="AQ585" i="10"/>
  <c r="AN185" i="10"/>
  <c r="AV185" i="10"/>
  <c r="Y585" i="10"/>
  <c r="AK585" i="10"/>
  <c r="Q185" i="10"/>
  <c r="P185" i="10"/>
  <c r="V185" i="10"/>
  <c r="AF585" i="10"/>
  <c r="L585" i="10"/>
  <c r="AR185" i="10"/>
  <c r="M185" i="10"/>
  <c r="Z185" i="10"/>
  <c r="S585" i="10"/>
  <c r="W585" i="10"/>
  <c r="R185" i="10"/>
  <c r="T585" i="10"/>
  <c r="AI585" i="10"/>
  <c r="V585" i="10"/>
  <c r="J585" i="10"/>
  <c r="M585" i="10"/>
  <c r="T185" i="10"/>
  <c r="J185" i="10"/>
  <c r="AX185" i="10"/>
  <c r="N185" i="10"/>
  <c r="W185" i="10"/>
  <c r="AI185" i="10"/>
  <c r="AL185" i="10"/>
  <c r="AW585" i="10"/>
  <c r="AL585" i="10"/>
  <c r="AW185" i="10"/>
  <c r="AN585" i="10"/>
  <c r="AO185" i="10"/>
  <c r="AA185" i="10"/>
  <c r="X585" i="10"/>
  <c r="AU585" i="10"/>
  <c r="P585" i="10"/>
  <c r="AA585" i="10"/>
  <c r="R585" i="10"/>
  <c r="U585" i="10"/>
  <c r="AM585" i="10"/>
  <c r="AB585" i="10"/>
  <c r="L185" i="10"/>
  <c r="AY541" i="10"/>
  <c r="Y541" i="10"/>
  <c r="AW141" i="10"/>
  <c r="W141" i="10"/>
  <c r="AA141" i="10"/>
  <c r="AL541" i="10"/>
  <c r="AV541" i="10"/>
  <c r="Q141" i="10"/>
  <c r="K541" i="10"/>
  <c r="S541" i="10"/>
  <c r="AB541" i="10"/>
  <c r="N541" i="10"/>
  <c r="R141" i="10"/>
  <c r="AS541" i="10"/>
  <c r="P541" i="10"/>
  <c r="AI541" i="10"/>
  <c r="AG541" i="10"/>
  <c r="AP541" i="10"/>
  <c r="AM141" i="10"/>
  <c r="AM541" i="10"/>
  <c r="L541" i="10"/>
  <c r="AK541" i="10"/>
  <c r="AW541" i="10"/>
  <c r="AU541" i="10"/>
  <c r="Z541" i="10"/>
  <c r="AX141" i="10"/>
  <c r="AV141" i="10"/>
  <c r="P141" i="10"/>
  <c r="AF141" i="10"/>
  <c r="J541" i="10"/>
  <c r="Q541" i="10"/>
  <c r="AI141" i="10"/>
  <c r="AN541" i="10"/>
  <c r="AH541" i="10"/>
  <c r="O541" i="10"/>
  <c r="O141" i="10"/>
  <c r="AK141" i="10"/>
  <c r="AR141" i="10"/>
  <c r="AY141" i="10"/>
  <c r="AJ541" i="10"/>
  <c r="AA541" i="10"/>
  <c r="M141" i="10"/>
  <c r="AG141" i="10"/>
  <c r="T541" i="10"/>
  <c r="W541" i="10"/>
  <c r="AL141" i="10"/>
  <c r="AB141" i="10"/>
  <c r="AF541" i="10"/>
  <c r="R541" i="10"/>
  <c r="AD541" i="10"/>
  <c r="AT541" i="10"/>
  <c r="N141" i="10"/>
  <c r="V141" i="10"/>
  <c r="T141" i="10"/>
  <c r="M541" i="10"/>
  <c r="AE541" i="10"/>
  <c r="S141" i="10"/>
  <c r="AO141" i="10"/>
  <c r="AN141" i="10"/>
  <c r="U541" i="10"/>
  <c r="AS141" i="10"/>
  <c r="AC541" i="10"/>
  <c r="Y141" i="10"/>
  <c r="X541" i="10"/>
  <c r="AH141" i="10"/>
  <c r="J141" i="10"/>
  <c r="X141" i="10"/>
  <c r="AC141" i="10"/>
  <c r="AO541" i="10"/>
  <c r="V541" i="10"/>
  <c r="AJ141" i="10"/>
  <c r="Z141" i="10"/>
  <c r="AP141" i="10"/>
  <c r="K141" i="10"/>
  <c r="U141" i="10"/>
  <c r="AD141" i="10"/>
  <c r="AE141" i="10"/>
  <c r="AT141" i="10"/>
  <c r="L141" i="10"/>
  <c r="AQ541" i="10"/>
  <c r="AX541" i="10"/>
  <c r="AR541" i="10"/>
  <c r="AQ141" i="10"/>
  <c r="I95" i="9"/>
  <c r="I95" i="6"/>
  <c r="Z356" i="6"/>
  <c r="F95" i="10"/>
  <c r="W95" i="27"/>
  <c r="E95" i="27" s="1"/>
  <c r="N95" i="26"/>
  <c r="AA375" i="10"/>
  <c r="L375" i="10"/>
  <c r="S375" i="10"/>
  <c r="AO375" i="10"/>
  <c r="S775" i="10"/>
  <c r="J775" i="10"/>
  <c r="AJ775" i="10"/>
  <c r="AB375" i="10"/>
  <c r="R375" i="10"/>
  <c r="AV775" i="10"/>
  <c r="AA775" i="10"/>
  <c r="W775" i="10"/>
  <c r="N775" i="10"/>
  <c r="AH375" i="10"/>
  <c r="T775" i="10"/>
  <c r="M775" i="10"/>
  <c r="V775" i="10"/>
  <c r="AN775" i="10"/>
  <c r="AP775" i="10"/>
  <c r="P775" i="10"/>
  <c r="AF375" i="10"/>
  <c r="L775" i="10"/>
  <c r="AW775" i="10"/>
  <c r="W375" i="10"/>
  <c r="AC775" i="10"/>
  <c r="AW375" i="10"/>
  <c r="Q775" i="10"/>
  <c r="AD775" i="10"/>
  <c r="T375" i="10"/>
  <c r="AL775" i="10"/>
  <c r="U375" i="10"/>
  <c r="AQ775" i="10"/>
  <c r="X775" i="10"/>
  <c r="P375" i="10"/>
  <c r="AH775" i="10"/>
  <c r="AB775" i="10"/>
  <c r="J375" i="10"/>
  <c r="AO775" i="10"/>
  <c r="Y775" i="10"/>
  <c r="X375" i="10"/>
  <c r="AM375" i="10"/>
  <c r="M375" i="10"/>
  <c r="AV375" i="10"/>
  <c r="AX375" i="10"/>
  <c r="AC375" i="10"/>
  <c r="AS775" i="10"/>
  <c r="AD375" i="10"/>
  <c r="K775" i="10"/>
  <c r="AT375" i="10"/>
  <c r="AT775" i="10"/>
  <c r="O775" i="10"/>
  <c r="AU775" i="10"/>
  <c r="AG375" i="10"/>
  <c r="AX775" i="10"/>
  <c r="AL375" i="10"/>
  <c r="AE775" i="10"/>
  <c r="AM775" i="10"/>
  <c r="AR375" i="10"/>
  <c r="AF775" i="10"/>
  <c r="AG775" i="10"/>
  <c r="R775" i="10"/>
  <c r="AI375" i="10"/>
  <c r="AS375" i="10"/>
  <c r="N375" i="10"/>
  <c r="AE375" i="10"/>
  <c r="AR775" i="10"/>
  <c r="AY775" i="10"/>
  <c r="U775" i="10"/>
  <c r="Y375" i="10"/>
  <c r="V375" i="10"/>
  <c r="AK375" i="10"/>
  <c r="AN375" i="10"/>
  <c r="O375" i="10"/>
  <c r="AK775" i="10"/>
  <c r="K375" i="10"/>
  <c r="Z375" i="10"/>
  <c r="Q375" i="10"/>
  <c r="Z775" i="10"/>
  <c r="AQ375" i="10"/>
  <c r="AI775" i="10"/>
  <c r="AP375" i="10"/>
  <c r="AY375" i="10"/>
  <c r="AJ375" i="10"/>
  <c r="AC15" i="9"/>
  <c r="AC68" i="6"/>
  <c r="I28" i="6"/>
  <c r="I28" i="9"/>
  <c r="N110" i="10"/>
  <c r="AR110" i="10"/>
  <c r="AW110" i="10"/>
  <c r="AB110" i="10"/>
  <c r="Y110" i="10"/>
  <c r="AN510" i="10"/>
  <c r="AI110" i="10"/>
  <c r="P110" i="10"/>
  <c r="AS510" i="10"/>
  <c r="T110" i="10"/>
  <c r="O510" i="10"/>
  <c r="O110" i="10"/>
  <c r="N510" i="10"/>
  <c r="AY510" i="10"/>
  <c r="Z510" i="10"/>
  <c r="AH110" i="10"/>
  <c r="AK110" i="10"/>
  <c r="X510" i="10"/>
  <c r="AS110" i="10"/>
  <c r="AP110" i="10"/>
  <c r="AM110" i="10"/>
  <c r="AB510" i="10"/>
  <c r="AD110" i="10"/>
  <c r="K110" i="10"/>
  <c r="Q510" i="10"/>
  <c r="AE510" i="10"/>
  <c r="K510" i="10"/>
  <c r="AG110" i="10"/>
  <c r="AK510" i="10"/>
  <c r="AV110" i="10"/>
  <c r="AP510" i="10"/>
  <c r="J510" i="10"/>
  <c r="W110" i="10"/>
  <c r="AW510" i="10"/>
  <c r="AC110" i="10"/>
  <c r="AO510" i="10"/>
  <c r="AV510" i="10"/>
  <c r="AE110" i="10"/>
  <c r="AJ110" i="10"/>
  <c r="AT110" i="10"/>
  <c r="AC510" i="10"/>
  <c r="V110" i="10"/>
  <c r="AG510" i="10"/>
  <c r="AT510" i="10"/>
  <c r="L110" i="10"/>
  <c r="AL110" i="10"/>
  <c r="AD510" i="10"/>
  <c r="AX110" i="10"/>
  <c r="AA510" i="10"/>
  <c r="X110" i="10"/>
  <c r="T510" i="10"/>
  <c r="AU510" i="10"/>
  <c r="S110" i="10"/>
  <c r="J110" i="10"/>
  <c r="M110" i="10"/>
  <c r="R510" i="10"/>
  <c r="AL510" i="10"/>
  <c r="P510" i="10"/>
  <c r="AR510" i="10"/>
  <c r="AH510" i="10"/>
  <c r="L510" i="10"/>
  <c r="V510" i="10"/>
  <c r="AO110" i="10"/>
  <c r="W510" i="10"/>
  <c r="Y510" i="10"/>
  <c r="AF510" i="10"/>
  <c r="AM510" i="10"/>
  <c r="AA110" i="10"/>
  <c r="S510" i="10"/>
  <c r="AN110" i="10"/>
  <c r="Z110" i="10"/>
  <c r="AQ110" i="10"/>
  <c r="AF110" i="10"/>
  <c r="AX510" i="10"/>
  <c r="R110" i="10"/>
  <c r="AI510" i="10"/>
  <c r="Q110" i="10"/>
  <c r="AQ510" i="10"/>
  <c r="M510" i="10"/>
  <c r="AJ510" i="10"/>
  <c r="AY110" i="10"/>
  <c r="U510" i="10"/>
  <c r="U110" i="10"/>
  <c r="G271" i="9"/>
  <c r="BE271" i="26"/>
  <c r="G271" i="6"/>
  <c r="Z327" i="6"/>
  <c r="AC111" i="6"/>
  <c r="AC185" i="9"/>
  <c r="Z310" i="6"/>
  <c r="AD68" i="10"/>
  <c r="O68" i="10"/>
  <c r="J68" i="10"/>
  <c r="Q68" i="10"/>
  <c r="Y468" i="10"/>
  <c r="AL68" i="10"/>
  <c r="W468" i="10"/>
  <c r="AJ68" i="10"/>
  <c r="L468" i="10"/>
  <c r="R468" i="10"/>
  <c r="AW468" i="10"/>
  <c r="AB68" i="10"/>
  <c r="AC68" i="10"/>
  <c r="AX468" i="10"/>
  <c r="AK68" i="10"/>
  <c r="V68" i="10"/>
  <c r="AG68" i="10"/>
  <c r="O468" i="10"/>
  <c r="U68" i="10"/>
  <c r="AO68" i="10"/>
  <c r="AP468" i="10"/>
  <c r="S468" i="10"/>
  <c r="J468" i="10"/>
  <c r="Z468" i="10"/>
  <c r="K68" i="10"/>
  <c r="AL468" i="10"/>
  <c r="AM68" i="10"/>
  <c r="M468" i="10"/>
  <c r="AU468" i="10"/>
  <c r="AS68" i="10"/>
  <c r="Y68" i="10"/>
  <c r="AG468" i="10"/>
  <c r="AQ68" i="10"/>
  <c r="AY468" i="10"/>
  <c r="AI468" i="10"/>
  <c r="AE468" i="10"/>
  <c r="N68" i="10"/>
  <c r="AH68" i="10"/>
  <c r="AJ468" i="10"/>
  <c r="AQ468" i="10"/>
  <c r="S68" i="10"/>
  <c r="AP68" i="10"/>
  <c r="AC468" i="10"/>
  <c r="R68" i="10"/>
  <c r="AB468" i="10"/>
  <c r="L68" i="10"/>
  <c r="AN68" i="10"/>
  <c r="AT468" i="10"/>
  <c r="AH468" i="10"/>
  <c r="AR68" i="10"/>
  <c r="X68" i="10"/>
  <c r="AV468" i="10"/>
  <c r="X468" i="10"/>
  <c r="Z68" i="10"/>
  <c r="AW68" i="10"/>
  <c r="AA68" i="10"/>
  <c r="AF468" i="10"/>
  <c r="Q468" i="10"/>
  <c r="AF68" i="10"/>
  <c r="W68" i="10"/>
  <c r="AD468" i="10"/>
  <c r="AK468" i="10"/>
  <c r="U468" i="10"/>
  <c r="AO468" i="10"/>
  <c r="AT68" i="10"/>
  <c r="AR468" i="10"/>
  <c r="M68" i="10"/>
  <c r="V468" i="10"/>
  <c r="K468" i="10"/>
  <c r="P468" i="10"/>
  <c r="AS468" i="10"/>
  <c r="P68" i="10"/>
  <c r="AX68" i="10"/>
  <c r="T468" i="10"/>
  <c r="AA468" i="10"/>
  <c r="AE68" i="10"/>
  <c r="T68" i="10"/>
  <c r="AY68" i="10"/>
  <c r="N468" i="10"/>
  <c r="AM468" i="10"/>
  <c r="AI68" i="10"/>
  <c r="AN468" i="10"/>
  <c r="AV68" i="10"/>
  <c r="AG365" i="9"/>
  <c r="AG95" i="9"/>
  <c r="AC232" i="9"/>
  <c r="G194" i="10"/>
  <c r="V194" i="27"/>
  <c r="AA194" i="27" s="1"/>
  <c r="BD194" i="26"/>
  <c r="BD155" i="26"/>
  <c r="V155" i="27"/>
  <c r="AA155" i="27" s="1"/>
  <c r="G155" i="10"/>
  <c r="AK776" i="10"/>
  <c r="AH776" i="10"/>
  <c r="AA776" i="10"/>
  <c r="AM776" i="10"/>
  <c r="U376" i="10"/>
  <c r="AA376" i="10"/>
  <c r="K776" i="10"/>
  <c r="T776" i="10"/>
  <c r="X776" i="10"/>
  <c r="Y776" i="10"/>
  <c r="T376" i="10"/>
  <c r="AM376" i="10"/>
  <c r="Z376" i="10"/>
  <c r="AE376" i="10"/>
  <c r="AL776" i="10"/>
  <c r="AX776" i="10"/>
  <c r="AG376" i="10"/>
  <c r="AS776" i="10"/>
  <c r="AO376" i="10"/>
  <c r="AO776" i="10"/>
  <c r="Q376" i="10"/>
  <c r="V376" i="10"/>
  <c r="AX376" i="10"/>
  <c r="AV376" i="10"/>
  <c r="M376" i="10"/>
  <c r="AN376" i="10"/>
  <c r="S776" i="10"/>
  <c r="P376" i="10"/>
  <c r="AF776" i="10"/>
  <c r="W776" i="10"/>
  <c r="L376" i="10"/>
  <c r="J376" i="10"/>
  <c r="AQ376" i="10"/>
  <c r="AW776" i="10"/>
  <c r="AQ776" i="10"/>
  <c r="AS376" i="10"/>
  <c r="AN776" i="10"/>
  <c r="M776" i="10"/>
  <c r="AT376" i="10"/>
  <c r="N776" i="10"/>
  <c r="K376" i="10"/>
  <c r="R376" i="10"/>
  <c r="AJ376" i="10"/>
  <c r="P776" i="10"/>
  <c r="AC776" i="10"/>
  <c r="Z776" i="10"/>
  <c r="AY376" i="10"/>
  <c r="S376" i="10"/>
  <c r="AG776" i="10"/>
  <c r="AR776" i="10"/>
  <c r="AD776" i="10"/>
  <c r="AV776" i="10"/>
  <c r="AF376" i="10"/>
  <c r="AK376" i="10"/>
  <c r="AW376" i="10"/>
  <c r="Q776" i="10"/>
  <c r="U776" i="10"/>
  <c r="AT776" i="10"/>
  <c r="O776" i="10"/>
  <c r="AI776" i="10"/>
  <c r="O376" i="10"/>
  <c r="AD376" i="10"/>
  <c r="AB376" i="10"/>
  <c r="AH376" i="10"/>
  <c r="R776" i="10"/>
  <c r="N376" i="10"/>
  <c r="W376" i="10"/>
  <c r="AI376" i="10"/>
  <c r="AY776" i="10"/>
  <c r="L776" i="10"/>
  <c r="AL376" i="10"/>
  <c r="AR376" i="10"/>
  <c r="AU776" i="10"/>
  <c r="AB776" i="10"/>
  <c r="J776" i="10"/>
  <c r="AP776" i="10"/>
  <c r="AE776" i="10"/>
  <c r="X376" i="10"/>
  <c r="AP376" i="10"/>
  <c r="AJ776" i="10"/>
  <c r="V776" i="10"/>
  <c r="AC376" i="10"/>
  <c r="Y376" i="10"/>
  <c r="AC316" i="9"/>
  <c r="F265" i="10"/>
  <c r="W265" i="27"/>
  <c r="E265" i="27" s="1"/>
  <c r="N265" i="26"/>
  <c r="W383" i="27"/>
  <c r="E383" i="27" s="1"/>
  <c r="N383" i="26"/>
  <c r="F383" i="10"/>
  <c r="AC365" i="6"/>
  <c r="AC228" i="9"/>
  <c r="BB192" i="10"/>
  <c r="BA192" i="10"/>
  <c r="AM518" i="26"/>
  <c r="AU518" i="26"/>
  <c r="W370" i="27"/>
  <c r="E370" i="27" s="1"/>
  <c r="F370" i="10"/>
  <c r="N370" i="26"/>
  <c r="AC349" i="6"/>
  <c r="AC68" i="9"/>
  <c r="F160" i="10"/>
  <c r="N160" i="26"/>
  <c r="W160" i="27"/>
  <c r="E160" i="27" s="1"/>
  <c r="F185" i="9"/>
  <c r="Z185" i="9" s="1"/>
  <c r="AA185" i="9" s="1"/>
  <c r="P185" i="26"/>
  <c r="X185" i="27" s="1"/>
  <c r="AB185" i="27" s="1"/>
  <c r="F185" i="6"/>
  <c r="Y185" i="27"/>
  <c r="G185" i="27" s="1"/>
  <c r="I283" i="9"/>
  <c r="I283" i="6"/>
  <c r="G188" i="10"/>
  <c r="V188" i="27"/>
  <c r="AA188" i="27" s="1"/>
  <c r="BD188" i="26"/>
  <c r="BF188" i="26" s="1"/>
  <c r="AC90" i="6"/>
  <c r="AC60" i="9"/>
  <c r="Z86" i="6"/>
  <c r="G21" i="10"/>
  <c r="BD21" i="26"/>
  <c r="V21" i="27"/>
  <c r="AA21" i="27" s="1"/>
  <c r="AC356" i="6"/>
  <c r="V114" i="27"/>
  <c r="AA114" i="27" s="1"/>
  <c r="BD114" i="26"/>
  <c r="G114" i="10"/>
  <c r="P364" i="26"/>
  <c r="X364" i="27" s="1"/>
  <c r="AB364" i="27" s="1"/>
  <c r="F364" i="9"/>
  <c r="Z364" i="9" s="1"/>
  <c r="AA364" i="9" s="1"/>
  <c r="F364" i="6"/>
  <c r="Y364" i="27"/>
  <c r="G364" i="27" s="1"/>
  <c r="AC112" i="9"/>
  <c r="AC198" i="6"/>
  <c r="I303" i="9"/>
  <c r="I303" i="6"/>
  <c r="I250" i="6"/>
  <c r="I250" i="9"/>
  <c r="AC222" i="6"/>
  <c r="AC232" i="6"/>
  <c r="AC200" i="6"/>
  <c r="V92" i="27"/>
  <c r="AA92" i="27" s="1"/>
  <c r="G92" i="10"/>
  <c r="BD92" i="26"/>
  <c r="F24" i="27"/>
  <c r="BD376" i="26"/>
  <c r="G376" i="10"/>
  <c r="V376" i="27"/>
  <c r="AA376" i="27" s="1"/>
  <c r="AC310" i="9"/>
  <c r="AC316" i="6"/>
  <c r="AC70" i="9"/>
  <c r="AC110" i="6"/>
  <c r="W99" i="27"/>
  <c r="E99" i="27" s="1"/>
  <c r="N99" i="26"/>
  <c r="F99" i="10"/>
  <c r="G90" i="9"/>
  <c r="G90" i="6"/>
  <c r="BE90" i="26"/>
  <c r="Z84" i="27"/>
  <c r="I365" i="6"/>
  <c r="I365" i="9"/>
  <c r="BD271" i="26"/>
  <c r="G271" i="10"/>
  <c r="V271" i="27"/>
  <c r="AA271" i="27" s="1"/>
  <c r="AC191" i="6"/>
  <c r="G34" i="6"/>
  <c r="BE34" i="26"/>
  <c r="G34" i="9"/>
  <c r="I228" i="9"/>
  <c r="I228" i="6"/>
  <c r="AC160" i="9"/>
  <c r="Y381" i="27"/>
  <c r="G381" i="27" s="1"/>
  <c r="F381" i="6"/>
  <c r="P381" i="26"/>
  <c r="X381" i="27" s="1"/>
  <c r="AB381" i="27" s="1"/>
  <c r="F381" i="9"/>
  <c r="Z381" i="9" s="1"/>
  <c r="AA381" i="9" s="1"/>
  <c r="Z112" i="6"/>
  <c r="V141" i="27"/>
  <c r="AA141" i="27" s="1"/>
  <c r="BD141" i="26"/>
  <c r="BF141" i="26" s="1"/>
  <c r="G141" i="10"/>
  <c r="AC26" i="9"/>
  <c r="AG194" i="9"/>
  <c r="Z263" i="27"/>
  <c r="F263" i="27"/>
  <c r="Y70" i="27"/>
  <c r="G70" i="27" s="1"/>
  <c r="F70" i="6"/>
  <c r="F70" i="9"/>
  <c r="Z70" i="9" s="1"/>
  <c r="AA70" i="9" s="1"/>
  <c r="P70" i="26"/>
  <c r="X70" i="27" s="1"/>
  <c r="AB70" i="27" s="1"/>
  <c r="G50" i="6"/>
  <c r="BE50" i="26"/>
  <c r="BF50" i="26" s="1"/>
  <c r="G50" i="9"/>
  <c r="BD375" i="26"/>
  <c r="V375" i="27"/>
  <c r="AA375" i="27" s="1"/>
  <c r="G375" i="10"/>
  <c r="AC15" i="6"/>
  <c r="AC28" i="9"/>
  <c r="O756" i="10"/>
  <c r="AA356" i="10"/>
  <c r="U356" i="10"/>
  <c r="J756" i="10"/>
  <c r="AP756" i="10"/>
  <c r="AO756" i="10"/>
  <c r="AU756" i="10"/>
  <c r="AD356" i="10"/>
  <c r="AI756" i="10"/>
  <c r="AR756" i="10"/>
  <c r="AM756" i="10"/>
  <c r="AO356" i="10"/>
  <c r="AE356" i="10"/>
  <c r="AS756" i="10"/>
  <c r="N756" i="10"/>
  <c r="Z356" i="10"/>
  <c r="Y356" i="10"/>
  <c r="AB756" i="10"/>
  <c r="K756" i="10"/>
  <c r="AI356" i="10"/>
  <c r="AG356" i="10"/>
  <c r="X756" i="10"/>
  <c r="R756" i="10"/>
  <c r="AJ356" i="10"/>
  <c r="V756" i="10"/>
  <c r="AP356" i="10"/>
  <c r="P356" i="10"/>
  <c r="M756" i="10"/>
  <c r="AS356" i="10"/>
  <c r="Y756" i="10"/>
  <c r="AQ356" i="10"/>
  <c r="V356" i="10"/>
  <c r="AF356" i="10"/>
  <c r="J356" i="10"/>
  <c r="AY756" i="10"/>
  <c r="AT756" i="10"/>
  <c r="M356" i="10"/>
  <c r="AW356" i="10"/>
  <c r="T756" i="10"/>
  <c r="X356" i="10"/>
  <c r="S356" i="10"/>
  <c r="AN756" i="10"/>
  <c r="AB356" i="10"/>
  <c r="AL756" i="10"/>
  <c r="AX356" i="10"/>
  <c r="K356" i="10"/>
  <c r="AN356" i="10"/>
  <c r="AK756" i="10"/>
  <c r="U756" i="10"/>
  <c r="R356" i="10"/>
  <c r="AT356" i="10"/>
  <c r="AC756" i="10"/>
  <c r="AG756" i="10"/>
  <c r="Q756" i="10"/>
  <c r="W356" i="10"/>
  <c r="Q356" i="10"/>
  <c r="AW756" i="10"/>
  <c r="AY356" i="10"/>
  <c r="AF756" i="10"/>
  <c r="AC356" i="10"/>
  <c r="AL356" i="10"/>
  <c r="W756" i="10"/>
  <c r="Z756" i="10"/>
  <c r="AK356" i="10"/>
  <c r="L756" i="10"/>
  <c r="AE756" i="10"/>
  <c r="AV756" i="10"/>
  <c r="AV356" i="10"/>
  <c r="AM356" i="10"/>
  <c r="L356" i="10"/>
  <c r="AR356" i="10"/>
  <c r="AX756" i="10"/>
  <c r="N356" i="10"/>
  <c r="AQ756" i="10"/>
  <c r="AJ756" i="10"/>
  <c r="T356" i="10"/>
  <c r="S756" i="10"/>
  <c r="AA756" i="10"/>
  <c r="AH756" i="10"/>
  <c r="AD756" i="10"/>
  <c r="P756" i="10"/>
  <c r="O356" i="10"/>
  <c r="AH356" i="10"/>
  <c r="Z274" i="6"/>
  <c r="Z246" i="6"/>
  <c r="N155" i="10"/>
  <c r="AY155" i="10"/>
  <c r="AD555" i="10"/>
  <c r="X155" i="10"/>
  <c r="AO555" i="10"/>
  <c r="AV555" i="10"/>
  <c r="Z155" i="10"/>
  <c r="AY555" i="10"/>
  <c r="AD155" i="10"/>
  <c r="AN555" i="10"/>
  <c r="P555" i="10"/>
  <c r="AR155" i="10"/>
  <c r="AL155" i="10"/>
  <c r="AN155" i="10"/>
  <c r="O155" i="10"/>
  <c r="AG155" i="10"/>
  <c r="L555" i="10"/>
  <c r="AM555" i="10"/>
  <c r="K555" i="10"/>
  <c r="AC155" i="10"/>
  <c r="Y555" i="10"/>
  <c r="Q155" i="10"/>
  <c r="AJ155" i="10"/>
  <c r="AB155" i="10"/>
  <c r="P155" i="10"/>
  <c r="AV155" i="10"/>
  <c r="R555" i="10"/>
  <c r="AM155" i="10"/>
  <c r="U555" i="10"/>
  <c r="M555" i="10"/>
  <c r="AF155" i="10"/>
  <c r="AI155" i="10"/>
  <c r="W555" i="10"/>
  <c r="AQ555" i="10"/>
  <c r="AH155" i="10"/>
  <c r="AK555" i="10"/>
  <c r="AU555" i="10"/>
  <c r="U155" i="10"/>
  <c r="AA155" i="10"/>
  <c r="AO155" i="10"/>
  <c r="AT155" i="10"/>
  <c r="AT555" i="10"/>
  <c r="AF555" i="10"/>
  <c r="Y155" i="10"/>
  <c r="AB555" i="10"/>
  <c r="AL555" i="10"/>
  <c r="V555" i="10"/>
  <c r="AA555" i="10"/>
  <c r="AX555" i="10"/>
  <c r="O555" i="10"/>
  <c r="AQ155" i="10"/>
  <c r="AP155" i="10"/>
  <c r="AX155" i="10"/>
  <c r="Q555" i="10"/>
  <c r="AI555" i="10"/>
  <c r="AG555" i="10"/>
  <c r="AR555" i="10"/>
  <c r="K155" i="10"/>
  <c r="L155" i="10"/>
  <c r="AJ555" i="10"/>
  <c r="S155" i="10"/>
  <c r="AK155" i="10"/>
  <c r="AC555" i="10"/>
  <c r="AP555" i="10"/>
  <c r="Z555" i="10"/>
  <c r="AE555" i="10"/>
  <c r="AW155" i="10"/>
  <c r="AE155" i="10"/>
  <c r="T555" i="10"/>
  <c r="X555" i="10"/>
  <c r="AS155" i="10"/>
  <c r="W155" i="10"/>
  <c r="M155" i="10"/>
  <c r="AW555" i="10"/>
  <c r="N555" i="10"/>
  <c r="J555" i="10"/>
  <c r="R155" i="10"/>
  <c r="V155" i="10"/>
  <c r="T155" i="10"/>
  <c r="J155" i="10"/>
  <c r="AS555" i="10"/>
  <c r="AH555" i="10"/>
  <c r="S555" i="10"/>
  <c r="AM519" i="26"/>
  <c r="AU519" i="26"/>
  <c r="BB489" i="26"/>
  <c r="BA489" i="26" s="1"/>
  <c r="AU489" i="26"/>
  <c r="AJ489" i="26"/>
  <c r="AH489" i="26"/>
  <c r="Q466" i="26"/>
  <c r="AU528" i="26"/>
  <c r="AM528" i="26"/>
  <c r="BB466" i="26"/>
  <c r="BA466" i="26" s="1"/>
  <c r="BB526" i="26"/>
  <c r="BA526" i="26" s="1"/>
  <c r="AO526" i="26"/>
  <c r="AN526" i="26" s="1"/>
  <c r="AP526" i="26" s="1"/>
  <c r="AV526" i="26" s="1"/>
  <c r="P526" i="26" s="1"/>
  <c r="H427" i="6"/>
  <c r="AC427" i="6" s="1"/>
  <c r="AD427" i="6" s="1"/>
  <c r="AC335" i="6"/>
  <c r="BB427" i="26"/>
  <c r="BA427" i="26" s="1"/>
  <c r="AC104" i="6"/>
  <c r="P281" i="26"/>
  <c r="X281" i="27" s="1"/>
  <c r="AB281" i="27" s="1"/>
  <c r="F281" i="6"/>
  <c r="Y281" i="27"/>
  <c r="G281" i="27" s="1"/>
  <c r="F281" i="9"/>
  <c r="Z281" i="9" s="1"/>
  <c r="AA281" i="9" s="1"/>
  <c r="I164" i="6"/>
  <c r="I164" i="9"/>
  <c r="O762" i="10"/>
  <c r="P762" i="10"/>
  <c r="W362" i="10"/>
  <c r="AQ362" i="10"/>
  <c r="AR362" i="10"/>
  <c r="AP762" i="10"/>
  <c r="AR762" i="10"/>
  <c r="AV762" i="10"/>
  <c r="Y362" i="10"/>
  <c r="AY762" i="10"/>
  <c r="V762" i="10"/>
  <c r="AF762" i="10"/>
  <c r="AE762" i="10"/>
  <c r="AK762" i="10"/>
  <c r="AA362" i="10"/>
  <c r="T362" i="10"/>
  <c r="X762" i="10"/>
  <c r="AL362" i="10"/>
  <c r="R762" i="10"/>
  <c r="AT362" i="10"/>
  <c r="S762" i="10"/>
  <c r="J762" i="10"/>
  <c r="AS362" i="10"/>
  <c r="AI362" i="10"/>
  <c r="AM762" i="10"/>
  <c r="AP362" i="10"/>
  <c r="AU762" i="10"/>
  <c r="Z762" i="10"/>
  <c r="AN762" i="10"/>
  <c r="AO762" i="10"/>
  <c r="Z362" i="10"/>
  <c r="Q762" i="10"/>
  <c r="AD762" i="10"/>
  <c r="Q362" i="10"/>
  <c r="AF362" i="10"/>
  <c r="P362" i="10"/>
  <c r="AH362" i="10"/>
  <c r="AB762" i="10"/>
  <c r="N362" i="10"/>
  <c r="AA762" i="10"/>
  <c r="Y762" i="10"/>
  <c r="M362" i="10"/>
  <c r="AL762" i="10"/>
  <c r="AW362" i="10"/>
  <c r="S362" i="10"/>
  <c r="AY362" i="10"/>
  <c r="U762" i="10"/>
  <c r="W762" i="10"/>
  <c r="M762" i="10"/>
  <c r="AV362" i="10"/>
  <c r="AX762" i="10"/>
  <c r="AJ762" i="10"/>
  <c r="AQ762" i="10"/>
  <c r="K362" i="10"/>
  <c r="AC362" i="10"/>
  <c r="AW762" i="10"/>
  <c r="N762" i="10"/>
  <c r="AG762" i="10"/>
  <c r="K762" i="10"/>
  <c r="AX362" i="10"/>
  <c r="T762" i="10"/>
  <c r="AC762" i="10"/>
  <c r="AT762" i="10"/>
  <c r="AI762" i="10"/>
  <c r="L362" i="10"/>
  <c r="AB362" i="10"/>
  <c r="L762" i="10"/>
  <c r="AJ362" i="10"/>
  <c r="AD362" i="10"/>
  <c r="AO362" i="10"/>
  <c r="V362" i="10"/>
  <c r="J362" i="10"/>
  <c r="AG362" i="10"/>
  <c r="AK362" i="10"/>
  <c r="AN362" i="10"/>
  <c r="AM362" i="10"/>
  <c r="R362" i="10"/>
  <c r="U362" i="10"/>
  <c r="AE362" i="10"/>
  <c r="X362" i="10"/>
  <c r="AH762" i="10"/>
  <c r="O362" i="10"/>
  <c r="AS762" i="10"/>
  <c r="G350" i="6"/>
  <c r="G350" i="9"/>
  <c r="BE350" i="26"/>
  <c r="AC62" i="9"/>
  <c r="AC341" i="9"/>
  <c r="AL513" i="26"/>
  <c r="AS513" i="26" s="1"/>
  <c r="F290" i="10"/>
  <c r="W290" i="27"/>
  <c r="E290" i="27" s="1"/>
  <c r="N290" i="26"/>
  <c r="AC260" i="6"/>
  <c r="I123" i="6"/>
  <c r="I123" i="9"/>
  <c r="AG362" i="9"/>
  <c r="AC350" i="9"/>
  <c r="N266" i="26"/>
  <c r="W266" i="27"/>
  <c r="E266" i="27" s="1"/>
  <c r="F266" i="10"/>
  <c r="AG341" i="9"/>
  <c r="AU427" i="26"/>
  <c r="AM427" i="26"/>
  <c r="AO427" i="26" s="1"/>
  <c r="P164" i="26"/>
  <c r="X164" i="27" s="1"/>
  <c r="AB164" i="27" s="1"/>
  <c r="F164" i="6"/>
  <c r="Y164" i="27"/>
  <c r="G164" i="27" s="1"/>
  <c r="F164" i="9"/>
  <c r="Z164" i="9" s="1"/>
  <c r="AA164" i="9" s="1"/>
  <c r="BB497" i="26"/>
  <c r="BA497" i="26" s="1"/>
  <c r="F62" i="10"/>
  <c r="N62" i="26"/>
  <c r="W62" i="27"/>
  <c r="E62" i="27" s="1"/>
  <c r="I287" i="6"/>
  <c r="I287" i="9"/>
  <c r="I388" i="9"/>
  <c r="I388" i="6"/>
  <c r="Z82" i="6"/>
  <c r="BB462" i="26"/>
  <c r="BA462" i="26" s="1"/>
  <c r="I64" i="6"/>
  <c r="I64" i="9"/>
  <c r="AC335" i="9"/>
  <c r="AC266" i="6"/>
  <c r="Q525" i="26"/>
  <c r="AT131" i="10"/>
  <c r="P531" i="10"/>
  <c r="AH131" i="10"/>
  <c r="R131" i="10"/>
  <c r="AE531" i="10"/>
  <c r="AM531" i="10"/>
  <c r="AI131" i="10"/>
  <c r="AL531" i="10"/>
  <c r="AB131" i="10"/>
  <c r="V131" i="10"/>
  <c r="AS531" i="10"/>
  <c r="AF531" i="10"/>
  <c r="L531" i="10"/>
  <c r="AP531" i="10"/>
  <c r="N531" i="10"/>
  <c r="Q131" i="10"/>
  <c r="O531" i="10"/>
  <c r="AJ531" i="10"/>
  <c r="L131" i="10"/>
  <c r="AX531" i="10"/>
  <c r="AV131" i="10"/>
  <c r="AY531" i="10"/>
  <c r="AO531" i="10"/>
  <c r="AV531" i="10"/>
  <c r="K531" i="10"/>
  <c r="AJ131" i="10"/>
  <c r="K131" i="10"/>
  <c r="O131" i="10"/>
  <c r="AU531" i="10"/>
  <c r="X531" i="10"/>
  <c r="T131" i="10"/>
  <c r="AQ531" i="10"/>
  <c r="Z531" i="10"/>
  <c r="S531" i="10"/>
  <c r="W131" i="10"/>
  <c r="AD531" i="10"/>
  <c r="AR531" i="10"/>
  <c r="N131" i="10"/>
  <c r="Z131" i="10"/>
  <c r="AQ131" i="10"/>
  <c r="AI531" i="10"/>
  <c r="AT531" i="10"/>
  <c r="AB531" i="10"/>
  <c r="AW131" i="10"/>
  <c r="W531" i="10"/>
  <c r="T531" i="10"/>
  <c r="AK131" i="10"/>
  <c r="AN531" i="10"/>
  <c r="R531" i="10"/>
  <c r="AK531" i="10"/>
  <c r="M531" i="10"/>
  <c r="AE131" i="10"/>
  <c r="P131" i="10"/>
  <c r="AG531" i="10"/>
  <c r="AF131" i="10"/>
  <c r="M131" i="10"/>
  <c r="AN131" i="10"/>
  <c r="AW531" i="10"/>
  <c r="Y131" i="10"/>
  <c r="AD131" i="10"/>
  <c r="S131" i="10"/>
  <c r="U131" i="10"/>
  <c r="AS131" i="10"/>
  <c r="AO131" i="10"/>
  <c r="U531" i="10"/>
  <c r="AC531" i="10"/>
  <c r="AY131" i="10"/>
  <c r="J131" i="10"/>
  <c r="AP131" i="10"/>
  <c r="X131" i="10"/>
  <c r="AA131" i="10"/>
  <c r="AR131" i="10"/>
  <c r="AM131" i="10"/>
  <c r="AC131" i="10"/>
  <c r="Q531" i="10"/>
  <c r="AL131" i="10"/>
  <c r="AA531" i="10"/>
  <c r="AX131" i="10"/>
  <c r="Y531" i="10"/>
  <c r="J531" i="10"/>
  <c r="V531" i="10"/>
  <c r="AH531" i="10"/>
  <c r="AG131" i="10"/>
  <c r="Q523" i="26"/>
  <c r="BB524" i="26"/>
  <c r="BA524" i="26" s="1"/>
  <c r="AC164" i="9"/>
  <c r="Z350" i="6"/>
  <c r="BB490" i="26"/>
  <c r="BA490" i="26" s="1"/>
  <c r="I62" i="6"/>
  <c r="I62" i="9"/>
  <c r="AG193" i="9"/>
  <c r="AC179" i="6"/>
  <c r="BB491" i="26"/>
  <c r="BA491" i="26" s="1"/>
  <c r="AC123" i="9"/>
  <c r="W335" i="27"/>
  <c r="E335" i="27" s="1"/>
  <c r="F335" i="10"/>
  <c r="N335" i="26"/>
  <c r="BB500" i="26"/>
  <c r="BA500" i="26" s="1"/>
  <c r="N388" i="26"/>
  <c r="F388" i="10"/>
  <c r="W388" i="27"/>
  <c r="E388" i="27" s="1"/>
  <c r="AN461" i="26"/>
  <c r="BF461" i="26" s="1"/>
  <c r="X104" i="10"/>
  <c r="X504" i="10"/>
  <c r="AR504" i="10"/>
  <c r="AX504" i="10"/>
  <c r="AM104" i="10"/>
  <c r="S504" i="10"/>
  <c r="AK104" i="10"/>
  <c r="V504" i="10"/>
  <c r="N104" i="10"/>
  <c r="Q504" i="10"/>
  <c r="M104" i="10"/>
  <c r="AV104" i="10"/>
  <c r="V104" i="10"/>
  <c r="AL104" i="10"/>
  <c r="AC504" i="10"/>
  <c r="AD504" i="10"/>
  <c r="O504" i="10"/>
  <c r="K504" i="10"/>
  <c r="Q104" i="10"/>
  <c r="AH104" i="10"/>
  <c r="AC104" i="10"/>
  <c r="AA104" i="10"/>
  <c r="J504" i="10"/>
  <c r="U504" i="10"/>
  <c r="W504" i="10"/>
  <c r="Y504" i="10"/>
  <c r="AO504" i="10"/>
  <c r="AJ504" i="10"/>
  <c r="AT504" i="10"/>
  <c r="P504" i="10"/>
  <c r="AA504" i="10"/>
  <c r="AW504" i="10"/>
  <c r="AE504" i="10"/>
  <c r="S104" i="10"/>
  <c r="Y104" i="10"/>
  <c r="AG504" i="10"/>
  <c r="AP104" i="10"/>
  <c r="AS504" i="10"/>
  <c r="J104" i="10"/>
  <c r="T104" i="10"/>
  <c r="M504" i="10"/>
  <c r="AD104" i="10"/>
  <c r="AJ104" i="10"/>
  <c r="R104" i="10"/>
  <c r="W104" i="10"/>
  <c r="T504" i="10"/>
  <c r="AO104" i="10"/>
  <c r="AY104" i="10"/>
  <c r="AW104" i="10"/>
  <c r="U104" i="10"/>
  <c r="AF104" i="10"/>
  <c r="AN504" i="10"/>
  <c r="AR104" i="10"/>
  <c r="AU504" i="10"/>
  <c r="AL504" i="10"/>
  <c r="AQ504" i="10"/>
  <c r="AS104" i="10"/>
  <c r="O104" i="10"/>
  <c r="AI504" i="10"/>
  <c r="Z504" i="10"/>
  <c r="P104" i="10"/>
  <c r="AI104" i="10"/>
  <c r="AP504" i="10"/>
  <c r="AB504" i="10"/>
  <c r="N504" i="10"/>
  <c r="AE104" i="10"/>
  <c r="AF504" i="10"/>
  <c r="AV504" i="10"/>
  <c r="AB104" i="10"/>
  <c r="Z104" i="10"/>
  <c r="R504" i="10"/>
  <c r="AX104" i="10"/>
  <c r="K104" i="10"/>
  <c r="AT104" i="10"/>
  <c r="AN104" i="10"/>
  <c r="AG104" i="10"/>
  <c r="L104" i="10"/>
  <c r="AM504" i="10"/>
  <c r="AH504" i="10"/>
  <c r="AY504" i="10"/>
  <c r="L504" i="10"/>
  <c r="AQ104" i="10"/>
  <c r="AK504" i="10"/>
  <c r="Y335" i="27"/>
  <c r="G335" i="27" s="1"/>
  <c r="F335" i="6"/>
  <c r="P335" i="26"/>
  <c r="X335" i="27" s="1"/>
  <c r="AB335" i="27" s="1"/>
  <c r="F335" i="9"/>
  <c r="Z335" i="9" s="1"/>
  <c r="AA335" i="9" s="1"/>
  <c r="AM504" i="26"/>
  <c r="AU504" i="26"/>
  <c r="AC388" i="9"/>
  <c r="Q462" i="26"/>
  <c r="F451" i="6" s="1"/>
  <c r="AC64" i="9"/>
  <c r="Y123" i="27"/>
  <c r="G123" i="27" s="1"/>
  <c r="F123" i="6"/>
  <c r="P123" i="26"/>
  <c r="X123" i="27" s="1"/>
  <c r="AB123" i="27" s="1"/>
  <c r="F123" i="9"/>
  <c r="Z123" i="9" s="1"/>
  <c r="AA123" i="9" s="1"/>
  <c r="F164" i="10"/>
  <c r="W164" i="27"/>
  <c r="E164" i="27" s="1"/>
  <c r="N164" i="26"/>
  <c r="AU490" i="26"/>
  <c r="AJ490" i="26"/>
  <c r="AH490" i="26"/>
  <c r="W287" i="27"/>
  <c r="E287" i="27" s="1"/>
  <c r="F287" i="10"/>
  <c r="N287" i="26"/>
  <c r="AC73" i="6"/>
  <c r="I266" i="6"/>
  <c r="I266" i="9"/>
  <c r="F297" i="27"/>
  <c r="AN471" i="26"/>
  <c r="BF471" i="26" s="1"/>
  <c r="AZ513" i="26"/>
  <c r="AY513" i="26"/>
  <c r="S513" i="26" s="1"/>
  <c r="Z64" i="6"/>
  <c r="AG350" i="9"/>
  <c r="AU500" i="26"/>
  <c r="AM500" i="26"/>
  <c r="AO500" i="26" s="1"/>
  <c r="BE388" i="26"/>
  <c r="G388" i="9"/>
  <c r="G388" i="6"/>
  <c r="AG331" i="9"/>
  <c r="Q435" i="26"/>
  <c r="AC350" i="6"/>
  <c r="AC281" i="9"/>
  <c r="AG260" i="9"/>
  <c r="I362" i="6"/>
  <c r="I362" i="9"/>
  <c r="BB457" i="26"/>
  <c r="BA457" i="26" s="1"/>
  <c r="F266" i="6"/>
  <c r="P266" i="26"/>
  <c r="X266" i="27" s="1"/>
  <c r="AB266" i="27" s="1"/>
  <c r="F266" i="9"/>
  <c r="Z266" i="9" s="1"/>
  <c r="AA266" i="9" s="1"/>
  <c r="Y266" i="27"/>
  <c r="G266" i="27" s="1"/>
  <c r="G82" i="6"/>
  <c r="G82" i="9"/>
  <c r="BE82" i="26"/>
  <c r="I290" i="6"/>
  <c r="I290" i="9"/>
  <c r="AC64" i="6"/>
  <c r="I335" i="6"/>
  <c r="I335" i="9"/>
  <c r="BB504" i="26"/>
  <c r="BA504" i="26" s="1"/>
  <c r="F62" i="6"/>
  <c r="Y62" i="27"/>
  <c r="G62" i="27" s="1"/>
  <c r="F62" i="9"/>
  <c r="Z62" i="9" s="1"/>
  <c r="AA62" i="9" s="1"/>
  <c r="P62" i="26"/>
  <c r="X62" i="27" s="1"/>
  <c r="AB62" i="27" s="1"/>
  <c r="AC266" i="9"/>
  <c r="AC193" i="9"/>
  <c r="BD131" i="26"/>
  <c r="BF131" i="26" s="1"/>
  <c r="V131" i="27"/>
  <c r="AA131" i="27" s="1"/>
  <c r="G131" i="10"/>
  <c r="BB512" i="26"/>
  <c r="BA512" i="26" s="1"/>
  <c r="V140" i="27"/>
  <c r="AA140" i="27" s="1"/>
  <c r="BD140" i="26"/>
  <c r="G140" i="10"/>
  <c r="AC164" i="6"/>
  <c r="G71" i="9"/>
  <c r="BE71" i="26"/>
  <c r="G71" i="6"/>
  <c r="AC62" i="6"/>
  <c r="V73" i="27"/>
  <c r="AA73" i="27" s="1"/>
  <c r="G73" i="10"/>
  <c r="BD73" i="26"/>
  <c r="AU524" i="26"/>
  <c r="AM524" i="26"/>
  <c r="AO524" i="26" s="1"/>
  <c r="AG282" i="9"/>
  <c r="AC123" i="6"/>
  <c r="BD139" i="26"/>
  <c r="G139" i="10"/>
  <c r="V139" i="27"/>
  <c r="AA139" i="27" s="1"/>
  <c r="I350" i="6"/>
  <c r="I350" i="9"/>
  <c r="AC71" i="6"/>
  <c r="G82" i="10"/>
  <c r="V82" i="27"/>
  <c r="AA82" i="27" s="1"/>
  <c r="BD82" i="26"/>
  <c r="F123" i="10"/>
  <c r="N123" i="26"/>
  <c r="W123" i="27"/>
  <c r="E123" i="27" s="1"/>
  <c r="BB511" i="26"/>
  <c r="BA511" i="26" s="1"/>
  <c r="AC388" i="6"/>
  <c r="AG82" i="9"/>
  <c r="G259" i="9" l="1"/>
  <c r="X259" i="27"/>
  <c r="AB259" i="27" s="1"/>
  <c r="G86" i="9"/>
  <c r="X86" i="27"/>
  <c r="AB86" i="27" s="1"/>
  <c r="BE114" i="26"/>
  <c r="X114" i="27"/>
  <c r="AB114" i="27" s="1"/>
  <c r="G171" i="6"/>
  <c r="X171" i="27"/>
  <c r="AB171" i="27" s="1"/>
  <c r="G378" i="6"/>
  <c r="X378" i="27"/>
  <c r="AB378" i="27" s="1"/>
  <c r="X79" i="27"/>
  <c r="AB79" i="27" s="1"/>
  <c r="G370" i="6"/>
  <c r="X370" i="27"/>
  <c r="AB370" i="27" s="1"/>
  <c r="BE294" i="26"/>
  <c r="X294" i="27"/>
  <c r="AB294" i="27" s="1"/>
  <c r="G24" i="6"/>
  <c r="X24" i="27"/>
  <c r="AB24" i="27" s="1"/>
  <c r="BE186" i="26"/>
  <c r="X186" i="27"/>
  <c r="AB186" i="27" s="1"/>
  <c r="G258" i="9"/>
  <c r="X258" i="27"/>
  <c r="AB258" i="27" s="1"/>
  <c r="G369" i="9"/>
  <c r="X369" i="27"/>
  <c r="AB369" i="27" s="1"/>
  <c r="G331" i="6"/>
  <c r="X331" i="27"/>
  <c r="AB331" i="27" s="1"/>
  <c r="G341" i="6"/>
  <c r="X341" i="27"/>
  <c r="AB341" i="27" s="1"/>
  <c r="G107" i="6"/>
  <c r="X107" i="27"/>
  <c r="AB107" i="27" s="1"/>
  <c r="G138" i="9"/>
  <c r="X138" i="27"/>
  <c r="AB138" i="27" s="1"/>
  <c r="BE109" i="26"/>
  <c r="X109" i="27"/>
  <c r="AB109" i="27" s="1"/>
  <c r="G130" i="9"/>
  <c r="X130" i="27"/>
  <c r="AB130" i="27" s="1"/>
  <c r="G101" i="9"/>
  <c r="X101" i="27"/>
  <c r="AB101" i="27" s="1"/>
  <c r="G150" i="9"/>
  <c r="X150" i="27"/>
  <c r="AB150" i="27" s="1"/>
  <c r="G179" i="9"/>
  <c r="X179" i="27"/>
  <c r="AB179" i="27" s="1"/>
  <c r="BE382" i="26"/>
  <c r="X382" i="27"/>
  <c r="AB382" i="27" s="1"/>
  <c r="G69" i="9"/>
  <c r="X69" i="27"/>
  <c r="AB69" i="27" s="1"/>
  <c r="BE167" i="26"/>
  <c r="X167" i="27"/>
  <c r="AB167" i="27" s="1"/>
  <c r="BE371" i="26"/>
  <c r="X371" i="27"/>
  <c r="AB371" i="27" s="1"/>
  <c r="G64" i="9"/>
  <c r="X64" i="27"/>
  <c r="AB64" i="27" s="1"/>
  <c r="G21" i="9"/>
  <c r="X21" i="27"/>
  <c r="AB21" i="27" s="1"/>
  <c r="G297" i="6"/>
  <c r="X297" i="27"/>
  <c r="AB297" i="27" s="1"/>
  <c r="G254" i="6"/>
  <c r="X254" i="27"/>
  <c r="AB254" i="27" s="1"/>
  <c r="X108" i="27"/>
  <c r="AB108" i="27" s="1"/>
  <c r="H191" i="27"/>
  <c r="G28" i="9"/>
  <c r="X28" i="27"/>
  <c r="AB28" i="27" s="1"/>
  <c r="BE356" i="26"/>
  <c r="X356" i="27"/>
  <c r="AB356" i="27" s="1"/>
  <c r="G327" i="6"/>
  <c r="X327" i="27"/>
  <c r="AB327" i="27" s="1"/>
  <c r="G240" i="6"/>
  <c r="X240" i="27"/>
  <c r="AB240" i="27" s="1"/>
  <c r="BE211" i="26"/>
  <c r="X211" i="27"/>
  <c r="AB211" i="27" s="1"/>
  <c r="G383" i="6"/>
  <c r="X383" i="27"/>
  <c r="AB383" i="27" s="1"/>
  <c r="G363" i="9"/>
  <c r="X363" i="27"/>
  <c r="AB363" i="27" s="1"/>
  <c r="G193" i="9"/>
  <c r="X193" i="27"/>
  <c r="AB193" i="27" s="1"/>
  <c r="BE54" i="26"/>
  <c r="X54" i="27"/>
  <c r="AB54" i="27" s="1"/>
  <c r="G376" i="9"/>
  <c r="X376" i="27"/>
  <c r="AB376" i="27" s="1"/>
  <c r="G262" i="9"/>
  <c r="X262" i="27"/>
  <c r="AB262" i="27" s="1"/>
  <c r="BE60" i="26"/>
  <c r="X60" i="27"/>
  <c r="AB60" i="27" s="1"/>
  <c r="BE349" i="26"/>
  <c r="X349" i="27"/>
  <c r="AB349" i="27" s="1"/>
  <c r="G198" i="6"/>
  <c r="X198" i="27"/>
  <c r="AB198" i="27" s="1"/>
  <c r="G336" i="6"/>
  <c r="X336" i="27"/>
  <c r="AB336" i="27" s="1"/>
  <c r="G355" i="9"/>
  <c r="X355" i="27"/>
  <c r="AB355" i="27" s="1"/>
  <c r="G365" i="9"/>
  <c r="X365" i="27"/>
  <c r="AB365" i="27" s="1"/>
  <c r="G348" i="9"/>
  <c r="X348" i="27"/>
  <c r="AB348" i="27" s="1"/>
  <c r="BE81" i="26"/>
  <c r="X81" i="27"/>
  <c r="AB81" i="27" s="1"/>
  <c r="G375" i="6"/>
  <c r="X375" i="27"/>
  <c r="AB375" i="27" s="1"/>
  <c r="G210" i="9"/>
  <c r="X210" i="27"/>
  <c r="AB210" i="27" s="1"/>
  <c r="BE104" i="26"/>
  <c r="X104" i="27"/>
  <c r="AB104" i="27" s="1"/>
  <c r="G290" i="9"/>
  <c r="X290" i="27"/>
  <c r="AB290" i="27" s="1"/>
  <c r="G95" i="9"/>
  <c r="X95" i="27"/>
  <c r="AB95" i="27" s="1"/>
  <c r="BE112" i="26"/>
  <c r="X112" i="27"/>
  <c r="AB112" i="27" s="1"/>
  <c r="G287" i="6"/>
  <c r="X287" i="27"/>
  <c r="AB287" i="27" s="1"/>
  <c r="G260" i="6"/>
  <c r="X260" i="27"/>
  <c r="AB260" i="27" s="1"/>
  <c r="G140" i="6"/>
  <c r="X140" i="27"/>
  <c r="AB140" i="27" s="1"/>
  <c r="G202" i="6"/>
  <c r="X202" i="27"/>
  <c r="AB202" i="27" s="1"/>
  <c r="BE87" i="26"/>
  <c r="BF87" i="26" s="1"/>
  <c r="X87" i="27"/>
  <c r="AB87" i="27" s="1"/>
  <c r="G321" i="9"/>
  <c r="X321" i="27"/>
  <c r="AB321" i="27" s="1"/>
  <c r="BE209" i="26"/>
  <c r="BF209" i="26" s="1"/>
  <c r="X209" i="27"/>
  <c r="AB209" i="27" s="1"/>
  <c r="G246" i="9"/>
  <c r="X246" i="27"/>
  <c r="AB246" i="27" s="1"/>
  <c r="BE243" i="26"/>
  <c r="X243" i="27"/>
  <c r="AB243" i="27" s="1"/>
  <c r="BE203" i="26"/>
  <c r="X203" i="27"/>
  <c r="AB203" i="27" s="1"/>
  <c r="G174" i="9"/>
  <c r="X174" i="27"/>
  <c r="AB174" i="27" s="1"/>
  <c r="G283" i="9"/>
  <c r="X283" i="27"/>
  <c r="AB283" i="27" s="1"/>
  <c r="G204" i="6"/>
  <c r="X204" i="27"/>
  <c r="AB204" i="27" s="1"/>
  <c r="G249" i="9"/>
  <c r="X249" i="27"/>
  <c r="AB249" i="27" s="1"/>
  <c r="G306" i="6"/>
  <c r="X306" i="27"/>
  <c r="AB306" i="27" s="1"/>
  <c r="G248" i="6"/>
  <c r="X248" i="27"/>
  <c r="AB248" i="27" s="1"/>
  <c r="G247" i="6"/>
  <c r="X247" i="27"/>
  <c r="AB247" i="27" s="1"/>
  <c r="H342" i="27"/>
  <c r="AA148" i="27"/>
  <c r="Z148" i="27" s="1"/>
  <c r="F117" i="27"/>
  <c r="AA117" i="27"/>
  <c r="F116" i="27"/>
  <c r="AA116" i="27"/>
  <c r="F338" i="27"/>
  <c r="AA338" i="27"/>
  <c r="F30" i="27"/>
  <c r="AA30" i="27"/>
  <c r="F178" i="27"/>
  <c r="AA178" i="27"/>
  <c r="Z178" i="27" s="1"/>
  <c r="F187" i="27"/>
  <c r="AA187" i="27"/>
  <c r="F130" i="27"/>
  <c r="AA130" i="27"/>
  <c r="AA19" i="27"/>
  <c r="Z19" i="27" s="1"/>
  <c r="F310" i="27"/>
  <c r="AA310" i="27"/>
  <c r="F385" i="27"/>
  <c r="AA385" i="27"/>
  <c r="F336" i="27"/>
  <c r="AA336" i="27"/>
  <c r="AA301" i="27"/>
  <c r="Z301" i="27" s="1"/>
  <c r="F261" i="27"/>
  <c r="AA261" i="27"/>
  <c r="Z261" i="27" s="1"/>
  <c r="F165" i="27"/>
  <c r="AA165" i="27"/>
  <c r="F316" i="27"/>
  <c r="F192" i="27"/>
  <c r="AA192" i="27"/>
  <c r="F243" i="27"/>
  <c r="AA243" i="27"/>
  <c r="F320" i="27"/>
  <c r="AA320" i="27"/>
  <c r="F102" i="27"/>
  <c r="AA102" i="27"/>
  <c r="F247" i="27"/>
  <c r="AA247" i="27"/>
  <c r="F239" i="27"/>
  <c r="AA239" i="27"/>
  <c r="F65" i="27"/>
  <c r="AA65" i="27"/>
  <c r="F337" i="27"/>
  <c r="AA337" i="27"/>
  <c r="F133" i="27"/>
  <c r="AA133" i="27"/>
  <c r="F50" i="27"/>
  <c r="AA50" i="27"/>
  <c r="F258" i="27"/>
  <c r="AA258" i="27"/>
  <c r="F209" i="27"/>
  <c r="AA209" i="27"/>
  <c r="F314" i="27"/>
  <c r="AA314" i="27"/>
  <c r="F280" i="27"/>
  <c r="AA280" i="27"/>
  <c r="F326" i="27"/>
  <c r="AA326" i="27"/>
  <c r="F136" i="27"/>
  <c r="AA136" i="27"/>
  <c r="Z136" i="27" s="1"/>
  <c r="G108" i="9"/>
  <c r="J163" i="10"/>
  <c r="AM563" i="10"/>
  <c r="AE163" i="10"/>
  <c r="AM163" i="10"/>
  <c r="K163" i="10"/>
  <c r="AA163" i="10"/>
  <c r="AQ563" i="10"/>
  <c r="AS163" i="10"/>
  <c r="AF163" i="10"/>
  <c r="AB163" i="10"/>
  <c r="AH163" i="10"/>
  <c r="AB563" i="10"/>
  <c r="X563" i="10"/>
  <c r="N163" i="10"/>
  <c r="G108" i="6"/>
  <c r="V163" i="27"/>
  <c r="AA163" i="27" s="1"/>
  <c r="R276" i="26"/>
  <c r="I276" i="9" s="1"/>
  <c r="BE108" i="26"/>
  <c r="BF108" i="26" s="1"/>
  <c r="G163" i="10"/>
  <c r="AD563" i="10"/>
  <c r="AL163" i="10"/>
  <c r="AO563" i="10"/>
  <c r="AV163" i="10"/>
  <c r="P563" i="10"/>
  <c r="X163" i="10"/>
  <c r="AT163" i="10"/>
  <c r="AT563" i="10"/>
  <c r="K563" i="10"/>
  <c r="Y163" i="10"/>
  <c r="AE563" i="10"/>
  <c r="V563" i="10"/>
  <c r="M163" i="10"/>
  <c r="U563" i="10"/>
  <c r="AR163" i="10"/>
  <c r="R563" i="10"/>
  <c r="L563" i="10"/>
  <c r="AN163" i="10"/>
  <c r="M563" i="10"/>
  <c r="AN563" i="10"/>
  <c r="AC163" i="10"/>
  <c r="R163" i="10"/>
  <c r="S163" i="10"/>
  <c r="AK563" i="10"/>
  <c r="AP163" i="10"/>
  <c r="AU563" i="10"/>
  <c r="J563" i="10"/>
  <c r="AV563" i="10"/>
  <c r="AJ563" i="10"/>
  <c r="Z163" i="10"/>
  <c r="Q563" i="10"/>
  <c r="W163" i="10"/>
  <c r="Z563" i="10"/>
  <c r="AD163" i="10"/>
  <c r="T163" i="10"/>
  <c r="AP563" i="10"/>
  <c r="O163" i="10"/>
  <c r="Y563" i="10"/>
  <c r="AG563" i="10"/>
  <c r="AK163" i="10"/>
  <c r="V163" i="10"/>
  <c r="AO163" i="10"/>
  <c r="L163" i="10"/>
  <c r="AX563" i="10"/>
  <c r="AR563" i="10"/>
  <c r="AA563" i="10"/>
  <c r="N563" i="10"/>
  <c r="AI563" i="10"/>
  <c r="AG163" i="10"/>
  <c r="AY563" i="10"/>
  <c r="AW163" i="10"/>
  <c r="AH563" i="10"/>
  <c r="AW563" i="10"/>
  <c r="O563" i="10"/>
  <c r="W563" i="10"/>
  <c r="AQ163" i="10"/>
  <c r="S563" i="10"/>
  <c r="AF563" i="10"/>
  <c r="P163" i="10"/>
  <c r="AJ163" i="10"/>
  <c r="AC563" i="10"/>
  <c r="AX163" i="10"/>
  <c r="I281" i="9"/>
  <c r="AA108" i="6"/>
  <c r="AE108" i="6" s="1"/>
  <c r="I73" i="6"/>
  <c r="BB177" i="10"/>
  <c r="BC177" i="10" s="1"/>
  <c r="I208" i="6"/>
  <c r="BA177" i="10"/>
  <c r="I122" i="6"/>
  <c r="I27" i="6"/>
  <c r="I71" i="6"/>
  <c r="AF92" i="6"/>
  <c r="I109" i="9"/>
  <c r="I111" i="6"/>
  <c r="I187" i="6"/>
  <c r="I36" i="6"/>
  <c r="I130" i="6"/>
  <c r="AF210" i="9"/>
  <c r="H104" i="27"/>
  <c r="Z388" i="9"/>
  <c r="AA388" i="9" s="1"/>
  <c r="AE388" i="9" s="1"/>
  <c r="Z181" i="9"/>
  <c r="AA181" i="9" s="1"/>
  <c r="AE181" i="9" s="1"/>
  <c r="Z28" i="9"/>
  <c r="AA28" i="9" s="1"/>
  <c r="AE28" i="9" s="1"/>
  <c r="Z259" i="9"/>
  <c r="AA259" i="9" s="1"/>
  <c r="AE259" i="9" s="1"/>
  <c r="Z133" i="9"/>
  <c r="AA133" i="9" s="1"/>
  <c r="AE133" i="9" s="1"/>
  <c r="Z128" i="9"/>
  <c r="AA128" i="9" s="1"/>
  <c r="AE128" i="9" s="1"/>
  <c r="Z356" i="9"/>
  <c r="AA356" i="9" s="1"/>
  <c r="AE356" i="9" s="1"/>
  <c r="Z73" i="9"/>
  <c r="AA73" i="9" s="1"/>
  <c r="AE73" i="9" s="1"/>
  <c r="Z342" i="9"/>
  <c r="AA342" i="9" s="1"/>
  <c r="AE342" i="9" s="1"/>
  <c r="Z134" i="9"/>
  <c r="AA134" i="9" s="1"/>
  <c r="AE134" i="9" s="1"/>
  <c r="Z121" i="9"/>
  <c r="AA121" i="9" s="1"/>
  <c r="AE121" i="9" s="1"/>
  <c r="Z296" i="9"/>
  <c r="AA296" i="9" s="1"/>
  <c r="AE296" i="9" s="1"/>
  <c r="Z320" i="9"/>
  <c r="AA320" i="9" s="1"/>
  <c r="AE320" i="9" s="1"/>
  <c r="Z114" i="9"/>
  <c r="AA114" i="9" s="1"/>
  <c r="AE114" i="9" s="1"/>
  <c r="Z86" i="9"/>
  <c r="AA86" i="9" s="1"/>
  <c r="AE86" i="9" s="1"/>
  <c r="Z191" i="9"/>
  <c r="AA191" i="9" s="1"/>
  <c r="AE191" i="9" s="1"/>
  <c r="Z292" i="9"/>
  <c r="AA292" i="9" s="1"/>
  <c r="AE292" i="9" s="1"/>
  <c r="Z90" i="9"/>
  <c r="AA90" i="9" s="1"/>
  <c r="AE90" i="9" s="1"/>
  <c r="Z376" i="9"/>
  <c r="AA376" i="9" s="1"/>
  <c r="AE376" i="9" s="1"/>
  <c r="Z246" i="9"/>
  <c r="AA246" i="9" s="1"/>
  <c r="AE246" i="9" s="1"/>
  <c r="Z15" i="9"/>
  <c r="AA15" i="9" s="1"/>
  <c r="AE15" i="9" s="1"/>
  <c r="Z363" i="9"/>
  <c r="AA363" i="9" s="1"/>
  <c r="AE363" i="9" s="1"/>
  <c r="Z27" i="9"/>
  <c r="AA27" i="9" s="1"/>
  <c r="AE27" i="9" s="1"/>
  <c r="Z174" i="9"/>
  <c r="AA174" i="9" s="1"/>
  <c r="AE174" i="9" s="1"/>
  <c r="Z283" i="9"/>
  <c r="AA283" i="9" s="1"/>
  <c r="AE283" i="9" s="1"/>
  <c r="Z355" i="9"/>
  <c r="AA355" i="9" s="1"/>
  <c r="AE355" i="9" s="1"/>
  <c r="Z71" i="9"/>
  <c r="AA71" i="9" s="1"/>
  <c r="AE71" i="9" s="1"/>
  <c r="Z201" i="9"/>
  <c r="AA201" i="9" s="1"/>
  <c r="AE201" i="9" s="1"/>
  <c r="Z81" i="9"/>
  <c r="AA81" i="9" s="1"/>
  <c r="AE81" i="9" s="1"/>
  <c r="Z249" i="9"/>
  <c r="AA249" i="9" s="1"/>
  <c r="AE249" i="9" s="1"/>
  <c r="Z163" i="9"/>
  <c r="AA163" i="9" s="1"/>
  <c r="AE163" i="9" s="1"/>
  <c r="Z240" i="9"/>
  <c r="AA240" i="9" s="1"/>
  <c r="AE240" i="9" s="1"/>
  <c r="Z72" i="9"/>
  <c r="AA72" i="9" s="1"/>
  <c r="AE72" i="9" s="1"/>
  <c r="Z122" i="9"/>
  <c r="AA122" i="9" s="1"/>
  <c r="AE122" i="9" s="1"/>
  <c r="Z61" i="9"/>
  <c r="AA61" i="9" s="1"/>
  <c r="AE61" i="9" s="1"/>
  <c r="Z112" i="9"/>
  <c r="AA112" i="9" s="1"/>
  <c r="AE112" i="9" s="1"/>
  <c r="Z210" i="9"/>
  <c r="AG210" i="9" s="1"/>
  <c r="AA210" i="9"/>
  <c r="AE210" i="9" s="1"/>
  <c r="Z248" i="9"/>
  <c r="AA248" i="9" s="1"/>
  <c r="AE248" i="9" s="1"/>
  <c r="Z287" i="9"/>
  <c r="AA287" i="9" s="1"/>
  <c r="AE287" i="9" s="1"/>
  <c r="Z319" i="9"/>
  <c r="AA319" i="9" s="1"/>
  <c r="AE319" i="9" s="1"/>
  <c r="Z140" i="9"/>
  <c r="AA140" i="9" s="1"/>
  <c r="AE140" i="9" s="1"/>
  <c r="Z176" i="9"/>
  <c r="AA176" i="9" s="1"/>
  <c r="AE176" i="9" s="1"/>
  <c r="Z225" i="9"/>
  <c r="AA225" i="9" s="1"/>
  <c r="AE225" i="9" s="1"/>
  <c r="Z211" i="9"/>
  <c r="AA211" i="9" s="1"/>
  <c r="AE211" i="9" s="1"/>
  <c r="Z351" i="9"/>
  <c r="AA351" i="9" s="1"/>
  <c r="AE351" i="9" s="1"/>
  <c r="Z262" i="9"/>
  <c r="AA262" i="9" s="1"/>
  <c r="AE262" i="9" s="1"/>
  <c r="Z321" i="9"/>
  <c r="AA321" i="9" s="1"/>
  <c r="AE321" i="9" s="1"/>
  <c r="Z130" i="9"/>
  <c r="AA130" i="9" s="1"/>
  <c r="AE130" i="9" s="1"/>
  <c r="Z182" i="9"/>
  <c r="AA182" i="9" s="1"/>
  <c r="AE182" i="9" s="1"/>
  <c r="Z154" i="9"/>
  <c r="AA154" i="9" s="1"/>
  <c r="AE154" i="9" s="1"/>
  <c r="Z274" i="9"/>
  <c r="AA274" i="9" s="1"/>
  <c r="AE274" i="9" s="1"/>
  <c r="Z24" i="9"/>
  <c r="AA24" i="9" s="1"/>
  <c r="AE24" i="9" s="1"/>
  <c r="Z349" i="9"/>
  <c r="AA349" i="9" s="1"/>
  <c r="AE349" i="9" s="1"/>
  <c r="Z371" i="9"/>
  <c r="AA371" i="9" s="1"/>
  <c r="AE371" i="9" s="1"/>
  <c r="Z198" i="9"/>
  <c r="AA198" i="9" s="1"/>
  <c r="AE198" i="9" s="1"/>
  <c r="Z155" i="9"/>
  <c r="AA155" i="9" s="1"/>
  <c r="AE155" i="9" s="1"/>
  <c r="Z271" i="9"/>
  <c r="AA271" i="9" s="1"/>
  <c r="AE271" i="9" s="1"/>
  <c r="Z313" i="9"/>
  <c r="AA313" i="9" s="1"/>
  <c r="AE313" i="9" s="1"/>
  <c r="Z297" i="9"/>
  <c r="AA297" i="9" s="1"/>
  <c r="AE297" i="9" s="1"/>
  <c r="Z129" i="9"/>
  <c r="AA129" i="9" s="1"/>
  <c r="AE129" i="9" s="1"/>
  <c r="AG209" i="9"/>
  <c r="AG258" i="9"/>
  <c r="AG116" i="9"/>
  <c r="Z107" i="9"/>
  <c r="AA107" i="9" s="1"/>
  <c r="AE107" i="9" s="1"/>
  <c r="Z290" i="9"/>
  <c r="AA290" i="9" s="1"/>
  <c r="AE290" i="9" s="1"/>
  <c r="Z327" i="9"/>
  <c r="AA327" i="9" s="1"/>
  <c r="AE327" i="9" s="1"/>
  <c r="Z138" i="9"/>
  <c r="AA138" i="9" s="1"/>
  <c r="AE138" i="9" s="1"/>
  <c r="Z202" i="9"/>
  <c r="AA202" i="9" s="1"/>
  <c r="AE202" i="9" s="1"/>
  <c r="Z344" i="9"/>
  <c r="AA344" i="9" s="1"/>
  <c r="AE344" i="9" s="1"/>
  <c r="Z255" i="9"/>
  <c r="AA255" i="9" s="1"/>
  <c r="AE255" i="9" s="1"/>
  <c r="Z171" i="9"/>
  <c r="AA171" i="9" s="1"/>
  <c r="AE171" i="9" s="1"/>
  <c r="Z389" i="9"/>
  <c r="AA389" i="9" s="1"/>
  <c r="AE389" i="9" s="1"/>
  <c r="Z54" i="9"/>
  <c r="AA54" i="9" s="1"/>
  <c r="AE54" i="9" s="1"/>
  <c r="Z60" i="9"/>
  <c r="AA60" i="9" s="1"/>
  <c r="AE60" i="9" s="1"/>
  <c r="Z113" i="9"/>
  <c r="AA113" i="9" s="1"/>
  <c r="AE113" i="9" s="1"/>
  <c r="Z243" i="9"/>
  <c r="AA243" i="9" s="1"/>
  <c r="AE243" i="9" s="1"/>
  <c r="Z203" i="9"/>
  <c r="AA203" i="9" s="1"/>
  <c r="AE203" i="9" s="1"/>
  <c r="Z150" i="9"/>
  <c r="AA150" i="9" s="1"/>
  <c r="AE150" i="9" s="1"/>
  <c r="Z179" i="9"/>
  <c r="AA179" i="9" s="1"/>
  <c r="AE179" i="9" s="1"/>
  <c r="Z99" i="9"/>
  <c r="AA99" i="9" s="1"/>
  <c r="AE99" i="9" s="1"/>
  <c r="Z375" i="9"/>
  <c r="AA375" i="9" s="1"/>
  <c r="AE375" i="9" s="1"/>
  <c r="Z303" i="9"/>
  <c r="AA303" i="9" s="1"/>
  <c r="AE303" i="9" s="1"/>
  <c r="Z64" i="9"/>
  <c r="AA64" i="9" s="1"/>
  <c r="AE64" i="9" s="1"/>
  <c r="Z34" i="9"/>
  <c r="AA34" i="9" s="1"/>
  <c r="AE34" i="9" s="1"/>
  <c r="Z316" i="9"/>
  <c r="AA316" i="9" s="1"/>
  <c r="AE316" i="9" s="1"/>
  <c r="Z85" i="9"/>
  <c r="AA85" i="9" s="1"/>
  <c r="AE85" i="9" s="1"/>
  <c r="Z226" i="9"/>
  <c r="AA226" i="9" s="1"/>
  <c r="AE226" i="9" s="1"/>
  <c r="AC379" i="9"/>
  <c r="AD379" i="9"/>
  <c r="AF379" i="9" s="1"/>
  <c r="Z26" i="9"/>
  <c r="AA26" i="9" s="1"/>
  <c r="AE26" i="9" s="1"/>
  <c r="Z383" i="9"/>
  <c r="AA383" i="9" s="1"/>
  <c r="AE383" i="9" s="1"/>
  <c r="Z337" i="9"/>
  <c r="AA337" i="9" s="1"/>
  <c r="AE337" i="9" s="1"/>
  <c r="Z275" i="9"/>
  <c r="AA275" i="9" s="1"/>
  <c r="AE275" i="9" s="1"/>
  <c r="Z208" i="9"/>
  <c r="AA208" i="9" s="1"/>
  <c r="AE208" i="9" s="1"/>
  <c r="Z50" i="9"/>
  <c r="AA50" i="9" s="1"/>
  <c r="AE50" i="9" s="1"/>
  <c r="Z370" i="9"/>
  <c r="AA370" i="9" s="1"/>
  <c r="AE370" i="9" s="1"/>
  <c r="Z184" i="9"/>
  <c r="AA184" i="9" s="1"/>
  <c r="AE184" i="9" s="1"/>
  <c r="Z41" i="9"/>
  <c r="AA41" i="9" s="1"/>
  <c r="AE41" i="9" s="1"/>
  <c r="Z166" i="9"/>
  <c r="AA166" i="9" s="1"/>
  <c r="AE166" i="9" s="1"/>
  <c r="Z102" i="9"/>
  <c r="AA102" i="9" s="1"/>
  <c r="AE102" i="9" s="1"/>
  <c r="Z172" i="9"/>
  <c r="AA172" i="9" s="1"/>
  <c r="AE172" i="9" s="1"/>
  <c r="Z199" i="9"/>
  <c r="AA199" i="9" s="1"/>
  <c r="AE199" i="9" s="1"/>
  <c r="Z30" i="9"/>
  <c r="AA30" i="9" s="1"/>
  <c r="AE30" i="9" s="1"/>
  <c r="Z21" i="9"/>
  <c r="AA21" i="9" s="1"/>
  <c r="AE21" i="9" s="1"/>
  <c r="Z200" i="9"/>
  <c r="AA200" i="9" s="1"/>
  <c r="AE200" i="9" s="1"/>
  <c r="Z36" i="9"/>
  <c r="AA36" i="9" s="1"/>
  <c r="AE36" i="9" s="1"/>
  <c r="Z385" i="9"/>
  <c r="AG385" i="9" s="1"/>
  <c r="AA385" i="9"/>
  <c r="Z104" i="9"/>
  <c r="AA104" i="9" s="1"/>
  <c r="AE104" i="9" s="1"/>
  <c r="AG53" i="9"/>
  <c r="AG382" i="9"/>
  <c r="Z92" i="9"/>
  <c r="AA92" i="9" s="1"/>
  <c r="AF92" i="9"/>
  <c r="AF370" i="9"/>
  <c r="AH193" i="9"/>
  <c r="AD193" i="9"/>
  <c r="AF193" i="9" s="1"/>
  <c r="AH281" i="9"/>
  <c r="AD281" i="9"/>
  <c r="AF281" i="9" s="1"/>
  <c r="AH335" i="9"/>
  <c r="AD335" i="9"/>
  <c r="AF335" i="9" s="1"/>
  <c r="AH62" i="9"/>
  <c r="AD62" i="9"/>
  <c r="AH157" i="9"/>
  <c r="AD157" i="9"/>
  <c r="AF157" i="9" s="1"/>
  <c r="AH365" i="9"/>
  <c r="AD365" i="9"/>
  <c r="AF365" i="9" s="1"/>
  <c r="AH180" i="9"/>
  <c r="AD180" i="9"/>
  <c r="AF180" i="9" s="1"/>
  <c r="AH261" i="9"/>
  <c r="AD261" i="9"/>
  <c r="AF261" i="9" s="1"/>
  <c r="AH120" i="9"/>
  <c r="AD120" i="9"/>
  <c r="AF120" i="9" s="1"/>
  <c r="AH138" i="9"/>
  <c r="AD138" i="9"/>
  <c r="AF138" i="9" s="1"/>
  <c r="AH87" i="9"/>
  <c r="AD87" i="9"/>
  <c r="AF87" i="9" s="1"/>
  <c r="AH79" i="9"/>
  <c r="AD79" i="9"/>
  <c r="AF79" i="9" s="1"/>
  <c r="AH22" i="9"/>
  <c r="AD22" i="9"/>
  <c r="AF22" i="9" s="1"/>
  <c r="AH129" i="9"/>
  <c r="AD129" i="9"/>
  <c r="AF129" i="9" s="1"/>
  <c r="AH319" i="9"/>
  <c r="AD319" i="9"/>
  <c r="AF319" i="9" s="1"/>
  <c r="AH305" i="9"/>
  <c r="AD305" i="9"/>
  <c r="AF305" i="9" s="1"/>
  <c r="AH121" i="9"/>
  <c r="AD121" i="9"/>
  <c r="AF121" i="9" s="1"/>
  <c r="AH24" i="9"/>
  <c r="AD24" i="9"/>
  <c r="AF24" i="9" s="1"/>
  <c r="AH328" i="9"/>
  <c r="AD328" i="9"/>
  <c r="AF328" i="9" s="1"/>
  <c r="AH295" i="9"/>
  <c r="AD295" i="9"/>
  <c r="AF295" i="9" s="1"/>
  <c r="AH37" i="9"/>
  <c r="AD37" i="9"/>
  <c r="AF37" i="9" s="1"/>
  <c r="AH68" i="9"/>
  <c r="AD68" i="9"/>
  <c r="AF68" i="9" s="1"/>
  <c r="AH232" i="9"/>
  <c r="AD232" i="9"/>
  <c r="AF232" i="9" s="1"/>
  <c r="AH15" i="9"/>
  <c r="AD15" i="9"/>
  <c r="AF15" i="9" s="1"/>
  <c r="AH54" i="9"/>
  <c r="AD54" i="9"/>
  <c r="AF54" i="9" s="1"/>
  <c r="AH349" i="9"/>
  <c r="AD349" i="9"/>
  <c r="AF349" i="9" s="1"/>
  <c r="AH356" i="9"/>
  <c r="AD356" i="9"/>
  <c r="AF356" i="9" s="1"/>
  <c r="AH304" i="9"/>
  <c r="AD304" i="9"/>
  <c r="AF304" i="9" s="1"/>
  <c r="AH224" i="9"/>
  <c r="AD224" i="9"/>
  <c r="AF224" i="9" s="1"/>
  <c r="AH347" i="9"/>
  <c r="AD347" i="9"/>
  <c r="AF347" i="9" s="1"/>
  <c r="AH107" i="9"/>
  <c r="AD107" i="9"/>
  <c r="AF107" i="9" s="1"/>
  <c r="AH223" i="9"/>
  <c r="AD223" i="9"/>
  <c r="AF223" i="9" s="1"/>
  <c r="AH197" i="9"/>
  <c r="AD197" i="9"/>
  <c r="AF197" i="9" s="1"/>
  <c r="AH135" i="9"/>
  <c r="AD135" i="9"/>
  <c r="AF135" i="9" s="1"/>
  <c r="AH175" i="9"/>
  <c r="AD175" i="9"/>
  <c r="AF175" i="9" s="1"/>
  <c r="AH29" i="9"/>
  <c r="AD29" i="9"/>
  <c r="AF29" i="9" s="1"/>
  <c r="AH30" i="9"/>
  <c r="AD30" i="9"/>
  <c r="AF30" i="9" s="1"/>
  <c r="AH357" i="9"/>
  <c r="AD357" i="9"/>
  <c r="AF357" i="9" s="1"/>
  <c r="AH176" i="9"/>
  <c r="AD176" i="9"/>
  <c r="AF176" i="9" s="1"/>
  <c r="AH50" i="9"/>
  <c r="AD50" i="9"/>
  <c r="AF50" i="9" s="1"/>
  <c r="AH344" i="9"/>
  <c r="AD344" i="9"/>
  <c r="AF344" i="9" s="1"/>
  <c r="AH186" i="9"/>
  <c r="AD186" i="9"/>
  <c r="AF186" i="9" s="1"/>
  <c r="AH220" i="9"/>
  <c r="AD220" i="9"/>
  <c r="AF220" i="9" s="1"/>
  <c r="AH14" i="9"/>
  <c r="AD14" i="9"/>
  <c r="AF14" i="9" s="1"/>
  <c r="AH61" i="9"/>
  <c r="AD61" i="9"/>
  <c r="AF61" i="9" s="1"/>
  <c r="AH102" i="9"/>
  <c r="AD102" i="9"/>
  <c r="AF102" i="9" s="1"/>
  <c r="AH73" i="9"/>
  <c r="AD73" i="9"/>
  <c r="AF73" i="9" s="1"/>
  <c r="AH205" i="9"/>
  <c r="AD205" i="9"/>
  <c r="AF205" i="9" s="1"/>
  <c r="AH260" i="9"/>
  <c r="AD260" i="9"/>
  <c r="AF260" i="9" s="1"/>
  <c r="AH355" i="9"/>
  <c r="AD355" i="9"/>
  <c r="AF355" i="9" s="1"/>
  <c r="AH327" i="9"/>
  <c r="AD327" i="9"/>
  <c r="AF327" i="9" s="1"/>
  <c r="AH267" i="9"/>
  <c r="AD267" i="9"/>
  <c r="AF267" i="9" s="1"/>
  <c r="AH59" i="9"/>
  <c r="AD59" i="9"/>
  <c r="AF59" i="9" s="1"/>
  <c r="AH52" i="9"/>
  <c r="AD52" i="9"/>
  <c r="AF52" i="9" s="1"/>
  <c r="AH89" i="9"/>
  <c r="AD89" i="9"/>
  <c r="AF89" i="9" s="1"/>
  <c r="AH240" i="9"/>
  <c r="AD240" i="9"/>
  <c r="AF240" i="9" s="1"/>
  <c r="AH233" i="9"/>
  <c r="AD233" i="9"/>
  <c r="AF233" i="9" s="1"/>
  <c r="AH334" i="9"/>
  <c r="AD334" i="9"/>
  <c r="AF334" i="9" s="1"/>
  <c r="AH371" i="9"/>
  <c r="AD371" i="9"/>
  <c r="AF371" i="9" s="1"/>
  <c r="AH167" i="9"/>
  <c r="AD167" i="9"/>
  <c r="AF167" i="9" s="1"/>
  <c r="AH122" i="9"/>
  <c r="AD122" i="9"/>
  <c r="AF122" i="9" s="1"/>
  <c r="AH36" i="9"/>
  <c r="AD36" i="9"/>
  <c r="AF36" i="9" s="1"/>
  <c r="AH130" i="9"/>
  <c r="AD130" i="9"/>
  <c r="AF130" i="9" s="1"/>
  <c r="AH64" i="9"/>
  <c r="AD64" i="9"/>
  <c r="AF64" i="9" s="1"/>
  <c r="AH123" i="9"/>
  <c r="AD123" i="9"/>
  <c r="AF123" i="9" s="1"/>
  <c r="AH164" i="9"/>
  <c r="AD164" i="9"/>
  <c r="AF164" i="9" s="1"/>
  <c r="AH341" i="9"/>
  <c r="AD341" i="9"/>
  <c r="AF341" i="9" s="1"/>
  <c r="AH28" i="9"/>
  <c r="AD28" i="9"/>
  <c r="AF28" i="9" s="1"/>
  <c r="AH26" i="9"/>
  <c r="AD26" i="9"/>
  <c r="AF26" i="9" s="1"/>
  <c r="AH70" i="9"/>
  <c r="AD70" i="9"/>
  <c r="AF70" i="9" s="1"/>
  <c r="AH310" i="9"/>
  <c r="AD310" i="9"/>
  <c r="AF310" i="9" s="1"/>
  <c r="AH60" i="9"/>
  <c r="AD60" i="9"/>
  <c r="AF60" i="9" s="1"/>
  <c r="AH228" i="9"/>
  <c r="AD228" i="9"/>
  <c r="AF228" i="9" s="1"/>
  <c r="AH316" i="9"/>
  <c r="AD316" i="9"/>
  <c r="AF316" i="9" s="1"/>
  <c r="AH93" i="9"/>
  <c r="AD93" i="9"/>
  <c r="AF93" i="9" s="1"/>
  <c r="AH191" i="9"/>
  <c r="AD191" i="9"/>
  <c r="AF191" i="9" s="1"/>
  <c r="AH222" i="9"/>
  <c r="AD222" i="9"/>
  <c r="AF222" i="9" s="1"/>
  <c r="AH166" i="9"/>
  <c r="AD166" i="9"/>
  <c r="AF166" i="9" s="1"/>
  <c r="AH181" i="9"/>
  <c r="AD181" i="9"/>
  <c r="AF181" i="9" s="1"/>
  <c r="AH103" i="9"/>
  <c r="AD103" i="9"/>
  <c r="AF103" i="9" s="1"/>
  <c r="AH291" i="9"/>
  <c r="AD291" i="9"/>
  <c r="AF291" i="9" s="1"/>
  <c r="AH133" i="9"/>
  <c r="AD133" i="9"/>
  <c r="AF133" i="9" s="1"/>
  <c r="AH382" i="9"/>
  <c r="AD382" i="9"/>
  <c r="AF382" i="9" s="1"/>
  <c r="AH376" i="9"/>
  <c r="AD376" i="9"/>
  <c r="AF376" i="9" s="1"/>
  <c r="AH104" i="9"/>
  <c r="AD104" i="9"/>
  <c r="AF104" i="9" s="1"/>
  <c r="AH81" i="9"/>
  <c r="AD81" i="9"/>
  <c r="AF81" i="9" s="1"/>
  <c r="AH286" i="9"/>
  <c r="AD286" i="9"/>
  <c r="AF286" i="9" s="1"/>
  <c r="AH18" i="9"/>
  <c r="AD18" i="9"/>
  <c r="AF18" i="9" s="1"/>
  <c r="AH231" i="9"/>
  <c r="AD231" i="9"/>
  <c r="AF231" i="9" s="1"/>
  <c r="AH25" i="9"/>
  <c r="AD25" i="9"/>
  <c r="AF25" i="9" s="1"/>
  <c r="AH147" i="9"/>
  <c r="AD147" i="9"/>
  <c r="AF147" i="9" s="1"/>
  <c r="AH283" i="9"/>
  <c r="AD283" i="9"/>
  <c r="AF283" i="9" s="1"/>
  <c r="AH265" i="9"/>
  <c r="AD265" i="9"/>
  <c r="AF265" i="9" s="1"/>
  <c r="AH276" i="9"/>
  <c r="AD276" i="9"/>
  <c r="AF276" i="9" s="1"/>
  <c r="AH229" i="9"/>
  <c r="AD229" i="9"/>
  <c r="AF229" i="9" s="1"/>
  <c r="AH208" i="9"/>
  <c r="AD208" i="9"/>
  <c r="AF208" i="9" s="1"/>
  <c r="AH275" i="9"/>
  <c r="AD275" i="9"/>
  <c r="AF275" i="9" s="1"/>
  <c r="AH41" i="9"/>
  <c r="AD41" i="9"/>
  <c r="AF41" i="9" s="1"/>
  <c r="AH128" i="9"/>
  <c r="AD128" i="9"/>
  <c r="AF128" i="9" s="1"/>
  <c r="AH155" i="9"/>
  <c r="AD155" i="9"/>
  <c r="AF155" i="9" s="1"/>
  <c r="AH254" i="9"/>
  <c r="AD254" i="9"/>
  <c r="AF254" i="9" s="1"/>
  <c r="AH183" i="9"/>
  <c r="AD183" i="9"/>
  <c r="AF183" i="9" s="1"/>
  <c r="AH85" i="9"/>
  <c r="AD85" i="9"/>
  <c r="AF85" i="9" s="1"/>
  <c r="AH16" i="9"/>
  <c r="AD16" i="9"/>
  <c r="AF16" i="9" s="1"/>
  <c r="AH331" i="9"/>
  <c r="AD331" i="9"/>
  <c r="AF331" i="9" s="1"/>
  <c r="AH244" i="9"/>
  <c r="AD244" i="9"/>
  <c r="AF244" i="9" s="1"/>
  <c r="AH337" i="9"/>
  <c r="AD337" i="9"/>
  <c r="AF337" i="9" s="1"/>
  <c r="AH216" i="9"/>
  <c r="AD216" i="9"/>
  <c r="AF216" i="9" s="1"/>
  <c r="AH192" i="9"/>
  <c r="AD192" i="9"/>
  <c r="AF192" i="9" s="1"/>
  <c r="AH364" i="9"/>
  <c r="AD364" i="9"/>
  <c r="AF364" i="9" s="1"/>
  <c r="AH329" i="9"/>
  <c r="AD329" i="9"/>
  <c r="AF329" i="9" s="1"/>
  <c r="AH287" i="9"/>
  <c r="AD287" i="9"/>
  <c r="AF287" i="9" s="1"/>
  <c r="AH320" i="9"/>
  <c r="AD320" i="9"/>
  <c r="AF320" i="9" s="1"/>
  <c r="AH63" i="9"/>
  <c r="AD63" i="9"/>
  <c r="AF63" i="9" s="1"/>
  <c r="AH21" i="9"/>
  <c r="AD21" i="9"/>
  <c r="AF21" i="9" s="1"/>
  <c r="AH91" i="9"/>
  <c r="AD91" i="9"/>
  <c r="AF91" i="9" s="1"/>
  <c r="AH383" i="9"/>
  <c r="AD383" i="9"/>
  <c r="AF383" i="9" s="1"/>
  <c r="AH172" i="9"/>
  <c r="AD172" i="9"/>
  <c r="AF172" i="9" s="1"/>
  <c r="AH95" i="9"/>
  <c r="AD95" i="9"/>
  <c r="AF95" i="9" s="1"/>
  <c r="AH225" i="9"/>
  <c r="AD225" i="9"/>
  <c r="AF225" i="9" s="1"/>
  <c r="AH266" i="9"/>
  <c r="AD266" i="9"/>
  <c r="AF266" i="9" s="1"/>
  <c r="AH71" i="9"/>
  <c r="AD71" i="9"/>
  <c r="AF71" i="9" s="1"/>
  <c r="AH388" i="9"/>
  <c r="AD388" i="9"/>
  <c r="AF388" i="9" s="1"/>
  <c r="AH350" i="9"/>
  <c r="AD350" i="9"/>
  <c r="AF350" i="9" s="1"/>
  <c r="AH160" i="9"/>
  <c r="AD160" i="9"/>
  <c r="AF160" i="9" s="1"/>
  <c r="AH112" i="9"/>
  <c r="AD112" i="9"/>
  <c r="AF112" i="9" s="1"/>
  <c r="AH185" i="9"/>
  <c r="AD185" i="9"/>
  <c r="AF185" i="9" s="1"/>
  <c r="AH86" i="9"/>
  <c r="AD86" i="9"/>
  <c r="AF86" i="9" s="1"/>
  <c r="AH72" i="9"/>
  <c r="AD72" i="9"/>
  <c r="AF72" i="9" s="1"/>
  <c r="AH110" i="9"/>
  <c r="AD110" i="9"/>
  <c r="AF110" i="9" s="1"/>
  <c r="AH200" i="9"/>
  <c r="AD200" i="9"/>
  <c r="AF200" i="9" s="1"/>
  <c r="AH303" i="9"/>
  <c r="AD303" i="9"/>
  <c r="AF303" i="9" s="1"/>
  <c r="AH198" i="9"/>
  <c r="AD198" i="9"/>
  <c r="AF198" i="9" s="1"/>
  <c r="AH90" i="9"/>
  <c r="AD90" i="9"/>
  <c r="AF90" i="9" s="1"/>
  <c r="AH250" i="9"/>
  <c r="AD250" i="9"/>
  <c r="AF250" i="9" s="1"/>
  <c r="AH255" i="9"/>
  <c r="AD255" i="9"/>
  <c r="AF255" i="9" s="1"/>
  <c r="AH270" i="9"/>
  <c r="AD270" i="9"/>
  <c r="AF270" i="9" s="1"/>
  <c r="AH259" i="9"/>
  <c r="AD259" i="9"/>
  <c r="AF259" i="9" s="1"/>
  <c r="AH354" i="9"/>
  <c r="AD354" i="9"/>
  <c r="AF354" i="9" s="1"/>
  <c r="AH170" i="9"/>
  <c r="AD170" i="9"/>
  <c r="AF170" i="9" s="1"/>
  <c r="AH245" i="9"/>
  <c r="AD245" i="9"/>
  <c r="AF245" i="9" s="1"/>
  <c r="AH184" i="9"/>
  <c r="AD184" i="9"/>
  <c r="AF184" i="9" s="1"/>
  <c r="AH43" i="9"/>
  <c r="AD43" i="9"/>
  <c r="AH187" i="9"/>
  <c r="AD187" i="9"/>
  <c r="AF187" i="9" s="1"/>
  <c r="AH309" i="9"/>
  <c r="AD309" i="9"/>
  <c r="AF309" i="9" s="1"/>
  <c r="AH35" i="9"/>
  <c r="AD35" i="9"/>
  <c r="AF35" i="9" s="1"/>
  <c r="AH109" i="9"/>
  <c r="AD109" i="9"/>
  <c r="AF109" i="9" s="1"/>
  <c r="AH313" i="9"/>
  <c r="AD313" i="9"/>
  <c r="AF313" i="9" s="1"/>
  <c r="AH249" i="9"/>
  <c r="AD249" i="9"/>
  <c r="AF249" i="9" s="1"/>
  <c r="AH336" i="9"/>
  <c r="AD336" i="9"/>
  <c r="AF336" i="9" s="1"/>
  <c r="AH174" i="9"/>
  <c r="AD174" i="9"/>
  <c r="AF174" i="9" s="1"/>
  <c r="AH381" i="9"/>
  <c r="AD381" i="9"/>
  <c r="AF381" i="9" s="1"/>
  <c r="AH247" i="9"/>
  <c r="AD247" i="9"/>
  <c r="AF247" i="9" s="1"/>
  <c r="AH203" i="9"/>
  <c r="AD203" i="9"/>
  <c r="AF203" i="9" s="1"/>
  <c r="AH294" i="9"/>
  <c r="AD294" i="9"/>
  <c r="AF294" i="9" s="1"/>
  <c r="AH69" i="9"/>
  <c r="AD69" i="9"/>
  <c r="AF69" i="9" s="1"/>
  <c r="AH99" i="9"/>
  <c r="AD99" i="9"/>
  <c r="AF99" i="9" s="1"/>
  <c r="AH111" i="9"/>
  <c r="AD111" i="9"/>
  <c r="AF111" i="9" s="1"/>
  <c r="AH179" i="9"/>
  <c r="AD179" i="9"/>
  <c r="AF179" i="9" s="1"/>
  <c r="AH362" i="9"/>
  <c r="AD362" i="9"/>
  <c r="AF362" i="9" s="1"/>
  <c r="AH290" i="9"/>
  <c r="AD290" i="9"/>
  <c r="AF290" i="9" s="1"/>
  <c r="AH78" i="9"/>
  <c r="AD78" i="9"/>
  <c r="AF78" i="9" s="1"/>
  <c r="AH150" i="9"/>
  <c r="AD150" i="9"/>
  <c r="AF150" i="9" s="1"/>
  <c r="AH389" i="9"/>
  <c r="AD389" i="9"/>
  <c r="AF389" i="9" s="1"/>
  <c r="AG379" i="9"/>
  <c r="AE379" i="9" s="1"/>
  <c r="AG177" i="9"/>
  <c r="AA177" i="9"/>
  <c r="AE177" i="9" s="1"/>
  <c r="AA177" i="6"/>
  <c r="AE177" i="6" s="1"/>
  <c r="AF82" i="6"/>
  <c r="AF130" i="6"/>
  <c r="AF297" i="6"/>
  <c r="AF81" i="6"/>
  <c r="AF370" i="6"/>
  <c r="AE81" i="6"/>
  <c r="AF211" i="6"/>
  <c r="AF74" i="6"/>
  <c r="AF375" i="6"/>
  <c r="AE94" i="6"/>
  <c r="AH191" i="6"/>
  <c r="AD191" i="6"/>
  <c r="AF191" i="6" s="1"/>
  <c r="AH200" i="6"/>
  <c r="AD200" i="6"/>
  <c r="AF200" i="6" s="1"/>
  <c r="AG327" i="6"/>
  <c r="AA327" i="6"/>
  <c r="AE327" i="6" s="1"/>
  <c r="AH381" i="6"/>
  <c r="AD381" i="6"/>
  <c r="AF381" i="6" s="1"/>
  <c r="AG388" i="6"/>
  <c r="AA388" i="6"/>
  <c r="AG95" i="6"/>
  <c r="AA95" i="6"/>
  <c r="AE95" i="6" s="1"/>
  <c r="AG128" i="6"/>
  <c r="AA128" i="6"/>
  <c r="AE128" i="6" s="1"/>
  <c r="AG134" i="6"/>
  <c r="AA134" i="6"/>
  <c r="AE134" i="6" s="1"/>
  <c r="AH361" i="6"/>
  <c r="AD361" i="6"/>
  <c r="AF361" i="6" s="1"/>
  <c r="AG337" i="6"/>
  <c r="AA337" i="6"/>
  <c r="AE337" i="6" s="1"/>
  <c r="AH87" i="6"/>
  <c r="AD87" i="6"/>
  <c r="AF87" i="6" s="1"/>
  <c r="AG280" i="6"/>
  <c r="AA280" i="6"/>
  <c r="AE280" i="6" s="1"/>
  <c r="AG371" i="6"/>
  <c r="AA371" i="6"/>
  <c r="AG365" i="6"/>
  <c r="AA365" i="6"/>
  <c r="AE365" i="6" s="1"/>
  <c r="AH258" i="6"/>
  <c r="AD258" i="6"/>
  <c r="AF258" i="6" s="1"/>
  <c r="AH271" i="6"/>
  <c r="AD271" i="6"/>
  <c r="AF271" i="6" s="1"/>
  <c r="AH171" i="6"/>
  <c r="AD171" i="6"/>
  <c r="AG129" i="6"/>
  <c r="AA129" i="6"/>
  <c r="AE129" i="6" s="1"/>
  <c r="AH138" i="6"/>
  <c r="AD138" i="6"/>
  <c r="AF138" i="6" s="1"/>
  <c r="AH383" i="6"/>
  <c r="AD383" i="6"/>
  <c r="AF383" i="6" s="1"/>
  <c r="AH281" i="6"/>
  <c r="AD281" i="6"/>
  <c r="AF281" i="6" s="1"/>
  <c r="AH290" i="6"/>
  <c r="AD290" i="6"/>
  <c r="AF290" i="6" s="1"/>
  <c r="AH135" i="6"/>
  <c r="AD135" i="6"/>
  <c r="AF135" i="6" s="1"/>
  <c r="AH62" i="6"/>
  <c r="AD62" i="6"/>
  <c r="AF62" i="6" s="1"/>
  <c r="AH350" i="6"/>
  <c r="AD350" i="6"/>
  <c r="AG350" i="6"/>
  <c r="AA350" i="6"/>
  <c r="AE350" i="6" s="1"/>
  <c r="AH266" i="6"/>
  <c r="AD266" i="6"/>
  <c r="AF266" i="6" s="1"/>
  <c r="AG246" i="6"/>
  <c r="AA246" i="6"/>
  <c r="AE246" i="6" s="1"/>
  <c r="AH232" i="6"/>
  <c r="AD232" i="6"/>
  <c r="AH198" i="6"/>
  <c r="AD198" i="6"/>
  <c r="AF198" i="6" s="1"/>
  <c r="AH90" i="6"/>
  <c r="AD90" i="6"/>
  <c r="AF90" i="6" s="1"/>
  <c r="AH365" i="6"/>
  <c r="AD365" i="6"/>
  <c r="AF365" i="6" s="1"/>
  <c r="AG310" i="6"/>
  <c r="AA310" i="6"/>
  <c r="AE310" i="6" s="1"/>
  <c r="AH60" i="6"/>
  <c r="AD60" i="6"/>
  <c r="AF60" i="6" s="1"/>
  <c r="AH28" i="6"/>
  <c r="AD28" i="6"/>
  <c r="AF28" i="6" s="1"/>
  <c r="AG68" i="6"/>
  <c r="AA68" i="6"/>
  <c r="AE68" i="6" s="1"/>
  <c r="AH70" i="6"/>
  <c r="AD70" i="6"/>
  <c r="AF70" i="6" s="1"/>
  <c r="AG130" i="6"/>
  <c r="AA130" i="6"/>
  <c r="AE130" i="6" s="1"/>
  <c r="AH112" i="6"/>
  <c r="AD112" i="6"/>
  <c r="AF112" i="6" s="1"/>
  <c r="AH261" i="6"/>
  <c r="AD261" i="6"/>
  <c r="AF261" i="6" s="1"/>
  <c r="AH180" i="6"/>
  <c r="AD180" i="6"/>
  <c r="AF180" i="6" s="1"/>
  <c r="AH31" i="6"/>
  <c r="AD31" i="6"/>
  <c r="AF31" i="6" s="1"/>
  <c r="AG89" i="6"/>
  <c r="AA89" i="6"/>
  <c r="AE89" i="6" s="1"/>
  <c r="AG122" i="6"/>
  <c r="AA122" i="6"/>
  <c r="AE122" i="6" s="1"/>
  <c r="AG43" i="6"/>
  <c r="AA43" i="6"/>
  <c r="AH175" i="6"/>
  <c r="AD175" i="6"/>
  <c r="AF175" i="6" s="1"/>
  <c r="AG240" i="6"/>
  <c r="AA240" i="6"/>
  <c r="AG354" i="6"/>
  <c r="AA354" i="6"/>
  <c r="AE354" i="6" s="1"/>
  <c r="AG162" i="6"/>
  <c r="AA162" i="6"/>
  <c r="AE162" i="6" s="1"/>
  <c r="AG290" i="6"/>
  <c r="AA290" i="6"/>
  <c r="AE290" i="6" s="1"/>
  <c r="AG233" i="6"/>
  <c r="AA233" i="6"/>
  <c r="AE233" i="6" s="1"/>
  <c r="AG296" i="6"/>
  <c r="AA296" i="6"/>
  <c r="AE296" i="6" s="1"/>
  <c r="AH88" i="6"/>
  <c r="AD88" i="6"/>
  <c r="AF88" i="6" s="1"/>
  <c r="AG121" i="6"/>
  <c r="AA121" i="6"/>
  <c r="AE121" i="6" s="1"/>
  <c r="AG344" i="6"/>
  <c r="AA344" i="6"/>
  <c r="AE344" i="6" s="1"/>
  <c r="AG193" i="6"/>
  <c r="AA193" i="6"/>
  <c r="AE193" i="6" s="1"/>
  <c r="AG90" i="6"/>
  <c r="AA90" i="6"/>
  <c r="AE90" i="6" s="1"/>
  <c r="AH38" i="6"/>
  <c r="AD38" i="6"/>
  <c r="AF38" i="6" s="1"/>
  <c r="AG351" i="6"/>
  <c r="AA351" i="6"/>
  <c r="AG376" i="6"/>
  <c r="AA376" i="6"/>
  <c r="AE376" i="6" s="1"/>
  <c r="AG113" i="6"/>
  <c r="AA113" i="6"/>
  <c r="AE113" i="6" s="1"/>
  <c r="AH54" i="6"/>
  <c r="AD54" i="6"/>
  <c r="AF54" i="6" s="1"/>
  <c r="AG199" i="6"/>
  <c r="AA199" i="6"/>
  <c r="AE199" i="6" s="1"/>
  <c r="AG72" i="6"/>
  <c r="AA72" i="6"/>
  <c r="AE72" i="6" s="1"/>
  <c r="AG382" i="6"/>
  <c r="AA382" i="6"/>
  <c r="AG182" i="6"/>
  <c r="AA182" i="6"/>
  <c r="AE182" i="6" s="1"/>
  <c r="AG303" i="6"/>
  <c r="AA303" i="6"/>
  <c r="AE303" i="6" s="1"/>
  <c r="AH85" i="6"/>
  <c r="AD85" i="6"/>
  <c r="AF85" i="6" s="1"/>
  <c r="AG179" i="6"/>
  <c r="AA179" i="6"/>
  <c r="AE179" i="6" s="1"/>
  <c r="AG186" i="6"/>
  <c r="AA186" i="6"/>
  <c r="AE186" i="6" s="1"/>
  <c r="AG200" i="6"/>
  <c r="AA200" i="6"/>
  <c r="AE200" i="6" s="1"/>
  <c r="AG348" i="6"/>
  <c r="AA348" i="6"/>
  <c r="AE348" i="6" s="1"/>
  <c r="AG258" i="6"/>
  <c r="AA258" i="6"/>
  <c r="AE258" i="6" s="1"/>
  <c r="AH337" i="6"/>
  <c r="AD337" i="6"/>
  <c r="AF337" i="6" s="1"/>
  <c r="AH284" i="6"/>
  <c r="AD284" i="6"/>
  <c r="AF284" i="6" s="1"/>
  <c r="AH244" i="6"/>
  <c r="AD244" i="6"/>
  <c r="AF244" i="6" s="1"/>
  <c r="AH63" i="6"/>
  <c r="AD63" i="6"/>
  <c r="AF63" i="6" s="1"/>
  <c r="AH34" i="6"/>
  <c r="AD34" i="6"/>
  <c r="AF34" i="6" s="1"/>
  <c r="AH14" i="6"/>
  <c r="AD14" i="6"/>
  <c r="AF14" i="6" s="1"/>
  <c r="AH227" i="6"/>
  <c r="AD227" i="6"/>
  <c r="AF227" i="6" s="1"/>
  <c r="AH197" i="6"/>
  <c r="AD197" i="6"/>
  <c r="AF197" i="6" s="1"/>
  <c r="AH304" i="6"/>
  <c r="AD304" i="6"/>
  <c r="AF304" i="6" s="1"/>
  <c r="AH320" i="6"/>
  <c r="AD320" i="6"/>
  <c r="AF320" i="6" s="1"/>
  <c r="AH225" i="6"/>
  <c r="AD225" i="6"/>
  <c r="AF225" i="6" s="1"/>
  <c r="AH170" i="6"/>
  <c r="AD170" i="6"/>
  <c r="AF170" i="6" s="1"/>
  <c r="AH27" i="6"/>
  <c r="AD27" i="6"/>
  <c r="AF27" i="6" s="1"/>
  <c r="AH43" i="6"/>
  <c r="AD43" i="6"/>
  <c r="AH25" i="6"/>
  <c r="AD25" i="6"/>
  <c r="AF25" i="6" s="1"/>
  <c r="AH120" i="6"/>
  <c r="AD120" i="6"/>
  <c r="AF120" i="6" s="1"/>
  <c r="AH29" i="6"/>
  <c r="AD29" i="6"/>
  <c r="AF29" i="6" s="1"/>
  <c r="AH357" i="6"/>
  <c r="AD357" i="6"/>
  <c r="AH185" i="6"/>
  <c r="AD185" i="6"/>
  <c r="AF185" i="6" s="1"/>
  <c r="AH245" i="6"/>
  <c r="AD245" i="6"/>
  <c r="AF245" i="6" s="1"/>
  <c r="AH176" i="6"/>
  <c r="AD176" i="6"/>
  <c r="AF176" i="6" s="1"/>
  <c r="AH172" i="6"/>
  <c r="AD172" i="6"/>
  <c r="AF172" i="6" s="1"/>
  <c r="AH194" i="6"/>
  <c r="AD194" i="6"/>
  <c r="AF194" i="6" s="1"/>
  <c r="AH270" i="6"/>
  <c r="AD270" i="6"/>
  <c r="AF270" i="6" s="1"/>
  <c r="AH78" i="6"/>
  <c r="AD78" i="6"/>
  <c r="AF78" i="6" s="1"/>
  <c r="AH388" i="6"/>
  <c r="AD388" i="6"/>
  <c r="AH64" i="6"/>
  <c r="AD64" i="6"/>
  <c r="AF64" i="6" s="1"/>
  <c r="AH179" i="6"/>
  <c r="AD179" i="6"/>
  <c r="AF179" i="6" s="1"/>
  <c r="AH316" i="6"/>
  <c r="AD316" i="6"/>
  <c r="AF316" i="6" s="1"/>
  <c r="AH349" i="6"/>
  <c r="AD349" i="6"/>
  <c r="AH128" i="6"/>
  <c r="AD128" i="6"/>
  <c r="AF128" i="6" s="1"/>
  <c r="AH72" i="6"/>
  <c r="AD72" i="6"/>
  <c r="AF72" i="6" s="1"/>
  <c r="AG87" i="6"/>
  <c r="AA87" i="6"/>
  <c r="AE87" i="6" s="1"/>
  <c r="AH183" i="6"/>
  <c r="AD183" i="6"/>
  <c r="AF183" i="6" s="1"/>
  <c r="AH193" i="6"/>
  <c r="AD193" i="6"/>
  <c r="AF193" i="6" s="1"/>
  <c r="AG133" i="6"/>
  <c r="AA133" i="6"/>
  <c r="AE133" i="6" s="1"/>
  <c r="AG225" i="6"/>
  <c r="AA225" i="6"/>
  <c r="AE225" i="6" s="1"/>
  <c r="AG211" i="6"/>
  <c r="AA211" i="6"/>
  <c r="AE211" i="6" s="1"/>
  <c r="AG321" i="6"/>
  <c r="AA321" i="6"/>
  <c r="AE321" i="6" s="1"/>
  <c r="AG54" i="6"/>
  <c r="AA54" i="6"/>
  <c r="AE54" i="6" s="1"/>
  <c r="AG363" i="6"/>
  <c r="AA363" i="6"/>
  <c r="AE363" i="6" s="1"/>
  <c r="AG154" i="6"/>
  <c r="AA154" i="6"/>
  <c r="AE154" i="6" s="1"/>
  <c r="AH129" i="6"/>
  <c r="AD129" i="6"/>
  <c r="AF129" i="6" s="1"/>
  <c r="AH333" i="6"/>
  <c r="AD333" i="6"/>
  <c r="AF333" i="6" s="1"/>
  <c r="AG85" i="6"/>
  <c r="AA85" i="6"/>
  <c r="AE85" i="6" s="1"/>
  <c r="AH376" i="6"/>
  <c r="AD376" i="6"/>
  <c r="AF376" i="6" s="1"/>
  <c r="AH247" i="6"/>
  <c r="AD247" i="6"/>
  <c r="AF247" i="6" s="1"/>
  <c r="AH123" i="6"/>
  <c r="AD123" i="6"/>
  <c r="AF123" i="6" s="1"/>
  <c r="AH260" i="6"/>
  <c r="AD260" i="6"/>
  <c r="AF260" i="6" s="1"/>
  <c r="AG274" i="6"/>
  <c r="AA274" i="6"/>
  <c r="AE274" i="6" s="1"/>
  <c r="AH110" i="6"/>
  <c r="AD110" i="6"/>
  <c r="AF110" i="6" s="1"/>
  <c r="AH222" i="6"/>
  <c r="AD222" i="6"/>
  <c r="AF222" i="6" s="1"/>
  <c r="AH356" i="6"/>
  <c r="AD356" i="6"/>
  <c r="AF356" i="6" s="1"/>
  <c r="AG86" i="6"/>
  <c r="AA86" i="6"/>
  <c r="AE86" i="6" s="1"/>
  <c r="AH68" i="6"/>
  <c r="AD68" i="6"/>
  <c r="AF68" i="6" s="1"/>
  <c r="AG356" i="6"/>
  <c r="AA356" i="6"/>
  <c r="AH250" i="6"/>
  <c r="AD250" i="6"/>
  <c r="AF250" i="6" s="1"/>
  <c r="AH166" i="6"/>
  <c r="AD166" i="6"/>
  <c r="AH86" i="6"/>
  <c r="AD86" i="6"/>
  <c r="AF86" i="6" s="1"/>
  <c r="AH26" i="6"/>
  <c r="AD26" i="6"/>
  <c r="AF26" i="6" s="1"/>
  <c r="AH57" i="6"/>
  <c r="AD57" i="6"/>
  <c r="AF57" i="6" s="1"/>
  <c r="AG73" i="6"/>
  <c r="AA73" i="6"/>
  <c r="AE73" i="6" s="1"/>
  <c r="AH192" i="6"/>
  <c r="AD192" i="6"/>
  <c r="AF192" i="6" s="1"/>
  <c r="AH91" i="6"/>
  <c r="AD91" i="6"/>
  <c r="AF91" i="6" s="1"/>
  <c r="AH79" i="6"/>
  <c r="AD79" i="6"/>
  <c r="AF79" i="6" s="1"/>
  <c r="AH259" i="6"/>
  <c r="AD259" i="6"/>
  <c r="AF259" i="6" s="1"/>
  <c r="AH231" i="6"/>
  <c r="AD231" i="6"/>
  <c r="AF231" i="6" s="1"/>
  <c r="AH224" i="6"/>
  <c r="AD224" i="6"/>
  <c r="AF224" i="6" s="1"/>
  <c r="AH347" i="6"/>
  <c r="AD347" i="6"/>
  <c r="AF347" i="6" s="1"/>
  <c r="AH103" i="6"/>
  <c r="AD103" i="6"/>
  <c r="AF103" i="6" s="1"/>
  <c r="AH354" i="6"/>
  <c r="AD354" i="6"/>
  <c r="AF354" i="6" s="1"/>
  <c r="AH291" i="6"/>
  <c r="AD291" i="6"/>
  <c r="AF291" i="6" s="1"/>
  <c r="AG61" i="6"/>
  <c r="AA61" i="6"/>
  <c r="AE61" i="6" s="1"/>
  <c r="AH342" i="6"/>
  <c r="AD342" i="6"/>
  <c r="AG248" i="6"/>
  <c r="AA248" i="6"/>
  <c r="AE248" i="6" s="1"/>
  <c r="AG287" i="6"/>
  <c r="AA287" i="6"/>
  <c r="AE287" i="6" s="1"/>
  <c r="AH230" i="6"/>
  <c r="AD230" i="6"/>
  <c r="AF230" i="6" s="1"/>
  <c r="AH30" i="6"/>
  <c r="AD30" i="6"/>
  <c r="AF30" i="6" s="1"/>
  <c r="AH35" i="6"/>
  <c r="AD35" i="6"/>
  <c r="AF35" i="6" s="1"/>
  <c r="AG255" i="6"/>
  <c r="AA255" i="6"/>
  <c r="AE255" i="6" s="1"/>
  <c r="AH382" i="6"/>
  <c r="AD382" i="6"/>
  <c r="AF382" i="6" s="1"/>
  <c r="AH121" i="6"/>
  <c r="AD121" i="6"/>
  <c r="AF121" i="6" s="1"/>
  <c r="AG320" i="6"/>
  <c r="AA320" i="6"/>
  <c r="AE320" i="6" s="1"/>
  <c r="AG333" i="6"/>
  <c r="AA333" i="6"/>
  <c r="AE333" i="6" s="1"/>
  <c r="AG191" i="6"/>
  <c r="AA191" i="6"/>
  <c r="AE191" i="6" s="1"/>
  <c r="AG389" i="6"/>
  <c r="AA389" i="6"/>
  <c r="AH328" i="6"/>
  <c r="AD328" i="6"/>
  <c r="AF328" i="6" s="1"/>
  <c r="AG60" i="6"/>
  <c r="AA60" i="6"/>
  <c r="AE60" i="6" s="1"/>
  <c r="AG150" i="6"/>
  <c r="AA150" i="6"/>
  <c r="AE150" i="6" s="1"/>
  <c r="AG194" i="6"/>
  <c r="AA194" i="6"/>
  <c r="AE194" i="6" s="1"/>
  <c r="AH204" i="6"/>
  <c r="AD204" i="6"/>
  <c r="AF204" i="6" s="1"/>
  <c r="AG99" i="6"/>
  <c r="AA99" i="6"/>
  <c r="AE99" i="6" s="1"/>
  <c r="AG283" i="6"/>
  <c r="AA283" i="6"/>
  <c r="AE283" i="6" s="1"/>
  <c r="AH16" i="6"/>
  <c r="AD16" i="6"/>
  <c r="AF16" i="6" s="1"/>
  <c r="AG336" i="6"/>
  <c r="AA336" i="6"/>
  <c r="AE336" i="6" s="1"/>
  <c r="AH372" i="6"/>
  <c r="AD372" i="6"/>
  <c r="AG316" i="6"/>
  <c r="AA316" i="6"/>
  <c r="AE316" i="6" s="1"/>
  <c r="AG313" i="6"/>
  <c r="AA313" i="6"/>
  <c r="AE313" i="6" s="1"/>
  <c r="AH300" i="6"/>
  <c r="AD300" i="6"/>
  <c r="AF300" i="6" s="1"/>
  <c r="AH310" i="6"/>
  <c r="AD310" i="6"/>
  <c r="AF310" i="6" s="1"/>
  <c r="AG249" i="6"/>
  <c r="AA249" i="6"/>
  <c r="AE249" i="6" s="1"/>
  <c r="AG227" i="6"/>
  <c r="AA227" i="6"/>
  <c r="AE227" i="6" s="1"/>
  <c r="AG220" i="6"/>
  <c r="AA220" i="6"/>
  <c r="AE220" i="6" s="1"/>
  <c r="AH243" i="6"/>
  <c r="AD243" i="6"/>
  <c r="AF243" i="6" s="1"/>
  <c r="AH147" i="6"/>
  <c r="AD147" i="6"/>
  <c r="AF147" i="6" s="1"/>
  <c r="AH336" i="6"/>
  <c r="AD336" i="6"/>
  <c r="AF336" i="6" s="1"/>
  <c r="AH296" i="6"/>
  <c r="AD296" i="6"/>
  <c r="AF296" i="6" s="1"/>
  <c r="AH18" i="6"/>
  <c r="AD18" i="6"/>
  <c r="AF18" i="6" s="1"/>
  <c r="AH93" i="6"/>
  <c r="AD93" i="6"/>
  <c r="AF93" i="6" s="1"/>
  <c r="AH267" i="6"/>
  <c r="AD267" i="6"/>
  <c r="AF267" i="6" s="1"/>
  <c r="AH371" i="6"/>
  <c r="AD371" i="6"/>
  <c r="AF371" i="6" s="1"/>
  <c r="AH113" i="6"/>
  <c r="AD113" i="6"/>
  <c r="AF113" i="6" s="1"/>
  <c r="AH140" i="6"/>
  <c r="AD140" i="6"/>
  <c r="AF140" i="6" s="1"/>
  <c r="AH95" i="6"/>
  <c r="AD95" i="6"/>
  <c r="AH107" i="6"/>
  <c r="AD107" i="6"/>
  <c r="AF107" i="6" s="1"/>
  <c r="AH223" i="6"/>
  <c r="AD223" i="6"/>
  <c r="AF223" i="6" s="1"/>
  <c r="AH287" i="6"/>
  <c r="AD287" i="6"/>
  <c r="AF287" i="6" s="1"/>
  <c r="AH283" i="6"/>
  <c r="AD283" i="6"/>
  <c r="AF283" i="6" s="1"/>
  <c r="AH205" i="6"/>
  <c r="AD205" i="6"/>
  <c r="AF205" i="6" s="1"/>
  <c r="AH309" i="6"/>
  <c r="AD309" i="6"/>
  <c r="AF309" i="6" s="1"/>
  <c r="AH389" i="6"/>
  <c r="AD389" i="6"/>
  <c r="AF389" i="6" s="1"/>
  <c r="AH285" i="6"/>
  <c r="AD285" i="6"/>
  <c r="AF285" i="6" s="1"/>
  <c r="AH240" i="6"/>
  <c r="AD240" i="6"/>
  <c r="AF240" i="6" s="1"/>
  <c r="AH52" i="6"/>
  <c r="AD52" i="6"/>
  <c r="AF52" i="6" s="1"/>
  <c r="AH378" i="6"/>
  <c r="AD378" i="6"/>
  <c r="AF378" i="6" s="1"/>
  <c r="AH71" i="6"/>
  <c r="AD71" i="6"/>
  <c r="AF71" i="6" s="1"/>
  <c r="AH362" i="6"/>
  <c r="AD362" i="6"/>
  <c r="AF362" i="6" s="1"/>
  <c r="AH104" i="6"/>
  <c r="AD104" i="6"/>
  <c r="AH228" i="6"/>
  <c r="AD228" i="6"/>
  <c r="AF228" i="6" s="1"/>
  <c r="AH334" i="6"/>
  <c r="AD334" i="6"/>
  <c r="AF334" i="6" s="1"/>
  <c r="AG259" i="6"/>
  <c r="AA259" i="6"/>
  <c r="AE259" i="6" s="1"/>
  <c r="AG260" i="6"/>
  <c r="AA260" i="6"/>
  <c r="AE260" i="6" s="1"/>
  <c r="AG243" i="6"/>
  <c r="AA243" i="6"/>
  <c r="AE243" i="6" s="1"/>
  <c r="AG101" i="6"/>
  <c r="AA101" i="6"/>
  <c r="AE101" i="6" s="1"/>
  <c r="AG208" i="6"/>
  <c r="AA208" i="6"/>
  <c r="AE208" i="6" s="1"/>
  <c r="AH37" i="6"/>
  <c r="AD37" i="6"/>
  <c r="AF37" i="6" s="1"/>
  <c r="AG375" i="6"/>
  <c r="AA375" i="6"/>
  <c r="AE375" i="6" s="1"/>
  <c r="AG146" i="6"/>
  <c r="AA146" i="6"/>
  <c r="AE146" i="6" s="1"/>
  <c r="AH341" i="6"/>
  <c r="AD341" i="6"/>
  <c r="AF341" i="6" s="1"/>
  <c r="AG34" i="6"/>
  <c r="AA34" i="6"/>
  <c r="AE34" i="6" s="1"/>
  <c r="AG271" i="6"/>
  <c r="AA271" i="6"/>
  <c r="AE271" i="6" s="1"/>
  <c r="AG16" i="6"/>
  <c r="AA16" i="6"/>
  <c r="AE16" i="6" s="1"/>
  <c r="AG282" i="6"/>
  <c r="AA282" i="6"/>
  <c r="AE282" i="6" s="1"/>
  <c r="AH238" i="6"/>
  <c r="AD238" i="6"/>
  <c r="AF238" i="6" s="1"/>
  <c r="AG104" i="6"/>
  <c r="AA104" i="6"/>
  <c r="AE104" i="6" s="1"/>
  <c r="AH265" i="6"/>
  <c r="AD265" i="6"/>
  <c r="AF265" i="6" s="1"/>
  <c r="AH327" i="6"/>
  <c r="AD327" i="6"/>
  <c r="AF327" i="6" s="1"/>
  <c r="AH164" i="6"/>
  <c r="AD164" i="6"/>
  <c r="AG64" i="6"/>
  <c r="AA64" i="6"/>
  <c r="AE64" i="6" s="1"/>
  <c r="AH73" i="6"/>
  <c r="AD73" i="6"/>
  <c r="AF73" i="6" s="1"/>
  <c r="AG341" i="6"/>
  <c r="AA341" i="6"/>
  <c r="AE341" i="6" s="1"/>
  <c r="AG82" i="6"/>
  <c r="AA82" i="6"/>
  <c r="AH335" i="6"/>
  <c r="AD335" i="6"/>
  <c r="AF335" i="6" s="1"/>
  <c r="AH15" i="6"/>
  <c r="AD15" i="6"/>
  <c r="AF15" i="6" s="1"/>
  <c r="AG112" i="6"/>
  <c r="AA112" i="6"/>
  <c r="AE112" i="6" s="1"/>
  <c r="AH111" i="6"/>
  <c r="AD111" i="6"/>
  <c r="AH160" i="6"/>
  <c r="AD160" i="6"/>
  <c r="AF160" i="6" s="1"/>
  <c r="AH303" i="6"/>
  <c r="AD303" i="6"/>
  <c r="AF303" i="6" s="1"/>
  <c r="AG198" i="6"/>
  <c r="AA198" i="6"/>
  <c r="AE198" i="6" s="1"/>
  <c r="AH364" i="6"/>
  <c r="AD364" i="6"/>
  <c r="AG261" i="6"/>
  <c r="AA261" i="6"/>
  <c r="AE261" i="6" s="1"/>
  <c r="AG28" i="6"/>
  <c r="AA28" i="6"/>
  <c r="AE28" i="6" s="1"/>
  <c r="AH255" i="6"/>
  <c r="AD255" i="6"/>
  <c r="AF255" i="6" s="1"/>
  <c r="AH181" i="6"/>
  <c r="AD181" i="6"/>
  <c r="AF181" i="6" s="1"/>
  <c r="AG107" i="6"/>
  <c r="AA107" i="6"/>
  <c r="AE107" i="6" s="1"/>
  <c r="AH162" i="6"/>
  <c r="AD162" i="6"/>
  <c r="AF162" i="6" s="1"/>
  <c r="AG138" i="6"/>
  <c r="AA138" i="6"/>
  <c r="AE138" i="6" s="1"/>
  <c r="AH22" i="6"/>
  <c r="AD22" i="6"/>
  <c r="AF22" i="6" s="1"/>
  <c r="AH133" i="6"/>
  <c r="AD133" i="6"/>
  <c r="AF133" i="6" s="1"/>
  <c r="AG362" i="6"/>
  <c r="AA362" i="6"/>
  <c r="AE362" i="6" s="1"/>
  <c r="AH305" i="6"/>
  <c r="AD305" i="6"/>
  <c r="AF305" i="6" s="1"/>
  <c r="AH319" i="6"/>
  <c r="AD319" i="6"/>
  <c r="AH146" i="6"/>
  <c r="AD146" i="6"/>
  <c r="AF146" i="6" s="1"/>
  <c r="AG378" i="6"/>
  <c r="AA378" i="6"/>
  <c r="AG178" i="6"/>
  <c r="AA178" i="6"/>
  <c r="AE178" i="6" s="1"/>
  <c r="AG184" i="6"/>
  <c r="AA184" i="6"/>
  <c r="AE184" i="6" s="1"/>
  <c r="AG342" i="6"/>
  <c r="AA342" i="6"/>
  <c r="AE342" i="6" s="1"/>
  <c r="AG140" i="6"/>
  <c r="AA140" i="6"/>
  <c r="AE140" i="6" s="1"/>
  <c r="AG26" i="6"/>
  <c r="AA26" i="6"/>
  <c r="AE26" i="6" s="1"/>
  <c r="AH24" i="6"/>
  <c r="AD24" i="6"/>
  <c r="AF24" i="6" s="1"/>
  <c r="AG328" i="6"/>
  <c r="AA328" i="6"/>
  <c r="AE328" i="6" s="1"/>
  <c r="AH262" i="6"/>
  <c r="AD262" i="6"/>
  <c r="AF262" i="6" s="1"/>
  <c r="AG79" i="6"/>
  <c r="AA79" i="6"/>
  <c r="AE79" i="6" s="1"/>
  <c r="AG74" i="6"/>
  <c r="AA74" i="6"/>
  <c r="AG50" i="6"/>
  <c r="AA50" i="6"/>
  <c r="AE50" i="6" s="1"/>
  <c r="AG285" i="6"/>
  <c r="AA285" i="6"/>
  <c r="AE285" i="6" s="1"/>
  <c r="AG172" i="6"/>
  <c r="AA172" i="6"/>
  <c r="AE172" i="6" s="1"/>
  <c r="AG167" i="6"/>
  <c r="AA167" i="6"/>
  <c r="AH226" i="6"/>
  <c r="AD226" i="6"/>
  <c r="AF226" i="6" s="1"/>
  <c r="AG349" i="6"/>
  <c r="AA349" i="6"/>
  <c r="AG372" i="6"/>
  <c r="AA372" i="6"/>
  <c r="AE372" i="6" s="1"/>
  <c r="AG71" i="6"/>
  <c r="AA71" i="6"/>
  <c r="AE71" i="6" s="1"/>
  <c r="AG36" i="6"/>
  <c r="AA36" i="6"/>
  <c r="AE36" i="6" s="1"/>
  <c r="AH286" i="6"/>
  <c r="AD286" i="6"/>
  <c r="AF286" i="6" s="1"/>
  <c r="AG44" i="6"/>
  <c r="AA44" i="6"/>
  <c r="AE44" i="6" s="1"/>
  <c r="AH387" i="6"/>
  <c r="AD387" i="6"/>
  <c r="AF387" i="6" s="1"/>
  <c r="AG297" i="6"/>
  <c r="AA297" i="6"/>
  <c r="AE297" i="6" s="1"/>
  <c r="AG306" i="6"/>
  <c r="AA306" i="6"/>
  <c r="AE306" i="6" s="1"/>
  <c r="AH61" i="6"/>
  <c r="AD61" i="6"/>
  <c r="AF61" i="6" s="1"/>
  <c r="AH109" i="6"/>
  <c r="AD109" i="6"/>
  <c r="AF109" i="6" s="1"/>
  <c r="AH199" i="6"/>
  <c r="AD199" i="6"/>
  <c r="AF199" i="6" s="1"/>
  <c r="AH348" i="6"/>
  <c r="AD348" i="6"/>
  <c r="AH276" i="6"/>
  <c r="AD276" i="6"/>
  <c r="AF276" i="6" s="1"/>
  <c r="AH292" i="6"/>
  <c r="AD292" i="6"/>
  <c r="AF292" i="6" s="1"/>
  <c r="AH355" i="6"/>
  <c r="AD355" i="6"/>
  <c r="AF355" i="6" s="1"/>
  <c r="AH203" i="6"/>
  <c r="AD203" i="6"/>
  <c r="AF203" i="6" s="1"/>
  <c r="AH163" i="6"/>
  <c r="AD163" i="6"/>
  <c r="AF163" i="6" s="1"/>
  <c r="AH59" i="6"/>
  <c r="AD59" i="6"/>
  <c r="AF59" i="6" s="1"/>
  <c r="AH329" i="6"/>
  <c r="AD329" i="6"/>
  <c r="AF329" i="6" s="1"/>
  <c r="AH187" i="6"/>
  <c r="AD187" i="6"/>
  <c r="AF187" i="6" s="1"/>
  <c r="AH157" i="6"/>
  <c r="AD157" i="6"/>
  <c r="AF157" i="6" s="1"/>
  <c r="AH233" i="6"/>
  <c r="AD233" i="6"/>
  <c r="AF233" i="6" s="1"/>
  <c r="I91" i="6"/>
  <c r="I135" i="9"/>
  <c r="I183" i="6"/>
  <c r="I221" i="6"/>
  <c r="I275" i="9"/>
  <c r="G104" i="6"/>
  <c r="I309" i="6"/>
  <c r="G104" i="9"/>
  <c r="I334" i="9"/>
  <c r="I378" i="6"/>
  <c r="I69" i="6"/>
  <c r="I254" i="9"/>
  <c r="G341" i="9"/>
  <c r="I192" i="9"/>
  <c r="I107" i="6"/>
  <c r="I376" i="6"/>
  <c r="H341" i="27"/>
  <c r="I128" i="6"/>
  <c r="BE341" i="26"/>
  <c r="I93" i="9"/>
  <c r="I185" i="6"/>
  <c r="I231" i="6"/>
  <c r="I243" i="9"/>
  <c r="I120" i="6"/>
  <c r="I41" i="6"/>
  <c r="I294" i="6"/>
  <c r="I194" i="6"/>
  <c r="I140" i="6"/>
  <c r="I304" i="9"/>
  <c r="I364" i="9"/>
  <c r="I176" i="9"/>
  <c r="I150" i="9"/>
  <c r="I381" i="6"/>
  <c r="BE385" i="26"/>
  <c r="BF385" i="26" s="1"/>
  <c r="I89" i="9"/>
  <c r="I296" i="6"/>
  <c r="I21" i="9"/>
  <c r="I292" i="9"/>
  <c r="I31" i="9"/>
  <c r="I179" i="6"/>
  <c r="I99" i="9"/>
  <c r="G385" i="6"/>
  <c r="I170" i="9"/>
  <c r="I174" i="6"/>
  <c r="AC163" i="9"/>
  <c r="G163" i="9"/>
  <c r="BE163" i="26"/>
  <c r="BF163" i="26" s="1"/>
  <c r="G163" i="6"/>
  <c r="Z163" i="6"/>
  <c r="I163" i="9"/>
  <c r="I163" i="6"/>
  <c r="I260" i="6"/>
  <c r="I133" i="9"/>
  <c r="I285" i="9"/>
  <c r="I229" i="9"/>
  <c r="I197" i="6"/>
  <c r="I223" i="9"/>
  <c r="I43" i="6"/>
  <c r="I357" i="9"/>
  <c r="I113" i="9"/>
  <c r="I155" i="9"/>
  <c r="I167" i="6"/>
  <c r="I348" i="9"/>
  <c r="I227" i="6"/>
  <c r="I102" i="9"/>
  <c r="AI516" i="26"/>
  <c r="AK516" i="26" s="1"/>
  <c r="AR516" i="26" s="1"/>
  <c r="H471" i="9"/>
  <c r="AC471" i="9" s="1"/>
  <c r="AD471" i="9" s="1"/>
  <c r="AI513" i="26"/>
  <c r="AK513" i="26" s="1"/>
  <c r="AR513" i="26" s="1"/>
  <c r="AI511" i="26"/>
  <c r="AK511" i="26" s="1"/>
  <c r="AI507" i="26"/>
  <c r="AK507" i="26" s="1"/>
  <c r="AI501" i="26"/>
  <c r="AK501" i="26" s="1"/>
  <c r="S472" i="26"/>
  <c r="H460" i="6" s="1"/>
  <c r="AC460" i="6" s="1"/>
  <c r="AD460" i="6" s="1"/>
  <c r="R509" i="26"/>
  <c r="I471" i="9" s="1"/>
  <c r="S454" i="26"/>
  <c r="S417" i="26"/>
  <c r="R417" i="26" s="1"/>
  <c r="I415" i="9" s="1"/>
  <c r="AN533" i="26"/>
  <c r="AP533" i="26" s="1"/>
  <c r="AV533" i="26" s="1"/>
  <c r="S421" i="26"/>
  <c r="S517" i="26"/>
  <c r="R517" i="26" s="1"/>
  <c r="S495" i="26"/>
  <c r="I199" i="6"/>
  <c r="S493" i="26"/>
  <c r="S506" i="26"/>
  <c r="S522" i="26"/>
  <c r="G385" i="9"/>
  <c r="I270" i="6"/>
  <c r="I245" i="6"/>
  <c r="I210" i="9"/>
  <c r="I249" i="9"/>
  <c r="I63" i="6"/>
  <c r="S498" i="26"/>
  <c r="I238" i="6"/>
  <c r="S425" i="26"/>
  <c r="Q414" i="26"/>
  <c r="F414" i="9" s="1"/>
  <c r="Z414" i="9" s="1"/>
  <c r="AA414" i="9" s="1"/>
  <c r="S469" i="26"/>
  <c r="S450" i="26"/>
  <c r="BC366" i="10"/>
  <c r="BF366" i="10"/>
  <c r="AW537" i="26"/>
  <c r="AW533" i="26"/>
  <c r="Q533" i="26" s="1"/>
  <c r="AW529" i="26"/>
  <c r="Q529" i="26" s="1"/>
  <c r="F485" i="9" s="1"/>
  <c r="Z485" i="9" s="1"/>
  <c r="AA485" i="9" s="1"/>
  <c r="BC272" i="10"/>
  <c r="BF272" i="10"/>
  <c r="AM527" i="26"/>
  <c r="AO527" i="26" s="1"/>
  <c r="AN527" i="26" s="1"/>
  <c r="BF527" i="26" s="1"/>
  <c r="AS527" i="26"/>
  <c r="AN512" i="26"/>
  <c r="BF512" i="26" s="1"/>
  <c r="AM522" i="26"/>
  <c r="AO522" i="26" s="1"/>
  <c r="AN522" i="26" s="1"/>
  <c r="AS522" i="26"/>
  <c r="AW516" i="26"/>
  <c r="AW515" i="26"/>
  <c r="Q515" i="26" s="1"/>
  <c r="F492" i="6" s="1"/>
  <c r="Z492" i="6" s="1"/>
  <c r="AG492" i="6" s="1"/>
  <c r="AW513" i="26"/>
  <c r="AW512" i="26"/>
  <c r="Q512" i="26" s="1"/>
  <c r="F489" i="6" s="1"/>
  <c r="Z489" i="6" s="1"/>
  <c r="AG489" i="6" s="1"/>
  <c r="AW509" i="26"/>
  <c r="Q509" i="26" s="1"/>
  <c r="F487" i="6" s="1"/>
  <c r="Z487" i="6" s="1"/>
  <c r="AG487" i="6" s="1"/>
  <c r="AU495" i="26"/>
  <c r="Q495" i="26" s="1"/>
  <c r="AM510" i="26"/>
  <c r="AO510" i="26" s="1"/>
  <c r="AN510" i="26" s="1"/>
  <c r="BF510" i="26" s="1"/>
  <c r="AS510" i="26"/>
  <c r="AW505" i="26"/>
  <c r="Q505" i="26" s="1"/>
  <c r="F482" i="6" s="1"/>
  <c r="Z482" i="6" s="1"/>
  <c r="AG482" i="6" s="1"/>
  <c r="AM506" i="26"/>
  <c r="AO506" i="26" s="1"/>
  <c r="AS506" i="26"/>
  <c r="AW502" i="26"/>
  <c r="Q502" i="26" s="1"/>
  <c r="F480" i="6" s="1"/>
  <c r="Z480" i="6" s="1"/>
  <c r="AG480" i="6" s="1"/>
  <c r="AM495" i="26"/>
  <c r="AO495" i="26" s="1"/>
  <c r="AN495" i="26" s="1"/>
  <c r="AH498" i="26"/>
  <c r="AQ498" i="26"/>
  <c r="AM498" i="26"/>
  <c r="AS498" i="26"/>
  <c r="AM496" i="26"/>
  <c r="AO496" i="26" s="1"/>
  <c r="AN496" i="26" s="1"/>
  <c r="AP496" i="26" s="1"/>
  <c r="AS496" i="26"/>
  <c r="AH496" i="26"/>
  <c r="AQ496" i="26"/>
  <c r="AW486" i="26"/>
  <c r="Q486" i="26" s="1"/>
  <c r="F463" i="9" s="1"/>
  <c r="Z463" i="9" s="1"/>
  <c r="AA463" i="9" s="1"/>
  <c r="BC192" i="10"/>
  <c r="BF192" i="10"/>
  <c r="AI479" i="26"/>
  <c r="AK479" i="26" s="1"/>
  <c r="AV479" i="26" s="1"/>
  <c r="AW479" i="26"/>
  <c r="Q479" i="26" s="1"/>
  <c r="AJ477" i="26"/>
  <c r="AQ477" i="26"/>
  <c r="AI463" i="26"/>
  <c r="AK463" i="26" s="1"/>
  <c r="AV463" i="26" s="1"/>
  <c r="AW475" i="26"/>
  <c r="Q475" i="26" s="1"/>
  <c r="AU473" i="26"/>
  <c r="AQ473" i="26"/>
  <c r="AI458" i="26"/>
  <c r="AK458" i="26" s="1"/>
  <c r="AV458" i="26" s="1"/>
  <c r="AU472" i="26"/>
  <c r="AQ472" i="26"/>
  <c r="AJ469" i="26"/>
  <c r="AQ469" i="26"/>
  <c r="AW468" i="26"/>
  <c r="AW465" i="26"/>
  <c r="AW463" i="26"/>
  <c r="Q463" i="26" s="1"/>
  <c r="F446" i="9" s="1"/>
  <c r="AW460" i="26"/>
  <c r="BC117" i="10"/>
  <c r="BF117" i="10"/>
  <c r="AI448" i="26"/>
  <c r="AK448" i="26" s="1"/>
  <c r="AV448" i="26" s="1"/>
  <c r="AW458" i="26"/>
  <c r="Q458" i="26" s="1"/>
  <c r="AW457" i="26"/>
  <c r="Q457" i="26" s="1"/>
  <c r="AW455" i="26"/>
  <c r="Q455" i="26" s="1"/>
  <c r="AM454" i="26"/>
  <c r="AO454" i="26" s="1"/>
  <c r="AN454" i="26" s="1"/>
  <c r="BF454" i="26" s="1"/>
  <c r="AS454" i="26"/>
  <c r="AW453" i="26"/>
  <c r="Q453" i="26" s="1"/>
  <c r="F438" i="9" s="1"/>
  <c r="Z438" i="9" s="1"/>
  <c r="AA438" i="9" s="1"/>
  <c r="AJ450" i="26"/>
  <c r="AQ450" i="26"/>
  <c r="AW448" i="26"/>
  <c r="Q448" i="26" s="1"/>
  <c r="AW446" i="26"/>
  <c r="Q446" i="26" s="1"/>
  <c r="F439" i="6" s="1"/>
  <c r="AU445" i="26"/>
  <c r="AS445" i="26"/>
  <c r="AI446" i="26"/>
  <c r="AK446" i="26" s="1"/>
  <c r="AV446" i="26" s="1"/>
  <c r="AW443" i="26"/>
  <c r="AW440" i="26"/>
  <c r="AU439" i="26"/>
  <c r="AS439" i="26"/>
  <c r="BC89" i="10"/>
  <c r="BF89" i="10"/>
  <c r="AN434" i="26"/>
  <c r="BF434" i="26" s="1"/>
  <c r="AW437" i="26"/>
  <c r="AP431" i="26"/>
  <c r="AV431" i="26" s="1"/>
  <c r="AW434" i="26"/>
  <c r="Q434" i="26" s="1"/>
  <c r="F429" i="6" s="1"/>
  <c r="AW432" i="26"/>
  <c r="Q432" i="26" s="1"/>
  <c r="F427" i="6" s="1"/>
  <c r="Z427" i="6" s="1"/>
  <c r="AG427" i="6" s="1"/>
  <c r="AW431" i="26"/>
  <c r="Q431" i="26" s="1"/>
  <c r="AN414" i="26"/>
  <c r="AP414" i="26" s="1"/>
  <c r="AV414" i="26" s="1"/>
  <c r="AW430" i="26"/>
  <c r="Q430" i="26" s="1"/>
  <c r="F425" i="6" s="1"/>
  <c r="Z425" i="6" s="1"/>
  <c r="AG425" i="6" s="1"/>
  <c r="AT430" i="26"/>
  <c r="AX430" i="26" s="1"/>
  <c r="P430" i="26" s="1"/>
  <c r="AN426" i="26"/>
  <c r="BF426" i="26" s="1"/>
  <c r="AW426" i="26"/>
  <c r="Q426" i="26" s="1"/>
  <c r="AJ425" i="26"/>
  <c r="AQ425" i="26"/>
  <c r="AJ422" i="26"/>
  <c r="AQ422" i="26"/>
  <c r="AW421" i="26"/>
  <c r="AW420" i="26"/>
  <c r="Q420" i="26" s="1"/>
  <c r="AU417" i="26"/>
  <c r="AS417" i="26"/>
  <c r="BC16" i="10"/>
  <c r="BF16" i="10"/>
  <c r="AA481" i="6"/>
  <c r="AE481" i="6" s="1"/>
  <c r="AA477" i="6"/>
  <c r="AE477" i="6" s="1"/>
  <c r="AL296" i="10"/>
  <c r="AY414" i="10"/>
  <c r="AW296" i="10"/>
  <c r="AM414" i="10"/>
  <c r="AL14" i="10"/>
  <c r="AP14" i="10"/>
  <c r="AS296" i="10"/>
  <c r="J414" i="10"/>
  <c r="K414" i="10"/>
  <c r="AT14" i="10"/>
  <c r="G14" i="10"/>
  <c r="V414" i="10"/>
  <c r="AC414" i="10"/>
  <c r="O14" i="10"/>
  <c r="AM14" i="10"/>
  <c r="AI414" i="10"/>
  <c r="V14" i="10"/>
  <c r="AQ414" i="10"/>
  <c r="O414" i="10"/>
  <c r="Z14" i="10"/>
  <c r="M414" i="10"/>
  <c r="AX414" i="10"/>
  <c r="W414" i="10"/>
  <c r="AS14" i="10"/>
  <c r="Q414" i="10"/>
  <c r="N414" i="10"/>
  <c r="P14" i="10"/>
  <c r="AA414" i="10"/>
  <c r="K14" i="10"/>
  <c r="AA14" i="10"/>
  <c r="R14" i="10"/>
  <c r="AF14" i="10"/>
  <c r="P414" i="10"/>
  <c r="AP414" i="10"/>
  <c r="AK14" i="10"/>
  <c r="R414" i="10"/>
  <c r="AE14" i="10"/>
  <c r="U14" i="10"/>
  <c r="AG414" i="10"/>
  <c r="AV14" i="10"/>
  <c r="AN414" i="10"/>
  <c r="M14" i="10"/>
  <c r="Y14" i="10"/>
  <c r="N14" i="10"/>
  <c r="AY14" i="10"/>
  <c r="U414" i="10"/>
  <c r="AE414" i="10"/>
  <c r="L14" i="10"/>
  <c r="AS414" i="10"/>
  <c r="X414" i="10"/>
  <c r="AR14" i="10"/>
  <c r="W14" i="10"/>
  <c r="Q14" i="10"/>
  <c r="AQ14" i="10"/>
  <c r="AO414" i="10"/>
  <c r="AI14" i="10"/>
  <c r="AX14" i="10"/>
  <c r="AK414" i="10"/>
  <c r="AJ414" i="10"/>
  <c r="J14" i="10"/>
  <c r="AW14" i="10"/>
  <c r="AB14" i="10"/>
  <c r="AR414" i="10"/>
  <c r="AF414" i="10"/>
  <c r="T14" i="10"/>
  <c r="AJ14" i="10"/>
  <c r="AO14" i="10"/>
  <c r="Z414" i="10"/>
  <c r="AN14" i="10"/>
  <c r="AL414" i="10"/>
  <c r="AV414" i="10"/>
  <c r="AB414" i="10"/>
  <c r="L414" i="10"/>
  <c r="AT414" i="10"/>
  <c r="AH14" i="10"/>
  <c r="AC14" i="10"/>
  <c r="AH414" i="10"/>
  <c r="T414" i="10"/>
  <c r="AD414" i="10"/>
  <c r="Y414" i="10"/>
  <c r="X14" i="10"/>
  <c r="S14" i="10"/>
  <c r="AU414" i="10"/>
  <c r="AW414" i="10"/>
  <c r="S414" i="10"/>
  <c r="AD14" i="10"/>
  <c r="BD14" i="26"/>
  <c r="H412" i="9"/>
  <c r="AC412" i="9" s="1"/>
  <c r="AD412" i="9" s="1"/>
  <c r="H215" i="6"/>
  <c r="AC215" i="6" s="1"/>
  <c r="Q521" i="26"/>
  <c r="F495" i="6" s="1"/>
  <c r="Z495" i="6" s="1"/>
  <c r="AG495" i="6" s="1"/>
  <c r="H215" i="9"/>
  <c r="AC215" i="9" s="1"/>
  <c r="AW530" i="26"/>
  <c r="M296" i="10"/>
  <c r="P696" i="10"/>
  <c r="AG296" i="10"/>
  <c r="AM696" i="10"/>
  <c r="AH696" i="10"/>
  <c r="AG625" i="10"/>
  <c r="Y696" i="10"/>
  <c r="Q296" i="10"/>
  <c r="AR296" i="10"/>
  <c r="AN296" i="10"/>
  <c r="W296" i="10"/>
  <c r="Z696" i="10"/>
  <c r="AN696" i="10"/>
  <c r="I215" i="9"/>
  <c r="AN625" i="10"/>
  <c r="AH625" i="10"/>
  <c r="T696" i="10"/>
  <c r="Y296" i="10"/>
  <c r="M696" i="10"/>
  <c r="W696" i="10"/>
  <c r="AO696" i="10"/>
  <c r="S696" i="10"/>
  <c r="P225" i="10"/>
  <c r="I251" i="9"/>
  <c r="I251" i="6"/>
  <c r="AM520" i="26"/>
  <c r="AO520" i="26" s="1"/>
  <c r="AS520" i="26"/>
  <c r="AU517" i="26"/>
  <c r="AS517" i="26"/>
  <c r="H251" i="6"/>
  <c r="AC251" i="6" s="1"/>
  <c r="H251" i="9"/>
  <c r="AC251" i="9" s="1"/>
  <c r="AW412" i="26"/>
  <c r="Q412" i="26" s="1"/>
  <c r="F412" i="9" s="1"/>
  <c r="Z412" i="9" s="1"/>
  <c r="AA412" i="9" s="1"/>
  <c r="AI646" i="10"/>
  <c r="AD646" i="10"/>
  <c r="AS646" i="10"/>
  <c r="AJ646" i="10"/>
  <c r="AL246" i="10"/>
  <c r="AD423" i="9"/>
  <c r="AH423" i="9"/>
  <c r="R430" i="26"/>
  <c r="I423" i="9" s="1"/>
  <c r="H425" i="6"/>
  <c r="AC425" i="6" s="1"/>
  <c r="H412" i="6"/>
  <c r="AC412" i="6" s="1"/>
  <c r="AD412" i="6" s="1"/>
  <c r="H428" i="9"/>
  <c r="AC428" i="9" s="1"/>
  <c r="H477" i="6"/>
  <c r="AC477" i="6" s="1"/>
  <c r="AD477" i="6" s="1"/>
  <c r="AH487" i="6"/>
  <c r="AH504" i="6"/>
  <c r="AH481" i="6"/>
  <c r="AH427" i="6"/>
  <c r="AH462" i="6"/>
  <c r="AK296" i="10"/>
  <c r="AE696" i="10"/>
  <c r="AK696" i="10"/>
  <c r="K296" i="10"/>
  <c r="L696" i="10"/>
  <c r="AT696" i="10"/>
  <c r="AD696" i="10"/>
  <c r="J296" i="10"/>
  <c r="AU696" i="10"/>
  <c r="L296" i="10"/>
  <c r="AT296" i="10"/>
  <c r="N296" i="10"/>
  <c r="AY296" i="10"/>
  <c r="AM296" i="10"/>
  <c r="AC696" i="10"/>
  <c r="AO296" i="10"/>
  <c r="AL696" i="10"/>
  <c r="AH296" i="10"/>
  <c r="AV296" i="10"/>
  <c r="AQ296" i="10"/>
  <c r="AB696" i="10"/>
  <c r="V225" i="10"/>
  <c r="Q625" i="10"/>
  <c r="AA225" i="10"/>
  <c r="P625" i="10"/>
  <c r="K625" i="10"/>
  <c r="AY625" i="10"/>
  <c r="AC414" i="9"/>
  <c r="AD414" i="9" s="1"/>
  <c r="Z487" i="9"/>
  <c r="AA487" i="9" s="1"/>
  <c r="Z466" i="6"/>
  <c r="AG466" i="6" s="1"/>
  <c r="Z504" i="6"/>
  <c r="AG504" i="6" s="1"/>
  <c r="V296" i="10"/>
  <c r="AJ296" i="10"/>
  <c r="U296" i="10"/>
  <c r="AS696" i="10"/>
  <c r="AR696" i="10"/>
  <c r="T625" i="10"/>
  <c r="AS225" i="10"/>
  <c r="N225" i="10"/>
  <c r="AC625" i="10"/>
  <c r="K225" i="10"/>
  <c r="Z433" i="9"/>
  <c r="AA433" i="9" s="1"/>
  <c r="AP696" i="10"/>
  <c r="K696" i="10"/>
  <c r="AE296" i="10"/>
  <c r="AF696" i="10"/>
  <c r="X296" i="10"/>
  <c r="Q696" i="10"/>
  <c r="AV696" i="10"/>
  <c r="AX696" i="10"/>
  <c r="Z296" i="10"/>
  <c r="AP296" i="10"/>
  <c r="N696" i="10"/>
  <c r="AA696" i="10"/>
  <c r="AQ696" i="10"/>
  <c r="AJ696" i="10"/>
  <c r="U696" i="10"/>
  <c r="Z451" i="6"/>
  <c r="AG451" i="6" s="1"/>
  <c r="AG696" i="10"/>
  <c r="P296" i="10"/>
  <c r="R696" i="10"/>
  <c r="AX296" i="10"/>
  <c r="T296" i="10"/>
  <c r="AB296" i="10"/>
  <c r="R296" i="10"/>
  <c r="X696" i="10"/>
  <c r="O696" i="10"/>
  <c r="V696" i="10"/>
  <c r="AW696" i="10"/>
  <c r="AC296" i="10"/>
  <c r="AY696" i="10"/>
  <c r="AF296" i="10"/>
  <c r="O296" i="10"/>
  <c r="AD296" i="10"/>
  <c r="AI296" i="10"/>
  <c r="AI696" i="10"/>
  <c r="J696" i="10"/>
  <c r="AA296" i="10"/>
  <c r="O625" i="10"/>
  <c r="Y625" i="10"/>
  <c r="AX625" i="10"/>
  <c r="S225" i="10"/>
  <c r="AB225" i="10"/>
  <c r="AF625" i="10"/>
  <c r="AV225" i="10"/>
  <c r="Y225" i="10"/>
  <c r="AC446" i="9"/>
  <c r="AD446" i="9" s="1"/>
  <c r="AP625" i="10"/>
  <c r="AP225" i="10"/>
  <c r="V625" i="10"/>
  <c r="AJ225" i="10"/>
  <c r="U625" i="10"/>
  <c r="AH225" i="10"/>
  <c r="AR225" i="10"/>
  <c r="AF225" i="10"/>
  <c r="J625" i="10"/>
  <c r="AQ625" i="10"/>
  <c r="T225" i="10"/>
  <c r="AW225" i="10"/>
  <c r="AS625" i="10"/>
  <c r="AE225" i="10"/>
  <c r="W225" i="10"/>
  <c r="R225" i="10"/>
  <c r="AN225" i="10"/>
  <c r="AJ625" i="10"/>
  <c r="AX225" i="10"/>
  <c r="X225" i="10"/>
  <c r="AV625" i="10"/>
  <c r="AU625" i="10"/>
  <c r="AD625" i="10"/>
  <c r="AE625" i="10"/>
  <c r="AQ225" i="10"/>
  <c r="S625" i="10"/>
  <c r="AT625" i="10"/>
  <c r="AM225" i="10"/>
  <c r="N625" i="10"/>
  <c r="U225" i="10"/>
  <c r="AM625" i="10"/>
  <c r="AT225" i="10"/>
  <c r="O225" i="10"/>
  <c r="T643" i="10"/>
  <c r="M225" i="10"/>
  <c r="Z225" i="10"/>
  <c r="AK225" i="10"/>
  <c r="AB625" i="10"/>
  <c r="AI225" i="10"/>
  <c r="AA625" i="10"/>
  <c r="AW625" i="10"/>
  <c r="AK625" i="10"/>
  <c r="Z625" i="10"/>
  <c r="AO625" i="10"/>
  <c r="AL225" i="10"/>
  <c r="AO225" i="10"/>
  <c r="L625" i="10"/>
  <c r="L225" i="10"/>
  <c r="AL625" i="10"/>
  <c r="AR625" i="10"/>
  <c r="AG225" i="10"/>
  <c r="AY225" i="10"/>
  <c r="X625" i="10"/>
  <c r="R625" i="10"/>
  <c r="AI625" i="10"/>
  <c r="M625" i="10"/>
  <c r="AD225" i="10"/>
  <c r="W625" i="10"/>
  <c r="Q225" i="10"/>
  <c r="J225" i="10"/>
  <c r="K646" i="10"/>
  <c r="AY646" i="10"/>
  <c r="AI246" i="10"/>
  <c r="AT246" i="10"/>
  <c r="AP646" i="10"/>
  <c r="AU646" i="10"/>
  <c r="T246" i="10"/>
  <c r="AA246" i="10"/>
  <c r="AM246" i="10"/>
  <c r="O646" i="10"/>
  <c r="Z646" i="10"/>
  <c r="AD246" i="10"/>
  <c r="AH646" i="10"/>
  <c r="AY246" i="10"/>
  <c r="AS246" i="10"/>
  <c r="R422" i="26"/>
  <c r="AM646" i="10"/>
  <c r="AG246" i="10"/>
  <c r="AR246" i="10"/>
  <c r="AO646" i="10"/>
  <c r="AV646" i="10"/>
  <c r="W246" i="10"/>
  <c r="L646" i="10"/>
  <c r="J246" i="10"/>
  <c r="N246" i="10"/>
  <c r="Q646" i="10"/>
  <c r="AW246" i="10"/>
  <c r="T646" i="10"/>
  <c r="AC246" i="10"/>
  <c r="V646" i="10"/>
  <c r="AK246" i="10"/>
  <c r="S246" i="10"/>
  <c r="X646" i="10"/>
  <c r="AQ646" i="10"/>
  <c r="AR646" i="10"/>
  <c r="AN248" i="10"/>
  <c r="J248" i="10"/>
  <c r="AW248" i="10"/>
  <c r="AV648" i="10"/>
  <c r="AF646" i="10"/>
  <c r="U246" i="10"/>
  <c r="O246" i="10"/>
  <c r="AL646" i="10"/>
  <c r="AX646" i="10"/>
  <c r="AW646" i="10"/>
  <c r="M646" i="10"/>
  <c r="X246" i="10"/>
  <c r="Y246" i="10"/>
  <c r="R246" i="10"/>
  <c r="J646" i="10"/>
  <c r="Y646" i="10"/>
  <c r="V246" i="10"/>
  <c r="AW648" i="10"/>
  <c r="AE646" i="10"/>
  <c r="Z246" i="10"/>
  <c r="U646" i="10"/>
  <c r="AJ246" i="10"/>
  <c r="P246" i="10"/>
  <c r="AC646" i="10"/>
  <c r="AQ246" i="10"/>
  <c r="AF246" i="10"/>
  <c r="M246" i="10"/>
  <c r="AP246" i="10"/>
  <c r="AG646" i="10"/>
  <c r="AE246" i="10"/>
  <c r="AB646" i="10"/>
  <c r="R646" i="10"/>
  <c r="AH246" i="10"/>
  <c r="AB246" i="10"/>
  <c r="N646" i="10"/>
  <c r="AA646" i="10"/>
  <c r="S646" i="10"/>
  <c r="AV246" i="10"/>
  <c r="AN246" i="10"/>
  <c r="AX246" i="10"/>
  <c r="AN646" i="10"/>
  <c r="U248" i="10"/>
  <c r="Q246" i="10"/>
  <c r="AT646" i="10"/>
  <c r="L246" i="10"/>
  <c r="AK646" i="10"/>
  <c r="W646" i="10"/>
  <c r="K246" i="10"/>
  <c r="AO246" i="10"/>
  <c r="X248" i="10"/>
  <c r="AC248" i="10"/>
  <c r="L248" i="10"/>
  <c r="S648" i="10"/>
  <c r="Q648" i="10"/>
  <c r="AR648" i="10"/>
  <c r="AF648" i="10"/>
  <c r="AS648" i="10"/>
  <c r="AB248" i="10"/>
  <c r="T248" i="10"/>
  <c r="AK648" i="10"/>
  <c r="R648" i="10"/>
  <c r="X648" i="10"/>
  <c r="AB648" i="10"/>
  <c r="V648" i="10"/>
  <c r="AJ648" i="10"/>
  <c r="P248" i="10"/>
  <c r="AQ648" i="10"/>
  <c r="P648" i="10"/>
  <c r="Z648" i="10"/>
  <c r="K648" i="10"/>
  <c r="M648" i="10"/>
  <c r="AA248" i="10"/>
  <c r="O648" i="10"/>
  <c r="AY248" i="10"/>
  <c r="W248" i="10"/>
  <c r="T648" i="10"/>
  <c r="AO648" i="10"/>
  <c r="Y648" i="10"/>
  <c r="AO248" i="10"/>
  <c r="AU648" i="10"/>
  <c r="AL648" i="10"/>
  <c r="O248" i="10"/>
  <c r="AL248" i="10"/>
  <c r="AX648" i="10"/>
  <c r="L648" i="10"/>
  <c r="K248" i="10"/>
  <c r="AV248" i="10"/>
  <c r="AK248" i="10"/>
  <c r="Y248" i="10"/>
  <c r="AR248" i="10"/>
  <c r="Q248" i="10"/>
  <c r="AG648" i="10"/>
  <c r="J648" i="10"/>
  <c r="AM248" i="10"/>
  <c r="AX248" i="10"/>
  <c r="AG248" i="10"/>
  <c r="N248" i="10"/>
  <c r="AE648" i="10"/>
  <c r="U648" i="10"/>
  <c r="M248" i="10"/>
  <c r="AH248" i="10"/>
  <c r="W648" i="10"/>
  <c r="AF248" i="10"/>
  <c r="AY648" i="10"/>
  <c r="AA648" i="10"/>
  <c r="R248" i="10"/>
  <c r="AI648" i="10"/>
  <c r="AQ248" i="10"/>
  <c r="AM648" i="10"/>
  <c r="AH648" i="10"/>
  <c r="AT248" i="10"/>
  <c r="AC648" i="10"/>
  <c r="AI248" i="10"/>
  <c r="AN648" i="10"/>
  <c r="AT648" i="10"/>
  <c r="AE248" i="10"/>
  <c r="AJ248" i="10"/>
  <c r="N648" i="10"/>
  <c r="AP248" i="10"/>
  <c r="V248" i="10"/>
  <c r="AP648" i="10"/>
  <c r="S248" i="10"/>
  <c r="AD248" i="10"/>
  <c r="AD648" i="10"/>
  <c r="Z248" i="10"/>
  <c r="BD233" i="26"/>
  <c r="BF233" i="26" s="1"/>
  <c r="V233" i="27"/>
  <c r="AA233" i="27" s="1"/>
  <c r="AC613" i="10"/>
  <c r="AT213" i="10"/>
  <c r="AH220" i="10"/>
  <c r="S220" i="10"/>
  <c r="T220" i="10"/>
  <c r="U620" i="10"/>
  <c r="X220" i="10"/>
  <c r="F304" i="10"/>
  <c r="AJ304" i="10" s="1"/>
  <c r="AC213" i="10"/>
  <c r="R213" i="10"/>
  <c r="AM726" i="10"/>
  <c r="Q213" i="10"/>
  <c r="Z613" i="10"/>
  <c r="AG613" i="10"/>
  <c r="AY613" i="10"/>
  <c r="Y613" i="10"/>
  <c r="Y213" i="10"/>
  <c r="N228" i="26"/>
  <c r="BD228" i="26" s="1"/>
  <c r="BD255" i="26"/>
  <c r="BF255" i="26" s="1"/>
  <c r="F244" i="10"/>
  <c r="L244" i="10" s="1"/>
  <c r="AI620" i="10"/>
  <c r="AR220" i="10"/>
  <c r="M220" i="10"/>
  <c r="W234" i="27"/>
  <c r="E234" i="27" s="1"/>
  <c r="AT620" i="10"/>
  <c r="AC220" i="10"/>
  <c r="Y220" i="10"/>
  <c r="F231" i="10"/>
  <c r="S631" i="10" s="1"/>
  <c r="R620" i="10"/>
  <c r="AU643" i="10"/>
  <c r="AY220" i="10"/>
  <c r="F247" i="10"/>
  <c r="AW647" i="10" s="1"/>
  <c r="AT220" i="10"/>
  <c r="W231" i="27"/>
  <c r="E231" i="27" s="1"/>
  <c r="AR620" i="10"/>
  <c r="Y620" i="10"/>
  <c r="F227" i="10"/>
  <c r="AM227" i="10" s="1"/>
  <c r="W247" i="27"/>
  <c r="E247" i="27" s="1"/>
  <c r="U220" i="10"/>
  <c r="T620" i="10"/>
  <c r="AU620" i="10"/>
  <c r="AE220" i="10"/>
  <c r="AY620" i="10"/>
  <c r="AJ220" i="10"/>
  <c r="AW249" i="10"/>
  <c r="N249" i="10"/>
  <c r="N649" i="10"/>
  <c r="AH649" i="10"/>
  <c r="Z649" i="10"/>
  <c r="AX649" i="10"/>
  <c r="S649" i="10"/>
  <c r="AB649" i="10"/>
  <c r="S249" i="10"/>
  <c r="W649" i="10"/>
  <c r="AO249" i="10"/>
  <c r="AQ249" i="10"/>
  <c r="AI249" i="10"/>
  <c r="AH249" i="10"/>
  <c r="AN249" i="10"/>
  <c r="N223" i="26"/>
  <c r="G223" i="10" s="1"/>
  <c r="AE249" i="10"/>
  <c r="AJ649" i="10"/>
  <c r="Q649" i="10"/>
  <c r="K249" i="10"/>
  <c r="W249" i="10"/>
  <c r="W245" i="27"/>
  <c r="E245" i="27" s="1"/>
  <c r="J649" i="10"/>
  <c r="M649" i="10"/>
  <c r="AI649" i="10"/>
  <c r="AT249" i="10"/>
  <c r="AA649" i="10"/>
  <c r="T649" i="10"/>
  <c r="O249" i="10"/>
  <c r="AS249" i="10"/>
  <c r="AM649" i="10"/>
  <c r="AM249" i="10"/>
  <c r="V249" i="10"/>
  <c r="L249" i="10"/>
  <c r="AY649" i="10"/>
  <c r="Y649" i="10"/>
  <c r="O649" i="10"/>
  <c r="AK649" i="10"/>
  <c r="AR649" i="10"/>
  <c r="AR249" i="10"/>
  <c r="AW649" i="10"/>
  <c r="K779" i="10"/>
  <c r="X379" i="10"/>
  <c r="AM379" i="10"/>
  <c r="W254" i="27"/>
  <c r="E254" i="27" s="1"/>
  <c r="M249" i="10"/>
  <c r="AP649" i="10"/>
  <c r="AU649" i="10"/>
  <c r="AT649" i="10"/>
  <c r="U649" i="10"/>
  <c r="X649" i="10"/>
  <c r="AJ249" i="10"/>
  <c r="L649" i="10"/>
  <c r="AD249" i="10"/>
  <c r="AG249" i="10"/>
  <c r="AQ649" i="10"/>
  <c r="AC649" i="10"/>
  <c r="R249" i="10"/>
  <c r="AA249" i="10"/>
  <c r="P649" i="10"/>
  <c r="Q249" i="10"/>
  <c r="AK249" i="10"/>
  <c r="K649" i="10"/>
  <c r="U249" i="10"/>
  <c r="AB249" i="10"/>
  <c r="AQ379" i="10"/>
  <c r="Y249" i="10"/>
  <c r="AS649" i="10"/>
  <c r="AV649" i="10"/>
  <c r="R649" i="10"/>
  <c r="AN649" i="10"/>
  <c r="AC249" i="10"/>
  <c r="AX249" i="10"/>
  <c r="AO649" i="10"/>
  <c r="P249" i="10"/>
  <c r="AF249" i="10"/>
  <c r="Z249" i="10"/>
  <c r="AL249" i="10"/>
  <c r="X249" i="10"/>
  <c r="V649" i="10"/>
  <c r="AY249" i="10"/>
  <c r="T249" i="10"/>
  <c r="AV249" i="10"/>
  <c r="AD649" i="10"/>
  <c r="J249" i="10"/>
  <c r="AG649" i="10"/>
  <c r="AF649" i="10"/>
  <c r="AP249" i="10"/>
  <c r="AL649" i="10"/>
  <c r="F254" i="10"/>
  <c r="Q654" i="10" s="1"/>
  <c r="AF243" i="10"/>
  <c r="R243" i="10"/>
  <c r="AN243" i="10"/>
  <c r="AY243" i="10"/>
  <c r="AA643" i="10"/>
  <c r="AJ226" i="10"/>
  <c r="AC643" i="10"/>
  <c r="R643" i="10"/>
  <c r="N243" i="10"/>
  <c r="AP643" i="10"/>
  <c r="AV643" i="10"/>
  <c r="L243" i="10"/>
  <c r="V248" i="27"/>
  <c r="AR626" i="10"/>
  <c r="AL243" i="10"/>
  <c r="AM643" i="10"/>
  <c r="P643" i="10"/>
  <c r="Q243" i="10"/>
  <c r="Y643" i="10"/>
  <c r="S643" i="10"/>
  <c r="AD243" i="10"/>
  <c r="AD643" i="10"/>
  <c r="AS643" i="10"/>
  <c r="R220" i="26"/>
  <c r="I220" i="6" s="1"/>
  <c r="Q626" i="10"/>
  <c r="AP243" i="10"/>
  <c r="Z243" i="10"/>
  <c r="AX243" i="10"/>
  <c r="AE243" i="10"/>
  <c r="J643" i="10"/>
  <c r="AH243" i="10"/>
  <c r="K643" i="10"/>
  <c r="AO643" i="10"/>
  <c r="Y243" i="10"/>
  <c r="AO626" i="10"/>
  <c r="X643" i="10"/>
  <c r="AC243" i="10"/>
  <c r="Z643" i="10"/>
  <c r="AY643" i="10"/>
  <c r="AK243" i="10"/>
  <c r="AQ243" i="10"/>
  <c r="AG643" i="10"/>
  <c r="AK643" i="10"/>
  <c r="V643" i="10"/>
  <c r="M243" i="10"/>
  <c r="V255" i="27"/>
  <c r="AA255" i="27" s="1"/>
  <c r="AG220" i="10"/>
  <c r="AS220" i="10"/>
  <c r="AK620" i="10"/>
  <c r="AX220" i="10"/>
  <c r="Q620" i="10"/>
  <c r="AW220" i="10"/>
  <c r="J220" i="10"/>
  <c r="AK220" i="10"/>
  <c r="AQ220" i="10"/>
  <c r="O220" i="10"/>
  <c r="AS620" i="10"/>
  <c r="R220" i="10"/>
  <c r="V620" i="10"/>
  <c r="K620" i="10"/>
  <c r="AN220" i="10"/>
  <c r="AM220" i="10"/>
  <c r="V304" i="27"/>
  <c r="AQ620" i="10"/>
  <c r="AF620" i="10"/>
  <c r="M620" i="10"/>
  <c r="G304" i="10"/>
  <c r="N232" i="26"/>
  <c r="BD232" i="26" s="1"/>
  <c r="W232" i="27"/>
  <c r="E232" i="27" s="1"/>
  <c r="AO620" i="10"/>
  <c r="F228" i="10"/>
  <c r="AX628" i="10" s="1"/>
  <c r="W620" i="10"/>
  <c r="N244" i="26"/>
  <c r="BD244" i="26" s="1"/>
  <c r="AH620" i="10"/>
  <c r="Q220" i="10"/>
  <c r="AO220" i="10"/>
  <c r="L620" i="10"/>
  <c r="V220" i="10"/>
  <c r="AF220" i="10"/>
  <c r="K220" i="10"/>
  <c r="O620" i="10"/>
  <c r="AL620" i="10"/>
  <c r="P620" i="10"/>
  <c r="N234" i="26"/>
  <c r="BD234" i="26" s="1"/>
  <c r="AL220" i="10"/>
  <c r="AA620" i="10"/>
  <c r="AG620" i="10"/>
  <c r="AV620" i="10"/>
  <c r="AD620" i="10"/>
  <c r="AA220" i="10"/>
  <c r="AP620" i="10"/>
  <c r="W304" i="27"/>
  <c r="E304" i="27" s="1"/>
  <c r="AI220" i="10"/>
  <c r="AC620" i="10"/>
  <c r="AB220" i="10"/>
  <c r="AD220" i="10"/>
  <c r="N227" i="26"/>
  <c r="G227" i="10" s="1"/>
  <c r="N220" i="26"/>
  <c r="V220" i="27" s="1"/>
  <c r="F239" i="10"/>
  <c r="AA639" i="10" s="1"/>
  <c r="AV220" i="10"/>
  <c r="Z220" i="10"/>
  <c r="N620" i="10"/>
  <c r="X620" i="10"/>
  <c r="L220" i="10"/>
  <c r="W220" i="10"/>
  <c r="J620" i="10"/>
  <c r="AJ620" i="10"/>
  <c r="AN620" i="10"/>
  <c r="P220" i="10"/>
  <c r="N220" i="10"/>
  <c r="S620" i="10"/>
  <c r="AB620" i="10"/>
  <c r="AP220" i="10"/>
  <c r="Z620" i="10"/>
  <c r="AE620" i="10"/>
  <c r="AW620" i="10"/>
  <c r="AM620" i="10"/>
  <c r="AX213" i="10"/>
  <c r="AJ213" i="10"/>
  <c r="AG213" i="10"/>
  <c r="U213" i="10"/>
  <c r="AA213" i="10"/>
  <c r="AF213" i="10"/>
  <c r="O213" i="10"/>
  <c r="AS613" i="10"/>
  <c r="V613" i="10"/>
  <c r="AY213" i="10"/>
  <c r="L213" i="10"/>
  <c r="AW213" i="10"/>
  <c r="AK613" i="10"/>
  <c r="O613" i="10"/>
  <c r="AB613" i="10"/>
  <c r="L613" i="10"/>
  <c r="AI213" i="10"/>
  <c r="AK213" i="10"/>
  <c r="AD213" i="10"/>
  <c r="AO213" i="10"/>
  <c r="AR213" i="10"/>
  <c r="X213" i="10"/>
  <c r="AD613" i="10"/>
  <c r="K613" i="10"/>
  <c r="P613" i="10"/>
  <c r="AH213" i="10"/>
  <c r="AF613" i="10"/>
  <c r="V213" i="10"/>
  <c r="AR613" i="10"/>
  <c r="AN213" i="10"/>
  <c r="Z213" i="10"/>
  <c r="P214" i="26"/>
  <c r="X214" i="27" s="1"/>
  <c r="AB214" i="27" s="1"/>
  <c r="F214" i="6"/>
  <c r="Z214" i="6" s="1"/>
  <c r="F214" i="9"/>
  <c r="Y214" i="27"/>
  <c r="G214" i="27" s="1"/>
  <c r="W220" i="27"/>
  <c r="E220" i="27" s="1"/>
  <c r="W239" i="27"/>
  <c r="E239" i="27" s="1"/>
  <c r="F304" i="9"/>
  <c r="F216" i="10"/>
  <c r="Z216" i="10" s="1"/>
  <c r="Y304" i="27"/>
  <c r="G304" i="27" s="1"/>
  <c r="AN613" i="10"/>
  <c r="AE213" i="10"/>
  <c r="S213" i="10"/>
  <c r="T613" i="10"/>
  <c r="AX613" i="10"/>
  <c r="K213" i="10"/>
  <c r="W213" i="10"/>
  <c r="J613" i="10"/>
  <c r="AH613" i="10"/>
  <c r="AU613" i="10"/>
  <c r="Q613" i="10"/>
  <c r="AT613" i="10"/>
  <c r="AL213" i="10"/>
  <c r="R613" i="10"/>
  <c r="AJ613" i="10"/>
  <c r="AP613" i="10"/>
  <c r="AV213" i="10"/>
  <c r="X613" i="10"/>
  <c r="AW613" i="10"/>
  <c r="P213" i="10"/>
  <c r="AQ613" i="10"/>
  <c r="AY226" i="10"/>
  <c r="M626" i="10"/>
  <c r="P243" i="10"/>
  <c r="U643" i="10"/>
  <c r="Q643" i="10"/>
  <c r="AR243" i="10"/>
  <c r="V243" i="10"/>
  <c r="X243" i="10"/>
  <c r="K243" i="10"/>
  <c r="AJ643" i="10"/>
  <c r="AS243" i="10"/>
  <c r="AW243" i="10"/>
  <c r="AO243" i="10"/>
  <c r="AR643" i="10"/>
  <c r="AX643" i="10"/>
  <c r="AT643" i="10"/>
  <c r="W643" i="10"/>
  <c r="AQ643" i="10"/>
  <c r="J243" i="10"/>
  <c r="AW643" i="10"/>
  <c r="AT243" i="10"/>
  <c r="AS213" i="10"/>
  <c r="M613" i="10"/>
  <c r="S613" i="10"/>
  <c r="N213" i="10"/>
  <c r="AA613" i="10"/>
  <c r="U613" i="10"/>
  <c r="J213" i="10"/>
  <c r="T213" i="10"/>
  <c r="AQ213" i="10"/>
  <c r="AL613" i="10"/>
  <c r="AM213" i="10"/>
  <c r="W613" i="10"/>
  <c r="AI613" i="10"/>
  <c r="AB213" i="10"/>
  <c r="AE613" i="10"/>
  <c r="N613" i="10"/>
  <c r="AV613" i="10"/>
  <c r="AP213" i="10"/>
  <c r="AM613" i="10"/>
  <c r="AO613" i="10"/>
  <c r="BD248" i="26"/>
  <c r="AW226" i="10"/>
  <c r="AB226" i="10"/>
  <c r="AJ243" i="10"/>
  <c r="AA243" i="10"/>
  <c r="AV243" i="10"/>
  <c r="AF643" i="10"/>
  <c r="T243" i="10"/>
  <c r="O643" i="10"/>
  <c r="AE643" i="10"/>
  <c r="AG243" i="10"/>
  <c r="AL643" i="10"/>
  <c r="AI243" i="10"/>
  <c r="AI643" i="10"/>
  <c r="AB243" i="10"/>
  <c r="AM243" i="10"/>
  <c r="AB643" i="10"/>
  <c r="W243" i="10"/>
  <c r="M643" i="10"/>
  <c r="L643" i="10"/>
  <c r="AH643" i="10"/>
  <c r="N643" i="10"/>
  <c r="U243" i="10"/>
  <c r="S243" i="10"/>
  <c r="AN643" i="10"/>
  <c r="AJ779" i="10"/>
  <c r="O379" i="10"/>
  <c r="N379" i="10"/>
  <c r="AI379" i="10"/>
  <c r="M779" i="10"/>
  <c r="AL779" i="10"/>
  <c r="AN379" i="10"/>
  <c r="Y379" i="10"/>
  <c r="AO779" i="10"/>
  <c r="V379" i="10"/>
  <c r="AH379" i="10"/>
  <c r="AQ779" i="10"/>
  <c r="AR379" i="10"/>
  <c r="S779" i="10"/>
  <c r="Q379" i="10"/>
  <c r="Y779" i="10"/>
  <c r="J779" i="10"/>
  <c r="AS779" i="10"/>
  <c r="AK779" i="10"/>
  <c r="AM779" i="10"/>
  <c r="AA379" i="10"/>
  <c r="AT779" i="10"/>
  <c r="AH779" i="10"/>
  <c r="AV779" i="10"/>
  <c r="X779" i="10"/>
  <c r="AI779" i="10"/>
  <c r="P379" i="10"/>
  <c r="M379" i="10"/>
  <c r="AG779" i="10"/>
  <c r="R779" i="10"/>
  <c r="AP779" i="10"/>
  <c r="N779" i="10"/>
  <c r="AK379" i="10"/>
  <c r="V779" i="10"/>
  <c r="AF379" i="10"/>
  <c r="AE379" i="10"/>
  <c r="AC779" i="10"/>
  <c r="Z379" i="10"/>
  <c r="J379" i="10"/>
  <c r="Q779" i="10"/>
  <c r="AA779" i="10"/>
  <c r="AW779" i="10"/>
  <c r="P779" i="10"/>
  <c r="AT379" i="10"/>
  <c r="AX779" i="10"/>
  <c r="AC379" i="10"/>
  <c r="AU779" i="10"/>
  <c r="Z779" i="10"/>
  <c r="AL379" i="10"/>
  <c r="AB779" i="10"/>
  <c r="AF779" i="10"/>
  <c r="AD779" i="10"/>
  <c r="AN779" i="10"/>
  <c r="L379" i="10"/>
  <c r="L779" i="10"/>
  <c r="U379" i="10"/>
  <c r="AV379" i="10"/>
  <c r="K379" i="10"/>
  <c r="T379" i="10"/>
  <c r="G254" i="10"/>
  <c r="N245" i="26"/>
  <c r="BD245" i="26" s="1"/>
  <c r="R379" i="10"/>
  <c r="AD379" i="10"/>
  <c r="AX379" i="10"/>
  <c r="AE779" i="10"/>
  <c r="V254" i="27"/>
  <c r="W223" i="27"/>
  <c r="E223" i="27" s="1"/>
  <c r="O779" i="10"/>
  <c r="AS379" i="10"/>
  <c r="AR779" i="10"/>
  <c r="W379" i="10"/>
  <c r="AO379" i="10"/>
  <c r="AJ379" i="10"/>
  <c r="AY779" i="10"/>
  <c r="W215" i="27"/>
  <c r="E215" i="27" s="1"/>
  <c r="N215" i="26"/>
  <c r="V215" i="27" s="1"/>
  <c r="AA215" i="27" s="1"/>
  <c r="F215" i="10"/>
  <c r="AU615" i="10" s="1"/>
  <c r="W229" i="27"/>
  <c r="E229" i="27" s="1"/>
  <c r="N229" i="26"/>
  <c r="V229" i="27" s="1"/>
  <c r="AA229" i="27" s="1"/>
  <c r="F229" i="10"/>
  <c r="X229" i="10" s="1"/>
  <c r="F230" i="10"/>
  <c r="N230" i="26"/>
  <c r="V230" i="27" s="1"/>
  <c r="AA230" i="27" s="1"/>
  <c r="W230" i="27"/>
  <c r="E230" i="27" s="1"/>
  <c r="G213" i="10"/>
  <c r="BD213" i="26"/>
  <c r="F238" i="10"/>
  <c r="N238" i="26"/>
  <c r="BD238" i="26" s="1"/>
  <c r="W237" i="27"/>
  <c r="E237" i="27" s="1"/>
  <c r="F237" i="10"/>
  <c r="Z637" i="10" s="1"/>
  <c r="AY379" i="10"/>
  <c r="AW379" i="10"/>
  <c r="AB379" i="10"/>
  <c r="U779" i="10"/>
  <c r="AG379" i="10"/>
  <c r="W779" i="10"/>
  <c r="T779" i="10"/>
  <c r="S379" i="10"/>
  <c r="AU497" i="26"/>
  <c r="Q497" i="26" s="1"/>
  <c r="F475" i="6" s="1"/>
  <c r="X685" i="10"/>
  <c r="H220" i="6"/>
  <c r="AC220" i="6" s="1"/>
  <c r="AU498" i="26"/>
  <c r="S626" i="10"/>
  <c r="AL226" i="10"/>
  <c r="AG626" i="10"/>
  <c r="AN226" i="10"/>
  <c r="AI226" i="10"/>
  <c r="G379" i="10"/>
  <c r="F254" i="9"/>
  <c r="AV626" i="10"/>
  <c r="AA626" i="10"/>
  <c r="AO226" i="10"/>
  <c r="AT626" i="10"/>
  <c r="AP626" i="10"/>
  <c r="AG226" i="10"/>
  <c r="BD379" i="26"/>
  <c r="BE254" i="26"/>
  <c r="BF254" i="26" s="1"/>
  <c r="P626" i="10"/>
  <c r="Y254" i="27"/>
  <c r="G254" i="27" s="1"/>
  <c r="N216" i="26"/>
  <c r="BD216" i="26" s="1"/>
  <c r="AI626" i="10"/>
  <c r="Z226" i="10"/>
  <c r="J626" i="10"/>
  <c r="AJ626" i="10"/>
  <c r="AH626" i="10"/>
  <c r="J226" i="10"/>
  <c r="AP226" i="10"/>
  <c r="L226" i="10"/>
  <c r="X226" i="10"/>
  <c r="K626" i="10"/>
  <c r="F215" i="6"/>
  <c r="Z215" i="6" s="1"/>
  <c r="X285" i="10"/>
  <c r="H254" i="27"/>
  <c r="G254" i="9"/>
  <c r="P304" i="26"/>
  <c r="Z626" i="10"/>
  <c r="L626" i="10"/>
  <c r="O626" i="10"/>
  <c r="AW626" i="10"/>
  <c r="AK626" i="10"/>
  <c r="U226" i="10"/>
  <c r="AQ226" i="10"/>
  <c r="N226" i="10"/>
  <c r="AH226" i="10"/>
  <c r="AD626" i="10"/>
  <c r="K226" i="10"/>
  <c r="F254" i="6"/>
  <c r="Z254" i="6" s="1"/>
  <c r="W226" i="27"/>
  <c r="E226" i="27" s="1"/>
  <c r="AJ498" i="26"/>
  <c r="AS626" i="10"/>
  <c r="AE626" i="10"/>
  <c r="AA226" i="10"/>
  <c r="S226" i="10"/>
  <c r="AM226" i="10"/>
  <c r="AC626" i="10"/>
  <c r="T226" i="10"/>
  <c r="P226" i="10"/>
  <c r="M226" i="10"/>
  <c r="W226" i="10"/>
  <c r="V226" i="10"/>
  <c r="AM626" i="10"/>
  <c r="AX226" i="10"/>
  <c r="AL626" i="10"/>
  <c r="AR226" i="10"/>
  <c r="W626" i="10"/>
  <c r="AQ626" i="10"/>
  <c r="AC226" i="10"/>
  <c r="V626" i="10"/>
  <c r="AX626" i="10"/>
  <c r="N226" i="26"/>
  <c r="V226" i="27" s="1"/>
  <c r="AA226" i="27" s="1"/>
  <c r="AE226" i="10"/>
  <c r="AT226" i="10"/>
  <c r="X626" i="10"/>
  <c r="Y226" i="10"/>
  <c r="U626" i="10"/>
  <c r="N626" i="10"/>
  <c r="R626" i="10"/>
  <c r="AF226" i="10"/>
  <c r="AF626" i="10"/>
  <c r="Q226" i="10"/>
  <c r="O226" i="10"/>
  <c r="AB626" i="10"/>
  <c r="AD226" i="10"/>
  <c r="T626" i="10"/>
  <c r="R226" i="10"/>
  <c r="AS226" i="10"/>
  <c r="AV226" i="10"/>
  <c r="AK226" i="10"/>
  <c r="Y626" i="10"/>
  <c r="AN626" i="10"/>
  <c r="AU626" i="10"/>
  <c r="AJ497" i="26"/>
  <c r="AH497" i="26"/>
  <c r="I216" i="9"/>
  <c r="N222" i="26"/>
  <c r="BD222" i="26" s="1"/>
  <c r="F222" i="10"/>
  <c r="K222" i="10" s="1"/>
  <c r="AJ496" i="26"/>
  <c r="P226" i="26"/>
  <c r="F226" i="6"/>
  <c r="Z226" i="6" s="1"/>
  <c r="Y226" i="27"/>
  <c r="G226" i="27" s="1"/>
  <c r="P215" i="26"/>
  <c r="X215" i="27" s="1"/>
  <c r="AB215" i="27" s="1"/>
  <c r="F215" i="9"/>
  <c r="G248" i="9"/>
  <c r="BD326" i="26"/>
  <c r="H248" i="27"/>
  <c r="BE248" i="26"/>
  <c r="G326" i="10"/>
  <c r="H331" i="27"/>
  <c r="AC213" i="9"/>
  <c r="R213" i="26"/>
  <c r="H213" i="6"/>
  <c r="H214" i="9"/>
  <c r="R214" i="26"/>
  <c r="H214" i="6"/>
  <c r="AC214" i="6" s="1"/>
  <c r="AD214" i="6" s="1"/>
  <c r="AJ282" i="10"/>
  <c r="AI495" i="26"/>
  <c r="AK495" i="26" s="1"/>
  <c r="AR495" i="26" s="1"/>
  <c r="AI493" i="26"/>
  <c r="AK493" i="26" s="1"/>
  <c r="AR493" i="26" s="1"/>
  <c r="AM494" i="26"/>
  <c r="AO494" i="26" s="1"/>
  <c r="AS494" i="26"/>
  <c r="AU493" i="26"/>
  <c r="AS493" i="26"/>
  <c r="G210" i="6"/>
  <c r="AH685" i="10"/>
  <c r="S285" i="10"/>
  <c r="AA285" i="10"/>
  <c r="AB685" i="10"/>
  <c r="AX685" i="10"/>
  <c r="AN685" i="10"/>
  <c r="AX285" i="10"/>
  <c r="Y285" i="10"/>
  <c r="R285" i="10"/>
  <c r="V685" i="10"/>
  <c r="T285" i="10"/>
  <c r="Q285" i="10"/>
  <c r="AH285" i="10"/>
  <c r="AU685" i="10"/>
  <c r="T685" i="10"/>
  <c r="AJ469" i="10"/>
  <c r="U685" i="10"/>
  <c r="N285" i="10"/>
  <c r="AJ685" i="10"/>
  <c r="AN285" i="10"/>
  <c r="Q685" i="10"/>
  <c r="P285" i="10"/>
  <c r="AS285" i="10"/>
  <c r="AR285" i="10"/>
  <c r="AJ285" i="10"/>
  <c r="AY285" i="10"/>
  <c r="AT685" i="10"/>
  <c r="K685" i="10"/>
  <c r="AT285" i="10"/>
  <c r="AO285" i="10"/>
  <c r="AD685" i="10"/>
  <c r="N685" i="10"/>
  <c r="P685" i="10"/>
  <c r="U285" i="10"/>
  <c r="W685" i="10"/>
  <c r="AS685" i="10"/>
  <c r="AL685" i="10"/>
  <c r="AE685" i="10"/>
  <c r="AQ285" i="10"/>
  <c r="AC685" i="10"/>
  <c r="AS539" i="10"/>
  <c r="R536" i="26"/>
  <c r="I491" i="9" s="1"/>
  <c r="K368" i="10"/>
  <c r="F366" i="27"/>
  <c r="J285" i="10"/>
  <c r="AY685" i="10"/>
  <c r="AQ685" i="10"/>
  <c r="AC285" i="10"/>
  <c r="AI285" i="10"/>
  <c r="M285" i="10"/>
  <c r="O685" i="10"/>
  <c r="K285" i="10"/>
  <c r="AK285" i="10"/>
  <c r="L285" i="10"/>
  <c r="Y685" i="10"/>
  <c r="AR685" i="10"/>
  <c r="W285" i="10"/>
  <c r="AA685" i="10"/>
  <c r="AV685" i="10"/>
  <c r="AG285" i="10"/>
  <c r="AV285" i="10"/>
  <c r="R685" i="10"/>
  <c r="AP285" i="10"/>
  <c r="G338" i="10"/>
  <c r="Z366" i="27"/>
  <c r="V285" i="10"/>
  <c r="AI685" i="10"/>
  <c r="AB285" i="10"/>
  <c r="L685" i="10"/>
  <c r="AW285" i="10"/>
  <c r="O285" i="10"/>
  <c r="S685" i="10"/>
  <c r="M685" i="10"/>
  <c r="AM685" i="10"/>
  <c r="AW685" i="10"/>
  <c r="AF685" i="10"/>
  <c r="Z285" i="10"/>
  <c r="AP685" i="10"/>
  <c r="AK685" i="10"/>
  <c r="AL285" i="10"/>
  <c r="AD285" i="10"/>
  <c r="AE285" i="10"/>
  <c r="AF285" i="10"/>
  <c r="AM285" i="10"/>
  <c r="Z685" i="10"/>
  <c r="AO685" i="10"/>
  <c r="AG685" i="10"/>
  <c r="BE331" i="26"/>
  <c r="BE306" i="26"/>
  <c r="V214" i="27"/>
  <c r="G331" i="9"/>
  <c r="G249" i="6"/>
  <c r="G306" i="9"/>
  <c r="BE210" i="26"/>
  <c r="AH282" i="10"/>
  <c r="BE249" i="26"/>
  <c r="BF249" i="26" s="1"/>
  <c r="BD115" i="26"/>
  <c r="AY682" i="10"/>
  <c r="V35" i="27"/>
  <c r="AT282" i="10"/>
  <c r="AK682" i="10"/>
  <c r="L682" i="10"/>
  <c r="O261" i="10"/>
  <c r="Q282" i="10"/>
  <c r="S682" i="10"/>
  <c r="U282" i="10"/>
  <c r="O682" i="10"/>
  <c r="S282" i="10"/>
  <c r="V282" i="10"/>
  <c r="AC282" i="10"/>
  <c r="N682" i="10"/>
  <c r="N282" i="10"/>
  <c r="J682" i="10"/>
  <c r="L282" i="10"/>
  <c r="AS682" i="10"/>
  <c r="AF682" i="10"/>
  <c r="AS282" i="10"/>
  <c r="AC682" i="10"/>
  <c r="AX682" i="10"/>
  <c r="P682" i="10"/>
  <c r="O282" i="10"/>
  <c r="Z282" i="10"/>
  <c r="AG282" i="10"/>
  <c r="T682" i="10"/>
  <c r="V682" i="10"/>
  <c r="AV682" i="10"/>
  <c r="AF282" i="10"/>
  <c r="AI682" i="10"/>
  <c r="W282" i="10"/>
  <c r="J282" i="10"/>
  <c r="AR682" i="10"/>
  <c r="P282" i="10"/>
  <c r="K282" i="10"/>
  <c r="Y282" i="10"/>
  <c r="Q682" i="10"/>
  <c r="AL282" i="10"/>
  <c r="AH682" i="10"/>
  <c r="AC680" i="10"/>
  <c r="Z614" i="10"/>
  <c r="AN614" i="10"/>
  <c r="G261" i="10"/>
  <c r="AX310" i="10"/>
  <c r="AG614" i="10"/>
  <c r="S614" i="10"/>
  <c r="AF768" i="10"/>
  <c r="AA310" i="10"/>
  <c r="P214" i="10"/>
  <c r="X214" i="10"/>
  <c r="AH214" i="10"/>
  <c r="AA768" i="10"/>
  <c r="R368" i="10"/>
  <c r="AJ661" i="10"/>
  <c r="BD261" i="26"/>
  <c r="BF261" i="26" s="1"/>
  <c r="AI214" i="10"/>
  <c r="K614" i="10"/>
  <c r="Y214" i="10"/>
  <c r="AQ214" i="10"/>
  <c r="AQ368" i="10"/>
  <c r="AP115" i="10"/>
  <c r="Y502" i="10"/>
  <c r="G116" i="10"/>
  <c r="V115" i="27"/>
  <c r="AA115" i="27" s="1"/>
  <c r="T115" i="10"/>
  <c r="AG682" i="10"/>
  <c r="AE282" i="10"/>
  <c r="M282" i="10"/>
  <c r="AB282" i="10"/>
  <c r="AK282" i="10"/>
  <c r="AN282" i="10"/>
  <c r="AP682" i="10"/>
  <c r="AI282" i="10"/>
  <c r="AM282" i="10"/>
  <c r="AW282" i="10"/>
  <c r="W682" i="10"/>
  <c r="AR282" i="10"/>
  <c r="K682" i="10"/>
  <c r="AA682" i="10"/>
  <c r="AX282" i="10"/>
  <c r="AY282" i="10"/>
  <c r="AE682" i="10"/>
  <c r="AW682" i="10"/>
  <c r="AQ282" i="10"/>
  <c r="AU682" i="10"/>
  <c r="AE337" i="10"/>
  <c r="V614" i="10"/>
  <c r="AC614" i="10"/>
  <c r="AW614" i="10"/>
  <c r="AX214" i="10"/>
  <c r="AR614" i="10"/>
  <c r="AJ214" i="10"/>
  <c r="T214" i="10"/>
  <c r="AB214" i="10"/>
  <c r="AC214" i="10"/>
  <c r="G214" i="10"/>
  <c r="AE614" i="10"/>
  <c r="AU614" i="10"/>
  <c r="AK419" i="10"/>
  <c r="AJ69" i="10"/>
  <c r="AO614" i="10"/>
  <c r="AH614" i="10"/>
  <c r="AD214" i="10"/>
  <c r="AN214" i="10"/>
  <c r="R614" i="10"/>
  <c r="AG214" i="10"/>
  <c r="AA214" i="10"/>
  <c r="AK214" i="10"/>
  <c r="L214" i="10"/>
  <c r="Z515" i="10"/>
  <c r="AO282" i="10"/>
  <c r="Z682" i="10"/>
  <c r="R282" i="10"/>
  <c r="AO682" i="10"/>
  <c r="T282" i="10"/>
  <c r="Y682" i="10"/>
  <c r="R682" i="10"/>
  <c r="AL682" i="10"/>
  <c r="X682" i="10"/>
  <c r="AJ682" i="10"/>
  <c r="X282" i="10"/>
  <c r="U682" i="10"/>
  <c r="AD282" i="10"/>
  <c r="AT682" i="10"/>
  <c r="AD682" i="10"/>
  <c r="AN682" i="10"/>
  <c r="M682" i="10"/>
  <c r="AP282" i="10"/>
  <c r="AM682" i="10"/>
  <c r="AA282" i="10"/>
  <c r="AQ682" i="10"/>
  <c r="AB682" i="10"/>
  <c r="AD614" i="10"/>
  <c r="AM214" i="10"/>
  <c r="AQ614" i="10"/>
  <c r="AA614" i="10"/>
  <c r="AK614" i="10"/>
  <c r="L614" i="10"/>
  <c r="P614" i="10"/>
  <c r="AT614" i="10"/>
  <c r="M614" i="10"/>
  <c r="AV614" i="10"/>
  <c r="Y326" i="10"/>
  <c r="G35" i="10"/>
  <c r="AL261" i="10"/>
  <c r="K261" i="10"/>
  <c r="AG540" i="10"/>
  <c r="AD139" i="10"/>
  <c r="AK261" i="10"/>
  <c r="Z539" i="10"/>
  <c r="AX661" i="10"/>
  <c r="AI486" i="26"/>
  <c r="AK486" i="26" s="1"/>
  <c r="AV486" i="26" s="1"/>
  <c r="AA423" i="10"/>
  <c r="AK15" i="10"/>
  <c r="W69" i="10"/>
  <c r="Z214" i="10"/>
  <c r="Q614" i="10"/>
  <c r="AS214" i="10"/>
  <c r="O214" i="10"/>
  <c r="AF214" i="10"/>
  <c r="S214" i="10"/>
  <c r="AX614" i="10"/>
  <c r="R214" i="10"/>
  <c r="W614" i="10"/>
  <c r="Q214" i="10"/>
  <c r="AL214" i="10"/>
  <c r="AW214" i="10"/>
  <c r="J710" i="10"/>
  <c r="X614" i="10"/>
  <c r="AM614" i="10"/>
  <c r="AY214" i="10"/>
  <c r="N614" i="10"/>
  <c r="N214" i="10"/>
  <c r="AJ614" i="10"/>
  <c r="Y614" i="10"/>
  <c r="K214" i="10"/>
  <c r="V214" i="10"/>
  <c r="U737" i="10"/>
  <c r="AP280" i="10"/>
  <c r="BD116" i="26"/>
  <c r="M310" i="10"/>
  <c r="AB614" i="10"/>
  <c r="J214" i="10"/>
  <c r="AR214" i="10"/>
  <c r="AS614" i="10"/>
  <c r="O614" i="10"/>
  <c r="AE214" i="10"/>
  <c r="AI614" i="10"/>
  <c r="AF614" i="10"/>
  <c r="M214" i="10"/>
  <c r="AP214" i="10"/>
  <c r="U614" i="10"/>
  <c r="AO214" i="10"/>
  <c r="AY614" i="10"/>
  <c r="T614" i="10"/>
  <c r="U214" i="10"/>
  <c r="W214" i="10"/>
  <c r="AT214" i="10"/>
  <c r="AV214" i="10"/>
  <c r="J614" i="10"/>
  <c r="AP614" i="10"/>
  <c r="BA338" i="10"/>
  <c r="X415" i="10"/>
  <c r="AN139" i="10"/>
  <c r="AB539" i="10"/>
  <c r="BB338" i="10"/>
  <c r="K768" i="10"/>
  <c r="R768" i="10"/>
  <c r="AM261" i="10"/>
  <c r="AR261" i="10"/>
  <c r="J661" i="10"/>
  <c r="U15" i="10"/>
  <c r="P15" i="10"/>
  <c r="U415" i="10"/>
  <c r="V251" i="27"/>
  <c r="BD338" i="26"/>
  <c r="F221" i="9"/>
  <c r="O15" i="10"/>
  <c r="J415" i="10"/>
  <c r="J539" i="10"/>
  <c r="I310" i="6"/>
  <c r="AV368" i="10"/>
  <c r="S368" i="10"/>
  <c r="AX368" i="10"/>
  <c r="Q261" i="10"/>
  <c r="AG661" i="10"/>
  <c r="AB419" i="10"/>
  <c r="AQ415" i="10"/>
  <c r="AT15" i="10"/>
  <c r="BD239" i="26"/>
  <c r="AR337" i="10"/>
  <c r="Y239" i="27"/>
  <c r="G239" i="27" s="1"/>
  <c r="F282" i="27"/>
  <c r="AF140" i="10"/>
  <c r="AY261" i="10"/>
  <c r="AB261" i="10"/>
  <c r="R261" i="10"/>
  <c r="V661" i="10"/>
  <c r="Y261" i="10"/>
  <c r="J261" i="10"/>
  <c r="N661" i="10"/>
  <c r="AC261" i="10"/>
  <c r="P261" i="10"/>
  <c r="F221" i="6"/>
  <c r="Z221" i="6" s="1"/>
  <c r="AI710" i="10"/>
  <c r="F387" i="9"/>
  <c r="BB116" i="10"/>
  <c r="BC116" i="10" s="1"/>
  <c r="AP540" i="10"/>
  <c r="BD274" i="26"/>
  <c r="Q661" i="10"/>
  <c r="AC661" i="10"/>
  <c r="V261" i="10"/>
  <c r="AO661" i="10"/>
  <c r="AH261" i="10"/>
  <c r="X261" i="10"/>
  <c r="T261" i="10"/>
  <c r="AM661" i="10"/>
  <c r="AQ261" i="10"/>
  <c r="AD661" i="10"/>
  <c r="P221" i="26"/>
  <c r="AG19" i="10"/>
  <c r="AJ19" i="10"/>
  <c r="AO15" i="10"/>
  <c r="AU415" i="10"/>
  <c r="AY15" i="10"/>
  <c r="Y15" i="10"/>
  <c r="AD15" i="10"/>
  <c r="V306" i="27"/>
  <c r="AA306" i="27" s="1"/>
  <c r="P387" i="26"/>
  <c r="X387" i="27" s="1"/>
  <c r="AB387" i="27" s="1"/>
  <c r="F387" i="6"/>
  <c r="Z387" i="6" s="1"/>
  <c r="F239" i="6"/>
  <c r="Z239" i="6" s="1"/>
  <c r="S280" i="10"/>
  <c r="AA280" i="10"/>
  <c r="Z310" i="10"/>
  <c r="G274" i="10"/>
  <c r="AD261" i="10"/>
  <c r="P239" i="26"/>
  <c r="AG310" i="10"/>
  <c r="BD69" i="26"/>
  <c r="BA116" i="10"/>
  <c r="AB140" i="10"/>
  <c r="X661" i="10"/>
  <c r="U661" i="10"/>
  <c r="Z261" i="10"/>
  <c r="M661" i="10"/>
  <c r="AF661" i="10"/>
  <c r="N261" i="10"/>
  <c r="W261" i="10"/>
  <c r="AE261" i="10"/>
  <c r="W661" i="10"/>
  <c r="S419" i="10"/>
  <c r="P415" i="10"/>
  <c r="AF15" i="10"/>
  <c r="BD306" i="26"/>
  <c r="AB680" i="10"/>
  <c r="Z680" i="10"/>
  <c r="Y680" i="10"/>
  <c r="AG710" i="10"/>
  <c r="AH710" i="10"/>
  <c r="V69" i="27"/>
  <c r="AA69" i="27" s="1"/>
  <c r="AU506" i="26"/>
  <c r="BA340" i="10"/>
  <c r="X337" i="10"/>
  <c r="AQ337" i="10"/>
  <c r="M737" i="10"/>
  <c r="G251" i="10"/>
  <c r="AV326" i="10"/>
  <c r="AV726" i="10"/>
  <c r="BA45" i="10"/>
  <c r="U540" i="10"/>
  <c r="AT140" i="10"/>
  <c r="AO140" i="10"/>
  <c r="BD104" i="26"/>
  <c r="BF104" i="26" s="1"/>
  <c r="O140" i="10"/>
  <c r="G239" i="10"/>
  <c r="W337" i="10"/>
  <c r="T326" i="10"/>
  <c r="N140" i="10"/>
  <c r="AE140" i="10"/>
  <c r="P140" i="10"/>
  <c r="AW140" i="10"/>
  <c r="X140" i="10"/>
  <c r="AN140" i="10"/>
  <c r="AY140" i="10"/>
  <c r="R140" i="10"/>
  <c r="AL737" i="10"/>
  <c r="G104" i="10"/>
  <c r="AC540" i="10"/>
  <c r="AL140" i="10"/>
  <c r="J140" i="10"/>
  <c r="K540" i="10"/>
  <c r="AB540" i="10"/>
  <c r="AQ140" i="10"/>
  <c r="S139" i="10"/>
  <c r="U539" i="10"/>
  <c r="BB45" i="10"/>
  <c r="AS115" i="10"/>
  <c r="AF115" i="10"/>
  <c r="W469" i="10"/>
  <c r="AO469" i="10"/>
  <c r="AY680" i="10"/>
  <c r="U680" i="10"/>
  <c r="J680" i="10"/>
  <c r="M69" i="10"/>
  <c r="AF680" i="10"/>
  <c r="AG680" i="10"/>
  <c r="Z280" i="10"/>
  <c r="AI280" i="10"/>
  <c r="V680" i="10"/>
  <c r="W680" i="10"/>
  <c r="AJ680" i="10"/>
  <c r="T726" i="10"/>
  <c r="AJ326" i="10"/>
  <c r="AY726" i="10"/>
  <c r="AB726" i="10"/>
  <c r="AM35" i="10"/>
  <c r="AC35" i="10"/>
  <c r="P35" i="10"/>
  <c r="AS435" i="10"/>
  <c r="J435" i="10"/>
  <c r="AR35" i="10"/>
  <c r="Y35" i="10"/>
  <c r="V435" i="10"/>
  <c r="P435" i="10"/>
  <c r="AR435" i="10"/>
  <c r="AT35" i="10"/>
  <c r="AX435" i="10"/>
  <c r="L435" i="10"/>
  <c r="N435" i="10"/>
  <c r="AB435" i="10"/>
  <c r="AD35" i="10"/>
  <c r="AU435" i="10"/>
  <c r="AC435" i="10"/>
  <c r="AE435" i="10"/>
  <c r="S35" i="10"/>
  <c r="AP35" i="10"/>
  <c r="X35" i="10"/>
  <c r="L35" i="10"/>
  <c r="AB35" i="10"/>
  <c r="U435" i="10"/>
  <c r="AJ35" i="10"/>
  <c r="AE35" i="10"/>
  <c r="AY435" i="10"/>
  <c r="AG35" i="10"/>
  <c r="AT435" i="10"/>
  <c r="T435" i="10"/>
  <c r="AN35" i="10"/>
  <c r="Y435" i="10"/>
  <c r="M35" i="10"/>
  <c r="AK35" i="10"/>
  <c r="AW35" i="10"/>
  <c r="Q435" i="10"/>
  <c r="AL435" i="10"/>
  <c r="R35" i="10"/>
  <c r="S435" i="10"/>
  <c r="AD435" i="10"/>
  <c r="AH435" i="10"/>
  <c r="M435" i="10"/>
  <c r="AK435" i="10"/>
  <c r="AI435" i="10"/>
  <c r="O435" i="10"/>
  <c r="AA435" i="10"/>
  <c r="AN435" i="10"/>
  <c r="AP435" i="10"/>
  <c r="AO435" i="10"/>
  <c r="AQ435" i="10"/>
  <c r="Q35" i="10"/>
  <c r="AA35" i="10"/>
  <c r="X435" i="10"/>
  <c r="R435" i="10"/>
  <c r="AQ35" i="10"/>
  <c r="AF435" i="10"/>
  <c r="AG435" i="10"/>
  <c r="AX35" i="10"/>
  <c r="K435" i="10"/>
  <c r="AO35" i="10"/>
  <c r="W35" i="10"/>
  <c r="W435" i="10"/>
  <c r="Z435" i="10"/>
  <c r="AF35" i="10"/>
  <c r="Z35" i="10"/>
  <c r="AV35" i="10"/>
  <c r="AV435" i="10"/>
  <c r="AI35" i="10"/>
  <c r="AM435" i="10"/>
  <c r="N35" i="10"/>
  <c r="AJ435" i="10"/>
  <c r="T35" i="10"/>
  <c r="AH35" i="10"/>
  <c r="AL35" i="10"/>
  <c r="AY35" i="10"/>
  <c r="O35" i="10"/>
  <c r="AS35" i="10"/>
  <c r="U35" i="10"/>
  <c r="K35" i="10"/>
  <c r="AW435" i="10"/>
  <c r="J35" i="10"/>
  <c r="V35" i="10"/>
  <c r="V515" i="10"/>
  <c r="AC515" i="10"/>
  <c r="K515" i="10"/>
  <c r="AW280" i="10"/>
  <c r="K680" i="10"/>
  <c r="AK280" i="10"/>
  <c r="AM680" i="10"/>
  <c r="AS680" i="10"/>
  <c r="Q680" i="10"/>
  <c r="AC326" i="10"/>
  <c r="AT326" i="10"/>
  <c r="AY326" i="10"/>
  <c r="R726" i="10"/>
  <c r="BA314" i="10"/>
  <c r="J515" i="10"/>
  <c r="M515" i="10"/>
  <c r="T502" i="10"/>
  <c r="AT69" i="10"/>
  <c r="AT280" i="10"/>
  <c r="AL280" i="10"/>
  <c r="Q280" i="10"/>
  <c r="AC280" i="10"/>
  <c r="Y280" i="10"/>
  <c r="AR680" i="10"/>
  <c r="AD280" i="10"/>
  <c r="BF368" i="26"/>
  <c r="AS726" i="10"/>
  <c r="AB326" i="10"/>
  <c r="AU726" i="10"/>
  <c r="AQ326" i="10"/>
  <c r="BB340" i="10"/>
  <c r="BC340" i="10" s="1"/>
  <c r="BB314" i="10"/>
  <c r="AS540" i="10"/>
  <c r="AP140" i="10"/>
  <c r="AY540" i="10"/>
  <c r="AS140" i="10"/>
  <c r="AG140" i="10"/>
  <c r="W540" i="10"/>
  <c r="AR140" i="10"/>
  <c r="K140" i="10"/>
  <c r="M540" i="10"/>
  <c r="O540" i="10"/>
  <c r="L540" i="10"/>
  <c r="AE539" i="10"/>
  <c r="AA539" i="10"/>
  <c r="AJ539" i="10"/>
  <c r="AL139" i="10"/>
  <c r="AY368" i="10"/>
  <c r="N768" i="10"/>
  <c r="AC768" i="10"/>
  <c r="AJ368" i="10"/>
  <c r="T768" i="10"/>
  <c r="AF515" i="10"/>
  <c r="AT515" i="10"/>
  <c r="AM115" i="10"/>
  <c r="AW115" i="10"/>
  <c r="V102" i="10"/>
  <c r="AW69" i="10"/>
  <c r="AK69" i="10"/>
  <c r="AR326" i="10"/>
  <c r="J326" i="10"/>
  <c r="AP726" i="10"/>
  <c r="AD326" i="10"/>
  <c r="P326" i="10"/>
  <c r="AD726" i="10"/>
  <c r="AI726" i="10"/>
  <c r="AE326" i="10"/>
  <c r="Q726" i="10"/>
  <c r="BB118" i="10"/>
  <c r="BC118" i="10" s="1"/>
  <c r="AD540" i="10"/>
  <c r="X540" i="10"/>
  <c r="AT540" i="10"/>
  <c r="Z540" i="10"/>
  <c r="AF540" i="10"/>
  <c r="AK140" i="10"/>
  <c r="AX540" i="10"/>
  <c r="AQ540" i="10"/>
  <c r="AR540" i="10"/>
  <c r="V539" i="10"/>
  <c r="R139" i="10"/>
  <c r="J139" i="10"/>
  <c r="M539" i="10"/>
  <c r="X768" i="10"/>
  <c r="AO768" i="10"/>
  <c r="AN368" i="10"/>
  <c r="AU768" i="10"/>
  <c r="AL768" i="10"/>
  <c r="T515" i="10"/>
  <c r="Z115" i="10"/>
  <c r="AV515" i="10"/>
  <c r="Y515" i="10"/>
  <c r="AX115" i="10"/>
  <c r="V115" i="10"/>
  <c r="AO102" i="10"/>
  <c r="AS469" i="10"/>
  <c r="AM469" i="10"/>
  <c r="U726" i="10"/>
  <c r="M326" i="10"/>
  <c r="AR726" i="10"/>
  <c r="AO726" i="10"/>
  <c r="Z726" i="10"/>
  <c r="K726" i="10"/>
  <c r="AX326" i="10"/>
  <c r="AS326" i="10"/>
  <c r="P251" i="26"/>
  <c r="Y251" i="27"/>
  <c r="G251" i="27" s="1"/>
  <c r="AU454" i="26"/>
  <c r="BB167" i="10"/>
  <c r="BA118" i="10"/>
  <c r="BA251" i="10"/>
  <c r="AN499" i="26"/>
  <c r="AP499" i="26" s="1"/>
  <c r="AV499" i="26" s="1"/>
  <c r="P499" i="26" s="1"/>
  <c r="G477" i="6" s="1"/>
  <c r="AH467" i="26"/>
  <c r="AI467" i="26" s="1"/>
  <c r="AK467" i="26" s="1"/>
  <c r="AV467" i="26" s="1"/>
  <c r="P467" i="26" s="1"/>
  <c r="G456" i="6" s="1"/>
  <c r="AU467" i="26"/>
  <c r="Q467" i="26" s="1"/>
  <c r="G282" i="6"/>
  <c r="F251" i="9"/>
  <c r="AH540" i="10"/>
  <c r="T140" i="10"/>
  <c r="AJ540" i="10"/>
  <c r="Q140" i="10"/>
  <c r="M140" i="10"/>
  <c r="AI540" i="10"/>
  <c r="AL540" i="10"/>
  <c r="AV140" i="10"/>
  <c r="AX140" i="10"/>
  <c r="R540" i="10"/>
  <c r="S140" i="10"/>
  <c r="V540" i="10"/>
  <c r="AA540" i="10"/>
  <c r="Y540" i="10"/>
  <c r="T540" i="10"/>
  <c r="AO540" i="10"/>
  <c r="V140" i="10"/>
  <c r="AM540" i="10"/>
  <c r="AJ140" i="10"/>
  <c r="Q540" i="10"/>
  <c r="AN540" i="10"/>
  <c r="AH140" i="10"/>
  <c r="S540" i="10"/>
  <c r="AU540" i="10"/>
  <c r="AK540" i="10"/>
  <c r="AA140" i="10"/>
  <c r="J540" i="10"/>
  <c r="AW540" i="10"/>
  <c r="U140" i="10"/>
  <c r="L140" i="10"/>
  <c r="AE540" i="10"/>
  <c r="P540" i="10"/>
  <c r="N540" i="10"/>
  <c r="Z140" i="10"/>
  <c r="AV540" i="10"/>
  <c r="AD140" i="10"/>
  <c r="Y140" i="10"/>
  <c r="AI140" i="10"/>
  <c r="AM140" i="10"/>
  <c r="AC140" i="10"/>
  <c r="AR786" i="10"/>
  <c r="AD386" i="10"/>
  <c r="T415" i="10"/>
  <c r="AS15" i="10"/>
  <c r="AO415" i="10"/>
  <c r="AQ15" i="10"/>
  <c r="Q15" i="10"/>
  <c r="AP415" i="10"/>
  <c r="S15" i="10"/>
  <c r="J15" i="10"/>
  <c r="AM15" i="10"/>
  <c r="O415" i="10"/>
  <c r="V15" i="10"/>
  <c r="K15" i="10"/>
  <c r="AX415" i="10"/>
  <c r="AA15" i="10"/>
  <c r="R15" i="10"/>
  <c r="AB15" i="10"/>
  <c r="AV15" i="10"/>
  <c r="AE415" i="10"/>
  <c r="M15" i="10"/>
  <c r="M415" i="10"/>
  <c r="AN415" i="10"/>
  <c r="Q415" i="10"/>
  <c r="AH415" i="10"/>
  <c r="AI15" i="10"/>
  <c r="AI415" i="10"/>
  <c r="AJ415" i="10"/>
  <c r="V415" i="10"/>
  <c r="K415" i="10"/>
  <c r="W415" i="10"/>
  <c r="AS415" i="10"/>
  <c r="AG415" i="10"/>
  <c r="AH15" i="10"/>
  <c r="W15" i="10"/>
  <c r="AY415" i="10"/>
  <c r="AK415" i="10"/>
  <c r="AE15" i="10"/>
  <c r="N415" i="10"/>
  <c r="L15" i="10"/>
  <c r="AC15" i="10"/>
  <c r="AV415" i="10"/>
  <c r="X15" i="10"/>
  <c r="Z15" i="10"/>
  <c r="Y415" i="10"/>
  <c r="T15" i="10"/>
  <c r="AT415" i="10"/>
  <c r="S415" i="10"/>
  <c r="AB415" i="10"/>
  <c r="AA415" i="10"/>
  <c r="AF415" i="10"/>
  <c r="R415" i="10"/>
  <c r="AR419" i="10"/>
  <c r="AL19" i="10"/>
  <c r="O419" i="10"/>
  <c r="V419" i="10"/>
  <c r="AN419" i="10"/>
  <c r="R19" i="10"/>
  <c r="AN19" i="10"/>
  <c r="AX419" i="10"/>
  <c r="AP419" i="10"/>
  <c r="M419" i="10"/>
  <c r="Y19" i="10"/>
  <c r="AW19" i="10"/>
  <c r="AF419" i="10"/>
  <c r="AU419" i="10"/>
  <c r="AO19" i="10"/>
  <c r="W726" i="10"/>
  <c r="AI326" i="10"/>
  <c r="AJ726" i="10"/>
  <c r="L326" i="10"/>
  <c r="AF726" i="10"/>
  <c r="X326" i="10"/>
  <c r="N726" i="10"/>
  <c r="AH326" i="10"/>
  <c r="AQ726" i="10"/>
  <c r="AN726" i="10"/>
  <c r="V726" i="10"/>
  <c r="W326" i="10"/>
  <c r="Z66" i="27"/>
  <c r="X280" i="10"/>
  <c r="O280" i="10"/>
  <c r="V280" i="10"/>
  <c r="AI680" i="10"/>
  <c r="AR280" i="10"/>
  <c r="N680" i="10"/>
  <c r="AH680" i="10"/>
  <c r="AE680" i="10"/>
  <c r="AF280" i="10"/>
  <c r="AW326" i="10"/>
  <c r="AO326" i="10"/>
  <c r="S326" i="10"/>
  <c r="AH726" i="10"/>
  <c r="AX726" i="10"/>
  <c r="V326" i="10"/>
  <c r="AW726" i="10"/>
  <c r="AM326" i="10"/>
  <c r="Q326" i="10"/>
  <c r="AA726" i="10"/>
  <c r="S726" i="10"/>
  <c r="AE726" i="10"/>
  <c r="O726" i="10"/>
  <c r="AK726" i="10"/>
  <c r="M726" i="10"/>
  <c r="AG726" i="10"/>
  <c r="O326" i="10"/>
  <c r="AN326" i="10"/>
  <c r="U326" i="10"/>
  <c r="R326" i="10"/>
  <c r="AK326" i="10"/>
  <c r="L726" i="10"/>
  <c r="AT726" i="10"/>
  <c r="AP326" i="10"/>
  <c r="K326" i="10"/>
  <c r="P726" i="10"/>
  <c r="AC726" i="10"/>
  <c r="Y726" i="10"/>
  <c r="AL326" i="10"/>
  <c r="Z326" i="10"/>
  <c r="AA326" i="10"/>
  <c r="AF326" i="10"/>
  <c r="AL726" i="10"/>
  <c r="N326" i="10"/>
  <c r="J726" i="10"/>
  <c r="AG326" i="10"/>
  <c r="AU532" i="26"/>
  <c r="Q532" i="26" s="1"/>
  <c r="F488" i="9" s="1"/>
  <c r="AM484" i="26"/>
  <c r="AO484" i="26" s="1"/>
  <c r="H466" i="6"/>
  <c r="AC466" i="6" s="1"/>
  <c r="AD466" i="6" s="1"/>
  <c r="X710" i="10"/>
  <c r="AW710" i="10"/>
  <c r="AQ310" i="10"/>
  <c r="X310" i="10"/>
  <c r="AY710" i="10"/>
  <c r="J310" i="10"/>
  <c r="AA710" i="10"/>
  <c r="AY310" i="10"/>
  <c r="AV710" i="10"/>
  <c r="T710" i="10"/>
  <c r="Y310" i="10"/>
  <c r="R310" i="10"/>
  <c r="AF310" i="10"/>
  <c r="U710" i="10"/>
  <c r="N310" i="10"/>
  <c r="AS710" i="10"/>
  <c r="S710" i="10"/>
  <c r="AM310" i="10"/>
  <c r="P710" i="10"/>
  <c r="AC710" i="10"/>
  <c r="AL310" i="10"/>
  <c r="AJ710" i="10"/>
  <c r="K710" i="10"/>
  <c r="AB710" i="10"/>
  <c r="AW310" i="10"/>
  <c r="N710" i="10"/>
  <c r="P310" i="10"/>
  <c r="AK710" i="10"/>
  <c r="AX710" i="10"/>
  <c r="AE310" i="10"/>
  <c r="AN310" i="10"/>
  <c r="AD310" i="10"/>
  <c r="AQ710" i="10"/>
  <c r="M710" i="10"/>
  <c r="AP310" i="10"/>
  <c r="Z710" i="10"/>
  <c r="AN710" i="10"/>
  <c r="W310" i="10"/>
  <c r="L710" i="10"/>
  <c r="AF710" i="10"/>
  <c r="AO310" i="10"/>
  <c r="AB310" i="10"/>
  <c r="K310" i="10"/>
  <c r="AA69" i="10"/>
  <c r="S469" i="10"/>
  <c r="N69" i="10"/>
  <c r="AD69" i="10"/>
  <c r="AU469" i="10"/>
  <c r="Y469" i="10"/>
  <c r="AB69" i="10"/>
  <c r="AF69" i="10"/>
  <c r="U69" i="10"/>
  <c r="AH469" i="10"/>
  <c r="J469" i="10"/>
  <c r="L69" i="10"/>
  <c r="AR469" i="10"/>
  <c r="AV69" i="10"/>
  <c r="T69" i="10"/>
  <c r="AY469" i="10"/>
  <c r="AS69" i="10"/>
  <c r="AE69" i="10"/>
  <c r="AX69" i="10"/>
  <c r="T469" i="10"/>
  <c r="AT469" i="10"/>
  <c r="AM69" i="10"/>
  <c r="K69" i="10"/>
  <c r="O69" i="10"/>
  <c r="V69" i="10"/>
  <c r="V469" i="10"/>
  <c r="P469" i="10"/>
  <c r="R69" i="10"/>
  <c r="AC469" i="10"/>
  <c r="AG69" i="10"/>
  <c r="AX469" i="10"/>
  <c r="Z69" i="10"/>
  <c r="AD469" i="10"/>
  <c r="AG469" i="10"/>
  <c r="AV469" i="10"/>
  <c r="AY69" i="10"/>
  <c r="AL469" i="10"/>
  <c r="R469" i="10"/>
  <c r="AF469" i="10"/>
  <c r="AP69" i="10"/>
  <c r="L469" i="10"/>
  <c r="AP469" i="10"/>
  <c r="AU539" i="10"/>
  <c r="AY139" i="10"/>
  <c r="AL539" i="10"/>
  <c r="Y539" i="10"/>
  <c r="N539" i="10"/>
  <c r="AN539" i="10"/>
  <c r="T139" i="10"/>
  <c r="AF139" i="10"/>
  <c r="L139" i="10"/>
  <c r="AW139" i="10"/>
  <c r="V139" i="10"/>
  <c r="AI539" i="10"/>
  <c r="AP539" i="10"/>
  <c r="Y139" i="10"/>
  <c r="K139" i="10"/>
  <c r="AG539" i="10"/>
  <c r="Z139" i="10"/>
  <c r="AJ139" i="10"/>
  <c r="BA167" i="10"/>
  <c r="Q69" i="10"/>
  <c r="Q469" i="10"/>
  <c r="AN469" i="10"/>
  <c r="K469" i="10"/>
  <c r="AL69" i="10"/>
  <c r="AQ69" i="10"/>
  <c r="AK469" i="10"/>
  <c r="X469" i="10"/>
  <c r="AI69" i="10"/>
  <c r="AC310" i="10"/>
  <c r="O710" i="10"/>
  <c r="Q710" i="10"/>
  <c r="U310" i="10"/>
  <c r="AT710" i="10"/>
  <c r="S310" i="10"/>
  <c r="AM710" i="10"/>
  <c r="W710" i="10"/>
  <c r="V710" i="10"/>
  <c r="AO710" i="10"/>
  <c r="AU710" i="10"/>
  <c r="AT310" i="10"/>
  <c r="AM139" i="10"/>
  <c r="AO139" i="10"/>
  <c r="W139" i="10"/>
  <c r="K539" i="10"/>
  <c r="AB139" i="10"/>
  <c r="AS139" i="10"/>
  <c r="AG139" i="10"/>
  <c r="AT539" i="10"/>
  <c r="O139" i="10"/>
  <c r="AV539" i="10"/>
  <c r="AK539" i="10"/>
  <c r="AC139" i="10"/>
  <c r="AQ539" i="10"/>
  <c r="L539" i="10"/>
  <c r="AH539" i="10"/>
  <c r="AM539" i="10"/>
  <c r="AQ139" i="10"/>
  <c r="X69" i="10"/>
  <c r="O469" i="10"/>
  <c r="AR69" i="10"/>
  <c r="AN69" i="10"/>
  <c r="S69" i="10"/>
  <c r="AE469" i="10"/>
  <c r="J69" i="10"/>
  <c r="Y69" i="10"/>
  <c r="AH310" i="10"/>
  <c r="AK310" i="10"/>
  <c r="AS310" i="10"/>
  <c r="R710" i="10"/>
  <c r="AL710" i="10"/>
  <c r="O310" i="10"/>
  <c r="AJ310" i="10"/>
  <c r="Y710" i="10"/>
  <c r="AV310" i="10"/>
  <c r="Q310" i="10"/>
  <c r="AG337" i="10"/>
  <c r="AU737" i="10"/>
  <c r="P737" i="10"/>
  <c r="Y737" i="10"/>
  <c r="X737" i="10"/>
  <c r="S737" i="10"/>
  <c r="AJ737" i="10"/>
  <c r="W737" i="10"/>
  <c r="AC737" i="10"/>
  <c r="AJ337" i="10"/>
  <c r="AD737" i="10"/>
  <c r="AR737" i="10"/>
  <c r="AO532" i="26"/>
  <c r="AN532" i="26" s="1"/>
  <c r="BF532" i="26" s="1"/>
  <c r="AX261" i="10"/>
  <c r="AI261" i="10"/>
  <c r="AT261" i="10"/>
  <c r="AF261" i="10"/>
  <c r="AA661" i="10"/>
  <c r="AO261" i="10"/>
  <c r="AA261" i="10"/>
  <c r="AP661" i="10"/>
  <c r="AT661" i="10"/>
  <c r="AP261" i="10"/>
  <c r="L261" i="10"/>
  <c r="AW661" i="10"/>
  <c r="AK661" i="10"/>
  <c r="AB661" i="10"/>
  <c r="AR661" i="10"/>
  <c r="AH661" i="10"/>
  <c r="AV661" i="10"/>
  <c r="S661" i="10"/>
  <c r="U261" i="10"/>
  <c r="S261" i="10"/>
  <c r="AY661" i="10"/>
  <c r="AN261" i="10"/>
  <c r="AQ661" i="10"/>
  <c r="AJ261" i="10"/>
  <c r="M261" i="10"/>
  <c r="AL661" i="10"/>
  <c r="Y661" i="10"/>
  <c r="AU661" i="10"/>
  <c r="AS261" i="10"/>
  <c r="Z661" i="10"/>
  <c r="AS661" i="10"/>
  <c r="P661" i="10"/>
  <c r="L661" i="10"/>
  <c r="O661" i="10"/>
  <c r="K661" i="10"/>
  <c r="R661" i="10"/>
  <c r="T661" i="10"/>
  <c r="AW261" i="10"/>
  <c r="AV261" i="10"/>
  <c r="AN661" i="10"/>
  <c r="AG261" i="10"/>
  <c r="AI661" i="10"/>
  <c r="G371" i="10"/>
  <c r="BD371" i="26"/>
  <c r="BF371" i="26" s="1"/>
  <c r="AG16" i="9"/>
  <c r="AR139" i="10"/>
  <c r="AC539" i="10"/>
  <c r="P139" i="10"/>
  <c r="Q139" i="10"/>
  <c r="AO539" i="10"/>
  <c r="AT139" i="10"/>
  <c r="O539" i="10"/>
  <c r="AK139" i="10"/>
  <c r="N139" i="10"/>
  <c r="AR539" i="10"/>
  <c r="AX139" i="10"/>
  <c r="AY539" i="10"/>
  <c r="T539" i="10"/>
  <c r="AP139" i="10"/>
  <c r="AA139" i="10"/>
  <c r="AH139" i="10"/>
  <c r="AX539" i="10"/>
  <c r="AW539" i="10"/>
  <c r="AD539" i="10"/>
  <c r="AE139" i="10"/>
  <c r="X539" i="10"/>
  <c r="W539" i="10"/>
  <c r="X139" i="10"/>
  <c r="R539" i="10"/>
  <c r="U139" i="10"/>
  <c r="Q539" i="10"/>
  <c r="S539" i="10"/>
  <c r="AF539" i="10"/>
  <c r="AI139" i="10"/>
  <c r="AV139" i="10"/>
  <c r="P539" i="10"/>
  <c r="F368" i="27"/>
  <c r="AC69" i="10"/>
  <c r="N469" i="10"/>
  <c r="AH69" i="10"/>
  <c r="AW469" i="10"/>
  <c r="Z469" i="10"/>
  <c r="AB469" i="10"/>
  <c r="AQ469" i="10"/>
  <c r="U469" i="10"/>
  <c r="AO69" i="10"/>
  <c r="P69" i="10"/>
  <c r="AA469" i="10"/>
  <c r="AI469" i="10"/>
  <c r="L310" i="10"/>
  <c r="T310" i="10"/>
  <c r="AR710" i="10"/>
  <c r="V310" i="10"/>
  <c r="AP710" i="10"/>
  <c r="AI310" i="10"/>
  <c r="AR310" i="10"/>
  <c r="AD710" i="10"/>
  <c r="Z177" i="27"/>
  <c r="BD167" i="26"/>
  <c r="BF167" i="26" s="1"/>
  <c r="AA786" i="10"/>
  <c r="P423" i="10"/>
  <c r="N423" i="10"/>
  <c r="V167" i="27"/>
  <c r="Z374" i="27"/>
  <c r="W786" i="10"/>
  <c r="AA386" i="10"/>
  <c r="AF786" i="10"/>
  <c r="N786" i="10"/>
  <c r="S17" i="10"/>
  <c r="AX417" i="10"/>
  <c r="AI17" i="10"/>
  <c r="AO417" i="10"/>
  <c r="K417" i="10"/>
  <c r="AG17" i="10"/>
  <c r="AE17" i="10"/>
  <c r="AL17" i="10"/>
  <c r="AC417" i="10"/>
  <c r="AR17" i="10"/>
  <c r="AO17" i="10"/>
  <c r="AT417" i="10"/>
  <c r="AS17" i="10"/>
  <c r="AW417" i="10"/>
  <c r="AQ17" i="10"/>
  <c r="AY17" i="10"/>
  <c r="Z417" i="10"/>
  <c r="X17" i="10"/>
  <c r="AJ17" i="10"/>
  <c r="J417" i="10"/>
  <c r="AK417" i="10"/>
  <c r="X417" i="10"/>
  <c r="AF417" i="10"/>
  <c r="AK17" i="10"/>
  <c r="AA17" i="10"/>
  <c r="AR417" i="10"/>
  <c r="J17" i="10"/>
  <c r="M17" i="10"/>
  <c r="V17" i="10"/>
  <c r="U417" i="10"/>
  <c r="K17" i="10"/>
  <c r="T17" i="10"/>
  <c r="AL417" i="10"/>
  <c r="T417" i="10"/>
  <c r="AM417" i="10"/>
  <c r="AV417" i="10"/>
  <c r="AP17" i="10"/>
  <c r="S417" i="10"/>
  <c r="R417" i="10"/>
  <c r="AD417" i="10"/>
  <c r="AG417" i="10"/>
  <c r="AP417" i="10"/>
  <c r="AN417" i="10"/>
  <c r="AJ417" i="10"/>
  <c r="L17" i="10"/>
  <c r="Q17" i="10"/>
  <c r="N417" i="10"/>
  <c r="AE417" i="10"/>
  <c r="V417" i="10"/>
  <c r="W417" i="10"/>
  <c r="O417" i="10"/>
  <c r="Q417" i="10"/>
  <c r="AW17" i="10"/>
  <c r="P417" i="10"/>
  <c r="AQ417" i="10"/>
  <c r="Y17" i="10"/>
  <c r="AC17" i="10"/>
  <c r="M417" i="10"/>
  <c r="L417" i="10"/>
  <c r="AT17" i="10"/>
  <c r="AY417" i="10"/>
  <c r="AI417" i="10"/>
  <c r="AN17" i="10"/>
  <c r="AU417" i="10"/>
  <c r="O17" i="10"/>
  <c r="Z17" i="10"/>
  <c r="N17" i="10"/>
  <c r="AS417" i="10"/>
  <c r="W17" i="10"/>
  <c r="AH417" i="10"/>
  <c r="R17" i="10"/>
  <c r="AV17" i="10"/>
  <c r="AD17" i="10"/>
  <c r="AX17" i="10"/>
  <c r="AB17" i="10"/>
  <c r="U17" i="10"/>
  <c r="Y417" i="10"/>
  <c r="AA417" i="10"/>
  <c r="P17" i="10"/>
  <c r="AB417" i="10"/>
  <c r="AH17" i="10"/>
  <c r="AM17" i="10"/>
  <c r="AF17" i="10"/>
  <c r="G17" i="10"/>
  <c r="BD17" i="26"/>
  <c r="V17" i="27"/>
  <c r="AI737" i="10"/>
  <c r="AP337" i="10"/>
  <c r="AK337" i="10"/>
  <c r="AM737" i="10"/>
  <c r="AW337" i="10"/>
  <c r="Z737" i="10"/>
  <c r="J737" i="10"/>
  <c r="O337" i="10"/>
  <c r="Q737" i="10"/>
  <c r="AH337" i="10"/>
  <c r="K737" i="10"/>
  <c r="O737" i="10"/>
  <c r="AY337" i="10"/>
  <c r="BD102" i="26"/>
  <c r="AT737" i="10"/>
  <c r="AC337" i="10"/>
  <c r="AF737" i="10"/>
  <c r="Z337" i="10"/>
  <c r="Q337" i="10"/>
  <c r="AA337" i="10"/>
  <c r="K337" i="10"/>
  <c r="BB251" i="10"/>
  <c r="V386" i="27"/>
  <c r="AA386" i="27" s="1"/>
  <c r="AS737" i="10"/>
  <c r="S337" i="10"/>
  <c r="AW737" i="10"/>
  <c r="AO737" i="10"/>
  <c r="AK737" i="10"/>
  <c r="AF337" i="10"/>
  <c r="V337" i="10"/>
  <c r="Y337" i="10"/>
  <c r="AG737" i="10"/>
  <c r="AB737" i="10"/>
  <c r="N737" i="10"/>
  <c r="AV337" i="10"/>
  <c r="AP737" i="10"/>
  <c r="AO337" i="10"/>
  <c r="AY737" i="10"/>
  <c r="AH737" i="10"/>
  <c r="AA737" i="10"/>
  <c r="AL337" i="10"/>
  <c r="U337" i="10"/>
  <c r="AN337" i="10"/>
  <c r="AE737" i="10"/>
  <c r="P337" i="10"/>
  <c r="Q199" i="10"/>
  <c r="AX599" i="10"/>
  <c r="T737" i="10"/>
  <c r="AD337" i="10"/>
  <c r="L737" i="10"/>
  <c r="AV737" i="10"/>
  <c r="AX737" i="10"/>
  <c r="V737" i="10"/>
  <c r="AB337" i="10"/>
  <c r="AN737" i="10"/>
  <c r="T337" i="10"/>
  <c r="R337" i="10"/>
  <c r="AM337" i="10"/>
  <c r="L337" i="10"/>
  <c r="AQ737" i="10"/>
  <c r="AT337" i="10"/>
  <c r="G102" i="10"/>
  <c r="M337" i="10"/>
  <c r="AS337" i="10"/>
  <c r="J337" i="10"/>
  <c r="AX337" i="10"/>
  <c r="AI337" i="10"/>
  <c r="R737" i="10"/>
  <c r="R199" i="10"/>
  <c r="BD386" i="26"/>
  <c r="AH425" i="26"/>
  <c r="H505" i="6"/>
  <c r="AC505" i="6" s="1"/>
  <c r="AD505" i="6" s="1"/>
  <c r="AU416" i="26"/>
  <c r="Y368" i="10"/>
  <c r="AB368" i="10"/>
  <c r="AD368" i="10"/>
  <c r="AP368" i="10"/>
  <c r="O368" i="10"/>
  <c r="AI368" i="10"/>
  <c r="AT368" i="10"/>
  <c r="AY768" i="10"/>
  <c r="P768" i="10"/>
  <c r="Q768" i="10"/>
  <c r="AW368" i="10"/>
  <c r="AB768" i="10"/>
  <c r="AE368" i="10"/>
  <c r="AE768" i="10"/>
  <c r="AH368" i="10"/>
  <c r="J368" i="10"/>
  <c r="P368" i="10"/>
  <c r="AS368" i="10"/>
  <c r="AX768" i="10"/>
  <c r="J768" i="10"/>
  <c r="AV768" i="10"/>
  <c r="AJ442" i="26"/>
  <c r="Q368" i="10"/>
  <c r="O768" i="10"/>
  <c r="AO368" i="10"/>
  <c r="AT768" i="10"/>
  <c r="U368" i="10"/>
  <c r="AQ768" i="10"/>
  <c r="AJ768" i="10"/>
  <c r="AI768" i="10"/>
  <c r="M768" i="10"/>
  <c r="L368" i="10"/>
  <c r="AK368" i="10"/>
  <c r="AD768" i="10"/>
  <c r="AG768" i="10"/>
  <c r="W368" i="10"/>
  <c r="AG368" i="10"/>
  <c r="AP768" i="10"/>
  <c r="V368" i="10"/>
  <c r="M368" i="10"/>
  <c r="S768" i="10"/>
  <c r="AM368" i="10"/>
  <c r="AL368" i="10"/>
  <c r="AR768" i="10"/>
  <c r="AC368" i="10"/>
  <c r="N368" i="10"/>
  <c r="AA368" i="10"/>
  <c r="AM768" i="10"/>
  <c r="L768" i="10"/>
  <c r="AK768" i="10"/>
  <c r="Y768" i="10"/>
  <c r="AN768" i="10"/>
  <c r="W768" i="10"/>
  <c r="Z368" i="10"/>
  <c r="AS768" i="10"/>
  <c r="T368" i="10"/>
  <c r="AF368" i="10"/>
  <c r="Z768" i="10"/>
  <c r="AW768" i="10"/>
  <c r="V768" i="10"/>
  <c r="X368" i="10"/>
  <c r="AR368" i="10"/>
  <c r="U768" i="10"/>
  <c r="AH442" i="26"/>
  <c r="AW786" i="10"/>
  <c r="O786" i="10"/>
  <c r="X386" i="10"/>
  <c r="AH386" i="10"/>
  <c r="AT386" i="10"/>
  <c r="AD786" i="10"/>
  <c r="R786" i="10"/>
  <c r="P386" i="10"/>
  <c r="M386" i="10"/>
  <c r="AJ386" i="10"/>
  <c r="AJ786" i="10"/>
  <c r="AU786" i="10"/>
  <c r="AR386" i="10"/>
  <c r="Z386" i="10"/>
  <c r="AO786" i="10"/>
  <c r="AL386" i="10"/>
  <c r="AF386" i="10"/>
  <c r="V386" i="10"/>
  <c r="AK386" i="10"/>
  <c r="AX786" i="10"/>
  <c r="BD337" i="26"/>
  <c r="X115" i="10"/>
  <c r="O515" i="10"/>
  <c r="W115" i="10"/>
  <c r="U515" i="10"/>
  <c r="AU515" i="10"/>
  <c r="AV115" i="10"/>
  <c r="AA515" i="10"/>
  <c r="AP515" i="10"/>
  <c r="S115" i="10"/>
  <c r="N515" i="10"/>
  <c r="AS102" i="10"/>
  <c r="J502" i="10"/>
  <c r="AN502" i="10"/>
  <c r="AP786" i="10"/>
  <c r="AL786" i="10"/>
  <c r="AG386" i="10"/>
  <c r="T786" i="10"/>
  <c r="P786" i="10"/>
  <c r="AV786" i="10"/>
  <c r="AF102" i="10"/>
  <c r="AA502" i="10"/>
  <c r="M102" i="10"/>
  <c r="AB102" i="10"/>
  <c r="U502" i="10"/>
  <c r="AC502" i="10"/>
  <c r="N102" i="10"/>
  <c r="AO502" i="10"/>
  <c r="J102" i="10"/>
  <c r="AV102" i="10"/>
  <c r="AJ515" i="10"/>
  <c r="AY515" i="10"/>
  <c r="AQ115" i="10"/>
  <c r="U115" i="10"/>
  <c r="AB515" i="10"/>
  <c r="AW515" i="10"/>
  <c r="S515" i="10"/>
  <c r="AG515" i="10"/>
  <c r="AC115" i="10"/>
  <c r="AI515" i="10"/>
  <c r="AO515" i="10"/>
  <c r="L115" i="10"/>
  <c r="N115" i="10"/>
  <c r="AL515" i="10"/>
  <c r="AS515" i="10"/>
  <c r="AM515" i="10"/>
  <c r="AL115" i="10"/>
  <c r="X515" i="10"/>
  <c r="AH115" i="10"/>
  <c r="AE115" i="10"/>
  <c r="AX515" i="10"/>
  <c r="P115" i="10"/>
  <c r="AN115" i="10"/>
  <c r="AO115" i="10"/>
  <c r="AK115" i="10"/>
  <c r="Q515" i="10"/>
  <c r="W515" i="10"/>
  <c r="Y115" i="10"/>
  <c r="AN515" i="10"/>
  <c r="AR115" i="10"/>
  <c r="R515" i="10"/>
  <c r="AG115" i="10"/>
  <c r="P515" i="10"/>
  <c r="AR515" i="10"/>
  <c r="Q115" i="10"/>
  <c r="AJ115" i="10"/>
  <c r="AQ515" i="10"/>
  <c r="AH515" i="10"/>
  <c r="AB115" i="10"/>
  <c r="J115" i="10"/>
  <c r="L515" i="10"/>
  <c r="G344" i="10"/>
  <c r="K115" i="10"/>
  <c r="AK515" i="10"/>
  <c r="AD515" i="10"/>
  <c r="M115" i="10"/>
  <c r="AY115" i="10"/>
  <c r="AD115" i="10"/>
  <c r="AE515" i="10"/>
  <c r="AI115" i="10"/>
  <c r="AA115" i="10"/>
  <c r="T102" i="10"/>
  <c r="R102" i="10"/>
  <c r="R115" i="10"/>
  <c r="O115" i="10"/>
  <c r="AJ15" i="10"/>
  <c r="AR15" i="10"/>
  <c r="AW415" i="10"/>
  <c r="AG15" i="10"/>
  <c r="Z415" i="10"/>
  <c r="AC415" i="10"/>
  <c r="AW15" i="10"/>
  <c r="AM415" i="10"/>
  <c r="AL415" i="10"/>
  <c r="AR415" i="10"/>
  <c r="AX15" i="10"/>
  <c r="AD415" i="10"/>
  <c r="AP15" i="10"/>
  <c r="AN15" i="10"/>
  <c r="L415" i="10"/>
  <c r="AL15" i="10"/>
  <c r="AN386" i="10"/>
  <c r="J786" i="10"/>
  <c r="X680" i="10"/>
  <c r="AL680" i="10"/>
  <c r="AW680" i="10"/>
  <c r="L280" i="10"/>
  <c r="P680" i="10"/>
  <c r="L680" i="10"/>
  <c r="AX280" i="10"/>
  <c r="AE280" i="10"/>
  <c r="AO680" i="10"/>
  <c r="AM280" i="10"/>
  <c r="K280" i="10"/>
  <c r="AX680" i="10"/>
  <c r="AO280" i="10"/>
  <c r="R280" i="10"/>
  <c r="W280" i="10"/>
  <c r="M680" i="10"/>
  <c r="AP680" i="10"/>
  <c r="S680" i="10"/>
  <c r="AG280" i="10"/>
  <c r="P280" i="10"/>
  <c r="AN680" i="10"/>
  <c r="T680" i="10"/>
  <c r="M280" i="10"/>
  <c r="AU680" i="10"/>
  <c r="O680" i="10"/>
  <c r="AY280" i="10"/>
  <c r="T280" i="10"/>
  <c r="AN280" i="10"/>
  <c r="N280" i="10"/>
  <c r="R680" i="10"/>
  <c r="J280" i="10"/>
  <c r="AH280" i="10"/>
  <c r="AV280" i="10"/>
  <c r="AB280" i="10"/>
  <c r="AV680" i="10"/>
  <c r="U280" i="10"/>
  <c r="AQ280" i="10"/>
  <c r="AA680" i="10"/>
  <c r="AQ680" i="10"/>
  <c r="AT680" i="10"/>
  <c r="AD680" i="10"/>
  <c r="AK680" i="10"/>
  <c r="AS280" i="10"/>
  <c r="S386" i="10"/>
  <c r="Z129" i="27"/>
  <c r="BF536" i="26"/>
  <c r="AJ102" i="10"/>
  <c r="K502" i="10"/>
  <c r="AT502" i="10"/>
  <c r="Z102" i="10"/>
  <c r="K102" i="10"/>
  <c r="AE502" i="10"/>
  <c r="AR502" i="10"/>
  <c r="AC102" i="10"/>
  <c r="AH502" i="10"/>
  <c r="S102" i="10"/>
  <c r="S502" i="10"/>
  <c r="X502" i="10"/>
  <c r="AL102" i="10"/>
  <c r="L502" i="10"/>
  <c r="AY502" i="10"/>
  <c r="AY102" i="10"/>
  <c r="X102" i="10"/>
  <c r="Q502" i="10"/>
  <c r="W102" i="10"/>
  <c r="Y102" i="10"/>
  <c r="U102" i="10"/>
  <c r="BE297" i="26"/>
  <c r="BF297" i="26" s="1"/>
  <c r="G297" i="9"/>
  <c r="Z297" i="27"/>
  <c r="AI386" i="10"/>
  <c r="AC386" i="10"/>
  <c r="AT786" i="10"/>
  <c r="AI786" i="10"/>
  <c r="AS386" i="10"/>
  <c r="O386" i="10"/>
  <c r="AS786" i="10"/>
  <c r="AB786" i="10"/>
  <c r="R386" i="10"/>
  <c r="X786" i="10"/>
  <c r="AV386" i="10"/>
  <c r="M786" i="10"/>
  <c r="AY786" i="10"/>
  <c r="AQ786" i="10"/>
  <c r="AP386" i="10"/>
  <c r="AM786" i="10"/>
  <c r="Y786" i="10"/>
  <c r="V786" i="10"/>
  <c r="V502" i="10"/>
  <c r="AW502" i="10"/>
  <c r="W502" i="10"/>
  <c r="AQ502" i="10"/>
  <c r="Q102" i="10"/>
  <c r="AF502" i="10"/>
  <c r="Z502" i="10"/>
  <c r="AQ102" i="10"/>
  <c r="AK102" i="10"/>
  <c r="AX502" i="10"/>
  <c r="AM102" i="10"/>
  <c r="AR102" i="10"/>
  <c r="AP102" i="10"/>
  <c r="AL502" i="10"/>
  <c r="AM502" i="10"/>
  <c r="AD502" i="10"/>
  <c r="AP502" i="10"/>
  <c r="L102" i="10"/>
  <c r="O102" i="10"/>
  <c r="AV502" i="10"/>
  <c r="AJ502" i="10"/>
  <c r="AT102" i="10"/>
  <c r="U386" i="10"/>
  <c r="J386" i="10"/>
  <c r="K786" i="10"/>
  <c r="Z786" i="10"/>
  <c r="L786" i="10"/>
  <c r="AH786" i="10"/>
  <c r="AE386" i="10"/>
  <c r="AB386" i="10"/>
  <c r="AX386" i="10"/>
  <c r="AO386" i="10"/>
  <c r="AY386" i="10"/>
  <c r="AA102" i="10"/>
  <c r="R502" i="10"/>
  <c r="AU502" i="10"/>
  <c r="AD102" i="10"/>
  <c r="AE102" i="10"/>
  <c r="AH102" i="10"/>
  <c r="AK502" i="10"/>
  <c r="P502" i="10"/>
  <c r="AB502" i="10"/>
  <c r="AG502" i="10"/>
  <c r="AS502" i="10"/>
  <c r="AI102" i="10"/>
  <c r="AN102" i="10"/>
  <c r="AX102" i="10"/>
  <c r="AI502" i="10"/>
  <c r="AG102" i="10"/>
  <c r="AW102" i="10"/>
  <c r="P102" i="10"/>
  <c r="M502" i="10"/>
  <c r="N502" i="10"/>
  <c r="J199" i="10"/>
  <c r="Y386" i="10"/>
  <c r="K386" i="10"/>
  <c r="AN786" i="10"/>
  <c r="Q786" i="10"/>
  <c r="AG786" i="10"/>
  <c r="AQ386" i="10"/>
  <c r="L386" i="10"/>
  <c r="AK786" i="10"/>
  <c r="W386" i="10"/>
  <c r="U786" i="10"/>
  <c r="AE786" i="10"/>
  <c r="T386" i="10"/>
  <c r="AC786" i="10"/>
  <c r="N386" i="10"/>
  <c r="Q386" i="10"/>
  <c r="S786" i="10"/>
  <c r="AM386" i="10"/>
  <c r="AW386" i="10"/>
  <c r="V344" i="27"/>
  <c r="AA344" i="27" s="1"/>
  <c r="G337" i="10"/>
  <c r="AL199" i="10"/>
  <c r="AM599" i="10"/>
  <c r="F16" i="27"/>
  <c r="AH472" i="26"/>
  <c r="M199" i="10"/>
  <c r="M599" i="10"/>
  <c r="Z219" i="27"/>
  <c r="BE282" i="26"/>
  <c r="BF282" i="26" s="1"/>
  <c r="AJ472" i="26"/>
  <c r="AU425" i="26"/>
  <c r="H491" i="9"/>
  <c r="Q536" i="26"/>
  <c r="F505" i="6" s="1"/>
  <c r="Q442" i="26"/>
  <c r="F428" i="9" s="1"/>
  <c r="F300" i="27"/>
  <c r="AJ199" i="10"/>
  <c r="R599" i="10"/>
  <c r="L599" i="10"/>
  <c r="AG599" i="10"/>
  <c r="AP199" i="10"/>
  <c r="Q599" i="10"/>
  <c r="AN199" i="10"/>
  <c r="X599" i="10"/>
  <c r="AI199" i="10"/>
  <c r="O199" i="10"/>
  <c r="AL599" i="10"/>
  <c r="AN599" i="10"/>
  <c r="G282" i="9"/>
  <c r="F220" i="9"/>
  <c r="Y220" i="27"/>
  <c r="G220" i="27" s="1"/>
  <c r="G199" i="10"/>
  <c r="V199" i="10"/>
  <c r="N199" i="10"/>
  <c r="N599" i="10"/>
  <c r="P199" i="10"/>
  <c r="AP599" i="10"/>
  <c r="J599" i="10"/>
  <c r="AT599" i="10"/>
  <c r="U599" i="10"/>
  <c r="Z195" i="27"/>
  <c r="AK599" i="10"/>
  <c r="BF85" i="26"/>
  <c r="V23" i="27"/>
  <c r="AA23" i="27" s="1"/>
  <c r="P220" i="26"/>
  <c r="AA199" i="10"/>
  <c r="U199" i="10"/>
  <c r="AV199" i="10"/>
  <c r="AB599" i="10"/>
  <c r="AQ599" i="10"/>
  <c r="AI599" i="10"/>
  <c r="T599" i="10"/>
  <c r="X199" i="10"/>
  <c r="Y599" i="10"/>
  <c r="S199" i="10"/>
  <c r="AF199" i="10"/>
  <c r="V199" i="27"/>
  <c r="AA199" i="27" s="1"/>
  <c r="H129" i="27"/>
  <c r="Z368" i="27"/>
  <c r="G341" i="10"/>
  <c r="Z264" i="27"/>
  <c r="O581" i="10"/>
  <c r="BD341" i="26"/>
  <c r="AY199" i="10"/>
  <c r="AY599" i="10"/>
  <c r="AF599" i="10"/>
  <c r="AA599" i="10"/>
  <c r="Z599" i="10"/>
  <c r="Y199" i="10"/>
  <c r="W199" i="10"/>
  <c r="AM199" i="10"/>
  <c r="AU599" i="10"/>
  <c r="AX199" i="10"/>
  <c r="AW599" i="10"/>
  <c r="AH599" i="10"/>
  <c r="P599" i="10"/>
  <c r="AD599" i="10"/>
  <c r="AE599" i="10"/>
  <c r="K199" i="10"/>
  <c r="AW199" i="10"/>
  <c r="L199" i="10"/>
  <c r="T199" i="10"/>
  <c r="S599" i="10"/>
  <c r="AC599" i="10"/>
  <c r="V80" i="27"/>
  <c r="AQ199" i="10"/>
  <c r="AS599" i="10"/>
  <c r="V599" i="10"/>
  <c r="AV599" i="10"/>
  <c r="AO599" i="10"/>
  <c r="AR599" i="10"/>
  <c r="AS199" i="10"/>
  <c r="AE199" i="10"/>
  <c r="AB199" i="10"/>
  <c r="AG199" i="10"/>
  <c r="AT199" i="10"/>
  <c r="AR199" i="10"/>
  <c r="AD199" i="10"/>
  <c r="Z199" i="10"/>
  <c r="AK199" i="10"/>
  <c r="K599" i="10"/>
  <c r="W599" i="10"/>
  <c r="AO199" i="10"/>
  <c r="AJ599" i="10"/>
  <c r="AC199" i="10"/>
  <c r="O599" i="10"/>
  <c r="Y229" i="27"/>
  <c r="G229" i="27" s="1"/>
  <c r="AD19" i="10"/>
  <c r="AH419" i="10"/>
  <c r="K419" i="10"/>
  <c r="AL419" i="10"/>
  <c r="AC419" i="10"/>
  <c r="W419" i="10"/>
  <c r="AR19" i="10"/>
  <c r="AE19" i="10"/>
  <c r="J419" i="10"/>
  <c r="J19" i="10"/>
  <c r="AO419" i="10"/>
  <c r="AJ419" i="10"/>
  <c r="S19" i="10"/>
  <c r="AD419" i="10"/>
  <c r="AB19" i="10"/>
  <c r="AE419" i="10"/>
  <c r="P419" i="10"/>
  <c r="R419" i="10"/>
  <c r="U19" i="10"/>
  <c r="AM419" i="10"/>
  <c r="M19" i="10"/>
  <c r="F229" i="6"/>
  <c r="Z229" i="6" s="1"/>
  <c r="X331" i="10"/>
  <c r="AT331" i="10"/>
  <c r="AG331" i="10"/>
  <c r="AP731" i="10"/>
  <c r="AP331" i="10"/>
  <c r="AF731" i="10"/>
  <c r="P331" i="10"/>
  <c r="AN731" i="10"/>
  <c r="L331" i="10"/>
  <c r="P731" i="10"/>
  <c r="AW331" i="10"/>
  <c r="AY331" i="10"/>
  <c r="AW731" i="10"/>
  <c r="AE331" i="10"/>
  <c r="AI731" i="10"/>
  <c r="Y731" i="10"/>
  <c r="W731" i="10"/>
  <c r="AY731" i="10"/>
  <c r="AF331" i="10"/>
  <c r="AM731" i="10"/>
  <c r="O731" i="10"/>
  <c r="K731" i="10"/>
  <c r="T331" i="10"/>
  <c r="AE731" i="10"/>
  <c r="U731" i="10"/>
  <c r="AD331" i="10"/>
  <c r="Z331" i="10"/>
  <c r="AK331" i="10"/>
  <c r="M331" i="10"/>
  <c r="M731" i="10"/>
  <c r="Y331" i="10"/>
  <c r="Z731" i="10"/>
  <c r="AK731" i="10"/>
  <c r="W331" i="10"/>
  <c r="K331" i="10"/>
  <c r="R731" i="10"/>
  <c r="AS331" i="10"/>
  <c r="S331" i="10"/>
  <c r="AH731" i="10"/>
  <c r="AR731" i="10"/>
  <c r="AQ331" i="10"/>
  <c r="N731" i="10"/>
  <c r="AL731" i="10"/>
  <c r="AJ331" i="10"/>
  <c r="AH331" i="10"/>
  <c r="AA331" i="10"/>
  <c r="J331" i="10"/>
  <c r="AD731" i="10"/>
  <c r="AO731" i="10"/>
  <c r="AQ731" i="10"/>
  <c r="T731" i="10"/>
  <c r="V331" i="10"/>
  <c r="AC731" i="10"/>
  <c r="AG731" i="10"/>
  <c r="U331" i="10"/>
  <c r="AC331" i="10"/>
  <c r="Q731" i="10"/>
  <c r="AU731" i="10"/>
  <c r="AI331" i="10"/>
  <c r="AJ731" i="10"/>
  <c r="AR331" i="10"/>
  <c r="AV331" i="10"/>
  <c r="AN331" i="10"/>
  <c r="Q331" i="10"/>
  <c r="L731" i="10"/>
  <c r="AV731" i="10"/>
  <c r="AB731" i="10"/>
  <c r="X731" i="10"/>
  <c r="AL331" i="10"/>
  <c r="AO331" i="10"/>
  <c r="AX731" i="10"/>
  <c r="O331" i="10"/>
  <c r="AM331" i="10"/>
  <c r="V731" i="10"/>
  <c r="S731" i="10"/>
  <c r="AX331" i="10"/>
  <c r="N331" i="10"/>
  <c r="AA731" i="10"/>
  <c r="R331" i="10"/>
  <c r="AS731" i="10"/>
  <c r="AB331" i="10"/>
  <c r="J731" i="10"/>
  <c r="AT731" i="10"/>
  <c r="Q419" i="10"/>
  <c r="AT419" i="10"/>
  <c r="AI419" i="10"/>
  <c r="Q19" i="10"/>
  <c r="AQ19" i="10"/>
  <c r="Z419" i="10"/>
  <c r="AF19" i="10"/>
  <c r="X19" i="10"/>
  <c r="AM19" i="10"/>
  <c r="AH19" i="10"/>
  <c r="T19" i="10"/>
  <c r="N19" i="10"/>
  <c r="Y419" i="10"/>
  <c r="AV19" i="10"/>
  <c r="K19" i="10"/>
  <c r="Z19" i="10"/>
  <c r="AQ419" i="10"/>
  <c r="AX19" i="10"/>
  <c r="T419" i="10"/>
  <c r="AI19" i="10"/>
  <c r="G331" i="10"/>
  <c r="V331" i="27"/>
  <c r="AA331" i="27" s="1"/>
  <c r="BD331" i="26"/>
  <c r="V19" i="10"/>
  <c r="AY19" i="10"/>
  <c r="AT19" i="10"/>
  <c r="N419" i="10"/>
  <c r="L419" i="10"/>
  <c r="U419" i="10"/>
  <c r="O19" i="10"/>
  <c r="AS419" i="10"/>
  <c r="AY419" i="10"/>
  <c r="AA19" i="10"/>
  <c r="AV419" i="10"/>
  <c r="AC19" i="10"/>
  <c r="AK19" i="10"/>
  <c r="AW419" i="10"/>
  <c r="P19" i="10"/>
  <c r="AA419" i="10"/>
  <c r="AP19" i="10"/>
  <c r="L19" i="10"/>
  <c r="X419" i="10"/>
  <c r="AG419" i="10"/>
  <c r="W19" i="10"/>
  <c r="F229" i="9"/>
  <c r="Z67" i="27"/>
  <c r="AA785" i="10"/>
  <c r="Z16" i="27"/>
  <c r="AJ23" i="10"/>
  <c r="AN423" i="10"/>
  <c r="L23" i="10"/>
  <c r="AH23" i="10"/>
  <c r="R23" i="10"/>
  <c r="S423" i="10"/>
  <c r="AQ423" i="10"/>
  <c r="AD423" i="10"/>
  <c r="I34" i="9"/>
  <c r="Z314" i="27"/>
  <c r="AH662" i="10"/>
  <c r="T423" i="10"/>
  <c r="AG23" i="10"/>
  <c r="AY23" i="10"/>
  <c r="AO423" i="10"/>
  <c r="AS423" i="10"/>
  <c r="K23" i="10"/>
  <c r="M423" i="10"/>
  <c r="W423" i="10"/>
  <c r="X23" i="10"/>
  <c r="AB464" i="10"/>
  <c r="AG64" i="10"/>
  <c r="AI23" i="10"/>
  <c r="AT23" i="10"/>
  <c r="AI423" i="10"/>
  <c r="V423" i="10"/>
  <c r="AD23" i="10"/>
  <c r="AN23" i="10"/>
  <c r="AS23" i="10"/>
  <c r="U423" i="10"/>
  <c r="AF23" i="10"/>
  <c r="AB423" i="10"/>
  <c r="AR23" i="10"/>
  <c r="AG423" i="10"/>
  <c r="AA23" i="10"/>
  <c r="P23" i="10"/>
  <c r="AT423" i="10"/>
  <c r="J23" i="10"/>
  <c r="AQ23" i="10"/>
  <c r="AH423" i="10"/>
  <c r="Q23" i="10"/>
  <c r="AC423" i="10"/>
  <c r="AV23" i="10"/>
  <c r="AX23" i="10"/>
  <c r="AB23" i="10"/>
  <c r="L423" i="10"/>
  <c r="O423" i="10"/>
  <c r="V23" i="10"/>
  <c r="X423" i="10"/>
  <c r="Y423" i="10"/>
  <c r="Z423" i="10"/>
  <c r="AF423" i="10"/>
  <c r="S23" i="10"/>
  <c r="AL23" i="10"/>
  <c r="AJ423" i="10"/>
  <c r="AV423" i="10"/>
  <c r="AX423" i="10"/>
  <c r="Q423" i="10"/>
  <c r="AU423" i="10"/>
  <c r="AM23" i="10"/>
  <c r="AM423" i="10"/>
  <c r="AW423" i="10"/>
  <c r="Z23" i="10"/>
  <c r="M23" i="10"/>
  <c r="R423" i="10"/>
  <c r="AP423" i="10"/>
  <c r="J423" i="10"/>
  <c r="AP23" i="10"/>
  <c r="AK23" i="10"/>
  <c r="AL423" i="10"/>
  <c r="W23" i="10"/>
  <c r="K423" i="10"/>
  <c r="Y23" i="10"/>
  <c r="AW23" i="10"/>
  <c r="AR423" i="10"/>
  <c r="AY423" i="10"/>
  <c r="AE23" i="10"/>
  <c r="AC23" i="10"/>
  <c r="T23" i="10"/>
  <c r="AK423" i="10"/>
  <c r="O23" i="10"/>
  <c r="N23" i="10"/>
  <c r="AE423" i="10"/>
  <c r="U23" i="10"/>
  <c r="AX64" i="10"/>
  <c r="X313" i="10"/>
  <c r="X64" i="10"/>
  <c r="R464" i="10"/>
  <c r="L662" i="10"/>
  <c r="AO662" i="10"/>
  <c r="AI262" i="10"/>
  <c r="AW418" i="26"/>
  <c r="AE178" i="9"/>
  <c r="AE44" i="9"/>
  <c r="X262" i="10"/>
  <c r="Z242" i="27"/>
  <c r="K494" i="10"/>
  <c r="Z325" i="27"/>
  <c r="O31" i="10"/>
  <c r="F19" i="27"/>
  <c r="G81" i="6"/>
  <c r="I186" i="9"/>
  <c r="G288" i="10"/>
  <c r="J455" i="10"/>
  <c r="G375" i="9"/>
  <c r="H81" i="27"/>
  <c r="BE375" i="26"/>
  <c r="BF375" i="26" s="1"/>
  <c r="G81" i="9"/>
  <c r="AR705" i="10"/>
  <c r="O64" i="10"/>
  <c r="Y464" i="10"/>
  <c r="AL464" i="10"/>
  <c r="AL64" i="10"/>
  <c r="AB64" i="10"/>
  <c r="AW785" i="10"/>
  <c r="Z51" i="27"/>
  <c r="AP64" i="10"/>
  <c r="AM464" i="10"/>
  <c r="W64" i="10"/>
  <c r="Z464" i="10"/>
  <c r="AY464" i="10"/>
  <c r="S785" i="10"/>
  <c r="G23" i="10"/>
  <c r="P64" i="10"/>
  <c r="Z369" i="27"/>
  <c r="O464" i="10"/>
  <c r="AQ64" i="10"/>
  <c r="U64" i="10"/>
  <c r="W464" i="10"/>
  <c r="Y64" i="10"/>
  <c r="BE369" i="26"/>
  <c r="BF369" i="26" s="1"/>
  <c r="AF457" i="10"/>
  <c r="I129" i="9"/>
  <c r="G369" i="6"/>
  <c r="AH209" i="10"/>
  <c r="Z609" i="10"/>
  <c r="BB65" i="10"/>
  <c r="BB317" i="10"/>
  <c r="Q194" i="10"/>
  <c r="U455" i="10"/>
  <c r="S64" i="10"/>
  <c r="X464" i="10"/>
  <c r="AU464" i="10"/>
  <c r="AR64" i="10"/>
  <c r="Z64" i="10"/>
  <c r="R64" i="10"/>
  <c r="L64" i="10"/>
  <c r="AF464" i="10"/>
  <c r="AT464" i="10"/>
  <c r="J464" i="10"/>
  <c r="AD55" i="10"/>
  <c r="W209" i="10"/>
  <c r="U209" i="10"/>
  <c r="AT662" i="10"/>
  <c r="AJ262" i="10"/>
  <c r="AQ662" i="10"/>
  <c r="AH262" i="10"/>
  <c r="AG662" i="10"/>
  <c r="AC662" i="10"/>
  <c r="M662" i="10"/>
  <c r="Z209" i="10"/>
  <c r="M262" i="10"/>
  <c r="AN662" i="10"/>
  <c r="L262" i="10"/>
  <c r="AP455" i="10"/>
  <c r="L464" i="10"/>
  <c r="AP464" i="10"/>
  <c r="AA64" i="10"/>
  <c r="AH64" i="10"/>
  <c r="AR464" i="10"/>
  <c r="AW464" i="10"/>
  <c r="AY64" i="10"/>
  <c r="M464" i="10"/>
  <c r="K64" i="10"/>
  <c r="AC64" i="10"/>
  <c r="AI464" i="10"/>
  <c r="AL455" i="10"/>
  <c r="K609" i="10"/>
  <c r="AI609" i="10"/>
  <c r="AT609" i="10"/>
  <c r="T209" i="10"/>
  <c r="BA65" i="10"/>
  <c r="AM662" i="10"/>
  <c r="U262" i="10"/>
  <c r="AF262" i="10"/>
  <c r="AB662" i="10"/>
  <c r="AG369" i="9"/>
  <c r="AG142" i="9"/>
  <c r="BE361" i="26"/>
  <c r="G361" i="9"/>
  <c r="G361" i="6"/>
  <c r="AC306" i="6"/>
  <c r="AG361" i="9"/>
  <c r="Z309" i="6"/>
  <c r="AG29" i="9"/>
  <c r="G284" i="9"/>
  <c r="BE284" i="26"/>
  <c r="G284" i="6"/>
  <c r="I201" i="6"/>
  <c r="I201" i="9"/>
  <c r="AG35" i="9"/>
  <c r="AC368" i="9"/>
  <c r="I42" i="9"/>
  <c r="I42" i="6"/>
  <c r="G147" i="9"/>
  <c r="BE147" i="26"/>
  <c r="BF147" i="26" s="1"/>
  <c r="G147" i="6"/>
  <c r="AC306" i="9"/>
  <c r="G267" i="9"/>
  <c r="G267" i="6"/>
  <c r="BE267" i="26"/>
  <c r="BF267" i="26" s="1"/>
  <c r="AG286" i="9"/>
  <c r="AG305" i="9"/>
  <c r="AG309" i="9"/>
  <c r="AG284" i="9"/>
  <c r="AC201" i="6"/>
  <c r="AC368" i="6"/>
  <c r="BA317" i="10"/>
  <c r="AL385" i="10"/>
  <c r="BD313" i="26"/>
  <c r="BF313" i="26" s="1"/>
  <c r="BE29" i="26"/>
  <c r="G29" i="6"/>
  <c r="G29" i="9"/>
  <c r="H44" i="27"/>
  <c r="BE286" i="26"/>
  <c r="G286" i="9"/>
  <c r="G286" i="6"/>
  <c r="AG147" i="9"/>
  <c r="Z267" i="6"/>
  <c r="AC387" i="9"/>
  <c r="Z305" i="6"/>
  <c r="AC42" i="6"/>
  <c r="AC201" i="9"/>
  <c r="Z35" i="6"/>
  <c r="AG14" i="9"/>
  <c r="AE57" i="10"/>
  <c r="Z142" i="6"/>
  <c r="Z14" i="6"/>
  <c r="AR385" i="10"/>
  <c r="AD385" i="10"/>
  <c r="N57" i="10"/>
  <c r="Z369" i="6"/>
  <c r="Z147" i="6"/>
  <c r="G142" i="9"/>
  <c r="BE142" i="26"/>
  <c r="BF142" i="26" s="1"/>
  <c r="G142" i="6"/>
  <c r="I306" i="6"/>
  <c r="I306" i="9"/>
  <c r="Z361" i="6"/>
  <c r="AG267" i="9"/>
  <c r="Z286" i="6"/>
  <c r="G305" i="9"/>
  <c r="G305" i="6"/>
  <c r="BE305" i="26"/>
  <c r="G309" i="9"/>
  <c r="BE309" i="26"/>
  <c r="G309" i="6"/>
  <c r="Z29" i="6"/>
  <c r="AC42" i="9"/>
  <c r="Z284" i="6"/>
  <c r="BE35" i="26"/>
  <c r="BF35" i="26" s="1"/>
  <c r="G35" i="9"/>
  <c r="G35" i="6"/>
  <c r="BE14" i="26"/>
  <c r="G14" i="9"/>
  <c r="G14" i="6"/>
  <c r="I368" i="6"/>
  <c r="I368" i="9"/>
  <c r="AE306" i="9"/>
  <c r="AE146" i="9"/>
  <c r="AE186" i="9"/>
  <c r="BA130" i="10"/>
  <c r="BB168" i="10"/>
  <c r="BC168" i="10" s="1"/>
  <c r="BB148" i="10"/>
  <c r="BC148" i="10" s="1"/>
  <c r="AE354" i="9"/>
  <c r="BA142" i="10"/>
  <c r="BA121" i="10"/>
  <c r="BA113" i="10"/>
  <c r="AH221" i="6"/>
  <c r="AF221" i="6"/>
  <c r="BA349" i="10"/>
  <c r="BA87" i="10"/>
  <c r="BA25" i="10"/>
  <c r="BB79" i="10"/>
  <c r="BC79" i="10" s="1"/>
  <c r="BB201" i="10"/>
  <c r="BA233" i="10"/>
  <c r="BB103" i="10"/>
  <c r="BC103" i="10" s="1"/>
  <c r="BB24" i="10"/>
  <c r="BC24" i="10" s="1"/>
  <c r="BA173" i="10"/>
  <c r="BA297" i="10"/>
  <c r="BB154" i="10"/>
  <c r="BC154" i="10" s="1"/>
  <c r="BB163" i="10"/>
  <c r="BA195" i="10"/>
  <c r="BB263" i="10"/>
  <c r="BC263" i="10" s="1"/>
  <c r="BA136" i="10"/>
  <c r="BA108" i="10"/>
  <c r="BB176" i="10"/>
  <c r="AH239" i="9"/>
  <c r="BA50" i="10"/>
  <c r="BB252" i="10"/>
  <c r="BC252" i="10" s="1"/>
  <c r="BA284" i="10"/>
  <c r="BA300" i="10"/>
  <c r="AE69" i="9"/>
  <c r="AF162" i="9"/>
  <c r="AE94" i="9"/>
  <c r="AK785" i="10"/>
  <c r="AE785" i="10"/>
  <c r="M385" i="10"/>
  <c r="Q55" i="10"/>
  <c r="O455" i="10"/>
  <c r="AH57" i="10"/>
  <c r="W57" i="10"/>
  <c r="T457" i="10"/>
  <c r="V284" i="27"/>
  <c r="AM262" i="10"/>
  <c r="AA262" i="10"/>
  <c r="AF662" i="10"/>
  <c r="O262" i="10"/>
  <c r="N262" i="10"/>
  <c r="Y262" i="10"/>
  <c r="AN262" i="10"/>
  <c r="AQ262" i="10"/>
  <c r="O785" i="10"/>
  <c r="AJ385" i="10"/>
  <c r="P55" i="10"/>
  <c r="AJ55" i="10"/>
  <c r="P457" i="10"/>
  <c r="AC57" i="10"/>
  <c r="AQ457" i="10"/>
  <c r="AL262" i="10"/>
  <c r="AL662" i="10"/>
  <c r="Q262" i="10"/>
  <c r="V262" i="10"/>
  <c r="AE262" i="10"/>
  <c r="AW662" i="10"/>
  <c r="T662" i="10"/>
  <c r="AA662" i="10"/>
  <c r="AD662" i="10"/>
  <c r="AS662" i="10"/>
  <c r="AI662" i="10"/>
  <c r="K181" i="10"/>
  <c r="AW457" i="10"/>
  <c r="Q57" i="10"/>
  <c r="AY57" i="10"/>
  <c r="AA609" i="10"/>
  <c r="AL609" i="10"/>
  <c r="M209" i="10"/>
  <c r="M609" i="10"/>
  <c r="R57" i="10"/>
  <c r="AA209" i="10"/>
  <c r="N457" i="10"/>
  <c r="K662" i="10"/>
  <c r="AV662" i="10"/>
  <c r="AO262" i="10"/>
  <c r="J262" i="10"/>
  <c r="AG262" i="10"/>
  <c r="AK662" i="10"/>
  <c r="AY262" i="10"/>
  <c r="W662" i="10"/>
  <c r="AC262" i="10"/>
  <c r="AE662" i="10"/>
  <c r="N662" i="10"/>
  <c r="AX262" i="10"/>
  <c r="AV262" i="10"/>
  <c r="AK262" i="10"/>
  <c r="V662" i="10"/>
  <c r="AP662" i="10"/>
  <c r="J662" i="10"/>
  <c r="G74" i="10"/>
  <c r="X431" i="10"/>
  <c r="AO134" i="10"/>
  <c r="AM581" i="10"/>
  <c r="S57" i="10"/>
  <c r="AA457" i="10"/>
  <c r="AJ209" i="10"/>
  <c r="AP209" i="10"/>
  <c r="U609" i="10"/>
  <c r="O209" i="10"/>
  <c r="Y209" i="10"/>
  <c r="P209" i="10"/>
  <c r="P57" i="10"/>
  <c r="AM57" i="10"/>
  <c r="K57" i="10"/>
  <c r="AW262" i="10"/>
  <c r="AD262" i="10"/>
  <c r="AU662" i="10"/>
  <c r="U662" i="10"/>
  <c r="P262" i="10"/>
  <c r="W262" i="10"/>
  <c r="K262" i="10"/>
  <c r="T262" i="10"/>
  <c r="Y662" i="10"/>
  <c r="P662" i="10"/>
  <c r="AR262" i="10"/>
  <c r="O662" i="10"/>
  <c r="AB262" i="10"/>
  <c r="AX662" i="10"/>
  <c r="Z662" i="10"/>
  <c r="X662" i="10"/>
  <c r="AS262" i="10"/>
  <c r="R262" i="10"/>
  <c r="Q662" i="10"/>
  <c r="S262" i="10"/>
  <c r="AO785" i="10"/>
  <c r="L785" i="10"/>
  <c r="AR785" i="10"/>
  <c r="AG785" i="10"/>
  <c r="T785" i="10"/>
  <c r="T765" i="10"/>
  <c r="S455" i="10"/>
  <c r="AD455" i="10"/>
  <c r="K455" i="10"/>
  <c r="AF64" i="10"/>
  <c r="AA464" i="10"/>
  <c r="AM64" i="10"/>
  <c r="AJ64" i="10"/>
  <c r="AW64" i="10"/>
  <c r="V64" i="10"/>
  <c r="AK64" i="10"/>
  <c r="J64" i="10"/>
  <c r="N64" i="10"/>
  <c r="AX464" i="10"/>
  <c r="K464" i="10"/>
  <c r="AN464" i="10"/>
  <c r="AH464" i="10"/>
  <c r="AC464" i="10"/>
  <c r="AS464" i="10"/>
  <c r="AE64" i="10"/>
  <c r="N464" i="10"/>
  <c r="M64" i="10"/>
  <c r="U464" i="10"/>
  <c r="AG55" i="10"/>
  <c r="AT55" i="10"/>
  <c r="AM55" i="10"/>
  <c r="AB785" i="10"/>
  <c r="AP785" i="10"/>
  <c r="X785" i="10"/>
  <c r="T385" i="10"/>
  <c r="Y785" i="10"/>
  <c r="AW713" i="10"/>
  <c r="AE55" i="10"/>
  <c r="AU455" i="10"/>
  <c r="AG464" i="10"/>
  <c r="S464" i="10"/>
  <c r="AJ464" i="10"/>
  <c r="T64" i="10"/>
  <c r="AD64" i="10"/>
  <c r="V464" i="10"/>
  <c r="AV64" i="10"/>
  <c r="AI64" i="10"/>
  <c r="AS64" i="10"/>
  <c r="P464" i="10"/>
  <c r="AO464" i="10"/>
  <c r="AD464" i="10"/>
  <c r="AN64" i="10"/>
  <c r="AQ464" i="10"/>
  <c r="AO64" i="10"/>
  <c r="T464" i="10"/>
  <c r="Q464" i="10"/>
  <c r="Q64" i="10"/>
  <c r="AT64" i="10"/>
  <c r="AE464" i="10"/>
  <c r="AV464" i="10"/>
  <c r="Z55" i="10"/>
  <c r="AP55" i="10"/>
  <c r="AL55" i="10"/>
  <c r="AA55" i="10"/>
  <c r="AS455" i="10"/>
  <c r="AK134" i="10"/>
  <c r="V534" i="10"/>
  <c r="AD457" i="10"/>
  <c r="AS57" i="10"/>
  <c r="AM457" i="10"/>
  <c r="AP57" i="10"/>
  <c r="AA57" i="10"/>
  <c r="AU457" i="10"/>
  <c r="J457" i="10"/>
  <c r="AR457" i="10"/>
  <c r="L594" i="10"/>
  <c r="O534" i="10"/>
  <c r="Y534" i="10"/>
  <c r="X385" i="10"/>
  <c r="AX385" i="10"/>
  <c r="R785" i="10"/>
  <c r="J785" i="10"/>
  <c r="N785" i="10"/>
  <c r="AU785" i="10"/>
  <c r="W785" i="10"/>
  <c r="W385" i="10"/>
  <c r="P785" i="10"/>
  <c r="P385" i="10"/>
  <c r="Y457" i="10"/>
  <c r="U57" i="10"/>
  <c r="Y57" i="10"/>
  <c r="Q457" i="10"/>
  <c r="X57" i="10"/>
  <c r="O457" i="10"/>
  <c r="AI457" i="10"/>
  <c r="X457" i="10"/>
  <c r="AJ457" i="10"/>
  <c r="L57" i="10"/>
  <c r="O57" i="10"/>
  <c r="M57" i="10"/>
  <c r="AF57" i="10"/>
  <c r="S457" i="10"/>
  <c r="AW57" i="10"/>
  <c r="AE457" i="10"/>
  <c r="Z457" i="10"/>
  <c r="U457" i="10"/>
  <c r="AX457" i="10"/>
  <c r="AK57" i="10"/>
  <c r="J57" i="10"/>
  <c r="W457" i="10"/>
  <c r="AR662" i="10"/>
  <c r="AJ662" i="10"/>
  <c r="S662" i="10"/>
  <c r="AY662" i="10"/>
  <c r="Z262" i="10"/>
  <c r="AT262" i="10"/>
  <c r="R662" i="10"/>
  <c r="AB594" i="10"/>
  <c r="BD74" i="26"/>
  <c r="AB457" i="10"/>
  <c r="Z57" i="10"/>
  <c r="AT57" i="10"/>
  <c r="AN457" i="10"/>
  <c r="T57" i="10"/>
  <c r="AK457" i="10"/>
  <c r="AH457" i="10"/>
  <c r="AC457" i="10"/>
  <c r="AG457" i="10"/>
  <c r="K457" i="10"/>
  <c r="AB57" i="10"/>
  <c r="AO457" i="10"/>
  <c r="AV457" i="10"/>
  <c r="O594" i="10"/>
  <c r="AJ534" i="10"/>
  <c r="AG534" i="10"/>
  <c r="AV385" i="10"/>
  <c r="AO385" i="10"/>
  <c r="AD785" i="10"/>
  <c r="K385" i="10"/>
  <c r="AC385" i="10"/>
  <c r="U785" i="10"/>
  <c r="AF385" i="10"/>
  <c r="O385" i="10"/>
  <c r="AY785" i="10"/>
  <c r="AB385" i="10"/>
  <c r="AJ658" i="10"/>
  <c r="AQ57" i="10"/>
  <c r="AI57" i="10"/>
  <c r="V457" i="10"/>
  <c r="AT457" i="10"/>
  <c r="AG57" i="10"/>
  <c r="L457" i="10"/>
  <c r="M457" i="10"/>
  <c r="AY457" i="10"/>
  <c r="AJ57" i="10"/>
  <c r="R457" i="10"/>
  <c r="AL457" i="10"/>
  <c r="V57" i="10"/>
  <c r="AL57" i="10"/>
  <c r="AN57" i="10"/>
  <c r="AX57" i="10"/>
  <c r="AP457" i="10"/>
  <c r="AR57" i="10"/>
  <c r="AV57" i="10"/>
  <c r="AS457" i="10"/>
  <c r="AO57" i="10"/>
  <c r="AD194" i="10"/>
  <c r="AP194" i="10"/>
  <c r="Y594" i="10"/>
  <c r="AQ194" i="10"/>
  <c r="AL134" i="10"/>
  <c r="K534" i="10"/>
  <c r="M534" i="10"/>
  <c r="AF134" i="10"/>
  <c r="AS534" i="10"/>
  <c r="AY534" i="10"/>
  <c r="AW134" i="10"/>
  <c r="AV134" i="10"/>
  <c r="AK258" i="10"/>
  <c r="O667" i="10"/>
  <c r="AA181" i="10"/>
  <c r="Z581" i="10"/>
  <c r="P581" i="10"/>
  <c r="V581" i="10"/>
  <c r="G55" i="10"/>
  <c r="N594" i="10"/>
  <c r="AR594" i="10"/>
  <c r="AI194" i="10"/>
  <c r="AY594" i="10"/>
  <c r="AC134" i="10"/>
  <c r="AP534" i="10"/>
  <c r="S534" i="10"/>
  <c r="Z134" i="10"/>
  <c r="P534" i="10"/>
  <c r="O134" i="10"/>
  <c r="AE134" i="10"/>
  <c r="AP134" i="10"/>
  <c r="AR181" i="10"/>
  <c r="AV561" i="10"/>
  <c r="AR194" i="10"/>
  <c r="V194" i="10"/>
  <c r="S194" i="10"/>
  <c r="AH594" i="10"/>
  <c r="AJ134" i="10"/>
  <c r="L134" i="10"/>
  <c r="AT134" i="10"/>
  <c r="W134" i="10"/>
  <c r="AA534" i="10"/>
  <c r="X534" i="10"/>
  <c r="V134" i="10"/>
  <c r="AL534" i="10"/>
  <c r="AM258" i="10"/>
  <c r="AI291" i="10"/>
  <c r="AH181" i="10"/>
  <c r="S181" i="10"/>
  <c r="AD581" i="10"/>
  <c r="AT581" i="10"/>
  <c r="AH470" i="26"/>
  <c r="AI470" i="26" s="1"/>
  <c r="AK470" i="26" s="1"/>
  <c r="AV470" i="26" s="1"/>
  <c r="P470" i="26" s="1"/>
  <c r="Z594" i="10"/>
  <c r="AY194" i="10"/>
  <c r="AA194" i="10"/>
  <c r="P194" i="10"/>
  <c r="AF194" i="10"/>
  <c r="AH194" i="10"/>
  <c r="AL594" i="10"/>
  <c r="J594" i="10"/>
  <c r="AA31" i="10"/>
  <c r="AA134" i="10"/>
  <c r="N134" i="10"/>
  <c r="T134" i="10"/>
  <c r="AD534" i="10"/>
  <c r="AI134" i="10"/>
  <c r="AD134" i="10"/>
  <c r="AR534" i="10"/>
  <c r="AF534" i="10"/>
  <c r="M134" i="10"/>
  <c r="P134" i="10"/>
  <c r="AQ534" i="10"/>
  <c r="Q134" i="10"/>
  <c r="U134" i="10"/>
  <c r="AU534" i="10"/>
  <c r="K134" i="10"/>
  <c r="BB300" i="10"/>
  <c r="BC300" i="10" s="1"/>
  <c r="V94" i="10"/>
  <c r="T258" i="10"/>
  <c r="P181" i="10"/>
  <c r="AW581" i="10"/>
  <c r="AO587" i="10"/>
  <c r="W581" i="10"/>
  <c r="AU581" i="10"/>
  <c r="BD55" i="26"/>
  <c r="BF55" i="26" s="1"/>
  <c r="O181" i="10"/>
  <c r="AJ181" i="10"/>
  <c r="W609" i="10"/>
  <c r="AD609" i="10"/>
  <c r="AD209" i="10"/>
  <c r="AX609" i="10"/>
  <c r="R609" i="10"/>
  <c r="AL209" i="10"/>
  <c r="N609" i="10"/>
  <c r="V209" i="10"/>
  <c r="AV609" i="10"/>
  <c r="M594" i="10"/>
  <c r="AX194" i="10"/>
  <c r="N194" i="10"/>
  <c r="T194" i="10"/>
  <c r="AG194" i="10"/>
  <c r="AO594" i="10"/>
  <c r="AW594" i="10"/>
  <c r="AX431" i="10"/>
  <c r="AX534" i="10"/>
  <c r="AX134" i="10"/>
  <c r="AB534" i="10"/>
  <c r="R134" i="10"/>
  <c r="N534" i="10"/>
  <c r="J534" i="10"/>
  <c r="T534" i="10"/>
  <c r="AR134" i="10"/>
  <c r="R534" i="10"/>
  <c r="AC534" i="10"/>
  <c r="AH534" i="10"/>
  <c r="AG134" i="10"/>
  <c r="AB134" i="10"/>
  <c r="X134" i="10"/>
  <c r="AK534" i="10"/>
  <c r="Z534" i="10"/>
  <c r="AG258" i="10"/>
  <c r="AY691" i="10"/>
  <c r="AX181" i="10"/>
  <c r="Q581" i="10"/>
  <c r="AP181" i="10"/>
  <c r="AY581" i="10"/>
  <c r="AT209" i="10"/>
  <c r="AQ209" i="10"/>
  <c r="AQ609" i="10"/>
  <c r="R209" i="10"/>
  <c r="N209" i="10"/>
  <c r="AN209" i="10"/>
  <c r="AW209" i="10"/>
  <c r="J609" i="10"/>
  <c r="AI209" i="10"/>
  <c r="X609" i="10"/>
  <c r="AN609" i="10"/>
  <c r="AY609" i="10"/>
  <c r="AH609" i="10"/>
  <c r="AC209" i="10"/>
  <c r="BB50" i="10"/>
  <c r="BC50" i="10" s="1"/>
  <c r="AE385" i="10"/>
  <c r="V785" i="10"/>
  <c r="AG385" i="10"/>
  <c r="AS785" i="10"/>
  <c r="AN385" i="10"/>
  <c r="AA385" i="10"/>
  <c r="AL785" i="10"/>
  <c r="J385" i="10"/>
  <c r="S385" i="10"/>
  <c r="Q385" i="10"/>
  <c r="U385" i="10"/>
  <c r="AV785" i="10"/>
  <c r="AW385" i="10"/>
  <c r="K785" i="10"/>
  <c r="AP385" i="10"/>
  <c r="AI385" i="10"/>
  <c r="Q785" i="10"/>
  <c r="AN785" i="10"/>
  <c r="AF785" i="10"/>
  <c r="N385" i="10"/>
  <c r="AH785" i="10"/>
  <c r="BD288" i="26"/>
  <c r="BF288" i="26" s="1"/>
  <c r="V313" i="10"/>
  <c r="AH455" i="10"/>
  <c r="AT455" i="10"/>
  <c r="AI55" i="10"/>
  <c r="S55" i="10"/>
  <c r="R55" i="10"/>
  <c r="AK55" i="10"/>
  <c r="AW455" i="10"/>
  <c r="T455" i="10"/>
  <c r="AN55" i="10"/>
  <c r="AI785" i="10"/>
  <c r="AQ385" i="10"/>
  <c r="AC785" i="10"/>
  <c r="Z385" i="10"/>
  <c r="M785" i="10"/>
  <c r="Y385" i="10"/>
  <c r="AM385" i="10"/>
  <c r="AT385" i="10"/>
  <c r="V385" i="10"/>
  <c r="L385" i="10"/>
  <c r="AT785" i="10"/>
  <c r="AS385" i="10"/>
  <c r="AQ785" i="10"/>
  <c r="AY385" i="10"/>
  <c r="AJ785" i="10"/>
  <c r="AK385" i="10"/>
  <c r="R385" i="10"/>
  <c r="AH385" i="10"/>
  <c r="Z785" i="10"/>
  <c r="AM785" i="10"/>
  <c r="P313" i="10"/>
  <c r="AV313" i="10"/>
  <c r="R455" i="10"/>
  <c r="AY55" i="10"/>
  <c r="L55" i="10"/>
  <c r="AA455" i="10"/>
  <c r="P455" i="10"/>
  <c r="V64" i="27"/>
  <c r="AG455" i="10"/>
  <c r="U55" i="10"/>
  <c r="V55" i="10"/>
  <c r="AO55" i="10"/>
  <c r="AR455" i="10"/>
  <c r="AM455" i="10"/>
  <c r="P658" i="10"/>
  <c r="AW658" i="10"/>
  <c r="AQ258" i="10"/>
  <c r="P258" i="10"/>
  <c r="K258" i="10"/>
  <c r="AT181" i="10"/>
  <c r="AH581" i="10"/>
  <c r="N181" i="10"/>
  <c r="R181" i="10"/>
  <c r="J181" i="10"/>
  <c r="AQ181" i="10"/>
  <c r="AG181" i="10"/>
  <c r="AY181" i="10"/>
  <c r="AC181" i="10"/>
  <c r="AF581" i="10"/>
  <c r="AI581" i="10"/>
  <c r="M181" i="10"/>
  <c r="Z181" i="10"/>
  <c r="AI181" i="10"/>
  <c r="Q181" i="10"/>
  <c r="N581" i="10"/>
  <c r="X181" i="10"/>
  <c r="AR581" i="10"/>
  <c r="W181" i="10"/>
  <c r="T181" i="10"/>
  <c r="AI187" i="10"/>
  <c r="W494" i="10"/>
  <c r="AC258" i="10"/>
  <c r="U658" i="10"/>
  <c r="N658" i="10"/>
  <c r="AX658" i="10"/>
  <c r="R258" i="10"/>
  <c r="T291" i="10"/>
  <c r="AJ691" i="10"/>
  <c r="AK581" i="10"/>
  <c r="T581" i="10"/>
  <c r="L581" i="10"/>
  <c r="AC581" i="10"/>
  <c r="AE181" i="10"/>
  <c r="AG581" i="10"/>
  <c r="AY94" i="10"/>
  <c r="AR291" i="10"/>
  <c r="K581" i="10"/>
  <c r="AA581" i="10"/>
  <c r="AN581" i="10"/>
  <c r="AS181" i="10"/>
  <c r="AN181" i="10"/>
  <c r="AV581" i="10"/>
  <c r="AM181" i="10"/>
  <c r="J581" i="10"/>
  <c r="X581" i="10"/>
  <c r="M581" i="10"/>
  <c r="L181" i="10"/>
  <c r="U581" i="10"/>
  <c r="AO181" i="10"/>
  <c r="AJ581" i="10"/>
  <c r="J209" i="10"/>
  <c r="S609" i="10"/>
  <c r="Q609" i="10"/>
  <c r="AS609" i="10"/>
  <c r="AF609" i="10"/>
  <c r="AO209" i="10"/>
  <c r="AW609" i="10"/>
  <c r="V609" i="10"/>
  <c r="AU609" i="10"/>
  <c r="AY209" i="10"/>
  <c r="AS209" i="10"/>
  <c r="AE209" i="10"/>
  <c r="T609" i="10"/>
  <c r="L609" i="10"/>
  <c r="AK209" i="10"/>
  <c r="AJ609" i="10"/>
  <c r="Y609" i="10"/>
  <c r="AO609" i="10"/>
  <c r="AB209" i="10"/>
  <c r="AJ194" i="10"/>
  <c r="AX594" i="10"/>
  <c r="AD594" i="10"/>
  <c r="AS594" i="10"/>
  <c r="AW194" i="10"/>
  <c r="X594" i="10"/>
  <c r="R594" i="10"/>
  <c r="U594" i="10"/>
  <c r="AC594" i="10"/>
  <c r="AN594" i="10"/>
  <c r="AH134" i="10"/>
  <c r="AQ134" i="10"/>
  <c r="AN134" i="10"/>
  <c r="AN534" i="10"/>
  <c r="AO534" i="10"/>
  <c r="AW534" i="10"/>
  <c r="U534" i="10"/>
  <c r="AS134" i="10"/>
  <c r="AT534" i="10"/>
  <c r="S134" i="10"/>
  <c r="Y134" i="10"/>
  <c r="AE534" i="10"/>
  <c r="AI534" i="10"/>
  <c r="L534" i="10"/>
  <c r="W534" i="10"/>
  <c r="AM534" i="10"/>
  <c r="AM134" i="10"/>
  <c r="AY134" i="10"/>
  <c r="AV534" i="10"/>
  <c r="Q534" i="10"/>
  <c r="O258" i="10"/>
  <c r="T658" i="10"/>
  <c r="AL258" i="10"/>
  <c r="AP658" i="10"/>
  <c r="O658" i="10"/>
  <c r="AE581" i="10"/>
  <c r="AF181" i="10"/>
  <c r="AW181" i="10"/>
  <c r="R581" i="10"/>
  <c r="AL181" i="10"/>
  <c r="AP581" i="10"/>
  <c r="AB581" i="10"/>
  <c r="Y181" i="10"/>
  <c r="AX581" i="10"/>
  <c r="S581" i="10"/>
  <c r="Y581" i="10"/>
  <c r="AO581" i="10"/>
  <c r="AQ581" i="10"/>
  <c r="AL581" i="10"/>
  <c r="V181" i="10"/>
  <c r="AS581" i="10"/>
  <c r="AD181" i="10"/>
  <c r="AK181" i="10"/>
  <c r="U181" i="10"/>
  <c r="AB181" i="10"/>
  <c r="AV209" i="10"/>
  <c r="AR209" i="10"/>
  <c r="AP609" i="10"/>
  <c r="AX209" i="10"/>
  <c r="AG609" i="10"/>
  <c r="Q209" i="10"/>
  <c r="AM209" i="10"/>
  <c r="AC609" i="10"/>
  <c r="AF209" i="10"/>
  <c r="L209" i="10"/>
  <c r="AR161" i="10"/>
  <c r="AM609" i="10"/>
  <c r="AE609" i="10"/>
  <c r="AG209" i="10"/>
  <c r="O609" i="10"/>
  <c r="AR609" i="10"/>
  <c r="X209" i="10"/>
  <c r="S209" i="10"/>
  <c r="AB609" i="10"/>
  <c r="AK609" i="10"/>
  <c r="K209" i="10"/>
  <c r="V262" i="27"/>
  <c r="AA262" i="27" s="1"/>
  <c r="G262" i="10"/>
  <c r="K570" i="10"/>
  <c r="AU713" i="10"/>
  <c r="AJ313" i="10"/>
  <c r="AC55" i="10"/>
  <c r="AJ455" i="10"/>
  <c r="N455" i="10"/>
  <c r="AX455" i="10"/>
  <c r="AV55" i="10"/>
  <c r="AV455" i="10"/>
  <c r="X55" i="10"/>
  <c r="AH55" i="10"/>
  <c r="AB55" i="10"/>
  <c r="Q455" i="10"/>
  <c r="BD64" i="26"/>
  <c r="AY455" i="10"/>
  <c r="AF55" i="10"/>
  <c r="AR55" i="10"/>
  <c r="AF455" i="10"/>
  <c r="L455" i="10"/>
  <c r="V455" i="10"/>
  <c r="W455" i="10"/>
  <c r="N55" i="10"/>
  <c r="BD284" i="26"/>
  <c r="AI313" i="10"/>
  <c r="W313" i="10"/>
  <c r="M736" i="10"/>
  <c r="AE455" i="10"/>
  <c r="AB455" i="10"/>
  <c r="W55" i="10"/>
  <c r="AQ455" i="10"/>
  <c r="X455" i="10"/>
  <c r="AI455" i="10"/>
  <c r="Z455" i="10"/>
  <c r="AC455" i="10"/>
  <c r="AS55" i="10"/>
  <c r="AK455" i="10"/>
  <c r="AX55" i="10"/>
  <c r="M55" i="10"/>
  <c r="M455" i="10"/>
  <c r="T55" i="10"/>
  <c r="AQ55" i="10"/>
  <c r="AO455" i="10"/>
  <c r="AN455" i="10"/>
  <c r="Y55" i="10"/>
  <c r="Y455" i="10"/>
  <c r="AW55" i="10"/>
  <c r="J55" i="10"/>
  <c r="O55" i="10"/>
  <c r="T190" i="10"/>
  <c r="AA658" i="10"/>
  <c r="AM658" i="10"/>
  <c r="AF258" i="10"/>
  <c r="K658" i="10"/>
  <c r="L658" i="10"/>
  <c r="AQ658" i="10"/>
  <c r="AN258" i="10"/>
  <c r="AI658" i="10"/>
  <c r="U258" i="10"/>
  <c r="AB658" i="10"/>
  <c r="AD258" i="10"/>
  <c r="R658" i="10"/>
  <c r="W658" i="10"/>
  <c r="AG658" i="10"/>
  <c r="L258" i="10"/>
  <c r="Q258" i="10"/>
  <c r="Y258" i="10"/>
  <c r="AF658" i="10"/>
  <c r="AY658" i="10"/>
  <c r="J658" i="10"/>
  <c r="AR658" i="10"/>
  <c r="O691" i="10"/>
  <c r="AX291" i="10"/>
  <c r="Z269" i="27"/>
  <c r="S291" i="10"/>
  <c r="G181" i="10"/>
  <c r="L187" i="10"/>
  <c r="M691" i="10"/>
  <c r="W291" i="10"/>
  <c r="Q187" i="10"/>
  <c r="J267" i="10"/>
  <c r="AG267" i="10"/>
  <c r="S258" i="10"/>
  <c r="V658" i="10"/>
  <c r="AE658" i="10"/>
  <c r="Q658" i="10"/>
  <c r="AT258" i="10"/>
  <c r="AR258" i="10"/>
  <c r="AV658" i="10"/>
  <c r="X258" i="10"/>
  <c r="AA258" i="10"/>
  <c r="AW258" i="10"/>
  <c r="AP258" i="10"/>
  <c r="AY258" i="10"/>
  <c r="Z258" i="10"/>
  <c r="AN658" i="10"/>
  <c r="AB258" i="10"/>
  <c r="AV258" i="10"/>
  <c r="M658" i="10"/>
  <c r="J258" i="10"/>
  <c r="Z658" i="10"/>
  <c r="AS258" i="10"/>
  <c r="AX258" i="10"/>
  <c r="AL291" i="10"/>
  <c r="Y291" i="10"/>
  <c r="AX691" i="10"/>
  <c r="AG691" i="10"/>
  <c r="AE587" i="10"/>
  <c r="AK291" i="10"/>
  <c r="AU658" i="10"/>
  <c r="AS658" i="10"/>
  <c r="X658" i="10"/>
  <c r="AO658" i="10"/>
  <c r="AT658" i="10"/>
  <c r="AO258" i="10"/>
  <c r="AH258" i="10"/>
  <c r="AC658" i="10"/>
  <c r="Y658" i="10"/>
  <c r="AK658" i="10"/>
  <c r="AE258" i="10"/>
  <c r="N258" i="10"/>
  <c r="AJ258" i="10"/>
  <c r="AH658" i="10"/>
  <c r="M258" i="10"/>
  <c r="AD658" i="10"/>
  <c r="S658" i="10"/>
  <c r="AL658" i="10"/>
  <c r="W258" i="10"/>
  <c r="AI258" i="10"/>
  <c r="K691" i="10"/>
  <c r="AB691" i="10"/>
  <c r="X291" i="10"/>
  <c r="T691" i="10"/>
  <c r="V267" i="10"/>
  <c r="AT667" i="10"/>
  <c r="AN291" i="10"/>
  <c r="AY187" i="10"/>
  <c r="AV691" i="10"/>
  <c r="AO31" i="10"/>
  <c r="W31" i="10"/>
  <c r="AT431" i="10"/>
  <c r="AP174" i="10"/>
  <c r="AG31" i="10"/>
  <c r="AK31" i="10"/>
  <c r="AC31" i="10"/>
  <c r="P431" i="10"/>
  <c r="AI494" i="10"/>
  <c r="AV713" i="10"/>
  <c r="N667" i="10"/>
  <c r="Z94" i="10"/>
  <c r="P494" i="10"/>
  <c r="AC313" i="10"/>
  <c r="AB667" i="10"/>
  <c r="AN94" i="10"/>
  <c r="AH94" i="10"/>
  <c r="AS713" i="10"/>
  <c r="V313" i="27"/>
  <c r="AA313" i="27" s="1"/>
  <c r="L713" i="10"/>
  <c r="AO313" i="10"/>
  <c r="AV94" i="10"/>
  <c r="AB494" i="10"/>
  <c r="AU470" i="26"/>
  <c r="Q470" i="26" s="1"/>
  <c r="Q494" i="10"/>
  <c r="AG667" i="10"/>
  <c r="AA94" i="10"/>
  <c r="U267" i="10"/>
  <c r="K94" i="10"/>
  <c r="AP494" i="10"/>
  <c r="AU574" i="10"/>
  <c r="U431" i="10"/>
  <c r="Y431" i="10"/>
  <c r="AL431" i="10"/>
  <c r="V134" i="27"/>
  <c r="AU494" i="10"/>
  <c r="AK494" i="10"/>
  <c r="N313" i="10"/>
  <c r="AW494" i="10"/>
  <c r="AJ713" i="10"/>
  <c r="U713" i="10"/>
  <c r="Q667" i="10"/>
  <c r="T494" i="10"/>
  <c r="R313" i="10"/>
  <c r="AI713" i="10"/>
  <c r="AP267" i="10"/>
  <c r="W713" i="10"/>
  <c r="AB80" i="10"/>
  <c r="AR600" i="10"/>
  <c r="I271" i="6"/>
  <c r="G258" i="6"/>
  <c r="AN365" i="10"/>
  <c r="AE430" i="10"/>
  <c r="AP430" i="10"/>
  <c r="P305" i="10"/>
  <c r="Y305" i="10"/>
  <c r="BE258" i="26"/>
  <c r="BF258" i="26" s="1"/>
  <c r="S600" i="10"/>
  <c r="L590" i="10"/>
  <c r="Y190" i="10"/>
  <c r="AM590" i="10"/>
  <c r="AX590" i="10"/>
  <c r="P190" i="10"/>
  <c r="AU667" i="10"/>
  <c r="AR267" i="10"/>
  <c r="AH667" i="10"/>
  <c r="AE267" i="10"/>
  <c r="AM267" i="10"/>
  <c r="AA267" i="10"/>
  <c r="AN267" i="10"/>
  <c r="AV667" i="10"/>
  <c r="W267" i="10"/>
  <c r="AJ267" i="10"/>
  <c r="U667" i="10"/>
  <c r="AA667" i="10"/>
  <c r="AB267" i="10"/>
  <c r="AQ667" i="10"/>
  <c r="W667" i="10"/>
  <c r="K267" i="10"/>
  <c r="AP667" i="10"/>
  <c r="M667" i="10"/>
  <c r="Y267" i="10"/>
  <c r="AX667" i="10"/>
  <c r="AF667" i="10"/>
  <c r="Y80" i="10"/>
  <c r="AE80" i="10"/>
  <c r="O80" i="10"/>
  <c r="AX80" i="10"/>
  <c r="N480" i="10"/>
  <c r="AC80" i="10"/>
  <c r="P80" i="10"/>
  <c r="W480" i="10"/>
  <c r="AH480" i="10"/>
  <c r="R480" i="10"/>
  <c r="AA480" i="10"/>
  <c r="AP431" i="10"/>
  <c r="V431" i="10"/>
  <c r="AM431" i="10"/>
  <c r="AK431" i="10"/>
  <c r="AL31" i="10"/>
  <c r="AH31" i="10"/>
  <c r="AJ31" i="10"/>
  <c r="R431" i="10"/>
  <c r="N431" i="10"/>
  <c r="AU431" i="10"/>
  <c r="AW431" i="10"/>
  <c r="AY431" i="10"/>
  <c r="G154" i="10"/>
  <c r="V154" i="27"/>
  <c r="AA154" i="27" s="1"/>
  <c r="V142" i="27"/>
  <c r="AA142" i="27" s="1"/>
  <c r="G142" i="10"/>
  <c r="AX94" i="10"/>
  <c r="X494" i="10"/>
  <c r="AQ94" i="10"/>
  <c r="AH494" i="10"/>
  <c r="AV494" i="10"/>
  <c r="AI94" i="10"/>
  <c r="AS494" i="10"/>
  <c r="AW94" i="10"/>
  <c r="AT494" i="10"/>
  <c r="O494" i="10"/>
  <c r="AM494" i="10"/>
  <c r="L494" i="10"/>
  <c r="AL494" i="10"/>
  <c r="AS94" i="10"/>
  <c r="AO94" i="10"/>
  <c r="S94" i="10"/>
  <c r="AX494" i="10"/>
  <c r="AG494" i="10"/>
  <c r="P94" i="10"/>
  <c r="AR94" i="10"/>
  <c r="T94" i="10"/>
  <c r="U94" i="10"/>
  <c r="AT94" i="10"/>
  <c r="AE94" i="10"/>
  <c r="M494" i="10"/>
  <c r="AO494" i="10"/>
  <c r="Q94" i="10"/>
  <c r="AM94" i="10"/>
  <c r="AY494" i="10"/>
  <c r="O94" i="10"/>
  <c r="N94" i="10"/>
  <c r="V494" i="10"/>
  <c r="R94" i="10"/>
  <c r="L94" i="10"/>
  <c r="AJ94" i="10"/>
  <c r="AJ494" i="10"/>
  <c r="S494" i="10"/>
  <c r="AN494" i="10"/>
  <c r="AL94" i="10"/>
  <c r="AF494" i="10"/>
  <c r="Z494" i="10"/>
  <c r="AK94" i="10"/>
  <c r="R494" i="10"/>
  <c r="G130" i="10"/>
  <c r="BD130" i="26"/>
  <c r="V275" i="27"/>
  <c r="AA275" i="27" s="1"/>
  <c r="BD275" i="26"/>
  <c r="BF275" i="26" s="1"/>
  <c r="G202" i="10"/>
  <c r="V202" i="27"/>
  <c r="AA202" i="27" s="1"/>
  <c r="U194" i="10"/>
  <c r="AL194" i="10"/>
  <c r="W194" i="10"/>
  <c r="X194" i="10"/>
  <c r="AQ594" i="10"/>
  <c r="AV594" i="10"/>
  <c r="AK594" i="10"/>
  <c r="AV194" i="10"/>
  <c r="W594" i="10"/>
  <c r="L194" i="10"/>
  <c r="AK194" i="10"/>
  <c r="AO194" i="10"/>
  <c r="AM594" i="10"/>
  <c r="Z194" i="10"/>
  <c r="AN194" i="10"/>
  <c r="J194" i="10"/>
  <c r="AT594" i="10"/>
  <c r="AT194" i="10"/>
  <c r="S594" i="10"/>
  <c r="AA594" i="10"/>
  <c r="AP594" i="10"/>
  <c r="AD574" i="10"/>
  <c r="V574" i="10"/>
  <c r="AC431" i="10"/>
  <c r="AI31" i="10"/>
  <c r="AB31" i="10"/>
  <c r="AD431" i="10"/>
  <c r="J31" i="10"/>
  <c r="K31" i="10"/>
  <c r="AQ431" i="10"/>
  <c r="AQ31" i="10"/>
  <c r="AC494" i="10"/>
  <c r="AD494" i="10"/>
  <c r="AH267" i="10"/>
  <c r="M94" i="10"/>
  <c r="AF94" i="10"/>
  <c r="AC94" i="10"/>
  <c r="Z667" i="10"/>
  <c r="AG94" i="10"/>
  <c r="AD94" i="10"/>
  <c r="O267" i="10"/>
  <c r="AK667" i="10"/>
  <c r="W590" i="10"/>
  <c r="L190" i="10"/>
  <c r="AJ190" i="10"/>
  <c r="AM691" i="10"/>
  <c r="AS691" i="10"/>
  <c r="AL691" i="10"/>
  <c r="AD691" i="10"/>
  <c r="AF691" i="10"/>
  <c r="V691" i="10"/>
  <c r="Y691" i="10"/>
  <c r="Z291" i="10"/>
  <c r="W94" i="10"/>
  <c r="J94" i="10"/>
  <c r="P267" i="10"/>
  <c r="N187" i="10"/>
  <c r="AM187" i="10"/>
  <c r="AH291" i="10"/>
  <c r="BD176" i="26"/>
  <c r="AG348" i="9"/>
  <c r="BD161" i="26"/>
  <c r="S80" i="10"/>
  <c r="V80" i="10"/>
  <c r="T80" i="10"/>
  <c r="S480" i="10"/>
  <c r="AI587" i="10"/>
  <c r="R187" i="10"/>
  <c r="AS587" i="10"/>
  <c r="AP187" i="10"/>
  <c r="AT187" i="10"/>
  <c r="S187" i="10"/>
  <c r="AC187" i="10"/>
  <c r="AX187" i="10"/>
  <c r="S587" i="10"/>
  <c r="AV187" i="10"/>
  <c r="U587" i="10"/>
  <c r="L587" i="10"/>
  <c r="Z587" i="10"/>
  <c r="W187" i="10"/>
  <c r="AB187" i="10"/>
  <c r="AH587" i="10"/>
  <c r="AU561" i="10"/>
  <c r="Y161" i="10"/>
  <c r="AA161" i="10"/>
  <c r="Q561" i="10"/>
  <c r="Y561" i="10"/>
  <c r="AJ161" i="10"/>
  <c r="BD200" i="26"/>
  <c r="BF200" i="26" s="1"/>
  <c r="V200" i="27"/>
  <c r="BD201" i="26"/>
  <c r="G201" i="10"/>
  <c r="W691" i="10"/>
  <c r="Z691" i="10"/>
  <c r="AH691" i="10"/>
  <c r="U291" i="10"/>
  <c r="P291" i="10"/>
  <c r="AB291" i="10"/>
  <c r="AD291" i="10"/>
  <c r="AR691" i="10"/>
  <c r="O291" i="10"/>
  <c r="AW291" i="10"/>
  <c r="L291" i="10"/>
  <c r="X691" i="10"/>
  <c r="AN691" i="10"/>
  <c r="Q291" i="10"/>
  <c r="U691" i="10"/>
  <c r="AF291" i="10"/>
  <c r="AA691" i="10"/>
  <c r="K291" i="10"/>
  <c r="AW691" i="10"/>
  <c r="AP291" i="10"/>
  <c r="S691" i="10"/>
  <c r="AE691" i="10"/>
  <c r="AO291" i="10"/>
  <c r="AG291" i="10"/>
  <c r="AA291" i="10"/>
  <c r="N291" i="10"/>
  <c r="N691" i="10"/>
  <c r="AV291" i="10"/>
  <c r="AJ291" i="10"/>
  <c r="AT291" i="10"/>
  <c r="J291" i="10"/>
  <c r="AQ291" i="10"/>
  <c r="AC691" i="10"/>
  <c r="R691" i="10"/>
  <c r="AM291" i="10"/>
  <c r="AU691" i="10"/>
  <c r="V291" i="10"/>
  <c r="AQ691" i="10"/>
  <c r="Q691" i="10"/>
  <c r="AP691" i="10"/>
  <c r="AI691" i="10"/>
  <c r="AE291" i="10"/>
  <c r="K594" i="10"/>
  <c r="AE194" i="10"/>
  <c r="AF594" i="10"/>
  <c r="AU594" i="10"/>
  <c r="R194" i="10"/>
  <c r="AM194" i="10"/>
  <c r="Y194" i="10"/>
  <c r="O194" i="10"/>
  <c r="V594" i="10"/>
  <c r="AC194" i="10"/>
  <c r="AS194" i="10"/>
  <c r="AJ594" i="10"/>
  <c r="K194" i="10"/>
  <c r="M194" i="10"/>
  <c r="AE594" i="10"/>
  <c r="P594" i="10"/>
  <c r="T594" i="10"/>
  <c r="AI594" i="10"/>
  <c r="AG594" i="10"/>
  <c r="Q594" i="10"/>
  <c r="BB151" i="10"/>
  <c r="BC151" i="10" s="1"/>
  <c r="U174" i="10"/>
  <c r="AM31" i="10"/>
  <c r="AS431" i="10"/>
  <c r="AS31" i="10"/>
  <c r="AY31" i="10"/>
  <c r="AV431" i="10"/>
  <c r="W431" i="10"/>
  <c r="Y31" i="10"/>
  <c r="F305" i="27"/>
  <c r="BD134" i="26"/>
  <c r="G275" i="10"/>
  <c r="Y494" i="10"/>
  <c r="X94" i="10"/>
  <c r="Y94" i="10"/>
  <c r="M267" i="10"/>
  <c r="J494" i="10"/>
  <c r="AB94" i="10"/>
  <c r="AL667" i="10"/>
  <c r="U494" i="10"/>
  <c r="AE494" i="10"/>
  <c r="N494" i="10"/>
  <c r="AW267" i="10"/>
  <c r="AT691" i="10"/>
  <c r="AO691" i="10"/>
  <c r="AC291" i="10"/>
  <c r="V201" i="27"/>
  <c r="P691" i="10"/>
  <c r="AS291" i="10"/>
  <c r="L691" i="10"/>
  <c r="M291" i="10"/>
  <c r="AQ494" i="10"/>
  <c r="AP94" i="10"/>
  <c r="AW187" i="10"/>
  <c r="P187" i="10"/>
  <c r="J691" i="10"/>
  <c r="R291" i="10"/>
  <c r="AK691" i="10"/>
  <c r="AL187" i="10"/>
  <c r="AF187" i="10"/>
  <c r="AR494" i="10"/>
  <c r="AY161" i="10"/>
  <c r="K187" i="10"/>
  <c r="L480" i="10"/>
  <c r="AS480" i="10"/>
  <c r="J480" i="10"/>
  <c r="AM80" i="10"/>
  <c r="AM517" i="26"/>
  <c r="AO517" i="26" s="1"/>
  <c r="AN517" i="26" s="1"/>
  <c r="BF517" i="26" s="1"/>
  <c r="S313" i="10"/>
  <c r="AL313" i="10"/>
  <c r="Y713" i="10"/>
  <c r="AG713" i="10"/>
  <c r="S713" i="10"/>
  <c r="AY313" i="10"/>
  <c r="AB313" i="10"/>
  <c r="AE313" i="10"/>
  <c r="Z713" i="10"/>
  <c r="AK713" i="10"/>
  <c r="Y728" i="10"/>
  <c r="Z736" i="10"/>
  <c r="V181" i="27"/>
  <c r="AY200" i="10"/>
  <c r="AD313" i="10"/>
  <c r="AR30" i="10"/>
  <c r="AC705" i="10"/>
  <c r="X713" i="10"/>
  <c r="AN713" i="10"/>
  <c r="AB713" i="10"/>
  <c r="AD365" i="10"/>
  <c r="M313" i="10"/>
  <c r="T713" i="10"/>
  <c r="AH365" i="10"/>
  <c r="AA313" i="10"/>
  <c r="J313" i="10"/>
  <c r="AR713" i="10"/>
  <c r="AE365" i="10"/>
  <c r="Y313" i="10"/>
  <c r="AS313" i="10"/>
  <c r="K736" i="10"/>
  <c r="AD430" i="10"/>
  <c r="W430" i="10"/>
  <c r="AI305" i="10"/>
  <c r="H348" i="27"/>
  <c r="AW170" i="10"/>
  <c r="AV570" i="10"/>
  <c r="AT728" i="10"/>
  <c r="AD336" i="10"/>
  <c r="AD736" i="10"/>
  <c r="AS200" i="10"/>
  <c r="AC200" i="10"/>
  <c r="AW200" i="10"/>
  <c r="G178" i="10"/>
  <c r="N305" i="10"/>
  <c r="AK305" i="10"/>
  <c r="AC305" i="10"/>
  <c r="J305" i="10"/>
  <c r="AV705" i="10"/>
  <c r="AD705" i="10"/>
  <c r="V705" i="10"/>
  <c r="X705" i="10"/>
  <c r="BD37" i="26"/>
  <c r="AC258" i="9"/>
  <c r="T570" i="10"/>
  <c r="P736" i="10"/>
  <c r="W736" i="10"/>
  <c r="AP600" i="10"/>
  <c r="J600" i="10"/>
  <c r="Z200" i="10"/>
  <c r="J705" i="10"/>
  <c r="O305" i="10"/>
  <c r="AQ705" i="10"/>
  <c r="AR305" i="10"/>
  <c r="AQ305" i="10"/>
  <c r="F247" i="6"/>
  <c r="AH570" i="10"/>
  <c r="Z65" i="27"/>
  <c r="W336" i="10"/>
  <c r="AH736" i="10"/>
  <c r="AC736" i="10"/>
  <c r="AM600" i="10"/>
  <c r="AB200" i="10"/>
  <c r="AE305" i="10"/>
  <c r="AP705" i="10"/>
  <c r="O705" i="10"/>
  <c r="AO705" i="10"/>
  <c r="R705" i="10"/>
  <c r="P227" i="26"/>
  <c r="G37" i="10"/>
  <c r="F129" i="27"/>
  <c r="Q600" i="10"/>
  <c r="P600" i="10"/>
  <c r="AU600" i="10"/>
  <c r="AL200" i="10"/>
  <c r="L600" i="10"/>
  <c r="S200" i="10"/>
  <c r="V200" i="10"/>
  <c r="AJ600" i="10"/>
  <c r="Q200" i="10"/>
  <c r="AB600" i="10"/>
  <c r="AJ716" i="10"/>
  <c r="AY667" i="10"/>
  <c r="F247" i="9"/>
  <c r="S705" i="10"/>
  <c r="AA305" i="10"/>
  <c r="F328" i="27"/>
  <c r="AH705" i="10"/>
  <c r="K305" i="10"/>
  <c r="AE705" i="10"/>
  <c r="AB305" i="10"/>
  <c r="AT705" i="10"/>
  <c r="T705" i="10"/>
  <c r="AS305" i="10"/>
  <c r="AW305" i="10"/>
  <c r="N705" i="10"/>
  <c r="AB705" i="10"/>
  <c r="AL705" i="10"/>
  <c r="AL305" i="10"/>
  <c r="Z187" i="10"/>
  <c r="Y187" i="10"/>
  <c r="AR187" i="10"/>
  <c r="U705" i="10"/>
  <c r="W305" i="10"/>
  <c r="AN305" i="10"/>
  <c r="Y705" i="10"/>
  <c r="Q305" i="10"/>
  <c r="Y247" i="27"/>
  <c r="G247" i="27" s="1"/>
  <c r="V305" i="10"/>
  <c r="AW587" i="10"/>
  <c r="AO200" i="10"/>
  <c r="AR200" i="10"/>
  <c r="X600" i="10"/>
  <c r="AC600" i="10"/>
  <c r="AD200" i="10"/>
  <c r="AW600" i="10"/>
  <c r="AP200" i="10"/>
  <c r="AG200" i="10"/>
  <c r="AH600" i="10"/>
  <c r="O200" i="10"/>
  <c r="AD305" i="10"/>
  <c r="AG305" i="10"/>
  <c r="AN705" i="10"/>
  <c r="AF705" i="10"/>
  <c r="L705" i="10"/>
  <c r="AS705" i="10"/>
  <c r="AA705" i="10"/>
  <c r="Q705" i="10"/>
  <c r="W705" i="10"/>
  <c r="L305" i="10"/>
  <c r="AV305" i="10"/>
  <c r="AY705" i="10"/>
  <c r="M705" i="10"/>
  <c r="P705" i="10"/>
  <c r="AX305" i="10"/>
  <c r="AT305" i="10"/>
  <c r="K705" i="10"/>
  <c r="AU705" i="10"/>
  <c r="AG705" i="10"/>
  <c r="AK705" i="10"/>
  <c r="F227" i="9"/>
  <c r="W441" i="10"/>
  <c r="BD38" i="26"/>
  <c r="V38" i="27"/>
  <c r="AA38" i="27" s="1"/>
  <c r="AS41" i="10"/>
  <c r="BD80" i="26"/>
  <c r="W165" i="10"/>
  <c r="AC165" i="10"/>
  <c r="K565" i="10"/>
  <c r="AT565" i="10"/>
  <c r="AE165" i="10"/>
  <c r="P165" i="10"/>
  <c r="AH565" i="10"/>
  <c r="AH165" i="10"/>
  <c r="N165" i="10"/>
  <c r="P565" i="10"/>
  <c r="L165" i="10"/>
  <c r="AG165" i="10"/>
  <c r="AF565" i="10"/>
  <c r="N565" i="10"/>
  <c r="K165" i="10"/>
  <c r="AV165" i="10"/>
  <c r="AN565" i="10"/>
  <c r="Y165" i="10"/>
  <c r="AU565" i="10"/>
  <c r="AA165" i="10"/>
  <c r="AD565" i="10"/>
  <c r="V165" i="10"/>
  <c r="AN165" i="10"/>
  <c r="AI165" i="10"/>
  <c r="Z165" i="10"/>
  <c r="M165" i="10"/>
  <c r="AO565" i="10"/>
  <c r="AJ165" i="10"/>
  <c r="AV565" i="10"/>
  <c r="AP165" i="10"/>
  <c r="U165" i="10"/>
  <c r="AA565" i="10"/>
  <c r="AI565" i="10"/>
  <c r="AW165" i="10"/>
  <c r="AM165" i="10"/>
  <c r="V565" i="10"/>
  <c r="AT165" i="10"/>
  <c r="AP565" i="10"/>
  <c r="AY565" i="10"/>
  <c r="AG565" i="10"/>
  <c r="AX165" i="10"/>
  <c r="AK565" i="10"/>
  <c r="AK165" i="10"/>
  <c r="AQ165" i="10"/>
  <c r="AE565" i="10"/>
  <c r="AD165" i="10"/>
  <c r="J165" i="10"/>
  <c r="AR165" i="10"/>
  <c r="L565" i="10"/>
  <c r="AM565" i="10"/>
  <c r="U565" i="10"/>
  <c r="M565" i="10"/>
  <c r="AX565" i="10"/>
  <c r="W565" i="10"/>
  <c r="J565" i="10"/>
  <c r="R165" i="10"/>
  <c r="S565" i="10"/>
  <c r="X165" i="10"/>
  <c r="AF165" i="10"/>
  <c r="AL165" i="10"/>
  <c r="AB165" i="10"/>
  <c r="AC565" i="10"/>
  <c r="R565" i="10"/>
  <c r="AQ565" i="10"/>
  <c r="AL565" i="10"/>
  <c r="T165" i="10"/>
  <c r="AB565" i="10"/>
  <c r="Y565" i="10"/>
  <c r="O165" i="10"/>
  <c r="AY165" i="10"/>
  <c r="AJ565" i="10"/>
  <c r="S165" i="10"/>
  <c r="AR565" i="10"/>
  <c r="AS165" i="10"/>
  <c r="Q565" i="10"/>
  <c r="AO165" i="10"/>
  <c r="X565" i="10"/>
  <c r="O565" i="10"/>
  <c r="Z565" i="10"/>
  <c r="T565" i="10"/>
  <c r="Q165" i="10"/>
  <c r="AS565" i="10"/>
  <c r="AW565" i="10"/>
  <c r="BB284" i="10"/>
  <c r="BC284" i="10" s="1"/>
  <c r="W200" i="10"/>
  <c r="Y200" i="10"/>
  <c r="AS600" i="10"/>
  <c r="AQ600" i="10"/>
  <c r="Y600" i="10"/>
  <c r="AK200" i="10"/>
  <c r="O600" i="10"/>
  <c r="T600" i="10"/>
  <c r="AE600" i="10"/>
  <c r="AX600" i="10"/>
  <c r="AA600" i="10"/>
  <c r="R305" i="10"/>
  <c r="Z705" i="10"/>
  <c r="AM705" i="10"/>
  <c r="AH305" i="10"/>
  <c r="AJ305" i="10"/>
  <c r="AX705" i="10"/>
  <c r="AJ705" i="10"/>
  <c r="AF305" i="10"/>
  <c r="M305" i="10"/>
  <c r="U305" i="10"/>
  <c r="AI705" i="10"/>
  <c r="AO305" i="10"/>
  <c r="AP305" i="10"/>
  <c r="T305" i="10"/>
  <c r="Z305" i="10"/>
  <c r="AW705" i="10"/>
  <c r="T187" i="10"/>
  <c r="AG187" i="10"/>
  <c r="AA187" i="10"/>
  <c r="AT587" i="10"/>
  <c r="V161" i="27"/>
  <c r="Y587" i="10"/>
  <c r="AY305" i="10"/>
  <c r="X305" i="10"/>
  <c r="S305" i="10"/>
  <c r="X187" i="10"/>
  <c r="N587" i="10"/>
  <c r="O41" i="10"/>
  <c r="V190" i="27"/>
  <c r="AA190" i="27" s="1"/>
  <c r="BD190" i="26"/>
  <c r="G190" i="10"/>
  <c r="S431" i="10"/>
  <c r="AX31" i="10"/>
  <c r="X31" i="10"/>
  <c r="AN431" i="10"/>
  <c r="AW31" i="10"/>
  <c r="Z431" i="10"/>
  <c r="K431" i="10"/>
  <c r="AD31" i="10"/>
  <c r="AF431" i="10"/>
  <c r="AO431" i="10"/>
  <c r="T31" i="10"/>
  <c r="AG431" i="10"/>
  <c r="AE31" i="10"/>
  <c r="AI431" i="10"/>
  <c r="U31" i="10"/>
  <c r="AA431" i="10"/>
  <c r="AR431" i="10"/>
  <c r="Z31" i="10"/>
  <c r="R31" i="10"/>
  <c r="O431" i="10"/>
  <c r="N31" i="10"/>
  <c r="H186" i="27"/>
  <c r="AX170" i="10"/>
  <c r="S570" i="10"/>
  <c r="AG570" i="10"/>
  <c r="N365" i="10"/>
  <c r="N728" i="10"/>
  <c r="AN736" i="10"/>
  <c r="Y736" i="10"/>
  <c r="U736" i="10"/>
  <c r="AG736" i="10"/>
  <c r="N336" i="10"/>
  <c r="M336" i="10"/>
  <c r="AC430" i="10"/>
  <c r="AJ561" i="10"/>
  <c r="AX561" i="10"/>
  <c r="AX430" i="10"/>
  <c r="AK561" i="10"/>
  <c r="AA561" i="10"/>
  <c r="AH561" i="10"/>
  <c r="AG161" i="10"/>
  <c r="AX480" i="10"/>
  <c r="Q80" i="10"/>
  <c r="AJ480" i="10"/>
  <c r="AK80" i="10"/>
  <c r="AF480" i="10"/>
  <c r="AW480" i="10"/>
  <c r="AL480" i="10"/>
  <c r="AQ480" i="10"/>
  <c r="AT480" i="10"/>
  <c r="AJ80" i="10"/>
  <c r="S31" i="10"/>
  <c r="AT31" i="10"/>
  <c r="AP31" i="10"/>
  <c r="J431" i="10"/>
  <c r="AR31" i="10"/>
  <c r="M31" i="10"/>
  <c r="AH431" i="10"/>
  <c r="AN31" i="10"/>
  <c r="AB431" i="10"/>
  <c r="L31" i="10"/>
  <c r="L431" i="10"/>
  <c r="AF31" i="10"/>
  <c r="Q31" i="10"/>
  <c r="P31" i="10"/>
  <c r="M431" i="10"/>
  <c r="AE431" i="10"/>
  <c r="AJ431" i="10"/>
  <c r="Q431" i="10"/>
  <c r="V31" i="10"/>
  <c r="T431" i="10"/>
  <c r="AY320" i="10"/>
  <c r="AP170" i="10"/>
  <c r="AS570" i="10"/>
  <c r="Q170" i="10"/>
  <c r="AJ365" i="10"/>
  <c r="AF765" i="10"/>
  <c r="AF328" i="10"/>
  <c r="O728" i="10"/>
  <c r="AL736" i="10"/>
  <c r="O736" i="10"/>
  <c r="Z336" i="10"/>
  <c r="AR736" i="10"/>
  <c r="AW336" i="10"/>
  <c r="G41" i="10"/>
  <c r="AQ30" i="10"/>
  <c r="AM161" i="10"/>
  <c r="P561" i="10"/>
  <c r="AW561" i="10"/>
  <c r="AW430" i="10"/>
  <c r="AE30" i="10"/>
  <c r="G200" i="10"/>
  <c r="AP161" i="10"/>
  <c r="AF161" i="10"/>
  <c r="AE161" i="10"/>
  <c r="Y480" i="10"/>
  <c r="AN480" i="10"/>
  <c r="Z480" i="10"/>
  <c r="K480" i="10"/>
  <c r="AG480" i="10"/>
  <c r="AE480" i="10"/>
  <c r="AA80" i="10"/>
  <c r="AY480" i="10"/>
  <c r="AO480" i="10"/>
  <c r="Z189" i="27"/>
  <c r="K574" i="10"/>
  <c r="AR174" i="10"/>
  <c r="J174" i="10"/>
  <c r="AX713" i="10"/>
  <c r="AT313" i="10"/>
  <c r="AC713" i="10"/>
  <c r="K313" i="10"/>
  <c r="AO713" i="10"/>
  <c r="X667" i="10"/>
  <c r="R267" i="10"/>
  <c r="AD667" i="10"/>
  <c r="AI267" i="10"/>
  <c r="AY267" i="10"/>
  <c r="AK313" i="10"/>
  <c r="U313" i="10"/>
  <c r="L313" i="10"/>
  <c r="AM713" i="10"/>
  <c r="M713" i="10"/>
  <c r="AQ267" i="10"/>
  <c r="AL267" i="10"/>
  <c r="AF267" i="10"/>
  <c r="AR667" i="10"/>
  <c r="AC267" i="10"/>
  <c r="AP713" i="10"/>
  <c r="T313" i="10"/>
  <c r="V713" i="10"/>
  <c r="AF313" i="10"/>
  <c r="Q313" i="10"/>
  <c r="AW313" i="10"/>
  <c r="Q267" i="10"/>
  <c r="K667" i="10"/>
  <c r="AM667" i="10"/>
  <c r="Z267" i="10"/>
  <c r="AS667" i="10"/>
  <c r="X267" i="10"/>
  <c r="AP190" i="10"/>
  <c r="AR313" i="10"/>
  <c r="AQ313" i="10"/>
  <c r="J713" i="10"/>
  <c r="N713" i="10"/>
  <c r="AV590" i="10"/>
  <c r="S190" i="10"/>
  <c r="Y590" i="10"/>
  <c r="AD267" i="10"/>
  <c r="AJ667" i="10"/>
  <c r="L667" i="10"/>
  <c r="L267" i="10"/>
  <c r="AO667" i="10"/>
  <c r="AF587" i="10"/>
  <c r="AM587" i="10"/>
  <c r="V587" i="10"/>
  <c r="AJ187" i="10"/>
  <c r="AH187" i="10"/>
  <c r="T587" i="10"/>
  <c r="AG587" i="10"/>
  <c r="X587" i="10"/>
  <c r="O187" i="10"/>
  <c r="W600" i="10"/>
  <c r="AO600" i="10"/>
  <c r="AI600" i="10"/>
  <c r="T200" i="10"/>
  <c r="V600" i="10"/>
  <c r="R200" i="10"/>
  <c r="K600" i="10"/>
  <c r="L200" i="10"/>
  <c r="AG600" i="10"/>
  <c r="M600" i="10"/>
  <c r="AN200" i="10"/>
  <c r="N600" i="10"/>
  <c r="AE200" i="10"/>
  <c r="K200" i="10"/>
  <c r="AD600" i="10"/>
  <c r="AF600" i="10"/>
  <c r="AT600" i="10"/>
  <c r="AN600" i="10"/>
  <c r="AJ200" i="10"/>
  <c r="J200" i="10"/>
  <c r="N200" i="10"/>
  <c r="M190" i="10"/>
  <c r="AK267" i="10"/>
  <c r="AL587" i="10"/>
  <c r="AA587" i="10"/>
  <c r="AE187" i="10"/>
  <c r="M187" i="10"/>
  <c r="AQ587" i="10"/>
  <c r="AV587" i="10"/>
  <c r="AC587" i="10"/>
  <c r="K587" i="10"/>
  <c r="AQ187" i="10"/>
  <c r="P587" i="10"/>
  <c r="AK187" i="10"/>
  <c r="Y227" i="27"/>
  <c r="G227" i="27" s="1"/>
  <c r="L441" i="10"/>
  <c r="AU480" i="10"/>
  <c r="T480" i="10"/>
  <c r="L80" i="10"/>
  <c r="AD480" i="10"/>
  <c r="AI480" i="10"/>
  <c r="AH80" i="10"/>
  <c r="U480" i="10"/>
  <c r="AP80" i="10"/>
  <c r="O480" i="10"/>
  <c r="M480" i="10"/>
  <c r="V480" i="10"/>
  <c r="AM480" i="10"/>
  <c r="AS80" i="10"/>
  <c r="Q480" i="10"/>
  <c r="AL80" i="10"/>
  <c r="AR80" i="10"/>
  <c r="AQ80" i="10"/>
  <c r="R80" i="10"/>
  <c r="W80" i="10"/>
  <c r="AR480" i="10"/>
  <c r="U80" i="10"/>
  <c r="AP480" i="10"/>
  <c r="X80" i="10"/>
  <c r="AC480" i="10"/>
  <c r="AD80" i="10"/>
  <c r="X480" i="10"/>
  <c r="M80" i="10"/>
  <c r="AY80" i="10"/>
  <c r="AW80" i="10"/>
  <c r="K80" i="10"/>
  <c r="N80" i="10"/>
  <c r="AN80" i="10"/>
  <c r="AK480" i="10"/>
  <c r="AI80" i="10"/>
  <c r="J80" i="10"/>
  <c r="Z80" i="10"/>
  <c r="AF80" i="10"/>
  <c r="P480" i="10"/>
  <c r="AB480" i="10"/>
  <c r="AV80" i="10"/>
  <c r="AV480" i="10"/>
  <c r="AO80" i="10"/>
  <c r="AT80" i="10"/>
  <c r="K438" i="10"/>
  <c r="AT438" i="10"/>
  <c r="U38" i="10"/>
  <c r="AK38" i="10"/>
  <c r="AX38" i="10"/>
  <c r="AY38" i="10"/>
  <c r="W38" i="10"/>
  <c r="P438" i="10"/>
  <c r="K38" i="10"/>
  <c r="AH438" i="10"/>
  <c r="M438" i="10"/>
  <c r="Y438" i="10"/>
  <c r="N438" i="10"/>
  <c r="AH38" i="10"/>
  <c r="AA438" i="10"/>
  <c r="Z438" i="10"/>
  <c r="X38" i="10"/>
  <c r="AL438" i="10"/>
  <c r="AP38" i="10"/>
  <c r="AQ38" i="10"/>
  <c r="T38" i="10"/>
  <c r="Z38" i="10"/>
  <c r="P38" i="10"/>
  <c r="Q438" i="10"/>
  <c r="V438" i="10"/>
  <c r="L438" i="10"/>
  <c r="O38" i="10"/>
  <c r="AO38" i="10"/>
  <c r="U438" i="10"/>
  <c r="AF38" i="10"/>
  <c r="AJ38" i="10"/>
  <c r="AB38" i="10"/>
  <c r="AO438" i="10"/>
  <c r="AD438" i="10"/>
  <c r="AS438" i="10"/>
  <c r="AX438" i="10"/>
  <c r="AV438" i="10"/>
  <c r="AS38" i="10"/>
  <c r="AQ438" i="10"/>
  <c r="AU438" i="10"/>
  <c r="AE438" i="10"/>
  <c r="J38" i="10"/>
  <c r="AW38" i="10"/>
  <c r="AR38" i="10"/>
  <c r="R38" i="10"/>
  <c r="AT38" i="10"/>
  <c r="AR438" i="10"/>
  <c r="AP438" i="10"/>
  <c r="AM438" i="10"/>
  <c r="R438" i="10"/>
  <c r="AG38" i="10"/>
  <c r="AA38" i="10"/>
  <c r="AE38" i="10"/>
  <c r="AI438" i="10"/>
  <c r="N38" i="10"/>
  <c r="AD38" i="10"/>
  <c r="M38" i="10"/>
  <c r="AC38" i="10"/>
  <c r="Q38" i="10"/>
  <c r="L38" i="10"/>
  <c r="O438" i="10"/>
  <c r="W438" i="10"/>
  <c r="AV38" i="10"/>
  <c r="AN38" i="10"/>
  <c r="S38" i="10"/>
  <c r="AK438" i="10"/>
  <c r="AC438" i="10"/>
  <c r="AY438" i="10"/>
  <c r="T438" i="10"/>
  <c r="AN438" i="10"/>
  <c r="Y38" i="10"/>
  <c r="V38" i="10"/>
  <c r="AB438" i="10"/>
  <c r="X438" i="10"/>
  <c r="J438" i="10"/>
  <c r="S438" i="10"/>
  <c r="AL38" i="10"/>
  <c r="AG438" i="10"/>
  <c r="AJ438" i="10"/>
  <c r="AI38" i="10"/>
  <c r="AM38" i="10"/>
  <c r="AW438" i="10"/>
  <c r="AF438" i="10"/>
  <c r="AJ574" i="10"/>
  <c r="AO174" i="10"/>
  <c r="AM174" i="10"/>
  <c r="O313" i="10"/>
  <c r="AX313" i="10"/>
  <c r="Q713" i="10"/>
  <c r="R713" i="10"/>
  <c r="AE713" i="10"/>
  <c r="P667" i="10"/>
  <c r="T667" i="10"/>
  <c r="AC667" i="10"/>
  <c r="N267" i="10"/>
  <c r="Y667" i="10"/>
  <c r="AF713" i="10"/>
  <c r="AP313" i="10"/>
  <c r="AQ713" i="10"/>
  <c r="AT713" i="10"/>
  <c r="AH313" i="10"/>
  <c r="AV267" i="10"/>
  <c r="AI667" i="10"/>
  <c r="T267" i="10"/>
  <c r="AS267" i="10"/>
  <c r="AN667" i="10"/>
  <c r="Z313" i="10"/>
  <c r="AY713" i="10"/>
  <c r="P713" i="10"/>
  <c r="AL713" i="10"/>
  <c r="AH713" i="10"/>
  <c r="R667" i="10"/>
  <c r="AX267" i="10"/>
  <c r="AO267" i="10"/>
  <c r="S667" i="10"/>
  <c r="AW667" i="10"/>
  <c r="AD713" i="10"/>
  <c r="N190" i="10"/>
  <c r="AM313" i="10"/>
  <c r="O713" i="10"/>
  <c r="AN313" i="10"/>
  <c r="AA713" i="10"/>
  <c r="AX190" i="10"/>
  <c r="N590" i="10"/>
  <c r="K713" i="10"/>
  <c r="AH590" i="10"/>
  <c r="S267" i="10"/>
  <c r="AT267" i="10"/>
  <c r="AE667" i="10"/>
  <c r="AN587" i="10"/>
  <c r="AS187" i="10"/>
  <c r="M587" i="10"/>
  <c r="Q587" i="10"/>
  <c r="AK587" i="10"/>
  <c r="AN187" i="10"/>
  <c r="J587" i="10"/>
  <c r="AD587" i="10"/>
  <c r="V187" i="10"/>
  <c r="Z600" i="10"/>
  <c r="R600" i="10"/>
  <c r="AX200" i="10"/>
  <c r="X200" i="10"/>
  <c r="U600" i="10"/>
  <c r="M200" i="10"/>
  <c r="AQ200" i="10"/>
  <c r="AM200" i="10"/>
  <c r="AL600" i="10"/>
  <c r="AT200" i="10"/>
  <c r="AY600" i="10"/>
  <c r="P200" i="10"/>
  <c r="AH200" i="10"/>
  <c r="AK600" i="10"/>
  <c r="AF200" i="10"/>
  <c r="AA200" i="10"/>
  <c r="AV600" i="10"/>
  <c r="AI200" i="10"/>
  <c r="U200" i="10"/>
  <c r="V667" i="10"/>
  <c r="J187" i="10"/>
  <c r="AD187" i="10"/>
  <c r="AU587" i="10"/>
  <c r="AJ587" i="10"/>
  <c r="AX587" i="10"/>
  <c r="U187" i="10"/>
  <c r="AY587" i="10"/>
  <c r="R587" i="10"/>
  <c r="AB587" i="10"/>
  <c r="W587" i="10"/>
  <c r="AO187" i="10"/>
  <c r="O587" i="10"/>
  <c r="AP587" i="10"/>
  <c r="AC186" i="6"/>
  <c r="I104" i="9"/>
  <c r="BA252" i="10"/>
  <c r="AA336" i="10"/>
  <c r="U336" i="10"/>
  <c r="AO736" i="10"/>
  <c r="AS336" i="10"/>
  <c r="AF336" i="10"/>
  <c r="N736" i="10"/>
  <c r="P336" i="10"/>
  <c r="Y336" i="10"/>
  <c r="AK336" i="10"/>
  <c r="V336" i="10"/>
  <c r="AR336" i="10"/>
  <c r="R736" i="10"/>
  <c r="V736" i="10"/>
  <c r="AV336" i="10"/>
  <c r="AI736" i="10"/>
  <c r="AX736" i="10"/>
  <c r="AU736" i="10"/>
  <c r="L736" i="10"/>
  <c r="AC336" i="10"/>
  <c r="AP736" i="10"/>
  <c r="J736" i="10"/>
  <c r="G348" i="6"/>
  <c r="AX161" i="10"/>
  <c r="Z161" i="10"/>
  <c r="K561" i="10"/>
  <c r="T561" i="10"/>
  <c r="AD161" i="10"/>
  <c r="AO561" i="10"/>
  <c r="AI161" i="10"/>
  <c r="L161" i="10"/>
  <c r="P161" i="10"/>
  <c r="AD561" i="10"/>
  <c r="V365" i="27"/>
  <c r="AA365" i="27" s="1"/>
  <c r="T161" i="10"/>
  <c r="AB161" i="10"/>
  <c r="J561" i="10"/>
  <c r="AF561" i="10"/>
  <c r="W161" i="10"/>
  <c r="L561" i="10"/>
  <c r="AR561" i="10"/>
  <c r="AG561" i="10"/>
  <c r="AN561" i="10"/>
  <c r="AA41" i="10"/>
  <c r="R41" i="10"/>
  <c r="AV41" i="10"/>
  <c r="AV441" i="10"/>
  <c r="N161" i="10"/>
  <c r="U441" i="10"/>
  <c r="AW441" i="10"/>
  <c r="AJ336" i="10"/>
  <c r="AY336" i="10"/>
  <c r="AX336" i="10"/>
  <c r="S736" i="10"/>
  <c r="O336" i="10"/>
  <c r="AF736" i="10"/>
  <c r="AP336" i="10"/>
  <c r="AN336" i="10"/>
  <c r="T736" i="10"/>
  <c r="AQ736" i="10"/>
  <c r="L336" i="10"/>
  <c r="AS736" i="10"/>
  <c r="AQ336" i="10"/>
  <c r="AV736" i="10"/>
  <c r="X736" i="10"/>
  <c r="AK736" i="10"/>
  <c r="AT736" i="10"/>
  <c r="T336" i="10"/>
  <c r="R336" i="10"/>
  <c r="AT336" i="10"/>
  <c r="BE348" i="26"/>
  <c r="O561" i="10"/>
  <c r="AP561" i="10"/>
  <c r="O161" i="10"/>
  <c r="X161" i="10"/>
  <c r="W561" i="10"/>
  <c r="AY561" i="10"/>
  <c r="AS561" i="10"/>
  <c r="AC161" i="10"/>
  <c r="U561" i="10"/>
  <c r="V161" i="10"/>
  <c r="AK161" i="10"/>
  <c r="BD365" i="26"/>
  <c r="AQ161" i="10"/>
  <c r="Q161" i="10"/>
  <c r="S561" i="10"/>
  <c r="Z561" i="10"/>
  <c r="AT161" i="10"/>
  <c r="AE561" i="10"/>
  <c r="U161" i="10"/>
  <c r="M161" i="10"/>
  <c r="AG441" i="10"/>
  <c r="AD441" i="10"/>
  <c r="AE441" i="10"/>
  <c r="AK41" i="10"/>
  <c r="AX348" i="10"/>
  <c r="O748" i="10"/>
  <c r="AP748" i="10"/>
  <c r="AE348" i="10"/>
  <c r="Z348" i="10"/>
  <c r="AR748" i="10"/>
  <c r="Q748" i="10"/>
  <c r="AC348" i="10"/>
  <c r="AS748" i="10"/>
  <c r="X348" i="10"/>
  <c r="AY348" i="10"/>
  <c r="P748" i="10"/>
  <c r="AC748" i="10"/>
  <c r="AA748" i="10"/>
  <c r="S348" i="10"/>
  <c r="AS348" i="10"/>
  <c r="AN348" i="10"/>
  <c r="AD348" i="10"/>
  <c r="AW748" i="10"/>
  <c r="Y348" i="10"/>
  <c r="AL348" i="10"/>
  <c r="V348" i="10"/>
  <c r="AH348" i="10"/>
  <c r="M348" i="10"/>
  <c r="AQ748" i="10"/>
  <c r="V748" i="10"/>
  <c r="AF748" i="10"/>
  <c r="Y748" i="10"/>
  <c r="AI748" i="10"/>
  <c r="AE748" i="10"/>
  <c r="AK348" i="10"/>
  <c r="AJ748" i="10"/>
  <c r="AA348" i="10"/>
  <c r="AV348" i="10"/>
  <c r="AV748" i="10"/>
  <c r="AL748" i="10"/>
  <c r="AX748" i="10"/>
  <c r="AM348" i="10"/>
  <c r="P348" i="10"/>
  <c r="S748" i="10"/>
  <c r="AG348" i="10"/>
  <c r="AM748" i="10"/>
  <c r="AN748" i="10"/>
  <c r="K748" i="10"/>
  <c r="O348" i="10"/>
  <c r="J748" i="10"/>
  <c r="L348" i="10"/>
  <c r="W748" i="10"/>
  <c r="AB348" i="10"/>
  <c r="K348" i="10"/>
  <c r="N748" i="10"/>
  <c r="AF348" i="10"/>
  <c r="AT748" i="10"/>
  <c r="Q348" i="10"/>
  <c r="AG748" i="10"/>
  <c r="T348" i="10"/>
  <c r="U748" i="10"/>
  <c r="J348" i="10"/>
  <c r="AJ348" i="10"/>
  <c r="AT348" i="10"/>
  <c r="AY748" i="10"/>
  <c r="X748" i="10"/>
  <c r="R748" i="10"/>
  <c r="R348" i="10"/>
  <c r="AW348" i="10"/>
  <c r="AH748" i="10"/>
  <c r="U348" i="10"/>
  <c r="M748" i="10"/>
  <c r="AI348" i="10"/>
  <c r="AR348" i="10"/>
  <c r="L748" i="10"/>
  <c r="AO748" i="10"/>
  <c r="AB748" i="10"/>
  <c r="AD748" i="10"/>
  <c r="Z748" i="10"/>
  <c r="AK748" i="10"/>
  <c r="T748" i="10"/>
  <c r="AU748" i="10"/>
  <c r="N348" i="10"/>
  <c r="W348" i="10"/>
  <c r="AO348" i="10"/>
  <c r="AQ348" i="10"/>
  <c r="AP348" i="10"/>
  <c r="AY736" i="10"/>
  <c r="AO336" i="10"/>
  <c r="AM736" i="10"/>
  <c r="S336" i="10"/>
  <c r="AM336" i="10"/>
  <c r="K336" i="10"/>
  <c r="X336" i="10"/>
  <c r="AI336" i="10"/>
  <c r="AJ736" i="10"/>
  <c r="Q336" i="10"/>
  <c r="AG336" i="10"/>
  <c r="AL336" i="10"/>
  <c r="J336" i="10"/>
  <c r="AA736" i="10"/>
  <c r="AB736" i="10"/>
  <c r="AB336" i="10"/>
  <c r="AE736" i="10"/>
  <c r="AW736" i="10"/>
  <c r="Q736" i="10"/>
  <c r="AH336" i="10"/>
  <c r="AL561" i="10"/>
  <c r="X561" i="10"/>
  <c r="AO161" i="10"/>
  <c r="AI561" i="10"/>
  <c r="AQ561" i="10"/>
  <c r="AM561" i="10"/>
  <c r="AV161" i="10"/>
  <c r="J161" i="10"/>
  <c r="AB561" i="10"/>
  <c r="M561" i="10"/>
  <c r="N561" i="10"/>
  <c r="AL161" i="10"/>
  <c r="AH161" i="10"/>
  <c r="AW161" i="10"/>
  <c r="AS161" i="10"/>
  <c r="S161" i="10"/>
  <c r="K161" i="10"/>
  <c r="R161" i="10"/>
  <c r="R561" i="10"/>
  <c r="AN161" i="10"/>
  <c r="AT561" i="10"/>
  <c r="K41" i="10"/>
  <c r="P441" i="10"/>
  <c r="U41" i="10"/>
  <c r="M441" i="10"/>
  <c r="V561" i="10"/>
  <c r="AT441" i="10"/>
  <c r="AI441" i="10"/>
  <c r="AC41" i="10"/>
  <c r="BF316" i="26"/>
  <c r="V348" i="27"/>
  <c r="AA348" i="27" s="1"/>
  <c r="G348" i="10"/>
  <c r="BD348" i="26"/>
  <c r="G267" i="10"/>
  <c r="AV30" i="10"/>
  <c r="AB30" i="10"/>
  <c r="V430" i="10"/>
  <c r="X430" i="10"/>
  <c r="AS30" i="10"/>
  <c r="AK30" i="10"/>
  <c r="BA178" i="10"/>
  <c r="W30" i="10"/>
  <c r="F41" i="27"/>
  <c r="U574" i="10"/>
  <c r="AQ174" i="10"/>
  <c r="AX574" i="10"/>
  <c r="AC574" i="10"/>
  <c r="R574" i="10"/>
  <c r="G186" i="9"/>
  <c r="G186" i="6"/>
  <c r="R765" i="10"/>
  <c r="AH765" i="10"/>
  <c r="AI765" i="10"/>
  <c r="AK765" i="10"/>
  <c r="V267" i="27"/>
  <c r="K765" i="10"/>
  <c r="G247" i="10"/>
  <c r="AF365" i="10"/>
  <c r="AM30" i="10"/>
  <c r="AF430" i="10"/>
  <c r="S430" i="10"/>
  <c r="Q430" i="10"/>
  <c r="AG30" i="10"/>
  <c r="M430" i="10"/>
  <c r="AW30" i="10"/>
  <c r="P430" i="10"/>
  <c r="U430" i="10"/>
  <c r="AH430" i="10"/>
  <c r="P30" i="10"/>
  <c r="AO430" i="10"/>
  <c r="BD41" i="26"/>
  <c r="AY430" i="10"/>
  <c r="J430" i="10"/>
  <c r="AL30" i="10"/>
  <c r="AY30" i="10"/>
  <c r="AP30" i="10"/>
  <c r="Q30" i="10"/>
  <c r="AL174" i="10"/>
  <c r="P174" i="10"/>
  <c r="AE574" i="10"/>
  <c r="W574" i="10"/>
  <c r="AP574" i="10"/>
  <c r="AV765" i="10"/>
  <c r="AC365" i="10"/>
  <c r="AL765" i="10"/>
  <c r="P765" i="10"/>
  <c r="AN316" i="10"/>
  <c r="AY765" i="10"/>
  <c r="J30" i="10"/>
  <c r="AL430" i="10"/>
  <c r="Z30" i="10"/>
  <c r="AC30" i="10"/>
  <c r="AK716" i="10"/>
  <c r="AQ430" i="10"/>
  <c r="R430" i="10"/>
  <c r="Y30" i="10"/>
  <c r="AD30" i="10"/>
  <c r="X30" i="10"/>
  <c r="K430" i="10"/>
  <c r="AU716" i="10"/>
  <c r="M30" i="10"/>
  <c r="Y716" i="10"/>
  <c r="N430" i="10"/>
  <c r="F298" i="27"/>
  <c r="Z430" i="10"/>
  <c r="BA151" i="10"/>
  <c r="Z574" i="10"/>
  <c r="Z174" i="10"/>
  <c r="AK574" i="10"/>
  <c r="AY574" i="10"/>
  <c r="Q174" i="10"/>
  <c r="AG574" i="10"/>
  <c r="AS574" i="10"/>
  <c r="S574" i="10"/>
  <c r="L174" i="10"/>
  <c r="Q574" i="10"/>
  <c r="AV574" i="10"/>
  <c r="AF574" i="10"/>
  <c r="AT174" i="10"/>
  <c r="N174" i="10"/>
  <c r="AW174" i="10"/>
  <c r="K174" i="10"/>
  <c r="AA574" i="10"/>
  <c r="AA174" i="10"/>
  <c r="AB574" i="10"/>
  <c r="N574" i="10"/>
  <c r="U765" i="10"/>
  <c r="V365" i="10"/>
  <c r="AP765" i="10"/>
  <c r="Y365" i="10"/>
  <c r="AV365" i="10"/>
  <c r="L365" i="10"/>
  <c r="Z365" i="10"/>
  <c r="AA365" i="10"/>
  <c r="AC765" i="10"/>
  <c r="S765" i="10"/>
  <c r="J765" i="10"/>
  <c r="AQ765" i="10"/>
  <c r="O365" i="10"/>
  <c r="Y765" i="10"/>
  <c r="AG365" i="10"/>
  <c r="AR765" i="10"/>
  <c r="M716" i="10"/>
  <c r="R365" i="10"/>
  <c r="AK365" i="10"/>
  <c r="AG765" i="10"/>
  <c r="BA129" i="10"/>
  <c r="BD305" i="26"/>
  <c r="AM716" i="10"/>
  <c r="AB716" i="10"/>
  <c r="AH316" i="10"/>
  <c r="Q316" i="10"/>
  <c r="AI316" i="10"/>
  <c r="N716" i="10"/>
  <c r="P365" i="10"/>
  <c r="AX174" i="10"/>
  <c r="AQ574" i="10"/>
  <c r="R174" i="10"/>
  <c r="AH174" i="10"/>
  <c r="AV174" i="10"/>
  <c r="L574" i="10"/>
  <c r="AR574" i="10"/>
  <c r="AS174" i="10"/>
  <c r="Y574" i="10"/>
  <c r="AI574" i="10"/>
  <c r="M574" i="10"/>
  <c r="AD174" i="10"/>
  <c r="AN174" i="10"/>
  <c r="S174" i="10"/>
  <c r="AG174" i="10"/>
  <c r="Y174" i="10"/>
  <c r="X174" i="10"/>
  <c r="AO574" i="10"/>
  <c r="AT574" i="10"/>
  <c r="AM574" i="10"/>
  <c r="AB174" i="10"/>
  <c r="AQ365" i="10"/>
  <c r="AT365" i="10"/>
  <c r="AW365" i="10"/>
  <c r="AO365" i="10"/>
  <c r="M765" i="10"/>
  <c r="AT765" i="10"/>
  <c r="O765" i="10"/>
  <c r="N765" i="10"/>
  <c r="L765" i="10"/>
  <c r="AA765" i="10"/>
  <c r="AR365" i="10"/>
  <c r="AE765" i="10"/>
  <c r="U365" i="10"/>
  <c r="AM765" i="10"/>
  <c r="AS365" i="10"/>
  <c r="T365" i="10"/>
  <c r="X765" i="10"/>
  <c r="O316" i="10"/>
  <c r="AM365" i="10"/>
  <c r="S365" i="10"/>
  <c r="BB129" i="10"/>
  <c r="BC129" i="10" s="1"/>
  <c r="G305" i="10"/>
  <c r="AO316" i="10"/>
  <c r="T716" i="10"/>
  <c r="V316" i="10"/>
  <c r="U716" i="10"/>
  <c r="M365" i="10"/>
  <c r="AX765" i="10"/>
  <c r="T174" i="10"/>
  <c r="AE174" i="10"/>
  <c r="M174" i="10"/>
  <c r="AL574" i="10"/>
  <c r="O174" i="10"/>
  <c r="AN574" i="10"/>
  <c r="J574" i="10"/>
  <c r="AK174" i="10"/>
  <c r="W174" i="10"/>
  <c r="P574" i="10"/>
  <c r="AF174" i="10"/>
  <c r="AW574" i="10"/>
  <c r="AJ174" i="10"/>
  <c r="V174" i="10"/>
  <c r="AH574" i="10"/>
  <c r="AI174" i="10"/>
  <c r="AC174" i="10"/>
  <c r="AY174" i="10"/>
  <c r="T574" i="10"/>
  <c r="O574" i="10"/>
  <c r="AY365" i="10"/>
  <c r="AU765" i="10"/>
  <c r="AB765" i="10"/>
  <c r="AX365" i="10"/>
  <c r="Q765" i="10"/>
  <c r="AL365" i="10"/>
  <c r="AJ765" i="10"/>
  <c r="AN765" i="10"/>
  <c r="AB365" i="10"/>
  <c r="AP365" i="10"/>
  <c r="K365" i="10"/>
  <c r="AS765" i="10"/>
  <c r="X365" i="10"/>
  <c r="J365" i="10"/>
  <c r="AW765" i="10"/>
  <c r="AI365" i="10"/>
  <c r="V765" i="10"/>
  <c r="AE316" i="10"/>
  <c r="Z765" i="10"/>
  <c r="Q365" i="10"/>
  <c r="W365" i="10"/>
  <c r="AR716" i="10"/>
  <c r="AA716" i="10"/>
  <c r="AQ316" i="10"/>
  <c r="W765" i="10"/>
  <c r="AO765" i="10"/>
  <c r="AA170" i="10"/>
  <c r="AS170" i="10"/>
  <c r="AN170" i="10"/>
  <c r="Z570" i="10"/>
  <c r="J170" i="10"/>
  <c r="AC570" i="10"/>
  <c r="AY170" i="10"/>
  <c r="AE570" i="10"/>
  <c r="AU570" i="10"/>
  <c r="K170" i="10"/>
  <c r="AF570" i="10"/>
  <c r="AA590" i="10"/>
  <c r="AS190" i="10"/>
  <c r="AN190" i="10"/>
  <c r="AT590" i="10"/>
  <c r="O590" i="10"/>
  <c r="Q190" i="10"/>
  <c r="AE590" i="10"/>
  <c r="U590" i="10"/>
  <c r="AB590" i="10"/>
  <c r="U190" i="10"/>
  <c r="AR590" i="10"/>
  <c r="AV190" i="10"/>
  <c r="AM728" i="10"/>
  <c r="V728" i="10"/>
  <c r="AL728" i="10"/>
  <c r="AA728" i="10"/>
  <c r="L328" i="10"/>
  <c r="R190" i="10"/>
  <c r="AW590" i="10"/>
  <c r="AH190" i="10"/>
  <c r="AS590" i="10"/>
  <c r="AW190" i="10"/>
  <c r="AC590" i="10"/>
  <c r="X590" i="10"/>
  <c r="M570" i="10"/>
  <c r="AJ170" i="10"/>
  <c r="W570" i="10"/>
  <c r="AX570" i="10"/>
  <c r="Y570" i="10"/>
  <c r="AD170" i="10"/>
  <c r="V170" i="10"/>
  <c r="L570" i="10"/>
  <c r="AO570" i="10"/>
  <c r="N170" i="10"/>
  <c r="AF190" i="10"/>
  <c r="AO190" i="10"/>
  <c r="AL590" i="10"/>
  <c r="AQ590" i="10"/>
  <c r="AD190" i="10"/>
  <c r="AR190" i="10"/>
  <c r="V590" i="10"/>
  <c r="Q590" i="10"/>
  <c r="M590" i="10"/>
  <c r="J590" i="10"/>
  <c r="AO590" i="10"/>
  <c r="AM190" i="10"/>
  <c r="R590" i="10"/>
  <c r="R328" i="10"/>
  <c r="T328" i="10"/>
  <c r="AJ728" i="10"/>
  <c r="AX328" i="10"/>
  <c r="S728" i="10"/>
  <c r="W190" i="10"/>
  <c r="K190" i="10"/>
  <c r="AE190" i="10"/>
  <c r="AG190" i="10"/>
  <c r="X190" i="10"/>
  <c r="Z590" i="10"/>
  <c r="AK590" i="10"/>
  <c r="G176" i="10"/>
  <c r="O190" i="10"/>
  <c r="AP590" i="10"/>
  <c r="Q570" i="10"/>
  <c r="AB170" i="10"/>
  <c r="AK170" i="10"/>
  <c r="AF170" i="10"/>
  <c r="AA570" i="10"/>
  <c r="AT170" i="10"/>
  <c r="AM570" i="10"/>
  <c r="O570" i="10"/>
  <c r="M170" i="10"/>
  <c r="AC170" i="10"/>
  <c r="AF590" i="10"/>
  <c r="V190" i="10"/>
  <c r="AA190" i="10"/>
  <c r="Z190" i="10"/>
  <c r="AB190" i="10"/>
  <c r="J190" i="10"/>
  <c r="AN590" i="10"/>
  <c r="T590" i="10"/>
  <c r="AI190" i="10"/>
  <c r="AQ190" i="10"/>
  <c r="AJ590" i="10"/>
  <c r="AD590" i="10"/>
  <c r="AI590" i="10"/>
  <c r="AC190" i="10"/>
  <c r="U728" i="10"/>
  <c r="AO728" i="10"/>
  <c r="AY728" i="10"/>
  <c r="AB728" i="10"/>
  <c r="AD728" i="10"/>
  <c r="AT190" i="10"/>
  <c r="K590" i="10"/>
  <c r="AL190" i="10"/>
  <c r="AY590" i="10"/>
  <c r="AG590" i="10"/>
  <c r="P590" i="10"/>
  <c r="S590" i="10"/>
  <c r="AY190" i="10"/>
  <c r="AU590" i="10"/>
  <c r="BD178" i="26"/>
  <c r="BF178" i="26" s="1"/>
  <c r="AQ441" i="10"/>
  <c r="AL441" i="10"/>
  <c r="AF41" i="10"/>
  <c r="AO41" i="10"/>
  <c r="AM441" i="10"/>
  <c r="AQ41" i="10"/>
  <c r="AN441" i="10"/>
  <c r="AI41" i="10"/>
  <c r="AB41" i="10"/>
  <c r="Z441" i="10"/>
  <c r="Y41" i="10"/>
  <c r="AW41" i="10"/>
  <c r="M41" i="10"/>
  <c r="AY441" i="10"/>
  <c r="J441" i="10"/>
  <c r="Y441" i="10"/>
  <c r="AD41" i="10"/>
  <c r="AS441" i="10"/>
  <c r="AR41" i="10"/>
  <c r="AJ41" i="10"/>
  <c r="AH441" i="10"/>
  <c r="Q41" i="10"/>
  <c r="W41" i="10"/>
  <c r="N41" i="10"/>
  <c r="AP41" i="10"/>
  <c r="T441" i="10"/>
  <c r="S41" i="10"/>
  <c r="X441" i="10"/>
  <c r="AH41" i="10"/>
  <c r="AK441" i="10"/>
  <c r="O441" i="10"/>
  <c r="Z41" i="10"/>
  <c r="AC441" i="10"/>
  <c r="AP441" i="10"/>
  <c r="AR441" i="10"/>
  <c r="T41" i="10"/>
  <c r="AJ441" i="10"/>
  <c r="R441" i="10"/>
  <c r="AM41" i="10"/>
  <c r="AU441" i="10"/>
  <c r="N441" i="10"/>
  <c r="AL41" i="10"/>
  <c r="V441" i="10"/>
  <c r="AB441" i="10"/>
  <c r="AA441" i="10"/>
  <c r="K441" i="10"/>
  <c r="X41" i="10"/>
  <c r="AG41" i="10"/>
  <c r="AO441" i="10"/>
  <c r="L41" i="10"/>
  <c r="V41" i="10"/>
  <c r="AT41" i="10"/>
  <c r="AX41" i="10"/>
  <c r="S441" i="10"/>
  <c r="P41" i="10"/>
  <c r="J41" i="10"/>
  <c r="AE41" i="10"/>
  <c r="Q441" i="10"/>
  <c r="AF441" i="10"/>
  <c r="AY41" i="10"/>
  <c r="AN41" i="10"/>
  <c r="BE201" i="26"/>
  <c r="F170" i="27"/>
  <c r="N316" i="10"/>
  <c r="AD316" i="10"/>
  <c r="AP316" i="10"/>
  <c r="AY316" i="10"/>
  <c r="AO716" i="10"/>
  <c r="AC716" i="10"/>
  <c r="S316" i="10"/>
  <c r="J570" i="10"/>
  <c r="U570" i="10"/>
  <c r="AK570" i="10"/>
  <c r="AI570" i="10"/>
  <c r="X170" i="10"/>
  <c r="AI170" i="10"/>
  <c r="O170" i="10"/>
  <c r="P170" i="10"/>
  <c r="AM170" i="10"/>
  <c r="L170" i="10"/>
  <c r="T170" i="10"/>
  <c r="AL170" i="10"/>
  <c r="V570" i="10"/>
  <c r="X570" i="10"/>
  <c r="AV170" i="10"/>
  <c r="W170" i="10"/>
  <c r="P570" i="10"/>
  <c r="AP570" i="10"/>
  <c r="AQ170" i="10"/>
  <c r="AH170" i="10"/>
  <c r="H36" i="27"/>
  <c r="BD247" i="26"/>
  <c r="J316" i="10"/>
  <c r="M316" i="10"/>
  <c r="T316" i="10"/>
  <c r="AT316" i="10"/>
  <c r="R316" i="10"/>
  <c r="R716" i="10"/>
  <c r="AV316" i="10"/>
  <c r="Z316" i="10"/>
  <c r="Q716" i="10"/>
  <c r="AL716" i="10"/>
  <c r="AK316" i="10"/>
  <c r="AQ716" i="10"/>
  <c r="K716" i="10"/>
  <c r="AS716" i="10"/>
  <c r="AX316" i="10"/>
  <c r="AD716" i="10"/>
  <c r="U316" i="10"/>
  <c r="AL316" i="10"/>
  <c r="W316" i="10"/>
  <c r="AV716" i="10"/>
  <c r="AR316" i="10"/>
  <c r="L716" i="10"/>
  <c r="O716" i="10"/>
  <c r="AM316" i="10"/>
  <c r="P716" i="10"/>
  <c r="AF316" i="10"/>
  <c r="AG716" i="10"/>
  <c r="AH716" i="10"/>
  <c r="AN716" i="10"/>
  <c r="W716" i="10"/>
  <c r="Y316" i="10"/>
  <c r="AA316" i="10"/>
  <c r="Z716" i="10"/>
  <c r="W720" i="10"/>
  <c r="N570" i="10"/>
  <c r="AJ570" i="10"/>
  <c r="AT570" i="10"/>
  <c r="AE170" i="10"/>
  <c r="AB570" i="10"/>
  <c r="Y170" i="10"/>
  <c r="AG170" i="10"/>
  <c r="AN570" i="10"/>
  <c r="AY570" i="10"/>
  <c r="S170" i="10"/>
  <c r="R170" i="10"/>
  <c r="AR170" i="10"/>
  <c r="AO170" i="10"/>
  <c r="Z170" i="10"/>
  <c r="AD570" i="10"/>
  <c r="AL570" i="10"/>
  <c r="AQ570" i="10"/>
  <c r="AW570" i="10"/>
  <c r="AR570" i="10"/>
  <c r="U170" i="10"/>
  <c r="AJ316" i="10"/>
  <c r="K316" i="10"/>
  <c r="AY716" i="10"/>
  <c r="P316" i="10"/>
  <c r="AI716" i="10"/>
  <c r="J716" i="10"/>
  <c r="AP716" i="10"/>
  <c r="AF716" i="10"/>
  <c r="AW716" i="10"/>
  <c r="AC316" i="10"/>
  <c r="AT716" i="10"/>
  <c r="AG316" i="10"/>
  <c r="V716" i="10"/>
  <c r="L316" i="10"/>
  <c r="S716" i="10"/>
  <c r="X716" i="10"/>
  <c r="AS316" i="10"/>
  <c r="AB316" i="10"/>
  <c r="X316" i="10"/>
  <c r="AX716" i="10"/>
  <c r="AW316" i="10"/>
  <c r="G201" i="9"/>
  <c r="AU494" i="26"/>
  <c r="G201" i="6"/>
  <c r="O430" i="10"/>
  <c r="AI30" i="10"/>
  <c r="AF30" i="10"/>
  <c r="AV430" i="10"/>
  <c r="O30" i="10"/>
  <c r="AA430" i="10"/>
  <c r="AN30" i="10"/>
  <c r="AU430" i="10"/>
  <c r="AD483" i="10"/>
  <c r="AX83" i="10"/>
  <c r="AN483" i="10"/>
  <c r="AT83" i="10"/>
  <c r="AK83" i="10"/>
  <c r="AF83" i="10"/>
  <c r="AQ483" i="10"/>
  <c r="M83" i="10"/>
  <c r="K83" i="10"/>
  <c r="Q83" i="10"/>
  <c r="AS83" i="10"/>
  <c r="AK483" i="10"/>
  <c r="AW83" i="10"/>
  <c r="AY83" i="10"/>
  <c r="AE483" i="10"/>
  <c r="AV483" i="10"/>
  <c r="AA83" i="10"/>
  <c r="S83" i="10"/>
  <c r="AP83" i="10"/>
  <c r="P483" i="10"/>
  <c r="AI83" i="10"/>
  <c r="AR83" i="10"/>
  <c r="AA483" i="10"/>
  <c r="AG83" i="10"/>
  <c r="L483" i="10"/>
  <c r="X83" i="10"/>
  <c r="AC83" i="10"/>
  <c r="AB483" i="10"/>
  <c r="AM483" i="10"/>
  <c r="W483" i="10"/>
  <c r="AU483" i="10"/>
  <c r="AS483" i="10"/>
  <c r="AR483" i="10"/>
  <c r="J483" i="10"/>
  <c r="AI483" i="10"/>
  <c r="AJ483" i="10"/>
  <c r="J83" i="10"/>
  <c r="Q483" i="10"/>
  <c r="R83" i="10"/>
  <c r="AX483" i="10"/>
  <c r="R483" i="10"/>
  <c r="AV83" i="10"/>
  <c r="AW483" i="10"/>
  <c r="Y83" i="10"/>
  <c r="AG483" i="10"/>
  <c r="O483" i="10"/>
  <c r="Z483" i="10"/>
  <c r="AO83" i="10"/>
  <c r="X483" i="10"/>
  <c r="AO483" i="10"/>
  <c r="AD83" i="10"/>
  <c r="V83" i="10"/>
  <c r="AE83" i="10"/>
  <c r="N83" i="10"/>
  <c r="W83" i="10"/>
  <c r="T483" i="10"/>
  <c r="S483" i="10"/>
  <c r="AL83" i="10"/>
  <c r="T83" i="10"/>
  <c r="AM83" i="10"/>
  <c r="AH483" i="10"/>
  <c r="AJ83" i="10"/>
  <c r="AN83" i="10"/>
  <c r="AC483" i="10"/>
  <c r="V483" i="10"/>
  <c r="AY483" i="10"/>
  <c r="U483" i="10"/>
  <c r="AP483" i="10"/>
  <c r="O83" i="10"/>
  <c r="Y483" i="10"/>
  <c r="M483" i="10"/>
  <c r="P83" i="10"/>
  <c r="AF483" i="10"/>
  <c r="K483" i="10"/>
  <c r="AH83" i="10"/>
  <c r="AT483" i="10"/>
  <c r="L83" i="10"/>
  <c r="Z83" i="10"/>
  <c r="AQ83" i="10"/>
  <c r="AL483" i="10"/>
  <c r="U83" i="10"/>
  <c r="N483" i="10"/>
  <c r="AB83" i="10"/>
  <c r="T430" i="10"/>
  <c r="V30" i="10"/>
  <c r="U30" i="10"/>
  <c r="AA30" i="10"/>
  <c r="AX30" i="10"/>
  <c r="AM430" i="10"/>
  <c r="AH30" i="10"/>
  <c r="L30" i="10"/>
  <c r="AT30" i="10"/>
  <c r="Y430" i="10"/>
  <c r="AK430" i="10"/>
  <c r="AB430" i="10"/>
  <c r="AO30" i="10"/>
  <c r="AN430" i="10"/>
  <c r="AS430" i="10"/>
  <c r="L430" i="10"/>
  <c r="K30" i="10"/>
  <c r="N30" i="10"/>
  <c r="AG430" i="10"/>
  <c r="AI430" i="10"/>
  <c r="AJ30" i="10"/>
  <c r="T30" i="10"/>
  <c r="S30" i="10"/>
  <c r="R30" i="10"/>
  <c r="AJ430" i="10"/>
  <c r="AR430" i="10"/>
  <c r="G83" i="10"/>
  <c r="V83" i="27"/>
  <c r="AA83" i="27" s="1"/>
  <c r="BD83" i="26"/>
  <c r="BF83" i="26" s="1"/>
  <c r="AG720" i="10"/>
  <c r="N320" i="10"/>
  <c r="K720" i="10"/>
  <c r="AV720" i="10"/>
  <c r="P720" i="10"/>
  <c r="M320" i="10"/>
  <c r="U720" i="10"/>
  <c r="AM320" i="10"/>
  <c r="O320" i="10"/>
  <c r="U320" i="10"/>
  <c r="AJ720" i="10"/>
  <c r="AI720" i="10"/>
  <c r="AY720" i="10"/>
  <c r="V720" i="10"/>
  <c r="AL720" i="10"/>
  <c r="AX720" i="10"/>
  <c r="X320" i="10"/>
  <c r="P320" i="10"/>
  <c r="AR720" i="10"/>
  <c r="AN720" i="10"/>
  <c r="AM720" i="10"/>
  <c r="K320" i="10"/>
  <c r="AE720" i="10"/>
  <c r="S720" i="10"/>
  <c r="M720" i="10"/>
  <c r="AF320" i="10"/>
  <c r="T720" i="10"/>
  <c r="AG320" i="10"/>
  <c r="F151" i="27"/>
  <c r="Z151" i="27"/>
  <c r="N459" i="10"/>
  <c r="AR320" i="10"/>
  <c r="AA720" i="10"/>
  <c r="AP720" i="10"/>
  <c r="AC320" i="10"/>
  <c r="J720" i="10"/>
  <c r="AH320" i="10"/>
  <c r="AA320" i="10"/>
  <c r="AE320" i="10"/>
  <c r="AH720" i="10"/>
  <c r="AC720" i="10"/>
  <c r="L320" i="10"/>
  <c r="N720" i="10"/>
  <c r="R320" i="10"/>
  <c r="AQ720" i="10"/>
  <c r="X720" i="10"/>
  <c r="S320" i="10"/>
  <c r="AF720" i="10"/>
  <c r="AU720" i="10"/>
  <c r="AS320" i="10"/>
  <c r="AQ320" i="10"/>
  <c r="W320" i="10"/>
  <c r="AX320" i="10"/>
  <c r="AO320" i="10"/>
  <c r="AJ320" i="10"/>
  <c r="Q320" i="10"/>
  <c r="AB720" i="10"/>
  <c r="AD320" i="10"/>
  <c r="AK720" i="10"/>
  <c r="AW320" i="10"/>
  <c r="AI320" i="10"/>
  <c r="AL320" i="10"/>
  <c r="AO720" i="10"/>
  <c r="BB178" i="10"/>
  <c r="BC178" i="10" s="1"/>
  <c r="Z320" i="10"/>
  <c r="R720" i="10"/>
  <c r="V320" i="10"/>
  <c r="AT320" i="10"/>
  <c r="AT720" i="10"/>
  <c r="T320" i="10"/>
  <c r="AN320" i="10"/>
  <c r="L720" i="10"/>
  <c r="J320" i="10"/>
  <c r="AD720" i="10"/>
  <c r="AB320" i="10"/>
  <c r="AP320" i="10"/>
  <c r="Y720" i="10"/>
  <c r="O720" i="10"/>
  <c r="AS720" i="10"/>
  <c r="Y320" i="10"/>
  <c r="AK320" i="10"/>
  <c r="Q720" i="10"/>
  <c r="AV320" i="10"/>
  <c r="Z720" i="10"/>
  <c r="AG727" i="10"/>
  <c r="AR728" i="10"/>
  <c r="AW328" i="10"/>
  <c r="AL328" i="10"/>
  <c r="X328" i="10"/>
  <c r="R728" i="10"/>
  <c r="P728" i="10"/>
  <c r="AG328" i="10"/>
  <c r="AJ328" i="10"/>
  <c r="AA328" i="10"/>
  <c r="AO328" i="10"/>
  <c r="AT328" i="10"/>
  <c r="AF728" i="10"/>
  <c r="U328" i="10"/>
  <c r="AG728" i="10"/>
  <c r="Q328" i="10"/>
  <c r="AP328" i="10"/>
  <c r="K728" i="10"/>
  <c r="L728" i="10"/>
  <c r="Z728" i="10"/>
  <c r="J728" i="10"/>
  <c r="N328" i="10"/>
  <c r="F195" i="27"/>
  <c r="AI328" i="10"/>
  <c r="O328" i="10"/>
  <c r="AD328" i="10"/>
  <c r="V328" i="10"/>
  <c r="M728" i="10"/>
  <c r="AR328" i="10"/>
  <c r="AQ728" i="10"/>
  <c r="AS328" i="10"/>
  <c r="X728" i="10"/>
  <c r="AC728" i="10"/>
  <c r="W328" i="10"/>
  <c r="AN728" i="10"/>
  <c r="AE328" i="10"/>
  <c r="AK328" i="10"/>
  <c r="AV728" i="10"/>
  <c r="AU728" i="10"/>
  <c r="J328" i="10"/>
  <c r="AX728" i="10"/>
  <c r="T728" i="10"/>
  <c r="M328" i="10"/>
  <c r="Q728" i="10"/>
  <c r="AW327" i="10"/>
  <c r="Y328" i="10"/>
  <c r="AP728" i="10"/>
  <c r="S328" i="10"/>
  <c r="AN328" i="10"/>
  <c r="K328" i="10"/>
  <c r="Z328" i="10"/>
  <c r="AK728" i="10"/>
  <c r="AE728" i="10"/>
  <c r="W728" i="10"/>
  <c r="AS728" i="10"/>
  <c r="AV328" i="10"/>
  <c r="AB328" i="10"/>
  <c r="AQ328" i="10"/>
  <c r="AY328" i="10"/>
  <c r="AI728" i="10"/>
  <c r="AH728" i="10"/>
  <c r="P328" i="10"/>
  <c r="AW728" i="10"/>
  <c r="AM328" i="10"/>
  <c r="AH328" i="10"/>
  <c r="BA298" i="10"/>
  <c r="BB298" i="10"/>
  <c r="I341" i="6"/>
  <c r="AL327" i="10"/>
  <c r="Y727" i="10"/>
  <c r="AW459" i="10"/>
  <c r="T727" i="10"/>
  <c r="AD327" i="10"/>
  <c r="I331" i="9"/>
  <c r="L327" i="10"/>
  <c r="AQ327" i="10"/>
  <c r="AP327" i="10"/>
  <c r="AT327" i="10"/>
  <c r="BB136" i="10"/>
  <c r="BC136" i="10" s="1"/>
  <c r="BD127" i="26"/>
  <c r="V127" i="27"/>
  <c r="AA127" i="27" s="1"/>
  <c r="G127" i="10"/>
  <c r="AK459" i="10"/>
  <c r="AV127" i="10"/>
  <c r="AH127" i="10"/>
  <c r="AA127" i="10"/>
  <c r="AG527" i="10"/>
  <c r="AV527" i="10"/>
  <c r="AS527" i="10"/>
  <c r="Z527" i="10"/>
  <c r="AH527" i="10"/>
  <c r="AG127" i="10"/>
  <c r="AC527" i="10"/>
  <c r="AW127" i="10"/>
  <c r="AS127" i="10"/>
  <c r="AK127" i="10"/>
  <c r="AM527" i="10"/>
  <c r="K527" i="10"/>
  <c r="AN527" i="10"/>
  <c r="AF527" i="10"/>
  <c r="AY527" i="10"/>
  <c r="AT527" i="10"/>
  <c r="Z127" i="10"/>
  <c r="AD127" i="10"/>
  <c r="J527" i="10"/>
  <c r="AL527" i="10"/>
  <c r="AJ127" i="10"/>
  <c r="X527" i="10"/>
  <c r="Q527" i="10"/>
  <c r="U527" i="10"/>
  <c r="U127" i="10"/>
  <c r="AO527" i="10"/>
  <c r="T127" i="10"/>
  <c r="L527" i="10"/>
  <c r="X127" i="10"/>
  <c r="AI527" i="10"/>
  <c r="S127" i="10"/>
  <c r="AU527" i="10"/>
  <c r="Y127" i="10"/>
  <c r="AX127" i="10"/>
  <c r="AN127" i="10"/>
  <c r="AL127" i="10"/>
  <c r="O527" i="10"/>
  <c r="R527" i="10"/>
  <c r="AF127" i="10"/>
  <c r="W527" i="10"/>
  <c r="AK527" i="10"/>
  <c r="AI127" i="10"/>
  <c r="S527" i="10"/>
  <c r="AW527" i="10"/>
  <c r="J127" i="10"/>
  <c r="AT127" i="10"/>
  <c r="AR527" i="10"/>
  <c r="AR127" i="10"/>
  <c r="N127" i="10"/>
  <c r="AQ527" i="10"/>
  <c r="AB127" i="10"/>
  <c r="AE127" i="10"/>
  <c r="AQ127" i="10"/>
  <c r="AD527" i="10"/>
  <c r="AO127" i="10"/>
  <c r="V527" i="10"/>
  <c r="AY127" i="10"/>
  <c r="M527" i="10"/>
  <c r="W127" i="10"/>
  <c r="AX527" i="10"/>
  <c r="M127" i="10"/>
  <c r="AB527" i="10"/>
  <c r="K127" i="10"/>
  <c r="V127" i="10"/>
  <c r="AP527" i="10"/>
  <c r="Q127" i="10"/>
  <c r="O127" i="10"/>
  <c r="AJ527" i="10"/>
  <c r="R127" i="10"/>
  <c r="AP127" i="10"/>
  <c r="T527" i="10"/>
  <c r="AC127" i="10"/>
  <c r="AE527" i="10"/>
  <c r="Y527" i="10"/>
  <c r="AM127" i="10"/>
  <c r="L127" i="10"/>
  <c r="P527" i="10"/>
  <c r="AA527" i="10"/>
  <c r="P127" i="10"/>
  <c r="N527" i="10"/>
  <c r="X557" i="10"/>
  <c r="AG372" i="9"/>
  <c r="J427" i="10"/>
  <c r="G21" i="6"/>
  <c r="AC27" i="10"/>
  <c r="BE21" i="26"/>
  <c r="BF21" i="26" s="1"/>
  <c r="BF243" i="26"/>
  <c r="R727" i="10"/>
  <c r="P327" i="10"/>
  <c r="AA327" i="10"/>
  <c r="AO327" i="10"/>
  <c r="AM327" i="10"/>
  <c r="AJ727" i="10"/>
  <c r="S327" i="10"/>
  <c r="R327" i="10"/>
  <c r="AL727" i="10"/>
  <c r="AU727" i="10"/>
  <c r="O327" i="10"/>
  <c r="AM59" i="10"/>
  <c r="AG459" i="10"/>
  <c r="AH459" i="10"/>
  <c r="AM727" i="10"/>
  <c r="AQ59" i="10"/>
  <c r="U59" i="10"/>
  <c r="AF327" i="10"/>
  <c r="AF727" i="10"/>
  <c r="N727" i="10"/>
  <c r="AP727" i="10"/>
  <c r="M327" i="10"/>
  <c r="U327" i="10"/>
  <c r="V327" i="10"/>
  <c r="L727" i="10"/>
  <c r="AN727" i="10"/>
  <c r="BA263" i="10"/>
  <c r="AK327" i="10"/>
  <c r="AK727" i="10"/>
  <c r="AB327" i="10"/>
  <c r="W327" i="10"/>
  <c r="O727" i="10"/>
  <c r="Q727" i="10"/>
  <c r="AT727" i="10"/>
  <c r="X327" i="10"/>
  <c r="AB727" i="10"/>
  <c r="AY327" i="10"/>
  <c r="AI59" i="10"/>
  <c r="G365" i="6"/>
  <c r="BE365" i="26"/>
  <c r="T381" i="10"/>
  <c r="AC485" i="10"/>
  <c r="X52" i="10"/>
  <c r="AM427" i="10"/>
  <c r="BE355" i="26"/>
  <c r="W452" i="10"/>
  <c r="AW427" i="10"/>
  <c r="AH381" i="10"/>
  <c r="G336" i="9"/>
  <c r="J157" i="10"/>
  <c r="AN557" i="10"/>
  <c r="AJ557" i="10"/>
  <c r="T485" i="10"/>
  <c r="AC781" i="10"/>
  <c r="AF781" i="10"/>
  <c r="AD781" i="10"/>
  <c r="AW781" i="10"/>
  <c r="AL557" i="10"/>
  <c r="AN428" i="10"/>
  <c r="G355" i="6"/>
  <c r="BE150" i="26"/>
  <c r="BF150" i="26" s="1"/>
  <c r="G150" i="6"/>
  <c r="AN525" i="26"/>
  <c r="BF525" i="26" s="1"/>
  <c r="AG452" i="10"/>
  <c r="AC427" i="10"/>
  <c r="AE27" i="10"/>
  <c r="AW52" i="10"/>
  <c r="AB427" i="10"/>
  <c r="AK427" i="10"/>
  <c r="H27" i="27"/>
  <c r="V147" i="27"/>
  <c r="AA147" i="27" s="1"/>
  <c r="I178" i="6"/>
  <c r="AN52" i="10"/>
  <c r="N52" i="10"/>
  <c r="K27" i="10"/>
  <c r="AO427" i="10"/>
  <c r="Z427" i="10"/>
  <c r="AL427" i="10"/>
  <c r="U378" i="10"/>
  <c r="O52" i="10"/>
  <c r="AH452" i="10"/>
  <c r="T27" i="10"/>
  <c r="Y427" i="10"/>
  <c r="AV427" i="10"/>
  <c r="AP427" i="10"/>
  <c r="P632" i="10"/>
  <c r="AP452" i="10"/>
  <c r="AY452" i="10"/>
  <c r="AX452" i="10"/>
  <c r="AK52" i="10"/>
  <c r="U427" i="10"/>
  <c r="Z27" i="10"/>
  <c r="AQ27" i="10"/>
  <c r="O427" i="10"/>
  <c r="S27" i="10"/>
  <c r="U27" i="10"/>
  <c r="AH427" i="10"/>
  <c r="M27" i="10"/>
  <c r="AJ378" i="10"/>
  <c r="S751" i="10"/>
  <c r="V452" i="10"/>
  <c r="AC52" i="10"/>
  <c r="AX52" i="10"/>
  <c r="AR452" i="10"/>
  <c r="AS27" i="10"/>
  <c r="V427" i="10"/>
  <c r="V27" i="10"/>
  <c r="AX427" i="10"/>
  <c r="AG27" i="10"/>
  <c r="AW27" i="10"/>
  <c r="L27" i="10"/>
  <c r="AM28" i="10"/>
  <c r="Z15" i="6"/>
  <c r="K452" i="10"/>
  <c r="AK452" i="10"/>
  <c r="AA452" i="10"/>
  <c r="AD52" i="10"/>
  <c r="AF52" i="10"/>
  <c r="AD452" i="10"/>
  <c r="J452" i="10"/>
  <c r="AS52" i="10"/>
  <c r="R27" i="10"/>
  <c r="K427" i="10"/>
  <c r="W27" i="10"/>
  <c r="AO27" i="10"/>
  <c r="AR27" i="10"/>
  <c r="AD27" i="10"/>
  <c r="AU427" i="10"/>
  <c r="M427" i="10"/>
  <c r="X27" i="10"/>
  <c r="AP27" i="10"/>
  <c r="Y27" i="10"/>
  <c r="AT427" i="10"/>
  <c r="X427" i="10"/>
  <c r="AB27" i="10"/>
  <c r="AI27" i="10"/>
  <c r="AA27" i="10"/>
  <c r="G154" i="9"/>
  <c r="G147" i="10"/>
  <c r="H179" i="27"/>
  <c r="AB52" i="10"/>
  <c r="AU452" i="10"/>
  <c r="Q52" i="10"/>
  <c r="M52" i="10"/>
  <c r="AL452" i="10"/>
  <c r="O452" i="10"/>
  <c r="U52" i="10"/>
  <c r="S52" i="10"/>
  <c r="P27" i="10"/>
  <c r="AJ427" i="10"/>
  <c r="AT27" i="10"/>
  <c r="AY427" i="10"/>
  <c r="T427" i="10"/>
  <c r="AH27" i="10"/>
  <c r="AK27" i="10"/>
  <c r="Q427" i="10"/>
  <c r="R427" i="10"/>
  <c r="Q27" i="10"/>
  <c r="AS427" i="10"/>
  <c r="P427" i="10"/>
  <c r="AY27" i="10"/>
  <c r="AI427" i="10"/>
  <c r="AG427" i="10"/>
  <c r="AI778" i="10"/>
  <c r="BE204" i="26"/>
  <c r="AU476" i="26"/>
  <c r="Q476" i="26" s="1"/>
  <c r="F455" i="9" s="1"/>
  <c r="AE109" i="10"/>
  <c r="AJ476" i="26"/>
  <c r="AI476" i="26" s="1"/>
  <c r="AK476" i="26" s="1"/>
  <c r="AV476" i="26" s="1"/>
  <c r="P476" i="26" s="1"/>
  <c r="G455" i="9" s="1"/>
  <c r="BA133" i="10"/>
  <c r="AO781" i="10"/>
  <c r="N781" i="10"/>
  <c r="Y381" i="10"/>
  <c r="S381" i="10"/>
  <c r="O781" i="10"/>
  <c r="AA781" i="10"/>
  <c r="AA157" i="10"/>
  <c r="Q157" i="10"/>
  <c r="Z557" i="10"/>
  <c r="AY557" i="10"/>
  <c r="AK557" i="10"/>
  <c r="H24" i="27"/>
  <c r="AO444" i="10"/>
  <c r="AL485" i="10"/>
  <c r="AA485" i="10"/>
  <c r="AE781" i="10"/>
  <c r="AG157" i="10"/>
  <c r="BE24" i="26"/>
  <c r="BF24" i="26" s="1"/>
  <c r="G24" i="9"/>
  <c r="J85" i="10"/>
  <c r="AS485" i="10"/>
  <c r="G371" i="9"/>
  <c r="AT781" i="10"/>
  <c r="J781" i="10"/>
  <c r="M381" i="10"/>
  <c r="V381" i="10"/>
  <c r="L381" i="10"/>
  <c r="AP557" i="10"/>
  <c r="M157" i="10"/>
  <c r="AW557" i="10"/>
  <c r="AB157" i="10"/>
  <c r="V157" i="10"/>
  <c r="BA176" i="10"/>
  <c r="BE64" i="26"/>
  <c r="BE193" i="26"/>
  <c r="AM781" i="10"/>
  <c r="X381" i="10"/>
  <c r="AX381" i="10"/>
  <c r="J381" i="10"/>
  <c r="Q381" i="10"/>
  <c r="K381" i="10"/>
  <c r="AA557" i="10"/>
  <c r="AL157" i="10"/>
  <c r="AG557" i="10"/>
  <c r="AT157" i="10"/>
  <c r="Q557" i="10"/>
  <c r="Z85" i="10"/>
  <c r="O85" i="10"/>
  <c r="AC363" i="6"/>
  <c r="Z370" i="6"/>
  <c r="G292" i="9"/>
  <c r="H292" i="27"/>
  <c r="G292" i="6"/>
  <c r="BE292" i="26"/>
  <c r="Z102" i="6"/>
  <c r="BE182" i="26"/>
  <c r="G182" i="9"/>
  <c r="G182" i="6"/>
  <c r="G349" i="6"/>
  <c r="S114" i="10"/>
  <c r="AF114" i="10"/>
  <c r="AR514" i="10"/>
  <c r="Z92" i="6"/>
  <c r="G294" i="9"/>
  <c r="G294" i="6"/>
  <c r="G60" i="6"/>
  <c r="G60" i="9"/>
  <c r="H60" i="27"/>
  <c r="BE283" i="26"/>
  <c r="M727" i="10"/>
  <c r="AW727" i="10"/>
  <c r="AV727" i="10"/>
  <c r="U727" i="10"/>
  <c r="P727" i="10"/>
  <c r="AS327" i="10"/>
  <c r="AO727" i="10"/>
  <c r="Z727" i="10"/>
  <c r="AR327" i="10"/>
  <c r="V727" i="10"/>
  <c r="AX727" i="10"/>
  <c r="K327" i="10"/>
  <c r="X727" i="10"/>
  <c r="AN327" i="10"/>
  <c r="AE327" i="10"/>
  <c r="AJ327" i="10"/>
  <c r="S727" i="10"/>
  <c r="AA727" i="10"/>
  <c r="J727" i="10"/>
  <c r="AX327" i="10"/>
  <c r="AH327" i="10"/>
  <c r="AC327" i="10"/>
  <c r="N327" i="10"/>
  <c r="AG327" i="10"/>
  <c r="AS727" i="10"/>
  <c r="AE727" i="10"/>
  <c r="J327" i="10"/>
  <c r="AD727" i="10"/>
  <c r="W727" i="10"/>
  <c r="AR727" i="10"/>
  <c r="AV327" i="10"/>
  <c r="AY727" i="10"/>
  <c r="T327" i="10"/>
  <c r="Z327" i="10"/>
  <c r="Q327" i="10"/>
  <c r="K727" i="10"/>
  <c r="AQ727" i="10"/>
  <c r="Y327" i="10"/>
  <c r="AI727" i="10"/>
  <c r="AH727" i="10"/>
  <c r="AI327" i="10"/>
  <c r="AG294" i="9"/>
  <c r="AM459" i="10"/>
  <c r="AW59" i="10"/>
  <c r="AR459" i="10"/>
  <c r="AT59" i="10"/>
  <c r="AF59" i="10"/>
  <c r="AO59" i="10"/>
  <c r="AD459" i="10"/>
  <c r="Y459" i="10"/>
  <c r="J59" i="10"/>
  <c r="T459" i="10"/>
  <c r="AX459" i="10"/>
  <c r="AL59" i="10"/>
  <c r="Z459" i="10"/>
  <c r="AU459" i="10"/>
  <c r="X59" i="10"/>
  <c r="U459" i="10"/>
  <c r="AC59" i="10"/>
  <c r="AJ59" i="10"/>
  <c r="AG59" i="10"/>
  <c r="AE59" i="10"/>
  <c r="AP459" i="10"/>
  <c r="L459" i="10"/>
  <c r="AP59" i="10"/>
  <c r="M459" i="10"/>
  <c r="W59" i="10"/>
  <c r="AK59" i="10"/>
  <c r="O59" i="10"/>
  <c r="N59" i="10"/>
  <c r="AV59" i="10"/>
  <c r="S459" i="10"/>
  <c r="AQ459" i="10"/>
  <c r="Z59" i="10"/>
  <c r="AS459" i="10"/>
  <c r="M59" i="10"/>
  <c r="AR59" i="10"/>
  <c r="K59" i="10"/>
  <c r="AE459" i="10"/>
  <c r="AN459" i="10"/>
  <c r="AB59" i="10"/>
  <c r="T59" i="10"/>
  <c r="O459" i="10"/>
  <c r="W459" i="10"/>
  <c r="AT459" i="10"/>
  <c r="AB459" i="10"/>
  <c r="AL459" i="10"/>
  <c r="AY459" i="10"/>
  <c r="J459" i="10"/>
  <c r="S59" i="10"/>
  <c r="R459" i="10"/>
  <c r="P459" i="10"/>
  <c r="AO459" i="10"/>
  <c r="X459" i="10"/>
  <c r="AA459" i="10"/>
  <c r="Q459" i="10"/>
  <c r="V459" i="10"/>
  <c r="AI459" i="10"/>
  <c r="V59" i="10"/>
  <c r="L59" i="10"/>
  <c r="P59" i="10"/>
  <c r="AJ459" i="10"/>
  <c r="AV459" i="10"/>
  <c r="AD59" i="10"/>
  <c r="V157" i="27"/>
  <c r="G157" i="10"/>
  <c r="Q747" i="10"/>
  <c r="M347" i="10"/>
  <c r="AR347" i="10"/>
  <c r="G179" i="6"/>
  <c r="M281" i="10"/>
  <c r="G64" i="6"/>
  <c r="G371" i="6"/>
  <c r="AH781" i="10"/>
  <c r="AX781" i="10"/>
  <c r="AP381" i="10"/>
  <c r="AV381" i="10"/>
  <c r="AY781" i="10"/>
  <c r="AG781" i="10"/>
  <c r="X781" i="10"/>
  <c r="AQ781" i="10"/>
  <c r="AQ381" i="10"/>
  <c r="AN781" i="10"/>
  <c r="W781" i="10"/>
  <c r="AR781" i="10"/>
  <c r="AF557" i="10"/>
  <c r="AK157" i="10"/>
  <c r="AH557" i="10"/>
  <c r="V557" i="10"/>
  <c r="AJ157" i="10"/>
  <c r="AM557" i="10"/>
  <c r="S157" i="10"/>
  <c r="S557" i="10"/>
  <c r="AE157" i="10"/>
  <c r="I117" i="6"/>
  <c r="AF459" i="10"/>
  <c r="R59" i="10"/>
  <c r="Y59" i="10"/>
  <c r="AC459" i="10"/>
  <c r="AA59" i="10"/>
  <c r="L85" i="10"/>
  <c r="AV85" i="10"/>
  <c r="W485" i="10"/>
  <c r="AP485" i="10"/>
  <c r="K485" i="10"/>
  <c r="AG285" i="9"/>
  <c r="AT44" i="10"/>
  <c r="AM444" i="10"/>
  <c r="AD444" i="10"/>
  <c r="AC444" i="10"/>
  <c r="V44" i="10"/>
  <c r="X44" i="10"/>
  <c r="Y44" i="10"/>
  <c r="L128" i="10"/>
  <c r="AO128" i="10"/>
  <c r="AN528" i="10"/>
  <c r="AJ128" i="10"/>
  <c r="H172" i="27"/>
  <c r="F79" i="27"/>
  <c r="AU485" i="10"/>
  <c r="AY485" i="10"/>
  <c r="AW485" i="10"/>
  <c r="AS85" i="10"/>
  <c r="P485" i="10"/>
  <c r="AJ85" i="10"/>
  <c r="AL85" i="10"/>
  <c r="AB85" i="10"/>
  <c r="N485" i="10"/>
  <c r="AY85" i="10"/>
  <c r="T85" i="10"/>
  <c r="J485" i="10"/>
  <c r="AT485" i="10"/>
  <c r="Q85" i="10"/>
  <c r="AN485" i="10"/>
  <c r="Y485" i="10"/>
  <c r="AX485" i="10"/>
  <c r="Y85" i="10"/>
  <c r="AM485" i="10"/>
  <c r="U85" i="10"/>
  <c r="AR485" i="10"/>
  <c r="N85" i="10"/>
  <c r="AX85" i="10"/>
  <c r="AR85" i="10"/>
  <c r="AH485" i="10"/>
  <c r="K85" i="10"/>
  <c r="M85" i="10"/>
  <c r="X85" i="10"/>
  <c r="AF85" i="10"/>
  <c r="AQ485" i="10"/>
  <c r="U485" i="10"/>
  <c r="R85" i="10"/>
  <c r="AF485" i="10"/>
  <c r="V485" i="10"/>
  <c r="AG85" i="10"/>
  <c r="P85" i="10"/>
  <c r="AT85" i="10"/>
  <c r="AQ85" i="10"/>
  <c r="AO85" i="10"/>
  <c r="Z485" i="10"/>
  <c r="AJ485" i="10"/>
  <c r="M485" i="10"/>
  <c r="L485" i="10"/>
  <c r="AW85" i="10"/>
  <c r="R485" i="10"/>
  <c r="AI85" i="10"/>
  <c r="AO485" i="10"/>
  <c r="AK85" i="10"/>
  <c r="O485" i="10"/>
  <c r="AE485" i="10"/>
  <c r="Q485" i="10"/>
  <c r="AG485" i="10"/>
  <c r="S85" i="10"/>
  <c r="AI485" i="10"/>
  <c r="W85" i="10"/>
  <c r="AE85" i="10"/>
  <c r="AK485" i="10"/>
  <c r="AD85" i="10"/>
  <c r="AH85" i="10"/>
  <c r="AM85" i="10"/>
  <c r="AV485" i="10"/>
  <c r="AC85" i="10"/>
  <c r="S485" i="10"/>
  <c r="AB485" i="10"/>
  <c r="G198" i="9"/>
  <c r="BE198" i="26"/>
  <c r="Z69" i="6"/>
  <c r="BE336" i="26"/>
  <c r="BF336" i="26" s="1"/>
  <c r="Z336" i="27"/>
  <c r="AH157" i="10"/>
  <c r="W157" i="10"/>
  <c r="AI557" i="10"/>
  <c r="AC557" i="10"/>
  <c r="AO157" i="10"/>
  <c r="L557" i="10"/>
  <c r="AX557" i="10"/>
  <c r="T557" i="10"/>
  <c r="W557" i="10"/>
  <c r="K157" i="10"/>
  <c r="AR557" i="10"/>
  <c r="AR157" i="10"/>
  <c r="AB557" i="10"/>
  <c r="AM157" i="10"/>
  <c r="Z157" i="10"/>
  <c r="AT557" i="10"/>
  <c r="N557" i="10"/>
  <c r="J557" i="10"/>
  <c r="AW157" i="10"/>
  <c r="R557" i="10"/>
  <c r="AX157" i="10"/>
  <c r="M557" i="10"/>
  <c r="P557" i="10"/>
  <c r="AD157" i="10"/>
  <c r="AY157" i="10"/>
  <c r="O157" i="10"/>
  <c r="AC157" i="10"/>
  <c r="U157" i="10"/>
  <c r="X157" i="10"/>
  <c r="Y557" i="10"/>
  <c r="AP157" i="10"/>
  <c r="AV557" i="10"/>
  <c r="Y157" i="10"/>
  <c r="AF157" i="10"/>
  <c r="AS157" i="10"/>
  <c r="N157" i="10"/>
  <c r="T157" i="10"/>
  <c r="AO557" i="10"/>
  <c r="AQ157" i="10"/>
  <c r="U557" i="10"/>
  <c r="AU557" i="10"/>
  <c r="BE179" i="26"/>
  <c r="AO381" i="10"/>
  <c r="AW381" i="10"/>
  <c r="AY381" i="10"/>
  <c r="P381" i="10"/>
  <c r="AU781" i="10"/>
  <c r="AT381" i="10"/>
  <c r="R781" i="10"/>
  <c r="AF381" i="10"/>
  <c r="K781" i="10"/>
  <c r="AN381" i="10"/>
  <c r="G283" i="6"/>
  <c r="R157" i="10"/>
  <c r="AI157" i="10"/>
  <c r="AV157" i="10"/>
  <c r="K557" i="10"/>
  <c r="O557" i="10"/>
  <c r="AD557" i="10"/>
  <c r="L157" i="10"/>
  <c r="AN157" i="10"/>
  <c r="AE557" i="10"/>
  <c r="AS557" i="10"/>
  <c r="P157" i="10"/>
  <c r="AY478" i="10"/>
  <c r="AX59" i="10"/>
  <c r="AS59" i="10"/>
  <c r="Q59" i="10"/>
  <c r="AN59" i="10"/>
  <c r="AY59" i="10"/>
  <c r="AH59" i="10"/>
  <c r="V444" i="10"/>
  <c r="AN85" i="10"/>
  <c r="AD485" i="10"/>
  <c r="AA85" i="10"/>
  <c r="AP85" i="10"/>
  <c r="V85" i="10"/>
  <c r="BF27" i="26"/>
  <c r="AB632" i="10"/>
  <c r="AR751" i="10"/>
  <c r="G303" i="9"/>
  <c r="F222" i="9"/>
  <c r="R364" i="10"/>
  <c r="L632" i="10"/>
  <c r="AD632" i="10"/>
  <c r="G376" i="6"/>
  <c r="AN418" i="10"/>
  <c r="AG167" i="9"/>
  <c r="AY18" i="10"/>
  <c r="AY426" i="10"/>
  <c r="AJ26" i="10"/>
  <c r="AI426" i="10"/>
  <c r="F249" i="27"/>
  <c r="AX418" i="10"/>
  <c r="AX562" i="10"/>
  <c r="AY162" i="10"/>
  <c r="V111" i="27"/>
  <c r="G111" i="10"/>
  <c r="AA381" i="10"/>
  <c r="AR381" i="10"/>
  <c r="Y781" i="10"/>
  <c r="U381" i="10"/>
  <c r="W381" i="10"/>
  <c r="AJ781" i="10"/>
  <c r="AB781" i="10"/>
  <c r="AJ381" i="10"/>
  <c r="AC381" i="10"/>
  <c r="V781" i="10"/>
  <c r="AB381" i="10"/>
  <c r="AM381" i="10"/>
  <c r="AP781" i="10"/>
  <c r="AS381" i="10"/>
  <c r="Z381" i="10"/>
  <c r="AI781" i="10"/>
  <c r="AL781" i="10"/>
  <c r="AK781" i="10"/>
  <c r="AL381" i="10"/>
  <c r="S781" i="10"/>
  <c r="AI381" i="10"/>
  <c r="AV781" i="10"/>
  <c r="R381" i="10"/>
  <c r="Q781" i="10"/>
  <c r="AK381" i="10"/>
  <c r="O381" i="10"/>
  <c r="L781" i="10"/>
  <c r="M781" i="10"/>
  <c r="P781" i="10"/>
  <c r="AD381" i="10"/>
  <c r="AG381" i="10"/>
  <c r="AS781" i="10"/>
  <c r="U781" i="10"/>
  <c r="AE381" i="10"/>
  <c r="T781" i="10"/>
  <c r="N381" i="10"/>
  <c r="AQ444" i="10"/>
  <c r="O44" i="10"/>
  <c r="AS44" i="10"/>
  <c r="AK444" i="10"/>
  <c r="AG44" i="10"/>
  <c r="AT444" i="10"/>
  <c r="R444" i="10"/>
  <c r="AL444" i="10"/>
  <c r="AR444" i="10"/>
  <c r="AD44" i="10"/>
  <c r="M444" i="10"/>
  <c r="AW444" i="10"/>
  <c r="AH444" i="10"/>
  <c r="AO44" i="10"/>
  <c r="AG444" i="10"/>
  <c r="AX44" i="10"/>
  <c r="AC44" i="10"/>
  <c r="K44" i="10"/>
  <c r="AI44" i="10"/>
  <c r="Q44" i="10"/>
  <c r="AY444" i="10"/>
  <c r="O444" i="10"/>
  <c r="AP444" i="10"/>
  <c r="U444" i="10"/>
  <c r="X444" i="10"/>
  <c r="AB444" i="10"/>
  <c r="AL44" i="10"/>
  <c r="L44" i="10"/>
  <c r="AE444" i="10"/>
  <c r="Z444" i="10"/>
  <c r="N444" i="10"/>
  <c r="V68" i="27"/>
  <c r="AA68" i="27" s="1"/>
  <c r="G68" i="10"/>
  <c r="G92" i="6"/>
  <c r="G92" i="9"/>
  <c r="O418" i="10"/>
  <c r="U418" i="10"/>
  <c r="N18" i="10"/>
  <c r="K418" i="10"/>
  <c r="AD18" i="10"/>
  <c r="AA18" i="10"/>
  <c r="R18" i="10"/>
  <c r="AQ418" i="10"/>
  <c r="AO418" i="10"/>
  <c r="S418" i="10"/>
  <c r="Y418" i="10"/>
  <c r="AS418" i="10"/>
  <c r="AC418" i="10"/>
  <c r="AB18" i="10"/>
  <c r="AS18" i="10"/>
  <c r="T418" i="10"/>
  <c r="Z155" i="6"/>
  <c r="BE155" i="26"/>
  <c r="BF155" i="26" s="1"/>
  <c r="G155" i="6"/>
  <c r="AH18" i="10"/>
  <c r="AU511" i="26"/>
  <c r="AM511" i="26"/>
  <c r="AO511" i="26" s="1"/>
  <c r="BA154" i="10"/>
  <c r="BB352" i="10"/>
  <c r="BA352" i="10"/>
  <c r="BD53" i="26"/>
  <c r="BF53" i="26" s="1"/>
  <c r="V53" i="27"/>
  <c r="G53" i="10"/>
  <c r="G203" i="9"/>
  <c r="H203" i="27"/>
  <c r="G203" i="6"/>
  <c r="AM452" i="10"/>
  <c r="U452" i="10"/>
  <c r="AR52" i="10"/>
  <c r="Q452" i="10"/>
  <c r="AV52" i="10"/>
  <c r="AO52" i="10"/>
  <c r="AM52" i="10"/>
  <c r="AE452" i="10"/>
  <c r="P452" i="10"/>
  <c r="AT452" i="10"/>
  <c r="AN27" i="10"/>
  <c r="AE427" i="10"/>
  <c r="AL27" i="10"/>
  <c r="S427" i="10"/>
  <c r="AJ27" i="10"/>
  <c r="N27" i="10"/>
  <c r="W427" i="10"/>
  <c r="O27" i="10"/>
  <c r="AV27" i="10"/>
  <c r="J27" i="10"/>
  <c r="AX27" i="10"/>
  <c r="L427" i="10"/>
  <c r="AA427" i="10"/>
  <c r="AF427" i="10"/>
  <c r="AF27" i="10"/>
  <c r="AR427" i="10"/>
  <c r="AN427" i="10"/>
  <c r="AD427" i="10"/>
  <c r="AQ427" i="10"/>
  <c r="N427" i="10"/>
  <c r="AW428" i="10"/>
  <c r="P28" i="10"/>
  <c r="AA428" i="10"/>
  <c r="J210" i="10"/>
  <c r="AP378" i="10"/>
  <c r="S547" i="10"/>
  <c r="N778" i="10"/>
  <c r="AE778" i="10"/>
  <c r="AJ778" i="10"/>
  <c r="L351" i="10"/>
  <c r="AJ751" i="10"/>
  <c r="P309" i="10"/>
  <c r="W778" i="10"/>
  <c r="AU778" i="10"/>
  <c r="AF28" i="10"/>
  <c r="K28" i="10"/>
  <c r="AA28" i="10"/>
  <c r="G293" i="10"/>
  <c r="BA268" i="10"/>
  <c r="AN378" i="10"/>
  <c r="AD147" i="10"/>
  <c r="AM378" i="10"/>
  <c r="AV778" i="10"/>
  <c r="AA378" i="10"/>
  <c r="AM751" i="10"/>
  <c r="Y351" i="10"/>
  <c r="R751" i="10"/>
  <c r="AC309" i="10"/>
  <c r="R778" i="10"/>
  <c r="G154" i="6"/>
  <c r="O28" i="10"/>
  <c r="AE428" i="10"/>
  <c r="AY778" i="10"/>
  <c r="P378" i="10"/>
  <c r="AI378" i="10"/>
  <c r="J351" i="10"/>
  <c r="AD351" i="10"/>
  <c r="AA351" i="10"/>
  <c r="AT709" i="10"/>
  <c r="H155" i="27"/>
  <c r="G155" i="9"/>
  <c r="AN418" i="26"/>
  <c r="BF418" i="26" s="1"/>
  <c r="BE303" i="26"/>
  <c r="F222" i="6"/>
  <c r="Z222" i="6" s="1"/>
  <c r="G52" i="10"/>
  <c r="BE376" i="26"/>
  <c r="BF376" i="26" s="1"/>
  <c r="Q418" i="10"/>
  <c r="AD418" i="10"/>
  <c r="AT18" i="10"/>
  <c r="AK18" i="10"/>
  <c r="AV18" i="10"/>
  <c r="AG418" i="10"/>
  <c r="AM18" i="10"/>
  <c r="Z18" i="10"/>
  <c r="W18" i="10"/>
  <c r="AQ18" i="10"/>
  <c r="W418" i="10"/>
  <c r="Z418" i="10"/>
  <c r="AI418" i="10"/>
  <c r="P18" i="10"/>
  <c r="O18" i="10"/>
  <c r="U18" i="10"/>
  <c r="AM418" i="10"/>
  <c r="Y18" i="10"/>
  <c r="AL418" i="10"/>
  <c r="X18" i="10"/>
  <c r="M418" i="10"/>
  <c r="H151" i="27"/>
  <c r="BE92" i="26"/>
  <c r="BF92" i="26" s="1"/>
  <c r="AQ351" i="10"/>
  <c r="AA751" i="10"/>
  <c r="M751" i="10"/>
  <c r="J751" i="10"/>
  <c r="AS751" i="10"/>
  <c r="AX751" i="10"/>
  <c r="V351" i="10"/>
  <c r="N351" i="10"/>
  <c r="R351" i="10"/>
  <c r="L751" i="10"/>
  <c r="AH751" i="10"/>
  <c r="G303" i="6"/>
  <c r="BB306" i="10"/>
  <c r="Y222" i="27"/>
  <c r="G222" i="27" s="1"/>
  <c r="BD68" i="26"/>
  <c r="H376" i="27"/>
  <c r="V90" i="27"/>
  <c r="AA90" i="27" s="1"/>
  <c r="BD342" i="26"/>
  <c r="BF342" i="26" s="1"/>
  <c r="V18" i="10"/>
  <c r="R418" i="10"/>
  <c r="AR418" i="10"/>
  <c r="Q18" i="10"/>
  <c r="AF18" i="10"/>
  <c r="P418" i="10"/>
  <c r="AC18" i="10"/>
  <c r="AW18" i="10"/>
  <c r="L18" i="10"/>
  <c r="AU418" i="10"/>
  <c r="AH418" i="10"/>
  <c r="AJ18" i="10"/>
  <c r="AJ418" i="10"/>
  <c r="AO18" i="10"/>
  <c r="AX18" i="10"/>
  <c r="J418" i="10"/>
  <c r="AN18" i="10"/>
  <c r="AL18" i="10"/>
  <c r="AP18" i="10"/>
  <c r="J18" i="10"/>
  <c r="AI18" i="10"/>
  <c r="AC461" i="10"/>
  <c r="AU520" i="26"/>
  <c r="V751" i="10"/>
  <c r="U351" i="10"/>
  <c r="AN351" i="10"/>
  <c r="AW351" i="10"/>
  <c r="Y751" i="10"/>
  <c r="Z751" i="10"/>
  <c r="AB351" i="10"/>
  <c r="K351" i="10"/>
  <c r="AL351" i="10"/>
  <c r="W751" i="10"/>
  <c r="BE151" i="26"/>
  <c r="BF151" i="26" s="1"/>
  <c r="AV453" i="10"/>
  <c r="V418" i="10"/>
  <c r="AW418" i="10"/>
  <c r="AE18" i="10"/>
  <c r="M18" i="10"/>
  <c r="K18" i="10"/>
  <c r="AA418" i="10"/>
  <c r="S18" i="10"/>
  <c r="T18" i="10"/>
  <c r="AY418" i="10"/>
  <c r="AE418" i="10"/>
  <c r="AF418" i="10"/>
  <c r="AR18" i="10"/>
  <c r="X418" i="10"/>
  <c r="AG18" i="10"/>
  <c r="AB418" i="10"/>
  <c r="AK418" i="10"/>
  <c r="L418" i="10"/>
  <c r="AP418" i="10"/>
  <c r="AV418" i="10"/>
  <c r="AT418" i="10"/>
  <c r="Z298" i="27"/>
  <c r="AL751" i="10"/>
  <c r="P751" i="10"/>
  <c r="O351" i="10"/>
  <c r="AN751" i="10"/>
  <c r="AX351" i="10"/>
  <c r="AE751" i="10"/>
  <c r="AB751" i="10"/>
  <c r="AO351" i="10"/>
  <c r="AI751" i="10"/>
  <c r="G151" i="6"/>
  <c r="G151" i="9"/>
  <c r="AS378" i="10"/>
  <c r="J778" i="10"/>
  <c r="AS443" i="10"/>
  <c r="AO443" i="10"/>
  <c r="AP43" i="10"/>
  <c r="AP61" i="10"/>
  <c r="L61" i="10"/>
  <c r="N61" i="10"/>
  <c r="AI461" i="10"/>
  <c r="AI61" i="10"/>
  <c r="M461" i="10"/>
  <c r="S461" i="10"/>
  <c r="V59" i="27"/>
  <c r="BD59" i="26"/>
  <c r="AP52" i="10"/>
  <c r="Y52" i="10"/>
  <c r="L452" i="10"/>
  <c r="P52" i="10"/>
  <c r="AE52" i="10"/>
  <c r="AF452" i="10"/>
  <c r="AN452" i="10"/>
  <c r="Z52" i="10"/>
  <c r="N452" i="10"/>
  <c r="Y452" i="10"/>
  <c r="AL52" i="10"/>
  <c r="AJ452" i="10"/>
  <c r="AA52" i="10"/>
  <c r="AS452" i="10"/>
  <c r="V52" i="10"/>
  <c r="K52" i="10"/>
  <c r="AQ452" i="10"/>
  <c r="R452" i="10"/>
  <c r="T52" i="10"/>
  <c r="AG52" i="10"/>
  <c r="BA306" i="10"/>
  <c r="BE154" i="26"/>
  <c r="BF154" i="26" s="1"/>
  <c r="V52" i="27"/>
  <c r="G90" i="10"/>
  <c r="V293" i="27"/>
  <c r="AF778" i="10"/>
  <c r="N378" i="10"/>
  <c r="Q378" i="10"/>
  <c r="V61" i="10"/>
  <c r="X378" i="10"/>
  <c r="L378" i="10"/>
  <c r="AE378" i="10"/>
  <c r="AB778" i="10"/>
  <c r="L778" i="10"/>
  <c r="I16" i="6"/>
  <c r="AQ778" i="10"/>
  <c r="AN778" i="10"/>
  <c r="AB747" i="10"/>
  <c r="N747" i="10"/>
  <c r="F237" i="6"/>
  <c r="AY43" i="10"/>
  <c r="G204" i="9"/>
  <c r="H204" i="27"/>
  <c r="AK778" i="10"/>
  <c r="U778" i="10"/>
  <c r="AL778" i="10"/>
  <c r="AB378" i="10"/>
  <c r="Z378" i="10"/>
  <c r="Y378" i="10"/>
  <c r="AR778" i="10"/>
  <c r="AD378" i="10"/>
  <c r="AO778" i="10"/>
  <c r="K378" i="10"/>
  <c r="AG778" i="10"/>
  <c r="V778" i="10"/>
  <c r="AV378" i="10"/>
  <c r="AF378" i="10"/>
  <c r="AX778" i="10"/>
  <c r="AW778" i="10"/>
  <c r="X778" i="10"/>
  <c r="AX378" i="10"/>
  <c r="AD778" i="10"/>
  <c r="S378" i="10"/>
  <c r="T378" i="10"/>
  <c r="AQ378" i="10"/>
  <c r="Y778" i="10"/>
  <c r="T778" i="10"/>
  <c r="AH378" i="10"/>
  <c r="AC778" i="10"/>
  <c r="R378" i="10"/>
  <c r="AH778" i="10"/>
  <c r="AR378" i="10"/>
  <c r="V378" i="10"/>
  <c r="AL378" i="10"/>
  <c r="AK378" i="10"/>
  <c r="AT778" i="10"/>
  <c r="AT378" i="10"/>
  <c r="AA778" i="10"/>
  <c r="P778" i="10"/>
  <c r="M378" i="10"/>
  <c r="AW378" i="10"/>
  <c r="AM778" i="10"/>
  <c r="Q778" i="10"/>
  <c r="O378" i="10"/>
  <c r="F237" i="9"/>
  <c r="Z237" i="9" s="1"/>
  <c r="AA237" i="9" s="1"/>
  <c r="P237" i="26"/>
  <c r="AI52" i="10"/>
  <c r="L52" i="10"/>
  <c r="M452" i="10"/>
  <c r="AQ52" i="10"/>
  <c r="S452" i="10"/>
  <c r="AJ52" i="10"/>
  <c r="AY52" i="10"/>
  <c r="Z452" i="10"/>
  <c r="AB452" i="10"/>
  <c r="AW452" i="10"/>
  <c r="AC452" i="10"/>
  <c r="T452" i="10"/>
  <c r="J52" i="10"/>
  <c r="AO452" i="10"/>
  <c r="AT52" i="10"/>
  <c r="X452" i="10"/>
  <c r="AH52" i="10"/>
  <c r="AV452" i="10"/>
  <c r="R52" i="10"/>
  <c r="AI452" i="10"/>
  <c r="AR721" i="10"/>
  <c r="K260" i="10"/>
  <c r="K778" i="10"/>
  <c r="O778" i="10"/>
  <c r="AL461" i="10"/>
  <c r="AK61" i="10"/>
  <c r="J378" i="10"/>
  <c r="W378" i="10"/>
  <c r="Z778" i="10"/>
  <c r="AP778" i="10"/>
  <c r="M778" i="10"/>
  <c r="AC378" i="10"/>
  <c r="AG378" i="10"/>
  <c r="AS778" i="10"/>
  <c r="AY378" i="10"/>
  <c r="AO378" i="10"/>
  <c r="AM43" i="10"/>
  <c r="BE69" i="26"/>
  <c r="G69" i="6"/>
  <c r="BB108" i="10"/>
  <c r="BC108" i="10" s="1"/>
  <c r="G167" i="6"/>
  <c r="G167" i="9"/>
  <c r="AJ444" i="10"/>
  <c r="P444" i="10"/>
  <c r="S44" i="10"/>
  <c r="AP44" i="10"/>
  <c r="W444" i="10"/>
  <c r="AH44" i="10"/>
  <c r="AV444" i="10"/>
  <c r="AY44" i="10"/>
  <c r="W44" i="10"/>
  <c r="AF44" i="10"/>
  <c r="AM44" i="10"/>
  <c r="P44" i="10"/>
  <c r="AQ44" i="10"/>
  <c r="AU444" i="10"/>
  <c r="T444" i="10"/>
  <c r="AV44" i="10"/>
  <c r="AN44" i="10"/>
  <c r="AA444" i="10"/>
  <c r="AR44" i="10"/>
  <c r="AI444" i="10"/>
  <c r="L444" i="10"/>
  <c r="AX444" i="10"/>
  <c r="Y444" i="10"/>
  <c r="J44" i="10"/>
  <c r="M44" i="10"/>
  <c r="AE44" i="10"/>
  <c r="AA44" i="10"/>
  <c r="AS444" i="10"/>
  <c r="S444" i="10"/>
  <c r="AW44" i="10"/>
  <c r="Z44" i="10"/>
  <c r="U44" i="10"/>
  <c r="AF444" i="10"/>
  <c r="Q444" i="10"/>
  <c r="K444" i="10"/>
  <c r="R44" i="10"/>
  <c r="AB44" i="10"/>
  <c r="AJ44" i="10"/>
  <c r="N44" i="10"/>
  <c r="AK44" i="10"/>
  <c r="J444" i="10"/>
  <c r="T44" i="10"/>
  <c r="AU469" i="26"/>
  <c r="AH469" i="26"/>
  <c r="BF172" i="26"/>
  <c r="G349" i="9"/>
  <c r="AG204" i="9"/>
  <c r="G237" i="10"/>
  <c r="V237" i="27"/>
  <c r="AA237" i="27" s="1"/>
  <c r="BD237" i="26"/>
  <c r="AQ128" i="10"/>
  <c r="AY514" i="10"/>
  <c r="AV22" i="10"/>
  <c r="W114" i="10"/>
  <c r="BB96" i="10"/>
  <c r="BC96" i="10" s="1"/>
  <c r="AN681" i="10"/>
  <c r="BB133" i="10"/>
  <c r="W193" i="10"/>
  <c r="AN232" i="10"/>
  <c r="AC232" i="10"/>
  <c r="AD232" i="10"/>
  <c r="M53" i="10"/>
  <c r="AL453" i="10"/>
  <c r="BD381" i="26"/>
  <c r="Z528" i="10"/>
  <c r="AE128" i="10"/>
  <c r="AF128" i="10"/>
  <c r="BE72" i="26"/>
  <c r="Y114" i="10"/>
  <c r="Z514" i="10"/>
  <c r="AT114" i="10"/>
  <c r="AS659" i="10"/>
  <c r="AI422" i="10"/>
  <c r="AH147" i="10"/>
  <c r="AS147" i="10"/>
  <c r="Q487" i="26"/>
  <c r="F464" i="9" s="1"/>
  <c r="AX309" i="10"/>
  <c r="AA184" i="10"/>
  <c r="Z281" i="10"/>
  <c r="AU453" i="10"/>
  <c r="AK528" i="10"/>
  <c r="U281" i="10"/>
  <c r="N281" i="10"/>
  <c r="N232" i="10"/>
  <c r="AI232" i="10"/>
  <c r="AE632" i="10"/>
  <c r="AI453" i="10"/>
  <c r="AX528" i="10"/>
  <c r="P128" i="10"/>
  <c r="AM128" i="10"/>
  <c r="AS114" i="10"/>
  <c r="O514" i="10"/>
  <c r="M114" i="10"/>
  <c r="N205" i="10"/>
  <c r="V547" i="10"/>
  <c r="AP147" i="10"/>
  <c r="AA309" i="10"/>
  <c r="AE734" i="10"/>
  <c r="AU734" i="10"/>
  <c r="AS734" i="10"/>
  <c r="AJ334" i="10"/>
  <c r="W53" i="10"/>
  <c r="J53" i="10"/>
  <c r="AF53" i="10"/>
  <c r="L453" i="10"/>
  <c r="L53" i="10"/>
  <c r="AW128" i="10"/>
  <c r="W128" i="10"/>
  <c r="AI128" i="10"/>
  <c r="K128" i="10"/>
  <c r="AO114" i="10"/>
  <c r="X114" i="10"/>
  <c r="J514" i="10"/>
  <c r="X514" i="10"/>
  <c r="AW114" i="10"/>
  <c r="AF747" i="10"/>
  <c r="Z347" i="10"/>
  <c r="AW747" i="10"/>
  <c r="AE347" i="10"/>
  <c r="T347" i="10"/>
  <c r="P347" i="10"/>
  <c r="AL747" i="10"/>
  <c r="AQ347" i="10"/>
  <c r="AN347" i="10"/>
  <c r="AC747" i="10"/>
  <c r="V347" i="10"/>
  <c r="Z24" i="6"/>
  <c r="AC178" i="9"/>
  <c r="AW281" i="10"/>
  <c r="J281" i="10"/>
  <c r="AY681" i="10"/>
  <c r="W681" i="10"/>
  <c r="O681" i="10"/>
  <c r="G243" i="6"/>
  <c r="G364" i="10"/>
  <c r="N93" i="10"/>
  <c r="P453" i="10"/>
  <c r="AG53" i="10"/>
  <c r="Q453" i="10"/>
  <c r="AA53" i="10"/>
  <c r="Z453" i="10"/>
  <c r="V381" i="27"/>
  <c r="N528" i="10"/>
  <c r="J528" i="10"/>
  <c r="T528" i="10"/>
  <c r="AU528" i="10"/>
  <c r="AJ528" i="10"/>
  <c r="V528" i="10"/>
  <c r="Z128" i="10"/>
  <c r="X128" i="10"/>
  <c r="AO528" i="10"/>
  <c r="AD128" i="10"/>
  <c r="U114" i="10"/>
  <c r="AY114" i="10"/>
  <c r="AW514" i="10"/>
  <c r="AA514" i="10"/>
  <c r="AP114" i="10"/>
  <c r="O114" i="10"/>
  <c r="AU514" i="10"/>
  <c r="AN114" i="10"/>
  <c r="AN514" i="10"/>
  <c r="W514" i="10"/>
  <c r="L205" i="10"/>
  <c r="G259" i="10"/>
  <c r="O347" i="10"/>
  <c r="X347" i="10"/>
  <c r="AE747" i="10"/>
  <c r="AH334" i="10"/>
  <c r="N22" i="10"/>
  <c r="N147" i="10"/>
  <c r="AP547" i="10"/>
  <c r="AC184" i="10"/>
  <c r="G44" i="10"/>
  <c r="Q309" i="10"/>
  <c r="AI309" i="10"/>
  <c r="AF210" i="10"/>
  <c r="N610" i="10"/>
  <c r="AY210" i="10"/>
  <c r="AR22" i="10"/>
  <c r="AE422" i="10"/>
  <c r="AA22" i="10"/>
  <c r="O422" i="10"/>
  <c r="K22" i="10"/>
  <c r="AL22" i="10"/>
  <c r="J22" i="10"/>
  <c r="P422" i="10"/>
  <c r="Z27" i="6"/>
  <c r="G72" i="6"/>
  <c r="G72" i="9"/>
  <c r="BD15" i="26"/>
  <c r="BF15" i="26" s="1"/>
  <c r="G15" i="10"/>
  <c r="BE274" i="26"/>
  <c r="G274" i="9"/>
  <c r="Y514" i="10"/>
  <c r="K114" i="10"/>
  <c r="AV114" i="10"/>
  <c r="AS514" i="10"/>
  <c r="Q114" i="10"/>
  <c r="AI114" i="10"/>
  <c r="AL114" i="10"/>
  <c r="AQ114" i="10"/>
  <c r="P114" i="10"/>
  <c r="AE514" i="10"/>
  <c r="AR114" i="10"/>
  <c r="AG114" i="10"/>
  <c r="AQ514" i="10"/>
  <c r="AE114" i="10"/>
  <c r="R114" i="10"/>
  <c r="AL514" i="10"/>
  <c r="AJ514" i="10"/>
  <c r="AT514" i="10"/>
  <c r="AC114" i="10"/>
  <c r="M514" i="10"/>
  <c r="AB114" i="10"/>
  <c r="T114" i="10"/>
  <c r="U514" i="10"/>
  <c r="AC514" i="10"/>
  <c r="AJ114" i="10"/>
  <c r="AB514" i="10"/>
  <c r="V114" i="10"/>
  <c r="AF514" i="10"/>
  <c r="AH114" i="10"/>
  <c r="N114" i="10"/>
  <c r="P514" i="10"/>
  <c r="T514" i="10"/>
  <c r="R514" i="10"/>
  <c r="AG514" i="10"/>
  <c r="AK514" i="10"/>
  <c r="AD514" i="10"/>
  <c r="AD114" i="10"/>
  <c r="Z114" i="10"/>
  <c r="AX114" i="10"/>
  <c r="AV514" i="10"/>
  <c r="N514" i="10"/>
  <c r="AK114" i="10"/>
  <c r="AG239" i="9"/>
  <c r="G174" i="6"/>
  <c r="AS528" i="10"/>
  <c r="N128" i="10"/>
  <c r="U128" i="10"/>
  <c r="AE528" i="10"/>
  <c r="AV128" i="10"/>
  <c r="M128" i="10"/>
  <c r="J128" i="10"/>
  <c r="AG528" i="10"/>
  <c r="AR528" i="10"/>
  <c r="AB128" i="10"/>
  <c r="AF528" i="10"/>
  <c r="L528" i="10"/>
  <c r="O128" i="10"/>
  <c r="AS128" i="10"/>
  <c r="K528" i="10"/>
  <c r="AL528" i="10"/>
  <c r="AB528" i="10"/>
  <c r="AT528" i="10"/>
  <c r="AC528" i="10"/>
  <c r="AN128" i="10"/>
  <c r="AV528" i="10"/>
  <c r="P528" i="10"/>
  <c r="O528" i="10"/>
  <c r="AY128" i="10"/>
  <c r="AK128" i="10"/>
  <c r="AI528" i="10"/>
  <c r="AX128" i="10"/>
  <c r="AQ528" i="10"/>
  <c r="AA528" i="10"/>
  <c r="X528" i="10"/>
  <c r="AT128" i="10"/>
  <c r="M528" i="10"/>
  <c r="AH528" i="10"/>
  <c r="R528" i="10"/>
  <c r="AM528" i="10"/>
  <c r="AP128" i="10"/>
  <c r="AY528" i="10"/>
  <c r="AW528" i="10"/>
  <c r="S528" i="10"/>
  <c r="Q528" i="10"/>
  <c r="AP528" i="10"/>
  <c r="S281" i="10"/>
  <c r="AB281" i="10"/>
  <c r="AR681" i="10"/>
  <c r="AH281" i="10"/>
  <c r="AM681" i="10"/>
  <c r="U528" i="10"/>
  <c r="AH128" i="10"/>
  <c r="Q128" i="10"/>
  <c r="AD528" i="10"/>
  <c r="V128" i="10"/>
  <c r="AA128" i="10"/>
  <c r="AO514" i="10"/>
  <c r="V514" i="10"/>
  <c r="L514" i="10"/>
  <c r="AM514" i="10"/>
  <c r="AX514" i="10"/>
  <c r="P22" i="10"/>
  <c r="S22" i="10"/>
  <c r="V15" i="27"/>
  <c r="F15" i="27" s="1"/>
  <c r="AI584" i="10"/>
  <c r="AE584" i="10"/>
  <c r="R584" i="10"/>
  <c r="AX659" i="10"/>
  <c r="Z659" i="10"/>
  <c r="AQ259" i="10"/>
  <c r="BE102" i="26"/>
  <c r="AO309" i="10"/>
  <c r="L709" i="10"/>
  <c r="AE709" i="10"/>
  <c r="J709" i="10"/>
  <c r="T709" i="10"/>
  <c r="AT309" i="10"/>
  <c r="T309" i="10"/>
  <c r="J309" i="10"/>
  <c r="Q709" i="10"/>
  <c r="AL709" i="10"/>
  <c r="X709" i="10"/>
  <c r="AQ547" i="10"/>
  <c r="K147" i="10"/>
  <c r="O547" i="10"/>
  <c r="X147" i="10"/>
  <c r="X547" i="10"/>
  <c r="Z547" i="10"/>
  <c r="AS547" i="10"/>
  <c r="AR147" i="10"/>
  <c r="AL547" i="10"/>
  <c r="AF547" i="10"/>
  <c r="W147" i="10"/>
  <c r="H99" i="27"/>
  <c r="AK281" i="10"/>
  <c r="AV681" i="10"/>
  <c r="N681" i="10"/>
  <c r="V681" i="10"/>
  <c r="L281" i="10"/>
  <c r="X82" i="10"/>
  <c r="BD185" i="26"/>
  <c r="AD53" i="10"/>
  <c r="AK53" i="10"/>
  <c r="AJ53" i="10"/>
  <c r="AY53" i="10"/>
  <c r="AN53" i="10"/>
  <c r="AR128" i="10"/>
  <c r="AG128" i="10"/>
  <c r="R128" i="10"/>
  <c r="Y128" i="10"/>
  <c r="S128" i="10"/>
  <c r="AL128" i="10"/>
  <c r="W528" i="10"/>
  <c r="Y528" i="10"/>
  <c r="AC128" i="10"/>
  <c r="T128" i="10"/>
  <c r="G274" i="6"/>
  <c r="BE101" i="26"/>
  <c r="AI514" i="10"/>
  <c r="AP514" i="10"/>
  <c r="L114" i="10"/>
  <c r="AH514" i="10"/>
  <c r="AA114" i="10"/>
  <c r="K514" i="10"/>
  <c r="S514" i="10"/>
  <c r="Q514" i="10"/>
  <c r="AM114" i="10"/>
  <c r="J114" i="10"/>
  <c r="BD259" i="26"/>
  <c r="F301" i="27"/>
  <c r="AK659" i="10"/>
  <c r="J347" i="10"/>
  <c r="V747" i="10"/>
  <c r="AT210" i="10"/>
  <c r="BE174" i="26"/>
  <c r="BF174" i="26" s="1"/>
  <c r="AQ734" i="10"/>
  <c r="S422" i="10"/>
  <c r="Q22" i="10"/>
  <c r="AI184" i="10"/>
  <c r="AC547" i="10"/>
  <c r="O147" i="10"/>
  <c r="BD44" i="26"/>
  <c r="BF44" i="26" s="1"/>
  <c r="AB709" i="10"/>
  <c r="M709" i="10"/>
  <c r="AQ709" i="10"/>
  <c r="P509" i="10"/>
  <c r="X109" i="10"/>
  <c r="AY109" i="10"/>
  <c r="J509" i="10"/>
  <c r="AO109" i="10"/>
  <c r="AY509" i="10"/>
  <c r="Z268" i="27"/>
  <c r="G281" i="10"/>
  <c r="AA193" i="10"/>
  <c r="AV603" i="10"/>
  <c r="G102" i="9"/>
  <c r="V182" i="10"/>
  <c r="BB268" i="10"/>
  <c r="BC268" i="10" s="1"/>
  <c r="AD72" i="10"/>
  <c r="Q659" i="10"/>
  <c r="AC259" i="10"/>
  <c r="J259" i="10"/>
  <c r="U659" i="10"/>
  <c r="K259" i="10"/>
  <c r="L659" i="10"/>
  <c r="BD334" i="26"/>
  <c r="G122" i="10"/>
  <c r="AN26" i="10"/>
  <c r="AS26" i="10"/>
  <c r="T26" i="10"/>
  <c r="AU477" i="26"/>
  <c r="AB584" i="10"/>
  <c r="Z584" i="10"/>
  <c r="AB147" i="10"/>
  <c r="AK547" i="10"/>
  <c r="AM547" i="10"/>
  <c r="M547" i="10"/>
  <c r="AE147" i="10"/>
  <c r="AT147" i="10"/>
  <c r="Y147" i="10"/>
  <c r="AN547" i="10"/>
  <c r="L547" i="10"/>
  <c r="AN147" i="10"/>
  <c r="AI547" i="10"/>
  <c r="T547" i="10"/>
  <c r="AL147" i="10"/>
  <c r="AY547" i="10"/>
  <c r="AD547" i="10"/>
  <c r="AW547" i="10"/>
  <c r="AG547" i="10"/>
  <c r="J547" i="10"/>
  <c r="AH547" i="10"/>
  <c r="AA147" i="10"/>
  <c r="J184" i="10"/>
  <c r="AM184" i="10"/>
  <c r="AB184" i="10"/>
  <c r="AN184" i="10"/>
  <c r="AN309" i="10"/>
  <c r="M309" i="10"/>
  <c r="AU709" i="10"/>
  <c r="O309" i="10"/>
  <c r="AA709" i="10"/>
  <c r="AS709" i="10"/>
  <c r="Z309" i="10"/>
  <c r="AY709" i="10"/>
  <c r="AD709" i="10"/>
  <c r="N309" i="10"/>
  <c r="AM709" i="10"/>
  <c r="AP709" i="10"/>
  <c r="S709" i="10"/>
  <c r="X309" i="10"/>
  <c r="U309" i="10"/>
  <c r="AK709" i="10"/>
  <c r="V709" i="10"/>
  <c r="AN709" i="10"/>
  <c r="AS309" i="10"/>
  <c r="AE309" i="10"/>
  <c r="AG309" i="10"/>
  <c r="G309" i="10"/>
  <c r="V309" i="27"/>
  <c r="AA309" i="27" s="1"/>
  <c r="BD309" i="26"/>
  <c r="X764" i="10"/>
  <c r="G114" i="6"/>
  <c r="Q111" i="10"/>
  <c r="G102" i="6"/>
  <c r="M259" i="10"/>
  <c r="AC659" i="10"/>
  <c r="AY659" i="10"/>
  <c r="K659" i="10"/>
  <c r="Q259" i="10"/>
  <c r="G334" i="10"/>
  <c r="BD122" i="26"/>
  <c r="AT562" i="10"/>
  <c r="L26" i="10"/>
  <c r="AF426" i="10"/>
  <c r="AH477" i="26"/>
  <c r="AV184" i="10"/>
  <c r="AF147" i="10"/>
  <c r="AT547" i="10"/>
  <c r="AW147" i="10"/>
  <c r="N547" i="10"/>
  <c r="AK147" i="10"/>
  <c r="J147" i="10"/>
  <c r="U147" i="10"/>
  <c r="W547" i="10"/>
  <c r="AQ147" i="10"/>
  <c r="U547" i="10"/>
  <c r="Y547" i="10"/>
  <c r="AR547" i="10"/>
  <c r="L147" i="10"/>
  <c r="R147" i="10"/>
  <c r="AG147" i="10"/>
  <c r="K547" i="10"/>
  <c r="AX147" i="10"/>
  <c r="AA547" i="10"/>
  <c r="M147" i="10"/>
  <c r="AO147" i="10"/>
  <c r="AJ547" i="10"/>
  <c r="AW584" i="10"/>
  <c r="AT584" i="10"/>
  <c r="X184" i="10"/>
  <c r="AR184" i="10"/>
  <c r="R309" i="10"/>
  <c r="AH309" i="10"/>
  <c r="V309" i="10"/>
  <c r="Y309" i="10"/>
  <c r="AX709" i="10"/>
  <c r="AD309" i="10"/>
  <c r="AV309" i="10"/>
  <c r="AL309" i="10"/>
  <c r="U709" i="10"/>
  <c r="AM309" i="10"/>
  <c r="AI709" i="10"/>
  <c r="Y709" i="10"/>
  <c r="AY309" i="10"/>
  <c r="AC709" i="10"/>
  <c r="Z709" i="10"/>
  <c r="O709" i="10"/>
  <c r="K309" i="10"/>
  <c r="AW709" i="10"/>
  <c r="AJ309" i="10"/>
  <c r="AF309" i="10"/>
  <c r="AQ295" i="10"/>
  <c r="AW695" i="10"/>
  <c r="Z174" i="6"/>
  <c r="AV193" i="10"/>
  <c r="AM193" i="10"/>
  <c r="AQ764" i="10"/>
  <c r="AG193" i="10"/>
  <c r="S203" i="10"/>
  <c r="AN182" i="10"/>
  <c r="BB113" i="10"/>
  <c r="AD259" i="10"/>
  <c r="AN659" i="10"/>
  <c r="AJ259" i="10"/>
  <c r="X659" i="10"/>
  <c r="AR259" i="10"/>
  <c r="Z246" i="27"/>
  <c r="O26" i="10"/>
  <c r="K26" i="10"/>
  <c r="K184" i="10"/>
  <c r="AI147" i="10"/>
  <c r="AX547" i="10"/>
  <c r="T147" i="10"/>
  <c r="AU547" i="10"/>
  <c r="AY147" i="10"/>
  <c r="Q147" i="10"/>
  <c r="Z147" i="10"/>
  <c r="S147" i="10"/>
  <c r="AB547" i="10"/>
  <c r="AO547" i="10"/>
  <c r="Q547" i="10"/>
  <c r="V147" i="10"/>
  <c r="AV547" i="10"/>
  <c r="AJ147" i="10"/>
  <c r="AM147" i="10"/>
  <c r="AC147" i="10"/>
  <c r="AV147" i="10"/>
  <c r="R547" i="10"/>
  <c r="P147" i="10"/>
  <c r="P547" i="10"/>
  <c r="AP184" i="10"/>
  <c r="Y584" i="10"/>
  <c r="AL184" i="10"/>
  <c r="AJ709" i="10"/>
  <c r="AO709" i="10"/>
  <c r="S309" i="10"/>
  <c r="AQ309" i="10"/>
  <c r="W709" i="10"/>
  <c r="AF709" i="10"/>
  <c r="AW309" i="10"/>
  <c r="AG709" i="10"/>
  <c r="AH709" i="10"/>
  <c r="AR309" i="10"/>
  <c r="AV709" i="10"/>
  <c r="AK309" i="10"/>
  <c r="K709" i="10"/>
  <c r="AP309" i="10"/>
  <c r="AB309" i="10"/>
  <c r="P709" i="10"/>
  <c r="N709" i="10"/>
  <c r="L309" i="10"/>
  <c r="R709" i="10"/>
  <c r="W309" i="10"/>
  <c r="M695" i="10"/>
  <c r="AQ184" i="10"/>
  <c r="G30" i="9"/>
  <c r="G30" i="6"/>
  <c r="BE30" i="26"/>
  <c r="BF30" i="26" s="1"/>
  <c r="BE262" i="26"/>
  <c r="BF262" i="26" s="1"/>
  <c r="G262" i="6"/>
  <c r="G203" i="10"/>
  <c r="AG660" i="10"/>
  <c r="Q260" i="10"/>
  <c r="X61" i="10"/>
  <c r="X461" i="10"/>
  <c r="AC61" i="10"/>
  <c r="AW61" i="10"/>
  <c r="U461" i="10"/>
  <c r="AR461" i="10"/>
  <c r="T61" i="10"/>
  <c r="AN461" i="10"/>
  <c r="W461" i="10"/>
  <c r="AY443" i="10"/>
  <c r="AI443" i="10"/>
  <c r="AH43" i="10"/>
  <c r="AC43" i="10"/>
  <c r="AT443" i="10"/>
  <c r="AN22" i="10"/>
  <c r="V422" i="10"/>
  <c r="Q422" i="10"/>
  <c r="AQ422" i="10"/>
  <c r="Z422" i="10"/>
  <c r="AG422" i="10"/>
  <c r="AA43" i="10"/>
  <c r="AT43" i="10"/>
  <c r="AI43" i="10"/>
  <c r="AG443" i="10"/>
  <c r="AQ43" i="10"/>
  <c r="U443" i="10"/>
  <c r="W443" i="10"/>
  <c r="AV443" i="10"/>
  <c r="R443" i="10"/>
  <c r="R43" i="10"/>
  <c r="AN43" i="10"/>
  <c r="AN443" i="10"/>
  <c r="K443" i="10"/>
  <c r="AF443" i="10"/>
  <c r="AF43" i="10"/>
  <c r="AV43" i="10"/>
  <c r="AS43" i="10"/>
  <c r="AX43" i="10"/>
  <c r="AE443" i="10"/>
  <c r="S43" i="10"/>
  <c r="W43" i="10"/>
  <c r="AW461" i="10"/>
  <c r="AU461" i="10"/>
  <c r="Y461" i="10"/>
  <c r="AB61" i="10"/>
  <c r="AY61" i="10"/>
  <c r="AA61" i="10"/>
  <c r="V461" i="10"/>
  <c r="AD461" i="10"/>
  <c r="AT61" i="10"/>
  <c r="AM61" i="10"/>
  <c r="AH461" i="10"/>
  <c r="AQ61" i="10"/>
  <c r="AB461" i="10"/>
  <c r="O461" i="10"/>
  <c r="AJ461" i="10"/>
  <c r="AH61" i="10"/>
  <c r="AG61" i="10"/>
  <c r="AV461" i="10"/>
  <c r="P61" i="10"/>
  <c r="AX461" i="10"/>
  <c r="AM461" i="10"/>
  <c r="AX61" i="10"/>
  <c r="AE461" i="10"/>
  <c r="AY461" i="10"/>
  <c r="AG461" i="10"/>
  <c r="W61" i="10"/>
  <c r="J461" i="10"/>
  <c r="AQ461" i="10"/>
  <c r="AO61" i="10"/>
  <c r="N461" i="10"/>
  <c r="AO461" i="10"/>
  <c r="T461" i="10"/>
  <c r="K61" i="10"/>
  <c r="AS461" i="10"/>
  <c r="AP461" i="10"/>
  <c r="AT461" i="10"/>
  <c r="AL61" i="10"/>
  <c r="K461" i="10"/>
  <c r="AS61" i="10"/>
  <c r="U61" i="10"/>
  <c r="AF61" i="10"/>
  <c r="V203" i="27"/>
  <c r="AA203" i="27" s="1"/>
  <c r="AM493" i="10"/>
  <c r="W260" i="10"/>
  <c r="Q461" i="10"/>
  <c r="AF461" i="10"/>
  <c r="S61" i="10"/>
  <c r="R461" i="10"/>
  <c r="AJ61" i="10"/>
  <c r="Z461" i="10"/>
  <c r="AA461" i="10"/>
  <c r="J61" i="10"/>
  <c r="AD61" i="10"/>
  <c r="Z61" i="10"/>
  <c r="M61" i="10"/>
  <c r="I262" i="9"/>
  <c r="I262" i="6"/>
  <c r="AM421" i="26"/>
  <c r="AO421" i="26" s="1"/>
  <c r="AN421" i="26" s="1"/>
  <c r="BF421" i="26" s="1"/>
  <c r="AU421" i="26"/>
  <c r="AU443" i="10"/>
  <c r="L443" i="10"/>
  <c r="X43" i="10"/>
  <c r="AG43" i="10"/>
  <c r="O443" i="10"/>
  <c r="AE660" i="10"/>
  <c r="AB260" i="10"/>
  <c r="AK461" i="10"/>
  <c r="AE61" i="10"/>
  <c r="P461" i="10"/>
  <c r="AR61" i="10"/>
  <c r="AN61" i="10"/>
  <c r="Q61" i="10"/>
  <c r="L461" i="10"/>
  <c r="R61" i="10"/>
  <c r="O61" i="10"/>
  <c r="AV61" i="10"/>
  <c r="R487" i="26"/>
  <c r="I467" i="6" s="1"/>
  <c r="H467" i="6"/>
  <c r="AC467" i="6" s="1"/>
  <c r="AD467" i="6" s="1"/>
  <c r="AY351" i="10"/>
  <c r="X751" i="10"/>
  <c r="AR351" i="10"/>
  <c r="AV351" i="10"/>
  <c r="O751" i="10"/>
  <c r="AT351" i="10"/>
  <c r="AH351" i="10"/>
  <c r="AW751" i="10"/>
  <c r="T751" i="10"/>
  <c r="AF351" i="10"/>
  <c r="AV751" i="10"/>
  <c r="K751" i="10"/>
  <c r="AS351" i="10"/>
  <c r="AG751" i="10"/>
  <c r="N751" i="10"/>
  <c r="AM351" i="10"/>
  <c r="AY751" i="10"/>
  <c r="AP751" i="10"/>
  <c r="AK351" i="10"/>
  <c r="AC751" i="10"/>
  <c r="Q351" i="10"/>
  <c r="Q751" i="10"/>
  <c r="X351" i="10"/>
  <c r="AD751" i="10"/>
  <c r="AC351" i="10"/>
  <c r="AU751" i="10"/>
  <c r="S351" i="10"/>
  <c r="AI351" i="10"/>
  <c r="AG351" i="10"/>
  <c r="P351" i="10"/>
  <c r="AO751" i="10"/>
  <c r="W351" i="10"/>
  <c r="M351" i="10"/>
  <c r="AJ351" i="10"/>
  <c r="U751" i="10"/>
  <c r="AQ751" i="10"/>
  <c r="AE351" i="10"/>
  <c r="AK751" i="10"/>
  <c r="AF751" i="10"/>
  <c r="AP351" i="10"/>
  <c r="T351" i="10"/>
  <c r="AT751" i="10"/>
  <c r="Z43" i="10"/>
  <c r="AK443" i="10"/>
  <c r="U43" i="10"/>
  <c r="AJ443" i="10"/>
  <c r="AO43" i="10"/>
  <c r="G382" i="6"/>
  <c r="G382" i="9"/>
  <c r="BD111" i="26"/>
  <c r="AY364" i="10"/>
  <c r="AR764" i="10"/>
  <c r="AI603" i="10"/>
  <c r="AT203" i="10"/>
  <c r="AL603" i="10"/>
  <c r="AX111" i="10"/>
  <c r="AQ511" i="10"/>
  <c r="BE363" i="26"/>
  <c r="AX478" i="10"/>
  <c r="M582" i="10"/>
  <c r="K182" i="10"/>
  <c r="Q182" i="10"/>
  <c r="AA472" i="10"/>
  <c r="Z259" i="10"/>
  <c r="AD659" i="10"/>
  <c r="AA659" i="10"/>
  <c r="Y659" i="10"/>
  <c r="V259" i="10"/>
  <c r="AV259" i="10"/>
  <c r="AG259" i="10"/>
  <c r="T659" i="10"/>
  <c r="AH659" i="10"/>
  <c r="AS259" i="10"/>
  <c r="AE659" i="10"/>
  <c r="R259" i="10"/>
  <c r="T259" i="10"/>
  <c r="AI259" i="10"/>
  <c r="AF259" i="10"/>
  <c r="O659" i="10"/>
  <c r="N659" i="10"/>
  <c r="AA259" i="10"/>
  <c r="P659" i="10"/>
  <c r="AP259" i="10"/>
  <c r="AY259" i="10"/>
  <c r="AM584" i="10"/>
  <c r="O584" i="10"/>
  <c r="T584" i="10"/>
  <c r="Q584" i="10"/>
  <c r="AJ584" i="10"/>
  <c r="AG184" i="10"/>
  <c r="AS584" i="10"/>
  <c r="AY584" i="10"/>
  <c r="AX584" i="10"/>
  <c r="AO584" i="10"/>
  <c r="Z184" i="10"/>
  <c r="L184" i="10"/>
  <c r="N584" i="10"/>
  <c r="J584" i="10"/>
  <c r="O184" i="10"/>
  <c r="AV584" i="10"/>
  <c r="AF184" i="10"/>
  <c r="AO184" i="10"/>
  <c r="W184" i="10"/>
  <c r="Q372" i="10"/>
  <c r="W584" i="10"/>
  <c r="AA591" i="10"/>
  <c r="N764" i="10"/>
  <c r="AA111" i="10"/>
  <c r="G363" i="6"/>
  <c r="BA168" i="10"/>
  <c r="S582" i="10"/>
  <c r="AT582" i="10"/>
  <c r="AC182" i="10"/>
  <c r="V472" i="10"/>
  <c r="AW472" i="10"/>
  <c r="AL259" i="10"/>
  <c r="AK259" i="10"/>
  <c r="AR659" i="10"/>
  <c r="AG659" i="10"/>
  <c r="AE259" i="10"/>
  <c r="AH259" i="10"/>
  <c r="AL659" i="10"/>
  <c r="AI659" i="10"/>
  <c r="AB659" i="10"/>
  <c r="AM259" i="10"/>
  <c r="AF659" i="10"/>
  <c r="M659" i="10"/>
  <c r="AQ659" i="10"/>
  <c r="O259" i="10"/>
  <c r="R659" i="10"/>
  <c r="AN259" i="10"/>
  <c r="AM659" i="10"/>
  <c r="S259" i="10"/>
  <c r="N259" i="10"/>
  <c r="AJ659" i="10"/>
  <c r="AN584" i="10"/>
  <c r="AH184" i="10"/>
  <c r="AQ584" i="10"/>
  <c r="S584" i="10"/>
  <c r="U184" i="10"/>
  <c r="AL584" i="10"/>
  <c r="S184" i="10"/>
  <c r="AW184" i="10"/>
  <c r="L584" i="10"/>
  <c r="AP584" i="10"/>
  <c r="AG584" i="10"/>
  <c r="AE184" i="10"/>
  <c r="P584" i="10"/>
  <c r="AT184" i="10"/>
  <c r="AJ184" i="10"/>
  <c r="K584" i="10"/>
  <c r="AK584" i="10"/>
  <c r="P184" i="10"/>
  <c r="AK184" i="10"/>
  <c r="AK772" i="10"/>
  <c r="Q591" i="10"/>
  <c r="BB297" i="10"/>
  <c r="BC297" i="10" s="1"/>
  <c r="R479" i="26"/>
  <c r="AJ764" i="10"/>
  <c r="T764" i="10"/>
  <c r="AS364" i="10"/>
  <c r="AM603" i="10"/>
  <c r="X203" i="10"/>
  <c r="V603" i="10"/>
  <c r="AN364" i="10"/>
  <c r="Y764" i="10"/>
  <c r="G130" i="6"/>
  <c r="AP203" i="10"/>
  <c r="P603" i="10"/>
  <c r="AM511" i="10"/>
  <c r="AV78" i="10"/>
  <c r="AJ182" i="10"/>
  <c r="AN582" i="10"/>
  <c r="Z182" i="10"/>
  <c r="S472" i="10"/>
  <c r="S72" i="10"/>
  <c r="P259" i="10"/>
  <c r="AT659" i="10"/>
  <c r="V659" i="10"/>
  <c r="AV659" i="10"/>
  <c r="AX259" i="10"/>
  <c r="S659" i="10"/>
  <c r="W259" i="10"/>
  <c r="X259" i="10"/>
  <c r="AO659" i="10"/>
  <c r="AT259" i="10"/>
  <c r="AU659" i="10"/>
  <c r="U259" i="10"/>
  <c r="AP659" i="10"/>
  <c r="AB259" i="10"/>
  <c r="W659" i="10"/>
  <c r="J659" i="10"/>
  <c r="Y259" i="10"/>
  <c r="AW659" i="10"/>
  <c r="L259" i="10"/>
  <c r="AW259" i="10"/>
  <c r="AH584" i="10"/>
  <c r="Y184" i="10"/>
  <c r="M584" i="10"/>
  <c r="T184" i="10"/>
  <c r="AD184" i="10"/>
  <c r="AY184" i="10"/>
  <c r="AX184" i="10"/>
  <c r="X584" i="10"/>
  <c r="AD584" i="10"/>
  <c r="Q184" i="10"/>
  <c r="V184" i="10"/>
  <c r="AU584" i="10"/>
  <c r="N184" i="10"/>
  <c r="M184" i="10"/>
  <c r="V584" i="10"/>
  <c r="AS184" i="10"/>
  <c r="AF584" i="10"/>
  <c r="AA584" i="10"/>
  <c r="AR584" i="10"/>
  <c r="R184" i="10"/>
  <c r="AK191" i="10"/>
  <c r="U584" i="10"/>
  <c r="M329" i="10"/>
  <c r="Y729" i="10"/>
  <c r="Z329" i="10"/>
  <c r="S729" i="10"/>
  <c r="AU729" i="10"/>
  <c r="AG729" i="10"/>
  <c r="AT329" i="10"/>
  <c r="L329" i="10"/>
  <c r="N329" i="10"/>
  <c r="K764" i="10"/>
  <c r="AB764" i="10"/>
  <c r="P764" i="10"/>
  <c r="AQ364" i="10"/>
  <c r="O364" i="10"/>
  <c r="S764" i="10"/>
  <c r="L364" i="10"/>
  <c r="AG364" i="10"/>
  <c r="Z764" i="10"/>
  <c r="AY764" i="10"/>
  <c r="AR364" i="10"/>
  <c r="AV203" i="10"/>
  <c r="Z603" i="10"/>
  <c r="W603" i="10"/>
  <c r="Q203" i="10"/>
  <c r="AA603" i="10"/>
  <c r="R603" i="10"/>
  <c r="U203" i="10"/>
  <c r="N603" i="10"/>
  <c r="V203" i="10"/>
  <c r="M603" i="10"/>
  <c r="S111" i="10"/>
  <c r="AS511" i="10"/>
  <c r="AD111" i="10"/>
  <c r="AJ111" i="10"/>
  <c r="X511" i="10"/>
  <c r="AK72" i="10"/>
  <c r="T472" i="10"/>
  <c r="AE472" i="10"/>
  <c r="Q72" i="10"/>
  <c r="AM72" i="10"/>
  <c r="BB233" i="10"/>
  <c r="Z377" i="6"/>
  <c r="AE597" i="10"/>
  <c r="P197" i="10"/>
  <c r="AV197" i="10"/>
  <c r="Z116" i="6"/>
  <c r="AG203" i="10"/>
  <c r="AF203" i="10"/>
  <c r="AE203" i="10"/>
  <c r="AC203" i="10"/>
  <c r="AX603" i="10"/>
  <c r="X603" i="10"/>
  <c r="AK203" i="10"/>
  <c r="AR603" i="10"/>
  <c r="AH203" i="10"/>
  <c r="J603" i="10"/>
  <c r="AD603" i="10"/>
  <c r="W203" i="10"/>
  <c r="Y603" i="10"/>
  <c r="AJ603" i="10"/>
  <c r="AY203" i="10"/>
  <c r="O603" i="10"/>
  <c r="AD203" i="10"/>
  <c r="AO203" i="10"/>
  <c r="K603" i="10"/>
  <c r="Q603" i="10"/>
  <c r="AF603" i="10"/>
  <c r="AG603" i="10"/>
  <c r="AH603" i="10"/>
  <c r="AO603" i="10"/>
  <c r="AN203" i="10"/>
  <c r="AJ203" i="10"/>
  <c r="AP603" i="10"/>
  <c r="AQ203" i="10"/>
  <c r="AE603" i="10"/>
  <c r="M203" i="10"/>
  <c r="AB603" i="10"/>
  <c r="AN603" i="10"/>
  <c r="J203" i="10"/>
  <c r="AL203" i="10"/>
  <c r="AT603" i="10"/>
  <c r="AW603" i="10"/>
  <c r="T203" i="10"/>
  <c r="U603" i="10"/>
  <c r="K203" i="10"/>
  <c r="L203" i="10"/>
  <c r="AB203" i="10"/>
  <c r="AG151" i="9"/>
  <c r="G285" i="6"/>
  <c r="G285" i="9"/>
  <c r="BB195" i="10"/>
  <c r="BC195" i="10" s="1"/>
  <c r="V281" i="27"/>
  <c r="AA281" i="27" s="1"/>
  <c r="U764" i="10"/>
  <c r="AK603" i="10"/>
  <c r="AM203" i="10"/>
  <c r="P203" i="10"/>
  <c r="Y203" i="10"/>
  <c r="AS329" i="10"/>
  <c r="BD350" i="26"/>
  <c r="BF350" i="26" s="1"/>
  <c r="V350" i="27"/>
  <c r="AC761" i="10"/>
  <c r="AW761" i="10"/>
  <c r="AM761" i="10"/>
  <c r="AV761" i="10"/>
  <c r="BE285" i="26"/>
  <c r="BF285" i="26" s="1"/>
  <c r="K571" i="10"/>
  <c r="V571" i="10"/>
  <c r="AJ571" i="10"/>
  <c r="Z171" i="10"/>
  <c r="P205" i="10"/>
  <c r="O605" i="10"/>
  <c r="AA605" i="10"/>
  <c r="AO205" i="10"/>
  <c r="J605" i="10"/>
  <c r="V205" i="10"/>
  <c r="AF605" i="10"/>
  <c r="AX605" i="10"/>
  <c r="AK605" i="10"/>
  <c r="O205" i="10"/>
  <c r="Q205" i="10"/>
  <c r="R205" i="10"/>
  <c r="X605" i="10"/>
  <c r="U205" i="10"/>
  <c r="Z605" i="10"/>
  <c r="AD605" i="10"/>
  <c r="BA150" i="10"/>
  <c r="BB150" i="10"/>
  <c r="V22" i="27"/>
  <c r="AA22" i="27" s="1"/>
  <c r="G22" i="10"/>
  <c r="AP472" i="10"/>
  <c r="AY472" i="10"/>
  <c r="AM472" i="10"/>
  <c r="AX472" i="10"/>
  <c r="AQ72" i="10"/>
  <c r="R72" i="10"/>
  <c r="W472" i="10"/>
  <c r="AR72" i="10"/>
  <c r="Z472" i="10"/>
  <c r="AL472" i="10"/>
  <c r="AE72" i="10"/>
  <c r="AS72" i="10"/>
  <c r="AP72" i="10"/>
  <c r="J472" i="10"/>
  <c r="AU472" i="10"/>
  <c r="AF72" i="10"/>
  <c r="W72" i="10"/>
  <c r="U72" i="10"/>
  <c r="AD472" i="10"/>
  <c r="Q472" i="10"/>
  <c r="AH472" i="10"/>
  <c r="N72" i="10"/>
  <c r="AT72" i="10"/>
  <c r="AB72" i="10"/>
  <c r="V72" i="10"/>
  <c r="AJ72" i="10"/>
  <c r="AQ472" i="10"/>
  <c r="AF472" i="10"/>
  <c r="AR472" i="10"/>
  <c r="R472" i="10"/>
  <c r="AC72" i="10"/>
  <c r="AT472" i="10"/>
  <c r="AJ472" i="10"/>
  <c r="N472" i="10"/>
  <c r="T72" i="10"/>
  <c r="AX72" i="10"/>
  <c r="AS472" i="10"/>
  <c r="P472" i="10"/>
  <c r="AY72" i="10"/>
  <c r="L472" i="10"/>
  <c r="AI472" i="10"/>
  <c r="AV472" i="10"/>
  <c r="AW72" i="10"/>
  <c r="AN472" i="10"/>
  <c r="U472" i="10"/>
  <c r="M472" i="10"/>
  <c r="AV72" i="10"/>
  <c r="AI72" i="10"/>
  <c r="P72" i="10"/>
  <c r="AK472" i="10"/>
  <c r="AG72" i="10"/>
  <c r="AH72" i="10"/>
  <c r="Y472" i="10"/>
  <c r="AN72" i="10"/>
  <c r="O472" i="10"/>
  <c r="AC472" i="10"/>
  <c r="AO472" i="10"/>
  <c r="O72" i="10"/>
  <c r="AL72" i="10"/>
  <c r="K72" i="10"/>
  <c r="K472" i="10"/>
  <c r="Y72" i="10"/>
  <c r="Y364" i="10"/>
  <c r="AK764" i="10"/>
  <c r="AI364" i="10"/>
  <c r="AH364" i="10"/>
  <c r="Z364" i="10"/>
  <c r="O764" i="10"/>
  <c r="J764" i="10"/>
  <c r="AL764" i="10"/>
  <c r="AH764" i="10"/>
  <c r="V364" i="10"/>
  <c r="AP364" i="10"/>
  <c r="P364" i="10"/>
  <c r="AF764" i="10"/>
  <c r="Q364" i="10"/>
  <c r="AT764" i="10"/>
  <c r="Q764" i="10"/>
  <c r="V764" i="10"/>
  <c r="AE764" i="10"/>
  <c r="AT364" i="10"/>
  <c r="J364" i="10"/>
  <c r="AC364" i="10"/>
  <c r="AN764" i="10"/>
  <c r="AL364" i="10"/>
  <c r="AW764" i="10"/>
  <c r="N364" i="10"/>
  <c r="AM764" i="10"/>
  <c r="L764" i="10"/>
  <c r="AV764" i="10"/>
  <c r="AV364" i="10"/>
  <c r="U364" i="10"/>
  <c r="AC764" i="10"/>
  <c r="T364" i="10"/>
  <c r="AA364" i="10"/>
  <c r="AM364" i="10"/>
  <c r="W364" i="10"/>
  <c r="AO764" i="10"/>
  <c r="AW364" i="10"/>
  <c r="AB364" i="10"/>
  <c r="K364" i="10"/>
  <c r="G43" i="10"/>
  <c r="BD43" i="26"/>
  <c r="V43" i="27"/>
  <c r="AA43" i="27" s="1"/>
  <c r="Z203" i="6"/>
  <c r="AC313" i="6"/>
  <c r="M111" i="10"/>
  <c r="O511" i="10"/>
  <c r="K111" i="10"/>
  <c r="Z111" i="10"/>
  <c r="AM111" i="10"/>
  <c r="AT511" i="10"/>
  <c r="O111" i="10"/>
  <c r="AI511" i="10"/>
  <c r="AC511" i="10"/>
  <c r="AL111" i="10"/>
  <c r="V511" i="10"/>
  <c r="AE111" i="10"/>
  <c r="T511" i="10"/>
  <c r="AO111" i="10"/>
  <c r="N511" i="10"/>
  <c r="AX511" i="10"/>
  <c r="AE511" i="10"/>
  <c r="AQ111" i="10"/>
  <c r="AV111" i="10"/>
  <c r="M511" i="10"/>
  <c r="AT111" i="10"/>
  <c r="AN511" i="10"/>
  <c r="AY511" i="10"/>
  <c r="AH511" i="10"/>
  <c r="AP511" i="10"/>
  <c r="P111" i="10"/>
  <c r="AY111" i="10"/>
  <c r="AI111" i="10"/>
  <c r="AN111" i="10"/>
  <c r="Y511" i="10"/>
  <c r="Y111" i="10"/>
  <c r="Q511" i="10"/>
  <c r="AK511" i="10"/>
  <c r="AK111" i="10"/>
  <c r="AF111" i="10"/>
  <c r="X111" i="10"/>
  <c r="Z511" i="10"/>
  <c r="AG511" i="10"/>
  <c r="V111" i="10"/>
  <c r="AC111" i="10"/>
  <c r="AV511" i="10"/>
  <c r="AP111" i="10"/>
  <c r="AD511" i="10"/>
  <c r="T111" i="10"/>
  <c r="W111" i="10"/>
  <c r="AB511" i="10"/>
  <c r="AH111" i="10"/>
  <c r="N111" i="10"/>
  <c r="AO511" i="10"/>
  <c r="AJ511" i="10"/>
  <c r="AB111" i="10"/>
  <c r="R511" i="10"/>
  <c r="AW511" i="10"/>
  <c r="AL511" i="10"/>
  <c r="P511" i="10"/>
  <c r="L511" i="10"/>
  <c r="W511" i="10"/>
  <c r="AR511" i="10"/>
  <c r="AA511" i="10"/>
  <c r="U511" i="10"/>
  <c r="AW111" i="10"/>
  <c r="AF511" i="10"/>
  <c r="F176" i="27"/>
  <c r="S364" i="10"/>
  <c r="M364" i="10"/>
  <c r="AD764" i="10"/>
  <c r="X364" i="10"/>
  <c r="AD364" i="10"/>
  <c r="R764" i="10"/>
  <c r="AU764" i="10"/>
  <c r="AX764" i="10"/>
  <c r="AG764" i="10"/>
  <c r="AR203" i="10"/>
  <c r="O203" i="10"/>
  <c r="R203" i="10"/>
  <c r="T603" i="10"/>
  <c r="AA203" i="10"/>
  <c r="N203" i="10"/>
  <c r="J511" i="10"/>
  <c r="AR111" i="10"/>
  <c r="U111" i="10"/>
  <c r="R111" i="10"/>
  <c r="T205" i="10"/>
  <c r="X72" i="10"/>
  <c r="M72" i="10"/>
  <c r="L72" i="10"/>
  <c r="AO72" i="10"/>
  <c r="AP764" i="10"/>
  <c r="AS764" i="10"/>
  <c r="M764" i="10"/>
  <c r="AJ364" i="10"/>
  <c r="AX364" i="10"/>
  <c r="AK364" i="10"/>
  <c r="AE364" i="10"/>
  <c r="AA764" i="10"/>
  <c r="W764" i="10"/>
  <c r="AF364" i="10"/>
  <c r="AO364" i="10"/>
  <c r="AU603" i="10"/>
  <c r="S603" i="10"/>
  <c r="AQ603" i="10"/>
  <c r="AS203" i="10"/>
  <c r="AS603" i="10"/>
  <c r="AY603" i="10"/>
  <c r="Z203" i="10"/>
  <c r="AX203" i="10"/>
  <c r="AW203" i="10"/>
  <c r="L603" i="10"/>
  <c r="AI203" i="10"/>
  <c r="K511" i="10"/>
  <c r="AS111" i="10"/>
  <c r="J111" i="10"/>
  <c r="AU511" i="10"/>
  <c r="AG111" i="10"/>
  <c r="S511" i="10"/>
  <c r="F87" i="27"/>
  <c r="P605" i="10"/>
  <c r="AG472" i="10"/>
  <c r="AB472" i="10"/>
  <c r="X472" i="10"/>
  <c r="AA72" i="10"/>
  <c r="Z72" i="10"/>
  <c r="AB171" i="10"/>
  <c r="Q330" i="10"/>
  <c r="AF730" i="10"/>
  <c r="Y730" i="10"/>
  <c r="AN330" i="10"/>
  <c r="AA493" i="10"/>
  <c r="V493" i="10"/>
  <c r="AV493" i="10"/>
  <c r="BE246" i="26"/>
  <c r="BF246" i="26" s="1"/>
  <c r="G246" i="6"/>
  <c r="I54" i="6"/>
  <c r="I54" i="9"/>
  <c r="G194" i="9"/>
  <c r="BE194" i="26"/>
  <c r="BF194" i="26" s="1"/>
  <c r="G194" i="6"/>
  <c r="AH464" i="9"/>
  <c r="BE199" i="26"/>
  <c r="BF199" i="26" s="1"/>
  <c r="G199" i="9"/>
  <c r="G199" i="6"/>
  <c r="Q193" i="10"/>
  <c r="L593" i="10"/>
  <c r="AY193" i="10"/>
  <c r="G243" i="9"/>
  <c r="BB288" i="10"/>
  <c r="BC288" i="10" s="1"/>
  <c r="AG93" i="10"/>
  <c r="Z93" i="10"/>
  <c r="AG493" i="10"/>
  <c r="P493" i="10"/>
  <c r="S93" i="10"/>
  <c r="AM53" i="10"/>
  <c r="M453" i="10"/>
  <c r="AR53" i="10"/>
  <c r="AT53" i="10"/>
  <c r="AI53" i="10"/>
  <c r="AF453" i="10"/>
  <c r="AJ453" i="10"/>
  <c r="T453" i="10"/>
  <c r="AY453" i="10"/>
  <c r="AA453" i="10"/>
  <c r="P53" i="10"/>
  <c r="AV53" i="10"/>
  <c r="AQ453" i="10"/>
  <c r="S53" i="10"/>
  <c r="U53" i="10"/>
  <c r="AW53" i="10"/>
  <c r="Z53" i="10"/>
  <c r="J453" i="10"/>
  <c r="Y53" i="10"/>
  <c r="N453" i="10"/>
  <c r="AK453" i="10"/>
  <c r="AS478" i="10"/>
  <c r="L78" i="10"/>
  <c r="AQ660" i="10"/>
  <c r="AR660" i="10"/>
  <c r="AS260" i="10"/>
  <c r="AI260" i="10"/>
  <c r="AA660" i="10"/>
  <c r="AD210" i="10"/>
  <c r="AY610" i="10"/>
  <c r="AU610" i="10"/>
  <c r="P610" i="10"/>
  <c r="AJ210" i="10"/>
  <c r="AK729" i="10"/>
  <c r="AJ329" i="10"/>
  <c r="AM329" i="10"/>
  <c r="AS729" i="10"/>
  <c r="U329" i="10"/>
  <c r="AD729" i="10"/>
  <c r="J329" i="10"/>
  <c r="AX729" i="10"/>
  <c r="Q329" i="10"/>
  <c r="AV329" i="10"/>
  <c r="V329" i="10"/>
  <c r="S597" i="10"/>
  <c r="AT597" i="10"/>
  <c r="L197" i="10"/>
  <c r="AT22" i="10"/>
  <c r="AJ22" i="10"/>
  <c r="N422" i="10"/>
  <c r="AU422" i="10"/>
  <c r="AM422" i="10"/>
  <c r="AX422" i="10"/>
  <c r="AB422" i="10"/>
  <c r="AY422" i="10"/>
  <c r="W22" i="10"/>
  <c r="AI22" i="10"/>
  <c r="AR422" i="10"/>
  <c r="X422" i="10"/>
  <c r="AH422" i="10"/>
  <c r="AO422" i="10"/>
  <c r="AV422" i="10"/>
  <c r="AD22" i="10"/>
  <c r="AS22" i="10"/>
  <c r="W422" i="10"/>
  <c r="L422" i="10"/>
  <c r="Y422" i="10"/>
  <c r="AL422" i="10"/>
  <c r="AR789" i="10"/>
  <c r="P191" i="10"/>
  <c r="T191" i="10"/>
  <c r="AA14" i="27"/>
  <c r="F14" i="27"/>
  <c r="BD72" i="26"/>
  <c r="G72" i="10"/>
  <c r="V72" i="27"/>
  <c r="AA72" i="27" s="1"/>
  <c r="G362" i="10"/>
  <c r="AQ193" i="10"/>
  <c r="M482" i="10"/>
  <c r="AT593" i="10"/>
  <c r="AO93" i="10"/>
  <c r="M93" i="10"/>
  <c r="V185" i="27"/>
  <c r="AS453" i="10"/>
  <c r="AP53" i="10"/>
  <c r="AC453" i="10"/>
  <c r="AE453" i="10"/>
  <c r="G101" i="6"/>
  <c r="N721" i="10"/>
  <c r="J78" i="10"/>
  <c r="AR478" i="10"/>
  <c r="AT660" i="10"/>
  <c r="AJ260" i="10"/>
  <c r="S260" i="10"/>
  <c r="O660" i="10"/>
  <c r="AB660" i="10"/>
  <c r="AV660" i="10"/>
  <c r="AG91" i="10"/>
  <c r="AH610" i="10"/>
  <c r="W610" i="10"/>
  <c r="K210" i="10"/>
  <c r="AI610" i="10"/>
  <c r="AE610" i="10"/>
  <c r="AV610" i="10"/>
  <c r="T329" i="10"/>
  <c r="AL329" i="10"/>
  <c r="AQ729" i="10"/>
  <c r="AC329" i="10"/>
  <c r="L729" i="10"/>
  <c r="AH729" i="10"/>
  <c r="AA329" i="10"/>
  <c r="AW729" i="10"/>
  <c r="W329" i="10"/>
  <c r="AH329" i="10"/>
  <c r="AJ197" i="10"/>
  <c r="U197" i="10"/>
  <c r="W597" i="10"/>
  <c r="AQ22" i="10"/>
  <c r="AW22" i="10"/>
  <c r="K422" i="10"/>
  <c r="AP22" i="10"/>
  <c r="AT422" i="10"/>
  <c r="M22" i="10"/>
  <c r="AA422" i="10"/>
  <c r="AP422" i="10"/>
  <c r="Y22" i="10"/>
  <c r="J422" i="10"/>
  <c r="AO22" i="10"/>
  <c r="AJ422" i="10"/>
  <c r="AF422" i="10"/>
  <c r="AN422" i="10"/>
  <c r="AW422" i="10"/>
  <c r="AC22" i="10"/>
  <c r="Z22" i="10"/>
  <c r="T22" i="10"/>
  <c r="L22" i="10"/>
  <c r="O22" i="10"/>
  <c r="AD422" i="10"/>
  <c r="M591" i="10"/>
  <c r="AC191" i="10"/>
  <c r="S191" i="10"/>
  <c r="AW443" i="10"/>
  <c r="AW43" i="10"/>
  <c r="Q43" i="10"/>
  <c r="AR443" i="10"/>
  <c r="O43" i="10"/>
  <c r="AL443" i="10"/>
  <c r="V443" i="10"/>
  <c r="T43" i="10"/>
  <c r="AE43" i="10"/>
  <c r="AQ443" i="10"/>
  <c r="AC443" i="10"/>
  <c r="X443" i="10"/>
  <c r="AP443" i="10"/>
  <c r="AB43" i="10"/>
  <c r="AJ43" i="10"/>
  <c r="S443" i="10"/>
  <c r="K43" i="10"/>
  <c r="AR43" i="10"/>
  <c r="V43" i="10"/>
  <c r="L43" i="10"/>
  <c r="M443" i="10"/>
  <c r="P43" i="10"/>
  <c r="AL43" i="10"/>
  <c r="AD443" i="10"/>
  <c r="N443" i="10"/>
  <c r="Y43" i="10"/>
  <c r="M43" i="10"/>
  <c r="AX443" i="10"/>
  <c r="AH443" i="10"/>
  <c r="Y443" i="10"/>
  <c r="J43" i="10"/>
  <c r="AK43" i="10"/>
  <c r="Z443" i="10"/>
  <c r="AB443" i="10"/>
  <c r="N43" i="10"/>
  <c r="T443" i="10"/>
  <c r="AD43" i="10"/>
  <c r="P443" i="10"/>
  <c r="Q443" i="10"/>
  <c r="AA443" i="10"/>
  <c r="J443" i="10"/>
  <c r="AA482" i="10"/>
  <c r="AN193" i="10"/>
  <c r="F285" i="27"/>
  <c r="V362" i="27"/>
  <c r="AP82" i="10"/>
  <c r="Q593" i="10"/>
  <c r="AP593" i="10"/>
  <c r="AD593" i="10"/>
  <c r="AS593" i="10"/>
  <c r="X593" i="10"/>
  <c r="V364" i="27"/>
  <c r="AA364" i="27" s="1"/>
  <c r="V93" i="10"/>
  <c r="Q93" i="10"/>
  <c r="W493" i="10"/>
  <c r="AX453" i="10"/>
  <c r="N53" i="10"/>
  <c r="K53" i="10"/>
  <c r="AO53" i="10"/>
  <c r="K453" i="10"/>
  <c r="AB453" i="10"/>
  <c r="AC53" i="10"/>
  <c r="AO453" i="10"/>
  <c r="O53" i="10"/>
  <c r="AW453" i="10"/>
  <c r="S453" i="10"/>
  <c r="X453" i="10"/>
  <c r="AQ53" i="10"/>
  <c r="R53" i="10"/>
  <c r="W453" i="10"/>
  <c r="AN453" i="10"/>
  <c r="U453" i="10"/>
  <c r="BA163" i="10"/>
  <c r="AI82" i="10"/>
  <c r="AO193" i="10"/>
  <c r="T593" i="10"/>
  <c r="L193" i="10"/>
  <c r="P593" i="10"/>
  <c r="AY593" i="10"/>
  <c r="U593" i="10"/>
  <c r="AO493" i="10"/>
  <c r="X93" i="10"/>
  <c r="AP93" i="10"/>
  <c r="P93" i="10"/>
  <c r="Q53" i="10"/>
  <c r="V453" i="10"/>
  <c r="T53" i="10"/>
  <c r="X53" i="10"/>
  <c r="AR453" i="10"/>
  <c r="V53" i="10"/>
  <c r="AL53" i="10"/>
  <c r="AH453" i="10"/>
  <c r="AE53" i="10"/>
  <c r="AS53" i="10"/>
  <c r="AD453" i="10"/>
  <c r="O453" i="10"/>
  <c r="AB53" i="10"/>
  <c r="R453" i="10"/>
  <c r="AH53" i="10"/>
  <c r="AM453" i="10"/>
  <c r="AG453" i="10"/>
  <c r="Y453" i="10"/>
  <c r="AT453" i="10"/>
  <c r="AP453" i="10"/>
  <c r="U478" i="10"/>
  <c r="AW478" i="10"/>
  <c r="AG78" i="10"/>
  <c r="AH660" i="10"/>
  <c r="P660" i="10"/>
  <c r="AS660" i="10"/>
  <c r="Y260" i="10"/>
  <c r="M660" i="10"/>
  <c r="AM91" i="10"/>
  <c r="V210" i="10"/>
  <c r="Y210" i="10"/>
  <c r="AG210" i="10"/>
  <c r="AK610" i="10"/>
  <c r="AY729" i="10"/>
  <c r="AP729" i="10"/>
  <c r="AR329" i="10"/>
  <c r="AE329" i="10"/>
  <c r="O329" i="10"/>
  <c r="AR729" i="10"/>
  <c r="AW329" i="10"/>
  <c r="V729" i="10"/>
  <c r="AK329" i="10"/>
  <c r="AF197" i="10"/>
  <c r="Q197" i="10"/>
  <c r="O197" i="10"/>
  <c r="R22" i="10"/>
  <c r="M422" i="10"/>
  <c r="AE22" i="10"/>
  <c r="AG22" i="10"/>
  <c r="AC422" i="10"/>
  <c r="R422" i="10"/>
  <c r="AH22" i="10"/>
  <c r="AX22" i="10"/>
  <c r="AM22" i="10"/>
  <c r="AY22" i="10"/>
  <c r="V22" i="10"/>
  <c r="AK422" i="10"/>
  <c r="AS422" i="10"/>
  <c r="AK22" i="10"/>
  <c r="T422" i="10"/>
  <c r="X22" i="10"/>
  <c r="AB22" i="10"/>
  <c r="U22" i="10"/>
  <c r="U422" i="10"/>
  <c r="AG591" i="10"/>
  <c r="S448" i="10"/>
  <c r="BB156" i="10"/>
  <c r="BC156" i="10" s="1"/>
  <c r="N692" i="10"/>
  <c r="AC692" i="10"/>
  <c r="AJ692" i="10"/>
  <c r="L260" i="10"/>
  <c r="AI660" i="10"/>
  <c r="M260" i="10"/>
  <c r="U660" i="10"/>
  <c r="K660" i="10"/>
  <c r="L660" i="10"/>
  <c r="T260" i="10"/>
  <c r="AD260" i="10"/>
  <c r="V260" i="10"/>
  <c r="AK660" i="10"/>
  <c r="AU660" i="10"/>
  <c r="AF260" i="10"/>
  <c r="W660" i="10"/>
  <c r="AX260" i="10"/>
  <c r="AW660" i="10"/>
  <c r="J660" i="10"/>
  <c r="AR260" i="10"/>
  <c r="AM260" i="10"/>
  <c r="X660" i="10"/>
  <c r="N660" i="10"/>
  <c r="N260" i="10"/>
  <c r="AH260" i="10"/>
  <c r="AJ660" i="10"/>
  <c r="V660" i="10"/>
  <c r="AN260" i="10"/>
  <c r="AX660" i="10"/>
  <c r="AO260" i="10"/>
  <c r="AD660" i="10"/>
  <c r="Y660" i="10"/>
  <c r="AK260" i="10"/>
  <c r="Z260" i="10"/>
  <c r="AY660" i="10"/>
  <c r="AC260" i="10"/>
  <c r="R660" i="10"/>
  <c r="X260" i="10"/>
  <c r="AC660" i="10"/>
  <c r="AS210" i="10"/>
  <c r="L210" i="10"/>
  <c r="AV210" i="10"/>
  <c r="S210" i="10"/>
  <c r="AW610" i="10"/>
  <c r="AC210" i="10"/>
  <c r="O210" i="10"/>
  <c r="AH210" i="10"/>
  <c r="O610" i="10"/>
  <c r="AR210" i="10"/>
  <c r="AC610" i="10"/>
  <c r="AK210" i="10"/>
  <c r="J610" i="10"/>
  <c r="AO610" i="10"/>
  <c r="U210" i="10"/>
  <c r="AN210" i="10"/>
  <c r="Z210" i="10"/>
  <c r="L610" i="10"/>
  <c r="AD610" i="10"/>
  <c r="AM610" i="10"/>
  <c r="AT610" i="10"/>
  <c r="AI210" i="10"/>
  <c r="AX210" i="10"/>
  <c r="AW210" i="10"/>
  <c r="AP610" i="10"/>
  <c r="R210" i="10"/>
  <c r="R610" i="10"/>
  <c r="AS610" i="10"/>
  <c r="P210" i="10"/>
  <c r="AJ610" i="10"/>
  <c r="Q210" i="10"/>
  <c r="M610" i="10"/>
  <c r="M210" i="10"/>
  <c r="AB610" i="10"/>
  <c r="Y610" i="10"/>
  <c r="X210" i="10"/>
  <c r="N210" i="10"/>
  <c r="AQ210" i="10"/>
  <c r="AL610" i="10"/>
  <c r="AA210" i="10"/>
  <c r="AX610" i="10"/>
  <c r="V281" i="10"/>
  <c r="L681" i="10"/>
  <c r="AC281" i="10"/>
  <c r="AX281" i="10"/>
  <c r="AE281" i="10"/>
  <c r="R681" i="10"/>
  <c r="AX681" i="10"/>
  <c r="AV281" i="10"/>
  <c r="AF681" i="10"/>
  <c r="AT681" i="10"/>
  <c r="AJ593" i="10"/>
  <c r="AE193" i="10"/>
  <c r="AG593" i="10"/>
  <c r="AW593" i="10"/>
  <c r="M593" i="10"/>
  <c r="AH193" i="10"/>
  <c r="AX593" i="10"/>
  <c r="AU593" i="10"/>
  <c r="AB193" i="10"/>
  <c r="O193" i="10"/>
  <c r="BE130" i="26"/>
  <c r="S632" i="10"/>
  <c r="AX632" i="10"/>
  <c r="AJ232" i="10"/>
  <c r="AM232" i="10"/>
  <c r="AO632" i="10"/>
  <c r="M632" i="10"/>
  <c r="M5" i="10"/>
  <c r="F292" i="27"/>
  <c r="W78" i="10"/>
  <c r="Y78" i="10"/>
  <c r="O78" i="10"/>
  <c r="S78" i="10"/>
  <c r="AA78" i="10"/>
  <c r="AL182" i="10"/>
  <c r="AE182" i="10"/>
  <c r="Y182" i="10"/>
  <c r="Q582" i="10"/>
  <c r="AQ182" i="10"/>
  <c r="AL660" i="10"/>
  <c r="AE260" i="10"/>
  <c r="AW260" i="10"/>
  <c r="AQ260" i="10"/>
  <c r="AN660" i="10"/>
  <c r="AL260" i="10"/>
  <c r="R260" i="10"/>
  <c r="J260" i="10"/>
  <c r="AG260" i="10"/>
  <c r="AA260" i="10"/>
  <c r="AO660" i="10"/>
  <c r="AP660" i="10"/>
  <c r="AA610" i="10"/>
  <c r="U610" i="10"/>
  <c r="AM210" i="10"/>
  <c r="AE210" i="10"/>
  <c r="T210" i="10"/>
  <c r="AN610" i="10"/>
  <c r="S610" i="10"/>
  <c r="AF610" i="10"/>
  <c r="K610" i="10"/>
  <c r="AL210" i="10"/>
  <c r="Z610" i="10"/>
  <c r="AM562" i="10"/>
  <c r="R734" i="10"/>
  <c r="S334" i="10"/>
  <c r="S295" i="10"/>
  <c r="AN695" i="10"/>
  <c r="Z262" i="6"/>
  <c r="M448" i="10"/>
  <c r="L448" i="10"/>
  <c r="AA48" i="10"/>
  <c r="BD197" i="26"/>
  <c r="V197" i="27"/>
  <c r="AA197" i="27" s="1"/>
  <c r="G91" i="10"/>
  <c r="BD91" i="26"/>
  <c r="O733" i="10"/>
  <c r="X733" i="10"/>
  <c r="AQ162" i="10"/>
  <c r="AH162" i="10"/>
  <c r="AL162" i="10"/>
  <c r="Y162" i="10"/>
  <c r="AS162" i="10"/>
  <c r="V295" i="10"/>
  <c r="N295" i="10"/>
  <c r="AW295" i="10"/>
  <c r="AQ695" i="10"/>
  <c r="AR695" i="10"/>
  <c r="AF295" i="10"/>
  <c r="AG695" i="10"/>
  <c r="AA334" i="10"/>
  <c r="AI334" i="10"/>
  <c r="S734" i="10"/>
  <c r="AW734" i="10"/>
  <c r="AV734" i="10"/>
  <c r="AN334" i="10"/>
  <c r="P734" i="10"/>
  <c r="AF734" i="10"/>
  <c r="AR334" i="10"/>
  <c r="L734" i="10"/>
  <c r="W734" i="10"/>
  <c r="V387" i="27"/>
  <c r="AA387" i="27" s="1"/>
  <c r="BD387" i="26"/>
  <c r="BD260" i="26"/>
  <c r="G260" i="10"/>
  <c r="V260" i="27"/>
  <c r="AA260" i="27" s="1"/>
  <c r="V210" i="27"/>
  <c r="BD210" i="26"/>
  <c r="Z151" i="6"/>
  <c r="AD281" i="10"/>
  <c r="AE681" i="10"/>
  <c r="AT281" i="10"/>
  <c r="AW681" i="10"/>
  <c r="Y281" i="10"/>
  <c r="U681" i="10"/>
  <c r="J681" i="10"/>
  <c r="AP681" i="10"/>
  <c r="S681" i="10"/>
  <c r="AL681" i="10"/>
  <c r="W593" i="10"/>
  <c r="AP193" i="10"/>
  <c r="AC593" i="10"/>
  <c r="J593" i="10"/>
  <c r="V593" i="10"/>
  <c r="M193" i="10"/>
  <c r="AB593" i="10"/>
  <c r="J193" i="10"/>
  <c r="R593" i="10"/>
  <c r="AK593" i="10"/>
  <c r="R232" i="10"/>
  <c r="AF632" i="10"/>
  <c r="U632" i="10"/>
  <c r="AK232" i="10"/>
  <c r="AI478" i="10"/>
  <c r="AI78" i="10"/>
  <c r="O478" i="10"/>
  <c r="Q478" i="10"/>
  <c r="AD582" i="10"/>
  <c r="N182" i="10"/>
  <c r="AM182" i="10"/>
  <c r="AO182" i="10"/>
  <c r="G342" i="10"/>
  <c r="P260" i="10"/>
  <c r="AM660" i="10"/>
  <c r="AP260" i="10"/>
  <c r="AY260" i="10"/>
  <c r="AT260" i="10"/>
  <c r="U260" i="10"/>
  <c r="T660" i="10"/>
  <c r="Q660" i="10"/>
  <c r="AF660" i="10"/>
  <c r="AV260" i="10"/>
  <c r="S660" i="10"/>
  <c r="Z660" i="10"/>
  <c r="G210" i="10"/>
  <c r="Q610" i="10"/>
  <c r="AO210" i="10"/>
  <c r="AG610" i="10"/>
  <c r="V610" i="10"/>
  <c r="W210" i="10"/>
  <c r="AQ610" i="10"/>
  <c r="X610" i="10"/>
  <c r="AP210" i="10"/>
  <c r="AB210" i="10"/>
  <c r="AR610" i="10"/>
  <c r="AT162" i="10"/>
  <c r="AG334" i="10"/>
  <c r="AA734" i="10"/>
  <c r="L552" i="10"/>
  <c r="AK295" i="10"/>
  <c r="BA156" i="10"/>
  <c r="AF695" i="10"/>
  <c r="Z187" i="6"/>
  <c r="AG747" i="10"/>
  <c r="AI347" i="10"/>
  <c r="AH747" i="10"/>
  <c r="AT747" i="10"/>
  <c r="AN747" i="10"/>
  <c r="AK347" i="10"/>
  <c r="L347" i="10"/>
  <c r="AS747" i="10"/>
  <c r="R347" i="10"/>
  <c r="AA347" i="10"/>
  <c r="AV747" i="10"/>
  <c r="AX747" i="10"/>
  <c r="AG347" i="10"/>
  <c r="AA747" i="10"/>
  <c r="AT347" i="10"/>
  <c r="AW347" i="10"/>
  <c r="AK747" i="10"/>
  <c r="T747" i="10"/>
  <c r="AH347" i="10"/>
  <c r="AJ747" i="10"/>
  <c r="Y747" i="10"/>
  <c r="BD109" i="26"/>
  <c r="BF109" i="26" s="1"/>
  <c r="G109" i="10"/>
  <c r="R426" i="10"/>
  <c r="Y426" i="10"/>
  <c r="P26" i="10"/>
  <c r="AL26" i="10"/>
  <c r="AW26" i="10"/>
  <c r="V426" i="10"/>
  <c r="S26" i="10"/>
  <c r="Q26" i="10"/>
  <c r="AV426" i="10"/>
  <c r="Y26" i="10"/>
  <c r="AV26" i="10"/>
  <c r="AA26" i="10"/>
  <c r="AW571" i="10"/>
  <c r="W571" i="10"/>
  <c r="AS571" i="10"/>
  <c r="AA571" i="10"/>
  <c r="AG171" i="10"/>
  <c r="W692" i="10"/>
  <c r="Y787" i="10"/>
  <c r="AJ387" i="10"/>
  <c r="Z787" i="10"/>
  <c r="L787" i="10"/>
  <c r="T787" i="10"/>
  <c r="V387" i="10"/>
  <c r="AF787" i="10"/>
  <c r="AS387" i="10"/>
  <c r="AT387" i="10"/>
  <c r="AL387" i="10"/>
  <c r="T387" i="10"/>
  <c r="AW387" i="10"/>
  <c r="AH787" i="10"/>
  <c r="AY787" i="10"/>
  <c r="AV787" i="10"/>
  <c r="Z387" i="10"/>
  <c r="AM787" i="10"/>
  <c r="N387" i="10"/>
  <c r="Q787" i="10"/>
  <c r="P387" i="10"/>
  <c r="N787" i="10"/>
  <c r="AE387" i="10"/>
  <c r="P787" i="10"/>
  <c r="AK387" i="10"/>
  <c r="AB787" i="10"/>
  <c r="AC387" i="10"/>
  <c r="AV387" i="10"/>
  <c r="J387" i="10"/>
  <c r="AO787" i="10"/>
  <c r="AW787" i="10"/>
  <c r="AR787" i="10"/>
  <c r="AF387" i="10"/>
  <c r="M387" i="10"/>
  <c r="AU787" i="10"/>
  <c r="AC787" i="10"/>
  <c r="L387" i="10"/>
  <c r="AJ787" i="10"/>
  <c r="AQ787" i="10"/>
  <c r="W387" i="10"/>
  <c r="AS787" i="10"/>
  <c r="AD787" i="10"/>
  <c r="AL787" i="10"/>
  <c r="J787" i="10"/>
  <c r="AA787" i="10"/>
  <c r="AE787" i="10"/>
  <c r="S387" i="10"/>
  <c r="U387" i="10"/>
  <c r="AX787" i="10"/>
  <c r="R387" i="10"/>
  <c r="Q387" i="10"/>
  <c r="O787" i="10"/>
  <c r="M787" i="10"/>
  <c r="K387" i="10"/>
  <c r="R787" i="10"/>
  <c r="AY387" i="10"/>
  <c r="AQ387" i="10"/>
  <c r="S787" i="10"/>
  <c r="AP387" i="10"/>
  <c r="V787" i="10"/>
  <c r="U787" i="10"/>
  <c r="AR387" i="10"/>
  <c r="X387" i="10"/>
  <c r="K787" i="10"/>
  <c r="AM387" i="10"/>
  <c r="AN787" i="10"/>
  <c r="AA387" i="10"/>
  <c r="AG787" i="10"/>
  <c r="Y387" i="10"/>
  <c r="AH387" i="10"/>
  <c r="AI387" i="10"/>
  <c r="AT787" i="10"/>
  <c r="AP787" i="10"/>
  <c r="AI787" i="10"/>
  <c r="X787" i="10"/>
  <c r="AD387" i="10"/>
  <c r="AX387" i="10"/>
  <c r="AG387" i="10"/>
  <c r="W787" i="10"/>
  <c r="AK787" i="10"/>
  <c r="AO387" i="10"/>
  <c r="AB387" i="10"/>
  <c r="O387" i="10"/>
  <c r="AN387" i="10"/>
  <c r="AY617" i="10"/>
  <c r="AI217" i="10"/>
  <c r="AH789" i="10"/>
  <c r="P789" i="10"/>
  <c r="AN389" i="10"/>
  <c r="AD789" i="10"/>
  <c r="K389" i="10"/>
  <c r="AK789" i="10"/>
  <c r="Q389" i="10"/>
  <c r="AP389" i="10"/>
  <c r="AW93" i="10"/>
  <c r="AK93" i="10"/>
  <c r="AH493" i="10"/>
  <c r="AV93" i="10"/>
  <c r="R93" i="10"/>
  <c r="AL93" i="10"/>
  <c r="O93" i="10"/>
  <c r="W93" i="10"/>
  <c r="AE93" i="10"/>
  <c r="AJ93" i="10"/>
  <c r="M493" i="10"/>
  <c r="L93" i="10"/>
  <c r="AY93" i="10"/>
  <c r="X493" i="10"/>
  <c r="AD93" i="10"/>
  <c r="AA93" i="10"/>
  <c r="AX493" i="10"/>
  <c r="AS93" i="10"/>
  <c r="AY493" i="10"/>
  <c r="AK493" i="10"/>
  <c r="R493" i="10"/>
  <c r="AI93" i="10"/>
  <c r="U93" i="10"/>
  <c r="AP493" i="10"/>
  <c r="L493" i="10"/>
  <c r="AH93" i="10"/>
  <c r="AS493" i="10"/>
  <c r="Y493" i="10"/>
  <c r="AT493" i="10"/>
  <c r="AB493" i="10"/>
  <c r="AQ493" i="10"/>
  <c r="Z493" i="10"/>
  <c r="J493" i="10"/>
  <c r="AF493" i="10"/>
  <c r="U493" i="10"/>
  <c r="K493" i="10"/>
  <c r="AT93" i="10"/>
  <c r="T493" i="10"/>
  <c r="AW493" i="10"/>
  <c r="AN493" i="10"/>
  <c r="S493" i="10"/>
  <c r="Q493" i="10"/>
  <c r="AD321" i="10"/>
  <c r="AP721" i="10"/>
  <c r="AI321" i="10"/>
  <c r="AR321" i="10"/>
  <c r="AW321" i="10"/>
  <c r="T721" i="10"/>
  <c r="U321" i="10"/>
  <c r="V28" i="27"/>
  <c r="G28" i="10"/>
  <c r="AB197" i="10"/>
  <c r="AW597" i="10"/>
  <c r="AH197" i="10"/>
  <c r="U597" i="10"/>
  <c r="N197" i="10"/>
  <c r="T597" i="10"/>
  <c r="AX597" i="10"/>
  <c r="AJ597" i="10"/>
  <c r="K597" i="10"/>
  <c r="AA597" i="10"/>
  <c r="AM597" i="10"/>
  <c r="AD197" i="10"/>
  <c r="J597" i="10"/>
  <c r="Q597" i="10"/>
  <c r="M597" i="10"/>
  <c r="AV597" i="10"/>
  <c r="J197" i="10"/>
  <c r="AF597" i="10"/>
  <c r="AX197" i="10"/>
  <c r="AL597" i="10"/>
  <c r="AM197" i="10"/>
  <c r="AN597" i="10"/>
  <c r="R197" i="10"/>
  <c r="AG597" i="10"/>
  <c r="W197" i="10"/>
  <c r="AI597" i="10"/>
  <c r="AC197" i="10"/>
  <c r="AB597" i="10"/>
  <c r="V197" i="10"/>
  <c r="AO197" i="10"/>
  <c r="AI197" i="10"/>
  <c r="AW197" i="10"/>
  <c r="AC597" i="10"/>
  <c r="K197" i="10"/>
  <c r="AK597" i="10"/>
  <c r="AU597" i="10"/>
  <c r="AQ197" i="10"/>
  <c r="AL197" i="10"/>
  <c r="AG197" i="10"/>
  <c r="Y597" i="10"/>
  <c r="Y197" i="10"/>
  <c r="AN197" i="10"/>
  <c r="AT197" i="10"/>
  <c r="AP597" i="10"/>
  <c r="AQ597" i="10"/>
  <c r="O597" i="10"/>
  <c r="AO597" i="10"/>
  <c r="AE197" i="10"/>
  <c r="AY597" i="10"/>
  <c r="AR197" i="10"/>
  <c r="AS197" i="10"/>
  <c r="L597" i="10"/>
  <c r="AR597" i="10"/>
  <c r="AY197" i="10"/>
  <c r="AP197" i="10"/>
  <c r="X197" i="10"/>
  <c r="N597" i="10"/>
  <c r="AK197" i="10"/>
  <c r="AT78" i="10"/>
  <c r="AR78" i="10"/>
  <c r="N78" i="10"/>
  <c r="AU478" i="10"/>
  <c r="X478" i="10"/>
  <c r="R478" i="10"/>
  <c r="Z78" i="10"/>
  <c r="AC78" i="10"/>
  <c r="AT478" i="10"/>
  <c r="AX78" i="10"/>
  <c r="X78" i="10"/>
  <c r="AN478" i="10"/>
  <c r="AJ478" i="10"/>
  <c r="AK78" i="10"/>
  <c r="M78" i="10"/>
  <c r="R78" i="10"/>
  <c r="AV478" i="10"/>
  <c r="AO78" i="10"/>
  <c r="T478" i="10"/>
  <c r="AF78" i="10"/>
  <c r="AN78" i="10"/>
  <c r="AH78" i="10"/>
  <c r="M478" i="10"/>
  <c r="AE478" i="10"/>
  <c r="Y478" i="10"/>
  <c r="K478" i="10"/>
  <c r="AB78" i="10"/>
  <c r="AQ78" i="10"/>
  <c r="AK478" i="10"/>
  <c r="W478" i="10"/>
  <c r="AJ78" i="10"/>
  <c r="Q78" i="10"/>
  <c r="AP78" i="10"/>
  <c r="AM78" i="10"/>
  <c r="AC478" i="10"/>
  <c r="AD78" i="10"/>
  <c r="Z478" i="10"/>
  <c r="V78" i="10"/>
  <c r="S478" i="10"/>
  <c r="AM478" i="10"/>
  <c r="P78" i="10"/>
  <c r="AQ478" i="10"/>
  <c r="AK292" i="10"/>
  <c r="S292" i="10"/>
  <c r="Y692" i="10"/>
  <c r="AX292" i="10"/>
  <c r="M292" i="10"/>
  <c r="AF292" i="10"/>
  <c r="J692" i="10"/>
  <c r="AV292" i="10"/>
  <c r="Z692" i="10"/>
  <c r="Z292" i="10"/>
  <c r="AB292" i="10"/>
  <c r="Y292" i="10"/>
  <c r="AH692" i="10"/>
  <c r="AM292" i="10"/>
  <c r="V692" i="10"/>
  <c r="AR692" i="10"/>
  <c r="AD692" i="10"/>
  <c r="AW292" i="10"/>
  <c r="AE692" i="10"/>
  <c r="Q292" i="10"/>
  <c r="L692" i="10"/>
  <c r="AP292" i="10"/>
  <c r="AT292" i="10"/>
  <c r="AG292" i="10"/>
  <c r="AP692" i="10"/>
  <c r="AH292" i="10"/>
  <c r="AE292" i="10"/>
  <c r="N292" i="10"/>
  <c r="S692" i="10"/>
  <c r="AA292" i="10"/>
  <c r="U692" i="10"/>
  <c r="AB692" i="10"/>
  <c r="AX692" i="10"/>
  <c r="X292" i="10"/>
  <c r="AI292" i="10"/>
  <c r="AD292" i="10"/>
  <c r="J292" i="10"/>
  <c r="AG692" i="10"/>
  <c r="W292" i="10"/>
  <c r="R292" i="10"/>
  <c r="AS292" i="10"/>
  <c r="AI692" i="10"/>
  <c r="AS692" i="10"/>
  <c r="AF692" i="10"/>
  <c r="AQ292" i="10"/>
  <c r="AO692" i="10"/>
  <c r="AK692" i="10"/>
  <c r="O292" i="10"/>
  <c r="AT692" i="10"/>
  <c r="O692" i="10"/>
  <c r="T292" i="10"/>
  <c r="AO292" i="10"/>
  <c r="AW692" i="10"/>
  <c r="T692" i="10"/>
  <c r="U292" i="10"/>
  <c r="AN692" i="10"/>
  <c r="AM692" i="10"/>
  <c r="L292" i="10"/>
  <c r="Q692" i="10"/>
  <c r="AN292" i="10"/>
  <c r="AJ292" i="10"/>
  <c r="X692" i="10"/>
  <c r="P692" i="10"/>
  <c r="AR292" i="10"/>
  <c r="K292" i="10"/>
  <c r="AL692" i="10"/>
  <c r="AL292" i="10"/>
  <c r="AY692" i="10"/>
  <c r="AC292" i="10"/>
  <c r="AY292" i="10"/>
  <c r="P292" i="10"/>
  <c r="AQ692" i="10"/>
  <c r="V292" i="10"/>
  <c r="BE41" i="26"/>
  <c r="G41" i="6"/>
  <c r="G41" i="9"/>
  <c r="H209" i="27"/>
  <c r="G209" i="9"/>
  <c r="G209" i="6"/>
  <c r="AS281" i="10"/>
  <c r="AL281" i="10"/>
  <c r="AI281" i="10"/>
  <c r="P681" i="10"/>
  <c r="AD681" i="10"/>
  <c r="X281" i="10"/>
  <c r="AA681" i="10"/>
  <c r="T681" i="10"/>
  <c r="Q681" i="10"/>
  <c r="AU681" i="10"/>
  <c r="AF281" i="10"/>
  <c r="AR281" i="10"/>
  <c r="T281" i="10"/>
  <c r="AQ281" i="10"/>
  <c r="K281" i="10"/>
  <c r="O281" i="10"/>
  <c r="AP281" i="10"/>
  <c r="AY281" i="10"/>
  <c r="M681" i="10"/>
  <c r="AL493" i="10"/>
  <c r="AU493" i="10"/>
  <c r="AD493" i="10"/>
  <c r="AR93" i="10"/>
  <c r="AN93" i="10"/>
  <c r="AI493" i="10"/>
  <c r="T93" i="10"/>
  <c r="AF93" i="10"/>
  <c r="AC493" i="10"/>
  <c r="O493" i="10"/>
  <c r="BA103" i="10"/>
  <c r="Y721" i="10"/>
  <c r="M721" i="10"/>
  <c r="AE78" i="10"/>
  <c r="AS78" i="10"/>
  <c r="AL478" i="10"/>
  <c r="T78" i="10"/>
  <c r="AH478" i="10"/>
  <c r="U78" i="10"/>
  <c r="AF478" i="10"/>
  <c r="N478" i="10"/>
  <c r="AB478" i="10"/>
  <c r="AO478" i="10"/>
  <c r="BA96" i="10"/>
  <c r="AG743" i="10"/>
  <c r="AM334" i="10"/>
  <c r="K734" i="10"/>
  <c r="AL334" i="10"/>
  <c r="T734" i="10"/>
  <c r="N734" i="10"/>
  <c r="K334" i="10"/>
  <c r="AO334" i="10"/>
  <c r="V334" i="10"/>
  <c r="AX334" i="10"/>
  <c r="M197" i="10"/>
  <c r="T197" i="10"/>
  <c r="AD597" i="10"/>
  <c r="Z197" i="10"/>
  <c r="AA197" i="10"/>
  <c r="R597" i="10"/>
  <c r="AY730" i="10"/>
  <c r="AO730" i="10"/>
  <c r="AM330" i="10"/>
  <c r="AS330" i="10"/>
  <c r="AY330" i="10"/>
  <c r="J389" i="10"/>
  <c r="AP509" i="10"/>
  <c r="AT109" i="10"/>
  <c r="AS109" i="10"/>
  <c r="W109" i="10"/>
  <c r="U509" i="10"/>
  <c r="J109" i="10"/>
  <c r="AC524" i="10"/>
  <c r="K124" i="10"/>
  <c r="J232" i="10"/>
  <c r="S232" i="10"/>
  <c r="AP232" i="10"/>
  <c r="AF232" i="10"/>
  <c r="R632" i="10"/>
  <c r="Y232" i="10"/>
  <c r="V232" i="10"/>
  <c r="AN632" i="10"/>
  <c r="T632" i="10"/>
  <c r="AS632" i="10"/>
  <c r="X632" i="10"/>
  <c r="AY232" i="10"/>
  <c r="W632" i="10"/>
  <c r="AG232" i="10"/>
  <c r="AS232" i="10"/>
  <c r="AO232" i="10"/>
  <c r="AH632" i="10"/>
  <c r="L232" i="10"/>
  <c r="Y632" i="10"/>
  <c r="AI632" i="10"/>
  <c r="AY632" i="10"/>
  <c r="AB562" i="10"/>
  <c r="AR162" i="10"/>
  <c r="W162" i="10"/>
  <c r="AR562" i="10"/>
  <c r="O162" i="10"/>
  <c r="X562" i="10"/>
  <c r="AG562" i="10"/>
  <c r="M562" i="10"/>
  <c r="Z562" i="10"/>
  <c r="P562" i="10"/>
  <c r="Q162" i="10"/>
  <c r="AL562" i="10"/>
  <c r="BB87" i="10"/>
  <c r="AU692" i="10"/>
  <c r="BD26" i="26"/>
  <c r="BF26" i="26" s="1"/>
  <c r="G26" i="10"/>
  <c r="S571" i="10"/>
  <c r="AI171" i="10"/>
  <c r="P171" i="10"/>
  <c r="AD171" i="10"/>
  <c r="V171" i="10"/>
  <c r="AA171" i="10"/>
  <c r="AW171" i="10"/>
  <c r="M571" i="10"/>
  <c r="W171" i="10"/>
  <c r="R571" i="10"/>
  <c r="AH571" i="10"/>
  <c r="Q171" i="10"/>
  <c r="AF571" i="10"/>
  <c r="T171" i="10"/>
  <c r="O171" i="10"/>
  <c r="AS171" i="10"/>
  <c r="AC571" i="10"/>
  <c r="AY171" i="10"/>
  <c r="AP171" i="10"/>
  <c r="AT571" i="10"/>
  <c r="N171" i="10"/>
  <c r="AJ171" i="10"/>
  <c r="X171" i="10"/>
  <c r="AI571" i="10"/>
  <c r="AD571" i="10"/>
  <c r="L571" i="10"/>
  <c r="AO171" i="10"/>
  <c r="AL571" i="10"/>
  <c r="L171" i="10"/>
  <c r="AR571" i="10"/>
  <c r="AK571" i="10"/>
  <c r="S205" i="10"/>
  <c r="AB605" i="10"/>
  <c r="T605" i="10"/>
  <c r="N605" i="10"/>
  <c r="AY605" i="10"/>
  <c r="X205" i="10"/>
  <c r="AP605" i="10"/>
  <c r="Q605" i="10"/>
  <c r="AQ605" i="10"/>
  <c r="Z205" i="10"/>
  <c r="S605" i="10"/>
  <c r="AT605" i="10"/>
  <c r="AE205" i="10"/>
  <c r="AA205" i="10"/>
  <c r="AK205" i="10"/>
  <c r="AL205" i="10"/>
  <c r="AX205" i="10"/>
  <c r="AG605" i="10"/>
  <c r="AI605" i="10"/>
  <c r="K205" i="10"/>
  <c r="M605" i="10"/>
  <c r="AA692" i="10"/>
  <c r="K692" i="10"/>
  <c r="Y228" i="27"/>
  <c r="G228" i="27" s="1"/>
  <c r="P228" i="26"/>
  <c r="X228" i="27" s="1"/>
  <c r="AB228" i="27" s="1"/>
  <c r="G229" i="9"/>
  <c r="BE229" i="26"/>
  <c r="Y232" i="27"/>
  <c r="G232" i="27" s="1"/>
  <c r="P232" i="26"/>
  <c r="BE247" i="26"/>
  <c r="G247" i="9"/>
  <c r="Z25" i="6"/>
  <c r="AJ509" i="10"/>
  <c r="Z509" i="10"/>
  <c r="AC509" i="10"/>
  <c r="U109" i="10"/>
  <c r="AO509" i="10"/>
  <c r="AH509" i="10"/>
  <c r="AL109" i="10"/>
  <c r="AP109" i="10"/>
  <c r="AT509" i="10"/>
  <c r="AB509" i="10"/>
  <c r="K109" i="10"/>
  <c r="AQ509" i="10"/>
  <c r="M109" i="10"/>
  <c r="L509" i="10"/>
  <c r="L109" i="10"/>
  <c r="AV109" i="10"/>
  <c r="AV509" i="10"/>
  <c r="N109" i="10"/>
  <c r="Z109" i="10"/>
  <c r="R509" i="10"/>
  <c r="AD109" i="10"/>
  <c r="AG509" i="10"/>
  <c r="AC109" i="10"/>
  <c r="AL509" i="10"/>
  <c r="AQ109" i="10"/>
  <c r="AK509" i="10"/>
  <c r="P109" i="10"/>
  <c r="AX109" i="10"/>
  <c r="T509" i="10"/>
  <c r="Y109" i="10"/>
  <c r="AN509" i="10"/>
  <c r="T109" i="10"/>
  <c r="Y509" i="10"/>
  <c r="AA509" i="10"/>
  <c r="X509" i="10"/>
  <c r="AI109" i="10"/>
  <c r="N509" i="10"/>
  <c r="O109" i="10"/>
  <c r="AR509" i="10"/>
  <c r="S509" i="10"/>
  <c r="AW509" i="10"/>
  <c r="AK109" i="10"/>
  <c r="AE509" i="10"/>
  <c r="AM509" i="10"/>
  <c r="M509" i="10"/>
  <c r="AU509" i="10"/>
  <c r="AI509" i="10"/>
  <c r="O509" i="10"/>
  <c r="W509" i="10"/>
  <c r="AD509" i="10"/>
  <c r="S109" i="10"/>
  <c r="AA109" i="10"/>
  <c r="AF509" i="10"/>
  <c r="K509" i="10"/>
  <c r="AG109" i="10"/>
  <c r="V109" i="10"/>
  <c r="V509" i="10"/>
  <c r="AN109" i="10"/>
  <c r="AF109" i="10"/>
  <c r="Q109" i="10"/>
  <c r="R109" i="10"/>
  <c r="AR109" i="10"/>
  <c r="G280" i="9"/>
  <c r="BE280" i="26"/>
  <c r="BF280" i="26" s="1"/>
  <c r="G280" i="6"/>
  <c r="G116" i="9"/>
  <c r="BE116" i="26"/>
  <c r="G116" i="6"/>
  <c r="AK681" i="10"/>
  <c r="AC681" i="10"/>
  <c r="L334" i="10"/>
  <c r="AW334" i="10"/>
  <c r="AQ334" i="10"/>
  <c r="N334" i="10"/>
  <c r="AS334" i="10"/>
  <c r="Q334" i="10"/>
  <c r="V734" i="10"/>
  <c r="AR734" i="10"/>
  <c r="AC734" i="10"/>
  <c r="U734" i="10"/>
  <c r="R334" i="10"/>
  <c r="J734" i="10"/>
  <c r="U334" i="10"/>
  <c r="AK334" i="10"/>
  <c r="M734" i="10"/>
  <c r="X334" i="10"/>
  <c r="AD334" i="10"/>
  <c r="AB734" i="10"/>
  <c r="J334" i="10"/>
  <c r="AD734" i="10"/>
  <c r="T334" i="10"/>
  <c r="AB334" i="10"/>
  <c r="O334" i="10"/>
  <c r="AY334" i="10"/>
  <c r="AH734" i="10"/>
  <c r="AG734" i="10"/>
  <c r="AP334" i="10"/>
  <c r="M334" i="10"/>
  <c r="AY734" i="10"/>
  <c r="AO734" i="10"/>
  <c r="Q734" i="10"/>
  <c r="AX734" i="10"/>
  <c r="AE334" i="10"/>
  <c r="Z334" i="10"/>
  <c r="AT334" i="10"/>
  <c r="AN734" i="10"/>
  <c r="AI734" i="10"/>
  <c r="AT734" i="10"/>
  <c r="Z734" i="10"/>
  <c r="AF334" i="10"/>
  <c r="O734" i="10"/>
  <c r="AC334" i="10"/>
  <c r="AL734" i="10"/>
  <c r="Z156" i="27"/>
  <c r="F156" i="27"/>
  <c r="G166" i="6"/>
  <c r="G166" i="9"/>
  <c r="Z41" i="6"/>
  <c r="F379" i="27"/>
  <c r="Z209" i="6"/>
  <c r="BD351" i="26"/>
  <c r="G351" i="10"/>
  <c r="Y681" i="10"/>
  <c r="AM281" i="10"/>
  <c r="AQ681" i="10"/>
  <c r="AA281" i="10"/>
  <c r="AJ681" i="10"/>
  <c r="AO281" i="10"/>
  <c r="P281" i="10"/>
  <c r="AI681" i="10"/>
  <c r="Q281" i="10"/>
  <c r="K681" i="10"/>
  <c r="AJ281" i="10"/>
  <c r="AS681" i="10"/>
  <c r="R281" i="10"/>
  <c r="AG681" i="10"/>
  <c r="AN281" i="10"/>
  <c r="Z681" i="10"/>
  <c r="AG281" i="10"/>
  <c r="AH681" i="10"/>
  <c r="AB681" i="10"/>
  <c r="W281" i="10"/>
  <c r="X681" i="10"/>
  <c r="F232" i="9"/>
  <c r="AE493" i="10"/>
  <c r="N493" i="10"/>
  <c r="AC93" i="10"/>
  <c r="AM93" i="10"/>
  <c r="Y93" i="10"/>
  <c r="AR493" i="10"/>
  <c r="AB93" i="10"/>
  <c r="J93" i="10"/>
  <c r="AQ93" i="10"/>
  <c r="AX93" i="10"/>
  <c r="AJ493" i="10"/>
  <c r="BE166" i="26"/>
  <c r="S321" i="10"/>
  <c r="AP478" i="10"/>
  <c r="AG478" i="10"/>
  <c r="V478" i="10"/>
  <c r="AL78" i="10"/>
  <c r="AD478" i="10"/>
  <c r="AW78" i="10"/>
  <c r="AY78" i="10"/>
  <c r="K78" i="10"/>
  <c r="J478" i="10"/>
  <c r="AA478" i="10"/>
  <c r="P478" i="10"/>
  <c r="BB25" i="10"/>
  <c r="G229" i="6"/>
  <c r="Y734" i="10"/>
  <c r="AJ734" i="10"/>
  <c r="X734" i="10"/>
  <c r="AV334" i="10"/>
  <c r="W334" i="10"/>
  <c r="AP734" i="10"/>
  <c r="AM734" i="10"/>
  <c r="AK734" i="10"/>
  <c r="P334" i="10"/>
  <c r="Y334" i="10"/>
  <c r="V597" i="10"/>
  <c r="S197" i="10"/>
  <c r="AS597" i="10"/>
  <c r="P597" i="10"/>
  <c r="Z597" i="10"/>
  <c r="X597" i="10"/>
  <c r="AH512" i="10"/>
  <c r="AV512" i="10"/>
  <c r="AG37" i="9"/>
  <c r="AJ109" i="10"/>
  <c r="Q509" i="10"/>
  <c r="AM109" i="10"/>
  <c r="AB109" i="10"/>
  <c r="AS509" i="10"/>
  <c r="AX509" i="10"/>
  <c r="Z80" i="6"/>
  <c r="BD124" i="26"/>
  <c r="BF124" i="26" s="1"/>
  <c r="V124" i="27"/>
  <c r="AW109" i="10"/>
  <c r="AP761" i="10"/>
  <c r="R761" i="10"/>
  <c r="U361" i="10"/>
  <c r="AI361" i="10"/>
  <c r="AK761" i="10"/>
  <c r="AJ361" i="10"/>
  <c r="AT761" i="10"/>
  <c r="AS361" i="10"/>
  <c r="R361" i="10"/>
  <c r="K361" i="10"/>
  <c r="O361" i="10"/>
  <c r="T361" i="10"/>
  <c r="U761" i="10"/>
  <c r="O761" i="10"/>
  <c r="AR361" i="10"/>
  <c r="W361" i="10"/>
  <c r="AV692" i="10"/>
  <c r="G193" i="6"/>
  <c r="H193" i="27"/>
  <c r="BD221" i="26"/>
  <c r="G221" i="10"/>
  <c r="V221" i="27"/>
  <c r="G88" i="10"/>
  <c r="V88" i="27"/>
  <c r="AA88" i="27" s="1"/>
  <c r="Z292" i="6"/>
  <c r="R692" i="10"/>
  <c r="M295" i="10"/>
  <c r="L695" i="10"/>
  <c r="P695" i="10"/>
  <c r="AA295" i="10"/>
  <c r="AC295" i="10"/>
  <c r="T695" i="10"/>
  <c r="U295" i="10"/>
  <c r="AB695" i="10"/>
  <c r="O695" i="10"/>
  <c r="Q695" i="10"/>
  <c r="AK695" i="10"/>
  <c r="AI695" i="10"/>
  <c r="AS295" i="10"/>
  <c r="P295" i="10"/>
  <c r="AP295" i="10"/>
  <c r="BD78" i="26"/>
  <c r="V78" i="27"/>
  <c r="AA78" i="27" s="1"/>
  <c r="G78" i="10"/>
  <c r="G146" i="9"/>
  <c r="BE146" i="26"/>
  <c r="G146" i="6"/>
  <c r="BD292" i="26"/>
  <c r="G292" i="10"/>
  <c r="G113" i="6"/>
  <c r="BE113" i="26"/>
  <c r="BF113" i="26" s="1"/>
  <c r="G113" i="9"/>
  <c r="N91" i="10"/>
  <c r="AO91" i="10"/>
  <c r="AS491" i="10"/>
  <c r="T491" i="10"/>
  <c r="AC491" i="10"/>
  <c r="AC80" i="6"/>
  <c r="G372" i="10"/>
  <c r="BD372" i="26"/>
  <c r="BF372" i="26" s="1"/>
  <c r="Z108" i="27"/>
  <c r="F108" i="27"/>
  <c r="Z378" i="27"/>
  <c r="BE378" i="26"/>
  <c r="BF378" i="26" s="1"/>
  <c r="BB121" i="10"/>
  <c r="BC121" i="10" s="1"/>
  <c r="AG87" i="9"/>
  <c r="BB173" i="10"/>
  <c r="BC173" i="10" s="1"/>
  <c r="AP48" i="10"/>
  <c r="AQ448" i="10"/>
  <c r="AC448" i="10"/>
  <c r="U448" i="10"/>
  <c r="M48" i="10"/>
  <c r="AE448" i="10"/>
  <c r="AV448" i="10"/>
  <c r="AM433" i="26"/>
  <c r="AU433" i="26"/>
  <c r="R433" i="26" s="1"/>
  <c r="AE232" i="10"/>
  <c r="AH232" i="10"/>
  <c r="AQ632" i="10"/>
  <c r="AW232" i="10"/>
  <c r="AB232" i="10"/>
  <c r="M232" i="10"/>
  <c r="AQ232" i="10"/>
  <c r="Q632" i="10"/>
  <c r="AC632" i="10"/>
  <c r="O632" i="10"/>
  <c r="AP632" i="10"/>
  <c r="AV632" i="10"/>
  <c r="J632" i="10"/>
  <c r="AA232" i="10"/>
  <c r="Z232" i="10"/>
  <c r="AV232" i="10"/>
  <c r="AM632" i="10"/>
  <c r="K632" i="10"/>
  <c r="Q232" i="10"/>
  <c r="U232" i="10"/>
  <c r="Z632" i="10"/>
  <c r="V128" i="27"/>
  <c r="AA128" i="27" s="1"/>
  <c r="R28" i="10"/>
  <c r="V428" i="10"/>
  <c r="AI28" i="10"/>
  <c r="AT28" i="10"/>
  <c r="AP28" i="10"/>
  <c r="H363" i="27"/>
  <c r="AA491" i="10"/>
  <c r="Z87" i="27"/>
  <c r="G197" i="10"/>
  <c r="Q562" i="10"/>
  <c r="T162" i="10"/>
  <c r="AS562" i="10"/>
  <c r="S162" i="10"/>
  <c r="M162" i="10"/>
  <c r="AD562" i="10"/>
  <c r="AV562" i="10"/>
  <c r="AI162" i="10"/>
  <c r="R162" i="10"/>
  <c r="AD26" i="10"/>
  <c r="AK426" i="10"/>
  <c r="AU426" i="10"/>
  <c r="AT26" i="10"/>
  <c r="AK26" i="10"/>
  <c r="AO426" i="10"/>
  <c r="L426" i="10"/>
  <c r="AR426" i="10"/>
  <c r="M426" i="10"/>
  <c r="S426" i="10"/>
  <c r="G378" i="9"/>
  <c r="I386" i="6"/>
  <c r="Y48" i="10"/>
  <c r="V109" i="27"/>
  <c r="AA109" i="27" s="1"/>
  <c r="L172" i="10"/>
  <c r="AX172" i="10"/>
  <c r="AB182" i="10"/>
  <c r="AJ582" i="10"/>
  <c r="Z582" i="10"/>
  <c r="AW182" i="10"/>
  <c r="O582" i="10"/>
  <c r="O182" i="10"/>
  <c r="AA582" i="10"/>
  <c r="AD182" i="10"/>
  <c r="AG582" i="10"/>
  <c r="AF182" i="10"/>
  <c r="AE582" i="10"/>
  <c r="K582" i="10"/>
  <c r="N582" i="10"/>
  <c r="R582" i="10"/>
  <c r="AK582" i="10"/>
  <c r="U582" i="10"/>
  <c r="AB582" i="10"/>
  <c r="P582" i="10"/>
  <c r="W182" i="10"/>
  <c r="AU582" i="10"/>
  <c r="AT182" i="10"/>
  <c r="Z38" i="6"/>
  <c r="BE370" i="26"/>
  <c r="H370" i="27"/>
  <c r="G370" i="9"/>
  <c r="X571" i="10"/>
  <c r="AK171" i="10"/>
  <c r="Q571" i="10"/>
  <c r="AP571" i="10"/>
  <c r="S171" i="10"/>
  <c r="T571" i="10"/>
  <c r="AT171" i="10"/>
  <c r="U171" i="10"/>
  <c r="AM171" i="10"/>
  <c r="AX571" i="10"/>
  <c r="K171" i="10"/>
  <c r="AH171" i="10"/>
  <c r="U571" i="10"/>
  <c r="M171" i="10"/>
  <c r="AV171" i="10"/>
  <c r="AE171" i="10"/>
  <c r="AQ571" i="10"/>
  <c r="AR171" i="10"/>
  <c r="AE571" i="10"/>
  <c r="AC171" i="10"/>
  <c r="AY571" i="10"/>
  <c r="P571" i="10"/>
  <c r="AL171" i="10"/>
  <c r="AN171" i="10"/>
  <c r="N571" i="10"/>
  <c r="Z571" i="10"/>
  <c r="AQ171" i="10"/>
  <c r="AX171" i="10"/>
  <c r="O571" i="10"/>
  <c r="R171" i="10"/>
  <c r="AO571" i="10"/>
  <c r="Y171" i="10"/>
  <c r="AB571" i="10"/>
  <c r="AM571" i="10"/>
  <c r="AF171" i="10"/>
  <c r="AV571" i="10"/>
  <c r="Y571" i="10"/>
  <c r="AN571" i="10"/>
  <c r="J571" i="10"/>
  <c r="AU571" i="10"/>
  <c r="AG571" i="10"/>
  <c r="J171" i="10"/>
  <c r="AM605" i="10"/>
  <c r="AH205" i="10"/>
  <c r="AJ605" i="10"/>
  <c r="AW605" i="10"/>
  <c r="W205" i="10"/>
  <c r="AG205" i="10"/>
  <c r="Y205" i="10"/>
  <c r="AQ205" i="10"/>
  <c r="AE605" i="10"/>
  <c r="K605" i="10"/>
  <c r="AD205" i="10"/>
  <c r="U605" i="10"/>
  <c r="AN605" i="10"/>
  <c r="AM205" i="10"/>
  <c r="AV205" i="10"/>
  <c r="AT205" i="10"/>
  <c r="AB205" i="10"/>
  <c r="AS205" i="10"/>
  <c r="AS605" i="10"/>
  <c r="AC205" i="10"/>
  <c r="AU605" i="10"/>
  <c r="L605" i="10"/>
  <c r="AC605" i="10"/>
  <c r="AH605" i="10"/>
  <c r="AF205" i="10"/>
  <c r="AV605" i="10"/>
  <c r="AR205" i="10"/>
  <c r="V605" i="10"/>
  <c r="Y605" i="10"/>
  <c r="AO605" i="10"/>
  <c r="AN205" i="10"/>
  <c r="AJ205" i="10"/>
  <c r="M205" i="10"/>
  <c r="AP205" i="10"/>
  <c r="AW205" i="10"/>
  <c r="W605" i="10"/>
  <c r="AR605" i="10"/>
  <c r="J205" i="10"/>
  <c r="R605" i="10"/>
  <c r="AY205" i="10"/>
  <c r="AL605" i="10"/>
  <c r="V205" i="27"/>
  <c r="BD205" i="26"/>
  <c r="I17" i="9"/>
  <c r="I17" i="6"/>
  <c r="BB301" i="10"/>
  <c r="BA301" i="10"/>
  <c r="Z317" i="27"/>
  <c r="F317" i="27"/>
  <c r="AD162" i="10"/>
  <c r="O562" i="10"/>
  <c r="AO162" i="10"/>
  <c r="AJ162" i="10"/>
  <c r="AX162" i="10"/>
  <c r="AO562" i="10"/>
  <c r="T562" i="10"/>
  <c r="V162" i="10"/>
  <c r="AN562" i="10"/>
  <c r="AF162" i="10"/>
  <c r="AA562" i="10"/>
  <c r="X162" i="10"/>
  <c r="AN162" i="10"/>
  <c r="AW562" i="10"/>
  <c r="AH562" i="10"/>
  <c r="V562" i="10"/>
  <c r="L162" i="10"/>
  <c r="AU562" i="10"/>
  <c r="AE162" i="10"/>
  <c r="AG162" i="10"/>
  <c r="AV162" i="10"/>
  <c r="P162" i="10"/>
  <c r="AP162" i="10"/>
  <c r="AI562" i="10"/>
  <c r="N162" i="10"/>
  <c r="S562" i="10"/>
  <c r="U562" i="10"/>
  <c r="AC162" i="10"/>
  <c r="AP562" i="10"/>
  <c r="AW162" i="10"/>
  <c r="AC562" i="10"/>
  <c r="J162" i="10"/>
  <c r="AM162" i="10"/>
  <c r="AA162" i="10"/>
  <c r="AB162" i="10"/>
  <c r="AJ562" i="10"/>
  <c r="AE562" i="10"/>
  <c r="W562" i="10"/>
  <c r="K562" i="10"/>
  <c r="AF562" i="10"/>
  <c r="AQ562" i="10"/>
  <c r="Z162" i="10"/>
  <c r="AG109" i="9"/>
  <c r="G363" i="10"/>
  <c r="V363" i="27"/>
  <c r="AA363" i="27" s="1"/>
  <c r="AG280" i="9"/>
  <c r="AB26" i="10"/>
  <c r="AG426" i="10"/>
  <c r="AG26" i="10"/>
  <c r="J426" i="10"/>
  <c r="AO26" i="10"/>
  <c r="AI26" i="10"/>
  <c r="AP26" i="10"/>
  <c r="AQ426" i="10"/>
  <c r="AH426" i="10"/>
  <c r="N26" i="10"/>
  <c r="AE426" i="10"/>
  <c r="AP426" i="10"/>
  <c r="AH26" i="10"/>
  <c r="AM26" i="10"/>
  <c r="Q426" i="10"/>
  <c r="Z426" i="10"/>
  <c r="N426" i="10"/>
  <c r="J26" i="10"/>
  <c r="AR26" i="10"/>
  <c r="W426" i="10"/>
  <c r="AS426" i="10"/>
  <c r="X26" i="10"/>
  <c r="AL426" i="10"/>
  <c r="U26" i="10"/>
  <c r="AW426" i="10"/>
  <c r="AA426" i="10"/>
  <c r="M26" i="10"/>
  <c r="AC426" i="10"/>
  <c r="AD426" i="10"/>
  <c r="AB426" i="10"/>
  <c r="AC26" i="10"/>
  <c r="AY26" i="10"/>
  <c r="AE26" i="10"/>
  <c r="O426" i="10"/>
  <c r="T426" i="10"/>
  <c r="U426" i="10"/>
  <c r="Z26" i="10"/>
  <c r="AT426" i="10"/>
  <c r="AM426" i="10"/>
  <c r="R26" i="10"/>
  <c r="W26" i="10"/>
  <c r="P232" i="10"/>
  <c r="AA632" i="10"/>
  <c r="AL632" i="10"/>
  <c r="X232" i="10"/>
  <c r="T232" i="10"/>
  <c r="AT632" i="10"/>
  <c r="AJ632" i="10"/>
  <c r="AR232" i="10"/>
  <c r="AW632" i="10"/>
  <c r="W232" i="10"/>
  <c r="AT232" i="10"/>
  <c r="AR632" i="10"/>
  <c r="AU632" i="10"/>
  <c r="AG632" i="10"/>
  <c r="AK632" i="10"/>
  <c r="V632" i="10"/>
  <c r="AL232" i="10"/>
  <c r="N632" i="10"/>
  <c r="K232" i="10"/>
  <c r="AX232" i="10"/>
  <c r="AS428" i="10"/>
  <c r="AM428" i="10"/>
  <c r="AU428" i="10"/>
  <c r="AS28" i="10"/>
  <c r="N428" i="10"/>
  <c r="T91" i="10"/>
  <c r="X91" i="10"/>
  <c r="AK562" i="10"/>
  <c r="N562" i="10"/>
  <c r="R562" i="10"/>
  <c r="AK162" i="10"/>
  <c r="Y562" i="10"/>
  <c r="K162" i="10"/>
  <c r="AY562" i="10"/>
  <c r="L562" i="10"/>
  <c r="J562" i="10"/>
  <c r="U162" i="10"/>
  <c r="V26" i="10"/>
  <c r="K426" i="10"/>
  <c r="P426" i="10"/>
  <c r="X426" i="10"/>
  <c r="AX426" i="10"/>
  <c r="AQ26" i="10"/>
  <c r="AX26" i="10"/>
  <c r="AN426" i="10"/>
  <c r="AJ426" i="10"/>
  <c r="AF26" i="10"/>
  <c r="K448" i="10"/>
  <c r="AF448" i="10"/>
  <c r="AF389" i="10"/>
  <c r="AT389" i="10"/>
  <c r="O789" i="10"/>
  <c r="AV789" i="10"/>
  <c r="P389" i="10"/>
  <c r="X389" i="10"/>
  <c r="AT789" i="10"/>
  <c r="L789" i="10"/>
  <c r="Q789" i="10"/>
  <c r="AW789" i="10"/>
  <c r="T789" i="10"/>
  <c r="AB389" i="10"/>
  <c r="AL761" i="10"/>
  <c r="Z761" i="10"/>
  <c r="S761" i="10"/>
  <c r="AF761" i="10"/>
  <c r="AY361" i="10"/>
  <c r="AN761" i="10"/>
  <c r="AM361" i="10"/>
  <c r="J761" i="10"/>
  <c r="L761" i="10"/>
  <c r="Z361" i="10"/>
  <c r="X761" i="10"/>
  <c r="AR761" i="10"/>
  <c r="AY761" i="10"/>
  <c r="AG361" i="10"/>
  <c r="T761" i="10"/>
  <c r="Q361" i="10"/>
  <c r="AV361" i="10"/>
  <c r="AF361" i="10"/>
  <c r="AC361" i="10"/>
  <c r="V361" i="10"/>
  <c r="V761" i="10"/>
  <c r="V191" i="27"/>
  <c r="G191" i="10"/>
  <c r="BA79" i="10"/>
  <c r="G467" i="6"/>
  <c r="G464" i="9"/>
  <c r="BF54" i="26"/>
  <c r="BD171" i="26"/>
  <c r="G171" i="10"/>
  <c r="V171" i="27"/>
  <c r="AA171" i="27" s="1"/>
  <c r="G54" i="6"/>
  <c r="G54" i="9"/>
  <c r="T221" i="10"/>
  <c r="AY221" i="10"/>
  <c r="AC221" i="10"/>
  <c r="K221" i="10"/>
  <c r="X621" i="10"/>
  <c r="AD221" i="10"/>
  <c r="P621" i="10"/>
  <c r="AN621" i="10"/>
  <c r="Q221" i="10"/>
  <c r="S621" i="10"/>
  <c r="AO621" i="10"/>
  <c r="J621" i="10"/>
  <c r="AW221" i="10"/>
  <c r="AX621" i="10"/>
  <c r="P221" i="10"/>
  <c r="AF221" i="10"/>
  <c r="AG621" i="10"/>
  <c r="Q621" i="10"/>
  <c r="Z221" i="10"/>
  <c r="Z621" i="10"/>
  <c r="O221" i="10"/>
  <c r="AV621" i="10"/>
  <c r="AM221" i="10"/>
  <c r="U221" i="10"/>
  <c r="AH621" i="10"/>
  <c r="AF621" i="10"/>
  <c r="R621" i="10"/>
  <c r="AA221" i="10"/>
  <c r="V621" i="10"/>
  <c r="V221" i="10"/>
  <c r="AE221" i="10"/>
  <c r="AT621" i="10"/>
  <c r="AI621" i="10"/>
  <c r="M621" i="10"/>
  <c r="AK221" i="10"/>
  <c r="AY621" i="10"/>
  <c r="W221" i="10"/>
  <c r="AR221" i="10"/>
  <c r="AH221" i="10"/>
  <c r="AJ221" i="10"/>
  <c r="M221" i="10"/>
  <c r="Y621" i="10"/>
  <c r="AL621" i="10"/>
  <c r="AA621" i="10"/>
  <c r="N621" i="10"/>
  <c r="L221" i="10"/>
  <c r="AG221" i="10"/>
  <c r="AJ621" i="10"/>
  <c r="L621" i="10"/>
  <c r="AX221" i="10"/>
  <c r="AE621" i="10"/>
  <c r="W621" i="10"/>
  <c r="AI221" i="10"/>
  <c r="AP621" i="10"/>
  <c r="AO221" i="10"/>
  <c r="AL221" i="10"/>
  <c r="AQ221" i="10"/>
  <c r="AM621" i="10"/>
  <c r="AB221" i="10"/>
  <c r="S221" i="10"/>
  <c r="N221" i="10"/>
  <c r="X221" i="10"/>
  <c r="K621" i="10"/>
  <c r="O621" i="10"/>
  <c r="AD621" i="10"/>
  <c r="AU621" i="10"/>
  <c r="AS621" i="10"/>
  <c r="AS221" i="10"/>
  <c r="AC621" i="10"/>
  <c r="T621" i="10"/>
  <c r="J221" i="10"/>
  <c r="Y221" i="10"/>
  <c r="AV221" i="10"/>
  <c r="AR621" i="10"/>
  <c r="AT221" i="10"/>
  <c r="AK621" i="10"/>
  <c r="AN221" i="10"/>
  <c r="AW621" i="10"/>
  <c r="U621" i="10"/>
  <c r="AP221" i="10"/>
  <c r="AB621" i="10"/>
  <c r="R221" i="10"/>
  <c r="AQ621" i="10"/>
  <c r="Z171" i="6"/>
  <c r="BD329" i="26"/>
  <c r="G329" i="10"/>
  <c r="AN743" i="10"/>
  <c r="Y343" i="10"/>
  <c r="T743" i="10"/>
  <c r="AH343" i="10"/>
  <c r="BE171" i="26"/>
  <c r="AM191" i="10"/>
  <c r="AP591" i="10"/>
  <c r="AC591" i="10"/>
  <c r="Y591" i="10"/>
  <c r="J591" i="10"/>
  <c r="Z191" i="10"/>
  <c r="AV191" i="10"/>
  <c r="Y191" i="10"/>
  <c r="Q191" i="10"/>
  <c r="Z591" i="10"/>
  <c r="AS591" i="10"/>
  <c r="AJ191" i="10"/>
  <c r="AM591" i="10"/>
  <c r="AV591" i="10"/>
  <c r="S591" i="10"/>
  <c r="U191" i="10"/>
  <c r="AB191" i="10"/>
  <c r="V591" i="10"/>
  <c r="AW191" i="10"/>
  <c r="AB591" i="10"/>
  <c r="U591" i="10"/>
  <c r="AG524" i="10"/>
  <c r="O124" i="10"/>
  <c r="W524" i="10"/>
  <c r="J524" i="10"/>
  <c r="AV124" i="10"/>
  <c r="AT772" i="10"/>
  <c r="AW372" i="10"/>
  <c r="AG772" i="10"/>
  <c r="AE372" i="10"/>
  <c r="W772" i="10"/>
  <c r="G187" i="6"/>
  <c r="G187" i="9"/>
  <c r="G109" i="6"/>
  <c r="G109" i="9"/>
  <c r="AC363" i="9"/>
  <c r="AX448" i="10"/>
  <c r="W448" i="10"/>
  <c r="AI48" i="10"/>
  <c r="AQ48" i="10"/>
  <c r="AM48" i="10"/>
  <c r="W48" i="10"/>
  <c r="R448" i="10"/>
  <c r="AR448" i="10"/>
  <c r="AW48" i="10"/>
  <c r="V48" i="10"/>
  <c r="AS48" i="10"/>
  <c r="S48" i="10"/>
  <c r="N448" i="10"/>
  <c r="X48" i="10"/>
  <c r="AJ48" i="10"/>
  <c r="AX48" i="10"/>
  <c r="AW448" i="10"/>
  <c r="AE48" i="10"/>
  <c r="AK48" i="10"/>
  <c r="AI448" i="10"/>
  <c r="AB448" i="10"/>
  <c r="AH448" i="10"/>
  <c r="AS448" i="10"/>
  <c r="T48" i="10"/>
  <c r="Q48" i="10"/>
  <c r="V448" i="10"/>
  <c r="AN448" i="10"/>
  <c r="AM448" i="10"/>
  <c r="AV48" i="10"/>
  <c r="AN48" i="10"/>
  <c r="AY48" i="10"/>
  <c r="AO48" i="10"/>
  <c r="AO448" i="10"/>
  <c r="AD48" i="10"/>
  <c r="Z48" i="10"/>
  <c r="AP448" i="10"/>
  <c r="K48" i="10"/>
  <c r="L48" i="10"/>
  <c r="T448" i="10"/>
  <c r="AG448" i="10"/>
  <c r="U48" i="10"/>
  <c r="AC48" i="10"/>
  <c r="AA448" i="10"/>
  <c r="AB48" i="10"/>
  <c r="AF48" i="10"/>
  <c r="P448" i="10"/>
  <c r="AG48" i="10"/>
  <c r="AL448" i="10"/>
  <c r="AJ448" i="10"/>
  <c r="N48" i="10"/>
  <c r="Z448" i="10"/>
  <c r="O48" i="10"/>
  <c r="AL48" i="10"/>
  <c r="BE25" i="26"/>
  <c r="BF25" i="26" s="1"/>
  <c r="G25" i="9"/>
  <c r="G25" i="6"/>
  <c r="O482" i="10"/>
  <c r="V482" i="10"/>
  <c r="P482" i="10"/>
  <c r="BA288" i="10"/>
  <c r="BD128" i="26"/>
  <c r="BF128" i="26" s="1"/>
  <c r="AE28" i="10"/>
  <c r="AO28" i="10"/>
  <c r="AQ28" i="10"/>
  <c r="M28" i="10"/>
  <c r="AR428" i="10"/>
  <c r="AK428" i="10"/>
  <c r="J428" i="10"/>
  <c r="K428" i="10"/>
  <c r="AG428" i="10"/>
  <c r="M428" i="10"/>
  <c r="BA148" i="10"/>
  <c r="BB349" i="10"/>
  <c r="BC349" i="10" s="1"/>
  <c r="AA343" i="10"/>
  <c r="Z251" i="6"/>
  <c r="Z383" i="6"/>
  <c r="AR524" i="10"/>
  <c r="Z372" i="10"/>
  <c r="AH591" i="10"/>
  <c r="Y448" i="10"/>
  <c r="O448" i="10"/>
  <c r="N191" i="10"/>
  <c r="AN191" i="10"/>
  <c r="AK448" i="10"/>
  <c r="AH48" i="10"/>
  <c r="X448" i="10"/>
  <c r="Y598" i="10"/>
  <c r="AK598" i="10"/>
  <c r="AG191" i="10"/>
  <c r="AT448" i="10"/>
  <c r="AR48" i="10"/>
  <c r="J448" i="10"/>
  <c r="R182" i="10"/>
  <c r="AX182" i="10"/>
  <c r="W582" i="10"/>
  <c r="AI582" i="10"/>
  <c r="AR182" i="10"/>
  <c r="U182" i="10"/>
  <c r="L582" i="10"/>
  <c r="J182" i="10"/>
  <c r="AG182" i="10"/>
  <c r="X182" i="10"/>
  <c r="AA182" i="10"/>
  <c r="AK182" i="10"/>
  <c r="AH182" i="10"/>
  <c r="AW582" i="10"/>
  <c r="AL582" i="10"/>
  <c r="AF582" i="10"/>
  <c r="T182" i="10"/>
  <c r="S182" i="10"/>
  <c r="AS582" i="10"/>
  <c r="AH582" i="10"/>
  <c r="V582" i="10"/>
  <c r="J582" i="10"/>
  <c r="AP182" i="10"/>
  <c r="M182" i="10"/>
  <c r="AV182" i="10"/>
  <c r="Y582" i="10"/>
  <c r="AS182" i="10"/>
  <c r="AX582" i="10"/>
  <c r="T582" i="10"/>
  <c r="AI182" i="10"/>
  <c r="AR582" i="10"/>
  <c r="AC582" i="10"/>
  <c r="L182" i="10"/>
  <c r="AY182" i="10"/>
  <c r="AM582" i="10"/>
  <c r="AQ582" i="10"/>
  <c r="AP582" i="10"/>
  <c r="P182" i="10"/>
  <c r="X582" i="10"/>
  <c r="AO582" i="10"/>
  <c r="AV582" i="10"/>
  <c r="V60" i="27"/>
  <c r="BD60" i="26"/>
  <c r="BF60" i="26" s="1"/>
  <c r="G114" i="9"/>
  <c r="G231" i="10"/>
  <c r="BD231" i="26"/>
  <c r="R191" i="10"/>
  <c r="BD321" i="26"/>
  <c r="V321" i="27"/>
  <c r="G344" i="6"/>
  <c r="BE344" i="26"/>
  <c r="BF344" i="26" s="1"/>
  <c r="BD363" i="26"/>
  <c r="AO295" i="10"/>
  <c r="Y295" i="10"/>
  <c r="K695" i="10"/>
  <c r="V695" i="10"/>
  <c r="R695" i="10"/>
  <c r="K295" i="10"/>
  <c r="J695" i="10"/>
  <c r="S695" i="10"/>
  <c r="AX695" i="10"/>
  <c r="X295" i="10"/>
  <c r="T295" i="10"/>
  <c r="AD295" i="10"/>
  <c r="J295" i="10"/>
  <c r="AI295" i="10"/>
  <c r="AH695" i="10"/>
  <c r="Z295" i="10"/>
  <c r="AY695" i="10"/>
  <c r="X695" i="10"/>
  <c r="O295" i="10"/>
  <c r="Y695" i="10"/>
  <c r="AO695" i="10"/>
  <c r="W295" i="10"/>
  <c r="AV695" i="10"/>
  <c r="AS695" i="10"/>
  <c r="AV295" i="10"/>
  <c r="R295" i="10"/>
  <c r="Z695" i="10"/>
  <c r="AJ295" i="10"/>
  <c r="U695" i="10"/>
  <c r="AX295" i="10"/>
  <c r="AN295" i="10"/>
  <c r="BE79" i="26"/>
  <c r="BF79" i="26" s="1"/>
  <c r="G79" i="9"/>
  <c r="G79" i="6"/>
  <c r="AS347" i="10"/>
  <c r="AO747" i="10"/>
  <c r="K747" i="10"/>
  <c r="AI747" i="10"/>
  <c r="U747" i="10"/>
  <c r="AP347" i="10"/>
  <c r="AF347" i="10"/>
  <c r="AU747" i="10"/>
  <c r="AB347" i="10"/>
  <c r="M747" i="10"/>
  <c r="AO347" i="10"/>
  <c r="P747" i="10"/>
  <c r="K347" i="10"/>
  <c r="AM747" i="10"/>
  <c r="AD347" i="10"/>
  <c r="U347" i="10"/>
  <c r="J747" i="10"/>
  <c r="AR747" i="10"/>
  <c r="AY747" i="10"/>
  <c r="Z747" i="10"/>
  <c r="W747" i="10"/>
  <c r="Q347" i="10"/>
  <c r="X747" i="10"/>
  <c r="AY347" i="10"/>
  <c r="AP747" i="10"/>
  <c r="AQ747" i="10"/>
  <c r="S347" i="10"/>
  <c r="O747" i="10"/>
  <c r="L747" i="10"/>
  <c r="AM347" i="10"/>
  <c r="R747" i="10"/>
  <c r="AX347" i="10"/>
  <c r="AJ347" i="10"/>
  <c r="AD747" i="10"/>
  <c r="N347" i="10"/>
  <c r="S747" i="10"/>
  <c r="AL347" i="10"/>
  <c r="W347" i="10"/>
  <c r="Y347" i="10"/>
  <c r="AV347" i="10"/>
  <c r="AC347" i="10"/>
  <c r="G321" i="6"/>
  <c r="BE321" i="26"/>
  <c r="G184" i="6"/>
  <c r="Z586" i="10"/>
  <c r="AF586" i="10"/>
  <c r="K733" i="10"/>
  <c r="AY333" i="10"/>
  <c r="AT733" i="10"/>
  <c r="T333" i="10"/>
  <c r="AJ733" i="10"/>
  <c r="Z552" i="10"/>
  <c r="N152" i="10"/>
  <c r="AX552" i="10"/>
  <c r="AN617" i="10"/>
  <c r="AW617" i="10"/>
  <c r="AD217" i="10"/>
  <c r="BE38" i="26"/>
  <c r="AC428" i="10"/>
  <c r="AJ428" i="10"/>
  <c r="T428" i="10"/>
  <c r="AI428" i="10"/>
  <c r="V28" i="10"/>
  <c r="AB428" i="10"/>
  <c r="Q428" i="10"/>
  <c r="S428" i="10"/>
  <c r="AD28" i="10"/>
  <c r="AY28" i="10"/>
  <c r="W28" i="10"/>
  <c r="AV28" i="10"/>
  <c r="AG28" i="10"/>
  <c r="U28" i="10"/>
  <c r="Z428" i="10"/>
  <c r="AF428" i="10"/>
  <c r="AO428" i="10"/>
  <c r="L428" i="10"/>
  <c r="Z28" i="10"/>
  <c r="P428" i="10"/>
  <c r="AB28" i="10"/>
  <c r="AD428" i="10"/>
  <c r="AJ28" i="10"/>
  <c r="AH428" i="10"/>
  <c r="J28" i="10"/>
  <c r="AQ428" i="10"/>
  <c r="W428" i="10"/>
  <c r="Y28" i="10"/>
  <c r="AX428" i="10"/>
  <c r="AV428" i="10"/>
  <c r="R428" i="10"/>
  <c r="AX28" i="10"/>
  <c r="X428" i="10"/>
  <c r="O428" i="10"/>
  <c r="AT428" i="10"/>
  <c r="AP428" i="10"/>
  <c r="U428" i="10"/>
  <c r="AH28" i="10"/>
  <c r="S28" i="10"/>
  <c r="L28" i="10"/>
  <c r="N28" i="10"/>
  <c r="Y428" i="10"/>
  <c r="G48" i="10"/>
  <c r="V48" i="27"/>
  <c r="AA48" i="27" s="1"/>
  <c r="BE74" i="26"/>
  <c r="G74" i="9"/>
  <c r="G74" i="6"/>
  <c r="AG25" i="9"/>
  <c r="T482" i="10"/>
  <c r="AN82" i="10"/>
  <c r="W82" i="10"/>
  <c r="AW28" i="10"/>
  <c r="T28" i="10"/>
  <c r="Q28" i="10"/>
  <c r="AC28" i="10"/>
  <c r="AY428" i="10"/>
  <c r="AL428" i="10"/>
  <c r="X28" i="10"/>
  <c r="AL28" i="10"/>
  <c r="AK28" i="10"/>
  <c r="AR28" i="10"/>
  <c r="BF208" i="26"/>
  <c r="Y617" i="10"/>
  <c r="AV343" i="10"/>
  <c r="AC134" i="9"/>
  <c r="AD134" i="9" s="1"/>
  <c r="G171" i="9"/>
  <c r="Y333" i="10"/>
  <c r="AR593" i="10"/>
  <c r="AR193" i="10"/>
  <c r="V193" i="10"/>
  <c r="N593" i="10"/>
  <c r="Z193" i="10"/>
  <c r="AF193" i="10"/>
  <c r="O593" i="10"/>
  <c r="AX193" i="10"/>
  <c r="AM593" i="10"/>
  <c r="AD193" i="10"/>
  <c r="P193" i="10"/>
  <c r="Y593" i="10"/>
  <c r="AL593" i="10"/>
  <c r="AQ593" i="10"/>
  <c r="AS193" i="10"/>
  <c r="AT193" i="10"/>
  <c r="S593" i="10"/>
  <c r="X193" i="10"/>
  <c r="AV593" i="10"/>
  <c r="Z593" i="10"/>
  <c r="AF330" i="10"/>
  <c r="AW730" i="10"/>
  <c r="P330" i="10"/>
  <c r="AE330" i="10"/>
  <c r="AL730" i="10"/>
  <c r="P730" i="10"/>
  <c r="AQ330" i="10"/>
  <c r="AH330" i="10"/>
  <c r="AS730" i="10"/>
  <c r="AJ330" i="10"/>
  <c r="AG330" i="10"/>
  <c r="O330" i="10"/>
  <c r="AE552" i="10"/>
  <c r="U124" i="10"/>
  <c r="AY772" i="10"/>
  <c r="AQ191" i="10"/>
  <c r="AT48" i="10"/>
  <c r="J48" i="10"/>
  <c r="P48" i="10"/>
  <c r="AK591" i="10"/>
  <c r="AD448" i="10"/>
  <c r="AU448" i="10"/>
  <c r="BE187" i="26"/>
  <c r="BF187" i="26" s="1"/>
  <c r="T591" i="10"/>
  <c r="AY448" i="10"/>
  <c r="R48" i="10"/>
  <c r="AW591" i="10"/>
  <c r="I363" i="9"/>
  <c r="I363" i="6"/>
  <c r="AL363" i="10"/>
  <c r="W763" i="10"/>
  <c r="O363" i="10"/>
  <c r="AI763" i="10"/>
  <c r="AG763" i="10"/>
  <c r="AH763" i="10"/>
  <c r="N363" i="10"/>
  <c r="Z763" i="10"/>
  <c r="AS363" i="10"/>
  <c r="AJ763" i="10"/>
  <c r="O763" i="10"/>
  <c r="V363" i="10"/>
  <c r="P363" i="10"/>
  <c r="AN763" i="10"/>
  <c r="T763" i="10"/>
  <c r="Q763" i="10"/>
  <c r="X763" i="10"/>
  <c r="V763" i="10"/>
  <c r="AK363" i="10"/>
  <c r="M363" i="10"/>
  <c r="AG363" i="10"/>
  <c r="R363" i="10"/>
  <c r="AD763" i="10"/>
  <c r="AB763" i="10"/>
  <c r="AP363" i="10"/>
  <c r="AO363" i="10"/>
  <c r="AF763" i="10"/>
  <c r="AR363" i="10"/>
  <c r="AV763" i="10"/>
  <c r="AL763" i="10"/>
  <c r="AQ763" i="10"/>
  <c r="Y763" i="10"/>
  <c r="AM363" i="10"/>
  <c r="AM763" i="10"/>
  <c r="AC363" i="10"/>
  <c r="AO763" i="10"/>
  <c r="U763" i="10"/>
  <c r="AY763" i="10"/>
  <c r="AW363" i="10"/>
  <c r="S363" i="10"/>
  <c r="L363" i="10"/>
  <c r="T363" i="10"/>
  <c r="AE363" i="10"/>
  <c r="J363" i="10"/>
  <c r="AS763" i="10"/>
  <c r="S763" i="10"/>
  <c r="N763" i="10"/>
  <c r="U363" i="10"/>
  <c r="AD363" i="10"/>
  <c r="AW763" i="10"/>
  <c r="AR763" i="10"/>
  <c r="K763" i="10"/>
  <c r="AH363" i="10"/>
  <c r="AV363" i="10"/>
  <c r="Q363" i="10"/>
  <c r="Z363" i="10"/>
  <c r="AE763" i="10"/>
  <c r="AA763" i="10"/>
  <c r="AP763" i="10"/>
  <c r="AX763" i="10"/>
  <c r="AN363" i="10"/>
  <c r="AY363" i="10"/>
  <c r="X363" i="10"/>
  <c r="AC763" i="10"/>
  <c r="R763" i="10"/>
  <c r="AF363" i="10"/>
  <c r="AT763" i="10"/>
  <c r="K363" i="10"/>
  <c r="AT363" i="10"/>
  <c r="W363" i="10"/>
  <c r="AU763" i="10"/>
  <c r="AK763" i="10"/>
  <c r="Y363" i="10"/>
  <c r="AB363" i="10"/>
  <c r="AA363" i="10"/>
  <c r="J763" i="10"/>
  <c r="P763" i="10"/>
  <c r="AJ363" i="10"/>
  <c r="AQ363" i="10"/>
  <c r="AX363" i="10"/>
  <c r="L763" i="10"/>
  <c r="AI363" i="10"/>
  <c r="M763" i="10"/>
  <c r="I87" i="9"/>
  <c r="I87" i="6"/>
  <c r="Q436" i="26"/>
  <c r="F431" i="6" s="1"/>
  <c r="AH733" i="10"/>
  <c r="AQ733" i="10"/>
  <c r="AA333" i="10"/>
  <c r="AX733" i="10"/>
  <c r="AM333" i="10"/>
  <c r="V733" i="10"/>
  <c r="U333" i="10"/>
  <c r="AE733" i="10"/>
  <c r="BD361" i="26"/>
  <c r="AS333" i="10"/>
  <c r="AC333" i="10"/>
  <c r="AI733" i="10"/>
  <c r="AJ333" i="10"/>
  <c r="T733" i="10"/>
  <c r="AY733" i="10"/>
  <c r="W733" i="10"/>
  <c r="G361" i="10"/>
  <c r="M733" i="10"/>
  <c r="Z733" i="10"/>
  <c r="N333" i="10"/>
  <c r="AT333" i="10"/>
  <c r="L333" i="10"/>
  <c r="AV333" i="10"/>
  <c r="AH333" i="10"/>
  <c r="AG333" i="10"/>
  <c r="Z202" i="6"/>
  <c r="AP460" i="10"/>
  <c r="AO60" i="10"/>
  <c r="AI460" i="10"/>
  <c r="K60" i="10"/>
  <c r="AD60" i="10"/>
  <c r="X60" i="10"/>
  <c r="AI124" i="10"/>
  <c r="AA524" i="10"/>
  <c r="AR124" i="10"/>
  <c r="AX124" i="10"/>
  <c r="S524" i="10"/>
  <c r="Z524" i="10"/>
  <c r="X524" i="10"/>
  <c r="AJ524" i="10"/>
  <c r="Q524" i="10"/>
  <c r="AM124" i="10"/>
  <c r="AL524" i="10"/>
  <c r="AE524" i="10"/>
  <c r="L124" i="10"/>
  <c r="AT124" i="10"/>
  <c r="AH124" i="10"/>
  <c r="M124" i="10"/>
  <c r="R524" i="10"/>
  <c r="R124" i="10"/>
  <c r="AE124" i="10"/>
  <c r="AN124" i="10"/>
  <c r="AM524" i="10"/>
  <c r="AS124" i="10"/>
  <c r="AO524" i="10"/>
  <c r="AC124" i="10"/>
  <c r="P524" i="10"/>
  <c r="Z124" i="10"/>
  <c r="Y124" i="10"/>
  <c r="AL124" i="10"/>
  <c r="J124" i="10"/>
  <c r="AP524" i="10"/>
  <c r="AU524" i="10"/>
  <c r="V124" i="10"/>
  <c r="AK524" i="10"/>
  <c r="AW124" i="10"/>
  <c r="AD124" i="10"/>
  <c r="AP124" i="10"/>
  <c r="AX524" i="10"/>
  <c r="U524" i="10"/>
  <c r="K524" i="10"/>
  <c r="AT524" i="10"/>
  <c r="O524" i="10"/>
  <c r="AK124" i="10"/>
  <c r="AH772" i="10"/>
  <c r="N372" i="10"/>
  <c r="V372" i="10"/>
  <c r="W372" i="10"/>
  <c r="AA772" i="10"/>
  <c r="K372" i="10"/>
  <c r="AG372" i="10"/>
  <c r="AR372" i="10"/>
  <c r="AN372" i="10"/>
  <c r="L772" i="10"/>
  <c r="AF772" i="10"/>
  <c r="T772" i="10"/>
  <c r="N772" i="10"/>
  <c r="AR772" i="10"/>
  <c r="R772" i="10"/>
  <c r="Y372" i="10"/>
  <c r="AA372" i="10"/>
  <c r="O772" i="10"/>
  <c r="AB372" i="10"/>
  <c r="AQ372" i="10"/>
  <c r="T372" i="10"/>
  <c r="AV372" i="10"/>
  <c r="Y772" i="10"/>
  <c r="Q772" i="10"/>
  <c r="AS772" i="10"/>
  <c r="J772" i="10"/>
  <c r="AM372" i="10"/>
  <c r="AI372" i="10"/>
  <c r="AW772" i="10"/>
  <c r="X372" i="10"/>
  <c r="AK372" i="10"/>
  <c r="K772" i="10"/>
  <c r="AO372" i="10"/>
  <c r="P772" i="10"/>
  <c r="M772" i="10"/>
  <c r="AV772" i="10"/>
  <c r="AY372" i="10"/>
  <c r="S772" i="10"/>
  <c r="AP772" i="10"/>
  <c r="X772" i="10"/>
  <c r="M372" i="10"/>
  <c r="Z55" i="27"/>
  <c r="F55" i="27"/>
  <c r="AG79" i="9"/>
  <c r="F228" i="6"/>
  <c r="Z228" i="6" s="1"/>
  <c r="L721" i="10"/>
  <c r="AJ321" i="10"/>
  <c r="X721" i="10"/>
  <c r="AP321" i="10"/>
  <c r="AF321" i="10"/>
  <c r="V321" i="10"/>
  <c r="AS321" i="10"/>
  <c r="AV321" i="10"/>
  <c r="AB60" i="10"/>
  <c r="AA124" i="10"/>
  <c r="Y524" i="10"/>
  <c r="W124" i="10"/>
  <c r="M524" i="10"/>
  <c r="S372" i="10"/>
  <c r="O372" i="10"/>
  <c r="AJ372" i="10"/>
  <c r="AP372" i="10"/>
  <c r="AC80" i="9"/>
  <c r="F228" i="9"/>
  <c r="F148" i="27"/>
  <c r="Q321" i="10"/>
  <c r="AI721" i="10"/>
  <c r="AB321" i="10"/>
  <c r="Z321" i="10"/>
  <c r="O321" i="10"/>
  <c r="AN321" i="10"/>
  <c r="K321" i="10"/>
  <c r="AE721" i="10"/>
  <c r="AY321" i="10"/>
  <c r="AW721" i="10"/>
  <c r="V235" i="27"/>
  <c r="V343" i="27"/>
  <c r="AY60" i="10"/>
  <c r="AR60" i="10"/>
  <c r="AG38" i="9"/>
  <c r="AS524" i="10"/>
  <c r="AO124" i="10"/>
  <c r="AB524" i="10"/>
  <c r="T124" i="10"/>
  <c r="S124" i="10"/>
  <c r="AV524" i="10"/>
  <c r="L524" i="10"/>
  <c r="AD524" i="10"/>
  <c r="AF124" i="10"/>
  <c r="AW524" i="10"/>
  <c r="AX372" i="10"/>
  <c r="AO772" i="10"/>
  <c r="AC772" i="10"/>
  <c r="AH372" i="10"/>
  <c r="P372" i="10"/>
  <c r="Z772" i="10"/>
  <c r="AL372" i="10"/>
  <c r="AL772" i="10"/>
  <c r="AB772" i="10"/>
  <c r="AT372" i="10"/>
  <c r="AI772" i="10"/>
  <c r="Z172" i="10"/>
  <c r="AN172" i="10"/>
  <c r="AQ329" i="10"/>
  <c r="K329" i="10"/>
  <c r="M729" i="10"/>
  <c r="W729" i="10"/>
  <c r="AD329" i="10"/>
  <c r="K729" i="10"/>
  <c r="N729" i="10"/>
  <c r="AM729" i="10"/>
  <c r="O729" i="10"/>
  <c r="AB729" i="10"/>
  <c r="AF329" i="10"/>
  <c r="AN729" i="10"/>
  <c r="P729" i="10"/>
  <c r="AF729" i="10"/>
  <c r="U729" i="10"/>
  <c r="AL729" i="10"/>
  <c r="R729" i="10"/>
  <c r="Y329" i="10"/>
  <c r="P329" i="10"/>
  <c r="AY329" i="10"/>
  <c r="AV729" i="10"/>
  <c r="AJ729" i="10"/>
  <c r="Z729" i="10"/>
  <c r="AE729" i="10"/>
  <c r="AX329" i="10"/>
  <c r="J729" i="10"/>
  <c r="AP329" i="10"/>
  <c r="AA729" i="10"/>
  <c r="AC729" i="10"/>
  <c r="AG329" i="10"/>
  <c r="AI729" i="10"/>
  <c r="AO329" i="10"/>
  <c r="AI329" i="10"/>
  <c r="R329" i="10"/>
  <c r="AT729" i="10"/>
  <c r="T729" i="10"/>
  <c r="S329" i="10"/>
  <c r="X329" i="10"/>
  <c r="Q729" i="10"/>
  <c r="AN329" i="10"/>
  <c r="AB329" i="10"/>
  <c r="X729" i="10"/>
  <c r="AC134" i="6"/>
  <c r="AU789" i="10"/>
  <c r="AA389" i="10"/>
  <c r="AQ789" i="10"/>
  <c r="W789" i="10"/>
  <c r="M389" i="10"/>
  <c r="AG389" i="10"/>
  <c r="V789" i="10"/>
  <c r="U789" i="10"/>
  <c r="AS389" i="10"/>
  <c r="AI789" i="10"/>
  <c r="AE789" i="10"/>
  <c r="AX789" i="10"/>
  <c r="AL389" i="10"/>
  <c r="N389" i="10"/>
  <c r="AY789" i="10"/>
  <c r="X789" i="10"/>
  <c r="J789" i="10"/>
  <c r="U389" i="10"/>
  <c r="AJ389" i="10"/>
  <c r="AC789" i="10"/>
  <c r="L389" i="10"/>
  <c r="AI389" i="10"/>
  <c r="AM789" i="10"/>
  <c r="V389" i="10"/>
  <c r="AL789" i="10"/>
  <c r="N789" i="10"/>
  <c r="AN789" i="10"/>
  <c r="AH389" i="10"/>
  <c r="W389" i="10"/>
  <c r="R789" i="10"/>
  <c r="O389" i="10"/>
  <c r="AR389" i="10"/>
  <c r="G198" i="10"/>
  <c r="V198" i="27"/>
  <c r="AA198" i="27" s="1"/>
  <c r="AA761" i="10"/>
  <c r="J361" i="10"/>
  <c r="M761" i="10"/>
  <c r="AQ761" i="10"/>
  <c r="AS761" i="10"/>
  <c r="AT361" i="10"/>
  <c r="AJ761" i="10"/>
  <c r="AG761" i="10"/>
  <c r="AE361" i="10"/>
  <c r="AK361" i="10"/>
  <c r="AU761" i="10"/>
  <c r="AI761" i="10"/>
  <c r="K761" i="10"/>
  <c r="AX361" i="10"/>
  <c r="AO761" i="10"/>
  <c r="AE761" i="10"/>
  <c r="AD361" i="10"/>
  <c r="AW361" i="10"/>
  <c r="AN361" i="10"/>
  <c r="AH761" i="10"/>
  <c r="AX761" i="10"/>
  <c r="Q761" i="10"/>
  <c r="Y761" i="10"/>
  <c r="AB761" i="10"/>
  <c r="L361" i="10"/>
  <c r="AH361" i="10"/>
  <c r="W761" i="10"/>
  <c r="Y361" i="10"/>
  <c r="AP361" i="10"/>
  <c r="AA361" i="10"/>
  <c r="AD761" i="10"/>
  <c r="P361" i="10"/>
  <c r="X361" i="10"/>
  <c r="AL361" i="10"/>
  <c r="M361" i="10"/>
  <c r="N761" i="10"/>
  <c r="AQ361" i="10"/>
  <c r="N361" i="10"/>
  <c r="S361" i="10"/>
  <c r="AB361" i="10"/>
  <c r="AO361" i="10"/>
  <c r="G349" i="10"/>
  <c r="V349" i="27"/>
  <c r="AA349" i="27" s="1"/>
  <c r="BD349" i="26"/>
  <c r="BF349" i="26" s="1"/>
  <c r="G87" i="9"/>
  <c r="G87" i="6"/>
  <c r="I38" i="6"/>
  <c r="I38" i="9"/>
  <c r="G63" i="10"/>
  <c r="V63" i="27"/>
  <c r="K172" i="10"/>
  <c r="AW172" i="10"/>
  <c r="AA572" i="10"/>
  <c r="AK172" i="10"/>
  <c r="R572" i="10"/>
  <c r="AI172" i="10"/>
  <c r="S172" i="10"/>
  <c r="W172" i="10"/>
  <c r="AQ172" i="10"/>
  <c r="L572" i="10"/>
  <c r="AW572" i="10"/>
  <c r="AY721" i="10"/>
  <c r="AD721" i="10"/>
  <c r="R321" i="10"/>
  <c r="AL321" i="10"/>
  <c r="AG321" i="10"/>
  <c r="M321" i="10"/>
  <c r="T321" i="10"/>
  <c r="AF721" i="10"/>
  <c r="AC321" i="10"/>
  <c r="AO321" i="10"/>
  <c r="AO721" i="10"/>
  <c r="AU721" i="10"/>
  <c r="AQ721" i="10"/>
  <c r="J721" i="10"/>
  <c r="S721" i="10"/>
  <c r="N321" i="10"/>
  <c r="L321" i="10"/>
  <c r="W721" i="10"/>
  <c r="AN721" i="10"/>
  <c r="Q721" i="10"/>
  <c r="AE321" i="10"/>
  <c r="AB721" i="10"/>
  <c r="U721" i="10"/>
  <c r="J321" i="10"/>
  <c r="P721" i="10"/>
  <c r="AT321" i="10"/>
  <c r="AS721" i="10"/>
  <c r="AT721" i="10"/>
  <c r="AL721" i="10"/>
  <c r="P321" i="10"/>
  <c r="K721" i="10"/>
  <c r="AQ321" i="10"/>
  <c r="W321" i="10"/>
  <c r="AG721" i="10"/>
  <c r="Y321" i="10"/>
  <c r="AH721" i="10"/>
  <c r="AK721" i="10"/>
  <c r="AC262" i="9"/>
  <c r="BA24" i="10"/>
  <c r="AA321" i="10"/>
  <c r="AV721" i="10"/>
  <c r="Z721" i="10"/>
  <c r="J460" i="10"/>
  <c r="X124" i="10"/>
  <c r="AF524" i="10"/>
  <c r="AI524" i="10"/>
  <c r="V524" i="10"/>
  <c r="AN524" i="10"/>
  <c r="AQ124" i="10"/>
  <c r="AM772" i="10"/>
  <c r="AS372" i="10"/>
  <c r="AU772" i="10"/>
  <c r="AC372" i="10"/>
  <c r="U372" i="10"/>
  <c r="AJ772" i="10"/>
  <c r="AM172" i="10"/>
  <c r="Q572" i="10"/>
  <c r="AM721" i="10"/>
  <c r="AJ721" i="10"/>
  <c r="R721" i="10"/>
  <c r="AM321" i="10"/>
  <c r="AK321" i="10"/>
  <c r="O721" i="10"/>
  <c r="AA721" i="10"/>
  <c r="AX321" i="10"/>
  <c r="AC721" i="10"/>
  <c r="AH321" i="10"/>
  <c r="X321" i="10"/>
  <c r="AX721" i="10"/>
  <c r="AJ460" i="10"/>
  <c r="AB91" i="10"/>
  <c r="AW491" i="10"/>
  <c r="L91" i="10"/>
  <c r="AJ491" i="10"/>
  <c r="AA91" i="10"/>
  <c r="V91" i="10"/>
  <c r="M91" i="10"/>
  <c r="AQ91" i="10"/>
  <c r="AF91" i="10"/>
  <c r="L491" i="10"/>
  <c r="AU491" i="10"/>
  <c r="AW389" i="10"/>
  <c r="AV389" i="10"/>
  <c r="AS789" i="10"/>
  <c r="R389" i="10"/>
  <c r="Y389" i="10"/>
  <c r="T389" i="10"/>
  <c r="AD389" i="10"/>
  <c r="S789" i="10"/>
  <c r="P124" i="10"/>
  <c r="AB124" i="10"/>
  <c r="AG124" i="10"/>
  <c r="AH524" i="10"/>
  <c r="N124" i="10"/>
  <c r="AY124" i="10"/>
  <c r="AQ524" i="10"/>
  <c r="AJ124" i="10"/>
  <c r="N524" i="10"/>
  <c r="T524" i="10"/>
  <c r="Q124" i="10"/>
  <c r="AD772" i="10"/>
  <c r="AF372" i="10"/>
  <c r="L372" i="10"/>
  <c r="AE772" i="10"/>
  <c r="AX772" i="10"/>
  <c r="AQ772" i="10"/>
  <c r="V772" i="10"/>
  <c r="AN772" i="10"/>
  <c r="U772" i="10"/>
  <c r="R372" i="10"/>
  <c r="AD372" i="10"/>
  <c r="AP572" i="10"/>
  <c r="AR572" i="10"/>
  <c r="AN572" i="10"/>
  <c r="Z168" i="27"/>
  <c r="F168" i="27"/>
  <c r="BF191" i="26"/>
  <c r="AO449" i="10"/>
  <c r="Q449" i="10"/>
  <c r="M449" i="10"/>
  <c r="AR449" i="10"/>
  <c r="U449" i="10"/>
  <c r="AD49" i="10"/>
  <c r="AG449" i="10"/>
  <c r="AV49" i="10"/>
  <c r="AQ49" i="10"/>
  <c r="O449" i="10"/>
  <c r="Z449" i="10"/>
  <c r="AC49" i="10"/>
  <c r="AY49" i="10"/>
  <c r="AD449" i="10"/>
  <c r="U49" i="10"/>
  <c r="AI449" i="10"/>
  <c r="W49" i="10"/>
  <c r="J49" i="10"/>
  <c r="AA49" i="10"/>
  <c r="K449" i="10"/>
  <c r="W449" i="10"/>
  <c r="AJ49" i="10"/>
  <c r="V449" i="10"/>
  <c r="AT449" i="10"/>
  <c r="AI49" i="10"/>
  <c r="AS449" i="10"/>
  <c r="S49" i="10"/>
  <c r="AX449" i="10"/>
  <c r="X449" i="10"/>
  <c r="L449" i="10"/>
  <c r="AU449" i="10"/>
  <c r="N449" i="10"/>
  <c r="AS49" i="10"/>
  <c r="AW49" i="10"/>
  <c r="AJ449" i="10"/>
  <c r="AR49" i="10"/>
  <c r="AH49" i="10"/>
  <c r="AM449" i="10"/>
  <c r="AH449" i="10"/>
  <c r="AF49" i="10"/>
  <c r="P49" i="10"/>
  <c r="R449" i="10"/>
  <c r="T449" i="10"/>
  <c r="AO49" i="10"/>
  <c r="AK49" i="10"/>
  <c r="AX49" i="10"/>
  <c r="AM49" i="10"/>
  <c r="AT49" i="10"/>
  <c r="J449" i="10"/>
  <c r="AB49" i="10"/>
  <c r="AN449" i="10"/>
  <c r="R49" i="10"/>
  <c r="AW449" i="10"/>
  <c r="S449" i="10"/>
  <c r="AE449" i="10"/>
  <c r="AP49" i="10"/>
  <c r="AL449" i="10"/>
  <c r="AV449" i="10"/>
  <c r="Q49" i="10"/>
  <c r="AQ449" i="10"/>
  <c r="AA449" i="10"/>
  <c r="V49" i="10"/>
  <c r="AK449" i="10"/>
  <c r="Z49" i="10"/>
  <c r="T49" i="10"/>
  <c r="AF449" i="10"/>
  <c r="P449" i="10"/>
  <c r="X49" i="10"/>
  <c r="AE49" i="10"/>
  <c r="AB449" i="10"/>
  <c r="AC449" i="10"/>
  <c r="AL49" i="10"/>
  <c r="O49" i="10"/>
  <c r="AG49" i="10"/>
  <c r="AN49" i="10"/>
  <c r="L49" i="10"/>
  <c r="K49" i="10"/>
  <c r="M49" i="10"/>
  <c r="AY449" i="10"/>
  <c r="N49" i="10"/>
  <c r="Y449" i="10"/>
  <c r="Y49" i="10"/>
  <c r="AP449" i="10"/>
  <c r="AC38" i="9"/>
  <c r="AD38" i="9" s="1"/>
  <c r="Z307" i="27"/>
  <c r="AD695" i="10"/>
  <c r="AE695" i="10"/>
  <c r="AB295" i="10"/>
  <c r="N695" i="10"/>
  <c r="AU695" i="10"/>
  <c r="AR295" i="10"/>
  <c r="AL295" i="10"/>
  <c r="AA695" i="10"/>
  <c r="AG295" i="10"/>
  <c r="W695" i="10"/>
  <c r="AJ695" i="10"/>
  <c r="AL695" i="10"/>
  <c r="AP695" i="10"/>
  <c r="AE295" i="10"/>
  <c r="AC695" i="10"/>
  <c r="L295" i="10"/>
  <c r="AM295" i="10"/>
  <c r="AM695" i="10"/>
  <c r="Q295" i="10"/>
  <c r="AY295" i="10"/>
  <c r="AH295" i="10"/>
  <c r="AT295" i="10"/>
  <c r="G49" i="10"/>
  <c r="V49" i="27"/>
  <c r="AA49" i="27" s="1"/>
  <c r="BD49" i="26"/>
  <c r="BF49" i="26" s="1"/>
  <c r="AX463" i="10"/>
  <c r="AT463" i="10"/>
  <c r="AS63" i="10"/>
  <c r="AV463" i="10"/>
  <c r="P63" i="10"/>
  <c r="AF63" i="10"/>
  <c r="Y463" i="10"/>
  <c r="AA63" i="10"/>
  <c r="L63" i="10"/>
  <c r="K463" i="10"/>
  <c r="AA463" i="10"/>
  <c r="AC63" i="10"/>
  <c r="U463" i="10"/>
  <c r="AQ63" i="10"/>
  <c r="AW463" i="10"/>
  <c r="AI63" i="10"/>
  <c r="V63" i="10"/>
  <c r="R63" i="10"/>
  <c r="J63" i="10"/>
  <c r="AG463" i="10"/>
  <c r="S463" i="10"/>
  <c r="AW63" i="10"/>
  <c r="AK463" i="10"/>
  <c r="W463" i="10"/>
  <c r="W63" i="10"/>
  <c r="AY463" i="10"/>
  <c r="AH463" i="10"/>
  <c r="AP63" i="10"/>
  <c r="AR63" i="10"/>
  <c r="AE463" i="10"/>
  <c r="N63" i="10"/>
  <c r="T63" i="10"/>
  <c r="AJ63" i="10"/>
  <c r="AN63" i="10"/>
  <c r="AF463" i="10"/>
  <c r="AO463" i="10"/>
  <c r="Z63" i="10"/>
  <c r="AX63" i="10"/>
  <c r="AR463" i="10"/>
  <c r="K63" i="10"/>
  <c r="AK63" i="10"/>
  <c r="AP463" i="10"/>
  <c r="Q463" i="10"/>
  <c r="S63" i="10"/>
  <c r="U63" i="10"/>
  <c r="J463" i="10"/>
  <c r="O63" i="10"/>
  <c r="X63" i="10"/>
  <c r="AL463" i="10"/>
  <c r="AE63" i="10"/>
  <c r="AC463" i="10"/>
  <c r="AQ463" i="10"/>
  <c r="AO63" i="10"/>
  <c r="M63" i="10"/>
  <c r="AG63" i="10"/>
  <c r="AM63" i="10"/>
  <c r="AV63" i="10"/>
  <c r="M463" i="10"/>
  <c r="O463" i="10"/>
  <c r="Q63" i="10"/>
  <c r="R463" i="10"/>
  <c r="L463" i="10"/>
  <c r="AI463" i="10"/>
  <c r="X463" i="10"/>
  <c r="T463" i="10"/>
  <c r="AM463" i="10"/>
  <c r="AL63" i="10"/>
  <c r="AH63" i="10"/>
  <c r="AD63" i="10"/>
  <c r="AB463" i="10"/>
  <c r="AY63" i="10"/>
  <c r="N463" i="10"/>
  <c r="AN463" i="10"/>
  <c r="AD463" i="10"/>
  <c r="AJ463" i="10"/>
  <c r="AT63" i="10"/>
  <c r="V463" i="10"/>
  <c r="AB63" i="10"/>
  <c r="Y63" i="10"/>
  <c r="Z463" i="10"/>
  <c r="AS463" i="10"/>
  <c r="AU463" i="10"/>
  <c r="P463" i="10"/>
  <c r="U330" i="10"/>
  <c r="AO330" i="10"/>
  <c r="K730" i="10"/>
  <c r="AB330" i="10"/>
  <c r="M330" i="10"/>
  <c r="U730" i="10"/>
  <c r="AD730" i="10"/>
  <c r="AK730" i="10"/>
  <c r="AR330" i="10"/>
  <c r="AX730" i="10"/>
  <c r="AL330" i="10"/>
  <c r="AT330" i="10"/>
  <c r="W330" i="10"/>
  <c r="AQ730" i="10"/>
  <c r="AM730" i="10"/>
  <c r="J330" i="10"/>
  <c r="AV330" i="10"/>
  <c r="AN730" i="10"/>
  <c r="S330" i="10"/>
  <c r="AV730" i="10"/>
  <c r="AI330" i="10"/>
  <c r="AO586" i="10"/>
  <c r="AV186" i="10"/>
  <c r="V586" i="10"/>
  <c r="V372" i="27"/>
  <c r="AA372" i="27" s="1"/>
  <c r="G351" i="9"/>
  <c r="BE351" i="26"/>
  <c r="G351" i="6"/>
  <c r="N730" i="10"/>
  <c r="AK330" i="10"/>
  <c r="AR730" i="10"/>
  <c r="AG730" i="10"/>
  <c r="J730" i="10"/>
  <c r="Y330" i="10"/>
  <c r="O730" i="10"/>
  <c r="V730" i="10"/>
  <c r="AX330" i="10"/>
  <c r="AT730" i="10"/>
  <c r="Q730" i="10"/>
  <c r="AC730" i="10"/>
  <c r="M730" i="10"/>
  <c r="AB730" i="10"/>
  <c r="T330" i="10"/>
  <c r="X730" i="10"/>
  <c r="T730" i="10"/>
  <c r="N330" i="10"/>
  <c r="AW330" i="10"/>
  <c r="Z730" i="10"/>
  <c r="Z330" i="10"/>
  <c r="AD198" i="10"/>
  <c r="BD322" i="26"/>
  <c r="BF322" i="26" s="1"/>
  <c r="AH60" i="10"/>
  <c r="X460" i="10"/>
  <c r="AC460" i="10"/>
  <c r="AN60" i="10"/>
  <c r="AM60" i="10"/>
  <c r="AN586" i="10"/>
  <c r="AH186" i="10"/>
  <c r="AR586" i="10"/>
  <c r="G344" i="9"/>
  <c r="G124" i="10"/>
  <c r="AO572" i="10"/>
  <c r="AM572" i="10"/>
  <c r="AX572" i="10"/>
  <c r="Z572" i="10"/>
  <c r="AK572" i="10"/>
  <c r="AR172" i="10"/>
  <c r="AV572" i="10"/>
  <c r="O172" i="10"/>
  <c r="AQ572" i="10"/>
  <c r="U572" i="10"/>
  <c r="W191" i="10"/>
  <c r="AE191" i="10"/>
  <c r="AI191" i="10"/>
  <c r="K191" i="10"/>
  <c r="AT591" i="10"/>
  <c r="AU591" i="10"/>
  <c r="AA191" i="10"/>
  <c r="AI591" i="10"/>
  <c r="AL191" i="10"/>
  <c r="AX191" i="10"/>
  <c r="AD191" i="10"/>
  <c r="P591" i="10"/>
  <c r="AE591" i="10"/>
  <c r="R591" i="10"/>
  <c r="X191" i="10"/>
  <c r="L591" i="10"/>
  <c r="N591" i="10"/>
  <c r="X591" i="10"/>
  <c r="AY191" i="10"/>
  <c r="AD591" i="10"/>
  <c r="AJ591" i="10"/>
  <c r="AY591" i="10"/>
  <c r="AO419" i="26"/>
  <c r="AN419" i="26" s="1"/>
  <c r="AT5" i="10"/>
  <c r="AT1595" i="10"/>
  <c r="AU423" i="26"/>
  <c r="AM423" i="26"/>
  <c r="AA593" i="10"/>
  <c r="R193" i="10"/>
  <c r="AI593" i="10"/>
  <c r="U193" i="10"/>
  <c r="AJ193" i="10"/>
  <c r="K193" i="10"/>
  <c r="N193" i="10"/>
  <c r="AI193" i="10"/>
  <c r="Y193" i="10"/>
  <c r="AC193" i="10"/>
  <c r="AE593" i="10"/>
  <c r="AF593" i="10"/>
  <c r="K593" i="10"/>
  <c r="AW193" i="10"/>
  <c r="S193" i="10"/>
  <c r="T193" i="10"/>
  <c r="AK193" i="10"/>
  <c r="AO593" i="10"/>
  <c r="AL193" i="10"/>
  <c r="AN593" i="10"/>
  <c r="AA330" i="10"/>
  <c r="L330" i="10"/>
  <c r="AJ730" i="10"/>
  <c r="AC330" i="10"/>
  <c r="W730" i="10"/>
  <c r="L730" i="10"/>
  <c r="AE730" i="10"/>
  <c r="AA730" i="10"/>
  <c r="AP730" i="10"/>
  <c r="AP330" i="10"/>
  <c r="AD330" i="10"/>
  <c r="AU730" i="10"/>
  <c r="R730" i="10"/>
  <c r="V330" i="10"/>
  <c r="X330" i="10"/>
  <c r="R330" i="10"/>
  <c r="AI730" i="10"/>
  <c r="K330" i="10"/>
  <c r="S730" i="10"/>
  <c r="AY598" i="10"/>
  <c r="AS198" i="10"/>
  <c r="AS60" i="10"/>
  <c r="O60" i="10"/>
  <c r="Q60" i="10"/>
  <c r="AY460" i="10"/>
  <c r="R460" i="10"/>
  <c r="AN449" i="26"/>
  <c r="AH586" i="10"/>
  <c r="AB186" i="10"/>
  <c r="V152" i="27"/>
  <c r="AF572" i="10"/>
  <c r="J572" i="10"/>
  <c r="AJ172" i="10"/>
  <c r="N572" i="10"/>
  <c r="AG172" i="10"/>
  <c r="U172" i="10"/>
  <c r="AD172" i="10"/>
  <c r="AL172" i="10"/>
  <c r="W572" i="10"/>
  <c r="T572" i="10"/>
  <c r="Y172" i="10"/>
  <c r="I134" i="6"/>
  <c r="O191" i="10"/>
  <c r="AS191" i="10"/>
  <c r="J191" i="10"/>
  <c r="AT191" i="10"/>
  <c r="AP191" i="10"/>
  <c r="V191" i="10"/>
  <c r="AO591" i="10"/>
  <c r="K591" i="10"/>
  <c r="AF591" i="10"/>
  <c r="AO191" i="10"/>
  <c r="AQ591" i="10"/>
  <c r="L191" i="10"/>
  <c r="AN591" i="10"/>
  <c r="AR191" i="10"/>
  <c r="AF191" i="10"/>
  <c r="O591" i="10"/>
  <c r="AR591" i="10"/>
  <c r="M191" i="10"/>
  <c r="W591" i="10"/>
  <c r="AH191" i="10"/>
  <c r="AL591" i="10"/>
  <c r="AO531" i="26"/>
  <c r="AN531" i="26" s="1"/>
  <c r="G146" i="10"/>
  <c r="V146" i="27"/>
  <c r="AA146" i="27" s="1"/>
  <c r="BD146" i="26"/>
  <c r="I80" i="9"/>
  <c r="I80" i="6"/>
  <c r="AL112" i="10"/>
  <c r="AY343" i="10"/>
  <c r="AX743" i="10"/>
  <c r="AY743" i="10"/>
  <c r="AO743" i="10"/>
  <c r="AA743" i="10"/>
  <c r="K743" i="10"/>
  <c r="AS460" i="10"/>
  <c r="AJ60" i="10"/>
  <c r="AF60" i="10"/>
  <c r="AL460" i="10"/>
  <c r="AE460" i="10"/>
  <c r="P460" i="10"/>
  <c r="O460" i="10"/>
  <c r="R60" i="10"/>
  <c r="S460" i="10"/>
  <c r="J60" i="10"/>
  <c r="Z460" i="10"/>
  <c r="AM460" i="10"/>
  <c r="AP60" i="10"/>
  <c r="L460" i="10"/>
  <c r="K460" i="10"/>
  <c r="AR460" i="10"/>
  <c r="U60" i="10"/>
  <c r="Y460" i="10"/>
  <c r="M460" i="10"/>
  <c r="M60" i="10"/>
  <c r="V460" i="10"/>
  <c r="G38" i="6"/>
  <c r="BD186" i="26"/>
  <c r="BF186" i="26" s="1"/>
  <c r="G389" i="9"/>
  <c r="BE389" i="26"/>
  <c r="BF389" i="26" s="1"/>
  <c r="G389" i="6"/>
  <c r="Z137" i="27"/>
  <c r="Z98" i="27"/>
  <c r="W743" i="10"/>
  <c r="AP343" i="10"/>
  <c r="AS743" i="10"/>
  <c r="AJ343" i="10"/>
  <c r="AV743" i="10"/>
  <c r="N743" i="10"/>
  <c r="V322" i="27"/>
  <c r="AI60" i="10"/>
  <c r="L60" i="10"/>
  <c r="AV460" i="10"/>
  <c r="AF460" i="10"/>
  <c r="AO460" i="10"/>
  <c r="S60" i="10"/>
  <c r="AG460" i="10"/>
  <c r="V60" i="10"/>
  <c r="AC60" i="10"/>
  <c r="Q460" i="10"/>
  <c r="N460" i="10"/>
  <c r="AU460" i="10"/>
  <c r="AH460" i="10"/>
  <c r="AK460" i="10"/>
  <c r="AL60" i="10"/>
  <c r="AK60" i="10"/>
  <c r="AA460" i="10"/>
  <c r="N60" i="10"/>
  <c r="AB460" i="10"/>
  <c r="W460" i="10"/>
  <c r="G38" i="9"/>
  <c r="AG187" i="9"/>
  <c r="BE337" i="26"/>
  <c r="G337" i="6"/>
  <c r="G337" i="9"/>
  <c r="AG80" i="9"/>
  <c r="Z275" i="6"/>
  <c r="BE383" i="26"/>
  <c r="O743" i="10"/>
  <c r="AQ343" i="10"/>
  <c r="AS343" i="10"/>
  <c r="AQ743" i="10"/>
  <c r="AF343" i="10"/>
  <c r="AR343" i="10"/>
  <c r="AW460" i="10"/>
  <c r="AQ60" i="10"/>
  <c r="AX60" i="10"/>
  <c r="T60" i="10"/>
  <c r="AA60" i="10"/>
  <c r="AV60" i="10"/>
  <c r="W60" i="10"/>
  <c r="Y60" i="10"/>
  <c r="U460" i="10"/>
  <c r="T460" i="10"/>
  <c r="Z60" i="10"/>
  <c r="AN460" i="10"/>
  <c r="P60" i="10"/>
  <c r="AQ460" i="10"/>
  <c r="AT60" i="10"/>
  <c r="AX460" i="10"/>
  <c r="AG60" i="10"/>
  <c r="AE60" i="10"/>
  <c r="AW60" i="10"/>
  <c r="AD460" i="10"/>
  <c r="G389" i="10"/>
  <c r="BA201" i="10"/>
  <c r="AL546" i="10"/>
  <c r="AY546" i="10"/>
  <c r="Y146" i="10"/>
  <c r="AO546" i="10"/>
  <c r="AG146" i="10"/>
  <c r="AT146" i="10"/>
  <c r="AD146" i="10"/>
  <c r="W546" i="10"/>
  <c r="P146" i="10"/>
  <c r="AS546" i="10"/>
  <c r="AA146" i="10"/>
  <c r="AX146" i="10"/>
  <c r="J146" i="10"/>
  <c r="AE546" i="10"/>
  <c r="Q546" i="10"/>
  <c r="AM146" i="10"/>
  <c r="AQ146" i="10"/>
  <c r="AN546" i="10"/>
  <c r="X546" i="10"/>
  <c r="T546" i="10"/>
  <c r="AC146" i="10"/>
  <c r="V146" i="10"/>
  <c r="M546" i="10"/>
  <c r="AU546" i="10"/>
  <c r="AP546" i="10"/>
  <c r="T146" i="10"/>
  <c r="M146" i="10"/>
  <c r="U546" i="10"/>
  <c r="W146" i="10"/>
  <c r="AY146" i="10"/>
  <c r="AW146" i="10"/>
  <c r="AF546" i="10"/>
  <c r="O546" i="10"/>
  <c r="R546" i="10"/>
  <c r="AK146" i="10"/>
  <c r="AV146" i="10"/>
  <c r="AR146" i="10"/>
  <c r="AV546" i="10"/>
  <c r="AH546" i="10"/>
  <c r="AD546" i="10"/>
  <c r="AS146" i="10"/>
  <c r="AX546" i="10"/>
  <c r="Z546" i="10"/>
  <c r="AK546" i="10"/>
  <c r="AF146" i="10"/>
  <c r="P546" i="10"/>
  <c r="S146" i="10"/>
  <c r="AG546" i="10"/>
  <c r="AC546" i="10"/>
  <c r="AL146" i="10"/>
  <c r="AO146" i="10"/>
  <c r="J546" i="10"/>
  <c r="Q146" i="10"/>
  <c r="K546" i="10"/>
  <c r="L546" i="10"/>
  <c r="AN146" i="10"/>
  <c r="R146" i="10"/>
  <c r="AM546" i="10"/>
  <c r="AA546" i="10"/>
  <c r="AI146" i="10"/>
  <c r="X146" i="10"/>
  <c r="AT546" i="10"/>
  <c r="Y546" i="10"/>
  <c r="O146" i="10"/>
  <c r="V546" i="10"/>
  <c r="AE146" i="10"/>
  <c r="AQ546" i="10"/>
  <c r="N146" i="10"/>
  <c r="Z146" i="10"/>
  <c r="AW546" i="10"/>
  <c r="AJ546" i="10"/>
  <c r="AB546" i="10"/>
  <c r="AB146" i="10"/>
  <c r="AJ146" i="10"/>
  <c r="N546" i="10"/>
  <c r="AH146" i="10"/>
  <c r="S546" i="10"/>
  <c r="AI546" i="10"/>
  <c r="K146" i="10"/>
  <c r="U146" i="10"/>
  <c r="AP146" i="10"/>
  <c r="AR546" i="10"/>
  <c r="L146" i="10"/>
  <c r="BE80" i="26"/>
  <c r="G80" i="6"/>
  <c r="G80" i="9"/>
  <c r="G383" i="9"/>
  <c r="H383" i="27"/>
  <c r="Q413" i="26"/>
  <c r="F413" i="9" s="1"/>
  <c r="AM413" i="26"/>
  <c r="AO413" i="26" s="1"/>
  <c r="V217" i="10"/>
  <c r="AO217" i="10"/>
  <c r="Y217" i="10"/>
  <c r="AD617" i="10"/>
  <c r="X217" i="10"/>
  <c r="V91" i="27"/>
  <c r="Z296" i="27"/>
  <c r="G211" i="9"/>
  <c r="V389" i="27"/>
  <c r="M152" i="10"/>
  <c r="AG552" i="10"/>
  <c r="AH152" i="10"/>
  <c r="T152" i="10"/>
  <c r="Y152" i="10"/>
  <c r="BF211" i="26"/>
  <c r="BB130" i="10"/>
  <c r="AQ217" i="10"/>
  <c r="AY217" i="10"/>
  <c r="S617" i="10"/>
  <c r="Z217" i="10"/>
  <c r="AA617" i="10"/>
  <c r="AE617" i="10"/>
  <c r="V186" i="27"/>
  <c r="G211" i="6"/>
  <c r="K789" i="10"/>
  <c r="AM389" i="10"/>
  <c r="M789" i="10"/>
  <c r="AO389" i="10"/>
  <c r="AF789" i="10"/>
  <c r="AK389" i="10"/>
  <c r="AP789" i="10"/>
  <c r="AX389" i="10"/>
  <c r="AJ789" i="10"/>
  <c r="Z389" i="10"/>
  <c r="AG789" i="10"/>
  <c r="AB789" i="10"/>
  <c r="Y789" i="10"/>
  <c r="AC389" i="10"/>
  <c r="AO789" i="10"/>
  <c r="AE389" i="10"/>
  <c r="AQ389" i="10"/>
  <c r="S389" i="10"/>
  <c r="Z789" i="10"/>
  <c r="AA789" i="10"/>
  <c r="N552" i="10"/>
  <c r="AT152" i="10"/>
  <c r="S552" i="10"/>
  <c r="AS152" i="10"/>
  <c r="R552" i="10"/>
  <c r="V231" i="27"/>
  <c r="BD198" i="26"/>
  <c r="F150" i="27"/>
  <c r="U617" i="10"/>
  <c r="AE217" i="10"/>
  <c r="AA217" i="10"/>
  <c r="M217" i="10"/>
  <c r="N617" i="10"/>
  <c r="BE202" i="26"/>
  <c r="BF202" i="26" s="1"/>
  <c r="Z211" i="27"/>
  <c r="AP552" i="10"/>
  <c r="X152" i="10"/>
  <c r="AB552" i="10"/>
  <c r="O552" i="10"/>
  <c r="AR152" i="10"/>
  <c r="AP152" i="10"/>
  <c r="F121" i="27"/>
  <c r="F319" i="27"/>
  <c r="Z175" i="6"/>
  <c r="G184" i="9"/>
  <c r="BE184" i="26"/>
  <c r="BF184" i="26" s="1"/>
  <c r="AG333" i="9"/>
  <c r="AM436" i="26"/>
  <c r="AO436" i="26" s="1"/>
  <c r="AN436" i="26" s="1"/>
  <c r="BF436" i="26" s="1"/>
  <c r="H295" i="27"/>
  <c r="G362" i="9"/>
  <c r="K482" i="10"/>
  <c r="AV82" i="10"/>
  <c r="S482" i="10"/>
  <c r="AG482" i="10"/>
  <c r="AD82" i="10"/>
  <c r="AF82" i="10"/>
  <c r="AJ82" i="10"/>
  <c r="AX482" i="10"/>
  <c r="AO482" i="10"/>
  <c r="Q482" i="10"/>
  <c r="H86" i="27"/>
  <c r="M617" i="10"/>
  <c r="O217" i="10"/>
  <c r="R617" i="10"/>
  <c r="J617" i="10"/>
  <c r="P217" i="10"/>
  <c r="AJ217" i="10"/>
  <c r="AJ617" i="10"/>
  <c r="AX217" i="10"/>
  <c r="AF217" i="10"/>
  <c r="T217" i="10"/>
  <c r="W217" i="10"/>
  <c r="W617" i="10"/>
  <c r="AR617" i="10"/>
  <c r="R217" i="10"/>
  <c r="AS617" i="10"/>
  <c r="AT217" i="10"/>
  <c r="AQ617" i="10"/>
  <c r="N217" i="10"/>
  <c r="X617" i="10"/>
  <c r="AS217" i="10"/>
  <c r="AI617" i="10"/>
  <c r="AO198" i="10"/>
  <c r="AK198" i="10"/>
  <c r="T598" i="10"/>
  <c r="AA598" i="10"/>
  <c r="AV598" i="10"/>
  <c r="H202" i="27"/>
  <c r="AD552" i="10"/>
  <c r="AJ152" i="10"/>
  <c r="AM152" i="10"/>
  <c r="AT552" i="10"/>
  <c r="AQ152" i="10"/>
  <c r="AN552" i="10"/>
  <c r="X552" i="10"/>
  <c r="P552" i="10"/>
  <c r="Q152" i="10"/>
  <c r="AY152" i="10"/>
  <c r="AS552" i="10"/>
  <c r="AG152" i="10"/>
  <c r="AU552" i="10"/>
  <c r="AO152" i="10"/>
  <c r="AJ552" i="10"/>
  <c r="W152" i="10"/>
  <c r="K552" i="10"/>
  <c r="AR552" i="10"/>
  <c r="J152" i="10"/>
  <c r="L152" i="10"/>
  <c r="U552" i="10"/>
  <c r="M755" i="10"/>
  <c r="AS755" i="10"/>
  <c r="AM355" i="10"/>
  <c r="U755" i="10"/>
  <c r="AF355" i="10"/>
  <c r="Q755" i="10"/>
  <c r="AE355" i="10"/>
  <c r="AX755" i="10"/>
  <c r="S355" i="10"/>
  <c r="Y355" i="10"/>
  <c r="AL355" i="10"/>
  <c r="AQ355" i="10"/>
  <c r="AY755" i="10"/>
  <c r="AV755" i="10"/>
  <c r="Q355" i="10"/>
  <c r="X755" i="10"/>
  <c r="AW755" i="10"/>
  <c r="O355" i="10"/>
  <c r="AF755" i="10"/>
  <c r="L755" i="10"/>
  <c r="P355" i="10"/>
  <c r="AP755" i="10"/>
  <c r="N355" i="10"/>
  <c r="AO355" i="10"/>
  <c r="AA355" i="10"/>
  <c r="AH355" i="10"/>
  <c r="AH755" i="10"/>
  <c r="AO755" i="10"/>
  <c r="AU755" i="10"/>
  <c r="V755" i="10"/>
  <c r="AR755" i="10"/>
  <c r="S755" i="10"/>
  <c r="AC355" i="10"/>
  <c r="AG755" i="10"/>
  <c r="W355" i="10"/>
  <c r="R755" i="10"/>
  <c r="T355" i="10"/>
  <c r="W755" i="10"/>
  <c r="AB355" i="10"/>
  <c r="AJ755" i="10"/>
  <c r="AC755" i="10"/>
  <c r="AT755" i="10"/>
  <c r="AI355" i="10"/>
  <c r="AX355" i="10"/>
  <c r="AQ755" i="10"/>
  <c r="K755" i="10"/>
  <c r="V355" i="10"/>
  <c r="J355" i="10"/>
  <c r="U355" i="10"/>
  <c r="Y755" i="10"/>
  <c r="AS355" i="10"/>
  <c r="AW355" i="10"/>
  <c r="K355" i="10"/>
  <c r="R355" i="10"/>
  <c r="X355" i="10"/>
  <c r="AY355" i="10"/>
  <c r="AN355" i="10"/>
  <c r="O755" i="10"/>
  <c r="AB755" i="10"/>
  <c r="J755" i="10"/>
  <c r="AR355" i="10"/>
  <c r="AG355" i="10"/>
  <c r="M355" i="10"/>
  <c r="AD755" i="10"/>
  <c r="AJ355" i="10"/>
  <c r="AL755" i="10"/>
  <c r="Z755" i="10"/>
  <c r="N755" i="10"/>
  <c r="L355" i="10"/>
  <c r="AM755" i="10"/>
  <c r="AK355" i="10"/>
  <c r="AK755" i="10"/>
  <c r="AN755" i="10"/>
  <c r="T755" i="10"/>
  <c r="AE755" i="10"/>
  <c r="Z355" i="10"/>
  <c r="AI755" i="10"/>
  <c r="AA755" i="10"/>
  <c r="AD355" i="10"/>
  <c r="AV355" i="10"/>
  <c r="AT355" i="10"/>
  <c r="AP355" i="10"/>
  <c r="P755" i="10"/>
  <c r="BE225" i="26"/>
  <c r="BF225" i="26" s="1"/>
  <c r="G225" i="9"/>
  <c r="G225" i="6"/>
  <c r="BD36" i="26"/>
  <c r="BF36" i="26" s="1"/>
  <c r="V36" i="27"/>
  <c r="AA36" i="27" s="1"/>
  <c r="G36" i="10"/>
  <c r="AV217" i="10"/>
  <c r="AV617" i="10"/>
  <c r="AW217" i="10"/>
  <c r="AM217" i="10"/>
  <c r="AO617" i="10"/>
  <c r="AC617" i="10"/>
  <c r="S217" i="10"/>
  <c r="AP217" i="10"/>
  <c r="AC217" i="10"/>
  <c r="V617" i="10"/>
  <c r="Q217" i="10"/>
  <c r="K617" i="10"/>
  <c r="J217" i="10"/>
  <c r="AL617" i="10"/>
  <c r="O617" i="10"/>
  <c r="AU617" i="10"/>
  <c r="U217" i="10"/>
  <c r="AX617" i="10"/>
  <c r="Q617" i="10"/>
  <c r="AP617" i="10"/>
  <c r="AM617" i="10"/>
  <c r="AY198" i="10"/>
  <c r="AW198" i="10"/>
  <c r="L198" i="10"/>
  <c r="Y198" i="10"/>
  <c r="AB198" i="10"/>
  <c r="G202" i="9"/>
  <c r="G60" i="10"/>
  <c r="AW152" i="10"/>
  <c r="AL152" i="10"/>
  <c r="AV552" i="10"/>
  <c r="R152" i="10"/>
  <c r="Q552" i="10"/>
  <c r="AK552" i="10"/>
  <c r="P152" i="10"/>
  <c r="AC152" i="10"/>
  <c r="M552" i="10"/>
  <c r="T552" i="10"/>
  <c r="AB152" i="10"/>
  <c r="Y552" i="10"/>
  <c r="V552" i="10"/>
  <c r="AD152" i="10"/>
  <c r="AF152" i="10"/>
  <c r="AF552" i="10"/>
  <c r="Z152" i="10"/>
  <c r="AK152" i="10"/>
  <c r="AN152" i="10"/>
  <c r="AY552" i="10"/>
  <c r="AV152" i="10"/>
  <c r="AN452" i="26"/>
  <c r="BE320" i="26"/>
  <c r="BF320" i="26" s="1"/>
  <c r="G320" i="6"/>
  <c r="G320" i="9"/>
  <c r="AG328" i="9"/>
  <c r="Q36" i="10"/>
  <c r="V36" i="10"/>
  <c r="O436" i="10"/>
  <c r="AK36" i="10"/>
  <c r="L436" i="10"/>
  <c r="K36" i="10"/>
  <c r="AL36" i="10"/>
  <c r="J436" i="10"/>
  <c r="T436" i="10"/>
  <c r="W436" i="10"/>
  <c r="AM36" i="10"/>
  <c r="AI36" i="10"/>
  <c r="S436" i="10"/>
  <c r="R436" i="10"/>
  <c r="AH36" i="10"/>
  <c r="AM436" i="10"/>
  <c r="AY36" i="10"/>
  <c r="AQ436" i="10"/>
  <c r="AQ36" i="10"/>
  <c r="AG36" i="10"/>
  <c r="AO36" i="10"/>
  <c r="P36" i="10"/>
  <c r="AH436" i="10"/>
  <c r="T36" i="10"/>
  <c r="AB36" i="10"/>
  <c r="N436" i="10"/>
  <c r="AU436" i="10"/>
  <c r="X36" i="10"/>
  <c r="AB436" i="10"/>
  <c r="O36" i="10"/>
  <c r="AX36" i="10"/>
  <c r="AS436" i="10"/>
  <c r="U436" i="10"/>
  <c r="P436" i="10"/>
  <c r="AS36" i="10"/>
  <c r="AV436" i="10"/>
  <c r="J36" i="10"/>
  <c r="R36" i="10"/>
  <c r="Y436" i="10"/>
  <c r="N36" i="10"/>
  <c r="AR436" i="10"/>
  <c r="AR36" i="10"/>
  <c r="L36" i="10"/>
  <c r="X436" i="10"/>
  <c r="AD436" i="10"/>
  <c r="AN436" i="10"/>
  <c r="AP36" i="10"/>
  <c r="AI436" i="10"/>
  <c r="AW436" i="10"/>
  <c r="AC36" i="10"/>
  <c r="U36" i="10"/>
  <c r="AF36" i="10"/>
  <c r="AV36" i="10"/>
  <c r="AJ436" i="10"/>
  <c r="M436" i="10"/>
  <c r="Z36" i="10"/>
  <c r="AO436" i="10"/>
  <c r="W36" i="10"/>
  <c r="AL436" i="10"/>
  <c r="AC436" i="10"/>
  <c r="AA36" i="10"/>
  <c r="AW36" i="10"/>
  <c r="AF436" i="10"/>
  <c r="AK436" i="10"/>
  <c r="AE36" i="10"/>
  <c r="AD36" i="10"/>
  <c r="AT436" i="10"/>
  <c r="Z436" i="10"/>
  <c r="M36" i="10"/>
  <c r="AN36" i="10"/>
  <c r="AX436" i="10"/>
  <c r="Y36" i="10"/>
  <c r="AY436" i="10"/>
  <c r="AP436" i="10"/>
  <c r="AT36" i="10"/>
  <c r="Q436" i="10"/>
  <c r="S36" i="10"/>
  <c r="AJ36" i="10"/>
  <c r="AG436" i="10"/>
  <c r="V436" i="10"/>
  <c r="AE436" i="10"/>
  <c r="AA436" i="10"/>
  <c r="K436" i="10"/>
  <c r="V182" i="27"/>
  <c r="AA182" i="27" s="1"/>
  <c r="BD182" i="26"/>
  <c r="G182" i="10"/>
  <c r="Y482" i="10"/>
  <c r="L482" i="10"/>
  <c r="Q82" i="10"/>
  <c r="AD482" i="10"/>
  <c r="Z482" i="10"/>
  <c r="AB482" i="10"/>
  <c r="AP482" i="10"/>
  <c r="AT482" i="10"/>
  <c r="AL82" i="10"/>
  <c r="AE482" i="10"/>
  <c r="Y82" i="10"/>
  <c r="AX82" i="10"/>
  <c r="AT82" i="10"/>
  <c r="AQ482" i="10"/>
  <c r="AV482" i="10"/>
  <c r="AR482" i="10"/>
  <c r="M82" i="10"/>
  <c r="AQ82" i="10"/>
  <c r="AG82" i="10"/>
  <c r="AJ482" i="10"/>
  <c r="BF90" i="26"/>
  <c r="BD93" i="26"/>
  <c r="AF617" i="10"/>
  <c r="K217" i="10"/>
  <c r="AR217" i="10"/>
  <c r="AT617" i="10"/>
  <c r="T617" i="10"/>
  <c r="AB217" i="10"/>
  <c r="AN217" i="10"/>
  <c r="AH217" i="10"/>
  <c r="L617" i="10"/>
  <c r="AG617" i="10"/>
  <c r="AL217" i="10"/>
  <c r="AG217" i="10"/>
  <c r="AH617" i="10"/>
  <c r="P617" i="10"/>
  <c r="AK617" i="10"/>
  <c r="Z617" i="10"/>
  <c r="L217" i="10"/>
  <c r="AB617" i="10"/>
  <c r="AK217" i="10"/>
  <c r="AP598" i="10"/>
  <c r="AF598" i="10"/>
  <c r="AR598" i="10"/>
  <c r="AM598" i="10"/>
  <c r="AL552" i="10"/>
  <c r="AO552" i="10"/>
  <c r="AI152" i="10"/>
  <c r="AW552" i="10"/>
  <c r="AC552" i="10"/>
  <c r="AX152" i="10"/>
  <c r="AH552" i="10"/>
  <c r="K152" i="10"/>
  <c r="W552" i="10"/>
  <c r="AA152" i="10"/>
  <c r="AQ552" i="10"/>
  <c r="V152" i="10"/>
  <c r="AM552" i="10"/>
  <c r="O152" i="10"/>
  <c r="AE152" i="10"/>
  <c r="AI552" i="10"/>
  <c r="AA552" i="10"/>
  <c r="U152" i="10"/>
  <c r="J552" i="10"/>
  <c r="G355" i="10"/>
  <c r="BD355" i="26"/>
  <c r="V355" i="27"/>
  <c r="AA355" i="27" s="1"/>
  <c r="G328" i="6"/>
  <c r="G328" i="9"/>
  <c r="BE328" i="26"/>
  <c r="BF328" i="26" s="1"/>
  <c r="G112" i="10"/>
  <c r="BD112" i="26"/>
  <c r="BF112" i="26" s="1"/>
  <c r="V120" i="27"/>
  <c r="AA120" i="27" s="1"/>
  <c r="G120" i="10"/>
  <c r="AG378" i="9"/>
  <c r="AG233" i="9"/>
  <c r="BB202" i="10"/>
  <c r="BC202" i="10" s="1"/>
  <c r="BE140" i="26"/>
  <c r="BF140" i="26" s="1"/>
  <c r="G140" i="9"/>
  <c r="H140" i="27"/>
  <c r="G86" i="10"/>
  <c r="V86" i="27"/>
  <c r="AG175" i="9"/>
  <c r="I193" i="9"/>
  <c r="O82" i="10"/>
  <c r="AM482" i="10"/>
  <c r="AR82" i="10"/>
  <c r="X482" i="10"/>
  <c r="AO82" i="10"/>
  <c r="U482" i="10"/>
  <c r="P82" i="10"/>
  <c r="AB82" i="10"/>
  <c r="R482" i="10"/>
  <c r="AM82" i="10"/>
  <c r="S82" i="10"/>
  <c r="AH82" i="10"/>
  <c r="AE82" i="10"/>
  <c r="L82" i="10"/>
  <c r="AK82" i="10"/>
  <c r="K82" i="10"/>
  <c r="AC482" i="10"/>
  <c r="AS82" i="10"/>
  <c r="AY82" i="10"/>
  <c r="AN482" i="10"/>
  <c r="W482" i="10"/>
  <c r="J482" i="10"/>
  <c r="AU482" i="10"/>
  <c r="U82" i="10"/>
  <c r="AH482" i="10"/>
  <c r="AC82" i="10"/>
  <c r="T82" i="10"/>
  <c r="AW482" i="10"/>
  <c r="AF482" i="10"/>
  <c r="R82" i="10"/>
  <c r="AW82" i="10"/>
  <c r="N482" i="10"/>
  <c r="AS482" i="10"/>
  <c r="AK482" i="10"/>
  <c r="V82" i="10"/>
  <c r="Z82" i="10"/>
  <c r="N82" i="10"/>
  <c r="AI482" i="10"/>
  <c r="AL482" i="10"/>
  <c r="AA82" i="10"/>
  <c r="J82" i="10"/>
  <c r="V382" i="27"/>
  <c r="AA382" i="27" s="1"/>
  <c r="G382" i="10"/>
  <c r="BD382" i="26"/>
  <c r="BF382" i="26" s="1"/>
  <c r="AG295" i="9"/>
  <c r="F25" i="27"/>
  <c r="V172" i="27"/>
  <c r="AA172" i="27" s="1"/>
  <c r="G172" i="10"/>
  <c r="AH743" i="10"/>
  <c r="U743" i="10"/>
  <c r="S343" i="10"/>
  <c r="Y743" i="10"/>
  <c r="AJ743" i="10"/>
  <c r="V343" i="10"/>
  <c r="V743" i="10"/>
  <c r="AL343" i="10"/>
  <c r="AG343" i="10"/>
  <c r="AR743" i="10"/>
  <c r="N343" i="10"/>
  <c r="AI743" i="10"/>
  <c r="AC343" i="10"/>
  <c r="O343" i="10"/>
  <c r="T343" i="10"/>
  <c r="AD343" i="10"/>
  <c r="AL743" i="10"/>
  <c r="R743" i="10"/>
  <c r="M743" i="10"/>
  <c r="AC743" i="10"/>
  <c r="AP743" i="10"/>
  <c r="AW743" i="10"/>
  <c r="P743" i="10"/>
  <c r="J343" i="10"/>
  <c r="M343" i="10"/>
  <c r="AK743" i="10"/>
  <c r="L743" i="10"/>
  <c r="AI343" i="10"/>
  <c r="AB743" i="10"/>
  <c r="Q743" i="10"/>
  <c r="AT743" i="10"/>
  <c r="AT343" i="10"/>
  <c r="AE343" i="10"/>
  <c r="U343" i="10"/>
  <c r="AE743" i="10"/>
  <c r="AX343" i="10"/>
  <c r="P343" i="10"/>
  <c r="AW343" i="10"/>
  <c r="AO343" i="10"/>
  <c r="X343" i="10"/>
  <c r="S743" i="10"/>
  <c r="AF743" i="10"/>
  <c r="AK343" i="10"/>
  <c r="AU743" i="10"/>
  <c r="AB343" i="10"/>
  <c r="X743" i="10"/>
  <c r="AD743" i="10"/>
  <c r="Z343" i="10"/>
  <c r="L343" i="10"/>
  <c r="R343" i="10"/>
  <c r="AM343" i="10"/>
  <c r="Q343" i="10"/>
  <c r="K343" i="10"/>
  <c r="Z743" i="10"/>
  <c r="AM743" i="10"/>
  <c r="AN343" i="10"/>
  <c r="W343" i="10"/>
  <c r="BA202" i="10"/>
  <c r="BE86" i="26"/>
  <c r="BF86" i="26" s="1"/>
  <c r="G86" i="6"/>
  <c r="Z37" i="6"/>
  <c r="Z176" i="6"/>
  <c r="L598" i="10"/>
  <c r="AF198" i="10"/>
  <c r="S598" i="10"/>
  <c r="AE198" i="10"/>
  <c r="AG198" i="10"/>
  <c r="AU598" i="10"/>
  <c r="Q598" i="10"/>
  <c r="W198" i="10"/>
  <c r="AX198" i="10"/>
  <c r="AQ598" i="10"/>
  <c r="AJ198" i="10"/>
  <c r="K598" i="10"/>
  <c r="M198" i="10"/>
  <c r="T198" i="10"/>
  <c r="AX598" i="10"/>
  <c r="V598" i="10"/>
  <c r="AN598" i="10"/>
  <c r="X198" i="10"/>
  <c r="U198" i="10"/>
  <c r="AW598" i="10"/>
  <c r="AH598" i="10"/>
  <c r="Q198" i="10"/>
  <c r="AL198" i="10"/>
  <c r="AC598" i="10"/>
  <c r="N598" i="10"/>
  <c r="AQ198" i="10"/>
  <c r="AH198" i="10"/>
  <c r="AT598" i="10"/>
  <c r="AS598" i="10"/>
  <c r="J598" i="10"/>
  <c r="AM198" i="10"/>
  <c r="AG598" i="10"/>
  <c r="X598" i="10"/>
  <c r="O598" i="10"/>
  <c r="AD598" i="10"/>
  <c r="S198" i="10"/>
  <c r="AB598" i="10"/>
  <c r="W598" i="10"/>
  <c r="AI598" i="10"/>
  <c r="AV198" i="10"/>
  <c r="J198" i="10"/>
  <c r="AJ598" i="10"/>
  <c r="R598" i="10"/>
  <c r="AA198" i="10"/>
  <c r="Z598" i="10"/>
  <c r="AE598" i="10"/>
  <c r="U598" i="10"/>
  <c r="P198" i="10"/>
  <c r="O198" i="10"/>
  <c r="V198" i="10"/>
  <c r="AC198" i="10"/>
  <c r="K198" i="10"/>
  <c r="AI198" i="10"/>
  <c r="N198" i="10"/>
  <c r="AN198" i="10"/>
  <c r="AP198" i="10"/>
  <c r="Z198" i="10"/>
  <c r="AR198" i="10"/>
  <c r="P598" i="10"/>
  <c r="AO598" i="10"/>
  <c r="AL598" i="10"/>
  <c r="R198" i="10"/>
  <c r="AT198" i="10"/>
  <c r="BB142" i="10"/>
  <c r="AG377" i="9"/>
  <c r="F89" i="27"/>
  <c r="F378" i="27"/>
  <c r="F231" i="6"/>
  <c r="Z231" i="6" s="1"/>
  <c r="BD343" i="26"/>
  <c r="AF112" i="10"/>
  <c r="Z323" i="27"/>
  <c r="N586" i="10"/>
  <c r="J186" i="10"/>
  <c r="AV586" i="10"/>
  <c r="AW186" i="10"/>
  <c r="AW586" i="10"/>
  <c r="AY186" i="10"/>
  <c r="AP333" i="10"/>
  <c r="Y733" i="10"/>
  <c r="AW733" i="10"/>
  <c r="AK333" i="10"/>
  <c r="AR733" i="10"/>
  <c r="AN333" i="10"/>
  <c r="X333" i="10"/>
  <c r="AB333" i="10"/>
  <c r="AQ333" i="10"/>
  <c r="U733" i="10"/>
  <c r="AF333" i="10"/>
  <c r="AP733" i="10"/>
  <c r="AR333" i="10"/>
  <c r="AN733" i="10"/>
  <c r="W333" i="10"/>
  <c r="BD152" i="26"/>
  <c r="BF152" i="26" s="1"/>
  <c r="AB172" i="10"/>
  <c r="AH172" i="10"/>
  <c r="AG572" i="10"/>
  <c r="AC572" i="10"/>
  <c r="AC172" i="10"/>
  <c r="V172" i="10"/>
  <c r="AT172" i="10"/>
  <c r="AV172" i="10"/>
  <c r="AE572" i="10"/>
  <c r="AH572" i="10"/>
  <c r="N172" i="10"/>
  <c r="AP172" i="10"/>
  <c r="X572" i="10"/>
  <c r="AL572" i="10"/>
  <c r="AY572" i="10"/>
  <c r="AA172" i="10"/>
  <c r="M572" i="10"/>
  <c r="K572" i="10"/>
  <c r="AE172" i="10"/>
  <c r="AS572" i="10"/>
  <c r="V572" i="10"/>
  <c r="G377" i="6"/>
  <c r="G377" i="9"/>
  <c r="BE377" i="26"/>
  <c r="G295" i="6"/>
  <c r="BE295" i="26"/>
  <c r="G295" i="9"/>
  <c r="O703" i="10"/>
  <c r="AP303" i="10"/>
  <c r="L703" i="10"/>
  <c r="AQ303" i="10"/>
  <c r="AI303" i="10"/>
  <c r="L303" i="10"/>
  <c r="AW303" i="10"/>
  <c r="AN303" i="10"/>
  <c r="AD703" i="10"/>
  <c r="O303" i="10"/>
  <c r="AU703" i="10"/>
  <c r="AJ303" i="10"/>
  <c r="AJ703" i="10"/>
  <c r="Q703" i="10"/>
  <c r="Z703" i="10"/>
  <c r="U703" i="10"/>
  <c r="Q303" i="10"/>
  <c r="M303" i="10"/>
  <c r="AG703" i="10"/>
  <c r="AL303" i="10"/>
  <c r="AB303" i="10"/>
  <c r="T703" i="10"/>
  <c r="AM703" i="10"/>
  <c r="AC303" i="10"/>
  <c r="N303" i="10"/>
  <c r="AE703" i="10"/>
  <c r="J303" i="10"/>
  <c r="AE303" i="10"/>
  <c r="AQ703" i="10"/>
  <c r="X303" i="10"/>
  <c r="AT303" i="10"/>
  <c r="AG303" i="10"/>
  <c r="AP703" i="10"/>
  <c r="M703" i="10"/>
  <c r="AV703" i="10"/>
  <c r="Z303" i="10"/>
  <c r="AK703" i="10"/>
  <c r="AM303" i="10"/>
  <c r="AX303" i="10"/>
  <c r="AS703" i="10"/>
  <c r="AT703" i="10"/>
  <c r="W303" i="10"/>
  <c r="AW703" i="10"/>
  <c r="AX703" i="10"/>
  <c r="AO303" i="10"/>
  <c r="AL703" i="10"/>
  <c r="AH703" i="10"/>
  <c r="N703" i="10"/>
  <c r="K703" i="10"/>
  <c r="AF303" i="10"/>
  <c r="AC703" i="10"/>
  <c r="T303" i="10"/>
  <c r="AR703" i="10"/>
  <c r="K303" i="10"/>
  <c r="V303" i="10"/>
  <c r="AF703" i="10"/>
  <c r="V703" i="10"/>
  <c r="AK303" i="10"/>
  <c r="AY703" i="10"/>
  <c r="P303" i="10"/>
  <c r="AB703" i="10"/>
  <c r="AD303" i="10"/>
  <c r="AO703" i="10"/>
  <c r="R703" i="10"/>
  <c r="AR303" i="10"/>
  <c r="AH303" i="10"/>
  <c r="AA703" i="10"/>
  <c r="R303" i="10"/>
  <c r="U303" i="10"/>
  <c r="AS303" i="10"/>
  <c r="J703" i="10"/>
  <c r="S703" i="10"/>
  <c r="X703" i="10"/>
  <c r="AV303" i="10"/>
  <c r="AI703" i="10"/>
  <c r="S303" i="10"/>
  <c r="Y303" i="10"/>
  <c r="P703" i="10"/>
  <c r="Y703" i="10"/>
  <c r="W703" i="10"/>
  <c r="AA303" i="10"/>
  <c r="AY303" i="10"/>
  <c r="AN703" i="10"/>
  <c r="L382" i="10"/>
  <c r="AK382" i="10"/>
  <c r="AF782" i="10"/>
  <c r="AJ382" i="10"/>
  <c r="AD782" i="10"/>
  <c r="W782" i="10"/>
  <c r="AR782" i="10"/>
  <c r="AI382" i="10"/>
  <c r="S382" i="10"/>
  <c r="Y782" i="10"/>
  <c r="AU782" i="10"/>
  <c r="AN382" i="10"/>
  <c r="U782" i="10"/>
  <c r="AY782" i="10"/>
  <c r="Q782" i="10"/>
  <c r="X382" i="10"/>
  <c r="X782" i="10"/>
  <c r="W382" i="10"/>
  <c r="P382" i="10"/>
  <c r="AV382" i="10"/>
  <c r="AO382" i="10"/>
  <c r="AO782" i="10"/>
  <c r="AM782" i="10"/>
  <c r="AG382" i="10"/>
  <c r="N782" i="10"/>
  <c r="AT382" i="10"/>
  <c r="L782" i="10"/>
  <c r="V782" i="10"/>
  <c r="AL782" i="10"/>
  <c r="AP782" i="10"/>
  <c r="AB382" i="10"/>
  <c r="S782" i="10"/>
  <c r="AX382" i="10"/>
  <c r="AP382" i="10"/>
  <c r="AW782" i="10"/>
  <c r="O782" i="10"/>
  <c r="AT782" i="10"/>
  <c r="AX782" i="10"/>
  <c r="O382" i="10"/>
  <c r="AK782" i="10"/>
  <c r="AQ382" i="10"/>
  <c r="AN782" i="10"/>
  <c r="AE382" i="10"/>
  <c r="M782" i="10"/>
  <c r="AC782" i="10"/>
  <c r="AL382" i="10"/>
  <c r="Z382" i="10"/>
  <c r="N382" i="10"/>
  <c r="J382" i="10"/>
  <c r="T782" i="10"/>
  <c r="AH382" i="10"/>
  <c r="AS382" i="10"/>
  <c r="AF382" i="10"/>
  <c r="AW382" i="10"/>
  <c r="R782" i="10"/>
  <c r="AI782" i="10"/>
  <c r="J782" i="10"/>
  <c r="K782" i="10"/>
  <c r="AB782" i="10"/>
  <c r="AM382" i="10"/>
  <c r="K382" i="10"/>
  <c r="AA782" i="10"/>
  <c r="T382" i="10"/>
  <c r="M382" i="10"/>
  <c r="AA382" i="10"/>
  <c r="AS782" i="10"/>
  <c r="AJ782" i="10"/>
  <c r="P782" i="10"/>
  <c r="AY382" i="10"/>
  <c r="Q382" i="10"/>
  <c r="AD382" i="10"/>
  <c r="AR382" i="10"/>
  <c r="AG782" i="10"/>
  <c r="AH782" i="10"/>
  <c r="U382" i="10"/>
  <c r="AC382" i="10"/>
  <c r="Y382" i="10"/>
  <c r="AE782" i="10"/>
  <c r="R382" i="10"/>
  <c r="AV782" i="10"/>
  <c r="Z782" i="10"/>
  <c r="AQ782" i="10"/>
  <c r="V382" i="10"/>
  <c r="AE294" i="10"/>
  <c r="AJ294" i="10"/>
  <c r="Z694" i="10"/>
  <c r="Q694" i="10"/>
  <c r="AM694" i="10"/>
  <c r="AN694" i="10"/>
  <c r="AP294" i="10"/>
  <c r="AA694" i="10"/>
  <c r="S694" i="10"/>
  <c r="K694" i="10"/>
  <c r="N694" i="10"/>
  <c r="AK694" i="10"/>
  <c r="AG694" i="10"/>
  <c r="V694" i="10"/>
  <c r="AH294" i="10"/>
  <c r="J294" i="10"/>
  <c r="M294" i="10"/>
  <c r="W294" i="10"/>
  <c r="Y294" i="10"/>
  <c r="AQ694" i="10"/>
  <c r="AK294" i="10"/>
  <c r="AO694" i="10"/>
  <c r="L294" i="10"/>
  <c r="AC694" i="10"/>
  <c r="W694" i="10"/>
  <c r="AL294" i="10"/>
  <c r="AE694" i="10"/>
  <c r="AR294" i="10"/>
  <c r="AW694" i="10"/>
  <c r="AF694" i="10"/>
  <c r="AT294" i="10"/>
  <c r="X294" i="10"/>
  <c r="AR694" i="10"/>
  <c r="O694" i="10"/>
  <c r="AH694" i="10"/>
  <c r="X694" i="10"/>
  <c r="V294" i="10"/>
  <c r="AX294" i="10"/>
  <c r="AG294" i="10"/>
  <c r="T294" i="10"/>
  <c r="AB294" i="10"/>
  <c r="Q294" i="10"/>
  <c r="N294" i="10"/>
  <c r="R694" i="10"/>
  <c r="AJ694" i="10"/>
  <c r="Z294" i="10"/>
  <c r="AB694" i="10"/>
  <c r="AF294" i="10"/>
  <c r="P294" i="10"/>
  <c r="AV694" i="10"/>
  <c r="K294" i="10"/>
  <c r="AX694" i="10"/>
  <c r="AD294" i="10"/>
  <c r="AS694" i="10"/>
  <c r="AV294" i="10"/>
  <c r="AQ294" i="10"/>
  <c r="O294" i="10"/>
  <c r="AN294" i="10"/>
  <c r="L694" i="10"/>
  <c r="AY694" i="10"/>
  <c r="U294" i="10"/>
  <c r="S294" i="10"/>
  <c r="AD694" i="10"/>
  <c r="AS294" i="10"/>
  <c r="AC294" i="10"/>
  <c r="R294" i="10"/>
  <c r="AT694" i="10"/>
  <c r="AP694" i="10"/>
  <c r="AM294" i="10"/>
  <c r="U694" i="10"/>
  <c r="AI294" i="10"/>
  <c r="J694" i="10"/>
  <c r="AY294" i="10"/>
  <c r="Y694" i="10"/>
  <c r="AI694" i="10"/>
  <c r="AU694" i="10"/>
  <c r="AA294" i="10"/>
  <c r="AW294" i="10"/>
  <c r="AL694" i="10"/>
  <c r="T694" i="10"/>
  <c r="M694" i="10"/>
  <c r="P694" i="10"/>
  <c r="AO294" i="10"/>
  <c r="Z295" i="6"/>
  <c r="AE333" i="10"/>
  <c r="S733" i="10"/>
  <c r="AK733" i="10"/>
  <c r="AV733" i="10"/>
  <c r="AG733" i="10"/>
  <c r="N733" i="10"/>
  <c r="AU733" i="10"/>
  <c r="S333" i="10"/>
  <c r="Z333" i="10"/>
  <c r="AD333" i="10"/>
  <c r="AL333" i="10"/>
  <c r="AF733" i="10"/>
  <c r="AO333" i="10"/>
  <c r="O333" i="10"/>
  <c r="R733" i="10"/>
  <c r="P333" i="10"/>
  <c r="Q733" i="10"/>
  <c r="L733" i="10"/>
  <c r="AL733" i="10"/>
  <c r="AA733" i="10"/>
  <c r="Q452" i="26"/>
  <c r="F444" i="6" s="1"/>
  <c r="T112" i="10"/>
  <c r="Y512" i="10"/>
  <c r="S586" i="10"/>
  <c r="S186" i="10"/>
  <c r="AJ586" i="10"/>
  <c r="AE186" i="10"/>
  <c r="AG586" i="10"/>
  <c r="AB733" i="10"/>
  <c r="Q333" i="10"/>
  <c r="J333" i="10"/>
  <c r="P733" i="10"/>
  <c r="AM733" i="10"/>
  <c r="V333" i="10"/>
  <c r="AC733" i="10"/>
  <c r="J733" i="10"/>
  <c r="AO733" i="10"/>
  <c r="R333" i="10"/>
  <c r="AS733" i="10"/>
  <c r="K333" i="10"/>
  <c r="AX333" i="10"/>
  <c r="M333" i="10"/>
  <c r="AD733" i="10"/>
  <c r="AI333" i="10"/>
  <c r="X172" i="10"/>
  <c r="AT572" i="10"/>
  <c r="R172" i="10"/>
  <c r="AF172" i="10"/>
  <c r="T172" i="10"/>
  <c r="P172" i="10"/>
  <c r="AI572" i="10"/>
  <c r="AS172" i="10"/>
  <c r="AU572" i="10"/>
  <c r="Y572" i="10"/>
  <c r="M172" i="10"/>
  <c r="S572" i="10"/>
  <c r="AO172" i="10"/>
  <c r="AD572" i="10"/>
  <c r="AJ572" i="10"/>
  <c r="P572" i="10"/>
  <c r="J172" i="10"/>
  <c r="O572" i="10"/>
  <c r="AB572" i="10"/>
  <c r="Q172" i="10"/>
  <c r="V294" i="27"/>
  <c r="AA294" i="27" s="1"/>
  <c r="G294" i="10"/>
  <c r="BD294" i="26"/>
  <c r="BF294" i="26" s="1"/>
  <c r="Y238" i="27"/>
  <c r="G238" i="27" s="1"/>
  <c r="P238" i="26"/>
  <c r="X238" i="27" s="1"/>
  <c r="AB238" i="27" s="1"/>
  <c r="F238" i="6"/>
  <c r="F238" i="9"/>
  <c r="Z238" i="9" s="1"/>
  <c r="AA238" i="9" s="1"/>
  <c r="G303" i="10"/>
  <c r="V303" i="27"/>
  <c r="AA303" i="27" s="1"/>
  <c r="BD303" i="26"/>
  <c r="F333" i="27"/>
  <c r="V217" i="27"/>
  <c r="AA217" i="27" s="1"/>
  <c r="BD217" i="26"/>
  <c r="BF217" i="26" s="1"/>
  <c r="G175" i="9"/>
  <c r="G175" i="6"/>
  <c r="BE175" i="26"/>
  <c r="BF175" i="26" s="1"/>
  <c r="Z272" i="27"/>
  <c r="F272" i="27"/>
  <c r="G193" i="10"/>
  <c r="V112" i="27"/>
  <c r="AF186" i="10"/>
  <c r="AD186" i="10"/>
  <c r="AS186" i="10"/>
  <c r="AX586" i="10"/>
  <c r="Y586" i="10"/>
  <c r="AI186" i="10"/>
  <c r="AR186" i="10"/>
  <c r="AB586" i="10"/>
  <c r="P186" i="10"/>
  <c r="V186" i="10"/>
  <c r="AE586" i="10"/>
  <c r="AG186" i="10"/>
  <c r="AK186" i="10"/>
  <c r="AY586" i="10"/>
  <c r="U186" i="10"/>
  <c r="AT186" i="10"/>
  <c r="AM186" i="10"/>
  <c r="W586" i="10"/>
  <c r="K586" i="10"/>
  <c r="AC186" i="10"/>
  <c r="Q586" i="10"/>
  <c r="G377" i="10"/>
  <c r="BD377" i="26"/>
  <c r="V377" i="27"/>
  <c r="AA377" i="27" s="1"/>
  <c r="I121" i="9"/>
  <c r="I121" i="6"/>
  <c r="AM101" i="10"/>
  <c r="AF101" i="10"/>
  <c r="Q101" i="10"/>
  <c r="AC101" i="10"/>
  <c r="V501" i="10"/>
  <c r="AV501" i="10"/>
  <c r="AY501" i="10"/>
  <c r="K101" i="10"/>
  <c r="AT101" i="10"/>
  <c r="W501" i="10"/>
  <c r="AP101" i="10"/>
  <c r="P501" i="10"/>
  <c r="AX101" i="10"/>
  <c r="AO501" i="10"/>
  <c r="Y101" i="10"/>
  <c r="AB101" i="10"/>
  <c r="AX501" i="10"/>
  <c r="AL101" i="10"/>
  <c r="AH501" i="10"/>
  <c r="T501" i="10"/>
  <c r="AK101" i="10"/>
  <c r="AN501" i="10"/>
  <c r="L101" i="10"/>
  <c r="AQ101" i="10"/>
  <c r="AI501" i="10"/>
  <c r="AM501" i="10"/>
  <c r="AA501" i="10"/>
  <c r="AV101" i="10"/>
  <c r="M101" i="10"/>
  <c r="P101" i="10"/>
  <c r="J501" i="10"/>
  <c r="AJ101" i="10"/>
  <c r="AW501" i="10"/>
  <c r="AQ501" i="10"/>
  <c r="R101" i="10"/>
  <c r="AL501" i="10"/>
  <c r="X101" i="10"/>
  <c r="AR101" i="10"/>
  <c r="AU501" i="10"/>
  <c r="J101" i="10"/>
  <c r="Z101" i="10"/>
  <c r="AE501" i="10"/>
  <c r="AD501" i="10"/>
  <c r="Z501" i="10"/>
  <c r="AN101" i="10"/>
  <c r="U501" i="10"/>
  <c r="AW101" i="10"/>
  <c r="AC501" i="10"/>
  <c r="X501" i="10"/>
  <c r="O101" i="10"/>
  <c r="AS101" i="10"/>
  <c r="T101" i="10"/>
  <c r="O501" i="10"/>
  <c r="Y501" i="10"/>
  <c r="S101" i="10"/>
  <c r="AG101" i="10"/>
  <c r="AE101" i="10"/>
  <c r="AG501" i="10"/>
  <c r="N101" i="10"/>
  <c r="N501" i="10"/>
  <c r="AO101" i="10"/>
  <c r="Q501" i="10"/>
  <c r="AJ501" i="10"/>
  <c r="AA101" i="10"/>
  <c r="K501" i="10"/>
  <c r="AD101" i="10"/>
  <c r="M501" i="10"/>
  <c r="AH101" i="10"/>
  <c r="AS501" i="10"/>
  <c r="AY101" i="10"/>
  <c r="S501" i="10"/>
  <c r="AR501" i="10"/>
  <c r="AK501" i="10"/>
  <c r="AP501" i="10"/>
  <c r="AI101" i="10"/>
  <c r="R501" i="10"/>
  <c r="W101" i="10"/>
  <c r="AF501" i="10"/>
  <c r="AT501" i="10"/>
  <c r="V101" i="10"/>
  <c r="U101" i="10"/>
  <c r="AB501" i="10"/>
  <c r="L501" i="10"/>
  <c r="BD193" i="26"/>
  <c r="BD120" i="26"/>
  <c r="Z186" i="10"/>
  <c r="AL586" i="10"/>
  <c r="AQ186" i="10"/>
  <c r="R586" i="10"/>
  <c r="Q186" i="10"/>
  <c r="AJ186" i="10"/>
  <c r="O586" i="10"/>
  <c r="AX186" i="10"/>
  <c r="Y186" i="10"/>
  <c r="AU586" i="10"/>
  <c r="K186" i="10"/>
  <c r="X186" i="10"/>
  <c r="AP186" i="10"/>
  <c r="W186" i="10"/>
  <c r="L586" i="10"/>
  <c r="M586" i="10"/>
  <c r="L186" i="10"/>
  <c r="AK586" i="10"/>
  <c r="AM586" i="10"/>
  <c r="M186" i="10"/>
  <c r="AP586" i="10"/>
  <c r="T186" i="10"/>
  <c r="AA186" i="10"/>
  <c r="AN186" i="10"/>
  <c r="AI586" i="10"/>
  <c r="O186" i="10"/>
  <c r="AQ586" i="10"/>
  <c r="J586" i="10"/>
  <c r="AD586" i="10"/>
  <c r="X586" i="10"/>
  <c r="U586" i="10"/>
  <c r="P586" i="10"/>
  <c r="R186" i="10"/>
  <c r="N186" i="10"/>
  <c r="AC586" i="10"/>
  <c r="T586" i="10"/>
  <c r="AS586" i="10"/>
  <c r="AL186" i="10"/>
  <c r="AO186" i="10"/>
  <c r="AA586" i="10"/>
  <c r="Y777" i="10"/>
  <c r="AC377" i="10"/>
  <c r="S377" i="10"/>
  <c r="AK777" i="10"/>
  <c r="AV777" i="10"/>
  <c r="AP777" i="10"/>
  <c r="AW377" i="10"/>
  <c r="AF377" i="10"/>
  <c r="AV377" i="10"/>
  <c r="AJ777" i="10"/>
  <c r="AS777" i="10"/>
  <c r="AS377" i="10"/>
  <c r="R777" i="10"/>
  <c r="T377" i="10"/>
  <c r="R377" i="10"/>
  <c r="L777" i="10"/>
  <c r="AX377" i="10"/>
  <c r="AP377" i="10"/>
  <c r="L377" i="10"/>
  <c r="T777" i="10"/>
  <c r="K377" i="10"/>
  <c r="U777" i="10"/>
  <c r="AO377" i="10"/>
  <c r="AC777" i="10"/>
  <c r="AA377" i="10"/>
  <c r="AE777" i="10"/>
  <c r="AQ777" i="10"/>
  <c r="AY777" i="10"/>
  <c r="M377" i="10"/>
  <c r="AQ377" i="10"/>
  <c r="M777" i="10"/>
  <c r="AM777" i="10"/>
  <c r="W777" i="10"/>
  <c r="Q777" i="10"/>
  <c r="P777" i="10"/>
  <c r="V777" i="10"/>
  <c r="AW777" i="10"/>
  <c r="AB377" i="10"/>
  <c r="AM377" i="10"/>
  <c r="N777" i="10"/>
  <c r="AF777" i="10"/>
  <c r="AR777" i="10"/>
  <c r="J777" i="10"/>
  <c r="AT377" i="10"/>
  <c r="AI377" i="10"/>
  <c r="AI777" i="10"/>
  <c r="AG777" i="10"/>
  <c r="Z777" i="10"/>
  <c r="W377" i="10"/>
  <c r="J377" i="10"/>
  <c r="AL377" i="10"/>
  <c r="AG377" i="10"/>
  <c r="P377" i="10"/>
  <c r="V377" i="10"/>
  <c r="AR377" i="10"/>
  <c r="AE377" i="10"/>
  <c r="AJ377" i="10"/>
  <c r="U377" i="10"/>
  <c r="K777" i="10"/>
  <c r="AY377" i="10"/>
  <c r="AL777" i="10"/>
  <c r="AU777" i="10"/>
  <c r="AB777" i="10"/>
  <c r="X777" i="10"/>
  <c r="AD377" i="10"/>
  <c r="O777" i="10"/>
  <c r="AH777" i="10"/>
  <c r="Z377" i="10"/>
  <c r="AN377" i="10"/>
  <c r="AD777" i="10"/>
  <c r="AO777" i="10"/>
  <c r="AA777" i="10"/>
  <c r="N377" i="10"/>
  <c r="AN777" i="10"/>
  <c r="AH377" i="10"/>
  <c r="O377" i="10"/>
  <c r="X377" i="10"/>
  <c r="Y377" i="10"/>
  <c r="S777" i="10"/>
  <c r="AT777" i="10"/>
  <c r="AX777" i="10"/>
  <c r="Q377" i="10"/>
  <c r="AK377" i="10"/>
  <c r="G101" i="10"/>
  <c r="V101" i="27"/>
  <c r="AA101" i="27" s="1"/>
  <c r="BD101" i="26"/>
  <c r="BE121" i="26"/>
  <c r="BF121" i="26" s="1"/>
  <c r="G121" i="6"/>
  <c r="G121" i="9"/>
  <c r="G295" i="10"/>
  <c r="BD295" i="26"/>
  <c r="V295" i="27"/>
  <c r="AA295" i="27" s="1"/>
  <c r="AQ373" i="10"/>
  <c r="Z373" i="10"/>
  <c r="AA373" i="10"/>
  <c r="AY373" i="10"/>
  <c r="R773" i="10"/>
  <c r="AE773" i="10"/>
  <c r="P773" i="10"/>
  <c r="AY773" i="10"/>
  <c r="AE373" i="10"/>
  <c r="K773" i="10"/>
  <c r="J373" i="10"/>
  <c r="AI773" i="10"/>
  <c r="AH773" i="10"/>
  <c r="AP373" i="10"/>
  <c r="S773" i="10"/>
  <c r="AM373" i="10"/>
  <c r="W773" i="10"/>
  <c r="AS373" i="10"/>
  <c r="AK773" i="10"/>
  <c r="M773" i="10"/>
  <c r="AT773" i="10"/>
  <c r="X373" i="10"/>
  <c r="AO773" i="10"/>
  <c r="AQ773" i="10"/>
  <c r="AB773" i="10"/>
  <c r="AA773" i="10"/>
  <c r="Q773" i="10"/>
  <c r="U373" i="10"/>
  <c r="AT373" i="10"/>
  <c r="AN373" i="10"/>
  <c r="AF773" i="10"/>
  <c r="T773" i="10"/>
  <c r="S373" i="10"/>
  <c r="N773" i="10"/>
  <c r="X773" i="10"/>
  <c r="Z773" i="10"/>
  <c r="AS773" i="10"/>
  <c r="AB373" i="10"/>
  <c r="L373" i="10"/>
  <c r="AM773" i="10"/>
  <c r="O373" i="10"/>
  <c r="AL773" i="10"/>
  <c r="T373" i="10"/>
  <c r="AV373" i="10"/>
  <c r="AG373" i="10"/>
  <c r="Y773" i="10"/>
  <c r="AK373" i="10"/>
  <c r="AD373" i="10"/>
  <c r="AU773" i="10"/>
  <c r="AD773" i="10"/>
  <c r="Y373" i="10"/>
  <c r="AC773" i="10"/>
  <c r="Q373" i="10"/>
  <c r="N373" i="10"/>
  <c r="AC373" i="10"/>
  <c r="W373" i="10"/>
  <c r="AL373" i="10"/>
  <c r="AP773" i="10"/>
  <c r="P373" i="10"/>
  <c r="AW773" i="10"/>
  <c r="R373" i="10"/>
  <c r="J773" i="10"/>
  <c r="K373" i="10"/>
  <c r="M373" i="10"/>
  <c r="AI373" i="10"/>
  <c r="L773" i="10"/>
  <c r="AV773" i="10"/>
  <c r="AJ773" i="10"/>
  <c r="AG773" i="10"/>
  <c r="V773" i="10"/>
  <c r="AO373" i="10"/>
  <c r="AX773" i="10"/>
  <c r="AH373" i="10"/>
  <c r="AR773" i="10"/>
  <c r="AJ373" i="10"/>
  <c r="AN773" i="10"/>
  <c r="AF373" i="10"/>
  <c r="AW373" i="10"/>
  <c r="AX373" i="10"/>
  <c r="O773" i="10"/>
  <c r="U773" i="10"/>
  <c r="V373" i="10"/>
  <c r="AR373" i="10"/>
  <c r="BD373" i="26"/>
  <c r="BF373" i="26" s="1"/>
  <c r="V373" i="27"/>
  <c r="AA373" i="27" s="1"/>
  <c r="G373" i="10"/>
  <c r="BE176" i="26"/>
  <c r="G176" i="6"/>
  <c r="G176" i="9"/>
  <c r="Z88" i="6"/>
  <c r="G39" i="10"/>
  <c r="V39" i="27"/>
  <c r="AA39" i="27" s="1"/>
  <c r="BD39" i="26"/>
  <c r="BF39" i="26" s="1"/>
  <c r="BE37" i="26"/>
  <c r="G37" i="9"/>
  <c r="G37" i="6"/>
  <c r="G88" i="6"/>
  <c r="G88" i="9"/>
  <c r="BE88" i="26"/>
  <c r="BF88" i="26" s="1"/>
  <c r="I88" i="6"/>
  <c r="I88" i="9"/>
  <c r="AG88" i="9"/>
  <c r="P230" i="26"/>
  <c r="X230" i="27" s="1"/>
  <c r="AB230" i="27" s="1"/>
  <c r="F230" i="6"/>
  <c r="F230" i="9"/>
  <c r="Z230" i="9" s="1"/>
  <c r="AA230" i="9" s="1"/>
  <c r="Y230" i="27"/>
  <c r="G230" i="27" s="1"/>
  <c r="L39" i="10"/>
  <c r="AH439" i="10"/>
  <c r="AE39" i="10"/>
  <c r="AJ439" i="10"/>
  <c r="T439" i="10"/>
  <c r="AS39" i="10"/>
  <c r="Q439" i="10"/>
  <c r="AT439" i="10"/>
  <c r="O39" i="10"/>
  <c r="AK39" i="10"/>
  <c r="AF439" i="10"/>
  <c r="AR39" i="10"/>
  <c r="AP439" i="10"/>
  <c r="AM439" i="10"/>
  <c r="AY39" i="10"/>
  <c r="AA439" i="10"/>
  <c r="AW39" i="10"/>
  <c r="AG39" i="10"/>
  <c r="AO439" i="10"/>
  <c r="AP39" i="10"/>
  <c r="AN439" i="10"/>
  <c r="AL439" i="10"/>
  <c r="Z39" i="10"/>
  <c r="AA39" i="10"/>
  <c r="AW439" i="10"/>
  <c r="AG439" i="10"/>
  <c r="W39" i="10"/>
  <c r="Z439" i="10"/>
  <c r="N439" i="10"/>
  <c r="P39" i="10"/>
  <c r="U39" i="10"/>
  <c r="Q39" i="10"/>
  <c r="AK439" i="10"/>
  <c r="AQ439" i="10"/>
  <c r="AB39" i="10"/>
  <c r="V439" i="10"/>
  <c r="AH39" i="10"/>
  <c r="Y439" i="10"/>
  <c r="AX439" i="10"/>
  <c r="AU439" i="10"/>
  <c r="AV439" i="10"/>
  <c r="AL39" i="10"/>
  <c r="AI439" i="10"/>
  <c r="AE439" i="10"/>
  <c r="T39" i="10"/>
  <c r="R439" i="10"/>
  <c r="AV39" i="10"/>
  <c r="AN39" i="10"/>
  <c r="P439" i="10"/>
  <c r="AJ39" i="10"/>
  <c r="R39" i="10"/>
  <c r="AD39" i="10"/>
  <c r="AT39" i="10"/>
  <c r="AF39" i="10"/>
  <c r="AQ39" i="10"/>
  <c r="AM39" i="10"/>
  <c r="AC39" i="10"/>
  <c r="J439" i="10"/>
  <c r="AB439" i="10"/>
  <c r="X439" i="10"/>
  <c r="AX39" i="10"/>
  <c r="AR439" i="10"/>
  <c r="AI39" i="10"/>
  <c r="M439" i="10"/>
  <c r="AD439" i="10"/>
  <c r="S439" i="10"/>
  <c r="AO39" i="10"/>
  <c r="L439" i="10"/>
  <c r="AY439" i="10"/>
  <c r="N39" i="10"/>
  <c r="V39" i="10"/>
  <c r="U439" i="10"/>
  <c r="K39" i="10"/>
  <c r="S39" i="10"/>
  <c r="AC439" i="10"/>
  <c r="AS439" i="10"/>
  <c r="O439" i="10"/>
  <c r="W439" i="10"/>
  <c r="X39" i="10"/>
  <c r="J39" i="10"/>
  <c r="Y39" i="10"/>
  <c r="M39" i="10"/>
  <c r="K439" i="10"/>
  <c r="AC88" i="9"/>
  <c r="G134" i="9"/>
  <c r="BD77" i="26"/>
  <c r="F291" i="27"/>
  <c r="AB512" i="10"/>
  <c r="U112" i="10"/>
  <c r="AK112" i="10"/>
  <c r="N512" i="10"/>
  <c r="AD112" i="10"/>
  <c r="BE134" i="26"/>
  <c r="F85" i="27"/>
  <c r="V77" i="27"/>
  <c r="AA77" i="27" s="1"/>
  <c r="F369" i="27"/>
  <c r="AO512" i="10"/>
  <c r="X112" i="10"/>
  <c r="AX112" i="10"/>
  <c r="AP512" i="10"/>
  <c r="N112" i="10"/>
  <c r="I340" i="6"/>
  <c r="G134" i="6"/>
  <c r="BE260" i="26"/>
  <c r="G138" i="10"/>
  <c r="Q512" i="10"/>
  <c r="AG112" i="10"/>
  <c r="AQ112" i="10"/>
  <c r="AA512" i="10"/>
  <c r="S112" i="10"/>
  <c r="K112" i="10"/>
  <c r="H260" i="27"/>
  <c r="G260" i="9"/>
  <c r="G234" i="6"/>
  <c r="BE234" i="26"/>
  <c r="G234" i="9"/>
  <c r="F384" i="27"/>
  <c r="G166" i="10"/>
  <c r="V166" i="27"/>
  <c r="AA166" i="27" s="1"/>
  <c r="BD166" i="26"/>
  <c r="AC386" i="6"/>
  <c r="AG386" i="9"/>
  <c r="G63" i="6"/>
  <c r="BE63" i="26"/>
  <c r="BF63" i="26" s="1"/>
  <c r="G63" i="9"/>
  <c r="V204" i="27"/>
  <c r="AA204" i="27" s="1"/>
  <c r="BD204" i="26"/>
  <c r="G204" i="10"/>
  <c r="AC115" i="6"/>
  <c r="AJ34" i="10"/>
  <c r="Z434" i="10"/>
  <c r="AI434" i="10"/>
  <c r="AH34" i="10"/>
  <c r="AA434" i="10"/>
  <c r="J34" i="10"/>
  <c r="AP434" i="10"/>
  <c r="AM34" i="10"/>
  <c r="X434" i="10"/>
  <c r="AM434" i="10"/>
  <c r="AS434" i="10"/>
  <c r="AY434" i="10"/>
  <c r="V34" i="10"/>
  <c r="AL34" i="10"/>
  <c r="Q34" i="10"/>
  <c r="S434" i="10"/>
  <c r="P434" i="10"/>
  <c r="N34" i="10"/>
  <c r="AR34" i="10"/>
  <c r="AC34" i="10"/>
  <c r="N434" i="10"/>
  <c r="AD434" i="10"/>
  <c r="O34" i="10"/>
  <c r="AV34" i="10"/>
  <c r="J434" i="10"/>
  <c r="AD34" i="10"/>
  <c r="AF34" i="10"/>
  <c r="AB434" i="10"/>
  <c r="AX434" i="10"/>
  <c r="AL434" i="10"/>
  <c r="AC434" i="10"/>
  <c r="AN434" i="10"/>
  <c r="AF434" i="10"/>
  <c r="AQ34" i="10"/>
  <c r="AW34" i="10"/>
  <c r="AB34" i="10"/>
  <c r="T34" i="10"/>
  <c r="K434" i="10"/>
  <c r="AT434" i="10"/>
  <c r="O434" i="10"/>
  <c r="K34" i="10"/>
  <c r="M434" i="10"/>
  <c r="M34" i="10"/>
  <c r="AX34" i="10"/>
  <c r="L434" i="10"/>
  <c r="L34" i="10"/>
  <c r="AI34" i="10"/>
  <c r="Q434" i="10"/>
  <c r="U434" i="10"/>
  <c r="AG34" i="10"/>
  <c r="U34" i="10"/>
  <c r="AU434" i="10"/>
  <c r="AH434" i="10"/>
  <c r="AT34" i="10"/>
  <c r="AO434" i="10"/>
  <c r="AW434" i="10"/>
  <c r="Y434" i="10"/>
  <c r="W434" i="10"/>
  <c r="AJ434" i="10"/>
  <c r="S34" i="10"/>
  <c r="AQ434" i="10"/>
  <c r="AA34" i="10"/>
  <c r="W34" i="10"/>
  <c r="AN34" i="10"/>
  <c r="AR434" i="10"/>
  <c r="AE434" i="10"/>
  <c r="R434" i="10"/>
  <c r="AP34" i="10"/>
  <c r="X34" i="10"/>
  <c r="T434" i="10"/>
  <c r="Z34" i="10"/>
  <c r="Y34" i="10"/>
  <c r="AS34" i="10"/>
  <c r="AK34" i="10"/>
  <c r="AK434" i="10"/>
  <c r="P34" i="10"/>
  <c r="V434" i="10"/>
  <c r="AG434" i="10"/>
  <c r="AO34" i="10"/>
  <c r="R34" i="10"/>
  <c r="AV434" i="10"/>
  <c r="AE34" i="10"/>
  <c r="AY34" i="10"/>
  <c r="Z357" i="6"/>
  <c r="J757" i="10"/>
  <c r="AR357" i="10"/>
  <c r="AB357" i="10"/>
  <c r="AA357" i="10"/>
  <c r="AO357" i="10"/>
  <c r="X757" i="10"/>
  <c r="AF357" i="10"/>
  <c r="AY357" i="10"/>
  <c r="T757" i="10"/>
  <c r="L357" i="10"/>
  <c r="AF757" i="10"/>
  <c r="M357" i="10"/>
  <c r="V757" i="10"/>
  <c r="S357" i="10"/>
  <c r="AX757" i="10"/>
  <c r="AN357" i="10"/>
  <c r="AI357" i="10"/>
  <c r="AC357" i="10"/>
  <c r="AD757" i="10"/>
  <c r="AH757" i="10"/>
  <c r="J357" i="10"/>
  <c r="AN757" i="10"/>
  <c r="P757" i="10"/>
  <c r="AS357" i="10"/>
  <c r="Z357" i="10"/>
  <c r="N757" i="10"/>
  <c r="AC757" i="10"/>
  <c r="AG757" i="10"/>
  <c r="AQ357" i="10"/>
  <c r="AP357" i="10"/>
  <c r="S757" i="10"/>
  <c r="Q757" i="10"/>
  <c r="AG357" i="10"/>
  <c r="AW357" i="10"/>
  <c r="AL757" i="10"/>
  <c r="AK357" i="10"/>
  <c r="AD357" i="10"/>
  <c r="AI757" i="10"/>
  <c r="Y757" i="10"/>
  <c r="R757" i="10"/>
  <c r="AR757" i="10"/>
  <c r="V357" i="10"/>
  <c r="AM757" i="10"/>
  <c r="T357" i="10"/>
  <c r="AV757" i="10"/>
  <c r="AJ757" i="10"/>
  <c r="AP757" i="10"/>
  <c r="Z757" i="10"/>
  <c r="AM357" i="10"/>
  <c r="AK757" i="10"/>
  <c r="AQ757" i="10"/>
  <c r="AL357" i="10"/>
  <c r="AT757" i="10"/>
  <c r="M757" i="10"/>
  <c r="AV357" i="10"/>
  <c r="U757" i="10"/>
  <c r="P357" i="10"/>
  <c r="AA757" i="10"/>
  <c r="U357" i="10"/>
  <c r="K357" i="10"/>
  <c r="O757" i="10"/>
  <c r="L757" i="10"/>
  <c r="Q357" i="10"/>
  <c r="AU757" i="10"/>
  <c r="AJ357" i="10"/>
  <c r="W757" i="10"/>
  <c r="AX357" i="10"/>
  <c r="W357" i="10"/>
  <c r="AY757" i="10"/>
  <c r="AB757" i="10"/>
  <c r="N357" i="10"/>
  <c r="AW757" i="10"/>
  <c r="AH357" i="10"/>
  <c r="AE357" i="10"/>
  <c r="K757" i="10"/>
  <c r="X357" i="10"/>
  <c r="R357" i="10"/>
  <c r="AT357" i="10"/>
  <c r="AS757" i="10"/>
  <c r="Y357" i="10"/>
  <c r="O357" i="10"/>
  <c r="AE757" i="10"/>
  <c r="AO757" i="10"/>
  <c r="BB384" i="10"/>
  <c r="BC384" i="10" s="1"/>
  <c r="BA384" i="10"/>
  <c r="AG384" i="9"/>
  <c r="G235" i="10"/>
  <c r="AR91" i="10"/>
  <c r="J91" i="10"/>
  <c r="Z491" i="10"/>
  <c r="AM491" i="10"/>
  <c r="Y91" i="10"/>
  <c r="AB491" i="10"/>
  <c r="AP491" i="10"/>
  <c r="K491" i="10"/>
  <c r="AV491" i="10"/>
  <c r="AE491" i="10"/>
  <c r="Q91" i="10"/>
  <c r="AH491" i="10"/>
  <c r="M491" i="10"/>
  <c r="AR491" i="10"/>
  <c r="K91" i="10"/>
  <c r="P491" i="10"/>
  <c r="O491" i="10"/>
  <c r="AI491" i="10"/>
  <c r="AO491" i="10"/>
  <c r="AY91" i="10"/>
  <c r="F231" i="9"/>
  <c r="BB54" i="10"/>
  <c r="BA54" i="10"/>
  <c r="BE300" i="26"/>
  <c r="BF300" i="26" s="1"/>
  <c r="G300" i="6"/>
  <c r="G300" i="9"/>
  <c r="BE386" i="26"/>
  <c r="G386" i="9"/>
  <c r="G386" i="6"/>
  <c r="AG63" i="9"/>
  <c r="M204" i="10"/>
  <c r="AF204" i="10"/>
  <c r="AH204" i="10"/>
  <c r="AC604" i="10"/>
  <c r="AR604" i="10"/>
  <c r="AW604" i="10"/>
  <c r="Q204" i="10"/>
  <c r="K604" i="10"/>
  <c r="AN604" i="10"/>
  <c r="U204" i="10"/>
  <c r="T204" i="10"/>
  <c r="R604" i="10"/>
  <c r="AX604" i="10"/>
  <c r="AS204" i="10"/>
  <c r="L204" i="10"/>
  <c r="AD604" i="10"/>
  <c r="AY204" i="10"/>
  <c r="AN204" i="10"/>
  <c r="AB604" i="10"/>
  <c r="AR204" i="10"/>
  <c r="V204" i="10"/>
  <c r="AG604" i="10"/>
  <c r="AY604" i="10"/>
  <c r="AL604" i="10"/>
  <c r="M604" i="10"/>
  <c r="Z204" i="10"/>
  <c r="AU604" i="10"/>
  <c r="L604" i="10"/>
  <c r="AP604" i="10"/>
  <c r="AC204" i="10"/>
  <c r="O204" i="10"/>
  <c r="AX204" i="10"/>
  <c r="P604" i="10"/>
  <c r="AO604" i="10"/>
  <c r="AP204" i="10"/>
  <c r="AS604" i="10"/>
  <c r="AW204" i="10"/>
  <c r="Q604" i="10"/>
  <c r="R204" i="10"/>
  <c r="V604" i="10"/>
  <c r="AI604" i="10"/>
  <c r="AJ204" i="10"/>
  <c r="AG204" i="10"/>
  <c r="Y204" i="10"/>
  <c r="U604" i="10"/>
  <c r="Z604" i="10"/>
  <c r="AE604" i="10"/>
  <c r="AV204" i="10"/>
  <c r="J604" i="10"/>
  <c r="K204" i="10"/>
  <c r="AK604" i="10"/>
  <c r="AE204" i="10"/>
  <c r="AJ604" i="10"/>
  <c r="N604" i="10"/>
  <c r="N204" i="10"/>
  <c r="X604" i="10"/>
  <c r="AT204" i="10"/>
  <c r="W604" i="10"/>
  <c r="S204" i="10"/>
  <c r="AA204" i="10"/>
  <c r="AQ604" i="10"/>
  <c r="P204" i="10"/>
  <c r="AV604" i="10"/>
  <c r="O604" i="10"/>
  <c r="AQ204" i="10"/>
  <c r="AH604" i="10"/>
  <c r="AM204" i="10"/>
  <c r="W204" i="10"/>
  <c r="X204" i="10"/>
  <c r="AI204" i="10"/>
  <c r="AM604" i="10"/>
  <c r="AF604" i="10"/>
  <c r="AD204" i="10"/>
  <c r="AK204" i="10"/>
  <c r="S604" i="10"/>
  <c r="AA604" i="10"/>
  <c r="J204" i="10"/>
  <c r="AL204" i="10"/>
  <c r="Y604" i="10"/>
  <c r="T604" i="10"/>
  <c r="AT604" i="10"/>
  <c r="AB204" i="10"/>
  <c r="AO204" i="10"/>
  <c r="AN234" i="10"/>
  <c r="T234" i="10"/>
  <c r="AB634" i="10"/>
  <c r="AE634" i="10"/>
  <c r="AK234" i="10"/>
  <c r="Z234" i="10"/>
  <c r="AL634" i="10"/>
  <c r="AS634" i="10"/>
  <c r="AX234" i="10"/>
  <c r="J234" i="10"/>
  <c r="AF234" i="10"/>
  <c r="Q234" i="10"/>
  <c r="AR634" i="10"/>
  <c r="V234" i="10"/>
  <c r="AW234" i="10"/>
  <c r="R634" i="10"/>
  <c r="AT634" i="10"/>
  <c r="AB234" i="10"/>
  <c r="AE234" i="10"/>
  <c r="AJ634" i="10"/>
  <c r="AA634" i="10"/>
  <c r="AX634" i="10"/>
  <c r="AJ234" i="10"/>
  <c r="N634" i="10"/>
  <c r="AY634" i="10"/>
  <c r="O234" i="10"/>
  <c r="AD234" i="10"/>
  <c r="R234" i="10"/>
  <c r="AH234" i="10"/>
  <c r="AC234" i="10"/>
  <c r="M234" i="10"/>
  <c r="M634" i="10"/>
  <c r="AD634" i="10"/>
  <c r="AG634" i="10"/>
  <c r="AN634" i="10"/>
  <c r="AI234" i="10"/>
  <c r="N234" i="10"/>
  <c r="AA234" i="10"/>
  <c r="AV234" i="10"/>
  <c r="AK634" i="10"/>
  <c r="X234" i="10"/>
  <c r="W634" i="10"/>
  <c r="AV634" i="10"/>
  <c r="L234" i="10"/>
  <c r="L634" i="10"/>
  <c r="AM234" i="10"/>
  <c r="AT234" i="10"/>
  <c r="U634" i="10"/>
  <c r="AF634" i="10"/>
  <c r="P234" i="10"/>
  <c r="O634" i="10"/>
  <c r="AY234" i="10"/>
  <c r="U234" i="10"/>
  <c r="S234" i="10"/>
  <c r="T634" i="10"/>
  <c r="Z634" i="10"/>
  <c r="AL234" i="10"/>
  <c r="X634" i="10"/>
  <c r="AO234" i="10"/>
  <c r="K634" i="10"/>
  <c r="AQ234" i="10"/>
  <c r="AQ634" i="10"/>
  <c r="AM634" i="10"/>
  <c r="Y634" i="10"/>
  <c r="W234" i="10"/>
  <c r="AP634" i="10"/>
  <c r="AO634" i="10"/>
  <c r="AI634" i="10"/>
  <c r="AP234" i="10"/>
  <c r="K234" i="10"/>
  <c r="AC634" i="10"/>
  <c r="V634" i="10"/>
  <c r="AU634" i="10"/>
  <c r="J634" i="10"/>
  <c r="AH634" i="10"/>
  <c r="AR234" i="10"/>
  <c r="AS234" i="10"/>
  <c r="Q634" i="10"/>
  <c r="Y234" i="10"/>
  <c r="P634" i="10"/>
  <c r="AG234" i="10"/>
  <c r="AW634" i="10"/>
  <c r="S634" i="10"/>
  <c r="G357" i="6"/>
  <c r="G357" i="9"/>
  <c r="BE357" i="26"/>
  <c r="G319" i="9"/>
  <c r="BE319" i="26"/>
  <c r="BF319" i="26" s="1"/>
  <c r="G319" i="6"/>
  <c r="F361" i="27"/>
  <c r="F288" i="27"/>
  <c r="Z288" i="27"/>
  <c r="G357" i="10"/>
  <c r="V357" i="27"/>
  <c r="AA357" i="27" s="1"/>
  <c r="BD357" i="26"/>
  <c r="AG115" i="9"/>
  <c r="AY286" i="10"/>
  <c r="K286" i="10"/>
  <c r="X286" i="10"/>
  <c r="AI686" i="10"/>
  <c r="AK686" i="10"/>
  <c r="AA686" i="10"/>
  <c r="X686" i="10"/>
  <c r="AH286" i="10"/>
  <c r="Y686" i="10"/>
  <c r="AO686" i="10"/>
  <c r="L686" i="10"/>
  <c r="K686" i="10"/>
  <c r="AS686" i="10"/>
  <c r="AJ686" i="10"/>
  <c r="S686" i="10"/>
  <c r="AI286" i="10"/>
  <c r="AG286" i="10"/>
  <c r="AM686" i="10"/>
  <c r="AY686" i="10"/>
  <c r="AV686" i="10"/>
  <c r="AU686" i="10"/>
  <c r="AK286" i="10"/>
  <c r="M286" i="10"/>
  <c r="AD286" i="10"/>
  <c r="M686" i="10"/>
  <c r="AC686" i="10"/>
  <c r="U286" i="10"/>
  <c r="J686" i="10"/>
  <c r="AQ286" i="10"/>
  <c r="S286" i="10"/>
  <c r="AF286" i="10"/>
  <c r="AC286" i="10"/>
  <c r="R286" i="10"/>
  <c r="R686" i="10"/>
  <c r="AS286" i="10"/>
  <c r="W286" i="10"/>
  <c r="AE686" i="10"/>
  <c r="L286" i="10"/>
  <c r="AT686" i="10"/>
  <c r="T686" i="10"/>
  <c r="AR686" i="10"/>
  <c r="AW686" i="10"/>
  <c r="AA286" i="10"/>
  <c r="AO286" i="10"/>
  <c r="V286" i="10"/>
  <c r="AB286" i="10"/>
  <c r="AT286" i="10"/>
  <c r="N686" i="10"/>
  <c r="AE286" i="10"/>
  <c r="AP686" i="10"/>
  <c r="AL686" i="10"/>
  <c r="AX286" i="10"/>
  <c r="W686" i="10"/>
  <c r="AG686" i="10"/>
  <c r="AV286" i="10"/>
  <c r="O686" i="10"/>
  <c r="Z686" i="10"/>
  <c r="AD686" i="10"/>
  <c r="P686" i="10"/>
  <c r="N286" i="10"/>
  <c r="AX686" i="10"/>
  <c r="T286" i="10"/>
  <c r="AF686" i="10"/>
  <c r="AN286" i="10"/>
  <c r="AJ286" i="10"/>
  <c r="Z286" i="10"/>
  <c r="AM286" i="10"/>
  <c r="P286" i="10"/>
  <c r="AQ686" i="10"/>
  <c r="AP286" i="10"/>
  <c r="Q686" i="10"/>
  <c r="AB686" i="10"/>
  <c r="V686" i="10"/>
  <c r="AH686" i="10"/>
  <c r="Q286" i="10"/>
  <c r="AL286" i="10"/>
  <c r="AR286" i="10"/>
  <c r="AN686" i="10"/>
  <c r="J286" i="10"/>
  <c r="U686" i="10"/>
  <c r="AW286" i="10"/>
  <c r="O286" i="10"/>
  <c r="Y286" i="10"/>
  <c r="Z384" i="6"/>
  <c r="AN491" i="10"/>
  <c r="AL491" i="10"/>
  <c r="AG491" i="10"/>
  <c r="AK491" i="10"/>
  <c r="R91" i="10"/>
  <c r="O91" i="10"/>
  <c r="U491" i="10"/>
  <c r="AL91" i="10"/>
  <c r="P91" i="10"/>
  <c r="AJ91" i="10"/>
  <c r="AD91" i="10"/>
  <c r="Y491" i="10"/>
  <c r="Z91" i="10"/>
  <c r="AX91" i="10"/>
  <c r="R491" i="10"/>
  <c r="AN91" i="10"/>
  <c r="AI91" i="10"/>
  <c r="N491" i="10"/>
  <c r="Q491" i="10"/>
  <c r="AD491" i="10"/>
  <c r="W491" i="10"/>
  <c r="P231" i="26"/>
  <c r="F44" i="27"/>
  <c r="J166" i="10"/>
  <c r="AD166" i="10"/>
  <c r="V566" i="10"/>
  <c r="AQ166" i="10"/>
  <c r="N566" i="10"/>
  <c r="AI566" i="10"/>
  <c r="AF166" i="10"/>
  <c r="S166" i="10"/>
  <c r="AV166" i="10"/>
  <c r="AW566" i="10"/>
  <c r="Z166" i="10"/>
  <c r="R166" i="10"/>
  <c r="X566" i="10"/>
  <c r="AN166" i="10"/>
  <c r="Q566" i="10"/>
  <c r="X166" i="10"/>
  <c r="AD566" i="10"/>
  <c r="AV566" i="10"/>
  <c r="AK166" i="10"/>
  <c r="Y566" i="10"/>
  <c r="O166" i="10"/>
  <c r="N166" i="10"/>
  <c r="AO166" i="10"/>
  <c r="AW166" i="10"/>
  <c r="AU566" i="10"/>
  <c r="AT566" i="10"/>
  <c r="Z566" i="10"/>
  <c r="AA166" i="10"/>
  <c r="Q166" i="10"/>
  <c r="P166" i="10"/>
  <c r="L166" i="10"/>
  <c r="AH566" i="10"/>
  <c r="AE566" i="10"/>
  <c r="AC566" i="10"/>
  <c r="T166" i="10"/>
  <c r="W566" i="10"/>
  <c r="AQ566" i="10"/>
  <c r="AA566" i="10"/>
  <c r="AC166" i="10"/>
  <c r="AH166" i="10"/>
  <c r="T566" i="10"/>
  <c r="AS166" i="10"/>
  <c r="AM166" i="10"/>
  <c r="J566" i="10"/>
  <c r="L566" i="10"/>
  <c r="AX166" i="10"/>
  <c r="AG166" i="10"/>
  <c r="U566" i="10"/>
  <c r="AM566" i="10"/>
  <c r="AY166" i="10"/>
  <c r="AN566" i="10"/>
  <c r="AY566" i="10"/>
  <c r="AO566" i="10"/>
  <c r="Y166" i="10"/>
  <c r="AB566" i="10"/>
  <c r="AJ166" i="10"/>
  <c r="AP166" i="10"/>
  <c r="V166" i="10"/>
  <c r="W166" i="10"/>
  <c r="AK566" i="10"/>
  <c r="AL566" i="10"/>
  <c r="AT166" i="10"/>
  <c r="K166" i="10"/>
  <c r="M166" i="10"/>
  <c r="K566" i="10"/>
  <c r="R566" i="10"/>
  <c r="S566" i="10"/>
  <c r="AR166" i="10"/>
  <c r="AX566" i="10"/>
  <c r="P566" i="10"/>
  <c r="AJ566" i="10"/>
  <c r="AG566" i="10"/>
  <c r="M566" i="10"/>
  <c r="AR566" i="10"/>
  <c r="O566" i="10"/>
  <c r="AB166" i="10"/>
  <c r="AP566" i="10"/>
  <c r="AL166" i="10"/>
  <c r="AE166" i="10"/>
  <c r="AS566" i="10"/>
  <c r="AI166" i="10"/>
  <c r="AF566" i="10"/>
  <c r="U166" i="10"/>
  <c r="Z300" i="6"/>
  <c r="F351" i="27"/>
  <c r="H201" i="27"/>
  <c r="Z386" i="6"/>
  <c r="Z63" i="6"/>
  <c r="F54" i="27"/>
  <c r="I115" i="6"/>
  <c r="I115" i="9"/>
  <c r="V34" i="27"/>
  <c r="AA34" i="27" s="1"/>
  <c r="G34" i="10"/>
  <c r="BD34" i="26"/>
  <c r="BF34" i="26" s="1"/>
  <c r="Z319" i="6"/>
  <c r="Z115" i="6"/>
  <c r="J73" i="10"/>
  <c r="AF491" i="10"/>
  <c r="S91" i="10"/>
  <c r="W91" i="10"/>
  <c r="AE91" i="10"/>
  <c r="AH91" i="10"/>
  <c r="V491" i="10"/>
  <c r="AQ491" i="10"/>
  <c r="AS91" i="10"/>
  <c r="S491" i="10"/>
  <c r="AX491" i="10"/>
  <c r="U91" i="10"/>
  <c r="AY491" i="10"/>
  <c r="AT491" i="10"/>
  <c r="AP91" i="10"/>
  <c r="AC91" i="10"/>
  <c r="X491" i="10"/>
  <c r="AT91" i="10"/>
  <c r="AW91" i="10"/>
  <c r="J491" i="10"/>
  <c r="AK91" i="10"/>
  <c r="BE384" i="26"/>
  <c r="BF384" i="26" s="1"/>
  <c r="G384" i="6"/>
  <c r="G384" i="9"/>
  <c r="AC386" i="9"/>
  <c r="AG300" i="9"/>
  <c r="AC115" i="9"/>
  <c r="Y234" i="27"/>
  <c r="G234" i="27" s="1"/>
  <c r="F234" i="9"/>
  <c r="F234" i="6"/>
  <c r="Z234" i="6" s="1"/>
  <c r="AG357" i="9"/>
  <c r="BE115" i="26"/>
  <c r="G115" i="6"/>
  <c r="G115" i="9"/>
  <c r="V286" i="27"/>
  <c r="AA286" i="27" s="1"/>
  <c r="G286" i="10"/>
  <c r="BD286" i="26"/>
  <c r="AG68" i="9"/>
  <c r="AU534" i="26"/>
  <c r="Q534" i="26" s="1"/>
  <c r="F490" i="9" s="1"/>
  <c r="G111" i="9"/>
  <c r="G259" i="6"/>
  <c r="Z173" i="27"/>
  <c r="BE240" i="26"/>
  <c r="BE259" i="26"/>
  <c r="G138" i="6"/>
  <c r="BF203" i="26"/>
  <c r="G68" i="9"/>
  <c r="BE327" i="26"/>
  <c r="BF327" i="26" s="1"/>
  <c r="H287" i="27"/>
  <c r="BE287" i="26"/>
  <c r="G28" i="6"/>
  <c r="H138" i="27"/>
  <c r="AN521" i="26"/>
  <c r="BF521" i="26" s="1"/>
  <c r="G287" i="9"/>
  <c r="G356" i="9"/>
  <c r="G240" i="9"/>
  <c r="AN432" i="26"/>
  <c r="BE95" i="26"/>
  <c r="H53" i="27"/>
  <c r="G356" i="6"/>
  <c r="G327" i="9"/>
  <c r="H356" i="27"/>
  <c r="H327" i="27"/>
  <c r="R431" i="26"/>
  <c r="Q441" i="26"/>
  <c r="F436" i="6" s="1"/>
  <c r="AI453" i="26"/>
  <c r="AK453" i="26" s="1"/>
  <c r="AV453" i="26" s="1"/>
  <c r="H445" i="9"/>
  <c r="Q456" i="26"/>
  <c r="F447" i="6" s="1"/>
  <c r="H485" i="9"/>
  <c r="AI535" i="26"/>
  <c r="AK535" i="26" s="1"/>
  <c r="AV535" i="26" s="1"/>
  <c r="P535" i="26" s="1"/>
  <c r="G504" i="6" s="1"/>
  <c r="AJ456" i="26"/>
  <c r="AJ534" i="26"/>
  <c r="AI534" i="26" s="1"/>
  <c r="AK534" i="26" s="1"/>
  <c r="AV534" i="26" s="1"/>
  <c r="P534" i="26" s="1"/>
  <c r="G490" i="9" s="1"/>
  <c r="R426" i="26"/>
  <c r="AN503" i="26"/>
  <c r="AH456" i="26"/>
  <c r="Q471" i="26"/>
  <c r="F459" i="6" s="1"/>
  <c r="H442" i="9"/>
  <c r="H434" i="9"/>
  <c r="AN515" i="26"/>
  <c r="AP515" i="26" s="1"/>
  <c r="AV515" i="26" s="1"/>
  <c r="AH464" i="26"/>
  <c r="AU450" i="26"/>
  <c r="AO412" i="26"/>
  <c r="AN412" i="26" s="1"/>
  <c r="BF412" i="26" s="1"/>
  <c r="R475" i="26"/>
  <c r="I462" i="6" s="1"/>
  <c r="AI475" i="26"/>
  <c r="AK475" i="26" s="1"/>
  <c r="AV475" i="26" s="1"/>
  <c r="AM497" i="26"/>
  <c r="AO497" i="26" s="1"/>
  <c r="AI466" i="26"/>
  <c r="AK466" i="26" s="1"/>
  <c r="AV466" i="26" s="1"/>
  <c r="P466" i="26" s="1"/>
  <c r="G448" i="9" s="1"/>
  <c r="H454" i="9"/>
  <c r="Q526" i="26"/>
  <c r="F482" i="9" s="1"/>
  <c r="Q438" i="26"/>
  <c r="F433" i="6" s="1"/>
  <c r="H487" i="9"/>
  <c r="AM417" i="26"/>
  <c r="AO417" i="26" s="1"/>
  <c r="AU522" i="26"/>
  <c r="AM493" i="26"/>
  <c r="AO493" i="26" s="1"/>
  <c r="AH450" i="26"/>
  <c r="BE28" i="26"/>
  <c r="BF28" i="26" s="1"/>
  <c r="BE138" i="26"/>
  <c r="G73" i="6"/>
  <c r="AN505" i="26"/>
  <c r="AM438" i="26"/>
  <c r="AO438" i="26" s="1"/>
  <c r="Q419" i="26"/>
  <c r="F417" i="6" s="1"/>
  <c r="H489" i="6"/>
  <c r="AC489" i="6" s="1"/>
  <c r="AD489" i="6" s="1"/>
  <c r="AN420" i="26"/>
  <c r="AP420" i="26" s="1"/>
  <c r="AV420" i="26" s="1"/>
  <c r="AI455" i="26"/>
  <c r="AK455" i="26" s="1"/>
  <c r="AV455" i="26" s="1"/>
  <c r="AN435" i="26"/>
  <c r="BF435" i="26" s="1"/>
  <c r="R503" i="26"/>
  <c r="I481" i="6" s="1"/>
  <c r="AU422" i="26"/>
  <c r="AU538" i="26"/>
  <c r="AJ464" i="26"/>
  <c r="AH492" i="26"/>
  <c r="AI492" i="26" s="1"/>
  <c r="AK492" i="26" s="1"/>
  <c r="AV492" i="26" s="1"/>
  <c r="P492" i="26" s="1"/>
  <c r="G471" i="6" s="1"/>
  <c r="AU424" i="26"/>
  <c r="Q424" i="26" s="1"/>
  <c r="F420" i="9" s="1"/>
  <c r="AU492" i="26"/>
  <c r="Q492" i="26" s="1"/>
  <c r="F471" i="6" s="1"/>
  <c r="AH422" i="26"/>
  <c r="AU537" i="26"/>
  <c r="AH424" i="26"/>
  <c r="AI424" i="26" s="1"/>
  <c r="AK424" i="26" s="1"/>
  <c r="AV424" i="26" s="1"/>
  <c r="P424" i="26" s="1"/>
  <c r="G420" i="9" s="1"/>
  <c r="AM445" i="26"/>
  <c r="AO445" i="26" s="1"/>
  <c r="AP509" i="26"/>
  <c r="AV509" i="26" s="1"/>
  <c r="AN415" i="26"/>
  <c r="BF415" i="26" s="1"/>
  <c r="AU527" i="26"/>
  <c r="AJ481" i="26"/>
  <c r="AH481" i="26"/>
  <c r="AN462" i="26"/>
  <c r="BF462" i="26" s="1"/>
  <c r="AN451" i="26"/>
  <c r="AP451" i="26" s="1"/>
  <c r="AV451" i="26" s="1"/>
  <c r="P451" i="26" s="1"/>
  <c r="G437" i="9" s="1"/>
  <c r="AI457" i="26"/>
  <c r="AK457" i="26" s="1"/>
  <c r="AV457" i="26" s="1"/>
  <c r="AI491" i="26"/>
  <c r="AK491" i="26" s="1"/>
  <c r="BE68" i="26"/>
  <c r="H162" i="27"/>
  <c r="G112" i="6"/>
  <c r="H434" i="6"/>
  <c r="AC434" i="6" s="1"/>
  <c r="AD434" i="6" s="1"/>
  <c r="G68" i="6"/>
  <c r="AM537" i="26"/>
  <c r="AO537" i="26" s="1"/>
  <c r="Q451" i="26"/>
  <c r="F437" i="9" s="1"/>
  <c r="BF114" i="26"/>
  <c r="AM439" i="26"/>
  <c r="AO439" i="26" s="1"/>
  <c r="AG162" i="9"/>
  <c r="V330" i="27"/>
  <c r="AA330" i="27" s="1"/>
  <c r="BD330" i="26"/>
  <c r="G330" i="10"/>
  <c r="BE290" i="26"/>
  <c r="G362" i="6"/>
  <c r="G112" i="9"/>
  <c r="H95" i="27"/>
  <c r="BD138" i="26"/>
  <c r="L512" i="10"/>
  <c r="U512" i="10"/>
  <c r="AT112" i="10"/>
  <c r="AC512" i="10"/>
  <c r="AM112" i="10"/>
  <c r="T512" i="10"/>
  <c r="J512" i="10"/>
  <c r="AV112" i="10"/>
  <c r="M512" i="10"/>
  <c r="V112" i="10"/>
  <c r="AG512" i="10"/>
  <c r="AL512" i="10"/>
  <c r="AR512" i="10"/>
  <c r="AP112" i="10"/>
  <c r="V512" i="10"/>
  <c r="AU512" i="10"/>
  <c r="AK512" i="10"/>
  <c r="Z112" i="10"/>
  <c r="P112" i="10"/>
  <c r="L112" i="10"/>
  <c r="O512" i="10"/>
  <c r="AN514" i="26"/>
  <c r="BF514" i="26" s="1"/>
  <c r="G290" i="6"/>
  <c r="G95" i="6"/>
  <c r="AS512" i="10"/>
  <c r="AE512" i="10"/>
  <c r="R512" i="10"/>
  <c r="AY112" i="10"/>
  <c r="S512" i="10"/>
  <c r="X512" i="10"/>
  <c r="AJ112" i="10"/>
  <c r="AM512" i="10"/>
  <c r="AA112" i="10"/>
  <c r="AT512" i="10"/>
  <c r="W112" i="10"/>
  <c r="AJ512" i="10"/>
  <c r="AN112" i="10"/>
  <c r="AI512" i="10"/>
  <c r="AY512" i="10"/>
  <c r="AI112" i="10"/>
  <c r="AR112" i="10"/>
  <c r="AO112" i="10"/>
  <c r="Y112" i="10"/>
  <c r="J112" i="10"/>
  <c r="BE362" i="26"/>
  <c r="BF362" i="26" s="1"/>
  <c r="AI480" i="26"/>
  <c r="AK480" i="26" s="1"/>
  <c r="G107" i="9"/>
  <c r="AU510" i="26"/>
  <c r="O112" i="10"/>
  <c r="AE112" i="10"/>
  <c r="AC112" i="10"/>
  <c r="R112" i="10"/>
  <c r="AW112" i="10"/>
  <c r="AN512" i="10"/>
  <c r="K512" i="10"/>
  <c r="AD512" i="10"/>
  <c r="W512" i="10"/>
  <c r="AB112" i="10"/>
  <c r="AF512" i="10"/>
  <c r="M112" i="10"/>
  <c r="AH112" i="10"/>
  <c r="AS112" i="10"/>
  <c r="AX512" i="10"/>
  <c r="Q112" i="10"/>
  <c r="P512" i="10"/>
  <c r="AW512" i="10"/>
  <c r="AQ512" i="10"/>
  <c r="Z512" i="10"/>
  <c r="G354" i="6"/>
  <c r="BE354" i="26"/>
  <c r="G354" i="9"/>
  <c r="AU496" i="26"/>
  <c r="AU507" i="26"/>
  <c r="AM507" i="26"/>
  <c r="G111" i="6"/>
  <c r="H107" i="27"/>
  <c r="AH473" i="26"/>
  <c r="H280" i="27"/>
  <c r="AU485" i="26"/>
  <c r="AH485" i="26"/>
  <c r="AJ485" i="26"/>
  <c r="BE111" i="26"/>
  <c r="BE107" i="26"/>
  <c r="AJ473" i="26"/>
  <c r="H233" i="27"/>
  <c r="Z111" i="6"/>
  <c r="AU443" i="26"/>
  <c r="AM443" i="26"/>
  <c r="AG43" i="9"/>
  <c r="AM501" i="26"/>
  <c r="AO501" i="26" s="1"/>
  <c r="AU501" i="26"/>
  <c r="I369" i="6"/>
  <c r="I369" i="9"/>
  <c r="BB488" i="26"/>
  <c r="BA488" i="26" s="1"/>
  <c r="AG42" i="9"/>
  <c r="Q508" i="26"/>
  <c r="F485" i="6" s="1"/>
  <c r="G43" i="9"/>
  <c r="G43" i="6"/>
  <c r="BE43" i="26"/>
  <c r="AB29" i="10"/>
  <c r="U429" i="10"/>
  <c r="AC429" i="10"/>
  <c r="AR29" i="10"/>
  <c r="M429" i="10"/>
  <c r="AI429" i="10"/>
  <c r="AW429" i="10"/>
  <c r="O429" i="10"/>
  <c r="AC29" i="10"/>
  <c r="K429" i="10"/>
  <c r="Q429" i="10"/>
  <c r="P29" i="10"/>
  <c r="AS429" i="10"/>
  <c r="R429" i="10"/>
  <c r="AK29" i="10"/>
  <c r="AQ29" i="10"/>
  <c r="AX29" i="10"/>
  <c r="AH29" i="10"/>
  <c r="Y29" i="10"/>
  <c r="W429" i="10"/>
  <c r="AF429" i="10"/>
  <c r="AY429" i="10"/>
  <c r="AM429" i="10"/>
  <c r="S29" i="10"/>
  <c r="N29" i="10"/>
  <c r="S429" i="10"/>
  <c r="AE429" i="10"/>
  <c r="AN429" i="10"/>
  <c r="AD29" i="10"/>
  <c r="Z429" i="10"/>
  <c r="M29" i="10"/>
  <c r="AV29" i="10"/>
  <c r="AA429" i="10"/>
  <c r="AX429" i="10"/>
  <c r="Q29" i="10"/>
  <c r="AU429" i="10"/>
  <c r="K29" i="10"/>
  <c r="X29" i="10"/>
  <c r="V29" i="10"/>
  <c r="AT29" i="10"/>
  <c r="AV429" i="10"/>
  <c r="AO29" i="10"/>
  <c r="Z29" i="10"/>
  <c r="W29" i="10"/>
  <c r="AG429" i="10"/>
  <c r="AB429" i="10"/>
  <c r="AD429" i="10"/>
  <c r="AL429" i="10"/>
  <c r="AN29" i="10"/>
  <c r="AH429" i="10"/>
  <c r="Y429" i="10"/>
  <c r="O29" i="10"/>
  <c r="AP29" i="10"/>
  <c r="J29" i="10"/>
  <c r="AK429" i="10"/>
  <c r="U29" i="10"/>
  <c r="N429" i="10"/>
  <c r="AJ429" i="10"/>
  <c r="AS29" i="10"/>
  <c r="J429" i="10"/>
  <c r="L29" i="10"/>
  <c r="AQ429" i="10"/>
  <c r="AF29" i="10"/>
  <c r="AA29" i="10"/>
  <c r="AW29" i="10"/>
  <c r="AY29" i="10"/>
  <c r="R29" i="10"/>
  <c r="AI29" i="10"/>
  <c r="AM29" i="10"/>
  <c r="T29" i="10"/>
  <c r="AR429" i="10"/>
  <c r="P429" i="10"/>
  <c r="AL29" i="10"/>
  <c r="AO429" i="10"/>
  <c r="X429" i="10"/>
  <c r="AT429" i="10"/>
  <c r="AJ29" i="10"/>
  <c r="L429" i="10"/>
  <c r="AG29" i="10"/>
  <c r="V429" i="10"/>
  <c r="AP429" i="10"/>
  <c r="T429" i="10"/>
  <c r="AE29" i="10"/>
  <c r="H290" i="27"/>
  <c r="AN523" i="26"/>
  <c r="BF356" i="26"/>
  <c r="AI478" i="26"/>
  <c r="AK478" i="26" s="1"/>
  <c r="Q415" i="26"/>
  <c r="F413" i="6" s="1"/>
  <c r="I161" i="6"/>
  <c r="BF162" i="26"/>
  <c r="Q449" i="26"/>
  <c r="V29" i="27"/>
  <c r="AA29" i="27" s="1"/>
  <c r="G29" i="10"/>
  <c r="BD29" i="26"/>
  <c r="AC142" i="9"/>
  <c r="Q464" i="26"/>
  <c r="F453" i="6" s="1"/>
  <c r="AC769" i="10"/>
  <c r="AT769" i="10"/>
  <c r="AN769" i="10"/>
  <c r="K769" i="10"/>
  <c r="AE769" i="10"/>
  <c r="AE369" i="10"/>
  <c r="AL769" i="10"/>
  <c r="S369" i="10"/>
  <c r="AP769" i="10"/>
  <c r="M369" i="10"/>
  <c r="AK369" i="10"/>
  <c r="AR769" i="10"/>
  <c r="AR369" i="10"/>
  <c r="AN369" i="10"/>
  <c r="AP369" i="10"/>
  <c r="AI769" i="10"/>
  <c r="X369" i="10"/>
  <c r="AX769" i="10"/>
  <c r="Z769" i="10"/>
  <c r="AS369" i="10"/>
  <c r="L769" i="10"/>
  <c r="N769" i="10"/>
  <c r="O369" i="10"/>
  <c r="AB369" i="10"/>
  <c r="J769" i="10"/>
  <c r="AQ769" i="10"/>
  <c r="AY769" i="10"/>
  <c r="L369" i="10"/>
  <c r="X769" i="10"/>
  <c r="P369" i="10"/>
  <c r="Z369" i="10"/>
  <c r="T369" i="10"/>
  <c r="P769" i="10"/>
  <c r="T769" i="10"/>
  <c r="M769" i="10"/>
  <c r="AM769" i="10"/>
  <c r="AD369" i="10"/>
  <c r="AW369" i="10"/>
  <c r="Q369" i="10"/>
  <c r="K369" i="10"/>
  <c r="AJ769" i="10"/>
  <c r="AK769" i="10"/>
  <c r="AC369" i="10"/>
  <c r="AA369" i="10"/>
  <c r="J369" i="10"/>
  <c r="Q769" i="10"/>
  <c r="U369" i="10"/>
  <c r="AQ369" i="10"/>
  <c r="AH769" i="10"/>
  <c r="AO769" i="10"/>
  <c r="W769" i="10"/>
  <c r="S769" i="10"/>
  <c r="V769" i="10"/>
  <c r="AX369" i="10"/>
  <c r="AO369" i="10"/>
  <c r="N369" i="10"/>
  <c r="AU769" i="10"/>
  <c r="R369" i="10"/>
  <c r="AB769" i="10"/>
  <c r="AV769" i="10"/>
  <c r="AG369" i="10"/>
  <c r="AV369" i="10"/>
  <c r="AG769" i="10"/>
  <c r="AM369" i="10"/>
  <c r="W369" i="10"/>
  <c r="U769" i="10"/>
  <c r="Y769" i="10"/>
  <c r="AI369" i="10"/>
  <c r="R769" i="10"/>
  <c r="AF769" i="10"/>
  <c r="AJ369" i="10"/>
  <c r="AF369" i="10"/>
  <c r="AL369" i="10"/>
  <c r="O769" i="10"/>
  <c r="AT369" i="10"/>
  <c r="AW769" i="10"/>
  <c r="AS769" i="10"/>
  <c r="AY369" i="10"/>
  <c r="AD769" i="10"/>
  <c r="AA769" i="10"/>
  <c r="Y369" i="10"/>
  <c r="V369" i="10"/>
  <c r="AH369" i="10"/>
  <c r="AV442" i="10"/>
  <c r="S42" i="10"/>
  <c r="AT442" i="10"/>
  <c r="AH42" i="10"/>
  <c r="AL442" i="10"/>
  <c r="X42" i="10"/>
  <c r="AX442" i="10"/>
  <c r="AI42" i="10"/>
  <c r="AF442" i="10"/>
  <c r="AO42" i="10"/>
  <c r="AE442" i="10"/>
  <c r="AY442" i="10"/>
  <c r="P42" i="10"/>
  <c r="L442" i="10"/>
  <c r="AR42" i="10"/>
  <c r="Z442" i="10"/>
  <c r="AO442" i="10"/>
  <c r="Q442" i="10"/>
  <c r="AH442" i="10"/>
  <c r="U42" i="10"/>
  <c r="W42" i="10"/>
  <c r="AD42" i="10"/>
  <c r="AY42" i="10"/>
  <c r="AS42" i="10"/>
  <c r="AU442" i="10"/>
  <c r="Z42" i="10"/>
  <c r="AJ42" i="10"/>
  <c r="AP42" i="10"/>
  <c r="Y42" i="10"/>
  <c r="AF42" i="10"/>
  <c r="M442" i="10"/>
  <c r="X442" i="10"/>
  <c r="AG442" i="10"/>
  <c r="V42" i="10"/>
  <c r="AB442" i="10"/>
  <c r="O42" i="10"/>
  <c r="AW442" i="10"/>
  <c r="Q42" i="10"/>
  <c r="AN42" i="10"/>
  <c r="AA42" i="10"/>
  <c r="R442" i="10"/>
  <c r="AQ442" i="10"/>
  <c r="AC42" i="10"/>
  <c r="J442" i="10"/>
  <c r="AG42" i="10"/>
  <c r="AK442" i="10"/>
  <c r="AK42" i="10"/>
  <c r="N442" i="10"/>
  <c r="U442" i="10"/>
  <c r="AV42" i="10"/>
  <c r="O442" i="10"/>
  <c r="W442" i="10"/>
  <c r="AQ42" i="10"/>
  <c r="S442" i="10"/>
  <c r="V442" i="10"/>
  <c r="AA442" i="10"/>
  <c r="K42" i="10"/>
  <c r="AX42" i="10"/>
  <c r="AL42" i="10"/>
  <c r="AC442" i="10"/>
  <c r="L42" i="10"/>
  <c r="T442" i="10"/>
  <c r="AB42" i="10"/>
  <c r="AM442" i="10"/>
  <c r="T42" i="10"/>
  <c r="AN442" i="10"/>
  <c r="AS442" i="10"/>
  <c r="AP442" i="10"/>
  <c r="AJ442" i="10"/>
  <c r="P442" i="10"/>
  <c r="R42" i="10"/>
  <c r="AI442" i="10"/>
  <c r="AD442" i="10"/>
  <c r="J42" i="10"/>
  <c r="Y442" i="10"/>
  <c r="AM42" i="10"/>
  <c r="K442" i="10"/>
  <c r="AW42" i="10"/>
  <c r="AE42" i="10"/>
  <c r="N42" i="10"/>
  <c r="AT42" i="10"/>
  <c r="AR442" i="10"/>
  <c r="M42" i="10"/>
  <c r="AC369" i="6"/>
  <c r="Z42" i="6"/>
  <c r="AU459" i="26"/>
  <c r="AJ459" i="26"/>
  <c r="AH459" i="26"/>
  <c r="F58" i="27"/>
  <c r="AC142" i="6"/>
  <c r="F184" i="27"/>
  <c r="F244" i="6"/>
  <c r="Z244" i="6" s="1"/>
  <c r="F244" i="9"/>
  <c r="Y244" i="27"/>
  <c r="G244" i="27" s="1"/>
  <c r="P244" i="26"/>
  <c r="X244" i="27" s="1"/>
  <c r="AB244" i="27" s="1"/>
  <c r="Q514" i="26"/>
  <c r="AT473" i="10"/>
  <c r="AX473" i="10"/>
  <c r="G61" i="9"/>
  <c r="BE61" i="26"/>
  <c r="BF61" i="26" s="1"/>
  <c r="G61" i="6"/>
  <c r="I142" i="9"/>
  <c r="I142" i="6"/>
  <c r="AU429" i="26"/>
  <c r="AM429" i="26"/>
  <c r="F61" i="27"/>
  <c r="AC369" i="9"/>
  <c r="H482" i="6"/>
  <c r="AC482" i="6" s="1"/>
  <c r="AD482" i="6" s="1"/>
  <c r="R505" i="26"/>
  <c r="I482" i="6" s="1"/>
  <c r="AN73" i="10"/>
  <c r="H183" i="27"/>
  <c r="AG473" i="10"/>
  <c r="AP502" i="26"/>
  <c r="AV502" i="26" s="1"/>
  <c r="BD110" i="26"/>
  <c r="AU468" i="26"/>
  <c r="AJ468" i="26"/>
  <c r="AH468" i="26"/>
  <c r="G133" i="6"/>
  <c r="BE133" i="26"/>
  <c r="BF133" i="26" s="1"/>
  <c r="G133" i="9"/>
  <c r="AN508" i="26"/>
  <c r="H134" i="27"/>
  <c r="V42" i="27"/>
  <c r="AA42" i="27" s="1"/>
  <c r="BD42" i="26"/>
  <c r="G42" i="10"/>
  <c r="AU488" i="26"/>
  <c r="AH488" i="26"/>
  <c r="AJ488" i="26"/>
  <c r="BE42" i="26"/>
  <c r="G42" i="6"/>
  <c r="G42" i="9"/>
  <c r="G73" i="9"/>
  <c r="Q491" i="26"/>
  <c r="F470" i="6" s="1"/>
  <c r="AE111" i="9"/>
  <c r="G110" i="10"/>
  <c r="AA32" i="10"/>
  <c r="AE432" i="10"/>
  <c r="M432" i="10"/>
  <c r="AJ32" i="10"/>
  <c r="AG32" i="10"/>
  <c r="AF432" i="10"/>
  <c r="AD432" i="10"/>
  <c r="AH432" i="10"/>
  <c r="AY432" i="10"/>
  <c r="AO32" i="10"/>
  <c r="AV32" i="10"/>
  <c r="AO432" i="10"/>
  <c r="R432" i="10"/>
  <c r="AP32" i="10"/>
  <c r="AF32" i="10"/>
  <c r="AW32" i="10"/>
  <c r="AT432" i="10"/>
  <c r="J32" i="10"/>
  <c r="AQ432" i="10"/>
  <c r="AS432" i="10"/>
  <c r="AY32" i="10"/>
  <c r="W432" i="10"/>
  <c r="P32" i="10"/>
  <c r="AC432" i="10"/>
  <c r="N432" i="10"/>
  <c r="AI32" i="10"/>
  <c r="Y432" i="10"/>
  <c r="L32" i="10"/>
  <c r="Y32" i="10"/>
  <c r="S32" i="10"/>
  <c r="X32" i="10"/>
  <c r="AU432" i="10"/>
  <c r="Q432" i="10"/>
  <c r="O32" i="10"/>
  <c r="W32" i="10"/>
  <c r="AR32" i="10"/>
  <c r="AJ432" i="10"/>
  <c r="AB32" i="10"/>
  <c r="Z32" i="10"/>
  <c r="AW432" i="10"/>
  <c r="K432" i="10"/>
  <c r="AH32" i="10"/>
  <c r="N32" i="10"/>
  <c r="AB432" i="10"/>
  <c r="AV432" i="10"/>
  <c r="X432" i="10"/>
  <c r="AX432" i="10"/>
  <c r="AE32" i="10"/>
  <c r="T32" i="10"/>
  <c r="AK432" i="10"/>
  <c r="Z432" i="10"/>
  <c r="J432" i="10"/>
  <c r="AN32" i="10"/>
  <c r="AT32" i="10"/>
  <c r="AQ32" i="10"/>
  <c r="V32" i="10"/>
  <c r="AM32" i="10"/>
  <c r="S432" i="10"/>
  <c r="AM432" i="10"/>
  <c r="R32" i="10"/>
  <c r="AD32" i="10"/>
  <c r="AL32" i="10"/>
  <c r="O432" i="10"/>
  <c r="L432" i="10"/>
  <c r="AG432" i="10"/>
  <c r="V432" i="10"/>
  <c r="AX32" i="10"/>
  <c r="AK32" i="10"/>
  <c r="M32" i="10"/>
  <c r="AR432" i="10"/>
  <c r="Q32" i="10"/>
  <c r="U32" i="10"/>
  <c r="P432" i="10"/>
  <c r="T432" i="10"/>
  <c r="AA432" i="10"/>
  <c r="U432" i="10"/>
  <c r="K32" i="10"/>
  <c r="AI432" i="10"/>
  <c r="AL432" i="10"/>
  <c r="AC32" i="10"/>
  <c r="AN432" i="10"/>
  <c r="AP432" i="10"/>
  <c r="AS32" i="10"/>
  <c r="AG343" i="9"/>
  <c r="G213" i="9"/>
  <c r="BE213" i="26"/>
  <c r="G213" i="6"/>
  <c r="G139" i="6"/>
  <c r="G139" i="9"/>
  <c r="BE139" i="26"/>
  <c r="BF139" i="26" s="1"/>
  <c r="Z340" i="6"/>
  <c r="F245" i="6"/>
  <c r="Y245" i="27"/>
  <c r="G245" i="27" s="1"/>
  <c r="F245" i="9"/>
  <c r="Z245" i="9" s="1"/>
  <c r="AA245" i="9" s="1"/>
  <c r="P245" i="26"/>
  <c r="X245" i="27" s="1"/>
  <c r="AB245" i="27" s="1"/>
  <c r="AG347" i="9"/>
  <c r="G291" i="9"/>
  <c r="BE291" i="26"/>
  <c r="BF291" i="26" s="1"/>
  <c r="G291" i="6"/>
  <c r="AJ223" i="10"/>
  <c r="L623" i="10"/>
  <c r="AX623" i="10"/>
  <c r="AW623" i="10"/>
  <c r="M623" i="10"/>
  <c r="R223" i="10"/>
  <c r="AB223" i="10"/>
  <c r="Z623" i="10"/>
  <c r="AO623" i="10"/>
  <c r="W223" i="10"/>
  <c r="AN223" i="10"/>
  <c r="AS623" i="10"/>
  <c r="V223" i="10"/>
  <c r="K623" i="10"/>
  <c r="AD623" i="10"/>
  <c r="AT223" i="10"/>
  <c r="AS223" i="10"/>
  <c r="AA223" i="10"/>
  <c r="AN623" i="10"/>
  <c r="AF223" i="10"/>
  <c r="U223" i="10"/>
  <c r="J623" i="10"/>
  <c r="Q223" i="10"/>
  <c r="O623" i="10"/>
  <c r="Y223" i="10"/>
  <c r="AH623" i="10"/>
  <c r="S223" i="10"/>
  <c r="AL223" i="10"/>
  <c r="K223" i="10"/>
  <c r="AM623" i="10"/>
  <c r="T623" i="10"/>
  <c r="R623" i="10"/>
  <c r="AK223" i="10"/>
  <c r="AQ223" i="10"/>
  <c r="AP623" i="10"/>
  <c r="J223" i="10"/>
  <c r="Z223" i="10"/>
  <c r="AW223" i="10"/>
  <c r="AA623" i="10"/>
  <c r="AJ623" i="10"/>
  <c r="T223" i="10"/>
  <c r="AO223" i="10"/>
  <c r="AY223" i="10"/>
  <c r="X223" i="10"/>
  <c r="Y623" i="10"/>
  <c r="AU623" i="10"/>
  <c r="AG623" i="10"/>
  <c r="AK623" i="10"/>
  <c r="AI623" i="10"/>
  <c r="P623" i="10"/>
  <c r="AQ623" i="10"/>
  <c r="AC623" i="10"/>
  <c r="AT623" i="10"/>
  <c r="AC223" i="10"/>
  <c r="AE223" i="10"/>
  <c r="S623" i="10"/>
  <c r="X623" i="10"/>
  <c r="AV623" i="10"/>
  <c r="AB623" i="10"/>
  <c r="Q623" i="10"/>
  <c r="N223" i="10"/>
  <c r="O223" i="10"/>
  <c r="V623" i="10"/>
  <c r="AE623" i="10"/>
  <c r="AR223" i="10"/>
  <c r="W623" i="10"/>
  <c r="AG223" i="10"/>
  <c r="M223" i="10"/>
  <c r="AL623" i="10"/>
  <c r="AM223" i="10"/>
  <c r="AX223" i="10"/>
  <c r="L223" i="10"/>
  <c r="N623" i="10"/>
  <c r="AY623" i="10"/>
  <c r="P223" i="10"/>
  <c r="AR623" i="10"/>
  <c r="U623" i="10"/>
  <c r="AI223" i="10"/>
  <c r="AV223" i="10"/>
  <c r="AD223" i="10"/>
  <c r="AH223" i="10"/>
  <c r="AP223" i="10"/>
  <c r="AF623" i="10"/>
  <c r="AD71" i="10"/>
  <c r="Q71" i="10"/>
  <c r="AS471" i="10"/>
  <c r="AV471" i="10"/>
  <c r="AQ71" i="10"/>
  <c r="AL71" i="10"/>
  <c r="AH71" i="10"/>
  <c r="AE471" i="10"/>
  <c r="V71" i="10"/>
  <c r="AK471" i="10"/>
  <c r="Z471" i="10"/>
  <c r="O471" i="10"/>
  <c r="AX471" i="10"/>
  <c r="AW471" i="10"/>
  <c r="P471" i="10"/>
  <c r="AW71" i="10"/>
  <c r="L471" i="10"/>
  <c r="AJ471" i="10"/>
  <c r="AF471" i="10"/>
  <c r="AE71" i="10"/>
  <c r="AD471" i="10"/>
  <c r="AC71" i="10"/>
  <c r="U71" i="10"/>
  <c r="AS71" i="10"/>
  <c r="AX71" i="10"/>
  <c r="AN471" i="10"/>
  <c r="AT471" i="10"/>
  <c r="Y471" i="10"/>
  <c r="AT71" i="10"/>
  <c r="AA471" i="10"/>
  <c r="S71" i="10"/>
  <c r="AO471" i="10"/>
  <c r="AB71" i="10"/>
  <c r="AF71" i="10"/>
  <c r="T471" i="10"/>
  <c r="AI71" i="10"/>
  <c r="AP471" i="10"/>
  <c r="R471" i="10"/>
  <c r="N71" i="10"/>
  <c r="J471" i="10"/>
  <c r="AO71" i="10"/>
  <c r="Y71" i="10"/>
  <c r="W471" i="10"/>
  <c r="AY71" i="10"/>
  <c r="AI471" i="10"/>
  <c r="N471" i="10"/>
  <c r="AL471" i="10"/>
  <c r="AU471" i="10"/>
  <c r="AQ471" i="10"/>
  <c r="R71" i="10"/>
  <c r="AJ71" i="10"/>
  <c r="U471" i="10"/>
  <c r="AN71" i="10"/>
  <c r="AK71" i="10"/>
  <c r="P71" i="10"/>
  <c r="V471" i="10"/>
  <c r="AR471" i="10"/>
  <c r="X471" i="10"/>
  <c r="AC471" i="10"/>
  <c r="Q471" i="10"/>
  <c r="AB471" i="10"/>
  <c r="M71" i="10"/>
  <c r="X71" i="10"/>
  <c r="AR71" i="10"/>
  <c r="AG71" i="10"/>
  <c r="AY471" i="10"/>
  <c r="W71" i="10"/>
  <c r="T71" i="10"/>
  <c r="Z71" i="10"/>
  <c r="K71" i="10"/>
  <c r="AH471" i="10"/>
  <c r="AM71" i="10"/>
  <c r="O71" i="10"/>
  <c r="S471" i="10"/>
  <c r="AP71" i="10"/>
  <c r="K471" i="10"/>
  <c r="J71" i="10"/>
  <c r="AV71" i="10"/>
  <c r="AM471" i="10"/>
  <c r="AG471" i="10"/>
  <c r="L71" i="10"/>
  <c r="M471" i="10"/>
  <c r="AA71" i="10"/>
  <c r="AS754" i="10"/>
  <c r="AA354" i="10"/>
  <c r="R754" i="10"/>
  <c r="AI754" i="10"/>
  <c r="Z754" i="10"/>
  <c r="N754" i="10"/>
  <c r="AE754" i="10"/>
  <c r="T354" i="10"/>
  <c r="J354" i="10"/>
  <c r="AD354" i="10"/>
  <c r="L354" i="10"/>
  <c r="AO354" i="10"/>
  <c r="R354" i="10"/>
  <c r="N354" i="10"/>
  <c r="AR754" i="10"/>
  <c r="V354" i="10"/>
  <c r="AH754" i="10"/>
  <c r="AN354" i="10"/>
  <c r="M354" i="10"/>
  <c r="X754" i="10"/>
  <c r="W754" i="10"/>
  <c r="AL354" i="10"/>
  <c r="U354" i="10"/>
  <c r="AT354" i="10"/>
  <c r="AX354" i="10"/>
  <c r="AR354" i="10"/>
  <c r="Y754" i="10"/>
  <c r="AW754" i="10"/>
  <c r="M754" i="10"/>
  <c r="AS354" i="10"/>
  <c r="Q754" i="10"/>
  <c r="AJ754" i="10"/>
  <c r="O354" i="10"/>
  <c r="AQ754" i="10"/>
  <c r="AO754" i="10"/>
  <c r="AB354" i="10"/>
  <c r="AM754" i="10"/>
  <c r="AH354" i="10"/>
  <c r="S354" i="10"/>
  <c r="U754" i="10"/>
  <c r="P354" i="10"/>
  <c r="P754" i="10"/>
  <c r="T754" i="10"/>
  <c r="AW354" i="10"/>
  <c r="AL754" i="10"/>
  <c r="AV754" i="10"/>
  <c r="AP354" i="10"/>
  <c r="AG354" i="10"/>
  <c r="J754" i="10"/>
  <c r="Y354" i="10"/>
  <c r="AU754" i="10"/>
  <c r="S754" i="10"/>
  <c r="AN754" i="10"/>
  <c r="V754" i="10"/>
  <c r="AY354" i="10"/>
  <c r="AX754" i="10"/>
  <c r="AV354" i="10"/>
  <c r="AM354" i="10"/>
  <c r="K754" i="10"/>
  <c r="Q354" i="10"/>
  <c r="AJ354" i="10"/>
  <c r="AC354" i="10"/>
  <c r="K354" i="10"/>
  <c r="X354" i="10"/>
  <c r="AP754" i="10"/>
  <c r="AB754" i="10"/>
  <c r="AI354" i="10"/>
  <c r="AK354" i="10"/>
  <c r="AT754" i="10"/>
  <c r="AF354" i="10"/>
  <c r="AC754" i="10"/>
  <c r="AQ354" i="10"/>
  <c r="AY754" i="10"/>
  <c r="AE354" i="10"/>
  <c r="O754" i="10"/>
  <c r="L754" i="10"/>
  <c r="AD754" i="10"/>
  <c r="AG754" i="10"/>
  <c r="W354" i="10"/>
  <c r="AF754" i="10"/>
  <c r="Z354" i="10"/>
  <c r="AK754" i="10"/>
  <c r="AA754" i="10"/>
  <c r="Z170" i="6"/>
  <c r="F103" i="27"/>
  <c r="F213" i="27"/>
  <c r="AC23" i="6"/>
  <c r="AG197" i="9"/>
  <c r="Z329" i="6"/>
  <c r="AC343" i="9"/>
  <c r="F122" i="27"/>
  <c r="BA322" i="10"/>
  <c r="BB322" i="10"/>
  <c r="AC139" i="9"/>
  <c r="H229" i="27"/>
  <c r="BD135" i="26"/>
  <c r="V135" i="27"/>
  <c r="AA135" i="27" s="1"/>
  <c r="G135" i="10"/>
  <c r="F26" i="27"/>
  <c r="V224" i="27"/>
  <c r="AA224" i="27" s="1"/>
  <c r="G224" i="10"/>
  <c r="BD224" i="26"/>
  <c r="BE103" i="26"/>
  <c r="BF103" i="26" s="1"/>
  <c r="G103" i="6"/>
  <c r="G103" i="9"/>
  <c r="AC49" i="6"/>
  <c r="AG326" i="9"/>
  <c r="Z135" i="6"/>
  <c r="AC358" i="9"/>
  <c r="Z49" i="6"/>
  <c r="I127" i="6"/>
  <c r="I127" i="9"/>
  <c r="F105" i="27"/>
  <c r="Z105" i="27"/>
  <c r="AG213" i="9"/>
  <c r="P223" i="26"/>
  <c r="X223" i="27" s="1"/>
  <c r="AB223" i="27" s="1"/>
  <c r="F223" i="9"/>
  <c r="Z223" i="9" s="1"/>
  <c r="AA223" i="9" s="1"/>
  <c r="F223" i="6"/>
  <c r="Y223" i="27"/>
  <c r="G223" i="27" s="1"/>
  <c r="BB105" i="10"/>
  <c r="BC105" i="10" s="1"/>
  <c r="BA105" i="10"/>
  <c r="AC48" i="9"/>
  <c r="F224" i="6"/>
  <c r="F224" i="9"/>
  <c r="Z224" i="9" s="1"/>
  <c r="AA224" i="9" s="1"/>
  <c r="Y224" i="27"/>
  <c r="G224" i="27" s="1"/>
  <c r="P224" i="26"/>
  <c r="X224" i="27" s="1"/>
  <c r="AB224" i="27" s="1"/>
  <c r="Z326" i="6"/>
  <c r="G107" i="10"/>
  <c r="BD107" i="26"/>
  <c r="V107" i="27"/>
  <c r="AA107" i="27" s="1"/>
  <c r="AG334" i="9"/>
  <c r="Z359" i="27"/>
  <c r="F359" i="27"/>
  <c r="AG49" i="9"/>
  <c r="BE73" i="26"/>
  <c r="BF73" i="26" s="1"/>
  <c r="V93" i="27"/>
  <c r="AA93" i="27" s="1"/>
  <c r="BB88" i="10"/>
  <c r="BC88" i="10" s="1"/>
  <c r="BA88" i="10"/>
  <c r="AU460" i="26"/>
  <c r="AH460" i="26"/>
  <c r="AJ460" i="26"/>
  <c r="G343" i="9"/>
  <c r="BE343" i="26"/>
  <c r="G343" i="6"/>
  <c r="Z213" i="6"/>
  <c r="Z139" i="6"/>
  <c r="G340" i="9"/>
  <c r="BE340" i="26"/>
  <c r="BF340" i="26" s="1"/>
  <c r="G340" i="6"/>
  <c r="G89" i="9"/>
  <c r="BE89" i="26"/>
  <c r="BF89" i="26" s="1"/>
  <c r="G89" i="6"/>
  <c r="BE379" i="26"/>
  <c r="G379" i="9"/>
  <c r="G379" i="6"/>
  <c r="BE347" i="26"/>
  <c r="BF347" i="26" s="1"/>
  <c r="G347" i="9"/>
  <c r="G347" i="6"/>
  <c r="G127" i="6"/>
  <c r="G127" i="9"/>
  <c r="BE127" i="26"/>
  <c r="G354" i="10"/>
  <c r="BD354" i="26"/>
  <c r="V354" i="27"/>
  <c r="AA354" i="27" s="1"/>
  <c r="BB445" i="26"/>
  <c r="BA445" i="26" s="1"/>
  <c r="AG358" i="9"/>
  <c r="BE122" i="26"/>
  <c r="G122" i="9"/>
  <c r="G122" i="6"/>
  <c r="BA359" i="10"/>
  <c r="BB359" i="10"/>
  <c r="G197" i="6"/>
  <c r="BE197" i="26"/>
  <c r="G197" i="9"/>
  <c r="F334" i="27"/>
  <c r="AG329" i="9"/>
  <c r="I343" i="9"/>
  <c r="I343" i="6"/>
  <c r="AJ465" i="26"/>
  <c r="AU465" i="26"/>
  <c r="AH465" i="26"/>
  <c r="I139" i="6"/>
  <c r="I139" i="9"/>
  <c r="G59" i="9"/>
  <c r="G59" i="6"/>
  <c r="BE59" i="26"/>
  <c r="AG23" i="9"/>
  <c r="I48" i="6"/>
  <c r="I48" i="9"/>
  <c r="I326" i="6"/>
  <c r="I326" i="9"/>
  <c r="Z103" i="6"/>
  <c r="G48" i="9"/>
  <c r="G48" i="6"/>
  <c r="BE48" i="26"/>
  <c r="BF48" i="26" s="1"/>
  <c r="AG22" i="9"/>
  <c r="Z507" i="10"/>
  <c r="AD507" i="10"/>
  <c r="AK107" i="10"/>
  <c r="AY107" i="10"/>
  <c r="AJ107" i="10"/>
  <c r="AW107" i="10"/>
  <c r="AI107" i="10"/>
  <c r="W507" i="10"/>
  <c r="AK507" i="10"/>
  <c r="U507" i="10"/>
  <c r="AY507" i="10"/>
  <c r="T107" i="10"/>
  <c r="AU507" i="10"/>
  <c r="AC107" i="10"/>
  <c r="AI507" i="10"/>
  <c r="AN107" i="10"/>
  <c r="AL507" i="10"/>
  <c r="AV107" i="10"/>
  <c r="AG507" i="10"/>
  <c r="AL107" i="10"/>
  <c r="AD107" i="10"/>
  <c r="S507" i="10"/>
  <c r="AX107" i="10"/>
  <c r="Y507" i="10"/>
  <c r="N507" i="10"/>
  <c r="AS507" i="10"/>
  <c r="AN507" i="10"/>
  <c r="AE107" i="10"/>
  <c r="AP507" i="10"/>
  <c r="AW507" i="10"/>
  <c r="AM507" i="10"/>
  <c r="N107" i="10"/>
  <c r="AF507" i="10"/>
  <c r="AO107" i="10"/>
  <c r="L107" i="10"/>
  <c r="Z107" i="10"/>
  <c r="P507" i="10"/>
  <c r="AG107" i="10"/>
  <c r="AM107" i="10"/>
  <c r="J107" i="10"/>
  <c r="O107" i="10"/>
  <c r="AH107" i="10"/>
  <c r="J507" i="10"/>
  <c r="AV507" i="10"/>
  <c r="AR507" i="10"/>
  <c r="Q507" i="10"/>
  <c r="AB107" i="10"/>
  <c r="T507" i="10"/>
  <c r="AQ107" i="10"/>
  <c r="AA107" i="10"/>
  <c r="V107" i="10"/>
  <c r="AC507" i="10"/>
  <c r="S107" i="10"/>
  <c r="M107" i="10"/>
  <c r="AB507" i="10"/>
  <c r="AX507" i="10"/>
  <c r="M507" i="10"/>
  <c r="Y107" i="10"/>
  <c r="K507" i="10"/>
  <c r="Q107" i="10"/>
  <c r="AQ507" i="10"/>
  <c r="R107" i="10"/>
  <c r="P107" i="10"/>
  <c r="AA507" i="10"/>
  <c r="K107" i="10"/>
  <c r="X507" i="10"/>
  <c r="AO507" i="10"/>
  <c r="L507" i="10"/>
  <c r="AP107" i="10"/>
  <c r="AS107" i="10"/>
  <c r="V507" i="10"/>
  <c r="O507" i="10"/>
  <c r="AT107" i="10"/>
  <c r="AJ507" i="10"/>
  <c r="R507" i="10"/>
  <c r="W107" i="10"/>
  <c r="AH507" i="10"/>
  <c r="AR107" i="10"/>
  <c r="U107" i="10"/>
  <c r="AE507" i="10"/>
  <c r="AT507" i="10"/>
  <c r="X107" i="10"/>
  <c r="AF107" i="10"/>
  <c r="BB510" i="26"/>
  <c r="BA510" i="26" s="1"/>
  <c r="F162" i="27"/>
  <c r="BE135" i="26"/>
  <c r="G135" i="6"/>
  <c r="G135" i="9"/>
  <c r="AH474" i="26"/>
  <c r="AU474" i="26"/>
  <c r="AJ474" i="26"/>
  <c r="AC340" i="9"/>
  <c r="Z334" i="6"/>
  <c r="G358" i="10"/>
  <c r="BD358" i="26"/>
  <c r="V358" i="27"/>
  <c r="AA358" i="27" s="1"/>
  <c r="Q444" i="26"/>
  <c r="F431" i="9" s="1"/>
  <c r="Z431" i="9" s="1"/>
  <c r="AC127" i="6"/>
  <c r="AG340" i="9"/>
  <c r="AG89" i="9"/>
  <c r="AG127" i="9"/>
  <c r="AG291" i="9"/>
  <c r="G170" i="6"/>
  <c r="BE170" i="26"/>
  <c r="BF170" i="26" s="1"/>
  <c r="G170" i="9"/>
  <c r="I23" i="6"/>
  <c r="I23" i="9"/>
  <c r="Z358" i="6"/>
  <c r="AC23" i="9"/>
  <c r="BA75" i="10"/>
  <c r="BB75" i="10"/>
  <c r="AG59" i="9"/>
  <c r="I49" i="6"/>
  <c r="I49" i="9"/>
  <c r="Z23" i="6"/>
  <c r="I379" i="6"/>
  <c r="I379" i="9"/>
  <c r="AC326" i="9"/>
  <c r="AG103" i="9"/>
  <c r="AG48" i="9"/>
  <c r="Z22" i="6"/>
  <c r="AC358" i="6"/>
  <c r="AC340" i="6"/>
  <c r="AC127" i="9"/>
  <c r="F347" i="27"/>
  <c r="V32" i="27"/>
  <c r="AA32" i="27" s="1"/>
  <c r="G32" i="10"/>
  <c r="BD32" i="26"/>
  <c r="BF32" i="26" s="1"/>
  <c r="Z343" i="6"/>
  <c r="BA122" i="10"/>
  <c r="BB122" i="10"/>
  <c r="AG139" i="9"/>
  <c r="F329" i="27"/>
  <c r="AP645" i="10"/>
  <c r="AT645" i="10"/>
  <c r="X645" i="10"/>
  <c r="K245" i="10"/>
  <c r="AS645" i="10"/>
  <c r="T645" i="10"/>
  <c r="P645" i="10"/>
  <c r="AH645" i="10"/>
  <c r="AX245" i="10"/>
  <c r="AW645" i="10"/>
  <c r="AQ245" i="10"/>
  <c r="AY645" i="10"/>
  <c r="J245" i="10"/>
  <c r="S645" i="10"/>
  <c r="N245" i="10"/>
  <c r="AX645" i="10"/>
  <c r="AO245" i="10"/>
  <c r="AO645" i="10"/>
  <c r="Y245" i="10"/>
  <c r="AB245" i="10"/>
  <c r="O645" i="10"/>
  <c r="AW245" i="10"/>
  <c r="AN645" i="10"/>
  <c r="S245" i="10"/>
  <c r="AF645" i="10"/>
  <c r="AR245" i="10"/>
  <c r="AG645" i="10"/>
  <c r="AM645" i="10"/>
  <c r="O245" i="10"/>
  <c r="AJ245" i="10"/>
  <c r="AQ645" i="10"/>
  <c r="AA245" i="10"/>
  <c r="L645" i="10"/>
  <c r="AD245" i="10"/>
  <c r="W645" i="10"/>
  <c r="AE245" i="10"/>
  <c r="K645" i="10"/>
  <c r="AB645" i="10"/>
  <c r="AE645" i="10"/>
  <c r="AK245" i="10"/>
  <c r="AL645" i="10"/>
  <c r="AI245" i="10"/>
  <c r="R245" i="10"/>
  <c r="AG245" i="10"/>
  <c r="X245" i="10"/>
  <c r="AA645" i="10"/>
  <c r="AD645" i="10"/>
  <c r="N645" i="10"/>
  <c r="W245" i="10"/>
  <c r="AU645" i="10"/>
  <c r="U245" i="10"/>
  <c r="AT245" i="10"/>
  <c r="AL245" i="10"/>
  <c r="AK645" i="10"/>
  <c r="AV645" i="10"/>
  <c r="J645" i="10"/>
  <c r="Z645" i="10"/>
  <c r="V245" i="10"/>
  <c r="AJ645" i="10"/>
  <c r="AV245" i="10"/>
  <c r="T245" i="10"/>
  <c r="AI645" i="10"/>
  <c r="Y645" i="10"/>
  <c r="U645" i="10"/>
  <c r="AS245" i="10"/>
  <c r="AF245" i="10"/>
  <c r="AC645" i="10"/>
  <c r="Q645" i="10"/>
  <c r="L245" i="10"/>
  <c r="AN245" i="10"/>
  <c r="AH245" i="10"/>
  <c r="AM245" i="10"/>
  <c r="M645" i="10"/>
  <c r="Q245" i="10"/>
  <c r="AR645" i="10"/>
  <c r="Z245" i="10"/>
  <c r="AC245" i="10"/>
  <c r="V645" i="10"/>
  <c r="M245" i="10"/>
  <c r="AP245" i="10"/>
  <c r="P245" i="10"/>
  <c r="R645" i="10"/>
  <c r="AY245" i="10"/>
  <c r="Z347" i="6"/>
  <c r="Z127" i="6"/>
  <c r="Z291" i="6"/>
  <c r="V71" i="27"/>
  <c r="AA71" i="27" s="1"/>
  <c r="G71" i="10"/>
  <c r="BD71" i="26"/>
  <c r="BF71" i="26" s="1"/>
  <c r="AG170" i="9"/>
  <c r="G358" i="6"/>
  <c r="BE358" i="26"/>
  <c r="G358" i="9"/>
  <c r="AU516" i="26"/>
  <c r="AM516" i="26"/>
  <c r="Z197" i="6"/>
  <c r="G329" i="9"/>
  <c r="BE329" i="26"/>
  <c r="G329" i="6"/>
  <c r="AC343" i="6"/>
  <c r="AC139" i="6"/>
  <c r="Z59" i="6"/>
  <c r="G23" i="9"/>
  <c r="G23" i="6"/>
  <c r="BE23" i="26"/>
  <c r="BF23" i="26" s="1"/>
  <c r="AC48" i="6"/>
  <c r="AA535" i="10"/>
  <c r="AO535" i="10"/>
  <c r="S135" i="10"/>
  <c r="X135" i="10"/>
  <c r="P135" i="10"/>
  <c r="N535" i="10"/>
  <c r="S535" i="10"/>
  <c r="T135" i="10"/>
  <c r="AB135" i="10"/>
  <c r="AN135" i="10"/>
  <c r="AG535" i="10"/>
  <c r="AB535" i="10"/>
  <c r="AU535" i="10"/>
  <c r="AO135" i="10"/>
  <c r="AK135" i="10"/>
  <c r="AT135" i="10"/>
  <c r="AX135" i="10"/>
  <c r="AG135" i="10"/>
  <c r="AJ535" i="10"/>
  <c r="Q135" i="10"/>
  <c r="AQ135" i="10"/>
  <c r="AN535" i="10"/>
  <c r="Y535" i="10"/>
  <c r="AE135" i="10"/>
  <c r="T535" i="10"/>
  <c r="M135" i="10"/>
  <c r="AY135" i="10"/>
  <c r="AF535" i="10"/>
  <c r="AR535" i="10"/>
  <c r="K535" i="10"/>
  <c r="AM535" i="10"/>
  <c r="AD535" i="10"/>
  <c r="AT535" i="10"/>
  <c r="Z535" i="10"/>
  <c r="AP135" i="10"/>
  <c r="AF135" i="10"/>
  <c r="AI135" i="10"/>
  <c r="AC535" i="10"/>
  <c r="AW135" i="10"/>
  <c r="N135" i="10"/>
  <c r="AL535" i="10"/>
  <c r="AI535" i="10"/>
  <c r="AD135" i="10"/>
  <c r="O535" i="10"/>
  <c r="W135" i="10"/>
  <c r="AW535" i="10"/>
  <c r="U135" i="10"/>
  <c r="AS135" i="10"/>
  <c r="J535" i="10"/>
  <c r="V535" i="10"/>
  <c r="AV135" i="10"/>
  <c r="AC135" i="10"/>
  <c r="Y135" i="10"/>
  <c r="AS535" i="10"/>
  <c r="Q535" i="10"/>
  <c r="AM135" i="10"/>
  <c r="AP535" i="10"/>
  <c r="U535" i="10"/>
  <c r="M535" i="10"/>
  <c r="V135" i="10"/>
  <c r="L135" i="10"/>
  <c r="O135" i="10"/>
  <c r="AH135" i="10"/>
  <c r="AJ135" i="10"/>
  <c r="X535" i="10"/>
  <c r="R535" i="10"/>
  <c r="AE535" i="10"/>
  <c r="AV535" i="10"/>
  <c r="AL135" i="10"/>
  <c r="K135" i="10"/>
  <c r="P535" i="10"/>
  <c r="AR135" i="10"/>
  <c r="Z135" i="10"/>
  <c r="AA135" i="10"/>
  <c r="L535" i="10"/>
  <c r="J135" i="10"/>
  <c r="W535" i="10"/>
  <c r="AX535" i="10"/>
  <c r="AH535" i="10"/>
  <c r="R135" i="10"/>
  <c r="AQ535" i="10"/>
  <c r="AY535" i="10"/>
  <c r="AK535" i="10"/>
  <c r="AC326" i="6"/>
  <c r="AA224" i="10"/>
  <c r="W224" i="10"/>
  <c r="AO624" i="10"/>
  <c r="J224" i="10"/>
  <c r="P224" i="10"/>
  <c r="AQ224" i="10"/>
  <c r="V624" i="10"/>
  <c r="AF624" i="10"/>
  <c r="AK224" i="10"/>
  <c r="L224" i="10"/>
  <c r="N224" i="10"/>
  <c r="AE624" i="10"/>
  <c r="AW624" i="10"/>
  <c r="R224" i="10"/>
  <c r="X224" i="10"/>
  <c r="T224" i="10"/>
  <c r="K224" i="10"/>
  <c r="T624" i="10"/>
  <c r="AR624" i="10"/>
  <c r="L624" i="10"/>
  <c r="Q624" i="10"/>
  <c r="AH624" i="10"/>
  <c r="AJ224" i="10"/>
  <c r="P624" i="10"/>
  <c r="V224" i="10"/>
  <c r="AN624" i="10"/>
  <c r="AS624" i="10"/>
  <c r="AL624" i="10"/>
  <c r="Z224" i="10"/>
  <c r="AI224" i="10"/>
  <c r="S624" i="10"/>
  <c r="AG624" i="10"/>
  <c r="X624" i="10"/>
  <c r="AC224" i="10"/>
  <c r="Q224" i="10"/>
  <c r="N624" i="10"/>
  <c r="S224" i="10"/>
  <c r="AX224" i="10"/>
  <c r="AP624" i="10"/>
  <c r="J624" i="10"/>
  <c r="U624" i="10"/>
  <c r="AI624" i="10"/>
  <c r="Y224" i="10"/>
  <c r="AP224" i="10"/>
  <c r="AV624" i="10"/>
  <c r="Y624" i="10"/>
  <c r="O224" i="10"/>
  <c r="AM624" i="10"/>
  <c r="AK624" i="10"/>
  <c r="AX624" i="10"/>
  <c r="R624" i="10"/>
  <c r="AY224" i="10"/>
  <c r="K624" i="10"/>
  <c r="U224" i="10"/>
  <c r="AF224" i="10"/>
  <c r="AE224" i="10"/>
  <c r="AM224" i="10"/>
  <c r="Z624" i="10"/>
  <c r="AS224" i="10"/>
  <c r="AW224" i="10"/>
  <c r="AQ624" i="10"/>
  <c r="M224" i="10"/>
  <c r="AC624" i="10"/>
  <c r="AL224" i="10"/>
  <c r="AA624" i="10"/>
  <c r="AD224" i="10"/>
  <c r="AN224" i="10"/>
  <c r="AT224" i="10"/>
  <c r="AU624" i="10"/>
  <c r="AY624" i="10"/>
  <c r="AB224" i="10"/>
  <c r="W624" i="10"/>
  <c r="AJ624" i="10"/>
  <c r="AH224" i="10"/>
  <c r="AG224" i="10"/>
  <c r="AD624" i="10"/>
  <c r="AT624" i="10"/>
  <c r="AO224" i="10"/>
  <c r="AV224" i="10"/>
  <c r="AR224" i="10"/>
  <c r="AB624" i="10"/>
  <c r="M624" i="10"/>
  <c r="O624" i="10"/>
  <c r="AC49" i="9"/>
  <c r="Z48" i="6"/>
  <c r="F75" i="27"/>
  <c r="Z75" i="27"/>
  <c r="G326" i="6"/>
  <c r="G326" i="9"/>
  <c r="BE326" i="26"/>
  <c r="G22" i="6"/>
  <c r="BE22" i="26"/>
  <c r="BF22" i="26" s="1"/>
  <c r="G22" i="9"/>
  <c r="AG135" i="9"/>
  <c r="I358" i="9"/>
  <c r="I358" i="6"/>
  <c r="BE334" i="26"/>
  <c r="G334" i="9"/>
  <c r="G334" i="6"/>
  <c r="AK758" i="10"/>
  <c r="T358" i="10"/>
  <c r="AM358" i="10"/>
  <c r="AX758" i="10"/>
  <c r="AX358" i="10"/>
  <c r="AB758" i="10"/>
  <c r="AH358" i="10"/>
  <c r="AQ358" i="10"/>
  <c r="V358" i="10"/>
  <c r="AF358" i="10"/>
  <c r="AK358" i="10"/>
  <c r="AP758" i="10"/>
  <c r="S758" i="10"/>
  <c r="AR358" i="10"/>
  <c r="AL758" i="10"/>
  <c r="S358" i="10"/>
  <c r="K358" i="10"/>
  <c r="R758" i="10"/>
  <c r="U358" i="10"/>
  <c r="AC758" i="10"/>
  <c r="X758" i="10"/>
  <c r="AP358" i="10"/>
  <c r="J358" i="10"/>
  <c r="J758" i="10"/>
  <c r="AR758" i="10"/>
  <c r="K758" i="10"/>
  <c r="AT758" i="10"/>
  <c r="T758" i="10"/>
  <c r="AD358" i="10"/>
  <c r="W358" i="10"/>
  <c r="O358" i="10"/>
  <c r="Z358" i="10"/>
  <c r="AN358" i="10"/>
  <c r="AM758" i="10"/>
  <c r="Y358" i="10"/>
  <c r="AG358" i="10"/>
  <c r="AG758" i="10"/>
  <c r="Y758" i="10"/>
  <c r="L358" i="10"/>
  <c r="P758" i="10"/>
  <c r="M358" i="10"/>
  <c r="W758" i="10"/>
  <c r="AJ358" i="10"/>
  <c r="Z758" i="10"/>
  <c r="AE758" i="10"/>
  <c r="AH758" i="10"/>
  <c r="AA358" i="10"/>
  <c r="AW358" i="10"/>
  <c r="AC358" i="10"/>
  <c r="AW758" i="10"/>
  <c r="L758" i="10"/>
  <c r="AQ758" i="10"/>
  <c r="AS358" i="10"/>
  <c r="Q358" i="10"/>
  <c r="AT358" i="10"/>
  <c r="AN758" i="10"/>
  <c r="AV358" i="10"/>
  <c r="R358" i="10"/>
  <c r="AB358" i="10"/>
  <c r="O758" i="10"/>
  <c r="AI358" i="10"/>
  <c r="AF758" i="10"/>
  <c r="U758" i="10"/>
  <c r="M758" i="10"/>
  <c r="Q758" i="10"/>
  <c r="AU758" i="10"/>
  <c r="V758" i="10"/>
  <c r="P358" i="10"/>
  <c r="AJ758" i="10"/>
  <c r="N358" i="10"/>
  <c r="AL358" i="10"/>
  <c r="X358" i="10"/>
  <c r="AA758" i="10"/>
  <c r="AO358" i="10"/>
  <c r="AI758" i="10"/>
  <c r="AY358" i="10"/>
  <c r="AD758" i="10"/>
  <c r="N758" i="10"/>
  <c r="AE358" i="10"/>
  <c r="AO758" i="10"/>
  <c r="AS758" i="10"/>
  <c r="AV758" i="10"/>
  <c r="AY758" i="10"/>
  <c r="AO444" i="26"/>
  <c r="AN444" i="26" s="1"/>
  <c r="BF444" i="26" s="1"/>
  <c r="H413" i="6"/>
  <c r="AC413" i="6" s="1"/>
  <c r="AD413" i="6" s="1"/>
  <c r="R415" i="26"/>
  <c r="I413" i="6" s="1"/>
  <c r="BE276" i="26"/>
  <c r="BF276" i="26" s="1"/>
  <c r="G276" i="9"/>
  <c r="G276" i="6"/>
  <c r="H182" i="27"/>
  <c r="F259" i="27"/>
  <c r="G240" i="10"/>
  <c r="BD240" i="26"/>
  <c r="V240" i="27"/>
  <c r="AA240" i="27" s="1"/>
  <c r="G17" i="6"/>
  <c r="BE17" i="26"/>
  <c r="G17" i="9"/>
  <c r="BE18" i="26"/>
  <c r="BF18" i="26" s="1"/>
  <c r="G18" i="9"/>
  <c r="G18" i="6"/>
  <c r="S73" i="10"/>
  <c r="AO473" i="10"/>
  <c r="N73" i="10"/>
  <c r="AA473" i="10"/>
  <c r="Q73" i="10"/>
  <c r="AD73" i="10"/>
  <c r="BF526" i="26"/>
  <c r="AE101" i="9"/>
  <c r="F279" i="27"/>
  <c r="Z183" i="6"/>
  <c r="AM437" i="26"/>
  <c r="AO437" i="26" s="1"/>
  <c r="AN437" i="26" s="1"/>
  <c r="BF437" i="26" s="1"/>
  <c r="AU437" i="26"/>
  <c r="R486" i="26"/>
  <c r="I463" i="9" s="1"/>
  <c r="H463" i="9"/>
  <c r="G161" i="6"/>
  <c r="G161" i="9"/>
  <c r="BE161" i="26"/>
  <c r="G91" i="9"/>
  <c r="G91" i="6"/>
  <c r="BE91" i="26"/>
  <c r="AC293" i="9"/>
  <c r="F18" i="27"/>
  <c r="AA18" i="27"/>
  <c r="BB138" i="10"/>
  <c r="BA138" i="10"/>
  <c r="Z165" i="6"/>
  <c r="Z117" i="6"/>
  <c r="H385" i="27"/>
  <c r="Z385" i="27"/>
  <c r="AQ283" i="10"/>
  <c r="AN683" i="10"/>
  <c r="R683" i="10"/>
  <c r="J283" i="10"/>
  <c r="AJ683" i="10"/>
  <c r="P283" i="10"/>
  <c r="K283" i="10"/>
  <c r="AF683" i="10"/>
  <c r="AO683" i="10"/>
  <c r="U283" i="10"/>
  <c r="AS283" i="10"/>
  <c r="AV283" i="10"/>
  <c r="X683" i="10"/>
  <c r="Y683" i="10"/>
  <c r="AY283" i="10"/>
  <c r="AQ683" i="10"/>
  <c r="AG283" i="10"/>
  <c r="O283" i="10"/>
  <c r="AA283" i="10"/>
  <c r="W283" i="10"/>
  <c r="M283" i="10"/>
  <c r="AW283" i="10"/>
  <c r="Q683" i="10"/>
  <c r="AJ283" i="10"/>
  <c r="AT683" i="10"/>
  <c r="AK683" i="10"/>
  <c r="AC683" i="10"/>
  <c r="AX283" i="10"/>
  <c r="AH683" i="10"/>
  <c r="AD683" i="10"/>
  <c r="L283" i="10"/>
  <c r="J683" i="10"/>
  <c r="X283" i="10"/>
  <c r="V683" i="10"/>
  <c r="U683" i="10"/>
  <c r="AM683" i="10"/>
  <c r="AW683" i="10"/>
  <c r="AR683" i="10"/>
  <c r="T283" i="10"/>
  <c r="W683" i="10"/>
  <c r="AO283" i="10"/>
  <c r="AB283" i="10"/>
  <c r="AF283" i="10"/>
  <c r="Q283" i="10"/>
  <c r="AL283" i="10"/>
  <c r="AP683" i="10"/>
  <c r="Z283" i="10"/>
  <c r="AE683" i="10"/>
  <c r="AT283" i="10"/>
  <c r="M683" i="10"/>
  <c r="AU683" i="10"/>
  <c r="AC283" i="10"/>
  <c r="AH283" i="10"/>
  <c r="T683" i="10"/>
  <c r="P683" i="10"/>
  <c r="AR283" i="10"/>
  <c r="K683" i="10"/>
  <c r="N283" i="10"/>
  <c r="L683" i="10"/>
  <c r="AM283" i="10"/>
  <c r="AG683" i="10"/>
  <c r="AN283" i="10"/>
  <c r="Y283" i="10"/>
  <c r="AA683" i="10"/>
  <c r="AB683" i="10"/>
  <c r="AX683" i="10"/>
  <c r="AV683" i="10"/>
  <c r="AS683" i="10"/>
  <c r="AI283" i="10"/>
  <c r="AP283" i="10"/>
  <c r="AI683" i="10"/>
  <c r="AE283" i="10"/>
  <c r="AY683" i="10"/>
  <c r="S683" i="10"/>
  <c r="V283" i="10"/>
  <c r="O683" i="10"/>
  <c r="AD283" i="10"/>
  <c r="AK283" i="10"/>
  <c r="AL683" i="10"/>
  <c r="S283" i="10"/>
  <c r="R283" i="10"/>
  <c r="Z683" i="10"/>
  <c r="N683" i="10"/>
  <c r="Q483" i="26"/>
  <c r="F461" i="9" s="1"/>
  <c r="AG190" i="9"/>
  <c r="AC58" i="6"/>
  <c r="AG192" i="9"/>
  <c r="AG330" i="9"/>
  <c r="H465" i="6"/>
  <c r="AC465" i="6" s="1"/>
  <c r="AD465" i="6" s="1"/>
  <c r="Q480" i="26"/>
  <c r="F465" i="6" s="1"/>
  <c r="AC57" i="9"/>
  <c r="AG120" i="9"/>
  <c r="Z31" i="6"/>
  <c r="AG58" i="9"/>
  <c r="Z279" i="6"/>
  <c r="G57" i="9"/>
  <c r="BE57" i="26"/>
  <c r="BF57" i="26" s="1"/>
  <c r="G57" i="6"/>
  <c r="Z270" i="6"/>
  <c r="Q481" i="26"/>
  <c r="F459" i="9" s="1"/>
  <c r="AC165" i="9"/>
  <c r="AG77" i="9"/>
  <c r="I279" i="6"/>
  <c r="I279" i="9"/>
  <c r="BA90" i="10"/>
  <c r="BB90" i="10"/>
  <c r="BC90" i="10" s="1"/>
  <c r="AC161" i="9"/>
  <c r="Z205" i="6"/>
  <c r="BE180" i="26"/>
  <c r="BF180" i="26" s="1"/>
  <c r="G180" i="6"/>
  <c r="G180" i="9"/>
  <c r="G293" i="6"/>
  <c r="G293" i="9"/>
  <c r="BE293" i="26"/>
  <c r="BF293" i="26" s="1"/>
  <c r="AC338" i="9"/>
  <c r="Z18" i="6"/>
  <c r="AC17" i="6"/>
  <c r="I293" i="6"/>
  <c r="I293" i="9"/>
  <c r="AM530" i="26"/>
  <c r="AO530" i="26" s="1"/>
  <c r="AU530" i="26"/>
  <c r="Z330" i="6"/>
  <c r="AG31" i="9"/>
  <c r="BA180" i="10"/>
  <c r="BB180" i="10"/>
  <c r="BC180" i="10" s="1"/>
  <c r="AG180" i="9"/>
  <c r="X481" i="10"/>
  <c r="AV81" i="10"/>
  <c r="AN481" i="10"/>
  <c r="AY81" i="10"/>
  <c r="AH481" i="10"/>
  <c r="P481" i="10"/>
  <c r="AC81" i="10"/>
  <c r="Z481" i="10"/>
  <c r="AY481" i="10"/>
  <c r="AA481" i="10"/>
  <c r="N81" i="10"/>
  <c r="AI81" i="10"/>
  <c r="Q81" i="10"/>
  <c r="AA81" i="10"/>
  <c r="AD81" i="10"/>
  <c r="AB81" i="10"/>
  <c r="P81" i="10"/>
  <c r="J81" i="10"/>
  <c r="AF81" i="10"/>
  <c r="V481" i="10"/>
  <c r="AP81" i="10"/>
  <c r="AN81" i="10"/>
  <c r="AQ481" i="10"/>
  <c r="U81" i="10"/>
  <c r="AO81" i="10"/>
  <c r="AQ81" i="10"/>
  <c r="Q481" i="10"/>
  <c r="R481" i="10"/>
  <c r="AV481" i="10"/>
  <c r="W481" i="10"/>
  <c r="AE481" i="10"/>
  <c r="S481" i="10"/>
  <c r="AB481" i="10"/>
  <c r="V81" i="10"/>
  <c r="AK81" i="10"/>
  <c r="T481" i="10"/>
  <c r="X81" i="10"/>
  <c r="AS81" i="10"/>
  <c r="AK481" i="10"/>
  <c r="AR81" i="10"/>
  <c r="AI481" i="10"/>
  <c r="AD481" i="10"/>
  <c r="AX81" i="10"/>
  <c r="L81" i="10"/>
  <c r="AL481" i="10"/>
  <c r="AC481" i="10"/>
  <c r="AG481" i="10"/>
  <c r="AG81" i="10"/>
  <c r="S81" i="10"/>
  <c r="AW481" i="10"/>
  <c r="AW81" i="10"/>
  <c r="AU481" i="10"/>
  <c r="AR481" i="10"/>
  <c r="R81" i="10"/>
  <c r="O481" i="10"/>
  <c r="AX481" i="10"/>
  <c r="AJ481" i="10"/>
  <c r="AM481" i="10"/>
  <c r="AE81" i="10"/>
  <c r="AS481" i="10"/>
  <c r="AL81" i="10"/>
  <c r="AH81" i="10"/>
  <c r="Y481" i="10"/>
  <c r="W81" i="10"/>
  <c r="M481" i="10"/>
  <c r="AT481" i="10"/>
  <c r="J481" i="10"/>
  <c r="K81" i="10"/>
  <c r="L481" i="10"/>
  <c r="AP481" i="10"/>
  <c r="AF481" i="10"/>
  <c r="AT81" i="10"/>
  <c r="Y81" i="10"/>
  <c r="U481" i="10"/>
  <c r="Z81" i="10"/>
  <c r="AM81" i="10"/>
  <c r="AO481" i="10"/>
  <c r="K481" i="10"/>
  <c r="N481" i="10"/>
  <c r="M81" i="10"/>
  <c r="AJ81" i="10"/>
  <c r="O81" i="10"/>
  <c r="T81" i="10"/>
  <c r="V311" i="27"/>
  <c r="AA311" i="27" s="1"/>
  <c r="BD311" i="26"/>
  <c r="BF311" i="26" s="1"/>
  <c r="G311" i="10"/>
  <c r="AE365" i="9"/>
  <c r="AC17" i="9"/>
  <c r="BB275" i="10"/>
  <c r="BA275" i="10"/>
  <c r="Q482" i="26"/>
  <c r="F460" i="9" s="1"/>
  <c r="BA235" i="10"/>
  <c r="BB235" i="10"/>
  <c r="AC190" i="6"/>
  <c r="F31" i="27"/>
  <c r="G165" i="6"/>
  <c r="G165" i="9"/>
  <c r="BE165" i="26"/>
  <c r="BF165" i="26" s="1"/>
  <c r="AG161" i="9"/>
  <c r="Z91" i="6"/>
  <c r="AC293" i="6"/>
  <c r="G270" i="10"/>
  <c r="V270" i="27"/>
  <c r="AA270" i="27" s="1"/>
  <c r="BD270" i="26"/>
  <c r="BE117" i="26"/>
  <c r="BF117" i="26" s="1"/>
  <c r="G117" i="6"/>
  <c r="G117" i="9"/>
  <c r="Z181" i="6"/>
  <c r="BB120" i="10"/>
  <c r="BA120" i="10"/>
  <c r="BB279" i="10"/>
  <c r="BA279" i="10"/>
  <c r="Z276" i="6"/>
  <c r="AI483" i="26"/>
  <c r="AK483" i="26" s="1"/>
  <c r="AV483" i="26" s="1"/>
  <c r="P483" i="26" s="1"/>
  <c r="G461" i="9" s="1"/>
  <c r="Z190" i="6"/>
  <c r="AC58" i="9"/>
  <c r="H313" i="27"/>
  <c r="H255" i="27"/>
  <c r="AC117" i="6"/>
  <c r="G192" i="6"/>
  <c r="BE192" i="26"/>
  <c r="BF192" i="26" s="1"/>
  <c r="G192" i="9"/>
  <c r="I57" i="6"/>
  <c r="I57" i="9"/>
  <c r="BB342" i="10"/>
  <c r="BC342" i="10" s="1"/>
  <c r="BA342" i="10"/>
  <c r="BA276" i="10"/>
  <c r="BB276" i="10"/>
  <c r="Z120" i="6"/>
  <c r="BE338" i="26"/>
  <c r="G338" i="6"/>
  <c r="G338" i="9"/>
  <c r="G31" i="9"/>
  <c r="BE31" i="26"/>
  <c r="BF31" i="26" s="1"/>
  <c r="G31" i="6"/>
  <c r="G58" i="6"/>
  <c r="G58" i="9"/>
  <c r="BE58" i="26"/>
  <c r="BF58" i="26" s="1"/>
  <c r="BE279" i="26"/>
  <c r="BF279" i="26" s="1"/>
  <c r="G279" i="9"/>
  <c r="G279" i="6"/>
  <c r="AG57" i="9"/>
  <c r="R414" i="26"/>
  <c r="I414" i="9" s="1"/>
  <c r="AG270" i="9"/>
  <c r="Z17" i="6"/>
  <c r="F138" i="27"/>
  <c r="AO206" i="10"/>
  <c r="AC606" i="10"/>
  <c r="O606" i="10"/>
  <c r="AY606" i="10"/>
  <c r="AW206" i="10"/>
  <c r="P606" i="10"/>
  <c r="AQ606" i="10"/>
  <c r="AK606" i="10"/>
  <c r="AQ206" i="10"/>
  <c r="AB606" i="10"/>
  <c r="AG606" i="10"/>
  <c r="X206" i="10"/>
  <c r="L606" i="10"/>
  <c r="U606" i="10"/>
  <c r="AO606" i="10"/>
  <c r="Q206" i="10"/>
  <c r="T606" i="10"/>
  <c r="AN206" i="10"/>
  <c r="AM606" i="10"/>
  <c r="AP606" i="10"/>
  <c r="AM206" i="10"/>
  <c r="K206" i="10"/>
  <c r="AH206" i="10"/>
  <c r="Y606" i="10"/>
  <c r="AT206" i="10"/>
  <c r="AE606" i="10"/>
  <c r="AR206" i="10"/>
  <c r="Y206" i="10"/>
  <c r="J206" i="10"/>
  <c r="L206" i="10"/>
  <c r="AA206" i="10"/>
  <c r="W206" i="10"/>
  <c r="U206" i="10"/>
  <c r="AE206" i="10"/>
  <c r="AA606" i="10"/>
  <c r="AJ206" i="10"/>
  <c r="AN606" i="10"/>
  <c r="AX606" i="10"/>
  <c r="AS606" i="10"/>
  <c r="AG206" i="10"/>
  <c r="S606" i="10"/>
  <c r="N206" i="10"/>
  <c r="AI606" i="10"/>
  <c r="AS206" i="10"/>
  <c r="AL606" i="10"/>
  <c r="AT606" i="10"/>
  <c r="X606" i="10"/>
  <c r="AV206" i="10"/>
  <c r="AJ606" i="10"/>
  <c r="M606" i="10"/>
  <c r="M206" i="10"/>
  <c r="AB206" i="10"/>
  <c r="AP206" i="10"/>
  <c r="AR606" i="10"/>
  <c r="AK206" i="10"/>
  <c r="AH606" i="10"/>
  <c r="Z206" i="10"/>
  <c r="AL206" i="10"/>
  <c r="AF206" i="10"/>
  <c r="AV606" i="10"/>
  <c r="AW606" i="10"/>
  <c r="S206" i="10"/>
  <c r="P206" i="10"/>
  <c r="K606" i="10"/>
  <c r="AI206" i="10"/>
  <c r="J606" i="10"/>
  <c r="R606" i="10"/>
  <c r="V606" i="10"/>
  <c r="R206" i="10"/>
  <c r="AC206" i="10"/>
  <c r="AF606" i="10"/>
  <c r="AU606" i="10"/>
  <c r="AY206" i="10"/>
  <c r="AX206" i="10"/>
  <c r="T206" i="10"/>
  <c r="Q606" i="10"/>
  <c r="Z606" i="10"/>
  <c r="W606" i="10"/>
  <c r="AD206" i="10"/>
  <c r="V206" i="10"/>
  <c r="N606" i="10"/>
  <c r="AD606" i="10"/>
  <c r="O206" i="10"/>
  <c r="G77" i="6"/>
  <c r="BE77" i="26"/>
  <c r="G77" i="9"/>
  <c r="AC279" i="9"/>
  <c r="H431" i="6"/>
  <c r="AC431" i="6" s="1"/>
  <c r="AD431" i="6" s="1"/>
  <c r="R436" i="26"/>
  <c r="I431" i="6" s="1"/>
  <c r="I181" i="9"/>
  <c r="I181" i="6"/>
  <c r="BE205" i="26"/>
  <c r="G205" i="6"/>
  <c r="G205" i="9"/>
  <c r="Z293" i="6"/>
  <c r="AG78" i="9"/>
  <c r="J311" i="10"/>
  <c r="N711" i="10"/>
  <c r="AF311" i="10"/>
  <c r="AP311" i="10"/>
  <c r="AK711" i="10"/>
  <c r="Q311" i="10"/>
  <c r="AF711" i="10"/>
  <c r="AT311" i="10"/>
  <c r="AJ311" i="10"/>
  <c r="AY711" i="10"/>
  <c r="T311" i="10"/>
  <c r="AA311" i="10"/>
  <c r="AM311" i="10"/>
  <c r="W311" i="10"/>
  <c r="AR711" i="10"/>
  <c r="AP711" i="10"/>
  <c r="AX311" i="10"/>
  <c r="AQ711" i="10"/>
  <c r="K311" i="10"/>
  <c r="AO711" i="10"/>
  <c r="AW711" i="10"/>
  <c r="W711" i="10"/>
  <c r="S711" i="10"/>
  <c r="AR311" i="10"/>
  <c r="N311" i="10"/>
  <c r="AQ311" i="10"/>
  <c r="AV711" i="10"/>
  <c r="AG311" i="10"/>
  <c r="AN711" i="10"/>
  <c r="AD711" i="10"/>
  <c r="AX711" i="10"/>
  <c r="T711" i="10"/>
  <c r="V711" i="10"/>
  <c r="AC711" i="10"/>
  <c r="O311" i="10"/>
  <c r="AY311" i="10"/>
  <c r="U311" i="10"/>
  <c r="AG711" i="10"/>
  <c r="L711" i="10"/>
  <c r="AI311" i="10"/>
  <c r="AS311" i="10"/>
  <c r="AB311" i="10"/>
  <c r="AI711" i="10"/>
  <c r="X311" i="10"/>
  <c r="M311" i="10"/>
  <c r="AC311" i="10"/>
  <c r="Q711" i="10"/>
  <c r="U711" i="10"/>
  <c r="Y711" i="10"/>
  <c r="R311" i="10"/>
  <c r="J711" i="10"/>
  <c r="AO311" i="10"/>
  <c r="X711" i="10"/>
  <c r="R711" i="10"/>
  <c r="Y311" i="10"/>
  <c r="AE311" i="10"/>
  <c r="AB711" i="10"/>
  <c r="AJ711" i="10"/>
  <c r="Z311" i="10"/>
  <c r="AA711" i="10"/>
  <c r="AL711" i="10"/>
  <c r="AS711" i="10"/>
  <c r="O711" i="10"/>
  <c r="AD311" i="10"/>
  <c r="AW311" i="10"/>
  <c r="P711" i="10"/>
  <c r="V311" i="10"/>
  <c r="AV311" i="10"/>
  <c r="M711" i="10"/>
  <c r="AE711" i="10"/>
  <c r="AK311" i="10"/>
  <c r="S311" i="10"/>
  <c r="AM711" i="10"/>
  <c r="AH711" i="10"/>
  <c r="K711" i="10"/>
  <c r="P311" i="10"/>
  <c r="AN311" i="10"/>
  <c r="AL311" i="10"/>
  <c r="AT711" i="10"/>
  <c r="L311" i="10"/>
  <c r="AU711" i="10"/>
  <c r="AH311" i="10"/>
  <c r="Z711" i="10"/>
  <c r="AG18" i="9"/>
  <c r="AG183" i="9"/>
  <c r="AC190" i="9"/>
  <c r="Z161" i="6"/>
  <c r="F180" i="27"/>
  <c r="M641" i="10"/>
  <c r="AJ241" i="10"/>
  <c r="AI241" i="10"/>
  <c r="AL241" i="10"/>
  <c r="X241" i="10"/>
  <c r="AJ641" i="10"/>
  <c r="K641" i="10"/>
  <c r="AE641" i="10"/>
  <c r="AO641" i="10"/>
  <c r="AE241" i="10"/>
  <c r="Z241" i="10"/>
  <c r="AO241" i="10"/>
  <c r="AU641" i="10"/>
  <c r="AT241" i="10"/>
  <c r="X641" i="10"/>
  <c r="W241" i="10"/>
  <c r="R241" i="10"/>
  <c r="AY641" i="10"/>
  <c r="N641" i="10"/>
  <c r="AA641" i="10"/>
  <c r="V241" i="10"/>
  <c r="AQ641" i="10"/>
  <c r="AR241" i="10"/>
  <c r="V641" i="10"/>
  <c r="T241" i="10"/>
  <c r="AV641" i="10"/>
  <c r="Q241" i="10"/>
  <c r="T641" i="10"/>
  <c r="S641" i="10"/>
  <c r="AQ241" i="10"/>
  <c r="AN641" i="10"/>
  <c r="AF241" i="10"/>
  <c r="AV241" i="10"/>
  <c r="S241" i="10"/>
  <c r="AH241" i="10"/>
  <c r="AB241" i="10"/>
  <c r="N241" i="10"/>
  <c r="Y241" i="10"/>
  <c r="AM241" i="10"/>
  <c r="J241" i="10"/>
  <c r="M241" i="10"/>
  <c r="AS241" i="10"/>
  <c r="J641" i="10"/>
  <c r="AH641" i="10"/>
  <c r="P641" i="10"/>
  <c r="AM641" i="10"/>
  <c r="AL641" i="10"/>
  <c r="W641" i="10"/>
  <c r="AX241" i="10"/>
  <c r="Z641" i="10"/>
  <c r="AI641" i="10"/>
  <c r="AC241" i="10"/>
  <c r="AP641" i="10"/>
  <c r="O241" i="10"/>
  <c r="AT641" i="10"/>
  <c r="AG241" i="10"/>
  <c r="Q641" i="10"/>
  <c r="U641" i="10"/>
  <c r="AB641" i="10"/>
  <c r="AD241" i="10"/>
  <c r="O641" i="10"/>
  <c r="AK641" i="10"/>
  <c r="AC641" i="10"/>
  <c r="AX641" i="10"/>
  <c r="AN241" i="10"/>
  <c r="AK241" i="10"/>
  <c r="AG641" i="10"/>
  <c r="AA241" i="10"/>
  <c r="AW241" i="10"/>
  <c r="AY241" i="10"/>
  <c r="K241" i="10"/>
  <c r="AP241" i="10"/>
  <c r="Y641" i="10"/>
  <c r="L241" i="10"/>
  <c r="AW641" i="10"/>
  <c r="U241" i="10"/>
  <c r="AF641" i="10"/>
  <c r="L641" i="10"/>
  <c r="R641" i="10"/>
  <c r="AR641" i="10"/>
  <c r="AS641" i="10"/>
  <c r="P241" i="10"/>
  <c r="AD641" i="10"/>
  <c r="AG117" i="9"/>
  <c r="H439" i="9"/>
  <c r="H446" i="6"/>
  <c r="AC446" i="6" s="1"/>
  <c r="AD446" i="6" s="1"/>
  <c r="R455" i="26"/>
  <c r="V183" i="27"/>
  <c r="AA183" i="27" s="1"/>
  <c r="G183" i="10"/>
  <c r="BD183" i="26"/>
  <c r="BF183" i="26" s="1"/>
  <c r="F174" i="27"/>
  <c r="G120" i="9"/>
  <c r="BE120" i="26"/>
  <c r="G120" i="6"/>
  <c r="AC165" i="6"/>
  <c r="BD206" i="26"/>
  <c r="BF206" i="26" s="1"/>
  <c r="V206" i="27"/>
  <c r="AA206" i="27" s="1"/>
  <c r="G206" i="10"/>
  <c r="AC279" i="6"/>
  <c r="BE78" i="26"/>
  <c r="G78" i="6"/>
  <c r="G78" i="9"/>
  <c r="Z73" i="10"/>
  <c r="AV473" i="10"/>
  <c r="AC73" i="10"/>
  <c r="AL473" i="10"/>
  <c r="AY473" i="10"/>
  <c r="AP471" i="26"/>
  <c r="AV471" i="26" s="1"/>
  <c r="P471" i="26" s="1"/>
  <c r="G459" i="6" s="1"/>
  <c r="Y473" i="10"/>
  <c r="AM473" i="10"/>
  <c r="AF473" i="10"/>
  <c r="AU473" i="10"/>
  <c r="AE473" i="10"/>
  <c r="AE74" i="9"/>
  <c r="R463" i="26"/>
  <c r="I446" i="9" s="1"/>
  <c r="AI482" i="26"/>
  <c r="AK482" i="26" s="1"/>
  <c r="AM440" i="26"/>
  <c r="AO440" i="26" s="1"/>
  <c r="AN440" i="26" s="1"/>
  <c r="BF440" i="26" s="1"/>
  <c r="AU440" i="26"/>
  <c r="I190" i="6"/>
  <c r="I190" i="9"/>
  <c r="BB77" i="10"/>
  <c r="BC77" i="10" s="1"/>
  <c r="BA77" i="10"/>
  <c r="AE261" i="9"/>
  <c r="BB293" i="10"/>
  <c r="BC293" i="10" s="1"/>
  <c r="BA293" i="10"/>
  <c r="AG91" i="9"/>
  <c r="AN538" i="26"/>
  <c r="AP538" i="26" s="1"/>
  <c r="AV538" i="26" s="1"/>
  <c r="P538" i="26" s="1"/>
  <c r="X270" i="10"/>
  <c r="AR270" i="10"/>
  <c r="L670" i="10"/>
  <c r="AG670" i="10"/>
  <c r="U270" i="10"/>
  <c r="AH670" i="10"/>
  <c r="J670" i="10"/>
  <c r="AK670" i="10"/>
  <c r="AL270" i="10"/>
  <c r="AA670" i="10"/>
  <c r="AM670" i="10"/>
  <c r="AT670" i="10"/>
  <c r="S670" i="10"/>
  <c r="U670" i="10"/>
  <c r="AX670" i="10"/>
  <c r="AY270" i="10"/>
  <c r="AA270" i="10"/>
  <c r="AQ270" i="10"/>
  <c r="AH270" i="10"/>
  <c r="Q270" i="10"/>
  <c r="V270" i="10"/>
  <c r="J270" i="10"/>
  <c r="AV670" i="10"/>
  <c r="AN270" i="10"/>
  <c r="AE270" i="10"/>
  <c r="AE670" i="10"/>
  <c r="AQ670" i="10"/>
  <c r="AP270" i="10"/>
  <c r="AF270" i="10"/>
  <c r="AS270" i="10"/>
  <c r="M270" i="10"/>
  <c r="S270" i="10"/>
  <c r="N670" i="10"/>
  <c r="K670" i="10"/>
  <c r="N270" i="10"/>
  <c r="AJ670" i="10"/>
  <c r="O270" i="10"/>
  <c r="AY670" i="10"/>
  <c r="AB670" i="10"/>
  <c r="AO670" i="10"/>
  <c r="AR670" i="10"/>
  <c r="AF670" i="10"/>
  <c r="R270" i="10"/>
  <c r="X670" i="10"/>
  <c r="T270" i="10"/>
  <c r="AL670" i="10"/>
  <c r="O670" i="10"/>
  <c r="AN670" i="10"/>
  <c r="W270" i="10"/>
  <c r="AP670" i="10"/>
  <c r="AB270" i="10"/>
  <c r="AK270" i="10"/>
  <c r="AW270" i="10"/>
  <c r="V670" i="10"/>
  <c r="K270" i="10"/>
  <c r="Y270" i="10"/>
  <c r="P670" i="10"/>
  <c r="Y670" i="10"/>
  <c r="AW670" i="10"/>
  <c r="AI270" i="10"/>
  <c r="AS670" i="10"/>
  <c r="AT270" i="10"/>
  <c r="W670" i="10"/>
  <c r="Z270" i="10"/>
  <c r="AJ270" i="10"/>
  <c r="L270" i="10"/>
  <c r="AD670" i="10"/>
  <c r="AX270" i="10"/>
  <c r="AC670" i="10"/>
  <c r="Q670" i="10"/>
  <c r="AC270" i="10"/>
  <c r="AM270" i="10"/>
  <c r="P270" i="10"/>
  <c r="M670" i="10"/>
  <c r="Z670" i="10"/>
  <c r="AU670" i="10"/>
  <c r="T670" i="10"/>
  <c r="AI670" i="10"/>
  <c r="R670" i="10"/>
  <c r="AG270" i="10"/>
  <c r="AO270" i="10"/>
  <c r="AV270" i="10"/>
  <c r="AD270" i="10"/>
  <c r="AG165" i="9"/>
  <c r="G241" i="10"/>
  <c r="V241" i="27"/>
  <c r="AA241" i="27" s="1"/>
  <c r="BD241" i="26"/>
  <c r="BF241" i="26" s="1"/>
  <c r="I338" i="6"/>
  <c r="I338" i="9"/>
  <c r="G181" i="9"/>
  <c r="G181" i="6"/>
  <c r="BE181" i="26"/>
  <c r="BF181" i="26" s="1"/>
  <c r="AA583" i="10"/>
  <c r="AO583" i="10"/>
  <c r="AQ183" i="10"/>
  <c r="AP183" i="10"/>
  <c r="AS583" i="10"/>
  <c r="O583" i="10"/>
  <c r="P183" i="10"/>
  <c r="W183" i="10"/>
  <c r="N583" i="10"/>
  <c r="AI583" i="10"/>
  <c r="K183" i="10"/>
  <c r="AA183" i="10"/>
  <c r="S183" i="10"/>
  <c r="S583" i="10"/>
  <c r="AS183" i="10"/>
  <c r="AH583" i="10"/>
  <c r="AC583" i="10"/>
  <c r="AR183" i="10"/>
  <c r="AF183" i="10"/>
  <c r="AK583" i="10"/>
  <c r="K583" i="10"/>
  <c r="R183" i="10"/>
  <c r="AT583" i="10"/>
  <c r="AW583" i="10"/>
  <c r="Z183" i="10"/>
  <c r="AI183" i="10"/>
  <c r="AO183" i="10"/>
  <c r="W583" i="10"/>
  <c r="AQ583" i="10"/>
  <c r="AE583" i="10"/>
  <c r="L583" i="10"/>
  <c r="AL183" i="10"/>
  <c r="AV183" i="10"/>
  <c r="AP583" i="10"/>
  <c r="Q583" i="10"/>
  <c r="AX583" i="10"/>
  <c r="AE183" i="10"/>
  <c r="M583" i="10"/>
  <c r="T183" i="10"/>
  <c r="L183" i="10"/>
  <c r="Z583" i="10"/>
  <c r="AL583" i="10"/>
  <c r="V183" i="10"/>
  <c r="AR583" i="10"/>
  <c r="AH183" i="10"/>
  <c r="AT183" i="10"/>
  <c r="O183" i="10"/>
  <c r="AN583" i="10"/>
  <c r="AJ183" i="10"/>
  <c r="AB183" i="10"/>
  <c r="N183" i="10"/>
  <c r="AJ583" i="10"/>
  <c r="AM183" i="10"/>
  <c r="AM583" i="10"/>
  <c r="AG583" i="10"/>
  <c r="M183" i="10"/>
  <c r="AW183" i="10"/>
  <c r="AG183" i="10"/>
  <c r="J183" i="10"/>
  <c r="T583" i="10"/>
  <c r="Y183" i="10"/>
  <c r="V583" i="10"/>
  <c r="AC183" i="10"/>
  <c r="AU583" i="10"/>
  <c r="X183" i="10"/>
  <c r="J583" i="10"/>
  <c r="AX183" i="10"/>
  <c r="AY183" i="10"/>
  <c r="P583" i="10"/>
  <c r="U183" i="10"/>
  <c r="U583" i="10"/>
  <c r="AD183" i="10"/>
  <c r="AV583" i="10"/>
  <c r="Y583" i="10"/>
  <c r="AB583" i="10"/>
  <c r="AD583" i="10"/>
  <c r="AY583" i="10"/>
  <c r="AK183" i="10"/>
  <c r="R583" i="10"/>
  <c r="Q183" i="10"/>
  <c r="AF583" i="10"/>
  <c r="X583" i="10"/>
  <c r="AN183" i="10"/>
  <c r="F342" i="27"/>
  <c r="Z342" i="27"/>
  <c r="V283" i="27"/>
  <c r="AA283" i="27" s="1"/>
  <c r="G283" i="10"/>
  <c r="BD283" i="26"/>
  <c r="AG276" i="9"/>
  <c r="G190" i="9"/>
  <c r="G190" i="6"/>
  <c r="BE190" i="26"/>
  <c r="I58" i="6"/>
  <c r="I58" i="9"/>
  <c r="Z304" i="6"/>
  <c r="AC117" i="9"/>
  <c r="Z192" i="6"/>
  <c r="BE330" i="26"/>
  <c r="G330" i="6"/>
  <c r="G330" i="9"/>
  <c r="BB437" i="26"/>
  <c r="BA437" i="26" s="1"/>
  <c r="AG338" i="9"/>
  <c r="F175" i="27"/>
  <c r="X640" i="10"/>
  <c r="O240" i="10"/>
  <c r="AJ240" i="10"/>
  <c r="AS240" i="10"/>
  <c r="AD240" i="10"/>
  <c r="P240" i="10"/>
  <c r="AG640" i="10"/>
  <c r="AO240" i="10"/>
  <c r="AW240" i="10"/>
  <c r="AB240" i="10"/>
  <c r="AM640" i="10"/>
  <c r="AT240" i="10"/>
  <c r="AT640" i="10"/>
  <c r="AQ640" i="10"/>
  <c r="AR640" i="10"/>
  <c r="AY640" i="10"/>
  <c r="AG240" i="10"/>
  <c r="AV240" i="10"/>
  <c r="AI240" i="10"/>
  <c r="AH240" i="10"/>
  <c r="AP640" i="10"/>
  <c r="X240" i="10"/>
  <c r="N640" i="10"/>
  <c r="M640" i="10"/>
  <c r="AH640" i="10"/>
  <c r="S240" i="10"/>
  <c r="Y640" i="10"/>
  <c r="N240" i="10"/>
  <c r="W640" i="10"/>
  <c r="AQ240" i="10"/>
  <c r="AM240" i="10"/>
  <c r="AA640" i="10"/>
  <c r="AN240" i="10"/>
  <c r="K240" i="10"/>
  <c r="Q240" i="10"/>
  <c r="AS640" i="10"/>
  <c r="AK640" i="10"/>
  <c r="AD640" i="10"/>
  <c r="M240" i="10"/>
  <c r="W240" i="10"/>
  <c r="AE640" i="10"/>
  <c r="S640" i="10"/>
  <c r="AX240" i="10"/>
  <c r="R640" i="10"/>
  <c r="AJ640" i="10"/>
  <c r="V640" i="10"/>
  <c r="AX640" i="10"/>
  <c r="J640" i="10"/>
  <c r="AK240" i="10"/>
  <c r="U640" i="10"/>
  <c r="V240" i="10"/>
  <c r="AF240" i="10"/>
  <c r="AW640" i="10"/>
  <c r="R240" i="10"/>
  <c r="Z240" i="10"/>
  <c r="T640" i="10"/>
  <c r="AY240" i="10"/>
  <c r="AI640" i="10"/>
  <c r="O640" i="10"/>
  <c r="Z640" i="10"/>
  <c r="P640" i="10"/>
  <c r="J240" i="10"/>
  <c r="AU640" i="10"/>
  <c r="K640" i="10"/>
  <c r="AO640" i="10"/>
  <c r="AL240" i="10"/>
  <c r="AL640" i="10"/>
  <c r="AV640" i="10"/>
  <c r="AC640" i="10"/>
  <c r="Y240" i="10"/>
  <c r="AA240" i="10"/>
  <c r="AF640" i="10"/>
  <c r="L240" i="10"/>
  <c r="U240" i="10"/>
  <c r="AR240" i="10"/>
  <c r="Q640" i="10"/>
  <c r="T240" i="10"/>
  <c r="L640" i="10"/>
  <c r="AC240" i="10"/>
  <c r="AE240" i="10"/>
  <c r="AB640" i="10"/>
  <c r="AN640" i="10"/>
  <c r="AP240" i="10"/>
  <c r="Z58" i="6"/>
  <c r="AO416" i="26"/>
  <c r="AN416" i="26" s="1"/>
  <c r="BF416" i="26" s="1"/>
  <c r="AG279" i="9"/>
  <c r="Z57" i="6"/>
  <c r="G270" i="9"/>
  <c r="BE270" i="26"/>
  <c r="G270" i="6"/>
  <c r="BA255" i="10"/>
  <c r="BB255" i="10"/>
  <c r="BC255" i="10" s="1"/>
  <c r="BA175" i="10"/>
  <c r="BB175" i="10"/>
  <c r="BC175" i="10" s="1"/>
  <c r="AG17" i="9"/>
  <c r="Z77" i="6"/>
  <c r="AC161" i="6"/>
  <c r="F276" i="27"/>
  <c r="AG205" i="9"/>
  <c r="Z180" i="6"/>
  <c r="AG293" i="9"/>
  <c r="BD81" i="26"/>
  <c r="BF81" i="26" s="1"/>
  <c r="G81" i="10"/>
  <c r="V81" i="27"/>
  <c r="AA81" i="27" s="1"/>
  <c r="Z78" i="6"/>
  <c r="H50" i="27"/>
  <c r="H495" i="6"/>
  <c r="AC495" i="6" s="1"/>
  <c r="AD495" i="6" s="1"/>
  <c r="R521" i="26"/>
  <c r="I495" i="6" s="1"/>
  <c r="H90" i="27"/>
  <c r="F371" i="27"/>
  <c r="BB375" i="10"/>
  <c r="BC375" i="10" s="1"/>
  <c r="BA375" i="10"/>
  <c r="AG157" i="9"/>
  <c r="P473" i="10"/>
  <c r="O73" i="10"/>
  <c r="AC473" i="10"/>
  <c r="AS73" i="10"/>
  <c r="AK473" i="10"/>
  <c r="AY73" i="10"/>
  <c r="AE73" i="10"/>
  <c r="AX73" i="10"/>
  <c r="V73" i="10"/>
  <c r="R73" i="10"/>
  <c r="AT73" i="10"/>
  <c r="X73" i="10"/>
  <c r="AH473" i="10"/>
  <c r="Q473" i="10"/>
  <c r="T473" i="10"/>
  <c r="O473" i="10"/>
  <c r="L73" i="10"/>
  <c r="Z473" i="10"/>
  <c r="T73" i="10"/>
  <c r="AB473" i="10"/>
  <c r="J473" i="10"/>
  <c r="G70" i="9"/>
  <c r="G70" i="6"/>
  <c r="BE70" i="26"/>
  <c r="AE194" i="9"/>
  <c r="Z381" i="6"/>
  <c r="J499" i="10"/>
  <c r="AW499" i="10"/>
  <c r="AX99" i="10"/>
  <c r="AP99" i="10"/>
  <c r="N99" i="10"/>
  <c r="AE99" i="10"/>
  <c r="V499" i="10"/>
  <c r="L499" i="10"/>
  <c r="Z499" i="10"/>
  <c r="M99" i="10"/>
  <c r="AT499" i="10"/>
  <c r="AP499" i="10"/>
  <c r="AX499" i="10"/>
  <c r="AI99" i="10"/>
  <c r="AQ99" i="10"/>
  <c r="W499" i="10"/>
  <c r="U499" i="10"/>
  <c r="AJ499" i="10"/>
  <c r="M499" i="10"/>
  <c r="AK499" i="10"/>
  <c r="U99" i="10"/>
  <c r="AL499" i="10"/>
  <c r="AO99" i="10"/>
  <c r="X99" i="10"/>
  <c r="AF499" i="10"/>
  <c r="AR499" i="10"/>
  <c r="AD99" i="10"/>
  <c r="Y99" i="10"/>
  <c r="S99" i="10"/>
  <c r="AY499" i="10"/>
  <c r="AO499" i="10"/>
  <c r="AS99" i="10"/>
  <c r="AL99" i="10"/>
  <c r="Q499" i="10"/>
  <c r="AN499" i="10"/>
  <c r="P499" i="10"/>
  <c r="AR99" i="10"/>
  <c r="N499" i="10"/>
  <c r="AK99" i="10"/>
  <c r="O99" i="10"/>
  <c r="J99" i="10"/>
  <c r="W99" i="10"/>
  <c r="AH99" i="10"/>
  <c r="K499" i="10"/>
  <c r="AD499" i="10"/>
  <c r="P99" i="10"/>
  <c r="AV499" i="10"/>
  <c r="AM499" i="10"/>
  <c r="S499" i="10"/>
  <c r="AG99" i="10"/>
  <c r="X499" i="10"/>
  <c r="AV99" i="10"/>
  <c r="AH499" i="10"/>
  <c r="AN99" i="10"/>
  <c r="AF99" i="10"/>
  <c r="AA99" i="10"/>
  <c r="AC99" i="10"/>
  <c r="AU499" i="10"/>
  <c r="AE499" i="10"/>
  <c r="AC499" i="10"/>
  <c r="V99" i="10"/>
  <c r="AB99" i="10"/>
  <c r="L99" i="10"/>
  <c r="AT99" i="10"/>
  <c r="AG499" i="10"/>
  <c r="O499" i="10"/>
  <c r="Q99" i="10"/>
  <c r="K99" i="10"/>
  <c r="AQ499" i="10"/>
  <c r="AW99" i="10"/>
  <c r="Z99" i="10"/>
  <c r="T499" i="10"/>
  <c r="AJ99" i="10"/>
  <c r="AI499" i="10"/>
  <c r="AM99" i="10"/>
  <c r="Y499" i="10"/>
  <c r="AB499" i="10"/>
  <c r="AY99" i="10"/>
  <c r="R99" i="10"/>
  <c r="R499" i="10"/>
  <c r="T99" i="10"/>
  <c r="AS499" i="10"/>
  <c r="AA499" i="10"/>
  <c r="F376" i="27"/>
  <c r="F92" i="27"/>
  <c r="G364" i="9"/>
  <c r="G364" i="6"/>
  <c r="BE364" i="26"/>
  <c r="BF364" i="26" s="1"/>
  <c r="Z232" i="6"/>
  <c r="AE560" i="10"/>
  <c r="AU560" i="10"/>
  <c r="T160" i="10"/>
  <c r="AI560" i="10"/>
  <c r="AT160" i="10"/>
  <c r="AD160" i="10"/>
  <c r="AN160" i="10"/>
  <c r="Y560" i="10"/>
  <c r="N560" i="10"/>
  <c r="AK160" i="10"/>
  <c r="AK560" i="10"/>
  <c r="X560" i="10"/>
  <c r="V160" i="10"/>
  <c r="N160" i="10"/>
  <c r="O160" i="10"/>
  <c r="AJ560" i="10"/>
  <c r="AQ560" i="10"/>
  <c r="K160" i="10"/>
  <c r="AH160" i="10"/>
  <c r="S160" i="10"/>
  <c r="AY560" i="10"/>
  <c r="AA160" i="10"/>
  <c r="R560" i="10"/>
  <c r="R160" i="10"/>
  <c r="T560" i="10"/>
  <c r="AV560" i="10"/>
  <c r="M560" i="10"/>
  <c r="AV160" i="10"/>
  <c r="AQ160" i="10"/>
  <c r="Z560" i="10"/>
  <c r="AL560" i="10"/>
  <c r="AB560" i="10"/>
  <c r="AX160" i="10"/>
  <c r="AB160" i="10"/>
  <c r="U560" i="10"/>
  <c r="W560" i="10"/>
  <c r="AF160" i="10"/>
  <c r="AS160" i="10"/>
  <c r="AP160" i="10"/>
  <c r="AY160" i="10"/>
  <c r="M160" i="10"/>
  <c r="P560" i="10"/>
  <c r="AR160" i="10"/>
  <c r="S560" i="10"/>
  <c r="AS560" i="10"/>
  <c r="AJ160" i="10"/>
  <c r="AM560" i="10"/>
  <c r="Z160" i="10"/>
  <c r="J560" i="10"/>
  <c r="AR560" i="10"/>
  <c r="AE160" i="10"/>
  <c r="AX560" i="10"/>
  <c r="Q560" i="10"/>
  <c r="J160" i="10"/>
  <c r="O560" i="10"/>
  <c r="Q160" i="10"/>
  <c r="V560" i="10"/>
  <c r="AD560" i="10"/>
  <c r="Y160" i="10"/>
  <c r="AG560" i="10"/>
  <c r="AH560" i="10"/>
  <c r="AF560" i="10"/>
  <c r="P160" i="10"/>
  <c r="AM160" i="10"/>
  <c r="K560" i="10"/>
  <c r="AA560" i="10"/>
  <c r="AP560" i="10"/>
  <c r="AC560" i="10"/>
  <c r="L560" i="10"/>
  <c r="X160" i="10"/>
  <c r="AO560" i="10"/>
  <c r="AL160" i="10"/>
  <c r="AO160" i="10"/>
  <c r="AW160" i="10"/>
  <c r="U160" i="10"/>
  <c r="W160" i="10"/>
  <c r="AT560" i="10"/>
  <c r="L160" i="10"/>
  <c r="AC160" i="10"/>
  <c r="AI160" i="10"/>
  <c r="AN560" i="10"/>
  <c r="AW560" i="10"/>
  <c r="AG160" i="10"/>
  <c r="W783" i="10"/>
  <c r="AS383" i="10"/>
  <c r="AN783" i="10"/>
  <c r="L383" i="10"/>
  <c r="S383" i="10"/>
  <c r="AX383" i="10"/>
  <c r="AD783" i="10"/>
  <c r="P783" i="10"/>
  <c r="V783" i="10"/>
  <c r="AW783" i="10"/>
  <c r="AB383" i="10"/>
  <c r="AY783" i="10"/>
  <c r="X383" i="10"/>
  <c r="AB783" i="10"/>
  <c r="N783" i="10"/>
  <c r="AY383" i="10"/>
  <c r="X783" i="10"/>
  <c r="AU783" i="10"/>
  <c r="AL783" i="10"/>
  <c r="K783" i="10"/>
  <c r="AO383" i="10"/>
  <c r="AR783" i="10"/>
  <c r="AK383" i="10"/>
  <c r="AT383" i="10"/>
  <c r="AP783" i="10"/>
  <c r="AM783" i="10"/>
  <c r="Y383" i="10"/>
  <c r="AV783" i="10"/>
  <c r="Q783" i="10"/>
  <c r="AA383" i="10"/>
  <c r="AP383" i="10"/>
  <c r="L783" i="10"/>
  <c r="AH383" i="10"/>
  <c r="AL383" i="10"/>
  <c r="Z783" i="10"/>
  <c r="AG383" i="10"/>
  <c r="K383" i="10"/>
  <c r="AO783" i="10"/>
  <c r="AQ383" i="10"/>
  <c r="AC783" i="10"/>
  <c r="R383" i="10"/>
  <c r="P383" i="10"/>
  <c r="AF783" i="10"/>
  <c r="J383" i="10"/>
  <c r="AJ783" i="10"/>
  <c r="AV383" i="10"/>
  <c r="AA783" i="10"/>
  <c r="AH783" i="10"/>
  <c r="W383" i="10"/>
  <c r="V383" i="10"/>
  <c r="Y783" i="10"/>
  <c r="M383" i="10"/>
  <c r="AI383" i="10"/>
  <c r="AX783" i="10"/>
  <c r="T783" i="10"/>
  <c r="T383" i="10"/>
  <c r="AE783" i="10"/>
  <c r="N383" i="10"/>
  <c r="AQ783" i="10"/>
  <c r="AI783" i="10"/>
  <c r="AT783" i="10"/>
  <c r="AK783" i="10"/>
  <c r="AN383" i="10"/>
  <c r="AM383" i="10"/>
  <c r="R783" i="10"/>
  <c r="Z383" i="10"/>
  <c r="Q383" i="10"/>
  <c r="O383" i="10"/>
  <c r="AR383" i="10"/>
  <c r="U383" i="10"/>
  <c r="M783" i="10"/>
  <c r="AG783" i="10"/>
  <c r="AF383" i="10"/>
  <c r="J783" i="10"/>
  <c r="O783" i="10"/>
  <c r="S783" i="10"/>
  <c r="AJ383" i="10"/>
  <c r="U783" i="10"/>
  <c r="AC383" i="10"/>
  <c r="AS783" i="10"/>
  <c r="AE383" i="10"/>
  <c r="AW383" i="10"/>
  <c r="AD383" i="10"/>
  <c r="G95" i="10"/>
  <c r="BD95" i="26"/>
  <c r="V95" i="27"/>
  <c r="AA95" i="27" s="1"/>
  <c r="Z157" i="6"/>
  <c r="AE336" i="9"/>
  <c r="H111" i="27"/>
  <c r="F208" i="27"/>
  <c r="H429" i="9"/>
  <c r="H436" i="6"/>
  <c r="AC436" i="6" s="1"/>
  <c r="AD436" i="6" s="1"/>
  <c r="G179" i="10"/>
  <c r="V179" i="27"/>
  <c r="AA179" i="27" s="1"/>
  <c r="BD179" i="26"/>
  <c r="Z52" i="6"/>
  <c r="BD345" i="26"/>
  <c r="BF345" i="26" s="1"/>
  <c r="G345" i="10"/>
  <c r="V345" i="27"/>
  <c r="AA345" i="27" s="1"/>
  <c r="F110" i="27"/>
  <c r="F193" i="27"/>
  <c r="F274" i="27"/>
  <c r="Z110" i="6"/>
  <c r="Z93" i="6"/>
  <c r="BE265" i="26"/>
  <c r="G265" i="9"/>
  <c r="G265" i="6"/>
  <c r="F37" i="27"/>
  <c r="Q478" i="26"/>
  <c r="F457" i="9" s="1"/>
  <c r="BA208" i="10"/>
  <c r="BB208" i="10"/>
  <c r="BA37" i="10"/>
  <c r="BB37" i="10"/>
  <c r="BC37" i="10" s="1"/>
  <c r="BB155" i="10"/>
  <c r="BA155" i="10"/>
  <c r="G99" i="10"/>
  <c r="V99" i="27"/>
  <c r="AA99" i="27" s="1"/>
  <c r="BD99" i="26"/>
  <c r="BF99" i="26" s="1"/>
  <c r="Z185" i="6"/>
  <c r="G383" i="10"/>
  <c r="V383" i="27"/>
  <c r="AA383" i="27" s="1"/>
  <c r="BD383" i="26"/>
  <c r="AD665" i="10"/>
  <c r="V665" i="10"/>
  <c r="Z265" i="10"/>
  <c r="R265" i="10"/>
  <c r="AR665" i="10"/>
  <c r="V265" i="10"/>
  <c r="AI265" i="10"/>
  <c r="S265" i="10"/>
  <c r="AG265" i="10"/>
  <c r="AT665" i="10"/>
  <c r="O265" i="10"/>
  <c r="K265" i="10"/>
  <c r="AA665" i="10"/>
  <c r="U665" i="10"/>
  <c r="AH265" i="10"/>
  <c r="AX665" i="10"/>
  <c r="Y265" i="10"/>
  <c r="AK265" i="10"/>
  <c r="AM665" i="10"/>
  <c r="AV265" i="10"/>
  <c r="X265" i="10"/>
  <c r="AX265" i="10"/>
  <c r="J665" i="10"/>
  <c r="AF265" i="10"/>
  <c r="AO265" i="10"/>
  <c r="M665" i="10"/>
  <c r="AY665" i="10"/>
  <c r="O665" i="10"/>
  <c r="AN665" i="10"/>
  <c r="W265" i="10"/>
  <c r="AL265" i="10"/>
  <c r="AV665" i="10"/>
  <c r="AP665" i="10"/>
  <c r="AH665" i="10"/>
  <c r="AN265" i="10"/>
  <c r="AO665" i="10"/>
  <c r="N665" i="10"/>
  <c r="P665" i="10"/>
  <c r="N265" i="10"/>
  <c r="X665" i="10"/>
  <c r="AE665" i="10"/>
  <c r="AM265" i="10"/>
  <c r="Q265" i="10"/>
  <c r="AW265" i="10"/>
  <c r="AA265" i="10"/>
  <c r="AC665" i="10"/>
  <c r="AB265" i="10"/>
  <c r="M265" i="10"/>
  <c r="AD265" i="10"/>
  <c r="L665" i="10"/>
  <c r="AU665" i="10"/>
  <c r="AY265" i="10"/>
  <c r="AR265" i="10"/>
  <c r="AJ265" i="10"/>
  <c r="Z665" i="10"/>
  <c r="AB665" i="10"/>
  <c r="Q665" i="10"/>
  <c r="AL665" i="10"/>
  <c r="AS665" i="10"/>
  <c r="S665" i="10"/>
  <c r="R665" i="10"/>
  <c r="L265" i="10"/>
  <c r="AG665" i="10"/>
  <c r="AF665" i="10"/>
  <c r="AS265" i="10"/>
  <c r="T665" i="10"/>
  <c r="J265" i="10"/>
  <c r="AT265" i="10"/>
  <c r="AK665" i="10"/>
  <c r="AQ265" i="10"/>
  <c r="AP265" i="10"/>
  <c r="Y665" i="10"/>
  <c r="AW665" i="10"/>
  <c r="AI665" i="10"/>
  <c r="K665" i="10"/>
  <c r="AE265" i="10"/>
  <c r="AJ665" i="10"/>
  <c r="T265" i="10"/>
  <c r="P265" i="10"/>
  <c r="AC265" i="10"/>
  <c r="W665" i="10"/>
  <c r="U265" i="10"/>
  <c r="AQ665" i="10"/>
  <c r="BB68" i="10"/>
  <c r="BC68" i="10" s="1"/>
  <c r="BA68" i="10"/>
  <c r="H154" i="27"/>
  <c r="AK179" i="10"/>
  <c r="R179" i="10"/>
  <c r="U179" i="10"/>
  <c r="AX579" i="10"/>
  <c r="M579" i="10"/>
  <c r="W179" i="10"/>
  <c r="AJ579" i="10"/>
  <c r="AY579" i="10"/>
  <c r="AF579" i="10"/>
  <c r="O179" i="10"/>
  <c r="W579" i="10"/>
  <c r="Z579" i="10"/>
  <c r="P579" i="10"/>
  <c r="AN579" i="10"/>
  <c r="Y579" i="10"/>
  <c r="J579" i="10"/>
  <c r="AT579" i="10"/>
  <c r="AM579" i="10"/>
  <c r="AV179" i="10"/>
  <c r="AC179" i="10"/>
  <c r="AP579" i="10"/>
  <c r="AA179" i="10"/>
  <c r="AE179" i="10"/>
  <c r="L179" i="10"/>
  <c r="AS579" i="10"/>
  <c r="AV579" i="10"/>
  <c r="X179" i="10"/>
  <c r="V579" i="10"/>
  <c r="V179" i="10"/>
  <c r="L579" i="10"/>
  <c r="AG579" i="10"/>
  <c r="O579" i="10"/>
  <c r="X579" i="10"/>
  <c r="AW579" i="10"/>
  <c r="Q579" i="10"/>
  <c r="Q179" i="10"/>
  <c r="AI579" i="10"/>
  <c r="AC579" i="10"/>
  <c r="AR179" i="10"/>
  <c r="AY179" i="10"/>
  <c r="AM179" i="10"/>
  <c r="AI179" i="10"/>
  <c r="N579" i="10"/>
  <c r="R579" i="10"/>
  <c r="AX179" i="10"/>
  <c r="AL579" i="10"/>
  <c r="AR579" i="10"/>
  <c r="T179" i="10"/>
  <c r="U579" i="10"/>
  <c r="AQ179" i="10"/>
  <c r="AA579" i="10"/>
  <c r="N179" i="10"/>
  <c r="AB579" i="10"/>
  <c r="K179" i="10"/>
  <c r="AS179" i="10"/>
  <c r="AJ179" i="10"/>
  <c r="AN179" i="10"/>
  <c r="AO579" i="10"/>
  <c r="AL179" i="10"/>
  <c r="AF179" i="10"/>
  <c r="K579" i="10"/>
  <c r="J179" i="10"/>
  <c r="AH579" i="10"/>
  <c r="AP179" i="10"/>
  <c r="T579" i="10"/>
  <c r="AU579" i="10"/>
  <c r="AG179" i="10"/>
  <c r="AK579" i="10"/>
  <c r="AH179" i="10"/>
  <c r="AW179" i="10"/>
  <c r="AT179" i="10"/>
  <c r="S579" i="10"/>
  <c r="M179" i="10"/>
  <c r="AD579" i="10"/>
  <c r="S179" i="10"/>
  <c r="Z179" i="10"/>
  <c r="AB179" i="10"/>
  <c r="AD179" i="10"/>
  <c r="Y179" i="10"/>
  <c r="AQ579" i="10"/>
  <c r="AO179" i="10"/>
  <c r="AE579" i="10"/>
  <c r="P179" i="10"/>
  <c r="BF82" i="26"/>
  <c r="BB356" i="10"/>
  <c r="BC356" i="10" s="1"/>
  <c r="BA356" i="10"/>
  <c r="Z70" i="6"/>
  <c r="Z141" i="27"/>
  <c r="F141" i="27"/>
  <c r="AG381" i="9"/>
  <c r="F271" i="27"/>
  <c r="Z364" i="6"/>
  <c r="BE185" i="26"/>
  <c r="G185" i="9"/>
  <c r="G185" i="6"/>
  <c r="V370" i="27"/>
  <c r="AA370" i="27" s="1"/>
  <c r="G370" i="10"/>
  <c r="BD370" i="26"/>
  <c r="Q518" i="26"/>
  <c r="F476" i="9" s="1"/>
  <c r="F155" i="27"/>
  <c r="H271" i="27"/>
  <c r="AK95" i="10"/>
  <c r="AS95" i="10"/>
  <c r="AK495" i="10"/>
  <c r="N95" i="10"/>
  <c r="AI495" i="10"/>
  <c r="M495" i="10"/>
  <c r="W95" i="10"/>
  <c r="Y495" i="10"/>
  <c r="P95" i="10"/>
  <c r="AA95" i="10"/>
  <c r="O495" i="10"/>
  <c r="AW95" i="10"/>
  <c r="AF95" i="10"/>
  <c r="AV495" i="10"/>
  <c r="S495" i="10"/>
  <c r="Z95" i="10"/>
  <c r="AX95" i="10"/>
  <c r="O95" i="10"/>
  <c r="K95" i="10"/>
  <c r="T495" i="10"/>
  <c r="AD495" i="10"/>
  <c r="Y95" i="10"/>
  <c r="AC495" i="10"/>
  <c r="AV95" i="10"/>
  <c r="K495" i="10"/>
  <c r="R95" i="10"/>
  <c r="AE95" i="10"/>
  <c r="R495" i="10"/>
  <c r="Q495" i="10"/>
  <c r="AE495" i="10"/>
  <c r="AI95" i="10"/>
  <c r="AL95" i="10"/>
  <c r="S95" i="10"/>
  <c r="AJ495" i="10"/>
  <c r="J95" i="10"/>
  <c r="AY95" i="10"/>
  <c r="J495" i="10"/>
  <c r="AD95" i="10"/>
  <c r="AA495" i="10"/>
  <c r="AS495" i="10"/>
  <c r="AL495" i="10"/>
  <c r="U495" i="10"/>
  <c r="Z495" i="10"/>
  <c r="AN495" i="10"/>
  <c r="AW495" i="10"/>
  <c r="N495" i="10"/>
  <c r="AX495" i="10"/>
  <c r="AM495" i="10"/>
  <c r="M95" i="10"/>
  <c r="P495" i="10"/>
  <c r="L495" i="10"/>
  <c r="AH95" i="10"/>
  <c r="AR495" i="10"/>
  <c r="AO95" i="10"/>
  <c r="U95" i="10"/>
  <c r="W495" i="10"/>
  <c r="AP495" i="10"/>
  <c r="AP95" i="10"/>
  <c r="AF495" i="10"/>
  <c r="AC95" i="10"/>
  <c r="AY495" i="10"/>
  <c r="AQ495" i="10"/>
  <c r="V495" i="10"/>
  <c r="AQ95" i="10"/>
  <c r="AH495" i="10"/>
  <c r="AB95" i="10"/>
  <c r="AT495" i="10"/>
  <c r="X495" i="10"/>
  <c r="AR95" i="10"/>
  <c r="V95" i="10"/>
  <c r="L95" i="10"/>
  <c r="X95" i="10"/>
  <c r="AJ95" i="10"/>
  <c r="Q95" i="10"/>
  <c r="AG95" i="10"/>
  <c r="AT95" i="10"/>
  <c r="AU495" i="10"/>
  <c r="AN95" i="10"/>
  <c r="AG495" i="10"/>
  <c r="AM95" i="10"/>
  <c r="AO495" i="10"/>
  <c r="T95" i="10"/>
  <c r="AB495" i="10"/>
  <c r="G157" i="6"/>
  <c r="G157" i="9"/>
  <c r="BE157" i="26"/>
  <c r="BF157" i="26" s="1"/>
  <c r="BE222" i="26"/>
  <c r="G222" i="9"/>
  <c r="G222" i="6"/>
  <c r="R420" i="26"/>
  <c r="H417" i="9"/>
  <c r="H418" i="6"/>
  <c r="AC418" i="6" s="1"/>
  <c r="AD418" i="6" s="1"/>
  <c r="G160" i="9"/>
  <c r="BE160" i="26"/>
  <c r="G160" i="6"/>
  <c r="AG52" i="9"/>
  <c r="BA350" i="10"/>
  <c r="BB350" i="10"/>
  <c r="H166" i="27"/>
  <c r="H433" i="9"/>
  <c r="R447" i="26"/>
  <c r="I433" i="9" s="1"/>
  <c r="G429" i="9"/>
  <c r="G436" i="6"/>
  <c r="AA745" i="10"/>
  <c r="AW345" i="10"/>
  <c r="AQ345" i="10"/>
  <c r="AY745" i="10"/>
  <c r="X745" i="10"/>
  <c r="AA345" i="10"/>
  <c r="AI345" i="10"/>
  <c r="U345" i="10"/>
  <c r="AP345" i="10"/>
  <c r="S345" i="10"/>
  <c r="AH745" i="10"/>
  <c r="AJ345" i="10"/>
  <c r="Q745" i="10"/>
  <c r="P345" i="10"/>
  <c r="M345" i="10"/>
  <c r="Z345" i="10"/>
  <c r="AS745" i="10"/>
  <c r="AE345" i="10"/>
  <c r="AK745" i="10"/>
  <c r="W745" i="10"/>
  <c r="AC345" i="10"/>
  <c r="AH345" i="10"/>
  <c r="AD345" i="10"/>
  <c r="AU745" i="10"/>
  <c r="Y745" i="10"/>
  <c r="AM745" i="10"/>
  <c r="AM345" i="10"/>
  <c r="AQ745" i="10"/>
  <c r="AN745" i="10"/>
  <c r="AX745" i="10"/>
  <c r="AF345" i="10"/>
  <c r="O745" i="10"/>
  <c r="V745" i="10"/>
  <c r="J345" i="10"/>
  <c r="T345" i="10"/>
  <c r="Z745" i="10"/>
  <c r="AT345" i="10"/>
  <c r="R745" i="10"/>
  <c r="AO345" i="10"/>
  <c r="P745" i="10"/>
  <c r="AY345" i="10"/>
  <c r="K345" i="10"/>
  <c r="AO745" i="10"/>
  <c r="J745" i="10"/>
  <c r="AV345" i="10"/>
  <c r="V345" i="10"/>
  <c r="S745" i="10"/>
  <c r="N345" i="10"/>
  <c r="AL745" i="10"/>
  <c r="AN345" i="10"/>
  <c r="R345" i="10"/>
  <c r="O345" i="10"/>
  <c r="AG745" i="10"/>
  <c r="AB745" i="10"/>
  <c r="AS345" i="10"/>
  <c r="AB345" i="10"/>
  <c r="X345" i="10"/>
  <c r="Y345" i="10"/>
  <c r="AV745" i="10"/>
  <c r="AC745" i="10"/>
  <c r="L345" i="10"/>
  <c r="L745" i="10"/>
  <c r="T745" i="10"/>
  <c r="AJ745" i="10"/>
  <c r="Q345" i="10"/>
  <c r="AW745" i="10"/>
  <c r="AR745" i="10"/>
  <c r="AX345" i="10"/>
  <c r="AI745" i="10"/>
  <c r="N745" i="10"/>
  <c r="K745" i="10"/>
  <c r="AP745" i="10"/>
  <c r="AL345" i="10"/>
  <c r="AT745" i="10"/>
  <c r="AG345" i="10"/>
  <c r="AK345" i="10"/>
  <c r="AE745" i="10"/>
  <c r="AD745" i="10"/>
  <c r="W345" i="10"/>
  <c r="AF745" i="10"/>
  <c r="M745" i="10"/>
  <c r="AR345" i="10"/>
  <c r="U745" i="10"/>
  <c r="F356" i="27"/>
  <c r="BA371" i="10"/>
  <c r="BB371" i="10"/>
  <c r="BD250" i="26"/>
  <c r="V250" i="27"/>
  <c r="AA250" i="27" s="1"/>
  <c r="G250" i="10"/>
  <c r="Q428" i="26"/>
  <c r="F422" i="9" s="1"/>
  <c r="F341" i="27"/>
  <c r="H26" i="27"/>
  <c r="BA92" i="10"/>
  <c r="BB92" i="10"/>
  <c r="BC92" i="10" s="1"/>
  <c r="BE110" i="26"/>
  <c r="G110" i="9"/>
  <c r="G110" i="6"/>
  <c r="BA188" i="10"/>
  <c r="BB188" i="10"/>
  <c r="BC188" i="10" s="1"/>
  <c r="R535" i="26"/>
  <c r="I504" i="6" s="1"/>
  <c r="AG70" i="9"/>
  <c r="H303" i="27"/>
  <c r="BA376" i="10"/>
  <c r="BB376" i="10"/>
  <c r="F194" i="27"/>
  <c r="BA141" i="10"/>
  <c r="BB141" i="10"/>
  <c r="BC141" i="10" s="1"/>
  <c r="BB21" i="10"/>
  <c r="BA21" i="10"/>
  <c r="F216" i="9"/>
  <c r="Z216" i="9" s="1"/>
  <c r="AA216" i="9" s="1"/>
  <c r="Y216" i="27"/>
  <c r="G216" i="27" s="1"/>
  <c r="F216" i="6"/>
  <c r="P216" i="26"/>
  <c r="X216" i="27" s="1"/>
  <c r="AB216" i="27" s="1"/>
  <c r="AG160" i="9"/>
  <c r="H310" i="27"/>
  <c r="BD70" i="26"/>
  <c r="V70" i="27"/>
  <c r="AA70" i="27" s="1"/>
  <c r="G70" i="10"/>
  <c r="AD250" i="10"/>
  <c r="AI250" i="10"/>
  <c r="M650" i="10"/>
  <c r="S250" i="10"/>
  <c r="AX250" i="10"/>
  <c r="V650" i="10"/>
  <c r="AC650" i="10"/>
  <c r="AW250" i="10"/>
  <c r="AO250" i="10"/>
  <c r="AK250" i="10"/>
  <c r="AL250" i="10"/>
  <c r="AC250" i="10"/>
  <c r="AF650" i="10"/>
  <c r="AJ650" i="10"/>
  <c r="AB250" i="10"/>
  <c r="K650" i="10"/>
  <c r="AR250" i="10"/>
  <c r="P250" i="10"/>
  <c r="R250" i="10"/>
  <c r="Z250" i="10"/>
  <c r="M250" i="10"/>
  <c r="AR650" i="10"/>
  <c r="AE250" i="10"/>
  <c r="J650" i="10"/>
  <c r="AM250" i="10"/>
  <c r="AY650" i="10"/>
  <c r="R650" i="10"/>
  <c r="AP250" i="10"/>
  <c r="Q250" i="10"/>
  <c r="J250" i="10"/>
  <c r="V250" i="10"/>
  <c r="K250" i="10"/>
  <c r="AJ250" i="10"/>
  <c r="AT250" i="10"/>
  <c r="U250" i="10"/>
  <c r="AH250" i="10"/>
  <c r="Q650" i="10"/>
  <c r="AV650" i="10"/>
  <c r="Y250" i="10"/>
  <c r="N650" i="10"/>
  <c r="AL650" i="10"/>
  <c r="AG650" i="10"/>
  <c r="AI650" i="10"/>
  <c r="AG250" i="10"/>
  <c r="T250" i="10"/>
  <c r="AX650" i="10"/>
  <c r="O650" i="10"/>
  <c r="AS250" i="10"/>
  <c r="L650" i="10"/>
  <c r="AE650" i="10"/>
  <c r="AB650" i="10"/>
  <c r="AD650" i="10"/>
  <c r="AS650" i="10"/>
  <c r="U650" i="10"/>
  <c r="AN250" i="10"/>
  <c r="AK650" i="10"/>
  <c r="AF250" i="10"/>
  <c r="AH650" i="10"/>
  <c r="N250" i="10"/>
  <c r="X250" i="10"/>
  <c r="AO650" i="10"/>
  <c r="AW650" i="10"/>
  <c r="Y650" i="10"/>
  <c r="X650" i="10"/>
  <c r="AQ250" i="10"/>
  <c r="T650" i="10"/>
  <c r="AN650" i="10"/>
  <c r="AM650" i="10"/>
  <c r="O250" i="10"/>
  <c r="AU650" i="10"/>
  <c r="L250" i="10"/>
  <c r="AP650" i="10"/>
  <c r="AA650" i="10"/>
  <c r="W250" i="10"/>
  <c r="AV250" i="10"/>
  <c r="AT650" i="10"/>
  <c r="P650" i="10"/>
  <c r="S650" i="10"/>
  <c r="AA250" i="10"/>
  <c r="AQ650" i="10"/>
  <c r="W650" i="10"/>
  <c r="AY250" i="10"/>
  <c r="Z650" i="10"/>
  <c r="H128" i="27"/>
  <c r="BB271" i="10"/>
  <c r="BC271" i="10" s="1"/>
  <c r="BA271" i="10"/>
  <c r="F327" i="27"/>
  <c r="H438" i="9"/>
  <c r="R453" i="26"/>
  <c r="I438" i="9" s="1"/>
  <c r="AG110" i="9"/>
  <c r="G93" i="6"/>
  <c r="BE93" i="26"/>
  <c r="G93" i="9"/>
  <c r="AG265" i="9"/>
  <c r="BB274" i="10"/>
  <c r="BC274" i="10" s="1"/>
  <c r="BA274" i="10"/>
  <c r="N473" i="10"/>
  <c r="U73" i="10"/>
  <c r="AO73" i="10"/>
  <c r="AD473" i="10"/>
  <c r="AR73" i="10"/>
  <c r="AB73" i="10"/>
  <c r="U473" i="10"/>
  <c r="AK73" i="10"/>
  <c r="X473" i="10"/>
  <c r="P73" i="10"/>
  <c r="AM73" i="10"/>
  <c r="AF73" i="10"/>
  <c r="AL73" i="10"/>
  <c r="M73" i="10"/>
  <c r="AW473" i="10"/>
  <c r="Y73" i="10"/>
  <c r="L473" i="10"/>
  <c r="AI73" i="10"/>
  <c r="AI473" i="10"/>
  <c r="AQ73" i="10"/>
  <c r="AE341" i="9"/>
  <c r="AN473" i="10"/>
  <c r="AS473" i="10"/>
  <c r="AR473" i="10"/>
  <c r="AP73" i="10"/>
  <c r="AG73" i="10"/>
  <c r="S473" i="10"/>
  <c r="AJ73" i="10"/>
  <c r="M473" i="10"/>
  <c r="AQ473" i="10"/>
  <c r="K73" i="10"/>
  <c r="AH73" i="10"/>
  <c r="AJ473" i="10"/>
  <c r="V473" i="10"/>
  <c r="R473" i="10"/>
  <c r="W73" i="10"/>
  <c r="AV73" i="10"/>
  <c r="AW73" i="10"/>
  <c r="K473" i="10"/>
  <c r="AA73" i="10"/>
  <c r="AP473" i="10"/>
  <c r="R526" i="26"/>
  <c r="I500" i="6" s="1"/>
  <c r="F375" i="27"/>
  <c r="G381" i="6"/>
  <c r="BE381" i="26"/>
  <c r="G381" i="9"/>
  <c r="H34" i="27"/>
  <c r="AG364" i="9"/>
  <c r="F114" i="27"/>
  <c r="F21" i="27"/>
  <c r="Z188" i="27"/>
  <c r="F188" i="27"/>
  <c r="AG185" i="9"/>
  <c r="V160" i="27"/>
  <c r="AA160" i="27" s="1"/>
  <c r="BD160" i="26"/>
  <c r="G160" i="10"/>
  <c r="F74" i="27"/>
  <c r="AV370" i="10"/>
  <c r="P370" i="10"/>
  <c r="AB770" i="10"/>
  <c r="T370" i="10"/>
  <c r="K370" i="10"/>
  <c r="AW770" i="10"/>
  <c r="AK770" i="10"/>
  <c r="O370" i="10"/>
  <c r="AH770" i="10"/>
  <c r="AC770" i="10"/>
  <c r="L370" i="10"/>
  <c r="AV770" i="10"/>
  <c r="AN370" i="10"/>
  <c r="AI370" i="10"/>
  <c r="O770" i="10"/>
  <c r="N370" i="10"/>
  <c r="AM370" i="10"/>
  <c r="T770" i="10"/>
  <c r="Y370" i="10"/>
  <c r="V770" i="10"/>
  <c r="Q770" i="10"/>
  <c r="AE370" i="10"/>
  <c r="AD370" i="10"/>
  <c r="Z770" i="10"/>
  <c r="R770" i="10"/>
  <c r="AT370" i="10"/>
  <c r="AL370" i="10"/>
  <c r="AG370" i="10"/>
  <c r="X370" i="10"/>
  <c r="W370" i="10"/>
  <c r="AY770" i="10"/>
  <c r="AN770" i="10"/>
  <c r="AW370" i="10"/>
  <c r="AY370" i="10"/>
  <c r="AF770" i="10"/>
  <c r="J370" i="10"/>
  <c r="S370" i="10"/>
  <c r="AL770" i="10"/>
  <c r="AX770" i="10"/>
  <c r="AI770" i="10"/>
  <c r="AA770" i="10"/>
  <c r="U770" i="10"/>
  <c r="AX370" i="10"/>
  <c r="AE770" i="10"/>
  <c r="AP370" i="10"/>
  <c r="S770" i="10"/>
  <c r="AR370" i="10"/>
  <c r="AU770" i="10"/>
  <c r="Z370" i="10"/>
  <c r="Q370" i="10"/>
  <c r="K770" i="10"/>
  <c r="V370" i="10"/>
  <c r="AQ770" i="10"/>
  <c r="U370" i="10"/>
  <c r="Y770" i="10"/>
  <c r="AO770" i="10"/>
  <c r="AJ370" i="10"/>
  <c r="X770" i="10"/>
  <c r="AK370" i="10"/>
  <c r="AM770" i="10"/>
  <c r="AB370" i="10"/>
  <c r="AC370" i="10"/>
  <c r="M370" i="10"/>
  <c r="AO370" i="10"/>
  <c r="AR770" i="10"/>
  <c r="AD770" i="10"/>
  <c r="AT770" i="10"/>
  <c r="R370" i="10"/>
  <c r="M770" i="10"/>
  <c r="L770" i="10"/>
  <c r="AA370" i="10"/>
  <c r="AJ770" i="10"/>
  <c r="N770" i="10"/>
  <c r="AF370" i="10"/>
  <c r="AS370" i="10"/>
  <c r="AQ370" i="10"/>
  <c r="AG770" i="10"/>
  <c r="P770" i="10"/>
  <c r="AP770" i="10"/>
  <c r="AS770" i="10"/>
  <c r="AH370" i="10"/>
  <c r="J770" i="10"/>
  <c r="W770" i="10"/>
  <c r="AO518" i="26"/>
  <c r="AN518" i="26" s="1"/>
  <c r="BF518" i="26" s="1"/>
  <c r="V265" i="27"/>
  <c r="AA265" i="27" s="1"/>
  <c r="BD265" i="26"/>
  <c r="G265" i="10"/>
  <c r="AE95" i="9"/>
  <c r="BF271" i="26"/>
  <c r="BA110" i="10"/>
  <c r="BB110" i="10"/>
  <c r="BC110" i="10" s="1"/>
  <c r="BB185" i="10"/>
  <c r="BA185" i="10"/>
  <c r="BA341" i="10"/>
  <c r="BB341" i="10"/>
  <c r="Z160" i="6"/>
  <c r="BE52" i="26"/>
  <c r="BF52" i="26" s="1"/>
  <c r="G52" i="9"/>
  <c r="G52" i="6"/>
  <c r="H68" i="27"/>
  <c r="AF70" i="10"/>
  <c r="L470" i="10"/>
  <c r="AA470" i="10"/>
  <c r="AI70" i="10"/>
  <c r="P470" i="10"/>
  <c r="AN470" i="10"/>
  <c r="AQ70" i="10"/>
  <c r="AY70" i="10"/>
  <c r="AU470" i="10"/>
  <c r="AE70" i="10"/>
  <c r="AY470" i="10"/>
  <c r="N70" i="10"/>
  <c r="AR470" i="10"/>
  <c r="AA70" i="10"/>
  <c r="X70" i="10"/>
  <c r="Y70" i="10"/>
  <c r="AP470" i="10"/>
  <c r="AP70" i="10"/>
  <c r="AO470" i="10"/>
  <c r="AW470" i="10"/>
  <c r="O470" i="10"/>
  <c r="X470" i="10"/>
  <c r="S70" i="10"/>
  <c r="W470" i="10"/>
  <c r="AJ470" i="10"/>
  <c r="AD70" i="10"/>
  <c r="Q70" i="10"/>
  <c r="Y470" i="10"/>
  <c r="V470" i="10"/>
  <c r="M470" i="10"/>
  <c r="AB70" i="10"/>
  <c r="AT70" i="10"/>
  <c r="AG70" i="10"/>
  <c r="K470" i="10"/>
  <c r="AK470" i="10"/>
  <c r="J470" i="10"/>
  <c r="T70" i="10"/>
  <c r="AD470" i="10"/>
  <c r="AX470" i="10"/>
  <c r="AE470" i="10"/>
  <c r="AC70" i="10"/>
  <c r="AO70" i="10"/>
  <c r="AV70" i="10"/>
  <c r="Z70" i="10"/>
  <c r="V70" i="10"/>
  <c r="AS70" i="10"/>
  <c r="AG470" i="10"/>
  <c r="AV470" i="10"/>
  <c r="U470" i="10"/>
  <c r="AL470" i="10"/>
  <c r="AX70" i="10"/>
  <c r="W70" i="10"/>
  <c r="U70" i="10"/>
  <c r="R470" i="10"/>
  <c r="AB470" i="10"/>
  <c r="T470" i="10"/>
  <c r="Q470" i="10"/>
  <c r="N470" i="10"/>
  <c r="AS470" i="10"/>
  <c r="AT470" i="10"/>
  <c r="AM70" i="10"/>
  <c r="J70" i="10"/>
  <c r="P70" i="10"/>
  <c r="AM470" i="10"/>
  <c r="AC470" i="10"/>
  <c r="AH470" i="10"/>
  <c r="R70" i="10"/>
  <c r="AK70" i="10"/>
  <c r="AF470" i="10"/>
  <c r="AI470" i="10"/>
  <c r="M70" i="10"/>
  <c r="Z470" i="10"/>
  <c r="AJ70" i="10"/>
  <c r="AN70" i="10"/>
  <c r="S470" i="10"/>
  <c r="AR70" i="10"/>
  <c r="AH70" i="10"/>
  <c r="AQ470" i="10"/>
  <c r="AL70" i="10"/>
  <c r="K70" i="10"/>
  <c r="O70" i="10"/>
  <c r="AW70" i="10"/>
  <c r="L70" i="10"/>
  <c r="BA344" i="10"/>
  <c r="BB344" i="10"/>
  <c r="BC344" i="10" s="1"/>
  <c r="AE310" i="9"/>
  <c r="H274" i="27"/>
  <c r="BB74" i="10"/>
  <c r="BC74" i="10" s="1"/>
  <c r="BA74" i="10"/>
  <c r="F250" i="6"/>
  <c r="Y250" i="27"/>
  <c r="G250" i="27" s="1"/>
  <c r="F250" i="9"/>
  <c r="Z250" i="9" s="1"/>
  <c r="AA250" i="9" s="1"/>
  <c r="P250" i="26"/>
  <c r="X250" i="27" s="1"/>
  <c r="AB250" i="27" s="1"/>
  <c r="H72" i="27"/>
  <c r="AO428" i="26"/>
  <c r="AN428" i="26" s="1"/>
  <c r="BF428" i="26" s="1"/>
  <c r="Z27" i="27"/>
  <c r="F27" i="27"/>
  <c r="BA86" i="10"/>
  <c r="BB86" i="10"/>
  <c r="BC86" i="10" s="1"/>
  <c r="AG93" i="9"/>
  <c r="Z265" i="6"/>
  <c r="R441" i="26"/>
  <c r="G500" i="6"/>
  <c r="G482" i="9"/>
  <c r="AE260" i="9"/>
  <c r="F455" i="6"/>
  <c r="F448" i="9"/>
  <c r="AP529" i="26"/>
  <c r="AV529" i="26" s="1"/>
  <c r="Q519" i="26"/>
  <c r="F477" i="9" s="1"/>
  <c r="R515" i="26"/>
  <c r="I492" i="6" s="1"/>
  <c r="H492" i="6"/>
  <c r="AC492" i="6" s="1"/>
  <c r="AD492" i="6" s="1"/>
  <c r="H482" i="9"/>
  <c r="H500" i="6"/>
  <c r="AC500" i="6" s="1"/>
  <c r="AD500" i="6" s="1"/>
  <c r="G505" i="6"/>
  <c r="G491" i="9"/>
  <c r="R438" i="26"/>
  <c r="I433" i="6" s="1"/>
  <c r="H433" i="6"/>
  <c r="AC433" i="6" s="1"/>
  <c r="AD433" i="6" s="1"/>
  <c r="Q528" i="26"/>
  <c r="H437" i="9"/>
  <c r="R451" i="26"/>
  <c r="I437" i="9" s="1"/>
  <c r="H439" i="6"/>
  <c r="AC439" i="6" s="1"/>
  <c r="AD439" i="6" s="1"/>
  <c r="R446" i="26"/>
  <c r="I439" i="6" s="1"/>
  <c r="AO528" i="26"/>
  <c r="AN528" i="26" s="1"/>
  <c r="Q489" i="26"/>
  <c r="F469" i="6" s="1"/>
  <c r="Z469" i="6" s="1"/>
  <c r="AG469" i="6" s="1"/>
  <c r="AE282" i="9"/>
  <c r="H448" i="9"/>
  <c r="H455" i="6"/>
  <c r="AC455" i="6" s="1"/>
  <c r="AD455" i="6" s="1"/>
  <c r="R466" i="26"/>
  <c r="R502" i="26"/>
  <c r="I480" i="6" s="1"/>
  <c r="H480" i="6"/>
  <c r="AC480" i="6" s="1"/>
  <c r="AD480" i="6" s="1"/>
  <c r="AI489" i="26"/>
  <c r="AK489" i="26" s="1"/>
  <c r="AO519" i="26"/>
  <c r="AN519" i="26" s="1"/>
  <c r="AE82" i="9"/>
  <c r="F104" i="27"/>
  <c r="F139" i="27"/>
  <c r="Q524" i="26"/>
  <c r="F140" i="27"/>
  <c r="Z131" i="27"/>
  <c r="F131" i="27"/>
  <c r="Z62" i="6"/>
  <c r="H82" i="27"/>
  <c r="R435" i="26"/>
  <c r="H430" i="6"/>
  <c r="AC430" i="6" s="1"/>
  <c r="AD430" i="6" s="1"/>
  <c r="H427" i="9"/>
  <c r="AN500" i="26"/>
  <c r="BF500" i="26" s="1"/>
  <c r="BB513" i="26"/>
  <c r="BA513" i="26" s="1"/>
  <c r="Z123" i="6"/>
  <c r="G335" i="9"/>
  <c r="BE335" i="26"/>
  <c r="G335" i="6"/>
  <c r="R456" i="26"/>
  <c r="H447" i="6"/>
  <c r="AC447" i="6" s="1"/>
  <c r="AD447" i="6" s="1"/>
  <c r="H440" i="9"/>
  <c r="BD388" i="26"/>
  <c r="BF388" i="26" s="1"/>
  <c r="G388" i="10"/>
  <c r="V388" i="27"/>
  <c r="AA388" i="27" s="1"/>
  <c r="BD62" i="26"/>
  <c r="V62" i="27"/>
  <c r="AA62" i="27" s="1"/>
  <c r="G62" i="10"/>
  <c r="AG164" i="9"/>
  <c r="H429" i="6"/>
  <c r="AC429" i="6" s="1"/>
  <c r="AD429" i="6" s="1"/>
  <c r="R434" i="26"/>
  <c r="I429" i="6" s="1"/>
  <c r="AM513" i="26"/>
  <c r="AU513" i="26"/>
  <c r="G123" i="10"/>
  <c r="V123" i="27"/>
  <c r="AA123" i="27" s="1"/>
  <c r="BD123" i="26"/>
  <c r="F73" i="27"/>
  <c r="G62" i="9"/>
  <c r="BE62" i="26"/>
  <c r="G62" i="6"/>
  <c r="AG266" i="9"/>
  <c r="Q500" i="26"/>
  <c r="F478" i="6" s="1"/>
  <c r="AI490" i="26"/>
  <c r="AK490" i="26" s="1"/>
  <c r="AD164" i="10"/>
  <c r="AK564" i="10"/>
  <c r="P564" i="10"/>
  <c r="M564" i="10"/>
  <c r="AJ164" i="10"/>
  <c r="P164" i="10"/>
  <c r="AH164" i="10"/>
  <c r="AN564" i="10"/>
  <c r="N164" i="10"/>
  <c r="AA564" i="10"/>
  <c r="AX164" i="10"/>
  <c r="Q164" i="10"/>
  <c r="O164" i="10"/>
  <c r="J564" i="10"/>
  <c r="T564" i="10"/>
  <c r="AW164" i="10"/>
  <c r="AA164" i="10"/>
  <c r="AC164" i="10"/>
  <c r="R564" i="10"/>
  <c r="L564" i="10"/>
  <c r="AQ564" i="10"/>
  <c r="AT564" i="10"/>
  <c r="AV164" i="10"/>
  <c r="AF164" i="10"/>
  <c r="S564" i="10"/>
  <c r="AY164" i="10"/>
  <c r="AR564" i="10"/>
  <c r="AL564" i="10"/>
  <c r="AK164" i="10"/>
  <c r="AS164" i="10"/>
  <c r="AO164" i="10"/>
  <c r="AR164" i="10"/>
  <c r="AM164" i="10"/>
  <c r="S164" i="10"/>
  <c r="AP564" i="10"/>
  <c r="AE564" i="10"/>
  <c r="AL164" i="10"/>
  <c r="AB564" i="10"/>
  <c r="V564" i="10"/>
  <c r="T164" i="10"/>
  <c r="Y164" i="10"/>
  <c r="AB164" i="10"/>
  <c r="N564" i="10"/>
  <c r="AQ164" i="10"/>
  <c r="AI164" i="10"/>
  <c r="AN164" i="10"/>
  <c r="AG164" i="10"/>
  <c r="AS564" i="10"/>
  <c r="AO564" i="10"/>
  <c r="AF564" i="10"/>
  <c r="AJ564" i="10"/>
  <c r="K164" i="10"/>
  <c r="W164" i="10"/>
  <c r="AG564" i="10"/>
  <c r="AD564" i="10"/>
  <c r="Y564" i="10"/>
  <c r="AV564" i="10"/>
  <c r="M164" i="10"/>
  <c r="Z164" i="10"/>
  <c r="X164" i="10"/>
  <c r="AI564" i="10"/>
  <c r="W564" i="10"/>
  <c r="AT164" i="10"/>
  <c r="AP164" i="10"/>
  <c r="J164" i="10"/>
  <c r="U564" i="10"/>
  <c r="O564" i="10"/>
  <c r="V164" i="10"/>
  <c r="AE164" i="10"/>
  <c r="Q564" i="10"/>
  <c r="AX564" i="10"/>
  <c r="R164" i="10"/>
  <c r="Z564" i="10"/>
  <c r="AU564" i="10"/>
  <c r="X564" i="10"/>
  <c r="AY564" i="10"/>
  <c r="AH564" i="10"/>
  <c r="L164" i="10"/>
  <c r="U164" i="10"/>
  <c r="AW564" i="10"/>
  <c r="K564" i="10"/>
  <c r="AC564" i="10"/>
  <c r="AM564" i="10"/>
  <c r="Z335" i="6"/>
  <c r="H282" i="27"/>
  <c r="Z282" i="27"/>
  <c r="AE193" i="9"/>
  <c r="F497" i="6"/>
  <c r="F479" i="9"/>
  <c r="BB131" i="10"/>
  <c r="BC131" i="10" s="1"/>
  <c r="BA131" i="10"/>
  <c r="T462" i="10"/>
  <c r="V462" i="10"/>
  <c r="W462" i="10"/>
  <c r="AM62" i="10"/>
  <c r="AP62" i="10"/>
  <c r="Q462" i="10"/>
  <c r="AK462" i="10"/>
  <c r="M62" i="10"/>
  <c r="AI62" i="10"/>
  <c r="AO462" i="10"/>
  <c r="N62" i="10"/>
  <c r="AB62" i="10"/>
  <c r="AF62" i="10"/>
  <c r="AX462" i="10"/>
  <c r="R462" i="10"/>
  <c r="X62" i="10"/>
  <c r="Y62" i="10"/>
  <c r="AX62" i="10"/>
  <c r="AC462" i="10"/>
  <c r="AA62" i="10"/>
  <c r="K62" i="10"/>
  <c r="AA462" i="10"/>
  <c r="AU462" i="10"/>
  <c r="X462" i="10"/>
  <c r="Y462" i="10"/>
  <c r="AL62" i="10"/>
  <c r="T62" i="10"/>
  <c r="AL462" i="10"/>
  <c r="N462" i="10"/>
  <c r="V62" i="10"/>
  <c r="AP462" i="10"/>
  <c r="Q62" i="10"/>
  <c r="K462" i="10"/>
  <c r="S62" i="10"/>
  <c r="AW62" i="10"/>
  <c r="AW462" i="10"/>
  <c r="AD462" i="10"/>
  <c r="AB462" i="10"/>
  <c r="AF462" i="10"/>
  <c r="Z62" i="10"/>
  <c r="AG62" i="10"/>
  <c r="AD62" i="10"/>
  <c r="AK62" i="10"/>
  <c r="AR62" i="10"/>
  <c r="AY462" i="10"/>
  <c r="Z462" i="10"/>
  <c r="AI462" i="10"/>
  <c r="AS62" i="10"/>
  <c r="AJ62" i="10"/>
  <c r="AM462" i="10"/>
  <c r="L62" i="10"/>
  <c r="AC62" i="10"/>
  <c r="S462" i="10"/>
  <c r="AR462" i="10"/>
  <c r="M462" i="10"/>
  <c r="P62" i="10"/>
  <c r="AT62" i="10"/>
  <c r="AE462" i="10"/>
  <c r="AH62" i="10"/>
  <c r="AG462" i="10"/>
  <c r="AJ462" i="10"/>
  <c r="AH462" i="10"/>
  <c r="AQ462" i="10"/>
  <c r="U462" i="10"/>
  <c r="AN62" i="10"/>
  <c r="AQ62" i="10"/>
  <c r="AY62" i="10"/>
  <c r="J462" i="10"/>
  <c r="AE62" i="10"/>
  <c r="W62" i="10"/>
  <c r="AN462" i="10"/>
  <c r="L462" i="10"/>
  <c r="U62" i="10"/>
  <c r="AO62" i="10"/>
  <c r="AS462" i="10"/>
  <c r="P462" i="10"/>
  <c r="O462" i="10"/>
  <c r="AV62" i="10"/>
  <c r="J62" i="10"/>
  <c r="AT462" i="10"/>
  <c r="O62" i="10"/>
  <c r="AV462" i="10"/>
  <c r="R62" i="10"/>
  <c r="AN427" i="26"/>
  <c r="BF427" i="26" s="1"/>
  <c r="AH266" i="10"/>
  <c r="AR666" i="10"/>
  <c r="Q266" i="10"/>
  <c r="AX266" i="10"/>
  <c r="Y266" i="10"/>
  <c r="V666" i="10"/>
  <c r="AR266" i="10"/>
  <c r="R266" i="10"/>
  <c r="AD666" i="10"/>
  <c r="AL266" i="10"/>
  <c r="AC666" i="10"/>
  <c r="AN666" i="10"/>
  <c r="AY266" i="10"/>
  <c r="AJ666" i="10"/>
  <c r="R666" i="10"/>
  <c r="L666" i="10"/>
  <c r="Z266" i="10"/>
  <c r="L266" i="10"/>
  <c r="AA666" i="10"/>
  <c r="S666" i="10"/>
  <c r="O666" i="10"/>
  <c r="AK666" i="10"/>
  <c r="V266" i="10"/>
  <c r="AJ266" i="10"/>
  <c r="AC266" i="10"/>
  <c r="AO666" i="10"/>
  <c r="N266" i="10"/>
  <c r="AO266" i="10"/>
  <c r="AB666" i="10"/>
  <c r="U266" i="10"/>
  <c r="S266" i="10"/>
  <c r="AI266" i="10"/>
  <c r="AS266" i="10"/>
  <c r="AI666" i="10"/>
  <c r="W266" i="10"/>
  <c r="AK266" i="10"/>
  <c r="AT666" i="10"/>
  <c r="T266" i="10"/>
  <c r="Y666" i="10"/>
  <c r="AH666" i="10"/>
  <c r="AA266" i="10"/>
  <c r="AF666" i="10"/>
  <c r="AE666" i="10"/>
  <c r="Q666" i="10"/>
  <c r="AV666" i="10"/>
  <c r="J666" i="10"/>
  <c r="AG666" i="10"/>
  <c r="P266" i="10"/>
  <c r="U666" i="10"/>
  <c r="AM266" i="10"/>
  <c r="X266" i="10"/>
  <c r="J266" i="10"/>
  <c r="AU666" i="10"/>
  <c r="AN266" i="10"/>
  <c r="P666" i="10"/>
  <c r="AD266" i="10"/>
  <c r="AL666" i="10"/>
  <c r="AG266" i="10"/>
  <c r="X666" i="10"/>
  <c r="AF266" i="10"/>
  <c r="AV266" i="10"/>
  <c r="AQ666" i="10"/>
  <c r="T666" i="10"/>
  <c r="AE266" i="10"/>
  <c r="AB266" i="10"/>
  <c r="AP666" i="10"/>
  <c r="AT266" i="10"/>
  <c r="AY666" i="10"/>
  <c r="O266" i="10"/>
  <c r="AQ266" i="10"/>
  <c r="AM666" i="10"/>
  <c r="AS666" i="10"/>
  <c r="W666" i="10"/>
  <c r="AX666" i="10"/>
  <c r="M266" i="10"/>
  <c r="M666" i="10"/>
  <c r="AW666" i="10"/>
  <c r="Z666" i="10"/>
  <c r="AP266" i="10"/>
  <c r="N666" i="10"/>
  <c r="K666" i="10"/>
  <c r="AW266" i="10"/>
  <c r="K266" i="10"/>
  <c r="AE362" i="9"/>
  <c r="V290" i="27"/>
  <c r="AA290" i="27" s="1"/>
  <c r="G290" i="10"/>
  <c r="BD290" i="26"/>
  <c r="H350" i="27"/>
  <c r="R471" i="26"/>
  <c r="H451" i="9"/>
  <c r="H459" i="6"/>
  <c r="AC459" i="6" s="1"/>
  <c r="AD459" i="6" s="1"/>
  <c r="Z281" i="6"/>
  <c r="AN123" i="10"/>
  <c r="U123" i="10"/>
  <c r="AH123" i="10"/>
  <c r="AU523" i="10"/>
  <c r="AY123" i="10"/>
  <c r="S523" i="10"/>
  <c r="P523" i="10"/>
  <c r="AA123" i="10"/>
  <c r="AX123" i="10"/>
  <c r="AE523" i="10"/>
  <c r="V523" i="10"/>
  <c r="W123" i="10"/>
  <c r="AM123" i="10"/>
  <c r="AC123" i="10"/>
  <c r="AQ123" i="10"/>
  <c r="Q523" i="10"/>
  <c r="AV123" i="10"/>
  <c r="AI123" i="10"/>
  <c r="AB123" i="10"/>
  <c r="AM523" i="10"/>
  <c r="K123" i="10"/>
  <c r="AF123" i="10"/>
  <c r="Y523" i="10"/>
  <c r="AO123" i="10"/>
  <c r="V123" i="10"/>
  <c r="AP523" i="10"/>
  <c r="AJ523" i="10"/>
  <c r="S123" i="10"/>
  <c r="AE123" i="10"/>
  <c r="AX523" i="10"/>
  <c r="Y123" i="10"/>
  <c r="AV523" i="10"/>
  <c r="AS123" i="10"/>
  <c r="R523" i="10"/>
  <c r="L523" i="10"/>
  <c r="AK523" i="10"/>
  <c r="AF523" i="10"/>
  <c r="L123" i="10"/>
  <c r="AR523" i="10"/>
  <c r="AW523" i="10"/>
  <c r="J523" i="10"/>
  <c r="R123" i="10"/>
  <c r="AO523" i="10"/>
  <c r="AB523" i="10"/>
  <c r="Z123" i="10"/>
  <c r="X123" i="10"/>
  <c r="AK123" i="10"/>
  <c r="AN523" i="10"/>
  <c r="AQ523" i="10"/>
  <c r="AG123" i="10"/>
  <c r="N123" i="10"/>
  <c r="AD523" i="10"/>
  <c r="AL523" i="10"/>
  <c r="AL123" i="10"/>
  <c r="K523" i="10"/>
  <c r="AA523" i="10"/>
  <c r="Q123" i="10"/>
  <c r="X523" i="10"/>
  <c r="Z523" i="10"/>
  <c r="M123" i="10"/>
  <c r="O523" i="10"/>
  <c r="U523" i="10"/>
  <c r="W523" i="10"/>
  <c r="AJ123" i="10"/>
  <c r="T123" i="10"/>
  <c r="AH523" i="10"/>
  <c r="N523" i="10"/>
  <c r="AG523" i="10"/>
  <c r="P123" i="10"/>
  <c r="AP123" i="10"/>
  <c r="AY523" i="10"/>
  <c r="AS523" i="10"/>
  <c r="AI523" i="10"/>
  <c r="O123" i="10"/>
  <c r="AD123" i="10"/>
  <c r="AC523" i="10"/>
  <c r="AT123" i="10"/>
  <c r="AW123" i="10"/>
  <c r="M523" i="10"/>
  <c r="AR123" i="10"/>
  <c r="AT523" i="10"/>
  <c r="J123" i="10"/>
  <c r="T523" i="10"/>
  <c r="F82" i="27"/>
  <c r="H362" i="27"/>
  <c r="AG62" i="9"/>
  <c r="AF41" i="6"/>
  <c r="BE266" i="26"/>
  <c r="G266" i="9"/>
  <c r="G266" i="6"/>
  <c r="F445" i="9"/>
  <c r="F452" i="6"/>
  <c r="AE331" i="9"/>
  <c r="AE350" i="9"/>
  <c r="BD287" i="26"/>
  <c r="G287" i="10"/>
  <c r="V287" i="27"/>
  <c r="AA287" i="27" s="1"/>
  <c r="AG123" i="9"/>
  <c r="R462" i="26"/>
  <c r="I451" i="6" s="1"/>
  <c r="H451" i="6"/>
  <c r="AC451" i="6" s="1"/>
  <c r="AD451" i="6" s="1"/>
  <c r="AO504" i="26"/>
  <c r="AN504" i="26" s="1"/>
  <c r="BA104" i="10"/>
  <c r="BB104" i="10"/>
  <c r="AP461" i="26"/>
  <c r="AV461" i="26" s="1"/>
  <c r="P461" i="26" s="1"/>
  <c r="G335" i="10"/>
  <c r="V335" i="27"/>
  <c r="AA335" i="27" s="1"/>
  <c r="BD335" i="26"/>
  <c r="H479" i="9"/>
  <c r="H497" i="6"/>
  <c r="AC497" i="6" s="1"/>
  <c r="AD497" i="6" s="1"/>
  <c r="R523" i="26"/>
  <c r="R525" i="26"/>
  <c r="H499" i="6"/>
  <c r="AC499" i="6" s="1"/>
  <c r="AD499" i="6" s="1"/>
  <c r="H481" i="9"/>
  <c r="Z164" i="6"/>
  <c r="Q427" i="26"/>
  <c r="F423" i="6" s="1"/>
  <c r="BA362" i="10"/>
  <c r="BB362" i="10"/>
  <c r="H470" i="6"/>
  <c r="AC470" i="6" s="1"/>
  <c r="AD470" i="6" s="1"/>
  <c r="R491" i="26"/>
  <c r="I470" i="6" s="1"/>
  <c r="G281" i="9"/>
  <c r="G281" i="6"/>
  <c r="BE281" i="26"/>
  <c r="BF281" i="26" s="1"/>
  <c r="H73" i="27"/>
  <c r="AN524" i="26"/>
  <c r="BF524" i="26" s="1"/>
  <c r="H71" i="27"/>
  <c r="Z266" i="6"/>
  <c r="F430" i="6"/>
  <c r="F427" i="9"/>
  <c r="H388" i="27"/>
  <c r="AH287" i="10"/>
  <c r="AP687" i="10"/>
  <c r="P287" i="10"/>
  <c r="Z287" i="10"/>
  <c r="Q287" i="10"/>
  <c r="Z687" i="10"/>
  <c r="AP287" i="10"/>
  <c r="AT287" i="10"/>
  <c r="AD287" i="10"/>
  <c r="AK287" i="10"/>
  <c r="O687" i="10"/>
  <c r="AX287" i="10"/>
  <c r="J287" i="10"/>
  <c r="AO287" i="10"/>
  <c r="AM287" i="10"/>
  <c r="AC687" i="10"/>
  <c r="AY287" i="10"/>
  <c r="Q687" i="10"/>
  <c r="AS287" i="10"/>
  <c r="AG687" i="10"/>
  <c r="AH687" i="10"/>
  <c r="P687" i="10"/>
  <c r="AV687" i="10"/>
  <c r="AA687" i="10"/>
  <c r="AW287" i="10"/>
  <c r="V687" i="10"/>
  <c r="AJ687" i="10"/>
  <c r="T687" i="10"/>
  <c r="AQ287" i="10"/>
  <c r="AL687" i="10"/>
  <c r="U687" i="10"/>
  <c r="N287" i="10"/>
  <c r="AL287" i="10"/>
  <c r="AT687" i="10"/>
  <c r="AR287" i="10"/>
  <c r="O287" i="10"/>
  <c r="AM687" i="10"/>
  <c r="K687" i="10"/>
  <c r="AB687" i="10"/>
  <c r="X287" i="10"/>
  <c r="AR687" i="10"/>
  <c r="R287" i="10"/>
  <c r="L687" i="10"/>
  <c r="K287" i="10"/>
  <c r="AE287" i="10"/>
  <c r="R687" i="10"/>
  <c r="AO687" i="10"/>
  <c r="X687" i="10"/>
  <c r="N687" i="10"/>
  <c r="W287" i="10"/>
  <c r="AA287" i="10"/>
  <c r="M287" i="10"/>
  <c r="AI687" i="10"/>
  <c r="V287" i="10"/>
  <c r="AI287" i="10"/>
  <c r="AJ287" i="10"/>
  <c r="AN687" i="10"/>
  <c r="U287" i="10"/>
  <c r="AX687" i="10"/>
  <c r="AW687" i="10"/>
  <c r="AK687" i="10"/>
  <c r="W687" i="10"/>
  <c r="AN287" i="10"/>
  <c r="AU687" i="10"/>
  <c r="AE687" i="10"/>
  <c r="S287" i="10"/>
  <c r="AC287" i="10"/>
  <c r="L287" i="10"/>
  <c r="AG287" i="10"/>
  <c r="AS687" i="10"/>
  <c r="AD687" i="10"/>
  <c r="J687" i="10"/>
  <c r="Y287" i="10"/>
  <c r="AB287" i="10"/>
  <c r="AF287" i="10"/>
  <c r="AV287" i="10"/>
  <c r="M687" i="10"/>
  <c r="AF687" i="10"/>
  <c r="AY687" i="10"/>
  <c r="AQ687" i="10"/>
  <c r="T287" i="10"/>
  <c r="S687" i="10"/>
  <c r="Y687" i="10"/>
  <c r="Q490" i="26"/>
  <c r="F467" i="9" s="1"/>
  <c r="G164" i="10"/>
  <c r="V164" i="27"/>
  <c r="AA164" i="27" s="1"/>
  <c r="BD164" i="26"/>
  <c r="G123" i="9"/>
  <c r="G123" i="6"/>
  <c r="BE123" i="26"/>
  <c r="Q504" i="26"/>
  <c r="F470" i="9" s="1"/>
  <c r="AG335" i="9"/>
  <c r="P788" i="10"/>
  <c r="AE388" i="10"/>
  <c r="Q788" i="10"/>
  <c r="M388" i="10"/>
  <c r="AS788" i="10"/>
  <c r="X788" i="10"/>
  <c r="V388" i="10"/>
  <c r="W788" i="10"/>
  <c r="S388" i="10"/>
  <c r="Y388" i="10"/>
  <c r="AD388" i="10"/>
  <c r="AU788" i="10"/>
  <c r="AW388" i="10"/>
  <c r="AE788" i="10"/>
  <c r="Z788" i="10"/>
  <c r="AL788" i="10"/>
  <c r="AF788" i="10"/>
  <c r="N388" i="10"/>
  <c r="AP388" i="10"/>
  <c r="AC788" i="10"/>
  <c r="M788" i="10"/>
  <c r="AJ388" i="10"/>
  <c r="O788" i="10"/>
  <c r="AV388" i="10"/>
  <c r="AT788" i="10"/>
  <c r="AH388" i="10"/>
  <c r="X388" i="10"/>
  <c r="AA388" i="10"/>
  <c r="S788" i="10"/>
  <c r="Y788" i="10"/>
  <c r="R788" i="10"/>
  <c r="AK388" i="10"/>
  <c r="AL388" i="10"/>
  <c r="AQ388" i="10"/>
  <c r="AN788" i="10"/>
  <c r="L788" i="10"/>
  <c r="Z388" i="10"/>
  <c r="AN388" i="10"/>
  <c r="AF388" i="10"/>
  <c r="V788" i="10"/>
  <c r="AR788" i="10"/>
  <c r="L388" i="10"/>
  <c r="AW788" i="10"/>
  <c r="AR388" i="10"/>
  <c r="U788" i="10"/>
  <c r="Q388" i="10"/>
  <c r="AO788" i="10"/>
  <c r="AA788" i="10"/>
  <c r="AB388" i="10"/>
  <c r="AK788" i="10"/>
  <c r="AB788" i="10"/>
  <c r="AC388" i="10"/>
  <c r="AY788" i="10"/>
  <c r="N788" i="10"/>
  <c r="AI788" i="10"/>
  <c r="AM388" i="10"/>
  <c r="P388" i="10"/>
  <c r="K388" i="10"/>
  <c r="AG788" i="10"/>
  <c r="R388" i="10"/>
  <c r="T388" i="10"/>
  <c r="AP788" i="10"/>
  <c r="T788" i="10"/>
  <c r="O388" i="10"/>
  <c r="J388" i="10"/>
  <c r="AX388" i="10"/>
  <c r="AD788" i="10"/>
  <c r="AI388" i="10"/>
  <c r="AO388" i="10"/>
  <c r="AY388" i="10"/>
  <c r="AS388" i="10"/>
  <c r="AT388" i="10"/>
  <c r="J788" i="10"/>
  <c r="W388" i="10"/>
  <c r="AM788" i="10"/>
  <c r="AH788" i="10"/>
  <c r="AV788" i="10"/>
  <c r="AX788" i="10"/>
  <c r="U388" i="10"/>
  <c r="AG388" i="10"/>
  <c r="AQ788" i="10"/>
  <c r="K788" i="10"/>
  <c r="AJ788" i="10"/>
  <c r="H448" i="6"/>
  <c r="AC448" i="6" s="1"/>
  <c r="AD448" i="6" s="1"/>
  <c r="R457" i="26"/>
  <c r="H441" i="9"/>
  <c r="AX335" i="10"/>
  <c r="J735" i="10"/>
  <c r="L335" i="10"/>
  <c r="AE335" i="10"/>
  <c r="AR735" i="10"/>
  <c r="AG735" i="10"/>
  <c r="AV335" i="10"/>
  <c r="AD735" i="10"/>
  <c r="AJ735" i="10"/>
  <c r="AO735" i="10"/>
  <c r="W735" i="10"/>
  <c r="AQ735" i="10"/>
  <c r="AH735" i="10"/>
  <c r="AI335" i="10"/>
  <c r="K335" i="10"/>
  <c r="Z735" i="10"/>
  <c r="AU735" i="10"/>
  <c r="AF735" i="10"/>
  <c r="AK335" i="10"/>
  <c r="AC735" i="10"/>
  <c r="V335" i="10"/>
  <c r="V735" i="10"/>
  <c r="AR335" i="10"/>
  <c r="AP335" i="10"/>
  <c r="X335" i="10"/>
  <c r="AB735" i="10"/>
  <c r="S335" i="10"/>
  <c r="L735" i="10"/>
  <c r="M335" i="10"/>
  <c r="P735" i="10"/>
  <c r="AC335" i="10"/>
  <c r="AQ335" i="10"/>
  <c r="AH335" i="10"/>
  <c r="U335" i="10"/>
  <c r="AY735" i="10"/>
  <c r="M735" i="10"/>
  <c r="AX735" i="10"/>
  <c r="AM735" i="10"/>
  <c r="U735" i="10"/>
  <c r="Q335" i="10"/>
  <c r="AI735" i="10"/>
  <c r="N735" i="10"/>
  <c r="AT735" i="10"/>
  <c r="AM335" i="10"/>
  <c r="AS335" i="10"/>
  <c r="Y335" i="10"/>
  <c r="Q735" i="10"/>
  <c r="J335" i="10"/>
  <c r="AW335" i="10"/>
  <c r="AG335" i="10"/>
  <c r="AE735" i="10"/>
  <c r="T335" i="10"/>
  <c r="T735" i="10"/>
  <c r="AN335" i="10"/>
  <c r="AO335" i="10"/>
  <c r="AS735" i="10"/>
  <c r="S735" i="10"/>
  <c r="P335" i="10"/>
  <c r="AW735" i="10"/>
  <c r="AN735" i="10"/>
  <c r="X735" i="10"/>
  <c r="K735" i="10"/>
  <c r="AJ335" i="10"/>
  <c r="AD335" i="10"/>
  <c r="AA335" i="10"/>
  <c r="W335" i="10"/>
  <c r="AF335" i="10"/>
  <c r="Y735" i="10"/>
  <c r="AP735" i="10"/>
  <c r="AV735" i="10"/>
  <c r="O335" i="10"/>
  <c r="AT335" i="10"/>
  <c r="AL335" i="10"/>
  <c r="AK735" i="10"/>
  <c r="R335" i="10"/>
  <c r="AL735" i="10"/>
  <c r="N335" i="10"/>
  <c r="AA735" i="10"/>
  <c r="AY335" i="10"/>
  <c r="AB335" i="10"/>
  <c r="R735" i="10"/>
  <c r="O735" i="10"/>
  <c r="Z335" i="10"/>
  <c r="F499" i="6"/>
  <c r="F481" i="9"/>
  <c r="G164" i="6"/>
  <c r="BE164" i="26"/>
  <c r="G164" i="9"/>
  <c r="BD266" i="26"/>
  <c r="V266" i="27"/>
  <c r="AA266" i="27" s="1"/>
  <c r="G266" i="10"/>
  <c r="AQ290" i="10"/>
  <c r="AX290" i="10"/>
  <c r="T690" i="10"/>
  <c r="AN690" i="10"/>
  <c r="AG290" i="10"/>
  <c r="AS690" i="10"/>
  <c r="AL290" i="10"/>
  <c r="K690" i="10"/>
  <c r="J290" i="10"/>
  <c r="Z690" i="10"/>
  <c r="AO690" i="10"/>
  <c r="AF690" i="10"/>
  <c r="O290" i="10"/>
  <c r="M690" i="10"/>
  <c r="L290" i="10"/>
  <c r="S290" i="10"/>
  <c r="AH290" i="10"/>
  <c r="X690" i="10"/>
  <c r="N290" i="10"/>
  <c r="T290" i="10"/>
  <c r="AR290" i="10"/>
  <c r="AA690" i="10"/>
  <c r="AK290" i="10"/>
  <c r="AD290" i="10"/>
  <c r="AA290" i="10"/>
  <c r="V690" i="10"/>
  <c r="Q690" i="10"/>
  <c r="AW290" i="10"/>
  <c r="M290" i="10"/>
  <c r="AD690" i="10"/>
  <c r="AB690" i="10"/>
  <c r="AB290" i="10"/>
  <c r="AP290" i="10"/>
  <c r="O690" i="10"/>
  <c r="AM690" i="10"/>
  <c r="AU690" i="10"/>
  <c r="Y290" i="10"/>
  <c r="AG690" i="10"/>
  <c r="AX690" i="10"/>
  <c r="AE690" i="10"/>
  <c r="AC290" i="10"/>
  <c r="AH690" i="10"/>
  <c r="AP690" i="10"/>
  <c r="AY290" i="10"/>
  <c r="U690" i="10"/>
  <c r="AW690" i="10"/>
  <c r="AT290" i="10"/>
  <c r="AK690" i="10"/>
  <c r="W290" i="10"/>
  <c r="AF290" i="10"/>
  <c r="V290" i="10"/>
  <c r="AR690" i="10"/>
  <c r="AQ690" i="10"/>
  <c r="AO290" i="10"/>
  <c r="J690" i="10"/>
  <c r="Q290" i="10"/>
  <c r="AL690" i="10"/>
  <c r="AJ290" i="10"/>
  <c r="Y690" i="10"/>
  <c r="AE290" i="10"/>
  <c r="AY690" i="10"/>
  <c r="AT690" i="10"/>
  <c r="K290" i="10"/>
  <c r="Z290" i="10"/>
  <c r="AI690" i="10"/>
  <c r="P690" i="10"/>
  <c r="AV290" i="10"/>
  <c r="P290" i="10"/>
  <c r="U290" i="10"/>
  <c r="AV690" i="10"/>
  <c r="N690" i="10"/>
  <c r="AJ690" i="10"/>
  <c r="S690" i="10"/>
  <c r="L690" i="10"/>
  <c r="W690" i="10"/>
  <c r="AI290" i="10"/>
  <c r="AM290" i="10"/>
  <c r="R690" i="10"/>
  <c r="X290" i="10"/>
  <c r="AN290" i="10"/>
  <c r="AS290" i="10"/>
  <c r="R290" i="10"/>
  <c r="AC690" i="10"/>
  <c r="AG281" i="9"/>
  <c r="BE231" i="26" l="1"/>
  <c r="X231" i="27"/>
  <c r="AB231" i="27" s="1"/>
  <c r="G221" i="6"/>
  <c r="X221" i="27"/>
  <c r="AB221" i="27" s="1"/>
  <c r="G232" i="9"/>
  <c r="X232" i="27"/>
  <c r="AB232" i="27" s="1"/>
  <c r="G227" i="9"/>
  <c r="X227" i="27"/>
  <c r="AB227" i="27" s="1"/>
  <c r="BE251" i="26"/>
  <c r="BF251" i="26" s="1"/>
  <c r="X251" i="27"/>
  <c r="AB251" i="27" s="1"/>
  <c r="G304" i="9"/>
  <c r="X304" i="27"/>
  <c r="AB304" i="27" s="1"/>
  <c r="H108" i="27"/>
  <c r="H79" i="27"/>
  <c r="G226" i="9"/>
  <c r="X226" i="27"/>
  <c r="AB226" i="27" s="1"/>
  <c r="G237" i="6"/>
  <c r="X237" i="27"/>
  <c r="AB237" i="27" s="1"/>
  <c r="BE220" i="26"/>
  <c r="X220" i="27"/>
  <c r="AB220" i="27" s="1"/>
  <c r="X239" i="27"/>
  <c r="AB239" i="27" s="1"/>
  <c r="F321" i="27"/>
  <c r="AA321" i="27"/>
  <c r="F64" i="27"/>
  <c r="AA64" i="27"/>
  <c r="Z64" i="27" s="1"/>
  <c r="F112" i="27"/>
  <c r="AA112" i="27"/>
  <c r="F231" i="27"/>
  <c r="AA231" i="27"/>
  <c r="F91" i="27"/>
  <c r="AA91" i="27"/>
  <c r="AA322" i="27"/>
  <c r="Z322" i="27" s="1"/>
  <c r="AA235" i="27"/>
  <c r="Z235" i="27" s="1"/>
  <c r="F124" i="27"/>
  <c r="AA124" i="27"/>
  <c r="Z124" i="27" s="1"/>
  <c r="F185" i="27"/>
  <c r="AA185" i="27"/>
  <c r="F293" i="27"/>
  <c r="AA293" i="27"/>
  <c r="F161" i="27"/>
  <c r="AA161" i="27"/>
  <c r="F181" i="27"/>
  <c r="AA181" i="27"/>
  <c r="F134" i="27"/>
  <c r="AA134" i="27"/>
  <c r="F80" i="27"/>
  <c r="AA80" i="27"/>
  <c r="F167" i="27"/>
  <c r="AA167" i="27"/>
  <c r="F248" i="27"/>
  <c r="AA248" i="27"/>
  <c r="F186" i="27"/>
  <c r="AA186" i="27"/>
  <c r="F28" i="27"/>
  <c r="AA28" i="27"/>
  <c r="Z28" i="27" s="1"/>
  <c r="F381" i="27"/>
  <c r="AA381" i="27"/>
  <c r="F267" i="27"/>
  <c r="AA267" i="27"/>
  <c r="F284" i="27"/>
  <c r="AA284" i="27"/>
  <c r="F389" i="27"/>
  <c r="AA389" i="27"/>
  <c r="F152" i="27"/>
  <c r="AA152" i="27"/>
  <c r="AA191" i="27"/>
  <c r="Z191" i="27" s="1"/>
  <c r="F221" i="27"/>
  <c r="AA221" i="27"/>
  <c r="F210" i="27"/>
  <c r="AA210" i="27"/>
  <c r="F362" i="27"/>
  <c r="AA362" i="27"/>
  <c r="F350" i="27"/>
  <c r="AA350" i="27"/>
  <c r="Z350" i="27" s="1"/>
  <c r="F200" i="27"/>
  <c r="AA200" i="27"/>
  <c r="F35" i="27"/>
  <c r="AA35" i="27"/>
  <c r="F343" i="27"/>
  <c r="AA343" i="27"/>
  <c r="F53" i="27"/>
  <c r="AA53" i="27"/>
  <c r="Z53" i="27" s="1"/>
  <c r="F254" i="27"/>
  <c r="AA254" i="27"/>
  <c r="F220" i="27"/>
  <c r="AA220" i="27"/>
  <c r="F86" i="27"/>
  <c r="AA86" i="27"/>
  <c r="F63" i="27"/>
  <c r="AA63" i="27"/>
  <c r="F60" i="27"/>
  <c r="AA60" i="27"/>
  <c r="F205" i="27"/>
  <c r="AA205" i="27"/>
  <c r="F52" i="27"/>
  <c r="AA52" i="27"/>
  <c r="F59" i="27"/>
  <c r="AA59" i="27"/>
  <c r="F111" i="27"/>
  <c r="AA111" i="27"/>
  <c r="F157" i="27"/>
  <c r="AA157" i="27"/>
  <c r="F201" i="27"/>
  <c r="AA201" i="27"/>
  <c r="F251" i="27"/>
  <c r="AA251" i="27"/>
  <c r="F214" i="27"/>
  <c r="AA214" i="27"/>
  <c r="F304" i="27"/>
  <c r="AA304" i="27"/>
  <c r="F163" i="27"/>
  <c r="I276" i="6"/>
  <c r="Z104" i="27"/>
  <c r="AG200" i="9"/>
  <c r="AG30" i="9"/>
  <c r="AG172" i="9"/>
  <c r="AG166" i="9"/>
  <c r="AG184" i="9"/>
  <c r="AG50" i="9"/>
  <c r="AG275" i="9"/>
  <c r="AG383" i="9"/>
  <c r="AG85" i="9"/>
  <c r="AG34" i="9"/>
  <c r="AG303" i="9"/>
  <c r="AG99" i="9"/>
  <c r="AG150" i="9"/>
  <c r="AG243" i="9"/>
  <c r="AG60" i="9"/>
  <c r="AG389" i="9"/>
  <c r="AG255" i="9"/>
  <c r="AG202" i="9"/>
  <c r="AG327" i="9"/>
  <c r="AG107" i="9"/>
  <c r="AG104" i="9"/>
  <c r="AG36" i="9"/>
  <c r="AG21" i="9"/>
  <c r="AG199" i="9"/>
  <c r="AG102" i="9"/>
  <c r="AG41" i="9"/>
  <c r="AG370" i="9"/>
  <c r="AG208" i="9"/>
  <c r="AG337" i="9"/>
  <c r="AG26" i="9"/>
  <c r="AG226" i="9"/>
  <c r="AG316" i="9"/>
  <c r="AG64" i="9"/>
  <c r="AG375" i="9"/>
  <c r="AG179" i="9"/>
  <c r="AG203" i="9"/>
  <c r="AG113" i="9"/>
  <c r="AG54" i="9"/>
  <c r="AG171" i="9"/>
  <c r="AG344" i="9"/>
  <c r="AG138" i="9"/>
  <c r="AG290" i="9"/>
  <c r="Z247" i="9"/>
  <c r="AA247" i="9" s="1"/>
  <c r="AE247" i="9" s="1"/>
  <c r="Z229" i="9"/>
  <c r="AA229" i="9" s="1"/>
  <c r="AE229" i="9" s="1"/>
  <c r="Z220" i="9"/>
  <c r="AA220" i="9" s="1"/>
  <c r="AE220" i="9" s="1"/>
  <c r="Z254" i="9"/>
  <c r="AA254" i="9" s="1"/>
  <c r="AE254" i="9" s="1"/>
  <c r="Z244" i="9"/>
  <c r="AA244" i="9" s="1"/>
  <c r="AE244" i="9" s="1"/>
  <c r="Z228" i="9"/>
  <c r="AA228" i="9" s="1"/>
  <c r="AE228" i="9" s="1"/>
  <c r="Z232" i="9"/>
  <c r="AA232" i="9" s="1"/>
  <c r="AE232" i="9" s="1"/>
  <c r="Z251" i="9"/>
  <c r="AA251" i="9" s="1"/>
  <c r="AE251" i="9" s="1"/>
  <c r="Z221" i="9"/>
  <c r="AA221" i="9" s="1"/>
  <c r="AE221" i="9" s="1"/>
  <c r="Z304" i="9"/>
  <c r="AA304" i="9" s="1"/>
  <c r="AE304" i="9" s="1"/>
  <c r="Z214" i="9"/>
  <c r="AA214" i="9" s="1"/>
  <c r="AE214" i="9" s="1"/>
  <c r="AF348" i="6"/>
  <c r="AE349" i="6"/>
  <c r="AE167" i="6"/>
  <c r="AE74" i="6"/>
  <c r="AE378" i="6"/>
  <c r="AF319" i="6"/>
  <c r="AF364" i="6"/>
  <c r="AF111" i="6"/>
  <c r="AE82" i="6"/>
  <c r="AF164" i="6"/>
  <c r="AF104" i="6"/>
  <c r="AF95" i="6"/>
  <c r="AF372" i="6"/>
  <c r="AE389" i="6"/>
  <c r="AF342" i="6"/>
  <c r="AF166" i="6"/>
  <c r="AE356" i="6"/>
  <c r="AF349" i="6"/>
  <c r="AF388" i="6"/>
  <c r="AF357" i="6"/>
  <c r="AE382" i="6"/>
  <c r="AE351" i="6"/>
  <c r="AE240" i="6"/>
  <c r="AF232" i="6"/>
  <c r="AF350" i="6"/>
  <c r="AF171" i="6"/>
  <c r="AE371" i="6"/>
  <c r="AE388" i="6"/>
  <c r="AG129" i="9"/>
  <c r="AG313" i="9"/>
  <c r="AG155" i="9"/>
  <c r="AG371" i="9"/>
  <c r="AG24" i="9"/>
  <c r="AG154" i="9"/>
  <c r="AG130" i="9"/>
  <c r="AG262" i="9"/>
  <c r="AG211" i="9"/>
  <c r="AG176" i="9"/>
  <c r="AG319" i="9"/>
  <c r="AG248" i="9"/>
  <c r="AG112" i="9"/>
  <c r="AG122" i="9"/>
  <c r="AG240" i="9"/>
  <c r="AG249" i="9"/>
  <c r="AG201" i="9"/>
  <c r="AG355" i="9"/>
  <c r="AG174" i="9"/>
  <c r="AG363" i="9"/>
  <c r="AG246" i="9"/>
  <c r="AG90" i="9"/>
  <c r="AG191" i="9"/>
  <c r="AG114" i="9"/>
  <c r="AG296" i="9"/>
  <c r="AG134" i="9"/>
  <c r="AG73" i="9"/>
  <c r="AG128" i="9"/>
  <c r="AG259" i="9"/>
  <c r="AG181" i="9"/>
  <c r="Z234" i="9"/>
  <c r="AA234" i="9" s="1"/>
  <c r="AE234" i="9" s="1"/>
  <c r="Z231" i="9"/>
  <c r="AA231" i="9" s="1"/>
  <c r="AE231" i="9" s="1"/>
  <c r="Z222" i="9"/>
  <c r="AA222" i="9" s="1"/>
  <c r="AE222" i="9" s="1"/>
  <c r="Z227" i="9"/>
  <c r="AA227" i="9" s="1"/>
  <c r="AE227" i="9" s="1"/>
  <c r="Z387" i="9"/>
  <c r="AA387" i="9" s="1"/>
  <c r="AE387" i="9" s="1"/>
  <c r="Z215" i="9"/>
  <c r="AA215" i="9" s="1"/>
  <c r="AE215" i="9" s="1"/>
  <c r="AG297" i="9"/>
  <c r="AG271" i="9"/>
  <c r="AG198" i="9"/>
  <c r="AG349" i="9"/>
  <c r="AG274" i="9"/>
  <c r="AG182" i="9"/>
  <c r="AG321" i="9"/>
  <c r="AG351" i="9"/>
  <c r="AG225" i="9"/>
  <c r="AG140" i="9"/>
  <c r="AG287" i="9"/>
  <c r="AG61" i="9"/>
  <c r="AG72" i="9"/>
  <c r="AG163" i="9"/>
  <c r="AG81" i="9"/>
  <c r="AG71" i="9"/>
  <c r="AG283" i="9"/>
  <c r="AG27" i="9"/>
  <c r="AG15" i="9"/>
  <c r="AG376" i="9"/>
  <c r="AG292" i="9"/>
  <c r="AG86" i="9"/>
  <c r="AG320" i="9"/>
  <c r="AG121" i="9"/>
  <c r="AG342" i="9"/>
  <c r="AG356" i="9"/>
  <c r="AG133" i="9"/>
  <c r="AG28" i="9"/>
  <c r="AG388" i="9"/>
  <c r="AF43" i="6"/>
  <c r="AE43" i="6"/>
  <c r="AF43" i="9"/>
  <c r="AG92" i="9"/>
  <c r="AE92" i="9" s="1"/>
  <c r="AH58" i="9"/>
  <c r="AD58" i="9"/>
  <c r="AF58" i="9" s="1"/>
  <c r="AH23" i="9"/>
  <c r="AD23" i="9"/>
  <c r="AF23" i="9" s="1"/>
  <c r="AH343" i="9"/>
  <c r="AD343" i="9"/>
  <c r="AF343" i="9" s="1"/>
  <c r="AH88" i="9"/>
  <c r="AD88" i="9"/>
  <c r="AF88" i="9" s="1"/>
  <c r="AH258" i="9"/>
  <c r="AD258" i="9"/>
  <c r="AF258" i="9" s="1"/>
  <c r="AH42" i="9"/>
  <c r="AD42" i="9"/>
  <c r="AF42" i="9" s="1"/>
  <c r="AH306" i="9"/>
  <c r="AD306" i="9"/>
  <c r="AF306" i="9" s="1"/>
  <c r="AH57" i="9"/>
  <c r="AD57" i="9"/>
  <c r="AF57" i="9" s="1"/>
  <c r="AH127" i="9"/>
  <c r="AD127" i="9"/>
  <c r="AF127" i="9" s="1"/>
  <c r="AH48" i="9"/>
  <c r="AD48" i="9"/>
  <c r="AF48" i="9" s="1"/>
  <c r="AH115" i="9"/>
  <c r="AD115" i="9"/>
  <c r="AF115" i="9" s="1"/>
  <c r="AH262" i="9"/>
  <c r="AD262" i="9"/>
  <c r="AF262" i="9" s="1"/>
  <c r="AH363" i="9"/>
  <c r="AD363" i="9"/>
  <c r="AF363" i="9" s="1"/>
  <c r="AH163" i="9"/>
  <c r="AD163" i="9"/>
  <c r="AF163" i="9" s="1"/>
  <c r="AH117" i="9"/>
  <c r="AD117" i="9"/>
  <c r="AF117" i="9" s="1"/>
  <c r="AH190" i="9"/>
  <c r="AD190" i="9"/>
  <c r="AF190" i="9" s="1"/>
  <c r="AH279" i="9"/>
  <c r="AD279" i="9"/>
  <c r="AF279" i="9" s="1"/>
  <c r="AH161" i="9"/>
  <c r="AD161" i="9"/>
  <c r="AF161" i="9" s="1"/>
  <c r="AH165" i="9"/>
  <c r="AD165" i="9"/>
  <c r="AF165" i="9" s="1"/>
  <c r="AH49" i="9"/>
  <c r="AD49" i="9"/>
  <c r="AF49" i="9" s="1"/>
  <c r="AH340" i="9"/>
  <c r="AD340" i="9"/>
  <c r="AF340" i="9" s="1"/>
  <c r="AH139" i="9"/>
  <c r="AD139" i="9"/>
  <c r="AF139" i="9" s="1"/>
  <c r="AH142" i="9"/>
  <c r="AD142" i="9"/>
  <c r="AF142" i="9" s="1"/>
  <c r="AH80" i="9"/>
  <c r="AD80" i="9"/>
  <c r="AF80" i="9" s="1"/>
  <c r="AH178" i="9"/>
  <c r="AD178" i="9"/>
  <c r="AF178" i="9" s="1"/>
  <c r="AH213" i="9"/>
  <c r="AD213" i="9"/>
  <c r="AF213" i="9" s="1"/>
  <c r="AH251" i="9"/>
  <c r="AD251" i="9"/>
  <c r="AF251" i="9" s="1"/>
  <c r="AH215" i="9"/>
  <c r="AD215" i="9"/>
  <c r="AF215" i="9" s="1"/>
  <c r="AH17" i="9"/>
  <c r="AD17" i="9"/>
  <c r="AF17" i="9" s="1"/>
  <c r="AH338" i="9"/>
  <c r="AD338" i="9"/>
  <c r="AF338" i="9" s="1"/>
  <c r="AH293" i="9"/>
  <c r="AD293" i="9"/>
  <c r="AF293" i="9" s="1"/>
  <c r="AH326" i="9"/>
  <c r="AD326" i="9"/>
  <c r="AF326" i="9" s="1"/>
  <c r="AH358" i="9"/>
  <c r="AD358" i="9"/>
  <c r="AF358" i="9" s="1"/>
  <c r="AH369" i="9"/>
  <c r="AD369" i="9"/>
  <c r="AH386" i="9"/>
  <c r="AD386" i="9"/>
  <c r="AF386" i="9" s="1"/>
  <c r="AH201" i="9"/>
  <c r="AD201" i="9"/>
  <c r="AF201" i="9" s="1"/>
  <c r="AH387" i="9"/>
  <c r="AD387" i="9"/>
  <c r="AF387" i="9" s="1"/>
  <c r="AH368" i="9"/>
  <c r="AD368" i="9"/>
  <c r="AF368" i="9" s="1"/>
  <c r="AH38" i="9"/>
  <c r="AH425" i="6"/>
  <c r="AD425" i="6"/>
  <c r="AG335" i="6"/>
  <c r="AA335" i="6"/>
  <c r="AE335" i="6" s="1"/>
  <c r="AG93" i="6"/>
  <c r="AA93" i="6"/>
  <c r="AE93" i="6" s="1"/>
  <c r="AH161" i="6"/>
  <c r="AD161" i="6"/>
  <c r="AF161" i="6" s="1"/>
  <c r="AG181" i="6"/>
  <c r="AA181" i="6"/>
  <c r="AE181" i="6" s="1"/>
  <c r="AG59" i="6"/>
  <c r="AA59" i="6"/>
  <c r="AE59" i="6" s="1"/>
  <c r="AG22" i="6"/>
  <c r="AA22" i="6"/>
  <c r="AE22" i="6" s="1"/>
  <c r="AH127" i="6"/>
  <c r="AD127" i="6"/>
  <c r="AF127" i="6" s="1"/>
  <c r="AG329" i="6"/>
  <c r="AA329" i="6"/>
  <c r="AE329" i="6" s="1"/>
  <c r="AG63" i="6"/>
  <c r="AA63" i="6"/>
  <c r="AE63" i="6" s="1"/>
  <c r="AG187" i="6"/>
  <c r="AA187" i="6"/>
  <c r="AE187" i="6" s="1"/>
  <c r="AH313" i="6"/>
  <c r="AD313" i="6"/>
  <c r="AF313" i="6" s="1"/>
  <c r="AG361" i="6"/>
  <c r="AA361" i="6"/>
  <c r="AE361" i="6" s="1"/>
  <c r="AG142" i="6"/>
  <c r="AA142" i="6"/>
  <c r="AE142" i="6" s="1"/>
  <c r="AH42" i="6"/>
  <c r="AD42" i="6"/>
  <c r="AF42" i="6" s="1"/>
  <c r="AG309" i="6"/>
  <c r="AA309" i="6"/>
  <c r="AE309" i="6" s="1"/>
  <c r="AG164" i="6"/>
  <c r="AA164" i="6"/>
  <c r="AE164" i="6" s="1"/>
  <c r="AG281" i="6"/>
  <c r="AA281" i="6"/>
  <c r="AE281" i="6" s="1"/>
  <c r="AG110" i="6"/>
  <c r="AA110" i="6"/>
  <c r="AE110" i="6" s="1"/>
  <c r="AG52" i="6"/>
  <c r="AA52" i="6"/>
  <c r="AE52" i="6" s="1"/>
  <c r="AG381" i="6"/>
  <c r="AA381" i="6"/>
  <c r="AE381" i="6" s="1"/>
  <c r="AG161" i="6"/>
  <c r="AA161" i="6"/>
  <c r="AE161" i="6" s="1"/>
  <c r="AG293" i="6"/>
  <c r="AA293" i="6"/>
  <c r="AE293" i="6" s="1"/>
  <c r="AG190" i="6"/>
  <c r="AA190" i="6"/>
  <c r="AE190" i="6" s="1"/>
  <c r="AG91" i="6"/>
  <c r="AA91" i="6"/>
  <c r="AE91" i="6" s="1"/>
  <c r="AH190" i="6"/>
  <c r="AD190" i="6"/>
  <c r="AF190" i="6" s="1"/>
  <c r="AH17" i="6"/>
  <c r="AD17" i="6"/>
  <c r="AF17" i="6" s="1"/>
  <c r="AG279" i="6"/>
  <c r="AA279" i="6"/>
  <c r="AE279" i="6" s="1"/>
  <c r="AG117" i="6"/>
  <c r="AA117" i="6"/>
  <c r="AE117" i="6" s="1"/>
  <c r="AH139" i="6"/>
  <c r="AD139" i="6"/>
  <c r="AF139" i="6" s="1"/>
  <c r="AG127" i="6"/>
  <c r="AA127" i="6"/>
  <c r="AE127" i="6" s="1"/>
  <c r="AG358" i="6"/>
  <c r="AA358" i="6"/>
  <c r="AE358" i="6" s="1"/>
  <c r="AG334" i="6"/>
  <c r="AA334" i="6"/>
  <c r="AE334" i="6" s="1"/>
  <c r="AG103" i="6"/>
  <c r="AA103" i="6"/>
  <c r="AE103" i="6" s="1"/>
  <c r="AH369" i="6"/>
  <c r="AD369" i="6"/>
  <c r="AF369" i="6" s="1"/>
  <c r="AG386" i="6"/>
  <c r="AA386" i="6"/>
  <c r="AE386" i="6" s="1"/>
  <c r="AH386" i="6"/>
  <c r="AD386" i="6"/>
  <c r="AF386" i="6" s="1"/>
  <c r="AG295" i="6"/>
  <c r="AA295" i="6"/>
  <c r="AE295" i="6" s="1"/>
  <c r="AG231" i="6"/>
  <c r="AA231" i="6"/>
  <c r="AE231" i="6" s="1"/>
  <c r="AG176" i="6"/>
  <c r="AA176" i="6"/>
  <c r="AE176" i="6" s="1"/>
  <c r="AG275" i="6"/>
  <c r="AA275" i="6"/>
  <c r="AE275" i="6" s="1"/>
  <c r="AH134" i="6"/>
  <c r="AD134" i="6"/>
  <c r="AF134" i="6" s="1"/>
  <c r="AG171" i="6"/>
  <c r="AA171" i="6"/>
  <c r="AE171" i="6" s="1"/>
  <c r="AG25" i="6"/>
  <c r="AA25" i="6"/>
  <c r="AE25" i="6" s="1"/>
  <c r="AG203" i="6"/>
  <c r="AA203" i="6"/>
  <c r="AE203" i="6" s="1"/>
  <c r="AG174" i="6"/>
  <c r="AA174" i="6"/>
  <c r="AE174" i="6" s="1"/>
  <c r="AG24" i="6"/>
  <c r="AA24" i="6"/>
  <c r="AE24" i="6" s="1"/>
  <c r="AH363" i="6"/>
  <c r="AD363" i="6"/>
  <c r="AF363" i="6" s="1"/>
  <c r="AG29" i="6"/>
  <c r="AA29" i="6"/>
  <c r="AE29" i="6" s="1"/>
  <c r="AG369" i="6"/>
  <c r="AA369" i="6"/>
  <c r="AE369" i="6" s="1"/>
  <c r="AG305" i="6"/>
  <c r="AA305" i="6"/>
  <c r="AE305" i="6" s="1"/>
  <c r="AG229" i="6"/>
  <c r="AA229" i="6"/>
  <c r="AE229" i="6" s="1"/>
  <c r="AG254" i="6"/>
  <c r="AA254" i="6"/>
  <c r="AE254" i="6" s="1"/>
  <c r="AG215" i="6"/>
  <c r="AA215" i="6"/>
  <c r="AE215" i="6" s="1"/>
  <c r="AG214" i="6"/>
  <c r="AA214" i="6"/>
  <c r="AE214" i="6" s="1"/>
  <c r="AH251" i="6"/>
  <c r="AD251" i="6"/>
  <c r="AF251" i="6" s="1"/>
  <c r="AG364" i="6"/>
  <c r="AA364" i="6"/>
  <c r="AE364" i="6" s="1"/>
  <c r="AG180" i="6"/>
  <c r="AA180" i="6"/>
  <c r="AE180" i="6" s="1"/>
  <c r="AG58" i="6"/>
  <c r="AA58" i="6"/>
  <c r="AE58" i="6" s="1"/>
  <c r="AG304" i="6"/>
  <c r="AA304" i="6"/>
  <c r="AE304" i="6" s="1"/>
  <c r="AG17" i="6"/>
  <c r="AA17" i="6"/>
  <c r="AE17" i="6" s="1"/>
  <c r="AG120" i="6"/>
  <c r="AA120" i="6"/>
  <c r="AE120" i="6" s="1"/>
  <c r="AH293" i="6"/>
  <c r="AD293" i="6"/>
  <c r="AF293" i="6" s="1"/>
  <c r="AG330" i="6"/>
  <c r="AA330" i="6"/>
  <c r="AE330" i="6" s="1"/>
  <c r="AG270" i="6"/>
  <c r="AA270" i="6"/>
  <c r="AE270" i="6" s="1"/>
  <c r="AH58" i="6"/>
  <c r="AD58" i="6"/>
  <c r="AF58" i="6" s="1"/>
  <c r="AG183" i="6"/>
  <c r="AA183" i="6"/>
  <c r="AE183" i="6" s="1"/>
  <c r="AG197" i="6"/>
  <c r="AA197" i="6"/>
  <c r="AE197" i="6" s="1"/>
  <c r="AG291" i="6"/>
  <c r="AA291" i="6"/>
  <c r="AE291" i="6" s="1"/>
  <c r="AG49" i="6"/>
  <c r="AA49" i="6"/>
  <c r="AE49" i="6" s="1"/>
  <c r="AH23" i="6"/>
  <c r="AD23" i="6"/>
  <c r="AF23" i="6" s="1"/>
  <c r="AG42" i="6"/>
  <c r="AA42" i="6"/>
  <c r="AE42" i="6" s="1"/>
  <c r="AG234" i="6"/>
  <c r="AA234" i="6"/>
  <c r="AE234" i="6" s="1"/>
  <c r="AG319" i="6"/>
  <c r="AA319" i="6"/>
  <c r="AE319" i="6" s="1"/>
  <c r="AG357" i="6"/>
  <c r="AA357" i="6"/>
  <c r="AE357" i="6" s="1"/>
  <c r="AH115" i="6"/>
  <c r="AD115" i="6"/>
  <c r="AF115" i="6" s="1"/>
  <c r="AG202" i="6"/>
  <c r="AA202" i="6"/>
  <c r="AE202" i="6" s="1"/>
  <c r="AH80" i="6"/>
  <c r="AD80" i="6"/>
  <c r="AF80" i="6" s="1"/>
  <c r="AG151" i="6"/>
  <c r="AA151" i="6"/>
  <c r="AE151" i="6" s="1"/>
  <c r="AG262" i="6"/>
  <c r="AA262" i="6"/>
  <c r="AE262" i="6" s="1"/>
  <c r="AG27" i="6"/>
  <c r="AA27" i="6"/>
  <c r="AE27" i="6" s="1"/>
  <c r="AG222" i="6"/>
  <c r="AA222" i="6"/>
  <c r="AE222" i="6" s="1"/>
  <c r="AG69" i="6"/>
  <c r="AA69" i="6"/>
  <c r="AE69" i="6" s="1"/>
  <c r="AG370" i="6"/>
  <c r="AA370" i="6"/>
  <c r="AE370" i="6" s="1"/>
  <c r="AH186" i="6"/>
  <c r="AD186" i="6"/>
  <c r="AF186" i="6" s="1"/>
  <c r="AG147" i="6"/>
  <c r="AA147" i="6"/>
  <c r="AE147" i="6" s="1"/>
  <c r="AG387" i="6"/>
  <c r="AA387" i="6"/>
  <c r="AE387" i="6" s="1"/>
  <c r="AG226" i="6"/>
  <c r="AA226" i="6"/>
  <c r="AE226" i="6" s="1"/>
  <c r="AG266" i="6"/>
  <c r="AA266" i="6"/>
  <c r="AE266" i="6" s="1"/>
  <c r="AG70" i="6"/>
  <c r="AA70" i="6"/>
  <c r="AE70" i="6" s="1"/>
  <c r="AG232" i="6"/>
  <c r="AA232" i="6"/>
  <c r="AE232" i="6" s="1"/>
  <c r="AG192" i="6"/>
  <c r="AA192" i="6"/>
  <c r="AE192" i="6" s="1"/>
  <c r="AH279" i="6"/>
  <c r="AD279" i="6"/>
  <c r="AF279" i="6" s="1"/>
  <c r="AH165" i="6"/>
  <c r="AD165" i="6"/>
  <c r="AF165" i="6" s="1"/>
  <c r="AG18" i="6"/>
  <c r="AA18" i="6"/>
  <c r="AE18" i="6" s="1"/>
  <c r="AG205" i="6"/>
  <c r="AA205" i="6"/>
  <c r="AE205" i="6" s="1"/>
  <c r="AG31" i="6"/>
  <c r="AA31" i="6"/>
  <c r="AE31" i="6" s="1"/>
  <c r="AG165" i="6"/>
  <c r="AA165" i="6"/>
  <c r="AE165" i="6" s="1"/>
  <c r="AG48" i="6"/>
  <c r="AA48" i="6"/>
  <c r="AE48" i="6" s="1"/>
  <c r="AH326" i="6"/>
  <c r="AD326" i="6"/>
  <c r="AF326" i="6" s="1"/>
  <c r="AH48" i="6"/>
  <c r="AD48" i="6"/>
  <c r="AF48" i="6" s="1"/>
  <c r="AG347" i="6"/>
  <c r="AA347" i="6"/>
  <c r="AE347" i="6" s="1"/>
  <c r="AH340" i="6"/>
  <c r="AD340" i="6"/>
  <c r="AF340" i="6" s="1"/>
  <c r="AG23" i="6"/>
  <c r="AA23" i="6"/>
  <c r="AE23" i="6" s="1"/>
  <c r="AG139" i="6"/>
  <c r="AA139" i="6"/>
  <c r="AE139" i="6" s="1"/>
  <c r="AH49" i="6"/>
  <c r="AD49" i="6"/>
  <c r="AF49" i="6" s="1"/>
  <c r="AG170" i="6"/>
  <c r="AA170" i="6"/>
  <c r="AE170" i="6" s="1"/>
  <c r="AG340" i="6"/>
  <c r="AA340" i="6"/>
  <c r="AE340" i="6" s="1"/>
  <c r="AH142" i="6"/>
  <c r="AD142" i="6"/>
  <c r="AF142" i="6" s="1"/>
  <c r="AG111" i="6"/>
  <c r="AA111" i="6"/>
  <c r="AE111" i="6" s="1"/>
  <c r="AG300" i="6"/>
  <c r="AA300" i="6"/>
  <c r="AE300" i="6" s="1"/>
  <c r="AG384" i="6"/>
  <c r="AA384" i="6"/>
  <c r="AE384" i="6" s="1"/>
  <c r="AG88" i="6"/>
  <c r="AA88" i="6"/>
  <c r="AE88" i="6" s="1"/>
  <c r="AG37" i="6"/>
  <c r="AA37" i="6"/>
  <c r="AE37" i="6" s="1"/>
  <c r="AG383" i="6"/>
  <c r="AA383" i="6"/>
  <c r="AE383" i="6" s="1"/>
  <c r="AG38" i="6"/>
  <c r="AA38" i="6"/>
  <c r="AE38" i="6" s="1"/>
  <c r="AG41" i="6"/>
  <c r="AA41" i="6"/>
  <c r="AE41" i="6" s="1"/>
  <c r="AG155" i="6"/>
  <c r="AA155" i="6"/>
  <c r="AE155" i="6" s="1"/>
  <c r="AG286" i="6"/>
  <c r="AA286" i="6"/>
  <c r="AE286" i="6" s="1"/>
  <c r="AH368" i="6"/>
  <c r="AD368" i="6"/>
  <c r="AF368" i="6" s="1"/>
  <c r="AH306" i="6"/>
  <c r="AD306" i="6"/>
  <c r="AF306" i="6" s="1"/>
  <c r="AG221" i="6"/>
  <c r="AA221" i="6"/>
  <c r="AE221" i="6" s="1"/>
  <c r="AH215" i="6"/>
  <c r="AD215" i="6"/>
  <c r="AF215" i="6" s="1"/>
  <c r="AG123" i="6"/>
  <c r="AA123" i="6"/>
  <c r="AE123" i="6" s="1"/>
  <c r="AG62" i="6"/>
  <c r="AA62" i="6"/>
  <c r="AG265" i="6"/>
  <c r="AA265" i="6"/>
  <c r="AE265" i="6" s="1"/>
  <c r="AG160" i="6"/>
  <c r="AA160" i="6"/>
  <c r="AE160" i="6" s="1"/>
  <c r="AG185" i="6"/>
  <c r="AA185" i="6"/>
  <c r="AE185" i="6" s="1"/>
  <c r="AG157" i="6"/>
  <c r="AA157" i="6"/>
  <c r="AE157" i="6" s="1"/>
  <c r="AG78" i="6"/>
  <c r="AA78" i="6"/>
  <c r="AE78" i="6" s="1"/>
  <c r="AG77" i="6"/>
  <c r="AA77" i="6"/>
  <c r="AE77" i="6" s="1"/>
  <c r="AG57" i="6"/>
  <c r="AA57" i="6"/>
  <c r="AE57" i="6" s="1"/>
  <c r="AH117" i="6"/>
  <c r="AD117" i="6"/>
  <c r="AF117" i="6" s="1"/>
  <c r="AG276" i="6"/>
  <c r="AA276" i="6"/>
  <c r="AE276" i="6" s="1"/>
  <c r="AH343" i="6"/>
  <c r="AD343" i="6"/>
  <c r="AF343" i="6" s="1"/>
  <c r="AG343" i="6"/>
  <c r="AA343" i="6"/>
  <c r="AE343" i="6" s="1"/>
  <c r="AH358" i="6"/>
  <c r="AD358" i="6"/>
  <c r="AF358" i="6" s="1"/>
  <c r="AG213" i="6"/>
  <c r="AA213" i="6"/>
  <c r="AE213" i="6" s="1"/>
  <c r="AG326" i="6"/>
  <c r="AA326" i="6"/>
  <c r="AE326" i="6" s="1"/>
  <c r="AG135" i="6"/>
  <c r="AA135" i="6"/>
  <c r="AE135" i="6" s="1"/>
  <c r="AG244" i="6"/>
  <c r="AA244" i="6"/>
  <c r="AE244" i="6" s="1"/>
  <c r="AG115" i="6"/>
  <c r="AA115" i="6"/>
  <c r="AE115" i="6" s="1"/>
  <c r="AG175" i="6"/>
  <c r="AA175" i="6"/>
  <c r="AE175" i="6" s="1"/>
  <c r="AG228" i="6"/>
  <c r="AA228" i="6"/>
  <c r="AE228" i="6" s="1"/>
  <c r="AG251" i="6"/>
  <c r="AA251" i="6"/>
  <c r="AE251" i="6" s="1"/>
  <c r="AG292" i="6"/>
  <c r="AA292" i="6"/>
  <c r="AE292" i="6" s="1"/>
  <c r="AG80" i="6"/>
  <c r="AA80" i="6"/>
  <c r="AE80" i="6" s="1"/>
  <c r="AG209" i="6"/>
  <c r="AA209" i="6"/>
  <c r="AE209" i="6" s="1"/>
  <c r="AG116" i="6"/>
  <c r="AA116" i="6"/>
  <c r="AE116" i="6" s="1"/>
  <c r="AG377" i="6"/>
  <c r="AA377" i="6"/>
  <c r="AE377" i="6" s="1"/>
  <c r="AG92" i="6"/>
  <c r="AA92" i="6"/>
  <c r="AG102" i="6"/>
  <c r="AA102" i="6"/>
  <c r="AE102" i="6" s="1"/>
  <c r="AG15" i="6"/>
  <c r="AA15" i="6"/>
  <c r="AE15" i="6" s="1"/>
  <c r="AG284" i="6"/>
  <c r="AA284" i="6"/>
  <c r="AE284" i="6" s="1"/>
  <c r="AG14" i="6"/>
  <c r="AA14" i="6"/>
  <c r="AE14" i="6" s="1"/>
  <c r="AG35" i="6"/>
  <c r="AA35" i="6"/>
  <c r="AE35" i="6" s="1"/>
  <c r="AG267" i="6"/>
  <c r="AA267" i="6"/>
  <c r="AE267" i="6" s="1"/>
  <c r="AH201" i="6"/>
  <c r="AD201" i="6"/>
  <c r="AF201" i="6" s="1"/>
  <c r="AG239" i="6"/>
  <c r="AA239" i="6"/>
  <c r="AE239" i="6" s="1"/>
  <c r="AH220" i="6"/>
  <c r="AD220" i="6"/>
  <c r="AF220" i="6" s="1"/>
  <c r="AG163" i="6"/>
  <c r="AA163" i="6"/>
  <c r="AE163" i="6" s="1"/>
  <c r="Z341" i="27"/>
  <c r="BF341" i="26"/>
  <c r="H163" i="27"/>
  <c r="Z163" i="27"/>
  <c r="I487" i="6"/>
  <c r="AT533" i="26"/>
  <c r="AX533" i="26" s="1"/>
  <c r="P533" i="26" s="1"/>
  <c r="G489" i="9" s="1"/>
  <c r="R472" i="26"/>
  <c r="I460" i="6" s="1"/>
  <c r="BF533" i="26"/>
  <c r="H475" i="9"/>
  <c r="AC475" i="9" s="1"/>
  <c r="AD475" i="9" s="1"/>
  <c r="H415" i="6"/>
  <c r="AC415" i="6" s="1"/>
  <c r="AD415" i="6" s="1"/>
  <c r="H415" i="9"/>
  <c r="AC415" i="9" s="1"/>
  <c r="AD415" i="9" s="1"/>
  <c r="F471" i="9"/>
  <c r="Z471" i="9" s="1"/>
  <c r="AA471" i="9" s="1"/>
  <c r="AI469" i="26"/>
  <c r="AK469" i="26" s="1"/>
  <c r="AV469" i="26" s="1"/>
  <c r="H419" i="6"/>
  <c r="AC419" i="6" s="1"/>
  <c r="AD419" i="6" s="1"/>
  <c r="H494" i="6"/>
  <c r="AC494" i="6" s="1"/>
  <c r="F418" i="6"/>
  <c r="Z418" i="6" s="1"/>
  <c r="AG418" i="6" s="1"/>
  <c r="F417" i="9"/>
  <c r="Z417" i="9" s="1"/>
  <c r="AA417" i="9" s="1"/>
  <c r="F441" i="9"/>
  <c r="Z441" i="9" s="1"/>
  <c r="AA441" i="9" s="1"/>
  <c r="F448" i="6"/>
  <c r="Z448" i="6" s="1"/>
  <c r="AG448" i="6" s="1"/>
  <c r="F439" i="9"/>
  <c r="Z439" i="9" s="1"/>
  <c r="AA439" i="9" s="1"/>
  <c r="F446" i="6"/>
  <c r="Z446" i="6" s="1"/>
  <c r="AG446" i="6" s="1"/>
  <c r="F419" i="9"/>
  <c r="Z419" i="9" s="1"/>
  <c r="AA419" i="9" s="1"/>
  <c r="F422" i="6"/>
  <c r="Z422" i="6" s="1"/>
  <c r="AG422" i="6" s="1"/>
  <c r="F462" i="6"/>
  <c r="Z462" i="6" s="1"/>
  <c r="AG462" i="6" s="1"/>
  <c r="F454" i="9"/>
  <c r="Z454" i="9" s="1"/>
  <c r="AA454" i="9" s="1"/>
  <c r="F464" i="6"/>
  <c r="Z464" i="6" s="1"/>
  <c r="AG464" i="6" s="1"/>
  <c r="F458" i="9"/>
  <c r="Z458" i="9" s="1"/>
  <c r="AA458" i="9" s="1"/>
  <c r="G425" i="6"/>
  <c r="G423" i="9"/>
  <c r="F424" i="9"/>
  <c r="Z424" i="9" s="1"/>
  <c r="AA424" i="9" s="1"/>
  <c r="F426" i="6"/>
  <c r="Z426" i="6" s="1"/>
  <c r="AG426" i="6" s="1"/>
  <c r="F441" i="6"/>
  <c r="Z441" i="6" s="1"/>
  <c r="F434" i="9"/>
  <c r="Z434" i="9" s="1"/>
  <c r="AA434" i="9" s="1"/>
  <c r="F449" i="6"/>
  <c r="Z449" i="6" s="1"/>
  <c r="AG449" i="6" s="1"/>
  <c r="F442" i="9"/>
  <c r="Z442" i="9" s="1"/>
  <c r="AA442" i="9" s="1"/>
  <c r="F423" i="9"/>
  <c r="Z423" i="9" s="1"/>
  <c r="AA423" i="9" s="1"/>
  <c r="V644" i="10"/>
  <c r="BC376" i="10"/>
  <c r="BF376" i="10"/>
  <c r="BC371" i="10"/>
  <c r="BF371" i="10"/>
  <c r="BC362" i="10"/>
  <c r="BF362" i="10"/>
  <c r="BC359" i="10"/>
  <c r="BF359" i="10"/>
  <c r="BC352" i="10"/>
  <c r="BF352" i="10"/>
  <c r="BC350" i="10"/>
  <c r="BF350" i="10"/>
  <c r="BC341" i="10"/>
  <c r="BF341" i="10"/>
  <c r="BC338" i="10"/>
  <c r="BF338" i="10"/>
  <c r="BC322" i="10"/>
  <c r="BF322" i="10"/>
  <c r="BC317" i="10"/>
  <c r="BF317" i="10"/>
  <c r="BC314" i="10"/>
  <c r="BF314" i="10"/>
  <c r="BC306" i="10"/>
  <c r="BF306" i="10"/>
  <c r="BC301" i="10"/>
  <c r="BF301" i="10"/>
  <c r="BC298" i="10"/>
  <c r="BF298" i="10"/>
  <c r="AP512" i="26"/>
  <c r="AV512" i="26" s="1"/>
  <c r="BC279" i="10"/>
  <c r="BF279" i="10"/>
  <c r="BC275" i="10"/>
  <c r="BF275" i="10"/>
  <c r="AT529" i="26"/>
  <c r="AX529" i="26" s="1"/>
  <c r="P529" i="26" s="1"/>
  <c r="G485" i="9" s="1"/>
  <c r="AW527" i="26"/>
  <c r="Q527" i="26" s="1"/>
  <c r="F501" i="6" s="1"/>
  <c r="AW522" i="26"/>
  <c r="Q522" i="26" s="1"/>
  <c r="F478" i="9" s="1"/>
  <c r="AT515" i="26"/>
  <c r="AX515" i="26" s="1"/>
  <c r="P515" i="26" s="1"/>
  <c r="G492" i="6" s="1"/>
  <c r="AN506" i="26"/>
  <c r="BF506" i="26" s="1"/>
  <c r="AP510" i="26"/>
  <c r="AV510" i="26" s="1"/>
  <c r="AI498" i="26"/>
  <c r="AK498" i="26" s="1"/>
  <c r="AW510" i="26"/>
  <c r="Q510" i="26" s="1"/>
  <c r="F486" i="6" s="1"/>
  <c r="AT509" i="26"/>
  <c r="AX509" i="26" s="1"/>
  <c r="P509" i="26" s="1"/>
  <c r="AW506" i="26"/>
  <c r="Q506" i="26" s="1"/>
  <c r="F483" i="6" s="1"/>
  <c r="Z483" i="6" s="1"/>
  <c r="AG483" i="6" s="1"/>
  <c r="AT502" i="26"/>
  <c r="AX502" i="26" s="1"/>
  <c r="P502" i="26" s="1"/>
  <c r="G480" i="6" s="1"/>
  <c r="BC235" i="10"/>
  <c r="BF235" i="10"/>
  <c r="BC233" i="10"/>
  <c r="BF233" i="10"/>
  <c r="AI496" i="26"/>
  <c r="AK496" i="26" s="1"/>
  <c r="AO498" i="26"/>
  <c r="AN498" i="26" s="1"/>
  <c r="AR498" i="26"/>
  <c r="AW498" i="26"/>
  <c r="Q498" i="26" s="1"/>
  <c r="F476" i="6" s="1"/>
  <c r="AR496" i="26"/>
  <c r="AW496" i="26"/>
  <c r="Q496" i="26" s="1"/>
  <c r="F474" i="6" s="1"/>
  <c r="AT496" i="26"/>
  <c r="AX496" i="26" s="1"/>
  <c r="BC208" i="10"/>
  <c r="BF208" i="10"/>
  <c r="AV491" i="26"/>
  <c r="AR491" i="26"/>
  <c r="AX491" i="26" s="1"/>
  <c r="AV490" i="26"/>
  <c r="AR490" i="26"/>
  <c r="AX490" i="26" s="1"/>
  <c r="AV489" i="26"/>
  <c r="AR489" i="26"/>
  <c r="AX489" i="26" s="1"/>
  <c r="BC201" i="10"/>
  <c r="BF201" i="10"/>
  <c r="AR486" i="26"/>
  <c r="AX486" i="26" s="1"/>
  <c r="P486" i="26" s="1"/>
  <c r="G463" i="9" s="1"/>
  <c r="AR479" i="26"/>
  <c r="AX479" i="26" s="1"/>
  <c r="P479" i="26" s="1"/>
  <c r="AV482" i="26"/>
  <c r="AR482" i="26"/>
  <c r="AX482" i="26" s="1"/>
  <c r="AV480" i="26"/>
  <c r="AR480" i="26"/>
  <c r="AX480" i="26" s="1"/>
  <c r="AI477" i="26"/>
  <c r="AK477" i="26" s="1"/>
  <c r="AV477" i="26" s="1"/>
  <c r="BC185" i="10"/>
  <c r="BF185" i="10"/>
  <c r="BC176" i="10"/>
  <c r="BF176" i="10"/>
  <c r="AV478" i="26"/>
  <c r="AR478" i="26"/>
  <c r="AX478" i="26" s="1"/>
  <c r="AW477" i="26"/>
  <c r="Q477" i="26" s="1"/>
  <c r="F463" i="6" s="1"/>
  <c r="AR463" i="26"/>
  <c r="AX463" i="26" s="1"/>
  <c r="P463" i="26" s="1"/>
  <c r="G446" i="9" s="1"/>
  <c r="AR475" i="26"/>
  <c r="AX475" i="26" s="1"/>
  <c r="P475" i="26" s="1"/>
  <c r="BC167" i="10"/>
  <c r="BF167" i="10"/>
  <c r="BC163" i="10"/>
  <c r="BF163" i="10"/>
  <c r="AW473" i="26"/>
  <c r="Q473" i="26" s="1"/>
  <c r="F452" i="9" s="1"/>
  <c r="Z452" i="9" s="1"/>
  <c r="AA452" i="9" s="1"/>
  <c r="AR458" i="26"/>
  <c r="AX458" i="26" s="1"/>
  <c r="P458" i="26" s="1"/>
  <c r="BC155" i="10"/>
  <c r="BF155" i="10"/>
  <c r="AW472" i="26"/>
  <c r="Q472" i="26" s="1"/>
  <c r="F460" i="6" s="1"/>
  <c r="Z460" i="6" s="1"/>
  <c r="AG460" i="6" s="1"/>
  <c r="BC150" i="10"/>
  <c r="BF150" i="10"/>
  <c r="AW469" i="26"/>
  <c r="Q469" i="26" s="1"/>
  <c r="F458" i="6" s="1"/>
  <c r="BC142" i="10"/>
  <c r="BF142" i="10"/>
  <c r="BC138" i="10"/>
  <c r="BF138" i="10"/>
  <c r="BC133" i="10"/>
  <c r="BF133" i="10"/>
  <c r="BC130" i="10"/>
  <c r="BF130" i="10"/>
  <c r="BC122" i="10"/>
  <c r="BF122" i="10"/>
  <c r="AR448" i="26"/>
  <c r="AX448" i="26" s="1"/>
  <c r="P448" i="26" s="1"/>
  <c r="BC120" i="10"/>
  <c r="BF120" i="10"/>
  <c r="AR457" i="26"/>
  <c r="AX457" i="26" s="1"/>
  <c r="P457" i="26" s="1"/>
  <c r="AI450" i="26"/>
  <c r="AK450" i="26" s="1"/>
  <c r="AV450" i="26" s="1"/>
  <c r="BC113" i="10"/>
  <c r="BF113" i="10"/>
  <c r="AR453" i="26"/>
  <c r="AX453" i="26" s="1"/>
  <c r="P453" i="26" s="1"/>
  <c r="G438" i="9" s="1"/>
  <c r="AR455" i="26"/>
  <c r="AX455" i="26" s="1"/>
  <c r="P455" i="26" s="1"/>
  <c r="AW454" i="26"/>
  <c r="Q454" i="26" s="1"/>
  <c r="F445" i="6" s="1"/>
  <c r="Z445" i="6" s="1"/>
  <c r="AG445" i="6" s="1"/>
  <c r="AW450" i="26"/>
  <c r="Q450" i="26" s="1"/>
  <c r="BC104" i="10"/>
  <c r="BF104" i="10"/>
  <c r="AR446" i="26"/>
  <c r="AX446" i="26" s="1"/>
  <c r="P446" i="26" s="1"/>
  <c r="G439" i="6" s="1"/>
  <c r="AW445" i="26"/>
  <c r="Q445" i="26" s="1"/>
  <c r="AP434" i="26"/>
  <c r="AV434" i="26" s="1"/>
  <c r="AW439" i="26"/>
  <c r="Q439" i="26" s="1"/>
  <c r="F434" i="6" s="1"/>
  <c r="Z434" i="6" s="1"/>
  <c r="BC87" i="10"/>
  <c r="BF87" i="10"/>
  <c r="AT431" i="26"/>
  <c r="AX431" i="26" s="1"/>
  <c r="P431" i="26" s="1"/>
  <c r="BF414" i="26"/>
  <c r="BC75" i="10"/>
  <c r="BF75" i="10"/>
  <c r="AP426" i="26"/>
  <c r="AV426" i="26" s="1"/>
  <c r="BC65" i="10"/>
  <c r="BF65" i="10"/>
  <c r="AA425" i="6"/>
  <c r="AE425" i="6" s="1"/>
  <c r="AT414" i="26"/>
  <c r="AX414" i="26" s="1"/>
  <c r="P414" i="26" s="1"/>
  <c r="G414" i="9" s="1"/>
  <c r="AI425" i="26"/>
  <c r="AK425" i="26" s="1"/>
  <c r="AV425" i="26" s="1"/>
  <c r="BC54" i="10"/>
  <c r="BF54" i="10"/>
  <c r="AI422" i="26"/>
  <c r="AK422" i="26" s="1"/>
  <c r="AV422" i="26" s="1"/>
  <c r="AW425" i="26"/>
  <c r="Q425" i="26" s="1"/>
  <c r="F421" i="9" s="1"/>
  <c r="Z421" i="9" s="1"/>
  <c r="AA421" i="9" s="1"/>
  <c r="BC45" i="10"/>
  <c r="BF45" i="10"/>
  <c r="AW422" i="26"/>
  <c r="Q422" i="26" s="1"/>
  <c r="AT420" i="26"/>
  <c r="AX420" i="26" s="1"/>
  <c r="P420" i="26" s="1"/>
  <c r="AW417" i="26"/>
  <c r="Q417" i="26" s="1"/>
  <c r="BC25" i="10"/>
  <c r="BF25" i="10"/>
  <c r="BC21" i="10"/>
  <c r="BF21" i="10"/>
  <c r="AV304" i="10"/>
  <c r="W247" i="10"/>
  <c r="BF14" i="26"/>
  <c r="BA14" i="10"/>
  <c r="BB14" i="10"/>
  <c r="BF14" i="10" s="1"/>
  <c r="BF248" i="26"/>
  <c r="BA213" i="10"/>
  <c r="BA296" i="10"/>
  <c r="AQ704" i="10"/>
  <c r="F233" i="27"/>
  <c r="AW631" i="10"/>
  <c r="BC276" i="10"/>
  <c r="BF276" i="10"/>
  <c r="AN520" i="26"/>
  <c r="BF520" i="26" s="1"/>
  <c r="BF326" i="26"/>
  <c r="BD230" i="26"/>
  <c r="G230" i="10"/>
  <c r="AW520" i="26"/>
  <c r="Q520" i="26" s="1"/>
  <c r="BC251" i="10"/>
  <c r="BF251" i="10"/>
  <c r="AW517" i="26"/>
  <c r="Q517" i="26" s="1"/>
  <c r="F494" i="6" s="1"/>
  <c r="Z494" i="6" s="1"/>
  <c r="AG494" i="6" s="1"/>
  <c r="R413" i="26"/>
  <c r="I413" i="9" s="1"/>
  <c r="I425" i="6"/>
  <c r="AF423" i="9"/>
  <c r="R442" i="26"/>
  <c r="I437" i="6" s="1"/>
  <c r="AX244" i="10"/>
  <c r="AK704" i="10"/>
  <c r="AI631" i="10"/>
  <c r="R499" i="26"/>
  <c r="I477" i="6" s="1"/>
  <c r="AF462" i="6"/>
  <c r="AQ647" i="10"/>
  <c r="AF504" i="6"/>
  <c r="AH477" i="6"/>
  <c r="AD428" i="9"/>
  <c r="AH428" i="9"/>
  <c r="AH412" i="6"/>
  <c r="H437" i="6"/>
  <c r="AC437" i="6" s="1"/>
  <c r="BB213" i="10"/>
  <c r="BC213" i="10" s="1"/>
  <c r="BB249" i="10"/>
  <c r="BB296" i="10"/>
  <c r="H413" i="9"/>
  <c r="AC413" i="9" s="1"/>
  <c r="AD413" i="9" s="1"/>
  <c r="AQ227" i="10"/>
  <c r="V227" i="27"/>
  <c r="AF481" i="6"/>
  <c r="AF487" i="6"/>
  <c r="BA220" i="10"/>
  <c r="BA248" i="10"/>
  <c r="BA225" i="10"/>
  <c r="BA226" i="10"/>
  <c r="BA243" i="10"/>
  <c r="BB246" i="10"/>
  <c r="BC246" i="10" s="1"/>
  <c r="BB220" i="10"/>
  <c r="BC220" i="10" s="1"/>
  <c r="BA379" i="10"/>
  <c r="AH447" i="6"/>
  <c r="AH459" i="6"/>
  <c r="AH429" i="6"/>
  <c r="AH480" i="6"/>
  <c r="AH439" i="6"/>
  <c r="AH433" i="6"/>
  <c r="AH500" i="6"/>
  <c r="AH495" i="6"/>
  <c r="AH434" i="6"/>
  <c r="AH460" i="6"/>
  <c r="AH470" i="6"/>
  <c r="AH497" i="6"/>
  <c r="AH430" i="6"/>
  <c r="AH465" i="6"/>
  <c r="AH413" i="6"/>
  <c r="AH482" i="6"/>
  <c r="AH505" i="6"/>
  <c r="AH414" i="9"/>
  <c r="AF414" i="9" s="1"/>
  <c r="AH499" i="6"/>
  <c r="AH451" i="6"/>
  <c r="AH492" i="6"/>
  <c r="AH418" i="6"/>
  <c r="AH436" i="6"/>
  <c r="AH446" i="6"/>
  <c r="AH431" i="6"/>
  <c r="AH466" i="6"/>
  <c r="AH448" i="6"/>
  <c r="AH455" i="6"/>
  <c r="AH489" i="6"/>
  <c r="AH467" i="6"/>
  <c r="AG412" i="9"/>
  <c r="AE412" i="9" s="1"/>
  <c r="Z461" i="9"/>
  <c r="AA461" i="9" s="1"/>
  <c r="AC442" i="9"/>
  <c r="AA492" i="6"/>
  <c r="Z479" i="9"/>
  <c r="AA479" i="9" s="1"/>
  <c r="Z455" i="6"/>
  <c r="AG455" i="6" s="1"/>
  <c r="AC438" i="9"/>
  <c r="AD438" i="9" s="1"/>
  <c r="AC417" i="9"/>
  <c r="AD417" i="9" s="1"/>
  <c r="Z457" i="9"/>
  <c r="AA457" i="9" s="1"/>
  <c r="AC429" i="9"/>
  <c r="AD429" i="9" s="1"/>
  <c r="AC463" i="9"/>
  <c r="AD463" i="9" s="1"/>
  <c r="G244" i="10"/>
  <c r="Z482" i="9"/>
  <c r="AA482" i="9" s="1"/>
  <c r="AC434" i="9"/>
  <c r="AD434" i="9" s="1"/>
  <c r="Z439" i="6"/>
  <c r="AG439" i="6" s="1"/>
  <c r="AC485" i="9"/>
  <c r="AD485" i="9" s="1"/>
  <c r="Z436" i="6"/>
  <c r="AG436" i="6" s="1"/>
  <c r="BB225" i="10"/>
  <c r="Z455" i="9"/>
  <c r="AA455" i="9" s="1"/>
  <c r="AC491" i="9"/>
  <c r="AD491" i="9" s="1"/>
  <c r="Z488" i="9"/>
  <c r="AA488" i="9" s="1"/>
  <c r="Z475" i="6"/>
  <c r="AG475" i="6" s="1"/>
  <c r="AG414" i="9"/>
  <c r="AE414" i="9" s="1"/>
  <c r="AA495" i="6"/>
  <c r="AE495" i="6" s="1"/>
  <c r="AA466" i="6"/>
  <c r="AC479" i="9"/>
  <c r="AD479" i="9" s="1"/>
  <c r="Z448" i="9"/>
  <c r="AA448" i="9" s="1"/>
  <c r="Z453" i="6"/>
  <c r="AG453" i="6" s="1"/>
  <c r="AA451" i="6"/>
  <c r="AE451" i="6" s="1"/>
  <c r="AA482" i="6"/>
  <c r="Z467" i="9"/>
  <c r="AA467" i="9" s="1"/>
  <c r="AC427" i="9"/>
  <c r="AD427" i="9" s="1"/>
  <c r="AC448" i="9"/>
  <c r="AD448" i="9" s="1"/>
  <c r="Z477" i="9"/>
  <c r="AA477" i="9" s="1"/>
  <c r="AC439" i="9"/>
  <c r="AD439" i="9" s="1"/>
  <c r="Z460" i="9"/>
  <c r="AA460" i="9" s="1"/>
  <c r="Z459" i="9"/>
  <c r="AA459" i="9" s="1"/>
  <c r="AG431" i="9"/>
  <c r="AA431" i="9"/>
  <c r="V244" i="27"/>
  <c r="AA244" i="27" s="1"/>
  <c r="Z417" i="6"/>
  <c r="AG417" i="6" s="1"/>
  <c r="AC487" i="9"/>
  <c r="AD487" i="9" s="1"/>
  <c r="AC454" i="9"/>
  <c r="AD454" i="9" s="1"/>
  <c r="Z429" i="6"/>
  <c r="AG429" i="6" s="1"/>
  <c r="Z459" i="6"/>
  <c r="AG459" i="6" s="1"/>
  <c r="Z447" i="6"/>
  <c r="AG447" i="6" s="1"/>
  <c r="Z490" i="9"/>
  <c r="AA490" i="9" s="1"/>
  <c r="Z413" i="9"/>
  <c r="AA413" i="9" s="1"/>
  <c r="Z464" i="9"/>
  <c r="AA464" i="9" s="1"/>
  <c r="Z446" i="9"/>
  <c r="AA446" i="9" s="1"/>
  <c r="BB248" i="10"/>
  <c r="BC248" i="10" s="1"/>
  <c r="Z428" i="9"/>
  <c r="AA428" i="9" s="1"/>
  <c r="AG433" i="9"/>
  <c r="AE433" i="9" s="1"/>
  <c r="AH412" i="9"/>
  <c r="AF412" i="9" s="1"/>
  <c r="AA427" i="6"/>
  <c r="AG487" i="9"/>
  <c r="AE487" i="9" s="1"/>
  <c r="AG485" i="9"/>
  <c r="AE485" i="9" s="1"/>
  <c r="AA487" i="6"/>
  <c r="Z427" i="9"/>
  <c r="AA427" i="9" s="1"/>
  <c r="AC437" i="9"/>
  <c r="AD437" i="9" s="1"/>
  <c r="Z470" i="6"/>
  <c r="AG470" i="6" s="1"/>
  <c r="Z413" i="6"/>
  <c r="AG413" i="6" s="1"/>
  <c r="Z420" i="9"/>
  <c r="AA420" i="9" s="1"/>
  <c r="Z430" i="6"/>
  <c r="AG430" i="6" s="1"/>
  <c r="Z478" i="6"/>
  <c r="AG478" i="6" s="1"/>
  <c r="Z481" i="9"/>
  <c r="AA481" i="9" s="1"/>
  <c r="Z470" i="9"/>
  <c r="AA470" i="9" s="1"/>
  <c r="Z423" i="6"/>
  <c r="AG423" i="6" s="1"/>
  <c r="Z452" i="6"/>
  <c r="AG452" i="6" s="1"/>
  <c r="Z497" i="6"/>
  <c r="AG497" i="6" s="1"/>
  <c r="AC433" i="9"/>
  <c r="AD433" i="9" s="1"/>
  <c r="Z476" i="9"/>
  <c r="AA476" i="9" s="1"/>
  <c r="Z499" i="6"/>
  <c r="AG499" i="6" s="1"/>
  <c r="AC441" i="9"/>
  <c r="AD441" i="9" s="1"/>
  <c r="AC481" i="9"/>
  <c r="AD481" i="9" s="1"/>
  <c r="Z445" i="9"/>
  <c r="AA445" i="9" s="1"/>
  <c r="AC451" i="9"/>
  <c r="AD451" i="9" s="1"/>
  <c r="AC440" i="9"/>
  <c r="AD440" i="9" s="1"/>
  <c r="AA469" i="6"/>
  <c r="AE469" i="6" s="1"/>
  <c r="AC482" i="9"/>
  <c r="AD482" i="9" s="1"/>
  <c r="Z422" i="9"/>
  <c r="AA422" i="9" s="1"/>
  <c r="Z465" i="6"/>
  <c r="AG465" i="6" s="1"/>
  <c r="Z485" i="6"/>
  <c r="AG485" i="6" s="1"/>
  <c r="Z437" i="9"/>
  <c r="AA437" i="9" s="1"/>
  <c r="Z471" i="6"/>
  <c r="AG471" i="6" s="1"/>
  <c r="Z433" i="6"/>
  <c r="AG433" i="6" s="1"/>
  <c r="AC445" i="9"/>
  <c r="AD445" i="9" s="1"/>
  <c r="Z444" i="6"/>
  <c r="AG444" i="6" s="1"/>
  <c r="Z431" i="6"/>
  <c r="AG431" i="6" s="1"/>
  <c r="BD227" i="26"/>
  <c r="Z505" i="6"/>
  <c r="AG505" i="6" s="1"/>
  <c r="AH446" i="9"/>
  <c r="AF446" i="9" s="1"/>
  <c r="AG463" i="9"/>
  <c r="AE463" i="9" s="1"/>
  <c r="AG438" i="9"/>
  <c r="AE438" i="9" s="1"/>
  <c r="AA489" i="6"/>
  <c r="AA504" i="6"/>
  <c r="AA480" i="6"/>
  <c r="AH471" i="9"/>
  <c r="AF471" i="9" s="1"/>
  <c r="AF427" i="6"/>
  <c r="I415" i="6"/>
  <c r="O244" i="10"/>
  <c r="V704" i="10"/>
  <c r="U616" i="10"/>
  <c r="AC216" i="10"/>
  <c r="AD244" i="10"/>
  <c r="AT631" i="10"/>
  <c r="AE631" i="10"/>
  <c r="S231" i="10"/>
  <c r="Q244" i="10"/>
  <c r="AM704" i="10"/>
  <c r="M647" i="10"/>
  <c r="AV628" i="10"/>
  <c r="AK254" i="10"/>
  <c r="AM254" i="10"/>
  <c r="S254" i="10"/>
  <c r="BA246" i="10"/>
  <c r="AY227" i="10"/>
  <c r="Z227" i="10"/>
  <c r="AO216" i="10"/>
  <c r="O216" i="10"/>
  <c r="AS616" i="10"/>
  <c r="AW227" i="10"/>
  <c r="K616" i="10"/>
  <c r="Y216" i="10"/>
  <c r="AU616" i="10"/>
  <c r="AV616" i="10"/>
  <c r="V228" i="10"/>
  <c r="AG627" i="10"/>
  <c r="X616" i="10"/>
  <c r="L616" i="10"/>
  <c r="AE628" i="10"/>
  <c r="AL628" i="10"/>
  <c r="AT628" i="10"/>
  <c r="AK227" i="10"/>
  <c r="T627" i="10"/>
  <c r="Q227" i="10"/>
  <c r="R627" i="10"/>
  <c r="AR627" i="10"/>
  <c r="K227" i="10"/>
  <c r="AQ628" i="10"/>
  <c r="AP228" i="10"/>
  <c r="AA227" i="10"/>
  <c r="AA627" i="10"/>
  <c r="M627" i="10"/>
  <c r="AU627" i="10"/>
  <c r="AL627" i="10"/>
  <c r="L628" i="10"/>
  <c r="AF627" i="10"/>
  <c r="S627" i="10"/>
  <c r="AL227" i="10"/>
  <c r="Y227" i="10"/>
  <c r="AQ627" i="10"/>
  <c r="Q644" i="10"/>
  <c r="AF244" i="10"/>
  <c r="AK244" i="10"/>
  <c r="AM631" i="10"/>
  <c r="U247" i="10"/>
  <c r="X647" i="10"/>
  <c r="AF647" i="10"/>
  <c r="AO654" i="10"/>
  <c r="AI254" i="10"/>
  <c r="AM244" i="10"/>
  <c r="AS644" i="10"/>
  <c r="AO644" i="10"/>
  <c r="Z233" i="27"/>
  <c r="Y704" i="10"/>
  <c r="K304" i="10"/>
  <c r="K704" i="10"/>
  <c r="AN704" i="10"/>
  <c r="T631" i="10"/>
  <c r="P631" i="10"/>
  <c r="Q231" i="10"/>
  <c r="AR237" i="10"/>
  <c r="AS247" i="10"/>
  <c r="AL647" i="10"/>
  <c r="AJ647" i="10"/>
  <c r="AJ247" i="10"/>
  <c r="AQ654" i="10"/>
  <c r="L254" i="10"/>
  <c r="P616" i="10"/>
  <c r="Z616" i="10"/>
  <c r="AJ616" i="10"/>
  <c r="AM616" i="10"/>
  <c r="AS628" i="10"/>
  <c r="AM628" i="10"/>
  <c r="AK228" i="10"/>
  <c r="AY228" i="10"/>
  <c r="AY627" i="10"/>
  <c r="AK627" i="10"/>
  <c r="R227" i="10"/>
  <c r="J627" i="10"/>
  <c r="AW627" i="10"/>
  <c r="AH227" i="10"/>
  <c r="Y627" i="10"/>
  <c r="J227" i="10"/>
  <c r="AC627" i="10"/>
  <c r="AE227" i="10"/>
  <c r="AS227" i="10"/>
  <c r="AE627" i="10"/>
  <c r="P627" i="10"/>
  <c r="AD627" i="10"/>
  <c r="AT627" i="10"/>
  <c r="AD227" i="10"/>
  <c r="W627" i="10"/>
  <c r="AB227" i="10"/>
  <c r="S227" i="10"/>
  <c r="AF227" i="10"/>
  <c r="L639" i="10"/>
  <c r="J628" i="10"/>
  <c r="AM228" i="10"/>
  <c r="Z628" i="10"/>
  <c r="AC628" i="10"/>
  <c r="T622" i="10"/>
  <c r="AE228" i="10"/>
  <c r="AC227" i="10"/>
  <c r="AT227" i="10"/>
  <c r="AI227" i="10"/>
  <c r="L227" i="10"/>
  <c r="V227" i="10"/>
  <c r="T227" i="10"/>
  <c r="AJ627" i="10"/>
  <c r="X227" i="10"/>
  <c r="AH627" i="10"/>
  <c r="AO627" i="10"/>
  <c r="AR227" i="10"/>
  <c r="N627" i="10"/>
  <c r="AX227" i="10"/>
  <c r="AV627" i="10"/>
  <c r="O627" i="10"/>
  <c r="Z627" i="10"/>
  <c r="AP627" i="10"/>
  <c r="N227" i="10"/>
  <c r="AG227" i="10"/>
  <c r="AJ227" i="10"/>
  <c r="Q627" i="10"/>
  <c r="BA249" i="10"/>
  <c r="AF628" i="10"/>
  <c r="O228" i="10"/>
  <c r="Y628" i="10"/>
  <c r="P628" i="10"/>
  <c r="AI228" i="10"/>
  <c r="S228" i="10"/>
  <c r="AB627" i="10"/>
  <c r="K627" i="10"/>
  <c r="AN227" i="10"/>
  <c r="L627" i="10"/>
  <c r="X627" i="10"/>
  <c r="AO227" i="10"/>
  <c r="AX627" i="10"/>
  <c r="AN627" i="10"/>
  <c r="P227" i="10"/>
  <c r="W227" i="10"/>
  <c r="V627" i="10"/>
  <c r="AS627" i="10"/>
  <c r="AM627" i="10"/>
  <c r="U227" i="10"/>
  <c r="U627" i="10"/>
  <c r="AI627" i="10"/>
  <c r="M227" i="10"/>
  <c r="AV227" i="10"/>
  <c r="O227" i="10"/>
  <c r="AP227" i="10"/>
  <c r="U637" i="10"/>
  <c r="L654" i="10"/>
  <c r="AG654" i="10"/>
  <c r="AS654" i="10"/>
  <c r="AO254" i="10"/>
  <c r="V228" i="27"/>
  <c r="AA228" i="27" s="1"/>
  <c r="G228" i="10"/>
  <c r="P654" i="10"/>
  <c r="AL654" i="10"/>
  <c r="AN254" i="10"/>
  <c r="AY254" i="10"/>
  <c r="AT654" i="10"/>
  <c r="V245" i="27"/>
  <c r="P254" i="10"/>
  <c r="U254" i="10"/>
  <c r="AE254" i="10"/>
  <c r="N654" i="10"/>
  <c r="AD644" i="10"/>
  <c r="O644" i="10"/>
  <c r="AC244" i="10"/>
  <c r="AT644" i="10"/>
  <c r="AX644" i="10"/>
  <c r="AQ304" i="10"/>
  <c r="AS704" i="10"/>
  <c r="X304" i="10"/>
  <c r="AW704" i="10"/>
  <c r="Z304" i="10"/>
  <c r="AP231" i="10"/>
  <c r="M631" i="10"/>
  <c r="AM231" i="10"/>
  <c r="AC704" i="10"/>
  <c r="Z631" i="10"/>
  <c r="AK231" i="10"/>
  <c r="Q247" i="10"/>
  <c r="AB247" i="10"/>
  <c r="AQ247" i="10"/>
  <c r="AC247" i="10"/>
  <c r="AB644" i="10"/>
  <c r="AP244" i="10"/>
  <c r="AN644" i="10"/>
  <c r="AI644" i="10"/>
  <c r="AC644" i="10"/>
  <c r="AF704" i="10"/>
  <c r="Q304" i="10"/>
  <c r="AT304" i="10"/>
  <c r="T704" i="10"/>
  <c r="AO704" i="10"/>
  <c r="P304" i="10"/>
  <c r="AW304" i="10"/>
  <c r="AB631" i="10"/>
  <c r="R631" i="10"/>
  <c r="AG631" i="10"/>
  <c r="AC231" i="10"/>
  <c r="AT231" i="10"/>
  <c r="L231" i="10"/>
  <c r="Z231" i="10"/>
  <c r="AR647" i="10"/>
  <c r="AT247" i="10"/>
  <c r="AW247" i="10"/>
  <c r="AU647" i="10"/>
  <c r="AC647" i="10"/>
  <c r="AY644" i="10"/>
  <c r="AB244" i="10"/>
  <c r="AG244" i="10"/>
  <c r="R644" i="10"/>
  <c r="AA644" i="10"/>
  <c r="AM644" i="10"/>
  <c r="AI244" i="10"/>
  <c r="L644" i="10"/>
  <c r="P244" i="10"/>
  <c r="V244" i="10"/>
  <c r="N244" i="10"/>
  <c r="Y644" i="10"/>
  <c r="AJ644" i="10"/>
  <c r="S244" i="10"/>
  <c r="Z644" i="10"/>
  <c r="AG644" i="10"/>
  <c r="X244" i="10"/>
  <c r="U244" i="10"/>
  <c r="AA244" i="10"/>
  <c r="AL244" i="10"/>
  <c r="AT704" i="10"/>
  <c r="AA304" i="10"/>
  <c r="U704" i="10"/>
  <c r="AB304" i="10"/>
  <c r="O704" i="10"/>
  <c r="AP304" i="10"/>
  <c r="AJ704" i="10"/>
  <c r="S304" i="10"/>
  <c r="N704" i="10"/>
  <c r="W304" i="10"/>
  <c r="R704" i="10"/>
  <c r="AX704" i="10"/>
  <c r="U304" i="10"/>
  <c r="J704" i="10"/>
  <c r="N304" i="10"/>
  <c r="AS304" i="10"/>
  <c r="AA704" i="10"/>
  <c r="O304" i="10"/>
  <c r="T304" i="10"/>
  <c r="AL231" i="10"/>
  <c r="AB231" i="10"/>
  <c r="AF231" i="10"/>
  <c r="AL631" i="10"/>
  <c r="AY231" i="10"/>
  <c r="AE231" i="10"/>
  <c r="AN631" i="10"/>
  <c r="AD231" i="10"/>
  <c r="AQ231" i="10"/>
  <c r="AR631" i="10"/>
  <c r="AO631" i="10"/>
  <c r="AX231" i="10"/>
  <c r="AK631" i="10"/>
  <c r="AR231" i="10"/>
  <c r="AD631" i="10"/>
  <c r="AX631" i="10"/>
  <c r="J231" i="10"/>
  <c r="Y631" i="10"/>
  <c r="AJ631" i="10"/>
  <c r="J631" i="10"/>
  <c r="AQ631" i="10"/>
  <c r="N631" i="10"/>
  <c r="S647" i="10"/>
  <c r="S247" i="10"/>
  <c r="AY647" i="10"/>
  <c r="AB647" i="10"/>
  <c r="AY247" i="10"/>
  <c r="O647" i="10"/>
  <c r="AO647" i="10"/>
  <c r="K247" i="10"/>
  <c r="O247" i="10"/>
  <c r="AN247" i="10"/>
  <c r="P647" i="10"/>
  <c r="AX647" i="10"/>
  <c r="T647" i="10"/>
  <c r="AH247" i="10"/>
  <c r="P247" i="10"/>
  <c r="AG647" i="10"/>
  <c r="AX247" i="10"/>
  <c r="AI247" i="10"/>
  <c r="T247" i="10"/>
  <c r="V647" i="10"/>
  <c r="AE644" i="10"/>
  <c r="AP644" i="10"/>
  <c r="AT244" i="10"/>
  <c r="AW244" i="10"/>
  <c r="AH644" i="10"/>
  <c r="AE244" i="10"/>
  <c r="N644" i="10"/>
  <c r="AQ244" i="10"/>
  <c r="AY244" i="10"/>
  <c r="K644" i="10"/>
  <c r="AW644" i="10"/>
  <c r="R244" i="10"/>
  <c r="AH244" i="10"/>
  <c r="AQ644" i="10"/>
  <c r="M244" i="10"/>
  <c r="T644" i="10"/>
  <c r="X644" i="10"/>
  <c r="Y244" i="10"/>
  <c r="AF644" i="10"/>
  <c r="W644" i="10"/>
  <c r="AN244" i="10"/>
  <c r="AK304" i="10"/>
  <c r="AB704" i="10"/>
  <c r="AI304" i="10"/>
  <c r="M704" i="10"/>
  <c r="M304" i="10"/>
  <c r="R304" i="10"/>
  <c r="AG304" i="10"/>
  <c r="AD704" i="10"/>
  <c r="AI704" i="10"/>
  <c r="AC304" i="10"/>
  <c r="X704" i="10"/>
  <c r="S704" i="10"/>
  <c r="AR304" i="10"/>
  <c r="AV704" i="10"/>
  <c r="AX304" i="10"/>
  <c r="J304" i="10"/>
  <c r="AN304" i="10"/>
  <c r="AL704" i="10"/>
  <c r="AE704" i="10"/>
  <c r="AO304" i="10"/>
  <c r="AA231" i="10"/>
  <c r="AS231" i="10"/>
  <c r="V631" i="10"/>
  <c r="O231" i="10"/>
  <c r="AI231" i="10"/>
  <c r="AN231" i="10"/>
  <c r="AU631" i="10"/>
  <c r="M231" i="10"/>
  <c r="AV631" i="10"/>
  <c r="AA631" i="10"/>
  <c r="K231" i="10"/>
  <c r="U231" i="10"/>
  <c r="X231" i="10"/>
  <c r="K631" i="10"/>
  <c r="W631" i="10"/>
  <c r="AH231" i="10"/>
  <c r="Q631" i="10"/>
  <c r="X631" i="10"/>
  <c r="AY631" i="10"/>
  <c r="L631" i="10"/>
  <c r="AD247" i="10"/>
  <c r="AG247" i="10"/>
  <c r="R647" i="10"/>
  <c r="Z247" i="10"/>
  <c r="AV647" i="10"/>
  <c r="M247" i="10"/>
  <c r="AD647" i="10"/>
  <c r="AV247" i="10"/>
  <c r="AO247" i="10"/>
  <c r="W647" i="10"/>
  <c r="AP647" i="10"/>
  <c r="V247" i="10"/>
  <c r="Y647" i="10"/>
  <c r="N647" i="10"/>
  <c r="AI647" i="10"/>
  <c r="AE247" i="10"/>
  <c r="Y247" i="10"/>
  <c r="Z647" i="10"/>
  <c r="AL247" i="10"/>
  <c r="AT647" i="10"/>
  <c r="L647" i="10"/>
  <c r="AL644" i="10"/>
  <c r="AO244" i="10"/>
  <c r="AR644" i="10"/>
  <c r="T244" i="10"/>
  <c r="AR244" i="10"/>
  <c r="M644" i="10"/>
  <c r="AV244" i="10"/>
  <c r="U644" i="10"/>
  <c r="AS244" i="10"/>
  <c r="J244" i="10"/>
  <c r="S644" i="10"/>
  <c r="K244" i="10"/>
  <c r="AK644" i="10"/>
  <c r="J644" i="10"/>
  <c r="P644" i="10"/>
  <c r="Z244" i="10"/>
  <c r="W244" i="10"/>
  <c r="AV644" i="10"/>
  <c r="AU644" i="10"/>
  <c r="AJ244" i="10"/>
  <c r="AD304" i="10"/>
  <c r="AG704" i="10"/>
  <c r="L704" i="10"/>
  <c r="W704" i="10"/>
  <c r="AH304" i="10"/>
  <c r="AU704" i="10"/>
  <c r="P704" i="10"/>
  <c r="AP704" i="10"/>
  <c r="AY304" i="10"/>
  <c r="V304" i="10"/>
  <c r="AF304" i="10"/>
  <c r="Q704" i="10"/>
  <c r="AE304" i="10"/>
  <c r="Y304" i="10"/>
  <c r="AM304" i="10"/>
  <c r="AL304" i="10"/>
  <c r="AH704" i="10"/>
  <c r="AY704" i="10"/>
  <c r="L304" i="10"/>
  <c r="AR704" i="10"/>
  <c r="U631" i="10"/>
  <c r="W231" i="10"/>
  <c r="N231" i="10"/>
  <c r="AS631" i="10"/>
  <c r="AO231" i="10"/>
  <c r="O631" i="10"/>
  <c r="AJ231" i="10"/>
  <c r="AG231" i="10"/>
  <c r="T231" i="10"/>
  <c r="V231" i="10"/>
  <c r="Z704" i="10"/>
  <c r="Y231" i="10"/>
  <c r="AC631" i="10"/>
  <c r="P231" i="10"/>
  <c r="AF631" i="10"/>
  <c r="AV231" i="10"/>
  <c r="AW231" i="10"/>
  <c r="AP631" i="10"/>
  <c r="AH631" i="10"/>
  <c r="R231" i="10"/>
  <c r="AH647" i="10"/>
  <c r="AA247" i="10"/>
  <c r="AM247" i="10"/>
  <c r="AF247" i="10"/>
  <c r="K647" i="10"/>
  <c r="X247" i="10"/>
  <c r="AS647" i="10"/>
  <c r="U647" i="10"/>
  <c r="AE647" i="10"/>
  <c r="N247" i="10"/>
  <c r="AK647" i="10"/>
  <c r="AA647" i="10"/>
  <c r="J647" i="10"/>
  <c r="AP247" i="10"/>
  <c r="Q647" i="10"/>
  <c r="AM647" i="10"/>
  <c r="R247" i="10"/>
  <c r="J247" i="10"/>
  <c r="AN647" i="10"/>
  <c r="L247" i="10"/>
  <c r="AR247" i="10"/>
  <c r="AK247" i="10"/>
  <c r="Y639" i="10"/>
  <c r="AS229" i="10"/>
  <c r="AU629" i="10"/>
  <c r="W239" i="10"/>
  <c r="AJ239" i="10"/>
  <c r="W639" i="10"/>
  <c r="P639" i="10"/>
  <c r="AV239" i="10"/>
  <c r="Z239" i="10"/>
  <c r="AH629" i="10"/>
  <c r="AY239" i="10"/>
  <c r="AT639" i="10"/>
  <c r="V216" i="27"/>
  <c r="AA216" i="27" s="1"/>
  <c r="F255" i="27"/>
  <c r="BD223" i="26"/>
  <c r="G216" i="10"/>
  <c r="BF222" i="26"/>
  <c r="V223" i="27"/>
  <c r="G238" i="10"/>
  <c r="G220" i="10"/>
  <c r="BD220" i="26"/>
  <c r="BF220" i="26" s="1"/>
  <c r="O639" i="10"/>
  <c r="AN639" i="10"/>
  <c r="AK639" i="10"/>
  <c r="AP639" i="10"/>
  <c r="AP239" i="10"/>
  <c r="AE239" i="10"/>
  <c r="AI639" i="10"/>
  <c r="BF213" i="26"/>
  <c r="V234" i="27"/>
  <c r="G232" i="10"/>
  <c r="S237" i="10"/>
  <c r="T237" i="10"/>
  <c r="AL637" i="10"/>
  <c r="AA254" i="10"/>
  <c r="AU654" i="10"/>
  <c r="Y254" i="10"/>
  <c r="Z254" i="10"/>
  <c r="AQ254" i="10"/>
  <c r="AR254" i="10"/>
  <c r="AC254" i="10"/>
  <c r="S654" i="10"/>
  <c r="AR654" i="10"/>
  <c r="AW654" i="10"/>
  <c r="AX654" i="10"/>
  <c r="J654" i="10"/>
  <c r="T654" i="10"/>
  <c r="AF654" i="10"/>
  <c r="AB254" i="10"/>
  <c r="T254" i="10"/>
  <c r="AV254" i="10"/>
  <c r="W654" i="10"/>
  <c r="AC654" i="10"/>
  <c r="R654" i="10"/>
  <c r="AG254" i="10"/>
  <c r="AB654" i="10"/>
  <c r="AM637" i="10"/>
  <c r="W637" i="10"/>
  <c r="AY654" i="10"/>
  <c r="AX254" i="10"/>
  <c r="AM654" i="10"/>
  <c r="AP254" i="10"/>
  <c r="AF254" i="10"/>
  <c r="AJ254" i="10"/>
  <c r="AK654" i="10"/>
  <c r="Z654" i="10"/>
  <c r="R254" i="10"/>
  <c r="V654" i="10"/>
  <c r="U654" i="10"/>
  <c r="Y654" i="10"/>
  <c r="AS254" i="10"/>
  <c r="K654" i="10"/>
  <c r="O254" i="10"/>
  <c r="AT254" i="10"/>
  <c r="AH654" i="10"/>
  <c r="AE654" i="10"/>
  <c r="AV654" i="10"/>
  <c r="AS639" i="10"/>
  <c r="AJ237" i="10"/>
  <c r="U237" i="10"/>
  <c r="AC637" i="10"/>
  <c r="R637" i="10"/>
  <c r="M254" i="10"/>
  <c r="X654" i="10"/>
  <c r="AN654" i="10"/>
  <c r="AL254" i="10"/>
  <c r="O654" i="10"/>
  <c r="M654" i="10"/>
  <c r="AJ654" i="10"/>
  <c r="N254" i="10"/>
  <c r="AH254" i="10"/>
  <c r="AI654" i="10"/>
  <c r="AD654" i="10"/>
  <c r="AD254" i="10"/>
  <c r="X254" i="10"/>
  <c r="K254" i="10"/>
  <c r="V254" i="10"/>
  <c r="AP654" i="10"/>
  <c r="J254" i="10"/>
  <c r="AW254" i="10"/>
  <c r="Q254" i="10"/>
  <c r="AA654" i="10"/>
  <c r="W254" i="10"/>
  <c r="Q639" i="10"/>
  <c r="AD215" i="10"/>
  <c r="AA239" i="10"/>
  <c r="AQ639" i="10"/>
  <c r="AG216" i="10"/>
  <c r="U216" i="10"/>
  <c r="AI616" i="10"/>
  <c r="AC616" i="10"/>
  <c r="AX616" i="10"/>
  <c r="R616" i="10"/>
  <c r="V216" i="10"/>
  <c r="M216" i="10"/>
  <c r="AB628" i="10"/>
  <c r="Q228" i="10"/>
  <c r="U228" i="10"/>
  <c r="AA628" i="10"/>
  <c r="R628" i="10"/>
  <c r="AV228" i="10"/>
  <c r="AG228" i="10"/>
  <c r="AB228" i="10"/>
  <c r="V628" i="10"/>
  <c r="AI628" i="10"/>
  <c r="N628" i="10"/>
  <c r="Z228" i="10"/>
  <c r="AR628" i="10"/>
  <c r="AN228" i="10"/>
  <c r="AX228" i="10"/>
  <c r="S628" i="10"/>
  <c r="AO228" i="10"/>
  <c r="AK628" i="10"/>
  <c r="AR228" i="10"/>
  <c r="J228" i="10"/>
  <c r="AL639" i="10"/>
  <c r="AC639" i="10"/>
  <c r="S639" i="10"/>
  <c r="Z639" i="10"/>
  <c r="AX239" i="10"/>
  <c r="AW639" i="10"/>
  <c r="AG639" i="10"/>
  <c r="M639" i="10"/>
  <c r="AT239" i="10"/>
  <c r="AM639" i="10"/>
  <c r="R639" i="10"/>
  <c r="AS239" i="10"/>
  <c r="Y239" i="10"/>
  <c r="J239" i="10"/>
  <c r="J639" i="10"/>
  <c r="X639" i="10"/>
  <c r="AG239" i="10"/>
  <c r="AN239" i="10"/>
  <c r="AF639" i="10"/>
  <c r="U639" i="10"/>
  <c r="AQ216" i="10"/>
  <c r="AP616" i="10"/>
  <c r="AY616" i="10"/>
  <c r="AF216" i="10"/>
  <c r="AD616" i="10"/>
  <c r="AV216" i="10"/>
  <c r="AO616" i="10"/>
  <c r="AK616" i="10"/>
  <c r="AY216" i="10"/>
  <c r="AW616" i="10"/>
  <c r="AL616" i="10"/>
  <c r="AN216" i="10"/>
  <c r="AG616" i="10"/>
  <c r="AA216" i="10"/>
  <c r="AN616" i="10"/>
  <c r="Y616" i="10"/>
  <c r="AT228" i="10"/>
  <c r="AJ228" i="10"/>
  <c r="R228" i="10"/>
  <c r="M628" i="10"/>
  <c r="AN628" i="10"/>
  <c r="AU628" i="10"/>
  <c r="AW228" i="10"/>
  <c r="AF228" i="10"/>
  <c r="AL228" i="10"/>
  <c r="AC228" i="10"/>
  <c r="K628" i="10"/>
  <c r="N228" i="10"/>
  <c r="AO628" i="10"/>
  <c r="Y228" i="10"/>
  <c r="AS228" i="10"/>
  <c r="AA228" i="10"/>
  <c r="AG628" i="10"/>
  <c r="Q628" i="10"/>
  <c r="X628" i="10"/>
  <c r="X629" i="10"/>
  <c r="BD229" i="26"/>
  <c r="BF229" i="26" s="1"/>
  <c r="T239" i="10"/>
  <c r="AV639" i="10"/>
  <c r="AR239" i="10"/>
  <c r="L239" i="10"/>
  <c r="K639" i="10"/>
  <c r="AJ639" i="10"/>
  <c r="AK239" i="10"/>
  <c r="AC239" i="10"/>
  <c r="AF239" i="10"/>
  <c r="AU639" i="10"/>
  <c r="K239" i="10"/>
  <c r="AQ239" i="10"/>
  <c r="AD639" i="10"/>
  <c r="R239" i="10"/>
  <c r="T639" i="10"/>
  <c r="AO639" i="10"/>
  <c r="AL239" i="10"/>
  <c r="U239" i="10"/>
  <c r="AB639" i="10"/>
  <c r="AM239" i="10"/>
  <c r="M239" i="10"/>
  <c r="AI216" i="10"/>
  <c r="AE616" i="10"/>
  <c r="AJ216" i="10"/>
  <c r="AM216" i="10"/>
  <c r="AS216" i="10"/>
  <c r="AE216" i="10"/>
  <c r="Q216" i="10"/>
  <c r="O616" i="10"/>
  <c r="P216" i="10"/>
  <c r="J616" i="10"/>
  <c r="S216" i="10"/>
  <c r="V616" i="10"/>
  <c r="AF616" i="10"/>
  <c r="S616" i="10"/>
  <c r="W616" i="10"/>
  <c r="AX216" i="10"/>
  <c r="J216" i="10"/>
  <c r="M616" i="10"/>
  <c r="Q616" i="10"/>
  <c r="AK216" i="10"/>
  <c r="AW216" i="10"/>
  <c r="AT216" i="10"/>
  <c r="AL216" i="10"/>
  <c r="P228" i="10"/>
  <c r="W628" i="10"/>
  <c r="L228" i="10"/>
  <c r="K228" i="10"/>
  <c r="AP628" i="10"/>
  <c r="U628" i="10"/>
  <c r="AH228" i="10"/>
  <c r="T628" i="10"/>
  <c r="AH628" i="10"/>
  <c r="AD228" i="10"/>
  <c r="AY628" i="10"/>
  <c r="X228" i="10"/>
  <c r="O628" i="10"/>
  <c r="AJ628" i="10"/>
  <c r="AD628" i="10"/>
  <c r="AQ228" i="10"/>
  <c r="T228" i="10"/>
  <c r="M228" i="10"/>
  <c r="AW628" i="10"/>
  <c r="W228" i="10"/>
  <c r="AC629" i="10"/>
  <c r="AI239" i="10"/>
  <c r="AW239" i="10"/>
  <c r="AD239" i="10"/>
  <c r="Q239" i="10"/>
  <c r="AO239" i="10"/>
  <c r="N239" i="10"/>
  <c r="AB239" i="10"/>
  <c r="AH639" i="10"/>
  <c r="AE639" i="10"/>
  <c r="N639" i="10"/>
  <c r="V239" i="10"/>
  <c r="AR639" i="10"/>
  <c r="V639" i="10"/>
  <c r="X239" i="10"/>
  <c r="AY639" i="10"/>
  <c r="S239" i="10"/>
  <c r="AX639" i="10"/>
  <c r="O239" i="10"/>
  <c r="AH239" i="10"/>
  <c r="P239" i="10"/>
  <c r="G234" i="10"/>
  <c r="V232" i="27"/>
  <c r="AJ637" i="10"/>
  <c r="N237" i="10"/>
  <c r="AD637" i="10"/>
  <c r="S637" i="10"/>
  <c r="AT237" i="10"/>
  <c r="AS237" i="10"/>
  <c r="Y237" i="10"/>
  <c r="AN637" i="10"/>
  <c r="AB637" i="10"/>
  <c r="BB243" i="10"/>
  <c r="I220" i="9"/>
  <c r="AQ237" i="10"/>
  <c r="AY637" i="10"/>
  <c r="AD237" i="10"/>
  <c r="T637" i="10"/>
  <c r="K637" i="10"/>
  <c r="AO237" i="10"/>
  <c r="AV237" i="10"/>
  <c r="AF637" i="10"/>
  <c r="J237" i="10"/>
  <c r="AT637" i="10"/>
  <c r="X637" i="10"/>
  <c r="AH615" i="10"/>
  <c r="F226" i="27"/>
  <c r="AM237" i="10"/>
  <c r="AW237" i="10"/>
  <c r="O637" i="10"/>
  <c r="AU637" i="10"/>
  <c r="K237" i="10"/>
  <c r="AL237" i="10"/>
  <c r="AW637" i="10"/>
  <c r="AN237" i="10"/>
  <c r="V637" i="10"/>
  <c r="P237" i="10"/>
  <c r="X622" i="10"/>
  <c r="Q222" i="10"/>
  <c r="AD222" i="10"/>
  <c r="AJ222" i="10"/>
  <c r="Q622" i="10"/>
  <c r="L215" i="10"/>
  <c r="AK215" i="10"/>
  <c r="O615" i="10"/>
  <c r="AB615" i="10"/>
  <c r="AA215" i="10"/>
  <c r="AL615" i="10"/>
  <c r="AS215" i="10"/>
  <c r="AP215" i="10"/>
  <c r="AJ215" i="10"/>
  <c r="T615" i="10"/>
  <c r="P215" i="10"/>
  <c r="AE615" i="10"/>
  <c r="AR615" i="10"/>
  <c r="Y615" i="10"/>
  <c r="G226" i="10"/>
  <c r="AT615" i="10"/>
  <c r="AG215" i="10"/>
  <c r="J215" i="10"/>
  <c r="Z615" i="10"/>
  <c r="Q615" i="10"/>
  <c r="AI615" i="10"/>
  <c r="U215" i="10"/>
  <c r="Q215" i="10"/>
  <c r="AC215" i="10"/>
  <c r="AC395" i="10" s="1"/>
  <c r="AQ615" i="10"/>
  <c r="L615" i="10"/>
  <c r="AA615" i="10"/>
  <c r="M215" i="10"/>
  <c r="AM615" i="10"/>
  <c r="M615" i="10"/>
  <c r="P615" i="10"/>
  <c r="AR215" i="10"/>
  <c r="V215" i="10"/>
  <c r="Y215" i="10"/>
  <c r="AO615" i="10"/>
  <c r="N615" i="10"/>
  <c r="K215" i="10"/>
  <c r="K216" i="10"/>
  <c r="AB616" i="10"/>
  <c r="AR216" i="10"/>
  <c r="AB216" i="10"/>
  <c r="T216" i="10"/>
  <c r="AH616" i="10"/>
  <c r="AA616" i="10"/>
  <c r="R216" i="10"/>
  <c r="AP216" i="10"/>
  <c r="N216" i="10"/>
  <c r="AQ616" i="10"/>
  <c r="T616" i="10"/>
  <c r="W216" i="10"/>
  <c r="AH216" i="10"/>
  <c r="AD216" i="10"/>
  <c r="X216" i="10"/>
  <c r="L216" i="10"/>
  <c r="AT616" i="10"/>
  <c r="AR616" i="10"/>
  <c r="N616" i="10"/>
  <c r="AU622" i="10"/>
  <c r="J622" i="10"/>
  <c r="P222" i="10"/>
  <c r="S222" i="10"/>
  <c r="AG222" i="10"/>
  <c r="K622" i="10"/>
  <c r="AO622" i="10"/>
  <c r="AO229" i="10"/>
  <c r="AN629" i="10"/>
  <c r="Y629" i="10"/>
  <c r="K229" i="10"/>
  <c r="R229" i="10"/>
  <c r="AB622" i="10"/>
  <c r="O222" i="10"/>
  <c r="AX222" i="10"/>
  <c r="AH622" i="10"/>
  <c r="L629" i="10"/>
  <c r="AK629" i="10"/>
  <c r="J229" i="10"/>
  <c r="AP622" i="10"/>
  <c r="AE622" i="10"/>
  <c r="AV622" i="10"/>
  <c r="AW622" i="10"/>
  <c r="V629" i="10"/>
  <c r="N629" i="10"/>
  <c r="AB229" i="10"/>
  <c r="O629" i="10"/>
  <c r="AL229" i="10"/>
  <c r="AQ229" i="10"/>
  <c r="AD229" i="10"/>
  <c r="AB629" i="10"/>
  <c r="G215" i="10"/>
  <c r="G214" i="6"/>
  <c r="G214" i="9"/>
  <c r="BE214" i="26"/>
  <c r="BF214" i="26" s="1"/>
  <c r="AF464" i="9"/>
  <c r="H475" i="6"/>
  <c r="AC475" i="6" s="1"/>
  <c r="AD475" i="6" s="1"/>
  <c r="G245" i="10"/>
  <c r="V238" i="27"/>
  <c r="AY237" i="10"/>
  <c r="AI637" i="10"/>
  <c r="AE237" i="10"/>
  <c r="O237" i="10"/>
  <c r="AQ637" i="10"/>
  <c r="R237" i="10"/>
  <c r="Q237" i="10"/>
  <c r="Q637" i="10"/>
  <c r="AH637" i="10"/>
  <c r="AR637" i="10"/>
  <c r="AA237" i="10"/>
  <c r="AE637" i="10"/>
  <c r="W237" i="10"/>
  <c r="AH237" i="10"/>
  <c r="AK237" i="10"/>
  <c r="AB237" i="10"/>
  <c r="V237" i="10"/>
  <c r="Z237" i="10"/>
  <c r="N637" i="10"/>
  <c r="AG637" i="10"/>
  <c r="AI237" i="10"/>
  <c r="BB379" i="10"/>
  <c r="BC379" i="10" s="1"/>
  <c r="G229" i="10"/>
  <c r="AN615" i="10"/>
  <c r="AV615" i="10"/>
  <c r="AL215" i="10"/>
  <c r="AH215" i="10"/>
  <c r="AF215" i="10"/>
  <c r="J615" i="10"/>
  <c r="R215" i="10"/>
  <c r="AP615" i="10"/>
  <c r="AK615" i="10"/>
  <c r="AW215" i="10"/>
  <c r="V615" i="10"/>
  <c r="AY215" i="10"/>
  <c r="Z215" i="10"/>
  <c r="AY615" i="10"/>
  <c r="AS615" i="10"/>
  <c r="AW615" i="10"/>
  <c r="AF615" i="10"/>
  <c r="W215" i="10"/>
  <c r="N215" i="10"/>
  <c r="S215" i="10"/>
  <c r="AN215" i="10"/>
  <c r="BF379" i="26"/>
  <c r="Z229" i="27"/>
  <c r="AO637" i="10"/>
  <c r="AA637" i="10"/>
  <c r="AV637" i="10"/>
  <c r="AX237" i="10"/>
  <c r="M637" i="10"/>
  <c r="AS637" i="10"/>
  <c r="AF237" i="10"/>
  <c r="L637" i="10"/>
  <c r="L237" i="10"/>
  <c r="AK637" i="10"/>
  <c r="AP237" i="10"/>
  <c r="M237" i="10"/>
  <c r="AX637" i="10"/>
  <c r="AC237" i="10"/>
  <c r="P637" i="10"/>
  <c r="AP637" i="10"/>
  <c r="Y637" i="10"/>
  <c r="J637" i="10"/>
  <c r="X237" i="10"/>
  <c r="AG237" i="10"/>
  <c r="F229" i="27"/>
  <c r="BD226" i="26"/>
  <c r="T215" i="10"/>
  <c r="K615" i="10"/>
  <c r="O215" i="10"/>
  <c r="AJ615" i="10"/>
  <c r="AB215" i="10"/>
  <c r="AM215" i="10"/>
  <c r="AI215" i="10"/>
  <c r="W615" i="10"/>
  <c r="AG615" i="10"/>
  <c r="AX215" i="10"/>
  <c r="R615" i="10"/>
  <c r="S615" i="10"/>
  <c r="AO215" i="10"/>
  <c r="AE215" i="10"/>
  <c r="AV215" i="10"/>
  <c r="AT215" i="10"/>
  <c r="X615" i="10"/>
  <c r="X215" i="10"/>
  <c r="AQ215" i="10"/>
  <c r="AD615" i="10"/>
  <c r="AC615" i="10"/>
  <c r="U615" i="10"/>
  <c r="AX615" i="10"/>
  <c r="L622" i="10"/>
  <c r="O622" i="10"/>
  <c r="AQ622" i="10"/>
  <c r="L222" i="10"/>
  <c r="AK222" i="10"/>
  <c r="AA622" i="10"/>
  <c r="AC222" i="10"/>
  <c r="N622" i="10"/>
  <c r="M222" i="10"/>
  <c r="AT222" i="10"/>
  <c r="J222" i="10"/>
  <c r="AL222" i="10"/>
  <c r="AX622" i="10"/>
  <c r="V222" i="10"/>
  <c r="Y222" i="10"/>
  <c r="AM222" i="10"/>
  <c r="AQ222" i="10"/>
  <c r="AA222" i="10"/>
  <c r="AF622" i="10"/>
  <c r="R222" i="10"/>
  <c r="T629" i="10"/>
  <c r="AF629" i="10"/>
  <c r="AC229" i="10"/>
  <c r="AJ229" i="10"/>
  <c r="AL629" i="10"/>
  <c r="AO629" i="10"/>
  <c r="AR229" i="10"/>
  <c r="U629" i="10"/>
  <c r="Z629" i="10"/>
  <c r="AQ629" i="10"/>
  <c r="AR629" i="10"/>
  <c r="AE229" i="10"/>
  <c r="M229" i="10"/>
  <c r="AT229" i="10"/>
  <c r="AD629" i="10"/>
  <c r="Z229" i="10"/>
  <c r="W229" i="10"/>
  <c r="M629" i="10"/>
  <c r="S229" i="10"/>
  <c r="AY229" i="10"/>
  <c r="AI222" i="10"/>
  <c r="V622" i="10"/>
  <c r="S622" i="10"/>
  <c r="AR222" i="10"/>
  <c r="R622" i="10"/>
  <c r="Z222" i="10"/>
  <c r="AK622" i="10"/>
  <c r="AT622" i="10"/>
  <c r="AY622" i="10"/>
  <c r="AS622" i="10"/>
  <c r="AI622" i="10"/>
  <c r="AJ622" i="10"/>
  <c r="AV222" i="10"/>
  <c r="U622" i="10"/>
  <c r="Y622" i="10"/>
  <c r="AE222" i="10"/>
  <c r="AD622" i="10"/>
  <c r="X222" i="10"/>
  <c r="AO222" i="10"/>
  <c r="AC622" i="10"/>
  <c r="AP222" i="10"/>
  <c r="P629" i="10"/>
  <c r="L229" i="10"/>
  <c r="AA629" i="10"/>
  <c r="AK229" i="10"/>
  <c r="AX229" i="10"/>
  <c r="R629" i="10"/>
  <c r="AY629" i="10"/>
  <c r="Q629" i="10"/>
  <c r="AW229" i="10"/>
  <c r="Q229" i="10"/>
  <c r="AI229" i="10"/>
  <c r="AM629" i="10"/>
  <c r="U229" i="10"/>
  <c r="AG229" i="10"/>
  <c r="J629" i="10"/>
  <c r="AV229" i="10"/>
  <c r="AI629" i="10"/>
  <c r="AG629" i="10"/>
  <c r="AJ629" i="10"/>
  <c r="F215" i="27"/>
  <c r="BD215" i="26"/>
  <c r="Z215" i="27"/>
  <c r="R638" i="10"/>
  <c r="AN638" i="10"/>
  <c r="AC238" i="10"/>
  <c r="AA638" i="10"/>
  <c r="AC638" i="10"/>
  <c r="AQ638" i="10"/>
  <c r="P638" i="10"/>
  <c r="T238" i="10"/>
  <c r="L638" i="10"/>
  <c r="AQ238" i="10"/>
  <c r="AU638" i="10"/>
  <c r="Q638" i="10"/>
  <c r="J638" i="10"/>
  <c r="AJ238" i="10"/>
  <c r="S638" i="10"/>
  <c r="AY238" i="10"/>
  <c r="X238" i="10"/>
  <c r="O638" i="10"/>
  <c r="AL638" i="10"/>
  <c r="AT238" i="10"/>
  <c r="W638" i="10"/>
  <c r="AR638" i="10"/>
  <c r="AB238" i="10"/>
  <c r="AH638" i="10"/>
  <c r="M638" i="10"/>
  <c r="K638" i="10"/>
  <c r="AH238" i="10"/>
  <c r="U238" i="10"/>
  <c r="O238" i="10"/>
  <c r="P238" i="10"/>
  <c r="AP238" i="10"/>
  <c r="W238" i="10"/>
  <c r="X638" i="10"/>
  <c r="AX638" i="10"/>
  <c r="AM638" i="10"/>
  <c r="AK238" i="10"/>
  <c r="AR238" i="10"/>
  <c r="AI238" i="10"/>
  <c r="AS638" i="10"/>
  <c r="AJ638" i="10"/>
  <c r="AW638" i="10"/>
  <c r="AG238" i="10"/>
  <c r="N238" i="10"/>
  <c r="AP638" i="10"/>
  <c r="V638" i="10"/>
  <c r="AA238" i="10"/>
  <c r="AW238" i="10"/>
  <c r="AF238" i="10"/>
  <c r="AT638" i="10"/>
  <c r="U638" i="10"/>
  <c r="Y238" i="10"/>
  <c r="AF638" i="10"/>
  <c r="Q238" i="10"/>
  <c r="L238" i="10"/>
  <c r="R238" i="10"/>
  <c r="AI638" i="10"/>
  <c r="AG638" i="10"/>
  <c r="AS238" i="10"/>
  <c r="AD238" i="10"/>
  <c r="K238" i="10"/>
  <c r="S238" i="10"/>
  <c r="AV638" i="10"/>
  <c r="Z238" i="10"/>
  <c r="M238" i="10"/>
  <c r="AK638" i="10"/>
  <c r="Z638" i="10"/>
  <c r="T638" i="10"/>
  <c r="AV238" i="10"/>
  <c r="AX238" i="10"/>
  <c r="AD638" i="10"/>
  <c r="AE638" i="10"/>
  <c r="AY638" i="10"/>
  <c r="N638" i="10"/>
  <c r="Y638" i="10"/>
  <c r="AN238" i="10"/>
  <c r="AE238" i="10"/>
  <c r="AO238" i="10"/>
  <c r="AL238" i="10"/>
  <c r="AO638" i="10"/>
  <c r="AB638" i="10"/>
  <c r="J238" i="10"/>
  <c r="AM238" i="10"/>
  <c r="V238" i="10"/>
  <c r="AN622" i="10"/>
  <c r="M622" i="10"/>
  <c r="AL622" i="10"/>
  <c r="AN222" i="10"/>
  <c r="AW222" i="10"/>
  <c r="P622" i="10"/>
  <c r="T222" i="10"/>
  <c r="AM622" i="10"/>
  <c r="AF222" i="10"/>
  <c r="AY222" i="10"/>
  <c r="U222" i="10"/>
  <c r="AB222" i="10"/>
  <c r="AS222" i="10"/>
  <c r="Z622" i="10"/>
  <c r="AG622" i="10"/>
  <c r="W622" i="10"/>
  <c r="AH222" i="10"/>
  <c r="W222" i="10"/>
  <c r="AR622" i="10"/>
  <c r="N222" i="10"/>
  <c r="AT629" i="10"/>
  <c r="V229" i="10"/>
  <c r="Y229" i="10"/>
  <c r="T229" i="10"/>
  <c r="W629" i="10"/>
  <c r="AE629" i="10"/>
  <c r="AH229" i="10"/>
  <c r="S629" i="10"/>
  <c r="AN229" i="10"/>
  <c r="AA229" i="10"/>
  <c r="AV629" i="10"/>
  <c r="AP629" i="10"/>
  <c r="AS629" i="10"/>
  <c r="AF229" i="10"/>
  <c r="AX629" i="10"/>
  <c r="N229" i="10"/>
  <c r="P229" i="10"/>
  <c r="AP229" i="10"/>
  <c r="AW629" i="10"/>
  <c r="K629" i="10"/>
  <c r="O229" i="10"/>
  <c r="AM229" i="10"/>
  <c r="P630" i="10"/>
  <c r="Z630" i="10"/>
  <c r="AX230" i="10"/>
  <c r="AU630" i="10"/>
  <c r="N630" i="10"/>
  <c r="R230" i="10"/>
  <c r="AL230" i="10"/>
  <c r="AB630" i="10"/>
  <c r="U630" i="10"/>
  <c r="Q230" i="10"/>
  <c r="M630" i="10"/>
  <c r="AN230" i="10"/>
  <c r="AW230" i="10"/>
  <c r="L230" i="10"/>
  <c r="AX630" i="10"/>
  <c r="AV230" i="10"/>
  <c r="J630" i="10"/>
  <c r="S230" i="10"/>
  <c r="AT630" i="10"/>
  <c r="V630" i="10"/>
  <c r="S630" i="10"/>
  <c r="AT230" i="10"/>
  <c r="R630" i="10"/>
  <c r="Y630" i="10"/>
  <c r="AF230" i="10"/>
  <c r="AY630" i="10"/>
  <c r="AJ630" i="10"/>
  <c r="U230" i="10"/>
  <c r="X630" i="10"/>
  <c r="AK230" i="10"/>
  <c r="AQ630" i="10"/>
  <c r="Q630" i="10"/>
  <c r="AR230" i="10"/>
  <c r="N230" i="10"/>
  <c r="AP230" i="10"/>
  <c r="T230" i="10"/>
  <c r="AE230" i="10"/>
  <c r="V230" i="10"/>
  <c r="AQ230" i="10"/>
  <c r="AR630" i="10"/>
  <c r="AN630" i="10"/>
  <c r="AG630" i="10"/>
  <c r="AM630" i="10"/>
  <c r="AC230" i="10"/>
  <c r="AD230" i="10"/>
  <c r="AC630" i="10"/>
  <c r="O630" i="10"/>
  <c r="AE630" i="10"/>
  <c r="AH230" i="10"/>
  <c r="AI630" i="10"/>
  <c r="W630" i="10"/>
  <c r="P230" i="10"/>
  <c r="W230" i="10"/>
  <c r="AP630" i="10"/>
  <c r="AA630" i="10"/>
  <c r="J230" i="10"/>
  <c r="AF630" i="10"/>
  <c r="AL630" i="10"/>
  <c r="Z230" i="10"/>
  <c r="AB230" i="10"/>
  <c r="K230" i="10"/>
  <c r="AA230" i="10"/>
  <c r="AD630" i="10"/>
  <c r="AI230" i="10"/>
  <c r="AV630" i="10"/>
  <c r="AH630" i="10"/>
  <c r="AO630" i="10"/>
  <c r="AJ230" i="10"/>
  <c r="AY230" i="10"/>
  <c r="AW630" i="10"/>
  <c r="AS230" i="10"/>
  <c r="AG230" i="10"/>
  <c r="L630" i="10"/>
  <c r="O230" i="10"/>
  <c r="X230" i="10"/>
  <c r="AM230" i="10"/>
  <c r="AK630" i="10"/>
  <c r="M230" i="10"/>
  <c r="AS630" i="10"/>
  <c r="T630" i="10"/>
  <c r="Y230" i="10"/>
  <c r="AO230" i="10"/>
  <c r="K630" i="10"/>
  <c r="H476" i="6"/>
  <c r="AC476" i="6" s="1"/>
  <c r="AD476" i="6" s="1"/>
  <c r="BE304" i="26"/>
  <c r="BF304" i="26" s="1"/>
  <c r="V222" i="27"/>
  <c r="AA222" i="27" s="1"/>
  <c r="BB226" i="10"/>
  <c r="BC226" i="10" s="1"/>
  <c r="G222" i="10"/>
  <c r="G304" i="6"/>
  <c r="AI497" i="26"/>
  <c r="AK497" i="26" s="1"/>
  <c r="G226" i="6"/>
  <c r="BE226" i="26"/>
  <c r="H226" i="27"/>
  <c r="H215" i="27"/>
  <c r="G215" i="6"/>
  <c r="G215" i="9"/>
  <c r="BE215" i="26"/>
  <c r="H306" i="27"/>
  <c r="BF331" i="26"/>
  <c r="BA285" i="10"/>
  <c r="AF214" i="6"/>
  <c r="AH214" i="6"/>
  <c r="I213" i="9"/>
  <c r="I213" i="6"/>
  <c r="AC213" i="6"/>
  <c r="I214" i="9"/>
  <c r="I214" i="6"/>
  <c r="AC214" i="9"/>
  <c r="AV496" i="26"/>
  <c r="AN494" i="26"/>
  <c r="AP494" i="26" s="1"/>
  <c r="AV494" i="26" s="1"/>
  <c r="AM395" i="10"/>
  <c r="BF115" i="26"/>
  <c r="AW494" i="26"/>
  <c r="Q494" i="26" s="1"/>
  <c r="F472" i="6" s="1"/>
  <c r="AT494" i="26"/>
  <c r="AX494" i="26" s="1"/>
  <c r="BF213" i="10"/>
  <c r="AW493" i="26"/>
  <c r="Q493" i="26" s="1"/>
  <c r="F468" i="9" s="1"/>
  <c r="BB285" i="10"/>
  <c r="I505" i="6"/>
  <c r="BF306" i="26"/>
  <c r="BF499" i="26"/>
  <c r="H210" i="27"/>
  <c r="AE197" i="9"/>
  <c r="AE109" i="9"/>
  <c r="F115" i="27"/>
  <c r="AE16" i="9"/>
  <c r="AE180" i="9"/>
  <c r="G221" i="9"/>
  <c r="F306" i="27"/>
  <c r="BF210" i="26"/>
  <c r="AE357" i="9"/>
  <c r="BA282" i="10"/>
  <c r="AE330" i="9"/>
  <c r="BB282" i="10"/>
  <c r="BC282" i="10" s="1"/>
  <c r="AE280" i="9"/>
  <c r="G387" i="6"/>
  <c r="G239" i="9"/>
  <c r="Z239" i="27"/>
  <c r="BF338" i="26"/>
  <c r="BB214" i="10"/>
  <c r="H387" i="27"/>
  <c r="Z102" i="27"/>
  <c r="BA214" i="10"/>
  <c r="BF116" i="26"/>
  <c r="G387" i="9"/>
  <c r="H221" i="27"/>
  <c r="BF274" i="26"/>
  <c r="Z306" i="27"/>
  <c r="BE221" i="26"/>
  <c r="BF221" i="26" s="1"/>
  <c r="BF337" i="26"/>
  <c r="BF69" i="26"/>
  <c r="H483" i="6"/>
  <c r="AC483" i="6" s="1"/>
  <c r="AD483" i="6" s="1"/>
  <c r="BE239" i="26"/>
  <c r="BF239" i="26" s="1"/>
  <c r="F69" i="27"/>
  <c r="BE387" i="26"/>
  <c r="BF387" i="26" s="1"/>
  <c r="G239" i="6"/>
  <c r="BB35" i="10"/>
  <c r="BC35" i="10" s="1"/>
  <c r="BA35" i="10"/>
  <c r="BB280" i="10"/>
  <c r="BC280" i="10" s="1"/>
  <c r="Z280" i="27"/>
  <c r="BB140" i="10"/>
  <c r="H249" i="27"/>
  <c r="BB199" i="10"/>
  <c r="BA261" i="10"/>
  <c r="G251" i="9"/>
  <c r="H251" i="27"/>
  <c r="G251" i="6"/>
  <c r="BA19" i="10"/>
  <c r="BA115" i="10"/>
  <c r="BA139" i="10"/>
  <c r="BA69" i="10"/>
  <c r="BB15" i="10"/>
  <c r="BC15" i="10" s="1"/>
  <c r="BA140" i="10"/>
  <c r="BB139" i="10"/>
  <c r="BC139" i="10" s="1"/>
  <c r="R454" i="26"/>
  <c r="I445" i="6" s="1"/>
  <c r="AP454" i="26"/>
  <c r="AV454" i="26" s="1"/>
  <c r="G449" i="9"/>
  <c r="BB368" i="10"/>
  <c r="BC368" i="10" s="1"/>
  <c r="BB261" i="10"/>
  <c r="BC261" i="10" s="1"/>
  <c r="BA15" i="10"/>
  <c r="BB337" i="10"/>
  <c r="BC337" i="10" s="1"/>
  <c r="BA199" i="10"/>
  <c r="BA280" i="10"/>
  <c r="BB115" i="10"/>
  <c r="BB310" i="10"/>
  <c r="BC310" i="10" s="1"/>
  <c r="BA326" i="10"/>
  <c r="BA23" i="10"/>
  <c r="BA368" i="10"/>
  <c r="BB69" i="10"/>
  <c r="BB19" i="10"/>
  <c r="BC19" i="10" s="1"/>
  <c r="BA102" i="10"/>
  <c r="BB326" i="10"/>
  <c r="BC326" i="10" s="1"/>
  <c r="R467" i="26"/>
  <c r="BF220" i="10"/>
  <c r="H220" i="27"/>
  <c r="H488" i="9"/>
  <c r="AN484" i="26"/>
  <c r="BF484" i="26" s="1"/>
  <c r="BA337" i="10"/>
  <c r="AI442" i="26"/>
  <c r="AK442" i="26" s="1"/>
  <c r="AV442" i="26" s="1"/>
  <c r="P442" i="26" s="1"/>
  <c r="G437" i="6" s="1"/>
  <c r="Z310" i="27"/>
  <c r="R425" i="26"/>
  <c r="I421" i="9" s="1"/>
  <c r="R484" i="26"/>
  <c r="I466" i="6" s="1"/>
  <c r="F344" i="27"/>
  <c r="F23" i="27"/>
  <c r="BB102" i="10"/>
  <c r="AP532" i="26"/>
  <c r="AV532" i="26" s="1"/>
  <c r="P532" i="26" s="1"/>
  <c r="G488" i="9" s="1"/>
  <c r="H297" i="27"/>
  <c r="BA310" i="10"/>
  <c r="BF17" i="26"/>
  <c r="AA17" i="27"/>
  <c r="F17" i="27"/>
  <c r="BB17" i="10"/>
  <c r="BC17" i="10" s="1"/>
  <c r="BA17" i="10"/>
  <c r="F386" i="27"/>
  <c r="BF386" i="26"/>
  <c r="BF102" i="26"/>
  <c r="Q416" i="26"/>
  <c r="F414" i="6" s="1"/>
  <c r="AI472" i="26"/>
  <c r="AK472" i="26" s="1"/>
  <c r="AV472" i="26" s="1"/>
  <c r="F491" i="9"/>
  <c r="F199" i="27"/>
  <c r="BB386" i="10"/>
  <c r="BC386" i="10" s="1"/>
  <c r="BA386" i="10"/>
  <c r="Z85" i="27"/>
  <c r="G220" i="9"/>
  <c r="G220" i="6"/>
  <c r="F437" i="6"/>
  <c r="F331" i="27"/>
  <c r="BB331" i="10"/>
  <c r="BA331" i="10"/>
  <c r="BF305" i="26"/>
  <c r="BB23" i="10"/>
  <c r="H375" i="27"/>
  <c r="AY1123" i="10"/>
  <c r="AY1523" i="10" s="1"/>
  <c r="X1115" i="10"/>
  <c r="X884" i="10"/>
  <c r="X813" i="10"/>
  <c r="AY969" i="10"/>
  <c r="AY1369" i="10" s="1"/>
  <c r="AY840" i="10"/>
  <c r="AY1240" i="10" s="1"/>
  <c r="AY1012" i="10"/>
  <c r="AY1412" i="10" s="1"/>
  <c r="AY1073" i="10"/>
  <c r="AY1473" i="10" s="1"/>
  <c r="AY1112" i="10"/>
  <c r="AY1512" i="10" s="1"/>
  <c r="AY820" i="10"/>
  <c r="AY1220" i="10" s="1"/>
  <c r="AY900" i="10"/>
  <c r="AY1300" i="10" s="1"/>
  <c r="AY944" i="10"/>
  <c r="AY1344" i="10" s="1"/>
  <c r="AY851" i="10"/>
  <c r="AY1251" i="10" s="1"/>
  <c r="AY943" i="10"/>
  <c r="AY1343" i="10" s="1"/>
  <c r="AY833" i="10"/>
  <c r="AY1233" i="10" s="1"/>
  <c r="AY1077" i="10"/>
  <c r="AY1477" i="10" s="1"/>
  <c r="AY1108" i="10"/>
  <c r="AY1508" i="10" s="1"/>
  <c r="AY1125" i="10"/>
  <c r="AY1525" i="10" s="1"/>
  <c r="AY1153" i="10"/>
  <c r="AY1553" i="10" s="1"/>
  <c r="AY1057" i="10"/>
  <c r="AY1457" i="10" s="1"/>
  <c r="AY847" i="10"/>
  <c r="AY1247" i="10" s="1"/>
  <c r="AY1180" i="10"/>
  <c r="AY1580" i="10" s="1"/>
  <c r="AY919" i="10"/>
  <c r="AY1319" i="10" s="1"/>
  <c r="AY926" i="10"/>
  <c r="AY1326" i="10" s="1"/>
  <c r="AY1146" i="10"/>
  <c r="AY1546" i="10" s="1"/>
  <c r="AY1078" i="10"/>
  <c r="AY1478" i="10" s="1"/>
  <c r="AY1160" i="10"/>
  <c r="AY1560" i="10" s="1"/>
  <c r="AY856" i="10"/>
  <c r="AY1256" i="10" s="1"/>
  <c r="AY1018" i="10"/>
  <c r="AY1418" i="10" s="1"/>
  <c r="AY898" i="10"/>
  <c r="AY1298" i="10" s="1"/>
  <c r="AY1019" i="10"/>
  <c r="AY1419" i="10" s="1"/>
  <c r="X919" i="10"/>
  <c r="Q418" i="26"/>
  <c r="AY1102" i="10"/>
  <c r="AY1502" i="10" s="1"/>
  <c r="AY1132" i="10"/>
  <c r="AY1532" i="10" s="1"/>
  <c r="AY1053" i="10"/>
  <c r="AY1453" i="10" s="1"/>
  <c r="AY1042" i="10"/>
  <c r="AY1442" i="10" s="1"/>
  <c r="X1019" i="10"/>
  <c r="AE291" i="9"/>
  <c r="AE340" i="9"/>
  <c r="AE147" i="9"/>
  <c r="AE378" i="9"/>
  <c r="BA72" i="10"/>
  <c r="H369" i="27"/>
  <c r="BF29" i="26"/>
  <c r="BF286" i="26"/>
  <c r="BB134" i="10"/>
  <c r="BC134" i="10" s="1"/>
  <c r="Z44" i="27"/>
  <c r="BB372" i="10"/>
  <c r="BC372" i="10" s="1"/>
  <c r="BB72" i="10"/>
  <c r="BC72" i="10" s="1"/>
  <c r="AE293" i="9"/>
  <c r="AE48" i="9"/>
  <c r="BA372" i="10"/>
  <c r="AE285" i="9"/>
  <c r="BF284" i="26"/>
  <c r="BA134" i="10"/>
  <c r="AE284" i="9"/>
  <c r="AE305" i="9"/>
  <c r="AE369" i="9"/>
  <c r="AE326" i="9"/>
  <c r="AE384" i="9"/>
  <c r="BF361" i="26"/>
  <c r="BF309" i="26"/>
  <c r="BA258" i="10"/>
  <c r="AE309" i="9"/>
  <c r="AE286" i="9"/>
  <c r="AE35" i="9"/>
  <c r="AE29" i="9"/>
  <c r="AE361" i="9"/>
  <c r="AE142" i="9"/>
  <c r="BB171" i="10"/>
  <c r="BC171" i="10" s="1"/>
  <c r="BA260" i="10"/>
  <c r="BA27" i="10"/>
  <c r="AB14" i="27"/>
  <c r="Z14" i="27" s="1"/>
  <c r="H14" i="27"/>
  <c r="H35" i="27"/>
  <c r="Z305" i="27"/>
  <c r="H305" i="27"/>
  <c r="Z142" i="27"/>
  <c r="H142" i="27"/>
  <c r="H286" i="27"/>
  <c r="H284" i="27"/>
  <c r="H361" i="27"/>
  <c r="Z361" i="27"/>
  <c r="AE338" i="9"/>
  <c r="AE170" i="9"/>
  <c r="AE22" i="9"/>
  <c r="AE23" i="9"/>
  <c r="AE347" i="9"/>
  <c r="AE63" i="9"/>
  <c r="AE377" i="9"/>
  <c r="BB187" i="10"/>
  <c r="H309" i="27"/>
  <c r="AE267" i="9"/>
  <c r="AE14" i="9"/>
  <c r="H147" i="27"/>
  <c r="Z147" i="27"/>
  <c r="AE139" i="9"/>
  <c r="AE88" i="9"/>
  <c r="AE175" i="9"/>
  <c r="BF74" i="26"/>
  <c r="H29" i="27"/>
  <c r="H267" i="27"/>
  <c r="AE279" i="9"/>
  <c r="AE43" i="9"/>
  <c r="BB343" i="10"/>
  <c r="BA82" i="10"/>
  <c r="AE233" i="9"/>
  <c r="AE328" i="9"/>
  <c r="AE80" i="9"/>
  <c r="BA60" i="10"/>
  <c r="BB111" i="10"/>
  <c r="BB18" i="10"/>
  <c r="BB217" i="10"/>
  <c r="BB152" i="10"/>
  <c r="BA193" i="10"/>
  <c r="BB351" i="10"/>
  <c r="BC351" i="10" s="1"/>
  <c r="BA91" i="10"/>
  <c r="BB186" i="10"/>
  <c r="BC186" i="10" s="1"/>
  <c r="BB78" i="10"/>
  <c r="BB73" i="10"/>
  <c r="BB321" i="10"/>
  <c r="BC321" i="10" s="1"/>
  <c r="BB22" i="10"/>
  <c r="BC22" i="10" s="1"/>
  <c r="BA26" i="10"/>
  <c r="BA203" i="10"/>
  <c r="BB61" i="10"/>
  <c r="BA184" i="10"/>
  <c r="AE204" i="9"/>
  <c r="BA48" i="10"/>
  <c r="AH134" i="9"/>
  <c r="AF134" i="9"/>
  <c r="AE25" i="9"/>
  <c r="BB109" i="10"/>
  <c r="BB197" i="10"/>
  <c r="BB128" i="10"/>
  <c r="BB281" i="10"/>
  <c r="BA44" i="10"/>
  <c r="BA52" i="10"/>
  <c r="BB210" i="10"/>
  <c r="BB28" i="10"/>
  <c r="BC28" i="10" s="1"/>
  <c r="BA162" i="10"/>
  <c r="BB232" i="10"/>
  <c r="BC232" i="10" s="1"/>
  <c r="BB316" i="10"/>
  <c r="BC316" i="10" s="1"/>
  <c r="BB365" i="10"/>
  <c r="BC365" i="10" s="1"/>
  <c r="BA313" i="10"/>
  <c r="BB258" i="10"/>
  <c r="BB327" i="10"/>
  <c r="BA381" i="10"/>
  <c r="BB157" i="10"/>
  <c r="BA41" i="10"/>
  <c r="BA190" i="10"/>
  <c r="BA30" i="10"/>
  <c r="BB200" i="10"/>
  <c r="BC200" i="10" s="1"/>
  <c r="BA305" i="10"/>
  <c r="BB291" i="10"/>
  <c r="BC291" i="10" s="1"/>
  <c r="BA31" i="10"/>
  <c r="BA194" i="10"/>
  <c r="BB55" i="10"/>
  <c r="BC55" i="10" s="1"/>
  <c r="BA64" i="10"/>
  <c r="AF239" i="9"/>
  <c r="BB328" i="10"/>
  <c r="BC328" i="10" s="1"/>
  <c r="BA320" i="10"/>
  <c r="BA170" i="10"/>
  <c r="BA174" i="10"/>
  <c r="BA267" i="10"/>
  <c r="BB209" i="10"/>
  <c r="BC209" i="10" s="1"/>
  <c r="BB181" i="10"/>
  <c r="BB385" i="10"/>
  <c r="AE329" i="9"/>
  <c r="AE334" i="9"/>
  <c r="AE343" i="9"/>
  <c r="AE162" i="9"/>
  <c r="AE300" i="9"/>
  <c r="AE103" i="9"/>
  <c r="AE115" i="9"/>
  <c r="AE386" i="9"/>
  <c r="AE295" i="9"/>
  <c r="AF38" i="9"/>
  <c r="AE37" i="9"/>
  <c r="AE151" i="9"/>
  <c r="AE38" i="9"/>
  <c r="AE372" i="9"/>
  <c r="AE167" i="9"/>
  <c r="AE187" i="9"/>
  <c r="AE276" i="9"/>
  <c r="AE183" i="9"/>
  <c r="AE135" i="9"/>
  <c r="AE42" i="9"/>
  <c r="AE79" i="9"/>
  <c r="AE87" i="9"/>
  <c r="AE239" i="9"/>
  <c r="AE294" i="9"/>
  <c r="AE333" i="9"/>
  <c r="AE348" i="9"/>
  <c r="AE68" i="9"/>
  <c r="R470" i="26"/>
  <c r="BA262" i="10"/>
  <c r="H258" i="27"/>
  <c r="BB262" i="10"/>
  <c r="BB64" i="10"/>
  <c r="BC64" i="10" s="1"/>
  <c r="Z134" i="27"/>
  <c r="BB31" i="10"/>
  <c r="BA291" i="10"/>
  <c r="BB194" i="10"/>
  <c r="F275" i="27"/>
  <c r="BB57" i="10"/>
  <c r="BF176" i="26"/>
  <c r="BA57" i="10"/>
  <c r="BB313" i="10"/>
  <c r="BC313" i="10" s="1"/>
  <c r="BA181" i="10"/>
  <c r="BA385" i="10"/>
  <c r="BF80" i="26"/>
  <c r="BF37" i="26"/>
  <c r="BB267" i="10"/>
  <c r="F154" i="27"/>
  <c r="BF134" i="26"/>
  <c r="F313" i="27"/>
  <c r="Z201" i="27"/>
  <c r="Z313" i="27"/>
  <c r="BB170" i="10"/>
  <c r="BB336" i="10"/>
  <c r="BF201" i="26"/>
  <c r="BA209" i="10"/>
  <c r="F262" i="27"/>
  <c r="Z262" i="27"/>
  <c r="BA55" i="10"/>
  <c r="BF64" i="26"/>
  <c r="Z50" i="27"/>
  <c r="Z258" i="27"/>
  <c r="AP517" i="26"/>
  <c r="AV517" i="26" s="1"/>
  <c r="F142" i="27"/>
  <c r="BF161" i="26"/>
  <c r="BF41" i="26"/>
  <c r="BA200" i="10"/>
  <c r="BF190" i="26"/>
  <c r="F202" i="27"/>
  <c r="BB94" i="10"/>
  <c r="BC94" i="10" s="1"/>
  <c r="Z247" i="6"/>
  <c r="BA94" i="10"/>
  <c r="BF130" i="26"/>
  <c r="Z200" i="27"/>
  <c r="G227" i="6"/>
  <c r="H227" i="27"/>
  <c r="BE227" i="26"/>
  <c r="Z38" i="27"/>
  <c r="BB305" i="10"/>
  <c r="BC305" i="10" s="1"/>
  <c r="F38" i="27"/>
  <c r="BA365" i="10"/>
  <c r="BF38" i="26"/>
  <c r="F365" i="27"/>
  <c r="BA165" i="10"/>
  <c r="BB165" i="10"/>
  <c r="BB174" i="10"/>
  <c r="BA336" i="10"/>
  <c r="F190" i="27"/>
  <c r="BA328" i="10"/>
  <c r="BB320" i="10"/>
  <c r="BB161" i="10"/>
  <c r="BB30" i="10"/>
  <c r="BC30" i="10" s="1"/>
  <c r="BA187" i="10"/>
  <c r="BA80" i="10"/>
  <c r="BB80" i="10"/>
  <c r="BB190" i="10"/>
  <c r="BA161" i="10"/>
  <c r="Z243" i="27"/>
  <c r="BA38" i="10"/>
  <c r="BB38" i="10"/>
  <c r="BF365" i="26"/>
  <c r="F348" i="27"/>
  <c r="BB348" i="10"/>
  <c r="BA348" i="10"/>
  <c r="BF348" i="26"/>
  <c r="BB41" i="10"/>
  <c r="BA316" i="10"/>
  <c r="Z247" i="27"/>
  <c r="Z372" i="27"/>
  <c r="BF247" i="26"/>
  <c r="Z83" i="27"/>
  <c r="F83" i="27"/>
  <c r="BA83" i="10"/>
  <c r="BB83" i="10"/>
  <c r="BC83" i="10" s="1"/>
  <c r="Z365" i="27"/>
  <c r="H283" i="27"/>
  <c r="F147" i="27"/>
  <c r="BF127" i="26"/>
  <c r="BA210" i="10"/>
  <c r="H355" i="27"/>
  <c r="F127" i="27"/>
  <c r="BB127" i="10"/>
  <c r="BC127" i="10" s="1"/>
  <c r="BA127" i="10"/>
  <c r="BA157" i="10"/>
  <c r="H21" i="27"/>
  <c r="H371" i="27"/>
  <c r="BB381" i="10"/>
  <c r="BA378" i="10"/>
  <c r="BF355" i="26"/>
  <c r="H294" i="27"/>
  <c r="H365" i="27"/>
  <c r="AP525" i="26"/>
  <c r="AV525" i="26" s="1"/>
  <c r="P525" i="26" s="1"/>
  <c r="G481" i="9" s="1"/>
  <c r="BA327" i="10"/>
  <c r="BF198" i="26"/>
  <c r="BA85" i="10"/>
  <c r="Z79" i="27"/>
  <c r="Z292" i="27"/>
  <c r="BA109" i="10"/>
  <c r="Z155" i="27"/>
  <c r="Z150" i="27"/>
  <c r="BF329" i="26"/>
  <c r="H150" i="27"/>
  <c r="BF182" i="26"/>
  <c r="F77" i="27"/>
  <c r="BF204" i="26"/>
  <c r="BB203" i="10"/>
  <c r="H321" i="27"/>
  <c r="BA61" i="10"/>
  <c r="H455" i="9"/>
  <c r="Z24" i="27"/>
  <c r="BB85" i="10"/>
  <c r="BF185" i="26"/>
  <c r="F22" i="27"/>
  <c r="Z172" i="27"/>
  <c r="Z237" i="6"/>
  <c r="H54" i="27"/>
  <c r="H64" i="27"/>
  <c r="F90" i="27"/>
  <c r="BF193" i="26"/>
  <c r="BA53" i="10"/>
  <c r="BB52" i="10"/>
  <c r="H92" i="27"/>
  <c r="BF303" i="26"/>
  <c r="Z111" i="27"/>
  <c r="Z92" i="27"/>
  <c r="BF292" i="26"/>
  <c r="Z249" i="27"/>
  <c r="H336" i="27"/>
  <c r="F203" i="27"/>
  <c r="BB53" i="10"/>
  <c r="BC53" i="10" s="1"/>
  <c r="F281" i="27"/>
  <c r="BA59" i="10"/>
  <c r="F197" i="27"/>
  <c r="H198" i="27"/>
  <c r="BB59" i="10"/>
  <c r="Z203" i="27"/>
  <c r="BF179" i="26"/>
  <c r="BA18" i="10"/>
  <c r="BF283" i="26"/>
  <c r="AP418" i="26"/>
  <c r="AN511" i="26"/>
  <c r="BF511" i="26" s="1"/>
  <c r="Z376" i="27"/>
  <c r="BB27" i="10"/>
  <c r="BB147" i="10"/>
  <c r="BF259" i="26"/>
  <c r="AA15" i="27"/>
  <c r="Z15" i="27" s="1"/>
  <c r="BA309" i="10"/>
  <c r="H237" i="27"/>
  <c r="BA147" i="10"/>
  <c r="BB309" i="10"/>
  <c r="H464" i="6"/>
  <c r="AC464" i="6" s="1"/>
  <c r="AD464" i="6" s="1"/>
  <c r="F68" i="27"/>
  <c r="BA128" i="10"/>
  <c r="BB44" i="10"/>
  <c r="BC44" i="10" s="1"/>
  <c r="BB378" i="10"/>
  <c r="H247" i="27"/>
  <c r="Z333" i="27"/>
  <c r="Q511" i="26"/>
  <c r="H458" i="9"/>
  <c r="BF363" i="26"/>
  <c r="BA351" i="10"/>
  <c r="H382" i="27"/>
  <c r="BF68" i="26"/>
  <c r="BB347" i="10"/>
  <c r="BC347" i="10" s="1"/>
  <c r="R520" i="26"/>
  <c r="BF72" i="26"/>
  <c r="H425" i="9"/>
  <c r="BF381" i="26"/>
  <c r="BF59" i="26"/>
  <c r="BF166" i="26"/>
  <c r="G237" i="9"/>
  <c r="BE237" i="26"/>
  <c r="BF237" i="26" s="1"/>
  <c r="H428" i="6"/>
  <c r="AC428" i="6" s="1"/>
  <c r="AD428" i="6" s="1"/>
  <c r="H102" i="27"/>
  <c r="F467" i="6"/>
  <c r="H69" i="27"/>
  <c r="G228" i="9"/>
  <c r="BA347" i="10"/>
  <c r="BF122" i="26"/>
  <c r="BB361" i="10"/>
  <c r="BC361" i="10" s="1"/>
  <c r="F237" i="27"/>
  <c r="H349" i="27"/>
  <c r="AG237" i="9"/>
  <c r="Z362" i="27"/>
  <c r="BB184" i="10"/>
  <c r="BC184" i="10" s="1"/>
  <c r="AP421" i="26"/>
  <c r="H167" i="27"/>
  <c r="I464" i="9"/>
  <c r="BF101" i="26"/>
  <c r="BA111" i="10"/>
  <c r="BA22" i="10"/>
  <c r="BA186" i="10"/>
  <c r="BA259" i="10"/>
  <c r="BB259" i="10"/>
  <c r="BC259" i="10" s="1"/>
  <c r="BB330" i="10"/>
  <c r="BC330" i="10" s="1"/>
  <c r="Z130" i="27"/>
  <c r="H130" i="27"/>
  <c r="BB114" i="10"/>
  <c r="BC114" i="10" s="1"/>
  <c r="BA114" i="10"/>
  <c r="BA281" i="10"/>
  <c r="Z174" i="27"/>
  <c r="H174" i="27"/>
  <c r="BF334" i="26"/>
  <c r="BA334" i="10"/>
  <c r="BB334" i="10"/>
  <c r="BB389" i="10"/>
  <c r="BA389" i="10"/>
  <c r="BB329" i="10"/>
  <c r="BA329" i="10"/>
  <c r="BB364" i="10"/>
  <c r="BA364" i="10"/>
  <c r="H101" i="27"/>
  <c r="F322" i="27"/>
  <c r="BF111" i="26"/>
  <c r="BF231" i="26"/>
  <c r="F364" i="27"/>
  <c r="BF383" i="26"/>
  <c r="F88" i="27"/>
  <c r="H246" i="27"/>
  <c r="Z30" i="27"/>
  <c r="H30" i="27"/>
  <c r="BF91" i="26"/>
  <c r="Z54" i="27"/>
  <c r="F309" i="27"/>
  <c r="H87" i="27"/>
  <c r="BB26" i="10"/>
  <c r="BC26" i="10" s="1"/>
  <c r="Z193" i="27"/>
  <c r="Z208" i="27"/>
  <c r="BA330" i="10"/>
  <c r="H262" i="27"/>
  <c r="BA28" i="10"/>
  <c r="R421" i="26"/>
  <c r="I419" i="6" s="1"/>
  <c r="Q421" i="26"/>
  <c r="F419" i="6" s="1"/>
  <c r="F43" i="27"/>
  <c r="F363" i="27"/>
  <c r="F191" i="27"/>
  <c r="BB162" i="10"/>
  <c r="BC162" i="10" s="1"/>
  <c r="H378" i="27"/>
  <c r="Z154" i="27"/>
  <c r="Z210" i="27"/>
  <c r="BF43" i="26"/>
  <c r="H285" i="27"/>
  <c r="Z285" i="27"/>
  <c r="Z184" i="27"/>
  <c r="H184" i="27"/>
  <c r="Z194" i="27"/>
  <c r="H194" i="27"/>
  <c r="F128" i="27"/>
  <c r="BA205" i="10"/>
  <c r="BA78" i="10"/>
  <c r="BF197" i="26"/>
  <c r="Z209" i="27"/>
  <c r="BA43" i="10"/>
  <c r="BB43" i="10"/>
  <c r="BB82" i="10"/>
  <c r="BB93" i="10"/>
  <c r="BA93" i="10"/>
  <c r="BB205" i="10"/>
  <c r="BF146" i="26"/>
  <c r="F72" i="27"/>
  <c r="Z72" i="27"/>
  <c r="Z199" i="27"/>
  <c r="H199" i="27"/>
  <c r="H243" i="27"/>
  <c r="BB260" i="10"/>
  <c r="BB193" i="10"/>
  <c r="BC193" i="10" s="1"/>
  <c r="F372" i="27"/>
  <c r="BF260" i="26"/>
  <c r="BA387" i="10"/>
  <c r="BB387" i="10"/>
  <c r="F260" i="27"/>
  <c r="F387" i="27"/>
  <c r="Z387" i="27"/>
  <c r="G232" i="6"/>
  <c r="Z275" i="27"/>
  <c r="BF205" i="26"/>
  <c r="F78" i="27"/>
  <c r="H116" i="27"/>
  <c r="Z116" i="27"/>
  <c r="G228" i="6"/>
  <c r="F235" i="27"/>
  <c r="BA197" i="10"/>
  <c r="BF351" i="26"/>
  <c r="BF321" i="26"/>
  <c r="BE232" i="26"/>
  <c r="BF232" i="26" s="1"/>
  <c r="Z363" i="27"/>
  <c r="BA232" i="10"/>
  <c r="BE228" i="26"/>
  <c r="BF228" i="26" s="1"/>
  <c r="F172" i="27"/>
  <c r="BA171" i="10"/>
  <c r="H171" i="27"/>
  <c r="H114" i="27"/>
  <c r="Z152" i="27"/>
  <c r="F109" i="27"/>
  <c r="BF171" i="26"/>
  <c r="Z113" i="27"/>
  <c r="H113" i="27"/>
  <c r="H146" i="27"/>
  <c r="H232" i="27"/>
  <c r="H41" i="27"/>
  <c r="Z41" i="27"/>
  <c r="BA292" i="10"/>
  <c r="BB292" i="10"/>
  <c r="Z114" i="27"/>
  <c r="BF78" i="26"/>
  <c r="BB182" i="10"/>
  <c r="BC182" i="10" s="1"/>
  <c r="F48" i="27"/>
  <c r="Z171" i="27"/>
  <c r="F171" i="27"/>
  <c r="BA321" i="10"/>
  <c r="H38" i="27"/>
  <c r="AO433" i="26"/>
  <c r="AN433" i="26" s="1"/>
  <c r="BA73" i="10"/>
  <c r="BF370" i="26"/>
  <c r="BF420" i="26"/>
  <c r="BB48" i="10"/>
  <c r="BC48" i="10" s="1"/>
  <c r="BA221" i="10"/>
  <c r="BB221" i="10"/>
  <c r="BF451" i="26"/>
  <c r="Z321" i="27"/>
  <c r="Q433" i="26"/>
  <c r="F428" i="6" s="1"/>
  <c r="BA363" i="10"/>
  <c r="BB363" i="10"/>
  <c r="BC363" i="10" s="1"/>
  <c r="BB295" i="10"/>
  <c r="BC295" i="10" s="1"/>
  <c r="BA295" i="10"/>
  <c r="Z187" i="27"/>
  <c r="H187" i="27"/>
  <c r="BF515" i="26"/>
  <c r="BF93" i="26"/>
  <c r="BF538" i="26"/>
  <c r="BA182" i="10"/>
  <c r="Z202" i="27"/>
  <c r="H109" i="27"/>
  <c r="Z109" i="27"/>
  <c r="H74" i="27"/>
  <c r="Z74" i="27"/>
  <c r="H344" i="27"/>
  <c r="Z344" i="27"/>
  <c r="H25" i="27"/>
  <c r="Z25" i="27"/>
  <c r="Z371" i="27"/>
  <c r="BB60" i="10"/>
  <c r="BC60" i="10" s="1"/>
  <c r="BA124" i="10"/>
  <c r="BA361" i="10"/>
  <c r="F349" i="27"/>
  <c r="BB63" i="10"/>
  <c r="BA63" i="10"/>
  <c r="Z49" i="27"/>
  <c r="F49" i="27"/>
  <c r="F120" i="27"/>
  <c r="BB124" i="10"/>
  <c r="F198" i="27"/>
  <c r="BB49" i="10"/>
  <c r="BA49" i="10"/>
  <c r="Z26" i="27"/>
  <c r="AP531" i="26"/>
  <c r="AV531" i="26" s="1"/>
  <c r="P531" i="26" s="1"/>
  <c r="G487" i="9" s="1"/>
  <c r="BF531" i="26"/>
  <c r="BF419" i="26"/>
  <c r="AP419" i="26"/>
  <c r="AV419" i="26" s="1"/>
  <c r="P419" i="26" s="1"/>
  <c r="G417" i="6" s="1"/>
  <c r="AP523" i="26"/>
  <c r="AV523" i="26" s="1"/>
  <c r="P523" i="26" s="1"/>
  <c r="G479" i="9" s="1"/>
  <c r="BF523" i="26"/>
  <c r="AP503" i="26"/>
  <c r="AV503" i="26" s="1"/>
  <c r="P503" i="26" s="1"/>
  <c r="G481" i="6" s="1"/>
  <c r="BF503" i="26"/>
  <c r="BA191" i="10"/>
  <c r="BB191" i="10"/>
  <c r="BC191" i="10" s="1"/>
  <c r="AO423" i="26"/>
  <c r="AN423" i="26" s="1"/>
  <c r="Z351" i="27"/>
  <c r="H351" i="27"/>
  <c r="AP508" i="26"/>
  <c r="AV508" i="26" s="1"/>
  <c r="P508" i="26" s="1"/>
  <c r="G485" i="6" s="1"/>
  <c r="BF508" i="26"/>
  <c r="Q423" i="26"/>
  <c r="F421" i="6" s="1"/>
  <c r="AP505" i="26"/>
  <c r="BF505" i="26"/>
  <c r="AP452" i="26"/>
  <c r="AV452" i="26" s="1"/>
  <c r="P452" i="26" s="1"/>
  <c r="G444" i="6" s="1"/>
  <c r="BF452" i="26"/>
  <c r="AP449" i="26"/>
  <c r="BF449" i="26"/>
  <c r="AO507" i="26"/>
  <c r="AN507" i="26" s="1"/>
  <c r="BF496" i="26"/>
  <c r="AP432" i="26"/>
  <c r="BF432" i="26"/>
  <c r="BF77" i="26"/>
  <c r="H80" i="27"/>
  <c r="AN497" i="26"/>
  <c r="AN413" i="26"/>
  <c r="BF413" i="26" s="1"/>
  <c r="F146" i="27"/>
  <c r="Z140" i="27"/>
  <c r="BA146" i="10"/>
  <c r="BB146" i="10"/>
  <c r="BC146" i="10" s="1"/>
  <c r="H337" i="27"/>
  <c r="Z337" i="27"/>
  <c r="H389" i="27"/>
  <c r="F412" i="6"/>
  <c r="Z412" i="6" s="1"/>
  <c r="AG412" i="6" s="1"/>
  <c r="Z128" i="27"/>
  <c r="BA217" i="10"/>
  <c r="H211" i="27"/>
  <c r="BF377" i="26"/>
  <c r="BA343" i="10"/>
  <c r="BA152" i="10"/>
  <c r="Z328" i="27"/>
  <c r="H328" i="27"/>
  <c r="Z112" i="27"/>
  <c r="Z182" i="27"/>
  <c r="F182" i="27"/>
  <c r="F36" i="27"/>
  <c r="Z36" i="27"/>
  <c r="Z355" i="27"/>
  <c r="F355" i="27"/>
  <c r="BA36" i="10"/>
  <c r="BB36" i="10"/>
  <c r="BB198" i="10"/>
  <c r="BC198" i="10" s="1"/>
  <c r="Z320" i="27"/>
  <c r="H320" i="27"/>
  <c r="Z225" i="27"/>
  <c r="H225" i="27"/>
  <c r="BB355" i="10"/>
  <c r="BA355" i="10"/>
  <c r="Z238" i="6"/>
  <c r="H444" i="6"/>
  <c r="AC444" i="6" s="1"/>
  <c r="AD444" i="6" s="1"/>
  <c r="R452" i="26"/>
  <c r="I444" i="6" s="1"/>
  <c r="BB303" i="10"/>
  <c r="BC303" i="10" s="1"/>
  <c r="BA303" i="10"/>
  <c r="BF120" i="26"/>
  <c r="BA198" i="10"/>
  <c r="BF343" i="26"/>
  <c r="BF295" i="26"/>
  <c r="Z217" i="27"/>
  <c r="F217" i="27"/>
  <c r="Z303" i="27"/>
  <c r="F303" i="27"/>
  <c r="G238" i="9"/>
  <c r="BE238" i="26"/>
  <c r="BF238" i="26" s="1"/>
  <c r="G238" i="6"/>
  <c r="F294" i="27"/>
  <c r="Z294" i="27"/>
  <c r="BB172" i="10"/>
  <c r="BA172" i="10"/>
  <c r="BA333" i="10"/>
  <c r="BB333" i="10"/>
  <c r="BC333" i="10" s="1"/>
  <c r="BB382" i="10"/>
  <c r="BC382" i="10" s="1"/>
  <c r="BA382" i="10"/>
  <c r="H377" i="27"/>
  <c r="Z382" i="27"/>
  <c r="F382" i="27"/>
  <c r="Z175" i="27"/>
  <c r="H175" i="27"/>
  <c r="AG238" i="9"/>
  <c r="BB294" i="10"/>
  <c r="BA294" i="10"/>
  <c r="F377" i="27"/>
  <c r="BB91" i="10"/>
  <c r="Z295" i="27"/>
  <c r="F295" i="27"/>
  <c r="Z101" i="27"/>
  <c r="F101" i="27"/>
  <c r="BB101" i="10"/>
  <c r="BC101" i="10" s="1"/>
  <c r="BA101" i="10"/>
  <c r="Z198" i="27"/>
  <c r="H121" i="27"/>
  <c r="Z121" i="27"/>
  <c r="BB377" i="10"/>
  <c r="BC377" i="10" s="1"/>
  <c r="BA377" i="10"/>
  <c r="H176" i="27"/>
  <c r="Z176" i="27"/>
  <c r="BB373" i="10"/>
  <c r="BA373" i="10"/>
  <c r="Z373" i="27"/>
  <c r="F373" i="27"/>
  <c r="AG230" i="9"/>
  <c r="Z230" i="6"/>
  <c r="G230" i="6"/>
  <c r="G230" i="9"/>
  <c r="BE230" i="26"/>
  <c r="H88" i="27"/>
  <c r="Z88" i="27"/>
  <c r="Z37" i="27"/>
  <c r="H37" i="27"/>
  <c r="BA39" i="10"/>
  <c r="BB39" i="10"/>
  <c r="BC39" i="10" s="1"/>
  <c r="Z39" i="27"/>
  <c r="F39" i="27"/>
  <c r="F230" i="27"/>
  <c r="G231" i="6"/>
  <c r="BF357" i="26"/>
  <c r="BF110" i="26"/>
  <c r="H234" i="27"/>
  <c r="BF270" i="26"/>
  <c r="G231" i="9"/>
  <c r="BA112" i="10"/>
  <c r="H319" i="27"/>
  <c r="Z319" i="27"/>
  <c r="H384" i="27"/>
  <c r="Z384" i="27"/>
  <c r="F357" i="27"/>
  <c r="BB112" i="10"/>
  <c r="BC112" i="10" s="1"/>
  <c r="H115" i="27"/>
  <c r="Z115" i="27"/>
  <c r="F34" i="27"/>
  <c r="Z34" i="27"/>
  <c r="BA34" i="10"/>
  <c r="BB34" i="10"/>
  <c r="H63" i="27"/>
  <c r="F166" i="27"/>
  <c r="Z166" i="27"/>
  <c r="BF234" i="26"/>
  <c r="F286" i="27"/>
  <c r="H386" i="27"/>
  <c r="H300" i="27"/>
  <c r="Z300" i="27"/>
  <c r="BF138" i="26"/>
  <c r="BB166" i="10"/>
  <c r="BC166" i="10" s="1"/>
  <c r="BA166" i="10"/>
  <c r="BB286" i="10"/>
  <c r="BC286" i="10" s="1"/>
  <c r="BA286" i="10"/>
  <c r="H357" i="27"/>
  <c r="BA234" i="10"/>
  <c r="BB234" i="10"/>
  <c r="BC234" i="10" s="1"/>
  <c r="BA204" i="10"/>
  <c r="BB204" i="10"/>
  <c r="BC204" i="10" s="1"/>
  <c r="BA357" i="10"/>
  <c r="BB357" i="10"/>
  <c r="F204" i="27"/>
  <c r="H259" i="27"/>
  <c r="BF290" i="26"/>
  <c r="R534" i="26"/>
  <c r="I490" i="9" s="1"/>
  <c r="Z356" i="27"/>
  <c r="Z138" i="27"/>
  <c r="BF240" i="26"/>
  <c r="BF287" i="26"/>
  <c r="H424" i="9"/>
  <c r="H28" i="27"/>
  <c r="H112" i="27"/>
  <c r="H452" i="6"/>
  <c r="AC452" i="6" s="1"/>
  <c r="AD452" i="6" s="1"/>
  <c r="R461" i="26"/>
  <c r="I452" i="6" s="1"/>
  <c r="H426" i="6"/>
  <c r="AC426" i="6" s="1"/>
  <c r="AD426" i="6" s="1"/>
  <c r="AP521" i="26"/>
  <c r="F440" i="9"/>
  <c r="BF95" i="26"/>
  <c r="Z327" i="27"/>
  <c r="Z21" i="27"/>
  <c r="R529" i="26"/>
  <c r="I485" i="9" s="1"/>
  <c r="F429" i="9"/>
  <c r="Z259" i="27"/>
  <c r="H240" i="27"/>
  <c r="BF354" i="26"/>
  <c r="F451" i="9"/>
  <c r="R512" i="26"/>
  <c r="I489" i="6" s="1"/>
  <c r="AI456" i="26"/>
  <c r="AK456" i="26" s="1"/>
  <c r="AV456" i="26" s="1"/>
  <c r="P456" i="26" s="1"/>
  <c r="G440" i="9" s="1"/>
  <c r="H422" i="6"/>
  <c r="AC422" i="6" s="1"/>
  <c r="AD422" i="6" s="1"/>
  <c r="H449" i="6"/>
  <c r="AC449" i="6" s="1"/>
  <c r="AD449" i="6" s="1"/>
  <c r="H443" i="6"/>
  <c r="AC443" i="6" s="1"/>
  <c r="AD443" i="6" s="1"/>
  <c r="H419" i="9"/>
  <c r="R458" i="26"/>
  <c r="I442" i="9" s="1"/>
  <c r="AN493" i="26"/>
  <c r="AP493" i="26" s="1"/>
  <c r="AV493" i="26" s="1"/>
  <c r="R531" i="26"/>
  <c r="I487" i="9" s="1"/>
  <c r="AP412" i="26"/>
  <c r="AI464" i="26"/>
  <c r="AK464" i="26" s="1"/>
  <c r="AV464" i="26" s="1"/>
  <c r="P464" i="26" s="1"/>
  <c r="G453" i="6" s="1"/>
  <c r="AN438" i="26"/>
  <c r="BF438" i="26" s="1"/>
  <c r="R448" i="26"/>
  <c r="H441" i="6"/>
  <c r="AC441" i="6" s="1"/>
  <c r="AD441" i="6" s="1"/>
  <c r="I454" i="9"/>
  <c r="R439" i="26"/>
  <c r="I434" i="6" s="1"/>
  <c r="G455" i="6"/>
  <c r="F500" i="6"/>
  <c r="AP436" i="26"/>
  <c r="AV436" i="26" s="1"/>
  <c r="P436" i="26" s="1"/>
  <c r="G431" i="6" s="1"/>
  <c r="AI481" i="26"/>
  <c r="AK481" i="26" s="1"/>
  <c r="AV481" i="26" s="1"/>
  <c r="P481" i="26" s="1"/>
  <c r="G459" i="9" s="1"/>
  <c r="Q538" i="26"/>
  <c r="F493" i="9" s="1"/>
  <c r="R492" i="26"/>
  <c r="I471" i="6" s="1"/>
  <c r="AN417" i="26"/>
  <c r="AP435" i="26"/>
  <c r="AV435" i="26" s="1"/>
  <c r="P435" i="26" s="1"/>
  <c r="G430" i="6" s="1"/>
  <c r="H417" i="6"/>
  <c r="AC417" i="6" s="1"/>
  <c r="AD417" i="6" s="1"/>
  <c r="R419" i="26"/>
  <c r="I417" i="6" s="1"/>
  <c r="AN445" i="26"/>
  <c r="AP445" i="26" s="1"/>
  <c r="AV445" i="26" s="1"/>
  <c r="AN439" i="26"/>
  <c r="Q537" i="26"/>
  <c r="F506" i="6" s="1"/>
  <c r="H420" i="6"/>
  <c r="AC420" i="6" s="1"/>
  <c r="AD420" i="6" s="1"/>
  <c r="BF107" i="26"/>
  <c r="AP514" i="26"/>
  <c r="AV514" i="26" s="1"/>
  <c r="P514" i="26" s="1"/>
  <c r="G491" i="6" s="1"/>
  <c r="AP462" i="26"/>
  <c r="AV462" i="26" s="1"/>
  <c r="P462" i="26" s="1"/>
  <c r="G451" i="6" s="1"/>
  <c r="F456" i="6"/>
  <c r="F449" i="9"/>
  <c r="F503" i="6"/>
  <c r="F489" i="9"/>
  <c r="H503" i="6"/>
  <c r="AC503" i="6" s="1"/>
  <c r="AD503" i="6" s="1"/>
  <c r="H489" i="9"/>
  <c r="R533" i="26"/>
  <c r="AP415" i="26"/>
  <c r="AI473" i="26"/>
  <c r="AK473" i="26" s="1"/>
  <c r="AV473" i="26" s="1"/>
  <c r="Z162" i="27"/>
  <c r="AN537" i="26"/>
  <c r="F93" i="27"/>
  <c r="Z271" i="27"/>
  <c r="BF330" i="26"/>
  <c r="BF42" i="26"/>
  <c r="H354" i="27"/>
  <c r="F330" i="27"/>
  <c r="Q507" i="26"/>
  <c r="F484" i="6" s="1"/>
  <c r="Z82" i="27"/>
  <c r="G451" i="9"/>
  <c r="AI485" i="26"/>
  <c r="AK485" i="26" s="1"/>
  <c r="AV485" i="26" s="1"/>
  <c r="P485" i="26" s="1"/>
  <c r="G462" i="9" s="1"/>
  <c r="AI468" i="26"/>
  <c r="AK468" i="26" s="1"/>
  <c r="Q485" i="26"/>
  <c r="F462" i="9" s="1"/>
  <c r="R445" i="26"/>
  <c r="I440" i="6" s="1"/>
  <c r="H42" i="27"/>
  <c r="H474" i="9"/>
  <c r="R514" i="26"/>
  <c r="H491" i="6"/>
  <c r="AC491" i="6" s="1"/>
  <c r="AD491" i="6" s="1"/>
  <c r="AI488" i="26"/>
  <c r="AK488" i="26" s="1"/>
  <c r="AV488" i="26" s="1"/>
  <c r="P488" i="26" s="1"/>
  <c r="F42" i="27"/>
  <c r="Z133" i="27"/>
  <c r="H133" i="27"/>
  <c r="Q468" i="26"/>
  <c r="BB42" i="10"/>
  <c r="BC42" i="10" s="1"/>
  <c r="BA42" i="10"/>
  <c r="H453" i="6"/>
  <c r="AC453" i="6" s="1"/>
  <c r="AD453" i="6" s="1"/>
  <c r="R464" i="26"/>
  <c r="I453" i="6" s="1"/>
  <c r="F29" i="27"/>
  <c r="BB29" i="10"/>
  <c r="BA29" i="10"/>
  <c r="Q501" i="26"/>
  <c r="F479" i="6" s="1"/>
  <c r="Q443" i="26"/>
  <c r="AO429" i="26"/>
  <c r="AN429" i="26" s="1"/>
  <c r="R537" i="26"/>
  <c r="H492" i="9"/>
  <c r="H506" i="6"/>
  <c r="AC506" i="6" s="1"/>
  <c r="AD506" i="6" s="1"/>
  <c r="Z90" i="27"/>
  <c r="AP444" i="26"/>
  <c r="AI465" i="26"/>
  <c r="AK465" i="26" s="1"/>
  <c r="Q488" i="26"/>
  <c r="Z61" i="27"/>
  <c r="H61" i="27"/>
  <c r="F491" i="6"/>
  <c r="F474" i="9"/>
  <c r="AI459" i="26"/>
  <c r="AK459" i="26" s="1"/>
  <c r="AV459" i="26" s="1"/>
  <c r="P459" i="26" s="1"/>
  <c r="G443" i="9" s="1"/>
  <c r="H435" i="9"/>
  <c r="R449" i="26"/>
  <c r="H442" i="6"/>
  <c r="AC442" i="6" s="1"/>
  <c r="AD442" i="6" s="1"/>
  <c r="Z43" i="27"/>
  <c r="H43" i="27"/>
  <c r="AN501" i="26"/>
  <c r="BB369" i="10"/>
  <c r="BA369" i="10"/>
  <c r="F435" i="9"/>
  <c r="F442" i="6"/>
  <c r="Q429" i="26"/>
  <c r="F424" i="6" s="1"/>
  <c r="BE244" i="26"/>
  <c r="BF244" i="26" s="1"/>
  <c r="G244" i="9"/>
  <c r="G244" i="6"/>
  <c r="H452" i="9"/>
  <c r="R473" i="26"/>
  <c r="I452" i="9" s="1"/>
  <c r="Q459" i="26"/>
  <c r="F443" i="9" s="1"/>
  <c r="H485" i="6"/>
  <c r="AC485" i="6" s="1"/>
  <c r="AD485" i="6" s="1"/>
  <c r="R508" i="26"/>
  <c r="I485" i="6" s="1"/>
  <c r="AO443" i="26"/>
  <c r="AN443" i="26" s="1"/>
  <c r="AP527" i="26"/>
  <c r="AV527" i="26" s="1"/>
  <c r="H23" i="27"/>
  <c r="Z23" i="27"/>
  <c r="H135" i="27"/>
  <c r="AG245" i="9"/>
  <c r="AE93" i="9"/>
  <c r="Z68" i="27"/>
  <c r="AP440" i="26"/>
  <c r="AE205" i="9"/>
  <c r="AE270" i="9"/>
  <c r="Z255" i="27"/>
  <c r="AE58" i="9"/>
  <c r="H456" i="9"/>
  <c r="R477" i="26"/>
  <c r="H463" i="6"/>
  <c r="AC463" i="6" s="1"/>
  <c r="AD463" i="6" s="1"/>
  <c r="BA358" i="10"/>
  <c r="BB358" i="10"/>
  <c r="BC358" i="10" s="1"/>
  <c r="BB135" i="10"/>
  <c r="BA135" i="10"/>
  <c r="Z329" i="27"/>
  <c r="H329" i="27"/>
  <c r="AO516" i="26"/>
  <c r="AN516" i="26" s="1"/>
  <c r="H486" i="6"/>
  <c r="AC486" i="6" s="1"/>
  <c r="AD486" i="6" s="1"/>
  <c r="R510" i="26"/>
  <c r="I486" i="6" s="1"/>
  <c r="BF358" i="26"/>
  <c r="H440" i="6"/>
  <c r="AC440" i="6" s="1"/>
  <c r="AD440" i="6" s="1"/>
  <c r="H432" i="9"/>
  <c r="Z197" i="27"/>
  <c r="H197" i="27"/>
  <c r="Z379" i="27"/>
  <c r="H379" i="27"/>
  <c r="Z89" i="27"/>
  <c r="H89" i="27"/>
  <c r="H343" i="27"/>
  <c r="Q460" i="26"/>
  <c r="AG224" i="9"/>
  <c r="BF135" i="26"/>
  <c r="BE245" i="26"/>
  <c r="BF245" i="26" s="1"/>
  <c r="G245" i="6"/>
  <c r="G245" i="9"/>
  <c r="BA32" i="10"/>
  <c r="BB32" i="10"/>
  <c r="BC32" i="10" s="1"/>
  <c r="I422" i="6"/>
  <c r="I419" i="9"/>
  <c r="Z71" i="27"/>
  <c r="F71" i="27"/>
  <c r="Q474" i="26"/>
  <c r="H48" i="27"/>
  <c r="Z48" i="27"/>
  <c r="Q465" i="26"/>
  <c r="H127" i="27"/>
  <c r="Z340" i="27"/>
  <c r="H340" i="27"/>
  <c r="BA223" i="10"/>
  <c r="BB223" i="10"/>
  <c r="Z139" i="27"/>
  <c r="H139" i="27"/>
  <c r="AE381" i="9"/>
  <c r="AE161" i="9"/>
  <c r="H358" i="27"/>
  <c r="H170" i="27"/>
  <c r="Z170" i="27"/>
  <c r="H431" i="9"/>
  <c r="R444" i="26"/>
  <c r="I431" i="9" s="1"/>
  <c r="AI474" i="26"/>
  <c r="AK474" i="26" s="1"/>
  <c r="AV474" i="26" s="1"/>
  <c r="P474" i="26" s="1"/>
  <c r="BA107" i="10"/>
  <c r="BB107" i="10"/>
  <c r="H122" i="27"/>
  <c r="Z122" i="27"/>
  <c r="F354" i="27"/>
  <c r="G224" i="9"/>
  <c r="G224" i="6"/>
  <c r="BE224" i="26"/>
  <c r="BF224" i="26" s="1"/>
  <c r="AG223" i="9"/>
  <c r="BB354" i="10"/>
  <c r="BC354" i="10" s="1"/>
  <c r="BA354" i="10"/>
  <c r="H326" i="27"/>
  <c r="Z326" i="27"/>
  <c r="Q516" i="26"/>
  <c r="F493" i="6" s="1"/>
  <c r="Z224" i="6"/>
  <c r="Z223" i="6"/>
  <c r="Z103" i="27"/>
  <c r="H103" i="27"/>
  <c r="BA71" i="10"/>
  <c r="BB71" i="10"/>
  <c r="H291" i="27"/>
  <c r="Z291" i="27"/>
  <c r="Z274" i="27"/>
  <c r="AP437" i="26"/>
  <c r="I482" i="9"/>
  <c r="AE110" i="9"/>
  <c r="AE17" i="9"/>
  <c r="AE91" i="9"/>
  <c r="AE190" i="9"/>
  <c r="H334" i="27"/>
  <c r="Z334" i="27"/>
  <c r="H22" i="27"/>
  <c r="Z22" i="27"/>
  <c r="BB224" i="10"/>
  <c r="BC224" i="10" s="1"/>
  <c r="BA224" i="10"/>
  <c r="BB245" i="10"/>
  <c r="BA245" i="10"/>
  <c r="Z32" i="27"/>
  <c r="F32" i="27"/>
  <c r="AE59" i="9"/>
  <c r="AE127" i="9"/>
  <c r="AE89" i="9"/>
  <c r="F358" i="27"/>
  <c r="H59" i="27"/>
  <c r="AE358" i="9"/>
  <c r="H347" i="27"/>
  <c r="Z347" i="27"/>
  <c r="AI460" i="26"/>
  <c r="AK460" i="26" s="1"/>
  <c r="AE49" i="9"/>
  <c r="F107" i="27"/>
  <c r="G223" i="9"/>
  <c r="G223" i="6"/>
  <c r="BE223" i="26"/>
  <c r="AE213" i="9"/>
  <c r="F224" i="27"/>
  <c r="F135" i="27"/>
  <c r="Z245" i="6"/>
  <c r="Z213" i="27"/>
  <c r="H213" i="27"/>
  <c r="BA183" i="10"/>
  <c r="BB183" i="10"/>
  <c r="H78" i="27"/>
  <c r="F206" i="27"/>
  <c r="Z206" i="27"/>
  <c r="Z120" i="27"/>
  <c r="H120" i="27"/>
  <c r="AE78" i="9"/>
  <c r="H205" i="27"/>
  <c r="BA206" i="10"/>
  <c r="BB206" i="10"/>
  <c r="BC206" i="10" s="1"/>
  <c r="H501" i="6"/>
  <c r="AC501" i="6" s="1"/>
  <c r="AD501" i="6" s="1"/>
  <c r="R527" i="26"/>
  <c r="H483" i="9"/>
  <c r="Z338" i="27"/>
  <c r="H338" i="27"/>
  <c r="H117" i="27"/>
  <c r="Z117" i="27"/>
  <c r="BB81" i="10"/>
  <c r="BC81" i="10" s="1"/>
  <c r="BA81" i="10"/>
  <c r="AE31" i="9"/>
  <c r="H57" i="27"/>
  <c r="Z57" i="27"/>
  <c r="BB283" i="10"/>
  <c r="BA283" i="10"/>
  <c r="H91" i="27"/>
  <c r="F283" i="27"/>
  <c r="Z283" i="27"/>
  <c r="H460" i="9"/>
  <c r="R482" i="26"/>
  <c r="I460" i="9" s="1"/>
  <c r="R481" i="26"/>
  <c r="I459" i="9" s="1"/>
  <c r="H459" i="9"/>
  <c r="R416" i="26"/>
  <c r="I414" i="6" s="1"/>
  <c r="H414" i="6"/>
  <c r="AC414" i="6" s="1"/>
  <c r="AD414" i="6" s="1"/>
  <c r="H17" i="27"/>
  <c r="F240" i="27"/>
  <c r="BF335" i="26"/>
  <c r="Z375" i="27"/>
  <c r="BB240" i="10"/>
  <c r="BA240" i="10"/>
  <c r="H330" i="27"/>
  <c r="H190" i="27"/>
  <c r="AE165" i="9"/>
  <c r="Q440" i="26"/>
  <c r="F435" i="6" s="1"/>
  <c r="I439" i="9"/>
  <c r="I446" i="6"/>
  <c r="H507" i="6"/>
  <c r="AC507" i="6" s="1"/>
  <c r="AD507" i="6" s="1"/>
  <c r="H493" i="9"/>
  <c r="AE57" i="9"/>
  <c r="Z279" i="27"/>
  <c r="H279" i="27"/>
  <c r="Z192" i="27"/>
  <c r="H192" i="27"/>
  <c r="F270" i="27"/>
  <c r="Z165" i="27"/>
  <c r="H165" i="27"/>
  <c r="Z311" i="27"/>
  <c r="F311" i="27"/>
  <c r="Q530" i="26"/>
  <c r="F486" i="9" s="1"/>
  <c r="Z18" i="27"/>
  <c r="H18" i="27"/>
  <c r="H276" i="27"/>
  <c r="Z276" i="27"/>
  <c r="G507" i="6"/>
  <c r="G493" i="9"/>
  <c r="F183" i="27"/>
  <c r="Z183" i="27"/>
  <c r="Z58" i="27"/>
  <c r="H58" i="27"/>
  <c r="H180" i="27"/>
  <c r="Z180" i="27"/>
  <c r="H161" i="27"/>
  <c r="BF266" i="26"/>
  <c r="AE123" i="9"/>
  <c r="BF265" i="26"/>
  <c r="BF70" i="26"/>
  <c r="AE157" i="9"/>
  <c r="F81" i="27"/>
  <c r="H270" i="27"/>
  <c r="H181" i="27"/>
  <c r="Z241" i="27"/>
  <c r="F241" i="27"/>
  <c r="BA270" i="10"/>
  <c r="BB270" i="10"/>
  <c r="AE117" i="9"/>
  <c r="BB241" i="10"/>
  <c r="BC241" i="10" s="1"/>
  <c r="BA241" i="10"/>
  <c r="AE18" i="9"/>
  <c r="BB311" i="10"/>
  <c r="BA311" i="10"/>
  <c r="H77" i="27"/>
  <c r="Z77" i="27"/>
  <c r="R538" i="26"/>
  <c r="H31" i="27"/>
  <c r="Z31" i="27"/>
  <c r="AP416" i="26"/>
  <c r="AV416" i="26" s="1"/>
  <c r="P416" i="26" s="1"/>
  <c r="G414" i="6" s="1"/>
  <c r="AN530" i="26"/>
  <c r="BF530" i="26" s="1"/>
  <c r="H293" i="27"/>
  <c r="AE77" i="9"/>
  <c r="AE120" i="9"/>
  <c r="AE192" i="9"/>
  <c r="R483" i="26"/>
  <c r="I461" i="9" s="1"/>
  <c r="H461" i="9"/>
  <c r="Q437" i="26"/>
  <c r="R480" i="26"/>
  <c r="I465" i="6" s="1"/>
  <c r="BF528" i="26"/>
  <c r="AP528" i="26"/>
  <c r="AV528" i="26" s="1"/>
  <c r="P528" i="26" s="1"/>
  <c r="G502" i="6" s="1"/>
  <c r="AE266" i="9"/>
  <c r="H52" i="27"/>
  <c r="H381" i="27"/>
  <c r="AE265" i="9"/>
  <c r="Z216" i="6"/>
  <c r="I475" i="9"/>
  <c r="I494" i="6"/>
  <c r="BB345" i="10"/>
  <c r="BA345" i="10"/>
  <c r="H160" i="27"/>
  <c r="H185" i="27"/>
  <c r="BA179" i="10"/>
  <c r="BB179" i="10"/>
  <c r="H265" i="27"/>
  <c r="F179" i="27"/>
  <c r="BA383" i="10"/>
  <c r="BB383" i="10"/>
  <c r="BB99" i="10"/>
  <c r="BA99" i="10"/>
  <c r="AP427" i="26"/>
  <c r="Z250" i="6"/>
  <c r="F160" i="27"/>
  <c r="AE364" i="9"/>
  <c r="H93" i="27"/>
  <c r="Z93" i="27"/>
  <c r="F250" i="27"/>
  <c r="AE52" i="9"/>
  <c r="BF160" i="26"/>
  <c r="I418" i="6"/>
  <c r="I417" i="9"/>
  <c r="H157" i="27"/>
  <c r="BA95" i="10"/>
  <c r="BB95" i="10"/>
  <c r="Z99" i="27"/>
  <c r="F99" i="27"/>
  <c r="H457" i="9"/>
  <c r="R478" i="26"/>
  <c r="I457" i="9" s="1"/>
  <c r="AP428" i="26"/>
  <c r="AV428" i="26" s="1"/>
  <c r="P428" i="26" s="1"/>
  <c r="G422" i="9" s="1"/>
  <c r="F345" i="27"/>
  <c r="Z345" i="27"/>
  <c r="BE250" i="26"/>
  <c r="BF250" i="26" s="1"/>
  <c r="G250" i="9"/>
  <c r="G250" i="6"/>
  <c r="F265" i="27"/>
  <c r="AE185" i="9"/>
  <c r="BA250" i="10"/>
  <c r="BB250" i="10"/>
  <c r="BC250" i="10" s="1"/>
  <c r="AG216" i="9"/>
  <c r="H422" i="9"/>
  <c r="R428" i="26"/>
  <c r="I422" i="9" s="1"/>
  <c r="BA265" i="10"/>
  <c r="BB265" i="10"/>
  <c r="F383" i="27"/>
  <c r="F95" i="27"/>
  <c r="H228" i="27"/>
  <c r="H70" i="27"/>
  <c r="I436" i="6"/>
  <c r="I429" i="9"/>
  <c r="AG250" i="9"/>
  <c r="BB70" i="10"/>
  <c r="BC70" i="10" s="1"/>
  <c r="BA70" i="10"/>
  <c r="BA370" i="10"/>
  <c r="BB370" i="10"/>
  <c r="BC370" i="10" s="1"/>
  <c r="F70" i="27"/>
  <c r="AE160" i="9"/>
  <c r="G216" i="6"/>
  <c r="BE216" i="26"/>
  <c r="BF216" i="26" s="1"/>
  <c r="G216" i="9"/>
  <c r="AE70" i="9"/>
  <c r="H110" i="27"/>
  <c r="Z110" i="27"/>
  <c r="H222" i="27"/>
  <c r="R518" i="26"/>
  <c r="I476" i="9" s="1"/>
  <c r="H476" i="9"/>
  <c r="F370" i="27"/>
  <c r="AP518" i="26"/>
  <c r="BA160" i="10"/>
  <c r="BB160" i="10"/>
  <c r="BC160" i="10" s="1"/>
  <c r="H364" i="27"/>
  <c r="Z364" i="27"/>
  <c r="BF519" i="26"/>
  <c r="AP519" i="26"/>
  <c r="AE335" i="9"/>
  <c r="AP500" i="26"/>
  <c r="AV500" i="26" s="1"/>
  <c r="P500" i="26" s="1"/>
  <c r="G478" i="6" s="1"/>
  <c r="I426" i="6"/>
  <c r="I424" i="9"/>
  <c r="H469" i="6"/>
  <c r="AC469" i="6" s="1"/>
  <c r="AD469" i="6" s="1"/>
  <c r="R489" i="26"/>
  <c r="H466" i="9"/>
  <c r="F502" i="6"/>
  <c r="F484" i="9"/>
  <c r="I458" i="9"/>
  <c r="I464" i="6"/>
  <c r="H484" i="9"/>
  <c r="H502" i="6"/>
  <c r="AC502" i="6" s="1"/>
  <c r="AD502" i="6" s="1"/>
  <c r="R528" i="26"/>
  <c r="AE164" i="9"/>
  <c r="I455" i="6"/>
  <c r="I448" i="9"/>
  <c r="F466" i="9"/>
  <c r="H477" i="9"/>
  <c r="R519" i="26"/>
  <c r="I477" i="9" s="1"/>
  <c r="BF522" i="26"/>
  <c r="AP522" i="26"/>
  <c r="AV522" i="26" s="1"/>
  <c r="BF504" i="26"/>
  <c r="AP504" i="26"/>
  <c r="BF495" i="26"/>
  <c r="AP495" i="26"/>
  <c r="F266" i="27"/>
  <c r="F335" i="27"/>
  <c r="G445" i="9"/>
  <c r="G452" i="6"/>
  <c r="H266" i="27"/>
  <c r="BB123" i="10"/>
  <c r="BC123" i="10" s="1"/>
  <c r="BA123" i="10"/>
  <c r="F290" i="27"/>
  <c r="H62" i="27"/>
  <c r="BF62" i="26"/>
  <c r="I430" i="6"/>
  <c r="I427" i="9"/>
  <c r="AE281" i="9"/>
  <c r="R504" i="26"/>
  <c r="I470" i="9" s="1"/>
  <c r="H470" i="9"/>
  <c r="BA287" i="10"/>
  <c r="BB287" i="10"/>
  <c r="AP524" i="26"/>
  <c r="I499" i="6"/>
  <c r="I481" i="9"/>
  <c r="BB266" i="10"/>
  <c r="BC266" i="10" s="1"/>
  <c r="BA266" i="10"/>
  <c r="BA62" i="10"/>
  <c r="BB62" i="10"/>
  <c r="BC62" i="10" s="1"/>
  <c r="BA164" i="10"/>
  <c r="BB164" i="10"/>
  <c r="BC164" i="10" s="1"/>
  <c r="H478" i="6"/>
  <c r="AC478" i="6" s="1"/>
  <c r="AD478" i="6" s="1"/>
  <c r="R500" i="26"/>
  <c r="I478" i="6" s="1"/>
  <c r="AO513" i="26"/>
  <c r="AN513" i="26" s="1"/>
  <c r="I447" i="6"/>
  <c r="I440" i="9"/>
  <c r="F473" i="6"/>
  <c r="F469" i="9"/>
  <c r="BA290" i="10"/>
  <c r="BB290" i="10"/>
  <c r="H164" i="27"/>
  <c r="H123" i="27"/>
  <c r="BF164" i="26"/>
  <c r="R490" i="26"/>
  <c r="I467" i="9" s="1"/>
  <c r="H467" i="9"/>
  <c r="I497" i="6"/>
  <c r="I479" i="9"/>
  <c r="F287" i="27"/>
  <c r="BF123" i="26"/>
  <c r="H335" i="27"/>
  <c r="H473" i="6"/>
  <c r="AC473" i="6" s="1"/>
  <c r="AD473" i="6" s="1"/>
  <c r="R495" i="26"/>
  <c r="H469" i="9"/>
  <c r="R522" i="26"/>
  <c r="H478" i="9"/>
  <c r="H496" i="6"/>
  <c r="AC496" i="6" s="1"/>
  <c r="AD496" i="6" s="1"/>
  <c r="R524" i="26"/>
  <c r="H498" i="6"/>
  <c r="AC498" i="6" s="1"/>
  <c r="AD498" i="6" s="1"/>
  <c r="H480" i="9"/>
  <c r="BB335" i="10"/>
  <c r="BC335" i="10" s="1"/>
  <c r="BA335" i="10"/>
  <c r="I448" i="6"/>
  <c r="I441" i="9"/>
  <c r="BB388" i="10"/>
  <c r="BC388" i="10" s="1"/>
  <c r="BA388" i="10"/>
  <c r="F164" i="27"/>
  <c r="H281" i="27"/>
  <c r="Z281" i="27"/>
  <c r="R427" i="26"/>
  <c r="I423" i="6" s="1"/>
  <c r="H423" i="6"/>
  <c r="AC423" i="6" s="1"/>
  <c r="AD423" i="6" s="1"/>
  <c r="I451" i="9"/>
  <c r="I459" i="6"/>
  <c r="AF62" i="9"/>
  <c r="Z73" i="27"/>
  <c r="F123" i="27"/>
  <c r="Q513" i="26"/>
  <c r="I425" i="9"/>
  <c r="I428" i="6"/>
  <c r="F62" i="27"/>
  <c r="F388" i="27"/>
  <c r="Z388" i="27"/>
  <c r="F480" i="9"/>
  <c r="F498" i="6"/>
  <c r="H239" i="27" l="1"/>
  <c r="F232" i="27"/>
  <c r="AA232" i="27"/>
  <c r="F238" i="27"/>
  <c r="AA238" i="27"/>
  <c r="F234" i="27"/>
  <c r="AA234" i="27"/>
  <c r="F223" i="27"/>
  <c r="AA223" i="27"/>
  <c r="F245" i="27"/>
  <c r="AA245" i="27"/>
  <c r="F227" i="27"/>
  <c r="AA227" i="27"/>
  <c r="Z227" i="27" s="1"/>
  <c r="AF425" i="6"/>
  <c r="Z476" i="6"/>
  <c r="AG476" i="6" s="1"/>
  <c r="AG215" i="9"/>
  <c r="AG227" i="9"/>
  <c r="AG231" i="9"/>
  <c r="AG304" i="9"/>
  <c r="AG251" i="9"/>
  <c r="AG228" i="9"/>
  <c r="AG254" i="9"/>
  <c r="AG229" i="9"/>
  <c r="AG387" i="9"/>
  <c r="AG222" i="9"/>
  <c r="AG234" i="9"/>
  <c r="AG214" i="9"/>
  <c r="AG221" i="9"/>
  <c r="AG232" i="9"/>
  <c r="AG244" i="9"/>
  <c r="AG220" i="9"/>
  <c r="AG247" i="9"/>
  <c r="AE92" i="6"/>
  <c r="AF369" i="9"/>
  <c r="AH214" i="9"/>
  <c r="AD214" i="9"/>
  <c r="AF214" i="9" s="1"/>
  <c r="AH494" i="6"/>
  <c r="AD494" i="6"/>
  <c r="AH437" i="6"/>
  <c r="AD437" i="6"/>
  <c r="AG223" i="6"/>
  <c r="AA223" i="6"/>
  <c r="AE223" i="6" s="1"/>
  <c r="AG247" i="6"/>
  <c r="AA247" i="6"/>
  <c r="AE247" i="6" s="1"/>
  <c r="AG245" i="6"/>
  <c r="AA245" i="6"/>
  <c r="AE245" i="6" s="1"/>
  <c r="AG224" i="6"/>
  <c r="AA224" i="6"/>
  <c r="AE224" i="6" s="1"/>
  <c r="AG230" i="6"/>
  <c r="AA230" i="6"/>
  <c r="AE230" i="6" s="1"/>
  <c r="AG238" i="6"/>
  <c r="AA238" i="6"/>
  <c r="AE238" i="6" s="1"/>
  <c r="AG250" i="6"/>
  <c r="AA250" i="6"/>
  <c r="AE250" i="6" s="1"/>
  <c r="AH213" i="6"/>
  <c r="AD213" i="6"/>
  <c r="AF213" i="6" s="1"/>
  <c r="AG237" i="6"/>
  <c r="AA237" i="6"/>
  <c r="AE237" i="6" s="1"/>
  <c r="AG216" i="6"/>
  <c r="AA216" i="6"/>
  <c r="G503" i="6"/>
  <c r="Q395" i="10"/>
  <c r="AQ395" i="10"/>
  <c r="AY395" i="10"/>
  <c r="R395" i="10"/>
  <c r="V395" i="10"/>
  <c r="L395" i="10"/>
  <c r="AP395" i="10"/>
  <c r="AH415" i="6"/>
  <c r="AF415" i="6" s="1"/>
  <c r="AH419" i="6"/>
  <c r="AR469" i="26"/>
  <c r="AX469" i="26" s="1"/>
  <c r="P469" i="26" s="1"/>
  <c r="G458" i="6" s="1"/>
  <c r="AG423" i="9"/>
  <c r="AE423" i="9" s="1"/>
  <c r="P480" i="26"/>
  <c r="G465" i="6" s="1"/>
  <c r="P489" i="26"/>
  <c r="G469" i="6" s="1"/>
  <c r="P491" i="26"/>
  <c r="G470" i="6" s="1"/>
  <c r="P496" i="26"/>
  <c r="G474" i="6" s="1"/>
  <c r="AA462" i="6"/>
  <c r="AE462" i="6" s="1"/>
  <c r="G417" i="9"/>
  <c r="G418" i="6"/>
  <c r="G458" i="9"/>
  <c r="G464" i="6"/>
  <c r="AG434" i="6"/>
  <c r="AA434" i="6"/>
  <c r="G439" i="9"/>
  <c r="G446" i="6"/>
  <c r="AS395" i="10"/>
  <c r="AL395" i="10"/>
  <c r="K395" i="10"/>
  <c r="X1078" i="10"/>
  <c r="S395" i="10"/>
  <c r="AG454" i="9"/>
  <c r="AE454" i="9" s="1"/>
  <c r="P482" i="26"/>
  <c r="G460" i="9" s="1"/>
  <c r="P490" i="26"/>
  <c r="G467" i="9" s="1"/>
  <c r="AD395" i="10"/>
  <c r="F415" i="6"/>
  <c r="Z415" i="6" s="1"/>
  <c r="AG415" i="6" s="1"/>
  <c r="F415" i="9"/>
  <c r="Z415" i="9" s="1"/>
  <c r="AA415" i="9" s="1"/>
  <c r="G424" i="9"/>
  <c r="G426" i="6"/>
  <c r="G448" i="6"/>
  <c r="G441" i="9"/>
  <c r="F432" i="9"/>
  <c r="Z432" i="9" s="1"/>
  <c r="AA432" i="9" s="1"/>
  <c r="F440" i="6"/>
  <c r="Z440" i="6" s="1"/>
  <c r="AG440" i="6" s="1"/>
  <c r="F443" i="6"/>
  <c r="Z443" i="6" s="1"/>
  <c r="AG443" i="6" s="1"/>
  <c r="F436" i="9"/>
  <c r="G449" i="6"/>
  <c r="G442" i="9"/>
  <c r="F420" i="6"/>
  <c r="Z420" i="6" s="1"/>
  <c r="AG420" i="6" s="1"/>
  <c r="F418" i="9"/>
  <c r="Z418" i="9" s="1"/>
  <c r="AA418" i="9" s="1"/>
  <c r="G471" i="9"/>
  <c r="G487" i="6"/>
  <c r="G441" i="6"/>
  <c r="G434" i="9"/>
  <c r="G454" i="9"/>
  <c r="G462" i="6"/>
  <c r="AN395" i="10"/>
  <c r="AX395" i="10"/>
  <c r="X395" i="10"/>
  <c r="AV395" i="10"/>
  <c r="AK395" i="10"/>
  <c r="X969" i="10"/>
  <c r="T395" i="10"/>
  <c r="AY1124" i="10"/>
  <c r="AY1524" i="10" s="1"/>
  <c r="J395" i="10"/>
  <c r="AA395" i="10"/>
  <c r="Y395" i="10"/>
  <c r="X932" i="10"/>
  <c r="Z395" i="10"/>
  <c r="AW395" i="10"/>
  <c r="X1077" i="10"/>
  <c r="Z248" i="27"/>
  <c r="P478" i="26"/>
  <c r="G457" i="9" s="1"/>
  <c r="AG441" i="6"/>
  <c r="AA441" i="6"/>
  <c r="BC389" i="10"/>
  <c r="BF389" i="10"/>
  <c r="BC385" i="10"/>
  <c r="BF385" i="10"/>
  <c r="BC383" i="10"/>
  <c r="BF383" i="10"/>
  <c r="BC381" i="10"/>
  <c r="BF381" i="10"/>
  <c r="BC378" i="10"/>
  <c r="BF378" i="10"/>
  <c r="BC373" i="10"/>
  <c r="BF373" i="10"/>
  <c r="BC369" i="10"/>
  <c r="BF369" i="10"/>
  <c r="BC364" i="10"/>
  <c r="BF364" i="10"/>
  <c r="BC357" i="10"/>
  <c r="BF357" i="10"/>
  <c r="BC355" i="10"/>
  <c r="BF355" i="10"/>
  <c r="BC348" i="10"/>
  <c r="BF348" i="10"/>
  <c r="BC345" i="10"/>
  <c r="BF345" i="10"/>
  <c r="BC343" i="10"/>
  <c r="BF343" i="10"/>
  <c r="BC336" i="10"/>
  <c r="BF336" i="10"/>
  <c r="BC334" i="10"/>
  <c r="BF334" i="10"/>
  <c r="BC331" i="10"/>
  <c r="BF331" i="10"/>
  <c r="BC329" i="10"/>
  <c r="BF329" i="10"/>
  <c r="BC327" i="10"/>
  <c r="BF327" i="10"/>
  <c r="BC320" i="10"/>
  <c r="BF320" i="10"/>
  <c r="BC311" i="10"/>
  <c r="BF311" i="10"/>
  <c r="BC309" i="10"/>
  <c r="BF309" i="10"/>
  <c r="BC296" i="10"/>
  <c r="BF296" i="10"/>
  <c r="BC294" i="10"/>
  <c r="BF294" i="10"/>
  <c r="BC292" i="10"/>
  <c r="BF292" i="10"/>
  <c r="AT512" i="26"/>
  <c r="AX512" i="26" s="1"/>
  <c r="P512" i="26" s="1"/>
  <c r="G489" i="6" s="1"/>
  <c r="BC290" i="10"/>
  <c r="BF290" i="10"/>
  <c r="BC287" i="10"/>
  <c r="BF287" i="10"/>
  <c r="BC285" i="10"/>
  <c r="BF285" i="10"/>
  <c r="BC283" i="10"/>
  <c r="BF283" i="10"/>
  <c r="AP506" i="26"/>
  <c r="AV506" i="26" s="1"/>
  <c r="BC281" i="10"/>
  <c r="BF281" i="10"/>
  <c r="BC270" i="10"/>
  <c r="BF270" i="10"/>
  <c r="AT527" i="26"/>
  <c r="AX527" i="26" s="1"/>
  <c r="P527" i="26" s="1"/>
  <c r="BC267" i="10"/>
  <c r="BF267" i="10"/>
  <c r="BC265" i="10"/>
  <c r="BF265" i="10"/>
  <c r="BC262" i="10"/>
  <c r="BF262" i="10"/>
  <c r="BC260" i="10"/>
  <c r="BF260" i="10"/>
  <c r="BC258" i="10"/>
  <c r="BF258" i="10"/>
  <c r="AV524" i="26"/>
  <c r="AT524" i="26"/>
  <c r="AX524" i="26" s="1"/>
  <c r="AT510" i="26"/>
  <c r="AX510" i="26" s="1"/>
  <c r="P510" i="26" s="1"/>
  <c r="G486" i="6" s="1"/>
  <c r="AF395" i="10"/>
  <c r="AT522" i="26"/>
  <c r="AX522" i="26" s="1"/>
  <c r="P522" i="26" s="1"/>
  <c r="BC249" i="10"/>
  <c r="BF249" i="10"/>
  <c r="AT395" i="10"/>
  <c r="BC245" i="10"/>
  <c r="BF245" i="10"/>
  <c r="AV504" i="26"/>
  <c r="AT504" i="26"/>
  <c r="AX504" i="26" s="1"/>
  <c r="BC243" i="10"/>
  <c r="BF243" i="10"/>
  <c r="AV505" i="26"/>
  <c r="AT505" i="26"/>
  <c r="AX505" i="26" s="1"/>
  <c r="AT506" i="26"/>
  <c r="AX506" i="26" s="1"/>
  <c r="BC240" i="10"/>
  <c r="BF240" i="10"/>
  <c r="AO395" i="10"/>
  <c r="AG395" i="10"/>
  <c r="AI395" i="10"/>
  <c r="AJ395" i="10"/>
  <c r="O395" i="10"/>
  <c r="U395" i="10"/>
  <c r="AR395" i="10"/>
  <c r="W395" i="10"/>
  <c r="AB395" i="10"/>
  <c r="AE395" i="10"/>
  <c r="AH395" i="10"/>
  <c r="M395" i="10"/>
  <c r="P395" i="10"/>
  <c r="N395" i="10"/>
  <c r="AP498" i="26"/>
  <c r="BF498" i="26"/>
  <c r="BC225" i="10"/>
  <c r="BF225" i="10"/>
  <c r="BC223" i="10"/>
  <c r="BF223" i="10"/>
  <c r="BC221" i="10"/>
  <c r="BF221" i="10"/>
  <c r="BC217" i="10"/>
  <c r="BF217" i="10"/>
  <c r="AV495" i="26"/>
  <c r="AT495" i="26"/>
  <c r="AX495" i="26" s="1"/>
  <c r="BC210" i="10"/>
  <c r="BF210" i="10"/>
  <c r="BC205" i="10"/>
  <c r="BF205" i="10"/>
  <c r="BC203" i="10"/>
  <c r="BF203" i="10"/>
  <c r="BC199" i="10"/>
  <c r="BF199" i="10"/>
  <c r="BC197" i="10"/>
  <c r="BF197" i="10"/>
  <c r="BC194" i="10"/>
  <c r="BF194" i="10"/>
  <c r="AR477" i="26"/>
  <c r="AX477" i="26" s="1"/>
  <c r="P477" i="26" s="1"/>
  <c r="BC190" i="10"/>
  <c r="BF190" i="10"/>
  <c r="BC187" i="10"/>
  <c r="BF187" i="10"/>
  <c r="BC183" i="10"/>
  <c r="BF183" i="10"/>
  <c r="BC181" i="10"/>
  <c r="BF181" i="10"/>
  <c r="BC179" i="10"/>
  <c r="BF179" i="10"/>
  <c r="BC174" i="10"/>
  <c r="BF174" i="10"/>
  <c r="BC172" i="10"/>
  <c r="BF172" i="10"/>
  <c r="BC170" i="10"/>
  <c r="BF170" i="10"/>
  <c r="BC165" i="10"/>
  <c r="BF165" i="10"/>
  <c r="BC161" i="10"/>
  <c r="BF161" i="10"/>
  <c r="BC157" i="10"/>
  <c r="BF157" i="10"/>
  <c r="AR473" i="26"/>
  <c r="AX473" i="26" s="1"/>
  <c r="P473" i="26" s="1"/>
  <c r="G452" i="9" s="1"/>
  <c r="AR472" i="26"/>
  <c r="AX472" i="26" s="1"/>
  <c r="P472" i="26" s="1"/>
  <c r="G460" i="6" s="1"/>
  <c r="BC152" i="10"/>
  <c r="BF152" i="10"/>
  <c r="AV468" i="26"/>
  <c r="AR468" i="26"/>
  <c r="AX468" i="26" s="1"/>
  <c r="BC147" i="10"/>
  <c r="BF147" i="10"/>
  <c r="BC140" i="10"/>
  <c r="BF140" i="10"/>
  <c r="BC135" i="10"/>
  <c r="BF135" i="10"/>
  <c r="AV465" i="26"/>
  <c r="AR465" i="26"/>
  <c r="AX465" i="26" s="1"/>
  <c r="BC128" i="10"/>
  <c r="BF128" i="10"/>
  <c r="BC124" i="10"/>
  <c r="BF124" i="10"/>
  <c r="AV460" i="26"/>
  <c r="AR460" i="26"/>
  <c r="AX460" i="26" s="1"/>
  <c r="AR450" i="26"/>
  <c r="AX450" i="26" s="1"/>
  <c r="P450" i="26" s="1"/>
  <c r="BC115" i="10"/>
  <c r="BF115" i="10"/>
  <c r="BC111" i="10"/>
  <c r="BF111" i="10"/>
  <c r="BC109" i="10"/>
  <c r="BF109" i="10"/>
  <c r="AT454" i="26"/>
  <c r="AX454" i="26" s="1"/>
  <c r="P454" i="26" s="1"/>
  <c r="G445" i="6" s="1"/>
  <c r="BC107" i="10"/>
  <c r="BF107" i="10"/>
  <c r="AV449" i="26"/>
  <c r="AT449" i="26"/>
  <c r="AX449" i="26" s="1"/>
  <c r="BC102" i="10"/>
  <c r="BF102" i="10"/>
  <c r="AV444" i="26"/>
  <c r="AT444" i="26"/>
  <c r="AX444" i="26" s="1"/>
  <c r="BC99" i="10"/>
  <c r="BF99" i="10"/>
  <c r="AT445" i="26"/>
  <c r="AX445" i="26" s="1"/>
  <c r="P445" i="26" s="1"/>
  <c r="AT434" i="26"/>
  <c r="AX434" i="26" s="1"/>
  <c r="P434" i="26" s="1"/>
  <c r="G429" i="6" s="1"/>
  <c r="BC95" i="10"/>
  <c r="BF95" i="10"/>
  <c r="BC93" i="10"/>
  <c r="BF93" i="10"/>
  <c r="BC91" i="10"/>
  <c r="BF91" i="10"/>
  <c r="AV440" i="26"/>
  <c r="AT440" i="26"/>
  <c r="AX440" i="26" s="1"/>
  <c r="AT426" i="26"/>
  <c r="AX426" i="26" s="1"/>
  <c r="P426" i="26" s="1"/>
  <c r="BC82" i="10"/>
  <c r="BF82" i="10"/>
  <c r="BC80" i="10"/>
  <c r="BF80" i="10"/>
  <c r="AV437" i="26"/>
  <c r="AT437" i="26"/>
  <c r="AX437" i="26" s="1"/>
  <c r="BC78" i="10"/>
  <c r="BF78" i="10"/>
  <c r="BC73" i="10"/>
  <c r="BF73" i="10"/>
  <c r="BC71" i="10"/>
  <c r="BF71" i="10"/>
  <c r="BC69" i="10"/>
  <c r="BF69" i="10"/>
  <c r="AV432" i="26"/>
  <c r="AT432" i="26"/>
  <c r="AX432" i="26" s="1"/>
  <c r="BC63" i="10"/>
  <c r="BF63" i="10"/>
  <c r="BC61" i="10"/>
  <c r="BF61" i="10"/>
  <c r="AR425" i="26"/>
  <c r="AX425" i="26" s="1"/>
  <c r="P425" i="26" s="1"/>
  <c r="G421" i="9" s="1"/>
  <c r="BC59" i="10"/>
  <c r="BF59" i="10"/>
  <c r="BC57" i="10"/>
  <c r="BF57" i="10"/>
  <c r="AV427" i="26"/>
  <c r="AT427" i="26"/>
  <c r="AX427" i="26" s="1"/>
  <c r="AR422" i="26"/>
  <c r="AX422" i="26" s="1"/>
  <c r="P422" i="26" s="1"/>
  <c r="BC52" i="10"/>
  <c r="BF52" i="10"/>
  <c r="BC49" i="10"/>
  <c r="BF49" i="10"/>
  <c r="BC43" i="10"/>
  <c r="BF43" i="10"/>
  <c r="AV421" i="26"/>
  <c r="AT421" i="26"/>
  <c r="AX421" i="26" s="1"/>
  <c r="BC41" i="10"/>
  <c r="BF41" i="10"/>
  <c r="BC38" i="10"/>
  <c r="BF38" i="10"/>
  <c r="BC36" i="10"/>
  <c r="BF36" i="10"/>
  <c r="BC31" i="10"/>
  <c r="BF31" i="10"/>
  <c r="BC29" i="10"/>
  <c r="BF29" i="10"/>
  <c r="BC27" i="10"/>
  <c r="BF27" i="10"/>
  <c r="BC23" i="10"/>
  <c r="BF23" i="10"/>
  <c r="BC18" i="10"/>
  <c r="BF18" i="10"/>
  <c r="AV415" i="26"/>
  <c r="AT415" i="26"/>
  <c r="AX415" i="26" s="1"/>
  <c r="BC14" i="10"/>
  <c r="AY961" i="10"/>
  <c r="AY1361" i="10" s="1"/>
  <c r="AY841" i="10"/>
  <c r="AY1241" i="10" s="1"/>
  <c r="AY850" i="10"/>
  <c r="AY1250" i="10" s="1"/>
  <c r="AY1045" i="10"/>
  <c r="AY1445" i="10" s="1"/>
  <c r="AY890" i="10"/>
  <c r="AY1290" i="10" s="1"/>
  <c r="F228" i="27"/>
  <c r="AY987" i="10"/>
  <c r="AY1387" i="10" s="1"/>
  <c r="AY1071" i="10"/>
  <c r="AY1471" i="10" s="1"/>
  <c r="AY1103" i="10"/>
  <c r="AY1503" i="10" s="1"/>
  <c r="AY1127" i="10"/>
  <c r="AY1527" i="10" s="1"/>
  <c r="AY905" i="10"/>
  <c r="AY1305" i="10" s="1"/>
  <c r="AY1151" i="10"/>
  <c r="AY1551" i="10" s="1"/>
  <c r="AY816" i="10"/>
  <c r="AY1216" i="10" s="1"/>
  <c r="AY852" i="10"/>
  <c r="AY1252" i="10" s="1"/>
  <c r="AY880" i="10"/>
  <c r="AY1280" i="10" s="1"/>
  <c r="AY927" i="10"/>
  <c r="AY1327" i="10" s="1"/>
  <c r="AY885" i="10"/>
  <c r="AY1285" i="10" s="1"/>
  <c r="AY1046" i="10"/>
  <c r="AY1446" i="10" s="1"/>
  <c r="AY868" i="10"/>
  <c r="AY1268" i="10" s="1"/>
  <c r="AY1081" i="10"/>
  <c r="AY1481" i="10" s="1"/>
  <c r="AY1070" i="10"/>
  <c r="AY1470" i="10" s="1"/>
  <c r="AY1007" i="10"/>
  <c r="AY1407" i="10" s="1"/>
  <c r="X1036" i="10"/>
  <c r="AY945" i="10"/>
  <c r="AY1345" i="10" s="1"/>
  <c r="AY1139" i="10"/>
  <c r="AY1539" i="10" s="1"/>
  <c r="AY996" i="10"/>
  <c r="AY1396" i="10" s="1"/>
  <c r="AY1036" i="10"/>
  <c r="AY1436" i="10" s="1"/>
  <c r="AY867" i="10"/>
  <c r="AY1267" i="10" s="1"/>
  <c r="AY937" i="10"/>
  <c r="AY1337" i="10" s="1"/>
  <c r="AY1115" i="10"/>
  <c r="AY1515" i="10" s="1"/>
  <c r="AY1056" i="10"/>
  <c r="AY1456" i="10" s="1"/>
  <c r="AY813" i="10"/>
  <c r="AY1213" i="10" s="1"/>
  <c r="AY906" i="10"/>
  <c r="AY1306" i="10" s="1"/>
  <c r="AY1174" i="10"/>
  <c r="AY1574" i="10" s="1"/>
  <c r="AY989" i="10"/>
  <c r="AY1389" i="10" s="1"/>
  <c r="AY977" i="10"/>
  <c r="AY1377" i="10" s="1"/>
  <c r="X958" i="10"/>
  <c r="X1108" i="10"/>
  <c r="X1123" i="10"/>
  <c r="X1007" i="10"/>
  <c r="Z254" i="27"/>
  <c r="AY994" i="10"/>
  <c r="AY1394" i="10" s="1"/>
  <c r="AY822" i="10"/>
  <c r="AY1222" i="10" s="1"/>
  <c r="AY1025" i="10"/>
  <c r="AY1425" i="10" s="1"/>
  <c r="AY1168" i="10"/>
  <c r="AY1568" i="10" s="1"/>
  <c r="X1119" i="10"/>
  <c r="AY1177" i="10"/>
  <c r="AY1577" i="10" s="1"/>
  <c r="AY1069" i="10"/>
  <c r="AY1469" i="10" s="1"/>
  <c r="AY925" i="10"/>
  <c r="AY1325" i="10" s="1"/>
  <c r="AY1089" i="10"/>
  <c r="AY1489" i="10" s="1"/>
  <c r="AY1190" i="10"/>
  <c r="AY1590" i="10" s="1"/>
  <c r="AY958" i="10"/>
  <c r="AY1358" i="10" s="1"/>
  <c r="AY953" i="10"/>
  <c r="AY1353" i="10" s="1"/>
  <c r="AY1099" i="10"/>
  <c r="AY1499" i="10" s="1"/>
  <c r="AY932" i="10"/>
  <c r="AY1332" i="10" s="1"/>
  <c r="AY866" i="10"/>
  <c r="AY1266" i="10" s="1"/>
  <c r="AY1064" i="10"/>
  <c r="AY1464" i="10" s="1"/>
  <c r="AY959" i="10"/>
  <c r="AY1359" i="10" s="1"/>
  <c r="AY949" i="10"/>
  <c r="AY1349" i="10" s="1"/>
  <c r="AY876" i="10"/>
  <c r="AY1276" i="10" s="1"/>
  <c r="AY1167" i="10"/>
  <c r="AY1567" i="10" s="1"/>
  <c r="AY884" i="10"/>
  <c r="AY1284" i="10" s="1"/>
  <c r="AY897" i="10"/>
  <c r="AY1297" i="10" s="1"/>
  <c r="X820" i="10"/>
  <c r="X925" i="10"/>
  <c r="X859" i="10"/>
  <c r="X989" i="10"/>
  <c r="X1167" i="10"/>
  <c r="X943" i="10"/>
  <c r="X1139" i="10"/>
  <c r="X959" i="10"/>
  <c r="X876" i="10"/>
  <c r="X1112" i="10"/>
  <c r="X833" i="10"/>
  <c r="AY960" i="10"/>
  <c r="AY1360" i="10" s="1"/>
  <c r="X1056" i="10"/>
  <c r="X840" i="10"/>
  <c r="X1153" i="10"/>
  <c r="X897" i="10"/>
  <c r="X846" i="10"/>
  <c r="X812" i="10"/>
  <c r="X1089" i="10"/>
  <c r="X1124" i="10"/>
  <c r="X953" i="10"/>
  <c r="AY855" i="10"/>
  <c r="AY1255" i="10" s="1"/>
  <c r="AY965" i="10"/>
  <c r="AY1365" i="10" s="1"/>
  <c r="AY1067" i="10"/>
  <c r="AY1467" i="10" s="1"/>
  <c r="AY981" i="10"/>
  <c r="AY1381" i="10" s="1"/>
  <c r="AY1136" i="10"/>
  <c r="AY1536" i="10" s="1"/>
  <c r="AY1003" i="10"/>
  <c r="AY1403" i="10" s="1"/>
  <c r="AY844" i="10"/>
  <c r="AY1244" i="10" s="1"/>
  <c r="AY957" i="10"/>
  <c r="AY1357" i="10" s="1"/>
  <c r="AY865" i="10"/>
  <c r="AY1265" i="10" s="1"/>
  <c r="AY1048" i="10"/>
  <c r="AY1448" i="10" s="1"/>
  <c r="AY1126" i="10"/>
  <c r="AY1526" i="10" s="1"/>
  <c r="AY1096" i="10"/>
  <c r="AY1496" i="10" s="1"/>
  <c r="AY837" i="10"/>
  <c r="AY1237" i="10" s="1"/>
  <c r="AY1024" i="10"/>
  <c r="AY1424" i="10" s="1"/>
  <c r="AB1074" i="10"/>
  <c r="AF974" i="10"/>
  <c r="AY894" i="10"/>
  <c r="AY1294" i="10" s="1"/>
  <c r="AY1009" i="10"/>
  <c r="AY1409" i="10" s="1"/>
  <c r="AY827" i="10"/>
  <c r="AY1227" i="10" s="1"/>
  <c r="AY1000" i="10"/>
  <c r="AY1400" i="10" s="1"/>
  <c r="AY857" i="10"/>
  <c r="AY1257" i="10" s="1"/>
  <c r="AY831" i="10"/>
  <c r="AY1231" i="10" s="1"/>
  <c r="AY990" i="10"/>
  <c r="AY1390" i="10" s="1"/>
  <c r="AY1010" i="10"/>
  <c r="AY1410" i="10" s="1"/>
  <c r="AY893" i="10"/>
  <c r="AY1293" i="10" s="1"/>
  <c r="AY1130" i="10"/>
  <c r="AY1530" i="10" s="1"/>
  <c r="AY828" i="10"/>
  <c r="AY1228" i="10" s="1"/>
  <c r="AY1109" i="10"/>
  <c r="AY1509" i="10" s="1"/>
  <c r="AY982" i="10"/>
  <c r="AY1382" i="10" s="1"/>
  <c r="AY1140" i="10"/>
  <c r="AY1540" i="10" s="1"/>
  <c r="AY1051" i="10"/>
  <c r="AY1451" i="10" s="1"/>
  <c r="AY896" i="10"/>
  <c r="AY1296" i="10" s="1"/>
  <c r="AY941" i="10"/>
  <c r="AY1341" i="10" s="1"/>
  <c r="AY839" i="10"/>
  <c r="AY1239" i="10" s="1"/>
  <c r="AI1091" i="10"/>
  <c r="AN821" i="10"/>
  <c r="AM1091" i="10"/>
  <c r="J862" i="10"/>
  <c r="T1062" i="10"/>
  <c r="M883" i="10"/>
  <c r="AO1074" i="10"/>
  <c r="Q1148" i="10"/>
  <c r="X1071" i="10"/>
  <c r="AS1051" i="10"/>
  <c r="F244" i="27"/>
  <c r="AF977" i="10"/>
  <c r="AM1165" i="10"/>
  <c r="AL859" i="10"/>
  <c r="AI1148" i="10"/>
  <c r="P1126" i="10"/>
  <c r="K963" i="10"/>
  <c r="AP894" i="10"/>
  <c r="AS1020" i="10"/>
  <c r="AW985" i="10"/>
  <c r="AW1385" i="10" s="1"/>
  <c r="AR830" i="10"/>
  <c r="AQ938" i="10"/>
  <c r="AE1027" i="10"/>
  <c r="AB1113" i="10"/>
  <c r="AH1185" i="10"/>
  <c r="T934" i="10"/>
  <c r="W1039" i="10"/>
  <c r="AN1186" i="10"/>
  <c r="AK909" i="10"/>
  <c r="AU1351" i="10"/>
  <c r="S864" i="10"/>
  <c r="J974" i="10"/>
  <c r="AC1116" i="10"/>
  <c r="AF1113" i="10"/>
  <c r="AJ859" i="10"/>
  <c r="L838" i="10"/>
  <c r="AV880" i="10"/>
  <c r="AV1280" i="10" s="1"/>
  <c r="AL916" i="10"/>
  <c r="X1018" i="10"/>
  <c r="X1118" i="10"/>
  <c r="X851" i="10"/>
  <c r="X900" i="10"/>
  <c r="X949" i="10"/>
  <c r="X937" i="10"/>
  <c r="X1053" i="10"/>
  <c r="X1180" i="10"/>
  <c r="X1057" i="10"/>
  <c r="X856" i="10"/>
  <c r="X1064" i="10"/>
  <c r="X1102" i="10"/>
  <c r="X867" i="10"/>
  <c r="X1099" i="10"/>
  <c r="X866" i="10"/>
  <c r="X1174" i="10"/>
  <c r="X906" i="10"/>
  <c r="AP520" i="26"/>
  <c r="AV520" i="26" s="1"/>
  <c r="BF230" i="26"/>
  <c r="X926" i="10"/>
  <c r="X1042" i="10"/>
  <c r="X1146" i="10"/>
  <c r="X847" i="10"/>
  <c r="X945" i="10"/>
  <c r="X898" i="10"/>
  <c r="X944" i="10"/>
  <c r="X1132" i="10"/>
  <c r="X1190" i="10"/>
  <c r="X1073" i="10"/>
  <c r="X977" i="10"/>
  <c r="X1125" i="10"/>
  <c r="X996" i="10"/>
  <c r="X1069" i="10"/>
  <c r="X1012" i="10"/>
  <c r="J1128" i="10"/>
  <c r="AF934" i="10"/>
  <c r="AW831" i="10"/>
  <c r="AW1231" i="10" s="1"/>
  <c r="S1120" i="10"/>
  <c r="AF852" i="10"/>
  <c r="AS855" i="10"/>
  <c r="X831" i="10"/>
  <c r="AB961" i="10"/>
  <c r="AW827" i="10"/>
  <c r="AW1227" i="10" s="1"/>
  <c r="X1009" i="10"/>
  <c r="X830" i="10"/>
  <c r="AK1127" i="10"/>
  <c r="K855" i="10"/>
  <c r="P844" i="10"/>
  <c r="P1031" i="10"/>
  <c r="X1005" i="10"/>
  <c r="M1067" i="10"/>
  <c r="AT397" i="10"/>
  <c r="O931" i="10"/>
  <c r="V855" i="10"/>
  <c r="AO974" i="10"/>
  <c r="AQ920" i="10"/>
  <c r="AA1113" i="10"/>
  <c r="AT1009" i="10"/>
  <c r="T902" i="10"/>
  <c r="AN956" i="10"/>
  <c r="AG1148" i="10"/>
  <c r="AD894" i="10"/>
  <c r="R1098" i="10"/>
  <c r="AX1000" i="10"/>
  <c r="AX1400" i="10" s="1"/>
  <c r="AU1462" i="10"/>
  <c r="Z865" i="10"/>
  <c r="Y830" i="10"/>
  <c r="AV965" i="10"/>
  <c r="AV1365" i="10" s="1"/>
  <c r="J848" i="10"/>
  <c r="AS1185" i="10"/>
  <c r="AH831" i="10"/>
  <c r="AX883" i="10"/>
  <c r="AX1283" i="10" s="1"/>
  <c r="AM934" i="10"/>
  <c r="AS965" i="10"/>
  <c r="AD927" i="10"/>
  <c r="AO1113" i="10"/>
  <c r="AQ1113" i="10"/>
  <c r="S865" i="10"/>
  <c r="X1151" i="10"/>
  <c r="X1046" i="10"/>
  <c r="X1173" i="10"/>
  <c r="AE1062" i="10"/>
  <c r="T990" i="10"/>
  <c r="AT1120" i="10"/>
  <c r="AM864" i="10"/>
  <c r="AN1067" i="10"/>
  <c r="AV1116" i="10"/>
  <c r="AV1516" i="10" s="1"/>
  <c r="AA831" i="10"/>
  <c r="AQ1080" i="10"/>
  <c r="T888" i="10"/>
  <c r="AP816" i="10"/>
  <c r="Z985" i="10"/>
  <c r="AL988" i="10"/>
  <c r="AL1025" i="10"/>
  <c r="AL874" i="10"/>
  <c r="AL1119" i="10"/>
  <c r="AL831" i="10"/>
  <c r="AL1091" i="10"/>
  <c r="AL985" i="10"/>
  <c r="AL850" i="10"/>
  <c r="AL1185" i="10"/>
  <c r="AL903" i="10"/>
  <c r="AL1136" i="10"/>
  <c r="AL1113" i="10"/>
  <c r="U1138" i="10"/>
  <c r="U924" i="10"/>
  <c r="U1127" i="10"/>
  <c r="U1009" i="10"/>
  <c r="U990" i="10"/>
  <c r="U830" i="10"/>
  <c r="K1150" i="10"/>
  <c r="K1149" i="10"/>
  <c r="K1175" i="10"/>
  <c r="K1097" i="10"/>
  <c r="K1026" i="10"/>
  <c r="K1014" i="10"/>
  <c r="K909" i="10"/>
  <c r="K886" i="10"/>
  <c r="K892" i="10"/>
  <c r="K910" i="10"/>
  <c r="K887" i="10"/>
  <c r="K1166" i="10"/>
  <c r="K1114" i="10"/>
  <c r="K999" i="10"/>
  <c r="K883" i="10"/>
  <c r="K1008" i="10"/>
  <c r="K968" i="10"/>
  <c r="K1072" i="10"/>
  <c r="K830" i="10"/>
  <c r="K1120" i="10"/>
  <c r="K1000" i="10"/>
  <c r="K837" i="10"/>
  <c r="K835" i="10"/>
  <c r="K918" i="10"/>
  <c r="AS1141" i="10"/>
  <c r="AS1093" i="10"/>
  <c r="AS942" i="10"/>
  <c r="AS973" i="10"/>
  <c r="AS845" i="10"/>
  <c r="AS929" i="10"/>
  <c r="AS885" i="10"/>
  <c r="AS938" i="10"/>
  <c r="AS910" i="10"/>
  <c r="AS854" i="10"/>
  <c r="AS1101" i="10"/>
  <c r="AS1106" i="10"/>
  <c r="AS1088" i="10"/>
  <c r="AS999" i="10"/>
  <c r="AS974" i="10"/>
  <c r="AS1113" i="10"/>
  <c r="AS1142" i="10"/>
  <c r="AS889" i="10"/>
  <c r="AS976" i="10"/>
  <c r="AS981" i="10"/>
  <c r="AS985" i="10"/>
  <c r="AS1001" i="10"/>
  <c r="AS1140" i="10"/>
  <c r="AS1100" i="10"/>
  <c r="AS1009" i="10"/>
  <c r="AW902" i="10"/>
  <c r="AW1302" i="10" s="1"/>
  <c r="AW1136" i="10"/>
  <c r="AW1536" i="10" s="1"/>
  <c r="AW858" i="10"/>
  <c r="AW1258" i="10" s="1"/>
  <c r="AW934" i="10"/>
  <c r="AW1334" i="10" s="1"/>
  <c r="AW1097" i="10"/>
  <c r="AW1497" i="10" s="1"/>
  <c r="AW1067" i="10"/>
  <c r="AW1467" i="10" s="1"/>
  <c r="AW819" i="10"/>
  <c r="AW1219" i="10" s="1"/>
  <c r="N992" i="10"/>
  <c r="N985" i="10"/>
  <c r="N1179" i="10"/>
  <c r="N844" i="10"/>
  <c r="N894" i="10"/>
  <c r="N970" i="10"/>
  <c r="N968" i="10"/>
  <c r="N990" i="10"/>
  <c r="N841" i="10"/>
  <c r="Q1119" i="10"/>
  <c r="Q1092" i="10"/>
  <c r="Q1151" i="10"/>
  <c r="Q1023" i="10"/>
  <c r="Q838" i="10"/>
  <c r="Q868" i="10"/>
  <c r="Q1091" i="10"/>
  <c r="Q1136" i="10"/>
  <c r="AE1076" i="10"/>
  <c r="AE974" i="10"/>
  <c r="AE1122" i="10"/>
  <c r="AE1033" i="10"/>
  <c r="AE1001" i="10"/>
  <c r="AE934" i="10"/>
  <c r="AE838" i="10"/>
  <c r="AE1091" i="10"/>
  <c r="AE973" i="10"/>
  <c r="AE1165" i="10"/>
  <c r="AB1088" i="10"/>
  <c r="AB1051" i="10"/>
  <c r="AB927" i="10"/>
  <c r="AB855" i="10"/>
  <c r="AB868" i="10"/>
  <c r="AB1000" i="10"/>
  <c r="AB974" i="10"/>
  <c r="AB1058" i="10"/>
  <c r="X1094" i="10"/>
  <c r="X952" i="10"/>
  <c r="W821" i="10"/>
  <c r="W1168" i="10"/>
  <c r="W968" i="10"/>
  <c r="W816" i="10"/>
  <c r="W817" i="10"/>
  <c r="W922" i="10"/>
  <c r="W1079" i="10"/>
  <c r="W913" i="10"/>
  <c r="W869" i="10"/>
  <c r="W976" i="10"/>
  <c r="W938" i="10"/>
  <c r="W903" i="10"/>
  <c r="W961" i="10"/>
  <c r="W994" i="10"/>
  <c r="W1113" i="10"/>
  <c r="W1008" i="10"/>
  <c r="W1140" i="10"/>
  <c r="W1110" i="10"/>
  <c r="W852" i="10"/>
  <c r="AF1049" i="10"/>
  <c r="AF827" i="10"/>
  <c r="AF967" i="10"/>
  <c r="AF850" i="10"/>
  <c r="AF1009" i="10"/>
  <c r="AF831" i="10"/>
  <c r="AF1127" i="10"/>
  <c r="AF1116" i="10"/>
  <c r="AF968" i="10"/>
  <c r="AF1105" i="10"/>
  <c r="AJ887" i="10"/>
  <c r="AJ1127" i="10"/>
  <c r="AJ1171" i="10"/>
  <c r="AJ1072" i="10"/>
  <c r="AJ1185" i="10"/>
  <c r="AJ920" i="10"/>
  <c r="AJ831" i="10"/>
  <c r="F475" i="9"/>
  <c r="Z475" i="9" s="1"/>
  <c r="AA475" i="9" s="1"/>
  <c r="O1105" i="10"/>
  <c r="AM1027" i="10"/>
  <c r="Z1165" i="10"/>
  <c r="X883" i="10"/>
  <c r="AS852" i="10"/>
  <c r="X1185" i="10"/>
  <c r="M894" i="10"/>
  <c r="Q1105" i="10"/>
  <c r="AH838" i="10"/>
  <c r="U1165" i="10"/>
  <c r="AG1120" i="10"/>
  <c r="Q827" i="10"/>
  <c r="K831" i="10"/>
  <c r="V1165" i="10"/>
  <c r="R885" i="10"/>
  <c r="K1084" i="10"/>
  <c r="AQ968" i="10"/>
  <c r="AS1046" i="10"/>
  <c r="T1150" i="10"/>
  <c r="AJ999" i="10"/>
  <c r="AP1156" i="10"/>
  <c r="AD957" i="10"/>
  <c r="X909" i="10"/>
  <c r="X896" i="10"/>
  <c r="X825" i="10"/>
  <c r="X930" i="10"/>
  <c r="AV393" i="10"/>
  <c r="AV2" i="10" s="1"/>
  <c r="AV4" i="10" s="1"/>
  <c r="R864" i="10"/>
  <c r="X1023" i="10"/>
  <c r="AG841" i="10"/>
  <c r="J857" i="10"/>
  <c r="AV821" i="10"/>
  <c r="AV1221" i="10" s="1"/>
  <c r="AO911" i="10"/>
  <c r="AA1127" i="10"/>
  <c r="O929" i="10"/>
  <c r="AT393" i="10"/>
  <c r="AT2" i="10" s="1"/>
  <c r="AT4" i="10" s="1"/>
  <c r="M934" i="10"/>
  <c r="S1081" i="10"/>
  <c r="X1047" i="10"/>
  <c r="AA1047" i="10"/>
  <c r="K1047" i="10"/>
  <c r="J839" i="10"/>
  <c r="AE855" i="10"/>
  <c r="AB934" i="10"/>
  <c r="T1009" i="10"/>
  <c r="AC987" i="10"/>
  <c r="N965" i="10"/>
  <c r="AO1027" i="10"/>
  <c r="AV841" i="10"/>
  <c r="AV1241" i="10" s="1"/>
  <c r="AX974" i="10"/>
  <c r="AX1374" i="10" s="1"/>
  <c r="S841" i="10"/>
  <c r="N883" i="10"/>
  <c r="M1128" i="10"/>
  <c r="S852" i="10"/>
  <c r="AH857" i="10"/>
  <c r="AW857" i="10"/>
  <c r="AW1257" i="10" s="1"/>
  <c r="V1185" i="10"/>
  <c r="Y1058" i="10"/>
  <c r="AP987" i="10"/>
  <c r="Y965" i="10"/>
  <c r="AD1067" i="10"/>
  <c r="AB990" i="10"/>
  <c r="T883" i="10"/>
  <c r="X1128" i="10"/>
  <c r="AA957" i="10"/>
  <c r="AA857" i="10"/>
  <c r="AE1067" i="10"/>
  <c r="K965" i="10"/>
  <c r="AC838" i="10"/>
  <c r="U1148" i="10"/>
  <c r="AJ974" i="10"/>
  <c r="Q1120" i="10"/>
  <c r="X852" i="10"/>
  <c r="N987" i="10"/>
  <c r="AG1105" i="10"/>
  <c r="Z961" i="10"/>
  <c r="T830" i="10"/>
  <c r="AN885" i="10"/>
  <c r="K1137" i="10"/>
  <c r="K1142" i="10"/>
  <c r="AQ995" i="10"/>
  <c r="AS1122" i="10"/>
  <c r="T1011" i="10"/>
  <c r="W1179" i="10"/>
  <c r="W1156" i="10"/>
  <c r="AJ879" i="10"/>
  <c r="AA931" i="10"/>
  <c r="N975" i="10"/>
  <c r="X971" i="10"/>
  <c r="Z1161" i="10"/>
  <c r="O864" i="10"/>
  <c r="R1156" i="10"/>
  <c r="AF930" i="10"/>
  <c r="M1144" i="10"/>
  <c r="AV911" i="10"/>
  <c r="AV1311" i="10" s="1"/>
  <c r="X1110" i="10"/>
  <c r="X1138" i="10"/>
  <c r="X819" i="10"/>
  <c r="X875" i="10"/>
  <c r="X924" i="10"/>
  <c r="AI880" i="10"/>
  <c r="AI938" i="10"/>
  <c r="AI1129" i="10"/>
  <c r="AI956" i="10"/>
  <c r="AI1058" i="10"/>
  <c r="AI841" i="10"/>
  <c r="AI855" i="10"/>
  <c r="AI857" i="10"/>
  <c r="V1081" i="10"/>
  <c r="AR1005" i="10"/>
  <c r="AR816" i="10"/>
  <c r="AR965" i="10"/>
  <c r="AR934" i="10"/>
  <c r="AR1185" i="10"/>
  <c r="AR880" i="10"/>
  <c r="AR857" i="10"/>
  <c r="AR927" i="10"/>
  <c r="AR1067" i="10"/>
  <c r="AR990" i="10"/>
  <c r="AQ822" i="10"/>
  <c r="AQ931" i="10"/>
  <c r="AQ1002" i="10"/>
  <c r="AQ868" i="10"/>
  <c r="AQ1186" i="10"/>
  <c r="AQ948" i="10"/>
  <c r="AQ1011" i="10"/>
  <c r="AQ1014" i="10"/>
  <c r="AQ957" i="10"/>
  <c r="AQ821" i="10"/>
  <c r="AQ1159" i="10"/>
  <c r="AQ1071" i="10"/>
  <c r="AQ1079" i="10"/>
  <c r="AQ1131" i="10"/>
  <c r="AQ936" i="10"/>
  <c r="AQ892" i="10"/>
  <c r="AQ824" i="10"/>
  <c r="AQ825" i="10"/>
  <c r="AQ980" i="10"/>
  <c r="AQ963" i="10"/>
  <c r="AQ865" i="10"/>
  <c r="AQ1136" i="10"/>
  <c r="AQ1058" i="10"/>
  <c r="AQ857" i="10"/>
  <c r="AT854" i="10"/>
  <c r="AT1032" i="10"/>
  <c r="AT957" i="10"/>
  <c r="AT970" i="10"/>
  <c r="AT1000" i="10"/>
  <c r="AT850" i="10"/>
  <c r="AT1148" i="10"/>
  <c r="AT981" i="10"/>
  <c r="AH1000" i="10"/>
  <c r="AH1140" i="10"/>
  <c r="AH1005" i="10"/>
  <c r="AH927" i="10"/>
  <c r="AH961" i="10"/>
  <c r="AH1067" i="10"/>
  <c r="AN941" i="10"/>
  <c r="AN1076" i="10"/>
  <c r="AN1149" i="10"/>
  <c r="AN1140" i="10"/>
  <c r="AN1049" i="10"/>
  <c r="AN978" i="10"/>
  <c r="AN892" i="10"/>
  <c r="AN874" i="10"/>
  <c r="AN921" i="10"/>
  <c r="AN816" i="10"/>
  <c r="AN896" i="10"/>
  <c r="AN1001" i="10"/>
  <c r="AN1098" i="10"/>
  <c r="AN877" i="10"/>
  <c r="AN1033" i="10"/>
  <c r="AN869" i="10"/>
  <c r="AN961" i="10"/>
  <c r="AN1127" i="10"/>
  <c r="AN854" i="10"/>
  <c r="AN975" i="10"/>
  <c r="AN1101" i="10"/>
  <c r="AN1052" i="10"/>
  <c r="AN934" i="10"/>
  <c r="AN1105" i="10"/>
  <c r="AD984" i="10"/>
  <c r="AD1128" i="10"/>
  <c r="AD880" i="10"/>
  <c r="AD965" i="10"/>
  <c r="AX1168" i="10"/>
  <c r="AX1568" i="10" s="1"/>
  <c r="AX824" i="10"/>
  <c r="AX1224" i="10" s="1"/>
  <c r="AX1113" i="10"/>
  <c r="AX1513" i="10" s="1"/>
  <c r="L1021" i="10"/>
  <c r="L878" i="10"/>
  <c r="L1000" i="10"/>
  <c r="L1127" i="10"/>
  <c r="L857" i="10"/>
  <c r="L987" i="10"/>
  <c r="L831" i="10"/>
  <c r="L994" i="10"/>
  <c r="J1127" i="10"/>
  <c r="AC864" i="10"/>
  <c r="AU1334" i="10"/>
  <c r="AR894" i="10"/>
  <c r="AG961" i="10"/>
  <c r="U1136" i="10"/>
  <c r="AU1390" i="10"/>
  <c r="Q1128" i="10"/>
  <c r="AN1185" i="10"/>
  <c r="N855" i="10"/>
  <c r="AR987" i="10"/>
  <c r="AP961" i="10"/>
  <c r="AQ974" i="10"/>
  <c r="X990" i="10"/>
  <c r="AP883" i="10"/>
  <c r="X927" i="10"/>
  <c r="T859" i="10"/>
  <c r="AT1113" i="10"/>
  <c r="AH1148" i="10"/>
  <c r="X1127" i="10"/>
  <c r="AF1058" i="10"/>
  <c r="AU1427" i="10"/>
  <c r="M827" i="10"/>
  <c r="AN1025" i="10"/>
  <c r="K854" i="10"/>
  <c r="AQ1141" i="10"/>
  <c r="T936" i="10"/>
  <c r="W939" i="10"/>
  <c r="AA1149" i="10"/>
  <c r="N951" i="10"/>
  <c r="X1189" i="10"/>
  <c r="AC999" i="10"/>
  <c r="AU1348" i="10"/>
  <c r="AV948" i="10"/>
  <c r="AV1348" i="10" s="1"/>
  <c r="X1003" i="10"/>
  <c r="M950" i="10"/>
  <c r="X991" i="10"/>
  <c r="J899" i="10"/>
  <c r="J1187" i="10"/>
  <c r="J838" i="10"/>
  <c r="J880" i="10"/>
  <c r="O1062" i="10"/>
  <c r="AF1185" i="10"/>
  <c r="X981" i="10"/>
  <c r="AK981" i="10"/>
  <c r="AC1113" i="10"/>
  <c r="O1091" i="10"/>
  <c r="AB965" i="10"/>
  <c r="K1113" i="10"/>
  <c r="AU1238" i="10"/>
  <c r="AS1120" i="10"/>
  <c r="L927" i="10"/>
  <c r="T1127" i="10"/>
  <c r="O934" i="10"/>
  <c r="AJ1058" i="10"/>
  <c r="X1148" i="10"/>
  <c r="AA970" i="10"/>
  <c r="V841" i="10"/>
  <c r="X1120" i="10"/>
  <c r="AE1128" i="10"/>
  <c r="Z827" i="10"/>
  <c r="AX1062" i="10"/>
  <c r="AX1462" i="10" s="1"/>
  <c r="AE857" i="10"/>
  <c r="Q981" i="10"/>
  <c r="AS894" i="10"/>
  <c r="X987" i="10"/>
  <c r="AS1136" i="10"/>
  <c r="AL830" i="10"/>
  <c r="AN990" i="10"/>
  <c r="Z970" i="10"/>
  <c r="AQ1127" i="10"/>
  <c r="AS857" i="10"/>
  <c r="X1091" i="10"/>
  <c r="AE990" i="10"/>
  <c r="V1120" i="10"/>
  <c r="AN845" i="10"/>
  <c r="AN1122" i="10"/>
  <c r="K896" i="10"/>
  <c r="K933" i="10"/>
  <c r="AQ815" i="10"/>
  <c r="AS967" i="10"/>
  <c r="AS1008" i="10"/>
  <c r="W992" i="10"/>
  <c r="AL978" i="10"/>
  <c r="AW1026" i="10"/>
  <c r="AW1426" i="10" s="1"/>
  <c r="AE1035" i="10"/>
  <c r="AF1117" i="10"/>
  <c r="X928" i="10"/>
  <c r="V822" i="10"/>
  <c r="X993" i="10"/>
  <c r="U1033" i="10"/>
  <c r="X843" i="10"/>
  <c r="X822" i="10"/>
  <c r="X844" i="10"/>
  <c r="X865" i="10"/>
  <c r="X835" i="10"/>
  <c r="X1150" i="10"/>
  <c r="X1093" i="10"/>
  <c r="X1066" i="10"/>
  <c r="AP942" i="10"/>
  <c r="AP850" i="10"/>
  <c r="AP824" i="10"/>
  <c r="AP1181" i="10"/>
  <c r="AI393" i="10"/>
  <c r="AC1092" i="10"/>
  <c r="AC896" i="10"/>
  <c r="AC1148" i="10"/>
  <c r="AC930" i="10"/>
  <c r="AC915" i="10"/>
  <c r="AY923" i="10"/>
  <c r="AY1323" i="10" s="1"/>
  <c r="AY1083" i="10"/>
  <c r="AY1483" i="10" s="1"/>
  <c r="AY891" i="10"/>
  <c r="AY1291" i="10" s="1"/>
  <c r="AY971" i="10"/>
  <c r="AY1371" i="10" s="1"/>
  <c r="AY843" i="10"/>
  <c r="AY1243" i="10" s="1"/>
  <c r="AY1169" i="10"/>
  <c r="AY1569" i="10" s="1"/>
  <c r="AY901" i="10"/>
  <c r="AY1301" i="10" s="1"/>
  <c r="AY849" i="10"/>
  <c r="AY1249" i="10" s="1"/>
  <c r="AY1189" i="10"/>
  <c r="AY1589" i="10" s="1"/>
  <c r="AY1187" i="10"/>
  <c r="AY1587" i="10" s="1"/>
  <c r="AY979" i="10"/>
  <c r="AY1379" i="10" s="1"/>
  <c r="AY1023" i="10"/>
  <c r="AY1423" i="10" s="1"/>
  <c r="AY829" i="10"/>
  <c r="AY1229" i="10" s="1"/>
  <c r="AY952" i="10"/>
  <c r="AY1352" i="10" s="1"/>
  <c r="AY870" i="10"/>
  <c r="AY1270" i="10" s="1"/>
  <c r="AY881" i="10"/>
  <c r="AY1281" i="10" s="1"/>
  <c r="AY842" i="10"/>
  <c r="AY1242" i="10" s="1"/>
  <c r="AY1182" i="10"/>
  <c r="AY1582" i="10" s="1"/>
  <c r="AY998" i="10"/>
  <c r="AY1398" i="10" s="1"/>
  <c r="AY991" i="10"/>
  <c r="AY1391" i="10" s="1"/>
  <c r="AY1161" i="10"/>
  <c r="AY1561" i="10" s="1"/>
  <c r="AY1087" i="10"/>
  <c r="AY1487" i="10" s="1"/>
  <c r="AY1170" i="10"/>
  <c r="AY1570" i="10" s="1"/>
  <c r="AY895" i="10"/>
  <c r="AY1295" i="10" s="1"/>
  <c r="AY873" i="10"/>
  <c r="AY1273" i="10" s="1"/>
  <c r="AY1154" i="10"/>
  <c r="AY1554" i="10" s="1"/>
  <c r="AY1017" i="10"/>
  <c r="AY1417" i="10" s="1"/>
  <c r="AY863" i="10"/>
  <c r="AY1263" i="10" s="1"/>
  <c r="AY862" i="10"/>
  <c r="AY1262" i="10" s="1"/>
  <c r="AY1111" i="10"/>
  <c r="AY1511" i="10" s="1"/>
  <c r="AY1095" i="10"/>
  <c r="AY1495" i="10" s="1"/>
  <c r="AY912" i="10"/>
  <c r="AY1312" i="10" s="1"/>
  <c r="AY860" i="10"/>
  <c r="AY1260" i="10" s="1"/>
  <c r="AY964" i="10"/>
  <c r="AY1364" i="10" s="1"/>
  <c r="AY899" i="10"/>
  <c r="AY1299" i="10" s="1"/>
  <c r="AY832" i="10"/>
  <c r="AY1232" i="10" s="1"/>
  <c r="AY1034" i="10"/>
  <c r="AY1434" i="10" s="1"/>
  <c r="AY1158" i="10"/>
  <c r="AY1558" i="10" s="1"/>
  <c r="AY834" i="10"/>
  <c r="AY1234" i="10" s="1"/>
  <c r="AY972" i="10"/>
  <c r="AY1372" i="10" s="1"/>
  <c r="AY1156" i="10"/>
  <c r="AY1556" i="10" s="1"/>
  <c r="AY985" i="10"/>
  <c r="AY1385" i="10" s="1"/>
  <c r="AY910" i="10"/>
  <c r="AY1310" i="10" s="1"/>
  <c r="AY1142" i="10"/>
  <c r="AY1542" i="10" s="1"/>
  <c r="AY968" i="10"/>
  <c r="AY1368" i="10" s="1"/>
  <c r="AY931" i="10"/>
  <c r="AY1331" i="10" s="1"/>
  <c r="AY940" i="10"/>
  <c r="AY1340" i="10" s="1"/>
  <c r="AY920" i="10"/>
  <c r="AY1320" i="10" s="1"/>
  <c r="AY922" i="10"/>
  <c r="AY1322" i="10" s="1"/>
  <c r="AY892" i="10"/>
  <c r="AY1292" i="10" s="1"/>
  <c r="AY1137" i="10"/>
  <c r="AY1537" i="10" s="1"/>
  <c r="AY877" i="10"/>
  <c r="AY1277" i="10" s="1"/>
  <c r="AY1159" i="10"/>
  <c r="AY1559" i="10" s="1"/>
  <c r="AY1144" i="10"/>
  <c r="AY1544" i="10" s="1"/>
  <c r="AY1149" i="10"/>
  <c r="AY1549" i="10" s="1"/>
  <c r="AY1068" i="10"/>
  <c r="AY1468" i="10" s="1"/>
  <c r="AY879" i="10"/>
  <c r="AY1279" i="10" s="1"/>
  <c r="AY1072" i="10"/>
  <c r="AY1472" i="10" s="1"/>
  <c r="AY918" i="10"/>
  <c r="AY1318" i="10" s="1"/>
  <c r="AY824" i="10"/>
  <c r="AY1224" i="10" s="1"/>
  <c r="AY916" i="10"/>
  <c r="AY1316" i="10" s="1"/>
  <c r="AY1119" i="10"/>
  <c r="AY1519" i="10" s="1"/>
  <c r="AY1082" i="10"/>
  <c r="AY1482" i="10" s="1"/>
  <c r="AY1043" i="10"/>
  <c r="AY1443" i="10" s="1"/>
  <c r="AY858" i="10"/>
  <c r="AY1258" i="10" s="1"/>
  <c r="AY869" i="10"/>
  <c r="AY1269" i="10" s="1"/>
  <c r="AY1061" i="10"/>
  <c r="AY1461" i="10" s="1"/>
  <c r="AY956" i="10"/>
  <c r="AY1356" i="10" s="1"/>
  <c r="AY1131" i="10"/>
  <c r="AY1531" i="10" s="1"/>
  <c r="AY889" i="10"/>
  <c r="AY1289" i="10" s="1"/>
  <c r="AY908" i="10"/>
  <c r="AY1308" i="10" s="1"/>
  <c r="AY1014" i="10"/>
  <c r="AY1414" i="10" s="1"/>
  <c r="AY999" i="10"/>
  <c r="AY1399" i="10" s="1"/>
  <c r="AY1179" i="10"/>
  <c r="AY1579" i="10" s="1"/>
  <c r="AY1110" i="10"/>
  <c r="AY1510" i="10" s="1"/>
  <c r="AY1133" i="10"/>
  <c r="AY1533" i="10" s="1"/>
  <c r="AY911" i="10"/>
  <c r="AY1311" i="10" s="1"/>
  <c r="AY1059" i="10"/>
  <c r="AY1459" i="10" s="1"/>
  <c r="AY1006" i="10"/>
  <c r="AY1406" i="10" s="1"/>
  <c r="AY1173" i="10"/>
  <c r="AY1573" i="10" s="1"/>
  <c r="AY946" i="10"/>
  <c r="AY1346" i="10" s="1"/>
  <c r="AY1163" i="10"/>
  <c r="AY1563" i="10" s="1"/>
  <c r="AY1041" i="10"/>
  <c r="AY1441" i="10" s="1"/>
  <c r="AY966" i="10"/>
  <c r="AY1366" i="10" s="1"/>
  <c r="AY1121" i="10"/>
  <c r="AY1521" i="10" s="1"/>
  <c r="AY1178" i="10"/>
  <c r="AY1578" i="10" s="1"/>
  <c r="AY1050" i="10"/>
  <c r="AY1450" i="10" s="1"/>
  <c r="AY983" i="10"/>
  <c r="AY1383" i="10" s="1"/>
  <c r="AY986" i="10"/>
  <c r="AY1386" i="10" s="1"/>
  <c r="AY1143" i="10"/>
  <c r="AY1543" i="10" s="1"/>
  <c r="AY1005" i="10"/>
  <c r="AY1405" i="10" s="1"/>
  <c r="AY947" i="10"/>
  <c r="AY1347" i="10" s="1"/>
  <c r="AY1176" i="10"/>
  <c r="AY1576" i="10" s="1"/>
  <c r="AY1141" i="10"/>
  <c r="AY1541" i="10" s="1"/>
  <c r="AY821" i="10"/>
  <c r="AY1221" i="10" s="1"/>
  <c r="AY980" i="10"/>
  <c r="AY1380" i="10" s="1"/>
  <c r="AY1008" i="10"/>
  <c r="AY1408" i="10" s="1"/>
  <c r="AY874" i="10"/>
  <c r="AY1274" i="10" s="1"/>
  <c r="AY955" i="10"/>
  <c r="AY1355" i="10" s="1"/>
  <c r="AY938" i="10"/>
  <c r="AY1338" i="10" s="1"/>
  <c r="AY1013" i="10"/>
  <c r="AY1413" i="10" s="1"/>
  <c r="AY988" i="10"/>
  <c r="AY1388" i="10" s="1"/>
  <c r="AY887" i="10"/>
  <c r="AY1287" i="10" s="1"/>
  <c r="AY1093" i="10"/>
  <c r="AY1493" i="10" s="1"/>
  <c r="AY930" i="10"/>
  <c r="AY1330" i="10" s="1"/>
  <c r="AY1075" i="10"/>
  <c r="AY1475" i="10" s="1"/>
  <c r="AY942" i="10"/>
  <c r="AY1342" i="10" s="1"/>
  <c r="AY1074" i="10"/>
  <c r="AY1474" i="10" s="1"/>
  <c r="AY815" i="10"/>
  <c r="AY1215" i="10" s="1"/>
  <c r="AY1138" i="10"/>
  <c r="AY1538" i="10" s="1"/>
  <c r="AY963" i="10"/>
  <c r="AY1363" i="10" s="1"/>
  <c r="AY921" i="10"/>
  <c r="AY1321" i="10" s="1"/>
  <c r="AY1186" i="10"/>
  <c r="AY1586" i="10" s="1"/>
  <c r="AY1152" i="10"/>
  <c r="AY1552" i="10" s="1"/>
  <c r="AY825" i="10"/>
  <c r="AY1225" i="10" s="1"/>
  <c r="AY1114" i="10"/>
  <c r="AY1514" i="10" s="1"/>
  <c r="AY845" i="10"/>
  <c r="AY1245" i="10" s="1"/>
  <c r="AY1122" i="10"/>
  <c r="AY1522" i="10" s="1"/>
  <c r="AY903" i="10"/>
  <c r="AY1303" i="10" s="1"/>
  <c r="AY902" i="10"/>
  <c r="AY1302" i="10" s="1"/>
  <c r="AY1011" i="10"/>
  <c r="AY1411" i="10" s="1"/>
  <c r="AY1166" i="10"/>
  <c r="AY1566" i="10" s="1"/>
  <c r="AY1098" i="10"/>
  <c r="AY1498" i="10" s="1"/>
  <c r="AY1145" i="10"/>
  <c r="AY1545" i="10" s="1"/>
  <c r="AY1094" i="10"/>
  <c r="AY1494" i="10" s="1"/>
  <c r="AY1066" i="10"/>
  <c r="AY1466" i="10" s="1"/>
  <c r="AY1086" i="10"/>
  <c r="AY1486" i="10" s="1"/>
  <c r="AY836" i="10"/>
  <c r="AY1236" i="10" s="1"/>
  <c r="AY904" i="10"/>
  <c r="AY1304" i="10" s="1"/>
  <c r="AY1162" i="10"/>
  <c r="AY1562" i="10" s="1"/>
  <c r="AY1079" i="10"/>
  <c r="AY1479" i="10" s="1"/>
  <c r="AY939" i="10"/>
  <c r="AY1339" i="10" s="1"/>
  <c r="AY1001" i="10"/>
  <c r="AY1401" i="10" s="1"/>
  <c r="AY915" i="10"/>
  <c r="AY1315" i="10" s="1"/>
  <c r="AY888" i="10"/>
  <c r="AY1288" i="10" s="1"/>
  <c r="AY1184" i="10"/>
  <c r="AY1584" i="10" s="1"/>
  <c r="AY819" i="10"/>
  <c r="AY1219" i="10" s="1"/>
  <c r="AY917" i="10"/>
  <c r="AY1317" i="10" s="1"/>
  <c r="AY967" i="10"/>
  <c r="AY1367" i="10" s="1"/>
  <c r="AY1106" i="10"/>
  <c r="AY1506" i="10" s="1"/>
  <c r="AY817" i="10"/>
  <c r="AY1217" i="10" s="1"/>
  <c r="AY875" i="10"/>
  <c r="AY1275" i="10" s="1"/>
  <c r="AY973" i="10"/>
  <c r="AY1373" i="10" s="1"/>
  <c r="AY1063" i="10"/>
  <c r="AY1463" i="10" s="1"/>
  <c r="AY936" i="10"/>
  <c r="AY1336" i="10" s="1"/>
  <c r="AY1020" i="10"/>
  <c r="AY1420" i="10" s="1"/>
  <c r="AY1084" i="10"/>
  <c r="AY1484" i="10" s="1"/>
  <c r="AY997" i="10"/>
  <c r="AY1397" i="10" s="1"/>
  <c r="AY993" i="10"/>
  <c r="AY1393" i="10" s="1"/>
  <c r="AY928" i="10"/>
  <c r="AY1328" i="10" s="1"/>
  <c r="AY1181" i="10"/>
  <c r="AY1581" i="10" s="1"/>
  <c r="AY1129" i="10"/>
  <c r="AY1529" i="10" s="1"/>
  <c r="AY962" i="10"/>
  <c r="AY1362" i="10" s="1"/>
  <c r="AY1116" i="10"/>
  <c r="AY1516" i="10" s="1"/>
  <c r="AY830" i="10"/>
  <c r="AY1230" i="10" s="1"/>
  <c r="AY1183" i="10"/>
  <c r="AY1583" i="10" s="1"/>
  <c r="AY935" i="10"/>
  <c r="AY1335" i="10" s="1"/>
  <c r="AY1157" i="10"/>
  <c r="AY1557" i="10" s="1"/>
  <c r="AY1065" i="10"/>
  <c r="AY1465" i="10" s="1"/>
  <c r="AY871" i="10"/>
  <c r="AY1271" i="10" s="1"/>
  <c r="AY882" i="10"/>
  <c r="AY1282" i="10" s="1"/>
  <c r="AY1155" i="10"/>
  <c r="AY1555" i="10" s="1"/>
  <c r="AY1032" i="10"/>
  <c r="AY1432" i="10" s="1"/>
  <c r="AY1171" i="10"/>
  <c r="AY1571" i="10" s="1"/>
  <c r="AY975" i="10"/>
  <c r="AY1375" i="10" s="1"/>
  <c r="AY1175" i="10"/>
  <c r="AY1575" i="10" s="1"/>
  <c r="AY886" i="10"/>
  <c r="AY1286" i="10" s="1"/>
  <c r="AY933" i="10"/>
  <c r="AY1333" i="10" s="1"/>
  <c r="AY995" i="10"/>
  <c r="AY1395" i="10" s="1"/>
  <c r="AY1117" i="10"/>
  <c r="AY1517" i="10" s="1"/>
  <c r="AY1076" i="10"/>
  <c r="AY1476" i="10" s="1"/>
  <c r="AY1033" i="10"/>
  <c r="AY1433" i="10" s="1"/>
  <c r="AY913" i="10"/>
  <c r="AY1313" i="10" s="1"/>
  <c r="AY835" i="10"/>
  <c r="AY1235" i="10" s="1"/>
  <c r="AY950" i="10"/>
  <c r="AY1350" i="10" s="1"/>
  <c r="AY1097" i="10"/>
  <c r="AY1497" i="10" s="1"/>
  <c r="AY1085" i="10"/>
  <c r="AY1485" i="10" s="1"/>
  <c r="AY1107" i="10"/>
  <c r="AY1507" i="10" s="1"/>
  <c r="AY929" i="10"/>
  <c r="AY1329" i="10" s="1"/>
  <c r="AY976" i="10"/>
  <c r="AY1376" i="10" s="1"/>
  <c r="AY1100" i="10"/>
  <c r="AY1500" i="10" s="1"/>
  <c r="AY878" i="10"/>
  <c r="AY1278" i="10" s="1"/>
  <c r="AY1164" i="10"/>
  <c r="AY1564" i="10" s="1"/>
  <c r="AY861" i="10"/>
  <c r="AY1261" i="10" s="1"/>
  <c r="AY984" i="10"/>
  <c r="AY1384" i="10" s="1"/>
  <c r="AY914" i="10"/>
  <c r="AY1314" i="10" s="1"/>
  <c r="AY859" i="10"/>
  <c r="AY1259" i="10" s="1"/>
  <c r="AY1172" i="10"/>
  <c r="AY1572" i="10" s="1"/>
  <c r="AY848" i="10"/>
  <c r="AY1248" i="10" s="1"/>
  <c r="AY872" i="10"/>
  <c r="AY1272" i="10" s="1"/>
  <c r="AY970" i="10"/>
  <c r="AY1370" i="10" s="1"/>
  <c r="AY1120" i="10"/>
  <c r="AY1520" i="10" s="1"/>
  <c r="P888" i="10"/>
  <c r="P1063" i="10"/>
  <c r="P1076" i="10"/>
  <c r="Z816" i="10"/>
  <c r="Z947" i="10"/>
  <c r="Z910" i="10"/>
  <c r="Z845" i="10"/>
  <c r="Z1113" i="10"/>
  <c r="X1029" i="10"/>
  <c r="Y963" i="10"/>
  <c r="Y961" i="10"/>
  <c r="AK976" i="10"/>
  <c r="AK827" i="10"/>
  <c r="X1044" i="10"/>
  <c r="T1133" i="10"/>
  <c r="T938" i="10"/>
  <c r="T910" i="10"/>
  <c r="T890" i="10"/>
  <c r="T824" i="10"/>
  <c r="T1080" i="10"/>
  <c r="T1075" i="10"/>
  <c r="T1175" i="10"/>
  <c r="T1137" i="10"/>
  <c r="T858" i="10"/>
  <c r="T992" i="10"/>
  <c r="T981" i="10"/>
  <c r="AM1088" i="10"/>
  <c r="AM1122" i="10"/>
  <c r="AM927" i="10"/>
  <c r="AM885" i="10"/>
  <c r="AM830" i="10"/>
  <c r="AU1222" i="10"/>
  <c r="AU1277" i="10"/>
  <c r="AU1472" i="10"/>
  <c r="AU1400" i="10"/>
  <c r="AU1221" i="10"/>
  <c r="AU1579" i="10"/>
  <c r="AU1227" i="10"/>
  <c r="J923" i="10"/>
  <c r="Z228" i="27"/>
  <c r="J1145" i="10"/>
  <c r="J1169" i="10"/>
  <c r="J842" i="10"/>
  <c r="J834" i="10"/>
  <c r="J1103" i="10"/>
  <c r="J873" i="10"/>
  <c r="J1017" i="10"/>
  <c r="J861" i="10"/>
  <c r="J1181" i="10"/>
  <c r="J1165" i="10"/>
  <c r="J1000" i="10"/>
  <c r="J1113" i="10"/>
  <c r="S857" i="10"/>
  <c r="AP855" i="10"/>
  <c r="S994" i="10"/>
  <c r="AM981" i="10"/>
  <c r="AG1009" i="10"/>
  <c r="R1113" i="10"/>
  <c r="Y994" i="10"/>
  <c r="X1067" i="10"/>
  <c r="X880" i="10"/>
  <c r="R1136" i="10"/>
  <c r="X974" i="10"/>
  <c r="X970" i="10"/>
  <c r="AY883" i="10"/>
  <c r="AY1283" i="10" s="1"/>
  <c r="AA927" i="10"/>
  <c r="T1181" i="10"/>
  <c r="X1181" i="10"/>
  <c r="AP859" i="10"/>
  <c r="AO1062" i="10"/>
  <c r="AU1255" i="10"/>
  <c r="O981" i="10"/>
  <c r="AM1009" i="10"/>
  <c r="X1058" i="10"/>
  <c r="T987" i="10"/>
  <c r="M987" i="10"/>
  <c r="X838" i="10"/>
  <c r="P1136" i="10"/>
  <c r="X1136" i="10"/>
  <c r="Y1165" i="10"/>
  <c r="AO970" i="10"/>
  <c r="AA830" i="10"/>
  <c r="M927" i="10"/>
  <c r="X827" i="10"/>
  <c r="AA1058" i="10"/>
  <c r="X994" i="10"/>
  <c r="AU1361" i="10"/>
  <c r="AK965" i="10"/>
  <c r="R831" i="10"/>
  <c r="Z1067" i="10"/>
  <c r="M830" i="10"/>
  <c r="AY1165" i="10"/>
  <c r="AY1565" i="10" s="1"/>
  <c r="O970" i="10"/>
  <c r="AM883" i="10"/>
  <c r="AA1128" i="10"/>
  <c r="P1009" i="10"/>
  <c r="X857" i="10"/>
  <c r="AU1467" i="10"/>
  <c r="AG1091" i="10"/>
  <c r="X1113" i="10"/>
  <c r="AY1105" i="10"/>
  <c r="AY1505" i="10" s="1"/>
  <c r="O838" i="10"/>
  <c r="AY974" i="10"/>
  <c r="AY1374" i="10" s="1"/>
  <c r="AY1128" i="10"/>
  <c r="AY1528" i="10" s="1"/>
  <c r="O885" i="10"/>
  <c r="T963" i="10"/>
  <c r="T968" i="10"/>
  <c r="AP1140" i="10"/>
  <c r="AU1272" i="10"/>
  <c r="X997" i="10"/>
  <c r="AO976" i="10"/>
  <c r="AC950" i="10"/>
  <c r="Z915" i="10"/>
  <c r="P950" i="10"/>
  <c r="AU1225" i="10"/>
  <c r="X882" i="10"/>
  <c r="AP1060" i="10"/>
  <c r="AY1134" i="10"/>
  <c r="AY1534" i="10" s="1"/>
  <c r="X860" i="10"/>
  <c r="AY818" i="10"/>
  <c r="AY1218" i="10" s="1"/>
  <c r="X861" i="10"/>
  <c r="AY1060" i="10"/>
  <c r="AY1460" i="10" s="1"/>
  <c r="X826" i="10"/>
  <c r="AY1080" i="10"/>
  <c r="AY1480" i="10" s="1"/>
  <c r="AY978" i="10"/>
  <c r="AY1378" i="10" s="1"/>
  <c r="AY954" i="10"/>
  <c r="AY1354" i="10" s="1"/>
  <c r="AY992" i="10"/>
  <c r="AY1392" i="10" s="1"/>
  <c r="AY1101" i="10"/>
  <c r="AY1501" i="10" s="1"/>
  <c r="AY1002" i="10"/>
  <c r="AY1402" i="10" s="1"/>
  <c r="AY1055" i="10"/>
  <c r="AY1455" i="10" s="1"/>
  <c r="AY948" i="10"/>
  <c r="AY1348" i="10" s="1"/>
  <c r="AY854" i="10"/>
  <c r="AY1254" i="10" s="1"/>
  <c r="X936" i="10"/>
  <c r="X976" i="10"/>
  <c r="X1051" i="10"/>
  <c r="X869" i="10"/>
  <c r="X1171" i="10"/>
  <c r="X1142" i="10"/>
  <c r="X1141" i="10"/>
  <c r="AY924" i="10"/>
  <c r="AY1324" i="10" s="1"/>
  <c r="AY853" i="10"/>
  <c r="AY1253" i="10" s="1"/>
  <c r="X829" i="10"/>
  <c r="AY1004" i="10"/>
  <c r="AY1404" i="10" s="1"/>
  <c r="AY1040" i="10"/>
  <c r="AY1440" i="10" s="1"/>
  <c r="R942" i="10"/>
  <c r="R868" i="10"/>
  <c r="R889" i="10"/>
  <c r="X964" i="10"/>
  <c r="X895" i="10"/>
  <c r="X899" i="10"/>
  <c r="X1182" i="10"/>
  <c r="X1155" i="10"/>
  <c r="X1188" i="10"/>
  <c r="X1065" i="10"/>
  <c r="X1006" i="10"/>
  <c r="X1157" i="10"/>
  <c r="X873" i="10"/>
  <c r="X881" i="10"/>
  <c r="X972" i="10"/>
  <c r="X849" i="10"/>
  <c r="X1109" i="10"/>
  <c r="X935" i="10"/>
  <c r="X912" i="10"/>
  <c r="X1081" i="10"/>
  <c r="X1035" i="10"/>
  <c r="X1175" i="10"/>
  <c r="X1076" i="10"/>
  <c r="X955" i="10"/>
  <c r="X939" i="10"/>
  <c r="X1149" i="10"/>
  <c r="X1168" i="10"/>
  <c r="X890" i="10"/>
  <c r="X1055" i="10"/>
  <c r="X877" i="10"/>
  <c r="X886" i="10"/>
  <c r="X905" i="10"/>
  <c r="X933" i="10"/>
  <c r="X938" i="10"/>
  <c r="X975" i="10"/>
  <c r="X1026" i="10"/>
  <c r="X973" i="10"/>
  <c r="X1068" i="10"/>
  <c r="X1186" i="10"/>
  <c r="X1025" i="10"/>
  <c r="X1117" i="10"/>
  <c r="X1011" i="10"/>
  <c r="X815" i="10"/>
  <c r="X1043" i="10"/>
  <c r="X992" i="10"/>
  <c r="X1152" i="10"/>
  <c r="X1097" i="10"/>
  <c r="X1126" i="10"/>
  <c r="X1111" i="10"/>
  <c r="X1024" i="10"/>
  <c r="X842" i="10"/>
  <c r="X1086" i="10"/>
  <c r="X998" i="10"/>
  <c r="X893" i="10"/>
  <c r="X1178" i="10"/>
  <c r="X923" i="10"/>
  <c r="X983" i="10"/>
  <c r="X960" i="10"/>
  <c r="X1070" i="10"/>
  <c r="X834" i="10"/>
  <c r="X1103" i="10"/>
  <c r="X946" i="10"/>
  <c r="X1059" i="10"/>
  <c r="X1083" i="10"/>
  <c r="X901" i="10"/>
  <c r="X828" i="10"/>
  <c r="X862" i="10"/>
  <c r="X1154" i="10"/>
  <c r="X1017" i="10"/>
  <c r="X911" i="10"/>
  <c r="X904" i="10"/>
  <c r="X910" i="10"/>
  <c r="X854" i="10"/>
  <c r="X1176" i="10"/>
  <c r="X1074" i="10"/>
  <c r="X980" i="10"/>
  <c r="X888" i="10"/>
  <c r="X821" i="10"/>
  <c r="X1049" i="10"/>
  <c r="X988" i="10"/>
  <c r="X920" i="10"/>
  <c r="X864" i="10"/>
  <c r="X968" i="10"/>
  <c r="X913" i="10"/>
  <c r="X1033" i="10"/>
  <c r="X1140" i="10"/>
  <c r="X1137" i="10"/>
  <c r="X967" i="10"/>
  <c r="X903" i="10"/>
  <c r="X916" i="10"/>
  <c r="X1114" i="10"/>
  <c r="X823" i="10"/>
  <c r="X1131" i="10"/>
  <c r="X1106" i="10"/>
  <c r="X1100" i="10"/>
  <c r="X1098" i="10"/>
  <c r="X951" i="10"/>
  <c r="X1080" i="10"/>
  <c r="X1092" i="10"/>
  <c r="X1010" i="10"/>
  <c r="X947" i="10"/>
  <c r="X1145" i="10"/>
  <c r="X1135" i="10"/>
  <c r="X986" i="10"/>
  <c r="X1121" i="10"/>
  <c r="X1045" i="10"/>
  <c r="X1169" i="10"/>
  <c r="X1130" i="10"/>
  <c r="X979" i="10"/>
  <c r="X1158" i="10"/>
  <c r="X871" i="10"/>
  <c r="X839" i="10"/>
  <c r="X1133" i="10"/>
  <c r="X941" i="10"/>
  <c r="X1008" i="10"/>
  <c r="X1159" i="10"/>
  <c r="X837" i="10"/>
  <c r="X931" i="10"/>
  <c r="X985" i="10"/>
  <c r="X922" i="10"/>
  <c r="X1144" i="10"/>
  <c r="X1162" i="10"/>
  <c r="X1075" i="10"/>
  <c r="X1079" i="10"/>
  <c r="X1156" i="10"/>
  <c r="X915" i="10"/>
  <c r="X956" i="10"/>
  <c r="X963" i="10"/>
  <c r="X1166" i="10"/>
  <c r="X1088" i="10"/>
  <c r="X858" i="10"/>
  <c r="X824" i="10"/>
  <c r="X845" i="10"/>
  <c r="X1001" i="10"/>
  <c r="X1072" i="10"/>
  <c r="X917" i="10"/>
  <c r="X1179" i="10"/>
  <c r="X1052" i="10"/>
  <c r="X929" i="10"/>
  <c r="X1063" i="10"/>
  <c r="X850" i="10"/>
  <c r="X1034" i="10"/>
  <c r="X1161" i="10"/>
  <c r="X1090" i="10"/>
  <c r="X1041" i="10"/>
  <c r="X1129" i="10"/>
  <c r="X1183" i="10"/>
  <c r="X1122" i="10"/>
  <c r="X940" i="10"/>
  <c r="X1002" i="10"/>
  <c r="X1020" i="10"/>
  <c r="X1184" i="10"/>
  <c r="X892" i="10"/>
  <c r="X902" i="10"/>
  <c r="X1085" i="10"/>
  <c r="X879" i="10"/>
  <c r="X817" i="10"/>
  <c r="X918" i="10"/>
  <c r="X908" i="10"/>
  <c r="X978" i="10"/>
  <c r="X982" i="10"/>
  <c r="X1062" i="10"/>
  <c r="X1095" i="10"/>
  <c r="X1032" i="10"/>
  <c r="X1134" i="10"/>
  <c r="X1147" i="10"/>
  <c r="X914" i="10"/>
  <c r="X818" i="10"/>
  <c r="X891" i="10"/>
  <c r="X962" i="10"/>
  <c r="X832" i="10"/>
  <c r="X1004" i="10"/>
  <c r="X1143" i="10"/>
  <c r="X836" i="10"/>
  <c r="X1170" i="10"/>
  <c r="X848" i="10"/>
  <c r="X1040" i="10"/>
  <c r="X966" i="10"/>
  <c r="X874" i="10"/>
  <c r="X1013" i="10"/>
  <c r="X1061" i="10"/>
  <c r="X954" i="10"/>
  <c r="X868" i="10"/>
  <c r="X921" i="10"/>
  <c r="X1101" i="10"/>
  <c r="X1107" i="10"/>
  <c r="X816" i="10"/>
  <c r="X950" i="10"/>
  <c r="X942" i="10"/>
  <c r="X995" i="10"/>
  <c r="X1014" i="10"/>
  <c r="X999" i="10"/>
  <c r="X1021" i="10"/>
  <c r="X1187" i="10"/>
  <c r="X872" i="10"/>
  <c r="X957" i="10"/>
  <c r="X878" i="10"/>
  <c r="X1060" i="10"/>
  <c r="X1164" i="10"/>
  <c r="X984" i="10"/>
  <c r="X961" i="10"/>
  <c r="X894" i="10"/>
  <c r="W397" i="10"/>
  <c r="W393" i="10"/>
  <c r="W2" i="10" s="1"/>
  <c r="W4" i="10" s="1"/>
  <c r="AV963" i="10"/>
  <c r="AV1363" i="10" s="1"/>
  <c r="AV990" i="10"/>
  <c r="AV1390" i="10" s="1"/>
  <c r="AV1144" i="10"/>
  <c r="AV1544" i="10" s="1"/>
  <c r="AV1098" i="10"/>
  <c r="AV1498" i="10" s="1"/>
  <c r="AO1024" i="10"/>
  <c r="AO922" i="10"/>
  <c r="AO921" i="10"/>
  <c r="AO819" i="10"/>
  <c r="AO1063" i="10"/>
  <c r="AA1150" i="10"/>
  <c r="AA903" i="10"/>
  <c r="AA987" i="10"/>
  <c r="AA1095" i="10"/>
  <c r="AA920" i="10"/>
  <c r="AA978" i="10"/>
  <c r="O887" i="10"/>
  <c r="O1181" i="10"/>
  <c r="O1147" i="10"/>
  <c r="O883" i="10"/>
  <c r="O1051" i="10"/>
  <c r="M984" i="10"/>
  <c r="M911" i="10"/>
  <c r="M841" i="10"/>
  <c r="S920" i="10"/>
  <c r="S826" i="10"/>
  <c r="S892" i="10"/>
  <c r="AT1047" i="10"/>
  <c r="AY1027" i="10"/>
  <c r="AY1427" i="10" s="1"/>
  <c r="J1040" i="10"/>
  <c r="J1086" i="10"/>
  <c r="J878" i="10"/>
  <c r="J826" i="10"/>
  <c r="J1059" i="10"/>
  <c r="J822" i="10"/>
  <c r="J1003" i="10"/>
  <c r="AY1091" i="10"/>
  <c r="AY1491" i="10" s="1"/>
  <c r="R1062" i="10"/>
  <c r="AA994" i="10"/>
  <c r="R855" i="10"/>
  <c r="AV1105" i="10"/>
  <c r="AV1505" i="10" s="1"/>
  <c r="X1105" i="10"/>
  <c r="AK838" i="10"/>
  <c r="Z1148" i="10"/>
  <c r="AP830" i="10"/>
  <c r="S883" i="10"/>
  <c r="T827" i="10"/>
  <c r="P859" i="10"/>
  <c r="AY1062" i="10"/>
  <c r="AY1462" i="10" s="1"/>
  <c r="AP857" i="10"/>
  <c r="X934" i="10"/>
  <c r="X855" i="10"/>
  <c r="AY1058" i="10"/>
  <c r="AY1458" i="10" s="1"/>
  <c r="X965" i="10"/>
  <c r="AP831" i="10"/>
  <c r="AG1136" i="10"/>
  <c r="S1165" i="10"/>
  <c r="X841" i="10"/>
  <c r="X1116" i="10"/>
  <c r="O1120" i="10"/>
  <c r="P827" i="10"/>
  <c r="AG864" i="10"/>
  <c r="AY1185" i="10"/>
  <c r="AY1585" i="10" s="1"/>
  <c r="AY934" i="10"/>
  <c r="AY1334" i="10" s="1"/>
  <c r="Z894" i="10"/>
  <c r="AY1113" i="10"/>
  <c r="AY1513" i="10" s="1"/>
  <c r="Z1000" i="10"/>
  <c r="AG987" i="10"/>
  <c r="AY838" i="10"/>
  <c r="AY1238" i="10" s="1"/>
  <c r="X1000" i="10"/>
  <c r="AY1148" i="10"/>
  <c r="AY1548" i="10" s="1"/>
  <c r="O1165" i="10"/>
  <c r="X1165" i="10"/>
  <c r="Z1116" i="10"/>
  <c r="Y1128" i="10"/>
  <c r="AM994" i="10"/>
  <c r="S831" i="10"/>
  <c r="R970" i="10"/>
  <c r="X885" i="10"/>
  <c r="AC1181" i="10"/>
  <c r="T1098" i="10"/>
  <c r="T967" i="10"/>
  <c r="T905" i="10"/>
  <c r="AA1114" i="10"/>
  <c r="AP1076" i="10"/>
  <c r="Y1010" i="10"/>
  <c r="AY826" i="10"/>
  <c r="AY1226" i="10" s="1"/>
  <c r="X1163" i="10"/>
  <c r="O858" i="10"/>
  <c r="AO916" i="10"/>
  <c r="AC886" i="10"/>
  <c r="Z995" i="10"/>
  <c r="R1141" i="10"/>
  <c r="P1142" i="10"/>
  <c r="AV861" i="10"/>
  <c r="AV1261" i="10" s="1"/>
  <c r="X853" i="10"/>
  <c r="AA1081" i="10"/>
  <c r="AY1147" i="10"/>
  <c r="AY1547" i="10" s="1"/>
  <c r="X1172" i="10"/>
  <c r="AY1092" i="10"/>
  <c r="AY1492" i="10" s="1"/>
  <c r="AY1021" i="10"/>
  <c r="AY1421" i="10" s="1"/>
  <c r="AY951" i="10"/>
  <c r="AY1351" i="10" s="1"/>
  <c r="AY1052" i="10"/>
  <c r="AY1452" i="10" s="1"/>
  <c r="AY1088" i="10"/>
  <c r="AY1488" i="10" s="1"/>
  <c r="AY864" i="10"/>
  <c r="AY1264" i="10" s="1"/>
  <c r="AY1026" i="10"/>
  <c r="AY1426" i="10" s="1"/>
  <c r="AY1049" i="10"/>
  <c r="AY1449" i="10" s="1"/>
  <c r="AY1035" i="10"/>
  <c r="AY1435" i="10" s="1"/>
  <c r="AY1150" i="10"/>
  <c r="AY1550" i="10" s="1"/>
  <c r="AY823" i="10"/>
  <c r="AY1223" i="10" s="1"/>
  <c r="X1084" i="10"/>
  <c r="X887" i="10"/>
  <c r="X1082" i="10"/>
  <c r="X889" i="10"/>
  <c r="X1048" i="10"/>
  <c r="X948" i="10"/>
  <c r="X1096" i="10"/>
  <c r="AY909" i="10"/>
  <c r="AY1309" i="10" s="1"/>
  <c r="X863" i="10"/>
  <c r="X907" i="10"/>
  <c r="X1177" i="10"/>
  <c r="AY907" i="10"/>
  <c r="AY1307" i="10" s="1"/>
  <c r="AY1030" i="10"/>
  <c r="AY1430" i="10" s="1"/>
  <c r="AB822" i="10"/>
  <c r="AV931" i="10"/>
  <c r="AV1331" i="10" s="1"/>
  <c r="W964" i="10"/>
  <c r="AG927" i="10"/>
  <c r="AK956" i="10"/>
  <c r="AD1171" i="10"/>
  <c r="AF993" i="10"/>
  <c r="M940" i="10"/>
  <c r="AP1071" i="10"/>
  <c r="AE393" i="10"/>
  <c r="AE2" i="10" s="1"/>
  <c r="AE4" i="10" s="1"/>
  <c r="X397" i="10"/>
  <c r="K397" i="10"/>
  <c r="M393" i="10"/>
  <c r="M2" i="10" s="1"/>
  <c r="M4" i="10" s="1"/>
  <c r="AJ991" i="10"/>
  <c r="BB247" i="10"/>
  <c r="AT905" i="10"/>
  <c r="Y947" i="10"/>
  <c r="S888" i="10"/>
  <c r="AX891" i="10"/>
  <c r="AX1291" i="10" s="1"/>
  <c r="AV397" i="10"/>
  <c r="AO904" i="10"/>
  <c r="S393" i="10"/>
  <c r="S2" i="10" s="1"/>
  <c r="S4" i="10" s="1"/>
  <c r="AW1144" i="10"/>
  <c r="AW1544" i="10" s="1"/>
  <c r="T1005" i="10"/>
  <c r="V397" i="10"/>
  <c r="AM905" i="10"/>
  <c r="AQ1150" i="10"/>
  <c r="AI985" i="10"/>
  <c r="AR1020" i="10"/>
  <c r="AP1028" i="10"/>
  <c r="V1084" i="10"/>
  <c r="AU1355" i="10"/>
  <c r="AN1054" i="10"/>
  <c r="AC993" i="10"/>
  <c r="U1047" i="10"/>
  <c r="BA244" i="10"/>
  <c r="AI1027" i="10"/>
  <c r="AS1021" i="10"/>
  <c r="L924" i="10"/>
  <c r="Z1096" i="10"/>
  <c r="AE1178" i="10"/>
  <c r="J855" i="10"/>
  <c r="P893" i="10"/>
  <c r="AA1002" i="10"/>
  <c r="K843" i="10"/>
  <c r="U905" i="10"/>
  <c r="AQ1027" i="10"/>
  <c r="I412" i="6"/>
  <c r="AT517" i="26"/>
  <c r="AX517" i="26" s="1"/>
  <c r="P517" i="26" s="1"/>
  <c r="AV521" i="26"/>
  <c r="AT521" i="26"/>
  <c r="AX521" i="26" s="1"/>
  <c r="AV518" i="26"/>
  <c r="AT518" i="26"/>
  <c r="AX518" i="26" s="1"/>
  <c r="AV519" i="26"/>
  <c r="AT519" i="26"/>
  <c r="AX519" i="26" s="1"/>
  <c r="AV412" i="26"/>
  <c r="AT412" i="26"/>
  <c r="AX412" i="26" s="1"/>
  <c r="I428" i="9"/>
  <c r="AF428" i="9"/>
  <c r="R1112" i="10"/>
  <c r="R856" i="10"/>
  <c r="R937" i="10"/>
  <c r="R867" i="10"/>
  <c r="R1190" i="10"/>
  <c r="R884" i="10"/>
  <c r="R813" i="10"/>
  <c r="R977" i="10"/>
  <c r="R1018" i="10"/>
  <c r="R1180" i="10"/>
  <c r="R1057" i="10"/>
  <c r="R1118" i="10"/>
  <c r="R812" i="10"/>
  <c r="R932" i="10"/>
  <c r="R1123" i="10"/>
  <c r="R1069" i="10"/>
  <c r="R851" i="10"/>
  <c r="R996" i="10"/>
  <c r="R969" i="10"/>
  <c r="R1115" i="10"/>
  <c r="R1099" i="10"/>
  <c r="R866" i="10"/>
  <c r="R1064" i="10"/>
  <c r="R1124" i="10"/>
  <c r="R1089" i="10"/>
  <c r="R1056" i="10"/>
  <c r="R926" i="10"/>
  <c r="R1053" i="10"/>
  <c r="R876" i="10"/>
  <c r="R1077" i="10"/>
  <c r="R1174" i="10"/>
  <c r="R1160" i="10"/>
  <c r="R945" i="10"/>
  <c r="R958" i="10"/>
  <c r="R898" i="10"/>
  <c r="R1012" i="10"/>
  <c r="R1153" i="10"/>
  <c r="R959" i="10"/>
  <c r="R833" i="10"/>
  <c r="R897" i="10"/>
  <c r="R989" i="10"/>
  <c r="R1125" i="10"/>
  <c r="R1108" i="10"/>
  <c r="R953" i="10"/>
  <c r="R943" i="10"/>
  <c r="R1019" i="10"/>
  <c r="R820" i="10"/>
  <c r="R919" i="10"/>
  <c r="R1146" i="10"/>
  <c r="R1042" i="10"/>
  <c r="R846" i="10"/>
  <c r="R1132" i="10"/>
  <c r="R1007" i="10"/>
  <c r="R1167" i="10"/>
  <c r="R1036" i="10"/>
  <c r="R949" i="10"/>
  <c r="R871" i="10"/>
  <c r="R1139" i="10"/>
  <c r="R900" i="10"/>
  <c r="R1073" i="10"/>
  <c r="R906" i="10"/>
  <c r="R1188" i="10"/>
  <c r="R862" i="10"/>
  <c r="R1006" i="10"/>
  <c r="R1157" i="10"/>
  <c r="R972" i="10"/>
  <c r="R840" i="10"/>
  <c r="R1090" i="10"/>
  <c r="R964" i="10"/>
  <c r="R983" i="10"/>
  <c r="R901" i="10"/>
  <c r="R1172" i="10"/>
  <c r="R828" i="10"/>
  <c r="R861" i="10"/>
  <c r="R957" i="10"/>
  <c r="R870" i="10"/>
  <c r="R822" i="10"/>
  <c r="R852" i="10"/>
  <c r="R1087" i="10"/>
  <c r="R881" i="10"/>
  <c r="R1158" i="10"/>
  <c r="R1044" i="10"/>
  <c r="R829" i="10"/>
  <c r="R1133" i="10"/>
  <c r="R863" i="10"/>
  <c r="R1147" i="10"/>
  <c r="R895" i="10"/>
  <c r="R1102" i="10"/>
  <c r="R1078" i="10"/>
  <c r="R873" i="10"/>
  <c r="R1121" i="10"/>
  <c r="R1163" i="10"/>
  <c r="R923" i="10"/>
  <c r="R1182" i="10"/>
  <c r="R1155" i="10"/>
  <c r="R1130" i="10"/>
  <c r="R859" i="10"/>
  <c r="R998" i="10"/>
  <c r="R946" i="10"/>
  <c r="R984" i="10"/>
  <c r="R1065" i="10"/>
  <c r="R1041" i="10"/>
  <c r="R1083" i="10"/>
  <c r="R1034" i="10"/>
  <c r="R1040" i="10"/>
  <c r="R907" i="10"/>
  <c r="R842" i="10"/>
  <c r="R912" i="10"/>
  <c r="R966" i="10"/>
  <c r="R839" i="10"/>
  <c r="R979" i="10"/>
  <c r="R909" i="10"/>
  <c r="R1050" i="10"/>
  <c r="R1024" i="10"/>
  <c r="R1169" i="10"/>
  <c r="R924" i="10"/>
  <c r="R1145" i="10"/>
  <c r="R960" i="10"/>
  <c r="R1111" i="10"/>
  <c r="R1154" i="10"/>
  <c r="R891" i="10"/>
  <c r="R836" i="10"/>
  <c r="R993" i="10"/>
  <c r="R1129" i="10"/>
  <c r="R928" i="10"/>
  <c r="R1135" i="10"/>
  <c r="R1183" i="10"/>
  <c r="R986" i="10"/>
  <c r="R1045" i="10"/>
  <c r="R1189" i="10"/>
  <c r="R1004" i="10"/>
  <c r="R834" i="10"/>
  <c r="R935" i="10"/>
  <c r="R814" i="10"/>
  <c r="R872" i="10"/>
  <c r="R1032" i="10"/>
  <c r="R843" i="10"/>
  <c r="R1109" i="10"/>
  <c r="R925" i="10"/>
  <c r="R1177" i="10"/>
  <c r="R952" i="10"/>
  <c r="R899" i="10"/>
  <c r="R1170" i="10"/>
  <c r="R860" i="10"/>
  <c r="R997" i="10"/>
  <c r="R832" i="10"/>
  <c r="R1173" i="10"/>
  <c r="R882" i="10"/>
  <c r="R1143" i="10"/>
  <c r="R849" i="10"/>
  <c r="R1070" i="10"/>
  <c r="R1103" i="10"/>
  <c r="R1017" i="10"/>
  <c r="R971" i="10"/>
  <c r="R818" i="10"/>
  <c r="R962" i="10"/>
  <c r="R1081" i="10"/>
  <c r="R1005" i="10"/>
  <c r="R878" i="10"/>
  <c r="R1187" i="10"/>
  <c r="R1003" i="10"/>
  <c r="R877" i="10"/>
  <c r="R1175" i="10"/>
  <c r="R1079" i="10"/>
  <c r="R905" i="10"/>
  <c r="R904" i="10"/>
  <c r="R1074" i="10"/>
  <c r="R1176" i="10"/>
  <c r="R941" i="10"/>
  <c r="R888" i="10"/>
  <c r="R910" i="10"/>
  <c r="R973" i="10"/>
  <c r="R821" i="10"/>
  <c r="R956" i="10"/>
  <c r="R1055" i="10"/>
  <c r="R1142" i="10"/>
  <c r="R1088" i="10"/>
  <c r="R824" i="10"/>
  <c r="R1131" i="10"/>
  <c r="R817" i="10"/>
  <c r="R975" i="10"/>
  <c r="R950" i="10"/>
  <c r="R992" i="10"/>
  <c r="R845" i="10"/>
  <c r="R825" i="10"/>
  <c r="R1149" i="10"/>
  <c r="R902" i="10"/>
  <c r="R1119" i="10"/>
  <c r="R1097" i="10"/>
  <c r="R995" i="10"/>
  <c r="R918" i="10"/>
  <c r="R1063" i="10"/>
  <c r="R978" i="10"/>
  <c r="R908" i="10"/>
  <c r="R865" i="10"/>
  <c r="R929" i="10"/>
  <c r="R991" i="10"/>
  <c r="R911" i="10"/>
  <c r="R1178" i="10"/>
  <c r="R1066" i="10"/>
  <c r="R1094" i="10"/>
  <c r="R1021" i="10"/>
  <c r="R1181" i="10"/>
  <c r="R1023" i="10"/>
  <c r="R947" i="10"/>
  <c r="R982" i="10"/>
  <c r="R844" i="10"/>
  <c r="R1150" i="10"/>
  <c r="R1144" i="10"/>
  <c r="R954" i="10"/>
  <c r="R940" i="10"/>
  <c r="R938" i="10"/>
  <c r="R931" i="10"/>
  <c r="R1122" i="10"/>
  <c r="R815" i="10"/>
  <c r="R933" i="10"/>
  <c r="R886" i="10"/>
  <c r="R920" i="10"/>
  <c r="R1033" i="10"/>
  <c r="R1049" i="10"/>
  <c r="R1114" i="10"/>
  <c r="R1085" i="10"/>
  <c r="R915" i="10"/>
  <c r="R835" i="10"/>
  <c r="R1179" i="10"/>
  <c r="R1137" i="10"/>
  <c r="R1107" i="10"/>
  <c r="R875" i="10"/>
  <c r="R1051" i="10"/>
  <c r="R1025" i="10"/>
  <c r="R850" i="10"/>
  <c r="R936" i="10"/>
  <c r="R951" i="10"/>
  <c r="R826" i="10"/>
  <c r="R1092" i="10"/>
  <c r="R1086" i="10"/>
  <c r="R848" i="10"/>
  <c r="R1071" i="10"/>
  <c r="R1076" i="10"/>
  <c r="R968" i="10"/>
  <c r="R1162" i="10"/>
  <c r="R1171" i="10"/>
  <c r="R985" i="10"/>
  <c r="R922" i="10"/>
  <c r="R955" i="10"/>
  <c r="R819" i="10"/>
  <c r="R1168" i="10"/>
  <c r="R1159" i="10"/>
  <c r="R1046" i="10"/>
  <c r="R913" i="10"/>
  <c r="R1138" i="10"/>
  <c r="R1101" i="10"/>
  <c r="R917" i="10"/>
  <c r="R1043" i="10"/>
  <c r="R1013" i="10"/>
  <c r="R948" i="10"/>
  <c r="R1126" i="10"/>
  <c r="R887" i="10"/>
  <c r="R1186" i="10"/>
  <c r="R976" i="10"/>
  <c r="R1014" i="10"/>
  <c r="R1052" i="10"/>
  <c r="R869" i="10"/>
  <c r="R1010" i="10"/>
  <c r="R853" i="10"/>
  <c r="R914" i="10"/>
  <c r="R1164" i="10"/>
  <c r="R965" i="10"/>
  <c r="R981" i="10"/>
  <c r="R1120" i="10"/>
  <c r="R994" i="10"/>
  <c r="R830" i="10"/>
  <c r="R838" i="10"/>
  <c r="R1060" i="10"/>
  <c r="R1095" i="10"/>
  <c r="R1054" i="10"/>
  <c r="R1096" i="10"/>
  <c r="R1020" i="10"/>
  <c r="R1184" i="10"/>
  <c r="R1093" i="10"/>
  <c r="R892" i="10"/>
  <c r="R1008" i="10"/>
  <c r="R1075" i="10"/>
  <c r="R874" i="10"/>
  <c r="R823" i="10"/>
  <c r="R890" i="10"/>
  <c r="R903" i="10"/>
  <c r="R1026" i="10"/>
  <c r="R858" i="10"/>
  <c r="R963" i="10"/>
  <c r="R1117" i="10"/>
  <c r="R1140" i="10"/>
  <c r="R921" i="10"/>
  <c r="R854" i="10"/>
  <c r="R916" i="10"/>
  <c r="R1072" i="10"/>
  <c r="R879" i="10"/>
  <c r="R816" i="10"/>
  <c r="R999" i="10"/>
  <c r="R1100" i="10"/>
  <c r="R1080" i="10"/>
  <c r="R1084" i="10"/>
  <c r="AH397" i="10"/>
  <c r="AL397" i="10"/>
  <c r="AL393" i="10"/>
  <c r="AL2" i="10" s="1"/>
  <c r="AL4" i="10" s="1"/>
  <c r="AH1118" i="10"/>
  <c r="AH925" i="10"/>
  <c r="AH851" i="10"/>
  <c r="AH884" i="10"/>
  <c r="AH932" i="10"/>
  <c r="AH1190" i="10"/>
  <c r="AH1077" i="10"/>
  <c r="AH898" i="10"/>
  <c r="AH1099" i="10"/>
  <c r="AH943" i="10"/>
  <c r="AH1125" i="10"/>
  <c r="AH945" i="10"/>
  <c r="AH1174" i="10"/>
  <c r="AH847" i="10"/>
  <c r="AH1019" i="10"/>
  <c r="AH1124" i="10"/>
  <c r="AH919" i="10"/>
  <c r="AH1180" i="10"/>
  <c r="AH1053" i="10"/>
  <c r="AH1146" i="10"/>
  <c r="AH959" i="10"/>
  <c r="AH1073" i="10"/>
  <c r="AH856" i="10"/>
  <c r="AH876" i="10"/>
  <c r="AH867" i="10"/>
  <c r="AH1078" i="10"/>
  <c r="AH926" i="10"/>
  <c r="AH1108" i="10"/>
  <c r="AH813" i="10"/>
  <c r="AH1160" i="10"/>
  <c r="AH897" i="10"/>
  <c r="AH996" i="10"/>
  <c r="AH953" i="10"/>
  <c r="AH1123" i="10"/>
  <c r="AH1153" i="10"/>
  <c r="AH1089" i="10"/>
  <c r="AH1112" i="10"/>
  <c r="AH958" i="10"/>
  <c r="AH977" i="10"/>
  <c r="AH969" i="10"/>
  <c r="AH812" i="10"/>
  <c r="AH1057" i="10"/>
  <c r="AH840" i="10"/>
  <c r="AH1115" i="10"/>
  <c r="AH1139" i="10"/>
  <c r="AH900" i="10"/>
  <c r="AH1167" i="10"/>
  <c r="AH820" i="10"/>
  <c r="AH833" i="10"/>
  <c r="AH846" i="10"/>
  <c r="AH989" i="10"/>
  <c r="AH949" i="10"/>
  <c r="AH1012" i="10"/>
  <c r="AH937" i="10"/>
  <c r="AH1007" i="10"/>
  <c r="AH1069" i="10"/>
  <c r="AH1188" i="10"/>
  <c r="AH1050" i="10"/>
  <c r="AH1158" i="10"/>
  <c r="AH1056" i="10"/>
  <c r="AH1132" i="10"/>
  <c r="AH1064" i="10"/>
  <c r="AH1042" i="10"/>
  <c r="AH814" i="10"/>
  <c r="AH873" i="10"/>
  <c r="AH1023" i="10"/>
  <c r="AH1169" i="10"/>
  <c r="AH972" i="10"/>
  <c r="AH1017" i="10"/>
  <c r="AH964" i="10"/>
  <c r="AH1018" i="10"/>
  <c r="AH862" i="10"/>
  <c r="AH935" i="10"/>
  <c r="AH1189" i="10"/>
  <c r="AH1021" i="10"/>
  <c r="AH1143" i="10"/>
  <c r="AH1170" i="10"/>
  <c r="AH899" i="10"/>
  <c r="AH983" i="10"/>
  <c r="AH839" i="10"/>
  <c r="AH1103" i="10"/>
  <c r="AH836" i="10"/>
  <c r="AH849" i="10"/>
  <c r="AH1172" i="10"/>
  <c r="AH866" i="10"/>
  <c r="AH1090" i="10"/>
  <c r="AH895" i="10"/>
  <c r="AH1045" i="10"/>
  <c r="AH1177" i="10"/>
  <c r="AH1066" i="10"/>
  <c r="AH1024" i="10"/>
  <c r="AH1154" i="10"/>
  <c r="AH1182" i="10"/>
  <c r="AH1081" i="10"/>
  <c r="AH870" i="10"/>
  <c r="AH1041" i="10"/>
  <c r="AH844" i="10"/>
  <c r="AH912" i="10"/>
  <c r="AH860" i="10"/>
  <c r="AH1129" i="10"/>
  <c r="AH984" i="10"/>
  <c r="AH1059" i="10"/>
  <c r="AH1109" i="10"/>
  <c r="AH1087" i="10"/>
  <c r="AH907" i="10"/>
  <c r="AH966" i="10"/>
  <c r="AH944" i="10"/>
  <c r="AH1040" i="10"/>
  <c r="AH832" i="10"/>
  <c r="AH1034" i="10"/>
  <c r="AH1006" i="10"/>
  <c r="AH1094" i="10"/>
  <c r="AH1121" i="10"/>
  <c r="AH1130" i="10"/>
  <c r="AH997" i="10"/>
  <c r="AH1070" i="10"/>
  <c r="AH1173" i="10"/>
  <c r="AH1095" i="10"/>
  <c r="AH947" i="10"/>
  <c r="AH842" i="10"/>
  <c r="AH946" i="10"/>
  <c r="AH1065" i="10"/>
  <c r="AH901" i="10"/>
  <c r="AH1092" i="10"/>
  <c r="AH914" i="10"/>
  <c r="AH1178" i="10"/>
  <c r="AH904" i="10"/>
  <c r="AH877" i="10"/>
  <c r="AH890" i="10"/>
  <c r="AH980" i="10"/>
  <c r="AH988" i="10"/>
  <c r="AH939" i="10"/>
  <c r="AH874" i="10"/>
  <c r="AH1117" i="10"/>
  <c r="AH930" i="10"/>
  <c r="AH968" i="10"/>
  <c r="AH920" i="10"/>
  <c r="AH1144" i="10"/>
  <c r="AH1020" i="10"/>
  <c r="AH1150" i="10"/>
  <c r="AH1079" i="10"/>
  <c r="AH1156" i="10"/>
  <c r="AH819" i="10"/>
  <c r="AH1085" i="10"/>
  <c r="AH1043" i="10"/>
  <c r="AH918" i="10"/>
  <c r="AH1082" i="10"/>
  <c r="AH905" i="10"/>
  <c r="AH921" i="10"/>
  <c r="AH869" i="10"/>
  <c r="AH1072" i="10"/>
  <c r="AH913" i="10"/>
  <c r="AH1131" i="10"/>
  <c r="AH1126" i="10"/>
  <c r="AH903" i="10"/>
  <c r="AH967" i="10"/>
  <c r="AH816" i="10"/>
  <c r="AH936" i="10"/>
  <c r="AH999" i="10"/>
  <c r="AH1080" i="10"/>
  <c r="AH1052" i="10"/>
  <c r="AH923" i="10"/>
  <c r="AH993" i="10"/>
  <c r="AH979" i="10"/>
  <c r="AH882" i="10"/>
  <c r="AH1155" i="10"/>
  <c r="AH1111" i="10"/>
  <c r="AH829" i="10"/>
  <c r="AH871" i="10"/>
  <c r="AH863" i="10"/>
  <c r="AH1164" i="10"/>
  <c r="AH1163" i="10"/>
  <c r="AH906" i="10"/>
  <c r="AH1161" i="10"/>
  <c r="AH881" i="10"/>
  <c r="AH891" i="10"/>
  <c r="AH834" i="10"/>
  <c r="AH1145" i="10"/>
  <c r="AH960" i="10"/>
  <c r="AH1086" i="10"/>
  <c r="AH998" i="10"/>
  <c r="AH952" i="10"/>
  <c r="AH1010" i="10"/>
  <c r="AH911" i="10"/>
  <c r="AH1035" i="10"/>
  <c r="AH1171" i="10"/>
  <c r="AH1122" i="10"/>
  <c r="AH1176" i="10"/>
  <c r="AH1071" i="10"/>
  <c r="AH1096" i="10"/>
  <c r="AH868" i="10"/>
  <c r="AH1168" i="10"/>
  <c r="AH941" i="10"/>
  <c r="AH1055" i="10"/>
  <c r="AH1002" i="10"/>
  <c r="AH1013" i="10"/>
  <c r="AH902" i="10"/>
  <c r="AH1159" i="10"/>
  <c r="AH896" i="10"/>
  <c r="AH1141" i="10"/>
  <c r="AH1025" i="10"/>
  <c r="AH1088" i="10"/>
  <c r="AH917" i="10"/>
  <c r="AH1119" i="10"/>
  <c r="AH976" i="10"/>
  <c r="AH1026" i="10"/>
  <c r="AH1068" i="10"/>
  <c r="AH916" i="10"/>
  <c r="AH845" i="10"/>
  <c r="AH1097" i="10"/>
  <c r="AH858" i="10"/>
  <c r="AH1063" i="10"/>
  <c r="AH1033" i="10"/>
  <c r="AH817" i="10"/>
  <c r="AH908" i="10"/>
  <c r="AH929" i="10"/>
  <c r="AH1106" i="10"/>
  <c r="AH1084" i="10"/>
  <c r="AH1062" i="10"/>
  <c r="AH1004" i="10"/>
  <c r="AH885" i="10"/>
  <c r="AH1003" i="10"/>
  <c r="AH1151" i="10"/>
  <c r="AH928" i="10"/>
  <c r="AH955" i="10"/>
  <c r="AH1149" i="10"/>
  <c r="AH1162" i="10"/>
  <c r="AH888" i="10"/>
  <c r="AH1076" i="10"/>
  <c r="AH886" i="10"/>
  <c r="AH1074" i="10"/>
  <c r="AH1093" i="10"/>
  <c r="AH1001" i="10"/>
  <c r="AH1166" i="10"/>
  <c r="AH915" i="10"/>
  <c r="AH1048" i="10"/>
  <c r="AH1049" i="10"/>
  <c r="AH1152" i="10"/>
  <c r="AH889" i="10"/>
  <c r="AH1100" i="10"/>
  <c r="AH850" i="10"/>
  <c r="AH1133" i="10"/>
  <c r="AH982" i="10"/>
  <c r="AH1032" i="10"/>
  <c r="AH893" i="10"/>
  <c r="AH822" i="10"/>
  <c r="AH861" i="10"/>
  <c r="AH843" i="10"/>
  <c r="AH852" i="10"/>
  <c r="AH878" i="10"/>
  <c r="AH853" i="10"/>
  <c r="AH1134" i="10"/>
  <c r="AH991" i="10"/>
  <c r="AH1083" i="10"/>
  <c r="AH1061" i="10"/>
  <c r="AH910" i="10"/>
  <c r="AH1008" i="10"/>
  <c r="AH942" i="10"/>
  <c r="AH823" i="10"/>
  <c r="AH854" i="10"/>
  <c r="AH954" i="10"/>
  <c r="AH938" i="10"/>
  <c r="AH824" i="10"/>
  <c r="AH963" i="10"/>
  <c r="AH995" i="10"/>
  <c r="AH1051" i="10"/>
  <c r="AH1011" i="10"/>
  <c r="AH950" i="10"/>
  <c r="AH1138" i="10"/>
  <c r="AH1098" i="10"/>
  <c r="AH951" i="10"/>
  <c r="AH957" i="10"/>
  <c r="AH848" i="10"/>
  <c r="AH971" i="10"/>
  <c r="AH1187" i="10"/>
  <c r="AH1183" i="10"/>
  <c r="AH892" i="10"/>
  <c r="AH875" i="10"/>
  <c r="AH1175" i="10"/>
  <c r="AH1075" i="10"/>
  <c r="AH837" i="10"/>
  <c r="AH1184" i="10"/>
  <c r="AH956" i="10"/>
  <c r="AH922" i="10"/>
  <c r="AH887" i="10"/>
  <c r="AH1186" i="10"/>
  <c r="AH1179" i="10"/>
  <c r="AH825" i="10"/>
  <c r="AH992" i="10"/>
  <c r="AH1114" i="10"/>
  <c r="AH948" i="10"/>
  <c r="AH1107" i="10"/>
  <c r="AH865" i="10"/>
  <c r="AH1014" i="10"/>
  <c r="AH859" i="10"/>
  <c r="AH985" i="10"/>
  <c r="AH940" i="10"/>
  <c r="AH975" i="10"/>
  <c r="AH879" i="10"/>
  <c r="AH828" i="10"/>
  <c r="AH826" i="10"/>
  <c r="AH986" i="10"/>
  <c r="AH933" i="10"/>
  <c r="AH1137" i="10"/>
  <c r="AH1046" i="10"/>
  <c r="AH1110" i="10"/>
  <c r="AH1147" i="10"/>
  <c r="AH924" i="10"/>
  <c r="AH962" i="10"/>
  <c r="AH1060" i="10"/>
  <c r="AH818" i="10"/>
  <c r="AH880" i="10"/>
  <c r="AH965" i="10"/>
  <c r="AH894" i="10"/>
  <c r="AH1058" i="10"/>
  <c r="AH827" i="10"/>
  <c r="AH1116" i="10"/>
  <c r="AH987" i="10"/>
  <c r="AH855" i="10"/>
  <c r="AH1157" i="10"/>
  <c r="AH931" i="10"/>
  <c r="AH821" i="10"/>
  <c r="AH815" i="10"/>
  <c r="AH973" i="10"/>
  <c r="AH978" i="10"/>
  <c r="AH909" i="10"/>
  <c r="N996" i="10"/>
  <c r="N1124" i="10"/>
  <c r="N1146" i="10"/>
  <c r="N897" i="10"/>
  <c r="N1077" i="10"/>
  <c r="N1118" i="10"/>
  <c r="N943" i="10"/>
  <c r="N926" i="10"/>
  <c r="N900" i="10"/>
  <c r="N856" i="10"/>
  <c r="N1053" i="10"/>
  <c r="N1167" i="10"/>
  <c r="N944" i="10"/>
  <c r="N1078" i="10"/>
  <c r="N1057" i="10"/>
  <c r="N945" i="10"/>
  <c r="N862" i="10"/>
  <c r="N873" i="10"/>
  <c r="N1023" i="10"/>
  <c r="N989" i="10"/>
  <c r="N949" i="10"/>
  <c r="N1188" i="10"/>
  <c r="N960" i="10"/>
  <c r="N912" i="10"/>
  <c r="N839" i="10"/>
  <c r="N1155" i="10"/>
  <c r="N924" i="10"/>
  <c r="N1161" i="10"/>
  <c r="N1060" i="10"/>
  <c r="N1040" i="10"/>
  <c r="N840" i="10"/>
  <c r="N1045" i="10"/>
  <c r="N834" i="10"/>
  <c r="N1024" i="10"/>
  <c r="N998" i="10"/>
  <c r="N836" i="10"/>
  <c r="N863" i="10"/>
  <c r="N1083" i="10"/>
  <c r="N1034" i="10"/>
  <c r="N1129" i="10"/>
  <c r="N914" i="10"/>
  <c r="N1170" i="10"/>
  <c r="N881" i="10"/>
  <c r="N901" i="10"/>
  <c r="N1182" i="10"/>
  <c r="N1050" i="10"/>
  <c r="N1158" i="10"/>
  <c r="N907" i="10"/>
  <c r="N848" i="10"/>
  <c r="N1090" i="10"/>
  <c r="N966" i="10"/>
  <c r="N979" i="10"/>
  <c r="N1041" i="10"/>
  <c r="N1157" i="10"/>
  <c r="N1094" i="10"/>
  <c r="N946" i="10"/>
  <c r="N1189" i="10"/>
  <c r="N983" i="10"/>
  <c r="N1169" i="10"/>
  <c r="N1086" i="10"/>
  <c r="N972" i="10"/>
  <c r="N1130" i="10"/>
  <c r="N872" i="10"/>
  <c r="N923" i="10"/>
  <c r="N1154" i="10"/>
  <c r="N1004" i="10"/>
  <c r="N849" i="10"/>
  <c r="N870" i="10"/>
  <c r="N935" i="10"/>
  <c r="N1017" i="10"/>
  <c r="N1143" i="10"/>
  <c r="N952" i="10"/>
  <c r="N982" i="10"/>
  <c r="N842" i="10"/>
  <c r="N986" i="10"/>
  <c r="N899" i="10"/>
  <c r="N871" i="10"/>
  <c r="N814" i="10"/>
  <c r="N818" i="10"/>
  <c r="N991" i="10"/>
  <c r="N1032" i="10"/>
  <c r="N1177" i="10"/>
  <c r="N1066" i="10"/>
  <c r="N1111" i="10"/>
  <c r="N1006" i="10"/>
  <c r="N827" i="10"/>
  <c r="N826" i="10"/>
  <c r="N1056" i="10"/>
  <c r="N882" i="10"/>
  <c r="N1010" i="10"/>
  <c r="N993" i="10"/>
  <c r="N1103" i="10"/>
  <c r="N1109" i="10"/>
  <c r="N893" i="10"/>
  <c r="N1087" i="10"/>
  <c r="N860" i="10"/>
  <c r="N1187" i="10"/>
  <c r="N1183" i="10"/>
  <c r="N964" i="10"/>
  <c r="N1065" i="10"/>
  <c r="N911" i="10"/>
  <c r="N1095" i="10"/>
  <c r="N822" i="10"/>
  <c r="N828" i="10"/>
  <c r="N1147" i="10"/>
  <c r="N1092" i="10"/>
  <c r="N843" i="10"/>
  <c r="N941" i="10"/>
  <c r="N988" i="10"/>
  <c r="N1008" i="10"/>
  <c r="N954" i="10"/>
  <c r="N837" i="10"/>
  <c r="N877" i="10"/>
  <c r="N868" i="10"/>
  <c r="N1162" i="10"/>
  <c r="N1141" i="10"/>
  <c r="N888" i="10"/>
  <c r="N875" i="10"/>
  <c r="N887" i="10"/>
  <c r="N922" i="10"/>
  <c r="N1061" i="10"/>
  <c r="N940" i="10"/>
  <c r="N824" i="10"/>
  <c r="N916" i="10"/>
  <c r="N1114" i="10"/>
  <c r="N823" i="10"/>
  <c r="N930" i="10"/>
  <c r="N817" i="10"/>
  <c r="N1152" i="10"/>
  <c r="N920" i="10"/>
  <c r="N1126" i="10"/>
  <c r="N1119" i="10"/>
  <c r="N963" i="10"/>
  <c r="N825" i="10"/>
  <c r="N1033" i="10"/>
  <c r="N1107" i="10"/>
  <c r="N1186" i="10"/>
  <c r="N1063" i="10"/>
  <c r="N869" i="10"/>
  <c r="N1014" i="10"/>
  <c r="N1084" i="10"/>
  <c r="N1052" i="10"/>
  <c r="N895" i="10"/>
  <c r="N947" i="10"/>
  <c r="N829" i="10"/>
  <c r="N1133" i="10"/>
  <c r="N891" i="10"/>
  <c r="N997" i="10"/>
  <c r="N1081" i="10"/>
  <c r="N861" i="10"/>
  <c r="N832" i="10"/>
  <c r="N1173" i="10"/>
  <c r="N1121" i="10"/>
  <c r="N971" i="10"/>
  <c r="N1070" i="10"/>
  <c r="N1163" i="10"/>
  <c r="N821" i="10"/>
  <c r="N874" i="10"/>
  <c r="N1020" i="10"/>
  <c r="N955" i="10"/>
  <c r="N1175" i="10"/>
  <c r="N1035" i="10"/>
  <c r="N1055" i="10"/>
  <c r="N1071" i="10"/>
  <c r="N921" i="10"/>
  <c r="N933" i="10"/>
  <c r="N942" i="10"/>
  <c r="N1013" i="10"/>
  <c r="N917" i="10"/>
  <c r="N1097" i="10"/>
  <c r="N1049" i="10"/>
  <c r="N1011" i="10"/>
  <c r="N1137" i="10"/>
  <c r="N896" i="10"/>
  <c r="N1068" i="10"/>
  <c r="N1080" i="10"/>
  <c r="N956" i="10"/>
  <c r="N1131" i="10"/>
  <c r="N1048" i="10"/>
  <c r="N908" i="10"/>
  <c r="N999" i="10"/>
  <c r="N978" i="10"/>
  <c r="N1178" i="10"/>
  <c r="N1145" i="10"/>
  <c r="N1181" i="10"/>
  <c r="N885" i="10"/>
  <c r="N1005" i="10"/>
  <c r="N909" i="10"/>
  <c r="N1093" i="10"/>
  <c r="N1171" i="10"/>
  <c r="N1168" i="10"/>
  <c r="N1150" i="10"/>
  <c r="N904" i="10"/>
  <c r="N1156" i="10"/>
  <c r="N1122" i="10"/>
  <c r="N819" i="10"/>
  <c r="N892" i="10"/>
  <c r="N1074" i="10"/>
  <c r="N950" i="10"/>
  <c r="N995" i="10"/>
  <c r="N889" i="10"/>
  <c r="N1046" i="10"/>
  <c r="N967" i="10"/>
  <c r="N845" i="10"/>
  <c r="N1184" i="10"/>
  <c r="N858" i="10"/>
  <c r="N1001" i="10"/>
  <c r="N879" i="10"/>
  <c r="N903" i="10"/>
  <c r="N835" i="10"/>
  <c r="N1106" i="10"/>
  <c r="N976" i="10"/>
  <c r="N1085" i="10"/>
  <c r="N865" i="10"/>
  <c r="N1003" i="10"/>
  <c r="N1059" i="10"/>
  <c r="N1000" i="10"/>
  <c r="N1105" i="10"/>
  <c r="N974" i="10"/>
  <c r="N961" i="10"/>
  <c r="N859" i="10"/>
  <c r="N1172" i="10"/>
  <c r="N1021" i="10"/>
  <c r="N962" i="10"/>
  <c r="N878" i="10"/>
  <c r="N957" i="10"/>
  <c r="N853" i="10"/>
  <c r="N1144" i="10"/>
  <c r="N1159" i="10"/>
  <c r="N939" i="10"/>
  <c r="N886" i="10"/>
  <c r="N1096" i="10"/>
  <c r="N1176" i="10"/>
  <c r="N890" i="10"/>
  <c r="N854" i="10"/>
  <c r="N905" i="10"/>
  <c r="N1142" i="10"/>
  <c r="N980" i="10"/>
  <c r="N1101" i="10"/>
  <c r="N816" i="10"/>
  <c r="N1117" i="10"/>
  <c r="N1051" i="10"/>
  <c r="N1082" i="10"/>
  <c r="N915" i="10"/>
  <c r="N1072" i="10"/>
  <c r="N913" i="10"/>
  <c r="N815" i="10"/>
  <c r="N1026" i="10"/>
  <c r="N1138" i="10"/>
  <c r="N929" i="10"/>
  <c r="N1098" i="10"/>
  <c r="N1110" i="10"/>
  <c r="N1100" i="10"/>
  <c r="N1164" i="10"/>
  <c r="N984" i="10"/>
  <c r="N928" i="10"/>
  <c r="AG397" i="10"/>
  <c r="AJ397" i="10"/>
  <c r="AJ393" i="10"/>
  <c r="AJ2" i="10" s="1"/>
  <c r="AJ4" i="10" s="1"/>
  <c r="Q393" i="10"/>
  <c r="Q397" i="10"/>
  <c r="AK393" i="10"/>
  <c r="AK397" i="10"/>
  <c r="O1132" i="10"/>
  <c r="O812" i="10"/>
  <c r="O851" i="10"/>
  <c r="O840" i="10"/>
  <c r="O969" i="10"/>
  <c r="O847" i="10"/>
  <c r="O926" i="10"/>
  <c r="O876" i="10"/>
  <c r="O943" i="10"/>
  <c r="O846" i="10"/>
  <c r="O1115" i="10"/>
  <c r="O1007" i="10"/>
  <c r="O1167" i="10"/>
  <c r="O884" i="10"/>
  <c r="O1139" i="10"/>
  <c r="O959" i="10"/>
  <c r="O1089" i="10"/>
  <c r="O932" i="10"/>
  <c r="O1153" i="10"/>
  <c r="O1019" i="10"/>
  <c r="O1069" i="10"/>
  <c r="O1064" i="10"/>
  <c r="O944" i="10"/>
  <c r="O919" i="10"/>
  <c r="O906" i="10"/>
  <c r="O813" i="10"/>
  <c r="O1190" i="10"/>
  <c r="O949" i="10"/>
  <c r="O945" i="10"/>
  <c r="O1146" i="10"/>
  <c r="O1125" i="10"/>
  <c r="O1108" i="10"/>
  <c r="O856" i="10"/>
  <c r="O898" i="10"/>
  <c r="O867" i="10"/>
  <c r="O1118" i="10"/>
  <c r="O958" i="10"/>
  <c r="O1188" i="10"/>
  <c r="O873" i="10"/>
  <c r="O1024" i="10"/>
  <c r="O907" i="10"/>
  <c r="O1042" i="10"/>
  <c r="O1036" i="10"/>
  <c r="O1124" i="10"/>
  <c r="O925" i="10"/>
  <c r="O1073" i="10"/>
  <c r="O996" i="10"/>
  <c r="O1018" i="10"/>
  <c r="O977" i="10"/>
  <c r="O1112" i="10"/>
  <c r="O989" i="10"/>
  <c r="O1099" i="10"/>
  <c r="O900" i="10"/>
  <c r="O1078" i="10"/>
  <c r="O897" i="10"/>
  <c r="O1012" i="10"/>
  <c r="O1102" i="10"/>
  <c r="O937" i="10"/>
  <c r="O1090" i="10"/>
  <c r="O1183" i="10"/>
  <c r="O1158" i="10"/>
  <c r="O882" i="10"/>
  <c r="O952" i="10"/>
  <c r="O863" i="10"/>
  <c r="O993" i="10"/>
  <c r="O853" i="10"/>
  <c r="O881" i="10"/>
  <c r="O1083" i="10"/>
  <c r="O1180" i="10"/>
  <c r="O953" i="10"/>
  <c r="O1053" i="10"/>
  <c r="O979" i="10"/>
  <c r="O899" i="10"/>
  <c r="O1169" i="10"/>
  <c r="O829" i="10"/>
  <c r="O1034" i="10"/>
  <c r="O1094" i="10"/>
  <c r="O972" i="10"/>
  <c r="O844" i="10"/>
  <c r="O957" i="10"/>
  <c r="O923" i="10"/>
  <c r="O1145" i="10"/>
  <c r="O866" i="10"/>
  <c r="O1056" i="10"/>
  <c r="O1070" i="10"/>
  <c r="O935" i="10"/>
  <c r="O998" i="10"/>
  <c r="O1155" i="10"/>
  <c r="O1121" i="10"/>
  <c r="O928" i="10"/>
  <c r="O1057" i="10"/>
  <c r="O1135" i="10"/>
  <c r="O1157" i="10"/>
  <c r="O1041" i="10"/>
  <c r="O1086" i="10"/>
  <c r="O839" i="10"/>
  <c r="O1189" i="10"/>
  <c r="O991" i="10"/>
  <c r="O1129" i="10"/>
  <c r="O1066" i="10"/>
  <c r="O1111" i="10"/>
  <c r="O862" i="10"/>
  <c r="O870" i="10"/>
  <c r="O1006" i="10"/>
  <c r="O1045" i="10"/>
  <c r="O966" i="10"/>
  <c r="O986" i="10"/>
  <c r="O1130" i="10"/>
  <c r="O960" i="10"/>
  <c r="O1040" i="10"/>
  <c r="O834" i="10"/>
  <c r="O1173" i="10"/>
  <c r="O1133" i="10"/>
  <c r="O984" i="10"/>
  <c r="O1160" i="10"/>
  <c r="O901" i="10"/>
  <c r="O1182" i="10"/>
  <c r="O1103" i="10"/>
  <c r="O842" i="10"/>
  <c r="O1004" i="10"/>
  <c r="O946" i="10"/>
  <c r="O1050" i="10"/>
  <c r="O983" i="10"/>
  <c r="O1044" i="10"/>
  <c r="O1177" i="10"/>
  <c r="O1017" i="10"/>
  <c r="O872" i="10"/>
  <c r="O1174" i="10"/>
  <c r="O820" i="10"/>
  <c r="O871" i="10"/>
  <c r="O891" i="10"/>
  <c r="O849" i="10"/>
  <c r="O836" i="10"/>
  <c r="O860" i="10"/>
  <c r="O1187" i="10"/>
  <c r="O911" i="10"/>
  <c r="O832" i="10"/>
  <c r="O895" i="10"/>
  <c r="O1154" i="10"/>
  <c r="O1087" i="10"/>
  <c r="O1065" i="10"/>
  <c r="O893" i="10"/>
  <c r="O1170" i="10"/>
  <c r="O912" i="10"/>
  <c r="O822" i="10"/>
  <c r="O964" i="10"/>
  <c r="O1143" i="10"/>
  <c r="O826" i="10"/>
  <c r="O843" i="10"/>
  <c r="O1178" i="10"/>
  <c r="O1021" i="10"/>
  <c r="O940" i="10"/>
  <c r="O1150" i="10"/>
  <c r="O1122" i="10"/>
  <c r="O985" i="10"/>
  <c r="O904" i="10"/>
  <c r="O1156" i="10"/>
  <c r="O975" i="10"/>
  <c r="O938" i="10"/>
  <c r="O1076" i="10"/>
  <c r="O903" i="10"/>
  <c r="O955" i="10"/>
  <c r="O980" i="10"/>
  <c r="O819" i="10"/>
  <c r="O988" i="10"/>
  <c r="O968" i="10"/>
  <c r="O995" i="10"/>
  <c r="O922" i="10"/>
  <c r="O824" i="10"/>
  <c r="O1138" i="10"/>
  <c r="O869" i="10"/>
  <c r="O816" i="10"/>
  <c r="O1011" i="10"/>
  <c r="O902" i="10"/>
  <c r="O1026" i="10"/>
  <c r="O896" i="10"/>
  <c r="O916" i="10"/>
  <c r="O1186" i="10"/>
  <c r="O1063" i="10"/>
  <c r="O913" i="10"/>
  <c r="O1114" i="10"/>
  <c r="O823" i="10"/>
  <c r="O1084" i="10"/>
  <c r="O1106" i="10"/>
  <c r="O978" i="10"/>
  <c r="O951" i="10"/>
  <c r="O1172" i="10"/>
  <c r="O1163" i="10"/>
  <c r="O924" i="10"/>
  <c r="O1134" i="10"/>
  <c r="O909" i="10"/>
  <c r="O1005" i="10"/>
  <c r="O861" i="10"/>
  <c r="O1059" i="10"/>
  <c r="O1023" i="10"/>
  <c r="O1095" i="10"/>
  <c r="O1109" i="10"/>
  <c r="O997" i="10"/>
  <c r="O1151" i="10"/>
  <c r="O827" i="10"/>
  <c r="O1071" i="10"/>
  <c r="O892" i="10"/>
  <c r="O1096" i="10"/>
  <c r="O910" i="10"/>
  <c r="O1079" i="10"/>
  <c r="O905" i="10"/>
  <c r="O1184" i="10"/>
  <c r="O948" i="10"/>
  <c r="O888" i="10"/>
  <c r="O1074" i="10"/>
  <c r="O1020" i="10"/>
  <c r="O939" i="10"/>
  <c r="O1046" i="10"/>
  <c r="O1126" i="10"/>
  <c r="O1101" i="10"/>
  <c r="O835" i="10"/>
  <c r="O1097" i="10"/>
  <c r="O950" i="10"/>
  <c r="O1043" i="10"/>
  <c r="O1119" i="10"/>
  <c r="O814" i="10"/>
  <c r="O1131" i="10"/>
  <c r="O845" i="10"/>
  <c r="O1014" i="10"/>
  <c r="O999" i="10"/>
  <c r="O850" i="10"/>
  <c r="O914" i="10"/>
  <c r="O1035" i="10"/>
  <c r="O890" i="10"/>
  <c r="O1008" i="10"/>
  <c r="O1144" i="10"/>
  <c r="O1055" i="10"/>
  <c r="O933" i="10"/>
  <c r="O1049" i="10"/>
  <c r="O1171" i="10"/>
  <c r="O1061" i="10"/>
  <c r="O1075" i="10"/>
  <c r="O1013" i="10"/>
  <c r="O1175" i="10"/>
  <c r="O879" i="10"/>
  <c r="O1166" i="10"/>
  <c r="O1085" i="10"/>
  <c r="O918" i="10"/>
  <c r="O1149" i="10"/>
  <c r="O954" i="10"/>
  <c r="O917" i="10"/>
  <c r="O1048" i="10"/>
  <c r="O942" i="10"/>
  <c r="O889" i="10"/>
  <c r="O1179" i="10"/>
  <c r="O908" i="10"/>
  <c r="O1100" i="10"/>
  <c r="O915" i="10"/>
  <c r="O982" i="10"/>
  <c r="O878" i="10"/>
  <c r="O1060" i="10"/>
  <c r="O1164" i="10"/>
  <c r="O947" i="10"/>
  <c r="O818" i="10"/>
  <c r="O828" i="10"/>
  <c r="O831" i="10"/>
  <c r="O1067" i="10"/>
  <c r="O855" i="10"/>
  <c r="O852" i="10"/>
  <c r="O974" i="10"/>
  <c r="O961" i="10"/>
  <c r="O894" i="10"/>
  <c r="O848" i="10"/>
  <c r="O1081" i="10"/>
  <c r="O1010" i="10"/>
  <c r="O1176" i="10"/>
  <c r="O1168" i="10"/>
  <c r="O1162" i="10"/>
  <c r="O1093" i="10"/>
  <c r="O1159" i="10"/>
  <c r="O886" i="10"/>
  <c r="O973" i="10"/>
  <c r="O1142" i="10"/>
  <c r="O875" i="10"/>
  <c r="O868" i="10"/>
  <c r="O1033" i="10"/>
  <c r="O837" i="10"/>
  <c r="O817" i="10"/>
  <c r="O1152" i="10"/>
  <c r="O921" i="10"/>
  <c r="O1140" i="10"/>
  <c r="O1137" i="10"/>
  <c r="O815" i="10"/>
  <c r="O1107" i="10"/>
  <c r="O1082" i="10"/>
  <c r="O956" i="10"/>
  <c r="O1072" i="10"/>
  <c r="O976" i="10"/>
  <c r="O1080" i="10"/>
  <c r="O936" i="10"/>
  <c r="O1110" i="10"/>
  <c r="O971" i="10"/>
  <c r="O1003" i="10"/>
  <c r="AK1054" i="10"/>
  <c r="AI1104" i="10"/>
  <c r="AL932" i="10"/>
  <c r="AL846" i="10"/>
  <c r="AL840" i="10"/>
  <c r="AL812" i="10"/>
  <c r="AL851" i="10"/>
  <c r="AL1077" i="10"/>
  <c r="AL1078" i="10"/>
  <c r="AL959" i="10"/>
  <c r="AL900" i="10"/>
  <c r="AL866" i="10"/>
  <c r="AL1019" i="10"/>
  <c r="AL1064" i="10"/>
  <c r="AL856" i="10"/>
  <c r="AL945" i="10"/>
  <c r="AL1056" i="10"/>
  <c r="AL937" i="10"/>
  <c r="AL906" i="10"/>
  <c r="AL1089" i="10"/>
  <c r="AL1115" i="10"/>
  <c r="AL1118" i="10"/>
  <c r="AL1174" i="10"/>
  <c r="AL1125" i="10"/>
  <c r="AL953" i="10"/>
  <c r="AL1112" i="10"/>
  <c r="AL1108" i="10"/>
  <c r="AL989" i="10"/>
  <c r="AL1135" i="10"/>
  <c r="AL1139" i="10"/>
  <c r="AL1090" i="10"/>
  <c r="AL1087" i="10"/>
  <c r="AL1066" i="10"/>
  <c r="AL871" i="10"/>
  <c r="AL1123" i="10"/>
  <c r="AL1145" i="10"/>
  <c r="AL923" i="10"/>
  <c r="AL873" i="10"/>
  <c r="AL1069" i="10"/>
  <c r="AL897" i="10"/>
  <c r="AL1155" i="10"/>
  <c r="AL946" i="10"/>
  <c r="AL863" i="10"/>
  <c r="AL982" i="10"/>
  <c r="AL895" i="10"/>
  <c r="AL912" i="10"/>
  <c r="AL1161" i="10"/>
  <c r="AL1070" i="10"/>
  <c r="AL907" i="10"/>
  <c r="AL1157" i="10"/>
  <c r="AL901" i="10"/>
  <c r="AL972" i="10"/>
  <c r="AL1095" i="10"/>
  <c r="AL878" i="10"/>
  <c r="AL960" i="10"/>
  <c r="AL1158" i="10"/>
  <c r="AL834" i="10"/>
  <c r="AL839" i="10"/>
  <c r="AL1003" i="10"/>
  <c r="AL862" i="10"/>
  <c r="AL1050" i="10"/>
  <c r="AL1023" i="10"/>
  <c r="AL1017" i="10"/>
  <c r="AL836" i="10"/>
  <c r="AL870" i="10"/>
  <c r="AL1143" i="10"/>
  <c r="AL1154" i="10"/>
  <c r="AL832" i="10"/>
  <c r="AL966" i="10"/>
  <c r="AL983" i="10"/>
  <c r="AL1111" i="10"/>
  <c r="AL881" i="10"/>
  <c r="AL1169" i="10"/>
  <c r="AL952" i="10"/>
  <c r="AL991" i="10"/>
  <c r="AL1170" i="10"/>
  <c r="AL899" i="10"/>
  <c r="AL1041" i="10"/>
  <c r="AL1024" i="10"/>
  <c r="AL891" i="10"/>
  <c r="AL1173" i="10"/>
  <c r="AL1130" i="10"/>
  <c r="AL1177" i="10"/>
  <c r="AL1083" i="10"/>
  <c r="AL935" i="10"/>
  <c r="AL1045" i="10"/>
  <c r="AL1182" i="10"/>
  <c r="AL1172" i="10"/>
  <c r="AL1092" i="10"/>
  <c r="AL1129" i="10"/>
  <c r="AL1065" i="10"/>
  <c r="AL1086" i="10"/>
  <c r="AL1094" i="10"/>
  <c r="AL1121" i="10"/>
  <c r="AL1189" i="10"/>
  <c r="AL1081" i="10"/>
  <c r="AL1034" i="10"/>
  <c r="AL1183" i="10"/>
  <c r="AL860" i="10"/>
  <c r="AL964" i="10"/>
  <c r="AL1040" i="10"/>
  <c r="AL1006" i="10"/>
  <c r="AL1004" i="10"/>
  <c r="AL848" i="10"/>
  <c r="AL1164" i="10"/>
  <c r="AL822" i="10"/>
  <c r="AL993" i="10"/>
  <c r="AL1133" i="10"/>
  <c r="AL979" i="10"/>
  <c r="AL842" i="10"/>
  <c r="AL1103" i="10"/>
  <c r="AL1163" i="10"/>
  <c r="AL1147" i="10"/>
  <c r="AL885" i="10"/>
  <c r="AL1032" i="10"/>
  <c r="AL997" i="10"/>
  <c r="AL1059" i="10"/>
  <c r="AL849" i="10"/>
  <c r="AL829" i="10"/>
  <c r="AL861" i="10"/>
  <c r="AL928" i="10"/>
  <c r="AL909" i="10"/>
  <c r="AL893" i="10"/>
  <c r="AL1010" i="10"/>
  <c r="AL818" i="10"/>
  <c r="AL1134" i="10"/>
  <c r="AL1008" i="10"/>
  <c r="AL1156" i="10"/>
  <c r="AL1002" i="10"/>
  <c r="AL854" i="10"/>
  <c r="AL892" i="10"/>
  <c r="AL931" i="10"/>
  <c r="AL868" i="10"/>
  <c r="AL1020" i="10"/>
  <c r="AL1055" i="10"/>
  <c r="AL975" i="10"/>
  <c r="AL896" i="10"/>
  <c r="AL1071" i="10"/>
  <c r="AL1142" i="10"/>
  <c r="AL888" i="10"/>
  <c r="AL968" i="10"/>
  <c r="AL1026" i="10"/>
  <c r="AL886" i="10"/>
  <c r="AL921" i="10"/>
  <c r="AL1068" i="10"/>
  <c r="AL1107" i="10"/>
  <c r="AL869" i="10"/>
  <c r="AL902" i="10"/>
  <c r="AL1152" i="10"/>
  <c r="AL967" i="10"/>
  <c r="AL1097" i="10"/>
  <c r="AL1072" i="10"/>
  <c r="AL1166" i="10"/>
  <c r="AL879" i="10"/>
  <c r="AL825" i="10"/>
  <c r="AL889" i="10"/>
  <c r="AL845" i="10"/>
  <c r="AL976" i="10"/>
  <c r="AL951" i="10"/>
  <c r="AL936" i="10"/>
  <c r="AL929" i="10"/>
  <c r="AL882" i="10"/>
  <c r="AL1188" i="10"/>
  <c r="AL998" i="10"/>
  <c r="AL924" i="10"/>
  <c r="AL826" i="10"/>
  <c r="AL962" i="10"/>
  <c r="AL947" i="10"/>
  <c r="AL1181" i="10"/>
  <c r="AL1187" i="10"/>
  <c r="AL911" i="10"/>
  <c r="AL1151" i="10"/>
  <c r="AL828" i="10"/>
  <c r="AL904" i="10"/>
  <c r="AL1150" i="10"/>
  <c r="AL948" i="10"/>
  <c r="AL877" i="10"/>
  <c r="AL837" i="10"/>
  <c r="AL1013" i="10"/>
  <c r="AL1149" i="10"/>
  <c r="AL890" i="10"/>
  <c r="AL954" i="10"/>
  <c r="AL905" i="10"/>
  <c r="AL875" i="10"/>
  <c r="AL824" i="10"/>
  <c r="AL1093" i="10"/>
  <c r="AL1043" i="10"/>
  <c r="AL917" i="10"/>
  <c r="AL908" i="10"/>
  <c r="AL950" i="10"/>
  <c r="AL858" i="10"/>
  <c r="AL1082" i="10"/>
  <c r="AL1186" i="10"/>
  <c r="AL1168" i="10"/>
  <c r="AL864" i="10"/>
  <c r="AL1051" i="10"/>
  <c r="AL1098" i="10"/>
  <c r="AL986" i="10"/>
  <c r="AL1060" i="10"/>
  <c r="AL1021" i="10"/>
  <c r="AL971" i="10"/>
  <c r="AL843" i="10"/>
  <c r="AL872" i="10"/>
  <c r="AL1035" i="10"/>
  <c r="AL1162" i="10"/>
  <c r="AL933" i="10"/>
  <c r="AL1075" i="10"/>
  <c r="AL938" i="10"/>
  <c r="AL1184" i="10"/>
  <c r="AL939" i="10"/>
  <c r="AL1061" i="10"/>
  <c r="AL1101" i="10"/>
  <c r="AL1171" i="10"/>
  <c r="AL1079" i="10"/>
  <c r="AL930" i="10"/>
  <c r="AL1159" i="10"/>
  <c r="AL963" i="10"/>
  <c r="AL1138" i="10"/>
  <c r="AL1179" i="10"/>
  <c r="AL819" i="10"/>
  <c r="AL1140" i="10"/>
  <c r="AL823" i="10"/>
  <c r="AL816" i="10"/>
  <c r="AL1033" i="10"/>
  <c r="AL1137" i="10"/>
  <c r="AL817" i="10"/>
  <c r="AL1110" i="10"/>
  <c r="AL1100" i="10"/>
  <c r="AL999" i="10"/>
  <c r="AL844" i="10"/>
  <c r="AL990" i="10"/>
  <c r="AL1105" i="10"/>
  <c r="AL981" i="10"/>
  <c r="AL838" i="10"/>
  <c r="AL984" i="10"/>
  <c r="AL1109" i="10"/>
  <c r="AL853" i="10"/>
  <c r="AL1178" i="10"/>
  <c r="AL852" i="10"/>
  <c r="AL1176" i="10"/>
  <c r="AL1141" i="10"/>
  <c r="AL940" i="10"/>
  <c r="AL910" i="10"/>
  <c r="AL941" i="10"/>
  <c r="AL922" i="10"/>
  <c r="AL1175" i="10"/>
  <c r="AL1049" i="10"/>
  <c r="AL821" i="10"/>
  <c r="AL920" i="10"/>
  <c r="AL1076" i="10"/>
  <c r="AL915" i="10"/>
  <c r="AL973" i="10"/>
  <c r="AL814" i="10"/>
  <c r="AL1011" i="10"/>
  <c r="AL1001" i="10"/>
  <c r="AL815" i="10"/>
  <c r="AL992" i="10"/>
  <c r="AL995" i="10"/>
  <c r="AL918" i="10"/>
  <c r="P1054" i="10"/>
  <c r="AP397" i="10"/>
  <c r="AP393" i="10"/>
  <c r="AP2" i="10" s="1"/>
  <c r="AP4" i="10" s="1"/>
  <c r="AN1118" i="10"/>
  <c r="AN1069" i="10"/>
  <c r="AN1190" i="10"/>
  <c r="AN813" i="10"/>
  <c r="AN898" i="10"/>
  <c r="AN867" i="10"/>
  <c r="AN1167" i="10"/>
  <c r="AN897" i="10"/>
  <c r="AN944" i="10"/>
  <c r="AN1174" i="10"/>
  <c r="AN1102" i="10"/>
  <c r="AN876" i="10"/>
  <c r="AN1125" i="10"/>
  <c r="AN1180" i="10"/>
  <c r="AN833" i="10"/>
  <c r="AN1042" i="10"/>
  <c r="AN1073" i="10"/>
  <c r="AN989" i="10"/>
  <c r="AN953" i="10"/>
  <c r="AN925" i="10"/>
  <c r="AN943" i="10"/>
  <c r="AN866" i="10"/>
  <c r="AN856" i="10"/>
  <c r="AN1077" i="10"/>
  <c r="AN851" i="10"/>
  <c r="AN820" i="10"/>
  <c r="AN932" i="10"/>
  <c r="AN1146" i="10"/>
  <c r="AN1139" i="10"/>
  <c r="AN977" i="10"/>
  <c r="AN1007" i="10"/>
  <c r="AN1112" i="10"/>
  <c r="AN937" i="10"/>
  <c r="AN1078" i="10"/>
  <c r="AN1012" i="10"/>
  <c r="AN1053" i="10"/>
  <c r="AN1089" i="10"/>
  <c r="AN1099" i="10"/>
  <c r="AN1056" i="10"/>
  <c r="AN840" i="10"/>
  <c r="AN949" i="10"/>
  <c r="AN1064" i="10"/>
  <c r="AN1132" i="10"/>
  <c r="AN1018" i="10"/>
  <c r="AN1123" i="10"/>
  <c r="AN1036" i="10"/>
  <c r="AN906" i="10"/>
  <c r="AN969" i="10"/>
  <c r="AN959" i="10"/>
  <c r="AN1066" i="10"/>
  <c r="AN912" i="10"/>
  <c r="AN1170" i="10"/>
  <c r="AN979" i="10"/>
  <c r="AN1083" i="10"/>
  <c r="AN812" i="10"/>
  <c r="AN1040" i="10"/>
  <c r="AN1024" i="10"/>
  <c r="AN986" i="10"/>
  <c r="AN1050" i="10"/>
  <c r="AN1183" i="10"/>
  <c r="AN919" i="10"/>
  <c r="AN1135" i="10"/>
  <c r="AN1143" i="10"/>
  <c r="AN870" i="10"/>
  <c r="AN935" i="10"/>
  <c r="AN966" i="10"/>
  <c r="AN1034" i="10"/>
  <c r="AN1157" i="10"/>
  <c r="AN991" i="10"/>
  <c r="AN1164" i="10"/>
  <c r="AN862" i="10"/>
  <c r="AN1087" i="10"/>
  <c r="AN1133" i="10"/>
  <c r="AN1060" i="10"/>
  <c r="AN1045" i="10"/>
  <c r="AN1154" i="10"/>
  <c r="AN871" i="10"/>
  <c r="AN863" i="10"/>
  <c r="AN848" i="10"/>
  <c r="AN923" i="10"/>
  <c r="AN1017" i="10"/>
  <c r="AN952" i="10"/>
  <c r="AN1187" i="10"/>
  <c r="AN964" i="10"/>
  <c r="AN1173" i="10"/>
  <c r="AN882" i="10"/>
  <c r="AN843" i="10"/>
  <c r="AN982" i="10"/>
  <c r="AN914" i="10"/>
  <c r="AN1188" i="10"/>
  <c r="AN1065" i="10"/>
  <c r="AN1103" i="10"/>
  <c r="AN1057" i="10"/>
  <c r="AN1182" i="10"/>
  <c r="AN881" i="10"/>
  <c r="AN1041" i="10"/>
  <c r="AN832" i="10"/>
  <c r="AN873" i="10"/>
  <c r="AN901" i="10"/>
  <c r="AN1155" i="10"/>
  <c r="AN960" i="10"/>
  <c r="AN983" i="10"/>
  <c r="AN842" i="10"/>
  <c r="AN1094" i="10"/>
  <c r="AN849" i="10"/>
  <c r="AN1161" i="10"/>
  <c r="AN1178" i="10"/>
  <c r="AN826" i="10"/>
  <c r="AN1023" i="10"/>
  <c r="AN891" i="10"/>
  <c r="AN1004" i="10"/>
  <c r="AN1163" i="10"/>
  <c r="AN893" i="10"/>
  <c r="AN1010" i="10"/>
  <c r="AN1169" i="10"/>
  <c r="AN899" i="10"/>
  <c r="AN836" i="10"/>
  <c r="AN878" i="10"/>
  <c r="AN1145" i="10"/>
  <c r="AN998" i="10"/>
  <c r="AN997" i="10"/>
  <c r="AN895" i="10"/>
  <c r="AN1158" i="10"/>
  <c r="AN834" i="10"/>
  <c r="AN1177" i="10"/>
  <c r="AN946" i="10"/>
  <c r="AN1111" i="10"/>
  <c r="AN829" i="10"/>
  <c r="AN1086" i="10"/>
  <c r="AN860" i="10"/>
  <c r="AN872" i="10"/>
  <c r="AN1095" i="10"/>
  <c r="AN1005" i="10"/>
  <c r="AN822" i="10"/>
  <c r="AN928" i="10"/>
  <c r="AN1189" i="10"/>
  <c r="AN1109" i="10"/>
  <c r="AN844" i="10"/>
  <c r="AN957" i="10"/>
  <c r="AN1147" i="10"/>
  <c r="AN1181" i="10"/>
  <c r="AN1129" i="10"/>
  <c r="AN1172" i="10"/>
  <c r="AN1032" i="10"/>
  <c r="AN1019" i="10"/>
  <c r="AN907" i="10"/>
  <c r="AN1151" i="10"/>
  <c r="AN839" i="10"/>
  <c r="AN1021" i="10"/>
  <c r="AN993" i="10"/>
  <c r="AN1130" i="10"/>
  <c r="AN827" i="10"/>
  <c r="AN1070" i="10"/>
  <c r="AN947" i="10"/>
  <c r="AN1003" i="10"/>
  <c r="AN818" i="10"/>
  <c r="AN1006" i="10"/>
  <c r="AN924" i="10"/>
  <c r="AN971" i="10"/>
  <c r="AN1059" i="10"/>
  <c r="AN909" i="10"/>
  <c r="AN911" i="10"/>
  <c r="AN955" i="10"/>
  <c r="AN868" i="10"/>
  <c r="AN1035" i="10"/>
  <c r="AN980" i="10"/>
  <c r="AN940" i="10"/>
  <c r="AN1171" i="10"/>
  <c r="AN1093" i="10"/>
  <c r="AN1168" i="10"/>
  <c r="AN1176" i="10"/>
  <c r="AN1159" i="10"/>
  <c r="AN930" i="10"/>
  <c r="AN890" i="10"/>
  <c r="AN1096" i="10"/>
  <c r="AN1061" i="10"/>
  <c r="AN1026" i="10"/>
  <c r="AN875" i="10"/>
  <c r="AN950" i="10"/>
  <c r="AN858" i="10"/>
  <c r="AN814" i="10"/>
  <c r="AN879" i="10"/>
  <c r="AN915" i="10"/>
  <c r="AN1107" i="10"/>
  <c r="AN1002" i="10"/>
  <c r="AN825" i="10"/>
  <c r="AN1011" i="10"/>
  <c r="AN1131" i="10"/>
  <c r="AN1117" i="10"/>
  <c r="AN1046" i="10"/>
  <c r="AN1051" i="10"/>
  <c r="AN916" i="10"/>
  <c r="AN1082" i="10"/>
  <c r="AN929" i="10"/>
  <c r="AN951" i="10"/>
  <c r="AN1014" i="10"/>
  <c r="AN936" i="10"/>
  <c r="AN852" i="10"/>
  <c r="AN927" i="10"/>
  <c r="AN841" i="10"/>
  <c r="AN987" i="10"/>
  <c r="AN965" i="10"/>
  <c r="AN894" i="10"/>
  <c r="AN981" i="10"/>
  <c r="AN864" i="10"/>
  <c r="AN1128" i="10"/>
  <c r="AN1121" i="10"/>
  <c r="AN1081" i="10"/>
  <c r="AN1092" i="10"/>
  <c r="AN861" i="10"/>
  <c r="Q1153" i="10"/>
  <c r="Q989" i="10"/>
  <c r="Q847" i="10"/>
  <c r="Q943" i="10"/>
  <c r="Q959" i="10"/>
  <c r="Q1056" i="10"/>
  <c r="Q1167" i="10"/>
  <c r="Q1077" i="10"/>
  <c r="Q1123" i="10"/>
  <c r="Q866" i="10"/>
  <c r="Q1036" i="10"/>
  <c r="Q1019" i="10"/>
  <c r="Q1160" i="10"/>
  <c r="Q851" i="10"/>
  <c r="Q813" i="10"/>
  <c r="Q996" i="10"/>
  <c r="Q1018" i="10"/>
  <c r="Q1174" i="10"/>
  <c r="Q1112" i="10"/>
  <c r="Q1132" i="10"/>
  <c r="Q884" i="10"/>
  <c r="Q900" i="10"/>
  <c r="Q977" i="10"/>
  <c r="Q812" i="10"/>
  <c r="Q1073" i="10"/>
  <c r="Q1099" i="10"/>
  <c r="Q1124" i="10"/>
  <c r="Q958" i="10"/>
  <c r="Q969" i="10"/>
  <c r="Q1115" i="10"/>
  <c r="Q1069" i="10"/>
  <c r="Q876" i="10"/>
  <c r="Q1139" i="10"/>
  <c r="Q846" i="10"/>
  <c r="Q945" i="10"/>
  <c r="Q919" i="10"/>
  <c r="Q1146" i="10"/>
  <c r="Q867" i="10"/>
  <c r="Q1108" i="10"/>
  <c r="Q932" i="10"/>
  <c r="Q953" i="10"/>
  <c r="Q925" i="10"/>
  <c r="Q1012" i="10"/>
  <c r="Q897" i="10"/>
  <c r="Q1180" i="10"/>
  <c r="Q840" i="10"/>
  <c r="Q949" i="10"/>
  <c r="Q944" i="10"/>
  <c r="Q1042" i="10"/>
  <c r="Q1190" i="10"/>
  <c r="Q814" i="10"/>
  <c r="Q1118" i="10"/>
  <c r="Q833" i="10"/>
  <c r="Q1007" i="10"/>
  <c r="Q926" i="10"/>
  <c r="Q1145" i="10"/>
  <c r="Q832" i="10"/>
  <c r="Q1057" i="10"/>
  <c r="Q856" i="10"/>
  <c r="Q937" i="10"/>
  <c r="Q820" i="10"/>
  <c r="Q1053" i="10"/>
  <c r="Q906" i="10"/>
  <c r="Q870" i="10"/>
  <c r="Q1041" i="10"/>
  <c r="Q1169" i="10"/>
  <c r="Q998" i="10"/>
  <c r="Q1158" i="10"/>
  <c r="Q1102" i="10"/>
  <c r="Q1064" i="10"/>
  <c r="Q1125" i="10"/>
  <c r="Q1024" i="10"/>
  <c r="Q842" i="10"/>
  <c r="Q1086" i="10"/>
  <c r="Q986" i="10"/>
  <c r="Q901" i="10"/>
  <c r="Q1143" i="10"/>
  <c r="Q899" i="10"/>
  <c r="Q898" i="10"/>
  <c r="Q1188" i="10"/>
  <c r="Q1170" i="10"/>
  <c r="Q871" i="10"/>
  <c r="Q1155" i="10"/>
  <c r="Q907" i="10"/>
  <c r="Q1177" i="10"/>
  <c r="Q979" i="10"/>
  <c r="Q1089" i="10"/>
  <c r="Q964" i="10"/>
  <c r="Q818" i="10"/>
  <c r="Q1183" i="10"/>
  <c r="Q1133" i="10"/>
  <c r="Q946" i="10"/>
  <c r="Q1147" i="10"/>
  <c r="Q895" i="10"/>
  <c r="Q1130" i="10"/>
  <c r="Q859" i="10"/>
  <c r="Q829" i="10"/>
  <c r="Q860" i="10"/>
  <c r="Q839" i="10"/>
  <c r="Q935" i="10"/>
  <c r="Q1044" i="10"/>
  <c r="Q1017" i="10"/>
  <c r="Q962" i="10"/>
  <c r="Q1129" i="10"/>
  <c r="Q1006" i="10"/>
  <c r="Q1095" i="10"/>
  <c r="Q960" i="10"/>
  <c r="Q1034" i="10"/>
  <c r="Q1004" i="10"/>
  <c r="Q1103" i="10"/>
  <c r="Q1109" i="10"/>
  <c r="Q1066" i="10"/>
  <c r="Q1083" i="10"/>
  <c r="Q1154" i="10"/>
  <c r="Q1173" i="10"/>
  <c r="Q882" i="10"/>
  <c r="Q983" i="10"/>
  <c r="Q1070" i="10"/>
  <c r="Q1111" i="10"/>
  <c r="Q881" i="10"/>
  <c r="Q966" i="10"/>
  <c r="Q1182" i="10"/>
  <c r="Q1050" i="10"/>
  <c r="Q878" i="10"/>
  <c r="Q1003" i="10"/>
  <c r="Q914" i="10"/>
  <c r="Q891" i="10"/>
  <c r="Q1121" i="10"/>
  <c r="Q928" i="10"/>
  <c r="Q1157" i="10"/>
  <c r="Q924" i="10"/>
  <c r="Q923" i="10"/>
  <c r="Q912" i="10"/>
  <c r="Q834" i="10"/>
  <c r="Q1094" i="10"/>
  <c r="Q952" i="10"/>
  <c r="Q848" i="10"/>
  <c r="Q991" i="10"/>
  <c r="Q1161" i="10"/>
  <c r="Q1032" i="10"/>
  <c r="Q1187" i="10"/>
  <c r="Q1040" i="10"/>
  <c r="Q862" i="10"/>
  <c r="Q1065" i="10"/>
  <c r="Q863" i="10"/>
  <c r="Q849" i="10"/>
  <c r="Q909" i="10"/>
  <c r="Q1189" i="10"/>
  <c r="Q853" i="10"/>
  <c r="Q1045" i="10"/>
  <c r="Q972" i="10"/>
  <c r="Q1081" i="10"/>
  <c r="Q1141" i="10"/>
  <c r="Q892" i="10"/>
  <c r="Q920" i="10"/>
  <c r="Q954" i="10"/>
  <c r="Q940" i="10"/>
  <c r="Q1071" i="10"/>
  <c r="Q1150" i="10"/>
  <c r="Q1096" i="10"/>
  <c r="Q1159" i="10"/>
  <c r="Q819" i="10"/>
  <c r="Q988" i="10"/>
  <c r="Q1117" i="10"/>
  <c r="Q955" i="10"/>
  <c r="Q905" i="10"/>
  <c r="Q896" i="10"/>
  <c r="Q1008" i="10"/>
  <c r="Q1068" i="10"/>
  <c r="Q816" i="10"/>
  <c r="Q1152" i="10"/>
  <c r="Q1079" i="10"/>
  <c r="Q889" i="10"/>
  <c r="Q1011" i="10"/>
  <c r="Q1046" i="10"/>
  <c r="Q903" i="10"/>
  <c r="Q916" i="10"/>
  <c r="Q992" i="10"/>
  <c r="Q1080" i="10"/>
  <c r="Q825" i="10"/>
  <c r="Q1072" i="10"/>
  <c r="Q1051" i="10"/>
  <c r="Q976" i="10"/>
  <c r="Q1100" i="10"/>
  <c r="Q865" i="10"/>
  <c r="Q1063" i="10"/>
  <c r="Q1084" i="10"/>
  <c r="Q826" i="10"/>
  <c r="Q1010" i="10"/>
  <c r="Q984" i="10"/>
  <c r="Q1178" i="10"/>
  <c r="Q993" i="10"/>
  <c r="Q1172" i="10"/>
  <c r="Q1134" i="10"/>
  <c r="Q821" i="10"/>
  <c r="Q1075" i="10"/>
  <c r="Q888" i="10"/>
  <c r="Q1020" i="10"/>
  <c r="Q941" i="10"/>
  <c r="Q1176" i="10"/>
  <c r="Q1093" i="10"/>
  <c r="Q886" i="10"/>
  <c r="Q1013" i="10"/>
  <c r="Q1055" i="10"/>
  <c r="Q1076" i="10"/>
  <c r="Q995" i="10"/>
  <c r="Q938" i="10"/>
  <c r="Q1168" i="10"/>
  <c r="Q913" i="10"/>
  <c r="Q942" i="10"/>
  <c r="Q823" i="10"/>
  <c r="Q1186" i="10"/>
  <c r="Q869" i="10"/>
  <c r="Q1026" i="10"/>
  <c r="Q1126" i="10"/>
  <c r="Q845" i="10"/>
  <c r="Q1001" i="10"/>
  <c r="Q915" i="10"/>
  <c r="Q1131" i="10"/>
  <c r="Q1033" i="10"/>
  <c r="Q1142" i="10"/>
  <c r="Q902" i="10"/>
  <c r="Q1107" i="10"/>
  <c r="Q1025" i="10"/>
  <c r="Q1098" i="10"/>
  <c r="Q929" i="10"/>
  <c r="Q850" i="10"/>
  <c r="Q908" i="10"/>
  <c r="Q885" i="10"/>
  <c r="Q971" i="10"/>
  <c r="Q872" i="10"/>
  <c r="Q828" i="10"/>
  <c r="Q836" i="10"/>
  <c r="Q874" i="10"/>
  <c r="Q837" i="10"/>
  <c r="Q933" i="10"/>
  <c r="Q1184" i="10"/>
  <c r="Q1035" i="10"/>
  <c r="Q910" i="10"/>
  <c r="Q1162" i="10"/>
  <c r="Q1074" i="10"/>
  <c r="Q1061" i="10"/>
  <c r="Q980" i="10"/>
  <c r="Q1144" i="10"/>
  <c r="Q1049" i="10"/>
  <c r="Q975" i="10"/>
  <c r="Q922" i="10"/>
  <c r="Q973" i="10"/>
  <c r="Q1149" i="10"/>
  <c r="Q817" i="10"/>
  <c r="Q1114" i="10"/>
  <c r="Q887" i="10"/>
  <c r="Q1101" i="10"/>
  <c r="Q858" i="10"/>
  <c r="Q1106" i="10"/>
  <c r="Q1085" i="10"/>
  <c r="Q956" i="10"/>
  <c r="Q967" i="10"/>
  <c r="Q824" i="10"/>
  <c r="Q948" i="10"/>
  <c r="Q1088" i="10"/>
  <c r="Q917" i="10"/>
  <c r="Q1048" i="10"/>
  <c r="Q936" i="10"/>
  <c r="Q999" i="10"/>
  <c r="Q978" i="10"/>
  <c r="Q1110" i="10"/>
  <c r="Q911" i="10"/>
  <c r="Q877" i="10"/>
  <c r="Q1175" i="10"/>
  <c r="Q875" i="10"/>
  <c r="Q968" i="10"/>
  <c r="Q1140" i="10"/>
  <c r="Q963" i="10"/>
  <c r="Q1082" i="10"/>
  <c r="Q1097" i="10"/>
  <c r="Q1014" i="10"/>
  <c r="Q997" i="10"/>
  <c r="Q893" i="10"/>
  <c r="Q1005" i="10"/>
  <c r="Q861" i="10"/>
  <c r="Q844" i="10"/>
  <c r="Q1163" i="10"/>
  <c r="Q873" i="10"/>
  <c r="Q930" i="10"/>
  <c r="Q1156" i="10"/>
  <c r="Q890" i="10"/>
  <c r="Q985" i="10"/>
  <c r="Q1137" i="10"/>
  <c r="Q815" i="10"/>
  <c r="Q950" i="10"/>
  <c r="Q1179" i="10"/>
  <c r="Q1021" i="10"/>
  <c r="Q982" i="10"/>
  <c r="Q1047" i="10"/>
  <c r="Q1116" i="10"/>
  <c r="Q1067" i="10"/>
  <c r="Q831" i="10"/>
  <c r="Q894" i="10"/>
  <c r="Q864" i="10"/>
  <c r="Q970" i="10"/>
  <c r="Q880" i="10"/>
  <c r="Q934" i="10"/>
  <c r="Q857" i="10"/>
  <c r="Q1165" i="10"/>
  <c r="Q939" i="10"/>
  <c r="Q931" i="10"/>
  <c r="Q1122" i="10"/>
  <c r="Q904" i="10"/>
  <c r="Q879" i="10"/>
  <c r="Q921" i="10"/>
  <c r="Q835" i="10"/>
  <c r="Q1043" i="10"/>
  <c r="Q1052" i="10"/>
  <c r="Q1164" i="10"/>
  <c r="Q822" i="10"/>
  <c r="Q1060" i="10"/>
  <c r="Q947" i="10"/>
  <c r="Q1059" i="10"/>
  <c r="AE1031" i="10"/>
  <c r="J870" i="10"/>
  <c r="J979" i="10"/>
  <c r="J1006" i="10"/>
  <c r="J829" i="10"/>
  <c r="J901" i="10"/>
  <c r="J1155" i="10"/>
  <c r="J863" i="10"/>
  <c r="J1130" i="10"/>
  <c r="J927" i="10"/>
  <c r="BA247" i="10"/>
  <c r="AA864" i="10"/>
  <c r="AV864" i="10"/>
  <c r="AV1264" i="10" s="1"/>
  <c r="AV934" i="10"/>
  <c r="AV1334" i="10" s="1"/>
  <c r="T1058" i="10"/>
  <c r="AI1185" i="10"/>
  <c r="AI987" i="10"/>
  <c r="AS934" i="10"/>
  <c r="W855" i="10"/>
  <c r="AV894" i="10"/>
  <c r="AV1294" i="10" s="1"/>
  <c r="AE894" i="10"/>
  <c r="AA1091" i="10"/>
  <c r="AL1000" i="10"/>
  <c r="AV1027" i="10"/>
  <c r="AV1427" i="10" s="1"/>
  <c r="L880" i="10"/>
  <c r="AQ838" i="10"/>
  <c r="AN838" i="10"/>
  <c r="T1067" i="10"/>
  <c r="AI1000" i="10"/>
  <c r="V1136" i="10"/>
  <c r="AX1136" i="10"/>
  <c r="AX1536" i="10" s="1"/>
  <c r="AQ961" i="10"/>
  <c r="AN1148" i="10"/>
  <c r="O1148" i="10"/>
  <c r="AO1148" i="10"/>
  <c r="AW961" i="10"/>
  <c r="AW1361" i="10" s="1"/>
  <c r="AN1116" i="10"/>
  <c r="AG1165" i="10"/>
  <c r="AV974" i="10"/>
  <c r="AV1374" i="10" s="1"/>
  <c r="AW1165" i="10"/>
  <c r="AW1565" i="10" s="1"/>
  <c r="AO1116" i="10"/>
  <c r="K1165" i="10"/>
  <c r="R1128" i="10"/>
  <c r="AC970" i="10"/>
  <c r="AQ841" i="10"/>
  <c r="AM841" i="10"/>
  <c r="AM970" i="10"/>
  <c r="AE970" i="10"/>
  <c r="L1116" i="10"/>
  <c r="AF883" i="10"/>
  <c r="AR883" i="10"/>
  <c r="AL883" i="10"/>
  <c r="AH830" i="10"/>
  <c r="AF1120" i="10"/>
  <c r="AO1120" i="10"/>
  <c r="AP1120" i="10"/>
  <c r="AL1128" i="10"/>
  <c r="V1128" i="10"/>
  <c r="S1128" i="10"/>
  <c r="AW927" i="10"/>
  <c r="AW1327" i="10" s="1"/>
  <c r="AE927" i="10"/>
  <c r="AC827" i="10"/>
  <c r="AH1181" i="10"/>
  <c r="S827" i="10"/>
  <c r="AO827" i="10"/>
  <c r="V1181" i="10"/>
  <c r="AF914" i="10"/>
  <c r="AI1127" i="10"/>
  <c r="O859" i="10"/>
  <c r="AV1000" i="10"/>
  <c r="AV1400" i="10" s="1"/>
  <c r="AM1062" i="10"/>
  <c r="K1062" i="10"/>
  <c r="AK864" i="10"/>
  <c r="T864" i="10"/>
  <c r="Z1062" i="10"/>
  <c r="AG857" i="10"/>
  <c r="AD994" i="10"/>
  <c r="W934" i="10"/>
  <c r="K934" i="10"/>
  <c r="AD1009" i="10"/>
  <c r="R1009" i="10"/>
  <c r="S1185" i="10"/>
  <c r="R1185" i="10"/>
  <c r="AQ981" i="10"/>
  <c r="AO1009" i="10"/>
  <c r="O1058" i="10"/>
  <c r="AR961" i="10"/>
  <c r="M855" i="10"/>
  <c r="S1091" i="10"/>
  <c r="AV1058" i="10"/>
  <c r="AV1458" i="10" s="1"/>
  <c r="V1067" i="10"/>
  <c r="Y1067" i="10"/>
  <c r="AX894" i="10"/>
  <c r="AX1294" i="10" s="1"/>
  <c r="AK994" i="10"/>
  <c r="AG894" i="10"/>
  <c r="AX987" i="10"/>
  <c r="AX1387" i="10" s="1"/>
  <c r="K1091" i="10"/>
  <c r="AU1394" i="10"/>
  <c r="AW970" i="10"/>
  <c r="AW1370" i="10" s="1"/>
  <c r="Q1000" i="10"/>
  <c r="AP1000" i="10"/>
  <c r="V965" i="10"/>
  <c r="R1105" i="10"/>
  <c r="S1105" i="10"/>
  <c r="V831" i="10"/>
  <c r="L1113" i="10"/>
  <c r="AJ987" i="10"/>
  <c r="AG1027" i="10"/>
  <c r="K838" i="10"/>
  <c r="M838" i="10"/>
  <c r="AH1113" i="10"/>
  <c r="AF1000" i="10"/>
  <c r="AR1136" i="10"/>
  <c r="AN1136" i="10"/>
  <c r="V1148" i="10"/>
  <c r="AR1148" i="10"/>
  <c r="AO961" i="10"/>
  <c r="P830" i="10"/>
  <c r="AU1516" i="10"/>
  <c r="AA1165" i="10"/>
  <c r="AI974" i="10"/>
  <c r="R990" i="10"/>
  <c r="W990" i="10"/>
  <c r="AI990" i="10"/>
  <c r="Z841" i="10"/>
  <c r="AD1116" i="10"/>
  <c r="AK1116" i="10"/>
  <c r="AU1283" i="10"/>
  <c r="AN883" i="10"/>
  <c r="L830" i="10"/>
  <c r="AJ1120" i="10"/>
  <c r="AS927" i="10"/>
  <c r="Y927" i="10"/>
  <c r="R927" i="10"/>
  <c r="AB1127" i="10"/>
  <c r="U827" i="10"/>
  <c r="R827" i="10"/>
  <c r="AB957" i="10"/>
  <c r="AC1127" i="10"/>
  <c r="AE859" i="10"/>
  <c r="AC857" i="10"/>
  <c r="AO934" i="10"/>
  <c r="AJ864" i="10"/>
  <c r="AD864" i="10"/>
  <c r="AX1185" i="10"/>
  <c r="AX1585" i="10" s="1"/>
  <c r="AT1062" i="10"/>
  <c r="AN857" i="10"/>
  <c r="AR994" i="10"/>
  <c r="AJ981" i="10"/>
  <c r="N1009" i="10"/>
  <c r="AQ1185" i="10"/>
  <c r="U855" i="10"/>
  <c r="W981" i="10"/>
  <c r="AK1009" i="10"/>
  <c r="AD981" i="10"/>
  <c r="Z1058" i="10"/>
  <c r="AA894" i="10"/>
  <c r="K1067" i="10"/>
  <c r="U894" i="10"/>
  <c r="AO994" i="10"/>
  <c r="L990" i="10"/>
  <c r="AD1091" i="10"/>
  <c r="K994" i="10"/>
  <c r="R1091" i="10"/>
  <c r="Y1113" i="10"/>
  <c r="S1000" i="10"/>
  <c r="AG1000" i="10"/>
  <c r="AU1365" i="10"/>
  <c r="Y1000" i="10"/>
  <c r="AX970" i="10"/>
  <c r="AX1370" i="10" s="1"/>
  <c r="AM961" i="10"/>
  <c r="AR1113" i="10"/>
  <c r="AU1280" i="10"/>
  <c r="AW880" i="10"/>
  <c r="AW1280" i="10" s="1"/>
  <c r="Z838" i="10"/>
  <c r="AM974" i="10"/>
  <c r="Y1136" i="10"/>
  <c r="AA841" i="10"/>
  <c r="AK961" i="10"/>
  <c r="AK1148" i="10"/>
  <c r="N1148" i="10"/>
  <c r="AH1136" i="10"/>
  <c r="U841" i="10"/>
  <c r="AL974" i="10"/>
  <c r="Z974" i="10"/>
  <c r="P1165" i="10"/>
  <c r="V1116" i="10"/>
  <c r="AC974" i="10"/>
  <c r="W1165" i="10"/>
  <c r="AM990" i="10"/>
  <c r="AQ990" i="10"/>
  <c r="AW841" i="10"/>
  <c r="AW1241" i="10" s="1"/>
  <c r="T970" i="10"/>
  <c r="AM1116" i="10"/>
  <c r="P1116" i="10"/>
  <c r="AG883" i="10"/>
  <c r="P883" i="10"/>
  <c r="AK1047" i="10"/>
  <c r="AA1120" i="10"/>
  <c r="AW1120" i="10"/>
  <c r="AW1520" i="10" s="1"/>
  <c r="N1128" i="10"/>
  <c r="K1128" i="10"/>
  <c r="AT1127" i="10"/>
  <c r="AI927" i="10"/>
  <c r="S1127" i="10"/>
  <c r="W1127" i="10"/>
  <c r="AP827" i="10"/>
  <c r="S1181" i="10"/>
  <c r="AL957" i="10"/>
  <c r="Q1127" i="10"/>
  <c r="Q855" i="10"/>
  <c r="AG1062" i="10"/>
  <c r="AW1062" i="10"/>
  <c r="AW1462" i="10" s="1"/>
  <c r="AW864" i="10"/>
  <c r="AW1264" i="10" s="1"/>
  <c r="P864" i="10"/>
  <c r="AU1257" i="10"/>
  <c r="Z857" i="10"/>
  <c r="Z934" i="10"/>
  <c r="U934" i="10"/>
  <c r="AQ1009" i="10"/>
  <c r="U1185" i="10"/>
  <c r="K1058" i="10"/>
  <c r="R1058" i="10"/>
  <c r="Y934" i="10"/>
  <c r="AI1113" i="10"/>
  <c r="AN1058" i="10"/>
  <c r="Q987" i="10"/>
  <c r="AE1058" i="10"/>
  <c r="AN1091" i="10"/>
  <c r="U1067" i="10"/>
  <c r="AM1067" i="10"/>
  <c r="AO894" i="10"/>
  <c r="AJ894" i="10"/>
  <c r="AC894" i="10"/>
  <c r="R987" i="10"/>
  <c r="AJ961" i="10"/>
  <c r="AV1091" i="10"/>
  <c r="AV1491" i="10" s="1"/>
  <c r="M994" i="10"/>
  <c r="AB894" i="10"/>
  <c r="AD1113" i="10"/>
  <c r="AC1000" i="10"/>
  <c r="Z987" i="10"/>
  <c r="L1105" i="10"/>
  <c r="AA965" i="10"/>
  <c r="AL965" i="10"/>
  <c r="AR831" i="10"/>
  <c r="AR974" i="10"/>
  <c r="S990" i="10"/>
  <c r="U838" i="10"/>
  <c r="AJ838" i="10"/>
  <c r="AV838" i="10"/>
  <c r="AV1238" i="10" s="1"/>
  <c r="AX990" i="10"/>
  <c r="AX1390" i="10" s="1"/>
  <c r="AA1136" i="10"/>
  <c r="R841" i="10"/>
  <c r="AC961" i="10"/>
  <c r="Y1148" i="10"/>
  <c r="R1148" i="10"/>
  <c r="K961" i="10"/>
  <c r="L1165" i="10"/>
  <c r="AD974" i="10"/>
  <c r="AE1116" i="10"/>
  <c r="AH990" i="10"/>
  <c r="M970" i="10"/>
  <c r="AL841" i="10"/>
  <c r="P970" i="10"/>
  <c r="R1116" i="10"/>
  <c r="AS1116" i="10"/>
  <c r="AW883" i="10"/>
  <c r="AW1283" i="10" s="1"/>
  <c r="L883" i="10"/>
  <c r="AE1120" i="10"/>
  <c r="AN1120" i="10"/>
  <c r="AW1127" i="10"/>
  <c r="AW1527" i="10" s="1"/>
  <c r="T927" i="10"/>
  <c r="AO927" i="10"/>
  <c r="AI859" i="10"/>
  <c r="AX852" i="10"/>
  <c r="AX1252" i="10" s="1"/>
  <c r="AI827" i="10"/>
  <c r="AG957" i="10"/>
  <c r="AG1127" i="10"/>
  <c r="AK859" i="10"/>
  <c r="AH1009" i="10"/>
  <c r="Y859" i="10"/>
  <c r="AB885" i="10"/>
  <c r="P885" i="10"/>
  <c r="AW957" i="10"/>
  <c r="AW1357" i="10" s="1"/>
  <c r="AO1181" i="10"/>
  <c r="V885" i="10"/>
  <c r="AN1085" i="10"/>
  <c r="AN908" i="10"/>
  <c r="AN999" i="10"/>
  <c r="AN1043" i="10"/>
  <c r="AN1166" i="10"/>
  <c r="AN948" i="10"/>
  <c r="AN1013" i="10"/>
  <c r="AN1138" i="10"/>
  <c r="AN815" i="10"/>
  <c r="AN1152" i="10"/>
  <c r="AN1114" i="10"/>
  <c r="AN903" i="10"/>
  <c r="AN1119" i="10"/>
  <c r="AN1106" i="10"/>
  <c r="AN954" i="10"/>
  <c r="AN824" i="10"/>
  <c r="AN1055" i="10"/>
  <c r="AN1184" i="10"/>
  <c r="AN922" i="10"/>
  <c r="AN1144" i="10"/>
  <c r="AN888" i="10"/>
  <c r="AN1141" i="10"/>
  <c r="AN1008" i="10"/>
  <c r="AN1150" i="10"/>
  <c r="AN985" i="10"/>
  <c r="AN1075" i="10"/>
  <c r="M397" i="10"/>
  <c r="AK1181" i="10"/>
  <c r="K865" i="10"/>
  <c r="K936" i="10"/>
  <c r="K1100" i="10"/>
  <c r="K929" i="10"/>
  <c r="K1119" i="10"/>
  <c r="K1082" i="10"/>
  <c r="K976" i="10"/>
  <c r="K816" i="10"/>
  <c r="K1049" i="10"/>
  <c r="K845" i="10"/>
  <c r="K913" i="10"/>
  <c r="K916" i="10"/>
  <c r="K1068" i="10"/>
  <c r="K973" i="10"/>
  <c r="K948" i="10"/>
  <c r="K941" i="10"/>
  <c r="K819" i="10"/>
  <c r="K915" i="10"/>
  <c r="K920" i="10"/>
  <c r="K1117" i="10"/>
  <c r="K1176" i="10"/>
  <c r="K1141" i="10"/>
  <c r="K821" i="10"/>
  <c r="K1122" i="10"/>
  <c r="K1168" i="10"/>
  <c r="K1035" i="10"/>
  <c r="AQ1084" i="10"/>
  <c r="AQ1046" i="10"/>
  <c r="AQ869" i="10"/>
  <c r="AQ1098" i="10"/>
  <c r="AQ1072" i="10"/>
  <c r="AQ915" i="10"/>
  <c r="AQ814" i="10"/>
  <c r="AQ916" i="10"/>
  <c r="AQ823" i="10"/>
  <c r="AQ817" i="10"/>
  <c r="AQ1088" i="10"/>
  <c r="AQ1068" i="10"/>
  <c r="AQ889" i="10"/>
  <c r="AQ921" i="10"/>
  <c r="AQ954" i="10"/>
  <c r="AQ973" i="10"/>
  <c r="AQ854" i="10"/>
  <c r="AQ1156" i="10"/>
  <c r="AQ930" i="10"/>
  <c r="AQ888" i="10"/>
  <c r="AQ975" i="10"/>
  <c r="AQ1171" i="10"/>
  <c r="AQ1162" i="10"/>
  <c r="AQ1075" i="10"/>
  <c r="AQ933" i="10"/>
  <c r="AQ1144" i="10"/>
  <c r="AS1014" i="10"/>
  <c r="AS850" i="10"/>
  <c r="AS1080" i="10"/>
  <c r="AS1114" i="10"/>
  <c r="AS1043" i="10"/>
  <c r="AS950" i="10"/>
  <c r="AS817" i="10"/>
  <c r="AS915" i="10"/>
  <c r="AS1072" i="10"/>
  <c r="AS1137" i="10"/>
  <c r="AS1076" i="10"/>
  <c r="AS916" i="10"/>
  <c r="AS1048" i="10"/>
  <c r="AS955" i="10"/>
  <c r="AS1159" i="10"/>
  <c r="AS1068" i="10"/>
  <c r="AS903" i="10"/>
  <c r="AS922" i="10"/>
  <c r="AS1074" i="10"/>
  <c r="AS875" i="10"/>
  <c r="AS1156" i="10"/>
  <c r="AS837" i="10"/>
  <c r="AS940" i="10"/>
  <c r="AS1168" i="10"/>
  <c r="AS941" i="10"/>
  <c r="AS1150" i="10"/>
  <c r="T999" i="10"/>
  <c r="T1014" i="10"/>
  <c r="T835" i="10"/>
  <c r="T950" i="10"/>
  <c r="T933" i="10"/>
  <c r="T915" i="10"/>
  <c r="T1131" i="10"/>
  <c r="T1043" i="10"/>
  <c r="T954" i="10"/>
  <c r="T1085" i="10"/>
  <c r="T823" i="10"/>
  <c r="T930" i="10"/>
  <c r="T1168" i="10"/>
  <c r="T854" i="10"/>
  <c r="T1055" i="10"/>
  <c r="T1176" i="10"/>
  <c r="T941" i="10"/>
  <c r="T1061" i="10"/>
  <c r="T821" i="10"/>
  <c r="AH393" i="10"/>
  <c r="AD1151" i="10"/>
  <c r="W1098" i="10"/>
  <c r="W1080" i="10"/>
  <c r="W825" i="10"/>
  <c r="W1011" i="10"/>
  <c r="W1026" i="10"/>
  <c r="W1072" i="10"/>
  <c r="W1082" i="10"/>
  <c r="W858" i="10"/>
  <c r="W864" i="10"/>
  <c r="W889" i="10"/>
  <c r="W1101" i="10"/>
  <c r="W1096" i="10"/>
  <c r="W1122" i="10"/>
  <c r="W915" i="10"/>
  <c r="W988" i="10"/>
  <c r="W920" i="10"/>
  <c r="W904" i="10"/>
  <c r="W837" i="10"/>
  <c r="W1035" i="10"/>
  <c r="W886" i="10"/>
  <c r="AL1084" i="10"/>
  <c r="AL1046" i="10"/>
  <c r="AL1126" i="10"/>
  <c r="AL1114" i="10"/>
  <c r="AL956" i="10"/>
  <c r="AL955" i="10"/>
  <c r="AL942" i="10"/>
  <c r="AL1074" i="10"/>
  <c r="N1151" i="10"/>
  <c r="AJ1046" i="10"/>
  <c r="AJ1013" i="10"/>
  <c r="AJ917" i="10"/>
  <c r="AJ1002" i="10"/>
  <c r="AJ940" i="10"/>
  <c r="AJ1176" i="10"/>
  <c r="AW1098" i="10"/>
  <c r="AW1498" i="10" s="1"/>
  <c r="AW1131" i="10"/>
  <c r="AW1531" i="10" s="1"/>
  <c r="AW1107" i="10"/>
  <c r="AW1507" i="10" s="1"/>
  <c r="AW1048" i="10"/>
  <c r="AW1448" i="10" s="1"/>
  <c r="AW1117" i="10"/>
  <c r="AW1517" i="10" s="1"/>
  <c r="AW1008" i="10"/>
  <c r="AW1408" i="10" s="1"/>
  <c r="AW1071" i="10"/>
  <c r="AW1471" i="10" s="1"/>
  <c r="AA865" i="10"/>
  <c r="AA1072" i="10"/>
  <c r="AA1049" i="10"/>
  <c r="AA913" i="10"/>
  <c r="AA933" i="10"/>
  <c r="AA1175" i="10"/>
  <c r="AE929" i="10"/>
  <c r="AE816" i="10"/>
  <c r="AE1107" i="10"/>
  <c r="AE1131" i="10"/>
  <c r="AE910" i="10"/>
  <c r="AE941" i="10"/>
  <c r="AE1141" i="10"/>
  <c r="AP1046" i="10"/>
  <c r="AP954" i="10"/>
  <c r="AP915" i="10"/>
  <c r="AP955" i="10"/>
  <c r="AP922" i="10"/>
  <c r="AP938" i="10"/>
  <c r="L861" i="10"/>
  <c r="AS947" i="10"/>
  <c r="AN853" i="10"/>
  <c r="K826" i="10"/>
  <c r="X393" i="10"/>
  <c r="X2" i="10" s="1"/>
  <c r="X4" i="10" s="1"/>
  <c r="U843" i="10"/>
  <c r="AE1003" i="10"/>
  <c r="AU1564" i="10"/>
  <c r="L997" i="10"/>
  <c r="N918" i="10"/>
  <c r="N1140" i="10"/>
  <c r="N1002" i="10"/>
  <c r="N948" i="10"/>
  <c r="N910" i="10"/>
  <c r="N1076" i="10"/>
  <c r="Q843" i="10"/>
  <c r="T1010" i="10"/>
  <c r="P1187" i="10"/>
  <c r="U1121" i="10"/>
  <c r="O1092" i="10"/>
  <c r="AW971" i="10"/>
  <c r="AW1371" i="10" s="1"/>
  <c r="R1134" i="10"/>
  <c r="AT971" i="10"/>
  <c r="AC962" i="10"/>
  <c r="U1021" i="10"/>
  <c r="Z848" i="10"/>
  <c r="AD860" i="10"/>
  <c r="AV1121" i="10"/>
  <c r="AV1521" i="10" s="1"/>
  <c r="AM1105" i="10"/>
  <c r="AV957" i="10"/>
  <c r="AV1357" i="10" s="1"/>
  <c r="O1052" i="10"/>
  <c r="O992" i="10"/>
  <c r="O825" i="10"/>
  <c r="O1088" i="10"/>
  <c r="O874" i="10"/>
  <c r="O930" i="10"/>
  <c r="O941" i="10"/>
  <c r="AO1097" i="10"/>
  <c r="AO1051" i="10"/>
  <c r="AO1166" i="10"/>
  <c r="AO1033" i="10"/>
  <c r="AO1071" i="10"/>
  <c r="AO955" i="10"/>
  <c r="AC1025" i="10"/>
  <c r="AC1072" i="10"/>
  <c r="AC815" i="10"/>
  <c r="AC980" i="10"/>
  <c r="AC874" i="10"/>
  <c r="AC1076" i="10"/>
  <c r="P1178" i="10"/>
  <c r="Z978" i="10"/>
  <c r="Z963" i="10"/>
  <c r="Z864" i="10"/>
  <c r="Z877" i="10"/>
  <c r="Z1156" i="10"/>
  <c r="R1110" i="10"/>
  <c r="R967" i="10"/>
  <c r="R1048" i="10"/>
  <c r="R896" i="10"/>
  <c r="R1061" i="10"/>
  <c r="R939" i="10"/>
  <c r="P1110" i="10"/>
  <c r="P835" i="10"/>
  <c r="P948" i="10"/>
  <c r="P858" i="10"/>
  <c r="P933" i="10"/>
  <c r="P821" i="10"/>
  <c r="P874" i="10"/>
  <c r="AU1265" i="10"/>
  <c r="AU1367" i="10"/>
  <c r="AU1303" i="10"/>
  <c r="AU1537" i="10"/>
  <c r="AU1310" i="10"/>
  <c r="AU1493" i="10"/>
  <c r="AU1218" i="10"/>
  <c r="AF933" i="10"/>
  <c r="AF1186" i="10"/>
  <c r="AF1033" i="10"/>
  <c r="AF1101" i="10"/>
  <c r="AF922" i="10"/>
  <c r="AF941" i="10"/>
  <c r="AB921" i="10"/>
  <c r="AB992" i="10"/>
  <c r="AB954" i="10"/>
  <c r="AB904" i="10"/>
  <c r="AV1014" i="10"/>
  <c r="AV1414" i="10" s="1"/>
  <c r="AV1159" i="10"/>
  <c r="AV1559" i="10" s="1"/>
  <c r="AV823" i="10"/>
  <c r="AV1223" i="10" s="1"/>
  <c r="AV1168" i="10"/>
  <c r="AV1568" i="10" s="1"/>
  <c r="AC984" i="10"/>
  <c r="AA914" i="10"/>
  <c r="R1059" i="10"/>
  <c r="AC1003" i="10"/>
  <c r="S991" i="10"/>
  <c r="AT1187" i="10"/>
  <c r="Y997" i="10"/>
  <c r="N1134" i="10"/>
  <c r="O1161" i="10"/>
  <c r="AN962" i="10"/>
  <c r="M1021" i="10"/>
  <c r="T848" i="10"/>
  <c r="AX1147" i="10"/>
  <c r="AX1547" i="10" s="1"/>
  <c r="AP924" i="10"/>
  <c r="N857" i="10"/>
  <c r="AX957" i="10"/>
  <c r="AX1357" i="10" s="1"/>
  <c r="AX1085" i="10"/>
  <c r="AX1485" i="10" s="1"/>
  <c r="AX941" i="10"/>
  <c r="AX1341" i="10" s="1"/>
  <c r="U869" i="10"/>
  <c r="S967" i="10"/>
  <c r="S1075" i="10"/>
  <c r="Q951" i="10"/>
  <c r="Q1138" i="10"/>
  <c r="Q1171" i="10"/>
  <c r="AI916" i="10"/>
  <c r="AI892" i="10"/>
  <c r="AM1152" i="10"/>
  <c r="AM892" i="10"/>
  <c r="M1033" i="10"/>
  <c r="AR837" i="10"/>
  <c r="AH835" i="10"/>
  <c r="AK817" i="10"/>
  <c r="AT968" i="10"/>
  <c r="AB844" i="10"/>
  <c r="Y931" i="10"/>
  <c r="AQ1087" i="10"/>
  <c r="T972" i="10"/>
  <c r="AT1060" i="10"/>
  <c r="O833" i="10"/>
  <c r="AI397" i="10"/>
  <c r="O393" i="10"/>
  <c r="O2" i="10" s="1"/>
  <c r="O4" i="10" s="1"/>
  <c r="O397" i="10"/>
  <c r="M959" i="10"/>
  <c r="M1069" i="10"/>
  <c r="M1102" i="10"/>
  <c r="M1139" i="10"/>
  <c r="M851" i="10"/>
  <c r="M1099" i="10"/>
  <c r="M833" i="10"/>
  <c r="M884" i="10"/>
  <c r="M1124" i="10"/>
  <c r="M989" i="10"/>
  <c r="M937" i="10"/>
  <c r="M1174" i="10"/>
  <c r="M1012" i="10"/>
  <c r="M1053" i="10"/>
  <c r="M846" i="10"/>
  <c r="M953" i="10"/>
  <c r="M1018" i="10"/>
  <c r="M945" i="10"/>
  <c r="M958" i="10"/>
  <c r="M1108" i="10"/>
  <c r="M1036" i="10"/>
  <c r="M1073" i="10"/>
  <c r="M856" i="10"/>
  <c r="M897" i="10"/>
  <c r="M1153" i="10"/>
  <c r="M900" i="10"/>
  <c r="M949" i="10"/>
  <c r="M820" i="10"/>
  <c r="M926" i="10"/>
  <c r="M932" i="10"/>
  <c r="M925" i="10"/>
  <c r="M1056" i="10"/>
  <c r="M1042" i="10"/>
  <c r="M866" i="10"/>
  <c r="M1118" i="10"/>
  <c r="M944" i="10"/>
  <c r="M812" i="10"/>
  <c r="M1160" i="10"/>
  <c r="M1180" i="10"/>
  <c r="M1112" i="10"/>
  <c r="M1077" i="10"/>
  <c r="M996" i="10"/>
  <c r="M1019" i="10"/>
  <c r="M847" i="10"/>
  <c r="M943" i="10"/>
  <c r="M1123" i="10"/>
  <c r="M1125" i="10"/>
  <c r="M1115" i="10"/>
  <c r="M867" i="10"/>
  <c r="M1135" i="10"/>
  <c r="M919" i="10"/>
  <c r="M1146" i="10"/>
  <c r="M1089" i="10"/>
  <c r="M898" i="10"/>
  <c r="M1007" i="10"/>
  <c r="M1183" i="10"/>
  <c r="M1045" i="10"/>
  <c r="M1064" i="10"/>
  <c r="M1190" i="10"/>
  <c r="M840" i="10"/>
  <c r="M969" i="10"/>
  <c r="M870" i="10"/>
  <c r="M1086" i="10"/>
  <c r="M1004" i="10"/>
  <c r="M1094" i="10"/>
  <c r="M1182" i="10"/>
  <c r="M872" i="10"/>
  <c r="M1164" i="10"/>
  <c r="M906" i="10"/>
  <c r="M1078" i="10"/>
  <c r="M1167" i="10"/>
  <c r="M873" i="10"/>
  <c r="M871" i="10"/>
  <c r="M849" i="10"/>
  <c r="M909" i="10"/>
  <c r="M1010" i="10"/>
  <c r="M1003" i="10"/>
  <c r="M979" i="10"/>
  <c r="M977" i="10"/>
  <c r="M1154" i="10"/>
  <c r="M839" i="10"/>
  <c r="M1023" i="10"/>
  <c r="M1169" i="10"/>
  <c r="M986" i="10"/>
  <c r="M1103" i="10"/>
  <c r="M1121" i="10"/>
  <c r="M964" i="10"/>
  <c r="M1173" i="10"/>
  <c r="M960" i="10"/>
  <c r="M829" i="10"/>
  <c r="M998" i="10"/>
  <c r="M1129" i="10"/>
  <c r="M813" i="10"/>
  <c r="M972" i="10"/>
  <c r="M1155" i="10"/>
  <c r="M935" i="10"/>
  <c r="M952" i="10"/>
  <c r="M1145" i="10"/>
  <c r="M1065" i="10"/>
  <c r="M899" i="10"/>
  <c r="M1083" i="10"/>
  <c r="M901" i="10"/>
  <c r="M1109" i="10"/>
  <c r="M1170" i="10"/>
  <c r="M1050" i="10"/>
  <c r="M895" i="10"/>
  <c r="M1070" i="10"/>
  <c r="M1111" i="10"/>
  <c r="M1034" i="10"/>
  <c r="M1143" i="10"/>
  <c r="M1161" i="10"/>
  <c r="M826" i="10"/>
  <c r="M882" i="10"/>
  <c r="M863" i="10"/>
  <c r="M1040" i="10"/>
  <c r="M1158" i="10"/>
  <c r="M1177" i="10"/>
  <c r="M860" i="10"/>
  <c r="M947" i="10"/>
  <c r="M1087" i="10"/>
  <c r="M1066" i="10"/>
  <c r="M834" i="10"/>
  <c r="M971" i="10"/>
  <c r="M997" i="10"/>
  <c r="M1188" i="10"/>
  <c r="M1024" i="10"/>
  <c r="M1130" i="10"/>
  <c r="M1006" i="10"/>
  <c r="M848" i="10"/>
  <c r="M844" i="10"/>
  <c r="M955" i="10"/>
  <c r="M1176" i="10"/>
  <c r="M1020" i="10"/>
  <c r="M1013" i="10"/>
  <c r="M939" i="10"/>
  <c r="M1162" i="10"/>
  <c r="M910" i="10"/>
  <c r="M877" i="10"/>
  <c r="M1055" i="10"/>
  <c r="M1141" i="10"/>
  <c r="M942" i="10"/>
  <c r="M980" i="10"/>
  <c r="M1002" i="10"/>
  <c r="M821" i="10"/>
  <c r="M815" i="10"/>
  <c r="M938" i="10"/>
  <c r="M1117" i="10"/>
  <c r="M1137" i="10"/>
  <c r="M1072" i="10"/>
  <c r="M1063" i="10"/>
  <c r="M902" i="10"/>
  <c r="M817" i="10"/>
  <c r="M1166" i="10"/>
  <c r="M819" i="10"/>
  <c r="M1107" i="10"/>
  <c r="M1101" i="10"/>
  <c r="M887" i="10"/>
  <c r="M963" i="10"/>
  <c r="M1011" i="10"/>
  <c r="M951" i="10"/>
  <c r="M1179" i="10"/>
  <c r="M936" i="10"/>
  <c r="M850" i="10"/>
  <c r="M1046" i="10"/>
  <c r="M876" i="10"/>
  <c r="M1157" i="10"/>
  <c r="M853" i="10"/>
  <c r="M1041" i="10"/>
  <c r="M832" i="10"/>
  <c r="M862" i="10"/>
  <c r="M881" i="10"/>
  <c r="M907" i="10"/>
  <c r="M991" i="10"/>
  <c r="M1090" i="10"/>
  <c r="M1081" i="10"/>
  <c r="M1017" i="10"/>
  <c r="M912" i="10"/>
  <c r="M1178" i="10"/>
  <c r="M818" i="10"/>
  <c r="M842" i="10"/>
  <c r="M966" i="10"/>
  <c r="M836" i="10"/>
  <c r="M904" i="10"/>
  <c r="M868" i="10"/>
  <c r="M930" i="10"/>
  <c r="M1076" i="10"/>
  <c r="M837" i="10"/>
  <c r="M1175" i="10"/>
  <c r="M1122" i="10"/>
  <c r="M1075" i="10"/>
  <c r="M1149" i="10"/>
  <c r="M1061" i="10"/>
  <c r="M985" i="10"/>
  <c r="M1026" i="10"/>
  <c r="M903" i="10"/>
  <c r="M823" i="10"/>
  <c r="M1138" i="10"/>
  <c r="M1088" i="10"/>
  <c r="M1119" i="10"/>
  <c r="M1068" i="10"/>
  <c r="M967" i="10"/>
  <c r="M1097" i="10"/>
  <c r="M1043" i="10"/>
  <c r="M992" i="10"/>
  <c r="M1098" i="10"/>
  <c r="M976" i="10"/>
  <c r="M929" i="10"/>
  <c r="M1100" i="10"/>
  <c r="M924" i="10"/>
  <c r="M1095" i="10"/>
  <c r="M1134" i="10"/>
  <c r="M828" i="10"/>
  <c r="M1059" i="10"/>
  <c r="M928" i="10"/>
  <c r="M983" i="10"/>
  <c r="M946" i="10"/>
  <c r="M885" i="10"/>
  <c r="M1150" i="10"/>
  <c r="M1074" i="10"/>
  <c r="M1159" i="10"/>
  <c r="M890" i="10"/>
  <c r="M931" i="10"/>
  <c r="M1171" i="10"/>
  <c r="M954" i="10"/>
  <c r="M920" i="10"/>
  <c r="M1079" i="10"/>
  <c r="M968" i="10"/>
  <c r="M874" i="10"/>
  <c r="M915" i="10"/>
  <c r="M824" i="10"/>
  <c r="M916" i="10"/>
  <c r="M835" i="10"/>
  <c r="M825" i="10"/>
  <c r="M918" i="10"/>
  <c r="M1152" i="10"/>
  <c r="M1140" i="10"/>
  <c r="M908" i="10"/>
  <c r="M956" i="10"/>
  <c r="M816" i="10"/>
  <c r="M978" i="10"/>
  <c r="M879" i="10"/>
  <c r="M1080" i="10"/>
  <c r="M999" i="10"/>
  <c r="M814" i="10"/>
  <c r="M1189" i="10"/>
  <c r="M1163" i="10"/>
  <c r="M1187" i="10"/>
  <c r="M993" i="10"/>
  <c r="M861" i="10"/>
  <c r="M923" i="10"/>
  <c r="M962" i="10"/>
  <c r="M1093" i="10"/>
  <c r="M988" i="10"/>
  <c r="M948" i="10"/>
  <c r="M892" i="10"/>
  <c r="M886" i="10"/>
  <c r="M1071" i="10"/>
  <c r="M922" i="10"/>
  <c r="M1184" i="10"/>
  <c r="M975" i="10"/>
  <c r="M973" i="10"/>
  <c r="M854" i="10"/>
  <c r="M941" i="10"/>
  <c r="M1001" i="10"/>
  <c r="M1131" i="10"/>
  <c r="M1048" i="10"/>
  <c r="M896" i="10"/>
  <c r="M845" i="10"/>
  <c r="M1025" i="10"/>
  <c r="M889" i="10"/>
  <c r="M1082" i="10"/>
  <c r="M921" i="10"/>
  <c r="M1126" i="10"/>
  <c r="M1106" i="10"/>
  <c r="M1084" i="10"/>
  <c r="M1014" i="10"/>
  <c r="M865" i="10"/>
  <c r="M1156" i="10"/>
  <c r="M1008" i="10"/>
  <c r="M933" i="10"/>
  <c r="M1085" i="10"/>
  <c r="M917" i="10"/>
  <c r="M1051" i="10"/>
  <c r="M1062" i="10"/>
  <c r="M1032" i="10"/>
  <c r="M878" i="10"/>
  <c r="M822" i="10"/>
  <c r="M1005" i="10"/>
  <c r="M843" i="10"/>
  <c r="M914" i="10"/>
  <c r="M1035" i="10"/>
  <c r="M1096" i="10"/>
  <c r="M913" i="10"/>
  <c r="M1114" i="10"/>
  <c r="M995" i="10"/>
  <c r="M858" i="10"/>
  <c r="M1052" i="10"/>
  <c r="M1172" i="10"/>
  <c r="M1151" i="10"/>
  <c r="M957" i="10"/>
  <c r="M961" i="10"/>
  <c r="M1113" i="10"/>
  <c r="M1127" i="10"/>
  <c r="M965" i="10"/>
  <c r="M1049" i="10"/>
  <c r="M875" i="10"/>
  <c r="M1168" i="10"/>
  <c r="M888" i="10"/>
  <c r="M1186" i="10"/>
  <c r="M1110" i="10"/>
  <c r="M1092" i="10"/>
  <c r="M1060" i="10"/>
  <c r="M893" i="10"/>
  <c r="AO1019" i="10"/>
  <c r="AO1078" i="10"/>
  <c r="AO1073" i="10"/>
  <c r="AO1069" i="10"/>
  <c r="AO958" i="10"/>
  <c r="AO866" i="10"/>
  <c r="AO1180" i="10"/>
  <c r="AO1056" i="10"/>
  <c r="AO1167" i="10"/>
  <c r="AO943" i="10"/>
  <c r="AO1132" i="10"/>
  <c r="AO949" i="10"/>
  <c r="AO846" i="10"/>
  <c r="AO1108" i="10"/>
  <c r="AO1102" i="10"/>
  <c r="AO851" i="10"/>
  <c r="AO926" i="10"/>
  <c r="AO812" i="10"/>
  <c r="AO1036" i="10"/>
  <c r="AO932" i="10"/>
  <c r="AO1124" i="10"/>
  <c r="AO919" i="10"/>
  <c r="AO1018" i="10"/>
  <c r="AO1139" i="10"/>
  <c r="AO1077" i="10"/>
  <c r="AO876" i="10"/>
  <c r="AO1160" i="10"/>
  <c r="AO813" i="10"/>
  <c r="AO1099" i="10"/>
  <c r="AO1115" i="10"/>
  <c r="AO847" i="10"/>
  <c r="AO840" i="10"/>
  <c r="AO898" i="10"/>
  <c r="AO1174" i="10"/>
  <c r="AO977" i="10"/>
  <c r="AO959" i="10"/>
  <c r="AO1006" i="10"/>
  <c r="AO842" i="10"/>
  <c r="AO966" i="10"/>
  <c r="AO1157" i="10"/>
  <c r="AO969" i="10"/>
  <c r="AO925" i="10"/>
  <c r="AO1007" i="10"/>
  <c r="AO906" i="10"/>
  <c r="AO953" i="10"/>
  <c r="AO989" i="10"/>
  <c r="AO1112" i="10"/>
  <c r="AO867" i="10"/>
  <c r="AO1146" i="10"/>
  <c r="AO897" i="10"/>
  <c r="AO820" i="10"/>
  <c r="AO900" i="10"/>
  <c r="AO1089" i="10"/>
  <c r="AO937" i="10"/>
  <c r="AO833" i="10"/>
  <c r="AO1123" i="10"/>
  <c r="AO1090" i="10"/>
  <c r="AO1163" i="10"/>
  <c r="AO1021" i="10"/>
  <c r="AO1003" i="10"/>
  <c r="AO844" i="10"/>
  <c r="AO979" i="10"/>
  <c r="AO960" i="10"/>
  <c r="AO899" i="10"/>
  <c r="AO1158" i="10"/>
  <c r="AO1190" i="10"/>
  <c r="AO945" i="10"/>
  <c r="AO1042" i="10"/>
  <c r="AO1118" i="10"/>
  <c r="AO1169" i="10"/>
  <c r="AO1133" i="10"/>
  <c r="AO1189" i="10"/>
  <c r="AO1087" i="10"/>
  <c r="AO1065" i="10"/>
  <c r="AO1064" i="10"/>
  <c r="AO1153" i="10"/>
  <c r="AO1177" i="10"/>
  <c r="AO882" i="10"/>
  <c r="AO1070" i="10"/>
  <c r="AO1170" i="10"/>
  <c r="AO1145" i="10"/>
  <c r="AO1053" i="10"/>
  <c r="AO944" i="10"/>
  <c r="AO884" i="10"/>
  <c r="AO986" i="10"/>
  <c r="AO893" i="10"/>
  <c r="AO895" i="10"/>
  <c r="AO996" i="10"/>
  <c r="AO1130" i="10"/>
  <c r="AO870" i="10"/>
  <c r="AO832" i="10"/>
  <c r="AO1173" i="10"/>
  <c r="AO1081" i="10"/>
  <c r="AO972" i="10"/>
  <c r="AO1094" i="10"/>
  <c r="AO863" i="10"/>
  <c r="AO1188" i="10"/>
  <c r="AO1183" i="10"/>
  <c r="AO983" i="10"/>
  <c r="AO834" i="10"/>
  <c r="AO836" i="10"/>
  <c r="AO1155" i="10"/>
  <c r="AO935" i="10"/>
  <c r="AO871" i="10"/>
  <c r="AO1161" i="10"/>
  <c r="AO1045" i="10"/>
  <c r="AO829" i="10"/>
  <c r="AO1017" i="10"/>
  <c r="AO849" i="10"/>
  <c r="AO1023" i="10"/>
  <c r="AO912" i="10"/>
  <c r="AO1034" i="10"/>
  <c r="AO839" i="10"/>
  <c r="AO991" i="10"/>
  <c r="AO962" i="10"/>
  <c r="AO1151" i="10"/>
  <c r="AO1040" i="10"/>
  <c r="AO1121" i="10"/>
  <c r="AO1083" i="10"/>
  <c r="AO901" i="10"/>
  <c r="AO923" i="10"/>
  <c r="AO1182" i="10"/>
  <c r="AO997" i="10"/>
  <c r="AO853" i="10"/>
  <c r="AO1057" i="10"/>
  <c r="AO1004" i="10"/>
  <c r="AO1103" i="10"/>
  <c r="AO952" i="10"/>
  <c r="AO873" i="10"/>
  <c r="AO1041" i="10"/>
  <c r="AO946" i="10"/>
  <c r="AO1032" i="10"/>
  <c r="AO885" i="10"/>
  <c r="AO1012" i="10"/>
  <c r="AO1111" i="10"/>
  <c r="AO862" i="10"/>
  <c r="AO924" i="10"/>
  <c r="AO1066" i="10"/>
  <c r="AO1050" i="10"/>
  <c r="AO891" i="10"/>
  <c r="AO843" i="10"/>
  <c r="AO1143" i="10"/>
  <c r="AO881" i="10"/>
  <c r="AO998" i="10"/>
  <c r="AO1135" i="10"/>
  <c r="AO907" i="10"/>
  <c r="AO957" i="10"/>
  <c r="AO928" i="10"/>
  <c r="AO826" i="10"/>
  <c r="AO1164" i="10"/>
  <c r="AO1075" i="10"/>
  <c r="AO837" i="10"/>
  <c r="AO905" i="10"/>
  <c r="AO1122" i="10"/>
  <c r="AO910" i="10"/>
  <c r="AO939" i="10"/>
  <c r="AO1079" i="10"/>
  <c r="AO1168" i="10"/>
  <c r="AO1055" i="10"/>
  <c r="AO888" i="10"/>
  <c r="AO886" i="10"/>
  <c r="AO1076" i="10"/>
  <c r="AO825" i="10"/>
  <c r="AO892" i="10"/>
  <c r="AO1141" i="10"/>
  <c r="AO1117" i="10"/>
  <c r="AO1088" i="10"/>
  <c r="AO816" i="10"/>
  <c r="AO1140" i="10"/>
  <c r="AO902" i="10"/>
  <c r="AO889" i="10"/>
  <c r="AO1072" i="10"/>
  <c r="AO1046" i="10"/>
  <c r="AO824" i="10"/>
  <c r="AO1137" i="10"/>
  <c r="AO1106" i="10"/>
  <c r="AO992" i="10"/>
  <c r="AO930" i="10"/>
  <c r="AO1107" i="10"/>
  <c r="AO1186" i="10"/>
  <c r="AO1100" i="10"/>
  <c r="AO1098" i="10"/>
  <c r="AO978" i="10"/>
  <c r="AO1080" i="10"/>
  <c r="AO1092" i="10"/>
  <c r="AO993" i="10"/>
  <c r="AO1109" i="10"/>
  <c r="AO852" i="10"/>
  <c r="AO814" i="10"/>
  <c r="AO964" i="10"/>
  <c r="AO822" i="10"/>
  <c r="AO861" i="10"/>
  <c r="AO848" i="10"/>
  <c r="AO1010" i="10"/>
  <c r="AO1178" i="10"/>
  <c r="AO1044" i="10"/>
  <c r="AO1154" i="10"/>
  <c r="AO828" i="10"/>
  <c r="AO984" i="10"/>
  <c r="AO982" i="10"/>
  <c r="AO988" i="10"/>
  <c r="AO1162" i="10"/>
  <c r="AO975" i="10"/>
  <c r="AO868" i="10"/>
  <c r="AO1150" i="10"/>
  <c r="AO823" i="10"/>
  <c r="AO985" i="10"/>
  <c r="AO1149" i="10"/>
  <c r="AO980" i="10"/>
  <c r="AO942" i="10"/>
  <c r="AO968" i="10"/>
  <c r="AO821" i="10"/>
  <c r="AO995" i="10"/>
  <c r="AO817" i="10"/>
  <c r="AO869" i="10"/>
  <c r="AO1043" i="10"/>
  <c r="AO1119" i="10"/>
  <c r="AO1020" i="10"/>
  <c r="AO903" i="10"/>
  <c r="AO1152" i="10"/>
  <c r="AO845" i="10"/>
  <c r="AO815" i="10"/>
  <c r="AO918" i="10"/>
  <c r="AO1110" i="10"/>
  <c r="AO936" i="10"/>
  <c r="AO929" i="10"/>
  <c r="AO971" i="10"/>
  <c r="AO1134" i="10"/>
  <c r="AO878" i="10"/>
  <c r="AO1059" i="10"/>
  <c r="AO947" i="10"/>
  <c r="AO1086" i="10"/>
  <c r="AO1060" i="10"/>
  <c r="AO909" i="10"/>
  <c r="AO941" i="10"/>
  <c r="AO1156" i="10"/>
  <c r="AO875" i="10"/>
  <c r="AO1035" i="10"/>
  <c r="AO877" i="10"/>
  <c r="AO1184" i="10"/>
  <c r="AO1159" i="10"/>
  <c r="AO1085" i="10"/>
  <c r="AO1013" i="10"/>
  <c r="AO915" i="10"/>
  <c r="AO887" i="10"/>
  <c r="AO1142" i="10"/>
  <c r="AO1048" i="10"/>
  <c r="AO1138" i="10"/>
  <c r="AO973" i="10"/>
  <c r="AO1131" i="10"/>
  <c r="AO963" i="10"/>
  <c r="AO956" i="10"/>
  <c r="AO950" i="10"/>
  <c r="AO967" i="10"/>
  <c r="AO890" i="10"/>
  <c r="AO917" i="10"/>
  <c r="AO850" i="10"/>
  <c r="AO1052" i="10"/>
  <c r="AO1084" i="10"/>
  <c r="AO951" i="10"/>
  <c r="AO1129" i="10"/>
  <c r="AO1187" i="10"/>
  <c r="AO914" i="10"/>
  <c r="AO880" i="10"/>
  <c r="AO1185" i="10"/>
  <c r="AO883" i="10"/>
  <c r="AO987" i="10"/>
  <c r="AO1005" i="10"/>
  <c r="AO872" i="10"/>
  <c r="AO818" i="10"/>
  <c r="AO931" i="10"/>
  <c r="AO1144" i="10"/>
  <c r="AO1008" i="10"/>
  <c r="AO1096" i="10"/>
  <c r="AO938" i="10"/>
  <c r="AO1171" i="10"/>
  <c r="AO854" i="10"/>
  <c r="AO933" i="10"/>
  <c r="AO1026" i="10"/>
  <c r="AO920" i="10"/>
  <c r="AO874" i="10"/>
  <c r="AO1049" i="10"/>
  <c r="AO1025" i="10"/>
  <c r="AO1082" i="10"/>
  <c r="AO1114" i="10"/>
  <c r="AO896" i="10"/>
  <c r="AO835" i="10"/>
  <c r="AO1068" i="10"/>
  <c r="AO1101" i="10"/>
  <c r="AO1001" i="10"/>
  <c r="AO1011" i="10"/>
  <c r="AO1002" i="10"/>
  <c r="AO858" i="10"/>
  <c r="AO1014" i="10"/>
  <c r="AO1179" i="10"/>
  <c r="AO865" i="10"/>
  <c r="AO1095" i="10"/>
  <c r="AD397" i="10"/>
  <c r="AD393" i="10"/>
  <c r="AD2" i="10" s="1"/>
  <c r="AD4" i="10" s="1"/>
  <c r="AC1146" i="10"/>
  <c r="AC867" i="10"/>
  <c r="AC969" i="10"/>
  <c r="AC1167" i="10"/>
  <c r="AC1056" i="10"/>
  <c r="AC1099" i="10"/>
  <c r="AC900" i="10"/>
  <c r="AC820" i="10"/>
  <c r="AC812" i="10"/>
  <c r="AC1036" i="10"/>
  <c r="AC1132" i="10"/>
  <c r="AC1064" i="10"/>
  <c r="AC1118" i="10"/>
  <c r="AC1057" i="10"/>
  <c r="AC937" i="10"/>
  <c r="AC1115" i="10"/>
  <c r="AC846" i="10"/>
  <c r="AC1018" i="10"/>
  <c r="AC1102" i="10"/>
  <c r="AC989" i="10"/>
  <c r="AC1123" i="10"/>
  <c r="AC945" i="10"/>
  <c r="AC1012" i="10"/>
  <c r="AC847" i="10"/>
  <c r="AC949" i="10"/>
  <c r="AC1160" i="10"/>
  <c r="AC1077" i="10"/>
  <c r="AC925" i="10"/>
  <c r="AC959" i="10"/>
  <c r="AC926" i="10"/>
  <c r="AC884" i="10"/>
  <c r="AC944" i="10"/>
  <c r="AC1078" i="10"/>
  <c r="AC851" i="10"/>
  <c r="AC1073" i="10"/>
  <c r="AC1170" i="10"/>
  <c r="AC895" i="10"/>
  <c r="AC1169" i="10"/>
  <c r="AC912" i="10"/>
  <c r="AC1190" i="10"/>
  <c r="AC1042" i="10"/>
  <c r="AC1007" i="10"/>
  <c r="AC1019" i="10"/>
  <c r="AC1124" i="10"/>
  <c r="AC1112" i="10"/>
  <c r="AC833" i="10"/>
  <c r="AC1108" i="10"/>
  <c r="AC977" i="10"/>
  <c r="AC1053" i="10"/>
  <c r="AC1069" i="10"/>
  <c r="AC898" i="10"/>
  <c r="AC876" i="10"/>
  <c r="AC1180" i="10"/>
  <c r="AC856" i="10"/>
  <c r="AC919" i="10"/>
  <c r="AC1125" i="10"/>
  <c r="AC932" i="10"/>
  <c r="AC891" i="10"/>
  <c r="AC1094" i="10"/>
  <c r="AC952" i="10"/>
  <c r="AC860" i="10"/>
  <c r="AC1021" i="10"/>
  <c r="AC1183" i="10"/>
  <c r="AC1024" i="10"/>
  <c r="AC1089" i="10"/>
  <c r="AC953" i="10"/>
  <c r="AC813" i="10"/>
  <c r="AC1188" i="10"/>
  <c r="AC1087" i="10"/>
  <c r="AC1145" i="10"/>
  <c r="AC881" i="10"/>
  <c r="AC871" i="10"/>
  <c r="AC1182" i="10"/>
  <c r="AC1060" i="10"/>
  <c r="AC906" i="10"/>
  <c r="AC1139" i="10"/>
  <c r="AC1090" i="10"/>
  <c r="AC873" i="10"/>
  <c r="AC1172" i="10"/>
  <c r="AC1109" i="10"/>
  <c r="AC923" i="10"/>
  <c r="AC1066" i="10"/>
  <c r="AC972" i="10"/>
  <c r="AC1130" i="10"/>
  <c r="AC1133" i="10"/>
  <c r="AC1174" i="10"/>
  <c r="AC996" i="10"/>
  <c r="AC1034" i="10"/>
  <c r="AC1173" i="10"/>
  <c r="AC1017" i="10"/>
  <c r="AC964" i="10"/>
  <c r="AC866" i="10"/>
  <c r="AC979" i="10"/>
  <c r="AC1158" i="10"/>
  <c r="AC849" i="10"/>
  <c r="AC1016" i="10"/>
  <c r="AC960" i="10"/>
  <c r="AC1006" i="10"/>
  <c r="AC1083" i="10"/>
  <c r="AC907" i="10"/>
  <c r="AC842" i="10"/>
  <c r="AC829" i="10"/>
  <c r="AC1086" i="10"/>
  <c r="AC998" i="10"/>
  <c r="AC882" i="10"/>
  <c r="AC1005" i="10"/>
  <c r="AC911" i="10"/>
  <c r="AC897" i="10"/>
  <c r="AC958" i="10"/>
  <c r="AC966" i="10"/>
  <c r="AC1154" i="10"/>
  <c r="AC1177" i="10"/>
  <c r="AC848" i="10"/>
  <c r="AC1065" i="10"/>
  <c r="AC1045" i="10"/>
  <c r="AC834" i="10"/>
  <c r="AC986" i="10"/>
  <c r="AC1155" i="10"/>
  <c r="AC822" i="10"/>
  <c r="AC1004" i="10"/>
  <c r="AC1103" i="10"/>
  <c r="AC1143" i="10"/>
  <c r="AC840" i="10"/>
  <c r="AC946" i="10"/>
  <c r="AC1189" i="10"/>
  <c r="AC1121" i="10"/>
  <c r="AC997" i="10"/>
  <c r="AC1135" i="10"/>
  <c r="AC862" i="10"/>
  <c r="AC1023" i="10"/>
  <c r="AC832" i="10"/>
  <c r="AC1147" i="10"/>
  <c r="AC893" i="10"/>
  <c r="AC878" i="10"/>
  <c r="AC1187" i="10"/>
  <c r="AC1081" i="10"/>
  <c r="AC1050" i="10"/>
  <c r="AC982" i="10"/>
  <c r="AC899" i="10"/>
  <c r="AC1070" i="10"/>
  <c r="AC901" i="10"/>
  <c r="AC1134" i="10"/>
  <c r="AC1040" i="10"/>
  <c r="AC1111" i="10"/>
  <c r="AC1157" i="10"/>
  <c r="AC826" i="10"/>
  <c r="AC947" i="10"/>
  <c r="AC870" i="10"/>
  <c r="AC1041" i="10"/>
  <c r="AC1161" i="10"/>
  <c r="AC909" i="10"/>
  <c r="AC853" i="10"/>
  <c r="AC1071" i="10"/>
  <c r="AC1175" i="10"/>
  <c r="AC938" i="10"/>
  <c r="AC1049" i="10"/>
  <c r="AC1020" i="10"/>
  <c r="AC1035" i="10"/>
  <c r="AC1156" i="10"/>
  <c r="AC877" i="10"/>
  <c r="AC1093" i="10"/>
  <c r="AC1061" i="10"/>
  <c r="AC922" i="10"/>
  <c r="AC975" i="10"/>
  <c r="AC941" i="10"/>
  <c r="AC888" i="10"/>
  <c r="AC1001" i="10"/>
  <c r="AC933" i="10"/>
  <c r="AC887" i="10"/>
  <c r="AC1011" i="10"/>
  <c r="AC1048" i="10"/>
  <c r="AC1101" i="10"/>
  <c r="AC1140" i="10"/>
  <c r="AC1166" i="10"/>
  <c r="AC921" i="10"/>
  <c r="AC835" i="10"/>
  <c r="AC1097" i="10"/>
  <c r="AC823" i="10"/>
  <c r="AC902" i="10"/>
  <c r="AC1137" i="10"/>
  <c r="AC916" i="10"/>
  <c r="AC1106" i="10"/>
  <c r="AC1052" i="10"/>
  <c r="AC1063" i="10"/>
  <c r="AC850" i="10"/>
  <c r="AC1098" i="10"/>
  <c r="AC936" i="10"/>
  <c r="AC1151" i="10"/>
  <c r="AC861" i="10"/>
  <c r="AC1059" i="10"/>
  <c r="AC914" i="10"/>
  <c r="AC983" i="10"/>
  <c r="AC863" i="10"/>
  <c r="AC1129" i="10"/>
  <c r="AC843" i="10"/>
  <c r="AC1178" i="10"/>
  <c r="AC844" i="10"/>
  <c r="AC885" i="10"/>
  <c r="AC839" i="10"/>
  <c r="AC924" i="10"/>
  <c r="AC928" i="10"/>
  <c r="AC988" i="10"/>
  <c r="AC1075" i="10"/>
  <c r="AC1149" i="10"/>
  <c r="AC940" i="10"/>
  <c r="AC1074" i="10"/>
  <c r="AC1171" i="10"/>
  <c r="AC1013" i="10"/>
  <c r="AC875" i="10"/>
  <c r="AC1002" i="10"/>
  <c r="AC1144" i="10"/>
  <c r="AC968" i="10"/>
  <c r="AC868" i="10"/>
  <c r="AC963" i="10"/>
  <c r="AC1114" i="10"/>
  <c r="AC942" i="10"/>
  <c r="AC1126" i="10"/>
  <c r="AC854" i="10"/>
  <c r="AC967" i="10"/>
  <c r="AC1043" i="10"/>
  <c r="AC1088" i="10"/>
  <c r="AC973" i="10"/>
  <c r="AC817" i="10"/>
  <c r="AC1179" i="10"/>
  <c r="AC908" i="10"/>
  <c r="AC1100" i="10"/>
  <c r="AC976" i="10"/>
  <c r="AC991" i="10"/>
  <c r="AC1162" i="10"/>
  <c r="AC1008" i="10"/>
  <c r="AC1055" i="10"/>
  <c r="AC939" i="10"/>
  <c r="AC931" i="10"/>
  <c r="AC1096" i="10"/>
  <c r="AC905" i="10"/>
  <c r="AC1117" i="10"/>
  <c r="AC1184" i="10"/>
  <c r="AC1079" i="10"/>
  <c r="AC1068" i="10"/>
  <c r="AC920" i="10"/>
  <c r="AC917" i="10"/>
  <c r="AC1152" i="10"/>
  <c r="AC1082" i="10"/>
  <c r="AC1107" i="10"/>
  <c r="AC879" i="10"/>
  <c r="AC1138" i="10"/>
  <c r="AC819" i="10"/>
  <c r="AC995" i="10"/>
  <c r="AC869" i="10"/>
  <c r="AC845" i="10"/>
  <c r="AC929" i="10"/>
  <c r="AC1084" i="10"/>
  <c r="AC1014" i="10"/>
  <c r="AC1080" i="10"/>
  <c r="AC828" i="10"/>
  <c r="AC1120" i="10"/>
  <c r="AC841" i="10"/>
  <c r="AC994" i="10"/>
  <c r="AC1058" i="10"/>
  <c r="AC1185" i="10"/>
  <c r="AC883" i="10"/>
  <c r="AC830" i="10"/>
  <c r="AC965" i="10"/>
  <c r="AC836" i="10"/>
  <c r="AC935" i="10"/>
  <c r="AC971" i="10"/>
  <c r="AC1095" i="10"/>
  <c r="AC904" i="10"/>
  <c r="AC1176" i="10"/>
  <c r="AC1142" i="10"/>
  <c r="AC1159" i="10"/>
  <c r="AC837" i="10"/>
  <c r="AC821" i="10"/>
  <c r="AC1141" i="10"/>
  <c r="AC890" i="10"/>
  <c r="AC948" i="10"/>
  <c r="AC913" i="10"/>
  <c r="AC1122" i="10"/>
  <c r="AC903" i="10"/>
  <c r="AC1046" i="10"/>
  <c r="AC1186" i="10"/>
  <c r="AC824" i="10"/>
  <c r="AC954" i="10"/>
  <c r="AC858" i="10"/>
  <c r="AC1085" i="10"/>
  <c r="AC1119" i="10"/>
  <c r="AC1168" i="10"/>
  <c r="AC825" i="10"/>
  <c r="AC1131" i="10"/>
  <c r="AC1051" i="10"/>
  <c r="AC865" i="10"/>
  <c r="AC1110" i="10"/>
  <c r="AC814" i="10"/>
  <c r="AC859" i="10"/>
  <c r="AC1163" i="10"/>
  <c r="AC872" i="10"/>
  <c r="AJ1104" i="10"/>
  <c r="AH1027" i="10"/>
  <c r="Z958" i="10"/>
  <c r="Z1112" i="10"/>
  <c r="Z884" i="10"/>
  <c r="Z812" i="10"/>
  <c r="Z846" i="10"/>
  <c r="Z1124" i="10"/>
  <c r="Z833" i="10"/>
  <c r="Z1125" i="10"/>
  <c r="Z1118" i="10"/>
  <c r="Z1069" i="10"/>
  <c r="Z953" i="10"/>
  <c r="Z1132" i="10"/>
  <c r="Z1073" i="10"/>
  <c r="Z969" i="10"/>
  <c r="Z945" i="10"/>
  <c r="Z943" i="10"/>
  <c r="Z900" i="10"/>
  <c r="Z1057" i="10"/>
  <c r="Z1099" i="10"/>
  <c r="Z1042" i="10"/>
  <c r="Z851" i="10"/>
  <c r="Z906" i="10"/>
  <c r="Z876" i="10"/>
  <c r="Z1153" i="10"/>
  <c r="Z1078" i="10"/>
  <c r="Z1056" i="10"/>
  <c r="Z977" i="10"/>
  <c r="Z1123" i="10"/>
  <c r="Z1180" i="10"/>
  <c r="Z866" i="10"/>
  <c r="Z926" i="10"/>
  <c r="Z925" i="10"/>
  <c r="Z820" i="10"/>
  <c r="Z1036" i="10"/>
  <c r="Z1018" i="10"/>
  <c r="Z944" i="10"/>
  <c r="Z1190" i="10"/>
  <c r="Z1012" i="10"/>
  <c r="Z1139" i="10"/>
  <c r="Z895" i="10"/>
  <c r="Z832" i="10"/>
  <c r="Z912" i="10"/>
  <c r="Z1146" i="10"/>
  <c r="Z1108" i="10"/>
  <c r="Z959" i="10"/>
  <c r="Z867" i="10"/>
  <c r="Z1007" i="10"/>
  <c r="Z1019" i="10"/>
  <c r="Z989" i="10"/>
  <c r="Z932" i="10"/>
  <c r="Z813" i="10"/>
  <c r="Z1167" i="10"/>
  <c r="Z897" i="10"/>
  <c r="Z840" i="10"/>
  <c r="Z1089" i="10"/>
  <c r="Z856" i="10"/>
  <c r="Z949" i="10"/>
  <c r="Z1160" i="10"/>
  <c r="Z1050" i="10"/>
  <c r="Z881" i="10"/>
  <c r="Z842" i="10"/>
  <c r="Z1034" i="10"/>
  <c r="Z991" i="10"/>
  <c r="Z1010" i="10"/>
  <c r="Z1066" i="10"/>
  <c r="Z1053" i="10"/>
  <c r="Z847" i="10"/>
  <c r="Z937" i="10"/>
  <c r="Z1090" i="10"/>
  <c r="Z1135" i="10"/>
  <c r="Z1188" i="10"/>
  <c r="Z1087" i="10"/>
  <c r="Z1083" i="10"/>
  <c r="Z1157" i="10"/>
  <c r="Z1021" i="10"/>
  <c r="Z1016" i="10"/>
  <c r="Z1170" i="10"/>
  <c r="Z898" i="10"/>
  <c r="Z1174" i="10"/>
  <c r="Z1006" i="10"/>
  <c r="Z1130" i="10"/>
  <c r="Z964" i="10"/>
  <c r="Z871" i="10"/>
  <c r="Z1086" i="10"/>
  <c r="Z882" i="10"/>
  <c r="Z1183" i="10"/>
  <c r="Z1115" i="10"/>
  <c r="Z1102" i="10"/>
  <c r="Z1041" i="10"/>
  <c r="Z1023" i="10"/>
  <c r="Z1169" i="10"/>
  <c r="Z1145" i="10"/>
  <c r="Z899" i="10"/>
  <c r="Z983" i="10"/>
  <c r="Z1111" i="10"/>
  <c r="Z998" i="10"/>
  <c r="Z1077" i="10"/>
  <c r="Z986" i="10"/>
  <c r="Z1143" i="10"/>
  <c r="Z907" i="10"/>
  <c r="Z1182" i="10"/>
  <c r="Z924" i="10"/>
  <c r="Z1070" i="10"/>
  <c r="Z935" i="10"/>
  <c r="Z1173" i="10"/>
  <c r="Z1189" i="10"/>
  <c r="Z1121" i="10"/>
  <c r="Z952" i="10"/>
  <c r="Z1155" i="10"/>
  <c r="Z911" i="10"/>
  <c r="Z996" i="10"/>
  <c r="Z1133" i="10"/>
  <c r="Z923" i="10"/>
  <c r="Z979" i="10"/>
  <c r="Z849" i="10"/>
  <c r="Z1065" i="10"/>
  <c r="Z1045" i="10"/>
  <c r="Z834" i="10"/>
  <c r="Z839" i="10"/>
  <c r="Z984" i="10"/>
  <c r="Z960" i="10"/>
  <c r="Z1040" i="10"/>
  <c r="Z1095" i="10"/>
  <c r="Z1094" i="10"/>
  <c r="Z1005" i="10"/>
  <c r="Z1092" i="10"/>
  <c r="Z971" i="10"/>
  <c r="Z1059" i="10"/>
  <c r="Z946" i="10"/>
  <c r="Z972" i="10"/>
  <c r="Z901" i="10"/>
  <c r="Z860" i="10"/>
  <c r="Z863" i="10"/>
  <c r="Z862" i="10"/>
  <c r="Z828" i="10"/>
  <c r="Z1172" i="10"/>
  <c r="Z836" i="10"/>
  <c r="Z914" i="10"/>
  <c r="Z1024" i="10"/>
  <c r="Z1017" i="10"/>
  <c r="Z870" i="10"/>
  <c r="Z1177" i="10"/>
  <c r="Z1134" i="10"/>
  <c r="Z1032" i="10"/>
  <c r="Z853" i="10"/>
  <c r="Z997" i="10"/>
  <c r="Z893" i="10"/>
  <c r="Z872" i="10"/>
  <c r="Z938" i="10"/>
  <c r="Z888" i="10"/>
  <c r="Z1061" i="10"/>
  <c r="Z1171" i="10"/>
  <c r="Z940" i="10"/>
  <c r="Z1071" i="10"/>
  <c r="Z868" i="10"/>
  <c r="Z890" i="10"/>
  <c r="Z1020" i="10"/>
  <c r="Z1122" i="10"/>
  <c r="Z1175" i="10"/>
  <c r="Z1184" i="10"/>
  <c r="Z905" i="10"/>
  <c r="Z904" i="10"/>
  <c r="Z1176" i="10"/>
  <c r="Z1082" i="10"/>
  <c r="Z918" i="10"/>
  <c r="Z913" i="10"/>
  <c r="Z1152" i="10"/>
  <c r="Z1097" i="10"/>
  <c r="Z1131" i="10"/>
  <c r="Z1137" i="10"/>
  <c r="Z1101" i="10"/>
  <c r="Z1126" i="10"/>
  <c r="Z889" i="10"/>
  <c r="Z1117" i="10"/>
  <c r="Z942" i="10"/>
  <c r="Z1068" i="10"/>
  <c r="Z835" i="10"/>
  <c r="Z1088" i="10"/>
  <c r="Z1084" i="10"/>
  <c r="Z850" i="10"/>
  <c r="Z908" i="10"/>
  <c r="Z1009" i="10"/>
  <c r="Z936" i="10"/>
  <c r="Z1003" i="10"/>
  <c r="Z861" i="10"/>
  <c r="Z928" i="10"/>
  <c r="Z1081" i="10"/>
  <c r="Z966" i="10"/>
  <c r="Z873" i="10"/>
  <c r="Z1158" i="10"/>
  <c r="Z1103" i="10"/>
  <c r="Z962" i="10"/>
  <c r="Z1147" i="10"/>
  <c r="Z1163" i="10"/>
  <c r="Z826" i="10"/>
  <c r="Z909" i="10"/>
  <c r="Z878" i="10"/>
  <c r="Z1129" i="10"/>
  <c r="Z982" i="10"/>
  <c r="Z1064" i="10"/>
  <c r="Z1154" i="10"/>
  <c r="Z891" i="10"/>
  <c r="Z1004" i="10"/>
  <c r="Z843" i="10"/>
  <c r="Z829" i="10"/>
  <c r="Z1060" i="10"/>
  <c r="Z1141" i="10"/>
  <c r="Z1076" i="10"/>
  <c r="Z939" i="10"/>
  <c r="Z1008" i="10"/>
  <c r="Z1093" i="10"/>
  <c r="Z930" i="10"/>
  <c r="Z1055" i="10"/>
  <c r="Z980" i="10"/>
  <c r="Z892" i="10"/>
  <c r="Z954" i="10"/>
  <c r="Z815" i="10"/>
  <c r="Z933" i="10"/>
  <c r="Z1186" i="10"/>
  <c r="Z887" i="10"/>
  <c r="Z902" i="10"/>
  <c r="Z817" i="10"/>
  <c r="Z967" i="10"/>
  <c r="Z824" i="10"/>
  <c r="Z1072" i="10"/>
  <c r="Z1025" i="10"/>
  <c r="Z896" i="10"/>
  <c r="Z1011" i="10"/>
  <c r="Z1046" i="10"/>
  <c r="Z1098" i="10"/>
  <c r="Z1106" i="10"/>
  <c r="Z999" i="10"/>
  <c r="Z1052" i="10"/>
  <c r="Z1187" i="10"/>
  <c r="Z1164" i="10"/>
  <c r="Z844" i="10"/>
  <c r="Z1178" i="10"/>
  <c r="Z1151" i="10"/>
  <c r="Z1181" i="10"/>
  <c r="Z852" i="10"/>
  <c r="Z1162" i="10"/>
  <c r="Z819" i="10"/>
  <c r="Z821" i="10"/>
  <c r="Z1035" i="10"/>
  <c r="Z931" i="10"/>
  <c r="Z1079" i="10"/>
  <c r="Z1168" i="10"/>
  <c r="Z1142" i="10"/>
  <c r="Z975" i="10"/>
  <c r="Z920" i="10"/>
  <c r="Z1075" i="10"/>
  <c r="Z875" i="10"/>
  <c r="Z1107" i="10"/>
  <c r="Z1049" i="10"/>
  <c r="Z1026" i="10"/>
  <c r="Z1140" i="10"/>
  <c r="Z1043" i="10"/>
  <c r="Z950" i="10"/>
  <c r="Z992" i="10"/>
  <c r="Z1033" i="10"/>
  <c r="Z814" i="10"/>
  <c r="Z917" i="10"/>
  <c r="Z879" i="10"/>
  <c r="Z951" i="10"/>
  <c r="Z1179" i="10"/>
  <c r="Z869" i="10"/>
  <c r="Z818" i="10"/>
  <c r="Z822" i="10"/>
  <c r="Z1109" i="10"/>
  <c r="Z957" i="10"/>
  <c r="Z1105" i="10"/>
  <c r="Z885" i="10"/>
  <c r="Z831" i="10"/>
  <c r="Z955" i="10"/>
  <c r="Z1159" i="10"/>
  <c r="Z1144" i="10"/>
  <c r="Z941" i="10"/>
  <c r="Z886" i="10"/>
  <c r="Z1149" i="10"/>
  <c r="Z874" i="10"/>
  <c r="Z1013" i="10"/>
  <c r="Z854" i="10"/>
  <c r="Z1002" i="10"/>
  <c r="Z1074" i="10"/>
  <c r="Z956" i="10"/>
  <c r="Z1114" i="10"/>
  <c r="Z825" i="10"/>
  <c r="Z1048" i="10"/>
  <c r="Z916" i="10"/>
  <c r="Z903" i="10"/>
  <c r="Z823" i="10"/>
  <c r="Z1138" i="10"/>
  <c r="Z1085" i="10"/>
  <c r="Z973" i="10"/>
  <c r="Z1051" i="10"/>
  <c r="Z1080" i="10"/>
  <c r="Z1110" i="10"/>
  <c r="Z1014" i="10"/>
  <c r="Z976" i="10"/>
  <c r="AF397" i="10"/>
  <c r="AF393" i="10"/>
  <c r="AF2" i="10" s="1"/>
  <c r="AF4" i="10" s="1"/>
  <c r="AE1112" i="10"/>
  <c r="AE1018" i="10"/>
  <c r="AE1124" i="10"/>
  <c r="AE1153" i="10"/>
  <c r="AE1125" i="10"/>
  <c r="AE1190" i="10"/>
  <c r="AE989" i="10"/>
  <c r="AE833" i="10"/>
  <c r="AE900" i="10"/>
  <c r="AE944" i="10"/>
  <c r="AE876" i="10"/>
  <c r="AE1057" i="10"/>
  <c r="AE1167" i="10"/>
  <c r="AE1053" i="10"/>
  <c r="AE1118" i="10"/>
  <c r="AE820" i="10"/>
  <c r="AE1077" i="10"/>
  <c r="AE840" i="10"/>
  <c r="AE977" i="10"/>
  <c r="AE1174" i="10"/>
  <c r="AE1111" i="10"/>
  <c r="AE966" i="10"/>
  <c r="AE1132" i="10"/>
  <c r="AE1170" i="10"/>
  <c r="AE834" i="10"/>
  <c r="AE1133" i="10"/>
  <c r="AE1189" i="10"/>
  <c r="AE1021" i="10"/>
  <c r="AE844" i="10"/>
  <c r="AE895" i="10"/>
  <c r="AE1087" i="10"/>
  <c r="AE1158" i="10"/>
  <c r="AE882" i="10"/>
  <c r="AE1017" i="10"/>
  <c r="AE1172" i="10"/>
  <c r="AE993" i="10"/>
  <c r="AE1050" i="10"/>
  <c r="AE1090" i="10"/>
  <c r="AE881" i="10"/>
  <c r="AE946" i="10"/>
  <c r="AE1182" i="10"/>
  <c r="AE863" i="10"/>
  <c r="AE849" i="10"/>
  <c r="AE928" i="10"/>
  <c r="AE1188" i="10"/>
  <c r="AE1065" i="10"/>
  <c r="AE986" i="10"/>
  <c r="AE1010" i="10"/>
  <c r="AE1040" i="10"/>
  <c r="AE1070" i="10"/>
  <c r="AE829" i="10"/>
  <c r="AE914" i="10"/>
  <c r="AE1155" i="10"/>
  <c r="AE1154" i="10"/>
  <c r="AE1169" i="10"/>
  <c r="AE1004" i="10"/>
  <c r="AE1161" i="10"/>
  <c r="AE1135" i="10"/>
  <c r="AE901" i="10"/>
  <c r="AE960" i="10"/>
  <c r="AE1006" i="10"/>
  <c r="AE832" i="10"/>
  <c r="AE1177" i="10"/>
  <c r="AE1103" i="10"/>
  <c r="AE952" i="10"/>
  <c r="AE836" i="10"/>
  <c r="AE962" i="10"/>
  <c r="AE1094" i="10"/>
  <c r="AE870" i="10"/>
  <c r="AE907" i="10"/>
  <c r="AE862" i="10"/>
  <c r="AE899" i="10"/>
  <c r="AE871" i="10"/>
  <c r="AE1086" i="10"/>
  <c r="AE1121" i="10"/>
  <c r="AE1083" i="10"/>
  <c r="AE848" i="10"/>
  <c r="AE1130" i="10"/>
  <c r="AE842" i="10"/>
  <c r="AE1157" i="10"/>
  <c r="AE814" i="10"/>
  <c r="AE1134" i="10"/>
  <c r="AE843" i="10"/>
  <c r="AE947" i="10"/>
  <c r="AE1041" i="10"/>
  <c r="AE912" i="10"/>
  <c r="AE957" i="10"/>
  <c r="AE1066" i="10"/>
  <c r="AE1023" i="10"/>
  <c r="AE998" i="10"/>
  <c r="AE1095" i="10"/>
  <c r="AE873" i="10"/>
  <c r="AE935" i="10"/>
  <c r="AE891" i="10"/>
  <c r="AE1173" i="10"/>
  <c r="AE860" i="10"/>
  <c r="AE991" i="10"/>
  <c r="AE1187" i="10"/>
  <c r="AE983" i="10"/>
  <c r="AE1092" i="10"/>
  <c r="AE923" i="10"/>
  <c r="AE964" i="10"/>
  <c r="AE1024" i="10"/>
  <c r="AE1034" i="10"/>
  <c r="AE1129" i="10"/>
  <c r="AE852" i="10"/>
  <c r="AE853" i="10"/>
  <c r="AE971" i="10"/>
  <c r="AE878" i="10"/>
  <c r="AE984" i="10"/>
  <c r="AE861" i="10"/>
  <c r="AE1109" i="10"/>
  <c r="AE818" i="10"/>
  <c r="AE924" i="10"/>
  <c r="AE1081" i="10"/>
  <c r="AE821" i="10"/>
  <c r="AE886" i="10"/>
  <c r="AE1184" i="10"/>
  <c r="AE875" i="10"/>
  <c r="AE985" i="10"/>
  <c r="AE1175" i="10"/>
  <c r="AE1075" i="10"/>
  <c r="AE877" i="10"/>
  <c r="AE1049" i="10"/>
  <c r="AE920" i="10"/>
  <c r="AE902" i="10"/>
  <c r="AE988" i="10"/>
  <c r="AE1171" i="10"/>
  <c r="AE931" i="10"/>
  <c r="AE942" i="10"/>
  <c r="AE950" i="10"/>
  <c r="AE1085" i="10"/>
  <c r="AE889" i="10"/>
  <c r="AE835" i="10"/>
  <c r="AE1068" i="10"/>
  <c r="AE896" i="10"/>
  <c r="AE1025" i="10"/>
  <c r="AE967" i="10"/>
  <c r="AE879" i="10"/>
  <c r="AE1106" i="10"/>
  <c r="AE916" i="10"/>
  <c r="AE1166" i="10"/>
  <c r="AE887" i="10"/>
  <c r="AE817" i="10"/>
  <c r="AE963" i="10"/>
  <c r="AE978" i="10"/>
  <c r="AE865" i="10"/>
  <c r="AE1110" i="10"/>
  <c r="AE1179" i="10"/>
  <c r="AE1183" i="10"/>
  <c r="AE1045" i="10"/>
  <c r="AE1059" i="10"/>
  <c r="AE822" i="10"/>
  <c r="AE1164" i="10"/>
  <c r="AE972" i="10"/>
  <c r="AE1143" i="10"/>
  <c r="AE911" i="10"/>
  <c r="AE1136" i="10"/>
  <c r="AE979" i="10"/>
  <c r="AE1005" i="10"/>
  <c r="AE997" i="10"/>
  <c r="AE982" i="10"/>
  <c r="AE872" i="10"/>
  <c r="AE1151" i="10"/>
  <c r="AE1147" i="10"/>
  <c r="AE1074" i="10"/>
  <c r="AE1142" i="10"/>
  <c r="AE933" i="10"/>
  <c r="AE939" i="10"/>
  <c r="AE874" i="10"/>
  <c r="AE1150" i="10"/>
  <c r="AE980" i="10"/>
  <c r="AE1020" i="10"/>
  <c r="AE921" i="10"/>
  <c r="AE837" i="10"/>
  <c r="AE938" i="10"/>
  <c r="AE1061" i="10"/>
  <c r="AE1046" i="10"/>
  <c r="AE917" i="10"/>
  <c r="AE888" i="10"/>
  <c r="AE1026" i="10"/>
  <c r="AE1126" i="10"/>
  <c r="AE1168" i="10"/>
  <c r="AE869" i="10"/>
  <c r="AE1051" i="10"/>
  <c r="AE1063" i="10"/>
  <c r="AE1186" i="10"/>
  <c r="AE1097" i="10"/>
  <c r="AE976" i="10"/>
  <c r="AE1100" i="10"/>
  <c r="AE951" i="10"/>
  <c r="AE828" i="10"/>
  <c r="AE1163" i="10"/>
  <c r="AE1096" i="10"/>
  <c r="AE1055" i="10"/>
  <c r="AE905" i="10"/>
  <c r="AE1162" i="10"/>
  <c r="AE1071" i="10"/>
  <c r="AE1144" i="10"/>
  <c r="AE954" i="10"/>
  <c r="AE1117" i="10"/>
  <c r="AE915" i="10"/>
  <c r="AE1079" i="10"/>
  <c r="AE890" i="10"/>
  <c r="AE1002" i="10"/>
  <c r="AE1043" i="10"/>
  <c r="AE845" i="10"/>
  <c r="AE948" i="10"/>
  <c r="AE824" i="10"/>
  <c r="AE858" i="10"/>
  <c r="AE819" i="10"/>
  <c r="AE908" i="10"/>
  <c r="AE1138" i="10"/>
  <c r="AE1159" i="10"/>
  <c r="AE1119" i="10"/>
  <c r="AE999" i="10"/>
  <c r="AE936" i="10"/>
  <c r="AE1080" i="10"/>
  <c r="AE850" i="10"/>
  <c r="AE961" i="10"/>
  <c r="AE1145" i="10"/>
  <c r="AE1060" i="10"/>
  <c r="AE1181" i="10"/>
  <c r="AE1032" i="10"/>
  <c r="AE893" i="10"/>
  <c r="AE904" i="10"/>
  <c r="AE1093" i="10"/>
  <c r="AE1013" i="10"/>
  <c r="AE922" i="10"/>
  <c r="AE1156" i="10"/>
  <c r="AE892" i="10"/>
  <c r="AE955" i="10"/>
  <c r="AE975" i="10"/>
  <c r="AE956" i="10"/>
  <c r="AE868" i="10"/>
  <c r="AE968" i="10"/>
  <c r="AE854" i="10"/>
  <c r="AE913" i="10"/>
  <c r="AE1152" i="10"/>
  <c r="AE918" i="10"/>
  <c r="AE825" i="10"/>
  <c r="AE903" i="10"/>
  <c r="AE1011" i="10"/>
  <c r="AE1101" i="10"/>
  <c r="AE1048" i="10"/>
  <c r="AE1140" i="10"/>
  <c r="AE1072" i="10"/>
  <c r="AE1114" i="10"/>
  <c r="AE1098" i="10"/>
  <c r="AE1084" i="10"/>
  <c r="AE1137" i="10"/>
  <c r="J1018" i="10"/>
  <c r="J1073" i="10"/>
  <c r="J1078" i="10"/>
  <c r="J996" i="10"/>
  <c r="J1125" i="10"/>
  <c r="J900" i="10"/>
  <c r="J989" i="10"/>
  <c r="J833" i="10"/>
  <c r="J1089" i="10"/>
  <c r="J898" i="10"/>
  <c r="J1108" i="10"/>
  <c r="J1124" i="10"/>
  <c r="J1112" i="10"/>
  <c r="J906" i="10"/>
  <c r="J856" i="10"/>
  <c r="J944" i="10"/>
  <c r="J945" i="10"/>
  <c r="J1153" i="10"/>
  <c r="J1139" i="10"/>
  <c r="J866" i="10"/>
  <c r="J1180" i="10"/>
  <c r="J958" i="10"/>
  <c r="J953" i="10"/>
  <c r="J1057" i="10"/>
  <c r="J937" i="10"/>
  <c r="J847" i="10"/>
  <c r="J1123" i="10"/>
  <c r="J1077" i="10"/>
  <c r="J1053" i="10"/>
  <c r="J1132" i="10"/>
  <c r="J840" i="10"/>
  <c r="J1190" i="10"/>
  <c r="J1012" i="10"/>
  <c r="J959" i="10"/>
  <c r="J1167" i="10"/>
  <c r="J837" i="10"/>
  <c r="J940" i="10"/>
  <c r="J1071" i="10"/>
  <c r="J1156" i="10"/>
  <c r="J877" i="10"/>
  <c r="J888" i="10"/>
  <c r="J1149" i="10"/>
  <c r="J1161" i="10"/>
  <c r="J956" i="10"/>
  <c r="J1011" i="10"/>
  <c r="J816" i="10"/>
  <c r="J865" i="10"/>
  <c r="J967" i="10"/>
  <c r="J1117" i="10"/>
  <c r="J1119" i="10"/>
  <c r="J1088" i="10"/>
  <c r="J1043" i="10"/>
  <c r="J918" i="10"/>
  <c r="J951" i="10"/>
  <c r="J978" i="10"/>
  <c r="J1014" i="10"/>
  <c r="J1080" i="10"/>
  <c r="J1049" i="10"/>
  <c r="J819" i="10"/>
  <c r="J869" i="10"/>
  <c r="J887" i="10"/>
  <c r="J1162" i="10"/>
  <c r="J904" i="10"/>
  <c r="J886" i="10"/>
  <c r="J1054" i="10"/>
  <c r="J930" i="10"/>
  <c r="J1051" i="10"/>
  <c r="J858" i="10"/>
  <c r="J1100" i="10"/>
  <c r="J1107" i="10"/>
  <c r="J916" i="10"/>
  <c r="J1085" i="10"/>
  <c r="J1114" i="10"/>
  <c r="J1166" i="10"/>
  <c r="J933" i="10"/>
  <c r="J1063" i="10"/>
  <c r="J1110" i="10"/>
  <c r="J1084" i="10"/>
  <c r="J1025" i="10"/>
  <c r="J1033" i="10"/>
  <c r="J995" i="10"/>
  <c r="J825" i="10"/>
  <c r="J824" i="10"/>
  <c r="J941" i="10"/>
  <c r="J955" i="10"/>
  <c r="J975" i="10"/>
  <c r="J854" i="10"/>
  <c r="J1072" i="10"/>
  <c r="J917" i="10"/>
  <c r="J1131" i="10"/>
  <c r="J817" i="10"/>
  <c r="J929" i="10"/>
  <c r="J936" i="10"/>
  <c r="J954" i="10"/>
  <c r="J921" i="10"/>
  <c r="J879" i="10"/>
  <c r="J868" i="10"/>
  <c r="J905" i="10"/>
  <c r="J912" i="10"/>
  <c r="J874" i="10"/>
  <c r="J821" i="10"/>
  <c r="J988" i="10"/>
  <c r="J1140" i="10"/>
  <c r="J1186" i="10"/>
  <c r="J889" i="10"/>
  <c r="J1046" i="10"/>
  <c r="J896" i="10"/>
  <c r="J976" i="10"/>
  <c r="J999" i="10"/>
  <c r="J814" i="10"/>
  <c r="J864" i="10"/>
  <c r="J1061" i="10"/>
  <c r="J1184" i="10"/>
  <c r="J903" i="10"/>
  <c r="J892" i="10"/>
  <c r="J835" i="10"/>
  <c r="J815" i="10"/>
  <c r="J1098" i="10"/>
  <c r="J1097" i="10"/>
  <c r="J823" i="10"/>
  <c r="J1035" i="10"/>
  <c r="J948" i="10"/>
  <c r="J1020" i="10"/>
  <c r="J902" i="10"/>
  <c r="J1074" i="10"/>
  <c r="J1150" i="10"/>
  <c r="J1055" i="10"/>
  <c r="J872" i="10"/>
  <c r="J922" i="10"/>
  <c r="J950" i="10"/>
  <c r="J845" i="10"/>
  <c r="J1106" i="10"/>
  <c r="J1052" i="10"/>
  <c r="J1082" i="10"/>
  <c r="J942" i="10"/>
  <c r="J1093" i="10"/>
  <c r="J1075" i="10"/>
  <c r="J931" i="10"/>
  <c r="J910" i="10"/>
  <c r="J1076" i="10"/>
  <c r="J1101" i="10"/>
  <c r="J1122" i="10"/>
  <c r="J831" i="10"/>
  <c r="J1138" i="10"/>
  <c r="J850" i="10"/>
  <c r="J1144" i="10"/>
  <c r="J1096" i="10"/>
  <c r="J985" i="10"/>
  <c r="J1142" i="10"/>
  <c r="J992" i="10"/>
  <c r="J1179" i="10"/>
  <c r="J893" i="10"/>
  <c r="J934" i="10"/>
  <c r="J890" i="10"/>
  <c r="J875" i="10"/>
  <c r="J1048" i="10"/>
  <c r="J1147" i="10"/>
  <c r="J1141" i="10"/>
  <c r="J938" i="10"/>
  <c r="J1152" i="10"/>
  <c r="J908" i="10"/>
  <c r="J998" i="10"/>
  <c r="J1026" i="10"/>
  <c r="J939" i="10"/>
  <c r="J1176" i="10"/>
  <c r="J1079" i="10"/>
  <c r="J1159" i="10"/>
  <c r="J968" i="10"/>
  <c r="J1109" i="10"/>
  <c r="J1008" i="10"/>
  <c r="J1175" i="10"/>
  <c r="J913" i="10"/>
  <c r="J963" i="10"/>
  <c r="J924" i="10"/>
  <c r="J947" i="10"/>
  <c r="J1102" i="10"/>
  <c r="J1002" i="10"/>
  <c r="J1126" i="10"/>
  <c r="J1168" i="10"/>
  <c r="J1172" i="10"/>
  <c r="J1005" i="10"/>
  <c r="J1068" i="10"/>
  <c r="J980" i="10"/>
  <c r="J1001" i="10"/>
  <c r="J920" i="10"/>
  <c r="J1171" i="10"/>
  <c r="J1095" i="10"/>
  <c r="J982" i="10"/>
  <c r="J885" i="10"/>
  <c r="J1013" i="10"/>
  <c r="J1178" i="10"/>
  <c r="J1134" i="10"/>
  <c r="K1146" i="10"/>
  <c r="K1099" i="10"/>
  <c r="K900" i="10"/>
  <c r="K898" i="10"/>
  <c r="K1167" i="10"/>
  <c r="K884" i="10"/>
  <c r="K1115" i="10"/>
  <c r="K846" i="10"/>
  <c r="K856" i="10"/>
  <c r="K1180" i="10"/>
  <c r="K937" i="10"/>
  <c r="K897" i="10"/>
  <c r="K932" i="10"/>
  <c r="K945" i="10"/>
  <c r="K1174" i="10"/>
  <c r="K996" i="10"/>
  <c r="K851" i="10"/>
  <c r="K1018" i="10"/>
  <c r="K1118" i="10"/>
  <c r="K949" i="10"/>
  <c r="K926" i="10"/>
  <c r="K1036" i="10"/>
  <c r="K1089" i="10"/>
  <c r="K958" i="10"/>
  <c r="K1112" i="10"/>
  <c r="K867" i="10"/>
  <c r="K1077" i="10"/>
  <c r="K1123" i="10"/>
  <c r="K1053" i="10"/>
  <c r="K1124" i="10"/>
  <c r="K1139" i="10"/>
  <c r="K944" i="10"/>
  <c r="K1078" i="10"/>
  <c r="K925" i="10"/>
  <c r="K919" i="10"/>
  <c r="K1042" i="10"/>
  <c r="K1190" i="10"/>
  <c r="K1102" i="10"/>
  <c r="K866" i="10"/>
  <c r="K943" i="10"/>
  <c r="K959" i="10"/>
  <c r="K989" i="10"/>
  <c r="K923" i="10"/>
  <c r="K964" i="10"/>
  <c r="K960" i="10"/>
  <c r="K1041" i="10"/>
  <c r="K1154" i="10"/>
  <c r="K1023" i="10"/>
  <c r="K1034" i="10"/>
  <c r="K1160" i="10"/>
  <c r="K1083" i="10"/>
  <c r="K966" i="10"/>
  <c r="K1060" i="10"/>
  <c r="K957" i="10"/>
  <c r="K1069" i="10"/>
  <c r="K1111" i="10"/>
  <c r="K891" i="10"/>
  <c r="K1173" i="10"/>
  <c r="K1059" i="10"/>
  <c r="K914" i="10"/>
  <c r="K1188" i="10"/>
  <c r="K862" i="10"/>
  <c r="K899" i="10"/>
  <c r="K844" i="10"/>
  <c r="K1170" i="10"/>
  <c r="K895" i="10"/>
  <c r="K1086" i="10"/>
  <c r="K834" i="10"/>
  <c r="K882" i="10"/>
  <c r="K991" i="10"/>
  <c r="K849" i="10"/>
  <c r="K972" i="10"/>
  <c r="K860" i="10"/>
  <c r="K979" i="10"/>
  <c r="K907" i="10"/>
  <c r="K842" i="10"/>
  <c r="K1158" i="10"/>
  <c r="K1024" i="10"/>
  <c r="K912" i="10"/>
  <c r="K998" i="10"/>
  <c r="K1017" i="10"/>
  <c r="K836" i="10"/>
  <c r="K993" i="10"/>
  <c r="K1129" i="10"/>
  <c r="K982" i="10"/>
  <c r="K1070" i="10"/>
  <c r="K829" i="10"/>
  <c r="K1087" i="10"/>
  <c r="K893" i="10"/>
  <c r="K832" i="10"/>
  <c r="K928" i="10"/>
  <c r="K1145" i="10"/>
  <c r="K1040" i="10"/>
  <c r="K924" i="10"/>
  <c r="K871" i="10"/>
  <c r="K873" i="10"/>
  <c r="K1157" i="10"/>
  <c r="K1103" i="10"/>
  <c r="K878" i="10"/>
  <c r="K1094" i="10"/>
  <c r="K1155" i="10"/>
  <c r="K870" i="10"/>
  <c r="K1169" i="10"/>
  <c r="K901" i="10"/>
  <c r="K946" i="10"/>
  <c r="K1130" i="10"/>
  <c r="K1065" i="10"/>
  <c r="K986" i="10"/>
  <c r="K1135" i="10"/>
  <c r="K1045" i="10"/>
  <c r="K1133" i="10"/>
  <c r="K1143" i="10"/>
  <c r="K863" i="10"/>
  <c r="K1134" i="10"/>
  <c r="K962" i="10"/>
  <c r="K935" i="10"/>
  <c r="K839" i="10"/>
  <c r="K1177" i="10"/>
  <c r="K952" i="10"/>
  <c r="K1066" i="10"/>
  <c r="K1183" i="10"/>
  <c r="K1006" i="10"/>
  <c r="K881" i="10"/>
  <c r="K1004" i="10"/>
  <c r="K1182" i="10"/>
  <c r="K1010" i="10"/>
  <c r="K1164" i="10"/>
  <c r="K861" i="10"/>
  <c r="K984" i="10"/>
  <c r="K1109" i="10"/>
  <c r="K1147" i="10"/>
  <c r="K911" i="10"/>
  <c r="K1163" i="10"/>
  <c r="K1021" i="10"/>
  <c r="K1032" i="10"/>
  <c r="K971" i="10"/>
  <c r="K1005" i="10"/>
  <c r="K1178" i="10"/>
  <c r="K1031" i="10"/>
  <c r="K1022" i="10"/>
  <c r="K1121" i="10"/>
  <c r="K1172" i="10"/>
  <c r="K853" i="10"/>
  <c r="K872" i="10"/>
  <c r="K822" i="10"/>
  <c r="K983" i="10"/>
  <c r="K818" i="10"/>
  <c r="K997" i="10"/>
  <c r="K828" i="10"/>
  <c r="K885" i="10"/>
  <c r="K814" i="10"/>
  <c r="K1095" i="10"/>
  <c r="K1092" i="10"/>
  <c r="K852" i="10"/>
  <c r="K1161" i="10"/>
  <c r="K1189" i="10"/>
  <c r="K1003" i="10"/>
  <c r="K848" i="10"/>
  <c r="K1151" i="10"/>
  <c r="K985" i="10"/>
  <c r="K1071" i="10"/>
  <c r="K1184" i="10"/>
  <c r="K868" i="10"/>
  <c r="K1074" i="10"/>
  <c r="K1096" i="10"/>
  <c r="K1075" i="10"/>
  <c r="K1144" i="10"/>
  <c r="K905" i="10"/>
  <c r="K1020" i="10"/>
  <c r="K1002" i="10"/>
  <c r="K903" i="10"/>
  <c r="K942" i="10"/>
  <c r="K1001" i="10"/>
  <c r="K1061" i="10"/>
  <c r="K939" i="10"/>
  <c r="K1013" i="10"/>
  <c r="K950" i="10"/>
  <c r="K1011" i="10"/>
  <c r="K1043" i="10"/>
  <c r="K1085" i="10"/>
  <c r="K917" i="10"/>
  <c r="K967" i="10"/>
  <c r="K902" i="10"/>
  <c r="K858" i="10"/>
  <c r="K1051" i="10"/>
  <c r="K825" i="10"/>
  <c r="K1106" i="10"/>
  <c r="K817" i="10"/>
  <c r="K1025" i="10"/>
  <c r="K951" i="10"/>
  <c r="K850" i="10"/>
  <c r="K978" i="10"/>
  <c r="K1110" i="10"/>
  <c r="K1116" i="10"/>
  <c r="K1009" i="10"/>
  <c r="K987" i="10"/>
  <c r="K1148" i="10"/>
  <c r="K1187" i="10"/>
  <c r="K947" i="10"/>
  <c r="AO393" i="10"/>
  <c r="AO2" i="10" s="1"/>
  <c r="AO4" i="10" s="1"/>
  <c r="AO397" i="10"/>
  <c r="U1160" i="10"/>
  <c r="U1123" i="10"/>
  <c r="U1053" i="10"/>
  <c r="U959" i="10"/>
  <c r="U1146" i="10"/>
  <c r="U1102" i="10"/>
  <c r="U898" i="10"/>
  <c r="U813" i="10"/>
  <c r="U1073" i="10"/>
  <c r="U1190" i="10"/>
  <c r="U969" i="10"/>
  <c r="U833" i="10"/>
  <c r="U958" i="10"/>
  <c r="U949" i="10"/>
  <c r="U840" i="10"/>
  <c r="U856" i="10"/>
  <c r="U1112" i="10"/>
  <c r="U851" i="10"/>
  <c r="U1077" i="10"/>
  <c r="U1007" i="10"/>
  <c r="U932" i="10"/>
  <c r="U1132" i="10"/>
  <c r="U926" i="10"/>
  <c r="U937" i="10"/>
  <c r="U1056" i="10"/>
  <c r="U1064" i="10"/>
  <c r="U1108" i="10"/>
  <c r="U847" i="10"/>
  <c r="U1118" i="10"/>
  <c r="U812" i="10"/>
  <c r="U900" i="10"/>
  <c r="U1069" i="10"/>
  <c r="U1180" i="10"/>
  <c r="U953" i="10"/>
  <c r="U1167" i="10"/>
  <c r="U944" i="10"/>
  <c r="U996" i="10"/>
  <c r="U866" i="10"/>
  <c r="U1099" i="10"/>
  <c r="U945" i="10"/>
  <c r="U884" i="10"/>
  <c r="U867" i="10"/>
  <c r="U846" i="10"/>
  <c r="U1078" i="10"/>
  <c r="U876" i="10"/>
  <c r="U1115" i="10"/>
  <c r="U1019" i="10"/>
  <c r="U814" i="10"/>
  <c r="U873" i="10"/>
  <c r="U935" i="10"/>
  <c r="U829" i="10"/>
  <c r="U891" i="10"/>
  <c r="U1042" i="10"/>
  <c r="U919" i="10"/>
  <c r="U1125" i="10"/>
  <c r="U1174" i="10"/>
  <c r="U943" i="10"/>
  <c r="U1057" i="10"/>
  <c r="U1139" i="10"/>
  <c r="U989" i="10"/>
  <c r="U1170" i="10"/>
  <c r="U1065" i="10"/>
  <c r="U1045" i="10"/>
  <c r="U923" i="10"/>
  <c r="U1050" i="10"/>
  <c r="U1018" i="10"/>
  <c r="U906" i="10"/>
  <c r="U1036" i="10"/>
  <c r="U1066" i="10"/>
  <c r="U983" i="10"/>
  <c r="U1154" i="10"/>
  <c r="U1023" i="10"/>
  <c r="U895" i="10"/>
  <c r="U1124" i="10"/>
  <c r="U1173" i="10"/>
  <c r="U911" i="10"/>
  <c r="U1024" i="10"/>
  <c r="U912" i="10"/>
  <c r="U1017" i="10"/>
  <c r="U1130" i="10"/>
  <c r="U1059" i="10"/>
  <c r="U1012" i="10"/>
  <c r="U1087" i="10"/>
  <c r="U1034" i="10"/>
  <c r="U1187" i="10"/>
  <c r="U862" i="10"/>
  <c r="U925" i="10"/>
  <c r="U977" i="10"/>
  <c r="U1006" i="10"/>
  <c r="U1158" i="10"/>
  <c r="U966" i="10"/>
  <c r="U1086" i="10"/>
  <c r="U1145" i="10"/>
  <c r="U1070" i="10"/>
  <c r="U842" i="10"/>
  <c r="U1103" i="10"/>
  <c r="U881" i="10"/>
  <c r="U832" i="10"/>
  <c r="U986" i="10"/>
  <c r="U998" i="10"/>
  <c r="U972" i="10"/>
  <c r="U1172" i="10"/>
  <c r="U1153" i="10"/>
  <c r="U952" i="10"/>
  <c r="U964" i="10"/>
  <c r="U1083" i="10"/>
  <c r="U882" i="10"/>
  <c r="U860" i="10"/>
  <c r="U907" i="10"/>
  <c r="U901" i="10"/>
  <c r="U1143" i="10"/>
  <c r="U863" i="10"/>
  <c r="U979" i="10"/>
  <c r="U960" i="10"/>
  <c r="U1040" i="10"/>
  <c r="U871" i="10"/>
  <c r="U1004" i="10"/>
  <c r="U1129" i="10"/>
  <c r="U872" i="10"/>
  <c r="U1089" i="10"/>
  <c r="U1177" i="10"/>
  <c r="U1182" i="10"/>
  <c r="U836" i="10"/>
  <c r="U1189" i="10"/>
  <c r="U1092" i="10"/>
  <c r="U947" i="10"/>
  <c r="U1041" i="10"/>
  <c r="U1111" i="10"/>
  <c r="U1032" i="10"/>
  <c r="U1133" i="10"/>
  <c r="U962" i="10"/>
  <c r="U984" i="10"/>
  <c r="U1151" i="10"/>
  <c r="U1090" i="10"/>
  <c r="U1169" i="10"/>
  <c r="U1155" i="10"/>
  <c r="U839" i="10"/>
  <c r="U849" i="10"/>
  <c r="U1094" i="10"/>
  <c r="U993" i="10"/>
  <c r="U870" i="10"/>
  <c r="U1183" i="10"/>
  <c r="U1157" i="10"/>
  <c r="U1095" i="10"/>
  <c r="U834" i="10"/>
  <c r="U1181" i="10"/>
  <c r="U982" i="10"/>
  <c r="U848" i="10"/>
  <c r="U909" i="10"/>
  <c r="U878" i="10"/>
  <c r="U904" i="10"/>
  <c r="U1176" i="10"/>
  <c r="U938" i="10"/>
  <c r="U948" i="10"/>
  <c r="U955" i="10"/>
  <c r="U939" i="10"/>
  <c r="U910" i="10"/>
  <c r="U1096" i="10"/>
  <c r="U1061" i="10"/>
  <c r="U1184" i="10"/>
  <c r="U1013" i="10"/>
  <c r="U1149" i="10"/>
  <c r="U931" i="10"/>
  <c r="U875" i="10"/>
  <c r="U1025" i="10"/>
  <c r="U1074" i="10"/>
  <c r="U902" i="10"/>
  <c r="U916" i="10"/>
  <c r="U1186" i="10"/>
  <c r="U1002" i="10"/>
  <c r="U1107" i="10"/>
  <c r="U1119" i="10"/>
  <c r="U1168" i="10"/>
  <c r="U956" i="10"/>
  <c r="U1140" i="10"/>
  <c r="U845" i="10"/>
  <c r="U920" i="10"/>
  <c r="U1026" i="10"/>
  <c r="U963" i="10"/>
  <c r="U889" i="10"/>
  <c r="U1088" i="10"/>
  <c r="U1179" i="10"/>
  <c r="U999" i="10"/>
  <c r="U978" i="10"/>
  <c r="U936" i="10"/>
  <c r="U1147" i="10"/>
  <c r="U997" i="10"/>
  <c r="U957" i="10"/>
  <c r="U826" i="10"/>
  <c r="U1134" i="10"/>
  <c r="U1141" i="10"/>
  <c r="U988" i="10"/>
  <c r="U980" i="10"/>
  <c r="U890" i="10"/>
  <c r="U1071" i="10"/>
  <c r="U1156" i="10"/>
  <c r="U941" i="10"/>
  <c r="U1093" i="10"/>
  <c r="U930" i="10"/>
  <c r="U968" i="10"/>
  <c r="U892" i="10"/>
  <c r="U1122" i="10"/>
  <c r="U1150" i="10"/>
  <c r="U1085" i="10"/>
  <c r="U985" i="10"/>
  <c r="U922" i="10"/>
  <c r="U896" i="10"/>
  <c r="U918" i="10"/>
  <c r="U1166" i="10"/>
  <c r="U879" i="10"/>
  <c r="U835" i="10"/>
  <c r="U1114" i="10"/>
  <c r="U825" i="10"/>
  <c r="U973" i="10"/>
  <c r="U858" i="10"/>
  <c r="U1097" i="10"/>
  <c r="U1049" i="10"/>
  <c r="U824" i="10"/>
  <c r="U1137" i="10"/>
  <c r="U816" i="10"/>
  <c r="U1098" i="10"/>
  <c r="U1110" i="10"/>
  <c r="U951" i="10"/>
  <c r="U1014" i="10"/>
  <c r="U1080" i="10"/>
  <c r="U1062" i="10"/>
  <c r="U991" i="10"/>
  <c r="U928" i="10"/>
  <c r="U946" i="10"/>
  <c r="U899" i="10"/>
  <c r="U1144" i="10"/>
  <c r="U837" i="10"/>
  <c r="U1055" i="10"/>
  <c r="U888" i="10"/>
  <c r="U886" i="10"/>
  <c r="U1175" i="10"/>
  <c r="U821" i="10"/>
  <c r="U1162" i="10"/>
  <c r="U1079" i="10"/>
  <c r="U975" i="10"/>
  <c r="U1020" i="10"/>
  <c r="U913" i="10"/>
  <c r="U1076" i="10"/>
  <c r="U903" i="10"/>
  <c r="U868" i="10"/>
  <c r="U819" i="10"/>
  <c r="U1117" i="10"/>
  <c r="U1011" i="10"/>
  <c r="U976" i="10"/>
  <c r="U887" i="10"/>
  <c r="U917" i="10"/>
  <c r="U1068" i="10"/>
  <c r="U921" i="10"/>
  <c r="U1082" i="10"/>
  <c r="U1126" i="10"/>
  <c r="U1043" i="10"/>
  <c r="U1101" i="10"/>
  <c r="U950" i="10"/>
  <c r="U967" i="10"/>
  <c r="U992" i="10"/>
  <c r="U929" i="10"/>
  <c r="U865" i="10"/>
  <c r="U1084" i="10"/>
  <c r="U1100" i="10"/>
  <c r="U854" i="10"/>
  <c r="U874" i="10"/>
  <c r="U942" i="10"/>
  <c r="U1008" i="10"/>
  <c r="U954" i="10"/>
  <c r="U915" i="10"/>
  <c r="U1046" i="10"/>
  <c r="U1106" i="10"/>
  <c r="U1161" i="10"/>
  <c r="U822" i="10"/>
  <c r="U853" i="10"/>
  <c r="U1109" i="10"/>
  <c r="U940" i="10"/>
  <c r="U1159" i="10"/>
  <c r="U995" i="10"/>
  <c r="U1001" i="10"/>
  <c r="U823" i="10"/>
  <c r="U1152" i="10"/>
  <c r="U1048" i="10"/>
  <c r="U1052" i="10"/>
  <c r="U828" i="10"/>
  <c r="U1010" i="10"/>
  <c r="U1164" i="10"/>
  <c r="U1003" i="10"/>
  <c r="U844" i="10"/>
  <c r="U1060" i="10"/>
  <c r="U1005" i="10"/>
  <c r="U914" i="10"/>
  <c r="U883" i="10"/>
  <c r="U1116" i="10"/>
  <c r="U994" i="10"/>
  <c r="U1128" i="10"/>
  <c r="U880" i="10"/>
  <c r="U1178" i="10"/>
  <c r="U927" i="10"/>
  <c r="U893" i="10"/>
  <c r="U877" i="10"/>
  <c r="U1171" i="10"/>
  <c r="U1142" i="10"/>
  <c r="U933" i="10"/>
  <c r="U815" i="10"/>
  <c r="U1131" i="10"/>
  <c r="U1072" i="10"/>
  <c r="U1051" i="10"/>
  <c r="U850" i="10"/>
  <c r="U1163" i="10"/>
  <c r="U861" i="10"/>
  <c r="U818" i="10"/>
  <c r="U1081" i="10"/>
  <c r="J907" i="10"/>
  <c r="J891" i="10"/>
  <c r="J1182" i="10"/>
  <c r="J991" i="10"/>
  <c r="J1092" i="10"/>
  <c r="J1189" i="10"/>
  <c r="J827" i="10"/>
  <c r="J987" i="10"/>
  <c r="J994" i="10"/>
  <c r="P857" i="10"/>
  <c r="AT857" i="10"/>
  <c r="AA1067" i="10"/>
  <c r="W894" i="10"/>
  <c r="M1091" i="10"/>
  <c r="AX1105" i="10"/>
  <c r="AX1505" i="10" s="1"/>
  <c r="AO1105" i="10"/>
  <c r="P831" i="10"/>
  <c r="AR838" i="10"/>
  <c r="J1087" i="10"/>
  <c r="J1065" i="10"/>
  <c r="J1083" i="10"/>
  <c r="J1024" i="10"/>
  <c r="J1023" i="10"/>
  <c r="J1143" i="10"/>
  <c r="J909" i="10"/>
  <c r="J828" i="10"/>
  <c r="J844" i="10"/>
  <c r="J830" i="10"/>
  <c r="R857" i="10"/>
  <c r="V864" i="10"/>
  <c r="W1185" i="10"/>
  <c r="AO857" i="10"/>
  <c r="AD934" i="10"/>
  <c r="AP981" i="10"/>
  <c r="N1185" i="10"/>
  <c r="Z1185" i="10"/>
  <c r="AC981" i="10"/>
  <c r="AU1513" i="10"/>
  <c r="W831" i="10"/>
  <c r="AN1165" i="10"/>
  <c r="AM894" i="10"/>
  <c r="AA961" i="10"/>
  <c r="P987" i="10"/>
  <c r="K1105" i="10"/>
  <c r="AT965" i="10"/>
  <c r="Q965" i="10"/>
  <c r="AT831" i="10"/>
  <c r="L1067" i="10"/>
  <c r="AL880" i="10"/>
  <c r="AA838" i="10"/>
  <c r="AD987" i="10"/>
  <c r="AT961" i="10"/>
  <c r="AO1136" i="10"/>
  <c r="AK1165" i="10"/>
  <c r="AR1165" i="10"/>
  <c r="AG990" i="10"/>
  <c r="L841" i="10"/>
  <c r="AR970" i="10"/>
  <c r="Q883" i="10"/>
  <c r="AJ883" i="10"/>
  <c r="AD1120" i="10"/>
  <c r="AG1128" i="10"/>
  <c r="AU1327" i="10"/>
  <c r="AE827" i="10"/>
  <c r="AR1062" i="10"/>
  <c r="Y857" i="10"/>
  <c r="P1113" i="10"/>
  <c r="AI981" i="10"/>
  <c r="AJ1113" i="10"/>
  <c r="AG1067" i="10"/>
  <c r="AN994" i="10"/>
  <c r="AB1091" i="10"/>
  <c r="S1113" i="10"/>
  <c r="AT1105" i="10"/>
  <c r="AJ1105" i="10"/>
  <c r="U1000" i="10"/>
  <c r="V961" i="10"/>
  <c r="AU1548" i="10"/>
  <c r="AS961" i="10"/>
  <c r="Q830" i="10"/>
  <c r="Q974" i="10"/>
  <c r="AO1165" i="10"/>
  <c r="AU1370" i="10"/>
  <c r="AJ970" i="10"/>
  <c r="AF841" i="10"/>
  <c r="AU1241" i="10"/>
  <c r="AI970" i="10"/>
  <c r="AX1116" i="10"/>
  <c r="AX1516" i="10" s="1"/>
  <c r="AN830" i="10"/>
  <c r="R883" i="10"/>
  <c r="AH883" i="10"/>
  <c r="M1120" i="10"/>
  <c r="J1047" i="10"/>
  <c r="Z1120" i="10"/>
  <c r="AJ1128" i="10"/>
  <c r="AB1128" i="10"/>
  <c r="Z927" i="10"/>
  <c r="N927" i="10"/>
  <c r="AU1527" i="10"/>
  <c r="AW852" i="10"/>
  <c r="AW1252" i="10" s="1"/>
  <c r="AJ1178" i="10"/>
  <c r="AE909" i="10"/>
  <c r="AX1181" i="10"/>
  <c r="AX1581" i="10" s="1"/>
  <c r="Z1127" i="10"/>
  <c r="Z859" i="10"/>
  <c r="W857" i="10"/>
  <c r="Q1062" i="10"/>
  <c r="Y1009" i="10"/>
  <c r="AS864" i="10"/>
  <c r="P1185" i="10"/>
  <c r="T857" i="10"/>
  <c r="AV857" i="10"/>
  <c r="AV1257" i="10" s="1"/>
  <c r="AM1058" i="10"/>
  <c r="V1009" i="10"/>
  <c r="AI1009" i="10"/>
  <c r="L1185" i="10"/>
  <c r="P1058" i="10"/>
  <c r="AE981" i="10"/>
  <c r="AQ934" i="10"/>
  <c r="AB981" i="10"/>
  <c r="W1091" i="10"/>
  <c r="AO1058" i="10"/>
  <c r="N1113" i="10"/>
  <c r="O880" i="10"/>
  <c r="L894" i="10"/>
  <c r="P1067" i="10"/>
  <c r="AO1091" i="10"/>
  <c r="AS831" i="10"/>
  <c r="AL987" i="10"/>
  <c r="AS1000" i="10"/>
  <c r="AB1105" i="10"/>
  <c r="AD1105" i="10"/>
  <c r="U965" i="10"/>
  <c r="AK1000" i="10"/>
  <c r="AJ880" i="10"/>
  <c r="AE830" i="10"/>
  <c r="AF1067" i="10"/>
  <c r="O987" i="10"/>
  <c r="AQ987" i="10"/>
  <c r="AS880" i="10"/>
  <c r="AF880" i="10"/>
  <c r="AF838" i="10"/>
  <c r="AV1067" i="10"/>
  <c r="AV1467" i="10" s="1"/>
  <c r="AM1000" i="10"/>
  <c r="AX961" i="10"/>
  <c r="AX1361" i="10" s="1"/>
  <c r="AJ1136" i="10"/>
  <c r="U961" i="10"/>
  <c r="P1148" i="10"/>
  <c r="S1136" i="10"/>
  <c r="J961" i="10"/>
  <c r="AV830" i="10"/>
  <c r="AV1230" i="10" s="1"/>
  <c r="AA974" i="10"/>
  <c r="R974" i="10"/>
  <c r="T974" i="10"/>
  <c r="AS970" i="10"/>
  <c r="K990" i="10"/>
  <c r="AC990" i="10"/>
  <c r="AP841" i="10"/>
  <c r="AV970" i="10"/>
  <c r="AV1370" i="10" s="1"/>
  <c r="Y970" i="10"/>
  <c r="AG1116" i="10"/>
  <c r="Y883" i="10"/>
  <c r="AT830" i="10"/>
  <c r="U1120" i="10"/>
  <c r="L1120" i="10"/>
  <c r="AP1047" i="10"/>
  <c r="O1128" i="10"/>
  <c r="AQ1128" i="10"/>
  <c r="AT927" i="10"/>
  <c r="O1127" i="10"/>
  <c r="AQ827" i="10"/>
  <c r="AB827" i="10"/>
  <c r="Q957" i="10"/>
  <c r="AE1127" i="10"/>
  <c r="AF859" i="10"/>
  <c r="AN1062" i="10"/>
  <c r="AC1062" i="10"/>
  <c r="AB1062" i="10"/>
  <c r="N864" i="10"/>
  <c r="AQ864" i="10"/>
  <c r="AB1185" i="10"/>
  <c r="AP934" i="10"/>
  <c r="AH994" i="10"/>
  <c r="T994" i="10"/>
  <c r="AN1009" i="10"/>
  <c r="AP1185" i="10"/>
  <c r="AE1009" i="10"/>
  <c r="AL1058" i="10"/>
  <c r="AC855" i="10"/>
  <c r="T855" i="10"/>
  <c r="AD1058" i="10"/>
  <c r="AW1058" i="10"/>
  <c r="AW1458" i="10" s="1"/>
  <c r="M1058" i="10"/>
  <c r="AO831" i="10"/>
  <c r="AU1374" i="10"/>
  <c r="AB1067" i="10"/>
  <c r="P894" i="10"/>
  <c r="AL894" i="10"/>
  <c r="AJ990" i="10"/>
  <c r="S987" i="10"/>
  <c r="U1091" i="10"/>
  <c r="AU1491" i="10"/>
  <c r="U974" i="10"/>
  <c r="AC1091" i="10"/>
  <c r="AQ1105" i="10"/>
  <c r="W1105" i="10"/>
  <c r="AU1505" i="10"/>
  <c r="AJ965" i="10"/>
  <c r="S965" i="10"/>
  <c r="AD831" i="10"/>
  <c r="R1067" i="10"/>
  <c r="AE1000" i="10"/>
  <c r="R880" i="10"/>
  <c r="W838" i="10"/>
  <c r="AW838" i="10"/>
  <c r="AW1238" i="10" s="1"/>
  <c r="O1113" i="10"/>
  <c r="S1067" i="10"/>
  <c r="AF1136" i="10"/>
  <c r="AK841" i="10"/>
  <c r="M1148" i="10"/>
  <c r="W1148" i="10"/>
  <c r="AB830" i="10"/>
  <c r="P974" i="10"/>
  <c r="R1165" i="10"/>
  <c r="AT1165" i="10"/>
  <c r="AU1565" i="10"/>
  <c r="AN970" i="10"/>
  <c r="AF990" i="10"/>
  <c r="AX841" i="10"/>
  <c r="AX1241" i="10" s="1"/>
  <c r="AL970" i="10"/>
  <c r="AR1116" i="10"/>
  <c r="AW1116" i="10"/>
  <c r="AW1516" i="10" s="1"/>
  <c r="AA883" i="10"/>
  <c r="V830" i="10"/>
  <c r="AU1520" i="10"/>
  <c r="AB1120" i="10"/>
  <c r="AW1128" i="10"/>
  <c r="AW1528" i="10" s="1"/>
  <c r="Z1128" i="10"/>
  <c r="S927" i="10"/>
  <c r="K927" i="10"/>
  <c r="AO1127" i="10"/>
  <c r="AN828" i="10"/>
  <c r="L827" i="10"/>
  <c r="Q852" i="10"/>
  <c r="M1181" i="10"/>
  <c r="AW859" i="10"/>
  <c r="AW1259" i="10" s="1"/>
  <c r="M859" i="10"/>
  <c r="AC1128" i="10"/>
  <c r="L885" i="10"/>
  <c r="U885" i="10"/>
  <c r="AK885" i="10"/>
  <c r="AC957" i="10"/>
  <c r="AU1581" i="10"/>
  <c r="AN1084" i="10"/>
  <c r="AN1100" i="10"/>
  <c r="AN976" i="10"/>
  <c r="AN1080" i="10"/>
  <c r="AN1097" i="10"/>
  <c r="AN889" i="10"/>
  <c r="AN995" i="10"/>
  <c r="AN1063" i="10"/>
  <c r="AN1072" i="10"/>
  <c r="AN1088" i="10"/>
  <c r="AN918" i="10"/>
  <c r="AN817" i="10"/>
  <c r="AN902" i="10"/>
  <c r="AN835" i="10"/>
  <c r="AN1137" i="10"/>
  <c r="AN1020" i="10"/>
  <c r="AN933" i="10"/>
  <c r="AN1142" i="10"/>
  <c r="AN931" i="10"/>
  <c r="AN938" i="10"/>
  <c r="AN910" i="10"/>
  <c r="AN988" i="10"/>
  <c r="AN1162" i="10"/>
  <c r="AN904" i="10"/>
  <c r="AN920" i="10"/>
  <c r="AN1175" i="10"/>
  <c r="AN1156" i="10"/>
  <c r="AA1181" i="10"/>
  <c r="AS844" i="10"/>
  <c r="K1052" i="10"/>
  <c r="K1098" i="10"/>
  <c r="K869" i="10"/>
  <c r="K908" i="10"/>
  <c r="K1126" i="10"/>
  <c r="K824" i="10"/>
  <c r="K1186" i="10"/>
  <c r="K1033" i="10"/>
  <c r="K1088" i="10"/>
  <c r="K992" i="10"/>
  <c r="K1048" i="10"/>
  <c r="K1107" i="10"/>
  <c r="K954" i="10"/>
  <c r="K1079" i="10"/>
  <c r="K1101" i="10"/>
  <c r="K956" i="10"/>
  <c r="K888" i="10"/>
  <c r="K890" i="10"/>
  <c r="K930" i="10"/>
  <c r="K975" i="10"/>
  <c r="K1162" i="10"/>
  <c r="K1156" i="10"/>
  <c r="K931" i="10"/>
  <c r="K875" i="10"/>
  <c r="K874" i="10"/>
  <c r="K955" i="10"/>
  <c r="AQ951" i="10"/>
  <c r="AQ1063" i="10"/>
  <c r="AQ850" i="10"/>
  <c r="AQ1097" i="10"/>
  <c r="AQ1126" i="10"/>
  <c r="AQ942" i="10"/>
  <c r="AQ858" i="10"/>
  <c r="AQ816" i="10"/>
  <c r="AQ956" i="10"/>
  <c r="AQ835" i="10"/>
  <c r="AQ902" i="10"/>
  <c r="AQ918" i="10"/>
  <c r="AQ917" i="10"/>
  <c r="AQ1117" i="10"/>
  <c r="AQ1049" i="10"/>
  <c r="AQ879" i="10"/>
  <c r="AQ1149" i="10"/>
  <c r="AQ950" i="10"/>
  <c r="AQ1168" i="10"/>
  <c r="AQ1142" i="10"/>
  <c r="AQ837" i="10"/>
  <c r="AQ874" i="10"/>
  <c r="AQ877" i="10"/>
  <c r="AQ910" i="10"/>
  <c r="AQ1001" i="10"/>
  <c r="AS1110" i="10"/>
  <c r="AS951" i="10"/>
  <c r="AS978" i="10"/>
  <c r="AS835" i="10"/>
  <c r="AS1063" i="10"/>
  <c r="AS1085" i="10"/>
  <c r="AS816" i="10"/>
  <c r="AS954" i="10"/>
  <c r="AS1186" i="10"/>
  <c r="AS1026" i="10"/>
  <c r="AS1166" i="10"/>
  <c r="AS1119" i="10"/>
  <c r="AS879" i="10"/>
  <c r="AS1035" i="10"/>
  <c r="AS933" i="10"/>
  <c r="AS930" i="10"/>
  <c r="AS824" i="10"/>
  <c r="AS920" i="10"/>
  <c r="AS1117" i="10"/>
  <c r="AS980" i="10"/>
  <c r="AS1162" i="10"/>
  <c r="AS1175" i="10"/>
  <c r="AS939" i="10"/>
  <c r="AS905" i="10"/>
  <c r="AS886" i="10"/>
  <c r="AS988" i="10"/>
  <c r="T850" i="10"/>
  <c r="T1179" i="10"/>
  <c r="T1107" i="10"/>
  <c r="T913" i="10"/>
  <c r="T917" i="10"/>
  <c r="T887" i="10"/>
  <c r="T1138" i="10"/>
  <c r="T921" i="10"/>
  <c r="T1119" i="10"/>
  <c r="T920" i="10"/>
  <c r="T1025" i="10"/>
  <c r="T1184" i="10"/>
  <c r="T1144" i="10"/>
  <c r="T1142" i="10"/>
  <c r="T1159" i="10"/>
  <c r="T868" i="10"/>
  <c r="T1071" i="10"/>
  <c r="T875" i="10"/>
  <c r="T837" i="10"/>
  <c r="AL827" i="10"/>
  <c r="AT818" i="10"/>
  <c r="W908" i="10"/>
  <c r="W1100" i="10"/>
  <c r="W1048" i="10"/>
  <c r="W1138" i="10"/>
  <c r="W1025" i="10"/>
  <c r="W1051" i="10"/>
  <c r="W1088" i="10"/>
  <c r="W1119" i="10"/>
  <c r="W1046" i="10"/>
  <c r="W916" i="10"/>
  <c r="W879" i="10"/>
  <c r="W940" i="10"/>
  <c r="W888" i="10"/>
  <c r="W975" i="10"/>
  <c r="W1093" i="10"/>
  <c r="W1142" i="10"/>
  <c r="W955" i="10"/>
  <c r="W1061" i="10"/>
  <c r="W874" i="10"/>
  <c r="AL1014" i="10"/>
  <c r="AL1080" i="10"/>
  <c r="AL1088" i="10"/>
  <c r="AL1063" i="10"/>
  <c r="AL1048" i="10"/>
  <c r="AL1106" i="10"/>
  <c r="AL913" i="10"/>
  <c r="AL1096" i="10"/>
  <c r="AL1144" i="10"/>
  <c r="AJ865" i="10"/>
  <c r="AJ1138" i="10"/>
  <c r="AJ1119" i="10"/>
  <c r="AJ1140" i="10"/>
  <c r="AJ905" i="10"/>
  <c r="AJ823" i="10"/>
  <c r="AJ1020" i="10"/>
  <c r="AW908" i="10"/>
  <c r="AW1308" i="10" s="1"/>
  <c r="AW1088" i="10"/>
  <c r="AW1488" i="10" s="1"/>
  <c r="AW1186" i="10"/>
  <c r="AW1586" i="10" s="1"/>
  <c r="AW896" i="10"/>
  <c r="AW1296" i="10" s="1"/>
  <c r="AW1141" i="10"/>
  <c r="AW1541" i="10" s="1"/>
  <c r="AW877" i="10"/>
  <c r="AW1277" i="10" s="1"/>
  <c r="AA1088" i="10"/>
  <c r="AA917" i="10"/>
  <c r="AA887" i="10"/>
  <c r="AA1162" i="10"/>
  <c r="AA968" i="10"/>
  <c r="AE1014" i="10"/>
  <c r="AE995" i="10"/>
  <c r="AE1082" i="10"/>
  <c r="AE1088" i="10"/>
  <c r="AE823" i="10"/>
  <c r="AE1176" i="10"/>
  <c r="AE940" i="10"/>
  <c r="AP865" i="10"/>
  <c r="AP1011" i="10"/>
  <c r="AP1166" i="10"/>
  <c r="AP930" i="10"/>
  <c r="AP1001" i="10"/>
  <c r="L1178" i="10"/>
  <c r="J853" i="10"/>
  <c r="AL914" i="10"/>
  <c r="AB1109" i="10"/>
  <c r="AG393" i="10"/>
  <c r="AG2" i="10" s="1"/>
  <c r="AG4" i="10" s="1"/>
  <c r="AV872" i="10"/>
  <c r="AV1272" i="10" s="1"/>
  <c r="AK1164" i="10"/>
  <c r="N936" i="10"/>
  <c r="N1043" i="10"/>
  <c r="N902" i="10"/>
  <c r="N1166" i="10"/>
  <c r="N1149" i="10"/>
  <c r="N938" i="10"/>
  <c r="N1075" i="10"/>
  <c r="V893" i="10"/>
  <c r="AX1060" i="10"/>
  <c r="AX1460" i="10" s="1"/>
  <c r="AN1134" i="10"/>
  <c r="AM1187" i="10"/>
  <c r="K1081" i="10"/>
  <c r="P1081" i="10"/>
  <c r="W1005" i="10"/>
  <c r="AF826" i="10"/>
  <c r="M982" i="10"/>
  <c r="Z993" i="10"/>
  <c r="AU1324" i="10"/>
  <c r="AN972" i="10"/>
  <c r="AR1147" i="10"/>
  <c r="O865" i="10"/>
  <c r="O1001" i="10"/>
  <c r="O1025" i="10"/>
  <c r="O967" i="10"/>
  <c r="O920" i="10"/>
  <c r="O1117" i="10"/>
  <c r="O1141" i="10"/>
  <c r="AO999" i="10"/>
  <c r="AO879" i="10"/>
  <c r="AO954" i="10"/>
  <c r="AO1175" i="10"/>
  <c r="AO948" i="10"/>
  <c r="AO1176" i="10"/>
  <c r="AC951" i="10"/>
  <c r="AC992" i="10"/>
  <c r="AC889" i="10"/>
  <c r="AC816" i="10"/>
  <c r="AC1033" i="10"/>
  <c r="AC892" i="10"/>
  <c r="AC985" i="10"/>
  <c r="Z929" i="10"/>
  <c r="Z1166" i="10"/>
  <c r="Z1119" i="10"/>
  <c r="Z948" i="10"/>
  <c r="Z1001" i="10"/>
  <c r="Z968" i="10"/>
  <c r="Z922" i="10"/>
  <c r="R1151" i="10"/>
  <c r="R1068" i="10"/>
  <c r="R1001" i="10"/>
  <c r="R1152" i="10"/>
  <c r="R930" i="10"/>
  <c r="R1002" i="10"/>
  <c r="R980" i="10"/>
  <c r="P1098" i="10"/>
  <c r="P1101" i="10"/>
  <c r="P1137" i="10"/>
  <c r="P995" i="10"/>
  <c r="P1061" i="10"/>
  <c r="P988" i="10"/>
  <c r="P868" i="10"/>
  <c r="AU1482" i="10"/>
  <c r="AU1313" i="10"/>
  <c r="AU1425" i="10"/>
  <c r="AU1290" i="10"/>
  <c r="AU1461" i="10"/>
  <c r="AE397" i="10"/>
  <c r="AF1098" i="10"/>
  <c r="AF1048" i="10"/>
  <c r="AF835" i="10"/>
  <c r="AF920" i="10"/>
  <c r="AF874" i="10"/>
  <c r="AB1098" i="10"/>
  <c r="AB1106" i="10"/>
  <c r="AB1140" i="10"/>
  <c r="AB1013" i="10"/>
  <c r="AB920" i="10"/>
  <c r="AV917" i="10"/>
  <c r="AV1317" i="10" s="1"/>
  <c r="AV1051" i="10"/>
  <c r="AV1451" i="10" s="1"/>
  <c r="AV903" i="10"/>
  <c r="AV1303" i="10" s="1"/>
  <c r="AC1032" i="10"/>
  <c r="AN984" i="10"/>
  <c r="AM1032" i="10"/>
  <c r="AI1017" i="10"/>
  <c r="O1032" i="10"/>
  <c r="AE826" i="10"/>
  <c r="AR982" i="10"/>
  <c r="S1163" i="10"/>
  <c r="AX1080" i="10"/>
  <c r="AX1480" i="10" s="1"/>
  <c r="AX825" i="10"/>
  <c r="AX1225" i="10" s="1"/>
  <c r="AX886" i="10"/>
  <c r="AX1286" i="10" s="1"/>
  <c r="U1063" i="10"/>
  <c r="U1035" i="10"/>
  <c r="S1082" i="10"/>
  <c r="Q918" i="10"/>
  <c r="Q1002" i="10"/>
  <c r="AI1084" i="10"/>
  <c r="AI1122" i="10"/>
  <c r="AM1051" i="10"/>
  <c r="M1142" i="10"/>
  <c r="AR1114" i="10"/>
  <c r="AH1101" i="10"/>
  <c r="AX909" i="10"/>
  <c r="AX1309" i="10" s="1"/>
  <c r="AE839" i="10"/>
  <c r="M891" i="10"/>
  <c r="AB1160" i="10"/>
  <c r="AB949" i="10"/>
  <c r="AB1153" i="10"/>
  <c r="AB1132" i="10"/>
  <c r="AB932" i="10"/>
  <c r="AB900" i="10"/>
  <c r="AB1123" i="10"/>
  <c r="AB996" i="10"/>
  <c r="AB926" i="10"/>
  <c r="AB945" i="10"/>
  <c r="AB1012" i="10"/>
  <c r="AB925" i="10"/>
  <c r="AB1007" i="10"/>
  <c r="AB1036" i="10"/>
  <c r="AB876" i="10"/>
  <c r="AB1053" i="10"/>
  <c r="AB1124" i="10"/>
  <c r="AB1125" i="10"/>
  <c r="AB812" i="10"/>
  <c r="AB1115" i="10"/>
  <c r="AB846" i="10"/>
  <c r="AB1099" i="10"/>
  <c r="AB944" i="10"/>
  <c r="AB1112" i="10"/>
  <c r="AB1089" i="10"/>
  <c r="AB847" i="10"/>
  <c r="AB1190" i="10"/>
  <c r="AB969" i="10"/>
  <c r="AB958" i="10"/>
  <c r="AB1180" i="10"/>
  <c r="AB1139" i="10"/>
  <c r="AB813" i="10"/>
  <c r="AB897" i="10"/>
  <c r="AB1146" i="10"/>
  <c r="AB1073" i="10"/>
  <c r="AB1078" i="10"/>
  <c r="AB866" i="10"/>
  <c r="AB1024" i="10"/>
  <c r="AB919" i="10"/>
  <c r="AB833" i="10"/>
  <c r="AB959" i="10"/>
  <c r="AB1118" i="10"/>
  <c r="AB820" i="10"/>
  <c r="AB1108" i="10"/>
  <c r="AB977" i="10"/>
  <c r="AB1102" i="10"/>
  <c r="AB1018" i="10"/>
  <c r="AB1069" i="10"/>
  <c r="AB851" i="10"/>
  <c r="AB884" i="10"/>
  <c r="AB937" i="10"/>
  <c r="AB1056" i="10"/>
  <c r="AB953" i="10"/>
  <c r="AB906" i="10"/>
  <c r="AB983" i="10"/>
  <c r="AB1158" i="10"/>
  <c r="AB994" i="10"/>
  <c r="AB1170" i="10"/>
  <c r="AB1050" i="10"/>
  <c r="AB1019" i="10"/>
  <c r="AB1077" i="10"/>
  <c r="AB1057" i="10"/>
  <c r="AB1167" i="10"/>
  <c r="AB960" i="10"/>
  <c r="AB1155" i="10"/>
  <c r="AB891" i="10"/>
  <c r="AB1163" i="10"/>
  <c r="AB1087" i="10"/>
  <c r="AB1066" i="10"/>
  <c r="AB1042" i="10"/>
  <c r="AB856" i="10"/>
  <c r="AB1064" i="10"/>
  <c r="AB849" i="10"/>
  <c r="AB1145" i="10"/>
  <c r="AB979" i="10"/>
  <c r="AB1006" i="10"/>
  <c r="AB871" i="10"/>
  <c r="AB832" i="10"/>
  <c r="AB882" i="10"/>
  <c r="AB1151" i="10"/>
  <c r="AB895" i="10"/>
  <c r="AB898" i="10"/>
  <c r="AB923" i="10"/>
  <c r="AB873" i="10"/>
  <c r="AB986" i="10"/>
  <c r="AB912" i="10"/>
  <c r="AB1086" i="10"/>
  <c r="AB1182" i="10"/>
  <c r="AB946" i="10"/>
  <c r="AB863" i="10"/>
  <c r="AB909" i="10"/>
  <c r="AB964" i="10"/>
  <c r="AB1174" i="10"/>
  <c r="AB1188" i="10"/>
  <c r="AB1094" i="10"/>
  <c r="AB1083" i="10"/>
  <c r="AB907" i="10"/>
  <c r="AB1023" i="10"/>
  <c r="AB1103" i="10"/>
  <c r="AB1092" i="10"/>
  <c r="AB1041" i="10"/>
  <c r="AB1154" i="10"/>
  <c r="AB966" i="10"/>
  <c r="AB1134" i="10"/>
  <c r="AB989" i="10"/>
  <c r="AB867" i="10"/>
  <c r="AB870" i="10"/>
  <c r="AB1183" i="10"/>
  <c r="AB952" i="10"/>
  <c r="AB899" i="10"/>
  <c r="AB935" i="10"/>
  <c r="AB1130" i="10"/>
  <c r="AB1135" i="10"/>
  <c r="AB1065" i="10"/>
  <c r="AB1070" i="10"/>
  <c r="AB881" i="10"/>
  <c r="AB842" i="10"/>
  <c r="AB829" i="10"/>
  <c r="AB901" i="10"/>
  <c r="AB1143" i="10"/>
  <c r="AB972" i="10"/>
  <c r="AB1031" i="10"/>
  <c r="AB834" i="10"/>
  <c r="AB1173" i="10"/>
  <c r="AB862" i="10"/>
  <c r="AB1040" i="10"/>
  <c r="AB1045" i="10"/>
  <c r="AB839" i="10"/>
  <c r="AB1147" i="10"/>
  <c r="AB991" i="10"/>
  <c r="AB853" i="10"/>
  <c r="AB971" i="10"/>
  <c r="AB1021" i="10"/>
  <c r="AB1177" i="10"/>
  <c r="AB1133" i="10"/>
  <c r="AB1169" i="10"/>
  <c r="AB836" i="10"/>
  <c r="AB998" i="10"/>
  <c r="AB962" i="10"/>
  <c r="AB1161" i="10"/>
  <c r="AB1172" i="10"/>
  <c r="AB843" i="10"/>
  <c r="AB1189" i="10"/>
  <c r="AB1003" i="10"/>
  <c r="AB914" i="10"/>
  <c r="AB982" i="10"/>
  <c r="AB1111" i="10"/>
  <c r="AB924" i="10"/>
  <c r="AB1181" i="10"/>
  <c r="AB848" i="10"/>
  <c r="AB1164" i="10"/>
  <c r="AB939" i="10"/>
  <c r="AB1171" i="10"/>
  <c r="AB1055" i="10"/>
  <c r="AB942" i="10"/>
  <c r="AB1156" i="10"/>
  <c r="AB1176" i="10"/>
  <c r="AB837" i="10"/>
  <c r="AB968" i="10"/>
  <c r="AB1141" i="10"/>
  <c r="AB938" i="10"/>
  <c r="AB888" i="10"/>
  <c r="AB985" i="10"/>
  <c r="AB975" i="10"/>
  <c r="AB819" i="10"/>
  <c r="AB941" i="10"/>
  <c r="AB1085" i="10"/>
  <c r="AB1048" i="10"/>
  <c r="AB1131" i="10"/>
  <c r="AB1063" i="10"/>
  <c r="AB973" i="10"/>
  <c r="AB816" i="10"/>
  <c r="AB1068" i="10"/>
  <c r="AB903" i="10"/>
  <c r="AB1046" i="10"/>
  <c r="AB1119" i="10"/>
  <c r="AB817" i="10"/>
  <c r="AB869" i="10"/>
  <c r="AB902" i="10"/>
  <c r="AB1001" i="10"/>
  <c r="AB1097" i="10"/>
  <c r="AB1011" i="10"/>
  <c r="AB1110" i="10"/>
  <c r="AB1084" i="10"/>
  <c r="AB1052" i="10"/>
  <c r="AB951" i="10"/>
  <c r="AB1032" i="10"/>
  <c r="AB1010" i="10"/>
  <c r="AB840" i="10"/>
  <c r="AB1004" i="10"/>
  <c r="AB993" i="10"/>
  <c r="AB1060" i="10"/>
  <c r="AB1129" i="10"/>
  <c r="AB860" i="10"/>
  <c r="AB826" i="10"/>
  <c r="AB872" i="10"/>
  <c r="AB1081" i="10"/>
  <c r="AB910" i="10"/>
  <c r="AB1035" i="10"/>
  <c r="AB980" i="10"/>
  <c r="AB1079" i="10"/>
  <c r="AB1150" i="10"/>
  <c r="AB1144" i="10"/>
  <c r="AB1175" i="10"/>
  <c r="AB905" i="10"/>
  <c r="AB854" i="10"/>
  <c r="AB821" i="10"/>
  <c r="AB948" i="10"/>
  <c r="AB1096" i="10"/>
  <c r="AB875" i="10"/>
  <c r="AB950" i="10"/>
  <c r="AB988" i="10"/>
  <c r="AB913" i="10"/>
  <c r="AB1043" i="10"/>
  <c r="AB918" i="10"/>
  <c r="AB1168" i="10"/>
  <c r="AB956" i="10"/>
  <c r="AB1186" i="10"/>
  <c r="AB1101" i="10"/>
  <c r="AB995" i="10"/>
  <c r="AB1049" i="10"/>
  <c r="AB889" i="10"/>
  <c r="AB1138" i="10"/>
  <c r="AB976" i="10"/>
  <c r="AB825" i="10"/>
  <c r="AB1137" i="10"/>
  <c r="AB1107" i="10"/>
  <c r="AB1114" i="10"/>
  <c r="AB1014" i="10"/>
  <c r="AB999" i="10"/>
  <c r="AB908" i="10"/>
  <c r="AB978" i="10"/>
  <c r="AB1157" i="10"/>
  <c r="AB1017" i="10"/>
  <c r="AB1095" i="10"/>
  <c r="AB1187" i="10"/>
  <c r="AB877" i="10"/>
  <c r="AB890" i="10"/>
  <c r="AB1093" i="10"/>
  <c r="AB874" i="10"/>
  <c r="AB1020" i="10"/>
  <c r="AB940" i="10"/>
  <c r="AB1122" i="10"/>
  <c r="AB1075" i="10"/>
  <c r="AB1072" i="10"/>
  <c r="AB1002" i="10"/>
  <c r="AB835" i="10"/>
  <c r="AB879" i="10"/>
  <c r="AB845" i="10"/>
  <c r="AB930" i="10"/>
  <c r="AB887" i="10"/>
  <c r="AB1082" i="10"/>
  <c r="AB1179" i="10"/>
  <c r="AB1100" i="10"/>
  <c r="AB828" i="10"/>
  <c r="AB911" i="10"/>
  <c r="AB955" i="10"/>
  <c r="AB1142" i="10"/>
  <c r="AB1162" i="10"/>
  <c r="AB1076" i="10"/>
  <c r="AB823" i="10"/>
  <c r="AB931" i="10"/>
  <c r="AB1184" i="10"/>
  <c r="AB815" i="10"/>
  <c r="AB916" i="10"/>
  <c r="AB1117" i="10"/>
  <c r="AB1166" i="10"/>
  <c r="AB1026" i="10"/>
  <c r="AB917" i="10"/>
  <c r="AB922" i="10"/>
  <c r="AB1033" i="10"/>
  <c r="AB1080" i="10"/>
  <c r="AB865" i="10"/>
  <c r="AB928" i="10"/>
  <c r="AB814" i="10"/>
  <c r="AB1136" i="10"/>
  <c r="AB1009" i="10"/>
  <c r="AB1034" i="10"/>
  <c r="AB893" i="10"/>
  <c r="AB947" i="10"/>
  <c r="AB818" i="10"/>
  <c r="AB1121" i="10"/>
  <c r="AB1059" i="10"/>
  <c r="AB1178" i="10"/>
  <c r="AB1071" i="10"/>
  <c r="AB1149" i="10"/>
  <c r="AB886" i="10"/>
  <c r="AB1159" i="10"/>
  <c r="AB1008" i="10"/>
  <c r="AB933" i="10"/>
  <c r="AB892" i="10"/>
  <c r="AB915" i="10"/>
  <c r="AB1126" i="10"/>
  <c r="AB967" i="10"/>
  <c r="AB896" i="10"/>
  <c r="AB1152" i="10"/>
  <c r="AB963" i="10"/>
  <c r="AB824" i="10"/>
  <c r="AB858" i="10"/>
  <c r="AB850" i="10"/>
  <c r="AB936" i="10"/>
  <c r="AB1005" i="10"/>
  <c r="AB984" i="10"/>
  <c r="AV846" i="10"/>
  <c r="AV1246" i="10" s="1"/>
  <c r="AV943" i="10"/>
  <c r="AV1343" i="10" s="1"/>
  <c r="AV851" i="10"/>
  <c r="AV1251" i="10" s="1"/>
  <c r="AV977" i="10"/>
  <c r="AV1377" i="10" s="1"/>
  <c r="AV1160" i="10"/>
  <c r="AV1560" i="10" s="1"/>
  <c r="AV1146" i="10"/>
  <c r="AV1546" i="10" s="1"/>
  <c r="AV1112" i="10"/>
  <c r="AV1512" i="10" s="1"/>
  <c r="AV1125" i="10"/>
  <c r="AV1525" i="10" s="1"/>
  <c r="AV1139" i="10"/>
  <c r="AV1539" i="10" s="1"/>
  <c r="AV1018" i="10"/>
  <c r="AV1418" i="10" s="1"/>
  <c r="AV949" i="10"/>
  <c r="AV1349" i="10" s="1"/>
  <c r="AV1036" i="10"/>
  <c r="AV1436" i="10" s="1"/>
  <c r="AV1115" i="10"/>
  <c r="AV1515" i="10" s="1"/>
  <c r="AV840" i="10"/>
  <c r="AV1240" i="10" s="1"/>
  <c r="AV876" i="10"/>
  <c r="AV1276" i="10" s="1"/>
  <c r="AV1132" i="10"/>
  <c r="AV1532" i="10" s="1"/>
  <c r="AV932" i="10"/>
  <c r="AV1332" i="10" s="1"/>
  <c r="AV1012" i="10"/>
  <c r="AV1412" i="10" s="1"/>
  <c r="AV1078" i="10"/>
  <c r="AV1478" i="10" s="1"/>
  <c r="AV897" i="10"/>
  <c r="AV1297" i="10" s="1"/>
  <c r="AV1007" i="10"/>
  <c r="AV1407" i="10" s="1"/>
  <c r="AV847" i="10"/>
  <c r="AV1247" i="10" s="1"/>
  <c r="AV1167" i="10"/>
  <c r="AV1567" i="10" s="1"/>
  <c r="AV833" i="10"/>
  <c r="AV1233" i="10" s="1"/>
  <c r="AV906" i="10"/>
  <c r="AV1306" i="10" s="1"/>
  <c r="AV1077" i="10"/>
  <c r="AV1477" i="10" s="1"/>
  <c r="AV925" i="10"/>
  <c r="AV1325" i="10" s="1"/>
  <c r="AV1102" i="10"/>
  <c r="AV1502" i="10" s="1"/>
  <c r="AV867" i="10"/>
  <c r="AV1267" i="10" s="1"/>
  <c r="AV898" i="10"/>
  <c r="AV1298" i="10" s="1"/>
  <c r="AV1042" i="10"/>
  <c r="AV1442" i="10" s="1"/>
  <c r="AV900" i="10"/>
  <c r="AV1300" i="10" s="1"/>
  <c r="AV937" i="10"/>
  <c r="AV1337" i="10" s="1"/>
  <c r="AV953" i="10"/>
  <c r="AV1353" i="10" s="1"/>
  <c r="AV1108" i="10"/>
  <c r="AV1508" i="10" s="1"/>
  <c r="AV866" i="10"/>
  <c r="AV1266" i="10" s="1"/>
  <c r="AV856" i="10"/>
  <c r="AV1256" i="10" s="1"/>
  <c r="AV884" i="10"/>
  <c r="AV1284" i="10" s="1"/>
  <c r="AV989" i="10"/>
  <c r="AV1389" i="10" s="1"/>
  <c r="AV959" i="10"/>
  <c r="AV1359" i="10" s="1"/>
  <c r="AV919" i="10"/>
  <c r="AV1319" i="10" s="1"/>
  <c r="AV1118" i="10"/>
  <c r="AV1518" i="10" s="1"/>
  <c r="AV945" i="10"/>
  <c r="AV1345" i="10" s="1"/>
  <c r="AV812" i="10"/>
  <c r="AV1212" i="10" s="1"/>
  <c r="AV1153" i="10"/>
  <c r="AV1553" i="10" s="1"/>
  <c r="AV1073" i="10"/>
  <c r="AV1473" i="10" s="1"/>
  <c r="AV969" i="10"/>
  <c r="AV1369" i="10" s="1"/>
  <c r="AV1190" i="10"/>
  <c r="AV1590" i="10" s="1"/>
  <c r="AV926" i="10"/>
  <c r="AV1326" i="10" s="1"/>
  <c r="AV899" i="10"/>
  <c r="AV1299" i="10" s="1"/>
  <c r="AV1070" i="10"/>
  <c r="AV1470" i="10" s="1"/>
  <c r="AV871" i="10"/>
  <c r="AV1271" i="10" s="1"/>
  <c r="AV1086" i="10"/>
  <c r="AV1486" i="10" s="1"/>
  <c r="AV1123" i="10"/>
  <c r="AV1523" i="10" s="1"/>
  <c r="AV820" i="10"/>
  <c r="AV1220" i="10" s="1"/>
  <c r="AV1180" i="10"/>
  <c r="AV1580" i="10" s="1"/>
  <c r="AV1124" i="10"/>
  <c r="AV1524" i="10" s="1"/>
  <c r="AV996" i="10"/>
  <c r="AV1396" i="10" s="1"/>
  <c r="AV1099" i="10"/>
  <c r="AV1499" i="10" s="1"/>
  <c r="AV1056" i="10"/>
  <c r="AV1456" i="10" s="1"/>
  <c r="AV1057" i="10"/>
  <c r="AV1457" i="10" s="1"/>
  <c r="AV1053" i="10"/>
  <c r="AV1453" i="10" s="1"/>
  <c r="AV1135" i="10"/>
  <c r="AV1535" i="10" s="1"/>
  <c r="AV1024" i="10"/>
  <c r="AV1424" i="10" s="1"/>
  <c r="AV1173" i="10"/>
  <c r="AV1573" i="10" s="1"/>
  <c r="AV862" i="10"/>
  <c r="AV1262" i="10" s="1"/>
  <c r="AV983" i="10"/>
  <c r="AV1383" i="10" s="1"/>
  <c r="AV1006" i="10"/>
  <c r="AV1406" i="10" s="1"/>
  <c r="AV881" i="10"/>
  <c r="AV1281" i="10" s="1"/>
  <c r="AV1019" i="10"/>
  <c r="AV1419" i="10" s="1"/>
  <c r="AV958" i="10"/>
  <c r="AV1358" i="10" s="1"/>
  <c r="AV1163" i="10"/>
  <c r="AV1563" i="10" s="1"/>
  <c r="AV964" i="10"/>
  <c r="AV1364" i="10" s="1"/>
  <c r="AV1170" i="10"/>
  <c r="AV1570" i="10" s="1"/>
  <c r="AV1069" i="10"/>
  <c r="AV1469" i="10" s="1"/>
  <c r="AV1111" i="10"/>
  <c r="AV1511" i="10" s="1"/>
  <c r="AV1004" i="10"/>
  <c r="AV1404" i="10" s="1"/>
  <c r="AV1130" i="10"/>
  <c r="AV1530" i="10" s="1"/>
  <c r="AV1187" i="10"/>
  <c r="AV1587" i="10" s="1"/>
  <c r="AV813" i="10"/>
  <c r="AV1213" i="10" s="1"/>
  <c r="AV829" i="10"/>
  <c r="AV1229" i="10" s="1"/>
  <c r="AV1081" i="10"/>
  <c r="AV1481" i="10" s="1"/>
  <c r="AV831" i="10"/>
  <c r="AV1231" i="10" s="1"/>
  <c r="AV1066" i="10"/>
  <c r="AV1466" i="10" s="1"/>
  <c r="AV1169" i="10"/>
  <c r="AV1569" i="10" s="1"/>
  <c r="AV1103" i="10"/>
  <c r="AV1503" i="10" s="1"/>
  <c r="AV935" i="10"/>
  <c r="AV1335" i="10" s="1"/>
  <c r="AV1017" i="10"/>
  <c r="AV1417" i="10" s="1"/>
  <c r="AV960" i="10"/>
  <c r="AV1360" i="10" s="1"/>
  <c r="AV912" i="10"/>
  <c r="AV1312" i="10" s="1"/>
  <c r="AV1157" i="10"/>
  <c r="AV1557" i="10" s="1"/>
  <c r="AV834" i="10"/>
  <c r="AV1234" i="10" s="1"/>
  <c r="AV946" i="10"/>
  <c r="AV1346" i="10" s="1"/>
  <c r="AV873" i="10"/>
  <c r="AV1273" i="10" s="1"/>
  <c r="AV979" i="10"/>
  <c r="AV1379" i="10" s="1"/>
  <c r="AV860" i="10"/>
  <c r="AV1260" i="10" s="1"/>
  <c r="AV1032" i="10"/>
  <c r="AV1432" i="10" s="1"/>
  <c r="AV814" i="10"/>
  <c r="AV1214" i="10" s="1"/>
  <c r="AV832" i="10"/>
  <c r="AV1232" i="10" s="1"/>
  <c r="AV924" i="10"/>
  <c r="AV1324" i="10" s="1"/>
  <c r="AV1003" i="10"/>
  <c r="AV1403" i="10" s="1"/>
  <c r="AV928" i="10"/>
  <c r="AV1328" i="10" s="1"/>
  <c r="AV1183" i="10"/>
  <c r="AV1583" i="10" s="1"/>
  <c r="AV1041" i="10"/>
  <c r="AV1441" i="10" s="1"/>
  <c r="AV1154" i="10"/>
  <c r="AV1554" i="10" s="1"/>
  <c r="AV966" i="10"/>
  <c r="AV1366" i="10" s="1"/>
  <c r="AV1177" i="10"/>
  <c r="AV1577" i="10" s="1"/>
  <c r="AV972" i="10"/>
  <c r="AV1372" i="10" s="1"/>
  <c r="AV882" i="10"/>
  <c r="AV1282" i="10" s="1"/>
  <c r="AV849" i="10"/>
  <c r="AV1249" i="10" s="1"/>
  <c r="AV1151" i="10"/>
  <c r="AV1551" i="10" s="1"/>
  <c r="AV1040" i="10"/>
  <c r="AV1440" i="10" s="1"/>
  <c r="AV1083" i="10"/>
  <c r="AV1483" i="10" s="1"/>
  <c r="AV839" i="10"/>
  <c r="AV1239" i="10" s="1"/>
  <c r="AV1189" i="10"/>
  <c r="AV1589" i="10" s="1"/>
  <c r="AV1182" i="10"/>
  <c r="AV1582" i="10" s="1"/>
  <c r="AV1065" i="10"/>
  <c r="AV1465" i="10" s="1"/>
  <c r="AV1158" i="10"/>
  <c r="AV1558" i="10" s="1"/>
  <c r="AV998" i="10"/>
  <c r="AV1398" i="10" s="1"/>
  <c r="AV1059" i="10"/>
  <c r="AV1459" i="10" s="1"/>
  <c r="AV1087" i="10"/>
  <c r="AV1487" i="10" s="1"/>
  <c r="AV907" i="10"/>
  <c r="AV1307" i="10" s="1"/>
  <c r="AV1034" i="10"/>
  <c r="AV1434" i="10" s="1"/>
  <c r="AV1104" i="10"/>
  <c r="AV1504" i="10" s="1"/>
  <c r="AV836" i="10"/>
  <c r="AV1236" i="10" s="1"/>
  <c r="AV952" i="10"/>
  <c r="AV1352" i="10" s="1"/>
  <c r="AV1155" i="10"/>
  <c r="AV1555" i="10" s="1"/>
  <c r="AV848" i="10"/>
  <c r="AV1248" i="10" s="1"/>
  <c r="AV1005" i="10"/>
  <c r="AV1405" i="10" s="1"/>
  <c r="AV909" i="10"/>
  <c r="AV1309" i="10" s="1"/>
  <c r="AV993" i="10"/>
  <c r="AV1393" i="10" s="1"/>
  <c r="AV1174" i="10"/>
  <c r="AV1574" i="10" s="1"/>
  <c r="AV1050" i="10"/>
  <c r="AV1450" i="10" s="1"/>
  <c r="AV986" i="10"/>
  <c r="AV1386" i="10" s="1"/>
  <c r="AV1045" i="10"/>
  <c r="AV1445" i="10" s="1"/>
  <c r="AV1161" i="10"/>
  <c r="AV1561" i="10" s="1"/>
  <c r="AV944" i="10"/>
  <c r="AV1344" i="10" s="1"/>
  <c r="AV842" i="10"/>
  <c r="AV1242" i="10" s="1"/>
  <c r="AV891" i="10"/>
  <c r="AV1291" i="10" s="1"/>
  <c r="AV947" i="10"/>
  <c r="AV1347" i="10" s="1"/>
  <c r="AV852" i="10"/>
  <c r="AV1252" i="10" s="1"/>
  <c r="AV1178" i="10"/>
  <c r="AV1578" i="10" s="1"/>
  <c r="AV827" i="10"/>
  <c r="AV1227" i="10" s="1"/>
  <c r="AV1172" i="10"/>
  <c r="AV1572" i="10" s="1"/>
  <c r="AV962" i="10"/>
  <c r="AV1362" i="10" s="1"/>
  <c r="AV1010" i="10"/>
  <c r="AV1410" i="10" s="1"/>
  <c r="AV853" i="10"/>
  <c r="AV1253" i="10" s="1"/>
  <c r="AV837" i="10"/>
  <c r="AV1237" i="10" s="1"/>
  <c r="AV854" i="10"/>
  <c r="AV1254" i="10" s="1"/>
  <c r="AV1171" i="10"/>
  <c r="AV1571" i="10" s="1"/>
  <c r="AV1150" i="10"/>
  <c r="AV1550" i="10" s="1"/>
  <c r="AV955" i="10"/>
  <c r="AV1355" i="10" s="1"/>
  <c r="AV1141" i="10"/>
  <c r="AV1541" i="10" s="1"/>
  <c r="AV1076" i="10"/>
  <c r="AV1476" i="10" s="1"/>
  <c r="AV890" i="10"/>
  <c r="AV1290" i="10" s="1"/>
  <c r="AV1093" i="10"/>
  <c r="AV1493" i="10" s="1"/>
  <c r="AV913" i="10"/>
  <c r="AV1313" i="10" s="1"/>
  <c r="AV985" i="10"/>
  <c r="AV1385" i="10" s="1"/>
  <c r="AV1149" i="10"/>
  <c r="AV1549" i="10" s="1"/>
  <c r="AV1101" i="10"/>
  <c r="AV1501" i="10" s="1"/>
  <c r="AV1156" i="10"/>
  <c r="AV1556" i="10" s="1"/>
  <c r="AV954" i="10"/>
  <c r="AV1354" i="10" s="1"/>
  <c r="AV956" i="10"/>
  <c r="AV1356" i="10" s="1"/>
  <c r="AV896" i="10"/>
  <c r="AV1296" i="10" s="1"/>
  <c r="AV1048" i="10"/>
  <c r="AV1448" i="10" s="1"/>
  <c r="AV816" i="10"/>
  <c r="AV1216" i="10" s="1"/>
  <c r="AV1117" i="10"/>
  <c r="AV1517" i="10" s="1"/>
  <c r="AV1131" i="10"/>
  <c r="AV1531" i="10" s="1"/>
  <c r="AV817" i="10"/>
  <c r="AV1217" i="10" s="1"/>
  <c r="AV1020" i="10"/>
  <c r="AV1420" i="10" s="1"/>
  <c r="AV1046" i="10"/>
  <c r="AV1446" i="10" s="1"/>
  <c r="AV858" i="10"/>
  <c r="AV1258" i="10" s="1"/>
  <c r="AV918" i="10"/>
  <c r="AV1318" i="10" s="1"/>
  <c r="AV1049" i="10"/>
  <c r="AV1449" i="10" s="1"/>
  <c r="AV1106" i="10"/>
  <c r="AV1506" i="10" s="1"/>
  <c r="AV967" i="10"/>
  <c r="AV1367" i="10" s="1"/>
  <c r="AV976" i="10"/>
  <c r="AV1376" i="10" s="1"/>
  <c r="AV936" i="10"/>
  <c r="AV1336" i="10" s="1"/>
  <c r="AV1052" i="10"/>
  <c r="AV1452" i="10" s="1"/>
  <c r="AV929" i="10"/>
  <c r="AV1329" i="10" s="1"/>
  <c r="AV1179" i="10"/>
  <c r="AV1579" i="10" s="1"/>
  <c r="AV885" i="10"/>
  <c r="AV1285" i="10" s="1"/>
  <c r="AV1133" i="10"/>
  <c r="AV1533" i="10" s="1"/>
  <c r="AV1143" i="10"/>
  <c r="AV1543" i="10" s="1"/>
  <c r="AV1092" i="10"/>
  <c r="AV1492" i="10" s="1"/>
  <c r="AV1164" i="10"/>
  <c r="AV1564" i="10" s="1"/>
  <c r="AV843" i="10"/>
  <c r="AV1243" i="10" s="1"/>
  <c r="AV914" i="10"/>
  <c r="AV1314" i="10" s="1"/>
  <c r="AV1089" i="10"/>
  <c r="AV1489" i="10" s="1"/>
  <c r="AV1145" i="10"/>
  <c r="AV1545" i="10" s="1"/>
  <c r="AV828" i="10"/>
  <c r="AV1228" i="10" s="1"/>
  <c r="AV893" i="10"/>
  <c r="AV1293" i="10" s="1"/>
  <c r="AV1023" i="10"/>
  <c r="AV1423" i="10" s="1"/>
  <c r="AV1094" i="10"/>
  <c r="AV1494" i="10" s="1"/>
  <c r="AV997" i="10"/>
  <c r="AV1397" i="10" s="1"/>
  <c r="AV1147" i="10"/>
  <c r="AV1547" i="10" s="1"/>
  <c r="AV844" i="10"/>
  <c r="AV1244" i="10" s="1"/>
  <c r="AV1075" i="10"/>
  <c r="AV1475" i="10" s="1"/>
  <c r="AV875" i="10"/>
  <c r="AV1275" i="10" s="1"/>
  <c r="AV874" i="10"/>
  <c r="AV1274" i="10" s="1"/>
  <c r="AV988" i="10"/>
  <c r="AV1388" i="10" s="1"/>
  <c r="AV1176" i="10"/>
  <c r="AV1576" i="10" s="1"/>
  <c r="AV892" i="10"/>
  <c r="AV1292" i="10" s="1"/>
  <c r="AV1122" i="10"/>
  <c r="AV1522" i="10" s="1"/>
  <c r="AV980" i="10"/>
  <c r="AV1380" i="10" s="1"/>
  <c r="AV1001" i="10"/>
  <c r="AV1401" i="10" s="1"/>
  <c r="AV940" i="10"/>
  <c r="AV1340" i="10" s="1"/>
  <c r="AV1162" i="10"/>
  <c r="AV1562" i="10" s="1"/>
  <c r="AV1002" i="10"/>
  <c r="AV1402" i="10" s="1"/>
  <c r="AV915" i="10"/>
  <c r="AV1315" i="10" s="1"/>
  <c r="AV1035" i="10"/>
  <c r="AV1435" i="10" s="1"/>
  <c r="AV815" i="10"/>
  <c r="AV1215" i="10" s="1"/>
  <c r="AV1079" i="10"/>
  <c r="AV1479" i="10" s="1"/>
  <c r="AV1068" i="10"/>
  <c r="AV1468" i="10" s="1"/>
  <c r="AV916" i="10"/>
  <c r="AV1316" i="10" s="1"/>
  <c r="AV1138" i="10"/>
  <c r="AV1538" i="10" s="1"/>
  <c r="AV1082" i="10"/>
  <c r="AV1482" i="10" s="1"/>
  <c r="AV835" i="10"/>
  <c r="AV1235" i="10" s="1"/>
  <c r="AV995" i="10"/>
  <c r="AV1395" i="10" s="1"/>
  <c r="AV1184" i="10"/>
  <c r="AV1584" i="10" s="1"/>
  <c r="AV973" i="10"/>
  <c r="AV1373" i="10" s="1"/>
  <c r="AV1011" i="10"/>
  <c r="AV1411" i="10" s="1"/>
  <c r="AV889" i="10"/>
  <c r="AV1289" i="10" s="1"/>
  <c r="AV879" i="10"/>
  <c r="AV1279" i="10" s="1"/>
  <c r="AV1072" i="10"/>
  <c r="AV1472" i="10" s="1"/>
  <c r="AV1119" i="10"/>
  <c r="AV1519" i="10" s="1"/>
  <c r="AV1110" i="10"/>
  <c r="AV1510" i="10" s="1"/>
  <c r="AV869" i="10"/>
  <c r="AV1269" i="10" s="1"/>
  <c r="AV1084" i="10"/>
  <c r="AV1484" i="10" s="1"/>
  <c r="AV1025" i="10"/>
  <c r="AV1425" i="10" s="1"/>
  <c r="AV978" i="10"/>
  <c r="AV1378" i="10" s="1"/>
  <c r="AV863" i="10"/>
  <c r="AV1263" i="10" s="1"/>
  <c r="AV818" i="10"/>
  <c r="AV1218" i="10" s="1"/>
  <c r="AV938" i="10"/>
  <c r="AV1338" i="10" s="1"/>
  <c r="AV1008" i="10"/>
  <c r="AV1408" i="10" s="1"/>
  <c r="AV1074" i="10"/>
  <c r="AV1474" i="10" s="1"/>
  <c r="AV819" i="10"/>
  <c r="AV1219" i="10" s="1"/>
  <c r="AV922" i="10"/>
  <c r="AV1322" i="10" s="1"/>
  <c r="AV888" i="10"/>
  <c r="AV1288" i="10" s="1"/>
  <c r="AV887" i="10"/>
  <c r="AV1287" i="10" s="1"/>
  <c r="AV1026" i="10"/>
  <c r="AV1426" i="10" s="1"/>
  <c r="AV1033" i="10"/>
  <c r="AV1433" i="10" s="1"/>
  <c r="AV1061" i="10"/>
  <c r="AV1461" i="10" s="1"/>
  <c r="AV1107" i="10"/>
  <c r="AV1507" i="10" s="1"/>
  <c r="AV902" i="10"/>
  <c r="AV1302" i="10" s="1"/>
  <c r="AV1186" i="10"/>
  <c r="AV1586" i="10" s="1"/>
  <c r="AV921" i="10"/>
  <c r="AV1321" i="10" s="1"/>
  <c r="AV1114" i="10"/>
  <c r="AV1514" i="10" s="1"/>
  <c r="AV1080" i="10"/>
  <c r="AV1480" i="10" s="1"/>
  <c r="AV1063" i="10"/>
  <c r="AV1463" i="10" s="1"/>
  <c r="AV859" i="10"/>
  <c r="AV1259" i="10" s="1"/>
  <c r="AV1095" i="10"/>
  <c r="AV1495" i="10" s="1"/>
  <c r="AV1060" i="10"/>
  <c r="AV1460" i="10" s="1"/>
  <c r="AV1129" i="10"/>
  <c r="AV1529" i="10" s="1"/>
  <c r="AV901" i="10"/>
  <c r="AV1301" i="10" s="1"/>
  <c r="AV982" i="10"/>
  <c r="AV1382" i="10" s="1"/>
  <c r="AV1021" i="10"/>
  <c r="AV1421" i="10" s="1"/>
  <c r="AV920" i="10"/>
  <c r="AV1320" i="10" s="1"/>
  <c r="AV910" i="10"/>
  <c r="AV1310" i="10" s="1"/>
  <c r="AV941" i="10"/>
  <c r="AV1341" i="10" s="1"/>
  <c r="AV975" i="10"/>
  <c r="AV1375" i="10" s="1"/>
  <c r="AV930" i="10"/>
  <c r="AV1330" i="10" s="1"/>
  <c r="AV1013" i="10"/>
  <c r="AV1413" i="10" s="1"/>
  <c r="AV1071" i="10"/>
  <c r="AV1471" i="10" s="1"/>
  <c r="AV1088" i="10"/>
  <c r="AV1488" i="10" s="1"/>
  <c r="AV950" i="10"/>
  <c r="AV1350" i="10" s="1"/>
  <c r="AV1137" i="10"/>
  <c r="AV1537" i="10" s="1"/>
  <c r="AV1140" i="10"/>
  <c r="AV1540" i="10" s="1"/>
  <c r="AV942" i="10"/>
  <c r="AV1342" i="10" s="1"/>
  <c r="AV845" i="10"/>
  <c r="AV1245" i="10" s="1"/>
  <c r="AV1097" i="10"/>
  <c r="AV1497" i="10" s="1"/>
  <c r="AV1152" i="10"/>
  <c r="AV1552" i="10" s="1"/>
  <c r="AV1085" i="10"/>
  <c r="AV1485" i="10" s="1"/>
  <c r="AV999" i="10"/>
  <c r="AV1399" i="10" s="1"/>
  <c r="AV991" i="10"/>
  <c r="AV1391" i="10" s="1"/>
  <c r="AV1109" i="10"/>
  <c r="AV1509" i="10" s="1"/>
  <c r="AV984" i="10"/>
  <c r="AV1384" i="10" s="1"/>
  <c r="AV1120" i="10"/>
  <c r="AV1520" i="10" s="1"/>
  <c r="AV1062" i="10"/>
  <c r="AV1462" i="10" s="1"/>
  <c r="AV1127" i="10"/>
  <c r="AV1527" i="10" s="1"/>
  <c r="AV927" i="10"/>
  <c r="AV1327" i="10" s="1"/>
  <c r="AV994" i="10"/>
  <c r="AV1394" i="10" s="1"/>
  <c r="AV1113" i="10"/>
  <c r="AV1513" i="10" s="1"/>
  <c r="AV961" i="10"/>
  <c r="AV1361" i="10" s="1"/>
  <c r="AV878" i="10"/>
  <c r="AV1278" i="10" s="1"/>
  <c r="AV939" i="10"/>
  <c r="AV1339" i="10" s="1"/>
  <c r="AV904" i="10"/>
  <c r="AV1304" i="10" s="1"/>
  <c r="AV877" i="10"/>
  <c r="AV1277" i="10" s="1"/>
  <c r="AV886" i="10"/>
  <c r="AV1286" i="10" s="1"/>
  <c r="AV968" i="10"/>
  <c r="AV1368" i="10" s="1"/>
  <c r="AV1096" i="10"/>
  <c r="AV1496" i="10" s="1"/>
  <c r="AV905" i="10"/>
  <c r="AV1305" i="10" s="1"/>
  <c r="AV1055" i="10"/>
  <c r="AV1455" i="10" s="1"/>
  <c r="AV933" i="10"/>
  <c r="AV1333" i="10" s="1"/>
  <c r="AV1126" i="10"/>
  <c r="AV1526" i="10" s="1"/>
  <c r="AV825" i="10"/>
  <c r="AV1225" i="10" s="1"/>
  <c r="AV908" i="10"/>
  <c r="AV1308" i="10" s="1"/>
  <c r="AV824" i="10"/>
  <c r="AV1224" i="10" s="1"/>
  <c r="AV1142" i="10"/>
  <c r="AV1542" i="10" s="1"/>
  <c r="AV992" i="10"/>
  <c r="AV1392" i="10" s="1"/>
  <c r="AV850" i="10"/>
  <c r="AV1250" i="10" s="1"/>
  <c r="AV951" i="10"/>
  <c r="AV1351" i="10" s="1"/>
  <c r="AV865" i="10"/>
  <c r="AV1265" i="10" s="1"/>
  <c r="AV1181" i="10"/>
  <c r="AV1581" i="10" s="1"/>
  <c r="AV971" i="10"/>
  <c r="AV1371" i="10" s="1"/>
  <c r="AV826" i="10"/>
  <c r="AV1226" i="10" s="1"/>
  <c r="AV822" i="10"/>
  <c r="AV1222" i="10" s="1"/>
  <c r="N393" i="10"/>
  <c r="N2" i="10" s="1"/>
  <c r="N4" i="10" s="1"/>
  <c r="N397" i="10"/>
  <c r="W1069" i="10"/>
  <c r="W996" i="10"/>
  <c r="W953" i="10"/>
  <c r="W1112" i="10"/>
  <c r="W925" i="10"/>
  <c r="W851" i="10"/>
  <c r="W958" i="10"/>
  <c r="W820" i="10"/>
  <c r="W1073" i="10"/>
  <c r="W1089" i="10"/>
  <c r="W1118" i="10"/>
  <c r="W1007" i="10"/>
  <c r="W1056" i="10"/>
  <c r="W1064" i="10"/>
  <c r="W1099" i="10"/>
  <c r="W1042" i="10"/>
  <c r="W949" i="10"/>
  <c r="W1123" i="10"/>
  <c r="W1132" i="10"/>
  <c r="W959" i="10"/>
  <c r="W1160" i="10"/>
  <c r="W1036" i="10"/>
  <c r="W1124" i="10"/>
  <c r="W977" i="10"/>
  <c r="W1012" i="10"/>
  <c r="W866" i="10"/>
  <c r="W1170" i="10"/>
  <c r="W979" i="10"/>
  <c r="W1065" i="10"/>
  <c r="W1057" i="10"/>
  <c r="W989" i="10"/>
  <c r="W1139" i="10"/>
  <c r="W814" i="10"/>
  <c r="W1087" i="10"/>
  <c r="W1006" i="10"/>
  <c r="W1090" i="10"/>
  <c r="W1135" i="10"/>
  <c r="W832" i="10"/>
  <c r="W1173" i="10"/>
  <c r="W952" i="10"/>
  <c r="W862" i="10"/>
  <c r="W895" i="10"/>
  <c r="W1078" i="10"/>
  <c r="W873" i="10"/>
  <c r="W966" i="10"/>
  <c r="W1040" i="10"/>
  <c r="W1147" i="10"/>
  <c r="W893" i="10"/>
  <c r="W1145" i="10"/>
  <c r="W991" i="10"/>
  <c r="W842" i="10"/>
  <c r="W946" i="10"/>
  <c r="W1172" i="10"/>
  <c r="W848" i="10"/>
  <c r="W1188" i="10"/>
  <c r="W1050" i="10"/>
  <c r="W1158" i="10"/>
  <c r="W935" i="10"/>
  <c r="W912" i="10"/>
  <c r="W1182" i="10"/>
  <c r="W1121" i="10"/>
  <c r="W1092" i="10"/>
  <c r="W923" i="10"/>
  <c r="W1066" i="10"/>
  <c r="W1183" i="10"/>
  <c r="W1083" i="10"/>
  <c r="W839" i="10"/>
  <c r="W829" i="10"/>
  <c r="W1070" i="10"/>
  <c r="W1111" i="10"/>
  <c r="W1169" i="10"/>
  <c r="W998" i="10"/>
  <c r="W972" i="10"/>
  <c r="W870" i="10"/>
  <c r="W1023" i="10"/>
  <c r="W962" i="10"/>
  <c r="W906" i="10"/>
  <c r="W1155" i="10"/>
  <c r="W1177" i="10"/>
  <c r="W1017" i="10"/>
  <c r="W853" i="10"/>
  <c r="W1041" i="10"/>
  <c r="W1086" i="10"/>
  <c r="W1143" i="10"/>
  <c r="W885" i="10"/>
  <c r="W1161" i="10"/>
  <c r="W971" i="10"/>
  <c r="W1129" i="10"/>
  <c r="W1059" i="10"/>
  <c r="W993" i="10"/>
  <c r="W891" i="10"/>
  <c r="W1024" i="10"/>
  <c r="W1103" i="10"/>
  <c r="W1187" i="10"/>
  <c r="W983" i="10"/>
  <c r="W1151" i="10"/>
  <c r="W871" i="10"/>
  <c r="W834" i="10"/>
  <c r="W1133" i="10"/>
  <c r="W1032" i="10"/>
  <c r="W1154" i="10"/>
  <c r="W957" i="10"/>
  <c r="W907" i="10"/>
  <c r="W849" i="10"/>
  <c r="W899" i="10"/>
  <c r="W1045" i="10"/>
  <c r="W836" i="10"/>
  <c r="W860" i="10"/>
  <c r="W863" i="10"/>
  <c r="W986" i="10"/>
  <c r="W1094" i="10"/>
  <c r="W828" i="10"/>
  <c r="W878" i="10"/>
  <c r="W822" i="10"/>
  <c r="W872" i="10"/>
  <c r="W1178" i="10"/>
  <c r="W1034" i="10"/>
  <c r="W1157" i="10"/>
  <c r="W901" i="10"/>
  <c r="W881" i="10"/>
  <c r="W984" i="10"/>
  <c r="W924" i="10"/>
  <c r="W1095" i="10"/>
  <c r="W826" i="10"/>
  <c r="W1109" i="10"/>
  <c r="W947" i="10"/>
  <c r="W914" i="10"/>
  <c r="W1171" i="10"/>
  <c r="W1162" i="10"/>
  <c r="W890" i="10"/>
  <c r="W1076" i="10"/>
  <c r="W868" i="10"/>
  <c r="W1175" i="10"/>
  <c r="W941" i="10"/>
  <c r="W854" i="10"/>
  <c r="W823" i="10"/>
  <c r="W877" i="10"/>
  <c r="W954" i="10"/>
  <c r="W1049" i="10"/>
  <c r="W1055" i="10"/>
  <c r="W1117" i="10"/>
  <c r="W1150" i="10"/>
  <c r="W995" i="10"/>
  <c r="W1001" i="10"/>
  <c r="W921" i="10"/>
  <c r="W1186" i="10"/>
  <c r="W1184" i="10"/>
  <c r="W973" i="10"/>
  <c r="W967" i="10"/>
  <c r="W845" i="10"/>
  <c r="W1068" i="10"/>
  <c r="W930" i="10"/>
  <c r="W1131" i="10"/>
  <c r="W1137" i="10"/>
  <c r="W815" i="10"/>
  <c r="W942" i="10"/>
  <c r="W1107" i="10"/>
  <c r="W963" i="10"/>
  <c r="W1052" i="10"/>
  <c r="W865" i="10"/>
  <c r="W1084" i="10"/>
  <c r="W936" i="10"/>
  <c r="W960" i="10"/>
  <c r="W1164" i="10"/>
  <c r="W844" i="10"/>
  <c r="W818" i="10"/>
  <c r="W1081" i="10"/>
  <c r="W1004" i="10"/>
  <c r="W1130" i="10"/>
  <c r="W1163" i="10"/>
  <c r="W1021" i="10"/>
  <c r="W982" i="10"/>
  <c r="W997" i="10"/>
  <c r="W843" i="10"/>
  <c r="W911" i="10"/>
  <c r="W1189" i="10"/>
  <c r="W909" i="10"/>
  <c r="W1031" i="10"/>
  <c r="W1134" i="10"/>
  <c r="W859" i="10"/>
  <c r="W1009" i="10"/>
  <c r="W1060" i="10"/>
  <c r="W1144" i="10"/>
  <c r="W1159" i="10"/>
  <c r="W1176" i="10"/>
  <c r="W985" i="10"/>
  <c r="W1141" i="10"/>
  <c r="W1002" i="10"/>
  <c r="W933" i="10"/>
  <c r="W980" i="10"/>
  <c r="W931" i="10"/>
  <c r="W819" i="10"/>
  <c r="W1074" i="10"/>
  <c r="W950" i="10"/>
  <c r="W835" i="10"/>
  <c r="W918" i="10"/>
  <c r="W1149" i="10"/>
  <c r="W1126" i="10"/>
  <c r="W1097" i="10"/>
  <c r="W896" i="10"/>
  <c r="W1114" i="10"/>
  <c r="W1020" i="10"/>
  <c r="W956" i="10"/>
  <c r="W1166" i="10"/>
  <c r="W1106" i="10"/>
  <c r="W951" i="10"/>
  <c r="W850" i="10"/>
  <c r="W978" i="10"/>
  <c r="W927" i="10"/>
  <c r="W1128" i="10"/>
  <c r="W970" i="10"/>
  <c r="W987" i="10"/>
  <c r="W1067" i="10"/>
  <c r="W883" i="10"/>
  <c r="W1116" i="10"/>
  <c r="W1000" i="10"/>
  <c r="W861" i="10"/>
  <c r="W1003" i="10"/>
  <c r="W882" i="10"/>
  <c r="AN397" i="10"/>
  <c r="AN393" i="10"/>
  <c r="AW397" i="10"/>
  <c r="AW393" i="10"/>
  <c r="AG1057" i="10"/>
  <c r="AG1056" i="10"/>
  <c r="AG926" i="10"/>
  <c r="AG1146" i="10"/>
  <c r="AG846" i="10"/>
  <c r="AG1089" i="10"/>
  <c r="AG1190" i="10"/>
  <c r="AG851" i="10"/>
  <c r="AG1132" i="10"/>
  <c r="AG1174" i="10"/>
  <c r="AG1036" i="10"/>
  <c r="AG1153" i="10"/>
  <c r="AG1115" i="10"/>
  <c r="AG898" i="10"/>
  <c r="AG959" i="10"/>
  <c r="AG944" i="10"/>
  <c r="AG867" i="10"/>
  <c r="AG1125" i="10"/>
  <c r="AG996" i="10"/>
  <c r="AG1069" i="10"/>
  <c r="AG1064" i="10"/>
  <c r="AG958" i="10"/>
  <c r="AG812" i="10"/>
  <c r="AG1160" i="10"/>
  <c r="AG1112" i="10"/>
  <c r="AG943" i="10"/>
  <c r="AG1019" i="10"/>
  <c r="AG900" i="10"/>
  <c r="AG932" i="10"/>
  <c r="AG1118" i="10"/>
  <c r="AG847" i="10"/>
  <c r="AG884" i="10"/>
  <c r="AG866" i="10"/>
  <c r="AG897" i="10"/>
  <c r="AG937" i="10"/>
  <c r="AG1073" i="10"/>
  <c r="AG1124" i="10"/>
  <c r="AG1018" i="10"/>
  <c r="AG856" i="10"/>
  <c r="AG813" i="10"/>
  <c r="AG833" i="10"/>
  <c r="AG906" i="10"/>
  <c r="AG1123" i="10"/>
  <c r="AG1167" i="10"/>
  <c r="AG1012" i="10"/>
  <c r="AG1102" i="10"/>
  <c r="AG945" i="10"/>
  <c r="AG876" i="10"/>
  <c r="AG977" i="10"/>
  <c r="AG1139" i="10"/>
  <c r="AG1042" i="10"/>
  <c r="AG1078" i="10"/>
  <c r="AG925" i="10"/>
  <c r="AG1077" i="10"/>
  <c r="AG840" i="10"/>
  <c r="AG919" i="10"/>
  <c r="AG1007" i="10"/>
  <c r="AG1108" i="10"/>
  <c r="AG1040" i="10"/>
  <c r="AG1157" i="10"/>
  <c r="AG953" i="10"/>
  <c r="AG989" i="10"/>
  <c r="AG1180" i="10"/>
  <c r="AG1135" i="10"/>
  <c r="AG1182" i="10"/>
  <c r="AG836" i="10"/>
  <c r="AG972" i="10"/>
  <c r="AG964" i="10"/>
  <c r="AG895" i="10"/>
  <c r="AG1188" i="10"/>
  <c r="AG1050" i="10"/>
  <c r="AG966" i="10"/>
  <c r="AG1113" i="10"/>
  <c r="AG969" i="10"/>
  <c r="AG1066" i="10"/>
  <c r="AG834" i="10"/>
  <c r="AG923" i="10"/>
  <c r="AG1065" i="10"/>
  <c r="AG998" i="10"/>
  <c r="AG873" i="10"/>
  <c r="AG1021" i="10"/>
  <c r="AG1006" i="10"/>
  <c r="AG935" i="10"/>
  <c r="AG946" i="10"/>
  <c r="AG1164" i="10"/>
  <c r="AG1053" i="10"/>
  <c r="AG1090" i="10"/>
  <c r="AG1183" i="10"/>
  <c r="AG849" i="10"/>
  <c r="AG871" i="10"/>
  <c r="AG1034" i="10"/>
  <c r="AG1104" i="10"/>
  <c r="AG1147" i="10"/>
  <c r="AG870" i="10"/>
  <c r="AG1145" i="10"/>
  <c r="AG899" i="10"/>
  <c r="AG1070" i="10"/>
  <c r="AG1121" i="10"/>
  <c r="AG997" i="10"/>
  <c r="AG1144" i="10"/>
  <c r="AG1001" i="10"/>
  <c r="AG888" i="10"/>
  <c r="AG940" i="10"/>
  <c r="AG1075" i="10"/>
  <c r="AG892" i="10"/>
  <c r="AG1096" i="10"/>
  <c r="AG1055" i="10"/>
  <c r="AG1142" i="10"/>
  <c r="AG931" i="10"/>
  <c r="AG968" i="10"/>
  <c r="AG815" i="10"/>
  <c r="AG938" i="10"/>
  <c r="AG877" i="10"/>
  <c r="AG1122" i="10"/>
  <c r="AG1046" i="10"/>
  <c r="AG916" i="10"/>
  <c r="AG1107" i="10"/>
  <c r="AG1097" i="10"/>
  <c r="AG963" i="10"/>
  <c r="AG917" i="10"/>
  <c r="AG1026" i="10"/>
  <c r="AG1025" i="10"/>
  <c r="AG889" i="10"/>
  <c r="AG835" i="10"/>
  <c r="AG1106" i="10"/>
  <c r="AG902" i="10"/>
  <c r="AG1101" i="10"/>
  <c r="AG1011" i="10"/>
  <c r="AG1051" i="10"/>
  <c r="AG879" i="10"/>
  <c r="AG865" i="10"/>
  <c r="AG1088" i="10"/>
  <c r="AG1052" i="10"/>
  <c r="AG850" i="10"/>
  <c r="AG901" i="10"/>
  <c r="AG1087" i="10"/>
  <c r="AG983" i="10"/>
  <c r="AG1024" i="10"/>
  <c r="AG839" i="10"/>
  <c r="AG952" i="10"/>
  <c r="AG860" i="10"/>
  <c r="AG842" i="10"/>
  <c r="AG829" i="10"/>
  <c r="AG1155" i="10"/>
  <c r="AG1134" i="10"/>
  <c r="AG843" i="10"/>
  <c r="AG1170" i="10"/>
  <c r="AG1083" i="10"/>
  <c r="AG832" i="10"/>
  <c r="AG912" i="10"/>
  <c r="AG1094" i="10"/>
  <c r="AG1189" i="10"/>
  <c r="AG1093" i="10"/>
  <c r="AG922" i="10"/>
  <c r="AG904" i="10"/>
  <c r="AG1162" i="10"/>
  <c r="AG1035" i="10"/>
  <c r="AG1176" i="10"/>
  <c r="AG1079" i="10"/>
  <c r="AG890" i="10"/>
  <c r="AG1013" i="10"/>
  <c r="AG1156" i="10"/>
  <c r="AG1020" i="10"/>
  <c r="AG1008" i="10"/>
  <c r="AG875" i="10"/>
  <c r="AG1171" i="10"/>
  <c r="AG1002" i="10"/>
  <c r="AG1117" i="10"/>
  <c r="AG1166" i="10"/>
  <c r="AG845" i="10"/>
  <c r="AG921" i="10"/>
  <c r="AG967" i="10"/>
  <c r="AG1138" i="10"/>
  <c r="AG825" i="10"/>
  <c r="AG913" i="10"/>
  <c r="AG1186" i="10"/>
  <c r="AG1114" i="10"/>
  <c r="AG887" i="10"/>
  <c r="AG973" i="10"/>
  <c r="AG915" i="10"/>
  <c r="AG817" i="10"/>
  <c r="AG1014" i="10"/>
  <c r="AG869" i="10"/>
  <c r="AG1084" i="10"/>
  <c r="AG929" i="10"/>
  <c r="AG976" i="10"/>
  <c r="AG881" i="10"/>
  <c r="AG1045" i="10"/>
  <c r="AG907" i="10"/>
  <c r="AG1177" i="10"/>
  <c r="AG826" i="10"/>
  <c r="AG820" i="10"/>
  <c r="AG1023" i="10"/>
  <c r="AG1086" i="10"/>
  <c r="AG1129" i="10"/>
  <c r="AG1149" i="10"/>
  <c r="AG939" i="10"/>
  <c r="AG1175" i="10"/>
  <c r="AG920" i="10"/>
  <c r="AG821" i="10"/>
  <c r="AG975" i="10"/>
  <c r="AG1049" i="10"/>
  <c r="AG1076" i="10"/>
  <c r="AG1072" i="10"/>
  <c r="AG1033" i="10"/>
  <c r="AG954" i="10"/>
  <c r="AG1063" i="10"/>
  <c r="AG823" i="10"/>
  <c r="AG903" i="10"/>
  <c r="AG1126" i="10"/>
  <c r="AG1110" i="10"/>
  <c r="AG936" i="10"/>
  <c r="AG979" i="10"/>
  <c r="AG1154" i="10"/>
  <c r="AG1103" i="10"/>
  <c r="AG1143" i="10"/>
  <c r="AG1172" i="10"/>
  <c r="AG822" i="10"/>
  <c r="AG1003" i="10"/>
  <c r="AG984" i="10"/>
  <c r="AG861" i="10"/>
  <c r="AG1109" i="10"/>
  <c r="AG928" i="10"/>
  <c r="AG1111" i="10"/>
  <c r="AG1017" i="10"/>
  <c r="AG863" i="10"/>
  <c r="AG862" i="10"/>
  <c r="AG941" i="10"/>
  <c r="AG1184" i="10"/>
  <c r="AG868" i="10"/>
  <c r="AG1150" i="10"/>
  <c r="AG1061" i="10"/>
  <c r="AG1071" i="10"/>
  <c r="AG1074" i="10"/>
  <c r="AG819" i="10"/>
  <c r="AG948" i="10"/>
  <c r="AG1152" i="10"/>
  <c r="AG1140" i="10"/>
  <c r="AG896" i="10"/>
  <c r="AG858" i="10"/>
  <c r="AG1179" i="10"/>
  <c r="AG1137" i="10"/>
  <c r="AG1080" i="10"/>
  <c r="AG999" i="10"/>
  <c r="AG978" i="10"/>
  <c r="AG882" i="10"/>
  <c r="AG1095" i="10"/>
  <c r="AG1133" i="10"/>
  <c r="AG1081" i="10"/>
  <c r="AG1169" i="10"/>
  <c r="AG986" i="10"/>
  <c r="AG924" i="10"/>
  <c r="AG891" i="10"/>
  <c r="AG985" i="10"/>
  <c r="AG905" i="10"/>
  <c r="AG910" i="10"/>
  <c r="AG874" i="10"/>
  <c r="AG854" i="10"/>
  <c r="AG837" i="10"/>
  <c r="AG988" i="10"/>
  <c r="AG1159" i="10"/>
  <c r="AG814" i="10"/>
  <c r="AG1082" i="10"/>
  <c r="AG816" i="10"/>
  <c r="AG956" i="10"/>
  <c r="AG992" i="10"/>
  <c r="AG980" i="10"/>
  <c r="AG1043" i="10"/>
  <c r="AG908" i="10"/>
  <c r="AG1098" i="10"/>
  <c r="AG1100" i="10"/>
  <c r="AG960" i="10"/>
  <c r="AG1041" i="10"/>
  <c r="AG1158" i="10"/>
  <c r="AG885" i="10"/>
  <c r="AG1163" i="10"/>
  <c r="AG971" i="10"/>
  <c r="AG886" i="10"/>
  <c r="AG930" i="10"/>
  <c r="AG1131" i="10"/>
  <c r="AG1048" i="10"/>
  <c r="AG951" i="10"/>
  <c r="AG1173" i="10"/>
  <c r="AG1130" i="10"/>
  <c r="AG1181" i="10"/>
  <c r="AG991" i="10"/>
  <c r="AG1187" i="10"/>
  <c r="AG1060" i="10"/>
  <c r="AG1059" i="10"/>
  <c r="AG993" i="10"/>
  <c r="AG818" i="10"/>
  <c r="AG947" i="10"/>
  <c r="AG1141" i="10"/>
  <c r="AG933" i="10"/>
  <c r="AG950" i="10"/>
  <c r="AG995" i="10"/>
  <c r="AG982" i="10"/>
  <c r="AG1005" i="10"/>
  <c r="AG909" i="10"/>
  <c r="AG1032" i="10"/>
  <c r="AG1010" i="10"/>
  <c r="AG911" i="10"/>
  <c r="AG852" i="10"/>
  <c r="AG955" i="10"/>
  <c r="AG1168" i="10"/>
  <c r="AG918" i="10"/>
  <c r="AG1119" i="10"/>
  <c r="AG1004" i="10"/>
  <c r="AG824" i="10"/>
  <c r="AG844" i="10"/>
  <c r="AG914" i="10"/>
  <c r="AG853" i="10"/>
  <c r="AG962" i="10"/>
  <c r="AG1068" i="10"/>
  <c r="AG880" i="10"/>
  <c r="AG1178" i="10"/>
  <c r="AG828" i="10"/>
  <c r="AG878" i="10"/>
  <c r="AG830" i="10"/>
  <c r="AG838" i="10"/>
  <c r="AG1185" i="10"/>
  <c r="AG934" i="10"/>
  <c r="AG981" i="10"/>
  <c r="AG855" i="10"/>
  <c r="AG1085" i="10"/>
  <c r="AG848" i="10"/>
  <c r="AG1161" i="10"/>
  <c r="AG1092" i="10"/>
  <c r="AG872" i="10"/>
  <c r="AG1151" i="10"/>
  <c r="Y1190" i="10"/>
  <c r="Y867" i="10"/>
  <c r="Y898" i="10"/>
  <c r="Y1132" i="10"/>
  <c r="Y943" i="10"/>
  <c r="Y958" i="10"/>
  <c r="Y953" i="10"/>
  <c r="Y977" i="10"/>
  <c r="Y1174" i="10"/>
  <c r="Y1160" i="10"/>
  <c r="Y1057" i="10"/>
  <c r="Y1167" i="10"/>
  <c r="Y897" i="10"/>
  <c r="Y1056" i="10"/>
  <c r="Y932" i="10"/>
  <c r="Y1036" i="10"/>
  <c r="Y1108" i="10"/>
  <c r="Y969" i="10"/>
  <c r="Y1069" i="10"/>
  <c r="Y1089" i="10"/>
  <c r="Y1123" i="10"/>
  <c r="Y1073" i="10"/>
  <c r="Y945" i="10"/>
  <c r="Y1180" i="10"/>
  <c r="Y949" i="10"/>
  <c r="Y937" i="10"/>
  <c r="Y840" i="10"/>
  <c r="Y1124" i="10"/>
  <c r="Y1099" i="10"/>
  <c r="Y856" i="10"/>
  <c r="Y876" i="10"/>
  <c r="Y820" i="10"/>
  <c r="Y1125" i="10"/>
  <c r="Y884" i="10"/>
  <c r="Y1112" i="10"/>
  <c r="Y906" i="10"/>
  <c r="Y1018" i="10"/>
  <c r="Y959" i="10"/>
  <c r="Y851" i="10"/>
  <c r="Y1115" i="10"/>
  <c r="Y1019" i="10"/>
  <c r="Y1042" i="10"/>
  <c r="Y1153" i="10"/>
  <c r="Y1077" i="10"/>
  <c r="Y926" i="10"/>
  <c r="Y1139" i="10"/>
  <c r="Y919" i="10"/>
  <c r="Y944" i="10"/>
  <c r="Y1102" i="10"/>
  <c r="Y812" i="10"/>
  <c r="Y1012" i="10"/>
  <c r="Y1053" i="10"/>
  <c r="Y925" i="10"/>
  <c r="Y813" i="10"/>
  <c r="Y1007" i="10"/>
  <c r="Y1118" i="10"/>
  <c r="Y1078" i="10"/>
  <c r="Y847" i="10"/>
  <c r="Y900" i="10"/>
  <c r="Y1064" i="10"/>
  <c r="Y989" i="10"/>
  <c r="Y1090" i="10"/>
  <c r="Y1135" i="10"/>
  <c r="Y923" i="10"/>
  <c r="Y1158" i="10"/>
  <c r="Y1045" i="10"/>
  <c r="Y833" i="10"/>
  <c r="Y996" i="10"/>
  <c r="Y899" i="10"/>
  <c r="Y1083" i="10"/>
  <c r="Y871" i="10"/>
  <c r="Y901" i="10"/>
  <c r="Y863" i="10"/>
  <c r="Y1178" i="10"/>
  <c r="Y1065" i="10"/>
  <c r="Y1111" i="10"/>
  <c r="Y836" i="10"/>
  <c r="Y998" i="10"/>
  <c r="Y1189" i="10"/>
  <c r="Y1066" i="10"/>
  <c r="Y1146" i="10"/>
  <c r="Y1086" i="10"/>
  <c r="Y986" i="10"/>
  <c r="Y878" i="10"/>
  <c r="Y852" i="10"/>
  <c r="Y1183" i="10"/>
  <c r="Y1041" i="10"/>
  <c r="Y1006" i="10"/>
  <c r="Y842" i="10"/>
  <c r="Y1017" i="10"/>
  <c r="Y1172" i="10"/>
  <c r="Y828" i="10"/>
  <c r="Y866" i="10"/>
  <c r="Y849" i="10"/>
  <c r="Y966" i="10"/>
  <c r="Y839" i="10"/>
  <c r="Y952" i="10"/>
  <c r="Y848" i="10"/>
  <c r="Y826" i="10"/>
  <c r="Y873" i="10"/>
  <c r="Y1050" i="10"/>
  <c r="Y983" i="10"/>
  <c r="Y1157" i="10"/>
  <c r="Y862" i="10"/>
  <c r="Y1094" i="10"/>
  <c r="Y972" i="10"/>
  <c r="Y870" i="10"/>
  <c r="Y1034" i="10"/>
  <c r="Y891" i="10"/>
  <c r="Y1182" i="10"/>
  <c r="Y882" i="10"/>
  <c r="Y843" i="10"/>
  <c r="Y872" i="10"/>
  <c r="Y1023" i="10"/>
  <c r="Y1121" i="10"/>
  <c r="Y829" i="10"/>
  <c r="Y1004" i="10"/>
  <c r="Y1177" i="10"/>
  <c r="Y860" i="10"/>
  <c r="Y834" i="10"/>
  <c r="Y1161" i="10"/>
  <c r="Y1133" i="10"/>
  <c r="Y1087" i="10"/>
  <c r="Y964" i="10"/>
  <c r="Y907" i="10"/>
  <c r="Y1130" i="10"/>
  <c r="Y1024" i="10"/>
  <c r="Y895" i="10"/>
  <c r="Y832" i="10"/>
  <c r="Y1103" i="10"/>
  <c r="Y1145" i="10"/>
  <c r="Y960" i="10"/>
  <c r="Y946" i="10"/>
  <c r="Y1008" i="10"/>
  <c r="Y1150" i="10"/>
  <c r="Y1117" i="10"/>
  <c r="Y948" i="10"/>
  <c r="Y1141" i="10"/>
  <c r="Y877" i="10"/>
  <c r="Y821" i="10"/>
  <c r="Y874" i="10"/>
  <c r="Y1159" i="10"/>
  <c r="Y890" i="10"/>
  <c r="Y1142" i="10"/>
  <c r="Y1088" i="10"/>
  <c r="Y1096" i="10"/>
  <c r="Y933" i="10"/>
  <c r="Y922" i="10"/>
  <c r="Y975" i="10"/>
  <c r="Y956" i="10"/>
  <c r="Y917" i="10"/>
  <c r="Y1097" i="10"/>
  <c r="Y879" i="10"/>
  <c r="Y954" i="10"/>
  <c r="Y817" i="10"/>
  <c r="Y1106" i="10"/>
  <c r="Y823" i="10"/>
  <c r="Y902" i="10"/>
  <c r="Y1138" i="10"/>
  <c r="Y825" i="10"/>
  <c r="Y1026" i="10"/>
  <c r="Y1072" i="10"/>
  <c r="Y1131" i="10"/>
  <c r="Y1025" i="10"/>
  <c r="Y869" i="10"/>
  <c r="Y1110" i="10"/>
  <c r="Y929" i="10"/>
  <c r="Y999" i="10"/>
  <c r="Y962" i="10"/>
  <c r="Y1154" i="10"/>
  <c r="Y1070" i="10"/>
  <c r="Y881" i="10"/>
  <c r="Y1169" i="10"/>
  <c r="Y1104" i="10"/>
  <c r="Y1129" i="10"/>
  <c r="Y955" i="10"/>
  <c r="Y1074" i="10"/>
  <c r="Y920" i="10"/>
  <c r="Y940" i="10"/>
  <c r="Y1071" i="10"/>
  <c r="Y868" i="10"/>
  <c r="Y904" i="10"/>
  <c r="Y892" i="10"/>
  <c r="Y875" i="10"/>
  <c r="Y1061" i="10"/>
  <c r="Y1079" i="10"/>
  <c r="Y815" i="10"/>
  <c r="Y980" i="10"/>
  <c r="Y1002" i="10"/>
  <c r="Y1049" i="10"/>
  <c r="Y1033" i="10"/>
  <c r="Y1085" i="10"/>
  <c r="Y835" i="10"/>
  <c r="Y903" i="10"/>
  <c r="Y913" i="10"/>
  <c r="Y1011" i="10"/>
  <c r="Y858" i="10"/>
  <c r="Y1043" i="10"/>
  <c r="Y950" i="10"/>
  <c r="Y1152" i="10"/>
  <c r="Y1107" i="10"/>
  <c r="Y1179" i="10"/>
  <c r="Y896" i="10"/>
  <c r="Y889" i="10"/>
  <c r="Y1166" i="10"/>
  <c r="Y951" i="10"/>
  <c r="Y936" i="10"/>
  <c r="Y1014" i="10"/>
  <c r="Y1052" i="10"/>
  <c r="Y814" i="10"/>
  <c r="Y1134" i="10"/>
  <c r="Y1173" i="10"/>
  <c r="Y1155" i="10"/>
  <c r="Y818" i="10"/>
  <c r="Y1170" i="10"/>
  <c r="Y939" i="10"/>
  <c r="Y1156" i="10"/>
  <c r="Y1055" i="10"/>
  <c r="Y1013" i="10"/>
  <c r="Y1093" i="10"/>
  <c r="Y988" i="10"/>
  <c r="Y1075" i="10"/>
  <c r="Y985" i="10"/>
  <c r="Y854" i="10"/>
  <c r="Y930" i="10"/>
  <c r="Y1162" i="10"/>
  <c r="Y1020" i="10"/>
  <c r="Y1171" i="10"/>
  <c r="Y968" i="10"/>
  <c r="Y1035" i="10"/>
  <c r="Y995" i="10"/>
  <c r="Y921" i="10"/>
  <c r="Y916" i="10"/>
  <c r="Y1119" i="10"/>
  <c r="Y1068" i="10"/>
  <c r="Y915" i="10"/>
  <c r="Y1140" i="10"/>
  <c r="Y918" i="10"/>
  <c r="Y1080" i="10"/>
  <c r="Y973" i="10"/>
  <c r="Y887" i="10"/>
  <c r="Y845" i="10"/>
  <c r="Y1184" i="10"/>
  <c r="Y864" i="10"/>
  <c r="Y992" i="10"/>
  <c r="Y1082" i="10"/>
  <c r="Y1084" i="10"/>
  <c r="Y1063" i="10"/>
  <c r="Y865" i="10"/>
  <c r="Y978" i="10"/>
  <c r="Y1163" i="10"/>
  <c r="Y1005" i="10"/>
  <c r="Y914" i="10"/>
  <c r="Y1188" i="10"/>
  <c r="Y912" i="10"/>
  <c r="Y1175" i="10"/>
  <c r="Y837" i="10"/>
  <c r="Y905" i="10"/>
  <c r="Y1001" i="10"/>
  <c r="Y1186" i="10"/>
  <c r="Y1126" i="10"/>
  <c r="Y1051" i="10"/>
  <c r="Y816" i="10"/>
  <c r="Y1100" i="10"/>
  <c r="Y1081" i="10"/>
  <c r="Y957" i="10"/>
  <c r="Y885" i="10"/>
  <c r="Y1095" i="10"/>
  <c r="Y1143" i="10"/>
  <c r="Y971" i="10"/>
  <c r="Y982" i="10"/>
  <c r="Y1109" i="10"/>
  <c r="Y1021" i="10"/>
  <c r="Y1187" i="10"/>
  <c r="Y853" i="10"/>
  <c r="Y1164" i="10"/>
  <c r="Y1059" i="10"/>
  <c r="Y979" i="10"/>
  <c r="Y993" i="10"/>
  <c r="Y819" i="10"/>
  <c r="Y910" i="10"/>
  <c r="Y1122" i="10"/>
  <c r="Y938" i="10"/>
  <c r="Y967" i="10"/>
  <c r="Y1048" i="10"/>
  <c r="Y1114" i="10"/>
  <c r="Y908" i="10"/>
  <c r="Y850" i="10"/>
  <c r="Y911" i="10"/>
  <c r="Y935" i="10"/>
  <c r="Y1168" i="10"/>
  <c r="Y1176" i="10"/>
  <c r="Y942" i="10"/>
  <c r="Y1144" i="10"/>
  <c r="Y1046" i="10"/>
  <c r="Y1076" i="10"/>
  <c r="Y824" i="10"/>
  <c r="Y1098" i="10"/>
  <c r="Y886" i="10"/>
  <c r="Y1149" i="10"/>
  <c r="Y976" i="10"/>
  <c r="Y991" i="10"/>
  <c r="Y1032" i="10"/>
  <c r="Y1151" i="10"/>
  <c r="Y924" i="10"/>
  <c r="Y1147" i="10"/>
  <c r="Y909" i="10"/>
  <c r="Y1092" i="10"/>
  <c r="Y1060" i="10"/>
  <c r="Y941" i="10"/>
  <c r="Y1101" i="10"/>
  <c r="Y984" i="10"/>
  <c r="Y893" i="10"/>
  <c r="Y861" i="10"/>
  <c r="Y827" i="10"/>
  <c r="Y974" i="10"/>
  <c r="Y838" i="10"/>
  <c r="Y1185" i="10"/>
  <c r="Y1062" i="10"/>
  <c r="Y1127" i="10"/>
  <c r="Y841" i="10"/>
  <c r="Y1040" i="10"/>
  <c r="Y888" i="10"/>
  <c r="Y1137" i="10"/>
  <c r="Y822" i="10"/>
  <c r="Y928" i="10"/>
  <c r="AK944" i="10"/>
  <c r="AK1180" i="10"/>
  <c r="AK856" i="10"/>
  <c r="AK847" i="10"/>
  <c r="AK884" i="10"/>
  <c r="AK969" i="10"/>
  <c r="AK958" i="10"/>
  <c r="AK1118" i="10"/>
  <c r="AK1057" i="10"/>
  <c r="AK1078" i="10"/>
  <c r="AK1160" i="10"/>
  <c r="AK1069" i="10"/>
  <c r="AK1012" i="10"/>
  <c r="AK1132" i="10"/>
  <c r="AK1115" i="10"/>
  <c r="AK925" i="10"/>
  <c r="AK867" i="10"/>
  <c r="AK1042" i="10"/>
  <c r="AK989" i="10"/>
  <c r="AK1190" i="10"/>
  <c r="AK820" i="10"/>
  <c r="AK1073" i="10"/>
  <c r="AK1007" i="10"/>
  <c r="AK1112" i="10"/>
  <c r="AK846" i="10"/>
  <c r="AK866" i="10"/>
  <c r="AK919" i="10"/>
  <c r="AK1019" i="10"/>
  <c r="AK1053" i="10"/>
  <c r="AK1108" i="10"/>
  <c r="AK851" i="10"/>
  <c r="AK949" i="10"/>
  <c r="AK840" i="10"/>
  <c r="AK943" i="10"/>
  <c r="AK1125" i="10"/>
  <c r="AK1146" i="10"/>
  <c r="AK959" i="10"/>
  <c r="AK996" i="10"/>
  <c r="AK1018" i="10"/>
  <c r="AK897" i="10"/>
  <c r="AK937" i="10"/>
  <c r="AK926" i="10"/>
  <c r="AK953" i="10"/>
  <c r="AK906" i="10"/>
  <c r="AK1124" i="10"/>
  <c r="AK1102" i="10"/>
  <c r="AK1099" i="10"/>
  <c r="AK977" i="10"/>
  <c r="AK1123" i="10"/>
  <c r="AK1167" i="10"/>
  <c r="AK1036" i="10"/>
  <c r="AK876" i="10"/>
  <c r="AK1064" i="10"/>
  <c r="AK932" i="10"/>
  <c r="AK813" i="10"/>
  <c r="AK1153" i="10"/>
  <c r="AK1056" i="10"/>
  <c r="AK1089" i="10"/>
  <c r="AK945" i="10"/>
  <c r="AK900" i="10"/>
  <c r="AK862" i="10"/>
  <c r="AK983" i="10"/>
  <c r="AK898" i="10"/>
  <c r="AK1139" i="10"/>
  <c r="AK1077" i="10"/>
  <c r="AK935" i="10"/>
  <c r="AK1023" i="10"/>
  <c r="AK1177" i="10"/>
  <c r="AK1155" i="10"/>
  <c r="AK1005" i="10"/>
  <c r="AK1129" i="10"/>
  <c r="AK979" i="10"/>
  <c r="AK1041" i="10"/>
  <c r="AK923" i="10"/>
  <c r="AK1065" i="10"/>
  <c r="AK1158" i="10"/>
  <c r="AK966" i="10"/>
  <c r="AK839" i="10"/>
  <c r="AK836" i="10"/>
  <c r="AK1161" i="10"/>
  <c r="AK1183" i="10"/>
  <c r="AK1040" i="10"/>
  <c r="AK1111" i="10"/>
  <c r="AK829" i="10"/>
  <c r="AK1173" i="10"/>
  <c r="AK998" i="10"/>
  <c r="AK860" i="10"/>
  <c r="AK873" i="10"/>
  <c r="AK833" i="10"/>
  <c r="AK812" i="10"/>
  <c r="AK871" i="10"/>
  <c r="AK1094" i="10"/>
  <c r="AK1083" i="10"/>
  <c r="AK1157" i="10"/>
  <c r="AK1103" i="10"/>
  <c r="AK1143" i="10"/>
  <c r="AK849" i="10"/>
  <c r="AK914" i="10"/>
  <c r="AK1050" i="10"/>
  <c r="AK1169" i="10"/>
  <c r="AK1087" i="10"/>
  <c r="AK986" i="10"/>
  <c r="AK826" i="10"/>
  <c r="AK928" i="10"/>
  <c r="AK1172" i="10"/>
  <c r="AK964" i="10"/>
  <c r="AK870" i="10"/>
  <c r="AK891" i="10"/>
  <c r="AK1004" i="10"/>
  <c r="AK960" i="10"/>
  <c r="AK834" i="10"/>
  <c r="AK899" i="10"/>
  <c r="AK1066" i="10"/>
  <c r="AK1006" i="10"/>
  <c r="AK1024" i="10"/>
  <c r="AK907" i="10"/>
  <c r="AK901" i="10"/>
  <c r="AK1182" i="10"/>
  <c r="AK882" i="10"/>
  <c r="AK1189" i="10"/>
  <c r="AK1059" i="10"/>
  <c r="AK1170" i="10"/>
  <c r="AK895" i="10"/>
  <c r="AK832" i="10"/>
  <c r="AK946" i="10"/>
  <c r="AK1134" i="10"/>
  <c r="AK924" i="10"/>
  <c r="AK1090" i="10"/>
  <c r="AK863" i="10"/>
  <c r="AK939" i="10"/>
  <c r="AK868" i="10"/>
  <c r="AK1171" i="10"/>
  <c r="AK1184" i="10"/>
  <c r="AK975" i="10"/>
  <c r="AK904" i="10"/>
  <c r="AK874" i="10"/>
  <c r="AK1150" i="10"/>
  <c r="AK938" i="10"/>
  <c r="AK922" i="10"/>
  <c r="AK1076" i="10"/>
  <c r="AK875" i="10"/>
  <c r="AK1093" i="10"/>
  <c r="AK1033" i="10"/>
  <c r="AK1061" i="10"/>
  <c r="AK948" i="10"/>
  <c r="AK921" i="10"/>
  <c r="AK1082" i="10"/>
  <c r="AK1166" i="10"/>
  <c r="AK973" i="10"/>
  <c r="AK950" i="10"/>
  <c r="AK1072" i="10"/>
  <c r="AK1126" i="10"/>
  <c r="AK902" i="10"/>
  <c r="AK917" i="10"/>
  <c r="AK1140" i="10"/>
  <c r="AK1088" i="10"/>
  <c r="AK1046" i="10"/>
  <c r="AK916" i="10"/>
  <c r="AK1051" i="10"/>
  <c r="AK999" i="10"/>
  <c r="AK865" i="10"/>
  <c r="AK1100" i="10"/>
  <c r="AK1052" i="10"/>
  <c r="AK850" i="10"/>
  <c r="AK912" i="10"/>
  <c r="AK972" i="10"/>
  <c r="AK1121" i="10"/>
  <c r="AK1021" i="10"/>
  <c r="AK1145" i="10"/>
  <c r="AK1086" i="10"/>
  <c r="AK1034" i="10"/>
  <c r="AK1017" i="10"/>
  <c r="AK1070" i="10"/>
  <c r="AK1133" i="10"/>
  <c r="AK952" i="10"/>
  <c r="AK1045" i="10"/>
  <c r="AK1154" i="10"/>
  <c r="AK842" i="10"/>
  <c r="AK993" i="10"/>
  <c r="AK997" i="10"/>
  <c r="AK1151" i="10"/>
  <c r="AK1071" i="10"/>
  <c r="AK1156" i="10"/>
  <c r="AK1075" i="10"/>
  <c r="AK888" i="10"/>
  <c r="AK819" i="10"/>
  <c r="AK1074" i="10"/>
  <c r="AK931" i="10"/>
  <c r="AK1144" i="10"/>
  <c r="AK920" i="10"/>
  <c r="AK1013" i="10"/>
  <c r="AK1162" i="10"/>
  <c r="AK879" i="10"/>
  <c r="AK1079" i="10"/>
  <c r="AK886" i="10"/>
  <c r="AK942" i="10"/>
  <c r="AK1097" i="10"/>
  <c r="AK845" i="10"/>
  <c r="AK835" i="10"/>
  <c r="AK1001" i="10"/>
  <c r="AK1152" i="10"/>
  <c r="AK918" i="10"/>
  <c r="AK903" i="10"/>
  <c r="AK825" i="10"/>
  <c r="AK1011" i="10"/>
  <c r="AK890" i="10"/>
  <c r="AK1049" i="10"/>
  <c r="AK1068" i="10"/>
  <c r="AK1114" i="10"/>
  <c r="AK963" i="10"/>
  <c r="AK1106" i="10"/>
  <c r="AK1179" i="10"/>
  <c r="AK869" i="10"/>
  <c r="AK929" i="10"/>
  <c r="AK978" i="10"/>
  <c r="AK971" i="10"/>
  <c r="AK1175" i="10"/>
  <c r="AK892" i="10"/>
  <c r="AK1159" i="10"/>
  <c r="AK988" i="10"/>
  <c r="AK1035" i="10"/>
  <c r="AK854" i="10"/>
  <c r="AK941" i="10"/>
  <c r="AK1149" i="10"/>
  <c r="AK913" i="10"/>
  <c r="AK816" i="10"/>
  <c r="AK887" i="10"/>
  <c r="AK1119" i="10"/>
  <c r="AK1107" i="10"/>
  <c r="AK896" i="10"/>
  <c r="AK1131" i="10"/>
  <c r="AK1080" i="10"/>
  <c r="AK1084" i="10"/>
  <c r="AK951" i="10"/>
  <c r="AK1092" i="10"/>
  <c r="AK1032" i="10"/>
  <c r="AK843" i="10"/>
  <c r="AK848" i="10"/>
  <c r="AK1060" i="10"/>
  <c r="AK984" i="10"/>
  <c r="AK861" i="10"/>
  <c r="AK881" i="10"/>
  <c r="AK1010" i="10"/>
  <c r="AK1176" i="10"/>
  <c r="AK1122" i="10"/>
  <c r="AK1055" i="10"/>
  <c r="AK1141" i="10"/>
  <c r="AK1142" i="10"/>
  <c r="AK1168" i="10"/>
  <c r="AK1020" i="10"/>
  <c r="AK905" i="10"/>
  <c r="AK1048" i="10"/>
  <c r="AK1026" i="10"/>
  <c r="AK824" i="10"/>
  <c r="AK915" i="10"/>
  <c r="AK1138" i="10"/>
  <c r="AK815" i="10"/>
  <c r="AK858" i="10"/>
  <c r="AK1014" i="10"/>
  <c r="AK936" i="10"/>
  <c r="AK893" i="10"/>
  <c r="AK1109" i="10"/>
  <c r="AK947" i="10"/>
  <c r="AK844" i="10"/>
  <c r="AK1095" i="10"/>
  <c r="AK872" i="10"/>
  <c r="AK821" i="10"/>
  <c r="AK980" i="10"/>
  <c r="AK1096" i="10"/>
  <c r="AK985" i="10"/>
  <c r="AK933" i="10"/>
  <c r="AK968" i="10"/>
  <c r="AK940" i="10"/>
  <c r="AK930" i="10"/>
  <c r="AK889" i="10"/>
  <c r="AK954" i="10"/>
  <c r="AK967" i="10"/>
  <c r="AK1085" i="10"/>
  <c r="AK1117" i="10"/>
  <c r="AK1101" i="10"/>
  <c r="AK1063" i="10"/>
  <c r="AK1110" i="10"/>
  <c r="AK1098" i="10"/>
  <c r="AK910" i="10"/>
  <c r="AK1002" i="10"/>
  <c r="AK992" i="10"/>
  <c r="AK1137" i="10"/>
  <c r="AK908" i="10"/>
  <c r="AK982" i="10"/>
  <c r="AK962" i="10"/>
  <c r="AK1130" i="10"/>
  <c r="AK823" i="10"/>
  <c r="AK955" i="10"/>
  <c r="AK995" i="10"/>
  <c r="AK1043" i="10"/>
  <c r="AK853" i="10"/>
  <c r="AK1178" i="10"/>
  <c r="AK878" i="10"/>
  <c r="AK1147" i="10"/>
  <c r="AK822" i="10"/>
  <c r="AK1081" i="10"/>
  <c r="AK957" i="10"/>
  <c r="AK990" i="10"/>
  <c r="AK883" i="10"/>
  <c r="AK1136" i="10"/>
  <c r="AK1128" i="10"/>
  <c r="AK857" i="10"/>
  <c r="AK1120" i="10"/>
  <c r="AK970" i="10"/>
  <c r="AK974" i="10"/>
  <c r="AK877" i="10"/>
  <c r="AK1008" i="10"/>
  <c r="AK1186" i="10"/>
  <c r="AK1025" i="10"/>
  <c r="AK828" i="10"/>
  <c r="AK911" i="10"/>
  <c r="AK991" i="10"/>
  <c r="AK818" i="10"/>
  <c r="AK1187" i="10"/>
  <c r="AK1003" i="10"/>
  <c r="S884" i="10"/>
  <c r="S989" i="10"/>
  <c r="S932" i="10"/>
  <c r="S1115" i="10"/>
  <c r="S847" i="10"/>
  <c r="S1069" i="10"/>
  <c r="S943" i="10"/>
  <c r="S1123" i="10"/>
  <c r="S959" i="10"/>
  <c r="S898" i="10"/>
  <c r="S1160" i="10"/>
  <c r="S925" i="10"/>
  <c r="S1053" i="10"/>
  <c r="S1064" i="10"/>
  <c r="S1056" i="10"/>
  <c r="S900" i="10"/>
  <c r="S919" i="10"/>
  <c r="S1042" i="10"/>
  <c r="S977" i="10"/>
  <c r="S906" i="10"/>
  <c r="S866" i="10"/>
  <c r="S1036" i="10"/>
  <c r="S1019" i="10"/>
  <c r="S1174" i="10"/>
  <c r="S846" i="10"/>
  <c r="S1153" i="10"/>
  <c r="S1132" i="10"/>
  <c r="S1089" i="10"/>
  <c r="S1073" i="10"/>
  <c r="S840" i="10"/>
  <c r="S897" i="10"/>
  <c r="S1007" i="10"/>
  <c r="S1190" i="10"/>
  <c r="S856" i="10"/>
  <c r="S969" i="10"/>
  <c r="S1077" i="10"/>
  <c r="S833" i="10"/>
  <c r="S820" i="10"/>
  <c r="S1099" i="10"/>
  <c r="S1146" i="10"/>
  <c r="S1112" i="10"/>
  <c r="S851" i="10"/>
  <c r="S1118" i="10"/>
  <c r="S1167" i="10"/>
  <c r="S876" i="10"/>
  <c r="S1180" i="10"/>
  <c r="S937" i="10"/>
  <c r="S1125" i="10"/>
  <c r="S1124" i="10"/>
  <c r="S949" i="10"/>
  <c r="S996" i="10"/>
  <c r="S1012" i="10"/>
  <c r="S944" i="10"/>
  <c r="S870" i="10"/>
  <c r="S1154" i="10"/>
  <c r="S839" i="10"/>
  <c r="S1139" i="10"/>
  <c r="S1078" i="10"/>
  <c r="S813" i="10"/>
  <c r="S1108" i="10"/>
  <c r="S1018" i="10"/>
  <c r="S953" i="10"/>
  <c r="S945" i="10"/>
  <c r="S1111" i="10"/>
  <c r="S1170" i="10"/>
  <c r="S1041" i="10"/>
  <c r="S867" i="10"/>
  <c r="S1050" i="10"/>
  <c r="S907" i="10"/>
  <c r="S829" i="10"/>
  <c r="S1034" i="10"/>
  <c r="S901" i="10"/>
  <c r="S935" i="10"/>
  <c r="S1086" i="10"/>
  <c r="S952" i="10"/>
  <c r="S1065" i="10"/>
  <c r="S958" i="10"/>
  <c r="S926" i="10"/>
  <c r="S1177" i="10"/>
  <c r="S832" i="10"/>
  <c r="S891" i="10"/>
  <c r="S1143" i="10"/>
  <c r="S993" i="10"/>
  <c r="S872" i="10"/>
  <c r="S862" i="10"/>
  <c r="S1070" i="10"/>
  <c r="S873" i="10"/>
  <c r="S1004" i="10"/>
  <c r="S834" i="10"/>
  <c r="S998" i="10"/>
  <c r="S1135" i="10"/>
  <c r="S979" i="10"/>
  <c r="S1083" i="10"/>
  <c r="S1158" i="10"/>
  <c r="S871" i="10"/>
  <c r="S1169" i="10"/>
  <c r="S1157" i="10"/>
  <c r="S1094" i="10"/>
  <c r="S1182" i="10"/>
  <c r="S946" i="10"/>
  <c r="S853" i="10"/>
  <c r="S1090" i="10"/>
  <c r="S1133" i="10"/>
  <c r="S964" i="10"/>
  <c r="S881" i="10"/>
  <c r="S1024" i="10"/>
  <c r="S1023" i="10"/>
  <c r="S986" i="10"/>
  <c r="S1155" i="10"/>
  <c r="S1059" i="10"/>
  <c r="S1066" i="10"/>
  <c r="S1145" i="10"/>
  <c r="S895" i="10"/>
  <c r="S899" i="10"/>
  <c r="S1006" i="10"/>
  <c r="S1045" i="10"/>
  <c r="S966" i="10"/>
  <c r="S1173" i="10"/>
  <c r="S1017" i="10"/>
  <c r="S849" i="10"/>
  <c r="S842" i="10"/>
  <c r="S882" i="10"/>
  <c r="S1130" i="10"/>
  <c r="S863" i="10"/>
  <c r="S972" i="10"/>
  <c r="S982" i="10"/>
  <c r="S971" i="10"/>
  <c r="S1164" i="10"/>
  <c r="S1151" i="10"/>
  <c r="S947" i="10"/>
  <c r="S1183" i="10"/>
  <c r="S1103" i="10"/>
  <c r="S1161" i="10"/>
  <c r="S1087" i="10"/>
  <c r="S1172" i="10"/>
  <c r="S960" i="10"/>
  <c r="S1040" i="10"/>
  <c r="S912" i="10"/>
  <c r="S836" i="10"/>
  <c r="S1092" i="10"/>
  <c r="S1187" i="10"/>
  <c r="S983" i="10"/>
  <c r="S1175" i="10"/>
  <c r="S890" i="10"/>
  <c r="S854" i="10"/>
  <c r="S875" i="10"/>
  <c r="S955" i="10"/>
  <c r="S941" i="10"/>
  <c r="S1071" i="10"/>
  <c r="S1171" i="10"/>
  <c r="S968" i="10"/>
  <c r="S1020" i="10"/>
  <c r="S1142" i="10"/>
  <c r="S915" i="10"/>
  <c r="S985" i="10"/>
  <c r="S1055" i="10"/>
  <c r="S1001" i="10"/>
  <c r="S1013" i="10"/>
  <c r="S1176" i="10"/>
  <c r="S910" i="10"/>
  <c r="S903" i="10"/>
  <c r="S889" i="10"/>
  <c r="S816" i="10"/>
  <c r="S1088" i="10"/>
  <c r="S845" i="10"/>
  <c r="S1140" i="10"/>
  <c r="S975" i="10"/>
  <c r="S917" i="10"/>
  <c r="S992" i="10"/>
  <c r="S879" i="10"/>
  <c r="S1186" i="10"/>
  <c r="S1106" i="10"/>
  <c r="S1052" i="10"/>
  <c r="S976" i="10"/>
  <c r="S869" i="10"/>
  <c r="S1098" i="10"/>
  <c r="S929" i="10"/>
  <c r="S848" i="10"/>
  <c r="S928" i="10"/>
  <c r="S1178" i="10"/>
  <c r="S1121" i="10"/>
  <c r="S1109" i="10"/>
  <c r="S1189" i="10"/>
  <c r="S1093" i="10"/>
  <c r="S933" i="10"/>
  <c r="S930" i="10"/>
  <c r="S940" i="10"/>
  <c r="S1096" i="10"/>
  <c r="S904" i="10"/>
  <c r="S988" i="10"/>
  <c r="S980" i="10"/>
  <c r="S905" i="10"/>
  <c r="S877" i="10"/>
  <c r="S913" i="10"/>
  <c r="S950" i="10"/>
  <c r="S874" i="10"/>
  <c r="S1079" i="10"/>
  <c r="S1137" i="10"/>
  <c r="S1159" i="10"/>
  <c r="S837" i="10"/>
  <c r="S1076" i="10"/>
  <c r="S1033" i="10"/>
  <c r="S1131" i="10"/>
  <c r="S1152" i="10"/>
  <c r="S823" i="10"/>
  <c r="S1011" i="10"/>
  <c r="S1097" i="10"/>
  <c r="S1117" i="10"/>
  <c r="S1119" i="10"/>
  <c r="S1114" i="10"/>
  <c r="S1025" i="10"/>
  <c r="S1166" i="10"/>
  <c r="S1085" i="10"/>
  <c r="S850" i="10"/>
  <c r="S1100" i="10"/>
  <c r="S1110" i="10"/>
  <c r="S1068" i="10"/>
  <c r="S1014" i="10"/>
  <c r="S878" i="10"/>
  <c r="S860" i="10"/>
  <c r="S828" i="10"/>
  <c r="S1095" i="10"/>
  <c r="S1010" i="10"/>
  <c r="S821" i="10"/>
  <c r="S1184" i="10"/>
  <c r="S1002" i="10"/>
  <c r="S1162" i="10"/>
  <c r="S886" i="10"/>
  <c r="S931" i="10"/>
  <c r="S1144" i="10"/>
  <c r="S1122" i="10"/>
  <c r="S954" i="10"/>
  <c r="S1150" i="10"/>
  <c r="S1101" i="10"/>
  <c r="S1049" i="10"/>
  <c r="S1074" i="10"/>
  <c r="S819" i="10"/>
  <c r="S956" i="10"/>
  <c r="S921" i="10"/>
  <c r="S1156" i="10"/>
  <c r="S1168" i="10"/>
  <c r="S902" i="10"/>
  <c r="S1107" i="10"/>
  <c r="S824" i="10"/>
  <c r="S1046" i="10"/>
  <c r="S1126" i="10"/>
  <c r="S1063" i="10"/>
  <c r="S973" i="10"/>
  <c r="S1138" i="10"/>
  <c r="S1048" i="10"/>
  <c r="S916" i="10"/>
  <c r="S1051" i="10"/>
  <c r="S1179" i="10"/>
  <c r="S1084" i="10"/>
  <c r="S908" i="10"/>
  <c r="S978" i="10"/>
  <c r="S1043" i="10"/>
  <c r="S1060" i="10"/>
  <c r="S822" i="10"/>
  <c r="S942" i="10"/>
  <c r="S1141" i="10"/>
  <c r="S1061" i="10"/>
  <c r="S948" i="10"/>
  <c r="S922" i="10"/>
  <c r="S963" i="10"/>
  <c r="S918" i="10"/>
  <c r="S1080" i="10"/>
  <c r="S951" i="10"/>
  <c r="S909" i="10"/>
  <c r="S1134" i="10"/>
  <c r="S1031" i="10"/>
  <c r="S911" i="10"/>
  <c r="S1021" i="10"/>
  <c r="S984" i="10"/>
  <c r="S924" i="10"/>
  <c r="S938" i="10"/>
  <c r="S1008" i="10"/>
  <c r="S995" i="10"/>
  <c r="S939" i="10"/>
  <c r="S817" i="10"/>
  <c r="S835" i="10"/>
  <c r="S896" i="10"/>
  <c r="S936" i="10"/>
  <c r="S1005" i="10"/>
  <c r="S1032" i="10"/>
  <c r="S861" i="10"/>
  <c r="S818" i="10"/>
  <c r="S885" i="10"/>
  <c r="S957" i="10"/>
  <c r="S1147" i="10"/>
  <c r="S914" i="10"/>
  <c r="S855" i="10"/>
  <c r="S1116" i="10"/>
  <c r="S961" i="10"/>
  <c r="S1148" i="10"/>
  <c r="S880" i="10"/>
  <c r="S1058" i="10"/>
  <c r="S1062" i="10"/>
  <c r="S859" i="10"/>
  <c r="S974" i="10"/>
  <c r="S1102" i="10"/>
  <c r="S1003" i="10"/>
  <c r="S868" i="10"/>
  <c r="S1149" i="10"/>
  <c r="S815" i="10"/>
  <c r="S1026" i="10"/>
  <c r="S858" i="10"/>
  <c r="S887" i="10"/>
  <c r="S1072" i="10"/>
  <c r="S999" i="10"/>
  <c r="S1129" i="10"/>
  <c r="S962" i="10"/>
  <c r="S893" i="10"/>
  <c r="S997" i="10"/>
  <c r="S843" i="10"/>
  <c r="AD953" i="10"/>
  <c r="AD1167" i="10"/>
  <c r="AD1019" i="10"/>
  <c r="AD932" i="10"/>
  <c r="AD1153" i="10"/>
  <c r="AD856" i="10"/>
  <c r="AD846" i="10"/>
  <c r="AD833" i="10"/>
  <c r="AD1112" i="10"/>
  <c r="AD945" i="10"/>
  <c r="AD1012" i="10"/>
  <c r="AD1180" i="10"/>
  <c r="AD1099" i="10"/>
  <c r="AD959" i="10"/>
  <c r="AD969" i="10"/>
  <c r="AD876" i="10"/>
  <c r="AD977" i="10"/>
  <c r="AD1102" i="10"/>
  <c r="AD949" i="10"/>
  <c r="AD1174" i="10"/>
  <c r="AD840" i="10"/>
  <c r="AD1146" i="10"/>
  <c r="AD996" i="10"/>
  <c r="AD943" i="10"/>
  <c r="AD926" i="10"/>
  <c r="AD1064" i="10"/>
  <c r="AD847" i="10"/>
  <c r="AD1077" i="10"/>
  <c r="AD1078" i="10"/>
  <c r="AD851" i="10"/>
  <c r="AD1190" i="10"/>
  <c r="AD937" i="10"/>
  <c r="AD813" i="10"/>
  <c r="AD919" i="10"/>
  <c r="AD989" i="10"/>
  <c r="AD906" i="10"/>
  <c r="AD1018" i="10"/>
  <c r="AD1073" i="10"/>
  <c r="AD898" i="10"/>
  <c r="AD884" i="10"/>
  <c r="AD958" i="10"/>
  <c r="AD1053" i="10"/>
  <c r="AD1056" i="10"/>
  <c r="AD897" i="10"/>
  <c r="AD1042" i="10"/>
  <c r="AD820" i="10"/>
  <c r="AD1007" i="10"/>
  <c r="AD1132" i="10"/>
  <c r="AD1069" i="10"/>
  <c r="AD900" i="10"/>
  <c r="AD1160" i="10"/>
  <c r="AD1089" i="10"/>
  <c r="AD1108" i="10"/>
  <c r="AD1139" i="10"/>
  <c r="AD867" i="10"/>
  <c r="AD1124" i="10"/>
  <c r="AD1057" i="10"/>
  <c r="AD979" i="10"/>
  <c r="AD881" i="10"/>
  <c r="AD891" i="10"/>
  <c r="AD834" i="10"/>
  <c r="AD1125" i="10"/>
  <c r="AD925" i="10"/>
  <c r="AD866" i="10"/>
  <c r="AD923" i="10"/>
  <c r="AD1040" i="10"/>
  <c r="AD935" i="10"/>
  <c r="AD907" i="10"/>
  <c r="AD1157" i="10"/>
  <c r="AD998" i="10"/>
  <c r="AD861" i="10"/>
  <c r="AD862" i="10"/>
  <c r="AD1065" i="10"/>
  <c r="AD1024" i="10"/>
  <c r="AD1036" i="10"/>
  <c r="AD1118" i="10"/>
  <c r="AD1135" i="10"/>
  <c r="AD960" i="10"/>
  <c r="AD1111" i="10"/>
  <c r="AD1004" i="10"/>
  <c r="AD1143" i="10"/>
  <c r="AD870" i="10"/>
  <c r="AD986" i="10"/>
  <c r="AD1094" i="10"/>
  <c r="AD909" i="10"/>
  <c r="AD1154" i="10"/>
  <c r="AD901" i="10"/>
  <c r="AD1182" i="10"/>
  <c r="AD1161" i="10"/>
  <c r="AD826" i="10"/>
  <c r="AD1187" i="10"/>
  <c r="AD1145" i="10"/>
  <c r="AD1155" i="10"/>
  <c r="AD849" i="10"/>
  <c r="AD899" i="10"/>
  <c r="AD1023" i="10"/>
  <c r="AD1017" i="10"/>
  <c r="AD842" i="10"/>
  <c r="AD871" i="10"/>
  <c r="AD911" i="10"/>
  <c r="AD1188" i="10"/>
  <c r="AD1066" i="10"/>
  <c r="AD1169" i="10"/>
  <c r="AD1177" i="10"/>
  <c r="AD836" i="10"/>
  <c r="AD1189" i="10"/>
  <c r="AD1175" i="10"/>
  <c r="AD1055" i="10"/>
  <c r="AD1117" i="10"/>
  <c r="AD931" i="10"/>
  <c r="AD1093" i="10"/>
  <c r="AD938" i="10"/>
  <c r="AD1008" i="10"/>
  <c r="AD975" i="10"/>
  <c r="AD1075" i="10"/>
  <c r="AD819" i="10"/>
  <c r="AD1141" i="10"/>
  <c r="AD920" i="10"/>
  <c r="AD1020" i="10"/>
  <c r="AD922" i="10"/>
  <c r="AD915" i="10"/>
  <c r="AD1176" i="10"/>
  <c r="AD1088" i="10"/>
  <c r="AD1063" i="10"/>
  <c r="AD1186" i="10"/>
  <c r="AD963" i="10"/>
  <c r="AD824" i="10"/>
  <c r="AD1097" i="10"/>
  <c r="AD816" i="10"/>
  <c r="AD1152" i="10"/>
  <c r="AD1033" i="10"/>
  <c r="AD1114" i="10"/>
  <c r="AD954" i="10"/>
  <c r="AD973" i="10"/>
  <c r="AD916" i="10"/>
  <c r="AD918" i="10"/>
  <c r="AD976" i="10"/>
  <c r="AD951" i="10"/>
  <c r="AD1084" i="10"/>
  <c r="AD908" i="10"/>
  <c r="AD1050" i="10"/>
  <c r="AD1172" i="10"/>
  <c r="AD1045" i="10"/>
  <c r="AD966" i="10"/>
  <c r="AD1103" i="10"/>
  <c r="AD895" i="10"/>
  <c r="AD1006" i="10"/>
  <c r="AD1083" i="10"/>
  <c r="AD912" i="10"/>
  <c r="AD839" i="10"/>
  <c r="AD972" i="10"/>
  <c r="AD1130" i="10"/>
  <c r="AD928" i="10"/>
  <c r="AD940" i="10"/>
  <c r="AD821" i="10"/>
  <c r="AD1122" i="10"/>
  <c r="AD968" i="10"/>
  <c r="AD941" i="10"/>
  <c r="AD1156" i="10"/>
  <c r="AD1096" i="10"/>
  <c r="AD877" i="10"/>
  <c r="AD854" i="10"/>
  <c r="AD1076" i="10"/>
  <c r="AD1049" i="10"/>
  <c r="AD875" i="10"/>
  <c r="AD888" i="10"/>
  <c r="AD892" i="10"/>
  <c r="AD1159" i="10"/>
  <c r="AD948" i="10"/>
  <c r="AD1144" i="10"/>
  <c r="AD815" i="10"/>
  <c r="AD1072" i="10"/>
  <c r="AD1166" i="10"/>
  <c r="AD1068" i="10"/>
  <c r="AD956" i="10"/>
  <c r="AD889" i="10"/>
  <c r="AD817" i="10"/>
  <c r="AD913" i="10"/>
  <c r="AD917" i="10"/>
  <c r="AD835" i="10"/>
  <c r="AD823" i="10"/>
  <c r="AD814" i="10"/>
  <c r="AD967" i="10"/>
  <c r="AD1179" i="10"/>
  <c r="AD1014" i="10"/>
  <c r="AD1098" i="10"/>
  <c r="AD999" i="10"/>
  <c r="AD869" i="10"/>
  <c r="AD964" i="10"/>
  <c r="AD1170" i="10"/>
  <c r="AD1041" i="10"/>
  <c r="AD829" i="10"/>
  <c r="AD1086" i="10"/>
  <c r="AD1034" i="10"/>
  <c r="AD1133" i="10"/>
  <c r="AD946" i="10"/>
  <c r="AD868" i="10"/>
  <c r="AD1142" i="10"/>
  <c r="AD910" i="10"/>
  <c r="AD985" i="10"/>
  <c r="AD1150" i="10"/>
  <c r="AD1035" i="10"/>
  <c r="AD825" i="10"/>
  <c r="AD1184" i="10"/>
  <c r="AD902" i="10"/>
  <c r="AD1126" i="10"/>
  <c r="AD995" i="10"/>
  <c r="AD858" i="10"/>
  <c r="AD903" i="10"/>
  <c r="AD950" i="10"/>
  <c r="AD992" i="10"/>
  <c r="AD1110" i="10"/>
  <c r="AD978" i="10"/>
  <c r="AD936" i="10"/>
  <c r="AD1087" i="10"/>
  <c r="AD1070" i="10"/>
  <c r="AD882" i="10"/>
  <c r="AD893" i="10"/>
  <c r="AD844" i="10"/>
  <c r="AD873" i="10"/>
  <c r="AD983" i="10"/>
  <c r="AD991" i="10"/>
  <c r="AD1095" i="10"/>
  <c r="AD1074" i="10"/>
  <c r="AD1001" i="10"/>
  <c r="AD874" i="10"/>
  <c r="AD1079" i="10"/>
  <c r="AD1013" i="10"/>
  <c r="AD933" i="10"/>
  <c r="AD988" i="10"/>
  <c r="AD921" i="10"/>
  <c r="AD1101" i="10"/>
  <c r="AD1140" i="10"/>
  <c r="AD942" i="10"/>
  <c r="AD1119" i="10"/>
  <c r="AD1011" i="10"/>
  <c r="AD1046" i="10"/>
  <c r="AD1131" i="10"/>
  <c r="AD1100" i="10"/>
  <c r="AD1052" i="10"/>
  <c r="AD1005" i="10"/>
  <c r="AD812" i="10"/>
  <c r="AD832" i="10"/>
  <c r="AD863" i="10"/>
  <c r="AD1109" i="10"/>
  <c r="AD955" i="10"/>
  <c r="AD904" i="10"/>
  <c r="AD886" i="10"/>
  <c r="AD1168" i="10"/>
  <c r="AD980" i="10"/>
  <c r="AD930" i="10"/>
  <c r="AD890" i="10"/>
  <c r="AD1162" i="10"/>
  <c r="AD887" i="10"/>
  <c r="AD1106" i="10"/>
  <c r="AD896" i="10"/>
  <c r="AD1043" i="10"/>
  <c r="AD845" i="10"/>
  <c r="AD1026" i="10"/>
  <c r="AD1051" i="10"/>
  <c r="AD850" i="10"/>
  <c r="AD865" i="10"/>
  <c r="AD1044" i="10"/>
  <c r="AD1163" i="10"/>
  <c r="AD1021" i="10"/>
  <c r="AD982" i="10"/>
  <c r="AD1134" i="10"/>
  <c r="AD1121" i="10"/>
  <c r="AD1081" i="10"/>
  <c r="AD843" i="10"/>
  <c r="AD1003" i="10"/>
  <c r="AD1158" i="10"/>
  <c r="AD952" i="10"/>
  <c r="AD837" i="10"/>
  <c r="AD905" i="10"/>
  <c r="AD1138" i="10"/>
  <c r="AD1080" i="10"/>
  <c r="AD1032" i="10"/>
  <c r="AD962" i="10"/>
  <c r="AD1181" i="10"/>
  <c r="AD828" i="10"/>
  <c r="AD853" i="10"/>
  <c r="AD947" i="10"/>
  <c r="AD1173" i="10"/>
  <c r="AD1183" i="10"/>
  <c r="AD939" i="10"/>
  <c r="AD1071" i="10"/>
  <c r="AD1149" i="10"/>
  <c r="AD1082" i="10"/>
  <c r="AD929" i="10"/>
  <c r="AD1129" i="10"/>
  <c r="AD1059" i="10"/>
  <c r="AD872" i="10"/>
  <c r="AD1178" i="10"/>
  <c r="AD1115" i="10"/>
  <c r="AD848" i="10"/>
  <c r="AD1002" i="10"/>
  <c r="AD1137" i="10"/>
  <c r="AD1107" i="10"/>
  <c r="AD1025" i="10"/>
  <c r="AD879" i="10"/>
  <c r="AD1010" i="10"/>
  <c r="AD1164" i="10"/>
  <c r="AD914" i="10"/>
  <c r="AD1061" i="10"/>
  <c r="AD878" i="10"/>
  <c r="AD1060" i="10"/>
  <c r="AD885" i="10"/>
  <c r="AD1048" i="10"/>
  <c r="AD1092" i="10"/>
  <c r="AD1127" i="10"/>
  <c r="AD841" i="10"/>
  <c r="AD990" i="10"/>
  <c r="AD1000" i="10"/>
  <c r="AD827" i="10"/>
  <c r="AD961" i="10"/>
  <c r="AD1148" i="10"/>
  <c r="AD1085" i="10"/>
  <c r="AD993" i="10"/>
  <c r="AD971" i="10"/>
  <c r="AD822" i="10"/>
  <c r="AD818" i="10"/>
  <c r="AD857" i="10"/>
  <c r="AD924" i="10"/>
  <c r="AD1147" i="10"/>
  <c r="AD997" i="10"/>
  <c r="AR397" i="10"/>
  <c r="AR393" i="10"/>
  <c r="AR2" i="10" s="1"/>
  <c r="AR4" i="10" s="1"/>
  <c r="AF1174" i="10"/>
  <c r="AF1160" i="10"/>
  <c r="AF953" i="10"/>
  <c r="AF840" i="10"/>
  <c r="AF1036" i="10"/>
  <c r="AF1012" i="10"/>
  <c r="AF897" i="10"/>
  <c r="AF884" i="10"/>
  <c r="AF1115" i="10"/>
  <c r="AF846" i="10"/>
  <c r="AF969" i="10"/>
  <c r="AF943" i="10"/>
  <c r="AF876" i="10"/>
  <c r="AF851" i="10"/>
  <c r="AF958" i="10"/>
  <c r="AF867" i="10"/>
  <c r="AF1099" i="10"/>
  <c r="AF944" i="10"/>
  <c r="AF1108" i="10"/>
  <c r="AF919" i="10"/>
  <c r="AF812" i="10"/>
  <c r="AF1180" i="10"/>
  <c r="AF1073" i="10"/>
  <c r="AF1078" i="10"/>
  <c r="AF1064" i="10"/>
  <c r="AF926" i="10"/>
  <c r="AF1018" i="10"/>
  <c r="AF898" i="10"/>
  <c r="AF996" i="10"/>
  <c r="AF932" i="10"/>
  <c r="AF1118" i="10"/>
  <c r="AF1132" i="10"/>
  <c r="AF1102" i="10"/>
  <c r="AF833" i="10"/>
  <c r="AF937" i="10"/>
  <c r="AF1146" i="10"/>
  <c r="AF856" i="10"/>
  <c r="AF1057" i="10"/>
  <c r="AF1090" i="10"/>
  <c r="AF1135" i="10"/>
  <c r="AF1087" i="10"/>
  <c r="AF964" i="10"/>
  <c r="AF1083" i="10"/>
  <c r="AF832" i="10"/>
  <c r="AF1086" i="10"/>
  <c r="AF847" i="10"/>
  <c r="AF820" i="10"/>
  <c r="AF959" i="10"/>
  <c r="AF989" i="10"/>
  <c r="AF900" i="10"/>
  <c r="AF1139" i="10"/>
  <c r="AF813" i="10"/>
  <c r="AF1124" i="10"/>
  <c r="AF1089" i="10"/>
  <c r="AF949" i="10"/>
  <c r="AF1053" i="10"/>
  <c r="AF1123" i="10"/>
  <c r="AF1077" i="10"/>
  <c r="AF1112" i="10"/>
  <c r="AF881" i="10"/>
  <c r="AF1024" i="10"/>
  <c r="AF966" i="10"/>
  <c r="AF998" i="10"/>
  <c r="AF836" i="10"/>
  <c r="AF1017" i="10"/>
  <c r="AF891" i="10"/>
  <c r="AF1163" i="10"/>
  <c r="AF899" i="10"/>
  <c r="AF1111" i="10"/>
  <c r="AF1158" i="10"/>
  <c r="AF1042" i="10"/>
  <c r="AF945" i="10"/>
  <c r="AF1019" i="10"/>
  <c r="AF866" i="10"/>
  <c r="AF844" i="10"/>
  <c r="AF1178" i="10"/>
  <c r="AF960" i="10"/>
  <c r="AF1167" i="10"/>
  <c r="AF842" i="10"/>
  <c r="AF1003" i="10"/>
  <c r="AF1103" i="10"/>
  <c r="AF952" i="10"/>
  <c r="AF1066" i="10"/>
  <c r="AF1190" i="10"/>
  <c r="AF906" i="10"/>
  <c r="AF1069" i="10"/>
  <c r="AF1181" i="10"/>
  <c r="AF1154" i="10"/>
  <c r="AF863" i="10"/>
  <c r="AF1129" i="10"/>
  <c r="AF862" i="10"/>
  <c r="AF1145" i="10"/>
  <c r="AF1056" i="10"/>
  <c r="AF839" i="10"/>
  <c r="AF1040" i="10"/>
  <c r="AF1006" i="10"/>
  <c r="AF907" i="10"/>
  <c r="AF882" i="10"/>
  <c r="AF1188" i="10"/>
  <c r="AF1173" i="10"/>
  <c r="AF1177" i="10"/>
  <c r="AF1182" i="10"/>
  <c r="AF1032" i="10"/>
  <c r="AF957" i="10"/>
  <c r="AF986" i="10"/>
  <c r="AF946" i="10"/>
  <c r="AF870" i="10"/>
  <c r="AF873" i="10"/>
  <c r="AF1065" i="10"/>
  <c r="AF1157" i="10"/>
  <c r="AF1143" i="10"/>
  <c r="AF1183" i="10"/>
  <c r="AF983" i="10"/>
  <c r="AF1041" i="10"/>
  <c r="AF1169" i="10"/>
  <c r="AF1034" i="10"/>
  <c r="AF972" i="10"/>
  <c r="AF860" i="10"/>
  <c r="AF1007" i="10"/>
  <c r="AF923" i="10"/>
  <c r="AF1070" i="10"/>
  <c r="AF1045" i="10"/>
  <c r="AF1023" i="10"/>
  <c r="AF1155" i="10"/>
  <c r="AF935" i="10"/>
  <c r="AF834" i="10"/>
  <c r="AF962" i="10"/>
  <c r="AF1060" i="10"/>
  <c r="AF911" i="10"/>
  <c r="AF861" i="10"/>
  <c r="AF871" i="10"/>
  <c r="AF912" i="10"/>
  <c r="AF895" i="10"/>
  <c r="AF1004" i="10"/>
  <c r="AF848" i="10"/>
  <c r="AF1092" i="10"/>
  <c r="AF1153" i="10"/>
  <c r="AF829" i="10"/>
  <c r="AF901" i="10"/>
  <c r="AF1094" i="10"/>
  <c r="AF991" i="10"/>
  <c r="AF924" i="10"/>
  <c r="AF843" i="10"/>
  <c r="AF1133" i="10"/>
  <c r="AF878" i="10"/>
  <c r="AF1062" i="10"/>
  <c r="AF909" i="10"/>
  <c r="AF984" i="10"/>
  <c r="AF1151" i="10"/>
  <c r="AF853" i="10"/>
  <c r="AF1150" i="10"/>
  <c r="AF877" i="10"/>
  <c r="AF975" i="10"/>
  <c r="AF1184" i="10"/>
  <c r="AF1156" i="10"/>
  <c r="AF886" i="10"/>
  <c r="AF1176" i="10"/>
  <c r="AF988" i="10"/>
  <c r="AF821" i="10"/>
  <c r="AF1149" i="10"/>
  <c r="AF1013" i="10"/>
  <c r="AF956" i="10"/>
  <c r="AF1175" i="10"/>
  <c r="AF954" i="10"/>
  <c r="AF890" i="10"/>
  <c r="AF903" i="10"/>
  <c r="AF1093" i="10"/>
  <c r="AF887" i="10"/>
  <c r="AF1106" i="10"/>
  <c r="AF1138" i="10"/>
  <c r="AF1097" i="10"/>
  <c r="AF950" i="10"/>
  <c r="AF992" i="10"/>
  <c r="AF869" i="10"/>
  <c r="AF1137" i="10"/>
  <c r="AF1126" i="10"/>
  <c r="AF817" i="10"/>
  <c r="AF896" i="10"/>
  <c r="AF1082" i="10"/>
  <c r="AF816" i="10"/>
  <c r="AF1179" i="10"/>
  <c r="AF1068" i="10"/>
  <c r="AF1084" i="10"/>
  <c r="AF1046" i="10"/>
  <c r="AF929" i="10"/>
  <c r="AF828" i="10"/>
  <c r="AF1147" i="10"/>
  <c r="AF1005" i="10"/>
  <c r="AF971" i="10"/>
  <c r="AF1081" i="10"/>
  <c r="AF1187" i="10"/>
  <c r="AF997" i="10"/>
  <c r="AF822" i="10"/>
  <c r="AF979" i="10"/>
  <c r="AF1050" i="10"/>
  <c r="AF1189" i="10"/>
  <c r="AF893" i="10"/>
  <c r="AF931" i="10"/>
  <c r="AF1002" i="10"/>
  <c r="AF1122" i="10"/>
  <c r="AF1141" i="10"/>
  <c r="AF868" i="10"/>
  <c r="AF1008" i="10"/>
  <c r="AF940" i="10"/>
  <c r="AF1075" i="10"/>
  <c r="AF938" i="10"/>
  <c r="AF875" i="10"/>
  <c r="AF854" i="10"/>
  <c r="AF1001" i="10"/>
  <c r="AF1172" i="10"/>
  <c r="AF849" i="10"/>
  <c r="AF1010" i="10"/>
  <c r="AF1121" i="10"/>
  <c r="AF1134" i="10"/>
  <c r="AF819" i="10"/>
  <c r="AF1074" i="10"/>
  <c r="AF837" i="10"/>
  <c r="AF892" i="10"/>
  <c r="AF948" i="10"/>
  <c r="AF904" i="10"/>
  <c r="AF823" i="10"/>
  <c r="AF942" i="10"/>
  <c r="AF921" i="10"/>
  <c r="AF1026" i="10"/>
  <c r="AF963" i="10"/>
  <c r="AF1051" i="10"/>
  <c r="AF973" i="10"/>
  <c r="AF858" i="10"/>
  <c r="AF1088" i="10"/>
  <c r="AF916" i="10"/>
  <c r="AF1080" i="10"/>
  <c r="AF915" i="10"/>
  <c r="AF845" i="10"/>
  <c r="AF865" i="10"/>
  <c r="AF978" i="10"/>
  <c r="AF976" i="10"/>
  <c r="AF1100" i="10"/>
  <c r="AF1021" i="10"/>
  <c r="AF982" i="10"/>
  <c r="AF1059" i="10"/>
  <c r="AF872" i="10"/>
  <c r="AF1109" i="10"/>
  <c r="AF947" i="10"/>
  <c r="AF939" i="10"/>
  <c r="AF888" i="10"/>
  <c r="AF1035" i="10"/>
  <c r="AF955" i="10"/>
  <c r="AF910" i="10"/>
  <c r="AF1079" i="10"/>
  <c r="AF1162" i="10"/>
  <c r="AF1025" i="10"/>
  <c r="AF1142" i="10"/>
  <c r="AF913" i="10"/>
  <c r="AF824" i="10"/>
  <c r="AF1131" i="10"/>
  <c r="AF1011" i="10"/>
  <c r="AF995" i="10"/>
  <c r="AF1166" i="10"/>
  <c r="AF825" i="10"/>
  <c r="AF1107" i="10"/>
  <c r="AF1055" i="10"/>
  <c r="AF1152" i="10"/>
  <c r="AF918" i="10"/>
  <c r="AF951" i="10"/>
  <c r="AF999" i="10"/>
  <c r="AF936" i="10"/>
  <c r="AF1161" i="10"/>
  <c r="AF928" i="10"/>
  <c r="AF818" i="10"/>
  <c r="AF987" i="10"/>
  <c r="AF1091" i="10"/>
  <c r="AF855" i="10"/>
  <c r="AF981" i="10"/>
  <c r="AF864" i="10"/>
  <c r="AF965" i="10"/>
  <c r="AF894" i="10"/>
  <c r="AF830" i="10"/>
  <c r="AF1128" i="10"/>
  <c r="AF1095" i="10"/>
  <c r="AF1096" i="10"/>
  <c r="AF1168" i="10"/>
  <c r="AF985" i="10"/>
  <c r="AF1144" i="10"/>
  <c r="AF1076" i="10"/>
  <c r="AF1061" i="10"/>
  <c r="AF1159" i="10"/>
  <c r="AF1071" i="10"/>
  <c r="AF980" i="10"/>
  <c r="AF1043" i="10"/>
  <c r="AF902" i="10"/>
  <c r="AF917" i="10"/>
  <c r="AF879" i="10"/>
  <c r="AF889" i="10"/>
  <c r="AF1114" i="10"/>
  <c r="AF815" i="10"/>
  <c r="AF1140" i="10"/>
  <c r="AF1020" i="10"/>
  <c r="AF1072" i="10"/>
  <c r="AF908" i="10"/>
  <c r="AF1063" i="10"/>
  <c r="AF1014" i="10"/>
  <c r="AF1110" i="10"/>
  <c r="AF885" i="10"/>
  <c r="AF1130" i="10"/>
  <c r="AF1164" i="10"/>
  <c r="Y397" i="10"/>
  <c r="Y393" i="10"/>
  <c r="Y2" i="10" s="1"/>
  <c r="Y4" i="10" s="1"/>
  <c r="J397" i="10"/>
  <c r="J393" i="10"/>
  <c r="AC397" i="10"/>
  <c r="AC393" i="10"/>
  <c r="AC2" i="10" s="1"/>
  <c r="AC4" i="10" s="1"/>
  <c r="AX846" i="10"/>
  <c r="AX1246" i="10" s="1"/>
  <c r="AX1056" i="10"/>
  <c r="AX1456" i="10" s="1"/>
  <c r="AX1125" i="10"/>
  <c r="AX1525" i="10" s="1"/>
  <c r="AX1174" i="10"/>
  <c r="AX1574" i="10" s="1"/>
  <c r="AX949" i="10"/>
  <c r="AX1349" i="10" s="1"/>
  <c r="AX943" i="10"/>
  <c r="AX1343" i="10" s="1"/>
  <c r="AX876" i="10"/>
  <c r="AX1276" i="10" s="1"/>
  <c r="AX945" i="10"/>
  <c r="AX1345" i="10" s="1"/>
  <c r="AX1069" i="10"/>
  <c r="AX1469" i="10" s="1"/>
  <c r="AX1115" i="10"/>
  <c r="AX1515" i="10" s="1"/>
  <c r="AX969" i="10"/>
  <c r="AX1369" i="10" s="1"/>
  <c r="AX1132" i="10"/>
  <c r="AX1532" i="10" s="1"/>
  <c r="AX1180" i="10"/>
  <c r="AX1580" i="10" s="1"/>
  <c r="AX932" i="10"/>
  <c r="AX1332" i="10" s="1"/>
  <c r="AX812" i="10"/>
  <c r="AX1212" i="10" s="1"/>
  <c r="AX1007" i="10"/>
  <c r="AX1407" i="10" s="1"/>
  <c r="AX1160" i="10"/>
  <c r="AX1560" i="10" s="1"/>
  <c r="AX959" i="10"/>
  <c r="AX1359" i="10" s="1"/>
  <c r="AX1078" i="10"/>
  <c r="AX1478" i="10" s="1"/>
  <c r="AX813" i="10"/>
  <c r="AX1213" i="10" s="1"/>
  <c r="AX996" i="10"/>
  <c r="AX1396" i="10" s="1"/>
  <c r="AX958" i="10"/>
  <c r="AX1358" i="10" s="1"/>
  <c r="AX977" i="10"/>
  <c r="AX1377" i="10" s="1"/>
  <c r="AX919" i="10"/>
  <c r="AX1319" i="10" s="1"/>
  <c r="AX898" i="10"/>
  <c r="AX1298" i="10" s="1"/>
  <c r="AX1146" i="10"/>
  <c r="AX1546" i="10" s="1"/>
  <c r="AX884" i="10"/>
  <c r="AX1284" i="10" s="1"/>
  <c r="AX1112" i="10"/>
  <c r="AX1512" i="10" s="1"/>
  <c r="AX1153" i="10"/>
  <c r="AX1553" i="10" s="1"/>
  <c r="AX1057" i="10"/>
  <c r="AX1457" i="10" s="1"/>
  <c r="AX897" i="10"/>
  <c r="AX1297" i="10" s="1"/>
  <c r="AX906" i="10"/>
  <c r="AX1306" i="10" s="1"/>
  <c r="AX1190" i="10"/>
  <c r="AX1590" i="10" s="1"/>
  <c r="AX989" i="10"/>
  <c r="AX1389" i="10" s="1"/>
  <c r="AX1167" i="10"/>
  <c r="AX1567" i="10" s="1"/>
  <c r="AX937" i="10"/>
  <c r="AX1337" i="10" s="1"/>
  <c r="AX1102" i="10"/>
  <c r="AX1502" i="10" s="1"/>
  <c r="AX953" i="10"/>
  <c r="AX1353" i="10" s="1"/>
  <c r="AX1099" i="10"/>
  <c r="AX1499" i="10" s="1"/>
  <c r="AX1073" i="10"/>
  <c r="AX1473" i="10" s="1"/>
  <c r="AX840" i="10"/>
  <c r="AX1240" i="10" s="1"/>
  <c r="AX1042" i="10"/>
  <c r="AX1442" i="10" s="1"/>
  <c r="AX925" i="10"/>
  <c r="AX1325" i="10" s="1"/>
  <c r="AX820" i="10"/>
  <c r="AX1220" i="10" s="1"/>
  <c r="AX1053" i="10"/>
  <c r="AX1453" i="10" s="1"/>
  <c r="AX1064" i="10"/>
  <c r="AX1464" i="10" s="1"/>
  <c r="AX856" i="10"/>
  <c r="AX1256" i="10" s="1"/>
  <c r="AX1087" i="10"/>
  <c r="AX1487" i="10" s="1"/>
  <c r="AX926" i="10"/>
  <c r="AX1326" i="10" s="1"/>
  <c r="AX1019" i="10"/>
  <c r="AX1419" i="10" s="1"/>
  <c r="AX1018" i="10"/>
  <c r="AX1418" i="10" s="1"/>
  <c r="AX1036" i="10"/>
  <c r="AX1436" i="10" s="1"/>
  <c r="AX900" i="10"/>
  <c r="AX1300" i="10" s="1"/>
  <c r="AX1123" i="10"/>
  <c r="AX1523" i="10" s="1"/>
  <c r="AX1077" i="10"/>
  <c r="AX1477" i="10" s="1"/>
  <c r="AX1089" i="10"/>
  <c r="AX1489" i="10" s="1"/>
  <c r="AX1012" i="10"/>
  <c r="AX1412" i="10" s="1"/>
  <c r="AX867" i="10"/>
  <c r="AX1267" i="10" s="1"/>
  <c r="AX842" i="10"/>
  <c r="AX1242" i="10" s="1"/>
  <c r="AX1081" i="10"/>
  <c r="AX1481" i="10" s="1"/>
  <c r="AX1135" i="10"/>
  <c r="AX1535" i="10" s="1"/>
  <c r="AX862" i="10"/>
  <c r="AX1262" i="10" s="1"/>
  <c r="AX1145" i="10"/>
  <c r="AX1545" i="10" s="1"/>
  <c r="AX833" i="10"/>
  <c r="AX1233" i="10" s="1"/>
  <c r="AX847" i="10"/>
  <c r="AX1247" i="10" s="1"/>
  <c r="AX1108" i="10"/>
  <c r="AX1508" i="10" s="1"/>
  <c r="AX870" i="10"/>
  <c r="AX1270" i="10" s="1"/>
  <c r="AX881" i="10"/>
  <c r="AX1281" i="10" s="1"/>
  <c r="AX1143" i="10"/>
  <c r="AX1543" i="10" s="1"/>
  <c r="AX952" i="10"/>
  <c r="AX1352" i="10" s="1"/>
  <c r="AX1130" i="10"/>
  <c r="AX1530" i="10" s="1"/>
  <c r="AX849" i="10"/>
  <c r="AX1249" i="10" s="1"/>
  <c r="AX851" i="10"/>
  <c r="AX1251" i="10" s="1"/>
  <c r="AX1139" i="10"/>
  <c r="AX1539" i="10" s="1"/>
  <c r="AX1065" i="10"/>
  <c r="AX1465" i="10" s="1"/>
  <c r="AX814" i="10"/>
  <c r="AX1214" i="10" s="1"/>
  <c r="AX1178" i="10"/>
  <c r="AX1578" i="10" s="1"/>
  <c r="AX899" i="10"/>
  <c r="AX1299" i="10" s="1"/>
  <c r="AX1169" i="10"/>
  <c r="AX1569" i="10" s="1"/>
  <c r="AX966" i="10"/>
  <c r="AX1366" i="10" s="1"/>
  <c r="AX839" i="10"/>
  <c r="AX1239" i="10" s="1"/>
  <c r="AX991" i="10"/>
  <c r="AX1391" i="10" s="1"/>
  <c r="AX1066" i="10"/>
  <c r="AX1466" i="10" s="1"/>
  <c r="AX1183" i="10"/>
  <c r="AX1583" i="10" s="1"/>
  <c r="AX832" i="10"/>
  <c r="AX1232" i="10" s="1"/>
  <c r="AX1189" i="10"/>
  <c r="AX1589" i="10" s="1"/>
  <c r="AX1161" i="10"/>
  <c r="AX1561" i="10" s="1"/>
  <c r="AX964" i="10"/>
  <c r="AX1364" i="10" s="1"/>
  <c r="AX979" i="10"/>
  <c r="AX1379" i="10" s="1"/>
  <c r="AX871" i="10"/>
  <c r="AX1271" i="10" s="1"/>
  <c r="AX1034" i="10"/>
  <c r="AX1434" i="10" s="1"/>
  <c r="AX1004" i="10"/>
  <c r="AX1404" i="10" s="1"/>
  <c r="AX986" i="10"/>
  <c r="AX1386" i="10" s="1"/>
  <c r="AX1124" i="10"/>
  <c r="AX1524" i="10" s="1"/>
  <c r="AX1121" i="10"/>
  <c r="AX1521" i="10" s="1"/>
  <c r="AX1024" i="10"/>
  <c r="AX1424" i="10" s="1"/>
  <c r="AX998" i="10"/>
  <c r="AX1398" i="10" s="1"/>
  <c r="AX1040" i="10"/>
  <c r="AX1440" i="10" s="1"/>
  <c r="AX1154" i="10"/>
  <c r="AX1554" i="10" s="1"/>
  <c r="AX1177" i="10"/>
  <c r="AX1577" i="10" s="1"/>
  <c r="AX1133" i="10"/>
  <c r="AX1533" i="10" s="1"/>
  <c r="AX860" i="10"/>
  <c r="AX1260" i="10" s="1"/>
  <c r="AX993" i="10"/>
  <c r="AX1393" i="10" s="1"/>
  <c r="AX997" i="10"/>
  <c r="AX1397" i="10" s="1"/>
  <c r="AX1111" i="10"/>
  <c r="AX1511" i="10" s="1"/>
  <c r="AX1094" i="10"/>
  <c r="AX1494" i="10" s="1"/>
  <c r="AX1104" i="10"/>
  <c r="AX1504" i="10" s="1"/>
  <c r="AX836" i="10"/>
  <c r="AX1236" i="10" s="1"/>
  <c r="AX828" i="10"/>
  <c r="AX1228" i="10" s="1"/>
  <c r="AX1188" i="10"/>
  <c r="AX1588" i="10" s="1"/>
  <c r="AX1023" i="10"/>
  <c r="AX1423" i="10" s="1"/>
  <c r="AX1157" i="10"/>
  <c r="AX1557" i="10" s="1"/>
  <c r="AX882" i="10"/>
  <c r="AX1282" i="10" s="1"/>
  <c r="AX1086" i="10"/>
  <c r="AX1486" i="10" s="1"/>
  <c r="AX866" i="10"/>
  <c r="AX1266" i="10" s="1"/>
  <c r="AX1090" i="10"/>
  <c r="AX1490" i="10" s="1"/>
  <c r="AX960" i="10"/>
  <c r="AX1360" i="10" s="1"/>
  <c r="AX923" i="10"/>
  <c r="AX1323" i="10" s="1"/>
  <c r="AX1070" i="10"/>
  <c r="AX1470" i="10" s="1"/>
  <c r="AX1041" i="10"/>
  <c r="AX1441" i="10" s="1"/>
  <c r="AX1158" i="10"/>
  <c r="AX1558" i="10" s="1"/>
  <c r="AX1045" i="10"/>
  <c r="AX1445" i="10" s="1"/>
  <c r="AX946" i="10"/>
  <c r="AX1346" i="10" s="1"/>
  <c r="AX861" i="10"/>
  <c r="AX1261" i="10" s="1"/>
  <c r="AX895" i="10"/>
  <c r="AX1295" i="10" s="1"/>
  <c r="AX829" i="10"/>
  <c r="AX1229" i="10" s="1"/>
  <c r="AX885" i="10"/>
  <c r="AX1285" i="10" s="1"/>
  <c r="AX972" i="10"/>
  <c r="AX1372" i="10" s="1"/>
  <c r="AX1134" i="10"/>
  <c r="AX1534" i="10" s="1"/>
  <c r="AX944" i="10"/>
  <c r="AX1344" i="10" s="1"/>
  <c r="AX1164" i="10"/>
  <c r="AX1564" i="10" s="1"/>
  <c r="AX1173" i="10"/>
  <c r="AX1573" i="10" s="1"/>
  <c r="AX1017" i="10"/>
  <c r="AX1417" i="10" s="1"/>
  <c r="AX863" i="10"/>
  <c r="AX1263" i="10" s="1"/>
  <c r="AX873" i="10"/>
  <c r="AX1273" i="10" s="1"/>
  <c r="AX935" i="10"/>
  <c r="AX1335" i="10" s="1"/>
  <c r="AX907" i="10"/>
  <c r="AX1307" i="10" s="1"/>
  <c r="AX1170" i="10"/>
  <c r="AX1570" i="10" s="1"/>
  <c r="AX1044" i="10"/>
  <c r="AX1444" i="10" s="1"/>
  <c r="AX1103" i="10"/>
  <c r="AX1503" i="10" s="1"/>
  <c r="AX853" i="10"/>
  <c r="AX1253" i="10" s="1"/>
  <c r="AX983" i="10"/>
  <c r="AX1383" i="10" s="1"/>
  <c r="AX1083" i="10"/>
  <c r="AX1483" i="10" s="1"/>
  <c r="AX1021" i="10"/>
  <c r="AX1421" i="10" s="1"/>
  <c r="AX818" i="10"/>
  <c r="AX1218" i="10" s="1"/>
  <c r="AX912" i="10"/>
  <c r="AX1312" i="10" s="1"/>
  <c r="AX1182" i="10"/>
  <c r="AX1582" i="10" s="1"/>
  <c r="AX843" i="10"/>
  <c r="AX1243" i="10" s="1"/>
  <c r="AX938" i="10"/>
  <c r="AX1338" i="10" s="1"/>
  <c r="AX931" i="10"/>
  <c r="AX1331" i="10" s="1"/>
  <c r="AX1079" i="10"/>
  <c r="AX1479" i="10" s="1"/>
  <c r="AX1149" i="10"/>
  <c r="AX1549" i="10" s="1"/>
  <c r="AX1141" i="10"/>
  <c r="AX1541" i="10" s="1"/>
  <c r="AX1096" i="10"/>
  <c r="AX1496" i="10" s="1"/>
  <c r="AX877" i="10"/>
  <c r="AX1277" i="10" s="1"/>
  <c r="AX1156" i="10"/>
  <c r="AX1556" i="10" s="1"/>
  <c r="AX892" i="10"/>
  <c r="AX1292" i="10" s="1"/>
  <c r="AX922" i="10"/>
  <c r="AX1322" i="10" s="1"/>
  <c r="AX980" i="10"/>
  <c r="AX1380" i="10" s="1"/>
  <c r="AX903" i="10"/>
  <c r="AX1303" i="10" s="1"/>
  <c r="AX868" i="10"/>
  <c r="AX1268" i="10" s="1"/>
  <c r="AX875" i="10"/>
  <c r="AX1275" i="10" s="1"/>
  <c r="AX874" i="10"/>
  <c r="AX1274" i="10" s="1"/>
  <c r="AX975" i="10"/>
  <c r="AX1375" i="10" s="1"/>
  <c r="AX995" i="10"/>
  <c r="AX1395" i="10" s="1"/>
  <c r="AX1043" i="10"/>
  <c r="AX1443" i="10" s="1"/>
  <c r="AX992" i="10"/>
  <c r="AX1392" i="10" s="1"/>
  <c r="AX1184" i="10"/>
  <c r="AX1584" i="10" s="1"/>
  <c r="AX915" i="10"/>
  <c r="AX1315" i="10" s="1"/>
  <c r="AX1152" i="10"/>
  <c r="AX1552" i="10" s="1"/>
  <c r="AX1131" i="10"/>
  <c r="AX1531" i="10" s="1"/>
  <c r="AX1138" i="10"/>
  <c r="AX1538" i="10" s="1"/>
  <c r="AX815" i="10"/>
  <c r="AX1215" i="10" s="1"/>
  <c r="AX879" i="10"/>
  <c r="AX1279" i="10" s="1"/>
  <c r="AX1114" i="10"/>
  <c r="AX1514" i="10" s="1"/>
  <c r="AX908" i="10"/>
  <c r="AX1308" i="10" s="1"/>
  <c r="AX917" i="10"/>
  <c r="AX1317" i="10" s="1"/>
  <c r="AX845" i="10"/>
  <c r="AX1245" i="10" s="1"/>
  <c r="AX1106" i="10"/>
  <c r="AX1506" i="10" s="1"/>
  <c r="AX1098" i="10"/>
  <c r="AX1498" i="10" s="1"/>
  <c r="AX850" i="10"/>
  <c r="AX1250" i="10" s="1"/>
  <c r="AX999" i="10"/>
  <c r="AX1399" i="10" s="1"/>
  <c r="AX1129" i="10"/>
  <c r="AX1529" i="10" s="1"/>
  <c r="AX893" i="10"/>
  <c r="AX1293" i="10" s="1"/>
  <c r="AX872" i="10"/>
  <c r="AX1272" i="10" s="1"/>
  <c r="AX859" i="10"/>
  <c r="AX1259" i="10" s="1"/>
  <c r="AX982" i="10"/>
  <c r="AX1382" i="10" s="1"/>
  <c r="AX822" i="10"/>
  <c r="AX1222" i="10" s="1"/>
  <c r="AX984" i="10"/>
  <c r="AX1384" i="10" s="1"/>
  <c r="AX1176" i="10"/>
  <c r="AX1576" i="10" s="1"/>
  <c r="AX988" i="10"/>
  <c r="AX1388" i="10" s="1"/>
  <c r="AX968" i="10"/>
  <c r="AX1368" i="10" s="1"/>
  <c r="AX1002" i="10"/>
  <c r="AX1402" i="10" s="1"/>
  <c r="AX1035" i="10"/>
  <c r="AX1435" i="10" s="1"/>
  <c r="AX939" i="10"/>
  <c r="AX1339" i="10" s="1"/>
  <c r="AX1162" i="10"/>
  <c r="AX1562" i="10" s="1"/>
  <c r="AX821" i="10"/>
  <c r="AX1221" i="10" s="1"/>
  <c r="AX1074" i="10"/>
  <c r="AX1474" i="10" s="1"/>
  <c r="AX1159" i="10"/>
  <c r="AX1559" i="10" s="1"/>
  <c r="AX1076" i="10"/>
  <c r="AX1476" i="10" s="1"/>
  <c r="AX896" i="10"/>
  <c r="AX1296" i="10" s="1"/>
  <c r="AX890" i="10"/>
  <c r="AX1290" i="10" s="1"/>
  <c r="AX954" i="10"/>
  <c r="AX1354" i="10" s="1"/>
  <c r="AX1175" i="10"/>
  <c r="AX1575" i="10" s="1"/>
  <c r="AX1013" i="10"/>
  <c r="AX1413" i="10" s="1"/>
  <c r="AX1046" i="10"/>
  <c r="AX1446" i="10" s="1"/>
  <c r="AX916" i="10"/>
  <c r="AX1316" i="10" s="1"/>
  <c r="AX918" i="10"/>
  <c r="AX1318" i="10" s="1"/>
  <c r="AX823" i="10"/>
  <c r="AX1223" i="10" s="1"/>
  <c r="AX921" i="10"/>
  <c r="AX1321" i="10" s="1"/>
  <c r="AX869" i="10"/>
  <c r="AX1269" i="10" s="1"/>
  <c r="AX835" i="10"/>
  <c r="AX1235" i="10" s="1"/>
  <c r="AX1166" i="10"/>
  <c r="AX1566" i="10" s="1"/>
  <c r="AX913" i="10"/>
  <c r="AX1313" i="10" s="1"/>
  <c r="AX1011" i="10"/>
  <c r="AX1411" i="10" s="1"/>
  <c r="AX1119" i="10"/>
  <c r="AX1519" i="10" s="1"/>
  <c r="AX956" i="10"/>
  <c r="AX1356" i="10" s="1"/>
  <c r="AX889" i="10"/>
  <c r="AX1289" i="10" s="1"/>
  <c r="AX1063" i="10"/>
  <c r="AX1463" i="10" s="1"/>
  <c r="AX1179" i="10"/>
  <c r="AX1579" i="10" s="1"/>
  <c r="AX978" i="10"/>
  <c r="AX1378" i="10" s="1"/>
  <c r="AX1084" i="10"/>
  <c r="AX1484" i="10" s="1"/>
  <c r="AX936" i="10"/>
  <c r="AX1336" i="10" s="1"/>
  <c r="AX924" i="10"/>
  <c r="AX1324" i="10" s="1"/>
  <c r="AX1032" i="10"/>
  <c r="AX1432" i="10" s="1"/>
  <c r="AX971" i="10"/>
  <c r="AX1371" i="10" s="1"/>
  <c r="AX1005" i="10"/>
  <c r="AX1405" i="10" s="1"/>
  <c r="AX1010" i="10"/>
  <c r="AX1410" i="10" s="1"/>
  <c r="AX901" i="10"/>
  <c r="AX1301" i="10" s="1"/>
  <c r="AX1050" i="10"/>
  <c r="AX1450" i="10" s="1"/>
  <c r="AX1006" i="10"/>
  <c r="AX1406" i="10" s="1"/>
  <c r="AX1155" i="10"/>
  <c r="AX1555" i="10" s="1"/>
  <c r="AX910" i="10"/>
  <c r="AX1310" i="10" s="1"/>
  <c r="AX1144" i="10"/>
  <c r="AX1544" i="10" s="1"/>
  <c r="AX1061" i="10"/>
  <c r="AX1461" i="10" s="1"/>
  <c r="AX819" i="10"/>
  <c r="AX1219" i="10" s="1"/>
  <c r="AX1142" i="10"/>
  <c r="AX1542" i="10" s="1"/>
  <c r="AX985" i="10"/>
  <c r="AX1385" i="10" s="1"/>
  <c r="AX940" i="10"/>
  <c r="AX1340" i="10" s="1"/>
  <c r="AX955" i="10"/>
  <c r="AX1355" i="10" s="1"/>
  <c r="AX1150" i="10"/>
  <c r="AX1550" i="10" s="1"/>
  <c r="AX1075" i="10"/>
  <c r="AX1475" i="10" s="1"/>
  <c r="AX1055" i="10"/>
  <c r="AX1455" i="10" s="1"/>
  <c r="AX930" i="10"/>
  <c r="AX1330" i="10" s="1"/>
  <c r="AX942" i="10"/>
  <c r="AX1342" i="10" s="1"/>
  <c r="AX1122" i="10"/>
  <c r="AX1522" i="10" s="1"/>
  <c r="AX1026" i="10"/>
  <c r="AX1426" i="10" s="1"/>
  <c r="AX905" i="10"/>
  <c r="AX1305" i="10" s="1"/>
  <c r="AX837" i="10"/>
  <c r="AX1237" i="10" s="1"/>
  <c r="AX950" i="10"/>
  <c r="AX1350" i="10" s="1"/>
  <c r="AX1107" i="10"/>
  <c r="AX1507" i="10" s="1"/>
  <c r="AX1025" i="10"/>
  <c r="AX1425" i="10" s="1"/>
  <c r="AX1117" i="10"/>
  <c r="AX1517" i="10" s="1"/>
  <c r="AX973" i="10"/>
  <c r="AX1373" i="10" s="1"/>
  <c r="AX1137" i="10"/>
  <c r="AX1537" i="10" s="1"/>
  <c r="AX1140" i="10"/>
  <c r="AX1540" i="10" s="1"/>
  <c r="AX976" i="10"/>
  <c r="AX1376" i="10" s="1"/>
  <c r="AX1033" i="10"/>
  <c r="AX1433" i="10" s="1"/>
  <c r="AX1126" i="10"/>
  <c r="AX1526" i="10" s="1"/>
  <c r="AX1186" i="10"/>
  <c r="AX1586" i="10" s="1"/>
  <c r="AX1082" i="10"/>
  <c r="AX1482" i="10" s="1"/>
  <c r="AX858" i="10"/>
  <c r="AX1258" i="10" s="1"/>
  <c r="AX963" i="10"/>
  <c r="AX1363" i="10" s="1"/>
  <c r="AX929" i="10"/>
  <c r="AX1329" i="10" s="1"/>
  <c r="AX951" i="10"/>
  <c r="AX1351" i="10" s="1"/>
  <c r="AX865" i="10"/>
  <c r="AX1265" i="10" s="1"/>
  <c r="AX1014" i="10"/>
  <c r="AX1414" i="10" s="1"/>
  <c r="AX948" i="10"/>
  <c r="AX1348" i="10" s="1"/>
  <c r="AX904" i="10"/>
  <c r="AX1304" i="10" s="1"/>
  <c r="AX1008" i="10"/>
  <c r="AX1408" i="10" s="1"/>
  <c r="AX1088" i="10"/>
  <c r="AX1488" i="10" s="1"/>
  <c r="AX817" i="10"/>
  <c r="AX1217" i="10" s="1"/>
  <c r="AX1048" i="10"/>
  <c r="AX1448" i="10" s="1"/>
  <c r="AX1072" i="10"/>
  <c r="AX1472" i="10" s="1"/>
  <c r="AX1097" i="10"/>
  <c r="AX1497" i="10" s="1"/>
  <c r="AX1100" i="10"/>
  <c r="AX1500" i="10" s="1"/>
  <c r="AX848" i="10"/>
  <c r="AX1248" i="10" s="1"/>
  <c r="AX826" i="10"/>
  <c r="AX1226" i="10" s="1"/>
  <c r="AX962" i="10"/>
  <c r="AX1362" i="10" s="1"/>
  <c r="AX1003" i="10"/>
  <c r="AX1403" i="10" s="1"/>
  <c r="AX911" i="10"/>
  <c r="AX1311" i="10" s="1"/>
  <c r="AX1172" i="10"/>
  <c r="AX1572" i="10" s="1"/>
  <c r="AX1151" i="10"/>
  <c r="AX1551" i="10" s="1"/>
  <c r="AX1109" i="10"/>
  <c r="AX1509" i="10" s="1"/>
  <c r="AX920" i="10"/>
  <c r="AX1320" i="10" s="1"/>
  <c r="AX1171" i="10"/>
  <c r="AX1571" i="10" s="1"/>
  <c r="AX1001" i="10"/>
  <c r="AX1401" i="10" s="1"/>
  <c r="AX854" i="10"/>
  <c r="AX1254" i="10" s="1"/>
  <c r="AX933" i="10"/>
  <c r="AX1333" i="10" s="1"/>
  <c r="AX816" i="10"/>
  <c r="AX1216" i="10" s="1"/>
  <c r="AX1068" i="10"/>
  <c r="AX1468" i="10" s="1"/>
  <c r="AX1110" i="10"/>
  <c r="AX1510" i="10" s="1"/>
  <c r="AX1163" i="10"/>
  <c r="AX1563" i="10" s="1"/>
  <c r="AX1095" i="10"/>
  <c r="AX1495" i="10" s="1"/>
  <c r="AX844" i="10"/>
  <c r="AX1244" i="10" s="1"/>
  <c r="AX1092" i="10"/>
  <c r="AX1492" i="10" s="1"/>
  <c r="AX1059" i="10"/>
  <c r="AX1459" i="10" s="1"/>
  <c r="AX1127" i="10"/>
  <c r="AX1527" i="10" s="1"/>
  <c r="AX927" i="10"/>
  <c r="AX1327" i="10" s="1"/>
  <c r="AX830" i="10"/>
  <c r="AX1230" i="10" s="1"/>
  <c r="AX1058" i="10"/>
  <c r="AX1458" i="10" s="1"/>
  <c r="AX981" i="10"/>
  <c r="AX1381" i="10" s="1"/>
  <c r="AX838" i="10"/>
  <c r="AX1238" i="10" s="1"/>
  <c r="AX834" i="10"/>
  <c r="AX1234" i="10" s="1"/>
  <c r="AX1093" i="10"/>
  <c r="AX1493" i="10" s="1"/>
  <c r="AX888" i="10"/>
  <c r="AX1288" i="10" s="1"/>
  <c r="AX1071" i="10"/>
  <c r="AX1471" i="10" s="1"/>
  <c r="AX902" i="10"/>
  <c r="AX1302" i="10" s="1"/>
  <c r="AX1101" i="10"/>
  <c r="AX1501" i="10" s="1"/>
  <c r="AX887" i="10"/>
  <c r="AX1287" i="10" s="1"/>
  <c r="AX1049" i="10"/>
  <c r="AX1449" i="10" s="1"/>
  <c r="AX967" i="10"/>
  <c r="AX1367" i="10" s="1"/>
  <c r="AX1052" i="10"/>
  <c r="AX1452" i="10" s="1"/>
  <c r="AX928" i="10"/>
  <c r="AX1328" i="10" s="1"/>
  <c r="AX878" i="10"/>
  <c r="AX1278" i="10" s="1"/>
  <c r="AX1187" i="10"/>
  <c r="AX1587" i="10" s="1"/>
  <c r="AQ393" i="10"/>
  <c r="AQ2" i="10" s="1"/>
  <c r="AQ4" i="10" s="1"/>
  <c r="AQ397" i="10"/>
  <c r="S397" i="10"/>
  <c r="AW1057" i="10"/>
  <c r="AW1457" i="10" s="1"/>
  <c r="AW958" i="10"/>
  <c r="AW1358" i="10" s="1"/>
  <c r="AW866" i="10"/>
  <c r="AW1266" i="10" s="1"/>
  <c r="AW943" i="10"/>
  <c r="AW1343" i="10" s="1"/>
  <c r="AW1174" i="10"/>
  <c r="AW1574" i="10" s="1"/>
  <c r="AW989" i="10"/>
  <c r="AW1389" i="10" s="1"/>
  <c r="AW1102" i="10"/>
  <c r="AW1502" i="10" s="1"/>
  <c r="AW846" i="10"/>
  <c r="AW1246" i="10" s="1"/>
  <c r="AW944" i="10"/>
  <c r="AW1344" i="10" s="1"/>
  <c r="AW897" i="10"/>
  <c r="AW1297" i="10" s="1"/>
  <c r="AW1118" i="10"/>
  <c r="AW1518" i="10" s="1"/>
  <c r="AW953" i="10"/>
  <c r="AW1353" i="10" s="1"/>
  <c r="AW812" i="10"/>
  <c r="AW1212" i="10" s="1"/>
  <c r="AW1036" i="10"/>
  <c r="AW1436" i="10" s="1"/>
  <c r="AW1180" i="10"/>
  <c r="AW1580" i="10" s="1"/>
  <c r="AW1112" i="10"/>
  <c r="AW1512" i="10" s="1"/>
  <c r="AW1018" i="10"/>
  <c r="AW1418" i="10" s="1"/>
  <c r="AW840" i="10"/>
  <c r="AW1240" i="10" s="1"/>
  <c r="AW949" i="10"/>
  <c r="AW1349" i="10" s="1"/>
  <c r="AW1073" i="10"/>
  <c r="AW1473" i="10" s="1"/>
  <c r="AW867" i="10"/>
  <c r="AW1267" i="10" s="1"/>
  <c r="AW937" i="10"/>
  <c r="AW1337" i="10" s="1"/>
  <c r="AW1069" i="10"/>
  <c r="AW1469" i="10" s="1"/>
  <c r="AW959" i="10"/>
  <c r="AW1359" i="10" s="1"/>
  <c r="AW847" i="10"/>
  <c r="AW1247" i="10" s="1"/>
  <c r="AW900" i="10"/>
  <c r="AW1300" i="10" s="1"/>
  <c r="AW1090" i="10"/>
  <c r="AW1490" i="10" s="1"/>
  <c r="AW1188" i="10"/>
  <c r="AW1588" i="10" s="1"/>
  <c r="AW1066" i="10"/>
  <c r="AW1466" i="10" s="1"/>
  <c r="AW1050" i="10"/>
  <c r="AW1450" i="10" s="1"/>
  <c r="AW881" i="10"/>
  <c r="AW1281" i="10" s="1"/>
  <c r="AW842" i="10"/>
  <c r="AW1242" i="10" s="1"/>
  <c r="AW1064" i="10"/>
  <c r="AW1464" i="10" s="1"/>
  <c r="AW964" i="10"/>
  <c r="AW1364" i="10" s="1"/>
  <c r="AW1177" i="10"/>
  <c r="AW1577" i="10" s="1"/>
  <c r="AW901" i="10"/>
  <c r="AW1301" i="10" s="1"/>
  <c r="AW1161" i="10"/>
  <c r="AW1561" i="10" s="1"/>
  <c r="AW1153" i="10"/>
  <c r="AW1553" i="10" s="1"/>
  <c r="AW1135" i="10"/>
  <c r="AW1535" i="10" s="1"/>
  <c r="AW895" i="10"/>
  <c r="AW1295" i="10" s="1"/>
  <c r="AW1006" i="10"/>
  <c r="AW1406" i="10" s="1"/>
  <c r="AW1004" i="10"/>
  <c r="AW1404" i="10" s="1"/>
  <c r="AW1103" i="10"/>
  <c r="AW1503" i="10" s="1"/>
  <c r="AW986" i="10"/>
  <c r="AW1386" i="10" s="1"/>
  <c r="AW870" i="10"/>
  <c r="AW1270" i="10" s="1"/>
  <c r="AW862" i="10"/>
  <c r="AW1262" i="10" s="1"/>
  <c r="AW891" i="10"/>
  <c r="AW1291" i="10" s="1"/>
  <c r="AW924" i="10"/>
  <c r="AW1324" i="10" s="1"/>
  <c r="AW1065" i="10"/>
  <c r="AW1465" i="10" s="1"/>
  <c r="AW1087" i="10"/>
  <c r="AW1487" i="10" s="1"/>
  <c r="AW979" i="10"/>
  <c r="AW1379" i="10" s="1"/>
  <c r="AW935" i="10"/>
  <c r="AW1335" i="10" s="1"/>
  <c r="AW1178" i="10"/>
  <c r="AW1578" i="10" s="1"/>
  <c r="AW923" i="10"/>
  <c r="AW1323" i="10" s="1"/>
  <c r="AW983" i="10"/>
  <c r="AW1383" i="10" s="1"/>
  <c r="AW1070" i="10"/>
  <c r="AW1470" i="10" s="1"/>
  <c r="AW1083" i="10"/>
  <c r="AW1483" i="10" s="1"/>
  <c r="AW1045" i="10"/>
  <c r="AW1445" i="10" s="1"/>
  <c r="AW1044" i="10"/>
  <c r="AW1444" i="10" s="1"/>
  <c r="AW1053" i="10"/>
  <c r="AW1453" i="10" s="1"/>
  <c r="AW818" i="10"/>
  <c r="AW1218" i="10" s="1"/>
  <c r="AW899" i="10"/>
  <c r="AW1299" i="10" s="1"/>
  <c r="AW1041" i="10"/>
  <c r="AW1441" i="10" s="1"/>
  <c r="AW1182" i="10"/>
  <c r="AW1582" i="10" s="1"/>
  <c r="AW1143" i="10"/>
  <c r="AW1543" i="10" s="1"/>
  <c r="AW860" i="10"/>
  <c r="AW1260" i="10" s="1"/>
  <c r="AW947" i="10"/>
  <c r="AW1347" i="10" s="1"/>
  <c r="AW832" i="10"/>
  <c r="AW1232" i="10" s="1"/>
  <c r="AW829" i="10"/>
  <c r="AW1229" i="10" s="1"/>
  <c r="AW1034" i="10"/>
  <c r="AW1434" i="10" s="1"/>
  <c r="AW843" i="10"/>
  <c r="AW1243" i="10" s="1"/>
  <c r="AW813" i="10"/>
  <c r="AW849" i="10"/>
  <c r="AW1249" i="10" s="1"/>
  <c r="AW839" i="10"/>
  <c r="AW1239" i="10" s="1"/>
  <c r="AW1183" i="10"/>
  <c r="AW1583" i="10" s="1"/>
  <c r="AW912" i="10"/>
  <c r="AW1312" i="10" s="1"/>
  <c r="AW1173" i="10"/>
  <c r="AW1573" i="10" s="1"/>
  <c r="AW882" i="10"/>
  <c r="AW1282" i="10" s="1"/>
  <c r="AW836" i="10"/>
  <c r="AW1236" i="10" s="1"/>
  <c r="AW998" i="10"/>
  <c r="AW1398" i="10" s="1"/>
  <c r="AW1130" i="10"/>
  <c r="AW1530" i="10" s="1"/>
  <c r="AW814" i="10"/>
  <c r="AW1214" i="10" s="1"/>
  <c r="AW1158" i="10"/>
  <c r="AW1558" i="10" s="1"/>
  <c r="AW1024" i="10"/>
  <c r="AW1424" i="10" s="1"/>
  <c r="AW907" i="10"/>
  <c r="AW1307" i="10" s="1"/>
  <c r="AW1157" i="10"/>
  <c r="AW1557" i="10" s="1"/>
  <c r="AW1133" i="10"/>
  <c r="AW1533" i="10" s="1"/>
  <c r="AW952" i="10"/>
  <c r="AW1352" i="10" s="1"/>
  <c r="AW1032" i="10"/>
  <c r="AW1432" i="10" s="1"/>
  <c r="AW945" i="10"/>
  <c r="AW1345" i="10" s="1"/>
  <c r="AW1189" i="10"/>
  <c r="AW1589" i="10" s="1"/>
  <c r="AW844" i="10"/>
  <c r="AW1244" i="10" s="1"/>
  <c r="AW1169" i="10"/>
  <c r="AW1569" i="10" s="1"/>
  <c r="AW1086" i="10"/>
  <c r="AW1486" i="10" s="1"/>
  <c r="AW1134" i="10"/>
  <c r="AW1534" i="10" s="1"/>
  <c r="AW1147" i="10"/>
  <c r="AW1547" i="10" s="1"/>
  <c r="AW1060" i="10"/>
  <c r="AW1460" i="10" s="1"/>
  <c r="AW972" i="10"/>
  <c r="AW1372" i="10" s="1"/>
  <c r="AW1145" i="10"/>
  <c r="AW1545" i="10" s="1"/>
  <c r="AW1154" i="10"/>
  <c r="AW1554" i="10" s="1"/>
  <c r="AW1023" i="10"/>
  <c r="AW1423" i="10" s="1"/>
  <c r="AW966" i="10"/>
  <c r="AW1366" i="10" s="1"/>
  <c r="AW962" i="10"/>
  <c r="AW1362" i="10" s="1"/>
  <c r="AW1005" i="10"/>
  <c r="AW1405" i="10" s="1"/>
  <c r="AW1121" i="10"/>
  <c r="AW1521" i="10" s="1"/>
  <c r="AW1040" i="10"/>
  <c r="AW1440" i="10" s="1"/>
  <c r="AW1170" i="10"/>
  <c r="AW1570" i="10" s="1"/>
  <c r="AW863" i="10"/>
  <c r="AW1263" i="10" s="1"/>
  <c r="AW1059" i="10"/>
  <c r="AW1459" i="10" s="1"/>
  <c r="AW871" i="10"/>
  <c r="AW1271" i="10" s="1"/>
  <c r="AW993" i="10"/>
  <c r="AW1393" i="10" s="1"/>
  <c r="AW1094" i="10"/>
  <c r="AW1494" i="10" s="1"/>
  <c r="AW1155" i="10"/>
  <c r="AW1555" i="10" s="1"/>
  <c r="AW946" i="10"/>
  <c r="AW1346" i="10" s="1"/>
  <c r="AW848" i="10"/>
  <c r="AW1248" i="10" s="1"/>
  <c r="AW1092" i="10"/>
  <c r="AW1492" i="10" s="1"/>
  <c r="AW1003" i="10"/>
  <c r="AW1403" i="10" s="1"/>
  <c r="AW1017" i="10"/>
  <c r="AW1417" i="10" s="1"/>
  <c r="AW1010" i="10"/>
  <c r="AW1410" i="10" s="1"/>
  <c r="AW828" i="10"/>
  <c r="AW1228" i="10" s="1"/>
  <c r="AW1172" i="10"/>
  <c r="AW1572" i="10" s="1"/>
  <c r="AW909" i="10"/>
  <c r="AW1309" i="10" s="1"/>
  <c r="AW1163" i="10"/>
  <c r="AW1563" i="10" s="1"/>
  <c r="AW997" i="10"/>
  <c r="AW1397" i="10" s="1"/>
  <c r="AW893" i="10"/>
  <c r="AW1293" i="10" s="1"/>
  <c r="AW1187" i="10"/>
  <c r="AW1587" i="10" s="1"/>
  <c r="AW911" i="10"/>
  <c r="AW1311" i="10" s="1"/>
  <c r="AW872" i="10"/>
  <c r="AW1272" i="10" s="1"/>
  <c r="AW914" i="10"/>
  <c r="AW1314" i="10" s="1"/>
  <c r="AW886" i="10"/>
  <c r="AW1286" i="10" s="1"/>
  <c r="AW821" i="10"/>
  <c r="AW1221" i="10" s="1"/>
  <c r="AW955" i="10"/>
  <c r="AW1355" i="10" s="1"/>
  <c r="AW1168" i="10"/>
  <c r="AW1568" i="10" s="1"/>
  <c r="AW1079" i="10"/>
  <c r="AW1479" i="10" s="1"/>
  <c r="AW1074" i="10"/>
  <c r="AW1474" i="10" s="1"/>
  <c r="AW1150" i="10"/>
  <c r="AW1550" i="10" s="1"/>
  <c r="AW933" i="10"/>
  <c r="AW1333" i="10" s="1"/>
  <c r="AW1096" i="10"/>
  <c r="AW1496" i="10" s="1"/>
  <c r="AW942" i="10"/>
  <c r="AW1342" i="10" s="1"/>
  <c r="AW1152" i="10"/>
  <c r="AW1552" i="10" s="1"/>
  <c r="AW1159" i="10"/>
  <c r="AW1559" i="10" s="1"/>
  <c r="AW875" i="10"/>
  <c r="AW1275" i="10" s="1"/>
  <c r="AW1049" i="10"/>
  <c r="AW1449" i="10" s="1"/>
  <c r="AW837" i="10"/>
  <c r="AW1237" i="10" s="1"/>
  <c r="AW921" i="10"/>
  <c r="AW1321" i="10" s="1"/>
  <c r="AW915" i="10"/>
  <c r="AW1315" i="10" s="1"/>
  <c r="AW1002" i="10"/>
  <c r="AW1402" i="10" s="1"/>
  <c r="AW816" i="10"/>
  <c r="AW1216" i="10" s="1"/>
  <c r="AW1025" i="10"/>
  <c r="AW1425" i="10" s="1"/>
  <c r="AW1068" i="10"/>
  <c r="AW1468" i="10" s="1"/>
  <c r="AW948" i="10"/>
  <c r="AW1348" i="10" s="1"/>
  <c r="AW1072" i="10"/>
  <c r="AW1472" i="10" s="1"/>
  <c r="AW980" i="10"/>
  <c r="AW1380" i="10" s="1"/>
  <c r="AW824" i="10"/>
  <c r="AW1224" i="10" s="1"/>
  <c r="AW1126" i="10"/>
  <c r="AW1526" i="10" s="1"/>
  <c r="AW869" i="10"/>
  <c r="AW1269" i="10" s="1"/>
  <c r="AW995" i="10"/>
  <c r="AW1395" i="10" s="1"/>
  <c r="AW918" i="10"/>
  <c r="AW1318" i="10" s="1"/>
  <c r="AW1082" i="10"/>
  <c r="AW1482" i="10" s="1"/>
  <c r="AW999" i="10"/>
  <c r="AW1399" i="10" s="1"/>
  <c r="AW1052" i="10"/>
  <c r="AW1452" i="10" s="1"/>
  <c r="AW976" i="10"/>
  <c r="AW1376" i="10" s="1"/>
  <c r="AW1179" i="10"/>
  <c r="AW1579" i="10" s="1"/>
  <c r="AW1151" i="10"/>
  <c r="AW1551" i="10" s="1"/>
  <c r="AW873" i="10"/>
  <c r="AW1273" i="10" s="1"/>
  <c r="AW1111" i="10"/>
  <c r="AW1511" i="10" s="1"/>
  <c r="AW982" i="10"/>
  <c r="AW1382" i="10" s="1"/>
  <c r="AW826" i="10"/>
  <c r="AW1226" i="10" s="1"/>
  <c r="AW1095" i="10"/>
  <c r="AW1495" i="10" s="1"/>
  <c r="AW1021" i="10"/>
  <c r="AW1421" i="10" s="1"/>
  <c r="AW984" i="10"/>
  <c r="AW1384" i="10" s="1"/>
  <c r="AW861" i="10"/>
  <c r="AW1261" i="10" s="1"/>
  <c r="AW834" i="10"/>
  <c r="AW1234" i="10" s="1"/>
  <c r="AW991" i="10"/>
  <c r="AW1391" i="10" s="1"/>
  <c r="AW1164" i="10"/>
  <c r="AW1564" i="10" s="1"/>
  <c r="AW1109" i="10"/>
  <c r="AW1509" i="10" s="1"/>
  <c r="AW1162" i="10"/>
  <c r="AW1562" i="10" s="1"/>
  <c r="AW892" i="10"/>
  <c r="AW1292" i="10" s="1"/>
  <c r="AW1076" i="10"/>
  <c r="AW1476" i="10" s="1"/>
  <c r="AW854" i="10"/>
  <c r="AW1254" i="10" s="1"/>
  <c r="AW939" i="10"/>
  <c r="AW1339" i="10" s="1"/>
  <c r="AW1093" i="10"/>
  <c r="AW1493" i="10" s="1"/>
  <c r="AW1142" i="10"/>
  <c r="AW1542" i="10" s="1"/>
  <c r="AW815" i="10"/>
  <c r="AW1215" i="10" s="1"/>
  <c r="AW988" i="10"/>
  <c r="AW1388" i="10" s="1"/>
  <c r="AW1055" i="10"/>
  <c r="AW1455" i="10" s="1"/>
  <c r="AW1085" i="10"/>
  <c r="AW1485" i="10" s="1"/>
  <c r="AW890" i="10"/>
  <c r="AW1290" i="10" s="1"/>
  <c r="AW825" i="10"/>
  <c r="AW1225" i="10" s="1"/>
  <c r="AW1140" i="10"/>
  <c r="AW1540" i="10" s="1"/>
  <c r="AW916" i="10"/>
  <c r="AW1316" i="10" s="1"/>
  <c r="AW1020" i="10"/>
  <c r="AW1420" i="10" s="1"/>
  <c r="AW889" i="10"/>
  <c r="AW1289" i="10" s="1"/>
  <c r="AW887" i="10"/>
  <c r="AW1287" i="10" s="1"/>
  <c r="AW913" i="10"/>
  <c r="AW1313" i="10" s="1"/>
  <c r="AW1119" i="10"/>
  <c r="AW1519" i="10" s="1"/>
  <c r="AW903" i="10"/>
  <c r="AW1303" i="10" s="1"/>
  <c r="AW1011" i="10"/>
  <c r="AW1411" i="10" s="1"/>
  <c r="AW1106" i="10"/>
  <c r="AW1506" i="10" s="1"/>
  <c r="AW850" i="10"/>
  <c r="AW1250" i="10" s="1"/>
  <c r="AW951" i="10"/>
  <c r="AW1351" i="10" s="1"/>
  <c r="AW1100" i="10"/>
  <c r="AW1500" i="10" s="1"/>
  <c r="AW960" i="10"/>
  <c r="AW1360" i="10" s="1"/>
  <c r="AW1129" i="10"/>
  <c r="AW1529" i="10" s="1"/>
  <c r="AW822" i="10"/>
  <c r="AW1222" i="10" s="1"/>
  <c r="AW853" i="10"/>
  <c r="AW1253" i="10" s="1"/>
  <c r="AW1181" i="10"/>
  <c r="AW1581" i="10" s="1"/>
  <c r="AW931" i="10"/>
  <c r="AW1331" i="10" s="1"/>
  <c r="AW910" i="10"/>
  <c r="AW1310" i="10" s="1"/>
  <c r="AW1075" i="10"/>
  <c r="AW1475" i="10" s="1"/>
  <c r="AW922" i="10"/>
  <c r="AW1322" i="10" s="1"/>
  <c r="AW904" i="10"/>
  <c r="AW1304" i="10" s="1"/>
  <c r="AW941" i="10"/>
  <c r="AW1341" i="10" s="1"/>
  <c r="AW1184" i="10"/>
  <c r="AW1584" i="10" s="1"/>
  <c r="AW905" i="10"/>
  <c r="AW1305" i="10" s="1"/>
  <c r="AW1137" i="10"/>
  <c r="AW1537" i="10" s="1"/>
  <c r="AW1013" i="10"/>
  <c r="AW1413" i="10" s="1"/>
  <c r="AW888" i="10"/>
  <c r="AW1288" i="10" s="1"/>
  <c r="AW1176" i="10"/>
  <c r="AW1576" i="10" s="1"/>
  <c r="AW973" i="10"/>
  <c r="AW1373" i="10" s="1"/>
  <c r="AW1001" i="10"/>
  <c r="AW1401" i="10" s="1"/>
  <c r="AW967" i="10"/>
  <c r="AW1367" i="10" s="1"/>
  <c r="AW1063" i="10"/>
  <c r="AW1463" i="10" s="1"/>
  <c r="AW1046" i="10"/>
  <c r="AW1446" i="10" s="1"/>
  <c r="AW1051" i="10"/>
  <c r="AW1451" i="10" s="1"/>
  <c r="AW1122" i="10"/>
  <c r="AW1522" i="10" s="1"/>
  <c r="AW1101" i="10"/>
  <c r="AW1501" i="10" s="1"/>
  <c r="AW992" i="10"/>
  <c r="AW1392" i="10" s="1"/>
  <c r="AW963" i="10"/>
  <c r="AW1363" i="10" s="1"/>
  <c r="AW845" i="10"/>
  <c r="AW1245" i="10" s="1"/>
  <c r="AW978" i="10"/>
  <c r="AW1378" i="10" s="1"/>
  <c r="AW1014" i="10"/>
  <c r="AW1414" i="10" s="1"/>
  <c r="AW929" i="10"/>
  <c r="AW1329" i="10" s="1"/>
  <c r="AW885" i="10"/>
  <c r="AW1285" i="10" s="1"/>
  <c r="AW974" i="10"/>
  <c r="AW1374" i="10" s="1"/>
  <c r="AW994" i="10"/>
  <c r="AW1394" i="10" s="1"/>
  <c r="AW990" i="10"/>
  <c r="AW1390" i="10" s="1"/>
  <c r="AW830" i="10"/>
  <c r="AW1230" i="10" s="1"/>
  <c r="AW878" i="10"/>
  <c r="AW1278" i="10" s="1"/>
  <c r="AW1081" i="10"/>
  <c r="AW1481" i="10" s="1"/>
  <c r="AW928" i="10"/>
  <c r="AW1328" i="10" s="1"/>
  <c r="AW940" i="10"/>
  <c r="AW1340" i="10" s="1"/>
  <c r="AW1175" i="10"/>
  <c r="AW1575" i="10" s="1"/>
  <c r="AW874" i="10"/>
  <c r="AW1274" i="10" s="1"/>
  <c r="AW1061" i="10"/>
  <c r="AW1461" i="10" s="1"/>
  <c r="AW1171" i="10"/>
  <c r="AW1571" i="10" s="1"/>
  <c r="AW868" i="10"/>
  <c r="AW1268" i="10" s="1"/>
  <c r="AW968" i="10"/>
  <c r="AW1368" i="10" s="1"/>
  <c r="AW975" i="10"/>
  <c r="AW1375" i="10" s="1"/>
  <c r="AW1156" i="10"/>
  <c r="AW1556" i="10" s="1"/>
  <c r="AW1149" i="10"/>
  <c r="AW1549" i="10" s="1"/>
  <c r="AW879" i="10"/>
  <c r="AW1279" i="10" s="1"/>
  <c r="AW1035" i="10"/>
  <c r="AW1435" i="10" s="1"/>
  <c r="AW956" i="10"/>
  <c r="AW1356" i="10" s="1"/>
  <c r="AW1033" i="10"/>
  <c r="AW1433" i="10" s="1"/>
  <c r="AW1166" i="10"/>
  <c r="AW1566" i="10" s="1"/>
  <c r="AW1043" i="10"/>
  <c r="AW1443" i="10" s="1"/>
  <c r="AW950" i="10"/>
  <c r="AW1350" i="10" s="1"/>
  <c r="AW835" i="10"/>
  <c r="AW1235" i="10" s="1"/>
  <c r="AW930" i="10"/>
  <c r="AW1330" i="10" s="1"/>
  <c r="AW917" i="10"/>
  <c r="AW1317" i="10" s="1"/>
  <c r="AW938" i="10"/>
  <c r="AW1338" i="10" s="1"/>
  <c r="AW1114" i="10"/>
  <c r="AW1514" i="10" s="1"/>
  <c r="AW817" i="10"/>
  <c r="AW1217" i="10" s="1"/>
  <c r="AW865" i="10"/>
  <c r="AW1265" i="10" s="1"/>
  <c r="AW936" i="10"/>
  <c r="AW1336" i="10" s="1"/>
  <c r="AW1110" i="10"/>
  <c r="AW1510" i="10" s="1"/>
  <c r="AY397" i="10"/>
  <c r="AY393" i="10"/>
  <c r="AY2" i="10" s="1"/>
  <c r="AY4" i="10" s="1"/>
  <c r="AP943" i="10"/>
  <c r="AP926" i="10"/>
  <c r="AP833" i="10"/>
  <c r="AP897" i="10"/>
  <c r="AP813" i="10"/>
  <c r="AP1125" i="10"/>
  <c r="AP1036" i="10"/>
  <c r="AP812" i="10"/>
  <c r="AP840" i="10"/>
  <c r="AP820" i="10"/>
  <c r="AP969" i="10"/>
  <c r="AP851" i="10"/>
  <c r="AP1019" i="10"/>
  <c r="AP1056" i="10"/>
  <c r="AP989" i="10"/>
  <c r="AP958" i="10"/>
  <c r="AP1073" i="10"/>
  <c r="AP949" i="10"/>
  <c r="AP1089" i="10"/>
  <c r="AP1124" i="10"/>
  <c r="AP906" i="10"/>
  <c r="AP1167" i="10"/>
  <c r="AP1146" i="10"/>
  <c r="AP1087" i="10"/>
  <c r="AP907" i="10"/>
  <c r="AP1169" i="10"/>
  <c r="AP1153" i="10"/>
  <c r="AP1132" i="10"/>
  <c r="AP847" i="10"/>
  <c r="AP1090" i="10"/>
  <c r="AP986" i="10"/>
  <c r="AP885" i="10"/>
  <c r="AP1183" i="10"/>
  <c r="AP996" i="10"/>
  <c r="AP899" i="10"/>
  <c r="AP1111" i="10"/>
  <c r="AP1006" i="10"/>
  <c r="AP935" i="10"/>
  <c r="AP912" i="10"/>
  <c r="AP991" i="10"/>
  <c r="AP1050" i="10"/>
  <c r="AP1145" i="10"/>
  <c r="AP832" i="10"/>
  <c r="AP1133" i="10"/>
  <c r="AP1155" i="10"/>
  <c r="AP860" i="10"/>
  <c r="AP1129" i="10"/>
  <c r="AP862" i="10"/>
  <c r="AP901" i="10"/>
  <c r="AP828" i="10"/>
  <c r="AP870" i="10"/>
  <c r="AP1170" i="10"/>
  <c r="AP1158" i="10"/>
  <c r="AP1034" i="10"/>
  <c r="AP836" i="10"/>
  <c r="AP1161" i="10"/>
  <c r="AP1189" i="10"/>
  <c r="AP1010" i="10"/>
  <c r="AP1188" i="10"/>
  <c r="AP1086" i="10"/>
  <c r="AP1177" i="10"/>
  <c r="AP952" i="10"/>
  <c r="AP895" i="10"/>
  <c r="AP881" i="10"/>
  <c r="AP1004" i="10"/>
  <c r="AP972" i="10"/>
  <c r="AP1143" i="10"/>
  <c r="AP1066" i="10"/>
  <c r="AP1024" i="10"/>
  <c r="AP1045" i="10"/>
  <c r="AP1130" i="10"/>
  <c r="AP826" i="10"/>
  <c r="AP1154" i="10"/>
  <c r="AP923" i="10"/>
  <c r="AP946" i="10"/>
  <c r="AP1147" i="10"/>
  <c r="AP1040" i="10"/>
  <c r="AP1070" i="10"/>
  <c r="AP966" i="10"/>
  <c r="AP1172" i="10"/>
  <c r="AP1095" i="10"/>
  <c r="AP997" i="10"/>
  <c r="AP1151" i="10"/>
  <c r="AP873" i="10"/>
  <c r="AP863" i="10"/>
  <c r="AP984" i="10"/>
  <c r="AP1083" i="10"/>
  <c r="AP891" i="10"/>
  <c r="AP878" i="10"/>
  <c r="AP871" i="10"/>
  <c r="AP861" i="10"/>
  <c r="AP1187" i="10"/>
  <c r="AP928" i="10"/>
  <c r="AP843" i="10"/>
  <c r="AP982" i="10"/>
  <c r="AP834" i="10"/>
  <c r="AP839" i="10"/>
  <c r="AP1182" i="10"/>
  <c r="AP1017" i="10"/>
  <c r="AP849" i="10"/>
  <c r="AP822" i="10"/>
  <c r="AP1135" i="10"/>
  <c r="AP1065" i="10"/>
  <c r="AP960" i="10"/>
  <c r="AP1041" i="10"/>
  <c r="AP829" i="10"/>
  <c r="AP1157" i="10"/>
  <c r="AP1109" i="10"/>
  <c r="AP1163" i="10"/>
  <c r="AP848" i="10"/>
  <c r="AP909" i="10"/>
  <c r="AP1032" i="10"/>
  <c r="AP1081" i="10"/>
  <c r="AP1092" i="10"/>
  <c r="AP979" i="10"/>
  <c r="AP983" i="10"/>
  <c r="AP842" i="10"/>
  <c r="AP998" i="10"/>
  <c r="AP1023" i="10"/>
  <c r="AP962" i="10"/>
  <c r="AP1164" i="10"/>
  <c r="AP1003" i="10"/>
  <c r="AP1173" i="10"/>
  <c r="AP818" i="10"/>
  <c r="AP844" i="10"/>
  <c r="AP971" i="10"/>
  <c r="AP947" i="10"/>
  <c r="AP939" i="10"/>
  <c r="AP1074" i="10"/>
  <c r="AP905" i="10"/>
  <c r="AP1144" i="10"/>
  <c r="AP1093" i="10"/>
  <c r="AP988" i="10"/>
  <c r="AP968" i="10"/>
  <c r="AP904" i="10"/>
  <c r="AP975" i="10"/>
  <c r="AP1149" i="10"/>
  <c r="AP877" i="10"/>
  <c r="AP819" i="10"/>
  <c r="AP1025" i="10"/>
  <c r="AP1141" i="10"/>
  <c r="AP1137" i="10"/>
  <c r="AP1150" i="10"/>
  <c r="AP854" i="10"/>
  <c r="AP903" i="10"/>
  <c r="AP825" i="10"/>
  <c r="AP1131" i="10"/>
  <c r="AP1097" i="10"/>
  <c r="AP815" i="10"/>
  <c r="AP967" i="10"/>
  <c r="AP918" i="10"/>
  <c r="AP902" i="10"/>
  <c r="AP835" i="10"/>
  <c r="AP1088" i="10"/>
  <c r="AP1049" i="10"/>
  <c r="AP1072" i="10"/>
  <c r="AP963" i="10"/>
  <c r="AP999" i="10"/>
  <c r="AP976" i="10"/>
  <c r="AP1098" i="10"/>
  <c r="AP978" i="10"/>
  <c r="AP948" i="10"/>
  <c r="AP853" i="10"/>
  <c r="AP872" i="10"/>
  <c r="AP852" i="10"/>
  <c r="AP1059" i="10"/>
  <c r="AP1094" i="10"/>
  <c r="AP1062" i="10"/>
  <c r="AP1121" i="10"/>
  <c r="AP893" i="10"/>
  <c r="AP914" i="10"/>
  <c r="AP1171" i="10"/>
  <c r="AP886" i="10"/>
  <c r="AP837" i="10"/>
  <c r="AP941" i="10"/>
  <c r="AP920" i="10"/>
  <c r="AP888" i="10"/>
  <c r="AP896" i="10"/>
  <c r="AP823" i="10"/>
  <c r="AP950" i="10"/>
  <c r="AP890" i="10"/>
  <c r="AP973" i="10"/>
  <c r="AP1035" i="10"/>
  <c r="AP913" i="10"/>
  <c r="AP917" i="10"/>
  <c r="AP1186" i="10"/>
  <c r="AP933" i="10"/>
  <c r="AP1114" i="10"/>
  <c r="AP1033" i="10"/>
  <c r="AP1138" i="10"/>
  <c r="AP921" i="10"/>
  <c r="AP916" i="10"/>
  <c r="AP814" i="10"/>
  <c r="AP1084" i="10"/>
  <c r="AP1085" i="10"/>
  <c r="AP936" i="10"/>
  <c r="AP1014" i="10"/>
  <c r="AP1178" i="10"/>
  <c r="AP1005" i="10"/>
  <c r="AP993" i="10"/>
  <c r="AP882" i="10"/>
  <c r="AP911" i="10"/>
  <c r="AP1134" i="10"/>
  <c r="AP910" i="10"/>
  <c r="AP1079" i="10"/>
  <c r="AP1175" i="10"/>
  <c r="AP821" i="10"/>
  <c r="AP1159" i="10"/>
  <c r="AP1122" i="10"/>
  <c r="AP1168" i="10"/>
  <c r="AP940" i="10"/>
  <c r="AP1184" i="10"/>
  <c r="AP1176" i="10"/>
  <c r="AP1013" i="10"/>
  <c r="AP956" i="10"/>
  <c r="AP1142" i="10"/>
  <c r="AP1026" i="10"/>
  <c r="AP845" i="10"/>
  <c r="AP1048" i="10"/>
  <c r="AP1082" i="10"/>
  <c r="AP1119" i="10"/>
  <c r="AP995" i="10"/>
  <c r="AP1126" i="10"/>
  <c r="AP1117" i="10"/>
  <c r="AP992" i="10"/>
  <c r="AP1080" i="10"/>
  <c r="AP1052" i="10"/>
  <c r="AP929" i="10"/>
  <c r="AP1110" i="10"/>
  <c r="AP1100" i="10"/>
  <c r="AP1165" i="10"/>
  <c r="AP927" i="10"/>
  <c r="AP1148" i="10"/>
  <c r="AP1113" i="10"/>
  <c r="AP994" i="10"/>
  <c r="AP1127" i="10"/>
  <c r="AP1128" i="10"/>
  <c r="AP990" i="10"/>
  <c r="AP1105" i="10"/>
  <c r="AP1021" i="10"/>
  <c r="AP874" i="10"/>
  <c r="AP875" i="10"/>
  <c r="AP868" i="10"/>
  <c r="AP1096" i="10"/>
  <c r="AP1061" i="10"/>
  <c r="AP985" i="10"/>
  <c r="AP1002" i="10"/>
  <c r="AP1075" i="10"/>
  <c r="AP1055" i="10"/>
  <c r="AP892" i="10"/>
  <c r="AP1020" i="10"/>
  <c r="AP1008" i="10"/>
  <c r="AP864" i="10"/>
  <c r="AP879" i="10"/>
  <c r="AP1107" i="10"/>
  <c r="AP1043" i="10"/>
  <c r="AP889" i="10"/>
  <c r="AP869" i="10"/>
  <c r="AP817" i="10"/>
  <c r="AP1106" i="10"/>
  <c r="AP1068" i="10"/>
  <c r="AP858" i="10"/>
  <c r="AP1152" i="10"/>
  <c r="AP1063" i="10"/>
  <c r="AP908" i="10"/>
  <c r="AP1179" i="10"/>
  <c r="T1012" i="10"/>
  <c r="T1190" i="10"/>
  <c r="T1019" i="10"/>
  <c r="T867" i="10"/>
  <c r="T953" i="10"/>
  <c r="T856" i="10"/>
  <c r="T851" i="10"/>
  <c r="T1160" i="10"/>
  <c r="T925" i="10"/>
  <c r="T1007" i="10"/>
  <c r="T897" i="10"/>
  <c r="T937" i="10"/>
  <c r="T1108" i="10"/>
  <c r="T1115" i="10"/>
  <c r="T949" i="10"/>
  <c r="T1057" i="10"/>
  <c r="T1077" i="10"/>
  <c r="T958" i="10"/>
  <c r="T1042" i="10"/>
  <c r="T1174" i="10"/>
  <c r="T1139" i="10"/>
  <c r="T1112" i="10"/>
  <c r="T1118" i="10"/>
  <c r="T1153" i="10"/>
  <c r="T812" i="10"/>
  <c r="T1123" i="10"/>
  <c r="T884" i="10"/>
  <c r="T1102" i="10"/>
  <c r="T996" i="10"/>
  <c r="T1069" i="10"/>
  <c r="T906" i="10"/>
  <c r="T876" i="10"/>
  <c r="T1056" i="10"/>
  <c r="T989" i="10"/>
  <c r="T977" i="10"/>
  <c r="T846" i="10"/>
  <c r="T1132" i="10"/>
  <c r="T1180" i="10"/>
  <c r="T919" i="10"/>
  <c r="T1146" i="10"/>
  <c r="T1036" i="10"/>
  <c r="T943" i="10"/>
  <c r="T945" i="10"/>
  <c r="T1018" i="10"/>
  <c r="T847" i="10"/>
  <c r="T833" i="10"/>
  <c r="T1089" i="10"/>
  <c r="T1099" i="10"/>
  <c r="T900" i="10"/>
  <c r="T944" i="10"/>
  <c r="T1090" i="10"/>
  <c r="T923" i="10"/>
  <c r="T862" i="10"/>
  <c r="T966" i="10"/>
  <c r="T946" i="10"/>
  <c r="T1121" i="10"/>
  <c r="T1070" i="10"/>
  <c r="T1053" i="10"/>
  <c r="T964" i="10"/>
  <c r="T1183" i="10"/>
  <c r="T1023" i="10"/>
  <c r="T998" i="10"/>
  <c r="T1064" i="10"/>
  <c r="T1034" i="10"/>
  <c r="T993" i="10"/>
  <c r="T971" i="10"/>
  <c r="T844" i="10"/>
  <c r="T1158" i="10"/>
  <c r="T1177" i="10"/>
  <c r="T1143" i="10"/>
  <c r="T860" i="10"/>
  <c r="T870" i="10"/>
  <c r="T895" i="10"/>
  <c r="T1065" i="10"/>
  <c r="T1040" i="10"/>
  <c r="T836" i="10"/>
  <c r="T991" i="10"/>
  <c r="T907" i="10"/>
  <c r="T1094" i="10"/>
  <c r="T984" i="10"/>
  <c r="T1170" i="10"/>
  <c r="T1083" i="10"/>
  <c r="T1163" i="10"/>
  <c r="T1157" i="10"/>
  <c r="T839" i="10"/>
  <c r="T912" i="10"/>
  <c r="T849" i="10"/>
  <c r="T1087" i="10"/>
  <c r="T1045" i="10"/>
  <c r="T1004" i="10"/>
  <c r="T1155" i="10"/>
  <c r="T952" i="10"/>
  <c r="T1050" i="10"/>
  <c r="T873" i="10"/>
  <c r="T1154" i="10"/>
  <c r="T1169" i="10"/>
  <c r="T863" i="10"/>
  <c r="T1189" i="10"/>
  <c r="T814" i="10"/>
  <c r="T881" i="10"/>
  <c r="T1111" i="10"/>
  <c r="T1086" i="10"/>
  <c r="T962" i="10"/>
  <c r="T979" i="10"/>
  <c r="T986" i="10"/>
  <c r="T1188" i="10"/>
  <c r="T1024" i="10"/>
  <c r="T901" i="10"/>
  <c r="T1103" i="10"/>
  <c r="T891" i="10"/>
  <c r="T1164" i="10"/>
  <c r="T842" i="10"/>
  <c r="T834" i="10"/>
  <c r="T1145" i="10"/>
  <c r="T1130" i="10"/>
  <c r="T899" i="10"/>
  <c r="T911" i="10"/>
  <c r="T1095" i="10"/>
  <c r="T1032" i="10"/>
  <c r="T1109" i="10"/>
  <c r="T1182" i="10"/>
  <c r="T1135" i="10"/>
  <c r="T882" i="10"/>
  <c r="T1092" i="10"/>
  <c r="T983" i="10"/>
  <c r="T885" i="10"/>
  <c r="T1161" i="10"/>
  <c r="T1134" i="10"/>
  <c r="T1066" i="10"/>
  <c r="T1187" i="10"/>
  <c r="T1041" i="10"/>
  <c r="T1006" i="10"/>
  <c r="T829" i="10"/>
  <c r="T935" i="10"/>
  <c r="T828" i="10"/>
  <c r="T909" i="10"/>
  <c r="T1081" i="10"/>
  <c r="T1059" i="10"/>
  <c r="T928" i="10"/>
  <c r="T1173" i="10"/>
  <c r="T832" i="10"/>
  <c r="T924" i="10"/>
  <c r="T826" i="10"/>
  <c r="T1151" i="10"/>
  <c r="T1162" i="10"/>
  <c r="T931" i="10"/>
  <c r="T877" i="10"/>
  <c r="T819" i="10"/>
  <c r="T939" i="10"/>
  <c r="T886" i="10"/>
  <c r="T904" i="10"/>
  <c r="T1096" i="10"/>
  <c r="T1020" i="10"/>
  <c r="T1013" i="10"/>
  <c r="T988" i="10"/>
  <c r="T825" i="10"/>
  <c r="T896" i="10"/>
  <c r="T1149" i="10"/>
  <c r="T995" i="10"/>
  <c r="T1046" i="10"/>
  <c r="T973" i="10"/>
  <c r="T903" i="10"/>
  <c r="T889" i="10"/>
  <c r="T1106" i="10"/>
  <c r="T815" i="10"/>
  <c r="T1152" i="10"/>
  <c r="T1114" i="10"/>
  <c r="T908" i="10"/>
  <c r="T1082" i="10"/>
  <c r="T1140" i="10"/>
  <c r="T1068" i="10"/>
  <c r="T1033" i="10"/>
  <c r="T1097" i="10"/>
  <c r="T845" i="10"/>
  <c r="T976" i="10"/>
  <c r="T869" i="10"/>
  <c r="T978" i="10"/>
  <c r="T951" i="10"/>
  <c r="T1084" i="10"/>
  <c r="T960" i="10"/>
  <c r="T1003" i="10"/>
  <c r="T1060" i="10"/>
  <c r="T822" i="10"/>
  <c r="T1147" i="10"/>
  <c r="T1129" i="10"/>
  <c r="T1178" i="10"/>
  <c r="T818" i="10"/>
  <c r="T871" i="10"/>
  <c r="T957" i="10"/>
  <c r="T947" i="10"/>
  <c r="T1172" i="10"/>
  <c r="T1017" i="10"/>
  <c r="T878" i="10"/>
  <c r="T872" i="10"/>
  <c r="T861" i="10"/>
  <c r="T852" i="10"/>
  <c r="T1008" i="10"/>
  <c r="T1074" i="10"/>
  <c r="T1076" i="10"/>
  <c r="T892" i="10"/>
  <c r="T940" i="10"/>
  <c r="T955" i="10"/>
  <c r="T922" i="10"/>
  <c r="T1002" i="10"/>
  <c r="T1171" i="10"/>
  <c r="T975" i="10"/>
  <c r="T1117" i="10"/>
  <c r="T1101" i="10"/>
  <c r="T1035" i="10"/>
  <c r="T816" i="10"/>
  <c r="T1063" i="10"/>
  <c r="T1001" i="10"/>
  <c r="T1166" i="10"/>
  <c r="T879" i="10"/>
  <c r="T916" i="10"/>
  <c r="T1126" i="10"/>
  <c r="T942" i="10"/>
  <c r="T1072" i="10"/>
  <c r="T948" i="10"/>
  <c r="T929" i="10"/>
  <c r="T1052" i="10"/>
  <c r="T865" i="10"/>
  <c r="T1148" i="10"/>
  <c r="T1120" i="10"/>
  <c r="T1113" i="10"/>
  <c r="T831" i="10"/>
  <c r="T1105" i="10"/>
  <c r="T1116" i="10"/>
  <c r="T841" i="10"/>
  <c r="T1128" i="10"/>
  <c r="T914" i="10"/>
  <c r="T982" i="10"/>
  <c r="T1021" i="10"/>
  <c r="T843" i="10"/>
  <c r="T893" i="10"/>
  <c r="R393" i="10"/>
  <c r="R2" i="10" s="1"/>
  <c r="R4" i="10" s="1"/>
  <c r="R397" i="10"/>
  <c r="AB393" i="10"/>
  <c r="AB397" i="10"/>
  <c r="V393" i="10"/>
  <c r="V2" i="10" s="1"/>
  <c r="V4" i="10" s="1"/>
  <c r="AM820" i="10"/>
  <c r="AM840" i="10"/>
  <c r="AM1012" i="10"/>
  <c r="AM847" i="10"/>
  <c r="AM1190" i="10"/>
  <c r="AM1077" i="10"/>
  <c r="AM1099" i="10"/>
  <c r="AM977" i="10"/>
  <c r="AM1102" i="10"/>
  <c r="AM969" i="10"/>
  <c r="AM1139" i="10"/>
  <c r="AM866" i="10"/>
  <c r="AM906" i="10"/>
  <c r="AM1057" i="10"/>
  <c r="AM1018" i="10"/>
  <c r="AM900" i="10"/>
  <c r="AM1123" i="10"/>
  <c r="AM945" i="10"/>
  <c r="AM1125" i="10"/>
  <c r="AM1160" i="10"/>
  <c r="AM1132" i="10"/>
  <c r="AM943" i="10"/>
  <c r="AM1124" i="10"/>
  <c r="AM1042" i="10"/>
  <c r="AM898" i="10"/>
  <c r="AM1019" i="10"/>
  <c r="AM944" i="10"/>
  <c r="AM953" i="10"/>
  <c r="AM1153" i="10"/>
  <c r="AM1089" i="10"/>
  <c r="AM919" i="10"/>
  <c r="AM1064" i="10"/>
  <c r="AM897" i="10"/>
  <c r="AM1007" i="10"/>
  <c r="AM856" i="10"/>
  <c r="AM1073" i="10"/>
  <c r="AM925" i="10"/>
  <c r="AM996" i="10"/>
  <c r="AM1146" i="10"/>
  <c r="AM1167" i="10"/>
  <c r="AM959" i="10"/>
  <c r="AM833" i="10"/>
  <c r="AM876" i="10"/>
  <c r="AM1174" i="10"/>
  <c r="AM1115" i="10"/>
  <c r="AM1078" i="10"/>
  <c r="AM867" i="10"/>
  <c r="AM812" i="10"/>
  <c r="AM1108" i="10"/>
  <c r="AM1180" i="10"/>
  <c r="AM949" i="10"/>
  <c r="AM1112" i="10"/>
  <c r="AM926" i="10"/>
  <c r="AM1036" i="10"/>
  <c r="AM813" i="10"/>
  <c r="AM884" i="10"/>
  <c r="AM1090" i="10"/>
  <c r="AM1066" i="10"/>
  <c r="AM895" i="10"/>
  <c r="AM966" i="10"/>
  <c r="AM851" i="10"/>
  <c r="AM937" i="10"/>
  <c r="AM846" i="10"/>
  <c r="AM1053" i="10"/>
  <c r="AM1065" i="10"/>
  <c r="AM1006" i="10"/>
  <c r="AM1034" i="10"/>
  <c r="AM1177" i="10"/>
  <c r="AM1155" i="10"/>
  <c r="AM1121" i="10"/>
  <c r="AM822" i="10"/>
  <c r="AM899" i="10"/>
  <c r="AM983" i="10"/>
  <c r="AM932" i="10"/>
  <c r="AM1118" i="10"/>
  <c r="AM814" i="10"/>
  <c r="AM1194" i="10" s="1"/>
  <c r="AM1041" i="10"/>
  <c r="AM1173" i="10"/>
  <c r="AM979" i="10"/>
  <c r="AM1069" i="10"/>
  <c r="AM1087" i="10"/>
  <c r="AM1157" i="10"/>
  <c r="AM1021" i="10"/>
  <c r="AM957" i="10"/>
  <c r="AM1154" i="10"/>
  <c r="AM1081" i="10"/>
  <c r="AM1135" i="10"/>
  <c r="AM923" i="10"/>
  <c r="AM870" i="10"/>
  <c r="AM1183" i="10"/>
  <c r="AM1158" i="10"/>
  <c r="AM1094" i="10"/>
  <c r="AM986" i="10"/>
  <c r="AM1103" i="10"/>
  <c r="AM972" i="10"/>
  <c r="AM893" i="10"/>
  <c r="AM1147" i="10"/>
  <c r="AM960" i="10"/>
  <c r="AM1024" i="10"/>
  <c r="AM832" i="10"/>
  <c r="AM839" i="10"/>
  <c r="AM901" i="10"/>
  <c r="AM1017" i="10"/>
  <c r="AM1151" i="10"/>
  <c r="AM861" i="10"/>
  <c r="AM862" i="10"/>
  <c r="AM881" i="10"/>
  <c r="AM863" i="10"/>
  <c r="AM1056" i="10"/>
  <c r="AM1170" i="10"/>
  <c r="AM1143" i="10"/>
  <c r="AM952" i="10"/>
  <c r="AM907" i="10"/>
  <c r="AM1172" i="10"/>
  <c r="AM993" i="10"/>
  <c r="AM984" i="10"/>
  <c r="AM1111" i="10"/>
  <c r="AM1023" i="10"/>
  <c r="AM998" i="10"/>
  <c r="AM1086" i="10"/>
  <c r="AM1059" i="10"/>
  <c r="AM873" i="10"/>
  <c r="AM1083" i="10"/>
  <c r="AM1045" i="10"/>
  <c r="AM829" i="10"/>
  <c r="AM1095" i="10"/>
  <c r="AM1130" i="10"/>
  <c r="AM1181" i="10"/>
  <c r="AM1163" i="10"/>
  <c r="AM826" i="10"/>
  <c r="AM909" i="10"/>
  <c r="AM853" i="10"/>
  <c r="AM843" i="10"/>
  <c r="AM931" i="10"/>
  <c r="AM1096" i="10"/>
  <c r="AM988" i="10"/>
  <c r="AM980" i="10"/>
  <c r="AM924" i="10"/>
  <c r="AM1145" i="10"/>
  <c r="AM842" i="10"/>
  <c r="AM834" i="10"/>
  <c r="AM1189" i="10"/>
  <c r="AM1109" i="10"/>
  <c r="AM964" i="10"/>
  <c r="AM1050" i="10"/>
  <c r="AM1134" i="10"/>
  <c r="AM836" i="10"/>
  <c r="AM871" i="10"/>
  <c r="AM1004" i="10"/>
  <c r="AM935" i="10"/>
  <c r="AM1169" i="10"/>
  <c r="AM991" i="10"/>
  <c r="AM1010" i="10"/>
  <c r="AM872" i="10"/>
  <c r="AM1188" i="10"/>
  <c r="AM848" i="10"/>
  <c r="AM971" i="10"/>
  <c r="AM1003" i="10"/>
  <c r="AM1176" i="10"/>
  <c r="AM941" i="10"/>
  <c r="AM1061" i="10"/>
  <c r="AM1020" i="10"/>
  <c r="AM1074" i="10"/>
  <c r="AM938" i="10"/>
  <c r="AM1035" i="10"/>
  <c r="AM890" i="10"/>
  <c r="AM1076" i="10"/>
  <c r="AM940" i="10"/>
  <c r="AM888" i="10"/>
  <c r="AM920" i="10"/>
  <c r="AM903" i="10"/>
  <c r="AM1002" i="10"/>
  <c r="AM1093" i="10"/>
  <c r="AM1025" i="10"/>
  <c r="AM921" i="10"/>
  <c r="AM817" i="10"/>
  <c r="AM869" i="10"/>
  <c r="AM825" i="10"/>
  <c r="AM1131" i="10"/>
  <c r="AM918" i="10"/>
  <c r="AM1043" i="10"/>
  <c r="AM915" i="10"/>
  <c r="AM889" i="10"/>
  <c r="AM858" i="10"/>
  <c r="AM1082" i="10"/>
  <c r="AM1011" i="10"/>
  <c r="AM1119" i="10"/>
  <c r="AM978" i="10"/>
  <c r="AM908" i="10"/>
  <c r="AM1084" i="10"/>
  <c r="AM929" i="10"/>
  <c r="AM1063" i="10"/>
  <c r="AM1005" i="10"/>
  <c r="AM928" i="10"/>
  <c r="AM852" i="10"/>
  <c r="AM827" i="10"/>
  <c r="AM982" i="10"/>
  <c r="AM911" i="10"/>
  <c r="AM818" i="10"/>
  <c r="AM1182" i="10"/>
  <c r="AM912" i="10"/>
  <c r="AM860" i="10"/>
  <c r="AM1141" i="10"/>
  <c r="AM1075" i="10"/>
  <c r="AM922" i="10"/>
  <c r="AM939" i="10"/>
  <c r="AM1175" i="10"/>
  <c r="AM837" i="10"/>
  <c r="AM1171" i="10"/>
  <c r="AM930" i="10"/>
  <c r="AM933" i="10"/>
  <c r="AM955" i="10"/>
  <c r="AM1033" i="10"/>
  <c r="AM1055" i="10"/>
  <c r="AM1156" i="10"/>
  <c r="AM1049" i="10"/>
  <c r="AM875" i="10"/>
  <c r="AM824" i="10"/>
  <c r="AM902" i="10"/>
  <c r="AM967" i="10"/>
  <c r="AM823" i="10"/>
  <c r="AM1184" i="10"/>
  <c r="AM1140" i="10"/>
  <c r="AM992" i="10"/>
  <c r="AM1026" i="10"/>
  <c r="AM887" i="10"/>
  <c r="AM816" i="10"/>
  <c r="AM1106" i="10"/>
  <c r="AM1085" i="10"/>
  <c r="AM1126" i="10"/>
  <c r="AM1097" i="10"/>
  <c r="AM1014" i="10"/>
  <c r="AM1110" i="10"/>
  <c r="AM1080" i="10"/>
  <c r="AM1052" i="10"/>
  <c r="AM1100" i="10"/>
  <c r="AM1161" i="10"/>
  <c r="AM1129" i="10"/>
  <c r="AM1164" i="10"/>
  <c r="AM947" i="10"/>
  <c r="AM914" i="10"/>
  <c r="AM1070" i="10"/>
  <c r="AM849" i="10"/>
  <c r="AM1092" i="10"/>
  <c r="AM874" i="10"/>
  <c r="AM975" i="10"/>
  <c r="AM1013" i="10"/>
  <c r="AM821" i="10"/>
  <c r="AM985" i="10"/>
  <c r="AM868" i="10"/>
  <c r="AM877" i="10"/>
  <c r="AM819" i="10"/>
  <c r="AM1168" i="10"/>
  <c r="AM910" i="10"/>
  <c r="AM1137" i="10"/>
  <c r="AM1117" i="10"/>
  <c r="AM1144" i="10"/>
  <c r="AM1071" i="10"/>
  <c r="AM968" i="10"/>
  <c r="AM948" i="10"/>
  <c r="AM916" i="10"/>
  <c r="AM835" i="10"/>
  <c r="AM1046" i="10"/>
  <c r="AM956" i="10"/>
  <c r="AM1107" i="10"/>
  <c r="AM995" i="10"/>
  <c r="AM973" i="10"/>
  <c r="AM942" i="10"/>
  <c r="AM1114" i="10"/>
  <c r="AM1068" i="10"/>
  <c r="AM913" i="10"/>
  <c r="AM1072" i="10"/>
  <c r="AM963" i="10"/>
  <c r="AM850" i="10"/>
  <c r="AM999" i="10"/>
  <c r="AM976" i="10"/>
  <c r="AM865" i="10"/>
  <c r="AM946" i="10"/>
  <c r="AM854" i="10"/>
  <c r="AM1142" i="10"/>
  <c r="AM904" i="10"/>
  <c r="AM1001" i="10"/>
  <c r="AM1048" i="10"/>
  <c r="AM950" i="10"/>
  <c r="AM1101" i="10"/>
  <c r="AM1098" i="10"/>
  <c r="AM1031" i="10"/>
  <c r="AM1133" i="10"/>
  <c r="AM882" i="10"/>
  <c r="AM886" i="10"/>
  <c r="AM1079" i="10"/>
  <c r="AM815" i="10"/>
  <c r="AM954" i="10"/>
  <c r="AM896" i="10"/>
  <c r="AM917" i="10"/>
  <c r="AM845" i="10"/>
  <c r="AM879" i="10"/>
  <c r="AM962" i="10"/>
  <c r="AM997" i="10"/>
  <c r="AM1178" i="10"/>
  <c r="AM1136" i="10"/>
  <c r="AM1113" i="10"/>
  <c r="AM859" i="10"/>
  <c r="AM1040" i="10"/>
  <c r="AM891" i="10"/>
  <c r="AM1162" i="10"/>
  <c r="AM1150" i="10"/>
  <c r="AM1159" i="10"/>
  <c r="AM1149" i="10"/>
  <c r="AM1186" i="10"/>
  <c r="AM1138" i="10"/>
  <c r="AM1166" i="10"/>
  <c r="AM951" i="10"/>
  <c r="AM936" i="10"/>
  <c r="AM1060" i="10"/>
  <c r="AM844" i="10"/>
  <c r="AQ1019" i="10"/>
  <c r="AQ925" i="10"/>
  <c r="AQ1146" i="10"/>
  <c r="AQ1056" i="10"/>
  <c r="AQ1012" i="10"/>
  <c r="AQ959" i="10"/>
  <c r="AQ856" i="10"/>
  <c r="AQ1007" i="10"/>
  <c r="AQ866" i="10"/>
  <c r="AQ1180" i="10"/>
  <c r="AQ1115" i="10"/>
  <c r="AQ1099" i="10"/>
  <c r="AQ1073" i="10"/>
  <c r="AQ846" i="10"/>
  <c r="AQ1124" i="10"/>
  <c r="AQ1053" i="10"/>
  <c r="AQ949" i="10"/>
  <c r="AQ1132" i="10"/>
  <c r="AQ1139" i="10"/>
  <c r="AQ926" i="10"/>
  <c r="AQ1078" i="10"/>
  <c r="AQ1069" i="10"/>
  <c r="AQ1057" i="10"/>
  <c r="AQ851" i="10"/>
  <c r="AQ1108" i="10"/>
  <c r="AQ1064" i="10"/>
  <c r="AQ833" i="10"/>
  <c r="AQ958" i="10"/>
  <c r="AQ1018" i="10"/>
  <c r="AQ969" i="10"/>
  <c r="AQ1167" i="10"/>
  <c r="AQ932" i="10"/>
  <c r="AQ876" i="10"/>
  <c r="AQ840" i="10"/>
  <c r="AQ943" i="10"/>
  <c r="AQ1089" i="10"/>
  <c r="AQ945" i="10"/>
  <c r="AQ820" i="10"/>
  <c r="AQ1125" i="10"/>
  <c r="AQ813" i="10"/>
  <c r="AQ1077" i="10"/>
  <c r="AQ953" i="10"/>
  <c r="AQ1042" i="10"/>
  <c r="AQ1118" i="10"/>
  <c r="AQ1190" i="10"/>
  <c r="AQ897" i="10"/>
  <c r="AQ1112" i="10"/>
  <c r="AQ989" i="10"/>
  <c r="AQ812" i="10"/>
  <c r="AQ1090" i="10"/>
  <c r="AQ979" i="10"/>
  <c r="AQ1065" i="10"/>
  <c r="AQ1070" i="10"/>
  <c r="AQ1102" i="10"/>
  <c r="AQ884" i="10"/>
  <c r="AQ923" i="10"/>
  <c r="AQ832" i="10"/>
  <c r="AQ1004" i="10"/>
  <c r="AQ909" i="10"/>
  <c r="AQ1060" i="10"/>
  <c r="AQ1178" i="10"/>
  <c r="AQ960" i="10"/>
  <c r="AQ1024" i="10"/>
  <c r="AQ1135" i="10"/>
  <c r="AQ1066" i="10"/>
  <c r="AQ895" i="10"/>
  <c r="AQ924" i="10"/>
  <c r="AQ1036" i="10"/>
  <c r="AQ964" i="10"/>
  <c r="AQ1045" i="10"/>
  <c r="AQ853" i="10"/>
  <c r="AQ862" i="10"/>
  <c r="AQ871" i="10"/>
  <c r="AQ1034" i="10"/>
  <c r="AQ1094" i="10"/>
  <c r="AQ946" i="10"/>
  <c r="AQ891" i="10"/>
  <c r="AQ1161" i="10"/>
  <c r="AQ870" i="10"/>
  <c r="AQ1006" i="10"/>
  <c r="AQ907" i="10"/>
  <c r="AQ882" i="10"/>
  <c r="AQ881" i="10"/>
  <c r="AQ842" i="10"/>
  <c r="AQ912" i="10"/>
  <c r="AQ1177" i="10"/>
  <c r="AQ1143" i="10"/>
  <c r="AQ1170" i="10"/>
  <c r="AQ1157" i="10"/>
  <c r="AQ1183" i="10"/>
  <c r="AQ1133" i="10"/>
  <c r="AQ863" i="10"/>
  <c r="AQ972" i="10"/>
  <c r="AQ828" i="10"/>
  <c r="AQ873" i="10"/>
  <c r="AQ1111" i="10"/>
  <c r="AQ1086" i="10"/>
  <c r="AQ818" i="10"/>
  <c r="AQ1173" i="10"/>
  <c r="AQ901" i="10"/>
  <c r="AQ952" i="10"/>
  <c r="AQ1189" i="10"/>
  <c r="AQ998" i="10"/>
  <c r="AQ982" i="10"/>
  <c r="AQ1041" i="10"/>
  <c r="AQ849" i="10"/>
  <c r="AQ1172" i="10"/>
  <c r="AQ1145" i="10"/>
  <c r="AQ983" i="10"/>
  <c r="AQ1158" i="10"/>
  <c r="AQ1169" i="10"/>
  <c r="AQ1182" i="10"/>
  <c r="AQ1103" i="10"/>
  <c r="AQ1155" i="10"/>
  <c r="AQ860" i="10"/>
  <c r="AQ1121" i="10"/>
  <c r="AQ834" i="10"/>
  <c r="AQ1017" i="10"/>
  <c r="AQ1164" i="10"/>
  <c r="AQ935" i="10"/>
  <c r="AQ1081" i="10"/>
  <c r="AQ1130" i="10"/>
  <c r="AQ872" i="10"/>
  <c r="AQ836" i="10"/>
  <c r="AQ1040" i="10"/>
  <c r="AQ1154" i="10"/>
  <c r="AQ1005" i="10"/>
  <c r="AQ878" i="10"/>
  <c r="AQ829" i="10"/>
  <c r="AQ899" i="10"/>
  <c r="AQ962" i="10"/>
  <c r="AQ1188" i="10"/>
  <c r="AQ1083" i="10"/>
  <c r="AQ986" i="10"/>
  <c r="AQ1050" i="10"/>
  <c r="AQ1023" i="10"/>
  <c r="AQ844" i="10"/>
  <c r="AQ991" i="10"/>
  <c r="AQ1095" i="10"/>
  <c r="AQ1181" i="10"/>
  <c r="AQ1021" i="10"/>
  <c r="AQ997" i="10"/>
  <c r="AQ947" i="10"/>
  <c r="AQ1151" i="10"/>
  <c r="AQ826" i="10"/>
  <c r="AQ839" i="10"/>
  <c r="AQ928" i="10"/>
  <c r="AQ885" i="10"/>
  <c r="AQ848" i="10"/>
  <c r="AQ1092" i="10"/>
  <c r="AQ911" i="10"/>
  <c r="AQ1003" i="10"/>
  <c r="AQ861" i="10"/>
  <c r="AQ843" i="10"/>
  <c r="AQ966" i="10"/>
  <c r="AQ1032" i="10"/>
  <c r="AQ1129" i="10"/>
  <c r="AQ984" i="10"/>
  <c r="AQ971" i="10"/>
  <c r="AQ893" i="10"/>
  <c r="AQ1134" i="10"/>
  <c r="AQ1187" i="10"/>
  <c r="AQ1010" i="10"/>
  <c r="AQ1109" i="10"/>
  <c r="AQ914" i="10"/>
  <c r="AQ1163" i="10"/>
  <c r="AQ852" i="10"/>
  <c r="AQ941" i="10"/>
  <c r="AQ905" i="10"/>
  <c r="AQ904" i="10"/>
  <c r="AQ988" i="10"/>
  <c r="AQ1175" i="10"/>
  <c r="AQ1035" i="10"/>
  <c r="AQ955" i="10"/>
  <c r="AQ1055" i="10"/>
  <c r="AQ1061" i="10"/>
  <c r="AQ939" i="10"/>
  <c r="AQ1076" i="10"/>
  <c r="AQ1048" i="10"/>
  <c r="AQ1122" i="10"/>
  <c r="AQ1176" i="10"/>
  <c r="AQ985" i="10"/>
  <c r="AQ1184" i="10"/>
  <c r="AQ1137" i="10"/>
  <c r="AQ887" i="10"/>
  <c r="AQ1138" i="10"/>
  <c r="AQ1043" i="10"/>
  <c r="AQ1026" i="10"/>
  <c r="AQ845" i="10"/>
  <c r="AQ1114" i="10"/>
  <c r="AQ1033" i="10"/>
  <c r="AQ1082" i="10"/>
  <c r="AQ1051" i="10"/>
  <c r="AQ908" i="10"/>
  <c r="AQ903" i="10"/>
  <c r="AQ1107" i="10"/>
  <c r="AQ1119" i="10"/>
  <c r="AQ976" i="10"/>
  <c r="AQ978" i="10"/>
  <c r="AQ929" i="10"/>
  <c r="AQ1110" i="10"/>
  <c r="AQ1052" i="10"/>
  <c r="AQ1091" i="10"/>
  <c r="AQ894" i="10"/>
  <c r="AQ970" i="10"/>
  <c r="AQ1116" i="10"/>
  <c r="AQ1165" i="10"/>
  <c r="AQ927" i="10"/>
  <c r="AQ1120" i="10"/>
  <c r="AQ883" i="10"/>
  <c r="AQ1148" i="10"/>
  <c r="AQ1000" i="10"/>
  <c r="AI943" i="10"/>
  <c r="AI1069" i="10"/>
  <c r="AI1012" i="10"/>
  <c r="AI866" i="10"/>
  <c r="AI1053" i="10"/>
  <c r="AI1118" i="10"/>
  <c r="AI1064" i="10"/>
  <c r="AI958" i="10"/>
  <c r="AI1073" i="10"/>
  <c r="AI1036" i="10"/>
  <c r="AI1108" i="10"/>
  <c r="AI925" i="10"/>
  <c r="AI867" i="10"/>
  <c r="AI1056" i="10"/>
  <c r="AI820" i="10"/>
  <c r="AI1112" i="10"/>
  <c r="AI1139" i="10"/>
  <c r="AI897" i="10"/>
  <c r="AI1125" i="10"/>
  <c r="AI846" i="10"/>
  <c r="AI1180" i="10"/>
  <c r="AI1018" i="10"/>
  <c r="AI1019" i="10"/>
  <c r="AI840" i="10"/>
  <c r="AI856" i="10"/>
  <c r="AI1132" i="10"/>
  <c r="AI898" i="10"/>
  <c r="AI1057" i="10"/>
  <c r="AI1190" i="10"/>
  <c r="AI932" i="10"/>
  <c r="AI989" i="10"/>
  <c r="AI969" i="10"/>
  <c r="AI945" i="10"/>
  <c r="AI851" i="10"/>
  <c r="AI926" i="10"/>
  <c r="AI1077" i="10"/>
  <c r="AI944" i="10"/>
  <c r="AI1124" i="10"/>
  <c r="AI1167" i="10"/>
  <c r="AI959" i="10"/>
  <c r="AI1146" i="10"/>
  <c r="AI1153" i="10"/>
  <c r="AI1099" i="10"/>
  <c r="AI977" i="10"/>
  <c r="AI833" i="10"/>
  <c r="AI1089" i="10"/>
  <c r="AI953" i="10"/>
  <c r="AI1102" i="10"/>
  <c r="AI1078" i="10"/>
  <c r="AI900" i="10"/>
  <c r="AI949" i="10"/>
  <c r="AI876" i="10"/>
  <c r="AI1160" i="10"/>
  <c r="AI937" i="10"/>
  <c r="AI1007" i="10"/>
  <c r="AI1006" i="10"/>
  <c r="AI919" i="10"/>
  <c r="AI906" i="10"/>
  <c r="AI996" i="10"/>
  <c r="AI884" i="10"/>
  <c r="AI1115" i="10"/>
  <c r="AI1087" i="10"/>
  <c r="AI979" i="10"/>
  <c r="AI829" i="10"/>
  <c r="AI901" i="10"/>
  <c r="AI986" i="10"/>
  <c r="AI1182" i="10"/>
  <c r="AI1143" i="10"/>
  <c r="AI1163" i="10"/>
  <c r="AI847" i="10"/>
  <c r="AI1041" i="10"/>
  <c r="AI1154" i="10"/>
  <c r="AI993" i="10"/>
  <c r="AI972" i="10"/>
  <c r="AI882" i="10"/>
  <c r="AI822" i="10"/>
  <c r="AI923" i="10"/>
  <c r="AI983" i="10"/>
  <c r="AI1066" i="10"/>
  <c r="AI1174" i="10"/>
  <c r="AI1123" i="10"/>
  <c r="AI1157" i="10"/>
  <c r="AI1155" i="10"/>
  <c r="AI860" i="10"/>
  <c r="AI1024" i="10"/>
  <c r="AI1045" i="10"/>
  <c r="AI849" i="10"/>
  <c r="AI1172" i="10"/>
  <c r="AI878" i="10"/>
  <c r="AI1145" i="10"/>
  <c r="AI1170" i="10"/>
  <c r="AI1111" i="10"/>
  <c r="AI971" i="10"/>
  <c r="AI912" i="10"/>
  <c r="AI914" i="10"/>
  <c r="AI1040" i="10"/>
  <c r="AI907" i="10"/>
  <c r="AI966" i="10"/>
  <c r="AI1177" i="10"/>
  <c r="AI964" i="10"/>
  <c r="AI1065" i="10"/>
  <c r="AI1023" i="10"/>
  <c r="AI834" i="10"/>
  <c r="AI947" i="10"/>
  <c r="AI814" i="10"/>
  <c r="AI1135" i="10"/>
  <c r="AI873" i="10"/>
  <c r="AI836" i="10"/>
  <c r="AI895" i="10"/>
  <c r="AI1130" i="10"/>
  <c r="AI1032" i="10"/>
  <c r="AI862" i="10"/>
  <c r="AI1050" i="10"/>
  <c r="AI1070" i="10"/>
  <c r="AI1158" i="10"/>
  <c r="AI935" i="10"/>
  <c r="AI842" i="10"/>
  <c r="AI1094" i="10"/>
  <c r="AI991" i="10"/>
  <c r="AI1092" i="10"/>
  <c r="AI997" i="10"/>
  <c r="AI1059" i="10"/>
  <c r="AI843" i="10"/>
  <c r="AI1004" i="10"/>
  <c r="AI952" i="10"/>
  <c r="AI1034" i="10"/>
  <c r="AI1173" i="10"/>
  <c r="AI1133" i="10"/>
  <c r="AI924" i="10"/>
  <c r="AI1042" i="10"/>
  <c r="AI998" i="10"/>
  <c r="AI871" i="10"/>
  <c r="AI946" i="10"/>
  <c r="AI870" i="10"/>
  <c r="AI1183" i="10"/>
  <c r="AI1169" i="10"/>
  <c r="AI1086" i="10"/>
  <c r="AI909" i="10"/>
  <c r="AI1187" i="10"/>
  <c r="AI812" i="10"/>
  <c r="AI832" i="10"/>
  <c r="AI960" i="10"/>
  <c r="AI1083" i="10"/>
  <c r="AI891" i="10"/>
  <c r="AI1151" i="10"/>
  <c r="AI881" i="10"/>
  <c r="AI839" i="10"/>
  <c r="AI863" i="10"/>
  <c r="AI911" i="10"/>
  <c r="AI826" i="10"/>
  <c r="AI928" i="10"/>
  <c r="AI899" i="10"/>
  <c r="AI1103" i="10"/>
  <c r="AI861" i="10"/>
  <c r="AI1054" i="10"/>
  <c r="AI920" i="10"/>
  <c r="AI1117" i="10"/>
  <c r="AI930" i="10"/>
  <c r="AI1093" i="10"/>
  <c r="AI988" i="10"/>
  <c r="AI955" i="10"/>
  <c r="AI1171" i="10"/>
  <c r="AI975" i="10"/>
  <c r="AI837" i="10"/>
  <c r="AI1079" i="10"/>
  <c r="AI1002" i="10"/>
  <c r="AI1168" i="10"/>
  <c r="AI823" i="10"/>
  <c r="AI1175" i="10"/>
  <c r="AI874" i="10"/>
  <c r="AI954" i="10"/>
  <c r="AI992" i="10"/>
  <c r="AI835" i="10"/>
  <c r="AI903" i="10"/>
  <c r="AI1119" i="10"/>
  <c r="AI1114" i="10"/>
  <c r="AI1179" i="10"/>
  <c r="AI896" i="10"/>
  <c r="AI1046" i="10"/>
  <c r="AI1166" i="10"/>
  <c r="AI854" i="10"/>
  <c r="AI913" i="10"/>
  <c r="AI1043" i="10"/>
  <c r="AI1126" i="10"/>
  <c r="AI887" i="10"/>
  <c r="AI850" i="10"/>
  <c r="AI1052" i="10"/>
  <c r="AI1080" i="10"/>
  <c r="AI1100" i="10"/>
  <c r="AI885" i="10"/>
  <c r="AI1062" i="10"/>
  <c r="AI828" i="10"/>
  <c r="AI1010" i="10"/>
  <c r="AI1005" i="10"/>
  <c r="AI1189" i="10"/>
  <c r="AI1161" i="10"/>
  <c r="AI1074" i="10"/>
  <c r="AI888" i="10"/>
  <c r="AI890" i="10"/>
  <c r="AI904" i="10"/>
  <c r="AI940" i="10"/>
  <c r="AI1075" i="10"/>
  <c r="AI1141" i="10"/>
  <c r="AI905" i="10"/>
  <c r="AI980" i="10"/>
  <c r="AI1150" i="10"/>
  <c r="AI1159" i="10"/>
  <c r="AI973" i="10"/>
  <c r="AI910" i="10"/>
  <c r="AI1001" i="10"/>
  <c r="AI821" i="10"/>
  <c r="AI877" i="10"/>
  <c r="AI825" i="10"/>
  <c r="AI1186" i="10"/>
  <c r="AI816" i="10"/>
  <c r="AI1088" i="10"/>
  <c r="AI1107" i="10"/>
  <c r="AI1063" i="10"/>
  <c r="AI976" i="10"/>
  <c r="AI1101" i="10"/>
  <c r="AI889" i="10"/>
  <c r="AI917" i="10"/>
  <c r="AI942" i="10"/>
  <c r="AI1026" i="10"/>
  <c r="AI1131" i="10"/>
  <c r="AI918" i="10"/>
  <c r="AI1152" i="10"/>
  <c r="AI936" i="10"/>
  <c r="AI1098" i="10"/>
  <c r="AI929" i="10"/>
  <c r="AI1178" i="10"/>
  <c r="AI1095" i="10"/>
  <c r="AI1021" i="10"/>
  <c r="AI893" i="10"/>
  <c r="AI1176" i="10"/>
  <c r="AI922" i="10"/>
  <c r="AI1013" i="10"/>
  <c r="AI875" i="10"/>
  <c r="AI868" i="10"/>
  <c r="AI941" i="10"/>
  <c r="AI1162" i="10"/>
  <c r="AI1156" i="10"/>
  <c r="AI1020" i="10"/>
  <c r="AI1184" i="10"/>
  <c r="AI1096" i="10"/>
  <c r="AI1149" i="10"/>
  <c r="AI995" i="10"/>
  <c r="AI1008" i="10"/>
  <c r="AI902" i="10"/>
  <c r="AI931" i="10"/>
  <c r="AI1076" i="10"/>
  <c r="AI879" i="10"/>
  <c r="AI967" i="10"/>
  <c r="AI1025" i="10"/>
  <c r="AI921" i="10"/>
  <c r="AI1138" i="10"/>
  <c r="AI1048" i="10"/>
  <c r="AI869" i="10"/>
  <c r="AI815" i="10"/>
  <c r="AI1051" i="10"/>
  <c r="AI1137" i="10"/>
  <c r="AI824" i="10"/>
  <c r="AI1085" i="10"/>
  <c r="AI845" i="10"/>
  <c r="AI1072" i="10"/>
  <c r="AI978" i="10"/>
  <c r="AI1068" i="10"/>
  <c r="AI865" i="10"/>
  <c r="AI999" i="10"/>
  <c r="AI1164" i="10"/>
  <c r="AI968" i="10"/>
  <c r="AI1071" i="10"/>
  <c r="AI939" i="10"/>
  <c r="AI1049" i="10"/>
  <c r="AI950" i="10"/>
  <c r="AI817" i="10"/>
  <c r="AI858" i="10"/>
  <c r="AI1011" i="10"/>
  <c r="AI1110" i="10"/>
  <c r="AI872" i="10"/>
  <c r="AI852" i="10"/>
  <c r="AI1081" i="10"/>
  <c r="AI1121" i="10"/>
  <c r="AI1134" i="10"/>
  <c r="AI853" i="10"/>
  <c r="AI1055" i="10"/>
  <c r="AI886" i="10"/>
  <c r="AI1142" i="10"/>
  <c r="AI1033" i="10"/>
  <c r="AI1140" i="10"/>
  <c r="AI1082" i="10"/>
  <c r="AI963" i="10"/>
  <c r="AI908" i="10"/>
  <c r="AI1014" i="10"/>
  <c r="AI962" i="10"/>
  <c r="AI1003" i="10"/>
  <c r="AI1181" i="10"/>
  <c r="AI957" i="10"/>
  <c r="AI1120" i="10"/>
  <c r="AI883" i="10"/>
  <c r="AI965" i="10"/>
  <c r="AI1105" i="10"/>
  <c r="AI1067" i="10"/>
  <c r="AI984" i="10"/>
  <c r="AI933" i="10"/>
  <c r="AI1144" i="10"/>
  <c r="AI819" i="10"/>
  <c r="AI1035" i="10"/>
  <c r="AI1097" i="10"/>
  <c r="AI915" i="10"/>
  <c r="AI948" i="10"/>
  <c r="AI951" i="10"/>
  <c r="AI1147" i="10"/>
  <c r="AI1060" i="10"/>
  <c r="AI1109" i="10"/>
  <c r="AI818" i="10"/>
  <c r="AR1174" i="10"/>
  <c r="AR919" i="10"/>
  <c r="AR1089" i="10"/>
  <c r="AR1118" i="10"/>
  <c r="AR1132" i="10"/>
  <c r="AR1057" i="10"/>
  <c r="AR898" i="10"/>
  <c r="AR851" i="10"/>
  <c r="AR1180" i="10"/>
  <c r="AR1102" i="10"/>
  <c r="AR856" i="10"/>
  <c r="AR866" i="10"/>
  <c r="AR846" i="10"/>
  <c r="AR900" i="10"/>
  <c r="AR1153" i="10"/>
  <c r="AR949" i="10"/>
  <c r="AR926" i="10"/>
  <c r="AR969" i="10"/>
  <c r="AR1139" i="10"/>
  <c r="AR944" i="10"/>
  <c r="AR833" i="10"/>
  <c r="AR1007" i="10"/>
  <c r="AR897" i="10"/>
  <c r="AR1146" i="10"/>
  <c r="AR953" i="10"/>
  <c r="AR989" i="10"/>
  <c r="AR1042" i="10"/>
  <c r="AR1073" i="10"/>
  <c r="AR925" i="10"/>
  <c r="AR812" i="10"/>
  <c r="AR959" i="10"/>
  <c r="AR1053" i="10"/>
  <c r="AR1190" i="10"/>
  <c r="AR1036" i="10"/>
  <c r="AR996" i="10"/>
  <c r="AR1099" i="10"/>
  <c r="AR867" i="10"/>
  <c r="AR1018" i="10"/>
  <c r="AR884" i="10"/>
  <c r="AR847" i="10"/>
  <c r="AR1064" i="10"/>
  <c r="AR1123" i="10"/>
  <c r="AR820" i="10"/>
  <c r="AR1056" i="10"/>
  <c r="AR1160" i="10"/>
  <c r="AR1108" i="10"/>
  <c r="AR1069" i="10"/>
  <c r="AR1124" i="10"/>
  <c r="AR943" i="10"/>
  <c r="AR906" i="10"/>
  <c r="AR1019" i="10"/>
  <c r="AR977" i="10"/>
  <c r="AR1125" i="10"/>
  <c r="AR1077" i="10"/>
  <c r="AR813" i="10"/>
  <c r="AR1078" i="10"/>
  <c r="AR876" i="10"/>
  <c r="AR1112" i="10"/>
  <c r="AR1090" i="10"/>
  <c r="AR1188" i="10"/>
  <c r="AR1041" i="10"/>
  <c r="AR1167" i="10"/>
  <c r="AR958" i="10"/>
  <c r="AR1111" i="10"/>
  <c r="AR829" i="10"/>
  <c r="AR998" i="10"/>
  <c r="AR1037" i="10"/>
  <c r="AR932" i="10"/>
  <c r="AR814" i="10"/>
  <c r="AR1177" i="10"/>
  <c r="AR937" i="10"/>
  <c r="AR840" i="10"/>
  <c r="AR1182" i="10"/>
  <c r="AR1189" i="10"/>
  <c r="AR873" i="10"/>
  <c r="AR1154" i="10"/>
  <c r="AR1173" i="10"/>
  <c r="AR1094" i="10"/>
  <c r="AR1017" i="10"/>
  <c r="AR1134" i="10"/>
  <c r="AR912" i="10"/>
  <c r="AR901" i="10"/>
  <c r="AR1133" i="10"/>
  <c r="AR1130" i="10"/>
  <c r="AR1087" i="10"/>
  <c r="AR1023" i="10"/>
  <c r="AR1006" i="10"/>
  <c r="AR871" i="10"/>
  <c r="AR1034" i="10"/>
  <c r="AR882" i="10"/>
  <c r="AR836" i="10"/>
  <c r="AR1155" i="10"/>
  <c r="AR1095" i="10"/>
  <c r="AR1066" i="10"/>
  <c r="AR842" i="10"/>
  <c r="AR991" i="10"/>
  <c r="AR971" i="10"/>
  <c r="AR1109" i="10"/>
  <c r="AR1060" i="10"/>
  <c r="AR861" i="10"/>
  <c r="AR1065" i="10"/>
  <c r="AR1158" i="10"/>
  <c r="AR1103" i="10"/>
  <c r="AR863" i="10"/>
  <c r="AR1135" i="10"/>
  <c r="AR923" i="10"/>
  <c r="AR862" i="10"/>
  <c r="AR1050" i="10"/>
  <c r="AR1145" i="10"/>
  <c r="AR979" i="10"/>
  <c r="AR960" i="10"/>
  <c r="AR832" i="10"/>
  <c r="AR966" i="10"/>
  <c r="AR891" i="10"/>
  <c r="AR834" i="10"/>
  <c r="AR986" i="10"/>
  <c r="AR826" i="10"/>
  <c r="AR983" i="10"/>
  <c r="AR1004" i="10"/>
  <c r="AR849" i="10"/>
  <c r="AR1170" i="10"/>
  <c r="AR1183" i="10"/>
  <c r="AR1024" i="10"/>
  <c r="AR1031" i="10"/>
  <c r="AR1021" i="10"/>
  <c r="AR997" i="10"/>
  <c r="AR1151" i="10"/>
  <c r="AR1162" i="10"/>
  <c r="AR941" i="10"/>
  <c r="AR975" i="10"/>
  <c r="AR1184" i="10"/>
  <c r="AR888" i="10"/>
  <c r="AR1075" i="10"/>
  <c r="AR1008" i="10"/>
  <c r="AR980" i="10"/>
  <c r="AR1159" i="10"/>
  <c r="AR874" i="10"/>
  <c r="AR1025" i="10"/>
  <c r="AR1074" i="10"/>
  <c r="AR1101" i="10"/>
  <c r="AR1079" i="10"/>
  <c r="AR823" i="10"/>
  <c r="AR1171" i="10"/>
  <c r="AR915" i="10"/>
  <c r="AR864" i="10"/>
  <c r="AR967" i="10"/>
  <c r="AR908" i="10"/>
  <c r="AR942" i="10"/>
  <c r="AR1106" i="10"/>
  <c r="AR889" i="10"/>
  <c r="AR930" i="10"/>
  <c r="AR1001" i="10"/>
  <c r="AR887" i="10"/>
  <c r="AR917" i="10"/>
  <c r="AR913" i="10"/>
  <c r="AR1117" i="10"/>
  <c r="AR918" i="10"/>
  <c r="AR1179" i="10"/>
  <c r="AR1098" i="10"/>
  <c r="AR850" i="10"/>
  <c r="AR976" i="10"/>
  <c r="AR1014" i="10"/>
  <c r="AR964" i="10"/>
  <c r="AR1070" i="10"/>
  <c r="AR1045" i="10"/>
  <c r="AR1143" i="10"/>
  <c r="AR1169" i="10"/>
  <c r="AR1086" i="10"/>
  <c r="AR952" i="10"/>
  <c r="AR870" i="10"/>
  <c r="AR881" i="10"/>
  <c r="AR1083" i="10"/>
  <c r="AR935" i="10"/>
  <c r="AR843" i="10"/>
  <c r="AR828" i="10"/>
  <c r="AR1003" i="10"/>
  <c r="AR848" i="10"/>
  <c r="AR839" i="10"/>
  <c r="AR972" i="10"/>
  <c r="AR899" i="10"/>
  <c r="AR962" i="10"/>
  <c r="AR911" i="10"/>
  <c r="AR947" i="10"/>
  <c r="AR904" i="10"/>
  <c r="AR1175" i="10"/>
  <c r="AR1096" i="10"/>
  <c r="AR1122" i="10"/>
  <c r="AR1055" i="10"/>
  <c r="AR821" i="10"/>
  <c r="AR1150" i="10"/>
  <c r="AR877" i="10"/>
  <c r="AR854" i="10"/>
  <c r="AR1144" i="10"/>
  <c r="AR946" i="10"/>
  <c r="AR1172" i="10"/>
  <c r="AR895" i="10"/>
  <c r="AR1157" i="10"/>
  <c r="AR1093" i="10"/>
  <c r="AR920" i="10"/>
  <c r="AR985" i="10"/>
  <c r="AR905" i="10"/>
  <c r="AR1061" i="10"/>
  <c r="AR955" i="10"/>
  <c r="AR1149" i="10"/>
  <c r="AR1142" i="10"/>
  <c r="AR815" i="10"/>
  <c r="AR1043" i="10"/>
  <c r="AR995" i="10"/>
  <c r="AR1126" i="10"/>
  <c r="AR1085" i="10"/>
  <c r="AR869" i="10"/>
  <c r="AR1140" i="10"/>
  <c r="AR825" i="10"/>
  <c r="AR1048" i="10"/>
  <c r="AR1107" i="10"/>
  <c r="AR1068" i="10"/>
  <c r="AR1051" i="10"/>
  <c r="AR1110" i="10"/>
  <c r="AR978" i="10"/>
  <c r="AR865" i="10"/>
  <c r="AR1163" i="10"/>
  <c r="AR993" i="10"/>
  <c r="AR1081" i="10"/>
  <c r="AR1129" i="10"/>
  <c r="AR872" i="10"/>
  <c r="AR1059" i="10"/>
  <c r="AR909" i="10"/>
  <c r="AR878" i="10"/>
  <c r="AR1012" i="10"/>
  <c r="AR1178" i="10"/>
  <c r="AR818" i="10"/>
  <c r="AR940" i="10"/>
  <c r="AR892" i="10"/>
  <c r="AR890" i="10"/>
  <c r="AR939" i="10"/>
  <c r="AR938" i="10"/>
  <c r="AR968" i="10"/>
  <c r="AR886" i="10"/>
  <c r="AR1176" i="10"/>
  <c r="AR1076" i="10"/>
  <c r="AR1026" i="10"/>
  <c r="AR956" i="10"/>
  <c r="AR1082" i="10"/>
  <c r="AR1166" i="10"/>
  <c r="AR903" i="10"/>
  <c r="AR1138" i="10"/>
  <c r="AR835" i="10"/>
  <c r="AR973" i="10"/>
  <c r="AR916" i="10"/>
  <c r="AR845" i="10"/>
  <c r="AR963" i="10"/>
  <c r="AR1186" i="10"/>
  <c r="AR1063" i="10"/>
  <c r="AR1100" i="10"/>
  <c r="AR1052" i="10"/>
  <c r="AR1161" i="10"/>
  <c r="AR984" i="10"/>
  <c r="AR928" i="10"/>
  <c r="AR1040" i="10"/>
  <c r="AR1156" i="10"/>
  <c r="AR922" i="10"/>
  <c r="AR1141" i="10"/>
  <c r="AR988" i="10"/>
  <c r="AR1013" i="10"/>
  <c r="AR824" i="10"/>
  <c r="AR875" i="10"/>
  <c r="AR1035" i="10"/>
  <c r="AR819" i="10"/>
  <c r="AR1168" i="10"/>
  <c r="AR1152" i="10"/>
  <c r="AR858" i="10"/>
  <c r="AR1033" i="10"/>
  <c r="AR902" i="10"/>
  <c r="AR992" i="10"/>
  <c r="AR921" i="10"/>
  <c r="AR1088" i="10"/>
  <c r="AR1072" i="10"/>
  <c r="AR879" i="10"/>
  <c r="AR1011" i="10"/>
  <c r="AR1119" i="10"/>
  <c r="AR1084" i="10"/>
  <c r="AR936" i="10"/>
  <c r="AR951" i="10"/>
  <c r="AR910" i="10"/>
  <c r="AR868" i="10"/>
  <c r="AR954" i="10"/>
  <c r="AR950" i="10"/>
  <c r="AR896" i="10"/>
  <c r="AR929" i="10"/>
  <c r="AR1121" i="10"/>
  <c r="AR957" i="10"/>
  <c r="AR907" i="10"/>
  <c r="AR1164" i="10"/>
  <c r="AR933" i="10"/>
  <c r="AR931" i="10"/>
  <c r="AR948" i="10"/>
  <c r="AR1097" i="10"/>
  <c r="AR817" i="10"/>
  <c r="AR999" i="10"/>
  <c r="AR1032" i="10"/>
  <c r="AR893" i="10"/>
  <c r="AR1187" i="10"/>
  <c r="AR852" i="10"/>
  <c r="AR1181" i="10"/>
  <c r="AR860" i="10"/>
  <c r="AR1092" i="10"/>
  <c r="AR844" i="10"/>
  <c r="AR885" i="10"/>
  <c r="AR1058" i="10"/>
  <c r="AR1105" i="10"/>
  <c r="AR827" i="10"/>
  <c r="AR1027" i="10"/>
  <c r="AR1071" i="10"/>
  <c r="AR1002" i="10"/>
  <c r="AR1137" i="10"/>
  <c r="AR1131" i="10"/>
  <c r="AR1049" i="10"/>
  <c r="AR1080" i="10"/>
  <c r="AR822" i="10"/>
  <c r="AR924" i="10"/>
  <c r="AR1010" i="10"/>
  <c r="AR853" i="10"/>
  <c r="AR914" i="10"/>
  <c r="AA393" i="10"/>
  <c r="AA2" i="10" s="1"/>
  <c r="AA4" i="10" s="1"/>
  <c r="AA397" i="10"/>
  <c r="L397" i="10"/>
  <c r="L393" i="10"/>
  <c r="L2" i="10" s="1"/>
  <c r="L4" i="10" s="1"/>
  <c r="T393" i="10"/>
  <c r="T2" i="10" s="1"/>
  <c r="T4" i="10" s="1"/>
  <c r="T397" i="10"/>
  <c r="P393" i="10"/>
  <c r="P2" i="10" s="1"/>
  <c r="P4" i="10" s="1"/>
  <c r="P397" i="10"/>
  <c r="AX397" i="10"/>
  <c r="AX393" i="10"/>
  <c r="AX2" i="10" s="1"/>
  <c r="AX4" i="10" s="1"/>
  <c r="V1036" i="10"/>
  <c r="V1160" i="10"/>
  <c r="V1073" i="10"/>
  <c r="V1102" i="10"/>
  <c r="V996" i="10"/>
  <c r="V898" i="10"/>
  <c r="V856" i="10"/>
  <c r="V833" i="10"/>
  <c r="V820" i="10"/>
  <c r="V876" i="10"/>
  <c r="V1118" i="10"/>
  <c r="V1146" i="10"/>
  <c r="V906" i="10"/>
  <c r="V1078" i="10"/>
  <c r="V813" i="10"/>
  <c r="V851" i="10"/>
  <c r="V1057" i="10"/>
  <c r="V1089" i="10"/>
  <c r="V1064" i="10"/>
  <c r="V1125" i="10"/>
  <c r="V989" i="10"/>
  <c r="V1139" i="10"/>
  <c r="V1132" i="10"/>
  <c r="V977" i="10"/>
  <c r="V932" i="10"/>
  <c r="V866" i="10"/>
  <c r="V1069" i="10"/>
  <c r="V1123" i="10"/>
  <c r="V944" i="10"/>
  <c r="V926" i="10"/>
  <c r="V1056" i="10"/>
  <c r="V867" i="10"/>
  <c r="V1153" i="10"/>
  <c r="V812" i="10"/>
  <c r="V925" i="10"/>
  <c r="V897" i="10"/>
  <c r="V1174" i="10"/>
  <c r="V949" i="10"/>
  <c r="V959" i="10"/>
  <c r="V1099" i="10"/>
  <c r="V1077" i="10"/>
  <c r="V958" i="10"/>
  <c r="V846" i="10"/>
  <c r="V884" i="10"/>
  <c r="V945" i="10"/>
  <c r="V1019" i="10"/>
  <c r="V1018" i="10"/>
  <c r="V1012" i="10"/>
  <c r="V919" i="10"/>
  <c r="V969" i="10"/>
  <c r="V1042" i="10"/>
  <c r="V1167" i="10"/>
  <c r="V953" i="10"/>
  <c r="V847" i="10"/>
  <c r="V1007" i="10"/>
  <c r="V937" i="10"/>
  <c r="V1112" i="10"/>
  <c r="V1115" i="10"/>
  <c r="V1135" i="10"/>
  <c r="V1188" i="10"/>
  <c r="V1083" i="10"/>
  <c r="V1023" i="10"/>
  <c r="V842" i="10"/>
  <c r="V1034" i="10"/>
  <c r="V1004" i="10"/>
  <c r="V1124" i="10"/>
  <c r="V943" i="10"/>
  <c r="V900" i="10"/>
  <c r="V1180" i="10"/>
  <c r="V1087" i="10"/>
  <c r="V1155" i="10"/>
  <c r="V849" i="10"/>
  <c r="V853" i="10"/>
  <c r="V873" i="10"/>
  <c r="V1070" i="10"/>
  <c r="V881" i="10"/>
  <c r="V1094" i="10"/>
  <c r="V1103" i="10"/>
  <c r="V998" i="10"/>
  <c r="V1060" i="10"/>
  <c r="V1010" i="10"/>
  <c r="V982" i="10"/>
  <c r="V862" i="10"/>
  <c r="V1090" i="10"/>
  <c r="V912" i="10"/>
  <c r="V1050" i="10"/>
  <c r="V960" i="10"/>
  <c r="V1045" i="10"/>
  <c r="V1169" i="10"/>
  <c r="V829" i="10"/>
  <c r="V834" i="10"/>
  <c r="V1177" i="10"/>
  <c r="V1003" i="10"/>
  <c r="V1190" i="10"/>
  <c r="V964" i="10"/>
  <c r="V946" i="10"/>
  <c r="V1006" i="10"/>
  <c r="V860" i="10"/>
  <c r="V870" i="10"/>
  <c r="V840" i="10"/>
  <c r="V979" i="10"/>
  <c r="V1170" i="10"/>
  <c r="V1183" i="10"/>
  <c r="V1104" i="10"/>
  <c r="V1173" i="10"/>
  <c r="V882" i="10"/>
  <c r="V1147" i="10"/>
  <c r="V923" i="10"/>
  <c r="V1145" i="10"/>
  <c r="V1157" i="10"/>
  <c r="V839" i="10"/>
  <c r="V1017" i="10"/>
  <c r="V826" i="10"/>
  <c r="V940" i="10"/>
  <c r="V1035" i="10"/>
  <c r="V821" i="10"/>
  <c r="V854" i="10"/>
  <c r="V975" i="10"/>
  <c r="V1184" i="10"/>
  <c r="V939" i="10"/>
  <c r="V1141" i="10"/>
  <c r="V1175" i="10"/>
  <c r="V941" i="10"/>
  <c r="V819" i="10"/>
  <c r="V874" i="10"/>
  <c r="V888" i="10"/>
  <c r="V1026" i="10"/>
  <c r="V1076" i="10"/>
  <c r="V892" i="10"/>
  <c r="V1101" i="10"/>
  <c r="V1189" i="10"/>
  <c r="V966" i="10"/>
  <c r="V1182" i="10"/>
  <c r="V848" i="10"/>
  <c r="V1158" i="10"/>
  <c r="V952" i="10"/>
  <c r="V836" i="10"/>
  <c r="V899" i="10"/>
  <c r="V935" i="10"/>
  <c r="V901" i="10"/>
  <c r="V1093" i="10"/>
  <c r="V877" i="10"/>
  <c r="V837" i="10"/>
  <c r="V922" i="10"/>
  <c r="V1168" i="10"/>
  <c r="V938" i="10"/>
  <c r="V955" i="10"/>
  <c r="V1171" i="10"/>
  <c r="V1096" i="10"/>
  <c r="V1071" i="10"/>
  <c r="V875" i="10"/>
  <c r="V1074" i="10"/>
  <c r="V1055" i="10"/>
  <c r="V1088" i="10"/>
  <c r="V1061" i="10"/>
  <c r="V920" i="10"/>
  <c r="V902" i="10"/>
  <c r="V986" i="10"/>
  <c r="V1133" i="10"/>
  <c r="V1143" i="10"/>
  <c r="V1121" i="10"/>
  <c r="V983" i="10"/>
  <c r="V891" i="10"/>
  <c r="V1156" i="10"/>
  <c r="V1142" i="10"/>
  <c r="V904" i="10"/>
  <c r="V868" i="10"/>
  <c r="V942" i="10"/>
  <c r="V948" i="10"/>
  <c r="V1079" i="10"/>
  <c r="V903" i="10"/>
  <c r="V1049" i="10"/>
  <c r="V1106" i="10"/>
  <c r="V889" i="10"/>
  <c r="V1166" i="10"/>
  <c r="V1002" i="10"/>
  <c r="V917" i="10"/>
  <c r="V1051" i="10"/>
  <c r="V1152" i="10"/>
  <c r="V816" i="10"/>
  <c r="V921" i="10"/>
  <c r="V1137" i="10"/>
  <c r="V879" i="10"/>
  <c r="V1072" i="10"/>
  <c r="V869" i="10"/>
  <c r="V929" i="10"/>
  <c r="V936" i="10"/>
  <c r="V978" i="10"/>
  <c r="V1052" i="10"/>
  <c r="V993" i="10"/>
  <c r="V1161" i="10"/>
  <c r="V1032" i="10"/>
  <c r="V1187" i="10"/>
  <c r="V984" i="10"/>
  <c r="V861" i="10"/>
  <c r="V1065" i="10"/>
  <c r="V1040" i="10"/>
  <c r="V1151" i="10"/>
  <c r="V1130" i="10"/>
  <c r="V985" i="10"/>
  <c r="V905" i="10"/>
  <c r="V1020" i="10"/>
  <c r="V1075" i="10"/>
  <c r="V910" i="10"/>
  <c r="V988" i="10"/>
  <c r="V1122" i="10"/>
  <c r="V1117" i="10"/>
  <c r="V896" i="10"/>
  <c r="V1001" i="10"/>
  <c r="V1063" i="10"/>
  <c r="V992" i="10"/>
  <c r="V824" i="10"/>
  <c r="V1043" i="10"/>
  <c r="V967" i="10"/>
  <c r="V1179" i="10"/>
  <c r="V1131" i="10"/>
  <c r="V1114" i="10"/>
  <c r="V915" i="10"/>
  <c r="V887" i="10"/>
  <c r="V1068" i="10"/>
  <c r="V817" i="10"/>
  <c r="V999" i="10"/>
  <c r="V1110" i="10"/>
  <c r="V1014" i="10"/>
  <c r="V1080" i="10"/>
  <c r="V814" i="10"/>
  <c r="V1172" i="10"/>
  <c r="V1021" i="10"/>
  <c r="V971" i="10"/>
  <c r="V1178" i="10"/>
  <c r="V1111" i="10"/>
  <c r="V871" i="10"/>
  <c r="V1086" i="10"/>
  <c r="V1066" i="10"/>
  <c r="V1154" i="10"/>
  <c r="V832" i="10"/>
  <c r="V991" i="10"/>
  <c r="V1176" i="10"/>
  <c r="V933" i="10"/>
  <c r="V930" i="10"/>
  <c r="V1150" i="10"/>
  <c r="V1008" i="10"/>
  <c r="V1162" i="10"/>
  <c r="V815" i="10"/>
  <c r="V973" i="10"/>
  <c r="V1144" i="10"/>
  <c r="V956" i="10"/>
  <c r="V963" i="10"/>
  <c r="V835" i="10"/>
  <c r="V1046" i="10"/>
  <c r="V1048" i="10"/>
  <c r="V1126" i="10"/>
  <c r="V980" i="10"/>
  <c r="V1011" i="10"/>
  <c r="V1119" i="10"/>
  <c r="V950" i="10"/>
  <c r="V913" i="10"/>
  <c r="V825" i="10"/>
  <c r="V1186" i="10"/>
  <c r="V951" i="10"/>
  <c r="V908" i="10"/>
  <c r="V1100" i="10"/>
  <c r="V976" i="10"/>
  <c r="V895" i="10"/>
  <c r="V1159" i="10"/>
  <c r="V890" i="10"/>
  <c r="V1082" i="10"/>
  <c r="V845" i="10"/>
  <c r="V1097" i="10"/>
  <c r="V918" i="10"/>
  <c r="V1098" i="10"/>
  <c r="V911" i="10"/>
  <c r="V872" i="10"/>
  <c r="V1059" i="10"/>
  <c r="V1031" i="10"/>
  <c r="V924" i="10"/>
  <c r="V1129" i="10"/>
  <c r="V1164" i="10"/>
  <c r="V928" i="10"/>
  <c r="V859" i="10"/>
  <c r="V1095" i="10"/>
  <c r="V852" i="10"/>
  <c r="V818" i="10"/>
  <c r="V1024" i="10"/>
  <c r="V907" i="10"/>
  <c r="V1013" i="10"/>
  <c r="V823" i="10"/>
  <c r="V1107" i="10"/>
  <c r="V858" i="10"/>
  <c r="V1085" i="10"/>
  <c r="V865" i="10"/>
  <c r="V947" i="10"/>
  <c r="V844" i="10"/>
  <c r="V1092" i="10"/>
  <c r="V997" i="10"/>
  <c r="V1041" i="10"/>
  <c r="V886" i="10"/>
  <c r="V968" i="10"/>
  <c r="V1140" i="10"/>
  <c r="V954" i="10"/>
  <c r="V1025" i="10"/>
  <c r="V850" i="10"/>
  <c r="V909" i="10"/>
  <c r="V972" i="10"/>
  <c r="V995" i="10"/>
  <c r="V1163" i="10"/>
  <c r="V1134" i="10"/>
  <c r="V1058" i="10"/>
  <c r="V914" i="10"/>
  <c r="V863" i="10"/>
  <c r="V931" i="10"/>
  <c r="V1138" i="10"/>
  <c r="V827" i="10"/>
  <c r="V1127" i="10"/>
  <c r="V974" i="10"/>
  <c r="V1000" i="10"/>
  <c r="V880" i="10"/>
  <c r="V894" i="10"/>
  <c r="V1062" i="10"/>
  <c r="V990" i="10"/>
  <c r="V970" i="10"/>
  <c r="V987" i="10"/>
  <c r="V1149" i="10"/>
  <c r="V916" i="10"/>
  <c r="V828" i="10"/>
  <c r="V962" i="10"/>
  <c r="V878" i="10"/>
  <c r="V843" i="10"/>
  <c r="V1005" i="10"/>
  <c r="V1109" i="10"/>
  <c r="AM393" i="10"/>
  <c r="AM2" i="10" s="1"/>
  <c r="AM4" i="10" s="1"/>
  <c r="AM397" i="10"/>
  <c r="AU1560" i="10"/>
  <c r="AU1300" i="10"/>
  <c r="AU1590" i="10"/>
  <c r="AU1220" i="10"/>
  <c r="AU1407" i="10"/>
  <c r="AU1353" i="10"/>
  <c r="AU1337" i="10"/>
  <c r="AU1319" i="10"/>
  <c r="AU1240" i="10"/>
  <c r="AU1247" i="10"/>
  <c r="AU1436" i="10"/>
  <c r="AU1478" i="10"/>
  <c r="AU1523" i="10"/>
  <c r="AU1567" i="10"/>
  <c r="AU1524" i="10"/>
  <c r="AU1213" i="10"/>
  <c r="AU1266" i="10"/>
  <c r="AU1453" i="10"/>
  <c r="AU1256" i="10"/>
  <c r="AU1332" i="10"/>
  <c r="AU1377" i="10"/>
  <c r="AU1349" i="10"/>
  <c r="AU1489" i="10"/>
  <c r="AU1369" i="10"/>
  <c r="AU1345" i="10"/>
  <c r="AU1473" i="10"/>
  <c r="AU1469" i="10"/>
  <c r="AU1298" i="10"/>
  <c r="AU1212" i="10"/>
  <c r="AU1389" i="10"/>
  <c r="AU1502" i="10"/>
  <c r="AU1532" i="10"/>
  <c r="AU1344" i="10"/>
  <c r="AU1456" i="10"/>
  <c r="AU1396" i="10"/>
  <c r="AU1233" i="10"/>
  <c r="AU1284" i="10"/>
  <c r="AU1358" i="10"/>
  <c r="AU1246" i="10"/>
  <c r="AU1525" i="10"/>
  <c r="AU1499" i="10"/>
  <c r="AU1464" i="10"/>
  <c r="AU1442" i="10"/>
  <c r="AU1518" i="10"/>
  <c r="AU1580" i="10"/>
  <c r="AU1546" i="10"/>
  <c r="AU1267" i="10"/>
  <c r="AU1512" i="10"/>
  <c r="AU1539" i="10"/>
  <c r="AU1418" i="10"/>
  <c r="AU1325" i="10"/>
  <c r="AU1326" i="10"/>
  <c r="AU1490" i="10"/>
  <c r="AU1419" i="10"/>
  <c r="AU1457" i="10"/>
  <c r="AU1343" i="10"/>
  <c r="AU1297" i="10"/>
  <c r="AU1360" i="10"/>
  <c r="AU1229" i="10"/>
  <c r="AU1359" i="10"/>
  <c r="AU1251" i="10"/>
  <c r="AU1508" i="10"/>
  <c r="AU1477" i="10"/>
  <c r="AU1574" i="10"/>
  <c r="AU1588" i="10"/>
  <c r="AU1554" i="10"/>
  <c r="AU1543" i="10"/>
  <c r="AU1466" i="10"/>
  <c r="AU1545" i="10"/>
  <c r="AU1379" i="10"/>
  <c r="AU1492" i="10"/>
  <c r="AU1483" i="10"/>
  <c r="AU1301" i="10"/>
  <c r="AU1503" i="10"/>
  <c r="AU1582" i="10"/>
  <c r="AU1416" i="10"/>
  <c r="AU1244" i="10"/>
  <c r="AU1557" i="10"/>
  <c r="AU1577" i="10"/>
  <c r="AU1494" i="10"/>
  <c r="AU1236" i="10"/>
  <c r="AU1270" i="10"/>
  <c r="AU1570" i="10"/>
  <c r="AU1445" i="10"/>
  <c r="AU1260" i="10"/>
  <c r="AU1391" i="10"/>
  <c r="AU1263" i="10"/>
  <c r="AU1572" i="10"/>
  <c r="AU1583" i="10"/>
  <c r="AU1335" i="10"/>
  <c r="AU1534" i="10"/>
  <c r="AU1487" i="10"/>
  <c r="AU1465" i="10"/>
  <c r="AU1281" i="10"/>
  <c r="AU1423" i="10"/>
  <c r="AU1495" i="10"/>
  <c r="AU1249" i="10"/>
  <c r="AU1521" i="10"/>
  <c r="AU1293" i="10"/>
  <c r="AU1515" i="10"/>
  <c r="AU1262" i="10"/>
  <c r="AU1307" i="10"/>
  <c r="AU1535" i="10"/>
  <c r="AU1434" i="10"/>
  <c r="AU1530" i="10"/>
  <c r="AU1384" i="10"/>
  <c r="AU1440" i="10"/>
  <c r="AU1383" i="10"/>
  <c r="AU1470" i="10"/>
  <c r="AU1441" i="10"/>
  <c r="AU1271" i="10"/>
  <c r="AU1486" i="10"/>
  <c r="AU1234" i="10"/>
  <c r="AU1372" i="10"/>
  <c r="AU1346" i="10"/>
  <c r="AU1291" i="10"/>
  <c r="AU1295" i="10"/>
  <c r="AU1511" i="10"/>
  <c r="AU1412" i="10"/>
  <c r="AU1299" i="10"/>
  <c r="AU1504" i="10"/>
  <c r="AU1239" i="10"/>
  <c r="AU1417" i="10"/>
  <c r="AU1352" i="10"/>
  <c r="AU1421" i="10"/>
  <c r="AU1398" i="10"/>
  <c r="AU1242" i="10"/>
  <c r="AU1529" i="10"/>
  <c r="AU1450" i="10"/>
  <c r="AU1424" i="10"/>
  <c r="AU1312" i="10"/>
  <c r="AU1366" i="10"/>
  <c r="AU1404" i="10"/>
  <c r="AU1261" i="10"/>
  <c r="AU1323" i="10"/>
  <c r="AU1481" i="10"/>
  <c r="AU1382" i="10"/>
  <c r="AU1278" i="10"/>
  <c r="AU1558" i="10"/>
  <c r="AU1273" i="10"/>
  <c r="AU1533" i="10"/>
  <c r="AU1282" i="10"/>
  <c r="AU1555" i="10"/>
  <c r="AU1431" i="10"/>
  <c r="AU1573" i="10"/>
  <c r="AU1561" i="10"/>
  <c r="AU1578" i="10"/>
  <c r="AU1406" i="10"/>
  <c r="AU1569" i="10"/>
  <c r="AU1403" i="10"/>
  <c r="AU1314" i="10"/>
  <c r="AU1248" i="10"/>
  <c r="AU1460" i="10"/>
  <c r="AU1341" i="10"/>
  <c r="AU1479" i="10"/>
  <c r="AU1368" i="10"/>
  <c r="AU1331" i="10"/>
  <c r="AU1274" i="10"/>
  <c r="AU1562" i="10"/>
  <c r="AU1475" i="10"/>
  <c r="AU1575" i="10"/>
  <c r="AU1305" i="10"/>
  <c r="AU1330" i="10"/>
  <c r="AU1304" i="10"/>
  <c r="AU1549" i="10"/>
  <c r="AU1426" i="10"/>
  <c r="AU1568" i="10"/>
  <c r="AU1420" i="10"/>
  <c r="AU1279" i="10"/>
  <c r="AU1542" i="10"/>
  <c r="AU1296" i="10"/>
  <c r="AU1451" i="10"/>
  <c r="AU1289" i="10"/>
  <c r="AU1350" i="10"/>
  <c r="AU1433" i="10"/>
  <c r="AU1245" i="10"/>
  <c r="AU1216" i="10"/>
  <c r="AU1264" i="10"/>
  <c r="AU1223" i="10"/>
  <c r="AU1258" i="10"/>
  <c r="AU1354" i="10"/>
  <c r="AU1224" i="10"/>
  <c r="AU1538" i="10"/>
  <c r="AU1506" i="10"/>
  <c r="AU1510" i="10"/>
  <c r="AU1500" i="10"/>
  <c r="AU1378" i="10"/>
  <c r="AU1269" i="10"/>
  <c r="AU1563" i="10"/>
  <c r="AU1509" i="10"/>
  <c r="AU1547" i="10"/>
  <c r="AU1226" i="10"/>
  <c r="AU1328" i="10"/>
  <c r="AU1364" i="10"/>
  <c r="AU1386" i="10"/>
  <c r="AU1432" i="10"/>
  <c r="AU1362" i="10"/>
  <c r="AU1587" i="10"/>
  <c r="AU1459" i="10"/>
  <c r="AU1347" i="10"/>
  <c r="AU1357" i="10"/>
  <c r="AU1232" i="10"/>
  <c r="AU1589" i="10"/>
  <c r="AU1371" i="10"/>
  <c r="AU1393" i="10"/>
  <c r="AU1268" i="10"/>
  <c r="AU1288" i="10"/>
  <c r="AU1342" i="10"/>
  <c r="AU1544" i="10"/>
  <c r="AU1435" i="10"/>
  <c r="AU1471" i="10"/>
  <c r="AU1219" i="10"/>
  <c r="AU1476" i="10"/>
  <c r="AU1571" i="10"/>
  <c r="AU1501" i="10"/>
  <c r="AU1559" i="10"/>
  <c r="AU1449" i="10"/>
  <c r="AU1496" i="10"/>
  <c r="AU1497" i="10"/>
  <c r="AU1519" i="10"/>
  <c r="AU1315" i="10"/>
  <c r="AU1488" i="10"/>
  <c r="AU1317" i="10"/>
  <c r="AU1485" i="10"/>
  <c r="AU1443" i="10"/>
  <c r="AU1392" i="10"/>
  <c r="AU1463" i="10"/>
  <c r="AU1566" i="10"/>
  <c r="AU1480" i="10"/>
  <c r="AU1452" i="10"/>
  <c r="AU1376" i="10"/>
  <c r="AU1468" i="10"/>
  <c r="AU1311" i="10"/>
  <c r="AU1243" i="10"/>
  <c r="AU1550" i="10"/>
  <c r="AU1380" i="10"/>
  <c r="AU1333" i="10"/>
  <c r="AU1292" i="10"/>
  <c r="AU1340" i="10"/>
  <c r="AU1576" i="10"/>
  <c r="AU1522" i="10"/>
  <c r="AU1375" i="10"/>
  <c r="AU1413" i="10"/>
  <c r="AU1339" i="10"/>
  <c r="AU1541" i="10"/>
  <c r="AU1302" i="10"/>
  <c r="AU1356" i="10"/>
  <c r="AU1552" i="10"/>
  <c r="AU1507" i="10"/>
  <c r="AU1517" i="10"/>
  <c r="AU1448" i="10"/>
  <c r="AU1235" i="10"/>
  <c r="AU1395" i="10"/>
  <c r="AU1526" i="10"/>
  <c r="AU1415" i="10"/>
  <c r="AU1401" i="10"/>
  <c r="AU1540" i="10"/>
  <c r="AU1484" i="10"/>
  <c r="AU1336" i="10"/>
  <c r="AU1399" i="10"/>
  <c r="AU1414" i="10"/>
  <c r="AU1405" i="10"/>
  <c r="AU1397" i="10"/>
  <c r="AU1410" i="10"/>
  <c r="AU1259" i="10"/>
  <c r="AU1585" i="10"/>
  <c r="AU1551" i="10"/>
  <c r="AU1253" i="10"/>
  <c r="AU1388" i="10"/>
  <c r="AU1322" i="10"/>
  <c r="AU1556" i="10"/>
  <c r="AU1286" i="10"/>
  <c r="AU1408" i="10"/>
  <c r="AU1338" i="10"/>
  <c r="AU1455" i="10"/>
  <c r="AU1275" i="10"/>
  <c r="AU1254" i="10"/>
  <c r="AU1385" i="10"/>
  <c r="AU1474" i="10"/>
  <c r="AU1321" i="10"/>
  <c r="AU1446" i="10"/>
  <c r="AU1363" i="10"/>
  <c r="AU1318" i="10"/>
  <c r="AU1215" i="10"/>
  <c r="AU1214" i="10"/>
  <c r="AU1514" i="10"/>
  <c r="AU1287" i="10"/>
  <c r="AU1531" i="10"/>
  <c r="AU1373" i="10"/>
  <c r="AU1411" i="10"/>
  <c r="AU1316" i="10"/>
  <c r="AU1250" i="10"/>
  <c r="AU1498" i="10"/>
  <c r="AU1308" i="10"/>
  <c r="AU1228" i="10"/>
  <c r="AU1309" i="10"/>
  <c r="U393" i="10"/>
  <c r="U397" i="10"/>
  <c r="AJ969" i="10"/>
  <c r="AJ989" i="10"/>
  <c r="AJ851" i="10"/>
  <c r="AJ897" i="10"/>
  <c r="AJ1018" i="10"/>
  <c r="AJ906" i="10"/>
  <c r="AJ937" i="10"/>
  <c r="AJ1073" i="10"/>
  <c r="AJ925" i="10"/>
  <c r="AJ813" i="10"/>
  <c r="AJ1108" i="10"/>
  <c r="AJ919" i="10"/>
  <c r="AJ1180" i="10"/>
  <c r="AJ1125" i="10"/>
  <c r="AJ1153" i="10"/>
  <c r="AJ959" i="10"/>
  <c r="AJ820" i="10"/>
  <c r="AJ1167" i="10"/>
  <c r="AJ1012" i="10"/>
  <c r="AJ1019" i="10"/>
  <c r="AJ840" i="10"/>
  <c r="AJ944" i="10"/>
  <c r="AJ996" i="10"/>
  <c r="AJ1036" i="10"/>
  <c r="AJ876" i="10"/>
  <c r="AJ1139" i="10"/>
  <c r="AJ945" i="10"/>
  <c r="AJ953" i="10"/>
  <c r="AJ1007" i="10"/>
  <c r="AJ1118" i="10"/>
  <c r="AJ932" i="10"/>
  <c r="AJ900" i="10"/>
  <c r="AJ1146" i="10"/>
  <c r="AJ1053" i="10"/>
  <c r="AJ1102" i="10"/>
  <c r="AJ1078" i="10"/>
  <c r="AJ873" i="10"/>
  <c r="AJ960" i="10"/>
  <c r="AJ1157" i="10"/>
  <c r="AJ958" i="10"/>
  <c r="AJ1160" i="10"/>
  <c r="AJ847" i="10"/>
  <c r="AJ1042" i="10"/>
  <c r="AJ1174" i="10"/>
  <c r="AJ949" i="10"/>
  <c r="AJ1077" i="10"/>
  <c r="AJ1112" i="10"/>
  <c r="AJ898" i="10"/>
  <c r="AJ1099" i="10"/>
  <c r="AJ1123" i="10"/>
  <c r="AJ866" i="10"/>
  <c r="AJ1064" i="10"/>
  <c r="AJ856" i="10"/>
  <c r="AJ1190" i="10"/>
  <c r="AJ1087" i="10"/>
  <c r="AJ1023" i="10"/>
  <c r="AJ946" i="10"/>
  <c r="AJ860" i="10"/>
  <c r="AJ849" i="10"/>
  <c r="AJ822" i="10"/>
  <c r="AJ818" i="10"/>
  <c r="AJ1041" i="10"/>
  <c r="AJ1124" i="10"/>
  <c r="AJ846" i="10"/>
  <c r="AJ943" i="10"/>
  <c r="AJ833" i="10"/>
  <c r="AJ1057" i="10"/>
  <c r="AJ1158" i="10"/>
  <c r="AJ907" i="10"/>
  <c r="AJ839" i="10"/>
  <c r="AJ1143" i="10"/>
  <c r="AJ844" i="10"/>
  <c r="AJ1145" i="10"/>
  <c r="AJ1089" i="10"/>
  <c r="AJ1090" i="10"/>
  <c r="AJ1169" i="10"/>
  <c r="AJ1045" i="10"/>
  <c r="AJ891" i="10"/>
  <c r="AJ882" i="10"/>
  <c r="AJ957" i="10"/>
  <c r="AJ979" i="10"/>
  <c r="AJ977" i="10"/>
  <c r="AJ923" i="10"/>
  <c r="AJ1024" i="10"/>
  <c r="AJ1182" i="10"/>
  <c r="AJ1163" i="10"/>
  <c r="AJ971" i="10"/>
  <c r="AJ861" i="10"/>
  <c r="AJ1173" i="10"/>
  <c r="AJ924" i="10"/>
  <c r="AJ1188" i="10"/>
  <c r="AJ1066" i="10"/>
  <c r="AJ862" i="10"/>
  <c r="AJ1132" i="10"/>
  <c r="AJ1115" i="10"/>
  <c r="AJ1003" i="10"/>
  <c r="AJ1070" i="10"/>
  <c r="AJ1006" i="10"/>
  <c r="AJ982" i="10"/>
  <c r="AJ1154" i="10"/>
  <c r="AJ1086" i="10"/>
  <c r="AJ863" i="10"/>
  <c r="AJ964" i="10"/>
  <c r="AJ1183" i="10"/>
  <c r="AJ899" i="10"/>
  <c r="AJ935" i="10"/>
  <c r="AJ1004" i="10"/>
  <c r="AJ986" i="10"/>
  <c r="AJ1017" i="10"/>
  <c r="AJ993" i="10"/>
  <c r="AJ812" i="10"/>
  <c r="AJ983" i="10"/>
  <c r="AJ1189" i="10"/>
  <c r="AJ870" i="10"/>
  <c r="AJ1040" i="10"/>
  <c r="AJ912" i="10"/>
  <c r="AJ1177" i="10"/>
  <c r="AJ952" i="10"/>
  <c r="AJ1095" i="10"/>
  <c r="AJ1050" i="10"/>
  <c r="AJ832" i="10"/>
  <c r="AJ829" i="10"/>
  <c r="AJ998" i="10"/>
  <c r="AJ1065" i="10"/>
  <c r="AJ881" i="10"/>
  <c r="AJ836" i="10"/>
  <c r="AJ814" i="10"/>
  <c r="AJ1194" i="10" s="1"/>
  <c r="AJ1059" i="10"/>
  <c r="AJ966" i="10"/>
  <c r="AJ1005" i="10"/>
  <c r="AJ828" i="10"/>
  <c r="AJ1010" i="10"/>
  <c r="AJ1164" i="10"/>
  <c r="AJ926" i="10"/>
  <c r="AJ1170" i="10"/>
  <c r="AJ834" i="10"/>
  <c r="AJ1121" i="10"/>
  <c r="AJ1034" i="10"/>
  <c r="AJ1181" i="10"/>
  <c r="AJ1069" i="10"/>
  <c r="AJ895" i="10"/>
  <c r="AJ1111" i="10"/>
  <c r="AJ901" i="10"/>
  <c r="AJ1103" i="10"/>
  <c r="AJ1147" i="10"/>
  <c r="AJ871" i="10"/>
  <c r="AJ1187" i="10"/>
  <c r="AJ1092" i="10"/>
  <c r="AJ1062" i="10"/>
  <c r="AJ1021" i="10"/>
  <c r="AJ1161" i="10"/>
  <c r="AJ1081" i="10"/>
  <c r="AJ843" i="10"/>
  <c r="AJ1129" i="10"/>
  <c r="AJ911" i="10"/>
  <c r="AJ892" i="10"/>
  <c r="AJ1074" i="10"/>
  <c r="AJ1061" i="10"/>
  <c r="AJ1175" i="10"/>
  <c r="AJ1093" i="10"/>
  <c r="AJ1144" i="10"/>
  <c r="AJ931" i="10"/>
  <c r="AJ930" i="10"/>
  <c r="AJ1149" i="10"/>
  <c r="AJ1008" i="10"/>
  <c r="AJ922" i="10"/>
  <c r="AJ877" i="10"/>
  <c r="AJ1142" i="10"/>
  <c r="AJ903" i="10"/>
  <c r="AJ948" i="10"/>
  <c r="AJ1117" i="10"/>
  <c r="AJ956" i="10"/>
  <c r="AJ896" i="10"/>
  <c r="AJ1088" i="10"/>
  <c r="AJ1131" i="10"/>
  <c r="AJ913" i="10"/>
  <c r="AJ902" i="10"/>
  <c r="AJ921" i="10"/>
  <c r="AJ889" i="10"/>
  <c r="AJ1097" i="10"/>
  <c r="AJ1043" i="10"/>
  <c r="AJ845" i="10"/>
  <c r="AJ976" i="10"/>
  <c r="AJ1101" i="10"/>
  <c r="AJ1126" i="10"/>
  <c r="AJ816" i="10"/>
  <c r="AJ1080" i="10"/>
  <c r="AJ978" i="10"/>
  <c r="AJ1100" i="10"/>
  <c r="AJ1084" i="10"/>
  <c r="AJ1155" i="10"/>
  <c r="AJ972" i="10"/>
  <c r="AJ842" i="10"/>
  <c r="AJ853" i="10"/>
  <c r="AJ827" i="10"/>
  <c r="AJ878" i="10"/>
  <c r="AJ1151" i="10"/>
  <c r="AJ1134" i="10"/>
  <c r="AJ1083" i="10"/>
  <c r="AJ1094" i="10"/>
  <c r="AJ1060" i="10"/>
  <c r="AJ852" i="10"/>
  <c r="AJ1133" i="10"/>
  <c r="AJ1130" i="10"/>
  <c r="AJ997" i="10"/>
  <c r="AJ1109" i="10"/>
  <c r="AJ874" i="10"/>
  <c r="AJ939" i="10"/>
  <c r="AJ1071" i="10"/>
  <c r="AJ985" i="10"/>
  <c r="AJ988" i="10"/>
  <c r="AJ888" i="10"/>
  <c r="AJ938" i="10"/>
  <c r="AJ875" i="10"/>
  <c r="AJ819" i="10"/>
  <c r="AJ973" i="10"/>
  <c r="AJ1122" i="10"/>
  <c r="AJ1137" i="10"/>
  <c r="AJ942" i="10"/>
  <c r="AJ992" i="10"/>
  <c r="AJ1106" i="10"/>
  <c r="AJ954" i="10"/>
  <c r="AJ1114" i="10"/>
  <c r="AJ1063" i="10"/>
  <c r="AJ950" i="10"/>
  <c r="AJ1051" i="10"/>
  <c r="AJ1085" i="10"/>
  <c r="AJ1186" i="10"/>
  <c r="AJ1048" i="10"/>
  <c r="AJ1052" i="10"/>
  <c r="AJ869" i="10"/>
  <c r="AJ848" i="10"/>
  <c r="AJ909" i="10"/>
  <c r="AJ947" i="10"/>
  <c r="AJ837" i="10"/>
  <c r="AJ1168" i="10"/>
  <c r="AJ904" i="10"/>
  <c r="AJ1141" i="10"/>
  <c r="AJ1150" i="10"/>
  <c r="AJ1075" i="10"/>
  <c r="AJ1184" i="10"/>
  <c r="AJ1079" i="10"/>
  <c r="AJ1033" i="10"/>
  <c r="AJ854" i="10"/>
  <c r="AJ941" i="10"/>
  <c r="AJ825" i="10"/>
  <c r="AJ821" i="10"/>
  <c r="AJ1082" i="10"/>
  <c r="AJ817" i="10"/>
  <c r="AJ824" i="10"/>
  <c r="AJ1001" i="10"/>
  <c r="AJ858" i="10"/>
  <c r="AJ908" i="10"/>
  <c r="AJ916" i="10"/>
  <c r="AJ1179" i="10"/>
  <c r="AJ963" i="10"/>
  <c r="AJ1166" i="10"/>
  <c r="AJ1098" i="10"/>
  <c r="AJ1110" i="10"/>
  <c r="AJ929" i="10"/>
  <c r="AJ928" i="10"/>
  <c r="AJ830" i="10"/>
  <c r="AJ1116" i="10"/>
  <c r="AJ841" i="10"/>
  <c r="AJ934" i="10"/>
  <c r="AJ1009" i="10"/>
  <c r="AJ1000" i="10"/>
  <c r="AJ872" i="10"/>
  <c r="AJ914" i="10"/>
  <c r="AJ893" i="10"/>
  <c r="AJ1032" i="10"/>
  <c r="AJ1035" i="10"/>
  <c r="AJ890" i="10"/>
  <c r="AJ1162" i="10"/>
  <c r="AJ1156" i="10"/>
  <c r="AJ886" i="10"/>
  <c r="AJ933" i="10"/>
  <c r="AJ1076" i="10"/>
  <c r="AJ975" i="10"/>
  <c r="AJ910" i="10"/>
  <c r="AJ980" i="10"/>
  <c r="AJ968" i="10"/>
  <c r="AJ1025" i="10"/>
  <c r="AJ1055" i="10"/>
  <c r="AJ1068" i="10"/>
  <c r="AJ835" i="10"/>
  <c r="AJ815" i="10"/>
  <c r="AJ915" i="10"/>
  <c r="AJ918" i="10"/>
  <c r="AJ1159" i="10"/>
  <c r="AJ967" i="10"/>
  <c r="AJ1049" i="10"/>
  <c r="AJ1152" i="10"/>
  <c r="AJ1107" i="10"/>
  <c r="AJ951" i="10"/>
  <c r="AJ1014" i="10"/>
  <c r="AJ850" i="10"/>
  <c r="AS393" i="10"/>
  <c r="AS397" i="10"/>
  <c r="AQ1044" i="10"/>
  <c r="U1104" i="10"/>
  <c r="Z393" i="10"/>
  <c r="Z2" i="10" s="1"/>
  <c r="Z4" i="10" s="1"/>
  <c r="Z397" i="10"/>
  <c r="AT1190" i="10"/>
  <c r="AT1118" i="10"/>
  <c r="AT1089" i="10"/>
  <c r="AT1153" i="10"/>
  <c r="AT932" i="10"/>
  <c r="AT1012" i="10"/>
  <c r="AT1108" i="10"/>
  <c r="AT840" i="10"/>
  <c r="AT959" i="10"/>
  <c r="AT937" i="10"/>
  <c r="AT1073" i="10"/>
  <c r="AT919" i="10"/>
  <c r="AT876" i="10"/>
  <c r="AT958" i="10"/>
  <c r="AT1112" i="10"/>
  <c r="AT897" i="10"/>
  <c r="AT833" i="10"/>
  <c r="AT1077" i="10"/>
  <c r="AT884" i="10"/>
  <c r="AT989" i="10"/>
  <c r="AT906" i="10"/>
  <c r="AT1036" i="10"/>
  <c r="AT1123" i="10"/>
  <c r="AT856" i="10"/>
  <c r="AT1064" i="10"/>
  <c r="AT851" i="10"/>
  <c r="AT1167" i="10"/>
  <c r="AT969" i="10"/>
  <c r="AT1124" i="10"/>
  <c r="AT949" i="10"/>
  <c r="AT1018" i="10"/>
  <c r="AT1180" i="10"/>
  <c r="AT996" i="10"/>
  <c r="AT1174" i="10"/>
  <c r="AT925" i="10"/>
  <c r="AT953" i="10"/>
  <c r="AT945" i="10"/>
  <c r="AT926" i="10"/>
  <c r="AT900" i="10"/>
  <c r="AT820" i="10"/>
  <c r="AT866" i="10"/>
  <c r="AT977" i="10"/>
  <c r="AT1056" i="10"/>
  <c r="AT1042" i="10"/>
  <c r="AT943" i="10"/>
  <c r="AT847" i="10"/>
  <c r="AT1099" i="10"/>
  <c r="AT1053" i="10"/>
  <c r="AT1078" i="10"/>
  <c r="AT813" i="10"/>
  <c r="AT846" i="10"/>
  <c r="AT1139" i="10"/>
  <c r="AT1125" i="10"/>
  <c r="AT1019" i="10"/>
  <c r="AT812" i="10"/>
  <c r="AT1115" i="10"/>
  <c r="AT983" i="10"/>
  <c r="AT1111" i="10"/>
  <c r="AT1006" i="10"/>
  <c r="AT1158" i="10"/>
  <c r="AT1169" i="10"/>
  <c r="AT834" i="10"/>
  <c r="AT867" i="10"/>
  <c r="AT1160" i="10"/>
  <c r="AT1090" i="10"/>
  <c r="AT895" i="10"/>
  <c r="AT1183" i="10"/>
  <c r="AT899" i="10"/>
  <c r="AT907" i="10"/>
  <c r="AT829" i="10"/>
  <c r="AT1086" i="10"/>
  <c r="AT1103" i="10"/>
  <c r="AT1132" i="10"/>
  <c r="AT944" i="10"/>
  <c r="AT1146" i="10"/>
  <c r="AT946" i="10"/>
  <c r="AT1021" i="10"/>
  <c r="AT852" i="10"/>
  <c r="AT1178" i="10"/>
  <c r="AT964" i="10"/>
  <c r="AT960" i="10"/>
  <c r="AT898" i="10"/>
  <c r="AT1023" i="10"/>
  <c r="AT966" i="10"/>
  <c r="AT836" i="10"/>
  <c r="AT924" i="10"/>
  <c r="AT982" i="10"/>
  <c r="AT1050" i="10"/>
  <c r="AT1007" i="10"/>
  <c r="AT1102" i="10"/>
  <c r="AT1188" i="10"/>
  <c r="AT1170" i="10"/>
  <c r="AT1070" i="10"/>
  <c r="AT1004" i="10"/>
  <c r="AT1040" i="10"/>
  <c r="AT1041" i="10"/>
  <c r="AT832" i="10"/>
  <c r="AT842" i="10"/>
  <c r="AT839" i="10"/>
  <c r="AT882" i="10"/>
  <c r="AT1017" i="10"/>
  <c r="AT1121" i="10"/>
  <c r="AT923" i="10"/>
  <c r="AT1145" i="10"/>
  <c r="AT1161" i="10"/>
  <c r="AT1083" i="10"/>
  <c r="AT1130" i="10"/>
  <c r="AT849" i="10"/>
  <c r="AT878" i="10"/>
  <c r="AT1087" i="10"/>
  <c r="AT1045" i="10"/>
  <c r="AT1057" i="10"/>
  <c r="AT814" i="10"/>
  <c r="AT891" i="10"/>
  <c r="AT1155" i="10"/>
  <c r="AT952" i="10"/>
  <c r="AT860" i="10"/>
  <c r="AT979" i="10"/>
  <c r="AT873" i="10"/>
  <c r="AT881" i="10"/>
  <c r="AT935" i="10"/>
  <c r="AT1154" i="10"/>
  <c r="AT972" i="10"/>
  <c r="AT863" i="10"/>
  <c r="AT1005" i="10"/>
  <c r="AT1135" i="10"/>
  <c r="AT991" i="10"/>
  <c r="AT862" i="10"/>
  <c r="AT901" i="10"/>
  <c r="AT1095" i="10"/>
  <c r="AT947" i="10"/>
  <c r="AT912" i="10"/>
  <c r="AT1173" i="10"/>
  <c r="AT1177" i="10"/>
  <c r="AT998" i="10"/>
  <c r="AT828" i="10"/>
  <c r="AT868" i="10"/>
  <c r="AT1093" i="10"/>
  <c r="AT1149" i="10"/>
  <c r="AT985" i="10"/>
  <c r="AT821" i="10"/>
  <c r="AT1035" i="10"/>
  <c r="AT1061" i="10"/>
  <c r="AT920" i="10"/>
  <c r="AT1122" i="10"/>
  <c r="AT1175" i="10"/>
  <c r="AT874" i="10"/>
  <c r="AT1184" i="10"/>
  <c r="AT1171" i="10"/>
  <c r="AT1013" i="10"/>
  <c r="AT887" i="10"/>
  <c r="AT1137" i="10"/>
  <c r="AT967" i="10"/>
  <c r="AT858" i="10"/>
  <c r="AT954" i="10"/>
  <c r="AT942" i="10"/>
  <c r="AT1011" i="10"/>
  <c r="AT1106" i="10"/>
  <c r="AT1033" i="10"/>
  <c r="AT1117" i="10"/>
  <c r="AT1186" i="10"/>
  <c r="AT845" i="10"/>
  <c r="AT896" i="10"/>
  <c r="AT815" i="10"/>
  <c r="AT1072" i="10"/>
  <c r="AT1166" i="10"/>
  <c r="AT978" i="10"/>
  <c r="AT929" i="10"/>
  <c r="AT951" i="10"/>
  <c r="AT1014" i="10"/>
  <c r="AT871" i="10"/>
  <c r="AT986" i="10"/>
  <c r="AT1094" i="10"/>
  <c r="AT993" i="10"/>
  <c r="AT1024" i="10"/>
  <c r="AT826" i="10"/>
  <c r="AT1065" i="10"/>
  <c r="AT1182" i="10"/>
  <c r="AT984" i="10"/>
  <c r="AT1133" i="10"/>
  <c r="AT962" i="10"/>
  <c r="AT940" i="10"/>
  <c r="AT955" i="10"/>
  <c r="AT888" i="10"/>
  <c r="AT875" i="10"/>
  <c r="AT1141" i="10"/>
  <c r="AT1144" i="10"/>
  <c r="AT1074" i="10"/>
  <c r="AT819" i="10"/>
  <c r="AT933" i="10"/>
  <c r="AT1162" i="10"/>
  <c r="AT1079" i="10"/>
  <c r="AT837" i="10"/>
  <c r="AT903" i="10"/>
  <c r="AT1076" i="10"/>
  <c r="AT995" i="10"/>
  <c r="AT939" i="10"/>
  <c r="AT825" i="10"/>
  <c r="AT1138" i="10"/>
  <c r="AT1048" i="10"/>
  <c r="AT956" i="10"/>
  <c r="AT1063" i="10"/>
  <c r="AT889" i="10"/>
  <c r="AT1080" i="10"/>
  <c r="AT1026" i="10"/>
  <c r="AT1082" i="10"/>
  <c r="AT918" i="10"/>
  <c r="AT922" i="10"/>
  <c r="AT950" i="10"/>
  <c r="AT879" i="10"/>
  <c r="AT835" i="10"/>
  <c r="AT1043" i="10"/>
  <c r="AT1100" i="10"/>
  <c r="AT908" i="10"/>
  <c r="AT1052" i="10"/>
  <c r="AT1084" i="10"/>
  <c r="AT1092" i="10"/>
  <c r="AT1034" i="10"/>
  <c r="AT1071" i="10"/>
  <c r="AT980" i="10"/>
  <c r="AT1176" i="10"/>
  <c r="AT1168" i="10"/>
  <c r="AT1156" i="10"/>
  <c r="AT988" i="10"/>
  <c r="AT877" i="10"/>
  <c r="AT824" i="10"/>
  <c r="AT992" i="10"/>
  <c r="AT1025" i="10"/>
  <c r="AT1140" i="10"/>
  <c r="AT1088" i="10"/>
  <c r="AT1051" i="10"/>
  <c r="AT1101" i="10"/>
  <c r="AT1126" i="10"/>
  <c r="AT865" i="10"/>
  <c r="AT1110" i="10"/>
  <c r="AT1129" i="10"/>
  <c r="AT1059" i="10"/>
  <c r="AT1003" i="10"/>
  <c r="AT1010" i="10"/>
  <c r="AT885" i="10"/>
  <c r="AT893" i="10"/>
  <c r="AT872" i="10"/>
  <c r="AT997" i="10"/>
  <c r="AT870" i="10"/>
  <c r="AT1163" i="10"/>
  <c r="AT822" i="10"/>
  <c r="AT843" i="10"/>
  <c r="AT886" i="10"/>
  <c r="AT910" i="10"/>
  <c r="AT1075" i="10"/>
  <c r="AT1049" i="10"/>
  <c r="AT892" i="10"/>
  <c r="AT930" i="10"/>
  <c r="AT1020" i="10"/>
  <c r="AT1055" i="10"/>
  <c r="AT1131" i="10"/>
  <c r="AT1001" i="10"/>
  <c r="AT816" i="10"/>
  <c r="AT913" i="10"/>
  <c r="AT817" i="10"/>
  <c r="AT902" i="10"/>
  <c r="AT1114" i="10"/>
  <c r="AT1098" i="10"/>
  <c r="AT936" i="10"/>
  <c r="AT909" i="10"/>
  <c r="AT853" i="10"/>
  <c r="AT1151" i="10"/>
  <c r="AT1109" i="10"/>
  <c r="AT1143" i="10"/>
  <c r="AT1164" i="10"/>
  <c r="AT861" i="10"/>
  <c r="AT1159" i="10"/>
  <c r="AT1096" i="10"/>
  <c r="AT941" i="10"/>
  <c r="AT975" i="10"/>
  <c r="AT1008" i="10"/>
  <c r="AT938" i="10"/>
  <c r="AT1002" i="10"/>
  <c r="AT973" i="10"/>
  <c r="AT1119" i="10"/>
  <c r="AT963" i="10"/>
  <c r="AT1046" i="10"/>
  <c r="AT1152" i="10"/>
  <c r="AT1107" i="10"/>
  <c r="AT921" i="10"/>
  <c r="AT1068" i="10"/>
  <c r="AT1179" i="10"/>
  <c r="AT869" i="10"/>
  <c r="AT844" i="10"/>
  <c r="AT1066" i="10"/>
  <c r="AT904" i="10"/>
  <c r="AT1150" i="10"/>
  <c r="AT916" i="10"/>
  <c r="AT917" i="10"/>
  <c r="AT1181" i="10"/>
  <c r="AT1134" i="10"/>
  <c r="AT914" i="10"/>
  <c r="AT890" i="10"/>
  <c r="AT1085" i="10"/>
  <c r="AT1142" i="10"/>
  <c r="AT999" i="10"/>
  <c r="AT1172" i="10"/>
  <c r="AT928" i="10"/>
  <c r="AT848" i="10"/>
  <c r="AT1189" i="10"/>
  <c r="AT827" i="10"/>
  <c r="AT855" i="10"/>
  <c r="AT883" i="10"/>
  <c r="AT841" i="10"/>
  <c r="AT1136" i="10"/>
  <c r="AT1157" i="10"/>
  <c r="AT931" i="10"/>
  <c r="AT823" i="10"/>
  <c r="AT915" i="10"/>
  <c r="AT1097" i="10"/>
  <c r="AT976" i="10"/>
  <c r="AT1147" i="10"/>
  <c r="AT1031" i="10"/>
  <c r="AT1081" i="10"/>
  <c r="AT911" i="10"/>
  <c r="AS1180" i="10"/>
  <c r="AS996" i="10"/>
  <c r="AS958" i="10"/>
  <c r="AS1073" i="10"/>
  <c r="AS944" i="10"/>
  <c r="AS925" i="10"/>
  <c r="AS1108" i="10"/>
  <c r="AS1036" i="10"/>
  <c r="AS959" i="10"/>
  <c r="AS876" i="10"/>
  <c r="AS937" i="10"/>
  <c r="AS1018" i="10"/>
  <c r="AS1042" i="10"/>
  <c r="AS1153" i="10"/>
  <c r="AS949" i="10"/>
  <c r="AS1012" i="10"/>
  <c r="AS1174" i="10"/>
  <c r="AS1077" i="10"/>
  <c r="AS812" i="10"/>
  <c r="AS943" i="10"/>
  <c r="AS1139" i="10"/>
  <c r="AS820" i="10"/>
  <c r="AS884" i="10"/>
  <c r="AS1160" i="10"/>
  <c r="AS1132" i="10"/>
  <c r="AS1125" i="10"/>
  <c r="AS1112" i="10"/>
  <c r="AS919" i="10"/>
  <c r="AS1102" i="10"/>
  <c r="AS1099" i="10"/>
  <c r="AS1064" i="10"/>
  <c r="AS1007" i="10"/>
  <c r="AS932" i="10"/>
  <c r="AS898" i="10"/>
  <c r="AS866" i="10"/>
  <c r="AS900" i="10"/>
  <c r="AS1090" i="10"/>
  <c r="AS870" i="10"/>
  <c r="AS1040" i="10"/>
  <c r="AS977" i="10"/>
  <c r="AS1087" i="10"/>
  <c r="AS1070" i="10"/>
  <c r="AS832" i="10"/>
  <c r="AS1086" i="10"/>
  <c r="AS1182" i="10"/>
  <c r="AS1143" i="10"/>
  <c r="AS998" i="10"/>
  <c r="AS863" i="10"/>
  <c r="AS1066" i="10"/>
  <c r="AS1065" i="10"/>
  <c r="AS899" i="10"/>
  <c r="AS1083" i="10"/>
  <c r="AS1024" i="10"/>
  <c r="AS1023" i="10"/>
  <c r="AS839" i="10"/>
  <c r="AS1034" i="10"/>
  <c r="AS834" i="10"/>
  <c r="AS836" i="10"/>
  <c r="AS946" i="10"/>
  <c r="AS982" i="10"/>
  <c r="AS984" i="10"/>
  <c r="AS964" i="10"/>
  <c r="AS895" i="10"/>
  <c r="AS813" i="10"/>
  <c r="AS1135" i="10"/>
  <c r="AS814" i="10"/>
  <c r="AS1194" i="10" s="1"/>
  <c r="AS853" i="10"/>
  <c r="AS829" i="10"/>
  <c r="AS924" i="10"/>
  <c r="AS962" i="10"/>
  <c r="AS1145" i="10"/>
  <c r="AS960" i="10"/>
  <c r="AS1010" i="10"/>
  <c r="AS1041" i="10"/>
  <c r="AS881" i="10"/>
  <c r="AS1103" i="10"/>
  <c r="AS1121" i="10"/>
  <c r="AS873" i="10"/>
  <c r="AS871" i="10"/>
  <c r="AS862" i="10"/>
  <c r="AS979" i="10"/>
  <c r="AS935" i="10"/>
  <c r="AS1004" i="10"/>
  <c r="AS972" i="10"/>
  <c r="AS1178" i="10"/>
  <c r="AS1089" i="10"/>
  <c r="AS901" i="10"/>
  <c r="AS1157" i="10"/>
  <c r="AS1183" i="10"/>
  <c r="AS1111" i="10"/>
  <c r="AS891" i="10"/>
  <c r="AS882" i="10"/>
  <c r="AS860" i="10"/>
  <c r="AS1050" i="10"/>
  <c r="AS1006" i="10"/>
  <c r="AS912" i="10"/>
  <c r="AS1017" i="10"/>
  <c r="AS907" i="10"/>
  <c r="AS1189" i="10"/>
  <c r="AS1163" i="10"/>
  <c r="AS1134" i="10"/>
  <c r="AS952" i="10"/>
  <c r="AS1094" i="10"/>
  <c r="AS849" i="10"/>
  <c r="AS1158" i="10"/>
  <c r="AS1045" i="10"/>
  <c r="AS1172" i="10"/>
  <c r="AS1177" i="10"/>
  <c r="AS1060" i="10"/>
  <c r="AS1147" i="10"/>
  <c r="AS1154" i="10"/>
  <c r="AS966" i="10"/>
  <c r="AS1173" i="10"/>
  <c r="AS997" i="10"/>
  <c r="AS1170" i="10"/>
  <c r="AS983" i="10"/>
  <c r="AS1169" i="10"/>
  <c r="AS986" i="10"/>
  <c r="AS993" i="10"/>
  <c r="AS1161" i="10"/>
  <c r="AS909" i="10"/>
  <c r="AS991" i="10"/>
  <c r="AS1133" i="10"/>
  <c r="AS822" i="10"/>
  <c r="AS1164" i="10"/>
  <c r="AS828" i="10"/>
  <c r="AS971" i="10"/>
  <c r="AS843" i="10"/>
  <c r="AS861" i="10"/>
  <c r="AS878" i="10"/>
  <c r="AS1155" i="10"/>
  <c r="AS1059" i="10"/>
  <c r="AS818" i="10"/>
  <c r="AS1081" i="10"/>
  <c r="AS914" i="10"/>
  <c r="AS923" i="10"/>
  <c r="AS1181" i="10"/>
  <c r="AS1151" i="10"/>
  <c r="AS826" i="10"/>
  <c r="AS928" i="10"/>
  <c r="AS842" i="10"/>
  <c r="AS1032" i="10"/>
  <c r="AS1095" i="10"/>
  <c r="AS1092" i="10"/>
  <c r="AS893" i="10"/>
  <c r="AS1003" i="10"/>
  <c r="AS1129" i="10"/>
  <c r="AS1187" i="10"/>
  <c r="AS877" i="10"/>
  <c r="AS868" i="10"/>
  <c r="AS968" i="10"/>
  <c r="AS1013" i="10"/>
  <c r="AS874" i="10"/>
  <c r="AS821" i="10"/>
  <c r="AS931" i="10"/>
  <c r="AS1055" i="10"/>
  <c r="AS819" i="10"/>
  <c r="AS1075" i="10"/>
  <c r="AS1061" i="10"/>
  <c r="AS1002" i="10"/>
  <c r="AS995" i="10"/>
  <c r="AS1049" i="10"/>
  <c r="AS888" i="10"/>
  <c r="AS904" i="10"/>
  <c r="AS902" i="10"/>
  <c r="AS921" i="10"/>
  <c r="AS1152" i="10"/>
  <c r="AS858" i="10"/>
  <c r="AS956" i="10"/>
  <c r="AS825" i="10"/>
  <c r="AS1131" i="10"/>
  <c r="AS1126" i="10"/>
  <c r="AS1033" i="10"/>
  <c r="AS1107" i="10"/>
  <c r="AS887" i="10"/>
  <c r="AS1082" i="10"/>
  <c r="AS1011" i="10"/>
  <c r="AS918" i="10"/>
  <c r="AS1052" i="10"/>
  <c r="AS908" i="10"/>
  <c r="AS1084" i="10"/>
  <c r="AS1098" i="10"/>
  <c r="AS957" i="10"/>
  <c r="AS1148" i="10"/>
  <c r="AS830" i="10"/>
  <c r="AS838" i="10"/>
  <c r="AS841" i="10"/>
  <c r="AS1091" i="10"/>
  <c r="AS1127" i="10"/>
  <c r="AS827" i="10"/>
  <c r="AS990" i="10"/>
  <c r="AS1067" i="10"/>
  <c r="AS859" i="10"/>
  <c r="AS1005" i="10"/>
  <c r="AS872" i="10"/>
  <c r="AS848" i="10"/>
  <c r="AS1130" i="10"/>
  <c r="L1007" i="10"/>
  <c r="L926" i="10"/>
  <c r="L846" i="10"/>
  <c r="L1042" i="10"/>
  <c r="L900" i="10"/>
  <c r="L953" i="10"/>
  <c r="L876" i="10"/>
  <c r="L1056" i="10"/>
  <c r="L1132" i="10"/>
  <c r="L959" i="10"/>
  <c r="L1146" i="10"/>
  <c r="L884" i="10"/>
  <c r="L989" i="10"/>
  <c r="L840" i="10"/>
  <c r="L1099" i="10"/>
  <c r="L812" i="10"/>
  <c r="L1112" i="10"/>
  <c r="L833" i="10"/>
  <c r="L1078" i="10"/>
  <c r="L996" i="10"/>
  <c r="L977" i="10"/>
  <c r="L1125" i="10"/>
  <c r="L906" i="10"/>
  <c r="L1018" i="10"/>
  <c r="L1139" i="10"/>
  <c r="L1073" i="10"/>
  <c r="L937" i="10"/>
  <c r="L1153" i="10"/>
  <c r="L1190" i="10"/>
  <c r="L1053" i="10"/>
  <c r="L1102" i="10"/>
  <c r="L943" i="10"/>
  <c r="L1036" i="10"/>
  <c r="L847" i="10"/>
  <c r="L856" i="10"/>
  <c r="L1089" i="10"/>
  <c r="L1167" i="10"/>
  <c r="L949" i="10"/>
  <c r="L1077" i="10"/>
  <c r="L1064" i="10"/>
  <c r="L867" i="10"/>
  <c r="L1012" i="10"/>
  <c r="L1019" i="10"/>
  <c r="L1115" i="10"/>
  <c r="L919" i="10"/>
  <c r="L898" i="10"/>
  <c r="L820" i="10"/>
  <c r="L1124" i="10"/>
  <c r="L897" i="10"/>
  <c r="L1174" i="10"/>
  <c r="L1180" i="10"/>
  <c r="L969" i="10"/>
  <c r="L1069" i="10"/>
  <c r="L1160" i="10"/>
  <c r="L813" i="10"/>
  <c r="L925" i="10"/>
  <c r="L851" i="10"/>
  <c r="L932" i="10"/>
  <c r="L1123" i="10"/>
  <c r="L870" i="10"/>
  <c r="L1183" i="10"/>
  <c r="L1040" i="10"/>
  <c r="L1108" i="10"/>
  <c r="L1057" i="10"/>
  <c r="L944" i="10"/>
  <c r="L1118" i="10"/>
  <c r="L1070" i="10"/>
  <c r="L1083" i="10"/>
  <c r="L1154" i="10"/>
  <c r="L834" i="10"/>
  <c r="L1095" i="10"/>
  <c r="L923" i="10"/>
  <c r="L1050" i="10"/>
  <c r="L1065" i="10"/>
  <c r="L960" i="10"/>
  <c r="L1177" i="10"/>
  <c r="L1087" i="10"/>
  <c r="L1158" i="10"/>
  <c r="L1060" i="10"/>
  <c r="L895" i="10"/>
  <c r="L1041" i="10"/>
  <c r="L1024" i="10"/>
  <c r="L842" i="10"/>
  <c r="L848" i="10"/>
  <c r="L1066" i="10"/>
  <c r="L966" i="10"/>
  <c r="L952" i="10"/>
  <c r="L871" i="10"/>
  <c r="L1173" i="10"/>
  <c r="L1103" i="10"/>
  <c r="L991" i="10"/>
  <c r="L964" i="10"/>
  <c r="L1145" i="10"/>
  <c r="L899" i="10"/>
  <c r="L836" i="10"/>
  <c r="L828" i="10"/>
  <c r="L1044" i="10"/>
  <c r="L863" i="10"/>
  <c r="L914" i="10"/>
  <c r="L1143" i="10"/>
  <c r="L860" i="10"/>
  <c r="L1189" i="10"/>
  <c r="L1171" i="10"/>
  <c r="L988" i="10"/>
  <c r="L975" i="10"/>
  <c r="L1168" i="10"/>
  <c r="L1144" i="10"/>
  <c r="L955" i="10"/>
  <c r="L821" i="10"/>
  <c r="L1079" i="10"/>
  <c r="L939" i="10"/>
  <c r="L1159" i="10"/>
  <c r="L942" i="10"/>
  <c r="L948" i="10"/>
  <c r="L1076" i="10"/>
  <c r="L877" i="10"/>
  <c r="L922" i="10"/>
  <c r="L815" i="10"/>
  <c r="L905" i="10"/>
  <c r="L1082" i="10"/>
  <c r="L1140" i="10"/>
  <c r="L1152" i="10"/>
  <c r="L1101" i="10"/>
  <c r="L956" i="10"/>
  <c r="L817" i="10"/>
  <c r="L918" i="10"/>
  <c r="L954" i="10"/>
  <c r="L1011" i="10"/>
  <c r="L967" i="10"/>
  <c r="L1137" i="10"/>
  <c r="L864" i="10"/>
  <c r="L1186" i="10"/>
  <c r="L978" i="10"/>
  <c r="L1014" i="10"/>
  <c r="L1043" i="10"/>
  <c r="L908" i="10"/>
  <c r="L1110" i="10"/>
  <c r="L1111" i="10"/>
  <c r="L1023" i="10"/>
  <c r="L1006" i="10"/>
  <c r="L1169" i="10"/>
  <c r="L829" i="10"/>
  <c r="L1157" i="10"/>
  <c r="L1182" i="10"/>
  <c r="L946" i="10"/>
  <c r="L1130" i="10"/>
  <c r="L1172" i="10"/>
  <c r="L911" i="10"/>
  <c r="L1071" i="10"/>
  <c r="L868" i="10"/>
  <c r="L980" i="10"/>
  <c r="L819" i="10"/>
  <c r="L886" i="10"/>
  <c r="L1074" i="10"/>
  <c r="L1075" i="10"/>
  <c r="L888" i="10"/>
  <c r="L1156" i="10"/>
  <c r="L1013" i="10"/>
  <c r="L921" i="10"/>
  <c r="L915" i="10"/>
  <c r="L823" i="10"/>
  <c r="L1035" i="10"/>
  <c r="L933" i="10"/>
  <c r="L1150" i="10"/>
  <c r="L950" i="10"/>
  <c r="L845" i="10"/>
  <c r="L835" i="10"/>
  <c r="L968" i="10"/>
  <c r="L1049" i="10"/>
  <c r="L1097" i="10"/>
  <c r="L1072" i="10"/>
  <c r="L1119" i="10"/>
  <c r="L1026" i="10"/>
  <c r="L917" i="10"/>
  <c r="L1046" i="10"/>
  <c r="L1085" i="10"/>
  <c r="L916" i="10"/>
  <c r="L1107" i="10"/>
  <c r="L929" i="10"/>
  <c r="L865" i="10"/>
  <c r="L1084" i="10"/>
  <c r="L1098" i="10"/>
  <c r="L1080" i="10"/>
  <c r="L839" i="10"/>
  <c r="L983" i="10"/>
  <c r="L1045" i="10"/>
  <c r="L907" i="10"/>
  <c r="L912" i="10"/>
  <c r="L891" i="10"/>
  <c r="L881" i="10"/>
  <c r="L832" i="10"/>
  <c r="L1017" i="10"/>
  <c r="L1109" i="10"/>
  <c r="L1008" i="10"/>
  <c r="L1122" i="10"/>
  <c r="L1093" i="10"/>
  <c r="L1184" i="10"/>
  <c r="L890" i="10"/>
  <c r="L879" i="10"/>
  <c r="L1141" i="10"/>
  <c r="L825" i="10"/>
  <c r="L896" i="10"/>
  <c r="L903" i="10"/>
  <c r="L1025" i="10"/>
  <c r="L1138" i="10"/>
  <c r="L1106" i="10"/>
  <c r="L1117" i="10"/>
  <c r="L858" i="10"/>
  <c r="L951" i="10"/>
  <c r="L1052" i="10"/>
  <c r="L852" i="10"/>
  <c r="L1086" i="10"/>
  <c r="L979" i="10"/>
  <c r="L940" i="10"/>
  <c r="L910" i="10"/>
  <c r="L938" i="10"/>
  <c r="L931" i="10"/>
  <c r="L854" i="10"/>
  <c r="L1002" i="10"/>
  <c r="L1033" i="10"/>
  <c r="L1055" i="10"/>
  <c r="L892" i="10"/>
  <c r="L1126" i="10"/>
  <c r="L1001" i="10"/>
  <c r="L1063" i="10"/>
  <c r="L814" i="10"/>
  <c r="L992" i="10"/>
  <c r="L1088" i="10"/>
  <c r="L1166" i="10"/>
  <c r="L1179" i="10"/>
  <c r="L850" i="10"/>
  <c r="L1134" i="10"/>
  <c r="L1092" i="10"/>
  <c r="L958" i="10"/>
  <c r="L986" i="10"/>
  <c r="L1161" i="10"/>
  <c r="L1133" i="10"/>
  <c r="L893" i="10"/>
  <c r="L935" i="10"/>
  <c r="L1004" i="10"/>
  <c r="L1094" i="10"/>
  <c r="L1155" i="10"/>
  <c r="L849" i="10"/>
  <c r="L1188" i="10"/>
  <c r="L1135" i="10"/>
  <c r="L882" i="10"/>
  <c r="L1162" i="10"/>
  <c r="L1142" i="10"/>
  <c r="L941" i="10"/>
  <c r="L985" i="10"/>
  <c r="L920" i="10"/>
  <c r="L1020" i="10"/>
  <c r="L1175" i="10"/>
  <c r="L1061" i="10"/>
  <c r="L837" i="10"/>
  <c r="L816" i="10"/>
  <c r="L930" i="10"/>
  <c r="L1068" i="10"/>
  <c r="L869" i="10"/>
  <c r="L1131" i="10"/>
  <c r="L995" i="10"/>
  <c r="L963" i="10"/>
  <c r="L999" i="10"/>
  <c r="L1100" i="10"/>
  <c r="L971" i="10"/>
  <c r="L822" i="10"/>
  <c r="L1164" i="10"/>
  <c r="L1059" i="10"/>
  <c r="L1005" i="10"/>
  <c r="L1121" i="10"/>
  <c r="L1170" i="10"/>
  <c r="L875" i="10"/>
  <c r="L902" i="10"/>
  <c r="L1051" i="10"/>
  <c r="L976" i="10"/>
  <c r="L1129" i="10"/>
  <c r="L972" i="10"/>
  <c r="L1032" i="10"/>
  <c r="L1147" i="10"/>
  <c r="L1003" i="10"/>
  <c r="L844" i="10"/>
  <c r="L1096" i="10"/>
  <c r="L1176" i="10"/>
  <c r="L824" i="10"/>
  <c r="L1048" i="10"/>
  <c r="L1062" i="10"/>
  <c r="L1151" i="10"/>
  <c r="L993" i="10"/>
  <c r="L982" i="10"/>
  <c r="L962" i="10"/>
  <c r="L843" i="10"/>
  <c r="L873" i="10"/>
  <c r="L998" i="10"/>
  <c r="L1034" i="10"/>
  <c r="L853" i="10"/>
  <c r="L1149" i="10"/>
  <c r="L913" i="10"/>
  <c r="L1114" i="10"/>
  <c r="L973" i="10"/>
  <c r="L936" i="10"/>
  <c r="L1163" i="10"/>
  <c r="L887" i="10"/>
  <c r="L947" i="10"/>
  <c r="L928" i="10"/>
  <c r="L1010" i="10"/>
  <c r="L872" i="10"/>
  <c r="L1081" i="10"/>
  <c r="L818" i="10"/>
  <c r="L901" i="10"/>
  <c r="L889" i="10"/>
  <c r="L1187" i="10"/>
  <c r="L859" i="10"/>
  <c r="L1058" i="10"/>
  <c r="L934" i="10"/>
  <c r="L1148" i="10"/>
  <c r="L1091" i="10"/>
  <c r="L1181" i="10"/>
  <c r="L974" i="10"/>
  <c r="L961" i="10"/>
  <c r="L874" i="10"/>
  <c r="L909" i="10"/>
  <c r="L826" i="10"/>
  <c r="L957" i="10"/>
  <c r="L984" i="10"/>
  <c r="AL1047" i="10"/>
  <c r="P945" i="10"/>
  <c r="P1108" i="10"/>
  <c r="P1160" i="10"/>
  <c r="P898" i="10"/>
  <c r="P1056" i="10"/>
  <c r="P1019" i="10"/>
  <c r="P1180" i="10"/>
  <c r="P996" i="10"/>
  <c r="P897" i="10"/>
  <c r="P943" i="10"/>
  <c r="P1089" i="10"/>
  <c r="P1007" i="10"/>
  <c r="P1124" i="10"/>
  <c r="P820" i="10"/>
  <c r="P1077" i="10"/>
  <c r="P1123" i="10"/>
  <c r="P1115" i="10"/>
  <c r="P969" i="10"/>
  <c r="P932" i="10"/>
  <c r="P1125" i="10"/>
  <c r="P884" i="10"/>
  <c r="P1112" i="10"/>
  <c r="P1132" i="10"/>
  <c r="P851" i="10"/>
  <c r="P949" i="10"/>
  <c r="P1190" i="10"/>
  <c r="P1139" i="10"/>
  <c r="P876" i="10"/>
  <c r="P977" i="10"/>
  <c r="P1174" i="10"/>
  <c r="P847" i="10"/>
  <c r="P867" i="10"/>
  <c r="P1099" i="10"/>
  <c r="P906" i="10"/>
  <c r="P1167" i="10"/>
  <c r="P1042" i="10"/>
  <c r="P1012" i="10"/>
  <c r="P989" i="10"/>
  <c r="P953" i="10"/>
  <c r="P813" i="10"/>
  <c r="P1073" i="10"/>
  <c r="P1057" i="10"/>
  <c r="P833" i="10"/>
  <c r="P1018" i="10"/>
  <c r="P937" i="10"/>
  <c r="P944" i="10"/>
  <c r="P812" i="10"/>
  <c r="P1069" i="10"/>
  <c r="P919" i="10"/>
  <c r="P1053" i="10"/>
  <c r="P1118" i="10"/>
  <c r="P1036" i="10"/>
  <c r="P1064" i="10"/>
  <c r="P958" i="10"/>
  <c r="P856" i="10"/>
  <c r="P925" i="10"/>
  <c r="P1146" i="10"/>
  <c r="P870" i="10"/>
  <c r="P1170" i="10"/>
  <c r="P1111" i="10"/>
  <c r="P829" i="10"/>
  <c r="P926" i="10"/>
  <c r="P846" i="10"/>
  <c r="P1153" i="10"/>
  <c r="P1078" i="10"/>
  <c r="P840" i="10"/>
  <c r="P832" i="10"/>
  <c r="P839" i="10"/>
  <c r="P1094" i="10"/>
  <c r="P860" i="10"/>
  <c r="P1181" i="10"/>
  <c r="P1070" i="10"/>
  <c r="P866" i="10"/>
  <c r="P1044" i="10"/>
  <c r="P1157" i="10"/>
  <c r="P1102" i="10"/>
  <c r="P1017" i="10"/>
  <c r="P924" i="10"/>
  <c r="P1010" i="10"/>
  <c r="P1083" i="10"/>
  <c r="P986" i="10"/>
  <c r="P1133" i="10"/>
  <c r="P1060" i="10"/>
  <c r="P1183" i="10"/>
  <c r="P900" i="10"/>
  <c r="P1169" i="10"/>
  <c r="P966" i="10"/>
  <c r="P972" i="10"/>
  <c r="P952" i="10"/>
  <c r="P1066" i="10"/>
  <c r="P1021" i="10"/>
  <c r="P946" i="10"/>
  <c r="P1050" i="10"/>
  <c r="P1045" i="10"/>
  <c r="P1023" i="10"/>
  <c r="P891" i="10"/>
  <c r="P834" i="10"/>
  <c r="P1155" i="10"/>
  <c r="P1161" i="10"/>
  <c r="P1092" i="10"/>
  <c r="P1145" i="10"/>
  <c r="P895" i="10"/>
  <c r="P983" i="10"/>
  <c r="P1158" i="10"/>
  <c r="P1103" i="10"/>
  <c r="P1173" i="10"/>
  <c r="P849" i="10"/>
  <c r="P1129" i="10"/>
  <c r="P899" i="10"/>
  <c r="P881" i="10"/>
  <c r="P998" i="10"/>
  <c r="P863" i="10"/>
  <c r="P878" i="10"/>
  <c r="P818" i="10"/>
  <c r="P923" i="10"/>
  <c r="P871" i="10"/>
  <c r="P1189" i="10"/>
  <c r="P843" i="10"/>
  <c r="P1005" i="10"/>
  <c r="P1024" i="10"/>
  <c r="P1154" i="10"/>
  <c r="P1065" i="10"/>
  <c r="P1164" i="10"/>
  <c r="P828" i="10"/>
  <c r="P991" i="10"/>
  <c r="P872" i="10"/>
  <c r="P1147" i="10"/>
  <c r="P901" i="10"/>
  <c r="P964" i="10"/>
  <c r="P882" i="10"/>
  <c r="P836" i="10"/>
  <c r="P984" i="10"/>
  <c r="P1040" i="10"/>
  <c r="P1086" i="10"/>
  <c r="P1004" i="10"/>
  <c r="P1130" i="10"/>
  <c r="P982" i="10"/>
  <c r="P1032" i="10"/>
  <c r="P1034" i="10"/>
  <c r="P842" i="10"/>
  <c r="P1182" i="10"/>
  <c r="P814" i="10"/>
  <c r="P1194" i="10" s="1"/>
  <c r="P935" i="10"/>
  <c r="P907" i="10"/>
  <c r="P979" i="10"/>
  <c r="P1143" i="10"/>
  <c r="P1003" i="10"/>
  <c r="P848" i="10"/>
  <c r="P962" i="10"/>
  <c r="P960" i="10"/>
  <c r="P1095" i="10"/>
  <c r="P914" i="10"/>
  <c r="P911" i="10"/>
  <c r="P997" i="10"/>
  <c r="P947" i="10"/>
  <c r="P852" i="10"/>
  <c r="P931" i="10"/>
  <c r="P1096" i="10"/>
  <c r="P1071" i="10"/>
  <c r="P920" i="10"/>
  <c r="P975" i="10"/>
  <c r="P892" i="10"/>
  <c r="P1150" i="10"/>
  <c r="P1141" i="10"/>
  <c r="P1079" i="10"/>
  <c r="P1175" i="10"/>
  <c r="P938" i="10"/>
  <c r="P1035" i="10"/>
  <c r="P905" i="10"/>
  <c r="P1013" i="10"/>
  <c r="P954" i="10"/>
  <c r="P896" i="10"/>
  <c r="P1002" i="10"/>
  <c r="P917" i="10"/>
  <c r="P1025" i="10"/>
  <c r="P916" i="10"/>
  <c r="P1107" i="10"/>
  <c r="P921" i="10"/>
  <c r="P823" i="10"/>
  <c r="P825" i="10"/>
  <c r="P816" i="10"/>
  <c r="P1106" i="10"/>
  <c r="P1049" i="10"/>
  <c r="P992" i="10"/>
  <c r="P918" i="10"/>
  <c r="P908" i="10"/>
  <c r="P915" i="10"/>
  <c r="P869" i="10"/>
  <c r="P1179" i="10"/>
  <c r="P1100" i="10"/>
  <c r="P1172" i="10"/>
  <c r="P826" i="10"/>
  <c r="P1006" i="10"/>
  <c r="P862" i="10"/>
  <c r="P993" i="10"/>
  <c r="P1134" i="10"/>
  <c r="P1041" i="10"/>
  <c r="P1177" i="10"/>
  <c r="P912" i="10"/>
  <c r="P1121" i="10"/>
  <c r="P1163" i="10"/>
  <c r="P822" i="10"/>
  <c r="P886" i="10"/>
  <c r="P930" i="10"/>
  <c r="P980" i="10"/>
  <c r="P1144" i="10"/>
  <c r="P904" i="10"/>
  <c r="P837" i="10"/>
  <c r="P1184" i="10"/>
  <c r="P875" i="10"/>
  <c r="P1001" i="10"/>
  <c r="P922" i="10"/>
  <c r="P854" i="10"/>
  <c r="P939" i="10"/>
  <c r="P956" i="10"/>
  <c r="P817" i="10"/>
  <c r="P1088" i="10"/>
  <c r="P1140" i="10"/>
  <c r="P887" i="10"/>
  <c r="P1085" i="10"/>
  <c r="P967" i="10"/>
  <c r="P976" i="10"/>
  <c r="P824" i="10"/>
  <c r="P889" i="10"/>
  <c r="P1097" i="10"/>
  <c r="P1084" i="10"/>
  <c r="P929" i="10"/>
  <c r="P865" i="10"/>
  <c r="P971" i="10"/>
  <c r="P861" i="10"/>
  <c r="P909" i="10"/>
  <c r="P1151" i="10"/>
  <c r="P1074" i="10"/>
  <c r="P968" i="10"/>
  <c r="P1159" i="10"/>
  <c r="P1162" i="10"/>
  <c r="P1008" i="10"/>
  <c r="P985" i="10"/>
  <c r="P819" i="10"/>
  <c r="P1168" i="10"/>
  <c r="P1075" i="10"/>
  <c r="P1026" i="10"/>
  <c r="P942" i="10"/>
  <c r="P941" i="10"/>
  <c r="P913" i="10"/>
  <c r="P1166" i="10"/>
  <c r="P1082" i="10"/>
  <c r="P1114" i="10"/>
  <c r="P1068" i="10"/>
  <c r="P903" i="10"/>
  <c r="P1186" i="10"/>
  <c r="P973" i="10"/>
  <c r="P1043" i="10"/>
  <c r="P1119" i="10"/>
  <c r="P1080" i="10"/>
  <c r="P850" i="10"/>
  <c r="P1052" i="10"/>
  <c r="P1014" i="10"/>
  <c r="P957" i="10"/>
  <c r="P853" i="10"/>
  <c r="P928" i="10"/>
  <c r="P927" i="10"/>
  <c r="P838" i="10"/>
  <c r="P1105" i="10"/>
  <c r="P1062" i="10"/>
  <c r="P1128" i="10"/>
  <c r="P880" i="10"/>
  <c r="P990" i="10"/>
  <c r="P1127" i="10"/>
  <c r="P841" i="10"/>
  <c r="P1156" i="10"/>
  <c r="P877" i="10"/>
  <c r="P890" i="10"/>
  <c r="P940" i="10"/>
  <c r="P1171" i="10"/>
  <c r="P955" i="10"/>
  <c r="P1093" i="10"/>
  <c r="P1122" i="10"/>
  <c r="P1149" i="10"/>
  <c r="P1055" i="10"/>
  <c r="P910" i="10"/>
  <c r="P879" i="10"/>
  <c r="P815" i="10"/>
  <c r="P1011" i="10"/>
  <c r="P1051" i="10"/>
  <c r="P1072" i="10"/>
  <c r="P1152" i="10"/>
  <c r="P902" i="10"/>
  <c r="P963" i="10"/>
  <c r="P1131" i="10"/>
  <c r="P1048" i="10"/>
  <c r="P845" i="10"/>
  <c r="P1046" i="10"/>
  <c r="P951" i="10"/>
  <c r="P999" i="10"/>
  <c r="P936" i="10"/>
  <c r="P1109" i="10"/>
  <c r="P1059" i="10"/>
  <c r="AA1057" i="10"/>
  <c r="AA1089" i="10"/>
  <c r="AA949" i="10"/>
  <c r="AA813" i="10"/>
  <c r="AA876" i="10"/>
  <c r="AA1115" i="10"/>
  <c r="AA1069" i="10"/>
  <c r="AA944" i="10"/>
  <c r="AA846" i="10"/>
  <c r="AA1018" i="10"/>
  <c r="AA900" i="10"/>
  <c r="AA898" i="10"/>
  <c r="AA1124" i="10"/>
  <c r="AA958" i="10"/>
  <c r="AA1132" i="10"/>
  <c r="AA897" i="10"/>
  <c r="AA959" i="10"/>
  <c r="AA1135" i="10"/>
  <c r="AA1087" i="10"/>
  <c r="AA1034" i="10"/>
  <c r="AA884" i="10"/>
  <c r="AA814" i="10"/>
  <c r="AA1194" i="10" s="1"/>
  <c r="AA991" i="10"/>
  <c r="AA971" i="10"/>
  <c r="AA1178" i="10"/>
  <c r="AA870" i="10"/>
  <c r="AA1099" i="10"/>
  <c r="AA1090" i="10"/>
  <c r="AA873" i="10"/>
  <c r="AA834" i="10"/>
  <c r="AA1161" i="10"/>
  <c r="AA1003" i="10"/>
  <c r="AA828" i="10"/>
  <c r="AA1050" i="10"/>
  <c r="AA906" i="10"/>
  <c r="AA1180" i="10"/>
  <c r="AA1188" i="10"/>
  <c r="AA979" i="10"/>
  <c r="AA960" i="10"/>
  <c r="AA829" i="10"/>
  <c r="AA1094" i="10"/>
  <c r="AA952" i="10"/>
  <c r="AA860" i="10"/>
  <c r="AA881" i="10"/>
  <c r="AA924" i="10"/>
  <c r="AA1111" i="10"/>
  <c r="AA1083" i="10"/>
  <c r="AA1086" i="10"/>
  <c r="AA891" i="10"/>
  <c r="AA1065" i="10"/>
  <c r="AA935" i="10"/>
  <c r="AA1004" i="10"/>
  <c r="AA982" i="10"/>
  <c r="AA893" i="10"/>
  <c r="AA984" i="10"/>
  <c r="AA1157" i="10"/>
  <c r="AA1173" i="10"/>
  <c r="AA882" i="10"/>
  <c r="AA895" i="10"/>
  <c r="AA1040" i="10"/>
  <c r="AA842" i="10"/>
  <c r="AA1059" i="10"/>
  <c r="AA862" i="10"/>
  <c r="AA1041" i="10"/>
  <c r="AA1045" i="10"/>
  <c r="AA1023" i="10"/>
  <c r="AA946" i="10"/>
  <c r="AA863" i="10"/>
  <c r="AA997" i="10"/>
  <c r="AA822" i="10"/>
  <c r="AA912" i="10"/>
  <c r="AA1130" i="10"/>
  <c r="AA1066" i="10"/>
  <c r="AA1134" i="10"/>
  <c r="AA983" i="10"/>
  <c r="AA839" i="10"/>
  <c r="AA861" i="10"/>
  <c r="AA923" i="10"/>
  <c r="AA964" i="10"/>
  <c r="AA871" i="10"/>
  <c r="AA966" i="10"/>
  <c r="AA836" i="10"/>
  <c r="AA972" i="10"/>
  <c r="AA1145" i="10"/>
  <c r="AA849" i="10"/>
  <c r="AA962" i="10"/>
  <c r="AA909" i="10"/>
  <c r="AA899" i="10"/>
  <c r="AA1070" i="10"/>
  <c r="AA1183" i="10"/>
  <c r="AA1006" i="10"/>
  <c r="AA1024" i="10"/>
  <c r="AA1177" i="10"/>
  <c r="AA1189" i="10"/>
  <c r="AA853" i="10"/>
  <c r="AA901" i="10"/>
  <c r="AA1182" i="10"/>
  <c r="AA1017" i="10"/>
  <c r="AA1133" i="10"/>
  <c r="AA986" i="10"/>
  <c r="AA832" i="10"/>
  <c r="AA1121" i="10"/>
  <c r="AA907" i="10"/>
  <c r="AA1143" i="10"/>
  <c r="AA1187" i="10"/>
  <c r="AA928" i="10"/>
  <c r="AA1005" i="10"/>
  <c r="AA878" i="10"/>
  <c r="AA852" i="10"/>
  <c r="AA1151" i="10"/>
  <c r="AA1129" i="10"/>
  <c r="AA844" i="10"/>
  <c r="AA1008" i="10"/>
  <c r="AA985" i="10"/>
  <c r="AA1020" i="10"/>
  <c r="AA939" i="10"/>
  <c r="AA938" i="10"/>
  <c r="AA910" i="10"/>
  <c r="AA1176" i="10"/>
  <c r="AA1075" i="10"/>
  <c r="AA1076" i="10"/>
  <c r="AA955" i="10"/>
  <c r="AA942" i="10"/>
  <c r="AA1159" i="10"/>
  <c r="AA975" i="10"/>
  <c r="AA902" i="10"/>
  <c r="AA890" i="10"/>
  <c r="AA1071" i="10"/>
  <c r="AA956" i="10"/>
  <c r="AA992" i="10"/>
  <c r="AA889" i="10"/>
  <c r="AA976" i="10"/>
  <c r="AA1001" i="10"/>
  <c r="AA1166" i="10"/>
  <c r="AA1063" i="10"/>
  <c r="AA824" i="10"/>
  <c r="AA879" i="10"/>
  <c r="AA916" i="10"/>
  <c r="AA1055" i="10"/>
  <c r="AA950" i="10"/>
  <c r="AA858" i="10"/>
  <c r="AA1082" i="10"/>
  <c r="AA869" i="10"/>
  <c r="AA850" i="10"/>
  <c r="AA1084" i="10"/>
  <c r="AA999" i="10"/>
  <c r="AA1014" i="10"/>
  <c r="AA1092" i="10"/>
  <c r="AA885" i="10"/>
  <c r="AA1032" i="10"/>
  <c r="AA1060" i="10"/>
  <c r="AA1155" i="10"/>
  <c r="AA1010" i="10"/>
  <c r="AA818" i="10"/>
  <c r="AA1158" i="10"/>
  <c r="AA998" i="10"/>
  <c r="AA859" i="10"/>
  <c r="AA826" i="10"/>
  <c r="AA947" i="10"/>
  <c r="AA1109" i="10"/>
  <c r="AA1147" i="10"/>
  <c r="AA821" i="10"/>
  <c r="AA854" i="10"/>
  <c r="AA1156" i="10"/>
  <c r="AA1093" i="10"/>
  <c r="AA988" i="10"/>
  <c r="AA980" i="10"/>
  <c r="AA874" i="10"/>
  <c r="AA1168" i="10"/>
  <c r="AA922" i="10"/>
  <c r="AA921" i="10"/>
  <c r="AA1184" i="10"/>
  <c r="AA1144" i="10"/>
  <c r="AA915" i="10"/>
  <c r="AA1119" i="10"/>
  <c r="AA995" i="10"/>
  <c r="AA825" i="10"/>
  <c r="AA816" i="10"/>
  <c r="AA1101" i="10"/>
  <c r="AA1131" i="10"/>
  <c r="AA1106" i="10"/>
  <c r="AA835" i="10"/>
  <c r="AA1107" i="10"/>
  <c r="AA908" i="10"/>
  <c r="AA1179" i="10"/>
  <c r="AA1100" i="10"/>
  <c r="AA1052" i="10"/>
  <c r="AA1154" i="10"/>
  <c r="AA1103" i="10"/>
  <c r="AA1170" i="10"/>
  <c r="AA843" i="10"/>
  <c r="AA1172" i="10"/>
  <c r="AA1164" i="10"/>
  <c r="AA1096" i="10"/>
  <c r="AA905" i="10"/>
  <c r="AA886" i="10"/>
  <c r="AA1141" i="10"/>
  <c r="AA1074" i="10"/>
  <c r="AA1117" i="10"/>
  <c r="AA1035" i="10"/>
  <c r="AA1043" i="10"/>
  <c r="AA948" i="10"/>
  <c r="AA1026" i="10"/>
  <c r="AA930" i="10"/>
  <c r="AA1122" i="10"/>
  <c r="AA1046" i="10"/>
  <c r="AA845" i="10"/>
  <c r="AA823" i="10"/>
  <c r="AA967" i="10"/>
  <c r="AA1048" i="10"/>
  <c r="AA973" i="10"/>
  <c r="AA817" i="10"/>
  <c r="AA1079" i="10"/>
  <c r="AA1138" i="10"/>
  <c r="AA963" i="10"/>
  <c r="AA1068" i="10"/>
  <c r="AA1110" i="10"/>
  <c r="AA951" i="10"/>
  <c r="AA990" i="10"/>
  <c r="AA934" i="10"/>
  <c r="AA981" i="10"/>
  <c r="AA1116" i="10"/>
  <c r="AA1000" i="10"/>
  <c r="AA880" i="10"/>
  <c r="AA1185" i="10"/>
  <c r="AA993" i="10"/>
  <c r="AA1169" i="10"/>
  <c r="AA911" i="10"/>
  <c r="AA1163" i="10"/>
  <c r="AA1021" i="10"/>
  <c r="AA848" i="10"/>
  <c r="AA940" i="10"/>
  <c r="AA892" i="10"/>
  <c r="AA1013" i="10"/>
  <c r="AA837" i="10"/>
  <c r="AA868" i="10"/>
  <c r="AA877" i="10"/>
  <c r="AA875" i="10"/>
  <c r="AA1171" i="10"/>
  <c r="AA904" i="10"/>
  <c r="AA954" i="10"/>
  <c r="AA1085" i="10"/>
  <c r="AA819" i="10"/>
  <c r="AA1061" i="10"/>
  <c r="AA1011" i="10"/>
  <c r="AA1097" i="10"/>
  <c r="AA896" i="10"/>
  <c r="AA918" i="10"/>
  <c r="AA1152" i="10"/>
  <c r="AA1025" i="10"/>
  <c r="AA1051" i="10"/>
  <c r="AA1033" i="10"/>
  <c r="AA1186" i="10"/>
  <c r="AA1080" i="10"/>
  <c r="AA936" i="10"/>
  <c r="AA929" i="10"/>
  <c r="AA1098" i="10"/>
  <c r="J1188" i="10"/>
  <c r="J964" i="10"/>
  <c r="J1170" i="10"/>
  <c r="J895" i="10"/>
  <c r="J1111" i="10"/>
  <c r="J1045" i="10"/>
  <c r="J935" i="10"/>
  <c r="BB244" i="10"/>
  <c r="BC244" i="10" s="1"/>
  <c r="J1173" i="10"/>
  <c r="J1133" i="10"/>
  <c r="J836" i="10"/>
  <c r="J1021" i="10"/>
  <c r="J882" i="10"/>
  <c r="J1060" i="10"/>
  <c r="J1164" i="10"/>
  <c r="J914" i="10"/>
  <c r="J984" i="10"/>
  <c r="J1010" i="10"/>
  <c r="J883" i="10"/>
  <c r="J1009" i="10"/>
  <c r="AQ1062" i="10"/>
  <c r="K981" i="10"/>
  <c r="M864" i="10"/>
  <c r="AK934" i="10"/>
  <c r="V857" i="10"/>
  <c r="AT934" i="10"/>
  <c r="N934" i="10"/>
  <c r="AG1058" i="10"/>
  <c r="AN855" i="10"/>
  <c r="AK1185" i="10"/>
  <c r="L981" i="10"/>
  <c r="AR1009" i="10"/>
  <c r="S1009" i="10"/>
  <c r="Q1058" i="10"/>
  <c r="Y1091" i="10"/>
  <c r="AB880" i="10"/>
  <c r="AU1231" i="10"/>
  <c r="Z994" i="10"/>
  <c r="AB987" i="10"/>
  <c r="AS994" i="10"/>
  <c r="AD1136" i="10"/>
  <c r="V1105" i="10"/>
  <c r="Z965" i="10"/>
  <c r="O965" i="10"/>
  <c r="AE831" i="10"/>
  <c r="AK880" i="10"/>
  <c r="U1113" i="10"/>
  <c r="M990" i="10"/>
  <c r="M880" i="10"/>
  <c r="J1135" i="10"/>
  <c r="J960" i="10"/>
  <c r="J1050" i="10"/>
  <c r="J1183" i="10"/>
  <c r="J966" i="10"/>
  <c r="J1177" i="10"/>
  <c r="J972" i="10"/>
  <c r="J952" i="10"/>
  <c r="J946" i="10"/>
  <c r="J849" i="10"/>
  <c r="J1032" i="10"/>
  <c r="J962" i="10"/>
  <c r="J986" i="10"/>
  <c r="J1129" i="10"/>
  <c r="J928" i="10"/>
  <c r="J1081" i="10"/>
  <c r="J818" i="10"/>
  <c r="J841" i="10"/>
  <c r="J970" i="10"/>
  <c r="J1091" i="10"/>
  <c r="J1058" i="10"/>
  <c r="J1062" i="10"/>
  <c r="AJ855" i="10"/>
  <c r="AD1062" i="10"/>
  <c r="AM855" i="10"/>
  <c r="AO864" i="10"/>
  <c r="AB857" i="10"/>
  <c r="AC934" i="10"/>
  <c r="V934" i="10"/>
  <c r="AL1009" i="10"/>
  <c r="T1091" i="10"/>
  <c r="AW981" i="10"/>
  <c r="AW1381" i="10" s="1"/>
  <c r="Q1009" i="10"/>
  <c r="AX855" i="10"/>
  <c r="AX1255" i="10" s="1"/>
  <c r="AK1091" i="10"/>
  <c r="K894" i="10"/>
  <c r="AJ1067" i="10"/>
  <c r="AW894" i="10"/>
  <c r="AW1294" i="10" s="1"/>
  <c r="AT994" i="10"/>
  <c r="AM987" i="10"/>
  <c r="AJ1091" i="10"/>
  <c r="AM831" i="10"/>
  <c r="AW1000" i="10"/>
  <c r="AW1400" i="10" s="1"/>
  <c r="AR1000" i="10"/>
  <c r="W965" i="10"/>
  <c r="N831" i="10"/>
  <c r="AP970" i="10"/>
  <c r="AQ1067" i="10"/>
  <c r="AE987" i="10"/>
  <c r="U1027" i="10"/>
  <c r="N880" i="10"/>
  <c r="AO838" i="10"/>
  <c r="V838" i="10"/>
  <c r="AT1067" i="10"/>
  <c r="AV1136" i="10"/>
  <c r="AV1536" i="10" s="1"/>
  <c r="AP1136" i="10"/>
  <c r="AL1148" i="10"/>
  <c r="AB1148" i="10"/>
  <c r="R961" i="10"/>
  <c r="Z830" i="10"/>
  <c r="AN974" i="10"/>
  <c r="M1165" i="10"/>
  <c r="L1128" i="10"/>
  <c r="Z990" i="10"/>
  <c r="Q841" i="10"/>
  <c r="M1116" i="10"/>
  <c r="AB1116" i="10"/>
  <c r="S830" i="10"/>
  <c r="AJ1047" i="10"/>
  <c r="Y1120" i="10"/>
  <c r="AS1128" i="10"/>
  <c r="AV1128" i="10"/>
  <c r="AV1528" i="10" s="1"/>
  <c r="V927" i="10"/>
  <c r="AM1127" i="10"/>
  <c r="AM828" i="10"/>
  <c r="AA827" i="10"/>
  <c r="AR1127" i="10"/>
  <c r="AR859" i="10"/>
  <c r="N1062" i="10"/>
  <c r="O1009" i="10"/>
  <c r="K864" i="10"/>
  <c r="AI864" i="10"/>
  <c r="K1185" i="10"/>
  <c r="AJ857" i="10"/>
  <c r="AL934" i="10"/>
  <c r="S981" i="10"/>
  <c r="P981" i="10"/>
  <c r="AX994" i="10"/>
  <c r="AX1394" i="10" s="1"/>
  <c r="AW1185" i="10"/>
  <c r="AW1585" i="10" s="1"/>
  <c r="Y981" i="10"/>
  <c r="AW855" i="10"/>
  <c r="AW1255" i="10" s="1"/>
  <c r="AS1058" i="10"/>
  <c r="AE880" i="10"/>
  <c r="T894" i="10"/>
  <c r="J894" i="10"/>
  <c r="N1091" i="10"/>
  <c r="O994" i="10"/>
  <c r="AC1105" i="10"/>
  <c r="AA1105" i="10"/>
  <c r="AP965" i="10"/>
  <c r="T965" i="10"/>
  <c r="AX831" i="10"/>
  <c r="AX1231" i="10" s="1"/>
  <c r="Z1136" i="10"/>
  <c r="AL1067" i="10"/>
  <c r="AN1000" i="10"/>
  <c r="AN880" i="10"/>
  <c r="S838" i="10"/>
  <c r="AX1067" i="10"/>
  <c r="AX1467" i="10" s="1"/>
  <c r="AC1136" i="10"/>
  <c r="AV1148" i="10"/>
  <c r="AV1548" i="10" s="1"/>
  <c r="AX1165" i="10"/>
  <c r="AX1565" i="10" s="1"/>
  <c r="J1090" i="10"/>
  <c r="J1066" i="10"/>
  <c r="J1041" i="10"/>
  <c r="J1070" i="10"/>
  <c r="J881" i="10"/>
  <c r="J983" i="10"/>
  <c r="J871" i="10"/>
  <c r="J1154" i="10"/>
  <c r="J832" i="10"/>
  <c r="J1158" i="10"/>
  <c r="J1044" i="10"/>
  <c r="J1157" i="10"/>
  <c r="J1004" i="10"/>
  <c r="J1034" i="10"/>
  <c r="J1094" i="10"/>
  <c r="J860" i="10"/>
  <c r="J1163" i="10"/>
  <c r="J1121" i="10"/>
  <c r="J997" i="10"/>
  <c r="J843" i="10"/>
  <c r="J971" i="10"/>
  <c r="J911" i="10"/>
  <c r="J993" i="10"/>
  <c r="J1151" i="10"/>
  <c r="J852" i="10"/>
  <c r="J957" i="10"/>
  <c r="J1120" i="10"/>
  <c r="J1116" i="10"/>
  <c r="J990" i="10"/>
  <c r="J1148" i="10"/>
  <c r="J965" i="10"/>
  <c r="J1105" i="10"/>
  <c r="J1067" i="10"/>
  <c r="J981" i="10"/>
  <c r="J1185" i="10"/>
  <c r="AV981" i="10"/>
  <c r="AV1381" i="10" s="1"/>
  <c r="AL1062" i="10"/>
  <c r="AK1062" i="10"/>
  <c r="W1062" i="10"/>
  <c r="AX864" i="10"/>
  <c r="AX1264" i="10" s="1"/>
  <c r="T1185" i="10"/>
  <c r="AT864" i="10"/>
  <c r="U857" i="10"/>
  <c r="AD1185" i="10"/>
  <c r="AQ994" i="10"/>
  <c r="AR981" i="10"/>
  <c r="AH981" i="10"/>
  <c r="P934" i="10"/>
  <c r="AG994" i="10"/>
  <c r="AW1009" i="10"/>
  <c r="AW1409" i="10" s="1"/>
  <c r="V1113" i="10"/>
  <c r="AT1185" i="10"/>
  <c r="AO855" i="10"/>
  <c r="Z981" i="10"/>
  <c r="AU1409" i="10"/>
  <c r="V981" i="10"/>
  <c r="L1009" i="10"/>
  <c r="AR855" i="10"/>
  <c r="AQ855" i="10"/>
  <c r="AP1058" i="10"/>
  <c r="N1058" i="10"/>
  <c r="AC831" i="10"/>
  <c r="AU1294" i="10"/>
  <c r="Y1105" i="10"/>
  <c r="Y880" i="10"/>
  <c r="S894" i="10"/>
  <c r="AL994" i="10"/>
  <c r="AB831" i="10"/>
  <c r="T880" i="10"/>
  <c r="P1091" i="10"/>
  <c r="V1091" i="10"/>
  <c r="Y894" i="10"/>
  <c r="AE1113" i="10"/>
  <c r="AK1105" i="10"/>
  <c r="Y987" i="10"/>
  <c r="O1000" i="10"/>
  <c r="AE965" i="10"/>
  <c r="AX965" i="10"/>
  <c r="AX1365" i="10" s="1"/>
  <c r="AH1105" i="10"/>
  <c r="O841" i="10"/>
  <c r="M1136" i="10"/>
  <c r="M831" i="10"/>
  <c r="AC1067" i="10"/>
  <c r="R1000" i="10"/>
  <c r="AK987" i="10"/>
  <c r="W1027" i="10"/>
  <c r="W880" i="10"/>
  <c r="AT880" i="10"/>
  <c r="AB838" i="10"/>
  <c r="AD838" i="10"/>
  <c r="AI838" i="10"/>
  <c r="M1000" i="10"/>
  <c r="U987" i="10"/>
  <c r="AI961" i="10"/>
  <c r="L1136" i="10"/>
  <c r="AX1148" i="10"/>
  <c r="AX1548" i="10" s="1"/>
  <c r="AA1148" i="10"/>
  <c r="AW1148" i="10"/>
  <c r="AW1548" i="10" s="1"/>
  <c r="K1136" i="10"/>
  <c r="K841" i="10"/>
  <c r="K974" i="10"/>
  <c r="AI1116" i="10"/>
  <c r="AS1165" i="10"/>
  <c r="M974" i="10"/>
  <c r="AO990" i="10"/>
  <c r="AB970" i="10"/>
  <c r="AT990" i="10"/>
  <c r="W841" i="10"/>
  <c r="N1116" i="10"/>
  <c r="AL1116" i="10"/>
  <c r="U970" i="10"/>
  <c r="AI830" i="10"/>
  <c r="AV883" i="10"/>
  <c r="AV1283" i="10" s="1"/>
  <c r="Z883" i="10"/>
  <c r="N1120" i="10"/>
  <c r="AR1120" i="10"/>
  <c r="AL1120" i="10"/>
  <c r="AT1128" i="10"/>
  <c r="AU1528" i="10"/>
  <c r="AM1128" i="10"/>
  <c r="AL927" i="10"/>
  <c r="AC927" i="10"/>
  <c r="N852" i="10"/>
  <c r="AD852" i="10"/>
  <c r="M852" i="10"/>
  <c r="K1181" i="10"/>
  <c r="AH1127" i="10"/>
  <c r="AG859" i="10"/>
  <c r="AB859" i="10"/>
  <c r="M1185" i="10"/>
  <c r="AA1009" i="10"/>
  <c r="AM857" i="10"/>
  <c r="AD855" i="10"/>
  <c r="U864" i="10"/>
  <c r="AL855" i="10"/>
  <c r="O857" i="10"/>
  <c r="O1185" i="10"/>
  <c r="AL857" i="10"/>
  <c r="AK1058" i="10"/>
  <c r="P994" i="10"/>
  <c r="AU1381" i="10"/>
  <c r="AX934" i="10"/>
  <c r="AX1334" i="10" s="1"/>
  <c r="AE1185" i="10"/>
  <c r="AK855" i="10"/>
  <c r="L855" i="10"/>
  <c r="AR1091" i="10"/>
  <c r="AH934" i="10"/>
  <c r="U981" i="10"/>
  <c r="U1058" i="10"/>
  <c r="AU1458" i="10"/>
  <c r="AP974" i="10"/>
  <c r="AC880" i="10"/>
  <c r="R894" i="10"/>
  <c r="AQ831" i="10"/>
  <c r="AH1091" i="10"/>
  <c r="AW1091" i="10"/>
  <c r="AW1491" i="10" s="1"/>
  <c r="AT1091" i="10"/>
  <c r="Q994" i="10"/>
  <c r="AH1165" i="10"/>
  <c r="W1136" i="10"/>
  <c r="AS1105" i="10"/>
  <c r="P965" i="10"/>
  <c r="AW965" i="10"/>
  <c r="AW1365" i="10" s="1"/>
  <c r="M1105" i="10"/>
  <c r="N1165" i="10"/>
  <c r="AQ830" i="10"/>
  <c r="Q1113" i="10"/>
  <c r="AK1067" i="10"/>
  <c r="AP880" i="10"/>
  <c r="Z880" i="10"/>
  <c r="T838" i="10"/>
  <c r="AM838" i="10"/>
  <c r="AN1113" i="10"/>
  <c r="AU1387" i="10"/>
  <c r="T961" i="10"/>
  <c r="Q961" i="10"/>
  <c r="AM1148" i="10"/>
  <c r="W830" i="10"/>
  <c r="AC1165" i="10"/>
  <c r="AT974" i="10"/>
  <c r="T1165" i="10"/>
  <c r="AI1165" i="10"/>
  <c r="Q990" i="10"/>
  <c r="AD970" i="10"/>
  <c r="O990" i="10"/>
  <c r="AR841" i="10"/>
  <c r="L970" i="10"/>
  <c r="Y1116" i="10"/>
  <c r="AS883" i="10"/>
  <c r="AD883" i="10"/>
  <c r="AB883" i="10"/>
  <c r="AM1120" i="10"/>
  <c r="AH1120" i="10"/>
  <c r="AI1128" i="10"/>
  <c r="AH1128" i="10"/>
  <c r="AJ927" i="10"/>
  <c r="AQ859" i="10"/>
  <c r="K827" i="10"/>
  <c r="AG827" i="10"/>
  <c r="AB852" i="10"/>
  <c r="Y1181" i="10"/>
  <c r="AT859" i="10"/>
  <c r="K859" i="10"/>
  <c r="AA1062" i="10"/>
  <c r="M1009" i="10"/>
  <c r="K857" i="10"/>
  <c r="AE864" i="10"/>
  <c r="AA855" i="10"/>
  <c r="M857" i="10"/>
  <c r="AV1185" i="10"/>
  <c r="AV1585" i="10" s="1"/>
  <c r="AI994" i="10"/>
  <c r="AF994" i="10"/>
  <c r="N994" i="10"/>
  <c r="Q1185" i="10"/>
  <c r="N981" i="10"/>
  <c r="AO981" i="10"/>
  <c r="S934" i="10"/>
  <c r="AX1009" i="10"/>
  <c r="AX1409" i="10" s="1"/>
  <c r="AT1058" i="10"/>
  <c r="AG831" i="10"/>
  <c r="AP1067" i="10"/>
  <c r="AI894" i="10"/>
  <c r="AK894" i="10"/>
  <c r="AT987" i="10"/>
  <c r="Y831" i="10"/>
  <c r="AM880" i="10"/>
  <c r="AD1165" i="10"/>
  <c r="AW1105" i="10"/>
  <c r="AW1505" i="10" s="1"/>
  <c r="L965" i="10"/>
  <c r="AM965" i="10"/>
  <c r="U1105" i="10"/>
  <c r="U831" i="10"/>
  <c r="AN831" i="10"/>
  <c r="AF961" i="10"/>
  <c r="AW1113" i="10"/>
  <c r="AW1513" i="10" s="1"/>
  <c r="T1000" i="10"/>
  <c r="AB1027" i="10"/>
  <c r="AQ880" i="10"/>
  <c r="AT838" i="10"/>
  <c r="AO1067" i="10"/>
  <c r="P1000" i="10"/>
  <c r="P961" i="10"/>
  <c r="O1136" i="10"/>
  <c r="AJ1148" i="10"/>
  <c r="AI1136" i="10"/>
  <c r="AL961" i="10"/>
  <c r="AF1165" i="10"/>
  <c r="AD830" i="10"/>
  <c r="AV1165" i="10"/>
  <c r="AV1565" i="10" s="1"/>
  <c r="AG974" i="10"/>
  <c r="W974" i="10"/>
  <c r="AB1165" i="10"/>
  <c r="K970" i="10"/>
  <c r="AF970" i="10"/>
  <c r="AO841" i="10"/>
  <c r="AH841" i="10"/>
  <c r="AP1116" i="10"/>
  <c r="AT1116" i="10"/>
  <c r="S970" i="10"/>
  <c r="AU1230" i="10"/>
  <c r="V883" i="10"/>
  <c r="AO830" i="10"/>
  <c r="P1120" i="10"/>
  <c r="W1120" i="10"/>
  <c r="W1047" i="10"/>
  <c r="AR1128" i="10"/>
  <c r="AL1127" i="10"/>
  <c r="AK927" i="10"/>
  <c r="Q927" i="10"/>
  <c r="U859" i="10"/>
  <c r="AC852" i="10"/>
  <c r="AU1252" i="10"/>
  <c r="V957" i="10"/>
  <c r="N1127" i="10"/>
  <c r="J859" i="10"/>
  <c r="P855" i="10"/>
  <c r="AP1009" i="10"/>
  <c r="AS1062" i="10"/>
  <c r="AH864" i="10"/>
  <c r="Z855" i="10"/>
  <c r="AF857" i="10"/>
  <c r="AX857" i="10"/>
  <c r="AX1257" i="10" s="1"/>
  <c r="V994" i="10"/>
  <c r="AI934" i="10"/>
  <c r="R934" i="10"/>
  <c r="AC1009" i="10"/>
  <c r="AM1185" i="10"/>
  <c r="M981" i="10"/>
  <c r="AJ994" i="10"/>
  <c r="AV1009" i="10"/>
  <c r="AV1409" i="10" s="1"/>
  <c r="AV855" i="10"/>
  <c r="AV1255" i="10" s="1"/>
  <c r="Y855" i="10"/>
  <c r="AX1091" i="10"/>
  <c r="AX1491" i="10" s="1"/>
  <c r="W1058" i="10"/>
  <c r="AK831" i="10"/>
  <c r="Y990" i="10"/>
  <c r="AX880" i="10"/>
  <c r="AX1280" i="10" s="1"/>
  <c r="AT894" i="10"/>
  <c r="AI831" i="10"/>
  <c r="Z1091" i="10"/>
  <c r="AV987" i="10"/>
  <c r="AV1387" i="10" s="1"/>
  <c r="AP1091" i="10"/>
  <c r="AE994" i="10"/>
  <c r="AW987" i="10"/>
  <c r="AW1387" i="10" s="1"/>
  <c r="AE1105" i="10"/>
  <c r="AO1000" i="10"/>
  <c r="AG965" i="10"/>
  <c r="AQ965" i="10"/>
  <c r="AO965" i="10"/>
  <c r="N1136" i="10"/>
  <c r="AJ1165" i="10"/>
  <c r="AK1113" i="10"/>
  <c r="K880" i="10"/>
  <c r="AP838" i="10"/>
  <c r="N838" i="10"/>
  <c r="N1067" i="10"/>
  <c r="AS987" i="10"/>
  <c r="AU1536" i="10"/>
  <c r="T1136" i="10"/>
  <c r="AE1148" i="10"/>
  <c r="AF1148" i="10"/>
  <c r="J1136" i="10"/>
  <c r="AK830" i="10"/>
  <c r="AH974" i="10"/>
  <c r="O1116" i="10"/>
  <c r="AL1165" i="10"/>
  <c r="AX1128" i="10"/>
  <c r="AX1528" i="10" s="1"/>
  <c r="AB841" i="10"/>
  <c r="AE841" i="10"/>
  <c r="AH970" i="10"/>
  <c r="AG970" i="10"/>
  <c r="O830" i="10"/>
  <c r="AE883" i="10"/>
  <c r="N830" i="10"/>
  <c r="AX1120" i="10"/>
  <c r="AX1520" i="10" s="1"/>
  <c r="N1047" i="10"/>
  <c r="AO1128" i="10"/>
  <c r="AF927" i="10"/>
  <c r="O927" i="10"/>
  <c r="R1127" i="10"/>
  <c r="AK852" i="10"/>
  <c r="W827" i="10"/>
  <c r="U852" i="10"/>
  <c r="Q1181" i="10"/>
  <c r="K1127" i="10"/>
  <c r="AO859" i="10"/>
  <c r="AD859" i="10"/>
  <c r="M1147" i="10"/>
  <c r="Y844" i="10"/>
  <c r="AE885" i="10"/>
  <c r="AP957" i="10"/>
  <c r="AN859" i="10"/>
  <c r="AN850" i="10"/>
  <c r="AN865" i="10"/>
  <c r="AN1110" i="10"/>
  <c r="AN1179" i="10"/>
  <c r="AN887" i="10"/>
  <c r="AN1126" i="10"/>
  <c r="AN913" i="10"/>
  <c r="AN963" i="10"/>
  <c r="AN992" i="10"/>
  <c r="AN1068" i="10"/>
  <c r="AN917" i="10"/>
  <c r="AN1048" i="10"/>
  <c r="AN823" i="10"/>
  <c r="AN967" i="10"/>
  <c r="AN973" i="10"/>
  <c r="AN886" i="10"/>
  <c r="AN905" i="10"/>
  <c r="AN837" i="10"/>
  <c r="AN819" i="10"/>
  <c r="AN968" i="10"/>
  <c r="AN942" i="10"/>
  <c r="AN1071" i="10"/>
  <c r="AN1074" i="10"/>
  <c r="AN939" i="10"/>
  <c r="AN1079" i="10"/>
  <c r="AJ826" i="10"/>
  <c r="W1181" i="10"/>
  <c r="AI844" i="10"/>
  <c r="K1063" i="10"/>
  <c r="K1179" i="10"/>
  <c r="K1080" i="10"/>
  <c r="K1046" i="10"/>
  <c r="K1131" i="10"/>
  <c r="K879" i="10"/>
  <c r="K1138" i="10"/>
  <c r="K995" i="10"/>
  <c r="K1152" i="10"/>
  <c r="K889" i="10"/>
  <c r="K815" i="10"/>
  <c r="K1140" i="10"/>
  <c r="K921" i="10"/>
  <c r="K1171" i="10"/>
  <c r="K980" i="10"/>
  <c r="K823" i="10"/>
  <c r="K938" i="10"/>
  <c r="K1159" i="10"/>
  <c r="K922" i="10"/>
  <c r="K1076" i="10"/>
  <c r="K1093" i="10"/>
  <c r="K940" i="10"/>
  <c r="K877" i="10"/>
  <c r="K1055" i="10"/>
  <c r="K988" i="10"/>
  <c r="K904" i="10"/>
  <c r="AQ1179" i="10"/>
  <c r="AQ1085" i="10"/>
  <c r="AQ1100" i="10"/>
  <c r="AQ1152" i="10"/>
  <c r="AQ967" i="10"/>
  <c r="AQ1025" i="10"/>
  <c r="AQ1166" i="10"/>
  <c r="AQ913" i="10"/>
  <c r="AQ999" i="10"/>
  <c r="AQ1140" i="10"/>
  <c r="AQ1101" i="10"/>
  <c r="AQ992" i="10"/>
  <c r="AQ1106" i="10"/>
  <c r="AQ896" i="10"/>
  <c r="AQ890" i="10"/>
  <c r="AQ875" i="10"/>
  <c r="AQ819" i="10"/>
  <c r="AQ1013" i="10"/>
  <c r="AQ886" i="10"/>
  <c r="AQ922" i="10"/>
  <c r="AQ1074" i="10"/>
  <c r="AQ1093" i="10"/>
  <c r="AQ1008" i="10"/>
  <c r="AQ940" i="10"/>
  <c r="AQ1020" i="10"/>
  <c r="AQ1096" i="10"/>
  <c r="AS936" i="10"/>
  <c r="AS865" i="10"/>
  <c r="AS1179" i="10"/>
  <c r="AS1138" i="10"/>
  <c r="AS869" i="10"/>
  <c r="AS815" i="10"/>
  <c r="AS992" i="10"/>
  <c r="AS963" i="10"/>
  <c r="AS1097" i="10"/>
  <c r="AS896" i="10"/>
  <c r="AS917" i="10"/>
  <c r="AS913" i="10"/>
  <c r="AS1025" i="10"/>
  <c r="AS1171" i="10"/>
  <c r="AS1149" i="10"/>
  <c r="AS890" i="10"/>
  <c r="AS823" i="10"/>
  <c r="AS948" i="10"/>
  <c r="AS1184" i="10"/>
  <c r="AS975" i="10"/>
  <c r="AS1071" i="10"/>
  <c r="AS1144" i="10"/>
  <c r="AS1079" i="10"/>
  <c r="AS1096" i="10"/>
  <c r="AS892" i="10"/>
  <c r="AS1176" i="10"/>
  <c r="T1100" i="10"/>
  <c r="T1110" i="10"/>
  <c r="T817" i="10"/>
  <c r="T1088" i="10"/>
  <c r="T918" i="10"/>
  <c r="T1048" i="10"/>
  <c r="T1186" i="10"/>
  <c r="T1049" i="10"/>
  <c r="T1051" i="10"/>
  <c r="T874" i="10"/>
  <c r="T956" i="10"/>
  <c r="T980" i="10"/>
  <c r="T1026" i="10"/>
  <c r="T1079" i="10"/>
  <c r="T985" i="10"/>
  <c r="T1156" i="10"/>
  <c r="T1122" i="10"/>
  <c r="T1093" i="10"/>
  <c r="T1141" i="10"/>
  <c r="AX827" i="10"/>
  <c r="AX1227" i="10" s="1"/>
  <c r="W1014" i="10"/>
  <c r="W929" i="10"/>
  <c r="W999" i="10"/>
  <c r="W917" i="10"/>
  <c r="W948" i="10"/>
  <c r="W1043" i="10"/>
  <c r="W887" i="10"/>
  <c r="W1152" i="10"/>
  <c r="W902" i="10"/>
  <c r="W1063" i="10"/>
  <c r="W824" i="10"/>
  <c r="W1085" i="10"/>
  <c r="W1033" i="10"/>
  <c r="W1071" i="10"/>
  <c r="W875" i="10"/>
  <c r="W905" i="10"/>
  <c r="W910" i="10"/>
  <c r="W1075" i="10"/>
  <c r="W1013" i="10"/>
  <c r="W892" i="10"/>
  <c r="AL865" i="10"/>
  <c r="AL1052" i="10"/>
  <c r="AL887" i="10"/>
  <c r="AL1085" i="10"/>
  <c r="AL835" i="10"/>
  <c r="AL1131" i="10"/>
  <c r="AL980" i="10"/>
  <c r="AL1122" i="10"/>
  <c r="AL1117" i="10"/>
  <c r="AJ936" i="10"/>
  <c r="AJ1026" i="10"/>
  <c r="AJ1011" i="10"/>
  <c r="AJ995" i="10"/>
  <c r="AJ1096" i="10"/>
  <c r="AJ955" i="10"/>
  <c r="AJ868" i="10"/>
  <c r="AW1084" i="10"/>
  <c r="AW1484" i="10" s="1"/>
  <c r="AW1138" i="10"/>
  <c r="AW1538" i="10" s="1"/>
  <c r="AW1080" i="10"/>
  <c r="AW1480" i="10" s="1"/>
  <c r="AW920" i="10"/>
  <c r="AW1320" i="10" s="1"/>
  <c r="AW954" i="10"/>
  <c r="AW1354" i="10" s="1"/>
  <c r="AW823" i="10"/>
  <c r="AW1223" i="10" s="1"/>
  <c r="AA1137" i="10"/>
  <c r="AA1126" i="10"/>
  <c r="AA888" i="10"/>
  <c r="AA1140" i="10"/>
  <c r="AA815" i="10"/>
  <c r="AA941" i="10"/>
  <c r="AA1142" i="10"/>
  <c r="AE1052" i="10"/>
  <c r="AE992" i="10"/>
  <c r="AE815" i="10"/>
  <c r="AE1008" i="10"/>
  <c r="AE1149" i="10"/>
  <c r="AE930" i="10"/>
  <c r="AP951" i="10"/>
  <c r="AP1051" i="10"/>
  <c r="AP1101" i="10"/>
  <c r="AP887" i="10"/>
  <c r="AP1162" i="10"/>
  <c r="AP980" i="10"/>
  <c r="AP931" i="10"/>
  <c r="S844" i="10"/>
  <c r="AQ1147" i="10"/>
  <c r="AX914" i="10"/>
  <c r="AX1314" i="10" s="1"/>
  <c r="AS1109" i="10"/>
  <c r="AJ984" i="10"/>
  <c r="Y1003" i="10"/>
  <c r="AC1164" i="10"/>
  <c r="AA872" i="10"/>
  <c r="N850" i="10"/>
  <c r="N973" i="10"/>
  <c r="N1025" i="10"/>
  <c r="N1088" i="10"/>
  <c r="N1079" i="10"/>
  <c r="N931" i="10"/>
  <c r="AQ993" i="10"/>
  <c r="T853" i="10"/>
  <c r="AC1010" i="10"/>
  <c r="W1010" i="10"/>
  <c r="R893" i="10"/>
  <c r="AM878" i="10"/>
  <c r="T997" i="10"/>
  <c r="AL1005" i="10"/>
  <c r="AV1134" i="10"/>
  <c r="AV1534" i="10" s="1"/>
  <c r="AJ962" i="10"/>
  <c r="AI848" i="10"/>
  <c r="AO1147" i="10"/>
  <c r="AK1163" i="10"/>
  <c r="AO1172" i="10"/>
  <c r="AU1285" i="10"/>
  <c r="AK814" i="10"/>
  <c r="O1098" i="10"/>
  <c r="O963" i="10"/>
  <c r="O1068" i="10"/>
  <c r="O1002" i="10"/>
  <c r="O854" i="10"/>
  <c r="O821" i="10"/>
  <c r="O877" i="10"/>
  <c r="AO1126" i="10"/>
  <c r="AO913" i="10"/>
  <c r="AO908" i="10"/>
  <c r="AO1093" i="10"/>
  <c r="AO940" i="10"/>
  <c r="AO1061" i="10"/>
  <c r="AC978" i="10"/>
  <c r="AC956" i="10"/>
  <c r="AC918" i="10"/>
  <c r="AC1026" i="10"/>
  <c r="AC1150" i="10"/>
  <c r="AC955" i="10"/>
  <c r="AC910" i="10"/>
  <c r="Z1100" i="10"/>
  <c r="Z858" i="10"/>
  <c r="Z921" i="10"/>
  <c r="Z1063" i="10"/>
  <c r="Z988" i="10"/>
  <c r="Z837" i="10"/>
  <c r="Z1150" i="10"/>
  <c r="R1106" i="10"/>
  <c r="R1011" i="10"/>
  <c r="R1082" i="10"/>
  <c r="R1166" i="10"/>
  <c r="R1035" i="10"/>
  <c r="R988" i="10"/>
  <c r="R837" i="10"/>
  <c r="P978" i="10"/>
  <c r="P1033" i="10"/>
  <c r="P1138" i="10"/>
  <c r="P1117" i="10"/>
  <c r="P1020" i="10"/>
  <c r="P1176" i="10"/>
  <c r="AU1329" i="10"/>
  <c r="AU1586" i="10"/>
  <c r="AU1402" i="10"/>
  <c r="AU1217" i="10"/>
  <c r="AU1237" i="10"/>
  <c r="AU1320" i="10"/>
  <c r="AU1584" i="10"/>
  <c r="AF1052" i="10"/>
  <c r="AF1119" i="10"/>
  <c r="AF1085" i="10"/>
  <c r="AF814" i="10"/>
  <c r="AF1194" i="10" s="1"/>
  <c r="AF905" i="10"/>
  <c r="AF1171" i="10"/>
  <c r="AB929" i="10"/>
  <c r="AB1025" i="10"/>
  <c r="AB864" i="10"/>
  <c r="AB1061" i="10"/>
  <c r="AV1100" i="10"/>
  <c r="AV1500" i="10" s="1"/>
  <c r="AV1043" i="10"/>
  <c r="AV1443" i="10" s="1"/>
  <c r="AV1166" i="10"/>
  <c r="AV1566" i="10" s="1"/>
  <c r="AV868" i="10"/>
  <c r="AV1268" i="10" s="1"/>
  <c r="AV1175" i="10"/>
  <c r="AV1575" i="10" s="1"/>
  <c r="W928" i="10"/>
  <c r="AQ1059" i="10"/>
  <c r="AX947" i="10"/>
  <c r="AX1347" i="10" s="1"/>
  <c r="AB861" i="10"/>
  <c r="AH872" i="10"/>
  <c r="AG893" i="10"/>
  <c r="AB997" i="10"/>
  <c r="AB878" i="10"/>
  <c r="O962" i="10"/>
  <c r="U971" i="10"/>
  <c r="AO860" i="10"/>
  <c r="AJ1172" i="10"/>
  <c r="AJ885" i="10"/>
  <c r="AX1051" i="10"/>
  <c r="AX1451" i="10" s="1"/>
  <c r="AX1020" i="10"/>
  <c r="AX1420" i="10" s="1"/>
  <c r="U908" i="10"/>
  <c r="U817" i="10"/>
  <c r="U1075" i="10"/>
  <c r="S825" i="10"/>
  <c r="S1035" i="10"/>
  <c r="Q1166" i="10"/>
  <c r="Q854" i="10"/>
  <c r="AI1106" i="10"/>
  <c r="AI1061" i="10"/>
  <c r="AM1179" i="10"/>
  <c r="AM1008" i="10"/>
  <c r="M869" i="10"/>
  <c r="M905" i="10"/>
  <c r="AR1046" i="10"/>
  <c r="AC818" i="10"/>
  <c r="AH1142" i="10"/>
  <c r="AK837" i="10"/>
  <c r="AT948" i="10"/>
  <c r="AS911" i="10"/>
  <c r="AI982" i="10"/>
  <c r="V1033" i="10"/>
  <c r="L904" i="10"/>
  <c r="AG942" i="10"/>
  <c r="R1161" i="10"/>
  <c r="AP1103" i="10"/>
  <c r="M1133" i="10"/>
  <c r="J973" i="10"/>
  <c r="AG1099" i="10"/>
  <c r="AX1118" i="10"/>
  <c r="AX1518" i="10" s="1"/>
  <c r="AG949" i="10"/>
  <c r="AL820" i="10"/>
  <c r="AL876" i="10"/>
  <c r="AL1057" i="10"/>
  <c r="AL1018" i="10"/>
  <c r="AL1073" i="10"/>
  <c r="AL884" i="10"/>
  <c r="AL833" i="10"/>
  <c r="AL977" i="10"/>
  <c r="AL1160" i="10"/>
  <c r="AL813" i="10"/>
  <c r="AL1099" i="10"/>
  <c r="AL1146" i="10"/>
  <c r="AL1012" i="10"/>
  <c r="AL943" i="10"/>
  <c r="AL926" i="10"/>
  <c r="AL1042" i="10"/>
  <c r="AL1036" i="10"/>
  <c r="AL996" i="10"/>
  <c r="AL1180" i="10"/>
  <c r="K1057" i="10"/>
  <c r="K1064" i="10"/>
  <c r="K812" i="10"/>
  <c r="K840" i="10"/>
  <c r="K876" i="10"/>
  <c r="K953" i="10"/>
  <c r="K1007" i="10"/>
  <c r="K1012" i="10"/>
  <c r="K906" i="10"/>
  <c r="AS926" i="10"/>
  <c r="AS1115" i="10"/>
  <c r="AS1069" i="10"/>
  <c r="AS1053" i="10"/>
  <c r="AS1057" i="10"/>
  <c r="AS1056" i="10"/>
  <c r="AS1146" i="10"/>
  <c r="AS840" i="10"/>
  <c r="AS846" i="10"/>
  <c r="AO856" i="10"/>
  <c r="AA1167" i="10"/>
  <c r="AA937" i="10"/>
  <c r="AA1042" i="10"/>
  <c r="AA953" i="10"/>
  <c r="AA1073" i="10"/>
  <c r="AA1146" i="10"/>
  <c r="N1115" i="10"/>
  <c r="N851" i="10"/>
  <c r="N1153" i="10"/>
  <c r="N1123" i="10"/>
  <c r="AE1056" i="10"/>
  <c r="AE937" i="10"/>
  <c r="AE898" i="10"/>
  <c r="AE945" i="10"/>
  <c r="AE812" i="10"/>
  <c r="AE1089" i="10"/>
  <c r="W1190" i="10"/>
  <c r="W1053" i="10"/>
  <c r="W1077" i="10"/>
  <c r="W813" i="10"/>
  <c r="W1125" i="10"/>
  <c r="W1102" i="10"/>
  <c r="W1167" i="10"/>
  <c r="W926" i="10"/>
  <c r="W932" i="10"/>
  <c r="W1115" i="10"/>
  <c r="W944" i="10"/>
  <c r="W900" i="10"/>
  <c r="W856" i="10"/>
  <c r="W1019" i="10"/>
  <c r="W898" i="10"/>
  <c r="W943" i="10"/>
  <c r="W1153" i="10"/>
  <c r="W1180" i="10"/>
  <c r="AD1123" i="10"/>
  <c r="AS953" i="10"/>
  <c r="AS906" i="10"/>
  <c r="AS1118" i="10"/>
  <c r="AS833" i="10"/>
  <c r="AS867" i="10"/>
  <c r="AS1123" i="10"/>
  <c r="W876" i="10"/>
  <c r="W919" i="10"/>
  <c r="W897" i="10"/>
  <c r="W937" i="10"/>
  <c r="AL847" i="10"/>
  <c r="AL1167" i="10"/>
  <c r="AL1102" i="10"/>
  <c r="AL1190" i="10"/>
  <c r="AL949" i="10"/>
  <c r="AA943" i="10"/>
  <c r="AE866" i="10"/>
  <c r="AE1064" i="10"/>
  <c r="N937" i="10"/>
  <c r="Y1030" i="10"/>
  <c r="AK1135" i="10"/>
  <c r="L1090" i="10"/>
  <c r="AV923" i="10"/>
  <c r="AV1323" i="10" s="1"/>
  <c r="K1030" i="10"/>
  <c r="AF1170" i="10"/>
  <c r="W1030" i="10"/>
  <c r="AH1030" i="10"/>
  <c r="AD1030" i="10"/>
  <c r="AE1030" i="10"/>
  <c r="AR1030" i="10"/>
  <c r="X814" i="10"/>
  <c r="X1194" i="10" s="1"/>
  <c r="J820" i="10"/>
  <c r="AW1030" i="10"/>
  <c r="AW1430" i="10" s="1"/>
  <c r="U1135" i="10"/>
  <c r="N884" i="10"/>
  <c r="P1090" i="10"/>
  <c r="K1050" i="10"/>
  <c r="AP964" i="10"/>
  <c r="T1029" i="10"/>
  <c r="AH1022" i="10"/>
  <c r="AS1022" i="10"/>
  <c r="AW1022" i="10"/>
  <c r="AW1422" i="10" s="1"/>
  <c r="AB1090" i="10"/>
  <c r="AE1038" i="10"/>
  <c r="M1038" i="10"/>
  <c r="AI1090" i="10"/>
  <c r="W1038" i="10"/>
  <c r="AH1135" i="10"/>
  <c r="AT1038" i="10"/>
  <c r="Q1135" i="10"/>
  <c r="T1038" i="10"/>
  <c r="AE1022" i="10"/>
  <c r="AR1022" i="10"/>
  <c r="Z1029" i="10"/>
  <c r="AE1029" i="10"/>
  <c r="AL1022" i="10"/>
  <c r="Z1015" i="10"/>
  <c r="AF412" i="6"/>
  <c r="AF477" i="6"/>
  <c r="S814" i="10"/>
  <c r="AN1090" i="10"/>
  <c r="AJ1135" i="10"/>
  <c r="J1137" i="10"/>
  <c r="AY1135" i="10"/>
  <c r="AY1535" i="10" s="1"/>
  <c r="U1188" i="10"/>
  <c r="R1022" i="10"/>
  <c r="AM1022" i="10"/>
  <c r="AD1090" i="10"/>
  <c r="AD944" i="10"/>
  <c r="S812" i="10"/>
  <c r="S1057" i="10"/>
  <c r="W840" i="10"/>
  <c r="W812" i="10"/>
  <c r="W884" i="10"/>
  <c r="W945" i="10"/>
  <c r="W846" i="10"/>
  <c r="W867" i="10"/>
  <c r="W969" i="10"/>
  <c r="W1108" i="10"/>
  <c r="W1174" i="10"/>
  <c r="W833" i="10"/>
  <c r="W1146" i="10"/>
  <c r="W847" i="10"/>
  <c r="W1018" i="10"/>
  <c r="AJ1056" i="10"/>
  <c r="AJ867" i="10"/>
  <c r="AJ884" i="10"/>
  <c r="AS1188" i="10"/>
  <c r="AF925" i="10"/>
  <c r="AF1125" i="10"/>
  <c r="AK1174" i="10"/>
  <c r="AN884" i="10"/>
  <c r="AN1160" i="10"/>
  <c r="AN900" i="10"/>
  <c r="AN846" i="10"/>
  <c r="AN1108" i="10"/>
  <c r="AN926" i="10"/>
  <c r="AN1153" i="10"/>
  <c r="AN1124" i="10"/>
  <c r="AN996" i="10"/>
  <c r="AN1115" i="10"/>
  <c r="AN958" i="10"/>
  <c r="AN847" i="10"/>
  <c r="AN945" i="10"/>
  <c r="O1037" i="10"/>
  <c r="AV1064" i="10"/>
  <c r="AV1464" i="10" s="1"/>
  <c r="AT1069" i="10"/>
  <c r="AH1102" i="10"/>
  <c r="AH1036" i="10"/>
  <c r="AB943" i="10"/>
  <c r="AO1125" i="10"/>
  <c r="P959" i="10"/>
  <c r="AA1078" i="10"/>
  <c r="AA1118" i="10"/>
  <c r="AA1190" i="10"/>
  <c r="AA1102" i="10"/>
  <c r="AA977" i="10"/>
  <c r="AA1125" i="10"/>
  <c r="AA925" i="10"/>
  <c r="AA932" i="10"/>
  <c r="AA1019" i="10"/>
  <c r="AA926" i="10"/>
  <c r="AA1012" i="10"/>
  <c r="AA1139" i="10"/>
  <c r="AA812" i="10"/>
  <c r="AA1160" i="10"/>
  <c r="AA989" i="10"/>
  <c r="AA867" i="10"/>
  <c r="AA1174" i="10"/>
  <c r="AA945" i="10"/>
  <c r="AA1077" i="10"/>
  <c r="AA866" i="10"/>
  <c r="AA820" i="10"/>
  <c r="AA1007" i="10"/>
  <c r="AA833" i="10"/>
  <c r="AA847" i="10"/>
  <c r="AA856" i="10"/>
  <c r="AA996" i="10"/>
  <c r="AA1056" i="10"/>
  <c r="AA1036" i="10"/>
  <c r="AA1153" i="10"/>
  <c r="AA969" i="10"/>
  <c r="AA919" i="10"/>
  <c r="AA851" i="10"/>
  <c r="AA1112" i="10"/>
  <c r="AA840" i="10"/>
  <c r="AA1123" i="10"/>
  <c r="AA1108" i="10"/>
  <c r="AA1053" i="10"/>
  <c r="AA1064" i="10"/>
  <c r="Z919" i="10"/>
  <c r="O1077" i="10"/>
  <c r="O1123" i="10"/>
  <c r="AY1118" i="10"/>
  <c r="AY1518" i="10" s="1"/>
  <c r="AY846" i="10"/>
  <c r="AY1246" i="10" s="1"/>
  <c r="AY812" i="10"/>
  <c r="AY1212" i="10" s="1"/>
  <c r="M1132" i="10"/>
  <c r="M1057" i="10"/>
  <c r="J926" i="10"/>
  <c r="J851" i="10"/>
  <c r="J1056" i="10"/>
  <c r="J1069" i="10"/>
  <c r="J884" i="10"/>
  <c r="J1146" i="10"/>
  <c r="J1174" i="10"/>
  <c r="J969" i="10"/>
  <c r="J1118" i="10"/>
  <c r="J949" i="10"/>
  <c r="J1007" i="10"/>
  <c r="J1115" i="10"/>
  <c r="J919" i="10"/>
  <c r="J943" i="10"/>
  <c r="J867" i="10"/>
  <c r="J812" i="10"/>
  <c r="J925" i="10"/>
  <c r="J932" i="10"/>
  <c r="J813" i="10"/>
  <c r="J1160" i="10"/>
  <c r="J1064" i="10"/>
  <c r="J1042" i="10"/>
  <c r="AE846" i="10"/>
  <c r="AE1123" i="10"/>
  <c r="AE1108" i="10"/>
  <c r="AE958" i="10"/>
  <c r="AE969" i="10"/>
  <c r="AE867" i="10"/>
  <c r="AE1007" i="10"/>
  <c r="AE847" i="10"/>
  <c r="AE1099" i="10"/>
  <c r="AE1146" i="10"/>
  <c r="AE851" i="10"/>
  <c r="AE1069" i="10"/>
  <c r="AE906" i="10"/>
  <c r="AE897" i="10"/>
  <c r="AE1019" i="10"/>
  <c r="AE959" i="10"/>
  <c r="AE1160" i="10"/>
  <c r="AE1078" i="10"/>
  <c r="AE1115" i="10"/>
  <c r="AE1139" i="10"/>
  <c r="AE925" i="10"/>
  <c r="AE1036" i="10"/>
  <c r="AE953" i="10"/>
  <c r="AE1073" i="10"/>
  <c r="AE926" i="10"/>
  <c r="AE1180" i="10"/>
  <c r="AE884" i="10"/>
  <c r="AE919" i="10"/>
  <c r="AE996" i="10"/>
  <c r="AE932" i="10"/>
  <c r="AE1042" i="10"/>
  <c r="AE949" i="10"/>
  <c r="AE813" i="10"/>
  <c r="AE856" i="10"/>
  <c r="AE943" i="10"/>
  <c r="AE1102" i="10"/>
  <c r="AE1012" i="10"/>
  <c r="Y846" i="10"/>
  <c r="AC1153" i="10"/>
  <c r="AC943" i="10"/>
  <c r="X1160" i="10"/>
  <c r="AU1553" i="10"/>
  <c r="AU1276" i="10"/>
  <c r="AU1306" i="10"/>
  <c r="J1036" i="10"/>
  <c r="J977" i="10"/>
  <c r="J1099" i="10"/>
  <c r="J1019" i="10"/>
  <c r="J846" i="10"/>
  <c r="J897" i="10"/>
  <c r="J876" i="10"/>
  <c r="AP1057" i="10"/>
  <c r="AP1180" i="10"/>
  <c r="AP944" i="10"/>
  <c r="N1190" i="10"/>
  <c r="N1125" i="10"/>
  <c r="AL1153" i="10"/>
  <c r="AL898" i="10"/>
  <c r="AL969" i="10"/>
  <c r="AL944" i="10"/>
  <c r="AL919" i="10"/>
  <c r="AL958" i="10"/>
  <c r="AL1124" i="10"/>
  <c r="AL867" i="10"/>
  <c r="AL925" i="10"/>
  <c r="AL1007" i="10"/>
  <c r="AL1053" i="10"/>
  <c r="AL1132" i="10"/>
  <c r="U820" i="10"/>
  <c r="U897" i="10"/>
  <c r="K1132" i="10"/>
  <c r="K833" i="10"/>
  <c r="K820" i="10"/>
  <c r="K1056" i="10"/>
  <c r="K1125" i="10"/>
  <c r="K1019" i="10"/>
  <c r="K847" i="10"/>
  <c r="K969" i="10"/>
  <c r="K1108" i="10"/>
  <c r="K813" i="10"/>
  <c r="K1153" i="10"/>
  <c r="K977" i="10"/>
  <c r="K1073" i="10"/>
  <c r="AS945" i="10"/>
  <c r="AS856" i="10"/>
  <c r="AS1167" i="10"/>
  <c r="AS1124" i="10"/>
  <c r="AS897" i="10"/>
  <c r="AS989" i="10"/>
  <c r="AS847" i="10"/>
  <c r="AS1190" i="10"/>
  <c r="AS851" i="10"/>
  <c r="AS1078" i="10"/>
  <c r="AS1019" i="10"/>
  <c r="AS969" i="10"/>
  <c r="V1053" i="10"/>
  <c r="V1108" i="10"/>
  <c r="N919" i="10"/>
  <c r="N1102" i="10"/>
  <c r="N833" i="10"/>
  <c r="N953" i="10"/>
  <c r="N876" i="10"/>
  <c r="N958" i="10"/>
  <c r="N925" i="10"/>
  <c r="N1012" i="10"/>
  <c r="N820" i="10"/>
  <c r="N1042" i="10"/>
  <c r="N906" i="10"/>
  <c r="N898" i="10"/>
  <c r="N1064" i="10"/>
  <c r="N846" i="10"/>
  <c r="N1099" i="10"/>
  <c r="N1019" i="10"/>
  <c r="N847" i="10"/>
  <c r="N969" i="10"/>
  <c r="N1139" i="10"/>
  <c r="N867" i="10"/>
  <c r="N866" i="10"/>
  <c r="N1160" i="10"/>
  <c r="N1018" i="10"/>
  <c r="N1108" i="10"/>
  <c r="N932" i="10"/>
  <c r="N1007" i="10"/>
  <c r="N1180" i="10"/>
  <c r="N1069" i="10"/>
  <c r="N1174" i="10"/>
  <c r="N1132" i="10"/>
  <c r="N812" i="10"/>
  <c r="N1112" i="10"/>
  <c r="N959" i="10"/>
  <c r="N1036" i="10"/>
  <c r="N1073" i="10"/>
  <c r="N813" i="10"/>
  <c r="N977" i="10"/>
  <c r="N1089" i="10"/>
  <c r="T1167" i="10"/>
  <c r="T820" i="10"/>
  <c r="T898" i="10"/>
  <c r="T932" i="10"/>
  <c r="T840" i="10"/>
  <c r="T959" i="10"/>
  <c r="T1078" i="10"/>
  <c r="T926" i="10"/>
  <c r="T1073" i="10"/>
  <c r="T969" i="10"/>
  <c r="T1125" i="10"/>
  <c r="T1124" i="10"/>
  <c r="T866" i="10"/>
  <c r="T813" i="10"/>
  <c r="AM958" i="10"/>
  <c r="AM989" i="10"/>
  <c r="AQ867" i="10"/>
  <c r="AQ847" i="10"/>
  <c r="AQ996" i="10"/>
  <c r="AQ937" i="10"/>
  <c r="AQ944" i="10"/>
  <c r="AQ898" i="10"/>
  <c r="AQ919" i="10"/>
  <c r="AQ1153" i="10"/>
  <c r="AQ1174" i="10"/>
  <c r="AQ1160" i="10"/>
  <c r="AQ977" i="10"/>
  <c r="AQ900" i="10"/>
  <c r="AQ906" i="10"/>
  <c r="AQ1123" i="10"/>
  <c r="AI813" i="10"/>
  <c r="AR945" i="10"/>
  <c r="AR1115" i="10"/>
  <c r="AW1012" i="10"/>
  <c r="AW1412" i="10" s="1"/>
  <c r="AW1019" i="10"/>
  <c r="AW1419" i="10" s="1"/>
  <c r="AW1077" i="10"/>
  <c r="AW1477" i="10" s="1"/>
  <c r="AW1115" i="10"/>
  <c r="AW1515" i="10" s="1"/>
  <c r="AW1132" i="10"/>
  <c r="AW1532" i="10" s="1"/>
  <c r="AW1167" i="10"/>
  <c r="AW1567" i="10" s="1"/>
  <c r="AW1125" i="10"/>
  <c r="AW1525" i="10" s="1"/>
  <c r="AW851" i="10"/>
  <c r="AW1251" i="10" s="1"/>
  <c r="AW1042" i="10"/>
  <c r="AW1442" i="10" s="1"/>
  <c r="AW1099" i="10"/>
  <c r="AW1499" i="10" s="1"/>
  <c r="AW856" i="10"/>
  <c r="AW1256" i="10" s="1"/>
  <c r="AW1078" i="10"/>
  <c r="AW1478" i="10" s="1"/>
  <c r="AW1056" i="10"/>
  <c r="AW1456" i="10" s="1"/>
  <c r="AW925" i="10"/>
  <c r="AW1325" i="10" s="1"/>
  <c r="AW996" i="10"/>
  <c r="AW1396" i="10" s="1"/>
  <c r="AW1139" i="10"/>
  <c r="AW1539" i="10" s="1"/>
  <c r="AW1089" i="10"/>
  <c r="AW1489" i="10" s="1"/>
  <c r="AW1190" i="10"/>
  <c r="AW1590" i="10" s="1"/>
  <c r="AW1124" i="10"/>
  <c r="AW1524" i="10" s="1"/>
  <c r="AW1007" i="10"/>
  <c r="AW1407" i="10" s="1"/>
  <c r="AW1146" i="10"/>
  <c r="AW1546" i="10" s="1"/>
  <c r="AW926" i="10"/>
  <c r="AW1326" i="10" s="1"/>
  <c r="AW1108" i="10"/>
  <c r="AW1508" i="10" s="1"/>
  <c r="AW876" i="10"/>
  <c r="AW1276" i="10" s="1"/>
  <c r="AW1160" i="10"/>
  <c r="AW1560" i="10" s="1"/>
  <c r="AW977" i="10"/>
  <c r="AW1377" i="10" s="1"/>
  <c r="AW820" i="10"/>
  <c r="AW1220" i="10" s="1"/>
  <c r="AW1123" i="10"/>
  <c r="AW1523" i="10" s="1"/>
  <c r="AW969" i="10"/>
  <c r="AW1369" i="10" s="1"/>
  <c r="AW833" i="10"/>
  <c r="AW1233" i="10" s="1"/>
  <c r="AW898" i="10"/>
  <c r="AW1298" i="10" s="1"/>
  <c r="AW906" i="10"/>
  <c r="AW1306" i="10" s="1"/>
  <c r="AW919" i="10"/>
  <c r="AW1319" i="10" s="1"/>
  <c r="AW884" i="10"/>
  <c r="AW1284" i="10" s="1"/>
  <c r="AW932" i="10"/>
  <c r="AW1332" i="10" s="1"/>
  <c r="AP898" i="10"/>
  <c r="AP1053" i="10"/>
  <c r="AP919" i="10"/>
  <c r="AP1123" i="10"/>
  <c r="AP932" i="10"/>
  <c r="AP1007" i="10"/>
  <c r="AP1099" i="10"/>
  <c r="AP866" i="10"/>
  <c r="AP884" i="10"/>
  <c r="AP1064" i="10"/>
  <c r="AP1078" i="10"/>
  <c r="AP1042" i="10"/>
  <c r="AP925" i="10"/>
  <c r="AP1077" i="10"/>
  <c r="AP846" i="10"/>
  <c r="AP1112" i="10"/>
  <c r="AP937" i="10"/>
  <c r="AP953" i="10"/>
  <c r="AP959" i="10"/>
  <c r="AP1139" i="10"/>
  <c r="AP1190" i="10"/>
  <c r="AP900" i="10"/>
  <c r="AP1174" i="10"/>
  <c r="AP856" i="10"/>
  <c r="AP1018" i="10"/>
  <c r="AP867" i="10"/>
  <c r="AP945" i="10"/>
  <c r="AP1012" i="10"/>
  <c r="AP1118" i="10"/>
  <c r="AP1160" i="10"/>
  <c r="AP876" i="10"/>
  <c r="AP1069" i="10"/>
  <c r="AP1115" i="10"/>
  <c r="AP1102" i="10"/>
  <c r="AP1108" i="10"/>
  <c r="AP977" i="10"/>
  <c r="R847" i="10"/>
  <c r="R944" i="10"/>
  <c r="L945" i="10"/>
  <c r="L866" i="10"/>
  <c r="Q1078" i="10"/>
  <c r="AO1030" i="10"/>
  <c r="M1030" i="10"/>
  <c r="O1030" i="10"/>
  <c r="V1030" i="10"/>
  <c r="R1030" i="10"/>
  <c r="O1029" i="10"/>
  <c r="AO1038" i="10"/>
  <c r="AX1038" i="10"/>
  <c r="AX1438" i="10" s="1"/>
  <c r="AR1038" i="10"/>
  <c r="O1038" i="10"/>
  <c r="AQ1022" i="10"/>
  <c r="AO1015" i="10"/>
  <c r="AU1430" i="10"/>
  <c r="AF489" i="6"/>
  <c r="AF418" i="6"/>
  <c r="AF446" i="6"/>
  <c r="AF430" i="6"/>
  <c r="AF470" i="6"/>
  <c r="AF495" i="6"/>
  <c r="AF439" i="6"/>
  <c r="AF429" i="6"/>
  <c r="AF451" i="6"/>
  <c r="AK1188" i="10"/>
  <c r="K1090" i="10"/>
  <c r="J915" i="10"/>
  <c r="K393" i="10"/>
  <c r="AY814" i="10"/>
  <c r="AY1214" i="10" s="1"/>
  <c r="AF1030" i="10"/>
  <c r="N1029" i="10"/>
  <c r="AF1022" i="10"/>
  <c r="AV1038" i="10"/>
  <c r="AV1438" i="10" s="1"/>
  <c r="K1038" i="10"/>
  <c r="AF1038" i="10"/>
  <c r="AK1038" i="10"/>
  <c r="U1038" i="10"/>
  <c r="AY1038" i="10"/>
  <c r="AY1438" i="10" s="1"/>
  <c r="AI1029" i="10"/>
  <c r="AY1090" i="10"/>
  <c r="AY1490" i="10" s="1"/>
  <c r="AY1029" i="10"/>
  <c r="AY1429" i="10" s="1"/>
  <c r="AJ1029" i="10"/>
  <c r="N1135" i="10"/>
  <c r="L1022" i="10"/>
  <c r="AT1015" i="10"/>
  <c r="AC1037" i="10"/>
  <c r="AN1015" i="10"/>
  <c r="AF1015" i="10"/>
  <c r="AB1037" i="10"/>
  <c r="Q1090" i="10"/>
  <c r="AV895" i="10"/>
  <c r="AV1295" i="10" s="1"/>
  <c r="X1050" i="10"/>
  <c r="P873" i="10"/>
  <c r="X870" i="10"/>
  <c r="AV870" i="10"/>
  <c r="AV1270" i="10" s="1"/>
  <c r="L862" i="10"/>
  <c r="P1087" i="10"/>
  <c r="AV1188" i="10"/>
  <c r="AV1588" i="10" s="1"/>
  <c r="AI1188" i="10"/>
  <c r="P1135" i="10"/>
  <c r="S923" i="10"/>
  <c r="X1087" i="10"/>
  <c r="S1188" i="10"/>
  <c r="P1188" i="10"/>
  <c r="Q1087" i="10"/>
  <c r="AY1188" i="10"/>
  <c r="AY1588" i="10" s="1"/>
  <c r="AV1090" i="10"/>
  <c r="AV1490" i="10" s="1"/>
  <c r="AM1030" i="10"/>
  <c r="AG1030" i="10"/>
  <c r="AJ1030" i="10"/>
  <c r="AI1030" i="10"/>
  <c r="AB1030" i="10"/>
  <c r="J1030" i="10"/>
  <c r="P1030" i="10"/>
  <c r="AC1030" i="10"/>
  <c r="T1030" i="10"/>
  <c r="U1030" i="10"/>
  <c r="AV1030" i="10"/>
  <c r="AV1430" i="10" s="1"/>
  <c r="AN1030" i="10"/>
  <c r="AH1029" i="10"/>
  <c r="Y1029" i="10"/>
  <c r="N1022" i="10"/>
  <c r="AB1022" i="10"/>
  <c r="AN1022" i="10"/>
  <c r="V1038" i="10"/>
  <c r="AN1038" i="10"/>
  <c r="Z1038" i="10"/>
  <c r="AD1038" i="10"/>
  <c r="R1038" i="10"/>
  <c r="Y1038" i="10"/>
  <c r="AW1038" i="10"/>
  <c r="AW1438" i="10" s="1"/>
  <c r="N1038" i="10"/>
  <c r="AP1038" i="10"/>
  <c r="AH1038" i="10"/>
  <c r="AB1038" i="10"/>
  <c r="AQ1029" i="10"/>
  <c r="AG1022" i="10"/>
  <c r="AU1422" i="10"/>
  <c r="L1016" i="10"/>
  <c r="W1016" i="10"/>
  <c r="AP1016" i="10"/>
  <c r="T1016" i="10"/>
  <c r="K1016" i="10"/>
  <c r="Y1015" i="10"/>
  <c r="U1015" i="10"/>
  <c r="BA215" i="10"/>
  <c r="AK1015" i="10"/>
  <c r="AD1022" i="10"/>
  <c r="K1037" i="10"/>
  <c r="AM1037" i="10"/>
  <c r="AO1037" i="10"/>
  <c r="AT1037" i="10"/>
  <c r="AH1039" i="10"/>
  <c r="V1039" i="10"/>
  <c r="AB1039" i="10"/>
  <c r="AD1039" i="10"/>
  <c r="M1028" i="10"/>
  <c r="AD1028" i="10"/>
  <c r="AW1016" i="10"/>
  <c r="AW1416" i="10" s="1"/>
  <c r="J1016" i="10"/>
  <c r="P1016" i="10"/>
  <c r="AS1016" i="10"/>
  <c r="AI1016" i="10"/>
  <c r="U1039" i="10"/>
  <c r="R1039" i="10"/>
  <c r="AU1439" i="10"/>
  <c r="AS1028" i="10"/>
  <c r="AW1028" i="10"/>
  <c r="AW1428" i="10" s="1"/>
  <c r="R1028" i="10"/>
  <c r="AR1028" i="10"/>
  <c r="AX1028" i="10"/>
  <c r="AX1428" i="10" s="1"/>
  <c r="AG1028" i="10"/>
  <c r="U1028" i="10"/>
  <c r="V1016" i="10"/>
  <c r="AA1039" i="10"/>
  <c r="AD1054" i="10"/>
  <c r="N1054" i="10"/>
  <c r="AL1054" i="10"/>
  <c r="AT1054" i="10"/>
  <c r="AP1054" i="10"/>
  <c r="T1054" i="10"/>
  <c r="Z1054" i="10"/>
  <c r="AP1039" i="10"/>
  <c r="AY1039" i="10"/>
  <c r="AY1439" i="10" s="1"/>
  <c r="AU1429" i="10"/>
  <c r="AR1047" i="10"/>
  <c r="R1047" i="10"/>
  <c r="AD442" i="9"/>
  <c r="AH442" i="9"/>
  <c r="X1030" i="10"/>
  <c r="AS1030" i="10"/>
  <c r="Z1030" i="10"/>
  <c r="AQ1030" i="10"/>
  <c r="AP1030" i="10"/>
  <c r="AL1030" i="10"/>
  <c r="AX1030" i="10"/>
  <c r="AX1430" i="10" s="1"/>
  <c r="AM1029" i="10"/>
  <c r="AP1029" i="10"/>
  <c r="AF1029" i="10"/>
  <c r="AA1029" i="10"/>
  <c r="V1029" i="10"/>
  <c r="U1022" i="10"/>
  <c r="T1022" i="10"/>
  <c r="AM1038" i="10"/>
  <c r="AL1038" i="10"/>
  <c r="AS1038" i="10"/>
  <c r="L1038" i="10"/>
  <c r="AA1038" i="10"/>
  <c r="AG1038" i="10"/>
  <c r="AI1038" i="10"/>
  <c r="P1038" i="10"/>
  <c r="AJ1038" i="10"/>
  <c r="AQ1038" i="10"/>
  <c r="U1029" i="10"/>
  <c r="AW1029" i="10"/>
  <c r="AW1429" i="10" s="1"/>
  <c r="AX1029" i="10"/>
  <c r="AX1429" i="10" s="1"/>
  <c r="X1022" i="10"/>
  <c r="Z1022" i="10"/>
  <c r="AT1029" i="10"/>
  <c r="AA1022" i="10"/>
  <c r="V1022" i="10"/>
  <c r="AT1022" i="10"/>
  <c r="X1015" i="10"/>
  <c r="AE1015" i="10"/>
  <c r="AX1015" i="10"/>
  <c r="AX1415" i="10" s="1"/>
  <c r="AM1015" i="10"/>
  <c r="AG1037" i="10"/>
  <c r="M1037" i="10"/>
  <c r="AX1037" i="10"/>
  <c r="AX1437" i="10" s="1"/>
  <c r="N1015" i="10"/>
  <c r="R1015" i="10"/>
  <c r="AL1015" i="10"/>
  <c r="Z1037" i="10"/>
  <c r="AH1037" i="10"/>
  <c r="R1037" i="10"/>
  <c r="AL1029" i="10"/>
  <c r="R1029" i="10"/>
  <c r="AO1029" i="10"/>
  <c r="S1022" i="10"/>
  <c r="X1016" i="10"/>
  <c r="R1016" i="10"/>
  <c r="AB1016" i="10"/>
  <c r="K1015" i="10"/>
  <c r="V1015" i="10"/>
  <c r="AG1015" i="10"/>
  <c r="AJ1015" i="10"/>
  <c r="AA1015" i="10"/>
  <c r="L1015" i="10"/>
  <c r="Q1022" i="10"/>
  <c r="AN1037" i="10"/>
  <c r="AU1437" i="10"/>
  <c r="J1037" i="10"/>
  <c r="AQ1037" i="10"/>
  <c r="O1039" i="10"/>
  <c r="X1039" i="10"/>
  <c r="N1039" i="10"/>
  <c r="AW1039" i="10"/>
  <c r="AW1439" i="10" s="1"/>
  <c r="T1028" i="10"/>
  <c r="P1028" i="10"/>
  <c r="AK1016" i="10"/>
  <c r="AX1016" i="10"/>
  <c r="AX1416" i="10" s="1"/>
  <c r="AM1016" i="10"/>
  <c r="M1039" i="10"/>
  <c r="AL1039" i="10"/>
  <c r="AF1039" i="10"/>
  <c r="AA1030" i="10"/>
  <c r="N1030" i="10"/>
  <c r="AK1030" i="10"/>
  <c r="AT1030" i="10"/>
  <c r="S1030" i="10"/>
  <c r="L1030" i="10"/>
  <c r="Q1030" i="10"/>
  <c r="P1029" i="10"/>
  <c r="AN1029" i="10"/>
  <c r="W1022" i="10"/>
  <c r="AY1022" i="10"/>
  <c r="AY1422" i="10" s="1"/>
  <c r="J1038" i="10"/>
  <c r="S1038" i="10"/>
  <c r="Q1038" i="10"/>
  <c r="X1038" i="10"/>
  <c r="AV1029" i="10"/>
  <c r="AV1429" i="10" s="1"/>
  <c r="AK1029" i="10"/>
  <c r="AP1022" i="10"/>
  <c r="AV1022" i="10"/>
  <c r="AV1422" i="10" s="1"/>
  <c r="AI1022" i="10"/>
  <c r="W1029" i="10"/>
  <c r="M1029" i="10"/>
  <c r="M1022" i="10"/>
  <c r="AK1022" i="10"/>
  <c r="AB1015" i="10"/>
  <c r="T1015" i="10"/>
  <c r="X1037" i="10"/>
  <c r="AP1037" i="10"/>
  <c r="AF1037" i="10"/>
  <c r="W1015" i="10"/>
  <c r="AW1015" i="10"/>
  <c r="AW1415" i="10" s="1"/>
  <c r="AI1037" i="10"/>
  <c r="V1037" i="10"/>
  <c r="W1037" i="10"/>
  <c r="AY1037" i="10"/>
  <c r="AY1437" i="10" s="1"/>
  <c r="BA229" i="10"/>
  <c r="AX1022" i="10"/>
  <c r="AX1422" i="10" s="1"/>
  <c r="K1029" i="10"/>
  <c r="P1022" i="10"/>
  <c r="AD1016" i="10"/>
  <c r="AR1016" i="10"/>
  <c r="AR1015" i="10"/>
  <c r="M1015" i="10"/>
  <c r="AC1015" i="10"/>
  <c r="AP1015" i="10"/>
  <c r="Y1037" i="10"/>
  <c r="AO1039" i="10"/>
  <c r="AI1039" i="10"/>
  <c r="W1028" i="10"/>
  <c r="AQ1028" i="10"/>
  <c r="X1028" i="10"/>
  <c r="K1028" i="10"/>
  <c r="AL1016" i="10"/>
  <c r="S1016" i="10"/>
  <c r="Q1016" i="10"/>
  <c r="AJ1016" i="10"/>
  <c r="AM1039" i="10"/>
  <c r="AQ1039" i="10"/>
  <c r="AC1039" i="10"/>
  <c r="L1039" i="10"/>
  <c r="AL1028" i="10"/>
  <c r="AT1028" i="10"/>
  <c r="AY1016" i="10"/>
  <c r="AY1416" i="10" s="1"/>
  <c r="AQ1016" i="10"/>
  <c r="AG1039" i="10"/>
  <c r="Y1039" i="10"/>
  <c r="AT1039" i="10"/>
  <c r="AX1039" i="10"/>
  <c r="AX1439" i="10" s="1"/>
  <c r="AO1028" i="10"/>
  <c r="AG1016" i="10"/>
  <c r="AW1054" i="10"/>
  <c r="AW1454" i="10" s="1"/>
  <c r="K1054" i="10"/>
  <c r="U1037" i="10"/>
  <c r="AJ1054" i="10"/>
  <c r="AX1054" i="10"/>
  <c r="AX1454" i="10" s="1"/>
  <c r="AR1054" i="10"/>
  <c r="AU1454" i="10"/>
  <c r="S1037" i="10"/>
  <c r="Z1039" i="10"/>
  <c r="AJ1039" i="10"/>
  <c r="AM1047" i="10"/>
  <c r="AJ1031" i="10"/>
  <c r="N1031" i="10"/>
  <c r="L1104" i="10"/>
  <c r="AM1104" i="10"/>
  <c r="AF1104" i="10"/>
  <c r="AU1444" i="10"/>
  <c r="AV1044" i="10"/>
  <c r="AV1444" i="10" s="1"/>
  <c r="AE1047" i="10"/>
  <c r="V1047" i="10"/>
  <c r="AV1047" i="10"/>
  <c r="AV1447" i="10" s="1"/>
  <c r="Z1047" i="10"/>
  <c r="AH1031" i="10"/>
  <c r="U1031" i="10"/>
  <c r="M1031" i="10"/>
  <c r="O1031" i="10"/>
  <c r="AO1104" i="10"/>
  <c r="BB304" i="10"/>
  <c r="AN1044" i="10"/>
  <c r="AH1044" i="10"/>
  <c r="AY1044" i="10"/>
  <c r="AY1444" i="10" s="1"/>
  <c r="AX1047" i="10"/>
  <c r="AX1447" i="10" s="1"/>
  <c r="O1047" i="10"/>
  <c r="AY1047" i="10"/>
  <c r="AY1447" i="10" s="1"/>
  <c r="AF1031" i="10"/>
  <c r="O1104" i="10"/>
  <c r="W1104" i="10"/>
  <c r="AP1104" i="10"/>
  <c r="AA1104" i="10"/>
  <c r="U1044" i="10"/>
  <c r="S1044" i="10"/>
  <c r="V1044" i="10"/>
  <c r="AB1044" i="10"/>
  <c r="AW1047" i="10"/>
  <c r="AW1447" i="10" s="1"/>
  <c r="L1031" i="10"/>
  <c r="AP1044" i="10"/>
  <c r="AB1047" i="10"/>
  <c r="Z1104" i="10"/>
  <c r="AQ1104" i="10"/>
  <c r="U1054" i="10"/>
  <c r="AY1054" i="10"/>
  <c r="AY1454" i="10" s="1"/>
  <c r="O1027" i="10"/>
  <c r="AN1027" i="10"/>
  <c r="AI1028" i="10"/>
  <c r="AJ1027" i="10"/>
  <c r="X1027" i="10"/>
  <c r="L1027" i="10"/>
  <c r="AE1028" i="10"/>
  <c r="AM1028" i="10"/>
  <c r="S1027" i="10"/>
  <c r="AS1027" i="10"/>
  <c r="R1027" i="10"/>
  <c r="AK1028" i="10"/>
  <c r="AS1047" i="10"/>
  <c r="AM1044" i="10"/>
  <c r="AF1044" i="10"/>
  <c r="AL1027" i="10"/>
  <c r="AA1027" i="10"/>
  <c r="AK1027" i="10"/>
  <c r="AW1027" i="10"/>
  <c r="AW1427" i="10" s="1"/>
  <c r="Z1027" i="10"/>
  <c r="AM1054" i="10"/>
  <c r="AU1438" i="10"/>
  <c r="AC1038" i="10"/>
  <c r="AG1029" i="10"/>
  <c r="Q1029" i="10"/>
  <c r="L1029" i="10"/>
  <c r="AO1022" i="10"/>
  <c r="S1029" i="10"/>
  <c r="AR1029" i="10"/>
  <c r="AC1029" i="10"/>
  <c r="Y1022" i="10"/>
  <c r="J1022" i="10"/>
  <c r="AC1022" i="10"/>
  <c r="AQ1015" i="10"/>
  <c r="AV1015" i="10"/>
  <c r="AV1415" i="10" s="1"/>
  <c r="AI1015" i="10"/>
  <c r="O1015" i="10"/>
  <c r="L1037" i="10"/>
  <c r="S1015" i="10"/>
  <c r="AY1015" i="10"/>
  <c r="AY1415" i="10" s="1"/>
  <c r="AH1015" i="10"/>
  <c r="AK1037" i="10"/>
  <c r="AA1037" i="10"/>
  <c r="Q1037" i="10"/>
  <c r="AE1037" i="10"/>
  <c r="AD1029" i="10"/>
  <c r="AB1029" i="10"/>
  <c r="O1022" i="10"/>
  <c r="AH1016" i="10"/>
  <c r="N1016" i="10"/>
  <c r="Q1015" i="10"/>
  <c r="P1015" i="10"/>
  <c r="AS1015" i="10"/>
  <c r="AJ1022" i="10"/>
  <c r="P1037" i="10"/>
  <c r="AL1037" i="10"/>
  <c r="AW1037" i="10"/>
  <c r="AW1437" i="10" s="1"/>
  <c r="AV1037" i="10"/>
  <c r="AV1437" i="10" s="1"/>
  <c r="AD1037" i="10"/>
  <c r="AS1037" i="10"/>
  <c r="N1037" i="10"/>
  <c r="P1039" i="10"/>
  <c r="S1039" i="10"/>
  <c r="Q1039" i="10"/>
  <c r="AH1028" i="10"/>
  <c r="L1028" i="10"/>
  <c r="AT1016" i="10"/>
  <c r="AE1016" i="10"/>
  <c r="K1039" i="10"/>
  <c r="AK1039" i="10"/>
  <c r="AR1039" i="10"/>
  <c r="AA1028" i="10"/>
  <c r="N1028" i="10"/>
  <c r="AF1028" i="10"/>
  <c r="AN1016" i="10"/>
  <c r="AF1016" i="10"/>
  <c r="AS1039" i="10"/>
  <c r="J1028" i="10"/>
  <c r="Z1028" i="10"/>
  <c r="AB1028" i="10"/>
  <c r="M1016" i="10"/>
  <c r="W1054" i="10"/>
  <c r="BB254" i="10"/>
  <c r="X1054" i="10"/>
  <c r="AH1054" i="10"/>
  <c r="M1054" i="10"/>
  <c r="AJ1037" i="10"/>
  <c r="AS1054" i="10"/>
  <c r="AF1054" i="10"/>
  <c r="AG1054" i="10"/>
  <c r="AV1054" i="10"/>
  <c r="AV1454" i="10" s="1"/>
  <c r="AQ1054" i="10"/>
  <c r="AA1054" i="10"/>
  <c r="AE1039" i="10"/>
  <c r="AV1039" i="10"/>
  <c r="AV1439" i="10" s="1"/>
  <c r="AF482" i="6"/>
  <c r="AF465" i="6"/>
  <c r="AF497" i="6"/>
  <c r="AF433" i="6"/>
  <c r="AW1031" i="10"/>
  <c r="AW1431" i="10" s="1"/>
  <c r="T1031" i="10"/>
  <c r="AO1031" i="10"/>
  <c r="AE1104" i="10"/>
  <c r="AY1104" i="10"/>
  <c r="AY1504" i="10" s="1"/>
  <c r="AH1104" i="10"/>
  <c r="AD1104" i="10"/>
  <c r="W1044" i="10"/>
  <c r="AS1044" i="10"/>
  <c r="AR1044" i="10"/>
  <c r="M1047" i="10"/>
  <c r="AG1047" i="10"/>
  <c r="AN1031" i="10"/>
  <c r="AS1031" i="10"/>
  <c r="AC1104" i="10"/>
  <c r="R1104" i="10"/>
  <c r="M1044" i="10"/>
  <c r="AT1044" i="10"/>
  <c r="T1047" i="10"/>
  <c r="P1047" i="10"/>
  <c r="J1031" i="10"/>
  <c r="AQ1031" i="10"/>
  <c r="AY1031" i="10"/>
  <c r="AY1431" i="10" s="1"/>
  <c r="AL1031" i="10"/>
  <c r="AS1104" i="10"/>
  <c r="S1104" i="10"/>
  <c r="AB1104" i="10"/>
  <c r="AL1044" i="10"/>
  <c r="AC1031" i="10"/>
  <c r="AW1104" i="10"/>
  <c r="AW1504" i="10" s="1"/>
  <c r="AT1104" i="10"/>
  <c r="AC1047" i="10"/>
  <c r="AK1031" i="10"/>
  <c r="X1104" i="10"/>
  <c r="AO1054" i="10"/>
  <c r="M1027" i="10"/>
  <c r="P1027" i="10"/>
  <c r="N1027" i="10"/>
  <c r="T1027" i="10"/>
  <c r="AT1027" i="10"/>
  <c r="Q1031" i="10"/>
  <c r="Q1027" i="10"/>
  <c r="Y1016" i="10"/>
  <c r="O1016" i="10"/>
  <c r="T1039" i="10"/>
  <c r="Y1028" i="10"/>
  <c r="AC1028" i="10"/>
  <c r="AU1428" i="10"/>
  <c r="AJ1028" i="10"/>
  <c r="AA1016" i="10"/>
  <c r="AV1016" i="10"/>
  <c r="AV1416" i="10" s="1"/>
  <c r="AN1039" i="10"/>
  <c r="BA239" i="10"/>
  <c r="AN1028" i="10"/>
  <c r="AV1028" i="10"/>
  <c r="AV1428" i="10" s="1"/>
  <c r="Q1028" i="10"/>
  <c r="U1016" i="10"/>
  <c r="AD1015" i="10"/>
  <c r="Q1054" i="10"/>
  <c r="V1054" i="10"/>
  <c r="O1054" i="10"/>
  <c r="AB1054" i="10"/>
  <c r="AC1054" i="10"/>
  <c r="Y1054" i="10"/>
  <c r="T1037" i="10"/>
  <c r="AS1029" i="10"/>
  <c r="L1047" i="10"/>
  <c r="AF1047" i="10"/>
  <c r="R1031" i="10"/>
  <c r="AV1031" i="10"/>
  <c r="AV1431" i="10" s="1"/>
  <c r="Y1031" i="10"/>
  <c r="AG1031" i="10"/>
  <c r="AL1104" i="10"/>
  <c r="AJ1044" i="10"/>
  <c r="Z1044" i="10"/>
  <c r="K1044" i="10"/>
  <c r="T1044" i="10"/>
  <c r="Y1047" i="10"/>
  <c r="AO1047" i="10"/>
  <c r="AD1047" i="10"/>
  <c r="X1031" i="10"/>
  <c r="AI1031" i="10"/>
  <c r="AA1031" i="10"/>
  <c r="AN1104" i="10"/>
  <c r="AR1104" i="10"/>
  <c r="M1104" i="10"/>
  <c r="AK1104" i="10"/>
  <c r="Y1044" i="10"/>
  <c r="AE1044" i="10"/>
  <c r="AI1047" i="10"/>
  <c r="AH1047" i="10"/>
  <c r="AN1047" i="10"/>
  <c r="S1047" i="10"/>
  <c r="AX1031" i="10"/>
  <c r="AX1431" i="10" s="1"/>
  <c r="AD1031" i="10"/>
  <c r="T1104" i="10"/>
  <c r="N1104" i="10"/>
  <c r="AA1044" i="10"/>
  <c r="N1044" i="10"/>
  <c r="AI1044" i="10"/>
  <c r="AG1044" i="10"/>
  <c r="AU1447" i="10"/>
  <c r="Z1031" i="10"/>
  <c r="P1104" i="10"/>
  <c r="Q1104" i="10"/>
  <c r="AQ1047" i="10"/>
  <c r="AP1031" i="10"/>
  <c r="AC1044" i="10"/>
  <c r="AE1054" i="10"/>
  <c r="AP1027" i="10"/>
  <c r="S1028" i="10"/>
  <c r="O1028" i="10"/>
  <c r="AX1027" i="10"/>
  <c r="AX1427" i="10" s="1"/>
  <c r="V1027" i="10"/>
  <c r="AC1027" i="10"/>
  <c r="AF1027" i="10"/>
  <c r="AD1027" i="10"/>
  <c r="BB227" i="10"/>
  <c r="AY1028" i="10"/>
  <c r="AY1428" i="10" s="1"/>
  <c r="L1054" i="10"/>
  <c r="K1104" i="10"/>
  <c r="AK1044" i="10"/>
  <c r="Y1027" i="10"/>
  <c r="K1027" i="10"/>
  <c r="V1028" i="10"/>
  <c r="AO1016" i="10"/>
  <c r="S1054" i="10"/>
  <c r="AG490" i="9"/>
  <c r="AE490" i="9" s="1"/>
  <c r="AE431" i="9"/>
  <c r="AG464" i="9"/>
  <c r="AE464" i="9" s="1"/>
  <c r="AF460" i="6"/>
  <c r="AF434" i="6"/>
  <c r="AH414" i="6"/>
  <c r="AH442" i="6"/>
  <c r="AH420" i="6"/>
  <c r="AH449" i="6"/>
  <c r="AH485" i="6"/>
  <c r="AH506" i="6"/>
  <c r="AH422" i="6"/>
  <c r="AH426" i="6"/>
  <c r="AH475" i="6"/>
  <c r="AH423" i="6"/>
  <c r="AH473" i="6"/>
  <c r="AH502" i="6"/>
  <c r="AH469" i="6"/>
  <c r="AH507" i="6"/>
  <c r="AH501" i="6"/>
  <c r="AH503" i="6"/>
  <c r="AH464" i="6"/>
  <c r="AG446" i="9"/>
  <c r="AE446" i="9" s="1"/>
  <c r="AG413" i="9"/>
  <c r="AE413" i="9" s="1"/>
  <c r="AH485" i="9"/>
  <c r="AF485" i="9" s="1"/>
  <c r="AH478" i="6"/>
  <c r="AH428" i="6"/>
  <c r="AH483" i="6"/>
  <c r="AH476" i="6"/>
  <c r="AH496" i="6"/>
  <c r="AH463" i="6"/>
  <c r="AH453" i="6"/>
  <c r="AH417" i="6"/>
  <c r="AG461" i="9"/>
  <c r="AE461" i="9" s="1"/>
  <c r="AH498" i="6"/>
  <c r="AH440" i="6"/>
  <c r="AH486" i="6"/>
  <c r="AH491" i="6"/>
  <c r="AH441" i="6"/>
  <c r="AH443" i="6"/>
  <c r="AH452" i="6"/>
  <c r="AH444" i="6"/>
  <c r="AG488" i="9"/>
  <c r="AE488" i="9" s="1"/>
  <c r="AE480" i="6"/>
  <c r="AE489" i="6"/>
  <c r="AE427" i="6"/>
  <c r="AH454" i="9"/>
  <c r="AF454" i="9" s="1"/>
  <c r="AF413" i="6"/>
  <c r="AE466" i="6"/>
  <c r="AH413" i="9"/>
  <c r="AF413" i="9" s="1"/>
  <c r="AG482" i="9"/>
  <c r="AE482" i="9" s="1"/>
  <c r="AE504" i="6"/>
  <c r="AH487" i="9"/>
  <c r="AF487" i="9" s="1"/>
  <c r="AH434" i="9"/>
  <c r="AF434" i="9" s="1"/>
  <c r="Z484" i="9"/>
  <c r="AA484" i="9" s="1"/>
  <c r="AC476" i="9"/>
  <c r="AD476" i="9" s="1"/>
  <c r="AC492" i="9"/>
  <c r="AD492" i="9" s="1"/>
  <c r="Z456" i="6"/>
  <c r="AG456" i="6" s="1"/>
  <c r="Z437" i="6"/>
  <c r="AG437" i="6" s="1"/>
  <c r="AA445" i="6"/>
  <c r="AE445" i="6" s="1"/>
  <c r="AA431" i="6"/>
  <c r="AA433" i="6"/>
  <c r="AA465" i="6"/>
  <c r="AA418" i="6"/>
  <c r="AA449" i="6"/>
  <c r="AA499" i="6"/>
  <c r="AA452" i="6"/>
  <c r="AA426" i="6"/>
  <c r="AA413" i="6"/>
  <c r="AE413" i="6" s="1"/>
  <c r="AA470" i="6"/>
  <c r="AA483" i="6"/>
  <c r="AA453" i="6"/>
  <c r="AA455" i="6"/>
  <c r="AC469" i="9"/>
  <c r="AD469" i="9" s="1"/>
  <c r="AC467" i="9"/>
  <c r="AH467" i="9" s="1"/>
  <c r="AC477" i="9"/>
  <c r="AD477" i="9" s="1"/>
  <c r="AC484" i="9"/>
  <c r="AD484" i="9" s="1"/>
  <c r="Z502" i="6"/>
  <c r="AG502" i="6" s="1"/>
  <c r="AC461" i="9"/>
  <c r="AD461" i="9" s="1"/>
  <c r="AC456" i="9"/>
  <c r="AD456" i="9" s="1"/>
  <c r="Z424" i="6"/>
  <c r="AG424" i="6" s="1"/>
  <c r="Z474" i="6"/>
  <c r="AG474" i="6" s="1"/>
  <c r="Z489" i="9"/>
  <c r="AA489" i="9" s="1"/>
  <c r="Z501" i="6"/>
  <c r="AG501" i="6" s="1"/>
  <c r="Z500" i="6"/>
  <c r="AG500" i="6" s="1"/>
  <c r="Z478" i="9"/>
  <c r="AA478" i="9" s="1"/>
  <c r="Z440" i="9"/>
  <c r="AA440" i="9" s="1"/>
  <c r="Z421" i="6"/>
  <c r="AG421" i="6" s="1"/>
  <c r="AC458" i="9"/>
  <c r="AD458" i="9" s="1"/>
  <c r="Z472" i="6"/>
  <c r="AG472" i="6" s="1"/>
  <c r="Z414" i="6"/>
  <c r="AG414" i="6" s="1"/>
  <c r="Z468" i="9"/>
  <c r="AA468" i="9" s="1"/>
  <c r="AA494" i="6"/>
  <c r="AE494" i="6" s="1"/>
  <c r="AH445" i="9"/>
  <c r="AF445" i="9" s="1"/>
  <c r="AG437" i="9"/>
  <c r="AE437" i="9" s="1"/>
  <c r="AG422" i="9"/>
  <c r="AE422" i="9" s="1"/>
  <c r="AG458" i="9"/>
  <c r="AE458" i="9" s="1"/>
  <c r="AH440" i="9"/>
  <c r="AF440" i="9" s="1"/>
  <c r="AG445" i="9"/>
  <c r="AE445" i="9" s="1"/>
  <c r="AH433" i="9"/>
  <c r="AF433" i="9" s="1"/>
  <c r="AG470" i="9"/>
  <c r="AE470" i="9" s="1"/>
  <c r="AA430" i="6"/>
  <c r="AG417" i="9"/>
  <c r="AE417" i="9" s="1"/>
  <c r="AG427" i="9"/>
  <c r="AE427" i="9" s="1"/>
  <c r="AG421" i="9"/>
  <c r="AE421" i="9" s="1"/>
  <c r="AA447" i="6"/>
  <c r="AA429" i="6"/>
  <c r="AG459" i="9"/>
  <c r="AE459" i="9" s="1"/>
  <c r="AG439" i="9"/>
  <c r="AE439" i="9" s="1"/>
  <c r="AG477" i="9"/>
  <c r="AE477" i="9" s="1"/>
  <c r="AH448" i="9"/>
  <c r="AF448" i="9" s="1"/>
  <c r="AG441" i="9"/>
  <c r="AE441" i="9" s="1"/>
  <c r="AE482" i="6"/>
  <c r="AG448" i="9"/>
  <c r="AE448" i="9" s="1"/>
  <c r="AH479" i="9"/>
  <c r="AF479" i="9" s="1"/>
  <c r="AH491" i="9"/>
  <c r="AF491" i="9" s="1"/>
  <c r="AH463" i="9"/>
  <c r="AF463" i="9" s="1"/>
  <c r="AG457" i="9"/>
  <c r="AE457" i="9" s="1"/>
  <c r="AH475" i="9"/>
  <c r="AF475" i="9" s="1"/>
  <c r="AG479" i="9"/>
  <c r="AE479" i="9" s="1"/>
  <c r="Z473" i="6"/>
  <c r="AG473" i="6" s="1"/>
  <c r="AC459" i="9"/>
  <c r="AD459" i="9" s="1"/>
  <c r="AC452" i="9"/>
  <c r="AD452" i="9" s="1"/>
  <c r="AC435" i="9"/>
  <c r="AD435" i="9" s="1"/>
  <c r="Z486" i="6"/>
  <c r="AG486" i="6" s="1"/>
  <c r="AC419" i="9"/>
  <c r="AH419" i="9" s="1"/>
  <c r="Z429" i="9"/>
  <c r="AA429" i="9" s="1"/>
  <c r="AC425" i="9"/>
  <c r="AD425" i="9" s="1"/>
  <c r="Z498" i="6"/>
  <c r="AG498" i="6" s="1"/>
  <c r="AC470" i="9"/>
  <c r="AD470" i="9" s="1"/>
  <c r="Z466" i="9"/>
  <c r="AA466" i="9" s="1"/>
  <c r="AC466" i="9"/>
  <c r="AD466" i="9" s="1"/>
  <c r="AC422" i="9"/>
  <c r="AD422" i="9" s="1"/>
  <c r="Z486" i="9"/>
  <c r="AA486" i="9" s="1"/>
  <c r="AC483" i="9"/>
  <c r="AD483" i="9" s="1"/>
  <c r="Z493" i="6"/>
  <c r="AG493" i="6" s="1"/>
  <c r="AC431" i="9"/>
  <c r="AD431" i="9" s="1"/>
  <c r="Z443" i="9"/>
  <c r="AA443" i="9" s="1"/>
  <c r="Z442" i="6"/>
  <c r="AG442" i="6" s="1"/>
  <c r="Z474" i="9"/>
  <c r="AA474" i="9" s="1"/>
  <c r="Z484" i="6"/>
  <c r="AG484" i="6" s="1"/>
  <c r="Z503" i="6"/>
  <c r="AG503" i="6" s="1"/>
  <c r="Z451" i="9"/>
  <c r="AA451" i="9" s="1"/>
  <c r="AC424" i="9"/>
  <c r="AD424" i="9" s="1"/>
  <c r="Z463" i="6"/>
  <c r="AG463" i="6" s="1"/>
  <c r="Z458" i="6"/>
  <c r="AG458" i="6" s="1"/>
  <c r="AC488" i="9"/>
  <c r="AD488" i="9" s="1"/>
  <c r="AA505" i="6"/>
  <c r="AA444" i="6"/>
  <c r="AE444" i="6" s="1"/>
  <c r="AA471" i="6"/>
  <c r="AA485" i="6"/>
  <c r="AA446" i="6"/>
  <c r="AA497" i="6"/>
  <c r="AA423" i="6"/>
  <c r="AA422" i="6"/>
  <c r="AE422" i="6" s="1"/>
  <c r="AA464" i="6"/>
  <c r="AE464" i="6" s="1"/>
  <c r="AA460" i="6"/>
  <c r="AA448" i="6"/>
  <c r="AE448" i="6" s="1"/>
  <c r="AC432" i="9"/>
  <c r="AD432" i="9" s="1"/>
  <c r="Z479" i="6"/>
  <c r="AG479" i="6" s="1"/>
  <c r="Z467" i="6"/>
  <c r="AG467" i="6" s="1"/>
  <c r="Z480" i="9"/>
  <c r="AA480" i="9" s="1"/>
  <c r="AC480" i="9"/>
  <c r="AD480" i="9" s="1"/>
  <c r="AC478" i="9"/>
  <c r="AD478" i="9" s="1"/>
  <c r="Z469" i="9"/>
  <c r="AA469" i="9" s="1"/>
  <c r="AC457" i="9"/>
  <c r="AD457" i="9" s="1"/>
  <c r="AC493" i="9"/>
  <c r="AD493" i="9" s="1"/>
  <c r="Z435" i="6"/>
  <c r="AG435" i="6" s="1"/>
  <c r="AC460" i="9"/>
  <c r="AD460" i="9" s="1"/>
  <c r="Z435" i="9"/>
  <c r="AA435" i="9" s="1"/>
  <c r="Z491" i="6"/>
  <c r="AG491" i="6" s="1"/>
  <c r="AC474" i="9"/>
  <c r="AD474" i="9" s="1"/>
  <c r="Z462" i="9"/>
  <c r="AA462" i="9" s="1"/>
  <c r="AC489" i="9"/>
  <c r="AD489" i="9" s="1"/>
  <c r="Z449" i="9"/>
  <c r="AA449" i="9" s="1"/>
  <c r="Z506" i="6"/>
  <c r="AG506" i="6" s="1"/>
  <c r="Z493" i="9"/>
  <c r="AA493" i="9" s="1"/>
  <c r="AA412" i="6"/>
  <c r="AE412" i="6" s="1"/>
  <c r="Z428" i="6"/>
  <c r="AG428" i="6" s="1"/>
  <c r="Z419" i="6"/>
  <c r="AG419" i="6" s="1"/>
  <c r="AC455" i="9"/>
  <c r="AH455" i="9" s="1"/>
  <c r="BF227" i="26"/>
  <c r="Z491" i="9"/>
  <c r="AA491" i="9" s="1"/>
  <c r="AG434" i="9"/>
  <c r="AE434" i="9" s="1"/>
  <c r="AH415" i="9"/>
  <c r="AF415" i="9" s="1"/>
  <c r="AH482" i="9"/>
  <c r="AF482" i="9" s="1"/>
  <c r="AH451" i="9"/>
  <c r="AF451" i="9" s="1"/>
  <c r="AH481" i="9"/>
  <c r="AF481" i="9" s="1"/>
  <c r="AH441" i="9"/>
  <c r="AF441" i="9" s="1"/>
  <c r="AG476" i="9"/>
  <c r="AE476" i="9" s="1"/>
  <c r="AG481" i="9"/>
  <c r="AE481" i="9" s="1"/>
  <c r="AA478" i="6"/>
  <c r="AE478" i="6" s="1"/>
  <c r="AF448" i="6"/>
  <c r="AG471" i="9"/>
  <c r="AE471" i="9" s="1"/>
  <c r="AG420" i="9"/>
  <c r="AE420" i="9" s="1"/>
  <c r="AG452" i="9"/>
  <c r="AE452" i="9" s="1"/>
  <c r="AH437" i="9"/>
  <c r="AF437" i="9" s="1"/>
  <c r="AE487" i="6"/>
  <c r="AG428" i="9"/>
  <c r="AE428" i="9" s="1"/>
  <c r="AA459" i="6"/>
  <c r="AA417" i="6"/>
  <c r="AG460" i="9"/>
  <c r="AE460" i="9" s="1"/>
  <c r="AH439" i="9"/>
  <c r="AF439" i="9" s="1"/>
  <c r="AH427" i="9"/>
  <c r="AF427" i="9" s="1"/>
  <c r="AG467" i="9"/>
  <c r="AE467" i="9" s="1"/>
  <c r="AG424" i="9"/>
  <c r="AE424" i="9" s="1"/>
  <c r="AA475" i="6"/>
  <c r="AG455" i="9"/>
  <c r="AE455" i="9" s="1"/>
  <c r="AA436" i="6"/>
  <c r="AA439" i="6"/>
  <c r="AG419" i="9"/>
  <c r="AE419" i="9" s="1"/>
  <c r="AH429" i="9"/>
  <c r="AF429" i="9" s="1"/>
  <c r="AH417" i="9"/>
  <c r="AF417" i="9" s="1"/>
  <c r="AH438" i="9"/>
  <c r="AF438" i="9" s="1"/>
  <c r="AE492" i="6"/>
  <c r="AG442" i="9"/>
  <c r="AE442" i="9" s="1"/>
  <c r="AF505" i="6"/>
  <c r="AF500" i="6"/>
  <c r="AF466" i="6"/>
  <c r="AF431" i="6"/>
  <c r="AF459" i="6"/>
  <c r="AF492" i="6"/>
  <c r="AF480" i="6"/>
  <c r="AF499" i="6"/>
  <c r="F216" i="27"/>
  <c r="J1104" i="10"/>
  <c r="BA227" i="10"/>
  <c r="BB215" i="10"/>
  <c r="BC215" i="10" s="1"/>
  <c r="Z304" i="27"/>
  <c r="J1027" i="10"/>
  <c r="BA237" i="10"/>
  <c r="BB216" i="10"/>
  <c r="BC216" i="10" s="1"/>
  <c r="BB231" i="10"/>
  <c r="BA304" i="10"/>
  <c r="BA231" i="10"/>
  <c r="BB239" i="10"/>
  <c r="BC239" i="10" s="1"/>
  <c r="BA216" i="10"/>
  <c r="BF223" i="26"/>
  <c r="J1015" i="10"/>
  <c r="Z234" i="27"/>
  <c r="Z35" i="27"/>
  <c r="BA254" i="10"/>
  <c r="Z69" i="27"/>
  <c r="J1039" i="10"/>
  <c r="BB237" i="10"/>
  <c r="BC237" i="10" s="1"/>
  <c r="BB228" i="10"/>
  <c r="BC228" i="10" s="1"/>
  <c r="BA228" i="10"/>
  <c r="Z331" i="27"/>
  <c r="BF215" i="26"/>
  <c r="BB222" i="10"/>
  <c r="BC222" i="10" s="1"/>
  <c r="BA222" i="10"/>
  <c r="BB229" i="10"/>
  <c r="J1029" i="10"/>
  <c r="AN394" i="10"/>
  <c r="AI394" i="10"/>
  <c r="AL394" i="10"/>
  <c r="AP394" i="10"/>
  <c r="AX394" i="10"/>
  <c r="AC394" i="10"/>
  <c r="W394" i="10"/>
  <c r="K394" i="10"/>
  <c r="AK394" i="10"/>
  <c r="Z251" i="27"/>
  <c r="Z214" i="27"/>
  <c r="H214" i="27"/>
  <c r="R497" i="26"/>
  <c r="I475" i="6" s="1"/>
  <c r="BF226" i="26"/>
  <c r="Z222" i="27"/>
  <c r="F222" i="27"/>
  <c r="R498" i="26"/>
  <c r="I476" i="6" s="1"/>
  <c r="H304" i="27"/>
  <c r="AR394" i="10"/>
  <c r="AT394" i="10"/>
  <c r="BA230" i="10"/>
  <c r="BB230" i="10"/>
  <c r="BC230" i="10" s="1"/>
  <c r="AJ394" i="10"/>
  <c r="AY394" i="10"/>
  <c r="AF394" i="10"/>
  <c r="X394" i="10"/>
  <c r="AD394" i="10"/>
  <c r="N394" i="10"/>
  <c r="T394" i="10"/>
  <c r="AM394" i="10"/>
  <c r="AS394" i="10"/>
  <c r="AV394" i="10"/>
  <c r="R394" i="10"/>
  <c r="V394" i="10"/>
  <c r="AA394" i="10"/>
  <c r="Z394" i="10"/>
  <c r="J394" i="10"/>
  <c r="O394" i="10"/>
  <c r="AB394" i="10"/>
  <c r="Y394" i="10"/>
  <c r="M394" i="10"/>
  <c r="AU394" i="10"/>
  <c r="S394" i="10"/>
  <c r="BB238" i="10"/>
  <c r="BA238" i="10"/>
  <c r="P394" i="10"/>
  <c r="U394" i="10"/>
  <c r="L394" i="10"/>
  <c r="AO394" i="10"/>
  <c r="AH394" i="10"/>
  <c r="AQ394" i="10"/>
  <c r="AG394" i="10"/>
  <c r="AE394" i="10"/>
  <c r="Q394" i="10"/>
  <c r="AW394" i="10"/>
  <c r="Z226" i="27"/>
  <c r="P494" i="26"/>
  <c r="G472" i="6" s="1"/>
  <c r="BF494" i="26"/>
  <c r="BF216" i="10"/>
  <c r="H472" i="6"/>
  <c r="AC472" i="6" s="1"/>
  <c r="AD472" i="6" s="1"/>
  <c r="R494" i="26"/>
  <c r="I472" i="6" s="1"/>
  <c r="BC214" i="10"/>
  <c r="BF214" i="10"/>
  <c r="AT493" i="26"/>
  <c r="AX493" i="26" s="1"/>
  <c r="P493" i="26" s="1"/>
  <c r="G468" i="9" s="1"/>
  <c r="Z221" i="27"/>
  <c r="R506" i="26"/>
  <c r="I483" i="6" s="1"/>
  <c r="Z17" i="27"/>
  <c r="Z80" i="27"/>
  <c r="H445" i="6"/>
  <c r="AC445" i="6" s="1"/>
  <c r="AD445" i="6" s="1"/>
  <c r="H449" i="9"/>
  <c r="H456" i="6"/>
  <c r="AC456" i="6" s="1"/>
  <c r="AD456" i="6" s="1"/>
  <c r="H421" i="9"/>
  <c r="AP484" i="26"/>
  <c r="AV484" i="26" s="1"/>
  <c r="P484" i="26" s="1"/>
  <c r="G466" i="6" s="1"/>
  <c r="Z220" i="27"/>
  <c r="R532" i="26"/>
  <c r="I488" i="9" s="1"/>
  <c r="G428" i="9"/>
  <c r="Z167" i="27"/>
  <c r="Z386" i="27"/>
  <c r="BC387" i="10"/>
  <c r="BF387" i="10"/>
  <c r="Z81" i="27"/>
  <c r="R418" i="26"/>
  <c r="H416" i="6"/>
  <c r="AC416" i="6" s="1"/>
  <c r="AD416" i="6" s="1"/>
  <c r="H416" i="9"/>
  <c r="F416" i="6"/>
  <c r="F416" i="9"/>
  <c r="BC85" i="10"/>
  <c r="BF85" i="10"/>
  <c r="O1194" i="10"/>
  <c r="AV418" i="26"/>
  <c r="AT418" i="26"/>
  <c r="AX418" i="26" s="1"/>
  <c r="BC34" i="10"/>
  <c r="BF34" i="10"/>
  <c r="Z284" i="27"/>
  <c r="Z267" i="27"/>
  <c r="Z161" i="27"/>
  <c r="Z348" i="27"/>
  <c r="Z29" i="27"/>
  <c r="Z286" i="27"/>
  <c r="Z309" i="27"/>
  <c r="AC1194" i="10"/>
  <c r="N1194" i="10"/>
  <c r="AG1194" i="10"/>
  <c r="AB1194" i="10"/>
  <c r="AD1194" i="10"/>
  <c r="R1194" i="10"/>
  <c r="AW1194" i="10"/>
  <c r="AR1194" i="10"/>
  <c r="AN1194" i="10"/>
  <c r="AP1194" i="10"/>
  <c r="AK1194" i="10"/>
  <c r="AO1194" i="10"/>
  <c r="U1194" i="10"/>
  <c r="Y1194" i="10"/>
  <c r="M1194" i="10"/>
  <c r="Q1194" i="10"/>
  <c r="W1194" i="10"/>
  <c r="AI1194" i="10"/>
  <c r="J1194" i="10"/>
  <c r="L1194" i="10"/>
  <c r="T1194" i="10"/>
  <c r="AL1194" i="10"/>
  <c r="AE1194" i="10"/>
  <c r="AT1194" i="10"/>
  <c r="Z1194" i="10"/>
  <c r="AE224" i="9"/>
  <c r="S1194" i="10"/>
  <c r="K1194" i="10"/>
  <c r="V1194" i="10"/>
  <c r="AH1194" i="10"/>
  <c r="AV1194" i="10"/>
  <c r="AE230" i="9"/>
  <c r="AE238" i="9"/>
  <c r="AE237" i="9"/>
  <c r="AY1194" i="10"/>
  <c r="AU1594" i="10"/>
  <c r="AX1594" i="10"/>
  <c r="AQ1194" i="10"/>
  <c r="AY1594" i="10"/>
  <c r="AV1594" i="10"/>
  <c r="AE245" i="9"/>
  <c r="Z181" i="27"/>
  <c r="Z186" i="27"/>
  <c r="Z190" i="27"/>
  <c r="Z91" i="27"/>
  <c r="Z127" i="27"/>
  <c r="G499" i="6"/>
  <c r="Z179" i="27"/>
  <c r="Z52" i="27"/>
  <c r="Z86" i="27"/>
  <c r="R476" i="26"/>
  <c r="I455" i="9" s="1"/>
  <c r="F456" i="9"/>
  <c r="Z204" i="27"/>
  <c r="Z157" i="27"/>
  <c r="Z185" i="27"/>
  <c r="Z370" i="27"/>
  <c r="Z59" i="27"/>
  <c r="AP511" i="26"/>
  <c r="AV511" i="26" s="1"/>
  <c r="P511" i="26" s="1"/>
  <c r="G488" i="6" s="1"/>
  <c r="Z60" i="27"/>
  <c r="Z389" i="27"/>
  <c r="Z63" i="27"/>
  <c r="Z237" i="27"/>
  <c r="Z381" i="27"/>
  <c r="F488" i="6"/>
  <c r="F472" i="9"/>
  <c r="Z293" i="27"/>
  <c r="H488" i="6"/>
  <c r="AC488" i="6" s="1"/>
  <c r="AD488" i="6" s="1"/>
  <c r="H472" i="9"/>
  <c r="R511" i="26"/>
  <c r="Z349" i="27"/>
  <c r="H458" i="6"/>
  <c r="AC458" i="6" s="1"/>
  <c r="AD458" i="6" s="1"/>
  <c r="R469" i="26"/>
  <c r="I458" i="6" s="1"/>
  <c r="Z260" i="27"/>
  <c r="Z383" i="27"/>
  <c r="Z205" i="27"/>
  <c r="Z343" i="27"/>
  <c r="Z146" i="27"/>
  <c r="Z78" i="27"/>
  <c r="BF433" i="26"/>
  <c r="AP433" i="26"/>
  <c r="AV433" i="26" s="1"/>
  <c r="P433" i="26" s="1"/>
  <c r="F425" i="9"/>
  <c r="G497" i="6"/>
  <c r="AP413" i="26"/>
  <c r="AV413" i="26" s="1"/>
  <c r="P413" i="26" s="1"/>
  <c r="G412" i="6" s="1"/>
  <c r="BF493" i="26"/>
  <c r="BF445" i="26"/>
  <c r="BF507" i="26"/>
  <c r="AP507" i="26"/>
  <c r="AV507" i="26" s="1"/>
  <c r="P507" i="26" s="1"/>
  <c r="G484" i="6" s="1"/>
  <c r="AP429" i="26"/>
  <c r="AV429" i="26" s="1"/>
  <c r="P429" i="26" s="1"/>
  <c r="G424" i="6" s="1"/>
  <c r="BF429" i="26"/>
  <c r="H231" i="27"/>
  <c r="AP501" i="26"/>
  <c r="AV501" i="26" s="1"/>
  <c r="P501" i="26" s="1"/>
  <c r="G479" i="6" s="1"/>
  <c r="BF501" i="26"/>
  <c r="AP497" i="26"/>
  <c r="AV497" i="26" s="1"/>
  <c r="P497" i="26" s="1"/>
  <c r="G475" i="6" s="1"/>
  <c r="BF497" i="26"/>
  <c r="H421" i="6"/>
  <c r="AC421" i="6" s="1"/>
  <c r="AD421" i="6" s="1"/>
  <c r="R423" i="26"/>
  <c r="I421" i="6" s="1"/>
  <c r="AP537" i="26"/>
  <c r="BF537" i="26"/>
  <c r="AP439" i="26"/>
  <c r="BF439" i="26"/>
  <c r="AP417" i="26"/>
  <c r="BF417" i="26"/>
  <c r="BF423" i="26"/>
  <c r="AP423" i="26"/>
  <c r="AV423" i="26" s="1"/>
  <c r="P423" i="26" s="1"/>
  <c r="G421" i="6" s="1"/>
  <c r="Z330" i="27"/>
  <c r="Z231" i="27"/>
  <c r="Z377" i="27"/>
  <c r="H238" i="27"/>
  <c r="Z230" i="27"/>
  <c r="H230" i="27"/>
  <c r="Z270" i="27"/>
  <c r="Z357" i="27"/>
  <c r="I445" i="9"/>
  <c r="Z95" i="27"/>
  <c r="H490" i="9"/>
  <c r="Z290" i="27"/>
  <c r="Z287" i="27"/>
  <c r="Z123" i="27"/>
  <c r="R450" i="26"/>
  <c r="I436" i="9" s="1"/>
  <c r="Z240" i="27"/>
  <c r="Z107" i="27"/>
  <c r="Z42" i="27"/>
  <c r="Z62" i="27"/>
  <c r="AP438" i="26"/>
  <c r="AV438" i="26" s="1"/>
  <c r="P438" i="26" s="1"/>
  <c r="G433" i="6" s="1"/>
  <c r="G427" i="9"/>
  <c r="G447" i="6"/>
  <c r="I449" i="6"/>
  <c r="H436" i="9"/>
  <c r="F496" i="6"/>
  <c r="H471" i="6"/>
  <c r="AC471" i="6" s="1"/>
  <c r="AD471" i="6" s="1"/>
  <c r="I434" i="9"/>
  <c r="I441" i="6"/>
  <c r="F507" i="6"/>
  <c r="F492" i="9"/>
  <c r="H418" i="9"/>
  <c r="AC418" i="9" s="1"/>
  <c r="AD418" i="9" s="1"/>
  <c r="F483" i="9"/>
  <c r="Z354" i="27"/>
  <c r="G474" i="9"/>
  <c r="I418" i="9"/>
  <c r="R424" i="26"/>
  <c r="I420" i="9" s="1"/>
  <c r="H420" i="9"/>
  <c r="I489" i="9"/>
  <c r="I503" i="6"/>
  <c r="I456" i="6"/>
  <c r="I449" i="9"/>
  <c r="I432" i="9"/>
  <c r="G484" i="9"/>
  <c r="H474" i="6"/>
  <c r="AC474" i="6" s="1"/>
  <c r="AD474" i="6" s="1"/>
  <c r="R496" i="26"/>
  <c r="I474" i="6" s="1"/>
  <c r="H484" i="6"/>
  <c r="AC484" i="6" s="1"/>
  <c r="AD484" i="6" s="1"/>
  <c r="R507" i="26"/>
  <c r="I484" i="6" s="1"/>
  <c r="H462" i="9"/>
  <c r="R485" i="26"/>
  <c r="I462" i="9" s="1"/>
  <c r="BF443" i="26"/>
  <c r="AP443" i="26"/>
  <c r="H468" i="6"/>
  <c r="AC468" i="6" s="1"/>
  <c r="AD468" i="6" s="1"/>
  <c r="R488" i="26"/>
  <c r="H465" i="9"/>
  <c r="F430" i="9"/>
  <c r="F438" i="6"/>
  <c r="G468" i="6"/>
  <c r="G465" i="9"/>
  <c r="I491" i="6"/>
  <c r="I474" i="9"/>
  <c r="F465" i="9"/>
  <c r="F468" i="6"/>
  <c r="I492" i="9"/>
  <c r="I506" i="6"/>
  <c r="H438" i="6"/>
  <c r="AC438" i="6" s="1"/>
  <c r="AD438" i="6" s="1"/>
  <c r="H430" i="9"/>
  <c r="R443" i="26"/>
  <c r="R459" i="26"/>
  <c r="I443" i="9" s="1"/>
  <c r="H443" i="9"/>
  <c r="Z244" i="27"/>
  <c r="H244" i="27"/>
  <c r="H479" i="6"/>
  <c r="AC479" i="6" s="1"/>
  <c r="AD479" i="6" s="1"/>
  <c r="R501" i="26"/>
  <c r="I479" i="6" s="1"/>
  <c r="H450" i="9"/>
  <c r="R468" i="26"/>
  <c r="H457" i="6"/>
  <c r="AC457" i="6" s="1"/>
  <c r="AD457" i="6" s="1"/>
  <c r="Z358" i="27"/>
  <c r="H424" i="6"/>
  <c r="AC424" i="6" s="1"/>
  <c r="AD424" i="6" s="1"/>
  <c r="R429" i="26"/>
  <c r="I424" i="6" s="1"/>
  <c r="I435" i="9"/>
  <c r="I442" i="6"/>
  <c r="F450" i="9"/>
  <c r="F457" i="6"/>
  <c r="BF516" i="26"/>
  <c r="AP516" i="26"/>
  <c r="G453" i="9"/>
  <c r="G461" i="6"/>
  <c r="F444" i="9"/>
  <c r="F450" i="6"/>
  <c r="R516" i="26"/>
  <c r="I493" i="6" s="1"/>
  <c r="H493" i="6"/>
  <c r="AC493" i="6" s="1"/>
  <c r="AD493" i="6" s="1"/>
  <c r="F461" i="6"/>
  <c r="F453" i="9"/>
  <c r="Z135" i="27"/>
  <c r="H224" i="27"/>
  <c r="Z224" i="27"/>
  <c r="F454" i="6"/>
  <c r="F447" i="9"/>
  <c r="Z447" i="9" s="1"/>
  <c r="AA447" i="9" s="1"/>
  <c r="H453" i="9"/>
  <c r="H461" i="6"/>
  <c r="AC461" i="6" s="1"/>
  <c r="AD461" i="6" s="1"/>
  <c r="R474" i="26"/>
  <c r="H447" i="9"/>
  <c r="R465" i="26"/>
  <c r="H454" i="6"/>
  <c r="AC454" i="6" s="1"/>
  <c r="AD454" i="6" s="1"/>
  <c r="H245" i="27"/>
  <c r="H450" i="6"/>
  <c r="AC450" i="6" s="1"/>
  <c r="AD450" i="6" s="1"/>
  <c r="H444" i="9"/>
  <c r="R460" i="26"/>
  <c r="H223" i="27"/>
  <c r="AE223" i="9"/>
  <c r="I463" i="6"/>
  <c r="I456" i="9"/>
  <c r="Z70" i="27"/>
  <c r="H432" i="6"/>
  <c r="AC432" i="6" s="1"/>
  <c r="AD432" i="6" s="1"/>
  <c r="H426" i="9"/>
  <c r="R437" i="26"/>
  <c r="F432" i="6"/>
  <c r="F426" i="9"/>
  <c r="Z164" i="27"/>
  <c r="H486" i="9"/>
  <c r="R530" i="26"/>
  <c r="I486" i="9" s="1"/>
  <c r="I501" i="6"/>
  <c r="I483" i="9"/>
  <c r="AE216" i="9"/>
  <c r="AP530" i="26"/>
  <c r="I507" i="6"/>
  <c r="I493" i="9"/>
  <c r="H435" i="6"/>
  <c r="AC435" i="6" s="1"/>
  <c r="AD435" i="6" s="1"/>
  <c r="R440" i="26"/>
  <c r="I435" i="6" s="1"/>
  <c r="H216" i="27"/>
  <c r="Z216" i="27"/>
  <c r="AE250" i="9"/>
  <c r="Z265" i="27"/>
  <c r="Z250" i="27"/>
  <c r="H250" i="27"/>
  <c r="Z160" i="27"/>
  <c r="I484" i="9"/>
  <c r="I502" i="6"/>
  <c r="I466" i="9"/>
  <c r="I469" i="6"/>
  <c r="BF513" i="26"/>
  <c r="AP513" i="26"/>
  <c r="F490" i="6"/>
  <c r="Z490" i="6" s="1"/>
  <c r="AG490" i="6" s="1"/>
  <c r="F473" i="9"/>
  <c r="I478" i="9"/>
  <c r="I496" i="6"/>
  <c r="AE62" i="6"/>
  <c r="AE62" i="9"/>
  <c r="I498" i="6"/>
  <c r="I480" i="9"/>
  <c r="I469" i="9"/>
  <c r="I473" i="6"/>
  <c r="R513" i="26"/>
  <c r="H490" i="6"/>
  <c r="AC490" i="6" s="1"/>
  <c r="AD490" i="6" s="1"/>
  <c r="H473" i="9"/>
  <c r="Z335" i="27"/>
  <c r="Z266" i="27"/>
  <c r="AX1194" i="10" l="1"/>
  <c r="Q396" i="10"/>
  <c r="AE434" i="6"/>
  <c r="AA476" i="6"/>
  <c r="AE476" i="6" s="1"/>
  <c r="AE216" i="6"/>
  <c r="AF494" i="6"/>
  <c r="Z436" i="9"/>
  <c r="AA436" i="9" s="1"/>
  <c r="K396" i="10"/>
  <c r="AF437" i="6"/>
  <c r="AK396" i="10"/>
  <c r="AS396" i="10"/>
  <c r="AE441" i="6"/>
  <c r="U396" i="10"/>
  <c r="AI396" i="10"/>
  <c r="AW1594" i="10"/>
  <c r="G466" i="9"/>
  <c r="AA415" i="6"/>
  <c r="AE415" i="6" s="1"/>
  <c r="G436" i="9"/>
  <c r="G443" i="6"/>
  <c r="P421" i="26"/>
  <c r="G419" i="6" s="1"/>
  <c r="P465" i="26"/>
  <c r="G447" i="9" s="1"/>
  <c r="P468" i="26"/>
  <c r="G450" i="9" s="1"/>
  <c r="P415" i="26"/>
  <c r="G413" i="6" s="1"/>
  <c r="P495" i="26"/>
  <c r="G478" i="9"/>
  <c r="G496" i="6"/>
  <c r="G420" i="6"/>
  <c r="G418" i="9"/>
  <c r="G419" i="9"/>
  <c r="G422" i="6"/>
  <c r="G463" i="6"/>
  <c r="G456" i="9"/>
  <c r="G432" i="9"/>
  <c r="G440" i="6"/>
  <c r="G483" i="9"/>
  <c r="G501" i="6"/>
  <c r="AN396" i="10"/>
  <c r="P427" i="26"/>
  <c r="G423" i="6" s="1"/>
  <c r="P432" i="26"/>
  <c r="G427" i="6" s="1"/>
  <c r="P524" i="26"/>
  <c r="G480" i="9" s="1"/>
  <c r="P506" i="26"/>
  <c r="G483" i="6" s="1"/>
  <c r="BF215" i="10"/>
  <c r="P437" i="26"/>
  <c r="G426" i="9" s="1"/>
  <c r="P440" i="26"/>
  <c r="G435" i="6" s="1"/>
  <c r="P444" i="26"/>
  <c r="G431" i="9" s="1"/>
  <c r="P449" i="26"/>
  <c r="G435" i="9" s="1"/>
  <c r="P460" i="26"/>
  <c r="P505" i="26"/>
  <c r="G482" i="6" s="1"/>
  <c r="P504" i="26"/>
  <c r="G470" i="9" s="1"/>
  <c r="G442" i="6"/>
  <c r="AV537" i="26"/>
  <c r="AT537" i="26"/>
  <c r="AX537" i="26" s="1"/>
  <c r="M396" i="10"/>
  <c r="BC304" i="10"/>
  <c r="BF304" i="10"/>
  <c r="AH396" i="10"/>
  <c r="G454" i="6"/>
  <c r="AT396" i="10"/>
  <c r="AT520" i="26"/>
  <c r="AX520" i="26" s="1"/>
  <c r="P520" i="26" s="1"/>
  <c r="BC254" i="10"/>
  <c r="BF254" i="10"/>
  <c r="AV516" i="26"/>
  <c r="AT516" i="26"/>
  <c r="AX516" i="26" s="1"/>
  <c r="AV513" i="26"/>
  <c r="AT513" i="26"/>
  <c r="AX513" i="26" s="1"/>
  <c r="BC247" i="10"/>
  <c r="BF247" i="10"/>
  <c r="AB396" i="10"/>
  <c r="BC238" i="10"/>
  <c r="BF238" i="10"/>
  <c r="BC231" i="10"/>
  <c r="BF231" i="10"/>
  <c r="BC229" i="10"/>
  <c r="BF229" i="10"/>
  <c r="BC227" i="10"/>
  <c r="BF227" i="10"/>
  <c r="AT498" i="26"/>
  <c r="AX498" i="26" s="1"/>
  <c r="AV498" i="26"/>
  <c r="AL396" i="10"/>
  <c r="AI2" i="10"/>
  <c r="AI4" i="10" s="1"/>
  <c r="BB1400" i="10"/>
  <c r="BD1400" i="10" s="1"/>
  <c r="AV443" i="26"/>
  <c r="AT443" i="26"/>
  <c r="AX443" i="26" s="1"/>
  <c r="AK2" i="10"/>
  <c r="AK4" i="10" s="1"/>
  <c r="S396" i="10"/>
  <c r="BB1474" i="10"/>
  <c r="BD1474" i="10" s="1"/>
  <c r="AV439" i="26"/>
  <c r="AT439" i="26"/>
  <c r="AX439" i="26" s="1"/>
  <c r="R1195" i="10"/>
  <c r="N1195" i="10"/>
  <c r="M1195" i="10"/>
  <c r="AS1195" i="10"/>
  <c r="AV417" i="26"/>
  <c r="AT417" i="26"/>
  <c r="AX417" i="26" s="1"/>
  <c r="AN1195" i="10"/>
  <c r="BB1249" i="10"/>
  <c r="BD1249" i="10" s="1"/>
  <c r="BB1498" i="10"/>
  <c r="BC1498" i="10" s="1"/>
  <c r="BB1241" i="10"/>
  <c r="BD1241" i="10" s="1"/>
  <c r="BB1292" i="10"/>
  <c r="BC1292" i="10" s="1"/>
  <c r="BB1517" i="10"/>
  <c r="BD1517" i="10" s="1"/>
  <c r="BB1294" i="10"/>
  <c r="BC1294" i="10" s="1"/>
  <c r="BB1357" i="10"/>
  <c r="BC1357" i="10" s="1"/>
  <c r="W396" i="10"/>
  <c r="AE396" i="10"/>
  <c r="AV396" i="10"/>
  <c r="Q2" i="10"/>
  <c r="Q4" i="10" s="1"/>
  <c r="X396" i="10"/>
  <c r="AF414" i="6"/>
  <c r="P412" i="26"/>
  <c r="G412" i="9" s="1"/>
  <c r="AR396" i="10"/>
  <c r="BB1589" i="10"/>
  <c r="BC1589" i="10" s="1"/>
  <c r="BB1277" i="10"/>
  <c r="BC1277" i="10" s="1"/>
  <c r="AD396" i="10"/>
  <c r="BB1478" i="10"/>
  <c r="BC1478" i="10" s="1"/>
  <c r="AH1195" i="10"/>
  <c r="BB1395" i="10"/>
  <c r="AP396" i="10"/>
  <c r="BB1264" i="10"/>
  <c r="BD1264" i="10" s="1"/>
  <c r="AF396" i="10"/>
  <c r="BB1239" i="10"/>
  <c r="AE1195" i="10"/>
  <c r="J1195" i="10"/>
  <c r="BB1487" i="10"/>
  <c r="BD1487" i="10" s="1"/>
  <c r="AH2" i="10"/>
  <c r="AH4" i="10" s="1"/>
  <c r="P396" i="10"/>
  <c r="AN2" i="10"/>
  <c r="AN4" i="10" s="1"/>
  <c r="AG396" i="10"/>
  <c r="BB1283" i="10"/>
  <c r="BB1527" i="10"/>
  <c r="BC1527" i="10" s="1"/>
  <c r="W1195" i="10"/>
  <c r="AB1195" i="10"/>
  <c r="AM1195" i="10"/>
  <c r="BB1441" i="10"/>
  <c r="BA1441" i="10" s="1"/>
  <c r="BB1580" i="10"/>
  <c r="BD1580" i="10" s="1"/>
  <c r="BB1350" i="10"/>
  <c r="BD1350" i="10" s="1"/>
  <c r="BB1367" i="10"/>
  <c r="BC1367" i="10" s="1"/>
  <c r="O1195" i="10"/>
  <c r="AV530" i="26"/>
  <c r="AT530" i="26"/>
  <c r="AX530" i="26" s="1"/>
  <c r="BB1505" i="10"/>
  <c r="BD1505" i="10" s="1"/>
  <c r="V1195" i="10"/>
  <c r="BB1506" i="10"/>
  <c r="BC1506" i="10" s="1"/>
  <c r="BB1297" i="10"/>
  <c r="BC1297" i="10" s="1"/>
  <c r="AG1195" i="10"/>
  <c r="BB1403" i="10"/>
  <c r="BD1403" i="10" s="1"/>
  <c r="BB1393" i="10"/>
  <c r="BC1393" i="10" s="1"/>
  <c r="AO396" i="10"/>
  <c r="BB1553" i="10"/>
  <c r="BB1252" i="10"/>
  <c r="BC1252" i="10" s="1"/>
  <c r="BB1282" i="10"/>
  <c r="BD1282" i="10" s="1"/>
  <c r="BB1421" i="10"/>
  <c r="BD1421" i="10" s="1"/>
  <c r="BB1573" i="10"/>
  <c r="BC1573" i="10" s="1"/>
  <c r="BB1530" i="10"/>
  <c r="BC1530" i="10" s="1"/>
  <c r="Y1195" i="10"/>
  <c r="BB1359" i="10"/>
  <c r="BD1359" i="10" s="1"/>
  <c r="AI1195" i="10"/>
  <c r="AJ396" i="10"/>
  <c r="N396" i="10"/>
  <c r="BB1254" i="10"/>
  <c r="BD1254" i="10" s="1"/>
  <c r="BB1388" i="10"/>
  <c r="BC1388" i="10" s="1"/>
  <c r="BB1301" i="10"/>
  <c r="BD1301" i="10" s="1"/>
  <c r="BB1240" i="10"/>
  <c r="BD1240" i="10" s="1"/>
  <c r="V396" i="10"/>
  <c r="AT1195" i="10"/>
  <c r="BB1526" i="10"/>
  <c r="BD1526" i="10" s="1"/>
  <c r="BB1571" i="10"/>
  <c r="BA1571" i="10" s="1"/>
  <c r="BB1435" i="10"/>
  <c r="BC1435" i="10" s="1"/>
  <c r="BB1500" i="10"/>
  <c r="BB1542" i="10"/>
  <c r="BC1542" i="10" s="1"/>
  <c r="BB1305" i="10"/>
  <c r="BC1305" i="10" s="1"/>
  <c r="BB1424" i="10"/>
  <c r="BC1424" i="10" s="1"/>
  <c r="BB1511" i="10"/>
  <c r="BD1511" i="10" s="1"/>
  <c r="BB1384" i="10"/>
  <c r="BC1384" i="10" s="1"/>
  <c r="BB1391" i="10"/>
  <c r="BD1391" i="10" s="1"/>
  <c r="BB1360" i="10"/>
  <c r="BD1360" i="10" s="1"/>
  <c r="BB1358" i="10"/>
  <c r="BD1358" i="10" s="1"/>
  <c r="BB1389" i="10"/>
  <c r="BA1389" i="10" s="1"/>
  <c r="R396" i="10"/>
  <c r="AM396" i="10"/>
  <c r="BB1329" i="10"/>
  <c r="BD1329" i="10" s="1"/>
  <c r="AH1193" i="10"/>
  <c r="AH3" i="10" s="1"/>
  <c r="AU1596" i="10"/>
  <c r="BB1408" i="10"/>
  <c r="BC1408" i="10" s="1"/>
  <c r="BB1311" i="10"/>
  <c r="BD1311" i="10" s="1"/>
  <c r="BB1476" i="10"/>
  <c r="BC1476" i="10" s="1"/>
  <c r="BB1328" i="10"/>
  <c r="BD1328" i="10" s="1"/>
  <c r="BB1289" i="10"/>
  <c r="BD1289" i="10" s="1"/>
  <c r="BB1236" i="10"/>
  <c r="BD1236" i="10" s="1"/>
  <c r="BB1375" i="10"/>
  <c r="BC1375" i="10" s="1"/>
  <c r="BB1310" i="10"/>
  <c r="BC1310" i="10" s="1"/>
  <c r="BB1303" i="10"/>
  <c r="BD1303" i="10" s="1"/>
  <c r="BB1425" i="10"/>
  <c r="BC1425" i="10" s="1"/>
  <c r="BB1423" i="10"/>
  <c r="BC1423" i="10" s="1"/>
  <c r="BB1483" i="10"/>
  <c r="BD1483" i="10" s="1"/>
  <c r="BB1556" i="10"/>
  <c r="BD1556" i="10" s="1"/>
  <c r="BB1281" i="10"/>
  <c r="BD1281" i="10" s="1"/>
  <c r="BB1481" i="10"/>
  <c r="BC1481" i="10" s="1"/>
  <c r="BB1399" i="10"/>
  <c r="BD1399" i="10" s="1"/>
  <c r="BB1564" i="10"/>
  <c r="BD1564" i="10" s="1"/>
  <c r="BB1410" i="10"/>
  <c r="BA1410" i="10" s="1"/>
  <c r="BB1453" i="10"/>
  <c r="BC1453" i="10" s="1"/>
  <c r="BB1520" i="10"/>
  <c r="BD1520" i="10" s="1"/>
  <c r="U1195" i="10"/>
  <c r="K1195" i="10"/>
  <c r="Z1195" i="10"/>
  <c r="AL1195" i="10"/>
  <c r="BB1531" i="10"/>
  <c r="BD1531" i="10" s="1"/>
  <c r="BB1576" i="10"/>
  <c r="BB1269" i="10"/>
  <c r="BD1269" i="10" s="1"/>
  <c r="Y396" i="10"/>
  <c r="AV1195" i="10"/>
  <c r="AX1195" i="10"/>
  <c r="BB1529" i="10"/>
  <c r="BC1529" i="10" s="1"/>
  <c r="U2" i="10"/>
  <c r="U4" i="10" s="1"/>
  <c r="O396" i="10"/>
  <c r="AW1195" i="10"/>
  <c r="BB1508" i="10"/>
  <c r="BA1508" i="10" s="1"/>
  <c r="BB1396" i="10"/>
  <c r="BA1396" i="10" s="1"/>
  <c r="X1195" i="10"/>
  <c r="BB1323" i="10"/>
  <c r="AF1195" i="10"/>
  <c r="BB1584" i="10"/>
  <c r="BA1584" i="10" s="1"/>
  <c r="BB1402" i="10"/>
  <c r="BD1402" i="10" s="1"/>
  <c r="BB1480" i="10"/>
  <c r="BB1387" i="10"/>
  <c r="BD1387" i="10" s="1"/>
  <c r="BB1280" i="10"/>
  <c r="BD1280" i="10" s="1"/>
  <c r="BB1491" i="10"/>
  <c r="BD1491" i="10" s="1"/>
  <c r="BB1565" i="10"/>
  <c r="BD1565" i="10" s="1"/>
  <c r="BB1381" i="10"/>
  <c r="BD1381" i="10" s="1"/>
  <c r="BB1228" i="10"/>
  <c r="BC1228" i="10" s="1"/>
  <c r="BB1287" i="10"/>
  <c r="BD1287" i="10" s="1"/>
  <c r="BB1356" i="10"/>
  <c r="BC1356" i="10" s="1"/>
  <c r="BB1413" i="10"/>
  <c r="BD1413" i="10" s="1"/>
  <c r="BB1463" i="10"/>
  <c r="BD1463" i="10" s="1"/>
  <c r="BB1317" i="10"/>
  <c r="BC1317" i="10" s="1"/>
  <c r="BB1501" i="10"/>
  <c r="BD1501" i="10" s="1"/>
  <c r="BB1471" i="10"/>
  <c r="BC1471" i="10" s="1"/>
  <c r="BB1288" i="10"/>
  <c r="BC1288" i="10" s="1"/>
  <c r="BB1459" i="10"/>
  <c r="BD1459" i="10" s="1"/>
  <c r="BB1378" i="10"/>
  <c r="BB1433" i="10"/>
  <c r="BD1433" i="10" s="1"/>
  <c r="BB1296" i="10"/>
  <c r="BC1296" i="10" s="1"/>
  <c r="BB1568" i="10"/>
  <c r="BC1568" i="10" s="1"/>
  <c r="BB1562" i="10"/>
  <c r="BB1578" i="10"/>
  <c r="BD1578" i="10" s="1"/>
  <c r="BB1555" i="10"/>
  <c r="BD1555" i="10" s="1"/>
  <c r="BB1558" i="10"/>
  <c r="BA1558" i="10" s="1"/>
  <c r="BB1312" i="10"/>
  <c r="BD1312" i="10" s="1"/>
  <c r="BB1417" i="10"/>
  <c r="BD1417" i="10" s="1"/>
  <c r="BB1271" i="10"/>
  <c r="BC1271" i="10" s="1"/>
  <c r="BB1440" i="10"/>
  <c r="BC1440" i="10" s="1"/>
  <c r="BB1293" i="10"/>
  <c r="BB1570" i="10"/>
  <c r="BC1570" i="10" s="1"/>
  <c r="BB1577" i="10"/>
  <c r="BC1577" i="10" s="1"/>
  <c r="BB1492" i="10"/>
  <c r="BC1492" i="10" s="1"/>
  <c r="BB1543" i="10"/>
  <c r="BD1543" i="10" s="1"/>
  <c r="BB1229" i="10"/>
  <c r="BC1229" i="10" s="1"/>
  <c r="BB1502" i="10"/>
  <c r="BC1502" i="10" s="1"/>
  <c r="BB1469" i="10"/>
  <c r="BD1469" i="10" s="1"/>
  <c r="BB1436" i="10"/>
  <c r="BB1374" i="10"/>
  <c r="BC1374" i="10" s="1"/>
  <c r="BB1581" i="10"/>
  <c r="BD1581" i="10" s="1"/>
  <c r="BB1482" i="10"/>
  <c r="BD1482" i="10" s="1"/>
  <c r="BB1348" i="10"/>
  <c r="BC1348" i="10" s="1"/>
  <c r="BB1221" i="10"/>
  <c r="BD1221" i="10" s="1"/>
  <c r="BB1361" i="10"/>
  <c r="BC1361" i="10" s="1"/>
  <c r="BB1284" i="10"/>
  <c r="BD1284" i="10" s="1"/>
  <c r="BB1230" i="10"/>
  <c r="BD1230" i="10" s="1"/>
  <c r="BB1385" i="10"/>
  <c r="BC1385" i="10" s="1"/>
  <c r="BB1338" i="10"/>
  <c r="BC1338" i="10" s="1"/>
  <c r="BB1322" i="10"/>
  <c r="BC1322" i="10" s="1"/>
  <c r="BB1302" i="10"/>
  <c r="BD1302" i="10" s="1"/>
  <c r="BB1452" i="10"/>
  <c r="BD1452" i="10" s="1"/>
  <c r="BB1587" i="10"/>
  <c r="BC1587" i="10" s="1"/>
  <c r="BB1224" i="10"/>
  <c r="BD1224" i="10" s="1"/>
  <c r="BB1247" i="10"/>
  <c r="BB1462" i="10"/>
  <c r="BD1462" i="10" s="1"/>
  <c r="G494" i="6"/>
  <c r="G475" i="9"/>
  <c r="AA1195" i="10"/>
  <c r="AT1193" i="10"/>
  <c r="AT3" i="10" s="1"/>
  <c r="BB1538" i="10"/>
  <c r="BC1538" i="10" s="1"/>
  <c r="BB1223" i="10"/>
  <c r="BC1223" i="10" s="1"/>
  <c r="BB1314" i="10"/>
  <c r="BB1412" i="10"/>
  <c r="BA1412" i="10" s="1"/>
  <c r="BB1534" i="10"/>
  <c r="BC1534" i="10" s="1"/>
  <c r="BB1246" i="10"/>
  <c r="BC1246" i="10" s="1"/>
  <c r="BB1489" i="10"/>
  <c r="BB1590" i="10"/>
  <c r="BC1590" i="10" s="1"/>
  <c r="BB1449" i="10"/>
  <c r="BD1449" i="10" s="1"/>
  <c r="BB1563" i="10"/>
  <c r="BD1563" i="10" s="1"/>
  <c r="BB1331" i="10"/>
  <c r="BC1331" i="10" s="1"/>
  <c r="AC1195" i="10"/>
  <c r="P518" i="26"/>
  <c r="G476" i="9" s="1"/>
  <c r="J1193" i="10"/>
  <c r="J3" i="10" s="1"/>
  <c r="BB1484" i="10"/>
  <c r="BA1484" i="10" s="1"/>
  <c r="BB1419" i="10"/>
  <c r="BD1419" i="10" s="1"/>
  <c r="T1195" i="10"/>
  <c r="AP1195" i="10"/>
  <c r="BB1286" i="10"/>
  <c r="BC1286" i="10" s="1"/>
  <c r="BB1458" i="10"/>
  <c r="BD1458" i="10" s="1"/>
  <c r="BB1250" i="10"/>
  <c r="BC1250" i="10" s="1"/>
  <c r="BB1222" i="10"/>
  <c r="BD1222" i="10" s="1"/>
  <c r="BB1265" i="10"/>
  <c r="BB1559" i="10"/>
  <c r="BA1559" i="10" s="1"/>
  <c r="BB1409" i="10"/>
  <c r="BC1409" i="10" s="1"/>
  <c r="P1195" i="10"/>
  <c r="AJ1195" i="10"/>
  <c r="BB1575" i="10"/>
  <c r="BC1575" i="10" s="1"/>
  <c r="BB1379" i="10"/>
  <c r="BD1379" i="10" s="1"/>
  <c r="BB1349" i="10"/>
  <c r="BD1349" i="10" s="1"/>
  <c r="BB1464" i="10"/>
  <c r="BB1546" i="10"/>
  <c r="BA1546" i="10" s="1"/>
  <c r="BB1259" i="10"/>
  <c r="BC1259" i="10" s="1"/>
  <c r="BB1251" i="10"/>
  <c r="BA1251" i="10" s="1"/>
  <c r="BB1539" i="10"/>
  <c r="BB1345" i="10"/>
  <c r="BC1345" i="10" s="1"/>
  <c r="AW1596" i="10"/>
  <c r="AA396" i="10"/>
  <c r="BB1427" i="10"/>
  <c r="BD1427" i="10" s="1"/>
  <c r="BB1255" i="10"/>
  <c r="BD1255" i="10" s="1"/>
  <c r="BB1513" i="10"/>
  <c r="BC1513" i="10" s="1"/>
  <c r="BB1446" i="10"/>
  <c r="BD1446" i="10" s="1"/>
  <c r="BB1540" i="10"/>
  <c r="BC1540" i="10" s="1"/>
  <c r="BB1333" i="10"/>
  <c r="BD1333" i="10" s="1"/>
  <c r="BB1315" i="10"/>
  <c r="BC1315" i="10" s="1"/>
  <c r="BB1549" i="10"/>
  <c r="BC1549" i="10" s="1"/>
  <c r="BB1450" i="10"/>
  <c r="BD1450" i="10" s="1"/>
  <c r="BB1545" i="10"/>
  <c r="BC1545" i="10" s="1"/>
  <c r="BB1588" i="10"/>
  <c r="BC1588" i="10" s="1"/>
  <c r="BB1377" i="10"/>
  <c r="BD1377" i="10" s="1"/>
  <c r="AY396" i="10"/>
  <c r="AC396" i="10"/>
  <c r="BB1214" i="10"/>
  <c r="BD1214" i="10" s="1"/>
  <c r="BB1523" i="10"/>
  <c r="BA1523" i="10" s="1"/>
  <c r="BB1407" i="10"/>
  <c r="BB1535" i="10"/>
  <c r="BC1535" i="10" s="1"/>
  <c r="S1195" i="10"/>
  <c r="BB1217" i="10"/>
  <c r="BC1217" i="10" s="1"/>
  <c r="AK1195" i="10"/>
  <c r="BB1227" i="10"/>
  <c r="BD1227" i="10" s="1"/>
  <c r="BB1536" i="10"/>
  <c r="BC1536" i="10" s="1"/>
  <c r="BB1257" i="10"/>
  <c r="BD1257" i="10" s="1"/>
  <c r="AO1193" i="10"/>
  <c r="BB1334" i="10"/>
  <c r="BD1334" i="10" s="1"/>
  <c r="BB1548" i="10"/>
  <c r="BD1548" i="10" s="1"/>
  <c r="BB1365" i="10"/>
  <c r="BD1365" i="10" s="1"/>
  <c r="L1195" i="10"/>
  <c r="AJ1193" i="10"/>
  <c r="AJ3" i="10" s="1"/>
  <c r="P519" i="26"/>
  <c r="G477" i="9" s="1"/>
  <c r="BB1309" i="10"/>
  <c r="BD1309" i="10" s="1"/>
  <c r="AU1597" i="10"/>
  <c r="BB1275" i="10"/>
  <c r="BD1275" i="10" s="1"/>
  <c r="BB1253" i="10"/>
  <c r="BD1253" i="10" s="1"/>
  <c r="BB1401" i="10"/>
  <c r="BD1401" i="10" s="1"/>
  <c r="BB1235" i="10"/>
  <c r="BB1552" i="10"/>
  <c r="BC1552" i="10" s="1"/>
  <c r="BB1339" i="10"/>
  <c r="BC1339" i="10" s="1"/>
  <c r="BB1380" i="10"/>
  <c r="BC1380" i="10" s="1"/>
  <c r="BB1468" i="10"/>
  <c r="BB1485" i="10"/>
  <c r="BD1485" i="10" s="1"/>
  <c r="BB1342" i="10"/>
  <c r="BC1342" i="10" s="1"/>
  <c r="BB1371" i="10"/>
  <c r="BD1371" i="10" s="1"/>
  <c r="BB1226" i="10"/>
  <c r="BD1226" i="10" s="1"/>
  <c r="BB1258" i="10"/>
  <c r="BC1258" i="10" s="1"/>
  <c r="BB1245" i="10"/>
  <c r="BC1245" i="10" s="1"/>
  <c r="BB1451" i="10"/>
  <c r="BC1451" i="10" s="1"/>
  <c r="BB1420" i="10"/>
  <c r="BD1420" i="10" s="1"/>
  <c r="BB1248" i="10"/>
  <c r="BC1248" i="10" s="1"/>
  <c r="BB1406" i="10"/>
  <c r="BC1406" i="10" s="1"/>
  <c r="BB1273" i="10"/>
  <c r="BC1273" i="10" s="1"/>
  <c r="BB1366" i="10"/>
  <c r="BD1366" i="10" s="1"/>
  <c r="BB1299" i="10"/>
  <c r="BD1299" i="10" s="1"/>
  <c r="BB1291" i="10"/>
  <c r="BC1291" i="10" s="1"/>
  <c r="BB1383" i="10"/>
  <c r="BC1383" i="10" s="1"/>
  <c r="BB1434" i="10"/>
  <c r="BC1434" i="10" s="1"/>
  <c r="BB1515" i="10"/>
  <c r="BD1515" i="10" s="1"/>
  <c r="BB1572" i="10"/>
  <c r="BC1572" i="10" s="1"/>
  <c r="BB1445" i="10"/>
  <c r="BC1445" i="10" s="1"/>
  <c r="BB1494" i="10"/>
  <c r="BB1466" i="10"/>
  <c r="BD1466" i="10" s="1"/>
  <c r="BB1343" i="10"/>
  <c r="BA1343" i="10" s="1"/>
  <c r="BB1326" i="10"/>
  <c r="BD1326" i="10" s="1"/>
  <c r="BB1518" i="10"/>
  <c r="BB1233" i="10"/>
  <c r="BA1233" i="10" s="1"/>
  <c r="BB1369" i="10"/>
  <c r="BC1369" i="10" s="1"/>
  <c r="BB1332" i="10"/>
  <c r="BA1332" i="10" s="1"/>
  <c r="BB1319" i="10"/>
  <c r="AR1195" i="10"/>
  <c r="BB1330" i="10"/>
  <c r="BC1330" i="10" s="1"/>
  <c r="BB1274" i="10"/>
  <c r="BD1274" i="10" s="1"/>
  <c r="BB1414" i="10"/>
  <c r="BC1414" i="10" s="1"/>
  <c r="BB1392" i="10"/>
  <c r="BC1392" i="10" s="1"/>
  <c r="BB1373" i="10"/>
  <c r="BC1373" i="10" s="1"/>
  <c r="BB1537" i="10"/>
  <c r="BC1537" i="10" s="1"/>
  <c r="BB1261" i="10"/>
  <c r="BB1216" i="10"/>
  <c r="BC1216" i="10" s="1"/>
  <c r="BB1237" i="10"/>
  <c r="BD1237" i="10" s="1"/>
  <c r="BB1272" i="10"/>
  <c r="BC1272" i="10" s="1"/>
  <c r="BB1397" i="10"/>
  <c r="BB1263" i="10"/>
  <c r="BC1263" i="10" s="1"/>
  <c r="BB1554" i="10"/>
  <c r="BD1554" i="10" s="1"/>
  <c r="BB1232" i="10"/>
  <c r="BD1232" i="10" s="1"/>
  <c r="BB1470" i="10"/>
  <c r="BC1470" i="10" s="1"/>
  <c r="BB1335" i="10"/>
  <c r="BD1335" i="10" s="1"/>
  <c r="BB1386" i="10"/>
  <c r="BC1386" i="10" s="1"/>
  <c r="BB1295" i="10"/>
  <c r="BC1295" i="10" s="1"/>
  <c r="BB1473" i="10"/>
  <c r="BB1238" i="10"/>
  <c r="BD1238" i="10" s="1"/>
  <c r="BB1327" i="10"/>
  <c r="BC1327" i="10" s="1"/>
  <c r="BB1488" i="10"/>
  <c r="BD1488" i="10" s="1"/>
  <c r="BB1363" i="10"/>
  <c r="BB1340" i="10"/>
  <c r="BD1340" i="10" s="1"/>
  <c r="BB1461" i="10"/>
  <c r="BA1461" i="10" s="1"/>
  <c r="BB1336" i="10"/>
  <c r="BD1336" i="10" s="1"/>
  <c r="BB1316" i="10"/>
  <c r="BB1382" i="10"/>
  <c r="BD1382" i="10" s="1"/>
  <c r="BB1479" i="10"/>
  <c r="BD1479" i="10" s="1"/>
  <c r="BB1346" i="10"/>
  <c r="BC1346" i="10" s="1"/>
  <c r="BB1266" i="10"/>
  <c r="BD1266" i="10" s="1"/>
  <c r="BB1521" i="10"/>
  <c r="BC1521" i="10" s="1"/>
  <c r="BB1418" i="10"/>
  <c r="BA1418" i="10" s="1"/>
  <c r="BB1325" i="10"/>
  <c r="BC1325" i="10" s="1"/>
  <c r="BB1499" i="10"/>
  <c r="BB1567" i="10"/>
  <c r="BA1567" i="10" s="1"/>
  <c r="AD1195" i="10"/>
  <c r="BB1308" i="10"/>
  <c r="BC1308" i="10" s="1"/>
  <c r="BB1278" i="10"/>
  <c r="BC1278" i="10" s="1"/>
  <c r="BB1472" i="10"/>
  <c r="BA1472" i="10" s="1"/>
  <c r="BB1579" i="10"/>
  <c r="BD1579" i="10" s="1"/>
  <c r="Z1193" i="10"/>
  <c r="Z3" i="10" s="1"/>
  <c r="AO1195" i="10"/>
  <c r="AQ1195" i="10"/>
  <c r="Q1195" i="10"/>
  <c r="P521" i="26"/>
  <c r="G495" i="6" s="1"/>
  <c r="BB1341" i="10"/>
  <c r="BC1341" i="10" s="1"/>
  <c r="BB1493" i="10"/>
  <c r="BD1493" i="10" s="1"/>
  <c r="AV1596" i="10"/>
  <c r="BB1300" i="10"/>
  <c r="BC1300" i="10" s="1"/>
  <c r="BB1516" i="10"/>
  <c r="BB1370" i="10"/>
  <c r="BC1370" i="10" s="1"/>
  <c r="AN1193" i="10"/>
  <c r="BB1447" i="10"/>
  <c r="BD1447" i="10" s="1"/>
  <c r="BB1429" i="10"/>
  <c r="BD1429" i="10" s="1"/>
  <c r="BB1439" i="10"/>
  <c r="BC1439" i="10" s="1"/>
  <c r="BB1566" i="10"/>
  <c r="BC1566" i="10" s="1"/>
  <c r="BB1290" i="10"/>
  <c r="BD1290" i="10" s="1"/>
  <c r="AX396" i="10"/>
  <c r="BB1437" i="10"/>
  <c r="BC1437" i="10" s="1"/>
  <c r="BB1438" i="10"/>
  <c r="BC1438" i="10" s="1"/>
  <c r="BB1415" i="10"/>
  <c r="BD1415" i="10" s="1"/>
  <c r="AP1193" i="10"/>
  <c r="BB1220" i="10"/>
  <c r="BA1220" i="10" s="1"/>
  <c r="BB1276" i="10"/>
  <c r="BD1276" i="10" s="1"/>
  <c r="AL1193" i="10"/>
  <c r="O1193" i="10"/>
  <c r="O3" i="10" s="1"/>
  <c r="AI1193" i="10"/>
  <c r="AI3" i="10" s="1"/>
  <c r="AK1193" i="10"/>
  <c r="AK3" i="10" s="1"/>
  <c r="AQ1193" i="10"/>
  <c r="M1193" i="10"/>
  <c r="M3" i="10" s="1"/>
  <c r="AB1193" i="10"/>
  <c r="AB3" i="10" s="1"/>
  <c r="AC1193" i="10"/>
  <c r="AC3" i="10" s="1"/>
  <c r="BB1376" i="10"/>
  <c r="BC1376" i="10" s="1"/>
  <c r="BB1582" i="10"/>
  <c r="BD1582" i="10" s="1"/>
  <c r="BB1442" i="10"/>
  <c r="BD1442" i="10" s="1"/>
  <c r="BB1256" i="10"/>
  <c r="BD1256" i="10" s="1"/>
  <c r="AM1193" i="10"/>
  <c r="BB1509" i="10"/>
  <c r="BD1509" i="10" s="1"/>
  <c r="BB1456" i="10"/>
  <c r="BA1456" i="10" s="1"/>
  <c r="AW1213" i="10"/>
  <c r="BB1213" i="10" s="1"/>
  <c r="AW1193" i="10"/>
  <c r="AS2" i="10"/>
  <c r="AS4" i="10" s="1"/>
  <c r="BB1422" i="10"/>
  <c r="BC1422" i="10" s="1"/>
  <c r="BB1444" i="10"/>
  <c r="BD1444" i="10" s="1"/>
  <c r="BB1525" i="10"/>
  <c r="BA1525" i="10" s="1"/>
  <c r="AG1193" i="10"/>
  <c r="AG3" i="10" s="1"/>
  <c r="AF1193" i="10"/>
  <c r="AF3" i="10" s="1"/>
  <c r="P1193" i="10"/>
  <c r="P3" i="10" s="1"/>
  <c r="BB1285" i="10"/>
  <c r="BD1285" i="10" s="1"/>
  <c r="W1193" i="10"/>
  <c r="W3" i="10" s="1"/>
  <c r="Y1193" i="10"/>
  <c r="Y3" i="10" s="1"/>
  <c r="R1193" i="10"/>
  <c r="R3" i="10" s="1"/>
  <c r="L1193" i="10"/>
  <c r="L3" i="10" s="1"/>
  <c r="S1193" i="10"/>
  <c r="S3" i="10" s="1"/>
  <c r="V1193" i="10"/>
  <c r="V3" i="10" s="1"/>
  <c r="BB1318" i="10"/>
  <c r="BC1318" i="10" s="1"/>
  <c r="BB1455" i="10"/>
  <c r="BD1455" i="10" s="1"/>
  <c r="BB1551" i="10"/>
  <c r="BB1448" i="10"/>
  <c r="BD1448" i="10" s="1"/>
  <c r="BB1550" i="10"/>
  <c r="BA1550" i="10" s="1"/>
  <c r="BB1497" i="10"/>
  <c r="BC1497" i="10" s="1"/>
  <c r="BB1547" i="10"/>
  <c r="BC1547" i="10" s="1"/>
  <c r="BB1242" i="10"/>
  <c r="BC1242" i="10" s="1"/>
  <c r="BB1477" i="10"/>
  <c r="BD1477" i="10" s="1"/>
  <c r="BB1457" i="10"/>
  <c r="BC1457" i="10" s="1"/>
  <c r="BB1267" i="10"/>
  <c r="BA1267" i="10" s="1"/>
  <c r="BB1524" i="10"/>
  <c r="BD1524" i="10" s="1"/>
  <c r="BB1337" i="10"/>
  <c r="BC1337" i="10" s="1"/>
  <c r="BB1313" i="10"/>
  <c r="BD1313" i="10" s="1"/>
  <c r="BB1347" i="10"/>
  <c r="BD1347" i="10" s="1"/>
  <c r="J2" i="10"/>
  <c r="J4" i="10" s="1"/>
  <c r="J13" i="11"/>
  <c r="I13" i="11"/>
  <c r="AD1193" i="10"/>
  <c r="AD3" i="10" s="1"/>
  <c r="AW2" i="10"/>
  <c r="AW4" i="10" s="1"/>
  <c r="AW396" i="10"/>
  <c r="BB1215" i="10"/>
  <c r="BC1215" i="10" s="1"/>
  <c r="AB2" i="10"/>
  <c r="AB4" i="10" s="1"/>
  <c r="T396" i="10"/>
  <c r="Z396" i="10"/>
  <c r="BB1416" i="10"/>
  <c r="BA1416" i="10" s="1"/>
  <c r="AR1193" i="10"/>
  <c r="X1193" i="10"/>
  <c r="X3" i="10" s="1"/>
  <c r="U1193" i="10"/>
  <c r="U3" i="10" s="1"/>
  <c r="T1193" i="10"/>
  <c r="T3" i="10" s="1"/>
  <c r="AS1193" i="10"/>
  <c r="AS3" i="10" s="1"/>
  <c r="Q1193" i="10"/>
  <c r="Q3" i="10" s="1"/>
  <c r="J30" i="29"/>
  <c r="AY1195" i="10"/>
  <c r="BB1532" i="10"/>
  <c r="N1193" i="10"/>
  <c r="N3" i="10" s="1"/>
  <c r="AE1193" i="10"/>
  <c r="AE3" i="10" s="1"/>
  <c r="AA1193" i="10"/>
  <c r="AA3" i="10" s="1"/>
  <c r="K1193" i="10"/>
  <c r="K3" i="10" s="1"/>
  <c r="BB1528" i="10"/>
  <c r="BC1528" i="10" s="1"/>
  <c r="BB1507" i="10"/>
  <c r="BD1507" i="10" s="1"/>
  <c r="BB1541" i="10"/>
  <c r="BD1541" i="10" s="1"/>
  <c r="BB1522" i="10"/>
  <c r="BB1443" i="10"/>
  <c r="BC1443" i="10" s="1"/>
  <c r="BB1544" i="10"/>
  <c r="BD1544" i="10" s="1"/>
  <c r="BB1362" i="10"/>
  <c r="BC1362" i="10" s="1"/>
  <c r="BB1510" i="10"/>
  <c r="BB1354" i="10"/>
  <c r="BC1354" i="10" s="1"/>
  <c r="BB1279" i="10"/>
  <c r="BD1279" i="10" s="1"/>
  <c r="BB1460" i="10"/>
  <c r="BA1460" i="10" s="1"/>
  <c r="BB1569" i="10"/>
  <c r="BC1569" i="10" s="1"/>
  <c r="BB1533" i="10"/>
  <c r="BD1533" i="10" s="1"/>
  <c r="BB1404" i="10"/>
  <c r="BC1404" i="10" s="1"/>
  <c r="BB1262" i="10"/>
  <c r="BD1262" i="10" s="1"/>
  <c r="BB1465" i="10"/>
  <c r="BB1583" i="10"/>
  <c r="BC1583" i="10" s="1"/>
  <c r="BB1260" i="10"/>
  <c r="BD1260" i="10" s="1"/>
  <c r="BB1244" i="10"/>
  <c r="BC1244" i="10" s="1"/>
  <c r="BB1490" i="10"/>
  <c r="BC1490" i="10" s="1"/>
  <c r="BB1344" i="10"/>
  <c r="BC1344" i="10" s="1"/>
  <c r="AU1593" i="10"/>
  <c r="AU5" i="10" s="1"/>
  <c r="BB1212" i="10"/>
  <c r="BC1212" i="10" s="1"/>
  <c r="BB1560" i="10"/>
  <c r="BB1390" i="10"/>
  <c r="BC1390" i="10" s="1"/>
  <c r="BB1225" i="10"/>
  <c r="BC1225" i="10" s="1"/>
  <c r="BB1495" i="10"/>
  <c r="BC1495" i="10" s="1"/>
  <c r="BB1321" i="10"/>
  <c r="BD1321" i="10" s="1"/>
  <c r="AY1596" i="10"/>
  <c r="BB1504" i="10"/>
  <c r="BD1504" i="10" s="1"/>
  <c r="BB1320" i="10"/>
  <c r="BC1320" i="10" s="1"/>
  <c r="BB1586" i="10"/>
  <c r="BC1586" i="10" s="1"/>
  <c r="BB1411" i="10"/>
  <c r="BC1411" i="10" s="1"/>
  <c r="BB1514" i="10"/>
  <c r="BD1514" i="10" s="1"/>
  <c r="BB1585" i="10"/>
  <c r="BD1585" i="10" s="1"/>
  <c r="BB1405" i="10"/>
  <c r="BD1405" i="10" s="1"/>
  <c r="BB1243" i="10"/>
  <c r="BC1243" i="10" s="1"/>
  <c r="BB1496" i="10"/>
  <c r="BD1496" i="10" s="1"/>
  <c r="BB1268" i="10"/>
  <c r="BD1268" i="10" s="1"/>
  <c r="BB1364" i="10"/>
  <c r="BC1364" i="10" s="1"/>
  <c r="BB1426" i="10"/>
  <c r="BD1426" i="10" s="1"/>
  <c r="BB1561" i="10"/>
  <c r="BC1561" i="10" s="1"/>
  <c r="BB1398" i="10"/>
  <c r="BC1398" i="10" s="1"/>
  <c r="BB1372" i="10"/>
  <c r="BC1372" i="10" s="1"/>
  <c r="BB1307" i="10"/>
  <c r="BD1307" i="10" s="1"/>
  <c r="BB1270" i="10"/>
  <c r="BD1270" i="10" s="1"/>
  <c r="BB1557" i="10"/>
  <c r="BD1557" i="10" s="1"/>
  <c r="BB1503" i="10"/>
  <c r="BD1503" i="10" s="1"/>
  <c r="BB1353" i="10"/>
  <c r="BD1353" i="10" s="1"/>
  <c r="BB1486" i="10"/>
  <c r="BC1486" i="10" s="1"/>
  <c r="BB1304" i="10"/>
  <c r="BC1304" i="10" s="1"/>
  <c r="BB1432" i="10"/>
  <c r="BC1432" i="10" s="1"/>
  <c r="BB1218" i="10"/>
  <c r="BC1218" i="10" s="1"/>
  <c r="BB1574" i="10"/>
  <c r="BC1574" i="10" s="1"/>
  <c r="BB1355" i="10"/>
  <c r="BC1355" i="10" s="1"/>
  <c r="BB1219" i="10"/>
  <c r="BC1219" i="10" s="1"/>
  <c r="BB1306" i="10"/>
  <c r="BC1306" i="10" s="1"/>
  <c r="BB1512" i="10"/>
  <c r="BA1512" i="10" s="1"/>
  <c r="BB1351" i="10"/>
  <c r="BB1368" i="10"/>
  <c r="BC1368" i="10" s="1"/>
  <c r="BB1394" i="10"/>
  <c r="BC1394" i="10" s="1"/>
  <c r="BB1519" i="10"/>
  <c r="BC1519" i="10" s="1"/>
  <c r="BB1475" i="10"/>
  <c r="BD1475" i="10" s="1"/>
  <c r="BB1352" i="10"/>
  <c r="BC1352" i="10" s="1"/>
  <c r="BB1298" i="10"/>
  <c r="BD1298" i="10" s="1"/>
  <c r="BB1324" i="10"/>
  <c r="BC1324" i="10" s="1"/>
  <c r="BB1467" i="10"/>
  <c r="BC1467" i="10" s="1"/>
  <c r="AF444" i="6"/>
  <c r="AX1596" i="10"/>
  <c r="AX1597" i="10"/>
  <c r="BB1428" i="10"/>
  <c r="BC1428" i="10" s="1"/>
  <c r="BB1430" i="10"/>
  <c r="BD1430" i="10" s="1"/>
  <c r="BB1454" i="10"/>
  <c r="BD1454" i="10" s="1"/>
  <c r="BB1431" i="10"/>
  <c r="BD1431" i="10" s="1"/>
  <c r="AX1193" i="10"/>
  <c r="BA393" i="10"/>
  <c r="I30" i="29"/>
  <c r="AY1193" i="10"/>
  <c r="J14" i="11"/>
  <c r="I14" i="11" s="1"/>
  <c r="BB393" i="10"/>
  <c r="BC393" i="10" s="1"/>
  <c r="L396" i="10"/>
  <c r="K2" i="10"/>
  <c r="K4" i="10" s="1"/>
  <c r="AQ396" i="10"/>
  <c r="J396" i="10"/>
  <c r="AV1193" i="10"/>
  <c r="AF473" i="6"/>
  <c r="AF422" i="6"/>
  <c r="AF464" i="6"/>
  <c r="AG429" i="9"/>
  <c r="AE429" i="9" s="1"/>
  <c r="AH484" i="9"/>
  <c r="AF484" i="9" s="1"/>
  <c r="AF496" i="6"/>
  <c r="AF491" i="6"/>
  <c r="AF501" i="6"/>
  <c r="AF442" i="9"/>
  <c r="AF476" i="6"/>
  <c r="AF428" i="6"/>
  <c r="AH474" i="9"/>
  <c r="AF474" i="9" s="1"/>
  <c r="AF441" i="6"/>
  <c r="AF486" i="6"/>
  <c r="AF503" i="6"/>
  <c r="AF426" i="6"/>
  <c r="AF506" i="6"/>
  <c r="AF483" i="6"/>
  <c r="AF417" i="6"/>
  <c r="AF463" i="6"/>
  <c r="AF475" i="6"/>
  <c r="AF485" i="6"/>
  <c r="AF423" i="6"/>
  <c r="AH435" i="6"/>
  <c r="AH488" i="6"/>
  <c r="AH454" i="6"/>
  <c r="AH461" i="6"/>
  <c r="AH416" i="6"/>
  <c r="AH456" i="6"/>
  <c r="AH472" i="6"/>
  <c r="AH432" i="6"/>
  <c r="AH450" i="6"/>
  <c r="AH493" i="6"/>
  <c r="AH424" i="6"/>
  <c r="AH484" i="6"/>
  <c r="AH421" i="6"/>
  <c r="AH445" i="6"/>
  <c r="AH438" i="6"/>
  <c r="AH458" i="6"/>
  <c r="AH490" i="6"/>
  <c r="AH457" i="6"/>
  <c r="AH479" i="6"/>
  <c r="AH468" i="6"/>
  <c r="AH474" i="6"/>
  <c r="AH471" i="6"/>
  <c r="AG435" i="9"/>
  <c r="AE435" i="9" s="1"/>
  <c r="AH488" i="9"/>
  <c r="AF488" i="9" s="1"/>
  <c r="AH424" i="9"/>
  <c r="AF424" i="9" s="1"/>
  <c r="AH431" i="9"/>
  <c r="AF431" i="9" s="1"/>
  <c r="AG486" i="9"/>
  <c r="AE486" i="9" s="1"/>
  <c r="AG415" i="9"/>
  <c r="AE415" i="9" s="1"/>
  <c r="AH452" i="9"/>
  <c r="AF452" i="9" s="1"/>
  <c r="AH458" i="9"/>
  <c r="AF458" i="9" s="1"/>
  <c r="AH466" i="9"/>
  <c r="AF466" i="9" s="1"/>
  <c r="AE429" i="6"/>
  <c r="AG493" i="9"/>
  <c r="AE493" i="9" s="1"/>
  <c r="AH489" i="9"/>
  <c r="AF489" i="9" s="1"/>
  <c r="AG475" i="9"/>
  <c r="AE475" i="9" s="1"/>
  <c r="AG468" i="9"/>
  <c r="AE468" i="9" s="1"/>
  <c r="AG480" i="9"/>
  <c r="AE480" i="9" s="1"/>
  <c r="AH470" i="9"/>
  <c r="AF470" i="9" s="1"/>
  <c r="AE475" i="6"/>
  <c r="AH478" i="9"/>
  <c r="AF478" i="9" s="1"/>
  <c r="AG443" i="9"/>
  <c r="AE443" i="9" s="1"/>
  <c r="AH425" i="9"/>
  <c r="AF425" i="9" s="1"/>
  <c r="AG491" i="9"/>
  <c r="AE491" i="9" s="1"/>
  <c r="AG449" i="9"/>
  <c r="AE449" i="9" s="1"/>
  <c r="AG462" i="9"/>
  <c r="AE462" i="9" s="1"/>
  <c r="AG469" i="9"/>
  <c r="AE469" i="9" s="1"/>
  <c r="AF469" i="6"/>
  <c r="AE460" i="6"/>
  <c r="AE446" i="6"/>
  <c r="AE471" i="6"/>
  <c r="AG451" i="9"/>
  <c r="AE451" i="9" s="1"/>
  <c r="AG474" i="9"/>
  <c r="AE474" i="9" s="1"/>
  <c r="AH483" i="9"/>
  <c r="AF483" i="9" s="1"/>
  <c r="AH422" i="9"/>
  <c r="AF422" i="9" s="1"/>
  <c r="AG466" i="9"/>
  <c r="AE466" i="9" s="1"/>
  <c r="AH435" i="9"/>
  <c r="AF435" i="9" s="1"/>
  <c r="AH459" i="9"/>
  <c r="AF459" i="9" s="1"/>
  <c r="AG440" i="9"/>
  <c r="AE440" i="9" s="1"/>
  <c r="AE483" i="6"/>
  <c r="AE436" i="6"/>
  <c r="AG432" i="9"/>
  <c r="AE432" i="9" s="1"/>
  <c r="AH461" i="9"/>
  <c r="AF461" i="9" s="1"/>
  <c r="AE417" i="6"/>
  <c r="AE453" i="6"/>
  <c r="AE465" i="6"/>
  <c r="AE431" i="6"/>
  <c r="AC453" i="9"/>
  <c r="AD453" i="9" s="1"/>
  <c r="Z450" i="9"/>
  <c r="AA450" i="9" s="1"/>
  <c r="AC436" i="9"/>
  <c r="AH436" i="9" s="1"/>
  <c r="Z488" i="6"/>
  <c r="AG488" i="6" s="1"/>
  <c r="AC449" i="9"/>
  <c r="AH449" i="9" s="1"/>
  <c r="AA435" i="6"/>
  <c r="AA467" i="6"/>
  <c r="AA501" i="6"/>
  <c r="AA474" i="6"/>
  <c r="AA440" i="6"/>
  <c r="AA502" i="6"/>
  <c r="AA437" i="6"/>
  <c r="AA443" i="6"/>
  <c r="AC473" i="9"/>
  <c r="AD473" i="9" s="1"/>
  <c r="AA490" i="6"/>
  <c r="AE490" i="6" s="1"/>
  <c r="Z432" i="6"/>
  <c r="AG432" i="6" s="1"/>
  <c r="AC447" i="9"/>
  <c r="AH447" i="9" s="1"/>
  <c r="Z444" i="9"/>
  <c r="AA444" i="9" s="1"/>
  <c r="Z465" i="9"/>
  <c r="AA465" i="9" s="1"/>
  <c r="AC490" i="9"/>
  <c r="AD490" i="9" s="1"/>
  <c r="Z456" i="9"/>
  <c r="AA456" i="9" s="1"/>
  <c r="Z416" i="9"/>
  <c r="AA416" i="9" s="1"/>
  <c r="AD455" i="9"/>
  <c r="AF455" i="9" s="1"/>
  <c r="AF455" i="6"/>
  <c r="AA428" i="6"/>
  <c r="AA491" i="6"/>
  <c r="AH457" i="9"/>
  <c r="AF457" i="9" s="1"/>
  <c r="AH480" i="9"/>
  <c r="AF480" i="9" s="1"/>
  <c r="AH432" i="9"/>
  <c r="AF432" i="9" s="1"/>
  <c r="AE497" i="6"/>
  <c r="AE485" i="6"/>
  <c r="AA463" i="6"/>
  <c r="AA503" i="6"/>
  <c r="AA493" i="6"/>
  <c r="AE447" i="6"/>
  <c r="AA414" i="6"/>
  <c r="AE414" i="6" s="1"/>
  <c r="AG478" i="9"/>
  <c r="AE478" i="9" s="1"/>
  <c r="AG418" i="9"/>
  <c r="AE418" i="9" s="1"/>
  <c r="AH477" i="9"/>
  <c r="AF477" i="9" s="1"/>
  <c r="AH469" i="9"/>
  <c r="AF469" i="9" s="1"/>
  <c r="AE470" i="6"/>
  <c r="AE452" i="6"/>
  <c r="AE449" i="6"/>
  <c r="AH492" i="9"/>
  <c r="AF492" i="9" s="1"/>
  <c r="AH476" i="9"/>
  <c r="AF476" i="9" s="1"/>
  <c r="Z473" i="9"/>
  <c r="AA473" i="9" s="1"/>
  <c r="AC430" i="9"/>
  <c r="AD430" i="9" s="1"/>
  <c r="AC465" i="9"/>
  <c r="AD465" i="9" s="1"/>
  <c r="Z483" i="9"/>
  <c r="AA483" i="9" s="1"/>
  <c r="AC472" i="9"/>
  <c r="AD472" i="9" s="1"/>
  <c r="Z454" i="6"/>
  <c r="AG454" i="6" s="1"/>
  <c r="Z453" i="9"/>
  <c r="AA453" i="9" s="1"/>
  <c r="Z438" i="6"/>
  <c r="AG438" i="6" s="1"/>
  <c r="AC462" i="9"/>
  <c r="AD462" i="9" s="1"/>
  <c r="Z492" i="9"/>
  <c r="AA492" i="9" s="1"/>
  <c r="Z425" i="9"/>
  <c r="AA425" i="9" s="1"/>
  <c r="Z416" i="6"/>
  <c r="AG416" i="6" s="1"/>
  <c r="AC416" i="9"/>
  <c r="AD416" i="9" s="1"/>
  <c r="AC421" i="9"/>
  <c r="AD421" i="9" s="1"/>
  <c r="AE459" i="6"/>
  <c r="AA479" i="6"/>
  <c r="AE479" i="6" s="1"/>
  <c r="AA500" i="6"/>
  <c r="AA424" i="6"/>
  <c r="AE424" i="6" s="1"/>
  <c r="AD467" i="9"/>
  <c r="AF467" i="9" s="1"/>
  <c r="AF467" i="6"/>
  <c r="AE455" i="6"/>
  <c r="AA456" i="6"/>
  <c r="AA420" i="6"/>
  <c r="Z426" i="9"/>
  <c r="AA426" i="9" s="1"/>
  <c r="Z450" i="6"/>
  <c r="AG450" i="6" s="1"/>
  <c r="AC450" i="9"/>
  <c r="AD450" i="9" s="1"/>
  <c r="Z468" i="6"/>
  <c r="AG468" i="6" s="1"/>
  <c r="AC486" i="9"/>
  <c r="AD486" i="9" s="1"/>
  <c r="AC426" i="9"/>
  <c r="AD426" i="9" s="1"/>
  <c r="AC444" i="9"/>
  <c r="AD444" i="9" s="1"/>
  <c r="Z461" i="6"/>
  <c r="AG461" i="6" s="1"/>
  <c r="Z457" i="6"/>
  <c r="AG457" i="6" s="1"/>
  <c r="AC443" i="9"/>
  <c r="AH443" i="9" s="1"/>
  <c r="Z430" i="9"/>
  <c r="AA430" i="9" s="1"/>
  <c r="AC420" i="9"/>
  <c r="AH420" i="9" s="1"/>
  <c r="Z507" i="6"/>
  <c r="AG507" i="6" s="1"/>
  <c r="Z496" i="6"/>
  <c r="AG496" i="6" s="1"/>
  <c r="Z472" i="9"/>
  <c r="AA472" i="9" s="1"/>
  <c r="AE439" i="6"/>
  <c r="AA419" i="6"/>
  <c r="AE419" i="6" s="1"/>
  <c r="AA506" i="6"/>
  <c r="AH460" i="9"/>
  <c r="AF460" i="9" s="1"/>
  <c r="AH493" i="9"/>
  <c r="AF493" i="9" s="1"/>
  <c r="AE423" i="6"/>
  <c r="AE505" i="6"/>
  <c r="AA458" i="6"/>
  <c r="AA484" i="6"/>
  <c r="AA442" i="6"/>
  <c r="AA498" i="6"/>
  <c r="AD419" i="9"/>
  <c r="AF419" i="9" s="1"/>
  <c r="AF419" i="6"/>
  <c r="AA486" i="6"/>
  <c r="AA473" i="6"/>
  <c r="AE430" i="6"/>
  <c r="AA472" i="6"/>
  <c r="AA421" i="6"/>
  <c r="AG489" i="9"/>
  <c r="AE489" i="9" s="1"/>
  <c r="AH456" i="9"/>
  <c r="AF456" i="9" s="1"/>
  <c r="AE426" i="6"/>
  <c r="AE499" i="6"/>
  <c r="AE418" i="6"/>
  <c r="AE433" i="6"/>
  <c r="AG484" i="9"/>
  <c r="AE484" i="9" s="1"/>
  <c r="AF453" i="6"/>
  <c r="AF442" i="6"/>
  <c r="AF478" i="6"/>
  <c r="AF507" i="6"/>
  <c r="AF498" i="6"/>
  <c r="AF452" i="6"/>
  <c r="AF440" i="6"/>
  <c r="AF502" i="6"/>
  <c r="AH418" i="9"/>
  <c r="AF418" i="9" s="1"/>
  <c r="Z245" i="27"/>
  <c r="Z232" i="27"/>
  <c r="Z223" i="27"/>
  <c r="N72" i="11"/>
  <c r="O72" i="11" s="1"/>
  <c r="Q72" i="11" s="1"/>
  <c r="N159" i="11"/>
  <c r="O159" i="11" s="1"/>
  <c r="Q159" i="11" s="1"/>
  <c r="J184" i="11"/>
  <c r="W184" i="11" s="1"/>
  <c r="X184" i="11" s="1"/>
  <c r="N209" i="11"/>
  <c r="O209" i="11" s="1"/>
  <c r="P209" i="11" s="1"/>
  <c r="Z238" i="27"/>
  <c r="N78" i="11"/>
  <c r="Z78" i="11" s="1"/>
  <c r="Q63" i="11"/>
  <c r="N210" i="11"/>
  <c r="O210" i="11" s="1"/>
  <c r="Q210" i="11" s="1"/>
  <c r="N198" i="11"/>
  <c r="O198" i="11" s="1"/>
  <c r="P198" i="11" s="1"/>
  <c r="N188" i="11"/>
  <c r="O188" i="11" s="1"/>
  <c r="Q188" i="11" s="1"/>
  <c r="N181" i="11"/>
  <c r="O181" i="11" s="1"/>
  <c r="P181" i="11" s="1"/>
  <c r="J66" i="11"/>
  <c r="Y66" i="11" s="1"/>
  <c r="J179" i="11"/>
  <c r="W179" i="11" s="1"/>
  <c r="X179" i="11" s="1"/>
  <c r="J194" i="11"/>
  <c r="W194" i="11" s="1"/>
  <c r="X194" i="11" s="1"/>
  <c r="J92" i="11"/>
  <c r="K92" i="11" s="1"/>
  <c r="L92" i="11" s="1"/>
  <c r="AG447" i="9"/>
  <c r="N155" i="11"/>
  <c r="Z155" i="11" s="1"/>
  <c r="N111" i="11"/>
  <c r="Z111" i="11" s="1"/>
  <c r="N81" i="11"/>
  <c r="Z81" i="11" s="1"/>
  <c r="N216" i="11"/>
  <c r="Z216" i="11" s="1"/>
  <c r="N98" i="11"/>
  <c r="O98" i="11" s="1"/>
  <c r="P98" i="11" s="1"/>
  <c r="N205" i="11"/>
  <c r="O205" i="11" s="1"/>
  <c r="Q205" i="11" s="1"/>
  <c r="N69" i="11"/>
  <c r="Z69" i="11" s="1"/>
  <c r="N90" i="11"/>
  <c r="O90" i="11" s="1"/>
  <c r="P90" i="11" s="1"/>
  <c r="N202" i="11"/>
  <c r="O202" i="11" s="1"/>
  <c r="Q202" i="11" s="1"/>
  <c r="N139" i="11"/>
  <c r="O139" i="11" s="1"/>
  <c r="Q139" i="11" s="1"/>
  <c r="N67" i="11"/>
  <c r="Z67" i="11" s="1"/>
  <c r="J196" i="11"/>
  <c r="K196" i="11" s="1"/>
  <c r="M196" i="11" s="1"/>
  <c r="J158" i="11"/>
  <c r="Y158" i="11" s="1"/>
  <c r="J151" i="11"/>
  <c r="K151" i="11" s="1"/>
  <c r="M151" i="11" s="1"/>
  <c r="J111" i="11"/>
  <c r="Y111" i="11" s="1"/>
  <c r="J160" i="11"/>
  <c r="K160" i="11" s="1"/>
  <c r="M160" i="11" s="1"/>
  <c r="J70" i="11"/>
  <c r="K70" i="11" s="1"/>
  <c r="M70" i="11" s="1"/>
  <c r="J206" i="11"/>
  <c r="Y206" i="11" s="1"/>
  <c r="J91" i="11"/>
  <c r="Y91" i="11" s="1"/>
  <c r="J181" i="11"/>
  <c r="W181" i="11" s="1"/>
  <c r="X181" i="11" s="1"/>
  <c r="J144" i="11"/>
  <c r="Y144" i="11" s="1"/>
  <c r="J163" i="11"/>
  <c r="W163" i="11" s="1"/>
  <c r="X163" i="11" s="1"/>
  <c r="J210" i="11"/>
  <c r="Y210" i="11" s="1"/>
  <c r="J73" i="11"/>
  <c r="K73" i="11" s="1"/>
  <c r="L73" i="11" s="1"/>
  <c r="J162" i="11"/>
  <c r="Y162" i="11" s="1"/>
  <c r="J199" i="11"/>
  <c r="Y199" i="11" s="1"/>
  <c r="J204" i="11"/>
  <c r="K204" i="11" s="1"/>
  <c r="L204" i="11" s="1"/>
  <c r="J140" i="11"/>
  <c r="W140" i="11" s="1"/>
  <c r="X140" i="11" s="1"/>
  <c r="J131" i="11"/>
  <c r="W131" i="11" s="1"/>
  <c r="X131" i="11" s="1"/>
  <c r="J189" i="11"/>
  <c r="W189" i="11" s="1"/>
  <c r="X189" i="11" s="1"/>
  <c r="J150" i="11"/>
  <c r="Y150" i="11" s="1"/>
  <c r="J104" i="11"/>
  <c r="Y104" i="11" s="1"/>
  <c r="J123" i="11"/>
  <c r="Y123" i="11" s="1"/>
  <c r="J157" i="11"/>
  <c r="W157" i="11" s="1"/>
  <c r="X157" i="11" s="1"/>
  <c r="J201" i="11"/>
  <c r="Y201" i="11" s="1"/>
  <c r="J116" i="11"/>
  <c r="K116" i="11" s="1"/>
  <c r="M116" i="11" s="1"/>
  <c r="J88" i="11"/>
  <c r="K88" i="11" s="1"/>
  <c r="M88" i="11" s="1"/>
  <c r="J119" i="11"/>
  <c r="W119" i="11" s="1"/>
  <c r="X119" i="11" s="1"/>
  <c r="J170" i="11"/>
  <c r="K170" i="11" s="1"/>
  <c r="M170" i="11" s="1"/>
  <c r="J102" i="11"/>
  <c r="Y102" i="11" s="1"/>
  <c r="J93" i="11"/>
  <c r="Y93" i="11" s="1"/>
  <c r="J83" i="11"/>
  <c r="K83" i="11" s="1"/>
  <c r="L83" i="11" s="1"/>
  <c r="J180" i="11"/>
  <c r="W180" i="11" s="1"/>
  <c r="X180" i="11" s="1"/>
  <c r="J155" i="11"/>
  <c r="W155" i="11" s="1"/>
  <c r="X155" i="11" s="1"/>
  <c r="J191" i="11"/>
  <c r="W191" i="11" s="1"/>
  <c r="X191" i="11" s="1"/>
  <c r="J202" i="11"/>
  <c r="W202" i="11" s="1"/>
  <c r="X202" i="11" s="1"/>
  <c r="J198" i="11"/>
  <c r="Y198" i="11" s="1"/>
  <c r="J219" i="11"/>
  <c r="W219" i="11" s="1"/>
  <c r="X219" i="11" s="1"/>
  <c r="J208" i="11"/>
  <c r="Y208" i="11" s="1"/>
  <c r="J182" i="11"/>
  <c r="Y182" i="11" s="1"/>
  <c r="J74" i="11"/>
  <c r="Y74" i="11" s="1"/>
  <c r="J110" i="11"/>
  <c r="K110" i="11" s="1"/>
  <c r="L110" i="11" s="1"/>
  <c r="J127" i="11"/>
  <c r="Y127" i="11" s="1"/>
  <c r="J129" i="11"/>
  <c r="W129" i="11" s="1"/>
  <c r="X129" i="11" s="1"/>
  <c r="J78" i="11"/>
  <c r="Y78" i="11" s="1"/>
  <c r="J90" i="11"/>
  <c r="K90" i="11" s="1"/>
  <c r="M90" i="11" s="1"/>
  <c r="J108" i="11"/>
  <c r="Y108" i="11" s="1"/>
  <c r="J212" i="11"/>
  <c r="W212" i="11" s="1"/>
  <c r="X212" i="11" s="1"/>
  <c r="J167" i="11"/>
  <c r="W167" i="11" s="1"/>
  <c r="X167" i="11" s="1"/>
  <c r="J99" i="11"/>
  <c r="K99" i="11" s="1"/>
  <c r="L99" i="11" s="1"/>
  <c r="J96" i="11"/>
  <c r="K96" i="11" s="1"/>
  <c r="M96" i="11" s="1"/>
  <c r="J218" i="11"/>
  <c r="K218" i="11" s="1"/>
  <c r="L218" i="11" s="1"/>
  <c r="J97" i="11"/>
  <c r="K97" i="11" s="1"/>
  <c r="M97" i="11" s="1"/>
  <c r="J224" i="11"/>
  <c r="W224" i="11" s="1"/>
  <c r="X224" i="11" s="1"/>
  <c r="J87" i="11"/>
  <c r="K87" i="11" s="1"/>
  <c r="M87" i="11" s="1"/>
  <c r="J122" i="11"/>
  <c r="K122" i="11" s="1"/>
  <c r="M122" i="11" s="1"/>
  <c r="J68" i="11"/>
  <c r="K68" i="11" s="1"/>
  <c r="L68" i="11" s="1"/>
  <c r="J220" i="11"/>
  <c r="K220" i="11" s="1"/>
  <c r="M220" i="11" s="1"/>
  <c r="J213" i="11"/>
  <c r="Y213" i="11" s="1"/>
  <c r="J159" i="11"/>
  <c r="W159" i="11" s="1"/>
  <c r="X159" i="11" s="1"/>
  <c r="J105" i="11"/>
  <c r="Y105" i="11" s="1"/>
  <c r="J118" i="11"/>
  <c r="Y118" i="11" s="1"/>
  <c r="J114" i="11"/>
  <c r="Y114" i="11" s="1"/>
  <c r="J112" i="11"/>
  <c r="K112" i="11" s="1"/>
  <c r="M112" i="11" s="1"/>
  <c r="J172" i="11"/>
  <c r="K172" i="11" s="1"/>
  <c r="M172" i="11" s="1"/>
  <c r="J197" i="11"/>
  <c r="K197" i="11" s="1"/>
  <c r="M197" i="11" s="1"/>
  <c r="J79" i="11"/>
  <c r="K79" i="11" s="1"/>
  <c r="M79" i="11" s="1"/>
  <c r="J135" i="11"/>
  <c r="Y135" i="11" s="1"/>
  <c r="J72" i="11"/>
  <c r="Y72" i="11" s="1"/>
  <c r="J84" i="11"/>
  <c r="K84" i="11" s="1"/>
  <c r="L84" i="11" s="1"/>
  <c r="J203" i="11"/>
  <c r="Y203" i="11" s="1"/>
  <c r="J100" i="11"/>
  <c r="K100" i="11" s="1"/>
  <c r="M100" i="11" s="1"/>
  <c r="J209" i="11"/>
  <c r="W209" i="11" s="1"/>
  <c r="X209" i="11" s="1"/>
  <c r="J169" i="11"/>
  <c r="Y169" i="11" s="1"/>
  <c r="J165" i="11"/>
  <c r="Y165" i="11" s="1"/>
  <c r="J154" i="11"/>
  <c r="W154" i="11" s="1"/>
  <c r="X154" i="11" s="1"/>
  <c r="N85" i="11"/>
  <c r="O85" i="11" s="1"/>
  <c r="Q85" i="11" s="1"/>
  <c r="N120" i="11"/>
  <c r="Z120" i="11" s="1"/>
  <c r="N206" i="11"/>
  <c r="Z206" i="11" s="1"/>
  <c r="N219" i="11"/>
  <c r="Z219" i="11" s="1"/>
  <c r="N223" i="11"/>
  <c r="Z223" i="11" s="1"/>
  <c r="N224" i="11"/>
  <c r="O224" i="11" s="1"/>
  <c r="Q224" i="11" s="1"/>
  <c r="N176" i="11"/>
  <c r="O176" i="11" s="1"/>
  <c r="P176" i="11" s="1"/>
  <c r="N182" i="11"/>
  <c r="O182" i="11" s="1"/>
  <c r="Q182" i="11" s="1"/>
  <c r="N175" i="11"/>
  <c r="Z175" i="11" s="1"/>
  <c r="N171" i="11"/>
  <c r="Z171" i="11" s="1"/>
  <c r="N220" i="11"/>
  <c r="O220" i="11" s="1"/>
  <c r="P220" i="11" s="1"/>
  <c r="N77" i="11"/>
  <c r="O77" i="11" s="1"/>
  <c r="Q77" i="11" s="1"/>
  <c r="N152" i="11"/>
  <c r="O152" i="11" s="1"/>
  <c r="P152" i="11" s="1"/>
  <c r="N103" i="11"/>
  <c r="Z103" i="11" s="1"/>
  <c r="N115" i="11"/>
  <c r="Z115" i="11" s="1"/>
  <c r="N125" i="11"/>
  <c r="Z125" i="11" s="1"/>
  <c r="N156" i="11"/>
  <c r="Z156" i="11" s="1"/>
  <c r="N218" i="11"/>
  <c r="O218" i="11" s="1"/>
  <c r="P218" i="11" s="1"/>
  <c r="N133" i="11"/>
  <c r="Z133" i="11" s="1"/>
  <c r="N164" i="11"/>
  <c r="O164" i="11" s="1"/>
  <c r="P164" i="11" s="1"/>
  <c r="N117" i="11"/>
  <c r="Z117" i="11" s="1"/>
  <c r="N201" i="11"/>
  <c r="Z201" i="11" s="1"/>
  <c r="N104" i="11"/>
  <c r="O104" i="11" s="1"/>
  <c r="Q104" i="11" s="1"/>
  <c r="N95" i="11"/>
  <c r="O95" i="11" s="1"/>
  <c r="P95" i="11" s="1"/>
  <c r="N106" i="11"/>
  <c r="O106" i="11" s="1"/>
  <c r="P106" i="11" s="1"/>
  <c r="N132" i="11"/>
  <c r="O132" i="11" s="1"/>
  <c r="P132" i="11" s="1"/>
  <c r="N80" i="11"/>
  <c r="O80" i="11" s="1"/>
  <c r="Q80" i="11" s="1"/>
  <c r="N126" i="11"/>
  <c r="Z126" i="11" s="1"/>
  <c r="N105" i="11"/>
  <c r="O105" i="11" s="1"/>
  <c r="Q105" i="11" s="1"/>
  <c r="N158" i="11"/>
  <c r="O158" i="11" s="1"/>
  <c r="P158" i="11" s="1"/>
  <c r="N195" i="11"/>
  <c r="Z195" i="11" s="1"/>
  <c r="N140" i="11"/>
  <c r="O140" i="11" s="1"/>
  <c r="P140" i="11" s="1"/>
  <c r="N84" i="11"/>
  <c r="O84" i="11" s="1"/>
  <c r="Q84" i="11" s="1"/>
  <c r="N123" i="11"/>
  <c r="O123" i="11" s="1"/>
  <c r="P123" i="11" s="1"/>
  <c r="N107" i="11"/>
  <c r="Z107" i="11" s="1"/>
  <c r="N222" i="11"/>
  <c r="O222" i="11" s="1"/>
  <c r="Q222" i="11" s="1"/>
  <c r="N141" i="11"/>
  <c r="O141" i="11" s="1"/>
  <c r="P141" i="11" s="1"/>
  <c r="N88" i="11"/>
  <c r="O88" i="11" s="1"/>
  <c r="P88" i="11" s="1"/>
  <c r="N129" i="11"/>
  <c r="O129" i="11" s="1"/>
  <c r="P129" i="11" s="1"/>
  <c r="N76" i="11"/>
  <c r="O76" i="11" s="1"/>
  <c r="Q76" i="11" s="1"/>
  <c r="N137" i="11"/>
  <c r="O137" i="11" s="1"/>
  <c r="Q137" i="11" s="1"/>
  <c r="N191" i="11"/>
  <c r="O191" i="11" s="1"/>
  <c r="Q191" i="11" s="1"/>
  <c r="N82" i="11"/>
  <c r="Z82" i="11" s="1"/>
  <c r="N179" i="11"/>
  <c r="Z179" i="11" s="1"/>
  <c r="N89" i="11"/>
  <c r="O89" i="11" s="1"/>
  <c r="Q89" i="11" s="1"/>
  <c r="N119" i="11"/>
  <c r="O119" i="11" s="1"/>
  <c r="Q119" i="11" s="1"/>
  <c r="N168" i="11"/>
  <c r="Z168" i="11" s="1"/>
  <c r="N73" i="11"/>
  <c r="O73" i="11" s="1"/>
  <c r="P73" i="11" s="1"/>
  <c r="N68" i="11"/>
  <c r="O68" i="11" s="1"/>
  <c r="P68" i="11" s="1"/>
  <c r="N71" i="11"/>
  <c r="O71" i="11" s="1"/>
  <c r="Q71" i="11" s="1"/>
  <c r="N196" i="11"/>
  <c r="O196" i="11" s="1"/>
  <c r="Q196" i="11" s="1"/>
  <c r="N108" i="11"/>
  <c r="Z108" i="11" s="1"/>
  <c r="N114" i="11"/>
  <c r="O114" i="11" s="1"/>
  <c r="P114" i="11" s="1"/>
  <c r="N144" i="11"/>
  <c r="Z144" i="11" s="1"/>
  <c r="N79" i="11"/>
  <c r="O79" i="11" s="1"/>
  <c r="Q79" i="11" s="1"/>
  <c r="N134" i="11"/>
  <c r="Z134" i="11" s="1"/>
  <c r="N194" i="11"/>
  <c r="O194" i="11" s="1"/>
  <c r="Q194" i="11" s="1"/>
  <c r="N212" i="11"/>
  <c r="O212" i="11" s="1"/>
  <c r="P212" i="11" s="1"/>
  <c r="N113" i="11"/>
  <c r="Z113" i="11" s="1"/>
  <c r="N193" i="11"/>
  <c r="O193" i="11" s="1"/>
  <c r="P193" i="11" s="1"/>
  <c r="N122" i="11"/>
  <c r="Z122" i="11" s="1"/>
  <c r="N203" i="11"/>
  <c r="Z203" i="11" s="1"/>
  <c r="N173" i="11"/>
  <c r="O173" i="11" s="1"/>
  <c r="P173" i="11" s="1"/>
  <c r="N162" i="11"/>
  <c r="O162" i="11" s="1"/>
  <c r="P162" i="11" s="1"/>
  <c r="N154" i="11"/>
  <c r="O154" i="11" s="1"/>
  <c r="P154" i="11" s="1"/>
  <c r="N145" i="11"/>
  <c r="Z145" i="11" s="1"/>
  <c r="N190" i="11"/>
  <c r="O190" i="11" s="1"/>
  <c r="P190" i="11" s="1"/>
  <c r="N148" i="11"/>
  <c r="Z148" i="11" s="1"/>
  <c r="N149" i="11"/>
  <c r="O149" i="11" s="1"/>
  <c r="Q149" i="11" s="1"/>
  <c r="N96" i="11"/>
  <c r="O96" i="11" s="1"/>
  <c r="Q96" i="11" s="1"/>
  <c r="N109" i="11"/>
  <c r="O109" i="11" s="1"/>
  <c r="P109" i="11" s="1"/>
  <c r="N97" i="11"/>
  <c r="Z97" i="11" s="1"/>
  <c r="N199" i="11"/>
  <c r="O199" i="11" s="1"/>
  <c r="P199" i="11" s="1"/>
  <c r="N110" i="11"/>
  <c r="Z110" i="11" s="1"/>
  <c r="N142" i="11"/>
  <c r="Z142" i="11" s="1"/>
  <c r="N221" i="11"/>
  <c r="Z221" i="11" s="1"/>
  <c r="N213" i="11"/>
  <c r="Z213" i="11" s="1"/>
  <c r="N178" i="11"/>
  <c r="O178" i="11" s="1"/>
  <c r="Q178" i="11" s="1"/>
  <c r="N136" i="11"/>
  <c r="Z136" i="11" s="1"/>
  <c r="N101" i="11"/>
  <c r="O101" i="11" s="1"/>
  <c r="Q101" i="11" s="1"/>
  <c r="N167" i="11"/>
  <c r="O167" i="11" s="1"/>
  <c r="P167" i="11" s="1"/>
  <c r="N214" i="11"/>
  <c r="Z214" i="11" s="1"/>
  <c r="N172" i="11"/>
  <c r="Z172" i="11" s="1"/>
  <c r="N118" i="11"/>
  <c r="O118" i="11" s="1"/>
  <c r="P118" i="11" s="1"/>
  <c r="N211" i="11"/>
  <c r="Z211" i="11" s="1"/>
  <c r="N184" i="11"/>
  <c r="Z184" i="11" s="1"/>
  <c r="N151" i="11"/>
  <c r="Z151" i="11" s="1"/>
  <c r="N70" i="11"/>
  <c r="O70" i="11" s="1"/>
  <c r="Q70" i="11" s="1"/>
  <c r="N161" i="11"/>
  <c r="Z161" i="11" s="1"/>
  <c r="N116" i="11"/>
  <c r="Z116" i="11" s="1"/>
  <c r="N197" i="11"/>
  <c r="O197" i="11" s="1"/>
  <c r="Q197" i="11" s="1"/>
  <c r="N91" i="11"/>
  <c r="O91" i="11" s="1"/>
  <c r="Q91" i="11" s="1"/>
  <c r="N207" i="11"/>
  <c r="O207" i="11" s="1"/>
  <c r="Q207" i="11" s="1"/>
  <c r="N138" i="11"/>
  <c r="O138" i="11" s="1"/>
  <c r="P138" i="11" s="1"/>
  <c r="N74" i="11"/>
  <c r="Z74" i="11" s="1"/>
  <c r="N186" i="11"/>
  <c r="Z186" i="11" s="1"/>
  <c r="N121" i="11"/>
  <c r="Z121" i="11" s="1"/>
  <c r="N180" i="11"/>
  <c r="O180" i="11" s="1"/>
  <c r="P180" i="11" s="1"/>
  <c r="N94" i="11"/>
  <c r="Z94" i="11" s="1"/>
  <c r="N86" i="11"/>
  <c r="O86" i="11" s="1"/>
  <c r="P86" i="11" s="1"/>
  <c r="N100" i="11"/>
  <c r="Z100" i="11" s="1"/>
  <c r="N153" i="11"/>
  <c r="O153" i="11" s="1"/>
  <c r="Q153" i="11" s="1"/>
  <c r="N127" i="11"/>
  <c r="O127" i="11" s="1"/>
  <c r="Q127" i="11" s="1"/>
  <c r="N75" i="11"/>
  <c r="O75" i="11" s="1"/>
  <c r="P75" i="11" s="1"/>
  <c r="N112" i="11"/>
  <c r="Z112" i="11" s="1"/>
  <c r="N87" i="11"/>
  <c r="O87" i="11" s="1"/>
  <c r="Q87" i="11" s="1"/>
  <c r="N92" i="11"/>
  <c r="O92" i="11" s="1"/>
  <c r="Q92" i="11" s="1"/>
  <c r="N208" i="11"/>
  <c r="Z208" i="11" s="1"/>
  <c r="N130" i="11"/>
  <c r="Z130" i="11" s="1"/>
  <c r="N174" i="11"/>
  <c r="Z174" i="11" s="1"/>
  <c r="N170" i="11"/>
  <c r="Z170" i="11" s="1"/>
  <c r="N192" i="11"/>
  <c r="O192" i="11" s="1"/>
  <c r="Q192" i="11" s="1"/>
  <c r="N169" i="11"/>
  <c r="O169" i="11" s="1"/>
  <c r="P169" i="11" s="1"/>
  <c r="N215" i="11"/>
  <c r="Z215" i="11" s="1"/>
  <c r="N160" i="11"/>
  <c r="O160" i="11" s="1"/>
  <c r="P160" i="11" s="1"/>
  <c r="N128" i="11"/>
  <c r="Z128" i="11" s="1"/>
  <c r="N177" i="11"/>
  <c r="Z177" i="11" s="1"/>
  <c r="N183" i="11"/>
  <c r="O183" i="11" s="1"/>
  <c r="P183" i="11" s="1"/>
  <c r="N93" i="11"/>
  <c r="Z93" i="11" s="1"/>
  <c r="N99" i="11"/>
  <c r="O99" i="11" s="1"/>
  <c r="Q99" i="11" s="1"/>
  <c r="N166" i="11"/>
  <c r="Z166" i="11" s="1"/>
  <c r="N157" i="11"/>
  <c r="O157" i="11" s="1"/>
  <c r="Q157" i="11" s="1"/>
  <c r="N189" i="11"/>
  <c r="Z189" i="11" s="1"/>
  <c r="N66" i="11"/>
  <c r="Z66" i="11" s="1"/>
  <c r="N185" i="11"/>
  <c r="O185" i="11" s="1"/>
  <c r="P185" i="11" s="1"/>
  <c r="N147" i="11"/>
  <c r="O147" i="11" s="1"/>
  <c r="Q147" i="11" s="1"/>
  <c r="N143" i="11"/>
  <c r="Z143" i="11" s="1"/>
  <c r="N150" i="11"/>
  <c r="Z150" i="11" s="1"/>
  <c r="N187" i="11"/>
  <c r="Z187" i="11" s="1"/>
  <c r="N131" i="11"/>
  <c r="Z131" i="11" s="1"/>
  <c r="N83" i="11"/>
  <c r="Z83" i="11" s="1"/>
  <c r="N135" i="11"/>
  <c r="O135" i="11" s="1"/>
  <c r="P135" i="11" s="1"/>
  <c r="N165" i="11"/>
  <c r="Z165" i="11" s="1"/>
  <c r="N102" i="11"/>
  <c r="O102" i="11" s="1"/>
  <c r="Q102" i="11" s="1"/>
  <c r="N163" i="11"/>
  <c r="O163" i="11" s="1"/>
  <c r="Q163" i="11" s="1"/>
  <c r="N204" i="11"/>
  <c r="Z204" i="11" s="1"/>
  <c r="N200" i="11"/>
  <c r="Z200" i="11" s="1"/>
  <c r="N217" i="11"/>
  <c r="Z217" i="11" s="1"/>
  <c r="N146" i="11"/>
  <c r="O146" i="11" s="1"/>
  <c r="P146" i="11" s="1"/>
  <c r="N124" i="11"/>
  <c r="O124" i="11" s="1"/>
  <c r="P124" i="11" s="1"/>
  <c r="J146" i="11"/>
  <c r="W146" i="11" s="1"/>
  <c r="X146" i="11" s="1"/>
  <c r="J89" i="11"/>
  <c r="K89" i="11" s="1"/>
  <c r="M89" i="11" s="1"/>
  <c r="J178" i="11"/>
  <c r="W178" i="11" s="1"/>
  <c r="X178" i="11" s="1"/>
  <c r="J71" i="11"/>
  <c r="Y71" i="11" s="1"/>
  <c r="J121" i="11"/>
  <c r="W121" i="11" s="1"/>
  <c r="X121" i="11" s="1"/>
  <c r="J128" i="11"/>
  <c r="Y128" i="11" s="1"/>
  <c r="J173" i="11"/>
  <c r="K173" i="11" s="1"/>
  <c r="M173" i="11" s="1"/>
  <c r="J106" i="11"/>
  <c r="Y106" i="11" s="1"/>
  <c r="J115" i="11"/>
  <c r="Y115" i="11" s="1"/>
  <c r="J94" i="11"/>
  <c r="K94" i="11" s="1"/>
  <c r="L94" i="11" s="1"/>
  <c r="J109" i="11"/>
  <c r="K109" i="11" s="1"/>
  <c r="L109" i="11" s="1"/>
  <c r="J175" i="11"/>
  <c r="Y175" i="11" s="1"/>
  <c r="J190" i="11"/>
  <c r="Y190" i="11" s="1"/>
  <c r="J207" i="11"/>
  <c r="W207" i="11" s="1"/>
  <c r="X207" i="11" s="1"/>
  <c r="J153" i="11"/>
  <c r="Y153" i="11" s="1"/>
  <c r="J183" i="11"/>
  <c r="W183" i="11" s="1"/>
  <c r="X183" i="11" s="1"/>
  <c r="J156" i="11"/>
  <c r="K156" i="11" s="1"/>
  <c r="L156" i="11" s="1"/>
  <c r="J200" i="11"/>
  <c r="W200" i="11" s="1"/>
  <c r="X200" i="11" s="1"/>
  <c r="J124" i="11"/>
  <c r="Y124" i="11" s="1"/>
  <c r="J147" i="11"/>
  <c r="W147" i="11" s="1"/>
  <c r="X147" i="11" s="1"/>
  <c r="J130" i="11"/>
  <c r="W130" i="11" s="1"/>
  <c r="X130" i="11" s="1"/>
  <c r="J139" i="11"/>
  <c r="K139" i="11" s="1"/>
  <c r="L139" i="11" s="1"/>
  <c r="J133" i="11"/>
  <c r="W133" i="11" s="1"/>
  <c r="X133" i="11" s="1"/>
  <c r="J137" i="11"/>
  <c r="K137" i="11" s="1"/>
  <c r="L137" i="11" s="1"/>
  <c r="J82" i="11"/>
  <c r="Y82" i="11" s="1"/>
  <c r="J136" i="11"/>
  <c r="K136" i="11" s="1"/>
  <c r="M136" i="11" s="1"/>
  <c r="J174" i="11"/>
  <c r="Y174" i="11" s="1"/>
  <c r="J166" i="11"/>
  <c r="K166" i="11" s="1"/>
  <c r="M166" i="11" s="1"/>
  <c r="J145" i="11"/>
  <c r="Y145" i="11" s="1"/>
  <c r="J75" i="11"/>
  <c r="Y75" i="11" s="1"/>
  <c r="J141" i="11"/>
  <c r="K141" i="11" s="1"/>
  <c r="L141" i="11" s="1"/>
  <c r="J217" i="11"/>
  <c r="W217" i="11" s="1"/>
  <c r="X217" i="11" s="1"/>
  <c r="J214" i="11"/>
  <c r="Y214" i="11" s="1"/>
  <c r="J80" i="11"/>
  <c r="K80" i="11" s="1"/>
  <c r="L80" i="11" s="1"/>
  <c r="J177" i="11"/>
  <c r="Y177" i="11" s="1"/>
  <c r="J205" i="11"/>
  <c r="K205" i="11" s="1"/>
  <c r="M205" i="11" s="1"/>
  <c r="J171" i="11"/>
  <c r="Y171" i="11" s="1"/>
  <c r="J193" i="11"/>
  <c r="Y193" i="11" s="1"/>
  <c r="J95" i="11"/>
  <c r="K95" i="11" s="1"/>
  <c r="L95" i="11" s="1"/>
  <c r="J126" i="11"/>
  <c r="W126" i="11" s="1"/>
  <c r="X126" i="11" s="1"/>
  <c r="J76" i="11"/>
  <c r="K76" i="11" s="1"/>
  <c r="M76" i="11" s="1"/>
  <c r="J161" i="11"/>
  <c r="Y161" i="11" s="1"/>
  <c r="J192" i="11"/>
  <c r="Y192" i="11" s="1"/>
  <c r="J67" i="11"/>
  <c r="Y67" i="11" s="1"/>
  <c r="J138" i="11"/>
  <c r="K138" i="11" s="1"/>
  <c r="L138" i="11" s="1"/>
  <c r="J113" i="11"/>
  <c r="Y113" i="11" s="1"/>
  <c r="J107" i="11"/>
  <c r="K107" i="11" s="1"/>
  <c r="L107" i="11" s="1"/>
  <c r="J195" i="11"/>
  <c r="Y195" i="11" s="1"/>
  <c r="J132" i="11"/>
  <c r="W132" i="11" s="1"/>
  <c r="X132" i="11" s="1"/>
  <c r="J69" i="11"/>
  <c r="K69" i="11" s="1"/>
  <c r="L69" i="11" s="1"/>
  <c r="M63" i="11"/>
  <c r="J149" i="11"/>
  <c r="K149" i="11" s="1"/>
  <c r="M149" i="11" s="1"/>
  <c r="J152" i="11"/>
  <c r="K152" i="11" s="1"/>
  <c r="L152" i="11" s="1"/>
  <c r="J216" i="11"/>
  <c r="W216" i="11" s="1"/>
  <c r="X216" i="11" s="1"/>
  <c r="J103" i="11"/>
  <c r="Y103" i="11" s="1"/>
  <c r="J142" i="11"/>
  <c r="W142" i="11" s="1"/>
  <c r="X142" i="11" s="1"/>
  <c r="J211" i="11"/>
  <c r="W211" i="11" s="1"/>
  <c r="X211" i="11" s="1"/>
  <c r="J85" i="11"/>
  <c r="K85" i="11" s="1"/>
  <c r="L85" i="11" s="1"/>
  <c r="J187" i="11"/>
  <c r="W187" i="11" s="1"/>
  <c r="X187" i="11" s="1"/>
  <c r="J81" i="11"/>
  <c r="K81" i="11" s="1"/>
  <c r="L81" i="11" s="1"/>
  <c r="J98" i="11"/>
  <c r="K98" i="11" s="1"/>
  <c r="L98" i="11" s="1"/>
  <c r="J86" i="11"/>
  <c r="K86" i="11" s="1"/>
  <c r="M86" i="11" s="1"/>
  <c r="J176" i="11"/>
  <c r="Y176" i="11" s="1"/>
  <c r="J221" i="11"/>
  <c r="K221" i="11" s="1"/>
  <c r="L221" i="11" s="1"/>
  <c r="J134" i="11"/>
  <c r="Y134" i="11" s="1"/>
  <c r="J148" i="11"/>
  <c r="K148" i="11" s="1"/>
  <c r="M148" i="11" s="1"/>
  <c r="J186" i="11"/>
  <c r="K186" i="11" s="1"/>
  <c r="J185" i="11"/>
  <c r="Y185" i="11" s="1"/>
  <c r="J77" i="11"/>
  <c r="K77" i="11" s="1"/>
  <c r="M77" i="11" s="1"/>
  <c r="J117" i="11"/>
  <c r="W117" i="11" s="1"/>
  <c r="X117" i="11" s="1"/>
  <c r="J101" i="11"/>
  <c r="Y101" i="11" s="1"/>
  <c r="J143" i="11"/>
  <c r="Y143" i="11" s="1"/>
  <c r="J222" i="11"/>
  <c r="Y222" i="11" s="1"/>
  <c r="J164" i="11"/>
  <c r="K164" i="11" s="1"/>
  <c r="M164" i="11" s="1"/>
  <c r="J168" i="11"/>
  <c r="Y168" i="11" s="1"/>
  <c r="J215" i="11"/>
  <c r="Y215" i="11" s="1"/>
  <c r="J120" i="11"/>
  <c r="K120" i="11" s="1"/>
  <c r="M120" i="11" s="1"/>
  <c r="J125" i="11"/>
  <c r="K125" i="11" s="1"/>
  <c r="L125" i="11" s="1"/>
  <c r="J188" i="11"/>
  <c r="W188" i="11" s="1"/>
  <c r="X188" i="11" s="1"/>
  <c r="J223" i="11"/>
  <c r="Y223" i="11" s="1"/>
  <c r="R493" i="26"/>
  <c r="I468" i="9" s="1"/>
  <c r="H468" i="9"/>
  <c r="AV1593" i="10"/>
  <c r="AV1595" i="10" s="1"/>
  <c r="BB1234" i="10"/>
  <c r="AY1597" i="10"/>
  <c r="AV1597" i="10"/>
  <c r="AY1593" i="10"/>
  <c r="AY5" i="10" s="1"/>
  <c r="I416" i="9"/>
  <c r="I416" i="6"/>
  <c r="P418" i="26"/>
  <c r="AX1593" i="10"/>
  <c r="AX1595" i="10" s="1"/>
  <c r="BB1231" i="10"/>
  <c r="BD1231" i="10" s="1"/>
  <c r="BC1415" i="10"/>
  <c r="G472" i="9"/>
  <c r="I472" i="9"/>
  <c r="I488" i="6"/>
  <c r="G413" i="9"/>
  <c r="G428" i="6"/>
  <c r="G425" i="9"/>
  <c r="I443" i="6"/>
  <c r="B71" i="11"/>
  <c r="U71" i="11" s="1"/>
  <c r="I420" i="6"/>
  <c r="B182" i="11"/>
  <c r="U182" i="11" s="1"/>
  <c r="F166" i="11"/>
  <c r="G166" i="11" s="1"/>
  <c r="H166" i="11" s="1"/>
  <c r="F66" i="11"/>
  <c r="G66" i="11" s="1"/>
  <c r="H66" i="11" s="1"/>
  <c r="B178" i="11"/>
  <c r="S178" i="11" s="1"/>
  <c r="T178" i="11" s="1"/>
  <c r="B121" i="11"/>
  <c r="U121" i="11" s="1"/>
  <c r="B135" i="11"/>
  <c r="C135" i="11" s="1"/>
  <c r="F109" i="11"/>
  <c r="V109" i="11" s="1"/>
  <c r="B166" i="11"/>
  <c r="U166" i="11" s="1"/>
  <c r="F90" i="11"/>
  <c r="V90" i="11" s="1"/>
  <c r="B151" i="11"/>
  <c r="U151" i="11" s="1"/>
  <c r="B138" i="11"/>
  <c r="C138" i="11" s="1"/>
  <c r="E138" i="11" s="1"/>
  <c r="B167" i="11"/>
  <c r="C167" i="11" s="1"/>
  <c r="D167" i="11" s="1"/>
  <c r="B83" i="11"/>
  <c r="U83" i="11" s="1"/>
  <c r="B148" i="11"/>
  <c r="U148" i="11" s="1"/>
  <c r="B119" i="11"/>
  <c r="S119" i="11" s="1"/>
  <c r="T119" i="11" s="1"/>
  <c r="B158" i="11"/>
  <c r="S158" i="11" s="1"/>
  <c r="T158" i="11" s="1"/>
  <c r="B150" i="11"/>
  <c r="C150" i="11" s="1"/>
  <c r="D150" i="11" s="1"/>
  <c r="B175" i="11"/>
  <c r="C175" i="11" s="1"/>
  <c r="E175" i="11" s="1"/>
  <c r="F86" i="11"/>
  <c r="V86" i="11" s="1"/>
  <c r="B130" i="11"/>
  <c r="S130" i="11" s="1"/>
  <c r="T130" i="11" s="1"/>
  <c r="B187" i="11"/>
  <c r="S187" i="11" s="1"/>
  <c r="T187" i="11" s="1"/>
  <c r="B174" i="11"/>
  <c r="F144" i="11"/>
  <c r="G144" i="11" s="1"/>
  <c r="I144" i="11" s="1"/>
  <c r="B170" i="11"/>
  <c r="U170" i="11" s="1"/>
  <c r="B82" i="11"/>
  <c r="U82" i="11" s="1"/>
  <c r="B180" i="11"/>
  <c r="B76" i="11"/>
  <c r="C76" i="11" s="1"/>
  <c r="E76" i="11" s="1"/>
  <c r="F121" i="11"/>
  <c r="V121" i="11" s="1"/>
  <c r="F145" i="11"/>
  <c r="G145" i="11" s="1"/>
  <c r="I145" i="11" s="1"/>
  <c r="B197" i="11"/>
  <c r="U197" i="11" s="1"/>
  <c r="B95" i="11"/>
  <c r="U95" i="11" s="1"/>
  <c r="B68" i="11"/>
  <c r="C68" i="11" s="1"/>
  <c r="D68" i="11" s="1"/>
  <c r="B211" i="11"/>
  <c r="S211" i="11" s="1"/>
  <c r="T211" i="11" s="1"/>
  <c r="B129" i="11"/>
  <c r="C129" i="11" s="1"/>
  <c r="E129" i="11" s="1"/>
  <c r="B73" i="11"/>
  <c r="C73" i="11" s="1"/>
  <c r="D73" i="11" s="1"/>
  <c r="B210" i="11"/>
  <c r="C210" i="11" s="1"/>
  <c r="D210" i="11" s="1"/>
  <c r="F125" i="11"/>
  <c r="G125" i="11" s="1"/>
  <c r="I125" i="11" s="1"/>
  <c r="F165" i="11"/>
  <c r="V165" i="11" s="1"/>
  <c r="F185" i="11"/>
  <c r="V185" i="11" s="1"/>
  <c r="F111" i="11"/>
  <c r="V111" i="11" s="1"/>
  <c r="F172" i="11"/>
  <c r="V172" i="11" s="1"/>
  <c r="F160" i="11"/>
  <c r="V160" i="11" s="1"/>
  <c r="F216" i="11"/>
  <c r="V216" i="11" s="1"/>
  <c r="I468" i="6"/>
  <c r="I465" i="9"/>
  <c r="F158" i="11"/>
  <c r="G158" i="11" s="1"/>
  <c r="H158" i="11" s="1"/>
  <c r="F204" i="11"/>
  <c r="G204" i="11" s="1"/>
  <c r="H204" i="11" s="1"/>
  <c r="F113" i="11"/>
  <c r="V113" i="11" s="1"/>
  <c r="F221" i="11"/>
  <c r="F154" i="11"/>
  <c r="V154" i="11" s="1"/>
  <c r="F182" i="11"/>
  <c r="G182" i="11" s="1"/>
  <c r="H182" i="11" s="1"/>
  <c r="F95" i="11"/>
  <c r="V95" i="11" s="1"/>
  <c r="F212" i="11"/>
  <c r="G212" i="11" s="1"/>
  <c r="H212" i="11" s="1"/>
  <c r="I438" i="6"/>
  <c r="I430" i="9"/>
  <c r="F163" i="11"/>
  <c r="G163" i="11" s="1"/>
  <c r="H163" i="11" s="1"/>
  <c r="F78" i="11"/>
  <c r="G78" i="11" s="1"/>
  <c r="H78" i="11" s="1"/>
  <c r="F117" i="11"/>
  <c r="F115" i="11"/>
  <c r="G115" i="11" s="1"/>
  <c r="I115" i="11" s="1"/>
  <c r="F153" i="11"/>
  <c r="V153" i="11" s="1"/>
  <c r="F150" i="11"/>
  <c r="V150" i="11" s="1"/>
  <c r="F209" i="11"/>
  <c r="V209" i="11" s="1"/>
  <c r="B156" i="11"/>
  <c r="U156" i="11" s="1"/>
  <c r="B78" i="11"/>
  <c r="C78" i="11" s="1"/>
  <c r="D78" i="11" s="1"/>
  <c r="B110" i="11"/>
  <c r="U110" i="11" s="1"/>
  <c r="B205" i="11"/>
  <c r="U205" i="11" s="1"/>
  <c r="B185" i="11"/>
  <c r="C185" i="11" s="1"/>
  <c r="D185" i="11" s="1"/>
  <c r="B209" i="11"/>
  <c r="S209" i="11" s="1"/>
  <c r="T209" i="11" s="1"/>
  <c r="B183" i="11"/>
  <c r="S183" i="11" s="1"/>
  <c r="T183" i="11" s="1"/>
  <c r="B93" i="11"/>
  <c r="B192" i="11"/>
  <c r="U192" i="11" s="1"/>
  <c r="I457" i="6"/>
  <c r="I450" i="9"/>
  <c r="B218" i="11"/>
  <c r="U218" i="11" s="1"/>
  <c r="B191" i="11"/>
  <c r="U191" i="11" s="1"/>
  <c r="B203" i="11"/>
  <c r="B133" i="11"/>
  <c r="C133" i="11" s="1"/>
  <c r="D133" i="11" s="1"/>
  <c r="B108" i="11"/>
  <c r="U108" i="11" s="1"/>
  <c r="B188" i="11"/>
  <c r="U188" i="11" s="1"/>
  <c r="B223" i="11"/>
  <c r="U223" i="11" s="1"/>
  <c r="B146" i="11"/>
  <c r="C146" i="11" s="1"/>
  <c r="D146" i="11" s="1"/>
  <c r="B215" i="11"/>
  <c r="C215" i="11" s="1"/>
  <c r="E215" i="11" s="1"/>
  <c r="B87" i="11"/>
  <c r="C87" i="11" s="1"/>
  <c r="E87" i="11" s="1"/>
  <c r="B217" i="11"/>
  <c r="B176" i="11"/>
  <c r="S176" i="11" s="1"/>
  <c r="T176" i="11" s="1"/>
  <c r="B79" i="11"/>
  <c r="C79" i="11" s="1"/>
  <c r="E79" i="11" s="1"/>
  <c r="B123" i="11"/>
  <c r="S123" i="11" s="1"/>
  <c r="T123" i="11" s="1"/>
  <c r="B117" i="11"/>
  <c r="C117" i="11" s="1"/>
  <c r="E117" i="11" s="1"/>
  <c r="B124" i="11"/>
  <c r="C124" i="11" s="1"/>
  <c r="E124" i="11" s="1"/>
  <c r="B104" i="11"/>
  <c r="U104" i="11" s="1"/>
  <c r="B199" i="11"/>
  <c r="U199" i="11" s="1"/>
  <c r="B189" i="11"/>
  <c r="B207" i="11"/>
  <c r="S207" i="11" s="1"/>
  <c r="T207" i="11" s="1"/>
  <c r="B69" i="11"/>
  <c r="U69" i="11" s="1"/>
  <c r="B94" i="11"/>
  <c r="U94" i="11" s="1"/>
  <c r="B140" i="11"/>
  <c r="S140" i="11" s="1"/>
  <c r="T140" i="11" s="1"/>
  <c r="B201" i="11"/>
  <c r="S201" i="11" s="1"/>
  <c r="T201" i="11" s="1"/>
  <c r="B161" i="11"/>
  <c r="S161" i="11" s="1"/>
  <c r="T161" i="11" s="1"/>
  <c r="B90" i="11"/>
  <c r="U90" i="11" s="1"/>
  <c r="B213" i="11"/>
  <c r="U213" i="11" s="1"/>
  <c r="B96" i="11"/>
  <c r="C96" i="11" s="1"/>
  <c r="E96" i="11" s="1"/>
  <c r="B70" i="11"/>
  <c r="C70" i="11" s="1"/>
  <c r="B66" i="11"/>
  <c r="B216" i="11"/>
  <c r="B224" i="11"/>
  <c r="C224" i="11" s="1"/>
  <c r="E224" i="11" s="1"/>
  <c r="B101" i="11"/>
  <c r="B173" i="11"/>
  <c r="C173" i="11" s="1"/>
  <c r="D173" i="11" s="1"/>
  <c r="B106" i="11"/>
  <c r="C106" i="11" s="1"/>
  <c r="D106" i="11" s="1"/>
  <c r="B160" i="11"/>
  <c r="C160" i="11" s="1"/>
  <c r="D160" i="11" s="1"/>
  <c r="B153" i="11"/>
  <c r="C153" i="11" s="1"/>
  <c r="D153" i="11" s="1"/>
  <c r="B164" i="11"/>
  <c r="S164" i="11" s="1"/>
  <c r="T164" i="11" s="1"/>
  <c r="B181" i="11"/>
  <c r="S181" i="11" s="1"/>
  <c r="T181" i="11" s="1"/>
  <c r="I447" i="9"/>
  <c r="I454" i="6"/>
  <c r="B67" i="11"/>
  <c r="C67" i="11" s="1"/>
  <c r="D67" i="11" s="1"/>
  <c r="B143" i="11"/>
  <c r="S143" i="11" s="1"/>
  <c r="T143" i="11" s="1"/>
  <c r="B86" i="11"/>
  <c r="U86" i="11" s="1"/>
  <c r="B89" i="11"/>
  <c r="B196" i="11"/>
  <c r="U196" i="11" s="1"/>
  <c r="B195" i="11"/>
  <c r="U195" i="11" s="1"/>
  <c r="B221" i="11"/>
  <c r="C221" i="11" s="1"/>
  <c r="D221" i="11" s="1"/>
  <c r="B125" i="11"/>
  <c r="U125" i="11" s="1"/>
  <c r="B204" i="11"/>
  <c r="C204" i="11" s="1"/>
  <c r="E204" i="11" s="1"/>
  <c r="B132" i="11"/>
  <c r="B169" i="11"/>
  <c r="C169" i="11" s="1"/>
  <c r="D169" i="11" s="1"/>
  <c r="B214" i="11"/>
  <c r="S214" i="11" s="1"/>
  <c r="T214" i="11" s="1"/>
  <c r="B97" i="11"/>
  <c r="C97" i="11" s="1"/>
  <c r="E97" i="11" s="1"/>
  <c r="B186" i="11"/>
  <c r="U186" i="11" s="1"/>
  <c r="B127" i="11"/>
  <c r="C127" i="11" s="1"/>
  <c r="D127" i="11" s="1"/>
  <c r="B114" i="11"/>
  <c r="U114" i="11" s="1"/>
  <c r="B139" i="11"/>
  <c r="S139" i="11" s="1"/>
  <c r="T139" i="11" s="1"/>
  <c r="B168" i="11"/>
  <c r="U168" i="11" s="1"/>
  <c r="B91" i="11"/>
  <c r="C91" i="11" s="1"/>
  <c r="E91" i="11" s="1"/>
  <c r="B111" i="11"/>
  <c r="B92" i="11"/>
  <c r="U92" i="11" s="1"/>
  <c r="B128" i="11"/>
  <c r="C128" i="11" s="1"/>
  <c r="E128" i="11" s="1"/>
  <c r="B75" i="11"/>
  <c r="B80" i="11"/>
  <c r="C80" i="11" s="1"/>
  <c r="E80" i="11" s="1"/>
  <c r="B212" i="11"/>
  <c r="C212" i="11" s="1"/>
  <c r="E212" i="11" s="1"/>
  <c r="B202" i="11"/>
  <c r="B177" i="11"/>
  <c r="U177" i="11" s="1"/>
  <c r="B103" i="11"/>
  <c r="C103" i="11" s="1"/>
  <c r="E103" i="11" s="1"/>
  <c r="B219" i="11"/>
  <c r="U219" i="11" s="1"/>
  <c r="B115" i="11"/>
  <c r="U115" i="11" s="1"/>
  <c r="B122" i="11"/>
  <c r="S122" i="11" s="1"/>
  <c r="T122" i="11" s="1"/>
  <c r="I444" i="9"/>
  <c r="I450" i="6"/>
  <c r="I453" i="9"/>
  <c r="I461" i="6"/>
  <c r="B134" i="11"/>
  <c r="C134" i="11" s="1"/>
  <c r="D134" i="11" s="1"/>
  <c r="B155" i="11"/>
  <c r="B172" i="11"/>
  <c r="U172" i="11" s="1"/>
  <c r="B74" i="11"/>
  <c r="C74" i="11" s="1"/>
  <c r="E74" i="11" s="1"/>
  <c r="B206" i="11"/>
  <c r="C206" i="11" s="1"/>
  <c r="D206" i="11" s="1"/>
  <c r="B171" i="11"/>
  <c r="S171" i="11" s="1"/>
  <c r="T171" i="11" s="1"/>
  <c r="B179" i="11"/>
  <c r="B131" i="11"/>
  <c r="C131" i="11" s="1"/>
  <c r="D131" i="11" s="1"/>
  <c r="F92" i="11"/>
  <c r="G92" i="11" s="1"/>
  <c r="H92" i="11" s="1"/>
  <c r="F151" i="11"/>
  <c r="G151" i="11" s="1"/>
  <c r="I151" i="11" s="1"/>
  <c r="F155" i="11"/>
  <c r="G155" i="11" s="1"/>
  <c r="H155" i="11" s="1"/>
  <c r="F214" i="11"/>
  <c r="F80" i="11"/>
  <c r="G80" i="11" s="1"/>
  <c r="I80" i="11" s="1"/>
  <c r="F127" i="11"/>
  <c r="V127" i="11" s="1"/>
  <c r="F178" i="11"/>
  <c r="V178" i="11" s="1"/>
  <c r="F196" i="11"/>
  <c r="G196" i="11" s="1"/>
  <c r="H196" i="11" s="1"/>
  <c r="F157" i="11"/>
  <c r="G157" i="11" s="1"/>
  <c r="H157" i="11" s="1"/>
  <c r="F146" i="11"/>
  <c r="V146" i="11" s="1"/>
  <c r="B88" i="11"/>
  <c r="U88" i="11" s="1"/>
  <c r="B72" i="11"/>
  <c r="C72" i="11" s="1"/>
  <c r="E72" i="11" s="1"/>
  <c r="B109" i="11"/>
  <c r="C109" i="11" s="1"/>
  <c r="E109" i="11" s="1"/>
  <c r="B222" i="11"/>
  <c r="S222" i="11" s="1"/>
  <c r="T222" i="11" s="1"/>
  <c r="B102" i="11"/>
  <c r="B77" i="11"/>
  <c r="B149" i="11"/>
  <c r="U149" i="11" s="1"/>
  <c r="B116" i="11"/>
  <c r="B81" i="11"/>
  <c r="U81" i="11" s="1"/>
  <c r="B99" i="11"/>
  <c r="C99" i="11" s="1"/>
  <c r="D99" i="11" s="1"/>
  <c r="B126" i="11"/>
  <c r="C126" i="11" s="1"/>
  <c r="D126" i="11" s="1"/>
  <c r="B100" i="11"/>
  <c r="C100" i="11" s="1"/>
  <c r="E100" i="11" s="1"/>
  <c r="B105" i="11"/>
  <c r="B165" i="11"/>
  <c r="U165" i="11" s="1"/>
  <c r="B144" i="11"/>
  <c r="U144" i="11" s="1"/>
  <c r="B107" i="11"/>
  <c r="U107" i="11" s="1"/>
  <c r="B154" i="11"/>
  <c r="B184" i="11"/>
  <c r="S184" i="11" s="1"/>
  <c r="T184" i="11" s="1"/>
  <c r="E63" i="11"/>
  <c r="B118" i="11"/>
  <c r="C118" i="11" s="1"/>
  <c r="D118" i="11" s="1"/>
  <c r="B193" i="11"/>
  <c r="B163" i="11"/>
  <c r="C163" i="11" s="1"/>
  <c r="E163" i="11" s="1"/>
  <c r="B159" i="11"/>
  <c r="S159" i="11" s="1"/>
  <c r="T159" i="11" s="1"/>
  <c r="B220" i="11"/>
  <c r="S220" i="11" s="1"/>
  <c r="T220" i="11" s="1"/>
  <c r="B120" i="11"/>
  <c r="B113" i="11"/>
  <c r="U113" i="11" s="1"/>
  <c r="B200" i="11"/>
  <c r="S200" i="11" s="1"/>
  <c r="T200" i="11" s="1"/>
  <c r="B137" i="11"/>
  <c r="S137" i="11" s="1"/>
  <c r="T137" i="11" s="1"/>
  <c r="B208" i="11"/>
  <c r="S208" i="11" s="1"/>
  <c r="T208" i="11" s="1"/>
  <c r="B112" i="11"/>
  <c r="U112" i="11" s="1"/>
  <c r="B194" i="11"/>
  <c r="U194" i="11" s="1"/>
  <c r="B152" i="11"/>
  <c r="C152" i="11" s="1"/>
  <c r="D152" i="11" s="1"/>
  <c r="B141" i="11"/>
  <c r="S141" i="11" s="1"/>
  <c r="T141" i="11" s="1"/>
  <c r="B147" i="11"/>
  <c r="U147" i="11" s="1"/>
  <c r="B145" i="11"/>
  <c r="U145" i="11" s="1"/>
  <c r="B162" i="11"/>
  <c r="C162" i="11" s="1"/>
  <c r="E162" i="11" s="1"/>
  <c r="B85" i="11"/>
  <c r="B98" i="11"/>
  <c r="C98" i="11" s="1"/>
  <c r="D98" i="11" s="1"/>
  <c r="B198" i="11"/>
  <c r="C198" i="11" s="1"/>
  <c r="E198" i="11" s="1"/>
  <c r="F101" i="11"/>
  <c r="F135" i="11"/>
  <c r="F201" i="11"/>
  <c r="G201" i="11" s="1"/>
  <c r="H201" i="11" s="1"/>
  <c r="F224" i="11"/>
  <c r="G224" i="11" s="1"/>
  <c r="I224" i="11" s="1"/>
  <c r="F123" i="11"/>
  <c r="G123" i="11" s="1"/>
  <c r="I123" i="11" s="1"/>
  <c r="F170" i="11"/>
  <c r="G170" i="11" s="1"/>
  <c r="H170" i="11" s="1"/>
  <c r="F83" i="11"/>
  <c r="V83" i="11" s="1"/>
  <c r="F149" i="11"/>
  <c r="G149" i="11" s="1"/>
  <c r="I149" i="11" s="1"/>
  <c r="F138" i="11"/>
  <c r="V138" i="11" s="1"/>
  <c r="F74" i="11"/>
  <c r="G74" i="11" s="1"/>
  <c r="H74" i="11" s="1"/>
  <c r="F177" i="11"/>
  <c r="G177" i="11" s="1"/>
  <c r="H177" i="11" s="1"/>
  <c r="F124" i="11"/>
  <c r="G124" i="11" s="1"/>
  <c r="I124" i="11" s="1"/>
  <c r="F108" i="11"/>
  <c r="F68" i="11"/>
  <c r="G68" i="11" s="1"/>
  <c r="I68" i="11" s="1"/>
  <c r="F179" i="11"/>
  <c r="G179" i="11" s="1"/>
  <c r="I179" i="11" s="1"/>
  <c r="F133" i="11"/>
  <c r="G133" i="11" s="1"/>
  <c r="H133" i="11" s="1"/>
  <c r="F67" i="11"/>
  <c r="V67" i="11" s="1"/>
  <c r="F141" i="11"/>
  <c r="V141" i="11" s="1"/>
  <c r="F98" i="11"/>
  <c r="V98" i="11" s="1"/>
  <c r="F79" i="11"/>
  <c r="I432" i="6"/>
  <c r="I426" i="9"/>
  <c r="F193" i="11"/>
  <c r="G193" i="11" s="1"/>
  <c r="H193" i="11" s="1"/>
  <c r="F211" i="11"/>
  <c r="V211" i="11" s="1"/>
  <c r="F173" i="11"/>
  <c r="F190" i="11"/>
  <c r="G190" i="11" s="1"/>
  <c r="I190" i="11" s="1"/>
  <c r="I63" i="11"/>
  <c r="F73" i="11"/>
  <c r="F77" i="11"/>
  <c r="V77" i="11" s="1"/>
  <c r="F180" i="11"/>
  <c r="G180" i="11" s="1"/>
  <c r="H180" i="11" s="1"/>
  <c r="F75" i="11"/>
  <c r="G75" i="11" s="1"/>
  <c r="H75" i="11" s="1"/>
  <c r="F137" i="11"/>
  <c r="G137" i="11" s="1"/>
  <c r="H137" i="11" s="1"/>
  <c r="F100" i="11"/>
  <c r="G100" i="11" s="1"/>
  <c r="H100" i="11" s="1"/>
  <c r="F131" i="11"/>
  <c r="V131" i="11" s="1"/>
  <c r="F175" i="11"/>
  <c r="G175" i="11" s="1"/>
  <c r="I175" i="11" s="1"/>
  <c r="F122" i="11"/>
  <c r="V122" i="11" s="1"/>
  <c r="F159" i="11"/>
  <c r="V159" i="11" s="1"/>
  <c r="F210" i="11"/>
  <c r="V210" i="11" s="1"/>
  <c r="F96" i="11"/>
  <c r="G96" i="11" s="1"/>
  <c r="F223" i="11"/>
  <c r="G223" i="11" s="1"/>
  <c r="H223" i="11" s="1"/>
  <c r="F215" i="11"/>
  <c r="V215" i="11" s="1"/>
  <c r="F134" i="11"/>
  <c r="G134" i="11" s="1"/>
  <c r="I134" i="11" s="1"/>
  <c r="F183" i="11"/>
  <c r="V183" i="11" s="1"/>
  <c r="F102" i="11"/>
  <c r="G102" i="11" s="1"/>
  <c r="I102" i="11" s="1"/>
  <c r="F85" i="11"/>
  <c r="V85" i="11" s="1"/>
  <c r="F91" i="11"/>
  <c r="V91" i="11" s="1"/>
  <c r="F206" i="11"/>
  <c r="F156" i="11"/>
  <c r="F114" i="11"/>
  <c r="F72" i="11"/>
  <c r="V72" i="11" s="1"/>
  <c r="F167" i="11"/>
  <c r="G167" i="11" s="1"/>
  <c r="I167" i="11" s="1"/>
  <c r="F192" i="11"/>
  <c r="G192" i="11" s="1"/>
  <c r="H192" i="11" s="1"/>
  <c r="F200" i="11"/>
  <c r="F69" i="11"/>
  <c r="G69" i="11" s="1"/>
  <c r="I69" i="11" s="1"/>
  <c r="F118" i="11"/>
  <c r="G118" i="11" s="1"/>
  <c r="I118" i="11" s="1"/>
  <c r="F194" i="11"/>
  <c r="G194" i="11" s="1"/>
  <c r="I194" i="11" s="1"/>
  <c r="F140" i="11"/>
  <c r="F81" i="11"/>
  <c r="V81" i="11" s="1"/>
  <c r="F208" i="11"/>
  <c r="G208" i="11" s="1"/>
  <c r="I208" i="11" s="1"/>
  <c r="F132" i="11"/>
  <c r="G132" i="11" s="1"/>
  <c r="H132" i="11" s="1"/>
  <c r="F161" i="11"/>
  <c r="F205" i="11"/>
  <c r="V205" i="11" s="1"/>
  <c r="F120" i="11"/>
  <c r="V120" i="11" s="1"/>
  <c r="F189" i="11"/>
  <c r="V189" i="11" s="1"/>
  <c r="F119" i="11"/>
  <c r="F103" i="11"/>
  <c r="G103" i="11" s="1"/>
  <c r="I103" i="11" s="1"/>
  <c r="F139" i="11"/>
  <c r="V139" i="11" s="1"/>
  <c r="F84" i="11"/>
  <c r="G84" i="11" s="1"/>
  <c r="H84" i="11" s="1"/>
  <c r="F71" i="11"/>
  <c r="F164" i="11"/>
  <c r="V164" i="11" s="1"/>
  <c r="F186" i="11"/>
  <c r="G186" i="11" s="1"/>
  <c r="H186" i="11" s="1"/>
  <c r="F222" i="11"/>
  <c r="G222" i="11" s="1"/>
  <c r="H222" i="11" s="1"/>
  <c r="F174" i="11"/>
  <c r="F203" i="11"/>
  <c r="V203" i="11" s="1"/>
  <c r="F218" i="11"/>
  <c r="G218" i="11" s="1"/>
  <c r="I218" i="11" s="1"/>
  <c r="F70" i="11"/>
  <c r="V70" i="11" s="1"/>
  <c r="F162" i="11"/>
  <c r="F104" i="11"/>
  <c r="V104" i="11" s="1"/>
  <c r="F202" i="11"/>
  <c r="G202" i="11" s="1"/>
  <c r="H202" i="11" s="1"/>
  <c r="F76" i="11"/>
  <c r="G76" i="11" s="1"/>
  <c r="H76" i="11" s="1"/>
  <c r="F207" i="11"/>
  <c r="G207" i="11" s="1"/>
  <c r="H207" i="11" s="1"/>
  <c r="F171" i="11"/>
  <c r="G171" i="11" s="1"/>
  <c r="I171" i="11" s="1"/>
  <c r="B142" i="11"/>
  <c r="S142" i="11" s="1"/>
  <c r="T142" i="11" s="1"/>
  <c r="B84" i="11"/>
  <c r="U84" i="11" s="1"/>
  <c r="B157" i="11"/>
  <c r="S157" i="11" s="1"/>
  <c r="T157" i="11" s="1"/>
  <c r="B190" i="11"/>
  <c r="C190" i="11" s="1"/>
  <c r="E190" i="11" s="1"/>
  <c r="B136" i="11"/>
  <c r="C136" i="11" s="1"/>
  <c r="E136" i="11" s="1"/>
  <c r="F152" i="11"/>
  <c r="F217" i="11"/>
  <c r="V217" i="11" s="1"/>
  <c r="F143" i="11"/>
  <c r="V143" i="11" s="1"/>
  <c r="F169" i="11"/>
  <c r="V169" i="11" s="1"/>
  <c r="F106" i="11"/>
  <c r="F188" i="11"/>
  <c r="V188" i="11" s="1"/>
  <c r="F184" i="11"/>
  <c r="V184" i="11" s="1"/>
  <c r="F129" i="11"/>
  <c r="F93" i="11"/>
  <c r="V93" i="11" s="1"/>
  <c r="F168" i="11"/>
  <c r="G168" i="11" s="1"/>
  <c r="H168" i="11" s="1"/>
  <c r="F89" i="11"/>
  <c r="V89" i="11" s="1"/>
  <c r="F199" i="11"/>
  <c r="G199" i="11" s="1"/>
  <c r="H199" i="11" s="1"/>
  <c r="F130" i="11"/>
  <c r="V130" i="11" s="1"/>
  <c r="F195" i="11"/>
  <c r="V195" i="11" s="1"/>
  <c r="F147" i="11"/>
  <c r="G147" i="11" s="1"/>
  <c r="H147" i="11" s="1"/>
  <c r="F97" i="11"/>
  <c r="V97" i="11" s="1"/>
  <c r="F82" i="11"/>
  <c r="G82" i="11" s="1"/>
  <c r="H82" i="11" s="1"/>
  <c r="F136" i="11"/>
  <c r="V136" i="11" s="1"/>
  <c r="F181" i="11"/>
  <c r="V181" i="11" s="1"/>
  <c r="F126" i="11"/>
  <c r="G126" i="11" s="1"/>
  <c r="I126" i="11" s="1"/>
  <c r="F148" i="11"/>
  <c r="F198" i="11"/>
  <c r="V198" i="11" s="1"/>
  <c r="F213" i="11"/>
  <c r="G213" i="11" s="1"/>
  <c r="I213" i="11" s="1"/>
  <c r="F94" i="11"/>
  <c r="V94" i="11" s="1"/>
  <c r="F176" i="11"/>
  <c r="G176" i="11" s="1"/>
  <c r="H176" i="11" s="1"/>
  <c r="F187" i="11"/>
  <c r="G187" i="11" s="1"/>
  <c r="I187" i="11" s="1"/>
  <c r="F191" i="11"/>
  <c r="G191" i="11" s="1"/>
  <c r="H191" i="11" s="1"/>
  <c r="F99" i="11"/>
  <c r="V99" i="11" s="1"/>
  <c r="F142" i="11"/>
  <c r="V142" i="11" s="1"/>
  <c r="F105" i="11"/>
  <c r="V105" i="11" s="1"/>
  <c r="F112" i="11"/>
  <c r="V112" i="11" s="1"/>
  <c r="F128" i="11"/>
  <c r="V128" i="11" s="1"/>
  <c r="F110" i="11"/>
  <c r="F219" i="11"/>
  <c r="V219" i="11" s="1"/>
  <c r="F88" i="11"/>
  <c r="V88" i="11" s="1"/>
  <c r="F220" i="11"/>
  <c r="G220" i="11" s="1"/>
  <c r="I220" i="11" s="1"/>
  <c r="F197" i="11"/>
  <c r="G197" i="11" s="1"/>
  <c r="H197" i="11" s="1"/>
  <c r="F116" i="11"/>
  <c r="G116" i="11" s="1"/>
  <c r="I116" i="11" s="1"/>
  <c r="F87" i="11"/>
  <c r="G87" i="11" s="1"/>
  <c r="I87" i="11" s="1"/>
  <c r="F107" i="11"/>
  <c r="I490" i="6"/>
  <c r="I473" i="9"/>
  <c r="AG436" i="9" l="1"/>
  <c r="AE436" i="9" s="1"/>
  <c r="AW1597" i="10"/>
  <c r="BC1474" i="10"/>
  <c r="BC1466" i="10"/>
  <c r="BD1545" i="10"/>
  <c r="BC1400" i="10"/>
  <c r="BC1382" i="10"/>
  <c r="BC1249" i="10"/>
  <c r="BC1430" i="10"/>
  <c r="G432" i="6"/>
  <c r="P498" i="26"/>
  <c r="G476" i="6" s="1"/>
  <c r="P513" i="26"/>
  <c r="G490" i="6" s="1"/>
  <c r="G457" i="6"/>
  <c r="P417" i="26"/>
  <c r="G415" i="9" s="1"/>
  <c r="G498" i="6"/>
  <c r="G469" i="9"/>
  <c r="G473" i="6"/>
  <c r="P443" i="26"/>
  <c r="G430" i="9" s="1"/>
  <c r="P516" i="26"/>
  <c r="G493" i="6" s="1"/>
  <c r="P537" i="26"/>
  <c r="G444" i="9"/>
  <c r="G450" i="6"/>
  <c r="P439" i="26"/>
  <c r="G434" i="6" s="1"/>
  <c r="BC1533" i="10"/>
  <c r="BC1221" i="10"/>
  <c r="BD1542" i="10"/>
  <c r="BD1216" i="10"/>
  <c r="BD1456" i="10"/>
  <c r="BD1453" i="10"/>
  <c r="BA1583" i="10"/>
  <c r="BA1432" i="10"/>
  <c r="BD1219" i="10"/>
  <c r="BD1498" i="10"/>
  <c r="BA1352" i="10"/>
  <c r="BD1368" i="10"/>
  <c r="BD1352" i="10"/>
  <c r="BD1432" i="10"/>
  <c r="BD1521" i="10"/>
  <c r="BD1443" i="10"/>
  <c r="BC1307" i="10"/>
  <c r="BD1375" i="10"/>
  <c r="BC1433" i="10"/>
  <c r="BD1242" i="10"/>
  <c r="BC1452" i="10"/>
  <c r="BD1439" i="10"/>
  <c r="BD1294" i="10"/>
  <c r="BD1263" i="10"/>
  <c r="BD1229" i="10"/>
  <c r="BD1552" i="10"/>
  <c r="BC1335" i="10"/>
  <c r="BD1575" i="10"/>
  <c r="BD1344" i="10"/>
  <c r="BA1524" i="10"/>
  <c r="BC1567" i="10"/>
  <c r="BC1526" i="10"/>
  <c r="BC1403" i="10"/>
  <c r="BC1426" i="10"/>
  <c r="BC1269" i="10"/>
  <c r="BC1241" i="10"/>
  <c r="BC1381" i="10"/>
  <c r="BD1392" i="10"/>
  <c r="BD1422" i="10"/>
  <c r="BA1471" i="10"/>
  <c r="BD1535" i="10"/>
  <c r="BD1243" i="10"/>
  <c r="BA1353" i="10"/>
  <c r="BA1419" i="10"/>
  <c r="BA1442" i="10"/>
  <c r="BD1590" i="10"/>
  <c r="BC1493" i="10"/>
  <c r="BC1301" i="10"/>
  <c r="BC1578" i="10"/>
  <c r="BD1472" i="10"/>
  <c r="BC1413" i="10"/>
  <c r="BC1559" i="10"/>
  <c r="BA1255" i="10"/>
  <c r="BC1515" i="10"/>
  <c r="BA1345" i="10"/>
  <c r="BD1389" i="10"/>
  <c r="BC1458" i="10"/>
  <c r="BD1354" i="10"/>
  <c r="BA1578" i="10"/>
  <c r="BA1411" i="10"/>
  <c r="BC1472" i="10"/>
  <c r="BD1583" i="10"/>
  <c r="BD1570" i="10"/>
  <c r="BC1485" i="10"/>
  <c r="BC1333" i="10"/>
  <c r="BC1448" i="10"/>
  <c r="BC1462" i="10"/>
  <c r="BD1437" i="10"/>
  <c r="BC1334" i="10"/>
  <c r="BC1441" i="10"/>
  <c r="BC1227" i="10"/>
  <c r="BD1559" i="10"/>
  <c r="BD1481" i="10"/>
  <c r="BD1370" i="10"/>
  <c r="BD1471" i="10"/>
  <c r="BD1384" i="10"/>
  <c r="BC1255" i="10"/>
  <c r="BA1545" i="10"/>
  <c r="BC1387" i="10"/>
  <c r="BD1530" i="10"/>
  <c r="BC1353" i="10"/>
  <c r="BA1515" i="10"/>
  <c r="BC1546" i="10"/>
  <c r="BD1412" i="10"/>
  <c r="BC1442" i="10"/>
  <c r="BD1345" i="10"/>
  <c r="BC1220" i="10"/>
  <c r="BD1567" i="10"/>
  <c r="BA1590" i="10"/>
  <c r="BC1508" i="10"/>
  <c r="BD1233" i="10"/>
  <c r="BD1374" i="10"/>
  <c r="BD1385" i="10"/>
  <c r="BD1248" i="10"/>
  <c r="BC1299" i="10"/>
  <c r="BC1340" i="10"/>
  <c r="BD1529" i="10"/>
  <c r="BA1458" i="10"/>
  <c r="BD1423" i="10"/>
  <c r="BD1528" i="10"/>
  <c r="BD1390" i="10"/>
  <c r="BD1411" i="10"/>
  <c r="BD1527" i="10"/>
  <c r="BC1417" i="10"/>
  <c r="BC1238" i="10"/>
  <c r="BD1258" i="10"/>
  <c r="BD1252" i="10"/>
  <c r="BA1570" i="10"/>
  <c r="BA1462" i="10"/>
  <c r="BD1441" i="10"/>
  <c r="BC1275" i="10"/>
  <c r="BA1481" i="10"/>
  <c r="BA1552" i="10"/>
  <c r="BD1476" i="10"/>
  <c r="BA1344" i="10"/>
  <c r="BD1546" i="10"/>
  <c r="BC1456" i="10"/>
  <c r="BC1419" i="10"/>
  <c r="BC1412" i="10"/>
  <c r="BC1524" i="10"/>
  <c r="BD1220" i="10"/>
  <c r="BA1453" i="10"/>
  <c r="BD1508" i="10"/>
  <c r="BC1233" i="10"/>
  <c r="BC1389" i="10"/>
  <c r="BD1357" i="10"/>
  <c r="BD1478" i="10"/>
  <c r="BD1438" i="10"/>
  <c r="BD1223" i="10"/>
  <c r="BD1292" i="10"/>
  <c r="BA1377" i="10"/>
  <c r="BA1469" i="10"/>
  <c r="BD1362" i="10"/>
  <c r="BC1447" i="10"/>
  <c r="BC1459" i="10"/>
  <c r="BD1346" i="10"/>
  <c r="BC1360" i="10"/>
  <c r="BD1212" i="10"/>
  <c r="BC1402" i="10"/>
  <c r="BC1541" i="10"/>
  <c r="BC1557" i="10"/>
  <c r="BD1519" i="10"/>
  <c r="BD1408" i="10"/>
  <c r="BC1564" i="10"/>
  <c r="BC1224" i="10"/>
  <c r="BC1487" i="10"/>
  <c r="BD1325" i="10"/>
  <c r="BD1297" i="10"/>
  <c r="BD1380" i="10"/>
  <c r="BA1324" i="10"/>
  <c r="BC1585" i="10"/>
  <c r="BC1289" i="10"/>
  <c r="BA1349" i="10"/>
  <c r="BD1300" i="10"/>
  <c r="B45" i="11"/>
  <c r="P45" i="11" s="1"/>
  <c r="BD1388" i="10"/>
  <c r="BC1501" i="10"/>
  <c r="BC1517" i="10"/>
  <c r="BD1573" i="10"/>
  <c r="BD1467" i="10"/>
  <c r="BD1367" i="10"/>
  <c r="BA1426" i="10"/>
  <c r="BC1511" i="10"/>
  <c r="BC1505" i="10"/>
  <c r="BC1347" i="10"/>
  <c r="B33" i="11"/>
  <c r="C33" i="11" s="1"/>
  <c r="N33" i="11" s="1"/>
  <c r="O33" i="11" s="1"/>
  <c r="BC1463" i="10"/>
  <c r="BC1483" i="10"/>
  <c r="BA1555" i="10"/>
  <c r="BC1379" i="10"/>
  <c r="BD1291" i="10"/>
  <c r="BC1253" i="10"/>
  <c r="BA1298" i="10"/>
  <c r="BC1256" i="10"/>
  <c r="BC1240" i="10"/>
  <c r="BD1409" i="10"/>
  <c r="BD1486" i="10"/>
  <c r="BD1394" i="10"/>
  <c r="BD1502" i="10"/>
  <c r="BD1571" i="10"/>
  <c r="BD1228" i="10"/>
  <c r="BC1543" i="10"/>
  <c r="BD1364" i="10"/>
  <c r="BC1329" i="10"/>
  <c r="BD1425" i="10"/>
  <c r="BC1226" i="10"/>
  <c r="BC1450" i="10"/>
  <c r="BD1434" i="10"/>
  <c r="BC1311" i="10"/>
  <c r="BC1281" i="10"/>
  <c r="BD1277" i="10"/>
  <c r="BA1367" i="10"/>
  <c r="BC1236" i="10"/>
  <c r="BD1351" i="10"/>
  <c r="BC1351" i="10"/>
  <c r="BD1560" i="10"/>
  <c r="BA1560" i="10"/>
  <c r="BD1465" i="10"/>
  <c r="BA1465" i="10"/>
  <c r="BD1569" i="10"/>
  <c r="BA1569" i="10"/>
  <c r="BC1510" i="10"/>
  <c r="BD1510" i="10"/>
  <c r="BA1522" i="10"/>
  <c r="BD1522" i="10"/>
  <c r="BA1532" i="10"/>
  <c r="BC1532" i="10"/>
  <c r="BC1267" i="10"/>
  <c r="BD1267" i="10"/>
  <c r="BC1551" i="10"/>
  <c r="BA1551" i="10"/>
  <c r="BA1582" i="10"/>
  <c r="BC1582" i="10"/>
  <c r="BD1516" i="10"/>
  <c r="BC1516" i="10"/>
  <c r="BD1499" i="10"/>
  <c r="BA1499" i="10"/>
  <c r="BC1266" i="10"/>
  <c r="BA1266" i="10"/>
  <c r="BC1316" i="10"/>
  <c r="BD1316" i="10"/>
  <c r="BC1363" i="10"/>
  <c r="BD1363" i="10"/>
  <c r="BA1473" i="10"/>
  <c r="BD1473" i="10"/>
  <c r="BD1470" i="10"/>
  <c r="BA1470" i="10"/>
  <c r="BD1397" i="10"/>
  <c r="BC1397" i="10"/>
  <c r="BD1261" i="10"/>
  <c r="BC1261" i="10"/>
  <c r="BD1319" i="10"/>
  <c r="BA1319" i="10"/>
  <c r="BA1518" i="10"/>
  <c r="BD1518" i="10"/>
  <c r="BC1518" i="10"/>
  <c r="BD1494" i="10"/>
  <c r="BC1494" i="10"/>
  <c r="BA1468" i="10"/>
  <c r="BC1468" i="10"/>
  <c r="BD1235" i="10"/>
  <c r="BC1235" i="10"/>
  <c r="BA1407" i="10"/>
  <c r="BD1407" i="10"/>
  <c r="BC1539" i="10"/>
  <c r="BA1539" i="10"/>
  <c r="BA1464" i="10"/>
  <c r="BC1464" i="10"/>
  <c r="BD1265" i="10"/>
  <c r="BC1265" i="10"/>
  <c r="BD1484" i="10"/>
  <c r="BC1484" i="10"/>
  <c r="BA1331" i="10"/>
  <c r="BD1331" i="10"/>
  <c r="BA1489" i="10"/>
  <c r="BC1489" i="10"/>
  <c r="BD1489" i="10"/>
  <c r="BD1314" i="10"/>
  <c r="BC1314" i="10"/>
  <c r="BA1247" i="10"/>
  <c r="BD1247" i="10"/>
  <c r="BA1348" i="10"/>
  <c r="BD1348" i="10"/>
  <c r="BD1436" i="10"/>
  <c r="BC1436" i="10"/>
  <c r="BC1293" i="10"/>
  <c r="BA1293" i="10"/>
  <c r="BD1293" i="10"/>
  <c r="BC1562" i="10"/>
  <c r="BD1562" i="10"/>
  <c r="BC1378" i="10"/>
  <c r="BD1378" i="10"/>
  <c r="BC1480" i="10"/>
  <c r="BD1480" i="10"/>
  <c r="BD1323" i="10"/>
  <c r="BC1323" i="10"/>
  <c r="BC1576" i="10"/>
  <c r="BD1576" i="10"/>
  <c r="BD1410" i="10"/>
  <c r="BC1410" i="10"/>
  <c r="BC1358" i="10"/>
  <c r="BA1358" i="10"/>
  <c r="BD1500" i="10"/>
  <c r="BC1500" i="10"/>
  <c r="BA1553" i="10"/>
  <c r="BD1553" i="10"/>
  <c r="BD1283" i="10"/>
  <c r="BC1283" i="10"/>
  <c r="BD1239" i="10"/>
  <c r="BC1239" i="10"/>
  <c r="BD1395" i="10"/>
  <c r="BC1395" i="10"/>
  <c r="BC1509" i="10"/>
  <c r="BC1429" i="10"/>
  <c r="BD1586" i="10"/>
  <c r="BD1551" i="10"/>
  <c r="BC1405" i="10"/>
  <c r="BD1278" i="10"/>
  <c r="BC1366" i="10"/>
  <c r="BD1468" i="10"/>
  <c r="BC1420" i="10"/>
  <c r="BD1490" i="10"/>
  <c r="BC1499" i="10"/>
  <c r="BC1407" i="10"/>
  <c r="BC1560" i="10"/>
  <c r="BD1464" i="10"/>
  <c r="BD1540" i="10"/>
  <c r="BC1230" i="10"/>
  <c r="BC1475" i="10"/>
  <c r="BD1356" i="10"/>
  <c r="BD1355" i="10"/>
  <c r="BD1372" i="10"/>
  <c r="BC1312" i="10"/>
  <c r="BD1414" i="10"/>
  <c r="BD1341" i="10"/>
  <c r="BC1427" i="10"/>
  <c r="BD1532" i="10"/>
  <c r="BA1436" i="10"/>
  <c r="BC1247" i="10"/>
  <c r="BD1539" i="10"/>
  <c r="BD1547" i="10"/>
  <c r="BC1522" i="10"/>
  <c r="BC1321" i="10"/>
  <c r="BA1364" i="10"/>
  <c r="BD1286" i="10"/>
  <c r="BC1302" i="10"/>
  <c r="BC1503" i="10"/>
  <c r="BC1565" i="10"/>
  <c r="BA1341" i="10"/>
  <c r="BC1465" i="10"/>
  <c r="BD1428" i="10"/>
  <c r="BC1319" i="10"/>
  <c r="BC1473" i="10"/>
  <c r="BC1553" i="10"/>
  <c r="BC1287" i="10"/>
  <c r="BC1482" i="10"/>
  <c r="BD1317" i="10"/>
  <c r="BD1295" i="10"/>
  <c r="BD1320" i="10"/>
  <c r="BD1460" i="10"/>
  <c r="BC1365" i="10"/>
  <c r="BC1401" i="10"/>
  <c r="BA1284" i="10"/>
  <c r="BD1332" i="10"/>
  <c r="BD1525" i="10"/>
  <c r="BD1251" i="10"/>
  <c r="BD1383" i="10"/>
  <c r="BD1244" i="10"/>
  <c r="BC1309" i="10"/>
  <c r="BD1589" i="10"/>
  <c r="BC1416" i="10"/>
  <c r="BC1556" i="10"/>
  <c r="BC1350" i="10"/>
  <c r="BC1285" i="10"/>
  <c r="BC1274" i="10"/>
  <c r="BC1303" i="10"/>
  <c r="BC1262" i="10"/>
  <c r="BD1451" i="10"/>
  <c r="BC1512" i="10"/>
  <c r="BD1523" i="10"/>
  <c r="BA1359" i="10"/>
  <c r="BD1574" i="10"/>
  <c r="BD1568" i="10"/>
  <c r="BD1324" i="10"/>
  <c r="BA1585" i="10"/>
  <c r="BC1313" i="10"/>
  <c r="BD1497" i="10"/>
  <c r="BD1304" i="10"/>
  <c r="BC1455" i="10"/>
  <c r="BD1416" i="10"/>
  <c r="BD1217" i="10"/>
  <c r="BC1254" i="10"/>
  <c r="BA1557" i="10"/>
  <c r="BD1272" i="10"/>
  <c r="BD1376" i="10"/>
  <c r="BC1431" i="10"/>
  <c r="BC1558" i="10"/>
  <c r="BD1537" i="10"/>
  <c r="BA1274" i="10"/>
  <c r="BC1460" i="10"/>
  <c r="BA1336" i="10"/>
  <c r="BC1446" i="10"/>
  <c r="BD1435" i="10"/>
  <c r="BD1308" i="10"/>
  <c r="BC1531" i="10"/>
  <c r="BD1549" i="10"/>
  <c r="BD1273" i="10"/>
  <c r="BD1512" i="10"/>
  <c r="BD1457" i="10"/>
  <c r="BC1284" i="10"/>
  <c r="BA1325" i="10"/>
  <c r="BC1377" i="10"/>
  <c r="BC1332" i="10"/>
  <c r="BC1469" i="10"/>
  <c r="BC1525" i="10"/>
  <c r="BA1297" i="10"/>
  <c r="BC1523" i="10"/>
  <c r="BA1300" i="10"/>
  <c r="BA1326" i="10"/>
  <c r="BC1359" i="10"/>
  <c r="BD1246" i="10"/>
  <c r="BC1251" i="10"/>
  <c r="BA1212" i="10"/>
  <c r="BA1574" i="10"/>
  <c r="BD1215" i="10"/>
  <c r="BC1371" i="10"/>
  <c r="BD1440" i="10"/>
  <c r="BC1268" i="10"/>
  <c r="BD1492" i="10"/>
  <c r="BC1232" i="10"/>
  <c r="BC1563" i="10"/>
  <c r="BC1290" i="10"/>
  <c r="BD1424" i="10"/>
  <c r="BD1398" i="10"/>
  <c r="BD1558" i="10"/>
  <c r="BC1488" i="10"/>
  <c r="BD1495" i="10"/>
  <c r="BC1491" i="10"/>
  <c r="BD1322" i="10"/>
  <c r="BD1445" i="10"/>
  <c r="BC1336" i="10"/>
  <c r="BC1222" i="10"/>
  <c r="BC1257" i="10"/>
  <c r="BC1421" i="10"/>
  <c r="BA1457" i="10"/>
  <c r="BC1349" i="10"/>
  <c r="BC1326" i="10"/>
  <c r="BA1246" i="10"/>
  <c r="P530" i="26"/>
  <c r="G486" i="9" s="1"/>
  <c r="B17" i="29"/>
  <c r="C17" i="29" s="1"/>
  <c r="J17" i="29" s="1"/>
  <c r="K17" i="29" s="1"/>
  <c r="B21" i="29"/>
  <c r="C21" i="29" s="1"/>
  <c r="N21" i="29" s="1"/>
  <c r="O21" i="29" s="1"/>
  <c r="BD1373" i="10"/>
  <c r="BD1318" i="10"/>
  <c r="BC1581" i="10"/>
  <c r="BD1225" i="10"/>
  <c r="BC1554" i="10"/>
  <c r="BC1264" i="10"/>
  <c r="BD1393" i="10"/>
  <c r="B42" i="11"/>
  <c r="P42" i="11" s="1"/>
  <c r="BD1538" i="10"/>
  <c r="BA1305" i="10"/>
  <c r="BD1271" i="10"/>
  <c r="BD1245" i="10"/>
  <c r="B32" i="11"/>
  <c r="C32" i="11" s="1"/>
  <c r="J32" i="11" s="1"/>
  <c r="K32" i="11" s="1"/>
  <c r="BC1276" i="10"/>
  <c r="BA1580" i="10"/>
  <c r="BC1343" i="10"/>
  <c r="BC1550" i="10"/>
  <c r="BC1507" i="10"/>
  <c r="BD1339" i="10"/>
  <c r="BC1391" i="10"/>
  <c r="BC1454" i="10"/>
  <c r="BC1270" i="10"/>
  <c r="BC1280" i="10"/>
  <c r="BC1237" i="10"/>
  <c r="BD1386" i="10"/>
  <c r="BC1282" i="10"/>
  <c r="B27" i="11"/>
  <c r="P27" i="11" s="1"/>
  <c r="B51" i="11"/>
  <c r="P51" i="11" s="1"/>
  <c r="BA1478" i="10"/>
  <c r="BD1315" i="10"/>
  <c r="BD1588" i="10"/>
  <c r="BD1577" i="10"/>
  <c r="BD1513" i="10"/>
  <c r="BC1544" i="10"/>
  <c r="BC1548" i="10"/>
  <c r="BD1338" i="10"/>
  <c r="B34" i="11"/>
  <c r="Q34" i="11" s="1"/>
  <c r="BC1520" i="10"/>
  <c r="BD1566" i="10"/>
  <c r="BD1534" i="10"/>
  <c r="BC1449" i="10"/>
  <c r="BC1328" i="10"/>
  <c r="B43" i="11"/>
  <c r="P43" i="11" s="1"/>
  <c r="B22" i="11"/>
  <c r="Q22" i="11" s="1"/>
  <c r="BD1306" i="10"/>
  <c r="BC1396" i="10"/>
  <c r="BA1369" i="10"/>
  <c r="B16" i="29"/>
  <c r="C16" i="29" s="1"/>
  <c r="F16" i="29" s="1"/>
  <c r="G16" i="29" s="1"/>
  <c r="BC1399" i="10"/>
  <c r="BD1461" i="10"/>
  <c r="B22" i="29"/>
  <c r="C22" i="29" s="1"/>
  <c r="F22" i="29" s="1"/>
  <c r="G22" i="29" s="1"/>
  <c r="B20" i="29"/>
  <c r="C20" i="29" s="1"/>
  <c r="J20" i="29" s="1"/>
  <c r="K20" i="29" s="1"/>
  <c r="BD1250" i="10"/>
  <c r="BC1504" i="10"/>
  <c r="BC1514" i="10"/>
  <c r="BC1496" i="10"/>
  <c r="BD1550" i="10"/>
  <c r="B30" i="11"/>
  <c r="P30" i="11" s="1"/>
  <c r="BD1404" i="10"/>
  <c r="B21" i="11"/>
  <c r="P21" i="11" s="1"/>
  <c r="BD1330" i="10"/>
  <c r="BC1479" i="10"/>
  <c r="BA1587" i="10"/>
  <c r="B23" i="11"/>
  <c r="P23" i="11" s="1"/>
  <c r="B29" i="11"/>
  <c r="Q29" i="11" s="1"/>
  <c r="B18" i="11"/>
  <c r="P18" i="11" s="1"/>
  <c r="BA1566" i="10"/>
  <c r="BC1279" i="10"/>
  <c r="BD1218" i="10"/>
  <c r="BC1260" i="10"/>
  <c r="BD1259" i="10"/>
  <c r="BD1310" i="10"/>
  <c r="BD1584" i="10"/>
  <c r="BD1305" i="10"/>
  <c r="BC1571" i="10"/>
  <c r="BD1342" i="10"/>
  <c r="B69" i="29"/>
  <c r="P69" i="29" s="1"/>
  <c r="B17" i="11"/>
  <c r="P17" i="11" s="1"/>
  <c r="B20" i="11"/>
  <c r="Q20" i="11" s="1"/>
  <c r="B28" i="11"/>
  <c r="P28" i="11" s="1"/>
  <c r="B48" i="11"/>
  <c r="C48" i="11" s="1"/>
  <c r="E48" i="11" s="1"/>
  <c r="B39" i="11"/>
  <c r="C39" i="11" s="1"/>
  <c r="F39" i="11" s="1"/>
  <c r="G39" i="11" s="1"/>
  <c r="B49" i="11"/>
  <c r="C49" i="11" s="1"/>
  <c r="F49" i="11" s="1"/>
  <c r="G49" i="11" s="1"/>
  <c r="BD1396" i="10"/>
  <c r="BA1477" i="10"/>
  <c r="BC1298" i="10"/>
  <c r="BA1276" i="10"/>
  <c r="BA1256" i="10"/>
  <c r="BA1337" i="10"/>
  <c r="BD1343" i="10"/>
  <c r="BD1418" i="10"/>
  <c r="BD1369" i="10"/>
  <c r="BC1461" i="10"/>
  <c r="B19" i="29"/>
  <c r="C19" i="29" s="1"/>
  <c r="F19" i="29" s="1"/>
  <c r="G19" i="29" s="1"/>
  <c r="B18" i="29"/>
  <c r="C18" i="29" s="1"/>
  <c r="J18" i="29" s="1"/>
  <c r="K18" i="29" s="1"/>
  <c r="BC1555" i="10"/>
  <c r="AU1595" i="10"/>
  <c r="BD1536" i="10"/>
  <c r="BD1506" i="10"/>
  <c r="BD1327" i="10"/>
  <c r="BD1587" i="10"/>
  <c r="BC1444" i="10"/>
  <c r="B44" i="11"/>
  <c r="Q44" i="11" s="1"/>
  <c r="B35" i="11"/>
  <c r="P35" i="11" s="1"/>
  <c r="BC1579" i="10"/>
  <c r="BC1214" i="10"/>
  <c r="BD1361" i="10"/>
  <c r="BD1561" i="10"/>
  <c r="BC1584" i="10"/>
  <c r="BD1406" i="10"/>
  <c r="BD1296" i="10"/>
  <c r="BD1288" i="10"/>
  <c r="BD1572" i="10"/>
  <c r="B46" i="11"/>
  <c r="Q46" i="11" s="1"/>
  <c r="B25" i="11"/>
  <c r="Q25" i="11" s="1"/>
  <c r="B31" i="11"/>
  <c r="Q31" i="11" s="1"/>
  <c r="B50" i="11"/>
  <c r="P50" i="11" s="1"/>
  <c r="B19" i="11"/>
  <c r="Q19" i="11" s="1"/>
  <c r="B16" i="11"/>
  <c r="P16" i="11" s="1"/>
  <c r="B41" i="11"/>
  <c r="Q41" i="11" s="1"/>
  <c r="AW1593" i="10"/>
  <c r="AW5" i="10" s="1"/>
  <c r="BA1306" i="10"/>
  <c r="BC1477" i="10"/>
  <c r="BA1240" i="10"/>
  <c r="BC1580" i="10"/>
  <c r="BD1337" i="10"/>
  <c r="BC1418" i="10"/>
  <c r="BA1502" i="10"/>
  <c r="B37" i="11"/>
  <c r="C37" i="11" s="1"/>
  <c r="N37" i="11" s="1"/>
  <c r="O37" i="11" s="1"/>
  <c r="B38" i="11"/>
  <c r="P38" i="11" s="1"/>
  <c r="B47" i="11"/>
  <c r="P47" i="11" s="1"/>
  <c r="B26" i="11"/>
  <c r="P26" i="11" s="1"/>
  <c r="B36" i="11"/>
  <c r="Q36" i="11" s="1"/>
  <c r="B40" i="11"/>
  <c r="P40" i="11" s="1"/>
  <c r="B24" i="11"/>
  <c r="Q24" i="11" s="1"/>
  <c r="B54" i="11"/>
  <c r="AF456" i="6"/>
  <c r="BA1357" i="10"/>
  <c r="BC1213" i="10"/>
  <c r="BA1400" i="10"/>
  <c r="BA1213" i="10"/>
  <c r="BD1213" i="10"/>
  <c r="AF488" i="6"/>
  <c r="AF474" i="6"/>
  <c r="AF490" i="6"/>
  <c r="AF438" i="6"/>
  <c r="AF421" i="6"/>
  <c r="AF461" i="6"/>
  <c r="AF454" i="6"/>
  <c r="AF458" i="6"/>
  <c r="AF445" i="6"/>
  <c r="AF493" i="6"/>
  <c r="AF416" i="6"/>
  <c r="AH416" i="9"/>
  <c r="AF416" i="9" s="1"/>
  <c r="AG456" i="9"/>
  <c r="AE456" i="9" s="1"/>
  <c r="AF471" i="6"/>
  <c r="AF457" i="6"/>
  <c r="AH453" i="9"/>
  <c r="AF453" i="9" s="1"/>
  <c r="AH426" i="9"/>
  <c r="AF426" i="9" s="1"/>
  <c r="AE421" i="6"/>
  <c r="AG483" i="9"/>
  <c r="AE483" i="9" s="1"/>
  <c r="AE502" i="6"/>
  <c r="AE474" i="6"/>
  <c r="AE442" i="6"/>
  <c r="AE458" i="6"/>
  <c r="AH462" i="9"/>
  <c r="AF462" i="9" s="1"/>
  <c r="AE472" i="6"/>
  <c r="AE484" i="6"/>
  <c r="AE506" i="6"/>
  <c r="AE420" i="6"/>
  <c r="AE500" i="6"/>
  <c r="AG465" i="9"/>
  <c r="AE465" i="9" s="1"/>
  <c r="AG425" i="9"/>
  <c r="AE425" i="9" s="1"/>
  <c r="AH430" i="9"/>
  <c r="AF430" i="9" s="1"/>
  <c r="AE463" i="6"/>
  <c r="AE491" i="6"/>
  <c r="AE437" i="6"/>
  <c r="AE501" i="6"/>
  <c r="AE435" i="6"/>
  <c r="Y184" i="11"/>
  <c r="AE486" i="6"/>
  <c r="AE498" i="6"/>
  <c r="AA507" i="6"/>
  <c r="AA457" i="6"/>
  <c r="AA416" i="6"/>
  <c r="AG453" i="9"/>
  <c r="AE453" i="9" s="1"/>
  <c r="AH472" i="9"/>
  <c r="AF472" i="9" s="1"/>
  <c r="AH465" i="9"/>
  <c r="AF465" i="9" s="1"/>
  <c r="AG473" i="9"/>
  <c r="AE473" i="9" s="1"/>
  <c r="AA432" i="6"/>
  <c r="AA488" i="6"/>
  <c r="AF450" i="6"/>
  <c r="AE473" i="6"/>
  <c r="AG472" i="9"/>
  <c r="AE472" i="9" s="1"/>
  <c r="AG430" i="9"/>
  <c r="AE430" i="9" s="1"/>
  <c r="AH444" i="9"/>
  <c r="AF444" i="9" s="1"/>
  <c r="AH486" i="9"/>
  <c r="AF486" i="9" s="1"/>
  <c r="AH450" i="9"/>
  <c r="AF450" i="9" s="1"/>
  <c r="AG426" i="9"/>
  <c r="AE426" i="9" s="1"/>
  <c r="AE456" i="6"/>
  <c r="AH421" i="9"/>
  <c r="AF421" i="9" s="1"/>
  <c r="AG492" i="9"/>
  <c r="AE492" i="9" s="1"/>
  <c r="AA438" i="6"/>
  <c r="AA454" i="6"/>
  <c r="AE503" i="6"/>
  <c r="AE428" i="6"/>
  <c r="AG416" i="9"/>
  <c r="AE416" i="9" s="1"/>
  <c r="AH490" i="9"/>
  <c r="AF490" i="9" s="1"/>
  <c r="AG444" i="9"/>
  <c r="AE444" i="9" s="1"/>
  <c r="AH473" i="9"/>
  <c r="AF473" i="9" s="1"/>
  <c r="AE440" i="6"/>
  <c r="AG450" i="9"/>
  <c r="AE450" i="9" s="1"/>
  <c r="AC468" i="9"/>
  <c r="AA496" i="6"/>
  <c r="AD420" i="9"/>
  <c r="AF420" i="9" s="1"/>
  <c r="AD443" i="9"/>
  <c r="AF443" i="9" s="1"/>
  <c r="AF443" i="6"/>
  <c r="AA461" i="6"/>
  <c r="AA468" i="6"/>
  <c r="AA450" i="6"/>
  <c r="AE493" i="6"/>
  <c r="AD447" i="9"/>
  <c r="AF447" i="9" s="1"/>
  <c r="AF447" i="6"/>
  <c r="AE443" i="6"/>
  <c r="AE467" i="6"/>
  <c r="AD449" i="9"/>
  <c r="AF449" i="9" s="1"/>
  <c r="AF449" i="6"/>
  <c r="AD436" i="9"/>
  <c r="AF436" i="9" s="1"/>
  <c r="AF436" i="6"/>
  <c r="AF435" i="6"/>
  <c r="AF484" i="6"/>
  <c r="AF472" i="6"/>
  <c r="AF479" i="6"/>
  <c r="AF432" i="6"/>
  <c r="AF424" i="6"/>
  <c r="P72" i="11"/>
  <c r="Z72" i="11"/>
  <c r="P159" i="11"/>
  <c r="K184" i="11"/>
  <c r="L184" i="11" s="1"/>
  <c r="Z159" i="11"/>
  <c r="P188" i="11"/>
  <c r="P210" i="11"/>
  <c r="Q209" i="11"/>
  <c r="K66" i="11"/>
  <c r="M66" i="11" s="1"/>
  <c r="Z209" i="11"/>
  <c r="W196" i="11"/>
  <c r="X196" i="11" s="1"/>
  <c r="Z210" i="11"/>
  <c r="Q198" i="11"/>
  <c r="K162" i="11"/>
  <c r="M162" i="11" s="1"/>
  <c r="Z198" i="11"/>
  <c r="Z188" i="11"/>
  <c r="Y194" i="11"/>
  <c r="K194" i="11"/>
  <c r="L194" i="11" s="1"/>
  <c r="O78" i="11"/>
  <c r="P78" i="11" s="1"/>
  <c r="Q181" i="11"/>
  <c r="Z181" i="11"/>
  <c r="Y92" i="11"/>
  <c r="K179" i="11"/>
  <c r="L179" i="11" s="1"/>
  <c r="Y179" i="11"/>
  <c r="K111" i="11"/>
  <c r="L111" i="11" s="1"/>
  <c r="Q152" i="11"/>
  <c r="K208" i="11"/>
  <c r="M208" i="11" s="1"/>
  <c r="K150" i="11"/>
  <c r="M150" i="11" s="1"/>
  <c r="K167" i="11"/>
  <c r="L167" i="11" s="1"/>
  <c r="O69" i="11"/>
  <c r="Q69" i="11" s="1"/>
  <c r="L172" i="11"/>
  <c r="Y180" i="11"/>
  <c r="W204" i="11"/>
  <c r="X204" i="11" s="1"/>
  <c r="O81" i="11"/>
  <c r="Q81" i="11" s="1"/>
  <c r="K201" i="11"/>
  <c r="M201" i="11" s="1"/>
  <c r="Y79" i="11"/>
  <c r="K91" i="11"/>
  <c r="L91" i="11" s="1"/>
  <c r="O67" i="11"/>
  <c r="P67" i="11" s="1"/>
  <c r="P139" i="11"/>
  <c r="K203" i="11"/>
  <c r="L203" i="11" s="1"/>
  <c r="F242" i="11"/>
  <c r="G242" i="11" s="1"/>
  <c r="H242" i="11" s="1"/>
  <c r="L79" i="11"/>
  <c r="W127" i="11"/>
  <c r="X127" i="11" s="1"/>
  <c r="Q220" i="11"/>
  <c r="F258" i="11"/>
  <c r="G258" i="11" s="1"/>
  <c r="H258" i="11" s="1"/>
  <c r="P79" i="11"/>
  <c r="Z98" i="11"/>
  <c r="K213" i="11"/>
  <c r="L213" i="11" s="1"/>
  <c r="W144" i="11"/>
  <c r="X144" i="11" s="1"/>
  <c r="O155" i="11"/>
  <c r="Q155" i="11" s="1"/>
  <c r="K123" i="11"/>
  <c r="M123" i="11" s="1"/>
  <c r="Q129" i="11"/>
  <c r="W158" i="11"/>
  <c r="X158" i="11" s="1"/>
  <c r="Y87" i="11"/>
  <c r="K158" i="11"/>
  <c r="L158" i="11" s="1"/>
  <c r="O206" i="11"/>
  <c r="Q206" i="11" s="1"/>
  <c r="O115" i="11"/>
  <c r="P115" i="11" s="1"/>
  <c r="K144" i="11"/>
  <c r="L144" i="11" s="1"/>
  <c r="L87" i="11"/>
  <c r="Q176" i="11"/>
  <c r="Q98" i="11"/>
  <c r="P202" i="11"/>
  <c r="Y70" i="11"/>
  <c r="Z202" i="11"/>
  <c r="O168" i="11"/>
  <c r="Q168" i="11" s="1"/>
  <c r="W162" i="11"/>
  <c r="X162" i="11" s="1"/>
  <c r="Z129" i="11"/>
  <c r="L160" i="11"/>
  <c r="L151" i="11"/>
  <c r="M73" i="11"/>
  <c r="W160" i="11"/>
  <c r="X160" i="11" s="1"/>
  <c r="K189" i="11"/>
  <c r="L189" i="11" s="1"/>
  <c r="Y140" i="11"/>
  <c r="Y181" i="11"/>
  <c r="Y151" i="11"/>
  <c r="W116" i="11"/>
  <c r="X116" i="11" s="1"/>
  <c r="Z90" i="11"/>
  <c r="L196" i="11"/>
  <c r="K140" i="11"/>
  <c r="L140" i="11" s="1"/>
  <c r="Y189" i="11"/>
  <c r="W206" i="11"/>
  <c r="X206" i="11" s="1"/>
  <c r="L116" i="11"/>
  <c r="Q90" i="11"/>
  <c r="Y116" i="11"/>
  <c r="Y73" i="11"/>
  <c r="K206" i="11"/>
  <c r="M206" i="11" s="1"/>
  <c r="Y196" i="11"/>
  <c r="Z205" i="11"/>
  <c r="Y160" i="11"/>
  <c r="O216" i="11"/>
  <c r="P216" i="11" s="1"/>
  <c r="K102" i="11"/>
  <c r="L102" i="11" s="1"/>
  <c r="P205" i="11"/>
  <c r="Y163" i="11"/>
  <c r="K181" i="11"/>
  <c r="M181" i="11" s="1"/>
  <c r="W151" i="11"/>
  <c r="X151" i="11" s="1"/>
  <c r="O111" i="11"/>
  <c r="Q111" i="11" s="1"/>
  <c r="W199" i="11"/>
  <c r="X199" i="11" s="1"/>
  <c r="K104" i="11"/>
  <c r="M104" i="11" s="1"/>
  <c r="K199" i="11"/>
  <c r="L199" i="11" s="1"/>
  <c r="K163" i="11"/>
  <c r="L163" i="11" s="1"/>
  <c r="Z139" i="11"/>
  <c r="L170" i="11"/>
  <c r="Z85" i="11"/>
  <c r="Z68" i="11"/>
  <c r="K209" i="11"/>
  <c r="L209" i="11" s="1"/>
  <c r="P84" i="11"/>
  <c r="M204" i="11"/>
  <c r="K210" i="11"/>
  <c r="M210" i="11" s="1"/>
  <c r="W172" i="11"/>
  <c r="X172" i="11" s="1"/>
  <c r="W170" i="11"/>
  <c r="X170" i="11" s="1"/>
  <c r="K180" i="11"/>
  <c r="M180" i="11" s="1"/>
  <c r="W210" i="11"/>
  <c r="X210" i="11" s="1"/>
  <c r="P105" i="11"/>
  <c r="P89" i="11"/>
  <c r="L97" i="11"/>
  <c r="Q68" i="11"/>
  <c r="M68" i="11"/>
  <c r="P194" i="11"/>
  <c r="Y204" i="11"/>
  <c r="W150" i="11"/>
  <c r="X150" i="11" s="1"/>
  <c r="Z89" i="11"/>
  <c r="W201" i="11"/>
  <c r="X201" i="11" s="1"/>
  <c r="Y172" i="11"/>
  <c r="O223" i="11"/>
  <c r="P223" i="11" s="1"/>
  <c r="Y170" i="11"/>
  <c r="Z114" i="11"/>
  <c r="P80" i="11"/>
  <c r="P104" i="11"/>
  <c r="K108" i="11"/>
  <c r="M108" i="11" s="1"/>
  <c r="K127" i="11"/>
  <c r="L127" i="11" s="1"/>
  <c r="O82" i="11"/>
  <c r="Q82" i="11" s="1"/>
  <c r="Y191" i="11"/>
  <c r="Z176" i="11"/>
  <c r="P196" i="11"/>
  <c r="O195" i="11"/>
  <c r="P195" i="11" s="1"/>
  <c r="O133" i="11"/>
  <c r="Q133" i="11" s="1"/>
  <c r="O113" i="11"/>
  <c r="P113" i="11" s="1"/>
  <c r="Y88" i="11"/>
  <c r="Y96" i="11"/>
  <c r="W123" i="11"/>
  <c r="X123" i="11" s="1"/>
  <c r="K93" i="11"/>
  <c r="M93" i="11" s="1"/>
  <c r="Z196" i="11"/>
  <c r="Z80" i="11"/>
  <c r="Z220" i="11"/>
  <c r="O107" i="11"/>
  <c r="Q107" i="11" s="1"/>
  <c r="K165" i="11"/>
  <c r="L165" i="11" s="1"/>
  <c r="K191" i="11"/>
  <c r="M191" i="11" s="1"/>
  <c r="K114" i="11"/>
  <c r="L114" i="11" s="1"/>
  <c r="W213" i="11"/>
  <c r="X213" i="11" s="1"/>
  <c r="Y131" i="11"/>
  <c r="W165" i="11"/>
  <c r="X165" i="11" s="1"/>
  <c r="W208" i="11"/>
  <c r="X208" i="11" s="1"/>
  <c r="Z104" i="11"/>
  <c r="K131" i="11"/>
  <c r="M131" i="11" s="1"/>
  <c r="Z79" i="11"/>
  <c r="W203" i="11"/>
  <c r="X203" i="11" s="1"/>
  <c r="Y159" i="11"/>
  <c r="Z95" i="11"/>
  <c r="K129" i="11"/>
  <c r="L129" i="11" s="1"/>
  <c r="O108" i="11"/>
  <c r="P108" i="11" s="1"/>
  <c r="Z77" i="11"/>
  <c r="K126" i="11"/>
  <c r="M126" i="11" s="1"/>
  <c r="K202" i="11"/>
  <c r="L202" i="11" s="1"/>
  <c r="Y122" i="11"/>
  <c r="Y112" i="11"/>
  <c r="W122" i="11"/>
  <c r="X122" i="11" s="1"/>
  <c r="Y119" i="11"/>
  <c r="O186" i="11"/>
  <c r="P186" i="11" s="1"/>
  <c r="O134" i="11"/>
  <c r="P134" i="11" s="1"/>
  <c r="Q164" i="11"/>
  <c r="Q193" i="11"/>
  <c r="P182" i="11"/>
  <c r="O179" i="11"/>
  <c r="Q179" i="11" s="1"/>
  <c r="O66" i="11"/>
  <c r="P66" i="11" s="1"/>
  <c r="K157" i="11"/>
  <c r="M157" i="11" s="1"/>
  <c r="Y129" i="11"/>
  <c r="Z73" i="11"/>
  <c r="Z182" i="11"/>
  <c r="Z140" i="11"/>
  <c r="M218" i="11"/>
  <c r="P77" i="11"/>
  <c r="Q95" i="11"/>
  <c r="P222" i="11"/>
  <c r="Y83" i="11"/>
  <c r="O148" i="11"/>
  <c r="P148" i="11" s="1"/>
  <c r="K119" i="11"/>
  <c r="L119" i="11" s="1"/>
  <c r="Y154" i="11"/>
  <c r="W218" i="11"/>
  <c r="X218" i="11" s="1"/>
  <c r="W135" i="11"/>
  <c r="X135" i="11" s="1"/>
  <c r="K212" i="11"/>
  <c r="L212" i="11" s="1"/>
  <c r="O219" i="11"/>
  <c r="P219" i="11" s="1"/>
  <c r="Y218" i="11"/>
  <c r="Y157" i="11"/>
  <c r="K219" i="11"/>
  <c r="M219" i="11" s="1"/>
  <c r="Y197" i="11"/>
  <c r="Y220" i="11"/>
  <c r="Y90" i="11"/>
  <c r="Y221" i="11"/>
  <c r="Q73" i="11"/>
  <c r="Q140" i="11"/>
  <c r="Y212" i="11"/>
  <c r="K182" i="11"/>
  <c r="M182" i="11" s="1"/>
  <c r="Z75" i="11"/>
  <c r="O221" i="11"/>
  <c r="P221" i="11" s="1"/>
  <c r="Y100" i="11"/>
  <c r="Z193" i="11"/>
  <c r="P76" i="11"/>
  <c r="L122" i="11"/>
  <c r="L100" i="11"/>
  <c r="K159" i="11"/>
  <c r="M159" i="11" s="1"/>
  <c r="W182" i="11"/>
  <c r="X182" i="11" s="1"/>
  <c r="K195" i="11"/>
  <c r="L195" i="11" s="1"/>
  <c r="O126" i="11"/>
  <c r="Q126" i="11" s="1"/>
  <c r="O125" i="11"/>
  <c r="Q125" i="11" s="1"/>
  <c r="Z164" i="11"/>
  <c r="Z91" i="11"/>
  <c r="Y202" i="11"/>
  <c r="K154" i="11"/>
  <c r="L154" i="11" s="1"/>
  <c r="Z222" i="11"/>
  <c r="K135" i="11"/>
  <c r="L135" i="11" s="1"/>
  <c r="Z76" i="11"/>
  <c r="Y99" i="11"/>
  <c r="P137" i="11"/>
  <c r="Q114" i="11"/>
  <c r="P85" i="11"/>
  <c r="Y167" i="11"/>
  <c r="K105" i="11"/>
  <c r="M105" i="11" s="1"/>
  <c r="Z137" i="11"/>
  <c r="Y209" i="11"/>
  <c r="K74" i="11"/>
  <c r="M74" i="11" s="1"/>
  <c r="Z106" i="11"/>
  <c r="Z105" i="11"/>
  <c r="O175" i="11"/>
  <c r="Q175" i="11" s="1"/>
  <c r="Q106" i="11"/>
  <c r="W198" i="11"/>
  <c r="X198" i="11" s="1"/>
  <c r="Y97" i="11"/>
  <c r="Z141" i="11"/>
  <c r="K72" i="11"/>
  <c r="L72" i="11" s="1"/>
  <c r="Y68" i="11"/>
  <c r="K198" i="11"/>
  <c r="M198" i="11" s="1"/>
  <c r="K78" i="11"/>
  <c r="L78" i="11" s="1"/>
  <c r="O117" i="11"/>
  <c r="P117" i="11" s="1"/>
  <c r="Z152" i="11"/>
  <c r="O156" i="11"/>
  <c r="Q156" i="11" s="1"/>
  <c r="Q141" i="11"/>
  <c r="Z84" i="11"/>
  <c r="Z194" i="11"/>
  <c r="O122" i="11"/>
  <c r="Q122" i="11" s="1"/>
  <c r="P71" i="11"/>
  <c r="K118" i="11"/>
  <c r="L118" i="11" s="1"/>
  <c r="W169" i="11"/>
  <c r="X169" i="11" s="1"/>
  <c r="Y219" i="11"/>
  <c r="Y155" i="11"/>
  <c r="Z218" i="11"/>
  <c r="K224" i="11"/>
  <c r="L224" i="11" s="1"/>
  <c r="K155" i="11"/>
  <c r="M155" i="11" s="1"/>
  <c r="W197" i="11"/>
  <c r="X197" i="11" s="1"/>
  <c r="Y84" i="11"/>
  <c r="K169" i="11"/>
  <c r="M169" i="11" s="1"/>
  <c r="Z123" i="11"/>
  <c r="M84" i="11"/>
  <c r="M110" i="11"/>
  <c r="L197" i="11"/>
  <c r="M99" i="11"/>
  <c r="L220" i="11"/>
  <c r="L90" i="11"/>
  <c r="P224" i="11"/>
  <c r="Q212" i="11"/>
  <c r="Y110" i="11"/>
  <c r="W118" i="11"/>
  <c r="X118" i="11" s="1"/>
  <c r="Y224" i="11"/>
  <c r="W220" i="11"/>
  <c r="X220" i="11" s="1"/>
  <c r="Z158" i="11"/>
  <c r="P191" i="11"/>
  <c r="Q88" i="11"/>
  <c r="Z191" i="11"/>
  <c r="O120" i="11"/>
  <c r="P120" i="11" s="1"/>
  <c r="Z119" i="11"/>
  <c r="Z132" i="11"/>
  <c r="O171" i="11"/>
  <c r="Q171" i="11" s="1"/>
  <c r="O201" i="11"/>
  <c r="Q201" i="11" s="1"/>
  <c r="Z212" i="11"/>
  <c r="Q158" i="11"/>
  <c r="Q218" i="11"/>
  <c r="Q132" i="11"/>
  <c r="Q123" i="11"/>
  <c r="P119" i="11"/>
  <c r="Z71" i="11"/>
  <c r="O103" i="11"/>
  <c r="P103" i="11" s="1"/>
  <c r="Z224" i="11"/>
  <c r="Z153" i="11"/>
  <c r="Z88" i="11"/>
  <c r="O144" i="11"/>
  <c r="Q144" i="11" s="1"/>
  <c r="K177" i="11"/>
  <c r="M177" i="11" s="1"/>
  <c r="W185" i="11"/>
  <c r="X185" i="11" s="1"/>
  <c r="O97" i="11"/>
  <c r="Q97" i="11" s="1"/>
  <c r="Z192" i="11"/>
  <c r="BA1498" i="10"/>
  <c r="BA1431" i="10"/>
  <c r="BA1408" i="10"/>
  <c r="BA1351" i="10"/>
  <c r="BA1368" i="10"/>
  <c r="BA1573" i="10"/>
  <c r="BA1443" i="10"/>
  <c r="BA1414" i="10"/>
  <c r="BA1415" i="10"/>
  <c r="BA1429" i="10"/>
  <c r="BA1362" i="10"/>
  <c r="BA1361" i="10"/>
  <c r="BA1538" i="10"/>
  <c r="BA1488" i="10"/>
  <c r="BA1439" i="10"/>
  <c r="BA1437" i="10"/>
  <c r="BA1422" i="10"/>
  <c r="O203" i="11"/>
  <c r="P203" i="11" s="1"/>
  <c r="Z138" i="11"/>
  <c r="K113" i="11"/>
  <c r="L113" i="11" s="1"/>
  <c r="Z157" i="11"/>
  <c r="Y207" i="11"/>
  <c r="Y69" i="11"/>
  <c r="Y94" i="11"/>
  <c r="Z96" i="11"/>
  <c r="Y85" i="11"/>
  <c r="O214" i="11"/>
  <c r="P214" i="11" s="1"/>
  <c r="O116" i="11"/>
  <c r="Q116" i="11" s="1"/>
  <c r="O215" i="11"/>
  <c r="P215" i="11" s="1"/>
  <c r="Z178" i="11"/>
  <c r="W125" i="11"/>
  <c r="X125" i="11" s="1"/>
  <c r="K161" i="11"/>
  <c r="M161" i="11" s="1"/>
  <c r="W128" i="11"/>
  <c r="X128" i="11" s="1"/>
  <c r="K128" i="11"/>
  <c r="M128" i="11" s="1"/>
  <c r="Y86" i="11"/>
  <c r="O184" i="11"/>
  <c r="P184" i="11" s="1"/>
  <c r="Z147" i="11"/>
  <c r="Z87" i="11"/>
  <c r="W139" i="11"/>
  <c r="X139" i="11" s="1"/>
  <c r="O217" i="11"/>
  <c r="P217" i="11" s="1"/>
  <c r="Z180" i="11"/>
  <c r="O145" i="11"/>
  <c r="Q145" i="11" s="1"/>
  <c r="Y216" i="11"/>
  <c r="O131" i="11"/>
  <c r="P131" i="11" s="1"/>
  <c r="Z102" i="11"/>
  <c r="Z183" i="11"/>
  <c r="O174" i="11"/>
  <c r="Q174" i="11" s="1"/>
  <c r="K207" i="11"/>
  <c r="L207" i="11" s="1"/>
  <c r="O110" i="11"/>
  <c r="Q110" i="11" s="1"/>
  <c r="W164" i="11"/>
  <c r="X164" i="11" s="1"/>
  <c r="P147" i="11"/>
  <c r="P153" i="11"/>
  <c r="Q180" i="11"/>
  <c r="P157" i="11"/>
  <c r="L164" i="11"/>
  <c r="M94" i="11"/>
  <c r="Q138" i="11"/>
  <c r="P87" i="11"/>
  <c r="Q183" i="11"/>
  <c r="L86" i="11"/>
  <c r="P96" i="11"/>
  <c r="P102" i="11"/>
  <c r="P178" i="11"/>
  <c r="K117" i="11"/>
  <c r="M117" i="11" s="1"/>
  <c r="Y148" i="11"/>
  <c r="W174" i="11"/>
  <c r="X174" i="11" s="1"/>
  <c r="K153" i="11"/>
  <c r="M153" i="11" s="1"/>
  <c r="O143" i="11"/>
  <c r="P143" i="11" s="1"/>
  <c r="Y81" i="11"/>
  <c r="O204" i="11"/>
  <c r="Q204" i="11" s="1"/>
  <c r="O128" i="11"/>
  <c r="P128" i="11" s="1"/>
  <c r="Z101" i="11"/>
  <c r="Z162" i="11"/>
  <c r="Z135" i="11"/>
  <c r="O208" i="11"/>
  <c r="P208" i="11" s="1"/>
  <c r="O150" i="11"/>
  <c r="P150" i="11" s="1"/>
  <c r="Z70" i="11"/>
  <c r="Z99" i="11"/>
  <c r="Z118" i="11"/>
  <c r="Z86" i="11"/>
  <c r="Z124" i="11"/>
  <c r="P192" i="11"/>
  <c r="P70" i="11"/>
  <c r="Q118" i="11"/>
  <c r="W168" i="11"/>
  <c r="X168" i="11" s="1"/>
  <c r="Z160" i="11"/>
  <c r="O136" i="11"/>
  <c r="Q136" i="11" s="1"/>
  <c r="W177" i="11"/>
  <c r="X177" i="11" s="1"/>
  <c r="Y138" i="11"/>
  <c r="Y187" i="11"/>
  <c r="W138" i="11"/>
  <c r="X138" i="11" s="1"/>
  <c r="K214" i="11"/>
  <c r="M214" i="11" s="1"/>
  <c r="Y173" i="11"/>
  <c r="Y141" i="11"/>
  <c r="Z207" i="11"/>
  <c r="O166" i="11"/>
  <c r="P166" i="11" s="1"/>
  <c r="K101" i="11"/>
  <c r="L101" i="11" s="1"/>
  <c r="K146" i="11"/>
  <c r="M146" i="11" s="1"/>
  <c r="K211" i="11"/>
  <c r="L211" i="11" s="1"/>
  <c r="K134" i="11"/>
  <c r="M134" i="11" s="1"/>
  <c r="Y121" i="11"/>
  <c r="O211" i="11"/>
  <c r="Q211" i="11" s="1"/>
  <c r="O112" i="11"/>
  <c r="Q112" i="11" s="1"/>
  <c r="K188" i="11"/>
  <c r="L188" i="11" s="1"/>
  <c r="Y120" i="11"/>
  <c r="Q86" i="11"/>
  <c r="Q124" i="11"/>
  <c r="P99" i="11"/>
  <c r="Q75" i="11"/>
  <c r="Q135" i="11"/>
  <c r="P91" i="11"/>
  <c r="Q162" i="11"/>
  <c r="P101" i="11"/>
  <c r="Q199" i="11"/>
  <c r="M109" i="11"/>
  <c r="P149" i="11"/>
  <c r="Q167" i="11"/>
  <c r="M152" i="11"/>
  <c r="P92" i="11"/>
  <c r="Q109" i="11"/>
  <c r="M95" i="11"/>
  <c r="L120" i="11"/>
  <c r="Q154" i="11"/>
  <c r="M138" i="11"/>
  <c r="Q173" i="11"/>
  <c r="Q160" i="11"/>
  <c r="Q185" i="11"/>
  <c r="K115" i="11"/>
  <c r="L115" i="11" s="1"/>
  <c r="Y186" i="11"/>
  <c r="Y152" i="11"/>
  <c r="K103" i="11"/>
  <c r="L103" i="11" s="1"/>
  <c r="Y98" i="11"/>
  <c r="K168" i="11"/>
  <c r="M168" i="11" s="1"/>
  <c r="Y188" i="11"/>
  <c r="K121" i="11"/>
  <c r="M121" i="11" s="1"/>
  <c r="K171" i="11"/>
  <c r="M171" i="11" s="1"/>
  <c r="Z146" i="11"/>
  <c r="K190" i="11"/>
  <c r="L190" i="11" s="1"/>
  <c r="K133" i="11"/>
  <c r="M133" i="11" s="1"/>
  <c r="Y95" i="11"/>
  <c r="O121" i="11"/>
  <c r="P121" i="11" s="1"/>
  <c r="L173" i="11"/>
  <c r="M98" i="11"/>
  <c r="M186" i="11"/>
  <c r="Y133" i="11"/>
  <c r="Y77" i="11"/>
  <c r="W222" i="11"/>
  <c r="X222" i="11" s="1"/>
  <c r="K222" i="11"/>
  <c r="M222" i="11" s="1"/>
  <c r="Y211" i="11"/>
  <c r="W176" i="11"/>
  <c r="X176" i="11" s="1"/>
  <c r="O213" i="11"/>
  <c r="P213" i="11" s="1"/>
  <c r="O177" i="11"/>
  <c r="Q177" i="11" s="1"/>
  <c r="O93" i="11"/>
  <c r="P93" i="11" s="1"/>
  <c r="Z127" i="11"/>
  <c r="W145" i="11"/>
  <c r="X145" i="11" s="1"/>
  <c r="Y130" i="11"/>
  <c r="O130" i="11"/>
  <c r="P130" i="11" s="1"/>
  <c r="P163" i="11"/>
  <c r="P197" i="11"/>
  <c r="Q190" i="11"/>
  <c r="M107" i="11"/>
  <c r="M141" i="11"/>
  <c r="W152" i="11"/>
  <c r="X152" i="11" s="1"/>
  <c r="Y132" i="11"/>
  <c r="Y107" i="11"/>
  <c r="Y146" i="11"/>
  <c r="W173" i="11"/>
  <c r="X173" i="11" s="1"/>
  <c r="K145" i="11"/>
  <c r="M145" i="11" s="1"/>
  <c r="Y178" i="11"/>
  <c r="K124" i="11"/>
  <c r="M124" i="11" s="1"/>
  <c r="Z149" i="11"/>
  <c r="Z154" i="11"/>
  <c r="W115" i="11"/>
  <c r="X115" i="11" s="1"/>
  <c r="K132" i="11"/>
  <c r="M132" i="11" s="1"/>
  <c r="Y76" i="11"/>
  <c r="W186" i="11"/>
  <c r="X186" i="11" s="1"/>
  <c r="Z199" i="11"/>
  <c r="O142" i="11"/>
  <c r="P142" i="11" s="1"/>
  <c r="O100" i="11"/>
  <c r="P100" i="11" s="1"/>
  <c r="O189" i="11"/>
  <c r="Q189" i="11" s="1"/>
  <c r="O187" i="11"/>
  <c r="Q187" i="11" s="1"/>
  <c r="O151" i="11"/>
  <c r="P151" i="11" s="1"/>
  <c r="O74" i="11"/>
  <c r="Q74" i="11" s="1"/>
  <c r="Z185" i="11"/>
  <c r="Z92" i="11"/>
  <c r="O161" i="11"/>
  <c r="Q161" i="11" s="1"/>
  <c r="W141" i="11"/>
  <c r="X141" i="11" s="1"/>
  <c r="W214" i="11"/>
  <c r="X214" i="11" s="1"/>
  <c r="W156" i="11"/>
  <c r="X156" i="11" s="1"/>
  <c r="K82" i="11"/>
  <c r="L82" i="11" s="1"/>
  <c r="W153" i="11"/>
  <c r="X153" i="11" s="1"/>
  <c r="Z169" i="11"/>
  <c r="W171" i="11"/>
  <c r="X171" i="11" s="1"/>
  <c r="P207" i="11"/>
  <c r="Q146" i="11"/>
  <c r="P127" i="11"/>
  <c r="Q169" i="11"/>
  <c r="L76" i="11"/>
  <c r="M156" i="11"/>
  <c r="W192" i="11"/>
  <c r="X192" i="11" s="1"/>
  <c r="L186" i="11"/>
  <c r="W124" i="11"/>
  <c r="X124" i="11" s="1"/>
  <c r="K130" i="11"/>
  <c r="L130" i="11" s="1"/>
  <c r="Z109" i="11"/>
  <c r="Z190" i="11"/>
  <c r="Z173" i="11"/>
  <c r="K178" i="11"/>
  <c r="M178" i="11" s="1"/>
  <c r="K192" i="11"/>
  <c r="M192" i="11" s="1"/>
  <c r="K187" i="11"/>
  <c r="M187" i="11" s="1"/>
  <c r="W120" i="11"/>
  <c r="X120" i="11" s="1"/>
  <c r="K176" i="11"/>
  <c r="L176" i="11" s="1"/>
  <c r="W134" i="11"/>
  <c r="X134" i="11" s="1"/>
  <c r="O172" i="11"/>
  <c r="Q172" i="11" s="1"/>
  <c r="O165" i="11"/>
  <c r="P165" i="11" s="1"/>
  <c r="O170" i="11"/>
  <c r="Q170" i="11" s="1"/>
  <c r="Z163" i="11"/>
  <c r="Z197" i="11"/>
  <c r="O83" i="11"/>
  <c r="Q83" i="11" s="1"/>
  <c r="O94" i="11"/>
  <c r="Q94" i="11" s="1"/>
  <c r="Y156" i="11"/>
  <c r="Y109" i="11"/>
  <c r="K174" i="11"/>
  <c r="L174" i="11" s="1"/>
  <c r="W190" i="11"/>
  <c r="X190" i="11" s="1"/>
  <c r="Z167" i="11"/>
  <c r="O200" i="11"/>
  <c r="P200" i="11" s="1"/>
  <c r="M85" i="11"/>
  <c r="L89" i="11"/>
  <c r="L136" i="11"/>
  <c r="M80" i="11"/>
  <c r="L148" i="11"/>
  <c r="K200" i="11"/>
  <c r="M200" i="11" s="1"/>
  <c r="Y139" i="11"/>
  <c r="Y200" i="11"/>
  <c r="Y164" i="11"/>
  <c r="Y117" i="11"/>
  <c r="K147" i="11"/>
  <c r="M147" i="11" s="1"/>
  <c r="Y136" i="11"/>
  <c r="M139" i="11"/>
  <c r="M125" i="11"/>
  <c r="W149" i="11"/>
  <c r="X149" i="11" s="1"/>
  <c r="M69" i="11"/>
  <c r="W193" i="11"/>
  <c r="X193" i="11" s="1"/>
  <c r="W148" i="11"/>
  <c r="X148" i="11" s="1"/>
  <c r="Y125" i="11"/>
  <c r="Y149" i="11"/>
  <c r="K216" i="11"/>
  <c r="L216" i="11" s="1"/>
  <c r="W161" i="11"/>
  <c r="X161" i="11" s="1"/>
  <c r="Y80" i="11"/>
  <c r="Y89" i="11"/>
  <c r="W136" i="11"/>
  <c r="X136" i="11" s="1"/>
  <c r="K75" i="11"/>
  <c r="M75" i="11" s="1"/>
  <c r="K193" i="11"/>
  <c r="L193" i="11" s="1"/>
  <c r="W195" i="11"/>
  <c r="X195" i="11" s="1"/>
  <c r="M221" i="11"/>
  <c r="Y126" i="11"/>
  <c r="K143" i="11"/>
  <c r="M143" i="11" s="1"/>
  <c r="K185" i="11"/>
  <c r="M185" i="11" s="1"/>
  <c r="W215" i="11"/>
  <c r="X215" i="11" s="1"/>
  <c r="K217" i="11"/>
  <c r="L217" i="11" s="1"/>
  <c r="Y166" i="11"/>
  <c r="Y183" i="11"/>
  <c r="W175" i="11"/>
  <c r="X175" i="11" s="1"/>
  <c r="W205" i="11"/>
  <c r="X205" i="11" s="1"/>
  <c r="L205" i="11"/>
  <c r="K67" i="11"/>
  <c r="M67" i="11" s="1"/>
  <c r="W166" i="11"/>
  <c r="X166" i="11" s="1"/>
  <c r="K71" i="11"/>
  <c r="M71" i="11" s="1"/>
  <c r="Y217" i="11"/>
  <c r="K106" i="11"/>
  <c r="L106" i="11" s="1"/>
  <c r="K223" i="11"/>
  <c r="M223" i="11" s="1"/>
  <c r="W223" i="11"/>
  <c r="X223" i="11" s="1"/>
  <c r="W221" i="11"/>
  <c r="X221" i="11" s="1"/>
  <c r="Y142" i="11"/>
  <c r="K142" i="11"/>
  <c r="M142" i="11" s="1"/>
  <c r="W143" i="11"/>
  <c r="X143" i="11" s="1"/>
  <c r="Y137" i="11"/>
  <c r="Y205" i="11"/>
  <c r="K183" i="11"/>
  <c r="L183" i="11" s="1"/>
  <c r="L166" i="11"/>
  <c r="M137" i="11"/>
  <c r="L149" i="11"/>
  <c r="Y147" i="11"/>
  <c r="K215" i="11"/>
  <c r="L215" i="11" s="1"/>
  <c r="W137" i="11"/>
  <c r="X137" i="11" s="1"/>
  <c r="K175" i="11"/>
  <c r="M175" i="11" s="1"/>
  <c r="L191" i="11"/>
  <c r="BA1399" i="10"/>
  <c r="BA1511" i="10"/>
  <c r="BA1450" i="10"/>
  <c r="BA1514" i="10"/>
  <c r="BA1292" i="10"/>
  <c r="BA1313" i="10"/>
  <c r="BA1304" i="10"/>
  <c r="BA1440" i="10"/>
  <c r="BA1447" i="10"/>
  <c r="BA1425" i="10"/>
  <c r="BA1455" i="10"/>
  <c r="BA1366" i="10"/>
  <c r="BA1217" i="10"/>
  <c r="BA1302" i="10"/>
  <c r="BA1452" i="10"/>
  <c r="BA1576" i="10"/>
  <c r="BA1376" i="10"/>
  <c r="BA1519" i="10"/>
  <c r="BA1438" i="10"/>
  <c r="BA1355" i="10"/>
  <c r="BA1372" i="10"/>
  <c r="BA1294" i="10"/>
  <c r="BA1430" i="10"/>
  <c r="BA1428" i="10"/>
  <c r="BA1395" i="10"/>
  <c r="BA1517" i="10"/>
  <c r="BA1427" i="10"/>
  <c r="BA1451" i="10"/>
  <c r="BA1449" i="10"/>
  <c r="BA1403" i="10"/>
  <c r="BA1504" i="10"/>
  <c r="BA1434" i="10"/>
  <c r="BA1354" i="10"/>
  <c r="BA1577" i="10"/>
  <c r="BA1347" i="10"/>
  <c r="BA1356" i="10"/>
  <c r="BA1454" i="10"/>
  <c r="BA1444" i="10"/>
  <c r="BA1579" i="10"/>
  <c r="BA1214" i="10"/>
  <c r="BA1424" i="10"/>
  <c r="BA1285" i="10"/>
  <c r="BA1448" i="10"/>
  <c r="BA1279" i="10"/>
  <c r="BA1501" i="10"/>
  <c r="BA1401" i="10"/>
  <c r="BA1397" i="10"/>
  <c r="BA1373" i="10"/>
  <c r="BA1402" i="10"/>
  <c r="BA1340" i="10"/>
  <c r="BA1423" i="10"/>
  <c r="BA1433" i="10"/>
  <c r="BA1497" i="10"/>
  <c r="BA1507" i="10"/>
  <c r="BA1225" i="10"/>
  <c r="BA1388" i="10"/>
  <c r="BA1417" i="10"/>
  <c r="BA1506" i="10"/>
  <c r="BA1398" i="10"/>
  <c r="BA1406" i="10"/>
  <c r="BA1445" i="10"/>
  <c r="BA1435" i="10"/>
  <c r="BA1575" i="10"/>
  <c r="BA1291" i="10"/>
  <c r="BA1239" i="10"/>
  <c r="BA1335" i="10"/>
  <c r="BA1421" i="10"/>
  <c r="BA1446" i="10"/>
  <c r="BA1346" i="10"/>
  <c r="BA1531" i="10"/>
  <c r="AV5" i="10"/>
  <c r="BA1215" i="10"/>
  <c r="BA1318" i="10"/>
  <c r="BA1287" i="10"/>
  <c r="BA1219" i="10"/>
  <c r="BA1339" i="10"/>
  <c r="BA1295" i="10"/>
  <c r="BA1323" i="10"/>
  <c r="BA1241" i="10"/>
  <c r="BA1272" i="10"/>
  <c r="BA1310" i="10"/>
  <c r="BA1303" i="10"/>
  <c r="BA1275" i="10"/>
  <c r="BA1288" i="10"/>
  <c r="BA1328" i="10"/>
  <c r="BA1282" i="10"/>
  <c r="BA1530" i="10"/>
  <c r="BA1277" i="10"/>
  <c r="BA1283" i="10"/>
  <c r="BA1321" i="10"/>
  <c r="BA1244" i="10"/>
  <c r="BA1329" i="10"/>
  <c r="BA1317" i="10"/>
  <c r="BA1269" i="10"/>
  <c r="BA1338" i="10"/>
  <c r="BA1232" i="10"/>
  <c r="BA1265" i="10"/>
  <c r="BA1290" i="10"/>
  <c r="BA1314" i="10"/>
  <c r="BA1307" i="10"/>
  <c r="BA1289" i="10"/>
  <c r="BA1281" i="10"/>
  <c r="BA1342" i="10"/>
  <c r="BA1316" i="10"/>
  <c r="BA1315" i="10"/>
  <c r="BA1248" i="10"/>
  <c r="BA1299" i="10"/>
  <c r="BA1301" i="10"/>
  <c r="BA1309" i="10"/>
  <c r="BA1286" i="10"/>
  <c r="BA1238" i="10"/>
  <c r="BA1327" i="10"/>
  <c r="BA1264" i="10"/>
  <c r="BA1333" i="10"/>
  <c r="BA1218" i="10"/>
  <c r="BA1311" i="10"/>
  <c r="BA1312" i="10"/>
  <c r="BA1216" i="10"/>
  <c r="BA1280" i="10"/>
  <c r="BA1296" i="10"/>
  <c r="BA1308" i="10"/>
  <c r="BA1273" i="10"/>
  <c r="BA1236" i="10"/>
  <c r="BA1237" i="10"/>
  <c r="BA1235" i="10"/>
  <c r="BA1245" i="10"/>
  <c r="BA1243" i="10"/>
  <c r="BA1234" i="10"/>
  <c r="BA1536" i="10"/>
  <c r="BA1491" i="10"/>
  <c r="BA1547" i="10"/>
  <c r="BA1533" i="10"/>
  <c r="BA1387" i="10"/>
  <c r="BA1586" i="10"/>
  <c r="BA1541" i="10"/>
  <c r="BA1542" i="10"/>
  <c r="BA1589" i="10"/>
  <c r="BA1562" i="10"/>
  <c r="BA1480" i="10"/>
  <c r="BA1374" i="10"/>
  <c r="BA1526" i="10"/>
  <c r="BA1493" i="10"/>
  <c r="BA1568" i="10"/>
  <c r="BA1529" i="10"/>
  <c r="BA1467" i="10"/>
  <c r="BA1544" i="10"/>
  <c r="BA1527" i="10"/>
  <c r="BA1482" i="10"/>
  <c r="BA1391" i="10"/>
  <c r="BA1463" i="10"/>
  <c r="BA1479" i="10"/>
  <c r="BA1483" i="10"/>
  <c r="BA1485" i="10"/>
  <c r="BA1494" i="10"/>
  <c r="BA1561" i="10"/>
  <c r="BA1495" i="10"/>
  <c r="BA1537" i="10"/>
  <c r="BA1392" i="10"/>
  <c r="BA1535" i="10"/>
  <c r="BA1500" i="10"/>
  <c r="BA1572" i="10"/>
  <c r="BA1487" i="10"/>
  <c r="BA1509" i="10"/>
  <c r="BA1540" i="10"/>
  <c r="BA1521" i="10"/>
  <c r="BA1466" i="10"/>
  <c r="BA1492" i="10"/>
  <c r="BA1486" i="10"/>
  <c r="BA1503" i="10"/>
  <c r="BA1516" i="10"/>
  <c r="BA1534" i="10"/>
  <c r="BA1564" i="10"/>
  <c r="BA1549" i="10"/>
  <c r="BA1588" i="10"/>
  <c r="BA1510" i="10"/>
  <c r="BA1496" i="10"/>
  <c r="BA1528" i="10"/>
  <c r="BA1581" i="10"/>
  <c r="BA1475" i="10"/>
  <c r="BA1543" i="10"/>
  <c r="BA1513" i="10"/>
  <c r="BA1554" i="10"/>
  <c r="BA1548" i="10"/>
  <c r="BA1505" i="10"/>
  <c r="BA1556" i="10"/>
  <c r="BA1520" i="10"/>
  <c r="BA1563" i="10"/>
  <c r="BA1565" i="10"/>
  <c r="BA1474" i="10"/>
  <c r="BA1459" i="10"/>
  <c r="BA1490" i="10"/>
  <c r="BA1476" i="10"/>
  <c r="BA1409" i="10"/>
  <c r="BA1379" i="10"/>
  <c r="BA1404" i="10"/>
  <c r="BA1393" i="10"/>
  <c r="BA1394" i="10"/>
  <c r="BA1390" i="10"/>
  <c r="BA1405" i="10"/>
  <c r="BA1380" i="10"/>
  <c r="BA1383" i="10"/>
  <c r="BA1381" i="10"/>
  <c r="BA1386" i="10"/>
  <c r="BA1375" i="10"/>
  <c r="BA1378" i="10"/>
  <c r="BA1384" i="10"/>
  <c r="BA1382" i="10"/>
  <c r="BA1370" i="10"/>
  <c r="BA1365" i="10"/>
  <c r="BA1371" i="10"/>
  <c r="BA1350" i="10"/>
  <c r="BA1330" i="10"/>
  <c r="BA1363" i="10"/>
  <c r="BA1334" i="10"/>
  <c r="BA1226" i="10"/>
  <c r="BA1322" i="10"/>
  <c r="B104" i="29"/>
  <c r="C104" i="29" s="1"/>
  <c r="BA1360" i="10"/>
  <c r="BA1278" i="10"/>
  <c r="B112" i="29"/>
  <c r="E112" i="29" s="1"/>
  <c r="BA1253" i="10"/>
  <c r="B257" i="29"/>
  <c r="B133" i="29"/>
  <c r="C133" i="29" s="1"/>
  <c r="BA1320" i="10"/>
  <c r="BA1268" i="10"/>
  <c r="B258" i="29"/>
  <c r="BA1413" i="10"/>
  <c r="BA1270" i="10"/>
  <c r="BA1262" i="10"/>
  <c r="BA1230" i="10"/>
  <c r="BA1258" i="10"/>
  <c r="B231" i="29"/>
  <c r="C231" i="29" s="1"/>
  <c r="B327" i="29"/>
  <c r="E327" i="29" s="1"/>
  <c r="B295" i="29"/>
  <c r="C295" i="29" s="1"/>
  <c r="B236" i="29"/>
  <c r="B107" i="29"/>
  <c r="BA1263" i="10"/>
  <c r="BA1257" i="10"/>
  <c r="BA1254" i="10"/>
  <c r="B83" i="29"/>
  <c r="E83" i="29" s="1"/>
  <c r="B96" i="29"/>
  <c r="C96" i="29" s="1"/>
  <c r="B277" i="29"/>
  <c r="C277" i="29" s="1"/>
  <c r="B243" i="29"/>
  <c r="BA1260" i="10"/>
  <c r="BA1227" i="10"/>
  <c r="BA1229" i="10"/>
  <c r="BA1420" i="10"/>
  <c r="BA1249" i="10"/>
  <c r="BA1271" i="10"/>
  <c r="BA1250" i="10"/>
  <c r="BA1242" i="10"/>
  <c r="BA1252" i="10"/>
  <c r="B91" i="29"/>
  <c r="E91" i="29" s="1"/>
  <c r="B227" i="29"/>
  <c r="C227" i="29" s="1"/>
  <c r="B178" i="29"/>
  <c r="C178" i="29" s="1"/>
  <c r="BA1259" i="10"/>
  <c r="BA1261" i="10"/>
  <c r="BA1228" i="10"/>
  <c r="B270" i="29"/>
  <c r="B111" i="29"/>
  <c r="E111" i="29" s="1"/>
  <c r="B120" i="29"/>
  <c r="C120" i="29" s="1"/>
  <c r="B117" i="29"/>
  <c r="C117" i="29" s="1"/>
  <c r="B318" i="29"/>
  <c r="B330" i="29"/>
  <c r="B190" i="29"/>
  <c r="C190" i="29" s="1"/>
  <c r="B136" i="29"/>
  <c r="E136" i="29" s="1"/>
  <c r="B153" i="29"/>
  <c r="B167" i="29"/>
  <c r="B279" i="29"/>
  <c r="B230" i="29"/>
  <c r="C230" i="29" s="1"/>
  <c r="B242" i="29"/>
  <c r="C242" i="29" s="1"/>
  <c r="B323" i="29"/>
  <c r="B226" i="29"/>
  <c r="B326" i="29"/>
  <c r="B331" i="29"/>
  <c r="C331" i="29" s="1"/>
  <c r="BA1221" i="10"/>
  <c r="B256" i="29"/>
  <c r="E256" i="29" s="1"/>
  <c r="B223" i="29"/>
  <c r="C223" i="29" s="1"/>
  <c r="B128" i="29"/>
  <c r="B101" i="29"/>
  <c r="B250" i="29"/>
  <c r="B329" i="29"/>
  <c r="B271" i="29"/>
  <c r="B175" i="29"/>
  <c r="B341" i="29"/>
  <c r="C341" i="29" s="1"/>
  <c r="B222" i="29"/>
  <c r="B205" i="29"/>
  <c r="B298" i="29"/>
  <c r="B292" i="29"/>
  <c r="B285" i="29"/>
  <c r="B322" i="29"/>
  <c r="B156" i="29"/>
  <c r="B92" i="29"/>
  <c r="BA1223" i="10"/>
  <c r="BA1222" i="10"/>
  <c r="BA1224" i="10"/>
  <c r="B232" i="29"/>
  <c r="C232" i="29" s="1"/>
  <c r="B294" i="29"/>
  <c r="B115" i="29"/>
  <c r="B338" i="29"/>
  <c r="C338" i="29" s="1"/>
  <c r="B273" i="29"/>
  <c r="C273" i="29" s="1"/>
  <c r="B124" i="29"/>
  <c r="C124" i="29" s="1"/>
  <c r="B188" i="29"/>
  <c r="B146" i="29"/>
  <c r="E146" i="29" s="1"/>
  <c r="B151" i="29"/>
  <c r="C151" i="29" s="1"/>
  <c r="B140" i="29"/>
  <c r="C140" i="29" s="1"/>
  <c r="B123" i="29"/>
  <c r="C123" i="29" s="1"/>
  <c r="B180" i="29"/>
  <c r="B349" i="29"/>
  <c r="E349" i="29" s="1"/>
  <c r="B234" i="29"/>
  <c r="C234" i="29" s="1"/>
  <c r="B343" i="29"/>
  <c r="C343" i="29" s="1"/>
  <c r="B248" i="29"/>
  <c r="C248" i="29" s="1"/>
  <c r="B201" i="29"/>
  <c r="C201" i="29" s="1"/>
  <c r="B135" i="29"/>
  <c r="C135" i="29" s="1"/>
  <c r="BA1385" i="10"/>
  <c r="B301" i="29"/>
  <c r="B185" i="29"/>
  <c r="C185" i="29" s="1"/>
  <c r="B334" i="29"/>
  <c r="C334" i="29" s="1"/>
  <c r="B100" i="29"/>
  <c r="C100" i="29" s="1"/>
  <c r="B308" i="29"/>
  <c r="C308" i="29" s="1"/>
  <c r="B283" i="29"/>
  <c r="C283" i="29" s="1"/>
  <c r="B214" i="29"/>
  <c r="B200" i="29"/>
  <c r="B109" i="29"/>
  <c r="C109" i="29" s="1"/>
  <c r="B344" i="29"/>
  <c r="E344" i="29" s="1"/>
  <c r="B127" i="29"/>
  <c r="C127" i="29" s="1"/>
  <c r="B171" i="29"/>
  <c r="B317" i="29"/>
  <c r="B81" i="29"/>
  <c r="C81" i="29" s="1"/>
  <c r="B297" i="29"/>
  <c r="B173" i="29"/>
  <c r="C173" i="29" s="1"/>
  <c r="B313" i="29"/>
  <c r="C313" i="29" s="1"/>
  <c r="B119" i="29"/>
  <c r="E119" i="29" s="1"/>
  <c r="B184" i="29"/>
  <c r="C184" i="29" s="1"/>
  <c r="B163" i="29"/>
  <c r="B97" i="29"/>
  <c r="C97" i="29" s="1"/>
  <c r="B161" i="29"/>
  <c r="B176" i="29"/>
  <c r="E176" i="29" s="1"/>
  <c r="B152" i="29"/>
  <c r="B287" i="29"/>
  <c r="B203" i="29"/>
  <c r="B145" i="29"/>
  <c r="B264" i="29"/>
  <c r="B290" i="29"/>
  <c r="E290" i="29" s="1"/>
  <c r="B291" i="29"/>
  <c r="C291" i="29" s="1"/>
  <c r="B106" i="29"/>
  <c r="B340" i="29"/>
  <c r="C340" i="29" s="1"/>
  <c r="B118" i="29"/>
  <c r="E118" i="29" s="1"/>
  <c r="B116" i="29"/>
  <c r="C116" i="29" s="1"/>
  <c r="B296" i="29"/>
  <c r="E296" i="29" s="1"/>
  <c r="B244" i="29"/>
  <c r="C244" i="29" s="1"/>
  <c r="B129" i="29"/>
  <c r="B212" i="29"/>
  <c r="C212" i="29" s="1"/>
  <c r="B276" i="29"/>
  <c r="B252" i="29"/>
  <c r="C252" i="29" s="1"/>
  <c r="B342" i="29"/>
  <c r="B239" i="29"/>
  <c r="E239" i="29" s="1"/>
  <c r="B134" i="29"/>
  <c r="B347" i="29"/>
  <c r="C347" i="29" s="1"/>
  <c r="B207" i="29"/>
  <c r="B89" i="29"/>
  <c r="B274" i="29"/>
  <c r="B325" i="29"/>
  <c r="E325" i="29" s="1"/>
  <c r="B272" i="29"/>
  <c r="E272" i="29" s="1"/>
  <c r="B130" i="29"/>
  <c r="C130" i="29" s="1"/>
  <c r="B241" i="29"/>
  <c r="C241" i="29" s="1"/>
  <c r="B169" i="29"/>
  <c r="E169" i="29" s="1"/>
  <c r="B131" i="29"/>
  <c r="B86" i="29"/>
  <c r="B158" i="29"/>
  <c r="B332" i="29"/>
  <c r="C332" i="29" s="1"/>
  <c r="B307" i="29"/>
  <c r="B289" i="29"/>
  <c r="C289" i="29" s="1"/>
  <c r="B182" i="29"/>
  <c r="B125" i="29"/>
  <c r="C125" i="29" s="1"/>
  <c r="B99" i="29"/>
  <c r="C99" i="29" s="1"/>
  <c r="B282" i="29"/>
  <c r="B137" i="29"/>
  <c r="C137" i="29" s="1"/>
  <c r="B126" i="29"/>
  <c r="C126" i="29" s="1"/>
  <c r="B170" i="29"/>
  <c r="E170" i="29" s="1"/>
  <c r="B105" i="29"/>
  <c r="B208" i="29"/>
  <c r="B90" i="29"/>
  <c r="B85" i="29"/>
  <c r="B218" i="29"/>
  <c r="B79" i="29"/>
  <c r="B240" i="29"/>
  <c r="B288" i="29"/>
  <c r="C288" i="29" s="1"/>
  <c r="B102" i="29"/>
  <c r="B255" i="29"/>
  <c r="E255" i="29" s="1"/>
  <c r="B82" i="29"/>
  <c r="E82" i="29" s="1"/>
  <c r="B144" i="29"/>
  <c r="B337" i="29"/>
  <c r="B179" i="29"/>
  <c r="C179" i="29" s="1"/>
  <c r="B229" i="29"/>
  <c r="C229" i="29" s="1"/>
  <c r="B281" i="29"/>
  <c r="B149" i="29"/>
  <c r="C149" i="29" s="1"/>
  <c r="B189" i="29"/>
  <c r="C189" i="29" s="1"/>
  <c r="B346" i="29"/>
  <c r="E346" i="29" s="1"/>
  <c r="B254" i="29"/>
  <c r="E254" i="29" s="1"/>
  <c r="B299" i="29"/>
  <c r="B93" i="29"/>
  <c r="B335" i="29"/>
  <c r="C335" i="29" s="1"/>
  <c r="B328" i="29"/>
  <c r="C328" i="29" s="1"/>
  <c r="B154" i="29"/>
  <c r="B286" i="29"/>
  <c r="B300" i="29"/>
  <c r="B157" i="29"/>
  <c r="B268" i="29"/>
  <c r="E268" i="29" s="1"/>
  <c r="B259" i="29"/>
  <c r="B306" i="29"/>
  <c r="B314" i="29"/>
  <c r="C314" i="29" s="1"/>
  <c r="B211" i="29"/>
  <c r="B164" i="29"/>
  <c r="B238" i="29"/>
  <c r="B147" i="29"/>
  <c r="C147" i="29" s="1"/>
  <c r="B143" i="29"/>
  <c r="B148" i="29"/>
  <c r="C148" i="29" s="1"/>
  <c r="B168" i="29"/>
  <c r="C168" i="29" s="1"/>
  <c r="B174" i="29"/>
  <c r="B261" i="29"/>
  <c r="B213" i="29"/>
  <c r="C213" i="29" s="1"/>
  <c r="B139" i="29"/>
  <c r="C139" i="29" s="1"/>
  <c r="B235" i="29"/>
  <c r="B305" i="29"/>
  <c r="B251" i="29"/>
  <c r="C251" i="29" s="1"/>
  <c r="B260" i="29"/>
  <c r="B187" i="29"/>
  <c r="E187" i="29" s="1"/>
  <c r="B321" i="29"/>
  <c r="C321" i="29" s="1"/>
  <c r="B262" i="29"/>
  <c r="B228" i="29"/>
  <c r="E228" i="29" s="1"/>
  <c r="B155" i="29"/>
  <c r="B195" i="29"/>
  <c r="B191" i="29"/>
  <c r="B159" i="29"/>
  <c r="B84" i="29"/>
  <c r="E84" i="29" s="1"/>
  <c r="B247" i="29"/>
  <c r="B166" i="29"/>
  <c r="C166" i="29" s="1"/>
  <c r="B94" i="29"/>
  <c r="C94" i="29" s="1"/>
  <c r="B150" i="29"/>
  <c r="E150" i="29" s="1"/>
  <c r="B316" i="29"/>
  <c r="C316" i="29" s="1"/>
  <c r="B121" i="29"/>
  <c r="B302" i="29"/>
  <c r="C302" i="29" s="1"/>
  <c r="B220" i="29"/>
  <c r="B132" i="29"/>
  <c r="C132" i="29" s="1"/>
  <c r="B304" i="29"/>
  <c r="C304" i="29" s="1"/>
  <c r="B333" i="29"/>
  <c r="B181" i="29"/>
  <c r="E181" i="29" s="1"/>
  <c r="B278" i="29"/>
  <c r="C278" i="29" s="1"/>
  <c r="B141" i="29"/>
  <c r="C141" i="29" s="1"/>
  <c r="B80" i="29"/>
  <c r="B249" i="29"/>
  <c r="B122" i="29"/>
  <c r="E122" i="29" s="1"/>
  <c r="B315" i="29"/>
  <c r="C315" i="29" s="1"/>
  <c r="B266" i="29"/>
  <c r="C266" i="29" s="1"/>
  <c r="B193" i="29"/>
  <c r="B219" i="29"/>
  <c r="C219" i="29" s="1"/>
  <c r="B165" i="29"/>
  <c r="E165" i="29" s="1"/>
  <c r="B216" i="29"/>
  <c r="B199" i="29"/>
  <c r="B142" i="29"/>
  <c r="C142" i="29" s="1"/>
  <c r="B221" i="29"/>
  <c r="C221" i="29" s="1"/>
  <c r="B110" i="29"/>
  <c r="B309" i="29"/>
  <c r="B192" i="29"/>
  <c r="B284" i="29"/>
  <c r="B138" i="29"/>
  <c r="B186" i="29"/>
  <c r="C186" i="29" s="1"/>
  <c r="B265" i="29"/>
  <c r="B320" i="29"/>
  <c r="B87" i="29"/>
  <c r="B267" i="29"/>
  <c r="B177" i="29"/>
  <c r="C177" i="29" s="1"/>
  <c r="B114" i="29"/>
  <c r="E114" i="29" s="1"/>
  <c r="B194" i="29"/>
  <c r="B348" i="29"/>
  <c r="C348" i="29" s="1"/>
  <c r="B103" i="29"/>
  <c r="B95" i="29"/>
  <c r="B339" i="29"/>
  <c r="B246" i="29"/>
  <c r="C246" i="29" s="1"/>
  <c r="B253" i="29"/>
  <c r="B210" i="29"/>
  <c r="B204" i="29"/>
  <c r="C204" i="29" s="1"/>
  <c r="B217" i="29"/>
  <c r="C217" i="29" s="1"/>
  <c r="B88" i="29"/>
  <c r="C88" i="29" s="1"/>
  <c r="B280" i="29"/>
  <c r="B160" i="29"/>
  <c r="E160" i="29" s="1"/>
  <c r="B215" i="29"/>
  <c r="B183" i="29"/>
  <c r="B224" i="29"/>
  <c r="B319" i="29"/>
  <c r="B206" i="29"/>
  <c r="C206" i="29" s="1"/>
  <c r="B197" i="29"/>
  <c r="B108" i="29"/>
  <c r="B303" i="29"/>
  <c r="B245" i="29"/>
  <c r="E245" i="29" s="1"/>
  <c r="B311" i="29"/>
  <c r="E311" i="29" s="1"/>
  <c r="B172" i="29"/>
  <c r="C172" i="29" s="1"/>
  <c r="B98" i="29"/>
  <c r="C98" i="29" s="1"/>
  <c r="B275" i="29"/>
  <c r="B202" i="29"/>
  <c r="B310" i="29"/>
  <c r="C310" i="29" s="1"/>
  <c r="B269" i="29"/>
  <c r="C269" i="29" s="1"/>
  <c r="B324" i="29"/>
  <c r="C324" i="29" s="1"/>
  <c r="B225" i="29"/>
  <c r="B345" i="29"/>
  <c r="B237" i="29"/>
  <c r="E237" i="29" s="1"/>
  <c r="B336" i="29"/>
  <c r="C336" i="29" s="1"/>
  <c r="B113" i="29"/>
  <c r="C113" i="29" s="1"/>
  <c r="B293" i="29"/>
  <c r="C293" i="29" s="1"/>
  <c r="B263" i="29"/>
  <c r="B312" i="29"/>
  <c r="C312" i="29" s="1"/>
  <c r="B209" i="29"/>
  <c r="B196" i="29"/>
  <c r="B198" i="29"/>
  <c r="B233" i="29"/>
  <c r="E233" i="29" s="1"/>
  <c r="B162" i="29"/>
  <c r="AX5" i="10"/>
  <c r="BD1234" i="10"/>
  <c r="AY1595" i="10"/>
  <c r="Q33" i="11"/>
  <c r="Q51" i="11"/>
  <c r="BC1231" i="10"/>
  <c r="BC1234" i="10"/>
  <c r="BA1231" i="10"/>
  <c r="G416" i="9"/>
  <c r="G416" i="6"/>
  <c r="L70" i="11"/>
  <c r="C16" i="11"/>
  <c r="J16" i="11" s="1"/>
  <c r="K16" i="11" s="1"/>
  <c r="L77" i="11"/>
  <c r="M83" i="11"/>
  <c r="L88" i="11"/>
  <c r="M81" i="11"/>
  <c r="L96" i="11"/>
  <c r="L112" i="11"/>
  <c r="W104" i="11"/>
  <c r="W103" i="11"/>
  <c r="M92" i="11"/>
  <c r="W113" i="11"/>
  <c r="W97" i="11"/>
  <c r="W109" i="11"/>
  <c r="W108" i="11"/>
  <c r="W93" i="11"/>
  <c r="W94" i="11"/>
  <c r="W95" i="11"/>
  <c r="W110" i="11"/>
  <c r="W98" i="11"/>
  <c r="W105" i="11"/>
  <c r="W99" i="11"/>
  <c r="W100" i="11"/>
  <c r="W96" i="11"/>
  <c r="W112" i="11"/>
  <c r="W114" i="11"/>
  <c r="W107" i="11"/>
  <c r="W102" i="11"/>
  <c r="W111" i="11"/>
  <c r="W78" i="11"/>
  <c r="W101" i="11"/>
  <c r="W106" i="11"/>
  <c r="C71" i="11"/>
  <c r="E71" i="11" s="1"/>
  <c r="C178" i="11"/>
  <c r="D178" i="11" s="1"/>
  <c r="U138" i="11"/>
  <c r="E135" i="11"/>
  <c r="C101" i="11"/>
  <c r="D101" i="11" s="1"/>
  <c r="U111" i="11"/>
  <c r="S166" i="11"/>
  <c r="T166" i="11" s="1"/>
  <c r="D135" i="11"/>
  <c r="V166" i="11"/>
  <c r="U141" i="11"/>
  <c r="C89" i="11"/>
  <c r="E89" i="11" s="1"/>
  <c r="U119" i="11"/>
  <c r="U129" i="11"/>
  <c r="S135" i="11"/>
  <c r="T135" i="11" s="1"/>
  <c r="S138" i="11"/>
  <c r="T138" i="11" s="1"/>
  <c r="C166" i="11"/>
  <c r="E166" i="11" s="1"/>
  <c r="U178" i="11"/>
  <c r="C130" i="11"/>
  <c r="E130" i="11" s="1"/>
  <c r="U135" i="11"/>
  <c r="S215" i="11"/>
  <c r="T215" i="11" s="1"/>
  <c r="S153" i="11"/>
  <c r="T153" i="11" s="1"/>
  <c r="U214" i="11"/>
  <c r="U70" i="11"/>
  <c r="S190" i="11"/>
  <c r="T190" i="11" s="1"/>
  <c r="S136" i="11"/>
  <c r="T136" i="11" s="1"/>
  <c r="S182" i="11"/>
  <c r="T182" i="11" s="1"/>
  <c r="U167" i="11"/>
  <c r="U76" i="11"/>
  <c r="C77" i="11"/>
  <c r="E77" i="11" s="1"/>
  <c r="C182" i="11"/>
  <c r="E182" i="11" s="1"/>
  <c r="S127" i="11"/>
  <c r="T127" i="11" s="1"/>
  <c r="U146" i="11"/>
  <c r="S177" i="11"/>
  <c r="T177" i="11" s="1"/>
  <c r="C211" i="11"/>
  <c r="D211" i="11" s="1"/>
  <c r="C207" i="11"/>
  <c r="E207" i="11" s="1"/>
  <c r="U98" i="11"/>
  <c r="U184" i="11"/>
  <c r="U169" i="11"/>
  <c r="S192" i="11"/>
  <c r="T192" i="11" s="1"/>
  <c r="U176" i="11"/>
  <c r="U133" i="11"/>
  <c r="U99" i="11"/>
  <c r="G109" i="11"/>
  <c r="H109" i="11" s="1"/>
  <c r="G90" i="11"/>
  <c r="I90" i="11" s="1"/>
  <c r="G85" i="11"/>
  <c r="H85" i="11" s="1"/>
  <c r="V115" i="11"/>
  <c r="S121" i="11"/>
  <c r="T121" i="11" s="1"/>
  <c r="V66" i="11"/>
  <c r="U183" i="11"/>
  <c r="V170" i="11"/>
  <c r="C95" i="11"/>
  <c r="D95" i="11" s="1"/>
  <c r="C156" i="11"/>
  <c r="D156" i="11" s="1"/>
  <c r="S224" i="11"/>
  <c r="T224" i="11" s="1"/>
  <c r="C201" i="11"/>
  <c r="D201" i="11" s="1"/>
  <c r="S163" i="11"/>
  <c r="T163" i="11" s="1"/>
  <c r="D72" i="11"/>
  <c r="U91" i="11"/>
  <c r="S160" i="11"/>
  <c r="T160" i="11" s="1"/>
  <c r="U73" i="11"/>
  <c r="S185" i="11"/>
  <c r="T185" i="11" s="1"/>
  <c r="C151" i="11"/>
  <c r="E151" i="11" s="1"/>
  <c r="U175" i="11"/>
  <c r="U96" i="11"/>
  <c r="S124" i="11"/>
  <c r="T124" i="11" s="1"/>
  <c r="C122" i="11"/>
  <c r="D122" i="11" s="1"/>
  <c r="C112" i="11"/>
  <c r="E112" i="11" s="1"/>
  <c r="C165" i="11"/>
  <c r="D165" i="11" s="1"/>
  <c r="U222" i="11"/>
  <c r="G205" i="11"/>
  <c r="I205" i="11" s="1"/>
  <c r="C137" i="11"/>
  <c r="E137" i="11" s="1"/>
  <c r="C116" i="11"/>
  <c r="D116" i="11" s="1"/>
  <c r="C155" i="11"/>
  <c r="E155" i="11" s="1"/>
  <c r="C121" i="11"/>
  <c r="E121" i="11" s="1"/>
  <c r="C158" i="11"/>
  <c r="E158" i="11" s="1"/>
  <c r="C82" i="11"/>
  <c r="D82" i="11" s="1"/>
  <c r="S151" i="11"/>
  <c r="T151" i="11" s="1"/>
  <c r="U212" i="11"/>
  <c r="C139" i="11"/>
  <c r="E139" i="11" s="1"/>
  <c r="S196" i="11"/>
  <c r="T196" i="11" s="1"/>
  <c r="V177" i="11"/>
  <c r="U126" i="11"/>
  <c r="U80" i="11"/>
  <c r="C111" i="11"/>
  <c r="D111" i="11" s="1"/>
  <c r="C114" i="11"/>
  <c r="E114" i="11" s="1"/>
  <c r="C214" i="11"/>
  <c r="E214" i="11" s="1"/>
  <c r="S172" i="11"/>
  <c r="T172" i="11" s="1"/>
  <c r="C85" i="11"/>
  <c r="D85" i="11" s="1"/>
  <c r="C209" i="11"/>
  <c r="E209" i="11" s="1"/>
  <c r="C119" i="11"/>
  <c r="E119" i="11" s="1"/>
  <c r="S170" i="11"/>
  <c r="T170" i="11" s="1"/>
  <c r="U130" i="11"/>
  <c r="U106" i="11"/>
  <c r="D70" i="11"/>
  <c r="C161" i="11"/>
  <c r="D161" i="11" s="1"/>
  <c r="C104" i="11"/>
  <c r="E104" i="11" s="1"/>
  <c r="U215" i="11"/>
  <c r="C108" i="11"/>
  <c r="E108" i="11" s="1"/>
  <c r="C145" i="11"/>
  <c r="E145" i="11" s="1"/>
  <c r="C200" i="11"/>
  <c r="D200" i="11" s="1"/>
  <c r="S128" i="11"/>
  <c r="T128" i="11" s="1"/>
  <c r="C186" i="11"/>
  <c r="E186" i="11" s="1"/>
  <c r="C125" i="11"/>
  <c r="D125" i="11" s="1"/>
  <c r="U206" i="11"/>
  <c r="S134" i="11"/>
  <c r="T134" i="11" s="1"/>
  <c r="S129" i="11"/>
  <c r="T129" i="11" s="1"/>
  <c r="S197" i="11"/>
  <c r="T197" i="11" s="1"/>
  <c r="S198" i="11"/>
  <c r="T198" i="11" s="1"/>
  <c r="U101" i="11"/>
  <c r="C69" i="11"/>
  <c r="D69" i="11" s="1"/>
  <c r="U79" i="11"/>
  <c r="S218" i="11"/>
  <c r="T218" i="11" s="1"/>
  <c r="G160" i="11"/>
  <c r="I160" i="11" s="1"/>
  <c r="V204" i="11"/>
  <c r="V134" i="11"/>
  <c r="V78" i="11"/>
  <c r="V180" i="11"/>
  <c r="V92" i="11"/>
  <c r="G131" i="11"/>
  <c r="H131" i="11" s="1"/>
  <c r="V158" i="11"/>
  <c r="V187" i="11"/>
  <c r="G178" i="11"/>
  <c r="H178" i="11" s="1"/>
  <c r="I96" i="11"/>
  <c r="V194" i="11"/>
  <c r="G83" i="11"/>
  <c r="I83" i="11" s="1"/>
  <c r="G127" i="11"/>
  <c r="I127" i="11" s="1"/>
  <c r="V192" i="11"/>
  <c r="G136" i="11"/>
  <c r="H136" i="11" s="1"/>
  <c r="V163" i="11"/>
  <c r="G203" i="11"/>
  <c r="H203" i="11" s="1"/>
  <c r="G210" i="11"/>
  <c r="H210" i="11" s="1"/>
  <c r="G172" i="11"/>
  <c r="H172" i="11" s="1"/>
  <c r="G185" i="11"/>
  <c r="I185" i="11" s="1"/>
  <c r="V171" i="11"/>
  <c r="G81" i="11"/>
  <c r="H81" i="11" s="1"/>
  <c r="G141" i="11"/>
  <c r="H141" i="11" s="1"/>
  <c r="V135" i="11"/>
  <c r="G198" i="11"/>
  <c r="I198" i="11" s="1"/>
  <c r="G150" i="11"/>
  <c r="I150" i="11" s="1"/>
  <c r="G154" i="11"/>
  <c r="I154" i="11" s="1"/>
  <c r="G164" i="11"/>
  <c r="I164" i="11" s="1"/>
  <c r="V69" i="11"/>
  <c r="G112" i="11"/>
  <c r="H112" i="11" s="1"/>
  <c r="V193" i="11"/>
  <c r="G142" i="11"/>
  <c r="I142" i="11" s="1"/>
  <c r="G195" i="11"/>
  <c r="I195" i="11" s="1"/>
  <c r="G146" i="11"/>
  <c r="H146" i="11" s="1"/>
  <c r="G139" i="11"/>
  <c r="I139" i="11" s="1"/>
  <c r="V118" i="11"/>
  <c r="G67" i="11"/>
  <c r="I67" i="11" s="1"/>
  <c r="G138" i="11"/>
  <c r="I138" i="11" s="1"/>
  <c r="V182" i="11"/>
  <c r="V151" i="11"/>
  <c r="V71" i="11"/>
  <c r="G71" i="11"/>
  <c r="I71" i="11" s="1"/>
  <c r="G140" i="11"/>
  <c r="H140" i="11" s="1"/>
  <c r="V140" i="11"/>
  <c r="G108" i="11"/>
  <c r="H108" i="11" s="1"/>
  <c r="V108" i="11"/>
  <c r="C120" i="11"/>
  <c r="D120" i="11" s="1"/>
  <c r="U120" i="11"/>
  <c r="C81" i="11"/>
  <c r="D81" i="11" s="1"/>
  <c r="G214" i="11"/>
  <c r="I214" i="11" s="1"/>
  <c r="S168" i="11"/>
  <c r="T168" i="11" s="1"/>
  <c r="C168" i="11"/>
  <c r="E168" i="11" s="1"/>
  <c r="S216" i="11"/>
  <c r="T216" i="11" s="1"/>
  <c r="U216" i="11"/>
  <c r="S189" i="11"/>
  <c r="T189" i="11" s="1"/>
  <c r="U203" i="11"/>
  <c r="S203" i="11"/>
  <c r="T203" i="11" s="1"/>
  <c r="G117" i="11"/>
  <c r="H117" i="11" s="1"/>
  <c r="V117" i="11"/>
  <c r="C172" i="11"/>
  <c r="D172" i="11" s="1"/>
  <c r="C143" i="11"/>
  <c r="E143" i="11" s="1"/>
  <c r="G159" i="11"/>
  <c r="H159" i="11" s="1"/>
  <c r="G77" i="11"/>
  <c r="H77" i="11" s="1"/>
  <c r="V123" i="11"/>
  <c r="U150" i="11"/>
  <c r="C205" i="11"/>
  <c r="D205" i="11" s="1"/>
  <c r="S213" i="11"/>
  <c r="T213" i="11" s="1"/>
  <c r="C189" i="11"/>
  <c r="D189" i="11" s="1"/>
  <c r="C223" i="11"/>
  <c r="D223" i="11" s="1"/>
  <c r="C203" i="11"/>
  <c r="E203" i="11" s="1"/>
  <c r="V212" i="11"/>
  <c r="V145" i="11"/>
  <c r="G111" i="11"/>
  <c r="H111" i="11" s="1"/>
  <c r="V214" i="11"/>
  <c r="U208" i="11"/>
  <c r="G148" i="11"/>
  <c r="I148" i="11" s="1"/>
  <c r="V148" i="11"/>
  <c r="G93" i="11"/>
  <c r="H93" i="11" s="1"/>
  <c r="V152" i="11"/>
  <c r="G152" i="11"/>
  <c r="I152" i="11" s="1"/>
  <c r="V207" i="11"/>
  <c r="I207" i="11"/>
  <c r="G174" i="11"/>
  <c r="I174" i="11" s="1"/>
  <c r="V174" i="11"/>
  <c r="G119" i="11"/>
  <c r="H119" i="11" s="1"/>
  <c r="V119" i="11"/>
  <c r="G200" i="11"/>
  <c r="H200" i="11" s="1"/>
  <c r="V200" i="11"/>
  <c r="V173" i="11"/>
  <c r="G173" i="11"/>
  <c r="I173" i="11" s="1"/>
  <c r="V101" i="11"/>
  <c r="G101" i="11"/>
  <c r="I101" i="11" s="1"/>
  <c r="C193" i="11"/>
  <c r="D193" i="11" s="1"/>
  <c r="U193" i="11"/>
  <c r="U154" i="11"/>
  <c r="S154" i="11"/>
  <c r="T154" i="11" s="1"/>
  <c r="C102" i="11"/>
  <c r="D102" i="11" s="1"/>
  <c r="S179" i="11"/>
  <c r="T179" i="11" s="1"/>
  <c r="U179" i="11"/>
  <c r="S202" i="11"/>
  <c r="T202" i="11" s="1"/>
  <c r="C202" i="11"/>
  <c r="D202" i="11" s="1"/>
  <c r="U132" i="11"/>
  <c r="C132" i="11"/>
  <c r="E132" i="11" s="1"/>
  <c r="C181" i="11"/>
  <c r="E181" i="11" s="1"/>
  <c r="U181" i="11"/>
  <c r="S217" i="11"/>
  <c r="T217" i="11" s="1"/>
  <c r="C217" i="11"/>
  <c r="E217" i="11" s="1"/>
  <c r="C93" i="11"/>
  <c r="D93" i="11" s="1"/>
  <c r="V221" i="11"/>
  <c r="G221" i="11"/>
  <c r="H221" i="11" s="1"/>
  <c r="U210" i="11"/>
  <c r="S210" i="11"/>
  <c r="T210" i="11" s="1"/>
  <c r="S174" i="11"/>
  <c r="T174" i="11" s="1"/>
  <c r="U174" i="11"/>
  <c r="C179" i="11"/>
  <c r="D179" i="11" s="1"/>
  <c r="G215" i="11"/>
  <c r="H215" i="11" s="1"/>
  <c r="V100" i="11"/>
  <c r="V197" i="11"/>
  <c r="V176" i="11"/>
  <c r="U202" i="11"/>
  <c r="U128" i="11"/>
  <c r="U143" i="11"/>
  <c r="C115" i="11"/>
  <c r="E115" i="11" s="1"/>
  <c r="U93" i="11"/>
  <c r="U68" i="11"/>
  <c r="C83" i="11"/>
  <c r="D83" i="11" s="1"/>
  <c r="G130" i="11"/>
  <c r="H130" i="11" s="1"/>
  <c r="V196" i="11"/>
  <c r="G86" i="11"/>
  <c r="I86" i="11" s="1"/>
  <c r="C141" i="11"/>
  <c r="D141" i="11" s="1"/>
  <c r="C208" i="11"/>
  <c r="E208" i="11" s="1"/>
  <c r="S120" i="11"/>
  <c r="T120" i="11" s="1"/>
  <c r="C154" i="11"/>
  <c r="D154" i="11" s="1"/>
  <c r="U102" i="11"/>
  <c r="V110" i="11"/>
  <c r="G110" i="11"/>
  <c r="H110" i="11" s="1"/>
  <c r="V106" i="11"/>
  <c r="G106" i="11"/>
  <c r="I106" i="11" s="1"/>
  <c r="V162" i="11"/>
  <c r="G162" i="11"/>
  <c r="H162" i="11" s="1"/>
  <c r="G161" i="11"/>
  <c r="I161" i="11" s="1"/>
  <c r="V161" i="11"/>
  <c r="V114" i="11"/>
  <c r="G114" i="11"/>
  <c r="I114" i="11" s="1"/>
  <c r="U105" i="11"/>
  <c r="C105" i="11"/>
  <c r="E105" i="11" s="1"/>
  <c r="C88" i="11"/>
  <c r="E88" i="11" s="1"/>
  <c r="S195" i="11"/>
  <c r="T195" i="11" s="1"/>
  <c r="C195" i="11"/>
  <c r="D195" i="11" s="1"/>
  <c r="U140" i="11"/>
  <c r="C140" i="11"/>
  <c r="D140" i="11" s="1"/>
  <c r="U180" i="11"/>
  <c r="C180" i="11"/>
  <c r="E180" i="11" s="1"/>
  <c r="U190" i="11"/>
  <c r="S186" i="11"/>
  <c r="T186" i="11" s="1"/>
  <c r="S132" i="11"/>
  <c r="T132" i="11" s="1"/>
  <c r="U85" i="11"/>
  <c r="C174" i="11"/>
  <c r="D174" i="11" s="1"/>
  <c r="S150" i="11"/>
  <c r="T150" i="11" s="1"/>
  <c r="S180" i="11"/>
  <c r="T180" i="11" s="1"/>
  <c r="S205" i="11"/>
  <c r="T205" i="11" s="1"/>
  <c r="V82" i="11"/>
  <c r="C216" i="11"/>
  <c r="E216" i="11" s="1"/>
  <c r="C213" i="11"/>
  <c r="D213" i="11" s="1"/>
  <c r="U189" i="11"/>
  <c r="U117" i="11"/>
  <c r="U217" i="11"/>
  <c r="S223" i="11"/>
  <c r="T223" i="11" s="1"/>
  <c r="G209" i="11"/>
  <c r="H209" i="11" s="1"/>
  <c r="S193" i="11"/>
  <c r="T193" i="11" s="1"/>
  <c r="G97" i="11"/>
  <c r="H97" i="11" s="1"/>
  <c r="V199" i="11"/>
  <c r="V87" i="11"/>
  <c r="I191" i="11"/>
  <c r="V147" i="11"/>
  <c r="V206" i="11"/>
  <c r="U127" i="11"/>
  <c r="U221" i="11"/>
  <c r="S131" i="11"/>
  <c r="T131" i="11" s="1"/>
  <c r="C86" i="11"/>
  <c r="E86" i="11" s="1"/>
  <c r="G79" i="11"/>
  <c r="I79" i="11" s="1"/>
  <c r="U158" i="11"/>
  <c r="C148" i="11"/>
  <c r="D148" i="11" s="1"/>
  <c r="G219" i="11"/>
  <c r="I219" i="11" s="1"/>
  <c r="G217" i="11"/>
  <c r="I217" i="11" s="1"/>
  <c r="S175" i="11"/>
  <c r="T175" i="11" s="1"/>
  <c r="U224" i="11"/>
  <c r="U66" i="11"/>
  <c r="C176" i="11"/>
  <c r="E176" i="11" s="1"/>
  <c r="S146" i="11"/>
  <c r="T146" i="11" s="1"/>
  <c r="V125" i="11"/>
  <c r="C184" i="11"/>
  <c r="D184" i="11" s="1"/>
  <c r="S165" i="11"/>
  <c r="T165" i="11" s="1"/>
  <c r="U77" i="11"/>
  <c r="U72" i="11"/>
  <c r="G70" i="11"/>
  <c r="H70" i="11" s="1"/>
  <c r="G72" i="11"/>
  <c r="H72" i="11" s="1"/>
  <c r="G91" i="11"/>
  <c r="I91" i="11" s="1"/>
  <c r="U142" i="11"/>
  <c r="C75" i="11"/>
  <c r="D75" i="11" s="1"/>
  <c r="C92" i="11"/>
  <c r="E92" i="11" s="1"/>
  <c r="U74" i="11"/>
  <c r="V68" i="11"/>
  <c r="V124" i="11"/>
  <c r="V74" i="11"/>
  <c r="V149" i="11"/>
  <c r="V190" i="11"/>
  <c r="G135" i="11"/>
  <c r="H135" i="11" s="1"/>
  <c r="C192" i="11"/>
  <c r="D192" i="11" s="1"/>
  <c r="U211" i="11"/>
  <c r="U187" i="11"/>
  <c r="I168" i="11"/>
  <c r="V129" i="11"/>
  <c r="U201" i="11"/>
  <c r="S133" i="11"/>
  <c r="T133" i="11" s="1"/>
  <c r="V157" i="11"/>
  <c r="V144" i="11"/>
  <c r="V80" i="11"/>
  <c r="G121" i="11"/>
  <c r="H121" i="11" s="1"/>
  <c r="C147" i="11"/>
  <c r="D147" i="11" s="1"/>
  <c r="C113" i="11"/>
  <c r="D113" i="11" s="1"/>
  <c r="C220" i="11"/>
  <c r="E220" i="11" s="1"/>
  <c r="E99" i="11"/>
  <c r="H171" i="11"/>
  <c r="G104" i="11"/>
  <c r="I104" i="11" s="1"/>
  <c r="H102" i="11"/>
  <c r="U136" i="11"/>
  <c r="C177" i="11"/>
  <c r="E177" i="11" s="1"/>
  <c r="U75" i="11"/>
  <c r="S169" i="11"/>
  <c r="T169" i="11" s="1"/>
  <c r="U204" i="11"/>
  <c r="S221" i="11"/>
  <c r="T221" i="11" s="1"/>
  <c r="U131" i="11"/>
  <c r="C196" i="11"/>
  <c r="E196" i="11" s="1"/>
  <c r="V223" i="11"/>
  <c r="V133" i="11"/>
  <c r="G211" i="11"/>
  <c r="H211" i="11" s="1"/>
  <c r="U160" i="11"/>
  <c r="C183" i="11"/>
  <c r="E183" i="11" s="1"/>
  <c r="U185" i="11"/>
  <c r="S148" i="11"/>
  <c r="T148" i="11" s="1"/>
  <c r="C187" i="11"/>
  <c r="E187" i="11" s="1"/>
  <c r="C110" i="11"/>
  <c r="D110" i="11" s="1"/>
  <c r="S167" i="11"/>
  <c r="T167" i="11" s="1"/>
  <c r="S156" i="11"/>
  <c r="T156" i="11" s="1"/>
  <c r="V116" i="11"/>
  <c r="G105" i="11"/>
  <c r="I105" i="11" s="1"/>
  <c r="H187" i="11"/>
  <c r="G188" i="11"/>
  <c r="I188" i="11" s="1"/>
  <c r="C90" i="11"/>
  <c r="E90" i="11" s="1"/>
  <c r="U207" i="11"/>
  <c r="U124" i="11"/>
  <c r="G95" i="11"/>
  <c r="I95" i="11" s="1"/>
  <c r="G113" i="11"/>
  <c r="H113" i="11" s="1"/>
  <c r="U122" i="11"/>
  <c r="S147" i="11"/>
  <c r="T147" i="11" s="1"/>
  <c r="U152" i="11"/>
  <c r="U163" i="11"/>
  <c r="V84" i="11"/>
  <c r="G189" i="11"/>
  <c r="H189" i="11" s="1"/>
  <c r="C142" i="11"/>
  <c r="E142" i="11" s="1"/>
  <c r="S212" i="11"/>
  <c r="T212" i="11" s="1"/>
  <c r="C171" i="11"/>
  <c r="E171" i="11" s="1"/>
  <c r="V107" i="11"/>
  <c r="V168" i="11"/>
  <c r="G169" i="11"/>
  <c r="I169" i="11" s="1"/>
  <c r="U164" i="11"/>
  <c r="S162" i="11"/>
  <c r="T162" i="11" s="1"/>
  <c r="S173" i="11"/>
  <c r="T173" i="11" s="1"/>
  <c r="S118" i="11"/>
  <c r="T118" i="11" s="1"/>
  <c r="V76" i="11"/>
  <c r="V103" i="11"/>
  <c r="C84" i="11"/>
  <c r="D84" i="11" s="1"/>
  <c r="V96" i="11"/>
  <c r="V75" i="11"/>
  <c r="G88" i="11"/>
  <c r="I88" i="11" s="1"/>
  <c r="V191" i="11"/>
  <c r="G181" i="11"/>
  <c r="I181" i="11" s="1"/>
  <c r="U198" i="11"/>
  <c r="U153" i="11"/>
  <c r="S145" i="11"/>
  <c r="T145" i="11" s="1"/>
  <c r="C194" i="11"/>
  <c r="D194" i="11" s="1"/>
  <c r="U200" i="11"/>
  <c r="C159" i="11"/>
  <c r="E159" i="11" s="1"/>
  <c r="C144" i="11"/>
  <c r="D144" i="11" s="1"/>
  <c r="S126" i="11"/>
  <c r="T126" i="11" s="1"/>
  <c r="S149" i="11"/>
  <c r="T149" i="11" s="1"/>
  <c r="V186" i="11"/>
  <c r="V208" i="11"/>
  <c r="G206" i="11"/>
  <c r="H206" i="11" s="1"/>
  <c r="U209" i="11"/>
  <c r="C170" i="11"/>
  <c r="D170" i="11" s="1"/>
  <c r="U78" i="11"/>
  <c r="C197" i="11"/>
  <c r="E197" i="11" s="1"/>
  <c r="G89" i="11"/>
  <c r="H89" i="11" s="1"/>
  <c r="E70" i="11"/>
  <c r="U161" i="11"/>
  <c r="C218" i="11"/>
  <c r="D218" i="11" s="1"/>
  <c r="U103" i="11"/>
  <c r="C149" i="11"/>
  <c r="E149" i="11" s="1"/>
  <c r="V202" i="11"/>
  <c r="S125" i="11"/>
  <c r="T125" i="11" s="1"/>
  <c r="U89" i="11"/>
  <c r="S206" i="11"/>
  <c r="T206" i="11" s="1"/>
  <c r="U134" i="11"/>
  <c r="G98" i="11"/>
  <c r="H98" i="11" s="1"/>
  <c r="H96" i="11"/>
  <c r="V179" i="11"/>
  <c r="V175" i="11"/>
  <c r="V201" i="11"/>
  <c r="G94" i="11"/>
  <c r="H94" i="11" s="1"/>
  <c r="G184" i="11"/>
  <c r="H184" i="11" s="1"/>
  <c r="D198" i="11"/>
  <c r="G153" i="11"/>
  <c r="H153" i="11" s="1"/>
  <c r="G165" i="11"/>
  <c r="I165" i="11" s="1"/>
  <c r="S194" i="11"/>
  <c r="T194" i="11" s="1"/>
  <c r="U159" i="11"/>
  <c r="S144" i="11"/>
  <c r="T144" i="11" s="1"/>
  <c r="U109" i="11"/>
  <c r="H167" i="11"/>
  <c r="G183" i="11"/>
  <c r="I183" i="11" s="1"/>
  <c r="V213" i="11"/>
  <c r="V126" i="11"/>
  <c r="G143" i="11"/>
  <c r="H143" i="11" s="1"/>
  <c r="V218" i="11"/>
  <c r="V222" i="11"/>
  <c r="G120" i="11"/>
  <c r="I120" i="11" s="1"/>
  <c r="V132" i="11"/>
  <c r="V167" i="11"/>
  <c r="U157" i="11"/>
  <c r="U171" i="11"/>
  <c r="U155" i="11"/>
  <c r="G73" i="11"/>
  <c r="I73" i="11" s="1"/>
  <c r="V224" i="11"/>
  <c r="G129" i="11"/>
  <c r="I129" i="11" s="1"/>
  <c r="C164" i="11"/>
  <c r="E164" i="11" s="1"/>
  <c r="S219" i="11"/>
  <c r="T219" i="11" s="1"/>
  <c r="U173" i="11"/>
  <c r="C66" i="11"/>
  <c r="D66" i="11" s="1"/>
  <c r="S199" i="11"/>
  <c r="T199" i="11" s="1"/>
  <c r="C123" i="11"/>
  <c r="E123" i="11" s="1"/>
  <c r="U87" i="11"/>
  <c r="C188" i="11"/>
  <c r="D188" i="11" s="1"/>
  <c r="C191" i="11"/>
  <c r="E191" i="11" s="1"/>
  <c r="G216" i="11"/>
  <c r="I216" i="11" s="1"/>
  <c r="V155" i="11"/>
  <c r="C107" i="11"/>
  <c r="E107" i="11" s="1"/>
  <c r="U100" i="11"/>
  <c r="U116" i="11"/>
  <c r="C222" i="11"/>
  <c r="E222" i="11" s="1"/>
  <c r="V156" i="11"/>
  <c r="V102" i="11"/>
  <c r="U139" i="11"/>
  <c r="U97" i="11"/>
  <c r="S204" i="11"/>
  <c r="T204" i="11" s="1"/>
  <c r="G122" i="11"/>
  <c r="H122" i="11" s="1"/>
  <c r="V137" i="11"/>
  <c r="V73" i="11"/>
  <c r="G107" i="11"/>
  <c r="H107" i="11" s="1"/>
  <c r="V220" i="11"/>
  <c r="G128" i="11"/>
  <c r="H128" i="11" s="1"/>
  <c r="C94" i="11"/>
  <c r="E94" i="11" s="1"/>
  <c r="U123" i="11"/>
  <c r="S191" i="11"/>
  <c r="T191" i="11" s="1"/>
  <c r="S152" i="11"/>
  <c r="T152" i="11" s="1"/>
  <c r="U220" i="11"/>
  <c r="U118" i="11"/>
  <c r="G156" i="11"/>
  <c r="I156" i="11" s="1"/>
  <c r="C157" i="11"/>
  <c r="E157" i="11" s="1"/>
  <c r="S155" i="11"/>
  <c r="T155" i="11" s="1"/>
  <c r="U67" i="11"/>
  <c r="V79" i="11"/>
  <c r="G99" i="11"/>
  <c r="I99" i="11" s="1"/>
  <c r="C219" i="11"/>
  <c r="E219" i="11" s="1"/>
  <c r="U162" i="11"/>
  <c r="C199" i="11"/>
  <c r="D199" i="11" s="1"/>
  <c r="S188" i="11"/>
  <c r="T188" i="11" s="1"/>
  <c r="U137" i="11"/>
  <c r="I166" i="11"/>
  <c r="D103" i="11"/>
  <c r="I76" i="11"/>
  <c r="D215" i="11"/>
  <c r="D80" i="11"/>
  <c r="I84" i="11"/>
  <c r="I193" i="11"/>
  <c r="D136" i="11"/>
  <c r="D190" i="11"/>
  <c r="I92" i="11"/>
  <c r="D97" i="11"/>
  <c r="H115" i="11"/>
  <c r="I155" i="11"/>
  <c r="I222" i="11"/>
  <c r="H116" i="11"/>
  <c r="I197" i="11"/>
  <c r="H144" i="11"/>
  <c r="H69" i="11"/>
  <c r="D91" i="11"/>
  <c r="I177" i="11"/>
  <c r="D224" i="11"/>
  <c r="D124" i="11"/>
  <c r="D117" i="11"/>
  <c r="E146" i="11"/>
  <c r="I204" i="11"/>
  <c r="E152" i="11"/>
  <c r="H179" i="11"/>
  <c r="D138" i="11"/>
  <c r="I163" i="11"/>
  <c r="I132" i="11"/>
  <c r="D163" i="11"/>
  <c r="E127" i="11"/>
  <c r="E134" i="11"/>
  <c r="H149" i="11"/>
  <c r="H123" i="11"/>
  <c r="H190" i="11"/>
  <c r="H224" i="11"/>
  <c r="D76" i="11"/>
  <c r="E185" i="11"/>
  <c r="E68" i="11"/>
  <c r="E78" i="11"/>
  <c r="D162" i="11"/>
  <c r="E106" i="11"/>
  <c r="E133" i="11"/>
  <c r="I212" i="11"/>
  <c r="I157" i="11"/>
  <c r="I196" i="11"/>
  <c r="I182" i="11"/>
  <c r="H125" i="11"/>
  <c r="E153" i="11"/>
  <c r="E210" i="11"/>
  <c r="D100" i="11"/>
  <c r="E126" i="11"/>
  <c r="I186" i="11"/>
  <c r="H208" i="11"/>
  <c r="H194" i="11"/>
  <c r="E206" i="11"/>
  <c r="D74" i="11"/>
  <c r="E67" i="11"/>
  <c r="I223" i="11"/>
  <c r="H124" i="11"/>
  <c r="E73" i="11"/>
  <c r="D129" i="11"/>
  <c r="I199" i="11"/>
  <c r="D79" i="11"/>
  <c r="E98" i="11"/>
  <c r="D109" i="11"/>
  <c r="H103" i="11"/>
  <c r="H118" i="11"/>
  <c r="I192" i="11"/>
  <c r="D128" i="11"/>
  <c r="D204" i="11"/>
  <c r="E131" i="11"/>
  <c r="H134" i="11"/>
  <c r="E160" i="11"/>
  <c r="H126" i="11"/>
  <c r="D96" i="11"/>
  <c r="E118" i="11"/>
  <c r="E167" i="11"/>
  <c r="I201" i="11"/>
  <c r="E150" i="11"/>
  <c r="H145" i="11"/>
  <c r="I66" i="11"/>
  <c r="H80" i="11"/>
  <c r="I158" i="11"/>
  <c r="D212" i="11"/>
  <c r="H220" i="11"/>
  <c r="E169" i="11"/>
  <c r="I133" i="11"/>
  <c r="H175" i="11"/>
  <c r="I74" i="11"/>
  <c r="I82" i="11"/>
  <c r="I147" i="11"/>
  <c r="D175" i="11"/>
  <c r="E173" i="11"/>
  <c r="D87" i="11"/>
  <c r="I78" i="11"/>
  <c r="H151" i="11"/>
  <c r="I202" i="11"/>
  <c r="H218" i="11"/>
  <c r="H68" i="11"/>
  <c r="I180" i="11"/>
  <c r="H87" i="11"/>
  <c r="H213" i="11"/>
  <c r="E221" i="11"/>
  <c r="I100" i="11"/>
  <c r="I137" i="11"/>
  <c r="I75" i="11"/>
  <c r="I170" i="11"/>
  <c r="I176" i="11"/>
  <c r="C38" i="11" l="1"/>
  <c r="N38" i="11" s="1"/>
  <c r="O38" i="11" s="1"/>
  <c r="C44" i="11"/>
  <c r="E44" i="11" s="1"/>
  <c r="Q16" i="11"/>
  <c r="E215" i="29"/>
  <c r="E243" i="29"/>
  <c r="E249" i="29"/>
  <c r="E235" i="29"/>
  <c r="E303" i="29"/>
  <c r="E345" i="29"/>
  <c r="E329" i="29"/>
  <c r="E307" i="29"/>
  <c r="E282" i="29"/>
  <c r="L210" i="11"/>
  <c r="M184" i="11"/>
  <c r="M209" i="11"/>
  <c r="E306" i="29"/>
  <c r="E299" i="29"/>
  <c r="P179" i="11"/>
  <c r="Q134" i="11"/>
  <c r="E198" i="29"/>
  <c r="P24" i="11"/>
  <c r="P33" i="11"/>
  <c r="E247" i="29"/>
  <c r="E309" i="29"/>
  <c r="E263" i="29"/>
  <c r="E274" i="29"/>
  <c r="G415" i="6"/>
  <c r="G438" i="6"/>
  <c r="G473" i="9"/>
  <c r="P144" i="11"/>
  <c r="F21" i="29"/>
  <c r="G21" i="29" s="1"/>
  <c r="E281" i="29"/>
  <c r="M127" i="11"/>
  <c r="E95" i="29"/>
  <c r="L126" i="11"/>
  <c r="G506" i="6"/>
  <c r="G492" i="9"/>
  <c r="C322" i="29"/>
  <c r="F322" i="29" s="1"/>
  <c r="C222" i="29"/>
  <c r="D222" i="29" s="1"/>
  <c r="C175" i="29"/>
  <c r="F175" i="29" s="1"/>
  <c r="C323" i="29"/>
  <c r="F323" i="29" s="1"/>
  <c r="M158" i="11"/>
  <c r="Q17" i="11"/>
  <c r="C300" i="29"/>
  <c r="F300" i="29" s="1"/>
  <c r="C90" i="29"/>
  <c r="F90" i="29" s="1"/>
  <c r="C188" i="29"/>
  <c r="F188" i="29" s="1"/>
  <c r="C271" i="29"/>
  <c r="D271" i="29" s="1"/>
  <c r="C318" i="29"/>
  <c r="F318" i="29" s="1"/>
  <c r="L157" i="11"/>
  <c r="Q30" i="11"/>
  <c r="C19" i="11"/>
  <c r="J19" i="11" s="1"/>
  <c r="K19" i="11" s="1"/>
  <c r="C280" i="29"/>
  <c r="F280" i="29" s="1"/>
  <c r="C210" i="29"/>
  <c r="D210" i="29" s="1"/>
  <c r="C191" i="29"/>
  <c r="F191" i="29" s="1"/>
  <c r="C258" i="29"/>
  <c r="D258" i="29" s="1"/>
  <c r="C257" i="29"/>
  <c r="D257" i="29" s="1"/>
  <c r="L180" i="11"/>
  <c r="M140" i="11"/>
  <c r="L123" i="11"/>
  <c r="C162" i="29"/>
  <c r="F162" i="29" s="1"/>
  <c r="C265" i="29"/>
  <c r="F265" i="29" s="1"/>
  <c r="C86" i="29"/>
  <c r="D86" i="29" s="1"/>
  <c r="E161" i="29"/>
  <c r="E320" i="29"/>
  <c r="C121" i="29"/>
  <c r="D121" i="29" s="1"/>
  <c r="C259" i="29"/>
  <c r="D259" i="29" s="1"/>
  <c r="E286" i="29"/>
  <c r="C297" i="29"/>
  <c r="D297" i="29" s="1"/>
  <c r="C294" i="29"/>
  <c r="F294" i="29" s="1"/>
  <c r="E285" i="29"/>
  <c r="C326" i="29"/>
  <c r="F326" i="29" s="1"/>
  <c r="B34" i="29"/>
  <c r="P34" i="29" s="1"/>
  <c r="E262" i="29"/>
  <c r="Q48" i="11"/>
  <c r="E105" i="29"/>
  <c r="C180" i="29"/>
  <c r="D180" i="29" s="1"/>
  <c r="P107" i="11"/>
  <c r="Q45" i="11"/>
  <c r="P41" i="11"/>
  <c r="E87" i="29"/>
  <c r="C45" i="11"/>
  <c r="F45" i="11" s="1"/>
  <c r="G45" i="11" s="1"/>
  <c r="C209" i="29"/>
  <c r="F209" i="29" s="1"/>
  <c r="E225" i="29"/>
  <c r="C202" i="29"/>
  <c r="D202" i="29" s="1"/>
  <c r="Q42" i="11"/>
  <c r="C193" i="29"/>
  <c r="D193" i="29" s="1"/>
  <c r="E33" i="11"/>
  <c r="P133" i="11"/>
  <c r="J33" i="11"/>
  <c r="K33" i="11" s="1"/>
  <c r="E238" i="29"/>
  <c r="L155" i="11"/>
  <c r="P156" i="11"/>
  <c r="M213" i="11"/>
  <c r="F33" i="11"/>
  <c r="G33" i="11" s="1"/>
  <c r="M163" i="11"/>
  <c r="E284" i="29"/>
  <c r="L208" i="11"/>
  <c r="M179" i="11"/>
  <c r="M129" i="11"/>
  <c r="Q195" i="11"/>
  <c r="E339" i="29"/>
  <c r="E333" i="29"/>
  <c r="E270" i="29"/>
  <c r="L105" i="11"/>
  <c r="Q219" i="11"/>
  <c r="M202" i="11"/>
  <c r="E196" i="29"/>
  <c r="E164" i="29"/>
  <c r="E276" i="29"/>
  <c r="M224" i="11"/>
  <c r="L169" i="11"/>
  <c r="M102" i="11"/>
  <c r="M199" i="11"/>
  <c r="L201" i="11"/>
  <c r="E192" i="29"/>
  <c r="E195" i="29"/>
  <c r="E250" i="29"/>
  <c r="E153" i="29"/>
  <c r="L206" i="11"/>
  <c r="Q117" i="11"/>
  <c r="L177" i="11"/>
  <c r="L182" i="11"/>
  <c r="E183" i="29"/>
  <c r="C253" i="29"/>
  <c r="D253" i="29" s="1"/>
  <c r="C103" i="29"/>
  <c r="F103" i="29" s="1"/>
  <c r="E305" i="29"/>
  <c r="E226" i="29"/>
  <c r="E279" i="29"/>
  <c r="Q216" i="11"/>
  <c r="L131" i="11"/>
  <c r="L181" i="11"/>
  <c r="P155" i="11"/>
  <c r="L162" i="11"/>
  <c r="L159" i="11"/>
  <c r="M119" i="11"/>
  <c r="F32" i="11"/>
  <c r="G32" i="11" s="1"/>
  <c r="P34" i="11"/>
  <c r="M144" i="11"/>
  <c r="C275" i="29"/>
  <c r="F275" i="29" s="1"/>
  <c r="C267" i="29"/>
  <c r="F267" i="29" s="1"/>
  <c r="E155" i="29"/>
  <c r="E85" i="29"/>
  <c r="E287" i="29"/>
  <c r="C317" i="29"/>
  <c r="F317" i="29" s="1"/>
  <c r="M165" i="11"/>
  <c r="M154" i="11"/>
  <c r="P125" i="11"/>
  <c r="L219" i="11"/>
  <c r="M194" i="11"/>
  <c r="M118" i="11"/>
  <c r="L104" i="11"/>
  <c r="M212" i="11"/>
  <c r="C50" i="11"/>
  <c r="J50" i="11" s="1"/>
  <c r="K50" i="11" s="1"/>
  <c r="C319" i="29"/>
  <c r="D319" i="29" s="1"/>
  <c r="E159" i="29"/>
  <c r="E260" i="29"/>
  <c r="C205" i="29"/>
  <c r="F205" i="29" s="1"/>
  <c r="C128" i="29"/>
  <c r="D128" i="29" s="1"/>
  <c r="E236" i="29"/>
  <c r="Q120" i="11"/>
  <c r="C143" i="29"/>
  <c r="F143" i="29" s="1"/>
  <c r="C337" i="29"/>
  <c r="F337" i="29" s="1"/>
  <c r="E102" i="29"/>
  <c r="C218" i="29"/>
  <c r="F218" i="29" s="1"/>
  <c r="C92" i="29"/>
  <c r="D92" i="29" s="1"/>
  <c r="Q148" i="11"/>
  <c r="C157" i="29"/>
  <c r="F157" i="29" s="1"/>
  <c r="C144" i="29"/>
  <c r="F144" i="29" s="1"/>
  <c r="E131" i="29"/>
  <c r="E301" i="29"/>
  <c r="C156" i="29"/>
  <c r="D156" i="29" s="1"/>
  <c r="C298" i="29"/>
  <c r="D298" i="29" s="1"/>
  <c r="C101" i="29"/>
  <c r="D101" i="29" s="1"/>
  <c r="C167" i="29"/>
  <c r="F167" i="29" s="1"/>
  <c r="C107" i="29"/>
  <c r="D107" i="29" s="1"/>
  <c r="P175" i="11"/>
  <c r="Q113" i="11"/>
  <c r="Q103" i="11"/>
  <c r="C240" i="29"/>
  <c r="D240" i="29" s="1"/>
  <c r="C264" i="29"/>
  <c r="F264" i="29" s="1"/>
  <c r="E171" i="29"/>
  <c r="C200" i="29"/>
  <c r="F200" i="29" s="1"/>
  <c r="E115" i="29"/>
  <c r="M167" i="11"/>
  <c r="M111" i="11"/>
  <c r="Q115" i="11"/>
  <c r="P22" i="11"/>
  <c r="Q23" i="11"/>
  <c r="Q21" i="11"/>
  <c r="Q28" i="11"/>
  <c r="C110" i="29"/>
  <c r="F110" i="29" s="1"/>
  <c r="P168" i="11"/>
  <c r="L108" i="11"/>
  <c r="L93" i="11"/>
  <c r="P31" i="11"/>
  <c r="C41" i="11"/>
  <c r="J41" i="11" s="1"/>
  <c r="K41" i="11" s="1"/>
  <c r="P126" i="11"/>
  <c r="C31" i="11"/>
  <c r="J31" i="11" s="1"/>
  <c r="K31" i="11" s="1"/>
  <c r="E158" i="29"/>
  <c r="C214" i="29"/>
  <c r="D214" i="29" s="1"/>
  <c r="P201" i="11"/>
  <c r="Q221" i="11"/>
  <c r="M203" i="11"/>
  <c r="M135" i="11"/>
  <c r="M189" i="11"/>
  <c r="Q223" i="11"/>
  <c r="P171" i="11"/>
  <c r="E208" i="29"/>
  <c r="M114" i="11"/>
  <c r="M195" i="11"/>
  <c r="L198" i="11"/>
  <c r="E261" i="29"/>
  <c r="E211" i="29"/>
  <c r="E89" i="29"/>
  <c r="E292" i="29"/>
  <c r="L150" i="11"/>
  <c r="Q186" i="11"/>
  <c r="P206" i="11"/>
  <c r="P111" i="11"/>
  <c r="Q108" i="11"/>
  <c r="E199" i="29"/>
  <c r="E342" i="29"/>
  <c r="E330" i="29"/>
  <c r="P122" i="11"/>
  <c r="E224" i="29"/>
  <c r="F17" i="29"/>
  <c r="G17" i="29" s="1"/>
  <c r="C43" i="11"/>
  <c r="N43" i="11" s="1"/>
  <c r="O43" i="11" s="1"/>
  <c r="C24" i="11"/>
  <c r="J24" i="11" s="1"/>
  <c r="K24" i="11" s="1"/>
  <c r="C25" i="11"/>
  <c r="E25" i="11" s="1"/>
  <c r="Q27" i="11"/>
  <c r="Q49" i="11"/>
  <c r="C20" i="11"/>
  <c r="F20" i="11" s="1"/>
  <c r="G20" i="11" s="1"/>
  <c r="N17" i="29"/>
  <c r="O17" i="29" s="1"/>
  <c r="J49" i="11"/>
  <c r="K49" i="11" s="1"/>
  <c r="Q43" i="11"/>
  <c r="C47" i="11"/>
  <c r="E47" i="11" s="1"/>
  <c r="C27" i="11"/>
  <c r="J27" i="11" s="1"/>
  <c r="K27" i="11" s="1"/>
  <c r="P44" i="11"/>
  <c r="P49" i="11"/>
  <c r="P20" i="11"/>
  <c r="Q47" i="11"/>
  <c r="P25" i="11"/>
  <c r="C30" i="11"/>
  <c r="N30" i="11" s="1"/>
  <c r="O30" i="11" s="1"/>
  <c r="Q40" i="11"/>
  <c r="C40" i="11"/>
  <c r="F40" i="11" s="1"/>
  <c r="G40" i="11" s="1"/>
  <c r="Q39" i="11"/>
  <c r="Q18" i="11"/>
  <c r="C17" i="11"/>
  <c r="E17" i="11" s="1"/>
  <c r="C18" i="11"/>
  <c r="F18" i="11" s="1"/>
  <c r="G18" i="11" s="1"/>
  <c r="Q38" i="11"/>
  <c r="C46" i="11"/>
  <c r="F46" i="11" s="1"/>
  <c r="G46" i="11" s="1"/>
  <c r="P39" i="11"/>
  <c r="P46" i="11"/>
  <c r="P19" i="11"/>
  <c r="N16" i="29"/>
  <c r="O16" i="29" s="1"/>
  <c r="J39" i="11"/>
  <c r="K39" i="11" s="1"/>
  <c r="C36" i="11"/>
  <c r="J36" i="11" s="1"/>
  <c r="K36" i="11" s="1"/>
  <c r="C34" i="11"/>
  <c r="F34" i="11" s="1"/>
  <c r="G34" i="11" s="1"/>
  <c r="C29" i="11"/>
  <c r="J29" i="11" s="1"/>
  <c r="K29" i="11" s="1"/>
  <c r="Q50" i="11"/>
  <c r="C21" i="11"/>
  <c r="F21" i="11" s="1"/>
  <c r="G21" i="11" s="1"/>
  <c r="J21" i="29"/>
  <c r="K21" i="29" s="1"/>
  <c r="E32" i="11"/>
  <c r="N32" i="11"/>
  <c r="O32" i="11" s="1"/>
  <c r="Q32" i="11"/>
  <c r="C35" i="11"/>
  <c r="N35" i="11" s="1"/>
  <c r="O35" i="11" s="1"/>
  <c r="P29" i="11"/>
  <c r="P36" i="11"/>
  <c r="C28" i="11"/>
  <c r="N28" i="11" s="1"/>
  <c r="O28" i="11" s="1"/>
  <c r="C26" i="11"/>
  <c r="J26" i="11" s="1"/>
  <c r="K26" i="11" s="1"/>
  <c r="C42" i="11"/>
  <c r="N42" i="11" s="1"/>
  <c r="O42" i="11" s="1"/>
  <c r="C51" i="11"/>
  <c r="F51" i="11" s="1"/>
  <c r="G51" i="11" s="1"/>
  <c r="AW1595" i="10"/>
  <c r="Q37" i="11"/>
  <c r="P37" i="11"/>
  <c r="P48" i="11"/>
  <c r="P32" i="11"/>
  <c r="Q35" i="11"/>
  <c r="C23" i="11"/>
  <c r="J23" i="11" s="1"/>
  <c r="K23" i="11" s="1"/>
  <c r="Q26" i="11"/>
  <c r="C22" i="11"/>
  <c r="E22" i="11" s="1"/>
  <c r="F48" i="11"/>
  <c r="G48" i="11" s="1"/>
  <c r="J16" i="29"/>
  <c r="K16" i="29" s="1"/>
  <c r="F37" i="11"/>
  <c r="G37" i="11" s="1"/>
  <c r="F18" i="29"/>
  <c r="G18" i="29" s="1"/>
  <c r="N19" i="29"/>
  <c r="O19" i="29" s="1"/>
  <c r="N39" i="11"/>
  <c r="O39" i="11" s="1"/>
  <c r="F20" i="29"/>
  <c r="G20" i="29" s="1"/>
  <c r="E49" i="11"/>
  <c r="J19" i="29"/>
  <c r="K19" i="29" s="1"/>
  <c r="E39" i="11"/>
  <c r="N22" i="29"/>
  <c r="O22" i="29" s="1"/>
  <c r="N20" i="29"/>
  <c r="O20" i="29" s="1"/>
  <c r="J22" i="29"/>
  <c r="K22" i="29" s="1"/>
  <c r="N48" i="11"/>
  <c r="O48" i="11" s="1"/>
  <c r="W67" i="11"/>
  <c r="N18" i="29"/>
  <c r="O18" i="29" s="1"/>
  <c r="N49" i="11"/>
  <c r="O49" i="11" s="1"/>
  <c r="J48" i="11"/>
  <c r="K48" i="11" s="1"/>
  <c r="J37" i="11"/>
  <c r="K37" i="11" s="1"/>
  <c r="E37" i="11"/>
  <c r="W74" i="11"/>
  <c r="W81" i="11"/>
  <c r="W83" i="11"/>
  <c r="X83" i="11" s="1"/>
  <c r="W75" i="11"/>
  <c r="W69" i="11"/>
  <c r="W71" i="11"/>
  <c r="W77" i="11"/>
  <c r="X77" i="11" s="1"/>
  <c r="W72" i="11"/>
  <c r="X72" i="11" s="1"/>
  <c r="W82" i="11"/>
  <c r="W91" i="11"/>
  <c r="W68" i="11"/>
  <c r="X68" i="11" s="1"/>
  <c r="W85" i="11"/>
  <c r="X85" i="11" s="1"/>
  <c r="W70" i="11"/>
  <c r="W89" i="11"/>
  <c r="W86" i="11"/>
  <c r="X86" i="11" s="1"/>
  <c r="W79" i="11"/>
  <c r="X79" i="11" s="1"/>
  <c r="W73" i="11"/>
  <c r="W90" i="11"/>
  <c r="W92" i="11"/>
  <c r="X92" i="11" s="1"/>
  <c r="W80" i="11"/>
  <c r="W88" i="11"/>
  <c r="W84" i="11"/>
  <c r="W76" i="11"/>
  <c r="X76" i="11" s="1"/>
  <c r="W87" i="11"/>
  <c r="AE461" i="6"/>
  <c r="AE496" i="6"/>
  <c r="W66" i="11"/>
  <c r="AE432" i="6"/>
  <c r="AE457" i="6"/>
  <c r="AE488" i="6"/>
  <c r="AE507" i="6"/>
  <c r="B268" i="11"/>
  <c r="C268" i="11" s="1"/>
  <c r="E268" i="11" s="1"/>
  <c r="B274" i="11"/>
  <c r="C274" i="11" s="1"/>
  <c r="E274" i="11" s="1"/>
  <c r="B254" i="11"/>
  <c r="C254" i="11" s="1"/>
  <c r="D254" i="11" s="1"/>
  <c r="B239" i="11"/>
  <c r="C239" i="11" s="1"/>
  <c r="D239" i="11" s="1"/>
  <c r="B290" i="11"/>
  <c r="C290" i="11" s="1"/>
  <c r="D290" i="11" s="1"/>
  <c r="B280" i="11"/>
  <c r="C280" i="11" s="1"/>
  <c r="D280" i="11" s="1"/>
  <c r="B292" i="11"/>
  <c r="C292" i="11" s="1"/>
  <c r="E292" i="11" s="1"/>
  <c r="B294" i="11"/>
  <c r="C294" i="11" s="1"/>
  <c r="D294" i="11" s="1"/>
  <c r="B266" i="11"/>
  <c r="C266" i="11" s="1"/>
  <c r="E266" i="11" s="1"/>
  <c r="B279" i="11"/>
  <c r="C279" i="11" s="1"/>
  <c r="D279" i="11" s="1"/>
  <c r="B240" i="11"/>
  <c r="C240" i="11" s="1"/>
  <c r="D240" i="11" s="1"/>
  <c r="B267" i="11"/>
  <c r="C267" i="11" s="1"/>
  <c r="E267" i="11" s="1"/>
  <c r="B272" i="11"/>
  <c r="C272" i="11" s="1"/>
  <c r="E272" i="11" s="1"/>
  <c r="B261" i="11"/>
  <c r="C261" i="11" s="1"/>
  <c r="E261" i="11" s="1"/>
  <c r="B301" i="11"/>
  <c r="C301" i="11" s="1"/>
  <c r="E301" i="11" s="1"/>
  <c r="B305" i="11"/>
  <c r="C305" i="11" s="1"/>
  <c r="E305" i="11" s="1"/>
  <c r="B273" i="11"/>
  <c r="C273" i="11" s="1"/>
  <c r="E273" i="11" s="1"/>
  <c r="B302" i="11"/>
  <c r="C302" i="11" s="1"/>
  <c r="D302" i="11" s="1"/>
  <c r="B293" i="11"/>
  <c r="C293" i="11" s="1"/>
  <c r="D293" i="11" s="1"/>
  <c r="B238" i="11"/>
  <c r="C238" i="11" s="1"/>
  <c r="D238" i="11" s="1"/>
  <c r="B247" i="11"/>
  <c r="C247" i="11" s="1"/>
  <c r="D247" i="11" s="1"/>
  <c r="B248" i="11"/>
  <c r="C248" i="11" s="1"/>
  <c r="D248" i="11" s="1"/>
  <c r="B278" i="11"/>
  <c r="C278" i="11" s="1"/>
  <c r="E278" i="11" s="1"/>
  <c r="B295" i="11"/>
  <c r="C295" i="11" s="1"/>
  <c r="D295" i="11" s="1"/>
  <c r="B300" i="11"/>
  <c r="C300" i="11" s="1"/>
  <c r="D300" i="11" s="1"/>
  <c r="AE416" i="6"/>
  <c r="B276" i="11"/>
  <c r="C276" i="11" s="1"/>
  <c r="E276" i="11" s="1"/>
  <c r="B236" i="11"/>
  <c r="C236" i="11" s="1"/>
  <c r="D236" i="11" s="1"/>
  <c r="B253" i="11"/>
  <c r="C253" i="11" s="1"/>
  <c r="D253" i="11" s="1"/>
  <c r="B246" i="11"/>
  <c r="C246" i="11" s="1"/>
  <c r="D246" i="11" s="1"/>
  <c r="B299" i="11"/>
  <c r="C299" i="11" s="1"/>
  <c r="D299" i="11" s="1"/>
  <c r="B286" i="11"/>
  <c r="C286" i="11" s="1"/>
  <c r="D286" i="11" s="1"/>
  <c r="B257" i="11"/>
  <c r="C257" i="11" s="1"/>
  <c r="E257" i="11" s="1"/>
  <c r="B282" i="11"/>
  <c r="C282" i="11" s="1"/>
  <c r="D282" i="11" s="1"/>
  <c r="B297" i="11"/>
  <c r="C297" i="11" s="1"/>
  <c r="E297" i="11" s="1"/>
  <c r="B245" i="11"/>
  <c r="C245" i="11" s="1"/>
  <c r="E245" i="11" s="1"/>
  <c r="B284" i="11"/>
  <c r="C284" i="11" s="1"/>
  <c r="E284" i="11" s="1"/>
  <c r="B233" i="11"/>
  <c r="C233" i="11" s="1"/>
  <c r="D233" i="11" s="1"/>
  <c r="B283" i="11"/>
  <c r="C283" i="11" s="1"/>
  <c r="D283" i="11" s="1"/>
  <c r="B287" i="11"/>
  <c r="C287" i="11" s="1"/>
  <c r="D287" i="11" s="1"/>
  <c r="B264" i="11"/>
  <c r="C264" i="11" s="1"/>
  <c r="E264" i="11" s="1"/>
  <c r="B306" i="11"/>
  <c r="C306" i="11" s="1"/>
  <c r="D306" i="11" s="1"/>
  <c r="B249" i="11"/>
  <c r="C249" i="11" s="1"/>
  <c r="E249" i="11" s="1"/>
  <c r="B269" i="11"/>
  <c r="C269" i="11" s="1"/>
  <c r="D269" i="11" s="1"/>
  <c r="B244" i="11"/>
  <c r="C244" i="11" s="1"/>
  <c r="D244" i="11" s="1"/>
  <c r="B232" i="11"/>
  <c r="C232" i="11" s="1"/>
  <c r="D232" i="11" s="1"/>
  <c r="B234" i="11"/>
  <c r="C234" i="11" s="1"/>
  <c r="D234" i="11" s="1"/>
  <c r="B265" i="11"/>
  <c r="C265" i="11" s="1"/>
  <c r="D265" i="11" s="1"/>
  <c r="B243" i="11"/>
  <c r="C243" i="11" s="1"/>
  <c r="D243" i="11" s="1"/>
  <c r="B271" i="11"/>
  <c r="C271" i="11" s="1"/>
  <c r="D271" i="11" s="1"/>
  <c r="B304" i="11"/>
  <c r="C304" i="11" s="1"/>
  <c r="E304" i="11" s="1"/>
  <c r="B259" i="11"/>
  <c r="C259" i="11" s="1"/>
  <c r="D259" i="11" s="1"/>
  <c r="B242" i="11"/>
  <c r="C242" i="11" s="1"/>
  <c r="D242" i="11" s="1"/>
  <c r="E228" i="11"/>
  <c r="B307" i="11"/>
  <c r="C307" i="11" s="1"/>
  <c r="D307" i="11" s="1"/>
  <c r="B260" i="11"/>
  <c r="C260" i="11" s="1"/>
  <c r="E260" i="11" s="1"/>
  <c r="B255" i="11"/>
  <c r="C255" i="11" s="1"/>
  <c r="E255" i="11" s="1"/>
  <c r="B296" i="11"/>
  <c r="C296" i="11" s="1"/>
  <c r="E296" i="11" s="1"/>
  <c r="B231" i="11"/>
  <c r="C231" i="11" s="1"/>
  <c r="D231" i="11" s="1"/>
  <c r="B291" i="11"/>
  <c r="C291" i="11" s="1"/>
  <c r="E291" i="11" s="1"/>
  <c r="B241" i="11"/>
  <c r="C241" i="11" s="1"/>
  <c r="D241" i="11" s="1"/>
  <c r="B281" i="11"/>
  <c r="C281" i="11" s="1"/>
  <c r="E281" i="11" s="1"/>
  <c r="B270" i="11"/>
  <c r="C270" i="11" s="1"/>
  <c r="E270" i="11" s="1"/>
  <c r="B289" i="11"/>
  <c r="C289" i="11" s="1"/>
  <c r="E289" i="11" s="1"/>
  <c r="B252" i="11"/>
  <c r="C252" i="11" s="1"/>
  <c r="D252" i="11" s="1"/>
  <c r="B235" i="11"/>
  <c r="C235" i="11" s="1"/>
  <c r="D235" i="11" s="1"/>
  <c r="B262" i="11"/>
  <c r="C262" i="11" s="1"/>
  <c r="E262" i="11" s="1"/>
  <c r="B250" i="11"/>
  <c r="C250" i="11" s="1"/>
  <c r="E250" i="11" s="1"/>
  <c r="B277" i="11"/>
  <c r="C277" i="11" s="1"/>
  <c r="E277" i="11" s="1"/>
  <c r="B303" i="11"/>
  <c r="C303" i="11" s="1"/>
  <c r="D303" i="11" s="1"/>
  <c r="B256" i="11"/>
  <c r="C256" i="11" s="1"/>
  <c r="E256" i="11" s="1"/>
  <c r="B285" i="11"/>
  <c r="C285" i="11" s="1"/>
  <c r="E285" i="11" s="1"/>
  <c r="B298" i="11"/>
  <c r="C298" i="11" s="1"/>
  <c r="D298" i="11" s="1"/>
  <c r="B288" i="11"/>
  <c r="C288" i="11" s="1"/>
  <c r="D288" i="11" s="1"/>
  <c r="B263" i="11"/>
  <c r="C263" i="11" s="1"/>
  <c r="E263" i="11" s="1"/>
  <c r="B237" i="11"/>
  <c r="C237" i="11" s="1"/>
  <c r="E237" i="11" s="1"/>
  <c r="B275" i="11"/>
  <c r="C275" i="11" s="1"/>
  <c r="E275" i="11" s="1"/>
  <c r="B258" i="11"/>
  <c r="C258" i="11" s="1"/>
  <c r="E258" i="11" s="1"/>
  <c r="B251" i="11"/>
  <c r="C251" i="11" s="1"/>
  <c r="D251" i="11" s="1"/>
  <c r="AE468" i="6"/>
  <c r="AE454" i="6"/>
  <c r="AF420" i="6"/>
  <c r="AD468" i="9"/>
  <c r="N240" i="11" s="1"/>
  <c r="O240" i="11" s="1"/>
  <c r="P240" i="11" s="1"/>
  <c r="J270" i="11"/>
  <c r="AE450" i="6"/>
  <c r="AH468" i="9"/>
  <c r="AE438" i="6"/>
  <c r="S67" i="11"/>
  <c r="M91" i="11"/>
  <c r="P82" i="11"/>
  <c r="Q78" i="11"/>
  <c r="P81" i="11"/>
  <c r="M78" i="11"/>
  <c r="L66" i="11"/>
  <c r="F252" i="11"/>
  <c r="G252" i="11" s="1"/>
  <c r="I252" i="11" s="1"/>
  <c r="L74" i="11"/>
  <c r="F265" i="11"/>
  <c r="G265" i="11" s="1"/>
  <c r="I265" i="11" s="1"/>
  <c r="M72" i="11"/>
  <c r="F233" i="11"/>
  <c r="G233" i="11" s="1"/>
  <c r="H233" i="11" s="1"/>
  <c r="F266" i="11"/>
  <c r="G266" i="11" s="1"/>
  <c r="I266" i="11" s="1"/>
  <c r="F273" i="11"/>
  <c r="G273" i="11" s="1"/>
  <c r="I273" i="11" s="1"/>
  <c r="F295" i="11"/>
  <c r="G295" i="11" s="1"/>
  <c r="I295" i="11" s="1"/>
  <c r="F294" i="11"/>
  <c r="G294" i="11" s="1"/>
  <c r="H294" i="11" s="1"/>
  <c r="F286" i="11"/>
  <c r="G286" i="11" s="1"/>
  <c r="H286" i="11" s="1"/>
  <c r="F243" i="11"/>
  <c r="G243" i="11" s="1"/>
  <c r="H243" i="11" s="1"/>
  <c r="F251" i="11"/>
  <c r="G251" i="11" s="1"/>
  <c r="H251" i="11" s="1"/>
  <c r="F271" i="11"/>
  <c r="G271" i="11" s="1"/>
  <c r="H271" i="11" s="1"/>
  <c r="F248" i="11"/>
  <c r="G248" i="11" s="1"/>
  <c r="H248" i="11" s="1"/>
  <c r="E232" i="29"/>
  <c r="F263" i="11"/>
  <c r="G263" i="11" s="1"/>
  <c r="I263" i="11" s="1"/>
  <c r="F306" i="11"/>
  <c r="G306" i="11" s="1"/>
  <c r="H306" i="11" s="1"/>
  <c r="F296" i="11"/>
  <c r="G296" i="11" s="1"/>
  <c r="I296" i="11" s="1"/>
  <c r="F285" i="11"/>
  <c r="F235" i="11"/>
  <c r="G235" i="11" s="1"/>
  <c r="I235" i="11" s="1"/>
  <c r="E294" i="29"/>
  <c r="Q67" i="11"/>
  <c r="P69" i="11"/>
  <c r="F240" i="11"/>
  <c r="G240" i="11" s="1"/>
  <c r="I240" i="11" s="1"/>
  <c r="F254" i="11"/>
  <c r="G254" i="11" s="1"/>
  <c r="I254" i="11" s="1"/>
  <c r="F276" i="11"/>
  <c r="G276" i="11" s="1"/>
  <c r="I276" i="11" s="1"/>
  <c r="I228" i="11"/>
  <c r="F246" i="11"/>
  <c r="G246" i="11" s="1"/>
  <c r="H246" i="11" s="1"/>
  <c r="F262" i="11"/>
  <c r="G262" i="11" s="1"/>
  <c r="I262" i="11" s="1"/>
  <c r="F274" i="11"/>
  <c r="G274" i="11" s="1"/>
  <c r="I274" i="11" s="1"/>
  <c r="F260" i="11"/>
  <c r="G260" i="11" s="1"/>
  <c r="H260" i="11" s="1"/>
  <c r="F267" i="11"/>
  <c r="G267" i="11" s="1"/>
  <c r="I267" i="11" s="1"/>
  <c r="F234" i="11"/>
  <c r="G234" i="11" s="1"/>
  <c r="I234" i="11" s="1"/>
  <c r="F304" i="11"/>
  <c r="G304" i="11" s="1"/>
  <c r="I304" i="11" s="1"/>
  <c r="F300" i="11"/>
  <c r="G300" i="11" s="1"/>
  <c r="I300" i="11" s="1"/>
  <c r="F268" i="11"/>
  <c r="G268" i="11" s="1"/>
  <c r="H268" i="11" s="1"/>
  <c r="F280" i="11"/>
  <c r="G280" i="11" s="1"/>
  <c r="I280" i="11" s="1"/>
  <c r="F269" i="11"/>
  <c r="G269" i="11" s="1"/>
  <c r="H269" i="11" s="1"/>
  <c r="F264" i="11"/>
  <c r="G264" i="11" s="1"/>
  <c r="H264" i="11" s="1"/>
  <c r="F270" i="11"/>
  <c r="G270" i="11" s="1"/>
  <c r="I270" i="11" s="1"/>
  <c r="F287" i="11"/>
  <c r="G287" i="11" s="1"/>
  <c r="I287" i="11" s="1"/>
  <c r="F244" i="11"/>
  <c r="G244" i="11" s="1"/>
  <c r="I244" i="11" s="1"/>
  <c r="F255" i="11"/>
  <c r="G255" i="11" s="1"/>
  <c r="H255" i="11" s="1"/>
  <c r="F231" i="11"/>
  <c r="G231" i="11" s="1"/>
  <c r="H231" i="11" s="1"/>
  <c r="F279" i="11"/>
  <c r="G279" i="11" s="1"/>
  <c r="I279" i="11" s="1"/>
  <c r="F292" i="11"/>
  <c r="G292" i="11" s="1"/>
  <c r="H292" i="11" s="1"/>
  <c r="F275" i="11"/>
  <c r="G275" i="11" s="1"/>
  <c r="I275" i="11" s="1"/>
  <c r="F247" i="11"/>
  <c r="G247" i="11" s="1"/>
  <c r="H247" i="11" s="1"/>
  <c r="F256" i="11"/>
  <c r="G256" i="11" s="1"/>
  <c r="I256" i="11" s="1"/>
  <c r="F250" i="11"/>
  <c r="G250" i="11" s="1"/>
  <c r="H250" i="11" s="1"/>
  <c r="F278" i="11"/>
  <c r="G278" i="11" s="1"/>
  <c r="I278" i="11" s="1"/>
  <c r="F281" i="11"/>
  <c r="G281" i="11" s="1"/>
  <c r="I281" i="11" s="1"/>
  <c r="F236" i="11"/>
  <c r="F297" i="11"/>
  <c r="G297" i="11" s="1"/>
  <c r="I297" i="11" s="1"/>
  <c r="F290" i="11"/>
  <c r="G290" i="11" s="1"/>
  <c r="I290" i="11" s="1"/>
  <c r="F289" i="11"/>
  <c r="G289" i="11" s="1"/>
  <c r="H289" i="11" s="1"/>
  <c r="F283" i="11"/>
  <c r="G283" i="11" s="1"/>
  <c r="I283" i="11" s="1"/>
  <c r="F237" i="11"/>
  <c r="F284" i="11"/>
  <c r="G284" i="11" s="1"/>
  <c r="I284" i="11" s="1"/>
  <c r="F239" i="11"/>
  <c r="G239" i="11" s="1"/>
  <c r="I239" i="11" s="1"/>
  <c r="I258" i="11"/>
  <c r="F232" i="11"/>
  <c r="G232" i="11" s="1"/>
  <c r="H232" i="11" s="1"/>
  <c r="F288" i="11"/>
  <c r="G288" i="11" s="1"/>
  <c r="I288" i="11" s="1"/>
  <c r="F261" i="11"/>
  <c r="G261" i="11" s="1"/>
  <c r="I261" i="11" s="1"/>
  <c r="F272" i="11"/>
  <c r="F249" i="11"/>
  <c r="G249" i="11" s="1"/>
  <c r="H249" i="11" s="1"/>
  <c r="F303" i="11"/>
  <c r="G303" i="11" s="1"/>
  <c r="H303" i="11" s="1"/>
  <c r="F293" i="11"/>
  <c r="G293" i="11" s="1"/>
  <c r="H293" i="11" s="1"/>
  <c r="F302" i="11"/>
  <c r="G302" i="11" s="1"/>
  <c r="I302" i="11" s="1"/>
  <c r="F241" i="11"/>
  <c r="G241" i="11" s="1"/>
  <c r="I241" i="11" s="1"/>
  <c r="F291" i="11"/>
  <c r="G291" i="11" s="1"/>
  <c r="I291" i="11" s="1"/>
  <c r="F282" i="11"/>
  <c r="G282" i="11" s="1"/>
  <c r="H282" i="11" s="1"/>
  <c r="F299" i="11"/>
  <c r="G299" i="11" s="1"/>
  <c r="I299" i="11" s="1"/>
  <c r="F238" i="11"/>
  <c r="G238" i="11" s="1"/>
  <c r="H238" i="11" s="1"/>
  <c r="F298" i="11"/>
  <c r="G298" i="11" s="1"/>
  <c r="H298" i="11" s="1"/>
  <c r="F253" i="11"/>
  <c r="G253" i="11" s="1"/>
  <c r="I253" i="11" s="1"/>
  <c r="F245" i="11"/>
  <c r="G245" i="11" s="1"/>
  <c r="I245" i="11" s="1"/>
  <c r="F277" i="11"/>
  <c r="G277" i="11" s="1"/>
  <c r="H277" i="11" s="1"/>
  <c r="F257" i="11"/>
  <c r="G257" i="11" s="1"/>
  <c r="H257" i="11" s="1"/>
  <c r="F305" i="11"/>
  <c r="G305" i="11" s="1"/>
  <c r="I305" i="11" s="1"/>
  <c r="N233" i="11"/>
  <c r="O233" i="11" s="1"/>
  <c r="P233" i="11" s="1"/>
  <c r="Q66" i="11"/>
  <c r="I242" i="11"/>
  <c r="AE447" i="9"/>
  <c r="F301" i="11"/>
  <c r="F259" i="11"/>
  <c r="F307" i="11"/>
  <c r="E133" i="29"/>
  <c r="C296" i="29"/>
  <c r="D296" i="29" s="1"/>
  <c r="C236" i="29"/>
  <c r="D236" i="29" s="1"/>
  <c r="E184" i="29"/>
  <c r="C243" i="29"/>
  <c r="D243" i="29" s="1"/>
  <c r="E227" i="29"/>
  <c r="E222" i="29"/>
  <c r="C208" i="29"/>
  <c r="F208" i="29" s="1"/>
  <c r="E334" i="29"/>
  <c r="E230" i="29"/>
  <c r="E241" i="29"/>
  <c r="C285" i="29"/>
  <c r="D285" i="29" s="1"/>
  <c r="C329" i="29"/>
  <c r="F329" i="29" s="1"/>
  <c r="E86" i="29"/>
  <c r="C119" i="29"/>
  <c r="D119" i="29" s="1"/>
  <c r="E295" i="29"/>
  <c r="C91" i="29"/>
  <c r="D91" i="29" s="1"/>
  <c r="E143" i="29"/>
  <c r="C161" i="29"/>
  <c r="F161" i="29" s="1"/>
  <c r="E258" i="29"/>
  <c r="C226" i="29"/>
  <c r="F226" i="29" s="1"/>
  <c r="E277" i="29"/>
  <c r="E257" i="29"/>
  <c r="E120" i="29"/>
  <c r="E218" i="29"/>
  <c r="C282" i="29"/>
  <c r="F282" i="29" s="1"/>
  <c r="C239" i="29"/>
  <c r="D239" i="29" s="1"/>
  <c r="E185" i="29"/>
  <c r="E201" i="29"/>
  <c r="C292" i="29"/>
  <c r="F292" i="29" s="1"/>
  <c r="C279" i="29"/>
  <c r="D279" i="29" s="1"/>
  <c r="E273" i="29"/>
  <c r="E202" i="29"/>
  <c r="E132" i="29"/>
  <c r="E291" i="29"/>
  <c r="E283" i="29"/>
  <c r="E190" i="29"/>
  <c r="Q203" i="11"/>
  <c r="E175" i="29"/>
  <c r="M113" i="11"/>
  <c r="P145" i="11"/>
  <c r="P204" i="11"/>
  <c r="Q214" i="11"/>
  <c r="P97" i="11"/>
  <c r="L128" i="11"/>
  <c r="P174" i="11"/>
  <c r="L161" i="11"/>
  <c r="Q143" i="11"/>
  <c r="M207" i="11"/>
  <c r="L117" i="11"/>
  <c r="Q131" i="11"/>
  <c r="Q184" i="11"/>
  <c r="Q217" i="11"/>
  <c r="P116" i="11"/>
  <c r="Q215" i="11"/>
  <c r="P110" i="11"/>
  <c r="Q128" i="11"/>
  <c r="L153" i="11"/>
  <c r="Q208" i="11"/>
  <c r="Q150" i="11"/>
  <c r="P112" i="11"/>
  <c r="Q100" i="11"/>
  <c r="L121" i="11"/>
  <c r="Q151" i="11"/>
  <c r="L124" i="11"/>
  <c r="M101" i="11"/>
  <c r="P211" i="11"/>
  <c r="M216" i="11"/>
  <c r="L223" i="11"/>
  <c r="L146" i="11"/>
  <c r="M183" i="11"/>
  <c r="L132" i="11"/>
  <c r="P83" i="11"/>
  <c r="M174" i="11"/>
  <c r="L142" i="11"/>
  <c r="M82" i="11"/>
  <c r="Q142" i="11"/>
  <c r="Q165" i="11"/>
  <c r="M190" i="11"/>
  <c r="P161" i="11"/>
  <c r="P136" i="11"/>
  <c r="L133" i="11"/>
  <c r="M211" i="11"/>
  <c r="Q213" i="11"/>
  <c r="M115" i="11"/>
  <c r="L147" i="11"/>
  <c r="P189" i="11"/>
  <c r="M188" i="11"/>
  <c r="Q166" i="11"/>
  <c r="P177" i="11"/>
  <c r="L134" i="11"/>
  <c r="L214" i="11"/>
  <c r="L145" i="11"/>
  <c r="L222" i="11"/>
  <c r="P170" i="11"/>
  <c r="M130" i="11"/>
  <c r="M103" i="11"/>
  <c r="Q121" i="11"/>
  <c r="L168" i="11"/>
  <c r="P187" i="11"/>
  <c r="Q200" i="11"/>
  <c r="L171" i="11"/>
  <c r="L178" i="11"/>
  <c r="Q93" i="11"/>
  <c r="L187" i="11"/>
  <c r="L67" i="11"/>
  <c r="Q130" i="11"/>
  <c r="P172" i="11"/>
  <c r="M215" i="11"/>
  <c r="L75" i="11"/>
  <c r="M176" i="11"/>
  <c r="Z226" i="11"/>
  <c r="P74" i="11"/>
  <c r="L192" i="11"/>
  <c r="L71" i="11"/>
  <c r="M193" i="11"/>
  <c r="M217" i="11"/>
  <c r="L200" i="11"/>
  <c r="P94" i="11"/>
  <c r="L185" i="11"/>
  <c r="Y226" i="11"/>
  <c r="M106" i="11"/>
  <c r="L175" i="11"/>
  <c r="L143" i="11"/>
  <c r="E253" i="29"/>
  <c r="C122" i="29"/>
  <c r="F122" i="29" s="1"/>
  <c r="E316" i="29"/>
  <c r="C268" i="29"/>
  <c r="F268" i="29" s="1"/>
  <c r="E177" i="29"/>
  <c r="C195" i="29"/>
  <c r="D195" i="29" s="1"/>
  <c r="C299" i="29"/>
  <c r="F299" i="29" s="1"/>
  <c r="C192" i="29"/>
  <c r="F192" i="29" s="1"/>
  <c r="C305" i="29"/>
  <c r="D305" i="29" s="1"/>
  <c r="E337" i="29"/>
  <c r="E80" i="29"/>
  <c r="E220" i="29"/>
  <c r="E216" i="29"/>
  <c r="E207" i="29"/>
  <c r="E203" i="29"/>
  <c r="E197" i="29"/>
  <c r="E194" i="29"/>
  <c r="E113" i="29"/>
  <c r="E182" i="29"/>
  <c r="E174" i="29"/>
  <c r="E163" i="29"/>
  <c r="E154" i="29"/>
  <c r="E152" i="29"/>
  <c r="E151" i="29"/>
  <c r="E145" i="29"/>
  <c r="E142" i="29"/>
  <c r="E138" i="29"/>
  <c r="E79" i="29"/>
  <c r="E134" i="29"/>
  <c r="E130" i="29"/>
  <c r="E129" i="29"/>
  <c r="E314" i="29"/>
  <c r="E323" i="29"/>
  <c r="E96" i="29"/>
  <c r="C197" i="29"/>
  <c r="D197" i="29" s="1"/>
  <c r="C163" i="29"/>
  <c r="F163" i="29" s="1"/>
  <c r="C115" i="29"/>
  <c r="F115" i="29" s="1"/>
  <c r="C198" i="29"/>
  <c r="F198" i="29" s="1"/>
  <c r="E88" i="29"/>
  <c r="C333" i="29"/>
  <c r="D333" i="29" s="1"/>
  <c r="E110" i="29"/>
  <c r="E123" i="29"/>
  <c r="C112" i="29"/>
  <c r="F112" i="29" s="1"/>
  <c r="E98" i="29"/>
  <c r="C339" i="29"/>
  <c r="F339" i="29" s="1"/>
  <c r="E242" i="29"/>
  <c r="B66" i="29"/>
  <c r="P66" i="29" s="1"/>
  <c r="C270" i="29"/>
  <c r="D270" i="29" s="1"/>
  <c r="E347" i="29"/>
  <c r="C152" i="29"/>
  <c r="F152" i="29" s="1"/>
  <c r="E178" i="29"/>
  <c r="E147" i="11"/>
  <c r="E217" i="29"/>
  <c r="C249" i="29"/>
  <c r="D249" i="29" s="1"/>
  <c r="C233" i="29"/>
  <c r="D233" i="29" s="1"/>
  <c r="C131" i="29"/>
  <c r="F131" i="29" s="1"/>
  <c r="E317" i="29"/>
  <c r="H148" i="11"/>
  <c r="C220" i="29"/>
  <c r="D220" i="29" s="1"/>
  <c r="E338" i="29"/>
  <c r="E162" i="29"/>
  <c r="E209" i="29"/>
  <c r="C225" i="29"/>
  <c r="D225" i="29" s="1"/>
  <c r="E219" i="29"/>
  <c r="C247" i="29"/>
  <c r="D247" i="29" s="1"/>
  <c r="E321" i="29"/>
  <c r="C261" i="29"/>
  <c r="D261" i="29" s="1"/>
  <c r="C211" i="29"/>
  <c r="D211" i="29" s="1"/>
  <c r="C105" i="29"/>
  <c r="D105" i="29" s="1"/>
  <c r="E289" i="29"/>
  <c r="C89" i="29"/>
  <c r="F89" i="29" s="1"/>
  <c r="E116" i="29"/>
  <c r="C203" i="29"/>
  <c r="F203" i="29" s="1"/>
  <c r="C344" i="29"/>
  <c r="D344" i="29" s="1"/>
  <c r="E92" i="29"/>
  <c r="C349" i="29"/>
  <c r="D349" i="29" s="1"/>
  <c r="E341" i="29"/>
  <c r="C250" i="29"/>
  <c r="F250" i="29" s="1"/>
  <c r="C256" i="29"/>
  <c r="F256" i="29" s="1"/>
  <c r="C311" i="29"/>
  <c r="D311" i="29" s="1"/>
  <c r="C183" i="29"/>
  <c r="D183" i="29" s="1"/>
  <c r="E103" i="29"/>
  <c r="E265" i="29"/>
  <c r="E278" i="29"/>
  <c r="C154" i="29"/>
  <c r="F154" i="29" s="1"/>
  <c r="E149" i="29"/>
  <c r="C102" i="29"/>
  <c r="D102" i="29" s="1"/>
  <c r="E212" i="29"/>
  <c r="E81" i="29"/>
  <c r="E108" i="29"/>
  <c r="D143" i="11"/>
  <c r="H127" i="11"/>
  <c r="E106" i="29"/>
  <c r="E269" i="29"/>
  <c r="C160" i="29"/>
  <c r="F160" i="29" s="1"/>
  <c r="E204" i="29"/>
  <c r="C138" i="29"/>
  <c r="F138" i="29" s="1"/>
  <c r="B59" i="29"/>
  <c r="P59" i="29" s="1"/>
  <c r="E332" i="29"/>
  <c r="C169" i="29"/>
  <c r="F169" i="29" s="1"/>
  <c r="C325" i="29"/>
  <c r="F325" i="29" s="1"/>
  <c r="E264" i="29"/>
  <c r="E173" i="29"/>
  <c r="E200" i="29"/>
  <c r="E322" i="29"/>
  <c r="E107" i="29"/>
  <c r="E104" i="29"/>
  <c r="E205" i="29"/>
  <c r="E188" i="29"/>
  <c r="E318" i="29"/>
  <c r="E128" i="29"/>
  <c r="E331" i="29"/>
  <c r="C153" i="29"/>
  <c r="F153" i="29" s="1"/>
  <c r="C237" i="29"/>
  <c r="D237" i="29" s="1"/>
  <c r="E319" i="29"/>
  <c r="C87" i="29"/>
  <c r="D87" i="29" s="1"/>
  <c r="E266" i="29"/>
  <c r="E125" i="29"/>
  <c r="E244" i="29"/>
  <c r="E340" i="29"/>
  <c r="C171" i="29"/>
  <c r="D171" i="29" s="1"/>
  <c r="E271" i="29"/>
  <c r="C83" i="29"/>
  <c r="F83" i="29" s="1"/>
  <c r="E231" i="29"/>
  <c r="C263" i="29"/>
  <c r="D263" i="29" s="1"/>
  <c r="C303" i="29"/>
  <c r="F303" i="29" s="1"/>
  <c r="C194" i="29"/>
  <c r="F194" i="29" s="1"/>
  <c r="C216" i="29"/>
  <c r="D216" i="29" s="1"/>
  <c r="E252" i="29"/>
  <c r="E343" i="29"/>
  <c r="E100" i="29"/>
  <c r="C80" i="29"/>
  <c r="D80" i="29" s="1"/>
  <c r="B40" i="29"/>
  <c r="P40" i="29" s="1"/>
  <c r="B67" i="29"/>
  <c r="C67" i="29" s="1"/>
  <c r="B48" i="29"/>
  <c r="C48" i="29" s="1"/>
  <c r="E302" i="29"/>
  <c r="E94" i="29"/>
  <c r="C159" i="29"/>
  <c r="D159" i="29" s="1"/>
  <c r="C228" i="29"/>
  <c r="D228" i="29" s="1"/>
  <c r="C260" i="29"/>
  <c r="D260" i="29" s="1"/>
  <c r="E139" i="29"/>
  <c r="E168" i="29"/>
  <c r="C238" i="29"/>
  <c r="F238" i="29" s="1"/>
  <c r="E126" i="29"/>
  <c r="B38" i="29"/>
  <c r="P38" i="29" s="1"/>
  <c r="B57" i="29"/>
  <c r="P57" i="29" s="1"/>
  <c r="C306" i="29"/>
  <c r="D306" i="29" s="1"/>
  <c r="E300" i="29"/>
  <c r="E335" i="29"/>
  <c r="C346" i="29"/>
  <c r="D346" i="29" s="1"/>
  <c r="E229" i="29"/>
  <c r="C82" i="29"/>
  <c r="D82" i="29" s="1"/>
  <c r="E240" i="29"/>
  <c r="E90" i="29"/>
  <c r="B61" i="29"/>
  <c r="P61" i="29" s="1"/>
  <c r="B33" i="29"/>
  <c r="P33" i="29" s="1"/>
  <c r="C84" i="29"/>
  <c r="D84" i="29" s="1"/>
  <c r="E328" i="29"/>
  <c r="C118" i="29"/>
  <c r="D118" i="29" s="1"/>
  <c r="C301" i="29"/>
  <c r="F301" i="29" s="1"/>
  <c r="E248" i="29"/>
  <c r="C330" i="29"/>
  <c r="F330" i="29" s="1"/>
  <c r="E101" i="29"/>
  <c r="E336" i="29"/>
  <c r="C187" i="29"/>
  <c r="D187" i="29" s="1"/>
  <c r="C272" i="29"/>
  <c r="D272" i="29" s="1"/>
  <c r="C287" i="29"/>
  <c r="D287" i="29" s="1"/>
  <c r="E308" i="29"/>
  <c r="E298" i="29"/>
  <c r="C327" i="29"/>
  <c r="F327" i="29" s="1"/>
  <c r="E348" i="29"/>
  <c r="E275" i="29"/>
  <c r="E186" i="29"/>
  <c r="C281" i="29"/>
  <c r="F281" i="29" s="1"/>
  <c r="E156" i="29"/>
  <c r="E206" i="29"/>
  <c r="C199" i="29"/>
  <c r="F199" i="29" s="1"/>
  <c r="C174" i="29"/>
  <c r="D174" i="29" s="1"/>
  <c r="E288" i="29"/>
  <c r="E99" i="29"/>
  <c r="C342" i="29"/>
  <c r="F342" i="29" s="1"/>
  <c r="C181" i="29"/>
  <c r="F181" i="29" s="1"/>
  <c r="C150" i="29"/>
  <c r="F150" i="29" s="1"/>
  <c r="C155" i="29"/>
  <c r="F155" i="29" s="1"/>
  <c r="C235" i="29"/>
  <c r="D235" i="29" s="1"/>
  <c r="E147" i="29"/>
  <c r="E157" i="29"/>
  <c r="C254" i="29"/>
  <c r="F254" i="29" s="1"/>
  <c r="E144" i="29"/>
  <c r="C85" i="29"/>
  <c r="F85" i="29" s="1"/>
  <c r="C207" i="29"/>
  <c r="D207" i="29" s="1"/>
  <c r="C129" i="29"/>
  <c r="D129" i="29" s="1"/>
  <c r="E313" i="29"/>
  <c r="E109" i="29"/>
  <c r="E167" i="29"/>
  <c r="C146" i="29"/>
  <c r="D146" i="29" s="1"/>
  <c r="C111" i="29"/>
  <c r="D111" i="29" s="1"/>
  <c r="E312" i="29"/>
  <c r="E324" i="29"/>
  <c r="C245" i="29"/>
  <c r="D245" i="29" s="1"/>
  <c r="C215" i="29"/>
  <c r="F215" i="29" s="1"/>
  <c r="E246" i="29"/>
  <c r="E267" i="29"/>
  <c r="C309" i="29"/>
  <c r="D309" i="29" s="1"/>
  <c r="E193" i="29"/>
  <c r="C170" i="29"/>
  <c r="F170" i="29" s="1"/>
  <c r="C307" i="29"/>
  <c r="D307" i="29" s="1"/>
  <c r="C290" i="29"/>
  <c r="F290" i="29" s="1"/>
  <c r="E97" i="29"/>
  <c r="E180" i="29"/>
  <c r="E93" i="29"/>
  <c r="C158" i="29"/>
  <c r="F158" i="29" s="1"/>
  <c r="C276" i="29"/>
  <c r="F276" i="29" s="1"/>
  <c r="C176" i="29"/>
  <c r="D176" i="29" s="1"/>
  <c r="E214" i="29"/>
  <c r="E135" i="29"/>
  <c r="E326" i="29"/>
  <c r="E234" i="29"/>
  <c r="E140" i="29"/>
  <c r="C136" i="29"/>
  <c r="D136" i="29" s="1"/>
  <c r="E124" i="29"/>
  <c r="E117" i="29"/>
  <c r="E223" i="29"/>
  <c r="C182" i="29"/>
  <c r="F182" i="29" s="1"/>
  <c r="C134" i="29"/>
  <c r="F134" i="29" s="1"/>
  <c r="C145" i="29"/>
  <c r="D145" i="29" s="1"/>
  <c r="E127" i="29"/>
  <c r="E137" i="29"/>
  <c r="C274" i="29"/>
  <c r="D274" i="29" s="1"/>
  <c r="C106" i="29"/>
  <c r="F106" i="29" s="1"/>
  <c r="E297" i="29"/>
  <c r="BE1212" i="10"/>
  <c r="E304" i="29"/>
  <c r="E121" i="29"/>
  <c r="E166" i="29"/>
  <c r="E191" i="29"/>
  <c r="C262" i="29"/>
  <c r="F262" i="29" s="1"/>
  <c r="E251" i="29"/>
  <c r="E213" i="29"/>
  <c r="E148" i="29"/>
  <c r="C164" i="29"/>
  <c r="D164" i="29" s="1"/>
  <c r="E259" i="29"/>
  <c r="C286" i="29"/>
  <c r="F286" i="29" s="1"/>
  <c r="C93" i="29"/>
  <c r="D93" i="29" s="1"/>
  <c r="E189" i="29"/>
  <c r="E179" i="29"/>
  <c r="C255" i="29"/>
  <c r="D255" i="29" s="1"/>
  <c r="C79" i="29"/>
  <c r="F79" i="29" s="1"/>
  <c r="C196" i="29"/>
  <c r="D196" i="29" s="1"/>
  <c r="E293" i="29"/>
  <c r="C345" i="29"/>
  <c r="D345" i="29" s="1"/>
  <c r="E310" i="29"/>
  <c r="E172" i="29"/>
  <c r="C108" i="29"/>
  <c r="D108" i="29" s="1"/>
  <c r="C224" i="29"/>
  <c r="D224" i="29" s="1"/>
  <c r="E280" i="29"/>
  <c r="E210" i="29"/>
  <c r="C95" i="29"/>
  <c r="F95" i="29" s="1"/>
  <c r="C114" i="29"/>
  <c r="D114" i="29" s="1"/>
  <c r="C320" i="29"/>
  <c r="D320" i="29" s="1"/>
  <c r="C284" i="29"/>
  <c r="F284" i="29" s="1"/>
  <c r="E221" i="29"/>
  <c r="C165" i="29"/>
  <c r="D165" i="29" s="1"/>
  <c r="E315" i="29"/>
  <c r="E141" i="29"/>
  <c r="B50" i="29"/>
  <c r="C50" i="29" s="1"/>
  <c r="B64" i="29"/>
  <c r="C64" i="29" s="1"/>
  <c r="B51" i="29"/>
  <c r="P51" i="29" s="1"/>
  <c r="B41" i="29"/>
  <c r="C41" i="29" s="1"/>
  <c r="B63" i="29"/>
  <c r="P63" i="29" s="1"/>
  <c r="B44" i="29"/>
  <c r="P44" i="29" s="1"/>
  <c r="B58" i="29"/>
  <c r="P58" i="29" s="1"/>
  <c r="B37" i="29"/>
  <c r="C37" i="29" s="1"/>
  <c r="B65" i="29"/>
  <c r="C65" i="29" s="1"/>
  <c r="B68" i="29"/>
  <c r="P68" i="29" s="1"/>
  <c r="B35" i="29"/>
  <c r="C35" i="29" s="1"/>
  <c r="B49" i="29"/>
  <c r="P49" i="29" s="1"/>
  <c r="B56" i="29"/>
  <c r="P56" i="29" s="1"/>
  <c r="B53" i="29"/>
  <c r="P53" i="29" s="1"/>
  <c r="B62" i="29"/>
  <c r="C62" i="29" s="1"/>
  <c r="B54" i="29"/>
  <c r="P54" i="29" s="1"/>
  <c r="B52" i="29"/>
  <c r="C52" i="29" s="1"/>
  <c r="B55" i="29"/>
  <c r="C55" i="29" s="1"/>
  <c r="B39" i="29"/>
  <c r="P39" i="29" s="1"/>
  <c r="B47" i="29"/>
  <c r="P47" i="29" s="1"/>
  <c r="B43" i="29"/>
  <c r="C43" i="29" s="1"/>
  <c r="B42" i="29"/>
  <c r="C42" i="29" s="1"/>
  <c r="B60" i="29"/>
  <c r="P60" i="29" s="1"/>
  <c r="B45" i="29"/>
  <c r="P45" i="29" s="1"/>
  <c r="B36" i="29"/>
  <c r="C36" i="29" s="1"/>
  <c r="B46" i="29"/>
  <c r="C46" i="29" s="1"/>
  <c r="F16" i="11"/>
  <c r="G16" i="11" s="1"/>
  <c r="D104" i="11"/>
  <c r="N16" i="11"/>
  <c r="O16" i="11" s="1"/>
  <c r="E16" i="11"/>
  <c r="E140" i="11"/>
  <c r="D187" i="11"/>
  <c r="D77" i="11"/>
  <c r="H205" i="11"/>
  <c r="H185" i="11"/>
  <c r="D90" i="11"/>
  <c r="I136" i="11"/>
  <c r="E205" i="11"/>
  <c r="H174" i="11"/>
  <c r="E84" i="11"/>
  <c r="E193" i="11"/>
  <c r="I159" i="11"/>
  <c r="I117" i="11"/>
  <c r="E195" i="11"/>
  <c r="E82" i="11"/>
  <c r="E102" i="11"/>
  <c r="H86" i="11"/>
  <c r="E202" i="11"/>
  <c r="I200" i="11"/>
  <c r="E144" i="11"/>
  <c r="I113" i="11"/>
  <c r="E111" i="11"/>
  <c r="I215" i="11"/>
  <c r="D142" i="11"/>
  <c r="I111" i="11"/>
  <c r="D216" i="11"/>
  <c r="D114" i="11"/>
  <c r="H219" i="11"/>
  <c r="D197" i="11"/>
  <c r="D105" i="11"/>
  <c r="E156" i="11"/>
  <c r="E120" i="11"/>
  <c r="H90" i="11"/>
  <c r="H216" i="11"/>
  <c r="I172" i="11"/>
  <c r="H154" i="11"/>
  <c r="H160" i="11"/>
  <c r="H106" i="11"/>
  <c r="E199" i="11"/>
  <c r="D164" i="11"/>
  <c r="I119" i="11"/>
  <c r="E179" i="11"/>
  <c r="D155" i="11"/>
  <c r="H139" i="11"/>
  <c r="I141" i="11"/>
  <c r="I140" i="11"/>
  <c r="X97" i="11"/>
  <c r="F113" i="29"/>
  <c r="D113" i="29"/>
  <c r="F269" i="29"/>
  <c r="D269" i="29"/>
  <c r="F98" i="29"/>
  <c r="D98" i="29"/>
  <c r="D314" i="29"/>
  <c r="F314" i="29"/>
  <c r="D328" i="29"/>
  <c r="F328" i="29"/>
  <c r="D288" i="29"/>
  <c r="F288" i="29"/>
  <c r="F125" i="29"/>
  <c r="D125" i="29"/>
  <c r="D332" i="29"/>
  <c r="F332" i="29"/>
  <c r="F347" i="29"/>
  <c r="D347" i="29"/>
  <c r="F252" i="29"/>
  <c r="D252" i="29"/>
  <c r="F244" i="29"/>
  <c r="D244" i="29"/>
  <c r="D291" i="29"/>
  <c r="F291" i="29"/>
  <c r="D308" i="29"/>
  <c r="F308" i="29"/>
  <c r="F133" i="29"/>
  <c r="D133" i="29"/>
  <c r="D242" i="29"/>
  <c r="F242" i="29"/>
  <c r="D295" i="29"/>
  <c r="F295" i="29"/>
  <c r="D341" i="29"/>
  <c r="F341" i="29"/>
  <c r="F227" i="29"/>
  <c r="D227" i="29"/>
  <c r="F88" i="29"/>
  <c r="D88" i="29"/>
  <c r="D204" i="29"/>
  <c r="F204" i="29"/>
  <c r="D177" i="29"/>
  <c r="F177" i="29"/>
  <c r="F142" i="29"/>
  <c r="D142" i="29"/>
  <c r="D219" i="29"/>
  <c r="F219" i="29"/>
  <c r="F266" i="29"/>
  <c r="D266" i="29"/>
  <c r="F278" i="29"/>
  <c r="D278" i="29"/>
  <c r="D304" i="29"/>
  <c r="F304" i="29"/>
  <c r="F166" i="29"/>
  <c r="D166" i="29"/>
  <c r="D251" i="29"/>
  <c r="F251" i="29"/>
  <c r="F213" i="29"/>
  <c r="D213" i="29"/>
  <c r="F148" i="29"/>
  <c r="D148" i="29"/>
  <c r="D147" i="29"/>
  <c r="F147" i="29"/>
  <c r="D189" i="29"/>
  <c r="F189" i="29"/>
  <c r="F179" i="29"/>
  <c r="D179" i="29"/>
  <c r="F126" i="29"/>
  <c r="D126" i="29"/>
  <c r="D289" i="29"/>
  <c r="F289" i="29"/>
  <c r="F130" i="29"/>
  <c r="D130" i="29"/>
  <c r="D212" i="29"/>
  <c r="F212" i="29"/>
  <c r="D116" i="29"/>
  <c r="F116" i="29"/>
  <c r="D340" i="29"/>
  <c r="F340" i="29"/>
  <c r="F173" i="29"/>
  <c r="D173" i="29"/>
  <c r="D81" i="29"/>
  <c r="F81" i="29"/>
  <c r="D283" i="29"/>
  <c r="F283" i="29"/>
  <c r="F100" i="29"/>
  <c r="D100" i="29"/>
  <c r="F185" i="29"/>
  <c r="D185" i="29"/>
  <c r="F343" i="29"/>
  <c r="D343" i="29"/>
  <c r="D277" i="29"/>
  <c r="F277" i="29"/>
  <c r="D273" i="29"/>
  <c r="F273" i="29"/>
  <c r="F120" i="29"/>
  <c r="D120" i="29"/>
  <c r="D316" i="29"/>
  <c r="F316" i="29"/>
  <c r="F137" i="29"/>
  <c r="D137" i="29"/>
  <c r="D241" i="29"/>
  <c r="F241" i="29"/>
  <c r="F184" i="29"/>
  <c r="D184" i="29"/>
  <c r="D127" i="29"/>
  <c r="F127" i="29"/>
  <c r="D135" i="29"/>
  <c r="F135" i="29"/>
  <c r="D331" i="29"/>
  <c r="F331" i="29"/>
  <c r="F201" i="29"/>
  <c r="D201" i="29"/>
  <c r="D248" i="29"/>
  <c r="F248" i="29"/>
  <c r="D234" i="29"/>
  <c r="F234" i="29"/>
  <c r="F104" i="29"/>
  <c r="D104" i="29"/>
  <c r="D140" i="29"/>
  <c r="F140" i="29"/>
  <c r="F151" i="29"/>
  <c r="D151" i="29"/>
  <c r="F190" i="29"/>
  <c r="D190" i="29"/>
  <c r="F124" i="29"/>
  <c r="D124" i="29"/>
  <c r="D338" i="29"/>
  <c r="F338" i="29"/>
  <c r="D117" i="29"/>
  <c r="F117" i="29"/>
  <c r="F223" i="29"/>
  <c r="D223" i="29"/>
  <c r="D231" i="29"/>
  <c r="F231" i="29"/>
  <c r="F312" i="29"/>
  <c r="D312" i="29"/>
  <c r="D293" i="29"/>
  <c r="F293" i="29"/>
  <c r="D336" i="29"/>
  <c r="F336" i="29"/>
  <c r="F324" i="29"/>
  <c r="D324" i="29"/>
  <c r="D310" i="29"/>
  <c r="F310" i="29"/>
  <c r="F172" i="29"/>
  <c r="D172" i="29"/>
  <c r="D206" i="29"/>
  <c r="F206" i="29"/>
  <c r="D217" i="29"/>
  <c r="F217" i="29"/>
  <c r="D246" i="29"/>
  <c r="F246" i="29"/>
  <c r="F348" i="29"/>
  <c r="D348" i="29"/>
  <c r="F186" i="29"/>
  <c r="D186" i="29"/>
  <c r="D221" i="29"/>
  <c r="F221" i="29"/>
  <c r="F315" i="29"/>
  <c r="D315" i="29"/>
  <c r="D141" i="29"/>
  <c r="F141" i="29"/>
  <c r="D132" i="29"/>
  <c r="F132" i="29"/>
  <c r="F302" i="29"/>
  <c r="D302" i="29"/>
  <c r="D94" i="29"/>
  <c r="F94" i="29"/>
  <c r="F321" i="29"/>
  <c r="D321" i="29"/>
  <c r="D139" i="29"/>
  <c r="F139" i="29"/>
  <c r="D168" i="29"/>
  <c r="F168" i="29"/>
  <c r="F335" i="29"/>
  <c r="D335" i="29"/>
  <c r="D149" i="29"/>
  <c r="F149" i="29"/>
  <c r="D229" i="29"/>
  <c r="F229" i="29"/>
  <c r="D99" i="29"/>
  <c r="F99" i="29"/>
  <c r="F97" i="29"/>
  <c r="D97" i="29"/>
  <c r="F313" i="29"/>
  <c r="D313" i="29"/>
  <c r="F109" i="29"/>
  <c r="D109" i="29"/>
  <c r="F334" i="29"/>
  <c r="D334" i="29"/>
  <c r="D178" i="29"/>
  <c r="F178" i="29"/>
  <c r="F230" i="29"/>
  <c r="D230" i="29"/>
  <c r="F123" i="29"/>
  <c r="D123" i="29"/>
  <c r="F96" i="29"/>
  <c r="D96" i="29"/>
  <c r="F232" i="29"/>
  <c r="D232" i="29"/>
  <c r="I184" i="11"/>
  <c r="E95" i="11"/>
  <c r="D191" i="11"/>
  <c r="E93" i="11"/>
  <c r="I189" i="11"/>
  <c r="D159" i="11"/>
  <c r="E189" i="11"/>
  <c r="H88" i="11"/>
  <c r="H114" i="11"/>
  <c r="I81" i="11"/>
  <c r="E223" i="11"/>
  <c r="D181" i="11"/>
  <c r="E200" i="11"/>
  <c r="I110" i="11"/>
  <c r="E85" i="11"/>
  <c r="E165" i="11"/>
  <c r="D207" i="11"/>
  <c r="E116" i="11"/>
  <c r="E170" i="11"/>
  <c r="I109" i="11"/>
  <c r="I162" i="11"/>
  <c r="D89" i="11"/>
  <c r="H173" i="11"/>
  <c r="D186" i="11"/>
  <c r="E113" i="11"/>
  <c r="E188" i="11"/>
  <c r="E69" i="11"/>
  <c r="H105" i="11"/>
  <c r="H104" i="11"/>
  <c r="I85" i="11"/>
  <c r="H83" i="11"/>
  <c r="D151" i="11"/>
  <c r="D176" i="11"/>
  <c r="H164" i="11"/>
  <c r="E122" i="11"/>
  <c r="E192" i="11"/>
  <c r="D177" i="11"/>
  <c r="D108" i="11"/>
  <c r="I97" i="11"/>
  <c r="E148" i="11"/>
  <c r="I203" i="11"/>
  <c r="H91" i="11"/>
  <c r="S70" i="11"/>
  <c r="D115" i="11"/>
  <c r="D119" i="11"/>
  <c r="I178" i="11"/>
  <c r="D92" i="11"/>
  <c r="H169" i="11"/>
  <c r="E83" i="11"/>
  <c r="D220" i="11"/>
  <c r="H142" i="11"/>
  <c r="I131" i="11"/>
  <c r="E172" i="11"/>
  <c r="I72" i="11"/>
  <c r="D208" i="11"/>
  <c r="D219" i="11"/>
  <c r="I130" i="11"/>
  <c r="D121" i="11"/>
  <c r="I98" i="11"/>
  <c r="H129" i="11"/>
  <c r="I108" i="11"/>
  <c r="E213" i="11"/>
  <c r="I211" i="11"/>
  <c r="D171" i="11"/>
  <c r="H165" i="11"/>
  <c r="D158" i="11"/>
  <c r="I121" i="11"/>
  <c r="D182" i="11"/>
  <c r="I221" i="11"/>
  <c r="I93" i="11"/>
  <c r="D88" i="11"/>
  <c r="H214" i="11"/>
  <c r="H73" i="11"/>
  <c r="D196" i="11"/>
  <c r="D130" i="11"/>
  <c r="H195" i="11"/>
  <c r="E125" i="11"/>
  <c r="E141" i="11"/>
  <c r="H188" i="11"/>
  <c r="H198" i="11"/>
  <c r="E81" i="11"/>
  <c r="E66" i="11"/>
  <c r="H67" i="11"/>
  <c r="E178" i="11"/>
  <c r="D145" i="11"/>
  <c r="D94" i="11"/>
  <c r="D222" i="11"/>
  <c r="I89" i="11"/>
  <c r="D86" i="11"/>
  <c r="S66" i="11"/>
  <c r="E211" i="11"/>
  <c r="D180" i="11"/>
  <c r="S71" i="11"/>
  <c r="S87" i="11"/>
  <c r="D139" i="11"/>
  <c r="S96" i="11"/>
  <c r="S91" i="11"/>
  <c r="S115" i="11"/>
  <c r="X106" i="11"/>
  <c r="X113" i="11"/>
  <c r="S111" i="11"/>
  <c r="S69" i="11"/>
  <c r="I70" i="11"/>
  <c r="E101" i="11"/>
  <c r="H181" i="11"/>
  <c r="D209" i="11"/>
  <c r="I146" i="11"/>
  <c r="I112" i="11"/>
  <c r="D123" i="11"/>
  <c r="D71" i="11"/>
  <c r="I122" i="11"/>
  <c r="E184" i="11"/>
  <c r="E110" i="11"/>
  <c r="I153" i="11"/>
  <c r="S100" i="11"/>
  <c r="S90" i="11"/>
  <c r="S84" i="11"/>
  <c r="S99" i="11"/>
  <c r="S86" i="11"/>
  <c r="S98" i="11"/>
  <c r="S76" i="11"/>
  <c r="S105" i="11"/>
  <c r="S117" i="11"/>
  <c r="S83" i="11"/>
  <c r="S80" i="11"/>
  <c r="E161" i="11"/>
  <c r="S108" i="11"/>
  <c r="X111" i="11"/>
  <c r="X112" i="11"/>
  <c r="X100" i="11"/>
  <c r="S116" i="11"/>
  <c r="H156" i="11"/>
  <c r="X94" i="11"/>
  <c r="X109" i="11"/>
  <c r="X104" i="11"/>
  <c r="S112" i="11"/>
  <c r="S94" i="11"/>
  <c r="S113" i="11"/>
  <c r="S74" i="11"/>
  <c r="X103" i="11"/>
  <c r="S101" i="11"/>
  <c r="H101" i="11"/>
  <c r="H161" i="11"/>
  <c r="S73" i="11"/>
  <c r="I94" i="11"/>
  <c r="D183" i="11"/>
  <c r="H138" i="11"/>
  <c r="S72" i="11"/>
  <c r="I209" i="11"/>
  <c r="D217" i="11"/>
  <c r="I210" i="11"/>
  <c r="D214" i="11"/>
  <c r="S68" i="11"/>
  <c r="E201" i="11"/>
  <c r="D149" i="11"/>
  <c r="D107" i="11"/>
  <c r="D112" i="11"/>
  <c r="D203" i="11"/>
  <c r="H217" i="11"/>
  <c r="I128" i="11"/>
  <c r="E218" i="11"/>
  <c r="H71" i="11"/>
  <c r="D168" i="11"/>
  <c r="D132" i="11"/>
  <c r="S107" i="11"/>
  <c r="S104" i="11"/>
  <c r="S114" i="11"/>
  <c r="S95" i="11"/>
  <c r="S82" i="11"/>
  <c r="D157" i="11"/>
  <c r="S106" i="11"/>
  <c r="S93" i="11"/>
  <c r="S102" i="11"/>
  <c r="S89" i="11"/>
  <c r="S78" i="11"/>
  <c r="X102" i="11"/>
  <c r="S77" i="11"/>
  <c r="X114" i="11"/>
  <c r="X96" i="11"/>
  <c r="X105" i="11"/>
  <c r="H79" i="11"/>
  <c r="X98" i="11"/>
  <c r="X110" i="11"/>
  <c r="X93" i="11"/>
  <c r="S85" i="11"/>
  <c r="S81" i="11"/>
  <c r="X78" i="11"/>
  <c r="I135" i="11"/>
  <c r="X108" i="11"/>
  <c r="I77" i="11"/>
  <c r="H183" i="11"/>
  <c r="E154" i="11"/>
  <c r="H152" i="11"/>
  <c r="H120" i="11"/>
  <c r="D137" i="11"/>
  <c r="H150" i="11"/>
  <c r="H99" i="11"/>
  <c r="D166" i="11"/>
  <c r="E194" i="11"/>
  <c r="H95" i="11"/>
  <c r="I143" i="11"/>
  <c r="E75" i="11"/>
  <c r="S110" i="11"/>
  <c r="S79" i="11"/>
  <c r="S92" i="11"/>
  <c r="S97" i="11"/>
  <c r="S88" i="11"/>
  <c r="S103" i="11"/>
  <c r="S109" i="11"/>
  <c r="X101" i="11"/>
  <c r="S75" i="11"/>
  <c r="X107" i="11"/>
  <c r="X99" i="11"/>
  <c r="I107" i="11"/>
  <c r="X95" i="11"/>
  <c r="E174" i="11"/>
  <c r="I206" i="11"/>
  <c r="V226" i="11"/>
  <c r="U226" i="11"/>
  <c r="C34" i="29" l="1"/>
  <c r="E38" i="11"/>
  <c r="F38" i="11"/>
  <c r="G38" i="11" s="1"/>
  <c r="J38" i="11"/>
  <c r="K38" i="11" s="1"/>
  <c r="D318" i="29"/>
  <c r="D280" i="29"/>
  <c r="F180" i="29"/>
  <c r="D209" i="29"/>
  <c r="J44" i="11"/>
  <c r="K44" i="11" s="1"/>
  <c r="N44" i="11"/>
  <c r="O44" i="11" s="1"/>
  <c r="F44" i="11"/>
  <c r="G44" i="11" s="1"/>
  <c r="F222" i="29"/>
  <c r="F271" i="29"/>
  <c r="F258" i="29"/>
  <c r="F240" i="29"/>
  <c r="D326" i="29"/>
  <c r="F107" i="29"/>
  <c r="F156" i="29"/>
  <c r="F319" i="29"/>
  <c r="D144" i="29"/>
  <c r="D162" i="29"/>
  <c r="D300" i="29"/>
  <c r="F297" i="29"/>
  <c r="D218" i="29"/>
  <c r="D175" i="29"/>
  <c r="F202" i="29"/>
  <c r="F257" i="29"/>
  <c r="F214" i="29"/>
  <c r="F128" i="29"/>
  <c r="D188" i="29"/>
  <c r="D191" i="29"/>
  <c r="D322" i="29"/>
  <c r="F86" i="29"/>
  <c r="D323" i="29"/>
  <c r="F193" i="29"/>
  <c r="F259" i="29"/>
  <c r="D337" i="29"/>
  <c r="N19" i="11"/>
  <c r="O19" i="11" s="1"/>
  <c r="E19" i="11"/>
  <c r="F19" i="11"/>
  <c r="G19" i="11" s="1"/>
  <c r="F210" i="29"/>
  <c r="D143" i="29"/>
  <c r="E50" i="11"/>
  <c r="F101" i="29"/>
  <c r="J45" i="11"/>
  <c r="K45" i="11" s="1"/>
  <c r="D294" i="29"/>
  <c r="D90" i="29"/>
  <c r="D205" i="29"/>
  <c r="F121" i="29"/>
  <c r="D265" i="29"/>
  <c r="D103" i="29"/>
  <c r="F92" i="29"/>
  <c r="E45" i="11"/>
  <c r="F27" i="11"/>
  <c r="G27" i="11" s="1"/>
  <c r="F50" i="11"/>
  <c r="G50" i="11" s="1"/>
  <c r="N45" i="11"/>
  <c r="O45" i="11" s="1"/>
  <c r="N50" i="11"/>
  <c r="O50" i="11" s="1"/>
  <c r="D167" i="29"/>
  <c r="D200" i="29"/>
  <c r="D275" i="29"/>
  <c r="E30" i="11"/>
  <c r="D157" i="29"/>
  <c r="D110" i="29"/>
  <c r="E46" i="11"/>
  <c r="J17" i="11"/>
  <c r="K17" i="11" s="1"/>
  <c r="J30" i="11"/>
  <c r="K30" i="11" s="1"/>
  <c r="E43" i="11"/>
  <c r="F30" i="11"/>
  <c r="G30" i="11" s="1"/>
  <c r="J43" i="11"/>
  <c r="K43" i="11" s="1"/>
  <c r="N46" i="11"/>
  <c r="O46" i="11" s="1"/>
  <c r="F43" i="11"/>
  <c r="G43" i="11" s="1"/>
  <c r="J46" i="11"/>
  <c r="K46" i="11" s="1"/>
  <c r="D317" i="29"/>
  <c r="D267" i="29"/>
  <c r="F298" i="29"/>
  <c r="D264" i="29"/>
  <c r="F253" i="29"/>
  <c r="E24" i="11"/>
  <c r="N47" i="11"/>
  <c r="O47" i="11" s="1"/>
  <c r="F41" i="11"/>
  <c r="G41" i="11" s="1"/>
  <c r="F47" i="11"/>
  <c r="G47" i="11" s="1"/>
  <c r="J20" i="11"/>
  <c r="K20" i="11" s="1"/>
  <c r="N24" i="11"/>
  <c r="O24" i="11" s="1"/>
  <c r="N41" i="11"/>
  <c r="O41" i="11" s="1"/>
  <c r="E41" i="11"/>
  <c r="E31" i="11"/>
  <c r="F31" i="11"/>
  <c r="G31" i="11" s="1"/>
  <c r="N31" i="11"/>
  <c r="O31" i="11" s="1"/>
  <c r="N27" i="11"/>
  <c r="O27" i="11" s="1"/>
  <c r="J40" i="11"/>
  <c r="K40" i="11" s="1"/>
  <c r="E18" i="11"/>
  <c r="N25" i="11"/>
  <c r="O25" i="11" s="1"/>
  <c r="F25" i="11"/>
  <c r="G25" i="11" s="1"/>
  <c r="E40" i="11"/>
  <c r="N40" i="11"/>
  <c r="O40" i="11" s="1"/>
  <c r="N17" i="11"/>
  <c r="O17" i="11" s="1"/>
  <c r="J18" i="11"/>
  <c r="K18" i="11" s="1"/>
  <c r="E20" i="11"/>
  <c r="J25" i="11"/>
  <c r="K25" i="11" s="1"/>
  <c r="F24" i="11"/>
  <c r="G24" i="11" s="1"/>
  <c r="J47" i="11"/>
  <c r="K47" i="11" s="1"/>
  <c r="F17" i="11"/>
  <c r="G17" i="11" s="1"/>
  <c r="E27" i="11"/>
  <c r="N18" i="11"/>
  <c r="O18" i="11" s="1"/>
  <c r="N20" i="11"/>
  <c r="O20" i="11" s="1"/>
  <c r="E28" i="11"/>
  <c r="J28" i="11"/>
  <c r="K28" i="11" s="1"/>
  <c r="F29" i="11"/>
  <c r="G29" i="11" s="1"/>
  <c r="J21" i="11"/>
  <c r="K21" i="11" s="1"/>
  <c r="F28" i="11"/>
  <c r="G28" i="11" s="1"/>
  <c r="E36" i="11"/>
  <c r="E21" i="11"/>
  <c r="N21" i="11"/>
  <c r="O21" i="11" s="1"/>
  <c r="N36" i="11"/>
  <c r="O36" i="11" s="1"/>
  <c r="J22" i="11"/>
  <c r="K22" i="11" s="1"/>
  <c r="F36" i="11"/>
  <c r="G36" i="11" s="1"/>
  <c r="F22" i="11"/>
  <c r="G22" i="11" s="1"/>
  <c r="N22" i="11"/>
  <c r="O22" i="11" s="1"/>
  <c r="J51" i="11"/>
  <c r="K51" i="11" s="1"/>
  <c r="N34" i="11"/>
  <c r="O34" i="11" s="1"/>
  <c r="E34" i="11"/>
  <c r="N26" i="11"/>
  <c r="O26" i="11" s="1"/>
  <c r="F26" i="11"/>
  <c r="G26" i="11" s="1"/>
  <c r="E51" i="11"/>
  <c r="N51" i="11"/>
  <c r="O51" i="11" s="1"/>
  <c r="E35" i="11"/>
  <c r="F42" i="11"/>
  <c r="G42" i="11" s="1"/>
  <c r="F23" i="11"/>
  <c r="G23" i="11" s="1"/>
  <c r="N23" i="11"/>
  <c r="O23" i="11" s="1"/>
  <c r="E29" i="11"/>
  <c r="F35" i="11"/>
  <c r="G35" i="11" s="1"/>
  <c r="E26" i="11"/>
  <c r="J42" i="11"/>
  <c r="K42" i="11" s="1"/>
  <c r="N29" i="11"/>
  <c r="O29" i="11" s="1"/>
  <c r="J35" i="11"/>
  <c r="K35" i="11" s="1"/>
  <c r="E23" i="11"/>
  <c r="J34" i="11"/>
  <c r="K34" i="11" s="1"/>
  <c r="E42" i="11"/>
  <c r="X67" i="11"/>
  <c r="D297" i="11"/>
  <c r="N268" i="11"/>
  <c r="O268" i="11" s="1"/>
  <c r="P268" i="11" s="1"/>
  <c r="X90" i="11"/>
  <c r="X89" i="11"/>
  <c r="X91" i="11"/>
  <c r="X73" i="11"/>
  <c r="X74" i="11"/>
  <c r="X87" i="11"/>
  <c r="X75" i="11"/>
  <c r="N232" i="11"/>
  <c r="O232" i="11" s="1"/>
  <c r="Q232" i="11" s="1"/>
  <c r="N287" i="11"/>
  <c r="O287" i="11" s="1"/>
  <c r="P287" i="11" s="1"/>
  <c r="N297" i="11"/>
  <c r="O297" i="11" s="1"/>
  <c r="Q297" i="11" s="1"/>
  <c r="E235" i="11"/>
  <c r="X71" i="11"/>
  <c r="X81" i="11"/>
  <c r="D304" i="11"/>
  <c r="N292" i="11"/>
  <c r="O292" i="11" s="1"/>
  <c r="P292" i="11" s="1"/>
  <c r="N305" i="11"/>
  <c r="O305" i="11" s="1"/>
  <c r="Q305" i="11" s="1"/>
  <c r="N303" i="11"/>
  <c r="O303" i="11" s="1"/>
  <c r="Q303" i="11" s="1"/>
  <c r="N290" i="11"/>
  <c r="O290" i="11" s="1"/>
  <c r="Q290" i="11" s="1"/>
  <c r="N304" i="11"/>
  <c r="O304" i="11" s="1"/>
  <c r="P304" i="11" s="1"/>
  <c r="D289" i="11"/>
  <c r="D285" i="11"/>
  <c r="E286" i="11"/>
  <c r="E295" i="11"/>
  <c r="E294" i="11"/>
  <c r="E290" i="11"/>
  <c r="D264" i="11"/>
  <c r="E288" i="11"/>
  <c r="E279" i="11"/>
  <c r="D237" i="11"/>
  <c r="E238" i="11"/>
  <c r="D281" i="11"/>
  <c r="E246" i="11"/>
  <c r="E287" i="11"/>
  <c r="E282" i="11"/>
  <c r="D274" i="11"/>
  <c r="X88" i="11"/>
  <c r="X70" i="11"/>
  <c r="X82" i="11"/>
  <c r="X69" i="11"/>
  <c r="X80" i="11"/>
  <c r="X84" i="11"/>
  <c r="B312" i="11"/>
  <c r="E302" i="11"/>
  <c r="E303" i="11"/>
  <c r="E280" i="11"/>
  <c r="D258" i="11"/>
  <c r="D296" i="11"/>
  <c r="E248" i="11"/>
  <c r="E306" i="11"/>
  <c r="D261" i="11"/>
  <c r="E232" i="11"/>
  <c r="E233" i="11"/>
  <c r="E271" i="11"/>
  <c r="D275" i="11"/>
  <c r="D273" i="11"/>
  <c r="N255" i="11"/>
  <c r="O255" i="11" s="1"/>
  <c r="Q255" i="11" s="1"/>
  <c r="N231" i="11"/>
  <c r="O231" i="11" s="1"/>
  <c r="Q231" i="11" s="1"/>
  <c r="N267" i="11"/>
  <c r="O267" i="11" s="1"/>
  <c r="Q267" i="11" s="1"/>
  <c r="N271" i="11"/>
  <c r="O271" i="11" s="1"/>
  <c r="Q271" i="11" s="1"/>
  <c r="N236" i="11"/>
  <c r="O236" i="11" s="1"/>
  <c r="P236" i="11" s="1"/>
  <c r="D292" i="11"/>
  <c r="D268" i="11"/>
  <c r="N263" i="11"/>
  <c r="O263" i="11" s="1"/>
  <c r="Q263" i="11" s="1"/>
  <c r="N251" i="11"/>
  <c r="O251" i="11" s="1"/>
  <c r="P251" i="11" s="1"/>
  <c r="N249" i="11"/>
  <c r="O249" i="11" s="1"/>
  <c r="P249" i="11" s="1"/>
  <c r="N270" i="11"/>
  <c r="O270" i="11" s="1"/>
  <c r="Q270" i="11" s="1"/>
  <c r="E242" i="11"/>
  <c r="E241" i="11"/>
  <c r="E236" i="11"/>
  <c r="E252" i="11"/>
  <c r="J286" i="11"/>
  <c r="K286" i="11" s="1"/>
  <c r="L286" i="11" s="1"/>
  <c r="D250" i="11"/>
  <c r="J288" i="11"/>
  <c r="K288" i="11" s="1"/>
  <c r="M288" i="11" s="1"/>
  <c r="E269" i="11"/>
  <c r="D260" i="11"/>
  <c r="D291" i="11"/>
  <c r="D305" i="11"/>
  <c r="E239" i="11"/>
  <c r="X66" i="11"/>
  <c r="E259" i="11"/>
  <c r="D245" i="11"/>
  <c r="E265" i="11"/>
  <c r="D267" i="11"/>
  <c r="J274" i="11"/>
  <c r="K274" i="11" s="1"/>
  <c r="L274" i="11" s="1"/>
  <c r="K270" i="11"/>
  <c r="L270" i="11" s="1"/>
  <c r="J253" i="11"/>
  <c r="K253" i="11" s="1"/>
  <c r="L253" i="11" s="1"/>
  <c r="J248" i="11"/>
  <c r="J294" i="11"/>
  <c r="J252" i="11"/>
  <c r="K252" i="11" s="1"/>
  <c r="L252" i="11" s="1"/>
  <c r="J249" i="11"/>
  <c r="J263" i="11"/>
  <c r="J292" i="11"/>
  <c r="K292" i="11" s="1"/>
  <c r="M292" i="11" s="1"/>
  <c r="J273" i="11"/>
  <c r="J304" i="11"/>
  <c r="E244" i="11"/>
  <c r="D277" i="11"/>
  <c r="D266" i="11"/>
  <c r="D284" i="11"/>
  <c r="D272" i="11"/>
  <c r="D255" i="11"/>
  <c r="E298" i="11"/>
  <c r="E247" i="11"/>
  <c r="D263" i="11"/>
  <c r="J282" i="11"/>
  <c r="K282" i="11" s="1"/>
  <c r="L282" i="11" s="1"/>
  <c r="J275" i="11"/>
  <c r="K275" i="11" s="1"/>
  <c r="L275" i="11" s="1"/>
  <c r="J231" i="11"/>
  <c r="AF468" i="9"/>
  <c r="J289" i="11"/>
  <c r="J266" i="11"/>
  <c r="J298" i="11"/>
  <c r="K298" i="11" s="1"/>
  <c r="L298" i="11" s="1"/>
  <c r="J268" i="11"/>
  <c r="J246" i="11"/>
  <c r="J245" i="11"/>
  <c r="K245" i="11" s="1"/>
  <c r="L245" i="11" s="1"/>
  <c r="J301" i="11"/>
  <c r="J232" i="11"/>
  <c r="K232" i="11" s="1"/>
  <c r="M232" i="11" s="1"/>
  <c r="J265" i="11"/>
  <c r="J256" i="11"/>
  <c r="J278" i="11"/>
  <c r="J247" i="11"/>
  <c r="J259" i="11"/>
  <c r="J254" i="11"/>
  <c r="K254" i="11" s="1"/>
  <c r="L254" i="11" s="1"/>
  <c r="J285" i="11"/>
  <c r="K285" i="11" s="1"/>
  <c r="M285" i="11" s="1"/>
  <c r="J297" i="11"/>
  <c r="J250" i="11"/>
  <c r="K250" i="11" s="1"/>
  <c r="M250" i="11" s="1"/>
  <c r="J284" i="11"/>
  <c r="J238" i="11"/>
  <c r="K238" i="11" s="1"/>
  <c r="M238" i="11" s="1"/>
  <c r="J302" i="11"/>
  <c r="E243" i="11"/>
  <c r="D257" i="11"/>
  <c r="E300" i="11"/>
  <c r="E253" i="11"/>
  <c r="J305" i="11"/>
  <c r="J237" i="11"/>
  <c r="J235" i="11"/>
  <c r="J257" i="11"/>
  <c r="J290" i="11"/>
  <c r="J281" i="11"/>
  <c r="J258" i="11"/>
  <c r="J287" i="11"/>
  <c r="J251" i="11"/>
  <c r="J303" i="11"/>
  <c r="J261" i="11"/>
  <c r="J239" i="11"/>
  <c r="K239" i="11" s="1"/>
  <c r="L239" i="11" s="1"/>
  <c r="J283" i="11"/>
  <c r="N238" i="11"/>
  <c r="O238" i="11" s="1"/>
  <c r="P238" i="11" s="1"/>
  <c r="N239" i="11"/>
  <c r="O239" i="11" s="1"/>
  <c r="P239" i="11" s="1"/>
  <c r="N246" i="11"/>
  <c r="O246" i="11" s="1"/>
  <c r="Q246" i="11" s="1"/>
  <c r="N261" i="11"/>
  <c r="O261" i="11" s="1"/>
  <c r="Q261" i="11" s="1"/>
  <c r="N301" i="11"/>
  <c r="O301" i="11" s="1"/>
  <c r="Q301" i="11" s="1"/>
  <c r="N247" i="11"/>
  <c r="O247" i="11" s="1"/>
  <c r="Q247" i="11" s="1"/>
  <c r="N252" i="11"/>
  <c r="O252" i="11" s="1"/>
  <c r="P252" i="11" s="1"/>
  <c r="N250" i="11"/>
  <c r="O250" i="11" s="1"/>
  <c r="Q250" i="11" s="1"/>
  <c r="N243" i="11"/>
  <c r="O243" i="11" s="1"/>
  <c r="P243" i="11" s="1"/>
  <c r="N289" i="11"/>
  <c r="O289" i="11" s="1"/>
  <c r="P289" i="11" s="1"/>
  <c r="N254" i="11"/>
  <c r="O254" i="11" s="1"/>
  <c r="P254" i="11" s="1"/>
  <c r="N272" i="11"/>
  <c r="O272" i="11" s="1"/>
  <c r="Q272" i="11" s="1"/>
  <c r="N283" i="11"/>
  <c r="O283" i="11" s="1"/>
  <c r="Q283" i="11" s="1"/>
  <c r="N302" i="11"/>
  <c r="O302" i="11" s="1"/>
  <c r="P302" i="11" s="1"/>
  <c r="N300" i="11"/>
  <c r="O300" i="11" s="1"/>
  <c r="Q300" i="11" s="1"/>
  <c r="N235" i="11"/>
  <c r="O235" i="11" s="1"/>
  <c r="P235" i="11" s="1"/>
  <c r="N295" i="11"/>
  <c r="O295" i="11" s="1"/>
  <c r="P295" i="11" s="1"/>
  <c r="N306" i="11"/>
  <c r="O306" i="11" s="1"/>
  <c r="P306" i="11" s="1"/>
  <c r="D276" i="11"/>
  <c r="E293" i="11"/>
  <c r="E254" i="11"/>
  <c r="E231" i="11"/>
  <c r="D301" i="11"/>
  <c r="N256" i="11"/>
  <c r="O256" i="11" s="1"/>
  <c r="P256" i="11" s="1"/>
  <c r="N281" i="11"/>
  <c r="O281" i="11" s="1"/>
  <c r="Q281" i="11" s="1"/>
  <c r="N259" i="11"/>
  <c r="O259" i="11" s="1"/>
  <c r="P259" i="11" s="1"/>
  <c r="N294" i="11"/>
  <c r="O294" i="11" s="1"/>
  <c r="Q294" i="11" s="1"/>
  <c r="N298" i="11"/>
  <c r="O298" i="11" s="1"/>
  <c r="Q298" i="11" s="1"/>
  <c r="N262" i="11"/>
  <c r="O262" i="11" s="1"/>
  <c r="P262" i="11" s="1"/>
  <c r="N241" i="11"/>
  <c r="O241" i="11" s="1"/>
  <c r="Q241" i="11" s="1"/>
  <c r="N253" i="11"/>
  <c r="O253" i="11" s="1"/>
  <c r="P253" i="11" s="1"/>
  <c r="N284" i="11"/>
  <c r="O284" i="11" s="1"/>
  <c r="Q284" i="11" s="1"/>
  <c r="N278" i="11"/>
  <c r="O278" i="11" s="1"/>
  <c r="Q278" i="11" s="1"/>
  <c r="N293" i="11"/>
  <c r="O293" i="11" s="1"/>
  <c r="Q293" i="11" s="1"/>
  <c r="N260" i="11"/>
  <c r="O260" i="11" s="1"/>
  <c r="P260" i="11" s="1"/>
  <c r="N244" i="11"/>
  <c r="O244" i="11" s="1"/>
  <c r="P244" i="11" s="1"/>
  <c r="N273" i="11"/>
  <c r="O273" i="11" s="1"/>
  <c r="P273" i="11" s="1"/>
  <c r="N258" i="11"/>
  <c r="O258" i="11" s="1"/>
  <c r="P258" i="11" s="1"/>
  <c r="N280" i="11"/>
  <c r="O280" i="11" s="1"/>
  <c r="Q280" i="11" s="1"/>
  <c r="N248" i="11"/>
  <c r="O248" i="11" s="1"/>
  <c r="Q248" i="11" s="1"/>
  <c r="N296" i="11"/>
  <c r="O296" i="11" s="1"/>
  <c r="P296" i="11" s="1"/>
  <c r="N265" i="11"/>
  <c r="O265" i="11" s="1"/>
  <c r="P265" i="11" s="1"/>
  <c r="D256" i="11"/>
  <c r="D249" i="11"/>
  <c r="D262" i="11"/>
  <c r="E299" i="11"/>
  <c r="E240" i="11"/>
  <c r="D278" i="11"/>
  <c r="E283" i="11"/>
  <c r="E251" i="11"/>
  <c r="D270" i="11"/>
  <c r="E307" i="11"/>
  <c r="E234" i="11"/>
  <c r="N276" i="11"/>
  <c r="O276" i="11" s="1"/>
  <c r="P276" i="11" s="1"/>
  <c r="N274" i="11"/>
  <c r="O274" i="11" s="1"/>
  <c r="P274" i="11" s="1"/>
  <c r="Q228" i="11"/>
  <c r="N288" i="11"/>
  <c r="O288" i="11" s="1"/>
  <c r="Q288" i="11" s="1"/>
  <c r="N279" i="11"/>
  <c r="O279" i="11" s="1"/>
  <c r="Q279" i="11" s="1"/>
  <c r="N277" i="11"/>
  <c r="O277" i="11" s="1"/>
  <c r="Q277" i="11" s="1"/>
  <c r="N307" i="11"/>
  <c r="O307" i="11" s="1"/>
  <c r="Q307" i="11" s="1"/>
  <c r="N282" i="11"/>
  <c r="O282" i="11" s="1"/>
  <c r="Q282" i="11" s="1"/>
  <c r="N291" i="11"/>
  <c r="O291" i="11" s="1"/>
  <c r="Q291" i="11" s="1"/>
  <c r="N285" i="11"/>
  <c r="O285" i="11" s="1"/>
  <c r="P285" i="11" s="1"/>
  <c r="N275" i="11"/>
  <c r="O275" i="11" s="1"/>
  <c r="Q275" i="11" s="1"/>
  <c r="N245" i="11"/>
  <c r="O245" i="11" s="1"/>
  <c r="P245" i="11" s="1"/>
  <c r="N237" i="11"/>
  <c r="O237" i="11" s="1"/>
  <c r="P237" i="11" s="1"/>
  <c r="N286" i="11"/>
  <c r="O286" i="11" s="1"/>
  <c r="P286" i="11" s="1"/>
  <c r="N299" i="11"/>
  <c r="O299" i="11" s="1"/>
  <c r="Q299" i="11" s="1"/>
  <c r="N234" i="11"/>
  <c r="O234" i="11" s="1"/>
  <c r="P234" i="11" s="1"/>
  <c r="N257" i="11"/>
  <c r="O257" i="11" s="1"/>
  <c r="Q257" i="11" s="1"/>
  <c r="N264" i="11"/>
  <c r="O264" i="11" s="1"/>
  <c r="P264" i="11" s="1"/>
  <c r="N266" i="11"/>
  <c r="O266" i="11" s="1"/>
  <c r="P266" i="11" s="1"/>
  <c r="N242" i="11"/>
  <c r="O242" i="11" s="1"/>
  <c r="Q242" i="11" s="1"/>
  <c r="N269" i="11"/>
  <c r="O269" i="11" s="1"/>
  <c r="Q269" i="11" s="1"/>
  <c r="AF468" i="6"/>
  <c r="J271" i="11"/>
  <c r="J241" i="11"/>
  <c r="J293" i="11"/>
  <c r="J299" i="11"/>
  <c r="J279" i="11"/>
  <c r="J296" i="11"/>
  <c r="J233" i="11"/>
  <c r="J272" i="11"/>
  <c r="M228" i="11"/>
  <c r="J243" i="11"/>
  <c r="J264" i="11"/>
  <c r="J242" i="11"/>
  <c r="J277" i="11"/>
  <c r="J269" i="11"/>
  <c r="J300" i="11"/>
  <c r="J280" i="11"/>
  <c r="J255" i="11"/>
  <c r="J291" i="11"/>
  <c r="J260" i="11"/>
  <c r="J276" i="11"/>
  <c r="J234" i="11"/>
  <c r="J307" i="11"/>
  <c r="J244" i="11"/>
  <c r="J267" i="11"/>
  <c r="J236" i="11"/>
  <c r="J262" i="11"/>
  <c r="J240" i="11"/>
  <c r="J295" i="11"/>
  <c r="J306" i="11"/>
  <c r="T68" i="11"/>
  <c r="H252" i="11"/>
  <c r="I269" i="11"/>
  <c r="H265" i="11"/>
  <c r="I233" i="11"/>
  <c r="H302" i="11"/>
  <c r="H245" i="11"/>
  <c r="H273" i="11"/>
  <c r="I286" i="11"/>
  <c r="I248" i="11"/>
  <c r="H279" i="11"/>
  <c r="I294" i="11"/>
  <c r="D282" i="29"/>
  <c r="I271" i="11"/>
  <c r="H266" i="11"/>
  <c r="I306" i="11"/>
  <c r="I251" i="11"/>
  <c r="I243" i="11"/>
  <c r="H295" i="11"/>
  <c r="H235" i="11"/>
  <c r="H275" i="11"/>
  <c r="I292" i="11"/>
  <c r="H263" i="11"/>
  <c r="F207" i="29"/>
  <c r="I260" i="11"/>
  <c r="T71" i="11"/>
  <c r="H244" i="11"/>
  <c r="H297" i="11"/>
  <c r="H281" i="11"/>
  <c r="H276" i="11"/>
  <c r="I293" i="11"/>
  <c r="H261" i="11"/>
  <c r="H305" i="11"/>
  <c r="I282" i="11"/>
  <c r="H304" i="11"/>
  <c r="H296" i="11"/>
  <c r="H253" i="11"/>
  <c r="Q233" i="11"/>
  <c r="H256" i="11"/>
  <c r="H274" i="11"/>
  <c r="H283" i="11"/>
  <c r="I231" i="11"/>
  <c r="H290" i="11"/>
  <c r="H239" i="11"/>
  <c r="H234" i="11"/>
  <c r="G285" i="11"/>
  <c r="I285" i="11" s="1"/>
  <c r="I249" i="11"/>
  <c r="H284" i="11"/>
  <c r="I238" i="11"/>
  <c r="Q240" i="11"/>
  <c r="H262" i="11"/>
  <c r="H280" i="11"/>
  <c r="I298" i="11"/>
  <c r="H288" i="11"/>
  <c r="H291" i="11"/>
  <c r="I303" i="11"/>
  <c r="H300" i="11"/>
  <c r="H287" i="11"/>
  <c r="I289" i="11"/>
  <c r="H254" i="11"/>
  <c r="I257" i="11"/>
  <c r="H299" i="11"/>
  <c r="I247" i="11"/>
  <c r="I255" i="11"/>
  <c r="I246" i="11"/>
  <c r="H241" i="11"/>
  <c r="I277" i="11"/>
  <c r="G272" i="11"/>
  <c r="I272" i="11" s="1"/>
  <c r="G237" i="11"/>
  <c r="I237" i="11" s="1"/>
  <c r="H240" i="11"/>
  <c r="I264" i="11"/>
  <c r="H267" i="11"/>
  <c r="I250" i="11"/>
  <c r="I232" i="11"/>
  <c r="G236" i="11"/>
  <c r="H236" i="11" s="1"/>
  <c r="H270" i="11"/>
  <c r="I268" i="11"/>
  <c r="H278" i="11"/>
  <c r="F211" i="29"/>
  <c r="D329" i="29"/>
  <c r="F305" i="29"/>
  <c r="G307" i="11"/>
  <c r="I307" i="11" s="1"/>
  <c r="G259" i="11"/>
  <c r="H259" i="11" s="1"/>
  <c r="F236" i="29"/>
  <c r="G301" i="11"/>
  <c r="I301" i="11" s="1"/>
  <c r="F228" i="29"/>
  <c r="F91" i="29"/>
  <c r="F296" i="29"/>
  <c r="D292" i="29"/>
  <c r="D238" i="29"/>
  <c r="F243" i="29"/>
  <c r="D194" i="29"/>
  <c r="D154" i="29"/>
  <c r="D115" i="29"/>
  <c r="F285" i="29"/>
  <c r="C45" i="29"/>
  <c r="N45" i="29" s="1"/>
  <c r="O45" i="29" s="1"/>
  <c r="D208" i="29"/>
  <c r="F247" i="29"/>
  <c r="C38" i="29"/>
  <c r="F38" i="29" s="1"/>
  <c r="G38" i="29" s="1"/>
  <c r="F187" i="29"/>
  <c r="F105" i="29"/>
  <c r="F274" i="29"/>
  <c r="D325" i="29"/>
  <c r="F263" i="29"/>
  <c r="D203" i="29"/>
  <c r="F279" i="29"/>
  <c r="D281" i="29"/>
  <c r="D161" i="29"/>
  <c r="P50" i="29"/>
  <c r="F249" i="29"/>
  <c r="D122" i="29"/>
  <c r="D250" i="29"/>
  <c r="F239" i="29"/>
  <c r="F119" i="29"/>
  <c r="D192" i="29"/>
  <c r="F176" i="29"/>
  <c r="P43" i="29"/>
  <c r="D170" i="29"/>
  <c r="F159" i="29"/>
  <c r="F108" i="29"/>
  <c r="C56" i="29"/>
  <c r="E56" i="29" s="1"/>
  <c r="F344" i="29"/>
  <c r="D106" i="29"/>
  <c r="F272" i="29"/>
  <c r="C57" i="29"/>
  <c r="J57" i="29" s="1"/>
  <c r="K57" i="29" s="1"/>
  <c r="D226" i="29"/>
  <c r="P36" i="29"/>
  <c r="F174" i="29"/>
  <c r="D303" i="29"/>
  <c r="D198" i="29"/>
  <c r="P65" i="29"/>
  <c r="D327" i="29"/>
  <c r="F145" i="29"/>
  <c r="C59" i="29"/>
  <c r="J59" i="29" s="1"/>
  <c r="K59" i="29" s="1"/>
  <c r="P67" i="29"/>
  <c r="D152" i="29"/>
  <c r="D85" i="29"/>
  <c r="D181" i="29"/>
  <c r="C63" i="29"/>
  <c r="N63" i="29" s="1"/>
  <c r="O63" i="29" s="1"/>
  <c r="F195" i="29"/>
  <c r="F346" i="29"/>
  <c r="D95" i="29"/>
  <c r="D330" i="29"/>
  <c r="P52" i="29"/>
  <c r="F237" i="29"/>
  <c r="C66" i="29"/>
  <c r="J66" i="29" s="1"/>
  <c r="K66" i="29" s="1"/>
  <c r="D256" i="29"/>
  <c r="F197" i="29"/>
  <c r="F225" i="29"/>
  <c r="D83" i="29"/>
  <c r="D299" i="29"/>
  <c r="F306" i="29"/>
  <c r="D89" i="29"/>
  <c r="D150" i="29"/>
  <c r="F287" i="29"/>
  <c r="F102" i="29"/>
  <c r="F261" i="29"/>
  <c r="F349" i="29"/>
  <c r="F270" i="29"/>
  <c r="D182" i="29"/>
  <c r="F82" i="29"/>
  <c r="D268" i="29"/>
  <c r="F260" i="29"/>
  <c r="D163" i="29"/>
  <c r="D131" i="29"/>
  <c r="F309" i="29"/>
  <c r="D79" i="29"/>
  <c r="F80" i="29"/>
  <c r="C51" i="29"/>
  <c r="N51" i="29" s="1"/>
  <c r="O51" i="29" s="1"/>
  <c r="F245" i="29"/>
  <c r="P35" i="29"/>
  <c r="D169" i="29"/>
  <c r="C58" i="29"/>
  <c r="J58" i="29" s="1"/>
  <c r="K58" i="29" s="1"/>
  <c r="F216" i="29"/>
  <c r="F87" i="29"/>
  <c r="C39" i="29"/>
  <c r="F39" i="29" s="1"/>
  <c r="G39" i="29" s="1"/>
  <c r="F333" i="29"/>
  <c r="C33" i="29"/>
  <c r="E33" i="29" s="1"/>
  <c r="P62" i="29"/>
  <c r="F311" i="29"/>
  <c r="C60" i="29"/>
  <c r="J60" i="29" s="1"/>
  <c r="K60" i="29" s="1"/>
  <c r="F136" i="29"/>
  <c r="D254" i="29"/>
  <c r="D339" i="29"/>
  <c r="F183" i="29"/>
  <c r="F84" i="29"/>
  <c r="F171" i="29"/>
  <c r="F118" i="29"/>
  <c r="F307" i="29"/>
  <c r="P48" i="29"/>
  <c r="C61" i="29"/>
  <c r="J61" i="29" s="1"/>
  <c r="K61" i="29" s="1"/>
  <c r="F345" i="29"/>
  <c r="D112" i="29"/>
  <c r="F255" i="29"/>
  <c r="D286" i="29"/>
  <c r="F233" i="29"/>
  <c r="F220" i="29"/>
  <c r="D160" i="29"/>
  <c r="F114" i="29"/>
  <c r="C40" i="29"/>
  <c r="E40" i="29" s="1"/>
  <c r="D199" i="29"/>
  <c r="D153" i="29"/>
  <c r="P37" i="29"/>
  <c r="F235" i="29"/>
  <c r="D138" i="29"/>
  <c r="D342" i="29"/>
  <c r="F196" i="29"/>
  <c r="C54" i="29"/>
  <c r="N54" i="29" s="1"/>
  <c r="O54" i="29" s="1"/>
  <c r="D290" i="29"/>
  <c r="F129" i="29"/>
  <c r="F320" i="29"/>
  <c r="D301" i="29"/>
  <c r="F146" i="29"/>
  <c r="F93" i="29"/>
  <c r="D155" i="29"/>
  <c r="D158" i="29"/>
  <c r="D215" i="29"/>
  <c r="D276" i="29"/>
  <c r="D134" i="29"/>
  <c r="C49" i="29"/>
  <c r="F49" i="29" s="1"/>
  <c r="G49" i="29" s="1"/>
  <c r="F164" i="29"/>
  <c r="D262" i="29"/>
  <c r="P41" i="29"/>
  <c r="F111" i="29"/>
  <c r="C47" i="29"/>
  <c r="E47" i="29" s="1"/>
  <c r="D284" i="29"/>
  <c r="F165" i="29"/>
  <c r="F224" i="29"/>
  <c r="C68" i="29"/>
  <c r="J68" i="29" s="1"/>
  <c r="K68" i="29" s="1"/>
  <c r="C53" i="29"/>
  <c r="E53" i="29" s="1"/>
  <c r="P55" i="29"/>
  <c r="P46" i="29"/>
  <c r="P42" i="29"/>
  <c r="C44" i="29"/>
  <c r="F44" i="29" s="1"/>
  <c r="G44" i="29" s="1"/>
  <c r="P64" i="29"/>
  <c r="T66" i="11"/>
  <c r="T69" i="11"/>
  <c r="T97" i="11"/>
  <c r="J43" i="29"/>
  <c r="K43" i="29" s="1"/>
  <c r="E43" i="29"/>
  <c r="F43" i="29"/>
  <c r="G43" i="29" s="1"/>
  <c r="N43" i="29"/>
  <c r="O43" i="29" s="1"/>
  <c r="J65" i="29"/>
  <c r="K65" i="29" s="1"/>
  <c r="F65" i="29"/>
  <c r="G65" i="29" s="1"/>
  <c r="N65" i="29"/>
  <c r="O65" i="29" s="1"/>
  <c r="E65" i="29"/>
  <c r="J50" i="29"/>
  <c r="K50" i="29" s="1"/>
  <c r="F50" i="29"/>
  <c r="G50" i="29" s="1"/>
  <c r="E50" i="29"/>
  <c r="N50" i="29"/>
  <c r="O50" i="29" s="1"/>
  <c r="T67" i="11"/>
  <c r="E34" i="29"/>
  <c r="F34" i="29"/>
  <c r="G34" i="29" s="1"/>
  <c r="N34" i="29"/>
  <c r="O34" i="29" s="1"/>
  <c r="J34" i="29"/>
  <c r="K34" i="29" s="1"/>
  <c r="J36" i="29"/>
  <c r="K36" i="29" s="1"/>
  <c r="F36" i="29"/>
  <c r="G36" i="29" s="1"/>
  <c r="E36" i="29"/>
  <c r="N36" i="29"/>
  <c r="O36" i="29" s="1"/>
  <c r="E39" i="29"/>
  <c r="F57" i="29"/>
  <c r="G57" i="29" s="1"/>
  <c r="E55" i="29"/>
  <c r="N55" i="29"/>
  <c r="O55" i="29" s="1"/>
  <c r="F55" i="29"/>
  <c r="G55" i="29" s="1"/>
  <c r="J55" i="29"/>
  <c r="K55" i="29" s="1"/>
  <c r="T75" i="11"/>
  <c r="T70" i="11"/>
  <c r="F45" i="29"/>
  <c r="G45" i="29" s="1"/>
  <c r="E62" i="29"/>
  <c r="J62" i="29"/>
  <c r="K62" i="29" s="1"/>
  <c r="N62" i="29"/>
  <c r="O62" i="29" s="1"/>
  <c r="F62" i="29"/>
  <c r="G62" i="29" s="1"/>
  <c r="E35" i="29"/>
  <c r="F35" i="29"/>
  <c r="G35" i="29" s="1"/>
  <c r="J35" i="29"/>
  <c r="K35" i="29" s="1"/>
  <c r="N35" i="29"/>
  <c r="O35" i="29" s="1"/>
  <c r="T93" i="11"/>
  <c r="T95" i="11"/>
  <c r="T72" i="11"/>
  <c r="T73" i="11"/>
  <c r="T112" i="11"/>
  <c r="T116" i="11"/>
  <c r="T83" i="11"/>
  <c r="T98" i="11"/>
  <c r="T90" i="11"/>
  <c r="T96" i="11"/>
  <c r="E46" i="29"/>
  <c r="J46" i="29"/>
  <c r="K46" i="29" s="1"/>
  <c r="N46" i="29"/>
  <c r="O46" i="29" s="1"/>
  <c r="F46" i="29"/>
  <c r="G46" i="29" s="1"/>
  <c r="J42" i="29"/>
  <c r="K42" i="29" s="1"/>
  <c r="E42" i="29"/>
  <c r="F42" i="29"/>
  <c r="G42" i="29" s="1"/>
  <c r="N42" i="29"/>
  <c r="O42" i="29" s="1"/>
  <c r="E48" i="29"/>
  <c r="N48" i="29"/>
  <c r="O48" i="29" s="1"/>
  <c r="J48" i="29"/>
  <c r="K48" i="29" s="1"/>
  <c r="F48" i="29"/>
  <c r="G48" i="29" s="1"/>
  <c r="N67" i="29"/>
  <c r="O67" i="29" s="1"/>
  <c r="F67" i="29"/>
  <c r="G67" i="29" s="1"/>
  <c r="E67" i="29"/>
  <c r="J67" i="29"/>
  <c r="K67" i="29" s="1"/>
  <c r="N52" i="29"/>
  <c r="O52" i="29" s="1"/>
  <c r="F52" i="29"/>
  <c r="G52" i="29" s="1"/>
  <c r="J52" i="29"/>
  <c r="K52" i="29" s="1"/>
  <c r="E52" i="29"/>
  <c r="E37" i="29"/>
  <c r="F37" i="29"/>
  <c r="G37" i="29" s="1"/>
  <c r="J37" i="29"/>
  <c r="K37" i="29" s="1"/>
  <c r="N37" i="29"/>
  <c r="O37" i="29" s="1"/>
  <c r="F41" i="29"/>
  <c r="G41" i="29" s="1"/>
  <c r="E41" i="29"/>
  <c r="N41" i="29"/>
  <c r="O41" i="29" s="1"/>
  <c r="J41" i="29"/>
  <c r="K41" i="29" s="1"/>
  <c r="N64" i="29"/>
  <c r="O64" i="29" s="1"/>
  <c r="E64" i="29"/>
  <c r="F64" i="29"/>
  <c r="G64" i="29" s="1"/>
  <c r="J64" i="29"/>
  <c r="K64" i="29" s="1"/>
  <c r="T103" i="11"/>
  <c r="T79" i="11"/>
  <c r="T81" i="11"/>
  <c r="T85" i="11"/>
  <c r="T89" i="11"/>
  <c r="T104" i="11"/>
  <c r="T113" i="11"/>
  <c r="T105" i="11"/>
  <c r="T99" i="11"/>
  <c r="T115" i="11"/>
  <c r="T88" i="11"/>
  <c r="T110" i="11"/>
  <c r="T102" i="11"/>
  <c r="T82" i="11"/>
  <c r="T107" i="11"/>
  <c r="T101" i="11"/>
  <c r="T94" i="11"/>
  <c r="T80" i="11"/>
  <c r="T76" i="11"/>
  <c r="T84" i="11"/>
  <c r="T111" i="11"/>
  <c r="T91" i="11"/>
  <c r="T109" i="11"/>
  <c r="T92" i="11"/>
  <c r="T77" i="11"/>
  <c r="T78" i="11"/>
  <c r="T106" i="11"/>
  <c r="T114" i="11"/>
  <c r="T74" i="11"/>
  <c r="T108" i="11"/>
  <c r="T117" i="11"/>
  <c r="T86" i="11"/>
  <c r="T100" i="11"/>
  <c r="T87" i="11"/>
  <c r="P269" i="11" l="1"/>
  <c r="P242" i="11"/>
  <c r="Q268" i="11"/>
  <c r="P232" i="11"/>
  <c r="P275" i="11"/>
  <c r="H272" i="11"/>
  <c r="H301" i="11"/>
  <c r="H307" i="11"/>
  <c r="H285" i="11"/>
  <c r="M270" i="11"/>
  <c r="P305" i="11"/>
  <c r="P290" i="11"/>
  <c r="Q292" i="11"/>
  <c r="P297" i="11"/>
  <c r="Q287" i="11"/>
  <c r="X226" i="11"/>
  <c r="M226" i="11" s="1"/>
  <c r="P303" i="11"/>
  <c r="Q304" i="11"/>
  <c r="P255" i="11"/>
  <c r="K231" i="11"/>
  <c r="M231" i="11" s="1"/>
  <c r="Q286" i="11"/>
  <c r="Q273" i="11"/>
  <c r="P261" i="11"/>
  <c r="P272" i="11"/>
  <c r="P280" i="11"/>
  <c r="Q236" i="11"/>
  <c r="P294" i="11"/>
  <c r="Q251" i="11"/>
  <c r="P246" i="11"/>
  <c r="P279" i="11"/>
  <c r="P257" i="11"/>
  <c r="P270" i="11"/>
  <c r="P298" i="11"/>
  <c r="M286" i="11"/>
  <c r="P301" i="11"/>
  <c r="P271" i="11"/>
  <c r="P267" i="11"/>
  <c r="Q244" i="11"/>
  <c r="P250" i="11"/>
  <c r="Q235" i="11"/>
  <c r="Q249" i="11"/>
  <c r="P299" i="11"/>
  <c r="Q266" i="11"/>
  <c r="M274" i="11"/>
  <c r="P307" i="11"/>
  <c r="P281" i="11"/>
  <c r="Q302" i="11"/>
  <c r="L292" i="11"/>
  <c r="Q262" i="11"/>
  <c r="Q285" i="11"/>
  <c r="Q260" i="11"/>
  <c r="P263" i="11"/>
  <c r="Q296" i="11"/>
  <c r="P278" i="11"/>
  <c r="Q252" i="11"/>
  <c r="P231" i="11"/>
  <c r="Q253" i="11"/>
  <c r="P283" i="11"/>
  <c r="L288" i="11"/>
  <c r="L232" i="11"/>
  <c r="M254" i="11"/>
  <c r="L238" i="11"/>
  <c r="M275" i="11"/>
  <c r="M253" i="11"/>
  <c r="M239" i="11"/>
  <c r="M245" i="11"/>
  <c r="Q306" i="11"/>
  <c r="Q264" i="11"/>
  <c r="P247" i="11"/>
  <c r="M252" i="11"/>
  <c r="P277" i="11"/>
  <c r="Q239" i="11"/>
  <c r="Q289" i="11"/>
  <c r="K283" i="11"/>
  <c r="M283" i="11" s="1"/>
  <c r="K251" i="11"/>
  <c r="M251" i="11" s="1"/>
  <c r="K290" i="11"/>
  <c r="L290" i="11" s="1"/>
  <c r="K305" i="11"/>
  <c r="M305" i="11" s="1"/>
  <c r="K278" i="11"/>
  <c r="L278" i="11" s="1"/>
  <c r="K301" i="11"/>
  <c r="M301" i="11" s="1"/>
  <c r="K263" i="11"/>
  <c r="L263" i="11" s="1"/>
  <c r="K248" i="11"/>
  <c r="M248" i="11" s="1"/>
  <c r="Q259" i="11"/>
  <c r="Q295" i="11"/>
  <c r="Q274" i="11"/>
  <c r="M298" i="11"/>
  <c r="K287" i="11"/>
  <c r="M287" i="11" s="1"/>
  <c r="K257" i="11"/>
  <c r="L257" i="11" s="1"/>
  <c r="K284" i="11"/>
  <c r="L284" i="11" s="1"/>
  <c r="K256" i="11"/>
  <c r="M256" i="11" s="1"/>
  <c r="K266" i="11"/>
  <c r="L266" i="11" s="1"/>
  <c r="K304" i="11"/>
  <c r="L304" i="11" s="1"/>
  <c r="K249" i="11"/>
  <c r="L249" i="11" s="1"/>
  <c r="K261" i="11"/>
  <c r="L261" i="11" s="1"/>
  <c r="K258" i="11"/>
  <c r="M258" i="11" s="1"/>
  <c r="K235" i="11"/>
  <c r="M235" i="11" s="1"/>
  <c r="K259" i="11"/>
  <c r="M259" i="11" s="1"/>
  <c r="K265" i="11"/>
  <c r="M265" i="11" s="1"/>
  <c r="K246" i="11"/>
  <c r="L246" i="11" s="1"/>
  <c r="K289" i="11"/>
  <c r="M289" i="11" s="1"/>
  <c r="K273" i="11"/>
  <c r="M273" i="11" s="1"/>
  <c r="Q256" i="11"/>
  <c r="Q238" i="11"/>
  <c r="Q243" i="11"/>
  <c r="P248" i="11"/>
  <c r="P300" i="11"/>
  <c r="P284" i="11"/>
  <c r="M282" i="11"/>
  <c r="L285" i="11"/>
  <c r="L250" i="11"/>
  <c r="K303" i="11"/>
  <c r="L303" i="11" s="1"/>
  <c r="K281" i="11"/>
  <c r="M281" i="11" s="1"/>
  <c r="K237" i="11"/>
  <c r="M237" i="11" s="1"/>
  <c r="K302" i="11"/>
  <c r="M302" i="11" s="1"/>
  <c r="K297" i="11"/>
  <c r="L297" i="11" s="1"/>
  <c r="K247" i="11"/>
  <c r="L247" i="11" s="1"/>
  <c r="K268" i="11"/>
  <c r="M268" i="11" s="1"/>
  <c r="K294" i="11"/>
  <c r="M294" i="11" s="1"/>
  <c r="K307" i="11"/>
  <c r="L307" i="11" s="1"/>
  <c r="K243" i="11"/>
  <c r="L243" i="11" s="1"/>
  <c r="K241" i="11"/>
  <c r="L241" i="11" s="1"/>
  <c r="P288" i="11"/>
  <c r="Q237" i="11"/>
  <c r="P282" i="11"/>
  <c r="Q254" i="11"/>
  <c r="Q258" i="11"/>
  <c r="Q276" i="11"/>
  <c r="P291" i="11"/>
  <c r="K306" i="11"/>
  <c r="L306" i="11" s="1"/>
  <c r="K236" i="11"/>
  <c r="L236" i="11" s="1"/>
  <c r="K234" i="11"/>
  <c r="L234" i="11" s="1"/>
  <c r="K255" i="11"/>
  <c r="L255" i="11" s="1"/>
  <c r="K277" i="11"/>
  <c r="M277" i="11" s="1"/>
  <c r="K279" i="11"/>
  <c r="M279" i="11" s="1"/>
  <c r="K271" i="11"/>
  <c r="L271" i="11" s="1"/>
  <c r="K262" i="11"/>
  <c r="L262" i="11" s="1"/>
  <c r="K291" i="11"/>
  <c r="L291" i="11" s="1"/>
  <c r="K269" i="11"/>
  <c r="L269" i="11" s="1"/>
  <c r="K296" i="11"/>
  <c r="L296" i="11" s="1"/>
  <c r="P293" i="11"/>
  <c r="Q245" i="11"/>
  <c r="Q265" i="11"/>
  <c r="K295" i="11"/>
  <c r="M295" i="11" s="1"/>
  <c r="K267" i="11"/>
  <c r="M267" i="11" s="1"/>
  <c r="K276" i="11"/>
  <c r="L276" i="11" s="1"/>
  <c r="K280" i="11"/>
  <c r="L280" i="11" s="1"/>
  <c r="K242" i="11"/>
  <c r="L242" i="11" s="1"/>
  <c r="K272" i="11"/>
  <c r="M272" i="11" s="1"/>
  <c r="K299" i="11"/>
  <c r="M299" i="11" s="1"/>
  <c r="Q234" i="11"/>
  <c r="P241" i="11"/>
  <c r="K240" i="11"/>
  <c r="L240" i="11" s="1"/>
  <c r="K244" i="11"/>
  <c r="L244" i="11" s="1"/>
  <c r="K260" i="11"/>
  <c r="L260" i="11" s="1"/>
  <c r="K300" i="11"/>
  <c r="M300" i="11" s="1"/>
  <c r="K264" i="11"/>
  <c r="L264" i="11" s="1"/>
  <c r="K233" i="11"/>
  <c r="L233" i="11" s="1"/>
  <c r="K293" i="11"/>
  <c r="M293" i="11" s="1"/>
  <c r="I259" i="11"/>
  <c r="H237" i="11"/>
  <c r="I236" i="11"/>
  <c r="J45" i="29"/>
  <c r="K45" i="29" s="1"/>
  <c r="E45" i="29"/>
  <c r="N56" i="29"/>
  <c r="O56" i="29" s="1"/>
  <c r="E38" i="29"/>
  <c r="J38" i="29"/>
  <c r="K38" i="29" s="1"/>
  <c r="N38" i="29"/>
  <c r="O38" i="29" s="1"/>
  <c r="F56" i="29"/>
  <c r="G56" i="29" s="1"/>
  <c r="E57" i="29"/>
  <c r="J56" i="29"/>
  <c r="K56" i="29" s="1"/>
  <c r="N57" i="29"/>
  <c r="O57" i="29" s="1"/>
  <c r="N66" i="29"/>
  <c r="O66" i="29" s="1"/>
  <c r="N59" i="29"/>
  <c r="O59" i="29" s="1"/>
  <c r="F66" i="29"/>
  <c r="G66" i="29" s="1"/>
  <c r="F59" i="29"/>
  <c r="G59" i="29" s="1"/>
  <c r="F63" i="29"/>
  <c r="G63" i="29" s="1"/>
  <c r="N61" i="29"/>
  <c r="O61" i="29" s="1"/>
  <c r="E63" i="29"/>
  <c r="E66" i="29"/>
  <c r="J63" i="29"/>
  <c r="K63" i="29" s="1"/>
  <c r="E59" i="29"/>
  <c r="F61" i="29"/>
  <c r="G61" i="29" s="1"/>
  <c r="N40" i="29"/>
  <c r="O40" i="29" s="1"/>
  <c r="J39" i="29"/>
  <c r="K39" i="29" s="1"/>
  <c r="F40" i="29"/>
  <c r="G40" i="29" s="1"/>
  <c r="N39" i="29"/>
  <c r="O39" i="29" s="1"/>
  <c r="J40" i="29"/>
  <c r="K40" i="29" s="1"/>
  <c r="F58" i="29"/>
  <c r="G58" i="29" s="1"/>
  <c r="F60" i="29"/>
  <c r="G60" i="29" s="1"/>
  <c r="N58" i="29"/>
  <c r="O58" i="29" s="1"/>
  <c r="J47" i="29"/>
  <c r="K47" i="29" s="1"/>
  <c r="F51" i="29"/>
  <c r="G51" i="29" s="1"/>
  <c r="N60" i="29"/>
  <c r="O60" i="29" s="1"/>
  <c r="F47" i="29"/>
  <c r="G47" i="29" s="1"/>
  <c r="E51" i="29"/>
  <c r="J33" i="29"/>
  <c r="K33" i="29" s="1"/>
  <c r="N33" i="29"/>
  <c r="O33" i="29" s="1"/>
  <c r="F33" i="29"/>
  <c r="G33" i="29" s="1"/>
  <c r="N47" i="29"/>
  <c r="O47" i="29" s="1"/>
  <c r="E60" i="29"/>
  <c r="N68" i="29"/>
  <c r="O68" i="29" s="1"/>
  <c r="J51" i="29"/>
  <c r="K51" i="29" s="1"/>
  <c r="E58" i="29"/>
  <c r="E68" i="29"/>
  <c r="F68" i="29"/>
  <c r="G68" i="29" s="1"/>
  <c r="F54" i="29"/>
  <c r="G54" i="29" s="1"/>
  <c r="E44" i="29"/>
  <c r="E61" i="29"/>
  <c r="J49" i="29"/>
  <c r="K49" i="29" s="1"/>
  <c r="E54" i="29"/>
  <c r="J54" i="29"/>
  <c r="K54" i="29" s="1"/>
  <c r="E49" i="29"/>
  <c r="N49" i="29"/>
  <c r="O49" i="29" s="1"/>
  <c r="F53" i="29"/>
  <c r="G53" i="29" s="1"/>
  <c r="J53" i="29"/>
  <c r="K53" i="29" s="1"/>
  <c r="N53" i="29"/>
  <c r="O53" i="29" s="1"/>
  <c r="N44" i="29"/>
  <c r="O44" i="29" s="1"/>
  <c r="J44" i="29"/>
  <c r="K44" i="29" s="1"/>
  <c r="T226" i="11"/>
  <c r="E226" i="11" s="1"/>
  <c r="B311" i="11" s="1"/>
  <c r="L301" i="11" l="1"/>
  <c r="M261" i="11"/>
  <c r="L293" i="11"/>
  <c r="M297" i="11"/>
  <c r="L289" i="11"/>
  <c r="L302" i="11"/>
  <c r="M284" i="11"/>
  <c r="M276" i="11"/>
  <c r="L295" i="11"/>
  <c r="M280" i="11"/>
  <c r="L267" i="11"/>
  <c r="M306" i="11"/>
  <c r="L305" i="11"/>
  <c r="L273" i="11"/>
  <c r="L258" i="11"/>
  <c r="M263" i="11"/>
  <c r="M278" i="11"/>
  <c r="M290" i="11"/>
  <c r="L300" i="11"/>
  <c r="L299" i="11"/>
  <c r="M296" i="11"/>
  <c r="M291" i="11"/>
  <c r="M271" i="11"/>
  <c r="L277" i="11"/>
  <c r="M307" i="11"/>
  <c r="L268" i="11"/>
  <c r="L281" i="11"/>
  <c r="L259" i="11"/>
  <c r="M304" i="11"/>
  <c r="L287" i="11"/>
  <c r="M264" i="11"/>
  <c r="M260" i="11"/>
  <c r="L272" i="11"/>
  <c r="M269" i="11"/>
  <c r="M262" i="11"/>
  <c r="L279" i="11"/>
  <c r="L294" i="11"/>
  <c r="M303" i="11"/>
  <c r="L265" i="11"/>
  <c r="M266" i="11"/>
  <c r="L283" i="11"/>
  <c r="L231" i="11"/>
  <c r="L235" i="11"/>
  <c r="L256" i="11"/>
  <c r="M257" i="11"/>
  <c r="L248" i="11"/>
  <c r="L251" i="11"/>
  <c r="M246" i="11"/>
  <c r="M249" i="11"/>
  <c r="M240" i="11"/>
  <c r="M242" i="11"/>
  <c r="M234" i="11"/>
  <c r="M244" i="11"/>
  <c r="L237" i="11"/>
  <c r="M243" i="11"/>
  <c r="M247" i="11"/>
  <c r="M233" i="11"/>
  <c r="M241" i="11"/>
  <c r="M255" i="11"/>
  <c r="M23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REICH Hermine</author>
  </authors>
  <commentList>
    <comment ref="C472" authorId="0" shapeId="0" xr:uid="{00000000-0006-0000-0200-000001000000}">
      <text>
        <r>
          <rPr>
            <b/>
            <sz val="9"/>
            <color indexed="81"/>
            <rFont val="Tahoma"/>
            <family val="2"/>
          </rPr>
          <t>REICH Hermine:</t>
        </r>
        <r>
          <rPr>
            <sz val="9"/>
            <color indexed="81"/>
            <rFont val="Tahoma"/>
            <family val="2"/>
          </rPr>
          <t xml:space="preserve">
changed to kales (boiled) from kales processed, not specified
</t>
        </r>
      </text>
    </comment>
    <comment ref="O472" authorId="0" shapeId="0" xr:uid="{00000000-0006-0000-0200-000002000000}">
      <text>
        <r>
          <rPr>
            <b/>
            <sz val="9"/>
            <color indexed="81"/>
            <rFont val="Tahoma"/>
            <family val="2"/>
          </rPr>
          <t>REICH Hermine:</t>
        </r>
        <r>
          <rPr>
            <sz val="9"/>
            <color indexed="81"/>
            <rFont val="Tahoma"/>
            <family val="2"/>
          </rPr>
          <t xml:space="preserve">
corrected in rev. 3.1</t>
        </r>
      </text>
    </comment>
    <comment ref="C475" authorId="0" shapeId="0" xr:uid="{00000000-0006-0000-0200-000003000000}">
      <text>
        <r>
          <rPr>
            <b/>
            <sz val="9"/>
            <color indexed="81"/>
            <rFont val="Tahoma"/>
            <family val="2"/>
          </rPr>
          <t>REICH Hermine:</t>
        </r>
        <r>
          <rPr>
            <sz val="9"/>
            <color indexed="81"/>
            <rFont val="Tahoma"/>
            <family val="2"/>
          </rPr>
          <t xml:space="preserve">
changed from spinach frozen   to spianch frozen, boiled</t>
        </r>
      </text>
    </comment>
    <comment ref="O490" authorId="0" shapeId="0" xr:uid="{00000000-0006-0000-0200-000004000000}">
      <text>
        <r>
          <rPr>
            <b/>
            <sz val="9"/>
            <color indexed="81"/>
            <rFont val="Tahoma"/>
            <family val="2"/>
          </rPr>
          <t>REICH Hermine:</t>
        </r>
        <r>
          <rPr>
            <sz val="9"/>
            <color indexed="81"/>
            <rFont val="Tahoma"/>
            <family val="2"/>
          </rPr>
          <t xml:space="preserve">
corrected in rev. 3.1</t>
        </r>
      </text>
    </comment>
    <comment ref="C498" authorId="0" shapeId="0" xr:uid="{00000000-0006-0000-0200-000005000000}">
      <text>
        <r>
          <rPr>
            <b/>
            <sz val="9"/>
            <color indexed="81"/>
            <rFont val="Tahoma"/>
            <family val="2"/>
          </rPr>
          <t>REICH Hermine:</t>
        </r>
        <r>
          <rPr>
            <sz val="9"/>
            <color indexed="81"/>
            <rFont val="Tahoma"/>
            <family val="2"/>
          </rPr>
          <t xml:space="preserve">
changed from rapessed /processed (not specified) to rapeseeds/oils.</t>
        </r>
      </text>
    </comment>
    <comment ref="C502" authorId="0" shapeId="0" xr:uid="{00000000-0006-0000-0200-000006000000}">
      <text>
        <r>
          <rPr>
            <b/>
            <sz val="9"/>
            <color indexed="81"/>
            <rFont val="Tahoma"/>
            <family val="2"/>
          </rPr>
          <t>REICH Hermine:</t>
        </r>
        <r>
          <rPr>
            <sz val="9"/>
            <color indexed="81"/>
            <rFont val="Tahoma"/>
            <family val="2"/>
          </rPr>
          <t xml:space="preserve">
No descrition of the type of processed product available; presumably it refers to oil. </t>
        </r>
      </text>
    </comment>
    <comment ref="C503" authorId="0" shapeId="0" xr:uid="{00000000-0006-0000-0200-000007000000}">
      <text>
        <r>
          <rPr>
            <b/>
            <sz val="9"/>
            <color indexed="81"/>
            <rFont val="Tahoma"/>
            <family val="2"/>
          </rPr>
          <t>REICH Hermine:</t>
        </r>
        <r>
          <rPr>
            <sz val="9"/>
            <color indexed="81"/>
            <rFont val="Tahoma"/>
            <family val="2"/>
          </rPr>
          <t xml:space="preserve">
No descrition of the type of processed product available; presumably it refers to oil. </t>
        </r>
      </text>
    </comment>
    <comment ref="O534" authorId="0" shapeId="0" xr:uid="{00000000-0006-0000-0200-000008000000}">
      <text>
        <r>
          <rPr>
            <b/>
            <sz val="9"/>
            <color indexed="81"/>
            <rFont val="Tahoma"/>
            <family val="2"/>
          </rPr>
          <t>REICH Hermine:</t>
        </r>
        <r>
          <rPr>
            <sz val="9"/>
            <color indexed="81"/>
            <rFont val="Tahoma"/>
            <family val="2"/>
          </rPr>
          <t xml:space="preserve">
corrected in rev. 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Hermine Reich</author>
  </authors>
  <commentList>
    <comment ref="A10" authorId="0" shapeId="0" xr:uid="{00000000-0006-0000-0300-000001000000}">
      <text>
        <r>
          <rPr>
            <sz val="10"/>
            <color indexed="81"/>
            <rFont val="Tahoma"/>
            <family val="2"/>
          </rPr>
          <t xml:space="preserve">Use hyperlink to swich calculation mode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Hermine Reich</author>
  </authors>
  <commentList>
    <comment ref="A10" authorId="0" shapeId="0" xr:uid="{00000000-0006-0000-0500-000001000000}">
      <text>
        <r>
          <rPr>
            <sz val="10"/>
            <color indexed="81"/>
            <rFont val="Tahoma"/>
            <family val="2"/>
          </rPr>
          <t xml:space="preserve">Use hyperlink to swich calculation mode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REICH Hermine</author>
  </authors>
  <commentList>
    <comment ref="Q245" authorId="0" shapeId="0" xr:uid="{00000000-0006-0000-0600-000001000000}">
      <text>
        <r>
          <rPr>
            <b/>
            <sz val="9"/>
            <color indexed="81"/>
            <rFont val="Tahoma"/>
            <family val="2"/>
          </rPr>
          <t>REICH Hermine:</t>
        </r>
        <r>
          <rPr>
            <sz val="9"/>
            <color indexed="81"/>
            <rFont val="Tahoma"/>
            <family val="2"/>
          </rPr>
          <t xml:space="preserve">
The major part of the Dutch maize consumption is related to processed products, such as oil, flour, flake, reporting the individual mean consumption expressed as EP for these fractions. Thus, if there is a need to perform a refined chronic intake assessment and processing factors are available for the different fractions, the exposure calculation can be refined. 
In a separate spreadsheet (NL_consumpiton_maize) the detailed consumption data for the different processed maize products are reported. 
</t>
        </r>
      </text>
    </comment>
    <comment ref="R245" authorId="0" shapeId="0" xr:uid="{00000000-0006-0000-0600-000002000000}">
      <text>
        <r>
          <rPr>
            <b/>
            <sz val="9"/>
            <color indexed="81"/>
            <rFont val="Tahoma"/>
            <family val="2"/>
          </rPr>
          <t>REICH Hermine:</t>
        </r>
        <r>
          <rPr>
            <sz val="9"/>
            <color indexed="81"/>
            <rFont val="Tahoma"/>
            <family val="2"/>
          </rPr>
          <t xml:space="preserve">
See comments n maize for NL toddler. 
</t>
        </r>
      </text>
    </comment>
    <comment ref="AC245" authorId="0" shapeId="0" xr:uid="{00000000-0006-0000-0600-000003000000}">
      <text>
        <r>
          <rPr>
            <b/>
            <sz val="9"/>
            <color indexed="81"/>
            <rFont val="Tahoma"/>
            <family val="2"/>
          </rPr>
          <t>REICH Hermine:</t>
        </r>
        <r>
          <rPr>
            <sz val="9"/>
            <color indexed="81"/>
            <rFont val="Tahoma"/>
            <family val="2"/>
          </rPr>
          <t xml:space="preserve">
See comments on maize/NL toddler.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REICH Hermine</author>
  </authors>
  <commentList>
    <comment ref="O14" authorId="0" shapeId="0" xr:uid="{00000000-0006-0000-0700-000001000000}">
      <text>
        <r>
          <rPr>
            <b/>
            <sz val="9"/>
            <color indexed="81"/>
            <rFont val="Tahoma"/>
            <family val="2"/>
          </rPr>
          <t>REICH Hermine:</t>
        </r>
        <r>
          <rPr>
            <sz val="9"/>
            <color indexed="81"/>
            <rFont val="Tahoma"/>
            <family val="2"/>
          </rPr>
          <t xml:space="preserve">
calculated LP to match with VELS result
</t>
        </r>
      </text>
    </comment>
    <comment ref="O16" authorId="0" shapeId="0" xr:uid="{00000000-0006-0000-0700-000002000000}">
      <text>
        <r>
          <rPr>
            <b/>
            <sz val="9"/>
            <color indexed="81"/>
            <rFont val="Tahoma"/>
            <family val="2"/>
          </rPr>
          <t>REICH Hermine:</t>
        </r>
        <r>
          <rPr>
            <sz val="9"/>
            <color indexed="81"/>
            <rFont val="Tahoma"/>
            <family val="2"/>
          </rPr>
          <t xml:space="preserve">
the LP reported in the German VELS model was not recalculated to match with the results of the VELS model, because this would lead to unrealistically high large portion (400 g of lemons are not likely to be consumed by a child of 16.15 kg bw). 
</t>
        </r>
      </text>
    </comment>
    <comment ref="O18" authorId="0" shapeId="0" xr:uid="{00000000-0006-0000-0700-000003000000}">
      <text>
        <r>
          <rPr>
            <b/>
            <sz val="9"/>
            <color indexed="81"/>
            <rFont val="Tahoma"/>
            <family val="2"/>
          </rPr>
          <t>REICH Hermine:</t>
        </r>
        <r>
          <rPr>
            <sz val="9"/>
            <color indexed="81"/>
            <rFont val="Tahoma"/>
            <family val="2"/>
          </rPr>
          <t xml:space="preserve">
Dutch request, 16 November 2018
</t>
        </r>
      </text>
    </comment>
    <comment ref="O41" authorId="0" shapeId="0" xr:uid="{00000000-0006-0000-0700-000004000000}">
      <text>
        <r>
          <rPr>
            <b/>
            <sz val="9"/>
            <color indexed="81"/>
            <rFont val="Tahoma"/>
            <family val="2"/>
          </rPr>
          <t>REICH Hermine:</t>
        </r>
        <r>
          <rPr>
            <sz val="9"/>
            <color indexed="81"/>
            <rFont val="Tahoma"/>
            <family val="2"/>
          </rPr>
          <t xml:space="preserve">
calculated LP to match with VELS result
</t>
        </r>
      </text>
    </comment>
    <comment ref="O49" authorId="0" shapeId="0" xr:uid="{00000000-0006-0000-0700-000005000000}">
      <text>
        <r>
          <rPr>
            <b/>
            <sz val="9"/>
            <color indexed="81"/>
            <rFont val="Tahoma"/>
            <family val="2"/>
          </rPr>
          <t>REICH Hermine:</t>
        </r>
        <r>
          <rPr>
            <sz val="9"/>
            <color indexed="81"/>
            <rFont val="Tahoma"/>
            <family val="2"/>
          </rPr>
          <t xml:space="preserve">
corrected in rev. 3.1</t>
        </r>
      </text>
    </comment>
    <comment ref="O57" authorId="0" shapeId="0" xr:uid="{00000000-0006-0000-0700-000006000000}">
      <text>
        <r>
          <rPr>
            <b/>
            <sz val="9"/>
            <color indexed="81"/>
            <rFont val="Tahoma"/>
            <family val="2"/>
          </rPr>
          <t>REICH Hermine:</t>
        </r>
        <r>
          <rPr>
            <sz val="9"/>
            <color indexed="81"/>
            <rFont val="Tahoma"/>
            <family val="2"/>
          </rPr>
          <t xml:space="preserve">
Dutch proposal 20/11/2018
</t>
        </r>
      </text>
    </comment>
    <comment ref="O58" authorId="0" shapeId="0" xr:uid="{00000000-0006-0000-0700-000007000000}">
      <text>
        <r>
          <rPr>
            <b/>
            <sz val="9"/>
            <color indexed="81"/>
            <rFont val="Tahoma"/>
            <family val="2"/>
          </rPr>
          <t>REICH Hermine:</t>
        </r>
        <r>
          <rPr>
            <sz val="9"/>
            <color indexed="81"/>
            <rFont val="Tahoma"/>
            <family val="2"/>
          </rPr>
          <t xml:space="preserve">
Dutch proposal 20/11/2018
</t>
        </r>
      </text>
    </comment>
    <comment ref="O73" authorId="0" shapeId="0" xr:uid="{00000000-0006-0000-0700-000008000000}">
      <text>
        <r>
          <rPr>
            <b/>
            <sz val="9"/>
            <color indexed="81"/>
            <rFont val="Tahoma"/>
            <family val="2"/>
          </rPr>
          <t>REICH Hermine:</t>
        </r>
        <r>
          <rPr>
            <sz val="9"/>
            <color indexed="81"/>
            <rFont val="Tahoma"/>
            <family val="2"/>
          </rPr>
          <t xml:space="preserve">
calculated LP to match with VELS result
</t>
        </r>
      </text>
    </comment>
    <comment ref="O85" authorId="0" shapeId="0" xr:uid="{00000000-0006-0000-0700-000009000000}">
      <text>
        <r>
          <rPr>
            <b/>
            <sz val="9"/>
            <color indexed="81"/>
            <rFont val="Tahoma"/>
            <family val="2"/>
          </rPr>
          <t>REICH Hermine:</t>
        </r>
        <r>
          <rPr>
            <sz val="9"/>
            <color indexed="81"/>
            <rFont val="Tahoma"/>
            <family val="2"/>
          </rPr>
          <t xml:space="preserve">
calculated LP to match with VELS result
</t>
        </r>
      </text>
    </comment>
    <comment ref="O107" authorId="0" shapeId="0" xr:uid="{00000000-0006-0000-0700-00000A000000}">
      <text>
        <r>
          <rPr>
            <b/>
            <sz val="9"/>
            <color indexed="81"/>
            <rFont val="Tahoma"/>
            <family val="2"/>
          </rPr>
          <t>REICH Hermine:</t>
        </r>
        <r>
          <rPr>
            <sz val="9"/>
            <color indexed="81"/>
            <rFont val="Tahoma"/>
            <family val="2"/>
          </rPr>
          <t xml:space="preserve">
Dutch proposal 20/11/2018
</t>
        </r>
      </text>
    </comment>
    <comment ref="U108" authorId="0" shapeId="0" xr:uid="{00000000-0006-0000-0700-00000B000000}">
      <text>
        <r>
          <rPr>
            <b/>
            <sz val="9"/>
            <color indexed="81"/>
            <rFont val="Tahoma"/>
            <family val="2"/>
          </rPr>
          <t>REICH Hermine:</t>
        </r>
        <r>
          <rPr>
            <sz val="9"/>
            <color indexed="81"/>
            <rFont val="Tahoma"/>
            <family val="2"/>
          </rPr>
          <t xml:space="preserve">
corrected i rev. 3.1</t>
        </r>
      </text>
    </comment>
    <comment ref="T111" authorId="0" shapeId="0" xr:uid="{00000000-0006-0000-0700-00000C000000}">
      <text>
        <r>
          <rPr>
            <b/>
            <sz val="9"/>
            <color indexed="81"/>
            <rFont val="Tahoma"/>
            <family val="2"/>
          </rPr>
          <t>REICH Hermine:</t>
        </r>
        <r>
          <rPr>
            <sz val="9"/>
            <color indexed="81"/>
            <rFont val="Tahoma"/>
            <family val="2"/>
          </rPr>
          <t xml:space="preserve">
corrected in rev. 3.1</t>
        </r>
      </text>
    </comment>
    <comment ref="U111" authorId="0" shapeId="0" xr:uid="{00000000-0006-0000-0700-00000D000000}">
      <text>
        <r>
          <rPr>
            <b/>
            <sz val="9"/>
            <color indexed="81"/>
            <rFont val="Tahoma"/>
            <family val="2"/>
          </rPr>
          <t>REICH Hermine:</t>
        </r>
        <r>
          <rPr>
            <sz val="9"/>
            <color indexed="81"/>
            <rFont val="Tahoma"/>
            <family val="2"/>
          </rPr>
          <t xml:space="preserve">
corrected in rev. 3.1</t>
        </r>
      </text>
    </comment>
    <comment ref="V111" authorId="0" shapeId="0" xr:uid="{00000000-0006-0000-0700-00000E000000}">
      <text>
        <r>
          <rPr>
            <b/>
            <sz val="9"/>
            <color indexed="81"/>
            <rFont val="Tahoma"/>
            <family val="2"/>
          </rPr>
          <t>REICH Hermine:</t>
        </r>
        <r>
          <rPr>
            <sz val="9"/>
            <color indexed="81"/>
            <rFont val="Tahoma"/>
            <family val="2"/>
          </rPr>
          <t xml:space="preserve">
corrected in rev. 3.1</t>
        </r>
      </text>
    </comment>
    <comment ref="W111" authorId="0" shapeId="0" xr:uid="{00000000-0006-0000-0700-00000F000000}">
      <text>
        <r>
          <rPr>
            <b/>
            <sz val="9"/>
            <color indexed="81"/>
            <rFont val="Tahoma"/>
            <family val="2"/>
          </rPr>
          <t>REICH Hermine:</t>
        </r>
        <r>
          <rPr>
            <sz val="9"/>
            <color indexed="81"/>
            <rFont val="Tahoma"/>
            <family val="2"/>
          </rPr>
          <t xml:space="preserve">
corrected in rev. 3.1</t>
        </r>
      </text>
    </comment>
    <comment ref="O128" authorId="0" shapeId="0" xr:uid="{00000000-0006-0000-0700-000010000000}">
      <text>
        <r>
          <rPr>
            <b/>
            <sz val="9"/>
            <color indexed="81"/>
            <rFont val="Tahoma"/>
            <family val="2"/>
          </rPr>
          <t>REICH Hermine:</t>
        </r>
        <r>
          <rPr>
            <sz val="9"/>
            <color indexed="81"/>
            <rFont val="Tahoma"/>
            <family val="2"/>
          </rPr>
          <t xml:space="preserve">
calculated LP to match with VELS result
</t>
        </r>
      </text>
    </comment>
    <comment ref="T133" authorId="0" shapeId="0" xr:uid="{00000000-0006-0000-0700-000011000000}">
      <text>
        <r>
          <rPr>
            <b/>
            <sz val="9"/>
            <color indexed="81"/>
            <rFont val="Tahoma"/>
            <family val="2"/>
          </rPr>
          <t>REICH Hermine:</t>
        </r>
        <r>
          <rPr>
            <sz val="9"/>
            <color indexed="81"/>
            <rFont val="Tahoma"/>
            <family val="2"/>
          </rPr>
          <t xml:space="preserve">
corrected in rev. 3.1</t>
        </r>
      </text>
    </comment>
    <comment ref="V133" authorId="0" shapeId="0" xr:uid="{00000000-0006-0000-0700-000012000000}">
      <text>
        <r>
          <rPr>
            <b/>
            <sz val="9"/>
            <color indexed="81"/>
            <rFont val="Tahoma"/>
            <family val="2"/>
          </rPr>
          <t>REICH Hermine:</t>
        </r>
        <r>
          <rPr>
            <sz val="9"/>
            <color indexed="81"/>
            <rFont val="Tahoma"/>
            <family val="2"/>
          </rPr>
          <t xml:space="preserve">
corrected in rev. 3.1</t>
        </r>
      </text>
    </comment>
    <comment ref="O139" authorId="0" shapeId="0" xr:uid="{00000000-0006-0000-0700-000013000000}">
      <text>
        <r>
          <rPr>
            <b/>
            <sz val="9"/>
            <color indexed="81"/>
            <rFont val="Tahoma"/>
            <family val="2"/>
          </rPr>
          <t>REICH Hermine:</t>
        </r>
        <r>
          <rPr>
            <sz val="9"/>
            <color indexed="81"/>
            <rFont val="Tahoma"/>
            <family val="2"/>
          </rPr>
          <t xml:space="preserve">
DE LP replaced with BE LP</t>
        </r>
      </text>
    </comment>
    <comment ref="O142" authorId="0" shapeId="0" xr:uid="{00000000-0006-0000-0700-000014000000}">
      <text>
        <r>
          <rPr>
            <b/>
            <sz val="9"/>
            <color indexed="81"/>
            <rFont val="Tahoma"/>
            <family val="2"/>
          </rPr>
          <t>REICH Hermine:</t>
        </r>
        <r>
          <rPr>
            <sz val="9"/>
            <color indexed="81"/>
            <rFont val="Tahoma"/>
            <family val="2"/>
          </rPr>
          <t xml:space="preserve">
DE LP replaced with BE LP</t>
        </r>
      </text>
    </comment>
    <comment ref="W142" authorId="0" shapeId="0" xr:uid="{00000000-0006-0000-0700-000015000000}">
      <text>
        <r>
          <rPr>
            <b/>
            <sz val="9"/>
            <color indexed="81"/>
            <rFont val="Tahoma"/>
            <family val="2"/>
          </rPr>
          <t>REICH Hermine:</t>
        </r>
        <r>
          <rPr>
            <sz val="9"/>
            <color indexed="81"/>
            <rFont val="Tahoma"/>
            <family val="2"/>
          </rPr>
          <t xml:space="preserve">
corrected rev. 3.1</t>
        </r>
      </text>
    </comment>
    <comment ref="O155" authorId="0" shapeId="0" xr:uid="{00000000-0006-0000-0700-000016000000}">
      <text>
        <r>
          <rPr>
            <b/>
            <sz val="9"/>
            <color indexed="81"/>
            <rFont val="Tahoma"/>
            <family val="2"/>
          </rPr>
          <t>REICH Hermine:</t>
        </r>
        <r>
          <rPr>
            <sz val="9"/>
            <color indexed="81"/>
            <rFont val="Tahoma"/>
            <family val="2"/>
          </rPr>
          <t xml:space="preserve">
calculated LP to match with VELS result
</t>
        </r>
      </text>
    </comment>
    <comment ref="O157" authorId="0" shapeId="0" xr:uid="{00000000-0006-0000-0700-000017000000}">
      <text>
        <r>
          <rPr>
            <b/>
            <sz val="9"/>
            <color indexed="81"/>
            <rFont val="Tahoma"/>
            <family val="2"/>
          </rPr>
          <t>REICH Hermine:</t>
        </r>
        <r>
          <rPr>
            <sz val="9"/>
            <color indexed="81"/>
            <rFont val="Tahoma"/>
            <family val="2"/>
          </rPr>
          <t xml:space="preserve">
calculated LP to match with VELS result
</t>
        </r>
      </text>
    </comment>
    <comment ref="O172" authorId="0" shapeId="0" xr:uid="{00000000-0006-0000-0700-000018000000}">
      <text>
        <r>
          <rPr>
            <b/>
            <sz val="9"/>
            <color indexed="81"/>
            <rFont val="Tahoma"/>
            <family val="2"/>
          </rPr>
          <t>REICH Hermine:</t>
        </r>
        <r>
          <rPr>
            <sz val="9"/>
            <color indexed="81"/>
            <rFont val="Tahoma"/>
            <family val="2"/>
          </rPr>
          <t xml:space="preserve">
LP wasnot changed; difference to DE model is resulting from IESTI case 2a/2b. In DE model calculation according to case 3.
 </t>
        </r>
      </text>
    </comment>
    <comment ref="O180" authorId="0" shapeId="0" xr:uid="{00000000-0006-0000-0700-000019000000}">
      <text>
        <r>
          <rPr>
            <b/>
            <sz val="9"/>
            <color indexed="81"/>
            <rFont val="Tahoma"/>
            <family val="2"/>
          </rPr>
          <t>REICH Hermine:</t>
        </r>
        <r>
          <rPr>
            <sz val="9"/>
            <color indexed="81"/>
            <rFont val="Tahoma"/>
            <family val="2"/>
          </rPr>
          <t xml:space="preserve">
Dutch proposal 20/11/2018</t>
        </r>
      </text>
    </comment>
    <comment ref="O190" authorId="0" shapeId="0" xr:uid="{00000000-0006-0000-0700-00001A000000}">
      <text>
        <r>
          <rPr>
            <b/>
            <sz val="9"/>
            <color indexed="81"/>
            <rFont val="Tahoma"/>
            <family val="2"/>
          </rPr>
          <t>REICH Hermine:</t>
        </r>
        <r>
          <rPr>
            <sz val="9"/>
            <color indexed="81"/>
            <rFont val="Tahoma"/>
            <family val="2"/>
          </rPr>
          <t xml:space="preserve">
Dutch proposal 20/11/2018</t>
        </r>
      </text>
    </comment>
    <comment ref="O192" authorId="0" shapeId="0" xr:uid="{00000000-0006-0000-0700-00001B000000}">
      <text>
        <r>
          <rPr>
            <b/>
            <sz val="9"/>
            <color indexed="81"/>
            <rFont val="Tahoma"/>
            <family val="2"/>
          </rPr>
          <t>REICH Hermine:</t>
        </r>
        <r>
          <rPr>
            <sz val="9"/>
            <color indexed="81"/>
            <rFont val="Tahoma"/>
            <family val="2"/>
          </rPr>
          <t xml:space="preserve">
Dutch proposal 20/11/2018</t>
        </r>
      </text>
    </comment>
    <comment ref="O197" authorId="0" shapeId="0" xr:uid="{00000000-0006-0000-0700-00001C000000}">
      <text>
        <r>
          <rPr>
            <b/>
            <sz val="9"/>
            <color indexed="81"/>
            <rFont val="Tahoma"/>
            <family val="2"/>
          </rPr>
          <t>REICH Hermine:</t>
        </r>
        <r>
          <rPr>
            <sz val="9"/>
            <color indexed="81"/>
            <rFont val="Tahoma"/>
            <family val="2"/>
          </rPr>
          <t xml:space="preserve">
Dutch proposal 20/11/2018
</t>
        </r>
      </text>
    </comment>
    <comment ref="O200" authorId="0" shapeId="0" xr:uid="{00000000-0006-0000-0700-00001D000000}">
      <text>
        <r>
          <rPr>
            <b/>
            <sz val="9"/>
            <color indexed="81"/>
            <rFont val="Tahoma"/>
            <family val="2"/>
          </rPr>
          <t>REICH Hermine:</t>
        </r>
        <r>
          <rPr>
            <sz val="9"/>
            <color indexed="81"/>
            <rFont val="Tahoma"/>
            <family val="2"/>
          </rPr>
          <t xml:space="preserve">
DE LP replaced by BE
</t>
        </r>
      </text>
    </comment>
    <comment ref="X205" authorId="0" shapeId="0" xr:uid="{00000000-0006-0000-0700-00001E000000}">
      <text>
        <r>
          <rPr>
            <b/>
            <sz val="9"/>
            <color indexed="81"/>
            <rFont val="Tahoma"/>
            <family val="2"/>
          </rPr>
          <t>REICH Hermine:</t>
        </r>
        <r>
          <rPr>
            <sz val="9"/>
            <color indexed="81"/>
            <rFont val="Tahoma"/>
            <family val="2"/>
          </rPr>
          <t xml:space="preserve">
changed in rev. 3.1
</t>
        </r>
      </text>
    </comment>
    <comment ref="Y205" authorId="0" shapeId="0" xr:uid="{00000000-0006-0000-0700-00001F000000}">
      <text>
        <r>
          <rPr>
            <b/>
            <sz val="9"/>
            <color indexed="81"/>
            <rFont val="Tahoma"/>
            <family val="2"/>
          </rPr>
          <t>REICH Hermine:</t>
        </r>
        <r>
          <rPr>
            <sz val="9"/>
            <color indexed="81"/>
            <rFont val="Tahoma"/>
            <family val="2"/>
          </rPr>
          <t xml:space="preserve">
changed in rev. 3.1
</t>
        </r>
      </text>
    </comment>
    <comment ref="T209" authorId="0" shapeId="0" xr:uid="{00000000-0006-0000-0700-000020000000}">
      <text>
        <r>
          <rPr>
            <b/>
            <sz val="9"/>
            <color indexed="81"/>
            <rFont val="Tahoma"/>
            <family val="2"/>
          </rPr>
          <t>REICH Hermine:</t>
        </r>
        <r>
          <rPr>
            <sz val="9"/>
            <color indexed="81"/>
            <rFont val="Tahoma"/>
            <family val="2"/>
          </rPr>
          <t xml:space="preserve">
revised in rev. 3.1</t>
        </r>
      </text>
    </comment>
    <comment ref="V209" authorId="0" shapeId="0" xr:uid="{00000000-0006-0000-0700-000021000000}">
      <text>
        <r>
          <rPr>
            <b/>
            <sz val="9"/>
            <color indexed="81"/>
            <rFont val="Tahoma"/>
            <family val="2"/>
          </rPr>
          <t>REICH Hermine:</t>
        </r>
        <r>
          <rPr>
            <sz val="9"/>
            <color indexed="81"/>
            <rFont val="Tahoma"/>
            <family val="2"/>
          </rPr>
          <t xml:space="preserve">
revised in rev. 3.1
</t>
        </r>
      </text>
    </comment>
    <comment ref="X209" authorId="0" shapeId="0" xr:uid="{00000000-0006-0000-0700-000022000000}">
      <text>
        <r>
          <rPr>
            <b/>
            <sz val="9"/>
            <color indexed="81"/>
            <rFont val="Tahoma"/>
            <family val="2"/>
          </rPr>
          <t>REICH Hermine:</t>
        </r>
        <r>
          <rPr>
            <sz val="9"/>
            <color indexed="81"/>
            <rFont val="Tahoma"/>
            <family val="2"/>
          </rPr>
          <t xml:space="preserve">
changed in rev. 3.1
</t>
        </r>
      </text>
    </comment>
    <comment ref="Y209" authorId="0" shapeId="0" xr:uid="{00000000-0006-0000-0700-000023000000}">
      <text>
        <r>
          <rPr>
            <b/>
            <sz val="9"/>
            <color indexed="81"/>
            <rFont val="Tahoma"/>
            <family val="2"/>
          </rPr>
          <t>REICH Hermine:</t>
        </r>
        <r>
          <rPr>
            <sz val="9"/>
            <color indexed="81"/>
            <rFont val="Tahoma"/>
            <family val="2"/>
          </rPr>
          <t xml:space="preserve">
changed in rev. 3.1
</t>
        </r>
      </text>
    </comment>
    <comment ref="X211" authorId="0" shapeId="0" xr:uid="{00000000-0006-0000-0700-000024000000}">
      <text>
        <r>
          <rPr>
            <b/>
            <sz val="9"/>
            <color indexed="81"/>
            <rFont val="Tahoma"/>
            <family val="2"/>
          </rPr>
          <t>REICH Hermine:</t>
        </r>
        <r>
          <rPr>
            <sz val="9"/>
            <color indexed="81"/>
            <rFont val="Tahoma"/>
            <family val="2"/>
          </rPr>
          <t xml:space="preserve">
changed in rev. 3.1
</t>
        </r>
      </text>
    </comment>
    <comment ref="Y211" authorId="0" shapeId="0" xr:uid="{00000000-0006-0000-0700-000025000000}">
      <text>
        <r>
          <rPr>
            <b/>
            <sz val="9"/>
            <color indexed="81"/>
            <rFont val="Tahoma"/>
            <family val="2"/>
          </rPr>
          <t>REICH Hermine:</t>
        </r>
        <r>
          <rPr>
            <sz val="9"/>
            <color indexed="81"/>
            <rFont val="Tahoma"/>
            <family val="2"/>
          </rPr>
          <t xml:space="preserve">
changed in rev. 3.1
</t>
        </r>
      </text>
    </comment>
    <comment ref="X239" authorId="0" shapeId="0" xr:uid="{00000000-0006-0000-0700-000026000000}">
      <text>
        <r>
          <rPr>
            <b/>
            <sz val="9"/>
            <color indexed="81"/>
            <rFont val="Tahoma"/>
            <family val="2"/>
          </rPr>
          <t>REICH Hermine:</t>
        </r>
        <r>
          <rPr>
            <sz val="9"/>
            <color indexed="81"/>
            <rFont val="Tahoma"/>
            <family val="2"/>
          </rPr>
          <t xml:space="preserve">
changed in rev. 3.1
</t>
        </r>
      </text>
    </comment>
    <comment ref="Y239" authorId="0" shapeId="0" xr:uid="{00000000-0006-0000-0700-000027000000}">
      <text>
        <r>
          <rPr>
            <b/>
            <sz val="9"/>
            <color indexed="81"/>
            <rFont val="Tahoma"/>
            <family val="2"/>
          </rPr>
          <t>REICH Hermine:</t>
        </r>
        <r>
          <rPr>
            <sz val="9"/>
            <color indexed="81"/>
            <rFont val="Tahoma"/>
            <family val="2"/>
          </rPr>
          <t xml:space="preserve">
changed in rev. 3.1
</t>
        </r>
      </text>
    </comment>
    <comment ref="X254" authorId="0" shapeId="0" xr:uid="{00000000-0006-0000-0700-000028000000}">
      <text>
        <r>
          <rPr>
            <b/>
            <sz val="9"/>
            <color indexed="81"/>
            <rFont val="Tahoma"/>
            <family val="2"/>
          </rPr>
          <t>REICH Hermine:</t>
        </r>
        <r>
          <rPr>
            <sz val="9"/>
            <color indexed="81"/>
            <rFont val="Tahoma"/>
            <family val="2"/>
          </rPr>
          <t xml:space="preserve">
changed in rev. 3.1
</t>
        </r>
      </text>
    </comment>
    <comment ref="Y254" authorId="0" shapeId="0" xr:uid="{00000000-0006-0000-0700-000029000000}">
      <text>
        <r>
          <rPr>
            <b/>
            <sz val="9"/>
            <color indexed="81"/>
            <rFont val="Tahoma"/>
            <family val="2"/>
          </rPr>
          <t>REICH Hermine:</t>
        </r>
        <r>
          <rPr>
            <sz val="9"/>
            <color indexed="81"/>
            <rFont val="Tahoma"/>
            <family val="2"/>
          </rPr>
          <t xml:space="preserve">
changed in rev. 3.1
</t>
        </r>
      </text>
    </comment>
    <comment ref="X255" authorId="0" shapeId="0" xr:uid="{00000000-0006-0000-0700-00002A000000}">
      <text>
        <r>
          <rPr>
            <b/>
            <sz val="9"/>
            <color indexed="81"/>
            <rFont val="Tahoma"/>
            <family val="2"/>
          </rPr>
          <t>REICH Hermine:</t>
        </r>
        <r>
          <rPr>
            <sz val="9"/>
            <color indexed="81"/>
            <rFont val="Tahoma"/>
            <family val="2"/>
          </rPr>
          <t xml:space="preserve">
changed in rev. 3.1
</t>
        </r>
      </text>
    </comment>
    <comment ref="Y255" authorId="0" shapeId="0" xr:uid="{00000000-0006-0000-0700-00002B000000}">
      <text>
        <r>
          <rPr>
            <b/>
            <sz val="9"/>
            <color indexed="81"/>
            <rFont val="Tahoma"/>
            <family val="2"/>
          </rPr>
          <t>REICH Hermine:</t>
        </r>
        <r>
          <rPr>
            <sz val="9"/>
            <color indexed="81"/>
            <rFont val="Tahoma"/>
            <family val="2"/>
          </rPr>
          <t xml:space="preserve">
changed in rev. 3.1
</t>
        </r>
      </text>
    </comment>
    <comment ref="T297" authorId="0" shapeId="0" xr:uid="{00000000-0006-0000-0700-00002C000000}">
      <text>
        <r>
          <rPr>
            <b/>
            <sz val="9"/>
            <color indexed="81"/>
            <rFont val="Tahoma"/>
            <family val="2"/>
          </rPr>
          <t>REICH Hermine:</t>
        </r>
        <r>
          <rPr>
            <sz val="9"/>
            <color indexed="81"/>
            <rFont val="Tahoma"/>
            <family val="2"/>
          </rPr>
          <t xml:space="preserve">
corrected in rev. 3.1</t>
        </r>
      </text>
    </comment>
    <comment ref="V297" authorId="0" shapeId="0" xr:uid="{00000000-0006-0000-0700-00002D000000}">
      <text>
        <r>
          <rPr>
            <b/>
            <sz val="9"/>
            <color indexed="81"/>
            <rFont val="Tahoma"/>
            <family val="2"/>
          </rPr>
          <t>REICH Hermine:</t>
        </r>
        <r>
          <rPr>
            <sz val="9"/>
            <color indexed="81"/>
            <rFont val="Tahoma"/>
            <family val="2"/>
          </rPr>
          <t xml:space="preserve">
corrected in rev. 3.1</t>
        </r>
      </text>
    </comment>
    <comment ref="X321" authorId="0" shapeId="0" xr:uid="{00000000-0006-0000-0700-00002E000000}">
      <text>
        <r>
          <rPr>
            <b/>
            <sz val="9"/>
            <color indexed="81"/>
            <rFont val="Tahoma"/>
            <family val="2"/>
          </rPr>
          <t>REICH Hermine:</t>
        </r>
        <r>
          <rPr>
            <sz val="9"/>
            <color indexed="81"/>
            <rFont val="Tahoma"/>
            <family val="2"/>
          </rPr>
          <t xml:space="preserve">
changed in rev. 3.1
</t>
        </r>
      </text>
    </comment>
    <comment ref="Y321" authorId="0" shapeId="0" xr:uid="{00000000-0006-0000-0700-00002F000000}">
      <text>
        <r>
          <rPr>
            <b/>
            <sz val="9"/>
            <color indexed="81"/>
            <rFont val="Tahoma"/>
            <family val="2"/>
          </rPr>
          <t>REICH Hermine:</t>
        </r>
        <r>
          <rPr>
            <sz val="9"/>
            <color indexed="81"/>
            <rFont val="Tahoma"/>
            <family val="2"/>
          </rPr>
          <t xml:space="preserve">
changed in rev. 3.1
</t>
        </r>
      </text>
    </comment>
    <comment ref="O340" authorId="0" shapeId="0" xr:uid="{00000000-0006-0000-0700-000030000000}">
      <text>
        <r>
          <rPr>
            <b/>
            <sz val="9"/>
            <color indexed="81"/>
            <rFont val="Tahoma"/>
            <family val="2"/>
          </rPr>
          <t>REICH Hermine:</t>
        </r>
        <r>
          <rPr>
            <sz val="9"/>
            <color indexed="81"/>
            <rFont val="Tahoma"/>
            <family val="2"/>
          </rPr>
          <t xml:space="preserve">
Dutch request 16/11/2018</t>
        </r>
      </text>
    </comment>
    <comment ref="Z411" authorId="0" shapeId="0" xr:uid="{00000000-0006-0000-0700-000031000000}">
      <text>
        <r>
          <rPr>
            <b/>
            <sz val="9"/>
            <color indexed="81"/>
            <rFont val="Tahoma"/>
            <family val="2"/>
          </rPr>
          <t>REICH Hermine:</t>
        </r>
        <r>
          <rPr>
            <sz val="9"/>
            <color indexed="81"/>
            <rFont val="Tahoma"/>
            <family val="2"/>
          </rPr>
          <t xml:space="preserve">
check formula for 2b case!</t>
        </r>
      </text>
    </comment>
    <comment ref="O412" authorId="0" shapeId="0" xr:uid="{00000000-0006-0000-0700-000032000000}">
      <text>
        <r>
          <rPr>
            <b/>
            <sz val="9"/>
            <color indexed="81"/>
            <rFont val="Tahoma"/>
            <family val="2"/>
          </rPr>
          <t>REICH Hermine:</t>
        </r>
        <r>
          <rPr>
            <sz val="9"/>
            <color indexed="81"/>
            <rFont val="Tahoma"/>
            <family val="2"/>
          </rPr>
          <t xml:space="preserve">
replaced
</t>
        </r>
      </text>
    </comment>
    <comment ref="O416" authorId="0" shapeId="0" xr:uid="{00000000-0006-0000-0700-000033000000}">
      <text>
        <r>
          <rPr>
            <b/>
            <sz val="9"/>
            <color indexed="81"/>
            <rFont val="Tahoma"/>
            <family val="2"/>
          </rPr>
          <t>REICH Hermine:</t>
        </r>
        <r>
          <rPr>
            <sz val="9"/>
            <color indexed="81"/>
            <rFont val="Tahoma"/>
            <family val="2"/>
          </rPr>
          <t xml:space="preserve">
replaced
</t>
        </r>
      </text>
    </comment>
    <comment ref="O419" authorId="0" shapeId="0" xr:uid="{00000000-0006-0000-0700-000034000000}">
      <text>
        <r>
          <rPr>
            <b/>
            <sz val="9"/>
            <color indexed="81"/>
            <rFont val="Tahoma"/>
            <family val="2"/>
          </rPr>
          <t>REICH Hermine:</t>
        </r>
        <r>
          <rPr>
            <sz val="9"/>
            <color indexed="81"/>
            <rFont val="Tahoma"/>
            <family val="2"/>
          </rPr>
          <t xml:space="preserve">
replaced
</t>
        </r>
      </text>
    </comment>
    <comment ref="O420" authorId="0" shapeId="0" xr:uid="{00000000-0006-0000-0700-000035000000}">
      <text>
        <r>
          <rPr>
            <b/>
            <sz val="9"/>
            <color indexed="81"/>
            <rFont val="Tahoma"/>
            <family val="2"/>
          </rPr>
          <t>REICH Hermine:</t>
        </r>
        <r>
          <rPr>
            <sz val="9"/>
            <color indexed="81"/>
            <rFont val="Tahoma"/>
            <family val="2"/>
          </rPr>
          <t xml:space="preserve">
Dutch request 16/11/2018</t>
        </r>
      </text>
    </comment>
    <comment ref="T420" authorId="0" shapeId="0" xr:uid="{00000000-0006-0000-0700-000036000000}">
      <text>
        <r>
          <rPr>
            <b/>
            <sz val="9"/>
            <color indexed="81"/>
            <rFont val="Tahoma"/>
            <family val="2"/>
          </rPr>
          <t>REICH Hermine:</t>
        </r>
        <r>
          <rPr>
            <sz val="9"/>
            <color indexed="81"/>
            <rFont val="Tahoma"/>
            <family val="2"/>
          </rPr>
          <t xml:space="preserve">
Dutch request 16/11/2018</t>
        </r>
      </text>
    </comment>
    <comment ref="V420" authorId="0" shapeId="0" xr:uid="{00000000-0006-0000-0700-000037000000}">
      <text>
        <r>
          <rPr>
            <b/>
            <sz val="9"/>
            <color indexed="81"/>
            <rFont val="Tahoma"/>
            <family val="2"/>
          </rPr>
          <t>REICH Hermine:</t>
        </r>
        <r>
          <rPr>
            <sz val="9"/>
            <color indexed="81"/>
            <rFont val="Tahoma"/>
            <family val="2"/>
          </rPr>
          <t xml:space="preserve">
Dutch request 16/11/2018</t>
        </r>
      </text>
    </comment>
    <comment ref="O421" authorId="0" shapeId="0" xr:uid="{00000000-0006-0000-0700-000038000000}">
      <text>
        <r>
          <rPr>
            <b/>
            <sz val="9"/>
            <color indexed="81"/>
            <rFont val="Tahoma"/>
            <family val="2"/>
          </rPr>
          <t>REICH Hermine:</t>
        </r>
        <r>
          <rPr>
            <sz val="9"/>
            <color indexed="81"/>
            <rFont val="Tahoma"/>
            <family val="2"/>
          </rPr>
          <t xml:space="preserve">
replaced
</t>
        </r>
      </text>
    </comment>
    <comment ref="O423" authorId="0" shapeId="0" xr:uid="{00000000-0006-0000-0700-000039000000}">
      <text>
        <r>
          <rPr>
            <b/>
            <sz val="9"/>
            <color indexed="81"/>
            <rFont val="Tahoma"/>
            <family val="2"/>
          </rPr>
          <t>REICH Hermine:</t>
        </r>
        <r>
          <rPr>
            <sz val="9"/>
            <color indexed="81"/>
            <rFont val="Tahoma"/>
            <family val="2"/>
          </rPr>
          <t xml:space="preserve">
replaced
</t>
        </r>
      </text>
    </comment>
    <comment ref="O427" authorId="0" shapeId="0" xr:uid="{00000000-0006-0000-0700-00003A000000}">
      <text>
        <r>
          <rPr>
            <b/>
            <sz val="9"/>
            <color indexed="81"/>
            <rFont val="Tahoma"/>
            <family val="2"/>
          </rPr>
          <t>REICH Hermine:</t>
        </r>
        <r>
          <rPr>
            <sz val="9"/>
            <color indexed="81"/>
            <rFont val="Tahoma"/>
            <family val="2"/>
          </rPr>
          <t xml:space="preserve">
replaced
</t>
        </r>
      </text>
    </comment>
    <comment ref="O428" authorId="0" shapeId="0" xr:uid="{00000000-0006-0000-0700-00003B000000}">
      <text>
        <r>
          <rPr>
            <b/>
            <sz val="9"/>
            <color indexed="81"/>
            <rFont val="Tahoma"/>
            <family val="2"/>
          </rPr>
          <t>REICH Hermine:</t>
        </r>
        <r>
          <rPr>
            <sz val="9"/>
            <color indexed="81"/>
            <rFont val="Tahoma"/>
            <family val="2"/>
          </rPr>
          <t xml:space="preserve">
replaced
</t>
        </r>
      </text>
    </comment>
    <comment ref="O431" authorId="0" shapeId="0" xr:uid="{00000000-0006-0000-0700-00003C000000}">
      <text>
        <r>
          <rPr>
            <b/>
            <sz val="9"/>
            <color indexed="81"/>
            <rFont val="Tahoma"/>
            <family val="2"/>
          </rPr>
          <t>REICH Hermine:</t>
        </r>
        <r>
          <rPr>
            <sz val="9"/>
            <color indexed="81"/>
            <rFont val="Tahoma"/>
            <family val="2"/>
          </rPr>
          <t xml:space="preserve">
replaced
</t>
        </r>
      </text>
    </comment>
    <comment ref="O433" authorId="0" shapeId="0" xr:uid="{00000000-0006-0000-0700-00003D000000}">
      <text>
        <r>
          <rPr>
            <b/>
            <sz val="9"/>
            <color indexed="81"/>
            <rFont val="Tahoma"/>
            <family val="2"/>
          </rPr>
          <t>REICH Hermine:</t>
        </r>
        <r>
          <rPr>
            <sz val="9"/>
            <color indexed="81"/>
            <rFont val="Tahoma"/>
            <family val="2"/>
          </rPr>
          <t xml:space="preserve">
replaced
</t>
        </r>
      </text>
    </comment>
    <comment ref="O437" authorId="0" shapeId="0" xr:uid="{00000000-0006-0000-0700-00003E000000}">
      <text>
        <r>
          <rPr>
            <b/>
            <sz val="9"/>
            <color indexed="81"/>
            <rFont val="Tahoma"/>
            <family val="2"/>
          </rPr>
          <t>REICH Hermine:</t>
        </r>
        <r>
          <rPr>
            <sz val="9"/>
            <color indexed="81"/>
            <rFont val="Tahoma"/>
            <family val="2"/>
          </rPr>
          <t xml:space="preserve">
Dutch request 16/11/2018</t>
        </r>
      </text>
    </comment>
    <comment ref="O440" authorId="0" shapeId="0" xr:uid="{00000000-0006-0000-0700-00003F000000}">
      <text>
        <r>
          <rPr>
            <b/>
            <sz val="9"/>
            <color indexed="81"/>
            <rFont val="Tahoma"/>
            <family val="2"/>
          </rPr>
          <t>REICH Hermine:</t>
        </r>
        <r>
          <rPr>
            <sz val="9"/>
            <color indexed="81"/>
            <rFont val="Tahoma"/>
            <family val="2"/>
          </rPr>
          <t xml:space="preserve">
replaced
</t>
        </r>
      </text>
    </comment>
    <comment ref="O444" authorId="0" shapeId="0" xr:uid="{00000000-0006-0000-0700-000040000000}">
      <text>
        <r>
          <rPr>
            <b/>
            <sz val="9"/>
            <color indexed="81"/>
            <rFont val="Tahoma"/>
            <family val="2"/>
          </rPr>
          <t>REICH Hermine:</t>
        </r>
        <r>
          <rPr>
            <sz val="9"/>
            <color indexed="81"/>
            <rFont val="Tahoma"/>
            <family val="2"/>
          </rPr>
          <t xml:space="preserve">
replaced
</t>
        </r>
      </text>
    </comment>
    <comment ref="O445" authorId="0" shapeId="0" xr:uid="{00000000-0006-0000-0700-000041000000}">
      <text>
        <r>
          <rPr>
            <b/>
            <sz val="9"/>
            <color indexed="81"/>
            <rFont val="Tahoma"/>
            <family val="2"/>
          </rPr>
          <t>REICH Hermine:</t>
        </r>
        <r>
          <rPr>
            <sz val="9"/>
            <color indexed="81"/>
            <rFont val="Tahoma"/>
            <family val="2"/>
          </rPr>
          <t xml:space="preserve">
replaced
</t>
        </r>
      </text>
    </comment>
    <comment ref="O449" authorId="0" shapeId="0" xr:uid="{00000000-0006-0000-0700-000042000000}">
      <text>
        <r>
          <rPr>
            <b/>
            <sz val="9"/>
            <color indexed="81"/>
            <rFont val="Tahoma"/>
            <family val="2"/>
          </rPr>
          <t>REICH Hermine:</t>
        </r>
        <r>
          <rPr>
            <sz val="9"/>
            <color indexed="81"/>
            <rFont val="Tahoma"/>
            <family val="2"/>
          </rPr>
          <t xml:space="preserve">
Dutch request 16/11/2018</t>
        </r>
      </text>
    </comment>
    <comment ref="O450" authorId="0" shapeId="0" xr:uid="{00000000-0006-0000-0700-000043000000}">
      <text>
        <r>
          <rPr>
            <b/>
            <sz val="9"/>
            <color indexed="81"/>
            <rFont val="Tahoma"/>
            <family val="2"/>
          </rPr>
          <t>REICH Hermine:</t>
        </r>
        <r>
          <rPr>
            <sz val="9"/>
            <color indexed="81"/>
            <rFont val="Tahoma"/>
            <family val="2"/>
          </rPr>
          <t xml:space="preserve">
Dutch request 16/11/2018
</t>
        </r>
      </text>
    </comment>
    <comment ref="O451" authorId="0" shapeId="0" xr:uid="{00000000-0006-0000-0700-000044000000}">
      <text>
        <r>
          <rPr>
            <b/>
            <sz val="9"/>
            <color indexed="81"/>
            <rFont val="Tahoma"/>
            <family val="2"/>
          </rPr>
          <t>REICH Hermine:</t>
        </r>
        <r>
          <rPr>
            <sz val="9"/>
            <color indexed="81"/>
            <rFont val="Tahoma"/>
            <family val="2"/>
          </rPr>
          <t xml:space="preserve">
replaced
</t>
        </r>
      </text>
    </comment>
    <comment ref="O452" authorId="0" shapeId="0" xr:uid="{00000000-0006-0000-0700-000045000000}">
      <text>
        <r>
          <rPr>
            <b/>
            <sz val="9"/>
            <color indexed="81"/>
            <rFont val="Tahoma"/>
            <family val="2"/>
          </rPr>
          <t>REICH Hermine:</t>
        </r>
        <r>
          <rPr>
            <sz val="9"/>
            <color indexed="81"/>
            <rFont val="Tahoma"/>
            <family val="2"/>
          </rPr>
          <t xml:space="preserve">
Dutch request 16/11/2018</t>
        </r>
      </text>
    </comment>
    <comment ref="O459" authorId="0" shapeId="0" xr:uid="{00000000-0006-0000-0700-000046000000}">
      <text>
        <r>
          <rPr>
            <b/>
            <sz val="9"/>
            <color indexed="81"/>
            <rFont val="Tahoma"/>
            <family val="2"/>
          </rPr>
          <t>REICH Hermine:</t>
        </r>
        <r>
          <rPr>
            <sz val="9"/>
            <color indexed="81"/>
            <rFont val="Tahoma"/>
            <family val="2"/>
          </rPr>
          <t xml:space="preserve">
Dutch request 16/11/2018</t>
        </r>
      </text>
    </comment>
    <comment ref="O462" authorId="0" shapeId="0" xr:uid="{00000000-0006-0000-0700-000047000000}">
      <text>
        <r>
          <rPr>
            <b/>
            <sz val="9"/>
            <color indexed="81"/>
            <rFont val="Tahoma"/>
            <family val="2"/>
          </rPr>
          <t>REICH Hermine:</t>
        </r>
        <r>
          <rPr>
            <sz val="9"/>
            <color indexed="81"/>
            <rFont val="Tahoma"/>
            <family val="2"/>
          </rPr>
          <t xml:space="preserve">
Dutch request 16/11/2018</t>
        </r>
      </text>
    </comment>
    <comment ref="T463" authorId="0" shapeId="0" xr:uid="{00000000-0006-0000-0700-000048000000}">
      <text>
        <r>
          <rPr>
            <b/>
            <sz val="9"/>
            <color indexed="81"/>
            <rFont val="Tahoma"/>
            <family val="2"/>
          </rPr>
          <t>REICH Hermine:</t>
        </r>
        <r>
          <rPr>
            <sz val="9"/>
            <color indexed="81"/>
            <rFont val="Tahoma"/>
            <family val="2"/>
          </rPr>
          <t xml:space="preserve">
corrected rev. 3.1</t>
        </r>
      </text>
    </comment>
    <comment ref="O464" authorId="0" shapeId="0" xr:uid="{00000000-0006-0000-0700-000049000000}">
      <text>
        <r>
          <rPr>
            <b/>
            <sz val="9"/>
            <color indexed="81"/>
            <rFont val="Tahoma"/>
            <family val="2"/>
          </rPr>
          <t>REICH Hermine:</t>
        </r>
        <r>
          <rPr>
            <sz val="9"/>
            <color indexed="81"/>
            <rFont val="Tahoma"/>
            <family val="2"/>
          </rPr>
          <t xml:space="preserve">
Dutch request 16/11/2018
</t>
        </r>
      </text>
    </comment>
    <comment ref="O468" authorId="0" shapeId="0" xr:uid="{00000000-0006-0000-0700-00004A000000}">
      <text>
        <r>
          <rPr>
            <b/>
            <sz val="9"/>
            <color indexed="81"/>
            <rFont val="Tahoma"/>
            <family val="2"/>
          </rPr>
          <t>REICH Hermine:</t>
        </r>
        <r>
          <rPr>
            <sz val="9"/>
            <color indexed="81"/>
            <rFont val="Tahoma"/>
            <family val="2"/>
          </rPr>
          <t xml:space="preserve">
Dutch request 16/11/2018</t>
        </r>
      </text>
    </comment>
    <comment ref="T468" authorId="0" shapeId="0" xr:uid="{00000000-0006-0000-0700-00004B000000}">
      <text>
        <r>
          <rPr>
            <b/>
            <sz val="9"/>
            <color indexed="81"/>
            <rFont val="Tahoma"/>
            <family val="2"/>
          </rPr>
          <t>REICH Hermine:</t>
        </r>
        <r>
          <rPr>
            <sz val="9"/>
            <color indexed="81"/>
            <rFont val="Tahoma"/>
            <family val="2"/>
          </rPr>
          <t xml:space="preserve">
corrected in rev. 3.1</t>
        </r>
      </text>
    </comment>
    <comment ref="O469" authorId="0" shapeId="0" xr:uid="{00000000-0006-0000-0700-00004C000000}">
      <text>
        <r>
          <rPr>
            <b/>
            <sz val="9"/>
            <color indexed="81"/>
            <rFont val="Tahoma"/>
            <family val="2"/>
          </rPr>
          <t>REICH Hermine:</t>
        </r>
        <r>
          <rPr>
            <sz val="9"/>
            <color indexed="81"/>
            <rFont val="Tahoma"/>
            <family val="2"/>
          </rPr>
          <t xml:space="preserve">
Dutche request 16/11/2018
</t>
        </r>
      </text>
    </comment>
    <comment ref="V469" authorId="0" shapeId="0" xr:uid="{00000000-0006-0000-0700-00004D000000}">
      <text>
        <r>
          <rPr>
            <b/>
            <sz val="9"/>
            <color indexed="81"/>
            <rFont val="Tahoma"/>
            <family val="2"/>
          </rPr>
          <t>REICH Hermine:</t>
        </r>
        <r>
          <rPr>
            <sz val="9"/>
            <color indexed="81"/>
            <rFont val="Tahoma"/>
            <family val="2"/>
          </rPr>
          <t xml:space="preserve">
corrected in rev. 3.1
</t>
        </r>
      </text>
    </comment>
    <comment ref="O476" authorId="0" shapeId="0" xr:uid="{00000000-0006-0000-0700-00004E000000}">
      <text>
        <r>
          <rPr>
            <b/>
            <sz val="9"/>
            <color indexed="81"/>
            <rFont val="Tahoma"/>
            <family val="2"/>
          </rPr>
          <t>REICH Hermine:</t>
        </r>
        <r>
          <rPr>
            <sz val="9"/>
            <color indexed="81"/>
            <rFont val="Tahoma"/>
            <family val="2"/>
          </rPr>
          <t xml:space="preserve">
changed to consumption of rapeseed oils (from rapeseed processed, not specified)
</t>
        </r>
      </text>
    </comment>
    <comment ref="O486" authorId="0" shapeId="0" xr:uid="{00000000-0006-0000-0700-00004F000000}">
      <text>
        <r>
          <rPr>
            <b/>
            <sz val="9"/>
            <color indexed="81"/>
            <rFont val="Tahoma"/>
            <family val="2"/>
          </rPr>
          <t>REICH Hermine:</t>
        </r>
        <r>
          <rPr>
            <sz val="9"/>
            <color indexed="81"/>
            <rFont val="Tahoma"/>
            <family val="2"/>
          </rPr>
          <t xml:space="preserve">
Dutch request 16/11/2018
</t>
        </r>
      </text>
    </comment>
    <comment ref="O495" authorId="0" shapeId="0" xr:uid="{00000000-0006-0000-0700-000050000000}">
      <text>
        <r>
          <rPr>
            <b/>
            <sz val="9"/>
            <color indexed="81"/>
            <rFont val="Tahoma"/>
            <family val="2"/>
          </rPr>
          <t>REICH Hermine:</t>
        </r>
        <r>
          <rPr>
            <sz val="9"/>
            <color indexed="81"/>
            <rFont val="Tahoma"/>
            <family val="2"/>
          </rPr>
          <t xml:space="preserve">
replaced
</t>
        </r>
      </text>
    </comment>
    <comment ref="O500" authorId="0" shapeId="0" xr:uid="{00000000-0006-0000-0700-000051000000}">
      <text>
        <r>
          <rPr>
            <b/>
            <sz val="9"/>
            <color indexed="81"/>
            <rFont val="Tahoma"/>
            <family val="2"/>
          </rPr>
          <t>REICH Hermine:</t>
        </r>
        <r>
          <rPr>
            <sz val="9"/>
            <color indexed="81"/>
            <rFont val="Tahoma"/>
            <family val="2"/>
          </rPr>
          <t xml:space="preserve">
Dutch request 16/11/2018</t>
        </r>
      </text>
    </comment>
    <comment ref="O501" authorId="0" shapeId="0" xr:uid="{00000000-0006-0000-0700-000052000000}">
      <text>
        <r>
          <rPr>
            <b/>
            <sz val="9"/>
            <color indexed="81"/>
            <rFont val="Tahoma"/>
            <family val="2"/>
          </rPr>
          <t>REICH Hermine:</t>
        </r>
        <r>
          <rPr>
            <sz val="9"/>
            <color indexed="81"/>
            <rFont val="Tahoma"/>
            <family val="2"/>
          </rPr>
          <t xml:space="preserve">
Dutch request 16/11/2018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REICH Hermine</author>
  </authors>
  <commentList>
    <comment ref="O21" authorId="0" shapeId="0" xr:uid="{00000000-0006-0000-0800-000001000000}">
      <text>
        <r>
          <rPr>
            <b/>
            <sz val="9"/>
            <color indexed="81"/>
            <rFont val="Tahoma"/>
            <family val="2"/>
          </rPr>
          <t>REICH Hermine:</t>
        </r>
        <r>
          <rPr>
            <sz val="9"/>
            <color indexed="81"/>
            <rFont val="Tahoma"/>
            <family val="2"/>
          </rPr>
          <t xml:space="preserve">
Dutch request 16/11/2018
</t>
        </r>
      </text>
    </comment>
    <comment ref="O44" authorId="0" shapeId="0" xr:uid="{00000000-0006-0000-0800-000002000000}">
      <text>
        <r>
          <rPr>
            <b/>
            <sz val="9"/>
            <color indexed="81"/>
            <rFont val="Tahoma"/>
            <family val="2"/>
          </rPr>
          <t>REICH Hermine:</t>
        </r>
        <r>
          <rPr>
            <sz val="9"/>
            <color indexed="81"/>
            <rFont val="Tahoma"/>
            <family val="2"/>
          </rPr>
          <t xml:space="preserve">
consumption approximated to match the exposure derived with DE model</t>
        </r>
      </text>
    </comment>
    <comment ref="T44" authorId="0" shapeId="0" xr:uid="{00000000-0006-0000-0800-000003000000}">
      <text>
        <r>
          <rPr>
            <b/>
            <sz val="9"/>
            <color indexed="81"/>
            <rFont val="Tahoma"/>
            <family val="2"/>
          </rPr>
          <t>REICH Hermine:</t>
        </r>
        <r>
          <rPr>
            <sz val="9"/>
            <color indexed="81"/>
            <rFont val="Tahoma"/>
            <family val="2"/>
          </rPr>
          <t xml:space="preserve">
corrected in rev. 3.1</t>
        </r>
      </text>
    </comment>
    <comment ref="V44" authorId="0" shapeId="0" xr:uid="{00000000-0006-0000-0800-000004000000}">
      <text>
        <r>
          <rPr>
            <b/>
            <sz val="9"/>
            <color indexed="81"/>
            <rFont val="Tahoma"/>
            <family val="2"/>
          </rPr>
          <t>REICH Hermine:</t>
        </r>
        <r>
          <rPr>
            <sz val="9"/>
            <color indexed="81"/>
            <rFont val="Tahoma"/>
            <family val="2"/>
          </rPr>
          <t xml:space="preserve">
corrected in rev. 3.1
</t>
        </r>
      </text>
    </comment>
    <comment ref="O58" authorId="0" shapeId="0" xr:uid="{00000000-0006-0000-0800-000005000000}">
      <text>
        <r>
          <rPr>
            <b/>
            <sz val="9"/>
            <color indexed="81"/>
            <rFont val="Tahoma"/>
            <family val="2"/>
          </rPr>
          <t>REICH Hermine:</t>
        </r>
        <r>
          <rPr>
            <sz val="9"/>
            <color indexed="81"/>
            <rFont val="Tahoma"/>
            <family val="2"/>
          </rPr>
          <t xml:space="preserve">
Dutch proposal 20/11/2018</t>
        </r>
      </text>
    </comment>
    <comment ref="O68" authorId="0" shapeId="0" xr:uid="{00000000-0006-0000-0800-000006000000}">
      <text>
        <r>
          <rPr>
            <b/>
            <sz val="9"/>
            <color indexed="81"/>
            <rFont val="Tahoma"/>
            <family val="2"/>
          </rPr>
          <t>REICH Hermine:</t>
        </r>
        <r>
          <rPr>
            <sz val="9"/>
            <color indexed="81"/>
            <rFont val="Tahoma"/>
            <family val="2"/>
          </rPr>
          <t xml:space="preserve">
Dutch request 16 November 2018
</t>
        </r>
      </text>
    </comment>
    <comment ref="O69" authorId="0" shapeId="0" xr:uid="{00000000-0006-0000-0800-000007000000}">
      <text>
        <r>
          <rPr>
            <b/>
            <sz val="9"/>
            <color indexed="81"/>
            <rFont val="Tahoma"/>
            <family val="2"/>
          </rPr>
          <t>REICH Hermine:</t>
        </r>
        <r>
          <rPr>
            <sz val="9"/>
            <color indexed="81"/>
            <rFont val="Tahoma"/>
            <family val="2"/>
          </rPr>
          <t xml:space="preserve">
calculated LP to match with DE model exposure
</t>
        </r>
      </text>
    </comment>
    <comment ref="O73" authorId="0" shapeId="0" xr:uid="{00000000-0006-0000-0800-000008000000}">
      <text>
        <r>
          <rPr>
            <b/>
            <sz val="9"/>
            <color indexed="81"/>
            <rFont val="Tahoma"/>
            <family val="2"/>
          </rPr>
          <t>REICH Hermine:</t>
        </r>
        <r>
          <rPr>
            <sz val="9"/>
            <color indexed="81"/>
            <rFont val="Tahoma"/>
            <family val="2"/>
          </rPr>
          <t xml:space="preserve">
consumption approximated to match the exposure derived with DE model</t>
        </r>
      </text>
    </comment>
    <comment ref="T87" authorId="0" shapeId="0" xr:uid="{00000000-0006-0000-0800-000009000000}">
      <text>
        <r>
          <rPr>
            <b/>
            <sz val="9"/>
            <color indexed="81"/>
            <rFont val="Tahoma"/>
            <family val="2"/>
          </rPr>
          <t>REICH Hermine:</t>
        </r>
        <r>
          <rPr>
            <sz val="9"/>
            <color indexed="81"/>
            <rFont val="Tahoma"/>
            <family val="2"/>
          </rPr>
          <t xml:space="preserve">
corrected rev. 3.1
</t>
        </r>
      </text>
    </comment>
    <comment ref="U87" authorId="0" shapeId="0" xr:uid="{00000000-0006-0000-0800-00000A000000}">
      <text>
        <r>
          <rPr>
            <b/>
            <sz val="9"/>
            <color indexed="81"/>
            <rFont val="Tahoma"/>
            <family val="2"/>
          </rPr>
          <t>REICH Hermine:</t>
        </r>
        <r>
          <rPr>
            <sz val="9"/>
            <color indexed="81"/>
            <rFont val="Tahoma"/>
            <family val="2"/>
          </rPr>
          <t xml:space="preserve">
corrected rev. 3.1
</t>
        </r>
      </text>
    </comment>
    <comment ref="T101" authorId="0" shapeId="0" xr:uid="{00000000-0006-0000-0800-00000B000000}">
      <text>
        <r>
          <rPr>
            <b/>
            <sz val="9"/>
            <color indexed="81"/>
            <rFont val="Tahoma"/>
            <family val="2"/>
          </rPr>
          <t>REICH Hermine:</t>
        </r>
        <r>
          <rPr>
            <sz val="9"/>
            <color indexed="81"/>
            <rFont val="Tahoma"/>
            <family val="2"/>
          </rPr>
          <t xml:space="preserve">
revised in PRIMo rev. 3.1</t>
        </r>
      </text>
    </comment>
    <comment ref="U101" authorId="0" shapeId="0" xr:uid="{AB97A7C4-8A21-4827-A9E5-04871287D2EA}">
      <text>
        <r>
          <rPr>
            <b/>
            <sz val="9"/>
            <color indexed="81"/>
            <rFont val="Tahoma"/>
            <family val="2"/>
          </rPr>
          <t>REICH Hermine:</t>
        </r>
        <r>
          <rPr>
            <sz val="9"/>
            <color indexed="81"/>
            <rFont val="Tahoma"/>
            <family val="2"/>
          </rPr>
          <t xml:space="preserve">
revised in PRIMo rev. 3.1</t>
        </r>
      </text>
    </comment>
    <comment ref="O107" authorId="0" shapeId="0" xr:uid="{00000000-0006-0000-0800-00000C000000}">
      <text>
        <r>
          <rPr>
            <b/>
            <sz val="9"/>
            <color indexed="81"/>
            <rFont val="Tahoma"/>
            <family val="2"/>
          </rPr>
          <t>REICH Hermine:</t>
        </r>
        <r>
          <rPr>
            <sz val="9"/>
            <color indexed="81"/>
            <rFont val="Tahoma"/>
            <family val="2"/>
          </rPr>
          <t xml:space="preserve">
Dutch proposal 20/11/2018</t>
        </r>
      </text>
    </comment>
    <comment ref="O114" authorId="0" shapeId="0" xr:uid="{00000000-0006-0000-0800-00000D000000}">
      <text>
        <r>
          <rPr>
            <b/>
            <sz val="9"/>
            <color indexed="81"/>
            <rFont val="Tahoma"/>
            <family val="2"/>
          </rPr>
          <t>REICH Hermine:</t>
        </r>
        <r>
          <rPr>
            <sz val="9"/>
            <color indexed="81"/>
            <rFont val="Tahoma"/>
            <family val="2"/>
          </rPr>
          <t xml:space="preserve">
consumption approximated to match the exposure derived with DE model</t>
        </r>
      </text>
    </comment>
    <comment ref="O116" authorId="0" shapeId="0" xr:uid="{00000000-0006-0000-0800-00000E000000}">
      <text>
        <r>
          <rPr>
            <b/>
            <sz val="9"/>
            <color indexed="81"/>
            <rFont val="Tahoma"/>
            <family val="2"/>
          </rPr>
          <t>REICH Hermine:</t>
        </r>
        <r>
          <rPr>
            <sz val="9"/>
            <color indexed="81"/>
            <rFont val="Tahoma"/>
            <family val="2"/>
          </rPr>
          <t xml:space="preserve">
consumption approximated to match the exposure derived with DE model</t>
        </r>
      </text>
    </comment>
    <comment ref="O129" authorId="0" shapeId="0" xr:uid="{00000000-0006-0000-0800-00000F000000}">
      <text>
        <r>
          <rPr>
            <b/>
            <sz val="9"/>
            <color indexed="81"/>
            <rFont val="Tahoma"/>
            <family val="2"/>
          </rPr>
          <t>REICH Hermine:</t>
        </r>
        <r>
          <rPr>
            <sz val="9"/>
            <color indexed="81"/>
            <rFont val="Tahoma"/>
            <family val="2"/>
          </rPr>
          <t xml:space="preserve">
Dutch proposal of 20/11/2018</t>
        </r>
      </text>
    </comment>
    <comment ref="O134" authorId="0" shapeId="0" xr:uid="{00000000-0006-0000-0800-000010000000}">
      <text>
        <r>
          <rPr>
            <b/>
            <sz val="9"/>
            <color indexed="81"/>
            <rFont val="Tahoma"/>
            <family val="2"/>
          </rPr>
          <t>REICH Hermine:</t>
        </r>
        <r>
          <rPr>
            <sz val="9"/>
            <color indexed="81"/>
            <rFont val="Tahoma"/>
            <family val="2"/>
          </rPr>
          <t xml:space="preserve">
consumption approximated to match the exposure derived with DE model</t>
        </r>
      </text>
    </comment>
    <comment ref="T142" authorId="0" shapeId="0" xr:uid="{00000000-0006-0000-0800-000011000000}">
      <text>
        <r>
          <rPr>
            <b/>
            <sz val="9"/>
            <color indexed="81"/>
            <rFont val="Tahoma"/>
            <family val="2"/>
          </rPr>
          <t>REICH Hermine:</t>
        </r>
        <r>
          <rPr>
            <sz val="9"/>
            <color indexed="81"/>
            <rFont val="Tahoma"/>
            <family val="2"/>
          </rPr>
          <t xml:space="preserve">
corrected rev. 3.1
</t>
        </r>
      </text>
    </comment>
    <comment ref="U142" authorId="0" shapeId="0" xr:uid="{00000000-0006-0000-0800-000012000000}">
      <text>
        <r>
          <rPr>
            <b/>
            <sz val="9"/>
            <color indexed="81"/>
            <rFont val="Tahoma"/>
            <family val="2"/>
          </rPr>
          <t>REICH Hermine:</t>
        </r>
        <r>
          <rPr>
            <sz val="9"/>
            <color indexed="81"/>
            <rFont val="Tahoma"/>
            <family val="2"/>
          </rPr>
          <t xml:space="preserve">
corrected rev. 3.1
</t>
        </r>
      </text>
    </comment>
    <comment ref="V142" authorId="0" shapeId="0" xr:uid="{00000000-0006-0000-0800-000013000000}">
      <text>
        <r>
          <rPr>
            <b/>
            <sz val="9"/>
            <color indexed="81"/>
            <rFont val="Tahoma"/>
            <family val="2"/>
          </rPr>
          <t>REICH Hermine:</t>
        </r>
        <r>
          <rPr>
            <sz val="9"/>
            <color indexed="81"/>
            <rFont val="Tahoma"/>
            <family val="2"/>
          </rPr>
          <t xml:space="preserve">
corrected rev. 3.1
</t>
        </r>
      </text>
    </comment>
    <comment ref="W142" authorId="0" shapeId="0" xr:uid="{00000000-0006-0000-0800-000014000000}">
      <text>
        <r>
          <rPr>
            <b/>
            <sz val="9"/>
            <color indexed="81"/>
            <rFont val="Tahoma"/>
            <family val="2"/>
          </rPr>
          <t>REICH Hermine:</t>
        </r>
        <r>
          <rPr>
            <sz val="9"/>
            <color indexed="81"/>
            <rFont val="Tahoma"/>
            <family val="2"/>
          </rPr>
          <t xml:space="preserve">
corrected rev. 3.1</t>
        </r>
      </text>
    </comment>
    <comment ref="O150" authorId="0" shapeId="0" xr:uid="{F3CB24EF-C8A3-4235-B6C4-49F19FEE0E7F}">
      <text>
        <r>
          <rPr>
            <b/>
            <sz val="9"/>
            <color indexed="81"/>
            <rFont val="Tahoma"/>
            <family val="2"/>
          </rPr>
          <t>REICH Hermine:</t>
        </r>
        <r>
          <rPr>
            <sz val="9"/>
            <color indexed="81"/>
            <rFont val="Tahoma"/>
            <family val="2"/>
          </rPr>
          <t xml:space="preserve">
Dutch proposal of 20/11/2018</t>
        </r>
      </text>
    </comment>
    <comment ref="O155" authorId="0" shapeId="0" xr:uid="{00000000-0006-0000-0800-000015000000}">
      <text>
        <r>
          <rPr>
            <b/>
            <sz val="9"/>
            <color indexed="81"/>
            <rFont val="Tahoma"/>
            <family val="2"/>
          </rPr>
          <t>REICH Hermine:</t>
        </r>
        <r>
          <rPr>
            <sz val="9"/>
            <color indexed="81"/>
            <rFont val="Tahoma"/>
            <family val="2"/>
          </rPr>
          <t xml:space="preserve">
calculated LP to match with DE model exposure
</t>
        </r>
      </text>
    </comment>
    <comment ref="O157" authorId="0" shapeId="0" xr:uid="{00000000-0006-0000-0800-000016000000}">
      <text>
        <r>
          <rPr>
            <b/>
            <sz val="9"/>
            <color indexed="81"/>
            <rFont val="Tahoma"/>
            <family val="2"/>
          </rPr>
          <t>REICH Hermine:</t>
        </r>
        <r>
          <rPr>
            <sz val="9"/>
            <color indexed="81"/>
            <rFont val="Tahoma"/>
            <family val="2"/>
          </rPr>
          <t xml:space="preserve">
consumption approximated to match the exposure derived with DE model</t>
        </r>
      </text>
    </comment>
    <comment ref="T172" authorId="0" shapeId="0" xr:uid="{00000000-0006-0000-0800-000017000000}">
      <text>
        <r>
          <rPr>
            <b/>
            <sz val="9"/>
            <color indexed="81"/>
            <rFont val="Tahoma"/>
            <family val="2"/>
          </rPr>
          <t>REICH Hermine:</t>
        </r>
        <r>
          <rPr>
            <sz val="9"/>
            <color indexed="81"/>
            <rFont val="Tahoma"/>
            <family val="2"/>
          </rPr>
          <t xml:space="preserve">
revised in rev. 3.1</t>
        </r>
      </text>
    </comment>
    <comment ref="V172" authorId="0" shapeId="0" xr:uid="{00000000-0006-0000-0800-000018000000}">
      <text>
        <r>
          <rPr>
            <b/>
            <sz val="9"/>
            <color indexed="81"/>
            <rFont val="Tahoma"/>
            <family val="2"/>
          </rPr>
          <t>REICH Hermine:</t>
        </r>
        <r>
          <rPr>
            <sz val="9"/>
            <color indexed="81"/>
            <rFont val="Tahoma"/>
            <family val="2"/>
          </rPr>
          <t xml:space="preserve">
corrected in rev. 3.1</t>
        </r>
      </text>
    </comment>
    <comment ref="O180" authorId="0" shapeId="0" xr:uid="{00000000-0006-0000-0800-000019000000}">
      <text>
        <r>
          <rPr>
            <b/>
            <sz val="9"/>
            <color indexed="81"/>
            <rFont val="Tahoma"/>
            <family val="2"/>
          </rPr>
          <t>REICH Hermine:</t>
        </r>
        <r>
          <rPr>
            <sz val="9"/>
            <color indexed="81"/>
            <rFont val="Tahoma"/>
            <family val="2"/>
          </rPr>
          <t xml:space="preserve">
Dutch proposal 20/11/2018</t>
        </r>
      </text>
    </comment>
    <comment ref="O185" authorId="0" shapeId="0" xr:uid="{00000000-0006-0000-0800-00001A000000}">
      <text>
        <r>
          <rPr>
            <b/>
            <sz val="9"/>
            <color indexed="81"/>
            <rFont val="Tahoma"/>
            <family val="2"/>
          </rPr>
          <t>REICH Hermine:</t>
        </r>
        <r>
          <rPr>
            <sz val="9"/>
            <color indexed="81"/>
            <rFont val="Tahoma"/>
            <family val="2"/>
          </rPr>
          <t xml:space="preserve">
Dutch request 16/11/2018
</t>
        </r>
      </text>
    </comment>
    <comment ref="O190" authorId="0" shapeId="0" xr:uid="{00000000-0006-0000-0800-00001B000000}">
      <text>
        <r>
          <rPr>
            <b/>
            <sz val="9"/>
            <color indexed="81"/>
            <rFont val="Tahoma"/>
            <family val="2"/>
          </rPr>
          <t>REICH Hermine:</t>
        </r>
        <r>
          <rPr>
            <sz val="9"/>
            <color indexed="81"/>
            <rFont val="Tahoma"/>
            <family val="2"/>
          </rPr>
          <t xml:space="preserve">
Dutch proposal 20/11/2018</t>
        </r>
      </text>
    </comment>
    <comment ref="O192" authorId="0" shapeId="0" xr:uid="{00000000-0006-0000-0800-00001C000000}">
      <text>
        <r>
          <rPr>
            <b/>
            <sz val="9"/>
            <color indexed="81"/>
            <rFont val="Tahoma"/>
            <family val="2"/>
          </rPr>
          <t>REICH Hermine:</t>
        </r>
        <r>
          <rPr>
            <sz val="9"/>
            <color indexed="81"/>
            <rFont val="Tahoma"/>
            <family val="2"/>
          </rPr>
          <t xml:space="preserve">
Dutch proposal 20/11/2018</t>
        </r>
      </text>
    </comment>
    <comment ref="O193" authorId="0" shapeId="0" xr:uid="{00000000-0006-0000-0800-00001D000000}">
      <text>
        <r>
          <rPr>
            <b/>
            <sz val="9"/>
            <color indexed="81"/>
            <rFont val="Tahoma"/>
            <family val="2"/>
          </rPr>
          <t>REICH Hermine:</t>
        </r>
        <r>
          <rPr>
            <sz val="9"/>
            <color indexed="81"/>
            <rFont val="Tahoma"/>
            <family val="2"/>
          </rPr>
          <t xml:space="preserve">
Dutch proposal 20/11/2018</t>
        </r>
      </text>
    </comment>
    <comment ref="O197" authorId="0" shapeId="0" xr:uid="{00000000-0006-0000-0800-00001E000000}">
      <text>
        <r>
          <rPr>
            <b/>
            <sz val="9"/>
            <color indexed="81"/>
            <rFont val="Tahoma"/>
            <family val="2"/>
          </rPr>
          <t>REICH Hermine:</t>
        </r>
        <r>
          <rPr>
            <sz val="9"/>
            <color indexed="81"/>
            <rFont val="Tahoma"/>
            <family val="2"/>
          </rPr>
          <t xml:space="preserve">
consumption approximated to match the exposure derived with DE model</t>
        </r>
      </text>
    </comment>
    <comment ref="O199" authorId="0" shapeId="0" xr:uid="{00000000-0006-0000-0800-00001F000000}">
      <text>
        <r>
          <rPr>
            <b/>
            <sz val="9"/>
            <color indexed="81"/>
            <rFont val="Tahoma"/>
            <family val="2"/>
          </rPr>
          <t>REICH Hermine:</t>
        </r>
        <r>
          <rPr>
            <sz val="9"/>
            <color indexed="81"/>
            <rFont val="Tahoma"/>
            <family val="2"/>
          </rPr>
          <t xml:space="preserve">
consumption approximated to match the exposure derived with DE model</t>
        </r>
      </text>
    </comment>
    <comment ref="X205" authorId="0" shapeId="0" xr:uid="{00000000-0006-0000-0800-000020000000}">
      <text>
        <r>
          <rPr>
            <b/>
            <sz val="9"/>
            <color indexed="81"/>
            <rFont val="Tahoma"/>
            <family val="2"/>
          </rPr>
          <t>REICH Hermine:</t>
        </r>
        <r>
          <rPr>
            <sz val="9"/>
            <color indexed="81"/>
            <rFont val="Tahoma"/>
            <family val="2"/>
          </rPr>
          <t xml:space="preserve">
changed in rev. 3.1</t>
        </r>
      </text>
    </comment>
    <comment ref="Y205" authorId="0" shapeId="0" xr:uid="{00000000-0006-0000-0800-000021000000}">
      <text>
        <r>
          <rPr>
            <b/>
            <sz val="9"/>
            <color indexed="81"/>
            <rFont val="Tahoma"/>
            <family val="2"/>
          </rPr>
          <t>REICH Hermine:</t>
        </r>
        <r>
          <rPr>
            <sz val="9"/>
            <color indexed="81"/>
            <rFont val="Tahoma"/>
            <family val="2"/>
          </rPr>
          <t xml:space="preserve">
changed in rev. 3.1</t>
        </r>
      </text>
    </comment>
    <comment ref="Y206" authorId="0" shapeId="0" xr:uid="{00000000-0006-0000-0800-000022000000}">
      <text>
        <r>
          <rPr>
            <b/>
            <sz val="9"/>
            <color indexed="81"/>
            <rFont val="Tahoma"/>
            <family val="2"/>
          </rPr>
          <t>REICH Hermine:</t>
        </r>
        <r>
          <rPr>
            <sz val="9"/>
            <color indexed="81"/>
            <rFont val="Tahoma"/>
            <family val="2"/>
          </rPr>
          <t xml:space="preserve">
changed in rev. 3.1</t>
        </r>
      </text>
    </comment>
    <comment ref="Y207" authorId="0" shapeId="0" xr:uid="{00000000-0006-0000-0800-000023000000}">
      <text>
        <r>
          <rPr>
            <b/>
            <sz val="9"/>
            <color indexed="81"/>
            <rFont val="Tahoma"/>
            <family val="2"/>
          </rPr>
          <t>REICH Hermine:</t>
        </r>
        <r>
          <rPr>
            <sz val="9"/>
            <color indexed="81"/>
            <rFont val="Tahoma"/>
            <family val="2"/>
          </rPr>
          <t xml:space="preserve">
changed in rev. 3.1</t>
        </r>
      </text>
    </comment>
    <comment ref="Y208" authorId="0" shapeId="0" xr:uid="{00000000-0006-0000-0800-000024000000}">
      <text>
        <r>
          <rPr>
            <b/>
            <sz val="9"/>
            <color indexed="81"/>
            <rFont val="Tahoma"/>
            <family val="2"/>
          </rPr>
          <t>REICH Hermine:</t>
        </r>
        <r>
          <rPr>
            <sz val="9"/>
            <color indexed="81"/>
            <rFont val="Tahoma"/>
            <family val="2"/>
          </rPr>
          <t xml:space="preserve">
changed in rev. 3.1</t>
        </r>
      </text>
    </comment>
    <comment ref="O209" authorId="0" shapeId="0" xr:uid="{0C80DC72-9A78-465D-A96F-C9D6B6B01543}">
      <text>
        <r>
          <rPr>
            <b/>
            <sz val="9"/>
            <color indexed="81"/>
            <rFont val="Tahoma"/>
            <family val="2"/>
          </rPr>
          <t>REICH Hermine:</t>
        </r>
        <r>
          <rPr>
            <sz val="9"/>
            <color indexed="81"/>
            <rFont val="Tahoma"/>
            <family val="2"/>
          </rPr>
          <t xml:space="preserve">
Dutch proposal of 20/11/2018</t>
        </r>
      </text>
    </comment>
    <comment ref="T209" authorId="0" shapeId="0" xr:uid="{00000000-0006-0000-0800-000025000000}">
      <text>
        <r>
          <rPr>
            <b/>
            <sz val="9"/>
            <color indexed="81"/>
            <rFont val="Tahoma"/>
            <family val="2"/>
          </rPr>
          <t>REICH Hermine:</t>
        </r>
        <r>
          <rPr>
            <sz val="9"/>
            <color indexed="81"/>
            <rFont val="Tahoma"/>
            <family val="2"/>
          </rPr>
          <t xml:space="preserve">
revised in rev. 3.1
</t>
        </r>
      </text>
    </comment>
    <comment ref="V209" authorId="0" shapeId="0" xr:uid="{00000000-0006-0000-0800-000026000000}">
      <text>
        <r>
          <rPr>
            <b/>
            <sz val="9"/>
            <color indexed="81"/>
            <rFont val="Tahoma"/>
            <family val="2"/>
          </rPr>
          <t>REICH Hermine:</t>
        </r>
        <r>
          <rPr>
            <sz val="9"/>
            <color indexed="81"/>
            <rFont val="Tahoma"/>
            <family val="2"/>
          </rPr>
          <t xml:space="preserve">
revised in rev. 3.1</t>
        </r>
      </text>
    </comment>
    <comment ref="X209" authorId="0" shapeId="0" xr:uid="{00000000-0006-0000-0800-000027000000}">
      <text>
        <r>
          <rPr>
            <b/>
            <sz val="9"/>
            <color indexed="81"/>
            <rFont val="Tahoma"/>
            <family val="2"/>
          </rPr>
          <t>REICH Hermine:</t>
        </r>
        <r>
          <rPr>
            <sz val="9"/>
            <color indexed="81"/>
            <rFont val="Tahoma"/>
            <family val="2"/>
          </rPr>
          <t xml:space="preserve">
changed in rev. 3.1</t>
        </r>
      </text>
    </comment>
    <comment ref="Y209" authorId="0" shapeId="0" xr:uid="{00000000-0006-0000-0800-000028000000}">
      <text>
        <r>
          <rPr>
            <b/>
            <sz val="9"/>
            <color indexed="81"/>
            <rFont val="Tahoma"/>
            <family val="2"/>
          </rPr>
          <t>REICH Hermine:</t>
        </r>
        <r>
          <rPr>
            <sz val="9"/>
            <color indexed="81"/>
            <rFont val="Tahoma"/>
            <family val="2"/>
          </rPr>
          <t xml:space="preserve">
changed in rev. 3.1</t>
        </r>
      </text>
    </comment>
    <comment ref="Y210" authorId="0" shapeId="0" xr:uid="{00000000-0006-0000-0800-000029000000}">
      <text>
        <r>
          <rPr>
            <b/>
            <sz val="9"/>
            <color indexed="81"/>
            <rFont val="Tahoma"/>
            <family val="2"/>
          </rPr>
          <t>REICH Hermine:</t>
        </r>
        <r>
          <rPr>
            <sz val="9"/>
            <color indexed="81"/>
            <rFont val="Tahoma"/>
            <family val="2"/>
          </rPr>
          <t xml:space="preserve">
changed in rev. 3.1</t>
        </r>
      </text>
    </comment>
    <comment ref="X211" authorId="0" shapeId="0" xr:uid="{00000000-0006-0000-0800-00002A000000}">
      <text>
        <r>
          <rPr>
            <b/>
            <sz val="9"/>
            <color indexed="81"/>
            <rFont val="Tahoma"/>
            <family val="2"/>
          </rPr>
          <t>REICH Hermine:</t>
        </r>
        <r>
          <rPr>
            <sz val="9"/>
            <color indexed="81"/>
            <rFont val="Tahoma"/>
            <family val="2"/>
          </rPr>
          <t xml:space="preserve">
changed in rev. 3.1</t>
        </r>
      </text>
    </comment>
    <comment ref="Y211" authorId="0" shapeId="0" xr:uid="{00000000-0006-0000-0800-00002B000000}">
      <text>
        <r>
          <rPr>
            <b/>
            <sz val="9"/>
            <color indexed="81"/>
            <rFont val="Tahoma"/>
            <family val="2"/>
          </rPr>
          <t>REICH Hermine:</t>
        </r>
        <r>
          <rPr>
            <sz val="9"/>
            <color indexed="81"/>
            <rFont val="Tahoma"/>
            <family val="2"/>
          </rPr>
          <t xml:space="preserve">
changed in rev. 3.1</t>
        </r>
      </text>
    </comment>
    <comment ref="AB211" authorId="0" shapeId="0" xr:uid="{00000000-0006-0000-0800-00002C000000}">
      <text>
        <r>
          <rPr>
            <b/>
            <sz val="9"/>
            <color indexed="81"/>
            <rFont val="Tahoma"/>
            <family val="2"/>
          </rPr>
          <t>REICH Hermine:</t>
        </r>
        <r>
          <rPr>
            <sz val="9"/>
            <color indexed="81"/>
            <rFont val="Tahoma"/>
            <family val="2"/>
          </rPr>
          <t xml:space="preserve">
changed in rev. 3.1</t>
        </r>
      </text>
    </comment>
    <comment ref="X239" authorId="0" shapeId="0" xr:uid="{00000000-0006-0000-0800-00002D000000}">
      <text>
        <r>
          <rPr>
            <b/>
            <sz val="9"/>
            <color indexed="81"/>
            <rFont val="Tahoma"/>
            <family val="2"/>
          </rPr>
          <t>REICH Hermine:</t>
        </r>
        <r>
          <rPr>
            <sz val="9"/>
            <color indexed="81"/>
            <rFont val="Tahoma"/>
            <family val="2"/>
          </rPr>
          <t xml:space="preserve">
corrected in rev. 3.1</t>
        </r>
      </text>
    </comment>
    <comment ref="O255" authorId="0" shapeId="0" xr:uid="{00000000-0006-0000-0800-00002E000000}">
      <text>
        <r>
          <rPr>
            <b/>
            <sz val="9"/>
            <color indexed="81"/>
            <rFont val="Tahoma"/>
            <family val="2"/>
          </rPr>
          <t>REICH Hermine:</t>
        </r>
        <r>
          <rPr>
            <sz val="9"/>
            <color indexed="81"/>
            <rFont val="Tahoma"/>
            <family val="2"/>
          </rPr>
          <t xml:space="preserve">
The reported LP for coffee seem to be unrealistically high (FR: 2.28 g/kg bw for adults with bw 66.4 kg). 
Usually, 8 g are used for one espresso. Thus, this amount corresponds to 18 coffees. 
EFSA replaced the LP by an estimate, based on the assumption that a person with 60 kg bw consumes 5 coffees (espresso type). The calculated value is recalculated to green beans using a correction factor of 1.1. 
</t>
        </r>
      </text>
    </comment>
    <comment ref="T297" authorId="0" shapeId="0" xr:uid="{00000000-0006-0000-0800-00002F000000}">
      <text>
        <r>
          <rPr>
            <b/>
            <sz val="9"/>
            <color indexed="81"/>
            <rFont val="Tahoma"/>
            <family val="2"/>
          </rPr>
          <t>REICH Hermine:</t>
        </r>
        <r>
          <rPr>
            <sz val="9"/>
            <color indexed="81"/>
            <rFont val="Tahoma"/>
            <family val="2"/>
          </rPr>
          <t xml:space="preserve">
corrected in rev. 3.1</t>
        </r>
      </text>
    </comment>
    <comment ref="V297" authorId="0" shapeId="0" xr:uid="{00000000-0006-0000-0800-000030000000}">
      <text>
        <r>
          <rPr>
            <b/>
            <sz val="9"/>
            <color indexed="81"/>
            <rFont val="Tahoma"/>
            <family val="2"/>
          </rPr>
          <t>REICH Hermine:</t>
        </r>
        <r>
          <rPr>
            <sz val="9"/>
            <color indexed="81"/>
            <rFont val="Tahoma"/>
            <family val="2"/>
          </rPr>
          <t xml:space="preserve">
corrected in rev. 3.1</t>
        </r>
      </text>
    </comment>
    <comment ref="O306" authorId="0" shapeId="0" xr:uid="{00000000-0006-0000-0800-000031000000}">
      <text>
        <r>
          <rPr>
            <b/>
            <sz val="9"/>
            <color indexed="81"/>
            <rFont val="Tahoma"/>
            <family val="2"/>
          </rPr>
          <t>REICH Hermine:</t>
        </r>
        <r>
          <rPr>
            <sz val="9"/>
            <color indexed="81"/>
            <rFont val="Tahoma"/>
            <family val="2"/>
          </rPr>
          <t xml:space="preserve">
LP was deleted, since it referred to fresh horse radish (NL 20/11/2018)
</t>
        </r>
      </text>
    </comment>
    <comment ref="X321" authorId="0" shapeId="0" xr:uid="{00000000-0006-0000-0800-000032000000}">
      <text>
        <r>
          <rPr>
            <b/>
            <sz val="9"/>
            <color indexed="81"/>
            <rFont val="Tahoma"/>
            <family val="2"/>
          </rPr>
          <t>REICH Hermine:</t>
        </r>
        <r>
          <rPr>
            <sz val="9"/>
            <color indexed="81"/>
            <rFont val="Tahoma"/>
            <family val="2"/>
          </rPr>
          <t xml:space="preserve">
changed in rev. 3.1</t>
        </r>
      </text>
    </comment>
    <comment ref="Y321" authorId="0" shapeId="0" xr:uid="{00000000-0006-0000-0800-000033000000}">
      <text>
        <r>
          <rPr>
            <b/>
            <sz val="9"/>
            <color indexed="81"/>
            <rFont val="Tahoma"/>
            <family val="2"/>
          </rPr>
          <t>REICH Hermine:</t>
        </r>
        <r>
          <rPr>
            <sz val="9"/>
            <color indexed="81"/>
            <rFont val="Tahoma"/>
            <family val="2"/>
          </rPr>
          <t xml:space="preserve">
changed in rev. 3.1</t>
        </r>
      </text>
    </comment>
    <comment ref="O326" authorId="0" shapeId="0" xr:uid="{00000000-0006-0000-0800-000034000000}">
      <text>
        <r>
          <rPr>
            <b/>
            <sz val="9"/>
            <color indexed="81"/>
            <rFont val="Tahoma"/>
            <family val="2"/>
          </rPr>
          <t>REICH Hermine:</t>
        </r>
        <r>
          <rPr>
            <sz val="9"/>
            <color indexed="81"/>
            <rFont val="Tahoma"/>
            <family val="2"/>
          </rPr>
          <t xml:space="preserve">
Dutch reqest 16/11/2018</t>
        </r>
      </text>
    </comment>
    <comment ref="O340" authorId="0" shapeId="0" xr:uid="{00000000-0006-0000-0800-000035000000}">
      <text>
        <r>
          <rPr>
            <b/>
            <sz val="9"/>
            <color indexed="81"/>
            <rFont val="Tahoma"/>
            <family val="2"/>
          </rPr>
          <t>REICH Hermine:</t>
        </r>
        <r>
          <rPr>
            <sz val="9"/>
            <color indexed="81"/>
            <rFont val="Tahoma"/>
            <family val="2"/>
          </rPr>
          <t xml:space="preserve">
Dutch reqest 16/11/2018</t>
        </r>
      </text>
    </comment>
    <comment ref="O418" authorId="0" shapeId="0" xr:uid="{00000000-0006-0000-0800-000036000000}">
      <text>
        <r>
          <rPr>
            <b/>
            <sz val="9"/>
            <color indexed="81"/>
            <rFont val="Tahoma"/>
            <family val="2"/>
          </rPr>
          <t>REICH Hermine:</t>
        </r>
        <r>
          <rPr>
            <sz val="9"/>
            <color indexed="81"/>
            <rFont val="Tahoma"/>
            <family val="2"/>
          </rPr>
          <t xml:space="preserve">
Dutch request 16/11/2018
</t>
        </r>
      </text>
    </comment>
    <comment ref="T418" authorId="0" shapeId="0" xr:uid="{00000000-0006-0000-0800-000037000000}">
      <text>
        <r>
          <rPr>
            <b/>
            <sz val="9"/>
            <color indexed="81"/>
            <rFont val="Tahoma"/>
            <family val="2"/>
          </rPr>
          <t>REICH Hermine:</t>
        </r>
        <r>
          <rPr>
            <sz val="9"/>
            <color indexed="81"/>
            <rFont val="Tahoma"/>
            <family val="2"/>
          </rPr>
          <t xml:space="preserve">
Dutch request 16/11/2018
</t>
        </r>
      </text>
    </comment>
    <comment ref="V418" authorId="0" shapeId="0" xr:uid="{00000000-0006-0000-0800-000038000000}">
      <text>
        <r>
          <rPr>
            <b/>
            <sz val="9"/>
            <color indexed="81"/>
            <rFont val="Tahoma"/>
            <family val="2"/>
          </rPr>
          <t>REICH Hermine:</t>
        </r>
        <r>
          <rPr>
            <sz val="9"/>
            <color indexed="81"/>
            <rFont val="Tahoma"/>
            <family val="2"/>
          </rPr>
          <t xml:space="preserve">
Dutch request 16/11/2018
</t>
        </r>
      </text>
    </comment>
    <comment ref="O420" authorId="0" shapeId="0" xr:uid="{00000000-0006-0000-0800-000039000000}">
      <text>
        <r>
          <rPr>
            <b/>
            <sz val="9"/>
            <color indexed="81"/>
            <rFont val="Tahoma"/>
            <family val="2"/>
          </rPr>
          <t>REICH Hermine:</t>
        </r>
        <r>
          <rPr>
            <sz val="9"/>
            <color indexed="81"/>
            <rFont val="Tahoma"/>
            <family val="2"/>
          </rPr>
          <t xml:space="preserve">
Dutch request 16/11/2018
</t>
        </r>
      </text>
    </comment>
    <comment ref="O427" authorId="0" shapeId="0" xr:uid="{00000000-0006-0000-0800-00003A000000}">
      <text>
        <r>
          <rPr>
            <b/>
            <sz val="9"/>
            <color indexed="81"/>
            <rFont val="Tahoma"/>
            <family val="2"/>
          </rPr>
          <t>Dutch reqeust 16/11/2018</t>
        </r>
      </text>
    </comment>
    <comment ref="O431" authorId="0" shapeId="0" xr:uid="{00000000-0006-0000-0800-00003B000000}">
      <text>
        <r>
          <rPr>
            <b/>
            <sz val="9"/>
            <color indexed="81"/>
            <rFont val="Tahoma"/>
            <family val="2"/>
          </rPr>
          <t>REICH Hermine:</t>
        </r>
        <r>
          <rPr>
            <sz val="9"/>
            <color indexed="81"/>
            <rFont val="Tahoma"/>
            <family val="2"/>
          </rPr>
          <t xml:space="preserve">
Dutch request 16/11/2018</t>
        </r>
      </text>
    </comment>
    <comment ref="V434" authorId="0" shapeId="0" xr:uid="{00000000-0006-0000-0800-00003C000000}">
      <text>
        <r>
          <rPr>
            <b/>
            <sz val="9"/>
            <color indexed="81"/>
            <rFont val="Tahoma"/>
            <family val="2"/>
          </rPr>
          <t>REICH Hermine:</t>
        </r>
        <r>
          <rPr>
            <sz val="9"/>
            <color indexed="81"/>
            <rFont val="Tahoma"/>
            <family val="2"/>
          </rPr>
          <t xml:space="preserve">
corrected in rev. 3.1</t>
        </r>
      </text>
    </comment>
    <comment ref="V436" authorId="0" shapeId="0" xr:uid="{00000000-0006-0000-0800-00003D000000}">
      <text>
        <r>
          <rPr>
            <b/>
            <sz val="9"/>
            <color indexed="81"/>
            <rFont val="Tahoma"/>
            <family val="2"/>
          </rPr>
          <t>REICH Hermine:</t>
        </r>
        <r>
          <rPr>
            <sz val="9"/>
            <color indexed="81"/>
            <rFont val="Tahoma"/>
            <family val="2"/>
          </rPr>
          <t xml:space="preserve">
corrected in rev. 3.1</t>
        </r>
      </text>
    </comment>
    <comment ref="V439" authorId="0" shapeId="0" xr:uid="{00000000-0006-0000-0800-00003E000000}">
      <text>
        <r>
          <rPr>
            <b/>
            <sz val="9"/>
            <color indexed="81"/>
            <rFont val="Tahoma"/>
            <family val="2"/>
          </rPr>
          <t>REICH Hermine:</t>
        </r>
        <r>
          <rPr>
            <sz val="9"/>
            <color indexed="81"/>
            <rFont val="Tahoma"/>
            <family val="2"/>
          </rPr>
          <t xml:space="preserve">
corrected in rev. 3.1</t>
        </r>
      </text>
    </comment>
    <comment ref="O440" authorId="0" shapeId="0" xr:uid="{00000000-0006-0000-0800-00003F000000}">
      <text>
        <r>
          <rPr>
            <b/>
            <sz val="9"/>
            <color indexed="81"/>
            <rFont val="Tahoma"/>
            <family val="2"/>
          </rPr>
          <t>REICH Hermine:</t>
        </r>
        <r>
          <rPr>
            <sz val="9"/>
            <color indexed="81"/>
            <rFont val="Tahoma"/>
            <family val="2"/>
          </rPr>
          <t xml:space="preserve">
Dutch request 16/11/2018</t>
        </r>
      </text>
    </comment>
    <comment ref="V441" authorId="0" shapeId="0" xr:uid="{00000000-0006-0000-0800-000040000000}">
      <text>
        <r>
          <rPr>
            <b/>
            <sz val="9"/>
            <color indexed="81"/>
            <rFont val="Tahoma"/>
            <family val="2"/>
          </rPr>
          <t>REICH Hermine:</t>
        </r>
        <r>
          <rPr>
            <sz val="9"/>
            <color indexed="81"/>
            <rFont val="Tahoma"/>
            <family val="2"/>
          </rPr>
          <t xml:space="preserve">
corrected in rev. 3.1</t>
        </r>
      </text>
    </comment>
    <comment ref="O445" authorId="0" shapeId="0" xr:uid="{00000000-0006-0000-0800-000041000000}">
      <text>
        <r>
          <rPr>
            <b/>
            <sz val="9"/>
            <color indexed="81"/>
            <rFont val="Tahoma"/>
            <family val="2"/>
          </rPr>
          <t>REICH Hermine:</t>
        </r>
        <r>
          <rPr>
            <sz val="9"/>
            <color indexed="81"/>
            <rFont val="Tahoma"/>
            <family val="2"/>
          </rPr>
          <t xml:space="preserve">
Dutch request 16/11/2018</t>
        </r>
      </text>
    </comment>
    <comment ref="V447" authorId="0" shapeId="0" xr:uid="{00000000-0006-0000-0800-000042000000}">
      <text>
        <r>
          <rPr>
            <b/>
            <sz val="9"/>
            <color indexed="81"/>
            <rFont val="Tahoma"/>
            <family val="2"/>
          </rPr>
          <t>REICH Hermine:</t>
        </r>
        <r>
          <rPr>
            <sz val="9"/>
            <color indexed="81"/>
            <rFont val="Tahoma"/>
            <family val="2"/>
          </rPr>
          <t xml:space="preserve">
corrected rev. 3.1</t>
        </r>
      </text>
    </comment>
    <comment ref="V448" authorId="0" shapeId="0" xr:uid="{00000000-0006-0000-0800-000043000000}">
      <text>
        <r>
          <rPr>
            <b/>
            <sz val="9"/>
            <color indexed="81"/>
            <rFont val="Tahoma"/>
            <family val="2"/>
          </rPr>
          <t>REICH Hermine:</t>
        </r>
        <r>
          <rPr>
            <sz val="9"/>
            <color indexed="81"/>
            <rFont val="Tahoma"/>
            <family val="2"/>
          </rPr>
          <t xml:space="preserve">
corrected rev. 3.1</t>
        </r>
      </text>
    </comment>
    <comment ref="V449" authorId="0" shapeId="0" xr:uid="{00000000-0006-0000-0800-000044000000}">
      <text>
        <r>
          <rPr>
            <b/>
            <sz val="9"/>
            <color indexed="81"/>
            <rFont val="Tahoma"/>
            <family val="2"/>
          </rPr>
          <t>REICH Hermine:</t>
        </r>
        <r>
          <rPr>
            <sz val="9"/>
            <color indexed="81"/>
            <rFont val="Tahoma"/>
            <family val="2"/>
          </rPr>
          <t xml:space="preserve">
corrected rev. 3.1</t>
        </r>
      </text>
    </comment>
    <comment ref="V450" authorId="0" shapeId="0" xr:uid="{00000000-0006-0000-0800-000045000000}">
      <text>
        <r>
          <rPr>
            <b/>
            <sz val="9"/>
            <color indexed="81"/>
            <rFont val="Tahoma"/>
            <family val="2"/>
          </rPr>
          <t>REICH Hermine:</t>
        </r>
        <r>
          <rPr>
            <sz val="9"/>
            <color indexed="81"/>
            <rFont val="Tahoma"/>
            <family val="2"/>
          </rPr>
          <t xml:space="preserve">
corrected rev. 3.1</t>
        </r>
      </text>
    </comment>
    <comment ref="O451" authorId="0" shapeId="0" xr:uid="{00000000-0006-0000-0800-000046000000}">
      <text>
        <r>
          <rPr>
            <b/>
            <sz val="9"/>
            <color indexed="81"/>
            <rFont val="Tahoma"/>
            <family val="2"/>
          </rPr>
          <t>REICH Hermine:</t>
        </r>
        <r>
          <rPr>
            <sz val="9"/>
            <color indexed="81"/>
            <rFont val="Tahoma"/>
            <family val="2"/>
          </rPr>
          <t xml:space="preserve">
Dutch request 16/11/2018
</t>
        </r>
      </text>
    </comment>
    <comment ref="V453" authorId="0" shapeId="0" xr:uid="{00000000-0006-0000-0800-000047000000}">
      <text>
        <r>
          <rPr>
            <b/>
            <sz val="9"/>
            <color indexed="81"/>
            <rFont val="Tahoma"/>
            <family val="2"/>
          </rPr>
          <t>REICH Hermine:</t>
        </r>
        <r>
          <rPr>
            <sz val="9"/>
            <color indexed="81"/>
            <rFont val="Tahoma"/>
            <family val="2"/>
          </rPr>
          <t xml:space="preserve">
corrected in rev. 3.1</t>
        </r>
      </text>
    </comment>
    <comment ref="V456" authorId="0" shapeId="0" xr:uid="{00000000-0006-0000-0800-000048000000}">
      <text>
        <r>
          <rPr>
            <b/>
            <sz val="9"/>
            <color indexed="81"/>
            <rFont val="Tahoma"/>
            <family val="2"/>
          </rPr>
          <t>REICH Hermine:</t>
        </r>
        <r>
          <rPr>
            <sz val="9"/>
            <color indexed="81"/>
            <rFont val="Tahoma"/>
            <family val="2"/>
          </rPr>
          <t xml:space="preserve">
corrected rev. 3.1</t>
        </r>
      </text>
    </comment>
    <comment ref="V458" authorId="0" shapeId="0" xr:uid="{00000000-0006-0000-0800-000049000000}">
      <text>
        <r>
          <rPr>
            <b/>
            <sz val="9"/>
            <color indexed="81"/>
            <rFont val="Tahoma"/>
            <family val="2"/>
          </rPr>
          <t>REICH Hermine:</t>
        </r>
        <r>
          <rPr>
            <sz val="9"/>
            <color indexed="81"/>
            <rFont val="Tahoma"/>
            <family val="2"/>
          </rPr>
          <t xml:space="preserve">
corrected in rev. 3.1</t>
        </r>
      </text>
    </comment>
    <comment ref="O459" authorId="0" shapeId="0" xr:uid="{00000000-0006-0000-0800-00004A000000}">
      <text>
        <r>
          <rPr>
            <b/>
            <sz val="9"/>
            <color indexed="81"/>
            <rFont val="Tahoma"/>
            <family val="2"/>
          </rPr>
          <t>REICH Hermine:</t>
        </r>
        <r>
          <rPr>
            <sz val="9"/>
            <color indexed="81"/>
            <rFont val="Tahoma"/>
            <family val="2"/>
          </rPr>
          <t xml:space="preserve">
Dutch request 16/11/2018
</t>
        </r>
      </text>
    </comment>
    <comment ref="V464" authorId="0" shapeId="0" xr:uid="{00000000-0006-0000-0800-00004B000000}">
      <text>
        <r>
          <rPr>
            <b/>
            <sz val="9"/>
            <color indexed="81"/>
            <rFont val="Tahoma"/>
            <family val="2"/>
          </rPr>
          <t>REICH Hermine:</t>
        </r>
        <r>
          <rPr>
            <sz val="9"/>
            <color indexed="81"/>
            <rFont val="Tahoma"/>
            <family val="2"/>
          </rPr>
          <t xml:space="preserve">
corrected in rev. 3.1</t>
        </r>
      </text>
    </comment>
    <comment ref="V465" authorId="0" shapeId="0" xr:uid="{00000000-0006-0000-0800-00004C000000}">
      <text>
        <r>
          <rPr>
            <b/>
            <sz val="9"/>
            <color indexed="81"/>
            <rFont val="Tahoma"/>
            <family val="2"/>
          </rPr>
          <t>REICH Hermine:</t>
        </r>
        <r>
          <rPr>
            <sz val="9"/>
            <color indexed="81"/>
            <rFont val="Tahoma"/>
            <family val="2"/>
          </rPr>
          <t xml:space="preserve">
corrected in rev. 3.1</t>
        </r>
      </text>
    </comment>
    <comment ref="O472" authorId="0" shapeId="0" xr:uid="{00000000-0006-0000-0800-00004D000000}">
      <text>
        <r>
          <rPr>
            <b/>
            <sz val="9"/>
            <color indexed="81"/>
            <rFont val="Tahoma"/>
            <family val="2"/>
          </rPr>
          <t>Dutch reqeust 16/11/2018</t>
        </r>
      </text>
    </comment>
    <comment ref="O473" authorId="0" shapeId="0" xr:uid="{DB4972BF-C86A-4FF2-9349-3C0682F02625}">
      <text>
        <r>
          <rPr>
            <b/>
            <sz val="9"/>
            <color indexed="81"/>
            <rFont val="Tahoma"/>
            <family val="2"/>
          </rPr>
          <t>REICH Hermine:</t>
        </r>
        <r>
          <rPr>
            <sz val="9"/>
            <color indexed="81"/>
            <rFont val="Tahoma"/>
            <family val="2"/>
          </rPr>
          <t xml:space="preserve">
Dutch proposal of 20/11/2018</t>
        </r>
      </text>
    </comment>
    <comment ref="O475" authorId="0" shapeId="0" xr:uid="{00000000-0006-0000-0800-00004E000000}">
      <text>
        <r>
          <rPr>
            <b/>
            <sz val="9"/>
            <color indexed="81"/>
            <rFont val="Tahoma"/>
            <family val="2"/>
          </rPr>
          <t>Dutch reqeust 16/11/2018</t>
        </r>
      </text>
    </comment>
    <comment ref="O492" authorId="0" shapeId="0" xr:uid="{00000000-0006-0000-0800-00004F000000}">
      <text>
        <r>
          <rPr>
            <b/>
            <sz val="9"/>
            <color indexed="81"/>
            <rFont val="Tahoma"/>
            <family val="2"/>
          </rPr>
          <t>Dutch reqeust 16/11/2018</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REICH Hermine</author>
  </authors>
  <commentList>
    <comment ref="R5" authorId="0" shapeId="0" xr:uid="{00000000-0006-0000-0900-000001000000}">
      <text>
        <r>
          <rPr>
            <b/>
            <sz val="9"/>
            <color indexed="81"/>
            <rFont val="Tahoma"/>
            <family val="2"/>
          </rPr>
          <t>REICH Hermine:</t>
        </r>
        <r>
          <rPr>
            <sz val="9"/>
            <color indexed="81"/>
            <rFont val="Tahoma"/>
            <family val="2"/>
          </rPr>
          <t xml:space="preserve">
Updated in August 2017 following MSC. 
It is noted that in the EFSA guidance document the body weight for Finish adults is erroneously  reported as 77.1 kg. The </t>
        </r>
      </text>
    </comment>
    <comment ref="AN5" authorId="0" shapeId="0" xr:uid="{00000000-0006-0000-0900-000002000000}">
      <text>
        <r>
          <rPr>
            <b/>
            <sz val="9"/>
            <color indexed="81"/>
            <rFont val="Tahoma"/>
            <family val="2"/>
          </rPr>
          <t>REICH Hermine:</t>
        </r>
        <r>
          <rPr>
            <sz val="9"/>
            <color indexed="81"/>
            <rFont val="Tahoma"/>
            <family val="2"/>
          </rPr>
          <t xml:space="preserve">
Updated in August 2017 
following MSC</t>
        </r>
      </text>
    </comment>
    <comment ref="AO5" authorId="0" shapeId="0" xr:uid="{00000000-0006-0000-0900-000003000000}">
      <text>
        <r>
          <rPr>
            <b/>
            <sz val="9"/>
            <color indexed="81"/>
            <rFont val="Tahoma"/>
            <family val="2"/>
          </rPr>
          <t>REICH Hermine:</t>
        </r>
        <r>
          <rPr>
            <sz val="9"/>
            <color indexed="81"/>
            <rFont val="Tahoma"/>
            <family val="2"/>
          </rPr>
          <t xml:space="preserve">
Updated in August 2017 
following MSC</t>
        </r>
      </text>
    </comment>
    <comment ref="E11" authorId="0" shapeId="0" xr:uid="{00000000-0006-0000-0900-000004000000}">
      <text>
        <r>
          <rPr>
            <b/>
            <sz val="9"/>
            <color indexed="81"/>
            <rFont val="Tahoma"/>
            <family val="2"/>
          </rPr>
          <t>REICH Hermine:</t>
        </r>
        <r>
          <rPr>
            <sz val="9"/>
            <color indexed="81"/>
            <rFont val="Tahoma"/>
            <family val="2"/>
          </rPr>
          <t xml:space="preserve">
replaced
</t>
        </r>
      </text>
    </comment>
    <comment ref="F11" authorId="0" shapeId="0" xr:uid="{00000000-0006-0000-0900-000005000000}">
      <text>
        <r>
          <rPr>
            <b/>
            <sz val="9"/>
            <color indexed="81"/>
            <rFont val="Tahoma"/>
            <family val="2"/>
          </rPr>
          <t>REICH Hermine:</t>
        </r>
        <r>
          <rPr>
            <sz val="9"/>
            <color indexed="81"/>
            <rFont val="Tahoma"/>
            <family val="2"/>
          </rPr>
          <t xml:space="preserve">
replaced with data provided by DK
</t>
        </r>
      </text>
    </comment>
    <comment ref="P11" authorId="0" shapeId="0" xr:uid="{00000000-0006-0000-0900-000006000000}">
      <text>
        <r>
          <rPr>
            <b/>
            <sz val="9"/>
            <color indexed="81"/>
            <rFont val="Tahoma"/>
            <family val="2"/>
          </rPr>
          <t>REICH Hermine:</t>
        </r>
        <r>
          <rPr>
            <sz val="9"/>
            <color indexed="81"/>
            <rFont val="Tahoma"/>
            <family val="2"/>
          </rPr>
          <t xml:space="preserve">
replaced by data provided by DK
</t>
        </r>
      </text>
    </comment>
    <comment ref="AK11" authorId="0" shapeId="0" xr:uid="{00000000-0006-0000-0900-000007000000}">
      <text>
        <r>
          <rPr>
            <b/>
            <sz val="9"/>
            <color indexed="81"/>
            <rFont val="Tahoma"/>
            <family val="2"/>
          </rPr>
          <t>REICH Hermine:</t>
        </r>
        <r>
          <rPr>
            <sz val="9"/>
            <color indexed="81"/>
            <rFont val="Tahoma"/>
            <family val="2"/>
          </rPr>
          <t xml:space="preserve">
updated
</t>
        </r>
      </text>
    </comment>
    <comment ref="AL11" authorId="0" shapeId="0" xr:uid="{00000000-0006-0000-0900-000008000000}">
      <text>
        <r>
          <rPr>
            <b/>
            <sz val="9"/>
            <color indexed="81"/>
            <rFont val="Tahoma"/>
            <family val="2"/>
          </rPr>
          <t>REICH Hermine:</t>
        </r>
        <r>
          <rPr>
            <sz val="9"/>
            <color indexed="81"/>
            <rFont val="Tahoma"/>
            <family val="2"/>
          </rPr>
          <t xml:space="preserve">
updated
</t>
        </r>
      </text>
    </comment>
    <comment ref="N386" authorId="0" shapeId="0" xr:uid="{00000000-0006-0000-0900-000009000000}">
      <text>
        <r>
          <rPr>
            <b/>
            <sz val="9"/>
            <color indexed="81"/>
            <rFont val="Tahoma"/>
            <family val="2"/>
          </rPr>
          <t>REICH Hermine:</t>
        </r>
        <r>
          <rPr>
            <sz val="9"/>
            <color indexed="81"/>
            <rFont val="Tahoma"/>
            <family val="2"/>
          </rPr>
          <t xml:space="preserve">
reported to EFSA in MSC in August 2017
</t>
        </r>
      </text>
    </comment>
    <comment ref="O386" authorId="0" shapeId="0" xr:uid="{00000000-0006-0000-0900-00000A000000}">
      <text>
        <r>
          <rPr>
            <b/>
            <sz val="9"/>
            <color indexed="81"/>
            <rFont val="Tahoma"/>
            <family val="2"/>
          </rPr>
          <t>REICH Hermine:</t>
        </r>
        <r>
          <rPr>
            <sz val="9"/>
            <color indexed="81"/>
            <rFont val="Tahoma"/>
            <family val="2"/>
          </rPr>
          <t xml:space="preserve">
reported to EFSA in MSC in August 2017
</t>
        </r>
      </text>
    </comment>
    <comment ref="AC386" authorId="0" shapeId="0" xr:uid="{00000000-0006-0000-0900-00000B000000}">
      <text>
        <r>
          <rPr>
            <b/>
            <sz val="9"/>
            <color indexed="81"/>
            <rFont val="Tahoma"/>
            <family val="2"/>
          </rPr>
          <t>REICH Hermine:</t>
        </r>
        <r>
          <rPr>
            <sz val="9"/>
            <color indexed="81"/>
            <rFont val="Tahoma"/>
            <family val="2"/>
          </rPr>
          <t xml:space="preserve">
reported to EFSA in MSC in August 2017
</t>
        </r>
      </text>
    </comment>
    <comment ref="AD386" authorId="0" shapeId="0" xr:uid="{00000000-0006-0000-0900-00000C000000}">
      <text>
        <r>
          <rPr>
            <b/>
            <sz val="9"/>
            <color indexed="81"/>
            <rFont val="Tahoma"/>
            <family val="2"/>
          </rPr>
          <t>REICH Hermine:</t>
        </r>
        <r>
          <rPr>
            <sz val="9"/>
            <color indexed="81"/>
            <rFont val="Tahoma"/>
            <family val="2"/>
          </rPr>
          <t xml:space="preserve">
reported to EFSA in MSC in August 2017
</t>
        </r>
      </text>
    </comment>
    <comment ref="N390" authorId="0" shapeId="0" xr:uid="{00000000-0006-0000-0900-00000D000000}">
      <text>
        <r>
          <rPr>
            <b/>
            <sz val="9"/>
            <color indexed="81"/>
            <rFont val="Tahoma"/>
            <family val="2"/>
          </rPr>
          <t>REICH Hermine:</t>
        </r>
        <r>
          <rPr>
            <sz val="9"/>
            <color indexed="81"/>
            <rFont val="Tahoma"/>
            <family val="2"/>
          </rPr>
          <t xml:space="preserve">
reported to EFSA in MSC in August 2017
</t>
        </r>
      </text>
    </comment>
    <comment ref="O390" authorId="0" shapeId="0" xr:uid="{00000000-0006-0000-0900-00000E000000}">
      <text>
        <r>
          <rPr>
            <b/>
            <sz val="9"/>
            <color indexed="81"/>
            <rFont val="Tahoma"/>
            <family val="2"/>
          </rPr>
          <t>REICH Hermine:</t>
        </r>
        <r>
          <rPr>
            <sz val="9"/>
            <color indexed="81"/>
            <rFont val="Tahoma"/>
            <family val="2"/>
          </rPr>
          <t xml:space="preserve">
reported to EFSA in MSC in August 2017
</t>
        </r>
      </text>
    </comment>
    <comment ref="AC390" authorId="0" shapeId="0" xr:uid="{00000000-0006-0000-0900-00000F000000}">
      <text>
        <r>
          <rPr>
            <b/>
            <sz val="9"/>
            <color indexed="81"/>
            <rFont val="Tahoma"/>
            <family val="2"/>
          </rPr>
          <t>REICH Hermine:</t>
        </r>
        <r>
          <rPr>
            <sz val="9"/>
            <color indexed="81"/>
            <rFont val="Tahoma"/>
            <family val="2"/>
          </rPr>
          <t xml:space="preserve">
reported to EFSA in MSC in August 2017
</t>
        </r>
      </text>
    </comment>
    <comment ref="AD390" authorId="0" shapeId="0" xr:uid="{00000000-0006-0000-0900-000010000000}">
      <text>
        <r>
          <rPr>
            <b/>
            <sz val="9"/>
            <color indexed="81"/>
            <rFont val="Tahoma"/>
            <family val="2"/>
          </rPr>
          <t>REICH Hermine:</t>
        </r>
        <r>
          <rPr>
            <sz val="9"/>
            <color indexed="81"/>
            <rFont val="Tahoma"/>
            <family val="2"/>
          </rPr>
          <t xml:space="preserve">
reported to EFSA in MSC in August 2017
</t>
        </r>
      </text>
    </comment>
    <comment ref="N786" authorId="0" shapeId="0" xr:uid="{00000000-0006-0000-0900-000011000000}">
      <text>
        <r>
          <rPr>
            <b/>
            <sz val="9"/>
            <color indexed="81"/>
            <rFont val="Tahoma"/>
            <family val="2"/>
          </rPr>
          <t>REICH Hermine:</t>
        </r>
        <r>
          <rPr>
            <sz val="9"/>
            <color indexed="81"/>
            <rFont val="Tahoma"/>
            <family val="2"/>
          </rPr>
          <t xml:space="preserve">
reported to EFSA in MSC in August 2017
</t>
        </r>
      </text>
    </comment>
    <comment ref="O786" authorId="0" shapeId="0" xr:uid="{00000000-0006-0000-0900-000012000000}">
      <text>
        <r>
          <rPr>
            <b/>
            <sz val="9"/>
            <color indexed="81"/>
            <rFont val="Tahoma"/>
            <family val="2"/>
          </rPr>
          <t>REICH Hermine:</t>
        </r>
        <r>
          <rPr>
            <sz val="9"/>
            <color indexed="81"/>
            <rFont val="Tahoma"/>
            <family val="2"/>
          </rPr>
          <t xml:space="preserve">
reported to EFSA in MSC in August 2017
</t>
        </r>
      </text>
    </comment>
    <comment ref="AC786" authorId="0" shapeId="0" xr:uid="{00000000-0006-0000-0900-000013000000}">
      <text>
        <r>
          <rPr>
            <b/>
            <sz val="9"/>
            <color indexed="81"/>
            <rFont val="Tahoma"/>
            <family val="2"/>
          </rPr>
          <t>REICH Hermine:</t>
        </r>
        <r>
          <rPr>
            <sz val="9"/>
            <color indexed="81"/>
            <rFont val="Tahoma"/>
            <family val="2"/>
          </rPr>
          <t xml:space="preserve">
reported to EFSA in MSC in August 2017
</t>
        </r>
      </text>
    </comment>
    <comment ref="AD786" authorId="0" shapeId="0" xr:uid="{00000000-0006-0000-0900-000014000000}">
      <text>
        <r>
          <rPr>
            <b/>
            <sz val="9"/>
            <color indexed="81"/>
            <rFont val="Tahoma"/>
            <family val="2"/>
          </rPr>
          <t>REICH Hermine:</t>
        </r>
        <r>
          <rPr>
            <sz val="9"/>
            <color indexed="81"/>
            <rFont val="Tahoma"/>
            <family val="2"/>
          </rPr>
          <t xml:space="preserve">
reported to EFSA in MSC in August 2017
</t>
        </r>
      </text>
    </comment>
    <comment ref="N790" authorId="0" shapeId="0" xr:uid="{00000000-0006-0000-0900-000015000000}">
      <text>
        <r>
          <rPr>
            <b/>
            <sz val="9"/>
            <color indexed="81"/>
            <rFont val="Tahoma"/>
            <family val="2"/>
          </rPr>
          <t>REICH Hermine:</t>
        </r>
        <r>
          <rPr>
            <sz val="9"/>
            <color indexed="81"/>
            <rFont val="Tahoma"/>
            <family val="2"/>
          </rPr>
          <t xml:space="preserve">
reported to EFSA in MSC in August 2017
</t>
        </r>
      </text>
    </comment>
    <comment ref="O790" authorId="0" shapeId="0" xr:uid="{00000000-0006-0000-0900-000016000000}">
      <text>
        <r>
          <rPr>
            <b/>
            <sz val="9"/>
            <color indexed="81"/>
            <rFont val="Tahoma"/>
            <family val="2"/>
          </rPr>
          <t>REICH Hermine:</t>
        </r>
        <r>
          <rPr>
            <sz val="9"/>
            <color indexed="81"/>
            <rFont val="Tahoma"/>
            <family val="2"/>
          </rPr>
          <t xml:space="preserve">
reported to EFSA in MSC in August 2017
</t>
        </r>
      </text>
    </comment>
    <comment ref="AC790" authorId="0" shapeId="0" xr:uid="{00000000-0006-0000-0900-000017000000}">
      <text>
        <r>
          <rPr>
            <b/>
            <sz val="9"/>
            <color indexed="81"/>
            <rFont val="Tahoma"/>
            <family val="2"/>
          </rPr>
          <t>REICH Hermine:</t>
        </r>
        <r>
          <rPr>
            <sz val="9"/>
            <color indexed="81"/>
            <rFont val="Tahoma"/>
            <family val="2"/>
          </rPr>
          <t xml:space="preserve">
reported to EFSA in MSC in August 2017
</t>
        </r>
      </text>
    </comment>
    <comment ref="AD790" authorId="0" shapeId="0" xr:uid="{00000000-0006-0000-0900-000018000000}">
      <text>
        <r>
          <rPr>
            <b/>
            <sz val="9"/>
            <color indexed="81"/>
            <rFont val="Tahoma"/>
            <family val="2"/>
          </rPr>
          <t>REICH Hermine:</t>
        </r>
        <r>
          <rPr>
            <sz val="9"/>
            <color indexed="81"/>
            <rFont val="Tahoma"/>
            <family val="2"/>
          </rPr>
          <t xml:space="preserve">
reported to EFSA in MSC in August 2017
</t>
        </r>
      </text>
    </comment>
  </commentList>
</comments>
</file>

<file path=xl/sharedStrings.xml><?xml version="1.0" encoding="utf-8"?>
<sst xmlns="http://schemas.openxmlformats.org/spreadsheetml/2006/main" count="8647" uniqueCount="1911">
  <si>
    <t>ES adult</t>
  </si>
  <si>
    <t>ES child</t>
  </si>
  <si>
    <t>Oranges</t>
  </si>
  <si>
    <t>Lemons</t>
  </si>
  <si>
    <t>Limes</t>
  </si>
  <si>
    <t xml:space="preserve">Mandarins </t>
  </si>
  <si>
    <t>Almonds</t>
  </si>
  <si>
    <t>Brazil nuts</t>
  </si>
  <si>
    <t>Cashew nuts</t>
  </si>
  <si>
    <t>Chestnuts</t>
  </si>
  <si>
    <t>Coconuts</t>
  </si>
  <si>
    <t>Commodity / 
group of commodities</t>
  </si>
  <si>
    <t>Highest contributor to MS diet 
(in % of ADI)</t>
  </si>
  <si>
    <t>2nd contributor to MS diet 
(in % of ADI)</t>
  </si>
  <si>
    <t>3rd contributor to MS diet 
(in % of ADI)</t>
  </si>
  <si>
    <t>Commodities</t>
  </si>
  <si>
    <t xml:space="preserve">Highest % of ARfD/ADI </t>
  </si>
  <si>
    <t>97.5 UK toddler</t>
  </si>
  <si>
    <t>UK toddler Rees-Day model</t>
  </si>
  <si>
    <t>average consumption</t>
  </si>
  <si>
    <t>97.5th percentile</t>
  </si>
  <si>
    <t>Rees-Day</t>
  </si>
  <si>
    <t xml:space="preserve">Comments: </t>
  </si>
  <si>
    <t xml:space="preserve">Highest calculated TMDI/NEDI values in % of ADI </t>
  </si>
  <si>
    <t>Sweet potatoes</t>
  </si>
  <si>
    <t>Yams</t>
  </si>
  <si>
    <t>Carrots</t>
  </si>
  <si>
    <t>Jerusalem artichokes</t>
  </si>
  <si>
    <t>Parsnips</t>
  </si>
  <si>
    <t>Radishes</t>
  </si>
  <si>
    <t>Turnips</t>
  </si>
  <si>
    <t>Tarragon</t>
  </si>
  <si>
    <t>Beans (with pods)</t>
  </si>
  <si>
    <t>Beans (without pods)</t>
  </si>
  <si>
    <t>ARfD (mg/kg bw):</t>
  </si>
  <si>
    <t>Source of ARfD:</t>
  </si>
  <si>
    <t>*)</t>
  </si>
  <si>
    <t>Unprocessed commodities</t>
  </si>
  <si>
    <t xml:space="preserve">Amphibians and reptiles </t>
  </si>
  <si>
    <t>Conclusion:</t>
  </si>
  <si>
    <t>DE</t>
  </si>
  <si>
    <t>Active substance:</t>
  </si>
  <si>
    <t>daily intake (% of ADI)</t>
  </si>
  <si>
    <t>level</t>
  </si>
  <si>
    <t>Code no. (1)</t>
  </si>
  <si>
    <t>UK</t>
  </si>
  <si>
    <t>Processed commodities</t>
  </si>
  <si>
    <t>Other citrus fruit</t>
  </si>
  <si>
    <t>Other tree nuts</t>
  </si>
  <si>
    <t>Other pome fruit</t>
  </si>
  <si>
    <t>Other stone fruit</t>
  </si>
  <si>
    <t>Other cane fruit</t>
  </si>
  <si>
    <t xml:space="preserve">Other other small fruit &amp; berries </t>
  </si>
  <si>
    <t>Other miscellaneous fruit (edible peel)</t>
  </si>
  <si>
    <t>Other miscellaneous fruit (inedible peel, small)</t>
  </si>
  <si>
    <t>Other miscallaneous fruit (inedible peel, large)</t>
  </si>
  <si>
    <t>Percentile</t>
  </si>
  <si>
    <t>Peas (with pods)</t>
  </si>
  <si>
    <t>Peas (without pods)</t>
  </si>
  <si>
    <t>Lentils</t>
  </si>
  <si>
    <t>Asparagus</t>
  </si>
  <si>
    <t>Cardoons</t>
  </si>
  <si>
    <t>Globe artichokes</t>
  </si>
  <si>
    <t>Bamboo shoots</t>
  </si>
  <si>
    <t>Palm hearts</t>
  </si>
  <si>
    <t>Rose hips</t>
  </si>
  <si>
    <t>Elderberries</t>
  </si>
  <si>
    <t>Dates</t>
  </si>
  <si>
    <t>Figs</t>
  </si>
  <si>
    <t xml:space="preserve">Table olives </t>
  </si>
  <si>
    <t>Kumquats</t>
  </si>
  <si>
    <t>Crop groups and examples of individual products within the groups to which the MRLs apply</t>
  </si>
  <si>
    <t>IE</t>
  </si>
  <si>
    <t>Miscellaneous fruit (edible peel)</t>
  </si>
  <si>
    <t>Herbal infusions (dried flowers)</t>
  </si>
  <si>
    <t>Herbal infusions (dried leaves)</t>
  </si>
  <si>
    <t>Herbal infusions (dried roots)</t>
  </si>
  <si>
    <t>Spices (seeds)</t>
  </si>
  <si>
    <t>Spices (bark)</t>
  </si>
  <si>
    <t>Spices (roots or rhizome)</t>
  </si>
  <si>
    <t>Spices (buds)</t>
  </si>
  <si>
    <t>Spices (flower stigma)</t>
  </si>
  <si>
    <t>Spices (aril)</t>
  </si>
  <si>
    <t>Chronic consumption data</t>
  </si>
  <si>
    <t>Highest % of ARfD/ADI</t>
  </si>
  <si>
    <t>MS Diet</t>
  </si>
  <si>
    <t>Brussels sprouts</t>
  </si>
  <si>
    <t>Acute risk assessment /children</t>
  </si>
  <si>
    <t>Acute risk assessment / adults / general population</t>
  </si>
  <si>
    <t>UK infant</t>
  </si>
  <si>
    <t>EU mean</t>
  </si>
  <si>
    <t>UK toddler</t>
  </si>
  <si>
    <t>UK 4-6 years</t>
  </si>
  <si>
    <t>BE toddlers</t>
  </si>
  <si>
    <t>UK 7-10 years</t>
  </si>
  <si>
    <t>UK 11-14 years</t>
  </si>
  <si>
    <t>CZ 4-6 yrs</t>
  </si>
  <si>
    <t>CZ 7-10 yrs</t>
  </si>
  <si>
    <t>EFSA estimate</t>
  </si>
  <si>
    <t>NL general population</t>
  </si>
  <si>
    <t>UK 15-18 years</t>
  </si>
  <si>
    <t>PL general population</t>
  </si>
  <si>
    <t>CZ males 15-17 years</t>
  </si>
  <si>
    <t>CZ females 15-17 years</t>
  </si>
  <si>
    <t>UK elderly (residential)</t>
  </si>
  <si>
    <t>UK adult</t>
  </si>
  <si>
    <t>UK elderly (own home)</t>
  </si>
  <si>
    <t>CZ females 18-59 years</t>
  </si>
  <si>
    <t>Macadamia</t>
  </si>
  <si>
    <t>Pecans</t>
  </si>
  <si>
    <t>Pistachios</t>
  </si>
  <si>
    <t>Walnuts</t>
  </si>
  <si>
    <t>Apples</t>
  </si>
  <si>
    <t>Pears</t>
  </si>
  <si>
    <t>Quinces</t>
  </si>
  <si>
    <t xml:space="preserve">Medlar </t>
  </si>
  <si>
    <t>Apricots</t>
  </si>
  <si>
    <t>Peaches</t>
  </si>
  <si>
    <t>Plums</t>
  </si>
  <si>
    <t>Table grapes</t>
  </si>
  <si>
    <t>Wine grapes</t>
  </si>
  <si>
    <t>Blackberries</t>
  </si>
  <si>
    <t>Vanilla pods</t>
  </si>
  <si>
    <t xml:space="preserve">Tamarind </t>
  </si>
  <si>
    <t>Cinnamon</t>
  </si>
  <si>
    <t>Liquorice</t>
  </si>
  <si>
    <t xml:space="preserve">Ginger </t>
  </si>
  <si>
    <t xml:space="preserve">Land cress </t>
  </si>
  <si>
    <t>Chervil</t>
  </si>
  <si>
    <t>Chives</t>
  </si>
  <si>
    <t>Celery leaves</t>
  </si>
  <si>
    <t>Parsley</t>
  </si>
  <si>
    <t>Sage</t>
  </si>
  <si>
    <t>Rosemary</t>
  </si>
  <si>
    <t>Thyme</t>
  </si>
  <si>
    <t>Miscellaneous fruit (inedible peel,
small)</t>
  </si>
  <si>
    <t>Miscellaneous fruit (inedible peel,
large)</t>
  </si>
  <si>
    <t xml:space="preserve">VEGETABLES 
FRESH OR FROZEN </t>
  </si>
  <si>
    <t>Root and tuber vegetables
incl. potaotes)</t>
  </si>
  <si>
    <t>PRODUCTS OF ANIMAL ORIGIN
-TERRESTRIAL ANIMALS</t>
  </si>
  <si>
    <t>OILSEEDS AND OILFRUITS</t>
  </si>
  <si>
    <t>Oilseeds</t>
  </si>
  <si>
    <t>CEREALS</t>
  </si>
  <si>
    <t>Coffee beans</t>
  </si>
  <si>
    <t>SPICES</t>
  </si>
  <si>
    <t>SUGAR PLANTS</t>
  </si>
  <si>
    <t xml:space="preserve">Swine </t>
  </si>
  <si>
    <t>Poultry: Kidney</t>
  </si>
  <si>
    <t xml:space="preserve">Eggs: Chicken </t>
  </si>
  <si>
    <t>Eggs: Duck</t>
  </si>
  <si>
    <t>Eggs: Goose</t>
  </si>
  <si>
    <t xml:space="preserve">Eggs: Quail </t>
  </si>
  <si>
    <t>FR</t>
  </si>
  <si>
    <t>Examples of individual products within the groups to which the MRLs apply</t>
  </si>
  <si>
    <t>Pumpkin seeds</t>
  </si>
  <si>
    <t>Olives for oil production</t>
  </si>
  <si>
    <t>Kapok</t>
  </si>
  <si>
    <t xml:space="preserve">Barley </t>
  </si>
  <si>
    <t>Rice</t>
  </si>
  <si>
    <t>Rye</t>
  </si>
  <si>
    <t>Sorghum</t>
  </si>
  <si>
    <t>Wheat</t>
  </si>
  <si>
    <t>Strawberry leaves</t>
  </si>
  <si>
    <t>Other tropical root and tuber vegetables</t>
  </si>
  <si>
    <t xml:space="preserve">Other other root and tuber vegetables </t>
  </si>
  <si>
    <t>Other bulb vegetables</t>
  </si>
  <si>
    <t>Other solanacea</t>
  </si>
  <si>
    <t>Other cucurbits - edible peel</t>
  </si>
  <si>
    <t>Cucurbits - inedible peel</t>
  </si>
  <si>
    <t>Other cucurbits - inedible peel</t>
  </si>
  <si>
    <t>Other flowering brassica</t>
  </si>
  <si>
    <t>Other head brassica</t>
  </si>
  <si>
    <t>Other leafy brassica</t>
  </si>
  <si>
    <t>Other lettuce and other salad plants</t>
  </si>
  <si>
    <t>Other spinach and similar</t>
  </si>
  <si>
    <t>Other herbs</t>
  </si>
  <si>
    <t>Other legume vegetables (fresh)</t>
  </si>
  <si>
    <t>Other stem vegetables</t>
  </si>
  <si>
    <t>Other oilseeds</t>
  </si>
  <si>
    <t>Other oilfruit</t>
  </si>
  <si>
    <t>Other herbal infusions (dried flowers)</t>
  </si>
  <si>
    <t>Other herbal infusions (dried leaves)</t>
  </si>
  <si>
    <t>Other herbal infusions (dried roots)</t>
  </si>
  <si>
    <t>Other spices (seeds)</t>
  </si>
  <si>
    <t>Other spices (bark)</t>
  </si>
  <si>
    <t>Horseradish, root spices</t>
  </si>
  <si>
    <t>Other spices (roots)</t>
  </si>
  <si>
    <t>Other spices (buds)</t>
  </si>
  <si>
    <t>Other spices (flower stigma)</t>
  </si>
  <si>
    <t>Other spices (aril)</t>
  </si>
  <si>
    <t>Other sugar plants</t>
  </si>
  <si>
    <t>Swine: Liver</t>
  </si>
  <si>
    <t>Swine: Kidney</t>
  </si>
  <si>
    <t>Bovine</t>
  </si>
  <si>
    <t>Bovine: Liver</t>
  </si>
  <si>
    <t>Bovine: Kidney</t>
  </si>
  <si>
    <t>Sheep: Liver</t>
  </si>
  <si>
    <t>Sheep: Kidney</t>
  </si>
  <si>
    <t xml:space="preserve">Goat </t>
  </si>
  <si>
    <t>Goat: Liver</t>
  </si>
  <si>
    <t>Goat: Kidney</t>
  </si>
  <si>
    <t>Poultry: Liver</t>
  </si>
  <si>
    <t>Cloves</t>
  </si>
  <si>
    <t>Capers</t>
  </si>
  <si>
    <t xml:space="preserve">Saffron </t>
  </si>
  <si>
    <t>Mace</t>
  </si>
  <si>
    <t>Chicory roots</t>
  </si>
  <si>
    <t>Garlic</t>
  </si>
  <si>
    <t>Onions</t>
  </si>
  <si>
    <t>Shallots</t>
  </si>
  <si>
    <t>Tomatoes</t>
  </si>
  <si>
    <t>Cucumbers</t>
  </si>
  <si>
    <t>Code no.</t>
  </si>
  <si>
    <t>Citrus fruit</t>
  </si>
  <si>
    <t>Stone fruit</t>
  </si>
  <si>
    <t>NL</t>
  </si>
  <si>
    <t>Berries &amp; small fruit</t>
  </si>
  <si>
    <t xml:space="preserve">Table and wine grapes </t>
  </si>
  <si>
    <t xml:space="preserve">Strawberries </t>
  </si>
  <si>
    <t xml:space="preserve">Cane fruit </t>
  </si>
  <si>
    <t xml:space="preserve">Other small fruit &amp; berries </t>
  </si>
  <si>
    <t>Miscellaneous fruit</t>
  </si>
  <si>
    <t>Potatoes</t>
  </si>
  <si>
    <t>Tropical root and tuber vegetables</t>
  </si>
  <si>
    <t>Bulb vegetables</t>
  </si>
  <si>
    <t>Fruiting vegetables</t>
  </si>
  <si>
    <t>Solanacea</t>
  </si>
  <si>
    <t>Cucurbits - edible peel</t>
  </si>
  <si>
    <t>Sweet corn</t>
  </si>
  <si>
    <t xml:space="preserve">Other fruiting vegetables </t>
  </si>
  <si>
    <t>Brassica vegetables</t>
  </si>
  <si>
    <t>Flowering brassica</t>
  </si>
  <si>
    <t>Head brassica</t>
  </si>
  <si>
    <t>Leafy brassica</t>
  </si>
  <si>
    <t>Spinach &amp; similar (leaves)</t>
  </si>
  <si>
    <t>Fungi</t>
  </si>
  <si>
    <t>Cultivated fungi</t>
  </si>
  <si>
    <t>Wild fungi</t>
  </si>
  <si>
    <t>ADI (mg/kg bw/day):</t>
  </si>
  <si>
    <t>Source of ADI:</t>
  </si>
  <si>
    <t>Dewberries</t>
  </si>
  <si>
    <t>Blueberries</t>
  </si>
  <si>
    <t>Cranberries</t>
  </si>
  <si>
    <t>Currants (red, black and white)</t>
  </si>
  <si>
    <t>IT adult</t>
  </si>
  <si>
    <t>Gherkins</t>
  </si>
  <si>
    <t>Courgettes</t>
  </si>
  <si>
    <t>Melons</t>
  </si>
  <si>
    <t>Pumpkins</t>
  </si>
  <si>
    <t>Watermelons</t>
  </si>
  <si>
    <t xml:space="preserve">Broccoli </t>
  </si>
  <si>
    <t>PL</t>
  </si>
  <si>
    <t>DK adult</t>
  </si>
  <si>
    <t>IE adult</t>
  </si>
  <si>
    <t>LT adult</t>
  </si>
  <si>
    <t>UK vegetarian</t>
  </si>
  <si>
    <t>DE child</t>
  </si>
  <si>
    <t>DK child</t>
  </si>
  <si>
    <t>FR infant</t>
  </si>
  <si>
    <t>NL child</t>
  </si>
  <si>
    <t>Year of evaluation:</t>
  </si>
  <si>
    <t xml:space="preserve">total </t>
  </si>
  <si>
    <t>ADI</t>
  </si>
  <si>
    <t>Children</t>
  </si>
  <si>
    <t>Sheep</t>
  </si>
  <si>
    <t>Avocados</t>
  </si>
  <si>
    <t>Bananas</t>
  </si>
  <si>
    <t>Mangoes</t>
  </si>
  <si>
    <t>Pineapples</t>
  </si>
  <si>
    <t>Lentils (fresh)</t>
  </si>
  <si>
    <t xml:space="preserve">Valerian root </t>
  </si>
  <si>
    <t>Ginseng root</t>
  </si>
  <si>
    <t>Celery seed</t>
  </si>
  <si>
    <t>Coriander seed</t>
  </si>
  <si>
    <t>Cumin seed</t>
  </si>
  <si>
    <t>Dill seed</t>
  </si>
  <si>
    <t>Fennel seed</t>
  </si>
  <si>
    <t>Fenugreek</t>
  </si>
  <si>
    <t>Nutmeg</t>
  </si>
  <si>
    <t xml:space="preserve">Caraway </t>
  </si>
  <si>
    <t>Cardamom</t>
  </si>
  <si>
    <t>Level</t>
  </si>
  <si>
    <t>Commodity or group of commodities to which the MRLs apply</t>
  </si>
  <si>
    <t>Body weight 
(kg)</t>
  </si>
  <si>
    <t>Unit weight, 
edible portion 
(g)</t>
  </si>
  <si>
    <t>Case</t>
  </si>
  <si>
    <t>BE</t>
  </si>
  <si>
    <t>LT</t>
  </si>
  <si>
    <t>DK</t>
  </si>
  <si>
    <t>Active substance</t>
  </si>
  <si>
    <t>TMDI (%of ADI)</t>
  </si>
  <si>
    <t>Beans</t>
  </si>
  <si>
    <t>Peas</t>
  </si>
  <si>
    <t xml:space="preserve"> Pome fruit</t>
  </si>
  <si>
    <t>Other root and tuber vegetables except sugar beet</t>
  </si>
  <si>
    <t>Lettuce and other salad plants including Brassicacea</t>
  </si>
  <si>
    <t>Source unit weight, edilbe portion</t>
  </si>
  <si>
    <t>Variability factor for IESTI new</t>
  </si>
  <si>
    <t>IESTI new
(mg/kg bw)</t>
  </si>
  <si>
    <t>IESTI new in % ARfD
(alternatively % ADI)</t>
  </si>
  <si>
    <t>Threshold MRL 
IESTI  new
(mg/kg)</t>
  </si>
  <si>
    <t>threshold calculation IESTI new
ARfD&gt;0</t>
  </si>
  <si>
    <t>IESTI new</t>
  </si>
  <si>
    <t>LOQ</t>
  </si>
  <si>
    <t xml:space="preserve">IESTI </t>
  </si>
  <si>
    <t xml:space="preserve">Variability 
factor for IESTI </t>
  </si>
  <si>
    <t>IESTI 
mg/kg bw/day</t>
  </si>
  <si>
    <t>Threshold MRL 
IESTI 
(mg/kg)</t>
  </si>
  <si>
    <t>threshold calculation IESTI 
ARfD&gt;0</t>
  </si>
  <si>
    <t>FR toddler 2 3 yr</t>
  </si>
  <si>
    <t>FR child 3 15 yr</t>
  </si>
  <si>
    <t>IT toddler</t>
  </si>
  <si>
    <t>FI adult</t>
  </si>
  <si>
    <t>FR adult</t>
  </si>
  <si>
    <t>PL general</t>
  </si>
  <si>
    <t>PT general</t>
  </si>
  <si>
    <t>RO general</t>
  </si>
  <si>
    <t>SE general</t>
  </si>
  <si>
    <t>line to be used for calculation</t>
  </si>
  <si>
    <t>Subtotal</t>
  </si>
  <si>
    <t>No of diets exceeding the ADI :</t>
  </si>
  <si>
    <t>LOQs (mg/kg) range from:</t>
  </si>
  <si>
    <t>to:</t>
  </si>
  <si>
    <t>*</t>
  </si>
  <si>
    <t>MS critical diet</t>
  </si>
  <si>
    <t>Large portion (edible portion) 
(g/person)</t>
  </si>
  <si>
    <t>Unit weight RAC 
(g)</t>
  </si>
  <si>
    <t>Source unit weight RAC</t>
  </si>
  <si>
    <t>97.5</t>
  </si>
  <si>
    <t>NL toddler</t>
  </si>
  <si>
    <t>IE child</t>
  </si>
  <si>
    <t>estimate</t>
  </si>
  <si>
    <t>FR 11-14 years</t>
  </si>
  <si>
    <t>FR 7-10 years</t>
  </si>
  <si>
    <t>DE women 14-50</t>
  </si>
  <si>
    <t>DE general population</t>
  </si>
  <si>
    <t>MRL / input for RA (mg/kg)</t>
  </si>
  <si>
    <t>Expand/collapse list</t>
  </si>
  <si>
    <t>NL general</t>
  </si>
  <si>
    <t>DE general</t>
  </si>
  <si>
    <t>DE women 14-50 yr</t>
  </si>
  <si>
    <t>MRL for chronic calculation</t>
  </si>
  <si>
    <t>MRL for acute calculation</t>
  </si>
  <si>
    <t>CF for calculation</t>
  </si>
  <si>
    <t>Comment</t>
  </si>
  <si>
    <t>PF for calculation</t>
  </si>
  <si>
    <t>CF*PF for calculation</t>
  </si>
  <si>
    <t>Median residue*CF*PF</t>
  </si>
  <si>
    <t>label for chronic calculation</t>
  </si>
  <si>
    <t>max</t>
  </si>
  <si>
    <t>Toxicological reference values</t>
  </si>
  <si>
    <t>TEA, COFFEE,  HERBAL INFUSIONS AND COCOA</t>
  </si>
  <si>
    <t xml:space="preserve">Tree nuts </t>
  </si>
  <si>
    <t xml:space="preserve">Stem vegetables </t>
  </si>
  <si>
    <t xml:space="preserve">Legume vegetables </t>
  </si>
  <si>
    <t>acute input values</t>
  </si>
  <si>
    <t>chronic input values</t>
  </si>
  <si>
    <t>IESTI is calculated with</t>
  </si>
  <si>
    <t xml:space="preserve">Input value for IESTI </t>
  </si>
  <si>
    <t>Input value for IESTI new</t>
  </si>
  <si>
    <t>IESTI new is calculated with</t>
  </si>
  <si>
    <t>label for IESTI new</t>
  </si>
  <si>
    <t>IESTI  in % ARfD</t>
  </si>
  <si>
    <t>Empirical variability factor</t>
  </si>
  <si>
    <t>MRL</t>
  </si>
  <si>
    <r>
      <t xml:space="preserve">Herbal infusions </t>
    </r>
    <r>
      <rPr>
        <i/>
        <sz val="9"/>
        <rFont val="Arial"/>
        <family val="2"/>
      </rPr>
      <t>(dried)</t>
    </r>
  </si>
  <si>
    <r>
      <t xml:space="preserve"> HOPS </t>
    </r>
    <r>
      <rPr>
        <i/>
        <sz val="9"/>
        <rFont val="Arial"/>
        <family val="2"/>
      </rPr>
      <t>(dried)</t>
    </r>
  </si>
  <si>
    <t>Residue definition:</t>
  </si>
  <si>
    <t xml:space="preserve">Residue definition: </t>
  </si>
  <si>
    <t>Y</t>
  </si>
  <si>
    <t>MRL individual commodity</t>
  </si>
  <si>
    <t>LOQ/min-max</t>
  </si>
  <si>
    <t>Body weight (kg)</t>
  </si>
  <si>
    <t>min</t>
  </si>
  <si>
    <t>average consumption data - food intake (g/kg bw/d)</t>
  </si>
  <si>
    <t>97.5th percentile consumption data - food intake (g/kg bw/d)</t>
  </si>
  <si>
    <t>Oranges / juice</t>
  </si>
  <si>
    <t>Limes / juice</t>
  </si>
  <si>
    <t>Apples / juice</t>
  </si>
  <si>
    <t>Pears / juice</t>
  </si>
  <si>
    <t>Quinces / jam</t>
  </si>
  <si>
    <t>Peaches / canned</t>
  </si>
  <si>
    <t>Peaches / juice</t>
  </si>
  <si>
    <t>Plums / juice</t>
  </si>
  <si>
    <t>Wine grapes / juice</t>
  </si>
  <si>
    <t>Raspberries / juice</t>
  </si>
  <si>
    <t>Cranberries / juice</t>
  </si>
  <si>
    <t>Currants (red, black and white) / juice</t>
  </si>
  <si>
    <t>Rose hips / jam</t>
  </si>
  <si>
    <t>Azarole (mediteranean medlar) / juice</t>
  </si>
  <si>
    <t>Elderberries / juice</t>
  </si>
  <si>
    <t>Pineapples / canned</t>
  </si>
  <si>
    <t>Sweet potatoes / boiled</t>
  </si>
  <si>
    <t>Carrots / juice</t>
  </si>
  <si>
    <t>Jerusalem artichokes / boiled</t>
  </si>
  <si>
    <t>Parsnips / boiled</t>
  </si>
  <si>
    <t>Shallots / boiled</t>
  </si>
  <si>
    <t>Tomatoes / juice</t>
  </si>
  <si>
    <t>Gherkins / pickled</t>
  </si>
  <si>
    <t>Courgettes / boiled</t>
  </si>
  <si>
    <t>Pumpkins / boiled</t>
  </si>
  <si>
    <t>Brussels sprouts / boiled</t>
  </si>
  <si>
    <t>Beans (with pods) / boiled</t>
  </si>
  <si>
    <t>Beans / canned</t>
  </si>
  <si>
    <t>Lentils / boiled</t>
  </si>
  <si>
    <t>Peanuts / peanut butter</t>
  </si>
  <si>
    <t>Buckwheat / boiled</t>
  </si>
  <si>
    <t>Maize / processed (not specified)</t>
  </si>
  <si>
    <t>Rye / boiled</t>
  </si>
  <si>
    <t>Wheat / milling (flour)</t>
  </si>
  <si>
    <t>Coffee beans / extraction</t>
  </si>
  <si>
    <t>Camomille flowers / infusion</t>
  </si>
  <si>
    <t>Hybiscus flowers / infusion</t>
  </si>
  <si>
    <t>Rooibos leaves / infusion</t>
  </si>
  <si>
    <t>Capers / pickled</t>
  </si>
  <si>
    <t>Chicory roots / processed (not specified)</t>
  </si>
  <si>
    <t>max, n=8</t>
  </si>
  <si>
    <t>max, n=4</t>
  </si>
  <si>
    <t>max, n=1</t>
  </si>
  <si>
    <t>max, n=2</t>
  </si>
  <si>
    <t>max, n=6</t>
  </si>
  <si>
    <t>Lemons / jam</t>
  </si>
  <si>
    <t>Pineapples / juice</t>
  </si>
  <si>
    <t xml:space="preserve">Potatoes / fried </t>
  </si>
  <si>
    <t>Potatoes / dried (flakes)</t>
  </si>
  <si>
    <t>Peas (without pods) / canned</t>
  </si>
  <si>
    <t>Wild fungi / canned</t>
  </si>
  <si>
    <t>Peas / canned</t>
  </si>
  <si>
    <t>Olives for oil production / oils</t>
  </si>
  <si>
    <t>Millet / boiled</t>
  </si>
  <si>
    <t>Rice / milling (polishing)</t>
  </si>
  <si>
    <t>Rye / milling (wholemeal)-baking</t>
  </si>
  <si>
    <t>Wheat / milling (wholemeal)-baking</t>
  </si>
  <si>
    <t>Cocoa (fermented beans) / processed (not specified)</t>
  </si>
  <si>
    <t>Processed food commodity</t>
  </si>
  <si>
    <t>Processing factor</t>
  </si>
  <si>
    <t>Broccoli / boiled</t>
  </si>
  <si>
    <t>Barley / beer</t>
  </si>
  <si>
    <t>Valerian root / infusion</t>
  </si>
  <si>
    <t>Ginger / jam</t>
  </si>
  <si>
    <t>total jam</t>
  </si>
  <si>
    <t>90th percentile</t>
  </si>
  <si>
    <t>2/3xVCPgp</t>
  </si>
  <si>
    <t>total jam, 97.5th percentile</t>
  </si>
  <si>
    <t>2xVIO</t>
  </si>
  <si>
    <t>Table olives / canned</t>
  </si>
  <si>
    <t>1/3xVCPgp</t>
  </si>
  <si>
    <t>95th percentile</t>
  </si>
  <si>
    <t>maize starch</t>
  </si>
  <si>
    <t>Barley / milling (flour)</t>
  </si>
  <si>
    <t>Barley / cooked</t>
  </si>
  <si>
    <t>100/5xoil</t>
  </si>
  <si>
    <t>other infusions</t>
  </si>
  <si>
    <t>dry x 5</t>
  </si>
  <si>
    <t>sec pr beet sugar</t>
  </si>
  <si>
    <t>Critical food intake reported "as consumed" (g/kg bw)</t>
  </si>
  <si>
    <t>.</t>
  </si>
  <si>
    <t>Lemons / juice</t>
  </si>
  <si>
    <t>Wine grapes / wine</t>
  </si>
  <si>
    <t xml:space="preserve"> Hops / beer</t>
  </si>
  <si>
    <t>Cranberries / dried</t>
  </si>
  <si>
    <t>Figs / jam</t>
  </si>
  <si>
    <t>Potatoes / chips</t>
  </si>
  <si>
    <t>Carrots / canned</t>
  </si>
  <si>
    <t>Turnips / boiled</t>
  </si>
  <si>
    <t>Onions / boiled</t>
  </si>
  <si>
    <t>Tomatoes / sauce/puree</t>
  </si>
  <si>
    <t>Okra, lady’s fingers / boiled</t>
  </si>
  <si>
    <t>Beans (without pods) / boiled</t>
  </si>
  <si>
    <t>Peas (with pods) / boiled</t>
  </si>
  <si>
    <t>Peas (without pods) / boiled</t>
  </si>
  <si>
    <t>Cardoons / boiled</t>
  </si>
  <si>
    <t>Palm hearts / canned</t>
  </si>
  <si>
    <t xml:space="preserve">Cultivated fungi / fried </t>
  </si>
  <si>
    <t>Maize / oil</t>
  </si>
  <si>
    <t>Wheat / bread (wholemeal)</t>
  </si>
  <si>
    <t>Wheat / bread/pizza</t>
  </si>
  <si>
    <t>Wheat / pasta</t>
  </si>
  <si>
    <t>Carob (st johns bread) / flour</t>
  </si>
  <si>
    <t>Cumin seed / processed (not specified)</t>
  </si>
  <si>
    <t>Cinnamon / processed (not specified)</t>
  </si>
  <si>
    <t>Turmeric (Curcuma) / boiled</t>
  </si>
  <si>
    <t>CF used for for calculation</t>
  </si>
  <si>
    <t>identifyer</t>
  </si>
  <si>
    <t>Identifyer</t>
  </si>
  <si>
    <t>PROC-401050-1</t>
  </si>
  <si>
    <t>PROC-500010-3</t>
  </si>
  <si>
    <t>PROC-500070-1</t>
  </si>
  <si>
    <t>PROC-632020-1</t>
  </si>
  <si>
    <t>PROC-110020-9</t>
  </si>
  <si>
    <t>PROC-110010-9</t>
  </si>
  <si>
    <t>PROC-110030-9</t>
  </si>
  <si>
    <t>PROC-110040-9</t>
  </si>
  <si>
    <t>PROC-130010-9</t>
  </si>
  <si>
    <t>PROC-130020-9</t>
  </si>
  <si>
    <t>PROC-140030-9</t>
  </si>
  <si>
    <t>PROC-140040-9</t>
  </si>
  <si>
    <t>PROC-151020-9</t>
  </si>
  <si>
    <t>PROC-153030-9</t>
  </si>
  <si>
    <t>PROC-154020-9</t>
  </si>
  <si>
    <t>PROC-154030-9</t>
  </si>
  <si>
    <t>PROC-154070-9</t>
  </si>
  <si>
    <t>PROC-154080-9</t>
  </si>
  <si>
    <t>PROC-162010-9</t>
  </si>
  <si>
    <t>PROC-162030-9</t>
  </si>
  <si>
    <t>PROC-163050-9</t>
  </si>
  <si>
    <t>PROC-163070-9</t>
  </si>
  <si>
    <t>PROC-163080-9</t>
  </si>
  <si>
    <t>PROC-163110-9</t>
  </si>
  <si>
    <t>PROC-213020-9</t>
  </si>
  <si>
    <t>PROC-213030-9</t>
  </si>
  <si>
    <t>PROC-231010-9</t>
  </si>
  <si>
    <t>PROC-120050-24</t>
  </si>
  <si>
    <t>PROC-140030-5</t>
  </si>
  <si>
    <t>PROC-161030-5</t>
  </si>
  <si>
    <t>PROC-162020-5</t>
  </si>
  <si>
    <t>PROC-163080-5</t>
  </si>
  <si>
    <t>PROC-213020-5</t>
  </si>
  <si>
    <t>PROC-242020-5</t>
  </si>
  <si>
    <t>PROC-253000-5</t>
  </si>
  <si>
    <t>PROC-260040-5</t>
  </si>
  <si>
    <t>PROC-270090-5</t>
  </si>
  <si>
    <t>PROC-280020-5</t>
  </si>
  <si>
    <t>PROC-300010-5</t>
  </si>
  <si>
    <t>PROC-300030-5</t>
  </si>
  <si>
    <t>PROC-110030-11</t>
  </si>
  <si>
    <t>PROC-130030-11</t>
  </si>
  <si>
    <t>PROC-154050-11</t>
  </si>
  <si>
    <t>PROC-161020-11</t>
  </si>
  <si>
    <t>PROC-840020-11</t>
  </si>
  <si>
    <t>PROC-231010-13</t>
  </si>
  <si>
    <t>PROC-270070-13</t>
  </si>
  <si>
    <t>PROC-151020-16</t>
  </si>
  <si>
    <t>PROC-500010-41</t>
  </si>
  <si>
    <t>PROC-700000-41</t>
  </si>
  <si>
    <t>PROC-212010-3</t>
  </si>
  <si>
    <t>PROC-212020-3</t>
  </si>
  <si>
    <t>PROC-213010-3</t>
  </si>
  <si>
    <t>PROC-213030-3</t>
  </si>
  <si>
    <t>PROC-213050-3</t>
  </si>
  <si>
    <t>PROC-213060-3</t>
  </si>
  <si>
    <t>PROC-213090-3</t>
  </si>
  <si>
    <t>PROC-213110-3</t>
  </si>
  <si>
    <t>PROC-220020-3</t>
  </si>
  <si>
    <t>PROC-220030-3</t>
  </si>
  <si>
    <t>PROC-231040-3</t>
  </si>
  <si>
    <t>PROC-232030-3</t>
  </si>
  <si>
    <t>PROC-233020-3</t>
  </si>
  <si>
    <t>PROC-241010-3</t>
  </si>
  <si>
    <t>PROC-241020-3</t>
  </si>
  <si>
    <t>PROC-242010-3</t>
  </si>
  <si>
    <t>PROC-242020-3</t>
  </si>
  <si>
    <t>PROC-244000-3</t>
  </si>
  <si>
    <t>PROC-251030-3</t>
  </si>
  <si>
    <t>PROC-252010-3</t>
  </si>
  <si>
    <t>PROC-252020-3</t>
  </si>
  <si>
    <t>PROC-252030-3</t>
  </si>
  <si>
    <t>PROC-255000-3</t>
  </si>
  <si>
    <t>PROC-260010-3</t>
  </si>
  <si>
    <t>PROC-260020-3</t>
  </si>
  <si>
    <t>PROC-260030-3</t>
  </si>
  <si>
    <t>PROC-260040-3</t>
  </si>
  <si>
    <t>PROC-270020-3</t>
  </si>
  <si>
    <t>PROC-270030-3</t>
  </si>
  <si>
    <t>PROC-270040-3</t>
  </si>
  <si>
    <t>PROC-270060-3</t>
  </si>
  <si>
    <t>PROC-300020-3</t>
  </si>
  <si>
    <t>PROC-401070-3</t>
  </si>
  <si>
    <t>PROC-500020-3</t>
  </si>
  <si>
    <t>PROC-500040-3</t>
  </si>
  <si>
    <t>PROC-500050-3</t>
  </si>
  <si>
    <t>PROC-500070-3</t>
  </si>
  <si>
    <t>PROC-840030-3</t>
  </si>
  <si>
    <t>PROC-211000-19</t>
  </si>
  <si>
    <t>PROC-280010-19</t>
  </si>
  <si>
    <t>PROC-211000-21</t>
  </si>
  <si>
    <t>PROC-401070-27</t>
  </si>
  <si>
    <t>PROC-212040-23</t>
  </si>
  <si>
    <t>PROC-500010-28</t>
  </si>
  <si>
    <t>PROC-500020-28</t>
  </si>
  <si>
    <t>PROC-500090-28</t>
  </si>
  <si>
    <t>PROC-650000-28</t>
  </si>
  <si>
    <t>PROC-500090-32</t>
  </si>
  <si>
    <t>PROC-500090-35</t>
  </si>
  <si>
    <t>PROC-500090-34</t>
  </si>
  <si>
    <t>PROC-500050-44</t>
  </si>
  <si>
    <t>PROC-211000-7</t>
  </si>
  <si>
    <t>PROC-500060-47</t>
  </si>
  <si>
    <t>PROC-640000-49</t>
  </si>
  <si>
    <t>PROC-900010-52</t>
  </si>
  <si>
    <t>PROC-900020-52</t>
  </si>
  <si>
    <t>PROC-620000-51</t>
  </si>
  <si>
    <t>PROC-154020-7</t>
  </si>
  <si>
    <t>PROC-610000-31</t>
  </si>
  <si>
    <t>PROC-151020-7</t>
  </si>
  <si>
    <t>PROC-232020-22</t>
  </si>
  <si>
    <t>PROC-243020-98</t>
  </si>
  <si>
    <t>PROC-401020-25</t>
  </si>
  <si>
    <t>PROC-401060-98</t>
  </si>
  <si>
    <t>PROC-402010-12</t>
  </si>
  <si>
    <t>PROC-402020-98</t>
  </si>
  <si>
    <t>PROC-402030-98</t>
  </si>
  <si>
    <t>PROC-500030-12</t>
  </si>
  <si>
    <t>PROC-500030-98</t>
  </si>
  <si>
    <t>PROC-631010-31</t>
  </si>
  <si>
    <t>PROC-631020-31</t>
  </si>
  <si>
    <t>PROC-633010-31</t>
  </si>
  <si>
    <t>PROC-810040-98</t>
  </si>
  <si>
    <t>PROC-830010-98</t>
  </si>
  <si>
    <t>PROC-850020-22</t>
  </si>
  <si>
    <t>PROC-900030-98</t>
  </si>
  <si>
    <t>label connector for IESTI new</t>
  </si>
  <si>
    <t>label refinements for IESTI new</t>
  </si>
  <si>
    <t>MRL (RAC)</t>
  </si>
  <si>
    <t>Empirical Variability factor</t>
  </si>
  <si>
    <t>MRL / input for RA 
(mg/kg)</t>
  </si>
  <si>
    <t>Level used for acute intake calculation</t>
  </si>
  <si>
    <t>&lt;25</t>
  </si>
  <si>
    <t>ND</t>
  </si>
  <si>
    <t>Source unit weight, edible portion</t>
  </si>
  <si>
    <t>IESTI in % ARfD
(alternatively % ADI)</t>
  </si>
  <si>
    <t>Level used for acute calculation</t>
  </si>
  <si>
    <t>Highest residue * CF*PF</t>
  </si>
  <si>
    <t>label connector for IEDI</t>
  </si>
  <si>
    <t>label refinements for IEDI</t>
  </si>
  <si>
    <t>Tissue</t>
  </si>
  <si>
    <t>Bovine: Muscle</t>
  </si>
  <si>
    <t>Poultry: Muscle</t>
  </si>
  <si>
    <t>Milk</t>
  </si>
  <si>
    <t>Milk:  Cattle</t>
  </si>
  <si>
    <t>Milk: Sheep</t>
  </si>
  <si>
    <t>Milk: Goat</t>
  </si>
  <si>
    <t xml:space="preserve">Milk: Others </t>
  </si>
  <si>
    <t>Eggs: Others</t>
  </si>
  <si>
    <t>Swine: Other products</t>
  </si>
  <si>
    <t>Bovine: Other products</t>
  </si>
  <si>
    <t>Sheep: other products</t>
  </si>
  <si>
    <t>Goat: other products</t>
  </si>
  <si>
    <t>Poultry: Other products</t>
  </si>
  <si>
    <t xml:space="preserve">Milk: Horse </t>
  </si>
  <si>
    <t>ADI (value, unit, source, year of assessment)</t>
  </si>
  <si>
    <t>ARfD  (value, unit, source, year of assessment)</t>
  </si>
  <si>
    <t>line to be used for chronic calculation</t>
  </si>
  <si>
    <t>Post-harvest treatment</t>
  </si>
  <si>
    <t>Column1</t>
  </si>
  <si>
    <t>MRL RAC individual commodity</t>
  </si>
  <si>
    <t>LOQ RAC individual crop</t>
  </si>
  <si>
    <t>default processing factor</t>
  </si>
  <si>
    <t xml:space="preserve">MRL </t>
  </si>
  <si>
    <t>fat soluble</t>
  </si>
  <si>
    <t xml:space="preserve">default </t>
  </si>
  <si>
    <t>default</t>
  </si>
  <si>
    <t>Case for acute RA children/adults</t>
  </si>
  <si>
    <t>Industrial processing with bulking/blinding</t>
  </si>
  <si>
    <t>2a/2b</t>
  </si>
  <si>
    <t>RIKILT babies, n=1</t>
  </si>
  <si>
    <t>Threshold residue 
IESTI 
(mg/kg)</t>
  </si>
  <si>
    <t>Threshold residue
IESTI  new
(mg/kg)</t>
  </si>
  <si>
    <t>diet with max</t>
  </si>
  <si>
    <t>Goat: Muscle</t>
  </si>
  <si>
    <t>Total number of commodities exceeding the ARfD/ADI in children and adult diets
(IESTI calculation)</t>
  </si>
  <si>
    <t>Total number of commodities found exceeding the ARfD/ADI in children and adult diets
(IESTI new calculation)</t>
  </si>
  <si>
    <t>Exposure resulting from</t>
  </si>
  <si>
    <t xml:space="preserve">Maximum consumption </t>
  </si>
  <si>
    <t>diet (max)</t>
  </si>
  <si>
    <t>diet (min)</t>
  </si>
  <si>
    <t>Minimum consumption among diets with consumption &gt;0</t>
  </si>
  <si>
    <t>Input values for exposure calculations</t>
  </si>
  <si>
    <t xml:space="preserve">Exposure is calculated with </t>
  </si>
  <si>
    <t>MRLs set at the LOQ
(in % of ADI)</t>
  </si>
  <si>
    <t>Acute exposure assessment</t>
  </si>
  <si>
    <t>Adults</t>
  </si>
  <si>
    <t>Chronic risk assessment</t>
  </si>
  <si>
    <t>Input values for dietary risk assessment</t>
  </si>
  <si>
    <t>Refined calculation mode</t>
  </si>
  <si>
    <t>IT child</t>
  </si>
  <si>
    <t>Validation fields</t>
  </si>
  <si>
    <t xml:space="preserve">Post-harvest </t>
  </si>
  <si>
    <t>Tea (dried leaves of Camellia sinensis)</t>
  </si>
  <si>
    <t>Tea (dried leaves of Camellia sinensis) / infusion</t>
  </si>
  <si>
    <t>Grapefruits</t>
  </si>
  <si>
    <t>Hazelnuts/cobnuts</t>
  </si>
  <si>
    <t>Pine nut kernels</t>
  </si>
  <si>
    <t>Loquats/Japanese medlars</t>
  </si>
  <si>
    <t>Cherries (sweet)</t>
  </si>
  <si>
    <t>Raspberries (red and yellow)</t>
  </si>
  <si>
    <t>Gooseberries (green, red and yellow)</t>
  </si>
  <si>
    <t>Mulberries (black and white)</t>
  </si>
  <si>
    <t>Azarole/Mediteranean medlar</t>
  </si>
  <si>
    <t>Carambolas</t>
  </si>
  <si>
    <t xml:space="preserve">Kaki/Japanese persimmons </t>
  </si>
  <si>
    <t>Jambuls/jambolans</t>
  </si>
  <si>
    <t>Kiwi fruits (green, red, yellow)</t>
  </si>
  <si>
    <t>Litchis/lychees</t>
  </si>
  <si>
    <t>Passionfruits/maracujas</t>
  </si>
  <si>
    <t>Prickly pears/cactus fruits</t>
  </si>
  <si>
    <t>Star apples/cainitos</t>
  </si>
  <si>
    <t>American persimmon/Virginia kaki</t>
  </si>
  <si>
    <t>Papayas</t>
  </si>
  <si>
    <t>Granate apples/pomegranates</t>
  </si>
  <si>
    <t>Cherimoyas</t>
  </si>
  <si>
    <t>Guavas</t>
  </si>
  <si>
    <t>Breadfruits</t>
  </si>
  <si>
    <t>Durians</t>
  </si>
  <si>
    <t>Soursops/guanabanas</t>
  </si>
  <si>
    <t>Cassava roots/manioc</t>
  </si>
  <si>
    <t>Arrowroots</t>
  </si>
  <si>
    <t>Beetroots</t>
  </si>
  <si>
    <t>Celeriacs/turnip rooted celeries</t>
  </si>
  <si>
    <t>Horseradishes</t>
  </si>
  <si>
    <t>Parsley roots/Hamburg roots parsley</t>
  </si>
  <si>
    <t>Salsifies</t>
  </si>
  <si>
    <t>Swedes/rutabagas</t>
  </si>
  <si>
    <t>Sweet peppers/bell peppers</t>
  </si>
  <si>
    <t>Okra/lady’s fingers</t>
  </si>
  <si>
    <t>Cauliflowers</t>
  </si>
  <si>
    <t>Head cabbages</t>
  </si>
  <si>
    <t>Chinese cabbages/pe-tsai</t>
  </si>
  <si>
    <t>Kales</t>
  </si>
  <si>
    <t>Kohlrabies</t>
  </si>
  <si>
    <t>Leaf vegetables, herbs and edible flowers</t>
  </si>
  <si>
    <t>Lamb's lettuce/corn salads</t>
  </si>
  <si>
    <t>Lettuces</t>
  </si>
  <si>
    <t>Escaroles/broad-leaved endives</t>
  </si>
  <si>
    <t>Cress and other sprouts and shoots</t>
  </si>
  <si>
    <t>Roman rocket/rucola</t>
  </si>
  <si>
    <t>Red mustards</t>
  </si>
  <si>
    <t>Baby leaf crops (including brassica species)</t>
  </si>
  <si>
    <t>Spinaches</t>
  </si>
  <si>
    <t>Purslanes</t>
  </si>
  <si>
    <t>Chards/beet leaves</t>
  </si>
  <si>
    <t>Grape leaves and similar species</t>
  </si>
  <si>
    <t>Watercress</t>
  </si>
  <si>
    <t>Witloofs/Belgian endives</t>
  </si>
  <si>
    <t>Herbs and edible flowers</t>
  </si>
  <si>
    <t>Basil and edible flowers</t>
  </si>
  <si>
    <t>Laurel/bay leaves</t>
  </si>
  <si>
    <t>Celeries</t>
  </si>
  <si>
    <t>Leeks</t>
  </si>
  <si>
    <t>Rhubarbs</t>
  </si>
  <si>
    <t>Mosses and lichens</t>
  </si>
  <si>
    <t>Algae and prokaryotes organisms</t>
  </si>
  <si>
    <t>PULSES</t>
  </si>
  <si>
    <t>Lupins/lupini beans</t>
  </si>
  <si>
    <t>Other pulses</t>
  </si>
  <si>
    <t>Linseeds</t>
  </si>
  <si>
    <t>Peanuts/groundnuts</t>
  </si>
  <si>
    <t>Poppy seeds</t>
  </si>
  <si>
    <t>Sesame seeds</t>
  </si>
  <si>
    <t>Sunflower seeds</t>
  </si>
  <si>
    <t>Rapeseeds/canola seeds</t>
  </si>
  <si>
    <t>Soyabeans</t>
  </si>
  <si>
    <t>Mustard seeds</t>
  </si>
  <si>
    <t>Cotton seeds</t>
  </si>
  <si>
    <t>Safflower seeds</t>
  </si>
  <si>
    <t>Borage seeds</t>
  </si>
  <si>
    <t>Gold of pleasure seeds</t>
  </si>
  <si>
    <t>Hemp seeds</t>
  </si>
  <si>
    <t>Castor beans</t>
  </si>
  <si>
    <t>Oil fruits</t>
  </si>
  <si>
    <t>Oil palm kernels</t>
  </si>
  <si>
    <t>Oil palm fruits</t>
  </si>
  <si>
    <t>Buckwheat and other pseudo-cereals</t>
  </si>
  <si>
    <t>Maize/corn</t>
  </si>
  <si>
    <t>Common millet/proso millet</t>
  </si>
  <si>
    <t>Other cereals</t>
  </si>
  <si>
    <t>Lime/linden</t>
  </si>
  <si>
    <t>Chamomille</t>
  </si>
  <si>
    <t>Hybiscus/roselle</t>
  </si>
  <si>
    <t>Rose</t>
  </si>
  <si>
    <t>Jasmine</t>
  </si>
  <si>
    <t>Rooibos</t>
  </si>
  <si>
    <t>Mate/maté</t>
  </si>
  <si>
    <t>Herbal infusions  -(any other parts of the plant)
(other herbal infusions)</t>
  </si>
  <si>
    <t>Cocoa beans</t>
  </si>
  <si>
    <t>Carobs/Staint John's bread</t>
  </si>
  <si>
    <t>Anise/aniseed</t>
  </si>
  <si>
    <t>Black caraway/black cumin</t>
  </si>
  <si>
    <t>Allspice/pimento</t>
  </si>
  <si>
    <t>Sichuan pepper</t>
  </si>
  <si>
    <t>Juniper berry</t>
  </si>
  <si>
    <t xml:space="preserve">Peppercorn (black, green and white) </t>
  </si>
  <si>
    <t>Other spices (fruits)</t>
  </si>
  <si>
    <t>Spices (fruits)</t>
  </si>
  <si>
    <t>Turmeric/curcuma</t>
  </si>
  <si>
    <t>Sugar beet roots</t>
  </si>
  <si>
    <t>Sugar canes</t>
  </si>
  <si>
    <t>Swine: Fat tissue</t>
  </si>
  <si>
    <t>Swine: Edible offals (other than liver and kidney)</t>
  </si>
  <si>
    <t>Bovine: Fat tissue</t>
  </si>
  <si>
    <t>Bovine: Edible offals (other than liver and kidney)</t>
  </si>
  <si>
    <t>Sheep: Fat tissue</t>
  </si>
  <si>
    <t>Goat: Fat tissue</t>
  </si>
  <si>
    <t>Poultry: Fat tissue</t>
  </si>
  <si>
    <t>Sheep: Edible offals (other than liver and kidney)</t>
  </si>
  <si>
    <t>Goat: Edible offals (other tha liver and kindey)</t>
  </si>
  <si>
    <t>Equine</t>
  </si>
  <si>
    <t>Equine: Fat tissue</t>
  </si>
  <si>
    <t>Equine: Liver</t>
  </si>
  <si>
    <t>Equine: Kidney</t>
  </si>
  <si>
    <t>Equine: Other products</t>
  </si>
  <si>
    <t>Equine: Edible offals (other than liver and kidney)</t>
  </si>
  <si>
    <t>Poultry</t>
  </si>
  <si>
    <t>Poultry: Edible offals (other than liver and kideny)</t>
  </si>
  <si>
    <t>Other farmed terrestrial animals</t>
  </si>
  <si>
    <t xml:space="preserve"> Other farmed animals: Fat tissue</t>
  </si>
  <si>
    <t xml:space="preserve"> Other farmed animals: Liver</t>
  </si>
  <si>
    <t xml:space="preserve"> Other farmed animals: Kidney</t>
  </si>
  <si>
    <t>Other farmed animals: Other products</t>
  </si>
  <si>
    <t xml:space="preserve"> Other farmed animals: Edible offals (other than liver and kidney)</t>
  </si>
  <si>
    <t>Birds eggs</t>
  </si>
  <si>
    <t>Honey and other apiculture products</t>
  </si>
  <si>
    <t>Terrestrial invertebrate animals</t>
  </si>
  <si>
    <t>Wild terrestrial vertebrate animals</t>
  </si>
  <si>
    <t>FISH, FISHPRODUCTS AND ANY OTHER MARINE AND FRESHWATER FOOD PRODUCTS</t>
  </si>
  <si>
    <t>FRUIT AND TREE NUTS</t>
  </si>
  <si>
    <t>Grapefruits / juice</t>
  </si>
  <si>
    <t>Kiwi fruits / juice</t>
  </si>
  <si>
    <t>Passion fruits / juice</t>
  </si>
  <si>
    <t>Pomegranates / juice</t>
  </si>
  <si>
    <t>Guavas / juice</t>
  </si>
  <si>
    <t>Soursop / juice</t>
  </si>
  <si>
    <t>Arrowroots / starch</t>
  </si>
  <si>
    <t>Beetroots / boiled</t>
  </si>
  <si>
    <t>Celeriacs / boiled</t>
  </si>
  <si>
    <t>Celeriacs / juice</t>
  </si>
  <si>
    <t>Salsifies / boiled</t>
  </si>
  <si>
    <t>Spring onions/green onions and Welsh onions</t>
  </si>
  <si>
    <t>Cauliflowers / boiled</t>
  </si>
  <si>
    <t>Head cabbages / boiled</t>
  </si>
  <si>
    <t>Head cabbages / canned</t>
  </si>
  <si>
    <t>Kohlrabies / boiled</t>
  </si>
  <si>
    <t>Purslanes / boiled</t>
  </si>
  <si>
    <t>Grape leaves / canned</t>
  </si>
  <si>
    <t>Witloofs / boiled</t>
  </si>
  <si>
    <t>Florence fennels / boiled</t>
  </si>
  <si>
    <t>Leeks / boiled</t>
  </si>
  <si>
    <t>Rhubarbs / sauce/puree</t>
  </si>
  <si>
    <t>Sunflower seeds / oils</t>
  </si>
  <si>
    <t>Soyabeans / boiled</t>
  </si>
  <si>
    <t>Oil palm kernels / processed (not specified)</t>
  </si>
  <si>
    <t>Oil palm fruits / processed (not specified)</t>
  </si>
  <si>
    <t>Oat / boiled</t>
  </si>
  <si>
    <t>Oat / milling (flakes)</t>
  </si>
  <si>
    <t>Oat</t>
  </si>
  <si>
    <t>Litchis / canned</t>
  </si>
  <si>
    <t>Cassava roots / boiled</t>
  </si>
  <si>
    <t>Chards/beet leaves / boiled</t>
  </si>
  <si>
    <t>Sugar beets (root) / sugar</t>
  </si>
  <si>
    <t>Sugar canes / sugar</t>
  </si>
  <si>
    <t>Escaroles/broad-leaved endives / boiled</t>
  </si>
  <si>
    <t>Celeries / boiled</t>
  </si>
  <si>
    <t>TMDI/NEDI/IEDI calculation (based on average food consumption)</t>
  </si>
  <si>
    <t>TMDI/NEDI Rees-Day-model</t>
  </si>
  <si>
    <t>GEMS/Food G06</t>
  </si>
  <si>
    <t>GEMS/Food G07</t>
  </si>
  <si>
    <t>GEMS/Food G08</t>
  </si>
  <si>
    <t>GEMS/Food G10</t>
  </si>
  <si>
    <t>GEMS/Food G11</t>
  </si>
  <si>
    <t>GEMS/Food G15</t>
  </si>
  <si>
    <t>Column2</t>
  </si>
  <si>
    <r>
      <t>CF</t>
    </r>
    <r>
      <rPr>
        <b/>
        <vertAlign val="subscript"/>
        <sz val="9"/>
        <color theme="0"/>
        <rFont val="Arial"/>
        <family val="2"/>
      </rPr>
      <t>risk</t>
    </r>
    <r>
      <rPr>
        <b/>
        <sz val="9"/>
        <color theme="0"/>
        <rFont val="Arial"/>
        <family val="2"/>
      </rPr>
      <t xml:space="preserve"> for residue definition</t>
    </r>
  </si>
  <si>
    <t>Swine: Muscle/meat</t>
  </si>
  <si>
    <t>Bovine: Muscle/meat</t>
  </si>
  <si>
    <t>Sheep: Muscle/meat</t>
  </si>
  <si>
    <t>Goat: Muscle/meat</t>
  </si>
  <si>
    <t>Equine: Muscle/meat</t>
  </si>
  <si>
    <t>Poultry: Muscle/meat</t>
  </si>
  <si>
    <t xml:space="preserve"> Other farmed animals: Muscle/meat</t>
  </si>
  <si>
    <t>not fat soluble</t>
  </si>
  <si>
    <t xml:space="preserve">total Rees </t>
  </si>
  <si>
    <t xml:space="preserve">Calculated exposure 
(% of ADI) </t>
  </si>
  <si>
    <t xml:space="preserve">                                                                  TMDI/ IEDI (range) in % of ADI
                                                           minimum - maximum    </t>
  </si>
  <si>
    <t>Use hyperlink to change calculation mode</t>
  </si>
  <si>
    <t>Calculation mode</t>
  </si>
  <si>
    <t>Exposure
(µg/kg bw)</t>
  </si>
  <si>
    <t>Expsoure (µg/kg bw per day)</t>
  </si>
  <si>
    <t>Table grapes / raisins</t>
  </si>
  <si>
    <t>Normal mode</t>
  </si>
  <si>
    <t>Input for IESTI normal mode</t>
  </si>
  <si>
    <t>Input for IESTI (refined mode)</t>
  </si>
  <si>
    <t>Input for IESTI new normal mode</t>
  </si>
  <si>
    <t>Input for IESTI new (refined mode)</t>
  </si>
  <si>
    <t>Identifyer10</t>
  </si>
  <si>
    <t>input for chronic normal mode</t>
  </si>
  <si>
    <t>input for chronic (refined mode</t>
  </si>
  <si>
    <t>LOQ individual crop2</t>
  </si>
  <si>
    <t>LOQ_label</t>
  </si>
  <si>
    <t>MRL/ proposed MRL /CXL
(mg/kg)</t>
  </si>
  <si>
    <t>label for IESTI normal mode</t>
  </si>
  <si>
    <t>label connector for IESTI normal mode</t>
  </si>
  <si>
    <t>label refinements for IESTI normal mode</t>
  </si>
  <si>
    <t>label for IESTI (refined mode)</t>
  </si>
  <si>
    <t>label connector for IESTI refined mode</t>
  </si>
  <si>
    <t>label refinements for IESTI refined mode</t>
  </si>
  <si>
    <t>LOQ2</t>
  </si>
  <si>
    <t>Case for acute RA children / adults</t>
  </si>
  <si>
    <t>input for case 3 normal mode</t>
  </si>
  <si>
    <t>label for case 3 calculation normal mode</t>
  </si>
  <si>
    <t>label connector case 3 normal mode</t>
  </si>
  <si>
    <t>input for case 3 refined mode</t>
  </si>
  <si>
    <t>label for case 3 calculation refined mode</t>
  </si>
  <si>
    <t>MRL*CF*PF or MRL (if LOQ and not authorised) (acute RA)</t>
  </si>
  <si>
    <t>label description</t>
  </si>
  <si>
    <t>Input value normal mode case 1, 2a/2b,Po</t>
  </si>
  <si>
    <t>label connector case  normal mode</t>
  </si>
  <si>
    <t>label for IESTI normal mode case 1, 2a/2b,Po</t>
  </si>
  <si>
    <t>label refinements normal mode case 1, 2a/2b,Po</t>
  </si>
  <si>
    <t>label refinements case 3 normal mode</t>
  </si>
  <si>
    <t>Input value refined mode case 1, 2a/2b,Po</t>
  </si>
  <si>
    <t>Input normal mode</t>
  </si>
  <si>
    <t>label normal mode</t>
  </si>
  <si>
    <t>input refined mode</t>
  </si>
  <si>
    <t>label refine mode</t>
  </si>
  <si>
    <t xml:space="preserve">concat label normal mode 1,2a/2b,Po </t>
  </si>
  <si>
    <t>concat label normal mode  case 3</t>
  </si>
  <si>
    <t>concat label refined mode case 1,2a/2b,Po</t>
  </si>
  <si>
    <t>default VF</t>
  </si>
  <si>
    <t>Highest contributor among the crops under assessment</t>
  </si>
  <si>
    <t>crop under assessment?</t>
  </si>
  <si>
    <t>Column35</t>
  </si>
  <si>
    <t>calculation for Microstrategy</t>
  </si>
  <si>
    <t>GAP under assessment</t>
  </si>
  <si>
    <t>GAPs under assessment</t>
  </si>
  <si>
    <t>IESTI case</t>
  </si>
  <si>
    <r>
      <t>CF</t>
    </r>
    <r>
      <rPr>
        <b/>
        <vertAlign val="subscript"/>
        <sz val="9"/>
        <color theme="0"/>
        <rFont val="Arial"/>
        <family val="2"/>
      </rPr>
      <t>risk</t>
    </r>
    <r>
      <rPr>
        <b/>
        <sz val="9"/>
        <color theme="0"/>
        <rFont val="Arial"/>
        <family val="2"/>
      </rPr>
      <t xml:space="preserve"> for residue definition for processed products</t>
    </r>
  </si>
  <si>
    <t>MRL*CF*PF or LOQ (if not under assessment and LOQ)</t>
  </si>
  <si>
    <t>label for IESTI new normal mode</t>
  </si>
  <si>
    <t>label connector IESTI new normal mode</t>
  </si>
  <si>
    <t>label refinements normal mode</t>
  </si>
  <si>
    <t>MRL/ proposed MRL (RAC)
(mg/kg)</t>
  </si>
  <si>
    <t>MRL/ proposed MRL (RAC)</t>
  </si>
  <si>
    <t>Florence fennels</t>
  </si>
  <si>
    <t>commodities not under assessment 
(in % of ADI)</t>
  </si>
  <si>
    <t>Commodity</t>
  </si>
  <si>
    <t>Input value (mg/kg)</t>
  </si>
  <si>
    <t>include commodity in Summary_input_values_chronic</t>
  </si>
  <si>
    <t>include commodity in Summary_input_values_acute</t>
  </si>
  <si>
    <t>Column3</t>
  </si>
  <si>
    <t>filter summary input values</t>
  </si>
  <si>
    <t>CFrisk for residue definition</t>
  </si>
  <si>
    <t>Code</t>
  </si>
  <si>
    <t>&gt;0</t>
  </si>
  <si>
    <t>not necessary</t>
  </si>
  <si>
    <t>FI 3 yr</t>
  </si>
  <si>
    <t>FI 6 yr</t>
  </si>
  <si>
    <t>Column4</t>
  </si>
  <si>
    <t>Column22</t>
  </si>
  <si>
    <t>Column23</t>
  </si>
  <si>
    <t>Column24</t>
  </si>
  <si>
    <t>Column5</t>
  </si>
  <si>
    <t>Column6</t>
  </si>
  <si>
    <t>Column13</t>
  </si>
  <si>
    <t>Column123</t>
  </si>
  <si>
    <t>Column124</t>
  </si>
  <si>
    <t>FI child 3 years</t>
  </si>
  <si>
    <t>FI women</t>
  </si>
  <si>
    <t>FI men</t>
  </si>
  <si>
    <t>mg/kg bw per day</t>
  </si>
  <si>
    <r>
      <t xml:space="preserve">Calculation according to the UK approach (Rees-Day model equation;  TMDI/NEDI = </t>
    </r>
    <r>
      <rPr>
        <sz val="9"/>
        <rFont val="Symbol"/>
        <family val="1"/>
        <charset val="2"/>
      </rPr>
      <t>S</t>
    </r>
    <r>
      <rPr>
        <sz val="9"/>
        <rFont val="Arial"/>
        <family val="2"/>
      </rPr>
      <t xml:space="preserve"> 2 highest 97.5th percentile intakes + mean population intake for other foods)
</t>
    </r>
    <r>
      <rPr>
        <b/>
        <sz val="9"/>
        <rFont val="Arial"/>
        <family val="2"/>
      </rPr>
      <t xml:space="preserve">Since this methodology is not based on internationally agreed principles, the results are considered as indicative only. </t>
    </r>
  </si>
  <si>
    <t>PeF for calculation</t>
  </si>
  <si>
    <t>CF*PeF for calculation</t>
  </si>
  <si>
    <r>
      <t>MRL*CF*PeF</t>
    </r>
    <r>
      <rPr>
        <b/>
        <vertAlign val="subscript"/>
        <sz val="8"/>
        <color indexed="9"/>
        <rFont val="Arial"/>
        <family val="2"/>
      </rPr>
      <t xml:space="preserve"> </t>
    </r>
    <r>
      <rPr>
        <b/>
        <sz val="8"/>
        <color indexed="9"/>
        <rFont val="Arial"/>
        <family val="2"/>
      </rPr>
      <t>(chronic)</t>
    </r>
  </si>
  <si>
    <t>Median residue*CF*PeF</t>
  </si>
  <si>
    <t>N</t>
  </si>
  <si>
    <t>VF (alternative variability factor)</t>
  </si>
  <si>
    <t>VF (alternative variability factor factor</t>
  </si>
  <si>
    <t>Peeling/ processing factor</t>
  </si>
  <si>
    <t>STMR-RAC (median residue)</t>
  </si>
  <si>
    <t>HR-RAC (highest residue)</t>
  </si>
  <si>
    <t>STMR-RAC 
(median residue)</t>
  </si>
  <si>
    <t>HR-RAC 
(highest residue)</t>
  </si>
  <si>
    <t>Source of MRL</t>
  </si>
  <si>
    <t>Case for acute RA</t>
  </si>
  <si>
    <t>Version</t>
  </si>
  <si>
    <t>Modifications</t>
  </si>
  <si>
    <t>Date</t>
  </si>
  <si>
    <t>TMDI (% of ADI) resulting from LOQ-MRLs (does not include LOQ*CF, LOQ*PeF or LOQ*CF*PeF)</t>
  </si>
  <si>
    <r>
      <rPr>
        <b/>
        <sz val="9"/>
        <rFont val="Arial"/>
        <family val="2"/>
      </rPr>
      <t>Results for children</t>
    </r>
    <r>
      <rPr>
        <sz val="9"/>
        <rFont val="Arial"/>
        <family val="2"/>
      </rPr>
      <t xml:space="preserve">
No. of commodities for which ARfD/ADI is exceeded (IESTI):</t>
    </r>
  </si>
  <si>
    <r>
      <rPr>
        <b/>
        <sz val="9"/>
        <rFont val="Arial"/>
        <family val="2"/>
      </rPr>
      <t>Results for adults</t>
    </r>
    <r>
      <rPr>
        <sz val="9"/>
        <rFont val="Arial"/>
        <family val="2"/>
      </rPr>
      <t xml:space="preserve">
No. of commodities for which ARfD/ADI is exceeded (IESTI):</t>
    </r>
  </si>
  <si>
    <r>
      <rPr>
        <b/>
        <sz val="9"/>
        <rFont val="Arial"/>
        <family val="2"/>
      </rPr>
      <t>Results for children</t>
    </r>
    <r>
      <rPr>
        <sz val="9"/>
        <rFont val="Arial"/>
        <family val="2"/>
      </rPr>
      <t xml:space="preserve">
No of processed commodities for which ARfD/ADI is exceeded (IESTI):</t>
    </r>
  </si>
  <si>
    <r>
      <rPr>
        <b/>
        <sz val="9"/>
        <rFont val="Arial"/>
        <family val="2"/>
      </rPr>
      <t>Results for children</t>
    </r>
    <r>
      <rPr>
        <sz val="9"/>
        <rFont val="Arial"/>
        <family val="2"/>
      </rPr>
      <t xml:space="preserve">
No of processed commodities for which ARfD/ADI is exceeded (IESTI new):</t>
    </r>
  </si>
  <si>
    <r>
      <rPr>
        <b/>
        <sz val="9"/>
        <rFont val="Arial"/>
        <family val="2"/>
      </rPr>
      <t>Results for adults</t>
    </r>
    <r>
      <rPr>
        <sz val="9"/>
        <rFont val="Arial"/>
        <family val="2"/>
      </rPr>
      <t xml:space="preserve">
No of processed commodities for which ARfD/ADI is exceeded (IESTI):</t>
    </r>
  </si>
  <si>
    <r>
      <rPr>
        <b/>
        <sz val="9"/>
        <rFont val="Arial"/>
        <family val="2"/>
      </rPr>
      <t>Results for adults</t>
    </r>
    <r>
      <rPr>
        <sz val="9"/>
        <rFont val="Arial"/>
        <family val="2"/>
      </rPr>
      <t xml:space="preserve">
No of processed commodities for which ARfD/ADI is exceeded (IESTI new):</t>
    </r>
  </si>
  <si>
    <t>(2)</t>
  </si>
  <si>
    <t>(1)</t>
  </si>
  <si>
    <r>
      <t>CF</t>
    </r>
    <r>
      <rPr>
        <b/>
        <vertAlign val="subscript"/>
        <sz val="9"/>
        <color theme="0"/>
        <rFont val="Arial"/>
        <family val="2"/>
      </rPr>
      <t>risk</t>
    </r>
    <r>
      <rPr>
        <b/>
        <sz val="9"/>
        <color theme="0"/>
        <rFont val="Arial"/>
        <family val="2"/>
      </rPr>
      <t xml:space="preserve"> for residue definition (applicable for unprocessed products)</t>
    </r>
  </si>
  <si>
    <t>enforcement / plants (unprocessed)</t>
  </si>
  <si>
    <t>enforcement / animals (unprocessed)</t>
  </si>
  <si>
    <t>risk assessment / plants (unprocessed)</t>
  </si>
  <si>
    <t>risk assessment / animals (unprocessed)</t>
  </si>
  <si>
    <t>enf. plants (processed)</t>
  </si>
  <si>
    <t>enf.animals (processed)</t>
  </si>
  <si>
    <t>RA plants (processed)</t>
  </si>
  <si>
    <t>RA animals (processed)</t>
  </si>
  <si>
    <t>Acute RA label</t>
  </si>
  <si>
    <t>Acute RA input value</t>
  </si>
  <si>
    <t>Acute RA IESTI new label</t>
  </si>
  <si>
    <t>Acute RA IESTI new input value</t>
  </si>
  <si>
    <t>Chronic RA label</t>
  </si>
  <si>
    <t>Chronic RA input value</t>
  </si>
  <si>
    <t>not assessed</t>
  </si>
  <si>
    <t>isnumber</t>
  </si>
  <si>
    <t>PF (processing factor RD enforcement)</t>
  </si>
  <si>
    <t>PeF (peeling factor RD enforcemen)</t>
  </si>
  <si>
    <t>Large portion (expressed as g/kg bw)</t>
  </si>
  <si>
    <t>Contains formula</t>
  </si>
  <si>
    <t>Buckwheat / bulgur and grits</t>
  </si>
  <si>
    <t>ARfD or ADI</t>
  </si>
  <si>
    <t>Comments</t>
  </si>
  <si>
    <t>CZ 11-14 yrs</t>
  </si>
  <si>
    <t>Chronic risk assessment:TMDI calculation</t>
  </si>
  <si>
    <t>TMDI</t>
  </si>
  <si>
    <t>TMDI calculation</t>
  </si>
  <si>
    <t>Rees Day model (exposure for 97.5th percentile consumpiton data)</t>
  </si>
  <si>
    <t>Rees Day Model Result (2 highest 97.5th percentile consumption + mean consumption)</t>
  </si>
  <si>
    <r>
      <t>Chronic risk assessment: Rees Day-model
NEDI/TMDI=</t>
    </r>
    <r>
      <rPr>
        <b/>
        <sz val="12"/>
        <rFont val="Symbol"/>
        <family val="1"/>
        <charset val="2"/>
      </rPr>
      <t>S</t>
    </r>
    <r>
      <rPr>
        <b/>
        <sz val="12"/>
        <rFont val="Arial"/>
        <family val="2"/>
      </rPr>
      <t xml:space="preserve"> 2 highest 97.5th percentile intakes + mean population intake for other foods)</t>
    </r>
    <r>
      <rPr>
        <b/>
        <vertAlign val="superscript"/>
        <sz val="12"/>
        <rFont val="Arial"/>
        <family val="2"/>
      </rPr>
      <t>*)</t>
    </r>
  </si>
  <si>
    <t>CF</t>
  </si>
  <si>
    <t>Diet with max exposure</t>
  </si>
  <si>
    <t>rank</t>
  </si>
  <si>
    <t>TMDI calculation per crop/commodity</t>
  </si>
  <si>
    <t>TMDI
(in % of ADI)</t>
  </si>
  <si>
    <t>crop</t>
  </si>
  <si>
    <t>Crop under assessment</t>
  </si>
  <si>
    <t>MS diet</t>
  </si>
  <si>
    <t xml:space="preserve">The TMDI calculations are for information purpose only. </t>
  </si>
  <si>
    <t xml:space="preserve">The results of the more refined intake calculations are presented in the spreadsheet "Results". </t>
  </si>
  <si>
    <t>Results with exposure exceeding 10% of the ADI are highlighted in yellow.</t>
  </si>
  <si>
    <t xml:space="preserve">The TMDI calculations were performed with the MRL/LOQ, multiplied by a CF for risk assessment, where available/applicable. </t>
  </si>
  <si>
    <t>Calculation with</t>
  </si>
  <si>
    <t>Source of ADI</t>
  </si>
  <si>
    <t>Year of evaluation</t>
  </si>
  <si>
    <t>ADI (mg/kg bw/day)</t>
  </si>
  <si>
    <r>
      <rPr>
        <b/>
        <sz val="9"/>
        <rFont val="Arial"/>
        <family val="2"/>
      </rPr>
      <t>IESTI new</t>
    </r>
    <r>
      <rPr>
        <sz val="9"/>
        <rFont val="Arial"/>
        <family val="2"/>
      </rPr>
      <t xml:space="preserve">
</t>
    </r>
    <r>
      <rPr>
        <b/>
        <sz val="9"/>
        <rFont val="Arial"/>
        <family val="2"/>
      </rPr>
      <t>Results for children</t>
    </r>
    <r>
      <rPr>
        <sz val="9"/>
        <rFont val="Arial"/>
        <family val="2"/>
      </rPr>
      <t xml:space="preserve">
No. of commodities for which ARfD/ADI is exceeded (IESTI new):</t>
    </r>
  </si>
  <si>
    <r>
      <rPr>
        <b/>
        <sz val="9"/>
        <rFont val="Arial"/>
        <family val="2"/>
      </rPr>
      <t>IESTI new</t>
    </r>
    <r>
      <rPr>
        <sz val="9"/>
        <rFont val="Arial"/>
        <family val="2"/>
      </rPr>
      <t xml:space="preserve">
</t>
    </r>
    <r>
      <rPr>
        <b/>
        <sz val="9"/>
        <rFont val="Arial"/>
        <family val="2"/>
      </rPr>
      <t>Results for adults</t>
    </r>
    <r>
      <rPr>
        <sz val="9"/>
        <rFont val="Arial"/>
        <family val="2"/>
      </rPr>
      <t xml:space="preserve">
No. of commodities for which ARfD/ADI is exceeded (IESTI new):</t>
    </r>
  </si>
  <si>
    <t>Other crops/commodities</t>
  </si>
  <si>
    <t xml:space="preserve">Input value (mg/kg) </t>
  </si>
  <si>
    <t>…</t>
  </si>
  <si>
    <t>1</t>
  </si>
  <si>
    <t>2</t>
  </si>
  <si>
    <t>3</t>
  </si>
  <si>
    <t>5</t>
  </si>
  <si>
    <t>6</t>
  </si>
  <si>
    <t>7</t>
  </si>
  <si>
    <t>8</t>
  </si>
  <si>
    <t>4</t>
  </si>
  <si>
    <t>existing/ proposed MRL</t>
  </si>
  <si>
    <t>Hide in input table list</t>
  </si>
  <si>
    <t>acute vlue&lt;&gt;MRL/LOQ</t>
  </si>
  <si>
    <t>chronic value &lt;&gt;MRL/LOQ</t>
  </si>
  <si>
    <t>xx</t>
  </si>
  <si>
    <t>x</t>
  </si>
  <si>
    <t xml:space="preserve">Comment </t>
  </si>
  <si>
    <r>
      <t xml:space="preserve">     Chronic risk assessment</t>
    </r>
    <r>
      <rPr>
        <b/>
        <vertAlign val="superscript"/>
        <sz val="8"/>
        <rFont val="Tahoma"/>
        <family val="2"/>
      </rPr>
      <t>1)</t>
    </r>
  </si>
  <si>
    <r>
      <t xml:space="preserve">     Acute risk assessment</t>
    </r>
    <r>
      <rPr>
        <b/>
        <vertAlign val="superscript"/>
        <sz val="8"/>
        <rFont val="Tahoma"/>
        <family val="2"/>
      </rPr>
      <t>2)</t>
    </r>
  </si>
  <si>
    <t>Aubergines/egg plants</t>
  </si>
  <si>
    <t>Show results of IESTI calculation for all crops</t>
  </si>
  <si>
    <t>Show results of IESTI calculation only for crops with GAPs under assessment</t>
  </si>
  <si>
    <t>Source / type of MRL</t>
  </si>
  <si>
    <r>
      <t xml:space="preserve">
</t>
    </r>
    <r>
      <rPr>
        <b/>
        <sz val="9"/>
        <rFont val="Arial"/>
        <family val="2"/>
      </rPr>
      <t/>
    </r>
  </si>
  <si>
    <t>Chronic risk assessment: JMPR methodology (IEDI/TMDI)</t>
  </si>
  <si>
    <t xml:space="preserve">IESTI new calculations: </t>
  </si>
  <si>
    <r>
      <t xml:space="preserve">The calculation is performed with the MRL and the peeling/processing factor (PF), taking into account the residue in the edible portion and/or the conversion factor for the residue definition (CF). For case 2a, 2b and 3 calculations a variability factor of 3 is used.  Since this methodology is not based on internationally agreed principles, the results are considered as indicative only.
</t>
    </r>
    <r>
      <rPr>
        <b/>
        <sz val="9"/>
        <rFont val="Arial"/>
        <family val="2"/>
      </rPr>
      <t xml:space="preserve">Since this methodology is not based on internationally agreed principles, the results are considered as indicative only. </t>
    </r>
  </si>
  <si>
    <t>Reference to EFSA guidance document:</t>
  </si>
  <si>
    <t xml:space="preserve">Contact for reporting problems/asking for support: </t>
  </si>
  <si>
    <t xml:space="preserve">Hermine Reich </t>
  </si>
  <si>
    <t>hermine.reich@efsa.europa.eu</t>
  </si>
  <si>
    <t>pesticides.mrl@efsa.europa.eu</t>
  </si>
  <si>
    <t xml:space="preserve">Please include in the subject: </t>
  </si>
  <si>
    <t>EFSA PRIMo rev. 3</t>
  </si>
  <si>
    <t>PRIMo rev. 3.0</t>
  </si>
  <si>
    <t xml:space="preserve">Available under: </t>
  </si>
  <si>
    <t>insert hyperlink</t>
  </si>
  <si>
    <t>email:</t>
  </si>
  <si>
    <t>cc:</t>
  </si>
  <si>
    <t xml:space="preserve">Short user guide: </t>
  </si>
  <si>
    <t xml:space="preserve">How to get started? </t>
  </si>
  <si>
    <t xml:space="preserve">Which input parameters need to be inserted? </t>
  </si>
  <si>
    <t>The model was developed to calculate simultaneously the short-term and long-term dietary exposure to pesticide residues in food according to internationally agreed methodologies. The exposure is compared to the toxicological reference values (i.e. the ADI and the ARfD). 
If the exposure is below the toxicological reference values, it is concluded that the consumer exposure is not leading to an unacceptable risk. 
If the exposure exceeds the toxicological reference values, the risk assessor should check if the exposure calculations can be refined. If this is not the case, the conclusion of the risk assessment is that for the residue levels in food assessed in the risk assessment scenario a potential consumer health concern cannot be excluded.</t>
  </si>
  <si>
    <t>D12:D390</t>
  </si>
  <si>
    <t>D3</t>
  </si>
  <si>
    <t>D4</t>
  </si>
  <si>
    <t>D5</t>
  </si>
  <si>
    <r>
      <t xml:space="preserve">Insert the </t>
    </r>
    <r>
      <rPr>
        <b/>
        <sz val="10"/>
        <rFont val="Arial"/>
        <family val="2"/>
      </rPr>
      <t>active substance</t>
    </r>
    <r>
      <rPr>
        <sz val="10"/>
        <rFont val="Arial"/>
        <family val="2"/>
      </rPr>
      <t xml:space="preserve"> (a.s.) name assessed</t>
    </r>
    <r>
      <rPr>
        <sz val="10"/>
        <rFont val="Arial"/>
        <family val="2"/>
      </rPr>
      <t xml:space="preserve">
</t>
    </r>
  </si>
  <si>
    <t xml:space="preserve">The ADI (expressed as mg/kg bw per day) should be inserted in cell D4. </t>
  </si>
  <si>
    <t>Cell D5 is foreseen to enter the ARfD. Valid entries are:
- any numerical value of the ARfD (expressed as mg/kg bw) or
-'not necessary' (no acute risk assessment will be performed) or
-'not assessed' (the acute risk assessment will be performed with the ADI</t>
  </si>
  <si>
    <t xml:space="preserve">Not mandatory for the calculations, but for reasons of transparency of the calculation, these cells should be completed. </t>
  </si>
  <si>
    <t>F4:G5; 
D8:D9</t>
  </si>
  <si>
    <t>ARfD</t>
  </si>
  <si>
    <t>D12:M390</t>
  </si>
  <si>
    <t xml:space="preserve">Data related to the residue concentration for unprocessed food commodities have to be inserted as described below: </t>
  </si>
  <si>
    <t>L7</t>
  </si>
  <si>
    <t xml:space="preserve">Fat soluble residue definition for animal commodities </t>
  </si>
  <si>
    <t xml:space="preserve">If a residue definition is defined as fat soluble, the entry 'fat soluble' should be selected from the drop-down list. This selection will have an impact on the calculation of the exposure for meat/muscle of different species (see also field 'MRL/proposed MRL', column E in section 2). </t>
  </si>
  <si>
    <t>A10</t>
  </si>
  <si>
    <t>D10</t>
  </si>
  <si>
    <t xml:space="preserve">It is recommended to describe the scenario that is calculated, including the source of data or other relevant information. </t>
  </si>
  <si>
    <t>This field is intended for reporting the source or type of the MRL inserted in column E (e.g. Codex MRL, proposed MRL, existing EU MRL, import tolerance (IT), etc.). The information is not mandatory, but will increase the transparency of the risk assessment scenario.</t>
  </si>
  <si>
    <t>E12:E390</t>
  </si>
  <si>
    <t>F12:F390</t>
  </si>
  <si>
    <t>G12:G390</t>
  </si>
  <si>
    <t>H12:H390</t>
  </si>
  <si>
    <t>I12:I390</t>
  </si>
  <si>
    <t>J12:J390</t>
  </si>
  <si>
    <t>K12:K390</t>
  </si>
  <si>
    <t>L12:L390</t>
  </si>
  <si>
    <t>M12:M390</t>
  </si>
  <si>
    <t xml:space="preserve">The information on post-harvest treatment is relevant to identify the correct approach for the acute exposure assessment for pulses, cereals and oilseeds (IESTI calculations according to case 1 or 3). The acute exposure is calculated with the HR-RAC instead of the STMR-RAC, if the pesticide is applied on a crop as post-harvest treatment. For other crops the entry in this column is not used for further calculations and is therefore considered for information purpose only. </t>
  </si>
  <si>
    <r>
      <t xml:space="preserve">This column is intended to label the crops that shall be included in the risk assessment (see also description of cell </t>
    </r>
    <r>
      <rPr>
        <b/>
        <sz val="10"/>
        <rFont val="Arial"/>
        <family val="2"/>
      </rPr>
      <t>A10</t>
    </r>
    <r>
      <rPr>
        <sz val="10"/>
        <rFont val="Arial"/>
        <family val="2"/>
      </rPr>
      <t>).
Choice of valid entries and impact on risk assessment:
- 'Y’ should be selected to label crops that are assessed in the risk assessment scenario (e.g. intended GAP assessed setting a new MRL, representative use assessed in the peer review or authorised GAP assessed under Art. 12 of Regulation (EC) No 396/2005).
- ‘N’ should be selected, if the risk assessor confirms that the use of the pesticide is not authorised for the crop and therefore the crop shall not be included in the risk assessment in the ‘Refined calculation mode’ (acute and chronic risk assessment), even if an MRL has been entered in column E.
- The cell should be left blank for a respective commodity, if the risk assessor does not have clear evidence on the authorisation status of a use for the crop. In the ‘Normal mode’, the crop will be included in the exposure calculation. In the ‘Refined calculation mode’ the crop will not be included.</t>
    </r>
  </si>
  <si>
    <r>
      <t xml:space="preserve">The risk assessment calculations can be performed in two different modes: 
- Normal mode: all commodities are included in the exposure calculations (chronic and acute risk assessment). 
- Refined calculation mode: only those commodities are considered which are labelled with 'Y' in L12:L390, 'GAP under assessment' (see also description to cells </t>
    </r>
    <r>
      <rPr>
        <b/>
        <sz val="10"/>
        <rFont val="Arial"/>
        <family val="2"/>
      </rPr>
      <t>L12:L390</t>
    </r>
    <r>
      <rPr>
        <sz val="10"/>
        <rFont val="Arial"/>
        <family val="2"/>
      </rPr>
      <t>).
In the framework of MRL applications for active substances for which the MRL review has not yet been performed and where no information is available on the actual authorised uses, the calculations should be performed selecting the 'Normal mode' option, assuming that all crops for which an MRL was entered in column E contain residues at the level of the MRL or - if available - STMR-RAC or HR-RAC.</t>
    </r>
  </si>
  <si>
    <t>If available, an empirical variability factor can be inserted in this column. The empirical variability factors will replace the default variability factor for the calculation of IESTI case 2a/2b.</t>
  </si>
  <si>
    <t xml:space="preserve">The values of the MRL/proposed MRL should be entered. 
In cetain cases, the exposure calculation will be performed with the MRL value entered in these cells, if no STMR or HR values are entered in column I and J, respectively. See also N12:N390 and P12:P390; detailed descriptions on the derivation of the input values for the calculation can be found in the full Guidance document. </t>
  </si>
  <si>
    <t xml:space="preserve">These cells should be used to indicate if a MRL is set at the ‘LOQ’ (or limit of determination), labelling the cell with '*'.
</t>
  </si>
  <si>
    <t xml:space="preserve">If the residue definition for enforcement and for risk assessment differ, a conversion factor has to be inserted which accounts for the concentration of metabolites included only in the residue definition for risk assessment. See also I12:I390 and J12:J390. </t>
  </si>
  <si>
    <t>For crops consumed only after peeling (green cells), a peeling factor can be entered to refine the exposure assessments.</t>
  </si>
  <si>
    <r>
      <t>The highest residue values derived from residue trials according to the enforcement residue definition have to be entered (HR-RAC).
In case the residue definition for risk assessment is different from the enforcement residue definition, a CF</t>
    </r>
    <r>
      <rPr>
        <vertAlign val="subscript"/>
        <sz val="10"/>
        <rFont val="Arial"/>
        <family val="2"/>
      </rPr>
      <t>risk</t>
    </r>
    <r>
      <rPr>
        <sz val="10"/>
        <rFont val="Arial"/>
        <family val="2"/>
      </rPr>
      <t xml:space="preserve"> for residue definition needs to be entered in column G for the respective commodity. Where relevant, a peeling factor should be inserted in column H. 
If only a HR</t>
    </r>
    <r>
      <rPr>
        <vertAlign val="subscript"/>
        <sz val="10"/>
        <rFont val="Arial"/>
        <family val="2"/>
      </rPr>
      <t>risk</t>
    </r>
    <r>
      <rPr>
        <sz val="10"/>
        <rFont val="Arial"/>
        <family val="2"/>
      </rPr>
      <t xml:space="preserve"> (highest residue in edible portion, reflecting the residue definition for risk assessment) is available, this HR</t>
    </r>
    <r>
      <rPr>
        <vertAlign val="subscript"/>
        <sz val="10"/>
        <rFont val="Arial"/>
        <family val="2"/>
      </rPr>
      <t>risk</t>
    </r>
    <r>
      <rPr>
        <sz val="10"/>
        <rFont val="Arial"/>
        <family val="2"/>
      </rPr>
      <t xml:space="preserve"> can be entered directly in this cell. However, in this case no CF and peeling factor (PF) should be entered. It is recommended to make notes in the comment field (D10) to explain which data were used for the exposure calculation.</t>
    </r>
  </si>
  <si>
    <r>
      <t>The median residue values derived from residue trials according to the enforcement residue definition have to be entered (STMR-RAC). 
If the residue definition for risk assessment is different from the enforcement residue definition, a CF</t>
    </r>
    <r>
      <rPr>
        <vertAlign val="subscript"/>
        <sz val="10"/>
        <rFont val="Arial"/>
        <family val="2"/>
      </rPr>
      <t>risk</t>
    </r>
    <r>
      <rPr>
        <sz val="10"/>
        <rFont val="Arial"/>
        <family val="2"/>
      </rPr>
      <t xml:space="preserve"> for residue definition needs to be entered in column G for the respective commodity. 
If relevant, a peeling factor should be inserted in column H.
If an STMR</t>
    </r>
    <r>
      <rPr>
        <vertAlign val="subscript"/>
        <sz val="10"/>
        <rFont val="Arial"/>
        <family val="2"/>
      </rPr>
      <t>risk</t>
    </r>
    <r>
      <rPr>
        <sz val="10"/>
        <rFont val="Arial"/>
        <family val="2"/>
      </rPr>
      <t xml:space="preserve"> (median residue for the edible portion, reflecting the residue definition for risk assessment) is available, this STMR can be entered in this cell. In this case, no CF and peeling factor (PF) should be entered. It is recommended to make notes in the comment field (D10) to make clear which data were used for the exposure calculation. 
</t>
    </r>
  </si>
  <si>
    <t>H412:H540</t>
  </si>
  <si>
    <t>I412:I540</t>
  </si>
  <si>
    <t xml:space="preserve">If the residue definitions for enforcement and for risk assessment applicable to processed products differ, the conversion factor needs to be inserted which accounts for the concentration of metabolites/degradation products included only in the residue definition for risk assessment (processed products). More details can be found in the full guidance document. </t>
  </si>
  <si>
    <t xml:space="preserve">If available, processing factors for the corresponding processed food commodities should be entered.
For some commodities (dark green cells), default processing factors are used, if no information is inserted in column H. </t>
  </si>
  <si>
    <t xml:space="preserve">Where do I find the results of the risk assessment? </t>
  </si>
  <si>
    <t xml:space="preserve">Select the spreadsheet ''Results'. No data entry is foreseen in this spreadsheet except in line 9 (comments). 
</t>
  </si>
  <si>
    <r>
      <t xml:space="preserve">The results of the </t>
    </r>
    <r>
      <rPr>
        <b/>
        <sz val="10"/>
        <rFont val="Arial"/>
        <family val="2"/>
      </rPr>
      <t>chronic risk assessment</t>
    </r>
    <r>
      <rPr>
        <sz val="10"/>
        <rFont val="Arial"/>
        <family val="2"/>
      </rPr>
      <t xml:space="preserve"> are displayed in row 10 to 54. </t>
    </r>
  </si>
  <si>
    <t>B62:I62</t>
  </si>
  <si>
    <t>Select for which crops the acute risk assessment results should be displayed</t>
  </si>
  <si>
    <t xml:space="preserve">Using the drop down list in this cell, the user can decide if the results of the acute risk assessment shall be presented for all crops or should be restricted to the crops under assessment (labelled with 'Y' in the spreadsheet input_values in column L (GAPs under assessment). </t>
  </si>
  <si>
    <r>
      <t>The results of the acute</t>
    </r>
    <r>
      <rPr>
        <b/>
        <sz val="10"/>
        <rFont val="Arial"/>
        <family val="2"/>
      </rPr>
      <t xml:space="preserve"> risk assessment</t>
    </r>
    <r>
      <rPr>
        <sz val="10"/>
        <rFont val="Arial"/>
        <family val="2"/>
      </rPr>
      <t xml:space="preserve"> (IESTI methodology) are displayed in the range A57:I226 for unprocessed products and in the range A228:I308 for processed products.  </t>
    </r>
  </si>
  <si>
    <t xml:space="preserve">The results of the acute risk assessment derived with the proposed revised methodology (IESTI new: methodology propsoed in the international workshop of EFSA and RIVM, (co-sponsored by FAO and WHO)) are presented in the section J57:Q308. This part of the spreadsheet is shaded in gray to indicate that the results are just indicative, since they were derived with a methodlogy that is not agreed at international level. The results can be hidden by using the button in cell  JM57. </t>
  </si>
  <si>
    <t xml:space="preserve">What kind of information can be found in the other spreadsheets? </t>
  </si>
  <si>
    <t xml:space="preserve">More detailed results for the chronic and acute risk assessment can be found in the spreadsheets 'chronic_intake_assessment, 'acute_voerview_children' and 'acute_overview_adults'.  </t>
  </si>
  <si>
    <t xml:space="preserve">The spreadsheet 'Summary_input_values' can be used to generate a table that summarises the input values used for the calculation in a format that is compatible with the EFSA reasoned opinions and Evaluation Reports. </t>
  </si>
  <si>
    <t xml:space="preserve">In the spreadsheet 'Supplementary_results_chronic' the following information can be retrieved: 
- TMDI calculations
- Contribution of the individual crops to the TMDI calculation 
- Results of chronic risk assessment based on Rees Day methodology (methodology not agreed at international level). </t>
  </si>
  <si>
    <t xml:space="preserve">The spreadsheet 'chronic_consumption' contians the consumption data as well as the mean body weights used for the chronic risk assessment for the individual diets.   </t>
  </si>
  <si>
    <t>Column7</t>
  </si>
  <si>
    <t>In the PAFF meeting, Member States took note of the completely revised version of PRIMo.</t>
  </si>
  <si>
    <t>IEDI (expressed in % of ADI)</t>
  </si>
  <si>
    <t>IEDI (%of ADI)</t>
  </si>
  <si>
    <t>IEDI (% of ADI) resulting from LOQ-MRLs (does not include LOQ*CF, LOQ*PeF or LOQ*CF*PeF)</t>
  </si>
  <si>
    <t>IEDI (% of ADI) resulting from commodities with GAPs not under assessment</t>
  </si>
  <si>
    <t>TMDI (% of ADI) resulting from commodities with GAPs under assessment</t>
  </si>
  <si>
    <t>TMDI (%of ADI) resulting from crops that are not under assessment</t>
  </si>
  <si>
    <t>total IEDI</t>
  </si>
  <si>
    <t>total NEDI (µg/kg bw per day)</t>
  </si>
  <si>
    <t>IEDI (%of ADI) resulting from crops that are not under assessment</t>
  </si>
  <si>
    <t>Spinaches / frozen; boiled</t>
  </si>
  <si>
    <t>Rapeseeds / oils</t>
  </si>
  <si>
    <t>Kales / boiled</t>
  </si>
  <si>
    <t>crop with exceedance in adults and children</t>
  </si>
  <si>
    <t>IESTI for crop with exposure&gt;100%, crop ranked in acute RA for adults</t>
  </si>
  <si>
    <t>PRIMo rev. 3.1</t>
  </si>
  <si>
    <t xml:space="preserve">See Technical Report </t>
  </si>
  <si>
    <t>TH</t>
  </si>
  <si>
    <t>countif(acute intake children&gt;100%)</t>
  </si>
  <si>
    <t>countif(acute intake adults)&gt;100%)</t>
  </si>
  <si>
    <t>Input for IESTI new refined mode</t>
  </si>
  <si>
    <t>Label for IESTI new refine mode</t>
  </si>
  <si>
    <r>
      <t xml:space="preserve">ARfD </t>
    </r>
    <r>
      <rPr>
        <sz val="9"/>
        <rFont val="Arial"/>
        <family val="2"/>
      </rPr>
      <t>(or ADI)</t>
    </r>
  </si>
  <si>
    <t>Source/ type of MRL</t>
  </si>
  <si>
    <t/>
  </si>
  <si>
    <t>Code number</t>
  </si>
  <si>
    <t xml:space="preserve"> Groups and examples of individual products to which the MRLs apply (a)</t>
  </si>
  <si>
    <t>0100000</t>
  </si>
  <si>
    <t>.   FRUITS, FRESH or FROZEN; TREE NUTS</t>
  </si>
  <si>
    <t>0110000</t>
  </si>
  <si>
    <t>.     Citrus fruits</t>
  </si>
  <si>
    <t>0110010</t>
  </si>
  <si>
    <t>.           Grapefruits</t>
  </si>
  <si>
    <t>0110020</t>
  </si>
  <si>
    <t>.           Oranges</t>
  </si>
  <si>
    <t>0110030</t>
  </si>
  <si>
    <t>.           Lemons</t>
  </si>
  <si>
    <t>0110040</t>
  </si>
  <si>
    <t>.           Limes</t>
  </si>
  <si>
    <t>0110050</t>
  </si>
  <si>
    <t>.           Mandarins</t>
  </si>
  <si>
    <t>0110990</t>
  </si>
  <si>
    <t>.           Others (2)</t>
  </si>
  <si>
    <t>0120000</t>
  </si>
  <si>
    <t>.     Tree nuts</t>
  </si>
  <si>
    <t>0120010</t>
  </si>
  <si>
    <t>.           Almonds</t>
  </si>
  <si>
    <t>0120020</t>
  </si>
  <si>
    <t>.           Brazil nuts</t>
  </si>
  <si>
    <t>0120030</t>
  </si>
  <si>
    <t>.           Cashew nuts</t>
  </si>
  <si>
    <t>0120040</t>
  </si>
  <si>
    <t>.           Chestnuts</t>
  </si>
  <si>
    <t>0120050</t>
  </si>
  <si>
    <t>.           Coconuts</t>
  </si>
  <si>
    <t>0120060</t>
  </si>
  <si>
    <t>.           Hazelnuts/cobnuts</t>
  </si>
  <si>
    <t>0120070</t>
  </si>
  <si>
    <t>.           Macadamias</t>
  </si>
  <si>
    <t>0120080</t>
  </si>
  <si>
    <t>.           Pecans</t>
  </si>
  <si>
    <t>0120090</t>
  </si>
  <si>
    <t>.           Pine nut kernels</t>
  </si>
  <si>
    <t>0120100</t>
  </si>
  <si>
    <t>.           Pistachios</t>
  </si>
  <si>
    <t>0120110</t>
  </si>
  <si>
    <t>.           Walnuts</t>
  </si>
  <si>
    <t>0120990</t>
  </si>
  <si>
    <t>0130000</t>
  </si>
  <si>
    <t>.     Pome fruits</t>
  </si>
  <si>
    <t>0130010</t>
  </si>
  <si>
    <t>.           Apples</t>
  </si>
  <si>
    <t>0130020</t>
  </si>
  <si>
    <t>.           Pears</t>
  </si>
  <si>
    <t>0130030</t>
  </si>
  <si>
    <t>.           Quinces</t>
  </si>
  <si>
    <t>0130040</t>
  </si>
  <si>
    <t>.           Medlars</t>
  </si>
  <si>
    <t>0130050</t>
  </si>
  <si>
    <t>.           Loquats/Japanese medlars</t>
  </si>
  <si>
    <t>0130990</t>
  </si>
  <si>
    <t>0140000</t>
  </si>
  <si>
    <t>.     Stone fruits</t>
  </si>
  <si>
    <t>0140010</t>
  </si>
  <si>
    <t>.           Apricots</t>
  </si>
  <si>
    <t>0140020</t>
  </si>
  <si>
    <t>.           Cherries (sweet)</t>
  </si>
  <si>
    <t>0140030</t>
  </si>
  <si>
    <t>.           Peaches</t>
  </si>
  <si>
    <t>0140040</t>
  </si>
  <si>
    <t>.           Plums</t>
  </si>
  <si>
    <t>0140990</t>
  </si>
  <si>
    <t>0150000</t>
  </si>
  <si>
    <t>.     Berries and small fruits</t>
  </si>
  <si>
    <t>0151000</t>
  </si>
  <si>
    <t>.       (a) grapes</t>
  </si>
  <si>
    <t>0151010</t>
  </si>
  <si>
    <t>.           Table grapes</t>
  </si>
  <si>
    <t>0151020</t>
  </si>
  <si>
    <t>.           Wine grapes</t>
  </si>
  <si>
    <t>0152000</t>
  </si>
  <si>
    <t>.       (b) strawberries</t>
  </si>
  <si>
    <t>0153000</t>
  </si>
  <si>
    <t>.       (c) cane fruits</t>
  </si>
  <si>
    <t>0153010</t>
  </si>
  <si>
    <t>.           Blackberries</t>
  </si>
  <si>
    <t>0153020</t>
  </si>
  <si>
    <t>.           Dewberries</t>
  </si>
  <si>
    <t>0153030</t>
  </si>
  <si>
    <t>.           Raspberries (red and yellow)</t>
  </si>
  <si>
    <t>0153990</t>
  </si>
  <si>
    <t>0154000</t>
  </si>
  <si>
    <t>.       (d) other small fruits and berries</t>
  </si>
  <si>
    <t>0154010</t>
  </si>
  <si>
    <t>.           Blueberries</t>
  </si>
  <si>
    <t>0154020</t>
  </si>
  <si>
    <t>.           Cranberries</t>
  </si>
  <si>
    <t>0154030</t>
  </si>
  <si>
    <t>.           Currants (black, red and white)</t>
  </si>
  <si>
    <t>0154040</t>
  </si>
  <si>
    <t>.           Gooseberries (green, red and yellow)</t>
  </si>
  <si>
    <t>0154050</t>
  </si>
  <si>
    <t>.           Rose hips</t>
  </si>
  <si>
    <t>0154060</t>
  </si>
  <si>
    <t>.           Mulberries (black and white)</t>
  </si>
  <si>
    <t>0154070</t>
  </si>
  <si>
    <t>.           Azaroles/Mediterranean medlars</t>
  </si>
  <si>
    <t>0154080</t>
  </si>
  <si>
    <t>.           Elderberries</t>
  </si>
  <si>
    <t>0154990</t>
  </si>
  <si>
    <t>0160000</t>
  </si>
  <si>
    <t>.     Miscellaneous fruits with</t>
  </si>
  <si>
    <t>0161000</t>
  </si>
  <si>
    <t>.       (a) edible peel</t>
  </si>
  <si>
    <t>0161010</t>
  </si>
  <si>
    <t>.           Dates</t>
  </si>
  <si>
    <t>0161020</t>
  </si>
  <si>
    <t>.           Figs</t>
  </si>
  <si>
    <t>0161030</t>
  </si>
  <si>
    <t>.           Table olives</t>
  </si>
  <si>
    <t>0161040</t>
  </si>
  <si>
    <t>.           Kumquats</t>
  </si>
  <si>
    <t>0161050</t>
  </si>
  <si>
    <t>.           Carambolas</t>
  </si>
  <si>
    <t>0161060</t>
  </si>
  <si>
    <t>.           Kaki/Japanese persimmons</t>
  </si>
  <si>
    <t>0161070</t>
  </si>
  <si>
    <t>.           Jambuls/jambolans</t>
  </si>
  <si>
    <t>0161990</t>
  </si>
  <si>
    <t>0162000</t>
  </si>
  <si>
    <t>.       (b) inedible peel, small</t>
  </si>
  <si>
    <t>0162010</t>
  </si>
  <si>
    <t>.           Kiwi fruits (green, red, yellow)</t>
  </si>
  <si>
    <t>0162020</t>
  </si>
  <si>
    <t>.           Litchis/lychees</t>
  </si>
  <si>
    <t>0162030</t>
  </si>
  <si>
    <t>.           Passionfruits/maracujas</t>
  </si>
  <si>
    <t>0162040</t>
  </si>
  <si>
    <t>.           Prickly pears/cactus fruits</t>
  </si>
  <si>
    <t>0162050</t>
  </si>
  <si>
    <t>.           Star apples/cainitos</t>
  </si>
  <si>
    <t>0162060</t>
  </si>
  <si>
    <t>.           American persimmons/Virginia kaki</t>
  </si>
  <si>
    <t>0162990</t>
  </si>
  <si>
    <t>0163000</t>
  </si>
  <si>
    <t>.       (c) inedible peel, large</t>
  </si>
  <si>
    <t>0163010</t>
  </si>
  <si>
    <t>.           Avocados</t>
  </si>
  <si>
    <t>0163020</t>
  </si>
  <si>
    <t>.           Bananas</t>
  </si>
  <si>
    <t>0163030</t>
  </si>
  <si>
    <t>.           Mangoes</t>
  </si>
  <si>
    <t>0163040</t>
  </si>
  <si>
    <t>.           Papayas</t>
  </si>
  <si>
    <t>0163050</t>
  </si>
  <si>
    <t>.           Granate apples/pomegranates</t>
  </si>
  <si>
    <t>0163060</t>
  </si>
  <si>
    <t>.           Cherimoyas</t>
  </si>
  <si>
    <t>0163070</t>
  </si>
  <si>
    <t>.           Guavas</t>
  </si>
  <si>
    <t>0163080</t>
  </si>
  <si>
    <t>.           Pineapples</t>
  </si>
  <si>
    <t>0163090</t>
  </si>
  <si>
    <t>.           Breadfruits</t>
  </si>
  <si>
    <t>0163100</t>
  </si>
  <si>
    <t>.           Durians</t>
  </si>
  <si>
    <t>0163110</t>
  </si>
  <si>
    <t>.           Soursops/guanabanas</t>
  </si>
  <si>
    <t>0163990</t>
  </si>
  <si>
    <t>0200000</t>
  </si>
  <si>
    <t>.   VEGETABLES, FRESH or FROZEN</t>
  </si>
  <si>
    <t>0210000</t>
  </si>
  <si>
    <t>.     Root and tuber vegetables</t>
  </si>
  <si>
    <t>0211000</t>
  </si>
  <si>
    <t>.       (a) potatoes</t>
  </si>
  <si>
    <t>0212000</t>
  </si>
  <si>
    <t>.       (b) tropical root and tuber vegetables</t>
  </si>
  <si>
    <t>0212010</t>
  </si>
  <si>
    <t>.           Cassava roots/manioc</t>
  </si>
  <si>
    <t>0212020</t>
  </si>
  <si>
    <t>.           Sweet potatoes</t>
  </si>
  <si>
    <t>0212030</t>
  </si>
  <si>
    <t>.           Yams</t>
  </si>
  <si>
    <t>0212040</t>
  </si>
  <si>
    <t>.           Arrowroots</t>
  </si>
  <si>
    <t>0212990</t>
  </si>
  <si>
    <t>0213000</t>
  </si>
  <si>
    <t>.       (c) other root and tuber vegetables except sugar beets</t>
  </si>
  <si>
    <t>0213010</t>
  </si>
  <si>
    <t>.           Beetroots</t>
  </si>
  <si>
    <t>0213020</t>
  </si>
  <si>
    <t>.           Carrots</t>
  </si>
  <si>
    <t>0213030</t>
  </si>
  <si>
    <t>.           Celeriacs/turnip rooted celeries</t>
  </si>
  <si>
    <t>0213040</t>
  </si>
  <si>
    <t>.           Horseradishes</t>
  </si>
  <si>
    <t>0213050</t>
  </si>
  <si>
    <t>.           Jerusalem artichokes</t>
  </si>
  <si>
    <t>0213060</t>
  </si>
  <si>
    <t>.           Parsnips</t>
  </si>
  <si>
    <t>0213070</t>
  </si>
  <si>
    <t>.           Parsley roots/Hamburg roots parsley</t>
  </si>
  <si>
    <t>0213080</t>
  </si>
  <si>
    <t>.           Radishes</t>
  </si>
  <si>
    <t>0213090</t>
  </si>
  <si>
    <t>.           Salsifies</t>
  </si>
  <si>
    <t>0213100</t>
  </si>
  <si>
    <t>.           Swedes/rutabagas</t>
  </si>
  <si>
    <t>0213110</t>
  </si>
  <si>
    <t>.           Turnips</t>
  </si>
  <si>
    <t>0213990</t>
  </si>
  <si>
    <t>0220000</t>
  </si>
  <si>
    <t>.     Bulb vegetables</t>
  </si>
  <si>
    <t>0220010</t>
  </si>
  <si>
    <t>.           Garlic</t>
  </si>
  <si>
    <t>0220020</t>
  </si>
  <si>
    <t>.           Onions</t>
  </si>
  <si>
    <t>0220030</t>
  </si>
  <si>
    <t>.           Shallots</t>
  </si>
  <si>
    <t>0220040</t>
  </si>
  <si>
    <t>.           Spring onions/green onions and Welsh onions</t>
  </si>
  <si>
    <t>0220990</t>
  </si>
  <si>
    <t>0230000</t>
  </si>
  <si>
    <t>.     Fruiting vegetables</t>
  </si>
  <si>
    <t>0231000</t>
  </si>
  <si>
    <t>.       (a) Solanaceae and Malvaceae</t>
  </si>
  <si>
    <t>0231010</t>
  </si>
  <si>
    <t>.           Tomatoes</t>
  </si>
  <si>
    <t>0231020</t>
  </si>
  <si>
    <t>.           Sweet peppers/bell peppers</t>
  </si>
  <si>
    <t>0231030</t>
  </si>
  <si>
    <t>.           Aubergines/eggplants</t>
  </si>
  <si>
    <t>0231040</t>
  </si>
  <si>
    <t>.           Okra/lady's fingers</t>
  </si>
  <si>
    <t>0231990</t>
  </si>
  <si>
    <t>0232000</t>
  </si>
  <si>
    <t>.       (b) cucurbits with edible peel</t>
  </si>
  <si>
    <t>0232010</t>
  </si>
  <si>
    <t>.           Cucumbers</t>
  </si>
  <si>
    <t>0232020</t>
  </si>
  <si>
    <t>.           Gherkins</t>
  </si>
  <si>
    <t>0232030</t>
  </si>
  <si>
    <t>.           Courgettes</t>
  </si>
  <si>
    <t>0232990</t>
  </si>
  <si>
    <t>0233000</t>
  </si>
  <si>
    <t>.       (c) cucurbits with inedible peel</t>
  </si>
  <si>
    <t>0233010</t>
  </si>
  <si>
    <t>.           Melons</t>
  </si>
  <si>
    <t>0233020</t>
  </si>
  <si>
    <t>.           Pumpkins</t>
  </si>
  <si>
    <t>0233030</t>
  </si>
  <si>
    <t>.           Watermelons</t>
  </si>
  <si>
    <t>0233990</t>
  </si>
  <si>
    <t>0234000</t>
  </si>
  <si>
    <t>.       (d) sweet corn</t>
  </si>
  <si>
    <t>0239000</t>
  </si>
  <si>
    <t>.       (e) other fruiting vegetables</t>
  </si>
  <si>
    <t>0240000</t>
  </si>
  <si>
    <t>.     Brassica vegetables (excluding brassica roots and brassica baby leaf crops)</t>
  </si>
  <si>
    <t>0241000</t>
  </si>
  <si>
    <t>.       (a) flowering brassica</t>
  </si>
  <si>
    <t>0241010</t>
  </si>
  <si>
    <t>.           Broccoli</t>
  </si>
  <si>
    <t>0241020</t>
  </si>
  <si>
    <t>.           Cauliflowers</t>
  </si>
  <si>
    <t>0241990</t>
  </si>
  <si>
    <t>0242000</t>
  </si>
  <si>
    <t>.       (b) head brassica</t>
  </si>
  <si>
    <t>0242010</t>
  </si>
  <si>
    <t>.           Brussels sprouts</t>
  </si>
  <si>
    <t>0242020</t>
  </si>
  <si>
    <t>.           Head cabbages</t>
  </si>
  <si>
    <t>0242990</t>
  </si>
  <si>
    <t>0243000</t>
  </si>
  <si>
    <t>.       (c) leafy brassica</t>
  </si>
  <si>
    <t>0243010</t>
  </si>
  <si>
    <t>.           Chinese cabbages/pe-tsai</t>
  </si>
  <si>
    <t>0243020</t>
  </si>
  <si>
    <t>.           Kales</t>
  </si>
  <si>
    <t>0243990</t>
  </si>
  <si>
    <t>0244000</t>
  </si>
  <si>
    <t>.       (d) kohlrabies</t>
  </si>
  <si>
    <t>0250000</t>
  </si>
  <si>
    <t>.     Leaf vegetables, herbs and edible flowers</t>
  </si>
  <si>
    <t>0251000</t>
  </si>
  <si>
    <t>.       (a) lettuces and salad plants</t>
  </si>
  <si>
    <t>0251010</t>
  </si>
  <si>
    <t>.           Lamb's lettuces/corn salads</t>
  </si>
  <si>
    <t>0251020</t>
  </si>
  <si>
    <t>.           Lettuces</t>
  </si>
  <si>
    <t>0251030</t>
  </si>
  <si>
    <t>.           Escaroles/broad-leaved endives</t>
  </si>
  <si>
    <t>0251040</t>
  </si>
  <si>
    <t>.           Cresses and other sprouts and shoots</t>
  </si>
  <si>
    <t>0251050</t>
  </si>
  <si>
    <t>.           Land cresses</t>
  </si>
  <si>
    <t>0251060</t>
  </si>
  <si>
    <t>.           Roman rocket/rucola</t>
  </si>
  <si>
    <t>0251070</t>
  </si>
  <si>
    <t>.           Red mustards</t>
  </si>
  <si>
    <t>0251080</t>
  </si>
  <si>
    <t>.           Baby leaf crops (including brassica species)</t>
  </si>
  <si>
    <t>0251990</t>
  </si>
  <si>
    <t>0252000</t>
  </si>
  <si>
    <t>.       (b) spinaches and similar leaves</t>
  </si>
  <si>
    <t>0252010</t>
  </si>
  <si>
    <t>.           Spinaches</t>
  </si>
  <si>
    <t>0252020</t>
  </si>
  <si>
    <t>.           Purslanes</t>
  </si>
  <si>
    <t>0252030</t>
  </si>
  <si>
    <t>.           Chards/beet leaves</t>
  </si>
  <si>
    <t>0252990</t>
  </si>
  <si>
    <t>0253000</t>
  </si>
  <si>
    <t>.       (c) grape leaves and similar species</t>
  </si>
  <si>
    <t>0254000</t>
  </si>
  <si>
    <t>.       (d) watercresses</t>
  </si>
  <si>
    <t>0255000</t>
  </si>
  <si>
    <t>.       (e) witloofs/Belgian endives</t>
  </si>
  <si>
    <t>0256000</t>
  </si>
  <si>
    <t>.       (f) herbs and edible flowers</t>
  </si>
  <si>
    <t>0256010</t>
  </si>
  <si>
    <t>.           Chervil</t>
  </si>
  <si>
    <t>0256020</t>
  </si>
  <si>
    <t>.           Chives</t>
  </si>
  <si>
    <t>0256030</t>
  </si>
  <si>
    <t>.           Celery leaves</t>
  </si>
  <si>
    <t>0256040</t>
  </si>
  <si>
    <t>.           Parsley</t>
  </si>
  <si>
    <t>0256050</t>
  </si>
  <si>
    <t>.           Sage</t>
  </si>
  <si>
    <t>0256060</t>
  </si>
  <si>
    <t>.           Rosemary</t>
  </si>
  <si>
    <t>0256070</t>
  </si>
  <si>
    <t>.           Thyme</t>
  </si>
  <si>
    <t>0256080</t>
  </si>
  <si>
    <t>.           Basil and edible flowers</t>
  </si>
  <si>
    <t>0256090</t>
  </si>
  <si>
    <t>.           Laurel/bay leaves</t>
  </si>
  <si>
    <t>0256100</t>
  </si>
  <si>
    <t>.           Tarragon</t>
  </si>
  <si>
    <t>0256990</t>
  </si>
  <si>
    <t>0260000</t>
  </si>
  <si>
    <t>.     Legume vegetables</t>
  </si>
  <si>
    <t>0260010</t>
  </si>
  <si>
    <t>.           Beans (with pods)</t>
  </si>
  <si>
    <t>0260020</t>
  </si>
  <si>
    <t>.           Beans (without pods)</t>
  </si>
  <si>
    <t>0260030</t>
  </si>
  <si>
    <t>.           Peas (with pods)</t>
  </si>
  <si>
    <t>0260040</t>
  </si>
  <si>
    <t>.           Peas (without pods)</t>
  </si>
  <si>
    <t>0260050</t>
  </si>
  <si>
    <t>.           Lentils</t>
  </si>
  <si>
    <t>0260990</t>
  </si>
  <si>
    <t>0270000</t>
  </si>
  <si>
    <t>.     Stem vegetables</t>
  </si>
  <si>
    <t>0270010</t>
  </si>
  <si>
    <t>.           Asparagus</t>
  </si>
  <si>
    <t>0270020</t>
  </si>
  <si>
    <t>.           Cardoons</t>
  </si>
  <si>
    <t>0270030</t>
  </si>
  <si>
    <t>.           Celeries</t>
  </si>
  <si>
    <t>0270040</t>
  </si>
  <si>
    <t>.           Florence fennels</t>
  </si>
  <si>
    <t>0270050</t>
  </si>
  <si>
    <t>.           Globe artichokes</t>
  </si>
  <si>
    <t>0270060</t>
  </si>
  <si>
    <t>.           Leeks</t>
  </si>
  <si>
    <t>0270070</t>
  </si>
  <si>
    <t>.           Rhubarbs</t>
  </si>
  <si>
    <t>0270080</t>
  </si>
  <si>
    <t>.           Bamboo shoots</t>
  </si>
  <si>
    <t>0270090</t>
  </si>
  <si>
    <t>.           Palm hearts</t>
  </si>
  <si>
    <t>0270990</t>
  </si>
  <si>
    <t>0280000</t>
  </si>
  <si>
    <t>.     Fungi, mosses and lichens</t>
  </si>
  <si>
    <t>0280010</t>
  </si>
  <si>
    <t>.           Cultivated fungi</t>
  </si>
  <si>
    <t>0280020</t>
  </si>
  <si>
    <t>.           Wild fungi</t>
  </si>
  <si>
    <t>0280990</t>
  </si>
  <si>
    <t>.           Mosses and lichens</t>
  </si>
  <si>
    <t>0290000</t>
  </si>
  <si>
    <t>.     Algae and prokaryotes organisms</t>
  </si>
  <si>
    <t>0300000</t>
  </si>
  <si>
    <t>.   PULSES</t>
  </si>
  <si>
    <t>0300010</t>
  </si>
  <si>
    <t>.           Beans</t>
  </si>
  <si>
    <t>0300020</t>
  </si>
  <si>
    <t>0300030</t>
  </si>
  <si>
    <t>.           Peas</t>
  </si>
  <si>
    <t>0300040</t>
  </si>
  <si>
    <t>.           Lupins/lupini beans</t>
  </si>
  <si>
    <t>0300990</t>
  </si>
  <si>
    <t>0400000</t>
  </si>
  <si>
    <t>.   OILSEEDS AND OIL FRUITS</t>
  </si>
  <si>
    <t>0401000</t>
  </si>
  <si>
    <t>.     Oilseeds</t>
  </si>
  <si>
    <t>0401010</t>
  </si>
  <si>
    <t>.           Linseeds</t>
  </si>
  <si>
    <t>0401020</t>
  </si>
  <si>
    <t>.           Peanuts/groundnuts</t>
  </si>
  <si>
    <t>0401030</t>
  </si>
  <si>
    <t>.           Poppy seeds</t>
  </si>
  <si>
    <t>0401040</t>
  </si>
  <si>
    <t>.           Sesame seeds</t>
  </si>
  <si>
    <t>0401050</t>
  </si>
  <si>
    <t>.           Sunflower seeds</t>
  </si>
  <si>
    <t>0401060</t>
  </si>
  <si>
    <t>.           Rapeseeds/canola seeds</t>
  </si>
  <si>
    <t>0401070</t>
  </si>
  <si>
    <t>.           Soyabeans</t>
  </si>
  <si>
    <t>0401080</t>
  </si>
  <si>
    <t>.           Mustard seeds</t>
  </si>
  <si>
    <t>0401090</t>
  </si>
  <si>
    <t>.           Cotton seeds</t>
  </si>
  <si>
    <t>0401100</t>
  </si>
  <si>
    <t>.           Pumpkin seeds</t>
  </si>
  <si>
    <t>0401110</t>
  </si>
  <si>
    <t>.           Safflower seeds</t>
  </si>
  <si>
    <t>0401120</t>
  </si>
  <si>
    <t>.           Borage seeds</t>
  </si>
  <si>
    <t>0401130</t>
  </si>
  <si>
    <t>.           Gold of pleasure seeds</t>
  </si>
  <si>
    <t>0401140</t>
  </si>
  <si>
    <t>.           Hemp seeds</t>
  </si>
  <si>
    <t>0401150</t>
  </si>
  <si>
    <t>.           Castor beans</t>
  </si>
  <si>
    <t>0401990</t>
  </si>
  <si>
    <t>0402000</t>
  </si>
  <si>
    <t>.     Oil fruits</t>
  </si>
  <si>
    <t>0402010</t>
  </si>
  <si>
    <t>.           Olives for oil production</t>
  </si>
  <si>
    <t>0402020</t>
  </si>
  <si>
    <t>.           Oil palms kernels</t>
  </si>
  <si>
    <t>0402030</t>
  </si>
  <si>
    <t>.           Oil palms fruits</t>
  </si>
  <si>
    <t>0402040</t>
  </si>
  <si>
    <t>.           Kapok</t>
  </si>
  <si>
    <t>0402990</t>
  </si>
  <si>
    <t>0500000</t>
  </si>
  <si>
    <t>.   CEREALS</t>
  </si>
  <si>
    <t>0500010</t>
  </si>
  <si>
    <t>.           Barley</t>
  </si>
  <si>
    <t>0500020</t>
  </si>
  <si>
    <t>.           Buckwheat and other pseudocereals</t>
  </si>
  <si>
    <t>0500030</t>
  </si>
  <si>
    <t>.           Maize/corn</t>
  </si>
  <si>
    <t>0500040</t>
  </si>
  <si>
    <t>.           Common millet/proso millet</t>
  </si>
  <si>
    <t>0500050</t>
  </si>
  <si>
    <t>.           Oat</t>
  </si>
  <si>
    <t>0500060</t>
  </si>
  <si>
    <t>.           Rice</t>
  </si>
  <si>
    <t>0500070</t>
  </si>
  <si>
    <t>.           Rye</t>
  </si>
  <si>
    <t>0500080</t>
  </si>
  <si>
    <t>.           Sorghum</t>
  </si>
  <si>
    <t>0500090</t>
  </si>
  <si>
    <t>.           Wheat</t>
  </si>
  <si>
    <t>0500990</t>
  </si>
  <si>
    <t>0600000</t>
  </si>
  <si>
    <t>.   TEAS, COFFEE, HERBAL INFUSIONS, COCOA AND CAROBS</t>
  </si>
  <si>
    <t>0610000</t>
  </si>
  <si>
    <t>.     Teas</t>
  </si>
  <si>
    <t>0620000</t>
  </si>
  <si>
    <t>.     Coffee beans</t>
  </si>
  <si>
    <t>0630000</t>
  </si>
  <si>
    <t>.     Herbal infusions from</t>
  </si>
  <si>
    <t>0631000</t>
  </si>
  <si>
    <t>.       (a) flowers</t>
  </si>
  <si>
    <t>0631010</t>
  </si>
  <si>
    <t>.           Chamomile</t>
  </si>
  <si>
    <t>0631020</t>
  </si>
  <si>
    <t>.           Hibiscus/roselle</t>
  </si>
  <si>
    <t>0631030</t>
  </si>
  <si>
    <t>.           Rose</t>
  </si>
  <si>
    <t>0631040</t>
  </si>
  <si>
    <t>.           Jasmine</t>
  </si>
  <si>
    <t>0631050</t>
  </si>
  <si>
    <t>.           Lime/linden</t>
  </si>
  <si>
    <t>0631990</t>
  </si>
  <si>
    <t>0632000</t>
  </si>
  <si>
    <t>.       (b) leaves and herbs</t>
  </si>
  <si>
    <t>0632010</t>
  </si>
  <si>
    <t>.           Strawberry</t>
  </si>
  <si>
    <t>0632020</t>
  </si>
  <si>
    <t>.           Rooibos</t>
  </si>
  <si>
    <t>0632030</t>
  </si>
  <si>
    <t>.           Mate/maté</t>
  </si>
  <si>
    <t>0632990</t>
  </si>
  <si>
    <t>0633000</t>
  </si>
  <si>
    <t>.       (c) roots</t>
  </si>
  <si>
    <t>0633010</t>
  </si>
  <si>
    <t>.           Valerian</t>
  </si>
  <si>
    <t>0633020</t>
  </si>
  <si>
    <t>.           Ginseng</t>
  </si>
  <si>
    <t>0633990</t>
  </si>
  <si>
    <t>0639000</t>
  </si>
  <si>
    <t>.       (d) any other parts of the plant</t>
  </si>
  <si>
    <t>0640000</t>
  </si>
  <si>
    <t>.     Cocoa beans</t>
  </si>
  <si>
    <t>0650000</t>
  </si>
  <si>
    <t>.     Carobs/Saint John's breads</t>
  </si>
  <si>
    <t>0700000</t>
  </si>
  <si>
    <t>.   HOPS</t>
  </si>
  <si>
    <t>0800000</t>
  </si>
  <si>
    <t>.   SPICES</t>
  </si>
  <si>
    <t>0810000</t>
  </si>
  <si>
    <t>.     Seed spices</t>
  </si>
  <si>
    <t>0810010</t>
  </si>
  <si>
    <t>.           Anise/aniseed</t>
  </si>
  <si>
    <t>0810020</t>
  </si>
  <si>
    <t>.           Black caraway/black cumin</t>
  </si>
  <si>
    <t>0810030</t>
  </si>
  <si>
    <t>.           Celery</t>
  </si>
  <si>
    <t>0810040</t>
  </si>
  <si>
    <t>.           Coriander</t>
  </si>
  <si>
    <t>0810050</t>
  </si>
  <si>
    <t>.           Cumin</t>
  </si>
  <si>
    <t>0810060</t>
  </si>
  <si>
    <t>.           Dill</t>
  </si>
  <si>
    <t>0810070</t>
  </si>
  <si>
    <t>.           Fennel</t>
  </si>
  <si>
    <t>0810080</t>
  </si>
  <si>
    <t>.           Fenugreek</t>
  </si>
  <si>
    <t>0810090</t>
  </si>
  <si>
    <t>.           Nutmeg</t>
  </si>
  <si>
    <t>0810990</t>
  </si>
  <si>
    <t>0820000</t>
  </si>
  <si>
    <t>.     Fruit spices</t>
  </si>
  <si>
    <t>0820010</t>
  </si>
  <si>
    <t>.           Allspice/pimento</t>
  </si>
  <si>
    <t>0820020</t>
  </si>
  <si>
    <t>.           Sichuan pepper</t>
  </si>
  <si>
    <t>0820030</t>
  </si>
  <si>
    <t>.           Caraway</t>
  </si>
  <si>
    <t>0820040</t>
  </si>
  <si>
    <t>.           Cardamom</t>
  </si>
  <si>
    <t>0820050</t>
  </si>
  <si>
    <t>.           Juniper berry</t>
  </si>
  <si>
    <t>0820060</t>
  </si>
  <si>
    <t>.           Peppercorn (black, green and white)</t>
  </si>
  <si>
    <t>0820070</t>
  </si>
  <si>
    <t>.           Vanilla</t>
  </si>
  <si>
    <t>0820080</t>
  </si>
  <si>
    <t>.           Tamarind</t>
  </si>
  <si>
    <t>0820990</t>
  </si>
  <si>
    <t>0830000</t>
  </si>
  <si>
    <t>.     Bark spices</t>
  </si>
  <si>
    <t>0830010</t>
  </si>
  <si>
    <t>.           Cinnamon</t>
  </si>
  <si>
    <t>0830990</t>
  </si>
  <si>
    <t>0840000</t>
  </si>
  <si>
    <t>.     Root and rhizome spices</t>
  </si>
  <si>
    <t>0840010</t>
  </si>
  <si>
    <t>.           Liquorice</t>
  </si>
  <si>
    <t>0840020</t>
  </si>
  <si>
    <t>.           Ginger (10)</t>
  </si>
  <si>
    <t>0840030</t>
  </si>
  <si>
    <t>.           Turmeric/curcuma</t>
  </si>
  <si>
    <t>0840040</t>
  </si>
  <si>
    <t>.           Horseradish (11)</t>
  </si>
  <si>
    <t>(ft)</t>
  </si>
  <si>
    <t>0840990</t>
  </si>
  <si>
    <t>0850000</t>
  </si>
  <si>
    <t>.     Bud spices</t>
  </si>
  <si>
    <t>0850010</t>
  </si>
  <si>
    <t>.           Cloves</t>
  </si>
  <si>
    <t>0850020</t>
  </si>
  <si>
    <t>.           Capers</t>
  </si>
  <si>
    <t>0850990</t>
  </si>
  <si>
    <t>0860000</t>
  </si>
  <si>
    <t>.     Flower pistil spices</t>
  </si>
  <si>
    <t>0860010</t>
  </si>
  <si>
    <t>.           Saffron</t>
  </si>
  <si>
    <t>0860990</t>
  </si>
  <si>
    <t>0870000</t>
  </si>
  <si>
    <t>.     Aril spices</t>
  </si>
  <si>
    <t>0870010</t>
  </si>
  <si>
    <t>.           Mace</t>
  </si>
  <si>
    <t>0870990</t>
  </si>
  <si>
    <t>0900000</t>
  </si>
  <si>
    <t>.   SUGAR PLANTS</t>
  </si>
  <si>
    <t>0900010</t>
  </si>
  <si>
    <t>.           Sugar beet roots</t>
  </si>
  <si>
    <t>0900020</t>
  </si>
  <si>
    <t>.           Sugar canes</t>
  </si>
  <si>
    <t>0900030</t>
  </si>
  <si>
    <t>.           Chicory roots</t>
  </si>
  <si>
    <t>0900990</t>
  </si>
  <si>
    <t>1000000</t>
  </si>
  <si>
    <t>.   PRODUCTS OF ANIMAL ORIGIN -TERRESTRIAL ANIMALS</t>
  </si>
  <si>
    <t>1010000</t>
  </si>
  <si>
    <t>.     Commodities from</t>
  </si>
  <si>
    <t>1011000</t>
  </si>
  <si>
    <t>.       (a) swine</t>
  </si>
  <si>
    <t>1011010</t>
  </si>
  <si>
    <t>.           Muscle</t>
  </si>
  <si>
    <t>1011020</t>
  </si>
  <si>
    <t>.           Fat</t>
  </si>
  <si>
    <t>1011030</t>
  </si>
  <si>
    <t>.           Liver</t>
  </si>
  <si>
    <t>1011040</t>
  </si>
  <si>
    <t>.           Kidney</t>
  </si>
  <si>
    <t>1011050</t>
  </si>
  <si>
    <t>.           Edible offals (other than liver and kidney)</t>
  </si>
  <si>
    <t>1011990</t>
  </si>
  <si>
    <t>1012000</t>
  </si>
  <si>
    <t>.       (b) bovine</t>
  </si>
  <si>
    <t>1012010</t>
  </si>
  <si>
    <t>1012020</t>
  </si>
  <si>
    <t>1012030</t>
  </si>
  <si>
    <t>1012040</t>
  </si>
  <si>
    <t>1012050</t>
  </si>
  <si>
    <t>1012990</t>
  </si>
  <si>
    <t>1013000</t>
  </si>
  <si>
    <t>.       (c) sheep</t>
  </si>
  <si>
    <t>1013010</t>
  </si>
  <si>
    <t>1013020</t>
  </si>
  <si>
    <t>1013030</t>
  </si>
  <si>
    <t>1013040</t>
  </si>
  <si>
    <t>1013050</t>
  </si>
  <si>
    <t>1013990</t>
  </si>
  <si>
    <t>1014000</t>
  </si>
  <si>
    <t>.       d) goat</t>
  </si>
  <si>
    <t>1014010</t>
  </si>
  <si>
    <t>1014020</t>
  </si>
  <si>
    <t>1014030</t>
  </si>
  <si>
    <t>1014040</t>
  </si>
  <si>
    <t>1014050</t>
  </si>
  <si>
    <t>1014990</t>
  </si>
  <si>
    <t>1015000</t>
  </si>
  <si>
    <t>.       (e) equine</t>
  </si>
  <si>
    <t>1015010</t>
  </si>
  <si>
    <t>1015020</t>
  </si>
  <si>
    <t>1015030</t>
  </si>
  <si>
    <t>1015040</t>
  </si>
  <si>
    <t>1015050</t>
  </si>
  <si>
    <t>1015990</t>
  </si>
  <si>
    <t>1016000</t>
  </si>
  <si>
    <t>.       (f) poultry</t>
  </si>
  <si>
    <t>1016010</t>
  </si>
  <si>
    <t>1016020</t>
  </si>
  <si>
    <t>1016030</t>
  </si>
  <si>
    <t>1016040</t>
  </si>
  <si>
    <t>1016050</t>
  </si>
  <si>
    <t>1016990</t>
  </si>
  <si>
    <t>1017000</t>
  </si>
  <si>
    <t>.       (g) other farmed terrestrial animals</t>
  </si>
  <si>
    <t>1017010</t>
  </si>
  <si>
    <t>1017020</t>
  </si>
  <si>
    <t>1017030</t>
  </si>
  <si>
    <t>1017040</t>
  </si>
  <si>
    <t>1017050</t>
  </si>
  <si>
    <t>1017990</t>
  </si>
  <si>
    <t>1020000</t>
  </si>
  <si>
    <t>.     Milk</t>
  </si>
  <si>
    <t>1020010</t>
  </si>
  <si>
    <t>.           Cattle</t>
  </si>
  <si>
    <t>1020020</t>
  </si>
  <si>
    <t>.           Sheep</t>
  </si>
  <si>
    <t>1020030</t>
  </si>
  <si>
    <t>.           Goat</t>
  </si>
  <si>
    <t>1020040</t>
  </si>
  <si>
    <t>.           Horse</t>
  </si>
  <si>
    <t>1020990</t>
  </si>
  <si>
    <t>1030000</t>
  </si>
  <si>
    <t>.     Birds eggs</t>
  </si>
  <si>
    <t>1030010</t>
  </si>
  <si>
    <t>.           Chicken</t>
  </si>
  <si>
    <t>1030020</t>
  </si>
  <si>
    <t>.           Duck</t>
  </si>
  <si>
    <t>1030030</t>
  </si>
  <si>
    <t>.           Geese</t>
  </si>
  <si>
    <t>1030040</t>
  </si>
  <si>
    <t>.           Quail</t>
  </si>
  <si>
    <t>1030990</t>
  </si>
  <si>
    <t>1040000</t>
  </si>
  <si>
    <t>.     Honey and other apiculture products (7)</t>
  </si>
  <si>
    <t>1050000</t>
  </si>
  <si>
    <t>.     Amphibians and Reptiles</t>
  </si>
  <si>
    <t>1060000</t>
  </si>
  <si>
    <t>.     Terrestrial invertebrate animals</t>
  </si>
  <si>
    <t>1070000</t>
  </si>
  <si>
    <t>.     Wild terrestrial vertebrate animals</t>
  </si>
  <si>
    <t>Length</t>
  </si>
  <si>
    <t>length trimmed 1</t>
  </si>
  <si>
    <t>MRL_text</t>
  </si>
  <si>
    <t>MRL2</t>
  </si>
  <si>
    <t>Code numerical</t>
  </si>
  <si>
    <t>Fat soluble</t>
  </si>
  <si>
    <t xml:space="preserve">Data related to processed food commodities have to be inserted as described below: </t>
  </si>
  <si>
    <t xml:space="preserve">Toddlers </t>
  </si>
  <si>
    <t>(8-20 months)</t>
  </si>
  <si>
    <t>( 2-6 yrs)</t>
  </si>
  <si>
    <t>Gen pop</t>
  </si>
  <si>
    <t xml:space="preserve">(1-97 yrs)   </t>
  </si>
  <si>
    <t>EN name</t>
  </si>
  <si>
    <t>pr</t>
  </si>
  <si>
    <t>processing</t>
  </si>
  <si>
    <t>NL-diet</t>
  </si>
  <si>
    <t>n-tot</t>
  </si>
  <si>
    <t>maize</t>
  </si>
  <si>
    <t>EP</t>
  </si>
  <si>
    <t>OIL EXTRACTION</t>
  </si>
  <si>
    <t>PP</t>
  </si>
  <si>
    <t>WHOLEMEAL BREAD</t>
  </si>
  <si>
    <t>FLOUR (CEREALS)</t>
  </si>
  <si>
    <t>FLAKES</t>
  </si>
  <si>
    <t>POPCORN</t>
  </si>
  <si>
    <t>STARCH (MAIZE)</t>
  </si>
  <si>
    <t>SEC PROCESSING</t>
  </si>
  <si>
    <t>(g/kg bw per day</t>
  </si>
  <si>
    <r>
      <t>TOTAL</t>
    </r>
    <r>
      <rPr>
        <vertAlign val="superscript"/>
        <sz val="9"/>
        <rFont val="Times New Roman"/>
        <family val="1"/>
      </rPr>
      <t xml:space="preserve"> (a) </t>
    </r>
  </si>
  <si>
    <t xml:space="preserve">(a) the value reported in the cell highlighted in yellow is used in the calculation of the long-term exposure. </t>
  </si>
  <si>
    <t>Consumption values listed in appendix III of RIVM report 320005006/2010</t>
  </si>
  <si>
    <t>MRL import</t>
  </si>
  <si>
    <t xml:space="preserve">A new module was included in PRIMo revision 3.1, which facilitates the conversion of MRLs derived from the  EU pesticides database to a format compatible with PRIMo.  The following steps need to be applied: </t>
  </si>
  <si>
    <t xml:space="preserve">1. Select the spreadsheet "MRL import". 
2. Make sure that the relevant sections of the spreadsheet are empty and data from previous sessions are removed. To guarantee a proper functioning of the tool, it is necessary to start from a blank template. It is therefore recommended to use the "Reset function", which can be activated by the macro by clicking on the right blue button on top of the spreadsheet.  </t>
  </si>
  <si>
    <t xml:space="preserve">7. The macro will perform the following actions: 
Copy the MRLs to column E of the spreadsheet "input_values".
Copy the label for LOQs in column F of the spreadsheet "input_values". 
Copy the name of the active substance (or the respective residue definition) to cell D3.
If the residue definition inserted in the header contains the label (F), change the setting in cell L7 to "fat soluble".  </t>
  </si>
  <si>
    <t xml:space="preserve">8. It is recommended to describe the source of the MRL (MRL Regulation) in column D (e.g. existing MRL Reg. (EU) No 1317/2013. For crops where an amendment of the existing MRL is proposed, the existing MRL should be replaced by the new proposed MRL should be inserted (proposed MRL). </t>
  </si>
  <si>
    <t xml:space="preserve">9. For crops where an amendment of the existing MRL is proposed, the existing MRL should be replaced in column E and column D should be updated accordingly. 
Continue as described above. </t>
  </si>
  <si>
    <t xml:space="preserve">5. Copy the MRLs including the header which contains the residue definition in the green array of the MRL import spreadsheet, using the function "Paste Values" (Ctrl+Alt+V). With this, the green cells in the spreadsheet "MRL import" should be filled with the MRLs established under Regulation (EC) No 6396/2005. </t>
  </si>
  <si>
    <t xml:space="preserve">6. To transfer them to the spreadsheet "input_values", click on the button "Copy MRLs to  spreadsheet input_values" which can be found on top of the "MRL import" spreadsheet. 
If a cell contains a value that cannot be processed (unexpected format, unexpected content), you will be prompted by a message box to correct or remove the MRL value. 
Click "OK" and correct the value. 
Click again the button  "Copy MRLs to  spreadsheet input_values".     </t>
  </si>
  <si>
    <t>Please insert here the MRLs of COM database (use 'paste values' function)</t>
  </si>
  <si>
    <t>max, n=3</t>
  </si>
  <si>
    <t>link to MRL database</t>
  </si>
  <si>
    <t xml:space="preserve">4. If the Excel file containing the selected MRLs file is opened with "protected view", enable editing the file by clicking on the  respective button in the yellow line on top of the file. </t>
  </si>
  <si>
    <t xml:space="preserve">3. Select the MRLs of interest in the EU pesticides database and Export the results to Excel. </t>
  </si>
  <si>
    <t xml:space="preserve">EFSA (European Food Safety Authority), 2018. Guidance document on the use of the EFSA Pesticide Residue Intake Model (EFSA PRIMo revision 3). EFSA Journal 2018;16(1):5147, 43 pp, doi:10.2903/j.efsa.2018.5147. </t>
  </si>
  <si>
    <r>
      <t xml:space="preserve">If you want to </t>
    </r>
    <r>
      <rPr>
        <b/>
        <sz val="10"/>
        <rFont val="Arial"/>
        <family val="2"/>
      </rPr>
      <t>insert the input values manually</t>
    </r>
    <r>
      <rPr>
        <sz val="10"/>
        <rFont val="Arial"/>
        <family val="2"/>
      </rPr>
      <t xml:space="preserve">, follow the description below (line 17ff). 
If you want to </t>
    </r>
    <r>
      <rPr>
        <b/>
        <sz val="10"/>
        <rFont val="Arial"/>
        <family val="2"/>
      </rPr>
      <t>copy existing MRLs from COM database</t>
    </r>
    <r>
      <rPr>
        <sz val="10"/>
        <rFont val="Arial"/>
        <family val="2"/>
      </rPr>
      <t>, go to line 51 where you can find the description how to convert the MRLs to a format compatible with PRIMo rev. 3.1.</t>
    </r>
  </si>
  <si>
    <r>
      <t xml:space="preserve">Select the spreadsheet 'input_values' and enter the relevant information in the </t>
    </r>
    <r>
      <rPr>
        <b/>
        <sz val="10"/>
        <rFont val="Arial"/>
        <family val="2"/>
      </rPr>
      <t>green cells</t>
    </r>
    <r>
      <rPr>
        <sz val="10"/>
        <rFont val="Arial"/>
        <family val="2"/>
      </rPr>
      <t xml:space="preserve">. 
</t>
    </r>
  </si>
  <si>
    <t>mg/kg bw</t>
  </si>
  <si>
    <t>Show results for all crops</t>
  </si>
  <si>
    <t>2a</t>
  </si>
  <si>
    <t>2b</t>
  </si>
  <si>
    <t xml:space="preserve">Variability factor for IESTI </t>
  </si>
  <si>
    <t>IESTI mg/kg bw/day</t>
  </si>
  <si>
    <t>IESTI new (mg/kg bw)</t>
  </si>
  <si>
    <t>IESTI new in % ARfD (alternatively % ADI)</t>
  </si>
  <si>
    <t>Threshold residue IESTI (mg/kg)</t>
  </si>
  <si>
    <t>Threshold residue IESTI  new (mg/kg)</t>
  </si>
  <si>
    <t>Unit weight RAC (g)</t>
  </si>
  <si>
    <t>Unit weight, edible portion (g)</t>
  </si>
  <si>
    <t>Large portion ("as consumed") (g/person)</t>
  </si>
  <si>
    <t>Threshold residue IESTI  new
(mg/kg)</t>
  </si>
  <si>
    <t>threshold calculation IESTI ARfD&gt;0</t>
  </si>
  <si>
    <t>threshold calculation IESTI new ARfD&gt;0</t>
  </si>
  <si>
    <t>insert valid entry</t>
  </si>
  <si>
    <t>Soyabeans / soya drink</t>
  </si>
  <si>
    <t>Coconuts / drink</t>
  </si>
  <si>
    <t>EFSA PRIMo revision 3.1; 2019/03/19</t>
  </si>
  <si>
    <t>http://www.efsa.europa.eu/en/supporting/pub/en-1605</t>
  </si>
  <si>
    <t xml:space="preserve">EFSA (European Food Safety Authority), 2019. Technical report on the Pesticide Residue Intake Model- EFSA PRIMo revision 3.1 (update of EFSA PRIMo revision 3). EFSA supporting publication 2019:EN-1605, 15 pp, doi:10.2903/sp.efsa.2019.EN-1605.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</si>
</sst>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
    <numFmt numFmtId="166" formatCode="0.0000"/>
    <numFmt numFmtId="167" formatCode="0.0%"/>
    <numFmt numFmtId="168" formatCode="0.000000"/>
    <numFmt numFmtId="169" formatCode="0.000000000"/>
    <numFmt numFmtId="170" formatCode="General;\-0;;@"/>
    <numFmt numFmtId="171" formatCode="0.000_ ;\-0.000\ "/>
    <numFmt numFmtId="172" formatCode="_-* #,##0.00\ &quot;€&quot;_-;\-* #,##0.00\ &quot;€&quot;_-;_-* &quot;-&quot;??\ &quot;€&quot;_-;_-@_-"/>
    <numFmt numFmtId="173" formatCode="0.00_ ;\-0.00\ "/>
  </numFmts>
  <fonts count="63" x14ac:knownFonts="1">
    <font>
      <sz val="10"/>
      <name val="Arial"/>
    </font>
    <font>
      <sz val="10"/>
      <name val="Arial"/>
      <family val="2"/>
    </font>
    <font>
      <sz val="8"/>
      <name val="Arial"/>
      <family val="2"/>
    </font>
    <font>
      <u/>
      <sz val="10"/>
      <color indexed="12"/>
      <name val="Arial"/>
      <family val="2"/>
    </font>
    <font>
      <sz val="10"/>
      <name val="Arial"/>
      <family val="2"/>
    </font>
    <font>
      <sz val="11"/>
      <name val="Times New Roman"/>
      <family val="1"/>
    </font>
    <font>
      <b/>
      <sz val="10"/>
      <name val="Arial"/>
      <family val="2"/>
    </font>
    <font>
      <sz val="8"/>
      <name val="Arial"/>
      <family val="2"/>
    </font>
    <font>
      <b/>
      <sz val="18"/>
      <name val="Arial"/>
      <family val="2"/>
    </font>
    <font>
      <sz val="9"/>
      <name val="Arial"/>
      <family val="2"/>
    </font>
    <font>
      <b/>
      <sz val="9"/>
      <name val="Arial"/>
      <family val="2"/>
    </font>
    <font>
      <i/>
      <sz val="9"/>
      <name val="Arial"/>
      <family val="2"/>
    </font>
    <font>
      <b/>
      <sz val="14"/>
      <name val="Arial"/>
      <family val="2"/>
    </font>
    <font>
      <b/>
      <sz val="12"/>
      <name val="Arial"/>
      <family val="2"/>
    </font>
    <font>
      <b/>
      <sz val="20"/>
      <name val="Arial"/>
      <family val="2"/>
    </font>
    <font>
      <sz val="12"/>
      <name val="Arial"/>
      <family val="2"/>
    </font>
    <font>
      <sz val="9"/>
      <color indexed="9"/>
      <name val="Arial"/>
      <family val="2"/>
    </font>
    <font>
      <b/>
      <sz val="20"/>
      <color indexed="9"/>
      <name val="Arial"/>
      <family val="2"/>
    </font>
    <font>
      <sz val="10"/>
      <color indexed="81"/>
      <name val="Tahoma"/>
      <family val="2"/>
    </font>
    <font>
      <sz val="10"/>
      <color indexed="8"/>
      <name val="Arial"/>
      <family val="2"/>
    </font>
    <font>
      <u/>
      <sz val="14"/>
      <color indexed="12"/>
      <name val="Arial"/>
      <family val="2"/>
    </font>
    <font>
      <sz val="14"/>
      <name val="Arial"/>
      <family val="2"/>
    </font>
    <font>
      <sz val="9"/>
      <name val="Symbol"/>
      <family val="1"/>
      <charset val="2"/>
    </font>
    <font>
      <b/>
      <sz val="12"/>
      <name val="Symbol"/>
      <family val="1"/>
      <charset val="2"/>
    </font>
    <font>
      <b/>
      <sz val="9"/>
      <color indexed="9"/>
      <name val="Arial"/>
      <family val="2"/>
    </font>
    <font>
      <sz val="9"/>
      <name val="Arial"/>
      <family val="2"/>
    </font>
    <font>
      <sz val="8"/>
      <name val="Arial"/>
      <family val="2"/>
    </font>
    <font>
      <b/>
      <sz val="8"/>
      <name val="Arial"/>
      <family val="2"/>
    </font>
    <font>
      <sz val="16"/>
      <name val="Arial"/>
      <family val="2"/>
    </font>
    <font>
      <sz val="9"/>
      <color theme="0"/>
      <name val="Arial"/>
      <family val="2"/>
    </font>
    <font>
      <b/>
      <sz val="20"/>
      <color theme="0"/>
      <name val="Arial"/>
      <family val="2"/>
    </font>
    <font>
      <sz val="9"/>
      <color theme="1"/>
      <name val="Arial"/>
      <family val="2"/>
    </font>
    <font>
      <b/>
      <sz val="9"/>
      <color theme="0"/>
      <name val="Arial"/>
      <family val="2"/>
    </font>
    <font>
      <sz val="18"/>
      <color rgb="FFFFFFFF"/>
      <name val="Calibri"/>
      <family val="2"/>
    </font>
    <font>
      <b/>
      <sz val="11"/>
      <color theme="4" tint="-0.249977111117893"/>
      <name val="Arial"/>
      <family val="2"/>
    </font>
    <font>
      <sz val="9"/>
      <color rgb="FFFF0000"/>
      <name val="Arial"/>
      <family val="2"/>
    </font>
    <font>
      <sz val="12"/>
      <color rgb="FFFF0000"/>
      <name val="Arial"/>
      <family val="2"/>
    </font>
    <font>
      <b/>
      <sz val="16"/>
      <color theme="0"/>
      <name val="Arial"/>
      <family val="2"/>
    </font>
    <font>
      <sz val="10"/>
      <color theme="0"/>
      <name val="Arial"/>
      <family val="2"/>
    </font>
    <font>
      <b/>
      <vertAlign val="subscript"/>
      <sz val="9"/>
      <color theme="0"/>
      <name val="Arial"/>
      <family val="2"/>
    </font>
    <font>
      <b/>
      <sz val="9"/>
      <color theme="0"/>
      <name val="Arial"/>
      <family val="2"/>
    </font>
    <font>
      <b/>
      <u/>
      <sz val="14"/>
      <name val="Arial"/>
      <family val="2"/>
    </font>
    <font>
      <b/>
      <sz val="9"/>
      <color rgb="FFFFFFFF"/>
      <name val="Arial"/>
      <family val="2"/>
    </font>
    <font>
      <b/>
      <sz val="8"/>
      <color theme="0"/>
      <name val="Arial"/>
      <family val="2"/>
    </font>
    <font>
      <b/>
      <vertAlign val="subscript"/>
      <sz val="8"/>
      <color indexed="9"/>
      <name val="Arial"/>
      <family val="2"/>
    </font>
    <font>
      <b/>
      <sz val="8"/>
      <color indexed="9"/>
      <name val="Arial"/>
      <family val="2"/>
    </font>
    <font>
      <sz val="8"/>
      <color theme="0"/>
      <name val="Arial"/>
      <family val="2"/>
    </font>
    <font>
      <sz val="8"/>
      <color theme="1"/>
      <name val="Arial"/>
      <family val="2"/>
    </font>
    <font>
      <b/>
      <u/>
      <sz val="14"/>
      <color indexed="12"/>
      <name val="Arial"/>
      <family val="2"/>
    </font>
    <font>
      <sz val="8"/>
      <name val="Tahoma"/>
      <family val="2"/>
    </font>
    <font>
      <b/>
      <sz val="8"/>
      <name val="Tahoma"/>
      <family val="2"/>
    </font>
    <font>
      <sz val="9"/>
      <color indexed="81"/>
      <name val="Tahoma"/>
      <family val="2"/>
    </font>
    <font>
      <b/>
      <sz val="9"/>
      <color indexed="81"/>
      <name val="Tahoma"/>
      <family val="2"/>
    </font>
    <font>
      <b/>
      <vertAlign val="superscript"/>
      <sz val="12"/>
      <name val="Arial"/>
      <family val="2"/>
    </font>
    <font>
      <b/>
      <sz val="16"/>
      <name val="Arial"/>
      <family val="2"/>
    </font>
    <font>
      <b/>
      <vertAlign val="superscript"/>
      <sz val="8"/>
      <name val="Tahoma"/>
      <family val="2"/>
    </font>
    <font>
      <sz val="11"/>
      <name val="Calibri"/>
      <family val="2"/>
    </font>
    <font>
      <sz val="9"/>
      <name val="Tahoma"/>
      <family val="2"/>
    </font>
    <font>
      <vertAlign val="subscript"/>
      <sz val="10"/>
      <name val="Arial"/>
      <family val="2"/>
    </font>
    <font>
      <sz val="7"/>
      <name val="Arial"/>
      <family val="2"/>
    </font>
    <font>
      <sz val="12"/>
      <name val="Times New Roman"/>
      <family val="1"/>
    </font>
    <font>
      <sz val="9"/>
      <name val="Times New Roman"/>
      <family val="1"/>
    </font>
    <font>
      <vertAlign val="superscript"/>
      <sz val="9"/>
      <name val="Times New Roman"/>
      <family val="1"/>
    </font>
  </fonts>
  <fills count="49">
    <fill>
      <patternFill patternType="none"/>
    </fill>
    <fill>
      <patternFill patternType="gray125"/>
    </fill>
    <fill>
      <patternFill patternType="solid">
        <fgColor indexed="49"/>
        <bgColor indexed="64"/>
      </patternFill>
    </fill>
    <fill>
      <patternFill patternType="solid">
        <fgColor indexed="41"/>
        <bgColor indexed="47"/>
      </patternFill>
    </fill>
    <fill>
      <patternFill patternType="solid">
        <fgColor indexed="41"/>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65"/>
        <bgColor indexed="64"/>
      </patternFill>
    </fill>
    <fill>
      <patternFill patternType="solid">
        <fgColor indexed="15"/>
        <bgColor indexed="9"/>
      </patternFill>
    </fill>
    <fill>
      <patternFill patternType="solid">
        <fgColor indexed="10"/>
        <bgColor indexed="64"/>
      </patternFill>
    </fill>
    <fill>
      <patternFill patternType="solid">
        <fgColor indexed="22"/>
        <bgColor indexed="9"/>
      </patternFill>
    </fill>
    <fill>
      <patternFill patternType="solid">
        <fgColor indexed="43"/>
        <bgColor indexed="64"/>
      </patternFill>
    </fill>
    <fill>
      <patternFill patternType="solid">
        <fgColor indexed="48"/>
        <bgColor indexed="64"/>
      </patternFill>
    </fill>
    <fill>
      <patternFill patternType="solid">
        <fgColor indexed="22"/>
        <bgColor indexed="47"/>
      </patternFill>
    </fill>
    <fill>
      <patternFill patternType="solid">
        <fgColor indexed="42"/>
        <bgColor indexed="64"/>
      </patternFill>
    </fill>
    <fill>
      <patternFill patternType="solid">
        <fgColor theme="0"/>
        <bgColor indexed="64"/>
      </patternFill>
    </fill>
    <fill>
      <patternFill patternType="solid">
        <fgColor rgb="FF009999"/>
        <bgColor indexed="64"/>
      </patternFill>
    </fill>
    <fill>
      <patternFill patternType="solid">
        <fgColor rgb="FF33CCCC"/>
        <bgColor indexed="9"/>
      </patternFill>
    </fill>
    <fill>
      <patternFill patternType="solid">
        <fgColor rgb="FF006666"/>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9"/>
      </patternFill>
    </fill>
    <fill>
      <patternFill patternType="solid">
        <fgColor theme="0" tint="-0.14999847407452621"/>
        <bgColor indexed="64"/>
      </patternFill>
    </fill>
    <fill>
      <patternFill patternType="solid">
        <fgColor rgb="FFCCFFCC"/>
        <bgColor indexed="64"/>
      </patternFill>
    </fill>
    <fill>
      <patternFill patternType="solid">
        <fgColor theme="3" tint="0.39997558519241921"/>
        <bgColor indexed="64"/>
      </patternFill>
    </fill>
    <fill>
      <patternFill patternType="solid">
        <fgColor rgb="FF339966"/>
        <bgColor indexed="64"/>
      </patternFill>
    </fill>
    <fill>
      <patternFill patternType="solid">
        <fgColor theme="0" tint="-0.249977111117893"/>
        <bgColor indexed="9"/>
      </patternFill>
    </fill>
    <fill>
      <patternFill patternType="solid">
        <fgColor theme="3" tint="0.59999389629810485"/>
        <bgColor indexed="64"/>
      </patternFill>
    </fill>
    <fill>
      <patternFill patternType="solid">
        <fgColor theme="0" tint="-0.14999847407452621"/>
        <bgColor indexed="9"/>
      </patternFill>
    </fill>
    <fill>
      <patternFill patternType="solid">
        <fgColor theme="0" tint="-0.14999847407452621"/>
        <bgColor indexed="47"/>
      </patternFill>
    </fill>
    <fill>
      <patternFill patternType="solid">
        <fgColor rgb="FF33CC33"/>
        <bgColor indexed="64"/>
      </patternFill>
    </fill>
    <fill>
      <patternFill patternType="solid">
        <fgColor rgb="FF008080"/>
        <bgColor indexed="64"/>
      </patternFill>
    </fill>
    <fill>
      <patternFill patternType="solid">
        <fgColor rgb="FF66FF33"/>
        <bgColor indexed="64"/>
      </patternFill>
    </fill>
    <fill>
      <patternFill patternType="solid">
        <fgColor theme="0"/>
        <bgColor indexed="47"/>
      </patternFill>
    </fill>
    <fill>
      <patternFill patternType="solid">
        <fgColor rgb="FF00FF00"/>
        <bgColor indexed="64"/>
      </patternFill>
    </fill>
    <fill>
      <patternFill patternType="solid">
        <fgColor rgb="FF008080"/>
        <bgColor rgb="FF000000"/>
      </patternFill>
    </fill>
    <fill>
      <patternFill patternType="solid">
        <fgColor rgb="FFFFFFCC"/>
        <bgColor indexed="64"/>
      </patternFill>
    </fill>
    <fill>
      <patternFill patternType="solid">
        <fgColor rgb="FFFF0000"/>
        <bgColor indexed="64"/>
      </patternFill>
    </fill>
    <fill>
      <patternFill patternType="solid">
        <fgColor theme="4"/>
        <bgColor indexed="64"/>
      </patternFill>
    </fill>
    <fill>
      <patternFill patternType="solid">
        <fgColor rgb="FF00CC99"/>
        <bgColor indexed="64"/>
      </patternFill>
    </fill>
    <fill>
      <patternFill patternType="solid">
        <fgColor rgb="FF00CC00"/>
        <bgColor indexed="64"/>
      </patternFill>
    </fill>
    <fill>
      <patternFill patternType="solid">
        <fgColor rgb="FFF2F2F2"/>
        <bgColor indexed="64"/>
      </patternFill>
    </fill>
    <fill>
      <patternFill patternType="solid">
        <fgColor rgb="FFFFFF00"/>
        <bgColor indexed="64"/>
      </patternFill>
    </fill>
    <fill>
      <patternFill patternType="solid">
        <fgColor theme="4" tint="0.59999389629810485"/>
        <bgColor theme="4" tint="0.59999389629810485"/>
      </patternFill>
    </fill>
    <fill>
      <patternFill patternType="solid">
        <fgColor rgb="FF0066FF"/>
        <bgColor indexed="64"/>
      </patternFill>
    </fill>
    <fill>
      <patternFill patternType="solid">
        <fgColor rgb="FFCCFFFF"/>
        <bgColor indexed="64"/>
      </patternFill>
    </fill>
    <fill>
      <patternFill patternType="solid">
        <fgColor rgb="FF00CC66"/>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theme="0" tint="-0.14999847407452621"/>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theme="0"/>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indexed="64"/>
      </bottom>
      <diagonal/>
    </border>
    <border>
      <left style="thin">
        <color theme="0" tint="-0.14999847407452621"/>
      </left>
      <right style="thin">
        <color theme="0" tint="-0.14999847407452621"/>
      </right>
      <top/>
      <bottom style="thin">
        <color theme="0" tint="-0.14999847407452621"/>
      </bottom>
      <diagonal/>
    </border>
    <border>
      <left/>
      <right/>
      <top style="thick">
        <color indexed="64"/>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ck">
        <color indexed="64"/>
      </bottom>
      <diagonal/>
    </border>
    <border>
      <left/>
      <right/>
      <top style="thick">
        <color indexed="64"/>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ck">
        <color indexed="64"/>
      </bottom>
      <diagonal/>
    </border>
    <border>
      <left/>
      <right style="thin">
        <color theme="0" tint="-0.14999847407452621"/>
      </right>
      <top style="thick">
        <color indexed="64"/>
      </top>
      <bottom/>
      <diagonal/>
    </border>
    <border>
      <left/>
      <right style="thin">
        <color theme="0" tint="-0.14999847407452621"/>
      </right>
      <top/>
      <bottom style="thick">
        <color indexed="64"/>
      </bottom>
      <diagonal/>
    </border>
    <border>
      <left style="thin">
        <color theme="0" tint="-0.14999847407452621"/>
      </left>
      <right style="thin">
        <color theme="0" tint="-0.14999847407452621"/>
      </right>
      <top style="thick">
        <color indexed="64"/>
      </top>
      <bottom/>
      <diagonal/>
    </border>
    <border>
      <left style="thin">
        <color theme="0" tint="-0.14999847407452621"/>
      </left>
      <right style="thin">
        <color theme="0" tint="-0.14999847407452621"/>
      </right>
      <top/>
      <bottom style="thick">
        <color indexed="64"/>
      </bottom>
      <diagonal/>
    </border>
    <border>
      <left style="thin">
        <color theme="0" tint="-0.14999847407452621"/>
      </left>
      <right/>
      <top style="thick">
        <color indexed="64"/>
      </top>
      <bottom style="thin">
        <color theme="0" tint="-0.14999847407452621"/>
      </bottom>
      <diagonal/>
    </border>
    <border>
      <left/>
      <right style="thin">
        <color theme="0" tint="-0.14999847407452621"/>
      </right>
      <top style="thick">
        <color indexed="64"/>
      </top>
      <bottom style="thin">
        <color theme="0" tint="-0.14999847407452621"/>
      </bottom>
      <diagonal/>
    </border>
    <border>
      <left style="thin">
        <color theme="0" tint="-0.14999847407452621"/>
      </left>
      <right style="thin">
        <color theme="0" tint="-0.14999847407452621"/>
      </right>
      <top style="thin">
        <color theme="0" tint="-0.14999847407452621"/>
      </top>
      <bottom style="thick">
        <color indexed="64"/>
      </bottom>
      <diagonal/>
    </border>
    <border>
      <left style="thin">
        <color theme="0"/>
      </left>
      <right style="thin">
        <color theme="0"/>
      </right>
      <top style="thin">
        <color indexed="64"/>
      </top>
      <bottom style="thin">
        <color indexed="64"/>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bottom/>
      <diagonal/>
    </border>
    <border>
      <left style="thin">
        <color indexed="0"/>
      </left>
      <right/>
      <top/>
      <bottom/>
      <diagonal/>
    </border>
    <border>
      <left style="thin">
        <color indexed="64"/>
      </left>
      <right style="thin">
        <color indexed="64"/>
      </right>
      <top style="thin">
        <color indexed="64"/>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style="thin">
        <color indexed="0"/>
      </top>
      <bottom style="thin">
        <color indexed="64"/>
      </bottom>
      <diagonal/>
    </border>
  </borders>
  <cellStyleXfs count="13">
    <xf numFmtId="0" fontId="0" fillId="0" borderId="0"/>
    <xf numFmtId="0" fontId="3" fillId="0" borderId="0" applyNumberFormat="0" applyFill="0" applyBorder="0" applyAlignment="0" applyProtection="0">
      <alignment vertical="top"/>
      <protection locked="0"/>
    </xf>
    <xf numFmtId="0" fontId="19" fillId="0" borderId="0"/>
    <xf numFmtId="0" fontId="4" fillId="0" borderId="0"/>
    <xf numFmtId="0" fontId="4" fillId="0" borderId="0"/>
    <xf numFmtId="0" fontId="5" fillId="0" borderId="0"/>
    <xf numFmtId="9" fontId="1" fillId="0" borderId="0" applyFont="0" applyFill="0" applyBorder="0" applyAlignment="0" applyProtection="0"/>
    <xf numFmtId="0" fontId="1" fillId="0" borderId="0"/>
    <xf numFmtId="172" fontId="1" fillId="0" borderId="0" applyFont="0" applyFill="0" applyBorder="0" applyAlignment="0" applyProtection="0"/>
    <xf numFmtId="0" fontId="1"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cellStyleXfs>
  <cellXfs count="1686">
    <xf numFmtId="0" fontId="0" fillId="0" borderId="0" xfId="0"/>
    <xf numFmtId="0" fontId="9" fillId="2" borderId="1" xfId="0" applyFont="1" applyFill="1" applyBorder="1" applyAlignment="1">
      <alignment vertical="top"/>
    </xf>
    <xf numFmtId="0" fontId="9" fillId="2" borderId="1" xfId="0" applyFont="1" applyFill="1" applyBorder="1" applyAlignment="1">
      <alignment horizontal="left" vertical="top" wrapText="1"/>
    </xf>
    <xf numFmtId="0" fontId="9" fillId="3" borderId="1" xfId="0" applyFont="1" applyFill="1" applyBorder="1" applyAlignment="1">
      <alignment horizontal="left" vertical="top" wrapText="1"/>
    </xf>
    <xf numFmtId="165" fontId="9" fillId="3" borderId="1" xfId="0" applyNumberFormat="1" applyFont="1" applyFill="1" applyBorder="1" applyAlignment="1">
      <alignment horizontal="right" vertical="top" wrapText="1"/>
    </xf>
    <xf numFmtId="0" fontId="9" fillId="4" borderId="1" xfId="0" applyFont="1" applyFill="1" applyBorder="1" applyAlignment="1">
      <alignment horizontal="left" vertical="top" wrapText="1"/>
    </xf>
    <xf numFmtId="165" fontId="9" fillId="4" borderId="1" xfId="0" applyNumberFormat="1" applyFont="1" applyFill="1" applyBorder="1" applyAlignment="1">
      <alignment horizontal="right" vertical="top" wrapText="1"/>
    </xf>
    <xf numFmtId="0" fontId="9" fillId="5" borderId="1" xfId="0" applyFont="1" applyFill="1" applyBorder="1" applyAlignment="1">
      <alignment horizontal="left" vertical="top" wrapText="1"/>
    </xf>
    <xf numFmtId="0" fontId="9" fillId="6" borderId="1" xfId="0" applyFont="1" applyFill="1" applyBorder="1" applyAlignment="1">
      <alignment horizontal="left" vertical="top" wrapText="1"/>
    </xf>
    <xf numFmtId="165" fontId="9" fillId="6" borderId="1" xfId="0" applyNumberFormat="1" applyFont="1" applyFill="1" applyBorder="1" applyAlignment="1">
      <alignment horizontal="right" vertical="top" wrapText="1"/>
    </xf>
    <xf numFmtId="0" fontId="9" fillId="7" borderId="1" xfId="0" applyFont="1" applyFill="1" applyBorder="1" applyAlignment="1">
      <alignment vertical="top"/>
    </xf>
    <xf numFmtId="0" fontId="9" fillId="8" borderId="0" xfId="0" applyFont="1" applyFill="1" applyAlignment="1">
      <alignment vertical="top"/>
    </xf>
    <xf numFmtId="166" fontId="9" fillId="8" borderId="0" xfId="0" applyNumberFormat="1" applyFont="1" applyFill="1"/>
    <xf numFmtId="0" fontId="9" fillId="8" borderId="0" xfId="0" applyFont="1" applyFill="1"/>
    <xf numFmtId="0" fontId="10" fillId="8" borderId="0" xfId="5" applyFont="1" applyFill="1" applyAlignment="1">
      <alignment horizontal="left" vertical="top"/>
    </xf>
    <xf numFmtId="0" fontId="9" fillId="8" borderId="0" xfId="5" applyFont="1" applyFill="1" applyAlignment="1">
      <alignment horizontal="left" vertical="top"/>
    </xf>
    <xf numFmtId="0" fontId="10" fillId="8" borderId="0" xfId="4" applyFont="1" applyFill="1" applyAlignment="1">
      <alignment horizontal="left" vertical="top"/>
    </xf>
    <xf numFmtId="0" fontId="9" fillId="8" borderId="0" xfId="4" applyFont="1" applyFill="1" applyAlignment="1">
      <alignment horizontal="left" vertical="top" wrapText="1"/>
    </xf>
    <xf numFmtId="0" fontId="10" fillId="8" borderId="0" xfId="4" applyFont="1" applyFill="1" applyAlignment="1">
      <alignment horizontal="center" vertical="top" wrapText="1"/>
    </xf>
    <xf numFmtId="0" fontId="10" fillId="8" borderId="0" xfId="4" applyFont="1" applyFill="1" applyAlignment="1">
      <alignment vertical="top"/>
    </xf>
    <xf numFmtId="3" fontId="9" fillId="8" borderId="0" xfId="4" applyNumberFormat="1" applyFont="1" applyFill="1" applyAlignment="1">
      <alignment horizontal="left" vertical="top" wrapText="1"/>
    </xf>
    <xf numFmtId="0" fontId="9" fillId="8" borderId="1" xfId="0" applyFont="1" applyFill="1" applyBorder="1" applyAlignment="1">
      <alignment vertical="top"/>
    </xf>
    <xf numFmtId="0" fontId="9" fillId="8" borderId="1" xfId="0" applyFont="1" applyFill="1" applyBorder="1" applyAlignment="1">
      <alignment horizontal="center" vertical="top" wrapText="1"/>
    </xf>
    <xf numFmtId="0" fontId="9" fillId="8" borderId="1" xfId="0" applyFont="1" applyFill="1" applyBorder="1" applyAlignment="1">
      <alignment horizontal="left" vertical="top" wrapText="1"/>
    </xf>
    <xf numFmtId="0" fontId="9" fillId="9" borderId="1" xfId="0" applyFont="1" applyFill="1" applyBorder="1" applyAlignment="1">
      <alignment horizontal="left" vertical="top" wrapText="1"/>
    </xf>
    <xf numFmtId="165" fontId="9" fillId="8" borderId="1" xfId="0" applyNumberFormat="1" applyFont="1" applyFill="1" applyBorder="1" applyAlignment="1">
      <alignment horizontal="right" vertical="top" wrapText="1"/>
    </xf>
    <xf numFmtId="0" fontId="9" fillId="8" borderId="1" xfId="0" applyFont="1" applyFill="1" applyBorder="1" applyAlignment="1">
      <alignment horizontal="justify"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0" xfId="0" applyFont="1"/>
    <xf numFmtId="0" fontId="9" fillId="10" borderId="0" xfId="0" applyFont="1" applyFill="1"/>
    <xf numFmtId="166" fontId="9" fillId="8" borderId="1" xfId="0" applyNumberFormat="1" applyFont="1" applyFill="1" applyBorder="1" applyAlignment="1">
      <alignment horizontal="right" vertical="top" wrapText="1"/>
    </xf>
    <xf numFmtId="166" fontId="17" fillId="10" borderId="2" xfId="0" applyNumberFormat="1" applyFont="1" applyFill="1" applyBorder="1" applyAlignment="1">
      <alignment vertical="top"/>
    </xf>
    <xf numFmtId="164" fontId="9" fillId="8" borderId="0" xfId="0" applyNumberFormat="1" applyFont="1" applyFill="1"/>
    <xf numFmtId="164" fontId="9" fillId="8" borderId="0" xfId="0" applyNumberFormat="1" applyFont="1" applyFill="1" applyAlignment="1">
      <alignment vertical="top"/>
    </xf>
    <xf numFmtId="164" fontId="10" fillId="8" borderId="0" xfId="4" applyNumberFormat="1" applyFont="1" applyFill="1" applyAlignment="1">
      <alignment vertical="top"/>
    </xf>
    <xf numFmtId="166" fontId="9" fillId="0" borderId="0" xfId="0" applyNumberFormat="1" applyFont="1"/>
    <xf numFmtId="165" fontId="9" fillId="16" borderId="1" xfId="0" applyNumberFormat="1" applyFont="1" applyFill="1" applyBorder="1" applyAlignment="1">
      <alignment horizontal="right" vertical="top" wrapText="1"/>
    </xf>
    <xf numFmtId="0" fontId="9" fillId="5" borderId="1" xfId="0" applyFont="1" applyFill="1" applyBorder="1" applyAlignment="1">
      <alignment horizontal="center" vertical="top" wrapText="1"/>
    </xf>
    <xf numFmtId="0" fontId="9" fillId="8" borderId="3" xfId="0" applyFont="1" applyFill="1" applyBorder="1" applyAlignment="1">
      <alignment vertical="top"/>
    </xf>
    <xf numFmtId="165" fontId="9" fillId="16" borderId="1" xfId="0" applyNumberFormat="1" applyFont="1" applyFill="1" applyBorder="1" applyAlignment="1">
      <alignment vertical="top" wrapText="1"/>
    </xf>
    <xf numFmtId="165" fontId="9" fillId="17" borderId="1" xfId="0" applyNumberFormat="1" applyFont="1" applyFill="1" applyBorder="1" applyAlignment="1">
      <alignment horizontal="right" vertical="top" wrapText="1"/>
    </xf>
    <xf numFmtId="165" fontId="9" fillId="18" borderId="1" xfId="0" applyNumberFormat="1" applyFont="1" applyFill="1" applyBorder="1" applyAlignment="1">
      <alignment horizontal="right" vertical="top" wrapText="1"/>
    </xf>
    <xf numFmtId="0" fontId="9" fillId="0" borderId="0" xfId="0" applyFont="1" applyAlignment="1">
      <alignment vertical="top"/>
    </xf>
    <xf numFmtId="164" fontId="9" fillId="8" borderId="1" xfId="0" applyNumberFormat="1" applyFont="1" applyFill="1" applyBorder="1"/>
    <xf numFmtId="164" fontId="9" fillId="0" borderId="1" xfId="0" applyNumberFormat="1" applyFont="1" applyBorder="1"/>
    <xf numFmtId="0" fontId="9" fillId="8" borderId="0" xfId="0" applyFont="1" applyFill="1" applyAlignment="1">
      <alignment horizontal="center"/>
    </xf>
    <xf numFmtId="0" fontId="9" fillId="21" borderId="1" xfId="0" applyFont="1" applyFill="1" applyBorder="1" applyAlignment="1">
      <alignment horizontal="center" vertical="top" wrapText="1"/>
    </xf>
    <xf numFmtId="166" fontId="9" fillId="3" borderId="1" xfId="0" applyNumberFormat="1" applyFont="1" applyFill="1" applyBorder="1" applyAlignment="1">
      <alignment horizontal="right" vertical="top" wrapText="1"/>
    </xf>
    <xf numFmtId="166" fontId="9" fillId="4" borderId="1" xfId="0" applyNumberFormat="1" applyFont="1" applyFill="1" applyBorder="1" applyAlignment="1">
      <alignment horizontal="right" vertical="top" wrapText="1"/>
    </xf>
    <xf numFmtId="166" fontId="9" fillId="0" borderId="1" xfId="0" applyNumberFormat="1" applyFont="1" applyBorder="1" applyAlignment="1">
      <alignment horizontal="right" vertical="top" wrapText="1"/>
    </xf>
    <xf numFmtId="0" fontId="9" fillId="7" borderId="1" xfId="0" applyFont="1" applyFill="1" applyBorder="1" applyAlignment="1">
      <alignment horizontal="left" vertical="top"/>
    </xf>
    <xf numFmtId="0" fontId="24" fillId="10" borderId="0" xfId="0" applyFont="1" applyFill="1"/>
    <xf numFmtId="166" fontId="24" fillId="10" borderId="2" xfId="0" applyNumberFormat="1" applyFont="1" applyFill="1" applyBorder="1" applyAlignment="1">
      <alignment vertical="top"/>
    </xf>
    <xf numFmtId="166" fontId="9" fillId="2" borderId="1" xfId="0" applyNumberFormat="1" applyFont="1" applyFill="1" applyBorder="1" applyAlignment="1">
      <alignment horizontal="right" vertical="top" wrapText="1"/>
    </xf>
    <xf numFmtId="166" fontId="9" fillId="9" borderId="1" xfId="0" applyNumberFormat="1" applyFont="1" applyFill="1" applyBorder="1" applyAlignment="1">
      <alignment horizontal="right" vertical="top" wrapText="1"/>
    </xf>
    <xf numFmtId="166" fontId="9" fillId="7" borderId="1" xfId="0" applyNumberFormat="1" applyFont="1" applyFill="1" applyBorder="1" applyAlignment="1">
      <alignment horizontal="right" vertical="top"/>
    </xf>
    <xf numFmtId="2" fontId="20" fillId="0" borderId="0" xfId="1" applyNumberFormat="1" applyFont="1" applyProtection="1">
      <alignment vertical="top"/>
    </xf>
    <xf numFmtId="165" fontId="9" fillId="16" borderId="0" xfId="0" applyNumberFormat="1" applyFont="1" applyFill="1" applyAlignment="1">
      <alignment vertical="top" wrapText="1"/>
    </xf>
    <xf numFmtId="165" fontId="9" fillId="16" borderId="0" xfId="0" applyNumberFormat="1" applyFont="1" applyFill="1" applyAlignment="1">
      <alignment horizontal="right" vertical="top" wrapText="1"/>
    </xf>
    <xf numFmtId="165" fontId="25" fillId="16" borderId="0" xfId="0" applyNumberFormat="1" applyFont="1" applyFill="1" applyAlignment="1">
      <alignment vertical="top" wrapText="1"/>
    </xf>
    <xf numFmtId="165" fontId="25" fillId="16" borderId="0" xfId="0" applyNumberFormat="1" applyFont="1" applyFill="1" applyAlignment="1">
      <alignment horizontal="right" vertical="top" wrapText="1"/>
    </xf>
    <xf numFmtId="165" fontId="25" fillId="16" borderId="0" xfId="0" applyNumberFormat="1" applyFont="1" applyFill="1" applyAlignment="1">
      <alignment horizontal="center" vertical="top" wrapText="1"/>
    </xf>
    <xf numFmtId="165" fontId="9" fillId="23" borderId="0" xfId="0" applyNumberFormat="1" applyFont="1" applyFill="1" applyAlignment="1">
      <alignment horizontal="center" vertical="top" wrapText="1"/>
    </xf>
    <xf numFmtId="0" fontId="9" fillId="0" borderId="1" xfId="0" quotePrefix="1" applyFont="1" applyBorder="1" applyAlignment="1">
      <alignment horizontal="center" vertical="top" wrapText="1"/>
    </xf>
    <xf numFmtId="2" fontId="9" fillId="25" borderId="11" xfId="0" applyNumberFormat="1" applyFont="1" applyFill="1" applyBorder="1" applyAlignment="1" applyProtection="1">
      <alignment horizontal="right" vertical="top" wrapText="1"/>
      <protection locked="0"/>
    </xf>
    <xf numFmtId="0" fontId="9" fillId="6" borderId="3" xfId="0" applyFont="1" applyFill="1" applyBorder="1" applyAlignment="1">
      <alignment vertical="top"/>
    </xf>
    <xf numFmtId="0" fontId="9" fillId="7" borderId="6" xfId="0" applyFont="1" applyFill="1" applyBorder="1" applyAlignment="1">
      <alignment vertical="top"/>
    </xf>
    <xf numFmtId="0" fontId="9" fillId="7" borderId="13" xfId="0" applyFont="1" applyFill="1" applyBorder="1" applyAlignment="1">
      <alignment vertical="top"/>
    </xf>
    <xf numFmtId="0" fontId="9" fillId="7" borderId="13" xfId="0" applyFont="1" applyFill="1" applyBorder="1" applyAlignment="1">
      <alignment horizontal="left" vertical="top"/>
    </xf>
    <xf numFmtId="2" fontId="9" fillId="25" borderId="4" xfId="0" applyNumberFormat="1" applyFont="1" applyFill="1" applyBorder="1" applyAlignment="1" applyProtection="1">
      <alignment horizontal="right" vertical="top" wrapText="1"/>
      <protection locked="0"/>
    </xf>
    <xf numFmtId="0" fontId="29" fillId="0" borderId="0" xfId="0" applyFont="1"/>
    <xf numFmtId="0" fontId="9" fillId="0" borderId="2" xfId="0" applyFont="1" applyBorder="1"/>
    <xf numFmtId="0" fontId="10" fillId="0" borderId="7" xfId="0" applyFont="1" applyBorder="1" applyAlignment="1">
      <alignment wrapText="1"/>
    </xf>
    <xf numFmtId="1" fontId="9" fillId="0" borderId="8" xfId="0" applyNumberFormat="1" applyFont="1" applyBorder="1"/>
    <xf numFmtId="14" fontId="30" fillId="19" borderId="0" xfId="4" applyNumberFormat="1" applyFont="1" applyFill="1" applyAlignment="1">
      <alignment horizontal="center" vertical="top"/>
    </xf>
    <xf numFmtId="0" fontId="10" fillId="8" borderId="0" xfId="0" applyFont="1" applyFill="1" applyAlignment="1">
      <alignment horizontal="center" vertical="top"/>
    </xf>
    <xf numFmtId="164" fontId="9" fillId="8" borderId="0" xfId="0" applyNumberFormat="1" applyFont="1" applyFill="1" applyAlignment="1">
      <alignment horizontal="center"/>
    </xf>
    <xf numFmtId="0" fontId="9" fillId="17" borderId="1" xfId="0" applyFont="1" applyFill="1" applyBorder="1" applyAlignment="1">
      <alignment horizontal="center" vertical="top"/>
    </xf>
    <xf numFmtId="0" fontId="9" fillId="18" borderId="1" xfId="0" applyFont="1" applyFill="1" applyBorder="1" applyAlignment="1">
      <alignment horizontal="center" vertical="top" wrapText="1"/>
    </xf>
    <xf numFmtId="0" fontId="9" fillId="3" borderId="1" xfId="0" applyFont="1" applyFill="1" applyBorder="1" applyAlignment="1">
      <alignment horizontal="center" vertical="top" wrapText="1"/>
    </xf>
    <xf numFmtId="0" fontId="9" fillId="17" borderId="1" xfId="0" applyFont="1" applyFill="1" applyBorder="1" applyAlignment="1">
      <alignment horizontal="center" vertical="top" wrapText="1"/>
    </xf>
    <xf numFmtId="0" fontId="9" fillId="4" borderId="1" xfId="0" applyFont="1" applyFill="1" applyBorder="1" applyAlignment="1">
      <alignment horizontal="center" vertical="top" wrapText="1"/>
    </xf>
    <xf numFmtId="0" fontId="9" fillId="7" borderId="13" xfId="0" applyFont="1" applyFill="1" applyBorder="1" applyAlignment="1">
      <alignment horizontal="center" vertical="top"/>
    </xf>
    <xf numFmtId="0" fontId="9" fillId="0" borderId="0" xfId="0" applyFont="1" applyAlignment="1">
      <alignment horizontal="center"/>
    </xf>
    <xf numFmtId="0" fontId="9" fillId="10" borderId="0" xfId="0" applyFont="1" applyFill="1" applyAlignment="1">
      <alignment horizontal="center"/>
    </xf>
    <xf numFmtId="0" fontId="9" fillId="7" borderId="1" xfId="0" applyFont="1" applyFill="1" applyBorder="1" applyAlignment="1">
      <alignment horizontal="center" vertical="top"/>
    </xf>
    <xf numFmtId="2" fontId="9" fillId="24" borderId="1" xfId="0" applyNumberFormat="1" applyFont="1" applyFill="1" applyBorder="1" applyAlignment="1">
      <alignment vertical="top" wrapText="1"/>
    </xf>
    <xf numFmtId="0" fontId="9" fillId="0" borderId="1" xfId="0" applyFont="1" applyBorder="1"/>
    <xf numFmtId="14" fontId="30" fillId="16" borderId="0" xfId="4" applyNumberFormat="1" applyFont="1" applyFill="1" applyAlignment="1">
      <alignment horizontal="left" vertical="top"/>
    </xf>
    <xf numFmtId="166" fontId="9" fillId="17" borderId="1" xfId="0" applyNumberFormat="1" applyFont="1" applyFill="1" applyBorder="1" applyAlignment="1">
      <alignment horizontal="right" vertical="top"/>
    </xf>
    <xf numFmtId="166" fontId="9" fillId="17" borderId="1" xfId="0" applyNumberFormat="1" applyFont="1" applyFill="1" applyBorder="1" applyAlignment="1">
      <alignment horizontal="right" vertical="top" wrapText="1"/>
    </xf>
    <xf numFmtId="166" fontId="9" fillId="18" borderId="1" xfId="0" applyNumberFormat="1" applyFont="1" applyFill="1" applyBorder="1" applyAlignment="1">
      <alignment horizontal="right" vertical="top" wrapText="1"/>
    </xf>
    <xf numFmtId="166" fontId="9" fillId="3" borderId="11" xfId="0" applyNumberFormat="1" applyFont="1" applyFill="1" applyBorder="1" applyAlignment="1">
      <alignment horizontal="right" vertical="top" wrapText="1"/>
    </xf>
    <xf numFmtId="166" fontId="9" fillId="4" borderId="11" xfId="0" applyNumberFormat="1" applyFont="1" applyFill="1" applyBorder="1" applyAlignment="1">
      <alignment horizontal="right" vertical="top" wrapText="1"/>
    </xf>
    <xf numFmtId="166" fontId="0" fillId="0" borderId="0" xfId="0" applyNumberFormat="1"/>
    <xf numFmtId="0" fontId="30" fillId="33" borderId="0" xfId="0" applyFont="1" applyFill="1" applyAlignment="1">
      <alignment horizontal="left" vertical="top"/>
    </xf>
    <xf numFmtId="0" fontId="37" fillId="33" borderId="0" xfId="0" applyFont="1" applyFill="1" applyAlignment="1">
      <alignment horizontal="left" vertical="top"/>
    </xf>
    <xf numFmtId="0" fontId="0" fillId="8" borderId="0" xfId="0" applyFill="1" applyAlignment="1">
      <alignment vertical="top"/>
    </xf>
    <xf numFmtId="2" fontId="4" fillId="8" borderId="0" xfId="0" applyNumberFormat="1" applyFont="1" applyFill="1" applyAlignment="1">
      <alignment vertical="top"/>
    </xf>
    <xf numFmtId="0" fontId="37" fillId="0" borderId="0" xfId="0" applyFont="1" applyAlignment="1">
      <alignment horizontal="left" vertical="top"/>
    </xf>
    <xf numFmtId="0" fontId="37" fillId="0" borderId="0" xfId="0" applyFont="1" applyAlignment="1">
      <alignment horizontal="center" vertical="top"/>
    </xf>
    <xf numFmtId="0" fontId="4" fillId="16" borderId="0" xfId="0" applyFont="1" applyFill="1" applyAlignment="1">
      <alignment horizontal="center" vertical="top"/>
    </xf>
    <xf numFmtId="0" fontId="4" fillId="16" borderId="0" xfId="0" applyFont="1" applyFill="1" applyAlignment="1">
      <alignment vertical="top"/>
    </xf>
    <xf numFmtId="0" fontId="0" fillId="0" borderId="0" xfId="0" applyAlignment="1">
      <alignment vertical="top"/>
    </xf>
    <xf numFmtId="0" fontId="0" fillId="0" borderId="0" xfId="0" applyAlignment="1">
      <alignment horizontal="center" vertical="top"/>
    </xf>
    <xf numFmtId="0" fontId="38" fillId="16" borderId="0" xfId="0" applyFont="1" applyFill="1" applyAlignment="1">
      <alignment horizontal="center" vertical="top"/>
    </xf>
    <xf numFmtId="0" fontId="38" fillId="16" borderId="0" xfId="0" applyFont="1" applyFill="1" applyAlignment="1">
      <alignment vertical="top"/>
    </xf>
    <xf numFmtId="0" fontId="0" fillId="8" borderId="3" xfId="0" applyFill="1" applyBorder="1" applyAlignment="1">
      <alignment vertical="top"/>
    </xf>
    <xf numFmtId="0" fontId="12" fillId="0" borderId="0" xfId="0" applyFont="1" applyAlignment="1">
      <alignment vertical="top"/>
    </xf>
    <xf numFmtId="0" fontId="20" fillId="0" borderId="0" xfId="1" applyFont="1" applyProtection="1">
      <alignment vertical="top"/>
    </xf>
    <xf numFmtId="0" fontId="12" fillId="0" borderId="0" xfId="0" applyFont="1" applyAlignment="1">
      <alignment horizontal="center" vertical="top"/>
    </xf>
    <xf numFmtId="0" fontId="6" fillId="0" borderId="0" xfId="5" applyFont="1" applyAlignment="1">
      <alignment vertical="top"/>
    </xf>
    <xf numFmtId="0" fontId="6" fillId="8" borderId="4" xfId="0" applyFont="1" applyFill="1" applyBorder="1" applyAlignment="1">
      <alignment vertical="top"/>
    </xf>
    <xf numFmtId="0" fontId="0" fillId="8" borderId="5" xfId="0" applyFill="1" applyBorder="1" applyAlignment="1">
      <alignment vertical="top"/>
    </xf>
    <xf numFmtId="0" fontId="0" fillId="8" borderId="6" xfId="0" applyFill="1" applyBorder="1" applyAlignment="1">
      <alignment vertical="top"/>
    </xf>
    <xf numFmtId="0" fontId="21" fillId="0" borderId="0" xfId="0" applyFont="1" applyAlignment="1">
      <alignment vertical="top"/>
    </xf>
    <xf numFmtId="2" fontId="21" fillId="0" borderId="0" xfId="0" applyNumberFormat="1" applyFont="1" applyAlignment="1">
      <alignment vertical="top"/>
    </xf>
    <xf numFmtId="2" fontId="21" fillId="0" borderId="0" xfId="0" applyNumberFormat="1" applyFont="1" applyAlignment="1">
      <alignment horizontal="center" vertical="top"/>
    </xf>
    <xf numFmtId="0" fontId="7" fillId="8" borderId="0" xfId="0" applyFont="1" applyFill="1" applyAlignment="1">
      <alignment vertical="top"/>
    </xf>
    <xf numFmtId="0" fontId="6" fillId="8" borderId="11" xfId="0" applyFont="1" applyFill="1" applyBorder="1" applyAlignment="1">
      <alignment vertical="top"/>
    </xf>
    <xf numFmtId="0" fontId="0" fillId="8" borderId="12" xfId="0" applyFill="1" applyBorder="1" applyAlignment="1">
      <alignment vertical="top"/>
    </xf>
    <xf numFmtId="0" fontId="6" fillId="0" borderId="15" xfId="5" applyFont="1" applyBorder="1" applyAlignment="1">
      <alignment vertical="top"/>
    </xf>
    <xf numFmtId="0" fontId="6" fillId="0" borderId="1" xfId="5" applyFont="1" applyBorder="1" applyAlignment="1">
      <alignment vertical="top"/>
    </xf>
    <xf numFmtId="0" fontId="0" fillId="16" borderId="0" xfId="0" applyFill="1" applyAlignment="1">
      <alignment vertical="top"/>
    </xf>
    <xf numFmtId="0" fontId="0" fillId="8" borderId="0" xfId="0" applyFill="1" applyAlignment="1">
      <alignment vertical="top" wrapText="1"/>
    </xf>
    <xf numFmtId="0" fontId="9" fillId="17" borderId="3" xfId="0" applyFont="1" applyFill="1" applyBorder="1" applyAlignment="1">
      <alignment vertical="top"/>
    </xf>
    <xf numFmtId="0" fontId="9" fillId="17" borderId="1" xfId="0" applyFont="1" applyFill="1" applyBorder="1" applyAlignment="1">
      <alignment horizontal="left" vertical="top" wrapText="1"/>
    </xf>
    <xf numFmtId="0" fontId="9" fillId="16" borderId="1" xfId="0" applyFont="1" applyFill="1" applyBorder="1" applyAlignment="1">
      <alignment horizontal="center" vertical="top" wrapText="1"/>
    </xf>
    <xf numFmtId="2" fontId="9" fillId="16" borderId="1" xfId="0" applyNumberFormat="1" applyFont="1" applyFill="1" applyBorder="1" applyAlignment="1">
      <alignment horizontal="center" vertical="top" wrapText="1"/>
    </xf>
    <xf numFmtId="0" fontId="9" fillId="18" borderId="3" xfId="0" applyFont="1" applyFill="1" applyBorder="1" applyAlignment="1">
      <alignment vertical="top"/>
    </xf>
    <xf numFmtId="0" fontId="9" fillId="18" borderId="1" xfId="0" applyFont="1" applyFill="1" applyBorder="1" applyAlignment="1">
      <alignment horizontal="left" vertical="top" wrapText="1"/>
    </xf>
    <xf numFmtId="0" fontId="9" fillId="3" borderId="3" xfId="0" applyFont="1" applyFill="1" applyBorder="1" applyAlignment="1">
      <alignment vertical="top"/>
    </xf>
    <xf numFmtId="0" fontId="9" fillId="4" borderId="3" xfId="0" applyFont="1" applyFill="1" applyBorder="1" applyAlignment="1">
      <alignment vertical="top"/>
    </xf>
    <xf numFmtId="0" fontId="9" fillId="24" borderId="1" xfId="0" applyFont="1" applyFill="1" applyBorder="1" applyAlignment="1">
      <alignment vertical="top"/>
    </xf>
    <xf numFmtId="0" fontId="9" fillId="24" borderId="1" xfId="0" applyFont="1" applyFill="1" applyBorder="1" applyAlignment="1">
      <alignment horizontal="left" vertical="top" wrapText="1"/>
    </xf>
    <xf numFmtId="0" fontId="25" fillId="16" borderId="0" xfId="0" applyFont="1" applyFill="1" applyAlignment="1">
      <alignment vertical="top"/>
    </xf>
    <xf numFmtId="0" fontId="25" fillId="16" borderId="0" xfId="0" applyFont="1" applyFill="1" applyAlignment="1">
      <alignment horizontal="left" vertical="top" wrapText="1"/>
    </xf>
    <xf numFmtId="165" fontId="26" fillId="16" borderId="0" xfId="2" applyNumberFormat="1" applyFont="1" applyFill="1" applyAlignment="1">
      <alignment horizontal="right" vertical="top" wrapText="1"/>
    </xf>
    <xf numFmtId="165" fontId="26" fillId="16" borderId="0" xfId="2" applyNumberFormat="1" applyFont="1" applyFill="1" applyAlignment="1">
      <alignment horizontal="left" vertical="top" wrapText="1"/>
    </xf>
    <xf numFmtId="165" fontId="26" fillId="16" borderId="0" xfId="2" applyNumberFormat="1" applyFont="1" applyFill="1" applyAlignment="1">
      <alignment vertical="top"/>
    </xf>
    <xf numFmtId="2" fontId="26" fillId="16" borderId="0" xfId="2" applyNumberFormat="1" applyFont="1" applyFill="1" applyAlignment="1">
      <alignment vertical="top"/>
    </xf>
    <xf numFmtId="2" fontId="25" fillId="16" borderId="0" xfId="0" applyNumberFormat="1" applyFont="1" applyFill="1" applyAlignment="1">
      <alignment horizontal="center" vertical="top"/>
    </xf>
    <xf numFmtId="2" fontId="25" fillId="16" borderId="0" xfId="0" applyNumberFormat="1" applyFont="1" applyFill="1" applyAlignment="1">
      <alignment vertical="top"/>
    </xf>
    <xf numFmtId="165" fontId="25" fillId="16" borderId="0" xfId="0" applyNumberFormat="1" applyFont="1" applyFill="1" applyAlignment="1">
      <alignment vertical="top"/>
    </xf>
    <xf numFmtId="2" fontId="25" fillId="16" borderId="0" xfId="0" applyNumberFormat="1" applyFont="1" applyFill="1" applyAlignment="1">
      <alignment horizontal="center" vertical="top" wrapText="1"/>
    </xf>
    <xf numFmtId="0" fontId="25" fillId="16" borderId="0" xfId="0" applyFont="1" applyFill="1" applyAlignment="1">
      <alignment horizontal="center" vertical="top"/>
    </xf>
    <xf numFmtId="0" fontId="9" fillId="23" borderId="0" xfId="0" applyFont="1" applyFill="1" applyAlignment="1">
      <alignment horizontal="left" vertical="top" wrapText="1"/>
    </xf>
    <xf numFmtId="165" fontId="2" fillId="16" borderId="0" xfId="2" applyNumberFormat="1" applyFont="1" applyFill="1" applyAlignment="1">
      <alignment horizontal="right" vertical="top" wrapText="1"/>
    </xf>
    <xf numFmtId="165" fontId="2" fillId="16" borderId="0" xfId="2" applyNumberFormat="1" applyFont="1" applyFill="1" applyAlignment="1">
      <alignment horizontal="left" vertical="top" wrapText="1"/>
    </xf>
    <xf numFmtId="165" fontId="2" fillId="16" borderId="0" xfId="2" applyNumberFormat="1" applyFont="1" applyFill="1" applyAlignment="1">
      <alignment vertical="top"/>
    </xf>
    <xf numFmtId="2" fontId="2" fillId="16" borderId="0" xfId="2" applyNumberFormat="1" applyFont="1" applyFill="1" applyAlignment="1">
      <alignment vertical="top"/>
    </xf>
    <xf numFmtId="2" fontId="9" fillId="16" borderId="0" xfId="0" applyNumberFormat="1" applyFont="1" applyFill="1" applyAlignment="1">
      <alignment horizontal="center" vertical="top"/>
    </xf>
    <xf numFmtId="2" fontId="9" fillId="16" borderId="0" xfId="0" applyNumberFormat="1" applyFont="1" applyFill="1" applyAlignment="1">
      <alignment vertical="top"/>
    </xf>
    <xf numFmtId="165" fontId="9" fillId="16" borderId="0" xfId="0" applyNumberFormat="1" applyFont="1" applyFill="1" applyAlignment="1">
      <alignment vertical="top"/>
    </xf>
    <xf numFmtId="2" fontId="9" fillId="16" borderId="0" xfId="0" applyNumberFormat="1" applyFont="1" applyFill="1" applyAlignment="1">
      <alignment horizontal="center" vertical="top" wrapText="1"/>
    </xf>
    <xf numFmtId="0" fontId="9" fillId="16" borderId="0" xfId="0" applyFont="1" applyFill="1" applyAlignment="1">
      <alignment horizontal="center" vertical="top"/>
    </xf>
    <xf numFmtId="0" fontId="32" fillId="33" borderId="15" xfId="0" applyFont="1" applyFill="1" applyBorder="1" applyAlignment="1">
      <alignment horizontal="center" vertical="top" wrapText="1"/>
    </xf>
    <xf numFmtId="0" fontId="32" fillId="33" borderId="15" xfId="0" applyFont="1" applyFill="1" applyBorder="1" applyAlignment="1">
      <alignment horizontal="left" vertical="top" wrapText="1"/>
    </xf>
    <xf numFmtId="2" fontId="32" fillId="33" borderId="15" xfId="0" applyNumberFormat="1" applyFont="1" applyFill="1" applyBorder="1" applyAlignment="1">
      <alignment horizontal="center" vertical="top" wrapText="1"/>
    </xf>
    <xf numFmtId="2" fontId="32" fillId="33" borderId="15" xfId="0" applyNumberFormat="1" applyFont="1" applyFill="1" applyBorder="1" applyAlignment="1">
      <alignment horizontal="left" vertical="top" wrapText="1"/>
    </xf>
    <xf numFmtId="2" fontId="32" fillId="33" borderId="1" xfId="0" applyNumberFormat="1" applyFont="1" applyFill="1" applyBorder="1" applyAlignment="1">
      <alignment horizontal="center" vertical="top" wrapText="1"/>
    </xf>
    <xf numFmtId="2" fontId="32" fillId="33" borderId="1" xfId="0" applyNumberFormat="1" applyFont="1" applyFill="1" applyBorder="1" applyAlignment="1">
      <alignment vertical="top" wrapText="1"/>
    </xf>
    <xf numFmtId="2" fontId="32" fillId="33" borderId="15" xfId="0" applyNumberFormat="1" applyFont="1" applyFill="1" applyBorder="1" applyAlignment="1">
      <alignment vertical="top" wrapText="1"/>
    </xf>
    <xf numFmtId="0" fontId="32" fillId="33" borderId="9" xfId="0" applyFont="1" applyFill="1" applyBorder="1" applyAlignment="1">
      <alignment vertical="top" wrapText="1"/>
    </xf>
    <xf numFmtId="0" fontId="31" fillId="0" borderId="1" xfId="0" applyFont="1" applyBorder="1" applyAlignment="1">
      <alignment horizontal="left" vertical="top" wrapText="1"/>
    </xf>
    <xf numFmtId="0" fontId="31" fillId="8" borderId="1" xfId="0" applyFont="1" applyFill="1" applyBorder="1" applyAlignment="1">
      <alignment horizontal="left" wrapText="1"/>
    </xf>
    <xf numFmtId="0" fontId="0" fillId="8" borderId="0" xfId="0" applyFill="1" applyAlignment="1">
      <alignment horizontal="left" vertical="top"/>
    </xf>
    <xf numFmtId="2" fontId="4" fillId="8" borderId="0" xfId="0" applyNumberFormat="1" applyFont="1" applyFill="1" applyAlignment="1">
      <alignment horizontal="center" vertical="top"/>
    </xf>
    <xf numFmtId="0" fontId="32" fillId="33" borderId="8" xfId="0" applyFont="1" applyFill="1" applyBorder="1" applyAlignment="1">
      <alignment vertical="top"/>
    </xf>
    <xf numFmtId="0" fontId="32" fillId="0" borderId="0" xfId="0" applyFont="1" applyAlignment="1">
      <alignment vertical="top"/>
    </xf>
    <xf numFmtId="166" fontId="32" fillId="33" borderId="15" xfId="0" applyNumberFormat="1" applyFont="1" applyFill="1" applyBorder="1" applyAlignment="1">
      <alignment horizontal="center" vertical="top" textRotation="90"/>
    </xf>
    <xf numFmtId="166" fontId="32" fillId="33" borderId="15" xfId="0" applyNumberFormat="1" applyFont="1" applyFill="1" applyBorder="1" applyAlignment="1">
      <alignment horizontal="center" vertical="top" textRotation="90" wrapText="1"/>
    </xf>
    <xf numFmtId="166" fontId="32" fillId="33" borderId="15" xfId="0" applyNumberFormat="1" applyFont="1" applyFill="1" applyBorder="1" applyAlignment="1">
      <alignment vertical="top" textRotation="90"/>
    </xf>
    <xf numFmtId="0" fontId="9" fillId="33" borderId="0" xfId="0" applyFont="1" applyFill="1"/>
    <xf numFmtId="166" fontId="17" fillId="33" borderId="7" xfId="0" applyNumberFormat="1" applyFont="1" applyFill="1" applyBorder="1" applyAlignment="1">
      <alignment horizontal="left" vertical="center"/>
    </xf>
    <xf numFmtId="166" fontId="24" fillId="33" borderId="2" xfId="0" applyNumberFormat="1" applyFont="1" applyFill="1" applyBorder="1" applyAlignment="1">
      <alignment horizontal="left"/>
    </xf>
    <xf numFmtId="166" fontId="24" fillId="33" borderId="8" xfId="0" applyNumberFormat="1" applyFont="1" applyFill="1" applyBorder="1" applyAlignment="1">
      <alignment horizontal="left"/>
    </xf>
    <xf numFmtId="0" fontId="9" fillId="0" borderId="14" xfId="0" applyFont="1" applyBorder="1" applyAlignment="1">
      <alignment vertical="top" textRotation="90"/>
    </xf>
    <xf numFmtId="0" fontId="29" fillId="0" borderId="15" xfId="0" applyFont="1" applyBorder="1"/>
    <xf numFmtId="0" fontId="6" fillId="16" borderId="0" xfId="5" applyFont="1" applyFill="1" applyAlignment="1">
      <alignment horizontal="center" vertical="top" wrapText="1"/>
    </xf>
    <xf numFmtId="0" fontId="35" fillId="16" borderId="0" xfId="0" applyFont="1" applyFill="1"/>
    <xf numFmtId="0" fontId="10" fillId="0" borderId="0" xfId="0" applyFont="1" applyAlignment="1">
      <alignment horizontal="center"/>
    </xf>
    <xf numFmtId="0" fontId="9" fillId="0" borderId="4" xfId="0" applyFont="1" applyBorder="1" applyAlignment="1">
      <alignment vertical="top"/>
    </xf>
    <xf numFmtId="0" fontId="9" fillId="0" borderId="5" xfId="0" applyFont="1" applyBorder="1" applyAlignment="1">
      <alignment vertical="top"/>
    </xf>
    <xf numFmtId="0" fontId="10" fillId="16" borderId="6" xfId="0" applyFont="1" applyFill="1" applyBorder="1" applyAlignment="1">
      <alignment horizontal="center" vertical="top" wrapText="1"/>
    </xf>
    <xf numFmtId="0" fontId="9" fillId="0" borderId="4" xfId="0" applyFont="1" applyBorder="1" applyAlignment="1">
      <alignment vertical="top" wrapText="1"/>
    </xf>
    <xf numFmtId="0" fontId="10" fillId="16" borderId="0" xfId="0" applyFont="1" applyFill="1" applyAlignment="1">
      <alignment horizontal="center" vertical="top" wrapText="1"/>
    </xf>
    <xf numFmtId="0" fontId="9" fillId="0" borderId="0" xfId="0" applyFont="1" applyAlignment="1">
      <alignment vertical="center"/>
    </xf>
    <xf numFmtId="2" fontId="35" fillId="16" borderId="0" xfId="0" applyNumberFormat="1" applyFont="1" applyFill="1" applyAlignment="1">
      <alignment horizontal="center" vertical="top" wrapText="1"/>
    </xf>
    <xf numFmtId="2" fontId="9" fillId="8" borderId="0" xfId="0" applyNumberFormat="1" applyFont="1" applyFill="1" applyAlignment="1">
      <alignment horizontal="center" vertical="top" wrapText="1"/>
    </xf>
    <xf numFmtId="0" fontId="10" fillId="16" borderId="0" xfId="0" applyFont="1" applyFill="1" applyAlignment="1">
      <alignment horizontal="center" vertical="top"/>
    </xf>
    <xf numFmtId="0" fontId="10" fillId="0" borderId="9" xfId="0" quotePrefix="1" applyFont="1" applyBorder="1" applyAlignment="1">
      <alignment horizontal="center" vertical="top" wrapText="1"/>
    </xf>
    <xf numFmtId="0" fontId="10" fillId="0" borderId="0" xfId="0" quotePrefix="1" applyFont="1" applyAlignment="1">
      <alignment horizontal="center" vertical="top" wrapText="1"/>
    </xf>
    <xf numFmtId="0" fontId="9" fillId="0" borderId="10" xfId="0" applyFont="1" applyBorder="1" applyAlignment="1">
      <alignment vertical="top"/>
    </xf>
    <xf numFmtId="0" fontId="10" fillId="0" borderId="9" xfId="0" applyFont="1" applyBorder="1" applyAlignment="1">
      <alignment horizontal="center" vertical="top" wrapText="1"/>
    </xf>
    <xf numFmtId="0" fontId="9" fillId="0" borderId="4" xfId="0" applyFont="1" applyBorder="1"/>
    <xf numFmtId="0" fontId="9" fillId="0" borderId="5" xfId="0" applyFont="1" applyBorder="1"/>
    <xf numFmtId="1" fontId="9" fillId="0" borderId="5" xfId="6" quotePrefix="1" applyNumberFormat="1" applyFont="1" applyBorder="1" applyAlignment="1">
      <alignment horizontal="center" vertical="top"/>
    </xf>
    <xf numFmtId="0" fontId="9" fillId="0" borderId="6" xfId="0" applyFont="1" applyBorder="1"/>
    <xf numFmtId="0" fontId="9" fillId="0" borderId="0" xfId="0" applyFont="1" applyAlignment="1">
      <alignment horizontal="center" wrapText="1"/>
    </xf>
    <xf numFmtId="0" fontId="9" fillId="0" borderId="10" xfId="0" applyFont="1" applyBorder="1"/>
    <xf numFmtId="0" fontId="9" fillId="0" borderId="9" xfId="0" applyFont="1" applyBorder="1"/>
    <xf numFmtId="0" fontId="9" fillId="0" borderId="2" xfId="0" applyFont="1" applyBorder="1" applyAlignment="1">
      <alignment horizontal="right"/>
    </xf>
    <xf numFmtId="167" fontId="9" fillId="16" borderId="2" xfId="6" applyNumberFormat="1" applyFont="1" applyFill="1" applyBorder="1" applyAlignment="1">
      <alignment horizontal="center"/>
    </xf>
    <xf numFmtId="0" fontId="9" fillId="0" borderId="8" xfId="0" applyFont="1" applyBorder="1"/>
    <xf numFmtId="164" fontId="9" fillId="0" borderId="0" xfId="0" quotePrefix="1" applyNumberFormat="1" applyFont="1" applyAlignment="1">
      <alignment horizontal="center" vertical="top"/>
    </xf>
    <xf numFmtId="0" fontId="9" fillId="0" borderId="7" xfId="0" applyFont="1" applyBorder="1"/>
    <xf numFmtId="167" fontId="9" fillId="0" borderId="2" xfId="6" quotePrefix="1" applyNumberFormat="1" applyFont="1" applyBorder="1" applyAlignment="1">
      <alignment horizontal="center" vertical="top"/>
    </xf>
    <xf numFmtId="0" fontId="9" fillId="16" borderId="2" xfId="0" applyFont="1" applyFill="1" applyBorder="1" applyAlignment="1">
      <alignment horizontal="right"/>
    </xf>
    <xf numFmtId="1" fontId="9" fillId="16" borderId="2" xfId="0" applyNumberFormat="1" applyFont="1" applyFill="1" applyBorder="1" applyAlignment="1">
      <alignment horizontal="center"/>
    </xf>
    <xf numFmtId="0" fontId="9" fillId="0" borderId="9" xfId="0" applyFont="1" applyBorder="1" applyAlignment="1">
      <alignment vertical="top"/>
    </xf>
    <xf numFmtId="167" fontId="9" fillId="16" borderId="4" xfId="6" quotePrefix="1" applyNumberFormat="1" applyFont="1" applyFill="1" applyBorder="1" applyAlignment="1">
      <alignment horizontal="center" vertical="top"/>
    </xf>
    <xf numFmtId="0" fontId="10" fillId="0" borderId="4" xfId="0" applyFont="1" applyBorder="1" applyAlignment="1">
      <alignment horizontal="center" vertical="center" textRotation="90"/>
    </xf>
    <xf numFmtId="0" fontId="9" fillId="0" borderId="5" xfId="0" applyFont="1" applyBorder="1" applyAlignment="1">
      <alignment horizontal="left" vertical="top" wrapText="1"/>
    </xf>
    <xf numFmtId="0" fontId="9" fillId="0" borderId="5" xfId="0" applyFont="1" applyBorder="1" applyAlignment="1">
      <alignment horizontal="left" vertical="top"/>
    </xf>
    <xf numFmtId="164" fontId="9" fillId="0" borderId="5" xfId="0" quotePrefix="1" applyNumberFormat="1" applyFont="1" applyBorder="1" applyAlignment="1">
      <alignment horizontal="center" vertical="top"/>
    </xf>
    <xf numFmtId="0" fontId="9" fillId="0" borderId="5" xfId="0" quotePrefix="1" applyFont="1" applyBorder="1" applyAlignment="1">
      <alignment horizontal="left" vertical="top" wrapText="1"/>
    </xf>
    <xf numFmtId="164" fontId="9" fillId="0" borderId="6" xfId="0" applyNumberFormat="1" applyFont="1" applyBorder="1" applyAlignment="1">
      <alignment horizontal="center" vertical="top"/>
    </xf>
    <xf numFmtId="0" fontId="10" fillId="0" borderId="7" xfId="0" applyFont="1" applyBorder="1" applyAlignment="1">
      <alignment horizontal="center" vertical="center" textRotation="90"/>
    </xf>
    <xf numFmtId="0" fontId="10" fillId="0" borderId="0" xfId="0" applyFont="1" applyAlignment="1">
      <alignment vertical="center" textRotation="90" wrapText="1"/>
    </xf>
    <xf numFmtId="0" fontId="9" fillId="0" borderId="0" xfId="0" applyFont="1" applyAlignment="1">
      <alignment horizontal="left" vertical="top"/>
    </xf>
    <xf numFmtId="164" fontId="9" fillId="0" borderId="0" xfId="0" applyNumberFormat="1" applyFont="1" applyAlignment="1">
      <alignment horizontal="center" vertical="top"/>
    </xf>
    <xf numFmtId="164" fontId="9" fillId="0" borderId="2" xfId="0" applyNumberFormat="1" applyFont="1" applyBorder="1" applyAlignment="1">
      <alignment horizontal="center" vertical="top"/>
    </xf>
    <xf numFmtId="0" fontId="15" fillId="29" borderId="11" xfId="0" applyFont="1" applyFill="1" applyBorder="1"/>
    <xf numFmtId="0" fontId="15" fillId="16" borderId="0" xfId="0" applyFont="1" applyFill="1"/>
    <xf numFmtId="0" fontId="36" fillId="16" borderId="0" xfId="0" applyFont="1" applyFill="1"/>
    <xf numFmtId="0" fontId="15" fillId="0" borderId="0" xfId="0" applyFont="1"/>
    <xf numFmtId="0" fontId="9" fillId="16" borderId="0" xfId="0" applyFont="1" applyFill="1"/>
    <xf numFmtId="0" fontId="9" fillId="16" borderId="12" xfId="0" applyFont="1" applyFill="1" applyBorder="1" applyAlignment="1">
      <alignment horizontal="center"/>
    </xf>
    <xf numFmtId="0" fontId="10" fillId="0" borderId="11" xfId="0" applyFont="1" applyBorder="1" applyAlignment="1">
      <alignment wrapText="1"/>
    </xf>
    <xf numFmtId="0" fontId="9" fillId="0" borderId="12" xfId="0" applyFont="1" applyBorder="1" applyAlignment="1">
      <alignment horizontal="center" wrapText="1"/>
    </xf>
    <xf numFmtId="0" fontId="9" fillId="0" borderId="3" xfId="0" applyFont="1" applyBorder="1" applyAlignment="1">
      <alignment horizontal="center" wrapText="1"/>
    </xf>
    <xf numFmtId="0" fontId="9" fillId="16" borderId="5" xfId="0" applyFont="1" applyFill="1" applyBorder="1" applyAlignment="1">
      <alignment vertical="top" wrapText="1"/>
    </xf>
    <xf numFmtId="2" fontId="9" fillId="16" borderId="5" xfId="0" quotePrefix="1" applyNumberFormat="1" applyFont="1" applyFill="1" applyBorder="1" applyAlignment="1">
      <alignment horizontal="center" vertical="top" wrapText="1"/>
    </xf>
    <xf numFmtId="2" fontId="9" fillId="16" borderId="6" xfId="0" quotePrefix="1" applyNumberFormat="1" applyFont="1" applyFill="1" applyBorder="1" applyAlignment="1">
      <alignment horizontal="center" vertical="top" wrapText="1"/>
    </xf>
    <xf numFmtId="167" fontId="9" fillId="16" borderId="10" xfId="6" applyNumberFormat="1" applyFont="1" applyFill="1" applyBorder="1" applyAlignment="1">
      <alignment horizontal="center" vertical="top"/>
    </xf>
    <xf numFmtId="0" fontId="9" fillId="16" borderId="0" xfId="0" applyFont="1" applyFill="1" applyAlignment="1">
      <alignment vertical="top" wrapText="1"/>
    </xf>
    <xf numFmtId="2" fontId="9" fillId="16" borderId="0" xfId="0" quotePrefix="1" applyNumberFormat="1" applyFont="1" applyFill="1" applyAlignment="1">
      <alignment horizontal="center" vertical="top" wrapText="1"/>
    </xf>
    <xf numFmtId="2" fontId="9" fillId="16" borderId="9" xfId="0" quotePrefix="1" applyNumberFormat="1" applyFont="1" applyFill="1" applyBorder="1" applyAlignment="1">
      <alignment horizontal="center" vertical="top" wrapText="1"/>
    </xf>
    <xf numFmtId="164" fontId="9" fillId="16" borderId="7" xfId="0" applyNumberFormat="1" applyFont="1" applyFill="1" applyBorder="1" applyAlignment="1">
      <alignment horizontal="left" vertical="top"/>
    </xf>
    <xf numFmtId="0" fontId="9" fillId="16" borderId="2" xfId="0" applyFont="1" applyFill="1" applyBorder="1" applyAlignment="1">
      <alignment vertical="top" wrapText="1"/>
    </xf>
    <xf numFmtId="2" fontId="9" fillId="16" borderId="2" xfId="0" quotePrefix="1" applyNumberFormat="1" applyFont="1" applyFill="1" applyBorder="1" applyAlignment="1">
      <alignment horizontal="center" vertical="top" wrapText="1"/>
    </xf>
    <xf numFmtId="164" fontId="9" fillId="16" borderId="7" xfId="0" applyNumberFormat="1" applyFont="1" applyFill="1" applyBorder="1" applyAlignment="1">
      <alignment horizontal="center" vertical="top"/>
    </xf>
    <xf numFmtId="0" fontId="10" fillId="0" borderId="2" xfId="0" applyFont="1" applyBorder="1"/>
    <xf numFmtId="1" fontId="9" fillId="0" borderId="2" xfId="0" applyNumberFormat="1" applyFont="1" applyBorder="1"/>
    <xf numFmtId="164" fontId="10" fillId="16" borderId="12" xfId="0" applyNumberFormat="1" applyFont="1" applyFill="1" applyBorder="1" applyAlignment="1">
      <alignment horizontal="left" wrapText="1"/>
    </xf>
    <xf numFmtId="0" fontId="9" fillId="16" borderId="12" xfId="0" quotePrefix="1" applyFont="1" applyFill="1" applyBorder="1" applyAlignment="1">
      <alignment horizontal="center"/>
    </xf>
    <xf numFmtId="0" fontId="10" fillId="0" borderId="12"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wrapText="1"/>
    </xf>
    <xf numFmtId="0" fontId="9" fillId="16" borderId="5" xfId="0" applyFont="1" applyFill="1" applyBorder="1" applyAlignment="1">
      <alignment horizontal="center" wrapText="1"/>
    </xf>
    <xf numFmtId="2" fontId="9" fillId="0" borderId="5" xfId="0" quotePrefix="1" applyNumberFormat="1" applyFont="1" applyBorder="1" applyAlignment="1">
      <alignment horizontal="center" vertical="top" wrapText="1"/>
    </xf>
    <xf numFmtId="2" fontId="9" fillId="0" borderId="0" xfId="0" quotePrefix="1" applyNumberFormat="1" applyFont="1" applyAlignment="1">
      <alignment horizontal="center" vertical="top" wrapText="1"/>
    </xf>
    <xf numFmtId="167" fontId="9" fillId="16" borderId="7" xfId="6" applyNumberFormat="1" applyFont="1" applyFill="1" applyBorder="1" applyAlignment="1">
      <alignment horizontal="center" vertical="top"/>
    </xf>
    <xf numFmtId="2" fontId="9" fillId="0" borderId="2" xfId="0" quotePrefix="1" applyNumberFormat="1" applyFont="1" applyBorder="1" applyAlignment="1">
      <alignment horizontal="center" vertical="top" wrapText="1"/>
    </xf>
    <xf numFmtId="2" fontId="9" fillId="16" borderId="8" xfId="0" quotePrefix="1" applyNumberFormat="1" applyFont="1" applyFill="1" applyBorder="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right" vertical="top"/>
    </xf>
    <xf numFmtId="0" fontId="9" fillId="16" borderId="0" xfId="0" applyFont="1" applyFill="1" applyAlignment="1">
      <alignment horizontal="center" vertical="top" wrapText="1"/>
    </xf>
    <xf numFmtId="1" fontId="9" fillId="8" borderId="0" xfId="0" applyNumberFormat="1" applyFont="1" applyFill="1" applyAlignment="1">
      <alignment horizontal="center"/>
    </xf>
    <xf numFmtId="2" fontId="9" fillId="8" borderId="0" xfId="0" applyNumberFormat="1" applyFont="1" applyFill="1" applyAlignment="1">
      <alignment horizontal="right" vertical="top"/>
    </xf>
    <xf numFmtId="2" fontId="9" fillId="0" borderId="0" xfId="0" applyNumberFormat="1" applyFont="1"/>
    <xf numFmtId="0" fontId="9" fillId="8" borderId="0" xfId="5" applyFont="1" applyFill="1" applyAlignment="1">
      <alignment horizontal="right" vertical="top"/>
    </xf>
    <xf numFmtId="0" fontId="9" fillId="8" borderId="0" xfId="5" applyFont="1" applyFill="1" applyAlignment="1">
      <alignment horizontal="center" vertical="top"/>
    </xf>
    <xf numFmtId="0" fontId="10" fillId="12" borderId="11" xfId="5" applyFont="1" applyFill="1" applyBorder="1" applyAlignment="1">
      <alignment horizontal="left" vertical="top" wrapText="1"/>
    </xf>
    <xf numFmtId="0" fontId="10" fillId="12" borderId="11" xfId="5" applyFont="1" applyFill="1" applyBorder="1" applyAlignment="1">
      <alignment vertical="top"/>
    </xf>
    <xf numFmtId="0" fontId="10" fillId="12" borderId="12" xfId="5" applyFont="1" applyFill="1" applyBorder="1" applyAlignment="1">
      <alignment vertical="top"/>
    </xf>
    <xf numFmtId="0" fontId="33" fillId="0" borderId="0" xfId="0" applyFont="1" applyAlignment="1">
      <alignment horizontal="left"/>
    </xf>
    <xf numFmtId="0" fontId="10" fillId="0" borderId="0" xfId="5" applyFont="1" applyAlignment="1">
      <alignment horizontal="left" vertical="top"/>
    </xf>
    <xf numFmtId="0" fontId="10" fillId="0" borderId="0" xfId="5" applyFont="1" applyAlignment="1">
      <alignment horizontal="right" vertical="top"/>
    </xf>
    <xf numFmtId="167" fontId="9" fillId="8" borderId="0" xfId="6" applyNumberFormat="1" applyFont="1" applyFill="1"/>
    <xf numFmtId="0" fontId="10" fillId="12" borderId="1" xfId="5" applyFont="1" applyFill="1" applyBorder="1" applyAlignment="1">
      <alignment horizontal="left" vertical="top" wrapText="1"/>
    </xf>
    <xf numFmtId="2" fontId="9" fillId="0" borderId="0" xfId="0" quotePrefix="1" applyNumberFormat="1" applyFont="1" applyAlignment="1">
      <alignment horizontal="left" vertical="top"/>
    </xf>
    <xf numFmtId="0" fontId="10" fillId="16" borderId="0" xfId="5" applyFont="1" applyFill="1" applyAlignment="1">
      <alignment horizontal="left" vertical="top"/>
    </xf>
    <xf numFmtId="0" fontId="10" fillId="16" borderId="0" xfId="5" applyFont="1" applyFill="1" applyAlignment="1">
      <alignment horizontal="right" vertical="top"/>
    </xf>
    <xf numFmtId="2" fontId="9" fillId="16" borderId="0" xfId="0" applyNumberFormat="1" applyFont="1" applyFill="1" applyAlignment="1">
      <alignment horizontal="right" vertical="top"/>
    </xf>
    <xf numFmtId="164" fontId="9" fillId="16" borderId="0" xfId="0" applyNumberFormat="1" applyFont="1" applyFill="1" applyAlignment="1">
      <alignment horizontal="center" vertical="top"/>
    </xf>
    <xf numFmtId="0" fontId="9" fillId="16" borderId="0" xfId="0" applyFont="1" applyFill="1" applyAlignment="1">
      <alignment horizontal="center"/>
    </xf>
    <xf numFmtId="169" fontId="9" fillId="8" borderId="0" xfId="0" applyNumberFormat="1" applyFont="1" applyFill="1" applyAlignment="1">
      <alignment horizontal="center" vertical="top" wrapText="1"/>
    </xf>
    <xf numFmtId="1" fontId="9" fillId="16" borderId="0" xfId="0" applyNumberFormat="1" applyFont="1" applyFill="1" applyAlignment="1">
      <alignment horizontal="center"/>
    </xf>
    <xf numFmtId="0" fontId="10" fillId="0" borderId="0" xfId="4" applyFont="1" applyAlignment="1">
      <alignment horizontal="left" vertical="top"/>
    </xf>
    <xf numFmtId="1" fontId="9" fillId="0" borderId="0" xfId="0" applyNumberFormat="1" applyFont="1" applyAlignment="1">
      <alignment horizontal="center"/>
    </xf>
    <xf numFmtId="1" fontId="9" fillId="0" borderId="0" xfId="0" applyNumberFormat="1" applyFont="1" applyAlignment="1">
      <alignment horizontal="left"/>
    </xf>
    <xf numFmtId="0" fontId="10" fillId="0" borderId="0" xfId="4" applyFont="1" applyAlignment="1">
      <alignment vertical="top"/>
    </xf>
    <xf numFmtId="3" fontId="10" fillId="0" borderId="0" xfId="4" applyNumberFormat="1" applyFont="1" applyAlignment="1">
      <alignment horizontal="center" vertical="top" wrapText="1"/>
    </xf>
    <xf numFmtId="0" fontId="9" fillId="16" borderId="0" xfId="0" applyFont="1" applyFill="1" applyAlignment="1">
      <alignment horizontal="right" vertical="top"/>
    </xf>
    <xf numFmtId="0" fontId="9" fillId="8" borderId="0" xfId="0" applyFont="1" applyFill="1" applyAlignment="1">
      <alignment vertical="top" wrapText="1"/>
    </xf>
    <xf numFmtId="0" fontId="9" fillId="8" borderId="0" xfId="0" applyFont="1" applyFill="1" applyAlignment="1">
      <alignment horizontal="left" vertical="top" wrapText="1"/>
    </xf>
    <xf numFmtId="0" fontId="9" fillId="8" borderId="0" xfId="0" applyFont="1" applyFill="1" applyAlignment="1">
      <alignment horizontal="center" vertical="top" wrapText="1"/>
    </xf>
    <xf numFmtId="0" fontId="9" fillId="0" borderId="0" xfId="0" applyFont="1" applyAlignment="1">
      <alignment wrapText="1"/>
    </xf>
    <xf numFmtId="0" fontId="9" fillId="16" borderId="0" xfId="0" applyFont="1" applyFill="1" applyAlignment="1">
      <alignment horizontal="right" wrapText="1"/>
    </xf>
    <xf numFmtId="0" fontId="9" fillId="16" borderId="0" xfId="0" applyFont="1" applyFill="1" applyAlignment="1">
      <alignment wrapText="1"/>
    </xf>
    <xf numFmtId="2" fontId="9" fillId="8" borderId="0" xfId="0" applyNumberFormat="1" applyFont="1" applyFill="1" applyAlignment="1">
      <alignment wrapText="1"/>
    </xf>
    <xf numFmtId="0" fontId="9" fillId="8" borderId="0" xfId="0" applyFont="1" applyFill="1" applyAlignment="1">
      <alignment horizontal="center" wrapText="1"/>
    </xf>
    <xf numFmtId="0" fontId="9" fillId="8" borderId="0" xfId="0" applyFont="1" applyFill="1" applyAlignment="1">
      <alignment horizontal="right" wrapText="1"/>
    </xf>
    <xf numFmtId="1" fontId="9" fillId="8" borderId="0" xfId="0" applyNumberFormat="1" applyFont="1" applyFill="1" applyAlignment="1">
      <alignment horizontal="center" wrapText="1"/>
    </xf>
    <xf numFmtId="0" fontId="9" fillId="8" borderId="0" xfId="0" applyFont="1" applyFill="1" applyAlignment="1">
      <alignment wrapText="1"/>
    </xf>
    <xf numFmtId="166" fontId="32" fillId="16" borderId="0" xfId="0" applyNumberFormat="1" applyFont="1" applyFill="1" applyAlignment="1">
      <alignment vertical="top"/>
    </xf>
    <xf numFmtId="0" fontId="9" fillId="17" borderId="1" xfId="0" applyFont="1" applyFill="1" applyBorder="1" applyAlignment="1">
      <alignment vertical="top"/>
    </xf>
    <xf numFmtId="0" fontId="9" fillId="20" borderId="1" xfId="0" applyFont="1" applyFill="1" applyBorder="1" applyAlignment="1">
      <alignment horizontal="center" vertical="top" wrapText="1"/>
    </xf>
    <xf numFmtId="2" fontId="9" fillId="20" borderId="11" xfId="0" applyNumberFormat="1" applyFont="1" applyFill="1" applyBorder="1" applyAlignment="1">
      <alignment horizontal="center" vertical="top" wrapText="1"/>
    </xf>
    <xf numFmtId="2" fontId="9" fillId="20" borderId="11" xfId="0" applyNumberFormat="1" applyFont="1" applyFill="1" applyBorder="1" applyAlignment="1">
      <alignment horizontal="right" vertical="top" wrapText="1"/>
    </xf>
    <xf numFmtId="2" fontId="9" fillId="20" borderId="1" xfId="0" applyNumberFormat="1" applyFont="1" applyFill="1" applyBorder="1" applyAlignment="1">
      <alignment horizontal="right" vertical="top" wrapText="1"/>
    </xf>
    <xf numFmtId="2" fontId="9" fillId="20" borderId="1" xfId="0" applyNumberFormat="1" applyFont="1" applyFill="1" applyBorder="1" applyAlignment="1">
      <alignment horizontal="center" vertical="top" wrapText="1"/>
    </xf>
    <xf numFmtId="2" fontId="9" fillId="5" borderId="1" xfId="0" applyNumberFormat="1" applyFont="1" applyFill="1" applyBorder="1" applyAlignment="1">
      <alignment horizontal="right" vertical="top" wrapText="1"/>
    </xf>
    <xf numFmtId="0" fontId="9" fillId="5" borderId="1" xfId="0" applyFont="1" applyFill="1" applyBorder="1" applyAlignment="1">
      <alignment horizontal="right" vertical="top" wrapText="1"/>
    </xf>
    <xf numFmtId="0" fontId="9" fillId="5" borderId="1" xfId="0" applyFont="1" applyFill="1" applyBorder="1" applyAlignment="1">
      <alignment vertical="top" wrapText="1"/>
    </xf>
    <xf numFmtId="1" fontId="9" fillId="5" borderId="1" xfId="0" applyNumberFormat="1" applyFont="1" applyFill="1" applyBorder="1" applyAlignment="1">
      <alignment vertical="top" wrapText="1"/>
    </xf>
    <xf numFmtId="2" fontId="9" fillId="5" borderId="1" xfId="0" applyNumberFormat="1" applyFont="1" applyFill="1" applyBorder="1" applyAlignment="1">
      <alignment vertical="top" wrapText="1"/>
    </xf>
    <xf numFmtId="166" fontId="9" fillId="5" borderId="1" xfId="0" applyNumberFormat="1" applyFont="1" applyFill="1" applyBorder="1" applyAlignment="1">
      <alignment horizontal="right" vertical="top" wrapText="1"/>
    </xf>
    <xf numFmtId="167" fontId="9" fillId="5" borderId="1" xfId="0" applyNumberFormat="1" applyFont="1" applyFill="1" applyBorder="1" applyAlignment="1">
      <alignment horizontal="center" vertical="top" wrapText="1"/>
    </xf>
    <xf numFmtId="165" fontId="9" fillId="5" borderId="1" xfId="0" applyNumberFormat="1" applyFont="1" applyFill="1" applyBorder="1" applyAlignment="1">
      <alignment horizontal="right" vertical="top" wrapText="1"/>
    </xf>
    <xf numFmtId="166" fontId="9" fillId="16" borderId="0" xfId="0" applyNumberFormat="1" applyFont="1" applyFill="1" applyAlignment="1">
      <alignment horizontal="left" vertical="top" wrapText="1"/>
    </xf>
    <xf numFmtId="0" fontId="9" fillId="18" borderId="1" xfId="0" applyFont="1" applyFill="1" applyBorder="1" applyAlignment="1">
      <alignment vertical="top"/>
    </xf>
    <xf numFmtId="2" fontId="9" fillId="11" borderId="1" xfId="0" applyNumberFormat="1" applyFont="1" applyFill="1" applyBorder="1" applyAlignment="1">
      <alignment horizontal="right" vertical="top" wrapText="1"/>
    </xf>
    <xf numFmtId="0" fontId="9" fillId="11" borderId="1" xfId="0" applyFont="1" applyFill="1" applyBorder="1" applyAlignment="1">
      <alignment horizontal="center" vertical="top" wrapText="1"/>
    </xf>
    <xf numFmtId="0" fontId="9" fillId="11" borderId="1" xfId="0" applyFont="1" applyFill="1" applyBorder="1" applyAlignment="1">
      <alignment horizontal="right" vertical="top" wrapText="1"/>
    </xf>
    <xf numFmtId="0" fontId="9" fillId="11" borderId="1" xfId="0" applyFont="1" applyFill="1" applyBorder="1" applyAlignment="1">
      <alignment vertical="top" wrapText="1"/>
    </xf>
    <xf numFmtId="1" fontId="9" fillId="11" borderId="1" xfId="0" applyNumberFormat="1" applyFont="1" applyFill="1" applyBorder="1" applyAlignment="1">
      <alignment vertical="top" wrapText="1"/>
    </xf>
    <xf numFmtId="2" fontId="9" fillId="11" borderId="1" xfId="0" applyNumberFormat="1" applyFont="1" applyFill="1" applyBorder="1" applyAlignment="1">
      <alignment vertical="top" wrapText="1"/>
    </xf>
    <xf numFmtId="2" fontId="9" fillId="11" borderId="1" xfId="0" applyNumberFormat="1" applyFont="1" applyFill="1" applyBorder="1" applyAlignment="1">
      <alignment horizontal="center" vertical="top" wrapText="1"/>
    </xf>
    <xf numFmtId="166" fontId="9" fillId="11" borderId="1" xfId="0" applyNumberFormat="1" applyFont="1" applyFill="1" applyBorder="1" applyAlignment="1">
      <alignment horizontal="right" vertical="top" wrapText="1"/>
    </xf>
    <xf numFmtId="167" fontId="9" fillId="11" borderId="1" xfId="0" applyNumberFormat="1" applyFont="1" applyFill="1" applyBorder="1" applyAlignment="1">
      <alignment horizontal="center" vertical="top" wrapText="1"/>
    </xf>
    <xf numFmtId="165" fontId="9" fillId="11" borderId="1" xfId="0" applyNumberFormat="1" applyFont="1" applyFill="1" applyBorder="1" applyAlignment="1">
      <alignment horizontal="right" vertical="top" wrapText="1"/>
    </xf>
    <xf numFmtId="0" fontId="31" fillId="8" borderId="1" xfId="0" applyFont="1" applyFill="1" applyBorder="1" applyAlignment="1">
      <alignment horizontal="left" vertical="top" wrapText="1"/>
    </xf>
    <xf numFmtId="2" fontId="9" fillId="8" borderId="1" xfId="0" applyNumberFormat="1" applyFont="1" applyFill="1" applyBorder="1" applyAlignment="1">
      <alignment vertical="top" wrapText="1"/>
    </xf>
    <xf numFmtId="0" fontId="9" fillId="8" borderId="1" xfId="0" applyFont="1" applyFill="1" applyBorder="1" applyAlignment="1">
      <alignment horizontal="right" vertical="top" wrapText="1"/>
    </xf>
    <xf numFmtId="2" fontId="9" fillId="8" borderId="1" xfId="0" applyNumberFormat="1" applyFont="1" applyFill="1" applyBorder="1" applyAlignment="1">
      <alignment horizontal="right" vertical="top" wrapText="1"/>
    </xf>
    <xf numFmtId="2" fontId="9" fillId="8" borderId="1" xfId="0" applyNumberFormat="1" applyFont="1" applyFill="1" applyBorder="1" applyAlignment="1">
      <alignment horizontal="center" vertical="top" wrapText="1"/>
    </xf>
    <xf numFmtId="166" fontId="9" fillId="8" borderId="1" xfId="0" applyNumberFormat="1" applyFont="1" applyFill="1" applyBorder="1" applyAlignment="1">
      <alignment vertical="top" wrapText="1"/>
    </xf>
    <xf numFmtId="167" fontId="9" fillId="8" borderId="1" xfId="0" applyNumberFormat="1" applyFont="1" applyFill="1" applyBorder="1" applyAlignment="1">
      <alignment horizontal="center" vertical="top" wrapText="1"/>
    </xf>
    <xf numFmtId="167" fontId="9" fillId="16" borderId="1" xfId="0" applyNumberFormat="1" applyFont="1" applyFill="1" applyBorder="1" applyAlignment="1">
      <alignment horizontal="center" vertical="top" wrapText="1"/>
    </xf>
    <xf numFmtId="165" fontId="9" fillId="8" borderId="1" xfId="0" applyNumberFormat="1" applyFont="1" applyFill="1" applyBorder="1" applyAlignment="1">
      <alignment vertical="top" wrapText="1"/>
    </xf>
    <xf numFmtId="1" fontId="9" fillId="16" borderId="0" xfId="0" applyNumberFormat="1" applyFont="1" applyFill="1" applyAlignment="1">
      <alignment horizontal="left" vertical="top" wrapText="1"/>
    </xf>
    <xf numFmtId="166" fontId="9" fillId="5" borderId="1" xfId="0" applyNumberFormat="1" applyFont="1" applyFill="1" applyBorder="1" applyAlignment="1">
      <alignment vertical="top" wrapText="1"/>
    </xf>
    <xf numFmtId="1" fontId="9" fillId="5" borderId="1" xfId="0" applyNumberFormat="1" applyFont="1" applyFill="1" applyBorder="1" applyAlignment="1">
      <alignment horizontal="right" vertical="top" wrapText="1"/>
    </xf>
    <xf numFmtId="2" fontId="9" fillId="21" borderId="1" xfId="0" applyNumberFormat="1" applyFont="1" applyFill="1" applyBorder="1" applyAlignment="1">
      <alignment horizontal="center" vertical="top" wrapText="1"/>
    </xf>
    <xf numFmtId="2" fontId="9" fillId="16" borderId="1" xfId="0" applyNumberFormat="1" applyFont="1" applyFill="1" applyBorder="1" applyAlignment="1">
      <alignment horizontal="right" vertical="top" wrapText="1"/>
    </xf>
    <xf numFmtId="2" fontId="9" fillId="16" borderId="1" xfId="0" applyNumberFormat="1" applyFont="1" applyFill="1" applyBorder="1" applyAlignment="1">
      <alignment vertical="top" wrapText="1"/>
    </xf>
    <xf numFmtId="166" fontId="9" fillId="16" borderId="1" xfId="0" applyNumberFormat="1" applyFont="1" applyFill="1" applyBorder="1" applyAlignment="1">
      <alignment horizontal="right" vertical="top" wrapText="1"/>
    </xf>
    <xf numFmtId="0" fontId="9" fillId="3" borderId="1" xfId="0" applyFont="1" applyFill="1" applyBorder="1" applyAlignment="1">
      <alignment vertical="top"/>
    </xf>
    <xf numFmtId="2" fontId="9" fillId="14" borderId="1" xfId="0" applyNumberFormat="1" applyFont="1" applyFill="1" applyBorder="1" applyAlignment="1">
      <alignment horizontal="right" vertical="top" wrapText="1"/>
    </xf>
    <xf numFmtId="2" fontId="9" fillId="14" borderId="1" xfId="0" applyNumberFormat="1" applyFont="1" applyFill="1" applyBorder="1" applyAlignment="1">
      <alignment vertical="top" wrapText="1"/>
    </xf>
    <xf numFmtId="165" fontId="9" fillId="5" borderId="1" xfId="0" applyNumberFormat="1" applyFont="1" applyFill="1" applyBorder="1" applyAlignment="1">
      <alignment vertical="top" wrapText="1"/>
    </xf>
    <xf numFmtId="166" fontId="9" fillId="16" borderId="1" xfId="0" applyNumberFormat="1" applyFont="1" applyFill="1" applyBorder="1" applyAlignment="1">
      <alignment vertical="top" wrapText="1"/>
    </xf>
    <xf numFmtId="0" fontId="9" fillId="16" borderId="1" xfId="0" applyFont="1" applyFill="1" applyBorder="1" applyAlignment="1">
      <alignment horizontal="right" vertical="top" wrapText="1"/>
    </xf>
    <xf numFmtId="2" fontId="9" fillId="21" borderId="1" xfId="0" applyNumberFormat="1" applyFont="1" applyFill="1" applyBorder="1" applyAlignment="1">
      <alignment horizontal="right" vertical="top" wrapText="1"/>
    </xf>
    <xf numFmtId="0" fontId="9" fillId="21" borderId="1" xfId="0" applyFont="1" applyFill="1" applyBorder="1" applyAlignment="1">
      <alignment horizontal="right" vertical="top" wrapText="1"/>
    </xf>
    <xf numFmtId="2" fontId="9" fillId="21" borderId="1" xfId="0" applyNumberFormat="1" applyFont="1" applyFill="1" applyBorder="1" applyAlignment="1">
      <alignment vertical="top" wrapText="1"/>
    </xf>
    <xf numFmtId="166" fontId="9" fillId="21" borderId="1" xfId="0" applyNumberFormat="1" applyFont="1" applyFill="1" applyBorder="1" applyAlignment="1">
      <alignment horizontal="right" vertical="top" wrapText="1"/>
    </xf>
    <xf numFmtId="167" fontId="9" fillId="21" borderId="1" xfId="0" applyNumberFormat="1" applyFont="1" applyFill="1" applyBorder="1" applyAlignment="1">
      <alignment horizontal="center" vertical="top" wrapText="1"/>
    </xf>
    <xf numFmtId="165" fontId="9" fillId="21" borderId="1" xfId="0" applyNumberFormat="1" applyFont="1" applyFill="1" applyBorder="1" applyAlignment="1">
      <alignment horizontal="right" vertical="top" wrapText="1"/>
    </xf>
    <xf numFmtId="0" fontId="9" fillId="4" borderId="1" xfId="0" applyFont="1" applyFill="1" applyBorder="1" applyAlignment="1">
      <alignment vertical="top"/>
    </xf>
    <xf numFmtId="166" fontId="9" fillId="21" borderId="1" xfId="0" applyNumberFormat="1" applyFont="1" applyFill="1" applyBorder="1" applyAlignment="1">
      <alignment vertical="top" wrapText="1"/>
    </xf>
    <xf numFmtId="165" fontId="9" fillId="21" borderId="1" xfId="0" applyNumberFormat="1" applyFont="1" applyFill="1" applyBorder="1" applyAlignment="1">
      <alignment vertical="top" wrapText="1"/>
    </xf>
    <xf numFmtId="166" fontId="9" fillId="16" borderId="1" xfId="0" quotePrefix="1" applyNumberFormat="1" applyFont="1" applyFill="1" applyBorder="1" applyAlignment="1">
      <alignment vertical="top" wrapText="1"/>
    </xf>
    <xf numFmtId="0" fontId="31" fillId="21" borderId="1" xfId="0" applyFont="1" applyFill="1" applyBorder="1" applyAlignment="1">
      <alignment horizontal="left" vertical="top" wrapText="1"/>
    </xf>
    <xf numFmtId="0" fontId="31" fillId="21" borderId="1" xfId="0" applyFont="1" applyFill="1" applyBorder="1" applyAlignment="1">
      <alignment horizontal="center" vertical="top" wrapText="1"/>
    </xf>
    <xf numFmtId="2" fontId="31" fillId="21" borderId="1" xfId="0" applyNumberFormat="1" applyFont="1" applyFill="1" applyBorder="1" applyAlignment="1">
      <alignment horizontal="right" vertical="top" wrapText="1"/>
    </xf>
    <xf numFmtId="166" fontId="31" fillId="21" borderId="1" xfId="0" applyNumberFormat="1" applyFont="1" applyFill="1" applyBorder="1" applyAlignment="1">
      <alignment horizontal="left" vertical="top" wrapText="1"/>
    </xf>
    <xf numFmtId="167" fontId="31" fillId="21" borderId="1" xfId="0" applyNumberFormat="1" applyFont="1" applyFill="1" applyBorder="1" applyAlignment="1">
      <alignment horizontal="center" vertical="top" wrapText="1"/>
    </xf>
    <xf numFmtId="165" fontId="31" fillId="21" borderId="1" xfId="0" applyNumberFormat="1" applyFont="1" applyFill="1" applyBorder="1" applyAlignment="1">
      <alignment horizontal="left" vertical="top" wrapText="1"/>
    </xf>
    <xf numFmtId="0" fontId="9" fillId="8" borderId="0" xfId="0" quotePrefix="1" applyFont="1" applyFill="1" applyAlignment="1">
      <alignment horizontal="center" vertical="top" wrapText="1"/>
    </xf>
    <xf numFmtId="2" fontId="9" fillId="16" borderId="0" xfId="0" applyNumberFormat="1" applyFont="1" applyFill="1"/>
    <xf numFmtId="2" fontId="9" fillId="16" borderId="0" xfId="0" applyNumberFormat="1" applyFont="1" applyFill="1" applyAlignment="1">
      <alignment horizontal="right"/>
    </xf>
    <xf numFmtId="2" fontId="32" fillId="16" borderId="0" xfId="0" applyNumberFormat="1" applyFont="1" applyFill="1" applyAlignment="1">
      <alignment horizontal="center" vertical="top" wrapText="1"/>
    </xf>
    <xf numFmtId="2" fontId="9" fillId="8" borderId="0" xfId="0" applyNumberFormat="1" applyFont="1" applyFill="1" applyAlignment="1">
      <alignment vertical="top"/>
    </xf>
    <xf numFmtId="0" fontId="9" fillId="8" borderId="0" xfId="0" applyFont="1" applyFill="1" applyAlignment="1">
      <alignment horizontal="center" vertical="top"/>
    </xf>
    <xf numFmtId="0" fontId="9" fillId="8" borderId="0" xfId="0" applyFont="1" applyFill="1" applyAlignment="1">
      <alignment horizontal="right" vertical="top"/>
    </xf>
    <xf numFmtId="2" fontId="9" fillId="8" borderId="0" xfId="0" applyNumberFormat="1" applyFont="1" applyFill="1"/>
    <xf numFmtId="166" fontId="9" fillId="16" borderId="0" xfId="0" quotePrefix="1" applyNumberFormat="1" applyFont="1" applyFill="1" applyAlignment="1">
      <alignment horizontal="left" vertical="top"/>
    </xf>
    <xf numFmtId="166" fontId="9" fillId="16" borderId="0" xfId="0" quotePrefix="1" applyNumberFormat="1" applyFont="1" applyFill="1" applyAlignment="1">
      <alignment vertical="top"/>
    </xf>
    <xf numFmtId="0" fontId="9" fillId="20" borderId="0" xfId="0" applyFont="1" applyFill="1" applyAlignment="1">
      <alignment horizontal="center" vertical="top"/>
    </xf>
    <xf numFmtId="2" fontId="9" fillId="24" borderId="11" xfId="0" applyNumberFormat="1" applyFont="1" applyFill="1" applyBorder="1" applyAlignment="1">
      <alignment horizontal="right" vertical="top" wrapText="1"/>
    </xf>
    <xf numFmtId="0" fontId="9" fillId="8" borderId="1" xfId="0" applyFont="1" applyFill="1" applyBorder="1" applyAlignment="1">
      <alignment horizontal="center" vertical="top"/>
    </xf>
    <xf numFmtId="2" fontId="9" fillId="0" borderId="1" xfId="0" applyNumberFormat="1" applyFont="1" applyBorder="1" applyAlignment="1">
      <alignment vertical="top"/>
    </xf>
    <xf numFmtId="2" fontId="9" fillId="8" borderId="1" xfId="0" applyNumberFormat="1" applyFont="1" applyFill="1" applyBorder="1" applyAlignment="1">
      <alignment vertical="top"/>
    </xf>
    <xf numFmtId="1" fontId="9" fillId="8" borderId="1" xfId="0" quotePrefix="1" applyNumberFormat="1" applyFont="1" applyFill="1" applyBorder="1" applyAlignment="1">
      <alignment horizontal="center" vertical="top" wrapText="1"/>
    </xf>
    <xf numFmtId="166" fontId="9" fillId="16" borderId="1" xfId="0" quotePrefix="1" applyNumberFormat="1" applyFont="1" applyFill="1" applyBorder="1" applyAlignment="1">
      <alignment horizontal="center" vertical="top" wrapText="1"/>
    </xf>
    <xf numFmtId="167" fontId="31" fillId="16" borderId="1" xfId="0" applyNumberFormat="1" applyFont="1" applyFill="1" applyBorder="1" applyAlignment="1">
      <alignment horizontal="center" vertical="top" wrapText="1"/>
    </xf>
    <xf numFmtId="2" fontId="9" fillId="21" borderId="1" xfId="0" quotePrefix="1" applyNumberFormat="1" applyFont="1" applyFill="1" applyBorder="1" applyAlignment="1">
      <alignment horizontal="center" vertical="top" wrapText="1"/>
    </xf>
    <xf numFmtId="0" fontId="9" fillId="16" borderId="0" xfId="0" applyFont="1" applyFill="1" applyAlignment="1">
      <alignment vertical="top"/>
    </xf>
    <xf numFmtId="2" fontId="9" fillId="16" borderId="1" xfId="0" applyNumberFormat="1" applyFont="1" applyFill="1" applyBorder="1" applyAlignment="1">
      <alignment horizontal="right" vertical="top"/>
    </xf>
    <xf numFmtId="165" fontId="9" fillId="16" borderId="0" xfId="0" applyNumberFormat="1" applyFont="1" applyFill="1" applyAlignment="1">
      <alignment horizontal="center" vertical="top" wrapText="1"/>
    </xf>
    <xf numFmtId="0" fontId="9" fillId="8" borderId="0" xfId="4" applyFont="1" applyFill="1" applyAlignment="1">
      <alignment vertical="top" wrapText="1"/>
    </xf>
    <xf numFmtId="0" fontId="9" fillId="8" borderId="0" xfId="0" applyFont="1" applyFill="1" applyAlignment="1">
      <alignment horizontal="left"/>
    </xf>
    <xf numFmtId="2" fontId="9" fillId="8" borderId="0" xfId="5" applyNumberFormat="1" applyFont="1" applyFill="1" applyAlignment="1">
      <alignment horizontal="center" vertical="top"/>
    </xf>
    <xf numFmtId="164" fontId="9" fillId="0" borderId="0" xfId="0" applyNumberFormat="1" applyFont="1" applyAlignment="1">
      <alignment horizontal="right" vertical="top"/>
    </xf>
    <xf numFmtId="168" fontId="9" fillId="8" borderId="0" xfId="0" applyNumberFormat="1" applyFont="1" applyFill="1" applyAlignment="1">
      <alignment vertical="top" wrapText="1"/>
    </xf>
    <xf numFmtId="0" fontId="9" fillId="8" borderId="0" xfId="0" applyFont="1" applyFill="1" applyAlignment="1">
      <alignment horizontal="right" vertical="top" wrapText="1"/>
    </xf>
    <xf numFmtId="166" fontId="9" fillId="8" borderId="0" xfId="0" applyNumberFormat="1" applyFont="1" applyFill="1" applyAlignment="1">
      <alignment vertical="top" wrapText="1"/>
    </xf>
    <xf numFmtId="2" fontId="9" fillId="8" borderId="0" xfId="0" applyNumberFormat="1" applyFont="1" applyFill="1" applyAlignment="1">
      <alignment vertical="top" wrapText="1"/>
    </xf>
    <xf numFmtId="166" fontId="9" fillId="8" borderId="0" xfId="0" applyNumberFormat="1" applyFont="1" applyFill="1" applyAlignment="1">
      <alignment horizontal="center" vertical="top"/>
    </xf>
    <xf numFmtId="1" fontId="9" fillId="0" borderId="0" xfId="0" applyNumberFormat="1" applyFont="1" applyAlignment="1">
      <alignment horizontal="center" vertical="top" wrapText="1"/>
    </xf>
    <xf numFmtId="166" fontId="9" fillId="8" borderId="0" xfId="0" applyNumberFormat="1" applyFont="1" applyFill="1" applyAlignment="1">
      <alignment horizontal="center" vertical="top" wrapText="1"/>
    </xf>
    <xf numFmtId="166" fontId="9" fillId="0" borderId="0" xfId="0" applyNumberFormat="1" applyFont="1" applyAlignment="1">
      <alignment horizontal="center" vertical="top" wrapText="1"/>
    </xf>
    <xf numFmtId="2" fontId="9" fillId="0" borderId="0" xfId="0" applyNumberFormat="1" applyFont="1" applyAlignment="1">
      <alignment horizontal="center" vertical="top" wrapText="1"/>
    </xf>
    <xf numFmtId="2" fontId="9" fillId="0" borderId="0" xfId="0" applyNumberFormat="1" applyFont="1" applyAlignment="1">
      <alignment horizontal="right" vertical="top" wrapText="1"/>
    </xf>
    <xf numFmtId="2" fontId="9" fillId="8" borderId="0" xfId="0" applyNumberFormat="1" applyFont="1" applyFill="1" applyAlignment="1">
      <alignment horizontal="right" vertical="top" wrapText="1"/>
    </xf>
    <xf numFmtId="2" fontId="9" fillId="16" borderId="0" xfId="0" applyNumberFormat="1" applyFont="1" applyFill="1" applyAlignment="1">
      <alignment vertical="top" wrapText="1"/>
    </xf>
    <xf numFmtId="166" fontId="9" fillId="16" borderId="0" xfId="0" applyNumberFormat="1" applyFont="1" applyFill="1" applyAlignment="1">
      <alignment horizontal="center" vertical="top"/>
    </xf>
    <xf numFmtId="166" fontId="9" fillId="16" borderId="0" xfId="0" applyNumberFormat="1" applyFont="1" applyFill="1" applyAlignment="1">
      <alignment horizontal="center" vertical="top" wrapText="1"/>
    </xf>
    <xf numFmtId="0" fontId="10" fillId="0" borderId="0" xfId="5" applyFont="1" applyAlignment="1">
      <alignment vertical="top"/>
    </xf>
    <xf numFmtId="2" fontId="9" fillId="0" borderId="0" xfId="0" applyNumberFormat="1" applyFont="1" applyAlignment="1">
      <alignment vertical="top"/>
    </xf>
    <xf numFmtId="2" fontId="9" fillId="8" borderId="0" xfId="0" applyNumberFormat="1" applyFont="1" applyFill="1" applyAlignment="1">
      <alignment horizontal="right" wrapText="1"/>
    </xf>
    <xf numFmtId="0" fontId="10" fillId="33" borderId="1" xfId="0" applyFont="1" applyFill="1" applyBorder="1" applyAlignment="1">
      <alignment vertical="top"/>
    </xf>
    <xf numFmtId="0" fontId="10" fillId="33" borderId="1" xfId="0" applyFont="1" applyFill="1" applyBorder="1" applyAlignment="1">
      <alignment horizontal="center" vertical="top" wrapText="1"/>
    </xf>
    <xf numFmtId="0" fontId="10" fillId="33" borderId="1" xfId="0" applyFont="1" applyFill="1" applyBorder="1" applyAlignment="1">
      <alignment horizontal="left" vertical="top" wrapText="1"/>
    </xf>
    <xf numFmtId="2" fontId="10" fillId="33" borderId="1" xfId="0" applyNumberFormat="1" applyFont="1" applyFill="1" applyBorder="1" applyAlignment="1">
      <alignment horizontal="center" vertical="top" wrapText="1"/>
    </xf>
    <xf numFmtId="2" fontId="10" fillId="33" borderId="1" xfId="0" applyNumberFormat="1" applyFont="1" applyFill="1" applyBorder="1" applyAlignment="1">
      <alignment horizontal="right" vertical="top" wrapText="1"/>
    </xf>
    <xf numFmtId="166" fontId="10" fillId="33" borderId="1" xfId="0" applyNumberFormat="1" applyFont="1" applyFill="1" applyBorder="1" applyAlignment="1">
      <alignment vertical="top" wrapText="1"/>
    </xf>
    <xf numFmtId="2" fontId="10" fillId="33" borderId="1" xfId="0" applyNumberFormat="1" applyFont="1" applyFill="1" applyBorder="1" applyAlignment="1">
      <alignment vertical="top" wrapText="1"/>
    </xf>
    <xf numFmtId="166" fontId="10" fillId="33" borderId="1" xfId="0" applyNumberFormat="1" applyFont="1" applyFill="1" applyBorder="1" applyAlignment="1">
      <alignment horizontal="center" vertical="top"/>
    </xf>
    <xf numFmtId="1" fontId="10" fillId="33" borderId="1" xfId="0" applyNumberFormat="1" applyFont="1" applyFill="1" applyBorder="1" applyAlignment="1">
      <alignment horizontal="center" vertical="top" wrapText="1"/>
    </xf>
    <xf numFmtId="166" fontId="10" fillId="33" borderId="1" xfId="0" applyNumberFormat="1" applyFont="1" applyFill="1" applyBorder="1" applyAlignment="1">
      <alignment horizontal="center" vertical="top" wrapText="1"/>
    </xf>
    <xf numFmtId="166" fontId="10" fillId="33" borderId="11" xfId="0" applyNumberFormat="1" applyFont="1" applyFill="1" applyBorder="1" applyAlignment="1">
      <alignment vertical="top" wrapText="1"/>
    </xf>
    <xf numFmtId="166" fontId="10" fillId="33" borderId="11" xfId="0" applyNumberFormat="1" applyFont="1" applyFill="1" applyBorder="1" applyAlignment="1">
      <alignment horizontal="center" vertical="top" wrapText="1"/>
    </xf>
    <xf numFmtId="0" fontId="9" fillId="17" borderId="1" xfId="0" applyFont="1" applyFill="1" applyBorder="1" applyAlignment="1">
      <alignment horizontal="left" vertical="top"/>
    </xf>
    <xf numFmtId="166" fontId="9" fillId="16" borderId="0" xfId="0" applyNumberFormat="1" applyFont="1" applyFill="1" applyAlignment="1">
      <alignment vertical="top"/>
    </xf>
    <xf numFmtId="0" fontId="9" fillId="17" borderId="6" xfId="0" applyFont="1" applyFill="1" applyBorder="1" applyAlignment="1">
      <alignment vertical="top"/>
    </xf>
    <xf numFmtId="0" fontId="9" fillId="17" borderId="13" xfId="0" applyFont="1" applyFill="1" applyBorder="1" applyAlignment="1">
      <alignment horizontal="left" vertical="top" wrapText="1"/>
    </xf>
    <xf numFmtId="0" fontId="31" fillId="16" borderId="0" xfId="0" applyFont="1" applyFill="1" applyAlignment="1">
      <alignment horizontal="center" vertical="top" wrapText="1"/>
    </xf>
    <xf numFmtId="165" fontId="31" fillId="16" borderId="1" xfId="0" applyNumberFormat="1" applyFont="1" applyFill="1" applyBorder="1" applyAlignment="1">
      <alignment vertical="top" wrapText="1"/>
    </xf>
    <xf numFmtId="0" fontId="9" fillId="28" borderId="1" xfId="0" applyFont="1" applyFill="1" applyBorder="1" applyAlignment="1">
      <alignment vertical="top"/>
    </xf>
    <xf numFmtId="0" fontId="9" fillId="28" borderId="1" xfId="0" applyFont="1" applyFill="1" applyBorder="1" applyAlignment="1">
      <alignment horizontal="left" vertical="top" wrapText="1"/>
    </xf>
    <xf numFmtId="167" fontId="9" fillId="16" borderId="0" xfId="0" applyNumberFormat="1" applyFont="1" applyFill="1" applyAlignment="1">
      <alignment horizontal="center" vertical="top" wrapText="1"/>
    </xf>
    <xf numFmtId="0" fontId="9" fillId="0" borderId="11" xfId="0" applyFont="1" applyBorder="1" applyAlignment="1">
      <alignment vertical="top"/>
    </xf>
    <xf numFmtId="0" fontId="9" fillId="0" borderId="12" xfId="0" applyFont="1" applyBorder="1" applyAlignment="1">
      <alignment horizontal="center" vertical="top"/>
    </xf>
    <xf numFmtId="0" fontId="10" fillId="0" borderId="12" xfId="0" applyFont="1" applyBorder="1" applyAlignment="1">
      <alignment horizontal="center" vertical="top" wrapText="1"/>
    </xf>
    <xf numFmtId="0" fontId="9" fillId="0" borderId="12" xfId="0" applyFont="1" applyBorder="1" applyAlignment="1">
      <alignment vertical="top"/>
    </xf>
    <xf numFmtId="14" fontId="9" fillId="0" borderId="0" xfId="0" applyNumberFormat="1" applyFont="1"/>
    <xf numFmtId="14" fontId="9" fillId="0" borderId="0" xfId="0" quotePrefix="1" applyNumberFormat="1" applyFont="1" applyAlignment="1">
      <alignment horizontal="left" vertical="top"/>
    </xf>
    <xf numFmtId="166" fontId="9" fillId="8" borderId="11" xfId="0" applyNumberFormat="1" applyFont="1" applyFill="1" applyBorder="1" applyAlignment="1">
      <alignment horizontal="right" vertical="top" wrapText="1"/>
    </xf>
    <xf numFmtId="166" fontId="9" fillId="2" borderId="11" xfId="0" applyNumberFormat="1" applyFont="1" applyFill="1" applyBorder="1" applyAlignment="1">
      <alignment horizontal="right" vertical="top" wrapText="1"/>
    </xf>
    <xf numFmtId="166" fontId="9" fillId="9" borderId="11" xfId="0" applyNumberFormat="1" applyFont="1" applyFill="1" applyBorder="1" applyAlignment="1">
      <alignment horizontal="right" vertical="top" wrapText="1"/>
    </xf>
    <xf numFmtId="0" fontId="9" fillId="8" borderId="1" xfId="0" applyFont="1" applyFill="1" applyBorder="1"/>
    <xf numFmtId="166" fontId="24" fillId="10" borderId="1" xfId="0" applyNumberFormat="1" applyFont="1" applyFill="1" applyBorder="1" applyAlignment="1">
      <alignment vertical="top"/>
    </xf>
    <xf numFmtId="166" fontId="9" fillId="17" borderId="15" xfId="0" applyNumberFormat="1" applyFont="1" applyFill="1" applyBorder="1" applyAlignment="1">
      <alignment horizontal="right" vertical="top" wrapText="1"/>
    </xf>
    <xf numFmtId="0" fontId="9" fillId="0" borderId="8" xfId="0" applyFont="1" applyBorder="1" applyAlignment="1">
      <alignment vertical="top"/>
    </xf>
    <xf numFmtId="165" fontId="9" fillId="17" borderId="15" xfId="0" applyNumberFormat="1" applyFont="1" applyFill="1" applyBorder="1" applyAlignment="1">
      <alignment horizontal="right" vertical="top" wrapText="1"/>
    </xf>
    <xf numFmtId="165" fontId="9" fillId="7" borderId="13" xfId="0" applyNumberFormat="1" applyFont="1" applyFill="1" applyBorder="1" applyAlignment="1">
      <alignment horizontal="right" vertical="top" wrapText="1"/>
    </xf>
    <xf numFmtId="166" fontId="40" fillId="33" borderId="15" xfId="0" applyNumberFormat="1" applyFont="1" applyFill="1" applyBorder="1" applyAlignment="1">
      <alignment vertical="top" textRotation="90"/>
    </xf>
    <xf numFmtId="0" fontId="9" fillId="0" borderId="2" xfId="0" applyFont="1" applyBorder="1" applyAlignment="1">
      <alignment horizontal="left"/>
    </xf>
    <xf numFmtId="165" fontId="9" fillId="0" borderId="1" xfId="0" applyNumberFormat="1" applyFont="1" applyBorder="1" applyAlignment="1">
      <alignment vertical="top" wrapText="1"/>
    </xf>
    <xf numFmtId="0" fontId="10" fillId="12" borderId="5" xfId="5" applyFont="1" applyFill="1" applyBorder="1" applyAlignment="1">
      <alignment horizontal="left" vertical="top"/>
    </xf>
    <xf numFmtId="0" fontId="9" fillId="17" borderId="1" xfId="0" applyFont="1" applyFill="1" applyBorder="1" applyAlignment="1">
      <alignment horizontal="right" vertical="top" wrapText="1"/>
    </xf>
    <xf numFmtId="0" fontId="9" fillId="18" borderId="1" xfId="0" applyFont="1" applyFill="1" applyBorder="1" applyAlignment="1">
      <alignment horizontal="right" vertical="top" wrapText="1"/>
    </xf>
    <xf numFmtId="0" fontId="9" fillId="3" borderId="1" xfId="0" applyFont="1" applyFill="1" applyBorder="1" applyAlignment="1">
      <alignment horizontal="right" vertical="top" wrapText="1"/>
    </xf>
    <xf numFmtId="0" fontId="9" fillId="4" borderId="1" xfId="0" applyFont="1" applyFill="1" applyBorder="1" applyAlignment="1">
      <alignment horizontal="right" vertical="top" wrapText="1"/>
    </xf>
    <xf numFmtId="0" fontId="9" fillId="24" borderId="1" xfId="0" applyFont="1" applyFill="1" applyBorder="1" applyAlignment="1">
      <alignment horizontal="right" vertical="top" wrapText="1"/>
    </xf>
    <xf numFmtId="2" fontId="9" fillId="20" borderId="11" xfId="0" quotePrefix="1" applyNumberFormat="1" applyFont="1" applyFill="1" applyBorder="1" applyAlignment="1">
      <alignment horizontal="right" vertical="top" wrapText="1"/>
    </xf>
    <xf numFmtId="166" fontId="9" fillId="5" borderId="1" xfId="0" quotePrefix="1" applyNumberFormat="1" applyFont="1" applyFill="1" applyBorder="1" applyAlignment="1">
      <alignment horizontal="right" vertical="top" wrapText="1"/>
    </xf>
    <xf numFmtId="166" fontId="9" fillId="0" borderId="1" xfId="0" applyNumberFormat="1" applyFont="1" applyBorder="1" applyAlignment="1">
      <alignment vertical="top" wrapText="1"/>
    </xf>
    <xf numFmtId="167" fontId="9" fillId="0" borderId="1" xfId="0" applyNumberFormat="1" applyFont="1" applyBorder="1" applyAlignment="1">
      <alignment horizontal="center" vertical="top" wrapText="1"/>
    </xf>
    <xf numFmtId="2" fontId="9" fillId="0" borderId="1" xfId="0" applyNumberFormat="1" applyFont="1" applyBorder="1" applyAlignment="1">
      <alignment horizontal="right" vertical="top" wrapText="1"/>
    </xf>
    <xf numFmtId="2" fontId="9" fillId="0" borderId="1" xfId="0" applyNumberFormat="1" applyFont="1" applyBorder="1" applyAlignment="1">
      <alignment horizontal="center" vertical="top" wrapText="1"/>
    </xf>
    <xf numFmtId="167" fontId="9" fillId="5" borderId="1" xfId="0" quotePrefix="1" applyNumberFormat="1" applyFont="1" applyFill="1" applyBorder="1" applyAlignment="1">
      <alignment horizontal="center" vertical="top" wrapText="1"/>
    </xf>
    <xf numFmtId="0" fontId="9" fillId="5" borderId="1" xfId="0" quotePrefix="1" applyFont="1" applyFill="1" applyBorder="1" applyAlignment="1">
      <alignment horizontal="center" vertical="top" wrapText="1"/>
    </xf>
    <xf numFmtId="165" fontId="9" fillId="5" borderId="1" xfId="0" quotePrefix="1" applyNumberFormat="1" applyFont="1" applyFill="1" applyBorder="1" applyAlignment="1">
      <alignment horizontal="right" vertical="top" wrapText="1"/>
    </xf>
    <xf numFmtId="1" fontId="9" fillId="16" borderId="1" xfId="0" applyNumberFormat="1" applyFont="1" applyFill="1" applyBorder="1" applyAlignment="1">
      <alignment horizontal="center" vertical="top" wrapText="1"/>
    </xf>
    <xf numFmtId="0" fontId="6" fillId="0" borderId="0" xfId="5" applyFont="1" applyAlignment="1">
      <alignment horizontal="center" vertical="top" wrapText="1"/>
    </xf>
    <xf numFmtId="2" fontId="42" fillId="0" borderId="0" xfId="0" applyNumberFormat="1" applyFont="1" applyAlignment="1">
      <alignment horizontal="center" vertical="top" wrapText="1"/>
    </xf>
    <xf numFmtId="0" fontId="32" fillId="33" borderId="8" xfId="0" applyFont="1" applyFill="1" applyBorder="1" applyAlignment="1">
      <alignment horizontal="center" vertical="top" wrapText="1"/>
    </xf>
    <xf numFmtId="0" fontId="32" fillId="33" borderId="7" xfId="0" applyFont="1" applyFill="1" applyBorder="1" applyAlignment="1">
      <alignment horizontal="center" vertical="top" wrapText="1"/>
    </xf>
    <xf numFmtId="0" fontId="0" fillId="8" borderId="0" xfId="0" applyFill="1" applyAlignment="1">
      <alignment horizontal="center" vertical="top"/>
    </xf>
    <xf numFmtId="2" fontId="2" fillId="24" borderId="1" xfId="3" applyNumberFormat="1" applyFont="1" applyFill="1" applyBorder="1" applyAlignment="1">
      <alignment vertical="top"/>
    </xf>
    <xf numFmtId="170" fontId="2" fillId="24" borderId="1" xfId="3" applyNumberFormat="1" applyFont="1" applyFill="1" applyBorder="1" applyAlignment="1">
      <alignment vertical="top"/>
    </xf>
    <xf numFmtId="164" fontId="2" fillId="30" borderId="1" xfId="0" applyNumberFormat="1" applyFont="1" applyFill="1" applyBorder="1" applyAlignment="1">
      <alignment horizontal="center" vertical="top" wrapText="1"/>
    </xf>
    <xf numFmtId="0" fontId="2" fillId="16" borderId="1" xfId="0" applyFont="1" applyFill="1" applyBorder="1" applyAlignment="1">
      <alignment horizontal="center" vertical="top" wrapText="1"/>
    </xf>
    <xf numFmtId="0" fontId="2" fillId="16" borderId="11" xfId="0" applyFont="1" applyFill="1" applyBorder="1" applyAlignment="1">
      <alignment horizontal="center" vertical="top" wrapText="1"/>
    </xf>
    <xf numFmtId="2" fontId="2" fillId="24" borderId="1" xfId="0" applyNumberFormat="1" applyFont="1" applyFill="1" applyBorder="1" applyAlignment="1" applyProtection="1">
      <alignment horizontal="center" vertical="top"/>
      <protection locked="0"/>
    </xf>
    <xf numFmtId="0" fontId="2" fillId="8" borderId="0" xfId="0" applyFont="1" applyFill="1" applyAlignment="1">
      <alignment vertical="top"/>
    </xf>
    <xf numFmtId="2" fontId="2" fillId="24" borderId="1" xfId="0" applyNumberFormat="1" applyFont="1" applyFill="1" applyBorder="1" applyAlignment="1">
      <alignment horizontal="center" vertical="top"/>
    </xf>
    <xf numFmtId="170" fontId="2" fillId="24" borderId="1" xfId="0" applyNumberFormat="1" applyFont="1" applyFill="1" applyBorder="1" applyAlignment="1">
      <alignment horizontal="center" vertical="top"/>
    </xf>
    <xf numFmtId="0" fontId="43" fillId="33" borderId="0" xfId="0" applyFont="1" applyFill="1" applyAlignment="1">
      <alignment horizontal="left" vertical="top"/>
    </xf>
    <xf numFmtId="0" fontId="46" fillId="16" borderId="0" xfId="0" applyFont="1" applyFill="1" applyAlignment="1">
      <alignment horizontal="center" vertical="top"/>
    </xf>
    <xf numFmtId="2" fontId="10" fillId="0" borderId="3" xfId="0" applyNumberFormat="1" applyFont="1" applyBorder="1" applyAlignment="1">
      <alignment horizontal="center" vertical="top" wrapText="1"/>
    </xf>
    <xf numFmtId="0" fontId="34" fillId="0" borderId="0" xfId="0" applyFont="1" applyAlignment="1">
      <alignment vertical="center"/>
    </xf>
    <xf numFmtId="0" fontId="2" fillId="16" borderId="3" xfId="0" applyFont="1" applyFill="1" applyBorder="1" applyAlignment="1">
      <alignment horizontal="left" vertical="top"/>
    </xf>
    <xf numFmtId="0" fontId="2" fillId="16" borderId="1" xfId="0" applyFont="1" applyFill="1" applyBorder="1" applyAlignment="1">
      <alignment horizontal="left" vertical="top" wrapText="1"/>
    </xf>
    <xf numFmtId="0" fontId="2" fillId="16" borderId="6" xfId="0" applyFont="1" applyFill="1" applyBorder="1" applyAlignment="1">
      <alignment horizontal="left" vertical="top"/>
    </xf>
    <xf numFmtId="0" fontId="2" fillId="16" borderId="13" xfId="0" applyFont="1" applyFill="1" applyBorder="1" applyAlignment="1">
      <alignment horizontal="left" vertical="top" wrapText="1"/>
    </xf>
    <xf numFmtId="0" fontId="32" fillId="33" borderId="0" xfId="0" applyFont="1" applyFill="1" applyAlignment="1">
      <alignment horizontal="center" vertical="top" wrapText="1"/>
    </xf>
    <xf numFmtId="2" fontId="32" fillId="33" borderId="3" xfId="0" applyNumberFormat="1" applyFont="1" applyFill="1" applyBorder="1" applyAlignment="1">
      <alignment vertical="top" wrapText="1"/>
    </xf>
    <xf numFmtId="2" fontId="32" fillId="33" borderId="21" xfId="0" applyNumberFormat="1" applyFont="1" applyFill="1" applyBorder="1" applyAlignment="1">
      <alignment vertical="top" wrapText="1"/>
    </xf>
    <xf numFmtId="2" fontId="32" fillId="33" borderId="22" xfId="0" applyNumberFormat="1" applyFont="1" applyFill="1" applyBorder="1" applyAlignment="1">
      <alignment vertical="top" wrapText="1"/>
    </xf>
    <xf numFmtId="2" fontId="32" fillId="33" borderId="23" xfId="0" applyNumberFormat="1" applyFont="1" applyFill="1" applyBorder="1" applyAlignment="1">
      <alignment vertical="top" wrapText="1"/>
    </xf>
    <xf numFmtId="2" fontId="32" fillId="33" borderId="22" xfId="0" applyNumberFormat="1" applyFont="1" applyFill="1" applyBorder="1" applyAlignment="1">
      <alignment horizontal="center" vertical="top" wrapText="1"/>
    </xf>
    <xf numFmtId="2" fontId="32" fillId="33" borderId="8" xfId="0" applyNumberFormat="1" applyFont="1" applyFill="1" applyBorder="1" applyAlignment="1">
      <alignment vertical="top" wrapText="1"/>
    </xf>
    <xf numFmtId="2" fontId="32" fillId="33" borderId="0" xfId="0" applyNumberFormat="1" applyFont="1" applyFill="1" applyAlignment="1">
      <alignment vertical="top" wrapText="1"/>
    </xf>
    <xf numFmtId="170" fontId="2" fillId="38" borderId="1" xfId="0" applyNumberFormat="1" applyFont="1" applyFill="1" applyBorder="1" applyAlignment="1">
      <alignment horizontal="center" vertical="top"/>
    </xf>
    <xf numFmtId="170" fontId="2" fillId="22" borderId="1" xfId="0" applyNumberFormat="1" applyFont="1" applyFill="1" applyBorder="1" applyAlignment="1">
      <alignment horizontal="center" vertical="top"/>
    </xf>
    <xf numFmtId="0" fontId="9" fillId="29" borderId="11" xfId="0" applyFont="1" applyFill="1" applyBorder="1"/>
    <xf numFmtId="0" fontId="9" fillId="8" borderId="3" xfId="0" applyFont="1" applyFill="1" applyBorder="1" applyAlignment="1">
      <alignment horizontal="right" vertical="top"/>
    </xf>
    <xf numFmtId="2" fontId="9" fillId="21" borderId="11" xfId="0" quotePrefix="1" applyNumberFormat="1" applyFont="1" applyFill="1" applyBorder="1" applyAlignment="1">
      <alignment horizontal="center" vertical="top" wrapText="1"/>
    </xf>
    <xf numFmtId="0" fontId="32" fillId="33" borderId="15" xfId="0" applyFont="1" applyFill="1" applyBorder="1" applyAlignment="1">
      <alignment vertical="top"/>
    </xf>
    <xf numFmtId="0" fontId="32" fillId="33" borderId="7" xfId="0" applyFont="1" applyFill="1" applyBorder="1" applyAlignment="1">
      <alignment vertical="top" wrapText="1"/>
    </xf>
    <xf numFmtId="2" fontId="32" fillId="33" borderId="15" xfId="0" applyNumberFormat="1" applyFont="1" applyFill="1" applyBorder="1" applyAlignment="1">
      <alignment horizontal="right" vertical="top" wrapText="1"/>
    </xf>
    <xf numFmtId="0" fontId="9" fillId="21" borderId="6" xfId="0" applyFont="1" applyFill="1" applyBorder="1" applyAlignment="1">
      <alignment vertical="top"/>
    </xf>
    <xf numFmtId="0" fontId="9" fillId="21" borderId="13" xfId="0" applyFont="1" applyFill="1" applyBorder="1" applyAlignment="1">
      <alignment horizontal="left" vertical="top" wrapText="1"/>
    </xf>
    <xf numFmtId="0" fontId="9" fillId="24" borderId="13" xfId="0" applyFont="1" applyFill="1" applyBorder="1" applyAlignment="1">
      <alignment horizontal="left" vertical="top" wrapText="1"/>
    </xf>
    <xf numFmtId="0" fontId="31" fillId="21" borderId="13" xfId="0" applyFont="1" applyFill="1" applyBorder="1" applyAlignment="1">
      <alignment horizontal="left" vertical="top" wrapText="1"/>
    </xf>
    <xf numFmtId="0" fontId="31" fillId="21" borderId="13" xfId="0" applyFont="1" applyFill="1" applyBorder="1" applyAlignment="1">
      <alignment horizontal="right" vertical="top" wrapText="1"/>
    </xf>
    <xf numFmtId="2" fontId="9" fillId="25" borderId="1" xfId="0" applyNumberFormat="1" applyFont="1" applyFill="1" applyBorder="1" applyAlignment="1" applyProtection="1">
      <alignment horizontal="right" vertical="top" wrapText="1"/>
      <protection locked="0"/>
    </xf>
    <xf numFmtId="0" fontId="32" fillId="33" borderId="15" xfId="0" applyFont="1" applyFill="1" applyBorder="1" applyAlignment="1">
      <alignment vertical="top" wrapText="1"/>
    </xf>
    <xf numFmtId="0" fontId="9" fillId="8" borderId="3" xfId="0" applyFont="1" applyFill="1" applyBorder="1"/>
    <xf numFmtId="2" fontId="32" fillId="33" borderId="7" xfId="0" applyNumberFormat="1" applyFont="1" applyFill="1" applyBorder="1" applyAlignment="1">
      <alignment horizontal="center" vertical="top" wrapText="1"/>
    </xf>
    <xf numFmtId="0" fontId="9" fillId="16" borderId="0" xfId="0" applyFont="1" applyFill="1" applyAlignment="1">
      <alignment horizontal="left"/>
    </xf>
    <xf numFmtId="164" fontId="10" fillId="8" borderId="13" xfId="4" applyNumberFormat="1" applyFont="1" applyFill="1" applyBorder="1" applyAlignment="1">
      <alignment horizontal="right" vertical="top"/>
    </xf>
    <xf numFmtId="0" fontId="9" fillId="33" borderId="11" xfId="0" applyFont="1" applyFill="1" applyBorder="1"/>
    <xf numFmtId="0" fontId="9" fillId="33" borderId="12" xfId="0" applyFont="1" applyFill="1" applyBorder="1"/>
    <xf numFmtId="0" fontId="24" fillId="33" borderId="12" xfId="0" applyFont="1" applyFill="1" applyBorder="1" applyAlignment="1">
      <alignment vertical="top" wrapText="1"/>
    </xf>
    <xf numFmtId="0" fontId="16" fillId="33" borderId="3" xfId="0" applyFont="1" applyFill="1" applyBorder="1" applyAlignment="1">
      <alignment horizontal="center" vertical="top"/>
    </xf>
    <xf numFmtId="0" fontId="9" fillId="2" borderId="3" xfId="0" applyFont="1" applyFill="1" applyBorder="1" applyAlignment="1">
      <alignment vertical="top"/>
    </xf>
    <xf numFmtId="0" fontId="9" fillId="9" borderId="3" xfId="0" applyFont="1" applyFill="1" applyBorder="1" applyAlignment="1">
      <alignment vertical="top"/>
    </xf>
    <xf numFmtId="0" fontId="9" fillId="5" borderId="3" xfId="0" applyFont="1" applyFill="1" applyBorder="1" applyAlignment="1">
      <alignment vertical="top"/>
    </xf>
    <xf numFmtId="0" fontId="9" fillId="5" borderId="15" xfId="0" applyFont="1" applyFill="1" applyBorder="1" applyAlignment="1">
      <alignment horizontal="center" vertical="top" wrapText="1"/>
    </xf>
    <xf numFmtId="166" fontId="9" fillId="8" borderId="15" xfId="0" applyNumberFormat="1" applyFont="1" applyFill="1" applyBorder="1" applyAlignment="1">
      <alignment horizontal="right" vertical="top" wrapText="1"/>
    </xf>
    <xf numFmtId="166" fontId="9" fillId="0" borderId="15" xfId="0" applyNumberFormat="1" applyFont="1" applyBorder="1" applyAlignment="1">
      <alignment horizontal="center" vertical="top" textRotation="90"/>
    </xf>
    <xf numFmtId="166" fontId="9" fillId="0" borderId="15" xfId="0" applyNumberFormat="1" applyFont="1" applyBorder="1" applyAlignment="1">
      <alignment horizontal="center" vertical="top" textRotation="90" wrapText="1"/>
    </xf>
    <xf numFmtId="166" fontId="9" fillId="8" borderId="7" xfId="0" applyNumberFormat="1" applyFont="1" applyFill="1" applyBorder="1" applyAlignment="1">
      <alignment horizontal="right" vertical="top" wrapText="1"/>
    </xf>
    <xf numFmtId="0" fontId="9" fillId="6" borderId="6" xfId="0" applyFont="1" applyFill="1" applyBorder="1" applyAlignment="1">
      <alignment vertical="top"/>
    </xf>
    <xf numFmtId="0" fontId="9" fillId="6" borderId="13" xfId="0" applyFont="1" applyFill="1" applyBorder="1" applyAlignment="1">
      <alignment horizontal="left" vertical="top" wrapText="1"/>
    </xf>
    <xf numFmtId="0" fontId="9" fillId="6" borderId="13" xfId="0" quotePrefix="1" applyFont="1" applyFill="1" applyBorder="1" applyAlignment="1">
      <alignment horizontal="center" vertical="top" wrapText="1"/>
    </xf>
    <xf numFmtId="166" fontId="9" fillId="6" borderId="13" xfId="0" applyNumberFormat="1" applyFont="1" applyFill="1" applyBorder="1" applyAlignment="1">
      <alignment horizontal="right" vertical="top" wrapText="1"/>
    </xf>
    <xf numFmtId="166" fontId="9" fillId="6" borderId="4" xfId="0" applyNumberFormat="1" applyFont="1" applyFill="1" applyBorder="1" applyAlignment="1">
      <alignment horizontal="right" vertical="top" wrapText="1"/>
    </xf>
    <xf numFmtId="0" fontId="9" fillId="40" borderId="8" xfId="0" applyFont="1" applyFill="1" applyBorder="1" applyAlignment="1">
      <alignment vertical="top"/>
    </xf>
    <xf numFmtId="0" fontId="9" fillId="40" borderId="15" xfId="0" applyFont="1" applyFill="1" applyBorder="1" applyAlignment="1">
      <alignment horizontal="center" vertical="top" wrapText="1"/>
    </xf>
    <xf numFmtId="0" fontId="9" fillId="40" borderId="15" xfId="0" applyFont="1" applyFill="1" applyBorder="1" applyAlignment="1">
      <alignment horizontal="left" vertical="top" wrapText="1"/>
    </xf>
    <xf numFmtId="0" fontId="9" fillId="43" borderId="12" xfId="0" applyFont="1" applyFill="1" applyBorder="1" applyAlignment="1">
      <alignment horizontal="center" wrapText="1"/>
    </xf>
    <xf numFmtId="0" fontId="9" fillId="43" borderId="12" xfId="0" applyFont="1" applyFill="1" applyBorder="1" applyAlignment="1">
      <alignment horizontal="center"/>
    </xf>
    <xf numFmtId="0" fontId="9" fillId="43" borderId="3" xfId="0" applyFont="1" applyFill="1" applyBorder="1" applyAlignment="1">
      <alignment horizontal="center"/>
    </xf>
    <xf numFmtId="0" fontId="9" fillId="43" borderId="11" xfId="0" applyFont="1" applyFill="1" applyBorder="1" applyAlignment="1">
      <alignment horizontal="center" wrapText="1"/>
    </xf>
    <xf numFmtId="0" fontId="9" fillId="43" borderId="12" xfId="0" applyFont="1" applyFill="1" applyBorder="1" applyAlignment="1">
      <alignment horizontal="left" wrapText="1"/>
    </xf>
    <xf numFmtId="0" fontId="9" fillId="43" borderId="3" xfId="0" applyFont="1" applyFill="1" applyBorder="1" applyAlignment="1">
      <alignment horizontal="left" wrapText="1"/>
    </xf>
    <xf numFmtId="164" fontId="9" fillId="43" borderId="4" xfId="0" applyNumberFormat="1" applyFont="1" applyFill="1" applyBorder="1" applyAlignment="1">
      <alignment horizontal="center" vertical="top"/>
    </xf>
    <xf numFmtId="0" fontId="9" fillId="43" borderId="5" xfId="0" applyFont="1" applyFill="1" applyBorder="1" applyAlignment="1">
      <alignment horizontal="center" vertical="top"/>
    </xf>
    <xf numFmtId="0" fontId="9" fillId="43" borderId="6" xfId="0" applyFont="1" applyFill="1" applyBorder="1" applyAlignment="1">
      <alignment horizontal="center" vertical="top"/>
    </xf>
    <xf numFmtId="0" fontId="9" fillId="43" borderId="5" xfId="0" applyFont="1" applyFill="1" applyBorder="1" applyAlignment="1">
      <alignment horizontal="center" vertical="top" wrapText="1"/>
    </xf>
    <xf numFmtId="0" fontId="9" fillId="43" borderId="6" xfId="0" applyFont="1" applyFill="1" applyBorder="1" applyAlignment="1">
      <alignment horizontal="center" vertical="top" wrapText="1"/>
    </xf>
    <xf numFmtId="0" fontId="9" fillId="43" borderId="9" xfId="0" applyFont="1" applyFill="1" applyBorder="1" applyAlignment="1">
      <alignment vertical="top"/>
    </xf>
    <xf numFmtId="0" fontId="9" fillId="0" borderId="5" xfId="0" quotePrefix="1" applyFont="1" applyBorder="1" applyAlignment="1">
      <alignment horizontal="left" vertical="top"/>
    </xf>
    <xf numFmtId="0" fontId="9" fillId="0" borderId="0" xfId="0" quotePrefix="1" applyFont="1" applyAlignment="1">
      <alignment horizontal="left" vertical="top"/>
    </xf>
    <xf numFmtId="2" fontId="9" fillId="20" borderId="3" xfId="0" applyNumberFormat="1" applyFont="1" applyFill="1" applyBorder="1" applyAlignment="1">
      <alignment horizontal="center" vertical="top" wrapText="1"/>
    </xf>
    <xf numFmtId="2" fontId="9" fillId="21" borderId="3" xfId="0" applyNumberFormat="1" applyFont="1" applyFill="1" applyBorder="1" applyAlignment="1">
      <alignment horizontal="center" vertical="top" wrapText="1"/>
    </xf>
    <xf numFmtId="10" fontId="9" fillId="16" borderId="10" xfId="6" applyNumberFormat="1" applyFont="1" applyFill="1" applyBorder="1" applyAlignment="1">
      <alignment horizontal="center" vertical="top"/>
    </xf>
    <xf numFmtId="0" fontId="47" fillId="16" borderId="1" xfId="0" applyFont="1" applyFill="1" applyBorder="1" applyAlignment="1">
      <alignment vertical="top" wrapText="1"/>
    </xf>
    <xf numFmtId="0" fontId="47" fillId="16" borderId="13" xfId="0" applyFont="1" applyFill="1" applyBorder="1" applyAlignment="1">
      <alignment vertical="top" wrapText="1"/>
    </xf>
    <xf numFmtId="0" fontId="27" fillId="16" borderId="0" xfId="5" applyFont="1" applyFill="1" applyAlignment="1">
      <alignment horizontal="center" vertical="top" wrapText="1"/>
    </xf>
    <xf numFmtId="0" fontId="27" fillId="0" borderId="0" xfId="5" applyFont="1" applyAlignment="1">
      <alignment horizontal="center" vertical="top" wrapText="1"/>
    </xf>
    <xf numFmtId="0" fontId="2" fillId="16" borderId="0" xfId="0" applyFont="1" applyFill="1" applyAlignment="1">
      <alignment vertical="top"/>
    </xf>
    <xf numFmtId="2" fontId="2" fillId="8" borderId="0" xfId="0" applyNumberFormat="1" applyFont="1" applyFill="1" applyAlignment="1">
      <alignment vertical="top"/>
    </xf>
    <xf numFmtId="0" fontId="2" fillId="0" borderId="0" xfId="0" applyFont="1" applyAlignment="1">
      <alignment vertical="top"/>
    </xf>
    <xf numFmtId="165" fontId="2" fillId="16" borderId="0" xfId="0" applyNumberFormat="1" applyFont="1" applyFill="1" applyAlignment="1">
      <alignment vertical="top"/>
    </xf>
    <xf numFmtId="165" fontId="2" fillId="16" borderId="0" xfId="0" applyNumberFormat="1" applyFont="1" applyFill="1" applyAlignment="1">
      <alignment horizontal="center" vertical="top" wrapText="1"/>
    </xf>
    <xf numFmtId="165" fontId="2" fillId="16" borderId="0" xfId="0" applyNumberFormat="1" applyFont="1" applyFill="1" applyAlignment="1">
      <alignment horizontal="right" vertical="top" wrapText="1"/>
    </xf>
    <xf numFmtId="165" fontId="2" fillId="23" borderId="0" xfId="0" applyNumberFormat="1" applyFont="1" applyFill="1" applyAlignment="1">
      <alignment horizontal="center" vertical="top" wrapText="1"/>
    </xf>
    <xf numFmtId="1" fontId="29" fillId="16" borderId="0" xfId="0" applyNumberFormat="1" applyFont="1" applyFill="1" applyAlignment="1">
      <alignment vertical="top"/>
    </xf>
    <xf numFmtId="166" fontId="9" fillId="0" borderId="1" xfId="0" quotePrefix="1" applyNumberFormat="1" applyFont="1" applyBorder="1" applyAlignment="1">
      <alignment horizontal="center" vertical="top"/>
    </xf>
    <xf numFmtId="0" fontId="9" fillId="20" borderId="1" xfId="0" applyFont="1" applyFill="1" applyBorder="1" applyAlignment="1">
      <alignment horizontal="center" vertical="top"/>
    </xf>
    <xf numFmtId="165" fontId="9" fillId="5" borderId="1" xfId="0" quotePrefix="1" applyNumberFormat="1" applyFont="1" applyFill="1" applyBorder="1" applyAlignment="1">
      <alignment horizontal="center" vertical="top" wrapText="1"/>
    </xf>
    <xf numFmtId="0" fontId="10" fillId="12" borderId="3" xfId="5" applyFont="1" applyFill="1" applyBorder="1" applyAlignment="1">
      <alignment horizontal="right" vertical="top"/>
    </xf>
    <xf numFmtId="1" fontId="9" fillId="0" borderId="0" xfId="0" applyNumberFormat="1" applyFont="1" applyAlignment="1">
      <alignment horizontal="right"/>
    </xf>
    <xf numFmtId="3" fontId="10" fillId="0" borderId="0" xfId="4" applyNumberFormat="1" applyFont="1" applyAlignment="1">
      <alignment horizontal="right" vertical="top" wrapText="1"/>
    </xf>
    <xf numFmtId="0" fontId="9" fillId="8" borderId="0" xfId="0" quotePrefix="1" applyFont="1" applyFill="1" applyAlignment="1">
      <alignment horizontal="right" vertical="top" wrapText="1"/>
    </xf>
    <xf numFmtId="0" fontId="9" fillId="8" borderId="0" xfId="0" applyFont="1" applyFill="1" applyAlignment="1">
      <alignment horizontal="right"/>
    </xf>
    <xf numFmtId="0" fontId="9" fillId="20" borderId="11" xfId="0" applyFont="1" applyFill="1" applyBorder="1" applyAlignment="1">
      <alignment horizontal="right" vertical="top" wrapText="1"/>
    </xf>
    <xf numFmtId="2" fontId="9" fillId="0" borderId="0" xfId="0" applyNumberFormat="1" applyFont="1" applyAlignment="1">
      <alignment horizontal="center"/>
    </xf>
    <xf numFmtId="2" fontId="9" fillId="8" borderId="0" xfId="0" applyNumberFormat="1" applyFont="1" applyFill="1" applyAlignment="1">
      <alignment horizontal="center" wrapText="1"/>
    </xf>
    <xf numFmtId="2" fontId="9" fillId="5" borderId="1" xfId="0" applyNumberFormat="1" applyFont="1" applyFill="1" applyBorder="1" applyAlignment="1">
      <alignment horizontal="center" vertical="top" wrapText="1"/>
    </xf>
    <xf numFmtId="2" fontId="9" fillId="14" borderId="1" xfId="0" applyNumberFormat="1" applyFont="1" applyFill="1" applyBorder="1" applyAlignment="1">
      <alignment horizontal="center" vertical="top" wrapText="1"/>
    </xf>
    <xf numFmtId="2" fontId="9" fillId="8" borderId="0" xfId="0" applyNumberFormat="1" applyFont="1" applyFill="1" applyAlignment="1">
      <alignment horizontal="center"/>
    </xf>
    <xf numFmtId="2" fontId="9" fillId="8" borderId="1" xfId="0" applyNumberFormat="1" applyFont="1" applyFill="1" applyBorder="1" applyAlignment="1">
      <alignment horizontal="center" vertical="top"/>
    </xf>
    <xf numFmtId="2" fontId="9" fillId="0" borderId="1" xfId="0" applyNumberFormat="1" applyFont="1" applyBorder="1" applyAlignment="1">
      <alignment horizontal="center" vertical="top"/>
    </xf>
    <xf numFmtId="166" fontId="10" fillId="33" borderId="15" xfId="0" applyNumberFormat="1" applyFont="1" applyFill="1" applyBorder="1" applyAlignment="1">
      <alignment horizontal="center" vertical="top" wrapText="1"/>
    </xf>
    <xf numFmtId="166" fontId="9" fillId="16" borderId="1" xfId="0" applyNumberFormat="1" applyFont="1" applyFill="1" applyBorder="1" applyAlignment="1">
      <alignment vertical="top"/>
    </xf>
    <xf numFmtId="0" fontId="9" fillId="0" borderId="0" xfId="0" applyFont="1" applyAlignment="1">
      <alignment horizontal="right" wrapText="1"/>
    </xf>
    <xf numFmtId="10" fontId="9" fillId="16" borderId="4" xfId="6" applyNumberFormat="1" applyFont="1" applyFill="1" applyBorder="1" applyAlignment="1">
      <alignment horizontal="center" vertical="top" wrapText="1"/>
    </xf>
    <xf numFmtId="0" fontId="32" fillId="33" borderId="0" xfId="0" applyFont="1" applyFill="1" applyAlignment="1">
      <alignment vertical="top" wrapText="1"/>
    </xf>
    <xf numFmtId="170" fontId="49" fillId="0" borderId="0" xfId="0" applyNumberFormat="1" applyFont="1" applyAlignment="1">
      <alignment vertical="top"/>
    </xf>
    <xf numFmtId="166" fontId="31" fillId="18" borderId="1" xfId="0" applyNumberFormat="1" applyFont="1" applyFill="1" applyBorder="1" applyAlignment="1">
      <alignment horizontal="right" vertical="top" wrapText="1"/>
    </xf>
    <xf numFmtId="166" fontId="31" fillId="17" borderId="1" xfId="0" applyNumberFormat="1" applyFont="1" applyFill="1" applyBorder="1" applyAlignment="1">
      <alignment horizontal="right" vertical="top" wrapText="1"/>
    </xf>
    <xf numFmtId="165" fontId="9" fillId="18" borderId="1" xfId="2" applyNumberFormat="1" applyFont="1" applyFill="1" applyBorder="1" applyAlignment="1">
      <alignment horizontal="right" vertical="top" wrapText="1"/>
    </xf>
    <xf numFmtId="165" fontId="9" fillId="8" borderId="1" xfId="2" applyNumberFormat="1" applyFont="1" applyFill="1" applyBorder="1" applyAlignment="1">
      <alignment horizontal="right" vertical="top" wrapText="1"/>
    </xf>
    <xf numFmtId="165" fontId="9" fillId="3" borderId="1" xfId="2" applyNumberFormat="1" applyFont="1" applyFill="1" applyBorder="1" applyAlignment="1">
      <alignment horizontal="right" vertical="top" wrapText="1"/>
    </xf>
    <xf numFmtId="165" fontId="9" fillId="17" borderId="1" xfId="2" applyNumberFormat="1" applyFont="1" applyFill="1" applyBorder="1" applyAlignment="1">
      <alignment horizontal="right" vertical="top" wrapText="1"/>
    </xf>
    <xf numFmtId="165" fontId="9" fillId="8" borderId="3" xfId="2" applyNumberFormat="1" applyFont="1" applyFill="1" applyBorder="1" applyAlignment="1">
      <alignment horizontal="right" vertical="top" wrapText="1"/>
    </xf>
    <xf numFmtId="165" fontId="9" fillId="17" borderId="3" xfId="2" applyNumberFormat="1" applyFont="1" applyFill="1" applyBorder="1" applyAlignment="1">
      <alignment horizontal="right" vertical="top" wrapText="1"/>
    </xf>
    <xf numFmtId="165" fontId="9" fillId="18" borderId="3" xfId="2" applyNumberFormat="1" applyFont="1" applyFill="1" applyBorder="1" applyAlignment="1">
      <alignment horizontal="right" vertical="top" wrapText="1"/>
    </xf>
    <xf numFmtId="165" fontId="9" fillId="4" borderId="3" xfId="2" applyNumberFormat="1" applyFont="1" applyFill="1" applyBorder="1" applyAlignment="1">
      <alignment horizontal="right" vertical="top" wrapText="1"/>
    </xf>
    <xf numFmtId="165" fontId="9" fillId="4" borderId="1" xfId="2" applyNumberFormat="1" applyFont="1" applyFill="1" applyBorder="1" applyAlignment="1">
      <alignment horizontal="right" vertical="top" wrapText="1"/>
    </xf>
    <xf numFmtId="166" fontId="9" fillId="8" borderId="1" xfId="2" applyNumberFormat="1" applyFont="1" applyFill="1" applyBorder="1" applyAlignment="1">
      <alignment horizontal="right" vertical="top" wrapText="1"/>
    </xf>
    <xf numFmtId="166" fontId="9" fillId="3" borderId="1" xfId="2" applyNumberFormat="1" applyFont="1" applyFill="1" applyBorder="1" applyAlignment="1">
      <alignment horizontal="right" vertical="top" wrapText="1"/>
    </xf>
    <xf numFmtId="166" fontId="9" fillId="4" borderId="1" xfId="2" applyNumberFormat="1" applyFont="1" applyFill="1" applyBorder="1" applyAlignment="1">
      <alignment horizontal="right" vertical="top" wrapText="1"/>
    </xf>
    <xf numFmtId="166" fontId="9" fillId="7" borderId="13" xfId="0" applyNumberFormat="1" applyFont="1" applyFill="1" applyBorder="1" applyAlignment="1">
      <alignment horizontal="right" vertical="top"/>
    </xf>
    <xf numFmtId="166" fontId="9" fillId="2" borderId="1" xfId="2" applyNumberFormat="1" applyFont="1" applyFill="1" applyBorder="1" applyAlignment="1">
      <alignment horizontal="right" vertical="top"/>
    </xf>
    <xf numFmtId="166" fontId="9" fillId="9" borderId="1" xfId="2" applyNumberFormat="1" applyFont="1" applyFill="1" applyBorder="1" applyAlignment="1">
      <alignment horizontal="right" vertical="top" wrapText="1"/>
    </xf>
    <xf numFmtId="166" fontId="9" fillId="2" borderId="1" xfId="2" applyNumberFormat="1" applyFont="1" applyFill="1" applyBorder="1" applyAlignment="1">
      <alignment horizontal="right" vertical="top" wrapText="1"/>
    </xf>
    <xf numFmtId="0" fontId="9" fillId="0" borderId="10" xfId="0" applyFont="1" applyBorder="1" applyAlignment="1">
      <alignment horizontal="center" wrapText="1"/>
    </xf>
    <xf numFmtId="167" fontId="9" fillId="0" borderId="0" xfId="6" quotePrefix="1" applyNumberFormat="1" applyFont="1" applyAlignment="1">
      <alignment horizontal="center" vertical="top"/>
    </xf>
    <xf numFmtId="0" fontId="9" fillId="0" borderId="0" xfId="0" applyFont="1" applyAlignment="1">
      <alignment horizontal="left"/>
    </xf>
    <xf numFmtId="0" fontId="9" fillId="16" borderId="13" xfId="0" applyFont="1" applyFill="1" applyBorder="1" applyAlignment="1">
      <alignment horizontal="center" wrapText="1"/>
    </xf>
    <xf numFmtId="2" fontId="9" fillId="0" borderId="1" xfId="0" applyNumberFormat="1" applyFont="1" applyBorder="1" applyAlignment="1">
      <alignment vertical="top" wrapText="1"/>
    </xf>
    <xf numFmtId="0" fontId="10" fillId="43" borderId="11" xfId="0" applyFont="1" applyFill="1" applyBorder="1" applyAlignment="1">
      <alignment horizontal="right" vertical="top"/>
    </xf>
    <xf numFmtId="0" fontId="49" fillId="0" borderId="0" xfId="0" quotePrefix="1" applyFont="1" applyAlignment="1">
      <alignment vertical="top"/>
    </xf>
    <xf numFmtId="0" fontId="6" fillId="0" borderId="15" xfId="5" applyFont="1" applyBorder="1" applyAlignment="1">
      <alignment vertical="top" wrapText="1"/>
    </xf>
    <xf numFmtId="0" fontId="6" fillId="0" borderId="1" xfId="5" applyFont="1" applyBorder="1" applyAlignment="1">
      <alignment vertical="top" wrapText="1"/>
    </xf>
    <xf numFmtId="1" fontId="6" fillId="0" borderId="1" xfId="0" applyNumberFormat="1" applyFont="1" applyBorder="1" applyAlignment="1">
      <alignment vertical="top" wrapText="1"/>
    </xf>
    <xf numFmtId="170" fontId="2" fillId="30" borderId="1" xfId="0" quotePrefix="1" applyNumberFormat="1" applyFont="1" applyFill="1" applyBorder="1" applyAlignment="1">
      <alignment horizontal="center" vertical="top" wrapText="1"/>
    </xf>
    <xf numFmtId="1" fontId="9" fillId="21" borderId="1" xfId="0" applyNumberFormat="1" applyFont="1" applyFill="1" applyBorder="1" applyAlignment="1">
      <alignment horizontal="right" vertical="top" wrapText="1"/>
    </xf>
    <xf numFmtId="1" fontId="9" fillId="21" borderId="1" xfId="0" applyNumberFormat="1" applyFont="1" applyFill="1" applyBorder="1" applyAlignment="1">
      <alignment horizontal="center" vertical="top" wrapText="1"/>
    </xf>
    <xf numFmtId="167" fontId="9" fillId="0" borderId="4" xfId="6" quotePrefix="1" applyNumberFormat="1" applyFont="1" applyBorder="1" applyAlignment="1">
      <alignment horizontal="center" vertical="top"/>
    </xf>
    <xf numFmtId="167" fontId="9" fillId="0" borderId="10" xfId="6" quotePrefix="1" applyNumberFormat="1" applyFont="1" applyBorder="1" applyAlignment="1">
      <alignment horizontal="center" vertical="top"/>
    </xf>
    <xf numFmtId="167" fontId="9" fillId="0" borderId="7" xfId="6" quotePrefix="1" applyNumberFormat="1" applyFont="1" applyBorder="1" applyAlignment="1">
      <alignment horizontal="center" vertical="top"/>
    </xf>
    <xf numFmtId="2" fontId="9" fillId="0" borderId="13" xfId="0" applyNumberFormat="1" applyFont="1" applyBorder="1" applyAlignment="1">
      <alignment horizontal="center" vertical="top"/>
    </xf>
    <xf numFmtId="2" fontId="9" fillId="0" borderId="14" xfId="0" applyNumberFormat="1" applyFont="1" applyBorder="1" applyAlignment="1">
      <alignment horizontal="center" vertical="top"/>
    </xf>
    <xf numFmtId="2" fontId="9" fillId="0" borderId="15" xfId="0" applyNumberFormat="1" applyFont="1" applyBorder="1" applyAlignment="1">
      <alignment horizontal="center" vertical="top"/>
    </xf>
    <xf numFmtId="167" fontId="9" fillId="16" borderId="13" xfId="6" quotePrefix="1" applyNumberFormat="1" applyFont="1" applyFill="1" applyBorder="1" applyAlignment="1">
      <alignment horizontal="center" vertical="top"/>
    </xf>
    <xf numFmtId="167" fontId="9" fillId="16" borderId="14" xfId="6" quotePrefix="1" applyNumberFormat="1" applyFont="1" applyFill="1" applyBorder="1" applyAlignment="1">
      <alignment horizontal="center" vertical="top"/>
    </xf>
    <xf numFmtId="167" fontId="9" fillId="16" borderId="15" xfId="6" quotePrefix="1" applyNumberFormat="1" applyFont="1" applyFill="1" applyBorder="1" applyAlignment="1">
      <alignment horizontal="center" vertical="top"/>
    </xf>
    <xf numFmtId="0" fontId="9" fillId="0" borderId="6" xfId="0" applyFont="1" applyBorder="1" applyAlignment="1">
      <alignment vertical="top"/>
    </xf>
    <xf numFmtId="167" fontId="9" fillId="16" borderId="10" xfId="6" quotePrefix="1" applyNumberFormat="1" applyFont="1" applyFill="1" applyBorder="1" applyAlignment="1">
      <alignment horizontal="center" vertical="top"/>
    </xf>
    <xf numFmtId="167" fontId="9" fillId="16" borderId="7" xfId="6" quotePrefix="1" applyNumberFormat="1" applyFont="1" applyFill="1" applyBorder="1" applyAlignment="1">
      <alignment horizontal="center" vertical="top"/>
    </xf>
    <xf numFmtId="0" fontId="9" fillId="0" borderId="1" xfId="0" applyFont="1" applyBorder="1" applyAlignment="1">
      <alignment horizontal="center" wrapText="1"/>
    </xf>
    <xf numFmtId="0" fontId="9" fillId="16" borderId="14" xfId="0" quotePrefix="1" applyFont="1" applyFill="1" applyBorder="1" applyAlignment="1">
      <alignment vertical="top"/>
    </xf>
    <xf numFmtId="0" fontId="9" fillId="16" borderId="15" xfId="0" quotePrefix="1" applyFont="1" applyFill="1" applyBorder="1" applyAlignment="1">
      <alignment vertical="top"/>
    </xf>
    <xf numFmtId="0" fontId="9" fillId="43" borderId="1" xfId="0" applyFont="1" applyFill="1" applyBorder="1" applyAlignment="1">
      <alignment horizontal="center" wrapText="1"/>
    </xf>
    <xf numFmtId="164" fontId="9" fillId="43" borderId="13" xfId="0" applyNumberFormat="1" applyFont="1" applyFill="1" applyBorder="1" applyAlignment="1">
      <alignment horizontal="center" vertical="top"/>
    </xf>
    <xf numFmtId="167" fontId="9" fillId="43" borderId="14" xfId="0" quotePrefix="1" applyNumberFormat="1" applyFont="1" applyFill="1" applyBorder="1" applyAlignment="1">
      <alignment horizontal="center" vertical="top"/>
    </xf>
    <xf numFmtId="167" fontId="9" fillId="43" borderId="15" xfId="0" quotePrefix="1" applyNumberFormat="1" applyFont="1" applyFill="1" applyBorder="1" applyAlignment="1">
      <alignment horizontal="center" vertical="top"/>
    </xf>
    <xf numFmtId="0" fontId="9" fillId="43" borderId="11" xfId="0" applyFont="1" applyFill="1" applyBorder="1" applyAlignment="1">
      <alignment horizontal="center"/>
    </xf>
    <xf numFmtId="0" fontId="9" fillId="43" borderId="4" xfId="0" applyFont="1" applyFill="1" applyBorder="1" applyAlignment="1">
      <alignment horizontal="center" vertical="top"/>
    </xf>
    <xf numFmtId="0" fontId="9" fillId="43" borderId="10" xfId="0" applyFont="1" applyFill="1" applyBorder="1" applyAlignment="1">
      <alignment horizontal="left" vertical="top"/>
    </xf>
    <xf numFmtId="0" fontId="9" fillId="43" borderId="9" xfId="0" applyFont="1" applyFill="1" applyBorder="1" applyAlignment="1">
      <alignment horizontal="left" vertical="top"/>
    </xf>
    <xf numFmtId="0" fontId="9" fillId="43" borderId="7" xfId="0" applyFont="1" applyFill="1" applyBorder="1" applyAlignment="1">
      <alignment horizontal="left" vertical="top"/>
    </xf>
    <xf numFmtId="0" fontId="9" fillId="43" borderId="8" xfId="0" applyFont="1" applyFill="1" applyBorder="1" applyAlignment="1">
      <alignment horizontal="left" vertical="top"/>
    </xf>
    <xf numFmtId="167" fontId="9" fillId="43" borderId="14" xfId="6" quotePrefix="1" applyNumberFormat="1" applyFont="1" applyFill="1" applyBorder="1" applyAlignment="1">
      <alignment horizontal="center" vertical="top"/>
    </xf>
    <xf numFmtId="167" fontId="9" fillId="43" borderId="15" xfId="6" quotePrefix="1" applyNumberFormat="1" applyFont="1" applyFill="1" applyBorder="1" applyAlignment="1">
      <alignment horizontal="center" vertical="top"/>
    </xf>
    <xf numFmtId="0" fontId="9" fillId="43" borderId="6" xfId="0" applyFont="1" applyFill="1" applyBorder="1" applyAlignment="1">
      <alignment horizontal="left" vertical="top"/>
    </xf>
    <xf numFmtId="0" fontId="9" fillId="43" borderId="8" xfId="0" applyFont="1" applyFill="1" applyBorder="1" applyAlignment="1">
      <alignment vertical="top"/>
    </xf>
    <xf numFmtId="167" fontId="9" fillId="43" borderId="4" xfId="6" quotePrefix="1" applyNumberFormat="1" applyFont="1" applyFill="1" applyBorder="1" applyAlignment="1">
      <alignment horizontal="center" vertical="top"/>
    </xf>
    <xf numFmtId="0" fontId="9" fillId="43" borderId="6" xfId="0" applyFont="1" applyFill="1" applyBorder="1" applyAlignment="1">
      <alignment vertical="top"/>
    </xf>
    <xf numFmtId="167" fontId="9" fillId="43" borderId="10" xfId="6" quotePrefix="1" applyNumberFormat="1" applyFont="1" applyFill="1" applyBorder="1" applyAlignment="1">
      <alignment horizontal="center" vertical="top"/>
    </xf>
    <xf numFmtId="167" fontId="9" fillId="43" borderId="7" xfId="6" quotePrefix="1" applyNumberFormat="1" applyFont="1" applyFill="1" applyBorder="1" applyAlignment="1">
      <alignment horizontal="center" vertical="top"/>
    </xf>
    <xf numFmtId="0" fontId="32" fillId="33" borderId="8" xfId="0" applyFont="1" applyFill="1" applyBorder="1" applyAlignment="1">
      <alignment vertical="top" wrapText="1"/>
    </xf>
    <xf numFmtId="166" fontId="32" fillId="39" borderId="15" xfId="0" applyNumberFormat="1" applyFont="1" applyFill="1" applyBorder="1" applyAlignment="1">
      <alignment vertical="top" textRotation="90"/>
    </xf>
    <xf numFmtId="166" fontId="31" fillId="17" borderId="1" xfId="0" applyNumberFormat="1" applyFont="1" applyFill="1" applyBorder="1" applyAlignment="1">
      <alignment horizontal="right" vertical="top"/>
    </xf>
    <xf numFmtId="166" fontId="9" fillId="16" borderId="1" xfId="0" quotePrefix="1" applyNumberFormat="1" applyFont="1" applyFill="1" applyBorder="1" applyAlignment="1">
      <alignment horizontal="center" vertical="top"/>
    </xf>
    <xf numFmtId="166" fontId="9" fillId="0" borderId="1" xfId="0" quotePrefix="1" applyNumberFormat="1" applyFont="1" applyBorder="1" applyAlignment="1">
      <alignment horizontal="center" vertical="top" wrapText="1"/>
    </xf>
    <xf numFmtId="166" fontId="9" fillId="16" borderId="0" xfId="0" quotePrefix="1" applyNumberFormat="1" applyFont="1" applyFill="1" applyAlignment="1">
      <alignment horizontal="center" vertical="top"/>
    </xf>
    <xf numFmtId="166" fontId="9" fillId="16" borderId="0" xfId="0" quotePrefix="1" applyNumberFormat="1" applyFont="1" applyFill="1" applyAlignment="1">
      <alignment horizontal="center" vertical="top" wrapText="1"/>
    </xf>
    <xf numFmtId="0" fontId="9" fillId="0" borderId="1" xfId="0" applyFont="1" applyBorder="1" applyAlignment="1">
      <alignment horizontal="center" vertical="top"/>
    </xf>
    <xf numFmtId="0" fontId="9" fillId="0" borderId="1" xfId="0" applyFont="1" applyBorder="1" applyAlignment="1">
      <alignment vertical="top"/>
    </xf>
    <xf numFmtId="166" fontId="31" fillId="3" borderId="1" xfId="0" applyNumberFormat="1" applyFont="1" applyFill="1" applyBorder="1" applyAlignment="1">
      <alignment horizontal="right" vertical="top" wrapText="1"/>
    </xf>
    <xf numFmtId="166" fontId="31" fillId="4" borderId="1" xfId="0" applyNumberFormat="1" applyFont="1" applyFill="1" applyBorder="1" applyAlignment="1">
      <alignment horizontal="right" vertical="top" wrapText="1"/>
    </xf>
    <xf numFmtId="166" fontId="31" fillId="18" borderId="19" xfId="10" applyNumberFormat="1" applyFont="1" applyFill="1" applyBorder="1" applyAlignment="1">
      <alignment horizontal="right" vertical="top" wrapText="1"/>
    </xf>
    <xf numFmtId="166" fontId="31" fillId="8" borderId="19" xfId="10" applyNumberFormat="1" applyFont="1" applyFill="1" applyBorder="1" applyAlignment="1">
      <alignment horizontal="right" vertical="top" wrapText="1"/>
    </xf>
    <xf numFmtId="166" fontId="31" fillId="4" borderId="19" xfId="10" applyNumberFormat="1" applyFont="1" applyFill="1" applyBorder="1" applyAlignment="1">
      <alignment horizontal="right" vertical="top" wrapText="1"/>
    </xf>
    <xf numFmtId="166" fontId="31" fillId="17" borderId="19" xfId="10" applyNumberFormat="1" applyFont="1" applyFill="1" applyBorder="1" applyAlignment="1">
      <alignment horizontal="right" vertical="top" wrapText="1"/>
    </xf>
    <xf numFmtId="166" fontId="31" fillId="3" borderId="19" xfId="10" applyNumberFormat="1" applyFont="1" applyFill="1" applyBorder="1" applyAlignment="1">
      <alignment horizontal="right" vertical="top" wrapText="1"/>
    </xf>
    <xf numFmtId="166" fontId="9" fillId="3" borderId="11" xfId="10" applyNumberFormat="1" applyFont="1" applyFill="1" applyBorder="1" applyAlignment="1">
      <alignment horizontal="right" vertical="top" wrapText="1"/>
    </xf>
    <xf numFmtId="166" fontId="9" fillId="4" borderId="11" xfId="10" applyNumberFormat="1" applyFont="1" applyFill="1" applyBorder="1" applyAlignment="1">
      <alignment horizontal="right" vertical="top" wrapText="1"/>
    </xf>
    <xf numFmtId="166" fontId="9" fillId="8" borderId="11" xfId="10" applyNumberFormat="1" applyFont="1" applyFill="1" applyBorder="1" applyAlignment="1">
      <alignment horizontal="right" vertical="top" wrapText="1"/>
    </xf>
    <xf numFmtId="166" fontId="9" fillId="18" borderId="11" xfId="10" applyNumberFormat="1" applyFont="1" applyFill="1" applyBorder="1" applyAlignment="1">
      <alignment horizontal="right" vertical="top" wrapText="1"/>
    </xf>
    <xf numFmtId="166" fontId="9" fillId="17" borderId="11" xfId="10" applyNumberFormat="1" applyFont="1" applyFill="1" applyBorder="1" applyAlignment="1">
      <alignment horizontal="right" vertical="top" wrapText="1"/>
    </xf>
    <xf numFmtId="0" fontId="9" fillId="43" borderId="0" xfId="0" applyFont="1" applyFill="1" applyAlignment="1">
      <alignment horizontal="center" vertical="top"/>
    </xf>
    <xf numFmtId="0" fontId="41" fillId="0" borderId="0" xfId="1" applyFont="1" applyAlignment="1" applyProtection="1">
      <alignment horizontal="center" vertical="top" wrapText="1"/>
    </xf>
    <xf numFmtId="0" fontId="41" fillId="0" borderId="0" xfId="1" applyFont="1" applyProtection="1">
      <alignment vertical="top"/>
    </xf>
    <xf numFmtId="0" fontId="35" fillId="0" borderId="0" xfId="0" applyFont="1"/>
    <xf numFmtId="0" fontId="10" fillId="40" borderId="15" xfId="0" applyFont="1" applyFill="1" applyBorder="1" applyAlignment="1">
      <alignment horizontal="center" vertical="center" textRotation="90"/>
    </xf>
    <xf numFmtId="0" fontId="10" fillId="40" borderId="14" xfId="0" applyFont="1" applyFill="1" applyBorder="1" applyAlignment="1">
      <alignment vertical="center" textRotation="90" wrapText="1"/>
    </xf>
    <xf numFmtId="0" fontId="10" fillId="40" borderId="15" xfId="0" applyFont="1" applyFill="1" applyBorder="1" applyAlignment="1">
      <alignment vertical="center" textRotation="90" wrapText="1"/>
    </xf>
    <xf numFmtId="0" fontId="9" fillId="40" borderId="10" xfId="0" applyFont="1" applyFill="1" applyBorder="1" applyAlignment="1">
      <alignment horizontal="center" vertical="top" wrapText="1"/>
    </xf>
    <xf numFmtId="0" fontId="2" fillId="40" borderId="9" xfId="0" applyFont="1" applyFill="1" applyBorder="1" applyAlignment="1">
      <alignment horizontal="center" vertical="top" wrapText="1"/>
    </xf>
    <xf numFmtId="164" fontId="9" fillId="40" borderId="10" xfId="0" applyNumberFormat="1" applyFont="1" applyFill="1" applyBorder="1" applyAlignment="1">
      <alignment horizontal="center" vertical="top"/>
    </xf>
    <xf numFmtId="0" fontId="9" fillId="40" borderId="9" xfId="0" applyFont="1" applyFill="1" applyBorder="1"/>
    <xf numFmtId="167" fontId="9" fillId="40" borderId="10" xfId="6" quotePrefix="1" applyNumberFormat="1" applyFont="1" applyFill="1" applyBorder="1" applyAlignment="1">
      <alignment horizontal="center" vertical="top"/>
    </xf>
    <xf numFmtId="167" fontId="9" fillId="40" borderId="9" xfId="6" quotePrefix="1" applyNumberFormat="1" applyFont="1" applyFill="1" applyBorder="1" applyAlignment="1">
      <alignment horizontal="center" vertical="top"/>
    </xf>
    <xf numFmtId="0" fontId="9" fillId="40" borderId="10" xfId="0" applyFont="1" applyFill="1" applyBorder="1" applyAlignment="1">
      <alignment vertical="top"/>
    </xf>
    <xf numFmtId="164" fontId="9" fillId="40" borderId="7" xfId="0" applyNumberFormat="1" applyFont="1" applyFill="1" applyBorder="1" applyAlignment="1">
      <alignment horizontal="center" vertical="top"/>
    </xf>
    <xf numFmtId="0" fontId="9" fillId="40" borderId="8" xfId="0" applyFont="1" applyFill="1" applyBorder="1"/>
    <xf numFmtId="0" fontId="9" fillId="44" borderId="11" xfId="0" applyFont="1" applyFill="1" applyBorder="1"/>
    <xf numFmtId="0" fontId="9" fillId="44" borderId="10" xfId="0" applyFont="1" applyFill="1" applyBorder="1"/>
    <xf numFmtId="0" fontId="9" fillId="0" borderId="0" xfId="0" applyFont="1" applyAlignment="1">
      <alignment horizontal="right"/>
    </xf>
    <xf numFmtId="167" fontId="9" fillId="16" borderId="0" xfId="6" applyNumberFormat="1" applyFont="1" applyFill="1" applyAlignment="1">
      <alignment horizontal="center"/>
    </xf>
    <xf numFmtId="0" fontId="9" fillId="16" borderId="14" xfId="0" applyFont="1" applyFill="1" applyBorder="1" applyAlignment="1">
      <alignment horizontal="center" wrapText="1"/>
    </xf>
    <xf numFmtId="0" fontId="9" fillId="0" borderId="15" xfId="0" applyFont="1" applyBorder="1" applyAlignment="1">
      <alignment horizontal="center" wrapText="1"/>
    </xf>
    <xf numFmtId="0" fontId="9" fillId="0" borderId="12" xfId="0" applyFont="1" applyBorder="1"/>
    <xf numFmtId="167" fontId="9" fillId="0" borderId="12" xfId="6" quotePrefix="1" applyNumberFormat="1" applyFont="1" applyBorder="1" applyAlignment="1">
      <alignment horizontal="center" vertical="top"/>
    </xf>
    <xf numFmtId="0" fontId="9" fillId="0" borderId="12" xfId="0" applyFont="1" applyBorder="1" applyAlignment="1">
      <alignment horizontal="left"/>
    </xf>
    <xf numFmtId="0" fontId="9" fillId="16" borderId="12" xfId="0" applyFont="1" applyFill="1" applyBorder="1" applyAlignment="1">
      <alignment horizontal="right"/>
    </xf>
    <xf numFmtId="1" fontId="9" fillId="16" borderId="12" xfId="0" applyNumberFormat="1" applyFont="1" applyFill="1" applyBorder="1" applyAlignment="1">
      <alignment horizontal="center"/>
    </xf>
    <xf numFmtId="0" fontId="9" fillId="44" borderId="1" xfId="0" applyFont="1" applyFill="1" applyBorder="1"/>
    <xf numFmtId="0" fontId="9" fillId="0" borderId="11" xfId="0" applyFont="1" applyBorder="1" applyAlignment="1">
      <alignment horizontal="center" wrapText="1"/>
    </xf>
    <xf numFmtId="0" fontId="10" fillId="0" borderId="0" xfId="0" applyFont="1" applyAlignment="1">
      <alignment horizontal="center" vertical="top" wrapText="1"/>
    </xf>
    <xf numFmtId="2" fontId="10" fillId="0" borderId="0" xfId="0" applyNumberFormat="1" applyFont="1" applyAlignment="1">
      <alignment horizontal="center" vertical="top" wrapText="1"/>
    </xf>
    <xf numFmtId="0" fontId="9" fillId="0" borderId="0" xfId="0" applyFont="1" applyAlignment="1">
      <alignment vertical="top" wrapText="1"/>
    </xf>
    <xf numFmtId="0" fontId="10" fillId="0" borderId="5" xfId="0" applyFont="1" applyBorder="1" applyAlignment="1">
      <alignment horizontal="center" vertical="top" wrapText="1"/>
    </xf>
    <xf numFmtId="0" fontId="9" fillId="40" borderId="0" xfId="0" applyFont="1" applyFill="1"/>
    <xf numFmtId="0" fontId="9" fillId="44" borderId="3" xfId="0" applyFont="1" applyFill="1" applyBorder="1"/>
    <xf numFmtId="0" fontId="10" fillId="44" borderId="4" xfId="0" applyFont="1" applyFill="1" applyBorder="1" applyAlignment="1">
      <alignment horizontal="center" vertical="center" textRotation="90"/>
    </xf>
    <xf numFmtId="0" fontId="9" fillId="44" borderId="5" xfId="0" applyFont="1" applyFill="1" applyBorder="1" applyAlignment="1">
      <alignment horizontal="left" vertical="top" wrapText="1"/>
    </xf>
    <xf numFmtId="0" fontId="9" fillId="44" borderId="5" xfId="0" applyFont="1" applyFill="1" applyBorder="1" applyAlignment="1">
      <alignment horizontal="left" vertical="top"/>
    </xf>
    <xf numFmtId="164" fontId="9" fillId="44" borderId="5" xfId="0" quotePrefix="1" applyNumberFormat="1" applyFont="1" applyFill="1" applyBorder="1" applyAlignment="1">
      <alignment horizontal="center" vertical="top"/>
    </xf>
    <xf numFmtId="0" fontId="9" fillId="44" borderId="5" xfId="0" quotePrefix="1" applyFont="1" applyFill="1" applyBorder="1" applyAlignment="1">
      <alignment horizontal="left" vertical="top" wrapText="1"/>
    </xf>
    <xf numFmtId="164" fontId="9" fillId="44" borderId="6" xfId="0" applyNumberFormat="1" applyFont="1" applyFill="1" applyBorder="1" applyAlignment="1">
      <alignment horizontal="center" vertical="top"/>
    </xf>
    <xf numFmtId="0" fontId="10" fillId="44" borderId="7" xfId="0" applyFont="1" applyFill="1" applyBorder="1" applyAlignment="1">
      <alignment horizontal="center" vertical="center" textRotation="90"/>
    </xf>
    <xf numFmtId="0" fontId="9" fillId="0" borderId="5" xfId="0" quotePrefix="1" applyFont="1" applyBorder="1" applyAlignment="1">
      <alignment horizontal="left"/>
    </xf>
    <xf numFmtId="0" fontId="9" fillId="0" borderId="5" xfId="0" quotePrefix="1" applyFont="1" applyBorder="1"/>
    <xf numFmtId="0" fontId="9" fillId="0" borderId="5" xfId="0" applyFont="1" applyBorder="1" applyAlignment="1">
      <alignment horizontal="center" vertical="top"/>
    </xf>
    <xf numFmtId="0" fontId="9" fillId="0" borderId="0" xfId="0" applyFont="1" applyAlignment="1">
      <alignment horizontal="center" vertical="top"/>
    </xf>
    <xf numFmtId="0" fontId="41" fillId="0" borderId="0" xfId="1" applyFont="1" applyAlignment="1" applyProtection="1">
      <alignment horizontal="center" vertical="top"/>
    </xf>
    <xf numFmtId="0" fontId="9" fillId="43" borderId="2" xfId="0" applyFont="1" applyFill="1" applyBorder="1" applyAlignment="1">
      <alignment horizontal="center" vertical="top"/>
    </xf>
    <xf numFmtId="0" fontId="9" fillId="40" borderId="0" xfId="0" applyFont="1" applyFill="1" applyAlignment="1">
      <alignment horizontal="center"/>
    </xf>
    <xf numFmtId="0" fontId="9" fillId="0" borderId="5" xfId="0" applyFont="1" applyBorder="1" applyAlignment="1">
      <alignment horizontal="center"/>
    </xf>
    <xf numFmtId="0" fontId="9" fillId="0" borderId="12" xfId="0" applyFont="1" applyBorder="1" applyAlignment="1">
      <alignment horizontal="center"/>
    </xf>
    <xf numFmtId="0" fontId="9" fillId="0" borderId="5" xfId="0" quotePrefix="1" applyFont="1" applyBorder="1" applyAlignment="1">
      <alignment horizontal="center"/>
    </xf>
    <xf numFmtId="0" fontId="9" fillId="0" borderId="6" xfId="0" applyFont="1" applyBorder="1" applyAlignment="1">
      <alignment horizontal="right" vertical="top"/>
    </xf>
    <xf numFmtId="0" fontId="9" fillId="0" borderId="9" xfId="0" applyFont="1" applyBorder="1" applyAlignment="1">
      <alignment horizontal="right" vertical="top"/>
    </xf>
    <xf numFmtId="0" fontId="9" fillId="0" borderId="8" xfId="0" applyFont="1" applyBorder="1" applyAlignment="1">
      <alignment horizontal="right" vertical="top"/>
    </xf>
    <xf numFmtId="0" fontId="9" fillId="16" borderId="12" xfId="0" applyFont="1" applyFill="1" applyBorder="1" applyAlignment="1">
      <alignment horizontal="center" wrapText="1"/>
    </xf>
    <xf numFmtId="0" fontId="9" fillId="16" borderId="2" xfId="0" quotePrefix="1" applyFont="1" applyFill="1" applyBorder="1" applyAlignment="1">
      <alignment horizontal="center" vertical="top" wrapText="1"/>
    </xf>
    <xf numFmtId="10" fontId="9" fillId="16" borderId="4" xfId="6" applyNumberFormat="1" applyFont="1" applyFill="1" applyBorder="1" applyAlignment="1">
      <alignment horizontal="center" vertical="top"/>
    </xf>
    <xf numFmtId="0" fontId="32" fillId="0" borderId="0" xfId="0" applyFont="1" applyAlignment="1">
      <alignment horizontal="center" vertical="top" wrapText="1"/>
    </xf>
    <xf numFmtId="0" fontId="32" fillId="0" borderId="0" xfId="0" applyFont="1" applyAlignment="1">
      <alignment horizontal="left" vertical="top" wrapText="1"/>
    </xf>
    <xf numFmtId="2" fontId="32" fillId="0" borderId="0" xfId="0" applyNumberFormat="1" applyFont="1" applyAlignment="1">
      <alignment horizontal="center" vertical="top" wrapText="1"/>
    </xf>
    <xf numFmtId="2" fontId="32" fillId="0" borderId="0" xfId="0" applyNumberFormat="1" applyFont="1" applyAlignment="1">
      <alignment vertical="top" wrapText="1"/>
    </xf>
    <xf numFmtId="2" fontId="32" fillId="0" borderId="0" xfId="0" applyNumberFormat="1" applyFont="1" applyAlignment="1">
      <alignment horizontal="left" vertical="top" wrapText="1"/>
    </xf>
    <xf numFmtId="0" fontId="10" fillId="0" borderId="10" xfId="0" applyFont="1" applyBorder="1" applyAlignment="1">
      <alignment horizontal="center" vertical="top" wrapText="1"/>
    </xf>
    <xf numFmtId="0" fontId="10" fillId="0" borderId="9" xfId="0" applyFont="1" applyBorder="1" applyAlignment="1">
      <alignment vertical="top" wrapText="1"/>
    </xf>
    <xf numFmtId="0" fontId="9" fillId="0" borderId="0" xfId="0" quotePrefix="1" applyFont="1" applyAlignment="1">
      <alignment horizontal="left"/>
    </xf>
    <xf numFmtId="0" fontId="9" fillId="0" borderId="0" xfId="0" quotePrefix="1" applyFont="1" applyAlignment="1">
      <alignment horizontal="center"/>
    </xf>
    <xf numFmtId="0" fontId="9" fillId="0" borderId="0" xfId="0" quotePrefix="1" applyFont="1"/>
    <xf numFmtId="0" fontId="9" fillId="0" borderId="2" xfId="0" quotePrefix="1" applyFont="1" applyBorder="1" applyAlignment="1">
      <alignment horizontal="left"/>
    </xf>
    <xf numFmtId="0" fontId="9" fillId="0" borderId="2" xfId="0" quotePrefix="1" applyFont="1" applyBorder="1" applyAlignment="1">
      <alignment horizontal="center"/>
    </xf>
    <xf numFmtId="0" fontId="9" fillId="0" borderId="2" xfId="0" quotePrefix="1" applyFont="1" applyBorder="1"/>
    <xf numFmtId="0" fontId="9" fillId="0" borderId="6" xfId="0" quotePrefix="1" applyFont="1" applyBorder="1" applyAlignment="1">
      <alignment horizontal="center"/>
    </xf>
    <xf numFmtId="0" fontId="9" fillId="0" borderId="9" xfId="0" quotePrefix="1" applyFont="1" applyBorder="1" applyAlignment="1">
      <alignment horizontal="center"/>
    </xf>
    <xf numFmtId="0" fontId="9" fillId="0" borderId="8" xfId="0" quotePrefix="1" applyFont="1" applyBorder="1" applyAlignment="1">
      <alignment horizontal="center"/>
    </xf>
    <xf numFmtId="0" fontId="9" fillId="24" borderId="4" xfId="0" applyFont="1" applyFill="1" applyBorder="1"/>
    <xf numFmtId="0" fontId="9" fillId="24" borderId="5" xfId="0" applyFont="1" applyFill="1" applyBorder="1"/>
    <xf numFmtId="0" fontId="9" fillId="24" borderId="6" xfId="0" applyFont="1" applyFill="1" applyBorder="1"/>
    <xf numFmtId="0" fontId="9" fillId="24" borderId="0" xfId="0" applyFont="1" applyFill="1"/>
    <xf numFmtId="0" fontId="9" fillId="24" borderId="9" xfId="0" applyFont="1" applyFill="1" applyBorder="1"/>
    <xf numFmtId="0" fontId="9" fillId="24" borderId="0" xfId="0" applyFont="1" applyFill="1" applyAlignment="1">
      <alignment vertical="top" wrapText="1"/>
    </xf>
    <xf numFmtId="0" fontId="9" fillId="24" borderId="12" xfId="0" applyFont="1" applyFill="1" applyBorder="1" applyAlignment="1">
      <alignment horizontal="center"/>
    </xf>
    <xf numFmtId="0" fontId="9" fillId="24" borderId="3" xfId="0" applyFont="1" applyFill="1" applyBorder="1" applyAlignment="1">
      <alignment horizontal="center"/>
    </xf>
    <xf numFmtId="0" fontId="9" fillId="24" borderId="11" xfId="0" applyFont="1" applyFill="1" applyBorder="1" applyAlignment="1">
      <alignment wrapText="1"/>
    </xf>
    <xf numFmtId="0" fontId="9" fillId="24" borderId="12" xfId="0" applyFont="1" applyFill="1" applyBorder="1" applyAlignment="1">
      <alignment horizontal="center" wrapText="1"/>
    </xf>
    <xf numFmtId="0" fontId="9" fillId="24" borderId="3" xfId="0" applyFont="1" applyFill="1" applyBorder="1" applyAlignment="1">
      <alignment horizontal="center" wrapText="1"/>
    </xf>
    <xf numFmtId="0" fontId="10" fillId="24" borderId="12" xfId="0" applyFont="1" applyFill="1" applyBorder="1" applyAlignment="1">
      <alignment horizontal="center" wrapText="1"/>
    </xf>
    <xf numFmtId="0" fontId="9" fillId="24" borderId="11" xfId="0" applyFont="1" applyFill="1" applyBorder="1" applyAlignment="1">
      <alignment horizontal="center" wrapText="1"/>
    </xf>
    <xf numFmtId="0" fontId="9" fillId="24" borderId="12" xfId="0" applyFont="1" applyFill="1" applyBorder="1"/>
    <xf numFmtId="0" fontId="9" fillId="24" borderId="12" xfId="0" applyFont="1" applyFill="1" applyBorder="1" applyAlignment="1">
      <alignment horizontal="left"/>
    </xf>
    <xf numFmtId="2" fontId="9" fillId="24" borderId="0" xfId="0" quotePrefix="1" applyNumberFormat="1" applyFont="1" applyFill="1" applyAlignment="1">
      <alignment horizontal="center" vertical="top" wrapText="1"/>
    </xf>
    <xf numFmtId="0" fontId="9" fillId="24" borderId="5" xfId="0" applyFont="1" applyFill="1" applyBorder="1" applyAlignment="1">
      <alignment vertical="top" wrapText="1"/>
    </xf>
    <xf numFmtId="2" fontId="9" fillId="24" borderId="5" xfId="0" quotePrefix="1" applyNumberFormat="1" applyFont="1" applyFill="1" applyBorder="1" applyAlignment="1">
      <alignment horizontal="center" vertical="top" wrapText="1"/>
    </xf>
    <xf numFmtId="0" fontId="9" fillId="24" borderId="12" xfId="0" applyFont="1" applyFill="1" applyBorder="1" applyAlignment="1">
      <alignment wrapText="1"/>
    </xf>
    <xf numFmtId="0" fontId="9" fillId="24" borderId="12" xfId="0" quotePrefix="1" applyFont="1" applyFill="1" applyBorder="1" applyAlignment="1">
      <alignment horizontal="center"/>
    </xf>
    <xf numFmtId="0" fontId="9" fillId="24" borderId="3" xfId="0" quotePrefix="1" applyFont="1" applyFill="1" applyBorder="1" applyAlignment="1">
      <alignment horizontal="center"/>
    </xf>
    <xf numFmtId="0" fontId="10" fillId="24" borderId="4" xfId="0" applyFont="1" applyFill="1" applyBorder="1" applyAlignment="1">
      <alignment wrapText="1"/>
    </xf>
    <xf numFmtId="0" fontId="10" fillId="24" borderId="5" xfId="0" applyFont="1" applyFill="1" applyBorder="1" applyAlignment="1">
      <alignment horizontal="center" wrapText="1"/>
    </xf>
    <xf numFmtId="0" fontId="10" fillId="24" borderId="6" xfId="0" applyFont="1" applyFill="1" applyBorder="1" applyAlignment="1">
      <alignment horizontal="center" wrapText="1"/>
    </xf>
    <xf numFmtId="0" fontId="9" fillId="24" borderId="5" xfId="0" applyFont="1" applyFill="1" applyBorder="1" applyAlignment="1">
      <alignment horizontal="center" wrapText="1"/>
    </xf>
    <xf numFmtId="0" fontId="9" fillId="24" borderId="6" xfId="0" applyFont="1" applyFill="1" applyBorder="1" applyAlignment="1">
      <alignment horizontal="center" wrapText="1"/>
    </xf>
    <xf numFmtId="10" fontId="9" fillId="24" borderId="10" xfId="6" applyNumberFormat="1" applyFont="1" applyFill="1" applyBorder="1" applyAlignment="1">
      <alignment horizontal="center" vertical="top"/>
    </xf>
    <xf numFmtId="0" fontId="9" fillId="24" borderId="0" xfId="0" applyFont="1" applyFill="1" applyAlignment="1">
      <alignment horizontal="center" vertical="top" wrapText="1"/>
    </xf>
    <xf numFmtId="0" fontId="9" fillId="24" borderId="11" xfId="0" applyFont="1" applyFill="1" applyBorder="1"/>
    <xf numFmtId="0" fontId="9" fillId="24" borderId="3" xfId="0" applyFont="1" applyFill="1" applyBorder="1"/>
    <xf numFmtId="164" fontId="9" fillId="16" borderId="11" xfId="0" applyNumberFormat="1" applyFont="1" applyFill="1" applyBorder="1" applyAlignment="1">
      <alignment horizontal="center" vertical="top"/>
    </xf>
    <xf numFmtId="0" fontId="9" fillId="16" borderId="12" xfId="0" applyFont="1" applyFill="1" applyBorder="1" applyAlignment="1">
      <alignment vertical="top" wrapText="1"/>
    </xf>
    <xf numFmtId="2" fontId="9" fillId="16" borderId="12" xfId="0" quotePrefix="1" applyNumberFormat="1" applyFont="1" applyFill="1" applyBorder="1" applyAlignment="1">
      <alignment horizontal="center" vertical="top" wrapText="1"/>
    </xf>
    <xf numFmtId="2" fontId="9" fillId="16" borderId="3" xfId="0" quotePrefix="1" applyNumberFormat="1" applyFont="1" applyFill="1" applyBorder="1" applyAlignment="1">
      <alignment horizontal="center" vertical="top" wrapText="1"/>
    </xf>
    <xf numFmtId="164" fontId="9" fillId="16" borderId="12" xfId="0" applyNumberFormat="1" applyFont="1" applyFill="1" applyBorder="1" applyAlignment="1">
      <alignment horizontal="center" vertical="top" wrapText="1"/>
    </xf>
    <xf numFmtId="0" fontId="9" fillId="16" borderId="12" xfId="0" applyFont="1" applyFill="1" applyBorder="1" applyAlignment="1">
      <alignment horizontal="center" vertical="top" wrapText="1"/>
    </xf>
    <xf numFmtId="2" fontId="9" fillId="16" borderId="3" xfId="0" applyNumberFormat="1" applyFont="1" applyFill="1" applyBorder="1" applyAlignment="1">
      <alignment horizontal="center" vertical="top" wrapText="1"/>
    </xf>
    <xf numFmtId="10" fontId="31" fillId="16" borderId="1" xfId="0" applyNumberFormat="1" applyFont="1" applyFill="1" applyBorder="1" applyAlignment="1">
      <alignment horizontal="center" vertical="top" wrapText="1"/>
    </xf>
    <xf numFmtId="167" fontId="9" fillId="0" borderId="13" xfId="6" quotePrefix="1" applyNumberFormat="1" applyFont="1" applyBorder="1" applyAlignment="1">
      <alignment horizontal="center" vertical="top"/>
    </xf>
    <xf numFmtId="164" fontId="9" fillId="16" borderId="11" xfId="0" applyNumberFormat="1" applyFont="1" applyFill="1" applyBorder="1" applyAlignment="1">
      <alignment horizontal="left" vertical="top"/>
    </xf>
    <xf numFmtId="0" fontId="50" fillId="0" borderId="0" xfId="0" applyFont="1" applyAlignment="1">
      <alignment vertical="top"/>
    </xf>
    <xf numFmtId="0" fontId="50" fillId="0" borderId="0" xfId="0" applyFont="1" applyAlignment="1">
      <alignment vertical="top" wrapText="1"/>
    </xf>
    <xf numFmtId="0" fontId="50" fillId="0" borderId="0" xfId="0" applyFont="1" applyAlignment="1">
      <alignment horizontal="center" vertical="top" wrapText="1"/>
    </xf>
    <xf numFmtId="0" fontId="1" fillId="0" borderId="0" xfId="0" applyFont="1" applyAlignment="1">
      <alignment vertical="top"/>
    </xf>
    <xf numFmtId="0" fontId="50" fillId="0" borderId="0" xfId="0" applyFont="1" applyAlignment="1">
      <alignment horizontal="center" vertical="top"/>
    </xf>
    <xf numFmtId="170" fontId="49" fillId="0" borderId="0" xfId="0" applyNumberFormat="1" applyFont="1" applyAlignment="1">
      <alignment horizontal="center" vertical="top"/>
    </xf>
    <xf numFmtId="0" fontId="2" fillId="38" borderId="0" xfId="0" applyFont="1" applyFill="1" applyAlignment="1">
      <alignment vertical="top"/>
    </xf>
    <xf numFmtId="0" fontId="2" fillId="38" borderId="0" xfId="0" quotePrefix="1" applyFont="1" applyFill="1" applyAlignment="1">
      <alignment vertical="top"/>
    </xf>
    <xf numFmtId="0" fontId="0" fillId="0" borderId="0" xfId="0" applyAlignment="1">
      <alignment vertical="top" wrapText="1"/>
    </xf>
    <xf numFmtId="0" fontId="6" fillId="0" borderId="0" xfId="0" applyFont="1" applyAlignment="1">
      <alignment vertical="top"/>
    </xf>
    <xf numFmtId="0" fontId="3" fillId="36" borderId="0" xfId="1" applyFill="1" applyAlignment="1" applyProtection="1">
      <alignment horizontal="center" vertical="center" wrapText="1"/>
    </xf>
    <xf numFmtId="170" fontId="2" fillId="0" borderId="0" xfId="0" applyNumberFormat="1" applyFont="1" applyAlignment="1">
      <alignment horizontal="center" vertical="top" wrapText="1"/>
    </xf>
    <xf numFmtId="170" fontId="2" fillId="0" borderId="0" xfId="0" applyNumberFormat="1" applyFont="1" applyAlignment="1">
      <alignment vertical="top" wrapText="1"/>
    </xf>
    <xf numFmtId="0" fontId="49" fillId="0" borderId="28" xfId="0" applyFont="1" applyBorder="1" applyAlignment="1">
      <alignment vertical="top" wrapText="1"/>
    </xf>
    <xf numFmtId="170" fontId="2" fillId="0" borderId="28" xfId="0" applyNumberFormat="1" applyFont="1" applyBorder="1" applyAlignment="1">
      <alignment horizontal="center" vertical="top" wrapText="1"/>
    </xf>
    <xf numFmtId="170" fontId="2" fillId="0" borderId="28" xfId="0" applyNumberFormat="1" applyFont="1" applyBorder="1" applyAlignment="1">
      <alignment vertical="top" wrapText="1"/>
    </xf>
    <xf numFmtId="170" fontId="49" fillId="0" borderId="28" xfId="0" applyNumberFormat="1" applyFont="1" applyBorder="1" applyAlignment="1">
      <alignment horizontal="center" vertical="top"/>
    </xf>
    <xf numFmtId="170" fontId="2" fillId="0" borderId="28" xfId="0" applyNumberFormat="1" applyFont="1" applyBorder="1" applyAlignment="1">
      <alignment horizontal="center" vertical="top"/>
    </xf>
    <xf numFmtId="0" fontId="49" fillId="0" borderId="30" xfId="0" applyFont="1" applyBorder="1" applyAlignment="1">
      <alignment vertical="top" wrapText="1"/>
    </xf>
    <xf numFmtId="170" fontId="2" fillId="0" borderId="30" xfId="0" applyNumberFormat="1" applyFont="1" applyBorder="1" applyAlignment="1">
      <alignment horizontal="center" vertical="top" wrapText="1"/>
    </xf>
    <xf numFmtId="170" fontId="2" fillId="0" borderId="30" xfId="0" applyNumberFormat="1" applyFont="1" applyBorder="1" applyAlignment="1">
      <alignment vertical="top" wrapText="1"/>
    </xf>
    <xf numFmtId="170" fontId="49" fillId="0" borderId="30" xfId="0" applyNumberFormat="1" applyFont="1" applyBorder="1" applyAlignment="1">
      <alignment horizontal="center" vertical="top"/>
    </xf>
    <xf numFmtId="0" fontId="50" fillId="0" borderId="29" xfId="0" applyFont="1" applyBorder="1" applyAlignment="1">
      <alignment vertical="top" wrapText="1"/>
    </xf>
    <xf numFmtId="0" fontId="49" fillId="0" borderId="32" xfId="0" applyFont="1" applyBorder="1" applyAlignment="1">
      <alignment vertical="top" wrapText="1"/>
    </xf>
    <xf numFmtId="170" fontId="2" fillId="0" borderId="32" xfId="0" applyNumberFormat="1" applyFont="1" applyBorder="1" applyAlignment="1">
      <alignment horizontal="center" vertical="top" wrapText="1"/>
    </xf>
    <xf numFmtId="170" fontId="2" fillId="0" borderId="32" xfId="0" applyNumberFormat="1" applyFont="1" applyBorder="1" applyAlignment="1">
      <alignment horizontal="center" vertical="top"/>
    </xf>
    <xf numFmtId="170" fontId="2" fillId="0" borderId="32" xfId="0" applyNumberFormat="1" applyFont="1" applyBorder="1" applyAlignment="1">
      <alignment vertical="top"/>
    </xf>
    <xf numFmtId="0" fontId="49" fillId="0" borderId="31" xfId="0" quotePrefix="1" applyFont="1" applyBorder="1" applyAlignment="1">
      <alignment vertical="top"/>
    </xf>
    <xf numFmtId="170" fontId="2" fillId="0" borderId="31" xfId="0" applyNumberFormat="1" applyFont="1" applyBorder="1" applyAlignment="1">
      <alignment horizontal="center" vertical="top" wrapText="1"/>
    </xf>
    <xf numFmtId="170" fontId="2" fillId="0" borderId="31" xfId="0" applyNumberFormat="1" applyFont="1" applyBorder="1" applyAlignment="1">
      <alignment vertical="top" wrapText="1"/>
    </xf>
    <xf numFmtId="170" fontId="49" fillId="0" borderId="31" xfId="0" applyNumberFormat="1" applyFont="1" applyBorder="1" applyAlignment="1">
      <alignment horizontal="center" vertical="top"/>
    </xf>
    <xf numFmtId="170" fontId="49" fillId="0" borderId="31" xfId="0" applyNumberFormat="1" applyFont="1" applyBorder="1" applyAlignment="1">
      <alignment vertical="top"/>
    </xf>
    <xf numFmtId="0" fontId="49" fillId="16" borderId="31" xfId="0" applyFont="1" applyFill="1" applyBorder="1" applyAlignment="1">
      <alignment vertical="top" wrapText="1"/>
    </xf>
    <xf numFmtId="0" fontId="49" fillId="16" borderId="0" xfId="0" applyFont="1" applyFill="1" applyAlignment="1">
      <alignment vertical="top" wrapText="1"/>
    </xf>
    <xf numFmtId="0" fontId="49" fillId="0" borderId="37" xfId="0" applyFont="1" applyBorder="1" applyAlignment="1">
      <alignment vertical="top" wrapText="1"/>
    </xf>
    <xf numFmtId="0" fontId="49" fillId="0" borderId="38" xfId="0" applyFont="1" applyBorder="1" applyAlignment="1">
      <alignment vertical="top" wrapText="1"/>
    </xf>
    <xf numFmtId="0" fontId="49" fillId="0" borderId="39" xfId="0" applyFont="1" applyBorder="1" applyAlignment="1">
      <alignment vertical="top"/>
    </xf>
    <xf numFmtId="0" fontId="50" fillId="0" borderId="40" xfId="0" applyFont="1" applyBorder="1" applyAlignment="1">
      <alignment vertical="top"/>
    </xf>
    <xf numFmtId="0" fontId="50" fillId="0" borderId="41" xfId="0" applyFont="1" applyBorder="1" applyAlignment="1">
      <alignment horizontal="right" vertical="top"/>
    </xf>
    <xf numFmtId="0" fontId="50" fillId="0" borderId="42" xfId="0" applyFont="1" applyBorder="1" applyAlignment="1">
      <alignment vertical="top"/>
    </xf>
    <xf numFmtId="0" fontId="50" fillId="0" borderId="43" xfId="0" applyFont="1" applyBorder="1" applyAlignment="1">
      <alignment vertical="top" wrapText="1"/>
    </xf>
    <xf numFmtId="0" fontId="50" fillId="0" borderId="43" xfId="0" applyFont="1" applyBorder="1" applyAlignment="1">
      <alignment horizontal="center" vertical="top" wrapText="1"/>
    </xf>
    <xf numFmtId="0" fontId="50" fillId="0" borderId="42" xfId="0" applyFont="1" applyBorder="1" applyAlignment="1">
      <alignment horizontal="center" vertical="top" wrapText="1"/>
    </xf>
    <xf numFmtId="0" fontId="50" fillId="0" borderId="42" xfId="0" applyFont="1" applyBorder="1" applyAlignment="1">
      <alignment vertical="top" wrapText="1"/>
    </xf>
    <xf numFmtId="0" fontId="50" fillId="0" borderId="41" xfId="0" applyFont="1" applyBorder="1" applyAlignment="1">
      <alignment vertical="top"/>
    </xf>
    <xf numFmtId="0" fontId="50" fillId="0" borderId="44" xfId="0" applyFont="1" applyBorder="1" applyAlignment="1">
      <alignment horizontal="left" vertical="top"/>
    </xf>
    <xf numFmtId="0" fontId="50" fillId="0" borderId="45" xfId="0" applyFont="1" applyBorder="1" applyAlignment="1">
      <alignment vertical="top"/>
    </xf>
    <xf numFmtId="0" fontId="50" fillId="0" borderId="36" xfId="0" applyFont="1" applyBorder="1" applyAlignment="1">
      <alignment horizontal="left" vertical="top"/>
    </xf>
    <xf numFmtId="0" fontId="50" fillId="0" borderId="36" xfId="0" applyFont="1" applyBorder="1" applyAlignment="1">
      <alignment vertical="top"/>
    </xf>
    <xf numFmtId="0" fontId="0" fillId="0" borderId="24" xfId="0" applyBorder="1" applyAlignment="1">
      <alignment vertical="top"/>
    </xf>
    <xf numFmtId="0" fontId="50" fillId="0" borderId="46" xfId="0" applyFont="1" applyBorder="1" applyAlignment="1">
      <alignment horizontal="center" vertical="top" wrapText="1"/>
    </xf>
    <xf numFmtId="170" fontId="49" fillId="0" borderId="30" xfId="0" applyNumberFormat="1" applyFont="1" applyBorder="1" applyAlignment="1">
      <alignment vertical="top" wrapText="1"/>
    </xf>
    <xf numFmtId="170" fontId="49" fillId="0" borderId="28" xfId="0" applyNumberFormat="1" applyFont="1" applyBorder="1" applyAlignment="1">
      <alignment vertical="top" wrapText="1"/>
    </xf>
    <xf numFmtId="170" fontId="2" fillId="0" borderId="32" xfId="0" applyNumberFormat="1" applyFont="1" applyBorder="1" applyAlignment="1">
      <alignment vertical="top" wrapText="1"/>
    </xf>
    <xf numFmtId="170" fontId="49" fillId="0" borderId="33" xfId="0" applyNumberFormat="1" applyFont="1" applyBorder="1" applyAlignment="1">
      <alignment vertical="top" wrapText="1"/>
    </xf>
    <xf numFmtId="170" fontId="49" fillId="0" borderId="34" xfId="0" applyNumberFormat="1" applyFont="1" applyBorder="1" applyAlignment="1">
      <alignment vertical="top" wrapText="1"/>
    </xf>
    <xf numFmtId="170" fontId="2" fillId="0" borderId="34" xfId="0" applyNumberFormat="1" applyFont="1" applyBorder="1" applyAlignment="1">
      <alignment vertical="top" wrapText="1"/>
    </xf>
    <xf numFmtId="170" fontId="2" fillId="0" borderId="35" xfId="0" applyNumberFormat="1" applyFont="1" applyBorder="1" applyAlignment="1">
      <alignment vertical="top" wrapText="1"/>
    </xf>
    <xf numFmtId="1" fontId="9" fillId="0" borderId="3" xfId="0" applyNumberFormat="1" applyFont="1" applyBorder="1" applyAlignment="1">
      <alignment horizontal="center"/>
    </xf>
    <xf numFmtId="1" fontId="9" fillId="24" borderId="3" xfId="0" applyNumberFormat="1" applyFont="1" applyFill="1" applyBorder="1" applyAlignment="1">
      <alignment horizontal="center"/>
    </xf>
    <xf numFmtId="0" fontId="9" fillId="0" borderId="12" xfId="0" applyFont="1" applyBorder="1" applyAlignment="1">
      <alignment wrapText="1"/>
    </xf>
    <xf numFmtId="0" fontId="9" fillId="0" borderId="3" xfId="0" applyFont="1" applyBorder="1" applyAlignment="1">
      <alignment wrapText="1"/>
    </xf>
    <xf numFmtId="0" fontId="10" fillId="24" borderId="10" xfId="0" applyFont="1" applyFill="1" applyBorder="1"/>
    <xf numFmtId="0" fontId="3" fillId="0" borderId="9" xfId="1" applyBorder="1" applyProtection="1">
      <alignment vertical="top"/>
    </xf>
    <xf numFmtId="0" fontId="3" fillId="0" borderId="9" xfId="1" applyBorder="1" applyAlignment="1" applyProtection="1"/>
    <xf numFmtId="2" fontId="32" fillId="33" borderId="1" xfId="0" applyNumberFormat="1" applyFont="1" applyFill="1" applyBorder="1" applyAlignment="1">
      <alignment horizontal="left" vertical="top" wrapText="1"/>
    </xf>
    <xf numFmtId="2" fontId="32" fillId="33" borderId="3" xfId="0" applyNumberFormat="1" applyFont="1" applyFill="1" applyBorder="1" applyAlignment="1">
      <alignment horizontal="left" vertical="top" wrapText="1"/>
    </xf>
    <xf numFmtId="0" fontId="9" fillId="16" borderId="0" xfId="0" applyFont="1" applyFill="1" applyAlignment="1">
      <alignment horizontal="left" vertical="top" wrapText="1"/>
    </xf>
    <xf numFmtId="0" fontId="10" fillId="0" borderId="5" xfId="0" applyFont="1" applyBorder="1" applyAlignment="1">
      <alignment horizontal="left" wrapText="1"/>
    </xf>
    <xf numFmtId="0" fontId="9" fillId="0" borderId="6" xfId="0" applyFont="1" applyBorder="1" applyAlignment="1">
      <alignment horizontal="center" wrapText="1"/>
    </xf>
    <xf numFmtId="0" fontId="10" fillId="0" borderId="10" xfId="0" applyFont="1" applyBorder="1" applyAlignment="1">
      <alignment horizontal="center" vertical="top" textRotation="90" wrapText="1"/>
    </xf>
    <xf numFmtId="0" fontId="9" fillId="0" borderId="12" xfId="0" applyFont="1" applyBorder="1" applyAlignment="1">
      <alignment horizontal="left" wrapText="1"/>
    </xf>
    <xf numFmtId="0" fontId="9" fillId="16" borderId="12" xfId="0" applyFont="1" applyFill="1" applyBorder="1" applyAlignment="1">
      <alignment horizontal="left" wrapText="1"/>
    </xf>
    <xf numFmtId="0" fontId="9" fillId="0" borderId="0" xfId="0" applyFont="1" applyAlignment="1">
      <alignment horizontal="left" wrapText="1"/>
    </xf>
    <xf numFmtId="0" fontId="10" fillId="40" borderId="14" xfId="0" applyFont="1" applyFill="1" applyBorder="1" applyAlignment="1">
      <alignment horizontal="center" vertical="center" textRotation="90" wrapText="1"/>
    </xf>
    <xf numFmtId="2" fontId="9" fillId="0" borderId="0" xfId="0" applyNumberFormat="1" applyFont="1" applyAlignment="1">
      <alignment horizontal="right" vertical="top"/>
    </xf>
    <xf numFmtId="2" fontId="9" fillId="0" borderId="0" xfId="0" applyNumberFormat="1" applyFont="1" applyAlignment="1">
      <alignment horizontal="center" vertical="top"/>
    </xf>
    <xf numFmtId="0" fontId="6" fillId="25" borderId="1" xfId="0" quotePrefix="1" applyFont="1" applyFill="1" applyBorder="1" applyAlignment="1" applyProtection="1">
      <alignment horizontal="center" vertical="top" wrapText="1"/>
      <protection locked="0"/>
    </xf>
    <xf numFmtId="0" fontId="6" fillId="41" borderId="1" xfId="0" quotePrefix="1" applyFont="1" applyFill="1" applyBorder="1" applyAlignment="1" applyProtection="1">
      <alignment horizontal="center" vertical="top" wrapText="1"/>
      <protection locked="0"/>
    </xf>
    <xf numFmtId="0" fontId="6" fillId="25" borderId="11" xfId="0" applyFont="1" applyFill="1" applyBorder="1" applyAlignment="1" applyProtection="1">
      <alignment horizontal="left" vertical="top"/>
      <protection locked="0"/>
    </xf>
    <xf numFmtId="0" fontId="6" fillId="25" borderId="4" xfId="0" applyFont="1" applyFill="1" applyBorder="1" applyAlignment="1" applyProtection="1">
      <alignment horizontal="left" vertical="top"/>
      <protection locked="0"/>
    </xf>
    <xf numFmtId="0" fontId="10" fillId="34" borderId="1" xfId="0" applyFont="1" applyFill="1" applyBorder="1" applyAlignment="1" applyProtection="1">
      <alignment horizontal="center" vertical="top" wrapText="1"/>
      <protection locked="0"/>
    </xf>
    <xf numFmtId="165" fontId="2" fillId="24" borderId="11" xfId="2" applyNumberFormat="1" applyFont="1" applyFill="1" applyBorder="1" applyAlignment="1" applyProtection="1">
      <alignment horizontal="center" vertical="top" wrapText="1"/>
      <protection locked="0"/>
    </xf>
    <xf numFmtId="165" fontId="2" fillId="24" borderId="11" xfId="2" applyNumberFormat="1" applyFont="1" applyFill="1" applyBorder="1" applyAlignment="1" applyProtection="1">
      <alignment horizontal="right" vertical="top" wrapText="1"/>
      <protection locked="0"/>
    </xf>
    <xf numFmtId="165" fontId="2" fillId="24" borderId="1" xfId="2" applyNumberFormat="1" applyFont="1" applyFill="1" applyBorder="1" applyAlignment="1" applyProtection="1">
      <alignment vertical="top"/>
      <protection locked="0"/>
    </xf>
    <xf numFmtId="2" fontId="2" fillId="24" borderId="1" xfId="2" applyNumberFormat="1" applyFont="1" applyFill="1" applyBorder="1" applyAlignment="1" applyProtection="1">
      <alignment vertical="top"/>
      <protection locked="0"/>
    </xf>
    <xf numFmtId="2" fontId="2" fillId="24" borderId="11" xfId="2" applyNumberFormat="1" applyFont="1" applyFill="1" applyBorder="1" applyAlignment="1" applyProtection="1">
      <alignment horizontal="right" vertical="top" wrapText="1"/>
      <protection locked="0"/>
    </xf>
    <xf numFmtId="165" fontId="2" fillId="25" borderId="11" xfId="2" applyNumberFormat="1" applyFont="1" applyFill="1" applyBorder="1" applyAlignment="1" applyProtection="1">
      <alignment horizontal="center" vertical="top" wrapText="1"/>
      <protection locked="0"/>
    </xf>
    <xf numFmtId="165" fontId="2" fillId="25" borderId="11" xfId="2" applyNumberFormat="1" applyFont="1" applyFill="1" applyBorder="1" applyAlignment="1" applyProtection="1">
      <alignment horizontal="right" vertical="top" wrapText="1"/>
      <protection locked="0"/>
    </xf>
    <xf numFmtId="2" fontId="2" fillId="25" borderId="11" xfId="2" applyNumberFormat="1" applyFont="1" applyFill="1" applyBorder="1" applyAlignment="1" applyProtection="1">
      <alignment horizontal="right" vertical="top" wrapText="1"/>
      <protection locked="0"/>
    </xf>
    <xf numFmtId="165" fontId="2" fillId="25" borderId="1" xfId="2" applyNumberFormat="1" applyFont="1" applyFill="1" applyBorder="1" applyAlignment="1" applyProtection="1">
      <alignment vertical="top"/>
      <protection locked="0"/>
    </xf>
    <xf numFmtId="2" fontId="2" fillId="25" borderId="1" xfId="2" applyNumberFormat="1" applyFont="1" applyFill="1" applyBorder="1" applyAlignment="1" applyProtection="1">
      <alignment vertical="top"/>
      <protection locked="0"/>
    </xf>
    <xf numFmtId="2" fontId="2" fillId="25" borderId="1" xfId="0" applyNumberFormat="1" applyFont="1" applyFill="1" applyBorder="1" applyAlignment="1" applyProtection="1">
      <alignment horizontal="center" vertical="top"/>
      <protection locked="0"/>
    </xf>
    <xf numFmtId="2" fontId="2" fillId="25" borderId="11" xfId="2" applyNumberFormat="1" applyFont="1" applyFill="1" applyBorder="1" applyAlignment="1" applyProtection="1">
      <alignment horizontal="left" vertical="top" wrapText="1"/>
      <protection locked="0"/>
    </xf>
    <xf numFmtId="165" fontId="2" fillId="41" borderId="11" xfId="2" applyNumberFormat="1" applyFont="1" applyFill="1" applyBorder="1" applyAlignment="1" applyProtection="1">
      <alignment horizontal="center" vertical="top" wrapText="1"/>
      <protection locked="0"/>
    </xf>
    <xf numFmtId="165" fontId="2" fillId="41" borderId="11" xfId="2" applyNumberFormat="1" applyFont="1" applyFill="1" applyBorder="1" applyAlignment="1" applyProtection="1">
      <alignment horizontal="right" vertical="top" wrapText="1"/>
      <protection locked="0"/>
    </xf>
    <xf numFmtId="165" fontId="2" fillId="24" borderId="1" xfId="2" applyNumberFormat="1" applyFont="1" applyFill="1" applyBorder="1" applyAlignment="1" applyProtection="1">
      <alignment horizontal="left" vertical="top" wrapText="1"/>
      <protection locked="0"/>
    </xf>
    <xf numFmtId="165" fontId="2" fillId="24" borderId="1" xfId="2" applyNumberFormat="1" applyFont="1" applyFill="1" applyBorder="1" applyAlignment="1" applyProtection="1">
      <alignment horizontal="right" vertical="top" wrapText="1"/>
      <protection locked="0"/>
    </xf>
    <xf numFmtId="165" fontId="15" fillId="24" borderId="1" xfId="2" applyNumberFormat="1" applyFont="1" applyFill="1" applyBorder="1" applyAlignment="1" applyProtection="1">
      <alignment horizontal="left" vertical="center" wrapText="1"/>
      <protection locked="0"/>
    </xf>
    <xf numFmtId="0" fontId="2" fillId="25" borderId="1" xfId="0" quotePrefix="1" applyFont="1" applyFill="1" applyBorder="1" applyAlignment="1" applyProtection="1">
      <alignment horizontal="center" vertical="top"/>
      <protection locked="0"/>
    </xf>
    <xf numFmtId="165" fontId="2" fillId="25" borderId="19" xfId="2" applyNumberFormat="1" applyFont="1" applyFill="1" applyBorder="1" applyAlignment="1" applyProtection="1">
      <alignment horizontal="right" vertical="top" wrapText="1"/>
      <protection locked="0"/>
    </xf>
    <xf numFmtId="0" fontId="2" fillId="25" borderId="1" xfId="0" applyFont="1" applyFill="1" applyBorder="1" applyAlignment="1" applyProtection="1">
      <alignment horizontal="center" vertical="top"/>
      <protection locked="0"/>
    </xf>
    <xf numFmtId="165" fontId="2" fillId="41" borderId="19" xfId="2" applyNumberFormat="1" applyFont="1" applyFill="1" applyBorder="1" applyAlignment="1" applyProtection="1">
      <alignment horizontal="right" vertical="top" wrapText="1"/>
      <protection locked="0"/>
    </xf>
    <xf numFmtId="0" fontId="2" fillId="25" borderId="13" xfId="0" applyFont="1" applyFill="1" applyBorder="1" applyAlignment="1" applyProtection="1">
      <alignment horizontal="center" vertical="top"/>
      <protection locked="0"/>
    </xf>
    <xf numFmtId="165" fontId="2" fillId="25" borderId="20" xfId="2" applyNumberFormat="1" applyFont="1" applyFill="1" applyBorder="1" applyAlignment="1" applyProtection="1">
      <alignment horizontal="right" vertical="top" wrapText="1"/>
      <protection locked="0"/>
    </xf>
    <xf numFmtId="0" fontId="6" fillId="25" borderId="1" xfId="0" applyFont="1" applyFill="1" applyBorder="1" applyAlignment="1" applyProtection="1">
      <alignment horizontal="left" vertical="top" wrapText="1"/>
      <protection locked="0"/>
    </xf>
    <xf numFmtId="2" fontId="2" fillId="25" borderId="1" xfId="3" applyNumberFormat="1" applyFont="1" applyFill="1" applyBorder="1" applyAlignment="1" applyProtection="1">
      <alignment vertical="top"/>
      <protection locked="0"/>
    </xf>
    <xf numFmtId="2" fontId="2" fillId="24" borderId="1" xfId="3" applyNumberFormat="1" applyFont="1" applyFill="1" applyBorder="1" applyAlignment="1" applyProtection="1">
      <alignment vertical="top"/>
      <protection locked="0"/>
    </xf>
    <xf numFmtId="0" fontId="2" fillId="25" borderId="1" xfId="0" applyFont="1" applyFill="1" applyBorder="1" applyAlignment="1" applyProtection="1">
      <alignment vertical="top"/>
      <protection locked="0"/>
    </xf>
    <xf numFmtId="0" fontId="2" fillId="25" borderId="13" xfId="0" applyFont="1" applyFill="1" applyBorder="1" applyAlignment="1" applyProtection="1">
      <alignment vertical="top"/>
      <protection locked="0"/>
    </xf>
    <xf numFmtId="0" fontId="6" fillId="25" borderId="1" xfId="0" applyFont="1" applyFill="1" applyBorder="1" applyAlignment="1">
      <alignment horizontal="left" vertical="top" wrapText="1"/>
    </xf>
    <xf numFmtId="0" fontId="56" fillId="0" borderId="7" xfId="0" applyFont="1" applyBorder="1"/>
    <xf numFmtId="0" fontId="6" fillId="0" borderId="4" xfId="0" applyFont="1" applyBorder="1"/>
    <xf numFmtId="0" fontId="0" fillId="0" borderId="5" xfId="0" applyBorder="1"/>
    <xf numFmtId="0" fontId="0" fillId="0" borderId="6" xfId="0" applyBorder="1"/>
    <xf numFmtId="0" fontId="56" fillId="0" borderId="0" xfId="0" applyFont="1" applyAlignment="1">
      <alignment wrapText="1"/>
    </xf>
    <xf numFmtId="0" fontId="56" fillId="0" borderId="0" xfId="0" applyFont="1"/>
    <xf numFmtId="0" fontId="6" fillId="0" borderId="1" xfId="0" applyFont="1" applyBorder="1"/>
    <xf numFmtId="0" fontId="0" fillId="0" borderId="1" xfId="0" applyBorder="1"/>
    <xf numFmtId="0" fontId="1" fillId="0" borderId="1" xfId="0" applyFont="1" applyBorder="1"/>
    <xf numFmtId="0" fontId="6" fillId="0" borderId="0" xfId="0" applyFont="1"/>
    <xf numFmtId="0" fontId="6" fillId="25" borderId="1" xfId="0" applyFont="1" applyFill="1" applyBorder="1" applyAlignment="1">
      <alignment horizontal="left" vertical="top"/>
    </xf>
    <xf numFmtId="0" fontId="1" fillId="0" borderId="1" xfId="0" applyFont="1" applyBorder="1" applyAlignment="1">
      <alignment vertical="top"/>
    </xf>
    <xf numFmtId="0" fontId="1" fillId="0" borderId="1" xfId="0" applyFont="1" applyBorder="1" applyAlignment="1">
      <alignment horizontal="left" vertical="top" wrapText="1"/>
    </xf>
    <xf numFmtId="0" fontId="0" fillId="0" borderId="1" xfId="0" applyBorder="1" applyAlignment="1">
      <alignment vertical="top"/>
    </xf>
    <xf numFmtId="0" fontId="6" fillId="41" borderId="1" xfId="0" applyFont="1" applyFill="1" applyBorder="1" applyAlignment="1">
      <alignment horizontal="left" vertical="top"/>
    </xf>
    <xf numFmtId="0" fontId="1" fillId="0" borderId="1" xfId="0" applyFont="1" applyBorder="1" applyAlignment="1">
      <alignment vertical="top" wrapText="1"/>
    </xf>
    <xf numFmtId="0" fontId="6" fillId="36" borderId="1" xfId="0" applyFont="1" applyFill="1" applyBorder="1" applyAlignment="1">
      <alignment horizontal="left" vertical="top" wrapText="1"/>
    </xf>
    <xf numFmtId="0" fontId="1" fillId="0" borderId="0" xfId="0" applyFont="1"/>
    <xf numFmtId="0" fontId="1" fillId="0" borderId="0" xfId="0" applyFont="1" applyAlignment="1">
      <alignment vertical="top" wrapText="1"/>
    </xf>
    <xf numFmtId="0" fontId="1" fillId="25" borderId="1" xfId="0" applyFont="1" applyFill="1" applyBorder="1" applyAlignment="1">
      <alignment horizontal="left" vertical="top"/>
    </xf>
    <xf numFmtId="0" fontId="57" fillId="0" borderId="0" xfId="0" applyFont="1" applyAlignment="1">
      <alignment vertical="center"/>
    </xf>
    <xf numFmtId="0" fontId="0" fillId="0" borderId="1" xfId="0" applyBorder="1" applyAlignment="1">
      <alignment horizontal="left" vertical="top" wrapText="1"/>
    </xf>
    <xf numFmtId="0" fontId="6" fillId="0" borderId="0" xfId="0" applyFont="1" applyAlignment="1">
      <alignment horizontal="left" vertical="top"/>
    </xf>
    <xf numFmtId="0" fontId="1" fillId="36" borderId="1" xfId="0" applyFont="1" applyFill="1" applyBorder="1" applyAlignment="1">
      <alignment horizontal="left" vertical="top"/>
    </xf>
    <xf numFmtId="0" fontId="1" fillId="0" borderId="6" xfId="0" applyFont="1" applyBorder="1" applyAlignment="1">
      <alignment vertical="top"/>
    </xf>
    <xf numFmtId="0" fontId="1" fillId="0" borderId="10" xfId="0" applyFont="1" applyBorder="1"/>
    <xf numFmtId="0" fontId="1" fillId="0" borderId="7" xfId="0" applyFont="1" applyBorder="1"/>
    <xf numFmtId="0" fontId="0" fillId="0" borderId="2" xfId="0" applyBorder="1"/>
    <xf numFmtId="0" fontId="1" fillId="0" borderId="8" xfId="0" applyFont="1" applyBorder="1"/>
    <xf numFmtId="2" fontId="2" fillId="0" borderId="0" xfId="0" applyNumberFormat="1" applyFont="1" applyAlignment="1">
      <alignment horizontal="center" vertical="top"/>
    </xf>
    <xf numFmtId="170" fontId="2" fillId="0" borderId="0" xfId="0" quotePrefix="1" applyNumberFormat="1" applyFont="1" applyAlignment="1">
      <alignment horizontal="center" vertical="top"/>
    </xf>
    <xf numFmtId="170" fontId="2" fillId="0" borderId="0" xfId="0" applyNumberFormat="1" applyFont="1" applyAlignment="1">
      <alignment horizontal="center" vertical="top"/>
    </xf>
    <xf numFmtId="2" fontId="42" fillId="37" borderId="15" xfId="0" applyNumberFormat="1" applyFont="1" applyFill="1" applyBorder="1" applyAlignment="1">
      <alignment horizontal="center" vertical="top" wrapText="1"/>
    </xf>
    <xf numFmtId="2" fontId="2" fillId="24" borderId="1" xfId="0" quotePrefix="1" applyNumberFormat="1" applyFont="1" applyFill="1" applyBorder="1" applyAlignment="1">
      <alignment horizontal="center" vertical="top"/>
    </xf>
    <xf numFmtId="2" fontId="2" fillId="38" borderId="1" xfId="0" applyNumberFormat="1" applyFont="1" applyFill="1" applyBorder="1" applyAlignment="1">
      <alignment horizontal="center" vertical="top"/>
    </xf>
    <xf numFmtId="2" fontId="2" fillId="22" borderId="1" xfId="0" applyNumberFormat="1" applyFont="1" applyFill="1" applyBorder="1" applyAlignment="1">
      <alignment horizontal="center" vertical="top"/>
    </xf>
    <xf numFmtId="170" fontId="2" fillId="38" borderId="1" xfId="0" quotePrefix="1" applyNumberFormat="1" applyFont="1" applyFill="1" applyBorder="1" applyAlignment="1">
      <alignment horizontal="center" vertical="top"/>
    </xf>
    <xf numFmtId="0" fontId="1" fillId="24" borderId="7" xfId="0" applyFont="1" applyFill="1" applyBorder="1"/>
    <xf numFmtId="0" fontId="1" fillId="24" borderId="2" xfId="0" applyFont="1" applyFill="1" applyBorder="1"/>
    <xf numFmtId="0" fontId="1" fillId="24" borderId="8" xfId="0" applyFont="1" applyFill="1" applyBorder="1"/>
    <xf numFmtId="0" fontId="29" fillId="16" borderId="0" xfId="0" applyFont="1" applyFill="1"/>
    <xf numFmtId="2" fontId="32" fillId="16" borderId="0" xfId="4" applyNumberFormat="1" applyFont="1" applyFill="1" applyAlignment="1">
      <alignment horizontal="center" vertical="top"/>
    </xf>
    <xf numFmtId="2" fontId="29" fillId="16" borderId="0" xfId="0" applyNumberFormat="1" applyFont="1" applyFill="1" applyAlignment="1">
      <alignment horizontal="center" vertical="top"/>
    </xf>
    <xf numFmtId="164" fontId="9" fillId="8" borderId="1" xfId="0" applyNumberFormat="1" applyFont="1" applyFill="1" applyBorder="1" applyAlignment="1">
      <alignment vertical="top" textRotation="90"/>
    </xf>
    <xf numFmtId="2" fontId="10" fillId="20" borderId="3" xfId="5" applyNumberFormat="1" applyFont="1" applyFill="1" applyBorder="1" applyAlignment="1">
      <alignment vertical="top"/>
    </xf>
    <xf numFmtId="2" fontId="10" fillId="16" borderId="0" xfId="5" applyNumberFormat="1" applyFont="1" applyFill="1" applyAlignment="1">
      <alignment vertical="top"/>
    </xf>
    <xf numFmtId="2" fontId="10" fillId="16" borderId="0" xfId="0" applyNumberFormat="1" applyFont="1" applyFill="1" applyAlignment="1">
      <alignment horizontal="center" vertical="top"/>
    </xf>
    <xf numFmtId="10" fontId="9" fillId="0" borderId="1" xfId="6" applyNumberFormat="1" applyFont="1" applyBorder="1"/>
    <xf numFmtId="10" fontId="9" fillId="0" borderId="11" xfId="6" applyNumberFormat="1" applyFont="1" applyBorder="1"/>
    <xf numFmtId="0" fontId="10" fillId="20" borderId="3" xfId="5" applyFont="1" applyFill="1" applyBorder="1" applyAlignment="1">
      <alignment horizontal="left" vertical="top"/>
    </xf>
    <xf numFmtId="1" fontId="9" fillId="16" borderId="0" xfId="0" applyNumberFormat="1" applyFont="1" applyFill="1" applyAlignment="1">
      <alignment horizontal="left" vertical="top"/>
    </xf>
    <xf numFmtId="10" fontId="9" fillId="0" borderId="1" xfId="0" applyNumberFormat="1" applyFont="1" applyBorder="1"/>
    <xf numFmtId="2" fontId="9" fillId="16" borderId="0" xfId="5" applyNumberFormat="1" applyFont="1" applyFill="1" applyAlignment="1">
      <alignment horizontal="right" vertical="top"/>
    </xf>
    <xf numFmtId="2" fontId="9" fillId="16" borderId="1" xfId="0" applyNumberFormat="1" applyFont="1" applyFill="1" applyBorder="1"/>
    <xf numFmtId="0" fontId="10" fillId="16" borderId="0" xfId="5" applyFont="1" applyFill="1" applyAlignment="1">
      <alignment horizontal="center" vertical="top"/>
    </xf>
    <xf numFmtId="2" fontId="9" fillId="8" borderId="0" xfId="0" applyNumberFormat="1" applyFont="1" applyFill="1" applyAlignment="1">
      <alignment horizontal="center" vertical="top"/>
    </xf>
    <xf numFmtId="2" fontId="10" fillId="8" borderId="0" xfId="5" applyNumberFormat="1" applyFont="1" applyFill="1" applyAlignment="1">
      <alignment horizontal="center" vertical="top"/>
    </xf>
    <xf numFmtId="2" fontId="10" fillId="0" borderId="0" xfId="5" applyNumberFormat="1" applyFont="1" applyAlignment="1">
      <alignment horizontal="center" vertical="top"/>
    </xf>
    <xf numFmtId="0" fontId="10" fillId="8" borderId="0" xfId="5" applyFont="1" applyFill="1" applyAlignment="1">
      <alignment vertical="top"/>
    </xf>
    <xf numFmtId="0" fontId="29" fillId="8" borderId="0" xfId="0" applyFont="1" applyFill="1" applyAlignment="1">
      <alignment vertical="top"/>
    </xf>
    <xf numFmtId="0" fontId="32" fillId="8" borderId="0" xfId="4" applyFont="1" applyFill="1" applyAlignment="1">
      <alignment vertical="top"/>
    </xf>
    <xf numFmtId="2" fontId="32" fillId="8" borderId="0" xfId="5" applyNumberFormat="1" applyFont="1" applyFill="1" applyAlignment="1">
      <alignment horizontal="center" vertical="top"/>
    </xf>
    <xf numFmtId="2" fontId="32" fillId="0" borderId="0" xfId="5" applyNumberFormat="1" applyFont="1" applyAlignment="1">
      <alignment horizontal="center" vertical="top"/>
    </xf>
    <xf numFmtId="0" fontId="32" fillId="8" borderId="0" xfId="5" applyFont="1" applyFill="1" applyAlignment="1">
      <alignment vertical="top"/>
    </xf>
    <xf numFmtId="164" fontId="29" fillId="8" borderId="0" xfId="0" applyNumberFormat="1" applyFont="1" applyFill="1"/>
    <xf numFmtId="0" fontId="29" fillId="8" borderId="0" xfId="0" applyFont="1" applyFill="1"/>
    <xf numFmtId="0" fontId="29" fillId="8" borderId="0" xfId="0" applyFont="1" applyFill="1" applyAlignment="1">
      <alignment horizontal="center" vertical="top"/>
    </xf>
    <xf numFmtId="0" fontId="9" fillId="8" borderId="0" xfId="0" applyFont="1" applyFill="1" applyAlignment="1">
      <alignment horizontal="left" vertical="top"/>
    </xf>
    <xf numFmtId="164" fontId="10" fillId="0" borderId="11" xfId="0" applyNumberFormat="1" applyFont="1" applyBorder="1"/>
    <xf numFmtId="164" fontId="10" fillId="0" borderId="12" xfId="0" applyNumberFormat="1" applyFont="1" applyBorder="1"/>
    <xf numFmtId="164" fontId="9" fillId="0" borderId="12" xfId="0" applyNumberFormat="1" applyFont="1" applyBorder="1"/>
    <xf numFmtId="164" fontId="9" fillId="0" borderId="3" xfId="0" applyNumberFormat="1" applyFont="1" applyBorder="1"/>
    <xf numFmtId="164" fontId="9" fillId="0" borderId="0" xfId="0" applyNumberFormat="1" applyFont="1"/>
    <xf numFmtId="165" fontId="16" fillId="0" borderId="0" xfId="0" applyNumberFormat="1" applyFont="1" applyAlignment="1">
      <alignment horizontal="right" vertical="top" wrapText="1"/>
    </xf>
    <xf numFmtId="0" fontId="9" fillId="20" borderId="1" xfId="0" applyFont="1" applyFill="1" applyBorder="1" applyAlignment="1">
      <alignment vertical="top"/>
    </xf>
    <xf numFmtId="2" fontId="9" fillId="20" borderId="1" xfId="0" quotePrefix="1" applyNumberFormat="1" applyFont="1" applyFill="1" applyBorder="1" applyAlignment="1">
      <alignment horizontal="right" vertical="top" wrapText="1"/>
    </xf>
    <xf numFmtId="10" fontId="9" fillId="24" borderId="15" xfId="6" applyNumberFormat="1" applyFont="1" applyFill="1" applyBorder="1" applyAlignment="1">
      <alignment horizontal="right" vertical="top" wrapText="1"/>
    </xf>
    <xf numFmtId="10" fontId="9" fillId="27" borderId="15" xfId="0" applyNumberFormat="1" applyFont="1" applyFill="1" applyBorder="1" applyAlignment="1">
      <alignment horizontal="right" vertical="top" wrapText="1"/>
    </xf>
    <xf numFmtId="10" fontId="9" fillId="27" borderId="1" xfId="6" applyNumberFormat="1" applyFont="1" applyFill="1" applyBorder="1"/>
    <xf numFmtId="10" fontId="9" fillId="27" borderId="15" xfId="6" applyNumberFormat="1" applyFont="1" applyFill="1" applyBorder="1"/>
    <xf numFmtId="0" fontId="9" fillId="27" borderId="1" xfId="6" applyNumberFormat="1" applyFont="1" applyFill="1" applyBorder="1"/>
    <xf numFmtId="10" fontId="9" fillId="27" borderId="1" xfId="0" applyNumberFormat="1" applyFont="1" applyFill="1" applyBorder="1"/>
    <xf numFmtId="10" fontId="9" fillId="27" borderId="1" xfId="0" applyNumberFormat="1" applyFont="1" applyFill="1" applyBorder="1" applyAlignment="1">
      <alignment horizontal="right" vertical="top" wrapText="1"/>
    </xf>
    <xf numFmtId="10" fontId="9" fillId="16" borderId="15" xfId="6" applyNumberFormat="1" applyFont="1" applyFill="1" applyBorder="1" applyAlignment="1">
      <alignment horizontal="right" vertical="top" wrapText="1"/>
    </xf>
    <xf numFmtId="165" fontId="9" fillId="20" borderId="1" xfId="0" quotePrefix="1" applyNumberFormat="1" applyFont="1" applyFill="1" applyBorder="1" applyAlignment="1">
      <alignment horizontal="right" vertical="top" wrapText="1"/>
    </xf>
    <xf numFmtId="0" fontId="9" fillId="0" borderId="11" xfId="0" applyFont="1" applyBorder="1" applyAlignment="1">
      <alignment horizontal="center" vertical="top" wrapText="1"/>
    </xf>
    <xf numFmtId="2" fontId="9" fillId="24" borderId="3" xfId="0" applyNumberFormat="1" applyFont="1" applyFill="1" applyBorder="1" applyAlignment="1">
      <alignment vertical="top" wrapText="1"/>
    </xf>
    <xf numFmtId="165" fontId="9" fillId="24" borderId="1" xfId="0" applyNumberFormat="1" applyFont="1" applyFill="1" applyBorder="1" applyAlignment="1">
      <alignment vertical="top" wrapText="1"/>
    </xf>
    <xf numFmtId="165" fontId="16" fillId="27" borderId="1" xfId="0" applyNumberFormat="1" applyFont="1" applyFill="1" applyBorder="1" applyAlignment="1">
      <alignment horizontal="right" vertical="top" wrapText="1"/>
    </xf>
    <xf numFmtId="0" fontId="9" fillId="27" borderId="1" xfId="0" applyFont="1" applyFill="1" applyBorder="1"/>
    <xf numFmtId="0" fontId="9" fillId="8" borderId="13" xfId="0" applyFont="1" applyFill="1" applyBorder="1" applyAlignment="1">
      <alignment horizontal="left" vertical="top" wrapText="1"/>
    </xf>
    <xf numFmtId="2" fontId="9" fillId="8" borderId="13" xfId="0" applyNumberFormat="1" applyFont="1" applyFill="1" applyBorder="1" applyAlignment="1">
      <alignment horizontal="center" vertical="top" wrapText="1"/>
    </xf>
    <xf numFmtId="2" fontId="9" fillId="8" borderId="13" xfId="0" applyNumberFormat="1" applyFont="1" applyFill="1" applyBorder="1" applyAlignment="1">
      <alignment vertical="top" wrapText="1"/>
    </xf>
    <xf numFmtId="2" fontId="9" fillId="16" borderId="13" xfId="0" applyNumberFormat="1" applyFont="1" applyFill="1" applyBorder="1" applyAlignment="1">
      <alignment horizontal="center" vertical="top" wrapText="1"/>
    </xf>
    <xf numFmtId="2" fontId="9" fillId="16" borderId="4" xfId="0" applyNumberFormat="1" applyFont="1" applyFill="1" applyBorder="1" applyAlignment="1">
      <alignment horizontal="center" vertical="top" wrapText="1"/>
    </xf>
    <xf numFmtId="2" fontId="9" fillId="16" borderId="1" xfId="0" applyNumberFormat="1" applyFont="1" applyFill="1" applyBorder="1" applyAlignment="1">
      <alignment horizontal="center" vertical="top"/>
    </xf>
    <xf numFmtId="165" fontId="9" fillId="8" borderId="3" xfId="0" applyNumberFormat="1" applyFont="1" applyFill="1" applyBorder="1" applyAlignment="1">
      <alignment vertical="top" wrapText="1"/>
    </xf>
    <xf numFmtId="0" fontId="32" fillId="26" borderId="1" xfId="0" applyFont="1" applyFill="1" applyBorder="1" applyAlignment="1">
      <alignment vertical="top"/>
    </xf>
    <xf numFmtId="0" fontId="32" fillId="26" borderId="11" xfId="0" applyFont="1" applyFill="1" applyBorder="1" applyAlignment="1">
      <alignment vertical="top"/>
    </xf>
    <xf numFmtId="0" fontId="32" fillId="26" borderId="11" xfId="0" applyFont="1" applyFill="1" applyBorder="1" applyAlignment="1">
      <alignment horizontal="left" vertical="top"/>
    </xf>
    <xf numFmtId="0" fontId="32" fillId="26" borderId="12" xfId="0" applyFont="1" applyFill="1" applyBorder="1" applyAlignment="1">
      <alignment horizontal="left" vertical="top"/>
    </xf>
    <xf numFmtId="2" fontId="32" fillId="26" borderId="12" xfId="0" applyNumberFormat="1" applyFont="1" applyFill="1" applyBorder="1" applyAlignment="1">
      <alignment horizontal="center" vertical="top" wrapText="1"/>
    </xf>
    <xf numFmtId="2" fontId="32" fillId="26" borderId="12" xfId="0" applyNumberFormat="1" applyFont="1" applyFill="1" applyBorder="1" applyAlignment="1">
      <alignment vertical="top" wrapText="1"/>
    </xf>
    <xf numFmtId="2" fontId="32" fillId="26" borderId="3" xfId="0" applyNumberFormat="1" applyFont="1" applyFill="1" applyBorder="1" applyAlignment="1">
      <alignment horizontal="center" vertical="top" wrapText="1"/>
    </xf>
    <xf numFmtId="167" fontId="32" fillId="26" borderId="1" xfId="6" applyNumberFormat="1" applyFont="1" applyFill="1" applyBorder="1" applyAlignment="1">
      <alignment vertical="top" wrapText="1"/>
    </xf>
    <xf numFmtId="167" fontId="32" fillId="26" borderId="3" xfId="6" applyNumberFormat="1" applyFont="1" applyFill="1" applyBorder="1" applyAlignment="1">
      <alignment vertical="top" wrapText="1"/>
    </xf>
    <xf numFmtId="165" fontId="24" fillId="27" borderId="11" xfId="0" applyNumberFormat="1" applyFont="1" applyFill="1" applyBorder="1" applyAlignment="1">
      <alignment horizontal="right" vertical="top" wrapText="1"/>
    </xf>
    <xf numFmtId="10" fontId="10" fillId="27" borderId="1" xfId="6" applyNumberFormat="1" applyFont="1" applyFill="1" applyBorder="1"/>
    <xf numFmtId="0" fontId="10" fillId="16" borderId="0" xfId="0" applyFont="1" applyFill="1"/>
    <xf numFmtId="0" fontId="10" fillId="27" borderId="1" xfId="0" applyFont="1" applyFill="1" applyBorder="1"/>
    <xf numFmtId="0" fontId="10" fillId="8" borderId="0" xfId="0" applyFont="1" applyFill="1"/>
    <xf numFmtId="0" fontId="32" fillId="26" borderId="1" xfId="0" applyFont="1" applyFill="1" applyBorder="1"/>
    <xf numFmtId="0" fontId="32" fillId="26" borderId="11" xfId="0" applyFont="1" applyFill="1" applyBorder="1"/>
    <xf numFmtId="0" fontId="32" fillId="26" borderId="11" xfId="0" applyFont="1" applyFill="1" applyBorder="1" applyAlignment="1">
      <alignment horizontal="left" wrapText="1"/>
    </xf>
    <xf numFmtId="0" fontId="32" fillId="26" borderId="12" xfId="0" applyFont="1" applyFill="1" applyBorder="1" applyAlignment="1">
      <alignment horizontal="left" wrapText="1"/>
    </xf>
    <xf numFmtId="0" fontId="32" fillId="26" borderId="3" xfId="0" applyFont="1" applyFill="1" applyBorder="1" applyAlignment="1">
      <alignment horizontal="left" wrapText="1"/>
    </xf>
    <xf numFmtId="2" fontId="32" fillId="26" borderId="12" xfId="0" applyNumberFormat="1" applyFont="1" applyFill="1" applyBorder="1" applyAlignment="1">
      <alignment horizontal="center" vertical="top"/>
    </xf>
    <xf numFmtId="167" fontId="32" fillId="26" borderId="1" xfId="6" applyNumberFormat="1" applyFont="1" applyFill="1" applyBorder="1"/>
    <xf numFmtId="165" fontId="32" fillId="27" borderId="11" xfId="0" applyNumberFormat="1" applyFont="1" applyFill="1" applyBorder="1" applyAlignment="1">
      <alignment horizontal="right" vertical="top" wrapText="1"/>
    </xf>
    <xf numFmtId="164" fontId="10" fillId="27" borderId="0" xfId="0" applyNumberFormat="1" applyFont="1" applyFill="1"/>
    <xf numFmtId="0" fontId="9" fillId="26" borderId="1" xfId="0" applyFont="1" applyFill="1" applyBorder="1"/>
    <xf numFmtId="0" fontId="32" fillId="26" borderId="11" xfId="0" applyFont="1" applyFill="1" applyBorder="1" applyAlignment="1">
      <alignment horizontal="left"/>
    </xf>
    <xf numFmtId="0" fontId="32" fillId="26" borderId="12" xfId="0" applyFont="1" applyFill="1" applyBorder="1" applyAlignment="1">
      <alignment horizontal="left"/>
    </xf>
    <xf numFmtId="0" fontId="32" fillId="26" borderId="3" xfId="0" applyFont="1" applyFill="1" applyBorder="1" applyAlignment="1">
      <alignment horizontal="left"/>
    </xf>
    <xf numFmtId="2" fontId="9" fillId="26" borderId="12" xfId="0" applyNumberFormat="1" applyFont="1" applyFill="1" applyBorder="1" applyAlignment="1">
      <alignment horizontal="center" vertical="top"/>
    </xf>
    <xf numFmtId="167" fontId="29" fillId="26" borderId="1" xfId="6" applyNumberFormat="1" applyFont="1" applyFill="1" applyBorder="1"/>
    <xf numFmtId="0" fontId="9" fillId="16" borderId="0" xfId="0" applyFont="1" applyFill="1" applyAlignment="1">
      <alignment horizontal="left" vertical="top"/>
    </xf>
    <xf numFmtId="164" fontId="10" fillId="10" borderId="11" xfId="0" applyNumberFormat="1" applyFont="1" applyFill="1" applyBorder="1"/>
    <xf numFmtId="164" fontId="9" fillId="39" borderId="5" xfId="0" applyNumberFormat="1" applyFont="1" applyFill="1" applyBorder="1"/>
    <xf numFmtId="164" fontId="10" fillId="10" borderId="12" xfId="0" applyNumberFormat="1" applyFont="1" applyFill="1" applyBorder="1"/>
    <xf numFmtId="164" fontId="9" fillId="10" borderId="0" xfId="0" applyNumberFormat="1" applyFont="1" applyFill="1"/>
    <xf numFmtId="0" fontId="32" fillId="33" borderId="1" xfId="0" applyFont="1" applyFill="1" applyBorder="1" applyAlignment="1">
      <alignment vertical="top"/>
    </xf>
    <xf numFmtId="0" fontId="32" fillId="33" borderId="1" xfId="0" applyFont="1" applyFill="1" applyBorder="1" applyAlignment="1">
      <alignment vertical="top" wrapText="1"/>
    </xf>
    <xf numFmtId="164" fontId="32" fillId="33" borderId="1" xfId="0" applyNumberFormat="1" applyFont="1" applyFill="1" applyBorder="1" applyAlignment="1">
      <alignment vertical="top" textRotation="90"/>
    </xf>
    <xf numFmtId="164" fontId="32" fillId="33" borderId="15" xfId="0" applyNumberFormat="1" applyFont="1" applyFill="1" applyBorder="1" applyAlignment="1">
      <alignment vertical="top" textRotation="90"/>
    </xf>
    <xf numFmtId="0" fontId="31" fillId="17" borderId="1" xfId="0" applyFont="1" applyFill="1" applyBorder="1" applyAlignment="1">
      <alignment horizontal="left" vertical="top" wrapText="1"/>
    </xf>
    <xf numFmtId="2" fontId="9" fillId="24" borderId="1" xfId="0" applyNumberFormat="1" applyFont="1" applyFill="1" applyBorder="1" applyAlignment="1">
      <alignment horizontal="center" vertical="top" wrapText="1"/>
    </xf>
    <xf numFmtId="2" fontId="9" fillId="24" borderId="1" xfId="0" applyNumberFormat="1" applyFont="1" applyFill="1" applyBorder="1" applyAlignment="1">
      <alignment horizontal="right" vertical="top" wrapText="1"/>
    </xf>
    <xf numFmtId="2" fontId="9" fillId="24" borderId="11" xfId="0" applyNumberFormat="1" applyFont="1" applyFill="1" applyBorder="1" applyAlignment="1">
      <alignment horizontal="center" vertical="top" wrapText="1"/>
    </xf>
    <xf numFmtId="2" fontId="9" fillId="24" borderId="1" xfId="0" applyNumberFormat="1" applyFont="1" applyFill="1" applyBorder="1" applyAlignment="1">
      <alignment horizontal="center" vertical="top"/>
    </xf>
    <xf numFmtId="10" fontId="9" fillId="2" borderId="3" xfId="0" applyNumberFormat="1" applyFont="1" applyFill="1" applyBorder="1" applyAlignment="1">
      <alignment horizontal="right" vertical="top" wrapText="1"/>
    </xf>
    <xf numFmtId="10" fontId="9" fillId="2" borderId="1" xfId="0" applyNumberFormat="1" applyFont="1" applyFill="1" applyBorder="1" applyAlignment="1">
      <alignment horizontal="right" vertical="top" wrapText="1"/>
    </xf>
    <xf numFmtId="0" fontId="9" fillId="9" borderId="1" xfId="0" applyFont="1" applyFill="1" applyBorder="1" applyAlignment="1">
      <alignment vertical="top"/>
    </xf>
    <xf numFmtId="0" fontId="31" fillId="18" borderId="1" xfId="0" applyFont="1" applyFill="1" applyBorder="1" applyAlignment="1">
      <alignment horizontal="left" vertical="top" wrapText="1"/>
    </xf>
    <xf numFmtId="0" fontId="9" fillId="30" borderId="1" xfId="0" applyFont="1" applyFill="1" applyBorder="1" applyAlignment="1">
      <alignment horizontal="left" vertical="top" wrapText="1"/>
    </xf>
    <xf numFmtId="2" fontId="9" fillId="30" borderId="1" xfId="0" applyNumberFormat="1" applyFont="1" applyFill="1" applyBorder="1" applyAlignment="1">
      <alignment horizontal="right" vertical="top" wrapText="1"/>
    </xf>
    <xf numFmtId="10" fontId="9" fillId="9" borderId="3" xfId="0" applyNumberFormat="1" applyFont="1" applyFill="1" applyBorder="1" applyAlignment="1">
      <alignment horizontal="right" vertical="top" wrapText="1"/>
    </xf>
    <xf numFmtId="10" fontId="9" fillId="9" borderId="1" xfId="0" applyNumberFormat="1" applyFont="1" applyFill="1" applyBorder="1" applyAlignment="1">
      <alignment horizontal="right" vertical="top" wrapText="1"/>
    </xf>
    <xf numFmtId="10" fontId="9" fillId="8" borderId="3" xfId="0" applyNumberFormat="1" applyFont="1" applyFill="1" applyBorder="1" applyAlignment="1">
      <alignment horizontal="right" vertical="top" wrapText="1"/>
    </xf>
    <xf numFmtId="10" fontId="9" fillId="8" borderId="1" xfId="0" applyNumberFormat="1" applyFont="1" applyFill="1" applyBorder="1" applyAlignment="1">
      <alignment horizontal="right" vertical="top" wrapText="1"/>
    </xf>
    <xf numFmtId="0" fontId="31" fillId="3" borderId="1" xfId="0" applyFont="1" applyFill="1" applyBorder="1" applyAlignment="1">
      <alignment horizontal="left" vertical="top" wrapText="1"/>
    </xf>
    <xf numFmtId="0" fontId="9" fillId="31" borderId="1" xfId="0" applyFont="1" applyFill="1" applyBorder="1" applyAlignment="1">
      <alignment horizontal="left" vertical="top" wrapText="1"/>
    </xf>
    <xf numFmtId="10" fontId="9" fillId="3" borderId="3" xfId="0" applyNumberFormat="1" applyFont="1" applyFill="1" applyBorder="1" applyAlignment="1">
      <alignment horizontal="right" vertical="top" wrapText="1"/>
    </xf>
    <xf numFmtId="10" fontId="9" fillId="3" borderId="1" xfId="0" applyNumberFormat="1" applyFont="1" applyFill="1" applyBorder="1" applyAlignment="1">
      <alignment horizontal="right" vertical="top" wrapText="1"/>
    </xf>
    <xf numFmtId="0" fontId="31" fillId="8" borderId="1" xfId="0" applyFont="1" applyFill="1" applyBorder="1" applyAlignment="1">
      <alignment horizontal="justify" vertical="top" wrapText="1"/>
    </xf>
    <xf numFmtId="0" fontId="31" fillId="4" borderId="1" xfId="0" applyFont="1" applyFill="1" applyBorder="1" applyAlignment="1">
      <alignment horizontal="left" vertical="top" wrapText="1"/>
    </xf>
    <xf numFmtId="10" fontId="9" fillId="4" borderId="3" xfId="0" applyNumberFormat="1" applyFont="1" applyFill="1" applyBorder="1" applyAlignment="1">
      <alignment horizontal="right" vertical="top" wrapText="1"/>
    </xf>
    <xf numFmtId="10" fontId="9" fillId="4" borderId="1" xfId="0" applyNumberFormat="1" applyFont="1" applyFill="1" applyBorder="1" applyAlignment="1">
      <alignment horizontal="right" vertical="top" wrapText="1"/>
    </xf>
    <xf numFmtId="10" fontId="9" fillId="2" borderId="3" xfId="0" applyNumberFormat="1" applyFont="1" applyFill="1" applyBorder="1" applyAlignment="1">
      <alignment vertical="top" wrapText="1"/>
    </xf>
    <xf numFmtId="10" fontId="9" fillId="2" borderId="1" xfId="0" applyNumberFormat="1" applyFont="1" applyFill="1" applyBorder="1" applyAlignment="1">
      <alignment vertical="top" wrapText="1"/>
    </xf>
    <xf numFmtId="0" fontId="9" fillId="6" borderId="1" xfId="0" applyFont="1" applyFill="1" applyBorder="1" applyAlignment="1">
      <alignment vertical="top"/>
    </xf>
    <xf numFmtId="0" fontId="9" fillId="2" borderId="1" xfId="0" applyFont="1" applyFill="1" applyBorder="1" applyAlignment="1">
      <alignment horizontal="left" vertical="top"/>
    </xf>
    <xf numFmtId="0" fontId="9" fillId="21" borderId="1" xfId="0" applyFont="1" applyFill="1" applyBorder="1" applyAlignment="1">
      <alignment horizontal="left" vertical="top" wrapText="1"/>
    </xf>
    <xf numFmtId="0" fontId="9" fillId="21" borderId="11" xfId="0" applyFont="1" applyFill="1" applyBorder="1" applyAlignment="1">
      <alignment horizontal="center" vertical="top" wrapText="1"/>
    </xf>
    <xf numFmtId="165" fontId="9" fillId="6" borderId="3" xfId="0" applyNumberFormat="1" applyFont="1" applyFill="1" applyBorder="1" applyAlignment="1">
      <alignment vertical="top" wrapText="1"/>
    </xf>
    <xf numFmtId="165" fontId="9" fillId="6" borderId="1" xfId="0" applyNumberFormat="1" applyFont="1" applyFill="1" applyBorder="1" applyAlignment="1">
      <alignment vertical="top" wrapText="1"/>
    </xf>
    <xf numFmtId="164" fontId="10" fillId="13" borderId="12" xfId="0" applyNumberFormat="1" applyFont="1" applyFill="1" applyBorder="1"/>
    <xf numFmtId="164" fontId="9" fillId="13" borderId="0" xfId="0" applyNumberFormat="1" applyFont="1" applyFill="1"/>
    <xf numFmtId="164" fontId="32" fillId="26" borderId="15" xfId="0" applyNumberFormat="1" applyFont="1" applyFill="1" applyBorder="1" applyAlignment="1">
      <alignment vertical="top" textRotation="90"/>
    </xf>
    <xf numFmtId="164" fontId="9" fillId="8" borderId="7" xfId="0" applyNumberFormat="1" applyFont="1" applyFill="1" applyBorder="1"/>
    <xf numFmtId="164" fontId="9" fillId="8" borderId="11" xfId="0" applyNumberFormat="1" applyFont="1" applyFill="1" applyBorder="1"/>
    <xf numFmtId="165" fontId="31" fillId="6" borderId="1" xfId="0" applyNumberFormat="1" applyFont="1" applyFill="1" applyBorder="1" applyAlignment="1">
      <alignment vertical="top" wrapText="1"/>
    </xf>
    <xf numFmtId="2" fontId="9" fillId="0" borderId="13" xfId="0" applyNumberFormat="1" applyFont="1" applyBorder="1" applyAlignment="1">
      <alignment horizontal="center" vertical="top" wrapText="1"/>
    </xf>
    <xf numFmtId="10" fontId="32" fillId="26" borderId="3" xfId="0" applyNumberFormat="1" applyFont="1" applyFill="1" applyBorder="1" applyAlignment="1">
      <alignment vertical="top"/>
    </xf>
    <xf numFmtId="10" fontId="32" fillId="26" borderId="1" xfId="0" applyNumberFormat="1" applyFont="1" applyFill="1" applyBorder="1" applyAlignment="1">
      <alignment horizontal="left" vertical="top"/>
    </xf>
    <xf numFmtId="10" fontId="32" fillId="26" borderId="1" xfId="0" applyNumberFormat="1" applyFont="1" applyFill="1" applyBorder="1" applyAlignment="1">
      <alignment horizontal="center" vertical="top" wrapText="1"/>
    </xf>
    <xf numFmtId="10" fontId="32" fillId="26" borderId="1" xfId="0" applyNumberFormat="1" applyFont="1" applyFill="1" applyBorder="1" applyAlignment="1">
      <alignment vertical="top" wrapText="1"/>
    </xf>
    <xf numFmtId="167" fontId="32" fillId="26" borderId="3" xfId="0" applyNumberFormat="1" applyFont="1" applyFill="1" applyBorder="1" applyAlignment="1">
      <alignment vertical="top" wrapText="1"/>
    </xf>
    <xf numFmtId="10" fontId="32" fillId="26" borderId="3" xfId="0" applyNumberFormat="1" applyFont="1" applyFill="1" applyBorder="1"/>
    <xf numFmtId="0" fontId="32" fillId="26" borderId="15" xfId="0" applyFont="1" applyFill="1" applyBorder="1"/>
    <xf numFmtId="10" fontId="32" fillId="26" borderId="15" xfId="0" applyNumberFormat="1" applyFont="1" applyFill="1" applyBorder="1"/>
    <xf numFmtId="10" fontId="32" fillId="26" borderId="15" xfId="0" applyNumberFormat="1" applyFont="1" applyFill="1" applyBorder="1" applyAlignment="1">
      <alignment horizontal="center" vertical="top"/>
    </xf>
    <xf numFmtId="10" fontId="32" fillId="26" borderId="15" xfId="0" applyNumberFormat="1" applyFont="1" applyFill="1" applyBorder="1" applyAlignment="1">
      <alignment vertical="top"/>
    </xf>
    <xf numFmtId="10" fontId="32" fillId="26" borderId="1" xfId="0" applyNumberFormat="1" applyFont="1" applyFill="1" applyBorder="1"/>
    <xf numFmtId="10" fontId="32" fillId="26" borderId="6" xfId="0" applyNumberFormat="1" applyFont="1" applyFill="1" applyBorder="1"/>
    <xf numFmtId="0" fontId="32" fillId="26" borderId="13" xfId="0" applyFont="1" applyFill="1" applyBorder="1"/>
    <xf numFmtId="0" fontId="32" fillId="26" borderId="14" xfId="0" applyFont="1" applyFill="1" applyBorder="1"/>
    <xf numFmtId="10" fontId="32" fillId="26" borderId="14" xfId="0" applyNumberFormat="1" applyFont="1" applyFill="1" applyBorder="1"/>
    <xf numFmtId="10" fontId="32" fillId="26" borderId="14" xfId="0" applyNumberFormat="1" applyFont="1" applyFill="1" applyBorder="1" applyAlignment="1">
      <alignment horizontal="center" vertical="top"/>
    </xf>
    <xf numFmtId="10" fontId="32" fillId="26" borderId="14" xfId="0" applyNumberFormat="1" applyFont="1" applyFill="1" applyBorder="1" applyAlignment="1">
      <alignment vertical="top"/>
    </xf>
    <xf numFmtId="10" fontId="32" fillId="26" borderId="13" xfId="0" applyNumberFormat="1" applyFont="1" applyFill="1" applyBorder="1"/>
    <xf numFmtId="164" fontId="9" fillId="8" borderId="4" xfId="0" applyNumberFormat="1" applyFont="1" applyFill="1" applyBorder="1"/>
    <xf numFmtId="2" fontId="31" fillId="0" borderId="0" xfId="0" applyNumberFormat="1" applyFont="1" applyAlignment="1">
      <alignment vertical="top" wrapText="1"/>
    </xf>
    <xf numFmtId="0" fontId="31" fillId="24" borderId="1" xfId="0" applyFont="1" applyFill="1" applyBorder="1" applyAlignment="1">
      <alignment vertical="top"/>
    </xf>
    <xf numFmtId="2" fontId="31" fillId="24" borderId="1" xfId="0" applyNumberFormat="1" applyFont="1" applyFill="1" applyBorder="1" applyAlignment="1">
      <alignment vertical="top" wrapText="1"/>
    </xf>
    <xf numFmtId="2" fontId="31" fillId="24" borderId="15" xfId="0" applyNumberFormat="1" applyFont="1" applyFill="1" applyBorder="1" applyAlignment="1">
      <alignment vertical="top" wrapText="1"/>
    </xf>
    <xf numFmtId="2" fontId="31" fillId="24" borderId="1" xfId="0" applyNumberFormat="1" applyFont="1" applyFill="1" applyBorder="1" applyAlignment="1">
      <alignment horizontal="center" vertical="top" wrapText="1"/>
    </xf>
    <xf numFmtId="2" fontId="31" fillId="24" borderId="1" xfId="0" applyNumberFormat="1" applyFont="1" applyFill="1" applyBorder="1" applyAlignment="1">
      <alignment horizontal="center" vertical="top"/>
    </xf>
    <xf numFmtId="10" fontId="31" fillId="2" borderId="1" xfId="0" quotePrefix="1" applyNumberFormat="1" applyFont="1" applyFill="1" applyBorder="1" applyAlignment="1">
      <alignment horizontal="right" vertical="top" wrapText="1"/>
    </xf>
    <xf numFmtId="10" fontId="31" fillId="2" borderId="1" xfId="0" applyNumberFormat="1" applyFont="1" applyFill="1" applyBorder="1" applyAlignment="1">
      <alignment horizontal="right" vertical="top" wrapText="1"/>
    </xf>
    <xf numFmtId="164" fontId="31" fillId="44" borderId="11" xfId="0" applyNumberFormat="1" applyFont="1" applyFill="1" applyBorder="1"/>
    <xf numFmtId="1" fontId="31" fillId="9" borderId="15" xfId="0" applyNumberFormat="1" applyFont="1" applyFill="1" applyBorder="1" applyAlignment="1">
      <alignment horizontal="right" vertical="top" wrapText="1"/>
    </xf>
    <xf numFmtId="10" fontId="31" fillId="9" borderId="15" xfId="6" applyNumberFormat="1" applyFont="1" applyFill="1" applyBorder="1" applyAlignment="1">
      <alignment horizontal="right" vertical="top" wrapText="1"/>
    </xf>
    <xf numFmtId="10" fontId="31" fillId="9" borderId="15" xfId="0" applyNumberFormat="1" applyFont="1" applyFill="1" applyBorder="1" applyAlignment="1">
      <alignment horizontal="right" vertical="top" wrapText="1"/>
    </xf>
    <xf numFmtId="10" fontId="31" fillId="9" borderId="25" xfId="0" applyNumberFormat="1" applyFont="1" applyFill="1" applyBorder="1" applyAlignment="1">
      <alignment horizontal="right" vertical="top" wrapText="1"/>
    </xf>
    <xf numFmtId="10" fontId="31" fillId="9" borderId="1" xfId="0" applyNumberFormat="1" applyFont="1" applyFill="1" applyBorder="1" applyAlignment="1">
      <alignment horizontal="right" vertical="top" wrapText="1"/>
    </xf>
    <xf numFmtId="1" fontId="31" fillId="9" borderId="1" xfId="0" applyNumberFormat="1" applyFont="1" applyFill="1" applyBorder="1" applyAlignment="1">
      <alignment horizontal="right" vertical="top" wrapText="1"/>
    </xf>
    <xf numFmtId="10" fontId="31" fillId="8" borderId="25" xfId="0" applyNumberFormat="1" applyFont="1" applyFill="1" applyBorder="1" applyAlignment="1">
      <alignment horizontal="right" vertical="top" wrapText="1"/>
    </xf>
    <xf numFmtId="10" fontId="31" fillId="8" borderId="1" xfId="0" applyNumberFormat="1" applyFont="1" applyFill="1" applyBorder="1" applyAlignment="1">
      <alignment horizontal="right" vertical="top" wrapText="1"/>
    </xf>
    <xf numFmtId="10" fontId="31" fillId="3" borderId="25" xfId="0" applyNumberFormat="1" applyFont="1" applyFill="1" applyBorder="1" applyAlignment="1">
      <alignment horizontal="right" vertical="top" wrapText="1"/>
    </xf>
    <xf numFmtId="10" fontId="31" fillId="3" borderId="1" xfId="0" applyNumberFormat="1" applyFont="1" applyFill="1" applyBorder="1" applyAlignment="1">
      <alignment horizontal="right" vertical="top" wrapText="1"/>
    </xf>
    <xf numFmtId="10" fontId="31" fillId="2" borderId="25" xfId="0" applyNumberFormat="1" applyFont="1" applyFill="1" applyBorder="1" applyAlignment="1">
      <alignment horizontal="right" vertical="top" wrapText="1"/>
    </xf>
    <xf numFmtId="10" fontId="31" fillId="4" borderId="25" xfId="0" applyNumberFormat="1" applyFont="1" applyFill="1" applyBorder="1" applyAlignment="1">
      <alignment horizontal="right" vertical="top" wrapText="1"/>
    </xf>
    <xf numFmtId="10" fontId="31" fillId="4" borderId="1" xfId="0" applyNumberFormat="1" applyFont="1" applyFill="1" applyBorder="1" applyAlignment="1">
      <alignment horizontal="right" vertical="top" wrapText="1"/>
    </xf>
    <xf numFmtId="10" fontId="31" fillId="2" borderId="25" xfId="0" applyNumberFormat="1" applyFont="1" applyFill="1" applyBorder="1" applyAlignment="1">
      <alignment vertical="top" wrapText="1"/>
    </xf>
    <xf numFmtId="10" fontId="31" fillId="2" borderId="1" xfId="0" applyNumberFormat="1" applyFont="1" applyFill="1" applyBorder="1" applyAlignment="1">
      <alignment vertical="top" wrapText="1"/>
    </xf>
    <xf numFmtId="0" fontId="31" fillId="2" borderId="6" xfId="0" applyFont="1" applyFill="1" applyBorder="1" applyAlignment="1">
      <alignment horizontal="left" vertical="top"/>
    </xf>
    <xf numFmtId="0" fontId="31" fillId="2" borderId="13" xfId="0" applyFont="1" applyFill="1" applyBorder="1" applyAlignment="1">
      <alignment horizontal="left" vertical="top"/>
    </xf>
    <xf numFmtId="165" fontId="31" fillId="6" borderId="13" xfId="0" applyNumberFormat="1" applyFont="1" applyFill="1" applyBorder="1" applyAlignment="1">
      <alignment vertical="top" wrapText="1"/>
    </xf>
    <xf numFmtId="165" fontId="31" fillId="6" borderId="27" xfId="0" applyNumberFormat="1" applyFont="1" applyFill="1" applyBorder="1" applyAlignment="1">
      <alignment vertical="top" wrapText="1"/>
    </xf>
    <xf numFmtId="164" fontId="31" fillId="8" borderId="4" xfId="0" applyNumberFormat="1" applyFont="1" applyFill="1" applyBorder="1"/>
    <xf numFmtId="1" fontId="31" fillId="9" borderId="13" xfId="0" applyNumberFormat="1" applyFont="1" applyFill="1" applyBorder="1" applyAlignment="1">
      <alignment horizontal="right" vertical="top" wrapText="1"/>
    </xf>
    <xf numFmtId="10" fontId="31" fillId="9" borderId="13" xfId="0" applyNumberFormat="1" applyFont="1" applyFill="1" applyBorder="1" applyAlignment="1">
      <alignment horizontal="right" vertical="top" wrapText="1"/>
    </xf>
    <xf numFmtId="0" fontId="31" fillId="8" borderId="26" xfId="0" applyFont="1" applyFill="1" applyBorder="1" applyAlignment="1">
      <alignment horizontal="left" vertical="top" wrapText="1"/>
    </xf>
    <xf numFmtId="2" fontId="31" fillId="8" borderId="26" xfId="0" applyNumberFormat="1" applyFont="1" applyFill="1" applyBorder="1" applyAlignment="1">
      <alignment horizontal="center" vertical="top" wrapText="1"/>
    </xf>
    <xf numFmtId="2" fontId="31" fillId="8" borderId="26" xfId="0" applyNumberFormat="1" applyFont="1" applyFill="1" applyBorder="1" applyAlignment="1">
      <alignment vertical="top" wrapText="1"/>
    </xf>
    <xf numFmtId="2" fontId="31" fillId="45" borderId="26" xfId="0" applyNumberFormat="1" applyFont="1" applyFill="1" applyBorder="1" applyAlignment="1">
      <alignment horizontal="center" vertical="top" wrapText="1"/>
    </xf>
    <xf numFmtId="2" fontId="31" fillId="45" borderId="1" xfId="0" applyNumberFormat="1" applyFont="1" applyFill="1" applyBorder="1" applyAlignment="1">
      <alignment horizontal="center" vertical="top"/>
    </xf>
    <xf numFmtId="165" fontId="31" fillId="8" borderId="25" xfId="0" applyNumberFormat="1" applyFont="1" applyFill="1" applyBorder="1" applyAlignment="1">
      <alignment vertical="top" wrapText="1"/>
    </xf>
    <xf numFmtId="165" fontId="31" fillId="8" borderId="1" xfId="0" applyNumberFormat="1" applyFont="1" applyFill="1" applyBorder="1" applyAlignment="1">
      <alignment vertical="top" wrapText="1"/>
    </xf>
    <xf numFmtId="164" fontId="31" fillId="8" borderId="1" xfId="0" applyNumberFormat="1" applyFont="1" applyFill="1" applyBorder="1"/>
    <xf numFmtId="0" fontId="3" fillId="36" borderId="3" xfId="1" applyFill="1" applyBorder="1" applyAlignment="1">
      <alignment horizontal="left" vertical="top"/>
      <protection locked="0"/>
    </xf>
    <xf numFmtId="2" fontId="9" fillId="25" borderId="1" xfId="0" applyNumberFormat="1" applyFont="1" applyFill="1" applyBorder="1" applyAlignment="1" applyProtection="1">
      <alignment horizontal="left" vertical="top" wrapText="1"/>
      <protection locked="0"/>
    </xf>
    <xf numFmtId="0" fontId="10" fillId="12" borderId="1" xfId="5" applyFont="1" applyFill="1" applyBorder="1" applyAlignment="1">
      <alignment vertical="top" wrapText="1"/>
    </xf>
    <xf numFmtId="2" fontId="1" fillId="8" borderId="1" xfId="0" applyNumberFormat="1" applyFont="1" applyFill="1" applyBorder="1" applyAlignment="1">
      <alignment vertical="top" wrapText="1"/>
    </xf>
    <xf numFmtId="0" fontId="0" fillId="0" borderId="0" xfId="0" applyAlignment="1">
      <alignment horizontal="right"/>
    </xf>
    <xf numFmtId="1" fontId="9" fillId="29" borderId="1" xfId="0" quotePrefix="1" applyNumberFormat="1" applyFont="1" applyFill="1" applyBorder="1" applyAlignment="1">
      <alignment horizontal="center" vertical="top" wrapText="1"/>
    </xf>
    <xf numFmtId="0" fontId="9" fillId="0" borderId="5" xfId="0" applyFont="1" applyBorder="1" applyAlignment="1">
      <alignment horizontal="center" wrapText="1"/>
    </xf>
    <xf numFmtId="0" fontId="9" fillId="16" borderId="10" xfId="0" quotePrefix="1" applyFont="1" applyFill="1" applyBorder="1" applyAlignment="1">
      <alignment vertical="top"/>
    </xf>
    <xf numFmtId="0" fontId="9" fillId="16" borderId="4" xfId="0" quotePrefix="1" applyFont="1" applyFill="1" applyBorder="1" applyAlignment="1">
      <alignment vertical="top"/>
    </xf>
    <xf numFmtId="10" fontId="9" fillId="24" borderId="0" xfId="6" applyNumberFormat="1" applyFont="1" applyFill="1" applyAlignment="1">
      <alignment horizontal="center" vertical="top"/>
    </xf>
    <xf numFmtId="10" fontId="9" fillId="16" borderId="7" xfId="6" applyNumberFormat="1" applyFont="1" applyFill="1" applyBorder="1" applyAlignment="1">
      <alignment horizontal="center" vertical="top"/>
    </xf>
    <xf numFmtId="0" fontId="10" fillId="0" borderId="5" xfId="0" applyFont="1" applyBorder="1" applyAlignment="1">
      <alignment wrapText="1"/>
    </xf>
    <xf numFmtId="0" fontId="9" fillId="0" borderId="1" xfId="0" applyFont="1" applyBorder="1" applyAlignment="1">
      <alignment horizontal="left" wrapText="1"/>
    </xf>
    <xf numFmtId="170" fontId="2" fillId="22" borderId="1" xfId="0" quotePrefix="1" applyNumberFormat="1" applyFont="1" applyFill="1" applyBorder="1" applyAlignment="1">
      <alignment horizontal="center" vertical="top"/>
    </xf>
    <xf numFmtId="167" fontId="10" fillId="44" borderId="1" xfId="6" applyNumberFormat="1" applyFont="1" applyFill="1" applyBorder="1" applyAlignment="1">
      <alignment vertical="top" wrapText="1"/>
    </xf>
    <xf numFmtId="167" fontId="10" fillId="44" borderId="1" xfId="6" applyNumberFormat="1" applyFont="1" applyFill="1" applyBorder="1"/>
    <xf numFmtId="167" fontId="9" fillId="44" borderId="1" xfId="6" applyNumberFormat="1" applyFont="1" applyFill="1" applyBorder="1"/>
    <xf numFmtId="0" fontId="10" fillId="44" borderId="19" xfId="0" applyFont="1" applyFill="1" applyBorder="1" applyAlignment="1">
      <alignment horizontal="left" vertical="top"/>
    </xf>
    <xf numFmtId="0" fontId="10" fillId="44" borderId="47" xfId="0" applyFont="1" applyFill="1" applyBorder="1" applyAlignment="1">
      <alignment horizontal="left" vertical="top"/>
    </xf>
    <xf numFmtId="2" fontId="10" fillId="44" borderId="47" xfId="0" applyNumberFormat="1" applyFont="1" applyFill="1" applyBorder="1" applyAlignment="1">
      <alignment horizontal="center" vertical="top" wrapText="1"/>
    </xf>
    <xf numFmtId="2" fontId="10" fillId="44" borderId="47" xfId="0" applyNumberFormat="1" applyFont="1" applyFill="1" applyBorder="1" applyAlignment="1">
      <alignment vertical="top" wrapText="1"/>
    </xf>
    <xf numFmtId="2" fontId="10" fillId="44" borderId="25" xfId="0" applyNumberFormat="1" applyFont="1" applyFill="1" applyBorder="1" applyAlignment="1">
      <alignment horizontal="center" vertical="top" wrapText="1"/>
    </xf>
    <xf numFmtId="0" fontId="10" fillId="44" borderId="19" xfId="0" applyFont="1" applyFill="1" applyBorder="1" applyAlignment="1">
      <alignment horizontal="left" wrapText="1"/>
    </xf>
    <xf numFmtId="0" fontId="10" fillId="44" borderId="47" xfId="0" applyFont="1" applyFill="1" applyBorder="1" applyAlignment="1">
      <alignment horizontal="left" wrapText="1"/>
    </xf>
    <xf numFmtId="0" fontId="10" fillId="44" borderId="25" xfId="0" applyFont="1" applyFill="1" applyBorder="1" applyAlignment="1">
      <alignment horizontal="left" wrapText="1"/>
    </xf>
    <xf numFmtId="2" fontId="10" fillId="44" borderId="47" xfId="0" applyNumberFormat="1" applyFont="1" applyFill="1" applyBorder="1" applyAlignment="1">
      <alignment horizontal="center" vertical="top"/>
    </xf>
    <xf numFmtId="0" fontId="10" fillId="44" borderId="19" xfId="0" applyFont="1" applyFill="1" applyBorder="1" applyAlignment="1">
      <alignment horizontal="left"/>
    </xf>
    <xf numFmtId="0" fontId="10" fillId="44" borderId="47" xfId="0" applyFont="1" applyFill="1" applyBorder="1" applyAlignment="1">
      <alignment horizontal="left"/>
    </xf>
    <xf numFmtId="0" fontId="10" fillId="44" borderId="25" xfId="0" applyFont="1" applyFill="1" applyBorder="1" applyAlignment="1">
      <alignment horizontal="left"/>
    </xf>
    <xf numFmtId="2" fontId="9" fillId="44" borderId="47" xfId="0" applyNumberFormat="1" applyFont="1" applyFill="1" applyBorder="1" applyAlignment="1">
      <alignment horizontal="center" vertical="top"/>
    </xf>
    <xf numFmtId="167" fontId="9" fillId="16" borderId="1" xfId="0" applyNumberFormat="1" applyFont="1" applyFill="1" applyBorder="1"/>
    <xf numFmtId="167" fontId="9" fillId="16" borderId="0" xfId="6" quotePrefix="1" applyNumberFormat="1" applyFont="1" applyFill="1" applyAlignment="1">
      <alignment horizontal="center" vertical="top"/>
    </xf>
    <xf numFmtId="0" fontId="9" fillId="44" borderId="13" xfId="0" applyFont="1" applyFill="1" applyBorder="1"/>
    <xf numFmtId="0" fontId="9" fillId="44" borderId="14" xfId="0" applyFont="1" applyFill="1" applyBorder="1"/>
    <xf numFmtId="0" fontId="35" fillId="44" borderId="14" xfId="0" applyFont="1" applyFill="1" applyBorder="1"/>
    <xf numFmtId="0" fontId="35" fillId="44" borderId="15" xfId="0" applyFont="1" applyFill="1" applyBorder="1"/>
    <xf numFmtId="1" fontId="9" fillId="20" borderId="1" xfId="0" applyNumberFormat="1" applyFont="1" applyFill="1" applyBorder="1" applyAlignment="1">
      <alignment horizontal="right" vertical="top" wrapText="1"/>
    </xf>
    <xf numFmtId="0" fontId="9" fillId="16" borderId="2" xfId="0" applyFont="1" applyFill="1" applyBorder="1" applyAlignment="1">
      <alignment horizontal="center" vertical="top" wrapText="1"/>
    </xf>
    <xf numFmtId="2" fontId="9" fillId="16" borderId="9" xfId="0" applyNumberFormat="1" applyFont="1" applyFill="1" applyBorder="1" applyAlignment="1">
      <alignment horizontal="center" vertical="top" wrapText="1"/>
    </xf>
    <xf numFmtId="0" fontId="9" fillId="38" borderId="0" xfId="0" quotePrefix="1" applyFont="1" applyFill="1" applyAlignment="1">
      <alignment vertical="top"/>
    </xf>
    <xf numFmtId="0" fontId="9" fillId="38" borderId="0" xfId="0" applyFont="1" applyFill="1"/>
    <xf numFmtId="0" fontId="9" fillId="47" borderId="0" xfId="0" quotePrefix="1" applyFont="1" applyFill="1" applyAlignment="1">
      <alignment vertical="top"/>
    </xf>
    <xf numFmtId="0" fontId="9" fillId="47" borderId="0" xfId="0" applyFont="1" applyFill="1"/>
    <xf numFmtId="0" fontId="9" fillId="0" borderId="3" xfId="0" applyFont="1" applyBorder="1" applyAlignment="1">
      <alignment horizontal="center"/>
    </xf>
    <xf numFmtId="0" fontId="9" fillId="0" borderId="0" xfId="0" quotePrefix="1" applyFont="1" applyAlignment="1">
      <alignment horizontal="left" vertical="top" wrapText="1"/>
    </xf>
    <xf numFmtId="0" fontId="3" fillId="0" borderId="0" xfId="1" applyAlignment="1" applyProtection="1"/>
    <xf numFmtId="14" fontId="0" fillId="16" borderId="1" xfId="0" applyNumberFormat="1" applyFill="1" applyBorder="1"/>
    <xf numFmtId="2" fontId="9" fillId="8" borderId="1" xfId="0" applyNumberFormat="1" applyFont="1" applyFill="1" applyBorder="1" applyAlignment="1">
      <alignment horizontal="left" vertical="top" wrapText="1"/>
    </xf>
    <xf numFmtId="2" fontId="9" fillId="0" borderId="1" xfId="0" applyNumberFormat="1" applyFont="1" applyBorder="1" applyAlignment="1">
      <alignment horizontal="right" vertical="top"/>
    </xf>
    <xf numFmtId="1" fontId="9" fillId="40" borderId="1" xfId="0" applyNumberFormat="1" applyFont="1" applyFill="1" applyBorder="1" applyAlignment="1">
      <alignment horizontal="center" vertical="top" wrapText="1"/>
    </xf>
    <xf numFmtId="0" fontId="9" fillId="40" borderId="1" xfId="0" applyFont="1" applyFill="1" applyBorder="1" applyAlignment="1">
      <alignment horizontal="center" vertical="top" wrapText="1"/>
    </xf>
    <xf numFmtId="1" fontId="9" fillId="29" borderId="1" xfId="0" applyNumberFormat="1" applyFont="1" applyFill="1" applyBorder="1" applyAlignment="1">
      <alignment horizontal="center" vertical="top" wrapText="1"/>
    </xf>
    <xf numFmtId="2" fontId="9" fillId="16" borderId="8" xfId="0" applyNumberFormat="1" applyFont="1" applyFill="1" applyBorder="1" applyAlignment="1">
      <alignment horizontal="center" vertical="top" wrapText="1"/>
    </xf>
    <xf numFmtId="0" fontId="2" fillId="0" borderId="0" xfId="0" applyFont="1" applyAlignment="1">
      <alignment vertical="top" wrapText="1"/>
    </xf>
    <xf numFmtId="0" fontId="9" fillId="0" borderId="2" xfId="0" quotePrefix="1" applyFont="1" applyBorder="1" applyAlignment="1">
      <alignment horizontal="left" vertical="top"/>
    </xf>
    <xf numFmtId="10" fontId="9" fillId="24" borderId="4" xfId="6" applyNumberFormat="1" applyFont="1" applyFill="1" applyBorder="1" applyAlignment="1">
      <alignment horizontal="center" vertical="top"/>
    </xf>
    <xf numFmtId="166" fontId="9" fillId="0" borderId="0" xfId="0" quotePrefix="1" applyNumberFormat="1" applyFont="1" applyAlignment="1">
      <alignment horizontal="left" vertical="top"/>
    </xf>
    <xf numFmtId="2" fontId="31" fillId="16" borderId="0" xfId="0" applyNumberFormat="1" applyFont="1" applyFill="1" applyAlignment="1">
      <alignment horizontal="right" vertical="top" wrapText="1"/>
    </xf>
    <xf numFmtId="2" fontId="31" fillId="16" borderId="0" xfId="0" applyNumberFormat="1" applyFont="1" applyFill="1" applyAlignment="1">
      <alignment vertical="top" wrapText="1"/>
    </xf>
    <xf numFmtId="0" fontId="25" fillId="0" borderId="0" xfId="0" applyFont="1" applyAlignment="1">
      <alignment vertical="top"/>
    </xf>
    <xf numFmtId="165" fontId="2" fillId="0" borderId="0" xfId="2" applyNumberFormat="1" applyFont="1" applyAlignment="1">
      <alignment horizontal="right" vertical="top" wrapText="1"/>
    </xf>
    <xf numFmtId="165" fontId="2" fillId="0" borderId="0" xfId="2" applyNumberFormat="1" applyFont="1" applyAlignment="1">
      <alignment horizontal="left" vertical="top" wrapText="1"/>
    </xf>
    <xf numFmtId="165" fontId="2" fillId="0" borderId="0" xfId="2" applyNumberFormat="1" applyFont="1" applyAlignment="1">
      <alignment vertical="top"/>
    </xf>
    <xf numFmtId="2" fontId="2" fillId="0" borderId="0" xfId="2" applyNumberFormat="1" applyFont="1" applyAlignment="1">
      <alignment vertical="top"/>
    </xf>
    <xf numFmtId="165" fontId="9" fillId="0" borderId="0" xfId="0" applyNumberFormat="1" applyFont="1" applyAlignment="1">
      <alignment vertical="top" wrapText="1"/>
    </xf>
    <xf numFmtId="165" fontId="9" fillId="0" borderId="0" xfId="0" applyNumberFormat="1" applyFont="1" applyAlignment="1">
      <alignment horizontal="center" vertical="top" wrapText="1"/>
    </xf>
    <xf numFmtId="165" fontId="9" fillId="0" borderId="0" xfId="0" applyNumberFormat="1" applyFont="1" applyAlignment="1">
      <alignment horizontal="right" vertical="top" wrapText="1"/>
    </xf>
    <xf numFmtId="165" fontId="9" fillId="0" borderId="0" xfId="0" applyNumberFormat="1" applyFont="1" applyAlignment="1">
      <alignment vertical="top"/>
    </xf>
    <xf numFmtId="165" fontId="2" fillId="0" borderId="0" xfId="0" applyNumberFormat="1" applyFont="1" applyAlignment="1">
      <alignment vertical="top"/>
    </xf>
    <xf numFmtId="165" fontId="2" fillId="0" borderId="0" xfId="0" applyNumberFormat="1" applyFont="1" applyAlignment="1">
      <alignment horizontal="center" vertical="top" wrapText="1"/>
    </xf>
    <xf numFmtId="165" fontId="2" fillId="0" borderId="0" xfId="0" applyNumberFormat="1" applyFont="1" applyAlignment="1">
      <alignment horizontal="right" vertical="top" wrapText="1"/>
    </xf>
    <xf numFmtId="165" fontId="2" fillId="0" borderId="0" xfId="0" quotePrefix="1" applyNumberFormat="1" applyFont="1" applyAlignment="1">
      <alignment vertical="top"/>
    </xf>
    <xf numFmtId="2" fontId="2" fillId="0" borderId="0" xfId="0" quotePrefix="1" applyNumberFormat="1" applyFont="1" applyAlignment="1">
      <alignment horizontal="center" vertical="top" wrapText="1"/>
    </xf>
    <xf numFmtId="2" fontId="2" fillId="0" borderId="0" xfId="0" applyNumberFormat="1" applyFont="1" applyAlignment="1">
      <alignment horizontal="center" vertical="top" wrapText="1"/>
    </xf>
    <xf numFmtId="0" fontId="2" fillId="0" borderId="0" xfId="0" quotePrefix="1" applyFont="1" applyAlignment="1">
      <alignment vertical="top"/>
    </xf>
    <xf numFmtId="170" fontId="2" fillId="0" borderId="0" xfId="0" applyNumberFormat="1" applyFont="1" applyAlignment="1">
      <alignment vertical="top"/>
    </xf>
    <xf numFmtId="170" fontId="2" fillId="0" borderId="0" xfId="0" quotePrefix="1" applyNumberFormat="1" applyFont="1" applyAlignment="1">
      <alignment horizontal="center" vertical="top" wrapText="1"/>
    </xf>
    <xf numFmtId="0" fontId="2" fillId="0" borderId="0" xfId="0" applyFont="1" applyAlignment="1">
      <alignment horizontal="center" vertical="top"/>
    </xf>
    <xf numFmtId="0" fontId="10" fillId="12" borderId="3" xfId="5" applyFont="1" applyFill="1" applyBorder="1" applyAlignment="1">
      <alignment vertical="top"/>
    </xf>
    <xf numFmtId="0" fontId="3" fillId="36" borderId="11" xfId="1" applyFill="1" applyBorder="1" applyProtection="1">
      <alignment vertical="top"/>
    </xf>
    <xf numFmtId="0" fontId="3" fillId="36" borderId="12" xfId="1" applyFill="1" applyBorder="1" applyProtection="1">
      <alignment vertical="top"/>
    </xf>
    <xf numFmtId="0" fontId="3" fillId="36" borderId="3" xfId="1" applyFill="1" applyBorder="1" applyProtection="1">
      <alignment vertical="top"/>
    </xf>
    <xf numFmtId="0" fontId="3" fillId="36" borderId="11" xfId="1" applyFill="1" applyBorder="1" applyAlignment="1" applyProtection="1">
      <alignment vertical="top" wrapText="1"/>
    </xf>
    <xf numFmtId="0" fontId="3" fillId="36" borderId="12" xfId="1" applyFill="1" applyBorder="1" applyAlignment="1" applyProtection="1">
      <alignment vertical="top" wrapText="1"/>
    </xf>
    <xf numFmtId="0" fontId="3" fillId="36" borderId="3" xfId="1" applyFill="1" applyBorder="1" applyAlignment="1" applyProtection="1">
      <alignment vertical="top" wrapText="1"/>
    </xf>
    <xf numFmtId="0" fontId="10" fillId="41" borderId="3" xfId="5" quotePrefix="1" applyFont="1" applyFill="1" applyBorder="1" applyAlignment="1">
      <alignment horizontal="left" vertical="top"/>
    </xf>
    <xf numFmtId="0" fontId="10" fillId="41" borderId="6" xfId="5" applyFont="1" applyFill="1" applyBorder="1" applyAlignment="1">
      <alignment horizontal="right" vertical="top"/>
    </xf>
    <xf numFmtId="0" fontId="10" fillId="41" borderId="11" xfId="5" quotePrefix="1" applyFont="1" applyFill="1" applyBorder="1" applyAlignment="1">
      <alignment horizontal="left" vertical="top"/>
    </xf>
    <xf numFmtId="0" fontId="10" fillId="41" borderId="4" xfId="5" quotePrefix="1" applyFont="1" applyFill="1" applyBorder="1" applyAlignment="1">
      <alignment horizontal="left" vertical="top"/>
    </xf>
    <xf numFmtId="0" fontId="0" fillId="0" borderId="49" xfId="0" applyBorder="1" applyAlignment="1">
      <alignment horizontal="center" wrapText="1"/>
    </xf>
    <xf numFmtId="0" fontId="0" fillId="0" borderId="50" xfId="0" applyBorder="1" applyAlignment="1">
      <alignment horizontal="center" wrapText="1"/>
    </xf>
    <xf numFmtId="0" fontId="0" fillId="0" borderId="51" xfId="0" applyBorder="1" applyAlignment="1">
      <alignment horizontal="center" wrapText="1"/>
    </xf>
    <xf numFmtId="0" fontId="59" fillId="0" borderId="0" xfId="0" applyFont="1" applyAlignment="1">
      <alignment wrapText="1"/>
    </xf>
    <xf numFmtId="0" fontId="0" fillId="0" borderId="0" xfId="0" applyAlignment="1">
      <alignment wrapText="1"/>
    </xf>
    <xf numFmtId="0" fontId="0" fillId="0" borderId="0" xfId="0" applyAlignment="1">
      <alignment horizontal="center" wrapText="1"/>
    </xf>
    <xf numFmtId="0" fontId="6" fillId="0" borderId="49" xfId="0" applyFont="1" applyBorder="1" applyAlignment="1">
      <alignment horizontal="center" vertical="top" wrapText="1"/>
    </xf>
    <xf numFmtId="165" fontId="1" fillId="24" borderId="11" xfId="2" applyNumberFormat="1" applyFont="1" applyFill="1" applyBorder="1" applyAlignment="1" applyProtection="1">
      <alignment horizontal="center" vertical="top" wrapText="1"/>
      <protection locked="0"/>
    </xf>
    <xf numFmtId="165" fontId="1" fillId="25" borderId="11" xfId="2" applyNumberFormat="1" applyFont="1" applyFill="1" applyBorder="1" applyAlignment="1" applyProtection="1">
      <alignment horizontal="center" vertical="top" wrapText="1"/>
      <protection locked="0"/>
    </xf>
    <xf numFmtId="0" fontId="0" fillId="44" borderId="0" xfId="0" applyFill="1"/>
    <xf numFmtId="0" fontId="60" fillId="0" borderId="0" xfId="0" applyFont="1"/>
    <xf numFmtId="0" fontId="61" fillId="0" borderId="1" xfId="0" applyFont="1" applyBorder="1" applyAlignment="1">
      <alignment vertical="center"/>
    </xf>
    <xf numFmtId="0" fontId="61" fillId="44" borderId="1" xfId="0" applyFont="1" applyFill="1" applyBorder="1" applyAlignment="1">
      <alignment vertical="center"/>
    </xf>
    <xf numFmtId="0" fontId="61" fillId="0" borderId="11" xfId="0" applyFont="1" applyBorder="1" applyAlignment="1">
      <alignment vertical="center"/>
    </xf>
    <xf numFmtId="0" fontId="61" fillId="0" borderId="13" xfId="0" applyFont="1" applyBorder="1" applyAlignment="1">
      <alignment vertical="center"/>
    </xf>
    <xf numFmtId="0" fontId="61" fillId="0" borderId="15" xfId="0" applyFont="1" applyBorder="1" applyAlignment="1">
      <alignment vertical="center"/>
    </xf>
    <xf numFmtId="0" fontId="61" fillId="44" borderId="11" xfId="0" applyFont="1" applyFill="1" applyBorder="1" applyAlignment="1">
      <alignment vertical="center"/>
    </xf>
    <xf numFmtId="0" fontId="61" fillId="0" borderId="0" xfId="0" applyFont="1" applyAlignment="1">
      <alignment vertical="center"/>
    </xf>
    <xf numFmtId="0" fontId="1" fillId="25" borderId="53" xfId="0" applyFont="1" applyFill="1" applyBorder="1" applyAlignment="1" applyProtection="1">
      <alignment horizontal="center" wrapText="1"/>
      <protection locked="0"/>
    </xf>
    <xf numFmtId="0" fontId="0" fillId="25" borderId="53" xfId="0" applyFill="1" applyBorder="1" applyAlignment="1" applyProtection="1">
      <alignment horizontal="center" wrapText="1"/>
      <protection locked="0"/>
    </xf>
    <xf numFmtId="0" fontId="0" fillId="25" borderId="14" xfId="0" applyFill="1" applyBorder="1" applyAlignment="1" applyProtection="1">
      <alignment horizontal="center" wrapText="1"/>
      <protection locked="0"/>
    </xf>
    <xf numFmtId="0" fontId="1" fillId="25" borderId="14" xfId="0" applyFont="1" applyFill="1" applyBorder="1" applyAlignment="1" applyProtection="1">
      <alignment horizontal="center" wrapText="1"/>
      <protection locked="0"/>
    </xf>
    <xf numFmtId="0" fontId="0" fillId="25" borderId="54" xfId="0" applyFill="1" applyBorder="1" applyAlignment="1" applyProtection="1">
      <alignment horizontal="center" wrapText="1"/>
      <protection locked="0"/>
    </xf>
    <xf numFmtId="0" fontId="10" fillId="41" borderId="12" xfId="5" quotePrefix="1" applyFont="1" applyFill="1" applyBorder="1" applyAlignment="1">
      <alignment horizontal="left" vertical="top"/>
    </xf>
    <xf numFmtId="0" fontId="6" fillId="0" borderId="48" xfId="0" applyFont="1" applyBorder="1" applyAlignment="1">
      <alignment horizontal="center" vertical="top" wrapText="1"/>
    </xf>
    <xf numFmtId="0" fontId="0" fillId="0" borderId="48" xfId="0" applyBorder="1" applyAlignment="1">
      <alignment wrapText="1"/>
    </xf>
    <xf numFmtId="0" fontId="9" fillId="16" borderId="1" xfId="0" applyFont="1" applyFill="1" applyBorder="1" applyAlignment="1">
      <alignment horizontal="left" vertical="top" wrapText="1"/>
    </xf>
    <xf numFmtId="0" fontId="9" fillId="24" borderId="0" xfId="0" applyFont="1" applyFill="1" applyAlignment="1">
      <alignment horizontal="left" vertical="top" wrapText="1"/>
    </xf>
    <xf numFmtId="0" fontId="9" fillId="24" borderId="12" xfId="0" applyFont="1" applyFill="1" applyBorder="1" applyAlignment="1">
      <alignment horizontal="left" wrapText="1"/>
    </xf>
    <xf numFmtId="0" fontId="10" fillId="24" borderId="12" xfId="0" applyFont="1" applyFill="1" applyBorder="1" applyAlignment="1">
      <alignment horizontal="left" wrapText="1"/>
    </xf>
    <xf numFmtId="0" fontId="56" fillId="0" borderId="5" xfId="0" applyFont="1" applyBorder="1"/>
    <xf numFmtId="0" fontId="56" fillId="0" borderId="5" xfId="0" applyFont="1" applyBorder="1" applyAlignment="1">
      <alignment horizontal="left"/>
    </xf>
    <xf numFmtId="0" fontId="6" fillId="17" borderId="0" xfId="0" applyFont="1" applyFill="1"/>
    <xf numFmtId="0" fontId="0" fillId="17" borderId="0" xfId="0" applyFill="1"/>
    <xf numFmtId="0" fontId="6" fillId="25" borderId="52" xfId="0" applyFont="1" applyFill="1" applyBorder="1" applyAlignment="1" applyProtection="1">
      <alignment horizontal="center" vertical="top" wrapText="1"/>
      <protection locked="0"/>
    </xf>
    <xf numFmtId="0" fontId="6" fillId="38" borderId="48" xfId="0" applyFont="1" applyFill="1" applyBorder="1" applyAlignment="1">
      <alignment horizontal="center" vertical="top" wrapText="1"/>
    </xf>
    <xf numFmtId="165" fontId="1" fillId="24" borderId="12" xfId="2" applyNumberFormat="1" applyFont="1" applyFill="1" applyBorder="1" applyAlignment="1">
      <alignment horizontal="center" vertical="top" wrapText="1"/>
    </xf>
    <xf numFmtId="0" fontId="0" fillId="0" borderId="15" xfId="0" applyBorder="1"/>
    <xf numFmtId="165" fontId="1" fillId="38" borderId="12" xfId="2" applyNumberFormat="1" applyFont="1" applyFill="1" applyBorder="1" applyAlignment="1">
      <alignment horizontal="center" vertical="top" wrapText="1"/>
    </xf>
    <xf numFmtId="0" fontId="0" fillId="29" borderId="1" xfId="0" applyFill="1" applyBorder="1"/>
    <xf numFmtId="165" fontId="0" fillId="29" borderId="1" xfId="0" applyNumberFormat="1" applyFill="1" applyBorder="1"/>
    <xf numFmtId="0" fontId="1" fillId="0" borderId="1" xfId="0" applyFont="1" applyBorder="1" applyAlignment="1" applyProtection="1">
      <alignment horizontal="left" vertical="top" wrapText="1"/>
      <protection locked="0"/>
    </xf>
    <xf numFmtId="165" fontId="2" fillId="24" borderId="1" xfId="2" applyNumberFormat="1" applyFont="1" applyFill="1" applyBorder="1" applyAlignment="1" applyProtection="1">
      <alignment horizontal="left" vertical="center" wrapText="1"/>
      <protection locked="0"/>
    </xf>
    <xf numFmtId="2" fontId="2" fillId="24" borderId="1" xfId="0" applyNumberFormat="1" applyFont="1" applyFill="1" applyBorder="1" applyAlignment="1" applyProtection="1">
      <alignment vertical="top"/>
      <protection locked="0"/>
    </xf>
    <xf numFmtId="170" fontId="47" fillId="0" borderId="0" xfId="0" applyNumberFormat="1" applyFont="1" applyAlignment="1">
      <alignment horizontal="center" vertical="top"/>
    </xf>
    <xf numFmtId="170" fontId="47" fillId="0" borderId="0" xfId="0" quotePrefix="1" applyNumberFormat="1" applyFont="1" applyAlignment="1">
      <alignment horizontal="center" vertical="top"/>
    </xf>
    <xf numFmtId="170" fontId="2" fillId="38" borderId="1" xfId="0" applyNumberFormat="1" applyFont="1" applyFill="1" applyBorder="1" applyAlignment="1" applyProtection="1">
      <alignment horizontal="center" vertical="top"/>
      <protection hidden="1"/>
    </xf>
    <xf numFmtId="170" fontId="2" fillId="22" borderId="1" xfId="0" quotePrefix="1" applyNumberFormat="1" applyFont="1" applyFill="1" applyBorder="1" applyAlignment="1" applyProtection="1">
      <alignment horizontal="center" vertical="top"/>
      <protection hidden="1"/>
    </xf>
    <xf numFmtId="170" fontId="2" fillId="22" borderId="1" xfId="0" applyNumberFormat="1" applyFont="1" applyFill="1" applyBorder="1" applyAlignment="1" applyProtection="1">
      <alignment horizontal="center" vertical="top"/>
      <protection hidden="1"/>
    </xf>
    <xf numFmtId="170" fontId="2" fillId="38" borderId="1" xfId="0" quotePrefix="1" applyNumberFormat="1" applyFont="1" applyFill="1" applyBorder="1" applyAlignment="1" applyProtection="1">
      <alignment horizontal="center" vertical="top"/>
      <protection hidden="1"/>
    </xf>
    <xf numFmtId="170" fontId="47" fillId="38" borderId="1" xfId="0" applyNumberFormat="1" applyFont="1" applyFill="1" applyBorder="1" applyAlignment="1" applyProtection="1">
      <alignment horizontal="left" vertical="top" wrapText="1"/>
      <protection hidden="1"/>
    </xf>
    <xf numFmtId="0" fontId="21" fillId="38" borderId="1" xfId="0" applyFont="1" applyFill="1" applyBorder="1" applyAlignment="1" applyProtection="1">
      <alignment horizontal="center" vertical="top"/>
      <protection hidden="1"/>
    </xf>
    <xf numFmtId="173" fontId="2" fillId="38" borderId="1" xfId="0" quotePrefix="1" applyNumberFormat="1" applyFont="1" applyFill="1" applyBorder="1" applyAlignment="1" applyProtection="1">
      <alignment horizontal="center" vertical="center"/>
      <protection hidden="1"/>
    </xf>
    <xf numFmtId="171" fontId="2" fillId="38" borderId="1" xfId="0" applyNumberFormat="1" applyFont="1" applyFill="1" applyBorder="1" applyAlignment="1" applyProtection="1">
      <alignment vertical="top"/>
      <protection hidden="1"/>
    </xf>
    <xf numFmtId="173" fontId="2" fillId="38" borderId="1" xfId="0" applyNumberFormat="1" applyFont="1" applyFill="1" applyBorder="1" applyAlignment="1" applyProtection="1">
      <alignment horizontal="center" vertical="top"/>
      <protection hidden="1"/>
    </xf>
    <xf numFmtId="170" fontId="47" fillId="38" borderId="13" xfId="0" applyNumberFormat="1" applyFont="1" applyFill="1" applyBorder="1" applyAlignment="1" applyProtection="1">
      <alignment horizontal="left" vertical="top" wrapText="1"/>
      <protection hidden="1"/>
    </xf>
    <xf numFmtId="171" fontId="2" fillId="38" borderId="13" xfId="0" applyNumberFormat="1" applyFont="1" applyFill="1" applyBorder="1" applyAlignment="1" applyProtection="1">
      <alignment vertical="top"/>
      <protection hidden="1"/>
    </xf>
    <xf numFmtId="173" fontId="2" fillId="38" borderId="13" xfId="0" applyNumberFormat="1" applyFont="1" applyFill="1" applyBorder="1" applyAlignment="1" applyProtection="1">
      <alignment horizontal="center" vertical="top"/>
      <protection hidden="1"/>
    </xf>
    <xf numFmtId="170" fontId="2" fillId="38" borderId="1" xfId="0" applyNumberFormat="1" applyFont="1" applyFill="1" applyBorder="1" applyAlignment="1" applyProtection="1">
      <alignment vertical="top"/>
      <protection hidden="1"/>
    </xf>
    <xf numFmtId="0" fontId="2" fillId="24" borderId="1" xfId="0" applyFont="1" applyFill="1" applyBorder="1" applyAlignment="1" applyProtection="1">
      <alignment vertical="top"/>
      <protection hidden="1"/>
    </xf>
    <xf numFmtId="0" fontId="2" fillId="38" borderId="1" xfId="0" quotePrefix="1" applyFont="1" applyFill="1" applyBorder="1" applyAlignment="1" applyProtection="1">
      <alignment horizontal="center" vertical="top"/>
      <protection hidden="1"/>
    </xf>
    <xf numFmtId="0" fontId="2" fillId="24" borderId="1" xfId="0" applyFont="1" applyFill="1" applyBorder="1" applyAlignment="1" applyProtection="1">
      <alignment horizontal="center" vertical="top"/>
      <protection hidden="1"/>
    </xf>
    <xf numFmtId="0" fontId="2" fillId="38" borderId="1" xfId="0" applyFont="1" applyFill="1" applyBorder="1" applyAlignment="1" applyProtection="1">
      <alignment horizontal="center" vertical="top"/>
      <protection hidden="1"/>
    </xf>
    <xf numFmtId="0" fontId="2" fillId="22" borderId="1" xfId="0" quotePrefix="1" applyFont="1" applyFill="1" applyBorder="1" applyAlignment="1" applyProtection="1">
      <alignment horizontal="center" vertical="top"/>
      <protection hidden="1"/>
    </xf>
    <xf numFmtId="0" fontId="2" fillId="22" borderId="1" xfId="0" applyFont="1" applyFill="1" applyBorder="1" applyAlignment="1" applyProtection="1">
      <alignment horizontal="center" vertical="top"/>
      <protection hidden="1"/>
    </xf>
    <xf numFmtId="0" fontId="2" fillId="38" borderId="1" xfId="0" applyFont="1" applyFill="1" applyBorder="1" applyAlignment="1" applyProtection="1">
      <alignment vertical="top"/>
      <protection hidden="1"/>
    </xf>
    <xf numFmtId="170" fontId="2" fillId="38" borderId="13" xfId="0" applyNumberFormat="1" applyFont="1" applyFill="1" applyBorder="1" applyAlignment="1" applyProtection="1">
      <alignment vertical="top"/>
      <protection hidden="1"/>
    </xf>
    <xf numFmtId="0" fontId="2" fillId="38" borderId="13" xfId="0" quotePrefix="1" applyFont="1" applyFill="1" applyBorder="1" applyAlignment="1" applyProtection="1">
      <alignment horizontal="center" vertical="top"/>
      <protection hidden="1"/>
    </xf>
    <xf numFmtId="0" fontId="2" fillId="24" borderId="13" xfId="0" applyFont="1" applyFill="1" applyBorder="1" applyAlignment="1" applyProtection="1">
      <alignment horizontal="center" vertical="top"/>
      <protection hidden="1"/>
    </xf>
    <xf numFmtId="0" fontId="2" fillId="38" borderId="13" xfId="0" applyFont="1" applyFill="1" applyBorder="1" applyAlignment="1" applyProtection="1">
      <alignment horizontal="center" vertical="top"/>
      <protection hidden="1"/>
    </xf>
    <xf numFmtId="170" fontId="2" fillId="38" borderId="13" xfId="0" applyNumberFormat="1" applyFont="1" applyFill="1" applyBorder="1" applyAlignment="1" applyProtection="1">
      <alignment horizontal="center" vertical="top"/>
      <protection hidden="1"/>
    </xf>
    <xf numFmtId="0" fontId="2" fillId="22" borderId="13" xfId="0" applyFont="1" applyFill="1" applyBorder="1" applyAlignment="1" applyProtection="1">
      <alignment horizontal="center" vertical="top"/>
      <protection hidden="1"/>
    </xf>
    <xf numFmtId="171" fontId="47" fillId="23" borderId="1" xfId="0" applyNumberFormat="1" applyFont="1" applyFill="1" applyBorder="1" applyAlignment="1" applyProtection="1">
      <alignment horizontal="right" vertical="top" wrapText="1"/>
      <protection hidden="1"/>
    </xf>
    <xf numFmtId="170" fontId="2" fillId="16" borderId="1" xfId="0" quotePrefix="1" applyNumberFormat="1" applyFont="1" applyFill="1" applyBorder="1" applyAlignment="1" applyProtection="1">
      <alignment horizontal="center" vertical="top"/>
      <protection hidden="1"/>
    </xf>
    <xf numFmtId="170" fontId="47" fillId="16" borderId="11" xfId="0" applyNumberFormat="1" applyFont="1" applyFill="1" applyBorder="1" applyAlignment="1" applyProtection="1">
      <alignment horizontal="center" vertical="top" wrapText="1"/>
      <protection hidden="1"/>
    </xf>
    <xf numFmtId="170" fontId="2" fillId="16" borderId="11" xfId="0" quotePrefix="1" applyNumberFormat="1" applyFont="1" applyFill="1" applyBorder="1" applyAlignment="1" applyProtection="1">
      <alignment horizontal="right" vertical="top" wrapText="1"/>
      <protection hidden="1"/>
    </xf>
    <xf numFmtId="170" fontId="47" fillId="16" borderId="1" xfId="0" applyNumberFormat="1" applyFont="1" applyFill="1" applyBorder="1" applyAlignment="1" applyProtection="1">
      <alignment vertical="top"/>
      <protection hidden="1"/>
    </xf>
    <xf numFmtId="0" fontId="47" fillId="16" borderId="1" xfId="0" applyFont="1" applyFill="1" applyBorder="1" applyAlignment="1" applyProtection="1">
      <alignment horizontal="center" vertical="top"/>
      <protection hidden="1"/>
    </xf>
    <xf numFmtId="170" fontId="47" fillId="8" borderId="15" xfId="0" quotePrefix="1" applyNumberFormat="1" applyFont="1" applyFill="1" applyBorder="1" applyAlignment="1" applyProtection="1">
      <alignment vertical="top"/>
      <protection hidden="1"/>
    </xf>
    <xf numFmtId="170" fontId="47" fillId="16" borderId="15" xfId="0" quotePrefix="1" applyNumberFormat="1" applyFont="1" applyFill="1" applyBorder="1" applyAlignment="1" applyProtection="1">
      <alignment horizontal="center" vertical="top" wrapText="1"/>
      <protection hidden="1"/>
    </xf>
    <xf numFmtId="170" fontId="47" fillId="16" borderId="15" xfId="0" applyNumberFormat="1" applyFont="1" applyFill="1" applyBorder="1" applyAlignment="1" applyProtection="1">
      <alignment horizontal="center" vertical="top" wrapText="1"/>
      <protection hidden="1"/>
    </xf>
    <xf numFmtId="170" fontId="47" fillId="16" borderId="15" xfId="0" quotePrefix="1" applyNumberFormat="1" applyFont="1" applyFill="1" applyBorder="1" applyAlignment="1" applyProtection="1">
      <alignment vertical="top"/>
      <protection hidden="1"/>
    </xf>
    <xf numFmtId="170" fontId="47" fillId="8" borderId="15" xfId="0" quotePrefix="1" applyNumberFormat="1" applyFont="1" applyFill="1" applyBorder="1" applyAlignment="1" applyProtection="1">
      <alignment horizontal="center" vertical="top"/>
      <protection hidden="1"/>
    </xf>
    <xf numFmtId="170" fontId="47" fillId="16" borderId="1" xfId="0" quotePrefix="1" applyNumberFormat="1" applyFont="1" applyFill="1" applyBorder="1" applyAlignment="1" applyProtection="1">
      <alignment horizontal="center" vertical="top" wrapText="1"/>
      <protection hidden="1"/>
    </xf>
    <xf numFmtId="170" fontId="47" fillId="16" borderId="1" xfId="0" applyNumberFormat="1" applyFont="1" applyFill="1" applyBorder="1" applyAlignment="1" applyProtection="1">
      <alignment horizontal="center" vertical="top" wrapText="1"/>
      <protection hidden="1"/>
    </xf>
    <xf numFmtId="0" fontId="47" fillId="16" borderId="1" xfId="0" applyFont="1" applyFill="1" applyBorder="1" applyAlignment="1" applyProtection="1">
      <alignment vertical="top"/>
      <protection hidden="1"/>
    </xf>
    <xf numFmtId="0" fontId="47" fillId="16" borderId="11" xfId="0" applyFont="1" applyFill="1" applyBorder="1" applyAlignment="1" applyProtection="1">
      <alignment vertical="top"/>
      <protection hidden="1"/>
    </xf>
    <xf numFmtId="0" fontId="2" fillId="16" borderId="11" xfId="0" applyFont="1" applyFill="1" applyBorder="1" applyAlignment="1" applyProtection="1">
      <alignment horizontal="left" vertical="top"/>
      <protection hidden="1"/>
    </xf>
    <xf numFmtId="0" fontId="2" fillId="8" borderId="0" xfId="0" applyFont="1" applyFill="1" applyAlignment="1" applyProtection="1">
      <alignment vertical="top"/>
      <protection hidden="1"/>
    </xf>
    <xf numFmtId="170" fontId="47" fillId="16" borderId="11" xfId="0" applyNumberFormat="1" applyFont="1" applyFill="1" applyBorder="1" applyAlignment="1" applyProtection="1">
      <alignment horizontal="right" vertical="top" wrapText="1"/>
      <protection hidden="1"/>
    </xf>
    <xf numFmtId="170" fontId="47" fillId="8" borderId="1" xfId="0" applyNumberFormat="1" applyFont="1" applyFill="1" applyBorder="1" applyAlignment="1" applyProtection="1">
      <alignment vertical="top"/>
      <protection hidden="1"/>
    </xf>
    <xf numFmtId="170" fontId="2" fillId="8" borderId="1" xfId="0" applyNumberFormat="1" applyFont="1" applyFill="1" applyBorder="1" applyAlignment="1" applyProtection="1">
      <alignment vertical="top"/>
      <protection hidden="1"/>
    </xf>
    <xf numFmtId="170" fontId="31" fillId="8" borderId="1" xfId="0" applyNumberFormat="1" applyFont="1" applyFill="1" applyBorder="1" applyAlignment="1" applyProtection="1">
      <alignment vertical="top"/>
      <protection hidden="1"/>
    </xf>
    <xf numFmtId="170" fontId="47" fillId="16" borderId="11" xfId="0" applyNumberFormat="1" applyFont="1" applyFill="1" applyBorder="1" applyAlignment="1" applyProtection="1">
      <alignment vertical="top"/>
      <protection hidden="1"/>
    </xf>
    <xf numFmtId="170" fontId="47" fillId="16" borderId="11" xfId="0" applyNumberFormat="1" applyFont="1" applyFill="1" applyBorder="1" applyAlignment="1" applyProtection="1">
      <alignment horizontal="center" vertical="top"/>
      <protection hidden="1"/>
    </xf>
    <xf numFmtId="0" fontId="9" fillId="8" borderId="0" xfId="0" applyFont="1" applyFill="1" applyAlignment="1" applyProtection="1">
      <alignment vertical="top"/>
      <protection hidden="1"/>
    </xf>
    <xf numFmtId="0" fontId="47" fillId="16" borderId="1" xfId="0" quotePrefix="1" applyFont="1" applyFill="1" applyBorder="1" applyAlignment="1" applyProtection="1">
      <alignment horizontal="center" vertical="top"/>
      <protection hidden="1"/>
    </xf>
    <xf numFmtId="171" fontId="47" fillId="23" borderId="13" xfId="0" applyNumberFormat="1" applyFont="1" applyFill="1" applyBorder="1" applyAlignment="1" applyProtection="1">
      <alignment horizontal="right" vertical="top" wrapText="1"/>
      <protection hidden="1"/>
    </xf>
    <xf numFmtId="170" fontId="2" fillId="16" borderId="13" xfId="0" quotePrefix="1" applyNumberFormat="1" applyFont="1" applyFill="1" applyBorder="1" applyAlignment="1" applyProtection="1">
      <alignment horizontal="center" vertical="top"/>
      <protection hidden="1"/>
    </xf>
    <xf numFmtId="170" fontId="47" fillId="16" borderId="4" xfId="0" applyNumberFormat="1" applyFont="1" applyFill="1" applyBorder="1" applyAlignment="1" applyProtection="1">
      <alignment horizontal="center" vertical="top" wrapText="1"/>
      <protection hidden="1"/>
    </xf>
    <xf numFmtId="170" fontId="47" fillId="16" borderId="4" xfId="0" applyNumberFormat="1" applyFont="1" applyFill="1" applyBorder="1" applyAlignment="1" applyProtection="1">
      <alignment horizontal="right" vertical="top" wrapText="1"/>
      <protection hidden="1"/>
    </xf>
    <xf numFmtId="170" fontId="47" fillId="16" borderId="13" xfId="0" applyNumberFormat="1" applyFont="1" applyFill="1" applyBorder="1" applyAlignment="1" applyProtection="1">
      <alignment vertical="top"/>
      <protection hidden="1"/>
    </xf>
    <xf numFmtId="0" fontId="47" fillId="16" borderId="13" xfId="0" applyFont="1" applyFill="1" applyBorder="1" applyAlignment="1" applyProtection="1">
      <alignment horizontal="center" vertical="top"/>
      <protection hidden="1"/>
    </xf>
    <xf numFmtId="170" fontId="47" fillId="8" borderId="13" xfId="0" applyNumberFormat="1" applyFont="1" applyFill="1" applyBorder="1" applyAlignment="1" applyProtection="1">
      <alignment vertical="top"/>
      <protection hidden="1"/>
    </xf>
    <xf numFmtId="170" fontId="2" fillId="8" borderId="13" xfId="0" applyNumberFormat="1" applyFont="1" applyFill="1" applyBorder="1" applyAlignment="1" applyProtection="1">
      <alignment vertical="top"/>
      <protection hidden="1"/>
    </xf>
    <xf numFmtId="170" fontId="47" fillId="16" borderId="13" xfId="0" applyNumberFormat="1" applyFont="1" applyFill="1" applyBorder="1" applyAlignment="1" applyProtection="1">
      <alignment horizontal="center" vertical="top" wrapText="1"/>
      <protection hidden="1"/>
    </xf>
    <xf numFmtId="170" fontId="31" fillId="8" borderId="13" xfId="0" applyNumberFormat="1" applyFont="1" applyFill="1" applyBorder="1" applyAlignment="1" applyProtection="1">
      <alignment vertical="top"/>
      <protection hidden="1"/>
    </xf>
    <xf numFmtId="0" fontId="47" fillId="16" borderId="13" xfId="0" applyFont="1" applyFill="1" applyBorder="1" applyAlignment="1" applyProtection="1">
      <alignment vertical="top"/>
      <protection hidden="1"/>
    </xf>
    <xf numFmtId="0" fontId="47" fillId="16" borderId="4" xfId="0" applyFont="1" applyFill="1" applyBorder="1" applyAlignment="1" applyProtection="1">
      <alignment vertical="top"/>
      <protection hidden="1"/>
    </xf>
    <xf numFmtId="170" fontId="47" fillId="16" borderId="4" xfId="0" applyNumberFormat="1" applyFont="1" applyFill="1" applyBorder="1" applyAlignment="1" applyProtection="1">
      <alignment vertical="top"/>
      <protection hidden="1"/>
    </xf>
    <xf numFmtId="170" fontId="47" fillId="16" borderId="4" xfId="0" applyNumberFormat="1" applyFont="1" applyFill="1" applyBorder="1" applyAlignment="1" applyProtection="1">
      <alignment horizontal="center" vertical="top"/>
      <protection hidden="1"/>
    </xf>
    <xf numFmtId="0" fontId="2" fillId="16" borderId="4" xfId="0" applyFont="1" applyFill="1" applyBorder="1" applyAlignment="1" applyProtection="1">
      <alignment horizontal="left" vertical="top"/>
      <protection hidden="1"/>
    </xf>
    <xf numFmtId="0" fontId="0" fillId="8" borderId="0" xfId="0" applyFill="1" applyAlignment="1" applyProtection="1">
      <alignment horizontal="center" vertical="top"/>
      <protection hidden="1"/>
    </xf>
    <xf numFmtId="0" fontId="0" fillId="8" borderId="0" xfId="0" applyFill="1" applyAlignment="1" applyProtection="1">
      <alignment vertical="top"/>
      <protection hidden="1"/>
    </xf>
    <xf numFmtId="0" fontId="4" fillId="16" borderId="0" xfId="0" applyFont="1" applyFill="1" applyAlignment="1" applyProtection="1">
      <alignment vertical="top" wrapText="1"/>
      <protection hidden="1"/>
    </xf>
    <xf numFmtId="0" fontId="37" fillId="16" borderId="0" xfId="0" applyFont="1" applyFill="1" applyAlignment="1" applyProtection="1">
      <alignment horizontal="left" vertical="top"/>
      <protection hidden="1"/>
    </xf>
    <xf numFmtId="0" fontId="0" fillId="16" borderId="0" xfId="0" applyFill="1" applyAlignment="1" applyProtection="1">
      <alignment vertical="top"/>
      <protection hidden="1"/>
    </xf>
    <xf numFmtId="2" fontId="4" fillId="16" borderId="0" xfId="0" applyNumberFormat="1" applyFont="1" applyFill="1" applyAlignment="1" applyProtection="1">
      <alignment vertical="top"/>
      <protection hidden="1"/>
    </xf>
    <xf numFmtId="0" fontId="4" fillId="16" borderId="0" xfId="0" applyFont="1" applyFill="1" applyAlignment="1" applyProtection="1">
      <alignment horizontal="center" vertical="top"/>
      <protection hidden="1"/>
    </xf>
    <xf numFmtId="0" fontId="4" fillId="16" borderId="0" xfId="0" applyFont="1" applyFill="1" applyAlignment="1" applyProtection="1">
      <alignment vertical="top"/>
      <protection hidden="1"/>
    </xf>
    <xf numFmtId="0" fontId="2" fillId="16" borderId="0" xfId="0" applyFont="1" applyFill="1" applyAlignment="1" applyProtection="1">
      <alignment vertical="top"/>
      <protection hidden="1"/>
    </xf>
    <xf numFmtId="0" fontId="43" fillId="16" borderId="0" xfId="0" applyFont="1" applyFill="1" applyAlignment="1" applyProtection="1">
      <alignment horizontal="left" vertical="top"/>
      <protection hidden="1"/>
    </xf>
    <xf numFmtId="0" fontId="2" fillId="16" borderId="0" xfId="0" applyFont="1" applyFill="1" applyAlignment="1" applyProtection="1">
      <alignment vertical="top" wrapText="1"/>
      <protection hidden="1"/>
    </xf>
    <xf numFmtId="2" fontId="2" fillId="16" borderId="0" xfId="0" applyNumberFormat="1" applyFont="1" applyFill="1" applyAlignment="1" applyProtection="1">
      <alignment vertical="top"/>
      <protection hidden="1"/>
    </xf>
    <xf numFmtId="0" fontId="7" fillId="16" borderId="0" xfId="0" applyFont="1" applyFill="1" applyAlignment="1" applyProtection="1">
      <alignment vertical="top"/>
      <protection hidden="1"/>
    </xf>
    <xf numFmtId="0" fontId="0" fillId="0" borderId="0" xfId="0" applyAlignment="1" applyProtection="1">
      <alignment vertical="top"/>
      <protection hidden="1"/>
    </xf>
    <xf numFmtId="0" fontId="0" fillId="0" borderId="0" xfId="0" applyAlignment="1" applyProtection="1">
      <alignment horizontal="center" vertical="top"/>
      <protection hidden="1"/>
    </xf>
    <xf numFmtId="0" fontId="1" fillId="8" borderId="0" xfId="0" applyFont="1" applyFill="1" applyAlignment="1" applyProtection="1">
      <alignment vertical="top"/>
      <protection hidden="1"/>
    </xf>
    <xf numFmtId="0" fontId="38" fillId="16" borderId="0" xfId="0" applyFont="1" applyFill="1" applyAlignment="1" applyProtection="1">
      <alignment horizontal="center" vertical="top"/>
      <protection hidden="1"/>
    </xf>
    <xf numFmtId="0" fontId="46" fillId="16" borderId="0" xfId="0" applyFont="1" applyFill="1" applyAlignment="1" applyProtection="1">
      <alignment horizontal="center" vertical="top"/>
      <protection hidden="1"/>
    </xf>
    <xf numFmtId="0" fontId="38" fillId="16" borderId="0" xfId="0" applyFont="1" applyFill="1" applyAlignment="1" applyProtection="1">
      <alignment vertical="top"/>
      <protection hidden="1"/>
    </xf>
    <xf numFmtId="0" fontId="8" fillId="0" borderId="0" xfId="0" applyFont="1" applyAlignment="1" applyProtection="1">
      <alignment vertical="top" wrapText="1"/>
      <protection hidden="1"/>
    </xf>
    <xf numFmtId="0" fontId="6" fillId="0" borderId="0" xfId="5" applyFont="1" applyAlignment="1" applyProtection="1">
      <alignment vertical="top"/>
      <protection hidden="1"/>
    </xf>
    <xf numFmtId="0" fontId="6" fillId="16" borderId="0" xfId="5" applyFont="1" applyFill="1" applyAlignment="1" applyProtection="1">
      <alignment horizontal="center" vertical="top"/>
      <protection hidden="1"/>
    </xf>
    <xf numFmtId="0" fontId="6" fillId="16" borderId="0" xfId="5" applyFont="1" applyFill="1" applyAlignment="1" applyProtection="1">
      <alignment horizontal="left" vertical="top"/>
      <protection hidden="1"/>
    </xf>
    <xf numFmtId="0" fontId="27" fillId="0" borderId="0" xfId="0" applyFont="1" applyAlignment="1" applyProtection="1">
      <alignment vertical="top" wrapText="1"/>
      <protection hidden="1"/>
    </xf>
    <xf numFmtId="0" fontId="27" fillId="0" borderId="0" xfId="5" applyFont="1" applyAlignment="1" applyProtection="1">
      <alignment vertical="top"/>
      <protection hidden="1"/>
    </xf>
    <xf numFmtId="2" fontId="4" fillId="8" borderId="0" xfId="0" applyNumberFormat="1" applyFont="1" applyFill="1" applyAlignment="1" applyProtection="1">
      <alignment vertical="top"/>
      <protection hidden="1"/>
    </xf>
    <xf numFmtId="2" fontId="2" fillId="8" borderId="0" xfId="0" applyNumberFormat="1" applyFont="1" applyFill="1" applyAlignment="1" applyProtection="1">
      <alignment vertical="top"/>
      <protection hidden="1"/>
    </xf>
    <xf numFmtId="0" fontId="7" fillId="8" borderId="0" xfId="0" applyFont="1" applyFill="1" applyAlignment="1" applyProtection="1">
      <alignment vertical="top"/>
      <protection hidden="1"/>
    </xf>
    <xf numFmtId="165" fontId="47" fillId="16" borderId="0" xfId="0" applyNumberFormat="1" applyFont="1" applyFill="1" applyAlignment="1" applyProtection="1">
      <alignment horizontal="right" vertical="top" wrapText="1"/>
      <protection hidden="1"/>
    </xf>
    <xf numFmtId="0" fontId="27" fillId="16" borderId="0" xfId="5" applyFont="1" applyFill="1" applyAlignment="1" applyProtection="1">
      <alignment vertical="top"/>
      <protection hidden="1"/>
    </xf>
    <xf numFmtId="0" fontId="6" fillId="0" borderId="0" xfId="5" applyFont="1" applyAlignment="1" applyProtection="1">
      <alignment horizontal="center" vertical="top"/>
      <protection hidden="1"/>
    </xf>
    <xf numFmtId="0" fontId="6" fillId="0" borderId="0" xfId="5" applyFont="1" applyAlignment="1" applyProtection="1">
      <alignment horizontal="left" vertical="top"/>
      <protection hidden="1"/>
    </xf>
    <xf numFmtId="0" fontId="27" fillId="16" borderId="0" xfId="5" applyFont="1" applyFill="1" applyAlignment="1" applyProtection="1">
      <alignment horizontal="left" vertical="top"/>
      <protection hidden="1"/>
    </xf>
    <xf numFmtId="1" fontId="4" fillId="0" borderId="0" xfId="0" applyNumberFormat="1" applyFont="1" applyAlignment="1" applyProtection="1">
      <alignment horizontal="center" vertical="top"/>
      <protection hidden="1"/>
    </xf>
    <xf numFmtId="1" fontId="2" fillId="16" borderId="0" xfId="0" applyNumberFormat="1" applyFont="1" applyFill="1" applyAlignment="1" applyProtection="1">
      <alignment horizontal="center" vertical="top"/>
      <protection hidden="1"/>
    </xf>
    <xf numFmtId="1" fontId="2" fillId="0" borderId="0" xfId="0" applyNumberFormat="1" applyFont="1" applyAlignment="1" applyProtection="1">
      <alignment horizontal="center" vertical="top"/>
      <protection hidden="1"/>
    </xf>
    <xf numFmtId="0" fontId="4"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4" fillId="0" borderId="0" xfId="0" applyFont="1" applyAlignment="1" applyProtection="1">
      <alignment vertical="top" wrapText="1"/>
      <protection hidden="1"/>
    </xf>
    <xf numFmtId="2" fontId="4" fillId="0" borderId="0" xfId="0" applyNumberFormat="1" applyFont="1" applyAlignment="1" applyProtection="1">
      <alignment vertical="top"/>
      <protection hidden="1"/>
    </xf>
    <xf numFmtId="0" fontId="2" fillId="0" borderId="0" xfId="0" applyFont="1" applyAlignment="1" applyProtection="1">
      <alignment vertical="top" wrapText="1"/>
      <protection hidden="1"/>
    </xf>
    <xf numFmtId="2" fontId="2" fillId="0" borderId="0" xfId="0" applyNumberFormat="1" applyFont="1" applyAlignment="1" applyProtection="1">
      <alignment vertical="top"/>
      <protection hidden="1"/>
    </xf>
    <xf numFmtId="0" fontId="2" fillId="0" borderId="0" xfId="0" applyFont="1" applyAlignment="1" applyProtection="1">
      <alignment vertical="top"/>
      <protection hidden="1"/>
    </xf>
    <xf numFmtId="0" fontId="7" fillId="0" borderId="0" xfId="0" applyFont="1" applyAlignment="1" applyProtection="1">
      <alignment vertical="top"/>
      <protection hidden="1"/>
    </xf>
    <xf numFmtId="0" fontId="4" fillId="8" borderId="0" xfId="0" applyFont="1" applyFill="1" applyAlignment="1" applyProtection="1">
      <alignment horizontal="center" vertical="top" wrapText="1"/>
      <protection hidden="1"/>
    </xf>
    <xf numFmtId="0" fontId="4" fillId="8" borderId="0" xfId="0" applyFont="1" applyFill="1" applyAlignment="1" applyProtection="1">
      <alignment vertical="top" wrapText="1"/>
      <protection hidden="1"/>
    </xf>
    <xf numFmtId="0" fontId="0" fillId="8" borderId="0" xfId="0" applyFill="1" applyAlignment="1" applyProtection="1">
      <alignment vertical="top" wrapText="1"/>
      <protection hidden="1"/>
    </xf>
    <xf numFmtId="2" fontId="43" fillId="33" borderId="15" xfId="0" applyNumberFormat="1" applyFont="1" applyFill="1" applyBorder="1" applyAlignment="1" applyProtection="1">
      <alignment horizontal="center" vertical="top" wrapText="1"/>
      <protection hidden="1"/>
    </xf>
    <xf numFmtId="0" fontId="43" fillId="33" borderId="15" xfId="0" applyFont="1" applyFill="1" applyBorder="1" applyAlignment="1" applyProtection="1">
      <alignment horizontal="center" vertical="top" wrapText="1"/>
      <protection hidden="1"/>
    </xf>
    <xf numFmtId="2" fontId="43" fillId="33" borderId="15" xfId="0" applyNumberFormat="1" applyFont="1" applyFill="1" applyBorder="1" applyAlignment="1" applyProtection="1">
      <alignment vertical="top" wrapText="1"/>
      <protection hidden="1"/>
    </xf>
    <xf numFmtId="0" fontId="43" fillId="33" borderId="0" xfId="0" applyFont="1" applyFill="1" applyAlignment="1" applyProtection="1">
      <alignment vertical="top" wrapText="1"/>
      <protection hidden="1"/>
    </xf>
    <xf numFmtId="0" fontId="43" fillId="33" borderId="0" xfId="0" applyFont="1" applyFill="1" applyAlignment="1" applyProtection="1">
      <alignment horizontal="center" vertical="top" wrapText="1"/>
      <protection hidden="1"/>
    </xf>
    <xf numFmtId="0" fontId="43" fillId="33" borderId="2" xfId="0" applyFont="1" applyFill="1" applyBorder="1" applyAlignment="1" applyProtection="1">
      <alignment vertical="top"/>
      <protection hidden="1"/>
    </xf>
    <xf numFmtId="0" fontId="32" fillId="33" borderId="2" xfId="0" applyFont="1" applyFill="1" applyBorder="1" applyAlignment="1" applyProtection="1">
      <alignment vertical="top" wrapText="1"/>
      <protection hidden="1"/>
    </xf>
    <xf numFmtId="0" fontId="32" fillId="33" borderId="2" xfId="0" applyFont="1" applyFill="1" applyBorder="1" applyAlignment="1" applyProtection="1">
      <alignment vertical="top"/>
      <protection hidden="1"/>
    </xf>
    <xf numFmtId="0" fontId="32" fillId="0" borderId="0" xfId="0" applyFont="1" applyAlignment="1" applyProtection="1">
      <alignment vertical="top"/>
      <protection hidden="1"/>
    </xf>
    <xf numFmtId="165" fontId="2" fillId="24" borderId="1" xfId="0" applyNumberFormat="1" applyFont="1" applyFill="1" applyBorder="1" applyAlignment="1" applyProtection="1">
      <alignment horizontal="right" vertical="top" wrapText="1"/>
      <protection hidden="1"/>
    </xf>
    <xf numFmtId="165" fontId="2" fillId="24" borderId="1" xfId="0" applyNumberFormat="1" applyFont="1" applyFill="1" applyBorder="1" applyAlignment="1" applyProtection="1">
      <alignment horizontal="center" vertical="top" wrapText="1"/>
      <protection hidden="1"/>
    </xf>
    <xf numFmtId="165" fontId="2" fillId="24" borderId="11" xfId="0" applyNumberFormat="1" applyFont="1" applyFill="1" applyBorder="1" applyAlignment="1" applyProtection="1">
      <alignment horizontal="right" vertical="top" wrapText="1"/>
      <protection hidden="1"/>
    </xf>
    <xf numFmtId="0" fontId="2" fillId="24" borderId="1" xfId="0" applyFont="1" applyFill="1" applyBorder="1" applyAlignment="1" applyProtection="1">
      <alignment horizontal="center" vertical="top" wrapText="1"/>
      <protection hidden="1"/>
    </xf>
    <xf numFmtId="165" fontId="2" fillId="24" borderId="1" xfId="0" applyNumberFormat="1" applyFont="1" applyFill="1" applyBorder="1" applyAlignment="1" applyProtection="1">
      <alignment vertical="top"/>
      <protection hidden="1"/>
    </xf>
    <xf numFmtId="170" fontId="2" fillId="24" borderId="1" xfId="0" applyNumberFormat="1" applyFont="1" applyFill="1" applyBorder="1" applyAlignment="1" applyProtection="1">
      <alignment vertical="top"/>
      <protection hidden="1"/>
    </xf>
    <xf numFmtId="2" fontId="2" fillId="24" borderId="1" xfId="0" applyNumberFormat="1" applyFont="1" applyFill="1" applyBorder="1" applyAlignment="1" applyProtection="1">
      <alignment horizontal="center" vertical="top" wrapText="1"/>
      <protection hidden="1"/>
    </xf>
    <xf numFmtId="0" fontId="2" fillId="16" borderId="11" xfId="0" applyFont="1" applyFill="1" applyBorder="1" applyAlignment="1" applyProtection="1">
      <alignment horizontal="center" vertical="top" wrapText="1"/>
      <protection hidden="1"/>
    </xf>
    <xf numFmtId="165" fontId="2" fillId="16" borderId="11" xfId="0" applyNumberFormat="1" applyFont="1" applyFill="1" applyBorder="1" applyAlignment="1" applyProtection="1">
      <alignment horizontal="right" vertical="top" wrapText="1"/>
      <protection hidden="1"/>
    </xf>
    <xf numFmtId="170" fontId="2" fillId="16" borderId="1" xfId="0" applyNumberFormat="1" applyFont="1" applyFill="1" applyBorder="1" applyAlignment="1" applyProtection="1">
      <alignment vertical="top"/>
      <protection hidden="1"/>
    </xf>
    <xf numFmtId="2" fontId="2" fillId="16" borderId="1" xfId="0" quotePrefix="1" applyNumberFormat="1" applyFont="1" applyFill="1" applyBorder="1" applyAlignment="1" applyProtection="1">
      <alignment horizontal="center" vertical="top" wrapText="1"/>
      <protection hidden="1"/>
    </xf>
    <xf numFmtId="2" fontId="2" fillId="16" borderId="1" xfId="0" applyNumberFormat="1" applyFont="1" applyFill="1" applyBorder="1" applyAlignment="1" applyProtection="1">
      <alignment horizontal="center" vertical="top" wrapText="1"/>
      <protection hidden="1"/>
    </xf>
    <xf numFmtId="0" fontId="2" fillId="16" borderId="1" xfId="0" quotePrefix="1" applyFont="1" applyFill="1" applyBorder="1" applyAlignment="1" applyProtection="1">
      <alignment vertical="top" wrapText="1"/>
      <protection hidden="1"/>
    </xf>
    <xf numFmtId="170" fontId="2" fillId="16" borderId="1" xfId="0" quotePrefix="1" applyNumberFormat="1" applyFont="1" applyFill="1" applyBorder="1" applyAlignment="1" applyProtection="1">
      <alignment vertical="top"/>
      <protection hidden="1"/>
    </xf>
    <xf numFmtId="165" fontId="2" fillId="16" borderId="1" xfId="0" applyNumberFormat="1" applyFont="1" applyFill="1" applyBorder="1" applyAlignment="1" applyProtection="1">
      <alignment vertical="top"/>
      <protection hidden="1"/>
    </xf>
    <xf numFmtId="0" fontId="2" fillId="16" borderId="1" xfId="0" applyFont="1" applyFill="1" applyBorder="1" applyAlignment="1" applyProtection="1">
      <alignment vertical="top"/>
      <protection hidden="1"/>
    </xf>
    <xf numFmtId="170" fontId="2" fillId="8" borderId="1" xfId="0" quotePrefix="1" applyNumberFormat="1" applyFont="1" applyFill="1" applyBorder="1" applyAlignment="1" applyProtection="1">
      <alignment horizontal="center" vertical="top" wrapText="1"/>
      <protection hidden="1"/>
    </xf>
    <xf numFmtId="0" fontId="2" fillId="16" borderId="1" xfId="0" applyFont="1" applyFill="1" applyBorder="1" applyAlignment="1" applyProtection="1">
      <alignment horizontal="center" vertical="top"/>
      <protection hidden="1"/>
    </xf>
    <xf numFmtId="165" fontId="2" fillId="0" borderId="3" xfId="0" applyNumberFormat="1" applyFont="1" applyBorder="1" applyAlignment="1" applyProtection="1">
      <alignment vertical="top"/>
      <protection hidden="1"/>
    </xf>
    <xf numFmtId="0" fontId="2" fillId="0" borderId="11" xfId="0" applyFont="1" applyBorder="1" applyAlignment="1" applyProtection="1">
      <alignment vertical="top"/>
      <protection hidden="1"/>
    </xf>
    <xf numFmtId="0" fontId="9" fillId="0" borderId="2" xfId="0" quotePrefix="1" applyFont="1" applyBorder="1" applyAlignment="1" applyProtection="1">
      <alignment vertical="top"/>
      <protection hidden="1"/>
    </xf>
    <xf numFmtId="0" fontId="9" fillId="0" borderId="2" xfId="0" applyFont="1" applyBorder="1" applyAlignment="1" applyProtection="1">
      <alignment vertical="top"/>
      <protection hidden="1"/>
    </xf>
    <xf numFmtId="0" fontId="2" fillId="29" borderId="16" xfId="0" applyFont="1" applyFill="1" applyBorder="1" applyAlignment="1" applyProtection="1">
      <alignment vertical="top"/>
      <protection hidden="1"/>
    </xf>
    <xf numFmtId="165" fontId="2" fillId="30" borderId="1" xfId="0" applyNumberFormat="1" applyFont="1" applyFill="1" applyBorder="1" applyAlignment="1" applyProtection="1">
      <alignment horizontal="right" vertical="top" wrapText="1"/>
      <protection hidden="1"/>
    </xf>
    <xf numFmtId="165" fontId="2" fillId="30" borderId="1" xfId="0" applyNumberFormat="1" applyFont="1" applyFill="1" applyBorder="1" applyAlignment="1" applyProtection="1">
      <alignment horizontal="center" vertical="top" wrapText="1"/>
      <protection hidden="1"/>
    </xf>
    <xf numFmtId="0" fontId="2" fillId="16" borderId="1" xfId="0" quotePrefix="1" applyFont="1" applyFill="1" applyBorder="1" applyAlignment="1" applyProtection="1">
      <alignment vertical="top"/>
      <protection hidden="1"/>
    </xf>
    <xf numFmtId="170" fontId="2" fillId="0" borderId="3" xfId="0" quotePrefix="1" applyNumberFormat="1" applyFont="1" applyBorder="1" applyAlignment="1" applyProtection="1">
      <alignment vertical="top"/>
      <protection hidden="1"/>
    </xf>
    <xf numFmtId="0" fontId="9" fillId="0" borderId="5" xfId="0" applyFont="1" applyBorder="1" applyAlignment="1" applyProtection="1">
      <alignment vertical="top"/>
      <protection hidden="1"/>
    </xf>
    <xf numFmtId="0" fontId="2" fillId="29" borderId="17" xfId="0" applyFont="1" applyFill="1" applyBorder="1" applyAlignment="1" applyProtection="1">
      <alignment vertical="top"/>
      <protection hidden="1"/>
    </xf>
    <xf numFmtId="165" fontId="2" fillId="16" borderId="1" xfId="0" applyNumberFormat="1" applyFont="1" applyFill="1" applyBorder="1" applyAlignment="1" applyProtection="1">
      <alignment vertical="top" wrapText="1"/>
      <protection hidden="1"/>
    </xf>
    <xf numFmtId="165" fontId="2" fillId="16" borderId="1" xfId="0" applyNumberFormat="1" applyFont="1" applyFill="1" applyBorder="1" applyAlignment="1" applyProtection="1">
      <alignment horizontal="center" vertical="top" wrapText="1"/>
      <protection hidden="1"/>
    </xf>
    <xf numFmtId="0" fontId="2" fillId="16" borderId="1" xfId="0" applyFont="1" applyFill="1" applyBorder="1" applyAlignment="1" applyProtection="1">
      <alignment horizontal="center" vertical="top" wrapText="1"/>
      <protection hidden="1"/>
    </xf>
    <xf numFmtId="170" fontId="2" fillId="0" borderId="0" xfId="0" applyNumberFormat="1" applyFont="1" applyAlignment="1" applyProtection="1">
      <alignment vertical="top"/>
      <protection hidden="1"/>
    </xf>
    <xf numFmtId="0" fontId="2" fillId="29" borderId="18" xfId="0" applyFont="1" applyFill="1" applyBorder="1" applyAlignment="1" applyProtection="1">
      <alignment vertical="top"/>
      <protection hidden="1"/>
    </xf>
    <xf numFmtId="0" fontId="2" fillId="8" borderId="0" xfId="0" quotePrefix="1" applyFont="1" applyFill="1" applyAlignment="1" applyProtection="1">
      <alignment vertical="top"/>
      <protection hidden="1"/>
    </xf>
    <xf numFmtId="0" fontId="2" fillId="8" borderId="13" xfId="0" applyFont="1" applyFill="1" applyBorder="1" applyAlignment="1" applyProtection="1">
      <alignment vertical="top"/>
      <protection hidden="1"/>
    </xf>
    <xf numFmtId="165" fontId="2" fillId="24" borderId="1" xfId="0" applyNumberFormat="1" applyFont="1" applyFill="1" applyBorder="1" applyAlignment="1" applyProtection="1">
      <alignment vertical="top" wrapText="1"/>
      <protection hidden="1"/>
    </xf>
    <xf numFmtId="0" fontId="2" fillId="8" borderId="14" xfId="0" applyFont="1" applyFill="1" applyBorder="1" applyAlignment="1" applyProtection="1">
      <alignment vertical="top"/>
      <protection hidden="1"/>
    </xf>
    <xf numFmtId="0" fontId="2" fillId="8" borderId="15" xfId="0" applyFont="1" applyFill="1" applyBorder="1" applyAlignment="1" applyProtection="1">
      <alignment vertical="top"/>
      <protection hidden="1"/>
    </xf>
    <xf numFmtId="0" fontId="2" fillId="35" borderId="11" xfId="0" applyFont="1" applyFill="1" applyBorder="1" applyAlignment="1" applyProtection="1">
      <alignment horizontal="center" vertical="top" wrapText="1"/>
      <protection hidden="1"/>
    </xf>
    <xf numFmtId="0" fontId="2" fillId="23" borderId="11" xfId="0" applyFont="1" applyFill="1" applyBorder="1" applyAlignment="1" applyProtection="1">
      <alignment horizontal="center" vertical="top" wrapText="1"/>
      <protection hidden="1"/>
    </xf>
    <xf numFmtId="165" fontId="2" fillId="42" borderId="1" xfId="0" applyNumberFormat="1" applyFont="1" applyFill="1" applyBorder="1" applyAlignment="1" applyProtection="1">
      <alignment vertical="top"/>
      <protection hidden="1"/>
    </xf>
    <xf numFmtId="2" fontId="2" fillId="32" borderId="1" xfId="0" applyNumberFormat="1" applyFont="1" applyFill="1" applyBorder="1" applyAlignment="1" applyProtection="1">
      <alignment horizontal="center" vertical="top" wrapText="1"/>
      <protection hidden="1"/>
    </xf>
    <xf numFmtId="0" fontId="2" fillId="29" borderId="1" xfId="0" applyFont="1" applyFill="1" applyBorder="1" applyAlignment="1" applyProtection="1">
      <alignment horizontal="center" vertical="top"/>
      <protection hidden="1"/>
    </xf>
    <xf numFmtId="2" fontId="2" fillId="0" borderId="1" xfId="0" applyNumberFormat="1" applyFont="1" applyBorder="1" applyAlignment="1" applyProtection="1">
      <alignment horizontal="center" vertical="top" wrapText="1"/>
      <protection hidden="1"/>
    </xf>
    <xf numFmtId="0" fontId="2" fillId="0" borderId="11" xfId="0" applyFont="1" applyBorder="1" applyAlignment="1" applyProtection="1">
      <alignment horizontal="center" vertical="top" wrapText="1"/>
      <protection hidden="1"/>
    </xf>
    <xf numFmtId="0" fontId="2" fillId="16" borderId="1" xfId="0" quotePrefix="1" applyFont="1" applyFill="1" applyBorder="1" applyAlignment="1" applyProtection="1">
      <alignment horizontal="center" vertical="top" wrapText="1"/>
      <protection hidden="1"/>
    </xf>
    <xf numFmtId="0" fontId="2" fillId="23" borderId="11" xfId="0" quotePrefix="1" applyFont="1" applyFill="1" applyBorder="1" applyAlignment="1" applyProtection="1">
      <alignment horizontal="center" vertical="top" wrapText="1"/>
      <protection hidden="1"/>
    </xf>
    <xf numFmtId="165" fontId="2" fillId="0" borderId="1" xfId="0" quotePrefix="1" applyNumberFormat="1" applyFont="1" applyBorder="1" applyAlignment="1" applyProtection="1">
      <alignment vertical="top" wrapText="1"/>
      <protection hidden="1"/>
    </xf>
    <xf numFmtId="165" fontId="2" fillId="0" borderId="1" xfId="0" quotePrefix="1" applyNumberFormat="1" applyFont="1" applyBorder="1" applyAlignment="1" applyProtection="1">
      <alignment horizontal="center" vertical="top" wrapText="1"/>
      <protection hidden="1"/>
    </xf>
    <xf numFmtId="165" fontId="2" fillId="32" borderId="11" xfId="0" quotePrefix="1" applyNumberFormat="1" applyFont="1" applyFill="1" applyBorder="1" applyAlignment="1" applyProtection="1">
      <alignment horizontal="right" vertical="top" wrapText="1"/>
      <protection hidden="1"/>
    </xf>
    <xf numFmtId="165" fontId="2" fillId="32" borderId="11" xfId="0" applyNumberFormat="1" applyFont="1" applyFill="1" applyBorder="1" applyAlignment="1" applyProtection="1">
      <alignment horizontal="right" vertical="top" wrapText="1"/>
      <protection hidden="1"/>
    </xf>
    <xf numFmtId="170" fontId="2" fillId="36" borderId="1" xfId="0" applyNumberFormat="1" applyFont="1" applyFill="1" applyBorder="1" applyAlignment="1" applyProtection="1">
      <alignment vertical="top"/>
      <protection hidden="1"/>
    </xf>
    <xf numFmtId="165" fontId="2" fillId="0" borderId="1" xfId="0" applyNumberFormat="1" applyFont="1" applyBorder="1" applyAlignment="1" applyProtection="1">
      <alignment vertical="top" wrapText="1"/>
      <protection hidden="1"/>
    </xf>
    <xf numFmtId="165" fontId="2" fillId="0" borderId="1" xfId="0" applyNumberFormat="1" applyFont="1" applyBorder="1" applyAlignment="1" applyProtection="1">
      <alignment horizontal="center" vertical="top" wrapText="1"/>
      <protection hidden="1"/>
    </xf>
    <xf numFmtId="0" fontId="2" fillId="0" borderId="1" xfId="0" quotePrefix="1" applyFont="1" applyBorder="1" applyAlignment="1" applyProtection="1">
      <alignment vertical="top"/>
      <protection hidden="1"/>
    </xf>
    <xf numFmtId="165" fontId="2" fillId="0" borderId="1" xfId="0" quotePrefix="1" applyNumberFormat="1" applyFont="1" applyBorder="1" applyAlignment="1" applyProtection="1">
      <alignment horizontal="center" vertical="top"/>
      <protection hidden="1"/>
    </xf>
    <xf numFmtId="0" fontId="2" fillId="0" borderId="1" xfId="0" applyFont="1" applyBorder="1" applyAlignment="1" applyProtection="1">
      <alignment vertical="top"/>
      <protection hidden="1"/>
    </xf>
    <xf numFmtId="165" fontId="2" fillId="0" borderId="1" xfId="0" applyNumberFormat="1" applyFont="1" applyBorder="1" applyAlignment="1" applyProtection="1">
      <alignment horizontal="center" vertical="top"/>
      <protection hidden="1"/>
    </xf>
    <xf numFmtId="165" fontId="2" fillId="48" borderId="1" xfId="0" applyNumberFormat="1" applyFont="1" applyFill="1" applyBorder="1" applyAlignment="1" applyProtection="1">
      <alignment vertical="top"/>
      <protection hidden="1"/>
    </xf>
    <xf numFmtId="2" fontId="2" fillId="48" borderId="1" xfId="0" applyNumberFormat="1" applyFont="1" applyFill="1" applyBorder="1" applyAlignment="1" applyProtection="1">
      <alignment horizontal="center" vertical="top" wrapText="1"/>
      <protection hidden="1"/>
    </xf>
    <xf numFmtId="165" fontId="2" fillId="24" borderId="11" xfId="0" quotePrefix="1" applyNumberFormat="1" applyFont="1" applyFill="1" applyBorder="1" applyAlignment="1" applyProtection="1">
      <alignment horizontal="right" vertical="top" wrapText="1"/>
      <protection hidden="1"/>
    </xf>
    <xf numFmtId="0" fontId="2" fillId="24" borderId="11" xfId="0" applyFont="1" applyFill="1" applyBorder="1" applyAlignment="1" applyProtection="1">
      <alignment horizontal="center" vertical="top" wrapText="1"/>
      <protection hidden="1"/>
    </xf>
    <xf numFmtId="0" fontId="2" fillId="24" borderId="1" xfId="0" quotePrefix="1" applyFont="1" applyFill="1" applyBorder="1" applyAlignment="1" applyProtection="1">
      <alignment vertical="top"/>
      <protection hidden="1"/>
    </xf>
    <xf numFmtId="170" fontId="2" fillId="24" borderId="1" xfId="0" quotePrefix="1" applyNumberFormat="1" applyFont="1" applyFill="1" applyBorder="1" applyAlignment="1" applyProtection="1">
      <alignment horizontal="center" vertical="top" wrapText="1"/>
      <protection hidden="1"/>
    </xf>
    <xf numFmtId="165" fontId="2" fillId="24" borderId="1" xfId="0" applyNumberFormat="1" applyFont="1" applyFill="1" applyBorder="1" applyAlignment="1" applyProtection="1">
      <alignment horizontal="center" vertical="top"/>
      <protection hidden="1"/>
    </xf>
    <xf numFmtId="0" fontId="2" fillId="24" borderId="1" xfId="0" quotePrefix="1" applyFont="1" applyFill="1" applyBorder="1" applyAlignment="1" applyProtection="1">
      <alignment horizontal="center" vertical="top" wrapText="1"/>
      <protection hidden="1"/>
    </xf>
    <xf numFmtId="166" fontId="2" fillId="24" borderId="1" xfId="0" applyNumberFormat="1" applyFont="1" applyFill="1" applyBorder="1" applyAlignment="1" applyProtection="1">
      <alignment vertical="top"/>
      <protection hidden="1"/>
    </xf>
    <xf numFmtId="0" fontId="32" fillId="0" borderId="0" xfId="5" quotePrefix="1" applyFont="1" applyAlignment="1" applyProtection="1">
      <alignment horizontal="left" vertical="top"/>
      <protection hidden="1"/>
    </xf>
    <xf numFmtId="166" fontId="29" fillId="0" borderId="0" xfId="0" quotePrefix="1" applyNumberFormat="1" applyFont="1" applyAlignment="1" applyProtection="1">
      <alignment horizontal="center" vertical="top"/>
      <protection hidden="1"/>
    </xf>
    <xf numFmtId="0" fontId="2" fillId="16" borderId="1" xfId="0" quotePrefix="1" applyFont="1" applyFill="1" applyBorder="1" applyAlignment="1" applyProtection="1">
      <alignment horizontal="center" vertical="top"/>
      <protection hidden="1"/>
    </xf>
    <xf numFmtId="1" fontId="2" fillId="29" borderId="1" xfId="0" applyNumberFormat="1" applyFont="1" applyFill="1" applyBorder="1" applyAlignment="1" applyProtection="1">
      <alignment horizontal="center" vertical="top"/>
      <protection hidden="1"/>
    </xf>
    <xf numFmtId="2" fontId="2" fillId="32" borderId="1" xfId="0" quotePrefix="1" applyNumberFormat="1" applyFont="1" applyFill="1" applyBorder="1" applyAlignment="1" applyProtection="1">
      <alignment horizontal="center" vertical="top" wrapText="1"/>
      <protection hidden="1"/>
    </xf>
    <xf numFmtId="0" fontId="1" fillId="0" borderId="0" xfId="0" applyFont="1" applyAlignment="1" applyProtection="1">
      <alignment vertical="top"/>
      <protection hidden="1"/>
    </xf>
    <xf numFmtId="2" fontId="9" fillId="0" borderId="1" xfId="0" applyNumberFormat="1" applyFont="1" applyBorder="1" applyAlignment="1">
      <alignment horizontal="left" vertical="top"/>
    </xf>
    <xf numFmtId="2" fontId="9" fillId="8" borderId="1" xfId="0" applyNumberFormat="1" applyFont="1" applyFill="1" applyBorder="1" applyAlignment="1">
      <alignment horizontal="left" vertical="top"/>
    </xf>
    <xf numFmtId="2" fontId="9" fillId="8" borderId="0" xfId="0" quotePrefix="1" applyNumberFormat="1" applyFont="1" applyFill="1" applyAlignment="1">
      <alignment horizontal="left" vertical="top"/>
    </xf>
    <xf numFmtId="165" fontId="31" fillId="16" borderId="0" xfId="0" quotePrefix="1" applyNumberFormat="1" applyFont="1" applyFill="1" applyAlignment="1">
      <alignment horizontal="center" vertical="top" wrapText="1"/>
    </xf>
    <xf numFmtId="170" fontId="47" fillId="16" borderId="1" xfId="0" quotePrefix="1" applyNumberFormat="1" applyFont="1" applyFill="1" applyBorder="1" applyAlignment="1" applyProtection="1">
      <alignment horizontal="right" vertical="top" wrapText="1"/>
      <protection hidden="1"/>
    </xf>
    <xf numFmtId="0" fontId="4" fillId="0" borderId="0" xfId="0" applyFont="1" applyAlignment="1">
      <alignment horizontal="center" vertical="top"/>
    </xf>
    <xf numFmtId="0" fontId="6" fillId="38" borderId="1" xfId="0" applyFont="1" applyFill="1" applyBorder="1" applyAlignment="1">
      <alignment horizontal="center" vertical="top" wrapText="1"/>
    </xf>
    <xf numFmtId="165" fontId="2" fillId="24" borderId="1" xfId="2" applyNumberFormat="1" applyFont="1" applyFill="1" applyBorder="1" applyAlignment="1">
      <alignment horizontal="center" vertical="top" wrapText="1"/>
    </xf>
    <xf numFmtId="165" fontId="2" fillId="38" borderId="1" xfId="2" applyNumberFormat="1" applyFont="1" applyFill="1" applyBorder="1" applyAlignment="1">
      <alignment horizontal="center" vertical="top" wrapText="1"/>
    </xf>
    <xf numFmtId="1" fontId="9" fillId="5" borderId="1" xfId="0" quotePrefix="1" applyNumberFormat="1" applyFont="1" applyFill="1" applyBorder="1" applyAlignment="1">
      <alignment horizontal="center" vertical="top" wrapText="1"/>
    </xf>
    <xf numFmtId="1" fontId="9" fillId="11" borderId="1" xfId="0" applyNumberFormat="1" applyFont="1" applyFill="1" applyBorder="1" applyAlignment="1">
      <alignment horizontal="center" vertical="top" wrapText="1"/>
    </xf>
    <xf numFmtId="1" fontId="9" fillId="8" borderId="1" xfId="0" applyNumberFormat="1" applyFont="1" applyFill="1" applyBorder="1" applyAlignment="1">
      <alignment horizontal="center" vertical="top" wrapText="1"/>
    </xf>
    <xf numFmtId="1" fontId="31" fillId="21" borderId="1" xfId="0" applyNumberFormat="1" applyFont="1" applyFill="1" applyBorder="1" applyAlignment="1">
      <alignment horizontal="center" vertical="top" wrapText="1"/>
    </xf>
    <xf numFmtId="1" fontId="9" fillId="0" borderId="1" xfId="0" applyNumberFormat="1" applyFont="1" applyBorder="1" applyAlignment="1">
      <alignment horizontal="center" vertical="top" wrapText="1"/>
    </xf>
    <xf numFmtId="1" fontId="9" fillId="16" borderId="1" xfId="0" applyNumberFormat="1" applyFont="1" applyFill="1" applyBorder="1" applyAlignment="1">
      <alignment horizontal="right" vertical="top" wrapText="1"/>
    </xf>
    <xf numFmtId="2" fontId="9" fillId="35" borderId="1" xfId="0" applyNumberFormat="1" applyFont="1" applyFill="1" applyBorder="1" applyAlignment="1">
      <alignment horizontal="right" vertical="top" wrapText="1"/>
    </xf>
    <xf numFmtId="2" fontId="9" fillId="35" borderId="1" xfId="0" applyNumberFormat="1" applyFont="1" applyFill="1" applyBorder="1" applyAlignment="1">
      <alignment vertical="top" wrapText="1"/>
    </xf>
    <xf numFmtId="14" fontId="0" fillId="0" borderId="1" xfId="0" applyNumberFormat="1" applyBorder="1"/>
    <xf numFmtId="2" fontId="2" fillId="24" borderId="11" xfId="2" applyNumberFormat="1" applyFont="1" applyFill="1" applyBorder="1" applyAlignment="1">
      <alignment horizontal="right" vertical="top" wrapText="1"/>
    </xf>
    <xf numFmtId="0" fontId="1" fillId="0" borderId="0" xfId="0" applyFont="1" applyAlignment="1">
      <alignment horizontal="left" vertical="top" wrapText="1"/>
    </xf>
    <xf numFmtId="0" fontId="1" fillId="25" borderId="11" xfId="0" applyFont="1" applyFill="1" applyBorder="1" applyAlignment="1">
      <alignment horizontal="center" vertical="top" wrapText="1"/>
    </xf>
    <xf numFmtId="0" fontId="1" fillId="25" borderId="3" xfId="0" applyFont="1" applyFill="1" applyBorder="1" applyAlignment="1">
      <alignment horizontal="center"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6" fillId="0" borderId="0" xfId="0" applyFont="1" applyAlignment="1">
      <alignment horizontal="left"/>
    </xf>
    <xf numFmtId="0" fontId="6" fillId="0" borderId="0" xfId="0" applyFont="1" applyAlignment="1">
      <alignment horizontal="left" vertical="top" wrapText="1"/>
    </xf>
    <xf numFmtId="0" fontId="56" fillId="0" borderId="11" xfId="0" applyFont="1" applyBorder="1" applyAlignment="1" applyProtection="1">
      <alignment horizontal="left" vertical="top" wrapText="1"/>
      <protection locked="0"/>
    </xf>
    <xf numFmtId="0" fontId="56" fillId="0" borderId="12" xfId="0" applyFont="1" applyBorder="1" applyAlignment="1" applyProtection="1">
      <alignment horizontal="left" vertical="top" wrapText="1"/>
      <protection locked="0"/>
    </xf>
    <xf numFmtId="0" fontId="56" fillId="0" borderId="3" xfId="0" applyFont="1" applyBorder="1" applyAlignment="1" applyProtection="1">
      <alignment horizontal="left" vertical="top" wrapText="1"/>
      <protection locked="0"/>
    </xf>
    <xf numFmtId="0" fontId="3" fillId="0" borderId="2" xfId="1" applyBorder="1" applyAlignment="1">
      <alignment horizontal="left"/>
      <protection locked="0"/>
    </xf>
    <xf numFmtId="0" fontId="3" fillId="0" borderId="8" xfId="1" applyBorder="1" applyAlignment="1">
      <alignment horizontal="left"/>
      <protection locked="0"/>
    </xf>
    <xf numFmtId="0" fontId="0" fillId="0" borderId="0" xfId="0" applyAlignment="1">
      <alignment horizontal="left" vertical="top" wrapText="1"/>
    </xf>
    <xf numFmtId="0" fontId="6"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wrapText="1"/>
    </xf>
    <xf numFmtId="0" fontId="0" fillId="0" borderId="1" xfId="0" applyBorder="1" applyAlignment="1">
      <alignment horizontal="left" vertical="top"/>
    </xf>
    <xf numFmtId="0" fontId="1" fillId="0" borderId="1" xfId="0" applyFont="1" applyBorder="1" applyAlignment="1">
      <alignment horizontal="left" vertical="top"/>
    </xf>
    <xf numFmtId="0" fontId="0" fillId="0" borderId="10" xfId="0" applyBorder="1" applyAlignment="1">
      <alignment horizontal="left" vertical="top" wrapText="1"/>
    </xf>
    <xf numFmtId="0" fontId="4" fillId="8" borderId="11" xfId="0" applyFont="1" applyFill="1" applyBorder="1" applyAlignment="1" applyProtection="1">
      <alignment horizontal="center" vertical="top" wrapText="1"/>
      <protection hidden="1"/>
    </xf>
    <xf numFmtId="0" fontId="4" fillId="8" borderId="12" xfId="0" applyFont="1" applyFill="1" applyBorder="1" applyAlignment="1" applyProtection="1">
      <alignment horizontal="center" vertical="top" wrapText="1"/>
      <protection hidden="1"/>
    </xf>
    <xf numFmtId="0" fontId="4" fillId="8" borderId="3" xfId="0" applyFont="1" applyFill="1" applyBorder="1" applyAlignment="1" applyProtection="1">
      <alignment horizontal="center" vertical="top" wrapText="1"/>
      <protection hidden="1"/>
    </xf>
    <xf numFmtId="0" fontId="48" fillId="36" borderId="11" xfId="1" applyFont="1" applyFill="1" applyBorder="1" applyAlignment="1">
      <alignment horizontal="center" vertical="top" wrapText="1"/>
      <protection locked="0"/>
    </xf>
    <xf numFmtId="0" fontId="48" fillId="36" borderId="12" xfId="1" applyFont="1" applyFill="1" applyBorder="1" applyAlignment="1">
      <alignment horizontal="center" vertical="top" wrapText="1"/>
      <protection locked="0"/>
    </xf>
    <xf numFmtId="0" fontId="48" fillId="36" borderId="3" xfId="1" applyFont="1" applyFill="1" applyBorder="1" applyAlignment="1">
      <alignment horizontal="center" vertical="top" wrapText="1"/>
      <protection locked="0"/>
    </xf>
    <xf numFmtId="0" fontId="6" fillId="0" borderId="11" xfId="5" applyFont="1" applyBorder="1" applyAlignment="1">
      <alignment horizontal="left" vertical="top" wrapText="1"/>
    </xf>
    <xf numFmtId="0" fontId="6" fillId="0" borderId="12" xfId="5" applyFont="1" applyBorder="1" applyAlignment="1">
      <alignment horizontal="left" vertical="top" wrapText="1"/>
    </xf>
    <xf numFmtId="0" fontId="12" fillId="34" borderId="11" xfId="5" applyFont="1" applyFill="1" applyBorder="1" applyAlignment="1" applyProtection="1">
      <alignment horizontal="center" vertical="top" wrapText="1"/>
      <protection locked="0"/>
    </xf>
    <xf numFmtId="0" fontId="12" fillId="34" borderId="3" xfId="5" applyFont="1" applyFill="1" applyBorder="1" applyAlignment="1" applyProtection="1">
      <alignment horizontal="center" vertical="top" wrapText="1"/>
      <protection locked="0"/>
    </xf>
    <xf numFmtId="49" fontId="14" fillId="25" borderId="11" xfId="0" applyNumberFormat="1" applyFont="1" applyFill="1" applyBorder="1" applyAlignment="1" applyProtection="1">
      <alignment horizontal="left" vertical="top" wrapText="1"/>
      <protection locked="0"/>
    </xf>
    <xf numFmtId="49" fontId="14" fillId="25" borderId="12" xfId="0" applyNumberFormat="1" applyFont="1" applyFill="1" applyBorder="1" applyAlignment="1" applyProtection="1">
      <alignment horizontal="left" vertical="top" wrapText="1"/>
      <protection locked="0"/>
    </xf>
    <xf numFmtId="49" fontId="14" fillId="25" borderId="3" xfId="0" applyNumberFormat="1" applyFont="1" applyFill="1" applyBorder="1" applyAlignment="1" applyProtection="1">
      <alignment horizontal="left" vertical="top" wrapText="1"/>
      <protection locked="0"/>
    </xf>
    <xf numFmtId="0" fontId="6" fillId="25" borderId="11" xfId="5" applyFont="1" applyFill="1" applyBorder="1" applyAlignment="1" applyProtection="1">
      <alignment horizontal="left" vertical="top" wrapText="1"/>
      <protection locked="0"/>
    </xf>
    <xf numFmtId="0" fontId="6" fillId="25" borderId="12" xfId="5" applyFont="1" applyFill="1" applyBorder="1" applyAlignment="1" applyProtection="1">
      <alignment horizontal="left" vertical="top" wrapText="1"/>
      <protection locked="0"/>
    </xf>
    <xf numFmtId="0" fontId="6" fillId="25" borderId="3" xfId="5" applyFont="1" applyFill="1" applyBorder="1" applyAlignment="1" applyProtection="1">
      <alignment horizontal="left" vertical="top" wrapText="1"/>
      <protection locked="0"/>
    </xf>
    <xf numFmtId="1" fontId="1" fillId="25" borderId="11" xfId="0" applyNumberFormat="1" applyFont="1" applyFill="1" applyBorder="1" applyAlignment="1" applyProtection="1">
      <alignment horizontal="left" vertical="top" wrapText="1"/>
      <protection locked="0"/>
    </xf>
    <xf numFmtId="1" fontId="1" fillId="25" borderId="12" xfId="0" applyNumberFormat="1" applyFont="1" applyFill="1" applyBorder="1" applyAlignment="1" applyProtection="1">
      <alignment horizontal="left" vertical="top" wrapText="1"/>
      <protection locked="0"/>
    </xf>
    <xf numFmtId="1" fontId="1" fillId="25" borderId="3" xfId="0" applyNumberFormat="1" applyFont="1" applyFill="1" applyBorder="1" applyAlignment="1" applyProtection="1">
      <alignment horizontal="left" vertical="top" wrapText="1"/>
      <protection locked="0"/>
    </xf>
    <xf numFmtId="0" fontId="6" fillId="25" borderId="11" xfId="5" applyFont="1" applyFill="1" applyBorder="1" applyAlignment="1" applyProtection="1">
      <alignment horizontal="left" vertical="top"/>
      <protection locked="0"/>
    </xf>
    <xf numFmtId="0" fontId="6" fillId="25" borderId="12" xfId="5" applyFont="1" applyFill="1" applyBorder="1" applyAlignment="1" applyProtection="1">
      <alignment horizontal="left" vertical="top"/>
      <protection locked="0"/>
    </xf>
    <xf numFmtId="0" fontId="6" fillId="25" borderId="3" xfId="5" applyFont="1" applyFill="1" applyBorder="1" applyAlignment="1" applyProtection="1">
      <alignment horizontal="left" vertical="top"/>
      <protection locked="0"/>
    </xf>
    <xf numFmtId="1" fontId="4" fillId="25" borderId="12" xfId="0" applyNumberFormat="1" applyFont="1" applyFill="1" applyBorder="1" applyAlignment="1" applyProtection="1">
      <alignment horizontal="left" vertical="top" wrapText="1"/>
      <protection locked="0"/>
    </xf>
    <xf numFmtId="1" fontId="4" fillId="25" borderId="3" xfId="0" applyNumberFormat="1" applyFont="1" applyFill="1" applyBorder="1" applyAlignment="1" applyProtection="1">
      <alignment horizontal="left" vertical="top" wrapText="1"/>
      <protection locked="0"/>
    </xf>
    <xf numFmtId="1" fontId="6" fillId="25" borderId="11" xfId="0" applyNumberFormat="1" applyFont="1" applyFill="1" applyBorder="1" applyAlignment="1" applyProtection="1">
      <alignment horizontal="left" vertical="top" wrapText="1"/>
      <protection locked="0"/>
    </xf>
    <xf numFmtId="1" fontId="6" fillId="25" borderId="12" xfId="0" applyNumberFormat="1" applyFont="1" applyFill="1" applyBorder="1" applyAlignment="1" applyProtection="1">
      <alignment horizontal="left" vertical="top" wrapText="1"/>
      <protection locked="0"/>
    </xf>
    <xf numFmtId="1" fontId="6" fillId="25" borderId="3" xfId="0" applyNumberFormat="1" applyFont="1" applyFill="1" applyBorder="1" applyAlignment="1" applyProtection="1">
      <alignment horizontal="left" vertical="top" wrapText="1"/>
      <protection locked="0"/>
    </xf>
    <xf numFmtId="0" fontId="10" fillId="0" borderId="13" xfId="0" applyFont="1" applyBorder="1" applyAlignment="1">
      <alignment horizontal="center" vertical="top" textRotation="90" wrapText="1"/>
    </xf>
    <xf numFmtId="0" fontId="10" fillId="0" borderId="14" xfId="0" applyFont="1" applyBorder="1" applyAlignment="1">
      <alignment horizontal="center" vertical="top" textRotation="90" wrapText="1"/>
    </xf>
    <xf numFmtId="0" fontId="10" fillId="0" borderId="10" xfId="0" applyFont="1" applyBorder="1" applyAlignment="1">
      <alignment horizontal="center" vertical="top" textRotation="90" wrapText="1"/>
    </xf>
    <xf numFmtId="0" fontId="13" fillId="29" borderId="12" xfId="0" applyFont="1" applyFill="1" applyBorder="1" applyAlignment="1">
      <alignment horizontal="center" vertical="center"/>
    </xf>
    <xf numFmtId="0" fontId="13" fillId="29" borderId="3" xfId="0" applyFont="1" applyFill="1" applyBorder="1" applyAlignment="1">
      <alignment horizontal="center" vertical="center"/>
    </xf>
    <xf numFmtId="0" fontId="9" fillId="0" borderId="5" xfId="0" applyFont="1" applyBorder="1" applyAlignment="1">
      <alignment horizontal="left" wrapText="1"/>
    </xf>
    <xf numFmtId="0" fontId="9" fillId="0" borderId="6" xfId="0" applyFont="1" applyBorder="1" applyAlignment="1">
      <alignment horizontal="left" wrapText="1"/>
    </xf>
    <xf numFmtId="0" fontId="9" fillId="24" borderId="11" xfId="0" applyFont="1" applyFill="1" applyBorder="1" applyAlignment="1">
      <alignment horizontal="left" wrapText="1"/>
    </xf>
    <xf numFmtId="0" fontId="9" fillId="24" borderId="12" xfId="0" applyFont="1" applyFill="1" applyBorder="1" applyAlignment="1">
      <alignment horizontal="left" wrapText="1"/>
    </xf>
    <xf numFmtId="164" fontId="9" fillId="16" borderId="11" xfId="0" applyNumberFormat="1" applyFont="1" applyFill="1" applyBorder="1" applyAlignment="1">
      <alignment horizontal="left" wrapText="1"/>
    </xf>
    <xf numFmtId="164" fontId="9" fillId="16" borderId="12" xfId="0" applyNumberFormat="1" applyFont="1" applyFill="1" applyBorder="1" applyAlignment="1">
      <alignment horizontal="left" wrapText="1"/>
    </xf>
    <xf numFmtId="0" fontId="9" fillId="0" borderId="12" xfId="0" applyFont="1" applyBorder="1" applyAlignment="1">
      <alignment horizontal="left" wrapText="1"/>
    </xf>
    <xf numFmtId="0" fontId="9" fillId="0" borderId="3" xfId="0" applyFont="1" applyBorder="1" applyAlignment="1">
      <alignment horizontal="left" wrapText="1"/>
    </xf>
    <xf numFmtId="0" fontId="9" fillId="0" borderId="11" xfId="0" applyFont="1" applyBorder="1" applyAlignment="1">
      <alignment horizontal="left" wrapText="1"/>
    </xf>
    <xf numFmtId="0" fontId="9" fillId="16" borderId="11" xfId="0" applyFont="1" applyFill="1" applyBorder="1" applyAlignment="1">
      <alignment horizontal="left" wrapText="1"/>
    </xf>
    <xf numFmtId="0" fontId="9" fillId="16" borderId="12" xfId="0" applyFont="1" applyFill="1" applyBorder="1" applyAlignment="1">
      <alignment horizontal="left" wrapText="1"/>
    </xf>
    <xf numFmtId="0" fontId="9" fillId="16" borderId="2" xfId="0" quotePrefix="1" applyFont="1" applyFill="1" applyBorder="1" applyAlignment="1">
      <alignment horizontal="left" vertical="top"/>
    </xf>
    <xf numFmtId="0" fontId="9" fillId="16" borderId="8" xfId="0" applyFont="1" applyFill="1" applyBorder="1" applyAlignment="1">
      <alignment horizontal="left" vertical="top"/>
    </xf>
    <xf numFmtId="0" fontId="10" fillId="0" borderId="4" xfId="0" applyFont="1" applyBorder="1" applyAlignment="1">
      <alignment horizontal="left"/>
    </xf>
    <xf numFmtId="0" fontId="10" fillId="0" borderId="5" xfId="0" applyFont="1" applyBorder="1" applyAlignment="1">
      <alignment horizontal="left"/>
    </xf>
    <xf numFmtId="0" fontId="9" fillId="16" borderId="0" xfId="0" quotePrefix="1" applyFont="1" applyFill="1" applyAlignment="1">
      <alignment horizontal="left" vertical="top"/>
    </xf>
    <xf numFmtId="0" fontId="9" fillId="16" borderId="9" xfId="0" applyFont="1" applyFill="1" applyBorder="1" applyAlignment="1">
      <alignment horizontal="left" vertical="top"/>
    </xf>
    <xf numFmtId="0" fontId="9" fillId="16" borderId="10" xfId="0" quotePrefix="1" applyFont="1" applyFill="1" applyBorder="1" applyAlignment="1">
      <alignment vertical="top"/>
    </xf>
    <xf numFmtId="0" fontId="9" fillId="16" borderId="0" xfId="0" applyFont="1" applyFill="1" applyAlignment="1">
      <alignment vertical="top"/>
    </xf>
    <xf numFmtId="0" fontId="9" fillId="16" borderId="10" xfId="0" applyFont="1" applyFill="1" applyBorder="1" applyAlignment="1">
      <alignment vertical="top"/>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3" xfId="0" applyFont="1" applyBorder="1" applyAlignment="1">
      <alignment horizontal="center" wrapText="1"/>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3" xfId="0" applyFont="1" applyFill="1" applyBorder="1" applyAlignment="1">
      <alignment horizontal="center" vertical="center"/>
    </xf>
    <xf numFmtId="0" fontId="9" fillId="0" borderId="5" xfId="0" applyFont="1" applyBorder="1" applyAlignment="1">
      <alignment horizontal="center" wrapText="1"/>
    </xf>
    <xf numFmtId="0" fontId="9" fillId="0" borderId="6" xfId="0" applyFont="1" applyBorder="1" applyAlignment="1">
      <alignment horizontal="center" wrapText="1"/>
    </xf>
    <xf numFmtId="0" fontId="41" fillId="36" borderId="11" xfId="1" applyFont="1" applyFill="1" applyBorder="1" applyAlignment="1" applyProtection="1">
      <alignment horizontal="center" vertical="top" wrapText="1"/>
    </xf>
    <xf numFmtId="0" fontId="41" fillId="36" borderId="12" xfId="1" applyFont="1" applyFill="1" applyBorder="1" applyProtection="1">
      <alignment vertical="top"/>
    </xf>
    <xf numFmtId="0" fontId="41" fillId="36" borderId="3" xfId="1" applyFont="1" applyFill="1" applyBorder="1" applyProtection="1">
      <alignment vertical="top"/>
    </xf>
    <xf numFmtId="0" fontId="9" fillId="16" borderId="5" xfId="0" quotePrefix="1" applyFont="1" applyFill="1" applyBorder="1" applyAlignment="1">
      <alignment horizontal="left" vertical="top"/>
    </xf>
    <xf numFmtId="0" fontId="9" fillId="16" borderId="6" xfId="0" applyFont="1" applyFill="1" applyBorder="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9" fillId="16" borderId="4" xfId="0" quotePrefix="1" applyFont="1" applyFill="1" applyBorder="1" applyAlignment="1">
      <alignment vertical="top"/>
    </xf>
    <xf numFmtId="0" fontId="9" fillId="16" borderId="5" xfId="0" applyFont="1" applyFill="1" applyBorder="1" applyAlignment="1">
      <alignment vertical="top"/>
    </xf>
    <xf numFmtId="0" fontId="9" fillId="16" borderId="7" xfId="0" applyFont="1" applyFill="1" applyBorder="1" applyAlignment="1">
      <alignment vertical="top"/>
    </xf>
    <xf numFmtId="0" fontId="9" fillId="16" borderId="2" xfId="0" applyFont="1" applyFill="1" applyBorder="1" applyAlignment="1">
      <alignment vertical="top"/>
    </xf>
    <xf numFmtId="0" fontId="9" fillId="0" borderId="0" xfId="0" applyFont="1" applyAlignment="1">
      <alignment horizontal="center" vertical="top"/>
    </xf>
    <xf numFmtId="0" fontId="12" fillId="36" borderId="11" xfId="0" applyFont="1" applyFill="1" applyBorder="1" applyAlignment="1" applyProtection="1">
      <alignment horizontal="center" vertical="center"/>
      <protection locked="0"/>
    </xf>
    <xf numFmtId="0" fontId="12" fillId="36" borderId="12" xfId="0" applyFont="1" applyFill="1" applyBorder="1" applyAlignment="1" applyProtection="1">
      <alignment horizontal="center" vertical="center"/>
      <protection locked="0"/>
    </xf>
    <xf numFmtId="0" fontId="9" fillId="16" borderId="7" xfId="0" applyFont="1" applyFill="1" applyBorder="1" applyAlignment="1">
      <alignment horizontal="left" vertical="top" wrapText="1"/>
    </xf>
    <xf numFmtId="0" fontId="9" fillId="16" borderId="2" xfId="0" applyFont="1" applyFill="1" applyBorder="1" applyAlignment="1">
      <alignment horizontal="left" vertical="top" wrapText="1"/>
    </xf>
    <xf numFmtId="0" fontId="9" fillId="16" borderId="8" xfId="0" applyFont="1" applyFill="1" applyBorder="1" applyAlignment="1">
      <alignment horizontal="left" vertical="top" wrapText="1"/>
    </xf>
    <xf numFmtId="0" fontId="9" fillId="0" borderId="0" xfId="0" applyFont="1" applyAlignment="1">
      <alignment horizontal="center" vertical="top" wrapText="1"/>
    </xf>
    <xf numFmtId="0" fontId="13" fillId="24" borderId="11" xfId="0" applyFont="1" applyFill="1" applyBorder="1" applyAlignment="1">
      <alignment horizontal="center" vertical="top"/>
    </xf>
    <xf numFmtId="0" fontId="13" fillId="24" borderId="12" xfId="0" applyFont="1" applyFill="1" applyBorder="1" applyAlignment="1">
      <alignment horizontal="center" vertical="top"/>
    </xf>
    <xf numFmtId="0" fontId="13" fillId="24" borderId="3" xfId="0" applyFont="1" applyFill="1" applyBorder="1" applyAlignment="1">
      <alignment horizontal="center" vertical="top"/>
    </xf>
    <xf numFmtId="0" fontId="10" fillId="0" borderId="5" xfId="0" applyFont="1" applyBorder="1" applyAlignment="1">
      <alignment horizontal="left" wrapText="1"/>
    </xf>
    <xf numFmtId="0" fontId="10" fillId="0" borderId="11" xfId="0" applyFont="1" applyBorder="1" applyAlignment="1">
      <alignment horizontal="left" wrapText="1"/>
    </xf>
    <xf numFmtId="0" fontId="10" fillId="0" borderId="12" xfId="0" applyFont="1" applyBorder="1" applyAlignment="1">
      <alignment horizontal="left" wrapText="1"/>
    </xf>
    <xf numFmtId="0" fontId="10" fillId="24" borderId="11" xfId="0" applyFont="1" applyFill="1" applyBorder="1" applyAlignment="1">
      <alignment horizontal="left" wrapText="1"/>
    </xf>
    <xf numFmtId="0" fontId="10" fillId="24" borderId="12" xfId="0" applyFont="1" applyFill="1" applyBorder="1" applyAlignment="1">
      <alignment horizontal="left" wrapText="1"/>
    </xf>
    <xf numFmtId="0" fontId="9" fillId="0" borderId="2" xfId="0" applyFont="1" applyBorder="1" applyAlignment="1">
      <alignment horizontal="left" vertical="top" wrapText="1"/>
    </xf>
    <xf numFmtId="0" fontId="9" fillId="24" borderId="10" xfId="0" applyFont="1" applyFill="1" applyBorder="1" applyAlignment="1">
      <alignment horizontal="left" vertical="top" wrapText="1"/>
    </xf>
    <xf numFmtId="0" fontId="9" fillId="24" borderId="0" xfId="0" applyFont="1" applyFill="1" applyAlignment="1">
      <alignment horizontal="left" vertical="top" wrapText="1"/>
    </xf>
    <xf numFmtId="0" fontId="9" fillId="24" borderId="9" xfId="0" applyFont="1" applyFill="1" applyBorder="1" applyAlignment="1">
      <alignment horizontal="left" vertical="top" wrapText="1"/>
    </xf>
    <xf numFmtId="0" fontId="13" fillId="29" borderId="12" xfId="0" applyFont="1" applyFill="1" applyBorder="1" applyAlignment="1">
      <alignment horizontal="center" vertical="top"/>
    </xf>
    <xf numFmtId="0" fontId="13" fillId="29" borderId="3" xfId="0" applyFont="1" applyFill="1" applyBorder="1" applyAlignment="1">
      <alignment horizontal="center" vertical="top"/>
    </xf>
    <xf numFmtId="0" fontId="9" fillId="16" borderId="7" xfId="0" quotePrefix="1" applyFont="1" applyFill="1" applyBorder="1" applyAlignment="1">
      <alignment vertical="top"/>
    </xf>
    <xf numFmtId="0" fontId="9" fillId="0" borderId="11" xfId="0" applyFont="1" applyBorder="1" applyAlignment="1">
      <alignment horizontal="center"/>
    </xf>
    <xf numFmtId="0" fontId="9" fillId="0" borderId="3" xfId="0" applyFont="1" applyBorder="1" applyAlignment="1">
      <alignment horizontal="center"/>
    </xf>
    <xf numFmtId="0" fontId="9" fillId="16" borderId="0" xfId="0" applyFont="1" applyFill="1" applyAlignment="1">
      <alignment horizontal="left" vertical="top" wrapText="1"/>
    </xf>
    <xf numFmtId="0" fontId="9" fillId="16" borderId="4" xfId="0" applyFont="1" applyFill="1" applyBorder="1" applyAlignment="1">
      <alignment vertical="top"/>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15" borderId="11" xfId="0" applyFont="1" applyFill="1" applyBorder="1" applyAlignment="1" applyProtection="1">
      <alignment horizontal="left" vertical="top"/>
      <protection locked="0"/>
    </xf>
    <xf numFmtId="0" fontId="9" fillId="15" borderId="12" xfId="0" applyFont="1" applyFill="1" applyBorder="1" applyAlignment="1" applyProtection="1">
      <alignment horizontal="left" vertical="top"/>
      <protection locked="0"/>
    </xf>
    <xf numFmtId="0" fontId="9" fillId="15" borderId="3" xfId="0" applyFont="1" applyFill="1" applyBorder="1" applyAlignment="1" applyProtection="1">
      <alignment horizontal="left" vertical="top"/>
      <protection locked="0"/>
    </xf>
    <xf numFmtId="0" fontId="10" fillId="0" borderId="13"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15" xfId="0" applyFont="1" applyBorder="1" applyAlignment="1">
      <alignment horizontal="center" vertical="center" textRotation="90"/>
    </xf>
    <xf numFmtId="0" fontId="54" fillId="44" borderId="11" xfId="0" applyFont="1" applyFill="1" applyBorder="1" applyAlignment="1">
      <alignment horizontal="center" vertical="top" wrapText="1"/>
    </xf>
    <xf numFmtId="0" fontId="54" fillId="44" borderId="12" xfId="0" applyFont="1" applyFill="1" applyBorder="1" applyAlignment="1">
      <alignment horizontal="center" vertical="top" wrapText="1"/>
    </xf>
    <xf numFmtId="0" fontId="54" fillId="44" borderId="3" xfId="0" applyFont="1" applyFill="1" applyBorder="1" applyAlignment="1">
      <alignment horizontal="center" vertical="top"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3" xfId="0" applyFont="1" applyBorder="1" applyAlignment="1">
      <alignment horizont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0" fillId="44" borderId="4" xfId="0" applyFont="1" applyFill="1" applyBorder="1" applyAlignment="1">
      <alignment horizontal="left" vertical="center"/>
    </xf>
    <xf numFmtId="0" fontId="10" fillId="44" borderId="5" xfId="0" applyFont="1" applyFill="1" applyBorder="1" applyAlignment="1">
      <alignment horizontal="left" vertical="center"/>
    </xf>
    <xf numFmtId="0" fontId="10" fillId="44" borderId="6" xfId="0" applyFont="1" applyFill="1" applyBorder="1" applyAlignment="1">
      <alignment horizontal="left" vertical="center"/>
    </xf>
    <xf numFmtId="0" fontId="10" fillId="44" borderId="7" xfId="0" applyFont="1" applyFill="1" applyBorder="1" applyAlignment="1">
      <alignment horizontal="left" vertical="center" wrapText="1"/>
    </xf>
    <xf numFmtId="0" fontId="10" fillId="44" borderId="2" xfId="0" applyFont="1" applyFill="1" applyBorder="1" applyAlignment="1">
      <alignment horizontal="left" vertical="center" wrapText="1"/>
    </xf>
    <xf numFmtId="0" fontId="10" fillId="44" borderId="8" xfId="0" applyFont="1" applyFill="1" applyBorder="1" applyAlignment="1">
      <alignment horizontal="left" vertical="center" wrapText="1"/>
    </xf>
    <xf numFmtId="0" fontId="9" fillId="43" borderId="12" xfId="0" applyFont="1" applyFill="1" applyBorder="1" applyAlignment="1">
      <alignment horizontal="left" vertical="top" wrapText="1"/>
    </xf>
    <xf numFmtId="0" fontId="9" fillId="43" borderId="3" xfId="0" applyFont="1" applyFill="1" applyBorder="1" applyAlignment="1">
      <alignment horizontal="left" vertical="top" wrapText="1"/>
    </xf>
    <xf numFmtId="0" fontId="9" fillId="43" borderId="10" xfId="0" applyFont="1" applyFill="1" applyBorder="1" applyAlignment="1">
      <alignment vertical="top"/>
    </xf>
    <xf numFmtId="0" fontId="9" fillId="43" borderId="0" xfId="0" applyFont="1" applyFill="1" applyAlignment="1">
      <alignment vertical="top"/>
    </xf>
    <xf numFmtId="0" fontId="9" fillId="43" borderId="7" xfId="0" applyFont="1" applyFill="1" applyBorder="1" applyAlignment="1">
      <alignment vertical="top"/>
    </xf>
    <xf numFmtId="0" fontId="9" fillId="43" borderId="2" xfId="0" applyFont="1" applyFill="1" applyBorder="1" applyAlignment="1">
      <alignment vertical="top"/>
    </xf>
    <xf numFmtId="0" fontId="10" fillId="40" borderId="13" xfId="0" applyFont="1" applyFill="1" applyBorder="1" applyAlignment="1">
      <alignment horizontal="center" vertical="center" textRotation="90" wrapText="1"/>
    </xf>
    <xf numFmtId="0" fontId="10" fillId="40" borderId="14" xfId="0" applyFont="1" applyFill="1" applyBorder="1" applyAlignment="1">
      <alignment horizontal="center" vertical="center" textRotation="90" wrapText="1"/>
    </xf>
    <xf numFmtId="0" fontId="9" fillId="43" borderId="4" xfId="0" applyFont="1" applyFill="1" applyBorder="1" applyAlignment="1">
      <alignment vertical="top"/>
    </xf>
    <xf numFmtId="0" fontId="9" fillId="43" borderId="5" xfId="0" applyFont="1" applyFill="1" applyBorder="1" applyAlignment="1">
      <alignment vertical="top"/>
    </xf>
    <xf numFmtId="0" fontId="10" fillId="44" borderId="4" xfId="0" applyFont="1" applyFill="1" applyBorder="1" applyAlignment="1">
      <alignment horizontal="left"/>
    </xf>
    <xf numFmtId="0" fontId="10" fillId="44" borderId="5" xfId="0" applyFont="1" applyFill="1" applyBorder="1" applyAlignment="1">
      <alignment horizontal="left"/>
    </xf>
    <xf numFmtId="0" fontId="9" fillId="44" borderId="7" xfId="0" applyFont="1" applyFill="1" applyBorder="1" applyAlignment="1">
      <alignment horizontal="left" vertical="top" wrapText="1"/>
    </xf>
    <xf numFmtId="0" fontId="9" fillId="44" borderId="2" xfId="0" applyFont="1" applyFill="1" applyBorder="1" applyAlignment="1">
      <alignment horizontal="left" vertical="top" wrapText="1"/>
    </xf>
    <xf numFmtId="0" fontId="9" fillId="44" borderId="8" xfId="0" applyFont="1" applyFill="1" applyBorder="1" applyAlignment="1">
      <alignment horizontal="left" vertical="top" wrapText="1"/>
    </xf>
    <xf numFmtId="0" fontId="13" fillId="40" borderId="11" xfId="0" applyFont="1" applyFill="1" applyBorder="1" applyAlignment="1">
      <alignment horizontal="center" wrapText="1"/>
    </xf>
    <xf numFmtId="0" fontId="13" fillId="40" borderId="12" xfId="0" applyFont="1" applyFill="1" applyBorder="1" applyAlignment="1">
      <alignment horizontal="center" wrapText="1"/>
    </xf>
    <xf numFmtId="0" fontId="13" fillId="40" borderId="3" xfId="0" applyFont="1" applyFill="1" applyBorder="1" applyAlignment="1">
      <alignment horizontal="center" wrapText="1"/>
    </xf>
    <xf numFmtId="0" fontId="9" fillId="40" borderId="4" xfId="0" applyFont="1" applyFill="1" applyBorder="1" applyAlignment="1">
      <alignment horizontal="center"/>
    </xf>
    <xf numFmtId="0" fontId="9" fillId="40" borderId="6" xfId="0" applyFont="1" applyFill="1" applyBorder="1" applyAlignment="1">
      <alignment horizontal="center"/>
    </xf>
    <xf numFmtId="0" fontId="10" fillId="44" borderId="4" xfId="0" applyFont="1" applyFill="1" applyBorder="1" applyAlignment="1">
      <alignment horizontal="center" vertical="center" textRotation="90"/>
    </xf>
    <xf numFmtId="0" fontId="10" fillId="44" borderId="10" xfId="0" applyFont="1" applyFill="1" applyBorder="1" applyAlignment="1">
      <alignment horizontal="center" vertical="center" textRotation="90"/>
    </xf>
    <xf numFmtId="0" fontId="10" fillId="44" borderId="15" xfId="0" applyFont="1" applyFill="1" applyBorder="1" applyAlignment="1">
      <alignment horizontal="center" vertical="center" textRotation="90"/>
    </xf>
    <xf numFmtId="0" fontId="14" fillId="0" borderId="0" xfId="0" applyFont="1" applyAlignment="1">
      <alignment horizontal="center" wrapText="1"/>
    </xf>
    <xf numFmtId="0" fontId="13" fillId="0" borderId="0" xfId="0" applyFont="1" applyAlignment="1">
      <alignment horizontal="center" vertical="center"/>
    </xf>
    <xf numFmtId="0" fontId="9" fillId="0" borderId="7" xfId="0" applyFont="1" applyBorder="1" applyAlignment="1">
      <alignment horizontal="right" vertical="top" wrapText="1"/>
    </xf>
    <xf numFmtId="0" fontId="9" fillId="0" borderId="8" xfId="0" applyFont="1" applyBorder="1" applyAlignment="1">
      <alignment horizontal="right" vertical="top" wrapText="1"/>
    </xf>
    <xf numFmtId="0" fontId="9" fillId="15" borderId="1" xfId="0" applyFont="1" applyFill="1" applyBorder="1" applyAlignment="1" applyProtection="1">
      <alignment horizontal="center" vertical="top"/>
      <protection locked="0"/>
    </xf>
    <xf numFmtId="0" fontId="41" fillId="0" borderId="11" xfId="1" applyFont="1" applyBorder="1" applyAlignment="1" applyProtection="1">
      <alignment horizontal="center" vertical="top" wrapText="1"/>
    </xf>
    <xf numFmtId="0" fontId="41" fillId="0" borderId="12" xfId="1" applyFont="1" applyBorder="1" applyProtection="1">
      <alignment vertical="top"/>
    </xf>
    <xf numFmtId="0" fontId="41" fillId="0" borderId="3" xfId="1" applyFont="1" applyBorder="1" applyProtection="1">
      <alignment vertical="top"/>
    </xf>
    <xf numFmtId="0" fontId="13" fillId="44" borderId="12" xfId="0" applyFont="1" applyFill="1" applyBorder="1" applyAlignment="1">
      <alignment horizontal="center" vertical="center"/>
    </xf>
    <xf numFmtId="0" fontId="13" fillId="44" borderId="3" xfId="0" applyFont="1" applyFill="1" applyBorder="1" applyAlignment="1">
      <alignment horizontal="center" vertical="center"/>
    </xf>
    <xf numFmtId="0" fontId="9" fillId="0" borderId="0" xfId="0" applyFont="1" applyAlignment="1">
      <alignment horizontal="left" wrapText="1"/>
    </xf>
    <xf numFmtId="0" fontId="9" fillId="0" borderId="9" xfId="0" applyFont="1" applyBorder="1" applyAlignment="1">
      <alignment horizontal="left"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16" borderId="0" xfId="0" quotePrefix="1" applyFont="1" applyFill="1" applyAlignment="1">
      <alignment horizontal="left" vertical="top" wrapText="1"/>
    </xf>
    <xf numFmtId="14" fontId="37" fillId="19" borderId="11" xfId="4" applyNumberFormat="1" applyFont="1" applyFill="1" applyBorder="1" applyAlignment="1">
      <alignment horizontal="left" vertical="top"/>
    </xf>
    <xf numFmtId="14" fontId="37" fillId="19" borderId="12" xfId="4" applyNumberFormat="1" applyFont="1" applyFill="1" applyBorder="1" applyAlignment="1">
      <alignment horizontal="left" vertical="top"/>
    </xf>
    <xf numFmtId="14" fontId="37" fillId="19" borderId="3" xfId="4" applyNumberFormat="1" applyFont="1" applyFill="1" applyBorder="1" applyAlignment="1">
      <alignment horizontal="left" vertical="top"/>
    </xf>
    <xf numFmtId="0" fontId="28" fillId="44" borderId="0" xfId="0" applyFont="1" applyFill="1" applyAlignment="1">
      <alignment horizontal="left"/>
    </xf>
    <xf numFmtId="0" fontId="28" fillId="39" borderId="0" xfId="0" applyFont="1" applyFill="1" applyAlignment="1">
      <alignment horizontal="left"/>
    </xf>
    <xf numFmtId="0" fontId="21" fillId="46" borderId="0" xfId="0" applyFont="1" applyFill="1" applyAlignment="1">
      <alignment horizontal="left"/>
    </xf>
    <xf numFmtId="2" fontId="9" fillId="0" borderId="0" xfId="0" applyNumberFormat="1" applyFont="1" applyAlignment="1">
      <alignment horizontal="right" vertical="top"/>
    </xf>
    <xf numFmtId="2" fontId="9" fillId="0" borderId="0" xfId="0" applyNumberFormat="1" applyFont="1" applyAlignment="1">
      <alignment horizontal="center" vertical="top"/>
    </xf>
    <xf numFmtId="0" fontId="9" fillId="0" borderId="0" xfId="0" applyFont="1" applyAlignment="1">
      <alignment horizontal="center"/>
    </xf>
    <xf numFmtId="14" fontId="37" fillId="19" borderId="0" xfId="4" applyNumberFormat="1" applyFont="1" applyFill="1" applyAlignment="1">
      <alignment horizontal="left" vertical="top"/>
    </xf>
    <xf numFmtId="0" fontId="32" fillId="19" borderId="0" xfId="0" applyFont="1" applyFill="1" applyAlignment="1">
      <alignment horizontal="left" vertical="top"/>
    </xf>
    <xf numFmtId="0" fontId="3" fillId="36" borderId="11" xfId="1" applyFill="1" applyBorder="1" applyAlignment="1" applyProtection="1">
      <alignment horizontal="center" vertical="top" wrapText="1"/>
    </xf>
    <xf numFmtId="0" fontId="3" fillId="36" borderId="12" xfId="1" applyFill="1" applyBorder="1" applyAlignment="1" applyProtection="1">
      <alignment horizontal="center" vertical="top" wrapText="1"/>
    </xf>
    <xf numFmtId="0" fontId="3" fillId="36" borderId="3" xfId="1" applyFill="1" applyBorder="1" applyAlignment="1" applyProtection="1">
      <alignment horizontal="center" vertical="top" wrapText="1"/>
    </xf>
    <xf numFmtId="0" fontId="3" fillId="36" borderId="11" xfId="1" applyFill="1" applyBorder="1" applyAlignment="1" applyProtection="1">
      <alignment horizontal="center" vertical="top"/>
    </xf>
    <xf numFmtId="0" fontId="3" fillId="36" borderId="12" xfId="1" applyFill="1" applyBorder="1" applyAlignment="1" applyProtection="1">
      <alignment horizontal="center" vertical="top"/>
    </xf>
    <xf numFmtId="0" fontId="3" fillId="36" borderId="3" xfId="1" applyFill="1" applyBorder="1" applyAlignment="1" applyProtection="1">
      <alignment horizontal="center" vertical="top"/>
    </xf>
    <xf numFmtId="14" fontId="37" fillId="19" borderId="0" xfId="4" applyNumberFormat="1" applyFont="1" applyFill="1" applyAlignment="1">
      <alignment horizontal="left" vertical="top" wrapText="1"/>
    </xf>
    <xf numFmtId="0" fontId="61" fillId="0" borderId="1" xfId="0" applyFont="1" applyBorder="1" applyAlignment="1">
      <alignment vertical="center"/>
    </xf>
    <xf numFmtId="165" fontId="2" fillId="24" borderId="11" xfId="2" applyNumberFormat="1" applyFont="1" applyFill="1" applyBorder="1" applyAlignment="1" applyProtection="1">
      <alignment horizontal="center" vertical="top" wrapText="1"/>
    </xf>
    <xf numFmtId="165" fontId="2" fillId="24" borderId="11" xfId="2" applyNumberFormat="1" applyFont="1" applyFill="1" applyBorder="1" applyAlignment="1" applyProtection="1">
      <alignment horizontal="right" vertical="top" wrapText="1"/>
      <protection hidden="1"/>
    </xf>
    <xf numFmtId="165" fontId="2" fillId="24" borderId="1" xfId="2" applyNumberFormat="1" applyFont="1" applyFill="1" applyBorder="1" applyAlignment="1" applyProtection="1">
      <alignment vertical="top"/>
      <protection hidden="1"/>
    </xf>
    <xf numFmtId="2" fontId="2" fillId="24" borderId="1" xfId="2" applyNumberFormat="1" applyFont="1" applyFill="1" applyBorder="1" applyAlignment="1" applyProtection="1">
      <alignment vertical="top"/>
      <protection hidden="1"/>
    </xf>
    <xf numFmtId="2" fontId="2" fillId="24" borderId="1" xfId="11" applyNumberFormat="1" applyFont="1" applyFill="1" applyBorder="1" applyAlignment="1" applyProtection="1">
      <alignment horizontal="center" vertical="top"/>
      <protection hidden="1"/>
    </xf>
    <xf numFmtId="2" fontId="2" fillId="24" borderId="11" xfId="2" applyNumberFormat="1" applyFont="1" applyFill="1" applyBorder="1" applyAlignment="1" applyProtection="1">
      <alignment horizontal="right" vertical="top" wrapText="1"/>
      <protection hidden="1"/>
    </xf>
    <xf numFmtId="2" fontId="2" fillId="24" borderId="1" xfId="0" applyNumberFormat="1" applyFont="1" applyFill="1" applyBorder="1" applyAlignment="1" applyProtection="1">
      <alignment horizontal="center" vertical="top"/>
      <protection hidden="1"/>
    </xf>
    <xf numFmtId="0" fontId="3" fillId="0" borderId="5" xfId="1" applyFill="1" applyBorder="1" applyAlignment="1" applyProtection="1">
      <alignment horizontal="left"/>
    </xf>
    <xf numFmtId="0" fontId="56" fillId="0" borderId="5" xfId="0" applyFont="1" applyFill="1" applyBorder="1" applyAlignment="1">
      <alignment horizontal="left"/>
    </xf>
    <xf numFmtId="0" fontId="56" fillId="0" borderId="11" xfId="0" applyFont="1" applyFill="1" applyBorder="1" applyAlignment="1" applyProtection="1">
      <alignment horizontal="left" vertical="top" wrapText="1"/>
      <protection locked="0"/>
    </xf>
    <xf numFmtId="0" fontId="56" fillId="0" borderId="12" xfId="0" applyFont="1" applyFill="1" applyBorder="1" applyAlignment="1" applyProtection="1">
      <alignment horizontal="left" vertical="top" wrapText="1"/>
      <protection locked="0"/>
    </xf>
    <xf numFmtId="0" fontId="56" fillId="0" borderId="3" xfId="0" applyFont="1" applyFill="1" applyBorder="1" applyAlignment="1" applyProtection="1">
      <alignment horizontal="left" vertical="top" wrapText="1"/>
      <protection locked="0"/>
    </xf>
    <xf numFmtId="2" fontId="2" fillId="0" borderId="0" xfId="0" applyNumberFormat="1" applyFont="1" applyAlignment="1">
      <alignment vertical="top"/>
    </xf>
    <xf numFmtId="2" fontId="0" fillId="0" borderId="0" xfId="0" applyNumberFormat="1" applyAlignment="1">
      <alignment vertical="top"/>
    </xf>
  </cellXfs>
  <cellStyles count="13">
    <cellStyle name="Euro" xfId="8" xr:uid="{00000000-0005-0000-0000-000000000000}"/>
    <cellStyle name="Hyperlink" xfId="1" builtinId="8"/>
    <cellStyle name="Normal" xfId="0" builtinId="0"/>
    <cellStyle name="Normal 2" xfId="2" xr:uid="{00000000-0005-0000-0000-000003000000}"/>
    <cellStyle name="Normal 3" xfId="3" xr:uid="{00000000-0005-0000-0000-000004000000}"/>
    <cellStyle name="Normal 3 2" xfId="11" xr:uid="{00000000-0005-0000-0000-000005000000}"/>
    <cellStyle name="Normal 4" xfId="10" xr:uid="{00000000-0005-0000-0000-000006000000}"/>
    <cellStyle name="Normal 5" xfId="7" xr:uid="{00000000-0005-0000-0000-000007000000}"/>
    <cellStyle name="Normal_ADI ARfD Corr EU coord" xfId="4" xr:uid="{00000000-0005-0000-0000-000008000000}"/>
    <cellStyle name="Normal_NL " xfId="5" xr:uid="{00000000-0005-0000-0000-000009000000}"/>
    <cellStyle name="Percent" xfId="6" builtinId="5"/>
    <cellStyle name="Percent 2" xfId="12" xr:uid="{00000000-0005-0000-0000-00000B000000}"/>
    <cellStyle name="Standard_Acute_Case2" xfId="9" xr:uid="{00000000-0005-0000-0000-00000C000000}"/>
  </cellStyles>
  <dxfs count="795">
    <dxf>
      <fill>
        <patternFill>
          <bgColor theme="0"/>
        </patternFill>
      </fill>
    </dxf>
    <dxf>
      <fill>
        <patternFill>
          <bgColor rgb="FFFFCCCC"/>
        </patternFill>
      </fill>
    </dxf>
    <dxf>
      <fill>
        <patternFill>
          <bgColor rgb="FFFFCCCC"/>
        </patternFill>
      </fill>
    </dxf>
    <dxf>
      <fill>
        <patternFill>
          <bgColor rgb="FF00CC99"/>
        </patternFill>
      </fill>
    </dxf>
    <dxf>
      <fill>
        <patternFill>
          <bgColor rgb="FFFFCCCC"/>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rgb="FF00B0F0"/>
        </patternFill>
      </fill>
    </dxf>
    <dxf>
      <fill>
        <patternFill>
          <bgColor rgb="FF00B0F0"/>
        </patternFill>
      </fill>
    </dxf>
    <dxf>
      <fill>
        <patternFill>
          <bgColor rgb="FFFFCCCC"/>
        </patternFill>
      </fill>
    </dxf>
    <dxf>
      <fill>
        <patternFill>
          <bgColor theme="0"/>
        </patternFill>
      </fill>
    </dxf>
    <dxf>
      <fill>
        <patternFill>
          <bgColor rgb="FFFFCCCC"/>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CC99"/>
        </patternFill>
      </fill>
    </dxf>
    <dxf>
      <fill>
        <patternFill>
          <bgColor theme="0"/>
        </patternFill>
      </fill>
    </dxf>
    <dxf>
      <fill>
        <patternFill>
          <bgColor theme="0"/>
        </patternFill>
      </fill>
    </dxf>
    <dxf>
      <fill>
        <patternFill>
          <bgColor rgb="FFFFCCCC"/>
        </patternFill>
      </fill>
    </dxf>
    <dxf>
      <fill>
        <patternFill>
          <bgColor rgb="FFFFCCCC"/>
        </patternFill>
      </fill>
    </dxf>
    <dxf>
      <numFmt numFmtId="14" formatCode="0.00%"/>
    </dxf>
    <dxf>
      <numFmt numFmtId="167" formatCode="0.0%"/>
    </dxf>
    <dxf>
      <numFmt numFmtId="13" formatCode="0%"/>
    </dxf>
    <dxf>
      <fill>
        <patternFill>
          <bgColor rgb="FFFFCCCC"/>
        </patternFill>
      </fill>
    </dxf>
    <dxf>
      <fill>
        <patternFill>
          <bgColor rgb="FFFFCCCC"/>
        </patternFill>
      </fill>
    </dxf>
    <dxf>
      <fill>
        <patternFill>
          <bgColor rgb="FFFFCCCC"/>
        </patternFill>
      </fill>
    </dxf>
    <dxf>
      <fill>
        <patternFill patternType="solid">
          <bgColor rgb="FFCCFFCC"/>
        </patternFill>
      </fill>
    </dxf>
    <dxf>
      <numFmt numFmtId="13" formatCode="0%"/>
    </dxf>
    <dxf>
      <fill>
        <patternFill>
          <bgColor rgb="FFFFFF99"/>
        </patternFill>
      </fill>
    </dxf>
    <dxf>
      <numFmt numFmtId="13" formatCode="0%"/>
    </dxf>
    <dxf>
      <numFmt numFmtId="13" formatCode="0%"/>
    </dxf>
    <dxf>
      <numFmt numFmtId="13" formatCode="0%"/>
    </dxf>
    <dxf>
      <numFmt numFmtId="13" formatCode="0%"/>
    </dxf>
    <dxf>
      <numFmt numFmtId="13" formatCode="0%"/>
    </dxf>
    <dxf>
      <numFmt numFmtId="164" formatCode="0.0"/>
    </dxf>
    <dxf>
      <numFmt numFmtId="165" formatCode="0.000"/>
    </dxf>
    <dxf>
      <numFmt numFmtId="13" formatCode="0%"/>
    </dxf>
    <dxf>
      <fill>
        <patternFill>
          <bgColor rgb="FFFFCCCC"/>
        </patternFill>
      </fill>
    </dxf>
    <dxf>
      <fill>
        <patternFill>
          <bgColor theme="3" tint="0.59996337778862885"/>
        </patternFill>
      </fill>
    </dxf>
    <dxf>
      <fill>
        <patternFill>
          <bgColor rgb="FFFFCCCC"/>
        </patternFill>
      </fill>
    </dxf>
    <dxf>
      <fill>
        <patternFill>
          <bgColor rgb="FFFFCCCC"/>
        </patternFill>
      </fill>
    </dxf>
    <dxf>
      <numFmt numFmtId="13" formatCode="0%"/>
    </dxf>
    <dxf>
      <numFmt numFmtId="164" formatCode="0.0"/>
    </dxf>
    <dxf>
      <numFmt numFmtId="1" formatCode="0"/>
    </dxf>
    <dxf>
      <fill>
        <patternFill>
          <bgColor rgb="FFFFCCCC"/>
        </patternFill>
      </fill>
    </dxf>
    <dxf>
      <fill>
        <patternFill>
          <bgColor rgb="FFFFCCCC"/>
        </patternFill>
      </fill>
    </dxf>
    <dxf>
      <numFmt numFmtId="164" formatCode="0.0"/>
    </dxf>
    <dxf>
      <numFmt numFmtId="1" formatCode="0"/>
    </dxf>
    <dxf>
      <numFmt numFmtId="164" formatCode="0.0"/>
    </dxf>
    <dxf>
      <numFmt numFmtId="1" formatCode="0"/>
    </dxf>
    <dxf>
      <fill>
        <patternFill>
          <bgColor rgb="FFFFCCCC"/>
        </patternFill>
      </fill>
    </dxf>
    <dxf>
      <fill>
        <patternFill>
          <bgColor rgb="FFFFCCCC"/>
        </patternFill>
      </fill>
    </dxf>
    <dxf>
      <numFmt numFmtId="13" formatCode="0%"/>
      <fill>
        <patternFill>
          <bgColor rgb="FFFFCCCC"/>
        </patternFill>
      </fill>
    </dxf>
    <dxf>
      <numFmt numFmtId="167" formatCode="0.0%"/>
    </dxf>
    <dxf>
      <numFmt numFmtId="13" formatCode="0%"/>
    </dxf>
    <dxf>
      <fill>
        <patternFill>
          <bgColor rgb="FFFFCCCC"/>
        </patternFill>
      </fill>
    </dxf>
    <dxf>
      <numFmt numFmtId="13" formatCode="0%"/>
      <fill>
        <patternFill>
          <bgColor rgb="FFFFCCCC"/>
        </patternFill>
      </fill>
    </dxf>
    <dxf>
      <numFmt numFmtId="167" formatCode="0.0%"/>
    </dxf>
    <dxf>
      <numFmt numFmtId="13" formatCode="0%"/>
    </dxf>
    <dxf>
      <fill>
        <patternFill>
          <bgColor rgb="FFFFCCCC"/>
        </patternFill>
      </fill>
    </dxf>
    <dxf>
      <numFmt numFmtId="13" formatCode="0%"/>
      <fill>
        <patternFill>
          <bgColor rgb="FFFFCCCC"/>
        </patternFill>
      </fill>
    </dxf>
    <dxf>
      <numFmt numFmtId="167" formatCode="0.0%"/>
    </dxf>
    <dxf>
      <numFmt numFmtId="13" formatCode="0%"/>
    </dxf>
    <dxf>
      <numFmt numFmtId="167" formatCode="0.0%"/>
    </dxf>
    <dxf>
      <numFmt numFmtId="13" formatCode="0%"/>
    </dxf>
    <dxf>
      <numFmt numFmtId="167" formatCode="0.0%"/>
    </dxf>
    <dxf>
      <numFmt numFmtId="13" formatCode="0%"/>
    </dxf>
    <dxf>
      <numFmt numFmtId="167" formatCode="0.0%"/>
    </dxf>
    <dxf>
      <numFmt numFmtId="13" formatCode="0%"/>
    </dxf>
    <dxf>
      <numFmt numFmtId="167" formatCode="0.0%"/>
    </dxf>
    <dxf>
      <numFmt numFmtId="13" formatCode="0%"/>
    </dxf>
    <dxf>
      <fill>
        <patternFill>
          <bgColor rgb="FFFFCCCC"/>
        </patternFill>
      </fill>
    </dxf>
    <dxf>
      <numFmt numFmtId="167" formatCode="0.0%"/>
    </dxf>
    <dxf>
      <numFmt numFmtId="13"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fill>
        <patternFill>
          <bgColor rgb="FFFFCCCC"/>
        </patternFill>
      </fill>
    </dxf>
    <dxf>
      <numFmt numFmtId="13" formatCode="0%"/>
    </dxf>
    <dxf>
      <fill>
        <patternFill>
          <bgColor rgb="FFFFCCCC"/>
        </patternFill>
      </fill>
    </dxf>
    <dxf>
      <numFmt numFmtId="167" formatCode="0.0%"/>
    </dxf>
    <dxf>
      <numFmt numFmtId="13" formatCode="0%"/>
    </dxf>
    <dxf>
      <numFmt numFmtId="164" formatCode="0.0"/>
    </dxf>
    <dxf>
      <numFmt numFmtId="1" formatCode="0"/>
    </dxf>
    <dxf>
      <fill>
        <patternFill>
          <bgColor rgb="FFFFCCCC"/>
        </patternFill>
      </fill>
    </dxf>
    <dxf>
      <numFmt numFmtId="164" formatCode="0.0"/>
    </dxf>
    <dxf>
      <numFmt numFmtId="1" formatCode="0"/>
    </dxf>
    <dxf>
      <fill>
        <patternFill>
          <bgColor rgb="FFFFCCCC"/>
        </patternFill>
      </fill>
    </dxf>
    <dxf>
      <numFmt numFmtId="164" formatCode="0.0"/>
    </dxf>
    <dxf>
      <numFmt numFmtId="1" formatCode="0"/>
    </dxf>
    <dxf>
      <numFmt numFmtId="164" formatCode="0.0"/>
    </dxf>
    <dxf>
      <numFmt numFmtId="1" formatCode="0"/>
    </dxf>
    <dxf>
      <fill>
        <patternFill>
          <bgColor rgb="FFFFCCCC"/>
        </patternFill>
      </fill>
    </dxf>
    <dxf>
      <numFmt numFmtId="164" formatCode="0.0"/>
    </dxf>
    <dxf>
      <numFmt numFmtId="1" formatCode="0"/>
    </dxf>
    <dxf>
      <fill>
        <patternFill>
          <bgColor rgb="FFFFCCCC"/>
        </patternFill>
      </fill>
    </dxf>
    <dxf>
      <numFmt numFmtId="164" formatCode="0.0"/>
    </dxf>
    <dxf>
      <numFmt numFmtId="165" formatCode="0.000"/>
    </dxf>
    <dxf>
      <numFmt numFmtId="13" formatCode="0%"/>
    </dxf>
    <dxf>
      <numFmt numFmtId="164" formatCode="0.0"/>
    </dxf>
    <dxf>
      <numFmt numFmtId="1" formatCode="0"/>
    </dxf>
    <dxf>
      <fill>
        <patternFill>
          <bgColor theme="3" tint="0.59996337778862885"/>
        </patternFill>
      </fill>
    </dxf>
    <dxf>
      <fill>
        <patternFill>
          <bgColor rgb="FFFFCCCC"/>
        </patternFill>
      </fill>
    </dxf>
    <dxf>
      <fill>
        <patternFill>
          <bgColor rgb="FFFFCCCC"/>
        </patternFill>
      </fill>
    </dxf>
    <dxf>
      <fill>
        <patternFill>
          <bgColor rgb="FF00CC99"/>
        </patternFill>
      </fill>
    </dxf>
    <dxf>
      <fill>
        <patternFill>
          <bgColor rgb="FF00CC99"/>
        </patternFill>
      </fill>
    </dxf>
    <dxf>
      <fill>
        <patternFill>
          <bgColor theme="0" tint="-0.14996795556505021"/>
        </patternFill>
      </fill>
    </dxf>
    <dxf>
      <fill>
        <patternFill>
          <bgColor rgb="FF008080"/>
        </patternFill>
      </fill>
    </dxf>
    <dxf>
      <fill>
        <patternFill>
          <bgColor rgb="FF00CC99"/>
        </patternFill>
      </fill>
    </dxf>
    <dxf>
      <fill>
        <patternFill>
          <bgColor theme="0" tint="-0.14996795556505021"/>
        </patternFill>
      </fill>
    </dxf>
    <dxf>
      <fill>
        <patternFill>
          <bgColor rgb="FF00CC99"/>
        </patternFill>
      </fill>
    </dxf>
    <dxf>
      <fill>
        <patternFill>
          <bgColor theme="0" tint="-0.14996795556505021"/>
        </patternFill>
      </fill>
    </dxf>
    <dxf>
      <fill>
        <patternFill>
          <bgColor rgb="FF00CC99"/>
        </patternFill>
      </fill>
    </dxf>
    <dxf>
      <fill>
        <patternFill>
          <bgColor theme="0" tint="-0.14996795556505021"/>
        </patternFill>
      </fill>
    </dxf>
    <dxf>
      <fill>
        <patternFill>
          <bgColor rgb="FF00CC99"/>
        </patternFill>
      </fill>
    </dxf>
    <dxf>
      <fill>
        <patternFill>
          <bgColor rgb="FF00CC99"/>
        </patternFill>
      </fill>
    </dxf>
    <dxf>
      <fill>
        <patternFill>
          <bgColor rgb="FF00CC99"/>
        </patternFill>
      </fill>
    </dxf>
    <dxf>
      <fill>
        <patternFill>
          <bgColor theme="0" tint="-0.14996795556505021"/>
        </patternFill>
      </fill>
    </dxf>
    <dxf>
      <fill>
        <patternFill>
          <bgColor rgb="FF00CC99"/>
        </patternFill>
      </fill>
    </dxf>
    <dxf>
      <fill>
        <patternFill>
          <bgColor rgb="FF00CC99"/>
        </patternFill>
      </fill>
    </dxf>
    <dxf>
      <fill>
        <patternFill>
          <bgColor rgb="FF008080"/>
        </patternFill>
      </fill>
    </dxf>
    <dxf>
      <numFmt numFmtId="2" formatCode="0.00"/>
      <alignment vertical="top" textRotation="0" indent="0" justifyLastLine="0" shrinkToFit="0" readingOrder="0"/>
    </dxf>
    <dxf>
      <font>
        <b val="0"/>
        <i val="0"/>
        <strike val="0"/>
        <condense val="0"/>
        <extend val="0"/>
        <outline val="0"/>
        <shadow val="0"/>
        <u val="none"/>
        <vertAlign val="baseline"/>
        <sz val="8"/>
        <color auto="1"/>
        <name val="Arial"/>
        <scheme val="none"/>
      </font>
      <numFmt numFmtId="165" formatCode="0.000"/>
      <fill>
        <patternFill patternType="solid">
          <fgColor indexed="64"/>
          <bgColor rgb="FFCCFFCC"/>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6" formatCode="0.0000"/>
      <fill>
        <patternFill patternType="solid">
          <fgColor indexed="9"/>
          <bgColor rgb="FF33CCCC"/>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numFmt numFmtId="166" formatCode="0.0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fill>
        <patternFill patternType="solid">
          <fgColor indexed="64"/>
          <bgColor indexed="2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fill>
        <patternFill patternType="solid">
          <fgColor indexed="9"/>
          <bgColor indexed="1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fill>
        <patternFill patternType="solid">
          <fgColor indexed="9"/>
          <bgColor indexed="1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fill>
        <patternFill patternType="solid">
          <fgColor indexed="9"/>
          <bgColor indexed="1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solid">
          <fgColor indexed="9"/>
          <bgColor indexed="1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6" formatCode="0.0000"/>
      <fill>
        <patternFill patternType="solid">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bottom/>
      </border>
    </dxf>
    <dxf>
      <numFmt numFmtId="165" formatCode="0.000"/>
      <border diagonalUp="0" diagonalDown="0">
        <left style="thin">
          <color indexed="64"/>
        </left>
        <right style="thin">
          <color indexed="64"/>
        </right>
        <top style="thin">
          <color indexed="64"/>
        </top>
        <bottom style="thin">
          <color indexed="64"/>
        </bottom>
      </border>
    </dxf>
    <dxf>
      <numFmt numFmtId="165" formatCode="0.000"/>
      <border diagonalUp="0" diagonalDown="0">
        <left style="thin">
          <color indexed="64"/>
        </left>
        <right style="thin">
          <color indexed="64"/>
        </right>
        <top style="thin">
          <color indexed="64"/>
        </top>
        <bottom style="thin">
          <color indexed="64"/>
        </bottom>
      </border>
    </dxf>
    <dxf>
      <numFmt numFmtId="165" formatCode="0.000"/>
      <border diagonalUp="0" diagonalDown="0">
        <left style="thin">
          <color indexed="64"/>
        </left>
        <right style="thin">
          <color indexed="64"/>
        </right>
        <top style="thin">
          <color indexed="64"/>
        </top>
        <bottom style="thin">
          <color indexed="64"/>
        </bottom>
      </border>
    </dxf>
    <dxf>
      <numFmt numFmtId="166" formatCode="0.0000"/>
      <border diagonalUp="0" diagonalDown="0">
        <left style="thin">
          <color indexed="64"/>
        </left>
        <right style="thin">
          <color indexed="64"/>
        </right>
        <top style="thin">
          <color indexed="64"/>
        </top>
        <bottom style="thin">
          <color indexed="64"/>
        </bottom>
      </border>
    </dxf>
    <dxf>
      <numFmt numFmtId="166" formatCode="0.0000"/>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numFmt numFmtId="166" formatCode="0.0000"/>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solid">
          <fgColor indexed="64"/>
          <bgColor indexed="2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9"/>
        <color theme="0"/>
        <name val="Arial"/>
        <scheme val="none"/>
      </font>
      <numFmt numFmtId="166" formatCode="0.0000"/>
      <fill>
        <patternFill patternType="solid">
          <fgColor indexed="64"/>
          <bgColor rgb="FF008080"/>
        </patternFill>
      </fill>
      <alignment horizontal="general" vertical="top" textRotation="9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2" formatCode="0.00"/>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65" formatCode="0.0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65" formatCode="0.0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67" formatCode="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66" formatCode="0.00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67" formatCode="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66" formatCode="0.00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tint="-0.14999847407452621"/>
        </patternFill>
      </fill>
      <alignment horizontal="right" vertical="top"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CCFFCC"/>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99"/>
        </patternFill>
      </fill>
      <alignment horizontal="center" vertical="top"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fill>
        <patternFill patternType="solid">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protection locked="1" hidden="0"/>
    </dxf>
    <dxf>
      <border outline="0">
        <bottom style="thin">
          <color indexed="64"/>
        </bottom>
      </border>
    </dxf>
    <dxf>
      <protection locked="1" hidden="0"/>
    </dxf>
    <dxf>
      <alignment textRotation="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numFmt numFmtId="165" formatCode="0.000"/>
      <fill>
        <patternFill patternType="solid">
          <fgColor indexed="64"/>
          <bgColor indexed="22"/>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65" formatCode="0.000"/>
      <fill>
        <patternFill patternType="solid">
          <fgColor indexed="64"/>
          <bgColor indexed="22"/>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65" formatCode="0.000"/>
      <fill>
        <patternFill patternType="none">
          <fgColor indexed="64"/>
          <bgColor indexed="65"/>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65" formatCode="0.000"/>
      <fill>
        <patternFill patternType="none">
          <fgColor indexed="64"/>
          <bgColor indexed="65"/>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67" formatCode="0.0%"/>
      <fill>
        <patternFill patternType="solid">
          <fgColor indexed="64"/>
          <bgColor theme="0"/>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66" formatCode="0.0000"/>
      <fill>
        <patternFill patternType="solid">
          <fgColor indexed="64"/>
          <bgColor theme="0"/>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67" formatCode="0.0%"/>
      <fill>
        <patternFill patternType="solid">
          <fgColor indexed="64"/>
          <bgColor theme="0"/>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66" formatCode="0.0000"/>
      <fill>
        <patternFill patternType="solid">
          <fgColor indexed="64"/>
          <bgColor theme="0"/>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 formatCode="0"/>
      <fill>
        <patternFill patternType="solid">
          <fgColor indexed="64"/>
          <bgColor theme="0"/>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22"/>
        </patternFill>
      </fill>
      <alignment horizontal="general"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22"/>
        </patternFill>
      </fill>
      <alignment horizontal="right"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22"/>
        </patternFill>
      </fill>
      <alignment horizontal="general"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22"/>
        </patternFill>
      </fill>
      <alignment horizontal="right"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patternFill>
      </fill>
      <alignment horizontal="right"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patternFill>
      </fill>
      <alignment horizontal="right"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patternFill>
      </fill>
      <alignment horizontal="general"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patternFill>
      </fill>
      <alignment horizontal="center" vertical="top" textRotation="0" wrapText="1" relative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tint="-4.9989318521683403E-2"/>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tint="-4.9989318521683403E-2"/>
        </patternFill>
      </fill>
      <alignment horizontal="center" vertical="top" textRotation="0" wrapText="1" relative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tint="-4.9989318521683403E-2"/>
        </patternFill>
      </fill>
      <alignment horizontal="right"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center" vertical="top" textRotation="0" wrapText="1" relative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relative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64"/>
          <bgColor indexed="22"/>
        </patternFill>
      </fill>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9"/>
          <bgColor rgb="FF33CCCC"/>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9"/>
          <bgColor rgb="FF33CCCC"/>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9"/>
          <bgColor rgb="FF33CCCC"/>
        </patternFill>
      </fill>
      <alignment horizontal="general" vertical="top" textRotation="0" wrapText="0" relative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numFmt numFmtId="166" formatCode="0.0000"/>
      <alignment textRotation="0" relativeIndent="0" justifyLastLine="0" shrinkToFit="0" readingOrder="0"/>
      <border diagonalUp="0" diagonalDown="0"/>
      <protection locked="1" hidden="0"/>
    </dxf>
    <dxf>
      <border outline="0">
        <bottom style="thin">
          <color indexed="64"/>
        </bottom>
      </border>
    </dxf>
    <dxf>
      <font>
        <b/>
        <i val="0"/>
        <strike val="0"/>
        <condense val="0"/>
        <extend val="0"/>
        <outline val="0"/>
        <shadow val="0"/>
        <u val="none"/>
        <vertAlign val="baseline"/>
        <sz val="9"/>
        <color auto="1"/>
        <name val="Arial"/>
        <scheme val="none"/>
      </font>
      <numFmt numFmtId="166" formatCode="0.0000"/>
      <fill>
        <patternFill patternType="solid">
          <fgColor indexed="64"/>
          <bgColor rgb="FF008080"/>
        </patternFill>
      </fill>
      <alignment horizontal="center" vertical="top" textRotation="0" wrapText="1" relative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9"/>
        <color auto="1"/>
        <name val="Arial"/>
        <scheme val="none"/>
      </font>
      <numFmt numFmtId="166" formatCode="0.0000"/>
      <fill>
        <patternFill patternType="solid">
          <fgColor indexed="64"/>
          <bgColor theme="0"/>
        </patternFill>
      </fill>
      <alignment horizontal="left" vertical="top" textRotation="0" wrapText="1" indent="0" justifyLastLine="0" shrinkToFit="0" readingOrder="0"/>
      <border>
        <left style="thin">
          <color indexed="64"/>
        </left>
      </border>
      <protection locked="1" hidden="0"/>
    </dxf>
    <dxf>
      <font>
        <b val="0"/>
        <i val="0"/>
        <strike val="0"/>
        <condense val="0"/>
        <extend val="0"/>
        <outline val="0"/>
        <shadow val="0"/>
        <u val="none"/>
        <vertAlign val="baseline"/>
        <sz val="9"/>
        <color auto="1"/>
        <name val="Arial"/>
        <scheme val="none"/>
      </font>
      <numFmt numFmtId="165" formatCode="0.000"/>
      <fill>
        <patternFill patternType="solid">
          <fgColor indexed="64"/>
          <bgColor indexed="2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65" formatCode="0.000"/>
      <fill>
        <patternFill patternType="solid">
          <fgColor indexed="64"/>
          <bgColor indexed="2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65" formatCode="0.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65" formatCode="0.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67" formatCode="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66" formatCode="0.0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67" formatCode="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66" formatCode="0.0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2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22"/>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2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22"/>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CCFFCC"/>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64"/>
          <bgColor rgb="FFFFFF9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fill>
        <patternFill patternType="solid">
          <fgColor indexed="9"/>
          <bgColor rgb="FF33CC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fill>
        <patternFill patternType="solid">
          <fgColor indexed="9"/>
          <bgColor rgb="FF33CC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fill>
        <patternFill patternType="solid">
          <fgColor indexed="9"/>
          <bgColor rgb="FF33CCCC"/>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9"/>
        <color theme="0"/>
        <name val="Arial"/>
        <scheme val="none"/>
      </font>
      <numFmt numFmtId="2" formatCode="0.00"/>
      <fill>
        <patternFill patternType="solid">
          <fgColor indexed="64"/>
          <bgColor rgb="FF008080"/>
        </patternFill>
      </fill>
      <alignment horizontal="center" vertical="top"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67" formatCode="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66" formatCode="0.00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67" formatCode="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66" formatCode="0.00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 formatCode="0"/>
      <fill>
        <patternFill patternType="solid">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theme="0" tint="-0.14999847407452621"/>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CCFFCC"/>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2" formatCode="0.00"/>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fill>
        <patternFill patternType="solid">
          <fgColor indexed="64"/>
          <bgColor rgb="FFFFFF99"/>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99"/>
        </patternFill>
      </fill>
      <alignment horizontal="center" vertical="top"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fill>
        <patternFill patternType="solid">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fill>
        <patternFill patternType="solid">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protection locked="1" hidden="0"/>
    </dxf>
    <dxf>
      <border outline="0">
        <bottom style="thin">
          <color indexed="64"/>
        </bottom>
      </border>
    </dxf>
    <dxf>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 formatCode="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64" formatCode="0.0"/>
      <fill>
        <patternFill patternType="solid">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theme="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0.149998474074526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0.1499984740745262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fill>
        <patternFill patternType="solid">
          <fgColor indexed="64"/>
          <bgColor indexed="49"/>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scheme val="none"/>
      </font>
      <fill>
        <patternFill patternType="solid">
          <fgColor indexed="64"/>
          <bgColor indexed="49"/>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4" formatCode="0.0"/>
      <fill>
        <patternFill patternType="solid">
          <fgColor indexed="9"/>
          <bgColor indexed="15"/>
        </patternFill>
      </fill>
      <alignment horizontal="righ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9"/>
        <color theme="0"/>
        <name val="Arial"/>
        <scheme val="none"/>
      </font>
      <numFmt numFmtId="164" formatCode="0.0"/>
      <fill>
        <patternFill patternType="solid">
          <fgColor indexed="64"/>
          <bgColor rgb="FF008080"/>
        </patternFill>
      </fill>
      <alignment horizontal="general" vertical="top" textRotation="9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9"/>
        <color theme="0"/>
        <name val="Arial"/>
        <scheme val="none"/>
      </font>
      <numFmt numFmtId="164" formatCode="0.0"/>
      <fill>
        <patternFill patternType="solid">
          <fgColor indexed="64"/>
          <bgColor theme="3" tint="0.39997558519241921"/>
        </patternFill>
      </fill>
      <alignment horizontal="general" vertical="top" textRotation="9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4" formatCode="0.00%"/>
      <fill>
        <patternFill patternType="solid">
          <fgColor indexed="9"/>
          <bgColor indexed="1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border outline="0">
        <top style="thin">
          <color indexed="64"/>
        </top>
      </border>
    </dxf>
    <dxf>
      <font>
        <b val="0"/>
        <i val="0"/>
        <strike val="0"/>
        <condense val="0"/>
        <extend val="0"/>
        <outline val="0"/>
        <shadow val="0"/>
        <u val="none"/>
        <vertAlign val="baseline"/>
        <sz val="9"/>
        <color auto="1"/>
        <name val="Arial"/>
        <scheme val="none"/>
      </font>
      <numFmt numFmtId="164" formatCode="0.0"/>
      <fill>
        <patternFill patternType="solid">
          <fgColor indexed="64"/>
          <bgColor indexed="65"/>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9"/>
        <color theme="0"/>
        <name val="Arial"/>
        <scheme val="none"/>
      </font>
      <numFmt numFmtId="164" formatCode="0.0"/>
      <fill>
        <patternFill patternType="solid">
          <fgColor indexed="64"/>
          <bgColor rgb="FF008080"/>
        </patternFill>
      </fill>
      <alignment horizontal="general" vertical="top" textRotation="90" wrapText="0"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9"/>
        <color auto="1"/>
        <name val="Arial"/>
        <scheme val="none"/>
      </font>
      <fill>
        <patternFill patternType="solid">
          <fgColor indexed="64"/>
          <bgColor rgb="FF339966"/>
        </patternFill>
      </fill>
      <border diagonalUp="0" diagonalDown="0">
        <left/>
        <right style="thin">
          <color indexed="64"/>
        </right>
        <top style="thin">
          <color indexed="64"/>
        </top>
        <bottom style="thin">
          <color indexed="64"/>
        </bottom>
      </border>
      <protection locked="1" hidden="0"/>
    </dxf>
    <dxf>
      <numFmt numFmtId="2" formatCode="0.00"/>
      <fill>
        <patternFill>
          <fgColor indexed="64"/>
          <bgColor theme="0"/>
        </patternFill>
      </fill>
      <alignment horizontal="center" vertical="top" textRotation="0" wrapText="0" indent="0" justifyLastLine="0" shrinkToFit="0" readingOrder="0"/>
      <protection locked="1" hidden="0"/>
    </dxf>
    <dxf>
      <fill>
        <patternFill>
          <fgColor indexed="64"/>
          <bgColor theme="0"/>
        </patternFill>
      </fil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top style="thin">
          <color indexed="64"/>
        </top>
      </border>
    </dxf>
    <dxf>
      <protection locked="1" hidden="0"/>
    </dxf>
    <dxf>
      <border outline="0">
        <bottom style="thin">
          <color indexed="64"/>
        </bottom>
      </border>
    </dxf>
    <dxf>
      <font>
        <b/>
        <i val="0"/>
        <strike val="0"/>
        <condense val="0"/>
        <extend val="0"/>
        <outline val="0"/>
        <shadow val="0"/>
        <u val="none"/>
        <vertAlign val="baseline"/>
        <sz val="9"/>
        <color theme="0"/>
        <name val="Arial"/>
        <scheme val="none"/>
      </font>
      <numFmt numFmtId="165" formatCode="0.000"/>
      <fill>
        <patternFill patternType="solid">
          <fgColor indexed="64"/>
          <bgColor rgb="FF008080"/>
        </patternFill>
      </fill>
      <alignment horizontal="right" vertical="top"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9"/>
        <color auto="1"/>
        <name val="Arial"/>
        <scheme val="none"/>
      </font>
      <alignment horizontal="center" textRotation="0" indent="0" justifyLastLine="0" shrinkToFit="0" readingOrder="0"/>
      <border diagonalUp="0" diagonalDown="0">
        <left/>
        <right style="thin">
          <color indexed="64"/>
        </right>
        <top/>
        <bottom/>
      </border>
      <protection locked="1" hidden="0"/>
    </dxf>
    <dxf>
      <font>
        <b val="0"/>
        <i val="0"/>
        <strike val="0"/>
        <condense val="0"/>
        <extend val="0"/>
        <outline val="0"/>
        <shadow val="0"/>
        <u val="none"/>
        <vertAlign val="baseline"/>
        <sz val="9"/>
        <color auto="1"/>
        <name val="Arial"/>
        <scheme val="none"/>
      </font>
      <protection locked="1" hidden="0"/>
    </dxf>
    <dxf>
      <font>
        <b val="0"/>
        <i val="0"/>
        <strike val="0"/>
        <condense val="0"/>
        <extend val="0"/>
        <outline val="0"/>
        <shadow val="0"/>
        <u val="none"/>
        <vertAlign val="baseline"/>
        <sz val="9"/>
        <color auto="1"/>
        <name val="Arial"/>
        <scheme val="none"/>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9"/>
        <color auto="1"/>
        <name val="Arial"/>
        <scheme val="none"/>
      </font>
      <numFmt numFmtId="167" formatCode="0.0%"/>
      <fill>
        <patternFill patternType="none">
          <fgColor indexed="64"/>
          <bgColor indexed="65"/>
        </patternFill>
      </fill>
      <alignment horizontal="center" vertical="top" textRotation="0" wrapText="0" indent="0" justifyLastLine="0" shrinkToFit="0" readingOrder="0"/>
      <border diagonalUp="0" diagonalDown="0">
        <left style="thin">
          <color indexed="64"/>
        </left>
        <right/>
        <top/>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8"/>
        <color auto="1"/>
        <name val="Arial"/>
        <scheme val="none"/>
      </font>
      <numFmt numFmtId="170" formatCode="General;\-0;;@"/>
      <alignment horizontal="general" vertical="top" textRotation="0" wrapText="0" indent="0" justifyLastLine="0" shrinkToFit="0" readingOrder="0"/>
      <border diagonalUp="0" diagonalDown="0" outline="0">
        <left/>
        <right/>
        <top/>
        <bottom style="medium">
          <color theme="1"/>
        </bottom>
      </border>
    </dxf>
    <dxf>
      <font>
        <b val="0"/>
        <i val="0"/>
        <strike val="0"/>
        <condense val="0"/>
        <extend val="0"/>
        <outline val="0"/>
        <shadow val="0"/>
        <u val="none"/>
        <vertAlign val="baseline"/>
        <sz val="8"/>
        <color auto="1"/>
        <name val="Arial"/>
        <scheme val="none"/>
      </font>
      <numFmt numFmtId="170" formatCode="General;\-0;;@"/>
      <alignment horizontal="center" vertical="top" textRotation="0" wrapText="0" indent="0" justifyLastLine="0" shrinkToFit="0" readingOrder="0"/>
      <border diagonalUp="0" diagonalDown="0" outline="0">
        <left/>
        <right/>
        <top/>
        <bottom style="medium">
          <color theme="1"/>
        </bottom>
      </border>
    </dxf>
    <dxf>
      <font>
        <b val="0"/>
        <i val="0"/>
        <strike val="0"/>
        <condense val="0"/>
        <extend val="0"/>
        <outline val="0"/>
        <shadow val="0"/>
        <u val="none"/>
        <vertAlign val="baseline"/>
        <sz val="8"/>
        <color auto="1"/>
        <name val="Arial"/>
        <scheme val="none"/>
      </font>
      <numFmt numFmtId="170" formatCode="General;\-0;;@"/>
      <alignment horizontal="general" vertical="top" textRotation="0" wrapText="0" indent="0" justifyLastLine="0" shrinkToFit="0" readingOrder="0"/>
      <border diagonalUp="0" diagonalDown="0" outline="0">
        <left/>
        <right/>
        <top/>
        <bottom style="medium">
          <color theme="1"/>
        </bottom>
      </border>
    </dxf>
    <dxf>
      <font>
        <b val="0"/>
        <i val="0"/>
        <strike val="0"/>
        <condense val="0"/>
        <extend val="0"/>
        <outline val="0"/>
        <shadow val="0"/>
        <u val="none"/>
        <vertAlign val="baseline"/>
        <sz val="8"/>
        <color auto="1"/>
        <name val="Arial"/>
        <scheme val="none"/>
      </font>
      <numFmt numFmtId="170" formatCode="General;\-0;;@"/>
      <alignment horizontal="center" vertical="top" textRotation="0" wrapText="0" indent="0" justifyLastLine="0" shrinkToFit="0" readingOrder="0"/>
      <border diagonalUp="0" diagonalDown="0" outline="0">
        <left/>
        <right/>
        <top/>
        <bottom style="medium">
          <color theme="1"/>
        </bottom>
      </border>
    </dxf>
    <dxf>
      <font>
        <b val="0"/>
        <i val="0"/>
        <strike val="0"/>
        <condense val="0"/>
        <extend val="0"/>
        <outline val="0"/>
        <shadow val="0"/>
        <u val="none"/>
        <vertAlign val="baseline"/>
        <sz val="8"/>
        <color auto="1"/>
        <name val="Arial"/>
        <scheme val="none"/>
      </font>
      <numFmt numFmtId="170" formatCode="General;\-0;;@"/>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70" formatCode="General;\-0;;@"/>
      <alignment horizontal="center" vertical="top" textRotation="0" wrapText="1" indent="0" justifyLastLine="0" shrinkToFit="0" readingOrder="0"/>
    </dxf>
    <dxf>
      <font>
        <b val="0"/>
        <i val="0"/>
        <strike val="0"/>
        <condense val="0"/>
        <extend val="0"/>
        <outline val="0"/>
        <shadow val="0"/>
        <u val="none"/>
        <vertAlign val="baseline"/>
        <sz val="8"/>
        <color auto="1"/>
        <name val="Tahoma"/>
        <scheme val="none"/>
      </font>
      <alignment horizontal="general" vertical="top" textRotation="0" wrapText="1" indent="0" justifyLastLine="0" shrinkToFit="0" readingOrder="0"/>
      <border diagonalUp="0" diagonalDown="0" outline="0">
        <left/>
        <right/>
        <top/>
        <bottom style="medium">
          <color theme="1"/>
        </bottom>
      </border>
    </dxf>
    <dxf>
      <font>
        <b val="0"/>
        <i val="0"/>
        <strike val="0"/>
        <condense val="0"/>
        <extend val="0"/>
        <outline val="0"/>
        <shadow val="0"/>
        <u val="none"/>
        <vertAlign val="baseline"/>
        <sz val="8"/>
        <color auto="1"/>
        <name val="Tahoma"/>
        <scheme val="none"/>
      </font>
      <alignment horizontal="general" vertical="top"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dxf>
    <dxf>
      <border>
        <bottom style="thick">
          <color theme="1"/>
        </bottom>
      </border>
    </dxf>
    <dxf>
      <alignment vertical="top" textRotation="0" indent="0" justifyLastLine="0" shrinkToFit="0" readingOrder="0"/>
    </dxf>
    <dxf>
      <font>
        <strike val="0"/>
        <outline val="0"/>
        <shadow val="0"/>
        <u val="none"/>
        <vertAlign val="baseline"/>
        <sz val="8"/>
        <color auto="1"/>
        <name val="Arial"/>
        <scheme val="none"/>
      </font>
      <numFmt numFmtId="0" formatCode="General"/>
      <fill>
        <patternFill patternType="solid">
          <fgColor indexed="64"/>
          <bgColor rgb="FFFFFFCC"/>
        </patternFill>
      </fill>
      <alignment vertical="top" textRotation="0" indent="0" justifyLastLine="0" shrinkToFit="0" readingOrder="0"/>
    </dxf>
    <dxf>
      <font>
        <strike val="0"/>
        <outline val="0"/>
        <shadow val="0"/>
        <u val="none"/>
        <vertAlign val="baseline"/>
        <sz val="8"/>
        <color auto="1"/>
        <name val="Arial"/>
        <scheme val="none"/>
      </font>
      <numFmt numFmtId="0" formatCode="General"/>
      <fill>
        <patternFill patternType="solid">
          <fgColor indexed="64"/>
          <bgColor rgb="FFFFFFCC"/>
        </patternFill>
      </fill>
      <alignment vertical="top" textRotation="0" indent="0" justifyLastLine="0" shrinkToFit="0" readingOrder="0"/>
    </dxf>
    <dxf>
      <font>
        <strike val="0"/>
        <outline val="0"/>
        <shadow val="0"/>
        <u val="none"/>
        <vertAlign val="baseline"/>
        <sz val="8"/>
        <color auto="1"/>
        <name val="Arial"/>
        <scheme val="none"/>
      </font>
      <numFmt numFmtId="0" formatCode="General"/>
      <fill>
        <patternFill patternType="solid">
          <fgColor indexed="64"/>
          <bgColor rgb="FFFFFFCC"/>
        </patternFill>
      </fill>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font>
        <strike val="0"/>
        <outline val="0"/>
        <shadow val="0"/>
        <u val="none"/>
        <vertAlign val="baseline"/>
        <sz val="8"/>
        <name val="Arial"/>
        <scheme val="none"/>
      </font>
      <alignment vertical="top"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theme="1"/>
        <name val="Arial"/>
        <scheme val="none"/>
      </font>
      <numFmt numFmtId="170" formatCode="General;\-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70" formatCode="General;\-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70" formatCode="General;\-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70" formatCode="General;\-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70" formatCode="General;\-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right" vertical="top" textRotation="0" wrapText="1" indent="0" justifyLastLine="0" shrinkToFit="0" readingOrder="0"/>
      <border diagonalUp="0" diagonalDown="0">
        <left/>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70" formatCode="General;\-0;;@"/>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1" formatCode="0.000_ ;\-0.000\ "/>
      <fill>
        <patternFill patternType="solid">
          <fgColor indexed="9"/>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fill>
        <patternFill patternType="solid">
          <fgColor indexed="64"/>
          <bgColor rgb="FFCCFFCC"/>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70" formatCode="General;\-0;;@"/>
      <fill>
        <patternFill patternType="solid">
          <fgColor indexed="64"/>
          <bgColor theme="0" tint="-4.9989318521683403E-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0" formatCode="General"/>
      <fill>
        <patternFill patternType="solid">
          <fgColor indexed="64"/>
          <bgColor theme="0" tint="-4.9989318521683403E-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70" formatCode="General;\-0;;@"/>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0" formatCode="General"/>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0" formatCode="General"/>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0" formatCode="General"/>
      <fill>
        <patternFill patternType="solid">
          <fgColor indexed="64"/>
          <bgColor theme="0" tint="-0.149998474074526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0" formatCode="General"/>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70" formatCode="General;\-0;;@"/>
      <fill>
        <patternFill patternType="solid">
          <fgColor indexed="64"/>
          <bgColor rgb="FFFFFFCC"/>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70" formatCode="General;\-0;;@"/>
      <fill>
        <patternFill patternType="solid">
          <fgColor indexed="64"/>
          <bgColor rgb="FFFFFFCC"/>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rgb="FFCCFFCC"/>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fill>
        <patternFill patternType="solid">
          <fgColor indexed="64"/>
          <bgColor rgb="FFCCFFCC"/>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73" formatCode="0.00_ ;\-0.00\ "/>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4"/>
        <color auto="1"/>
        <name val="Arial"/>
        <scheme val="none"/>
      </font>
      <numFmt numFmtId="165" formatCode="0.000"/>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71" formatCode="0.000_ ;\-0.000\ "/>
      <fill>
        <patternFill patternType="solid">
          <fgColor indexed="64"/>
          <bgColor rgb="FFFFFFCC"/>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numFmt numFmtId="170" formatCode="General;\-0;;@"/>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theme="1"/>
        <name val="Arial"/>
        <scheme val="none"/>
      </font>
      <fill>
        <patternFill patternType="none">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scheme val="none"/>
      </font>
      <fill>
        <patternFill patternType="none">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scheme val="none"/>
      </font>
      <fill>
        <patternFill patternType="none">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thin">
          <color indexed="64"/>
        </left>
        <right style="thin">
          <color indexed="64"/>
        </right>
        <bottom style="thin">
          <color indexed="64"/>
        </bottom>
      </border>
    </dxf>
    <dxf>
      <font>
        <strike val="0"/>
        <outline val="0"/>
        <shadow val="0"/>
        <u val="none"/>
        <vertAlign val="baseline"/>
        <sz val="8"/>
        <name val="Arial"/>
        <scheme val="none"/>
      </font>
      <alignment vertical="top" textRotation="0" indent="0" justifyLastLine="0" shrinkToFit="0" readingOrder="0"/>
      <protection locked="1" hidden="0"/>
    </dxf>
    <dxf>
      <font>
        <strike val="0"/>
        <outline val="0"/>
        <shadow val="0"/>
        <u val="none"/>
        <vertAlign val="baseline"/>
        <sz val="9"/>
        <name val="Arial"/>
        <scheme val="none"/>
      </font>
      <alignment vertical="top" textRotation="0" indent="0" justifyLastLine="0" shrinkToFit="0" readingOrder="0"/>
      <protection locked="1" hidden="0"/>
    </dxf>
    <dxf>
      <font>
        <strike val="0"/>
        <outline val="0"/>
        <shadow val="0"/>
        <u val="none"/>
        <sz val="9"/>
        <color auto="1"/>
        <name val="Arial"/>
        <scheme val="none"/>
      </font>
      <numFmt numFmtId="0" formatCode="General"/>
      <alignment vertical="top" textRotation="0" indent="0" justifyLastLine="0" shrinkToFit="0" readingOrder="0"/>
      <protection locked="1" hidden="1"/>
    </dxf>
    <dxf>
      <font>
        <strike val="0"/>
        <outline val="0"/>
        <shadow val="0"/>
        <u val="none"/>
        <sz val="9"/>
        <color auto="1"/>
        <name val="Arial"/>
        <scheme val="none"/>
      </font>
      <numFmt numFmtId="0" formatCode="General"/>
      <alignment vertical="top" textRotation="0" indent="0" justifyLastLine="0" shrinkToFit="0" readingOrder="0"/>
      <protection locked="1" hidden="1"/>
    </dxf>
    <dxf>
      <font>
        <strike val="0"/>
        <outline val="0"/>
        <shadow val="0"/>
        <u val="none"/>
        <sz val="9"/>
        <color auto="1"/>
        <name val="Arial"/>
        <scheme val="none"/>
      </font>
      <numFmt numFmtId="0" formatCode="General"/>
      <alignment vertical="top" textRotation="0" indent="0" justifyLastLine="0" shrinkToFit="0" readingOrder="0"/>
      <protection locked="1" hidden="1"/>
    </dxf>
    <dxf>
      <font>
        <strike val="0"/>
        <outline val="0"/>
        <shadow val="0"/>
        <u val="none"/>
        <sz val="8"/>
        <color auto="1"/>
        <name val="Arial"/>
        <scheme val="none"/>
      </font>
      <numFmt numFmtId="0" formatCode="General"/>
      <alignment vertical="top" textRotation="0" indent="0" justifyLastLine="0" shrinkToFit="0" readingOrder="0"/>
      <protection locked="1" hidden="1"/>
    </dxf>
    <dxf>
      <font>
        <strike val="0"/>
        <outline val="0"/>
        <shadow val="0"/>
        <u val="none"/>
        <sz val="8"/>
        <color auto="1"/>
        <name val="Arial"/>
        <scheme val="none"/>
      </font>
      <numFmt numFmtId="170" formatCode="General;\-0;;@"/>
      <alignment vertical="top" textRotation="0" indent="0" justifyLastLine="0" shrinkToFit="0" readingOrder="0"/>
      <protection locked="1" hidden="1"/>
    </dxf>
    <dxf>
      <font>
        <strike val="0"/>
        <outline val="0"/>
        <shadow val="0"/>
        <u val="none"/>
        <sz val="8"/>
        <color auto="1"/>
        <name val="Arial"/>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70" formatCode="General;\-0;;@"/>
      <fill>
        <patternFill patternType="solid">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center" vertical="top"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numFmt numFmtId="2" formatCode="0.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2" formatCode="0.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8"/>
        <color auto="1"/>
        <name val="Arial"/>
        <scheme val="none"/>
      </font>
      <numFmt numFmtId="2" formatCode="0.0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2" formatCode="0.0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2" formatCode="0.0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center" vertical="top"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numFmt numFmtId="2" formatCode="0.00"/>
      <fill>
        <patternFill patternType="solid">
          <fgColor indexed="64"/>
          <bgColor theme="0"/>
        </patternFill>
      </fill>
      <alignment horizontal="center" vertical="top"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numFmt numFmtId="2" formatCode="0.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8"/>
        <color auto="1"/>
        <name val="Arial"/>
        <scheme val="none"/>
      </font>
      <numFmt numFmtId="170" formatCode="General;\-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9"/>
          <bgColor indexed="22"/>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2" formatCode="0.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2" formatCode="0.0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9"/>
          <bgColor indexed="2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Arial"/>
        <scheme val="none"/>
      </font>
      <numFmt numFmtId="2" formatCode="0.00"/>
      <fill>
        <patternFill patternType="solid">
          <fgColor indexed="64"/>
          <bgColor theme="0"/>
        </patternFill>
      </fill>
      <alignment horizontal="general" vertical="top" textRotation="0" wrapText="0" indent="0" justifyLastLine="0" shrinkToFit="0" readingOrder="0"/>
      <border outline="0">
        <left style="thin">
          <color indexed="64"/>
        </left>
      </border>
      <protection locked="0" hidden="0"/>
    </dxf>
    <dxf>
      <font>
        <b val="0"/>
        <i val="0"/>
        <strike val="0"/>
        <condense val="0"/>
        <extend val="0"/>
        <outline val="0"/>
        <shadow val="0"/>
        <u val="none"/>
        <vertAlign val="baseline"/>
        <sz val="8"/>
        <color auto="1"/>
        <name val="Arial"/>
        <scheme val="none"/>
      </font>
      <numFmt numFmtId="170" formatCode="General;\-0;;@"/>
      <fill>
        <patternFill patternType="solid">
          <fgColor indexed="64"/>
          <bgColor theme="0"/>
        </patternFill>
      </fill>
      <alignment horizontal="center" vertical="top" textRotation="0" wrapText="0" indent="0" justifyLastLine="0" shrinkToFit="0" readingOrder="0"/>
      <border outline="0">
        <left style="thin">
          <color indexed="64"/>
        </left>
      </border>
      <protection locked="1" hidden="0"/>
    </dxf>
    <dxf>
      <font>
        <b val="0"/>
        <i val="0"/>
        <strike val="0"/>
        <condense val="0"/>
        <extend val="0"/>
        <outline val="0"/>
        <shadow val="0"/>
        <u val="none"/>
        <vertAlign val="baseline"/>
        <sz val="8"/>
        <color auto="1"/>
        <name val="Arial"/>
        <scheme val="none"/>
      </font>
      <numFmt numFmtId="164" formatCode="0.0"/>
      <fill>
        <patternFill patternType="solid">
          <fgColor indexed="64"/>
          <bgColor theme="0"/>
        </patternFill>
      </fill>
      <alignment horizontal="center" vertical="top" textRotation="0" wrapText="0"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8"/>
        <color auto="1"/>
        <name val="Arial"/>
        <scheme val="none"/>
      </font>
      <numFmt numFmtId="170" formatCode="General;\-0;;@"/>
      <fill>
        <patternFill patternType="solid">
          <fgColor indexed="64"/>
          <bgColor theme="0"/>
        </patternFill>
      </fill>
      <alignment horizontal="center" vertical="top" textRotation="0" wrapText="0" indent="0" justifyLastLine="0" shrinkToFit="0" readingOrder="0"/>
      <border>
        <left style="thin">
          <color indexed="64"/>
        </left>
        <right style="thin">
          <color indexed="64"/>
        </right>
      </border>
      <protection locked="1" hidden="0"/>
    </dxf>
    <dxf>
      <font>
        <b val="0"/>
        <i val="0"/>
        <strike val="0"/>
        <condense val="0"/>
        <extend val="0"/>
        <outline val="0"/>
        <shadow val="0"/>
        <u val="none"/>
        <vertAlign val="baseline"/>
        <sz val="8"/>
        <color auto="1"/>
        <name val="Arial"/>
        <scheme val="none"/>
      </font>
      <numFmt numFmtId="2" formatCode="0.00"/>
      <fill>
        <patternFill patternType="solid">
          <fgColor indexed="64"/>
          <bgColor theme="0"/>
        </patternFill>
      </fill>
      <alignment horizontal="center" vertical="top" textRotation="0" wrapText="0" indent="0" justifyLastLine="0" shrinkToFit="0" readingOrder="0"/>
      <border>
        <left style="thin">
          <color indexed="64"/>
        </left>
        <right style="thin">
          <color indexed="64"/>
        </right>
      </border>
      <protection locked="1" hidden="0"/>
    </dxf>
    <dxf>
      <font>
        <b val="0"/>
        <i val="0"/>
        <strike val="0"/>
        <condense val="0"/>
        <extend val="0"/>
        <outline val="0"/>
        <shadow val="0"/>
        <u val="none"/>
        <vertAlign val="baseline"/>
        <sz val="8"/>
        <color auto="1"/>
        <name val="Arial"/>
        <scheme val="none"/>
      </font>
      <numFmt numFmtId="170" formatCode="General;\-0;;@"/>
      <fill>
        <patternFill patternType="solid">
          <fgColor indexed="64"/>
          <bgColor theme="0"/>
        </patternFill>
      </fill>
      <alignment horizontal="center" vertical="top" textRotation="0" wrapText="0" indent="0" justifyLastLine="0" shrinkToFit="0" readingOrder="0"/>
      <border>
        <left style="thin">
          <color indexed="64"/>
        </left>
        <right style="thin">
          <color indexed="64"/>
        </right>
      </border>
      <protection locked="1" hidden="0"/>
    </dxf>
    <dxf>
      <font>
        <b val="0"/>
        <i val="0"/>
        <strike val="0"/>
        <condense val="0"/>
        <extend val="0"/>
        <outline val="0"/>
        <shadow val="0"/>
        <u val="none"/>
        <vertAlign val="baseline"/>
        <sz val="8"/>
        <color auto="1"/>
        <name val="Arial"/>
        <scheme val="none"/>
      </font>
      <numFmt numFmtId="165" formatCode="0.000"/>
      <fill>
        <patternFill patternType="solid">
          <fgColor indexed="64"/>
          <bgColor theme="0"/>
        </patternFill>
      </fill>
      <alignment horizontal="center" vertical="top"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8"/>
        <color auto="1"/>
        <name val="Arial"/>
        <scheme val="none"/>
      </font>
      <numFmt numFmtId="165" formatCode="0.000"/>
      <fill>
        <patternFill patternType="solid">
          <fgColor indexed="64"/>
          <bgColor rgb="FFCCFFCC"/>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65" formatCode="0.000"/>
      <fill>
        <patternFill patternType="solid">
          <fgColor indexed="64"/>
          <bgColor rgb="FFCCFFCC"/>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65" formatCode="0.000"/>
      <fill>
        <patternFill patternType="solid">
          <fgColor indexed="64"/>
          <bgColor theme="0" tint="-0.1499984740745262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65" formatCode="0.000"/>
      <fill>
        <patternFill patternType="solid">
          <fgColor indexed="64"/>
          <bgColor rgb="FFCCFFCC"/>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65" formatCode="0.000"/>
      <fill>
        <patternFill patternType="solid">
          <fgColor indexed="64"/>
          <bgColor rgb="FFCCFFCC"/>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65" formatCode="0.000"/>
      <fill>
        <patternFill patternType="solid">
          <fgColor indexed="64"/>
          <bgColor theme="0" tint="-0.1499984740745262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65" formatCode="0.000"/>
      <fill>
        <patternFill patternType="solid">
          <fgColor indexed="64"/>
          <bgColor rgb="FFCCFFCC"/>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6"/>
        <color auto="1"/>
        <name val="Arial"/>
        <scheme val="none"/>
      </font>
      <numFmt numFmtId="165" formatCode="0.000"/>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65" formatCode="0.000"/>
      <fill>
        <patternFill patternType="solid">
          <fgColor indexed="64"/>
          <bgColor rgb="FFCCFFCC"/>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numFmt numFmtId="165" formatCode="0.000"/>
      <fill>
        <patternFill patternType="solid">
          <fgColor indexed="64"/>
          <bgColor rgb="FFCCFFCC"/>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Arial"/>
        <scheme val="none"/>
      </font>
      <fill>
        <patternFill patternType="solid">
          <fgColor indexed="9"/>
          <bgColor indexed="1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9"/>
          <bgColor indexed="1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solid">
          <fgColor indexed="9"/>
          <bgColor indexed="15"/>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sz val="9"/>
        <color auto="1"/>
        <name val="Arial"/>
        <scheme val="none"/>
      </font>
      <alignment vertical="top" textRotation="0" indent="0" justifyLastLine="0" shrinkToFit="0" readingOrder="0"/>
      <protection locked="1" hidden="0"/>
    </dxf>
    <dxf>
      <border outline="0">
        <bottom style="thin">
          <color indexed="64"/>
        </bottom>
      </border>
    </dxf>
    <dxf>
      <font>
        <b/>
        <strike val="0"/>
        <outline val="0"/>
        <shadow val="0"/>
        <u val="none"/>
        <vertAlign val="baseline"/>
        <sz val="9"/>
        <color theme="0"/>
        <name val="Arial"/>
        <scheme val="none"/>
      </font>
      <fill>
        <patternFill patternType="solid">
          <fgColor indexed="64"/>
          <bgColor rgb="FF008080"/>
        </patternFill>
      </fill>
      <alignment horizontal="general" vertical="top" textRotation="0" wrapText="0" indent="0" justifyLastLine="0" shrinkToFit="0" readingOrder="0"/>
      <protection locked="1" hidden="0"/>
    </dxf>
    <dxf>
      <numFmt numFmtId="0" formatCode="General"/>
      <border diagonalUp="0" diagonalDown="0">
        <left style="thin">
          <color indexed="64"/>
        </left>
        <right style="thin">
          <color indexed="64"/>
        </right>
        <top style="thin">
          <color indexed="64"/>
        </top>
        <bottom style="thin">
          <color indexed="64"/>
        </bottom>
        <vertical/>
        <horizontal/>
      </border>
      <protection locked="1"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border diagonalUp="0" diagonalDown="0">
        <left style="thin">
          <color indexed="64"/>
        </left>
        <right style="thin">
          <color indexed="64"/>
        </right>
        <top style="thin">
          <color indexed="64"/>
        </top>
        <bottom style="thin">
          <color indexed="64"/>
        </bottom>
        <vertical/>
        <horizontal/>
      </border>
      <protection locked="1"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scheme val="none"/>
      </font>
      <numFmt numFmtId="165" formatCode="0.000"/>
      <fill>
        <patternFill patternType="solid">
          <fgColor indexed="64"/>
          <bgColor rgb="FFCCFFCC"/>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fill>
        <patternFill patternType="solid">
          <fgColor indexed="64"/>
          <bgColor rgb="FFCCFFCC"/>
        </patternFill>
      </fill>
      <alignment horizontal="center" vertical="bottom" textRotation="0" wrapText="1" indent="0" justifyLastLine="0" shrinkToFit="0" readingOrder="0"/>
      <border diagonalUp="0" diagonalDown="0" outline="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outline="0">
        <left/>
        <right style="thin">
          <color indexed="64"/>
        </right>
        <top style="thin">
          <color indexed="0"/>
        </top>
        <bottom style="thin">
          <color indexed="0"/>
        </bottom>
      </border>
      <protection locked="1" hidden="0"/>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right/>
        <top style="thin">
          <color indexed="0"/>
        </top>
        <bottom style="thin">
          <color indexed="0"/>
        </bottom>
      </border>
      <protection locked="1" hidden="0"/>
    </dxf>
    <dxf>
      <font>
        <b val="0"/>
        <i val="0"/>
        <strike val="0"/>
        <condense val="0"/>
        <extend val="0"/>
        <outline val="0"/>
        <shadow val="0"/>
        <u val="none"/>
        <vertAlign val="baseline"/>
        <sz val="10"/>
        <color auto="1"/>
        <name val="Arial"/>
        <scheme val="none"/>
      </font>
      <numFmt numFmtId="0" formatCode="General"/>
      <alignment horizontal="center" vertical="bottom" textRotation="0" wrapText="1" indent="0" justifyLastLine="0" shrinkToFit="0" readingOrder="0"/>
      <border diagonalUp="0" diagonalDown="0" outline="0">
        <left/>
        <right/>
        <top style="thin">
          <color indexed="0"/>
        </top>
        <bottom style="thin">
          <color indexed="0"/>
        </bottom>
      </border>
    </dxf>
    <dxf>
      <border outline="0">
        <left style="thin">
          <color indexed="0"/>
        </left>
      </border>
    </dxf>
  </dxfs>
  <tableStyles count="0" defaultTableStyle="TableStyleMedium9" defaultPivotStyle="PivotStyleLight16"/>
  <colors>
    <mruColors>
      <color rgb="FFCCFFCC"/>
      <color rgb="FF00CC99"/>
      <color rgb="FF009999"/>
      <color rgb="FFFFFFCC"/>
      <color rgb="FF008080"/>
      <color rgb="FF00CC66"/>
      <color rgb="FFCCFFFF"/>
      <color rgb="FFFFCCCC"/>
      <color rgb="FFF2DCDB"/>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hyperlink" Target="#Acute_risk_assessment_children"/><Relationship Id="rId2" Type="http://schemas.openxmlformats.org/officeDocument/2006/relationships/hyperlink" Target="#Chronic_risk_assessment"/><Relationship Id="rId1" Type="http://schemas.openxmlformats.org/officeDocument/2006/relationships/hyperlink" Target="#Results_overview"/><Relationship Id="rId4" Type="http://schemas.openxmlformats.org/officeDocument/2006/relationships/hyperlink" Target="#Acute_risk_assessment_adults"/></Relationships>
</file>

<file path=xl/drawings/_rels/drawing3.xml.rels><?xml version="1.0" encoding="UTF-8" standalone="yes"?>
<Relationships xmlns="http://schemas.openxmlformats.org/package/2006/relationships"><Relationship Id="rId3" Type="http://schemas.openxmlformats.org/officeDocument/2006/relationships/hyperlink" Target="#Acute_risk_assessment_children"/><Relationship Id="rId2" Type="http://schemas.openxmlformats.org/officeDocument/2006/relationships/hyperlink" Target="#Chronic_risk_assessment"/><Relationship Id="rId1" Type="http://schemas.openxmlformats.org/officeDocument/2006/relationships/image" Target="../media/image1.jpeg"/><Relationship Id="rId5" Type="http://schemas.openxmlformats.org/officeDocument/2006/relationships/hyperlink" Target="#input_values_for_dietary_risk_assessment"/><Relationship Id="rId4" Type="http://schemas.openxmlformats.org/officeDocument/2006/relationships/hyperlink" Target="#Acute_risk_assessment_adults"/></Relationships>
</file>

<file path=xl/drawings/_rels/drawing5.xml.rels><?xml version="1.0" encoding="UTF-8" standalone="yes"?>
<Relationships xmlns="http://schemas.openxmlformats.org/package/2006/relationships"><Relationship Id="rId3" Type="http://schemas.openxmlformats.org/officeDocument/2006/relationships/hyperlink" Target="#Results_overview"/><Relationship Id="rId2" Type="http://schemas.openxmlformats.org/officeDocument/2006/relationships/hyperlink" Target="#Chronic_risk_assessment"/><Relationship Id="rId1" Type="http://schemas.openxmlformats.org/officeDocument/2006/relationships/hyperlink" Target="#input_values_for_dietary_risk_assessment"/></Relationships>
</file>

<file path=xl/drawings/_rels/drawing6.xml.rels><?xml version="1.0" encoding="UTF-8" standalone="yes"?>
<Relationships xmlns="http://schemas.openxmlformats.org/package/2006/relationships"><Relationship Id="rId2" Type="http://schemas.openxmlformats.org/officeDocument/2006/relationships/hyperlink" Target="#input_values_for_dietary_risk_assessment"/><Relationship Id="rId1" Type="http://schemas.openxmlformats.org/officeDocument/2006/relationships/hyperlink" Target="#Results_overview"/></Relationships>
</file>

<file path=xl/drawings/_rels/drawing7.xml.rels><?xml version="1.0" encoding="UTF-8" standalone="yes"?>
<Relationships xmlns="http://schemas.openxmlformats.org/package/2006/relationships"><Relationship Id="rId2" Type="http://schemas.openxmlformats.org/officeDocument/2006/relationships/hyperlink" Target="#input_values_for_dietary_risk_assessment"/><Relationship Id="rId1" Type="http://schemas.openxmlformats.org/officeDocument/2006/relationships/hyperlink" Target="#Results_overview"/></Relationships>
</file>

<file path=xl/drawings/_rels/drawing8.xml.rels><?xml version="1.0" encoding="UTF-8" standalone="yes"?>
<Relationships xmlns="http://schemas.openxmlformats.org/package/2006/relationships"><Relationship Id="rId2" Type="http://schemas.openxmlformats.org/officeDocument/2006/relationships/hyperlink" Target="#input_values_for_dietary_risk_assessment"/><Relationship Id="rId1" Type="http://schemas.openxmlformats.org/officeDocument/2006/relationships/hyperlink" Target="#Results_overview"/></Relationships>
</file>

<file path=xl/drawings/_rels/drawing9.xml.rels><?xml version="1.0" encoding="UTF-8" standalone="yes"?>
<Relationships xmlns="http://schemas.openxmlformats.org/package/2006/relationships"><Relationship Id="rId2" Type="http://schemas.openxmlformats.org/officeDocument/2006/relationships/hyperlink" Target="#input_values_for_dietary_risk_assessment"/><Relationship Id="rId1" Type="http://schemas.openxmlformats.org/officeDocument/2006/relationships/hyperlink" Target="#Results_overview"/></Relationships>
</file>

<file path=xl/drawings/drawing1.xml><?xml version="1.0" encoding="utf-8"?>
<xdr:wsDr xmlns:xdr="http://schemas.openxmlformats.org/drawingml/2006/spreadsheetDrawing" xmlns:a="http://schemas.openxmlformats.org/drawingml/2006/main">
  <xdr:twoCellAnchor>
    <xdr:from>
      <xdr:col>1</xdr:col>
      <xdr:colOff>807720</xdr:colOff>
      <xdr:row>0</xdr:row>
      <xdr:rowOff>68580</xdr:rowOff>
    </xdr:from>
    <xdr:to>
      <xdr:col>2</xdr:col>
      <xdr:colOff>1607820</xdr:colOff>
      <xdr:row>4</xdr:row>
      <xdr:rowOff>114300</xdr:rowOff>
    </xdr:to>
    <xdr:sp macro="[0]!Copy_MRLs_to_input_values" textlink="">
      <xdr:nvSpPr>
        <xdr:cNvPr id="2" name="Rounded Rectangle 1">
          <a:extLst>
            <a:ext uri="{FF2B5EF4-FFF2-40B4-BE49-F238E27FC236}">
              <a16:creationId xmlns:a16="http://schemas.microsoft.com/office/drawing/2014/main" id="{00000000-0008-0000-0100-000002000000}"/>
            </a:ext>
          </a:extLst>
        </xdr:cNvPr>
        <xdr:cNvSpPr/>
      </xdr:nvSpPr>
      <xdr:spPr>
        <a:xfrm>
          <a:off x="807720" y="68580"/>
          <a:ext cx="1638300" cy="7162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Copy</a:t>
          </a:r>
          <a:r>
            <a:rPr lang="en-GB" sz="1100" b="1" baseline="0"/>
            <a:t> MRLs to spreadsheet "input_values" </a:t>
          </a:r>
          <a:endParaRPr lang="en-GB" sz="1100" b="1"/>
        </a:p>
      </xdr:txBody>
    </xdr:sp>
    <xdr:clientData/>
  </xdr:twoCellAnchor>
  <xdr:twoCellAnchor>
    <xdr:from>
      <xdr:col>2</xdr:col>
      <xdr:colOff>1882140</xdr:colOff>
      <xdr:row>0</xdr:row>
      <xdr:rowOff>76200</xdr:rowOff>
    </xdr:from>
    <xdr:to>
      <xdr:col>4</xdr:col>
      <xdr:colOff>464820</xdr:colOff>
      <xdr:row>4</xdr:row>
      <xdr:rowOff>121920</xdr:rowOff>
    </xdr:to>
    <xdr:sp macro="[0]!Reset_MRL_input_sheet" textlink="">
      <xdr:nvSpPr>
        <xdr:cNvPr id="4" name="Rounded Rectangle 3">
          <a:extLst>
            <a:ext uri="{FF2B5EF4-FFF2-40B4-BE49-F238E27FC236}">
              <a16:creationId xmlns:a16="http://schemas.microsoft.com/office/drawing/2014/main" id="{00000000-0008-0000-0100-000004000000}"/>
            </a:ext>
          </a:extLst>
        </xdr:cNvPr>
        <xdr:cNvSpPr/>
      </xdr:nvSpPr>
      <xdr:spPr>
        <a:xfrm>
          <a:off x="2720340" y="76200"/>
          <a:ext cx="2019300" cy="7162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Reset </a:t>
          </a:r>
        </a:p>
        <a:p>
          <a:pPr algn="ctr"/>
          <a:r>
            <a:rPr lang="en-GB" sz="1100" b="1"/>
            <a:t>(delete MRLs and LOQs form MRL import</a:t>
          </a:r>
          <a:r>
            <a:rPr lang="en-GB" sz="1100" b="1" baseline="0"/>
            <a:t> spreadsheet)</a:t>
          </a:r>
          <a:endParaRPr lang="en-GB"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95252</xdr:colOff>
      <xdr:row>0</xdr:row>
      <xdr:rowOff>47625</xdr:rowOff>
    </xdr:from>
    <xdr:to>
      <xdr:col>9</xdr:col>
      <xdr:colOff>190502</xdr:colOff>
      <xdr:row>0</xdr:row>
      <xdr:rowOff>357225</xdr:rowOff>
    </xdr:to>
    <xdr:sp macro="[0]!Reset" textlink="">
      <xdr:nvSpPr>
        <xdr:cNvPr id="3" name="Rounded Rectangle 2">
          <a:extLst>
            <a:ext uri="{FF2B5EF4-FFF2-40B4-BE49-F238E27FC236}">
              <a16:creationId xmlns:a16="http://schemas.microsoft.com/office/drawing/2014/main" id="{00000000-0008-0000-0200-000003000000}"/>
            </a:ext>
          </a:extLst>
        </xdr:cNvPr>
        <xdr:cNvSpPr/>
      </xdr:nvSpPr>
      <xdr:spPr>
        <a:xfrm>
          <a:off x="7012783" y="47625"/>
          <a:ext cx="1809750" cy="309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GB" sz="1600"/>
            <a:t>Reset</a:t>
          </a:r>
        </a:p>
      </xdr:txBody>
    </xdr:sp>
    <xdr:clientData/>
  </xdr:twoCellAnchor>
  <xdr:twoCellAnchor>
    <xdr:from>
      <xdr:col>7</xdr:col>
      <xdr:colOff>83344</xdr:colOff>
      <xdr:row>0</xdr:row>
      <xdr:rowOff>428626</xdr:rowOff>
    </xdr:from>
    <xdr:to>
      <xdr:col>11</xdr:col>
      <xdr:colOff>783770</xdr:colOff>
      <xdr:row>1</xdr:row>
      <xdr:rowOff>190538</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355001" y="428626"/>
          <a:ext cx="4477769" cy="30619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GB" sz="1600"/>
            <a:t>Results - Overview</a:t>
          </a:r>
        </a:p>
      </xdr:txBody>
    </xdr:sp>
    <xdr:clientData/>
  </xdr:twoCellAnchor>
  <xdr:twoCellAnchor>
    <xdr:from>
      <xdr:col>7</xdr:col>
      <xdr:colOff>59532</xdr:colOff>
      <xdr:row>3</xdr:row>
      <xdr:rowOff>130969</xdr:rowOff>
    </xdr:from>
    <xdr:to>
      <xdr:col>11</xdr:col>
      <xdr:colOff>729343</xdr:colOff>
      <xdr:row>4</xdr:row>
      <xdr:rowOff>202407</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7331189" y="1654969"/>
          <a:ext cx="4447154" cy="419781"/>
        </a:xfrm>
        <a:prstGeom prst="roundRect">
          <a:avLst>
            <a:gd name="adj"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GB" sz="1600"/>
            <a:t>Details - chronic risk assessment</a:t>
          </a:r>
        </a:p>
      </xdr:txBody>
    </xdr:sp>
    <xdr:clientData/>
  </xdr:twoCellAnchor>
  <xdr:twoCellAnchor>
    <xdr:from>
      <xdr:col>7</xdr:col>
      <xdr:colOff>59531</xdr:colOff>
      <xdr:row>1</xdr:row>
      <xdr:rowOff>273843</xdr:rowOff>
    </xdr:from>
    <xdr:to>
      <xdr:col>11</xdr:col>
      <xdr:colOff>751114</xdr:colOff>
      <xdr:row>1</xdr:row>
      <xdr:rowOff>583408</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7331188" y="818129"/>
          <a:ext cx="4468926" cy="3095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GB" sz="1600"/>
            <a:t>Details -</a:t>
          </a:r>
          <a:r>
            <a:rPr lang="en-GB" sz="1600" baseline="0"/>
            <a:t> acute risk assessment/children</a:t>
          </a:r>
          <a:endParaRPr lang="en-GB" sz="1600"/>
        </a:p>
      </xdr:txBody>
    </xdr:sp>
    <xdr:clientData/>
  </xdr:twoCellAnchor>
  <xdr:twoCellAnchor>
    <xdr:from>
      <xdr:col>7</xdr:col>
      <xdr:colOff>59531</xdr:colOff>
      <xdr:row>2</xdr:row>
      <xdr:rowOff>59531</xdr:rowOff>
    </xdr:from>
    <xdr:to>
      <xdr:col>11</xdr:col>
      <xdr:colOff>762000</xdr:colOff>
      <xdr:row>3</xdr:row>
      <xdr:rowOff>23812</xdr:rowOff>
    </xdr:to>
    <xdr:sp macro="" textlink="">
      <xdr:nvSpPr>
        <xdr:cNvPr id="10" name="Rounded Rectangle 9">
          <a:hlinkClick xmlns:r="http://schemas.openxmlformats.org/officeDocument/2006/relationships" r:id="rId4"/>
          <a:extLst>
            <a:ext uri="{FF2B5EF4-FFF2-40B4-BE49-F238E27FC236}">
              <a16:creationId xmlns:a16="http://schemas.microsoft.com/office/drawing/2014/main" id="{00000000-0008-0000-0200-00000A000000}"/>
            </a:ext>
          </a:extLst>
        </xdr:cNvPr>
        <xdr:cNvSpPr/>
      </xdr:nvSpPr>
      <xdr:spPr>
        <a:xfrm>
          <a:off x="7331188" y="1235188"/>
          <a:ext cx="4479812" cy="3126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GB" sz="1600"/>
            <a:t>Details - acute</a:t>
          </a:r>
          <a:r>
            <a:rPr lang="en-GB" sz="1600" baseline="0"/>
            <a:t> risk assessment/adults</a:t>
          </a:r>
          <a:endParaRPr lang="en-GB" sz="1600"/>
        </a:p>
      </xdr:txBody>
    </xdr:sp>
    <xdr:clientData/>
  </xdr:twoCellAnchor>
  <xdr:twoCellAnchor>
    <xdr:from>
      <xdr:col>9</xdr:col>
      <xdr:colOff>261258</xdr:colOff>
      <xdr:row>0</xdr:row>
      <xdr:rowOff>54429</xdr:rowOff>
    </xdr:from>
    <xdr:to>
      <xdr:col>11</xdr:col>
      <xdr:colOff>772886</xdr:colOff>
      <xdr:row>0</xdr:row>
      <xdr:rowOff>364029</xdr:rowOff>
    </xdr:to>
    <xdr:sp macro="[0]!EnableOutliningWithProtection_AllSheets" textlink="">
      <xdr:nvSpPr>
        <xdr:cNvPr id="13" name="Rounded Rectangle 12">
          <a:extLst>
            <a:ext uri="{FF2B5EF4-FFF2-40B4-BE49-F238E27FC236}">
              <a16:creationId xmlns:a16="http://schemas.microsoft.com/office/drawing/2014/main" id="{00000000-0008-0000-0200-00000D000000}"/>
            </a:ext>
          </a:extLst>
        </xdr:cNvPr>
        <xdr:cNvSpPr/>
      </xdr:nvSpPr>
      <xdr:spPr>
        <a:xfrm>
          <a:off x="9394372" y="54429"/>
          <a:ext cx="2427514" cy="309600"/>
        </a:xfrm>
        <a:prstGeom prst="roundRect">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 lastClr="FFFFFF"/>
              </a:solidFill>
              <a:effectLst/>
              <a:uLnTx/>
              <a:uFillTx/>
              <a:latin typeface="Calibri"/>
              <a:ea typeface="+mn-ea"/>
              <a:cs typeface="+mn-cs"/>
            </a:rPr>
            <a:t>Allow expand/collapse function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361950</xdr:colOff>
      <xdr:row>0</xdr:row>
      <xdr:rowOff>28575</xdr:rowOff>
    </xdr:from>
    <xdr:to>
      <xdr:col>2</xdr:col>
      <xdr:colOff>1323975</xdr:colOff>
      <xdr:row>6</xdr:row>
      <xdr:rowOff>133350</xdr:rowOff>
    </xdr:to>
    <xdr:pic>
      <xdr:nvPicPr>
        <xdr:cNvPr id="49314" name="Picture 185">
          <a:extLst>
            <a:ext uri="{FF2B5EF4-FFF2-40B4-BE49-F238E27FC236}">
              <a16:creationId xmlns:a16="http://schemas.microsoft.com/office/drawing/2014/main" id="{00000000-0008-0000-0300-0000A2C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 y="28575"/>
          <a:ext cx="2524125" cy="1257300"/>
        </a:xfrm>
        <a:prstGeom prst="rect">
          <a:avLst/>
        </a:prstGeom>
        <a:noFill/>
        <a:ln w="9525">
          <a:noFill/>
          <a:miter lim="800000"/>
          <a:headEnd/>
          <a:tailEnd/>
        </a:ln>
      </xdr:spPr>
    </xdr:pic>
    <xdr:clientData/>
  </xdr:twoCellAnchor>
  <xdr:twoCellAnchor>
    <xdr:from>
      <xdr:col>11</xdr:col>
      <xdr:colOff>247650</xdr:colOff>
      <xdr:row>1</xdr:row>
      <xdr:rowOff>333375</xdr:rowOff>
    </xdr:from>
    <xdr:to>
      <xdr:col>14</xdr:col>
      <xdr:colOff>15900</xdr:colOff>
      <xdr:row>5</xdr:row>
      <xdr:rowOff>59550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11391900" y="428625"/>
          <a:ext cx="2340000" cy="61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400">
              <a:solidFill>
                <a:schemeClr val="lt1"/>
              </a:solidFill>
              <a:latin typeface="+mn-lt"/>
              <a:ea typeface="+mn-ea"/>
              <a:cs typeface="+mn-cs"/>
            </a:rPr>
            <a:t>Details</a:t>
          </a:r>
          <a:r>
            <a:rPr lang="en-GB" sz="1400"/>
            <a:t> - chronic risk assessment</a:t>
          </a:r>
        </a:p>
      </xdr:txBody>
    </xdr:sp>
    <xdr:clientData/>
  </xdr:twoCellAnchor>
  <xdr:twoCellAnchor>
    <xdr:from>
      <xdr:col>1</xdr:col>
      <xdr:colOff>36513</xdr:colOff>
      <xdr:row>56</xdr:row>
      <xdr:rowOff>436562</xdr:rowOff>
    </xdr:from>
    <xdr:to>
      <xdr:col>4</xdr:col>
      <xdr:colOff>573087</xdr:colOff>
      <xdr:row>56</xdr:row>
      <xdr:rowOff>775493</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512763" y="10952162"/>
          <a:ext cx="3813174" cy="33893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Details -</a:t>
          </a:r>
          <a:r>
            <a:rPr lang="en-GB" sz="1600" baseline="0"/>
            <a:t> acute risk assessment /children</a:t>
          </a:r>
          <a:endParaRPr lang="en-GB" sz="1600"/>
        </a:p>
      </xdr:txBody>
    </xdr:sp>
    <xdr:clientData/>
  </xdr:twoCellAnchor>
  <xdr:twoCellAnchor>
    <xdr:from>
      <xdr:col>5</xdr:col>
      <xdr:colOff>272255</xdr:colOff>
      <xdr:row>56</xdr:row>
      <xdr:rowOff>441324</xdr:rowOff>
    </xdr:from>
    <xdr:to>
      <xdr:col>8</xdr:col>
      <xdr:colOff>445294</xdr:colOff>
      <xdr:row>56</xdr:row>
      <xdr:rowOff>761206</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4806155" y="10956924"/>
          <a:ext cx="3487739" cy="31988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Details - acute</a:t>
          </a:r>
          <a:r>
            <a:rPr lang="en-GB" sz="1600" baseline="0"/>
            <a:t> risk assessment/adults</a:t>
          </a:r>
          <a:endParaRPr lang="en-GB" sz="1600"/>
        </a:p>
      </xdr:txBody>
    </xdr:sp>
    <xdr:clientData/>
  </xdr:twoCellAnchor>
  <xdr:twoCellAnchor>
    <xdr:from>
      <xdr:col>11</xdr:col>
      <xdr:colOff>238125</xdr:colOff>
      <xdr:row>0</xdr:row>
      <xdr:rowOff>64294</xdr:rowOff>
    </xdr:from>
    <xdr:to>
      <xdr:col>15</xdr:col>
      <xdr:colOff>619125</xdr:colOff>
      <xdr:row>1</xdr:row>
      <xdr:rowOff>285750</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11382375" y="64294"/>
          <a:ext cx="4800600" cy="3167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Input values</a:t>
          </a:r>
        </a:p>
      </xdr:txBody>
    </xdr:sp>
    <xdr:clientData/>
  </xdr:twoCellAnchor>
  <xdr:twoCellAnchor>
    <xdr:from>
      <xdr:col>11</xdr:col>
      <xdr:colOff>238125</xdr:colOff>
      <xdr:row>5</xdr:row>
      <xdr:rowOff>95249</xdr:rowOff>
    </xdr:from>
    <xdr:to>
      <xdr:col>14</xdr:col>
      <xdr:colOff>6375</xdr:colOff>
      <xdr:row>7</xdr:row>
      <xdr:rowOff>183374</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300-000009000000}"/>
            </a:ext>
          </a:extLst>
        </xdr:cNvPr>
        <xdr:cNvSpPr/>
      </xdr:nvSpPr>
      <xdr:spPr>
        <a:xfrm>
          <a:off x="11382375" y="1076324"/>
          <a:ext cx="2340000" cy="61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400"/>
            <a:t>Details -</a:t>
          </a:r>
          <a:r>
            <a:rPr lang="en-GB" sz="1400" baseline="0"/>
            <a:t> acute risk assessment/children</a:t>
          </a:r>
          <a:endParaRPr lang="en-GB" sz="1400"/>
        </a:p>
      </xdr:txBody>
    </xdr:sp>
    <xdr:clientData/>
  </xdr:twoCellAnchor>
  <xdr:twoCellAnchor>
    <xdr:from>
      <xdr:col>14</xdr:col>
      <xdr:colOff>142874</xdr:colOff>
      <xdr:row>5</xdr:row>
      <xdr:rowOff>95248</xdr:rowOff>
    </xdr:from>
    <xdr:to>
      <xdr:col>15</xdr:col>
      <xdr:colOff>635024</xdr:colOff>
      <xdr:row>7</xdr:row>
      <xdr:rowOff>183373</xdr:rowOff>
    </xdr:to>
    <xdr:sp macro="" textlink="">
      <xdr:nvSpPr>
        <xdr:cNvPr id="8" name="Rounded Rectangle 7">
          <a:hlinkClick xmlns:r="http://schemas.openxmlformats.org/officeDocument/2006/relationships" r:id="rId4"/>
          <a:extLst>
            <a:ext uri="{FF2B5EF4-FFF2-40B4-BE49-F238E27FC236}">
              <a16:creationId xmlns:a16="http://schemas.microsoft.com/office/drawing/2014/main" id="{00000000-0008-0000-0300-000008000000}"/>
            </a:ext>
          </a:extLst>
        </xdr:cNvPr>
        <xdr:cNvSpPr/>
      </xdr:nvSpPr>
      <xdr:spPr>
        <a:xfrm>
          <a:off x="13858874" y="1076323"/>
          <a:ext cx="2340000" cy="61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400"/>
            <a:t>Details - acute</a:t>
          </a:r>
          <a:r>
            <a:rPr lang="en-GB" sz="1400" baseline="0"/>
            <a:t> risk assessment/adults</a:t>
          </a:r>
          <a:endParaRPr lang="en-GB" sz="1400"/>
        </a:p>
      </xdr:txBody>
    </xdr:sp>
    <xdr:clientData/>
  </xdr:twoCellAnchor>
  <xdr:twoCellAnchor>
    <xdr:from>
      <xdr:col>9</xdr:col>
      <xdr:colOff>112713</xdr:colOff>
      <xdr:row>56</xdr:row>
      <xdr:rowOff>436562</xdr:rowOff>
    </xdr:from>
    <xdr:to>
      <xdr:col>12</xdr:col>
      <xdr:colOff>687387</xdr:colOff>
      <xdr:row>56</xdr:row>
      <xdr:rowOff>775493</xdr:rowOff>
    </xdr:to>
    <xdr:sp macro="[0]!Hide_IESTI_new" textlink="">
      <xdr:nvSpPr>
        <xdr:cNvPr id="12" name="Rounded Rectangle 11">
          <a:extLst>
            <a:ext uri="{FF2B5EF4-FFF2-40B4-BE49-F238E27FC236}">
              <a16:creationId xmlns:a16="http://schemas.microsoft.com/office/drawing/2014/main" id="{00000000-0008-0000-0300-00000C000000}"/>
            </a:ext>
          </a:extLst>
        </xdr:cNvPr>
        <xdr:cNvSpPr/>
      </xdr:nvSpPr>
      <xdr:spPr>
        <a:xfrm>
          <a:off x="8723313" y="10952162"/>
          <a:ext cx="3813174" cy="33893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Hide IESTI new calculations</a:t>
          </a:r>
        </a:p>
      </xdr:txBody>
    </xdr:sp>
    <xdr:clientData/>
  </xdr:twoCellAnchor>
  <xdr:twoCellAnchor>
    <xdr:from>
      <xdr:col>13</xdr:col>
      <xdr:colOff>303213</xdr:colOff>
      <xdr:row>56</xdr:row>
      <xdr:rowOff>427037</xdr:rowOff>
    </xdr:from>
    <xdr:to>
      <xdr:col>16</xdr:col>
      <xdr:colOff>468312</xdr:colOff>
      <xdr:row>56</xdr:row>
      <xdr:rowOff>765968</xdr:rowOff>
    </xdr:to>
    <xdr:sp macro="[0]!Show_IESTI_new" textlink="">
      <xdr:nvSpPr>
        <xdr:cNvPr id="13" name="Rounded Rectangle 12">
          <a:extLst>
            <a:ext uri="{FF2B5EF4-FFF2-40B4-BE49-F238E27FC236}">
              <a16:creationId xmlns:a16="http://schemas.microsoft.com/office/drawing/2014/main" id="{00000000-0008-0000-0300-00000D000000}"/>
            </a:ext>
          </a:extLst>
        </xdr:cNvPr>
        <xdr:cNvSpPr/>
      </xdr:nvSpPr>
      <xdr:spPr>
        <a:xfrm>
          <a:off x="12914313" y="10942637"/>
          <a:ext cx="3813174" cy="33893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Show IESTI new calculations</a:t>
          </a:r>
        </a:p>
      </xdr:txBody>
    </xdr:sp>
    <xdr:clientData/>
  </xdr:twoCellAnchor>
  <xdr:twoCellAnchor>
    <xdr:from>
      <xdr:col>14</xdr:col>
      <xdr:colOff>123825</xdr:colOff>
      <xdr:row>1</xdr:row>
      <xdr:rowOff>333373</xdr:rowOff>
    </xdr:from>
    <xdr:to>
      <xdr:col>15</xdr:col>
      <xdr:colOff>615975</xdr:colOff>
      <xdr:row>5</xdr:row>
      <xdr:rowOff>59548</xdr:rowOff>
    </xdr:to>
    <xdr:sp macro="[0]!Supplementary_chronic"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300-00000B000000}"/>
            </a:ext>
          </a:extLst>
        </xdr:cNvPr>
        <xdr:cNvSpPr/>
      </xdr:nvSpPr>
      <xdr:spPr>
        <a:xfrm>
          <a:off x="13839825" y="428623"/>
          <a:ext cx="2340000" cy="61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400"/>
            <a:t>Supplementary</a:t>
          </a:r>
          <a:r>
            <a:rPr lang="en-GB" sz="1400" baseline="0"/>
            <a:t> results - chronic risk assessment</a:t>
          </a:r>
          <a:endParaRPr lang="en-GB"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91440</xdr:colOff>
      <xdr:row>1</xdr:row>
      <xdr:rowOff>7620</xdr:rowOff>
    </xdr:from>
    <xdr:to>
      <xdr:col>3</xdr:col>
      <xdr:colOff>7620</xdr:colOff>
      <xdr:row>2</xdr:row>
      <xdr:rowOff>160020</xdr:rowOff>
    </xdr:to>
    <xdr:sp macro="[0]!Update_input_table" textlink="">
      <xdr:nvSpPr>
        <xdr:cNvPr id="3" name="Rounded Rectangle 2">
          <a:extLst>
            <a:ext uri="{FF2B5EF4-FFF2-40B4-BE49-F238E27FC236}">
              <a16:creationId xmlns:a16="http://schemas.microsoft.com/office/drawing/2014/main" id="{00000000-0008-0000-0400-000003000000}"/>
            </a:ext>
          </a:extLst>
        </xdr:cNvPr>
        <xdr:cNvSpPr/>
      </xdr:nvSpPr>
      <xdr:spPr>
        <a:xfrm>
          <a:off x="91440" y="175260"/>
          <a:ext cx="1874520" cy="3200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b="1"/>
            <a:t>Update input</a:t>
          </a:r>
          <a:r>
            <a:rPr lang="en-GB" sz="1200" b="1" baseline="0"/>
            <a:t> table</a:t>
          </a:r>
        </a:p>
        <a:p>
          <a:pPr algn="l"/>
          <a:endParaRPr lang="en-GB" sz="12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300037</xdr:colOff>
      <xdr:row>1</xdr:row>
      <xdr:rowOff>16669</xdr:rowOff>
    </xdr:from>
    <xdr:to>
      <xdr:col>9</xdr:col>
      <xdr:colOff>895350</xdr:colOff>
      <xdr:row>1</xdr:row>
      <xdr:rowOff>333375</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5395912" y="111919"/>
          <a:ext cx="4633913" cy="3167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Input values</a:t>
          </a:r>
        </a:p>
      </xdr:txBody>
    </xdr:sp>
    <xdr:clientData/>
  </xdr:twoCellAnchor>
  <xdr:twoCellAnchor>
    <xdr:from>
      <xdr:col>5</xdr:col>
      <xdr:colOff>285750</xdr:colOff>
      <xdr:row>5</xdr:row>
      <xdr:rowOff>19050</xdr:rowOff>
    </xdr:from>
    <xdr:to>
      <xdr:col>9</xdr:col>
      <xdr:colOff>891382</xdr:colOff>
      <xdr:row>6</xdr:row>
      <xdr:rowOff>152400</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0500-00000A000000}"/>
            </a:ext>
          </a:extLst>
        </xdr:cNvPr>
        <xdr:cNvSpPr/>
      </xdr:nvSpPr>
      <xdr:spPr>
        <a:xfrm>
          <a:off x="5381625" y="1000125"/>
          <a:ext cx="4644232"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Details - chronic risk assessment</a:t>
          </a:r>
        </a:p>
      </xdr:txBody>
    </xdr:sp>
    <xdr:clientData/>
  </xdr:twoCellAnchor>
  <xdr:twoCellAnchor>
    <xdr:from>
      <xdr:col>5</xdr:col>
      <xdr:colOff>295275</xdr:colOff>
      <xdr:row>3</xdr:row>
      <xdr:rowOff>28576</xdr:rowOff>
    </xdr:from>
    <xdr:to>
      <xdr:col>9</xdr:col>
      <xdr:colOff>866775</xdr:colOff>
      <xdr:row>4</xdr:row>
      <xdr:rowOff>161926</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500-00000C000000}"/>
            </a:ext>
          </a:extLst>
        </xdr:cNvPr>
        <xdr:cNvSpPr/>
      </xdr:nvSpPr>
      <xdr:spPr>
        <a:xfrm>
          <a:off x="5391150" y="552451"/>
          <a:ext cx="46101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Go back to results - Overview</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96952</xdr:colOff>
      <xdr:row>0</xdr:row>
      <xdr:rowOff>85725</xdr:rowOff>
    </xdr:from>
    <xdr:to>
      <xdr:col>6</xdr:col>
      <xdr:colOff>891950</xdr:colOff>
      <xdr:row>0</xdr:row>
      <xdr:rowOff>395325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3275921" y="85725"/>
          <a:ext cx="2438060" cy="309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Results - Overview</a:t>
          </a:r>
        </a:p>
      </xdr:txBody>
    </xdr:sp>
    <xdr:clientData/>
  </xdr:twoCellAnchor>
  <xdr:twoCellAnchor>
    <xdr:from>
      <xdr:col>3</xdr:col>
      <xdr:colOff>101033</xdr:colOff>
      <xdr:row>0</xdr:row>
      <xdr:rowOff>453118</xdr:rowOff>
    </xdr:from>
    <xdr:to>
      <xdr:col>6</xdr:col>
      <xdr:colOff>891950</xdr:colOff>
      <xdr:row>0</xdr:row>
      <xdr:rowOff>755915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3280002" y="453118"/>
          <a:ext cx="2433979" cy="30279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Input values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47625</xdr:rowOff>
    </xdr:from>
    <xdr:to>
      <xdr:col>11</xdr:col>
      <xdr:colOff>876300</xdr:colOff>
      <xdr:row>1</xdr:row>
      <xdr:rowOff>23850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2819400" y="47625"/>
          <a:ext cx="2981325" cy="3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Results - Overview</a:t>
          </a:r>
        </a:p>
      </xdr:txBody>
    </xdr:sp>
    <xdr:clientData/>
  </xdr:twoCellAnchor>
  <xdr:twoCellAnchor>
    <xdr:from>
      <xdr:col>5</xdr:col>
      <xdr:colOff>0</xdr:colOff>
      <xdr:row>1</xdr:row>
      <xdr:rowOff>142875</xdr:rowOff>
    </xdr:from>
    <xdr:to>
      <xdr:col>11</xdr:col>
      <xdr:colOff>885825</xdr:colOff>
      <xdr:row>3</xdr:row>
      <xdr:rowOff>11944</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2819400" y="466725"/>
          <a:ext cx="2990850" cy="2976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Input values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47626</xdr:colOff>
      <xdr:row>0</xdr:row>
      <xdr:rowOff>47625</xdr:rowOff>
    </xdr:from>
    <xdr:to>
      <xdr:col>10</xdr:col>
      <xdr:colOff>666751</xdr:colOff>
      <xdr:row>1</xdr:row>
      <xdr:rowOff>37</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3536157" y="47625"/>
          <a:ext cx="4488657" cy="309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Results - Overview</a:t>
          </a:r>
        </a:p>
      </xdr:txBody>
    </xdr:sp>
    <xdr:clientData/>
  </xdr:twoCellAnchor>
  <xdr:twoCellAnchor>
    <xdr:from>
      <xdr:col>5</xdr:col>
      <xdr:colOff>47625</xdr:colOff>
      <xdr:row>1</xdr:row>
      <xdr:rowOff>83343</xdr:rowOff>
    </xdr:from>
    <xdr:to>
      <xdr:col>10</xdr:col>
      <xdr:colOff>666750</xdr:colOff>
      <xdr:row>2</xdr:row>
      <xdr:rowOff>47662</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3536156" y="440531"/>
          <a:ext cx="4488657" cy="309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a:t>Input values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122126</xdr:colOff>
      <xdr:row>0</xdr:row>
      <xdr:rowOff>60553</xdr:rowOff>
    </xdr:from>
    <xdr:to>
      <xdr:col>7</xdr:col>
      <xdr:colOff>426924</xdr:colOff>
      <xdr:row>0</xdr:row>
      <xdr:rowOff>370153</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2212183" y="60553"/>
          <a:ext cx="2492827" cy="309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800"/>
            <a:t>Results - Overview</a:t>
          </a:r>
        </a:p>
      </xdr:txBody>
    </xdr:sp>
    <xdr:clientData/>
  </xdr:twoCellAnchor>
  <xdr:twoCellAnchor>
    <xdr:from>
      <xdr:col>4</xdr:col>
      <xdr:colOff>100354</xdr:colOff>
      <xdr:row>0</xdr:row>
      <xdr:rowOff>430666</xdr:rowOff>
    </xdr:from>
    <xdr:to>
      <xdr:col>7</xdr:col>
      <xdr:colOff>395628</xdr:colOff>
      <xdr:row>1</xdr:row>
      <xdr:rowOff>2078</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2190411" y="430666"/>
          <a:ext cx="2483303" cy="3007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800"/>
            <a:t>Input values</a:t>
          </a:r>
        </a:p>
      </xdr:txBody>
    </xdr:sp>
    <xdr:clientData/>
  </xdr:twoCellAnchor>
</xdr:wsDr>
</file>

<file path=xl/persons/person.xml><?xml version="1.0" encoding="utf-8"?>
<personList xmlns="http://schemas.microsoft.com/office/spreadsheetml/2018/threadedcomments" xmlns:x="http://schemas.openxmlformats.org/spreadsheetml/2006/main">
  <person displayName="REICH Hermine" id="{CA807D40-640C-4827-9648-7043D82F4F9E}" userId="S::Hermine.REICH@efsa.europa.eu::54cf3b41-4ab8-4bf8-88e9-859bcc3e6c0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7:L385" totalsRowShown="0" tableBorderDxfId="794">
  <autoFilter ref="A7:L385" xr:uid="{00000000-0009-0000-0100-000002000000}"/>
  <tableColumns count="12">
    <tableColumn id="1" xr3:uid="{00000000-0010-0000-0000-000001000000}" name="Code numerical" dataDxfId="793"/>
    <tableColumn id="12" xr3:uid="{00000000-0010-0000-0000-00000C000000}" name="Code number" dataDxfId="792"/>
    <tableColumn id="2" xr3:uid="{00000000-0010-0000-0000-000002000000}" name=" Groups and examples of individual products to which the MRLs apply (a)" dataDxfId="791"/>
    <tableColumn id="3" xr3:uid="{00000000-0010-0000-0000-000003000000}" name="Please insert here the MRLs of COM database (use 'paste values' function)" dataDxfId="790"/>
    <tableColumn id="11" xr3:uid="{00000000-0010-0000-0000-00000B000000}" name="MRL" dataDxfId="789" dataCellStyle="Normal 2">
      <calculatedColumnFormula>Table2[[#This Row],[MRL2]]</calculatedColumnFormula>
    </tableColumn>
    <tableColumn id="4" xr3:uid="{00000000-0010-0000-0000-000004000000}" name="LOQ" dataDxfId="133" dataCellStyle="Normal 2">
      <calculatedColumnFormula>Table2[[#This Row],[LOQ2]]</calculatedColumnFormula>
    </tableColumn>
    <tableColumn id="5" xr3:uid="{00000000-0010-0000-0000-000005000000}" name="Length" dataDxfId="788">
      <calculatedColumnFormula>LEN(Table2[[#This Row],[Please insert here the MRLs of COM database (use ''paste values'' function)]])</calculatedColumnFormula>
    </tableColumn>
    <tableColumn id="6" xr3:uid="{00000000-0010-0000-0000-000006000000}" name="(ft)" dataDxfId="787">
      <calculatedColumnFormula>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calculatedColumnFormula>
    </tableColumn>
    <tableColumn id="8" xr3:uid="{00000000-0010-0000-0000-000008000000}" name="length trimmed 1" dataDxfId="786">
      <calculatedColumnFormula>LEN(Table2[[#This Row],[(ft)]])</calculatedColumnFormula>
    </tableColumn>
    <tableColumn id="9" xr3:uid="{00000000-0010-0000-0000-000009000000}" name="MRL_text" dataDxfId="785">
      <calculatedColumnFormula>IF(Table2[[#This Row],[LOQ2]]="*",LEFT(Table2[[#This Row],[(ft)]],Table2[[#This Row],[length trimmed 1]]-1),Table2[[#This Row],[(ft)]])</calculatedColumnFormula>
    </tableColumn>
    <tableColumn id="10" xr3:uid="{00000000-0010-0000-0000-00000A000000}" name="MRL2" dataDxfId="784">
      <calculatedColumnFormula>IF(Table2[[#This Row],[MRL_text]]="","",Table2[[#This Row],[MRL_text]]*1)</calculatedColumnFormula>
    </tableColumn>
    <tableColumn id="7" xr3:uid="{00000000-0010-0000-0000-000007000000}" name="LOQ2" dataDxfId="783">
      <calculatedColumnFormula>IF(RIGHT(Table2[[#This Row],[(ft)]],1)="*","*","")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e22" displayName="Table22" ref="A11:BF391" totalsRowShown="0" headerRowDxfId="782" dataDxfId="780" headerRowBorderDxfId="781" tableBorderDxfId="779" totalsRowBorderDxfId="778">
  <autoFilter ref="A11:BF391" xr:uid="{00000000-0009-0000-0100-000016000000}"/>
  <tableColumns count="58">
    <tableColumn id="1" xr3:uid="{00000000-0010-0000-0100-000001000000}" name="Level" dataDxfId="777"/>
    <tableColumn id="2" xr3:uid="{00000000-0010-0000-0100-000002000000}" name="Code no." dataDxfId="776"/>
    <tableColumn id="4" xr3:uid="{00000000-0010-0000-0100-000004000000}" name="Commodity or group of commodities to which the MRLs apply" dataDxfId="775"/>
    <tableColumn id="31" xr3:uid="{00000000-0010-0000-0100-00001F000000}" name="Source / type of MRL" dataDxfId="774" dataCellStyle="Normal 2"/>
    <tableColumn id="5" xr3:uid="{00000000-0010-0000-0100-000005000000}" name="MRL/ proposed MRL /CXL_x000a_(mg/kg)" dataDxfId="773" dataCellStyle="Normal 2"/>
    <tableColumn id="6" xr3:uid="{00000000-0010-0000-0100-000006000000}" name="LOQ" dataDxfId="772" dataCellStyle="Normal 2"/>
    <tableColumn id="29" xr3:uid="{00000000-0010-0000-0100-00001D000000}" name="CFrisk for residue definition" dataDxfId="771" dataCellStyle="Normal 2"/>
    <tableColumn id="35" xr3:uid="{00000000-0010-0000-0100-000023000000}" name="PeF (peeling factor RD enforcemen)" dataDxfId="770" dataCellStyle="Normal 2"/>
    <tableColumn id="37" xr3:uid="{00000000-0010-0000-0100-000025000000}" name="STMR-RAC (median residue)" dataDxfId="769" dataCellStyle="Normal 2"/>
    <tableColumn id="39" xr3:uid="{00000000-0010-0000-0100-000027000000}" name="HR-RAC (highest residue)" dataDxfId="768" dataCellStyle="Normal 2"/>
    <tableColumn id="58" xr3:uid="{00000000-0010-0000-0100-00003A000000}" name="VF (alternative variability factor)" dataDxfId="767" dataCellStyle="Normal 2"/>
    <tableColumn id="48" xr3:uid="{00000000-0010-0000-0100-000030000000}" name="GAP under assessment" dataDxfId="766"/>
    <tableColumn id="72" xr3:uid="{00000000-0010-0000-0100-000048000000}" name="Post-harvest treatment" dataDxfId="765"/>
    <tableColumn id="14" xr3:uid="{00000000-0010-0000-0100-00000E000000}" name="Chronic RA label" dataDxfId="764"/>
    <tableColumn id="13" xr3:uid="{00000000-0010-0000-0100-00000D000000}" name="Chronic RA input value" dataDxfId="763"/>
    <tableColumn id="15" xr3:uid="{00000000-0010-0000-0100-00000F000000}" name="Acute RA label" dataDxfId="762"/>
    <tableColumn id="12" xr3:uid="{00000000-0010-0000-0100-00000C000000}" name="Acute RA input value" dataDxfId="761"/>
    <tableColumn id="17" xr3:uid="{00000000-0010-0000-0100-000011000000}" name="Acute RA IESTI new label" dataDxfId="760"/>
    <tableColumn id="16" xr3:uid="{00000000-0010-0000-0100-000010000000}" name="Acute RA IESTI new input value" dataDxfId="759"/>
    <tableColumn id="71" xr3:uid="{00000000-0010-0000-0100-000047000000}" name="Comment" dataDxfId="758"/>
    <tableColumn id="7" xr3:uid="{00000000-0010-0000-0100-000007000000}" name="MRL individual commodity" dataDxfId="757"/>
    <tableColumn id="25" xr3:uid="{00000000-0010-0000-0100-000019000000}" name="LOQ_label" dataDxfId="756">
      <calculatedColumnFormula>IF(ISBLANK(F12),"","Y")</calculatedColumnFormula>
    </tableColumn>
    <tableColumn id="44" xr3:uid="{00000000-0010-0000-0100-00002C000000}" name="CF for calculation" dataDxfId="755"/>
    <tableColumn id="45" xr3:uid="{00000000-0010-0000-0100-00002D000000}" name="PeF for calculation" dataDxfId="754"/>
    <tableColumn id="41" xr3:uid="{00000000-0010-0000-0100-000029000000}" name="CF*PeF for calculation" dataDxfId="753"/>
    <tableColumn id="54" xr3:uid="{00000000-0010-0000-0100-000036000000}" name="line to be used for chronic calculation" dataDxfId="752"/>
    <tableColumn id="27" xr3:uid="{00000000-0010-0000-0100-00001B000000}" name="MRL for chronic calculation" dataDxfId="751"/>
    <tableColumn id="26" xr3:uid="{00000000-0010-0000-0100-00001A000000}" name="MRL*CF*PeF (chronic)" dataDxfId="750">
      <calculatedColumnFormula>IF(Z12=A12,IF(AND(L12="N",Table22[[#This Row],[LOQ_label]]="Y"),AA12,$AA12*$Y12),"")</calculatedColumnFormula>
    </tableColumn>
    <tableColumn id="8" xr3:uid="{00000000-0010-0000-0100-000008000000}" name="Median residue*CF*PeF" dataDxfId="749"/>
    <tableColumn id="3" xr3:uid="{00000000-0010-0000-0100-000003000000}" name="input for chronic normal mode" dataDxfId="748">
      <calculatedColumnFormula>IF(Table22[[#This Row],[Median residue*CF*PeF]]&lt;&gt;"",Table22[[#This Row],[Median residue*CF*PeF]],Table22[[#This Row],[MRL*CF*PeF (chronic)]])</calculatedColumnFormula>
    </tableColumn>
    <tableColumn id="64" xr3:uid="{00000000-0010-0000-0100-000040000000}" name="input for chronic (refined mode" dataDxfId="747"/>
    <tableColumn id="53" xr3:uid="{00000000-0010-0000-0100-000035000000}" name="label for chronic calculation" dataDxfId="746">
      <calculatedColumnFormula>IF(Z12&lt;&gt;A12,"",IF(ISBLANK(I12)=FALSE,"STMR-RAC",IF(V12="Y","LOQ","MRL")))</calculatedColumnFormula>
    </tableColumn>
    <tableColumn id="52" xr3:uid="{00000000-0010-0000-0100-000034000000}" name="label connector for IEDI" dataDxfId="745"/>
    <tableColumn id="51" xr3:uid="{00000000-0010-0000-0100-000033000000}" name="label refinements for IEDI" dataDxfId="744">
      <calculatedColumnFormula>IF(OR(AND(AF12="LOQ",L12="N"),AF12=""),"",IF(AND(G12&gt;0,H12&gt;0),"CF*PeF",IF(G12&gt;0,"CF",IF(H12&gt;0,"PeF",""))))</calculatedColumnFormula>
    </tableColumn>
    <tableColumn id="34" xr3:uid="{00000000-0010-0000-0100-000022000000}" name="Level used for acute calculation" dataDxfId="743"/>
    <tableColumn id="28" xr3:uid="{00000000-0010-0000-0100-00001C000000}" name="MRL for acute calculation" dataDxfId="742"/>
    <tableColumn id="11" xr3:uid="{00000000-0010-0000-0100-00000B000000}" name="MRL*CF*PF or MRL (if LOQ and not authorised) (acute RA)" dataDxfId="741">
      <calculatedColumnFormula>IF(AI12=A12,IF(AND(L12="N",Table22[[#This Row],[LOQ_label]]="Y"),AJ12,$AJ12*$Y12),"")</calculatedColumnFormula>
    </tableColumn>
    <tableColumn id="18" xr3:uid="{00000000-0010-0000-0100-000012000000}" name="Highest residue * CF*PF" dataDxfId="740">
      <calculatedColumnFormula>IF(AI12=A12,$J12*$Y12,"")</calculatedColumnFormula>
    </tableColumn>
    <tableColumn id="10" xr3:uid="{00000000-0010-0000-0100-00000A000000}" name="Input for IESTI normal mode" dataDxfId="739">
      <calculatedColumnFormula>IF(Table22[[#This Row],[Highest residue * CF*PF]]&lt;&gt;"",Table22[[#This Row],[Highest residue * CF*PF]],Table22[[#This Row],[MRL*CF*PF or MRL (if LOQ and not authorised) (acute RA)]])</calculatedColumnFormula>
    </tableColumn>
    <tableColumn id="56" xr3:uid="{00000000-0010-0000-0100-000038000000}" name="label for IESTI normal mode" dataDxfId="738">
      <calculatedColumnFormula>IF(AI12&lt;&gt;A12,"",IF(BA12=3,AF12,IF(ISBLANK($J12)=FALSE,"HR-RAC",IF(V12="Y","LOQ","MRL"))))</calculatedColumnFormula>
    </tableColumn>
    <tableColumn id="68" xr3:uid="{00000000-0010-0000-0100-000044000000}" name="label connector for IESTI normal mode" dataDxfId="737"/>
    <tableColumn id="67" xr3:uid="{00000000-0010-0000-0100-000043000000}" name="label refinements for IESTI normal mode" dataDxfId="736">
      <calculatedColumnFormula>IF(OR(AND(AN12="LOQ",L12="N"),AN12=""),"",IF(AND(G12&gt;0,H12&gt;0),"CF*PeF",IF(G12&gt;0,"CF",IF(H12&gt;0,"PeF",""))))</calculatedColumnFormula>
    </tableColumn>
    <tableColumn id="32" xr3:uid="{00000000-0010-0000-0100-000020000000}" name="Input for IESTI (refined mode)" dataDxfId="735">
      <calculatedColumnFormula>IF(OR(L12="N",ISBLANK(L12)),0,IF(AI12=A12,IF(BA12=3,AE12,IF(ISBLANK(J12)=TRUE,AK12,AL12)),""))</calculatedColumnFormula>
    </tableColumn>
    <tableColumn id="38" xr3:uid="{00000000-0010-0000-0100-000026000000}" name="label for IESTI (refined mode)" dataDxfId="734">
      <calculatedColumnFormula>IF(OR(AI12&lt;&gt;A12,AQ12=0),"",IF(BA12=3,AF12,IF(ISBLANK($I12)=FALSE,"STMR-RAC",IF(V12="Y","LOQ","MRL"))))</calculatedColumnFormula>
    </tableColumn>
    <tableColumn id="36" xr3:uid="{00000000-0010-0000-0100-000024000000}" name="label connector for IESTI refined mode" dataDxfId="733">
      <calculatedColumnFormula>IF(AND(AR12&lt;&gt;"",AT12&lt;&gt;""),"*","")</calculatedColumnFormula>
    </tableColumn>
    <tableColumn id="33" xr3:uid="{00000000-0010-0000-0100-000021000000}" name="label refinements for IESTI refined mode" dataDxfId="732">
      <calculatedColumnFormula>IF(OR(AND(AR12="LOQ",L12="N"),AR12=""),"",IF(AND(G12&gt;0,H12&gt;0),"CF*PeF",IF(G12&gt;0,"CF",IF(H12&gt;0,"PeF",""))))</calculatedColumnFormula>
    </tableColumn>
    <tableColumn id="19" xr3:uid="{00000000-0010-0000-0100-000013000000}" name="Input for IESTI new normal mode" dataDxfId="731"/>
    <tableColumn id="9" xr3:uid="{00000000-0010-0000-0100-000009000000}" name="Input for IESTI new (refined mode)" dataDxfId="730">
      <calculatedColumnFormula>IF(OR(L12="N",ISBLANK(L12)),0,AK12)</calculatedColumnFormula>
    </tableColumn>
    <tableColumn id="55" xr3:uid="{00000000-0010-0000-0100-000037000000}" name="label for IESTI new" dataDxfId="729">
      <calculatedColumnFormula>IF(OR(AI12&lt;&gt;A12,AJ12=0),"",IF(V12="Y","LOQ","MRL"))</calculatedColumnFormula>
    </tableColumn>
    <tableColumn id="50" xr3:uid="{00000000-0010-0000-0100-000032000000}" name="label connector for IESTI new" dataDxfId="728"/>
    <tableColumn id="66" xr3:uid="{00000000-0010-0000-0100-000042000000}" name="label refinements for IESTI new" dataDxfId="727">
      <calculatedColumnFormula>IF(OR(AND(AW12="LOQ",L12="N"),AW12=""),"",IF(AND(G12&gt;0,H12&gt;0),"CF*PeF",IF(G12&gt;0,"CF",IF(H12&gt;0,"PeF",""))))</calculatedColumnFormula>
    </tableColumn>
    <tableColumn id="49" xr3:uid="{00000000-0010-0000-0100-000031000000}" name="LOQ2" dataDxfId="726">
      <calculatedColumnFormula>IF(Table22[[#This Row],[LOQ_label]]="Y",Table22[[#This Row],[MRL individual commodity]],"")</calculatedColumnFormula>
    </tableColumn>
    <tableColumn id="63" xr3:uid="{00000000-0010-0000-0100-00003F000000}" name="Case for acute RA children/adults" dataDxfId="725"/>
    <tableColumn id="22" xr3:uid="{00000000-0010-0000-0100-000016000000}" name="LOQ/min-max" dataDxfId="724">
      <calculatedColumnFormula>IF(Table22[[#This Row],[LOQ2]]&lt;0,MIN(AZ12:AZ390),"")</calculatedColumnFormula>
    </tableColumn>
    <tableColumn id="23" xr3:uid="{00000000-0010-0000-0100-000017000000}" name="LOQ individual crop2" dataDxfId="723"/>
    <tableColumn id="20" xr3:uid="{00000000-0010-0000-0100-000014000000}" name="include commodity in Summary_input_values_chronic" dataDxfId="722">
      <calculatedColumnFormula>IF(Table22[[#This Row],[Chronic RA label]]="","N",IF(Table22[[#This Row],[Chronic RA label]]="LOQ","N",IF(Table22[[#This Row],[Chronic RA label]]="MRL","N","Y")))</calculatedColumnFormula>
    </tableColumn>
    <tableColumn id="21" xr3:uid="{00000000-0010-0000-0100-000015000000}" name="include commodity in Summary_input_values_acute" dataDxfId="721">
      <calculatedColumnFormula>IF(Table22[[#This Row],[Acute RA label]]="","N",IF(Table22[[#This Row],[Acute RA label]]="LOQ","N",IF(Table22[[#This Row],[Acute RA label]]="MRL","N","Y")))</calculatedColumnFormula>
    </tableColumn>
    <tableColumn id="24" xr3:uid="{00000000-0010-0000-0100-000018000000}" name="filter summary input values" dataDxfId="720">
      <calculatedColumnFormula>IF(OR(Table22[[#This Row],[include commodity in Summary_input_values_chronic]]="Y",Table22[[#This Row],[include commodity in Summary_input_values_acute]]="Y"),"Y","N")</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A411:BG538" totalsRowShown="0" headerRowDxfId="719" dataDxfId="718" tableBorderDxfId="717">
  <tableColumns count="59">
    <tableColumn id="1" xr3:uid="{00000000-0010-0000-0200-000001000000}" name="Identifyer" dataDxfId="716"/>
    <tableColumn id="2" xr3:uid="{00000000-0010-0000-0200-000002000000}" name="Code no." dataDxfId="715"/>
    <tableColumn id="3" xr3:uid="{00000000-0010-0000-0200-000003000000}" name="Processed food commodity" dataDxfId="714"/>
    <tableColumn id="52" xr3:uid="{00000000-0010-0000-0200-000034000000}" name="Source of MRL" dataDxfId="713">
      <calculatedColumnFormula>VLOOKUP(Table6[[#This Row],[Code no.]],$B$12:$D$390,3,FALSE)</calculatedColumnFormula>
    </tableColumn>
    <tableColumn id="4" xr3:uid="{00000000-0010-0000-0200-000004000000}" name="MRL/ proposed MRL (RAC)_x000a_(mg/kg)" dataDxfId="712">
      <calculatedColumnFormula>VLOOKUP($B412,$B$12:$AY$390,$U$2,FALSE)</calculatedColumnFormula>
    </tableColumn>
    <tableColumn id="5" xr3:uid="{00000000-0010-0000-0200-000005000000}" name="LOQ" dataDxfId="711" dataCellStyle="Normal 2">
      <calculatedColumnFormula>IF(VLOOKUP($B412,$B$12:$AY$390,$V$2,FALSE)="Y","*","")</calculatedColumnFormula>
    </tableColumn>
    <tableColumn id="43" xr3:uid="{00000000-0010-0000-0200-00002B000000}" name="CFrisk for residue definition (applicable for unprocessed products)" dataDxfId="710">
      <calculatedColumnFormula>VLOOKUP($B412,$B$12:$AY$390,$W$2,FALSE)</calculatedColumnFormula>
    </tableColumn>
    <tableColumn id="6" xr3:uid="{00000000-0010-0000-0200-000006000000}" name="CFrisk for residue definition for processed products" dataDxfId="709"/>
    <tableColumn id="7" xr3:uid="{00000000-0010-0000-0200-000007000000}" name="PF (processing factor RD enforcement)" dataDxfId="708" dataCellStyle="Normal 2"/>
    <tableColumn id="8" xr3:uid="{00000000-0010-0000-0200-000008000000}" name="STMR-RAC _x000a_(median residue)" dataDxfId="707">
      <calculatedColumnFormula>VLOOKUP($B412,$B$12:$AY$390,$I$2,FALSE)</calculatedColumnFormula>
    </tableColumn>
    <tableColumn id="9" xr3:uid="{00000000-0010-0000-0200-000009000000}" name="HR-RAC _x000a_(highest residue)" dataDxfId="706">
      <calculatedColumnFormula>VLOOKUP($B412,$B$12:$AY$390,$J$2,FALSE)</calculatedColumnFormula>
    </tableColumn>
    <tableColumn id="10" xr3:uid="{00000000-0010-0000-0200-00000A000000}" name="VF (alternative variability factor)" dataDxfId="705"/>
    <tableColumn id="11" xr3:uid="{00000000-0010-0000-0200-00000B000000}" name="GAP under assessment" dataDxfId="704">
      <calculatedColumnFormula>IF(VLOOKUP($B412,$B$12:$L$390,$L$2)="","",VLOOKUP($B412,$B$12:$L$390,$L$2))</calculatedColumnFormula>
    </tableColumn>
    <tableColumn id="12" xr3:uid="{00000000-0010-0000-0200-00000C000000}" name="Post-harvest treatment" dataDxfId="703"/>
    <tableColumn id="14" xr3:uid="{00000000-0010-0000-0200-00000E000000}" name="IESTI case" dataDxfId="702">
      <calculatedColumnFormula>Table6[[#This Row],[Case for acute RA children / adults]]</calculatedColumnFormula>
    </tableColumn>
    <tableColumn id="15" xr3:uid="{00000000-0010-0000-0200-00000F000000}" name="Acute RA label" dataDxfId="701">
      <calculatedColumnFormula>IF(OR($A$10=$BG$15,Results!$B$62=Results!$T$63),Table6[[#This Row],[label refine mode]],Table6[[#This Row],[label normal mode]])</calculatedColumnFormula>
    </tableColumn>
    <tableColumn id="16" xr3:uid="{00000000-0010-0000-0200-000010000000}" name="Acute RA input value" dataDxfId="700">
      <calculatedColumnFormula>IF(OR($A$10=$BG$15,Results!$B$62=Results!$T$63),Table6[[#This Row],[input refined mode]],Table6[[#This Row],[Input normal mode]])</calculatedColumnFormula>
    </tableColumn>
    <tableColumn id="17" xr3:uid="{00000000-0010-0000-0200-000011000000}" name="Acute RA IESTI new label" dataDxfId="699">
      <calculatedColumnFormula>IF(Table6[[#This Row],[Acute RA IESTI new input value]]="","",CONCATENATE(Table6[[#This Row],[label for IESTI new normal mode]],Table6[[#This Row],[label connector IESTI new normal mode]],Table6[[#This Row],[label refinements normal mode]]))</calculatedColumnFormula>
    </tableColumn>
    <tableColumn id="18" xr3:uid="{00000000-0010-0000-0200-000012000000}" name="Acute RA IESTI new input value" dataDxfId="698">
      <calculatedColumnFormula>IF(OR($A$10=$BG$15,Results!$B$62=Results!$T$63),Table6[[#This Row],[Input for IESTI new refined mode]],Table6[[#This Row],[Input for IESTI new normal mode]])</calculatedColumnFormula>
    </tableColumn>
    <tableColumn id="19" xr3:uid="{00000000-0010-0000-0200-000013000000}" name="Comment" dataDxfId="697"/>
    <tableColumn id="20" xr3:uid="{00000000-0010-0000-0200-000014000000}" name="MRL RAC individual commodity" dataDxfId="696">
      <calculatedColumnFormula>E412</calculatedColumnFormula>
    </tableColumn>
    <tableColumn id="21" xr3:uid="{00000000-0010-0000-0200-000015000000}" name="LOQ RAC individual crop" dataDxfId="695">
      <calculatedColumnFormula>VLOOKUP($B412,$B$12:$AY$390,$V$2,FALSE)</calculatedColumnFormula>
    </tableColumn>
    <tableColumn id="22" xr3:uid="{00000000-0010-0000-0200-000016000000}" name="CF used for for calculation" dataDxfId="694">
      <calculatedColumnFormula>IF($H412&gt;0,$H412,IF(Table6[[#This Row],[CFrisk for residue definition (applicable for unprocessed products)]]&gt;0,Table6[[#This Row],[CFrisk for residue definition (applicable for unprocessed products)]],1))</calculatedColumnFormula>
    </tableColumn>
    <tableColumn id="58" xr3:uid="{00000000-0010-0000-0200-00003A000000}" name="default processing factor" dataDxfId="693"/>
    <tableColumn id="23" xr3:uid="{00000000-0010-0000-0200-000017000000}" name="PF for calculation" dataDxfId="692">
      <calculatedColumnFormula>IF($I412&gt;0,$I412,X412)</calculatedColumnFormula>
    </tableColumn>
    <tableColumn id="24" xr3:uid="{00000000-0010-0000-0200-000018000000}" name="CF*PF for calculation" dataDxfId="691">
      <calculatedColumnFormula>W412*Y412</calculatedColumnFormula>
    </tableColumn>
    <tableColumn id="57" xr3:uid="{00000000-0010-0000-0200-000039000000}" name="Post-harvest " dataDxfId="690">
      <calculatedColumnFormula>IF(Table6[[#This Row],[Post-harvest treatment]]="","","Y")</calculatedColumnFormula>
    </tableColumn>
    <tableColumn id="60" xr3:uid="{00000000-0010-0000-0200-00003C000000}" name="label description" dataDxfId="689">
      <calculatedColumnFormula>IF(AND(Table6[[#This Row],[CF used for for calculation]]&lt;&gt;1,Table6[[#This Row],[PF for calculation]]&lt;&gt;1),"CF*PF",IF(Table6[[#This Row],[CF used for for calculation]]&lt;&gt;1,"CF",IF(Table6[[#This Row],[PF for calculation]]&lt;&gt;1,"PF","")))</calculatedColumnFormula>
    </tableColumn>
    <tableColumn id="25" xr3:uid="{00000000-0010-0000-0200-000019000000}" name="MRL*CF*PF or LOQ (if not under assessment and LOQ)" dataDxfId="688">
      <calculatedColumnFormula>IF(AND(Table6[[#This Row],[LOQ RAC individual crop]]="Y",Table6[[#This Row],[GAP under assessment]]="N"),Table6[[#This Row],[MRL RAC individual commodity]],Table6[[#This Row],[MRL RAC individual commodity]]*Table6[[#This Row],[CF*PF for calculation]])</calculatedColumnFormula>
    </tableColumn>
    <tableColumn id="26" xr3:uid="{00000000-0010-0000-0200-00001A000000}" name="Median residue*CF*PF" dataDxfId="687">
      <calculatedColumnFormula>$J412*$Z412</calculatedColumnFormula>
    </tableColumn>
    <tableColumn id="27" xr3:uid="{00000000-0010-0000-0200-00001B000000}" name="Highest residue * CF*PF" dataDxfId="686">
      <calculatedColumnFormula>$K412*$Z412</calculatedColumnFormula>
    </tableColumn>
    <tableColumn id="63" xr3:uid="{00000000-0010-0000-0200-00003F000000}" name="Case for acute RA children / adults" dataDxfId="685">
      <calculatedColumnFormula>Table6[[#This Row],[IESTI case]]</calculatedColumnFormula>
    </tableColumn>
    <tableColumn id="28" xr3:uid="{00000000-0010-0000-0200-00001C000000}" name="Input value normal mode case 1, 2a/2b,Po" dataDxfId="684">
      <calculatedColumnFormula>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calculatedColumnFormula>
    </tableColumn>
    <tableColumn id="29" xr3:uid="{00000000-0010-0000-0200-00001D000000}" name="label for IESTI normal mode case 1, 2a/2b,Po" dataDxfId="683">
      <calculatedColumnFormula>IF(Table6[[#This Row],[Input value normal mode case 1, 2a/2b,Po]]&gt;0,
              IF(Table6[[#This Row],[Highest residue * CF*PF]]&gt;"","HR-RAC",
                             IF(Table6[[#This Row],[LOQ RAC individual crop]]="Y","LOQ","MRL")),"")</calculatedColumnFormula>
    </tableColumn>
    <tableColumn id="62" xr3:uid="{00000000-0010-0000-0200-00003E000000}" name="label connector case  normal mode" dataDxfId="682">
      <calculatedColumnFormula>IF(AND(AH412&lt;&gt;"",AJ412&lt;&gt;""),"*","")</calculatedColumnFormula>
    </tableColumn>
    <tableColumn id="61" xr3:uid="{00000000-0010-0000-0200-00003D000000}" name="label refinements normal mode case 1, 2a/2b,Po" dataDxfId="681">
      <calculatedColumnFormula>IF(Table6[[#This Row],[Input value normal mode case 1, 2a/2b,Po]]&gt;0,IF(Table6[[#This Row],[label description]]&gt;"",Table6[[#This Row],[label description]],""),"")</calculatedColumnFormula>
    </tableColumn>
    <tableColumn id="44" xr3:uid="{00000000-0010-0000-0200-00002C000000}" name="concat label normal mode 1,2a/2b,Po " dataDxfId="680">
      <calculatedColumnFormula>CONCATENATE(Table6[[#This Row],[label for IESTI normal mode case 1, 2a/2b,Po]],Table6[[#This Row],[label connector case  normal mode]],Table6[[#This Row],[label refinements normal mode case 1, 2a/2b,Po]])</calculatedColumnFormula>
    </tableColumn>
    <tableColumn id="30" xr3:uid="{00000000-0010-0000-0200-00001E000000}" name="input for case 3 normal mode" dataDxfId="679">
      <calculatedColumnFormula>IF(AND(Table6[[#This Row],[Case for acute RA children / adults]]=3,Table6[[#This Row],[Post-harvest treatment]]=""),IF(AND(Table6[[#This Row],[LOQ RAC individual crop]]="Y",M411="N"),Table6[[#This Row],[MRL RAC individual commodity]],IF(Table6[[#This Row],[Median residue*CF*PF]]&gt;0,Table6[[#This Row],[Median residue*CF*PF]],IF(Table6[[#This Row],[MRL*CF*PF or LOQ (if not under assessment and LOQ)]]&gt;0,Table6[[#This Row],[MRL*CF*PF or LOQ (if not under assessment and LOQ)]],""))),"")</calculatedColumnFormula>
    </tableColumn>
    <tableColumn id="31" xr3:uid="{00000000-0010-0000-0200-00001F000000}" name="label for case 3 calculation normal mode" dataDxfId="678">
      <calculatedColumnFormula>IF(Table6[[#This Row],[input for case 3 normal mode]]&gt;0,IF(Table6[[#This Row],[Median residue*CF*PF]]&gt;0,"STMR-RAC",IF(AND($AC412&gt;0,NOT(V412="Y")),"MRL",IF($V412="Y","LOQ",""))),"")</calculatedColumnFormula>
    </tableColumn>
    <tableColumn id="32" xr3:uid="{00000000-0010-0000-0200-000020000000}" name="label connector case 3 normal mode" dataDxfId="677">
      <calculatedColumnFormula>IF(AND(AM412&lt;&gt;"",AO412&lt;&gt;""),"*","")</calculatedColumnFormula>
    </tableColumn>
    <tableColumn id="33" xr3:uid="{00000000-0010-0000-0200-000021000000}" name="label refinements case 3 normal mode" dataDxfId="676">
      <calculatedColumnFormula>IF(Table6[[#This Row],[input for case 3 normal mode]]="","",IF(AND(Table6[[#This Row],[label for case 3 calculation normal mode]]="LOQ",Table6[[#This Row],[GAP under assessment]]="N"),"",IF(Table6[[#This Row],[label description]]&gt;"",Table6[[#This Row],[label description]],"")))</calculatedColumnFormula>
    </tableColumn>
    <tableColumn id="42" xr3:uid="{00000000-0010-0000-0200-00002A000000}" name="concat label normal mode  case 3" dataDxfId="675">
      <calculatedColumnFormula>CONCATENATE(Table6[[#This Row],[label for case 3 calculation normal mode]],Table6[[#This Row],[label connector case 3 normal mode]],Table6[[#This Row],[label refinements case 3 normal mode]])</calculatedColumnFormula>
    </tableColumn>
    <tableColumn id="56" xr3:uid="{00000000-0010-0000-0200-000038000000}" name="Input value refined mode case 1, 2a/2b,Po" dataDxfId="674">
      <calculatedColumnFormula>IF(Table6[[#This Row],[GAP under assessment]]="Y",Table6[[#This Row],[Input value normal mode case 1, 2a/2b,Po]],"")</calculatedColumnFormula>
    </tableColumn>
    <tableColumn id="50" xr3:uid="{00000000-0010-0000-0200-000032000000}" name="concat label refined mode case 1,2a/2b,Po" dataDxfId="673">
      <calculatedColumnFormula>IF(Table6[[#This Row],[Input value refined mode case 1, 2a/2b,Po]]&gt;0,Table6[[#This Row],[concat label normal mode 1,2a/2b,Po ]],"")</calculatedColumnFormula>
    </tableColumn>
    <tableColumn id="34" xr3:uid="{00000000-0010-0000-0200-000022000000}" name="input for case 3 refined mode" dataDxfId="672">
      <calculatedColumnFormula>IF(Table6[[#This Row],[GAP under assessment]]="Y",Table6[[#This Row],[input for case 3 normal mode]],"")</calculatedColumnFormula>
    </tableColumn>
    <tableColumn id="35" xr3:uid="{00000000-0010-0000-0200-000023000000}" name="label for case 3 calculation refined mode" dataDxfId="671">
      <calculatedColumnFormula>IF(Table6[[#This Row],[input for case 3 refined mode]]&gt;0,Table6[[#This Row],[concat label normal mode  case 3]],"")</calculatedColumnFormula>
    </tableColumn>
    <tableColumn id="41" xr3:uid="{00000000-0010-0000-0200-000029000000}" name="Input normal mode" dataDxfId="670">
      <calculatedColumnFormula>IF(Table6[[#This Row],[Input value normal mode case 1, 2a/2b,Po]]&gt;0,Table6[[#This Row],[Input value normal mode case 1, 2a/2b,Po]],Table6[[#This Row],[input for case 3 normal mode]])</calculatedColumnFormula>
    </tableColumn>
    <tableColumn id="40" xr3:uid="{00000000-0010-0000-0200-000028000000}" name="label normal mode" dataDxfId="669">
      <calculatedColumnFormula>IF(Table6[[#This Row],[Input value normal mode case 1, 2a/2b,Po]]&gt;0,Table6[[#This Row],[concat label normal mode 1,2a/2b,Po ]],Table6[[#This Row],[concat label normal mode  case 3]])</calculatedColumnFormula>
    </tableColumn>
    <tableColumn id="39" xr3:uid="{00000000-0010-0000-0200-000027000000}" name="input refined mode" dataDxfId="668">
      <calculatedColumnFormula>IF(Table6[[#This Row],[Input value refined mode case 1, 2a/2b,Po]]&gt;0,Table6[[#This Row],[Input value refined mode case 1, 2a/2b,Po]],Table6[[#This Row],[input for case 3 refined mode]])</calculatedColumnFormula>
    </tableColumn>
    <tableColumn id="38" xr3:uid="{00000000-0010-0000-0200-000026000000}" name="label refine mode" dataDxfId="667">
      <calculatedColumnFormula>IF(Table6[[#This Row],[Input value refined mode case 1, 2a/2b,Po]]&gt;0,Table6[[#This Row],[concat label refined mode case 1,2a/2b,Po]],Table6[[#This Row],[label for case 3 calculation refined mode]])</calculatedColumnFormula>
    </tableColumn>
    <tableColumn id="45" xr3:uid="{00000000-0010-0000-0200-00002D000000}" name="Input for IESTI new normal mode" dataDxfId="666">
      <calculatedColumnFormula>$AC412</calculatedColumnFormula>
    </tableColumn>
    <tableColumn id="46" xr3:uid="{00000000-0010-0000-0200-00002E000000}" name="label for IESTI new normal mode" dataDxfId="665">
      <calculatedColumnFormula>IF(AND($AC412&gt;0,NOT($V412="Y")),"MRL",IF($V412="Y","LOQ",""))</calculatedColumnFormula>
    </tableColumn>
    <tableColumn id="47" xr3:uid="{00000000-0010-0000-0200-00002F000000}" name="label connector IESTI new normal mode" dataDxfId="664">
      <calculatedColumnFormula>IF(AND($AZ412&lt;&gt;"",$BB412&lt;&gt;""),"*","")</calculatedColumnFormula>
    </tableColumn>
    <tableColumn id="48" xr3:uid="{00000000-0010-0000-0200-000030000000}" name="label refinements normal mode" dataDxfId="663">
      <calculatedColumnFormula>IF(AND(Table6[[#This Row],[label for IESTI new normal mode]]="LOQ",Table6[[#This Row],[GAP under assessment]]="N"),"",IF(AND($H412&gt;0,$Y412&lt;&gt;1),"CF*PF",IF($H412&gt;0,"CF",IF($Y412&lt;&gt;1,"PF",""))))</calculatedColumnFormula>
    </tableColumn>
    <tableColumn id="49" xr3:uid="{00000000-0010-0000-0200-000031000000}" name="Industrial processing with bulking/blinding" dataDxfId="662"/>
    <tableColumn id="13" xr3:uid="{00000000-0010-0000-0200-00000D000000}" name="Case for acute RA" dataDxfId="661"/>
    <tableColumn id="36" xr3:uid="{00000000-0010-0000-0200-000024000000}" name="Input for IESTI new refined mode" dataDxfId="660">
      <calculatedColumnFormula>IF(Table6[[#This Row],[GAP under assessment]]="Y",Table6[[#This Row],[MRL*CF*PF or LOQ (if not under assessment and LOQ)]],"")</calculatedColumnFormula>
    </tableColumn>
    <tableColumn id="37" xr3:uid="{00000000-0010-0000-0200-000025000000}" name="Label for IESTI new refine mode" dataDxfId="659">
      <calculatedColumnFormula>IF(Table6[[#This Row],[Input for IESTI new refined mode]]&lt;&gt;"",CONCATENATE("MRL",Table6[[#This Row],[label connector case 3 normal mode]],Table6[[#This Row],[label refinements case 3 normal mode]]),"")</calculatedColumnFormula>
    </tableColumn>
    <tableColumn id="51" xr3:uid="{00000000-0010-0000-0200-000033000000}" name="Identifyer10" dataDxfId="65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J13:AB394" totalsRowShown="0" headerRowDxfId="657" dataDxfId="656">
  <autoFilter ref="J13:AB394" xr:uid="{00000000-0009-0000-0100-000001000000}">
    <filterColumn colId="16">
      <customFilters>
        <customFilter operator="notEqual" val=" "/>
      </customFilters>
    </filterColumn>
  </autoFilter>
  <tableColumns count="19">
    <tableColumn id="1" xr3:uid="{00000000-0010-0000-0300-000001000000}" name="Code no." dataDxfId="655"/>
    <tableColumn id="2" xr3:uid="{00000000-0010-0000-0300-000002000000}" name="Commodity or group of commodities to which the MRLs apply" dataDxfId="654"/>
    <tableColumn id="3" xr3:uid="{00000000-0010-0000-0300-000003000000}" name="Source of MRL" dataDxfId="653"/>
    <tableColumn id="4" xr3:uid="{00000000-0010-0000-0300-000004000000}" name="MRL/ proposed MRL /CXL_x000a_(mg/kg)" dataDxfId="652"/>
    <tableColumn id="5" xr3:uid="{00000000-0010-0000-0300-000005000000}" name="LOQ" dataDxfId="651"/>
    <tableColumn id="6" xr3:uid="{00000000-0010-0000-0300-000006000000}" name="CFrisk for residue definition" dataDxfId="650"/>
    <tableColumn id="7" xr3:uid="{00000000-0010-0000-0300-000007000000}" name="PeF (peeling factor RD enforcemen)" dataDxfId="649"/>
    <tableColumn id="8" xr3:uid="{00000000-0010-0000-0300-000008000000}" name="STMR-RAC (median residue)" dataDxfId="648"/>
    <tableColumn id="9" xr3:uid="{00000000-0010-0000-0300-000009000000}" name="HR-RAC (highest residue)" dataDxfId="647"/>
    <tableColumn id="10" xr3:uid="{00000000-0010-0000-0300-00000A000000}" name="VF (alternative variability factor)" dataDxfId="646"/>
    <tableColumn id="11" xr3:uid="{00000000-0010-0000-0300-00000B000000}" name="GAP under assessment" dataDxfId="645"/>
    <tableColumn id="12" xr3:uid="{00000000-0010-0000-0300-00000C000000}" name="Post-harvest treatment" dataDxfId="644"/>
    <tableColumn id="13" xr3:uid="{00000000-0010-0000-0300-00000D000000}" name="Chronic RA label" dataDxfId="643"/>
    <tableColumn id="14" xr3:uid="{00000000-0010-0000-0300-00000E000000}" name="Chronic RA input value" dataDxfId="642"/>
    <tableColumn id="15" xr3:uid="{00000000-0010-0000-0300-00000F000000}" name="Acute RA label" dataDxfId="132">
      <calculatedColumnFormula>Table22[[#This Row],[Acute RA label]]</calculatedColumnFormula>
    </tableColumn>
    <tableColumn id="16" xr3:uid="{00000000-0010-0000-0300-000010000000}" name="Acute RA input value" dataDxfId="641"/>
    <tableColumn id="17" xr3:uid="{00000000-0010-0000-0300-000011000000}" name="Hide in input table list" dataDxfId="640">
      <calculatedColumnFormula>SUM(Table1[[#This Row],[chronic value &lt;&gt;MRL/LOQ]:[acute vlue&lt;&gt;MRL/LOQ]])</calculatedColumnFormula>
    </tableColumn>
    <tableColumn id="20" xr3:uid="{00000000-0010-0000-0300-000014000000}" name="chronic value &lt;&gt;MRL/LOQ" dataDxfId="639">
      <calculatedColumnFormula>IF(AND($F$5="Refined calculation mode",Table1[[#This Row],[GAP under assessment]]="Y"),1,IF(OR(Table1[[#This Row],[Chronic RA label]]="LOQ",Table1[[#This Row],[Chronic RA label]]="",Table1[[#This Row],[Chronic RA label]]="MRL"),0,1))</calculatedColumnFormula>
    </tableColumn>
    <tableColumn id="21" xr3:uid="{00000000-0010-0000-0300-000015000000}" name="acute vlue&lt;&gt;MRL/LOQ" dataDxfId="638">
      <calculatedColumnFormula>IF(OR(Table1[[#This Row],[Acute RA label]]="LOQ",Table1[[#This Row],[Acute RA label]]="",Table1[[#This Row],[Acute RA label]]="MRL"),0,1)</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4" displayName="Table14" ref="A11:H394" totalsRowShown="0" headerRowDxfId="637" dataDxfId="635" headerRowBorderDxfId="636">
  <autoFilter ref="A11:H394" xr:uid="{00000000-0009-0000-0100-00000E000000}"/>
  <tableColumns count="8">
    <tableColumn id="1" xr3:uid="{00000000-0010-0000-0400-000001000000}" name="1" dataDxfId="634"/>
    <tableColumn id="2" xr3:uid="{00000000-0010-0000-0400-000002000000}" name="2" dataDxfId="633"/>
    <tableColumn id="3" xr3:uid="{00000000-0010-0000-0400-000003000000}" name="3" dataDxfId="632"/>
    <tableColumn id="4" xr3:uid="{00000000-0010-0000-0400-000004000000}" name="4" dataDxfId="631"/>
    <tableColumn id="5" xr3:uid="{00000000-0010-0000-0400-000005000000}" name="5" dataDxfId="630"/>
    <tableColumn id="6" xr3:uid="{00000000-0010-0000-0400-000006000000}" name="6" dataDxfId="629"/>
    <tableColumn id="7" xr3:uid="{00000000-0010-0000-0400-000007000000}" name="7" dataDxfId="628"/>
    <tableColumn id="8" xr3:uid="{00000000-0010-0000-0400-000008000000}" name="8" dataDxfId="62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B78:F349" totalsRowShown="0" headerRowDxfId="626" dataDxfId="624" headerRowBorderDxfId="625" tableBorderDxfId="623" totalsRowBorderDxfId="622">
  <autoFilter ref="B78:F349" xr:uid="{00000000-0009-0000-0100-000004000000}"/>
  <sortState xmlns:xlrd2="http://schemas.microsoft.com/office/spreadsheetml/2017/richdata2" ref="B79:F349">
    <sortCondition descending="1" ref="B78:B349"/>
  </sortState>
  <tableColumns count="5">
    <tableColumn id="1" xr3:uid="{00000000-0010-0000-0500-000001000000}" name="TMDI_x000a_(in % of ADI)" dataDxfId="621" dataCellStyle="Percent">
      <calculatedColumnFormula>LARGE(Table3[max],ROW()-ROW($B$78))</calculatedColumnFormula>
    </tableColumn>
    <tableColumn id="2" xr3:uid="{00000000-0010-0000-0500-000002000000}" name="Commodity / _x000a_group of commodities" dataDxfId="620">
      <calculatedColumnFormula>VLOOKUP(B79,Table3[[max]:[crop]],3,FALSE)</calculatedColumnFormula>
    </tableColumn>
    <tableColumn id="3" xr3:uid="{00000000-0010-0000-0500-000003000000}" name="Calculation with" dataDxfId="619">
      <calculatedColumnFormula>VLOOKUP(C79,chronic_intake_assessment!$C$1212:$G$1590,5,FALSE)</calculatedColumnFormula>
    </tableColumn>
    <tableColumn id="4" xr3:uid="{00000000-0010-0000-0500-000004000000}" name="MS diet" dataDxfId="618">
      <calculatedColumnFormula>VLOOKUP(B79,Table3[[max]:[crop]],2,FALSE)</calculatedColumnFormula>
    </tableColumn>
    <tableColumn id="5" xr3:uid="{00000000-0010-0000-0500-000005000000}" name="Crop under assessment" dataDxfId="617">
      <calculatedColumnFormula>VLOOKUP(C79,chronic_intake_assessment!$C$1212:$H$1590,6,FALSE)</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A11:BF397" totalsRowShown="0" headerRowDxfId="616" dataDxfId="614" headerRowBorderDxfId="615" tableBorderDxfId="613">
  <autoFilter ref="A11:BF397" xr:uid="{00000000-0009-0000-0100-00000B000000}"/>
  <tableColumns count="58">
    <tableColumn id="1" xr3:uid="{00000000-0010-0000-0600-000001000000}" name="Level" dataDxfId="612"/>
    <tableColumn id="2" xr3:uid="{00000000-0010-0000-0600-000002000000}" name="Code no." dataDxfId="611"/>
    <tableColumn id="3" xr3:uid="{00000000-0010-0000-0600-000003000000}" name="Commodity or group of commodities to which the MRLs apply" dataDxfId="610"/>
    <tableColumn id="4" xr3:uid="{00000000-0010-0000-0600-000004000000}" name="MRL" dataDxfId="609"/>
    <tableColumn id="5" xr3:uid="{00000000-0010-0000-0600-000005000000}" name="LOQ" dataDxfId="608"/>
    <tableColumn id="6" xr3:uid="{00000000-0010-0000-0600-000006000000}" name="Input values for exposure calculations" dataDxfId="607"/>
    <tableColumn id="7" xr3:uid="{00000000-0010-0000-0600-000007000000}" name="Exposure is calculated with " dataDxfId="606"/>
    <tableColumn id="8" xr3:uid="{00000000-0010-0000-0600-000008000000}" name="GAP under assessment" dataDxfId="605"/>
    <tableColumn id="9" xr3:uid="{00000000-0010-0000-0600-000009000000}" name="Comment" dataDxfId="604"/>
    <tableColumn id="10" xr3:uid="{00000000-0010-0000-0600-00000A000000}" name="DE child" dataDxfId="603"/>
    <tableColumn id="11" xr3:uid="{00000000-0010-0000-0600-00000B000000}" name="DK child" dataDxfId="602"/>
    <tableColumn id="12" xr3:uid="{00000000-0010-0000-0600-00000C000000}" name="ES child" dataDxfId="601"/>
    <tableColumn id="13" xr3:uid="{00000000-0010-0000-0600-00000D000000}" name="FR infant" dataDxfId="600"/>
    <tableColumn id="14" xr3:uid="{00000000-0010-0000-0600-00000E000000}" name="FR toddler 2 3 yr" dataDxfId="599"/>
    <tableColumn id="15" xr3:uid="{00000000-0010-0000-0600-00000F000000}" name="FR child 3 15 yr" dataDxfId="598"/>
    <tableColumn id="16" xr3:uid="{00000000-0010-0000-0600-000010000000}" name="IT toddler" dataDxfId="597"/>
    <tableColumn id="17" xr3:uid="{00000000-0010-0000-0600-000011000000}" name="NL toddler" dataDxfId="596"/>
    <tableColumn id="18" xr3:uid="{00000000-0010-0000-0600-000012000000}" name="NL child" dataDxfId="595"/>
    <tableColumn id="19" xr3:uid="{00000000-0010-0000-0600-000013000000}" name="UK infant" dataDxfId="594"/>
    <tableColumn id="20" xr3:uid="{00000000-0010-0000-0600-000014000000}" name="UK toddler" dataDxfId="593"/>
    <tableColumn id="21" xr3:uid="{00000000-0010-0000-0600-000015000000}" name="DK adult" dataDxfId="592"/>
    <tableColumn id="22" xr3:uid="{00000000-0010-0000-0600-000016000000}" name="ES adult" dataDxfId="591"/>
    <tableColumn id="23" xr3:uid="{00000000-0010-0000-0600-000017000000}" name="FI adult" dataDxfId="590"/>
    <tableColumn id="24" xr3:uid="{00000000-0010-0000-0600-000018000000}" name="FR adult" dataDxfId="589"/>
    <tableColumn id="25" xr3:uid="{00000000-0010-0000-0600-000019000000}" name="Column7" dataDxfId="588"/>
    <tableColumn id="26" xr3:uid="{00000000-0010-0000-0600-00001A000000}" name="IE adult" dataDxfId="587"/>
    <tableColumn id="27" xr3:uid="{00000000-0010-0000-0600-00001B000000}" name="IT adult" dataDxfId="586"/>
    <tableColumn id="28" xr3:uid="{00000000-0010-0000-0600-00001C000000}" name="LT adult" dataDxfId="585"/>
    <tableColumn id="29" xr3:uid="{00000000-0010-0000-0600-00001D000000}" name="NL general" dataDxfId="584"/>
    <tableColumn id="30" xr3:uid="{00000000-0010-0000-0600-00001E000000}" name="PL general" dataDxfId="583"/>
    <tableColumn id="31" xr3:uid="{00000000-0010-0000-0600-00001F000000}" name="PT general" dataDxfId="582"/>
    <tableColumn id="32" xr3:uid="{00000000-0010-0000-0600-000020000000}" name="RO general" dataDxfId="581"/>
    <tableColumn id="33" xr3:uid="{00000000-0010-0000-0600-000021000000}" name="SE general" dataDxfId="580"/>
    <tableColumn id="34" xr3:uid="{00000000-0010-0000-0600-000022000000}" name="UK adult" dataDxfId="579"/>
    <tableColumn id="35" xr3:uid="{00000000-0010-0000-0600-000023000000}" name="UK vegetarian" dataDxfId="578"/>
    <tableColumn id="36" xr3:uid="{00000000-0010-0000-0600-000024000000}" name="GEMS/Food G06" dataDxfId="577"/>
    <tableColumn id="37" xr3:uid="{00000000-0010-0000-0600-000025000000}" name="GEMS/Food G07" dataDxfId="576"/>
    <tableColumn id="38" xr3:uid="{00000000-0010-0000-0600-000026000000}" name="GEMS/Food G08" dataDxfId="575"/>
    <tableColumn id="39" xr3:uid="{00000000-0010-0000-0600-000027000000}" name="GEMS/Food G10" dataDxfId="574"/>
    <tableColumn id="40" xr3:uid="{00000000-0010-0000-0600-000028000000}" name="GEMS/Food G11" dataDxfId="573"/>
    <tableColumn id="41" xr3:uid="{00000000-0010-0000-0600-000029000000}" name="GEMS/Food G15" dataDxfId="572"/>
    <tableColumn id="42" xr3:uid="{00000000-0010-0000-0600-00002A000000}" name="DE general" dataDxfId="571"/>
    <tableColumn id="43" xr3:uid="{00000000-0010-0000-0600-00002B000000}" name="DE women 14-50 yr" dataDxfId="570"/>
    <tableColumn id="44" xr3:uid="{00000000-0010-0000-0600-00002C000000}" name="IE child" dataDxfId="569"/>
    <tableColumn id="58" xr3:uid="{00000000-0010-0000-0600-00003A000000}" name="FI 3 yr" dataDxfId="568"/>
    <tableColumn id="57" xr3:uid="{00000000-0010-0000-0600-000039000000}" name="FI 6 yr" dataDxfId="567"/>
    <tableColumn id="56" xr3:uid="{00000000-0010-0000-0600-000038000000}" name="Column6" dataDxfId="566"/>
    <tableColumn id="55" xr3:uid="{00000000-0010-0000-0600-000037000000}" name="Column5" dataDxfId="565"/>
    <tableColumn id="54" xr3:uid="{00000000-0010-0000-0600-000036000000}" name="Column4" dataDxfId="564"/>
    <tableColumn id="53" xr3:uid="{00000000-0010-0000-0600-000035000000}" name="Column3" dataDxfId="563"/>
    <tableColumn id="52" xr3:uid="{00000000-0010-0000-0600-000034000000}" name="Column2" dataDxfId="562"/>
    <tableColumn id="45" xr3:uid="{00000000-0010-0000-0600-00002D000000}" name="Column1" dataDxfId="561"/>
    <tableColumn id="46" xr3:uid="{00000000-0010-0000-0600-00002E000000}" name="min" dataDxfId="560"/>
    <tableColumn id="47" xr3:uid="{00000000-0010-0000-0600-00002F000000}" name="max" dataDxfId="559"/>
    <tableColumn id="48" xr3:uid="{00000000-0010-0000-0600-000030000000}" name="diet with max" dataDxfId="558"/>
    <tableColumn id="49" xr3:uid="{00000000-0010-0000-0600-000031000000}" name="line to be used for chronic calculation" dataDxfId="557"/>
    <tableColumn id="50" xr3:uid="{00000000-0010-0000-0600-000032000000}" name="crop under assessment?" dataDxfId="556">
      <calculatedColumnFormula>input_values!L12</calculatedColumnFormula>
    </tableColumn>
    <tableColumn id="51" xr3:uid="{00000000-0010-0000-0600-000033000000}" name="Highest contributor among the crops under assessment" dataDxfId="555"/>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J411:AZ791" totalsRowShown="0" headerRowDxfId="554" dataDxfId="552" headerRowBorderDxfId="553" tableBorderDxfId="551">
  <tableColumns count="43">
    <tableColumn id="2" xr3:uid="{00000000-0010-0000-0700-000002000000}" name="DE child" dataDxfId="550"/>
    <tableColumn id="3" xr3:uid="{00000000-0010-0000-0700-000003000000}" name="DK child" dataDxfId="549"/>
    <tableColumn id="4" xr3:uid="{00000000-0010-0000-0700-000004000000}" name="ES child" dataDxfId="548"/>
    <tableColumn id="5" xr3:uid="{00000000-0010-0000-0700-000005000000}" name="FR infant" dataDxfId="547"/>
    <tableColumn id="6" xr3:uid="{00000000-0010-0000-0700-000006000000}" name="FR toddler 2 3 yr" dataDxfId="546"/>
    <tableColumn id="7" xr3:uid="{00000000-0010-0000-0700-000007000000}" name="FR child 3 15 yr" dataDxfId="545"/>
    <tableColumn id="8" xr3:uid="{00000000-0010-0000-0700-000008000000}" name="IT toddler" dataDxfId="544"/>
    <tableColumn id="9" xr3:uid="{00000000-0010-0000-0700-000009000000}" name="NL toddler" dataDxfId="543"/>
    <tableColumn id="10" xr3:uid="{00000000-0010-0000-0700-00000A000000}" name="NL child" dataDxfId="542"/>
    <tableColumn id="11" xr3:uid="{00000000-0010-0000-0700-00000B000000}" name="UK infant" dataDxfId="541"/>
    <tableColumn id="12" xr3:uid="{00000000-0010-0000-0700-00000C000000}" name="UK toddler" dataDxfId="540"/>
    <tableColumn id="13" xr3:uid="{00000000-0010-0000-0700-00000D000000}" name="DK adult" dataDxfId="539"/>
    <tableColumn id="14" xr3:uid="{00000000-0010-0000-0700-00000E000000}" name="ES adult" dataDxfId="538"/>
    <tableColumn id="15" xr3:uid="{00000000-0010-0000-0700-00000F000000}" name="FI adult" dataDxfId="537"/>
    <tableColumn id="16" xr3:uid="{00000000-0010-0000-0700-000010000000}" name="FR adult" dataDxfId="536"/>
    <tableColumn id="17" xr3:uid="{00000000-0010-0000-0700-000011000000}" name="Column7" dataDxfId="535"/>
    <tableColumn id="18" xr3:uid="{00000000-0010-0000-0700-000012000000}" name="IE adult" dataDxfId="534"/>
    <tableColumn id="19" xr3:uid="{00000000-0010-0000-0700-000013000000}" name="IT adult" dataDxfId="533"/>
    <tableColumn id="20" xr3:uid="{00000000-0010-0000-0700-000014000000}" name="LT adult" dataDxfId="532"/>
    <tableColumn id="21" xr3:uid="{00000000-0010-0000-0700-000015000000}" name="NL general" dataDxfId="531"/>
    <tableColumn id="22" xr3:uid="{00000000-0010-0000-0700-000016000000}" name="PL general" dataDxfId="530"/>
    <tableColumn id="23" xr3:uid="{00000000-0010-0000-0700-000017000000}" name="PT general" dataDxfId="529"/>
    <tableColumn id="24" xr3:uid="{00000000-0010-0000-0700-000018000000}" name="RO general" dataDxfId="528"/>
    <tableColumn id="25" xr3:uid="{00000000-0010-0000-0700-000019000000}" name="SE general" dataDxfId="527"/>
    <tableColumn id="26" xr3:uid="{00000000-0010-0000-0700-00001A000000}" name="UK adult" dataDxfId="526"/>
    <tableColumn id="27" xr3:uid="{00000000-0010-0000-0700-00001B000000}" name="UK vegetarian" dataDxfId="525"/>
    <tableColumn id="28" xr3:uid="{00000000-0010-0000-0700-00001C000000}" name="GEMS/Food G06" dataDxfId="524"/>
    <tableColumn id="29" xr3:uid="{00000000-0010-0000-0700-00001D000000}" name="GEMS/Food G07" dataDxfId="523"/>
    <tableColumn id="30" xr3:uid="{00000000-0010-0000-0700-00001E000000}" name="GEMS/Food G08" dataDxfId="522"/>
    <tableColumn id="31" xr3:uid="{00000000-0010-0000-0700-00001F000000}" name="GEMS/Food G10" dataDxfId="521"/>
    <tableColumn id="32" xr3:uid="{00000000-0010-0000-0700-000020000000}" name="GEMS/Food G11" dataDxfId="520"/>
    <tableColumn id="33" xr3:uid="{00000000-0010-0000-0700-000021000000}" name="GEMS/Food G15" dataDxfId="519"/>
    <tableColumn id="34" xr3:uid="{00000000-0010-0000-0700-000022000000}" name="DE general" dataDxfId="518"/>
    <tableColumn id="35" xr3:uid="{00000000-0010-0000-0700-000023000000}" name="DE women 14-50 yr" dataDxfId="517"/>
    <tableColumn id="36" xr3:uid="{00000000-0010-0000-0700-000024000000}" name="IE child" dataDxfId="516"/>
    <tableColumn id="43" xr3:uid="{00000000-0010-0000-0700-00002B000000}" name="FI 3 yr" dataDxfId="515"/>
    <tableColumn id="42" xr3:uid="{00000000-0010-0000-0700-00002A000000}" name="FI 6 yr" dataDxfId="514"/>
    <tableColumn id="41" xr3:uid="{00000000-0010-0000-0700-000029000000}" name="Column6" dataDxfId="513"/>
    <tableColumn id="40" xr3:uid="{00000000-0010-0000-0700-000028000000}" name="Column5" dataDxfId="512"/>
    <tableColumn id="39" xr3:uid="{00000000-0010-0000-0700-000027000000}" name="Column4" dataDxfId="511"/>
    <tableColumn id="38" xr3:uid="{00000000-0010-0000-0700-000026000000}" name="Column3" dataDxfId="510"/>
    <tableColumn id="37" xr3:uid="{00000000-0010-0000-0700-000025000000}" name="Column2" dataDxfId="509"/>
    <tableColumn id="1" xr3:uid="{00000000-0010-0000-0700-000001000000}" name="Column1" dataDxfId="508"/>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8" displayName="Table8" ref="A811:AZ1195" totalsRowShown="0" headerRowDxfId="507" dataDxfId="505" headerRowBorderDxfId="506" tableBorderDxfId="504">
  <autoFilter ref="A811:AZ1195" xr:uid="{00000000-0009-0000-0100-000008000000}"/>
  <tableColumns count="52">
    <tableColumn id="1" xr3:uid="{00000000-0010-0000-0800-000001000000}" name="level" dataDxfId="503"/>
    <tableColumn id="2" xr3:uid="{00000000-0010-0000-0800-000002000000}" name="Code no. (1)" dataDxfId="502">
      <calculatedColumnFormula>B12</calculatedColumnFormula>
    </tableColumn>
    <tableColumn id="3" xr3:uid="{00000000-0010-0000-0800-000003000000}" name="Crop groups and examples of individual products within the groups to which the MRLs apply" dataDxfId="501">
      <calculatedColumnFormula>C12</calculatedColumnFormula>
    </tableColumn>
    <tableColumn id="4" xr3:uid="{00000000-0010-0000-0800-000004000000}" name="MRL" dataDxfId="500"/>
    <tableColumn id="5" xr3:uid="{00000000-0010-0000-0800-000005000000}" name="LOQ" dataDxfId="499"/>
    <tableColumn id="6" xr3:uid="{00000000-0010-0000-0800-000006000000}" name="Input values for exposure calculations" dataDxfId="498"/>
    <tableColumn id="7" xr3:uid="{00000000-0010-0000-0800-000007000000}" name="Exposure is calculated with " dataDxfId="497"/>
    <tableColumn id="8" xr3:uid="{00000000-0010-0000-0800-000008000000}" name="GAP under assessment" dataDxfId="496"/>
    <tableColumn id="9" xr3:uid="{00000000-0010-0000-0800-000009000000}" name="Comment" dataDxfId="495"/>
    <tableColumn id="10" xr3:uid="{00000000-0010-0000-0800-00000A000000}" name="DE child" dataDxfId="494"/>
    <tableColumn id="11" xr3:uid="{00000000-0010-0000-0800-00000B000000}" name="DK child" dataDxfId="493"/>
    <tableColumn id="12" xr3:uid="{00000000-0010-0000-0800-00000C000000}" name="ES child" dataDxfId="492"/>
    <tableColumn id="13" xr3:uid="{00000000-0010-0000-0800-00000D000000}" name="FR infant" dataDxfId="491"/>
    <tableColumn id="14" xr3:uid="{00000000-0010-0000-0800-00000E000000}" name="FR toddler 2 3 yr" dataDxfId="490"/>
    <tableColumn id="15" xr3:uid="{00000000-0010-0000-0800-00000F000000}" name="FR child 3 15 yr" dataDxfId="489"/>
    <tableColumn id="16" xr3:uid="{00000000-0010-0000-0800-000010000000}" name="IT toddler" dataDxfId="488"/>
    <tableColumn id="17" xr3:uid="{00000000-0010-0000-0800-000011000000}" name="NL toddler" dataDxfId="487"/>
    <tableColumn id="18" xr3:uid="{00000000-0010-0000-0800-000012000000}" name="NL child" dataDxfId="486"/>
    <tableColumn id="19" xr3:uid="{00000000-0010-0000-0800-000013000000}" name="UK infant" dataDxfId="485"/>
    <tableColumn id="20" xr3:uid="{00000000-0010-0000-0800-000014000000}" name="UK toddler" dataDxfId="484"/>
    <tableColumn id="21" xr3:uid="{00000000-0010-0000-0800-000015000000}" name="DK adult" dataDxfId="483"/>
    <tableColumn id="22" xr3:uid="{00000000-0010-0000-0800-000016000000}" name="ES adult" dataDxfId="482"/>
    <tableColumn id="23" xr3:uid="{00000000-0010-0000-0800-000017000000}" name="FI adult" dataDxfId="481"/>
    <tableColumn id="24" xr3:uid="{00000000-0010-0000-0800-000018000000}" name="FR adult" dataDxfId="480"/>
    <tableColumn id="25" xr3:uid="{00000000-0010-0000-0800-000019000000}" name="Column7" dataDxfId="479"/>
    <tableColumn id="26" xr3:uid="{00000000-0010-0000-0800-00001A000000}" name="IE adult" dataDxfId="478"/>
    <tableColumn id="27" xr3:uid="{00000000-0010-0000-0800-00001B000000}" name="IT adult" dataDxfId="477"/>
    <tableColumn id="28" xr3:uid="{00000000-0010-0000-0800-00001C000000}" name="LT adult" dataDxfId="476"/>
    <tableColumn id="29" xr3:uid="{00000000-0010-0000-0800-00001D000000}" name="NL general" dataDxfId="475"/>
    <tableColumn id="30" xr3:uid="{00000000-0010-0000-0800-00001E000000}" name="PL general" dataDxfId="474"/>
    <tableColumn id="31" xr3:uid="{00000000-0010-0000-0800-00001F000000}" name="PT general" dataDxfId="473"/>
    <tableColumn id="32" xr3:uid="{00000000-0010-0000-0800-000020000000}" name="RO general" dataDxfId="472"/>
    <tableColumn id="33" xr3:uid="{00000000-0010-0000-0800-000021000000}" name="SE general" dataDxfId="471"/>
    <tableColumn id="34" xr3:uid="{00000000-0010-0000-0800-000022000000}" name="UK adult" dataDxfId="470"/>
    <tableColumn id="35" xr3:uid="{00000000-0010-0000-0800-000023000000}" name="UK vegetarian" dataDxfId="469"/>
    <tableColumn id="36" xr3:uid="{00000000-0010-0000-0800-000024000000}" name="GEMS/Food G06" dataDxfId="468"/>
    <tableColumn id="37" xr3:uid="{00000000-0010-0000-0800-000025000000}" name="GEMS/Food G07" dataDxfId="467"/>
    <tableColumn id="38" xr3:uid="{00000000-0010-0000-0800-000026000000}" name="GEMS/Food G08" dataDxfId="466"/>
    <tableColumn id="39" xr3:uid="{00000000-0010-0000-0800-000027000000}" name="GEMS/Food G10" dataDxfId="465"/>
    <tableColumn id="40" xr3:uid="{00000000-0010-0000-0800-000028000000}" name="GEMS/Food G11" dataDxfId="464"/>
    <tableColumn id="41" xr3:uid="{00000000-0010-0000-0800-000029000000}" name="GEMS/Food G15" dataDxfId="463"/>
    <tableColumn id="42" xr3:uid="{00000000-0010-0000-0800-00002A000000}" name="DE general" dataDxfId="462"/>
    <tableColumn id="43" xr3:uid="{00000000-0010-0000-0800-00002B000000}" name="DE women 14-50 yr" dataDxfId="461"/>
    <tableColumn id="44" xr3:uid="{00000000-0010-0000-0800-00002C000000}" name="IE child" dataDxfId="460"/>
    <tableColumn id="52" xr3:uid="{00000000-0010-0000-0800-000034000000}" name="FI 3 yr" dataDxfId="459"/>
    <tableColumn id="51" xr3:uid="{00000000-0010-0000-0800-000033000000}" name="FI 6 yr" dataDxfId="458"/>
    <tableColumn id="50" xr3:uid="{00000000-0010-0000-0800-000032000000}" name="Column6" dataDxfId="457"/>
    <tableColumn id="49" xr3:uid="{00000000-0010-0000-0800-000031000000}" name="Column5" dataDxfId="456"/>
    <tableColumn id="48" xr3:uid="{00000000-0010-0000-0800-000030000000}" name="Column4" dataDxfId="455"/>
    <tableColumn id="47" xr3:uid="{00000000-0010-0000-0800-00002F000000}" name="Column3" dataDxfId="454"/>
    <tableColumn id="46" xr3:uid="{00000000-0010-0000-0800-00002E000000}" name="Column2" dataDxfId="453"/>
    <tableColumn id="45" xr3:uid="{00000000-0010-0000-0800-00002D000000}" name="Column1" dataDxfId="452"/>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B1211:BD1591" totalsRowShown="0" headerRowDxfId="451" dataDxfId="449" headerRowBorderDxfId="450" tableBorderDxfId="448" totalsRowBorderDxfId="447">
  <autoFilter ref="B1211:BD1591" xr:uid="{00000000-0009-0000-0100-000003000000}"/>
  <tableColumns count="55">
    <tableColumn id="1" xr3:uid="{00000000-0010-0000-0900-000001000000}" name="Code no. (1)" dataDxfId="446">
      <calculatedColumnFormula>B12</calculatedColumnFormula>
    </tableColumn>
    <tableColumn id="2" xr3:uid="{00000000-0010-0000-0900-000002000000}" name="Crop groups and examples of individual products within the groups to which the MRLs apply" dataDxfId="445">
      <calculatedColumnFormula>C12</calculatedColumnFormula>
    </tableColumn>
    <tableColumn id="3" xr3:uid="{00000000-0010-0000-0900-000003000000}" name="MRL" dataDxfId="444"/>
    <tableColumn id="4" xr3:uid="{00000000-0010-0000-0900-000004000000}" name="LOQ" dataDxfId="443"/>
    <tableColumn id="5" xr3:uid="{00000000-0010-0000-0900-000005000000}" name="CF" dataDxfId="442">
      <calculatedColumnFormula>input_values!W12</calculatedColumnFormula>
    </tableColumn>
    <tableColumn id="6" xr3:uid="{00000000-0010-0000-0900-000006000000}" name="Exposure is calculated with " dataDxfId="441">
      <calculatedColumnFormula>IF(Table3[[#This Row],[CF]]&gt;0,CONCATENATE(IF(Table3[[#This Row],[LOQ]]="*","LOQ","MRL"),IF(input_values!G12&gt;0,"×CFrisk","")),"")</calculatedColumnFormula>
    </tableColumn>
    <tableColumn id="7" xr3:uid="{00000000-0010-0000-0900-000007000000}" name="GAP under assessment" dataDxfId="440">
      <calculatedColumnFormula>input_values!L12</calculatedColumnFormula>
    </tableColumn>
    <tableColumn id="8" xr3:uid="{00000000-0010-0000-0900-000008000000}" name="Source of MRL" dataDxfId="439">
      <calculatedColumnFormula>input_values!D12</calculatedColumnFormula>
    </tableColumn>
    <tableColumn id="9" xr3:uid="{00000000-0010-0000-0900-000009000000}" name="DE child" dataDxfId="438">
      <calculatedColumnFormula>IF($D$1212="",0,$D1212*Table3[[#This Row],[CF]]*chronic_consumption!$E12/1000/$C$3)</calculatedColumnFormula>
    </tableColumn>
    <tableColumn id="10" xr3:uid="{00000000-0010-0000-0900-00000A000000}" name="DK child" dataDxfId="437">
      <calculatedColumnFormula>IF($D$1212="",0,$D1212*Table3[[#This Row],[CF]]*chronic_consumption!$F12/1000/$C$3)</calculatedColumnFormula>
    </tableColumn>
    <tableColumn id="11" xr3:uid="{00000000-0010-0000-0900-00000B000000}" name="ES child" dataDxfId="436"/>
    <tableColumn id="12" xr3:uid="{00000000-0010-0000-0900-00000C000000}" name="FR infant" dataDxfId="435"/>
    <tableColumn id="13" xr3:uid="{00000000-0010-0000-0900-00000D000000}" name="FR toddler 2 3 yr" dataDxfId="434">
      <calculatedColumnFormula>IF($D$1212="",0,$D1212*Table3[[#This Row],[CF]]*chronic_consumption!$I12/1000/$C$3)</calculatedColumnFormula>
    </tableColumn>
    <tableColumn id="14" xr3:uid="{00000000-0010-0000-0900-00000E000000}" name="FR child 3 15 yr" dataDxfId="433"/>
    <tableColumn id="15" xr3:uid="{00000000-0010-0000-0900-00000F000000}" name="IT toddler" dataDxfId="432"/>
    <tableColumn id="16" xr3:uid="{00000000-0010-0000-0900-000010000000}" name="NL toddler" dataDxfId="431"/>
    <tableColumn id="17" xr3:uid="{00000000-0010-0000-0900-000011000000}" name="NL child" dataDxfId="430"/>
    <tableColumn id="18" xr3:uid="{00000000-0010-0000-0900-000012000000}" name="UK infant" dataDxfId="429"/>
    <tableColumn id="19" xr3:uid="{00000000-0010-0000-0900-000013000000}" name="UK toddler" dataDxfId="428"/>
    <tableColumn id="20" xr3:uid="{00000000-0010-0000-0900-000014000000}" name="DK adult" dataDxfId="427"/>
    <tableColumn id="21" xr3:uid="{00000000-0010-0000-0900-000015000000}" name="ES adult" dataDxfId="426"/>
    <tableColumn id="22" xr3:uid="{00000000-0010-0000-0900-000016000000}" name="FI adult" dataDxfId="425"/>
    <tableColumn id="23" xr3:uid="{00000000-0010-0000-0900-000017000000}" name="FR adult" dataDxfId="424"/>
    <tableColumn id="24" xr3:uid="{00000000-0010-0000-0900-000018000000}" name="Column1" dataDxfId="423"/>
    <tableColumn id="25" xr3:uid="{00000000-0010-0000-0900-000019000000}" name="IE adult" dataDxfId="422"/>
    <tableColumn id="26" xr3:uid="{00000000-0010-0000-0900-00001A000000}" name="IT adult" dataDxfId="421"/>
    <tableColumn id="27" xr3:uid="{00000000-0010-0000-0900-00001B000000}" name="LT adult" dataDxfId="420"/>
    <tableColumn id="28" xr3:uid="{00000000-0010-0000-0900-00001C000000}" name="NL general" dataDxfId="419"/>
    <tableColumn id="29" xr3:uid="{00000000-0010-0000-0900-00001D000000}" name="PL general" dataDxfId="418"/>
    <tableColumn id="30" xr3:uid="{00000000-0010-0000-0900-00001E000000}" name="PT general" dataDxfId="417"/>
    <tableColumn id="31" xr3:uid="{00000000-0010-0000-0900-00001F000000}" name="RO general" dataDxfId="416"/>
    <tableColumn id="32" xr3:uid="{00000000-0010-0000-0900-000020000000}" name="SE general" dataDxfId="415"/>
    <tableColumn id="33" xr3:uid="{00000000-0010-0000-0900-000021000000}" name="UK adult" dataDxfId="414"/>
    <tableColumn id="34" xr3:uid="{00000000-0010-0000-0900-000022000000}" name="UK vegetarian" dataDxfId="413"/>
    <tableColumn id="35" xr3:uid="{00000000-0010-0000-0900-000023000000}" name="GEMS/Food G06" dataDxfId="412"/>
    <tableColumn id="36" xr3:uid="{00000000-0010-0000-0900-000024000000}" name="GEMS/Food G07" dataDxfId="411"/>
    <tableColumn id="37" xr3:uid="{00000000-0010-0000-0900-000025000000}" name="GEMS/Food G08" dataDxfId="410"/>
    <tableColumn id="38" xr3:uid="{00000000-0010-0000-0900-000026000000}" name="GEMS/Food G10" dataDxfId="409"/>
    <tableColumn id="39" xr3:uid="{00000000-0010-0000-0900-000027000000}" name="GEMS/Food G11" dataDxfId="408"/>
    <tableColumn id="40" xr3:uid="{00000000-0010-0000-0900-000028000000}" name="GEMS/Food G15" dataDxfId="407"/>
    <tableColumn id="41" xr3:uid="{00000000-0010-0000-0900-000029000000}" name="DE general" dataDxfId="406"/>
    <tableColumn id="42" xr3:uid="{00000000-0010-0000-0900-00002A000000}" name="DE women 14-50 yr" dataDxfId="405"/>
    <tableColumn id="43" xr3:uid="{00000000-0010-0000-0900-00002B000000}" name="IE child" dataDxfId="404"/>
    <tableColumn id="44" xr3:uid="{00000000-0010-0000-0900-00002C000000}" name="FI 3 yr" dataDxfId="403"/>
    <tableColumn id="45" xr3:uid="{00000000-0010-0000-0900-00002D000000}" name="FI 6 yr" dataDxfId="402"/>
    <tableColumn id="46" xr3:uid="{00000000-0010-0000-0900-00002E000000}" name="Column6" dataDxfId="401"/>
    <tableColumn id="47" xr3:uid="{00000000-0010-0000-0900-00002F000000}" name="Column5" dataDxfId="400"/>
    <tableColumn id="48" xr3:uid="{00000000-0010-0000-0900-000030000000}" name="Column4" dataDxfId="399"/>
    <tableColumn id="49" xr3:uid="{00000000-0010-0000-0900-000031000000}" name="Column3" dataDxfId="398"/>
    <tableColumn id="50" xr3:uid="{00000000-0010-0000-0900-000032000000}" name="Column2" dataDxfId="397"/>
    <tableColumn id="51" xr3:uid="{00000000-0010-0000-0900-000033000000}" name="Comment" dataDxfId="396"/>
    <tableColumn id="52" xr3:uid="{00000000-0010-0000-0900-000034000000}" name="rank" dataDxfId="395">
      <calculatedColumnFormula>IF(Table3[[#This Row],[max]]&lt;&gt;0,RANK(Table3[[#This Row],[max]],Table3[max],0),"")</calculatedColumnFormula>
    </tableColumn>
    <tableColumn id="53" xr3:uid="{00000000-0010-0000-0900-000035000000}" name="max" dataDxfId="394">
      <calculatedColumnFormula>MAX(J1212:AY1212)</calculatedColumnFormula>
    </tableColumn>
    <tableColumn id="54" xr3:uid="{00000000-0010-0000-0900-000036000000}" name="Diet with max exposure" dataDxfId="393">
      <calculatedColumnFormula>IF(BB1212&gt;0,OFFSET($I$10,1,MATCH(BB1212,J1212:AY1212,0)),"")</calculatedColumnFormula>
    </tableColumn>
    <tableColumn id="55" xr3:uid="{00000000-0010-0000-0900-000037000000}" name="crop" dataDxfId="392">
      <calculatedColumnFormula>IF(Table3[[#This Row],[max]]&gt;0,Table3[[#This Row],[Crop groups and examples of individual products within the groups to which the MRLs apply]],"")</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411:AH507" totalsRowShown="0" headerRowDxfId="391" dataDxfId="389" headerRowBorderDxfId="390" tableBorderDxfId="388">
  <autoFilter ref="A411:AH507" xr:uid="{00000000-0009-0000-0100-000005000000}"/>
  <tableColumns count="34">
    <tableColumn id="1" xr3:uid="{00000000-0010-0000-0A00-000001000000}" name="Column1" dataDxfId="387"/>
    <tableColumn id="2" xr3:uid="{00000000-0010-0000-0A00-000002000000}" name="Code no." dataDxfId="386"/>
    <tableColumn id="3" xr3:uid="{00000000-0010-0000-0A00-000003000000}" name="Commodity or group of commodities to which the MRLs apply" dataDxfId="385"/>
    <tableColumn id="4" xr3:uid="{00000000-0010-0000-0A00-000004000000}" name="identifyer" dataDxfId="384">
      <calculatedColumnFormula>VLOOKUP(C412,input_values!$C$412:$BG$538,input_values!$BG$410-2,0)</calculatedColumnFormula>
    </tableColumn>
    <tableColumn id="5" xr3:uid="{00000000-0010-0000-0A00-000005000000}" name="MRL/ proposed MRL (RAC)" dataDxfId="383">
      <calculatedColumnFormula>VLOOKUP(B412,input_values!$B$412:$M$538,4,FALSE)</calculatedColumnFormula>
    </tableColumn>
    <tableColumn id="6" xr3:uid="{00000000-0010-0000-0A00-000006000000}" name="Input value for IESTI " dataDxfId="382">
      <calculatedColumnFormula>VLOOKUP($D412,Table6[[Identifyer]:[Acute RA IESTI new input value]],input_values!$Q$410,FALSE)</calculatedColumnFormula>
    </tableColumn>
    <tableColumn id="7" xr3:uid="{00000000-0010-0000-0A00-000007000000}" name="IESTI is calculated with" dataDxfId="381">
      <calculatedColumnFormula>VLOOKUP($D412,Table6[[Identifyer]:[Acute RA IESTI new input value]],input_values!$P$410,FALSE)</calculatedColumnFormula>
    </tableColumn>
    <tableColumn id="8" xr3:uid="{00000000-0010-0000-0A00-000008000000}" name="Input value for IESTI new" dataDxfId="380">
      <calculatedColumnFormula>VLOOKUP($D412,Table6[[Identifyer]:[Acute RA IESTI new input value]],input_values!$S$410,FALSE)</calculatedColumnFormula>
    </tableColumn>
    <tableColumn id="9" xr3:uid="{00000000-0010-0000-0A00-000009000000}" name="IESTI new is calculated with" dataDxfId="379">
      <calculatedColumnFormula>VLOOKUP($D412,Table6[[Identifyer]:[Acute RA IESTI new input value]],input_values!$R$410,FALSE)</calculatedColumnFormula>
    </tableColumn>
    <tableColumn id="10" xr3:uid="{00000000-0010-0000-0A00-00000A000000}" name="Comment" dataDxfId="378"/>
    <tableColumn id="11" xr3:uid="{00000000-0010-0000-0A00-00000B000000}" name="default VF" dataDxfId="377">
      <calculatedColumnFormula>IF(Table5[[#This Row],[Unit weight RAC (g)]]="",1,IF(Table5[[#This Row],[Unit weight RAC (g)]]&gt;250,5,7))</calculatedColumnFormula>
    </tableColumn>
    <tableColumn id="12" xr3:uid="{00000000-0010-0000-0A00-00000C000000}" name="Post-harvest treatment" dataDxfId="376">
      <calculatedColumnFormula>VLOOKUP(D412,input_values!$A$412:$BB$538,input_values!$AA$410,FALSE)</calculatedColumnFormula>
    </tableColumn>
    <tableColumn id="13" xr3:uid="{00000000-0010-0000-0A00-00000D000000}" name="Processing factor" dataDxfId="375">
      <calculatedColumnFormula>VLOOKUP(D412,input_values!$A$412:$BB$538,input_values!$Y$410,FALSE)</calculatedColumnFormula>
    </tableColumn>
    <tableColumn id="14" xr3:uid="{00000000-0010-0000-0A00-00000E000000}" name="Empirical variability factor" dataDxfId="374">
      <calculatedColumnFormula>IF(VLOOKUP(D412,input_values!$A$412:$BB$538,input_values!$L$410,FALSE)&lt;&gt;"",VLOOKUP(D412,input_values!$A$412:$BB$538,input_values!$L$410,FALSE),"")</calculatedColumnFormula>
    </tableColumn>
    <tableColumn id="15" xr3:uid="{00000000-0010-0000-0A00-00000F000000}" name="Critical food intake reported &quot;as consumed&quot; (g/kg bw)" dataDxfId="373"/>
    <tableColumn id="16" xr3:uid="{00000000-0010-0000-0A00-000010000000}" name="Percentile" dataDxfId="372"/>
    <tableColumn id="17" xr3:uid="{00000000-0010-0000-0A00-000011000000}" name="MS critical diet" dataDxfId="371"/>
    <tableColumn id="18" xr3:uid="{00000000-0010-0000-0A00-000012000000}" name="Body weight (kg)" dataDxfId="370"/>
    <tableColumn id="19" xr3:uid="{00000000-0010-0000-0A00-000013000000}" name="Large portion (&quot;as consumed&quot;) (g/person)" dataDxfId="369">
      <calculatedColumnFormula>O412*R412</calculatedColumnFormula>
    </tableColumn>
    <tableColumn id="20" xr3:uid="{00000000-0010-0000-0A00-000014000000}" name="Unit weight, edible portion (g)" dataDxfId="368"/>
    <tableColumn id="21" xr3:uid="{00000000-0010-0000-0A00-000015000000}" name="Source unit weight, edilbe portion" dataDxfId="367"/>
    <tableColumn id="22" xr3:uid="{00000000-0010-0000-0A00-000016000000}" name="Unit weight RAC (g)" dataDxfId="366"/>
    <tableColumn id="23" xr3:uid="{00000000-0010-0000-0A00-000017000000}" name="Source unit weight RAC" dataDxfId="365"/>
    <tableColumn id="24" xr3:uid="{00000000-0010-0000-0A00-000018000000}" name="Case" dataDxfId="364"/>
    <tableColumn id="25" xr3:uid="{00000000-0010-0000-0A00-000019000000}" name="Variability factor for IESTI " dataDxfId="363">
      <calculatedColumnFormula>IF(N412="",K412,N412)</calculatedColumnFormula>
    </tableColumn>
    <tableColumn id="26" xr3:uid="{00000000-0010-0000-0A00-00001A000000}" name="IESTI mg/kg bw/day" dataDxfId="362">
      <calculatedColumnFormula>IF(F412&lt;&gt;"",IF(OR($X412=3,$X412=1),1/$R412*($F412*$S412/1000*$Y412),IF(($X412="2a"),1/$R412*(($F412*$T412/1000*$Y412)+($F412*($S412-$T412)/1000)),IF($X412="2b",1/$R412*($F412*$S412/1000*$Y412)))),"ND")</calculatedColumnFormula>
    </tableColumn>
    <tableColumn id="27" xr3:uid="{00000000-0010-0000-0A00-00001B000000}" name="IESTI  in % ARfD" dataDxfId="361">
      <calculatedColumnFormula>IF($C$5="not necessary","no acute risk assessment",IF(Z412="ND","no acute risk assessment",Z412/$C$5))</calculatedColumnFormula>
    </tableColumn>
    <tableColumn id="28" xr3:uid="{00000000-0010-0000-0A00-00001C000000}" name="Variability factor for IESTI new" dataDxfId="360">
      <calculatedColumnFormula>IF(OR(Table5[[#This Row],[Case]]=3,Table5[[#This Row],[Case]]=1),1,IF(Table5[[#This Row],[Variability factor for IESTI ]]&lt;3,Table5[[#This Row],[Variability factor for IESTI ]],3))</calculatedColumnFormula>
    </tableColumn>
    <tableColumn id="29" xr3:uid="{00000000-0010-0000-0A00-00001D000000}" name="IESTI new (mg/kg bw)" dataDxfId="359">
      <calculatedColumnFormula>IF(OR(ISTEXT(H412),H412=0),"ND",1/$R412*($H412*$S412*AB412/1000))</calculatedColumnFormula>
    </tableColumn>
    <tableColumn id="30" xr3:uid="{00000000-0010-0000-0A00-00001E000000}" name="IESTI new in % ARfD (alternatively % ADI)" dataDxfId="358">
      <calculatedColumnFormula>IF($C$5="not necessary","no acute RA",IF(AC412="ND","no acute RA",IF(Table5[[#This Row],[IESTI new (mg/kg bw)]]&lt;&gt;"",AC412/$C$5,0)))</calculatedColumnFormula>
    </tableColumn>
    <tableColumn id="31" xr3:uid="{00000000-0010-0000-0A00-00001F000000}" name="Threshold residue IESTI (mg/kg)" dataDxfId="357">
      <calculatedColumnFormula>IF(AA412&gt;=1,AG412,"")</calculatedColumnFormula>
    </tableColumn>
    <tableColumn id="32" xr3:uid="{00000000-0010-0000-0A00-000020000000}" name="Threshold residue IESTI  new_x000a_(mg/kg)" dataDxfId="356">
      <calculatedColumnFormula>IF(AD412&gt;=1,AH412,"")</calculatedColumnFormula>
    </tableColumn>
    <tableColumn id="33" xr3:uid="{00000000-0010-0000-0A00-000021000000}" name="threshold calculation IESTI ARfD&gt;0" dataDxfId="355">
      <calculatedColumnFormula>IF(OR(Z412=0,Z412="ND",Z412="",$C$5="not necessary"),"",IF(X412="2a",1000*$C$5*R412/Table5[[#This Row],[Processing factor]]/(T412*Y412+S412-T412),IF(X412="2b",1000*$C$5*R412/Table5[[#This Row],[Processing factor]]/S412/Y412,IF(OR(X412=1,X412=3),1000*$C$5*R412/Table5[[#This Row],[Processing factor]]/S412,""))))</calculatedColumnFormula>
    </tableColumn>
    <tableColumn id="34" xr3:uid="{00000000-0010-0000-0A00-000022000000}" name="threshold calculation IESTI new ARfD&gt;0" dataDxfId="354">
      <calculatedColumnFormula>IF(OR(AC412=0,AC412="ND",$C$5="not necessary"),"",1000*$C$5*R412/Table5[[#This Row],[Processing factor]]/S412/AB412)</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Table7" displayName="Table7" ref="A11:AI391" totalsRowShown="0" headerRowDxfId="353" dataDxfId="351" headerRowBorderDxfId="352" tableBorderDxfId="350" totalsRowBorderDxfId="349">
  <autoFilter ref="A11:AI391" xr:uid="{00000000-0009-0000-0100-000007000000}"/>
  <tableColumns count="35">
    <tableColumn id="1" xr3:uid="{00000000-0010-0000-0B00-000001000000}" name="Level" dataDxfId="348"/>
    <tableColumn id="2" xr3:uid="{00000000-0010-0000-0B00-000002000000}" name="Code no." dataDxfId="347"/>
    <tableColumn id="3" xr3:uid="{00000000-0010-0000-0B00-000003000000}" name="Commodity or group of commodities to which the MRLs apply" dataDxfId="346"/>
    <tableColumn id="4" xr3:uid="{00000000-0010-0000-0B00-000004000000}" name="Level used for acute intake calculation" dataDxfId="345"/>
    <tableColumn id="5" xr3:uid="{00000000-0010-0000-0B00-000005000000}" name="MRL " dataDxfId="344"/>
    <tableColumn id="6" xr3:uid="{00000000-0010-0000-0B00-000006000000}" name="Input value for IESTI " dataDxfId="343"/>
    <tableColumn id="7" xr3:uid="{00000000-0010-0000-0B00-000007000000}" name="IESTI is calculated with" dataDxfId="342"/>
    <tableColumn id="8" xr3:uid="{00000000-0010-0000-0B00-000008000000}" name="Input value for IESTI new" dataDxfId="341"/>
    <tableColumn id="9" xr3:uid="{00000000-0010-0000-0B00-000009000000}" name="IESTI new is calculated with" dataDxfId="340"/>
    <tableColumn id="10" xr3:uid="{00000000-0010-0000-0B00-00000A000000}" name="Comment" dataDxfId="339"/>
    <tableColumn id="11" xr3:uid="{00000000-0010-0000-0B00-00000B000000}" name="GAPs under assessment" dataDxfId="338">
      <calculatedColumnFormula>Table22[[#This Row],[GAP under assessment]]</calculatedColumnFormula>
    </tableColumn>
    <tableColumn id="12" xr3:uid="{00000000-0010-0000-0B00-00000C000000}" name="Post-harvest treatment" dataDxfId="337"/>
    <tableColumn id="13" xr3:uid="{00000000-0010-0000-0B00-00000D000000}" name="Peeling/ processing factor" dataDxfId="336"/>
    <tableColumn id="14" xr3:uid="{00000000-0010-0000-0B00-00000E000000}" name="VF (alternative variability factor)" dataDxfId="335"/>
    <tableColumn id="15" xr3:uid="{00000000-0010-0000-0B00-00000F000000}" name="Large portion (expressed as g/kg bw)" dataDxfId="334"/>
    <tableColumn id="16" xr3:uid="{00000000-0010-0000-0B00-000010000000}" name="Percentile" dataDxfId="333"/>
    <tableColumn id="17" xr3:uid="{00000000-0010-0000-0B00-000011000000}" name="MS critical diet" dataDxfId="332"/>
    <tableColumn id="18" xr3:uid="{00000000-0010-0000-0B00-000012000000}" name="Body weight _x000a_(kg)" dataDxfId="331"/>
    <tableColumn id="19" xr3:uid="{00000000-0010-0000-0B00-000013000000}" name="Large portion (edible portion) _x000a_(g/person)" dataDxfId="330"/>
    <tableColumn id="20" xr3:uid="{00000000-0010-0000-0B00-000014000000}" name="Unit weight, _x000a_edible portion _x000a_(g)" dataDxfId="329"/>
    <tableColumn id="21" xr3:uid="{00000000-0010-0000-0B00-000015000000}" name="Source unit weight, edible portion" dataDxfId="328"/>
    <tableColumn id="22" xr3:uid="{00000000-0010-0000-0B00-000016000000}" name="Unit weight RAC _x000a_(g)" dataDxfId="327"/>
    <tableColumn id="23" xr3:uid="{00000000-0010-0000-0B00-000017000000}" name="Source unit weight RAC" dataDxfId="326"/>
    <tableColumn id="24" xr3:uid="{00000000-0010-0000-0B00-000018000000}" name="Case" dataDxfId="325">
      <calculatedColumnFormula>IF(V12="ND","ND",IF(S12="","",IF(OR(MID(C12,1,4)="milk",AND(MID(B12,1,2)="50",NOT(input_values!M12="Y")),AND(MID(B12,1,2)="40",NOT(input_values!M12="Y")),AND(MID(B12,1,2)="30",NOT(input_values!M12="Y"))),3,IF(OR(V12="&lt;25",B12&gt;1000000),1,IF((T12&gt;=S12),"2b","2a")))))</calculatedColumnFormula>
    </tableColumn>
    <tableColumn id="25" xr3:uid="{00000000-0010-0000-0B00-000019000000}" name="Variability _x000a_factor for IESTI " dataDxfId="324">
      <calculatedColumnFormula>IF(X12="ND","ND",IF(S12="","",IF(input_values!K12&gt;0,input_values!K12,IF(OR(X12=1,X12=3),1,IF((V12&gt;250),5,7)))))</calculatedColumnFormula>
    </tableColumn>
    <tableColumn id="26" xr3:uid="{00000000-0010-0000-0B00-00001A000000}" name="IESTI _x000a_mg/kg bw/day" dataDxfId="323"/>
    <tableColumn id="27" xr3:uid="{00000000-0010-0000-0B00-00001B000000}" name="IESTI in % ARfD_x000a_(alternatively % ADI)" dataDxfId="322">
      <calculatedColumnFormula>IF(OR(ISTEXT(F12),F12=0),0,IF($C$5="not necessary","no acute RA",IF(Z12="ND","no acute RA",Z12/$C$5)))</calculatedColumnFormula>
    </tableColumn>
    <tableColumn id="28" xr3:uid="{00000000-0010-0000-0B00-00001C000000}" name="Variability factor for IESTI new" dataDxfId="321"/>
    <tableColumn id="29" xr3:uid="{00000000-0010-0000-0B00-00001D000000}" name="IESTI new_x000a_(mg/kg bw)" dataDxfId="320"/>
    <tableColumn id="30" xr3:uid="{00000000-0010-0000-0B00-00001E000000}" name="IESTI new in % ARfD_x000a_(alternatively % ADI)" dataDxfId="319">
      <calculatedColumnFormula>IF(OR(ISTEXT(H12),H12=0,S12=0),0,IF($C$5="not necessary","no acute RA",IF(AC12="ND","no acute RA",AC12/$C$5)))</calculatedColumnFormula>
    </tableColumn>
    <tableColumn id="31" xr3:uid="{00000000-0010-0000-0B00-00001F000000}" name="Threshold residue _x000a_IESTI _x000a_(mg/kg)" dataDxfId="318"/>
    <tableColumn id="32" xr3:uid="{00000000-0010-0000-0B00-000020000000}" name="Threshold residue_x000a_IESTI  new_x000a_(mg/kg)" dataDxfId="317"/>
    <tableColumn id="33" xr3:uid="{00000000-0010-0000-0B00-000021000000}" name="threshold calculation IESTI _x000a_ARfD&gt;0" dataDxfId="316">
      <calculatedColumnFormula>IF(OR(Z12=0,Z12="ND",Z12="",$C$5="not necessary"),"",IF(X12="2a",1000*$C$5*R12/(T12*Y12+S12-T12),IF(X12="2b",1000*$C$5*R12/S12/Y12,IF(OR(X12=1,X12=3),1000*$C$5*R12/S12,""))))</calculatedColumnFormula>
    </tableColumn>
    <tableColumn id="34" xr3:uid="{00000000-0010-0000-0B00-000022000000}" name="threshold calculation IESTI new_x000a_ARfD&gt;0" dataDxfId="315">
      <calculatedColumnFormula>IF(OR(AC12=0,AC12="ND",AC12="",$C$5="not necessary"),"",1000*$C$5*R12/S12/AB12)</calculatedColumnFormula>
    </tableColumn>
    <tableColumn id="35" xr3:uid="{00000000-0010-0000-0B00-000023000000}" name="calculation for Microstrategy" dataDxfId="31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0C000000}" name="Table164" displayName="Table164" ref="A11:AI390" totalsRowShown="0" headerRowDxfId="313" dataDxfId="311" headerRowBorderDxfId="312" tableBorderDxfId="310" totalsRowBorderDxfId="309">
  <autoFilter ref="A11:AI390" xr:uid="{00000000-0009-0000-0100-0000A4000000}"/>
  <tableColumns count="35">
    <tableColumn id="1" xr3:uid="{00000000-0010-0000-0C00-000001000000}" name="Level" dataDxfId="308">
      <calculatedColumnFormula>acute_overview_children!A12</calculatedColumnFormula>
    </tableColumn>
    <tableColumn id="2" xr3:uid="{00000000-0010-0000-0C00-000002000000}" name="Code no." dataDxfId="307"/>
    <tableColumn id="3" xr3:uid="{00000000-0010-0000-0C00-000003000000}" name="Commodity or group of commodities to which the MRLs apply" dataDxfId="306"/>
    <tableColumn id="4" xr3:uid="{00000000-0010-0000-0C00-000004000000}" name="Level used for acute calculation" dataDxfId="305">
      <calculatedColumnFormula>Table22[[#This Row],[Level used for acute calculation]]</calculatedColumnFormula>
    </tableColumn>
    <tableColumn id="5" xr3:uid="{00000000-0010-0000-0C00-000005000000}" name="MRL" dataDxfId="304">
      <calculatedColumnFormula>Table22[[#This Row],[MRL individual commodity]]</calculatedColumnFormula>
    </tableColumn>
    <tableColumn id="6" xr3:uid="{00000000-0010-0000-0C00-000006000000}" name="Input value for IESTI " dataDxfId="303">
      <calculatedColumnFormula>Table22[[#This Row],[Acute RA input value]]</calculatedColumnFormula>
    </tableColumn>
    <tableColumn id="7" xr3:uid="{00000000-0010-0000-0C00-000007000000}" name="IESTI is calculated with" dataDxfId="302">
      <calculatedColumnFormula>Table22[[#This Row],[Acute RA label]]</calculatedColumnFormula>
    </tableColumn>
    <tableColumn id="8" xr3:uid="{00000000-0010-0000-0C00-000008000000}" name="Input value for IESTI new" dataDxfId="301">
      <calculatedColumnFormula>Table22[[#This Row],[Acute RA IESTI new input value]]</calculatedColumnFormula>
    </tableColumn>
    <tableColumn id="9" xr3:uid="{00000000-0010-0000-0C00-000009000000}" name="IESTI new is calculated with" dataDxfId="300">
      <calculatedColumnFormula>Table22[[#This Row],[Acute RA IESTI new label]]</calculatedColumnFormula>
    </tableColumn>
    <tableColumn id="10" xr3:uid="{00000000-0010-0000-0C00-00000A000000}" name="Comment" dataDxfId="299"/>
    <tableColumn id="11" xr3:uid="{00000000-0010-0000-0C00-00000B000000}" name="GAPs under assessment" dataDxfId="298">
      <calculatedColumnFormula>Table22[[#This Row],[GAP under assessment]]</calculatedColumnFormula>
    </tableColumn>
    <tableColumn id="12" xr3:uid="{00000000-0010-0000-0C00-00000C000000}" name="Post-harvest treatment" dataDxfId="297">
      <calculatedColumnFormula>IF(input_values!$M12=0,"",input_values!$M12)</calculatedColumnFormula>
    </tableColumn>
    <tableColumn id="13" xr3:uid="{00000000-0010-0000-0C00-00000D000000}" name="Peeling/ processing factor" dataDxfId="296">
      <calculatedColumnFormula>IF(input_values!H12=0,"",input_values!H12)</calculatedColumnFormula>
    </tableColumn>
    <tableColumn id="14" xr3:uid="{00000000-0010-0000-0C00-00000E000000}" name="VF (alternative variability factor factor" dataDxfId="295">
      <calculatedColumnFormula>input_values!$K12</calculatedColumnFormula>
    </tableColumn>
    <tableColumn id="15" xr3:uid="{00000000-0010-0000-0C00-00000F000000}" name="Large portion (expressed as g/kg bw)" dataDxfId="294"/>
    <tableColumn id="16" xr3:uid="{00000000-0010-0000-0C00-000010000000}" name="Percentile" dataDxfId="293"/>
    <tableColumn id="17" xr3:uid="{00000000-0010-0000-0C00-000011000000}" name="MS critical diet" dataDxfId="292"/>
    <tableColumn id="18" xr3:uid="{00000000-0010-0000-0C00-000012000000}" name="Body weight _x000a_(kg)" dataDxfId="291"/>
    <tableColumn id="19" xr3:uid="{00000000-0010-0000-0C00-000013000000}" name="Large portion (edible portion) _x000a_(g/person)" dataDxfId="290"/>
    <tableColumn id="20" xr3:uid="{00000000-0010-0000-0C00-000014000000}" name="Unit weight, _x000a_edible portion _x000a_(g)" dataDxfId="289"/>
    <tableColumn id="21" xr3:uid="{00000000-0010-0000-0C00-000015000000}" name="Source unit weight, edilbe portion" dataDxfId="288"/>
    <tableColumn id="22" xr3:uid="{00000000-0010-0000-0C00-000016000000}" name="Unit weight RAC _x000a_(g)" dataDxfId="287"/>
    <tableColumn id="23" xr3:uid="{00000000-0010-0000-0C00-000017000000}" name="Source unit weight RAC" dataDxfId="286"/>
    <tableColumn id="24" xr3:uid="{00000000-0010-0000-0C00-000018000000}" name="Case" dataDxfId="285">
      <calculatedColumnFormula>IF(V12="ND","ND",IF(S12="","",IF(OR(MID(C12,1,4)="milk",AND(MID(B12,1,2)="50",NOT(input_values!M12="Y")),AND(MID(B12,1,2)="40",NOT(input_values!M12="Y")),AND(MID(B12,1,2)="30",NOT(input_values!M12="Y"))),3,IF(OR(V12="&lt;25",B12&gt;1000000),1,IF((T12&gt;=S12),"2b","2a")))))</calculatedColumnFormula>
    </tableColumn>
    <tableColumn id="25" xr3:uid="{00000000-0010-0000-0C00-000019000000}" name="Variability _x000a_factor for IESTI " dataDxfId="284">
      <calculatedColumnFormula>IF(X12="ND","ND",IF(S12="","",IF(input_values!K12&gt;0,input_values!K12,IF(OR(X12=1,X12=3),1,IF((V12&gt;250),5,7)))))</calculatedColumnFormula>
    </tableColumn>
    <tableColumn id="26" xr3:uid="{00000000-0010-0000-0C00-00001A000000}" name="IESTI _x000a_mg/kg bw/day" dataDxfId="283">
      <calculatedColumnFormula>IF(OR(ISTEXT(F12),F12=0),"",IF(OR(S12="ND",T12="ND"),"ND",IF(($X12="2a"),1/$R12*(($F12*$T12/1000*$Y12)+($F12*($S12-$T12)/1000)),IF(($X12="2b"),1/$R12*($F12*$S12/1000*$Y12),1/$R12*($F12*$S12/1000)))))</calculatedColumnFormula>
    </tableColumn>
    <tableColumn id="27" xr3:uid="{00000000-0010-0000-0C00-00001B000000}" name="IESTI in % ARfD_x000a_(alternatively % ADI)" dataDxfId="282">
      <calculatedColumnFormula>IF(OR(ISTEXT(F12),F12=0),0,IF($C$5="not necessary","no acuteRA",IF(Z12="ND","no acute RA",Z12/$C$5)))</calculatedColumnFormula>
    </tableColumn>
    <tableColumn id="28" xr3:uid="{00000000-0010-0000-0C00-00001C000000}" name="Variability factor for IESTI new" dataDxfId="281">
      <calculatedColumnFormula>IF(OR(Y12=5,Y12=7,N12&gt;3),3,Y12)</calculatedColumnFormula>
    </tableColumn>
    <tableColumn id="29" xr3:uid="{00000000-0010-0000-0C00-00001D000000}" name="IESTI new_x000a_(mg/kg bw)" dataDxfId="280">
      <calculatedColumnFormula>IF(OR(ISTEXT(H12),H12=0),"",IF(OR(S12="ND",T12="ND"),"ND",1/$R12*($H12*$S12*AB12/1000)))</calculatedColumnFormula>
    </tableColumn>
    <tableColumn id="30" xr3:uid="{00000000-0010-0000-0C00-00001E000000}" name="IESTI new in % ARfD_x000a_(alternatively % ADI)" dataDxfId="279">
      <calculatedColumnFormula>IF(OR(ISTEXT(H12),H12=0,S12=0),0,IF($C$5="not necessary","no acute RA",IF(AC12="ND","no acute RA",AC12/$C$5)))</calculatedColumnFormula>
    </tableColumn>
    <tableColumn id="31" xr3:uid="{00000000-0010-0000-0C00-00001F000000}" name="Threshold MRL _x000a_IESTI _x000a_(mg/kg)" dataDxfId="278">
      <calculatedColumnFormula>IF(AA12&gt;=1,AG12,"")</calculatedColumnFormula>
    </tableColumn>
    <tableColumn id="32" xr3:uid="{00000000-0010-0000-0C00-000020000000}" name="Threshold MRL _x000a_IESTI  new_x000a_(mg/kg)" dataDxfId="277">
      <calculatedColumnFormula>IF(AD12&gt;=1,AH12,"")</calculatedColumnFormula>
    </tableColumn>
    <tableColumn id="33" xr3:uid="{00000000-0010-0000-0C00-000021000000}" name="threshold calculation IESTI _x000a_ARfD&gt;0" dataDxfId="276">
      <calculatedColumnFormula>IF(OR(Z12=0,Z12="ND",Z12="",$C$5="not necessary"),"",IF(X12="2a",1000*$C$5*R12/(T12*Y12+S12-T12),IF(X12="2b",1000*$C$5*R12/S12/Y12,IF(OR(X12=1,X12=3),1000*$C$5*R12/S12,""))))</calculatedColumnFormula>
    </tableColumn>
    <tableColumn id="34" xr3:uid="{00000000-0010-0000-0C00-000022000000}" name="threshold calculation IESTI new_x000a_ARfD&gt;0" dataDxfId="275">
      <calculatedColumnFormula>IF(OR(AC12=0,AC12="ND",AC12="",$C$5="not necessary"),"",1000*$C$5*R12/S12/AB12)</calculatedColumnFormula>
    </tableColumn>
    <tableColumn id="35" xr3:uid="{00000000-0010-0000-0C00-000023000000}" name="calculation for Microstrategy" dataDxfId="274"/>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Table9" displayName="Table9" ref="A411:AH493" totalsRowShown="0" headerRowDxfId="273" dataDxfId="271" headerRowBorderDxfId="272" tableBorderDxfId="270">
  <autoFilter ref="A411:AH493" xr:uid="{00000000-0009-0000-0100-000009000000}"/>
  <tableColumns count="34">
    <tableColumn id="1" xr3:uid="{00000000-0010-0000-0D00-000001000000}" name="Column1" dataDxfId="269"/>
    <tableColumn id="2" xr3:uid="{00000000-0010-0000-0D00-000002000000}" name="Code no." dataDxfId="268"/>
    <tableColumn id="3" xr3:uid="{00000000-0010-0000-0D00-000003000000}" name="Commodity or group of commodities to which the MRLs apply" dataDxfId="267"/>
    <tableColumn id="4" xr3:uid="{00000000-0010-0000-0D00-000004000000}" name="identifyer" dataDxfId="266">
      <calculatedColumnFormula>VLOOKUP(C412,input_values!$C$412:$BG$538,input_values!$BG$410-2,0)</calculatedColumnFormula>
    </tableColumn>
    <tableColumn id="5" xr3:uid="{00000000-0010-0000-0D00-000005000000}" name="MRL (RAC)" dataDxfId="265">
      <calculatedColumnFormula>VLOOKUP(B412,input_values!$B$412:$M$538,4,FALSE)</calculatedColumnFormula>
    </tableColumn>
    <tableColumn id="6" xr3:uid="{00000000-0010-0000-0D00-000006000000}" name="Input value for IESTI " dataDxfId="264">
      <calculatedColumnFormula>VLOOKUP($D412,Table6[[Identifyer]:[Acute RA IESTI new input value]],input_values!$Q$410,FALSE)</calculatedColumnFormula>
    </tableColumn>
    <tableColumn id="7" xr3:uid="{00000000-0010-0000-0D00-000007000000}" name="IESTI is calculated with" dataDxfId="263">
      <calculatedColumnFormula>VLOOKUP($D412,Table6[[Identifyer]:[Acute RA IESTI new input value]],input_values!$P$410,FALSE)</calculatedColumnFormula>
    </tableColumn>
    <tableColumn id="8" xr3:uid="{00000000-0010-0000-0D00-000008000000}" name="Input value for IESTI new" dataDxfId="262">
      <calculatedColumnFormula>VLOOKUP($D412,Table6[[Identifyer]:[Acute RA IESTI new input value]],input_values!$S$410,FALSE)</calculatedColumnFormula>
    </tableColumn>
    <tableColumn id="9" xr3:uid="{00000000-0010-0000-0D00-000009000000}" name="IESTI new is calculated with" dataDxfId="261">
      <calculatedColumnFormula>VLOOKUP($D412,Table6[[Identifyer]:[Acute RA IESTI new input value]],input_values!$R$410,FALSE)</calculatedColumnFormula>
    </tableColumn>
    <tableColumn id="10" xr3:uid="{00000000-0010-0000-0D00-00000A000000}" name="Comment" dataDxfId="260"/>
    <tableColumn id="11" xr3:uid="{00000000-0010-0000-0D00-00000B000000}" name="default VF" dataDxfId="259">
      <calculatedColumnFormula>IF(OR(X412=1,X412=3),1,IF(V412&gt;250,5,7))</calculatedColumnFormula>
    </tableColumn>
    <tableColumn id="12" xr3:uid="{00000000-0010-0000-0D00-00000C000000}" name="Post-harvest treatment" dataDxfId="258">
      <calculatedColumnFormula>VLOOKUP(D412,input_values!$A$412:$BB$538,input_values!$AA$410,FALSE)</calculatedColumnFormula>
    </tableColumn>
    <tableColumn id="13" xr3:uid="{00000000-0010-0000-0D00-00000D000000}" name="Processing factor" dataDxfId="257">
      <calculatedColumnFormula>VLOOKUP(D412,input_values!$A$412:$BB$538,input_values!$Y$410,FALSE)</calculatedColumnFormula>
    </tableColumn>
    <tableColumn id="14" xr3:uid="{00000000-0010-0000-0D00-00000E000000}" name="Empirical Variability factor" dataDxfId="256">
      <calculatedColumnFormula>IF(VLOOKUP(D412,input_values!$A$412:$BB$538,input_values!$L$410,FALSE)&lt;&gt;"",VLOOKUP(D412,input_values!$A$412:$BB$538,input_values!$L$410,FALSE),"")</calculatedColumnFormula>
    </tableColumn>
    <tableColumn id="15" xr3:uid="{00000000-0010-0000-0D00-00000F000000}" name="Critical food intake reported &quot;as consumed&quot; (g/kg bw)" dataDxfId="255"/>
    <tableColumn id="16" xr3:uid="{00000000-0010-0000-0D00-000010000000}" name="Percentile" dataDxfId="254"/>
    <tableColumn id="17" xr3:uid="{00000000-0010-0000-0D00-000011000000}" name="MS critical diet" dataDxfId="253"/>
    <tableColumn id="18" xr3:uid="{00000000-0010-0000-0D00-000012000000}" name="Body weight (kg)" dataDxfId="252"/>
    <tableColumn id="19" xr3:uid="{00000000-0010-0000-0D00-000013000000}" name="Large portion (&quot;as consumed&quot;) (g/person)" dataDxfId="251">
      <calculatedColumnFormula>O412*R412</calculatedColumnFormula>
    </tableColumn>
    <tableColumn id="20" xr3:uid="{00000000-0010-0000-0D00-000014000000}" name="Unit weight, edible portion (g)" dataDxfId="250"/>
    <tableColumn id="21" xr3:uid="{00000000-0010-0000-0D00-000015000000}" name="Source unit weight, edilbe portion" dataDxfId="249"/>
    <tableColumn id="22" xr3:uid="{00000000-0010-0000-0D00-000016000000}" name="Unit weight RAC (g)" dataDxfId="248"/>
    <tableColumn id="23" xr3:uid="{00000000-0010-0000-0D00-000017000000}" name="Source unit weight RAC" dataDxfId="247"/>
    <tableColumn id="24" xr3:uid="{00000000-0010-0000-0D00-000018000000}" name="Case" dataDxfId="246"/>
    <tableColumn id="25" xr3:uid="{00000000-0010-0000-0D00-000019000000}" name="Variability factor for IESTI " dataDxfId="245">
      <calculatedColumnFormula>IF(OR(Table9[[#This Row],[Case]]=1,Table9[[#This Row],[Case]]=3),1,IF(N412="",K412,N412))</calculatedColumnFormula>
    </tableColumn>
    <tableColumn id="26" xr3:uid="{00000000-0010-0000-0D00-00001A000000}" name="IESTI mg/kg bw/day" dataDxfId="244">
      <calculatedColumnFormula>IF(F412&lt;&gt;"",IF(OR($X412=3,$X412=1),1/$R412*($F412*$S412/1000*$Y412),IF(($X412="2a"),1/$R412*(($F412*$T412/1000*$Y412)+($F412*($S412-$T412)/1000)),IF($X412="2b",1/$R412*($F412*$S412/1000*$Y412)))),"ND")</calculatedColumnFormula>
    </tableColumn>
    <tableColumn id="27" xr3:uid="{00000000-0010-0000-0D00-00001B000000}" name="IESTI  in % ARfD" dataDxfId="243">
      <calculatedColumnFormula>IF($C$5="not necessary","no acute RA",IF(Z412="ND","no acute RA",Z412/$C$5))</calculatedColumnFormula>
    </tableColumn>
    <tableColumn id="28" xr3:uid="{00000000-0010-0000-0D00-00001C000000}" name="Variability factor for IESTI new" dataDxfId="242">
      <calculatedColumnFormula>IF(OR(Table9[[#This Row],[Case]]=3,Table9[[#This Row],[Case]]=1),1,IF(Table9[[#This Row],[Variability factor for IESTI ]]&lt;3,Table9[[#This Row],[Variability factor for IESTI ]],3))</calculatedColumnFormula>
    </tableColumn>
    <tableColumn id="29" xr3:uid="{00000000-0010-0000-0D00-00001D000000}" name="IESTI new (mg/kg bw)" dataDxfId="241">
      <calculatedColumnFormula>IF(OR(ISTEXT(H412),H412=0),"ND",1/$R412*($H412*$S412*AB412/1000))</calculatedColumnFormula>
    </tableColumn>
    <tableColumn id="30" xr3:uid="{00000000-0010-0000-0D00-00001E000000}" name="IESTI new in % ARfD (alternatively % ADI)" dataDxfId="240">
      <calculatedColumnFormula>IF($C$5="not necessary","no acute RA",IF(AC412="ND","no acute RA",IF(Table9[[#This Row],[IESTI new (mg/kg bw)]]&lt;&gt;"",AC412/$C$5,0)))</calculatedColumnFormula>
    </tableColumn>
    <tableColumn id="31" xr3:uid="{00000000-0010-0000-0D00-00001F000000}" name="Threshold residue IESTI (mg/kg)" dataDxfId="239">
      <calculatedColumnFormula>IF(AA412&gt;=1,AG412,"")</calculatedColumnFormula>
    </tableColumn>
    <tableColumn id="32" xr3:uid="{00000000-0010-0000-0D00-000020000000}" name="Threshold residue IESTI  new (mg/kg)" dataDxfId="238">
      <calculatedColumnFormula>IF(AD412&gt;=1,AH412,"")</calculatedColumnFormula>
    </tableColumn>
    <tableColumn id="33" xr3:uid="{00000000-0010-0000-0D00-000021000000}" name="threshold calculation IESTI _x000a_ARfD&gt;0" dataDxfId="237">
      <calculatedColumnFormula>IF(OR(Z412=0,Z412="ND",Z412="",$C$5="not necessary"),"",IF(X412="2a",1000*$C$5*R412/Table9[[#This Row],[Processing factor]]/(T412*Y412+S412-T412),IF(X412="2b",1000*$C$5*R412/Table9[[#This Row],[Processing factor]]/S412/Y412,IF(OR(X412=1,X412=3),1000*$C$5*R412/Table9[[#This Row],[Processing factor]]/S412,""))))</calculatedColumnFormula>
    </tableColumn>
    <tableColumn id="34" xr3:uid="{00000000-0010-0000-0D00-000022000000}" name="threshold calculation IESTI new_x000a_ARfD&gt;0" dataDxfId="236">
      <calculatedColumnFormula>IF(OR(AC412=0,AC412="ND",$C$5="not necessary"),"",1000*$C$5*R412/Table9[[#This Row],[Processing factor]]/S412/AB412)</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0E000000}" name="Table173" displayName="Table173" ref="A11:BC393" totalsRowShown="0" headerRowDxfId="235" headerRowBorderDxfId="234" tableBorderDxfId="233" totalsRowBorderDxfId="232">
  <autoFilter ref="A11:BC393" xr:uid="{00000000-0009-0000-0100-0000AD000000}"/>
  <tableColumns count="55">
    <tableColumn id="1" xr3:uid="{00000000-0010-0000-0E00-000001000000}" name="level" dataDxfId="231"/>
    <tableColumn id="2" xr3:uid="{00000000-0010-0000-0E00-000002000000}" name="Code no. (1)" dataDxfId="230"/>
    <tableColumn id="3" xr3:uid="{00000000-0010-0000-0E00-000003000000}" name="Examples of individual products within the groups to which the MRLs apply" dataDxfId="229"/>
    <tableColumn id="4" xr3:uid="{00000000-0010-0000-0E00-000004000000}" name="line to be used for chronic calculation" dataDxfId="228"/>
    <tableColumn id="8" xr3:uid="{00000000-0010-0000-0E00-000008000000}" name="DE child" dataDxfId="227"/>
    <tableColumn id="9" xr3:uid="{00000000-0010-0000-0E00-000009000000}" name="DK child" dataDxfId="226"/>
    <tableColumn id="10" xr3:uid="{00000000-0010-0000-0E00-00000A000000}" name="ES child" dataDxfId="225"/>
    <tableColumn id="11" xr3:uid="{00000000-0010-0000-0E00-00000B000000}" name="FR infant" dataDxfId="224"/>
    <tableColumn id="12" xr3:uid="{00000000-0010-0000-0E00-00000C000000}" name="FR toddler 2 3 yr" dataDxfId="223"/>
    <tableColumn id="13" xr3:uid="{00000000-0010-0000-0E00-00000D000000}" name="FR child 3 15 yr" dataDxfId="222"/>
    <tableColumn id="14" xr3:uid="{00000000-0010-0000-0E00-00000E000000}" name="IT toddler" dataDxfId="221"/>
    <tableColumn id="15" xr3:uid="{00000000-0010-0000-0E00-00000F000000}" name="NL toddler" dataDxfId="220"/>
    <tableColumn id="16" xr3:uid="{00000000-0010-0000-0E00-000010000000}" name="NL child" dataDxfId="219"/>
    <tableColumn id="17" xr3:uid="{00000000-0010-0000-0E00-000011000000}" name="UK infant" dataDxfId="218"/>
    <tableColumn id="18" xr3:uid="{00000000-0010-0000-0E00-000012000000}" name="UK toddler" dataDxfId="217"/>
    <tableColumn id="19" xr3:uid="{00000000-0010-0000-0E00-000013000000}" name="DK adult" dataDxfId="216"/>
    <tableColumn id="20" xr3:uid="{00000000-0010-0000-0E00-000014000000}" name="ES adult" dataDxfId="215"/>
    <tableColumn id="21" xr3:uid="{00000000-0010-0000-0E00-000015000000}" name="FI adult" dataDxfId="214"/>
    <tableColumn id="22" xr3:uid="{00000000-0010-0000-0E00-000016000000}" name="FR adult" dataDxfId="213"/>
    <tableColumn id="23" xr3:uid="{00000000-0010-0000-0E00-000017000000}" name="Column7" dataDxfId="212"/>
    <tableColumn id="24" xr3:uid="{00000000-0010-0000-0E00-000018000000}" name="IE adult" dataDxfId="211"/>
    <tableColumn id="25" xr3:uid="{00000000-0010-0000-0E00-000019000000}" name="IT adult" dataDxfId="210"/>
    <tableColumn id="26" xr3:uid="{00000000-0010-0000-0E00-00001A000000}" name="LT adult" dataDxfId="209"/>
    <tableColumn id="27" xr3:uid="{00000000-0010-0000-0E00-00001B000000}" name="NL general" dataDxfId="208"/>
    <tableColumn id="28" xr3:uid="{00000000-0010-0000-0E00-00001C000000}" name="PL general" dataDxfId="207"/>
    <tableColumn id="29" xr3:uid="{00000000-0010-0000-0E00-00001D000000}" name="PT general" dataDxfId="206"/>
    <tableColumn id="30" xr3:uid="{00000000-0010-0000-0E00-00001E000000}" name="RO general" dataDxfId="205"/>
    <tableColumn id="31" xr3:uid="{00000000-0010-0000-0E00-00001F000000}" name="SE general" dataDxfId="204"/>
    <tableColumn id="32" xr3:uid="{00000000-0010-0000-0E00-000020000000}" name="UK adult" dataDxfId="203"/>
    <tableColumn id="33" xr3:uid="{00000000-0010-0000-0E00-000021000000}" name="UK vegetarian" dataDxfId="202"/>
    <tableColumn id="34" xr3:uid="{00000000-0010-0000-0E00-000022000000}" name="GEMS/Food G06" dataDxfId="201"/>
    <tableColumn id="35" xr3:uid="{00000000-0010-0000-0E00-000023000000}" name="GEMS/Food G07" dataDxfId="200"/>
    <tableColumn id="36" xr3:uid="{00000000-0010-0000-0E00-000024000000}" name="GEMS/Food G08" dataDxfId="199"/>
    <tableColumn id="37" xr3:uid="{00000000-0010-0000-0E00-000025000000}" name="GEMS/Food G10" dataDxfId="198"/>
    <tableColumn id="38" xr3:uid="{00000000-0010-0000-0E00-000026000000}" name="GEMS/Food G11" dataDxfId="197"/>
    <tableColumn id="39" xr3:uid="{00000000-0010-0000-0E00-000027000000}" name="GEMS/Food G15" dataDxfId="196"/>
    <tableColumn id="40" xr3:uid="{00000000-0010-0000-0E00-000028000000}" name="DE general" dataDxfId="195"/>
    <tableColumn id="5" xr3:uid="{00000000-0010-0000-0E00-000005000000}" name="DE women 14-50 yr" dataDxfId="194"/>
    <tableColumn id="6" xr3:uid="{00000000-0010-0000-0E00-000006000000}" name="IE child" dataDxfId="193"/>
    <tableColumn id="7" xr3:uid="{00000000-0010-0000-0E00-000007000000}" name="FI 3 yr" dataDxfId="192"/>
    <tableColumn id="41" xr3:uid="{00000000-0010-0000-0E00-000029000000}" name="FI 6 yr" dataDxfId="191"/>
    <tableColumn id="49" xr3:uid="{00000000-0010-0000-0E00-000031000000}" name="Column1" dataDxfId="190">
      <calculatedColumnFormula>SUM(AP13,AP20,AP33,AP40,AP46,AP66)</calculatedColumnFormula>
    </tableColumn>
    <tableColumn id="48" xr3:uid="{00000000-0010-0000-0E00-000030000000}" name="Column2"/>
    <tableColumn id="47" xr3:uid="{00000000-0010-0000-0E00-00002F000000}" name="Column3"/>
    <tableColumn id="46" xr3:uid="{00000000-0010-0000-0E00-00002E000000}" name="Column4"/>
    <tableColumn id="50" xr3:uid="{00000000-0010-0000-0E00-000032000000}" name="Column5"/>
    <tableColumn id="55" xr3:uid="{00000000-0010-0000-0E00-000037000000}" name="Column6"/>
    <tableColumn id="54" xr3:uid="{00000000-0010-0000-0E00-000036000000}" name="Column124"/>
    <tableColumn id="53" xr3:uid="{00000000-0010-0000-0E00-000035000000}" name="Column123"/>
    <tableColumn id="52" xr3:uid="{00000000-0010-0000-0E00-000034000000}" name="Contains formula"/>
    <tableColumn id="51" xr3:uid="{00000000-0010-0000-0E00-000033000000}" name="Column13"/>
    <tableColumn id="42" xr3:uid="{00000000-0010-0000-0E00-00002A000000}" name="Maximum consumption " dataDxfId="189">
      <calculatedColumnFormula>MAX(E12:AY12)</calculatedColumnFormula>
    </tableColumn>
    <tableColumn id="43" xr3:uid="{00000000-0010-0000-0E00-00002B000000}" name="diet (max)" dataDxfId="188">
      <calculatedColumnFormula>INDEX($E$11:$AY$11,MATCH(AZ12,E12:AY12,0))</calculatedColumnFormula>
    </tableColumn>
    <tableColumn id="44" xr3:uid="{00000000-0010-0000-0E00-00002C000000}" name="Minimum consumption among diets with consumption &gt;0" dataDxfId="187">
      <calculatedColumnFormula>MIN(E12:AY12)</calculatedColumnFormula>
    </tableColumn>
    <tableColumn id="45" xr3:uid="{00000000-0010-0000-0E00-00002D000000}" name="diet (min)" dataDxfId="186">
      <calculatedColumnFormula>IF(BB12=0,"",INDEX($E$11:$AY$11,MATCH(BB12,E12:AY12,0)))</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411:AU791" totalsRowShown="0" headerRowDxfId="185" dataDxfId="183" headerRowBorderDxfId="184" tableBorderDxfId="182" totalsRowBorderDxfId="181">
  <autoFilter ref="A411:AU791" xr:uid="{00000000-0009-0000-0100-00000A000000}"/>
  <tableColumns count="47">
    <tableColumn id="1" xr3:uid="{00000000-0010-0000-0F00-000001000000}" name="level" dataDxfId="180">
      <calculatedColumnFormula>acute_overview_children!A12</calculatedColumnFormula>
    </tableColumn>
    <tableColumn id="2" xr3:uid="{00000000-0010-0000-0F00-000002000000}" name="Code no. (1)" dataDxfId="179">
      <calculatedColumnFormula>acute_overview_children!B12</calculatedColumnFormula>
    </tableColumn>
    <tableColumn id="3" xr3:uid="{00000000-0010-0000-0F00-000003000000}" name="Examples of individual products within the groups to which the MRLs apply" dataDxfId="178">
      <calculatedColumnFormula>acute_overview_children!C12</calculatedColumnFormula>
    </tableColumn>
    <tableColumn id="4" xr3:uid="{00000000-0010-0000-0F00-000004000000}" name="line to be used for calculation" dataDxfId="177"/>
    <tableColumn id="5" xr3:uid="{00000000-0010-0000-0F00-000005000000}" name="DE child" dataDxfId="176"/>
    <tableColumn id="6" xr3:uid="{00000000-0010-0000-0F00-000006000000}" name="DK child" dataDxfId="175"/>
    <tableColumn id="7" xr3:uid="{00000000-0010-0000-0F00-000007000000}" name="ES child" dataDxfId="174"/>
    <tableColumn id="8" xr3:uid="{00000000-0010-0000-0F00-000008000000}" name="FR infant" dataDxfId="173"/>
    <tableColumn id="9" xr3:uid="{00000000-0010-0000-0F00-000009000000}" name="FR toddler 2 3 yr" dataDxfId="172"/>
    <tableColumn id="10" xr3:uid="{00000000-0010-0000-0F00-00000A000000}" name="FR child 3 15 yr" dataDxfId="171"/>
    <tableColumn id="11" xr3:uid="{00000000-0010-0000-0F00-00000B000000}" name="IT toddler" dataDxfId="170"/>
    <tableColumn id="12" xr3:uid="{00000000-0010-0000-0F00-00000C000000}" name="NL toddler" dataDxfId="169"/>
    <tableColumn id="13" xr3:uid="{00000000-0010-0000-0F00-00000D000000}" name="NL child" dataDxfId="168"/>
    <tableColumn id="14" xr3:uid="{00000000-0010-0000-0F00-00000E000000}" name="UK infant" dataDxfId="167"/>
    <tableColumn id="15" xr3:uid="{00000000-0010-0000-0F00-00000F000000}" name="UK toddler" dataDxfId="166"/>
    <tableColumn id="16" xr3:uid="{00000000-0010-0000-0F00-000010000000}" name="DK adult" dataDxfId="165"/>
    <tableColumn id="17" xr3:uid="{00000000-0010-0000-0F00-000011000000}" name="ES adult" dataDxfId="164"/>
    <tableColumn id="18" xr3:uid="{00000000-0010-0000-0F00-000012000000}" name="FI adult" dataDxfId="163"/>
    <tableColumn id="19" xr3:uid="{00000000-0010-0000-0F00-000013000000}" name="FR adult" dataDxfId="162"/>
    <tableColumn id="20" xr3:uid="{00000000-0010-0000-0F00-000014000000}" name="Column1" dataDxfId="161"/>
    <tableColumn id="21" xr3:uid="{00000000-0010-0000-0F00-000015000000}" name="IE adult" dataDxfId="160"/>
    <tableColumn id="22" xr3:uid="{00000000-0010-0000-0F00-000016000000}" name="IT adult" dataDxfId="159"/>
    <tableColumn id="23" xr3:uid="{00000000-0010-0000-0F00-000017000000}" name="LT adult" dataDxfId="158"/>
    <tableColumn id="24" xr3:uid="{00000000-0010-0000-0F00-000018000000}" name="NL general" dataDxfId="157"/>
    <tableColumn id="25" xr3:uid="{00000000-0010-0000-0F00-000019000000}" name="PL general" dataDxfId="156"/>
    <tableColumn id="26" xr3:uid="{00000000-0010-0000-0F00-00001A000000}" name="PT general" dataDxfId="155"/>
    <tableColumn id="27" xr3:uid="{00000000-0010-0000-0F00-00001B000000}" name="RO general" dataDxfId="154"/>
    <tableColumn id="28" xr3:uid="{00000000-0010-0000-0F00-00001C000000}" name="SE general" dataDxfId="153"/>
    <tableColumn id="29" xr3:uid="{00000000-0010-0000-0F00-00001D000000}" name="UK adult" dataDxfId="152"/>
    <tableColumn id="30" xr3:uid="{00000000-0010-0000-0F00-00001E000000}" name="UK vegetarian" dataDxfId="151"/>
    <tableColumn id="31" xr3:uid="{00000000-0010-0000-0F00-00001F000000}" name="GEMS/Food G06" dataDxfId="150"/>
    <tableColumn id="32" xr3:uid="{00000000-0010-0000-0F00-000020000000}" name="GEMS/Food G07" dataDxfId="149"/>
    <tableColumn id="33" xr3:uid="{00000000-0010-0000-0F00-000021000000}" name="GEMS/Food G08" dataDxfId="148"/>
    <tableColumn id="34" xr3:uid="{00000000-0010-0000-0F00-000022000000}" name="GEMS/Food G10" dataDxfId="147"/>
    <tableColumn id="35" xr3:uid="{00000000-0010-0000-0F00-000023000000}" name="GEMS/Food G11" dataDxfId="146"/>
    <tableColumn id="36" xr3:uid="{00000000-0010-0000-0F00-000024000000}" name="GEMS/Food G15" dataDxfId="145"/>
    <tableColumn id="37" xr3:uid="{00000000-0010-0000-0F00-000025000000}" name="DE general" dataDxfId="144"/>
    <tableColumn id="38" xr3:uid="{00000000-0010-0000-0F00-000026000000}" name="DE women 14-50 yr" dataDxfId="143"/>
    <tableColumn id="39" xr3:uid="{00000000-0010-0000-0F00-000027000000}" name="IE child" dataDxfId="142"/>
    <tableColumn id="40" xr3:uid="{00000000-0010-0000-0F00-000028000000}" name="FI 3 yr" dataDxfId="141"/>
    <tableColumn id="41" xr3:uid="{00000000-0010-0000-0F00-000029000000}" name="FI 6 yr" dataDxfId="140"/>
    <tableColumn id="47" xr3:uid="{00000000-0010-0000-0F00-00002F000000}" name="Column24" dataDxfId="139"/>
    <tableColumn id="46" xr3:uid="{00000000-0010-0000-0F00-00002E000000}" name="Column23" dataDxfId="138"/>
    <tableColumn id="45" xr3:uid="{00000000-0010-0000-0F00-00002D000000}" name="Column22" dataDxfId="137"/>
    <tableColumn id="44" xr3:uid="{00000000-0010-0000-0F00-00002C000000}" name="Column3" dataDxfId="136"/>
    <tableColumn id="42" xr3:uid="{00000000-0010-0000-0F00-00002A000000}" name="Maximum consumption " dataDxfId="135"/>
    <tableColumn id="43" xr3:uid="{00000000-0010-0000-0F00-00002B000000}" name="Column35" dataDxfId="13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c.europa.eu/food/plant/pesticides/eu-pesticides-database/public/?event=pesticide.residue.selection&amp;language=EN" TargetMode="External"/><Relationship Id="rId2" Type="http://schemas.openxmlformats.org/officeDocument/2006/relationships/hyperlink" Target="mailto:pesticides.mrl@efsa.europa.eu" TargetMode="External"/><Relationship Id="rId1" Type="http://schemas.openxmlformats.org/officeDocument/2006/relationships/hyperlink" Target="mailto:hermine.reich@efsa.europa.eu" TargetMode="External"/><Relationship Id="rId6" Type="http://schemas.openxmlformats.org/officeDocument/2006/relationships/printerSettings" Target="../printerSettings/printerSettings1.bin"/><Relationship Id="rId5" Type="http://schemas.openxmlformats.org/officeDocument/2006/relationships/hyperlink" Target="http://www.efsa.europa.eu/en/supporting/pub/en-1605" TargetMode="External"/><Relationship Id="rId4" Type="http://schemas.openxmlformats.org/officeDocument/2006/relationships/hyperlink" Target="https://www.efsa.europa.eu/en/efsajournal/pub/5147"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7.vml"/><Relationship Id="rId1" Type="http://schemas.openxmlformats.org/officeDocument/2006/relationships/drawing" Target="../drawings/drawing9.xml"/><Relationship Id="rId5" Type="http://schemas.openxmlformats.org/officeDocument/2006/relationships/comments" Target="../comments7.xml"/><Relationship Id="rId4"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76"/>
  <sheetViews>
    <sheetView workbookViewId="0">
      <selection activeCell="A2" sqref="A2:C2"/>
    </sheetView>
  </sheetViews>
  <sheetFormatPr defaultColWidth="8.85546875" defaultRowHeight="12.75" x14ac:dyDescent="0.2"/>
  <cols>
    <col min="1" max="1" width="14.7109375" customWidth="1"/>
    <col min="2" max="2" width="16.7109375" customWidth="1"/>
    <col min="3" max="3" width="77" customWidth="1"/>
    <col min="6" max="6" width="72.7109375" customWidth="1"/>
    <col min="7" max="7" width="10.7109375" customWidth="1"/>
    <col min="8" max="8" width="26" customWidth="1"/>
  </cols>
  <sheetData>
    <row r="1" spans="1:6" x14ac:dyDescent="0.2">
      <c r="A1" s="892" t="s">
        <v>1063</v>
      </c>
      <c r="B1" s="893"/>
      <c r="C1" s="894"/>
    </row>
    <row r="2" spans="1:6" ht="29.45" customHeight="1" x14ac:dyDescent="0.25">
      <c r="A2" s="1482" t="s">
        <v>1886</v>
      </c>
      <c r="B2" s="1483"/>
      <c r="C2" s="1484"/>
      <c r="D2" s="895"/>
      <c r="E2" s="895"/>
      <c r="F2" s="895"/>
    </row>
    <row r="3" spans="1:6" ht="15" x14ac:dyDescent="0.25">
      <c r="A3" s="891" t="s">
        <v>1071</v>
      </c>
      <c r="B3" s="1485" t="s">
        <v>1072</v>
      </c>
      <c r="C3" s="1486"/>
    </row>
    <row r="4" spans="1:6" ht="29.45" customHeight="1" x14ac:dyDescent="0.2">
      <c r="A4" s="1681" t="s">
        <v>1910</v>
      </c>
      <c r="B4" s="1682"/>
      <c r="C4" s="1683"/>
    </row>
    <row r="5" spans="1:6" ht="15" x14ac:dyDescent="0.25">
      <c r="A5" s="1241" t="s">
        <v>1071</v>
      </c>
      <c r="B5" s="1679" t="s">
        <v>1909</v>
      </c>
      <c r="C5" s="1680"/>
      <c r="F5" s="908"/>
    </row>
    <row r="6" spans="1:6" ht="15" x14ac:dyDescent="0.25">
      <c r="A6" s="1241"/>
      <c r="B6" s="1242"/>
      <c r="C6" s="1242"/>
      <c r="F6" s="908"/>
    </row>
    <row r="7" spans="1:6" x14ac:dyDescent="0.2">
      <c r="A7" s="897" t="s">
        <v>974</v>
      </c>
      <c r="B7" s="897" t="s">
        <v>976</v>
      </c>
      <c r="C7" s="897" t="s">
        <v>975</v>
      </c>
      <c r="F7" s="1167"/>
    </row>
    <row r="8" spans="1:6" x14ac:dyDescent="0.2">
      <c r="A8" s="898" t="s">
        <v>1070</v>
      </c>
      <c r="B8" s="1168">
        <v>43060</v>
      </c>
      <c r="C8" s="899" t="s">
        <v>1135</v>
      </c>
    </row>
    <row r="9" spans="1:6" x14ac:dyDescent="0.2">
      <c r="A9" s="899" t="s">
        <v>1150</v>
      </c>
      <c r="B9" s="1470">
        <v>43543</v>
      </c>
      <c r="C9" s="899" t="s">
        <v>1151</v>
      </c>
    </row>
    <row r="10" spans="1:6" x14ac:dyDescent="0.2">
      <c r="A10" s="898"/>
      <c r="B10" s="898"/>
      <c r="C10" s="898"/>
    </row>
    <row r="12" spans="1:6" x14ac:dyDescent="0.2">
      <c r="A12" s="1243" t="s">
        <v>1075</v>
      </c>
      <c r="B12" s="1244"/>
      <c r="C12" s="1244"/>
    </row>
    <row r="13" spans="1:6" ht="108" customHeight="1" x14ac:dyDescent="0.2">
      <c r="A13" s="1472" t="s">
        <v>1078</v>
      </c>
      <c r="B13" s="1487"/>
      <c r="C13" s="1487"/>
    </row>
    <row r="14" spans="1:6" ht="15" customHeight="1" x14ac:dyDescent="0.2">
      <c r="A14" s="1488" t="s">
        <v>1076</v>
      </c>
      <c r="B14" s="1489"/>
      <c r="C14" s="1489"/>
    </row>
    <row r="15" spans="1:6" ht="42" customHeight="1" x14ac:dyDescent="0.2">
      <c r="A15" s="1472" t="s">
        <v>1887</v>
      </c>
      <c r="B15" s="1490"/>
      <c r="C15" s="1490"/>
    </row>
    <row r="16" spans="1:6" ht="15" customHeight="1" x14ac:dyDescent="0.2">
      <c r="A16" s="1472" t="s">
        <v>1888</v>
      </c>
      <c r="B16" s="1489"/>
      <c r="C16" s="1489"/>
    </row>
    <row r="17" spans="1:6" x14ac:dyDescent="0.2">
      <c r="A17" s="1480" t="s">
        <v>1077</v>
      </c>
      <c r="B17" s="1480"/>
      <c r="C17" s="1480"/>
    </row>
    <row r="18" spans="1:6" ht="17.45" customHeight="1" x14ac:dyDescent="0.2">
      <c r="A18" s="901" t="s">
        <v>1080</v>
      </c>
      <c r="B18" s="902" t="s">
        <v>289</v>
      </c>
      <c r="C18" s="903" t="s">
        <v>1083</v>
      </c>
      <c r="D18" s="104"/>
      <c r="E18" s="104"/>
    </row>
    <row r="19" spans="1:6" ht="16.899999999999999" customHeight="1" x14ac:dyDescent="0.2">
      <c r="A19" s="901" t="s">
        <v>1081</v>
      </c>
      <c r="B19" s="902" t="s">
        <v>262</v>
      </c>
      <c r="C19" s="904" t="s">
        <v>1084</v>
      </c>
      <c r="D19" s="104"/>
      <c r="E19" s="104"/>
    </row>
    <row r="20" spans="1:6" ht="55.15" customHeight="1" x14ac:dyDescent="0.2">
      <c r="A20" s="905" t="s">
        <v>1082</v>
      </c>
      <c r="B20" s="902" t="s">
        <v>1088</v>
      </c>
      <c r="C20" s="906" t="s">
        <v>1085</v>
      </c>
      <c r="D20" s="104"/>
      <c r="E20" s="104"/>
    </row>
    <row r="21" spans="1:6" ht="30" customHeight="1" x14ac:dyDescent="0.2">
      <c r="A21" s="890" t="s">
        <v>1087</v>
      </c>
      <c r="B21" s="904"/>
      <c r="C21" s="903" t="s">
        <v>1086</v>
      </c>
      <c r="D21" s="104"/>
      <c r="E21" s="104"/>
    </row>
    <row r="22" spans="1:6" ht="30" customHeight="1" x14ac:dyDescent="0.2">
      <c r="A22" s="890" t="s">
        <v>1095</v>
      </c>
      <c r="B22" s="904" t="s">
        <v>1009</v>
      </c>
      <c r="C22" s="903" t="s">
        <v>1096</v>
      </c>
      <c r="D22" s="104"/>
      <c r="E22" s="104"/>
    </row>
    <row r="23" spans="1:6" ht="45" customHeight="1" x14ac:dyDescent="0.2">
      <c r="A23" s="907" t="s">
        <v>1091</v>
      </c>
      <c r="B23" s="906" t="s">
        <v>1092</v>
      </c>
      <c r="C23" s="903" t="s">
        <v>1093</v>
      </c>
      <c r="D23" s="104"/>
      <c r="E23" s="104"/>
    </row>
    <row r="24" spans="1:6" ht="136.15" customHeight="1" x14ac:dyDescent="0.2">
      <c r="A24" s="907" t="s">
        <v>1094</v>
      </c>
      <c r="B24" s="104" t="s">
        <v>874</v>
      </c>
      <c r="C24" s="906" t="s">
        <v>1109</v>
      </c>
      <c r="D24" s="104"/>
    </row>
    <row r="25" spans="1:6" ht="16.149999999999999" customHeight="1" x14ac:dyDescent="0.2">
      <c r="A25" s="901" t="s">
        <v>1089</v>
      </c>
      <c r="B25" s="1473" t="s">
        <v>1090</v>
      </c>
      <c r="C25" s="1474"/>
      <c r="D25" s="104"/>
      <c r="E25" s="104"/>
    </row>
    <row r="26" spans="1:6" ht="41.45" customHeight="1" x14ac:dyDescent="0.2">
      <c r="A26" s="901" t="s">
        <v>1079</v>
      </c>
      <c r="B26" s="845" t="s">
        <v>1058</v>
      </c>
      <c r="C26" s="903" t="s">
        <v>1097</v>
      </c>
      <c r="D26" s="908"/>
      <c r="F26" s="909"/>
    </row>
    <row r="27" spans="1:6" ht="63.75" x14ac:dyDescent="0.2">
      <c r="A27" s="910" t="s">
        <v>1098</v>
      </c>
      <c r="B27" s="845" t="s">
        <v>888</v>
      </c>
      <c r="C27" s="903" t="s">
        <v>1111</v>
      </c>
      <c r="D27" s="908"/>
    </row>
    <row r="28" spans="1:6" ht="32.450000000000003" customHeight="1" x14ac:dyDescent="0.2">
      <c r="A28" s="910" t="s">
        <v>1099</v>
      </c>
      <c r="B28" s="845" t="s">
        <v>303</v>
      </c>
      <c r="C28" s="903" t="s">
        <v>1112</v>
      </c>
    </row>
    <row r="29" spans="1:6" ht="42.6" customHeight="1" x14ac:dyDescent="0.2">
      <c r="A29" s="910" t="s">
        <v>1100</v>
      </c>
      <c r="B29" s="845" t="s">
        <v>861</v>
      </c>
      <c r="C29" s="903" t="s">
        <v>1113</v>
      </c>
    </row>
    <row r="30" spans="1:6" ht="31.15" customHeight="1" x14ac:dyDescent="0.2">
      <c r="A30" s="910" t="s">
        <v>1101</v>
      </c>
      <c r="B30" s="845" t="s">
        <v>1004</v>
      </c>
      <c r="C30" s="903" t="s">
        <v>1114</v>
      </c>
    </row>
    <row r="31" spans="1:6" ht="144" customHeight="1" x14ac:dyDescent="0.2">
      <c r="A31" s="910" t="s">
        <v>1102</v>
      </c>
      <c r="B31" s="845" t="s">
        <v>968</v>
      </c>
      <c r="C31" s="903" t="s">
        <v>1116</v>
      </c>
      <c r="F31" s="911"/>
    </row>
    <row r="32" spans="1:6" ht="132" customHeight="1" x14ac:dyDescent="0.2">
      <c r="A32" s="910" t="s">
        <v>1103</v>
      </c>
      <c r="B32" s="845" t="s">
        <v>969</v>
      </c>
      <c r="C32" s="903" t="s">
        <v>1115</v>
      </c>
      <c r="F32" s="911"/>
    </row>
    <row r="33" spans="1:6" ht="43.9" customHeight="1" x14ac:dyDescent="0.25">
      <c r="A33" s="910" t="s">
        <v>1104</v>
      </c>
      <c r="B33" s="845" t="s">
        <v>965</v>
      </c>
      <c r="C33" s="903" t="s">
        <v>1110</v>
      </c>
      <c r="F33" s="896"/>
    </row>
    <row r="34" spans="1:6" ht="191.25" x14ac:dyDescent="0.2">
      <c r="A34" s="910" t="s">
        <v>1105</v>
      </c>
      <c r="B34" s="846" t="s">
        <v>922</v>
      </c>
      <c r="C34" s="903" t="s">
        <v>1108</v>
      </c>
      <c r="F34" s="911"/>
    </row>
    <row r="35" spans="1:6" ht="76.5" x14ac:dyDescent="0.25">
      <c r="A35" s="910" t="s">
        <v>1106</v>
      </c>
      <c r="B35" s="846" t="s">
        <v>643</v>
      </c>
      <c r="C35" s="912" t="s">
        <v>1107</v>
      </c>
      <c r="F35" s="896"/>
    </row>
    <row r="36" spans="1:6" x14ac:dyDescent="0.2">
      <c r="A36" s="901" t="s">
        <v>1089</v>
      </c>
      <c r="B36" s="1473" t="s">
        <v>1848</v>
      </c>
      <c r="C36" s="1474"/>
    </row>
    <row r="37" spans="1:6" ht="63.75" x14ac:dyDescent="0.25">
      <c r="A37" s="910" t="s">
        <v>1117</v>
      </c>
      <c r="B37" s="845" t="s">
        <v>925</v>
      </c>
      <c r="C37" s="906" t="s">
        <v>1119</v>
      </c>
      <c r="F37" s="896"/>
    </row>
    <row r="38" spans="1:6" ht="51" x14ac:dyDescent="0.2">
      <c r="A38" s="910" t="s">
        <v>1118</v>
      </c>
      <c r="B38" s="845" t="s">
        <v>1003</v>
      </c>
      <c r="C38" s="906" t="s">
        <v>1120</v>
      </c>
      <c r="F38" s="908"/>
    </row>
    <row r="40" spans="1:6" x14ac:dyDescent="0.2">
      <c r="A40" s="913" t="s">
        <v>1121</v>
      </c>
      <c r="B40" s="900"/>
      <c r="C40" s="900"/>
    </row>
    <row r="41" spans="1:6" x14ac:dyDescent="0.2">
      <c r="A41" s="1491" t="s">
        <v>1122</v>
      </c>
      <c r="B41" s="1492"/>
      <c r="C41" s="1492"/>
    </row>
    <row r="42" spans="1:6" x14ac:dyDescent="0.2">
      <c r="A42" s="1493" t="s">
        <v>1123</v>
      </c>
      <c r="B42" s="1493"/>
      <c r="C42" s="1493"/>
      <c r="F42" s="908"/>
    </row>
    <row r="43" spans="1:6" ht="30" customHeight="1" x14ac:dyDescent="0.2">
      <c r="A43" s="1491" t="s">
        <v>1127</v>
      </c>
      <c r="B43" s="1491"/>
      <c r="C43" s="1491"/>
    </row>
    <row r="44" spans="1:6" ht="60" customHeight="1" x14ac:dyDescent="0.2">
      <c r="A44" s="1477" t="s">
        <v>1128</v>
      </c>
      <c r="B44" s="1478"/>
      <c r="C44" s="1479"/>
    </row>
    <row r="45" spans="1:6" ht="63.75" x14ac:dyDescent="0.2">
      <c r="A45" s="914" t="s">
        <v>1124</v>
      </c>
      <c r="B45" s="903" t="s">
        <v>1125</v>
      </c>
      <c r="C45" s="903" t="s">
        <v>1126</v>
      </c>
      <c r="F45" s="908"/>
    </row>
    <row r="51" spans="1:4" x14ac:dyDescent="0.2">
      <c r="A51" s="1480" t="s">
        <v>1873</v>
      </c>
      <c r="B51" s="1480"/>
      <c r="C51" s="1480"/>
    </row>
    <row r="52" spans="1:4" ht="30" customHeight="1" x14ac:dyDescent="0.2">
      <c r="A52" s="1472" t="s">
        <v>1874</v>
      </c>
      <c r="B52" s="1481"/>
      <c r="C52" s="1481"/>
    </row>
    <row r="53" spans="1:4" ht="64.150000000000006" customHeight="1" x14ac:dyDescent="0.2">
      <c r="A53" s="1472" t="s">
        <v>1875</v>
      </c>
      <c r="B53" s="1481"/>
      <c r="C53" s="1481"/>
    </row>
    <row r="54" spans="1:4" x14ac:dyDescent="0.2">
      <c r="A54" s="1472" t="s">
        <v>1885</v>
      </c>
      <c r="B54" s="1481"/>
      <c r="C54" s="1481"/>
      <c r="D54" s="1167" t="s">
        <v>1883</v>
      </c>
    </row>
    <row r="55" spans="1:4" ht="31.15" customHeight="1" x14ac:dyDescent="0.2">
      <c r="A55" s="1472" t="s">
        <v>1884</v>
      </c>
      <c r="B55" s="1481"/>
      <c r="C55" s="1481"/>
    </row>
    <row r="56" spans="1:4" ht="40.9" customHeight="1" x14ac:dyDescent="0.2">
      <c r="A56" s="1472" t="s">
        <v>1879</v>
      </c>
      <c r="B56" s="1481"/>
      <c r="C56" s="1481"/>
    </row>
    <row r="57" spans="1:4" ht="67.900000000000006" customHeight="1" x14ac:dyDescent="0.2">
      <c r="A57" s="1472" t="s">
        <v>1880</v>
      </c>
      <c r="B57" s="1481"/>
      <c r="C57" s="1481"/>
    </row>
    <row r="58" spans="1:4" ht="66.599999999999994" customHeight="1" x14ac:dyDescent="0.2">
      <c r="A58" s="1472" t="s">
        <v>1876</v>
      </c>
      <c r="B58" s="1481"/>
      <c r="C58" s="1481"/>
    </row>
    <row r="59" spans="1:4" ht="43.15" customHeight="1" x14ac:dyDescent="0.2">
      <c r="A59" s="1472" t="s">
        <v>1877</v>
      </c>
      <c r="B59" s="1481"/>
      <c r="C59" s="1481"/>
    </row>
    <row r="60" spans="1:4" ht="42" customHeight="1" x14ac:dyDescent="0.2">
      <c r="A60" s="1472" t="s">
        <v>1878</v>
      </c>
      <c r="B60" s="1481"/>
      <c r="C60" s="1481"/>
    </row>
    <row r="61" spans="1:4" x14ac:dyDescent="0.2">
      <c r="A61" s="1472"/>
      <c r="B61" s="1481"/>
      <c r="C61" s="1481"/>
    </row>
    <row r="62" spans="1:4" x14ac:dyDescent="0.2">
      <c r="A62" s="1472"/>
      <c r="B62" s="1481"/>
      <c r="C62" s="1481"/>
    </row>
    <row r="63" spans="1:4" x14ac:dyDescent="0.2">
      <c r="A63" s="1472"/>
      <c r="B63" s="1481"/>
      <c r="C63" s="1481"/>
    </row>
    <row r="64" spans="1:4" x14ac:dyDescent="0.2">
      <c r="A64" s="1472"/>
      <c r="B64" s="1481"/>
      <c r="C64" s="1481"/>
    </row>
    <row r="66" spans="1:3" x14ac:dyDescent="0.2">
      <c r="A66" s="900" t="s">
        <v>1129</v>
      </c>
    </row>
    <row r="67" spans="1:3" ht="30.6" customHeight="1" x14ac:dyDescent="0.2">
      <c r="A67" s="1472" t="s">
        <v>1130</v>
      </c>
      <c r="B67" s="1472"/>
      <c r="C67" s="1472"/>
    </row>
    <row r="68" spans="1:3" ht="32.450000000000003" customHeight="1" x14ac:dyDescent="0.2">
      <c r="A68" s="1472" t="s">
        <v>1131</v>
      </c>
      <c r="B68" s="1472"/>
      <c r="C68" s="1472"/>
    </row>
    <row r="69" spans="1:3" ht="58.9" customHeight="1" x14ac:dyDescent="0.2">
      <c r="A69" s="1472" t="s">
        <v>1132</v>
      </c>
      <c r="B69" s="1472"/>
      <c r="C69" s="1472"/>
    </row>
    <row r="70" spans="1:3" ht="28.15" customHeight="1" x14ac:dyDescent="0.2">
      <c r="A70" s="1472" t="s">
        <v>1133</v>
      </c>
      <c r="B70" s="1472"/>
      <c r="C70" s="1472"/>
    </row>
    <row r="73" spans="1:3" ht="31.9" customHeight="1" x14ac:dyDescent="0.2">
      <c r="A73" s="1475" t="s">
        <v>1064</v>
      </c>
      <c r="B73" s="1476"/>
      <c r="C73" s="915" t="s">
        <v>1065</v>
      </c>
    </row>
    <row r="74" spans="1:3" x14ac:dyDescent="0.2">
      <c r="A74" s="916" t="s">
        <v>1073</v>
      </c>
      <c r="C74" s="843" t="s">
        <v>1066</v>
      </c>
    </row>
    <row r="75" spans="1:3" x14ac:dyDescent="0.2">
      <c r="A75" s="916" t="s">
        <v>1074</v>
      </c>
      <c r="C75" s="844" t="s">
        <v>1067</v>
      </c>
    </row>
    <row r="76" spans="1:3" x14ac:dyDescent="0.2">
      <c r="A76" s="917" t="s">
        <v>1068</v>
      </c>
      <c r="B76" s="918"/>
      <c r="C76" s="919" t="s">
        <v>1069</v>
      </c>
    </row>
  </sheetData>
  <sheetProtection sheet="1" objects="1" scenarios="1" formatCells="0" formatColumns="0" formatRows="0"/>
  <mergeCells count="34">
    <mergeCell ref="A60:C60"/>
    <mergeCell ref="A61:C61"/>
    <mergeCell ref="A62:C62"/>
    <mergeCell ref="A63:C63"/>
    <mergeCell ref="A64:C64"/>
    <mergeCell ref="A17:C17"/>
    <mergeCell ref="B36:C36"/>
    <mergeCell ref="A41:C41"/>
    <mergeCell ref="A42:C42"/>
    <mergeCell ref="A43:C43"/>
    <mergeCell ref="A2:C2"/>
    <mergeCell ref="B3:C3"/>
    <mergeCell ref="A13:C13"/>
    <mergeCell ref="A14:C14"/>
    <mergeCell ref="A16:C16"/>
    <mergeCell ref="A15:C15"/>
    <mergeCell ref="A4:C4"/>
    <mergeCell ref="B5:C5"/>
    <mergeCell ref="A68:C68"/>
    <mergeCell ref="A69:C69"/>
    <mergeCell ref="A70:C70"/>
    <mergeCell ref="B25:C25"/>
    <mergeCell ref="A73:B73"/>
    <mergeCell ref="A44:C44"/>
    <mergeCell ref="A67:C67"/>
    <mergeCell ref="A51:C51"/>
    <mergeCell ref="A52:C52"/>
    <mergeCell ref="A53:C53"/>
    <mergeCell ref="A54:C54"/>
    <mergeCell ref="A55:C55"/>
    <mergeCell ref="A56:C56"/>
    <mergeCell ref="A57:C57"/>
    <mergeCell ref="A58:C58"/>
    <mergeCell ref="A59:C59"/>
  </mergeCells>
  <dataValidations count="12">
    <dataValidation allowBlank="1" showInputMessage="1" showErrorMessage="1" promptTitle="Post-harvest treatment" prompt="Valid entries _x000a_-Y,_x000a_-N,_x000a_-blank_x000a_Information relevant for the acute exposure assesssment for pulses, cereals and oilseeds. _x000a_For other crops: optional information _x000a_For other crops, this information is not used for the calculation." sqref="B35" xr:uid="{00000000-0002-0000-0000-000000000000}"/>
    <dataValidation allowBlank="1" showInputMessage="1" showErrorMessage="1" promptTitle="Median residue (STMR-RAC)" prompt="The STMR-RAC is derived for the residue definition enforcment. In case the RD for risk assessment is different, a CF for residue definition needs to be entered in column F._x000a_Alternatively, the STMR for the risk assessment RD can be entered (CF=1). " sqref="B31" xr:uid="{00000000-0002-0000-0000-000001000000}"/>
    <dataValidation allowBlank="1" showInputMessage="1" showErrorMessage="1" promptTitle="Highest residue (HR-RAC)" prompt="The HR-RAC is derived for theRD enforcment. _x000a_In case the RD for risk assessment is different, a CF for residue definition needs to be entered in column F._x000a_Alternatively, the HR-RAC for the RD risk assessment can be entered in this column (CF =1)._x000a_" sqref="B32" xr:uid="{00000000-0002-0000-0000-000002000000}"/>
    <dataValidation allowBlank="1" showInputMessage="1" showErrorMessage="1" promptTitle="Alternative variability factor" prompt="Please insert a variablity factor in this column, if the calculation should be performed with a variability factor different to the default variability factor (e.g. empirical VF, VF of 10 for granular uses). " sqref="B33" xr:uid="{00000000-0002-0000-0000-000003000000}"/>
    <dataValidation allowBlank="1" showInputMessage="1" showErrorMessage="1" promptTitle="GAP under assessment" prompt="This column is intended to label the crops that shall be included in the risk assessment. _x000a_Valid entries: _x000a_-Y: to be used for labelling authorised uses _x000a_-N: confirmation that the use is not authorised; crop not used for exposure calculation_x000a_-blank cell_x000a_" sqref="B34" xr:uid="{00000000-0002-0000-0000-000004000000}"/>
    <dataValidation allowBlank="1" showInputMessage="1" showErrorMessage="1" promptTitle="Conversion factor riskassessment" prompt="Insert the respective conversion factor for the residue definition for risk assessment. " sqref="B29" xr:uid="{00000000-0002-0000-0000-000005000000}"/>
    <dataValidation allowBlank="1" showInputMessage="1" showErrorMessage="1" promptTitle="Not mandatory" prompt="Possible entries for labelling the MRL: _x000a_Codex MRL, _x000a_proposed MRL, _x000a_existing EU MRL, _x000a_import tolerance_x000a_etc. _x000a__x000a_" sqref="B26" xr:uid="{00000000-0002-0000-0000-000006000000}"/>
    <dataValidation allowBlank="1" showInputMessage="1" showErrorMessage="1" promptTitle="Peeling factor" prompt="The appropriate peeling factor has to be inserted for each relevant crop separately. For crops highlighted in grey, peeling factors are not considered  in exposure assessment. " sqref="B30" xr:uid="{00000000-0002-0000-0000-000007000000}"/>
    <dataValidation allowBlank="1" showInputMessage="1" showErrorMessage="1" promptTitle="MRL/proposed MRL" prompt="Insert existing or proposed MRL corresponding to the STMR-RAC and HR-RAC for which the risk assessment should be performed. " sqref="B27" xr:uid="{00000000-0002-0000-0000-000008000000}"/>
    <dataValidation allowBlank="1" showInputMessage="1" showErrorMessage="1" promptTitle="Limit of Quantification" prompt="If the MRL reported in column D is equivalent to the limit of quantification (LOQ), please inserting an asterisk (*) in this column. _x000a_Valid entries: _x000a_blank-  for MRLs &gt;LOQ_x000a_* - for MRLs equal to LOQ" sqref="B28" xr:uid="{00000000-0002-0000-0000-000009000000}"/>
    <dataValidation allowBlank="1" showInputMessage="1" showErrorMessage="1" promptTitle="CFrisk for RD processed product" prompt="If the RD for enforcement and for RA for processed products differ, a conversion factor has to be inserted. _x000a_If the field is empty, the CF of colum G is used. " sqref="B37" xr:uid="{00000000-0002-0000-0000-00000A000000}"/>
    <dataValidation allowBlank="1" showInputMessage="1" showErrorMessage="1" promptTitle="Attention" prompt="The PF for the residue definition for enforcement should be inserted._x000a_In the cells highlighted in dark green, a default processing factor is used, if no specific processing factor is inserted. " sqref="B38" xr:uid="{00000000-0002-0000-0000-00000B000000}"/>
  </dataValidations>
  <hyperlinks>
    <hyperlink ref="C74" r:id="rId1" xr:uid="{00000000-0004-0000-0000-000000000000}"/>
    <hyperlink ref="C75" r:id="rId2" xr:uid="{00000000-0004-0000-0000-000001000000}"/>
    <hyperlink ref="D54" r:id="rId3" xr:uid="{00000000-0004-0000-0000-000002000000}"/>
    <hyperlink ref="B3:C3" r:id="rId4" display="insert hyperlink" xr:uid="{00000000-0004-0000-0000-000003000000}"/>
    <hyperlink ref="B5" r:id="rId5" xr:uid="{B8715F22-795E-4FA4-A4A4-7EDD8633DD2F}"/>
  </hyperlinks>
  <pageMargins left="0.70866141732283472" right="0.70866141732283472" top="0.55118110236220474" bottom="0.55118110236220474" header="0.31496062992125984" footer="0.31496062992125984"/>
  <pageSetup paperSize="9" scale="82"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1:P385"/>
  <sheetViews>
    <sheetView topLeftCell="B1" zoomScale="80" zoomScaleNormal="80" workbookViewId="0">
      <selection activeCell="S39" sqref="S39"/>
    </sheetView>
  </sheetViews>
  <sheetFormatPr defaultRowHeight="12.75" x14ac:dyDescent="0.2"/>
  <cols>
    <col min="1" max="1" width="8.7109375" hidden="1" customWidth="1"/>
    <col min="2" max="2" width="12.28515625" customWidth="1"/>
    <col min="3" max="3" width="43.140625" customWidth="1"/>
    <col min="4" max="4" width="17.140625" customWidth="1"/>
    <col min="5" max="5" width="13.28515625" customWidth="1"/>
    <col min="6" max="6" width="5.28515625" customWidth="1"/>
    <col min="7" max="7" width="8.85546875" hidden="1" customWidth="1"/>
    <col min="8" max="8" width="8.5703125" hidden="1" customWidth="1"/>
    <col min="9" max="16" width="8.85546875" hidden="1" customWidth="1"/>
  </cols>
  <sheetData>
    <row r="1" spans="1:16" x14ac:dyDescent="0.2">
      <c r="G1" s="908" t="s">
        <v>1847</v>
      </c>
      <c r="H1" s="1220" t="str">
        <f>IF(ISERROR(SEARCH("(F)",$D$7)),"not fat soluble",IF(SEARCH("(F)",$D$7)&gt;0,"fat soluble","not fat soluble"))</f>
        <v>not fat soluble</v>
      </c>
    </row>
    <row r="2" spans="1:16" x14ac:dyDescent="0.2">
      <c r="A2" s="1213" t="s">
        <v>1159</v>
      </c>
      <c r="B2" s="1216"/>
      <c r="C2" s="1214"/>
      <c r="G2" s="908"/>
    </row>
    <row r="3" spans="1:16" x14ac:dyDescent="0.2">
      <c r="A3" s="1213" t="s">
        <v>1159</v>
      </c>
      <c r="B3" s="1216"/>
      <c r="C3" s="1214"/>
      <c r="G3" s="908"/>
    </row>
    <row r="4" spans="1:16" x14ac:dyDescent="0.2">
      <c r="G4" s="908" t="str">
        <f>IF(ISERROR(SUM(Table2[MRL])),"Check","")</f>
        <v/>
      </c>
    </row>
    <row r="5" spans="1:16" x14ac:dyDescent="0.2">
      <c r="A5" s="1213" t="s">
        <v>1159</v>
      </c>
      <c r="B5" s="1216"/>
      <c r="C5" s="1215"/>
    </row>
    <row r="7" spans="1:16" ht="66" customHeight="1" x14ac:dyDescent="0.2">
      <c r="A7" s="1217" t="s">
        <v>1846</v>
      </c>
      <c r="B7" s="1217" t="s">
        <v>1160</v>
      </c>
      <c r="C7" s="1235" t="s">
        <v>1161</v>
      </c>
      <c r="D7" s="1245" t="s">
        <v>1881</v>
      </c>
      <c r="E7" s="1246" t="s">
        <v>364</v>
      </c>
      <c r="F7" s="1459" t="s">
        <v>303</v>
      </c>
      <c r="G7" s="902" t="s">
        <v>1842</v>
      </c>
      <c r="H7" s="902" t="s">
        <v>1719</v>
      </c>
      <c r="I7" s="906" t="s">
        <v>1843</v>
      </c>
      <c r="J7" s="902" t="s">
        <v>1844</v>
      </c>
      <c r="K7" s="902" t="s">
        <v>1845</v>
      </c>
      <c r="L7" s="902" t="s">
        <v>895</v>
      </c>
      <c r="M7" s="1494" t="str">
        <f>Table2[[#Headers],[Please insert here the MRLs of COM database (use ''paste values'' function)]]</f>
        <v>Please insert here the MRLs of COM database (use 'paste values' function)</v>
      </c>
      <c r="N7" s="1487"/>
      <c r="O7" s="1487"/>
      <c r="P7" s="1487"/>
    </row>
    <row r="8" spans="1:16" ht="13.15" customHeight="1" x14ac:dyDescent="0.2">
      <c r="A8" s="1211">
        <v>100000</v>
      </c>
      <c r="B8" s="1211" t="s">
        <v>1162</v>
      </c>
      <c r="C8" s="1236" t="s">
        <v>1163</v>
      </c>
      <c r="D8" s="1229"/>
      <c r="E8" s="1247">
        <f>Table2[[#This Row],[MRL2]]</f>
        <v>0</v>
      </c>
      <c r="F8" s="1460" t="str">
        <f>Table2[[#This Row],[LOQ2]]</f>
        <v/>
      </c>
      <c r="G8" s="898">
        <f>LEN(Table2[[#This Row],[Please insert here the MRLs of COM database (use ''paste values'' function)]])</f>
        <v>0</v>
      </c>
      <c r="H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8" s="898">
        <f>LEN(Table2[[#This Row],[(ft)]])</f>
        <v>1</v>
      </c>
      <c r="J8" s="1248">
        <f>IF(Table2[[#This Row],[LOQ2]]="*",LEFT(Table2[[#This Row],[(ft)]],Table2[[#This Row],[length trimmed 1]]-1),Table2[[#This Row],[(ft)]])</f>
        <v>0</v>
      </c>
      <c r="K8" s="1248">
        <f>IF(Table2[[#This Row],[MRL_text]]="","",Table2[[#This Row],[MRL_text]]*1)</f>
        <v>0</v>
      </c>
      <c r="L8" s="898" t="str">
        <f>IF(RIGHT(Table2[[#This Row],[(ft)]],1)="*","*","")</f>
        <v/>
      </c>
    </row>
    <row r="9" spans="1:16" ht="13.15" customHeight="1" x14ac:dyDescent="0.2">
      <c r="A9" s="1211">
        <v>110000</v>
      </c>
      <c r="B9" s="1211" t="s">
        <v>1164</v>
      </c>
      <c r="C9" s="1236" t="s">
        <v>1165</v>
      </c>
      <c r="D9" s="1230"/>
      <c r="E9" s="1247">
        <f>Table2[[#This Row],[MRL2]]</f>
        <v>0</v>
      </c>
      <c r="F9" s="1460" t="str">
        <f>Table2[[#This Row],[LOQ2]]</f>
        <v/>
      </c>
      <c r="G9" s="898">
        <f>LEN(Table2[[#This Row],[Please insert here the MRLs of COM database (use ''paste values'' function)]])</f>
        <v>0</v>
      </c>
      <c r="H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9" s="898">
        <f>LEN(Table2[[#This Row],[(ft)]])</f>
        <v>1</v>
      </c>
      <c r="J9" s="898">
        <f>IF(Table2[[#This Row],[LOQ2]]="*",LEFT(Table2[[#This Row],[(ft)]],Table2[[#This Row],[length trimmed 1]]-1),Table2[[#This Row],[(ft)]])</f>
        <v>0</v>
      </c>
      <c r="K9" s="898">
        <f>IF(Table2[[#This Row],[MRL_text]]="","",Table2[[#This Row],[MRL_text]]*1)</f>
        <v>0</v>
      </c>
      <c r="L9" s="898" t="str">
        <f>IF(RIGHT(Table2[[#This Row],[(ft)]],1)="*","*","")</f>
        <v/>
      </c>
    </row>
    <row r="10" spans="1:16" ht="13.15" customHeight="1" x14ac:dyDescent="0.2">
      <c r="A10" s="1212">
        <v>110010</v>
      </c>
      <c r="B10" s="1212" t="s">
        <v>1166</v>
      </c>
      <c r="C10" s="1215" t="s">
        <v>1167</v>
      </c>
      <c r="D10" s="1231"/>
      <c r="E10" s="1249">
        <f>Table2[[#This Row],[MRL2]]</f>
        <v>0</v>
      </c>
      <c r="F10" s="1461" t="str">
        <f>Table2[[#This Row],[LOQ2]]</f>
        <v/>
      </c>
      <c r="G10" s="898">
        <f>LEN(Table2[[#This Row],[Please insert here the MRLs of COM database (use ''paste values'' function)]])</f>
        <v>0</v>
      </c>
      <c r="H1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0" s="898">
        <f>LEN(Table2[[#This Row],[(ft)]])</f>
        <v>1</v>
      </c>
      <c r="J10" s="898">
        <f>IF(Table2[[#This Row],[LOQ2]]="*",LEFT(Table2[[#This Row],[(ft)]],Table2[[#This Row],[length trimmed 1]]-1),Table2[[#This Row],[(ft)]])</f>
        <v>0</v>
      </c>
      <c r="K10" s="898">
        <f>IF(Table2[[#This Row],[MRL_text]]="","",Table2[[#This Row],[MRL_text]]*1)</f>
        <v>0</v>
      </c>
      <c r="L10" s="898" t="str">
        <f>IF(RIGHT(Table2[[#This Row],[(ft)]],1)="*","*","")</f>
        <v/>
      </c>
    </row>
    <row r="11" spans="1:16" ht="13.15" customHeight="1" x14ac:dyDescent="0.2">
      <c r="A11" s="1212">
        <v>110020</v>
      </c>
      <c r="B11" s="1212" t="s">
        <v>1168</v>
      </c>
      <c r="C11" s="1215" t="s">
        <v>1169</v>
      </c>
      <c r="D11" s="1232"/>
      <c r="E11" s="1249">
        <f>Table2[[#This Row],[MRL2]]</f>
        <v>0</v>
      </c>
      <c r="F11" s="1461" t="str">
        <f>Table2[[#This Row],[LOQ2]]</f>
        <v/>
      </c>
      <c r="G11" s="898">
        <f>LEN(Table2[[#This Row],[Please insert here the MRLs of COM database (use ''paste values'' function)]])</f>
        <v>0</v>
      </c>
      <c r="H1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1" s="898">
        <f>LEN(Table2[[#This Row],[(ft)]])</f>
        <v>1</v>
      </c>
      <c r="J11" s="898">
        <f>IF(Table2[[#This Row],[LOQ2]]="*",LEFT(Table2[[#This Row],[(ft)]],Table2[[#This Row],[length trimmed 1]]-1),Table2[[#This Row],[(ft)]])</f>
        <v>0</v>
      </c>
      <c r="K11" s="898">
        <f>IF(Table2[[#This Row],[MRL_text]]="","",Table2[[#This Row],[MRL_text]]*1)</f>
        <v>0</v>
      </c>
      <c r="L11" s="898" t="str">
        <f>IF(RIGHT(Table2[[#This Row],[(ft)]],1)="*","*","")</f>
        <v/>
      </c>
    </row>
    <row r="12" spans="1:16" ht="13.15" customHeight="1" x14ac:dyDescent="0.2">
      <c r="A12" s="1212">
        <v>110030</v>
      </c>
      <c r="B12" s="1212" t="s">
        <v>1170</v>
      </c>
      <c r="C12" s="1215" t="s">
        <v>1171</v>
      </c>
      <c r="D12" s="1232"/>
      <c r="E12" s="1249">
        <f>Table2[[#This Row],[MRL2]]</f>
        <v>0</v>
      </c>
      <c r="F12" s="1461" t="str">
        <f>Table2[[#This Row],[LOQ2]]</f>
        <v/>
      </c>
      <c r="G12" s="898">
        <f>LEN(Table2[[#This Row],[Please insert here the MRLs of COM database (use ''paste values'' function)]])</f>
        <v>0</v>
      </c>
      <c r="H1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2" s="898">
        <f>LEN(Table2[[#This Row],[(ft)]])</f>
        <v>1</v>
      </c>
      <c r="J12" s="898">
        <f>IF(Table2[[#This Row],[LOQ2]]="*",LEFT(Table2[[#This Row],[(ft)]],Table2[[#This Row],[length trimmed 1]]-1),Table2[[#This Row],[(ft)]])</f>
        <v>0</v>
      </c>
      <c r="K12" s="898">
        <f>IF(Table2[[#This Row],[MRL_text]]="","",Table2[[#This Row],[MRL_text]]*1)</f>
        <v>0</v>
      </c>
      <c r="L12" s="898" t="str">
        <f>IF(RIGHT(Table2[[#This Row],[(ft)]],1)="*","*","")</f>
        <v/>
      </c>
    </row>
    <row r="13" spans="1:16" ht="13.15" customHeight="1" x14ac:dyDescent="0.2">
      <c r="A13" s="1212">
        <v>110040</v>
      </c>
      <c r="B13" s="1212" t="s">
        <v>1172</v>
      </c>
      <c r="C13" s="1215" t="s">
        <v>1173</v>
      </c>
      <c r="D13" s="1232"/>
      <c r="E13" s="1249">
        <f>Table2[[#This Row],[MRL2]]</f>
        <v>0</v>
      </c>
      <c r="F13" s="1461" t="str">
        <f>Table2[[#This Row],[LOQ2]]</f>
        <v/>
      </c>
      <c r="G13" s="898">
        <f>LEN(Table2[[#This Row],[Please insert here the MRLs of COM database (use ''paste values'' function)]])</f>
        <v>0</v>
      </c>
      <c r="H1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3" s="898">
        <f>LEN(Table2[[#This Row],[(ft)]])</f>
        <v>1</v>
      </c>
      <c r="J13" s="898">
        <f>IF(Table2[[#This Row],[LOQ2]]="*",LEFT(Table2[[#This Row],[(ft)]],Table2[[#This Row],[length trimmed 1]]-1),Table2[[#This Row],[(ft)]])</f>
        <v>0</v>
      </c>
      <c r="K13" s="898">
        <f>IF(Table2[[#This Row],[MRL_text]]="","",Table2[[#This Row],[MRL_text]]*1)</f>
        <v>0</v>
      </c>
      <c r="L13" s="898" t="str">
        <f>IF(RIGHT(Table2[[#This Row],[(ft)]],1)="*","*","")</f>
        <v/>
      </c>
    </row>
    <row r="14" spans="1:16" ht="13.15" customHeight="1" x14ac:dyDescent="0.2">
      <c r="A14" s="1212">
        <v>110050</v>
      </c>
      <c r="B14" s="1212" t="s">
        <v>1174</v>
      </c>
      <c r="C14" s="1215" t="s">
        <v>1175</v>
      </c>
      <c r="D14" s="1232"/>
      <c r="E14" s="1249">
        <f>Table2[[#This Row],[MRL2]]</f>
        <v>0</v>
      </c>
      <c r="F14" s="1461" t="str">
        <f>Table2[[#This Row],[LOQ2]]</f>
        <v/>
      </c>
      <c r="G14" s="898">
        <f>LEN(Table2[[#This Row],[Please insert here the MRLs of COM database (use ''paste values'' function)]])</f>
        <v>0</v>
      </c>
      <c r="H1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4" s="898">
        <f>LEN(Table2[[#This Row],[(ft)]])</f>
        <v>1</v>
      </c>
      <c r="J14" s="898">
        <f>IF(Table2[[#This Row],[LOQ2]]="*",LEFT(Table2[[#This Row],[(ft)]],Table2[[#This Row],[length trimmed 1]]-1),Table2[[#This Row],[(ft)]])</f>
        <v>0</v>
      </c>
      <c r="K14" s="898">
        <f>IF(Table2[[#This Row],[MRL_text]]="","",Table2[[#This Row],[MRL_text]]*1)</f>
        <v>0</v>
      </c>
      <c r="L14" s="898" t="str">
        <f>IF(RIGHT(Table2[[#This Row],[(ft)]],1)="*","*","")</f>
        <v/>
      </c>
    </row>
    <row r="15" spans="1:16" ht="13.15" customHeight="1" x14ac:dyDescent="0.2">
      <c r="A15" s="1212">
        <v>110990</v>
      </c>
      <c r="B15" s="1212" t="s">
        <v>1176</v>
      </c>
      <c r="C15" s="1215" t="s">
        <v>1177</v>
      </c>
      <c r="D15" s="1231"/>
      <c r="E15" s="1249">
        <f>Table2[[#This Row],[MRL2]]</f>
        <v>0</v>
      </c>
      <c r="F15" s="1461" t="str">
        <f>Table2[[#This Row],[LOQ2]]</f>
        <v/>
      </c>
      <c r="G15" s="898">
        <f>LEN(Table2[[#This Row],[Please insert here the MRLs of COM database (use ''paste values'' function)]])</f>
        <v>0</v>
      </c>
      <c r="H1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5" s="898">
        <f>LEN(Table2[[#This Row],[(ft)]])</f>
        <v>1</v>
      </c>
      <c r="J15" s="898">
        <f>IF(Table2[[#This Row],[LOQ2]]="*",LEFT(Table2[[#This Row],[(ft)]],Table2[[#This Row],[length trimmed 1]]-1),Table2[[#This Row],[(ft)]])</f>
        <v>0</v>
      </c>
      <c r="K15" s="898">
        <f>IF(Table2[[#This Row],[MRL_text]]="","",Table2[[#This Row],[MRL_text]]*1)</f>
        <v>0</v>
      </c>
      <c r="L15" s="898" t="str">
        <f>IF(RIGHT(Table2[[#This Row],[(ft)]],1)="*","*","")</f>
        <v/>
      </c>
    </row>
    <row r="16" spans="1:16" ht="13.15" customHeight="1" x14ac:dyDescent="0.2">
      <c r="A16" s="1211">
        <v>120000</v>
      </c>
      <c r="B16" s="1211" t="s">
        <v>1178</v>
      </c>
      <c r="C16" s="1236" t="s">
        <v>1179</v>
      </c>
      <c r="D16" s="1230"/>
      <c r="E16" s="1247">
        <f>Table2[[#This Row],[MRL2]]</f>
        <v>0</v>
      </c>
      <c r="F16" s="1460" t="str">
        <f>Table2[[#This Row],[LOQ2]]</f>
        <v/>
      </c>
      <c r="G16" s="898">
        <f>LEN(Table2[[#This Row],[Please insert here the MRLs of COM database (use ''paste values'' function)]])</f>
        <v>0</v>
      </c>
      <c r="H1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6" s="898">
        <f>LEN(Table2[[#This Row],[(ft)]])</f>
        <v>1</v>
      </c>
      <c r="J16" s="898">
        <f>IF(Table2[[#This Row],[LOQ2]]="*",LEFT(Table2[[#This Row],[(ft)]],Table2[[#This Row],[length trimmed 1]]-1),Table2[[#This Row],[(ft)]])</f>
        <v>0</v>
      </c>
      <c r="K16" s="898">
        <f>IF(Table2[[#This Row],[MRL_text]]="","",Table2[[#This Row],[MRL_text]]*1)</f>
        <v>0</v>
      </c>
      <c r="L16" s="898" t="str">
        <f>IF(RIGHT(Table2[[#This Row],[(ft)]],1)="*","*","")</f>
        <v/>
      </c>
    </row>
    <row r="17" spans="1:12" ht="13.15" customHeight="1" x14ac:dyDescent="0.2">
      <c r="A17" s="1212">
        <v>120010</v>
      </c>
      <c r="B17" s="1212" t="s">
        <v>1180</v>
      </c>
      <c r="C17" s="1215" t="s">
        <v>1181</v>
      </c>
      <c r="D17" s="1231"/>
      <c r="E17" s="1249">
        <f>Table2[[#This Row],[MRL2]]</f>
        <v>0</v>
      </c>
      <c r="F17" s="1461" t="str">
        <f>Table2[[#This Row],[LOQ2]]</f>
        <v/>
      </c>
      <c r="G17" s="898">
        <f>LEN(Table2[[#This Row],[Please insert here the MRLs of COM database (use ''paste values'' function)]])</f>
        <v>0</v>
      </c>
      <c r="H1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7" s="898">
        <f>LEN(Table2[[#This Row],[(ft)]])</f>
        <v>1</v>
      </c>
      <c r="J17" s="898">
        <f>IF(Table2[[#This Row],[LOQ2]]="*",LEFT(Table2[[#This Row],[(ft)]],Table2[[#This Row],[length trimmed 1]]-1),Table2[[#This Row],[(ft)]])</f>
        <v>0</v>
      </c>
      <c r="K17" s="898">
        <f>IF(Table2[[#This Row],[MRL_text]]="","",Table2[[#This Row],[MRL_text]]*1)</f>
        <v>0</v>
      </c>
      <c r="L17" s="898" t="str">
        <f>IF(RIGHT(Table2[[#This Row],[(ft)]],1)="*","*","")</f>
        <v/>
      </c>
    </row>
    <row r="18" spans="1:12" ht="13.15" customHeight="1" x14ac:dyDescent="0.2">
      <c r="A18" s="1212">
        <v>120020</v>
      </c>
      <c r="B18" s="1212" t="s">
        <v>1182</v>
      </c>
      <c r="C18" s="1215" t="s">
        <v>1183</v>
      </c>
      <c r="D18" s="1231"/>
      <c r="E18" s="1249">
        <f>Table2[[#This Row],[MRL2]]</f>
        <v>0</v>
      </c>
      <c r="F18" s="1461" t="str">
        <f>Table2[[#This Row],[LOQ2]]</f>
        <v/>
      </c>
      <c r="G18" s="898">
        <f>LEN(Table2[[#This Row],[Please insert here the MRLs of COM database (use ''paste values'' function)]])</f>
        <v>0</v>
      </c>
      <c r="H1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8" s="898">
        <f>LEN(Table2[[#This Row],[(ft)]])</f>
        <v>1</v>
      </c>
      <c r="J18" s="898">
        <f>IF(Table2[[#This Row],[LOQ2]]="*",LEFT(Table2[[#This Row],[(ft)]],Table2[[#This Row],[length trimmed 1]]-1),Table2[[#This Row],[(ft)]])</f>
        <v>0</v>
      </c>
      <c r="K18" s="898">
        <f>IF(Table2[[#This Row],[MRL_text]]="","",Table2[[#This Row],[MRL_text]]*1)</f>
        <v>0</v>
      </c>
      <c r="L18" s="898" t="str">
        <f>IF(RIGHT(Table2[[#This Row],[(ft)]],1)="*","*","")</f>
        <v/>
      </c>
    </row>
    <row r="19" spans="1:12" ht="13.15" customHeight="1" x14ac:dyDescent="0.2">
      <c r="A19" s="1212">
        <v>120030</v>
      </c>
      <c r="B19" s="1212" t="s">
        <v>1184</v>
      </c>
      <c r="C19" s="1215" t="s">
        <v>1185</v>
      </c>
      <c r="D19" s="1231"/>
      <c r="E19" s="1249">
        <f>Table2[[#This Row],[MRL2]]</f>
        <v>0</v>
      </c>
      <c r="F19" s="1461" t="str">
        <f>Table2[[#This Row],[LOQ2]]</f>
        <v/>
      </c>
      <c r="G19" s="898">
        <f>LEN(Table2[[#This Row],[Please insert here the MRLs of COM database (use ''paste values'' function)]])</f>
        <v>0</v>
      </c>
      <c r="H1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9" s="898">
        <f>LEN(Table2[[#This Row],[(ft)]])</f>
        <v>1</v>
      </c>
      <c r="J19" s="898">
        <f>IF(Table2[[#This Row],[LOQ2]]="*",LEFT(Table2[[#This Row],[(ft)]],Table2[[#This Row],[length trimmed 1]]-1),Table2[[#This Row],[(ft)]])</f>
        <v>0</v>
      </c>
      <c r="K19" s="898">
        <f>IF(Table2[[#This Row],[MRL_text]]="","",Table2[[#This Row],[MRL_text]]*1)</f>
        <v>0</v>
      </c>
      <c r="L19" s="898" t="str">
        <f>IF(RIGHT(Table2[[#This Row],[(ft)]],1)="*","*","")</f>
        <v/>
      </c>
    </row>
    <row r="20" spans="1:12" ht="13.15" customHeight="1" x14ac:dyDescent="0.2">
      <c r="A20" s="1212">
        <v>120040</v>
      </c>
      <c r="B20" s="1212" t="s">
        <v>1186</v>
      </c>
      <c r="C20" s="1215" t="s">
        <v>1187</v>
      </c>
      <c r="D20" s="1231"/>
      <c r="E20" s="1249">
        <f>Table2[[#This Row],[MRL2]]</f>
        <v>0</v>
      </c>
      <c r="F20" s="1461" t="str">
        <f>Table2[[#This Row],[LOQ2]]</f>
        <v/>
      </c>
      <c r="G20" s="898">
        <f>LEN(Table2[[#This Row],[Please insert here the MRLs of COM database (use ''paste values'' function)]])</f>
        <v>0</v>
      </c>
      <c r="H2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0" s="898">
        <f>LEN(Table2[[#This Row],[(ft)]])</f>
        <v>1</v>
      </c>
      <c r="J20" s="898">
        <f>IF(Table2[[#This Row],[LOQ2]]="*",LEFT(Table2[[#This Row],[(ft)]],Table2[[#This Row],[length trimmed 1]]-1),Table2[[#This Row],[(ft)]])</f>
        <v>0</v>
      </c>
      <c r="K20" s="898">
        <f>IF(Table2[[#This Row],[MRL_text]]="","",Table2[[#This Row],[MRL_text]]*1)</f>
        <v>0</v>
      </c>
      <c r="L20" s="898" t="str">
        <f>IF(RIGHT(Table2[[#This Row],[(ft)]],1)="*","*","")</f>
        <v/>
      </c>
    </row>
    <row r="21" spans="1:12" ht="13.15" customHeight="1" x14ac:dyDescent="0.2">
      <c r="A21" s="1212">
        <v>120050</v>
      </c>
      <c r="B21" s="1212" t="s">
        <v>1188</v>
      </c>
      <c r="C21" s="1215" t="s">
        <v>1189</v>
      </c>
      <c r="D21" s="1232"/>
      <c r="E21" s="1249">
        <f>Table2[[#This Row],[MRL2]]</f>
        <v>0</v>
      </c>
      <c r="F21" s="1461" t="str">
        <f>Table2[[#This Row],[LOQ2]]</f>
        <v/>
      </c>
      <c r="G21" s="898">
        <f>LEN(Table2[[#This Row],[Please insert here the MRLs of COM database (use ''paste values'' function)]])</f>
        <v>0</v>
      </c>
      <c r="H2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1" s="898">
        <f>LEN(Table2[[#This Row],[(ft)]])</f>
        <v>1</v>
      </c>
      <c r="J21" s="898">
        <f>IF(Table2[[#This Row],[LOQ2]]="*",LEFT(Table2[[#This Row],[(ft)]],Table2[[#This Row],[length trimmed 1]]-1),Table2[[#This Row],[(ft)]])</f>
        <v>0</v>
      </c>
      <c r="K21" s="898">
        <f>IF(Table2[[#This Row],[MRL_text]]="","",Table2[[#This Row],[MRL_text]]*1)</f>
        <v>0</v>
      </c>
      <c r="L21" s="898" t="str">
        <f>IF(RIGHT(Table2[[#This Row],[(ft)]],1)="*","*","")</f>
        <v/>
      </c>
    </row>
    <row r="22" spans="1:12" ht="13.15" customHeight="1" x14ac:dyDescent="0.2">
      <c r="A22" s="1212">
        <v>120060</v>
      </c>
      <c r="B22" s="1212" t="s">
        <v>1190</v>
      </c>
      <c r="C22" s="1215" t="s">
        <v>1191</v>
      </c>
      <c r="D22" s="1231"/>
      <c r="E22" s="1249">
        <f>Table2[[#This Row],[MRL2]]</f>
        <v>0</v>
      </c>
      <c r="F22" s="1461" t="str">
        <f>Table2[[#This Row],[LOQ2]]</f>
        <v/>
      </c>
      <c r="G22" s="898">
        <f>LEN(Table2[[#This Row],[Please insert here the MRLs of COM database (use ''paste values'' function)]])</f>
        <v>0</v>
      </c>
      <c r="H2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2" s="898">
        <f>LEN(Table2[[#This Row],[(ft)]])</f>
        <v>1</v>
      </c>
      <c r="J22" s="898">
        <f>IF(Table2[[#This Row],[LOQ2]]="*",LEFT(Table2[[#This Row],[(ft)]],Table2[[#This Row],[length trimmed 1]]-1),Table2[[#This Row],[(ft)]])</f>
        <v>0</v>
      </c>
      <c r="K22" s="898">
        <f>IF(Table2[[#This Row],[MRL_text]]="","",Table2[[#This Row],[MRL_text]]*1)</f>
        <v>0</v>
      </c>
      <c r="L22" s="898" t="str">
        <f>IF(RIGHT(Table2[[#This Row],[(ft)]],1)="*","*","")</f>
        <v/>
      </c>
    </row>
    <row r="23" spans="1:12" ht="13.15" customHeight="1" x14ac:dyDescent="0.2">
      <c r="A23" s="1212">
        <v>120070</v>
      </c>
      <c r="B23" s="1212" t="s">
        <v>1192</v>
      </c>
      <c r="C23" s="1215" t="s">
        <v>1193</v>
      </c>
      <c r="D23" s="1231"/>
      <c r="E23" s="1249">
        <f>Table2[[#This Row],[MRL2]]</f>
        <v>0</v>
      </c>
      <c r="F23" s="1461" t="str">
        <f>Table2[[#This Row],[LOQ2]]</f>
        <v/>
      </c>
      <c r="G23" s="898">
        <f>LEN(Table2[[#This Row],[Please insert here the MRLs of COM database (use ''paste values'' function)]])</f>
        <v>0</v>
      </c>
      <c r="H2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3" s="898">
        <f>LEN(Table2[[#This Row],[(ft)]])</f>
        <v>1</v>
      </c>
      <c r="J23" s="898">
        <f>IF(Table2[[#This Row],[LOQ2]]="*",LEFT(Table2[[#This Row],[(ft)]],Table2[[#This Row],[length trimmed 1]]-1),Table2[[#This Row],[(ft)]])</f>
        <v>0</v>
      </c>
      <c r="K23" s="898">
        <f>IF(Table2[[#This Row],[MRL_text]]="","",Table2[[#This Row],[MRL_text]]*1)</f>
        <v>0</v>
      </c>
      <c r="L23" s="898" t="str">
        <f>IF(RIGHT(Table2[[#This Row],[(ft)]],1)="*","*","")</f>
        <v/>
      </c>
    </row>
    <row r="24" spans="1:12" ht="13.15" customHeight="1" x14ac:dyDescent="0.2">
      <c r="A24" s="1212">
        <v>120080</v>
      </c>
      <c r="B24" s="1212" t="s">
        <v>1194</v>
      </c>
      <c r="C24" s="1215" t="s">
        <v>1195</v>
      </c>
      <c r="D24" s="1231"/>
      <c r="E24" s="1249">
        <f>Table2[[#This Row],[MRL2]]</f>
        <v>0</v>
      </c>
      <c r="F24" s="1461" t="str">
        <f>Table2[[#This Row],[LOQ2]]</f>
        <v/>
      </c>
      <c r="G24" s="898">
        <f>LEN(Table2[[#This Row],[Please insert here the MRLs of COM database (use ''paste values'' function)]])</f>
        <v>0</v>
      </c>
      <c r="H2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4" s="898">
        <f>LEN(Table2[[#This Row],[(ft)]])</f>
        <v>1</v>
      </c>
      <c r="J24" s="898">
        <f>IF(Table2[[#This Row],[LOQ2]]="*",LEFT(Table2[[#This Row],[(ft)]],Table2[[#This Row],[length trimmed 1]]-1),Table2[[#This Row],[(ft)]])</f>
        <v>0</v>
      </c>
      <c r="K24" s="898">
        <f>IF(Table2[[#This Row],[MRL_text]]="","",Table2[[#This Row],[MRL_text]]*1)</f>
        <v>0</v>
      </c>
      <c r="L24" s="898" t="str">
        <f>IF(RIGHT(Table2[[#This Row],[(ft)]],1)="*","*","")</f>
        <v/>
      </c>
    </row>
    <row r="25" spans="1:12" ht="13.15" customHeight="1" x14ac:dyDescent="0.2">
      <c r="A25" s="1212">
        <v>120090</v>
      </c>
      <c r="B25" s="1212" t="s">
        <v>1196</v>
      </c>
      <c r="C25" s="1215" t="s">
        <v>1197</v>
      </c>
      <c r="D25" s="1231"/>
      <c r="E25" s="1249">
        <f>Table2[[#This Row],[MRL2]]</f>
        <v>0</v>
      </c>
      <c r="F25" s="1461" t="str">
        <f>Table2[[#This Row],[LOQ2]]</f>
        <v/>
      </c>
      <c r="G25" s="898">
        <f>LEN(Table2[[#This Row],[Please insert here the MRLs of COM database (use ''paste values'' function)]])</f>
        <v>0</v>
      </c>
      <c r="H2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5" s="898">
        <f>LEN(Table2[[#This Row],[(ft)]])</f>
        <v>1</v>
      </c>
      <c r="J25" s="898">
        <f>IF(Table2[[#This Row],[LOQ2]]="*",LEFT(Table2[[#This Row],[(ft)]],Table2[[#This Row],[length trimmed 1]]-1),Table2[[#This Row],[(ft)]])</f>
        <v>0</v>
      </c>
      <c r="K25" s="898">
        <f>IF(Table2[[#This Row],[MRL_text]]="","",Table2[[#This Row],[MRL_text]]*1)</f>
        <v>0</v>
      </c>
      <c r="L25" s="898" t="str">
        <f>IF(RIGHT(Table2[[#This Row],[(ft)]],1)="*","*","")</f>
        <v/>
      </c>
    </row>
    <row r="26" spans="1:12" ht="13.15" customHeight="1" x14ac:dyDescent="0.2">
      <c r="A26" s="1212">
        <v>120100</v>
      </c>
      <c r="B26" s="1212" t="s">
        <v>1198</v>
      </c>
      <c r="C26" s="1215" t="s">
        <v>1199</v>
      </c>
      <c r="D26" s="1231"/>
      <c r="E26" s="1249">
        <f>Table2[[#This Row],[MRL2]]</f>
        <v>0</v>
      </c>
      <c r="F26" s="1461" t="str">
        <f>Table2[[#This Row],[LOQ2]]</f>
        <v/>
      </c>
      <c r="G26" s="898">
        <f>LEN(Table2[[#This Row],[Please insert here the MRLs of COM database (use ''paste values'' function)]])</f>
        <v>0</v>
      </c>
      <c r="H2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6" s="898">
        <f>LEN(Table2[[#This Row],[(ft)]])</f>
        <v>1</v>
      </c>
      <c r="J26" s="898">
        <f>IF(Table2[[#This Row],[LOQ2]]="*",LEFT(Table2[[#This Row],[(ft)]],Table2[[#This Row],[length trimmed 1]]-1),Table2[[#This Row],[(ft)]])</f>
        <v>0</v>
      </c>
      <c r="K26" s="898">
        <f>IF(Table2[[#This Row],[MRL_text]]="","",Table2[[#This Row],[MRL_text]]*1)</f>
        <v>0</v>
      </c>
      <c r="L26" s="898" t="str">
        <f>IF(RIGHT(Table2[[#This Row],[(ft)]],1)="*","*","")</f>
        <v/>
      </c>
    </row>
    <row r="27" spans="1:12" ht="13.15" customHeight="1" x14ac:dyDescent="0.2">
      <c r="A27" s="1212">
        <v>120110</v>
      </c>
      <c r="B27" s="1212" t="s">
        <v>1200</v>
      </c>
      <c r="C27" s="1215" t="s">
        <v>1201</v>
      </c>
      <c r="D27" s="1231"/>
      <c r="E27" s="1249">
        <f>Table2[[#This Row],[MRL2]]</f>
        <v>0</v>
      </c>
      <c r="F27" s="1461" t="str">
        <f>Table2[[#This Row],[LOQ2]]</f>
        <v/>
      </c>
      <c r="G27" s="898">
        <f>LEN(Table2[[#This Row],[Please insert here the MRLs of COM database (use ''paste values'' function)]])</f>
        <v>0</v>
      </c>
      <c r="H2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7" s="898">
        <f>LEN(Table2[[#This Row],[(ft)]])</f>
        <v>1</v>
      </c>
      <c r="J27" s="898">
        <f>IF(Table2[[#This Row],[LOQ2]]="*",LEFT(Table2[[#This Row],[(ft)]],Table2[[#This Row],[length trimmed 1]]-1),Table2[[#This Row],[(ft)]])</f>
        <v>0</v>
      </c>
      <c r="K27" s="898">
        <f>IF(Table2[[#This Row],[MRL_text]]="","",Table2[[#This Row],[MRL_text]]*1)</f>
        <v>0</v>
      </c>
      <c r="L27" s="898" t="str">
        <f>IF(RIGHT(Table2[[#This Row],[(ft)]],1)="*","*","")</f>
        <v/>
      </c>
    </row>
    <row r="28" spans="1:12" ht="13.15" customHeight="1" x14ac:dyDescent="0.2">
      <c r="A28" s="1212">
        <v>120990</v>
      </c>
      <c r="B28" s="1212" t="s">
        <v>1202</v>
      </c>
      <c r="C28" s="1215" t="s">
        <v>1177</v>
      </c>
      <c r="D28" s="1231"/>
      <c r="E28" s="1249">
        <f>Table2[[#This Row],[MRL2]]</f>
        <v>0</v>
      </c>
      <c r="F28" s="1461" t="str">
        <f>Table2[[#This Row],[LOQ2]]</f>
        <v/>
      </c>
      <c r="G28" s="898">
        <f>LEN(Table2[[#This Row],[Please insert here the MRLs of COM database (use ''paste values'' function)]])</f>
        <v>0</v>
      </c>
      <c r="H2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8" s="898">
        <f>LEN(Table2[[#This Row],[(ft)]])</f>
        <v>1</v>
      </c>
      <c r="J28" s="898">
        <f>IF(Table2[[#This Row],[LOQ2]]="*",LEFT(Table2[[#This Row],[(ft)]],Table2[[#This Row],[length trimmed 1]]-1),Table2[[#This Row],[(ft)]])</f>
        <v>0</v>
      </c>
      <c r="K28" s="898">
        <f>IF(Table2[[#This Row],[MRL_text]]="","",Table2[[#This Row],[MRL_text]]*1)</f>
        <v>0</v>
      </c>
      <c r="L28" s="898" t="str">
        <f>IF(RIGHT(Table2[[#This Row],[(ft)]],1)="*","*","")</f>
        <v/>
      </c>
    </row>
    <row r="29" spans="1:12" ht="13.15" customHeight="1" x14ac:dyDescent="0.2">
      <c r="A29" s="1211">
        <v>130000</v>
      </c>
      <c r="B29" s="1211" t="s">
        <v>1203</v>
      </c>
      <c r="C29" s="1236" t="s">
        <v>1204</v>
      </c>
      <c r="D29" s="1230"/>
      <c r="E29" s="1247">
        <f>Table2[[#This Row],[MRL2]]</f>
        <v>0</v>
      </c>
      <c r="F29" s="1460" t="str">
        <f>Table2[[#This Row],[LOQ2]]</f>
        <v/>
      </c>
      <c r="G29" s="898">
        <f>LEN(Table2[[#This Row],[Please insert here the MRLs of COM database (use ''paste values'' function)]])</f>
        <v>0</v>
      </c>
      <c r="H2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9" s="898">
        <f>LEN(Table2[[#This Row],[(ft)]])</f>
        <v>1</v>
      </c>
      <c r="J29" s="898">
        <f>IF(Table2[[#This Row],[LOQ2]]="*",LEFT(Table2[[#This Row],[(ft)]],Table2[[#This Row],[length trimmed 1]]-1),Table2[[#This Row],[(ft)]])</f>
        <v>0</v>
      </c>
      <c r="K29" s="898">
        <f>IF(Table2[[#This Row],[MRL_text]]="","",Table2[[#This Row],[MRL_text]]*1)</f>
        <v>0</v>
      </c>
      <c r="L29" s="898" t="str">
        <f>IF(RIGHT(Table2[[#This Row],[(ft)]],1)="*","*","")</f>
        <v/>
      </c>
    </row>
    <row r="30" spans="1:12" ht="13.15" customHeight="1" x14ac:dyDescent="0.2">
      <c r="A30" s="1212">
        <v>130010</v>
      </c>
      <c r="B30" s="1212" t="s">
        <v>1205</v>
      </c>
      <c r="C30" s="1215" t="s">
        <v>1206</v>
      </c>
      <c r="D30" s="1231"/>
      <c r="E30" s="1249">
        <f>Table2[[#This Row],[MRL2]]</f>
        <v>0</v>
      </c>
      <c r="F30" s="1461" t="str">
        <f>Table2[[#This Row],[LOQ2]]</f>
        <v/>
      </c>
      <c r="G30" s="898">
        <f>LEN(Table2[[#This Row],[Please insert here the MRLs of COM database (use ''paste values'' function)]])</f>
        <v>0</v>
      </c>
      <c r="H3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0" s="898">
        <f>LEN(Table2[[#This Row],[(ft)]])</f>
        <v>1</v>
      </c>
      <c r="J30" s="898">
        <f>IF(Table2[[#This Row],[LOQ2]]="*",LEFT(Table2[[#This Row],[(ft)]],Table2[[#This Row],[length trimmed 1]]-1),Table2[[#This Row],[(ft)]])</f>
        <v>0</v>
      </c>
      <c r="K30" s="898">
        <f>IF(Table2[[#This Row],[MRL_text]]="","",Table2[[#This Row],[MRL_text]]*1)</f>
        <v>0</v>
      </c>
      <c r="L30" s="898" t="str">
        <f>IF(RIGHT(Table2[[#This Row],[(ft)]],1)="*","*","")</f>
        <v/>
      </c>
    </row>
    <row r="31" spans="1:12" ht="13.15" customHeight="1" x14ac:dyDescent="0.2">
      <c r="A31" s="1212">
        <v>130020</v>
      </c>
      <c r="B31" s="1212" t="s">
        <v>1207</v>
      </c>
      <c r="C31" s="1215" t="s">
        <v>1208</v>
      </c>
      <c r="D31" s="1231"/>
      <c r="E31" s="1249">
        <f>Table2[[#This Row],[MRL2]]</f>
        <v>0</v>
      </c>
      <c r="F31" s="1461" t="str">
        <f>Table2[[#This Row],[LOQ2]]</f>
        <v/>
      </c>
      <c r="G31" s="898">
        <f>LEN(Table2[[#This Row],[Please insert here the MRLs of COM database (use ''paste values'' function)]])</f>
        <v>0</v>
      </c>
      <c r="H3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1" s="898">
        <f>LEN(Table2[[#This Row],[(ft)]])</f>
        <v>1</v>
      </c>
      <c r="J31" s="898">
        <f>IF(Table2[[#This Row],[LOQ2]]="*",LEFT(Table2[[#This Row],[(ft)]],Table2[[#This Row],[length trimmed 1]]-1),Table2[[#This Row],[(ft)]])</f>
        <v>0</v>
      </c>
      <c r="K31" s="898">
        <f>IF(Table2[[#This Row],[MRL_text]]="","",Table2[[#This Row],[MRL_text]]*1)</f>
        <v>0</v>
      </c>
      <c r="L31" s="898" t="str">
        <f>IF(RIGHT(Table2[[#This Row],[(ft)]],1)="*","*","")</f>
        <v/>
      </c>
    </row>
    <row r="32" spans="1:12" ht="13.15" customHeight="1" x14ac:dyDescent="0.2">
      <c r="A32" s="1212">
        <v>130030</v>
      </c>
      <c r="B32" s="1212" t="s">
        <v>1209</v>
      </c>
      <c r="C32" s="1215" t="s">
        <v>1210</v>
      </c>
      <c r="D32" s="1231"/>
      <c r="E32" s="1249">
        <f>Table2[[#This Row],[MRL2]]</f>
        <v>0</v>
      </c>
      <c r="F32" s="1461" t="str">
        <f>Table2[[#This Row],[LOQ2]]</f>
        <v/>
      </c>
      <c r="G32" s="898">
        <f>LEN(Table2[[#This Row],[Please insert here the MRLs of COM database (use ''paste values'' function)]])</f>
        <v>0</v>
      </c>
      <c r="H3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2" s="898">
        <f>LEN(Table2[[#This Row],[(ft)]])</f>
        <v>1</v>
      </c>
      <c r="J32" s="898">
        <f>IF(Table2[[#This Row],[LOQ2]]="*",LEFT(Table2[[#This Row],[(ft)]],Table2[[#This Row],[length trimmed 1]]-1),Table2[[#This Row],[(ft)]])</f>
        <v>0</v>
      </c>
      <c r="K32" s="898">
        <f>IF(Table2[[#This Row],[MRL_text]]="","",Table2[[#This Row],[MRL_text]]*1)</f>
        <v>0</v>
      </c>
      <c r="L32" s="898" t="str">
        <f>IF(RIGHT(Table2[[#This Row],[(ft)]],1)="*","*","")</f>
        <v/>
      </c>
    </row>
    <row r="33" spans="1:12" ht="13.15" customHeight="1" x14ac:dyDescent="0.2">
      <c r="A33" s="1212">
        <v>130040</v>
      </c>
      <c r="B33" s="1212" t="s">
        <v>1211</v>
      </c>
      <c r="C33" s="1215" t="s">
        <v>1212</v>
      </c>
      <c r="D33" s="1231"/>
      <c r="E33" s="1249">
        <f>Table2[[#This Row],[MRL2]]</f>
        <v>0</v>
      </c>
      <c r="F33" s="1461" t="str">
        <f>Table2[[#This Row],[LOQ2]]</f>
        <v/>
      </c>
      <c r="G33" s="898">
        <f>LEN(Table2[[#This Row],[Please insert here the MRLs of COM database (use ''paste values'' function)]])</f>
        <v>0</v>
      </c>
      <c r="H3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3" s="898">
        <f>LEN(Table2[[#This Row],[(ft)]])</f>
        <v>1</v>
      </c>
      <c r="J33" s="898">
        <f>IF(Table2[[#This Row],[LOQ2]]="*",LEFT(Table2[[#This Row],[(ft)]],Table2[[#This Row],[length trimmed 1]]-1),Table2[[#This Row],[(ft)]])</f>
        <v>0</v>
      </c>
      <c r="K33" s="898">
        <f>IF(Table2[[#This Row],[MRL_text]]="","",Table2[[#This Row],[MRL_text]]*1)</f>
        <v>0</v>
      </c>
      <c r="L33" s="898" t="str">
        <f>IF(RIGHT(Table2[[#This Row],[(ft)]],1)="*","*","")</f>
        <v/>
      </c>
    </row>
    <row r="34" spans="1:12" ht="13.15" customHeight="1" x14ac:dyDescent="0.2">
      <c r="A34" s="1212">
        <v>130050</v>
      </c>
      <c r="B34" s="1212" t="s">
        <v>1213</v>
      </c>
      <c r="C34" s="1215" t="s">
        <v>1214</v>
      </c>
      <c r="D34" s="1231"/>
      <c r="E34" s="1249">
        <f>Table2[[#This Row],[MRL2]]</f>
        <v>0</v>
      </c>
      <c r="F34" s="1461" t="str">
        <f>Table2[[#This Row],[LOQ2]]</f>
        <v/>
      </c>
      <c r="G34" s="898">
        <f>LEN(Table2[[#This Row],[Please insert here the MRLs of COM database (use ''paste values'' function)]])</f>
        <v>0</v>
      </c>
      <c r="H3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4" s="898">
        <f>LEN(Table2[[#This Row],[(ft)]])</f>
        <v>1</v>
      </c>
      <c r="J34" s="898">
        <f>IF(Table2[[#This Row],[LOQ2]]="*",LEFT(Table2[[#This Row],[(ft)]],Table2[[#This Row],[length trimmed 1]]-1),Table2[[#This Row],[(ft)]])</f>
        <v>0</v>
      </c>
      <c r="K34" s="898">
        <f>IF(Table2[[#This Row],[MRL_text]]="","",Table2[[#This Row],[MRL_text]]*1)</f>
        <v>0</v>
      </c>
      <c r="L34" s="898" t="str">
        <f>IF(RIGHT(Table2[[#This Row],[(ft)]],1)="*","*","")</f>
        <v/>
      </c>
    </row>
    <row r="35" spans="1:12" ht="13.15" customHeight="1" x14ac:dyDescent="0.2">
      <c r="A35" s="1212">
        <v>130990</v>
      </c>
      <c r="B35" s="1212" t="s">
        <v>1215</v>
      </c>
      <c r="C35" s="1215" t="s">
        <v>1177</v>
      </c>
      <c r="D35" s="1231"/>
      <c r="E35" s="1249">
        <f>Table2[[#This Row],[MRL2]]</f>
        <v>0</v>
      </c>
      <c r="F35" s="1461" t="str">
        <f>Table2[[#This Row],[LOQ2]]</f>
        <v/>
      </c>
      <c r="G35" s="898">
        <f>LEN(Table2[[#This Row],[Please insert here the MRLs of COM database (use ''paste values'' function)]])</f>
        <v>0</v>
      </c>
      <c r="H3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5" s="898">
        <f>LEN(Table2[[#This Row],[(ft)]])</f>
        <v>1</v>
      </c>
      <c r="J35" s="898">
        <f>IF(Table2[[#This Row],[LOQ2]]="*",LEFT(Table2[[#This Row],[(ft)]],Table2[[#This Row],[length trimmed 1]]-1),Table2[[#This Row],[(ft)]])</f>
        <v>0</v>
      </c>
      <c r="K35" s="898">
        <f>IF(Table2[[#This Row],[MRL_text]]="","",Table2[[#This Row],[MRL_text]]*1)</f>
        <v>0</v>
      </c>
      <c r="L35" s="898" t="str">
        <f>IF(RIGHT(Table2[[#This Row],[(ft)]],1)="*","*","")</f>
        <v/>
      </c>
    </row>
    <row r="36" spans="1:12" ht="13.15" customHeight="1" x14ac:dyDescent="0.2">
      <c r="A36" s="1211">
        <v>140000</v>
      </c>
      <c r="B36" s="1211" t="s">
        <v>1216</v>
      </c>
      <c r="C36" s="1236" t="s">
        <v>1217</v>
      </c>
      <c r="D36" s="1230"/>
      <c r="E36" s="1247">
        <f>Table2[[#This Row],[MRL2]]</f>
        <v>0</v>
      </c>
      <c r="F36" s="1460" t="str">
        <f>Table2[[#This Row],[LOQ2]]</f>
        <v/>
      </c>
      <c r="G36" s="898">
        <f>LEN(Table2[[#This Row],[Please insert here the MRLs of COM database (use ''paste values'' function)]])</f>
        <v>0</v>
      </c>
      <c r="H3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6" s="898">
        <f>LEN(Table2[[#This Row],[(ft)]])</f>
        <v>1</v>
      </c>
      <c r="J36" s="898">
        <f>IF(Table2[[#This Row],[LOQ2]]="*",LEFT(Table2[[#This Row],[(ft)]],Table2[[#This Row],[length trimmed 1]]-1),Table2[[#This Row],[(ft)]])</f>
        <v>0</v>
      </c>
      <c r="K36" s="898">
        <f>IF(Table2[[#This Row],[MRL_text]]="","",Table2[[#This Row],[MRL_text]]*1)</f>
        <v>0</v>
      </c>
      <c r="L36" s="898" t="str">
        <f>IF(RIGHT(Table2[[#This Row],[(ft)]],1)="*","*","")</f>
        <v/>
      </c>
    </row>
    <row r="37" spans="1:12" ht="13.15" customHeight="1" x14ac:dyDescent="0.2">
      <c r="A37" s="1212">
        <v>140010</v>
      </c>
      <c r="B37" s="1212" t="s">
        <v>1218</v>
      </c>
      <c r="C37" s="1215" t="s">
        <v>1219</v>
      </c>
      <c r="D37" s="1231"/>
      <c r="E37" s="1249">
        <f>Table2[[#This Row],[MRL2]]</f>
        <v>0</v>
      </c>
      <c r="F37" s="1461" t="str">
        <f>Table2[[#This Row],[LOQ2]]</f>
        <v/>
      </c>
      <c r="G37" s="898">
        <f>LEN(Table2[[#This Row],[Please insert here the MRLs of COM database (use ''paste values'' function)]])</f>
        <v>0</v>
      </c>
      <c r="H3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7" s="898">
        <f>LEN(Table2[[#This Row],[(ft)]])</f>
        <v>1</v>
      </c>
      <c r="J37" s="898">
        <f>IF(Table2[[#This Row],[LOQ2]]="*",LEFT(Table2[[#This Row],[(ft)]],Table2[[#This Row],[length trimmed 1]]-1),Table2[[#This Row],[(ft)]])</f>
        <v>0</v>
      </c>
      <c r="K37" s="898">
        <f>IF(Table2[[#This Row],[MRL_text]]="","",Table2[[#This Row],[MRL_text]]*1)</f>
        <v>0</v>
      </c>
      <c r="L37" s="898" t="str">
        <f>IF(RIGHT(Table2[[#This Row],[(ft)]],1)="*","*","")</f>
        <v/>
      </c>
    </row>
    <row r="38" spans="1:12" ht="13.15" customHeight="1" x14ac:dyDescent="0.2">
      <c r="A38" s="1212">
        <v>140020</v>
      </c>
      <c r="B38" s="1212" t="s">
        <v>1220</v>
      </c>
      <c r="C38" s="1215" t="s">
        <v>1221</v>
      </c>
      <c r="D38" s="1231"/>
      <c r="E38" s="1249">
        <f>Table2[[#This Row],[MRL2]]</f>
        <v>0</v>
      </c>
      <c r="F38" s="1461" t="str">
        <f>Table2[[#This Row],[LOQ2]]</f>
        <v/>
      </c>
      <c r="G38" s="898">
        <f>LEN(Table2[[#This Row],[Please insert here the MRLs of COM database (use ''paste values'' function)]])</f>
        <v>0</v>
      </c>
      <c r="H3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8" s="898">
        <f>LEN(Table2[[#This Row],[(ft)]])</f>
        <v>1</v>
      </c>
      <c r="J38" s="898">
        <f>IF(Table2[[#This Row],[LOQ2]]="*",LEFT(Table2[[#This Row],[(ft)]],Table2[[#This Row],[length trimmed 1]]-1),Table2[[#This Row],[(ft)]])</f>
        <v>0</v>
      </c>
      <c r="K38" s="898">
        <f>IF(Table2[[#This Row],[MRL_text]]="","",Table2[[#This Row],[MRL_text]]*1)</f>
        <v>0</v>
      </c>
      <c r="L38" s="898" t="str">
        <f>IF(RIGHT(Table2[[#This Row],[(ft)]],1)="*","*","")</f>
        <v/>
      </c>
    </row>
    <row r="39" spans="1:12" ht="13.15" customHeight="1" x14ac:dyDescent="0.2">
      <c r="A39" s="1212">
        <v>140030</v>
      </c>
      <c r="B39" s="1212" t="s">
        <v>1222</v>
      </c>
      <c r="C39" s="1215" t="s">
        <v>1223</v>
      </c>
      <c r="D39" s="1231"/>
      <c r="E39" s="1249">
        <f>Table2[[#This Row],[MRL2]]</f>
        <v>0</v>
      </c>
      <c r="F39" s="1461" t="str">
        <f>Table2[[#This Row],[LOQ2]]</f>
        <v/>
      </c>
      <c r="G39" s="898">
        <f>LEN(Table2[[#This Row],[Please insert here the MRLs of COM database (use ''paste values'' function)]])</f>
        <v>0</v>
      </c>
      <c r="H3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9" s="898">
        <f>LEN(Table2[[#This Row],[(ft)]])</f>
        <v>1</v>
      </c>
      <c r="J39" s="898">
        <f>IF(Table2[[#This Row],[LOQ2]]="*",LEFT(Table2[[#This Row],[(ft)]],Table2[[#This Row],[length trimmed 1]]-1),Table2[[#This Row],[(ft)]])</f>
        <v>0</v>
      </c>
      <c r="K39" s="898">
        <f>IF(Table2[[#This Row],[MRL_text]]="","",Table2[[#This Row],[MRL_text]]*1)</f>
        <v>0</v>
      </c>
      <c r="L39" s="898" t="str">
        <f>IF(RIGHT(Table2[[#This Row],[(ft)]],1)="*","*","")</f>
        <v/>
      </c>
    </row>
    <row r="40" spans="1:12" ht="13.15" customHeight="1" x14ac:dyDescent="0.2">
      <c r="A40" s="1212">
        <v>140040</v>
      </c>
      <c r="B40" s="1212" t="s">
        <v>1224</v>
      </c>
      <c r="C40" s="1215" t="s">
        <v>1225</v>
      </c>
      <c r="D40" s="1231"/>
      <c r="E40" s="1249">
        <f>Table2[[#This Row],[MRL2]]</f>
        <v>0</v>
      </c>
      <c r="F40" s="1461" t="str">
        <f>Table2[[#This Row],[LOQ2]]</f>
        <v/>
      </c>
      <c r="G40" s="898">
        <f>LEN(Table2[[#This Row],[Please insert here the MRLs of COM database (use ''paste values'' function)]])</f>
        <v>0</v>
      </c>
      <c r="H4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40" s="898">
        <f>LEN(Table2[[#This Row],[(ft)]])</f>
        <v>1</v>
      </c>
      <c r="J40" s="898">
        <f>IF(Table2[[#This Row],[LOQ2]]="*",LEFT(Table2[[#This Row],[(ft)]],Table2[[#This Row],[length trimmed 1]]-1),Table2[[#This Row],[(ft)]])</f>
        <v>0</v>
      </c>
      <c r="K40" s="898">
        <f>IF(Table2[[#This Row],[MRL_text]]="","",Table2[[#This Row],[MRL_text]]*1)</f>
        <v>0</v>
      </c>
      <c r="L40" s="898" t="str">
        <f>IF(RIGHT(Table2[[#This Row],[(ft)]],1)="*","*","")</f>
        <v/>
      </c>
    </row>
    <row r="41" spans="1:12" ht="13.15" customHeight="1" x14ac:dyDescent="0.2">
      <c r="A41" s="1212">
        <v>140990</v>
      </c>
      <c r="B41" s="1212" t="s">
        <v>1226</v>
      </c>
      <c r="C41" s="1215" t="s">
        <v>1177</v>
      </c>
      <c r="D41" s="1231"/>
      <c r="E41" s="1249">
        <f>Table2[[#This Row],[MRL2]]</f>
        <v>0</v>
      </c>
      <c r="F41" s="1461" t="str">
        <f>Table2[[#This Row],[LOQ2]]</f>
        <v/>
      </c>
      <c r="G41" s="898">
        <f>LEN(Table2[[#This Row],[Please insert here the MRLs of COM database (use ''paste values'' function)]])</f>
        <v>0</v>
      </c>
      <c r="H4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41" s="898">
        <f>LEN(Table2[[#This Row],[(ft)]])</f>
        <v>1</v>
      </c>
      <c r="J41" s="898">
        <f>IF(Table2[[#This Row],[LOQ2]]="*",LEFT(Table2[[#This Row],[(ft)]],Table2[[#This Row],[length trimmed 1]]-1),Table2[[#This Row],[(ft)]])</f>
        <v>0</v>
      </c>
      <c r="K41" s="898">
        <f>IF(Table2[[#This Row],[MRL_text]]="","",Table2[[#This Row],[MRL_text]]*1)</f>
        <v>0</v>
      </c>
      <c r="L41" s="898" t="str">
        <f>IF(RIGHT(Table2[[#This Row],[(ft)]],1)="*","*","")</f>
        <v/>
      </c>
    </row>
    <row r="42" spans="1:12" ht="13.15" customHeight="1" x14ac:dyDescent="0.2">
      <c r="A42" s="1211">
        <v>150000</v>
      </c>
      <c r="B42" s="1211" t="s">
        <v>1227</v>
      </c>
      <c r="C42" s="1236" t="s">
        <v>1228</v>
      </c>
      <c r="D42" s="1230"/>
      <c r="E42" s="1247">
        <f>Table2[[#This Row],[MRL2]]</f>
        <v>0</v>
      </c>
      <c r="F42" s="1460" t="str">
        <f>Table2[[#This Row],[LOQ2]]</f>
        <v/>
      </c>
      <c r="G42" s="898">
        <f>LEN(Table2[[#This Row],[Please insert here the MRLs of COM database (use ''paste values'' function)]])</f>
        <v>0</v>
      </c>
      <c r="H4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42" s="898">
        <f>LEN(Table2[[#This Row],[(ft)]])</f>
        <v>1</v>
      </c>
      <c r="J42" s="898">
        <f>IF(Table2[[#This Row],[LOQ2]]="*",LEFT(Table2[[#This Row],[(ft)]],Table2[[#This Row],[length trimmed 1]]-1),Table2[[#This Row],[(ft)]])</f>
        <v>0</v>
      </c>
      <c r="K42" s="898">
        <f>IF(Table2[[#This Row],[MRL_text]]="","",Table2[[#This Row],[MRL_text]]*1)</f>
        <v>0</v>
      </c>
      <c r="L42" s="898" t="str">
        <f>IF(RIGHT(Table2[[#This Row],[(ft)]],1)="*","*","")</f>
        <v/>
      </c>
    </row>
    <row r="43" spans="1:12" ht="13.15" customHeight="1" x14ac:dyDescent="0.2">
      <c r="A43" s="1212">
        <v>151000</v>
      </c>
      <c r="B43" s="1212" t="s">
        <v>1229</v>
      </c>
      <c r="C43" s="1215" t="s">
        <v>1230</v>
      </c>
      <c r="D43" s="1231"/>
      <c r="E43" s="1247">
        <f>Table2[[#This Row],[MRL2]]</f>
        <v>0</v>
      </c>
      <c r="F43" s="1460" t="str">
        <f>Table2[[#This Row],[LOQ2]]</f>
        <v/>
      </c>
      <c r="G43" s="898">
        <f>LEN(Table2[[#This Row],[Please insert here the MRLs of COM database (use ''paste values'' function)]])</f>
        <v>0</v>
      </c>
      <c r="H4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43" s="898">
        <f>LEN(Table2[[#This Row],[(ft)]])</f>
        <v>1</v>
      </c>
      <c r="J43" s="898">
        <f>IF(Table2[[#This Row],[LOQ2]]="*",LEFT(Table2[[#This Row],[(ft)]],Table2[[#This Row],[length trimmed 1]]-1),Table2[[#This Row],[(ft)]])</f>
        <v>0</v>
      </c>
      <c r="K43" s="898">
        <f>IF(Table2[[#This Row],[MRL_text]]="","",Table2[[#This Row],[MRL_text]]*1)</f>
        <v>0</v>
      </c>
      <c r="L43" s="898" t="str">
        <f>IF(RIGHT(Table2[[#This Row],[(ft)]],1)="*","*","")</f>
        <v/>
      </c>
    </row>
    <row r="44" spans="1:12" ht="13.15" customHeight="1" x14ac:dyDescent="0.2">
      <c r="A44" s="1212">
        <v>151010</v>
      </c>
      <c r="B44" s="1212" t="s">
        <v>1231</v>
      </c>
      <c r="C44" s="1215" t="s">
        <v>1232</v>
      </c>
      <c r="D44" s="1231"/>
      <c r="E44" s="1249">
        <f>Table2[[#This Row],[MRL2]]</f>
        <v>0</v>
      </c>
      <c r="F44" s="1461" t="str">
        <f>Table2[[#This Row],[LOQ2]]</f>
        <v/>
      </c>
      <c r="G44" s="898">
        <f>LEN(Table2[[#This Row],[Please insert here the MRLs of COM database (use ''paste values'' function)]])</f>
        <v>0</v>
      </c>
      <c r="H4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44" s="898">
        <f>LEN(Table2[[#This Row],[(ft)]])</f>
        <v>1</v>
      </c>
      <c r="J44" s="898">
        <f>IF(Table2[[#This Row],[LOQ2]]="*",LEFT(Table2[[#This Row],[(ft)]],Table2[[#This Row],[length trimmed 1]]-1),Table2[[#This Row],[(ft)]])</f>
        <v>0</v>
      </c>
      <c r="K44" s="898">
        <f>IF(Table2[[#This Row],[MRL_text]]="","",Table2[[#This Row],[MRL_text]]*1)</f>
        <v>0</v>
      </c>
      <c r="L44" s="898" t="str">
        <f>IF(RIGHT(Table2[[#This Row],[(ft)]],1)="*","*","")</f>
        <v/>
      </c>
    </row>
    <row r="45" spans="1:12" ht="13.15" customHeight="1" x14ac:dyDescent="0.2">
      <c r="A45" s="1212">
        <v>151020</v>
      </c>
      <c r="B45" s="1212" t="s">
        <v>1233</v>
      </c>
      <c r="C45" s="1215" t="s">
        <v>1234</v>
      </c>
      <c r="D45" s="1231"/>
      <c r="E45" s="1249">
        <f>Table2[[#This Row],[MRL2]]</f>
        <v>0</v>
      </c>
      <c r="F45" s="1461" t="str">
        <f>Table2[[#This Row],[LOQ2]]</f>
        <v/>
      </c>
      <c r="G45" s="898">
        <f>LEN(Table2[[#This Row],[Please insert here the MRLs of COM database (use ''paste values'' function)]])</f>
        <v>0</v>
      </c>
      <c r="H4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45" s="898">
        <f>LEN(Table2[[#This Row],[(ft)]])</f>
        <v>1</v>
      </c>
      <c r="J45" s="898">
        <f>IF(Table2[[#This Row],[LOQ2]]="*",LEFT(Table2[[#This Row],[(ft)]],Table2[[#This Row],[length trimmed 1]]-1),Table2[[#This Row],[(ft)]])</f>
        <v>0</v>
      </c>
      <c r="K45" s="898">
        <f>IF(Table2[[#This Row],[MRL_text]]="","",Table2[[#This Row],[MRL_text]]*1)</f>
        <v>0</v>
      </c>
      <c r="L45" s="898" t="str">
        <f>IF(RIGHT(Table2[[#This Row],[(ft)]],1)="*","*","")</f>
        <v/>
      </c>
    </row>
    <row r="46" spans="1:12" ht="13.15" customHeight="1" x14ac:dyDescent="0.2">
      <c r="A46" s="1212">
        <v>152000</v>
      </c>
      <c r="B46" s="1212" t="s">
        <v>1235</v>
      </c>
      <c r="C46" s="1215" t="s">
        <v>1236</v>
      </c>
      <c r="D46" s="1231"/>
      <c r="E46" s="1249">
        <f>Table2[[#This Row],[MRL2]]</f>
        <v>0</v>
      </c>
      <c r="F46" s="1461" t="str">
        <f>Table2[[#This Row],[LOQ2]]</f>
        <v/>
      </c>
      <c r="G46" s="898">
        <f>LEN(Table2[[#This Row],[Please insert here the MRLs of COM database (use ''paste values'' function)]])</f>
        <v>0</v>
      </c>
      <c r="H4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46" s="898">
        <f>LEN(Table2[[#This Row],[(ft)]])</f>
        <v>1</v>
      </c>
      <c r="J46" s="898">
        <f>IF(Table2[[#This Row],[LOQ2]]="*",LEFT(Table2[[#This Row],[(ft)]],Table2[[#This Row],[length trimmed 1]]-1),Table2[[#This Row],[(ft)]])</f>
        <v>0</v>
      </c>
      <c r="K46" s="898">
        <f>IF(Table2[[#This Row],[MRL_text]]="","",Table2[[#This Row],[MRL_text]]*1)</f>
        <v>0</v>
      </c>
      <c r="L46" s="898" t="str">
        <f>IF(RIGHT(Table2[[#This Row],[(ft)]],1)="*","*","")</f>
        <v/>
      </c>
    </row>
    <row r="47" spans="1:12" ht="13.15" customHeight="1" x14ac:dyDescent="0.2">
      <c r="A47" s="1212">
        <v>153000</v>
      </c>
      <c r="B47" s="1212" t="s">
        <v>1237</v>
      </c>
      <c r="C47" s="1215" t="s">
        <v>1238</v>
      </c>
      <c r="D47" s="1231"/>
      <c r="E47" s="1247">
        <f>Table2[[#This Row],[MRL2]]</f>
        <v>0</v>
      </c>
      <c r="F47" s="1460" t="str">
        <f>Table2[[#This Row],[LOQ2]]</f>
        <v/>
      </c>
      <c r="G47" s="898">
        <f>LEN(Table2[[#This Row],[Please insert here the MRLs of COM database (use ''paste values'' function)]])</f>
        <v>0</v>
      </c>
      <c r="H4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47" s="898">
        <f>LEN(Table2[[#This Row],[(ft)]])</f>
        <v>1</v>
      </c>
      <c r="J47" s="898">
        <f>IF(Table2[[#This Row],[LOQ2]]="*",LEFT(Table2[[#This Row],[(ft)]],Table2[[#This Row],[length trimmed 1]]-1),Table2[[#This Row],[(ft)]])</f>
        <v>0</v>
      </c>
      <c r="K47" s="898">
        <f>IF(Table2[[#This Row],[MRL_text]]="","",Table2[[#This Row],[MRL_text]]*1)</f>
        <v>0</v>
      </c>
      <c r="L47" s="898" t="str">
        <f>IF(RIGHT(Table2[[#This Row],[(ft)]],1)="*","*","")</f>
        <v/>
      </c>
    </row>
    <row r="48" spans="1:12" ht="13.15" customHeight="1" x14ac:dyDescent="0.2">
      <c r="A48" s="1212">
        <v>153010</v>
      </c>
      <c r="B48" s="1212" t="s">
        <v>1239</v>
      </c>
      <c r="C48" s="1215" t="s">
        <v>1240</v>
      </c>
      <c r="D48" s="1231"/>
      <c r="E48" s="1249">
        <f>Table2[[#This Row],[MRL2]]</f>
        <v>0</v>
      </c>
      <c r="F48" s="1461" t="str">
        <f>Table2[[#This Row],[LOQ2]]</f>
        <v/>
      </c>
      <c r="G48" s="898">
        <f>LEN(Table2[[#This Row],[Please insert here the MRLs of COM database (use ''paste values'' function)]])</f>
        <v>0</v>
      </c>
      <c r="H4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48" s="898">
        <f>LEN(Table2[[#This Row],[(ft)]])</f>
        <v>1</v>
      </c>
      <c r="J48" s="898">
        <f>IF(Table2[[#This Row],[LOQ2]]="*",LEFT(Table2[[#This Row],[(ft)]],Table2[[#This Row],[length trimmed 1]]-1),Table2[[#This Row],[(ft)]])</f>
        <v>0</v>
      </c>
      <c r="K48" s="898">
        <f>IF(Table2[[#This Row],[MRL_text]]="","",Table2[[#This Row],[MRL_text]]*1)</f>
        <v>0</v>
      </c>
      <c r="L48" s="898" t="str">
        <f>IF(RIGHT(Table2[[#This Row],[(ft)]],1)="*","*","")</f>
        <v/>
      </c>
    </row>
    <row r="49" spans="1:12" ht="13.15" customHeight="1" x14ac:dyDescent="0.2">
      <c r="A49" s="1212">
        <v>153020</v>
      </c>
      <c r="B49" s="1212" t="s">
        <v>1241</v>
      </c>
      <c r="C49" s="1215" t="s">
        <v>1242</v>
      </c>
      <c r="D49" s="1231"/>
      <c r="E49" s="1249">
        <f>Table2[[#This Row],[MRL2]]</f>
        <v>0</v>
      </c>
      <c r="F49" s="1461" t="str">
        <f>Table2[[#This Row],[LOQ2]]</f>
        <v/>
      </c>
      <c r="G49" s="898">
        <f>LEN(Table2[[#This Row],[Please insert here the MRLs of COM database (use ''paste values'' function)]])</f>
        <v>0</v>
      </c>
      <c r="H4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49" s="898">
        <f>LEN(Table2[[#This Row],[(ft)]])</f>
        <v>1</v>
      </c>
      <c r="J49" s="898">
        <f>IF(Table2[[#This Row],[LOQ2]]="*",LEFT(Table2[[#This Row],[(ft)]],Table2[[#This Row],[length trimmed 1]]-1),Table2[[#This Row],[(ft)]])</f>
        <v>0</v>
      </c>
      <c r="K49" s="898">
        <f>IF(Table2[[#This Row],[MRL_text]]="","",Table2[[#This Row],[MRL_text]]*1)</f>
        <v>0</v>
      </c>
      <c r="L49" s="898" t="str">
        <f>IF(RIGHT(Table2[[#This Row],[(ft)]],1)="*","*","")</f>
        <v/>
      </c>
    </row>
    <row r="50" spans="1:12" ht="13.15" customHeight="1" x14ac:dyDescent="0.2">
      <c r="A50" s="1212">
        <v>153030</v>
      </c>
      <c r="B50" s="1212" t="s">
        <v>1243</v>
      </c>
      <c r="C50" s="1215" t="s">
        <v>1244</v>
      </c>
      <c r="D50" s="1231"/>
      <c r="E50" s="1249">
        <f>Table2[[#This Row],[MRL2]]</f>
        <v>0</v>
      </c>
      <c r="F50" s="1461" t="str">
        <f>Table2[[#This Row],[LOQ2]]</f>
        <v/>
      </c>
      <c r="G50" s="898">
        <f>LEN(Table2[[#This Row],[Please insert here the MRLs of COM database (use ''paste values'' function)]])</f>
        <v>0</v>
      </c>
      <c r="H5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50" s="898">
        <f>LEN(Table2[[#This Row],[(ft)]])</f>
        <v>1</v>
      </c>
      <c r="J50" s="898">
        <f>IF(Table2[[#This Row],[LOQ2]]="*",LEFT(Table2[[#This Row],[(ft)]],Table2[[#This Row],[length trimmed 1]]-1),Table2[[#This Row],[(ft)]])</f>
        <v>0</v>
      </c>
      <c r="K50" s="898">
        <f>IF(Table2[[#This Row],[MRL_text]]="","",Table2[[#This Row],[MRL_text]]*1)</f>
        <v>0</v>
      </c>
      <c r="L50" s="898" t="str">
        <f>IF(RIGHT(Table2[[#This Row],[(ft)]],1)="*","*","")</f>
        <v/>
      </c>
    </row>
    <row r="51" spans="1:12" ht="13.15" customHeight="1" x14ac:dyDescent="0.2">
      <c r="A51" s="1212">
        <v>153990</v>
      </c>
      <c r="B51" s="1212" t="s">
        <v>1245</v>
      </c>
      <c r="C51" s="1215" t="s">
        <v>1177</v>
      </c>
      <c r="D51" s="1231"/>
      <c r="E51" s="1249">
        <f>Table2[[#This Row],[MRL2]]</f>
        <v>0</v>
      </c>
      <c r="F51" s="1461" t="str">
        <f>Table2[[#This Row],[LOQ2]]</f>
        <v/>
      </c>
      <c r="G51" s="898">
        <f>LEN(Table2[[#This Row],[Please insert here the MRLs of COM database (use ''paste values'' function)]])</f>
        <v>0</v>
      </c>
      <c r="H5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51" s="898">
        <f>LEN(Table2[[#This Row],[(ft)]])</f>
        <v>1</v>
      </c>
      <c r="J51" s="898">
        <f>IF(Table2[[#This Row],[LOQ2]]="*",LEFT(Table2[[#This Row],[(ft)]],Table2[[#This Row],[length trimmed 1]]-1),Table2[[#This Row],[(ft)]])</f>
        <v>0</v>
      </c>
      <c r="K51" s="898">
        <f>IF(Table2[[#This Row],[MRL_text]]="","",Table2[[#This Row],[MRL_text]]*1)</f>
        <v>0</v>
      </c>
      <c r="L51" s="898" t="str">
        <f>IF(RIGHT(Table2[[#This Row],[(ft)]],1)="*","*","")</f>
        <v/>
      </c>
    </row>
    <row r="52" spans="1:12" ht="13.15" customHeight="1" x14ac:dyDescent="0.2">
      <c r="A52" s="1212">
        <v>154000</v>
      </c>
      <c r="B52" s="1212" t="s">
        <v>1246</v>
      </c>
      <c r="C52" s="1215" t="s">
        <v>1247</v>
      </c>
      <c r="D52" s="1231"/>
      <c r="E52" s="1247">
        <f>Table2[[#This Row],[MRL2]]</f>
        <v>0</v>
      </c>
      <c r="F52" s="1460" t="str">
        <f>Table2[[#This Row],[LOQ2]]</f>
        <v/>
      </c>
      <c r="G52" s="898">
        <f>LEN(Table2[[#This Row],[Please insert here the MRLs of COM database (use ''paste values'' function)]])</f>
        <v>0</v>
      </c>
      <c r="H5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52" s="898">
        <f>LEN(Table2[[#This Row],[(ft)]])</f>
        <v>1</v>
      </c>
      <c r="J52" s="898">
        <f>IF(Table2[[#This Row],[LOQ2]]="*",LEFT(Table2[[#This Row],[(ft)]],Table2[[#This Row],[length trimmed 1]]-1),Table2[[#This Row],[(ft)]])</f>
        <v>0</v>
      </c>
      <c r="K52" s="898">
        <f>IF(Table2[[#This Row],[MRL_text]]="","",Table2[[#This Row],[MRL_text]]*1)</f>
        <v>0</v>
      </c>
      <c r="L52" s="898" t="str">
        <f>IF(RIGHT(Table2[[#This Row],[(ft)]],1)="*","*","")</f>
        <v/>
      </c>
    </row>
    <row r="53" spans="1:12" ht="13.15" customHeight="1" x14ac:dyDescent="0.2">
      <c r="A53" s="1212">
        <v>154010</v>
      </c>
      <c r="B53" s="1212" t="s">
        <v>1248</v>
      </c>
      <c r="C53" s="1215" t="s">
        <v>1249</v>
      </c>
      <c r="D53" s="1231"/>
      <c r="E53" s="1249">
        <f>Table2[[#This Row],[MRL2]]</f>
        <v>0</v>
      </c>
      <c r="F53" s="1461" t="str">
        <f>Table2[[#This Row],[LOQ2]]</f>
        <v/>
      </c>
      <c r="G53" s="898">
        <f>LEN(Table2[[#This Row],[Please insert here the MRLs of COM database (use ''paste values'' function)]])</f>
        <v>0</v>
      </c>
      <c r="H5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53" s="898">
        <f>LEN(Table2[[#This Row],[(ft)]])</f>
        <v>1</v>
      </c>
      <c r="J53" s="898">
        <f>IF(Table2[[#This Row],[LOQ2]]="*",LEFT(Table2[[#This Row],[(ft)]],Table2[[#This Row],[length trimmed 1]]-1),Table2[[#This Row],[(ft)]])</f>
        <v>0</v>
      </c>
      <c r="K53" s="898">
        <f>IF(Table2[[#This Row],[MRL_text]]="","",Table2[[#This Row],[MRL_text]]*1)</f>
        <v>0</v>
      </c>
      <c r="L53" s="898" t="str">
        <f>IF(RIGHT(Table2[[#This Row],[(ft)]],1)="*","*","")</f>
        <v/>
      </c>
    </row>
    <row r="54" spans="1:12" ht="13.15" customHeight="1" x14ac:dyDescent="0.2">
      <c r="A54" s="1212">
        <v>154020</v>
      </c>
      <c r="B54" s="1212" t="s">
        <v>1250</v>
      </c>
      <c r="C54" s="1215" t="s">
        <v>1251</v>
      </c>
      <c r="D54" s="1231"/>
      <c r="E54" s="1249">
        <f>Table2[[#This Row],[MRL2]]</f>
        <v>0</v>
      </c>
      <c r="F54" s="1461" t="str">
        <f>Table2[[#This Row],[LOQ2]]</f>
        <v/>
      </c>
      <c r="G54" s="898">
        <f>LEN(Table2[[#This Row],[Please insert here the MRLs of COM database (use ''paste values'' function)]])</f>
        <v>0</v>
      </c>
      <c r="H5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54" s="898">
        <f>LEN(Table2[[#This Row],[(ft)]])</f>
        <v>1</v>
      </c>
      <c r="J54" s="898">
        <f>IF(Table2[[#This Row],[LOQ2]]="*",LEFT(Table2[[#This Row],[(ft)]],Table2[[#This Row],[length trimmed 1]]-1),Table2[[#This Row],[(ft)]])</f>
        <v>0</v>
      </c>
      <c r="K54" s="898">
        <f>IF(Table2[[#This Row],[MRL_text]]="","",Table2[[#This Row],[MRL_text]]*1)</f>
        <v>0</v>
      </c>
      <c r="L54" s="898" t="str">
        <f>IF(RIGHT(Table2[[#This Row],[(ft)]],1)="*","*","")</f>
        <v/>
      </c>
    </row>
    <row r="55" spans="1:12" ht="13.15" customHeight="1" x14ac:dyDescent="0.2">
      <c r="A55" s="1212">
        <v>154030</v>
      </c>
      <c r="B55" s="1212" t="s">
        <v>1252</v>
      </c>
      <c r="C55" s="1215" t="s">
        <v>1253</v>
      </c>
      <c r="D55" s="1231"/>
      <c r="E55" s="1249">
        <f>Table2[[#This Row],[MRL2]]</f>
        <v>0</v>
      </c>
      <c r="F55" s="1461" t="str">
        <f>Table2[[#This Row],[LOQ2]]</f>
        <v/>
      </c>
      <c r="G55" s="898">
        <f>LEN(Table2[[#This Row],[Please insert here the MRLs of COM database (use ''paste values'' function)]])</f>
        <v>0</v>
      </c>
      <c r="H5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55" s="898">
        <f>LEN(Table2[[#This Row],[(ft)]])</f>
        <v>1</v>
      </c>
      <c r="J55" s="898">
        <f>IF(Table2[[#This Row],[LOQ2]]="*",LEFT(Table2[[#This Row],[(ft)]],Table2[[#This Row],[length trimmed 1]]-1),Table2[[#This Row],[(ft)]])</f>
        <v>0</v>
      </c>
      <c r="K55" s="898">
        <f>IF(Table2[[#This Row],[MRL_text]]="","",Table2[[#This Row],[MRL_text]]*1)</f>
        <v>0</v>
      </c>
      <c r="L55" s="898" t="str">
        <f>IF(RIGHT(Table2[[#This Row],[(ft)]],1)="*","*","")</f>
        <v/>
      </c>
    </row>
    <row r="56" spans="1:12" ht="13.15" customHeight="1" x14ac:dyDescent="0.2">
      <c r="A56" s="1212">
        <v>154040</v>
      </c>
      <c r="B56" s="1212" t="s">
        <v>1254</v>
      </c>
      <c r="C56" s="1215" t="s">
        <v>1255</v>
      </c>
      <c r="D56" s="1231"/>
      <c r="E56" s="1249">
        <f>Table2[[#This Row],[MRL2]]</f>
        <v>0</v>
      </c>
      <c r="F56" s="1461" t="str">
        <f>Table2[[#This Row],[LOQ2]]</f>
        <v/>
      </c>
      <c r="G56" s="898">
        <f>LEN(Table2[[#This Row],[Please insert here the MRLs of COM database (use ''paste values'' function)]])</f>
        <v>0</v>
      </c>
      <c r="H5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56" s="898">
        <f>LEN(Table2[[#This Row],[(ft)]])</f>
        <v>1</v>
      </c>
      <c r="J56" s="898">
        <f>IF(Table2[[#This Row],[LOQ2]]="*",LEFT(Table2[[#This Row],[(ft)]],Table2[[#This Row],[length trimmed 1]]-1),Table2[[#This Row],[(ft)]])</f>
        <v>0</v>
      </c>
      <c r="K56" s="898">
        <f>IF(Table2[[#This Row],[MRL_text]]="","",Table2[[#This Row],[MRL_text]]*1)</f>
        <v>0</v>
      </c>
      <c r="L56" s="898" t="str">
        <f>IF(RIGHT(Table2[[#This Row],[(ft)]],1)="*","*","")</f>
        <v/>
      </c>
    </row>
    <row r="57" spans="1:12" ht="13.15" customHeight="1" x14ac:dyDescent="0.2">
      <c r="A57" s="1212">
        <v>154050</v>
      </c>
      <c r="B57" s="1212" t="s">
        <v>1256</v>
      </c>
      <c r="C57" s="1215" t="s">
        <v>1257</v>
      </c>
      <c r="D57" s="1231"/>
      <c r="E57" s="1249">
        <f>Table2[[#This Row],[MRL2]]</f>
        <v>0</v>
      </c>
      <c r="F57" s="1461" t="str">
        <f>Table2[[#This Row],[LOQ2]]</f>
        <v/>
      </c>
      <c r="G57" s="898">
        <f>LEN(Table2[[#This Row],[Please insert here the MRLs of COM database (use ''paste values'' function)]])</f>
        <v>0</v>
      </c>
      <c r="H5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57" s="898">
        <f>LEN(Table2[[#This Row],[(ft)]])</f>
        <v>1</v>
      </c>
      <c r="J57" s="898">
        <f>IF(Table2[[#This Row],[LOQ2]]="*",LEFT(Table2[[#This Row],[(ft)]],Table2[[#This Row],[length trimmed 1]]-1),Table2[[#This Row],[(ft)]])</f>
        <v>0</v>
      </c>
      <c r="K57" s="898">
        <f>IF(Table2[[#This Row],[MRL_text]]="","",Table2[[#This Row],[MRL_text]]*1)</f>
        <v>0</v>
      </c>
      <c r="L57" s="898" t="str">
        <f>IF(RIGHT(Table2[[#This Row],[(ft)]],1)="*","*","")</f>
        <v/>
      </c>
    </row>
    <row r="58" spans="1:12" ht="13.15" customHeight="1" x14ac:dyDescent="0.2">
      <c r="A58" s="1212">
        <v>154060</v>
      </c>
      <c r="B58" s="1212" t="s">
        <v>1258</v>
      </c>
      <c r="C58" s="1215" t="s">
        <v>1259</v>
      </c>
      <c r="D58" s="1231"/>
      <c r="E58" s="1249">
        <f>Table2[[#This Row],[MRL2]]</f>
        <v>0</v>
      </c>
      <c r="F58" s="1461" t="str">
        <f>Table2[[#This Row],[LOQ2]]</f>
        <v/>
      </c>
      <c r="G58" s="898">
        <f>LEN(Table2[[#This Row],[Please insert here the MRLs of COM database (use ''paste values'' function)]])</f>
        <v>0</v>
      </c>
      <c r="H5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58" s="898">
        <f>LEN(Table2[[#This Row],[(ft)]])</f>
        <v>1</v>
      </c>
      <c r="J58" s="898">
        <f>IF(Table2[[#This Row],[LOQ2]]="*",LEFT(Table2[[#This Row],[(ft)]],Table2[[#This Row],[length trimmed 1]]-1),Table2[[#This Row],[(ft)]])</f>
        <v>0</v>
      </c>
      <c r="K58" s="898">
        <f>IF(Table2[[#This Row],[MRL_text]]="","",Table2[[#This Row],[MRL_text]]*1)</f>
        <v>0</v>
      </c>
      <c r="L58" s="898" t="str">
        <f>IF(RIGHT(Table2[[#This Row],[(ft)]],1)="*","*","")</f>
        <v/>
      </c>
    </row>
    <row r="59" spans="1:12" ht="13.15" customHeight="1" x14ac:dyDescent="0.2">
      <c r="A59" s="1212">
        <v>154070</v>
      </c>
      <c r="B59" s="1212" t="s">
        <v>1260</v>
      </c>
      <c r="C59" s="1215" t="s">
        <v>1261</v>
      </c>
      <c r="D59" s="1231"/>
      <c r="E59" s="1249">
        <f>Table2[[#This Row],[MRL2]]</f>
        <v>0</v>
      </c>
      <c r="F59" s="1461" t="str">
        <f>Table2[[#This Row],[LOQ2]]</f>
        <v/>
      </c>
      <c r="G59" s="898">
        <f>LEN(Table2[[#This Row],[Please insert here the MRLs of COM database (use ''paste values'' function)]])</f>
        <v>0</v>
      </c>
      <c r="H5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59" s="898">
        <f>LEN(Table2[[#This Row],[(ft)]])</f>
        <v>1</v>
      </c>
      <c r="J59" s="898">
        <f>IF(Table2[[#This Row],[LOQ2]]="*",LEFT(Table2[[#This Row],[(ft)]],Table2[[#This Row],[length trimmed 1]]-1),Table2[[#This Row],[(ft)]])</f>
        <v>0</v>
      </c>
      <c r="K59" s="898">
        <f>IF(Table2[[#This Row],[MRL_text]]="","",Table2[[#This Row],[MRL_text]]*1)</f>
        <v>0</v>
      </c>
      <c r="L59" s="898" t="str">
        <f>IF(RIGHT(Table2[[#This Row],[(ft)]],1)="*","*","")</f>
        <v/>
      </c>
    </row>
    <row r="60" spans="1:12" ht="13.15" customHeight="1" x14ac:dyDescent="0.2">
      <c r="A60" s="1212">
        <v>154080</v>
      </c>
      <c r="B60" s="1212" t="s">
        <v>1262</v>
      </c>
      <c r="C60" s="1215" t="s">
        <v>1263</v>
      </c>
      <c r="D60" s="1231"/>
      <c r="E60" s="1249">
        <f>Table2[[#This Row],[MRL2]]</f>
        <v>0</v>
      </c>
      <c r="F60" s="1461" t="str">
        <f>Table2[[#This Row],[LOQ2]]</f>
        <v/>
      </c>
      <c r="G60" s="898">
        <f>LEN(Table2[[#This Row],[Please insert here the MRLs of COM database (use ''paste values'' function)]])</f>
        <v>0</v>
      </c>
      <c r="H6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60" s="898">
        <f>LEN(Table2[[#This Row],[(ft)]])</f>
        <v>1</v>
      </c>
      <c r="J60" s="898">
        <f>IF(Table2[[#This Row],[LOQ2]]="*",LEFT(Table2[[#This Row],[(ft)]],Table2[[#This Row],[length trimmed 1]]-1),Table2[[#This Row],[(ft)]])</f>
        <v>0</v>
      </c>
      <c r="K60" s="898">
        <f>IF(Table2[[#This Row],[MRL_text]]="","",Table2[[#This Row],[MRL_text]]*1)</f>
        <v>0</v>
      </c>
      <c r="L60" s="898" t="str">
        <f>IF(RIGHT(Table2[[#This Row],[(ft)]],1)="*","*","")</f>
        <v/>
      </c>
    </row>
    <row r="61" spans="1:12" ht="13.15" customHeight="1" x14ac:dyDescent="0.2">
      <c r="A61" s="1212">
        <v>154990</v>
      </c>
      <c r="B61" s="1212" t="s">
        <v>1264</v>
      </c>
      <c r="C61" s="1215" t="s">
        <v>1177</v>
      </c>
      <c r="D61" s="1231"/>
      <c r="E61" s="1249">
        <f>Table2[[#This Row],[MRL2]]</f>
        <v>0</v>
      </c>
      <c r="F61" s="1461" t="str">
        <f>Table2[[#This Row],[LOQ2]]</f>
        <v/>
      </c>
      <c r="G61" s="898">
        <f>LEN(Table2[[#This Row],[Please insert here the MRLs of COM database (use ''paste values'' function)]])</f>
        <v>0</v>
      </c>
      <c r="H6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61" s="898">
        <f>LEN(Table2[[#This Row],[(ft)]])</f>
        <v>1</v>
      </c>
      <c r="J61" s="898">
        <f>IF(Table2[[#This Row],[LOQ2]]="*",LEFT(Table2[[#This Row],[(ft)]],Table2[[#This Row],[length trimmed 1]]-1),Table2[[#This Row],[(ft)]])</f>
        <v>0</v>
      </c>
      <c r="K61" s="898">
        <f>IF(Table2[[#This Row],[MRL_text]]="","",Table2[[#This Row],[MRL_text]]*1)</f>
        <v>0</v>
      </c>
      <c r="L61" s="898" t="str">
        <f>IF(RIGHT(Table2[[#This Row],[(ft)]],1)="*","*","")</f>
        <v/>
      </c>
    </row>
    <row r="62" spans="1:12" ht="13.15" customHeight="1" x14ac:dyDescent="0.2">
      <c r="A62" s="1211">
        <v>160000</v>
      </c>
      <c r="B62" s="1211" t="s">
        <v>1265</v>
      </c>
      <c r="C62" s="1236" t="s">
        <v>1266</v>
      </c>
      <c r="D62" s="1230"/>
      <c r="E62" s="1247">
        <f>Table2[[#This Row],[MRL2]]</f>
        <v>0</v>
      </c>
      <c r="F62" s="1460" t="str">
        <f>Table2[[#This Row],[LOQ2]]</f>
        <v/>
      </c>
      <c r="G62" s="898">
        <f>LEN(Table2[[#This Row],[Please insert here the MRLs of COM database (use ''paste values'' function)]])</f>
        <v>0</v>
      </c>
      <c r="H6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62" s="898">
        <f>LEN(Table2[[#This Row],[(ft)]])</f>
        <v>1</v>
      </c>
      <c r="J62" s="898">
        <f>IF(Table2[[#This Row],[LOQ2]]="*",LEFT(Table2[[#This Row],[(ft)]],Table2[[#This Row],[length trimmed 1]]-1),Table2[[#This Row],[(ft)]])</f>
        <v>0</v>
      </c>
      <c r="K62" s="898">
        <f>IF(Table2[[#This Row],[MRL_text]]="","",Table2[[#This Row],[MRL_text]]*1)</f>
        <v>0</v>
      </c>
      <c r="L62" s="898" t="str">
        <f>IF(RIGHT(Table2[[#This Row],[(ft)]],1)="*","*","")</f>
        <v/>
      </c>
    </row>
    <row r="63" spans="1:12" ht="13.15" customHeight="1" x14ac:dyDescent="0.2">
      <c r="A63" s="1212">
        <v>161000</v>
      </c>
      <c r="B63" s="1212" t="s">
        <v>1267</v>
      </c>
      <c r="C63" s="1215" t="s">
        <v>1268</v>
      </c>
      <c r="D63" s="1231"/>
      <c r="E63" s="1247">
        <f>Table2[[#This Row],[MRL2]]</f>
        <v>0</v>
      </c>
      <c r="F63" s="1460" t="str">
        <f>Table2[[#This Row],[LOQ2]]</f>
        <v/>
      </c>
      <c r="G63" s="898">
        <f>LEN(Table2[[#This Row],[Please insert here the MRLs of COM database (use ''paste values'' function)]])</f>
        <v>0</v>
      </c>
      <c r="H6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63" s="898">
        <f>LEN(Table2[[#This Row],[(ft)]])</f>
        <v>1</v>
      </c>
      <c r="J63" s="898">
        <f>IF(Table2[[#This Row],[LOQ2]]="*",LEFT(Table2[[#This Row],[(ft)]],Table2[[#This Row],[length trimmed 1]]-1),Table2[[#This Row],[(ft)]])</f>
        <v>0</v>
      </c>
      <c r="K63" s="898">
        <f>IF(Table2[[#This Row],[MRL_text]]="","",Table2[[#This Row],[MRL_text]]*1)</f>
        <v>0</v>
      </c>
      <c r="L63" s="898" t="str">
        <f>IF(RIGHT(Table2[[#This Row],[(ft)]],1)="*","*","")</f>
        <v/>
      </c>
    </row>
    <row r="64" spans="1:12" ht="13.15" customHeight="1" x14ac:dyDescent="0.2">
      <c r="A64" s="1212">
        <v>161010</v>
      </c>
      <c r="B64" s="1212" t="s">
        <v>1269</v>
      </c>
      <c r="C64" s="1215" t="s">
        <v>1270</v>
      </c>
      <c r="D64" s="1231"/>
      <c r="E64" s="1249">
        <f>Table2[[#This Row],[MRL2]]</f>
        <v>0</v>
      </c>
      <c r="F64" s="1461" t="str">
        <f>Table2[[#This Row],[LOQ2]]</f>
        <v/>
      </c>
      <c r="G64" s="898">
        <f>LEN(Table2[[#This Row],[Please insert here the MRLs of COM database (use ''paste values'' function)]])</f>
        <v>0</v>
      </c>
      <c r="H6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64" s="898">
        <f>LEN(Table2[[#This Row],[(ft)]])</f>
        <v>1</v>
      </c>
      <c r="J64" s="898">
        <f>IF(Table2[[#This Row],[LOQ2]]="*",LEFT(Table2[[#This Row],[(ft)]],Table2[[#This Row],[length trimmed 1]]-1),Table2[[#This Row],[(ft)]])</f>
        <v>0</v>
      </c>
      <c r="K64" s="898">
        <f>IF(Table2[[#This Row],[MRL_text]]="","",Table2[[#This Row],[MRL_text]]*1)</f>
        <v>0</v>
      </c>
      <c r="L64" s="898" t="str">
        <f>IF(RIGHT(Table2[[#This Row],[(ft)]],1)="*","*","")</f>
        <v/>
      </c>
    </row>
    <row r="65" spans="1:12" ht="13.15" customHeight="1" x14ac:dyDescent="0.2">
      <c r="A65" s="1212">
        <v>161020</v>
      </c>
      <c r="B65" s="1212" t="s">
        <v>1271</v>
      </c>
      <c r="C65" s="1215" t="s">
        <v>1272</v>
      </c>
      <c r="D65" s="1231"/>
      <c r="E65" s="1249">
        <f>Table2[[#This Row],[MRL2]]</f>
        <v>0</v>
      </c>
      <c r="F65" s="1461" t="str">
        <f>Table2[[#This Row],[LOQ2]]</f>
        <v/>
      </c>
      <c r="G65" s="898">
        <f>LEN(Table2[[#This Row],[Please insert here the MRLs of COM database (use ''paste values'' function)]])</f>
        <v>0</v>
      </c>
      <c r="H6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65" s="898">
        <f>LEN(Table2[[#This Row],[(ft)]])</f>
        <v>1</v>
      </c>
      <c r="J65" s="898">
        <f>IF(Table2[[#This Row],[LOQ2]]="*",LEFT(Table2[[#This Row],[(ft)]],Table2[[#This Row],[length trimmed 1]]-1),Table2[[#This Row],[(ft)]])</f>
        <v>0</v>
      </c>
      <c r="K65" s="898">
        <f>IF(Table2[[#This Row],[MRL_text]]="","",Table2[[#This Row],[MRL_text]]*1)</f>
        <v>0</v>
      </c>
      <c r="L65" s="898" t="str">
        <f>IF(RIGHT(Table2[[#This Row],[(ft)]],1)="*","*","")</f>
        <v/>
      </c>
    </row>
    <row r="66" spans="1:12" ht="13.15" customHeight="1" x14ac:dyDescent="0.2">
      <c r="A66" s="1212">
        <v>161030</v>
      </c>
      <c r="B66" s="1212" t="s">
        <v>1273</v>
      </c>
      <c r="C66" s="1215" t="s">
        <v>1274</v>
      </c>
      <c r="D66" s="1231"/>
      <c r="E66" s="1249">
        <f>Table2[[#This Row],[MRL2]]</f>
        <v>0</v>
      </c>
      <c r="F66" s="1461" t="str">
        <f>Table2[[#This Row],[LOQ2]]</f>
        <v/>
      </c>
      <c r="G66" s="898">
        <f>LEN(Table2[[#This Row],[Please insert here the MRLs of COM database (use ''paste values'' function)]])</f>
        <v>0</v>
      </c>
      <c r="H6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66" s="898">
        <f>LEN(Table2[[#This Row],[(ft)]])</f>
        <v>1</v>
      </c>
      <c r="J66" s="898">
        <f>IF(Table2[[#This Row],[LOQ2]]="*",LEFT(Table2[[#This Row],[(ft)]],Table2[[#This Row],[length trimmed 1]]-1),Table2[[#This Row],[(ft)]])</f>
        <v>0</v>
      </c>
      <c r="K66" s="898">
        <f>IF(Table2[[#This Row],[MRL_text]]="","",Table2[[#This Row],[MRL_text]]*1)</f>
        <v>0</v>
      </c>
      <c r="L66" s="898" t="str">
        <f>IF(RIGHT(Table2[[#This Row],[(ft)]],1)="*","*","")</f>
        <v/>
      </c>
    </row>
    <row r="67" spans="1:12" ht="13.15" customHeight="1" x14ac:dyDescent="0.2">
      <c r="A67" s="1212">
        <v>161040</v>
      </c>
      <c r="B67" s="1212" t="s">
        <v>1275</v>
      </c>
      <c r="C67" s="1215" t="s">
        <v>1276</v>
      </c>
      <c r="D67" s="1231"/>
      <c r="E67" s="1249">
        <f>Table2[[#This Row],[MRL2]]</f>
        <v>0</v>
      </c>
      <c r="F67" s="1461" t="str">
        <f>Table2[[#This Row],[LOQ2]]</f>
        <v/>
      </c>
      <c r="G67" s="898">
        <f>LEN(Table2[[#This Row],[Please insert here the MRLs of COM database (use ''paste values'' function)]])</f>
        <v>0</v>
      </c>
      <c r="H6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67" s="898">
        <f>LEN(Table2[[#This Row],[(ft)]])</f>
        <v>1</v>
      </c>
      <c r="J67" s="898">
        <f>IF(Table2[[#This Row],[LOQ2]]="*",LEFT(Table2[[#This Row],[(ft)]],Table2[[#This Row],[length trimmed 1]]-1),Table2[[#This Row],[(ft)]])</f>
        <v>0</v>
      </c>
      <c r="K67" s="898">
        <f>IF(Table2[[#This Row],[MRL_text]]="","",Table2[[#This Row],[MRL_text]]*1)</f>
        <v>0</v>
      </c>
      <c r="L67" s="898" t="str">
        <f>IF(RIGHT(Table2[[#This Row],[(ft)]],1)="*","*","")</f>
        <v/>
      </c>
    </row>
    <row r="68" spans="1:12" ht="13.15" customHeight="1" x14ac:dyDescent="0.2">
      <c r="A68" s="1212">
        <v>161050</v>
      </c>
      <c r="B68" s="1212" t="s">
        <v>1277</v>
      </c>
      <c r="C68" s="1215" t="s">
        <v>1278</v>
      </c>
      <c r="D68" s="1231"/>
      <c r="E68" s="1249">
        <f>Table2[[#This Row],[MRL2]]</f>
        <v>0</v>
      </c>
      <c r="F68" s="1461" t="str">
        <f>Table2[[#This Row],[LOQ2]]</f>
        <v/>
      </c>
      <c r="G68" s="898">
        <f>LEN(Table2[[#This Row],[Please insert here the MRLs of COM database (use ''paste values'' function)]])</f>
        <v>0</v>
      </c>
      <c r="H6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68" s="898">
        <f>LEN(Table2[[#This Row],[(ft)]])</f>
        <v>1</v>
      </c>
      <c r="J68" s="898">
        <f>IF(Table2[[#This Row],[LOQ2]]="*",LEFT(Table2[[#This Row],[(ft)]],Table2[[#This Row],[length trimmed 1]]-1),Table2[[#This Row],[(ft)]])</f>
        <v>0</v>
      </c>
      <c r="K68" s="898">
        <f>IF(Table2[[#This Row],[MRL_text]]="","",Table2[[#This Row],[MRL_text]]*1)</f>
        <v>0</v>
      </c>
      <c r="L68" s="898" t="str">
        <f>IF(RIGHT(Table2[[#This Row],[(ft)]],1)="*","*","")</f>
        <v/>
      </c>
    </row>
    <row r="69" spans="1:12" ht="13.15" customHeight="1" x14ac:dyDescent="0.2">
      <c r="A69" s="1212">
        <v>161060</v>
      </c>
      <c r="B69" s="1212" t="s">
        <v>1279</v>
      </c>
      <c r="C69" s="1215" t="s">
        <v>1280</v>
      </c>
      <c r="D69" s="1231"/>
      <c r="E69" s="1249">
        <f>Table2[[#This Row],[MRL2]]</f>
        <v>0</v>
      </c>
      <c r="F69" s="1461" t="str">
        <f>Table2[[#This Row],[LOQ2]]</f>
        <v/>
      </c>
      <c r="G69" s="898">
        <f>LEN(Table2[[#This Row],[Please insert here the MRLs of COM database (use ''paste values'' function)]])</f>
        <v>0</v>
      </c>
      <c r="H6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69" s="898">
        <f>LEN(Table2[[#This Row],[(ft)]])</f>
        <v>1</v>
      </c>
      <c r="J69" s="898">
        <f>IF(Table2[[#This Row],[LOQ2]]="*",LEFT(Table2[[#This Row],[(ft)]],Table2[[#This Row],[length trimmed 1]]-1),Table2[[#This Row],[(ft)]])</f>
        <v>0</v>
      </c>
      <c r="K69" s="898">
        <f>IF(Table2[[#This Row],[MRL_text]]="","",Table2[[#This Row],[MRL_text]]*1)</f>
        <v>0</v>
      </c>
      <c r="L69" s="898" t="str">
        <f>IF(RIGHT(Table2[[#This Row],[(ft)]],1)="*","*","")</f>
        <v/>
      </c>
    </row>
    <row r="70" spans="1:12" ht="13.15" customHeight="1" x14ac:dyDescent="0.2">
      <c r="A70" s="1212">
        <v>161070</v>
      </c>
      <c r="B70" s="1212" t="s">
        <v>1281</v>
      </c>
      <c r="C70" s="1215" t="s">
        <v>1282</v>
      </c>
      <c r="D70" s="1231"/>
      <c r="E70" s="1249">
        <f>Table2[[#This Row],[MRL2]]</f>
        <v>0</v>
      </c>
      <c r="F70" s="1461" t="str">
        <f>Table2[[#This Row],[LOQ2]]</f>
        <v/>
      </c>
      <c r="G70" s="898">
        <f>LEN(Table2[[#This Row],[Please insert here the MRLs of COM database (use ''paste values'' function)]])</f>
        <v>0</v>
      </c>
      <c r="H7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70" s="898">
        <f>LEN(Table2[[#This Row],[(ft)]])</f>
        <v>1</v>
      </c>
      <c r="J70" s="898">
        <f>IF(Table2[[#This Row],[LOQ2]]="*",LEFT(Table2[[#This Row],[(ft)]],Table2[[#This Row],[length trimmed 1]]-1),Table2[[#This Row],[(ft)]])</f>
        <v>0</v>
      </c>
      <c r="K70" s="898">
        <f>IF(Table2[[#This Row],[MRL_text]]="","",Table2[[#This Row],[MRL_text]]*1)</f>
        <v>0</v>
      </c>
      <c r="L70" s="898" t="str">
        <f>IF(RIGHT(Table2[[#This Row],[(ft)]],1)="*","*","")</f>
        <v/>
      </c>
    </row>
    <row r="71" spans="1:12" ht="13.15" customHeight="1" x14ac:dyDescent="0.2">
      <c r="A71" s="1212">
        <v>161990</v>
      </c>
      <c r="B71" s="1212" t="s">
        <v>1283</v>
      </c>
      <c r="C71" s="1215" t="s">
        <v>1177</v>
      </c>
      <c r="D71" s="1231"/>
      <c r="E71" s="1249">
        <f>Table2[[#This Row],[MRL2]]</f>
        <v>0</v>
      </c>
      <c r="F71" s="1461" t="str">
        <f>Table2[[#This Row],[LOQ2]]</f>
        <v/>
      </c>
      <c r="G71" s="898">
        <f>LEN(Table2[[#This Row],[Please insert here the MRLs of COM database (use ''paste values'' function)]])</f>
        <v>0</v>
      </c>
      <c r="H7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71" s="898">
        <f>LEN(Table2[[#This Row],[(ft)]])</f>
        <v>1</v>
      </c>
      <c r="J71" s="898">
        <f>IF(Table2[[#This Row],[LOQ2]]="*",LEFT(Table2[[#This Row],[(ft)]],Table2[[#This Row],[length trimmed 1]]-1),Table2[[#This Row],[(ft)]])</f>
        <v>0</v>
      </c>
      <c r="K71" s="898">
        <f>IF(Table2[[#This Row],[MRL_text]]="","",Table2[[#This Row],[MRL_text]]*1)</f>
        <v>0</v>
      </c>
      <c r="L71" s="898" t="str">
        <f>IF(RIGHT(Table2[[#This Row],[(ft)]],1)="*","*","")</f>
        <v/>
      </c>
    </row>
    <row r="72" spans="1:12" ht="13.15" customHeight="1" x14ac:dyDescent="0.2">
      <c r="A72" s="1212">
        <v>162000</v>
      </c>
      <c r="B72" s="1212" t="s">
        <v>1284</v>
      </c>
      <c r="C72" s="1215" t="s">
        <v>1285</v>
      </c>
      <c r="D72" s="1231"/>
      <c r="E72" s="1247">
        <f>Table2[[#This Row],[MRL2]]</f>
        <v>0</v>
      </c>
      <c r="F72" s="1460" t="str">
        <f>Table2[[#This Row],[LOQ2]]</f>
        <v/>
      </c>
      <c r="G72" s="898">
        <f>LEN(Table2[[#This Row],[Please insert here the MRLs of COM database (use ''paste values'' function)]])</f>
        <v>0</v>
      </c>
      <c r="H7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72" s="898">
        <f>LEN(Table2[[#This Row],[(ft)]])</f>
        <v>1</v>
      </c>
      <c r="J72" s="898">
        <f>IF(Table2[[#This Row],[LOQ2]]="*",LEFT(Table2[[#This Row],[(ft)]],Table2[[#This Row],[length trimmed 1]]-1),Table2[[#This Row],[(ft)]])</f>
        <v>0</v>
      </c>
      <c r="K72" s="898">
        <f>IF(Table2[[#This Row],[MRL_text]]="","",Table2[[#This Row],[MRL_text]]*1)</f>
        <v>0</v>
      </c>
      <c r="L72" s="898" t="str">
        <f>IF(RIGHT(Table2[[#This Row],[(ft)]],1)="*","*","")</f>
        <v/>
      </c>
    </row>
    <row r="73" spans="1:12" ht="13.15" customHeight="1" x14ac:dyDescent="0.2">
      <c r="A73" s="1212">
        <v>162010</v>
      </c>
      <c r="B73" s="1212" t="s">
        <v>1286</v>
      </c>
      <c r="C73" s="1215" t="s">
        <v>1287</v>
      </c>
      <c r="D73" s="1231"/>
      <c r="E73" s="1249">
        <f>Table2[[#This Row],[MRL2]]</f>
        <v>0</v>
      </c>
      <c r="F73" s="1461" t="str">
        <f>Table2[[#This Row],[LOQ2]]</f>
        <v/>
      </c>
      <c r="G73" s="898">
        <f>LEN(Table2[[#This Row],[Please insert here the MRLs of COM database (use ''paste values'' function)]])</f>
        <v>0</v>
      </c>
      <c r="H7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73" s="898">
        <f>LEN(Table2[[#This Row],[(ft)]])</f>
        <v>1</v>
      </c>
      <c r="J73" s="898">
        <f>IF(Table2[[#This Row],[LOQ2]]="*",LEFT(Table2[[#This Row],[(ft)]],Table2[[#This Row],[length trimmed 1]]-1),Table2[[#This Row],[(ft)]])</f>
        <v>0</v>
      </c>
      <c r="K73" s="898">
        <f>IF(Table2[[#This Row],[MRL_text]]="","",Table2[[#This Row],[MRL_text]]*1)</f>
        <v>0</v>
      </c>
      <c r="L73" s="898" t="str">
        <f>IF(RIGHT(Table2[[#This Row],[(ft)]],1)="*","*","")</f>
        <v/>
      </c>
    </row>
    <row r="74" spans="1:12" ht="13.15" customHeight="1" x14ac:dyDescent="0.2">
      <c r="A74" s="1212">
        <v>162020</v>
      </c>
      <c r="B74" s="1212" t="s">
        <v>1288</v>
      </c>
      <c r="C74" s="1215" t="s">
        <v>1289</v>
      </c>
      <c r="D74" s="1231"/>
      <c r="E74" s="1249">
        <f>Table2[[#This Row],[MRL2]]</f>
        <v>0</v>
      </c>
      <c r="F74" s="1461" t="str">
        <f>Table2[[#This Row],[LOQ2]]</f>
        <v/>
      </c>
      <c r="G74" s="898">
        <f>LEN(Table2[[#This Row],[Please insert here the MRLs of COM database (use ''paste values'' function)]])</f>
        <v>0</v>
      </c>
      <c r="H7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74" s="898">
        <f>LEN(Table2[[#This Row],[(ft)]])</f>
        <v>1</v>
      </c>
      <c r="J74" s="898">
        <f>IF(Table2[[#This Row],[LOQ2]]="*",LEFT(Table2[[#This Row],[(ft)]],Table2[[#This Row],[length trimmed 1]]-1),Table2[[#This Row],[(ft)]])</f>
        <v>0</v>
      </c>
      <c r="K74" s="898">
        <f>IF(Table2[[#This Row],[MRL_text]]="","",Table2[[#This Row],[MRL_text]]*1)</f>
        <v>0</v>
      </c>
      <c r="L74" s="898" t="str">
        <f>IF(RIGHT(Table2[[#This Row],[(ft)]],1)="*","*","")</f>
        <v/>
      </c>
    </row>
    <row r="75" spans="1:12" ht="13.15" customHeight="1" x14ac:dyDescent="0.2">
      <c r="A75" s="1212">
        <v>162030</v>
      </c>
      <c r="B75" s="1212" t="s">
        <v>1290</v>
      </c>
      <c r="C75" s="1215" t="s">
        <v>1291</v>
      </c>
      <c r="D75" s="1231"/>
      <c r="E75" s="1249">
        <f>Table2[[#This Row],[MRL2]]</f>
        <v>0</v>
      </c>
      <c r="F75" s="1461" t="str">
        <f>Table2[[#This Row],[LOQ2]]</f>
        <v/>
      </c>
      <c r="G75" s="898">
        <f>LEN(Table2[[#This Row],[Please insert here the MRLs of COM database (use ''paste values'' function)]])</f>
        <v>0</v>
      </c>
      <c r="H7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75" s="898">
        <f>LEN(Table2[[#This Row],[(ft)]])</f>
        <v>1</v>
      </c>
      <c r="J75" s="898">
        <f>IF(Table2[[#This Row],[LOQ2]]="*",LEFT(Table2[[#This Row],[(ft)]],Table2[[#This Row],[length trimmed 1]]-1),Table2[[#This Row],[(ft)]])</f>
        <v>0</v>
      </c>
      <c r="K75" s="898">
        <f>IF(Table2[[#This Row],[MRL_text]]="","",Table2[[#This Row],[MRL_text]]*1)</f>
        <v>0</v>
      </c>
      <c r="L75" s="898" t="str">
        <f>IF(RIGHT(Table2[[#This Row],[(ft)]],1)="*","*","")</f>
        <v/>
      </c>
    </row>
    <row r="76" spans="1:12" ht="13.15" customHeight="1" x14ac:dyDescent="0.2">
      <c r="A76" s="1212">
        <v>162040</v>
      </c>
      <c r="B76" s="1212" t="s">
        <v>1292</v>
      </c>
      <c r="C76" s="1215" t="s">
        <v>1293</v>
      </c>
      <c r="D76" s="1231"/>
      <c r="E76" s="1249">
        <f>Table2[[#This Row],[MRL2]]</f>
        <v>0</v>
      </c>
      <c r="F76" s="1461" t="str">
        <f>Table2[[#This Row],[LOQ2]]</f>
        <v/>
      </c>
      <c r="G76" s="898">
        <f>LEN(Table2[[#This Row],[Please insert here the MRLs of COM database (use ''paste values'' function)]])</f>
        <v>0</v>
      </c>
      <c r="H7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76" s="898">
        <f>LEN(Table2[[#This Row],[(ft)]])</f>
        <v>1</v>
      </c>
      <c r="J76" s="898">
        <f>IF(Table2[[#This Row],[LOQ2]]="*",LEFT(Table2[[#This Row],[(ft)]],Table2[[#This Row],[length trimmed 1]]-1),Table2[[#This Row],[(ft)]])</f>
        <v>0</v>
      </c>
      <c r="K76" s="898">
        <f>IF(Table2[[#This Row],[MRL_text]]="","",Table2[[#This Row],[MRL_text]]*1)</f>
        <v>0</v>
      </c>
      <c r="L76" s="898" t="str">
        <f>IF(RIGHT(Table2[[#This Row],[(ft)]],1)="*","*","")</f>
        <v/>
      </c>
    </row>
    <row r="77" spans="1:12" ht="13.15" customHeight="1" x14ac:dyDescent="0.2">
      <c r="A77" s="1212">
        <v>162050</v>
      </c>
      <c r="B77" s="1212" t="s">
        <v>1294</v>
      </c>
      <c r="C77" s="1215" t="s">
        <v>1295</v>
      </c>
      <c r="D77" s="1231"/>
      <c r="E77" s="1249">
        <f>Table2[[#This Row],[MRL2]]</f>
        <v>0</v>
      </c>
      <c r="F77" s="1461" t="str">
        <f>Table2[[#This Row],[LOQ2]]</f>
        <v/>
      </c>
      <c r="G77" s="898">
        <f>LEN(Table2[[#This Row],[Please insert here the MRLs of COM database (use ''paste values'' function)]])</f>
        <v>0</v>
      </c>
      <c r="H7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77" s="898">
        <f>LEN(Table2[[#This Row],[(ft)]])</f>
        <v>1</v>
      </c>
      <c r="J77" s="898">
        <f>IF(Table2[[#This Row],[LOQ2]]="*",LEFT(Table2[[#This Row],[(ft)]],Table2[[#This Row],[length trimmed 1]]-1),Table2[[#This Row],[(ft)]])</f>
        <v>0</v>
      </c>
      <c r="K77" s="898">
        <f>IF(Table2[[#This Row],[MRL_text]]="","",Table2[[#This Row],[MRL_text]]*1)</f>
        <v>0</v>
      </c>
      <c r="L77" s="898" t="str">
        <f>IF(RIGHT(Table2[[#This Row],[(ft)]],1)="*","*","")</f>
        <v/>
      </c>
    </row>
    <row r="78" spans="1:12" ht="13.15" customHeight="1" x14ac:dyDescent="0.2">
      <c r="A78" s="1212">
        <v>162060</v>
      </c>
      <c r="B78" s="1212" t="s">
        <v>1296</v>
      </c>
      <c r="C78" s="1215" t="s">
        <v>1297</v>
      </c>
      <c r="D78" s="1231"/>
      <c r="E78" s="1249">
        <f>Table2[[#This Row],[MRL2]]</f>
        <v>0</v>
      </c>
      <c r="F78" s="1461" t="str">
        <f>Table2[[#This Row],[LOQ2]]</f>
        <v/>
      </c>
      <c r="G78" s="898">
        <f>LEN(Table2[[#This Row],[Please insert here the MRLs of COM database (use ''paste values'' function)]])</f>
        <v>0</v>
      </c>
      <c r="H7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78" s="898">
        <f>LEN(Table2[[#This Row],[(ft)]])</f>
        <v>1</v>
      </c>
      <c r="J78" s="898">
        <f>IF(Table2[[#This Row],[LOQ2]]="*",LEFT(Table2[[#This Row],[(ft)]],Table2[[#This Row],[length trimmed 1]]-1),Table2[[#This Row],[(ft)]])</f>
        <v>0</v>
      </c>
      <c r="K78" s="898">
        <f>IF(Table2[[#This Row],[MRL_text]]="","",Table2[[#This Row],[MRL_text]]*1)</f>
        <v>0</v>
      </c>
      <c r="L78" s="898" t="str">
        <f>IF(RIGHT(Table2[[#This Row],[(ft)]],1)="*","*","")</f>
        <v/>
      </c>
    </row>
    <row r="79" spans="1:12" ht="13.15" customHeight="1" x14ac:dyDescent="0.2">
      <c r="A79" s="1212">
        <v>162990</v>
      </c>
      <c r="B79" s="1212" t="s">
        <v>1298</v>
      </c>
      <c r="C79" s="1215" t="s">
        <v>1177</v>
      </c>
      <c r="D79" s="1231"/>
      <c r="E79" s="1249">
        <f>Table2[[#This Row],[MRL2]]</f>
        <v>0</v>
      </c>
      <c r="F79" s="1461" t="str">
        <f>Table2[[#This Row],[LOQ2]]</f>
        <v/>
      </c>
      <c r="G79" s="898">
        <f>LEN(Table2[[#This Row],[Please insert here the MRLs of COM database (use ''paste values'' function)]])</f>
        <v>0</v>
      </c>
      <c r="H7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79" s="898">
        <f>LEN(Table2[[#This Row],[(ft)]])</f>
        <v>1</v>
      </c>
      <c r="J79" s="898">
        <f>IF(Table2[[#This Row],[LOQ2]]="*",LEFT(Table2[[#This Row],[(ft)]],Table2[[#This Row],[length trimmed 1]]-1),Table2[[#This Row],[(ft)]])</f>
        <v>0</v>
      </c>
      <c r="K79" s="898">
        <f>IF(Table2[[#This Row],[MRL_text]]="","",Table2[[#This Row],[MRL_text]]*1)</f>
        <v>0</v>
      </c>
      <c r="L79" s="898" t="str">
        <f>IF(RIGHT(Table2[[#This Row],[(ft)]],1)="*","*","")</f>
        <v/>
      </c>
    </row>
    <row r="80" spans="1:12" ht="13.15" customHeight="1" x14ac:dyDescent="0.2">
      <c r="A80" s="1212">
        <v>163000</v>
      </c>
      <c r="B80" s="1212" t="s">
        <v>1299</v>
      </c>
      <c r="C80" s="1215" t="s">
        <v>1300</v>
      </c>
      <c r="D80" s="1231"/>
      <c r="E80" s="1247">
        <f>Table2[[#This Row],[MRL2]]</f>
        <v>0</v>
      </c>
      <c r="F80" s="1460" t="str">
        <f>Table2[[#This Row],[LOQ2]]</f>
        <v/>
      </c>
      <c r="G80" s="898">
        <f>LEN(Table2[[#This Row],[Please insert here the MRLs of COM database (use ''paste values'' function)]])</f>
        <v>0</v>
      </c>
      <c r="H8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80" s="898">
        <f>LEN(Table2[[#This Row],[(ft)]])</f>
        <v>1</v>
      </c>
      <c r="J80" s="898">
        <f>IF(Table2[[#This Row],[LOQ2]]="*",LEFT(Table2[[#This Row],[(ft)]],Table2[[#This Row],[length trimmed 1]]-1),Table2[[#This Row],[(ft)]])</f>
        <v>0</v>
      </c>
      <c r="K80" s="898">
        <f>IF(Table2[[#This Row],[MRL_text]]="","",Table2[[#This Row],[MRL_text]]*1)</f>
        <v>0</v>
      </c>
      <c r="L80" s="898" t="str">
        <f>IF(RIGHT(Table2[[#This Row],[(ft)]],1)="*","*","")</f>
        <v/>
      </c>
    </row>
    <row r="81" spans="1:12" ht="13.15" customHeight="1" x14ac:dyDescent="0.2">
      <c r="A81" s="1212">
        <v>163010</v>
      </c>
      <c r="B81" s="1212" t="s">
        <v>1301</v>
      </c>
      <c r="C81" s="1215" t="s">
        <v>1302</v>
      </c>
      <c r="D81" s="1231"/>
      <c r="E81" s="1249">
        <f>Table2[[#This Row],[MRL2]]</f>
        <v>0</v>
      </c>
      <c r="F81" s="1461" t="str">
        <f>Table2[[#This Row],[LOQ2]]</f>
        <v/>
      </c>
      <c r="G81" s="898">
        <f>LEN(Table2[[#This Row],[Please insert here the MRLs of COM database (use ''paste values'' function)]])</f>
        <v>0</v>
      </c>
      <c r="H8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81" s="898">
        <f>LEN(Table2[[#This Row],[(ft)]])</f>
        <v>1</v>
      </c>
      <c r="J81" s="898">
        <f>IF(Table2[[#This Row],[LOQ2]]="*",LEFT(Table2[[#This Row],[(ft)]],Table2[[#This Row],[length trimmed 1]]-1),Table2[[#This Row],[(ft)]])</f>
        <v>0</v>
      </c>
      <c r="K81" s="898">
        <f>IF(Table2[[#This Row],[MRL_text]]="","",Table2[[#This Row],[MRL_text]]*1)</f>
        <v>0</v>
      </c>
      <c r="L81" s="898" t="str">
        <f>IF(RIGHT(Table2[[#This Row],[(ft)]],1)="*","*","")</f>
        <v/>
      </c>
    </row>
    <row r="82" spans="1:12" ht="13.15" customHeight="1" x14ac:dyDescent="0.2">
      <c r="A82" s="1212">
        <v>163020</v>
      </c>
      <c r="B82" s="1212" t="s">
        <v>1303</v>
      </c>
      <c r="C82" s="1215" t="s">
        <v>1304</v>
      </c>
      <c r="D82" s="1231"/>
      <c r="E82" s="1249">
        <f>Table2[[#This Row],[MRL2]]</f>
        <v>0</v>
      </c>
      <c r="F82" s="1461" t="str">
        <f>Table2[[#This Row],[LOQ2]]</f>
        <v/>
      </c>
      <c r="G82" s="898">
        <f>LEN(Table2[[#This Row],[Please insert here the MRLs of COM database (use ''paste values'' function)]])</f>
        <v>0</v>
      </c>
      <c r="H8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82" s="898">
        <f>LEN(Table2[[#This Row],[(ft)]])</f>
        <v>1</v>
      </c>
      <c r="J82" s="898">
        <f>IF(Table2[[#This Row],[LOQ2]]="*",LEFT(Table2[[#This Row],[(ft)]],Table2[[#This Row],[length trimmed 1]]-1),Table2[[#This Row],[(ft)]])</f>
        <v>0</v>
      </c>
      <c r="K82" s="898">
        <f>IF(Table2[[#This Row],[MRL_text]]="","",Table2[[#This Row],[MRL_text]]*1)</f>
        <v>0</v>
      </c>
      <c r="L82" s="898" t="str">
        <f>IF(RIGHT(Table2[[#This Row],[(ft)]],1)="*","*","")</f>
        <v/>
      </c>
    </row>
    <row r="83" spans="1:12" ht="13.15" customHeight="1" x14ac:dyDescent="0.2">
      <c r="A83" s="1212">
        <v>163030</v>
      </c>
      <c r="B83" s="1212" t="s">
        <v>1305</v>
      </c>
      <c r="C83" s="1215" t="s">
        <v>1306</v>
      </c>
      <c r="D83" s="1231"/>
      <c r="E83" s="1249">
        <f>Table2[[#This Row],[MRL2]]</f>
        <v>0</v>
      </c>
      <c r="F83" s="1461" t="str">
        <f>Table2[[#This Row],[LOQ2]]</f>
        <v/>
      </c>
      <c r="G83" s="898">
        <f>LEN(Table2[[#This Row],[Please insert here the MRLs of COM database (use ''paste values'' function)]])</f>
        <v>0</v>
      </c>
      <c r="H8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83" s="898">
        <f>LEN(Table2[[#This Row],[(ft)]])</f>
        <v>1</v>
      </c>
      <c r="J83" s="898">
        <f>IF(Table2[[#This Row],[LOQ2]]="*",LEFT(Table2[[#This Row],[(ft)]],Table2[[#This Row],[length trimmed 1]]-1),Table2[[#This Row],[(ft)]])</f>
        <v>0</v>
      </c>
      <c r="K83" s="898">
        <f>IF(Table2[[#This Row],[MRL_text]]="","",Table2[[#This Row],[MRL_text]]*1)</f>
        <v>0</v>
      </c>
      <c r="L83" s="898" t="str">
        <f>IF(RIGHT(Table2[[#This Row],[(ft)]],1)="*","*","")</f>
        <v/>
      </c>
    </row>
    <row r="84" spans="1:12" ht="13.15" customHeight="1" x14ac:dyDescent="0.2">
      <c r="A84" s="1212">
        <v>163040</v>
      </c>
      <c r="B84" s="1212" t="s">
        <v>1307</v>
      </c>
      <c r="C84" s="1215" t="s">
        <v>1308</v>
      </c>
      <c r="D84" s="1231"/>
      <c r="E84" s="1249">
        <f>Table2[[#This Row],[MRL2]]</f>
        <v>0</v>
      </c>
      <c r="F84" s="1461" t="str">
        <f>Table2[[#This Row],[LOQ2]]</f>
        <v/>
      </c>
      <c r="G84" s="898">
        <f>LEN(Table2[[#This Row],[Please insert here the MRLs of COM database (use ''paste values'' function)]])</f>
        <v>0</v>
      </c>
      <c r="H8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84" s="898">
        <f>LEN(Table2[[#This Row],[(ft)]])</f>
        <v>1</v>
      </c>
      <c r="J84" s="898">
        <f>IF(Table2[[#This Row],[LOQ2]]="*",LEFT(Table2[[#This Row],[(ft)]],Table2[[#This Row],[length trimmed 1]]-1),Table2[[#This Row],[(ft)]])</f>
        <v>0</v>
      </c>
      <c r="K84" s="898">
        <f>IF(Table2[[#This Row],[MRL_text]]="","",Table2[[#This Row],[MRL_text]]*1)</f>
        <v>0</v>
      </c>
      <c r="L84" s="898" t="str">
        <f>IF(RIGHT(Table2[[#This Row],[(ft)]],1)="*","*","")</f>
        <v/>
      </c>
    </row>
    <row r="85" spans="1:12" ht="13.15" customHeight="1" x14ac:dyDescent="0.2">
      <c r="A85" s="1212">
        <v>163050</v>
      </c>
      <c r="B85" s="1212" t="s">
        <v>1309</v>
      </c>
      <c r="C85" s="1215" t="s">
        <v>1310</v>
      </c>
      <c r="D85" s="1231"/>
      <c r="E85" s="1249">
        <f>Table2[[#This Row],[MRL2]]</f>
        <v>0</v>
      </c>
      <c r="F85" s="1461" t="str">
        <f>Table2[[#This Row],[LOQ2]]</f>
        <v/>
      </c>
      <c r="G85" s="898">
        <f>LEN(Table2[[#This Row],[Please insert here the MRLs of COM database (use ''paste values'' function)]])</f>
        <v>0</v>
      </c>
      <c r="H8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85" s="898">
        <f>LEN(Table2[[#This Row],[(ft)]])</f>
        <v>1</v>
      </c>
      <c r="J85" s="898">
        <f>IF(Table2[[#This Row],[LOQ2]]="*",LEFT(Table2[[#This Row],[(ft)]],Table2[[#This Row],[length trimmed 1]]-1),Table2[[#This Row],[(ft)]])</f>
        <v>0</v>
      </c>
      <c r="K85" s="898">
        <f>IF(Table2[[#This Row],[MRL_text]]="","",Table2[[#This Row],[MRL_text]]*1)</f>
        <v>0</v>
      </c>
      <c r="L85" s="898" t="str">
        <f>IF(RIGHT(Table2[[#This Row],[(ft)]],1)="*","*","")</f>
        <v/>
      </c>
    </row>
    <row r="86" spans="1:12" ht="13.15" customHeight="1" x14ac:dyDescent="0.2">
      <c r="A86" s="1212">
        <v>163060</v>
      </c>
      <c r="B86" s="1212" t="s">
        <v>1311</v>
      </c>
      <c r="C86" s="1215" t="s">
        <v>1312</v>
      </c>
      <c r="D86" s="1231"/>
      <c r="E86" s="1249">
        <f>Table2[[#This Row],[MRL2]]</f>
        <v>0</v>
      </c>
      <c r="F86" s="1461" t="str">
        <f>Table2[[#This Row],[LOQ2]]</f>
        <v/>
      </c>
      <c r="G86" s="898">
        <f>LEN(Table2[[#This Row],[Please insert here the MRLs of COM database (use ''paste values'' function)]])</f>
        <v>0</v>
      </c>
      <c r="H8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86" s="898">
        <f>LEN(Table2[[#This Row],[(ft)]])</f>
        <v>1</v>
      </c>
      <c r="J86" s="898">
        <f>IF(Table2[[#This Row],[LOQ2]]="*",LEFT(Table2[[#This Row],[(ft)]],Table2[[#This Row],[length trimmed 1]]-1),Table2[[#This Row],[(ft)]])</f>
        <v>0</v>
      </c>
      <c r="K86" s="898">
        <f>IF(Table2[[#This Row],[MRL_text]]="","",Table2[[#This Row],[MRL_text]]*1)</f>
        <v>0</v>
      </c>
      <c r="L86" s="898" t="str">
        <f>IF(RIGHT(Table2[[#This Row],[(ft)]],1)="*","*","")</f>
        <v/>
      </c>
    </row>
    <row r="87" spans="1:12" ht="13.15" customHeight="1" x14ac:dyDescent="0.2">
      <c r="A87" s="1212">
        <v>163070</v>
      </c>
      <c r="B87" s="1212" t="s">
        <v>1313</v>
      </c>
      <c r="C87" s="1215" t="s">
        <v>1314</v>
      </c>
      <c r="D87" s="1231"/>
      <c r="E87" s="1249">
        <f>Table2[[#This Row],[MRL2]]</f>
        <v>0</v>
      </c>
      <c r="F87" s="1461" t="str">
        <f>Table2[[#This Row],[LOQ2]]</f>
        <v/>
      </c>
      <c r="G87" s="898">
        <f>LEN(Table2[[#This Row],[Please insert here the MRLs of COM database (use ''paste values'' function)]])</f>
        <v>0</v>
      </c>
      <c r="H8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87" s="898">
        <f>LEN(Table2[[#This Row],[(ft)]])</f>
        <v>1</v>
      </c>
      <c r="J87" s="898">
        <f>IF(Table2[[#This Row],[LOQ2]]="*",LEFT(Table2[[#This Row],[(ft)]],Table2[[#This Row],[length trimmed 1]]-1),Table2[[#This Row],[(ft)]])</f>
        <v>0</v>
      </c>
      <c r="K87" s="898">
        <f>IF(Table2[[#This Row],[MRL_text]]="","",Table2[[#This Row],[MRL_text]]*1)</f>
        <v>0</v>
      </c>
      <c r="L87" s="898" t="str">
        <f>IF(RIGHT(Table2[[#This Row],[(ft)]],1)="*","*","")</f>
        <v/>
      </c>
    </row>
    <row r="88" spans="1:12" ht="13.15" customHeight="1" x14ac:dyDescent="0.2">
      <c r="A88" s="1212">
        <v>163080</v>
      </c>
      <c r="B88" s="1212" t="s">
        <v>1315</v>
      </c>
      <c r="C88" s="1215" t="s">
        <v>1316</v>
      </c>
      <c r="D88" s="1231"/>
      <c r="E88" s="1249">
        <f>Table2[[#This Row],[MRL2]]</f>
        <v>0</v>
      </c>
      <c r="F88" s="1461" t="str">
        <f>Table2[[#This Row],[LOQ2]]</f>
        <v/>
      </c>
      <c r="G88" s="898">
        <f>LEN(Table2[[#This Row],[Please insert here the MRLs of COM database (use ''paste values'' function)]])</f>
        <v>0</v>
      </c>
      <c r="H8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88" s="898">
        <f>LEN(Table2[[#This Row],[(ft)]])</f>
        <v>1</v>
      </c>
      <c r="J88" s="898">
        <f>IF(Table2[[#This Row],[LOQ2]]="*",LEFT(Table2[[#This Row],[(ft)]],Table2[[#This Row],[length trimmed 1]]-1),Table2[[#This Row],[(ft)]])</f>
        <v>0</v>
      </c>
      <c r="K88" s="898">
        <f>IF(Table2[[#This Row],[MRL_text]]="","",Table2[[#This Row],[MRL_text]]*1)</f>
        <v>0</v>
      </c>
      <c r="L88" s="898" t="str">
        <f>IF(RIGHT(Table2[[#This Row],[(ft)]],1)="*","*","")</f>
        <v/>
      </c>
    </row>
    <row r="89" spans="1:12" ht="13.15" customHeight="1" x14ac:dyDescent="0.2">
      <c r="A89" s="1212">
        <v>163090</v>
      </c>
      <c r="B89" s="1212" t="s">
        <v>1317</v>
      </c>
      <c r="C89" s="1215" t="s">
        <v>1318</v>
      </c>
      <c r="D89" s="1232"/>
      <c r="E89" s="1249">
        <f>Table2[[#This Row],[MRL2]]</f>
        <v>0</v>
      </c>
      <c r="F89" s="1461" t="str">
        <f>Table2[[#This Row],[LOQ2]]</f>
        <v/>
      </c>
      <c r="G89" s="898">
        <f>LEN(Table2[[#This Row],[Please insert here the MRLs of COM database (use ''paste values'' function)]])</f>
        <v>0</v>
      </c>
      <c r="H8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89" s="898">
        <f>LEN(Table2[[#This Row],[(ft)]])</f>
        <v>1</v>
      </c>
      <c r="J89" s="898">
        <f>IF(Table2[[#This Row],[LOQ2]]="*",LEFT(Table2[[#This Row],[(ft)]],Table2[[#This Row],[length trimmed 1]]-1),Table2[[#This Row],[(ft)]])</f>
        <v>0</v>
      </c>
      <c r="K89" s="898">
        <f>IF(Table2[[#This Row],[MRL_text]]="","",Table2[[#This Row],[MRL_text]]*1)</f>
        <v>0</v>
      </c>
      <c r="L89" s="898" t="str">
        <f>IF(RIGHT(Table2[[#This Row],[(ft)]],1)="*","*","")</f>
        <v/>
      </c>
    </row>
    <row r="90" spans="1:12" ht="13.15" customHeight="1" x14ac:dyDescent="0.2">
      <c r="A90" s="1212">
        <v>163100</v>
      </c>
      <c r="B90" s="1212" t="s">
        <v>1319</v>
      </c>
      <c r="C90" s="1215" t="s">
        <v>1320</v>
      </c>
      <c r="D90" s="1231"/>
      <c r="E90" s="1249">
        <f>Table2[[#This Row],[MRL2]]</f>
        <v>0</v>
      </c>
      <c r="F90" s="1461" t="str">
        <f>Table2[[#This Row],[LOQ2]]</f>
        <v/>
      </c>
      <c r="G90" s="898">
        <f>LEN(Table2[[#This Row],[Please insert here the MRLs of COM database (use ''paste values'' function)]])</f>
        <v>0</v>
      </c>
      <c r="H9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90" s="898">
        <f>LEN(Table2[[#This Row],[(ft)]])</f>
        <v>1</v>
      </c>
      <c r="J90" s="898">
        <f>IF(Table2[[#This Row],[LOQ2]]="*",LEFT(Table2[[#This Row],[(ft)]],Table2[[#This Row],[length trimmed 1]]-1),Table2[[#This Row],[(ft)]])</f>
        <v>0</v>
      </c>
      <c r="K90" s="898">
        <f>IF(Table2[[#This Row],[MRL_text]]="","",Table2[[#This Row],[MRL_text]]*1)</f>
        <v>0</v>
      </c>
      <c r="L90" s="898" t="str">
        <f>IF(RIGHT(Table2[[#This Row],[(ft)]],1)="*","*","")</f>
        <v/>
      </c>
    </row>
    <row r="91" spans="1:12" ht="13.15" customHeight="1" x14ac:dyDescent="0.2">
      <c r="A91" s="1212">
        <v>163110</v>
      </c>
      <c r="B91" s="1212" t="s">
        <v>1321</v>
      </c>
      <c r="C91" s="1215" t="s">
        <v>1322</v>
      </c>
      <c r="D91" s="1231"/>
      <c r="E91" s="1249">
        <f>Table2[[#This Row],[MRL2]]</f>
        <v>0</v>
      </c>
      <c r="F91" s="1461" t="str">
        <f>Table2[[#This Row],[LOQ2]]</f>
        <v/>
      </c>
      <c r="G91" s="898">
        <f>LEN(Table2[[#This Row],[Please insert here the MRLs of COM database (use ''paste values'' function)]])</f>
        <v>0</v>
      </c>
      <c r="H9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91" s="898">
        <f>LEN(Table2[[#This Row],[(ft)]])</f>
        <v>1</v>
      </c>
      <c r="J91" s="898">
        <f>IF(Table2[[#This Row],[LOQ2]]="*",LEFT(Table2[[#This Row],[(ft)]],Table2[[#This Row],[length trimmed 1]]-1),Table2[[#This Row],[(ft)]])</f>
        <v>0</v>
      </c>
      <c r="K91" s="898">
        <f>IF(Table2[[#This Row],[MRL_text]]="","",Table2[[#This Row],[MRL_text]]*1)</f>
        <v>0</v>
      </c>
      <c r="L91" s="898" t="str">
        <f>IF(RIGHT(Table2[[#This Row],[(ft)]],1)="*","*","")</f>
        <v/>
      </c>
    </row>
    <row r="92" spans="1:12" ht="13.15" customHeight="1" x14ac:dyDescent="0.2">
      <c r="A92" s="1212">
        <v>163990</v>
      </c>
      <c r="B92" s="1212" t="s">
        <v>1323</v>
      </c>
      <c r="C92" s="1215" t="s">
        <v>1177</v>
      </c>
      <c r="D92" s="1231"/>
      <c r="E92" s="1249">
        <f>Table2[[#This Row],[MRL2]]</f>
        <v>0</v>
      </c>
      <c r="F92" s="1461" t="str">
        <f>Table2[[#This Row],[LOQ2]]</f>
        <v/>
      </c>
      <c r="G92" s="898">
        <f>LEN(Table2[[#This Row],[Please insert here the MRLs of COM database (use ''paste values'' function)]])</f>
        <v>0</v>
      </c>
      <c r="H9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92" s="898">
        <f>LEN(Table2[[#This Row],[(ft)]])</f>
        <v>1</v>
      </c>
      <c r="J92" s="898">
        <f>IF(Table2[[#This Row],[LOQ2]]="*",LEFT(Table2[[#This Row],[(ft)]],Table2[[#This Row],[length trimmed 1]]-1),Table2[[#This Row],[(ft)]])</f>
        <v>0</v>
      </c>
      <c r="K92" s="898">
        <f>IF(Table2[[#This Row],[MRL_text]]="","",Table2[[#This Row],[MRL_text]]*1)</f>
        <v>0</v>
      </c>
      <c r="L92" s="898" t="str">
        <f>IF(RIGHT(Table2[[#This Row],[(ft)]],1)="*","*","")</f>
        <v/>
      </c>
    </row>
    <row r="93" spans="1:12" ht="13.15" customHeight="1" x14ac:dyDescent="0.2">
      <c r="A93" s="1211">
        <v>200000</v>
      </c>
      <c r="B93" s="1211" t="s">
        <v>1324</v>
      </c>
      <c r="C93" s="1236" t="s">
        <v>1325</v>
      </c>
      <c r="D93" s="1230"/>
      <c r="E93" s="1247">
        <f>Table2[[#This Row],[MRL2]]</f>
        <v>0</v>
      </c>
      <c r="F93" s="1460" t="str">
        <f>Table2[[#This Row],[LOQ2]]</f>
        <v/>
      </c>
      <c r="G93" s="898">
        <f>LEN(Table2[[#This Row],[Please insert here the MRLs of COM database (use ''paste values'' function)]])</f>
        <v>0</v>
      </c>
      <c r="H9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93" s="898">
        <f>LEN(Table2[[#This Row],[(ft)]])</f>
        <v>1</v>
      </c>
      <c r="J93" s="898">
        <f>IF(Table2[[#This Row],[LOQ2]]="*",LEFT(Table2[[#This Row],[(ft)]],Table2[[#This Row],[length trimmed 1]]-1),Table2[[#This Row],[(ft)]])</f>
        <v>0</v>
      </c>
      <c r="K93" s="898">
        <f>IF(Table2[[#This Row],[MRL_text]]="","",Table2[[#This Row],[MRL_text]]*1)</f>
        <v>0</v>
      </c>
      <c r="L93" s="898" t="str">
        <f>IF(RIGHT(Table2[[#This Row],[(ft)]],1)="*","*","")</f>
        <v/>
      </c>
    </row>
    <row r="94" spans="1:12" ht="13.15" customHeight="1" x14ac:dyDescent="0.2">
      <c r="A94" s="1211">
        <v>210000</v>
      </c>
      <c r="B94" s="1211" t="s">
        <v>1326</v>
      </c>
      <c r="C94" s="1236" t="s">
        <v>1327</v>
      </c>
      <c r="D94" s="1230"/>
      <c r="E94" s="1247">
        <f>Table2[[#This Row],[MRL2]]</f>
        <v>0</v>
      </c>
      <c r="F94" s="1460" t="str">
        <f>Table2[[#This Row],[LOQ2]]</f>
        <v/>
      </c>
      <c r="G94" s="898">
        <f>LEN(Table2[[#This Row],[Please insert here the MRLs of COM database (use ''paste values'' function)]])</f>
        <v>0</v>
      </c>
      <c r="H9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94" s="898">
        <f>LEN(Table2[[#This Row],[(ft)]])</f>
        <v>1</v>
      </c>
      <c r="J94" s="898">
        <f>IF(Table2[[#This Row],[LOQ2]]="*",LEFT(Table2[[#This Row],[(ft)]],Table2[[#This Row],[length trimmed 1]]-1),Table2[[#This Row],[(ft)]])</f>
        <v>0</v>
      </c>
      <c r="K94" s="898">
        <f>IF(Table2[[#This Row],[MRL_text]]="","",Table2[[#This Row],[MRL_text]]*1)</f>
        <v>0</v>
      </c>
      <c r="L94" s="898" t="str">
        <f>IF(RIGHT(Table2[[#This Row],[(ft)]],1)="*","*","")</f>
        <v/>
      </c>
    </row>
    <row r="95" spans="1:12" ht="13.15" customHeight="1" x14ac:dyDescent="0.2">
      <c r="A95" s="1212">
        <v>211000</v>
      </c>
      <c r="B95" s="1212" t="s">
        <v>1328</v>
      </c>
      <c r="C95" s="1215" t="s">
        <v>1329</v>
      </c>
      <c r="D95" s="1231"/>
      <c r="E95" s="1249">
        <f>Table2[[#This Row],[MRL2]]</f>
        <v>0</v>
      </c>
      <c r="F95" s="1461" t="str">
        <f>Table2[[#This Row],[LOQ2]]</f>
        <v/>
      </c>
      <c r="G95" s="898">
        <f>LEN(Table2[[#This Row],[Please insert here the MRLs of COM database (use ''paste values'' function)]])</f>
        <v>0</v>
      </c>
      <c r="H9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95" s="898">
        <f>LEN(Table2[[#This Row],[(ft)]])</f>
        <v>1</v>
      </c>
      <c r="J95" s="898">
        <f>IF(Table2[[#This Row],[LOQ2]]="*",LEFT(Table2[[#This Row],[(ft)]],Table2[[#This Row],[length trimmed 1]]-1),Table2[[#This Row],[(ft)]])</f>
        <v>0</v>
      </c>
      <c r="K95" s="898">
        <f>IF(Table2[[#This Row],[MRL_text]]="","",Table2[[#This Row],[MRL_text]]*1)</f>
        <v>0</v>
      </c>
      <c r="L95" s="898" t="str">
        <f>IF(RIGHT(Table2[[#This Row],[(ft)]],1)="*","*","")</f>
        <v/>
      </c>
    </row>
    <row r="96" spans="1:12" ht="13.15" customHeight="1" x14ac:dyDescent="0.2">
      <c r="A96" s="1212">
        <v>212000</v>
      </c>
      <c r="B96" s="1212" t="s">
        <v>1330</v>
      </c>
      <c r="C96" s="1215" t="s">
        <v>1331</v>
      </c>
      <c r="D96" s="1231"/>
      <c r="E96" s="1247">
        <f>Table2[[#This Row],[MRL2]]</f>
        <v>0</v>
      </c>
      <c r="F96" s="1460" t="str">
        <f>Table2[[#This Row],[LOQ2]]</f>
        <v/>
      </c>
      <c r="G96" s="898">
        <f>LEN(Table2[[#This Row],[Please insert here the MRLs of COM database (use ''paste values'' function)]])</f>
        <v>0</v>
      </c>
      <c r="H9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96" s="898">
        <f>LEN(Table2[[#This Row],[(ft)]])</f>
        <v>1</v>
      </c>
      <c r="J96" s="898">
        <f>IF(Table2[[#This Row],[LOQ2]]="*",LEFT(Table2[[#This Row],[(ft)]],Table2[[#This Row],[length trimmed 1]]-1),Table2[[#This Row],[(ft)]])</f>
        <v>0</v>
      </c>
      <c r="K96" s="898">
        <f>IF(Table2[[#This Row],[MRL_text]]="","",Table2[[#This Row],[MRL_text]]*1)</f>
        <v>0</v>
      </c>
      <c r="L96" s="898" t="str">
        <f>IF(RIGHT(Table2[[#This Row],[(ft)]],1)="*","*","")</f>
        <v/>
      </c>
    </row>
    <row r="97" spans="1:12" ht="13.15" customHeight="1" x14ac:dyDescent="0.2">
      <c r="A97" s="1212">
        <v>212010</v>
      </c>
      <c r="B97" s="1212" t="s">
        <v>1332</v>
      </c>
      <c r="C97" s="1215" t="s">
        <v>1333</v>
      </c>
      <c r="D97" s="1231"/>
      <c r="E97" s="1249">
        <f>Table2[[#This Row],[MRL2]]</f>
        <v>0</v>
      </c>
      <c r="F97" s="1461" t="str">
        <f>Table2[[#This Row],[LOQ2]]</f>
        <v/>
      </c>
      <c r="G97" s="898">
        <f>LEN(Table2[[#This Row],[Please insert here the MRLs of COM database (use ''paste values'' function)]])</f>
        <v>0</v>
      </c>
      <c r="H9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97" s="898">
        <f>LEN(Table2[[#This Row],[(ft)]])</f>
        <v>1</v>
      </c>
      <c r="J97" s="898">
        <f>IF(Table2[[#This Row],[LOQ2]]="*",LEFT(Table2[[#This Row],[(ft)]],Table2[[#This Row],[length trimmed 1]]-1),Table2[[#This Row],[(ft)]])</f>
        <v>0</v>
      </c>
      <c r="K97" s="898">
        <f>IF(Table2[[#This Row],[MRL_text]]="","",Table2[[#This Row],[MRL_text]]*1)</f>
        <v>0</v>
      </c>
      <c r="L97" s="898" t="str">
        <f>IF(RIGHT(Table2[[#This Row],[(ft)]],1)="*","*","")</f>
        <v/>
      </c>
    </row>
    <row r="98" spans="1:12" ht="13.15" customHeight="1" x14ac:dyDescent="0.2">
      <c r="A98" s="1212">
        <v>212020</v>
      </c>
      <c r="B98" s="1212" t="s">
        <v>1334</v>
      </c>
      <c r="C98" s="1215" t="s">
        <v>1335</v>
      </c>
      <c r="D98" s="1231"/>
      <c r="E98" s="1249">
        <f>Table2[[#This Row],[MRL2]]</f>
        <v>0</v>
      </c>
      <c r="F98" s="1461" t="str">
        <f>Table2[[#This Row],[LOQ2]]</f>
        <v/>
      </c>
      <c r="G98" s="898">
        <f>LEN(Table2[[#This Row],[Please insert here the MRLs of COM database (use ''paste values'' function)]])</f>
        <v>0</v>
      </c>
      <c r="H9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98" s="898">
        <f>LEN(Table2[[#This Row],[(ft)]])</f>
        <v>1</v>
      </c>
      <c r="J98" s="898">
        <f>IF(Table2[[#This Row],[LOQ2]]="*",LEFT(Table2[[#This Row],[(ft)]],Table2[[#This Row],[length trimmed 1]]-1),Table2[[#This Row],[(ft)]])</f>
        <v>0</v>
      </c>
      <c r="K98" s="898">
        <f>IF(Table2[[#This Row],[MRL_text]]="","",Table2[[#This Row],[MRL_text]]*1)</f>
        <v>0</v>
      </c>
      <c r="L98" s="898" t="str">
        <f>IF(RIGHT(Table2[[#This Row],[(ft)]],1)="*","*","")</f>
        <v/>
      </c>
    </row>
    <row r="99" spans="1:12" ht="13.15" customHeight="1" x14ac:dyDescent="0.2">
      <c r="A99" s="1212">
        <v>212030</v>
      </c>
      <c r="B99" s="1212" t="s">
        <v>1336</v>
      </c>
      <c r="C99" s="1215" t="s">
        <v>1337</v>
      </c>
      <c r="D99" s="1231"/>
      <c r="E99" s="1249">
        <f>Table2[[#This Row],[MRL2]]</f>
        <v>0</v>
      </c>
      <c r="F99" s="1461" t="str">
        <f>Table2[[#This Row],[LOQ2]]</f>
        <v/>
      </c>
      <c r="G99" s="898">
        <f>LEN(Table2[[#This Row],[Please insert here the MRLs of COM database (use ''paste values'' function)]])</f>
        <v>0</v>
      </c>
      <c r="H9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99" s="898">
        <f>LEN(Table2[[#This Row],[(ft)]])</f>
        <v>1</v>
      </c>
      <c r="J99" s="898">
        <f>IF(Table2[[#This Row],[LOQ2]]="*",LEFT(Table2[[#This Row],[(ft)]],Table2[[#This Row],[length trimmed 1]]-1),Table2[[#This Row],[(ft)]])</f>
        <v>0</v>
      </c>
      <c r="K99" s="898">
        <f>IF(Table2[[#This Row],[MRL_text]]="","",Table2[[#This Row],[MRL_text]]*1)</f>
        <v>0</v>
      </c>
      <c r="L99" s="898" t="str">
        <f>IF(RIGHT(Table2[[#This Row],[(ft)]],1)="*","*","")</f>
        <v/>
      </c>
    </row>
    <row r="100" spans="1:12" ht="13.15" customHeight="1" x14ac:dyDescent="0.2">
      <c r="A100" s="1212">
        <v>212040</v>
      </c>
      <c r="B100" s="1212" t="s">
        <v>1338</v>
      </c>
      <c r="C100" s="1215" t="s">
        <v>1339</v>
      </c>
      <c r="D100" s="1231"/>
      <c r="E100" s="1249">
        <f>Table2[[#This Row],[MRL2]]</f>
        <v>0</v>
      </c>
      <c r="F100" s="1461" t="str">
        <f>Table2[[#This Row],[LOQ2]]</f>
        <v/>
      </c>
      <c r="G100" s="898">
        <f>LEN(Table2[[#This Row],[Please insert here the MRLs of COM database (use ''paste values'' function)]])</f>
        <v>0</v>
      </c>
      <c r="H10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00" s="898">
        <f>LEN(Table2[[#This Row],[(ft)]])</f>
        <v>1</v>
      </c>
      <c r="J100" s="898">
        <f>IF(Table2[[#This Row],[LOQ2]]="*",LEFT(Table2[[#This Row],[(ft)]],Table2[[#This Row],[length trimmed 1]]-1),Table2[[#This Row],[(ft)]])</f>
        <v>0</v>
      </c>
      <c r="K100" s="898">
        <f>IF(Table2[[#This Row],[MRL_text]]="","",Table2[[#This Row],[MRL_text]]*1)</f>
        <v>0</v>
      </c>
      <c r="L100" s="898" t="str">
        <f>IF(RIGHT(Table2[[#This Row],[(ft)]],1)="*","*","")</f>
        <v/>
      </c>
    </row>
    <row r="101" spans="1:12" ht="13.15" customHeight="1" x14ac:dyDescent="0.2">
      <c r="A101" s="1212">
        <v>212990</v>
      </c>
      <c r="B101" s="1212" t="s">
        <v>1340</v>
      </c>
      <c r="C101" s="1215" t="s">
        <v>1177</v>
      </c>
      <c r="D101" s="1231"/>
      <c r="E101" s="1249">
        <f>Table2[[#This Row],[MRL2]]</f>
        <v>0</v>
      </c>
      <c r="F101" s="1461" t="str">
        <f>Table2[[#This Row],[LOQ2]]</f>
        <v/>
      </c>
      <c r="G101" s="898">
        <f>LEN(Table2[[#This Row],[Please insert here the MRLs of COM database (use ''paste values'' function)]])</f>
        <v>0</v>
      </c>
      <c r="H10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01" s="898">
        <f>LEN(Table2[[#This Row],[(ft)]])</f>
        <v>1</v>
      </c>
      <c r="J101" s="898">
        <f>IF(Table2[[#This Row],[LOQ2]]="*",LEFT(Table2[[#This Row],[(ft)]],Table2[[#This Row],[length trimmed 1]]-1),Table2[[#This Row],[(ft)]])</f>
        <v>0</v>
      </c>
      <c r="K101" s="898">
        <f>IF(Table2[[#This Row],[MRL_text]]="","",Table2[[#This Row],[MRL_text]]*1)</f>
        <v>0</v>
      </c>
      <c r="L101" s="898" t="str">
        <f>IF(RIGHT(Table2[[#This Row],[(ft)]],1)="*","*","")</f>
        <v/>
      </c>
    </row>
    <row r="102" spans="1:12" ht="13.15" customHeight="1" x14ac:dyDescent="0.2">
      <c r="A102" s="1212">
        <v>213000</v>
      </c>
      <c r="B102" s="1212" t="s">
        <v>1341</v>
      </c>
      <c r="C102" s="1215" t="s">
        <v>1342</v>
      </c>
      <c r="D102" s="1231"/>
      <c r="E102" s="1247">
        <f>Table2[[#This Row],[MRL2]]</f>
        <v>0</v>
      </c>
      <c r="F102" s="1460" t="str">
        <f>Table2[[#This Row],[LOQ2]]</f>
        <v/>
      </c>
      <c r="G102" s="898">
        <f>LEN(Table2[[#This Row],[Please insert here the MRLs of COM database (use ''paste values'' function)]])</f>
        <v>0</v>
      </c>
      <c r="H10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02" s="898">
        <f>LEN(Table2[[#This Row],[(ft)]])</f>
        <v>1</v>
      </c>
      <c r="J102" s="898">
        <f>IF(Table2[[#This Row],[LOQ2]]="*",LEFT(Table2[[#This Row],[(ft)]],Table2[[#This Row],[length trimmed 1]]-1),Table2[[#This Row],[(ft)]])</f>
        <v>0</v>
      </c>
      <c r="K102" s="898">
        <f>IF(Table2[[#This Row],[MRL_text]]="","",Table2[[#This Row],[MRL_text]]*1)</f>
        <v>0</v>
      </c>
      <c r="L102" s="898" t="str">
        <f>IF(RIGHT(Table2[[#This Row],[(ft)]],1)="*","*","")</f>
        <v/>
      </c>
    </row>
    <row r="103" spans="1:12" ht="13.15" customHeight="1" x14ac:dyDescent="0.2">
      <c r="A103" s="1212">
        <v>213010</v>
      </c>
      <c r="B103" s="1212" t="s">
        <v>1343</v>
      </c>
      <c r="C103" s="1215" t="s">
        <v>1344</v>
      </c>
      <c r="D103" s="1231"/>
      <c r="E103" s="1249">
        <f>Table2[[#This Row],[MRL2]]</f>
        <v>0</v>
      </c>
      <c r="F103" s="1461" t="str">
        <f>Table2[[#This Row],[LOQ2]]</f>
        <v/>
      </c>
      <c r="G103" s="898">
        <f>LEN(Table2[[#This Row],[Please insert here the MRLs of COM database (use ''paste values'' function)]])</f>
        <v>0</v>
      </c>
      <c r="H10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03" s="898">
        <f>LEN(Table2[[#This Row],[(ft)]])</f>
        <v>1</v>
      </c>
      <c r="J103" s="898">
        <f>IF(Table2[[#This Row],[LOQ2]]="*",LEFT(Table2[[#This Row],[(ft)]],Table2[[#This Row],[length trimmed 1]]-1),Table2[[#This Row],[(ft)]])</f>
        <v>0</v>
      </c>
      <c r="K103" s="898">
        <f>IF(Table2[[#This Row],[MRL_text]]="","",Table2[[#This Row],[MRL_text]]*1)</f>
        <v>0</v>
      </c>
      <c r="L103" s="898" t="str">
        <f>IF(RIGHT(Table2[[#This Row],[(ft)]],1)="*","*","")</f>
        <v/>
      </c>
    </row>
    <row r="104" spans="1:12" ht="13.15" customHeight="1" x14ac:dyDescent="0.2">
      <c r="A104" s="1212">
        <v>213020</v>
      </c>
      <c r="B104" s="1212" t="s">
        <v>1345</v>
      </c>
      <c r="C104" s="1215" t="s">
        <v>1346</v>
      </c>
      <c r="D104" s="1231"/>
      <c r="E104" s="1249">
        <f>Table2[[#This Row],[MRL2]]</f>
        <v>0</v>
      </c>
      <c r="F104" s="1461" t="str">
        <f>Table2[[#This Row],[LOQ2]]</f>
        <v/>
      </c>
      <c r="G104" s="898">
        <f>LEN(Table2[[#This Row],[Please insert here the MRLs of COM database (use ''paste values'' function)]])</f>
        <v>0</v>
      </c>
      <c r="H10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04" s="898">
        <f>LEN(Table2[[#This Row],[(ft)]])</f>
        <v>1</v>
      </c>
      <c r="J104" s="898">
        <f>IF(Table2[[#This Row],[LOQ2]]="*",LEFT(Table2[[#This Row],[(ft)]],Table2[[#This Row],[length trimmed 1]]-1),Table2[[#This Row],[(ft)]])</f>
        <v>0</v>
      </c>
      <c r="K104" s="898">
        <f>IF(Table2[[#This Row],[MRL_text]]="","",Table2[[#This Row],[MRL_text]]*1)</f>
        <v>0</v>
      </c>
      <c r="L104" s="898" t="str">
        <f>IF(RIGHT(Table2[[#This Row],[(ft)]],1)="*","*","")</f>
        <v/>
      </c>
    </row>
    <row r="105" spans="1:12" ht="13.15" customHeight="1" x14ac:dyDescent="0.2">
      <c r="A105" s="1212">
        <v>213030</v>
      </c>
      <c r="B105" s="1212" t="s">
        <v>1347</v>
      </c>
      <c r="C105" s="1215" t="s">
        <v>1348</v>
      </c>
      <c r="D105" s="1231"/>
      <c r="E105" s="1249">
        <f>Table2[[#This Row],[MRL2]]</f>
        <v>0</v>
      </c>
      <c r="F105" s="1461" t="str">
        <f>Table2[[#This Row],[LOQ2]]</f>
        <v/>
      </c>
      <c r="G105" s="898">
        <f>LEN(Table2[[#This Row],[Please insert here the MRLs of COM database (use ''paste values'' function)]])</f>
        <v>0</v>
      </c>
      <c r="H10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05" s="898">
        <f>LEN(Table2[[#This Row],[(ft)]])</f>
        <v>1</v>
      </c>
      <c r="J105" s="898">
        <f>IF(Table2[[#This Row],[LOQ2]]="*",LEFT(Table2[[#This Row],[(ft)]],Table2[[#This Row],[length trimmed 1]]-1),Table2[[#This Row],[(ft)]])</f>
        <v>0</v>
      </c>
      <c r="K105" s="898">
        <f>IF(Table2[[#This Row],[MRL_text]]="","",Table2[[#This Row],[MRL_text]]*1)</f>
        <v>0</v>
      </c>
      <c r="L105" s="898" t="str">
        <f>IF(RIGHT(Table2[[#This Row],[(ft)]],1)="*","*","")</f>
        <v/>
      </c>
    </row>
    <row r="106" spans="1:12" ht="13.15" customHeight="1" x14ac:dyDescent="0.2">
      <c r="A106" s="1212">
        <v>213040</v>
      </c>
      <c r="B106" s="1212" t="s">
        <v>1349</v>
      </c>
      <c r="C106" s="1215" t="s">
        <v>1350</v>
      </c>
      <c r="D106" s="1231"/>
      <c r="E106" s="1249">
        <f>Table2[[#This Row],[MRL2]]</f>
        <v>0</v>
      </c>
      <c r="F106" s="1461" t="str">
        <f>Table2[[#This Row],[LOQ2]]</f>
        <v/>
      </c>
      <c r="G106" s="898">
        <f>LEN(Table2[[#This Row],[Please insert here the MRLs of COM database (use ''paste values'' function)]])</f>
        <v>0</v>
      </c>
      <c r="H10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06" s="898">
        <f>LEN(Table2[[#This Row],[(ft)]])</f>
        <v>1</v>
      </c>
      <c r="J106" s="898">
        <f>IF(Table2[[#This Row],[LOQ2]]="*",LEFT(Table2[[#This Row],[(ft)]],Table2[[#This Row],[length trimmed 1]]-1),Table2[[#This Row],[(ft)]])</f>
        <v>0</v>
      </c>
      <c r="K106" s="898">
        <f>IF(Table2[[#This Row],[MRL_text]]="","",Table2[[#This Row],[MRL_text]]*1)</f>
        <v>0</v>
      </c>
      <c r="L106" s="898" t="str">
        <f>IF(RIGHT(Table2[[#This Row],[(ft)]],1)="*","*","")</f>
        <v/>
      </c>
    </row>
    <row r="107" spans="1:12" ht="13.15" customHeight="1" x14ac:dyDescent="0.2">
      <c r="A107" s="1212">
        <v>213050</v>
      </c>
      <c r="B107" s="1212" t="s">
        <v>1351</v>
      </c>
      <c r="C107" s="1215" t="s">
        <v>1352</v>
      </c>
      <c r="D107" s="1231"/>
      <c r="E107" s="1249">
        <f>Table2[[#This Row],[MRL2]]</f>
        <v>0</v>
      </c>
      <c r="F107" s="1461" t="str">
        <f>Table2[[#This Row],[LOQ2]]</f>
        <v/>
      </c>
      <c r="G107" s="898">
        <f>LEN(Table2[[#This Row],[Please insert here the MRLs of COM database (use ''paste values'' function)]])</f>
        <v>0</v>
      </c>
      <c r="H10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07" s="898">
        <f>LEN(Table2[[#This Row],[(ft)]])</f>
        <v>1</v>
      </c>
      <c r="J107" s="898">
        <f>IF(Table2[[#This Row],[LOQ2]]="*",LEFT(Table2[[#This Row],[(ft)]],Table2[[#This Row],[length trimmed 1]]-1),Table2[[#This Row],[(ft)]])</f>
        <v>0</v>
      </c>
      <c r="K107" s="898">
        <f>IF(Table2[[#This Row],[MRL_text]]="","",Table2[[#This Row],[MRL_text]]*1)</f>
        <v>0</v>
      </c>
      <c r="L107" s="898" t="str">
        <f>IF(RIGHT(Table2[[#This Row],[(ft)]],1)="*","*","")</f>
        <v/>
      </c>
    </row>
    <row r="108" spans="1:12" ht="13.15" customHeight="1" x14ac:dyDescent="0.2">
      <c r="A108" s="1212">
        <v>213060</v>
      </c>
      <c r="B108" s="1212" t="s">
        <v>1353</v>
      </c>
      <c r="C108" s="1215" t="s">
        <v>1354</v>
      </c>
      <c r="D108" s="1231"/>
      <c r="E108" s="1249">
        <f>Table2[[#This Row],[MRL2]]</f>
        <v>0</v>
      </c>
      <c r="F108" s="1461" t="str">
        <f>Table2[[#This Row],[LOQ2]]</f>
        <v/>
      </c>
      <c r="G108" s="898">
        <f>LEN(Table2[[#This Row],[Please insert here the MRLs of COM database (use ''paste values'' function)]])</f>
        <v>0</v>
      </c>
      <c r="H10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08" s="898">
        <f>LEN(Table2[[#This Row],[(ft)]])</f>
        <v>1</v>
      </c>
      <c r="J108" s="898">
        <f>IF(Table2[[#This Row],[LOQ2]]="*",LEFT(Table2[[#This Row],[(ft)]],Table2[[#This Row],[length trimmed 1]]-1),Table2[[#This Row],[(ft)]])</f>
        <v>0</v>
      </c>
      <c r="K108" s="898">
        <f>IF(Table2[[#This Row],[MRL_text]]="","",Table2[[#This Row],[MRL_text]]*1)</f>
        <v>0</v>
      </c>
      <c r="L108" s="898" t="str">
        <f>IF(RIGHT(Table2[[#This Row],[(ft)]],1)="*","*","")</f>
        <v/>
      </c>
    </row>
    <row r="109" spans="1:12" ht="13.15" customHeight="1" x14ac:dyDescent="0.2">
      <c r="A109" s="1212">
        <v>213070</v>
      </c>
      <c r="B109" s="1212" t="s">
        <v>1355</v>
      </c>
      <c r="C109" s="1215" t="s">
        <v>1356</v>
      </c>
      <c r="D109" s="1231"/>
      <c r="E109" s="1249">
        <f>Table2[[#This Row],[MRL2]]</f>
        <v>0</v>
      </c>
      <c r="F109" s="1461" t="str">
        <f>Table2[[#This Row],[LOQ2]]</f>
        <v/>
      </c>
      <c r="G109" s="898">
        <f>LEN(Table2[[#This Row],[Please insert here the MRLs of COM database (use ''paste values'' function)]])</f>
        <v>0</v>
      </c>
      <c r="H10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09" s="898">
        <f>LEN(Table2[[#This Row],[(ft)]])</f>
        <v>1</v>
      </c>
      <c r="J109" s="898">
        <f>IF(Table2[[#This Row],[LOQ2]]="*",LEFT(Table2[[#This Row],[(ft)]],Table2[[#This Row],[length trimmed 1]]-1),Table2[[#This Row],[(ft)]])</f>
        <v>0</v>
      </c>
      <c r="K109" s="898">
        <f>IF(Table2[[#This Row],[MRL_text]]="","",Table2[[#This Row],[MRL_text]]*1)</f>
        <v>0</v>
      </c>
      <c r="L109" s="898" t="str">
        <f>IF(RIGHT(Table2[[#This Row],[(ft)]],1)="*","*","")</f>
        <v/>
      </c>
    </row>
    <row r="110" spans="1:12" ht="13.15" customHeight="1" x14ac:dyDescent="0.2">
      <c r="A110" s="1212">
        <v>213080</v>
      </c>
      <c r="B110" s="1212" t="s">
        <v>1357</v>
      </c>
      <c r="C110" s="1215" t="s">
        <v>1358</v>
      </c>
      <c r="D110" s="1231"/>
      <c r="E110" s="1249">
        <f>Table2[[#This Row],[MRL2]]</f>
        <v>0</v>
      </c>
      <c r="F110" s="1461" t="str">
        <f>Table2[[#This Row],[LOQ2]]</f>
        <v/>
      </c>
      <c r="G110" s="898">
        <f>LEN(Table2[[#This Row],[Please insert here the MRLs of COM database (use ''paste values'' function)]])</f>
        <v>0</v>
      </c>
      <c r="H11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10" s="898">
        <f>LEN(Table2[[#This Row],[(ft)]])</f>
        <v>1</v>
      </c>
      <c r="J110" s="898">
        <f>IF(Table2[[#This Row],[LOQ2]]="*",LEFT(Table2[[#This Row],[(ft)]],Table2[[#This Row],[length trimmed 1]]-1),Table2[[#This Row],[(ft)]])</f>
        <v>0</v>
      </c>
      <c r="K110" s="898">
        <f>IF(Table2[[#This Row],[MRL_text]]="","",Table2[[#This Row],[MRL_text]]*1)</f>
        <v>0</v>
      </c>
      <c r="L110" s="898" t="str">
        <f>IF(RIGHT(Table2[[#This Row],[(ft)]],1)="*","*","")</f>
        <v/>
      </c>
    </row>
    <row r="111" spans="1:12" ht="13.15" customHeight="1" x14ac:dyDescent="0.2">
      <c r="A111" s="1212">
        <v>213090</v>
      </c>
      <c r="B111" s="1212" t="s">
        <v>1359</v>
      </c>
      <c r="C111" s="1215" t="s">
        <v>1360</v>
      </c>
      <c r="D111" s="1231"/>
      <c r="E111" s="1249">
        <f>Table2[[#This Row],[MRL2]]</f>
        <v>0</v>
      </c>
      <c r="F111" s="1461" t="str">
        <f>Table2[[#This Row],[LOQ2]]</f>
        <v/>
      </c>
      <c r="G111" s="898">
        <f>LEN(Table2[[#This Row],[Please insert here the MRLs of COM database (use ''paste values'' function)]])</f>
        <v>0</v>
      </c>
      <c r="H11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11" s="898">
        <f>LEN(Table2[[#This Row],[(ft)]])</f>
        <v>1</v>
      </c>
      <c r="J111" s="898">
        <f>IF(Table2[[#This Row],[LOQ2]]="*",LEFT(Table2[[#This Row],[(ft)]],Table2[[#This Row],[length trimmed 1]]-1),Table2[[#This Row],[(ft)]])</f>
        <v>0</v>
      </c>
      <c r="K111" s="898">
        <f>IF(Table2[[#This Row],[MRL_text]]="","",Table2[[#This Row],[MRL_text]]*1)</f>
        <v>0</v>
      </c>
      <c r="L111" s="898" t="str">
        <f>IF(RIGHT(Table2[[#This Row],[(ft)]],1)="*","*","")</f>
        <v/>
      </c>
    </row>
    <row r="112" spans="1:12" ht="13.15" customHeight="1" x14ac:dyDescent="0.2">
      <c r="A112" s="1212">
        <v>213100</v>
      </c>
      <c r="B112" s="1212" t="s">
        <v>1361</v>
      </c>
      <c r="C112" s="1215" t="s">
        <v>1362</v>
      </c>
      <c r="D112" s="1231"/>
      <c r="E112" s="1249">
        <f>Table2[[#This Row],[MRL2]]</f>
        <v>0</v>
      </c>
      <c r="F112" s="1461" t="str">
        <f>Table2[[#This Row],[LOQ2]]</f>
        <v/>
      </c>
      <c r="G112" s="898">
        <f>LEN(Table2[[#This Row],[Please insert here the MRLs of COM database (use ''paste values'' function)]])</f>
        <v>0</v>
      </c>
      <c r="H11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12" s="898">
        <f>LEN(Table2[[#This Row],[(ft)]])</f>
        <v>1</v>
      </c>
      <c r="J112" s="898">
        <f>IF(Table2[[#This Row],[LOQ2]]="*",LEFT(Table2[[#This Row],[(ft)]],Table2[[#This Row],[length trimmed 1]]-1),Table2[[#This Row],[(ft)]])</f>
        <v>0</v>
      </c>
      <c r="K112" s="898">
        <f>IF(Table2[[#This Row],[MRL_text]]="","",Table2[[#This Row],[MRL_text]]*1)</f>
        <v>0</v>
      </c>
      <c r="L112" s="898" t="str">
        <f>IF(RIGHT(Table2[[#This Row],[(ft)]],1)="*","*","")</f>
        <v/>
      </c>
    </row>
    <row r="113" spans="1:12" ht="13.15" customHeight="1" x14ac:dyDescent="0.2">
      <c r="A113" s="1212">
        <v>213110</v>
      </c>
      <c r="B113" s="1212" t="s">
        <v>1363</v>
      </c>
      <c r="C113" s="1215" t="s">
        <v>1364</v>
      </c>
      <c r="D113" s="1231"/>
      <c r="E113" s="1249">
        <f>Table2[[#This Row],[MRL2]]</f>
        <v>0</v>
      </c>
      <c r="F113" s="1461" t="str">
        <f>Table2[[#This Row],[LOQ2]]</f>
        <v/>
      </c>
      <c r="G113" s="898">
        <f>LEN(Table2[[#This Row],[Please insert here the MRLs of COM database (use ''paste values'' function)]])</f>
        <v>0</v>
      </c>
      <c r="H11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13" s="898">
        <f>LEN(Table2[[#This Row],[(ft)]])</f>
        <v>1</v>
      </c>
      <c r="J113" s="898">
        <f>IF(Table2[[#This Row],[LOQ2]]="*",LEFT(Table2[[#This Row],[(ft)]],Table2[[#This Row],[length trimmed 1]]-1),Table2[[#This Row],[(ft)]])</f>
        <v>0</v>
      </c>
      <c r="K113" s="898">
        <f>IF(Table2[[#This Row],[MRL_text]]="","",Table2[[#This Row],[MRL_text]]*1)</f>
        <v>0</v>
      </c>
      <c r="L113" s="898" t="str">
        <f>IF(RIGHT(Table2[[#This Row],[(ft)]],1)="*","*","")</f>
        <v/>
      </c>
    </row>
    <row r="114" spans="1:12" ht="13.15" customHeight="1" x14ac:dyDescent="0.2">
      <c r="A114" s="1212">
        <v>213990</v>
      </c>
      <c r="B114" s="1212" t="s">
        <v>1365</v>
      </c>
      <c r="C114" s="1215" t="s">
        <v>1177</v>
      </c>
      <c r="D114" s="1231"/>
      <c r="E114" s="1249">
        <f>Table2[[#This Row],[MRL2]]</f>
        <v>0</v>
      </c>
      <c r="F114" s="1461" t="str">
        <f>Table2[[#This Row],[LOQ2]]</f>
        <v/>
      </c>
      <c r="G114" s="898">
        <f>LEN(Table2[[#This Row],[Please insert here the MRLs of COM database (use ''paste values'' function)]])</f>
        <v>0</v>
      </c>
      <c r="H11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14" s="898">
        <f>LEN(Table2[[#This Row],[(ft)]])</f>
        <v>1</v>
      </c>
      <c r="J114" s="898">
        <f>IF(Table2[[#This Row],[LOQ2]]="*",LEFT(Table2[[#This Row],[(ft)]],Table2[[#This Row],[length trimmed 1]]-1),Table2[[#This Row],[(ft)]])</f>
        <v>0</v>
      </c>
      <c r="K114" s="898">
        <f>IF(Table2[[#This Row],[MRL_text]]="","",Table2[[#This Row],[MRL_text]]*1)</f>
        <v>0</v>
      </c>
      <c r="L114" s="898" t="str">
        <f>IF(RIGHT(Table2[[#This Row],[(ft)]],1)="*","*","")</f>
        <v/>
      </c>
    </row>
    <row r="115" spans="1:12" ht="13.15" customHeight="1" x14ac:dyDescent="0.2">
      <c r="A115" s="1211">
        <v>220000</v>
      </c>
      <c r="B115" s="1211" t="s">
        <v>1366</v>
      </c>
      <c r="C115" s="1236" t="s">
        <v>1367</v>
      </c>
      <c r="D115" s="1230"/>
      <c r="E115" s="1247">
        <f>Table2[[#This Row],[MRL2]]</f>
        <v>0</v>
      </c>
      <c r="F115" s="1460" t="str">
        <f>Table2[[#This Row],[LOQ2]]</f>
        <v/>
      </c>
      <c r="G115" s="898">
        <f>LEN(Table2[[#This Row],[Please insert here the MRLs of COM database (use ''paste values'' function)]])</f>
        <v>0</v>
      </c>
      <c r="H11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15" s="898">
        <f>LEN(Table2[[#This Row],[(ft)]])</f>
        <v>1</v>
      </c>
      <c r="J115" s="898">
        <f>IF(Table2[[#This Row],[LOQ2]]="*",LEFT(Table2[[#This Row],[(ft)]],Table2[[#This Row],[length trimmed 1]]-1),Table2[[#This Row],[(ft)]])</f>
        <v>0</v>
      </c>
      <c r="K115" s="898">
        <f>IF(Table2[[#This Row],[MRL_text]]="","",Table2[[#This Row],[MRL_text]]*1)</f>
        <v>0</v>
      </c>
      <c r="L115" s="898" t="str">
        <f>IF(RIGHT(Table2[[#This Row],[(ft)]],1)="*","*","")</f>
        <v/>
      </c>
    </row>
    <row r="116" spans="1:12" ht="13.15" customHeight="1" x14ac:dyDescent="0.2">
      <c r="A116" s="1212">
        <v>220010</v>
      </c>
      <c r="B116" s="1212" t="s">
        <v>1368</v>
      </c>
      <c r="C116" s="1215" t="s">
        <v>1369</v>
      </c>
      <c r="D116" s="1231"/>
      <c r="E116" s="1249">
        <f>Table2[[#This Row],[MRL2]]</f>
        <v>0</v>
      </c>
      <c r="F116" s="1461" t="str">
        <f>Table2[[#This Row],[LOQ2]]</f>
        <v/>
      </c>
      <c r="G116" s="898">
        <f>LEN(Table2[[#This Row],[Please insert here the MRLs of COM database (use ''paste values'' function)]])</f>
        <v>0</v>
      </c>
      <c r="H11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16" s="898">
        <f>LEN(Table2[[#This Row],[(ft)]])</f>
        <v>1</v>
      </c>
      <c r="J116" s="898">
        <f>IF(Table2[[#This Row],[LOQ2]]="*",LEFT(Table2[[#This Row],[(ft)]],Table2[[#This Row],[length trimmed 1]]-1),Table2[[#This Row],[(ft)]])</f>
        <v>0</v>
      </c>
      <c r="K116" s="898">
        <f>IF(Table2[[#This Row],[MRL_text]]="","",Table2[[#This Row],[MRL_text]]*1)</f>
        <v>0</v>
      </c>
      <c r="L116" s="898" t="str">
        <f>IF(RIGHT(Table2[[#This Row],[(ft)]],1)="*","*","")</f>
        <v/>
      </c>
    </row>
    <row r="117" spans="1:12" ht="13.15" customHeight="1" x14ac:dyDescent="0.2">
      <c r="A117" s="1212">
        <v>220020</v>
      </c>
      <c r="B117" s="1212" t="s">
        <v>1370</v>
      </c>
      <c r="C117" s="1215" t="s">
        <v>1371</v>
      </c>
      <c r="D117" s="1231"/>
      <c r="E117" s="1249">
        <f>Table2[[#This Row],[MRL2]]</f>
        <v>0</v>
      </c>
      <c r="F117" s="1461" t="str">
        <f>Table2[[#This Row],[LOQ2]]</f>
        <v/>
      </c>
      <c r="G117" s="898">
        <f>LEN(Table2[[#This Row],[Please insert here the MRLs of COM database (use ''paste values'' function)]])</f>
        <v>0</v>
      </c>
      <c r="H11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17" s="898">
        <f>LEN(Table2[[#This Row],[(ft)]])</f>
        <v>1</v>
      </c>
      <c r="J117" s="898">
        <f>IF(Table2[[#This Row],[LOQ2]]="*",LEFT(Table2[[#This Row],[(ft)]],Table2[[#This Row],[length trimmed 1]]-1),Table2[[#This Row],[(ft)]])</f>
        <v>0</v>
      </c>
      <c r="K117" s="898">
        <f>IF(Table2[[#This Row],[MRL_text]]="","",Table2[[#This Row],[MRL_text]]*1)</f>
        <v>0</v>
      </c>
      <c r="L117" s="898" t="str">
        <f>IF(RIGHT(Table2[[#This Row],[(ft)]],1)="*","*","")</f>
        <v/>
      </c>
    </row>
    <row r="118" spans="1:12" ht="13.15" customHeight="1" x14ac:dyDescent="0.2">
      <c r="A118" s="1212">
        <v>220030</v>
      </c>
      <c r="B118" s="1212" t="s">
        <v>1372</v>
      </c>
      <c r="C118" s="1215" t="s">
        <v>1373</v>
      </c>
      <c r="D118" s="1231"/>
      <c r="E118" s="1249">
        <f>Table2[[#This Row],[MRL2]]</f>
        <v>0</v>
      </c>
      <c r="F118" s="1461" t="str">
        <f>Table2[[#This Row],[LOQ2]]</f>
        <v/>
      </c>
      <c r="G118" s="898">
        <f>LEN(Table2[[#This Row],[Please insert here the MRLs of COM database (use ''paste values'' function)]])</f>
        <v>0</v>
      </c>
      <c r="H11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18" s="898">
        <f>LEN(Table2[[#This Row],[(ft)]])</f>
        <v>1</v>
      </c>
      <c r="J118" s="898">
        <f>IF(Table2[[#This Row],[LOQ2]]="*",LEFT(Table2[[#This Row],[(ft)]],Table2[[#This Row],[length trimmed 1]]-1),Table2[[#This Row],[(ft)]])</f>
        <v>0</v>
      </c>
      <c r="K118" s="898">
        <f>IF(Table2[[#This Row],[MRL_text]]="","",Table2[[#This Row],[MRL_text]]*1)</f>
        <v>0</v>
      </c>
      <c r="L118" s="898" t="str">
        <f>IF(RIGHT(Table2[[#This Row],[(ft)]],1)="*","*","")</f>
        <v/>
      </c>
    </row>
    <row r="119" spans="1:12" ht="13.15" customHeight="1" x14ac:dyDescent="0.2">
      <c r="A119" s="1212">
        <v>220040</v>
      </c>
      <c r="B119" s="1212" t="s">
        <v>1374</v>
      </c>
      <c r="C119" s="1215" t="s">
        <v>1375</v>
      </c>
      <c r="D119" s="1231"/>
      <c r="E119" s="1249">
        <f>Table2[[#This Row],[MRL2]]</f>
        <v>0</v>
      </c>
      <c r="F119" s="1461" t="str">
        <f>Table2[[#This Row],[LOQ2]]</f>
        <v/>
      </c>
      <c r="G119" s="898">
        <f>LEN(Table2[[#This Row],[Please insert here the MRLs of COM database (use ''paste values'' function)]])</f>
        <v>0</v>
      </c>
      <c r="H11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19" s="898">
        <f>LEN(Table2[[#This Row],[(ft)]])</f>
        <v>1</v>
      </c>
      <c r="J119" s="898">
        <f>IF(Table2[[#This Row],[LOQ2]]="*",LEFT(Table2[[#This Row],[(ft)]],Table2[[#This Row],[length trimmed 1]]-1),Table2[[#This Row],[(ft)]])</f>
        <v>0</v>
      </c>
      <c r="K119" s="898">
        <f>IF(Table2[[#This Row],[MRL_text]]="","",Table2[[#This Row],[MRL_text]]*1)</f>
        <v>0</v>
      </c>
      <c r="L119" s="898" t="str">
        <f>IF(RIGHT(Table2[[#This Row],[(ft)]],1)="*","*","")</f>
        <v/>
      </c>
    </row>
    <row r="120" spans="1:12" ht="13.15" customHeight="1" x14ac:dyDescent="0.2">
      <c r="A120" s="1212">
        <v>220990</v>
      </c>
      <c r="B120" s="1212" t="s">
        <v>1376</v>
      </c>
      <c r="C120" s="1215" t="s">
        <v>1177</v>
      </c>
      <c r="D120" s="1231"/>
      <c r="E120" s="1249">
        <f>Table2[[#This Row],[MRL2]]</f>
        <v>0</v>
      </c>
      <c r="F120" s="1461" t="str">
        <f>Table2[[#This Row],[LOQ2]]</f>
        <v/>
      </c>
      <c r="G120" s="898">
        <f>LEN(Table2[[#This Row],[Please insert here the MRLs of COM database (use ''paste values'' function)]])</f>
        <v>0</v>
      </c>
      <c r="H12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20" s="898">
        <f>LEN(Table2[[#This Row],[(ft)]])</f>
        <v>1</v>
      </c>
      <c r="J120" s="898">
        <f>IF(Table2[[#This Row],[LOQ2]]="*",LEFT(Table2[[#This Row],[(ft)]],Table2[[#This Row],[length trimmed 1]]-1),Table2[[#This Row],[(ft)]])</f>
        <v>0</v>
      </c>
      <c r="K120" s="898">
        <f>IF(Table2[[#This Row],[MRL_text]]="","",Table2[[#This Row],[MRL_text]]*1)</f>
        <v>0</v>
      </c>
      <c r="L120" s="898" t="str">
        <f>IF(RIGHT(Table2[[#This Row],[(ft)]],1)="*","*","")</f>
        <v/>
      </c>
    </row>
    <row r="121" spans="1:12" ht="13.15" customHeight="1" x14ac:dyDescent="0.2">
      <c r="A121" s="1211">
        <v>230000</v>
      </c>
      <c r="B121" s="1211" t="s">
        <v>1377</v>
      </c>
      <c r="C121" s="1236" t="s">
        <v>1378</v>
      </c>
      <c r="D121" s="1230"/>
      <c r="E121" s="1247">
        <f>Table2[[#This Row],[MRL2]]</f>
        <v>0</v>
      </c>
      <c r="F121" s="1460" t="str">
        <f>Table2[[#This Row],[LOQ2]]</f>
        <v/>
      </c>
      <c r="G121" s="898">
        <f>LEN(Table2[[#This Row],[Please insert here the MRLs of COM database (use ''paste values'' function)]])</f>
        <v>0</v>
      </c>
      <c r="H12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21" s="898">
        <f>LEN(Table2[[#This Row],[(ft)]])</f>
        <v>1</v>
      </c>
      <c r="J121" s="898">
        <f>IF(Table2[[#This Row],[LOQ2]]="*",LEFT(Table2[[#This Row],[(ft)]],Table2[[#This Row],[length trimmed 1]]-1),Table2[[#This Row],[(ft)]])</f>
        <v>0</v>
      </c>
      <c r="K121" s="898">
        <f>IF(Table2[[#This Row],[MRL_text]]="","",Table2[[#This Row],[MRL_text]]*1)</f>
        <v>0</v>
      </c>
      <c r="L121" s="898" t="str">
        <f>IF(RIGHT(Table2[[#This Row],[(ft)]],1)="*","*","")</f>
        <v/>
      </c>
    </row>
    <row r="122" spans="1:12" ht="13.15" customHeight="1" x14ac:dyDescent="0.2">
      <c r="A122" s="1212">
        <v>231000</v>
      </c>
      <c r="B122" s="1212" t="s">
        <v>1379</v>
      </c>
      <c r="C122" s="1215" t="s">
        <v>1380</v>
      </c>
      <c r="D122" s="1231"/>
      <c r="E122" s="1247">
        <f>Table2[[#This Row],[MRL2]]</f>
        <v>0</v>
      </c>
      <c r="F122" s="1460" t="str">
        <f>Table2[[#This Row],[LOQ2]]</f>
        <v/>
      </c>
      <c r="G122" s="898">
        <f>LEN(Table2[[#This Row],[Please insert here the MRLs of COM database (use ''paste values'' function)]])</f>
        <v>0</v>
      </c>
      <c r="H12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22" s="898">
        <f>LEN(Table2[[#This Row],[(ft)]])</f>
        <v>1</v>
      </c>
      <c r="J122" s="898">
        <f>IF(Table2[[#This Row],[LOQ2]]="*",LEFT(Table2[[#This Row],[(ft)]],Table2[[#This Row],[length trimmed 1]]-1),Table2[[#This Row],[(ft)]])</f>
        <v>0</v>
      </c>
      <c r="K122" s="898">
        <f>IF(Table2[[#This Row],[MRL_text]]="","",Table2[[#This Row],[MRL_text]]*1)</f>
        <v>0</v>
      </c>
      <c r="L122" s="898" t="str">
        <f>IF(RIGHT(Table2[[#This Row],[(ft)]],1)="*","*","")</f>
        <v/>
      </c>
    </row>
    <row r="123" spans="1:12" ht="13.15" customHeight="1" x14ac:dyDescent="0.2">
      <c r="A123" s="1212">
        <v>231010</v>
      </c>
      <c r="B123" s="1212" t="s">
        <v>1381</v>
      </c>
      <c r="C123" s="1215" t="s">
        <v>1382</v>
      </c>
      <c r="D123" s="1231"/>
      <c r="E123" s="1249">
        <f>Table2[[#This Row],[MRL2]]</f>
        <v>0</v>
      </c>
      <c r="F123" s="1461" t="str">
        <f>Table2[[#This Row],[LOQ2]]</f>
        <v/>
      </c>
      <c r="G123" s="898">
        <f>LEN(Table2[[#This Row],[Please insert here the MRLs of COM database (use ''paste values'' function)]])</f>
        <v>0</v>
      </c>
      <c r="H12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23" s="898">
        <f>LEN(Table2[[#This Row],[(ft)]])</f>
        <v>1</v>
      </c>
      <c r="J123" s="898">
        <f>IF(Table2[[#This Row],[LOQ2]]="*",LEFT(Table2[[#This Row],[(ft)]],Table2[[#This Row],[length trimmed 1]]-1),Table2[[#This Row],[(ft)]])</f>
        <v>0</v>
      </c>
      <c r="K123" s="898">
        <f>IF(Table2[[#This Row],[MRL_text]]="","",Table2[[#This Row],[MRL_text]]*1)</f>
        <v>0</v>
      </c>
      <c r="L123" s="898" t="str">
        <f>IF(RIGHT(Table2[[#This Row],[(ft)]],1)="*","*","")</f>
        <v/>
      </c>
    </row>
    <row r="124" spans="1:12" ht="13.15" customHeight="1" x14ac:dyDescent="0.2">
      <c r="A124" s="1212">
        <v>231020</v>
      </c>
      <c r="B124" s="1212" t="s">
        <v>1383</v>
      </c>
      <c r="C124" s="1215" t="s">
        <v>1384</v>
      </c>
      <c r="D124" s="1231"/>
      <c r="E124" s="1249">
        <f>Table2[[#This Row],[MRL2]]</f>
        <v>0</v>
      </c>
      <c r="F124" s="1461" t="str">
        <f>Table2[[#This Row],[LOQ2]]</f>
        <v/>
      </c>
      <c r="G124" s="898">
        <f>LEN(Table2[[#This Row],[Please insert here the MRLs of COM database (use ''paste values'' function)]])</f>
        <v>0</v>
      </c>
      <c r="H12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24" s="898">
        <f>LEN(Table2[[#This Row],[(ft)]])</f>
        <v>1</v>
      </c>
      <c r="J124" s="898">
        <f>IF(Table2[[#This Row],[LOQ2]]="*",LEFT(Table2[[#This Row],[(ft)]],Table2[[#This Row],[length trimmed 1]]-1),Table2[[#This Row],[(ft)]])</f>
        <v>0</v>
      </c>
      <c r="K124" s="898">
        <f>IF(Table2[[#This Row],[MRL_text]]="","",Table2[[#This Row],[MRL_text]]*1)</f>
        <v>0</v>
      </c>
      <c r="L124" s="898" t="str">
        <f>IF(RIGHT(Table2[[#This Row],[(ft)]],1)="*","*","")</f>
        <v/>
      </c>
    </row>
    <row r="125" spans="1:12" ht="13.15" customHeight="1" x14ac:dyDescent="0.2">
      <c r="A125" s="1212">
        <v>231030</v>
      </c>
      <c r="B125" s="1212" t="s">
        <v>1385</v>
      </c>
      <c r="C125" s="1215" t="s">
        <v>1386</v>
      </c>
      <c r="D125" s="1231"/>
      <c r="E125" s="1249">
        <f>Table2[[#This Row],[MRL2]]</f>
        <v>0</v>
      </c>
      <c r="F125" s="1461" t="str">
        <f>Table2[[#This Row],[LOQ2]]</f>
        <v/>
      </c>
      <c r="G125" s="898">
        <f>LEN(Table2[[#This Row],[Please insert here the MRLs of COM database (use ''paste values'' function)]])</f>
        <v>0</v>
      </c>
      <c r="H12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25" s="898">
        <f>LEN(Table2[[#This Row],[(ft)]])</f>
        <v>1</v>
      </c>
      <c r="J125" s="898">
        <f>IF(Table2[[#This Row],[LOQ2]]="*",LEFT(Table2[[#This Row],[(ft)]],Table2[[#This Row],[length trimmed 1]]-1),Table2[[#This Row],[(ft)]])</f>
        <v>0</v>
      </c>
      <c r="K125" s="898">
        <f>IF(Table2[[#This Row],[MRL_text]]="","",Table2[[#This Row],[MRL_text]]*1)</f>
        <v>0</v>
      </c>
      <c r="L125" s="898" t="str">
        <f>IF(RIGHT(Table2[[#This Row],[(ft)]],1)="*","*","")</f>
        <v/>
      </c>
    </row>
    <row r="126" spans="1:12" ht="13.15" customHeight="1" x14ac:dyDescent="0.2">
      <c r="A126" s="1212">
        <v>231040</v>
      </c>
      <c r="B126" s="1212" t="s">
        <v>1387</v>
      </c>
      <c r="C126" s="1215" t="s">
        <v>1388</v>
      </c>
      <c r="D126" s="1231"/>
      <c r="E126" s="1249">
        <f>Table2[[#This Row],[MRL2]]</f>
        <v>0</v>
      </c>
      <c r="F126" s="1461" t="str">
        <f>Table2[[#This Row],[LOQ2]]</f>
        <v/>
      </c>
      <c r="G126" s="898">
        <f>LEN(Table2[[#This Row],[Please insert here the MRLs of COM database (use ''paste values'' function)]])</f>
        <v>0</v>
      </c>
      <c r="H12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26" s="898">
        <f>LEN(Table2[[#This Row],[(ft)]])</f>
        <v>1</v>
      </c>
      <c r="J126" s="898">
        <f>IF(Table2[[#This Row],[LOQ2]]="*",LEFT(Table2[[#This Row],[(ft)]],Table2[[#This Row],[length trimmed 1]]-1),Table2[[#This Row],[(ft)]])</f>
        <v>0</v>
      </c>
      <c r="K126" s="898">
        <f>IF(Table2[[#This Row],[MRL_text]]="","",Table2[[#This Row],[MRL_text]]*1)</f>
        <v>0</v>
      </c>
      <c r="L126" s="898" t="str">
        <f>IF(RIGHT(Table2[[#This Row],[(ft)]],1)="*","*","")</f>
        <v/>
      </c>
    </row>
    <row r="127" spans="1:12" ht="13.15" customHeight="1" x14ac:dyDescent="0.2">
      <c r="A127" s="1212">
        <v>231990</v>
      </c>
      <c r="B127" s="1212" t="s">
        <v>1389</v>
      </c>
      <c r="C127" s="1215" t="s">
        <v>1177</v>
      </c>
      <c r="D127" s="1231"/>
      <c r="E127" s="1249">
        <f>Table2[[#This Row],[MRL2]]</f>
        <v>0</v>
      </c>
      <c r="F127" s="1461" t="str">
        <f>Table2[[#This Row],[LOQ2]]</f>
        <v/>
      </c>
      <c r="G127" s="898">
        <f>LEN(Table2[[#This Row],[Please insert here the MRLs of COM database (use ''paste values'' function)]])</f>
        <v>0</v>
      </c>
      <c r="H12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27" s="898">
        <f>LEN(Table2[[#This Row],[(ft)]])</f>
        <v>1</v>
      </c>
      <c r="J127" s="898">
        <f>IF(Table2[[#This Row],[LOQ2]]="*",LEFT(Table2[[#This Row],[(ft)]],Table2[[#This Row],[length trimmed 1]]-1),Table2[[#This Row],[(ft)]])</f>
        <v>0</v>
      </c>
      <c r="K127" s="898">
        <f>IF(Table2[[#This Row],[MRL_text]]="","",Table2[[#This Row],[MRL_text]]*1)</f>
        <v>0</v>
      </c>
      <c r="L127" s="898" t="str">
        <f>IF(RIGHT(Table2[[#This Row],[(ft)]],1)="*","*","")</f>
        <v/>
      </c>
    </row>
    <row r="128" spans="1:12" ht="13.15" customHeight="1" x14ac:dyDescent="0.2">
      <c r="A128" s="1212">
        <v>232000</v>
      </c>
      <c r="B128" s="1212" t="s">
        <v>1390</v>
      </c>
      <c r="C128" s="1215" t="s">
        <v>1391</v>
      </c>
      <c r="D128" s="1231"/>
      <c r="E128" s="1247">
        <f>Table2[[#This Row],[MRL2]]</f>
        <v>0</v>
      </c>
      <c r="F128" s="1460" t="str">
        <f>Table2[[#This Row],[LOQ2]]</f>
        <v/>
      </c>
      <c r="G128" s="898">
        <f>LEN(Table2[[#This Row],[Please insert here the MRLs of COM database (use ''paste values'' function)]])</f>
        <v>0</v>
      </c>
      <c r="H12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28" s="898">
        <f>LEN(Table2[[#This Row],[(ft)]])</f>
        <v>1</v>
      </c>
      <c r="J128" s="898">
        <f>IF(Table2[[#This Row],[LOQ2]]="*",LEFT(Table2[[#This Row],[(ft)]],Table2[[#This Row],[length trimmed 1]]-1),Table2[[#This Row],[(ft)]])</f>
        <v>0</v>
      </c>
      <c r="K128" s="898">
        <f>IF(Table2[[#This Row],[MRL_text]]="","",Table2[[#This Row],[MRL_text]]*1)</f>
        <v>0</v>
      </c>
      <c r="L128" s="898" t="str">
        <f>IF(RIGHT(Table2[[#This Row],[(ft)]],1)="*","*","")</f>
        <v/>
      </c>
    </row>
    <row r="129" spans="1:12" ht="13.15" customHeight="1" x14ac:dyDescent="0.2">
      <c r="A129" s="1212">
        <v>232010</v>
      </c>
      <c r="B129" s="1212" t="s">
        <v>1392</v>
      </c>
      <c r="C129" s="1215" t="s">
        <v>1393</v>
      </c>
      <c r="D129" s="1231"/>
      <c r="E129" s="1249">
        <f>Table2[[#This Row],[MRL2]]</f>
        <v>0</v>
      </c>
      <c r="F129" s="1461" t="str">
        <f>Table2[[#This Row],[LOQ2]]</f>
        <v/>
      </c>
      <c r="G129" s="898">
        <f>LEN(Table2[[#This Row],[Please insert here the MRLs of COM database (use ''paste values'' function)]])</f>
        <v>0</v>
      </c>
      <c r="H12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29" s="898">
        <f>LEN(Table2[[#This Row],[(ft)]])</f>
        <v>1</v>
      </c>
      <c r="J129" s="898">
        <f>IF(Table2[[#This Row],[LOQ2]]="*",LEFT(Table2[[#This Row],[(ft)]],Table2[[#This Row],[length trimmed 1]]-1),Table2[[#This Row],[(ft)]])</f>
        <v>0</v>
      </c>
      <c r="K129" s="898">
        <f>IF(Table2[[#This Row],[MRL_text]]="","",Table2[[#This Row],[MRL_text]]*1)</f>
        <v>0</v>
      </c>
      <c r="L129" s="898" t="str">
        <f>IF(RIGHT(Table2[[#This Row],[(ft)]],1)="*","*","")</f>
        <v/>
      </c>
    </row>
    <row r="130" spans="1:12" ht="13.15" customHeight="1" x14ac:dyDescent="0.2">
      <c r="A130" s="1212">
        <v>232020</v>
      </c>
      <c r="B130" s="1212" t="s">
        <v>1394</v>
      </c>
      <c r="C130" s="1215" t="s">
        <v>1395</v>
      </c>
      <c r="D130" s="1231"/>
      <c r="E130" s="1249">
        <f>Table2[[#This Row],[MRL2]]</f>
        <v>0</v>
      </c>
      <c r="F130" s="1461" t="str">
        <f>Table2[[#This Row],[LOQ2]]</f>
        <v/>
      </c>
      <c r="G130" s="898">
        <f>LEN(Table2[[#This Row],[Please insert here the MRLs of COM database (use ''paste values'' function)]])</f>
        <v>0</v>
      </c>
      <c r="H13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30" s="898">
        <f>LEN(Table2[[#This Row],[(ft)]])</f>
        <v>1</v>
      </c>
      <c r="J130" s="898">
        <f>IF(Table2[[#This Row],[LOQ2]]="*",LEFT(Table2[[#This Row],[(ft)]],Table2[[#This Row],[length trimmed 1]]-1),Table2[[#This Row],[(ft)]])</f>
        <v>0</v>
      </c>
      <c r="K130" s="898">
        <f>IF(Table2[[#This Row],[MRL_text]]="","",Table2[[#This Row],[MRL_text]]*1)</f>
        <v>0</v>
      </c>
      <c r="L130" s="898" t="str">
        <f>IF(RIGHT(Table2[[#This Row],[(ft)]],1)="*","*","")</f>
        <v/>
      </c>
    </row>
    <row r="131" spans="1:12" ht="13.15" customHeight="1" x14ac:dyDescent="0.2">
      <c r="A131" s="1212">
        <v>232030</v>
      </c>
      <c r="B131" s="1212" t="s">
        <v>1396</v>
      </c>
      <c r="C131" s="1215" t="s">
        <v>1397</v>
      </c>
      <c r="D131" s="1231"/>
      <c r="E131" s="1249">
        <f>Table2[[#This Row],[MRL2]]</f>
        <v>0</v>
      </c>
      <c r="F131" s="1461" t="str">
        <f>Table2[[#This Row],[LOQ2]]</f>
        <v/>
      </c>
      <c r="G131" s="898">
        <f>LEN(Table2[[#This Row],[Please insert here the MRLs of COM database (use ''paste values'' function)]])</f>
        <v>0</v>
      </c>
      <c r="H13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31" s="898">
        <f>LEN(Table2[[#This Row],[(ft)]])</f>
        <v>1</v>
      </c>
      <c r="J131" s="898">
        <f>IF(Table2[[#This Row],[LOQ2]]="*",LEFT(Table2[[#This Row],[(ft)]],Table2[[#This Row],[length trimmed 1]]-1),Table2[[#This Row],[(ft)]])</f>
        <v>0</v>
      </c>
      <c r="K131" s="898">
        <f>IF(Table2[[#This Row],[MRL_text]]="","",Table2[[#This Row],[MRL_text]]*1)</f>
        <v>0</v>
      </c>
      <c r="L131" s="898" t="str">
        <f>IF(RIGHT(Table2[[#This Row],[(ft)]],1)="*","*","")</f>
        <v/>
      </c>
    </row>
    <row r="132" spans="1:12" ht="13.15" customHeight="1" x14ac:dyDescent="0.2">
      <c r="A132" s="1212">
        <v>232990</v>
      </c>
      <c r="B132" s="1212" t="s">
        <v>1398</v>
      </c>
      <c r="C132" s="1215" t="s">
        <v>1177</v>
      </c>
      <c r="D132" s="1231"/>
      <c r="E132" s="1249">
        <f>Table2[[#This Row],[MRL2]]</f>
        <v>0</v>
      </c>
      <c r="F132" s="1461" t="str">
        <f>Table2[[#This Row],[LOQ2]]</f>
        <v/>
      </c>
      <c r="G132" s="898">
        <f>LEN(Table2[[#This Row],[Please insert here the MRLs of COM database (use ''paste values'' function)]])</f>
        <v>0</v>
      </c>
      <c r="H13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32" s="898">
        <f>LEN(Table2[[#This Row],[(ft)]])</f>
        <v>1</v>
      </c>
      <c r="J132" s="898">
        <f>IF(Table2[[#This Row],[LOQ2]]="*",LEFT(Table2[[#This Row],[(ft)]],Table2[[#This Row],[length trimmed 1]]-1),Table2[[#This Row],[(ft)]])</f>
        <v>0</v>
      </c>
      <c r="K132" s="898">
        <f>IF(Table2[[#This Row],[MRL_text]]="","",Table2[[#This Row],[MRL_text]]*1)</f>
        <v>0</v>
      </c>
      <c r="L132" s="898" t="str">
        <f>IF(RIGHT(Table2[[#This Row],[(ft)]],1)="*","*","")</f>
        <v/>
      </c>
    </row>
    <row r="133" spans="1:12" ht="13.15" customHeight="1" x14ac:dyDescent="0.2">
      <c r="A133" s="1212">
        <v>233000</v>
      </c>
      <c r="B133" s="1212" t="s">
        <v>1399</v>
      </c>
      <c r="C133" s="1215" t="s">
        <v>1400</v>
      </c>
      <c r="D133" s="1231"/>
      <c r="E133" s="1247">
        <f>Table2[[#This Row],[MRL2]]</f>
        <v>0</v>
      </c>
      <c r="F133" s="1460" t="str">
        <f>Table2[[#This Row],[LOQ2]]</f>
        <v/>
      </c>
      <c r="G133" s="898">
        <f>LEN(Table2[[#This Row],[Please insert here the MRLs of COM database (use ''paste values'' function)]])</f>
        <v>0</v>
      </c>
      <c r="H13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33" s="898">
        <f>LEN(Table2[[#This Row],[(ft)]])</f>
        <v>1</v>
      </c>
      <c r="J133" s="898">
        <f>IF(Table2[[#This Row],[LOQ2]]="*",LEFT(Table2[[#This Row],[(ft)]],Table2[[#This Row],[length trimmed 1]]-1),Table2[[#This Row],[(ft)]])</f>
        <v>0</v>
      </c>
      <c r="K133" s="898">
        <f>IF(Table2[[#This Row],[MRL_text]]="","",Table2[[#This Row],[MRL_text]]*1)</f>
        <v>0</v>
      </c>
      <c r="L133" s="898" t="str">
        <f>IF(RIGHT(Table2[[#This Row],[(ft)]],1)="*","*","")</f>
        <v/>
      </c>
    </row>
    <row r="134" spans="1:12" ht="13.15" customHeight="1" x14ac:dyDescent="0.2">
      <c r="A134" s="1212">
        <v>233010</v>
      </c>
      <c r="B134" s="1212" t="s">
        <v>1401</v>
      </c>
      <c r="C134" s="1215" t="s">
        <v>1402</v>
      </c>
      <c r="D134" s="1231"/>
      <c r="E134" s="1249">
        <f>Table2[[#This Row],[MRL2]]</f>
        <v>0</v>
      </c>
      <c r="F134" s="1461" t="str">
        <f>Table2[[#This Row],[LOQ2]]</f>
        <v/>
      </c>
      <c r="G134" s="898">
        <f>LEN(Table2[[#This Row],[Please insert here the MRLs of COM database (use ''paste values'' function)]])</f>
        <v>0</v>
      </c>
      <c r="H13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34" s="898">
        <f>LEN(Table2[[#This Row],[(ft)]])</f>
        <v>1</v>
      </c>
      <c r="J134" s="898">
        <f>IF(Table2[[#This Row],[LOQ2]]="*",LEFT(Table2[[#This Row],[(ft)]],Table2[[#This Row],[length trimmed 1]]-1),Table2[[#This Row],[(ft)]])</f>
        <v>0</v>
      </c>
      <c r="K134" s="898">
        <f>IF(Table2[[#This Row],[MRL_text]]="","",Table2[[#This Row],[MRL_text]]*1)</f>
        <v>0</v>
      </c>
      <c r="L134" s="898" t="str">
        <f>IF(RIGHT(Table2[[#This Row],[(ft)]],1)="*","*","")</f>
        <v/>
      </c>
    </row>
    <row r="135" spans="1:12" ht="13.15" customHeight="1" x14ac:dyDescent="0.2">
      <c r="A135" s="1212">
        <v>233020</v>
      </c>
      <c r="B135" s="1212" t="s">
        <v>1403</v>
      </c>
      <c r="C135" s="1215" t="s">
        <v>1404</v>
      </c>
      <c r="D135" s="1231"/>
      <c r="E135" s="1249">
        <f>Table2[[#This Row],[MRL2]]</f>
        <v>0</v>
      </c>
      <c r="F135" s="1461" t="str">
        <f>Table2[[#This Row],[LOQ2]]</f>
        <v/>
      </c>
      <c r="G135" s="898">
        <f>LEN(Table2[[#This Row],[Please insert here the MRLs of COM database (use ''paste values'' function)]])</f>
        <v>0</v>
      </c>
      <c r="H13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35" s="898">
        <f>LEN(Table2[[#This Row],[(ft)]])</f>
        <v>1</v>
      </c>
      <c r="J135" s="898">
        <f>IF(Table2[[#This Row],[LOQ2]]="*",LEFT(Table2[[#This Row],[(ft)]],Table2[[#This Row],[length trimmed 1]]-1),Table2[[#This Row],[(ft)]])</f>
        <v>0</v>
      </c>
      <c r="K135" s="898">
        <f>IF(Table2[[#This Row],[MRL_text]]="","",Table2[[#This Row],[MRL_text]]*1)</f>
        <v>0</v>
      </c>
      <c r="L135" s="898" t="str">
        <f>IF(RIGHT(Table2[[#This Row],[(ft)]],1)="*","*","")</f>
        <v/>
      </c>
    </row>
    <row r="136" spans="1:12" ht="13.15" customHeight="1" x14ac:dyDescent="0.2">
      <c r="A136" s="1212">
        <v>233030</v>
      </c>
      <c r="B136" s="1212" t="s">
        <v>1405</v>
      </c>
      <c r="C136" s="1215" t="s">
        <v>1406</v>
      </c>
      <c r="D136" s="1231"/>
      <c r="E136" s="1249">
        <f>Table2[[#This Row],[MRL2]]</f>
        <v>0</v>
      </c>
      <c r="F136" s="1461" t="str">
        <f>Table2[[#This Row],[LOQ2]]</f>
        <v/>
      </c>
      <c r="G136" s="898">
        <f>LEN(Table2[[#This Row],[Please insert here the MRLs of COM database (use ''paste values'' function)]])</f>
        <v>0</v>
      </c>
      <c r="H13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36" s="898">
        <f>LEN(Table2[[#This Row],[(ft)]])</f>
        <v>1</v>
      </c>
      <c r="J136" s="898">
        <f>IF(Table2[[#This Row],[LOQ2]]="*",LEFT(Table2[[#This Row],[(ft)]],Table2[[#This Row],[length trimmed 1]]-1),Table2[[#This Row],[(ft)]])</f>
        <v>0</v>
      </c>
      <c r="K136" s="898">
        <f>IF(Table2[[#This Row],[MRL_text]]="","",Table2[[#This Row],[MRL_text]]*1)</f>
        <v>0</v>
      </c>
      <c r="L136" s="898" t="str">
        <f>IF(RIGHT(Table2[[#This Row],[(ft)]],1)="*","*","")</f>
        <v/>
      </c>
    </row>
    <row r="137" spans="1:12" ht="13.15" customHeight="1" x14ac:dyDescent="0.2">
      <c r="A137" s="1212">
        <v>233990</v>
      </c>
      <c r="B137" s="1212" t="s">
        <v>1407</v>
      </c>
      <c r="C137" s="1215" t="s">
        <v>1177</v>
      </c>
      <c r="D137" s="1231"/>
      <c r="E137" s="1249">
        <f>Table2[[#This Row],[MRL2]]</f>
        <v>0</v>
      </c>
      <c r="F137" s="1461" t="str">
        <f>Table2[[#This Row],[LOQ2]]</f>
        <v/>
      </c>
      <c r="G137" s="898">
        <f>LEN(Table2[[#This Row],[Please insert here the MRLs of COM database (use ''paste values'' function)]])</f>
        <v>0</v>
      </c>
      <c r="H13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37" s="898">
        <f>LEN(Table2[[#This Row],[(ft)]])</f>
        <v>1</v>
      </c>
      <c r="J137" s="898">
        <f>IF(Table2[[#This Row],[LOQ2]]="*",LEFT(Table2[[#This Row],[(ft)]],Table2[[#This Row],[length trimmed 1]]-1),Table2[[#This Row],[(ft)]])</f>
        <v>0</v>
      </c>
      <c r="K137" s="898">
        <f>IF(Table2[[#This Row],[MRL_text]]="","",Table2[[#This Row],[MRL_text]]*1)</f>
        <v>0</v>
      </c>
      <c r="L137" s="898" t="str">
        <f>IF(RIGHT(Table2[[#This Row],[(ft)]],1)="*","*","")</f>
        <v/>
      </c>
    </row>
    <row r="138" spans="1:12" ht="13.15" customHeight="1" x14ac:dyDescent="0.2">
      <c r="A138" s="1212">
        <v>234000</v>
      </c>
      <c r="B138" s="1212" t="s">
        <v>1408</v>
      </c>
      <c r="C138" s="1215" t="s">
        <v>1409</v>
      </c>
      <c r="D138" s="1231"/>
      <c r="E138" s="1249">
        <f>Table2[[#This Row],[MRL2]]</f>
        <v>0</v>
      </c>
      <c r="F138" s="1461" t="str">
        <f>Table2[[#This Row],[LOQ2]]</f>
        <v/>
      </c>
      <c r="G138" s="898">
        <f>LEN(Table2[[#This Row],[Please insert here the MRLs of COM database (use ''paste values'' function)]])</f>
        <v>0</v>
      </c>
      <c r="H13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38" s="898">
        <f>LEN(Table2[[#This Row],[(ft)]])</f>
        <v>1</v>
      </c>
      <c r="J138" s="898">
        <f>IF(Table2[[#This Row],[LOQ2]]="*",LEFT(Table2[[#This Row],[(ft)]],Table2[[#This Row],[length trimmed 1]]-1),Table2[[#This Row],[(ft)]])</f>
        <v>0</v>
      </c>
      <c r="K138" s="898">
        <f>IF(Table2[[#This Row],[MRL_text]]="","",Table2[[#This Row],[MRL_text]]*1)</f>
        <v>0</v>
      </c>
      <c r="L138" s="898" t="str">
        <f>IF(RIGHT(Table2[[#This Row],[(ft)]],1)="*","*","")</f>
        <v/>
      </c>
    </row>
    <row r="139" spans="1:12" ht="13.15" customHeight="1" x14ac:dyDescent="0.2">
      <c r="A139" s="1212">
        <v>239000</v>
      </c>
      <c r="B139" s="1212" t="s">
        <v>1410</v>
      </c>
      <c r="C139" s="1215" t="s">
        <v>1411</v>
      </c>
      <c r="D139" s="1231"/>
      <c r="E139" s="1247">
        <f>Table2[[#This Row],[MRL2]]</f>
        <v>0</v>
      </c>
      <c r="F139" s="1460" t="str">
        <f>Table2[[#This Row],[LOQ2]]</f>
        <v/>
      </c>
      <c r="G139" s="898">
        <f>LEN(Table2[[#This Row],[Please insert here the MRLs of COM database (use ''paste values'' function)]])</f>
        <v>0</v>
      </c>
      <c r="H13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39" s="898">
        <f>LEN(Table2[[#This Row],[(ft)]])</f>
        <v>1</v>
      </c>
      <c r="J139" s="898">
        <f>IF(Table2[[#This Row],[LOQ2]]="*",LEFT(Table2[[#This Row],[(ft)]],Table2[[#This Row],[length trimmed 1]]-1),Table2[[#This Row],[(ft)]])</f>
        <v>0</v>
      </c>
      <c r="K139" s="898">
        <f>IF(Table2[[#This Row],[MRL_text]]="","",Table2[[#This Row],[MRL_text]]*1)</f>
        <v>0</v>
      </c>
      <c r="L139" s="898" t="str">
        <f>IF(RIGHT(Table2[[#This Row],[(ft)]],1)="*","*","")</f>
        <v/>
      </c>
    </row>
    <row r="140" spans="1:12" ht="13.15" customHeight="1" x14ac:dyDescent="0.2">
      <c r="A140" s="1211">
        <v>240000</v>
      </c>
      <c r="B140" s="1211" t="s">
        <v>1412</v>
      </c>
      <c r="C140" s="1236" t="s">
        <v>1413</v>
      </c>
      <c r="D140" s="1230"/>
      <c r="E140" s="1247">
        <f>Table2[[#This Row],[MRL2]]</f>
        <v>0</v>
      </c>
      <c r="F140" s="1460" t="str">
        <f>Table2[[#This Row],[LOQ2]]</f>
        <v/>
      </c>
      <c r="G140" s="898">
        <f>LEN(Table2[[#This Row],[Please insert here the MRLs of COM database (use ''paste values'' function)]])</f>
        <v>0</v>
      </c>
      <c r="H14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40" s="898">
        <f>LEN(Table2[[#This Row],[(ft)]])</f>
        <v>1</v>
      </c>
      <c r="J140" s="898">
        <f>IF(Table2[[#This Row],[LOQ2]]="*",LEFT(Table2[[#This Row],[(ft)]],Table2[[#This Row],[length trimmed 1]]-1),Table2[[#This Row],[(ft)]])</f>
        <v>0</v>
      </c>
      <c r="K140" s="898">
        <f>IF(Table2[[#This Row],[MRL_text]]="","",Table2[[#This Row],[MRL_text]]*1)</f>
        <v>0</v>
      </c>
      <c r="L140" s="898" t="str">
        <f>IF(RIGHT(Table2[[#This Row],[(ft)]],1)="*","*","")</f>
        <v/>
      </c>
    </row>
    <row r="141" spans="1:12" ht="13.15" customHeight="1" x14ac:dyDescent="0.2">
      <c r="A141" s="1212">
        <v>241000</v>
      </c>
      <c r="B141" s="1212" t="s">
        <v>1414</v>
      </c>
      <c r="C141" s="1215" t="s">
        <v>1415</v>
      </c>
      <c r="D141" s="1231"/>
      <c r="E141" s="1247">
        <f>Table2[[#This Row],[MRL2]]</f>
        <v>0</v>
      </c>
      <c r="F141" s="1460" t="str">
        <f>Table2[[#This Row],[LOQ2]]</f>
        <v/>
      </c>
      <c r="G141" s="898">
        <f>LEN(Table2[[#This Row],[Please insert here the MRLs of COM database (use ''paste values'' function)]])</f>
        <v>0</v>
      </c>
      <c r="H14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41" s="898">
        <f>LEN(Table2[[#This Row],[(ft)]])</f>
        <v>1</v>
      </c>
      <c r="J141" s="898">
        <f>IF(Table2[[#This Row],[LOQ2]]="*",LEFT(Table2[[#This Row],[(ft)]],Table2[[#This Row],[length trimmed 1]]-1),Table2[[#This Row],[(ft)]])</f>
        <v>0</v>
      </c>
      <c r="K141" s="898">
        <f>IF(Table2[[#This Row],[MRL_text]]="","",Table2[[#This Row],[MRL_text]]*1)</f>
        <v>0</v>
      </c>
      <c r="L141" s="898" t="str">
        <f>IF(RIGHT(Table2[[#This Row],[(ft)]],1)="*","*","")</f>
        <v/>
      </c>
    </row>
    <row r="142" spans="1:12" ht="13.15" customHeight="1" x14ac:dyDescent="0.2">
      <c r="A142" s="1212">
        <v>241010</v>
      </c>
      <c r="B142" s="1212" t="s">
        <v>1416</v>
      </c>
      <c r="C142" s="1215" t="s">
        <v>1417</v>
      </c>
      <c r="D142" s="1231"/>
      <c r="E142" s="1249">
        <f>Table2[[#This Row],[MRL2]]</f>
        <v>0</v>
      </c>
      <c r="F142" s="1461" t="str">
        <f>Table2[[#This Row],[LOQ2]]</f>
        <v/>
      </c>
      <c r="G142" s="898">
        <f>LEN(Table2[[#This Row],[Please insert here the MRLs of COM database (use ''paste values'' function)]])</f>
        <v>0</v>
      </c>
      <c r="H14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42" s="898">
        <f>LEN(Table2[[#This Row],[(ft)]])</f>
        <v>1</v>
      </c>
      <c r="J142" s="898">
        <f>IF(Table2[[#This Row],[LOQ2]]="*",LEFT(Table2[[#This Row],[(ft)]],Table2[[#This Row],[length trimmed 1]]-1),Table2[[#This Row],[(ft)]])</f>
        <v>0</v>
      </c>
      <c r="K142" s="898">
        <f>IF(Table2[[#This Row],[MRL_text]]="","",Table2[[#This Row],[MRL_text]]*1)</f>
        <v>0</v>
      </c>
      <c r="L142" s="898" t="str">
        <f>IF(RIGHT(Table2[[#This Row],[(ft)]],1)="*","*","")</f>
        <v/>
      </c>
    </row>
    <row r="143" spans="1:12" ht="13.15" customHeight="1" x14ac:dyDescent="0.2">
      <c r="A143" s="1212">
        <v>241020</v>
      </c>
      <c r="B143" s="1212" t="s">
        <v>1418</v>
      </c>
      <c r="C143" s="1215" t="s">
        <v>1419</v>
      </c>
      <c r="D143" s="1231"/>
      <c r="E143" s="1249">
        <f>Table2[[#This Row],[MRL2]]</f>
        <v>0</v>
      </c>
      <c r="F143" s="1461" t="str">
        <f>Table2[[#This Row],[LOQ2]]</f>
        <v/>
      </c>
      <c r="G143" s="898">
        <f>LEN(Table2[[#This Row],[Please insert here the MRLs of COM database (use ''paste values'' function)]])</f>
        <v>0</v>
      </c>
      <c r="H14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43" s="898">
        <f>LEN(Table2[[#This Row],[(ft)]])</f>
        <v>1</v>
      </c>
      <c r="J143" s="898">
        <f>IF(Table2[[#This Row],[LOQ2]]="*",LEFT(Table2[[#This Row],[(ft)]],Table2[[#This Row],[length trimmed 1]]-1),Table2[[#This Row],[(ft)]])</f>
        <v>0</v>
      </c>
      <c r="K143" s="898">
        <f>IF(Table2[[#This Row],[MRL_text]]="","",Table2[[#This Row],[MRL_text]]*1)</f>
        <v>0</v>
      </c>
      <c r="L143" s="898" t="str">
        <f>IF(RIGHT(Table2[[#This Row],[(ft)]],1)="*","*","")</f>
        <v/>
      </c>
    </row>
    <row r="144" spans="1:12" ht="13.15" customHeight="1" x14ac:dyDescent="0.2">
      <c r="A144" s="1212">
        <v>241990</v>
      </c>
      <c r="B144" s="1212" t="s">
        <v>1420</v>
      </c>
      <c r="C144" s="1215" t="s">
        <v>1177</v>
      </c>
      <c r="D144" s="1231"/>
      <c r="E144" s="1249">
        <f>Table2[[#This Row],[MRL2]]</f>
        <v>0</v>
      </c>
      <c r="F144" s="1461" t="str">
        <f>Table2[[#This Row],[LOQ2]]</f>
        <v/>
      </c>
      <c r="G144" s="898">
        <f>LEN(Table2[[#This Row],[Please insert here the MRLs of COM database (use ''paste values'' function)]])</f>
        <v>0</v>
      </c>
      <c r="H14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44" s="898">
        <f>LEN(Table2[[#This Row],[(ft)]])</f>
        <v>1</v>
      </c>
      <c r="J144" s="898">
        <f>IF(Table2[[#This Row],[LOQ2]]="*",LEFT(Table2[[#This Row],[(ft)]],Table2[[#This Row],[length trimmed 1]]-1),Table2[[#This Row],[(ft)]])</f>
        <v>0</v>
      </c>
      <c r="K144" s="898">
        <f>IF(Table2[[#This Row],[MRL_text]]="","",Table2[[#This Row],[MRL_text]]*1)</f>
        <v>0</v>
      </c>
      <c r="L144" s="898" t="str">
        <f>IF(RIGHT(Table2[[#This Row],[(ft)]],1)="*","*","")</f>
        <v/>
      </c>
    </row>
    <row r="145" spans="1:12" ht="13.15" customHeight="1" x14ac:dyDescent="0.2">
      <c r="A145" s="1212">
        <v>242000</v>
      </c>
      <c r="B145" s="1212" t="s">
        <v>1421</v>
      </c>
      <c r="C145" s="1215" t="s">
        <v>1422</v>
      </c>
      <c r="D145" s="1231"/>
      <c r="E145" s="1247">
        <f>Table2[[#This Row],[MRL2]]</f>
        <v>0</v>
      </c>
      <c r="F145" s="1460" t="str">
        <f>Table2[[#This Row],[LOQ2]]</f>
        <v/>
      </c>
      <c r="G145" s="898">
        <f>LEN(Table2[[#This Row],[Please insert here the MRLs of COM database (use ''paste values'' function)]])</f>
        <v>0</v>
      </c>
      <c r="H14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45" s="898">
        <f>LEN(Table2[[#This Row],[(ft)]])</f>
        <v>1</v>
      </c>
      <c r="J145" s="898">
        <f>IF(Table2[[#This Row],[LOQ2]]="*",LEFT(Table2[[#This Row],[(ft)]],Table2[[#This Row],[length trimmed 1]]-1),Table2[[#This Row],[(ft)]])</f>
        <v>0</v>
      </c>
      <c r="K145" s="898">
        <f>IF(Table2[[#This Row],[MRL_text]]="","",Table2[[#This Row],[MRL_text]]*1)</f>
        <v>0</v>
      </c>
      <c r="L145" s="898" t="str">
        <f>IF(RIGHT(Table2[[#This Row],[(ft)]],1)="*","*","")</f>
        <v/>
      </c>
    </row>
    <row r="146" spans="1:12" ht="13.15" customHeight="1" x14ac:dyDescent="0.2">
      <c r="A146" s="1212">
        <v>242010</v>
      </c>
      <c r="B146" s="1212" t="s">
        <v>1423</v>
      </c>
      <c r="C146" s="1215" t="s">
        <v>1424</v>
      </c>
      <c r="D146" s="1231"/>
      <c r="E146" s="1249">
        <f>Table2[[#This Row],[MRL2]]</f>
        <v>0</v>
      </c>
      <c r="F146" s="1461" t="str">
        <f>Table2[[#This Row],[LOQ2]]</f>
        <v/>
      </c>
      <c r="G146" s="898">
        <f>LEN(Table2[[#This Row],[Please insert here the MRLs of COM database (use ''paste values'' function)]])</f>
        <v>0</v>
      </c>
      <c r="H14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46" s="898">
        <f>LEN(Table2[[#This Row],[(ft)]])</f>
        <v>1</v>
      </c>
      <c r="J146" s="898">
        <f>IF(Table2[[#This Row],[LOQ2]]="*",LEFT(Table2[[#This Row],[(ft)]],Table2[[#This Row],[length trimmed 1]]-1),Table2[[#This Row],[(ft)]])</f>
        <v>0</v>
      </c>
      <c r="K146" s="898">
        <f>IF(Table2[[#This Row],[MRL_text]]="","",Table2[[#This Row],[MRL_text]]*1)</f>
        <v>0</v>
      </c>
      <c r="L146" s="898" t="str">
        <f>IF(RIGHT(Table2[[#This Row],[(ft)]],1)="*","*","")</f>
        <v/>
      </c>
    </row>
    <row r="147" spans="1:12" ht="13.15" customHeight="1" x14ac:dyDescent="0.2">
      <c r="A147" s="1212">
        <v>242020</v>
      </c>
      <c r="B147" s="1212" t="s">
        <v>1425</v>
      </c>
      <c r="C147" s="1215" t="s">
        <v>1426</v>
      </c>
      <c r="D147" s="1231"/>
      <c r="E147" s="1249">
        <f>Table2[[#This Row],[MRL2]]</f>
        <v>0</v>
      </c>
      <c r="F147" s="1461" t="str">
        <f>Table2[[#This Row],[LOQ2]]</f>
        <v/>
      </c>
      <c r="G147" s="898">
        <f>LEN(Table2[[#This Row],[Please insert here the MRLs of COM database (use ''paste values'' function)]])</f>
        <v>0</v>
      </c>
      <c r="H14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47" s="898">
        <f>LEN(Table2[[#This Row],[(ft)]])</f>
        <v>1</v>
      </c>
      <c r="J147" s="898">
        <f>IF(Table2[[#This Row],[LOQ2]]="*",LEFT(Table2[[#This Row],[(ft)]],Table2[[#This Row],[length trimmed 1]]-1),Table2[[#This Row],[(ft)]])</f>
        <v>0</v>
      </c>
      <c r="K147" s="898">
        <f>IF(Table2[[#This Row],[MRL_text]]="","",Table2[[#This Row],[MRL_text]]*1)</f>
        <v>0</v>
      </c>
      <c r="L147" s="898" t="str">
        <f>IF(RIGHT(Table2[[#This Row],[(ft)]],1)="*","*","")</f>
        <v/>
      </c>
    </row>
    <row r="148" spans="1:12" ht="13.15" customHeight="1" x14ac:dyDescent="0.2">
      <c r="A148" s="1212">
        <v>242990</v>
      </c>
      <c r="B148" s="1212" t="s">
        <v>1427</v>
      </c>
      <c r="C148" s="1215" t="s">
        <v>1177</v>
      </c>
      <c r="D148" s="1231"/>
      <c r="E148" s="1249">
        <f>Table2[[#This Row],[MRL2]]</f>
        <v>0</v>
      </c>
      <c r="F148" s="1461" t="str">
        <f>Table2[[#This Row],[LOQ2]]</f>
        <v/>
      </c>
      <c r="G148" s="898">
        <f>LEN(Table2[[#This Row],[Please insert here the MRLs of COM database (use ''paste values'' function)]])</f>
        <v>0</v>
      </c>
      <c r="H14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48" s="898">
        <f>LEN(Table2[[#This Row],[(ft)]])</f>
        <v>1</v>
      </c>
      <c r="J148" s="898">
        <f>IF(Table2[[#This Row],[LOQ2]]="*",LEFT(Table2[[#This Row],[(ft)]],Table2[[#This Row],[length trimmed 1]]-1),Table2[[#This Row],[(ft)]])</f>
        <v>0</v>
      </c>
      <c r="K148" s="898">
        <f>IF(Table2[[#This Row],[MRL_text]]="","",Table2[[#This Row],[MRL_text]]*1)</f>
        <v>0</v>
      </c>
      <c r="L148" s="898" t="str">
        <f>IF(RIGHT(Table2[[#This Row],[(ft)]],1)="*","*","")</f>
        <v/>
      </c>
    </row>
    <row r="149" spans="1:12" ht="13.15" customHeight="1" x14ac:dyDescent="0.2">
      <c r="A149" s="1212">
        <v>243000</v>
      </c>
      <c r="B149" s="1212" t="s">
        <v>1428</v>
      </c>
      <c r="C149" s="1215" t="s">
        <v>1429</v>
      </c>
      <c r="D149" s="1231"/>
      <c r="E149" s="1247">
        <f>Table2[[#This Row],[MRL2]]</f>
        <v>0</v>
      </c>
      <c r="F149" s="1460" t="str">
        <f>Table2[[#This Row],[LOQ2]]</f>
        <v/>
      </c>
      <c r="G149" s="898">
        <f>LEN(Table2[[#This Row],[Please insert here the MRLs of COM database (use ''paste values'' function)]])</f>
        <v>0</v>
      </c>
      <c r="H14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49" s="898">
        <f>LEN(Table2[[#This Row],[(ft)]])</f>
        <v>1</v>
      </c>
      <c r="J149" s="898">
        <f>IF(Table2[[#This Row],[LOQ2]]="*",LEFT(Table2[[#This Row],[(ft)]],Table2[[#This Row],[length trimmed 1]]-1),Table2[[#This Row],[(ft)]])</f>
        <v>0</v>
      </c>
      <c r="K149" s="898">
        <f>IF(Table2[[#This Row],[MRL_text]]="","",Table2[[#This Row],[MRL_text]]*1)</f>
        <v>0</v>
      </c>
      <c r="L149" s="898" t="str">
        <f>IF(RIGHT(Table2[[#This Row],[(ft)]],1)="*","*","")</f>
        <v/>
      </c>
    </row>
    <row r="150" spans="1:12" ht="13.15" customHeight="1" x14ac:dyDescent="0.2">
      <c r="A150" s="1212">
        <v>243010</v>
      </c>
      <c r="B150" s="1212" t="s">
        <v>1430</v>
      </c>
      <c r="C150" s="1215" t="s">
        <v>1431</v>
      </c>
      <c r="D150" s="1231"/>
      <c r="E150" s="1249">
        <f>Table2[[#This Row],[MRL2]]</f>
        <v>0</v>
      </c>
      <c r="F150" s="1461" t="str">
        <f>Table2[[#This Row],[LOQ2]]</f>
        <v/>
      </c>
      <c r="G150" s="898">
        <f>LEN(Table2[[#This Row],[Please insert here the MRLs of COM database (use ''paste values'' function)]])</f>
        <v>0</v>
      </c>
      <c r="H15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50" s="898">
        <f>LEN(Table2[[#This Row],[(ft)]])</f>
        <v>1</v>
      </c>
      <c r="J150" s="898">
        <f>IF(Table2[[#This Row],[LOQ2]]="*",LEFT(Table2[[#This Row],[(ft)]],Table2[[#This Row],[length trimmed 1]]-1),Table2[[#This Row],[(ft)]])</f>
        <v>0</v>
      </c>
      <c r="K150" s="898">
        <f>IF(Table2[[#This Row],[MRL_text]]="","",Table2[[#This Row],[MRL_text]]*1)</f>
        <v>0</v>
      </c>
      <c r="L150" s="898" t="str">
        <f>IF(RIGHT(Table2[[#This Row],[(ft)]],1)="*","*","")</f>
        <v/>
      </c>
    </row>
    <row r="151" spans="1:12" ht="13.15" customHeight="1" x14ac:dyDescent="0.2">
      <c r="A151" s="1212">
        <v>243020</v>
      </c>
      <c r="B151" s="1212" t="s">
        <v>1432</v>
      </c>
      <c r="C151" s="1215" t="s">
        <v>1433</v>
      </c>
      <c r="D151" s="1231"/>
      <c r="E151" s="1249">
        <f>Table2[[#This Row],[MRL2]]</f>
        <v>0</v>
      </c>
      <c r="F151" s="1461" t="str">
        <f>Table2[[#This Row],[LOQ2]]</f>
        <v/>
      </c>
      <c r="G151" s="898">
        <f>LEN(Table2[[#This Row],[Please insert here the MRLs of COM database (use ''paste values'' function)]])</f>
        <v>0</v>
      </c>
      <c r="H15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51" s="898">
        <f>LEN(Table2[[#This Row],[(ft)]])</f>
        <v>1</v>
      </c>
      <c r="J151" s="898">
        <f>IF(Table2[[#This Row],[LOQ2]]="*",LEFT(Table2[[#This Row],[(ft)]],Table2[[#This Row],[length trimmed 1]]-1),Table2[[#This Row],[(ft)]])</f>
        <v>0</v>
      </c>
      <c r="K151" s="898">
        <f>IF(Table2[[#This Row],[MRL_text]]="","",Table2[[#This Row],[MRL_text]]*1)</f>
        <v>0</v>
      </c>
      <c r="L151" s="898" t="str">
        <f>IF(RIGHT(Table2[[#This Row],[(ft)]],1)="*","*","")</f>
        <v/>
      </c>
    </row>
    <row r="152" spans="1:12" ht="13.15" customHeight="1" x14ac:dyDescent="0.2">
      <c r="A152" s="1212">
        <v>243990</v>
      </c>
      <c r="B152" s="1212" t="s">
        <v>1434</v>
      </c>
      <c r="C152" s="1215" t="s">
        <v>1177</v>
      </c>
      <c r="D152" s="1231"/>
      <c r="E152" s="1249">
        <f>Table2[[#This Row],[MRL2]]</f>
        <v>0</v>
      </c>
      <c r="F152" s="1461" t="str">
        <f>Table2[[#This Row],[LOQ2]]</f>
        <v/>
      </c>
      <c r="G152" s="898">
        <f>LEN(Table2[[#This Row],[Please insert here the MRLs of COM database (use ''paste values'' function)]])</f>
        <v>0</v>
      </c>
      <c r="H15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52" s="898">
        <f>LEN(Table2[[#This Row],[(ft)]])</f>
        <v>1</v>
      </c>
      <c r="J152" s="898">
        <f>IF(Table2[[#This Row],[LOQ2]]="*",LEFT(Table2[[#This Row],[(ft)]],Table2[[#This Row],[length trimmed 1]]-1),Table2[[#This Row],[(ft)]])</f>
        <v>0</v>
      </c>
      <c r="K152" s="898">
        <f>IF(Table2[[#This Row],[MRL_text]]="","",Table2[[#This Row],[MRL_text]]*1)</f>
        <v>0</v>
      </c>
      <c r="L152" s="898" t="str">
        <f>IF(RIGHT(Table2[[#This Row],[(ft)]],1)="*","*","")</f>
        <v/>
      </c>
    </row>
    <row r="153" spans="1:12" ht="13.15" customHeight="1" x14ac:dyDescent="0.2">
      <c r="A153" s="1212">
        <v>244000</v>
      </c>
      <c r="B153" s="1212" t="s">
        <v>1435</v>
      </c>
      <c r="C153" s="1215" t="s">
        <v>1436</v>
      </c>
      <c r="D153" s="1231"/>
      <c r="E153" s="1249">
        <f>Table2[[#This Row],[MRL2]]</f>
        <v>0</v>
      </c>
      <c r="F153" s="1461" t="str">
        <f>Table2[[#This Row],[LOQ2]]</f>
        <v/>
      </c>
      <c r="G153" s="898">
        <f>LEN(Table2[[#This Row],[Please insert here the MRLs of COM database (use ''paste values'' function)]])</f>
        <v>0</v>
      </c>
      <c r="H15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53" s="898">
        <f>LEN(Table2[[#This Row],[(ft)]])</f>
        <v>1</v>
      </c>
      <c r="J153" s="898">
        <f>IF(Table2[[#This Row],[LOQ2]]="*",LEFT(Table2[[#This Row],[(ft)]],Table2[[#This Row],[length trimmed 1]]-1),Table2[[#This Row],[(ft)]])</f>
        <v>0</v>
      </c>
      <c r="K153" s="898">
        <f>IF(Table2[[#This Row],[MRL_text]]="","",Table2[[#This Row],[MRL_text]]*1)</f>
        <v>0</v>
      </c>
      <c r="L153" s="898" t="str">
        <f>IF(RIGHT(Table2[[#This Row],[(ft)]],1)="*","*","")</f>
        <v/>
      </c>
    </row>
    <row r="154" spans="1:12" ht="13.15" customHeight="1" x14ac:dyDescent="0.2">
      <c r="A154" s="1211">
        <v>250000</v>
      </c>
      <c r="B154" s="1211" t="s">
        <v>1437</v>
      </c>
      <c r="C154" s="1236" t="s">
        <v>1438</v>
      </c>
      <c r="D154" s="1230"/>
      <c r="E154" s="1247">
        <f>Table2[[#This Row],[MRL2]]</f>
        <v>0</v>
      </c>
      <c r="F154" s="1460" t="str">
        <f>Table2[[#This Row],[LOQ2]]</f>
        <v/>
      </c>
      <c r="G154" s="898">
        <f>LEN(Table2[[#This Row],[Please insert here the MRLs of COM database (use ''paste values'' function)]])</f>
        <v>0</v>
      </c>
      <c r="H15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54" s="898">
        <f>LEN(Table2[[#This Row],[(ft)]])</f>
        <v>1</v>
      </c>
      <c r="J154" s="898">
        <f>IF(Table2[[#This Row],[LOQ2]]="*",LEFT(Table2[[#This Row],[(ft)]],Table2[[#This Row],[length trimmed 1]]-1),Table2[[#This Row],[(ft)]])</f>
        <v>0</v>
      </c>
      <c r="K154" s="898">
        <f>IF(Table2[[#This Row],[MRL_text]]="","",Table2[[#This Row],[MRL_text]]*1)</f>
        <v>0</v>
      </c>
      <c r="L154" s="898" t="str">
        <f>IF(RIGHT(Table2[[#This Row],[(ft)]],1)="*","*","")</f>
        <v/>
      </c>
    </row>
    <row r="155" spans="1:12" ht="13.15" customHeight="1" x14ac:dyDescent="0.2">
      <c r="A155" s="1212">
        <v>251000</v>
      </c>
      <c r="B155" s="1212" t="s">
        <v>1439</v>
      </c>
      <c r="C155" s="1215" t="s">
        <v>1440</v>
      </c>
      <c r="D155" s="1231"/>
      <c r="E155" s="1247">
        <f>Table2[[#This Row],[MRL2]]</f>
        <v>0</v>
      </c>
      <c r="F155" s="1460" t="str">
        <f>Table2[[#This Row],[LOQ2]]</f>
        <v/>
      </c>
      <c r="G155" s="898">
        <f>LEN(Table2[[#This Row],[Please insert here the MRLs of COM database (use ''paste values'' function)]])</f>
        <v>0</v>
      </c>
      <c r="H15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55" s="898">
        <f>LEN(Table2[[#This Row],[(ft)]])</f>
        <v>1</v>
      </c>
      <c r="J155" s="898">
        <f>IF(Table2[[#This Row],[LOQ2]]="*",LEFT(Table2[[#This Row],[(ft)]],Table2[[#This Row],[length trimmed 1]]-1),Table2[[#This Row],[(ft)]])</f>
        <v>0</v>
      </c>
      <c r="K155" s="898">
        <f>IF(Table2[[#This Row],[MRL_text]]="","",Table2[[#This Row],[MRL_text]]*1)</f>
        <v>0</v>
      </c>
      <c r="L155" s="898" t="str">
        <f>IF(RIGHT(Table2[[#This Row],[(ft)]],1)="*","*","")</f>
        <v/>
      </c>
    </row>
    <row r="156" spans="1:12" ht="13.15" customHeight="1" x14ac:dyDescent="0.2">
      <c r="A156" s="1212">
        <v>251010</v>
      </c>
      <c r="B156" s="1212" t="s">
        <v>1441</v>
      </c>
      <c r="C156" s="1215" t="s">
        <v>1442</v>
      </c>
      <c r="D156" s="1231"/>
      <c r="E156" s="1249">
        <f>Table2[[#This Row],[MRL2]]</f>
        <v>0</v>
      </c>
      <c r="F156" s="1461" t="str">
        <f>Table2[[#This Row],[LOQ2]]</f>
        <v/>
      </c>
      <c r="G156" s="898">
        <f>LEN(Table2[[#This Row],[Please insert here the MRLs of COM database (use ''paste values'' function)]])</f>
        <v>0</v>
      </c>
      <c r="H15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56" s="898">
        <f>LEN(Table2[[#This Row],[(ft)]])</f>
        <v>1</v>
      </c>
      <c r="J156" s="898">
        <f>IF(Table2[[#This Row],[LOQ2]]="*",LEFT(Table2[[#This Row],[(ft)]],Table2[[#This Row],[length trimmed 1]]-1),Table2[[#This Row],[(ft)]])</f>
        <v>0</v>
      </c>
      <c r="K156" s="898">
        <f>IF(Table2[[#This Row],[MRL_text]]="","",Table2[[#This Row],[MRL_text]]*1)</f>
        <v>0</v>
      </c>
      <c r="L156" s="898" t="str">
        <f>IF(RIGHT(Table2[[#This Row],[(ft)]],1)="*","*","")</f>
        <v/>
      </c>
    </row>
    <row r="157" spans="1:12" ht="13.15" customHeight="1" x14ac:dyDescent="0.2">
      <c r="A157" s="1212">
        <v>251020</v>
      </c>
      <c r="B157" s="1212" t="s">
        <v>1443</v>
      </c>
      <c r="C157" s="1215" t="s">
        <v>1444</v>
      </c>
      <c r="D157" s="1231"/>
      <c r="E157" s="1249">
        <f>Table2[[#This Row],[MRL2]]</f>
        <v>0</v>
      </c>
      <c r="F157" s="1461" t="str">
        <f>Table2[[#This Row],[LOQ2]]</f>
        <v/>
      </c>
      <c r="G157" s="898">
        <f>LEN(Table2[[#This Row],[Please insert here the MRLs of COM database (use ''paste values'' function)]])</f>
        <v>0</v>
      </c>
      <c r="H15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57" s="898">
        <f>LEN(Table2[[#This Row],[(ft)]])</f>
        <v>1</v>
      </c>
      <c r="J157" s="898">
        <f>IF(Table2[[#This Row],[LOQ2]]="*",LEFT(Table2[[#This Row],[(ft)]],Table2[[#This Row],[length trimmed 1]]-1),Table2[[#This Row],[(ft)]])</f>
        <v>0</v>
      </c>
      <c r="K157" s="898">
        <f>IF(Table2[[#This Row],[MRL_text]]="","",Table2[[#This Row],[MRL_text]]*1)</f>
        <v>0</v>
      </c>
      <c r="L157" s="898" t="str">
        <f>IF(RIGHT(Table2[[#This Row],[(ft)]],1)="*","*","")</f>
        <v/>
      </c>
    </row>
    <row r="158" spans="1:12" ht="13.15" customHeight="1" x14ac:dyDescent="0.2">
      <c r="A158" s="1212">
        <v>251030</v>
      </c>
      <c r="B158" s="1212" t="s">
        <v>1445</v>
      </c>
      <c r="C158" s="1215" t="s">
        <v>1446</v>
      </c>
      <c r="D158" s="1231"/>
      <c r="E158" s="1249">
        <f>Table2[[#This Row],[MRL2]]</f>
        <v>0</v>
      </c>
      <c r="F158" s="1461" t="str">
        <f>Table2[[#This Row],[LOQ2]]</f>
        <v/>
      </c>
      <c r="G158" s="898">
        <f>LEN(Table2[[#This Row],[Please insert here the MRLs of COM database (use ''paste values'' function)]])</f>
        <v>0</v>
      </c>
      <c r="H15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58" s="898">
        <f>LEN(Table2[[#This Row],[(ft)]])</f>
        <v>1</v>
      </c>
      <c r="J158" s="898">
        <f>IF(Table2[[#This Row],[LOQ2]]="*",LEFT(Table2[[#This Row],[(ft)]],Table2[[#This Row],[length trimmed 1]]-1),Table2[[#This Row],[(ft)]])</f>
        <v>0</v>
      </c>
      <c r="K158" s="898">
        <f>IF(Table2[[#This Row],[MRL_text]]="","",Table2[[#This Row],[MRL_text]]*1)</f>
        <v>0</v>
      </c>
      <c r="L158" s="898" t="str">
        <f>IF(RIGHT(Table2[[#This Row],[(ft)]],1)="*","*","")</f>
        <v/>
      </c>
    </row>
    <row r="159" spans="1:12" ht="13.15" customHeight="1" x14ac:dyDescent="0.2">
      <c r="A159" s="1212">
        <v>251040</v>
      </c>
      <c r="B159" s="1212" t="s">
        <v>1447</v>
      </c>
      <c r="C159" s="1215" t="s">
        <v>1448</v>
      </c>
      <c r="D159" s="1231"/>
      <c r="E159" s="1249">
        <f>Table2[[#This Row],[MRL2]]</f>
        <v>0</v>
      </c>
      <c r="F159" s="1461" t="str">
        <f>Table2[[#This Row],[LOQ2]]</f>
        <v/>
      </c>
      <c r="G159" s="898">
        <f>LEN(Table2[[#This Row],[Please insert here the MRLs of COM database (use ''paste values'' function)]])</f>
        <v>0</v>
      </c>
      <c r="H15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59" s="898">
        <f>LEN(Table2[[#This Row],[(ft)]])</f>
        <v>1</v>
      </c>
      <c r="J159" s="898">
        <f>IF(Table2[[#This Row],[LOQ2]]="*",LEFT(Table2[[#This Row],[(ft)]],Table2[[#This Row],[length trimmed 1]]-1),Table2[[#This Row],[(ft)]])</f>
        <v>0</v>
      </c>
      <c r="K159" s="898">
        <f>IF(Table2[[#This Row],[MRL_text]]="","",Table2[[#This Row],[MRL_text]]*1)</f>
        <v>0</v>
      </c>
      <c r="L159" s="898" t="str">
        <f>IF(RIGHT(Table2[[#This Row],[(ft)]],1)="*","*","")</f>
        <v/>
      </c>
    </row>
    <row r="160" spans="1:12" ht="13.15" customHeight="1" x14ac:dyDescent="0.2">
      <c r="A160" s="1212">
        <v>251050</v>
      </c>
      <c r="B160" s="1212" t="s">
        <v>1449</v>
      </c>
      <c r="C160" s="1215" t="s">
        <v>1450</v>
      </c>
      <c r="D160" s="1231"/>
      <c r="E160" s="1249">
        <f>Table2[[#This Row],[MRL2]]</f>
        <v>0</v>
      </c>
      <c r="F160" s="1461" t="str">
        <f>Table2[[#This Row],[LOQ2]]</f>
        <v/>
      </c>
      <c r="G160" s="898">
        <f>LEN(Table2[[#This Row],[Please insert here the MRLs of COM database (use ''paste values'' function)]])</f>
        <v>0</v>
      </c>
      <c r="H16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60" s="898">
        <f>LEN(Table2[[#This Row],[(ft)]])</f>
        <v>1</v>
      </c>
      <c r="J160" s="898">
        <f>IF(Table2[[#This Row],[LOQ2]]="*",LEFT(Table2[[#This Row],[(ft)]],Table2[[#This Row],[length trimmed 1]]-1),Table2[[#This Row],[(ft)]])</f>
        <v>0</v>
      </c>
      <c r="K160" s="898">
        <f>IF(Table2[[#This Row],[MRL_text]]="","",Table2[[#This Row],[MRL_text]]*1)</f>
        <v>0</v>
      </c>
      <c r="L160" s="898" t="str">
        <f>IF(RIGHT(Table2[[#This Row],[(ft)]],1)="*","*","")</f>
        <v/>
      </c>
    </row>
    <row r="161" spans="1:12" ht="13.15" customHeight="1" x14ac:dyDescent="0.2">
      <c r="A161" s="1212">
        <v>251060</v>
      </c>
      <c r="B161" s="1212" t="s">
        <v>1451</v>
      </c>
      <c r="C161" s="1215" t="s">
        <v>1452</v>
      </c>
      <c r="D161" s="1231"/>
      <c r="E161" s="1249">
        <f>Table2[[#This Row],[MRL2]]</f>
        <v>0</v>
      </c>
      <c r="F161" s="1461" t="str">
        <f>Table2[[#This Row],[LOQ2]]</f>
        <v/>
      </c>
      <c r="G161" s="898">
        <f>LEN(Table2[[#This Row],[Please insert here the MRLs of COM database (use ''paste values'' function)]])</f>
        <v>0</v>
      </c>
      <c r="H16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61" s="898">
        <f>LEN(Table2[[#This Row],[(ft)]])</f>
        <v>1</v>
      </c>
      <c r="J161" s="898">
        <f>IF(Table2[[#This Row],[LOQ2]]="*",LEFT(Table2[[#This Row],[(ft)]],Table2[[#This Row],[length trimmed 1]]-1),Table2[[#This Row],[(ft)]])</f>
        <v>0</v>
      </c>
      <c r="K161" s="898">
        <f>IF(Table2[[#This Row],[MRL_text]]="","",Table2[[#This Row],[MRL_text]]*1)</f>
        <v>0</v>
      </c>
      <c r="L161" s="898" t="str">
        <f>IF(RIGHT(Table2[[#This Row],[(ft)]],1)="*","*","")</f>
        <v/>
      </c>
    </row>
    <row r="162" spans="1:12" ht="13.15" customHeight="1" x14ac:dyDescent="0.2">
      <c r="A162" s="1212">
        <v>251070</v>
      </c>
      <c r="B162" s="1212" t="s">
        <v>1453</v>
      </c>
      <c r="C162" s="1215" t="s">
        <v>1454</v>
      </c>
      <c r="D162" s="1231"/>
      <c r="E162" s="1249">
        <f>Table2[[#This Row],[MRL2]]</f>
        <v>0</v>
      </c>
      <c r="F162" s="1461" t="str">
        <f>Table2[[#This Row],[LOQ2]]</f>
        <v/>
      </c>
      <c r="G162" s="898">
        <f>LEN(Table2[[#This Row],[Please insert here the MRLs of COM database (use ''paste values'' function)]])</f>
        <v>0</v>
      </c>
      <c r="H16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62" s="898">
        <f>LEN(Table2[[#This Row],[(ft)]])</f>
        <v>1</v>
      </c>
      <c r="J162" s="898">
        <f>IF(Table2[[#This Row],[LOQ2]]="*",LEFT(Table2[[#This Row],[(ft)]],Table2[[#This Row],[length trimmed 1]]-1),Table2[[#This Row],[(ft)]])</f>
        <v>0</v>
      </c>
      <c r="K162" s="898">
        <f>IF(Table2[[#This Row],[MRL_text]]="","",Table2[[#This Row],[MRL_text]]*1)</f>
        <v>0</v>
      </c>
      <c r="L162" s="898" t="str">
        <f>IF(RIGHT(Table2[[#This Row],[(ft)]],1)="*","*","")</f>
        <v/>
      </c>
    </row>
    <row r="163" spans="1:12" ht="13.15" customHeight="1" x14ac:dyDescent="0.2">
      <c r="A163" s="1212">
        <v>251080</v>
      </c>
      <c r="B163" s="1212" t="s">
        <v>1455</v>
      </c>
      <c r="C163" s="1215" t="s">
        <v>1456</v>
      </c>
      <c r="D163" s="1231"/>
      <c r="E163" s="1249">
        <f>Table2[[#This Row],[MRL2]]</f>
        <v>0</v>
      </c>
      <c r="F163" s="1461" t="str">
        <f>Table2[[#This Row],[LOQ2]]</f>
        <v/>
      </c>
      <c r="G163" s="898">
        <f>LEN(Table2[[#This Row],[Please insert here the MRLs of COM database (use ''paste values'' function)]])</f>
        <v>0</v>
      </c>
      <c r="H16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63" s="898">
        <f>LEN(Table2[[#This Row],[(ft)]])</f>
        <v>1</v>
      </c>
      <c r="J163" s="898">
        <f>IF(Table2[[#This Row],[LOQ2]]="*",LEFT(Table2[[#This Row],[(ft)]],Table2[[#This Row],[length trimmed 1]]-1),Table2[[#This Row],[(ft)]])</f>
        <v>0</v>
      </c>
      <c r="K163" s="898">
        <f>IF(Table2[[#This Row],[MRL_text]]="","",Table2[[#This Row],[MRL_text]]*1)</f>
        <v>0</v>
      </c>
      <c r="L163" s="898" t="str">
        <f>IF(RIGHT(Table2[[#This Row],[(ft)]],1)="*","*","")</f>
        <v/>
      </c>
    </row>
    <row r="164" spans="1:12" ht="13.15" customHeight="1" x14ac:dyDescent="0.2">
      <c r="A164" s="1212">
        <v>251990</v>
      </c>
      <c r="B164" s="1212" t="s">
        <v>1457</v>
      </c>
      <c r="C164" s="1215" t="s">
        <v>1177</v>
      </c>
      <c r="D164" s="1231"/>
      <c r="E164" s="1249">
        <f>Table2[[#This Row],[MRL2]]</f>
        <v>0</v>
      </c>
      <c r="F164" s="1461" t="str">
        <f>Table2[[#This Row],[LOQ2]]</f>
        <v/>
      </c>
      <c r="G164" s="898">
        <f>LEN(Table2[[#This Row],[Please insert here the MRLs of COM database (use ''paste values'' function)]])</f>
        <v>0</v>
      </c>
      <c r="H16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64" s="898">
        <f>LEN(Table2[[#This Row],[(ft)]])</f>
        <v>1</v>
      </c>
      <c r="J164" s="898">
        <f>IF(Table2[[#This Row],[LOQ2]]="*",LEFT(Table2[[#This Row],[(ft)]],Table2[[#This Row],[length trimmed 1]]-1),Table2[[#This Row],[(ft)]])</f>
        <v>0</v>
      </c>
      <c r="K164" s="898">
        <f>IF(Table2[[#This Row],[MRL_text]]="","",Table2[[#This Row],[MRL_text]]*1)</f>
        <v>0</v>
      </c>
      <c r="L164" s="898" t="str">
        <f>IF(RIGHT(Table2[[#This Row],[(ft)]],1)="*","*","")</f>
        <v/>
      </c>
    </row>
    <row r="165" spans="1:12" ht="13.15" customHeight="1" x14ac:dyDescent="0.2">
      <c r="A165" s="1212">
        <v>252000</v>
      </c>
      <c r="B165" s="1212" t="s">
        <v>1458</v>
      </c>
      <c r="C165" s="1215" t="s">
        <v>1459</v>
      </c>
      <c r="D165" s="1231"/>
      <c r="E165" s="1247">
        <f>Table2[[#This Row],[MRL2]]</f>
        <v>0</v>
      </c>
      <c r="F165" s="1460" t="str">
        <f>Table2[[#This Row],[LOQ2]]</f>
        <v/>
      </c>
      <c r="G165" s="898">
        <f>LEN(Table2[[#This Row],[Please insert here the MRLs of COM database (use ''paste values'' function)]])</f>
        <v>0</v>
      </c>
      <c r="H16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65" s="898">
        <f>LEN(Table2[[#This Row],[(ft)]])</f>
        <v>1</v>
      </c>
      <c r="J165" s="898">
        <f>IF(Table2[[#This Row],[LOQ2]]="*",LEFT(Table2[[#This Row],[(ft)]],Table2[[#This Row],[length trimmed 1]]-1),Table2[[#This Row],[(ft)]])</f>
        <v>0</v>
      </c>
      <c r="K165" s="898">
        <f>IF(Table2[[#This Row],[MRL_text]]="","",Table2[[#This Row],[MRL_text]]*1)</f>
        <v>0</v>
      </c>
      <c r="L165" s="898" t="str">
        <f>IF(RIGHT(Table2[[#This Row],[(ft)]],1)="*","*","")</f>
        <v/>
      </c>
    </row>
    <row r="166" spans="1:12" ht="13.15" customHeight="1" x14ac:dyDescent="0.2">
      <c r="A166" s="1212">
        <v>252010</v>
      </c>
      <c r="B166" s="1212" t="s">
        <v>1460</v>
      </c>
      <c r="C166" s="1215" t="s">
        <v>1461</v>
      </c>
      <c r="D166" s="1231"/>
      <c r="E166" s="1249">
        <f>Table2[[#This Row],[MRL2]]</f>
        <v>0</v>
      </c>
      <c r="F166" s="1461" t="str">
        <f>Table2[[#This Row],[LOQ2]]</f>
        <v/>
      </c>
      <c r="G166" s="898">
        <f>LEN(Table2[[#This Row],[Please insert here the MRLs of COM database (use ''paste values'' function)]])</f>
        <v>0</v>
      </c>
      <c r="H16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66" s="898">
        <f>LEN(Table2[[#This Row],[(ft)]])</f>
        <v>1</v>
      </c>
      <c r="J166" s="898">
        <f>IF(Table2[[#This Row],[LOQ2]]="*",LEFT(Table2[[#This Row],[(ft)]],Table2[[#This Row],[length trimmed 1]]-1),Table2[[#This Row],[(ft)]])</f>
        <v>0</v>
      </c>
      <c r="K166" s="898">
        <f>IF(Table2[[#This Row],[MRL_text]]="","",Table2[[#This Row],[MRL_text]]*1)</f>
        <v>0</v>
      </c>
      <c r="L166" s="898" t="str">
        <f>IF(RIGHT(Table2[[#This Row],[(ft)]],1)="*","*","")</f>
        <v/>
      </c>
    </row>
    <row r="167" spans="1:12" ht="13.15" customHeight="1" x14ac:dyDescent="0.2">
      <c r="A167" s="1212">
        <v>252020</v>
      </c>
      <c r="B167" s="1212" t="s">
        <v>1462</v>
      </c>
      <c r="C167" s="1215" t="s">
        <v>1463</v>
      </c>
      <c r="D167" s="1231"/>
      <c r="E167" s="1249">
        <f>Table2[[#This Row],[MRL2]]</f>
        <v>0</v>
      </c>
      <c r="F167" s="1461" t="str">
        <f>Table2[[#This Row],[LOQ2]]</f>
        <v/>
      </c>
      <c r="G167" s="898">
        <f>LEN(Table2[[#This Row],[Please insert here the MRLs of COM database (use ''paste values'' function)]])</f>
        <v>0</v>
      </c>
      <c r="H16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67" s="898">
        <f>LEN(Table2[[#This Row],[(ft)]])</f>
        <v>1</v>
      </c>
      <c r="J167" s="898">
        <f>IF(Table2[[#This Row],[LOQ2]]="*",LEFT(Table2[[#This Row],[(ft)]],Table2[[#This Row],[length trimmed 1]]-1),Table2[[#This Row],[(ft)]])</f>
        <v>0</v>
      </c>
      <c r="K167" s="898">
        <f>IF(Table2[[#This Row],[MRL_text]]="","",Table2[[#This Row],[MRL_text]]*1)</f>
        <v>0</v>
      </c>
      <c r="L167" s="898" t="str">
        <f>IF(RIGHT(Table2[[#This Row],[(ft)]],1)="*","*","")</f>
        <v/>
      </c>
    </row>
    <row r="168" spans="1:12" ht="13.15" customHeight="1" x14ac:dyDescent="0.2">
      <c r="A168" s="1212">
        <v>252030</v>
      </c>
      <c r="B168" s="1212" t="s">
        <v>1464</v>
      </c>
      <c r="C168" s="1215" t="s">
        <v>1465</v>
      </c>
      <c r="D168" s="1231"/>
      <c r="E168" s="1249">
        <f>Table2[[#This Row],[MRL2]]</f>
        <v>0</v>
      </c>
      <c r="F168" s="1461" t="str">
        <f>Table2[[#This Row],[LOQ2]]</f>
        <v/>
      </c>
      <c r="G168" s="898">
        <f>LEN(Table2[[#This Row],[Please insert here the MRLs of COM database (use ''paste values'' function)]])</f>
        <v>0</v>
      </c>
      <c r="H16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68" s="898">
        <f>LEN(Table2[[#This Row],[(ft)]])</f>
        <v>1</v>
      </c>
      <c r="J168" s="898">
        <f>IF(Table2[[#This Row],[LOQ2]]="*",LEFT(Table2[[#This Row],[(ft)]],Table2[[#This Row],[length trimmed 1]]-1),Table2[[#This Row],[(ft)]])</f>
        <v>0</v>
      </c>
      <c r="K168" s="898">
        <f>IF(Table2[[#This Row],[MRL_text]]="","",Table2[[#This Row],[MRL_text]]*1)</f>
        <v>0</v>
      </c>
      <c r="L168" s="898" t="str">
        <f>IF(RIGHT(Table2[[#This Row],[(ft)]],1)="*","*","")</f>
        <v/>
      </c>
    </row>
    <row r="169" spans="1:12" ht="13.15" customHeight="1" x14ac:dyDescent="0.2">
      <c r="A169" s="1212">
        <v>252990</v>
      </c>
      <c r="B169" s="1212" t="s">
        <v>1466</v>
      </c>
      <c r="C169" s="1215" t="s">
        <v>1177</v>
      </c>
      <c r="D169" s="1231"/>
      <c r="E169" s="1249">
        <f>Table2[[#This Row],[MRL2]]</f>
        <v>0</v>
      </c>
      <c r="F169" s="1461" t="str">
        <f>Table2[[#This Row],[LOQ2]]</f>
        <v/>
      </c>
      <c r="G169" s="898">
        <f>LEN(Table2[[#This Row],[Please insert here the MRLs of COM database (use ''paste values'' function)]])</f>
        <v>0</v>
      </c>
      <c r="H16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69" s="898">
        <f>LEN(Table2[[#This Row],[(ft)]])</f>
        <v>1</v>
      </c>
      <c r="J169" s="898">
        <f>IF(Table2[[#This Row],[LOQ2]]="*",LEFT(Table2[[#This Row],[(ft)]],Table2[[#This Row],[length trimmed 1]]-1),Table2[[#This Row],[(ft)]])</f>
        <v>0</v>
      </c>
      <c r="K169" s="898">
        <f>IF(Table2[[#This Row],[MRL_text]]="","",Table2[[#This Row],[MRL_text]]*1)</f>
        <v>0</v>
      </c>
      <c r="L169" s="898" t="str">
        <f>IF(RIGHT(Table2[[#This Row],[(ft)]],1)="*","*","")</f>
        <v/>
      </c>
    </row>
    <row r="170" spans="1:12" ht="13.15" customHeight="1" x14ac:dyDescent="0.2">
      <c r="A170" s="1212">
        <v>253000</v>
      </c>
      <c r="B170" s="1212" t="s">
        <v>1467</v>
      </c>
      <c r="C170" s="1215" t="s">
        <v>1468</v>
      </c>
      <c r="D170" s="1231"/>
      <c r="E170" s="1249">
        <f>Table2[[#This Row],[MRL2]]</f>
        <v>0</v>
      </c>
      <c r="F170" s="1461" t="str">
        <f>Table2[[#This Row],[LOQ2]]</f>
        <v/>
      </c>
      <c r="G170" s="898">
        <f>LEN(Table2[[#This Row],[Please insert here the MRLs of COM database (use ''paste values'' function)]])</f>
        <v>0</v>
      </c>
      <c r="H17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70" s="898">
        <f>LEN(Table2[[#This Row],[(ft)]])</f>
        <v>1</v>
      </c>
      <c r="J170" s="898">
        <f>IF(Table2[[#This Row],[LOQ2]]="*",LEFT(Table2[[#This Row],[(ft)]],Table2[[#This Row],[length trimmed 1]]-1),Table2[[#This Row],[(ft)]])</f>
        <v>0</v>
      </c>
      <c r="K170" s="898">
        <f>IF(Table2[[#This Row],[MRL_text]]="","",Table2[[#This Row],[MRL_text]]*1)</f>
        <v>0</v>
      </c>
      <c r="L170" s="898" t="str">
        <f>IF(RIGHT(Table2[[#This Row],[(ft)]],1)="*","*","")</f>
        <v/>
      </c>
    </row>
    <row r="171" spans="1:12" ht="13.15" customHeight="1" x14ac:dyDescent="0.2">
      <c r="A171" s="1212">
        <v>254000</v>
      </c>
      <c r="B171" s="1212" t="s">
        <v>1469</v>
      </c>
      <c r="C171" s="1215" t="s">
        <v>1470</v>
      </c>
      <c r="D171" s="1231"/>
      <c r="E171" s="1249">
        <f>Table2[[#This Row],[MRL2]]</f>
        <v>0</v>
      </c>
      <c r="F171" s="1461" t="str">
        <f>Table2[[#This Row],[LOQ2]]</f>
        <v/>
      </c>
      <c r="G171" s="898">
        <f>LEN(Table2[[#This Row],[Please insert here the MRLs of COM database (use ''paste values'' function)]])</f>
        <v>0</v>
      </c>
      <c r="H17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71" s="898">
        <f>LEN(Table2[[#This Row],[(ft)]])</f>
        <v>1</v>
      </c>
      <c r="J171" s="898">
        <f>IF(Table2[[#This Row],[LOQ2]]="*",LEFT(Table2[[#This Row],[(ft)]],Table2[[#This Row],[length trimmed 1]]-1),Table2[[#This Row],[(ft)]])</f>
        <v>0</v>
      </c>
      <c r="K171" s="898">
        <f>IF(Table2[[#This Row],[MRL_text]]="","",Table2[[#This Row],[MRL_text]]*1)</f>
        <v>0</v>
      </c>
      <c r="L171" s="898" t="str">
        <f>IF(RIGHT(Table2[[#This Row],[(ft)]],1)="*","*","")</f>
        <v/>
      </c>
    </row>
    <row r="172" spans="1:12" ht="13.15" customHeight="1" x14ac:dyDescent="0.2">
      <c r="A172" s="1212">
        <v>255000</v>
      </c>
      <c r="B172" s="1212" t="s">
        <v>1471</v>
      </c>
      <c r="C172" s="1215" t="s">
        <v>1472</v>
      </c>
      <c r="D172" s="1231"/>
      <c r="E172" s="1249">
        <f>Table2[[#This Row],[MRL2]]</f>
        <v>0</v>
      </c>
      <c r="F172" s="1461" t="str">
        <f>Table2[[#This Row],[LOQ2]]</f>
        <v/>
      </c>
      <c r="G172" s="898">
        <f>LEN(Table2[[#This Row],[Please insert here the MRLs of COM database (use ''paste values'' function)]])</f>
        <v>0</v>
      </c>
      <c r="H17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72" s="898">
        <f>LEN(Table2[[#This Row],[(ft)]])</f>
        <v>1</v>
      </c>
      <c r="J172" s="898">
        <f>IF(Table2[[#This Row],[LOQ2]]="*",LEFT(Table2[[#This Row],[(ft)]],Table2[[#This Row],[length trimmed 1]]-1),Table2[[#This Row],[(ft)]])</f>
        <v>0</v>
      </c>
      <c r="K172" s="898">
        <f>IF(Table2[[#This Row],[MRL_text]]="","",Table2[[#This Row],[MRL_text]]*1)</f>
        <v>0</v>
      </c>
      <c r="L172" s="898" t="str">
        <f>IF(RIGHT(Table2[[#This Row],[(ft)]],1)="*","*","")</f>
        <v/>
      </c>
    </row>
    <row r="173" spans="1:12" ht="13.15" customHeight="1" x14ac:dyDescent="0.2">
      <c r="A173" s="1212">
        <v>256000</v>
      </c>
      <c r="B173" s="1212" t="s">
        <v>1473</v>
      </c>
      <c r="C173" s="1215" t="s">
        <v>1474</v>
      </c>
      <c r="D173" s="1231"/>
      <c r="E173" s="1247">
        <f>Table2[[#This Row],[MRL2]]</f>
        <v>0</v>
      </c>
      <c r="F173" s="1460" t="str">
        <f>Table2[[#This Row],[LOQ2]]</f>
        <v/>
      </c>
      <c r="G173" s="898">
        <f>LEN(Table2[[#This Row],[Please insert here the MRLs of COM database (use ''paste values'' function)]])</f>
        <v>0</v>
      </c>
      <c r="H17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73" s="898">
        <f>LEN(Table2[[#This Row],[(ft)]])</f>
        <v>1</v>
      </c>
      <c r="J173" s="898">
        <f>IF(Table2[[#This Row],[LOQ2]]="*",LEFT(Table2[[#This Row],[(ft)]],Table2[[#This Row],[length trimmed 1]]-1),Table2[[#This Row],[(ft)]])</f>
        <v>0</v>
      </c>
      <c r="K173" s="898">
        <f>IF(Table2[[#This Row],[MRL_text]]="","",Table2[[#This Row],[MRL_text]]*1)</f>
        <v>0</v>
      </c>
      <c r="L173" s="898" t="str">
        <f>IF(RIGHT(Table2[[#This Row],[(ft)]],1)="*","*","")</f>
        <v/>
      </c>
    </row>
    <row r="174" spans="1:12" ht="13.15" customHeight="1" x14ac:dyDescent="0.2">
      <c r="A174" s="1212">
        <v>256010</v>
      </c>
      <c r="B174" s="1212" t="s">
        <v>1475</v>
      </c>
      <c r="C174" s="1215" t="s">
        <v>1476</v>
      </c>
      <c r="D174" s="1231"/>
      <c r="E174" s="1249">
        <f>Table2[[#This Row],[MRL2]]</f>
        <v>0</v>
      </c>
      <c r="F174" s="1461" t="str">
        <f>Table2[[#This Row],[LOQ2]]</f>
        <v/>
      </c>
      <c r="G174" s="898">
        <f>LEN(Table2[[#This Row],[Please insert here the MRLs of COM database (use ''paste values'' function)]])</f>
        <v>0</v>
      </c>
      <c r="H17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74" s="898">
        <f>LEN(Table2[[#This Row],[(ft)]])</f>
        <v>1</v>
      </c>
      <c r="J174" s="898">
        <f>IF(Table2[[#This Row],[LOQ2]]="*",LEFT(Table2[[#This Row],[(ft)]],Table2[[#This Row],[length trimmed 1]]-1),Table2[[#This Row],[(ft)]])</f>
        <v>0</v>
      </c>
      <c r="K174" s="898">
        <f>IF(Table2[[#This Row],[MRL_text]]="","",Table2[[#This Row],[MRL_text]]*1)</f>
        <v>0</v>
      </c>
      <c r="L174" s="898" t="str">
        <f>IF(RIGHT(Table2[[#This Row],[(ft)]],1)="*","*","")</f>
        <v/>
      </c>
    </row>
    <row r="175" spans="1:12" ht="13.15" customHeight="1" x14ac:dyDescent="0.2">
      <c r="A175" s="1212">
        <v>256020</v>
      </c>
      <c r="B175" s="1212" t="s">
        <v>1477</v>
      </c>
      <c r="C175" s="1215" t="s">
        <v>1478</v>
      </c>
      <c r="D175" s="1231"/>
      <c r="E175" s="1249">
        <f>Table2[[#This Row],[MRL2]]</f>
        <v>0</v>
      </c>
      <c r="F175" s="1461" t="str">
        <f>Table2[[#This Row],[LOQ2]]</f>
        <v/>
      </c>
      <c r="G175" s="898">
        <f>LEN(Table2[[#This Row],[Please insert here the MRLs of COM database (use ''paste values'' function)]])</f>
        <v>0</v>
      </c>
      <c r="H17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75" s="898">
        <f>LEN(Table2[[#This Row],[(ft)]])</f>
        <v>1</v>
      </c>
      <c r="J175" s="898">
        <f>IF(Table2[[#This Row],[LOQ2]]="*",LEFT(Table2[[#This Row],[(ft)]],Table2[[#This Row],[length trimmed 1]]-1),Table2[[#This Row],[(ft)]])</f>
        <v>0</v>
      </c>
      <c r="K175" s="898">
        <f>IF(Table2[[#This Row],[MRL_text]]="","",Table2[[#This Row],[MRL_text]]*1)</f>
        <v>0</v>
      </c>
      <c r="L175" s="898" t="str">
        <f>IF(RIGHT(Table2[[#This Row],[(ft)]],1)="*","*","")</f>
        <v/>
      </c>
    </row>
    <row r="176" spans="1:12" ht="13.15" customHeight="1" x14ac:dyDescent="0.2">
      <c r="A176" s="1212">
        <v>256030</v>
      </c>
      <c r="B176" s="1212" t="s">
        <v>1479</v>
      </c>
      <c r="C176" s="1215" t="s">
        <v>1480</v>
      </c>
      <c r="D176" s="1231"/>
      <c r="E176" s="1249">
        <f>Table2[[#This Row],[MRL2]]</f>
        <v>0</v>
      </c>
      <c r="F176" s="1461" t="str">
        <f>Table2[[#This Row],[LOQ2]]</f>
        <v/>
      </c>
      <c r="G176" s="898">
        <f>LEN(Table2[[#This Row],[Please insert here the MRLs of COM database (use ''paste values'' function)]])</f>
        <v>0</v>
      </c>
      <c r="H17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76" s="898">
        <f>LEN(Table2[[#This Row],[(ft)]])</f>
        <v>1</v>
      </c>
      <c r="J176" s="898">
        <f>IF(Table2[[#This Row],[LOQ2]]="*",LEFT(Table2[[#This Row],[(ft)]],Table2[[#This Row],[length trimmed 1]]-1),Table2[[#This Row],[(ft)]])</f>
        <v>0</v>
      </c>
      <c r="K176" s="898">
        <f>IF(Table2[[#This Row],[MRL_text]]="","",Table2[[#This Row],[MRL_text]]*1)</f>
        <v>0</v>
      </c>
      <c r="L176" s="898" t="str">
        <f>IF(RIGHT(Table2[[#This Row],[(ft)]],1)="*","*","")</f>
        <v/>
      </c>
    </row>
    <row r="177" spans="1:12" ht="13.15" customHeight="1" x14ac:dyDescent="0.2">
      <c r="A177" s="1212">
        <v>256040</v>
      </c>
      <c r="B177" s="1212" t="s">
        <v>1481</v>
      </c>
      <c r="C177" s="1215" t="s">
        <v>1482</v>
      </c>
      <c r="D177" s="1231"/>
      <c r="E177" s="1249">
        <f>Table2[[#This Row],[MRL2]]</f>
        <v>0</v>
      </c>
      <c r="F177" s="1461" t="str">
        <f>Table2[[#This Row],[LOQ2]]</f>
        <v/>
      </c>
      <c r="G177" s="898">
        <f>LEN(Table2[[#This Row],[Please insert here the MRLs of COM database (use ''paste values'' function)]])</f>
        <v>0</v>
      </c>
      <c r="H17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77" s="898">
        <f>LEN(Table2[[#This Row],[(ft)]])</f>
        <v>1</v>
      </c>
      <c r="J177" s="898">
        <f>IF(Table2[[#This Row],[LOQ2]]="*",LEFT(Table2[[#This Row],[(ft)]],Table2[[#This Row],[length trimmed 1]]-1),Table2[[#This Row],[(ft)]])</f>
        <v>0</v>
      </c>
      <c r="K177" s="898">
        <f>IF(Table2[[#This Row],[MRL_text]]="","",Table2[[#This Row],[MRL_text]]*1)</f>
        <v>0</v>
      </c>
      <c r="L177" s="898" t="str">
        <f>IF(RIGHT(Table2[[#This Row],[(ft)]],1)="*","*","")</f>
        <v/>
      </c>
    </row>
    <row r="178" spans="1:12" ht="13.15" customHeight="1" x14ac:dyDescent="0.2">
      <c r="A178" s="1212">
        <v>256050</v>
      </c>
      <c r="B178" s="1212" t="s">
        <v>1483</v>
      </c>
      <c r="C178" s="1215" t="s">
        <v>1484</v>
      </c>
      <c r="D178" s="1231"/>
      <c r="E178" s="1249">
        <f>Table2[[#This Row],[MRL2]]</f>
        <v>0</v>
      </c>
      <c r="F178" s="1461" t="str">
        <f>Table2[[#This Row],[LOQ2]]</f>
        <v/>
      </c>
      <c r="G178" s="898">
        <f>LEN(Table2[[#This Row],[Please insert here the MRLs of COM database (use ''paste values'' function)]])</f>
        <v>0</v>
      </c>
      <c r="H17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78" s="898">
        <f>LEN(Table2[[#This Row],[(ft)]])</f>
        <v>1</v>
      </c>
      <c r="J178" s="898">
        <f>IF(Table2[[#This Row],[LOQ2]]="*",LEFT(Table2[[#This Row],[(ft)]],Table2[[#This Row],[length trimmed 1]]-1),Table2[[#This Row],[(ft)]])</f>
        <v>0</v>
      </c>
      <c r="K178" s="898">
        <f>IF(Table2[[#This Row],[MRL_text]]="","",Table2[[#This Row],[MRL_text]]*1)</f>
        <v>0</v>
      </c>
      <c r="L178" s="898" t="str">
        <f>IF(RIGHT(Table2[[#This Row],[(ft)]],1)="*","*","")</f>
        <v/>
      </c>
    </row>
    <row r="179" spans="1:12" ht="13.15" customHeight="1" x14ac:dyDescent="0.2">
      <c r="A179" s="1212">
        <v>256060</v>
      </c>
      <c r="B179" s="1212" t="s">
        <v>1485</v>
      </c>
      <c r="C179" s="1215" t="s">
        <v>1486</v>
      </c>
      <c r="D179" s="1231"/>
      <c r="E179" s="1249">
        <f>Table2[[#This Row],[MRL2]]</f>
        <v>0</v>
      </c>
      <c r="F179" s="1461" t="str">
        <f>Table2[[#This Row],[LOQ2]]</f>
        <v/>
      </c>
      <c r="G179" s="898">
        <f>LEN(Table2[[#This Row],[Please insert here the MRLs of COM database (use ''paste values'' function)]])</f>
        <v>0</v>
      </c>
      <c r="H17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79" s="898">
        <f>LEN(Table2[[#This Row],[(ft)]])</f>
        <v>1</v>
      </c>
      <c r="J179" s="898">
        <f>IF(Table2[[#This Row],[LOQ2]]="*",LEFT(Table2[[#This Row],[(ft)]],Table2[[#This Row],[length trimmed 1]]-1),Table2[[#This Row],[(ft)]])</f>
        <v>0</v>
      </c>
      <c r="K179" s="898">
        <f>IF(Table2[[#This Row],[MRL_text]]="","",Table2[[#This Row],[MRL_text]]*1)</f>
        <v>0</v>
      </c>
      <c r="L179" s="898" t="str">
        <f>IF(RIGHT(Table2[[#This Row],[(ft)]],1)="*","*","")</f>
        <v/>
      </c>
    </row>
    <row r="180" spans="1:12" ht="13.15" customHeight="1" x14ac:dyDescent="0.2">
      <c r="A180" s="1212">
        <v>256070</v>
      </c>
      <c r="B180" s="1212" t="s">
        <v>1487</v>
      </c>
      <c r="C180" s="1215" t="s">
        <v>1488</v>
      </c>
      <c r="D180" s="1231"/>
      <c r="E180" s="1249">
        <f>Table2[[#This Row],[MRL2]]</f>
        <v>0</v>
      </c>
      <c r="F180" s="1461" t="str">
        <f>Table2[[#This Row],[LOQ2]]</f>
        <v/>
      </c>
      <c r="G180" s="898">
        <f>LEN(Table2[[#This Row],[Please insert here the MRLs of COM database (use ''paste values'' function)]])</f>
        <v>0</v>
      </c>
      <c r="H18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80" s="898">
        <f>LEN(Table2[[#This Row],[(ft)]])</f>
        <v>1</v>
      </c>
      <c r="J180" s="898">
        <f>IF(Table2[[#This Row],[LOQ2]]="*",LEFT(Table2[[#This Row],[(ft)]],Table2[[#This Row],[length trimmed 1]]-1),Table2[[#This Row],[(ft)]])</f>
        <v>0</v>
      </c>
      <c r="K180" s="898">
        <f>IF(Table2[[#This Row],[MRL_text]]="","",Table2[[#This Row],[MRL_text]]*1)</f>
        <v>0</v>
      </c>
      <c r="L180" s="898" t="str">
        <f>IF(RIGHT(Table2[[#This Row],[(ft)]],1)="*","*","")</f>
        <v/>
      </c>
    </row>
    <row r="181" spans="1:12" ht="13.15" customHeight="1" x14ac:dyDescent="0.2">
      <c r="A181" s="1212">
        <v>256080</v>
      </c>
      <c r="B181" s="1212" t="s">
        <v>1489</v>
      </c>
      <c r="C181" s="1215" t="s">
        <v>1490</v>
      </c>
      <c r="D181" s="1231"/>
      <c r="E181" s="1249">
        <f>Table2[[#This Row],[MRL2]]</f>
        <v>0</v>
      </c>
      <c r="F181" s="1461" t="str">
        <f>Table2[[#This Row],[LOQ2]]</f>
        <v/>
      </c>
      <c r="G181" s="898">
        <f>LEN(Table2[[#This Row],[Please insert here the MRLs of COM database (use ''paste values'' function)]])</f>
        <v>0</v>
      </c>
      <c r="H18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81" s="898">
        <f>LEN(Table2[[#This Row],[(ft)]])</f>
        <v>1</v>
      </c>
      <c r="J181" s="898">
        <f>IF(Table2[[#This Row],[LOQ2]]="*",LEFT(Table2[[#This Row],[(ft)]],Table2[[#This Row],[length trimmed 1]]-1),Table2[[#This Row],[(ft)]])</f>
        <v>0</v>
      </c>
      <c r="K181" s="898">
        <f>IF(Table2[[#This Row],[MRL_text]]="","",Table2[[#This Row],[MRL_text]]*1)</f>
        <v>0</v>
      </c>
      <c r="L181" s="898" t="str">
        <f>IF(RIGHT(Table2[[#This Row],[(ft)]],1)="*","*","")</f>
        <v/>
      </c>
    </row>
    <row r="182" spans="1:12" ht="13.15" customHeight="1" x14ac:dyDescent="0.2">
      <c r="A182" s="1212">
        <v>256090</v>
      </c>
      <c r="B182" s="1212" t="s">
        <v>1491</v>
      </c>
      <c r="C182" s="1215" t="s">
        <v>1492</v>
      </c>
      <c r="D182" s="1231"/>
      <c r="E182" s="1249">
        <f>Table2[[#This Row],[MRL2]]</f>
        <v>0</v>
      </c>
      <c r="F182" s="1461" t="str">
        <f>Table2[[#This Row],[LOQ2]]</f>
        <v/>
      </c>
      <c r="G182" s="898">
        <f>LEN(Table2[[#This Row],[Please insert here the MRLs of COM database (use ''paste values'' function)]])</f>
        <v>0</v>
      </c>
      <c r="H18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82" s="898">
        <f>LEN(Table2[[#This Row],[(ft)]])</f>
        <v>1</v>
      </c>
      <c r="J182" s="898">
        <f>IF(Table2[[#This Row],[LOQ2]]="*",LEFT(Table2[[#This Row],[(ft)]],Table2[[#This Row],[length trimmed 1]]-1),Table2[[#This Row],[(ft)]])</f>
        <v>0</v>
      </c>
      <c r="K182" s="898">
        <f>IF(Table2[[#This Row],[MRL_text]]="","",Table2[[#This Row],[MRL_text]]*1)</f>
        <v>0</v>
      </c>
      <c r="L182" s="898" t="str">
        <f>IF(RIGHT(Table2[[#This Row],[(ft)]],1)="*","*","")</f>
        <v/>
      </c>
    </row>
    <row r="183" spans="1:12" ht="13.15" customHeight="1" x14ac:dyDescent="0.2">
      <c r="A183" s="1212">
        <v>256100</v>
      </c>
      <c r="B183" s="1212" t="s">
        <v>1493</v>
      </c>
      <c r="C183" s="1215" t="s">
        <v>1494</v>
      </c>
      <c r="D183" s="1231"/>
      <c r="E183" s="1249">
        <f>Table2[[#This Row],[MRL2]]</f>
        <v>0</v>
      </c>
      <c r="F183" s="1461" t="str">
        <f>Table2[[#This Row],[LOQ2]]</f>
        <v/>
      </c>
      <c r="G183" s="898">
        <f>LEN(Table2[[#This Row],[Please insert here the MRLs of COM database (use ''paste values'' function)]])</f>
        <v>0</v>
      </c>
      <c r="H18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83" s="898">
        <f>LEN(Table2[[#This Row],[(ft)]])</f>
        <v>1</v>
      </c>
      <c r="J183" s="898">
        <f>IF(Table2[[#This Row],[LOQ2]]="*",LEFT(Table2[[#This Row],[(ft)]],Table2[[#This Row],[length trimmed 1]]-1),Table2[[#This Row],[(ft)]])</f>
        <v>0</v>
      </c>
      <c r="K183" s="898">
        <f>IF(Table2[[#This Row],[MRL_text]]="","",Table2[[#This Row],[MRL_text]]*1)</f>
        <v>0</v>
      </c>
      <c r="L183" s="898" t="str">
        <f>IF(RIGHT(Table2[[#This Row],[(ft)]],1)="*","*","")</f>
        <v/>
      </c>
    </row>
    <row r="184" spans="1:12" ht="13.15" customHeight="1" x14ac:dyDescent="0.2">
      <c r="A184" s="1212">
        <v>256990</v>
      </c>
      <c r="B184" s="1212" t="s">
        <v>1495</v>
      </c>
      <c r="C184" s="1215" t="s">
        <v>1177</v>
      </c>
      <c r="D184" s="1231"/>
      <c r="E184" s="1249">
        <f>Table2[[#This Row],[MRL2]]</f>
        <v>0</v>
      </c>
      <c r="F184" s="1461" t="str">
        <f>Table2[[#This Row],[LOQ2]]</f>
        <v/>
      </c>
      <c r="G184" s="898">
        <f>LEN(Table2[[#This Row],[Please insert here the MRLs of COM database (use ''paste values'' function)]])</f>
        <v>0</v>
      </c>
      <c r="H18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84" s="898">
        <f>LEN(Table2[[#This Row],[(ft)]])</f>
        <v>1</v>
      </c>
      <c r="J184" s="898">
        <f>IF(Table2[[#This Row],[LOQ2]]="*",LEFT(Table2[[#This Row],[(ft)]],Table2[[#This Row],[length trimmed 1]]-1),Table2[[#This Row],[(ft)]])</f>
        <v>0</v>
      </c>
      <c r="K184" s="898">
        <f>IF(Table2[[#This Row],[MRL_text]]="","",Table2[[#This Row],[MRL_text]]*1)</f>
        <v>0</v>
      </c>
      <c r="L184" s="898" t="str">
        <f>IF(RIGHT(Table2[[#This Row],[(ft)]],1)="*","*","")</f>
        <v/>
      </c>
    </row>
    <row r="185" spans="1:12" ht="13.15" customHeight="1" x14ac:dyDescent="0.2">
      <c r="A185" s="1211">
        <v>260000</v>
      </c>
      <c r="B185" s="1211" t="s">
        <v>1496</v>
      </c>
      <c r="C185" s="1236" t="s">
        <v>1497</v>
      </c>
      <c r="D185" s="1230"/>
      <c r="E185" s="1247">
        <f>Table2[[#This Row],[MRL2]]</f>
        <v>0</v>
      </c>
      <c r="F185" s="1460" t="str">
        <f>Table2[[#This Row],[LOQ2]]</f>
        <v/>
      </c>
      <c r="G185" s="898">
        <f>LEN(Table2[[#This Row],[Please insert here the MRLs of COM database (use ''paste values'' function)]])</f>
        <v>0</v>
      </c>
      <c r="H18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85" s="898">
        <f>LEN(Table2[[#This Row],[(ft)]])</f>
        <v>1</v>
      </c>
      <c r="J185" s="898">
        <f>IF(Table2[[#This Row],[LOQ2]]="*",LEFT(Table2[[#This Row],[(ft)]],Table2[[#This Row],[length trimmed 1]]-1),Table2[[#This Row],[(ft)]])</f>
        <v>0</v>
      </c>
      <c r="K185" s="898">
        <f>IF(Table2[[#This Row],[MRL_text]]="","",Table2[[#This Row],[MRL_text]]*1)</f>
        <v>0</v>
      </c>
      <c r="L185" s="898" t="str">
        <f>IF(RIGHT(Table2[[#This Row],[(ft)]],1)="*","*","")</f>
        <v/>
      </c>
    </row>
    <row r="186" spans="1:12" ht="13.15" customHeight="1" x14ac:dyDescent="0.2">
      <c r="A186" s="1212">
        <v>260010</v>
      </c>
      <c r="B186" s="1212" t="s">
        <v>1498</v>
      </c>
      <c r="C186" s="1215" t="s">
        <v>1499</v>
      </c>
      <c r="D186" s="1231"/>
      <c r="E186" s="1249">
        <f>Table2[[#This Row],[MRL2]]</f>
        <v>0</v>
      </c>
      <c r="F186" s="1461" t="str">
        <f>Table2[[#This Row],[LOQ2]]</f>
        <v/>
      </c>
      <c r="G186" s="898">
        <f>LEN(Table2[[#This Row],[Please insert here the MRLs of COM database (use ''paste values'' function)]])</f>
        <v>0</v>
      </c>
      <c r="H18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86" s="898">
        <f>LEN(Table2[[#This Row],[(ft)]])</f>
        <v>1</v>
      </c>
      <c r="J186" s="898">
        <f>IF(Table2[[#This Row],[LOQ2]]="*",LEFT(Table2[[#This Row],[(ft)]],Table2[[#This Row],[length trimmed 1]]-1),Table2[[#This Row],[(ft)]])</f>
        <v>0</v>
      </c>
      <c r="K186" s="898">
        <f>IF(Table2[[#This Row],[MRL_text]]="","",Table2[[#This Row],[MRL_text]]*1)</f>
        <v>0</v>
      </c>
      <c r="L186" s="898" t="str">
        <f>IF(RIGHT(Table2[[#This Row],[(ft)]],1)="*","*","")</f>
        <v/>
      </c>
    </row>
    <row r="187" spans="1:12" ht="13.15" customHeight="1" x14ac:dyDescent="0.2">
      <c r="A187" s="1212">
        <v>260020</v>
      </c>
      <c r="B187" s="1212" t="s">
        <v>1500</v>
      </c>
      <c r="C187" s="1215" t="s">
        <v>1501</v>
      </c>
      <c r="D187" s="1231"/>
      <c r="E187" s="1249">
        <f>Table2[[#This Row],[MRL2]]</f>
        <v>0</v>
      </c>
      <c r="F187" s="1461" t="str">
        <f>Table2[[#This Row],[LOQ2]]</f>
        <v/>
      </c>
      <c r="G187" s="898">
        <f>LEN(Table2[[#This Row],[Please insert here the MRLs of COM database (use ''paste values'' function)]])</f>
        <v>0</v>
      </c>
      <c r="H18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87" s="898">
        <f>LEN(Table2[[#This Row],[(ft)]])</f>
        <v>1</v>
      </c>
      <c r="J187" s="898">
        <f>IF(Table2[[#This Row],[LOQ2]]="*",LEFT(Table2[[#This Row],[(ft)]],Table2[[#This Row],[length trimmed 1]]-1),Table2[[#This Row],[(ft)]])</f>
        <v>0</v>
      </c>
      <c r="K187" s="898">
        <f>IF(Table2[[#This Row],[MRL_text]]="","",Table2[[#This Row],[MRL_text]]*1)</f>
        <v>0</v>
      </c>
      <c r="L187" s="898" t="str">
        <f>IF(RIGHT(Table2[[#This Row],[(ft)]],1)="*","*","")</f>
        <v/>
      </c>
    </row>
    <row r="188" spans="1:12" ht="13.15" customHeight="1" x14ac:dyDescent="0.2">
      <c r="A188" s="1212">
        <v>260030</v>
      </c>
      <c r="B188" s="1212" t="s">
        <v>1502</v>
      </c>
      <c r="C188" s="1215" t="s">
        <v>1503</v>
      </c>
      <c r="D188" s="1231"/>
      <c r="E188" s="1249">
        <f>Table2[[#This Row],[MRL2]]</f>
        <v>0</v>
      </c>
      <c r="F188" s="1461" t="str">
        <f>Table2[[#This Row],[LOQ2]]</f>
        <v/>
      </c>
      <c r="G188" s="898">
        <f>LEN(Table2[[#This Row],[Please insert here the MRLs of COM database (use ''paste values'' function)]])</f>
        <v>0</v>
      </c>
      <c r="H18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88" s="898">
        <f>LEN(Table2[[#This Row],[(ft)]])</f>
        <v>1</v>
      </c>
      <c r="J188" s="898">
        <f>IF(Table2[[#This Row],[LOQ2]]="*",LEFT(Table2[[#This Row],[(ft)]],Table2[[#This Row],[length trimmed 1]]-1),Table2[[#This Row],[(ft)]])</f>
        <v>0</v>
      </c>
      <c r="K188" s="898">
        <f>IF(Table2[[#This Row],[MRL_text]]="","",Table2[[#This Row],[MRL_text]]*1)</f>
        <v>0</v>
      </c>
      <c r="L188" s="898" t="str">
        <f>IF(RIGHT(Table2[[#This Row],[(ft)]],1)="*","*","")</f>
        <v/>
      </c>
    </row>
    <row r="189" spans="1:12" ht="13.15" customHeight="1" x14ac:dyDescent="0.2">
      <c r="A189" s="1212">
        <v>260040</v>
      </c>
      <c r="B189" s="1212" t="s">
        <v>1504</v>
      </c>
      <c r="C189" s="1215" t="s">
        <v>1505</v>
      </c>
      <c r="D189" s="1231"/>
      <c r="E189" s="1249">
        <f>Table2[[#This Row],[MRL2]]</f>
        <v>0</v>
      </c>
      <c r="F189" s="1461" t="str">
        <f>Table2[[#This Row],[LOQ2]]</f>
        <v/>
      </c>
      <c r="G189" s="898">
        <f>LEN(Table2[[#This Row],[Please insert here the MRLs of COM database (use ''paste values'' function)]])</f>
        <v>0</v>
      </c>
      <c r="H18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89" s="898">
        <f>LEN(Table2[[#This Row],[(ft)]])</f>
        <v>1</v>
      </c>
      <c r="J189" s="898">
        <f>IF(Table2[[#This Row],[LOQ2]]="*",LEFT(Table2[[#This Row],[(ft)]],Table2[[#This Row],[length trimmed 1]]-1),Table2[[#This Row],[(ft)]])</f>
        <v>0</v>
      </c>
      <c r="K189" s="898">
        <f>IF(Table2[[#This Row],[MRL_text]]="","",Table2[[#This Row],[MRL_text]]*1)</f>
        <v>0</v>
      </c>
      <c r="L189" s="898" t="str">
        <f>IF(RIGHT(Table2[[#This Row],[(ft)]],1)="*","*","")</f>
        <v/>
      </c>
    </row>
    <row r="190" spans="1:12" ht="13.15" customHeight="1" x14ac:dyDescent="0.2">
      <c r="A190" s="1212">
        <v>260050</v>
      </c>
      <c r="B190" s="1212" t="s">
        <v>1506</v>
      </c>
      <c r="C190" s="1215" t="s">
        <v>1507</v>
      </c>
      <c r="D190" s="1231"/>
      <c r="E190" s="1249">
        <f>Table2[[#This Row],[MRL2]]</f>
        <v>0</v>
      </c>
      <c r="F190" s="1461" t="str">
        <f>Table2[[#This Row],[LOQ2]]</f>
        <v/>
      </c>
      <c r="G190" s="898">
        <f>LEN(Table2[[#This Row],[Please insert here the MRLs of COM database (use ''paste values'' function)]])</f>
        <v>0</v>
      </c>
      <c r="H19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90" s="898">
        <f>LEN(Table2[[#This Row],[(ft)]])</f>
        <v>1</v>
      </c>
      <c r="J190" s="898">
        <f>IF(Table2[[#This Row],[LOQ2]]="*",LEFT(Table2[[#This Row],[(ft)]],Table2[[#This Row],[length trimmed 1]]-1),Table2[[#This Row],[(ft)]])</f>
        <v>0</v>
      </c>
      <c r="K190" s="898">
        <f>IF(Table2[[#This Row],[MRL_text]]="","",Table2[[#This Row],[MRL_text]]*1)</f>
        <v>0</v>
      </c>
      <c r="L190" s="898" t="str">
        <f>IF(RIGHT(Table2[[#This Row],[(ft)]],1)="*","*","")</f>
        <v/>
      </c>
    </row>
    <row r="191" spans="1:12" ht="13.15" customHeight="1" x14ac:dyDescent="0.2">
      <c r="A191" s="1212">
        <v>260990</v>
      </c>
      <c r="B191" s="1212" t="s">
        <v>1508</v>
      </c>
      <c r="C191" s="1215" t="s">
        <v>1177</v>
      </c>
      <c r="D191" s="1231"/>
      <c r="E191" s="1249">
        <f>Table2[[#This Row],[MRL2]]</f>
        <v>0</v>
      </c>
      <c r="F191" s="1461" t="str">
        <f>Table2[[#This Row],[LOQ2]]</f>
        <v/>
      </c>
      <c r="G191" s="898">
        <f>LEN(Table2[[#This Row],[Please insert here the MRLs of COM database (use ''paste values'' function)]])</f>
        <v>0</v>
      </c>
      <c r="H19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91" s="898">
        <f>LEN(Table2[[#This Row],[(ft)]])</f>
        <v>1</v>
      </c>
      <c r="J191" s="898">
        <f>IF(Table2[[#This Row],[LOQ2]]="*",LEFT(Table2[[#This Row],[(ft)]],Table2[[#This Row],[length trimmed 1]]-1),Table2[[#This Row],[(ft)]])</f>
        <v>0</v>
      </c>
      <c r="K191" s="898">
        <f>IF(Table2[[#This Row],[MRL_text]]="","",Table2[[#This Row],[MRL_text]]*1)</f>
        <v>0</v>
      </c>
      <c r="L191" s="898" t="str">
        <f>IF(RIGHT(Table2[[#This Row],[(ft)]],1)="*","*","")</f>
        <v/>
      </c>
    </row>
    <row r="192" spans="1:12" ht="13.15" customHeight="1" x14ac:dyDescent="0.2">
      <c r="A192" s="1211">
        <v>270000</v>
      </c>
      <c r="B192" s="1211" t="s">
        <v>1509</v>
      </c>
      <c r="C192" s="1236" t="s">
        <v>1510</v>
      </c>
      <c r="D192" s="1230"/>
      <c r="E192" s="1247">
        <f>Table2[[#This Row],[MRL2]]</f>
        <v>0</v>
      </c>
      <c r="F192" s="1460" t="str">
        <f>Table2[[#This Row],[LOQ2]]</f>
        <v/>
      </c>
      <c r="G192" s="898">
        <f>LEN(Table2[[#This Row],[Please insert here the MRLs of COM database (use ''paste values'' function)]])</f>
        <v>0</v>
      </c>
      <c r="H19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92" s="898">
        <f>LEN(Table2[[#This Row],[(ft)]])</f>
        <v>1</v>
      </c>
      <c r="J192" s="898">
        <f>IF(Table2[[#This Row],[LOQ2]]="*",LEFT(Table2[[#This Row],[(ft)]],Table2[[#This Row],[length trimmed 1]]-1),Table2[[#This Row],[(ft)]])</f>
        <v>0</v>
      </c>
      <c r="K192" s="898">
        <f>IF(Table2[[#This Row],[MRL_text]]="","",Table2[[#This Row],[MRL_text]]*1)</f>
        <v>0</v>
      </c>
      <c r="L192" s="898" t="str">
        <f>IF(RIGHT(Table2[[#This Row],[(ft)]],1)="*","*","")</f>
        <v/>
      </c>
    </row>
    <row r="193" spans="1:12" ht="13.15" customHeight="1" x14ac:dyDescent="0.2">
      <c r="A193" s="1212">
        <v>270010</v>
      </c>
      <c r="B193" s="1212" t="s">
        <v>1511</v>
      </c>
      <c r="C193" s="1215" t="s">
        <v>1512</v>
      </c>
      <c r="D193" s="1231"/>
      <c r="E193" s="1249">
        <f>Table2[[#This Row],[MRL2]]</f>
        <v>0</v>
      </c>
      <c r="F193" s="1461" t="str">
        <f>Table2[[#This Row],[LOQ2]]</f>
        <v/>
      </c>
      <c r="G193" s="898">
        <f>LEN(Table2[[#This Row],[Please insert here the MRLs of COM database (use ''paste values'' function)]])</f>
        <v>0</v>
      </c>
      <c r="H19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93" s="898">
        <f>LEN(Table2[[#This Row],[(ft)]])</f>
        <v>1</v>
      </c>
      <c r="J193" s="898">
        <f>IF(Table2[[#This Row],[LOQ2]]="*",LEFT(Table2[[#This Row],[(ft)]],Table2[[#This Row],[length trimmed 1]]-1),Table2[[#This Row],[(ft)]])</f>
        <v>0</v>
      </c>
      <c r="K193" s="898">
        <f>IF(Table2[[#This Row],[MRL_text]]="","",Table2[[#This Row],[MRL_text]]*1)</f>
        <v>0</v>
      </c>
      <c r="L193" s="898" t="str">
        <f>IF(RIGHT(Table2[[#This Row],[(ft)]],1)="*","*","")</f>
        <v/>
      </c>
    </row>
    <row r="194" spans="1:12" ht="13.15" customHeight="1" x14ac:dyDescent="0.2">
      <c r="A194" s="1212">
        <v>270020</v>
      </c>
      <c r="B194" s="1212" t="s">
        <v>1513</v>
      </c>
      <c r="C194" s="1215" t="s">
        <v>1514</v>
      </c>
      <c r="D194" s="1231"/>
      <c r="E194" s="1249">
        <f>Table2[[#This Row],[MRL2]]</f>
        <v>0</v>
      </c>
      <c r="F194" s="1461" t="str">
        <f>Table2[[#This Row],[LOQ2]]</f>
        <v/>
      </c>
      <c r="G194" s="898">
        <f>LEN(Table2[[#This Row],[Please insert here the MRLs of COM database (use ''paste values'' function)]])</f>
        <v>0</v>
      </c>
      <c r="H19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94" s="898">
        <f>LEN(Table2[[#This Row],[(ft)]])</f>
        <v>1</v>
      </c>
      <c r="J194" s="898">
        <f>IF(Table2[[#This Row],[LOQ2]]="*",LEFT(Table2[[#This Row],[(ft)]],Table2[[#This Row],[length trimmed 1]]-1),Table2[[#This Row],[(ft)]])</f>
        <v>0</v>
      </c>
      <c r="K194" s="898">
        <f>IF(Table2[[#This Row],[MRL_text]]="","",Table2[[#This Row],[MRL_text]]*1)</f>
        <v>0</v>
      </c>
      <c r="L194" s="898" t="str">
        <f>IF(RIGHT(Table2[[#This Row],[(ft)]],1)="*","*","")</f>
        <v/>
      </c>
    </row>
    <row r="195" spans="1:12" ht="13.15" customHeight="1" x14ac:dyDescent="0.2">
      <c r="A195" s="1212">
        <v>270030</v>
      </c>
      <c r="B195" s="1212" t="s">
        <v>1515</v>
      </c>
      <c r="C195" s="1215" t="s">
        <v>1516</v>
      </c>
      <c r="D195" s="1231"/>
      <c r="E195" s="1249">
        <f>Table2[[#This Row],[MRL2]]</f>
        <v>0</v>
      </c>
      <c r="F195" s="1461" t="str">
        <f>Table2[[#This Row],[LOQ2]]</f>
        <v/>
      </c>
      <c r="G195" s="898">
        <f>LEN(Table2[[#This Row],[Please insert here the MRLs of COM database (use ''paste values'' function)]])</f>
        <v>0</v>
      </c>
      <c r="H19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95" s="898">
        <f>LEN(Table2[[#This Row],[(ft)]])</f>
        <v>1</v>
      </c>
      <c r="J195" s="898">
        <f>IF(Table2[[#This Row],[LOQ2]]="*",LEFT(Table2[[#This Row],[(ft)]],Table2[[#This Row],[length trimmed 1]]-1),Table2[[#This Row],[(ft)]])</f>
        <v>0</v>
      </c>
      <c r="K195" s="898">
        <f>IF(Table2[[#This Row],[MRL_text]]="","",Table2[[#This Row],[MRL_text]]*1)</f>
        <v>0</v>
      </c>
      <c r="L195" s="898" t="str">
        <f>IF(RIGHT(Table2[[#This Row],[(ft)]],1)="*","*","")</f>
        <v/>
      </c>
    </row>
    <row r="196" spans="1:12" ht="13.15" customHeight="1" x14ac:dyDescent="0.2">
      <c r="A196" s="1212">
        <v>270040</v>
      </c>
      <c r="B196" s="1212" t="s">
        <v>1517</v>
      </c>
      <c r="C196" s="1215" t="s">
        <v>1518</v>
      </c>
      <c r="D196" s="1231"/>
      <c r="E196" s="1249">
        <f>Table2[[#This Row],[MRL2]]</f>
        <v>0</v>
      </c>
      <c r="F196" s="1461" t="str">
        <f>Table2[[#This Row],[LOQ2]]</f>
        <v/>
      </c>
      <c r="G196" s="898">
        <f>LEN(Table2[[#This Row],[Please insert here the MRLs of COM database (use ''paste values'' function)]])</f>
        <v>0</v>
      </c>
      <c r="H19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96" s="898">
        <f>LEN(Table2[[#This Row],[(ft)]])</f>
        <v>1</v>
      </c>
      <c r="J196" s="898">
        <f>IF(Table2[[#This Row],[LOQ2]]="*",LEFT(Table2[[#This Row],[(ft)]],Table2[[#This Row],[length trimmed 1]]-1),Table2[[#This Row],[(ft)]])</f>
        <v>0</v>
      </c>
      <c r="K196" s="898">
        <f>IF(Table2[[#This Row],[MRL_text]]="","",Table2[[#This Row],[MRL_text]]*1)</f>
        <v>0</v>
      </c>
      <c r="L196" s="898" t="str">
        <f>IF(RIGHT(Table2[[#This Row],[(ft)]],1)="*","*","")</f>
        <v/>
      </c>
    </row>
    <row r="197" spans="1:12" ht="13.15" customHeight="1" x14ac:dyDescent="0.2">
      <c r="A197" s="1212">
        <v>270050</v>
      </c>
      <c r="B197" s="1212" t="s">
        <v>1519</v>
      </c>
      <c r="C197" s="1215" t="s">
        <v>1520</v>
      </c>
      <c r="D197" s="1231"/>
      <c r="E197" s="1249">
        <f>Table2[[#This Row],[MRL2]]</f>
        <v>0</v>
      </c>
      <c r="F197" s="1461" t="str">
        <f>Table2[[#This Row],[LOQ2]]</f>
        <v/>
      </c>
      <c r="G197" s="898">
        <f>LEN(Table2[[#This Row],[Please insert here the MRLs of COM database (use ''paste values'' function)]])</f>
        <v>0</v>
      </c>
      <c r="H19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97" s="898">
        <f>LEN(Table2[[#This Row],[(ft)]])</f>
        <v>1</v>
      </c>
      <c r="J197" s="898">
        <f>IF(Table2[[#This Row],[LOQ2]]="*",LEFT(Table2[[#This Row],[(ft)]],Table2[[#This Row],[length trimmed 1]]-1),Table2[[#This Row],[(ft)]])</f>
        <v>0</v>
      </c>
      <c r="K197" s="898">
        <f>IF(Table2[[#This Row],[MRL_text]]="","",Table2[[#This Row],[MRL_text]]*1)</f>
        <v>0</v>
      </c>
      <c r="L197" s="898" t="str">
        <f>IF(RIGHT(Table2[[#This Row],[(ft)]],1)="*","*","")</f>
        <v/>
      </c>
    </row>
    <row r="198" spans="1:12" ht="13.15" customHeight="1" x14ac:dyDescent="0.2">
      <c r="A198" s="1212">
        <v>270060</v>
      </c>
      <c r="B198" s="1212" t="s">
        <v>1521</v>
      </c>
      <c r="C198" s="1215" t="s">
        <v>1522</v>
      </c>
      <c r="D198" s="1231"/>
      <c r="E198" s="1249">
        <f>Table2[[#This Row],[MRL2]]</f>
        <v>0</v>
      </c>
      <c r="F198" s="1461" t="str">
        <f>Table2[[#This Row],[LOQ2]]</f>
        <v/>
      </c>
      <c r="G198" s="898">
        <f>LEN(Table2[[#This Row],[Please insert here the MRLs of COM database (use ''paste values'' function)]])</f>
        <v>0</v>
      </c>
      <c r="H19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98" s="898">
        <f>LEN(Table2[[#This Row],[(ft)]])</f>
        <v>1</v>
      </c>
      <c r="J198" s="898">
        <f>IF(Table2[[#This Row],[LOQ2]]="*",LEFT(Table2[[#This Row],[(ft)]],Table2[[#This Row],[length trimmed 1]]-1),Table2[[#This Row],[(ft)]])</f>
        <v>0</v>
      </c>
      <c r="K198" s="898">
        <f>IF(Table2[[#This Row],[MRL_text]]="","",Table2[[#This Row],[MRL_text]]*1)</f>
        <v>0</v>
      </c>
      <c r="L198" s="898" t="str">
        <f>IF(RIGHT(Table2[[#This Row],[(ft)]],1)="*","*","")</f>
        <v/>
      </c>
    </row>
    <row r="199" spans="1:12" ht="13.15" customHeight="1" x14ac:dyDescent="0.2">
      <c r="A199" s="1212">
        <v>270070</v>
      </c>
      <c r="B199" s="1212" t="s">
        <v>1523</v>
      </c>
      <c r="C199" s="1215" t="s">
        <v>1524</v>
      </c>
      <c r="D199" s="1231"/>
      <c r="E199" s="1249">
        <f>Table2[[#This Row],[MRL2]]</f>
        <v>0</v>
      </c>
      <c r="F199" s="1461" t="str">
        <f>Table2[[#This Row],[LOQ2]]</f>
        <v/>
      </c>
      <c r="G199" s="898">
        <f>LEN(Table2[[#This Row],[Please insert here the MRLs of COM database (use ''paste values'' function)]])</f>
        <v>0</v>
      </c>
      <c r="H19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199" s="898">
        <f>LEN(Table2[[#This Row],[(ft)]])</f>
        <v>1</v>
      </c>
      <c r="J199" s="898">
        <f>IF(Table2[[#This Row],[LOQ2]]="*",LEFT(Table2[[#This Row],[(ft)]],Table2[[#This Row],[length trimmed 1]]-1),Table2[[#This Row],[(ft)]])</f>
        <v>0</v>
      </c>
      <c r="K199" s="898">
        <f>IF(Table2[[#This Row],[MRL_text]]="","",Table2[[#This Row],[MRL_text]]*1)</f>
        <v>0</v>
      </c>
      <c r="L199" s="898" t="str">
        <f>IF(RIGHT(Table2[[#This Row],[(ft)]],1)="*","*","")</f>
        <v/>
      </c>
    </row>
    <row r="200" spans="1:12" ht="13.15" customHeight="1" x14ac:dyDescent="0.2">
      <c r="A200" s="1212">
        <v>270080</v>
      </c>
      <c r="B200" s="1212" t="s">
        <v>1525</v>
      </c>
      <c r="C200" s="1215" t="s">
        <v>1526</v>
      </c>
      <c r="D200" s="1231"/>
      <c r="E200" s="1249">
        <f>Table2[[#This Row],[MRL2]]</f>
        <v>0</v>
      </c>
      <c r="F200" s="1461" t="str">
        <f>Table2[[#This Row],[LOQ2]]</f>
        <v/>
      </c>
      <c r="G200" s="898">
        <f>LEN(Table2[[#This Row],[Please insert here the MRLs of COM database (use ''paste values'' function)]])</f>
        <v>0</v>
      </c>
      <c r="H20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00" s="898">
        <f>LEN(Table2[[#This Row],[(ft)]])</f>
        <v>1</v>
      </c>
      <c r="J200" s="898">
        <f>IF(Table2[[#This Row],[LOQ2]]="*",LEFT(Table2[[#This Row],[(ft)]],Table2[[#This Row],[length trimmed 1]]-1),Table2[[#This Row],[(ft)]])</f>
        <v>0</v>
      </c>
      <c r="K200" s="898">
        <f>IF(Table2[[#This Row],[MRL_text]]="","",Table2[[#This Row],[MRL_text]]*1)</f>
        <v>0</v>
      </c>
      <c r="L200" s="898" t="str">
        <f>IF(RIGHT(Table2[[#This Row],[(ft)]],1)="*","*","")</f>
        <v/>
      </c>
    </row>
    <row r="201" spans="1:12" ht="13.15" customHeight="1" x14ac:dyDescent="0.2">
      <c r="A201" s="1212">
        <v>270090</v>
      </c>
      <c r="B201" s="1212" t="s">
        <v>1527</v>
      </c>
      <c r="C201" s="1215" t="s">
        <v>1528</v>
      </c>
      <c r="D201" s="1231"/>
      <c r="E201" s="1249">
        <f>Table2[[#This Row],[MRL2]]</f>
        <v>0</v>
      </c>
      <c r="F201" s="1461" t="str">
        <f>Table2[[#This Row],[LOQ2]]</f>
        <v/>
      </c>
      <c r="G201" s="898">
        <f>LEN(Table2[[#This Row],[Please insert here the MRLs of COM database (use ''paste values'' function)]])</f>
        <v>0</v>
      </c>
      <c r="H20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01" s="898">
        <f>LEN(Table2[[#This Row],[(ft)]])</f>
        <v>1</v>
      </c>
      <c r="J201" s="898">
        <f>IF(Table2[[#This Row],[LOQ2]]="*",LEFT(Table2[[#This Row],[(ft)]],Table2[[#This Row],[length trimmed 1]]-1),Table2[[#This Row],[(ft)]])</f>
        <v>0</v>
      </c>
      <c r="K201" s="898">
        <f>IF(Table2[[#This Row],[MRL_text]]="","",Table2[[#This Row],[MRL_text]]*1)</f>
        <v>0</v>
      </c>
      <c r="L201" s="898" t="str">
        <f>IF(RIGHT(Table2[[#This Row],[(ft)]],1)="*","*","")</f>
        <v/>
      </c>
    </row>
    <row r="202" spans="1:12" ht="13.15" customHeight="1" x14ac:dyDescent="0.2">
      <c r="A202" s="1212">
        <v>270990</v>
      </c>
      <c r="B202" s="1212" t="s">
        <v>1529</v>
      </c>
      <c r="C202" s="1215" t="s">
        <v>1177</v>
      </c>
      <c r="D202" s="1231"/>
      <c r="E202" s="1249">
        <f>Table2[[#This Row],[MRL2]]</f>
        <v>0</v>
      </c>
      <c r="F202" s="1461" t="str">
        <f>Table2[[#This Row],[LOQ2]]</f>
        <v/>
      </c>
      <c r="G202" s="898">
        <f>LEN(Table2[[#This Row],[Please insert here the MRLs of COM database (use ''paste values'' function)]])</f>
        <v>0</v>
      </c>
      <c r="H20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02" s="898">
        <f>LEN(Table2[[#This Row],[(ft)]])</f>
        <v>1</v>
      </c>
      <c r="J202" s="898">
        <f>IF(Table2[[#This Row],[LOQ2]]="*",LEFT(Table2[[#This Row],[(ft)]],Table2[[#This Row],[length trimmed 1]]-1),Table2[[#This Row],[(ft)]])</f>
        <v>0</v>
      </c>
      <c r="K202" s="898">
        <f>IF(Table2[[#This Row],[MRL_text]]="","",Table2[[#This Row],[MRL_text]]*1)</f>
        <v>0</v>
      </c>
      <c r="L202" s="898" t="str">
        <f>IF(RIGHT(Table2[[#This Row],[(ft)]],1)="*","*","")</f>
        <v/>
      </c>
    </row>
    <row r="203" spans="1:12" ht="13.15" customHeight="1" x14ac:dyDescent="0.2">
      <c r="A203" s="1211">
        <v>280000</v>
      </c>
      <c r="B203" s="1211" t="s">
        <v>1530</v>
      </c>
      <c r="C203" s="1236" t="s">
        <v>1531</v>
      </c>
      <c r="D203" s="1230"/>
      <c r="E203" s="1247">
        <f>Table2[[#This Row],[MRL2]]</f>
        <v>0</v>
      </c>
      <c r="F203" s="1460" t="str">
        <f>Table2[[#This Row],[LOQ2]]</f>
        <v/>
      </c>
      <c r="G203" s="898">
        <f>LEN(Table2[[#This Row],[Please insert here the MRLs of COM database (use ''paste values'' function)]])</f>
        <v>0</v>
      </c>
      <c r="H20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03" s="898">
        <f>LEN(Table2[[#This Row],[(ft)]])</f>
        <v>1</v>
      </c>
      <c r="J203" s="898">
        <f>IF(Table2[[#This Row],[LOQ2]]="*",LEFT(Table2[[#This Row],[(ft)]],Table2[[#This Row],[length trimmed 1]]-1),Table2[[#This Row],[(ft)]])</f>
        <v>0</v>
      </c>
      <c r="K203" s="898">
        <f>IF(Table2[[#This Row],[MRL_text]]="","",Table2[[#This Row],[MRL_text]]*1)</f>
        <v>0</v>
      </c>
      <c r="L203" s="898" t="str">
        <f>IF(RIGHT(Table2[[#This Row],[(ft)]],1)="*","*","")</f>
        <v/>
      </c>
    </row>
    <row r="204" spans="1:12" ht="13.15" customHeight="1" x14ac:dyDescent="0.2">
      <c r="A204" s="1212">
        <v>280010</v>
      </c>
      <c r="B204" s="1212" t="s">
        <v>1532</v>
      </c>
      <c r="C204" s="1215" t="s">
        <v>1533</v>
      </c>
      <c r="D204" s="1231"/>
      <c r="E204" s="1249">
        <f>Table2[[#This Row],[MRL2]]</f>
        <v>0</v>
      </c>
      <c r="F204" s="1461" t="str">
        <f>Table2[[#This Row],[LOQ2]]</f>
        <v/>
      </c>
      <c r="G204" s="898">
        <f>LEN(Table2[[#This Row],[Please insert here the MRLs of COM database (use ''paste values'' function)]])</f>
        <v>0</v>
      </c>
      <c r="H20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04" s="898">
        <f>LEN(Table2[[#This Row],[(ft)]])</f>
        <v>1</v>
      </c>
      <c r="J204" s="898">
        <f>IF(Table2[[#This Row],[LOQ2]]="*",LEFT(Table2[[#This Row],[(ft)]],Table2[[#This Row],[length trimmed 1]]-1),Table2[[#This Row],[(ft)]])</f>
        <v>0</v>
      </c>
      <c r="K204" s="898">
        <f>IF(Table2[[#This Row],[MRL_text]]="","",Table2[[#This Row],[MRL_text]]*1)</f>
        <v>0</v>
      </c>
      <c r="L204" s="898" t="str">
        <f>IF(RIGHT(Table2[[#This Row],[(ft)]],1)="*","*","")</f>
        <v/>
      </c>
    </row>
    <row r="205" spans="1:12" ht="13.15" customHeight="1" x14ac:dyDescent="0.2">
      <c r="A205" s="1212">
        <v>280020</v>
      </c>
      <c r="B205" s="1212" t="s">
        <v>1534</v>
      </c>
      <c r="C205" s="1215" t="s">
        <v>1535</v>
      </c>
      <c r="D205" s="1231"/>
      <c r="E205" s="1249">
        <f>Table2[[#This Row],[MRL2]]</f>
        <v>0</v>
      </c>
      <c r="F205" s="1461" t="str">
        <f>Table2[[#This Row],[LOQ2]]</f>
        <v/>
      </c>
      <c r="G205" s="898">
        <f>LEN(Table2[[#This Row],[Please insert here the MRLs of COM database (use ''paste values'' function)]])</f>
        <v>0</v>
      </c>
      <c r="H20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05" s="898">
        <f>LEN(Table2[[#This Row],[(ft)]])</f>
        <v>1</v>
      </c>
      <c r="J205" s="898">
        <f>IF(Table2[[#This Row],[LOQ2]]="*",LEFT(Table2[[#This Row],[(ft)]],Table2[[#This Row],[length trimmed 1]]-1),Table2[[#This Row],[(ft)]])</f>
        <v>0</v>
      </c>
      <c r="K205" s="898">
        <f>IF(Table2[[#This Row],[MRL_text]]="","",Table2[[#This Row],[MRL_text]]*1)</f>
        <v>0</v>
      </c>
      <c r="L205" s="898" t="str">
        <f>IF(RIGHT(Table2[[#This Row],[(ft)]],1)="*","*","")</f>
        <v/>
      </c>
    </row>
    <row r="206" spans="1:12" ht="13.15" customHeight="1" x14ac:dyDescent="0.2">
      <c r="A206" s="1212">
        <v>280990</v>
      </c>
      <c r="B206" s="1212" t="s">
        <v>1536</v>
      </c>
      <c r="C206" s="1215" t="s">
        <v>1537</v>
      </c>
      <c r="D206" s="1231"/>
      <c r="E206" s="1249">
        <f>Table2[[#This Row],[MRL2]]</f>
        <v>0</v>
      </c>
      <c r="F206" s="1461" t="str">
        <f>Table2[[#This Row],[LOQ2]]</f>
        <v/>
      </c>
      <c r="G206" s="898">
        <f>LEN(Table2[[#This Row],[Please insert here the MRLs of COM database (use ''paste values'' function)]])</f>
        <v>0</v>
      </c>
      <c r="H20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06" s="898">
        <f>LEN(Table2[[#This Row],[(ft)]])</f>
        <v>1</v>
      </c>
      <c r="J206" s="898">
        <f>IF(Table2[[#This Row],[LOQ2]]="*",LEFT(Table2[[#This Row],[(ft)]],Table2[[#This Row],[length trimmed 1]]-1),Table2[[#This Row],[(ft)]])</f>
        <v>0</v>
      </c>
      <c r="K206" s="898">
        <f>IF(Table2[[#This Row],[MRL_text]]="","",Table2[[#This Row],[MRL_text]]*1)</f>
        <v>0</v>
      </c>
      <c r="L206" s="898" t="str">
        <f>IF(RIGHT(Table2[[#This Row],[(ft)]],1)="*","*","")</f>
        <v/>
      </c>
    </row>
    <row r="207" spans="1:12" ht="13.15" customHeight="1" x14ac:dyDescent="0.2">
      <c r="A207" s="1211">
        <v>290000</v>
      </c>
      <c r="B207" s="1211" t="s">
        <v>1538</v>
      </c>
      <c r="C207" s="1236" t="s">
        <v>1539</v>
      </c>
      <c r="D207" s="1230"/>
      <c r="E207" s="1249">
        <f>Table2[[#This Row],[MRL2]]</f>
        <v>0</v>
      </c>
      <c r="F207" s="1461" t="str">
        <f>Table2[[#This Row],[LOQ2]]</f>
        <v/>
      </c>
      <c r="G207" s="898">
        <f>LEN(Table2[[#This Row],[Please insert here the MRLs of COM database (use ''paste values'' function)]])</f>
        <v>0</v>
      </c>
      <c r="H20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07" s="898">
        <f>LEN(Table2[[#This Row],[(ft)]])</f>
        <v>1</v>
      </c>
      <c r="J207" s="898">
        <f>IF(Table2[[#This Row],[LOQ2]]="*",LEFT(Table2[[#This Row],[(ft)]],Table2[[#This Row],[length trimmed 1]]-1),Table2[[#This Row],[(ft)]])</f>
        <v>0</v>
      </c>
      <c r="K207" s="898">
        <f>IF(Table2[[#This Row],[MRL_text]]="","",Table2[[#This Row],[MRL_text]]*1)</f>
        <v>0</v>
      </c>
      <c r="L207" s="898" t="str">
        <f>IF(RIGHT(Table2[[#This Row],[(ft)]],1)="*","*","")</f>
        <v/>
      </c>
    </row>
    <row r="208" spans="1:12" ht="13.15" customHeight="1" x14ac:dyDescent="0.2">
      <c r="A208" s="1211">
        <v>300000</v>
      </c>
      <c r="B208" s="1211" t="s">
        <v>1540</v>
      </c>
      <c r="C208" s="1236" t="s">
        <v>1541</v>
      </c>
      <c r="D208" s="1230"/>
      <c r="E208" s="1247">
        <f>Table2[[#This Row],[MRL2]]</f>
        <v>0</v>
      </c>
      <c r="F208" s="1460" t="str">
        <f>Table2[[#This Row],[LOQ2]]</f>
        <v/>
      </c>
      <c r="G208" s="898">
        <f>LEN(Table2[[#This Row],[Please insert here the MRLs of COM database (use ''paste values'' function)]])</f>
        <v>0</v>
      </c>
      <c r="H20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08" s="898">
        <f>LEN(Table2[[#This Row],[(ft)]])</f>
        <v>1</v>
      </c>
      <c r="J208" s="898">
        <f>IF(Table2[[#This Row],[LOQ2]]="*",LEFT(Table2[[#This Row],[(ft)]],Table2[[#This Row],[length trimmed 1]]-1),Table2[[#This Row],[(ft)]])</f>
        <v>0</v>
      </c>
      <c r="K208" s="898">
        <f>IF(Table2[[#This Row],[MRL_text]]="","",Table2[[#This Row],[MRL_text]]*1)</f>
        <v>0</v>
      </c>
      <c r="L208" s="898" t="str">
        <f>IF(RIGHT(Table2[[#This Row],[(ft)]],1)="*","*","")</f>
        <v/>
      </c>
    </row>
    <row r="209" spans="1:12" ht="13.15" customHeight="1" x14ac:dyDescent="0.2">
      <c r="A209" s="1212">
        <v>300010</v>
      </c>
      <c r="B209" s="1212" t="s">
        <v>1542</v>
      </c>
      <c r="C209" s="1215" t="s">
        <v>1543</v>
      </c>
      <c r="D209" s="1231"/>
      <c r="E209" s="1249">
        <f>Table2[[#This Row],[MRL2]]</f>
        <v>0</v>
      </c>
      <c r="F209" s="1461" t="str">
        <f>Table2[[#This Row],[LOQ2]]</f>
        <v/>
      </c>
      <c r="G209" s="898">
        <f>LEN(Table2[[#This Row],[Please insert here the MRLs of COM database (use ''paste values'' function)]])</f>
        <v>0</v>
      </c>
      <c r="H20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09" s="898">
        <f>LEN(Table2[[#This Row],[(ft)]])</f>
        <v>1</v>
      </c>
      <c r="J209" s="898">
        <f>IF(Table2[[#This Row],[LOQ2]]="*",LEFT(Table2[[#This Row],[(ft)]],Table2[[#This Row],[length trimmed 1]]-1),Table2[[#This Row],[(ft)]])</f>
        <v>0</v>
      </c>
      <c r="K209" s="898">
        <f>IF(Table2[[#This Row],[MRL_text]]="","",Table2[[#This Row],[MRL_text]]*1)</f>
        <v>0</v>
      </c>
      <c r="L209" s="898" t="str">
        <f>IF(RIGHT(Table2[[#This Row],[(ft)]],1)="*","*","")</f>
        <v/>
      </c>
    </row>
    <row r="210" spans="1:12" ht="13.15" customHeight="1" x14ac:dyDescent="0.2">
      <c r="A210" s="1212">
        <v>300020</v>
      </c>
      <c r="B210" s="1212" t="s">
        <v>1544</v>
      </c>
      <c r="C210" s="1215" t="s">
        <v>1507</v>
      </c>
      <c r="D210" s="1231"/>
      <c r="E210" s="1249">
        <f>Table2[[#This Row],[MRL2]]</f>
        <v>0</v>
      </c>
      <c r="F210" s="1461" t="str">
        <f>Table2[[#This Row],[LOQ2]]</f>
        <v/>
      </c>
      <c r="G210" s="898">
        <f>LEN(Table2[[#This Row],[Please insert here the MRLs of COM database (use ''paste values'' function)]])</f>
        <v>0</v>
      </c>
      <c r="H21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10" s="898">
        <f>LEN(Table2[[#This Row],[(ft)]])</f>
        <v>1</v>
      </c>
      <c r="J210" s="898">
        <f>IF(Table2[[#This Row],[LOQ2]]="*",LEFT(Table2[[#This Row],[(ft)]],Table2[[#This Row],[length trimmed 1]]-1),Table2[[#This Row],[(ft)]])</f>
        <v>0</v>
      </c>
      <c r="K210" s="898">
        <f>IF(Table2[[#This Row],[MRL_text]]="","",Table2[[#This Row],[MRL_text]]*1)</f>
        <v>0</v>
      </c>
      <c r="L210" s="898" t="str">
        <f>IF(RIGHT(Table2[[#This Row],[(ft)]],1)="*","*","")</f>
        <v/>
      </c>
    </row>
    <row r="211" spans="1:12" ht="13.15" customHeight="1" x14ac:dyDescent="0.2">
      <c r="A211" s="1212">
        <v>300030</v>
      </c>
      <c r="B211" s="1212" t="s">
        <v>1545</v>
      </c>
      <c r="C211" s="1215" t="s">
        <v>1546</v>
      </c>
      <c r="D211" s="1231"/>
      <c r="E211" s="1249">
        <f>Table2[[#This Row],[MRL2]]</f>
        <v>0</v>
      </c>
      <c r="F211" s="1461" t="str">
        <f>Table2[[#This Row],[LOQ2]]</f>
        <v/>
      </c>
      <c r="G211" s="898">
        <f>LEN(Table2[[#This Row],[Please insert here the MRLs of COM database (use ''paste values'' function)]])</f>
        <v>0</v>
      </c>
      <c r="H21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11" s="898">
        <f>LEN(Table2[[#This Row],[(ft)]])</f>
        <v>1</v>
      </c>
      <c r="J211" s="898">
        <f>IF(Table2[[#This Row],[LOQ2]]="*",LEFT(Table2[[#This Row],[(ft)]],Table2[[#This Row],[length trimmed 1]]-1),Table2[[#This Row],[(ft)]])</f>
        <v>0</v>
      </c>
      <c r="K211" s="898">
        <f>IF(Table2[[#This Row],[MRL_text]]="","",Table2[[#This Row],[MRL_text]]*1)</f>
        <v>0</v>
      </c>
      <c r="L211" s="898" t="str">
        <f>IF(RIGHT(Table2[[#This Row],[(ft)]],1)="*","*","")</f>
        <v/>
      </c>
    </row>
    <row r="212" spans="1:12" ht="13.15" customHeight="1" x14ac:dyDescent="0.2">
      <c r="A212" s="1212">
        <v>300040</v>
      </c>
      <c r="B212" s="1212" t="s">
        <v>1547</v>
      </c>
      <c r="C212" s="1215" t="s">
        <v>1548</v>
      </c>
      <c r="D212" s="1231"/>
      <c r="E212" s="1249">
        <f>Table2[[#This Row],[MRL2]]</f>
        <v>0</v>
      </c>
      <c r="F212" s="1461" t="str">
        <f>Table2[[#This Row],[LOQ2]]</f>
        <v/>
      </c>
      <c r="G212" s="898">
        <f>LEN(Table2[[#This Row],[Please insert here the MRLs of COM database (use ''paste values'' function)]])</f>
        <v>0</v>
      </c>
      <c r="H21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12" s="898">
        <f>LEN(Table2[[#This Row],[(ft)]])</f>
        <v>1</v>
      </c>
      <c r="J212" s="898">
        <f>IF(Table2[[#This Row],[LOQ2]]="*",LEFT(Table2[[#This Row],[(ft)]],Table2[[#This Row],[length trimmed 1]]-1),Table2[[#This Row],[(ft)]])</f>
        <v>0</v>
      </c>
      <c r="K212" s="898">
        <f>IF(Table2[[#This Row],[MRL_text]]="","",Table2[[#This Row],[MRL_text]]*1)</f>
        <v>0</v>
      </c>
      <c r="L212" s="898" t="str">
        <f>IF(RIGHT(Table2[[#This Row],[(ft)]],1)="*","*","")</f>
        <v/>
      </c>
    </row>
    <row r="213" spans="1:12" ht="13.15" customHeight="1" x14ac:dyDescent="0.2">
      <c r="A213" s="1212">
        <v>300990</v>
      </c>
      <c r="B213" s="1212" t="s">
        <v>1549</v>
      </c>
      <c r="C213" s="1215" t="s">
        <v>1177</v>
      </c>
      <c r="D213" s="1231"/>
      <c r="E213" s="1249">
        <f>Table2[[#This Row],[MRL2]]</f>
        <v>0</v>
      </c>
      <c r="F213" s="1461" t="str">
        <f>Table2[[#This Row],[LOQ2]]</f>
        <v/>
      </c>
      <c r="G213" s="898">
        <f>LEN(Table2[[#This Row],[Please insert here the MRLs of COM database (use ''paste values'' function)]])</f>
        <v>0</v>
      </c>
      <c r="H21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13" s="898">
        <f>LEN(Table2[[#This Row],[(ft)]])</f>
        <v>1</v>
      </c>
      <c r="J213" s="898">
        <f>IF(Table2[[#This Row],[LOQ2]]="*",LEFT(Table2[[#This Row],[(ft)]],Table2[[#This Row],[length trimmed 1]]-1),Table2[[#This Row],[(ft)]])</f>
        <v>0</v>
      </c>
      <c r="K213" s="898">
        <f>IF(Table2[[#This Row],[MRL_text]]="","",Table2[[#This Row],[MRL_text]]*1)</f>
        <v>0</v>
      </c>
      <c r="L213" s="898" t="str">
        <f>IF(RIGHT(Table2[[#This Row],[(ft)]],1)="*","*","")</f>
        <v/>
      </c>
    </row>
    <row r="214" spans="1:12" ht="13.15" customHeight="1" x14ac:dyDescent="0.2">
      <c r="A214" s="1211">
        <v>400000</v>
      </c>
      <c r="B214" s="1211" t="s">
        <v>1550</v>
      </c>
      <c r="C214" s="1236" t="s">
        <v>1551</v>
      </c>
      <c r="D214" s="1230"/>
      <c r="E214" s="1247">
        <f>Table2[[#This Row],[MRL2]]</f>
        <v>0</v>
      </c>
      <c r="F214" s="1460" t="str">
        <f>Table2[[#This Row],[LOQ2]]</f>
        <v/>
      </c>
      <c r="G214" s="898">
        <f>LEN(Table2[[#This Row],[Please insert here the MRLs of COM database (use ''paste values'' function)]])</f>
        <v>0</v>
      </c>
      <c r="H21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14" s="898">
        <f>LEN(Table2[[#This Row],[(ft)]])</f>
        <v>1</v>
      </c>
      <c r="J214" s="898">
        <f>IF(Table2[[#This Row],[LOQ2]]="*",LEFT(Table2[[#This Row],[(ft)]],Table2[[#This Row],[length trimmed 1]]-1),Table2[[#This Row],[(ft)]])</f>
        <v>0</v>
      </c>
      <c r="K214" s="898">
        <f>IF(Table2[[#This Row],[MRL_text]]="","",Table2[[#This Row],[MRL_text]]*1)</f>
        <v>0</v>
      </c>
      <c r="L214" s="898" t="str">
        <f>IF(RIGHT(Table2[[#This Row],[(ft)]],1)="*","*","")</f>
        <v/>
      </c>
    </row>
    <row r="215" spans="1:12" ht="13.15" customHeight="1" x14ac:dyDescent="0.2">
      <c r="A215" s="1211">
        <v>401000</v>
      </c>
      <c r="B215" s="1211" t="s">
        <v>1552</v>
      </c>
      <c r="C215" s="1236" t="s">
        <v>1553</v>
      </c>
      <c r="D215" s="1230"/>
      <c r="E215" s="1247">
        <f>Table2[[#This Row],[MRL2]]</f>
        <v>0</v>
      </c>
      <c r="F215" s="1460" t="str">
        <f>Table2[[#This Row],[LOQ2]]</f>
        <v/>
      </c>
      <c r="G215" s="898">
        <f>LEN(Table2[[#This Row],[Please insert here the MRLs of COM database (use ''paste values'' function)]])</f>
        <v>0</v>
      </c>
      <c r="H21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15" s="898">
        <f>LEN(Table2[[#This Row],[(ft)]])</f>
        <v>1</v>
      </c>
      <c r="J215" s="898">
        <f>IF(Table2[[#This Row],[LOQ2]]="*",LEFT(Table2[[#This Row],[(ft)]],Table2[[#This Row],[length trimmed 1]]-1),Table2[[#This Row],[(ft)]])</f>
        <v>0</v>
      </c>
      <c r="K215" s="898">
        <f>IF(Table2[[#This Row],[MRL_text]]="","",Table2[[#This Row],[MRL_text]]*1)</f>
        <v>0</v>
      </c>
      <c r="L215" s="898" t="str">
        <f>IF(RIGHT(Table2[[#This Row],[(ft)]],1)="*","*","")</f>
        <v/>
      </c>
    </row>
    <row r="216" spans="1:12" ht="13.15" customHeight="1" x14ac:dyDescent="0.2">
      <c r="A216" s="1212">
        <v>401010</v>
      </c>
      <c r="B216" s="1212" t="s">
        <v>1554</v>
      </c>
      <c r="C216" s="1215" t="s">
        <v>1555</v>
      </c>
      <c r="D216" s="1231"/>
      <c r="E216" s="1249">
        <f>Table2[[#This Row],[MRL2]]</f>
        <v>0</v>
      </c>
      <c r="F216" s="1461" t="str">
        <f>Table2[[#This Row],[LOQ2]]</f>
        <v/>
      </c>
      <c r="G216" s="898">
        <f>LEN(Table2[[#This Row],[Please insert here the MRLs of COM database (use ''paste values'' function)]])</f>
        <v>0</v>
      </c>
      <c r="H21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16" s="898">
        <f>LEN(Table2[[#This Row],[(ft)]])</f>
        <v>1</v>
      </c>
      <c r="J216" s="898">
        <f>IF(Table2[[#This Row],[LOQ2]]="*",LEFT(Table2[[#This Row],[(ft)]],Table2[[#This Row],[length trimmed 1]]-1),Table2[[#This Row],[(ft)]])</f>
        <v>0</v>
      </c>
      <c r="K216" s="898">
        <f>IF(Table2[[#This Row],[MRL_text]]="","",Table2[[#This Row],[MRL_text]]*1)</f>
        <v>0</v>
      </c>
      <c r="L216" s="898" t="str">
        <f>IF(RIGHT(Table2[[#This Row],[(ft)]],1)="*","*","")</f>
        <v/>
      </c>
    </row>
    <row r="217" spans="1:12" ht="13.15" customHeight="1" x14ac:dyDescent="0.2">
      <c r="A217" s="1212">
        <v>401020</v>
      </c>
      <c r="B217" s="1212" t="s">
        <v>1556</v>
      </c>
      <c r="C217" s="1215" t="s">
        <v>1557</v>
      </c>
      <c r="D217" s="1231"/>
      <c r="E217" s="1249">
        <f>Table2[[#This Row],[MRL2]]</f>
        <v>0</v>
      </c>
      <c r="F217" s="1461" t="str">
        <f>Table2[[#This Row],[LOQ2]]</f>
        <v/>
      </c>
      <c r="G217" s="898">
        <f>LEN(Table2[[#This Row],[Please insert here the MRLs of COM database (use ''paste values'' function)]])</f>
        <v>0</v>
      </c>
      <c r="H21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17" s="898">
        <f>LEN(Table2[[#This Row],[(ft)]])</f>
        <v>1</v>
      </c>
      <c r="J217" s="898">
        <f>IF(Table2[[#This Row],[LOQ2]]="*",LEFT(Table2[[#This Row],[(ft)]],Table2[[#This Row],[length trimmed 1]]-1),Table2[[#This Row],[(ft)]])</f>
        <v>0</v>
      </c>
      <c r="K217" s="898">
        <f>IF(Table2[[#This Row],[MRL_text]]="","",Table2[[#This Row],[MRL_text]]*1)</f>
        <v>0</v>
      </c>
      <c r="L217" s="898" t="str">
        <f>IF(RIGHT(Table2[[#This Row],[(ft)]],1)="*","*","")</f>
        <v/>
      </c>
    </row>
    <row r="218" spans="1:12" ht="13.15" customHeight="1" x14ac:dyDescent="0.2">
      <c r="A218" s="1212">
        <v>401030</v>
      </c>
      <c r="B218" s="1212" t="s">
        <v>1558</v>
      </c>
      <c r="C218" s="1215" t="s">
        <v>1559</v>
      </c>
      <c r="D218" s="1231"/>
      <c r="E218" s="1249">
        <f>Table2[[#This Row],[MRL2]]</f>
        <v>0</v>
      </c>
      <c r="F218" s="1461" t="str">
        <f>Table2[[#This Row],[LOQ2]]</f>
        <v/>
      </c>
      <c r="G218" s="898">
        <f>LEN(Table2[[#This Row],[Please insert here the MRLs of COM database (use ''paste values'' function)]])</f>
        <v>0</v>
      </c>
      <c r="H21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18" s="898">
        <f>LEN(Table2[[#This Row],[(ft)]])</f>
        <v>1</v>
      </c>
      <c r="J218" s="898">
        <f>IF(Table2[[#This Row],[LOQ2]]="*",LEFT(Table2[[#This Row],[(ft)]],Table2[[#This Row],[length trimmed 1]]-1),Table2[[#This Row],[(ft)]])</f>
        <v>0</v>
      </c>
      <c r="K218" s="898">
        <f>IF(Table2[[#This Row],[MRL_text]]="","",Table2[[#This Row],[MRL_text]]*1)</f>
        <v>0</v>
      </c>
      <c r="L218" s="898" t="str">
        <f>IF(RIGHT(Table2[[#This Row],[(ft)]],1)="*","*","")</f>
        <v/>
      </c>
    </row>
    <row r="219" spans="1:12" ht="13.15" customHeight="1" x14ac:dyDescent="0.2">
      <c r="A219" s="1212">
        <v>401040</v>
      </c>
      <c r="B219" s="1212" t="s">
        <v>1560</v>
      </c>
      <c r="C219" s="1215" t="s">
        <v>1561</v>
      </c>
      <c r="D219" s="1231"/>
      <c r="E219" s="1249">
        <f>Table2[[#This Row],[MRL2]]</f>
        <v>0</v>
      </c>
      <c r="F219" s="1461" t="str">
        <f>Table2[[#This Row],[LOQ2]]</f>
        <v/>
      </c>
      <c r="G219" s="898">
        <f>LEN(Table2[[#This Row],[Please insert here the MRLs of COM database (use ''paste values'' function)]])</f>
        <v>0</v>
      </c>
      <c r="H21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19" s="898">
        <f>LEN(Table2[[#This Row],[(ft)]])</f>
        <v>1</v>
      </c>
      <c r="J219" s="898">
        <f>IF(Table2[[#This Row],[LOQ2]]="*",LEFT(Table2[[#This Row],[(ft)]],Table2[[#This Row],[length trimmed 1]]-1),Table2[[#This Row],[(ft)]])</f>
        <v>0</v>
      </c>
      <c r="K219" s="898">
        <f>IF(Table2[[#This Row],[MRL_text]]="","",Table2[[#This Row],[MRL_text]]*1)</f>
        <v>0</v>
      </c>
      <c r="L219" s="898" t="str">
        <f>IF(RIGHT(Table2[[#This Row],[(ft)]],1)="*","*","")</f>
        <v/>
      </c>
    </row>
    <row r="220" spans="1:12" ht="13.15" customHeight="1" x14ac:dyDescent="0.2">
      <c r="A220" s="1212">
        <v>401050</v>
      </c>
      <c r="B220" s="1212" t="s">
        <v>1562</v>
      </c>
      <c r="C220" s="1215" t="s">
        <v>1563</v>
      </c>
      <c r="D220" s="1231"/>
      <c r="E220" s="1249">
        <f>Table2[[#This Row],[MRL2]]</f>
        <v>0</v>
      </c>
      <c r="F220" s="1461" t="str">
        <f>Table2[[#This Row],[LOQ2]]</f>
        <v/>
      </c>
      <c r="G220" s="898">
        <f>LEN(Table2[[#This Row],[Please insert here the MRLs of COM database (use ''paste values'' function)]])</f>
        <v>0</v>
      </c>
      <c r="H22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20" s="898">
        <f>LEN(Table2[[#This Row],[(ft)]])</f>
        <v>1</v>
      </c>
      <c r="J220" s="898">
        <f>IF(Table2[[#This Row],[LOQ2]]="*",LEFT(Table2[[#This Row],[(ft)]],Table2[[#This Row],[length trimmed 1]]-1),Table2[[#This Row],[(ft)]])</f>
        <v>0</v>
      </c>
      <c r="K220" s="898">
        <f>IF(Table2[[#This Row],[MRL_text]]="","",Table2[[#This Row],[MRL_text]]*1)</f>
        <v>0</v>
      </c>
      <c r="L220" s="898" t="str">
        <f>IF(RIGHT(Table2[[#This Row],[(ft)]],1)="*","*","")</f>
        <v/>
      </c>
    </row>
    <row r="221" spans="1:12" ht="13.15" customHeight="1" x14ac:dyDescent="0.2">
      <c r="A221" s="1212">
        <v>401060</v>
      </c>
      <c r="B221" s="1212" t="s">
        <v>1564</v>
      </c>
      <c r="C221" s="1215" t="s">
        <v>1565</v>
      </c>
      <c r="D221" s="1231"/>
      <c r="E221" s="1249">
        <f>Table2[[#This Row],[MRL2]]</f>
        <v>0</v>
      </c>
      <c r="F221" s="1461" t="str">
        <f>Table2[[#This Row],[LOQ2]]</f>
        <v/>
      </c>
      <c r="G221" s="898">
        <f>LEN(Table2[[#This Row],[Please insert here the MRLs of COM database (use ''paste values'' function)]])</f>
        <v>0</v>
      </c>
      <c r="H22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21" s="898">
        <f>LEN(Table2[[#This Row],[(ft)]])</f>
        <v>1</v>
      </c>
      <c r="J221" s="898">
        <f>IF(Table2[[#This Row],[LOQ2]]="*",LEFT(Table2[[#This Row],[(ft)]],Table2[[#This Row],[length trimmed 1]]-1),Table2[[#This Row],[(ft)]])</f>
        <v>0</v>
      </c>
      <c r="K221" s="898">
        <f>IF(Table2[[#This Row],[MRL_text]]="","",Table2[[#This Row],[MRL_text]]*1)</f>
        <v>0</v>
      </c>
      <c r="L221" s="898" t="str">
        <f>IF(RIGHT(Table2[[#This Row],[(ft)]],1)="*","*","")</f>
        <v/>
      </c>
    </row>
    <row r="222" spans="1:12" ht="13.15" customHeight="1" x14ac:dyDescent="0.2">
      <c r="A222" s="1212">
        <v>401070</v>
      </c>
      <c r="B222" s="1212" t="s">
        <v>1566</v>
      </c>
      <c r="C222" s="1215" t="s">
        <v>1567</v>
      </c>
      <c r="D222" s="1231"/>
      <c r="E222" s="1249">
        <f>Table2[[#This Row],[MRL2]]</f>
        <v>0</v>
      </c>
      <c r="F222" s="1461" t="str">
        <f>Table2[[#This Row],[LOQ2]]</f>
        <v/>
      </c>
      <c r="G222" s="898">
        <f>LEN(Table2[[#This Row],[Please insert here the MRLs of COM database (use ''paste values'' function)]])</f>
        <v>0</v>
      </c>
      <c r="H22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22" s="898">
        <f>LEN(Table2[[#This Row],[(ft)]])</f>
        <v>1</v>
      </c>
      <c r="J222" s="898">
        <f>IF(Table2[[#This Row],[LOQ2]]="*",LEFT(Table2[[#This Row],[(ft)]],Table2[[#This Row],[length trimmed 1]]-1),Table2[[#This Row],[(ft)]])</f>
        <v>0</v>
      </c>
      <c r="K222" s="898">
        <f>IF(Table2[[#This Row],[MRL_text]]="","",Table2[[#This Row],[MRL_text]]*1)</f>
        <v>0</v>
      </c>
      <c r="L222" s="898" t="str">
        <f>IF(RIGHT(Table2[[#This Row],[(ft)]],1)="*","*","")</f>
        <v/>
      </c>
    </row>
    <row r="223" spans="1:12" ht="13.15" customHeight="1" x14ac:dyDescent="0.2">
      <c r="A223" s="1212">
        <v>401080</v>
      </c>
      <c r="B223" s="1212" t="s">
        <v>1568</v>
      </c>
      <c r="C223" s="1215" t="s">
        <v>1569</v>
      </c>
      <c r="D223" s="1231"/>
      <c r="E223" s="1249">
        <f>Table2[[#This Row],[MRL2]]</f>
        <v>0</v>
      </c>
      <c r="F223" s="1461" t="str">
        <f>Table2[[#This Row],[LOQ2]]</f>
        <v/>
      </c>
      <c r="G223" s="898">
        <f>LEN(Table2[[#This Row],[Please insert here the MRLs of COM database (use ''paste values'' function)]])</f>
        <v>0</v>
      </c>
      <c r="H22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23" s="898">
        <f>LEN(Table2[[#This Row],[(ft)]])</f>
        <v>1</v>
      </c>
      <c r="J223" s="898">
        <f>IF(Table2[[#This Row],[LOQ2]]="*",LEFT(Table2[[#This Row],[(ft)]],Table2[[#This Row],[length trimmed 1]]-1),Table2[[#This Row],[(ft)]])</f>
        <v>0</v>
      </c>
      <c r="K223" s="898">
        <f>IF(Table2[[#This Row],[MRL_text]]="","",Table2[[#This Row],[MRL_text]]*1)</f>
        <v>0</v>
      </c>
      <c r="L223" s="898" t="str">
        <f>IF(RIGHT(Table2[[#This Row],[(ft)]],1)="*","*","")</f>
        <v/>
      </c>
    </row>
    <row r="224" spans="1:12" ht="13.15" customHeight="1" x14ac:dyDescent="0.2">
      <c r="A224" s="1212">
        <v>401090</v>
      </c>
      <c r="B224" s="1212" t="s">
        <v>1570</v>
      </c>
      <c r="C224" s="1215" t="s">
        <v>1571</v>
      </c>
      <c r="D224" s="1231"/>
      <c r="E224" s="1249">
        <f>Table2[[#This Row],[MRL2]]</f>
        <v>0</v>
      </c>
      <c r="F224" s="1461" t="str">
        <f>Table2[[#This Row],[LOQ2]]</f>
        <v/>
      </c>
      <c r="G224" s="898">
        <f>LEN(Table2[[#This Row],[Please insert here the MRLs of COM database (use ''paste values'' function)]])</f>
        <v>0</v>
      </c>
      <c r="H22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24" s="898">
        <f>LEN(Table2[[#This Row],[(ft)]])</f>
        <v>1</v>
      </c>
      <c r="J224" s="898">
        <f>IF(Table2[[#This Row],[LOQ2]]="*",LEFT(Table2[[#This Row],[(ft)]],Table2[[#This Row],[length trimmed 1]]-1),Table2[[#This Row],[(ft)]])</f>
        <v>0</v>
      </c>
      <c r="K224" s="898">
        <f>IF(Table2[[#This Row],[MRL_text]]="","",Table2[[#This Row],[MRL_text]]*1)</f>
        <v>0</v>
      </c>
      <c r="L224" s="898" t="str">
        <f>IF(RIGHT(Table2[[#This Row],[(ft)]],1)="*","*","")</f>
        <v/>
      </c>
    </row>
    <row r="225" spans="1:12" ht="13.15" customHeight="1" x14ac:dyDescent="0.2">
      <c r="A225" s="1212">
        <v>401100</v>
      </c>
      <c r="B225" s="1212" t="s">
        <v>1572</v>
      </c>
      <c r="C225" s="1215" t="s">
        <v>1573</v>
      </c>
      <c r="D225" s="1231"/>
      <c r="E225" s="1249">
        <f>Table2[[#This Row],[MRL2]]</f>
        <v>0</v>
      </c>
      <c r="F225" s="1461" t="str">
        <f>Table2[[#This Row],[LOQ2]]</f>
        <v/>
      </c>
      <c r="G225" s="898">
        <f>LEN(Table2[[#This Row],[Please insert here the MRLs of COM database (use ''paste values'' function)]])</f>
        <v>0</v>
      </c>
      <c r="H22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25" s="898">
        <f>LEN(Table2[[#This Row],[(ft)]])</f>
        <v>1</v>
      </c>
      <c r="J225" s="898">
        <f>IF(Table2[[#This Row],[LOQ2]]="*",LEFT(Table2[[#This Row],[(ft)]],Table2[[#This Row],[length trimmed 1]]-1),Table2[[#This Row],[(ft)]])</f>
        <v>0</v>
      </c>
      <c r="K225" s="898">
        <f>IF(Table2[[#This Row],[MRL_text]]="","",Table2[[#This Row],[MRL_text]]*1)</f>
        <v>0</v>
      </c>
      <c r="L225" s="898" t="str">
        <f>IF(RIGHT(Table2[[#This Row],[(ft)]],1)="*","*","")</f>
        <v/>
      </c>
    </row>
    <row r="226" spans="1:12" ht="13.15" customHeight="1" x14ac:dyDescent="0.2">
      <c r="A226" s="1212">
        <v>401110</v>
      </c>
      <c r="B226" s="1212" t="s">
        <v>1574</v>
      </c>
      <c r="C226" s="1215" t="s">
        <v>1575</v>
      </c>
      <c r="D226" s="1231"/>
      <c r="E226" s="1249">
        <f>Table2[[#This Row],[MRL2]]</f>
        <v>0</v>
      </c>
      <c r="F226" s="1461" t="str">
        <f>Table2[[#This Row],[LOQ2]]</f>
        <v/>
      </c>
      <c r="G226" s="898">
        <f>LEN(Table2[[#This Row],[Please insert here the MRLs of COM database (use ''paste values'' function)]])</f>
        <v>0</v>
      </c>
      <c r="H22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26" s="898">
        <f>LEN(Table2[[#This Row],[(ft)]])</f>
        <v>1</v>
      </c>
      <c r="J226" s="898">
        <f>IF(Table2[[#This Row],[LOQ2]]="*",LEFT(Table2[[#This Row],[(ft)]],Table2[[#This Row],[length trimmed 1]]-1),Table2[[#This Row],[(ft)]])</f>
        <v>0</v>
      </c>
      <c r="K226" s="898">
        <f>IF(Table2[[#This Row],[MRL_text]]="","",Table2[[#This Row],[MRL_text]]*1)</f>
        <v>0</v>
      </c>
      <c r="L226" s="898" t="str">
        <f>IF(RIGHT(Table2[[#This Row],[(ft)]],1)="*","*","")</f>
        <v/>
      </c>
    </row>
    <row r="227" spans="1:12" ht="13.15" customHeight="1" x14ac:dyDescent="0.2">
      <c r="A227" s="1212">
        <v>401120</v>
      </c>
      <c r="B227" s="1212" t="s">
        <v>1576</v>
      </c>
      <c r="C227" s="1215" t="s">
        <v>1577</v>
      </c>
      <c r="D227" s="1231"/>
      <c r="E227" s="1249">
        <f>Table2[[#This Row],[MRL2]]</f>
        <v>0</v>
      </c>
      <c r="F227" s="1461" t="str">
        <f>Table2[[#This Row],[LOQ2]]</f>
        <v/>
      </c>
      <c r="G227" s="898">
        <f>LEN(Table2[[#This Row],[Please insert here the MRLs of COM database (use ''paste values'' function)]])</f>
        <v>0</v>
      </c>
      <c r="H22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27" s="898">
        <f>LEN(Table2[[#This Row],[(ft)]])</f>
        <v>1</v>
      </c>
      <c r="J227" s="898">
        <f>IF(Table2[[#This Row],[LOQ2]]="*",LEFT(Table2[[#This Row],[(ft)]],Table2[[#This Row],[length trimmed 1]]-1),Table2[[#This Row],[(ft)]])</f>
        <v>0</v>
      </c>
      <c r="K227" s="898">
        <f>IF(Table2[[#This Row],[MRL_text]]="","",Table2[[#This Row],[MRL_text]]*1)</f>
        <v>0</v>
      </c>
      <c r="L227" s="898" t="str">
        <f>IF(RIGHT(Table2[[#This Row],[(ft)]],1)="*","*","")</f>
        <v/>
      </c>
    </row>
    <row r="228" spans="1:12" ht="13.15" customHeight="1" x14ac:dyDescent="0.2">
      <c r="A228" s="1212">
        <v>401130</v>
      </c>
      <c r="B228" s="1212" t="s">
        <v>1578</v>
      </c>
      <c r="C228" s="1215" t="s">
        <v>1579</v>
      </c>
      <c r="D228" s="1231"/>
      <c r="E228" s="1249">
        <f>Table2[[#This Row],[MRL2]]</f>
        <v>0</v>
      </c>
      <c r="F228" s="1461" t="str">
        <f>Table2[[#This Row],[LOQ2]]</f>
        <v/>
      </c>
      <c r="G228" s="898">
        <f>LEN(Table2[[#This Row],[Please insert here the MRLs of COM database (use ''paste values'' function)]])</f>
        <v>0</v>
      </c>
      <c r="H22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28" s="898">
        <f>LEN(Table2[[#This Row],[(ft)]])</f>
        <v>1</v>
      </c>
      <c r="J228" s="898">
        <f>IF(Table2[[#This Row],[LOQ2]]="*",LEFT(Table2[[#This Row],[(ft)]],Table2[[#This Row],[length trimmed 1]]-1),Table2[[#This Row],[(ft)]])</f>
        <v>0</v>
      </c>
      <c r="K228" s="898">
        <f>IF(Table2[[#This Row],[MRL_text]]="","",Table2[[#This Row],[MRL_text]]*1)</f>
        <v>0</v>
      </c>
      <c r="L228" s="898" t="str">
        <f>IF(RIGHT(Table2[[#This Row],[(ft)]],1)="*","*","")</f>
        <v/>
      </c>
    </row>
    <row r="229" spans="1:12" ht="13.15" customHeight="1" x14ac:dyDescent="0.2">
      <c r="A229" s="1212">
        <v>401140</v>
      </c>
      <c r="B229" s="1212" t="s">
        <v>1580</v>
      </c>
      <c r="C229" s="1215" t="s">
        <v>1581</v>
      </c>
      <c r="D229" s="1231"/>
      <c r="E229" s="1249">
        <f>Table2[[#This Row],[MRL2]]</f>
        <v>0</v>
      </c>
      <c r="F229" s="1461" t="str">
        <f>Table2[[#This Row],[LOQ2]]</f>
        <v/>
      </c>
      <c r="G229" s="898">
        <f>LEN(Table2[[#This Row],[Please insert here the MRLs of COM database (use ''paste values'' function)]])</f>
        <v>0</v>
      </c>
      <c r="H22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29" s="898">
        <f>LEN(Table2[[#This Row],[(ft)]])</f>
        <v>1</v>
      </c>
      <c r="J229" s="898">
        <f>IF(Table2[[#This Row],[LOQ2]]="*",LEFT(Table2[[#This Row],[(ft)]],Table2[[#This Row],[length trimmed 1]]-1),Table2[[#This Row],[(ft)]])</f>
        <v>0</v>
      </c>
      <c r="K229" s="898">
        <f>IF(Table2[[#This Row],[MRL_text]]="","",Table2[[#This Row],[MRL_text]]*1)</f>
        <v>0</v>
      </c>
      <c r="L229" s="898" t="str">
        <f>IF(RIGHT(Table2[[#This Row],[(ft)]],1)="*","*","")</f>
        <v/>
      </c>
    </row>
    <row r="230" spans="1:12" ht="13.15" customHeight="1" x14ac:dyDescent="0.2">
      <c r="A230" s="1212">
        <v>401150</v>
      </c>
      <c r="B230" s="1212" t="s">
        <v>1582</v>
      </c>
      <c r="C230" s="1215" t="s">
        <v>1583</v>
      </c>
      <c r="D230" s="1231"/>
      <c r="E230" s="1249">
        <f>Table2[[#This Row],[MRL2]]</f>
        <v>0</v>
      </c>
      <c r="F230" s="1461" t="str">
        <f>Table2[[#This Row],[LOQ2]]</f>
        <v/>
      </c>
      <c r="G230" s="898">
        <f>LEN(Table2[[#This Row],[Please insert here the MRLs of COM database (use ''paste values'' function)]])</f>
        <v>0</v>
      </c>
      <c r="H23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30" s="898">
        <f>LEN(Table2[[#This Row],[(ft)]])</f>
        <v>1</v>
      </c>
      <c r="J230" s="898">
        <f>IF(Table2[[#This Row],[LOQ2]]="*",LEFT(Table2[[#This Row],[(ft)]],Table2[[#This Row],[length trimmed 1]]-1),Table2[[#This Row],[(ft)]])</f>
        <v>0</v>
      </c>
      <c r="K230" s="898">
        <f>IF(Table2[[#This Row],[MRL_text]]="","",Table2[[#This Row],[MRL_text]]*1)</f>
        <v>0</v>
      </c>
      <c r="L230" s="898" t="str">
        <f>IF(RIGHT(Table2[[#This Row],[(ft)]],1)="*","*","")</f>
        <v/>
      </c>
    </row>
    <row r="231" spans="1:12" ht="13.15" customHeight="1" x14ac:dyDescent="0.2">
      <c r="A231" s="1212">
        <v>401990</v>
      </c>
      <c r="B231" s="1212" t="s">
        <v>1584</v>
      </c>
      <c r="C231" s="1215" t="s">
        <v>1177</v>
      </c>
      <c r="D231" s="1231"/>
      <c r="E231" s="1249">
        <f>Table2[[#This Row],[MRL2]]</f>
        <v>0</v>
      </c>
      <c r="F231" s="1461" t="str">
        <f>Table2[[#This Row],[LOQ2]]</f>
        <v/>
      </c>
      <c r="G231" s="898">
        <f>LEN(Table2[[#This Row],[Please insert here the MRLs of COM database (use ''paste values'' function)]])</f>
        <v>0</v>
      </c>
      <c r="H23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31" s="898">
        <f>LEN(Table2[[#This Row],[(ft)]])</f>
        <v>1</v>
      </c>
      <c r="J231" s="898">
        <f>IF(Table2[[#This Row],[LOQ2]]="*",LEFT(Table2[[#This Row],[(ft)]],Table2[[#This Row],[length trimmed 1]]-1),Table2[[#This Row],[(ft)]])</f>
        <v>0</v>
      </c>
      <c r="K231" s="898">
        <f>IF(Table2[[#This Row],[MRL_text]]="","",Table2[[#This Row],[MRL_text]]*1)</f>
        <v>0</v>
      </c>
      <c r="L231" s="898" t="str">
        <f>IF(RIGHT(Table2[[#This Row],[(ft)]],1)="*","*","")</f>
        <v/>
      </c>
    </row>
    <row r="232" spans="1:12" ht="13.15" customHeight="1" x14ac:dyDescent="0.2">
      <c r="A232" s="1211">
        <v>402000</v>
      </c>
      <c r="B232" s="1211" t="s">
        <v>1585</v>
      </c>
      <c r="C232" s="1236" t="s">
        <v>1586</v>
      </c>
      <c r="D232" s="1230"/>
      <c r="E232" s="1247">
        <f>Table2[[#This Row],[MRL2]]</f>
        <v>0</v>
      </c>
      <c r="F232" s="1460" t="str">
        <f>Table2[[#This Row],[LOQ2]]</f>
        <v/>
      </c>
      <c r="G232" s="898">
        <f>LEN(Table2[[#This Row],[Please insert here the MRLs of COM database (use ''paste values'' function)]])</f>
        <v>0</v>
      </c>
      <c r="H23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32" s="898">
        <f>LEN(Table2[[#This Row],[(ft)]])</f>
        <v>1</v>
      </c>
      <c r="J232" s="898">
        <f>IF(Table2[[#This Row],[LOQ2]]="*",LEFT(Table2[[#This Row],[(ft)]],Table2[[#This Row],[length trimmed 1]]-1),Table2[[#This Row],[(ft)]])</f>
        <v>0</v>
      </c>
      <c r="K232" s="898">
        <f>IF(Table2[[#This Row],[MRL_text]]="","",Table2[[#This Row],[MRL_text]]*1)</f>
        <v>0</v>
      </c>
      <c r="L232" s="898" t="str">
        <f>IF(RIGHT(Table2[[#This Row],[(ft)]],1)="*","*","")</f>
        <v/>
      </c>
    </row>
    <row r="233" spans="1:12" ht="13.15" customHeight="1" x14ac:dyDescent="0.2">
      <c r="A233" s="1212">
        <v>402010</v>
      </c>
      <c r="B233" s="1212" t="s">
        <v>1587</v>
      </c>
      <c r="C233" s="1215" t="s">
        <v>1588</v>
      </c>
      <c r="D233" s="1231"/>
      <c r="E233" s="1249">
        <f>Table2[[#This Row],[MRL2]]</f>
        <v>0</v>
      </c>
      <c r="F233" s="1461" t="str">
        <f>Table2[[#This Row],[LOQ2]]</f>
        <v/>
      </c>
      <c r="G233" s="898">
        <f>LEN(Table2[[#This Row],[Please insert here the MRLs of COM database (use ''paste values'' function)]])</f>
        <v>0</v>
      </c>
      <c r="H23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33" s="898">
        <f>LEN(Table2[[#This Row],[(ft)]])</f>
        <v>1</v>
      </c>
      <c r="J233" s="898">
        <f>IF(Table2[[#This Row],[LOQ2]]="*",LEFT(Table2[[#This Row],[(ft)]],Table2[[#This Row],[length trimmed 1]]-1),Table2[[#This Row],[(ft)]])</f>
        <v>0</v>
      </c>
      <c r="K233" s="898">
        <f>IF(Table2[[#This Row],[MRL_text]]="","",Table2[[#This Row],[MRL_text]]*1)</f>
        <v>0</v>
      </c>
      <c r="L233" s="898" t="str">
        <f>IF(RIGHT(Table2[[#This Row],[(ft)]],1)="*","*","")</f>
        <v/>
      </c>
    </row>
    <row r="234" spans="1:12" ht="13.15" customHeight="1" x14ac:dyDescent="0.2">
      <c r="A234" s="1212">
        <v>402020</v>
      </c>
      <c r="B234" s="1212" t="s">
        <v>1589</v>
      </c>
      <c r="C234" s="1215" t="s">
        <v>1590</v>
      </c>
      <c r="D234" s="1231"/>
      <c r="E234" s="1249">
        <f>Table2[[#This Row],[MRL2]]</f>
        <v>0</v>
      </c>
      <c r="F234" s="1461" t="str">
        <f>Table2[[#This Row],[LOQ2]]</f>
        <v/>
      </c>
      <c r="G234" s="898">
        <f>LEN(Table2[[#This Row],[Please insert here the MRLs of COM database (use ''paste values'' function)]])</f>
        <v>0</v>
      </c>
      <c r="H23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34" s="898">
        <f>LEN(Table2[[#This Row],[(ft)]])</f>
        <v>1</v>
      </c>
      <c r="J234" s="898">
        <f>IF(Table2[[#This Row],[LOQ2]]="*",LEFT(Table2[[#This Row],[(ft)]],Table2[[#This Row],[length trimmed 1]]-1),Table2[[#This Row],[(ft)]])</f>
        <v>0</v>
      </c>
      <c r="K234" s="898">
        <f>IF(Table2[[#This Row],[MRL_text]]="","",Table2[[#This Row],[MRL_text]]*1)</f>
        <v>0</v>
      </c>
      <c r="L234" s="898" t="str">
        <f>IF(RIGHT(Table2[[#This Row],[(ft)]],1)="*","*","")</f>
        <v/>
      </c>
    </row>
    <row r="235" spans="1:12" ht="13.15" customHeight="1" x14ac:dyDescent="0.2">
      <c r="A235" s="1212">
        <v>402030</v>
      </c>
      <c r="B235" s="1212" t="s">
        <v>1591</v>
      </c>
      <c r="C235" s="1215" t="s">
        <v>1592</v>
      </c>
      <c r="D235" s="1231"/>
      <c r="E235" s="1249">
        <f>Table2[[#This Row],[MRL2]]</f>
        <v>0</v>
      </c>
      <c r="F235" s="1461" t="str">
        <f>Table2[[#This Row],[LOQ2]]</f>
        <v/>
      </c>
      <c r="G235" s="898">
        <f>LEN(Table2[[#This Row],[Please insert here the MRLs of COM database (use ''paste values'' function)]])</f>
        <v>0</v>
      </c>
      <c r="H23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35" s="898">
        <f>LEN(Table2[[#This Row],[(ft)]])</f>
        <v>1</v>
      </c>
      <c r="J235" s="898">
        <f>IF(Table2[[#This Row],[LOQ2]]="*",LEFT(Table2[[#This Row],[(ft)]],Table2[[#This Row],[length trimmed 1]]-1),Table2[[#This Row],[(ft)]])</f>
        <v>0</v>
      </c>
      <c r="K235" s="898">
        <f>IF(Table2[[#This Row],[MRL_text]]="","",Table2[[#This Row],[MRL_text]]*1)</f>
        <v>0</v>
      </c>
      <c r="L235" s="898" t="str">
        <f>IF(RIGHT(Table2[[#This Row],[(ft)]],1)="*","*","")</f>
        <v/>
      </c>
    </row>
    <row r="236" spans="1:12" ht="13.15" customHeight="1" x14ac:dyDescent="0.2">
      <c r="A236" s="1212">
        <v>402040</v>
      </c>
      <c r="B236" s="1212" t="s">
        <v>1593</v>
      </c>
      <c r="C236" s="1215" t="s">
        <v>1594</v>
      </c>
      <c r="D236" s="1231"/>
      <c r="E236" s="1249">
        <f>Table2[[#This Row],[MRL2]]</f>
        <v>0</v>
      </c>
      <c r="F236" s="1461" t="str">
        <f>Table2[[#This Row],[LOQ2]]</f>
        <v/>
      </c>
      <c r="G236" s="898">
        <f>LEN(Table2[[#This Row],[Please insert here the MRLs of COM database (use ''paste values'' function)]])</f>
        <v>0</v>
      </c>
      <c r="H23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36" s="898">
        <f>LEN(Table2[[#This Row],[(ft)]])</f>
        <v>1</v>
      </c>
      <c r="J236" s="898">
        <f>IF(Table2[[#This Row],[LOQ2]]="*",LEFT(Table2[[#This Row],[(ft)]],Table2[[#This Row],[length trimmed 1]]-1),Table2[[#This Row],[(ft)]])</f>
        <v>0</v>
      </c>
      <c r="K236" s="898">
        <f>IF(Table2[[#This Row],[MRL_text]]="","",Table2[[#This Row],[MRL_text]]*1)</f>
        <v>0</v>
      </c>
      <c r="L236" s="898" t="str">
        <f>IF(RIGHT(Table2[[#This Row],[(ft)]],1)="*","*","")</f>
        <v/>
      </c>
    </row>
    <row r="237" spans="1:12" ht="13.15" customHeight="1" x14ac:dyDescent="0.2">
      <c r="A237" s="1212">
        <v>402990</v>
      </c>
      <c r="B237" s="1212" t="s">
        <v>1595</v>
      </c>
      <c r="C237" s="1215" t="s">
        <v>1177</v>
      </c>
      <c r="D237" s="1231"/>
      <c r="E237" s="1249">
        <f>Table2[[#This Row],[MRL2]]</f>
        <v>0</v>
      </c>
      <c r="F237" s="1461" t="str">
        <f>Table2[[#This Row],[LOQ2]]</f>
        <v/>
      </c>
      <c r="G237" s="898">
        <f>LEN(Table2[[#This Row],[Please insert here the MRLs of COM database (use ''paste values'' function)]])</f>
        <v>0</v>
      </c>
      <c r="H23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37" s="898">
        <f>LEN(Table2[[#This Row],[(ft)]])</f>
        <v>1</v>
      </c>
      <c r="J237" s="898">
        <f>IF(Table2[[#This Row],[LOQ2]]="*",LEFT(Table2[[#This Row],[(ft)]],Table2[[#This Row],[length trimmed 1]]-1),Table2[[#This Row],[(ft)]])</f>
        <v>0</v>
      </c>
      <c r="K237" s="898">
        <f>IF(Table2[[#This Row],[MRL_text]]="","",Table2[[#This Row],[MRL_text]]*1)</f>
        <v>0</v>
      </c>
      <c r="L237" s="898" t="str">
        <f>IF(RIGHT(Table2[[#This Row],[(ft)]],1)="*","*","")</f>
        <v/>
      </c>
    </row>
    <row r="238" spans="1:12" ht="13.15" customHeight="1" x14ac:dyDescent="0.2">
      <c r="A238" s="1211">
        <v>500000</v>
      </c>
      <c r="B238" s="1211" t="s">
        <v>1596</v>
      </c>
      <c r="C238" s="1236" t="s">
        <v>1597</v>
      </c>
      <c r="D238" s="1230"/>
      <c r="E238" s="1247">
        <f>Table2[[#This Row],[MRL2]]</f>
        <v>0</v>
      </c>
      <c r="F238" s="1460" t="str">
        <f>Table2[[#This Row],[LOQ2]]</f>
        <v/>
      </c>
      <c r="G238" s="898">
        <f>LEN(Table2[[#This Row],[Please insert here the MRLs of COM database (use ''paste values'' function)]])</f>
        <v>0</v>
      </c>
      <c r="H23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38" s="898">
        <f>LEN(Table2[[#This Row],[(ft)]])</f>
        <v>1</v>
      </c>
      <c r="J238" s="898">
        <f>IF(Table2[[#This Row],[LOQ2]]="*",LEFT(Table2[[#This Row],[(ft)]],Table2[[#This Row],[length trimmed 1]]-1),Table2[[#This Row],[(ft)]])</f>
        <v>0</v>
      </c>
      <c r="K238" s="898">
        <f>IF(Table2[[#This Row],[MRL_text]]="","",Table2[[#This Row],[MRL_text]]*1)</f>
        <v>0</v>
      </c>
      <c r="L238" s="898" t="str">
        <f>IF(RIGHT(Table2[[#This Row],[(ft)]],1)="*","*","")</f>
        <v/>
      </c>
    </row>
    <row r="239" spans="1:12" ht="13.15" customHeight="1" x14ac:dyDescent="0.2">
      <c r="A239" s="1212">
        <v>500010</v>
      </c>
      <c r="B239" s="1212" t="s">
        <v>1598</v>
      </c>
      <c r="C239" s="1215" t="s">
        <v>1599</v>
      </c>
      <c r="D239" s="1231"/>
      <c r="E239" s="1249">
        <f>Table2[[#This Row],[MRL2]]</f>
        <v>0</v>
      </c>
      <c r="F239" s="1461" t="str">
        <f>Table2[[#This Row],[LOQ2]]</f>
        <v/>
      </c>
      <c r="G239" s="898">
        <f>LEN(Table2[[#This Row],[Please insert here the MRLs of COM database (use ''paste values'' function)]])</f>
        <v>0</v>
      </c>
      <c r="H23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39" s="898">
        <f>LEN(Table2[[#This Row],[(ft)]])</f>
        <v>1</v>
      </c>
      <c r="J239" s="898">
        <f>IF(Table2[[#This Row],[LOQ2]]="*",LEFT(Table2[[#This Row],[(ft)]],Table2[[#This Row],[length trimmed 1]]-1),Table2[[#This Row],[(ft)]])</f>
        <v>0</v>
      </c>
      <c r="K239" s="898">
        <f>IF(Table2[[#This Row],[MRL_text]]="","",Table2[[#This Row],[MRL_text]]*1)</f>
        <v>0</v>
      </c>
      <c r="L239" s="898" t="str">
        <f>IF(RIGHT(Table2[[#This Row],[(ft)]],1)="*","*","")</f>
        <v/>
      </c>
    </row>
    <row r="240" spans="1:12" ht="13.15" customHeight="1" x14ac:dyDescent="0.2">
      <c r="A240" s="1212">
        <v>500020</v>
      </c>
      <c r="B240" s="1212" t="s">
        <v>1600</v>
      </c>
      <c r="C240" s="1215" t="s">
        <v>1601</v>
      </c>
      <c r="D240" s="1231"/>
      <c r="E240" s="1249">
        <f>Table2[[#This Row],[MRL2]]</f>
        <v>0</v>
      </c>
      <c r="F240" s="1461" t="str">
        <f>Table2[[#This Row],[LOQ2]]</f>
        <v/>
      </c>
      <c r="G240" s="898">
        <f>LEN(Table2[[#This Row],[Please insert here the MRLs of COM database (use ''paste values'' function)]])</f>
        <v>0</v>
      </c>
      <c r="H24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40" s="898">
        <f>LEN(Table2[[#This Row],[(ft)]])</f>
        <v>1</v>
      </c>
      <c r="J240" s="898">
        <f>IF(Table2[[#This Row],[LOQ2]]="*",LEFT(Table2[[#This Row],[(ft)]],Table2[[#This Row],[length trimmed 1]]-1),Table2[[#This Row],[(ft)]])</f>
        <v>0</v>
      </c>
      <c r="K240" s="898">
        <f>IF(Table2[[#This Row],[MRL_text]]="","",Table2[[#This Row],[MRL_text]]*1)</f>
        <v>0</v>
      </c>
      <c r="L240" s="898" t="str">
        <f>IF(RIGHT(Table2[[#This Row],[(ft)]],1)="*","*","")</f>
        <v/>
      </c>
    </row>
    <row r="241" spans="1:12" ht="13.15" customHeight="1" x14ac:dyDescent="0.2">
      <c r="A241" s="1212">
        <v>500030</v>
      </c>
      <c r="B241" s="1212" t="s">
        <v>1602</v>
      </c>
      <c r="C241" s="1215" t="s">
        <v>1603</v>
      </c>
      <c r="D241" s="1231"/>
      <c r="E241" s="1249">
        <f>Table2[[#This Row],[MRL2]]</f>
        <v>0</v>
      </c>
      <c r="F241" s="1461" t="str">
        <f>Table2[[#This Row],[LOQ2]]</f>
        <v/>
      </c>
      <c r="G241" s="898">
        <f>LEN(Table2[[#This Row],[Please insert here the MRLs of COM database (use ''paste values'' function)]])</f>
        <v>0</v>
      </c>
      <c r="H24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41" s="898">
        <f>LEN(Table2[[#This Row],[(ft)]])</f>
        <v>1</v>
      </c>
      <c r="J241" s="898">
        <f>IF(Table2[[#This Row],[LOQ2]]="*",LEFT(Table2[[#This Row],[(ft)]],Table2[[#This Row],[length trimmed 1]]-1),Table2[[#This Row],[(ft)]])</f>
        <v>0</v>
      </c>
      <c r="K241" s="898">
        <f>IF(Table2[[#This Row],[MRL_text]]="","",Table2[[#This Row],[MRL_text]]*1)</f>
        <v>0</v>
      </c>
      <c r="L241" s="898" t="str">
        <f>IF(RIGHT(Table2[[#This Row],[(ft)]],1)="*","*","")</f>
        <v/>
      </c>
    </row>
    <row r="242" spans="1:12" ht="13.15" customHeight="1" x14ac:dyDescent="0.2">
      <c r="A242" s="1212">
        <v>500040</v>
      </c>
      <c r="B242" s="1212" t="s">
        <v>1604</v>
      </c>
      <c r="C242" s="1215" t="s">
        <v>1605</v>
      </c>
      <c r="D242" s="1231"/>
      <c r="E242" s="1249">
        <f>Table2[[#This Row],[MRL2]]</f>
        <v>0</v>
      </c>
      <c r="F242" s="1461" t="str">
        <f>Table2[[#This Row],[LOQ2]]</f>
        <v/>
      </c>
      <c r="G242" s="898">
        <f>LEN(Table2[[#This Row],[Please insert here the MRLs of COM database (use ''paste values'' function)]])</f>
        <v>0</v>
      </c>
      <c r="H24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42" s="898">
        <f>LEN(Table2[[#This Row],[(ft)]])</f>
        <v>1</v>
      </c>
      <c r="J242" s="898">
        <f>IF(Table2[[#This Row],[LOQ2]]="*",LEFT(Table2[[#This Row],[(ft)]],Table2[[#This Row],[length trimmed 1]]-1),Table2[[#This Row],[(ft)]])</f>
        <v>0</v>
      </c>
      <c r="K242" s="898">
        <f>IF(Table2[[#This Row],[MRL_text]]="","",Table2[[#This Row],[MRL_text]]*1)</f>
        <v>0</v>
      </c>
      <c r="L242" s="898" t="str">
        <f>IF(RIGHT(Table2[[#This Row],[(ft)]],1)="*","*","")</f>
        <v/>
      </c>
    </row>
    <row r="243" spans="1:12" ht="13.15" customHeight="1" x14ac:dyDescent="0.2">
      <c r="A243" s="1212">
        <v>500050</v>
      </c>
      <c r="B243" s="1212" t="s">
        <v>1606</v>
      </c>
      <c r="C243" s="1215" t="s">
        <v>1607</v>
      </c>
      <c r="D243" s="1231"/>
      <c r="E243" s="1249">
        <f>Table2[[#This Row],[MRL2]]</f>
        <v>0</v>
      </c>
      <c r="F243" s="1461" t="str">
        <f>Table2[[#This Row],[LOQ2]]</f>
        <v/>
      </c>
      <c r="G243" s="898">
        <f>LEN(Table2[[#This Row],[Please insert here the MRLs of COM database (use ''paste values'' function)]])</f>
        <v>0</v>
      </c>
      <c r="H24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43" s="898">
        <f>LEN(Table2[[#This Row],[(ft)]])</f>
        <v>1</v>
      </c>
      <c r="J243" s="898">
        <f>IF(Table2[[#This Row],[LOQ2]]="*",LEFT(Table2[[#This Row],[(ft)]],Table2[[#This Row],[length trimmed 1]]-1),Table2[[#This Row],[(ft)]])</f>
        <v>0</v>
      </c>
      <c r="K243" s="898">
        <f>IF(Table2[[#This Row],[MRL_text]]="","",Table2[[#This Row],[MRL_text]]*1)</f>
        <v>0</v>
      </c>
      <c r="L243" s="898" t="str">
        <f>IF(RIGHT(Table2[[#This Row],[(ft)]],1)="*","*","")</f>
        <v/>
      </c>
    </row>
    <row r="244" spans="1:12" ht="13.15" customHeight="1" x14ac:dyDescent="0.2">
      <c r="A244" s="1212">
        <v>500060</v>
      </c>
      <c r="B244" s="1212" t="s">
        <v>1608</v>
      </c>
      <c r="C244" s="1215" t="s">
        <v>1609</v>
      </c>
      <c r="D244" s="1231"/>
      <c r="E244" s="1249">
        <f>Table2[[#This Row],[MRL2]]</f>
        <v>0</v>
      </c>
      <c r="F244" s="1461" t="str">
        <f>Table2[[#This Row],[LOQ2]]</f>
        <v/>
      </c>
      <c r="G244" s="898">
        <f>LEN(Table2[[#This Row],[Please insert here the MRLs of COM database (use ''paste values'' function)]])</f>
        <v>0</v>
      </c>
      <c r="H24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44" s="898">
        <f>LEN(Table2[[#This Row],[(ft)]])</f>
        <v>1</v>
      </c>
      <c r="J244" s="898">
        <f>IF(Table2[[#This Row],[LOQ2]]="*",LEFT(Table2[[#This Row],[(ft)]],Table2[[#This Row],[length trimmed 1]]-1),Table2[[#This Row],[(ft)]])</f>
        <v>0</v>
      </c>
      <c r="K244" s="898">
        <f>IF(Table2[[#This Row],[MRL_text]]="","",Table2[[#This Row],[MRL_text]]*1)</f>
        <v>0</v>
      </c>
      <c r="L244" s="898" t="str">
        <f>IF(RIGHT(Table2[[#This Row],[(ft)]],1)="*","*","")</f>
        <v/>
      </c>
    </row>
    <row r="245" spans="1:12" ht="13.15" customHeight="1" x14ac:dyDescent="0.2">
      <c r="A245" s="1212">
        <v>500070</v>
      </c>
      <c r="B245" s="1212" t="s">
        <v>1610</v>
      </c>
      <c r="C245" s="1215" t="s">
        <v>1611</v>
      </c>
      <c r="D245" s="1231"/>
      <c r="E245" s="1249">
        <f>Table2[[#This Row],[MRL2]]</f>
        <v>0</v>
      </c>
      <c r="F245" s="1461" t="str">
        <f>Table2[[#This Row],[LOQ2]]</f>
        <v/>
      </c>
      <c r="G245" s="898">
        <f>LEN(Table2[[#This Row],[Please insert here the MRLs of COM database (use ''paste values'' function)]])</f>
        <v>0</v>
      </c>
      <c r="H24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45" s="898">
        <f>LEN(Table2[[#This Row],[(ft)]])</f>
        <v>1</v>
      </c>
      <c r="J245" s="898">
        <f>IF(Table2[[#This Row],[LOQ2]]="*",LEFT(Table2[[#This Row],[(ft)]],Table2[[#This Row],[length trimmed 1]]-1),Table2[[#This Row],[(ft)]])</f>
        <v>0</v>
      </c>
      <c r="K245" s="898">
        <f>IF(Table2[[#This Row],[MRL_text]]="","",Table2[[#This Row],[MRL_text]]*1)</f>
        <v>0</v>
      </c>
      <c r="L245" s="898" t="str">
        <f>IF(RIGHT(Table2[[#This Row],[(ft)]],1)="*","*","")</f>
        <v/>
      </c>
    </row>
    <row r="246" spans="1:12" ht="13.15" customHeight="1" x14ac:dyDescent="0.2">
      <c r="A246" s="1212">
        <v>500080</v>
      </c>
      <c r="B246" s="1212" t="s">
        <v>1612</v>
      </c>
      <c r="C246" s="1215" t="s">
        <v>1613</v>
      </c>
      <c r="D246" s="1231"/>
      <c r="E246" s="1249">
        <f>Table2[[#This Row],[MRL2]]</f>
        <v>0</v>
      </c>
      <c r="F246" s="1461" t="str">
        <f>Table2[[#This Row],[LOQ2]]</f>
        <v/>
      </c>
      <c r="G246" s="898">
        <f>LEN(Table2[[#This Row],[Please insert here the MRLs of COM database (use ''paste values'' function)]])</f>
        <v>0</v>
      </c>
      <c r="H24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46" s="898">
        <f>LEN(Table2[[#This Row],[(ft)]])</f>
        <v>1</v>
      </c>
      <c r="J246" s="898">
        <f>IF(Table2[[#This Row],[LOQ2]]="*",LEFT(Table2[[#This Row],[(ft)]],Table2[[#This Row],[length trimmed 1]]-1),Table2[[#This Row],[(ft)]])</f>
        <v>0</v>
      </c>
      <c r="K246" s="898">
        <f>IF(Table2[[#This Row],[MRL_text]]="","",Table2[[#This Row],[MRL_text]]*1)</f>
        <v>0</v>
      </c>
      <c r="L246" s="898" t="str">
        <f>IF(RIGHT(Table2[[#This Row],[(ft)]],1)="*","*","")</f>
        <v/>
      </c>
    </row>
    <row r="247" spans="1:12" ht="13.15" customHeight="1" x14ac:dyDescent="0.2">
      <c r="A247" s="1212">
        <v>500090</v>
      </c>
      <c r="B247" s="1212" t="s">
        <v>1614</v>
      </c>
      <c r="C247" s="1215" t="s">
        <v>1615</v>
      </c>
      <c r="D247" s="1231"/>
      <c r="E247" s="1249">
        <f>Table2[[#This Row],[MRL2]]</f>
        <v>0</v>
      </c>
      <c r="F247" s="1461" t="str">
        <f>Table2[[#This Row],[LOQ2]]</f>
        <v/>
      </c>
      <c r="G247" s="898">
        <f>LEN(Table2[[#This Row],[Please insert here the MRLs of COM database (use ''paste values'' function)]])</f>
        <v>0</v>
      </c>
      <c r="H24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47" s="898">
        <f>LEN(Table2[[#This Row],[(ft)]])</f>
        <v>1</v>
      </c>
      <c r="J247" s="898">
        <f>IF(Table2[[#This Row],[LOQ2]]="*",LEFT(Table2[[#This Row],[(ft)]],Table2[[#This Row],[length trimmed 1]]-1),Table2[[#This Row],[(ft)]])</f>
        <v>0</v>
      </c>
      <c r="K247" s="898">
        <f>IF(Table2[[#This Row],[MRL_text]]="","",Table2[[#This Row],[MRL_text]]*1)</f>
        <v>0</v>
      </c>
      <c r="L247" s="898" t="str">
        <f>IF(RIGHT(Table2[[#This Row],[(ft)]],1)="*","*","")</f>
        <v/>
      </c>
    </row>
    <row r="248" spans="1:12" ht="13.15" customHeight="1" x14ac:dyDescent="0.2">
      <c r="A248" s="1212">
        <v>500990</v>
      </c>
      <c r="B248" s="1212" t="s">
        <v>1616</v>
      </c>
      <c r="C248" s="1215" t="s">
        <v>1177</v>
      </c>
      <c r="D248" s="1231"/>
      <c r="E248" s="1249">
        <f>Table2[[#This Row],[MRL2]]</f>
        <v>0</v>
      </c>
      <c r="F248" s="1461" t="str">
        <f>Table2[[#This Row],[LOQ2]]</f>
        <v/>
      </c>
      <c r="G248" s="898">
        <f>LEN(Table2[[#This Row],[Please insert here the MRLs of COM database (use ''paste values'' function)]])</f>
        <v>0</v>
      </c>
      <c r="H24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48" s="898">
        <f>LEN(Table2[[#This Row],[(ft)]])</f>
        <v>1</v>
      </c>
      <c r="J248" s="898">
        <f>IF(Table2[[#This Row],[LOQ2]]="*",LEFT(Table2[[#This Row],[(ft)]],Table2[[#This Row],[length trimmed 1]]-1),Table2[[#This Row],[(ft)]])</f>
        <v>0</v>
      </c>
      <c r="K248" s="898">
        <f>IF(Table2[[#This Row],[MRL_text]]="","",Table2[[#This Row],[MRL_text]]*1)</f>
        <v>0</v>
      </c>
      <c r="L248" s="898" t="str">
        <f>IF(RIGHT(Table2[[#This Row],[(ft)]],1)="*","*","")</f>
        <v/>
      </c>
    </row>
    <row r="249" spans="1:12" ht="13.15" customHeight="1" x14ac:dyDescent="0.2">
      <c r="A249" s="1211">
        <v>600000</v>
      </c>
      <c r="B249" s="1211" t="s">
        <v>1617</v>
      </c>
      <c r="C249" s="1236" t="s">
        <v>1618</v>
      </c>
      <c r="D249" s="1230"/>
      <c r="E249" s="1247">
        <f>Table2[[#This Row],[MRL2]]</f>
        <v>0</v>
      </c>
      <c r="F249" s="1460" t="str">
        <f>Table2[[#This Row],[LOQ2]]</f>
        <v/>
      </c>
      <c r="G249" s="898">
        <f>LEN(Table2[[#This Row],[Please insert here the MRLs of COM database (use ''paste values'' function)]])</f>
        <v>0</v>
      </c>
      <c r="H24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49" s="898">
        <f>LEN(Table2[[#This Row],[(ft)]])</f>
        <v>1</v>
      </c>
      <c r="J249" s="898">
        <f>IF(Table2[[#This Row],[LOQ2]]="*",LEFT(Table2[[#This Row],[(ft)]],Table2[[#This Row],[length trimmed 1]]-1),Table2[[#This Row],[(ft)]])</f>
        <v>0</v>
      </c>
      <c r="K249" s="898">
        <f>IF(Table2[[#This Row],[MRL_text]]="","",Table2[[#This Row],[MRL_text]]*1)</f>
        <v>0</v>
      </c>
      <c r="L249" s="898" t="str">
        <f>IF(RIGHT(Table2[[#This Row],[(ft)]],1)="*","*","")</f>
        <v/>
      </c>
    </row>
    <row r="250" spans="1:12" ht="13.15" customHeight="1" x14ac:dyDescent="0.2">
      <c r="A250" s="1211">
        <v>610000</v>
      </c>
      <c r="B250" s="1211" t="s">
        <v>1619</v>
      </c>
      <c r="C250" s="1236" t="s">
        <v>1620</v>
      </c>
      <c r="D250" s="1230"/>
      <c r="E250" s="1249">
        <f>Table2[[#This Row],[MRL2]]</f>
        <v>0</v>
      </c>
      <c r="F250" s="1461" t="str">
        <f>Table2[[#This Row],[LOQ2]]</f>
        <v/>
      </c>
      <c r="G250" s="898">
        <f>LEN(Table2[[#This Row],[Please insert here the MRLs of COM database (use ''paste values'' function)]])</f>
        <v>0</v>
      </c>
      <c r="H25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50" s="898">
        <f>LEN(Table2[[#This Row],[(ft)]])</f>
        <v>1</v>
      </c>
      <c r="J250" s="898">
        <f>IF(Table2[[#This Row],[LOQ2]]="*",LEFT(Table2[[#This Row],[(ft)]],Table2[[#This Row],[length trimmed 1]]-1),Table2[[#This Row],[(ft)]])</f>
        <v>0</v>
      </c>
      <c r="K250" s="898">
        <f>IF(Table2[[#This Row],[MRL_text]]="","",Table2[[#This Row],[MRL_text]]*1)</f>
        <v>0</v>
      </c>
      <c r="L250" s="898" t="str">
        <f>IF(RIGHT(Table2[[#This Row],[(ft)]],1)="*","*","")</f>
        <v/>
      </c>
    </row>
    <row r="251" spans="1:12" ht="13.15" customHeight="1" x14ac:dyDescent="0.2">
      <c r="A251" s="1211">
        <v>620000</v>
      </c>
      <c r="B251" s="1211" t="s">
        <v>1621</v>
      </c>
      <c r="C251" s="1236" t="s">
        <v>1622</v>
      </c>
      <c r="D251" s="1230"/>
      <c r="E251" s="1249">
        <f>Table2[[#This Row],[MRL2]]</f>
        <v>0</v>
      </c>
      <c r="F251" s="1461" t="str">
        <f>Table2[[#This Row],[LOQ2]]</f>
        <v/>
      </c>
      <c r="G251" s="898">
        <f>LEN(Table2[[#This Row],[Please insert here the MRLs of COM database (use ''paste values'' function)]])</f>
        <v>0</v>
      </c>
      <c r="H25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51" s="898">
        <f>LEN(Table2[[#This Row],[(ft)]])</f>
        <v>1</v>
      </c>
      <c r="J251" s="898">
        <f>IF(Table2[[#This Row],[LOQ2]]="*",LEFT(Table2[[#This Row],[(ft)]],Table2[[#This Row],[length trimmed 1]]-1),Table2[[#This Row],[(ft)]])</f>
        <v>0</v>
      </c>
      <c r="K251" s="898">
        <f>IF(Table2[[#This Row],[MRL_text]]="","",Table2[[#This Row],[MRL_text]]*1)</f>
        <v>0</v>
      </c>
      <c r="L251" s="898" t="str">
        <f>IF(RIGHT(Table2[[#This Row],[(ft)]],1)="*","*","")</f>
        <v/>
      </c>
    </row>
    <row r="252" spans="1:12" ht="13.15" customHeight="1" x14ac:dyDescent="0.2">
      <c r="A252" s="1211">
        <v>630000</v>
      </c>
      <c r="B252" s="1211" t="s">
        <v>1623</v>
      </c>
      <c r="C252" s="1236" t="s">
        <v>1624</v>
      </c>
      <c r="D252" s="1230"/>
      <c r="E252" s="1247">
        <f>Table2[[#This Row],[MRL2]]</f>
        <v>0</v>
      </c>
      <c r="F252" s="1460" t="str">
        <f>Table2[[#This Row],[LOQ2]]</f>
        <v/>
      </c>
      <c r="G252" s="898">
        <f>LEN(Table2[[#This Row],[Please insert here the MRLs of COM database (use ''paste values'' function)]])</f>
        <v>0</v>
      </c>
      <c r="H25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52" s="898">
        <f>LEN(Table2[[#This Row],[(ft)]])</f>
        <v>1</v>
      </c>
      <c r="J252" s="898">
        <f>IF(Table2[[#This Row],[LOQ2]]="*",LEFT(Table2[[#This Row],[(ft)]],Table2[[#This Row],[length trimmed 1]]-1),Table2[[#This Row],[(ft)]])</f>
        <v>0</v>
      </c>
      <c r="K252" s="898">
        <f>IF(Table2[[#This Row],[MRL_text]]="","",Table2[[#This Row],[MRL_text]]*1)</f>
        <v>0</v>
      </c>
      <c r="L252" s="898" t="str">
        <f>IF(RIGHT(Table2[[#This Row],[(ft)]],1)="*","*","")</f>
        <v/>
      </c>
    </row>
    <row r="253" spans="1:12" ht="13.15" customHeight="1" x14ac:dyDescent="0.2">
      <c r="A253" s="1212">
        <v>631000</v>
      </c>
      <c r="B253" s="1212" t="s">
        <v>1625</v>
      </c>
      <c r="C253" s="1215" t="s">
        <v>1626</v>
      </c>
      <c r="D253" s="1231"/>
      <c r="E253" s="1247">
        <f>Table2[[#This Row],[MRL2]]</f>
        <v>0</v>
      </c>
      <c r="F253" s="1460" t="str">
        <f>Table2[[#This Row],[LOQ2]]</f>
        <v/>
      </c>
      <c r="G253" s="898">
        <f>LEN(Table2[[#This Row],[Please insert here the MRLs of COM database (use ''paste values'' function)]])</f>
        <v>0</v>
      </c>
      <c r="H25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53" s="898">
        <f>LEN(Table2[[#This Row],[(ft)]])</f>
        <v>1</v>
      </c>
      <c r="J253" s="898">
        <f>IF(Table2[[#This Row],[LOQ2]]="*",LEFT(Table2[[#This Row],[(ft)]],Table2[[#This Row],[length trimmed 1]]-1),Table2[[#This Row],[(ft)]])</f>
        <v>0</v>
      </c>
      <c r="K253" s="898">
        <f>IF(Table2[[#This Row],[MRL_text]]="","",Table2[[#This Row],[MRL_text]]*1)</f>
        <v>0</v>
      </c>
      <c r="L253" s="898" t="str">
        <f>IF(RIGHT(Table2[[#This Row],[(ft)]],1)="*","*","")</f>
        <v/>
      </c>
    </row>
    <row r="254" spans="1:12" ht="13.15" customHeight="1" x14ac:dyDescent="0.2">
      <c r="A254" s="1212">
        <v>631010</v>
      </c>
      <c r="B254" s="1212" t="s">
        <v>1627</v>
      </c>
      <c r="C254" s="1215" t="s">
        <v>1628</v>
      </c>
      <c r="D254" s="1231"/>
      <c r="E254" s="1249">
        <f>Table2[[#This Row],[MRL2]]</f>
        <v>0</v>
      </c>
      <c r="F254" s="1461" t="str">
        <f>Table2[[#This Row],[LOQ2]]</f>
        <v/>
      </c>
      <c r="G254" s="898">
        <f>LEN(Table2[[#This Row],[Please insert here the MRLs of COM database (use ''paste values'' function)]])</f>
        <v>0</v>
      </c>
      <c r="H25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54" s="898">
        <f>LEN(Table2[[#This Row],[(ft)]])</f>
        <v>1</v>
      </c>
      <c r="J254" s="898">
        <f>IF(Table2[[#This Row],[LOQ2]]="*",LEFT(Table2[[#This Row],[(ft)]],Table2[[#This Row],[length trimmed 1]]-1),Table2[[#This Row],[(ft)]])</f>
        <v>0</v>
      </c>
      <c r="K254" s="898">
        <f>IF(Table2[[#This Row],[MRL_text]]="","",Table2[[#This Row],[MRL_text]]*1)</f>
        <v>0</v>
      </c>
      <c r="L254" s="898" t="str">
        <f>IF(RIGHT(Table2[[#This Row],[(ft)]],1)="*","*","")</f>
        <v/>
      </c>
    </row>
    <row r="255" spans="1:12" ht="13.15" customHeight="1" x14ac:dyDescent="0.2">
      <c r="A255" s="1212">
        <v>631020</v>
      </c>
      <c r="B255" s="1212" t="s">
        <v>1629</v>
      </c>
      <c r="C255" s="1215" t="s">
        <v>1630</v>
      </c>
      <c r="D255" s="1231"/>
      <c r="E255" s="1249">
        <f>Table2[[#This Row],[MRL2]]</f>
        <v>0</v>
      </c>
      <c r="F255" s="1461" t="str">
        <f>Table2[[#This Row],[LOQ2]]</f>
        <v/>
      </c>
      <c r="G255" s="898">
        <f>LEN(Table2[[#This Row],[Please insert here the MRLs of COM database (use ''paste values'' function)]])</f>
        <v>0</v>
      </c>
      <c r="H25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55" s="898">
        <f>LEN(Table2[[#This Row],[(ft)]])</f>
        <v>1</v>
      </c>
      <c r="J255" s="898">
        <f>IF(Table2[[#This Row],[LOQ2]]="*",LEFT(Table2[[#This Row],[(ft)]],Table2[[#This Row],[length trimmed 1]]-1),Table2[[#This Row],[(ft)]])</f>
        <v>0</v>
      </c>
      <c r="K255" s="898">
        <f>IF(Table2[[#This Row],[MRL_text]]="","",Table2[[#This Row],[MRL_text]]*1)</f>
        <v>0</v>
      </c>
      <c r="L255" s="898" t="str">
        <f>IF(RIGHT(Table2[[#This Row],[(ft)]],1)="*","*","")</f>
        <v/>
      </c>
    </row>
    <row r="256" spans="1:12" ht="13.15" customHeight="1" x14ac:dyDescent="0.2">
      <c r="A256" s="1212">
        <v>631030</v>
      </c>
      <c r="B256" s="1212" t="s">
        <v>1631</v>
      </c>
      <c r="C256" s="1215" t="s">
        <v>1632</v>
      </c>
      <c r="D256" s="1231"/>
      <c r="E256" s="1249">
        <f>Table2[[#This Row],[MRL2]]</f>
        <v>0</v>
      </c>
      <c r="F256" s="1461" t="str">
        <f>Table2[[#This Row],[LOQ2]]</f>
        <v/>
      </c>
      <c r="G256" s="898">
        <f>LEN(Table2[[#This Row],[Please insert here the MRLs of COM database (use ''paste values'' function)]])</f>
        <v>0</v>
      </c>
      <c r="H25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56" s="898">
        <f>LEN(Table2[[#This Row],[(ft)]])</f>
        <v>1</v>
      </c>
      <c r="J256" s="898">
        <f>IF(Table2[[#This Row],[LOQ2]]="*",LEFT(Table2[[#This Row],[(ft)]],Table2[[#This Row],[length trimmed 1]]-1),Table2[[#This Row],[(ft)]])</f>
        <v>0</v>
      </c>
      <c r="K256" s="898">
        <f>IF(Table2[[#This Row],[MRL_text]]="","",Table2[[#This Row],[MRL_text]]*1)</f>
        <v>0</v>
      </c>
      <c r="L256" s="898" t="str">
        <f>IF(RIGHT(Table2[[#This Row],[(ft)]],1)="*","*","")</f>
        <v/>
      </c>
    </row>
    <row r="257" spans="1:12" ht="13.15" customHeight="1" x14ac:dyDescent="0.2">
      <c r="A257" s="1212">
        <v>631040</v>
      </c>
      <c r="B257" s="1212" t="s">
        <v>1633</v>
      </c>
      <c r="C257" s="1215" t="s">
        <v>1634</v>
      </c>
      <c r="D257" s="1231"/>
      <c r="E257" s="1249">
        <f>Table2[[#This Row],[MRL2]]</f>
        <v>0</v>
      </c>
      <c r="F257" s="1461" t="str">
        <f>Table2[[#This Row],[LOQ2]]</f>
        <v/>
      </c>
      <c r="G257" s="898">
        <f>LEN(Table2[[#This Row],[Please insert here the MRLs of COM database (use ''paste values'' function)]])</f>
        <v>0</v>
      </c>
      <c r="H25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57" s="898">
        <f>LEN(Table2[[#This Row],[(ft)]])</f>
        <v>1</v>
      </c>
      <c r="J257" s="898">
        <f>IF(Table2[[#This Row],[LOQ2]]="*",LEFT(Table2[[#This Row],[(ft)]],Table2[[#This Row],[length trimmed 1]]-1),Table2[[#This Row],[(ft)]])</f>
        <v>0</v>
      </c>
      <c r="K257" s="898">
        <f>IF(Table2[[#This Row],[MRL_text]]="","",Table2[[#This Row],[MRL_text]]*1)</f>
        <v>0</v>
      </c>
      <c r="L257" s="898" t="str">
        <f>IF(RIGHT(Table2[[#This Row],[(ft)]],1)="*","*","")</f>
        <v/>
      </c>
    </row>
    <row r="258" spans="1:12" ht="13.15" customHeight="1" x14ac:dyDescent="0.2">
      <c r="A258" s="1212">
        <v>631050</v>
      </c>
      <c r="B258" s="1212" t="s">
        <v>1635</v>
      </c>
      <c r="C258" s="1215" t="s">
        <v>1636</v>
      </c>
      <c r="D258" s="1231"/>
      <c r="E258" s="1249">
        <f>Table2[[#This Row],[MRL2]]</f>
        <v>0</v>
      </c>
      <c r="F258" s="1461" t="str">
        <f>Table2[[#This Row],[LOQ2]]</f>
        <v/>
      </c>
      <c r="G258" s="898">
        <f>LEN(Table2[[#This Row],[Please insert here the MRLs of COM database (use ''paste values'' function)]])</f>
        <v>0</v>
      </c>
      <c r="H25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58" s="898">
        <f>LEN(Table2[[#This Row],[(ft)]])</f>
        <v>1</v>
      </c>
      <c r="J258" s="898">
        <f>IF(Table2[[#This Row],[LOQ2]]="*",LEFT(Table2[[#This Row],[(ft)]],Table2[[#This Row],[length trimmed 1]]-1),Table2[[#This Row],[(ft)]])</f>
        <v>0</v>
      </c>
      <c r="K258" s="898">
        <f>IF(Table2[[#This Row],[MRL_text]]="","",Table2[[#This Row],[MRL_text]]*1)</f>
        <v>0</v>
      </c>
      <c r="L258" s="898" t="str">
        <f>IF(RIGHT(Table2[[#This Row],[(ft)]],1)="*","*","")</f>
        <v/>
      </c>
    </row>
    <row r="259" spans="1:12" ht="13.15" customHeight="1" x14ac:dyDescent="0.2">
      <c r="A259" s="1212">
        <v>631990</v>
      </c>
      <c r="B259" s="1212" t="s">
        <v>1637</v>
      </c>
      <c r="C259" s="1215" t="s">
        <v>1177</v>
      </c>
      <c r="D259" s="1231"/>
      <c r="E259" s="1249">
        <f>Table2[[#This Row],[MRL2]]</f>
        <v>0</v>
      </c>
      <c r="F259" s="1461" t="str">
        <f>Table2[[#This Row],[LOQ2]]</f>
        <v/>
      </c>
      <c r="G259" s="898">
        <f>LEN(Table2[[#This Row],[Please insert here the MRLs of COM database (use ''paste values'' function)]])</f>
        <v>0</v>
      </c>
      <c r="H25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59" s="898">
        <f>LEN(Table2[[#This Row],[(ft)]])</f>
        <v>1</v>
      </c>
      <c r="J259" s="898">
        <f>IF(Table2[[#This Row],[LOQ2]]="*",LEFT(Table2[[#This Row],[(ft)]],Table2[[#This Row],[length trimmed 1]]-1),Table2[[#This Row],[(ft)]])</f>
        <v>0</v>
      </c>
      <c r="K259" s="898">
        <f>IF(Table2[[#This Row],[MRL_text]]="","",Table2[[#This Row],[MRL_text]]*1)</f>
        <v>0</v>
      </c>
      <c r="L259" s="898" t="str">
        <f>IF(RIGHT(Table2[[#This Row],[(ft)]],1)="*","*","")</f>
        <v/>
      </c>
    </row>
    <row r="260" spans="1:12" ht="13.15" customHeight="1" x14ac:dyDescent="0.2">
      <c r="A260" s="1212">
        <v>632000</v>
      </c>
      <c r="B260" s="1212" t="s">
        <v>1638</v>
      </c>
      <c r="C260" s="1215" t="s">
        <v>1639</v>
      </c>
      <c r="D260" s="1231"/>
      <c r="E260" s="1247">
        <f>Table2[[#This Row],[MRL2]]</f>
        <v>0</v>
      </c>
      <c r="F260" s="1460" t="str">
        <f>Table2[[#This Row],[LOQ2]]</f>
        <v/>
      </c>
      <c r="G260" s="898">
        <f>LEN(Table2[[#This Row],[Please insert here the MRLs of COM database (use ''paste values'' function)]])</f>
        <v>0</v>
      </c>
      <c r="H26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60" s="898">
        <f>LEN(Table2[[#This Row],[(ft)]])</f>
        <v>1</v>
      </c>
      <c r="J260" s="898">
        <f>IF(Table2[[#This Row],[LOQ2]]="*",LEFT(Table2[[#This Row],[(ft)]],Table2[[#This Row],[length trimmed 1]]-1),Table2[[#This Row],[(ft)]])</f>
        <v>0</v>
      </c>
      <c r="K260" s="898">
        <f>IF(Table2[[#This Row],[MRL_text]]="","",Table2[[#This Row],[MRL_text]]*1)</f>
        <v>0</v>
      </c>
      <c r="L260" s="898" t="str">
        <f>IF(RIGHT(Table2[[#This Row],[(ft)]],1)="*","*","")</f>
        <v/>
      </c>
    </row>
    <row r="261" spans="1:12" ht="13.15" customHeight="1" x14ac:dyDescent="0.2">
      <c r="A261" s="1212">
        <v>632010</v>
      </c>
      <c r="B261" s="1212" t="s">
        <v>1640</v>
      </c>
      <c r="C261" s="1215" t="s">
        <v>1641</v>
      </c>
      <c r="D261" s="1231"/>
      <c r="E261" s="1249">
        <f>Table2[[#This Row],[MRL2]]</f>
        <v>0</v>
      </c>
      <c r="F261" s="1461" t="str">
        <f>Table2[[#This Row],[LOQ2]]</f>
        <v/>
      </c>
      <c r="G261" s="898">
        <f>LEN(Table2[[#This Row],[Please insert here the MRLs of COM database (use ''paste values'' function)]])</f>
        <v>0</v>
      </c>
      <c r="H26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61" s="898">
        <f>LEN(Table2[[#This Row],[(ft)]])</f>
        <v>1</v>
      </c>
      <c r="J261" s="898">
        <f>IF(Table2[[#This Row],[LOQ2]]="*",LEFT(Table2[[#This Row],[(ft)]],Table2[[#This Row],[length trimmed 1]]-1),Table2[[#This Row],[(ft)]])</f>
        <v>0</v>
      </c>
      <c r="K261" s="898">
        <f>IF(Table2[[#This Row],[MRL_text]]="","",Table2[[#This Row],[MRL_text]]*1)</f>
        <v>0</v>
      </c>
      <c r="L261" s="898" t="str">
        <f>IF(RIGHT(Table2[[#This Row],[(ft)]],1)="*","*","")</f>
        <v/>
      </c>
    </row>
    <row r="262" spans="1:12" ht="13.15" customHeight="1" x14ac:dyDescent="0.2">
      <c r="A262" s="1212">
        <v>632020</v>
      </c>
      <c r="B262" s="1212" t="s">
        <v>1642</v>
      </c>
      <c r="C262" s="1215" t="s">
        <v>1643</v>
      </c>
      <c r="D262" s="1231"/>
      <c r="E262" s="1249">
        <f>Table2[[#This Row],[MRL2]]</f>
        <v>0</v>
      </c>
      <c r="F262" s="1461" t="str">
        <f>Table2[[#This Row],[LOQ2]]</f>
        <v/>
      </c>
      <c r="G262" s="898">
        <f>LEN(Table2[[#This Row],[Please insert here the MRLs of COM database (use ''paste values'' function)]])</f>
        <v>0</v>
      </c>
      <c r="H26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62" s="898">
        <f>LEN(Table2[[#This Row],[(ft)]])</f>
        <v>1</v>
      </c>
      <c r="J262" s="898">
        <f>IF(Table2[[#This Row],[LOQ2]]="*",LEFT(Table2[[#This Row],[(ft)]],Table2[[#This Row],[length trimmed 1]]-1),Table2[[#This Row],[(ft)]])</f>
        <v>0</v>
      </c>
      <c r="K262" s="898">
        <f>IF(Table2[[#This Row],[MRL_text]]="","",Table2[[#This Row],[MRL_text]]*1)</f>
        <v>0</v>
      </c>
      <c r="L262" s="898" t="str">
        <f>IF(RIGHT(Table2[[#This Row],[(ft)]],1)="*","*","")</f>
        <v/>
      </c>
    </row>
    <row r="263" spans="1:12" ht="13.15" customHeight="1" x14ac:dyDescent="0.2">
      <c r="A263" s="1212">
        <v>632030</v>
      </c>
      <c r="B263" s="1212" t="s">
        <v>1644</v>
      </c>
      <c r="C263" s="1215" t="s">
        <v>1645</v>
      </c>
      <c r="D263" s="1231"/>
      <c r="E263" s="1249">
        <f>Table2[[#This Row],[MRL2]]</f>
        <v>0</v>
      </c>
      <c r="F263" s="1461" t="str">
        <f>Table2[[#This Row],[LOQ2]]</f>
        <v/>
      </c>
      <c r="G263" s="898">
        <f>LEN(Table2[[#This Row],[Please insert here the MRLs of COM database (use ''paste values'' function)]])</f>
        <v>0</v>
      </c>
      <c r="H26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63" s="898">
        <f>LEN(Table2[[#This Row],[(ft)]])</f>
        <v>1</v>
      </c>
      <c r="J263" s="898">
        <f>IF(Table2[[#This Row],[LOQ2]]="*",LEFT(Table2[[#This Row],[(ft)]],Table2[[#This Row],[length trimmed 1]]-1),Table2[[#This Row],[(ft)]])</f>
        <v>0</v>
      </c>
      <c r="K263" s="898">
        <f>IF(Table2[[#This Row],[MRL_text]]="","",Table2[[#This Row],[MRL_text]]*1)</f>
        <v>0</v>
      </c>
      <c r="L263" s="898" t="str">
        <f>IF(RIGHT(Table2[[#This Row],[(ft)]],1)="*","*","")</f>
        <v/>
      </c>
    </row>
    <row r="264" spans="1:12" ht="13.15" customHeight="1" x14ac:dyDescent="0.2">
      <c r="A264" s="1212">
        <v>632990</v>
      </c>
      <c r="B264" s="1212" t="s">
        <v>1646</v>
      </c>
      <c r="C264" s="1215" t="s">
        <v>1177</v>
      </c>
      <c r="D264" s="1231"/>
      <c r="E264" s="1249">
        <f>Table2[[#This Row],[MRL2]]</f>
        <v>0</v>
      </c>
      <c r="F264" s="1461" t="str">
        <f>Table2[[#This Row],[LOQ2]]</f>
        <v/>
      </c>
      <c r="G264" s="898">
        <f>LEN(Table2[[#This Row],[Please insert here the MRLs of COM database (use ''paste values'' function)]])</f>
        <v>0</v>
      </c>
      <c r="H26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64" s="898">
        <f>LEN(Table2[[#This Row],[(ft)]])</f>
        <v>1</v>
      </c>
      <c r="J264" s="898">
        <f>IF(Table2[[#This Row],[LOQ2]]="*",LEFT(Table2[[#This Row],[(ft)]],Table2[[#This Row],[length trimmed 1]]-1),Table2[[#This Row],[(ft)]])</f>
        <v>0</v>
      </c>
      <c r="K264" s="898">
        <f>IF(Table2[[#This Row],[MRL_text]]="","",Table2[[#This Row],[MRL_text]]*1)</f>
        <v>0</v>
      </c>
      <c r="L264" s="898" t="str">
        <f>IF(RIGHT(Table2[[#This Row],[(ft)]],1)="*","*","")</f>
        <v/>
      </c>
    </row>
    <row r="265" spans="1:12" ht="13.15" customHeight="1" x14ac:dyDescent="0.2">
      <c r="A265" s="1212">
        <v>633000</v>
      </c>
      <c r="B265" s="1212" t="s">
        <v>1647</v>
      </c>
      <c r="C265" s="1215" t="s">
        <v>1648</v>
      </c>
      <c r="D265" s="1231"/>
      <c r="E265" s="1247">
        <f>Table2[[#This Row],[MRL2]]</f>
        <v>0</v>
      </c>
      <c r="F265" s="1460" t="str">
        <f>Table2[[#This Row],[LOQ2]]</f>
        <v/>
      </c>
      <c r="G265" s="898">
        <f>LEN(Table2[[#This Row],[Please insert here the MRLs of COM database (use ''paste values'' function)]])</f>
        <v>0</v>
      </c>
      <c r="H26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65" s="898">
        <f>LEN(Table2[[#This Row],[(ft)]])</f>
        <v>1</v>
      </c>
      <c r="J265" s="898">
        <f>IF(Table2[[#This Row],[LOQ2]]="*",LEFT(Table2[[#This Row],[(ft)]],Table2[[#This Row],[length trimmed 1]]-1),Table2[[#This Row],[(ft)]])</f>
        <v>0</v>
      </c>
      <c r="K265" s="898">
        <f>IF(Table2[[#This Row],[MRL_text]]="","",Table2[[#This Row],[MRL_text]]*1)</f>
        <v>0</v>
      </c>
      <c r="L265" s="898" t="str">
        <f>IF(RIGHT(Table2[[#This Row],[(ft)]],1)="*","*","")</f>
        <v/>
      </c>
    </row>
    <row r="266" spans="1:12" ht="13.15" customHeight="1" x14ac:dyDescent="0.2">
      <c r="A266" s="1212">
        <v>633010</v>
      </c>
      <c r="B266" s="1212" t="s">
        <v>1649</v>
      </c>
      <c r="C266" s="1215" t="s">
        <v>1650</v>
      </c>
      <c r="D266" s="1231"/>
      <c r="E266" s="1249">
        <f>Table2[[#This Row],[MRL2]]</f>
        <v>0</v>
      </c>
      <c r="F266" s="1461" t="str">
        <f>Table2[[#This Row],[LOQ2]]</f>
        <v/>
      </c>
      <c r="G266" s="898">
        <f>LEN(Table2[[#This Row],[Please insert here the MRLs of COM database (use ''paste values'' function)]])</f>
        <v>0</v>
      </c>
      <c r="H26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66" s="898">
        <f>LEN(Table2[[#This Row],[(ft)]])</f>
        <v>1</v>
      </c>
      <c r="J266" s="898">
        <f>IF(Table2[[#This Row],[LOQ2]]="*",LEFT(Table2[[#This Row],[(ft)]],Table2[[#This Row],[length trimmed 1]]-1),Table2[[#This Row],[(ft)]])</f>
        <v>0</v>
      </c>
      <c r="K266" s="898">
        <f>IF(Table2[[#This Row],[MRL_text]]="","",Table2[[#This Row],[MRL_text]]*1)</f>
        <v>0</v>
      </c>
      <c r="L266" s="898" t="str">
        <f>IF(RIGHT(Table2[[#This Row],[(ft)]],1)="*","*","")</f>
        <v/>
      </c>
    </row>
    <row r="267" spans="1:12" ht="13.15" customHeight="1" x14ac:dyDescent="0.2">
      <c r="A267" s="1212">
        <v>633020</v>
      </c>
      <c r="B267" s="1212" t="s">
        <v>1651</v>
      </c>
      <c r="C267" s="1215" t="s">
        <v>1652</v>
      </c>
      <c r="D267" s="1231"/>
      <c r="E267" s="1249">
        <f>Table2[[#This Row],[MRL2]]</f>
        <v>0</v>
      </c>
      <c r="F267" s="1461" t="str">
        <f>Table2[[#This Row],[LOQ2]]</f>
        <v/>
      </c>
      <c r="G267" s="898">
        <f>LEN(Table2[[#This Row],[Please insert here the MRLs of COM database (use ''paste values'' function)]])</f>
        <v>0</v>
      </c>
      <c r="H26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67" s="898">
        <f>LEN(Table2[[#This Row],[(ft)]])</f>
        <v>1</v>
      </c>
      <c r="J267" s="898">
        <f>IF(Table2[[#This Row],[LOQ2]]="*",LEFT(Table2[[#This Row],[(ft)]],Table2[[#This Row],[length trimmed 1]]-1),Table2[[#This Row],[(ft)]])</f>
        <v>0</v>
      </c>
      <c r="K267" s="898">
        <f>IF(Table2[[#This Row],[MRL_text]]="","",Table2[[#This Row],[MRL_text]]*1)</f>
        <v>0</v>
      </c>
      <c r="L267" s="898" t="str">
        <f>IF(RIGHT(Table2[[#This Row],[(ft)]],1)="*","*","")</f>
        <v/>
      </c>
    </row>
    <row r="268" spans="1:12" ht="13.15" customHeight="1" x14ac:dyDescent="0.2">
      <c r="A268" s="1212">
        <v>633990</v>
      </c>
      <c r="B268" s="1212" t="s">
        <v>1653</v>
      </c>
      <c r="C268" s="1215" t="s">
        <v>1177</v>
      </c>
      <c r="D268" s="1231"/>
      <c r="E268" s="1249">
        <f>Table2[[#This Row],[MRL2]]</f>
        <v>0</v>
      </c>
      <c r="F268" s="1461" t="str">
        <f>Table2[[#This Row],[LOQ2]]</f>
        <v/>
      </c>
      <c r="G268" s="898">
        <f>LEN(Table2[[#This Row],[Please insert here the MRLs of COM database (use ''paste values'' function)]])</f>
        <v>0</v>
      </c>
      <c r="H26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68" s="898">
        <f>LEN(Table2[[#This Row],[(ft)]])</f>
        <v>1</v>
      </c>
      <c r="J268" s="898">
        <f>IF(Table2[[#This Row],[LOQ2]]="*",LEFT(Table2[[#This Row],[(ft)]],Table2[[#This Row],[length trimmed 1]]-1),Table2[[#This Row],[(ft)]])</f>
        <v>0</v>
      </c>
      <c r="K268" s="898">
        <f>IF(Table2[[#This Row],[MRL_text]]="","",Table2[[#This Row],[MRL_text]]*1)</f>
        <v>0</v>
      </c>
      <c r="L268" s="898" t="str">
        <f>IF(RIGHT(Table2[[#This Row],[(ft)]],1)="*","*","")</f>
        <v/>
      </c>
    </row>
    <row r="269" spans="1:12" ht="13.15" customHeight="1" x14ac:dyDescent="0.2">
      <c r="A269" s="1212">
        <v>639000</v>
      </c>
      <c r="B269" s="1212" t="s">
        <v>1654</v>
      </c>
      <c r="C269" s="1215" t="s">
        <v>1655</v>
      </c>
      <c r="D269" s="1231"/>
      <c r="E269" s="1247">
        <f>Table2[[#This Row],[MRL2]]</f>
        <v>0</v>
      </c>
      <c r="F269" s="1460" t="str">
        <f>Table2[[#This Row],[LOQ2]]</f>
        <v/>
      </c>
      <c r="G269" s="898">
        <f>LEN(Table2[[#This Row],[Please insert here the MRLs of COM database (use ''paste values'' function)]])</f>
        <v>0</v>
      </c>
      <c r="H26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69" s="898">
        <f>LEN(Table2[[#This Row],[(ft)]])</f>
        <v>1</v>
      </c>
      <c r="J269" s="898">
        <f>IF(Table2[[#This Row],[LOQ2]]="*",LEFT(Table2[[#This Row],[(ft)]],Table2[[#This Row],[length trimmed 1]]-1),Table2[[#This Row],[(ft)]])</f>
        <v>0</v>
      </c>
      <c r="K269" s="898">
        <f>IF(Table2[[#This Row],[MRL_text]]="","",Table2[[#This Row],[MRL_text]]*1)</f>
        <v>0</v>
      </c>
      <c r="L269" s="898" t="str">
        <f>IF(RIGHT(Table2[[#This Row],[(ft)]],1)="*","*","")</f>
        <v/>
      </c>
    </row>
    <row r="270" spans="1:12" ht="13.15" customHeight="1" x14ac:dyDescent="0.2">
      <c r="A270" s="1211">
        <v>640000</v>
      </c>
      <c r="B270" s="1211" t="s">
        <v>1656</v>
      </c>
      <c r="C270" s="1236" t="s">
        <v>1657</v>
      </c>
      <c r="D270" s="1230"/>
      <c r="E270" s="1249">
        <f>Table2[[#This Row],[MRL2]]</f>
        <v>0</v>
      </c>
      <c r="F270" s="1461" t="str">
        <f>Table2[[#This Row],[LOQ2]]</f>
        <v/>
      </c>
      <c r="G270" s="898">
        <f>LEN(Table2[[#This Row],[Please insert here the MRLs of COM database (use ''paste values'' function)]])</f>
        <v>0</v>
      </c>
      <c r="H27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70" s="898">
        <f>LEN(Table2[[#This Row],[(ft)]])</f>
        <v>1</v>
      </c>
      <c r="J270" s="898">
        <f>IF(Table2[[#This Row],[LOQ2]]="*",LEFT(Table2[[#This Row],[(ft)]],Table2[[#This Row],[length trimmed 1]]-1),Table2[[#This Row],[(ft)]])</f>
        <v>0</v>
      </c>
      <c r="K270" s="898">
        <f>IF(Table2[[#This Row],[MRL_text]]="","",Table2[[#This Row],[MRL_text]]*1)</f>
        <v>0</v>
      </c>
      <c r="L270" s="898" t="str">
        <f>IF(RIGHT(Table2[[#This Row],[(ft)]],1)="*","*","")</f>
        <v/>
      </c>
    </row>
    <row r="271" spans="1:12" ht="13.15" customHeight="1" x14ac:dyDescent="0.2">
      <c r="A271" s="1211">
        <v>650000</v>
      </c>
      <c r="B271" s="1211" t="s">
        <v>1658</v>
      </c>
      <c r="C271" s="1236" t="s">
        <v>1659</v>
      </c>
      <c r="D271" s="1230"/>
      <c r="E271" s="1249">
        <f>Table2[[#This Row],[MRL2]]</f>
        <v>0</v>
      </c>
      <c r="F271" s="1461" t="str">
        <f>Table2[[#This Row],[LOQ2]]</f>
        <v/>
      </c>
      <c r="G271" s="898">
        <f>LEN(Table2[[#This Row],[Please insert here the MRLs of COM database (use ''paste values'' function)]])</f>
        <v>0</v>
      </c>
      <c r="H27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71" s="898">
        <f>LEN(Table2[[#This Row],[(ft)]])</f>
        <v>1</v>
      </c>
      <c r="J271" s="898">
        <f>IF(Table2[[#This Row],[LOQ2]]="*",LEFT(Table2[[#This Row],[(ft)]],Table2[[#This Row],[length trimmed 1]]-1),Table2[[#This Row],[(ft)]])</f>
        <v>0</v>
      </c>
      <c r="K271" s="898">
        <f>IF(Table2[[#This Row],[MRL_text]]="","",Table2[[#This Row],[MRL_text]]*1)</f>
        <v>0</v>
      </c>
      <c r="L271" s="898" t="str">
        <f>IF(RIGHT(Table2[[#This Row],[(ft)]],1)="*","*","")</f>
        <v/>
      </c>
    </row>
    <row r="272" spans="1:12" ht="13.15" customHeight="1" x14ac:dyDescent="0.2">
      <c r="A272" s="1211">
        <v>700000</v>
      </c>
      <c r="B272" s="1211" t="s">
        <v>1660</v>
      </c>
      <c r="C272" s="1236" t="s">
        <v>1661</v>
      </c>
      <c r="D272" s="1230"/>
      <c r="E272" s="1249">
        <f>Table2[[#This Row],[MRL2]]</f>
        <v>0</v>
      </c>
      <c r="F272" s="1461" t="str">
        <f>Table2[[#This Row],[LOQ2]]</f>
        <v/>
      </c>
      <c r="G272" s="898">
        <f>LEN(Table2[[#This Row],[Please insert here the MRLs of COM database (use ''paste values'' function)]])</f>
        <v>0</v>
      </c>
      <c r="H27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72" s="898">
        <f>LEN(Table2[[#This Row],[(ft)]])</f>
        <v>1</v>
      </c>
      <c r="J272" s="898">
        <f>IF(Table2[[#This Row],[LOQ2]]="*",LEFT(Table2[[#This Row],[(ft)]],Table2[[#This Row],[length trimmed 1]]-1),Table2[[#This Row],[(ft)]])</f>
        <v>0</v>
      </c>
      <c r="K272" s="898">
        <f>IF(Table2[[#This Row],[MRL_text]]="","",Table2[[#This Row],[MRL_text]]*1)</f>
        <v>0</v>
      </c>
      <c r="L272" s="898" t="str">
        <f>IF(RIGHT(Table2[[#This Row],[(ft)]],1)="*","*","")</f>
        <v/>
      </c>
    </row>
    <row r="273" spans="1:12" ht="13.15" customHeight="1" x14ac:dyDescent="0.2">
      <c r="A273" s="1211">
        <v>800000</v>
      </c>
      <c r="B273" s="1211" t="s">
        <v>1662</v>
      </c>
      <c r="C273" s="1236" t="s">
        <v>1663</v>
      </c>
      <c r="D273" s="1230"/>
      <c r="E273" s="1247">
        <f>Table2[[#This Row],[MRL2]]</f>
        <v>0</v>
      </c>
      <c r="F273" s="1460" t="str">
        <f>Table2[[#This Row],[LOQ2]]</f>
        <v/>
      </c>
      <c r="G273" s="898">
        <f>LEN(Table2[[#This Row],[Please insert here the MRLs of COM database (use ''paste values'' function)]])</f>
        <v>0</v>
      </c>
      <c r="H27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73" s="898">
        <f>LEN(Table2[[#This Row],[(ft)]])</f>
        <v>1</v>
      </c>
      <c r="J273" s="898">
        <f>IF(Table2[[#This Row],[LOQ2]]="*",LEFT(Table2[[#This Row],[(ft)]],Table2[[#This Row],[length trimmed 1]]-1),Table2[[#This Row],[(ft)]])</f>
        <v>0</v>
      </c>
      <c r="K273" s="898">
        <f>IF(Table2[[#This Row],[MRL_text]]="","",Table2[[#This Row],[MRL_text]]*1)</f>
        <v>0</v>
      </c>
      <c r="L273" s="898" t="str">
        <f>IF(RIGHT(Table2[[#This Row],[(ft)]],1)="*","*","")</f>
        <v/>
      </c>
    </row>
    <row r="274" spans="1:12" ht="13.15" customHeight="1" x14ac:dyDescent="0.2">
      <c r="A274" s="1211">
        <v>810000</v>
      </c>
      <c r="B274" s="1211" t="s">
        <v>1664</v>
      </c>
      <c r="C274" s="1236" t="s">
        <v>1665</v>
      </c>
      <c r="D274" s="1230"/>
      <c r="E274" s="1247">
        <f>Table2[[#This Row],[MRL2]]</f>
        <v>0</v>
      </c>
      <c r="F274" s="1460" t="str">
        <f>Table2[[#This Row],[LOQ2]]</f>
        <v/>
      </c>
      <c r="G274" s="898">
        <f>LEN(Table2[[#This Row],[Please insert here the MRLs of COM database (use ''paste values'' function)]])</f>
        <v>0</v>
      </c>
      <c r="H27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74" s="898">
        <f>LEN(Table2[[#This Row],[(ft)]])</f>
        <v>1</v>
      </c>
      <c r="J274" s="898">
        <f>IF(Table2[[#This Row],[LOQ2]]="*",LEFT(Table2[[#This Row],[(ft)]],Table2[[#This Row],[length trimmed 1]]-1),Table2[[#This Row],[(ft)]])</f>
        <v>0</v>
      </c>
      <c r="K274" s="898">
        <f>IF(Table2[[#This Row],[MRL_text]]="","",Table2[[#This Row],[MRL_text]]*1)</f>
        <v>0</v>
      </c>
      <c r="L274" s="898" t="str">
        <f>IF(RIGHT(Table2[[#This Row],[(ft)]],1)="*","*","")</f>
        <v/>
      </c>
    </row>
    <row r="275" spans="1:12" ht="13.15" customHeight="1" x14ac:dyDescent="0.2">
      <c r="A275" s="1212">
        <v>810010</v>
      </c>
      <c r="B275" s="1212" t="s">
        <v>1666</v>
      </c>
      <c r="C275" s="1215" t="s">
        <v>1667</v>
      </c>
      <c r="D275" s="1231"/>
      <c r="E275" s="1249">
        <f>Table2[[#This Row],[MRL2]]</f>
        <v>0</v>
      </c>
      <c r="F275" s="1461" t="str">
        <f>Table2[[#This Row],[LOQ2]]</f>
        <v/>
      </c>
      <c r="G275" s="898">
        <f>LEN(Table2[[#This Row],[Please insert here the MRLs of COM database (use ''paste values'' function)]])</f>
        <v>0</v>
      </c>
      <c r="H27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75" s="898">
        <f>LEN(Table2[[#This Row],[(ft)]])</f>
        <v>1</v>
      </c>
      <c r="J275" s="898">
        <f>IF(Table2[[#This Row],[LOQ2]]="*",LEFT(Table2[[#This Row],[(ft)]],Table2[[#This Row],[length trimmed 1]]-1),Table2[[#This Row],[(ft)]])</f>
        <v>0</v>
      </c>
      <c r="K275" s="898">
        <f>IF(Table2[[#This Row],[MRL_text]]="","",Table2[[#This Row],[MRL_text]]*1)</f>
        <v>0</v>
      </c>
      <c r="L275" s="898" t="str">
        <f>IF(RIGHT(Table2[[#This Row],[(ft)]],1)="*","*","")</f>
        <v/>
      </c>
    </row>
    <row r="276" spans="1:12" ht="13.15" customHeight="1" x14ac:dyDescent="0.2">
      <c r="A276" s="1212">
        <v>810020</v>
      </c>
      <c r="B276" s="1212" t="s">
        <v>1668</v>
      </c>
      <c r="C276" s="1215" t="s">
        <v>1669</v>
      </c>
      <c r="D276" s="1231"/>
      <c r="E276" s="1249">
        <f>Table2[[#This Row],[MRL2]]</f>
        <v>0</v>
      </c>
      <c r="F276" s="1461" t="str">
        <f>Table2[[#This Row],[LOQ2]]</f>
        <v/>
      </c>
      <c r="G276" s="898">
        <f>LEN(Table2[[#This Row],[Please insert here the MRLs of COM database (use ''paste values'' function)]])</f>
        <v>0</v>
      </c>
      <c r="H27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76" s="898">
        <f>LEN(Table2[[#This Row],[(ft)]])</f>
        <v>1</v>
      </c>
      <c r="J276" s="898">
        <f>IF(Table2[[#This Row],[LOQ2]]="*",LEFT(Table2[[#This Row],[(ft)]],Table2[[#This Row],[length trimmed 1]]-1),Table2[[#This Row],[(ft)]])</f>
        <v>0</v>
      </c>
      <c r="K276" s="898">
        <f>IF(Table2[[#This Row],[MRL_text]]="","",Table2[[#This Row],[MRL_text]]*1)</f>
        <v>0</v>
      </c>
      <c r="L276" s="898" t="str">
        <f>IF(RIGHT(Table2[[#This Row],[(ft)]],1)="*","*","")</f>
        <v/>
      </c>
    </row>
    <row r="277" spans="1:12" ht="13.15" customHeight="1" x14ac:dyDescent="0.2">
      <c r="A277" s="1212">
        <v>810030</v>
      </c>
      <c r="B277" s="1212" t="s">
        <v>1670</v>
      </c>
      <c r="C277" s="1215" t="s">
        <v>1671</v>
      </c>
      <c r="D277" s="1231"/>
      <c r="E277" s="1249">
        <f>Table2[[#This Row],[MRL2]]</f>
        <v>0</v>
      </c>
      <c r="F277" s="1461" t="str">
        <f>Table2[[#This Row],[LOQ2]]</f>
        <v/>
      </c>
      <c r="G277" s="898">
        <f>LEN(Table2[[#This Row],[Please insert here the MRLs of COM database (use ''paste values'' function)]])</f>
        <v>0</v>
      </c>
      <c r="H27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77" s="898">
        <f>LEN(Table2[[#This Row],[(ft)]])</f>
        <v>1</v>
      </c>
      <c r="J277" s="898">
        <f>IF(Table2[[#This Row],[LOQ2]]="*",LEFT(Table2[[#This Row],[(ft)]],Table2[[#This Row],[length trimmed 1]]-1),Table2[[#This Row],[(ft)]])</f>
        <v>0</v>
      </c>
      <c r="K277" s="898">
        <f>IF(Table2[[#This Row],[MRL_text]]="","",Table2[[#This Row],[MRL_text]]*1)</f>
        <v>0</v>
      </c>
      <c r="L277" s="898" t="str">
        <f>IF(RIGHT(Table2[[#This Row],[(ft)]],1)="*","*","")</f>
        <v/>
      </c>
    </row>
    <row r="278" spans="1:12" ht="13.15" customHeight="1" x14ac:dyDescent="0.2">
      <c r="A278" s="1212">
        <v>810040</v>
      </c>
      <c r="B278" s="1212" t="s">
        <v>1672</v>
      </c>
      <c r="C278" s="1215" t="s">
        <v>1673</v>
      </c>
      <c r="D278" s="1231"/>
      <c r="E278" s="1249">
        <f>Table2[[#This Row],[MRL2]]</f>
        <v>0</v>
      </c>
      <c r="F278" s="1461" t="str">
        <f>Table2[[#This Row],[LOQ2]]</f>
        <v/>
      </c>
      <c r="G278" s="898">
        <f>LEN(Table2[[#This Row],[Please insert here the MRLs of COM database (use ''paste values'' function)]])</f>
        <v>0</v>
      </c>
      <c r="H27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78" s="898">
        <f>LEN(Table2[[#This Row],[(ft)]])</f>
        <v>1</v>
      </c>
      <c r="J278" s="898">
        <f>IF(Table2[[#This Row],[LOQ2]]="*",LEFT(Table2[[#This Row],[(ft)]],Table2[[#This Row],[length trimmed 1]]-1),Table2[[#This Row],[(ft)]])</f>
        <v>0</v>
      </c>
      <c r="K278" s="898">
        <f>IF(Table2[[#This Row],[MRL_text]]="","",Table2[[#This Row],[MRL_text]]*1)</f>
        <v>0</v>
      </c>
      <c r="L278" s="898" t="str">
        <f>IF(RIGHT(Table2[[#This Row],[(ft)]],1)="*","*","")</f>
        <v/>
      </c>
    </row>
    <row r="279" spans="1:12" ht="13.15" customHeight="1" x14ac:dyDescent="0.2">
      <c r="A279" s="1212">
        <v>810050</v>
      </c>
      <c r="B279" s="1212" t="s">
        <v>1674</v>
      </c>
      <c r="C279" s="1215" t="s">
        <v>1675</v>
      </c>
      <c r="D279" s="1231"/>
      <c r="E279" s="1249">
        <f>Table2[[#This Row],[MRL2]]</f>
        <v>0</v>
      </c>
      <c r="F279" s="1461" t="str">
        <f>Table2[[#This Row],[LOQ2]]</f>
        <v/>
      </c>
      <c r="G279" s="898">
        <f>LEN(Table2[[#This Row],[Please insert here the MRLs of COM database (use ''paste values'' function)]])</f>
        <v>0</v>
      </c>
      <c r="H27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79" s="898">
        <f>LEN(Table2[[#This Row],[(ft)]])</f>
        <v>1</v>
      </c>
      <c r="J279" s="898">
        <f>IF(Table2[[#This Row],[LOQ2]]="*",LEFT(Table2[[#This Row],[(ft)]],Table2[[#This Row],[length trimmed 1]]-1),Table2[[#This Row],[(ft)]])</f>
        <v>0</v>
      </c>
      <c r="K279" s="898">
        <f>IF(Table2[[#This Row],[MRL_text]]="","",Table2[[#This Row],[MRL_text]]*1)</f>
        <v>0</v>
      </c>
      <c r="L279" s="898" t="str">
        <f>IF(RIGHT(Table2[[#This Row],[(ft)]],1)="*","*","")</f>
        <v/>
      </c>
    </row>
    <row r="280" spans="1:12" ht="13.15" customHeight="1" x14ac:dyDescent="0.2">
      <c r="A280" s="1212">
        <v>810060</v>
      </c>
      <c r="B280" s="1212" t="s">
        <v>1676</v>
      </c>
      <c r="C280" s="1215" t="s">
        <v>1677</v>
      </c>
      <c r="D280" s="1231"/>
      <c r="E280" s="1249">
        <f>Table2[[#This Row],[MRL2]]</f>
        <v>0</v>
      </c>
      <c r="F280" s="1461" t="str">
        <f>Table2[[#This Row],[LOQ2]]</f>
        <v/>
      </c>
      <c r="G280" s="898">
        <f>LEN(Table2[[#This Row],[Please insert here the MRLs of COM database (use ''paste values'' function)]])</f>
        <v>0</v>
      </c>
      <c r="H28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80" s="898">
        <f>LEN(Table2[[#This Row],[(ft)]])</f>
        <v>1</v>
      </c>
      <c r="J280" s="898">
        <f>IF(Table2[[#This Row],[LOQ2]]="*",LEFT(Table2[[#This Row],[(ft)]],Table2[[#This Row],[length trimmed 1]]-1),Table2[[#This Row],[(ft)]])</f>
        <v>0</v>
      </c>
      <c r="K280" s="898">
        <f>IF(Table2[[#This Row],[MRL_text]]="","",Table2[[#This Row],[MRL_text]]*1)</f>
        <v>0</v>
      </c>
      <c r="L280" s="898" t="str">
        <f>IF(RIGHT(Table2[[#This Row],[(ft)]],1)="*","*","")</f>
        <v/>
      </c>
    </row>
    <row r="281" spans="1:12" ht="13.15" customHeight="1" x14ac:dyDescent="0.2">
      <c r="A281" s="1212">
        <v>810070</v>
      </c>
      <c r="B281" s="1212" t="s">
        <v>1678</v>
      </c>
      <c r="C281" s="1215" t="s">
        <v>1679</v>
      </c>
      <c r="D281" s="1231"/>
      <c r="E281" s="1249">
        <f>Table2[[#This Row],[MRL2]]</f>
        <v>0</v>
      </c>
      <c r="F281" s="1461" t="str">
        <f>Table2[[#This Row],[LOQ2]]</f>
        <v/>
      </c>
      <c r="G281" s="898">
        <f>LEN(Table2[[#This Row],[Please insert here the MRLs of COM database (use ''paste values'' function)]])</f>
        <v>0</v>
      </c>
      <c r="H28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81" s="898">
        <f>LEN(Table2[[#This Row],[(ft)]])</f>
        <v>1</v>
      </c>
      <c r="J281" s="898">
        <f>IF(Table2[[#This Row],[LOQ2]]="*",LEFT(Table2[[#This Row],[(ft)]],Table2[[#This Row],[length trimmed 1]]-1),Table2[[#This Row],[(ft)]])</f>
        <v>0</v>
      </c>
      <c r="K281" s="898">
        <f>IF(Table2[[#This Row],[MRL_text]]="","",Table2[[#This Row],[MRL_text]]*1)</f>
        <v>0</v>
      </c>
      <c r="L281" s="898" t="str">
        <f>IF(RIGHT(Table2[[#This Row],[(ft)]],1)="*","*","")</f>
        <v/>
      </c>
    </row>
    <row r="282" spans="1:12" ht="13.15" customHeight="1" x14ac:dyDescent="0.2">
      <c r="A282" s="1212">
        <v>810080</v>
      </c>
      <c r="B282" s="1212" t="s">
        <v>1680</v>
      </c>
      <c r="C282" s="1215" t="s">
        <v>1681</v>
      </c>
      <c r="D282" s="1231"/>
      <c r="E282" s="1249">
        <f>Table2[[#This Row],[MRL2]]</f>
        <v>0</v>
      </c>
      <c r="F282" s="1461" t="str">
        <f>Table2[[#This Row],[LOQ2]]</f>
        <v/>
      </c>
      <c r="G282" s="898">
        <f>LEN(Table2[[#This Row],[Please insert here the MRLs of COM database (use ''paste values'' function)]])</f>
        <v>0</v>
      </c>
      <c r="H28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82" s="898">
        <f>LEN(Table2[[#This Row],[(ft)]])</f>
        <v>1</v>
      </c>
      <c r="J282" s="898">
        <f>IF(Table2[[#This Row],[LOQ2]]="*",LEFT(Table2[[#This Row],[(ft)]],Table2[[#This Row],[length trimmed 1]]-1),Table2[[#This Row],[(ft)]])</f>
        <v>0</v>
      </c>
      <c r="K282" s="898">
        <f>IF(Table2[[#This Row],[MRL_text]]="","",Table2[[#This Row],[MRL_text]]*1)</f>
        <v>0</v>
      </c>
      <c r="L282" s="898" t="str">
        <f>IF(RIGHT(Table2[[#This Row],[(ft)]],1)="*","*","")</f>
        <v/>
      </c>
    </row>
    <row r="283" spans="1:12" ht="13.15" customHeight="1" x14ac:dyDescent="0.2">
      <c r="A283" s="1212">
        <v>810090</v>
      </c>
      <c r="B283" s="1212" t="s">
        <v>1682</v>
      </c>
      <c r="C283" s="1215" t="s">
        <v>1683</v>
      </c>
      <c r="D283" s="1231"/>
      <c r="E283" s="1249">
        <f>Table2[[#This Row],[MRL2]]</f>
        <v>0</v>
      </c>
      <c r="F283" s="1461" t="str">
        <f>Table2[[#This Row],[LOQ2]]</f>
        <v/>
      </c>
      <c r="G283" s="898">
        <f>LEN(Table2[[#This Row],[Please insert here the MRLs of COM database (use ''paste values'' function)]])</f>
        <v>0</v>
      </c>
      <c r="H28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83" s="898">
        <f>LEN(Table2[[#This Row],[(ft)]])</f>
        <v>1</v>
      </c>
      <c r="J283" s="898">
        <f>IF(Table2[[#This Row],[LOQ2]]="*",LEFT(Table2[[#This Row],[(ft)]],Table2[[#This Row],[length trimmed 1]]-1),Table2[[#This Row],[(ft)]])</f>
        <v>0</v>
      </c>
      <c r="K283" s="898">
        <f>IF(Table2[[#This Row],[MRL_text]]="","",Table2[[#This Row],[MRL_text]]*1)</f>
        <v>0</v>
      </c>
      <c r="L283" s="898" t="str">
        <f>IF(RIGHT(Table2[[#This Row],[(ft)]],1)="*","*","")</f>
        <v/>
      </c>
    </row>
    <row r="284" spans="1:12" ht="13.15" customHeight="1" x14ac:dyDescent="0.2">
      <c r="A284" s="1212">
        <v>810990</v>
      </c>
      <c r="B284" s="1212" t="s">
        <v>1684</v>
      </c>
      <c r="C284" s="1215" t="s">
        <v>1177</v>
      </c>
      <c r="D284" s="1231"/>
      <c r="E284" s="1249">
        <f>Table2[[#This Row],[MRL2]]</f>
        <v>0</v>
      </c>
      <c r="F284" s="1461" t="str">
        <f>Table2[[#This Row],[LOQ2]]</f>
        <v/>
      </c>
      <c r="G284" s="898">
        <f>LEN(Table2[[#This Row],[Please insert here the MRLs of COM database (use ''paste values'' function)]])</f>
        <v>0</v>
      </c>
      <c r="H28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84" s="898">
        <f>LEN(Table2[[#This Row],[(ft)]])</f>
        <v>1</v>
      </c>
      <c r="J284" s="898">
        <f>IF(Table2[[#This Row],[LOQ2]]="*",LEFT(Table2[[#This Row],[(ft)]],Table2[[#This Row],[length trimmed 1]]-1),Table2[[#This Row],[(ft)]])</f>
        <v>0</v>
      </c>
      <c r="K284" s="898">
        <f>IF(Table2[[#This Row],[MRL_text]]="","",Table2[[#This Row],[MRL_text]]*1)</f>
        <v>0</v>
      </c>
      <c r="L284" s="898" t="str">
        <f>IF(RIGHT(Table2[[#This Row],[(ft)]],1)="*","*","")</f>
        <v/>
      </c>
    </row>
    <row r="285" spans="1:12" ht="13.15" customHeight="1" x14ac:dyDescent="0.2">
      <c r="A285" s="1211">
        <v>820000</v>
      </c>
      <c r="B285" s="1211" t="s">
        <v>1685</v>
      </c>
      <c r="C285" s="1236" t="s">
        <v>1686</v>
      </c>
      <c r="D285" s="1230"/>
      <c r="E285" s="1247">
        <f>Table2[[#This Row],[MRL2]]</f>
        <v>0</v>
      </c>
      <c r="F285" s="1460" t="str">
        <f>Table2[[#This Row],[LOQ2]]</f>
        <v/>
      </c>
      <c r="G285" s="898">
        <f>LEN(Table2[[#This Row],[Please insert here the MRLs of COM database (use ''paste values'' function)]])</f>
        <v>0</v>
      </c>
      <c r="H28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85" s="898">
        <f>LEN(Table2[[#This Row],[(ft)]])</f>
        <v>1</v>
      </c>
      <c r="J285" s="898">
        <f>IF(Table2[[#This Row],[LOQ2]]="*",LEFT(Table2[[#This Row],[(ft)]],Table2[[#This Row],[length trimmed 1]]-1),Table2[[#This Row],[(ft)]])</f>
        <v>0</v>
      </c>
      <c r="K285" s="898">
        <f>IF(Table2[[#This Row],[MRL_text]]="","",Table2[[#This Row],[MRL_text]]*1)</f>
        <v>0</v>
      </c>
      <c r="L285" s="898" t="str">
        <f>IF(RIGHT(Table2[[#This Row],[(ft)]],1)="*","*","")</f>
        <v/>
      </c>
    </row>
    <row r="286" spans="1:12" ht="13.15" customHeight="1" x14ac:dyDescent="0.2">
      <c r="A286" s="1212">
        <v>820010</v>
      </c>
      <c r="B286" s="1212" t="s">
        <v>1687</v>
      </c>
      <c r="C286" s="1215" t="s">
        <v>1688</v>
      </c>
      <c r="D286" s="1231"/>
      <c r="E286" s="1249">
        <f>Table2[[#This Row],[MRL2]]</f>
        <v>0</v>
      </c>
      <c r="F286" s="1461" t="str">
        <f>Table2[[#This Row],[LOQ2]]</f>
        <v/>
      </c>
      <c r="G286" s="898">
        <f>LEN(Table2[[#This Row],[Please insert here the MRLs of COM database (use ''paste values'' function)]])</f>
        <v>0</v>
      </c>
      <c r="H28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86" s="898">
        <f>LEN(Table2[[#This Row],[(ft)]])</f>
        <v>1</v>
      </c>
      <c r="J286" s="898">
        <f>IF(Table2[[#This Row],[LOQ2]]="*",LEFT(Table2[[#This Row],[(ft)]],Table2[[#This Row],[length trimmed 1]]-1),Table2[[#This Row],[(ft)]])</f>
        <v>0</v>
      </c>
      <c r="K286" s="898">
        <f>IF(Table2[[#This Row],[MRL_text]]="","",Table2[[#This Row],[MRL_text]]*1)</f>
        <v>0</v>
      </c>
      <c r="L286" s="898" t="str">
        <f>IF(RIGHT(Table2[[#This Row],[(ft)]],1)="*","*","")</f>
        <v/>
      </c>
    </row>
    <row r="287" spans="1:12" ht="13.15" customHeight="1" x14ac:dyDescent="0.2">
      <c r="A287" s="1212">
        <v>820020</v>
      </c>
      <c r="B287" s="1212" t="s">
        <v>1689</v>
      </c>
      <c r="C287" s="1215" t="s">
        <v>1690</v>
      </c>
      <c r="D287" s="1231"/>
      <c r="E287" s="1249">
        <f>Table2[[#This Row],[MRL2]]</f>
        <v>0</v>
      </c>
      <c r="F287" s="1461" t="str">
        <f>Table2[[#This Row],[LOQ2]]</f>
        <v/>
      </c>
      <c r="G287" s="898">
        <f>LEN(Table2[[#This Row],[Please insert here the MRLs of COM database (use ''paste values'' function)]])</f>
        <v>0</v>
      </c>
      <c r="H28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87" s="898">
        <f>LEN(Table2[[#This Row],[(ft)]])</f>
        <v>1</v>
      </c>
      <c r="J287" s="898">
        <f>IF(Table2[[#This Row],[LOQ2]]="*",LEFT(Table2[[#This Row],[(ft)]],Table2[[#This Row],[length trimmed 1]]-1),Table2[[#This Row],[(ft)]])</f>
        <v>0</v>
      </c>
      <c r="K287" s="898">
        <f>IF(Table2[[#This Row],[MRL_text]]="","",Table2[[#This Row],[MRL_text]]*1)</f>
        <v>0</v>
      </c>
      <c r="L287" s="898" t="str">
        <f>IF(RIGHT(Table2[[#This Row],[(ft)]],1)="*","*","")</f>
        <v/>
      </c>
    </row>
    <row r="288" spans="1:12" ht="13.15" customHeight="1" x14ac:dyDescent="0.2">
      <c r="A288" s="1212">
        <v>820030</v>
      </c>
      <c r="B288" s="1212" t="s">
        <v>1691</v>
      </c>
      <c r="C288" s="1215" t="s">
        <v>1692</v>
      </c>
      <c r="D288" s="1231"/>
      <c r="E288" s="1249">
        <f>Table2[[#This Row],[MRL2]]</f>
        <v>0</v>
      </c>
      <c r="F288" s="1461" t="str">
        <f>Table2[[#This Row],[LOQ2]]</f>
        <v/>
      </c>
      <c r="G288" s="898">
        <f>LEN(Table2[[#This Row],[Please insert here the MRLs of COM database (use ''paste values'' function)]])</f>
        <v>0</v>
      </c>
      <c r="H28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88" s="898">
        <f>LEN(Table2[[#This Row],[(ft)]])</f>
        <v>1</v>
      </c>
      <c r="J288" s="898">
        <f>IF(Table2[[#This Row],[LOQ2]]="*",LEFT(Table2[[#This Row],[(ft)]],Table2[[#This Row],[length trimmed 1]]-1),Table2[[#This Row],[(ft)]])</f>
        <v>0</v>
      </c>
      <c r="K288" s="898">
        <f>IF(Table2[[#This Row],[MRL_text]]="","",Table2[[#This Row],[MRL_text]]*1)</f>
        <v>0</v>
      </c>
      <c r="L288" s="898" t="str">
        <f>IF(RIGHT(Table2[[#This Row],[(ft)]],1)="*","*","")</f>
        <v/>
      </c>
    </row>
    <row r="289" spans="1:12" ht="13.15" customHeight="1" x14ac:dyDescent="0.2">
      <c r="A289" s="1212">
        <v>820040</v>
      </c>
      <c r="B289" s="1212" t="s">
        <v>1693</v>
      </c>
      <c r="C289" s="1215" t="s">
        <v>1694</v>
      </c>
      <c r="D289" s="1231"/>
      <c r="E289" s="1249">
        <f>Table2[[#This Row],[MRL2]]</f>
        <v>0</v>
      </c>
      <c r="F289" s="1461" t="str">
        <f>Table2[[#This Row],[LOQ2]]</f>
        <v/>
      </c>
      <c r="G289" s="898">
        <f>LEN(Table2[[#This Row],[Please insert here the MRLs of COM database (use ''paste values'' function)]])</f>
        <v>0</v>
      </c>
      <c r="H28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89" s="898">
        <f>LEN(Table2[[#This Row],[(ft)]])</f>
        <v>1</v>
      </c>
      <c r="J289" s="898">
        <f>IF(Table2[[#This Row],[LOQ2]]="*",LEFT(Table2[[#This Row],[(ft)]],Table2[[#This Row],[length trimmed 1]]-1),Table2[[#This Row],[(ft)]])</f>
        <v>0</v>
      </c>
      <c r="K289" s="898">
        <f>IF(Table2[[#This Row],[MRL_text]]="","",Table2[[#This Row],[MRL_text]]*1)</f>
        <v>0</v>
      </c>
      <c r="L289" s="898" t="str">
        <f>IF(RIGHT(Table2[[#This Row],[(ft)]],1)="*","*","")</f>
        <v/>
      </c>
    </row>
    <row r="290" spans="1:12" ht="13.15" customHeight="1" x14ac:dyDescent="0.2">
      <c r="A290" s="1212">
        <v>820050</v>
      </c>
      <c r="B290" s="1212" t="s">
        <v>1695</v>
      </c>
      <c r="C290" s="1215" t="s">
        <v>1696</v>
      </c>
      <c r="D290" s="1231"/>
      <c r="E290" s="1249">
        <f>Table2[[#This Row],[MRL2]]</f>
        <v>0</v>
      </c>
      <c r="F290" s="1461" t="str">
        <f>Table2[[#This Row],[LOQ2]]</f>
        <v/>
      </c>
      <c r="G290" s="898">
        <f>LEN(Table2[[#This Row],[Please insert here the MRLs of COM database (use ''paste values'' function)]])</f>
        <v>0</v>
      </c>
      <c r="H29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90" s="898">
        <f>LEN(Table2[[#This Row],[(ft)]])</f>
        <v>1</v>
      </c>
      <c r="J290" s="898">
        <f>IF(Table2[[#This Row],[LOQ2]]="*",LEFT(Table2[[#This Row],[(ft)]],Table2[[#This Row],[length trimmed 1]]-1),Table2[[#This Row],[(ft)]])</f>
        <v>0</v>
      </c>
      <c r="K290" s="898">
        <f>IF(Table2[[#This Row],[MRL_text]]="","",Table2[[#This Row],[MRL_text]]*1)</f>
        <v>0</v>
      </c>
      <c r="L290" s="898" t="str">
        <f>IF(RIGHT(Table2[[#This Row],[(ft)]],1)="*","*","")</f>
        <v/>
      </c>
    </row>
    <row r="291" spans="1:12" ht="13.15" customHeight="1" x14ac:dyDescent="0.2">
      <c r="A291" s="1212">
        <v>820060</v>
      </c>
      <c r="B291" s="1212" t="s">
        <v>1697</v>
      </c>
      <c r="C291" s="1215" t="s">
        <v>1698</v>
      </c>
      <c r="D291" s="1231"/>
      <c r="E291" s="1249">
        <f>Table2[[#This Row],[MRL2]]</f>
        <v>0</v>
      </c>
      <c r="F291" s="1461" t="str">
        <f>Table2[[#This Row],[LOQ2]]</f>
        <v/>
      </c>
      <c r="G291" s="898">
        <f>LEN(Table2[[#This Row],[Please insert here the MRLs of COM database (use ''paste values'' function)]])</f>
        <v>0</v>
      </c>
      <c r="H29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91" s="898">
        <f>LEN(Table2[[#This Row],[(ft)]])</f>
        <v>1</v>
      </c>
      <c r="J291" s="898">
        <f>IF(Table2[[#This Row],[LOQ2]]="*",LEFT(Table2[[#This Row],[(ft)]],Table2[[#This Row],[length trimmed 1]]-1),Table2[[#This Row],[(ft)]])</f>
        <v>0</v>
      </c>
      <c r="K291" s="898">
        <f>IF(Table2[[#This Row],[MRL_text]]="","",Table2[[#This Row],[MRL_text]]*1)</f>
        <v>0</v>
      </c>
      <c r="L291" s="898" t="str">
        <f>IF(RIGHT(Table2[[#This Row],[(ft)]],1)="*","*","")</f>
        <v/>
      </c>
    </row>
    <row r="292" spans="1:12" ht="13.15" customHeight="1" x14ac:dyDescent="0.2">
      <c r="A292" s="1212">
        <v>820070</v>
      </c>
      <c r="B292" s="1212" t="s">
        <v>1699</v>
      </c>
      <c r="C292" s="1215" t="s">
        <v>1700</v>
      </c>
      <c r="D292" s="1231"/>
      <c r="E292" s="1249">
        <f>Table2[[#This Row],[MRL2]]</f>
        <v>0</v>
      </c>
      <c r="F292" s="1461" t="str">
        <f>Table2[[#This Row],[LOQ2]]</f>
        <v/>
      </c>
      <c r="G292" s="898">
        <f>LEN(Table2[[#This Row],[Please insert here the MRLs of COM database (use ''paste values'' function)]])</f>
        <v>0</v>
      </c>
      <c r="H29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92" s="898">
        <f>LEN(Table2[[#This Row],[(ft)]])</f>
        <v>1</v>
      </c>
      <c r="J292" s="898">
        <f>IF(Table2[[#This Row],[LOQ2]]="*",LEFT(Table2[[#This Row],[(ft)]],Table2[[#This Row],[length trimmed 1]]-1),Table2[[#This Row],[(ft)]])</f>
        <v>0</v>
      </c>
      <c r="K292" s="898">
        <f>IF(Table2[[#This Row],[MRL_text]]="","",Table2[[#This Row],[MRL_text]]*1)</f>
        <v>0</v>
      </c>
      <c r="L292" s="898" t="str">
        <f>IF(RIGHT(Table2[[#This Row],[(ft)]],1)="*","*","")</f>
        <v/>
      </c>
    </row>
    <row r="293" spans="1:12" ht="13.15" customHeight="1" x14ac:dyDescent="0.2">
      <c r="A293" s="1212">
        <v>820080</v>
      </c>
      <c r="B293" s="1212" t="s">
        <v>1701</v>
      </c>
      <c r="C293" s="1215" t="s">
        <v>1702</v>
      </c>
      <c r="D293" s="1231"/>
      <c r="E293" s="1249">
        <f>Table2[[#This Row],[MRL2]]</f>
        <v>0</v>
      </c>
      <c r="F293" s="1461" t="str">
        <f>Table2[[#This Row],[LOQ2]]</f>
        <v/>
      </c>
      <c r="G293" s="898">
        <f>LEN(Table2[[#This Row],[Please insert here the MRLs of COM database (use ''paste values'' function)]])</f>
        <v>0</v>
      </c>
      <c r="H29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93" s="898">
        <f>LEN(Table2[[#This Row],[(ft)]])</f>
        <v>1</v>
      </c>
      <c r="J293" s="898">
        <f>IF(Table2[[#This Row],[LOQ2]]="*",LEFT(Table2[[#This Row],[(ft)]],Table2[[#This Row],[length trimmed 1]]-1),Table2[[#This Row],[(ft)]])</f>
        <v>0</v>
      </c>
      <c r="K293" s="898">
        <f>IF(Table2[[#This Row],[MRL_text]]="","",Table2[[#This Row],[MRL_text]]*1)</f>
        <v>0</v>
      </c>
      <c r="L293" s="898" t="str">
        <f>IF(RIGHT(Table2[[#This Row],[(ft)]],1)="*","*","")</f>
        <v/>
      </c>
    </row>
    <row r="294" spans="1:12" ht="13.15" customHeight="1" x14ac:dyDescent="0.2">
      <c r="A294" s="1212">
        <v>820990</v>
      </c>
      <c r="B294" s="1212" t="s">
        <v>1703</v>
      </c>
      <c r="C294" s="1215" t="s">
        <v>1177</v>
      </c>
      <c r="D294" s="1231"/>
      <c r="E294" s="1249">
        <f>Table2[[#This Row],[MRL2]]</f>
        <v>0</v>
      </c>
      <c r="F294" s="1461" t="str">
        <f>Table2[[#This Row],[LOQ2]]</f>
        <v/>
      </c>
      <c r="G294" s="898">
        <f>LEN(Table2[[#This Row],[Please insert here the MRLs of COM database (use ''paste values'' function)]])</f>
        <v>0</v>
      </c>
      <c r="H29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94" s="898">
        <f>LEN(Table2[[#This Row],[(ft)]])</f>
        <v>1</v>
      </c>
      <c r="J294" s="898">
        <f>IF(Table2[[#This Row],[LOQ2]]="*",LEFT(Table2[[#This Row],[(ft)]],Table2[[#This Row],[length trimmed 1]]-1),Table2[[#This Row],[(ft)]])</f>
        <v>0</v>
      </c>
      <c r="K294" s="898">
        <f>IF(Table2[[#This Row],[MRL_text]]="","",Table2[[#This Row],[MRL_text]]*1)</f>
        <v>0</v>
      </c>
      <c r="L294" s="898" t="str">
        <f>IF(RIGHT(Table2[[#This Row],[(ft)]],1)="*","*","")</f>
        <v/>
      </c>
    </row>
    <row r="295" spans="1:12" ht="13.15" customHeight="1" x14ac:dyDescent="0.2">
      <c r="A295" s="1211">
        <v>830000</v>
      </c>
      <c r="B295" s="1211" t="s">
        <v>1704</v>
      </c>
      <c r="C295" s="1236" t="s">
        <v>1705</v>
      </c>
      <c r="D295" s="1230"/>
      <c r="E295" s="1247">
        <f>Table2[[#This Row],[MRL2]]</f>
        <v>0</v>
      </c>
      <c r="F295" s="1460" t="str">
        <f>Table2[[#This Row],[LOQ2]]</f>
        <v/>
      </c>
      <c r="G295" s="898">
        <f>LEN(Table2[[#This Row],[Please insert here the MRLs of COM database (use ''paste values'' function)]])</f>
        <v>0</v>
      </c>
      <c r="H29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95" s="898">
        <f>LEN(Table2[[#This Row],[(ft)]])</f>
        <v>1</v>
      </c>
      <c r="J295" s="898">
        <f>IF(Table2[[#This Row],[LOQ2]]="*",LEFT(Table2[[#This Row],[(ft)]],Table2[[#This Row],[length trimmed 1]]-1),Table2[[#This Row],[(ft)]])</f>
        <v>0</v>
      </c>
      <c r="K295" s="898">
        <f>IF(Table2[[#This Row],[MRL_text]]="","",Table2[[#This Row],[MRL_text]]*1)</f>
        <v>0</v>
      </c>
      <c r="L295" s="898" t="str">
        <f>IF(RIGHT(Table2[[#This Row],[(ft)]],1)="*","*","")</f>
        <v/>
      </c>
    </row>
    <row r="296" spans="1:12" ht="13.15" customHeight="1" x14ac:dyDescent="0.2">
      <c r="A296" s="1212">
        <v>830010</v>
      </c>
      <c r="B296" s="1212" t="s">
        <v>1706</v>
      </c>
      <c r="C296" s="1215" t="s">
        <v>1707</v>
      </c>
      <c r="D296" s="1231"/>
      <c r="E296" s="1249">
        <f>Table2[[#This Row],[MRL2]]</f>
        <v>0</v>
      </c>
      <c r="F296" s="1461" t="str">
        <f>Table2[[#This Row],[LOQ2]]</f>
        <v/>
      </c>
      <c r="G296" s="898">
        <f>LEN(Table2[[#This Row],[Please insert here the MRLs of COM database (use ''paste values'' function)]])</f>
        <v>0</v>
      </c>
      <c r="H29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96" s="898">
        <f>LEN(Table2[[#This Row],[(ft)]])</f>
        <v>1</v>
      </c>
      <c r="J296" s="898">
        <f>IF(Table2[[#This Row],[LOQ2]]="*",LEFT(Table2[[#This Row],[(ft)]],Table2[[#This Row],[length trimmed 1]]-1),Table2[[#This Row],[(ft)]])</f>
        <v>0</v>
      </c>
      <c r="K296" s="898">
        <f>IF(Table2[[#This Row],[MRL_text]]="","",Table2[[#This Row],[MRL_text]]*1)</f>
        <v>0</v>
      </c>
      <c r="L296" s="898" t="str">
        <f>IF(RIGHT(Table2[[#This Row],[(ft)]],1)="*","*","")</f>
        <v/>
      </c>
    </row>
    <row r="297" spans="1:12" ht="13.15" customHeight="1" x14ac:dyDescent="0.2">
      <c r="A297" s="1212">
        <v>830990</v>
      </c>
      <c r="B297" s="1212" t="s">
        <v>1708</v>
      </c>
      <c r="C297" s="1215" t="s">
        <v>1177</v>
      </c>
      <c r="D297" s="1231"/>
      <c r="E297" s="1249">
        <f>Table2[[#This Row],[MRL2]]</f>
        <v>0</v>
      </c>
      <c r="F297" s="1461" t="str">
        <f>Table2[[#This Row],[LOQ2]]</f>
        <v/>
      </c>
      <c r="G297" s="898">
        <f>LEN(Table2[[#This Row],[Please insert here the MRLs of COM database (use ''paste values'' function)]])</f>
        <v>0</v>
      </c>
      <c r="H29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97" s="898">
        <f>LEN(Table2[[#This Row],[(ft)]])</f>
        <v>1</v>
      </c>
      <c r="J297" s="898">
        <f>IF(Table2[[#This Row],[LOQ2]]="*",LEFT(Table2[[#This Row],[(ft)]],Table2[[#This Row],[length trimmed 1]]-1),Table2[[#This Row],[(ft)]])</f>
        <v>0</v>
      </c>
      <c r="K297" s="898">
        <f>IF(Table2[[#This Row],[MRL_text]]="","",Table2[[#This Row],[MRL_text]]*1)</f>
        <v>0</v>
      </c>
      <c r="L297" s="898" t="str">
        <f>IF(RIGHT(Table2[[#This Row],[(ft)]],1)="*","*","")</f>
        <v/>
      </c>
    </row>
    <row r="298" spans="1:12" ht="13.15" customHeight="1" x14ac:dyDescent="0.2">
      <c r="A298" s="1211">
        <v>840000</v>
      </c>
      <c r="B298" s="1211" t="s">
        <v>1709</v>
      </c>
      <c r="C298" s="1236" t="s">
        <v>1710</v>
      </c>
      <c r="D298" s="1229"/>
      <c r="E298" s="1247">
        <f>Table2[[#This Row],[MRL2]]</f>
        <v>0</v>
      </c>
      <c r="F298" s="1460" t="str">
        <f>Table2[[#This Row],[LOQ2]]</f>
        <v/>
      </c>
      <c r="G298" s="898">
        <f>LEN(Table2[[#This Row],[Please insert here the MRLs of COM database (use ''paste values'' function)]])</f>
        <v>0</v>
      </c>
      <c r="H29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98" s="898">
        <f>LEN(Table2[[#This Row],[(ft)]])</f>
        <v>1</v>
      </c>
      <c r="J298" s="898">
        <f>IF(Table2[[#This Row],[LOQ2]]="*",LEFT(Table2[[#This Row],[(ft)]],Table2[[#This Row],[length trimmed 1]]-1),Table2[[#This Row],[(ft)]])</f>
        <v>0</v>
      </c>
      <c r="K298" s="898">
        <f>IF(Table2[[#This Row],[MRL_text]]="","",Table2[[#This Row],[MRL_text]]*1)</f>
        <v>0</v>
      </c>
      <c r="L298" s="898" t="str">
        <f>IF(RIGHT(Table2[[#This Row],[(ft)]],1)="*","*","")</f>
        <v/>
      </c>
    </row>
    <row r="299" spans="1:12" ht="13.15" customHeight="1" x14ac:dyDescent="0.2">
      <c r="A299" s="1212">
        <v>840010</v>
      </c>
      <c r="B299" s="1212" t="s">
        <v>1711</v>
      </c>
      <c r="C299" s="1215" t="s">
        <v>1712</v>
      </c>
      <c r="D299" s="1231"/>
      <c r="E299" s="1249">
        <f>Table2[[#This Row],[MRL2]]</f>
        <v>0</v>
      </c>
      <c r="F299" s="1461" t="str">
        <f>Table2[[#This Row],[LOQ2]]</f>
        <v/>
      </c>
      <c r="G299" s="898">
        <f>LEN(Table2[[#This Row],[Please insert here the MRLs of COM database (use ''paste values'' function)]])</f>
        <v>0</v>
      </c>
      <c r="H29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299" s="898">
        <f>LEN(Table2[[#This Row],[(ft)]])</f>
        <v>1</v>
      </c>
      <c r="J299" s="898">
        <f>IF(Table2[[#This Row],[LOQ2]]="*",LEFT(Table2[[#This Row],[(ft)]],Table2[[#This Row],[length trimmed 1]]-1),Table2[[#This Row],[(ft)]])</f>
        <v>0</v>
      </c>
      <c r="K299" s="898">
        <f>IF(Table2[[#This Row],[MRL_text]]="","",Table2[[#This Row],[MRL_text]]*1)</f>
        <v>0</v>
      </c>
      <c r="L299" s="898" t="str">
        <f>IF(RIGHT(Table2[[#This Row],[(ft)]],1)="*","*","")</f>
        <v/>
      </c>
    </row>
    <row r="300" spans="1:12" ht="13.15" customHeight="1" x14ac:dyDescent="0.2">
      <c r="A300" s="1212">
        <v>840020</v>
      </c>
      <c r="B300" s="1212" t="s">
        <v>1713</v>
      </c>
      <c r="C300" s="1215" t="s">
        <v>1714</v>
      </c>
      <c r="D300" s="1231"/>
      <c r="E300" s="1249">
        <f>Table2[[#This Row],[MRL2]]</f>
        <v>0</v>
      </c>
      <c r="F300" s="1461" t="str">
        <f>Table2[[#This Row],[LOQ2]]</f>
        <v/>
      </c>
      <c r="G300" s="898">
        <f>LEN(Table2[[#This Row],[Please insert here the MRLs of COM database (use ''paste values'' function)]])</f>
        <v>0</v>
      </c>
      <c r="H30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00" s="898">
        <f>LEN(Table2[[#This Row],[(ft)]])</f>
        <v>1</v>
      </c>
      <c r="J300" s="898">
        <f>IF(Table2[[#This Row],[LOQ2]]="*",LEFT(Table2[[#This Row],[(ft)]],Table2[[#This Row],[length trimmed 1]]-1),Table2[[#This Row],[(ft)]])</f>
        <v>0</v>
      </c>
      <c r="K300" s="898">
        <f>IF(Table2[[#This Row],[MRL_text]]="","",Table2[[#This Row],[MRL_text]]*1)</f>
        <v>0</v>
      </c>
      <c r="L300" s="898" t="str">
        <f>IF(RIGHT(Table2[[#This Row],[(ft)]],1)="*","*","")</f>
        <v/>
      </c>
    </row>
    <row r="301" spans="1:12" ht="13.15" customHeight="1" x14ac:dyDescent="0.2">
      <c r="A301" s="1212">
        <v>840030</v>
      </c>
      <c r="B301" s="1212" t="s">
        <v>1715</v>
      </c>
      <c r="C301" s="1215" t="s">
        <v>1716</v>
      </c>
      <c r="D301" s="1231"/>
      <c r="E301" s="1249">
        <f>Table2[[#This Row],[MRL2]]</f>
        <v>0</v>
      </c>
      <c r="F301" s="1461" t="str">
        <f>Table2[[#This Row],[LOQ2]]</f>
        <v/>
      </c>
      <c r="G301" s="898">
        <f>LEN(Table2[[#This Row],[Please insert here the MRLs of COM database (use ''paste values'' function)]])</f>
        <v>0</v>
      </c>
      <c r="H30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01" s="898">
        <f>LEN(Table2[[#This Row],[(ft)]])</f>
        <v>1</v>
      </c>
      <c r="J301" s="898">
        <f>IF(Table2[[#This Row],[LOQ2]]="*",LEFT(Table2[[#This Row],[(ft)]],Table2[[#This Row],[length trimmed 1]]-1),Table2[[#This Row],[(ft)]])</f>
        <v>0</v>
      </c>
      <c r="K301" s="898">
        <f>IF(Table2[[#This Row],[MRL_text]]="","",Table2[[#This Row],[MRL_text]]*1)</f>
        <v>0</v>
      </c>
      <c r="L301" s="898" t="str">
        <f>IF(RIGHT(Table2[[#This Row],[(ft)]],1)="*","*","")</f>
        <v/>
      </c>
    </row>
    <row r="302" spans="1:12" ht="13.15" customHeight="1" x14ac:dyDescent="0.2">
      <c r="A302" s="1212">
        <v>840040</v>
      </c>
      <c r="B302" s="1212" t="s">
        <v>1717</v>
      </c>
      <c r="C302" s="1215" t="s">
        <v>1718</v>
      </c>
      <c r="D302" s="1231"/>
      <c r="E302" s="1249">
        <f>Table2[[#This Row],[MRL2]]</f>
        <v>0</v>
      </c>
      <c r="F302" s="1461" t="str">
        <f>Table2[[#This Row],[LOQ2]]</f>
        <v/>
      </c>
      <c r="G302" s="898">
        <f>LEN(Table2[[#This Row],[Please insert here the MRLs of COM database (use ''paste values'' function)]])</f>
        <v>0</v>
      </c>
      <c r="H30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02" s="898">
        <f>LEN(Table2[[#This Row],[(ft)]])</f>
        <v>1</v>
      </c>
      <c r="J302" s="898">
        <f>IF(Table2[[#This Row],[LOQ2]]="*",LEFT(Table2[[#This Row],[(ft)]],Table2[[#This Row],[length trimmed 1]]-1),Table2[[#This Row],[(ft)]])</f>
        <v>0</v>
      </c>
      <c r="K302" s="1250">
        <f>IF(Table2[[#This Row],[LOQ2]]&lt;&gt;"",E106*2,E106*7)</f>
        <v>0</v>
      </c>
      <c r="L302" s="1251" t="str">
        <f>IF(RIGHT(Table2[[#This Row],[(ft)]],1)="*","*","")</f>
        <v/>
      </c>
    </row>
    <row r="303" spans="1:12" ht="13.15" customHeight="1" x14ac:dyDescent="0.2">
      <c r="A303" s="1212">
        <v>840990</v>
      </c>
      <c r="B303" s="1212" t="s">
        <v>1720</v>
      </c>
      <c r="C303" s="1215" t="s">
        <v>1177</v>
      </c>
      <c r="D303" s="1231"/>
      <c r="E303" s="1249">
        <f>Table2[[#This Row],[MRL2]]</f>
        <v>0</v>
      </c>
      <c r="F303" s="1461" t="str">
        <f>Table2[[#This Row],[LOQ2]]</f>
        <v/>
      </c>
      <c r="G303" s="898">
        <f>LEN(Table2[[#This Row],[Please insert here the MRLs of COM database (use ''paste values'' function)]])</f>
        <v>0</v>
      </c>
      <c r="H30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03" s="898">
        <f>LEN(Table2[[#This Row],[(ft)]])</f>
        <v>1</v>
      </c>
      <c r="J303" s="898">
        <f>IF(Table2[[#This Row],[LOQ2]]="*",LEFT(Table2[[#This Row],[(ft)]],Table2[[#This Row],[length trimmed 1]]-1),Table2[[#This Row],[(ft)]])</f>
        <v>0</v>
      </c>
      <c r="K303" s="898">
        <f>IF(Table2[[#This Row],[MRL_text]]="","",Table2[[#This Row],[MRL_text]]*1)</f>
        <v>0</v>
      </c>
      <c r="L303" s="898" t="str">
        <f>IF(RIGHT(Table2[[#This Row],[(ft)]],1)="*","*","")</f>
        <v/>
      </c>
    </row>
    <row r="304" spans="1:12" ht="13.15" customHeight="1" x14ac:dyDescent="0.2">
      <c r="A304" s="1211">
        <v>850000</v>
      </c>
      <c r="B304" s="1211" t="s">
        <v>1721</v>
      </c>
      <c r="C304" s="1236" t="s">
        <v>1722</v>
      </c>
      <c r="D304" s="1230"/>
      <c r="E304" s="1247">
        <f>Table2[[#This Row],[MRL2]]</f>
        <v>0</v>
      </c>
      <c r="F304" s="1460" t="str">
        <f>Table2[[#This Row],[LOQ2]]</f>
        <v/>
      </c>
      <c r="G304" s="898">
        <f>LEN(Table2[[#This Row],[Please insert here the MRLs of COM database (use ''paste values'' function)]])</f>
        <v>0</v>
      </c>
      <c r="H30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04" s="898">
        <f>LEN(Table2[[#This Row],[(ft)]])</f>
        <v>1</v>
      </c>
      <c r="J304" s="898">
        <f>IF(Table2[[#This Row],[LOQ2]]="*",LEFT(Table2[[#This Row],[(ft)]],Table2[[#This Row],[length trimmed 1]]-1),Table2[[#This Row],[(ft)]])</f>
        <v>0</v>
      </c>
      <c r="K304" s="898">
        <f>IF(Table2[[#This Row],[MRL_text]]="","",Table2[[#This Row],[MRL_text]]*1)</f>
        <v>0</v>
      </c>
      <c r="L304" s="898" t="str">
        <f>IF(RIGHT(Table2[[#This Row],[(ft)]],1)="*","*","")</f>
        <v/>
      </c>
    </row>
    <row r="305" spans="1:12" ht="13.15" customHeight="1" x14ac:dyDescent="0.2">
      <c r="A305" s="1212">
        <v>850010</v>
      </c>
      <c r="B305" s="1212" t="s">
        <v>1723</v>
      </c>
      <c r="C305" s="1215" t="s">
        <v>1724</v>
      </c>
      <c r="D305" s="1231"/>
      <c r="E305" s="1249">
        <f>Table2[[#This Row],[MRL2]]</f>
        <v>0</v>
      </c>
      <c r="F305" s="1461" t="str">
        <f>Table2[[#This Row],[LOQ2]]</f>
        <v/>
      </c>
      <c r="G305" s="898">
        <f>LEN(Table2[[#This Row],[Please insert here the MRLs of COM database (use ''paste values'' function)]])</f>
        <v>0</v>
      </c>
      <c r="H30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05" s="898">
        <f>LEN(Table2[[#This Row],[(ft)]])</f>
        <v>1</v>
      </c>
      <c r="J305" s="898">
        <f>IF(Table2[[#This Row],[LOQ2]]="*",LEFT(Table2[[#This Row],[(ft)]],Table2[[#This Row],[length trimmed 1]]-1),Table2[[#This Row],[(ft)]])</f>
        <v>0</v>
      </c>
      <c r="K305" s="898">
        <f>IF(Table2[[#This Row],[MRL_text]]="","",Table2[[#This Row],[MRL_text]]*1)</f>
        <v>0</v>
      </c>
      <c r="L305" s="898" t="str">
        <f>IF(RIGHT(Table2[[#This Row],[(ft)]],1)="*","*","")</f>
        <v/>
      </c>
    </row>
    <row r="306" spans="1:12" ht="13.15" customHeight="1" x14ac:dyDescent="0.2">
      <c r="A306" s="1212">
        <v>850020</v>
      </c>
      <c r="B306" s="1212" t="s">
        <v>1725</v>
      </c>
      <c r="C306" s="1215" t="s">
        <v>1726</v>
      </c>
      <c r="D306" s="1231"/>
      <c r="E306" s="1249">
        <f>Table2[[#This Row],[MRL2]]</f>
        <v>0</v>
      </c>
      <c r="F306" s="1461" t="str">
        <f>Table2[[#This Row],[LOQ2]]</f>
        <v/>
      </c>
      <c r="G306" s="898">
        <f>LEN(Table2[[#This Row],[Please insert here the MRLs of COM database (use ''paste values'' function)]])</f>
        <v>0</v>
      </c>
      <c r="H30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06" s="898">
        <f>LEN(Table2[[#This Row],[(ft)]])</f>
        <v>1</v>
      </c>
      <c r="J306" s="898">
        <f>IF(Table2[[#This Row],[LOQ2]]="*",LEFT(Table2[[#This Row],[(ft)]],Table2[[#This Row],[length trimmed 1]]-1),Table2[[#This Row],[(ft)]])</f>
        <v>0</v>
      </c>
      <c r="K306" s="898">
        <f>IF(Table2[[#This Row],[MRL_text]]="","",Table2[[#This Row],[MRL_text]]*1)</f>
        <v>0</v>
      </c>
      <c r="L306" s="898" t="str">
        <f>IF(RIGHT(Table2[[#This Row],[(ft)]],1)="*","*","")</f>
        <v/>
      </c>
    </row>
    <row r="307" spans="1:12" ht="13.15" customHeight="1" x14ac:dyDescent="0.2">
      <c r="A307" s="1212">
        <v>850990</v>
      </c>
      <c r="B307" s="1212" t="s">
        <v>1727</v>
      </c>
      <c r="C307" s="1215" t="s">
        <v>1177</v>
      </c>
      <c r="D307" s="1231"/>
      <c r="E307" s="1249">
        <f>Table2[[#This Row],[MRL2]]</f>
        <v>0</v>
      </c>
      <c r="F307" s="1461" t="str">
        <f>Table2[[#This Row],[LOQ2]]</f>
        <v/>
      </c>
      <c r="G307" s="898">
        <f>LEN(Table2[[#This Row],[Please insert here the MRLs of COM database (use ''paste values'' function)]])</f>
        <v>0</v>
      </c>
      <c r="H30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07" s="898">
        <f>LEN(Table2[[#This Row],[(ft)]])</f>
        <v>1</v>
      </c>
      <c r="J307" s="898">
        <f>IF(Table2[[#This Row],[LOQ2]]="*",LEFT(Table2[[#This Row],[(ft)]],Table2[[#This Row],[length trimmed 1]]-1),Table2[[#This Row],[(ft)]])</f>
        <v>0</v>
      </c>
      <c r="K307" s="898">
        <f>IF(Table2[[#This Row],[MRL_text]]="","",Table2[[#This Row],[MRL_text]]*1)</f>
        <v>0</v>
      </c>
      <c r="L307" s="898" t="str">
        <f>IF(RIGHT(Table2[[#This Row],[(ft)]],1)="*","*","")</f>
        <v/>
      </c>
    </row>
    <row r="308" spans="1:12" ht="13.15" customHeight="1" x14ac:dyDescent="0.2">
      <c r="A308" s="1211">
        <v>860000</v>
      </c>
      <c r="B308" s="1211" t="s">
        <v>1728</v>
      </c>
      <c r="C308" s="1236" t="s">
        <v>1729</v>
      </c>
      <c r="D308" s="1230"/>
      <c r="E308" s="1247">
        <f>Table2[[#This Row],[MRL2]]</f>
        <v>0</v>
      </c>
      <c r="F308" s="1460" t="str">
        <f>Table2[[#This Row],[LOQ2]]</f>
        <v/>
      </c>
      <c r="G308" s="898">
        <f>LEN(Table2[[#This Row],[Please insert here the MRLs of COM database (use ''paste values'' function)]])</f>
        <v>0</v>
      </c>
      <c r="H30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08" s="898">
        <f>LEN(Table2[[#This Row],[(ft)]])</f>
        <v>1</v>
      </c>
      <c r="J308" s="898">
        <f>IF(Table2[[#This Row],[LOQ2]]="*",LEFT(Table2[[#This Row],[(ft)]],Table2[[#This Row],[length trimmed 1]]-1),Table2[[#This Row],[(ft)]])</f>
        <v>0</v>
      </c>
      <c r="K308" s="898">
        <f>IF(Table2[[#This Row],[MRL_text]]="","",Table2[[#This Row],[MRL_text]]*1)</f>
        <v>0</v>
      </c>
      <c r="L308" s="898" t="str">
        <f>IF(RIGHT(Table2[[#This Row],[(ft)]],1)="*","*","")</f>
        <v/>
      </c>
    </row>
    <row r="309" spans="1:12" ht="13.15" customHeight="1" x14ac:dyDescent="0.2">
      <c r="A309" s="1212">
        <v>860010</v>
      </c>
      <c r="B309" s="1212" t="s">
        <v>1730</v>
      </c>
      <c r="C309" s="1215" t="s">
        <v>1731</v>
      </c>
      <c r="D309" s="1231"/>
      <c r="E309" s="1249">
        <f>Table2[[#This Row],[MRL2]]</f>
        <v>0</v>
      </c>
      <c r="F309" s="1461" t="str">
        <f>Table2[[#This Row],[LOQ2]]</f>
        <v/>
      </c>
      <c r="G309" s="898">
        <f>LEN(Table2[[#This Row],[Please insert here the MRLs of COM database (use ''paste values'' function)]])</f>
        <v>0</v>
      </c>
      <c r="H30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09" s="898">
        <f>LEN(Table2[[#This Row],[(ft)]])</f>
        <v>1</v>
      </c>
      <c r="J309" s="898">
        <f>IF(Table2[[#This Row],[LOQ2]]="*",LEFT(Table2[[#This Row],[(ft)]],Table2[[#This Row],[length trimmed 1]]-1),Table2[[#This Row],[(ft)]])</f>
        <v>0</v>
      </c>
      <c r="K309" s="898">
        <f>IF(Table2[[#This Row],[MRL_text]]="","",Table2[[#This Row],[MRL_text]]*1)</f>
        <v>0</v>
      </c>
      <c r="L309" s="898" t="str">
        <f>IF(RIGHT(Table2[[#This Row],[(ft)]],1)="*","*","")</f>
        <v/>
      </c>
    </row>
    <row r="310" spans="1:12" ht="13.15" customHeight="1" x14ac:dyDescent="0.2">
      <c r="A310" s="1212">
        <v>860990</v>
      </c>
      <c r="B310" s="1212" t="s">
        <v>1732</v>
      </c>
      <c r="C310" s="1215" t="s">
        <v>1177</v>
      </c>
      <c r="D310" s="1231"/>
      <c r="E310" s="1249">
        <f>Table2[[#This Row],[MRL2]]</f>
        <v>0</v>
      </c>
      <c r="F310" s="1461" t="str">
        <f>Table2[[#This Row],[LOQ2]]</f>
        <v/>
      </c>
      <c r="G310" s="898">
        <f>LEN(Table2[[#This Row],[Please insert here the MRLs of COM database (use ''paste values'' function)]])</f>
        <v>0</v>
      </c>
      <c r="H31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10" s="898">
        <f>LEN(Table2[[#This Row],[(ft)]])</f>
        <v>1</v>
      </c>
      <c r="J310" s="898">
        <f>IF(Table2[[#This Row],[LOQ2]]="*",LEFT(Table2[[#This Row],[(ft)]],Table2[[#This Row],[length trimmed 1]]-1),Table2[[#This Row],[(ft)]])</f>
        <v>0</v>
      </c>
      <c r="K310" s="898">
        <f>IF(Table2[[#This Row],[MRL_text]]="","",Table2[[#This Row],[MRL_text]]*1)</f>
        <v>0</v>
      </c>
      <c r="L310" s="898" t="str">
        <f>IF(RIGHT(Table2[[#This Row],[(ft)]],1)="*","*","")</f>
        <v/>
      </c>
    </row>
    <row r="311" spans="1:12" ht="13.15" customHeight="1" x14ac:dyDescent="0.2">
      <c r="A311" s="1211">
        <v>870000</v>
      </c>
      <c r="B311" s="1211" t="s">
        <v>1733</v>
      </c>
      <c r="C311" s="1236" t="s">
        <v>1734</v>
      </c>
      <c r="D311" s="1230"/>
      <c r="E311" s="1247">
        <f>Table2[[#This Row],[MRL2]]</f>
        <v>0</v>
      </c>
      <c r="F311" s="1460" t="str">
        <f>Table2[[#This Row],[LOQ2]]</f>
        <v/>
      </c>
      <c r="G311" s="898">
        <f>LEN(Table2[[#This Row],[Please insert here the MRLs of COM database (use ''paste values'' function)]])</f>
        <v>0</v>
      </c>
      <c r="H31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11" s="898">
        <f>LEN(Table2[[#This Row],[(ft)]])</f>
        <v>1</v>
      </c>
      <c r="J311" s="898">
        <f>IF(Table2[[#This Row],[LOQ2]]="*",LEFT(Table2[[#This Row],[(ft)]],Table2[[#This Row],[length trimmed 1]]-1),Table2[[#This Row],[(ft)]])</f>
        <v>0</v>
      </c>
      <c r="K311" s="898">
        <f>IF(Table2[[#This Row],[MRL_text]]="","",Table2[[#This Row],[MRL_text]]*1)</f>
        <v>0</v>
      </c>
      <c r="L311" s="898" t="str">
        <f>IF(RIGHT(Table2[[#This Row],[(ft)]],1)="*","*","")</f>
        <v/>
      </c>
    </row>
    <row r="312" spans="1:12" ht="13.15" customHeight="1" x14ac:dyDescent="0.2">
      <c r="A312" s="1212">
        <v>870010</v>
      </c>
      <c r="B312" s="1212" t="s">
        <v>1735</v>
      </c>
      <c r="C312" s="1215" t="s">
        <v>1736</v>
      </c>
      <c r="D312" s="1231"/>
      <c r="E312" s="1249">
        <f>Table2[[#This Row],[MRL2]]</f>
        <v>0</v>
      </c>
      <c r="F312" s="1461" t="str">
        <f>Table2[[#This Row],[LOQ2]]</f>
        <v/>
      </c>
      <c r="G312" s="898">
        <f>LEN(Table2[[#This Row],[Please insert here the MRLs of COM database (use ''paste values'' function)]])</f>
        <v>0</v>
      </c>
      <c r="H31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12" s="898">
        <f>LEN(Table2[[#This Row],[(ft)]])</f>
        <v>1</v>
      </c>
      <c r="J312" s="898">
        <f>IF(Table2[[#This Row],[LOQ2]]="*",LEFT(Table2[[#This Row],[(ft)]],Table2[[#This Row],[length trimmed 1]]-1),Table2[[#This Row],[(ft)]])</f>
        <v>0</v>
      </c>
      <c r="K312" s="898">
        <f>IF(Table2[[#This Row],[MRL_text]]="","",Table2[[#This Row],[MRL_text]]*1)</f>
        <v>0</v>
      </c>
      <c r="L312" s="898" t="str">
        <f>IF(RIGHT(Table2[[#This Row],[(ft)]],1)="*","*","")</f>
        <v/>
      </c>
    </row>
    <row r="313" spans="1:12" ht="13.15" customHeight="1" x14ac:dyDescent="0.2">
      <c r="A313" s="1212">
        <v>870990</v>
      </c>
      <c r="B313" s="1212" t="s">
        <v>1737</v>
      </c>
      <c r="C313" s="1215" t="s">
        <v>1177</v>
      </c>
      <c r="D313" s="1231"/>
      <c r="E313" s="1249">
        <f>Table2[[#This Row],[MRL2]]</f>
        <v>0</v>
      </c>
      <c r="F313" s="1461" t="str">
        <f>Table2[[#This Row],[LOQ2]]</f>
        <v/>
      </c>
      <c r="G313" s="898">
        <f>LEN(Table2[[#This Row],[Please insert here the MRLs of COM database (use ''paste values'' function)]])</f>
        <v>0</v>
      </c>
      <c r="H31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13" s="898">
        <f>LEN(Table2[[#This Row],[(ft)]])</f>
        <v>1</v>
      </c>
      <c r="J313" s="898">
        <f>IF(Table2[[#This Row],[LOQ2]]="*",LEFT(Table2[[#This Row],[(ft)]],Table2[[#This Row],[length trimmed 1]]-1),Table2[[#This Row],[(ft)]])</f>
        <v>0</v>
      </c>
      <c r="K313" s="898">
        <f>IF(Table2[[#This Row],[MRL_text]]="","",Table2[[#This Row],[MRL_text]]*1)</f>
        <v>0</v>
      </c>
      <c r="L313" s="898" t="str">
        <f>IF(RIGHT(Table2[[#This Row],[(ft)]],1)="*","*","")</f>
        <v/>
      </c>
    </row>
    <row r="314" spans="1:12" ht="13.15" customHeight="1" x14ac:dyDescent="0.2">
      <c r="A314" s="1211">
        <v>900000</v>
      </c>
      <c r="B314" s="1211" t="s">
        <v>1738</v>
      </c>
      <c r="C314" s="1236" t="s">
        <v>1739</v>
      </c>
      <c r="D314" s="1230"/>
      <c r="E314" s="1247">
        <f>Table2[[#This Row],[MRL2]]</f>
        <v>0</v>
      </c>
      <c r="F314" s="1460" t="str">
        <f>Table2[[#This Row],[LOQ2]]</f>
        <v/>
      </c>
      <c r="G314" s="898">
        <f>LEN(Table2[[#This Row],[Please insert here the MRLs of COM database (use ''paste values'' function)]])</f>
        <v>0</v>
      </c>
      <c r="H31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14" s="898">
        <f>LEN(Table2[[#This Row],[(ft)]])</f>
        <v>1</v>
      </c>
      <c r="J314" s="898">
        <f>IF(Table2[[#This Row],[LOQ2]]="*",LEFT(Table2[[#This Row],[(ft)]],Table2[[#This Row],[length trimmed 1]]-1),Table2[[#This Row],[(ft)]])</f>
        <v>0</v>
      </c>
      <c r="K314" s="898">
        <f>IF(Table2[[#This Row],[MRL_text]]="","",Table2[[#This Row],[MRL_text]]*1)</f>
        <v>0</v>
      </c>
      <c r="L314" s="898" t="str">
        <f>IF(RIGHT(Table2[[#This Row],[(ft)]],1)="*","*","")</f>
        <v/>
      </c>
    </row>
    <row r="315" spans="1:12" ht="13.15" customHeight="1" x14ac:dyDescent="0.2">
      <c r="A315" s="1212">
        <v>900010</v>
      </c>
      <c r="B315" s="1212" t="s">
        <v>1740</v>
      </c>
      <c r="C315" s="1215" t="s">
        <v>1741</v>
      </c>
      <c r="D315" s="1231"/>
      <c r="E315" s="1249">
        <f>Table2[[#This Row],[MRL2]]</f>
        <v>0</v>
      </c>
      <c r="F315" s="1461" t="str">
        <f>Table2[[#This Row],[LOQ2]]</f>
        <v/>
      </c>
      <c r="G315" s="898">
        <f>LEN(Table2[[#This Row],[Please insert here the MRLs of COM database (use ''paste values'' function)]])</f>
        <v>0</v>
      </c>
      <c r="H31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15" s="898">
        <f>LEN(Table2[[#This Row],[(ft)]])</f>
        <v>1</v>
      </c>
      <c r="J315" s="898">
        <f>IF(Table2[[#This Row],[LOQ2]]="*",LEFT(Table2[[#This Row],[(ft)]],Table2[[#This Row],[length trimmed 1]]-1),Table2[[#This Row],[(ft)]])</f>
        <v>0</v>
      </c>
      <c r="K315" s="898">
        <f>IF(Table2[[#This Row],[MRL_text]]="","",Table2[[#This Row],[MRL_text]]*1)</f>
        <v>0</v>
      </c>
      <c r="L315" s="898" t="str">
        <f>IF(RIGHT(Table2[[#This Row],[(ft)]],1)="*","*","")</f>
        <v/>
      </c>
    </row>
    <row r="316" spans="1:12" ht="13.15" customHeight="1" x14ac:dyDescent="0.2">
      <c r="A316" s="1212">
        <v>900020</v>
      </c>
      <c r="B316" s="1212" t="s">
        <v>1742</v>
      </c>
      <c r="C316" s="1215" t="s">
        <v>1743</v>
      </c>
      <c r="D316" s="1231"/>
      <c r="E316" s="1249">
        <f>Table2[[#This Row],[MRL2]]</f>
        <v>0</v>
      </c>
      <c r="F316" s="1461" t="str">
        <f>Table2[[#This Row],[LOQ2]]</f>
        <v/>
      </c>
      <c r="G316" s="898">
        <f>LEN(Table2[[#This Row],[Please insert here the MRLs of COM database (use ''paste values'' function)]])</f>
        <v>0</v>
      </c>
      <c r="H31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16" s="898">
        <f>LEN(Table2[[#This Row],[(ft)]])</f>
        <v>1</v>
      </c>
      <c r="J316" s="898">
        <f>IF(Table2[[#This Row],[LOQ2]]="*",LEFT(Table2[[#This Row],[(ft)]],Table2[[#This Row],[length trimmed 1]]-1),Table2[[#This Row],[(ft)]])</f>
        <v>0</v>
      </c>
      <c r="K316" s="898">
        <f>IF(Table2[[#This Row],[MRL_text]]="","",Table2[[#This Row],[MRL_text]]*1)</f>
        <v>0</v>
      </c>
      <c r="L316" s="898" t="str">
        <f>IF(RIGHT(Table2[[#This Row],[(ft)]],1)="*","*","")</f>
        <v/>
      </c>
    </row>
    <row r="317" spans="1:12" ht="13.15" customHeight="1" x14ac:dyDescent="0.2">
      <c r="A317" s="1212">
        <v>900030</v>
      </c>
      <c r="B317" s="1212" t="s">
        <v>1744</v>
      </c>
      <c r="C317" s="1215" t="s">
        <v>1745</v>
      </c>
      <c r="D317" s="1231"/>
      <c r="E317" s="1249">
        <f>Table2[[#This Row],[MRL2]]</f>
        <v>0</v>
      </c>
      <c r="F317" s="1461" t="str">
        <f>Table2[[#This Row],[LOQ2]]</f>
        <v/>
      </c>
      <c r="G317" s="898">
        <f>LEN(Table2[[#This Row],[Please insert here the MRLs of COM database (use ''paste values'' function)]])</f>
        <v>0</v>
      </c>
      <c r="H31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17" s="898">
        <f>LEN(Table2[[#This Row],[(ft)]])</f>
        <v>1</v>
      </c>
      <c r="J317" s="898">
        <f>IF(Table2[[#This Row],[LOQ2]]="*",LEFT(Table2[[#This Row],[(ft)]],Table2[[#This Row],[length trimmed 1]]-1),Table2[[#This Row],[(ft)]])</f>
        <v>0</v>
      </c>
      <c r="K317" s="898">
        <f>IF(Table2[[#This Row],[MRL_text]]="","",Table2[[#This Row],[MRL_text]]*1)</f>
        <v>0</v>
      </c>
      <c r="L317" s="898" t="str">
        <f>IF(RIGHT(Table2[[#This Row],[(ft)]],1)="*","*","")</f>
        <v/>
      </c>
    </row>
    <row r="318" spans="1:12" ht="13.15" customHeight="1" x14ac:dyDescent="0.2">
      <c r="A318" s="1212">
        <v>900990</v>
      </c>
      <c r="B318" s="1212" t="s">
        <v>1746</v>
      </c>
      <c r="C318" s="1215" t="s">
        <v>1177</v>
      </c>
      <c r="D318" s="1231"/>
      <c r="E318" s="1249">
        <f>Table2[[#This Row],[MRL2]]</f>
        <v>0</v>
      </c>
      <c r="F318" s="1461" t="str">
        <f>Table2[[#This Row],[LOQ2]]</f>
        <v/>
      </c>
      <c r="G318" s="898">
        <f>LEN(Table2[[#This Row],[Please insert here the MRLs of COM database (use ''paste values'' function)]])</f>
        <v>0</v>
      </c>
      <c r="H31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18" s="898">
        <f>LEN(Table2[[#This Row],[(ft)]])</f>
        <v>1</v>
      </c>
      <c r="J318" s="898">
        <f>IF(Table2[[#This Row],[LOQ2]]="*",LEFT(Table2[[#This Row],[(ft)]],Table2[[#This Row],[length trimmed 1]]-1),Table2[[#This Row],[(ft)]])</f>
        <v>0</v>
      </c>
      <c r="K318" s="898">
        <f>IF(Table2[[#This Row],[MRL_text]]="","",Table2[[#This Row],[MRL_text]]*1)</f>
        <v>0</v>
      </c>
      <c r="L318" s="898" t="str">
        <f>IF(RIGHT(Table2[[#This Row],[(ft)]],1)="*","*","")</f>
        <v/>
      </c>
    </row>
    <row r="319" spans="1:12" ht="13.15" customHeight="1" x14ac:dyDescent="0.2">
      <c r="A319" s="1211">
        <v>1000000</v>
      </c>
      <c r="B319" s="1211" t="s">
        <v>1747</v>
      </c>
      <c r="C319" s="1236" t="s">
        <v>1748</v>
      </c>
      <c r="D319" s="1230"/>
      <c r="E319" s="1247">
        <f>Table2[[#This Row],[MRL2]]</f>
        <v>0</v>
      </c>
      <c r="F319" s="1460" t="str">
        <f>Table2[[#This Row],[LOQ2]]</f>
        <v/>
      </c>
      <c r="G319" s="898">
        <f>LEN(Table2[[#This Row],[Please insert here the MRLs of COM database (use ''paste values'' function)]])</f>
        <v>0</v>
      </c>
      <c r="H31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19" s="898">
        <f>LEN(Table2[[#This Row],[(ft)]])</f>
        <v>1</v>
      </c>
      <c r="J319" s="898">
        <f>IF(Table2[[#This Row],[LOQ2]]="*",LEFT(Table2[[#This Row],[(ft)]],Table2[[#This Row],[length trimmed 1]]-1),Table2[[#This Row],[(ft)]])</f>
        <v>0</v>
      </c>
      <c r="K319" s="898">
        <f>IF(Table2[[#This Row],[MRL_text]]="","",Table2[[#This Row],[MRL_text]]*1)</f>
        <v>0</v>
      </c>
      <c r="L319" s="898" t="str">
        <f>IF(RIGHT(Table2[[#This Row],[(ft)]],1)="*","*","")</f>
        <v/>
      </c>
    </row>
    <row r="320" spans="1:12" ht="13.15" customHeight="1" x14ac:dyDescent="0.2">
      <c r="A320" s="1211">
        <v>1010000</v>
      </c>
      <c r="B320" s="1211" t="s">
        <v>1749</v>
      </c>
      <c r="C320" s="1236" t="s">
        <v>1750</v>
      </c>
      <c r="D320" s="1230"/>
      <c r="E320" s="1247">
        <f>Table2[[#This Row],[MRL2]]</f>
        <v>0</v>
      </c>
      <c r="F320" s="1460" t="str">
        <f>Table2[[#This Row],[LOQ2]]</f>
        <v/>
      </c>
      <c r="G320" s="898">
        <f>LEN(Table2[[#This Row],[Please insert here the MRLs of COM database (use ''paste values'' function)]])</f>
        <v>0</v>
      </c>
      <c r="H32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20" s="898">
        <f>LEN(Table2[[#This Row],[(ft)]])</f>
        <v>1</v>
      </c>
      <c r="J320" s="898">
        <f>IF(Table2[[#This Row],[LOQ2]]="*",LEFT(Table2[[#This Row],[(ft)]],Table2[[#This Row],[length trimmed 1]]-1),Table2[[#This Row],[(ft)]])</f>
        <v>0</v>
      </c>
      <c r="K320" s="898">
        <f>IF(Table2[[#This Row],[MRL_text]]="","",Table2[[#This Row],[MRL_text]]*1)</f>
        <v>0</v>
      </c>
      <c r="L320" s="898" t="str">
        <f>IF(RIGHT(Table2[[#This Row],[(ft)]],1)="*","*","")</f>
        <v/>
      </c>
    </row>
    <row r="321" spans="1:12" ht="13.15" customHeight="1" x14ac:dyDescent="0.2">
      <c r="A321" s="1212">
        <v>1011000</v>
      </c>
      <c r="B321" s="1212" t="s">
        <v>1751</v>
      </c>
      <c r="C321" s="1215" t="s">
        <v>1752</v>
      </c>
      <c r="D321" s="1231"/>
      <c r="E321" s="1247">
        <f>Table2[[#This Row],[MRL2]]</f>
        <v>0</v>
      </c>
      <c r="F321" s="1460" t="str">
        <f>Table2[[#This Row],[LOQ2]]</f>
        <v/>
      </c>
      <c r="G321" s="898">
        <f>LEN(Table2[[#This Row],[Please insert here the MRLs of COM database (use ''paste values'' function)]])</f>
        <v>0</v>
      </c>
      <c r="H32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21" s="898">
        <f>LEN(Table2[[#This Row],[(ft)]])</f>
        <v>1</v>
      </c>
      <c r="J321" s="898">
        <f>IF(Table2[[#This Row],[LOQ2]]="*",LEFT(Table2[[#This Row],[(ft)]],Table2[[#This Row],[length trimmed 1]]-1),Table2[[#This Row],[(ft)]])</f>
        <v>0</v>
      </c>
      <c r="K321" s="898">
        <f>IF(Table2[[#This Row],[MRL_text]]="","",Table2[[#This Row],[MRL_text]]*1)</f>
        <v>0</v>
      </c>
      <c r="L321" s="898" t="str">
        <f>IF(RIGHT(Table2[[#This Row],[(ft)]],1)="*","*","")</f>
        <v/>
      </c>
    </row>
    <row r="322" spans="1:12" ht="13.15" customHeight="1" x14ac:dyDescent="0.2">
      <c r="A322" s="1212">
        <v>1011010</v>
      </c>
      <c r="B322" s="1212" t="s">
        <v>1753</v>
      </c>
      <c r="C322" s="1215" t="s">
        <v>1754</v>
      </c>
      <c r="D322" s="1231"/>
      <c r="E322" s="1249">
        <f>Table2[[#This Row],[MRL2]]</f>
        <v>0</v>
      </c>
      <c r="F322" s="1461" t="str">
        <f>Table2[[#This Row],[LOQ2]]</f>
        <v/>
      </c>
      <c r="G322" s="898">
        <f>LEN(Table2[[#This Row],[Please insert here the MRLs of COM database (use ''paste values'' function)]])</f>
        <v>0</v>
      </c>
      <c r="H32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22" s="898">
        <f>LEN(Table2[[#This Row],[(ft)]])</f>
        <v>1</v>
      </c>
      <c r="J322" s="898">
        <f>IF(Table2[[#This Row],[LOQ2]]="*",LEFT(Table2[[#This Row],[(ft)]],Table2[[#This Row],[length trimmed 1]]-1),Table2[[#This Row],[(ft)]])</f>
        <v>0</v>
      </c>
      <c r="K322" s="898">
        <f>IF(Table2[[#This Row],[MRL_text]]="","",Table2[[#This Row],[MRL_text]]*1)</f>
        <v>0</v>
      </c>
      <c r="L322" s="898" t="str">
        <f>IF(RIGHT(Table2[[#This Row],[(ft)]],1)="*","*","")</f>
        <v/>
      </c>
    </row>
    <row r="323" spans="1:12" ht="13.15" customHeight="1" x14ac:dyDescent="0.2">
      <c r="A323" s="1212">
        <v>1011020</v>
      </c>
      <c r="B323" s="1212" t="s">
        <v>1755</v>
      </c>
      <c r="C323" s="1215" t="s">
        <v>1756</v>
      </c>
      <c r="D323" s="1231"/>
      <c r="E323" s="1249">
        <f>Table2[[#This Row],[MRL2]]</f>
        <v>0</v>
      </c>
      <c r="F323" s="1461" t="str">
        <f>Table2[[#This Row],[LOQ2]]</f>
        <v/>
      </c>
      <c r="G323" s="898">
        <f>LEN(Table2[[#This Row],[Please insert here the MRLs of COM database (use ''paste values'' function)]])</f>
        <v>0</v>
      </c>
      <c r="H32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23" s="898">
        <f>LEN(Table2[[#This Row],[(ft)]])</f>
        <v>1</v>
      </c>
      <c r="J323" s="898">
        <f>IF(Table2[[#This Row],[LOQ2]]="*",LEFT(Table2[[#This Row],[(ft)]],Table2[[#This Row],[length trimmed 1]]-1),Table2[[#This Row],[(ft)]])</f>
        <v>0</v>
      </c>
      <c r="K323" s="898">
        <f>IF(Table2[[#This Row],[MRL_text]]="","",Table2[[#This Row],[MRL_text]]*1)</f>
        <v>0</v>
      </c>
      <c r="L323" s="898" t="str">
        <f>IF(RIGHT(Table2[[#This Row],[(ft)]],1)="*","*","")</f>
        <v/>
      </c>
    </row>
    <row r="324" spans="1:12" ht="13.15" customHeight="1" x14ac:dyDescent="0.2">
      <c r="A324" s="1212">
        <v>1011030</v>
      </c>
      <c r="B324" s="1212" t="s">
        <v>1757</v>
      </c>
      <c r="C324" s="1215" t="s">
        <v>1758</v>
      </c>
      <c r="D324" s="1231"/>
      <c r="E324" s="1249">
        <f>Table2[[#This Row],[MRL2]]</f>
        <v>0</v>
      </c>
      <c r="F324" s="1461" t="str">
        <f>Table2[[#This Row],[LOQ2]]</f>
        <v/>
      </c>
      <c r="G324" s="898">
        <f>LEN(Table2[[#This Row],[Please insert here the MRLs of COM database (use ''paste values'' function)]])</f>
        <v>0</v>
      </c>
      <c r="H32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24" s="898">
        <f>LEN(Table2[[#This Row],[(ft)]])</f>
        <v>1</v>
      </c>
      <c r="J324" s="898">
        <f>IF(Table2[[#This Row],[LOQ2]]="*",LEFT(Table2[[#This Row],[(ft)]],Table2[[#This Row],[length trimmed 1]]-1),Table2[[#This Row],[(ft)]])</f>
        <v>0</v>
      </c>
      <c r="K324" s="898">
        <f>IF(Table2[[#This Row],[MRL_text]]="","",Table2[[#This Row],[MRL_text]]*1)</f>
        <v>0</v>
      </c>
      <c r="L324" s="898" t="str">
        <f>IF(RIGHT(Table2[[#This Row],[(ft)]],1)="*","*","")</f>
        <v/>
      </c>
    </row>
    <row r="325" spans="1:12" ht="13.15" customHeight="1" x14ac:dyDescent="0.2">
      <c r="A325" s="1212">
        <v>1011040</v>
      </c>
      <c r="B325" s="1212" t="s">
        <v>1759</v>
      </c>
      <c r="C325" s="1215" t="s">
        <v>1760</v>
      </c>
      <c r="D325" s="1231"/>
      <c r="E325" s="1249">
        <f>Table2[[#This Row],[MRL2]]</f>
        <v>0</v>
      </c>
      <c r="F325" s="1461" t="str">
        <f>Table2[[#This Row],[LOQ2]]</f>
        <v/>
      </c>
      <c r="G325" s="898">
        <f>LEN(Table2[[#This Row],[Please insert here the MRLs of COM database (use ''paste values'' function)]])</f>
        <v>0</v>
      </c>
      <c r="H32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25" s="898">
        <f>LEN(Table2[[#This Row],[(ft)]])</f>
        <v>1</v>
      </c>
      <c r="J325" s="898">
        <f>IF(Table2[[#This Row],[LOQ2]]="*",LEFT(Table2[[#This Row],[(ft)]],Table2[[#This Row],[length trimmed 1]]-1),Table2[[#This Row],[(ft)]])</f>
        <v>0</v>
      </c>
      <c r="K325" s="898">
        <f>IF(Table2[[#This Row],[MRL_text]]="","",Table2[[#This Row],[MRL_text]]*1)</f>
        <v>0</v>
      </c>
      <c r="L325" s="898" t="str">
        <f>IF(RIGHT(Table2[[#This Row],[(ft)]],1)="*","*","")</f>
        <v/>
      </c>
    </row>
    <row r="326" spans="1:12" ht="13.15" customHeight="1" x14ac:dyDescent="0.2">
      <c r="A326" s="1212">
        <v>1011050</v>
      </c>
      <c r="B326" s="1212" t="s">
        <v>1761</v>
      </c>
      <c r="C326" s="1215" t="s">
        <v>1762</v>
      </c>
      <c r="D326" s="1231"/>
      <c r="E326" s="1249">
        <f>Table2[[#This Row],[MRL2]]</f>
        <v>0</v>
      </c>
      <c r="F326" s="1461" t="str">
        <f>Table2[[#This Row],[LOQ2]]</f>
        <v/>
      </c>
      <c r="G326" s="898">
        <f>LEN(Table2[[#This Row],[Please insert here the MRLs of COM database (use ''paste values'' function)]])</f>
        <v>0</v>
      </c>
      <c r="H32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26" s="898">
        <f>LEN(Table2[[#This Row],[(ft)]])</f>
        <v>1</v>
      </c>
      <c r="J326" s="898">
        <f>IF(Table2[[#This Row],[LOQ2]]="*",LEFT(Table2[[#This Row],[(ft)]],Table2[[#This Row],[length trimmed 1]]-1),Table2[[#This Row],[(ft)]])</f>
        <v>0</v>
      </c>
      <c r="K326" s="898">
        <f>IF(Table2[[#This Row],[MRL_text]]="","",Table2[[#This Row],[MRL_text]]*1)</f>
        <v>0</v>
      </c>
      <c r="L326" s="898" t="str">
        <f>IF(RIGHT(Table2[[#This Row],[(ft)]],1)="*","*","")</f>
        <v/>
      </c>
    </row>
    <row r="327" spans="1:12" ht="13.15" customHeight="1" x14ac:dyDescent="0.2">
      <c r="A327" s="1212">
        <v>1011990</v>
      </c>
      <c r="B327" s="1212" t="s">
        <v>1763</v>
      </c>
      <c r="C327" s="1215" t="s">
        <v>1177</v>
      </c>
      <c r="D327" s="1231"/>
      <c r="E327" s="1249">
        <f>Table2[[#This Row],[MRL2]]</f>
        <v>0</v>
      </c>
      <c r="F327" s="1461" t="str">
        <f>Table2[[#This Row],[LOQ2]]</f>
        <v/>
      </c>
      <c r="G327" s="898">
        <f>LEN(Table2[[#This Row],[Please insert here the MRLs of COM database (use ''paste values'' function)]])</f>
        <v>0</v>
      </c>
      <c r="H32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27" s="898">
        <f>LEN(Table2[[#This Row],[(ft)]])</f>
        <v>1</v>
      </c>
      <c r="J327" s="898">
        <f>IF(Table2[[#This Row],[LOQ2]]="*",LEFT(Table2[[#This Row],[(ft)]],Table2[[#This Row],[length trimmed 1]]-1),Table2[[#This Row],[(ft)]])</f>
        <v>0</v>
      </c>
      <c r="K327" s="898">
        <f>IF(Table2[[#This Row],[MRL_text]]="","",Table2[[#This Row],[MRL_text]]*1)</f>
        <v>0</v>
      </c>
      <c r="L327" s="898" t="str">
        <f>IF(RIGHT(Table2[[#This Row],[(ft)]],1)="*","*","")</f>
        <v/>
      </c>
    </row>
    <row r="328" spans="1:12" ht="13.15" customHeight="1" x14ac:dyDescent="0.2">
      <c r="A328" s="1212">
        <v>1012000</v>
      </c>
      <c r="B328" s="1212" t="s">
        <v>1764</v>
      </c>
      <c r="C328" s="1215" t="s">
        <v>1765</v>
      </c>
      <c r="D328" s="1231"/>
      <c r="E328" s="1247">
        <f>Table2[[#This Row],[MRL2]]</f>
        <v>0</v>
      </c>
      <c r="F328" s="1460" t="str">
        <f>Table2[[#This Row],[LOQ2]]</f>
        <v/>
      </c>
      <c r="G328" s="898">
        <f>LEN(Table2[[#This Row],[Please insert here the MRLs of COM database (use ''paste values'' function)]])</f>
        <v>0</v>
      </c>
      <c r="H32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28" s="898">
        <f>LEN(Table2[[#This Row],[(ft)]])</f>
        <v>1</v>
      </c>
      <c r="J328" s="898">
        <f>IF(Table2[[#This Row],[LOQ2]]="*",LEFT(Table2[[#This Row],[(ft)]],Table2[[#This Row],[length trimmed 1]]-1),Table2[[#This Row],[(ft)]])</f>
        <v>0</v>
      </c>
      <c r="K328" s="898">
        <f>IF(Table2[[#This Row],[MRL_text]]="","",Table2[[#This Row],[MRL_text]]*1)</f>
        <v>0</v>
      </c>
      <c r="L328" s="898" t="str">
        <f>IF(RIGHT(Table2[[#This Row],[(ft)]],1)="*","*","")</f>
        <v/>
      </c>
    </row>
    <row r="329" spans="1:12" ht="13.15" customHeight="1" x14ac:dyDescent="0.2">
      <c r="A329" s="1212">
        <v>1012010</v>
      </c>
      <c r="B329" s="1212" t="s">
        <v>1766</v>
      </c>
      <c r="C329" s="1215" t="s">
        <v>1754</v>
      </c>
      <c r="D329" s="1231"/>
      <c r="E329" s="1249">
        <f>Table2[[#This Row],[MRL2]]</f>
        <v>0</v>
      </c>
      <c r="F329" s="1461" t="str">
        <f>Table2[[#This Row],[LOQ2]]</f>
        <v/>
      </c>
      <c r="G329" s="898">
        <f>LEN(Table2[[#This Row],[Please insert here the MRLs of COM database (use ''paste values'' function)]])</f>
        <v>0</v>
      </c>
      <c r="H32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29" s="898">
        <f>LEN(Table2[[#This Row],[(ft)]])</f>
        <v>1</v>
      </c>
      <c r="J329" s="898">
        <f>IF(Table2[[#This Row],[LOQ2]]="*",LEFT(Table2[[#This Row],[(ft)]],Table2[[#This Row],[length trimmed 1]]-1),Table2[[#This Row],[(ft)]])</f>
        <v>0</v>
      </c>
      <c r="K329" s="898">
        <f>IF(Table2[[#This Row],[MRL_text]]="","",Table2[[#This Row],[MRL_text]]*1)</f>
        <v>0</v>
      </c>
      <c r="L329" s="898" t="str">
        <f>IF(RIGHT(Table2[[#This Row],[(ft)]],1)="*","*","")</f>
        <v/>
      </c>
    </row>
    <row r="330" spans="1:12" ht="13.15" customHeight="1" x14ac:dyDescent="0.2">
      <c r="A330" s="1212">
        <v>1012020</v>
      </c>
      <c r="B330" s="1212" t="s">
        <v>1767</v>
      </c>
      <c r="C330" s="1215" t="s">
        <v>1756</v>
      </c>
      <c r="D330" s="1231"/>
      <c r="E330" s="1249">
        <f>Table2[[#This Row],[MRL2]]</f>
        <v>0</v>
      </c>
      <c r="F330" s="1461" t="str">
        <f>Table2[[#This Row],[LOQ2]]</f>
        <v/>
      </c>
      <c r="G330" s="898">
        <f>LEN(Table2[[#This Row],[Please insert here the MRLs of COM database (use ''paste values'' function)]])</f>
        <v>0</v>
      </c>
      <c r="H33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30" s="898">
        <f>LEN(Table2[[#This Row],[(ft)]])</f>
        <v>1</v>
      </c>
      <c r="J330" s="898">
        <f>IF(Table2[[#This Row],[LOQ2]]="*",LEFT(Table2[[#This Row],[(ft)]],Table2[[#This Row],[length trimmed 1]]-1),Table2[[#This Row],[(ft)]])</f>
        <v>0</v>
      </c>
      <c r="K330" s="898">
        <f>IF(Table2[[#This Row],[MRL_text]]="","",Table2[[#This Row],[MRL_text]]*1)</f>
        <v>0</v>
      </c>
      <c r="L330" s="898" t="str">
        <f>IF(RIGHT(Table2[[#This Row],[(ft)]],1)="*","*","")</f>
        <v/>
      </c>
    </row>
    <row r="331" spans="1:12" ht="13.15" customHeight="1" x14ac:dyDescent="0.2">
      <c r="A331" s="1212">
        <v>1012030</v>
      </c>
      <c r="B331" s="1212" t="s">
        <v>1768</v>
      </c>
      <c r="C331" s="1215" t="s">
        <v>1758</v>
      </c>
      <c r="D331" s="1231"/>
      <c r="E331" s="1249">
        <f>Table2[[#This Row],[MRL2]]</f>
        <v>0</v>
      </c>
      <c r="F331" s="1461" t="str">
        <f>Table2[[#This Row],[LOQ2]]</f>
        <v/>
      </c>
      <c r="G331" s="898">
        <f>LEN(Table2[[#This Row],[Please insert here the MRLs of COM database (use ''paste values'' function)]])</f>
        <v>0</v>
      </c>
      <c r="H33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31" s="898">
        <f>LEN(Table2[[#This Row],[(ft)]])</f>
        <v>1</v>
      </c>
      <c r="J331" s="898">
        <f>IF(Table2[[#This Row],[LOQ2]]="*",LEFT(Table2[[#This Row],[(ft)]],Table2[[#This Row],[length trimmed 1]]-1),Table2[[#This Row],[(ft)]])</f>
        <v>0</v>
      </c>
      <c r="K331" s="898">
        <f>IF(Table2[[#This Row],[MRL_text]]="","",Table2[[#This Row],[MRL_text]]*1)</f>
        <v>0</v>
      </c>
      <c r="L331" s="898" t="str">
        <f>IF(RIGHT(Table2[[#This Row],[(ft)]],1)="*","*","")</f>
        <v/>
      </c>
    </row>
    <row r="332" spans="1:12" ht="13.15" customHeight="1" x14ac:dyDescent="0.2">
      <c r="A332" s="1212">
        <v>1012040</v>
      </c>
      <c r="B332" s="1212" t="s">
        <v>1769</v>
      </c>
      <c r="C332" s="1215" t="s">
        <v>1760</v>
      </c>
      <c r="D332" s="1231"/>
      <c r="E332" s="1249">
        <f>Table2[[#This Row],[MRL2]]</f>
        <v>0</v>
      </c>
      <c r="F332" s="1461" t="str">
        <f>Table2[[#This Row],[LOQ2]]</f>
        <v/>
      </c>
      <c r="G332" s="898">
        <f>LEN(Table2[[#This Row],[Please insert here the MRLs of COM database (use ''paste values'' function)]])</f>
        <v>0</v>
      </c>
      <c r="H33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32" s="898">
        <f>LEN(Table2[[#This Row],[(ft)]])</f>
        <v>1</v>
      </c>
      <c r="J332" s="898">
        <f>IF(Table2[[#This Row],[LOQ2]]="*",LEFT(Table2[[#This Row],[(ft)]],Table2[[#This Row],[length trimmed 1]]-1),Table2[[#This Row],[(ft)]])</f>
        <v>0</v>
      </c>
      <c r="K332" s="898">
        <f>IF(Table2[[#This Row],[MRL_text]]="","",Table2[[#This Row],[MRL_text]]*1)</f>
        <v>0</v>
      </c>
      <c r="L332" s="898" t="str">
        <f>IF(RIGHT(Table2[[#This Row],[(ft)]],1)="*","*","")</f>
        <v/>
      </c>
    </row>
    <row r="333" spans="1:12" ht="13.15" customHeight="1" x14ac:dyDescent="0.2">
      <c r="A333" s="1212">
        <v>1012050</v>
      </c>
      <c r="B333" s="1212" t="s">
        <v>1770</v>
      </c>
      <c r="C333" s="1215" t="s">
        <v>1762</v>
      </c>
      <c r="D333" s="1231"/>
      <c r="E333" s="1249">
        <f>Table2[[#This Row],[MRL2]]</f>
        <v>0</v>
      </c>
      <c r="F333" s="1461" t="str">
        <f>Table2[[#This Row],[LOQ2]]</f>
        <v/>
      </c>
      <c r="G333" s="898">
        <f>LEN(Table2[[#This Row],[Please insert here the MRLs of COM database (use ''paste values'' function)]])</f>
        <v>0</v>
      </c>
      <c r="H33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33" s="898">
        <f>LEN(Table2[[#This Row],[(ft)]])</f>
        <v>1</v>
      </c>
      <c r="J333" s="898">
        <f>IF(Table2[[#This Row],[LOQ2]]="*",LEFT(Table2[[#This Row],[(ft)]],Table2[[#This Row],[length trimmed 1]]-1),Table2[[#This Row],[(ft)]])</f>
        <v>0</v>
      </c>
      <c r="K333" s="898">
        <f>IF(Table2[[#This Row],[MRL_text]]="","",Table2[[#This Row],[MRL_text]]*1)</f>
        <v>0</v>
      </c>
      <c r="L333" s="898" t="str">
        <f>IF(RIGHT(Table2[[#This Row],[(ft)]],1)="*","*","")</f>
        <v/>
      </c>
    </row>
    <row r="334" spans="1:12" ht="13.15" customHeight="1" x14ac:dyDescent="0.2">
      <c r="A334" s="1212">
        <v>1012990</v>
      </c>
      <c r="B334" s="1212" t="s">
        <v>1771</v>
      </c>
      <c r="C334" s="1215" t="s">
        <v>1177</v>
      </c>
      <c r="D334" s="1231"/>
      <c r="E334" s="1249">
        <f>Table2[[#This Row],[MRL2]]</f>
        <v>0</v>
      </c>
      <c r="F334" s="1461" t="str">
        <f>Table2[[#This Row],[LOQ2]]</f>
        <v/>
      </c>
      <c r="G334" s="898">
        <f>LEN(Table2[[#This Row],[Please insert here the MRLs of COM database (use ''paste values'' function)]])</f>
        <v>0</v>
      </c>
      <c r="H33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34" s="898">
        <f>LEN(Table2[[#This Row],[(ft)]])</f>
        <v>1</v>
      </c>
      <c r="J334" s="898">
        <f>IF(Table2[[#This Row],[LOQ2]]="*",LEFT(Table2[[#This Row],[(ft)]],Table2[[#This Row],[length trimmed 1]]-1),Table2[[#This Row],[(ft)]])</f>
        <v>0</v>
      </c>
      <c r="K334" s="898">
        <f>IF(Table2[[#This Row],[MRL_text]]="","",Table2[[#This Row],[MRL_text]]*1)</f>
        <v>0</v>
      </c>
      <c r="L334" s="898" t="str">
        <f>IF(RIGHT(Table2[[#This Row],[(ft)]],1)="*","*","")</f>
        <v/>
      </c>
    </row>
    <row r="335" spans="1:12" ht="13.15" customHeight="1" x14ac:dyDescent="0.2">
      <c r="A335" s="1212">
        <v>1013000</v>
      </c>
      <c r="B335" s="1212" t="s">
        <v>1772</v>
      </c>
      <c r="C335" s="1215" t="s">
        <v>1773</v>
      </c>
      <c r="D335" s="1231"/>
      <c r="E335" s="1247">
        <f>Table2[[#This Row],[MRL2]]</f>
        <v>0</v>
      </c>
      <c r="F335" s="1460" t="str">
        <f>Table2[[#This Row],[LOQ2]]</f>
        <v/>
      </c>
      <c r="G335" s="898">
        <f>LEN(Table2[[#This Row],[Please insert here the MRLs of COM database (use ''paste values'' function)]])</f>
        <v>0</v>
      </c>
      <c r="H33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35" s="898">
        <f>LEN(Table2[[#This Row],[(ft)]])</f>
        <v>1</v>
      </c>
      <c r="J335" s="898">
        <f>IF(Table2[[#This Row],[LOQ2]]="*",LEFT(Table2[[#This Row],[(ft)]],Table2[[#This Row],[length trimmed 1]]-1),Table2[[#This Row],[(ft)]])</f>
        <v>0</v>
      </c>
      <c r="K335" s="898">
        <f>IF(Table2[[#This Row],[MRL_text]]="","",Table2[[#This Row],[MRL_text]]*1)</f>
        <v>0</v>
      </c>
      <c r="L335" s="898" t="str">
        <f>IF(RIGHT(Table2[[#This Row],[(ft)]],1)="*","*","")</f>
        <v/>
      </c>
    </row>
    <row r="336" spans="1:12" ht="13.15" customHeight="1" x14ac:dyDescent="0.2">
      <c r="A336" s="1212">
        <v>1013010</v>
      </c>
      <c r="B336" s="1212" t="s">
        <v>1774</v>
      </c>
      <c r="C336" s="1215" t="s">
        <v>1754</v>
      </c>
      <c r="D336" s="1231"/>
      <c r="E336" s="1249">
        <f>Table2[[#This Row],[MRL2]]</f>
        <v>0</v>
      </c>
      <c r="F336" s="1461" t="str">
        <f>Table2[[#This Row],[LOQ2]]</f>
        <v/>
      </c>
      <c r="G336" s="898">
        <f>LEN(Table2[[#This Row],[Please insert here the MRLs of COM database (use ''paste values'' function)]])</f>
        <v>0</v>
      </c>
      <c r="H33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36" s="898">
        <f>LEN(Table2[[#This Row],[(ft)]])</f>
        <v>1</v>
      </c>
      <c r="J336" s="898">
        <f>IF(Table2[[#This Row],[LOQ2]]="*",LEFT(Table2[[#This Row],[(ft)]],Table2[[#This Row],[length trimmed 1]]-1),Table2[[#This Row],[(ft)]])</f>
        <v>0</v>
      </c>
      <c r="K336" s="898">
        <f>IF(Table2[[#This Row],[MRL_text]]="","",Table2[[#This Row],[MRL_text]]*1)</f>
        <v>0</v>
      </c>
      <c r="L336" s="898" t="str">
        <f>IF(RIGHT(Table2[[#This Row],[(ft)]],1)="*","*","")</f>
        <v/>
      </c>
    </row>
    <row r="337" spans="1:12" ht="13.15" customHeight="1" x14ac:dyDescent="0.2">
      <c r="A337" s="1212">
        <v>1013020</v>
      </c>
      <c r="B337" s="1212" t="s">
        <v>1775</v>
      </c>
      <c r="C337" s="1215" t="s">
        <v>1756</v>
      </c>
      <c r="D337" s="1231"/>
      <c r="E337" s="1249">
        <f>Table2[[#This Row],[MRL2]]</f>
        <v>0</v>
      </c>
      <c r="F337" s="1461" t="str">
        <f>Table2[[#This Row],[LOQ2]]</f>
        <v/>
      </c>
      <c r="G337" s="898">
        <f>LEN(Table2[[#This Row],[Please insert here the MRLs of COM database (use ''paste values'' function)]])</f>
        <v>0</v>
      </c>
      <c r="H33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37" s="898">
        <f>LEN(Table2[[#This Row],[(ft)]])</f>
        <v>1</v>
      </c>
      <c r="J337" s="898">
        <f>IF(Table2[[#This Row],[LOQ2]]="*",LEFT(Table2[[#This Row],[(ft)]],Table2[[#This Row],[length trimmed 1]]-1),Table2[[#This Row],[(ft)]])</f>
        <v>0</v>
      </c>
      <c r="K337" s="898">
        <f>IF(Table2[[#This Row],[MRL_text]]="","",Table2[[#This Row],[MRL_text]]*1)</f>
        <v>0</v>
      </c>
      <c r="L337" s="898" t="str">
        <f>IF(RIGHT(Table2[[#This Row],[(ft)]],1)="*","*","")</f>
        <v/>
      </c>
    </row>
    <row r="338" spans="1:12" ht="13.15" customHeight="1" x14ac:dyDescent="0.2">
      <c r="A338" s="1212">
        <v>1013030</v>
      </c>
      <c r="B338" s="1212" t="s">
        <v>1776</v>
      </c>
      <c r="C338" s="1215" t="s">
        <v>1758</v>
      </c>
      <c r="D338" s="1231"/>
      <c r="E338" s="1249">
        <f>Table2[[#This Row],[MRL2]]</f>
        <v>0</v>
      </c>
      <c r="F338" s="1461" t="str">
        <f>Table2[[#This Row],[LOQ2]]</f>
        <v/>
      </c>
      <c r="G338" s="898">
        <f>LEN(Table2[[#This Row],[Please insert here the MRLs of COM database (use ''paste values'' function)]])</f>
        <v>0</v>
      </c>
      <c r="H33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38" s="898">
        <f>LEN(Table2[[#This Row],[(ft)]])</f>
        <v>1</v>
      </c>
      <c r="J338" s="898">
        <f>IF(Table2[[#This Row],[LOQ2]]="*",LEFT(Table2[[#This Row],[(ft)]],Table2[[#This Row],[length trimmed 1]]-1),Table2[[#This Row],[(ft)]])</f>
        <v>0</v>
      </c>
      <c r="K338" s="898">
        <f>IF(Table2[[#This Row],[MRL_text]]="","",Table2[[#This Row],[MRL_text]]*1)</f>
        <v>0</v>
      </c>
      <c r="L338" s="898" t="str">
        <f>IF(RIGHT(Table2[[#This Row],[(ft)]],1)="*","*","")</f>
        <v/>
      </c>
    </row>
    <row r="339" spans="1:12" ht="13.15" customHeight="1" x14ac:dyDescent="0.2">
      <c r="A339" s="1212">
        <v>1013040</v>
      </c>
      <c r="B339" s="1212" t="s">
        <v>1777</v>
      </c>
      <c r="C339" s="1215" t="s">
        <v>1760</v>
      </c>
      <c r="D339" s="1231"/>
      <c r="E339" s="1249">
        <f>Table2[[#This Row],[MRL2]]</f>
        <v>0</v>
      </c>
      <c r="F339" s="1461" t="str">
        <f>Table2[[#This Row],[LOQ2]]</f>
        <v/>
      </c>
      <c r="G339" s="898">
        <f>LEN(Table2[[#This Row],[Please insert here the MRLs of COM database (use ''paste values'' function)]])</f>
        <v>0</v>
      </c>
      <c r="H33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39" s="898">
        <f>LEN(Table2[[#This Row],[(ft)]])</f>
        <v>1</v>
      </c>
      <c r="J339" s="898">
        <f>IF(Table2[[#This Row],[LOQ2]]="*",LEFT(Table2[[#This Row],[(ft)]],Table2[[#This Row],[length trimmed 1]]-1),Table2[[#This Row],[(ft)]])</f>
        <v>0</v>
      </c>
      <c r="K339" s="898">
        <f>IF(Table2[[#This Row],[MRL_text]]="","",Table2[[#This Row],[MRL_text]]*1)</f>
        <v>0</v>
      </c>
      <c r="L339" s="898" t="str">
        <f>IF(RIGHT(Table2[[#This Row],[(ft)]],1)="*","*","")</f>
        <v/>
      </c>
    </row>
    <row r="340" spans="1:12" ht="13.15" customHeight="1" x14ac:dyDescent="0.2">
      <c r="A340" s="1212">
        <v>1013050</v>
      </c>
      <c r="B340" s="1212" t="s">
        <v>1778</v>
      </c>
      <c r="C340" s="1215" t="s">
        <v>1762</v>
      </c>
      <c r="D340" s="1231"/>
      <c r="E340" s="1249">
        <f>Table2[[#This Row],[MRL2]]</f>
        <v>0</v>
      </c>
      <c r="F340" s="1461" t="str">
        <f>Table2[[#This Row],[LOQ2]]</f>
        <v/>
      </c>
      <c r="G340" s="898">
        <f>LEN(Table2[[#This Row],[Please insert here the MRLs of COM database (use ''paste values'' function)]])</f>
        <v>0</v>
      </c>
      <c r="H34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40" s="898">
        <f>LEN(Table2[[#This Row],[(ft)]])</f>
        <v>1</v>
      </c>
      <c r="J340" s="898">
        <f>IF(Table2[[#This Row],[LOQ2]]="*",LEFT(Table2[[#This Row],[(ft)]],Table2[[#This Row],[length trimmed 1]]-1),Table2[[#This Row],[(ft)]])</f>
        <v>0</v>
      </c>
      <c r="K340" s="898">
        <f>IF(Table2[[#This Row],[MRL_text]]="","",Table2[[#This Row],[MRL_text]]*1)</f>
        <v>0</v>
      </c>
      <c r="L340" s="898" t="str">
        <f>IF(RIGHT(Table2[[#This Row],[(ft)]],1)="*","*","")</f>
        <v/>
      </c>
    </row>
    <row r="341" spans="1:12" ht="13.15" customHeight="1" x14ac:dyDescent="0.2">
      <c r="A341" s="1212">
        <v>1013990</v>
      </c>
      <c r="B341" s="1212" t="s">
        <v>1779</v>
      </c>
      <c r="C341" s="1215" t="s">
        <v>1177</v>
      </c>
      <c r="D341" s="1232"/>
      <c r="E341" s="1249">
        <f>Table2[[#This Row],[MRL2]]</f>
        <v>0</v>
      </c>
      <c r="F341" s="1461" t="str">
        <f>Table2[[#This Row],[LOQ2]]</f>
        <v/>
      </c>
      <c r="G341" s="898">
        <f>LEN(Table2[[#This Row],[Please insert here the MRLs of COM database (use ''paste values'' function)]])</f>
        <v>0</v>
      </c>
      <c r="H34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41" s="898">
        <f>LEN(Table2[[#This Row],[(ft)]])</f>
        <v>1</v>
      </c>
      <c r="J341" s="898">
        <f>IF(Table2[[#This Row],[LOQ2]]="*",LEFT(Table2[[#This Row],[(ft)]],Table2[[#This Row],[length trimmed 1]]-1),Table2[[#This Row],[(ft)]])</f>
        <v>0</v>
      </c>
      <c r="K341" s="898">
        <f>IF(Table2[[#This Row],[MRL_text]]="","",Table2[[#This Row],[MRL_text]]*1)</f>
        <v>0</v>
      </c>
      <c r="L341" s="898" t="str">
        <f>IF(RIGHT(Table2[[#This Row],[(ft)]],1)="*","*","")</f>
        <v/>
      </c>
    </row>
    <row r="342" spans="1:12" ht="13.15" customHeight="1" x14ac:dyDescent="0.2">
      <c r="A342" s="1212">
        <v>1014000</v>
      </c>
      <c r="B342" s="1212" t="s">
        <v>1780</v>
      </c>
      <c r="C342" s="1215" t="s">
        <v>1781</v>
      </c>
      <c r="D342" s="1231"/>
      <c r="E342" s="1247">
        <f>Table2[[#This Row],[MRL2]]</f>
        <v>0</v>
      </c>
      <c r="F342" s="1460" t="str">
        <f>Table2[[#This Row],[LOQ2]]</f>
        <v/>
      </c>
      <c r="G342" s="898">
        <f>LEN(Table2[[#This Row],[Please insert here the MRLs of COM database (use ''paste values'' function)]])</f>
        <v>0</v>
      </c>
      <c r="H34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42" s="898">
        <f>LEN(Table2[[#This Row],[(ft)]])</f>
        <v>1</v>
      </c>
      <c r="J342" s="898">
        <f>IF(Table2[[#This Row],[LOQ2]]="*",LEFT(Table2[[#This Row],[(ft)]],Table2[[#This Row],[length trimmed 1]]-1),Table2[[#This Row],[(ft)]])</f>
        <v>0</v>
      </c>
      <c r="K342" s="898">
        <f>IF(Table2[[#This Row],[MRL_text]]="","",Table2[[#This Row],[MRL_text]]*1)</f>
        <v>0</v>
      </c>
      <c r="L342" s="898" t="str">
        <f>IF(RIGHT(Table2[[#This Row],[(ft)]],1)="*","*","")</f>
        <v/>
      </c>
    </row>
    <row r="343" spans="1:12" ht="13.15" customHeight="1" x14ac:dyDescent="0.2">
      <c r="A343" s="1212">
        <v>1014010</v>
      </c>
      <c r="B343" s="1212" t="s">
        <v>1782</v>
      </c>
      <c r="C343" s="1215" t="s">
        <v>1754</v>
      </c>
      <c r="D343" s="1231"/>
      <c r="E343" s="1249">
        <f>Table2[[#This Row],[MRL2]]</f>
        <v>0</v>
      </c>
      <c r="F343" s="1461" t="str">
        <f>Table2[[#This Row],[LOQ2]]</f>
        <v/>
      </c>
      <c r="G343" s="898">
        <f>LEN(Table2[[#This Row],[Please insert here the MRLs of COM database (use ''paste values'' function)]])</f>
        <v>0</v>
      </c>
      <c r="H34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43" s="898">
        <f>LEN(Table2[[#This Row],[(ft)]])</f>
        <v>1</v>
      </c>
      <c r="J343" s="898">
        <f>IF(Table2[[#This Row],[LOQ2]]="*",LEFT(Table2[[#This Row],[(ft)]],Table2[[#This Row],[length trimmed 1]]-1),Table2[[#This Row],[(ft)]])</f>
        <v>0</v>
      </c>
      <c r="K343" s="898">
        <f>IF(Table2[[#This Row],[MRL_text]]="","",Table2[[#This Row],[MRL_text]]*1)</f>
        <v>0</v>
      </c>
      <c r="L343" s="898" t="str">
        <f>IF(RIGHT(Table2[[#This Row],[(ft)]],1)="*","*","")</f>
        <v/>
      </c>
    </row>
    <row r="344" spans="1:12" ht="13.15" customHeight="1" x14ac:dyDescent="0.2">
      <c r="A344" s="1212">
        <v>1014020</v>
      </c>
      <c r="B344" s="1212" t="s">
        <v>1783</v>
      </c>
      <c r="C344" s="1215" t="s">
        <v>1756</v>
      </c>
      <c r="D344" s="1231"/>
      <c r="E344" s="1249">
        <f>Table2[[#This Row],[MRL2]]</f>
        <v>0</v>
      </c>
      <c r="F344" s="1461" t="str">
        <f>Table2[[#This Row],[LOQ2]]</f>
        <v/>
      </c>
      <c r="G344" s="898">
        <f>LEN(Table2[[#This Row],[Please insert here the MRLs of COM database (use ''paste values'' function)]])</f>
        <v>0</v>
      </c>
      <c r="H34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44" s="898">
        <f>LEN(Table2[[#This Row],[(ft)]])</f>
        <v>1</v>
      </c>
      <c r="J344" s="898">
        <f>IF(Table2[[#This Row],[LOQ2]]="*",LEFT(Table2[[#This Row],[(ft)]],Table2[[#This Row],[length trimmed 1]]-1),Table2[[#This Row],[(ft)]])</f>
        <v>0</v>
      </c>
      <c r="K344" s="898">
        <f>IF(Table2[[#This Row],[MRL_text]]="","",Table2[[#This Row],[MRL_text]]*1)</f>
        <v>0</v>
      </c>
      <c r="L344" s="898" t="str">
        <f>IF(RIGHT(Table2[[#This Row],[(ft)]],1)="*","*","")</f>
        <v/>
      </c>
    </row>
    <row r="345" spans="1:12" ht="13.15" customHeight="1" x14ac:dyDescent="0.2">
      <c r="A345" s="1212">
        <v>1014030</v>
      </c>
      <c r="B345" s="1212" t="s">
        <v>1784</v>
      </c>
      <c r="C345" s="1215" t="s">
        <v>1758</v>
      </c>
      <c r="D345" s="1231"/>
      <c r="E345" s="1249">
        <f>Table2[[#This Row],[MRL2]]</f>
        <v>0</v>
      </c>
      <c r="F345" s="1461" t="str">
        <f>Table2[[#This Row],[LOQ2]]</f>
        <v/>
      </c>
      <c r="G345" s="898">
        <f>LEN(Table2[[#This Row],[Please insert here the MRLs of COM database (use ''paste values'' function)]])</f>
        <v>0</v>
      </c>
      <c r="H34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45" s="898">
        <f>LEN(Table2[[#This Row],[(ft)]])</f>
        <v>1</v>
      </c>
      <c r="J345" s="898">
        <f>IF(Table2[[#This Row],[LOQ2]]="*",LEFT(Table2[[#This Row],[(ft)]],Table2[[#This Row],[length trimmed 1]]-1),Table2[[#This Row],[(ft)]])</f>
        <v>0</v>
      </c>
      <c r="K345" s="898">
        <f>IF(Table2[[#This Row],[MRL_text]]="","",Table2[[#This Row],[MRL_text]]*1)</f>
        <v>0</v>
      </c>
      <c r="L345" s="898" t="str">
        <f>IF(RIGHT(Table2[[#This Row],[(ft)]],1)="*","*","")</f>
        <v/>
      </c>
    </row>
    <row r="346" spans="1:12" ht="13.15" customHeight="1" x14ac:dyDescent="0.2">
      <c r="A346" s="1212">
        <v>1014040</v>
      </c>
      <c r="B346" s="1212" t="s">
        <v>1785</v>
      </c>
      <c r="C346" s="1215" t="s">
        <v>1760</v>
      </c>
      <c r="D346" s="1231"/>
      <c r="E346" s="1249">
        <f>Table2[[#This Row],[MRL2]]</f>
        <v>0</v>
      </c>
      <c r="F346" s="1461" t="str">
        <f>Table2[[#This Row],[LOQ2]]</f>
        <v/>
      </c>
      <c r="G346" s="898">
        <f>LEN(Table2[[#This Row],[Please insert here the MRLs of COM database (use ''paste values'' function)]])</f>
        <v>0</v>
      </c>
      <c r="H34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46" s="898">
        <f>LEN(Table2[[#This Row],[(ft)]])</f>
        <v>1</v>
      </c>
      <c r="J346" s="898">
        <f>IF(Table2[[#This Row],[LOQ2]]="*",LEFT(Table2[[#This Row],[(ft)]],Table2[[#This Row],[length trimmed 1]]-1),Table2[[#This Row],[(ft)]])</f>
        <v>0</v>
      </c>
      <c r="K346" s="898">
        <f>IF(Table2[[#This Row],[MRL_text]]="","",Table2[[#This Row],[MRL_text]]*1)</f>
        <v>0</v>
      </c>
      <c r="L346" s="898" t="str">
        <f>IF(RIGHT(Table2[[#This Row],[(ft)]],1)="*","*","")</f>
        <v/>
      </c>
    </row>
    <row r="347" spans="1:12" ht="13.15" customHeight="1" x14ac:dyDescent="0.2">
      <c r="A347" s="1212">
        <v>1014050</v>
      </c>
      <c r="B347" s="1212" t="s">
        <v>1786</v>
      </c>
      <c r="C347" s="1215" t="s">
        <v>1762</v>
      </c>
      <c r="D347" s="1231"/>
      <c r="E347" s="1249">
        <f>Table2[[#This Row],[MRL2]]</f>
        <v>0</v>
      </c>
      <c r="F347" s="1461" t="str">
        <f>Table2[[#This Row],[LOQ2]]</f>
        <v/>
      </c>
      <c r="G347" s="898">
        <f>LEN(Table2[[#This Row],[Please insert here the MRLs of COM database (use ''paste values'' function)]])</f>
        <v>0</v>
      </c>
      <c r="H34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47" s="898">
        <f>LEN(Table2[[#This Row],[(ft)]])</f>
        <v>1</v>
      </c>
      <c r="J347" s="898">
        <f>IF(Table2[[#This Row],[LOQ2]]="*",LEFT(Table2[[#This Row],[(ft)]],Table2[[#This Row],[length trimmed 1]]-1),Table2[[#This Row],[(ft)]])</f>
        <v>0</v>
      </c>
      <c r="K347" s="898">
        <f>IF(Table2[[#This Row],[MRL_text]]="","",Table2[[#This Row],[MRL_text]]*1)</f>
        <v>0</v>
      </c>
      <c r="L347" s="898" t="str">
        <f>IF(RIGHT(Table2[[#This Row],[(ft)]],1)="*","*","")</f>
        <v/>
      </c>
    </row>
    <row r="348" spans="1:12" ht="13.15" customHeight="1" x14ac:dyDescent="0.2">
      <c r="A348" s="1212">
        <v>1014990</v>
      </c>
      <c r="B348" s="1212" t="s">
        <v>1787</v>
      </c>
      <c r="C348" s="1215" t="s">
        <v>1177</v>
      </c>
      <c r="D348" s="1231"/>
      <c r="E348" s="1249">
        <f>Table2[[#This Row],[MRL2]]</f>
        <v>0</v>
      </c>
      <c r="F348" s="1461" t="str">
        <f>Table2[[#This Row],[LOQ2]]</f>
        <v/>
      </c>
      <c r="G348" s="898">
        <f>LEN(Table2[[#This Row],[Please insert here the MRLs of COM database (use ''paste values'' function)]])</f>
        <v>0</v>
      </c>
      <c r="H34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48" s="898">
        <f>LEN(Table2[[#This Row],[(ft)]])</f>
        <v>1</v>
      </c>
      <c r="J348" s="898">
        <f>IF(Table2[[#This Row],[LOQ2]]="*",LEFT(Table2[[#This Row],[(ft)]],Table2[[#This Row],[length trimmed 1]]-1),Table2[[#This Row],[(ft)]])</f>
        <v>0</v>
      </c>
      <c r="K348" s="898">
        <f>IF(Table2[[#This Row],[MRL_text]]="","",Table2[[#This Row],[MRL_text]]*1)</f>
        <v>0</v>
      </c>
      <c r="L348" s="898" t="str">
        <f>IF(RIGHT(Table2[[#This Row],[(ft)]],1)="*","*","")</f>
        <v/>
      </c>
    </row>
    <row r="349" spans="1:12" ht="13.15" customHeight="1" x14ac:dyDescent="0.2">
      <c r="A349" s="1212">
        <v>1015000</v>
      </c>
      <c r="B349" s="1212" t="s">
        <v>1788</v>
      </c>
      <c r="C349" s="1215" t="s">
        <v>1789</v>
      </c>
      <c r="D349" s="1231"/>
      <c r="E349" s="1247">
        <f>Table2[[#This Row],[MRL2]]</f>
        <v>0</v>
      </c>
      <c r="F349" s="1460" t="str">
        <f>Table2[[#This Row],[LOQ2]]</f>
        <v/>
      </c>
      <c r="G349" s="898">
        <f>LEN(Table2[[#This Row],[Please insert here the MRLs of COM database (use ''paste values'' function)]])</f>
        <v>0</v>
      </c>
      <c r="H34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49" s="898">
        <f>LEN(Table2[[#This Row],[(ft)]])</f>
        <v>1</v>
      </c>
      <c r="J349" s="898">
        <f>IF(Table2[[#This Row],[LOQ2]]="*",LEFT(Table2[[#This Row],[(ft)]],Table2[[#This Row],[length trimmed 1]]-1),Table2[[#This Row],[(ft)]])</f>
        <v>0</v>
      </c>
      <c r="K349" s="898">
        <f>IF(Table2[[#This Row],[MRL_text]]="","",Table2[[#This Row],[MRL_text]]*1)</f>
        <v>0</v>
      </c>
      <c r="L349" s="898" t="str">
        <f>IF(RIGHT(Table2[[#This Row],[(ft)]],1)="*","*","")</f>
        <v/>
      </c>
    </row>
    <row r="350" spans="1:12" ht="13.15" customHeight="1" x14ac:dyDescent="0.2">
      <c r="A350" s="1212">
        <v>1015010</v>
      </c>
      <c r="B350" s="1212" t="s">
        <v>1790</v>
      </c>
      <c r="C350" s="1215" t="s">
        <v>1754</v>
      </c>
      <c r="D350" s="1231"/>
      <c r="E350" s="1249">
        <f>Table2[[#This Row],[MRL2]]</f>
        <v>0</v>
      </c>
      <c r="F350" s="1461" t="str">
        <f>Table2[[#This Row],[LOQ2]]</f>
        <v/>
      </c>
      <c r="G350" s="898">
        <f>LEN(Table2[[#This Row],[Please insert here the MRLs of COM database (use ''paste values'' function)]])</f>
        <v>0</v>
      </c>
      <c r="H35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50" s="898">
        <f>LEN(Table2[[#This Row],[(ft)]])</f>
        <v>1</v>
      </c>
      <c r="J350" s="898">
        <f>IF(Table2[[#This Row],[LOQ2]]="*",LEFT(Table2[[#This Row],[(ft)]],Table2[[#This Row],[length trimmed 1]]-1),Table2[[#This Row],[(ft)]])</f>
        <v>0</v>
      </c>
      <c r="K350" s="898">
        <f>IF(Table2[[#This Row],[MRL_text]]="","",Table2[[#This Row],[MRL_text]]*1)</f>
        <v>0</v>
      </c>
      <c r="L350" s="898" t="str">
        <f>IF(RIGHT(Table2[[#This Row],[(ft)]],1)="*","*","")</f>
        <v/>
      </c>
    </row>
    <row r="351" spans="1:12" ht="13.15" customHeight="1" x14ac:dyDescent="0.2">
      <c r="A351" s="1212">
        <v>1015020</v>
      </c>
      <c r="B351" s="1212" t="s">
        <v>1791</v>
      </c>
      <c r="C351" s="1215" t="s">
        <v>1756</v>
      </c>
      <c r="D351" s="1231"/>
      <c r="E351" s="1249">
        <f>Table2[[#This Row],[MRL2]]</f>
        <v>0</v>
      </c>
      <c r="F351" s="1461" t="str">
        <f>Table2[[#This Row],[LOQ2]]</f>
        <v/>
      </c>
      <c r="G351" s="898">
        <f>LEN(Table2[[#This Row],[Please insert here the MRLs of COM database (use ''paste values'' function)]])</f>
        <v>0</v>
      </c>
      <c r="H35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51" s="898">
        <f>LEN(Table2[[#This Row],[(ft)]])</f>
        <v>1</v>
      </c>
      <c r="J351" s="898">
        <f>IF(Table2[[#This Row],[LOQ2]]="*",LEFT(Table2[[#This Row],[(ft)]],Table2[[#This Row],[length trimmed 1]]-1),Table2[[#This Row],[(ft)]])</f>
        <v>0</v>
      </c>
      <c r="K351" s="898">
        <f>IF(Table2[[#This Row],[MRL_text]]="","",Table2[[#This Row],[MRL_text]]*1)</f>
        <v>0</v>
      </c>
      <c r="L351" s="898" t="str">
        <f>IF(RIGHT(Table2[[#This Row],[(ft)]],1)="*","*","")</f>
        <v/>
      </c>
    </row>
    <row r="352" spans="1:12" ht="13.15" customHeight="1" x14ac:dyDescent="0.2">
      <c r="A352" s="1212">
        <v>1015030</v>
      </c>
      <c r="B352" s="1212" t="s">
        <v>1792</v>
      </c>
      <c r="C352" s="1215" t="s">
        <v>1758</v>
      </c>
      <c r="D352" s="1231"/>
      <c r="E352" s="1249">
        <f>Table2[[#This Row],[MRL2]]</f>
        <v>0</v>
      </c>
      <c r="F352" s="1461" t="str">
        <f>Table2[[#This Row],[LOQ2]]</f>
        <v/>
      </c>
      <c r="G352" s="898">
        <f>LEN(Table2[[#This Row],[Please insert here the MRLs of COM database (use ''paste values'' function)]])</f>
        <v>0</v>
      </c>
      <c r="H35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52" s="898">
        <f>LEN(Table2[[#This Row],[(ft)]])</f>
        <v>1</v>
      </c>
      <c r="J352" s="898">
        <f>IF(Table2[[#This Row],[LOQ2]]="*",LEFT(Table2[[#This Row],[(ft)]],Table2[[#This Row],[length trimmed 1]]-1),Table2[[#This Row],[(ft)]])</f>
        <v>0</v>
      </c>
      <c r="K352" s="898">
        <f>IF(Table2[[#This Row],[MRL_text]]="","",Table2[[#This Row],[MRL_text]]*1)</f>
        <v>0</v>
      </c>
      <c r="L352" s="898" t="str">
        <f>IF(RIGHT(Table2[[#This Row],[(ft)]],1)="*","*","")</f>
        <v/>
      </c>
    </row>
    <row r="353" spans="1:12" ht="13.15" customHeight="1" x14ac:dyDescent="0.2">
      <c r="A353" s="1212">
        <v>1015040</v>
      </c>
      <c r="B353" s="1212" t="s">
        <v>1793</v>
      </c>
      <c r="C353" s="1215" t="s">
        <v>1760</v>
      </c>
      <c r="D353" s="1231"/>
      <c r="E353" s="1249">
        <f>Table2[[#This Row],[MRL2]]</f>
        <v>0</v>
      </c>
      <c r="F353" s="1461" t="str">
        <f>Table2[[#This Row],[LOQ2]]</f>
        <v/>
      </c>
      <c r="G353" s="898">
        <f>LEN(Table2[[#This Row],[Please insert here the MRLs of COM database (use ''paste values'' function)]])</f>
        <v>0</v>
      </c>
      <c r="H35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53" s="898">
        <f>LEN(Table2[[#This Row],[(ft)]])</f>
        <v>1</v>
      </c>
      <c r="J353" s="898">
        <f>IF(Table2[[#This Row],[LOQ2]]="*",LEFT(Table2[[#This Row],[(ft)]],Table2[[#This Row],[length trimmed 1]]-1),Table2[[#This Row],[(ft)]])</f>
        <v>0</v>
      </c>
      <c r="K353" s="898">
        <f>IF(Table2[[#This Row],[MRL_text]]="","",Table2[[#This Row],[MRL_text]]*1)</f>
        <v>0</v>
      </c>
      <c r="L353" s="898" t="str">
        <f>IF(RIGHT(Table2[[#This Row],[(ft)]],1)="*","*","")</f>
        <v/>
      </c>
    </row>
    <row r="354" spans="1:12" ht="13.15" customHeight="1" x14ac:dyDescent="0.2">
      <c r="A354" s="1212">
        <v>1015050</v>
      </c>
      <c r="B354" s="1212" t="s">
        <v>1794</v>
      </c>
      <c r="C354" s="1215" t="s">
        <v>1762</v>
      </c>
      <c r="D354" s="1231"/>
      <c r="E354" s="1249">
        <f>Table2[[#This Row],[MRL2]]</f>
        <v>0</v>
      </c>
      <c r="F354" s="1461" t="str">
        <f>Table2[[#This Row],[LOQ2]]</f>
        <v/>
      </c>
      <c r="G354" s="898">
        <f>LEN(Table2[[#This Row],[Please insert here the MRLs of COM database (use ''paste values'' function)]])</f>
        <v>0</v>
      </c>
      <c r="H35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54" s="898">
        <f>LEN(Table2[[#This Row],[(ft)]])</f>
        <v>1</v>
      </c>
      <c r="J354" s="898">
        <f>IF(Table2[[#This Row],[LOQ2]]="*",LEFT(Table2[[#This Row],[(ft)]],Table2[[#This Row],[length trimmed 1]]-1),Table2[[#This Row],[(ft)]])</f>
        <v>0</v>
      </c>
      <c r="K354" s="898">
        <f>IF(Table2[[#This Row],[MRL_text]]="","",Table2[[#This Row],[MRL_text]]*1)</f>
        <v>0</v>
      </c>
      <c r="L354" s="898" t="str">
        <f>IF(RIGHT(Table2[[#This Row],[(ft)]],1)="*","*","")</f>
        <v/>
      </c>
    </row>
    <row r="355" spans="1:12" ht="13.15" customHeight="1" x14ac:dyDescent="0.2">
      <c r="A355" s="1212">
        <v>1015990</v>
      </c>
      <c r="B355" s="1212" t="s">
        <v>1795</v>
      </c>
      <c r="C355" s="1215" t="s">
        <v>1177</v>
      </c>
      <c r="D355" s="1231"/>
      <c r="E355" s="1249">
        <f>Table2[[#This Row],[MRL2]]</f>
        <v>0</v>
      </c>
      <c r="F355" s="1461" t="str">
        <f>Table2[[#This Row],[LOQ2]]</f>
        <v/>
      </c>
      <c r="G355" s="898">
        <f>LEN(Table2[[#This Row],[Please insert here the MRLs of COM database (use ''paste values'' function)]])</f>
        <v>0</v>
      </c>
      <c r="H35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55" s="898">
        <f>LEN(Table2[[#This Row],[(ft)]])</f>
        <v>1</v>
      </c>
      <c r="J355" s="898">
        <f>IF(Table2[[#This Row],[LOQ2]]="*",LEFT(Table2[[#This Row],[(ft)]],Table2[[#This Row],[length trimmed 1]]-1),Table2[[#This Row],[(ft)]])</f>
        <v>0</v>
      </c>
      <c r="K355" s="898">
        <f>IF(Table2[[#This Row],[MRL_text]]="","",Table2[[#This Row],[MRL_text]]*1)</f>
        <v>0</v>
      </c>
      <c r="L355" s="898" t="str">
        <f>IF(RIGHT(Table2[[#This Row],[(ft)]],1)="*","*","")</f>
        <v/>
      </c>
    </row>
    <row r="356" spans="1:12" ht="13.15" customHeight="1" x14ac:dyDescent="0.2">
      <c r="A356" s="1212">
        <v>1016000</v>
      </c>
      <c r="B356" s="1212" t="s">
        <v>1796</v>
      </c>
      <c r="C356" s="1215" t="s">
        <v>1797</v>
      </c>
      <c r="D356" s="1231"/>
      <c r="E356" s="1247">
        <f>Table2[[#This Row],[MRL2]]</f>
        <v>0</v>
      </c>
      <c r="F356" s="1460" t="str">
        <f>Table2[[#This Row],[LOQ2]]</f>
        <v/>
      </c>
      <c r="G356" s="898">
        <f>LEN(Table2[[#This Row],[Please insert here the MRLs of COM database (use ''paste values'' function)]])</f>
        <v>0</v>
      </c>
      <c r="H35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56" s="898">
        <f>LEN(Table2[[#This Row],[(ft)]])</f>
        <v>1</v>
      </c>
      <c r="J356" s="898">
        <f>IF(Table2[[#This Row],[LOQ2]]="*",LEFT(Table2[[#This Row],[(ft)]],Table2[[#This Row],[length trimmed 1]]-1),Table2[[#This Row],[(ft)]])</f>
        <v>0</v>
      </c>
      <c r="K356" s="898">
        <f>IF(Table2[[#This Row],[MRL_text]]="","",Table2[[#This Row],[MRL_text]]*1)</f>
        <v>0</v>
      </c>
      <c r="L356" s="898" t="str">
        <f>IF(RIGHT(Table2[[#This Row],[(ft)]],1)="*","*","")</f>
        <v/>
      </c>
    </row>
    <row r="357" spans="1:12" ht="13.15" customHeight="1" x14ac:dyDescent="0.2">
      <c r="A357" s="1212">
        <v>1016010</v>
      </c>
      <c r="B357" s="1212" t="s">
        <v>1798</v>
      </c>
      <c r="C357" s="1215" t="s">
        <v>1754</v>
      </c>
      <c r="D357" s="1231"/>
      <c r="E357" s="1249">
        <f>Table2[[#This Row],[MRL2]]</f>
        <v>0</v>
      </c>
      <c r="F357" s="1461" t="str">
        <f>Table2[[#This Row],[LOQ2]]</f>
        <v/>
      </c>
      <c r="G357" s="898">
        <f>LEN(Table2[[#This Row],[Please insert here the MRLs of COM database (use ''paste values'' function)]])</f>
        <v>0</v>
      </c>
      <c r="H35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57" s="898">
        <f>LEN(Table2[[#This Row],[(ft)]])</f>
        <v>1</v>
      </c>
      <c r="J357" s="898">
        <f>IF(Table2[[#This Row],[LOQ2]]="*",LEFT(Table2[[#This Row],[(ft)]],Table2[[#This Row],[length trimmed 1]]-1),Table2[[#This Row],[(ft)]])</f>
        <v>0</v>
      </c>
      <c r="K357" s="898">
        <f>IF(Table2[[#This Row],[MRL_text]]="","",Table2[[#This Row],[MRL_text]]*1)</f>
        <v>0</v>
      </c>
      <c r="L357" s="898" t="str">
        <f>IF(RIGHT(Table2[[#This Row],[(ft)]],1)="*","*","")</f>
        <v/>
      </c>
    </row>
    <row r="358" spans="1:12" ht="13.15" customHeight="1" x14ac:dyDescent="0.2">
      <c r="A358" s="1212">
        <v>1016020</v>
      </c>
      <c r="B358" s="1212" t="s">
        <v>1799</v>
      </c>
      <c r="C358" s="1215" t="s">
        <v>1756</v>
      </c>
      <c r="D358" s="1231"/>
      <c r="E358" s="1249">
        <f>Table2[[#This Row],[MRL2]]</f>
        <v>0</v>
      </c>
      <c r="F358" s="1461" t="str">
        <f>Table2[[#This Row],[LOQ2]]</f>
        <v/>
      </c>
      <c r="G358" s="898">
        <f>LEN(Table2[[#This Row],[Please insert here the MRLs of COM database (use ''paste values'' function)]])</f>
        <v>0</v>
      </c>
      <c r="H35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58" s="898">
        <f>LEN(Table2[[#This Row],[(ft)]])</f>
        <v>1</v>
      </c>
      <c r="J358" s="898">
        <f>IF(Table2[[#This Row],[LOQ2]]="*",LEFT(Table2[[#This Row],[(ft)]],Table2[[#This Row],[length trimmed 1]]-1),Table2[[#This Row],[(ft)]])</f>
        <v>0</v>
      </c>
      <c r="K358" s="898">
        <f>IF(Table2[[#This Row],[MRL_text]]="","",Table2[[#This Row],[MRL_text]]*1)</f>
        <v>0</v>
      </c>
      <c r="L358" s="898" t="str">
        <f>IF(RIGHT(Table2[[#This Row],[(ft)]],1)="*","*","")</f>
        <v/>
      </c>
    </row>
    <row r="359" spans="1:12" ht="13.15" customHeight="1" x14ac:dyDescent="0.2">
      <c r="A359" s="1212">
        <v>1016030</v>
      </c>
      <c r="B359" s="1212" t="s">
        <v>1800</v>
      </c>
      <c r="C359" s="1215" t="s">
        <v>1758</v>
      </c>
      <c r="D359" s="1231"/>
      <c r="E359" s="1249">
        <f>Table2[[#This Row],[MRL2]]</f>
        <v>0</v>
      </c>
      <c r="F359" s="1461" t="str">
        <f>Table2[[#This Row],[LOQ2]]</f>
        <v/>
      </c>
      <c r="G359" s="898">
        <f>LEN(Table2[[#This Row],[Please insert here the MRLs of COM database (use ''paste values'' function)]])</f>
        <v>0</v>
      </c>
      <c r="H35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59" s="898">
        <f>LEN(Table2[[#This Row],[(ft)]])</f>
        <v>1</v>
      </c>
      <c r="J359" s="898">
        <f>IF(Table2[[#This Row],[LOQ2]]="*",LEFT(Table2[[#This Row],[(ft)]],Table2[[#This Row],[length trimmed 1]]-1),Table2[[#This Row],[(ft)]])</f>
        <v>0</v>
      </c>
      <c r="K359" s="898">
        <f>IF(Table2[[#This Row],[MRL_text]]="","",Table2[[#This Row],[MRL_text]]*1)</f>
        <v>0</v>
      </c>
      <c r="L359" s="898" t="str">
        <f>IF(RIGHT(Table2[[#This Row],[(ft)]],1)="*","*","")</f>
        <v/>
      </c>
    </row>
    <row r="360" spans="1:12" ht="13.15" customHeight="1" x14ac:dyDescent="0.2">
      <c r="A360" s="1212">
        <v>1016040</v>
      </c>
      <c r="B360" s="1212" t="s">
        <v>1801</v>
      </c>
      <c r="C360" s="1215" t="s">
        <v>1760</v>
      </c>
      <c r="D360" s="1231"/>
      <c r="E360" s="1249">
        <f>Table2[[#This Row],[MRL2]]</f>
        <v>0</v>
      </c>
      <c r="F360" s="1461" t="str">
        <f>Table2[[#This Row],[LOQ2]]</f>
        <v/>
      </c>
      <c r="G360" s="898">
        <f>LEN(Table2[[#This Row],[Please insert here the MRLs of COM database (use ''paste values'' function)]])</f>
        <v>0</v>
      </c>
      <c r="H36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60" s="898">
        <f>LEN(Table2[[#This Row],[(ft)]])</f>
        <v>1</v>
      </c>
      <c r="J360" s="898">
        <f>IF(Table2[[#This Row],[LOQ2]]="*",LEFT(Table2[[#This Row],[(ft)]],Table2[[#This Row],[length trimmed 1]]-1),Table2[[#This Row],[(ft)]])</f>
        <v>0</v>
      </c>
      <c r="K360" s="898">
        <f>IF(Table2[[#This Row],[MRL_text]]="","",Table2[[#This Row],[MRL_text]]*1)</f>
        <v>0</v>
      </c>
      <c r="L360" s="898" t="str">
        <f>IF(RIGHT(Table2[[#This Row],[(ft)]],1)="*","*","")</f>
        <v/>
      </c>
    </row>
    <row r="361" spans="1:12" ht="13.15" customHeight="1" x14ac:dyDescent="0.2">
      <c r="A361" s="1212">
        <v>1016050</v>
      </c>
      <c r="B361" s="1212" t="s">
        <v>1802</v>
      </c>
      <c r="C361" s="1215" t="s">
        <v>1762</v>
      </c>
      <c r="D361" s="1231"/>
      <c r="E361" s="1249">
        <f>Table2[[#This Row],[MRL2]]</f>
        <v>0</v>
      </c>
      <c r="F361" s="1461" t="str">
        <f>Table2[[#This Row],[LOQ2]]</f>
        <v/>
      </c>
      <c r="G361" s="898">
        <f>LEN(Table2[[#This Row],[Please insert here the MRLs of COM database (use ''paste values'' function)]])</f>
        <v>0</v>
      </c>
      <c r="H36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61" s="898">
        <f>LEN(Table2[[#This Row],[(ft)]])</f>
        <v>1</v>
      </c>
      <c r="J361" s="898">
        <f>IF(Table2[[#This Row],[LOQ2]]="*",LEFT(Table2[[#This Row],[(ft)]],Table2[[#This Row],[length trimmed 1]]-1),Table2[[#This Row],[(ft)]])</f>
        <v>0</v>
      </c>
      <c r="K361" s="898">
        <f>IF(Table2[[#This Row],[MRL_text]]="","",Table2[[#This Row],[MRL_text]]*1)</f>
        <v>0</v>
      </c>
      <c r="L361" s="898" t="str">
        <f>IF(RIGHT(Table2[[#This Row],[(ft)]],1)="*","*","")</f>
        <v/>
      </c>
    </row>
    <row r="362" spans="1:12" ht="13.15" customHeight="1" x14ac:dyDescent="0.2">
      <c r="A362" s="1212">
        <v>1016990</v>
      </c>
      <c r="B362" s="1212" t="s">
        <v>1803</v>
      </c>
      <c r="C362" s="1215" t="s">
        <v>1177</v>
      </c>
      <c r="D362" s="1231"/>
      <c r="E362" s="1249">
        <f>Table2[[#This Row],[MRL2]]</f>
        <v>0</v>
      </c>
      <c r="F362" s="1461" t="str">
        <f>Table2[[#This Row],[LOQ2]]</f>
        <v/>
      </c>
      <c r="G362" s="898">
        <f>LEN(Table2[[#This Row],[Please insert here the MRLs of COM database (use ''paste values'' function)]])</f>
        <v>0</v>
      </c>
      <c r="H36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62" s="898">
        <f>LEN(Table2[[#This Row],[(ft)]])</f>
        <v>1</v>
      </c>
      <c r="J362" s="898">
        <f>IF(Table2[[#This Row],[LOQ2]]="*",LEFT(Table2[[#This Row],[(ft)]],Table2[[#This Row],[length trimmed 1]]-1),Table2[[#This Row],[(ft)]])</f>
        <v>0</v>
      </c>
      <c r="K362" s="898">
        <f>IF(Table2[[#This Row],[MRL_text]]="","",Table2[[#This Row],[MRL_text]]*1)</f>
        <v>0</v>
      </c>
      <c r="L362" s="898" t="str">
        <f>IF(RIGHT(Table2[[#This Row],[(ft)]],1)="*","*","")</f>
        <v/>
      </c>
    </row>
    <row r="363" spans="1:12" ht="13.15" customHeight="1" x14ac:dyDescent="0.2">
      <c r="A363" s="1212">
        <v>1017000</v>
      </c>
      <c r="B363" s="1212" t="s">
        <v>1804</v>
      </c>
      <c r="C363" s="1215" t="s">
        <v>1805</v>
      </c>
      <c r="D363" s="1231"/>
      <c r="E363" s="1247">
        <f>Table2[[#This Row],[MRL2]]</f>
        <v>0</v>
      </c>
      <c r="F363" s="1460" t="str">
        <f>Table2[[#This Row],[LOQ2]]</f>
        <v/>
      </c>
      <c r="G363" s="898">
        <f>LEN(Table2[[#This Row],[Please insert here the MRLs of COM database (use ''paste values'' function)]])</f>
        <v>0</v>
      </c>
      <c r="H36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63" s="898">
        <f>LEN(Table2[[#This Row],[(ft)]])</f>
        <v>1</v>
      </c>
      <c r="J363" s="898">
        <f>IF(Table2[[#This Row],[LOQ2]]="*",LEFT(Table2[[#This Row],[(ft)]],Table2[[#This Row],[length trimmed 1]]-1),Table2[[#This Row],[(ft)]])</f>
        <v>0</v>
      </c>
      <c r="K363" s="898">
        <f>IF(Table2[[#This Row],[MRL_text]]="","",Table2[[#This Row],[MRL_text]]*1)</f>
        <v>0</v>
      </c>
      <c r="L363" s="898" t="str">
        <f>IF(RIGHT(Table2[[#This Row],[(ft)]],1)="*","*","")</f>
        <v/>
      </c>
    </row>
    <row r="364" spans="1:12" ht="13.15" customHeight="1" x14ac:dyDescent="0.2">
      <c r="A364" s="1212">
        <v>1017010</v>
      </c>
      <c r="B364" s="1212" t="s">
        <v>1806</v>
      </c>
      <c r="C364" s="1215" t="s">
        <v>1754</v>
      </c>
      <c r="D364" s="1231"/>
      <c r="E364" s="1249">
        <f>Table2[[#This Row],[MRL2]]</f>
        <v>0</v>
      </c>
      <c r="F364" s="1461" t="str">
        <f>Table2[[#This Row],[LOQ2]]</f>
        <v/>
      </c>
      <c r="G364" s="898">
        <f>LEN(Table2[[#This Row],[Please insert here the MRLs of COM database (use ''paste values'' function)]])</f>
        <v>0</v>
      </c>
      <c r="H36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64" s="898">
        <f>LEN(Table2[[#This Row],[(ft)]])</f>
        <v>1</v>
      </c>
      <c r="J364" s="898">
        <f>IF(Table2[[#This Row],[LOQ2]]="*",LEFT(Table2[[#This Row],[(ft)]],Table2[[#This Row],[length trimmed 1]]-1),Table2[[#This Row],[(ft)]])</f>
        <v>0</v>
      </c>
      <c r="K364" s="898">
        <f>IF(Table2[[#This Row],[MRL_text]]="","",Table2[[#This Row],[MRL_text]]*1)</f>
        <v>0</v>
      </c>
      <c r="L364" s="898" t="str">
        <f>IF(RIGHT(Table2[[#This Row],[(ft)]],1)="*","*","")</f>
        <v/>
      </c>
    </row>
    <row r="365" spans="1:12" ht="13.15" customHeight="1" x14ac:dyDescent="0.2">
      <c r="A365" s="1212">
        <v>1017020</v>
      </c>
      <c r="B365" s="1212" t="s">
        <v>1807</v>
      </c>
      <c r="C365" s="1215" t="s">
        <v>1756</v>
      </c>
      <c r="D365" s="1231"/>
      <c r="E365" s="1249">
        <f>Table2[[#This Row],[MRL2]]</f>
        <v>0</v>
      </c>
      <c r="F365" s="1461" t="str">
        <f>Table2[[#This Row],[LOQ2]]</f>
        <v/>
      </c>
      <c r="G365" s="898">
        <f>LEN(Table2[[#This Row],[Please insert here the MRLs of COM database (use ''paste values'' function)]])</f>
        <v>0</v>
      </c>
      <c r="H36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65" s="898">
        <f>LEN(Table2[[#This Row],[(ft)]])</f>
        <v>1</v>
      </c>
      <c r="J365" s="898">
        <f>IF(Table2[[#This Row],[LOQ2]]="*",LEFT(Table2[[#This Row],[(ft)]],Table2[[#This Row],[length trimmed 1]]-1),Table2[[#This Row],[(ft)]])</f>
        <v>0</v>
      </c>
      <c r="K365" s="898">
        <f>IF(Table2[[#This Row],[MRL_text]]="","",Table2[[#This Row],[MRL_text]]*1)</f>
        <v>0</v>
      </c>
      <c r="L365" s="898" t="str">
        <f>IF(RIGHT(Table2[[#This Row],[(ft)]],1)="*","*","")</f>
        <v/>
      </c>
    </row>
    <row r="366" spans="1:12" ht="13.15" customHeight="1" x14ac:dyDescent="0.2">
      <c r="A366" s="1212">
        <v>1017030</v>
      </c>
      <c r="B366" s="1212" t="s">
        <v>1808</v>
      </c>
      <c r="C366" s="1215" t="s">
        <v>1758</v>
      </c>
      <c r="D366" s="1231"/>
      <c r="E366" s="1249">
        <f>Table2[[#This Row],[MRL2]]</f>
        <v>0</v>
      </c>
      <c r="F366" s="1461" t="str">
        <f>Table2[[#This Row],[LOQ2]]</f>
        <v/>
      </c>
      <c r="G366" s="898">
        <f>LEN(Table2[[#This Row],[Please insert here the MRLs of COM database (use ''paste values'' function)]])</f>
        <v>0</v>
      </c>
      <c r="H36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66" s="898">
        <f>LEN(Table2[[#This Row],[(ft)]])</f>
        <v>1</v>
      </c>
      <c r="J366" s="898">
        <f>IF(Table2[[#This Row],[LOQ2]]="*",LEFT(Table2[[#This Row],[(ft)]],Table2[[#This Row],[length trimmed 1]]-1),Table2[[#This Row],[(ft)]])</f>
        <v>0</v>
      </c>
      <c r="K366" s="898">
        <f>IF(Table2[[#This Row],[MRL_text]]="","",Table2[[#This Row],[MRL_text]]*1)</f>
        <v>0</v>
      </c>
      <c r="L366" s="898" t="str">
        <f>IF(RIGHT(Table2[[#This Row],[(ft)]],1)="*","*","")</f>
        <v/>
      </c>
    </row>
    <row r="367" spans="1:12" ht="13.15" customHeight="1" x14ac:dyDescent="0.2">
      <c r="A367" s="1212">
        <v>1017040</v>
      </c>
      <c r="B367" s="1212" t="s">
        <v>1809</v>
      </c>
      <c r="C367" s="1215" t="s">
        <v>1760</v>
      </c>
      <c r="D367" s="1231"/>
      <c r="E367" s="1249">
        <f>Table2[[#This Row],[MRL2]]</f>
        <v>0</v>
      </c>
      <c r="F367" s="1461" t="str">
        <f>Table2[[#This Row],[LOQ2]]</f>
        <v/>
      </c>
      <c r="G367" s="898">
        <f>LEN(Table2[[#This Row],[Please insert here the MRLs of COM database (use ''paste values'' function)]])</f>
        <v>0</v>
      </c>
      <c r="H36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67" s="898">
        <f>LEN(Table2[[#This Row],[(ft)]])</f>
        <v>1</v>
      </c>
      <c r="J367" s="898">
        <f>IF(Table2[[#This Row],[LOQ2]]="*",LEFT(Table2[[#This Row],[(ft)]],Table2[[#This Row],[length trimmed 1]]-1),Table2[[#This Row],[(ft)]])</f>
        <v>0</v>
      </c>
      <c r="K367" s="898">
        <f>IF(Table2[[#This Row],[MRL_text]]="","",Table2[[#This Row],[MRL_text]]*1)</f>
        <v>0</v>
      </c>
      <c r="L367" s="898" t="str">
        <f>IF(RIGHT(Table2[[#This Row],[(ft)]],1)="*","*","")</f>
        <v/>
      </c>
    </row>
    <row r="368" spans="1:12" ht="13.15" customHeight="1" x14ac:dyDescent="0.2">
      <c r="A368" s="1212">
        <v>1017050</v>
      </c>
      <c r="B368" s="1212" t="s">
        <v>1810</v>
      </c>
      <c r="C368" s="1215" t="s">
        <v>1762</v>
      </c>
      <c r="D368" s="1231"/>
      <c r="E368" s="1249">
        <f>Table2[[#This Row],[MRL2]]</f>
        <v>0</v>
      </c>
      <c r="F368" s="1461" t="str">
        <f>Table2[[#This Row],[LOQ2]]</f>
        <v/>
      </c>
      <c r="G368" s="898">
        <f>LEN(Table2[[#This Row],[Please insert here the MRLs of COM database (use ''paste values'' function)]])</f>
        <v>0</v>
      </c>
      <c r="H36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68" s="898">
        <f>LEN(Table2[[#This Row],[(ft)]])</f>
        <v>1</v>
      </c>
      <c r="J368" s="898">
        <f>IF(Table2[[#This Row],[LOQ2]]="*",LEFT(Table2[[#This Row],[(ft)]],Table2[[#This Row],[length trimmed 1]]-1),Table2[[#This Row],[(ft)]])</f>
        <v>0</v>
      </c>
      <c r="K368" s="898">
        <f>IF(Table2[[#This Row],[MRL_text]]="","",Table2[[#This Row],[MRL_text]]*1)</f>
        <v>0</v>
      </c>
      <c r="L368" s="898" t="str">
        <f>IF(RIGHT(Table2[[#This Row],[(ft)]],1)="*","*","")</f>
        <v/>
      </c>
    </row>
    <row r="369" spans="1:12" ht="13.15" customHeight="1" x14ac:dyDescent="0.2">
      <c r="A369" s="1212">
        <v>1017990</v>
      </c>
      <c r="B369" s="1212" t="s">
        <v>1811</v>
      </c>
      <c r="C369" s="1215" t="s">
        <v>1177</v>
      </c>
      <c r="D369" s="1231"/>
      <c r="E369" s="1249">
        <f>Table2[[#This Row],[MRL2]]</f>
        <v>0</v>
      </c>
      <c r="F369" s="1461" t="str">
        <f>Table2[[#This Row],[LOQ2]]</f>
        <v/>
      </c>
      <c r="G369" s="898">
        <f>LEN(Table2[[#This Row],[Please insert here the MRLs of COM database (use ''paste values'' function)]])</f>
        <v>0</v>
      </c>
      <c r="H36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69" s="898">
        <f>LEN(Table2[[#This Row],[(ft)]])</f>
        <v>1</v>
      </c>
      <c r="J369" s="898">
        <f>IF(Table2[[#This Row],[LOQ2]]="*",LEFT(Table2[[#This Row],[(ft)]],Table2[[#This Row],[length trimmed 1]]-1),Table2[[#This Row],[(ft)]])</f>
        <v>0</v>
      </c>
      <c r="K369" s="898">
        <f>IF(Table2[[#This Row],[MRL_text]]="","",Table2[[#This Row],[MRL_text]]*1)</f>
        <v>0</v>
      </c>
      <c r="L369" s="898" t="str">
        <f>IF(RIGHT(Table2[[#This Row],[(ft)]],1)="*","*","")</f>
        <v/>
      </c>
    </row>
    <row r="370" spans="1:12" ht="13.15" customHeight="1" x14ac:dyDescent="0.2">
      <c r="A370" s="1211">
        <v>1020000</v>
      </c>
      <c r="B370" s="1211" t="s">
        <v>1812</v>
      </c>
      <c r="C370" s="1236" t="s">
        <v>1813</v>
      </c>
      <c r="D370" s="1230"/>
      <c r="E370" s="1247">
        <f>Table2[[#This Row],[MRL2]]</f>
        <v>0</v>
      </c>
      <c r="F370" s="1460" t="str">
        <f>Table2[[#This Row],[LOQ2]]</f>
        <v/>
      </c>
      <c r="G370" s="898">
        <f>LEN(Table2[[#This Row],[Please insert here the MRLs of COM database (use ''paste values'' function)]])</f>
        <v>0</v>
      </c>
      <c r="H37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70" s="898">
        <f>LEN(Table2[[#This Row],[(ft)]])</f>
        <v>1</v>
      </c>
      <c r="J370" s="898">
        <f>IF(Table2[[#This Row],[LOQ2]]="*",LEFT(Table2[[#This Row],[(ft)]],Table2[[#This Row],[length trimmed 1]]-1),Table2[[#This Row],[(ft)]])</f>
        <v>0</v>
      </c>
      <c r="K370" s="898">
        <f>IF(Table2[[#This Row],[MRL_text]]="","",Table2[[#This Row],[MRL_text]]*1)</f>
        <v>0</v>
      </c>
      <c r="L370" s="898" t="str">
        <f>IF(RIGHT(Table2[[#This Row],[(ft)]],1)="*","*","")</f>
        <v/>
      </c>
    </row>
    <row r="371" spans="1:12" ht="13.15" customHeight="1" x14ac:dyDescent="0.2">
      <c r="A371" s="1212">
        <v>1020010</v>
      </c>
      <c r="B371" s="1212" t="s">
        <v>1814</v>
      </c>
      <c r="C371" s="1215" t="s">
        <v>1815</v>
      </c>
      <c r="D371" s="1231"/>
      <c r="E371" s="1249">
        <f>Table2[[#This Row],[MRL2]]</f>
        <v>0</v>
      </c>
      <c r="F371" s="1461" t="str">
        <f>Table2[[#This Row],[LOQ2]]</f>
        <v/>
      </c>
      <c r="G371" s="898">
        <f>LEN(Table2[[#This Row],[Please insert here the MRLs of COM database (use ''paste values'' function)]])</f>
        <v>0</v>
      </c>
      <c r="H37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71" s="898">
        <f>LEN(Table2[[#This Row],[(ft)]])</f>
        <v>1</v>
      </c>
      <c r="J371" s="898">
        <f>IF(Table2[[#This Row],[LOQ2]]="*",LEFT(Table2[[#This Row],[(ft)]],Table2[[#This Row],[length trimmed 1]]-1),Table2[[#This Row],[(ft)]])</f>
        <v>0</v>
      </c>
      <c r="K371" s="898">
        <f>IF(Table2[[#This Row],[MRL_text]]="","",Table2[[#This Row],[MRL_text]]*1)</f>
        <v>0</v>
      </c>
      <c r="L371" s="898" t="str">
        <f>IF(RIGHT(Table2[[#This Row],[(ft)]],1)="*","*","")</f>
        <v/>
      </c>
    </row>
    <row r="372" spans="1:12" ht="13.15" customHeight="1" x14ac:dyDescent="0.2">
      <c r="A372" s="1212">
        <v>1020020</v>
      </c>
      <c r="B372" s="1212" t="s">
        <v>1816</v>
      </c>
      <c r="C372" s="1215" t="s">
        <v>1817</v>
      </c>
      <c r="D372" s="1231"/>
      <c r="E372" s="1249">
        <f>Table2[[#This Row],[MRL2]]</f>
        <v>0</v>
      </c>
      <c r="F372" s="1461" t="str">
        <f>Table2[[#This Row],[LOQ2]]</f>
        <v/>
      </c>
      <c r="G372" s="898">
        <f>LEN(Table2[[#This Row],[Please insert here the MRLs of COM database (use ''paste values'' function)]])</f>
        <v>0</v>
      </c>
      <c r="H37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72" s="898">
        <f>LEN(Table2[[#This Row],[(ft)]])</f>
        <v>1</v>
      </c>
      <c r="J372" s="898">
        <f>IF(Table2[[#This Row],[LOQ2]]="*",LEFT(Table2[[#This Row],[(ft)]],Table2[[#This Row],[length trimmed 1]]-1),Table2[[#This Row],[(ft)]])</f>
        <v>0</v>
      </c>
      <c r="K372" s="898">
        <f>IF(Table2[[#This Row],[MRL_text]]="","",Table2[[#This Row],[MRL_text]]*1)</f>
        <v>0</v>
      </c>
      <c r="L372" s="898" t="str">
        <f>IF(RIGHT(Table2[[#This Row],[(ft)]],1)="*","*","")</f>
        <v/>
      </c>
    </row>
    <row r="373" spans="1:12" ht="13.15" customHeight="1" x14ac:dyDescent="0.2">
      <c r="A373" s="1212">
        <v>1020030</v>
      </c>
      <c r="B373" s="1212" t="s">
        <v>1818</v>
      </c>
      <c r="C373" s="1215" t="s">
        <v>1819</v>
      </c>
      <c r="D373" s="1231"/>
      <c r="E373" s="1249">
        <f>Table2[[#This Row],[MRL2]]</f>
        <v>0</v>
      </c>
      <c r="F373" s="1461" t="str">
        <f>Table2[[#This Row],[LOQ2]]</f>
        <v/>
      </c>
      <c r="G373" s="898">
        <f>LEN(Table2[[#This Row],[Please insert here the MRLs of COM database (use ''paste values'' function)]])</f>
        <v>0</v>
      </c>
      <c r="H37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73" s="898">
        <f>LEN(Table2[[#This Row],[(ft)]])</f>
        <v>1</v>
      </c>
      <c r="J373" s="898">
        <f>IF(Table2[[#This Row],[LOQ2]]="*",LEFT(Table2[[#This Row],[(ft)]],Table2[[#This Row],[length trimmed 1]]-1),Table2[[#This Row],[(ft)]])</f>
        <v>0</v>
      </c>
      <c r="K373" s="898">
        <f>IF(Table2[[#This Row],[MRL_text]]="","",Table2[[#This Row],[MRL_text]]*1)</f>
        <v>0</v>
      </c>
      <c r="L373" s="898" t="str">
        <f>IF(RIGHT(Table2[[#This Row],[(ft)]],1)="*","*","")</f>
        <v/>
      </c>
    </row>
    <row r="374" spans="1:12" ht="13.15" customHeight="1" x14ac:dyDescent="0.2">
      <c r="A374" s="1212">
        <v>1020040</v>
      </c>
      <c r="B374" s="1212" t="s">
        <v>1820</v>
      </c>
      <c r="C374" s="1215" t="s">
        <v>1821</v>
      </c>
      <c r="D374" s="1231"/>
      <c r="E374" s="1249">
        <f>Table2[[#This Row],[MRL2]]</f>
        <v>0</v>
      </c>
      <c r="F374" s="1461" t="str">
        <f>Table2[[#This Row],[LOQ2]]</f>
        <v/>
      </c>
      <c r="G374" s="898">
        <f>LEN(Table2[[#This Row],[Please insert here the MRLs of COM database (use ''paste values'' function)]])</f>
        <v>0</v>
      </c>
      <c r="H37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74" s="898">
        <f>LEN(Table2[[#This Row],[(ft)]])</f>
        <v>1</v>
      </c>
      <c r="J374" s="898">
        <f>IF(Table2[[#This Row],[LOQ2]]="*",LEFT(Table2[[#This Row],[(ft)]],Table2[[#This Row],[length trimmed 1]]-1),Table2[[#This Row],[(ft)]])</f>
        <v>0</v>
      </c>
      <c r="K374" s="898">
        <f>IF(Table2[[#This Row],[MRL_text]]="","",Table2[[#This Row],[MRL_text]]*1)</f>
        <v>0</v>
      </c>
      <c r="L374" s="898" t="str">
        <f>IF(RIGHT(Table2[[#This Row],[(ft)]],1)="*","*","")</f>
        <v/>
      </c>
    </row>
    <row r="375" spans="1:12" ht="13.15" customHeight="1" x14ac:dyDescent="0.2">
      <c r="A375" s="1212">
        <v>1020990</v>
      </c>
      <c r="B375" s="1212" t="s">
        <v>1822</v>
      </c>
      <c r="C375" s="1215" t="s">
        <v>1177</v>
      </c>
      <c r="D375" s="1232"/>
      <c r="E375" s="1249">
        <f>Table2[[#This Row],[MRL2]]</f>
        <v>0</v>
      </c>
      <c r="F375" s="1461" t="str">
        <f>Table2[[#This Row],[LOQ2]]</f>
        <v/>
      </c>
      <c r="G375" s="898">
        <f>LEN(Table2[[#This Row],[Please insert here the MRLs of COM database (use ''paste values'' function)]])</f>
        <v>0</v>
      </c>
      <c r="H37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75" s="898">
        <f>LEN(Table2[[#This Row],[(ft)]])</f>
        <v>1</v>
      </c>
      <c r="J375" s="898">
        <f>IF(Table2[[#This Row],[LOQ2]]="*",LEFT(Table2[[#This Row],[(ft)]],Table2[[#This Row],[length trimmed 1]]-1),Table2[[#This Row],[(ft)]])</f>
        <v>0</v>
      </c>
      <c r="K375" s="898">
        <f>IF(Table2[[#This Row],[MRL_text]]="","",Table2[[#This Row],[MRL_text]]*1)</f>
        <v>0</v>
      </c>
      <c r="L375" s="898" t="str">
        <f>IF(RIGHT(Table2[[#This Row],[(ft)]],1)="*","*","")</f>
        <v/>
      </c>
    </row>
    <row r="376" spans="1:12" ht="13.15" customHeight="1" x14ac:dyDescent="0.2">
      <c r="A376" s="1211">
        <v>1030000</v>
      </c>
      <c r="B376" s="1211" t="s">
        <v>1823</v>
      </c>
      <c r="C376" s="1236" t="s">
        <v>1824</v>
      </c>
      <c r="D376" s="1230"/>
      <c r="E376" s="1247">
        <f>Table2[[#This Row],[MRL2]]</f>
        <v>0</v>
      </c>
      <c r="F376" s="1460" t="str">
        <f>Table2[[#This Row],[LOQ2]]</f>
        <v/>
      </c>
      <c r="G376" s="898">
        <f>LEN(Table2[[#This Row],[Please insert here the MRLs of COM database (use ''paste values'' function)]])</f>
        <v>0</v>
      </c>
      <c r="H376"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76" s="898">
        <f>LEN(Table2[[#This Row],[(ft)]])</f>
        <v>1</v>
      </c>
      <c r="J376" s="898">
        <f>IF(Table2[[#This Row],[LOQ2]]="*",LEFT(Table2[[#This Row],[(ft)]],Table2[[#This Row],[length trimmed 1]]-1),Table2[[#This Row],[(ft)]])</f>
        <v>0</v>
      </c>
      <c r="K376" s="898">
        <f>IF(Table2[[#This Row],[MRL_text]]="","",Table2[[#This Row],[MRL_text]]*1)</f>
        <v>0</v>
      </c>
      <c r="L376" s="898" t="str">
        <f>IF(RIGHT(Table2[[#This Row],[(ft)]],1)="*","*","")</f>
        <v/>
      </c>
    </row>
    <row r="377" spans="1:12" ht="13.15" customHeight="1" x14ac:dyDescent="0.2">
      <c r="A377" s="1212">
        <v>1030010</v>
      </c>
      <c r="B377" s="1212" t="s">
        <v>1825</v>
      </c>
      <c r="C377" s="1215" t="s">
        <v>1826</v>
      </c>
      <c r="D377" s="1231"/>
      <c r="E377" s="1249">
        <f>Table2[[#This Row],[MRL2]]</f>
        <v>0</v>
      </c>
      <c r="F377" s="1461" t="str">
        <f>Table2[[#This Row],[LOQ2]]</f>
        <v/>
      </c>
      <c r="G377" s="898">
        <f>LEN(Table2[[#This Row],[Please insert here the MRLs of COM database (use ''paste values'' function)]])</f>
        <v>0</v>
      </c>
      <c r="H377"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77" s="898">
        <f>LEN(Table2[[#This Row],[(ft)]])</f>
        <v>1</v>
      </c>
      <c r="J377" s="898">
        <f>IF(Table2[[#This Row],[LOQ2]]="*",LEFT(Table2[[#This Row],[(ft)]],Table2[[#This Row],[length trimmed 1]]-1),Table2[[#This Row],[(ft)]])</f>
        <v>0</v>
      </c>
      <c r="K377" s="898">
        <f>IF(Table2[[#This Row],[MRL_text]]="","",Table2[[#This Row],[MRL_text]]*1)</f>
        <v>0</v>
      </c>
      <c r="L377" s="898" t="str">
        <f>IF(RIGHT(Table2[[#This Row],[(ft)]],1)="*","*","")</f>
        <v/>
      </c>
    </row>
    <row r="378" spans="1:12" ht="13.15" customHeight="1" x14ac:dyDescent="0.2">
      <c r="A378" s="1212">
        <v>1030020</v>
      </c>
      <c r="B378" s="1212" t="s">
        <v>1827</v>
      </c>
      <c r="C378" s="1215" t="s">
        <v>1828</v>
      </c>
      <c r="D378" s="1231"/>
      <c r="E378" s="1249">
        <f>Table2[[#This Row],[MRL2]]</f>
        <v>0</v>
      </c>
      <c r="F378" s="1461" t="str">
        <f>Table2[[#This Row],[LOQ2]]</f>
        <v/>
      </c>
      <c r="G378" s="898">
        <f>LEN(Table2[[#This Row],[Please insert here the MRLs of COM database (use ''paste values'' function)]])</f>
        <v>0</v>
      </c>
      <c r="H378"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78" s="898">
        <f>LEN(Table2[[#This Row],[(ft)]])</f>
        <v>1</v>
      </c>
      <c r="J378" s="898">
        <f>IF(Table2[[#This Row],[LOQ2]]="*",LEFT(Table2[[#This Row],[(ft)]],Table2[[#This Row],[length trimmed 1]]-1),Table2[[#This Row],[(ft)]])</f>
        <v>0</v>
      </c>
      <c r="K378" s="898">
        <f>IF(Table2[[#This Row],[MRL_text]]="","",Table2[[#This Row],[MRL_text]]*1)</f>
        <v>0</v>
      </c>
      <c r="L378" s="898" t="str">
        <f>IF(RIGHT(Table2[[#This Row],[(ft)]],1)="*","*","")</f>
        <v/>
      </c>
    </row>
    <row r="379" spans="1:12" ht="13.15" customHeight="1" x14ac:dyDescent="0.2">
      <c r="A379" s="1212">
        <v>1030030</v>
      </c>
      <c r="B379" s="1212" t="s">
        <v>1829</v>
      </c>
      <c r="C379" s="1215" t="s">
        <v>1830</v>
      </c>
      <c r="D379" s="1231"/>
      <c r="E379" s="1249">
        <f>Table2[[#This Row],[MRL2]]</f>
        <v>0</v>
      </c>
      <c r="F379" s="1461" t="str">
        <f>Table2[[#This Row],[LOQ2]]</f>
        <v/>
      </c>
      <c r="G379" s="898">
        <f>LEN(Table2[[#This Row],[Please insert here the MRLs of COM database (use ''paste values'' function)]])</f>
        <v>0</v>
      </c>
      <c r="H379"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79" s="898">
        <f>LEN(Table2[[#This Row],[(ft)]])</f>
        <v>1</v>
      </c>
      <c r="J379" s="898">
        <f>IF(Table2[[#This Row],[LOQ2]]="*",LEFT(Table2[[#This Row],[(ft)]],Table2[[#This Row],[length trimmed 1]]-1),Table2[[#This Row],[(ft)]])</f>
        <v>0</v>
      </c>
      <c r="K379" s="898">
        <f>IF(Table2[[#This Row],[MRL_text]]="","",Table2[[#This Row],[MRL_text]]*1)</f>
        <v>0</v>
      </c>
      <c r="L379" s="898" t="str">
        <f>IF(RIGHT(Table2[[#This Row],[(ft)]],1)="*","*","")</f>
        <v/>
      </c>
    </row>
    <row r="380" spans="1:12" ht="13.15" customHeight="1" x14ac:dyDescent="0.2">
      <c r="A380" s="1212">
        <v>1030040</v>
      </c>
      <c r="B380" s="1212" t="s">
        <v>1831</v>
      </c>
      <c r="C380" s="1215" t="s">
        <v>1832</v>
      </c>
      <c r="D380" s="1231"/>
      <c r="E380" s="1249">
        <f>Table2[[#This Row],[MRL2]]</f>
        <v>0</v>
      </c>
      <c r="F380" s="1461" t="str">
        <f>Table2[[#This Row],[LOQ2]]</f>
        <v/>
      </c>
      <c r="G380" s="898">
        <f>LEN(Table2[[#This Row],[Please insert here the MRLs of COM database (use ''paste values'' function)]])</f>
        <v>0</v>
      </c>
      <c r="H380"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80" s="898">
        <f>LEN(Table2[[#This Row],[(ft)]])</f>
        <v>1</v>
      </c>
      <c r="J380" s="898">
        <f>IF(Table2[[#This Row],[LOQ2]]="*",LEFT(Table2[[#This Row],[(ft)]],Table2[[#This Row],[length trimmed 1]]-1),Table2[[#This Row],[(ft)]])</f>
        <v>0</v>
      </c>
      <c r="K380" s="898">
        <f>IF(Table2[[#This Row],[MRL_text]]="","",Table2[[#This Row],[MRL_text]]*1)</f>
        <v>0</v>
      </c>
      <c r="L380" s="898" t="str">
        <f>IF(RIGHT(Table2[[#This Row],[(ft)]],1)="*","*","")</f>
        <v/>
      </c>
    </row>
    <row r="381" spans="1:12" ht="13.15" customHeight="1" x14ac:dyDescent="0.2">
      <c r="A381" s="1212">
        <v>1030990</v>
      </c>
      <c r="B381" s="1212" t="s">
        <v>1833</v>
      </c>
      <c r="C381" s="1215" t="s">
        <v>1177</v>
      </c>
      <c r="D381" s="1231"/>
      <c r="E381" s="1249">
        <f>Table2[[#This Row],[MRL2]]</f>
        <v>0</v>
      </c>
      <c r="F381" s="1461" t="str">
        <f>Table2[[#This Row],[LOQ2]]</f>
        <v/>
      </c>
      <c r="G381" s="898">
        <f>LEN(Table2[[#This Row],[Please insert here the MRLs of COM database (use ''paste values'' function)]])</f>
        <v>0</v>
      </c>
      <c r="H381"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81" s="898">
        <f>LEN(Table2[[#This Row],[(ft)]])</f>
        <v>1</v>
      </c>
      <c r="J381" s="898">
        <f>IF(Table2[[#This Row],[LOQ2]]="*",LEFT(Table2[[#This Row],[(ft)]],Table2[[#This Row],[length trimmed 1]]-1),Table2[[#This Row],[(ft)]])</f>
        <v>0</v>
      </c>
      <c r="K381" s="898">
        <f>IF(Table2[[#This Row],[MRL_text]]="","",Table2[[#This Row],[MRL_text]]*1)</f>
        <v>0</v>
      </c>
      <c r="L381" s="898" t="str">
        <f>IF(RIGHT(Table2[[#This Row],[(ft)]],1)="*","*","")</f>
        <v/>
      </c>
    </row>
    <row r="382" spans="1:12" ht="13.15" customHeight="1" x14ac:dyDescent="0.2">
      <c r="A382" s="1211">
        <v>1040000</v>
      </c>
      <c r="B382" s="1211" t="s">
        <v>1834</v>
      </c>
      <c r="C382" s="1236" t="s">
        <v>1835</v>
      </c>
      <c r="D382" s="1230"/>
      <c r="E382" s="1249">
        <f>Table2[[#This Row],[MRL2]]</f>
        <v>0</v>
      </c>
      <c r="F382" s="1461" t="str">
        <f>Table2[[#This Row],[LOQ2]]</f>
        <v/>
      </c>
      <c r="G382" s="898">
        <f>LEN(Table2[[#This Row],[Please insert here the MRLs of COM database (use ''paste values'' function)]])</f>
        <v>0</v>
      </c>
      <c r="H382"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82" s="898">
        <f>LEN(Table2[[#This Row],[(ft)]])</f>
        <v>1</v>
      </c>
      <c r="J382" s="898">
        <f>IF(Table2[[#This Row],[LOQ2]]="*",LEFT(Table2[[#This Row],[(ft)]],Table2[[#This Row],[length trimmed 1]]-1),Table2[[#This Row],[(ft)]])</f>
        <v>0</v>
      </c>
      <c r="K382" s="898">
        <f>IF(Table2[[#This Row],[MRL_text]]="","",Table2[[#This Row],[MRL_text]]*1)</f>
        <v>0</v>
      </c>
      <c r="L382" s="898" t="str">
        <f>IF(RIGHT(Table2[[#This Row],[(ft)]],1)="*","*","")</f>
        <v/>
      </c>
    </row>
    <row r="383" spans="1:12" ht="13.15" customHeight="1" x14ac:dyDescent="0.2">
      <c r="A383" s="1211">
        <v>1050000</v>
      </c>
      <c r="B383" s="1211" t="s">
        <v>1836</v>
      </c>
      <c r="C383" s="1236" t="s">
        <v>1837</v>
      </c>
      <c r="D383" s="1230"/>
      <c r="E383" s="1249">
        <f>Table2[[#This Row],[MRL2]]</f>
        <v>0</v>
      </c>
      <c r="F383" s="1461" t="str">
        <f>Table2[[#This Row],[LOQ2]]</f>
        <v/>
      </c>
      <c r="G383" s="898">
        <f>LEN(Table2[[#This Row],[Please insert here the MRLs of COM database (use ''paste values'' function)]])</f>
        <v>0</v>
      </c>
      <c r="H383"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83" s="898">
        <f>LEN(Table2[[#This Row],[(ft)]])</f>
        <v>1</v>
      </c>
      <c r="J383" s="898">
        <f>IF(Table2[[#This Row],[LOQ2]]="*",LEFT(Table2[[#This Row],[(ft)]],Table2[[#This Row],[length trimmed 1]]-1),Table2[[#This Row],[(ft)]])</f>
        <v>0</v>
      </c>
      <c r="K383" s="898">
        <f>IF(Table2[[#This Row],[MRL_text]]="","",Table2[[#This Row],[MRL_text]]*1)</f>
        <v>0</v>
      </c>
      <c r="L383" s="898" t="str">
        <f>IF(RIGHT(Table2[[#This Row],[(ft)]],1)="*","*","")</f>
        <v/>
      </c>
    </row>
    <row r="384" spans="1:12" ht="13.15" customHeight="1" x14ac:dyDescent="0.2">
      <c r="A384" s="1211">
        <v>1060000</v>
      </c>
      <c r="B384" s="1211" t="s">
        <v>1838</v>
      </c>
      <c r="C384" s="1236" t="s">
        <v>1839</v>
      </c>
      <c r="D384" s="1230"/>
      <c r="E384" s="1249">
        <f>Table2[[#This Row],[MRL2]]</f>
        <v>0</v>
      </c>
      <c r="F384" s="1461" t="str">
        <f>Table2[[#This Row],[LOQ2]]</f>
        <v/>
      </c>
      <c r="G384" s="898">
        <f>LEN(Table2[[#This Row],[Please insert here the MRLs of COM database (use ''paste values'' function)]])</f>
        <v>0</v>
      </c>
      <c r="H384"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84" s="898">
        <f>LEN(Table2[[#This Row],[(ft)]])</f>
        <v>1</v>
      </c>
      <c r="J384" s="898">
        <f>IF(Table2[[#This Row],[LOQ2]]="*",LEFT(Table2[[#This Row],[(ft)]],Table2[[#This Row],[length trimmed 1]]-1),Table2[[#This Row],[(ft)]])</f>
        <v>0</v>
      </c>
      <c r="K384" s="898">
        <f>IF(Table2[[#This Row],[MRL_text]]="","",Table2[[#This Row],[MRL_text]]*1)</f>
        <v>0</v>
      </c>
      <c r="L384" s="898" t="str">
        <f>IF(RIGHT(Table2[[#This Row],[(ft)]],1)="*","*","")</f>
        <v/>
      </c>
    </row>
    <row r="385" spans="1:12" ht="13.15" customHeight="1" x14ac:dyDescent="0.2">
      <c r="A385" s="1211">
        <v>1070000</v>
      </c>
      <c r="B385" s="1211" t="s">
        <v>1840</v>
      </c>
      <c r="C385" s="1236" t="s">
        <v>1841</v>
      </c>
      <c r="D385" s="1233"/>
      <c r="E385" s="1249">
        <f>Table2[[#This Row],[MRL2]]</f>
        <v>0</v>
      </c>
      <c r="F385" s="1461" t="str">
        <f>Table2[[#This Row],[LOQ2]]</f>
        <v/>
      </c>
      <c r="G385" s="898">
        <f>LEN(Table2[[#This Row],[Please insert here the MRLs of COM database (use ''paste values'' function)]])</f>
        <v>0</v>
      </c>
      <c r="H385" s="898">
        <f>IF(RIGHT(Table2[[#This Row],[Please insert here the MRLs of COM database (use ''paste values'' function)]],5)=" (ft)",LEFT(Table2[[#This Row],[Please insert here the MRLs of COM database (use ''paste values'' function)]],Table2[[#This Row],[Length]]-5),Table2[[#This Row],[Please insert here the MRLs of COM database (use ''paste values'' function)]])</f>
        <v>0</v>
      </c>
      <c r="I385" s="898">
        <f>LEN(Table2[[#This Row],[(ft)]])</f>
        <v>1</v>
      </c>
      <c r="J385" s="898">
        <f>IF(Table2[[#This Row],[LOQ2]]="*",LEFT(Table2[[#This Row],[(ft)]],Table2[[#This Row],[length trimmed 1]]-1),Table2[[#This Row],[(ft)]])</f>
        <v>0</v>
      </c>
      <c r="K385" s="898">
        <f>IF(Table2[[#This Row],[MRL_text]]="","",Table2[[#This Row],[MRL_text]]*1)</f>
        <v>0</v>
      </c>
      <c r="L385" s="898" t="str">
        <f>IF(RIGHT(Table2[[#This Row],[(ft)]],1)="*","*","")</f>
        <v/>
      </c>
    </row>
  </sheetData>
  <sheetProtection sheet="1" objects="1" scenarios="1"/>
  <protectedRanges>
    <protectedRange sqref="D7:D385" name="MRL_input"/>
  </protectedRanges>
  <mergeCells count="1">
    <mergeCell ref="M7:P7"/>
  </mergeCells>
  <conditionalFormatting sqref="E8:F385">
    <cfRule type="containsErrors" dxfId="131" priority="2">
      <formula>ISERROR(E8)</formula>
    </cfRule>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codeName="Sheet15">
    <tabColor rgb="FF92D050"/>
    <outlinePr summaryBelow="0" summaryRight="0"/>
    <pageSetUpPr fitToPage="1"/>
  </sheetPr>
  <dimension ref="A1:BM542"/>
  <sheetViews>
    <sheetView showGridLines="0" tabSelected="1" showWhiteSpace="0" zoomScale="80" zoomScaleNormal="80" workbookViewId="0"/>
  </sheetViews>
  <sheetFormatPr defaultColWidth="9.140625" defaultRowHeight="12.75" outlineLevelRow="3" outlineLevelCol="2" x14ac:dyDescent="0.2"/>
  <cols>
    <col min="1" max="1" width="10.7109375" style="98" customWidth="1"/>
    <col min="2" max="2" width="12.28515625" style="98" customWidth="1"/>
    <col min="3" max="3" width="30" style="98" customWidth="1"/>
    <col min="4" max="4" width="12.5703125" style="98" customWidth="1"/>
    <col min="5" max="5" width="12.28515625" style="167" customWidth="1"/>
    <col min="6" max="6" width="12.85546875" style="472" customWidth="1"/>
    <col min="7" max="7" width="15" style="98" customWidth="1"/>
    <col min="8" max="8" width="13.5703125" style="98" customWidth="1"/>
    <col min="9" max="9" width="14.28515625" style="99" customWidth="1"/>
    <col min="10" max="10" width="14.42578125" style="99" customWidth="1"/>
    <col min="11" max="11" width="13.42578125" style="168" customWidth="1"/>
    <col min="12" max="12" width="13" style="168" customWidth="1"/>
    <col min="13" max="13" width="13.28515625" style="168" customWidth="1"/>
    <col min="14" max="14" width="14.28515625" style="168" customWidth="1"/>
    <col min="15" max="15" width="12.5703125" style="168" customWidth="1"/>
    <col min="16" max="16" width="14.5703125" style="168" customWidth="1"/>
    <col min="17" max="17" width="12.5703125" style="168" customWidth="1"/>
    <col min="18" max="18" width="12.140625" style="168" customWidth="1"/>
    <col min="19" max="19" width="14.28515625" style="99" customWidth="1"/>
    <col min="20" max="20" width="33.85546875" style="98" customWidth="1" collapsed="1"/>
    <col min="21" max="21" width="13" style="465" hidden="1" customWidth="1" outlineLevel="1"/>
    <col min="22" max="24" width="13" style="98" hidden="1" customWidth="1" outlineLevel="2"/>
    <col min="25" max="25" width="13" style="98" hidden="1" customWidth="1" outlineLevel="2" collapsed="1"/>
    <col min="26" max="26" width="13" style="98" hidden="1" customWidth="1" outlineLevel="2"/>
    <col min="27" max="27" width="13" style="98" hidden="1" customWidth="1" outlineLevel="1"/>
    <col min="28" max="30" width="13" style="99" hidden="1" customWidth="1" outlineLevel="2"/>
    <col min="31" max="31" width="13" style="102" hidden="1" customWidth="1" outlineLevel="2"/>
    <col min="32" max="32" width="13" style="103" hidden="1" customWidth="1" outlineLevel="2"/>
    <col min="33" max="33" width="13" style="551" hidden="1" customWidth="1" outlineLevel="2"/>
    <col min="34" max="34" width="13" style="472" hidden="1" customWidth="1" outlineLevel="2"/>
    <col min="35" max="35" width="13" style="472" hidden="1" customWidth="1" outlineLevel="2" collapsed="1"/>
    <col min="36" max="36" width="13" style="552" hidden="1" customWidth="1" outlineLevel="1"/>
    <col min="37" max="37" width="13" style="472" hidden="1" customWidth="1" outlineLevel="2"/>
    <col min="38" max="39" width="13" style="119" hidden="1" customWidth="1" outlineLevel="2"/>
    <col min="40" max="42" width="13" style="103" hidden="1" customWidth="1" outlineLevel="2"/>
    <col min="43" max="44" width="13" style="104" hidden="1" customWidth="1" outlineLevel="2"/>
    <col min="45" max="45" width="13" style="103" hidden="1" customWidth="1" outlineLevel="2"/>
    <col min="46" max="47" width="13" style="104" hidden="1" customWidth="1" outlineLevel="2"/>
    <col min="48" max="48" width="15.85546875" style="98" hidden="1" customWidth="1" outlineLevel="2"/>
    <col min="49" max="49" width="13" style="105" hidden="1" customWidth="1" outlineLevel="2"/>
    <col min="50" max="50" width="13" style="104" hidden="1" customWidth="1" outlineLevel="2"/>
    <col min="51" max="51" width="14.85546875" style="98" hidden="1" customWidth="1" outlineLevel="2"/>
    <col min="52" max="52" width="11.28515625" style="98" hidden="1" customWidth="1" outlineLevel="2"/>
    <col min="53" max="53" width="12.28515625" style="98" hidden="1" customWidth="1" outlineLevel="2"/>
    <col min="54" max="54" width="13.28515625" style="98" hidden="1" customWidth="1" outlineLevel="2"/>
    <col min="55" max="55" width="16.28515625" style="98" hidden="1" customWidth="1" outlineLevel="2"/>
    <col min="56" max="56" width="7.7109375" style="98" hidden="1" customWidth="1" outlineLevel="2"/>
    <col min="57" max="57" width="14.7109375" style="98" hidden="1" customWidth="1" outlineLevel="2"/>
    <col min="58" max="58" width="23.42578125" style="98" hidden="1" customWidth="1" outlineLevel="2"/>
    <col min="59" max="59" width="18.7109375" style="98" hidden="1" customWidth="1" outlineLevel="1"/>
    <col min="60" max="64" width="13" style="98" customWidth="1"/>
    <col min="65" max="66" width="15.7109375" style="98" customWidth="1"/>
    <col min="67" max="16384" width="9.140625" style="98"/>
  </cols>
  <sheetData>
    <row r="1" spans="1:60" ht="42.75" customHeight="1" x14ac:dyDescent="0.2">
      <c r="A1" s="96" t="s">
        <v>673</v>
      </c>
      <c r="B1" s="97"/>
      <c r="C1" s="97"/>
      <c r="D1" s="97"/>
      <c r="E1" s="97"/>
      <c r="F1" s="475"/>
      <c r="G1" s="97"/>
      <c r="J1" s="100"/>
      <c r="K1" s="101"/>
      <c r="L1" s="101"/>
      <c r="M1" s="101"/>
      <c r="N1" s="101"/>
      <c r="O1" s="101"/>
      <c r="P1" s="101"/>
      <c r="Q1" s="101"/>
      <c r="R1" s="101"/>
      <c r="S1" s="100"/>
      <c r="U1" s="1323"/>
      <c r="V1" s="1324"/>
      <c r="W1" s="1324"/>
      <c r="X1" s="1325"/>
      <c r="Y1" s="1326"/>
      <c r="Z1" s="1327"/>
      <c r="AA1" s="1325"/>
      <c r="AB1" s="1328"/>
      <c r="AC1" s="1328"/>
      <c r="AD1" s="1328"/>
      <c r="AE1" s="1329"/>
      <c r="AF1" s="1330"/>
      <c r="AG1" s="1331"/>
      <c r="AH1" s="1332"/>
      <c r="AI1" s="1333"/>
      <c r="AJ1" s="1334"/>
      <c r="AK1" s="1331"/>
      <c r="AL1" s="1335"/>
      <c r="AM1" s="1335"/>
      <c r="AN1" s="1330"/>
      <c r="AO1" s="1330"/>
      <c r="AP1" s="1330"/>
      <c r="AQ1" s="1336"/>
      <c r="AR1" s="1336"/>
      <c r="AS1" s="1330"/>
      <c r="AT1" s="1336"/>
      <c r="AU1" s="1336"/>
      <c r="AV1" s="1324"/>
      <c r="AW1" s="1337"/>
      <c r="AX1" s="1336"/>
      <c r="AY1" s="1324"/>
      <c r="AZ1" s="1324"/>
      <c r="BA1" s="1324"/>
      <c r="BB1" s="1324"/>
      <c r="BC1" s="1338"/>
      <c r="BD1" s="1338"/>
      <c r="BE1" s="1338"/>
      <c r="BF1" s="1338"/>
      <c r="BG1" s="1324"/>
      <c r="BH1" s="1324"/>
    </row>
    <row r="2" spans="1:60" s="107" customFormat="1" ht="50.25" customHeight="1" x14ac:dyDescent="0.2">
      <c r="A2" s="106" t="s">
        <v>456</v>
      </c>
      <c r="B2" s="106">
        <v>1</v>
      </c>
      <c r="C2" s="106">
        <v>2</v>
      </c>
      <c r="D2" s="106">
        <v>3</v>
      </c>
      <c r="E2" s="106">
        <v>4</v>
      </c>
      <c r="F2" s="476">
        <v>5</v>
      </c>
      <c r="G2" s="106">
        <v>6</v>
      </c>
      <c r="H2" s="106">
        <v>7</v>
      </c>
      <c r="I2" s="106">
        <v>8</v>
      </c>
      <c r="J2" s="106">
        <v>9</v>
      </c>
      <c r="K2" s="106">
        <v>10</v>
      </c>
      <c r="L2" s="106">
        <v>11</v>
      </c>
      <c r="M2" s="106">
        <v>12</v>
      </c>
      <c r="N2" s="106">
        <v>13</v>
      </c>
      <c r="O2" s="106">
        <v>14</v>
      </c>
      <c r="P2" s="106">
        <v>15</v>
      </c>
      <c r="Q2" s="106">
        <v>16</v>
      </c>
      <c r="R2" s="106">
        <v>17</v>
      </c>
      <c r="S2" s="106">
        <v>18</v>
      </c>
      <c r="T2" s="106">
        <v>19</v>
      </c>
      <c r="U2" s="1339">
        <v>20</v>
      </c>
      <c r="V2" s="1339">
        <v>21</v>
      </c>
      <c r="W2" s="1339">
        <v>22</v>
      </c>
      <c r="X2" s="1339">
        <v>23</v>
      </c>
      <c r="Y2" s="1339">
        <v>24</v>
      </c>
      <c r="Z2" s="1339">
        <v>25</v>
      </c>
      <c r="AA2" s="1339">
        <v>26</v>
      </c>
      <c r="AB2" s="1339">
        <v>27</v>
      </c>
      <c r="AC2" s="1339">
        <v>28</v>
      </c>
      <c r="AD2" s="1339">
        <v>29</v>
      </c>
      <c r="AE2" s="1339">
        <v>30</v>
      </c>
      <c r="AF2" s="1339">
        <v>31</v>
      </c>
      <c r="AG2" s="1340">
        <v>32</v>
      </c>
      <c r="AH2" s="1340">
        <v>33</v>
      </c>
      <c r="AI2" s="1340">
        <v>34</v>
      </c>
      <c r="AJ2" s="1340">
        <v>35</v>
      </c>
      <c r="AK2" s="1340">
        <v>36</v>
      </c>
      <c r="AL2" s="1339">
        <v>37</v>
      </c>
      <c r="AM2" s="1339">
        <v>38</v>
      </c>
      <c r="AN2" s="1339">
        <v>39</v>
      </c>
      <c r="AO2" s="1339">
        <v>40</v>
      </c>
      <c r="AP2" s="1339">
        <v>41</v>
      </c>
      <c r="AQ2" s="1339">
        <v>42</v>
      </c>
      <c r="AR2" s="1339">
        <v>43</v>
      </c>
      <c r="AS2" s="1339">
        <v>44</v>
      </c>
      <c r="AT2" s="1339">
        <v>45</v>
      </c>
      <c r="AU2" s="1339">
        <v>46</v>
      </c>
      <c r="AV2" s="1339">
        <v>47</v>
      </c>
      <c r="AW2" s="1339">
        <v>48</v>
      </c>
      <c r="AX2" s="1339">
        <v>49</v>
      </c>
      <c r="AY2" s="1339">
        <v>50</v>
      </c>
      <c r="AZ2" s="1341">
        <v>51</v>
      </c>
      <c r="BA2" s="1341">
        <v>52</v>
      </c>
      <c r="BB2" s="1341">
        <v>53</v>
      </c>
      <c r="BC2" s="1341">
        <v>54</v>
      </c>
      <c r="BD2" s="1341">
        <v>55</v>
      </c>
      <c r="BE2" s="1341"/>
      <c r="BF2" s="1341"/>
      <c r="BG2" s="1341"/>
      <c r="BH2" s="1341"/>
    </row>
    <row r="3" spans="1:60" ht="27" customHeight="1" x14ac:dyDescent="0.2">
      <c r="A3" s="1501" t="s">
        <v>41</v>
      </c>
      <c r="B3" s="1502"/>
      <c r="C3" s="108"/>
      <c r="D3" s="1505"/>
      <c r="E3" s="1506"/>
      <c r="F3" s="1506"/>
      <c r="G3" s="1507"/>
      <c r="H3" s="109"/>
      <c r="I3" s="110"/>
      <c r="J3" s="109"/>
      <c r="K3" s="111"/>
      <c r="L3" s="111"/>
      <c r="M3" s="111"/>
      <c r="N3" s="111"/>
      <c r="O3" s="111"/>
      <c r="P3" s="111"/>
      <c r="Q3" s="111"/>
      <c r="R3" s="111"/>
      <c r="S3" s="109"/>
      <c r="U3" s="1323"/>
      <c r="V3" s="1342"/>
      <c r="W3" s="1342"/>
      <c r="X3" s="1342"/>
      <c r="Y3" s="1342"/>
      <c r="Z3" s="1342"/>
      <c r="AA3" s="1342"/>
      <c r="AB3" s="1343"/>
      <c r="AC3" s="1343"/>
      <c r="AD3" s="1343"/>
      <c r="AE3" s="1344"/>
      <c r="AF3" s="1345"/>
      <c r="AG3" s="1331"/>
      <c r="AH3" s="1346"/>
      <c r="AI3" s="1346"/>
      <c r="AJ3" s="1347"/>
      <c r="AK3" s="1347"/>
      <c r="AL3" s="1343"/>
      <c r="AM3" s="1343"/>
      <c r="AN3" s="1345"/>
      <c r="AO3" s="1345"/>
      <c r="AP3" s="1345"/>
      <c r="AQ3" s="1336"/>
      <c r="AR3" s="1336"/>
      <c r="AS3" s="1345"/>
      <c r="AT3" s="1336"/>
      <c r="AU3" s="1336"/>
      <c r="AV3" s="1324"/>
      <c r="AW3" s="1337"/>
      <c r="AX3" s="1336"/>
      <c r="AY3" s="1324"/>
      <c r="AZ3" s="1324"/>
      <c r="BA3" s="1324"/>
      <c r="BB3" s="1324"/>
      <c r="BC3" s="1338"/>
      <c r="BD3" s="1338"/>
      <c r="BE3" s="1338"/>
      <c r="BF3" s="1338"/>
      <c r="BG3" s="1324"/>
      <c r="BH3" s="1324"/>
    </row>
    <row r="4" spans="1:60" ht="27" customHeight="1" x14ac:dyDescent="0.2">
      <c r="A4" s="113" t="s">
        <v>640</v>
      </c>
      <c r="B4" s="114"/>
      <c r="C4" s="115"/>
      <c r="D4" s="857"/>
      <c r="E4" s="1252" t="s">
        <v>958</v>
      </c>
      <c r="F4" s="859"/>
      <c r="G4" s="885"/>
      <c r="H4" s="116"/>
      <c r="I4" s="57"/>
      <c r="J4" s="117"/>
      <c r="K4" s="118"/>
      <c r="L4" s="118"/>
      <c r="M4" s="118"/>
      <c r="N4" s="118"/>
      <c r="O4" s="118"/>
      <c r="P4" s="118"/>
      <c r="Q4" s="118"/>
      <c r="R4" s="118"/>
      <c r="S4" s="117"/>
      <c r="U4" s="1323"/>
      <c r="V4" s="1324"/>
      <c r="W4" s="1324"/>
      <c r="X4" s="1324"/>
      <c r="Y4" s="1324"/>
      <c r="Z4" s="1324"/>
      <c r="AA4" s="1324"/>
      <c r="AB4" s="1348"/>
      <c r="AC4" s="1348"/>
      <c r="AD4" s="1348"/>
      <c r="AE4" s="1329"/>
      <c r="AF4" s="1330"/>
      <c r="AG4" s="1331"/>
      <c r="AH4" s="1299"/>
      <c r="AI4" s="1299"/>
      <c r="AJ4" s="1349"/>
      <c r="AK4" s="1299"/>
      <c r="AL4" s="1350"/>
      <c r="AM4" s="1350"/>
      <c r="AN4" s="1330"/>
      <c r="AO4" s="1330"/>
      <c r="AP4" s="1330"/>
      <c r="AQ4" s="1336"/>
      <c r="AR4" s="1336"/>
      <c r="AS4" s="1330"/>
      <c r="AT4" s="1336"/>
      <c r="AU4" s="1336"/>
      <c r="AV4" s="1324"/>
      <c r="AW4" s="1337"/>
      <c r="AX4" s="1336"/>
      <c r="AY4" s="1324"/>
      <c r="AZ4" s="1324"/>
      <c r="BA4" s="1324"/>
      <c r="BB4" s="1324"/>
      <c r="BC4" s="1324"/>
      <c r="BD4" s="1324"/>
      <c r="BE4" s="1324"/>
      <c r="BF4" s="1324"/>
      <c r="BG4" s="1324"/>
      <c r="BH4" s="1324"/>
    </row>
    <row r="5" spans="1:60" ht="31.5" customHeight="1" x14ac:dyDescent="0.2">
      <c r="A5" s="120" t="s">
        <v>641</v>
      </c>
      <c r="B5" s="121"/>
      <c r="C5" s="108"/>
      <c r="D5" s="858" t="s">
        <v>1905</v>
      </c>
      <c r="E5" s="1252" t="s">
        <v>1889</v>
      </c>
      <c r="F5" s="860"/>
      <c r="G5" s="885"/>
      <c r="H5" s="116"/>
      <c r="I5" s="57"/>
      <c r="J5" s="117"/>
      <c r="K5" s="118"/>
      <c r="L5" s="118"/>
      <c r="M5" s="118"/>
      <c r="N5"/>
      <c r="O5"/>
      <c r="P5" s="118"/>
      <c r="Q5" s="118"/>
      <c r="R5" s="118"/>
      <c r="S5" s="117"/>
      <c r="T5" s="112"/>
      <c r="U5" s="1447" t="s">
        <v>1008</v>
      </c>
      <c r="V5" s="1448" t="str">
        <f>IF($D$5="",$D$4,IF($D$5="not necessary",0,IF($D$5="not assessed",$D$4,$D$5)))</f>
        <v>insert valid entry</v>
      </c>
      <c r="W5" s="1343"/>
      <c r="X5" s="1343"/>
      <c r="Y5" s="1324"/>
      <c r="Z5" s="1343"/>
      <c r="AA5" s="1343"/>
      <c r="AB5" s="1343"/>
      <c r="AC5" s="1343"/>
      <c r="AD5" s="1343"/>
      <c r="AE5" s="1344"/>
      <c r="AF5" s="1345"/>
      <c r="AG5" s="1331"/>
      <c r="AH5" s="1351"/>
      <c r="AI5" s="1352"/>
      <c r="AJ5" s="1347"/>
      <c r="AK5" s="1347"/>
      <c r="AL5" s="1343"/>
      <c r="AM5" s="1343"/>
      <c r="AN5" s="1345"/>
      <c r="AO5" s="1345"/>
      <c r="AP5" s="1345"/>
      <c r="AQ5" s="1336"/>
      <c r="AR5" s="1336"/>
      <c r="AS5" s="1345"/>
      <c r="AT5" s="1336"/>
      <c r="AU5" s="1336"/>
      <c r="AV5" s="1324"/>
      <c r="AW5" s="1337"/>
      <c r="AX5" s="1336"/>
      <c r="AY5" s="1324"/>
      <c r="AZ5" s="1324"/>
      <c r="BA5" s="1324"/>
      <c r="BB5" s="1324"/>
      <c r="BC5" s="1324"/>
      <c r="BD5" s="1324"/>
      <c r="BE5" s="1324"/>
      <c r="BF5" s="1324"/>
      <c r="BG5" s="1324"/>
      <c r="BH5" s="1324"/>
    </row>
    <row r="6" spans="1:60" ht="28.15" customHeight="1" x14ac:dyDescent="0.2">
      <c r="A6" s="122" t="s">
        <v>367</v>
      </c>
      <c r="B6" s="122"/>
      <c r="C6" s="606" t="s">
        <v>987</v>
      </c>
      <c r="D6" s="1508"/>
      <c r="E6" s="1509"/>
      <c r="F6" s="1509"/>
      <c r="G6" s="1510"/>
      <c r="H6" s="607" t="s">
        <v>991</v>
      </c>
      <c r="I6" s="1508"/>
      <c r="J6" s="1509"/>
      <c r="K6" s="1510"/>
      <c r="L6" s="180"/>
      <c r="M6" s="180"/>
      <c r="N6" s="180"/>
      <c r="O6" s="180"/>
      <c r="P6" s="180"/>
      <c r="Q6" s="180"/>
      <c r="R6" s="180"/>
      <c r="S6" s="180"/>
      <c r="T6" s="112"/>
      <c r="U6" s="1353"/>
      <c r="V6" s="1343"/>
      <c r="W6" s="1343"/>
      <c r="X6" s="1343"/>
      <c r="Y6" s="1354"/>
      <c r="Z6" s="1343"/>
      <c r="AA6" s="1343"/>
      <c r="AB6" s="1343"/>
      <c r="AC6" s="1343"/>
      <c r="AD6" s="1343"/>
      <c r="AE6" s="1344"/>
      <c r="AF6" s="1345"/>
      <c r="AG6" s="1331"/>
      <c r="AH6" s="1355"/>
      <c r="AI6" s="1352"/>
      <c r="AJ6" s="1347"/>
      <c r="AK6" s="1347"/>
      <c r="AL6" s="1343"/>
      <c r="AM6" s="1343"/>
      <c r="AN6" s="1345"/>
      <c r="AO6" s="1345"/>
      <c r="AP6" s="1345"/>
      <c r="AQ6" s="1336"/>
      <c r="AR6" s="1336"/>
      <c r="AS6" s="1345"/>
      <c r="AT6" s="1336"/>
      <c r="AU6" s="1336"/>
      <c r="AV6" s="1324"/>
      <c r="AW6" s="1337"/>
      <c r="AX6" s="1336"/>
      <c r="AY6" s="1324"/>
      <c r="AZ6" s="1324"/>
      <c r="BA6" s="1324"/>
      <c r="BB6" s="1324"/>
      <c r="BC6" s="1324"/>
      <c r="BD6" s="1324"/>
      <c r="BE6" s="1324"/>
      <c r="BF6" s="1324"/>
      <c r="BG6" s="1324"/>
      <c r="BH6" s="1324"/>
    </row>
    <row r="7" spans="1:60" s="104" customFormat="1" ht="28.15" customHeight="1" x14ac:dyDescent="0.2">
      <c r="A7" s="123" t="s">
        <v>367</v>
      </c>
      <c r="B7" s="123"/>
      <c r="C7" s="606" t="s">
        <v>988</v>
      </c>
      <c r="D7" s="1508"/>
      <c r="E7" s="1509"/>
      <c r="F7" s="1509"/>
      <c r="G7" s="1510"/>
      <c r="H7" s="607" t="s">
        <v>992</v>
      </c>
      <c r="I7" s="1514"/>
      <c r="J7" s="1515"/>
      <c r="K7" s="1516"/>
      <c r="L7" s="861" t="s">
        <v>869</v>
      </c>
      <c r="M7" s="724" t="str">
        <f>IF(L7="fat soluble"," (F)","")</f>
        <v/>
      </c>
      <c r="N7" s="695"/>
      <c r="O7" s="695"/>
      <c r="P7" s="695"/>
      <c r="Q7" s="695"/>
      <c r="R7" s="695"/>
      <c r="S7" s="180"/>
      <c r="T7" s="112"/>
      <c r="U7" s="1353"/>
      <c r="V7" s="1343"/>
      <c r="W7" s="1343"/>
      <c r="X7" s="1343"/>
      <c r="Y7" s="1354"/>
      <c r="Z7" s="1343"/>
      <c r="AA7" s="1343"/>
      <c r="AB7" s="1343"/>
      <c r="AC7" s="1343"/>
      <c r="AD7" s="1343"/>
      <c r="AE7" s="1344"/>
      <c r="AF7" s="1345"/>
      <c r="AG7" s="1331"/>
      <c r="AH7" s="1355"/>
      <c r="AI7" s="1352"/>
      <c r="AJ7" s="1347"/>
      <c r="AK7" s="1347"/>
      <c r="AL7" s="1343"/>
      <c r="AM7" s="1343"/>
      <c r="AN7" s="1345"/>
      <c r="AO7" s="1345"/>
      <c r="AP7" s="1345"/>
      <c r="AQ7" s="1336"/>
      <c r="AR7" s="1336"/>
      <c r="AS7" s="1345"/>
      <c r="AT7" s="1336"/>
      <c r="AU7" s="1336"/>
      <c r="AV7" s="1336"/>
      <c r="AW7" s="1337"/>
      <c r="AX7" s="1336"/>
      <c r="AY7" s="1336"/>
      <c r="AZ7" s="1336"/>
      <c r="BA7" s="1336"/>
      <c r="BB7" s="1336"/>
      <c r="BC7" s="1336"/>
      <c r="BD7" s="1452" t="s">
        <v>369</v>
      </c>
      <c r="BE7" s="1336"/>
      <c r="BF7" s="1336"/>
      <c r="BG7" s="1336"/>
      <c r="BH7" s="1336"/>
    </row>
    <row r="8" spans="1:60" s="104" customFormat="1" ht="28.15" customHeight="1" x14ac:dyDescent="0.2">
      <c r="A8" s="123" t="s">
        <v>368</v>
      </c>
      <c r="B8" s="123"/>
      <c r="C8" s="607" t="s">
        <v>989</v>
      </c>
      <c r="D8" s="1508"/>
      <c r="E8" s="1509"/>
      <c r="F8" s="1509"/>
      <c r="G8" s="1510"/>
      <c r="H8" s="607" t="s">
        <v>993</v>
      </c>
      <c r="I8" s="1508"/>
      <c r="J8" s="1509"/>
      <c r="K8" s="1510"/>
      <c r="L8" s="180"/>
      <c r="M8" s="180"/>
      <c r="N8" s="461"/>
      <c r="O8" s="461"/>
      <c r="P8" s="461"/>
      <c r="Q8" s="461"/>
      <c r="R8" s="461"/>
      <c r="S8" s="180"/>
      <c r="T8" s="112"/>
      <c r="U8" s="1356"/>
      <c r="V8" s="1356"/>
      <c r="W8" s="1356"/>
      <c r="X8" s="1356"/>
      <c r="Y8" s="1343"/>
      <c r="Z8" s="1356"/>
      <c r="AA8" s="1356"/>
      <c r="AB8" s="1356"/>
      <c r="AC8" s="1356"/>
      <c r="AD8" s="1356"/>
      <c r="AE8" s="1344"/>
      <c r="AF8" s="1345"/>
      <c r="AG8" s="1331"/>
      <c r="AH8" s="1352"/>
      <c r="AI8" s="1357"/>
      <c r="AJ8" s="1358"/>
      <c r="AK8" s="1358"/>
      <c r="AL8" s="1356"/>
      <c r="AM8" s="1356"/>
      <c r="AN8" s="1345"/>
      <c r="AO8" s="1345"/>
      <c r="AP8" s="1345"/>
      <c r="AQ8" s="1336"/>
      <c r="AR8" s="1336"/>
      <c r="AS8" s="1345"/>
      <c r="AT8" s="1336"/>
      <c r="AU8" s="1336"/>
      <c r="AV8" s="1336"/>
      <c r="AW8" s="1337"/>
      <c r="AX8" s="1336"/>
      <c r="AY8" s="1336"/>
      <c r="AZ8" s="1336"/>
      <c r="BA8" s="1336"/>
      <c r="BB8" s="1336"/>
      <c r="BC8" s="1336"/>
      <c r="BD8" s="1452" t="s">
        <v>964</v>
      </c>
      <c r="BE8" s="1336"/>
      <c r="BF8" s="1336"/>
      <c r="BG8" s="1336"/>
      <c r="BH8" s="1336"/>
    </row>
    <row r="9" spans="1:60" s="104" customFormat="1" ht="28.15" customHeight="1" x14ac:dyDescent="0.2">
      <c r="A9" s="123" t="s">
        <v>368</v>
      </c>
      <c r="B9" s="123"/>
      <c r="C9" s="607" t="s">
        <v>990</v>
      </c>
      <c r="D9" s="1511"/>
      <c r="E9" s="1512"/>
      <c r="F9" s="1512"/>
      <c r="G9" s="1513"/>
      <c r="H9" s="608" t="s">
        <v>994</v>
      </c>
      <c r="I9" s="1511"/>
      <c r="J9" s="1517"/>
      <c r="K9" s="1518"/>
      <c r="L9" s="549"/>
      <c r="M9" s="549"/>
      <c r="N9" s="550"/>
      <c r="O9" s="462"/>
      <c r="P9" s="462"/>
      <c r="Q9" s="920"/>
      <c r="R9" s="921"/>
      <c r="S9" s="920"/>
      <c r="T9" s="922"/>
      <c r="U9" s="1359"/>
      <c r="V9" s="1360"/>
      <c r="W9" s="1360"/>
      <c r="X9" s="1361"/>
      <c r="Y9" s="1356"/>
      <c r="Z9" s="1360"/>
      <c r="AA9" s="1361"/>
      <c r="AB9" s="1362"/>
      <c r="AC9" s="1362"/>
      <c r="AD9" s="1362"/>
      <c r="AE9" s="1329"/>
      <c r="AF9" s="1330"/>
      <c r="AG9" s="1331"/>
      <c r="AH9" s="1358"/>
      <c r="AI9" s="1363"/>
      <c r="AJ9" s="1364"/>
      <c r="AK9" s="1365"/>
      <c r="AL9" s="1366"/>
      <c r="AM9" s="1366"/>
      <c r="AN9" s="1330"/>
      <c r="AO9" s="1330"/>
      <c r="AP9" s="1330"/>
      <c r="AQ9" s="1336"/>
      <c r="AR9" s="1336"/>
      <c r="AS9" s="1330"/>
      <c r="AT9" s="1336"/>
      <c r="AU9" s="1336"/>
      <c r="AV9" s="1336"/>
      <c r="AW9" s="1337"/>
      <c r="AX9" s="1336"/>
      <c r="AY9" s="1336"/>
      <c r="AZ9" s="1336"/>
      <c r="BA9" s="1336"/>
      <c r="BB9" s="1336"/>
      <c r="BC9" s="1336"/>
      <c r="BD9" s="1336"/>
      <c r="BE9" s="1336"/>
      <c r="BF9" s="1336"/>
      <c r="BG9" s="1336"/>
      <c r="BH9" s="1336"/>
    </row>
    <row r="10" spans="1:60" s="125" customFormat="1" ht="79.5" customHeight="1" x14ac:dyDescent="0.2">
      <c r="A10" s="1503" t="s">
        <v>878</v>
      </c>
      <c r="B10" s="1504"/>
      <c r="C10" s="1458" t="str">
        <f>IF(A10="Refined calculation mode","Only crops for which a GAP is authorised are included in the exposure calculations.","All commodities for which input values are inserted in the input table below (i.e. MRL, HR and/or STMR)  are considered in the exposure calcualtions.")</f>
        <v>All commodities for which input values are inserted in the input table below (i.e. MRL, HR and/or STMR)  are considered in the exposure calcualtions.</v>
      </c>
      <c r="D10" s="1519" t="s">
        <v>1009</v>
      </c>
      <c r="E10" s="1520"/>
      <c r="F10" s="1520"/>
      <c r="G10" s="1520"/>
      <c r="H10" s="1520"/>
      <c r="I10" s="1520"/>
      <c r="J10" s="1520"/>
      <c r="K10" s="1521"/>
      <c r="L10" s="1498" t="str">
        <f>Results!B62</f>
        <v>Show results for all crops</v>
      </c>
      <c r="M10" s="1499"/>
      <c r="N10" s="1500"/>
      <c r="O10"/>
      <c r="P10"/>
      <c r="Q10"/>
      <c r="R10"/>
      <c r="S10"/>
      <c r="T10" s="104"/>
      <c r="U10" s="1367"/>
      <c r="V10" s="1368"/>
      <c r="W10" s="1368"/>
      <c r="X10" s="1361"/>
      <c r="Y10" s="1369"/>
      <c r="Z10" s="1495" t="s">
        <v>356</v>
      </c>
      <c r="AA10" s="1496"/>
      <c r="AB10" s="1496"/>
      <c r="AC10" s="1496"/>
      <c r="AD10" s="1496"/>
      <c r="AE10" s="1496"/>
      <c r="AF10" s="1496"/>
      <c r="AG10" s="1496"/>
      <c r="AH10" s="1497"/>
      <c r="AI10" s="1495" t="s">
        <v>355</v>
      </c>
      <c r="AJ10" s="1496"/>
      <c r="AK10" s="1496"/>
      <c r="AL10" s="1496"/>
      <c r="AM10" s="1496"/>
      <c r="AN10" s="1496"/>
      <c r="AO10" s="1496"/>
      <c r="AP10" s="1496"/>
      <c r="AQ10" s="1496"/>
      <c r="AR10" s="1496"/>
      <c r="AS10" s="1496"/>
      <c r="AT10" s="1496"/>
      <c r="AU10" s="1496"/>
      <c r="AV10" s="1496"/>
      <c r="AW10" s="1496"/>
      <c r="AX10" s="1496"/>
      <c r="AY10" s="1497"/>
      <c r="AZ10" s="1369"/>
      <c r="BA10" s="1369"/>
      <c r="BB10" s="1369"/>
      <c r="BC10" s="1369"/>
      <c r="BD10" s="1369"/>
      <c r="BE10" s="1369"/>
      <c r="BF10" s="1369"/>
      <c r="BG10" s="1369"/>
      <c r="BH10" s="1369"/>
    </row>
    <row r="11" spans="1:60" s="170" customFormat="1" ht="57" customHeight="1" thickBot="1" x14ac:dyDescent="0.25">
      <c r="A11" s="169" t="s">
        <v>281</v>
      </c>
      <c r="B11" s="157" t="s">
        <v>212</v>
      </c>
      <c r="C11" s="158" t="s">
        <v>282</v>
      </c>
      <c r="D11" s="159" t="s">
        <v>1058</v>
      </c>
      <c r="E11" s="159" t="s">
        <v>888</v>
      </c>
      <c r="F11" s="159" t="s">
        <v>303</v>
      </c>
      <c r="G11" s="159" t="s">
        <v>861</v>
      </c>
      <c r="H11" s="159" t="s">
        <v>1004</v>
      </c>
      <c r="I11" s="159" t="s">
        <v>968</v>
      </c>
      <c r="J11" s="163" t="s">
        <v>969</v>
      </c>
      <c r="K11" s="163" t="s">
        <v>965</v>
      </c>
      <c r="L11" s="160" t="s">
        <v>922</v>
      </c>
      <c r="M11" s="159" t="s">
        <v>643</v>
      </c>
      <c r="N11" s="159" t="s">
        <v>999</v>
      </c>
      <c r="O11" s="159" t="s">
        <v>1000</v>
      </c>
      <c r="P11" s="923" t="s">
        <v>995</v>
      </c>
      <c r="Q11" s="923" t="s">
        <v>996</v>
      </c>
      <c r="R11" s="923" t="s">
        <v>997</v>
      </c>
      <c r="S11" s="923" t="s">
        <v>998</v>
      </c>
      <c r="T11" s="163" t="s">
        <v>344</v>
      </c>
      <c r="U11" s="1370" t="s">
        <v>370</v>
      </c>
      <c r="V11" s="1370" t="s">
        <v>887</v>
      </c>
      <c r="W11" s="1370" t="s">
        <v>343</v>
      </c>
      <c r="X11" s="1370" t="s">
        <v>960</v>
      </c>
      <c r="Y11" s="1370" t="s">
        <v>961</v>
      </c>
      <c r="Z11" s="1371" t="s">
        <v>642</v>
      </c>
      <c r="AA11" s="1370" t="s">
        <v>341</v>
      </c>
      <c r="AB11" s="1370" t="s">
        <v>962</v>
      </c>
      <c r="AC11" s="1372" t="s">
        <v>963</v>
      </c>
      <c r="AD11" s="1370" t="s">
        <v>884</v>
      </c>
      <c r="AE11" s="1372" t="s">
        <v>885</v>
      </c>
      <c r="AF11" s="1370" t="s">
        <v>348</v>
      </c>
      <c r="AG11" s="1370" t="s">
        <v>623</v>
      </c>
      <c r="AH11" s="1370" t="s">
        <v>624</v>
      </c>
      <c r="AI11" s="1370" t="s">
        <v>621</v>
      </c>
      <c r="AJ11" s="1370" t="s">
        <v>342</v>
      </c>
      <c r="AK11" s="1370" t="s">
        <v>902</v>
      </c>
      <c r="AL11" s="1370" t="s">
        <v>622</v>
      </c>
      <c r="AM11" s="1370" t="s">
        <v>879</v>
      </c>
      <c r="AN11" s="1372" t="s">
        <v>889</v>
      </c>
      <c r="AO11" s="1372" t="s">
        <v>890</v>
      </c>
      <c r="AP11" s="1372" t="s">
        <v>891</v>
      </c>
      <c r="AQ11" s="1370" t="s">
        <v>880</v>
      </c>
      <c r="AR11" s="1370" t="s">
        <v>892</v>
      </c>
      <c r="AS11" s="1370" t="s">
        <v>893</v>
      </c>
      <c r="AT11" s="1370" t="s">
        <v>894</v>
      </c>
      <c r="AU11" s="1372" t="s">
        <v>881</v>
      </c>
      <c r="AV11" s="1372" t="s">
        <v>882</v>
      </c>
      <c r="AW11" s="1372" t="s">
        <v>361</v>
      </c>
      <c r="AX11" s="1372" t="s">
        <v>611</v>
      </c>
      <c r="AY11" s="1372" t="s">
        <v>612</v>
      </c>
      <c r="AZ11" s="1373" t="s">
        <v>895</v>
      </c>
      <c r="BA11" s="1374" t="s">
        <v>652</v>
      </c>
      <c r="BB11" s="1375" t="s">
        <v>371</v>
      </c>
      <c r="BC11" s="1375" t="s">
        <v>886</v>
      </c>
      <c r="BD11" s="1376" t="s">
        <v>936</v>
      </c>
      <c r="BE11" s="1377" t="s">
        <v>937</v>
      </c>
      <c r="BF11" s="1377" t="s">
        <v>939</v>
      </c>
      <c r="BG11" s="1373" t="s">
        <v>676</v>
      </c>
      <c r="BH11" s="1378"/>
    </row>
    <row r="12" spans="1:60" ht="12.75" customHeight="1" x14ac:dyDescent="0.2">
      <c r="A12" s="126">
        <v>1</v>
      </c>
      <c r="B12" s="446">
        <v>100000</v>
      </c>
      <c r="C12" s="127" t="s">
        <v>815</v>
      </c>
      <c r="D12" s="862"/>
      <c r="E12" s="1218"/>
      <c r="F12" s="1672"/>
      <c r="G12" s="1673"/>
      <c r="H12" s="1673"/>
      <c r="I12" s="1673"/>
      <c r="J12" s="1674"/>
      <c r="K12" s="1675"/>
      <c r="L12" s="1676"/>
      <c r="M12" s="1676"/>
      <c r="N12" s="466"/>
      <c r="O12" s="467"/>
      <c r="P12" s="924"/>
      <c r="Q12" s="609"/>
      <c r="R12" s="468"/>
      <c r="S12" s="609"/>
      <c r="T12" s="886"/>
      <c r="U12" s="1379"/>
      <c r="V12" s="1380"/>
      <c r="W12" s="1381"/>
      <c r="X12" s="1381"/>
      <c r="Y12" s="1381"/>
      <c r="Z12" s="1382">
        <v>4</v>
      </c>
      <c r="AA12" s="1381" t="str">
        <f t="shared" ref="AA12:AA75" si="0">IF(Z12=A12,U12,"")</f>
        <v/>
      </c>
      <c r="AB12" s="1381" t="str">
        <f>IF(Z12=A12,IF(AND(L12="N",Table22[[#This Row],[LOQ_label]]="Y"),AA12,$AA12*$Y12),"")</f>
        <v/>
      </c>
      <c r="AC12" s="1383" t="str">
        <f t="shared" ref="AC12:AC75" si="1">IF(Z12=A12,$I12*$Y12,"")</f>
        <v/>
      </c>
      <c r="AD12" s="1383" t="str">
        <f>IF(Table22[[#This Row],[Median residue*CF*PeF]]&lt;&gt;"",Table22[[#This Row],[Median residue*CF*PeF]],Table22[[#This Row],[MRL*CF*PeF (chronic)]])</f>
        <v/>
      </c>
      <c r="AE12" s="1384">
        <f t="shared" ref="AE12:AE75" si="2">IF(OR(L12="N",ISBLANK(L12)),0,IF(Z12=A12,IF(ISBLANK(I12)=TRUE,AB12,AC12),""))</f>
        <v>0</v>
      </c>
      <c r="AF12" s="1385" t="str">
        <f t="shared" ref="AF12:AF75" si="3">IF(Z12&lt;&gt;A12,"",IF(ISBLANK(I12)=FALSE,"STMR-RAC",IF(V12="Y","LOQ","MRL")))</f>
        <v/>
      </c>
      <c r="AG12" s="1385" t="str">
        <f t="shared" ref="AG12:AG75" si="4">IF(AND(AF12&lt;&gt;"",AH12&lt;&gt;""),"*","")</f>
        <v/>
      </c>
      <c r="AH12" s="1270" t="str">
        <f t="shared" ref="AH12:AH75" si="5">IF(OR(AND(AF12="LOQ",L12="N"),AF12=""),"",IF(AND(G12&gt;0,H12&gt;0),"CF*PeF",IF(G12&gt;0,"CF",IF(H12&gt;0,"PeF",""))))</f>
        <v/>
      </c>
      <c r="AI12" s="1386">
        <v>4</v>
      </c>
      <c r="AJ12" s="1387" t="str">
        <f t="shared" ref="AJ12:AJ75" si="6">IF(AI12=A12,U12,"")</f>
        <v/>
      </c>
      <c r="AK12" s="1387" t="str">
        <f>IF(AI12=A12,IF(AND(L12="N",Table22[[#This Row],[LOQ_label]]="Y"),AJ12,$AJ12*$Y12),"")</f>
        <v/>
      </c>
      <c r="AL12" s="1388" t="str">
        <f t="shared" ref="AL12:AL75" si="7">IF(AI12=A12,$J12*$Y12,"")</f>
        <v/>
      </c>
      <c r="AM12" s="1388" t="str">
        <f>IF(Table22[[#This Row],[Highest residue * CF*PF]]&lt;&gt;"",Table22[[#This Row],[Highest residue * CF*PF]],Table22[[#This Row],[MRL*CF*PF or MRL (if LOQ and not authorised) (acute RA)]])</f>
        <v/>
      </c>
      <c r="AN12" s="1389" t="str">
        <f t="shared" ref="AN12:AN75" si="8">IF(AI12&lt;&gt;A12,"",IF(BA12=3,AF12,IF(ISBLANK($J12)=FALSE,"HR-RAC",IF(V12="Y","LOQ","MRL"))))</f>
        <v/>
      </c>
      <c r="AO12" s="1390" t="str">
        <f t="shared" ref="AO12:AO75" si="9">IF(AND(AN12&lt;&gt;"",AP12&lt;&gt;""),"*","")</f>
        <v/>
      </c>
      <c r="AP12" s="1391" t="str">
        <f t="shared" ref="AP12:AP75" si="10">IF(OR(AND(AN12="LOQ",L12="N"),AN12=""),"",IF(AND(G12&gt;0,H12&gt;0),"CF*PeF",IF(G12&gt;0,"CF",IF(H12&gt;0,"PeF",""))))</f>
        <v/>
      </c>
      <c r="AQ12" s="1392">
        <f t="shared" ref="AQ12:AQ75" si="11">IF(OR(L12="N",ISBLANK(L12)),0,IF(AI12=A12,IF(BA12=3,AE12,IF(ISBLANK(J12)=TRUE,AK12,AL12)),""))</f>
        <v>0</v>
      </c>
      <c r="AR12" s="1389" t="str">
        <f t="shared" ref="AR12:AR75" si="12">IF(OR(AI12&lt;&gt;A12,AQ12=0),"",IF(BA12=3,AF12,IF(ISBLANK($I12)=FALSE,"STMR-RAC",IF(V12="Y","LOQ","MRL"))))</f>
        <v/>
      </c>
      <c r="AS12" s="1390" t="str">
        <f t="shared" ref="AS12:AS75" si="13">IF(AND(AR12&lt;&gt;"",AT12&lt;&gt;""),"*","")</f>
        <v/>
      </c>
      <c r="AT12" s="1391" t="str">
        <f t="shared" ref="AT12:AT75" si="14">IF(OR(AND(AR12="LOQ",L12="N"),AR12=""),"",IF(AND(G12&gt;0,H12&gt;0),"CF*PeF",IF(G12&gt;0,"CF",IF(H12&gt;0,"PeF",""))))</f>
        <v/>
      </c>
      <c r="AU12" s="1393" t="str">
        <f t="shared" ref="AU12:AU75" si="15">AK12</f>
        <v/>
      </c>
      <c r="AV12" s="1392">
        <f t="shared" ref="AV12:AV75" si="16">IF(OR(L12="N",ISBLANK(L12)),0,AK12)</f>
        <v>0</v>
      </c>
      <c r="AW12" s="1390" t="str">
        <f t="shared" ref="AW12:AW75" si="17">IF(OR(AI12&lt;&gt;A12,AJ12=0),"",IF(V12="Y","LOQ","MRL"))</f>
        <v/>
      </c>
      <c r="AX12" s="1390" t="str">
        <f t="shared" ref="AX12:AX18" si="18">IF(AND(AW12&lt;&gt;"",AY12&lt;&gt;""),"*","")</f>
        <v/>
      </c>
      <c r="AY12" s="1394" t="str">
        <f t="shared" ref="AY12:AY75" si="19">IF(OR(AND(AW12="LOQ",L12="N"),AW12=""),"",IF(AND(G12&gt;0,H12&gt;0),"CF*PeF",IF(G12&gt;0,"CF",IF(H12&gt;0,"PeF",""))))</f>
        <v/>
      </c>
      <c r="AZ12" s="1395">
        <f>IF(Table22[[#This Row],[LOQ_label]]="Y",Table22[[#This Row],[MRL individual commodity]],"")</f>
        <v>0</v>
      </c>
      <c r="BA12" s="1396" t="s">
        <v>1159</v>
      </c>
      <c r="BB12" s="1397">
        <f t="array" ref="BB12">MIN(IF(Table22[LOQ2]&gt;0,Table22[LOQ2]))</f>
        <v>0</v>
      </c>
      <c r="BC12" s="1398" t="s">
        <v>373</v>
      </c>
      <c r="BD12" s="1399" t="str">
        <f>IF(Table22[[#This Row],[Chronic RA label]]="","N",IF(Table22[[#This Row],[Chronic RA label]]="LOQ","N",IF(Table22[[#This Row],[Chronic RA label]]="MRL","N","Y")))</f>
        <v>N</v>
      </c>
      <c r="BE12" s="1399" t="str">
        <f>IF(Table22[[#This Row],[Acute RA label]]="","N",IF(Table22[[#This Row],[Acute RA label]]="LOQ","N",IF(Table22[[#This Row],[Acute RA label]]="MRL","N","Y")))</f>
        <v>N</v>
      </c>
      <c r="BF12" s="1400" t="str">
        <f>IF(OR(Table22[[#This Row],[include commodity in Summary_input_values_chronic]]="Y",Table22[[#This Row],[include commodity in Summary_input_values_acute]]="Y"),"Y","N")</f>
        <v>N</v>
      </c>
      <c r="BG12" s="1401" t="s">
        <v>869</v>
      </c>
      <c r="BH12" s="1324"/>
    </row>
    <row r="13" spans="1:60" ht="12.75" customHeight="1" outlineLevel="1" thickBot="1" x14ac:dyDescent="0.25">
      <c r="A13" s="130">
        <v>2</v>
      </c>
      <c r="B13" s="447">
        <v>110000</v>
      </c>
      <c r="C13" s="131" t="s">
        <v>213</v>
      </c>
      <c r="D13" s="862"/>
      <c r="E13" s="1218"/>
      <c r="F13" s="1672"/>
      <c r="G13" s="1677"/>
      <c r="H13" s="1673"/>
      <c r="I13" s="1673"/>
      <c r="J13" s="1674"/>
      <c r="K13" s="1675"/>
      <c r="L13" s="1678"/>
      <c r="M13" s="1678"/>
      <c r="N13" s="473"/>
      <c r="O13" s="474"/>
      <c r="P13" s="473"/>
      <c r="Q13" s="474"/>
      <c r="R13" s="473"/>
      <c r="S13" s="474"/>
      <c r="T13" s="886"/>
      <c r="U13" s="1402"/>
      <c r="V13" s="1403"/>
      <c r="W13" s="1381"/>
      <c r="X13" s="1381"/>
      <c r="Y13" s="1381"/>
      <c r="Z13" s="1382">
        <v>4</v>
      </c>
      <c r="AA13" s="1381" t="str">
        <f t="shared" si="0"/>
        <v/>
      </c>
      <c r="AB13" s="1381" t="str">
        <f>IF(Z13=A13,IF(AND(L13="N",Table22[[#This Row],[LOQ_label]]="Y"),AA13,$AA13*$Y13),"")</f>
        <v/>
      </c>
      <c r="AC13" s="1383" t="str">
        <f t="shared" si="1"/>
        <v/>
      </c>
      <c r="AD13" s="1383" t="str">
        <f>IF(Table22[[#This Row],[Median residue*CF*PeF]]&lt;&gt;"",Table22[[#This Row],[Median residue*CF*PeF]],Table22[[#This Row],[MRL*CF*PeF (chronic)]])</f>
        <v/>
      </c>
      <c r="AE13" s="1384">
        <f t="shared" si="2"/>
        <v>0</v>
      </c>
      <c r="AF13" s="1385" t="str">
        <f t="shared" si="3"/>
        <v/>
      </c>
      <c r="AG13" s="1385" t="str">
        <f t="shared" si="4"/>
        <v/>
      </c>
      <c r="AH13" s="1270" t="str">
        <f t="shared" si="5"/>
        <v/>
      </c>
      <c r="AI13" s="1386">
        <v>4</v>
      </c>
      <c r="AJ13" s="1387" t="str">
        <f t="shared" si="6"/>
        <v/>
      </c>
      <c r="AK13" s="1387" t="str">
        <f>IF(AI13=A13,IF(AND(L13="N",Table22[[#This Row],[LOQ_label]]="Y"),AJ13,$AJ13*$Y13),"")</f>
        <v/>
      </c>
      <c r="AL13" s="1388" t="str">
        <f t="shared" si="7"/>
        <v/>
      </c>
      <c r="AM13" s="1393" t="str">
        <f>IF(Table22[[#This Row],[Highest residue * CF*PF]]&lt;&gt;"",Table22[[#This Row],[Highest residue * CF*PF]],Table22[[#This Row],[MRL*CF*PF or MRL (if LOQ and not authorised) (acute RA)]])</f>
        <v/>
      </c>
      <c r="AN13" s="1390" t="str">
        <f t="shared" si="8"/>
        <v/>
      </c>
      <c r="AO13" s="1390" t="str">
        <f t="shared" si="9"/>
        <v/>
      </c>
      <c r="AP13" s="1404" t="str">
        <f t="shared" si="10"/>
        <v/>
      </c>
      <c r="AQ13" s="1388">
        <f t="shared" si="11"/>
        <v>0</v>
      </c>
      <c r="AR13" s="1388" t="str">
        <f t="shared" si="12"/>
        <v/>
      </c>
      <c r="AS13" s="1388" t="str">
        <f t="shared" si="13"/>
        <v/>
      </c>
      <c r="AT13" s="1388" t="str">
        <f t="shared" si="14"/>
        <v/>
      </c>
      <c r="AU13" s="1393" t="str">
        <f t="shared" si="15"/>
        <v/>
      </c>
      <c r="AV13" s="1388">
        <f t="shared" si="16"/>
        <v>0</v>
      </c>
      <c r="AW13" s="1390" t="str">
        <f t="shared" si="17"/>
        <v/>
      </c>
      <c r="AX13" s="1390" t="str">
        <f t="shared" si="18"/>
        <v/>
      </c>
      <c r="AY13" s="1394" t="str">
        <f t="shared" si="19"/>
        <v/>
      </c>
      <c r="AZ13" s="1395">
        <f>IF(Table22[[#This Row],[LOQ_label]]="Y",Table22[[#This Row],[MRL individual commodity]],"")</f>
        <v>0</v>
      </c>
      <c r="BA13" s="1396" t="s">
        <v>1159</v>
      </c>
      <c r="BB13" s="1405">
        <f>MAX(Table22[LOQ2])</f>
        <v>0</v>
      </c>
      <c r="BC13" s="1398" t="s">
        <v>349</v>
      </c>
      <c r="BD13" s="1406" t="str">
        <f>IF(Table22[[#This Row],[Chronic RA label]]="","N",IF(Table22[[#This Row],[Chronic RA label]]="LOQ","N",IF(Table22[[#This Row],[Chronic RA label]]="MRL","N","Y")))</f>
        <v>N</v>
      </c>
      <c r="BE13" s="1406" t="str">
        <f>IF(Table22[[#This Row],[Acute RA label]]="","N",IF(Table22[[#This Row],[Acute RA label]]="LOQ","N",IF(Table22[[#This Row],[Acute RA label]]="MRL","N","Y")))</f>
        <v>N</v>
      </c>
      <c r="BF13" s="1406" t="str">
        <f>IF(OR(Table22[[#This Row],[include commodity in Summary_input_values_chronic]]="Y",Table22[[#This Row],[include commodity in Summary_input_values_acute]]="Y"),"Y","N")</f>
        <v>N</v>
      </c>
      <c r="BG13" s="1407" t="s">
        <v>649</v>
      </c>
      <c r="BH13" s="1324"/>
    </row>
    <row r="14" spans="1:60" ht="12.75" customHeight="1" outlineLevel="3" x14ac:dyDescent="0.2">
      <c r="A14" s="39">
        <v>4</v>
      </c>
      <c r="B14" s="327">
        <v>110010</v>
      </c>
      <c r="C14" s="23" t="s">
        <v>680</v>
      </c>
      <c r="D14" s="867"/>
      <c r="E14" s="1219"/>
      <c r="F14" s="867"/>
      <c r="G14" s="869"/>
      <c r="H14" s="868"/>
      <c r="I14" s="868"/>
      <c r="J14" s="870"/>
      <c r="K14" s="871"/>
      <c r="L14" s="872"/>
      <c r="M14" s="872"/>
      <c r="N14" s="925" t="str">
        <f>IF(O14&lt;&gt;0,CONCATENATE(input_values!$AF14,input_values!$AG14,input_values!$AH14),"")</f>
        <v/>
      </c>
      <c r="O14" s="491">
        <f>IF($A$10="Refined calculation mode",Table22[[#This Row],[input for chronic (refined mode]],Table22[[#This Row],[input for chronic normal mode]])</f>
        <v>0</v>
      </c>
      <c r="P14" s="925" t="str">
        <f>IF(Q14&lt;&gt;0,CONCATENATE(input_values!$AN14,input_values!$AO14,input_values!$AP14),"")</f>
        <v/>
      </c>
      <c r="Q14" s="491">
        <f>IF($V$5=0,0,IF(OR($A$10="Refined calculation mode",Results!$B$62="Show results of IESTI calculation only for crops with GAPs under assessment"),Table22[[#This Row],[Input for IESTI (refined mode)]],Table22[[#This Row],[Input for IESTI normal mode]]))</f>
        <v>0</v>
      </c>
      <c r="R14" s="926" t="str">
        <f>IF(S14&lt;&gt;0,CONCATENATE(input_values!$AW14,input_values!$AX14,input_values!$AY14),"")</f>
        <v/>
      </c>
      <c r="S14" s="1135">
        <f>IF($V$5=0,0,IF(OR($A$10="Refined calculation mode",Results!$B$62="Show results of IESTI calculation only for crops with GAPs under assessment"),Table22[[#This Row],[Input for IESTI new (refined mode)]],Table22[[#This Row],[Input for IESTI new normal mode]]))</f>
        <v>0</v>
      </c>
      <c r="T14" s="886"/>
      <c r="U14" s="1408">
        <f>Table22[[#This Row],[MRL/ proposed MRL /CXL
(mg/kg)]]</f>
        <v>0</v>
      </c>
      <c r="V14" s="1409" t="str">
        <f>IF(F14&lt;&gt;"","Y","")</f>
        <v/>
      </c>
      <c r="W14" s="1387">
        <f t="shared" ref="W14:W19" si="20">IF($G14&gt;0,$G14,1)</f>
        <v>1</v>
      </c>
      <c r="X14" s="1387">
        <f t="shared" ref="X14:X19" si="21">IF($H14&gt;0,$H14,1)</f>
        <v>1</v>
      </c>
      <c r="Y14" s="1387">
        <f t="shared" ref="Y14:Y19" si="22">W14*X14</f>
        <v>1</v>
      </c>
      <c r="Z14" s="1410">
        <v>4</v>
      </c>
      <c r="AA14" s="1387">
        <f t="shared" si="0"/>
        <v>0</v>
      </c>
      <c r="AB14" s="1387">
        <f>IF(Z14=A14,IF(AND(L14="N",Table22[[#This Row],[LOQ_label]]="Y"),AA14,$AA14*$Y14),"")</f>
        <v>0</v>
      </c>
      <c r="AC14" s="1393">
        <f t="shared" si="1"/>
        <v>0</v>
      </c>
      <c r="AD14" s="1393">
        <f>IF(Table22[[#This Row],[Median residue*CF*PeF]]&lt;&gt;"",Table22[[#This Row],[Median residue*CF*PeF]],Table22[[#This Row],[MRL*CF*PeF (chronic)]])</f>
        <v>0</v>
      </c>
      <c r="AE14" s="1393">
        <f t="shared" si="2"/>
        <v>0</v>
      </c>
      <c r="AF14" s="1390" t="str">
        <f t="shared" si="3"/>
        <v>MRL</v>
      </c>
      <c r="AG14" s="1390" t="str">
        <f t="shared" si="4"/>
        <v/>
      </c>
      <c r="AH14" s="1394" t="str">
        <f t="shared" si="5"/>
        <v/>
      </c>
      <c r="AI14" s="1386">
        <v>4</v>
      </c>
      <c r="AJ14" s="1387">
        <f t="shared" si="6"/>
        <v>0</v>
      </c>
      <c r="AK14" s="1387">
        <f>IF(AI14=A14,IF(AND(L14="N",Table22[[#This Row],[LOQ_label]]="Y"),AJ14,$AJ14*$Y14),"")</f>
        <v>0</v>
      </c>
      <c r="AL14" s="1388">
        <f t="shared" si="7"/>
        <v>0</v>
      </c>
      <c r="AM14" s="1393">
        <f>IF(Table22[[#This Row],[Highest residue * CF*PF]]&lt;&gt;"",Table22[[#This Row],[Highest residue * CF*PF]],Table22[[#This Row],[MRL*CF*PF or MRL (if LOQ and not authorised) (acute RA)]])</f>
        <v>0</v>
      </c>
      <c r="AN14" s="1390" t="str">
        <f t="shared" si="8"/>
        <v>MRL</v>
      </c>
      <c r="AO14" s="1390" t="str">
        <f t="shared" si="9"/>
        <v/>
      </c>
      <c r="AP14" s="1404" t="str">
        <f t="shared" si="10"/>
        <v/>
      </c>
      <c r="AQ14" s="1388">
        <f t="shared" si="11"/>
        <v>0</v>
      </c>
      <c r="AR14" s="1388" t="str">
        <f t="shared" si="12"/>
        <v/>
      </c>
      <c r="AS14" s="1388" t="str">
        <f t="shared" si="13"/>
        <v/>
      </c>
      <c r="AT14" s="1388" t="str">
        <f t="shared" si="14"/>
        <v/>
      </c>
      <c r="AU14" s="1393">
        <f t="shared" si="15"/>
        <v>0</v>
      </c>
      <c r="AV14" s="1388">
        <f t="shared" si="16"/>
        <v>0</v>
      </c>
      <c r="AW14" s="1390" t="str">
        <f t="shared" si="17"/>
        <v/>
      </c>
      <c r="AX14" s="1390" t="str">
        <f t="shared" si="18"/>
        <v/>
      </c>
      <c r="AY14" s="1394" t="str">
        <f t="shared" si="19"/>
        <v/>
      </c>
      <c r="AZ14" s="1395" t="str">
        <f>IF(Table22[[#This Row],[LOQ_label]]="Y",Table22[[#This Row],[MRL individual commodity]],"")</f>
        <v/>
      </c>
      <c r="BA14" s="1449" t="s">
        <v>654</v>
      </c>
      <c r="BB14" s="1405"/>
      <c r="BC14" s="1299"/>
      <c r="BD14" s="1306" t="str">
        <f>IF(Table22[[#This Row],[Chronic RA label]]="","N",IF(Table22[[#This Row],[Chronic RA label]]="LOQ","N",IF(Table22[[#This Row],[Chronic RA label]]="MRL","N","Y")))</f>
        <v>N</v>
      </c>
      <c r="BE14" s="1306" t="str">
        <f>IF(Table22[[#This Row],[Acute RA label]]="","N",IF(Table22[[#This Row],[Acute RA label]]="LOQ","N",IF(Table22[[#This Row],[Acute RA label]]="MRL","N","Y")))</f>
        <v>N</v>
      </c>
      <c r="BF14" s="1306" t="str">
        <f>IF(OR(Table22[[#This Row],[include commodity in Summary_input_values_chronic]]="Y",Table22[[#This Row],[include commodity in Summary_input_values_acute]]="Y"),"Y","N")</f>
        <v>N</v>
      </c>
      <c r="BG14" s="1401" t="s">
        <v>878</v>
      </c>
      <c r="BH14" s="1324"/>
    </row>
    <row r="15" spans="1:60" ht="12.75" customHeight="1" outlineLevel="3" thickBot="1" x14ac:dyDescent="0.25">
      <c r="A15" s="39">
        <v>4</v>
      </c>
      <c r="B15" s="327">
        <v>110020</v>
      </c>
      <c r="C15" s="23" t="s">
        <v>2</v>
      </c>
      <c r="D15" s="867"/>
      <c r="E15" s="1219"/>
      <c r="F15" s="867"/>
      <c r="G15" s="869"/>
      <c r="H15" s="868"/>
      <c r="I15" s="868"/>
      <c r="J15" s="870"/>
      <c r="K15" s="871"/>
      <c r="L15" s="872"/>
      <c r="M15" s="872"/>
      <c r="N15" s="925" t="str">
        <f>IF(O15&lt;&gt;0,CONCATENATE(input_values!$AF15,input_values!$AG15,input_values!$AH15),"")</f>
        <v/>
      </c>
      <c r="O15" s="491">
        <f>IF($A$10="Refined calculation mode",Table22[[#This Row],[input for chronic (refined mode]],Table22[[#This Row],[input for chronic normal mode]])</f>
        <v>0</v>
      </c>
      <c r="P15" s="925" t="str">
        <f>IF(Q15&lt;&gt;0,CONCATENATE(input_values!$AN15,input_values!$AO15,input_values!$AP15),"")</f>
        <v/>
      </c>
      <c r="Q15" s="491">
        <f>IF($V$5=0,0,IF(OR($A$10="Refined calculation mode",Results!$B$62="Show results of IESTI calculation only for crops with GAPs under assessment"),Table22[[#This Row],[Input for IESTI (refined mode)]],Table22[[#This Row],[Input for IESTI normal mode]]))</f>
        <v>0</v>
      </c>
      <c r="R15" s="926" t="str">
        <f>IF(S15&lt;&gt;0,CONCATENATE(input_values!$AW15,input_values!$AX15,input_values!$AY15),"")</f>
        <v/>
      </c>
      <c r="S15" s="492">
        <f>IF($V$5=0,0,IF(OR($A$10="Refined calculation mode",Results!$B$62="Show results of IESTI calculation only for crops with GAPs under assessment"),Table22[[#This Row],[Input for IESTI new (refined mode)]],Table22[[#This Row],[Input for IESTI new normal mode]]))</f>
        <v>0</v>
      </c>
      <c r="T15" s="886"/>
      <c r="U15" s="1408">
        <f>Table22[[#This Row],[MRL/ proposed MRL /CXL
(mg/kg)]]</f>
        <v>0</v>
      </c>
      <c r="V15" s="1409" t="str">
        <f>IF(ISBLANK(F15),"","Y")</f>
        <v/>
      </c>
      <c r="W15" s="1387">
        <f t="shared" si="20"/>
        <v>1</v>
      </c>
      <c r="X15" s="1387">
        <f t="shared" si="21"/>
        <v>1</v>
      </c>
      <c r="Y15" s="1387">
        <f t="shared" si="22"/>
        <v>1</v>
      </c>
      <c r="Z15" s="1410">
        <v>4</v>
      </c>
      <c r="AA15" s="1387">
        <f t="shared" si="0"/>
        <v>0</v>
      </c>
      <c r="AB15" s="1387">
        <f>IF(Z15=A15,IF(AND(L15="N",Table22[[#This Row],[LOQ_label]]="Y"),AA15,$AA15*$Y15),"")</f>
        <v>0</v>
      </c>
      <c r="AC15" s="1393">
        <f t="shared" si="1"/>
        <v>0</v>
      </c>
      <c r="AD15" s="1393">
        <f>IF(Table22[[#This Row],[Median residue*CF*PeF]]&lt;&gt;"",Table22[[#This Row],[Median residue*CF*PeF]],Table22[[#This Row],[MRL*CF*PeF (chronic)]])</f>
        <v>0</v>
      </c>
      <c r="AE15" s="1393">
        <f t="shared" si="2"/>
        <v>0</v>
      </c>
      <c r="AF15" s="1390" t="str">
        <f t="shared" si="3"/>
        <v>MRL</v>
      </c>
      <c r="AG15" s="1390" t="str">
        <f t="shared" si="4"/>
        <v/>
      </c>
      <c r="AH15" s="1394" t="str">
        <f t="shared" si="5"/>
        <v/>
      </c>
      <c r="AI15" s="1386">
        <v>4</v>
      </c>
      <c r="AJ15" s="1387">
        <f t="shared" si="6"/>
        <v>0</v>
      </c>
      <c r="AK15" s="1387">
        <f>IF(AI15=A15,IF(AND(L15="N",Table22[[#This Row],[LOQ_label]]="Y"),AJ15,$AJ15*$Y15),"")</f>
        <v>0</v>
      </c>
      <c r="AL15" s="1388">
        <f t="shared" si="7"/>
        <v>0</v>
      </c>
      <c r="AM15" s="1393">
        <f>IF(Table22[[#This Row],[Highest residue * CF*PF]]&lt;&gt;"",Table22[[#This Row],[Highest residue * CF*PF]],Table22[[#This Row],[MRL*CF*PF or MRL (if LOQ and not authorised) (acute RA)]])</f>
        <v>0</v>
      </c>
      <c r="AN15" s="1390" t="str">
        <f t="shared" si="8"/>
        <v>MRL</v>
      </c>
      <c r="AO15" s="1390" t="str">
        <f t="shared" si="9"/>
        <v/>
      </c>
      <c r="AP15" s="1404" t="str">
        <f t="shared" si="10"/>
        <v/>
      </c>
      <c r="AQ15" s="1388">
        <f t="shared" si="11"/>
        <v>0</v>
      </c>
      <c r="AR15" s="1388" t="str">
        <f t="shared" si="12"/>
        <v/>
      </c>
      <c r="AS15" s="1388" t="str">
        <f t="shared" si="13"/>
        <v/>
      </c>
      <c r="AT15" s="1388" t="str">
        <f t="shared" si="14"/>
        <v/>
      </c>
      <c r="AU15" s="1393">
        <f t="shared" si="15"/>
        <v>0</v>
      </c>
      <c r="AV15" s="1388">
        <f t="shared" si="16"/>
        <v>0</v>
      </c>
      <c r="AW15" s="1390" t="str">
        <f t="shared" si="17"/>
        <v/>
      </c>
      <c r="AX15" s="1390" t="str">
        <f t="shared" si="18"/>
        <v/>
      </c>
      <c r="AY15" s="1394" t="str">
        <f t="shared" si="19"/>
        <v/>
      </c>
      <c r="AZ15" s="1395" t="str">
        <f>IF(Table22[[#This Row],[LOQ_label]]="Y",Table22[[#This Row],[MRL individual commodity]],"")</f>
        <v/>
      </c>
      <c r="BA15" s="1449" t="s">
        <v>654</v>
      </c>
      <c r="BB15" s="1411" t="str">
        <f>IF(Table22[[#This Row],[LOQ2]]&lt;0,MIN(AZ15:AZ393),"")</f>
        <v/>
      </c>
      <c r="BC15" s="1299"/>
      <c r="BD15" s="1306" t="str">
        <f>IF(Table22[[#This Row],[Chronic RA label]]="","N",IF(Table22[[#This Row],[Chronic RA label]]="LOQ","N",IF(Table22[[#This Row],[Chronic RA label]]="MRL","N","Y")))</f>
        <v>N</v>
      </c>
      <c r="BE15" s="1306" t="str">
        <f>IF(Table22[[#This Row],[Acute RA label]]="","N",IF(Table22[[#This Row],[Acute RA label]]="LOQ","N",IF(Table22[[#This Row],[Acute RA label]]="MRL","N","Y")))</f>
        <v>N</v>
      </c>
      <c r="BF15" s="1306" t="str">
        <f>IF(OR(Table22[[#This Row],[include commodity in Summary_input_values_chronic]]="Y",Table22[[#This Row],[include commodity in Summary_input_values_acute]]="Y"),"Y","N")</f>
        <v>N</v>
      </c>
      <c r="BG15" s="1407" t="s">
        <v>674</v>
      </c>
      <c r="BH15" s="1324"/>
    </row>
    <row r="16" spans="1:60" ht="12.75" customHeight="1" outlineLevel="3" thickBot="1" x14ac:dyDescent="0.25">
      <c r="A16" s="39">
        <v>4</v>
      </c>
      <c r="B16" s="327">
        <v>110030</v>
      </c>
      <c r="C16" s="23" t="s">
        <v>3</v>
      </c>
      <c r="D16" s="867"/>
      <c r="E16" s="1219"/>
      <c r="F16" s="867"/>
      <c r="G16" s="869"/>
      <c r="H16" s="868"/>
      <c r="I16" s="868"/>
      <c r="J16" s="870"/>
      <c r="K16" s="871"/>
      <c r="L16" s="872"/>
      <c r="M16" s="872"/>
      <c r="N16" s="925" t="str">
        <f>IF(O16&lt;&gt;0,CONCATENATE(input_values!$AF16,input_values!$AG16,input_values!$AH16),"")</f>
        <v/>
      </c>
      <c r="O16" s="491">
        <f>IF($A$10="Refined calculation mode",Table22[[#This Row],[input for chronic (refined mode]],Table22[[#This Row],[input for chronic normal mode]])</f>
        <v>0</v>
      </c>
      <c r="P16" s="925" t="str">
        <f>IF(Q16&lt;&gt;0,CONCATENATE(input_values!$AN16,input_values!$AO16,input_values!$AP16),"")</f>
        <v/>
      </c>
      <c r="Q16" s="491">
        <f>IF($V$5=0,0,IF(OR($A$10="Refined calculation mode",Results!$B$62="Show results of IESTI calculation only for crops with GAPs under assessment"),Table22[[#This Row],[Input for IESTI (refined mode)]],Table22[[#This Row],[Input for IESTI normal mode]]))</f>
        <v>0</v>
      </c>
      <c r="R16" s="926" t="str">
        <f>IF(S16&lt;&gt;0,CONCATENATE(input_values!$AW16,input_values!$AX16,input_values!$AY16),"")</f>
        <v/>
      </c>
      <c r="S16" s="492">
        <f>IF($V$5=0,0,IF(OR($A$10="Refined calculation mode",Results!$B$62="Show results of IESTI calculation only for crops with GAPs under assessment"),Table22[[#This Row],[Input for IESTI new (refined mode)]],Table22[[#This Row],[Input for IESTI new normal mode]]))</f>
        <v>0</v>
      </c>
      <c r="T16" s="886"/>
      <c r="U16" s="1408">
        <f>Table22[[#This Row],[MRL/ proposed MRL /CXL
(mg/kg)]]</f>
        <v>0</v>
      </c>
      <c r="V16" s="1409" t="str">
        <f>IF(ISBLANK(F16),"","Y")</f>
        <v/>
      </c>
      <c r="W16" s="1387">
        <f t="shared" si="20"/>
        <v>1</v>
      </c>
      <c r="X16" s="1387">
        <f t="shared" si="21"/>
        <v>1</v>
      </c>
      <c r="Y16" s="1387">
        <f t="shared" si="22"/>
        <v>1</v>
      </c>
      <c r="Z16" s="1410">
        <v>4</v>
      </c>
      <c r="AA16" s="1387">
        <f t="shared" si="0"/>
        <v>0</v>
      </c>
      <c r="AB16" s="1387">
        <f>IF(Z16=A16,IF(AND(L16="N",Table22[[#This Row],[LOQ_label]]="Y"),AA16,$AA16*$Y16),"")</f>
        <v>0</v>
      </c>
      <c r="AC16" s="1393">
        <f t="shared" si="1"/>
        <v>0</v>
      </c>
      <c r="AD16" s="1393">
        <f>IF(Table22[[#This Row],[Median residue*CF*PeF]]&lt;&gt;"",Table22[[#This Row],[Median residue*CF*PeF]],Table22[[#This Row],[MRL*CF*PeF (chronic)]])</f>
        <v>0</v>
      </c>
      <c r="AE16" s="1393">
        <f t="shared" si="2"/>
        <v>0</v>
      </c>
      <c r="AF16" s="1390" t="str">
        <f t="shared" si="3"/>
        <v>MRL</v>
      </c>
      <c r="AG16" s="1390" t="str">
        <f t="shared" si="4"/>
        <v/>
      </c>
      <c r="AH16" s="1394" t="str">
        <f t="shared" si="5"/>
        <v/>
      </c>
      <c r="AI16" s="1386">
        <v>4</v>
      </c>
      <c r="AJ16" s="1387">
        <f t="shared" si="6"/>
        <v>0</v>
      </c>
      <c r="AK16" s="1387">
        <f>IF(AI16=A16,IF(AND(L16="N",Table22[[#This Row],[LOQ_label]]="Y"),AJ16,$AJ16*$Y16),"")</f>
        <v>0</v>
      </c>
      <c r="AL16" s="1388">
        <f t="shared" si="7"/>
        <v>0</v>
      </c>
      <c r="AM16" s="1393">
        <f>IF(Table22[[#This Row],[Highest residue * CF*PF]]&lt;&gt;"",Table22[[#This Row],[Highest residue * CF*PF]],Table22[[#This Row],[MRL*CF*PF or MRL (if LOQ and not authorised) (acute RA)]])</f>
        <v>0</v>
      </c>
      <c r="AN16" s="1390" t="str">
        <f t="shared" si="8"/>
        <v>MRL</v>
      </c>
      <c r="AO16" s="1390" t="str">
        <f t="shared" si="9"/>
        <v/>
      </c>
      <c r="AP16" s="1404" t="str">
        <f t="shared" si="10"/>
        <v/>
      </c>
      <c r="AQ16" s="1388">
        <f t="shared" si="11"/>
        <v>0</v>
      </c>
      <c r="AR16" s="1388" t="str">
        <f t="shared" si="12"/>
        <v/>
      </c>
      <c r="AS16" s="1388" t="str">
        <f t="shared" si="13"/>
        <v/>
      </c>
      <c r="AT16" s="1388" t="str">
        <f t="shared" si="14"/>
        <v/>
      </c>
      <c r="AU16" s="1393">
        <f t="shared" si="15"/>
        <v>0</v>
      </c>
      <c r="AV16" s="1388">
        <f t="shared" si="16"/>
        <v>0</v>
      </c>
      <c r="AW16" s="1390" t="str">
        <f t="shared" si="17"/>
        <v/>
      </c>
      <c r="AX16" s="1390" t="str">
        <f t="shared" si="18"/>
        <v/>
      </c>
      <c r="AY16" s="1394" t="str">
        <f t="shared" si="19"/>
        <v/>
      </c>
      <c r="AZ16" s="1395" t="str">
        <f>IF(Table22[[#This Row],[LOQ_label]]="Y",Table22[[#This Row],[MRL individual commodity]],"")</f>
        <v/>
      </c>
      <c r="BA16" s="1449" t="s">
        <v>654</v>
      </c>
      <c r="BB16" s="1411" t="str">
        <f>IF(Table22[[#This Row],[LOQ2]]&lt;0,MIN(AZ16:AZ394),"")</f>
        <v/>
      </c>
      <c r="BC16" s="1299"/>
      <c r="BD16" s="1306" t="str">
        <f>IF(Table22[[#This Row],[Chronic RA label]]="","N",IF(Table22[[#This Row],[Chronic RA label]]="LOQ","N",IF(Table22[[#This Row],[Chronic RA label]]="MRL","N","Y")))</f>
        <v>N</v>
      </c>
      <c r="BE16" s="1306" t="str">
        <f>IF(Table22[[#This Row],[Acute RA label]]="","N",IF(Table22[[#This Row],[Acute RA label]]="LOQ","N",IF(Table22[[#This Row],[Acute RA label]]="MRL","N","Y")))</f>
        <v>N</v>
      </c>
      <c r="BF16" s="1306" t="str">
        <f>IF(OR(Table22[[#This Row],[include commodity in Summary_input_values_chronic]]="Y",Table22[[#This Row],[include commodity in Summary_input_values_acute]]="Y"),"Y","N")</f>
        <v>N</v>
      </c>
      <c r="BG16" s="1412" t="s">
        <v>323</v>
      </c>
      <c r="BH16" s="1324"/>
    </row>
    <row r="17" spans="1:60" ht="12.75" customHeight="1" outlineLevel="3" x14ac:dyDescent="0.2">
      <c r="A17" s="39">
        <v>4</v>
      </c>
      <c r="B17" s="327">
        <v>110040</v>
      </c>
      <c r="C17" s="23" t="s">
        <v>4</v>
      </c>
      <c r="D17" s="867"/>
      <c r="E17" s="1219"/>
      <c r="F17" s="867"/>
      <c r="G17" s="869"/>
      <c r="H17" s="868"/>
      <c r="I17" s="868"/>
      <c r="J17" s="870"/>
      <c r="K17" s="871"/>
      <c r="L17" s="872"/>
      <c r="M17" s="872"/>
      <c r="N17" s="925" t="str">
        <f>IF(O17&lt;&gt;0,CONCATENATE(input_values!$AF17,input_values!$AG17,input_values!$AH17),"")</f>
        <v/>
      </c>
      <c r="O17" s="491">
        <f>IF($A$10="Refined calculation mode",Table22[[#This Row],[input for chronic (refined mode]],Table22[[#This Row],[input for chronic normal mode]])</f>
        <v>0</v>
      </c>
      <c r="P17" s="925" t="str">
        <f>IF(Q17&lt;&gt;0,CONCATENATE(input_values!$AN17,input_values!$AO17,input_values!$AP17),"")</f>
        <v/>
      </c>
      <c r="Q17" s="491">
        <f>IF($V$5=0,0,IF(OR($A$10="Refined calculation mode",Results!$B$62="Show results of IESTI calculation only for crops with GAPs under assessment"),Table22[[#This Row],[Input for IESTI (refined mode)]],Table22[[#This Row],[Input for IESTI normal mode]]))</f>
        <v>0</v>
      </c>
      <c r="R17" s="926" t="str">
        <f>IF(S17&lt;&gt;0,CONCATENATE(input_values!$AW17,input_values!$AX17,input_values!$AY17),"")</f>
        <v/>
      </c>
      <c r="S17" s="492">
        <f>IF($V$5=0,0,IF(OR($A$10="Refined calculation mode",Results!$B$62="Show results of IESTI calculation only for crops with GAPs under assessment"),Table22[[#This Row],[Input for IESTI new (refined mode)]],Table22[[#This Row],[Input for IESTI new normal mode]]))</f>
        <v>0</v>
      </c>
      <c r="T17" s="886"/>
      <c r="U17" s="1408">
        <f>Table22[[#This Row],[MRL/ proposed MRL /CXL
(mg/kg)]]</f>
        <v>0</v>
      </c>
      <c r="V17" s="1409" t="str">
        <f>IF(ISBLANK(F17),"","Y")</f>
        <v/>
      </c>
      <c r="W17" s="1387">
        <f t="shared" si="20"/>
        <v>1</v>
      </c>
      <c r="X17" s="1387">
        <f t="shared" si="21"/>
        <v>1</v>
      </c>
      <c r="Y17" s="1387">
        <f t="shared" si="22"/>
        <v>1</v>
      </c>
      <c r="Z17" s="1410">
        <v>4</v>
      </c>
      <c r="AA17" s="1387">
        <f t="shared" si="0"/>
        <v>0</v>
      </c>
      <c r="AB17" s="1387">
        <f>IF(Z17=A17,IF(AND(L17="N",Table22[[#This Row],[LOQ_label]]="Y"),AA17,$AA17*$Y17),"")</f>
        <v>0</v>
      </c>
      <c r="AC17" s="1393">
        <f t="shared" si="1"/>
        <v>0</v>
      </c>
      <c r="AD17" s="1393">
        <f>IF(Table22[[#This Row],[Median residue*CF*PeF]]&lt;&gt;"",Table22[[#This Row],[Median residue*CF*PeF]],Table22[[#This Row],[MRL*CF*PeF (chronic)]])</f>
        <v>0</v>
      </c>
      <c r="AE17" s="1393">
        <f t="shared" si="2"/>
        <v>0</v>
      </c>
      <c r="AF17" s="1390" t="str">
        <f t="shared" si="3"/>
        <v>MRL</v>
      </c>
      <c r="AG17" s="1390" t="str">
        <f t="shared" si="4"/>
        <v/>
      </c>
      <c r="AH17" s="1394" t="str">
        <f t="shared" si="5"/>
        <v/>
      </c>
      <c r="AI17" s="1386">
        <v>4</v>
      </c>
      <c r="AJ17" s="1387">
        <f t="shared" si="6"/>
        <v>0</v>
      </c>
      <c r="AK17" s="1387">
        <f>IF(AI17=A17,IF(AND(L17="N",Table22[[#This Row],[LOQ_label]]="Y"),AJ17,$AJ17*$Y17),"")</f>
        <v>0</v>
      </c>
      <c r="AL17" s="1388">
        <f t="shared" si="7"/>
        <v>0</v>
      </c>
      <c r="AM17" s="1393">
        <f>IF(Table22[[#This Row],[Highest residue * CF*PF]]&lt;&gt;"",Table22[[#This Row],[Highest residue * CF*PF]],Table22[[#This Row],[MRL*CF*PF or MRL (if LOQ and not authorised) (acute RA)]])</f>
        <v>0</v>
      </c>
      <c r="AN17" s="1390" t="str">
        <f t="shared" si="8"/>
        <v>MRL</v>
      </c>
      <c r="AO17" s="1390" t="str">
        <f t="shared" si="9"/>
        <v/>
      </c>
      <c r="AP17" s="1404" t="str">
        <f t="shared" si="10"/>
        <v/>
      </c>
      <c r="AQ17" s="1388">
        <f t="shared" si="11"/>
        <v>0</v>
      </c>
      <c r="AR17" s="1388" t="str">
        <f t="shared" si="12"/>
        <v/>
      </c>
      <c r="AS17" s="1388" t="str">
        <f t="shared" si="13"/>
        <v/>
      </c>
      <c r="AT17" s="1388" t="str">
        <f t="shared" si="14"/>
        <v/>
      </c>
      <c r="AU17" s="1393">
        <f t="shared" si="15"/>
        <v>0</v>
      </c>
      <c r="AV17" s="1388">
        <f t="shared" si="16"/>
        <v>0</v>
      </c>
      <c r="AW17" s="1390" t="str">
        <f t="shared" si="17"/>
        <v/>
      </c>
      <c r="AX17" s="1390" t="str">
        <f t="shared" si="18"/>
        <v/>
      </c>
      <c r="AY17" s="1394" t="str">
        <f t="shared" si="19"/>
        <v/>
      </c>
      <c r="AZ17" s="1395" t="str">
        <f>IF(Table22[[#This Row],[LOQ_label]]="Y",Table22[[#This Row],[MRL individual commodity]],"")</f>
        <v/>
      </c>
      <c r="BA17" s="1449" t="s">
        <v>654</v>
      </c>
      <c r="BB17" s="1411" t="str">
        <f>IF(Table22[[#This Row],[LOQ2]]&lt;0,MIN(AZ17:AZ395),"")</f>
        <v/>
      </c>
      <c r="BC17" s="1299"/>
      <c r="BD17" s="1306" t="str">
        <f>IF(Table22[[#This Row],[Chronic RA label]]="","N",IF(Table22[[#This Row],[Chronic RA label]]="LOQ","N",IF(Table22[[#This Row],[Chronic RA label]]="MRL","N","Y")))</f>
        <v>N</v>
      </c>
      <c r="BE17" s="1306" t="str">
        <f>IF(Table22[[#This Row],[Acute RA label]]="","N",IF(Table22[[#This Row],[Acute RA label]]="LOQ","N",IF(Table22[[#This Row],[Acute RA label]]="MRL","N","Y")))</f>
        <v>N</v>
      </c>
      <c r="BF17" s="1306" t="str">
        <f>IF(OR(Table22[[#This Row],[include commodity in Summary_input_values_chronic]]="Y",Table22[[#This Row],[include commodity in Summary_input_values_acute]]="Y"),"Y","N")</f>
        <v>N</v>
      </c>
      <c r="BG17" s="1299" t="s">
        <v>674</v>
      </c>
      <c r="BH17" s="1324"/>
    </row>
    <row r="18" spans="1:60" ht="12.75" customHeight="1" outlineLevel="3" x14ac:dyDescent="0.2">
      <c r="A18" s="39">
        <v>4</v>
      </c>
      <c r="B18" s="327">
        <v>110050</v>
      </c>
      <c r="C18" s="23" t="s">
        <v>5</v>
      </c>
      <c r="D18" s="867"/>
      <c r="E18" s="1219"/>
      <c r="F18" s="867"/>
      <c r="G18" s="869"/>
      <c r="H18" s="868"/>
      <c r="I18" s="868"/>
      <c r="J18" s="870"/>
      <c r="K18" s="871"/>
      <c r="L18" s="872"/>
      <c r="M18" s="872"/>
      <c r="N18" s="925" t="str">
        <f>IF(O18&lt;&gt;0,CONCATENATE(input_values!$AF18,input_values!$AG18,input_values!$AH18),"")</f>
        <v/>
      </c>
      <c r="O18" s="491">
        <f>IF($A$10="Refined calculation mode",Table22[[#This Row],[input for chronic (refined mode]],Table22[[#This Row],[input for chronic normal mode]])</f>
        <v>0</v>
      </c>
      <c r="P18" s="925" t="str">
        <f>IF(Q18&lt;&gt;0,CONCATENATE(input_values!$AN18,input_values!$AO18,input_values!$AP18),"")</f>
        <v/>
      </c>
      <c r="Q18" s="491">
        <f>IF($V$5=0,0,IF(OR($A$10="Refined calculation mode",Results!$B$62="Show results of IESTI calculation only for crops with GAPs under assessment"),Table22[[#This Row],[Input for IESTI (refined mode)]],Table22[[#This Row],[Input for IESTI normal mode]]))</f>
        <v>0</v>
      </c>
      <c r="R18" s="926" t="str">
        <f>IF(S18&lt;&gt;0,CONCATENATE(input_values!$AW18,input_values!$AX18,input_values!$AY18),"")</f>
        <v/>
      </c>
      <c r="S18" s="492">
        <f>IF($V$5=0,0,IF(OR($A$10="Refined calculation mode",Results!$B$62="Show results of IESTI calculation only for crops with GAPs under assessment"),Table22[[#This Row],[Input for IESTI new (refined mode)]],Table22[[#This Row],[Input for IESTI new normal mode]]))</f>
        <v>0</v>
      </c>
      <c r="T18" s="886"/>
      <c r="U18" s="1408">
        <f>Table22[[#This Row],[MRL/ proposed MRL /CXL
(mg/kg)]]</f>
        <v>0</v>
      </c>
      <c r="V18" s="1409" t="str">
        <f>IF(ISBLANK(F18),"","Y")</f>
        <v/>
      </c>
      <c r="W18" s="1387">
        <f t="shared" si="20"/>
        <v>1</v>
      </c>
      <c r="X18" s="1387">
        <f t="shared" si="21"/>
        <v>1</v>
      </c>
      <c r="Y18" s="1387">
        <f t="shared" si="22"/>
        <v>1</v>
      </c>
      <c r="Z18" s="1410">
        <v>4</v>
      </c>
      <c r="AA18" s="1387">
        <f t="shared" si="0"/>
        <v>0</v>
      </c>
      <c r="AB18" s="1387">
        <f>IF(Z18=A18,IF(AND(L18="N",Table22[[#This Row],[LOQ_label]]="Y"),AA18,$AA18*$Y18),"")</f>
        <v>0</v>
      </c>
      <c r="AC18" s="1393">
        <f t="shared" si="1"/>
        <v>0</v>
      </c>
      <c r="AD18" s="1393">
        <f>IF(Table22[[#This Row],[Median residue*CF*PeF]]&lt;&gt;"",Table22[[#This Row],[Median residue*CF*PeF]],Table22[[#This Row],[MRL*CF*PeF (chronic)]])</f>
        <v>0</v>
      </c>
      <c r="AE18" s="1393">
        <f t="shared" si="2"/>
        <v>0</v>
      </c>
      <c r="AF18" s="1390" t="str">
        <f t="shared" si="3"/>
        <v>MRL</v>
      </c>
      <c r="AG18" s="1390" t="str">
        <f t="shared" si="4"/>
        <v/>
      </c>
      <c r="AH18" s="1404" t="str">
        <f t="shared" si="5"/>
        <v/>
      </c>
      <c r="AI18" s="1386">
        <v>4</v>
      </c>
      <c r="AJ18" s="1387">
        <f t="shared" si="6"/>
        <v>0</v>
      </c>
      <c r="AK18" s="1387">
        <f>IF(AI18=A18,IF(AND(L18="N",Table22[[#This Row],[LOQ_label]]="Y"),AJ18,$AJ18*$Y18),"")</f>
        <v>0</v>
      </c>
      <c r="AL18" s="1388">
        <f t="shared" si="7"/>
        <v>0</v>
      </c>
      <c r="AM18" s="1393">
        <f>IF(Table22[[#This Row],[Highest residue * CF*PF]]&lt;&gt;"",Table22[[#This Row],[Highest residue * CF*PF]],Table22[[#This Row],[MRL*CF*PF or MRL (if LOQ and not authorised) (acute RA)]])</f>
        <v>0</v>
      </c>
      <c r="AN18" s="1390" t="str">
        <f t="shared" si="8"/>
        <v>MRL</v>
      </c>
      <c r="AO18" s="1390" t="str">
        <f t="shared" si="9"/>
        <v/>
      </c>
      <c r="AP18" s="1404" t="str">
        <f t="shared" si="10"/>
        <v/>
      </c>
      <c r="AQ18" s="1388">
        <f t="shared" si="11"/>
        <v>0</v>
      </c>
      <c r="AR18" s="1388" t="str">
        <f t="shared" si="12"/>
        <v/>
      </c>
      <c r="AS18" s="1388" t="str">
        <f t="shared" si="13"/>
        <v/>
      </c>
      <c r="AT18" s="1388" t="str">
        <f t="shared" si="14"/>
        <v/>
      </c>
      <c r="AU18" s="1393">
        <f t="shared" si="15"/>
        <v>0</v>
      </c>
      <c r="AV18" s="1388">
        <f t="shared" si="16"/>
        <v>0</v>
      </c>
      <c r="AW18" s="1390" t="str">
        <f t="shared" si="17"/>
        <v/>
      </c>
      <c r="AX18" s="1390" t="str">
        <f t="shared" si="18"/>
        <v/>
      </c>
      <c r="AY18" s="1394" t="str">
        <f t="shared" si="19"/>
        <v/>
      </c>
      <c r="AZ18" s="1395" t="str">
        <f>IF(Table22[[#This Row],[LOQ_label]]="Y",Table22[[#This Row],[MRL individual commodity]],"")</f>
        <v/>
      </c>
      <c r="BA18" s="1449" t="s">
        <v>654</v>
      </c>
      <c r="BB18" s="1411" t="str">
        <f>IF(Table22[[#This Row],[LOQ2]]&lt;0,MIN(AZ18:AZ396),"")</f>
        <v/>
      </c>
      <c r="BC18" s="1299"/>
      <c r="BD18" s="1306" t="str">
        <f>IF(Table22[[#This Row],[Chronic RA label]]="","N",IF(Table22[[#This Row],[Chronic RA label]]="LOQ","N",IF(Table22[[#This Row],[Chronic RA label]]="MRL","N","Y")))</f>
        <v>N</v>
      </c>
      <c r="BE18" s="1306" t="str">
        <f>IF(Table22[[#This Row],[Acute RA label]]="","N",IF(Table22[[#This Row],[Acute RA label]]="LOQ","N",IF(Table22[[#This Row],[Acute RA label]]="MRL","N","Y")))</f>
        <v>N</v>
      </c>
      <c r="BF18" s="1306" t="str">
        <f>IF(OR(Table22[[#This Row],[include commodity in Summary_input_values_chronic]]="Y",Table22[[#This Row],[include commodity in Summary_input_values_acute]]="Y"),"Y","N")</f>
        <v>N</v>
      </c>
      <c r="BG18" s="1413" t="s">
        <v>943</v>
      </c>
      <c r="BH18" s="1324"/>
    </row>
    <row r="19" spans="1:60" ht="12.75" customHeight="1" outlineLevel="3" x14ac:dyDescent="0.2">
      <c r="A19" s="39">
        <v>4</v>
      </c>
      <c r="B19" s="327">
        <v>110990</v>
      </c>
      <c r="C19" s="23" t="s">
        <v>47</v>
      </c>
      <c r="D19" s="867"/>
      <c r="E19" s="1219"/>
      <c r="F19" s="867"/>
      <c r="G19" s="869"/>
      <c r="H19" s="868"/>
      <c r="I19" s="868"/>
      <c r="J19" s="870"/>
      <c r="K19" s="865"/>
      <c r="L19" s="872"/>
      <c r="M19" s="872"/>
      <c r="N19" s="925" t="str">
        <f>IF(O19&lt;&gt;0,CONCATENATE(input_values!$AF19,input_values!$AG19,input_values!$AH19),"")</f>
        <v/>
      </c>
      <c r="O19" s="491">
        <f>IF($A$10="Refined calculation mode",Table22[[#This Row],[input for chronic (refined mode]],Table22[[#This Row],[input for chronic normal mode]])</f>
        <v>0</v>
      </c>
      <c r="P19" s="473"/>
      <c r="Q19" s="474"/>
      <c r="R19" s="473"/>
      <c r="S19" s="474"/>
      <c r="T19" s="886"/>
      <c r="U19" s="1408">
        <f>Table22[[#This Row],[MRL/ proposed MRL /CXL
(mg/kg)]]</f>
        <v>0</v>
      </c>
      <c r="V19" s="1409" t="str">
        <f>IF(ISBLANK(F19),"","Y")</f>
        <v/>
      </c>
      <c r="W19" s="1387">
        <f t="shared" si="20"/>
        <v>1</v>
      </c>
      <c r="X19" s="1387">
        <f t="shared" si="21"/>
        <v>1</v>
      </c>
      <c r="Y19" s="1387">
        <f t="shared" si="22"/>
        <v>1</v>
      </c>
      <c r="Z19" s="1410">
        <v>4</v>
      </c>
      <c r="AA19" s="1387">
        <f t="shared" si="0"/>
        <v>0</v>
      </c>
      <c r="AB19" s="1387">
        <f>IF(Z19=A19,IF(AND(L19="N",Table22[[#This Row],[LOQ_label]]="Y"),AA19,$AA19*$Y19),"")</f>
        <v>0</v>
      </c>
      <c r="AC19" s="1393">
        <f t="shared" si="1"/>
        <v>0</v>
      </c>
      <c r="AD19" s="1393">
        <f>IF(Table22[[#This Row],[Median residue*CF*PeF]]&lt;&gt;"",Table22[[#This Row],[Median residue*CF*PeF]],Table22[[#This Row],[MRL*CF*PeF (chronic)]])</f>
        <v>0</v>
      </c>
      <c r="AE19" s="1393">
        <f t="shared" si="2"/>
        <v>0</v>
      </c>
      <c r="AF19" s="1390" t="str">
        <f t="shared" si="3"/>
        <v>MRL</v>
      </c>
      <c r="AG19" s="1390" t="str">
        <f t="shared" si="4"/>
        <v/>
      </c>
      <c r="AH19" s="1394" t="str">
        <f t="shared" si="5"/>
        <v/>
      </c>
      <c r="AI19" s="1386"/>
      <c r="AJ19" s="1387" t="str">
        <f t="shared" si="6"/>
        <v/>
      </c>
      <c r="AK19" s="1387" t="str">
        <f>IF(AI19=A19,IF(AND(L19="N",Table22[[#This Row],[LOQ_label]]="Y"),AJ19,$AJ19*$Y19),"")</f>
        <v/>
      </c>
      <c r="AL19" s="1388" t="str">
        <f t="shared" si="7"/>
        <v/>
      </c>
      <c r="AM19" s="1393" t="str">
        <f>IF(Table22[[#This Row],[Highest residue * CF*PF]]&lt;&gt;"",Table22[[#This Row],[Highest residue * CF*PF]],Table22[[#This Row],[MRL*CF*PF or MRL (if LOQ and not authorised) (acute RA)]])</f>
        <v/>
      </c>
      <c r="AN19" s="1390" t="str">
        <f t="shared" si="8"/>
        <v/>
      </c>
      <c r="AO19" s="1390" t="str">
        <f t="shared" si="9"/>
        <v/>
      </c>
      <c r="AP19" s="1404" t="str">
        <f t="shared" si="10"/>
        <v/>
      </c>
      <c r="AQ19" s="1388">
        <f t="shared" si="11"/>
        <v>0</v>
      </c>
      <c r="AR19" s="1388" t="str">
        <f t="shared" si="12"/>
        <v/>
      </c>
      <c r="AS19" s="1388" t="str">
        <f t="shared" si="13"/>
        <v/>
      </c>
      <c r="AT19" s="1388" t="str">
        <f t="shared" si="14"/>
        <v/>
      </c>
      <c r="AU19" s="1393" t="str">
        <f t="shared" si="15"/>
        <v/>
      </c>
      <c r="AV19" s="1388">
        <f t="shared" si="16"/>
        <v>0</v>
      </c>
      <c r="AW19" s="1390" t="str">
        <f t="shared" si="17"/>
        <v/>
      </c>
      <c r="AX19" s="1390" t="str">
        <f>IF(AND(AN19&lt;&gt;"",AY19&lt;&gt;""),"*","")</f>
        <v/>
      </c>
      <c r="AY19" s="1394" t="str">
        <f t="shared" si="19"/>
        <v/>
      </c>
      <c r="AZ19" s="1395" t="str">
        <f>IF(Table22[[#This Row],[LOQ_label]]="Y",Table22[[#This Row],[MRL individual commodity]],"")</f>
        <v/>
      </c>
      <c r="BA19" s="1396" t="s">
        <v>1159</v>
      </c>
      <c r="BB19" s="1411" t="str">
        <f>IF(Table22[[#This Row],[LOQ2]]&lt;0,MIN(AZ19:AZ397),"")</f>
        <v/>
      </c>
      <c r="BC19" s="1299"/>
      <c r="BD19" s="1306" t="str">
        <f>IF(Table22[[#This Row],[Chronic RA label]]="","N",IF(Table22[[#This Row],[Chronic RA label]]="LOQ","N",IF(Table22[[#This Row],[Chronic RA label]]="MRL","N","Y")))</f>
        <v>N</v>
      </c>
      <c r="BE19" s="1306" t="str">
        <f>IF(Table22[[#This Row],[Acute RA label]]="","N",IF(Table22[[#This Row],[Acute RA label]]="LOQ","N",IF(Table22[[#This Row],[Acute RA label]]="MRL","N","Y")))</f>
        <v>N</v>
      </c>
      <c r="BF19" s="1306" t="str">
        <f>IF(OR(Table22[[#This Row],[include commodity in Summary_input_values_chronic]]="Y",Table22[[#This Row],[include commodity in Summary_input_values_acute]]="Y"),"Y","N")</f>
        <v>N</v>
      </c>
      <c r="BG19" s="1414" t="s">
        <v>369</v>
      </c>
      <c r="BH19" s="1324"/>
    </row>
    <row r="20" spans="1:60" ht="12.75" customHeight="1" outlineLevel="1" x14ac:dyDescent="0.2">
      <c r="A20" s="130">
        <v>2</v>
      </c>
      <c r="B20" s="447">
        <v>120000</v>
      </c>
      <c r="C20" s="131" t="s">
        <v>352</v>
      </c>
      <c r="D20" s="862"/>
      <c r="E20" s="1218"/>
      <c r="F20" s="862"/>
      <c r="G20" s="866"/>
      <c r="H20" s="863"/>
      <c r="I20" s="863"/>
      <c r="J20" s="864"/>
      <c r="K20" s="865"/>
      <c r="L20" s="471"/>
      <c r="M20" s="471"/>
      <c r="N20" s="473"/>
      <c r="O20" s="474"/>
      <c r="P20" s="473"/>
      <c r="Q20" s="474"/>
      <c r="R20" s="473"/>
      <c r="S20" s="474"/>
      <c r="T20" s="886"/>
      <c r="U20" s="1415"/>
      <c r="V20" s="1380"/>
      <c r="W20" s="1381"/>
      <c r="X20" s="1381"/>
      <c r="Y20" s="1381"/>
      <c r="Z20" s="1382">
        <v>4</v>
      </c>
      <c r="AA20" s="1381" t="str">
        <f t="shared" si="0"/>
        <v/>
      </c>
      <c r="AB20" s="1381" t="str">
        <f>IF(Z20=A20,IF(AND(L20="N",Table22[[#This Row],[LOQ_label]]="Y"),AA20,$AA20*$Y20),"")</f>
        <v/>
      </c>
      <c r="AC20" s="1383" t="str">
        <f t="shared" si="1"/>
        <v/>
      </c>
      <c r="AD20" s="1383" t="str">
        <f>IF(Table22[[#This Row],[Median residue*CF*PeF]]&lt;&gt;"",Table22[[#This Row],[Median residue*CF*PeF]],Table22[[#This Row],[MRL*CF*PeF (chronic)]])</f>
        <v/>
      </c>
      <c r="AE20" s="1384">
        <f t="shared" si="2"/>
        <v>0</v>
      </c>
      <c r="AF20" s="1385" t="str">
        <f t="shared" si="3"/>
        <v/>
      </c>
      <c r="AG20" s="1385" t="str">
        <f t="shared" si="4"/>
        <v/>
      </c>
      <c r="AH20" s="1270" t="str">
        <f t="shared" si="5"/>
        <v/>
      </c>
      <c r="AI20" s="1386">
        <v>4</v>
      </c>
      <c r="AJ20" s="1387" t="str">
        <f t="shared" si="6"/>
        <v/>
      </c>
      <c r="AK20" s="1387" t="str">
        <f>IF(AI20=A20,IF(AND(L20="N",Table22[[#This Row],[LOQ_label]]="Y"),AJ20,$AJ20*$Y20),"")</f>
        <v/>
      </c>
      <c r="AL20" s="1388" t="str">
        <f t="shared" si="7"/>
        <v/>
      </c>
      <c r="AM20" s="1393" t="str">
        <f>IF(Table22[[#This Row],[Highest residue * CF*PF]]&lt;&gt;"",Table22[[#This Row],[Highest residue * CF*PF]],Table22[[#This Row],[MRL*CF*PF or MRL (if LOQ and not authorised) (acute RA)]])</f>
        <v/>
      </c>
      <c r="AN20" s="1390" t="str">
        <f t="shared" si="8"/>
        <v/>
      </c>
      <c r="AO20" s="1390" t="str">
        <f t="shared" si="9"/>
        <v/>
      </c>
      <c r="AP20" s="1404" t="str">
        <f t="shared" si="10"/>
        <v/>
      </c>
      <c r="AQ20" s="1388">
        <f t="shared" si="11"/>
        <v>0</v>
      </c>
      <c r="AR20" s="1388" t="str">
        <f t="shared" si="12"/>
        <v/>
      </c>
      <c r="AS20" s="1388" t="str">
        <f t="shared" si="13"/>
        <v/>
      </c>
      <c r="AT20" s="1388" t="str">
        <f t="shared" si="14"/>
        <v/>
      </c>
      <c r="AU20" s="1393" t="str">
        <f t="shared" si="15"/>
        <v/>
      </c>
      <c r="AV20" s="1388">
        <f t="shared" si="16"/>
        <v>0</v>
      </c>
      <c r="AW20" s="1390" t="str">
        <f t="shared" si="17"/>
        <v/>
      </c>
      <c r="AX20" s="1390" t="str">
        <f>IF(AND(AN20&lt;&gt;"",AY20&lt;&gt;""),"*","")</f>
        <v/>
      </c>
      <c r="AY20" s="1394" t="str">
        <f t="shared" si="19"/>
        <v/>
      </c>
      <c r="AZ20" s="1395">
        <f>IF(Table22[[#This Row],[LOQ_label]]="Y",Table22[[#This Row],[MRL individual commodity]],"")</f>
        <v>0</v>
      </c>
      <c r="BA20" s="1396" t="s">
        <v>1159</v>
      </c>
      <c r="BB20" s="1411" t="str">
        <f>IF(Table22[[#This Row],[LOQ2]]&lt;0,MIN(AZ20:AZ398),"")</f>
        <v/>
      </c>
      <c r="BC20" s="1299"/>
      <c r="BD20" s="1306" t="str">
        <f>IF(Table22[[#This Row],[Chronic RA label]]="","N",IF(Table22[[#This Row],[Chronic RA label]]="LOQ","N",IF(Table22[[#This Row],[Chronic RA label]]="MRL","N","Y")))</f>
        <v>N</v>
      </c>
      <c r="BE20" s="1306" t="str">
        <f>IF(Table22[[#This Row],[Acute RA label]]="","N",IF(Table22[[#This Row],[Acute RA label]]="LOQ","N",IF(Table22[[#This Row],[Acute RA label]]="MRL","N","Y")))</f>
        <v>N</v>
      </c>
      <c r="BF20" s="1306" t="str">
        <f>IF(OR(Table22[[#This Row],[include commodity in Summary_input_values_chronic]]="Y",Table22[[#This Row],[include commodity in Summary_input_values_acute]]="Y"),"Y","N")</f>
        <v>N</v>
      </c>
      <c r="BG20" s="1416" t="s">
        <v>964</v>
      </c>
      <c r="BH20" s="1324"/>
    </row>
    <row r="21" spans="1:60" ht="12.75" customHeight="1" outlineLevel="3" x14ac:dyDescent="0.2">
      <c r="A21" s="39">
        <v>4</v>
      </c>
      <c r="B21" s="327">
        <v>120010</v>
      </c>
      <c r="C21" s="23" t="s">
        <v>6</v>
      </c>
      <c r="D21" s="867"/>
      <c r="E21" s="1219"/>
      <c r="F21" s="867"/>
      <c r="G21" s="869"/>
      <c r="H21" s="863"/>
      <c r="I21" s="868"/>
      <c r="J21" s="870"/>
      <c r="K21" s="865"/>
      <c r="L21" s="872"/>
      <c r="M21" s="872"/>
      <c r="N21" s="925" t="str">
        <f>IF(O21&lt;&gt;0,CONCATENATE(input_values!$AF21,input_values!$AG21,input_values!$AH21),"")</f>
        <v/>
      </c>
      <c r="O21" s="491">
        <f>IF($A$10="Refined calculation mode",Table22[[#This Row],[input for chronic (refined mode]],Table22[[#This Row],[input for chronic normal mode]])</f>
        <v>0</v>
      </c>
      <c r="P21" s="925" t="str">
        <f>IF(Q21&lt;&gt;0,CONCATENATE(input_values!$AN21,input_values!$AO21,input_values!$AP21),"")</f>
        <v/>
      </c>
      <c r="Q21" s="491">
        <f>IF($V$5=0,0,IF(OR($A$10="Refined calculation mode",Results!$B$62="Show results of IESTI calculation only for crops with GAPs under assessment"),Table22[[#This Row],[Input for IESTI (refined mode)]],Table22[[#This Row],[Input for IESTI normal mode]]))</f>
        <v>0</v>
      </c>
      <c r="R21" s="926" t="str">
        <f>IF(S21&lt;&gt;0,CONCATENATE(input_values!$AW21,input_values!$AX21,input_values!$AY21),"")</f>
        <v/>
      </c>
      <c r="S21" s="492">
        <f>IF($V$5=0,0,IF(OR($A$10="Refined calculation mode",Results!$B$62="Show results of IESTI calculation only for crops with GAPs under assessment"),Table22[[#This Row],[Input for IESTI new (refined mode)]],Table22[[#This Row],[Input for IESTI new normal mode]]))</f>
        <v>0</v>
      </c>
      <c r="T21" s="886"/>
      <c r="U21" s="1408">
        <f>Table22[[#This Row],[MRL/ proposed MRL /CXL
(mg/kg)]]</f>
        <v>0</v>
      </c>
      <c r="V21" s="1409" t="str">
        <f t="shared" ref="V21:V32" si="23">IF(ISBLANK(F21),"","Y")</f>
        <v/>
      </c>
      <c r="W21" s="1387">
        <f t="shared" ref="W21:W32" si="24">IF($G21&gt;0,$G21,1)</f>
        <v>1</v>
      </c>
      <c r="X21" s="1387">
        <f t="shared" ref="X21:X32" si="25">IF($H21&gt;0,$H21,1)</f>
        <v>1</v>
      </c>
      <c r="Y21" s="1387">
        <f t="shared" ref="Y21:Y32" si="26">W21*X21</f>
        <v>1</v>
      </c>
      <c r="Z21" s="1410">
        <v>4</v>
      </c>
      <c r="AA21" s="1387">
        <f t="shared" si="0"/>
        <v>0</v>
      </c>
      <c r="AB21" s="1387">
        <f>IF(Z21=A21,IF(AND(L21="N",Table22[[#This Row],[LOQ_label]]="Y"),AA21,$AA21*$Y21),"")</f>
        <v>0</v>
      </c>
      <c r="AC21" s="1393">
        <f t="shared" si="1"/>
        <v>0</v>
      </c>
      <c r="AD21" s="1393">
        <f>IF(Table22[[#This Row],[Median residue*CF*PeF]]&lt;&gt;"",Table22[[#This Row],[Median residue*CF*PeF]],Table22[[#This Row],[MRL*CF*PeF (chronic)]])</f>
        <v>0</v>
      </c>
      <c r="AE21" s="1393">
        <f t="shared" si="2"/>
        <v>0</v>
      </c>
      <c r="AF21" s="1390" t="str">
        <f t="shared" si="3"/>
        <v>MRL</v>
      </c>
      <c r="AG21" s="1390" t="str">
        <f t="shared" si="4"/>
        <v/>
      </c>
      <c r="AH21" s="1394" t="str">
        <f t="shared" si="5"/>
        <v/>
      </c>
      <c r="AI21" s="1386">
        <v>4</v>
      </c>
      <c r="AJ21" s="1387">
        <f t="shared" si="6"/>
        <v>0</v>
      </c>
      <c r="AK21" s="1387">
        <f>IF(AI21=A21,IF(AND(L21="N",Table22[[#This Row],[LOQ_label]]="Y"),AJ21,$AJ21*$Y21),"")</f>
        <v>0</v>
      </c>
      <c r="AL21" s="1388">
        <f t="shared" si="7"/>
        <v>0</v>
      </c>
      <c r="AM21" s="1393">
        <f>IF(Table22[[#This Row],[Highest residue * CF*PF]]&lt;&gt;"",Table22[[#This Row],[Highest residue * CF*PF]],Table22[[#This Row],[MRL*CF*PF or MRL (if LOQ and not authorised) (acute RA)]])</f>
        <v>0</v>
      </c>
      <c r="AN21" s="1390" t="str">
        <f t="shared" si="8"/>
        <v>MRL</v>
      </c>
      <c r="AO21" s="1390" t="str">
        <f t="shared" si="9"/>
        <v/>
      </c>
      <c r="AP21" s="1404" t="str">
        <f t="shared" si="10"/>
        <v/>
      </c>
      <c r="AQ21" s="1388">
        <f t="shared" si="11"/>
        <v>0</v>
      </c>
      <c r="AR21" s="1388" t="str">
        <f t="shared" si="12"/>
        <v/>
      </c>
      <c r="AS21" s="1388" t="str">
        <f t="shared" si="13"/>
        <v/>
      </c>
      <c r="AT21" s="1388" t="str">
        <f t="shared" si="14"/>
        <v/>
      </c>
      <c r="AU21" s="1393">
        <f t="shared" si="15"/>
        <v>0</v>
      </c>
      <c r="AV21" s="1388">
        <f t="shared" si="16"/>
        <v>0</v>
      </c>
      <c r="AW21" s="1390" t="str">
        <f t="shared" si="17"/>
        <v/>
      </c>
      <c r="AX21" s="1390" t="str">
        <f t="shared" ref="AX21:AX31" si="27">IF(AND(AW21&lt;&gt;"",AY21&lt;&gt;""),"*","")</f>
        <v/>
      </c>
      <c r="AY21" s="1394" t="str">
        <f t="shared" si="19"/>
        <v/>
      </c>
      <c r="AZ21" s="1395" t="str">
        <f>IF(Table22[[#This Row],[LOQ_label]]="Y",Table22[[#This Row],[MRL individual commodity]],"")</f>
        <v/>
      </c>
      <c r="BA21" s="1396" t="s">
        <v>1038</v>
      </c>
      <c r="BB21" s="1411" t="str">
        <f>IF(Table22[[#This Row],[LOQ2]]&lt;0,MIN(AZ21:AZ399),"")</f>
        <v/>
      </c>
      <c r="BC21" s="1299"/>
      <c r="BD21" s="1306" t="str">
        <f>IF(Table22[[#This Row],[Chronic RA label]]="","N",IF(Table22[[#This Row],[Chronic RA label]]="LOQ","N",IF(Table22[[#This Row],[Chronic RA label]]="MRL","N","Y")))</f>
        <v>N</v>
      </c>
      <c r="BE21" s="1306" t="str">
        <f>IF(Table22[[#This Row],[Acute RA label]]="","N",IF(Table22[[#This Row],[Acute RA label]]="LOQ","N",IF(Table22[[#This Row],[Acute RA label]]="MRL","N","Y")))</f>
        <v>N</v>
      </c>
      <c r="BF21" s="1306" t="str">
        <f>IF(OR(Table22[[#This Row],[include commodity in Summary_input_values_chronic]]="Y",Table22[[#This Row],[include commodity in Summary_input_values_acute]]="Y"),"Y","N")</f>
        <v>N</v>
      </c>
      <c r="BG21" s="1417"/>
      <c r="BH21" s="1324"/>
    </row>
    <row r="22" spans="1:60" ht="12.75" customHeight="1" outlineLevel="3" x14ac:dyDescent="0.2">
      <c r="A22" s="39">
        <v>4</v>
      </c>
      <c r="B22" s="327">
        <v>120020</v>
      </c>
      <c r="C22" s="23" t="s">
        <v>7</v>
      </c>
      <c r="D22" s="867"/>
      <c r="E22" s="1219"/>
      <c r="F22" s="867"/>
      <c r="G22" s="869"/>
      <c r="H22" s="863"/>
      <c r="I22" s="868"/>
      <c r="J22" s="870"/>
      <c r="K22" s="865"/>
      <c r="L22" s="872"/>
      <c r="M22" s="872"/>
      <c r="N22" s="925" t="str">
        <f>IF(O22&lt;&gt;0,CONCATENATE(input_values!$AF22,input_values!$AG22,input_values!$AH22),"")</f>
        <v/>
      </c>
      <c r="O22" s="491">
        <f>IF($A$10="Refined calculation mode",Table22[[#This Row],[input for chronic (refined mode]],Table22[[#This Row],[input for chronic normal mode]])</f>
        <v>0</v>
      </c>
      <c r="P22" s="925" t="str">
        <f>IF(Q22&lt;&gt;0,CONCATENATE(input_values!$AN22,input_values!$AO22,input_values!$AP22),"")</f>
        <v/>
      </c>
      <c r="Q22" s="491">
        <f>IF($V$5=0,0,IF(OR($A$10="Refined calculation mode",Results!$B$62="Show results of IESTI calculation only for crops with GAPs under assessment"),Table22[[#This Row],[Input for IESTI (refined mode)]],Table22[[#This Row],[Input for IESTI normal mode]]))</f>
        <v>0</v>
      </c>
      <c r="R22" s="926" t="str">
        <f>IF(S22&lt;&gt;0,CONCATENATE(input_values!$AW22,input_values!$AX22,input_values!$AY22),"")</f>
        <v/>
      </c>
      <c r="S22" s="492">
        <f>IF($V$5=0,0,IF(OR($A$10="Refined calculation mode",Results!$B$62="Show results of IESTI calculation only for crops with GAPs under assessment"),Table22[[#This Row],[Input for IESTI new (refined mode)]],Table22[[#This Row],[Input for IESTI new normal mode]]))</f>
        <v>0</v>
      </c>
      <c r="T22" s="886"/>
      <c r="U22" s="1408">
        <f>Table22[[#This Row],[MRL/ proposed MRL /CXL
(mg/kg)]]</f>
        <v>0</v>
      </c>
      <c r="V22" s="1409" t="str">
        <f t="shared" si="23"/>
        <v/>
      </c>
      <c r="W22" s="1387">
        <f t="shared" si="24"/>
        <v>1</v>
      </c>
      <c r="X22" s="1387">
        <f t="shared" si="25"/>
        <v>1</v>
      </c>
      <c r="Y22" s="1387">
        <f t="shared" si="26"/>
        <v>1</v>
      </c>
      <c r="Z22" s="1410">
        <v>4</v>
      </c>
      <c r="AA22" s="1387">
        <f t="shared" si="0"/>
        <v>0</v>
      </c>
      <c r="AB22" s="1387">
        <f>IF(Z22=A22,IF(AND(L22="N",Table22[[#This Row],[LOQ_label]]="Y"),AA22,$AA22*$Y22),"")</f>
        <v>0</v>
      </c>
      <c r="AC22" s="1393">
        <f t="shared" si="1"/>
        <v>0</v>
      </c>
      <c r="AD22" s="1393">
        <f>IF(Table22[[#This Row],[Median residue*CF*PeF]]&lt;&gt;"",Table22[[#This Row],[Median residue*CF*PeF]],Table22[[#This Row],[MRL*CF*PeF (chronic)]])</f>
        <v>0</v>
      </c>
      <c r="AE22" s="1393">
        <f t="shared" si="2"/>
        <v>0</v>
      </c>
      <c r="AF22" s="1390" t="str">
        <f t="shared" si="3"/>
        <v>MRL</v>
      </c>
      <c r="AG22" s="1390" t="str">
        <f t="shared" si="4"/>
        <v/>
      </c>
      <c r="AH22" s="1394" t="str">
        <f t="shared" si="5"/>
        <v/>
      </c>
      <c r="AI22" s="1386">
        <v>4</v>
      </c>
      <c r="AJ22" s="1387">
        <f t="shared" si="6"/>
        <v>0</v>
      </c>
      <c r="AK22" s="1387">
        <f>IF(AI22=A22,IF(AND(L22="N",Table22[[#This Row],[LOQ_label]]="Y"),AJ22,$AJ22*$Y22),"")</f>
        <v>0</v>
      </c>
      <c r="AL22" s="1388">
        <f t="shared" si="7"/>
        <v>0</v>
      </c>
      <c r="AM22" s="1393">
        <f>IF(Table22[[#This Row],[Highest residue * CF*PF]]&lt;&gt;"",Table22[[#This Row],[Highest residue * CF*PF]],Table22[[#This Row],[MRL*CF*PF or MRL (if LOQ and not authorised) (acute RA)]])</f>
        <v>0</v>
      </c>
      <c r="AN22" s="1390" t="str">
        <f t="shared" si="8"/>
        <v>MRL</v>
      </c>
      <c r="AO22" s="1390" t="str">
        <f t="shared" si="9"/>
        <v/>
      </c>
      <c r="AP22" s="1404" t="str">
        <f t="shared" si="10"/>
        <v/>
      </c>
      <c r="AQ22" s="1388">
        <f t="shared" si="11"/>
        <v>0</v>
      </c>
      <c r="AR22" s="1388" t="str">
        <f t="shared" si="12"/>
        <v/>
      </c>
      <c r="AS22" s="1388" t="str">
        <f t="shared" si="13"/>
        <v/>
      </c>
      <c r="AT22" s="1388" t="str">
        <f t="shared" si="14"/>
        <v/>
      </c>
      <c r="AU22" s="1393">
        <f t="shared" si="15"/>
        <v>0</v>
      </c>
      <c r="AV22" s="1388">
        <f t="shared" si="16"/>
        <v>0</v>
      </c>
      <c r="AW22" s="1390" t="str">
        <f t="shared" si="17"/>
        <v/>
      </c>
      <c r="AX22" s="1390" t="str">
        <f t="shared" si="27"/>
        <v/>
      </c>
      <c r="AY22" s="1394" t="str">
        <f t="shared" si="19"/>
        <v/>
      </c>
      <c r="AZ22" s="1395" t="str">
        <f>IF(Table22[[#This Row],[LOQ_label]]="Y",Table22[[#This Row],[MRL individual commodity]],"")</f>
        <v/>
      </c>
      <c r="BA22" s="1396" t="s">
        <v>1038</v>
      </c>
      <c r="BB22" s="1411" t="str">
        <f>IF(Table22[[#This Row],[LOQ2]]&lt;0,MIN(AZ22:AZ400),"")</f>
        <v/>
      </c>
      <c r="BC22" s="1299"/>
      <c r="BD22" s="1306" t="str">
        <f>IF(Table22[[#This Row],[Chronic RA label]]="","N",IF(Table22[[#This Row],[Chronic RA label]]="LOQ","N",IF(Table22[[#This Row],[Chronic RA label]]="MRL","N","Y")))</f>
        <v>N</v>
      </c>
      <c r="BE22" s="1306" t="str">
        <f>IF(Table22[[#This Row],[Acute RA label]]="","N",IF(Table22[[#This Row],[Acute RA label]]="LOQ","N",IF(Table22[[#This Row],[Acute RA label]]="MRL","N","Y")))</f>
        <v>N</v>
      </c>
      <c r="BF22" s="1306" t="str">
        <f>IF(OR(Table22[[#This Row],[include commodity in Summary_input_values_chronic]]="Y",Table22[[#This Row],[include commodity in Summary_input_values_acute]]="Y"),"Y","N")</f>
        <v>N</v>
      </c>
      <c r="BG22" s="1414" t="s">
        <v>943</v>
      </c>
      <c r="BH22" s="1324"/>
    </row>
    <row r="23" spans="1:60" ht="12.75" customHeight="1" outlineLevel="3" x14ac:dyDescent="0.2">
      <c r="A23" s="39">
        <v>4</v>
      </c>
      <c r="B23" s="327">
        <v>120030</v>
      </c>
      <c r="C23" s="23" t="s">
        <v>8</v>
      </c>
      <c r="D23" s="867"/>
      <c r="E23" s="1219"/>
      <c r="F23" s="867"/>
      <c r="G23" s="869"/>
      <c r="H23" s="863"/>
      <c r="I23" s="868"/>
      <c r="J23" s="870"/>
      <c r="K23" s="865"/>
      <c r="L23" s="872"/>
      <c r="M23" s="872"/>
      <c r="N23" s="925" t="str">
        <f>IF(O23&lt;&gt;0,CONCATENATE(input_values!$AF23,input_values!$AG23,input_values!$AH23),"")</f>
        <v/>
      </c>
      <c r="O23" s="491">
        <f>IF($A$10="Refined calculation mode",Table22[[#This Row],[input for chronic (refined mode]],Table22[[#This Row],[input for chronic normal mode]])</f>
        <v>0</v>
      </c>
      <c r="P23" s="925" t="str">
        <f>IF(Q23&lt;&gt;0,CONCATENATE(input_values!$AN23,input_values!$AO23,input_values!$AP23),"")</f>
        <v/>
      </c>
      <c r="Q23" s="491">
        <f>IF($V$5=0,0,IF(OR($A$10="Refined calculation mode",Results!$B$62="Show results of IESTI calculation only for crops with GAPs under assessment"),Table22[[#This Row],[Input for IESTI (refined mode)]],Table22[[#This Row],[Input for IESTI normal mode]]))</f>
        <v>0</v>
      </c>
      <c r="R23" s="926" t="str">
        <f>IF(S23&lt;&gt;0,CONCATENATE(input_values!$AW23,input_values!$AX23,input_values!$AY23),"")</f>
        <v/>
      </c>
      <c r="S23" s="492">
        <f>IF($V$5=0,0,IF(OR($A$10="Refined calculation mode",Results!$B$62="Show results of IESTI calculation only for crops with GAPs under assessment"),Table22[[#This Row],[Input for IESTI new (refined mode)]],Table22[[#This Row],[Input for IESTI new normal mode]]))</f>
        <v>0</v>
      </c>
      <c r="T23" s="886"/>
      <c r="U23" s="1408">
        <f>Table22[[#This Row],[MRL/ proposed MRL /CXL
(mg/kg)]]</f>
        <v>0</v>
      </c>
      <c r="V23" s="1409" t="str">
        <f t="shared" si="23"/>
        <v/>
      </c>
      <c r="W23" s="1387">
        <f t="shared" si="24"/>
        <v>1</v>
      </c>
      <c r="X23" s="1387">
        <f t="shared" si="25"/>
        <v>1</v>
      </c>
      <c r="Y23" s="1387">
        <f t="shared" si="26"/>
        <v>1</v>
      </c>
      <c r="Z23" s="1410">
        <v>4</v>
      </c>
      <c r="AA23" s="1387">
        <f t="shared" si="0"/>
        <v>0</v>
      </c>
      <c r="AB23" s="1387">
        <f>IF(Z23=A23,IF(AND(L23="N",Table22[[#This Row],[LOQ_label]]="Y"),AA23,$AA23*$Y23),"")</f>
        <v>0</v>
      </c>
      <c r="AC23" s="1393">
        <f t="shared" si="1"/>
        <v>0</v>
      </c>
      <c r="AD23" s="1393">
        <f>IF(Table22[[#This Row],[Median residue*CF*PeF]]&lt;&gt;"",Table22[[#This Row],[Median residue*CF*PeF]],Table22[[#This Row],[MRL*CF*PeF (chronic)]])</f>
        <v>0</v>
      </c>
      <c r="AE23" s="1393">
        <f t="shared" si="2"/>
        <v>0</v>
      </c>
      <c r="AF23" s="1390" t="str">
        <f t="shared" si="3"/>
        <v>MRL</v>
      </c>
      <c r="AG23" s="1390" t="str">
        <f t="shared" si="4"/>
        <v/>
      </c>
      <c r="AH23" s="1394" t="str">
        <f t="shared" si="5"/>
        <v/>
      </c>
      <c r="AI23" s="1386">
        <v>4</v>
      </c>
      <c r="AJ23" s="1387">
        <f t="shared" si="6"/>
        <v>0</v>
      </c>
      <c r="AK23" s="1387">
        <f>IF(AI23=A23,IF(AND(L23="N",Table22[[#This Row],[LOQ_label]]="Y"),AJ23,$AJ23*$Y23),"")</f>
        <v>0</v>
      </c>
      <c r="AL23" s="1388">
        <f t="shared" si="7"/>
        <v>0</v>
      </c>
      <c r="AM23" s="1393">
        <f>IF(Table22[[#This Row],[Highest residue * CF*PF]]&lt;&gt;"",Table22[[#This Row],[Highest residue * CF*PF]],Table22[[#This Row],[MRL*CF*PF or MRL (if LOQ and not authorised) (acute RA)]])</f>
        <v>0</v>
      </c>
      <c r="AN23" s="1390" t="str">
        <f t="shared" si="8"/>
        <v>MRL</v>
      </c>
      <c r="AO23" s="1390" t="str">
        <f t="shared" si="9"/>
        <v/>
      </c>
      <c r="AP23" s="1404" t="str">
        <f t="shared" si="10"/>
        <v/>
      </c>
      <c r="AQ23" s="1388">
        <f t="shared" si="11"/>
        <v>0</v>
      </c>
      <c r="AR23" s="1388" t="str">
        <f t="shared" si="12"/>
        <v/>
      </c>
      <c r="AS23" s="1388" t="str">
        <f t="shared" si="13"/>
        <v/>
      </c>
      <c r="AT23" s="1388" t="str">
        <f t="shared" si="14"/>
        <v/>
      </c>
      <c r="AU23" s="1393">
        <f t="shared" si="15"/>
        <v>0</v>
      </c>
      <c r="AV23" s="1388">
        <f t="shared" si="16"/>
        <v>0</v>
      </c>
      <c r="AW23" s="1390" t="str">
        <f t="shared" si="17"/>
        <v/>
      </c>
      <c r="AX23" s="1390" t="str">
        <f t="shared" si="27"/>
        <v/>
      </c>
      <c r="AY23" s="1394" t="str">
        <f t="shared" si="19"/>
        <v/>
      </c>
      <c r="AZ23" s="1395" t="str">
        <f>IF(Table22[[#This Row],[LOQ_label]]="Y",Table22[[#This Row],[MRL individual commodity]],"")</f>
        <v/>
      </c>
      <c r="BA23" s="1396" t="s">
        <v>1038</v>
      </c>
      <c r="BB23" s="1411" t="str">
        <f>IF(Table22[[#This Row],[LOQ2]]&lt;0,MIN(AZ23:AZ401),"")</f>
        <v/>
      </c>
      <c r="BC23" s="1299"/>
      <c r="BD23" s="1306" t="str">
        <f>IF(Table22[[#This Row],[Chronic RA label]]="","N",IF(Table22[[#This Row],[Chronic RA label]]="LOQ","N",IF(Table22[[#This Row],[Chronic RA label]]="MRL","N","Y")))</f>
        <v>N</v>
      </c>
      <c r="BE23" s="1306" t="str">
        <f>IF(Table22[[#This Row],[Acute RA label]]="","N",IF(Table22[[#This Row],[Acute RA label]]="LOQ","N",IF(Table22[[#This Row],[Acute RA label]]="MRL","N","Y")))</f>
        <v>N</v>
      </c>
      <c r="BF23" s="1306" t="str">
        <f>IF(OR(Table22[[#This Row],[include commodity in Summary_input_values_chronic]]="Y",Table22[[#This Row],[include commodity in Summary_input_values_acute]]="Y"),"Y","N")</f>
        <v>N</v>
      </c>
      <c r="BG23" s="1417" t="s">
        <v>1001</v>
      </c>
      <c r="BH23" s="1324"/>
    </row>
    <row r="24" spans="1:60" ht="12.75" customHeight="1" outlineLevel="3" x14ac:dyDescent="0.2">
      <c r="A24" s="39">
        <v>4</v>
      </c>
      <c r="B24" s="327">
        <v>120040</v>
      </c>
      <c r="C24" s="23" t="s">
        <v>9</v>
      </c>
      <c r="D24" s="867"/>
      <c r="E24" s="1219"/>
      <c r="F24" s="867"/>
      <c r="G24" s="869"/>
      <c r="H24" s="868"/>
      <c r="I24" s="868"/>
      <c r="J24" s="870"/>
      <c r="K24" s="865"/>
      <c r="L24" s="872"/>
      <c r="M24" s="872"/>
      <c r="N24" s="925" t="str">
        <f>IF(O24&lt;&gt;0,CONCATENATE(input_values!$AF24,input_values!$AG24,input_values!$AH24),"")</f>
        <v/>
      </c>
      <c r="O24" s="491">
        <f>IF($A$10="Refined calculation mode",Table22[[#This Row],[input for chronic (refined mode]],Table22[[#This Row],[input for chronic normal mode]])</f>
        <v>0</v>
      </c>
      <c r="P24" s="925" t="str">
        <f>IF(Q24&lt;&gt;0,CONCATENATE(input_values!$AN24,input_values!$AO24,input_values!$AP24),"")</f>
        <v/>
      </c>
      <c r="Q24" s="491">
        <f>IF($V$5=0,0,IF(OR($A$10="Refined calculation mode",Results!$B$62="Show results of IESTI calculation only for crops with GAPs under assessment"),Table22[[#This Row],[Input for IESTI (refined mode)]],Table22[[#This Row],[Input for IESTI normal mode]]))</f>
        <v>0</v>
      </c>
      <c r="R24" s="926" t="str">
        <f>IF(S24&lt;&gt;0,CONCATENATE(input_values!$AW24,input_values!$AX24,input_values!$AY24),"")</f>
        <v/>
      </c>
      <c r="S24" s="492">
        <f>IF($V$5=0,0,IF(OR($A$10="Refined calculation mode",Results!$B$62="Show results of IESTI calculation only for crops with GAPs under assessment"),Table22[[#This Row],[Input for IESTI new (refined mode)]],Table22[[#This Row],[Input for IESTI new normal mode]]))</f>
        <v>0</v>
      </c>
      <c r="T24" s="886"/>
      <c r="U24" s="1408">
        <f>Table22[[#This Row],[MRL/ proposed MRL /CXL
(mg/kg)]]</f>
        <v>0</v>
      </c>
      <c r="V24" s="1409" t="str">
        <f t="shared" si="23"/>
        <v/>
      </c>
      <c r="W24" s="1387">
        <f t="shared" si="24"/>
        <v>1</v>
      </c>
      <c r="X24" s="1387">
        <f t="shared" si="25"/>
        <v>1</v>
      </c>
      <c r="Y24" s="1387">
        <f t="shared" si="26"/>
        <v>1</v>
      </c>
      <c r="Z24" s="1410">
        <v>4</v>
      </c>
      <c r="AA24" s="1387">
        <f t="shared" si="0"/>
        <v>0</v>
      </c>
      <c r="AB24" s="1387">
        <f>IF(Z24=A24,IF(AND(L24="N",Table22[[#This Row],[LOQ_label]]="Y"),AA24,$AA24*$Y24),"")</f>
        <v>0</v>
      </c>
      <c r="AC24" s="1393">
        <f t="shared" si="1"/>
        <v>0</v>
      </c>
      <c r="AD24" s="1393">
        <f>IF(Table22[[#This Row],[Median residue*CF*PeF]]&lt;&gt;"",Table22[[#This Row],[Median residue*CF*PeF]],Table22[[#This Row],[MRL*CF*PeF (chronic)]])</f>
        <v>0</v>
      </c>
      <c r="AE24" s="1393">
        <f t="shared" si="2"/>
        <v>0</v>
      </c>
      <c r="AF24" s="1390" t="str">
        <f t="shared" si="3"/>
        <v>MRL</v>
      </c>
      <c r="AG24" s="1390" t="str">
        <f t="shared" si="4"/>
        <v/>
      </c>
      <c r="AH24" s="1394" t="str">
        <f t="shared" si="5"/>
        <v/>
      </c>
      <c r="AI24" s="1386">
        <v>4</v>
      </c>
      <c r="AJ24" s="1387">
        <f t="shared" si="6"/>
        <v>0</v>
      </c>
      <c r="AK24" s="1387">
        <f>IF(AI24=A24,IF(AND(L24="N",Table22[[#This Row],[LOQ_label]]="Y"),AJ24,$AJ24*$Y24),"")</f>
        <v>0</v>
      </c>
      <c r="AL24" s="1388">
        <f t="shared" si="7"/>
        <v>0</v>
      </c>
      <c r="AM24" s="1393">
        <f>IF(Table22[[#This Row],[Highest residue * CF*PF]]&lt;&gt;"",Table22[[#This Row],[Highest residue * CF*PF]],Table22[[#This Row],[MRL*CF*PF or MRL (if LOQ and not authorised) (acute RA)]])</f>
        <v>0</v>
      </c>
      <c r="AN24" s="1390" t="str">
        <f t="shared" si="8"/>
        <v>MRL</v>
      </c>
      <c r="AO24" s="1390" t="str">
        <f t="shared" si="9"/>
        <v/>
      </c>
      <c r="AP24" s="1404" t="str">
        <f t="shared" si="10"/>
        <v/>
      </c>
      <c r="AQ24" s="1388">
        <f t="shared" si="11"/>
        <v>0</v>
      </c>
      <c r="AR24" s="1388" t="str">
        <f t="shared" si="12"/>
        <v/>
      </c>
      <c r="AS24" s="1388" t="str">
        <f t="shared" si="13"/>
        <v/>
      </c>
      <c r="AT24" s="1388" t="str">
        <f t="shared" si="14"/>
        <v/>
      </c>
      <c r="AU24" s="1393">
        <f t="shared" si="15"/>
        <v>0</v>
      </c>
      <c r="AV24" s="1388">
        <f t="shared" si="16"/>
        <v>0</v>
      </c>
      <c r="AW24" s="1390" t="str">
        <f t="shared" si="17"/>
        <v/>
      </c>
      <c r="AX24" s="1390" t="str">
        <f t="shared" si="27"/>
        <v/>
      </c>
      <c r="AY24" s="1394" t="str">
        <f t="shared" si="19"/>
        <v/>
      </c>
      <c r="AZ24" s="1395" t="str">
        <f>IF(Table22[[#This Row],[LOQ_label]]="Y",Table22[[#This Row],[MRL individual commodity]],"")</f>
        <v/>
      </c>
      <c r="BA24" s="1396" t="s">
        <v>1038</v>
      </c>
      <c r="BB24" s="1411" t="str">
        <f>IF(Table22[[#This Row],[LOQ2]]&lt;0,MIN(AZ24:AZ402),"")</f>
        <v/>
      </c>
      <c r="BC24" s="1299"/>
      <c r="BD24" s="1306" t="str">
        <f>IF(Table22[[#This Row],[Chronic RA label]]="","N",IF(Table22[[#This Row],[Chronic RA label]]="LOQ","N",IF(Table22[[#This Row],[Chronic RA label]]="MRL","N","Y")))</f>
        <v>N</v>
      </c>
      <c r="BE24" s="1306" t="str">
        <f>IF(Table22[[#This Row],[Acute RA label]]="","N",IF(Table22[[#This Row],[Acute RA label]]="LOQ","N",IF(Table22[[#This Row],[Acute RA label]]="MRL","N","Y")))</f>
        <v>N</v>
      </c>
      <c r="BF24" s="1306" t="str">
        <f>IF(OR(Table22[[#This Row],[include commodity in Summary_input_values_chronic]]="Y",Table22[[#This Row],[include commodity in Summary_input_values_acute]]="Y"),"Y","N")</f>
        <v>N</v>
      </c>
      <c r="BG24" s="1299" t="s">
        <v>1002</v>
      </c>
      <c r="BH24" s="1324"/>
    </row>
    <row r="25" spans="1:60" ht="12.75" customHeight="1" outlineLevel="3" x14ac:dyDescent="0.2">
      <c r="A25" s="39">
        <v>4</v>
      </c>
      <c r="B25" s="327">
        <v>120050</v>
      </c>
      <c r="C25" s="23" t="s">
        <v>10</v>
      </c>
      <c r="D25" s="867"/>
      <c r="E25" s="1219"/>
      <c r="F25" s="867"/>
      <c r="G25" s="869"/>
      <c r="H25" s="863"/>
      <c r="I25" s="868"/>
      <c r="J25" s="870"/>
      <c r="K25" s="871"/>
      <c r="L25" s="872"/>
      <c r="M25" s="872"/>
      <c r="N25" s="925" t="str">
        <f>IF(O25&lt;&gt;0,CONCATENATE(input_values!$AF25,input_values!$AG25,input_values!$AH25),"")</f>
        <v/>
      </c>
      <c r="O25" s="491">
        <f>IF($A$10="Refined calculation mode",Table22[[#This Row],[input for chronic (refined mode]],Table22[[#This Row],[input for chronic normal mode]])</f>
        <v>0</v>
      </c>
      <c r="P25" s="925" t="str">
        <f>IF(Q25&lt;&gt;0,CONCATENATE(input_values!$AN25,input_values!$AO25,input_values!$AP25),"")</f>
        <v/>
      </c>
      <c r="Q25" s="491">
        <f>IF($V$5=0,0,IF(OR($A$10="Refined calculation mode",Results!$B$62="Show results of IESTI calculation only for crops with GAPs under assessment"),Table22[[#This Row],[Input for IESTI (refined mode)]],Table22[[#This Row],[Input for IESTI normal mode]]))</f>
        <v>0</v>
      </c>
      <c r="R25" s="926" t="str">
        <f>IF(S25&lt;&gt;0,CONCATENATE(input_values!$AW25,input_values!$AX25,input_values!$AY25),"")</f>
        <v/>
      </c>
      <c r="S25" s="492">
        <f>IF($V$5=0,0,IF(OR($A$10="Refined calculation mode",Results!$B$62="Show results of IESTI calculation only for crops with GAPs under assessment"),Table22[[#This Row],[Input for IESTI new (refined mode)]],Table22[[#This Row],[Input for IESTI new normal mode]]))</f>
        <v>0</v>
      </c>
      <c r="T25" s="886"/>
      <c r="U25" s="1408">
        <f>Table22[[#This Row],[MRL/ proposed MRL /CXL
(mg/kg)]]</f>
        <v>0</v>
      </c>
      <c r="V25" s="1409" t="str">
        <f t="shared" si="23"/>
        <v/>
      </c>
      <c r="W25" s="1387">
        <f t="shared" si="24"/>
        <v>1</v>
      </c>
      <c r="X25" s="1387">
        <f t="shared" si="25"/>
        <v>1</v>
      </c>
      <c r="Y25" s="1387">
        <f t="shared" si="26"/>
        <v>1</v>
      </c>
      <c r="Z25" s="1410">
        <v>4</v>
      </c>
      <c r="AA25" s="1387">
        <f t="shared" si="0"/>
        <v>0</v>
      </c>
      <c r="AB25" s="1387">
        <f>IF(Z25=A25,IF(AND(L25="N",Table22[[#This Row],[LOQ_label]]="Y"),AA25,$AA25*$Y25),"")</f>
        <v>0</v>
      </c>
      <c r="AC25" s="1393">
        <f t="shared" si="1"/>
        <v>0</v>
      </c>
      <c r="AD25" s="1393">
        <f>IF(Table22[[#This Row],[Median residue*CF*PeF]]&lt;&gt;"",Table22[[#This Row],[Median residue*CF*PeF]],Table22[[#This Row],[MRL*CF*PeF (chronic)]])</f>
        <v>0</v>
      </c>
      <c r="AE25" s="1393">
        <f t="shared" si="2"/>
        <v>0</v>
      </c>
      <c r="AF25" s="1390" t="str">
        <f t="shared" si="3"/>
        <v>MRL</v>
      </c>
      <c r="AG25" s="1390" t="str">
        <f t="shared" si="4"/>
        <v/>
      </c>
      <c r="AH25" s="1394" t="str">
        <f t="shared" si="5"/>
        <v/>
      </c>
      <c r="AI25" s="1386">
        <v>4</v>
      </c>
      <c r="AJ25" s="1387">
        <f t="shared" si="6"/>
        <v>0</v>
      </c>
      <c r="AK25" s="1387">
        <f>IF(AI25=A25,IF(AND(L25="N",Table22[[#This Row],[LOQ_label]]="Y"),AJ25,$AJ25*$Y25),"")</f>
        <v>0</v>
      </c>
      <c r="AL25" s="1388">
        <f t="shared" si="7"/>
        <v>0</v>
      </c>
      <c r="AM25" s="1393">
        <f>IF(Table22[[#This Row],[Highest residue * CF*PF]]&lt;&gt;"",Table22[[#This Row],[Highest residue * CF*PF]],Table22[[#This Row],[MRL*CF*PF or MRL (if LOQ and not authorised) (acute RA)]])</f>
        <v>0</v>
      </c>
      <c r="AN25" s="1390" t="str">
        <f t="shared" si="8"/>
        <v>MRL</v>
      </c>
      <c r="AO25" s="1390" t="str">
        <f t="shared" si="9"/>
        <v/>
      </c>
      <c r="AP25" s="1404" t="str">
        <f t="shared" si="10"/>
        <v/>
      </c>
      <c r="AQ25" s="1388">
        <f t="shared" si="11"/>
        <v>0</v>
      </c>
      <c r="AR25" s="1388" t="str">
        <f t="shared" si="12"/>
        <v/>
      </c>
      <c r="AS25" s="1388" t="str">
        <f t="shared" si="13"/>
        <v/>
      </c>
      <c r="AT25" s="1388" t="str">
        <f t="shared" si="14"/>
        <v/>
      </c>
      <c r="AU25" s="1393">
        <f t="shared" si="15"/>
        <v>0</v>
      </c>
      <c r="AV25" s="1388">
        <f t="shared" si="16"/>
        <v>0</v>
      </c>
      <c r="AW25" s="1390" t="str">
        <f t="shared" si="17"/>
        <v/>
      </c>
      <c r="AX25" s="1390" t="str">
        <f t="shared" si="27"/>
        <v/>
      </c>
      <c r="AY25" s="1394" t="str">
        <f t="shared" si="19"/>
        <v/>
      </c>
      <c r="AZ25" s="1395" t="str">
        <f>IF(Table22[[#This Row],[LOQ_label]]="Y",Table22[[#This Row],[MRL individual commodity]],"")</f>
        <v/>
      </c>
      <c r="BA25" s="1449" t="s">
        <v>654</v>
      </c>
      <c r="BB25" s="1411" t="str">
        <f>IF(Table22[[#This Row],[LOQ2]]&lt;0,MIN(AZ25:AZ403),"")</f>
        <v/>
      </c>
      <c r="BC25" s="1299"/>
      <c r="BD25" s="1306" t="str">
        <f>IF(Table22[[#This Row],[Chronic RA label]]="","N",IF(Table22[[#This Row],[Chronic RA label]]="LOQ","N",IF(Table22[[#This Row],[Chronic RA label]]="MRL","N","Y")))</f>
        <v>N</v>
      </c>
      <c r="BE25" s="1306" t="str">
        <f>IF(Table22[[#This Row],[Acute RA label]]="","N",IF(Table22[[#This Row],[Acute RA label]]="LOQ","N",IF(Table22[[#This Row],[Acute RA label]]="MRL","N","Y")))</f>
        <v>N</v>
      </c>
      <c r="BF25" s="1306" t="str">
        <f>IF(OR(Table22[[#This Row],[include commodity in Summary_input_values_chronic]]="Y",Table22[[#This Row],[include commodity in Summary_input_values_acute]]="Y"),"Y","N")</f>
        <v>N</v>
      </c>
      <c r="BG25" s="1299"/>
      <c r="BH25" s="1324"/>
    </row>
    <row r="26" spans="1:60" ht="12.75" customHeight="1" outlineLevel="3" x14ac:dyDescent="0.2">
      <c r="A26" s="39">
        <v>4</v>
      </c>
      <c r="B26" s="327">
        <v>120060</v>
      </c>
      <c r="C26" s="23" t="s">
        <v>681</v>
      </c>
      <c r="D26" s="867"/>
      <c r="E26" s="1219"/>
      <c r="F26" s="867"/>
      <c r="G26" s="869"/>
      <c r="H26" s="863"/>
      <c r="I26" s="868"/>
      <c r="J26" s="870"/>
      <c r="K26" s="865"/>
      <c r="L26" s="872"/>
      <c r="M26" s="872"/>
      <c r="N26" s="925" t="str">
        <f>IF(O26&lt;&gt;0,CONCATENATE(input_values!$AF26,input_values!$AG26,input_values!$AH26),"")</f>
        <v/>
      </c>
      <c r="O26" s="491">
        <f>IF($A$10="Refined calculation mode",Table22[[#This Row],[input for chronic (refined mode]],Table22[[#This Row],[input for chronic normal mode]])</f>
        <v>0</v>
      </c>
      <c r="P26" s="925" t="str">
        <f>IF(Q26&lt;&gt;0,CONCATENATE(input_values!$AN26,input_values!$AO26,input_values!$AP26),"")</f>
        <v/>
      </c>
      <c r="Q26" s="491">
        <f>IF($V$5=0,0,IF(OR($A$10="Refined calculation mode",Results!$B$62="Show results of IESTI calculation only for crops with GAPs under assessment"),Table22[[#This Row],[Input for IESTI (refined mode)]],Table22[[#This Row],[Input for IESTI normal mode]]))</f>
        <v>0</v>
      </c>
      <c r="R26" s="926" t="str">
        <f>IF(S26&lt;&gt;0,CONCATENATE(input_values!$AW26,input_values!$AX26,input_values!$AY26),"")</f>
        <v/>
      </c>
      <c r="S26" s="492">
        <f>IF($V$5=0,0,IF(OR($A$10="Refined calculation mode",Results!$B$62="Show results of IESTI calculation only for crops with GAPs under assessment"),Table22[[#This Row],[Input for IESTI new (refined mode)]],Table22[[#This Row],[Input for IESTI new normal mode]]))</f>
        <v>0</v>
      </c>
      <c r="T26" s="886"/>
      <c r="U26" s="1408">
        <f>Table22[[#This Row],[MRL/ proposed MRL /CXL
(mg/kg)]]</f>
        <v>0</v>
      </c>
      <c r="V26" s="1409" t="str">
        <f t="shared" si="23"/>
        <v/>
      </c>
      <c r="W26" s="1387">
        <f t="shared" si="24"/>
        <v>1</v>
      </c>
      <c r="X26" s="1387">
        <f t="shared" si="25"/>
        <v>1</v>
      </c>
      <c r="Y26" s="1387">
        <f t="shared" si="26"/>
        <v>1</v>
      </c>
      <c r="Z26" s="1410">
        <v>4</v>
      </c>
      <c r="AA26" s="1387">
        <f t="shared" si="0"/>
        <v>0</v>
      </c>
      <c r="AB26" s="1387">
        <f>IF(Z26=A26,IF(AND(L26="N",Table22[[#This Row],[LOQ_label]]="Y"),AA26,$AA26*$Y26),"")</f>
        <v>0</v>
      </c>
      <c r="AC26" s="1393">
        <f t="shared" si="1"/>
        <v>0</v>
      </c>
      <c r="AD26" s="1393">
        <f>IF(Table22[[#This Row],[Median residue*CF*PeF]]&lt;&gt;"",Table22[[#This Row],[Median residue*CF*PeF]],Table22[[#This Row],[MRL*CF*PeF (chronic)]])</f>
        <v>0</v>
      </c>
      <c r="AE26" s="1393">
        <f t="shared" si="2"/>
        <v>0</v>
      </c>
      <c r="AF26" s="1390" t="str">
        <f t="shared" si="3"/>
        <v>MRL</v>
      </c>
      <c r="AG26" s="1390" t="str">
        <f t="shared" si="4"/>
        <v/>
      </c>
      <c r="AH26" s="1394" t="str">
        <f t="shared" si="5"/>
        <v/>
      </c>
      <c r="AI26" s="1386">
        <v>4</v>
      </c>
      <c r="AJ26" s="1387">
        <f t="shared" si="6"/>
        <v>0</v>
      </c>
      <c r="AK26" s="1387">
        <f>IF(AI26=A26,IF(AND(L26="N",Table22[[#This Row],[LOQ_label]]="Y"),AJ26,$AJ26*$Y26),"")</f>
        <v>0</v>
      </c>
      <c r="AL26" s="1388">
        <f t="shared" si="7"/>
        <v>0</v>
      </c>
      <c r="AM26" s="1393">
        <f>IF(Table22[[#This Row],[Highest residue * CF*PF]]&lt;&gt;"",Table22[[#This Row],[Highest residue * CF*PF]],Table22[[#This Row],[MRL*CF*PF or MRL (if LOQ and not authorised) (acute RA)]])</f>
        <v>0</v>
      </c>
      <c r="AN26" s="1390" t="str">
        <f t="shared" si="8"/>
        <v>MRL</v>
      </c>
      <c r="AO26" s="1390" t="str">
        <f t="shared" si="9"/>
        <v/>
      </c>
      <c r="AP26" s="1404" t="str">
        <f t="shared" si="10"/>
        <v/>
      </c>
      <c r="AQ26" s="1388">
        <f t="shared" si="11"/>
        <v>0</v>
      </c>
      <c r="AR26" s="1388" t="str">
        <f t="shared" si="12"/>
        <v/>
      </c>
      <c r="AS26" s="1388" t="str">
        <f t="shared" si="13"/>
        <v/>
      </c>
      <c r="AT26" s="1388" t="str">
        <f t="shared" si="14"/>
        <v/>
      </c>
      <c r="AU26" s="1393">
        <f t="shared" si="15"/>
        <v>0</v>
      </c>
      <c r="AV26" s="1388">
        <f t="shared" si="16"/>
        <v>0</v>
      </c>
      <c r="AW26" s="1390" t="str">
        <f t="shared" si="17"/>
        <v/>
      </c>
      <c r="AX26" s="1390" t="str">
        <f t="shared" si="27"/>
        <v/>
      </c>
      <c r="AY26" s="1394" t="str">
        <f t="shared" si="19"/>
        <v/>
      </c>
      <c r="AZ26" s="1395" t="str">
        <f>IF(Table22[[#This Row],[LOQ_label]]="Y",Table22[[#This Row],[MRL individual commodity]],"")</f>
        <v/>
      </c>
      <c r="BA26" s="1396" t="s">
        <v>1038</v>
      </c>
      <c r="BB26" s="1411" t="str">
        <f>IF(Table22[[#This Row],[LOQ2]]&lt;0,MIN(AZ26:AZ404),"")</f>
        <v/>
      </c>
      <c r="BC26" s="1299"/>
      <c r="BD26" s="1306" t="str">
        <f>IF(Table22[[#This Row],[Chronic RA label]]="","N",IF(Table22[[#This Row],[Chronic RA label]]="LOQ","N",IF(Table22[[#This Row],[Chronic RA label]]="MRL","N","Y")))</f>
        <v>N</v>
      </c>
      <c r="BE26" s="1306" t="str">
        <f>IF(Table22[[#This Row],[Acute RA label]]="","N",IF(Table22[[#This Row],[Acute RA label]]="LOQ","N",IF(Table22[[#This Row],[Acute RA label]]="MRL","N","Y")))</f>
        <v>N</v>
      </c>
      <c r="BF26" s="1306" t="str">
        <f>IF(OR(Table22[[#This Row],[include commodity in Summary_input_values_chronic]]="Y",Table22[[#This Row],[include commodity in Summary_input_values_acute]]="Y"),"Y","N")</f>
        <v>N</v>
      </c>
      <c r="BG26" s="1299"/>
      <c r="BH26" s="1324"/>
    </row>
    <row r="27" spans="1:60" ht="12.75" customHeight="1" outlineLevel="3" x14ac:dyDescent="0.2">
      <c r="A27" s="39">
        <v>4</v>
      </c>
      <c r="B27" s="327">
        <v>120070</v>
      </c>
      <c r="C27" s="23" t="s">
        <v>108</v>
      </c>
      <c r="D27" s="867"/>
      <c r="E27" s="1219"/>
      <c r="F27" s="867"/>
      <c r="G27" s="869"/>
      <c r="H27" s="863"/>
      <c r="I27" s="868"/>
      <c r="J27" s="870"/>
      <c r="K27" s="865"/>
      <c r="L27" s="872"/>
      <c r="M27" s="872"/>
      <c r="N27" s="925" t="str">
        <f>IF(O27&lt;&gt;0,CONCATENATE(input_values!$AF27,input_values!$AG27,input_values!$AH27),"")</f>
        <v/>
      </c>
      <c r="O27" s="491">
        <f>IF($A$10="Refined calculation mode",Table22[[#This Row],[input for chronic (refined mode]],Table22[[#This Row],[input for chronic normal mode]])</f>
        <v>0</v>
      </c>
      <c r="P27" s="925" t="str">
        <f>IF(Q27&lt;&gt;0,CONCATENATE(input_values!$AN27,input_values!$AO27,input_values!$AP27),"")</f>
        <v/>
      </c>
      <c r="Q27" s="491">
        <f>IF($V$5=0,0,IF(OR($A$10="Refined calculation mode",Results!$B$62="Show results of IESTI calculation only for crops with GAPs under assessment"),Table22[[#This Row],[Input for IESTI (refined mode)]],Table22[[#This Row],[Input for IESTI normal mode]]))</f>
        <v>0</v>
      </c>
      <c r="R27" s="926" t="str">
        <f>IF(S27&lt;&gt;0,CONCATENATE(input_values!$AW27,input_values!$AX27,input_values!$AY27),"")</f>
        <v/>
      </c>
      <c r="S27" s="492">
        <f>IF($V$5=0,0,IF(OR($A$10="Refined calculation mode",Results!$B$62="Show results of IESTI calculation only for crops with GAPs under assessment"),Table22[[#This Row],[Input for IESTI new (refined mode)]],Table22[[#This Row],[Input for IESTI new normal mode]]))</f>
        <v>0</v>
      </c>
      <c r="T27" s="886"/>
      <c r="U27" s="1408">
        <f>Table22[[#This Row],[MRL/ proposed MRL /CXL
(mg/kg)]]</f>
        <v>0</v>
      </c>
      <c r="V27" s="1409" t="str">
        <f t="shared" si="23"/>
        <v/>
      </c>
      <c r="W27" s="1387">
        <f t="shared" si="24"/>
        <v>1</v>
      </c>
      <c r="X27" s="1387">
        <f t="shared" si="25"/>
        <v>1</v>
      </c>
      <c r="Y27" s="1387">
        <f t="shared" si="26"/>
        <v>1</v>
      </c>
      <c r="Z27" s="1410">
        <v>4</v>
      </c>
      <c r="AA27" s="1387">
        <f t="shared" si="0"/>
        <v>0</v>
      </c>
      <c r="AB27" s="1387">
        <f>IF(Z27=A27,IF(AND(L27="N",Table22[[#This Row],[LOQ_label]]="Y"),AA27,$AA27*$Y27),"")</f>
        <v>0</v>
      </c>
      <c r="AC27" s="1393">
        <f t="shared" si="1"/>
        <v>0</v>
      </c>
      <c r="AD27" s="1393">
        <f>IF(Table22[[#This Row],[Median residue*CF*PeF]]&lt;&gt;"",Table22[[#This Row],[Median residue*CF*PeF]],Table22[[#This Row],[MRL*CF*PeF (chronic)]])</f>
        <v>0</v>
      </c>
      <c r="AE27" s="1393">
        <f t="shared" si="2"/>
        <v>0</v>
      </c>
      <c r="AF27" s="1390" t="str">
        <f t="shared" si="3"/>
        <v>MRL</v>
      </c>
      <c r="AG27" s="1390" t="str">
        <f t="shared" si="4"/>
        <v/>
      </c>
      <c r="AH27" s="1394" t="str">
        <f t="shared" si="5"/>
        <v/>
      </c>
      <c r="AI27" s="1386">
        <v>4</v>
      </c>
      <c r="AJ27" s="1387">
        <f t="shared" si="6"/>
        <v>0</v>
      </c>
      <c r="AK27" s="1387">
        <f>IF(AI27=A27,IF(AND(L27="N",Table22[[#This Row],[LOQ_label]]="Y"),AJ27,$AJ27*$Y27),"")</f>
        <v>0</v>
      </c>
      <c r="AL27" s="1388">
        <f t="shared" si="7"/>
        <v>0</v>
      </c>
      <c r="AM27" s="1393">
        <f>IF(Table22[[#This Row],[Highest residue * CF*PF]]&lt;&gt;"",Table22[[#This Row],[Highest residue * CF*PF]],Table22[[#This Row],[MRL*CF*PF or MRL (if LOQ and not authorised) (acute RA)]])</f>
        <v>0</v>
      </c>
      <c r="AN27" s="1390" t="str">
        <f t="shared" si="8"/>
        <v>MRL</v>
      </c>
      <c r="AO27" s="1390" t="str">
        <f t="shared" si="9"/>
        <v/>
      </c>
      <c r="AP27" s="1404" t="str">
        <f t="shared" si="10"/>
        <v/>
      </c>
      <c r="AQ27" s="1388">
        <f t="shared" si="11"/>
        <v>0</v>
      </c>
      <c r="AR27" s="1388" t="str">
        <f t="shared" si="12"/>
        <v/>
      </c>
      <c r="AS27" s="1388" t="str">
        <f t="shared" si="13"/>
        <v/>
      </c>
      <c r="AT27" s="1388" t="str">
        <f t="shared" si="14"/>
        <v/>
      </c>
      <c r="AU27" s="1393">
        <f t="shared" si="15"/>
        <v>0</v>
      </c>
      <c r="AV27" s="1388">
        <f t="shared" si="16"/>
        <v>0</v>
      </c>
      <c r="AW27" s="1390" t="str">
        <f t="shared" si="17"/>
        <v/>
      </c>
      <c r="AX27" s="1390" t="str">
        <f t="shared" si="27"/>
        <v/>
      </c>
      <c r="AY27" s="1394" t="str">
        <f t="shared" si="19"/>
        <v/>
      </c>
      <c r="AZ27" s="1395" t="str">
        <f>IF(Table22[[#This Row],[LOQ_label]]="Y",Table22[[#This Row],[MRL individual commodity]],"")</f>
        <v/>
      </c>
      <c r="BA27" s="1396" t="s">
        <v>1038</v>
      </c>
      <c r="BB27" s="1411" t="str">
        <f>IF(Table22[[#This Row],[LOQ2]]&lt;0,MIN(AZ27:AZ405),"")</f>
        <v/>
      </c>
      <c r="BC27" s="1299"/>
      <c r="BD27" s="1306" t="str">
        <f>IF(Table22[[#This Row],[Chronic RA label]]="","N",IF(Table22[[#This Row],[Chronic RA label]]="LOQ","N",IF(Table22[[#This Row],[Chronic RA label]]="MRL","N","Y")))</f>
        <v>N</v>
      </c>
      <c r="BE27" s="1306" t="str">
        <f>IF(Table22[[#This Row],[Acute RA label]]="","N",IF(Table22[[#This Row],[Acute RA label]]="LOQ","N",IF(Table22[[#This Row],[Acute RA label]]="MRL","N","Y")))</f>
        <v>N</v>
      </c>
      <c r="BF27" s="1306" t="str">
        <f>IF(OR(Table22[[#This Row],[include commodity in Summary_input_values_chronic]]="Y",Table22[[#This Row],[include commodity in Summary_input_values_acute]]="Y"),"Y","N")</f>
        <v>N</v>
      </c>
      <c r="BG27" s="1299"/>
      <c r="BH27" s="1324"/>
    </row>
    <row r="28" spans="1:60" ht="12.75" customHeight="1" outlineLevel="3" x14ac:dyDescent="0.2">
      <c r="A28" s="39">
        <v>4</v>
      </c>
      <c r="B28" s="327">
        <v>120080</v>
      </c>
      <c r="C28" s="23" t="s">
        <v>109</v>
      </c>
      <c r="D28" s="867"/>
      <c r="E28" s="1219"/>
      <c r="F28" s="867"/>
      <c r="G28" s="869"/>
      <c r="H28" s="863"/>
      <c r="I28" s="868"/>
      <c r="J28" s="870"/>
      <c r="K28" s="865"/>
      <c r="L28" s="872"/>
      <c r="M28" s="872"/>
      <c r="N28" s="925" t="str">
        <f>IF(O28&lt;&gt;0,CONCATENATE(input_values!$AF28,input_values!$AG28,input_values!$AH28),"")</f>
        <v/>
      </c>
      <c r="O28" s="491">
        <f>IF($A$10="Refined calculation mode",Table22[[#This Row],[input for chronic (refined mode]],Table22[[#This Row],[input for chronic normal mode]])</f>
        <v>0</v>
      </c>
      <c r="P28" s="925" t="str">
        <f>IF(Q28&lt;&gt;0,CONCATENATE(input_values!$AN28,input_values!$AO28,input_values!$AP28),"")</f>
        <v/>
      </c>
      <c r="Q28" s="491">
        <f>IF($V$5=0,0,IF(OR($A$10="Refined calculation mode",Results!$B$62="Show results of IESTI calculation only for crops with GAPs under assessment"),Table22[[#This Row],[Input for IESTI (refined mode)]],Table22[[#This Row],[Input for IESTI normal mode]]))</f>
        <v>0</v>
      </c>
      <c r="R28" s="926" t="str">
        <f>IF(S28&lt;&gt;0,CONCATENATE(input_values!$AW28,input_values!$AX28,input_values!$AY28),"")</f>
        <v/>
      </c>
      <c r="S28" s="492">
        <f>IF($V$5=0,0,IF(OR($A$10="Refined calculation mode",Results!$B$62="Show results of IESTI calculation only for crops with GAPs under assessment"),Table22[[#This Row],[Input for IESTI new (refined mode)]],Table22[[#This Row],[Input for IESTI new normal mode]]))</f>
        <v>0</v>
      </c>
      <c r="T28" s="886"/>
      <c r="U28" s="1408">
        <f>Table22[[#This Row],[MRL/ proposed MRL /CXL
(mg/kg)]]</f>
        <v>0</v>
      </c>
      <c r="V28" s="1409" t="str">
        <f t="shared" si="23"/>
        <v/>
      </c>
      <c r="W28" s="1387">
        <f t="shared" si="24"/>
        <v>1</v>
      </c>
      <c r="X28" s="1387">
        <f t="shared" si="25"/>
        <v>1</v>
      </c>
      <c r="Y28" s="1387">
        <f t="shared" si="26"/>
        <v>1</v>
      </c>
      <c r="Z28" s="1410">
        <v>4</v>
      </c>
      <c r="AA28" s="1387">
        <f t="shared" si="0"/>
        <v>0</v>
      </c>
      <c r="AB28" s="1387">
        <f>IF(Z28=A28,IF(AND(L28="N",Table22[[#This Row],[LOQ_label]]="Y"),AA28,$AA28*$Y28),"")</f>
        <v>0</v>
      </c>
      <c r="AC28" s="1393">
        <f t="shared" si="1"/>
        <v>0</v>
      </c>
      <c r="AD28" s="1393">
        <f>IF(Table22[[#This Row],[Median residue*CF*PeF]]&lt;&gt;"",Table22[[#This Row],[Median residue*CF*PeF]],Table22[[#This Row],[MRL*CF*PeF (chronic)]])</f>
        <v>0</v>
      </c>
      <c r="AE28" s="1393">
        <f t="shared" si="2"/>
        <v>0</v>
      </c>
      <c r="AF28" s="1390" t="str">
        <f t="shared" si="3"/>
        <v>MRL</v>
      </c>
      <c r="AG28" s="1390" t="str">
        <f t="shared" si="4"/>
        <v/>
      </c>
      <c r="AH28" s="1394" t="str">
        <f t="shared" si="5"/>
        <v/>
      </c>
      <c r="AI28" s="1386">
        <v>4</v>
      </c>
      <c r="AJ28" s="1387">
        <f t="shared" si="6"/>
        <v>0</v>
      </c>
      <c r="AK28" s="1387">
        <f>IF(AI28=A28,IF(AND(L28="N",Table22[[#This Row],[LOQ_label]]="Y"),AJ28,$AJ28*$Y28),"")</f>
        <v>0</v>
      </c>
      <c r="AL28" s="1388">
        <f t="shared" si="7"/>
        <v>0</v>
      </c>
      <c r="AM28" s="1393">
        <f>IF(Table22[[#This Row],[Highest residue * CF*PF]]&lt;&gt;"",Table22[[#This Row],[Highest residue * CF*PF]],Table22[[#This Row],[MRL*CF*PF or MRL (if LOQ and not authorised) (acute RA)]])</f>
        <v>0</v>
      </c>
      <c r="AN28" s="1390" t="str">
        <f t="shared" si="8"/>
        <v>MRL</v>
      </c>
      <c r="AO28" s="1390" t="str">
        <f t="shared" si="9"/>
        <v/>
      </c>
      <c r="AP28" s="1404" t="str">
        <f t="shared" si="10"/>
        <v/>
      </c>
      <c r="AQ28" s="1388">
        <f t="shared" si="11"/>
        <v>0</v>
      </c>
      <c r="AR28" s="1388" t="str">
        <f t="shared" si="12"/>
        <v/>
      </c>
      <c r="AS28" s="1388" t="str">
        <f t="shared" si="13"/>
        <v/>
      </c>
      <c r="AT28" s="1388" t="str">
        <f t="shared" si="14"/>
        <v/>
      </c>
      <c r="AU28" s="1393">
        <f t="shared" si="15"/>
        <v>0</v>
      </c>
      <c r="AV28" s="1388">
        <f t="shared" si="16"/>
        <v>0</v>
      </c>
      <c r="AW28" s="1390" t="str">
        <f t="shared" si="17"/>
        <v/>
      </c>
      <c r="AX28" s="1390" t="str">
        <f t="shared" si="27"/>
        <v/>
      </c>
      <c r="AY28" s="1394" t="str">
        <f t="shared" si="19"/>
        <v/>
      </c>
      <c r="AZ28" s="1395" t="str">
        <f>IF(Table22[[#This Row],[LOQ_label]]="Y",Table22[[#This Row],[MRL individual commodity]],"")</f>
        <v/>
      </c>
      <c r="BA28" s="1396" t="s">
        <v>1038</v>
      </c>
      <c r="BB28" s="1411" t="str">
        <f>IF(Table22[[#This Row],[LOQ2]]&lt;0,MIN(AZ28:AZ406),"")</f>
        <v/>
      </c>
      <c r="BC28" s="1299"/>
      <c r="BD28" s="1306" t="str">
        <f>IF(Table22[[#This Row],[Chronic RA label]]="","N",IF(Table22[[#This Row],[Chronic RA label]]="LOQ","N",IF(Table22[[#This Row],[Chronic RA label]]="MRL","N","Y")))</f>
        <v>N</v>
      </c>
      <c r="BE28" s="1306" t="str">
        <f>IF(Table22[[#This Row],[Acute RA label]]="","N",IF(Table22[[#This Row],[Acute RA label]]="LOQ","N",IF(Table22[[#This Row],[Acute RA label]]="MRL","N","Y")))</f>
        <v>N</v>
      </c>
      <c r="BF28" s="1306" t="str">
        <f>IF(OR(Table22[[#This Row],[include commodity in Summary_input_values_chronic]]="Y",Table22[[#This Row],[include commodity in Summary_input_values_acute]]="Y"),"Y","N")</f>
        <v>N</v>
      </c>
      <c r="BG28" s="1299"/>
      <c r="BH28" s="1324"/>
    </row>
    <row r="29" spans="1:60" ht="12.75" customHeight="1" outlineLevel="3" x14ac:dyDescent="0.2">
      <c r="A29" s="39">
        <v>4</v>
      </c>
      <c r="B29" s="327">
        <v>120090</v>
      </c>
      <c r="C29" s="23" t="s">
        <v>682</v>
      </c>
      <c r="D29" s="867"/>
      <c r="E29" s="1219"/>
      <c r="F29" s="867"/>
      <c r="G29" s="869"/>
      <c r="H29" s="863"/>
      <c r="I29" s="868"/>
      <c r="J29" s="870"/>
      <c r="K29" s="865"/>
      <c r="L29" s="872"/>
      <c r="M29" s="872"/>
      <c r="N29" s="925" t="str">
        <f>IF(O29&lt;&gt;0,CONCATENATE(input_values!$AF29,input_values!$AG29,input_values!$AH29),"")</f>
        <v/>
      </c>
      <c r="O29" s="491">
        <f>IF($A$10="Refined calculation mode",Table22[[#This Row],[input for chronic (refined mode]],Table22[[#This Row],[input for chronic normal mode]])</f>
        <v>0</v>
      </c>
      <c r="P29" s="925" t="str">
        <f>IF(Q29&lt;&gt;0,CONCATENATE(input_values!$AN29,input_values!$AO29,input_values!$AP29),"")</f>
        <v/>
      </c>
      <c r="Q29" s="491">
        <f>IF($V$5=0,0,IF(OR($A$10="Refined calculation mode",Results!$B$62="Show results of IESTI calculation only for crops with GAPs under assessment"),Table22[[#This Row],[Input for IESTI (refined mode)]],Table22[[#This Row],[Input for IESTI normal mode]]))</f>
        <v>0</v>
      </c>
      <c r="R29" s="926" t="str">
        <f>IF(S29&lt;&gt;0,CONCATENATE(input_values!$AW29,input_values!$AX29,input_values!$AY29),"")</f>
        <v/>
      </c>
      <c r="S29" s="492">
        <f>IF($V$5=0,0,IF(OR($A$10="Refined calculation mode",Results!$B$62="Show results of IESTI calculation only for crops with GAPs under assessment"),Table22[[#This Row],[Input for IESTI new (refined mode)]],Table22[[#This Row],[Input for IESTI new normal mode]]))</f>
        <v>0</v>
      </c>
      <c r="T29" s="886"/>
      <c r="U29" s="1408">
        <f>Table22[[#This Row],[MRL/ proposed MRL /CXL
(mg/kg)]]</f>
        <v>0</v>
      </c>
      <c r="V29" s="1409" t="str">
        <f t="shared" si="23"/>
        <v/>
      </c>
      <c r="W29" s="1387">
        <f t="shared" si="24"/>
        <v>1</v>
      </c>
      <c r="X29" s="1387">
        <f t="shared" si="25"/>
        <v>1</v>
      </c>
      <c r="Y29" s="1387">
        <f t="shared" si="26"/>
        <v>1</v>
      </c>
      <c r="Z29" s="1410">
        <v>4</v>
      </c>
      <c r="AA29" s="1387">
        <f t="shared" si="0"/>
        <v>0</v>
      </c>
      <c r="AB29" s="1387">
        <f>IF(Z29=A29,IF(AND(L29="N",Table22[[#This Row],[LOQ_label]]="Y"),AA29,$AA29*$Y29),"")</f>
        <v>0</v>
      </c>
      <c r="AC29" s="1393">
        <f t="shared" si="1"/>
        <v>0</v>
      </c>
      <c r="AD29" s="1393">
        <f>IF(Table22[[#This Row],[Median residue*CF*PeF]]&lt;&gt;"",Table22[[#This Row],[Median residue*CF*PeF]],Table22[[#This Row],[MRL*CF*PeF (chronic)]])</f>
        <v>0</v>
      </c>
      <c r="AE29" s="1393">
        <f t="shared" si="2"/>
        <v>0</v>
      </c>
      <c r="AF29" s="1390" t="str">
        <f t="shared" si="3"/>
        <v>MRL</v>
      </c>
      <c r="AG29" s="1390" t="str">
        <f t="shared" si="4"/>
        <v/>
      </c>
      <c r="AH29" s="1394" t="str">
        <f t="shared" si="5"/>
        <v/>
      </c>
      <c r="AI29" s="1386">
        <v>4</v>
      </c>
      <c r="AJ29" s="1387">
        <f t="shared" si="6"/>
        <v>0</v>
      </c>
      <c r="AK29" s="1387">
        <f>IF(AI29=A29,IF(AND(L29="N",Table22[[#This Row],[LOQ_label]]="Y"),AJ29,$AJ29*$Y29),"")</f>
        <v>0</v>
      </c>
      <c r="AL29" s="1388">
        <f t="shared" si="7"/>
        <v>0</v>
      </c>
      <c r="AM29" s="1393">
        <f>IF(Table22[[#This Row],[Highest residue * CF*PF]]&lt;&gt;"",Table22[[#This Row],[Highest residue * CF*PF]],Table22[[#This Row],[MRL*CF*PF or MRL (if LOQ and not authorised) (acute RA)]])</f>
        <v>0</v>
      </c>
      <c r="AN29" s="1390" t="str">
        <f t="shared" si="8"/>
        <v>MRL</v>
      </c>
      <c r="AO29" s="1390" t="str">
        <f t="shared" si="9"/>
        <v/>
      </c>
      <c r="AP29" s="1404" t="str">
        <f t="shared" si="10"/>
        <v/>
      </c>
      <c r="AQ29" s="1388">
        <f t="shared" si="11"/>
        <v>0</v>
      </c>
      <c r="AR29" s="1388" t="str">
        <f t="shared" si="12"/>
        <v/>
      </c>
      <c r="AS29" s="1388" t="str">
        <f t="shared" si="13"/>
        <v/>
      </c>
      <c r="AT29" s="1388" t="str">
        <f t="shared" si="14"/>
        <v/>
      </c>
      <c r="AU29" s="1393">
        <f t="shared" si="15"/>
        <v>0</v>
      </c>
      <c r="AV29" s="1388">
        <f t="shared" si="16"/>
        <v>0</v>
      </c>
      <c r="AW29" s="1390" t="str">
        <f t="shared" si="17"/>
        <v/>
      </c>
      <c r="AX29" s="1390" t="str">
        <f t="shared" si="27"/>
        <v/>
      </c>
      <c r="AY29" s="1394" t="str">
        <f t="shared" si="19"/>
        <v/>
      </c>
      <c r="AZ29" s="1395" t="str">
        <f>IF(Table22[[#This Row],[LOQ_label]]="Y",Table22[[#This Row],[MRL individual commodity]],"")</f>
        <v/>
      </c>
      <c r="BA29" s="1396" t="s">
        <v>1038</v>
      </c>
      <c r="BB29" s="1411" t="str">
        <f>IF(Table22[[#This Row],[LOQ2]]&lt;0,MIN(AZ29:AZ408),"")</f>
        <v/>
      </c>
      <c r="BC29" s="1299"/>
      <c r="BD29" s="1306" t="str">
        <f>IF(Table22[[#This Row],[Chronic RA label]]="","N",IF(Table22[[#This Row],[Chronic RA label]]="LOQ","N",IF(Table22[[#This Row],[Chronic RA label]]="MRL","N","Y")))</f>
        <v>N</v>
      </c>
      <c r="BE29" s="1306" t="str">
        <f>IF(Table22[[#This Row],[Acute RA label]]="","N",IF(Table22[[#This Row],[Acute RA label]]="LOQ","N",IF(Table22[[#This Row],[Acute RA label]]="MRL","N","Y")))</f>
        <v>N</v>
      </c>
      <c r="BF29" s="1306" t="str">
        <f>IF(OR(Table22[[#This Row],[include commodity in Summary_input_values_chronic]]="Y",Table22[[#This Row],[include commodity in Summary_input_values_acute]]="Y"),"Y","N")</f>
        <v>N</v>
      </c>
      <c r="BG29" s="1299"/>
      <c r="BH29" s="1324"/>
    </row>
    <row r="30" spans="1:60" ht="12.75" customHeight="1" outlineLevel="3" x14ac:dyDescent="0.2">
      <c r="A30" s="39">
        <v>4</v>
      </c>
      <c r="B30" s="327">
        <v>120100</v>
      </c>
      <c r="C30" s="23" t="s">
        <v>110</v>
      </c>
      <c r="D30" s="867"/>
      <c r="E30" s="1219"/>
      <c r="F30" s="867"/>
      <c r="G30" s="869"/>
      <c r="H30" s="863"/>
      <c r="I30" s="868"/>
      <c r="J30" s="870"/>
      <c r="K30" s="865"/>
      <c r="L30" s="872"/>
      <c r="M30" s="872"/>
      <c r="N30" s="925" t="str">
        <f>IF(O30&lt;&gt;0,CONCATENATE(input_values!$AF30,input_values!$AG30,input_values!$AH30),"")</f>
        <v/>
      </c>
      <c r="O30" s="491">
        <f>IF($A$10="Refined calculation mode",Table22[[#This Row],[input for chronic (refined mode]],Table22[[#This Row],[input for chronic normal mode]])</f>
        <v>0</v>
      </c>
      <c r="P30" s="925" t="str">
        <f>IF(Q30&lt;&gt;0,CONCATENATE(input_values!$AN30,input_values!$AO30,input_values!$AP30),"")</f>
        <v/>
      </c>
      <c r="Q30" s="491">
        <f>IF($V$5=0,0,IF(OR($A$10="Refined calculation mode",Results!$B$62="Show results of IESTI calculation only for crops with GAPs under assessment"),Table22[[#This Row],[Input for IESTI (refined mode)]],Table22[[#This Row],[Input for IESTI normal mode]]))</f>
        <v>0</v>
      </c>
      <c r="R30" s="926" t="str">
        <f>IF(S30&lt;&gt;0,CONCATENATE(input_values!$AW30,input_values!$AX30,input_values!$AY30),"")</f>
        <v/>
      </c>
      <c r="S30" s="492">
        <f>IF($V$5=0,0,IF(OR($A$10="Refined calculation mode",Results!$B$62="Show results of IESTI calculation only for crops with GAPs under assessment"),Table22[[#This Row],[Input for IESTI new (refined mode)]],Table22[[#This Row],[Input for IESTI new normal mode]]))</f>
        <v>0</v>
      </c>
      <c r="T30" s="886"/>
      <c r="U30" s="1408">
        <f>Table22[[#This Row],[MRL/ proposed MRL /CXL
(mg/kg)]]</f>
        <v>0</v>
      </c>
      <c r="V30" s="1409" t="str">
        <f t="shared" si="23"/>
        <v/>
      </c>
      <c r="W30" s="1387">
        <f t="shared" si="24"/>
        <v>1</v>
      </c>
      <c r="X30" s="1387">
        <f t="shared" si="25"/>
        <v>1</v>
      </c>
      <c r="Y30" s="1387">
        <f t="shared" si="26"/>
        <v>1</v>
      </c>
      <c r="Z30" s="1410">
        <v>4</v>
      </c>
      <c r="AA30" s="1387">
        <f t="shared" si="0"/>
        <v>0</v>
      </c>
      <c r="AB30" s="1387">
        <f>IF(Z30=A30,IF(AND(L30="N",Table22[[#This Row],[LOQ_label]]="Y"),AA30,$AA30*$Y30),"")</f>
        <v>0</v>
      </c>
      <c r="AC30" s="1393">
        <f t="shared" si="1"/>
        <v>0</v>
      </c>
      <c r="AD30" s="1393">
        <f>IF(Table22[[#This Row],[Median residue*CF*PeF]]&lt;&gt;"",Table22[[#This Row],[Median residue*CF*PeF]],Table22[[#This Row],[MRL*CF*PeF (chronic)]])</f>
        <v>0</v>
      </c>
      <c r="AE30" s="1393">
        <f t="shared" si="2"/>
        <v>0</v>
      </c>
      <c r="AF30" s="1390" t="str">
        <f t="shared" si="3"/>
        <v>MRL</v>
      </c>
      <c r="AG30" s="1390" t="str">
        <f t="shared" si="4"/>
        <v/>
      </c>
      <c r="AH30" s="1394" t="str">
        <f t="shared" si="5"/>
        <v/>
      </c>
      <c r="AI30" s="1386">
        <v>4</v>
      </c>
      <c r="AJ30" s="1387">
        <f t="shared" si="6"/>
        <v>0</v>
      </c>
      <c r="AK30" s="1387">
        <f>IF(AI30=A30,IF(AND(L30="N",Table22[[#This Row],[LOQ_label]]="Y"),AJ30,$AJ30*$Y30),"")</f>
        <v>0</v>
      </c>
      <c r="AL30" s="1388">
        <f t="shared" si="7"/>
        <v>0</v>
      </c>
      <c r="AM30" s="1393">
        <f>IF(Table22[[#This Row],[Highest residue * CF*PF]]&lt;&gt;"",Table22[[#This Row],[Highest residue * CF*PF]],Table22[[#This Row],[MRL*CF*PF or MRL (if LOQ and not authorised) (acute RA)]])</f>
        <v>0</v>
      </c>
      <c r="AN30" s="1390" t="str">
        <f t="shared" si="8"/>
        <v>MRL</v>
      </c>
      <c r="AO30" s="1390" t="str">
        <f t="shared" si="9"/>
        <v/>
      </c>
      <c r="AP30" s="1404" t="str">
        <f t="shared" si="10"/>
        <v/>
      </c>
      <c r="AQ30" s="1388">
        <f t="shared" si="11"/>
        <v>0</v>
      </c>
      <c r="AR30" s="1388" t="str">
        <f t="shared" si="12"/>
        <v/>
      </c>
      <c r="AS30" s="1388" t="str">
        <f t="shared" si="13"/>
        <v/>
      </c>
      <c r="AT30" s="1388" t="str">
        <f t="shared" si="14"/>
        <v/>
      </c>
      <c r="AU30" s="1393">
        <f t="shared" si="15"/>
        <v>0</v>
      </c>
      <c r="AV30" s="1388">
        <f t="shared" si="16"/>
        <v>0</v>
      </c>
      <c r="AW30" s="1390" t="str">
        <f t="shared" si="17"/>
        <v/>
      </c>
      <c r="AX30" s="1390" t="str">
        <f t="shared" si="27"/>
        <v/>
      </c>
      <c r="AY30" s="1394" t="str">
        <f t="shared" si="19"/>
        <v/>
      </c>
      <c r="AZ30" s="1395" t="str">
        <f>IF(Table22[[#This Row],[LOQ_label]]="Y",Table22[[#This Row],[MRL individual commodity]],"")</f>
        <v/>
      </c>
      <c r="BA30" s="1396" t="s">
        <v>1038</v>
      </c>
      <c r="BB30" s="1411" t="str">
        <f>IF(Table22[[#This Row],[LOQ2]]&lt;0,MIN(AZ30:AZ408),"")</f>
        <v/>
      </c>
      <c r="BC30" s="1299"/>
      <c r="BD30" s="1306" t="str">
        <f>IF(Table22[[#This Row],[Chronic RA label]]="","N",IF(Table22[[#This Row],[Chronic RA label]]="LOQ","N",IF(Table22[[#This Row],[Chronic RA label]]="MRL","N","Y")))</f>
        <v>N</v>
      </c>
      <c r="BE30" s="1306" t="str">
        <f>IF(Table22[[#This Row],[Acute RA label]]="","N",IF(Table22[[#This Row],[Acute RA label]]="LOQ","N",IF(Table22[[#This Row],[Acute RA label]]="MRL","N","Y")))</f>
        <v>N</v>
      </c>
      <c r="BF30" s="1306" t="str">
        <f>IF(OR(Table22[[#This Row],[include commodity in Summary_input_values_chronic]]="Y",Table22[[#This Row],[include commodity in Summary_input_values_acute]]="Y"),"Y","N")</f>
        <v>N</v>
      </c>
      <c r="BG30" s="1299"/>
      <c r="BH30" s="1324"/>
    </row>
    <row r="31" spans="1:60" ht="12.75" customHeight="1" outlineLevel="3" x14ac:dyDescent="0.2">
      <c r="A31" s="39">
        <v>4</v>
      </c>
      <c r="B31" s="327">
        <v>120110</v>
      </c>
      <c r="C31" s="23" t="s">
        <v>111</v>
      </c>
      <c r="D31" s="867"/>
      <c r="E31" s="1219"/>
      <c r="F31" s="867"/>
      <c r="G31" s="869"/>
      <c r="H31" s="863"/>
      <c r="I31" s="868"/>
      <c r="J31" s="870"/>
      <c r="K31" s="865"/>
      <c r="L31" s="872"/>
      <c r="M31" s="872"/>
      <c r="N31" s="925" t="str">
        <f>IF(O31&lt;&gt;0,CONCATENATE(input_values!$AF31,input_values!$AG31,input_values!$AH31),"")</f>
        <v/>
      </c>
      <c r="O31" s="491">
        <f>IF($A$10="Refined calculation mode",Table22[[#This Row],[input for chronic (refined mode]],Table22[[#This Row],[input for chronic normal mode]])</f>
        <v>0</v>
      </c>
      <c r="P31" s="925" t="str">
        <f>IF(Q31&lt;&gt;0,CONCATENATE(input_values!$AN31,input_values!$AO31,input_values!$AP31),"")</f>
        <v/>
      </c>
      <c r="Q31" s="491">
        <f>IF($V$5=0,0,IF(OR($A$10="Refined calculation mode",Results!$B$62="Show results of IESTI calculation only for crops with GAPs under assessment"),Table22[[#This Row],[Input for IESTI (refined mode)]],Table22[[#This Row],[Input for IESTI normal mode]]))</f>
        <v>0</v>
      </c>
      <c r="R31" s="926" t="str">
        <f>IF(S31&lt;&gt;0,CONCATENATE(input_values!$AW31,input_values!$AX31,input_values!$AY31),"")</f>
        <v/>
      </c>
      <c r="S31" s="492">
        <f>IF($V$5=0,0,IF(OR($A$10="Refined calculation mode",Results!$B$62="Show results of IESTI calculation only for crops with GAPs under assessment"),Table22[[#This Row],[Input for IESTI new (refined mode)]],Table22[[#This Row],[Input for IESTI new normal mode]]))</f>
        <v>0</v>
      </c>
      <c r="T31" s="886"/>
      <c r="U31" s="1408">
        <f>Table22[[#This Row],[MRL/ proposed MRL /CXL
(mg/kg)]]</f>
        <v>0</v>
      </c>
      <c r="V31" s="1409" t="str">
        <f t="shared" si="23"/>
        <v/>
      </c>
      <c r="W31" s="1387">
        <f t="shared" si="24"/>
        <v>1</v>
      </c>
      <c r="X31" s="1387">
        <f t="shared" si="25"/>
        <v>1</v>
      </c>
      <c r="Y31" s="1387">
        <f t="shared" si="26"/>
        <v>1</v>
      </c>
      <c r="Z31" s="1410">
        <v>4</v>
      </c>
      <c r="AA31" s="1387">
        <f t="shared" si="0"/>
        <v>0</v>
      </c>
      <c r="AB31" s="1387">
        <f>IF(Z31=A31,IF(AND(L31="N",Table22[[#This Row],[LOQ_label]]="Y"),AA31,$AA31*$Y31),"")</f>
        <v>0</v>
      </c>
      <c r="AC31" s="1393">
        <f t="shared" si="1"/>
        <v>0</v>
      </c>
      <c r="AD31" s="1393">
        <f>IF(Table22[[#This Row],[Median residue*CF*PeF]]&lt;&gt;"",Table22[[#This Row],[Median residue*CF*PeF]],Table22[[#This Row],[MRL*CF*PeF (chronic)]])</f>
        <v>0</v>
      </c>
      <c r="AE31" s="1393">
        <f t="shared" si="2"/>
        <v>0</v>
      </c>
      <c r="AF31" s="1390" t="str">
        <f t="shared" si="3"/>
        <v>MRL</v>
      </c>
      <c r="AG31" s="1390" t="str">
        <f t="shared" si="4"/>
        <v/>
      </c>
      <c r="AH31" s="1394" t="str">
        <f t="shared" si="5"/>
        <v/>
      </c>
      <c r="AI31" s="1386">
        <v>4</v>
      </c>
      <c r="AJ31" s="1387">
        <f t="shared" si="6"/>
        <v>0</v>
      </c>
      <c r="AK31" s="1387">
        <f>IF(AI31=A31,IF(AND(L31="N",Table22[[#This Row],[LOQ_label]]="Y"),AJ31,$AJ31*$Y31),"")</f>
        <v>0</v>
      </c>
      <c r="AL31" s="1388">
        <f t="shared" si="7"/>
        <v>0</v>
      </c>
      <c r="AM31" s="1393">
        <f>IF(Table22[[#This Row],[Highest residue * CF*PF]]&lt;&gt;"",Table22[[#This Row],[Highest residue * CF*PF]],Table22[[#This Row],[MRL*CF*PF or MRL (if LOQ and not authorised) (acute RA)]])</f>
        <v>0</v>
      </c>
      <c r="AN31" s="1390" t="str">
        <f t="shared" si="8"/>
        <v>MRL</v>
      </c>
      <c r="AO31" s="1390" t="str">
        <f t="shared" si="9"/>
        <v/>
      </c>
      <c r="AP31" s="1404" t="str">
        <f t="shared" si="10"/>
        <v/>
      </c>
      <c r="AQ31" s="1388">
        <f t="shared" si="11"/>
        <v>0</v>
      </c>
      <c r="AR31" s="1388" t="str">
        <f t="shared" si="12"/>
        <v/>
      </c>
      <c r="AS31" s="1388" t="str">
        <f t="shared" si="13"/>
        <v/>
      </c>
      <c r="AT31" s="1388" t="str">
        <f t="shared" si="14"/>
        <v/>
      </c>
      <c r="AU31" s="1393">
        <f t="shared" si="15"/>
        <v>0</v>
      </c>
      <c r="AV31" s="1388">
        <f t="shared" si="16"/>
        <v>0</v>
      </c>
      <c r="AW31" s="1390" t="str">
        <f t="shared" si="17"/>
        <v/>
      </c>
      <c r="AX31" s="1390" t="str">
        <f t="shared" si="27"/>
        <v/>
      </c>
      <c r="AY31" s="1394" t="str">
        <f t="shared" si="19"/>
        <v/>
      </c>
      <c r="AZ31" s="1395" t="str">
        <f>IF(Table22[[#This Row],[LOQ_label]]="Y",Table22[[#This Row],[MRL individual commodity]],"")</f>
        <v/>
      </c>
      <c r="BA31" s="1396" t="s">
        <v>1038</v>
      </c>
      <c r="BB31" s="1411" t="str">
        <f>IF(Table22[[#This Row],[LOQ2]]&lt;0,MIN(AZ31:AZ409),"")</f>
        <v/>
      </c>
      <c r="BC31" s="1299"/>
      <c r="BD31" s="1306" t="str">
        <f>IF(Table22[[#This Row],[Chronic RA label]]="","N",IF(Table22[[#This Row],[Chronic RA label]]="LOQ","N",IF(Table22[[#This Row],[Chronic RA label]]="MRL","N","Y")))</f>
        <v>N</v>
      </c>
      <c r="BE31" s="1306" t="str">
        <f>IF(Table22[[#This Row],[Acute RA label]]="","N",IF(Table22[[#This Row],[Acute RA label]]="LOQ","N",IF(Table22[[#This Row],[Acute RA label]]="MRL","N","Y")))</f>
        <v>N</v>
      </c>
      <c r="BF31" s="1306" t="str">
        <f>IF(OR(Table22[[#This Row],[include commodity in Summary_input_values_chronic]]="Y",Table22[[#This Row],[include commodity in Summary_input_values_acute]]="Y"),"Y","N")</f>
        <v>N</v>
      </c>
      <c r="BG31" s="1299"/>
      <c r="BH31" s="1324"/>
    </row>
    <row r="32" spans="1:60" ht="12.75" customHeight="1" outlineLevel="3" x14ac:dyDescent="0.2">
      <c r="A32" s="39">
        <v>4</v>
      </c>
      <c r="B32" s="327">
        <v>120990</v>
      </c>
      <c r="C32" s="23" t="s">
        <v>48</v>
      </c>
      <c r="D32" s="867"/>
      <c r="E32" s="1219"/>
      <c r="F32" s="867"/>
      <c r="G32" s="869"/>
      <c r="H32" s="863"/>
      <c r="I32" s="868"/>
      <c r="J32" s="870"/>
      <c r="K32" s="865"/>
      <c r="L32" s="872"/>
      <c r="M32" s="872"/>
      <c r="N32" s="925" t="str">
        <f>IF(O32&lt;&gt;0,CONCATENATE(input_values!$AF32,input_values!$AG32,input_values!$AH32),"")</f>
        <v/>
      </c>
      <c r="O32" s="491">
        <f>IF($A$10="Refined calculation mode",Table22[[#This Row],[input for chronic (refined mode]],Table22[[#This Row],[input for chronic normal mode]])</f>
        <v>0</v>
      </c>
      <c r="P32" s="473"/>
      <c r="Q32" s="474"/>
      <c r="R32" s="473"/>
      <c r="S32" s="474"/>
      <c r="T32" s="886"/>
      <c r="U32" s="1408">
        <f>Table22[[#This Row],[MRL/ proposed MRL /CXL
(mg/kg)]]</f>
        <v>0</v>
      </c>
      <c r="V32" s="1409" t="str">
        <f t="shared" si="23"/>
        <v/>
      </c>
      <c r="W32" s="1387">
        <f t="shared" si="24"/>
        <v>1</v>
      </c>
      <c r="X32" s="1387">
        <f t="shared" si="25"/>
        <v>1</v>
      </c>
      <c r="Y32" s="1387">
        <f t="shared" si="26"/>
        <v>1</v>
      </c>
      <c r="Z32" s="1410">
        <v>4</v>
      </c>
      <c r="AA32" s="1387">
        <f t="shared" si="0"/>
        <v>0</v>
      </c>
      <c r="AB32" s="1387">
        <f>IF(Z32=A32,IF(AND(L32="N",Table22[[#This Row],[LOQ_label]]="Y"),AA32,$AA32*$Y32),"")</f>
        <v>0</v>
      </c>
      <c r="AC32" s="1393">
        <f t="shared" si="1"/>
        <v>0</v>
      </c>
      <c r="AD32" s="1393">
        <f>IF(Table22[[#This Row],[Median residue*CF*PeF]]&lt;&gt;"",Table22[[#This Row],[Median residue*CF*PeF]],Table22[[#This Row],[MRL*CF*PeF (chronic)]])</f>
        <v>0</v>
      </c>
      <c r="AE32" s="1393">
        <f t="shared" si="2"/>
        <v>0</v>
      </c>
      <c r="AF32" s="1390" t="str">
        <f t="shared" si="3"/>
        <v>MRL</v>
      </c>
      <c r="AG32" s="1390" t="str">
        <f t="shared" si="4"/>
        <v/>
      </c>
      <c r="AH32" s="1394" t="str">
        <f t="shared" si="5"/>
        <v/>
      </c>
      <c r="AI32" s="1386"/>
      <c r="AJ32" s="1387" t="str">
        <f t="shared" si="6"/>
        <v/>
      </c>
      <c r="AK32" s="1387" t="str">
        <f>IF(AI32=A32,IF(AND(L32="N",Table22[[#This Row],[LOQ_label]]="Y"),AJ32,$AJ32*$Y32),"")</f>
        <v/>
      </c>
      <c r="AL32" s="1388" t="str">
        <f t="shared" si="7"/>
        <v/>
      </c>
      <c r="AM32" s="1393" t="str">
        <f>IF(Table22[[#This Row],[Highest residue * CF*PF]]&lt;&gt;"",Table22[[#This Row],[Highest residue * CF*PF]],Table22[[#This Row],[MRL*CF*PF or MRL (if LOQ and not authorised) (acute RA)]])</f>
        <v/>
      </c>
      <c r="AN32" s="1390" t="str">
        <f t="shared" si="8"/>
        <v/>
      </c>
      <c r="AO32" s="1390" t="str">
        <f t="shared" si="9"/>
        <v/>
      </c>
      <c r="AP32" s="1404" t="str">
        <f t="shared" si="10"/>
        <v/>
      </c>
      <c r="AQ32" s="1388">
        <f t="shared" si="11"/>
        <v>0</v>
      </c>
      <c r="AR32" s="1388" t="str">
        <f t="shared" si="12"/>
        <v/>
      </c>
      <c r="AS32" s="1388" t="str">
        <f t="shared" si="13"/>
        <v/>
      </c>
      <c r="AT32" s="1388" t="str">
        <f t="shared" si="14"/>
        <v/>
      </c>
      <c r="AU32" s="1393" t="str">
        <f t="shared" si="15"/>
        <v/>
      </c>
      <c r="AV32" s="1388">
        <f t="shared" si="16"/>
        <v>0</v>
      </c>
      <c r="AW32" s="1390" t="str">
        <f t="shared" si="17"/>
        <v/>
      </c>
      <c r="AX32" s="1390" t="str">
        <f>IF(AND(AN32&lt;&gt;"",AY32&lt;&gt;""),"*","")</f>
        <v/>
      </c>
      <c r="AY32" s="1394" t="str">
        <f t="shared" si="19"/>
        <v/>
      </c>
      <c r="AZ32" s="1395" t="str">
        <f>IF(Table22[[#This Row],[LOQ_label]]="Y",Table22[[#This Row],[MRL individual commodity]],"")</f>
        <v/>
      </c>
      <c r="BA32" s="1396" t="s">
        <v>1159</v>
      </c>
      <c r="BB32" s="1411" t="str">
        <f>IF(Table22[[#This Row],[LOQ2]]&lt;0,MIN(AZ32:AZ410),"")</f>
        <v/>
      </c>
      <c r="BC32" s="1299"/>
      <c r="BD32" s="1306" t="str">
        <f>IF(Table22[[#This Row],[Chronic RA label]]="","N",IF(Table22[[#This Row],[Chronic RA label]]="LOQ","N",IF(Table22[[#This Row],[Chronic RA label]]="MRL","N","Y")))</f>
        <v>N</v>
      </c>
      <c r="BE32" s="1306" t="str">
        <f>IF(Table22[[#This Row],[Acute RA label]]="","N",IF(Table22[[#This Row],[Acute RA label]]="LOQ","N",IF(Table22[[#This Row],[Acute RA label]]="MRL","N","Y")))</f>
        <v>N</v>
      </c>
      <c r="BF32" s="1306" t="str">
        <f>IF(OR(Table22[[#This Row],[include commodity in Summary_input_values_chronic]]="Y",Table22[[#This Row],[include commodity in Summary_input_values_acute]]="Y"),"Y","N")</f>
        <v>N</v>
      </c>
      <c r="BG32" s="1299"/>
      <c r="BH32" s="1324"/>
    </row>
    <row r="33" spans="1:60" ht="12.75" customHeight="1" outlineLevel="1" x14ac:dyDescent="0.2">
      <c r="A33" s="130">
        <v>2</v>
      </c>
      <c r="B33" s="447">
        <v>130000</v>
      </c>
      <c r="C33" s="131" t="s">
        <v>293</v>
      </c>
      <c r="D33" s="862"/>
      <c r="E33" s="1218"/>
      <c r="F33" s="862"/>
      <c r="G33" s="866"/>
      <c r="H33" s="863"/>
      <c r="I33" s="863"/>
      <c r="J33" s="864"/>
      <c r="K33" s="865"/>
      <c r="L33" s="471"/>
      <c r="M33" s="471"/>
      <c r="N33" s="473"/>
      <c r="O33" s="474"/>
      <c r="P33" s="473"/>
      <c r="Q33" s="474"/>
      <c r="R33" s="473"/>
      <c r="S33" s="474"/>
      <c r="T33" s="886"/>
      <c r="U33" s="1415"/>
      <c r="V33" s="1380"/>
      <c r="W33" s="1381"/>
      <c r="X33" s="1381"/>
      <c r="Y33" s="1381"/>
      <c r="Z33" s="1382">
        <v>4</v>
      </c>
      <c r="AA33" s="1381" t="str">
        <f t="shared" si="0"/>
        <v/>
      </c>
      <c r="AB33" s="1381" t="str">
        <f>IF(Z33=A33,IF(AND(L33="N",Table22[[#This Row],[LOQ_label]]="Y"),AA33,$AA33*$Y33),"")</f>
        <v/>
      </c>
      <c r="AC33" s="1383" t="str">
        <f t="shared" si="1"/>
        <v/>
      </c>
      <c r="AD33" s="1383" t="str">
        <f>IF(Table22[[#This Row],[Median residue*CF*PeF]]&lt;&gt;"",Table22[[#This Row],[Median residue*CF*PeF]],Table22[[#This Row],[MRL*CF*PeF (chronic)]])</f>
        <v/>
      </c>
      <c r="AE33" s="1384">
        <f t="shared" si="2"/>
        <v>0</v>
      </c>
      <c r="AF33" s="1385" t="str">
        <f t="shared" si="3"/>
        <v/>
      </c>
      <c r="AG33" s="1385" t="str">
        <f t="shared" si="4"/>
        <v/>
      </c>
      <c r="AH33" s="1270" t="str">
        <f t="shared" si="5"/>
        <v/>
      </c>
      <c r="AI33" s="1386">
        <v>4</v>
      </c>
      <c r="AJ33" s="1387" t="str">
        <f t="shared" si="6"/>
        <v/>
      </c>
      <c r="AK33" s="1387" t="str">
        <f>IF(AI33=A33,IF(AND(L33="N",Table22[[#This Row],[LOQ_label]]="Y"),AJ33,$AJ33*$Y33),"")</f>
        <v/>
      </c>
      <c r="AL33" s="1388" t="str">
        <f t="shared" si="7"/>
        <v/>
      </c>
      <c r="AM33" s="1393" t="str">
        <f>IF(Table22[[#This Row],[Highest residue * CF*PF]]&lt;&gt;"",Table22[[#This Row],[Highest residue * CF*PF]],Table22[[#This Row],[MRL*CF*PF or MRL (if LOQ and not authorised) (acute RA)]])</f>
        <v/>
      </c>
      <c r="AN33" s="1390" t="str">
        <f t="shared" si="8"/>
        <v/>
      </c>
      <c r="AO33" s="1390" t="str">
        <f t="shared" si="9"/>
        <v/>
      </c>
      <c r="AP33" s="1404" t="str">
        <f t="shared" si="10"/>
        <v/>
      </c>
      <c r="AQ33" s="1388">
        <f t="shared" si="11"/>
        <v>0</v>
      </c>
      <c r="AR33" s="1388" t="str">
        <f t="shared" si="12"/>
        <v/>
      </c>
      <c r="AS33" s="1388" t="str">
        <f t="shared" si="13"/>
        <v/>
      </c>
      <c r="AT33" s="1388" t="str">
        <f t="shared" si="14"/>
        <v/>
      </c>
      <c r="AU33" s="1393" t="str">
        <f t="shared" si="15"/>
        <v/>
      </c>
      <c r="AV33" s="1388">
        <f t="shared" si="16"/>
        <v>0</v>
      </c>
      <c r="AW33" s="1390" t="str">
        <f t="shared" si="17"/>
        <v/>
      </c>
      <c r="AX33" s="1390" t="str">
        <f>IF(AND(AN33&lt;&gt;"",AY33&lt;&gt;""),"*","")</f>
        <v/>
      </c>
      <c r="AY33" s="1394" t="str">
        <f t="shared" si="19"/>
        <v/>
      </c>
      <c r="AZ33" s="1395">
        <f>IF(Table22[[#This Row],[LOQ_label]]="Y",Table22[[#This Row],[MRL individual commodity]],"")</f>
        <v>0</v>
      </c>
      <c r="BA33" s="1396" t="s">
        <v>1159</v>
      </c>
      <c r="BB33" s="1411" t="str">
        <f>IF(Table22[[#This Row],[LOQ2]]&lt;0,MIN(AZ33:AZ410),"")</f>
        <v/>
      </c>
      <c r="BC33" s="1299"/>
      <c r="BD33" s="1306" t="str">
        <f>IF(Table22[[#This Row],[Chronic RA label]]="","N",IF(Table22[[#This Row],[Chronic RA label]]="LOQ","N",IF(Table22[[#This Row],[Chronic RA label]]="MRL","N","Y")))</f>
        <v>N</v>
      </c>
      <c r="BE33" s="1306" t="str">
        <f>IF(Table22[[#This Row],[Acute RA label]]="","N",IF(Table22[[#This Row],[Acute RA label]]="LOQ","N",IF(Table22[[#This Row],[Acute RA label]]="MRL","N","Y")))</f>
        <v>N</v>
      </c>
      <c r="BF33" s="1306" t="str">
        <f>IF(OR(Table22[[#This Row],[include commodity in Summary_input_values_chronic]]="Y",Table22[[#This Row],[include commodity in Summary_input_values_acute]]="Y"),"Y","N")</f>
        <v>N</v>
      </c>
      <c r="BG33" s="1299"/>
      <c r="BH33" s="1324"/>
    </row>
    <row r="34" spans="1:60" ht="12.75" customHeight="1" outlineLevel="3" x14ac:dyDescent="0.2">
      <c r="A34" s="39">
        <v>4</v>
      </c>
      <c r="B34" s="327">
        <v>130010</v>
      </c>
      <c r="C34" s="23" t="s">
        <v>112</v>
      </c>
      <c r="D34" s="867"/>
      <c r="E34" s="1219"/>
      <c r="F34" s="867"/>
      <c r="G34" s="869"/>
      <c r="H34" s="863"/>
      <c r="I34" s="868"/>
      <c r="J34" s="870"/>
      <c r="K34" s="871"/>
      <c r="L34" s="872"/>
      <c r="M34" s="872"/>
      <c r="N34" s="925" t="str">
        <f>IF(O34&lt;&gt;0,CONCATENATE(input_values!$AF34,input_values!$AG34,input_values!$AH34),"")</f>
        <v/>
      </c>
      <c r="O34" s="491">
        <f>IF($A$10="Refined calculation mode",Table22[[#This Row],[input for chronic (refined mode]],Table22[[#This Row],[input for chronic normal mode]])</f>
        <v>0</v>
      </c>
      <c r="P34" s="925" t="str">
        <f>IF(Q34&lt;&gt;0,CONCATENATE(input_values!$AN34,input_values!$AO34,input_values!$AP34),"")</f>
        <v/>
      </c>
      <c r="Q34" s="491">
        <f>IF($V$5=0,0,IF(OR($A$10="Refined calculation mode",Results!$B$62="Show results of IESTI calculation only for crops with GAPs under assessment"),Table22[[#This Row],[Input for IESTI (refined mode)]],Table22[[#This Row],[Input for IESTI normal mode]]))</f>
        <v>0</v>
      </c>
      <c r="R34" s="926" t="str">
        <f>IF(S34&lt;&gt;0,CONCATENATE(input_values!$AW34,input_values!$AX34,input_values!$AY34),"")</f>
        <v/>
      </c>
      <c r="S34" s="492">
        <f>IF($V$5=0,0,IF(OR($A$10="Refined calculation mode",Results!$B$62="Show results of IESTI calculation only for crops with GAPs under assessment"),Table22[[#This Row],[Input for IESTI new (refined mode)]],Table22[[#This Row],[Input for IESTI new normal mode]]))</f>
        <v>0</v>
      </c>
      <c r="T34" s="886"/>
      <c r="U34" s="1408">
        <f>Table22[[#This Row],[MRL/ proposed MRL /CXL
(mg/kg)]]</f>
        <v>0</v>
      </c>
      <c r="V34" s="1409" t="str">
        <f t="shared" ref="V34:V39" si="28">IF(ISBLANK(F34),"","Y")</f>
        <v/>
      </c>
      <c r="W34" s="1387">
        <f t="shared" ref="W34:W39" si="29">IF($G34&gt;0,$G34,1)</f>
        <v>1</v>
      </c>
      <c r="X34" s="1387">
        <f t="shared" ref="X34:X39" si="30">IF($H34&gt;0,$H34,1)</f>
        <v>1</v>
      </c>
      <c r="Y34" s="1387">
        <f t="shared" ref="Y34:Y39" si="31">W34*X34</f>
        <v>1</v>
      </c>
      <c r="Z34" s="1410">
        <v>4</v>
      </c>
      <c r="AA34" s="1387">
        <f t="shared" si="0"/>
        <v>0</v>
      </c>
      <c r="AB34" s="1387">
        <f>IF(Z34=A34,IF(AND(L34="N",Table22[[#This Row],[LOQ_label]]="Y"),AA34,$AA34*$Y34),"")</f>
        <v>0</v>
      </c>
      <c r="AC34" s="1393">
        <f t="shared" si="1"/>
        <v>0</v>
      </c>
      <c r="AD34" s="1393">
        <f>IF(Table22[[#This Row],[Median residue*CF*PeF]]&lt;&gt;"",Table22[[#This Row],[Median residue*CF*PeF]],Table22[[#This Row],[MRL*CF*PeF (chronic)]])</f>
        <v>0</v>
      </c>
      <c r="AE34" s="1393">
        <f t="shared" si="2"/>
        <v>0</v>
      </c>
      <c r="AF34" s="1390" t="str">
        <f t="shared" si="3"/>
        <v>MRL</v>
      </c>
      <c r="AG34" s="1390" t="str">
        <f t="shared" si="4"/>
        <v/>
      </c>
      <c r="AH34" s="1394" t="str">
        <f t="shared" si="5"/>
        <v/>
      </c>
      <c r="AI34" s="1386">
        <v>4</v>
      </c>
      <c r="AJ34" s="1387">
        <f t="shared" si="6"/>
        <v>0</v>
      </c>
      <c r="AK34" s="1387">
        <f>IF(AI34=A34,IF(AND(L34="N",Table22[[#This Row],[LOQ_label]]="Y"),AJ34,$AJ34*$Y34),"")</f>
        <v>0</v>
      </c>
      <c r="AL34" s="1388">
        <f t="shared" si="7"/>
        <v>0</v>
      </c>
      <c r="AM34" s="1393">
        <f>IF(Table22[[#This Row],[Highest residue * CF*PF]]&lt;&gt;"",Table22[[#This Row],[Highest residue * CF*PF]],Table22[[#This Row],[MRL*CF*PF or MRL (if LOQ and not authorised) (acute RA)]])</f>
        <v>0</v>
      </c>
      <c r="AN34" s="1390" t="str">
        <f t="shared" si="8"/>
        <v>MRL</v>
      </c>
      <c r="AO34" s="1390" t="str">
        <f t="shared" si="9"/>
        <v/>
      </c>
      <c r="AP34" s="1404" t="str">
        <f t="shared" si="10"/>
        <v/>
      </c>
      <c r="AQ34" s="1388">
        <f t="shared" si="11"/>
        <v>0</v>
      </c>
      <c r="AR34" s="1388" t="str">
        <f t="shared" si="12"/>
        <v/>
      </c>
      <c r="AS34" s="1388" t="str">
        <f t="shared" si="13"/>
        <v/>
      </c>
      <c r="AT34" s="1388" t="str">
        <f t="shared" si="14"/>
        <v/>
      </c>
      <c r="AU34" s="1393">
        <f t="shared" si="15"/>
        <v>0</v>
      </c>
      <c r="AV34" s="1388">
        <f t="shared" si="16"/>
        <v>0</v>
      </c>
      <c r="AW34" s="1390" t="str">
        <f t="shared" si="17"/>
        <v/>
      </c>
      <c r="AX34" s="1390" t="str">
        <f>IF(AND(AW34&lt;&gt;"",AY34&lt;&gt;""),"*","")</f>
        <v/>
      </c>
      <c r="AY34" s="1394" t="str">
        <f t="shared" si="19"/>
        <v/>
      </c>
      <c r="AZ34" s="1395" t="str">
        <f>IF(Table22[[#This Row],[LOQ_label]]="Y",Table22[[#This Row],[MRL individual commodity]],"")</f>
        <v/>
      </c>
      <c r="BA34" s="1449" t="s">
        <v>654</v>
      </c>
      <c r="BB34" s="1411" t="str">
        <f>IF(Table22[[#This Row],[LOQ2]]&lt;0,MIN(AZ34:AZ410),"")</f>
        <v/>
      </c>
      <c r="BC34" s="1299"/>
      <c r="BD34" s="1306" t="str">
        <f>IF(Table22[[#This Row],[Chronic RA label]]="","N",IF(Table22[[#This Row],[Chronic RA label]]="LOQ","N",IF(Table22[[#This Row],[Chronic RA label]]="MRL","N","Y")))</f>
        <v>N</v>
      </c>
      <c r="BE34" s="1306" t="str">
        <f>IF(Table22[[#This Row],[Acute RA label]]="","N",IF(Table22[[#This Row],[Acute RA label]]="LOQ","N",IF(Table22[[#This Row],[Acute RA label]]="MRL","N","Y")))</f>
        <v>N</v>
      </c>
      <c r="BF34" s="1306" t="str">
        <f>IF(OR(Table22[[#This Row],[include commodity in Summary_input_values_chronic]]="Y",Table22[[#This Row],[include commodity in Summary_input_values_acute]]="Y"),"Y","N")</f>
        <v>N</v>
      </c>
      <c r="BG34" s="1299"/>
      <c r="BH34" s="1324"/>
    </row>
    <row r="35" spans="1:60" ht="12.75" customHeight="1" outlineLevel="3" x14ac:dyDescent="0.2">
      <c r="A35" s="39">
        <v>4</v>
      </c>
      <c r="B35" s="327">
        <v>130020</v>
      </c>
      <c r="C35" s="23" t="s">
        <v>113</v>
      </c>
      <c r="D35" s="867"/>
      <c r="E35" s="1219"/>
      <c r="F35" s="867"/>
      <c r="G35" s="869"/>
      <c r="H35" s="863"/>
      <c r="I35" s="868"/>
      <c r="J35" s="870"/>
      <c r="K35" s="871"/>
      <c r="L35" s="872"/>
      <c r="M35" s="872"/>
      <c r="N35" s="925" t="str">
        <f>IF(O35&lt;&gt;0,CONCATENATE(input_values!$AF35,input_values!$AG35,input_values!$AH35),"")</f>
        <v/>
      </c>
      <c r="O35" s="491">
        <f>IF($A$10="Refined calculation mode",Table22[[#This Row],[input for chronic (refined mode]],Table22[[#This Row],[input for chronic normal mode]])</f>
        <v>0</v>
      </c>
      <c r="P35" s="925" t="str">
        <f>IF(Q35&lt;&gt;0,CONCATENATE(input_values!$AN35,input_values!$AO35,input_values!$AP35),"")</f>
        <v/>
      </c>
      <c r="Q35" s="491">
        <f>IF($V$5=0,0,IF(OR($A$10="Refined calculation mode",Results!$B$62="Show results of IESTI calculation only for crops with GAPs under assessment"),Table22[[#This Row],[Input for IESTI (refined mode)]],Table22[[#This Row],[Input for IESTI normal mode]]))</f>
        <v>0</v>
      </c>
      <c r="R35" s="926" t="str">
        <f>IF(S35&lt;&gt;0,CONCATENATE(input_values!$AW35,input_values!$AX35,input_values!$AY35),"")</f>
        <v/>
      </c>
      <c r="S35" s="492">
        <f>IF($V$5=0,0,IF(OR($A$10="Refined calculation mode",Results!$B$62="Show results of IESTI calculation only for crops with GAPs under assessment"),Table22[[#This Row],[Input for IESTI new (refined mode)]],Table22[[#This Row],[Input for IESTI new normal mode]]))</f>
        <v>0</v>
      </c>
      <c r="T35" s="886"/>
      <c r="U35" s="1408">
        <f>Table22[[#This Row],[MRL/ proposed MRL /CXL
(mg/kg)]]</f>
        <v>0</v>
      </c>
      <c r="V35" s="1409" t="str">
        <f t="shared" si="28"/>
        <v/>
      </c>
      <c r="W35" s="1387">
        <f t="shared" si="29"/>
        <v>1</v>
      </c>
      <c r="X35" s="1387">
        <f t="shared" si="30"/>
        <v>1</v>
      </c>
      <c r="Y35" s="1387">
        <f t="shared" si="31"/>
        <v>1</v>
      </c>
      <c r="Z35" s="1410">
        <v>4</v>
      </c>
      <c r="AA35" s="1387">
        <f t="shared" si="0"/>
        <v>0</v>
      </c>
      <c r="AB35" s="1387">
        <f>IF(Z35=A35,IF(AND(L35="N",Table22[[#This Row],[LOQ_label]]="Y"),AA35,$AA35*$Y35),"")</f>
        <v>0</v>
      </c>
      <c r="AC35" s="1393">
        <f t="shared" si="1"/>
        <v>0</v>
      </c>
      <c r="AD35" s="1393">
        <f>IF(Table22[[#This Row],[Median residue*CF*PeF]]&lt;&gt;"",Table22[[#This Row],[Median residue*CF*PeF]],Table22[[#This Row],[MRL*CF*PeF (chronic)]])</f>
        <v>0</v>
      </c>
      <c r="AE35" s="1393">
        <f t="shared" si="2"/>
        <v>0</v>
      </c>
      <c r="AF35" s="1390" t="str">
        <f t="shared" si="3"/>
        <v>MRL</v>
      </c>
      <c r="AG35" s="1390" t="str">
        <f t="shared" si="4"/>
        <v/>
      </c>
      <c r="AH35" s="1394" t="str">
        <f t="shared" si="5"/>
        <v/>
      </c>
      <c r="AI35" s="1386">
        <v>4</v>
      </c>
      <c r="AJ35" s="1387">
        <f t="shared" si="6"/>
        <v>0</v>
      </c>
      <c r="AK35" s="1387">
        <f>IF(AI35=A35,IF(AND(L35="N",Table22[[#This Row],[LOQ_label]]="Y"),AJ35,$AJ35*$Y35),"")</f>
        <v>0</v>
      </c>
      <c r="AL35" s="1388">
        <f t="shared" si="7"/>
        <v>0</v>
      </c>
      <c r="AM35" s="1393">
        <f>IF(Table22[[#This Row],[Highest residue * CF*PF]]&lt;&gt;"",Table22[[#This Row],[Highest residue * CF*PF]],Table22[[#This Row],[MRL*CF*PF or MRL (if LOQ and not authorised) (acute RA)]])</f>
        <v>0</v>
      </c>
      <c r="AN35" s="1390" t="str">
        <f t="shared" si="8"/>
        <v>MRL</v>
      </c>
      <c r="AO35" s="1390" t="str">
        <f t="shared" si="9"/>
        <v/>
      </c>
      <c r="AP35" s="1404" t="str">
        <f t="shared" si="10"/>
        <v/>
      </c>
      <c r="AQ35" s="1388">
        <f t="shared" si="11"/>
        <v>0</v>
      </c>
      <c r="AR35" s="1388" t="str">
        <f t="shared" si="12"/>
        <v/>
      </c>
      <c r="AS35" s="1388" t="str">
        <f t="shared" si="13"/>
        <v/>
      </c>
      <c r="AT35" s="1388" t="str">
        <f t="shared" si="14"/>
        <v/>
      </c>
      <c r="AU35" s="1393">
        <f t="shared" si="15"/>
        <v>0</v>
      </c>
      <c r="AV35" s="1388">
        <f t="shared" si="16"/>
        <v>0</v>
      </c>
      <c r="AW35" s="1390" t="str">
        <f t="shared" si="17"/>
        <v/>
      </c>
      <c r="AX35" s="1390" t="str">
        <f>IF(AND(AW35&lt;&gt;"",AY35&lt;&gt;""),"*","")</f>
        <v/>
      </c>
      <c r="AY35" s="1394" t="str">
        <f t="shared" si="19"/>
        <v/>
      </c>
      <c r="AZ35" s="1395" t="str">
        <f>IF(Table22[[#This Row],[LOQ_label]]="Y",Table22[[#This Row],[MRL individual commodity]],"")</f>
        <v/>
      </c>
      <c r="BA35" s="1449" t="s">
        <v>654</v>
      </c>
      <c r="BB35" s="1411" t="str">
        <f>IF(Table22[[#This Row],[LOQ2]]&lt;0,MIN(AZ35:AZ410),"")</f>
        <v/>
      </c>
      <c r="BC35" s="1299"/>
      <c r="BD35" s="1306" t="str">
        <f>IF(Table22[[#This Row],[Chronic RA label]]="","N",IF(Table22[[#This Row],[Chronic RA label]]="LOQ","N",IF(Table22[[#This Row],[Chronic RA label]]="MRL","N","Y")))</f>
        <v>N</v>
      </c>
      <c r="BE35" s="1306" t="str">
        <f>IF(Table22[[#This Row],[Acute RA label]]="","N",IF(Table22[[#This Row],[Acute RA label]]="LOQ","N",IF(Table22[[#This Row],[Acute RA label]]="MRL","N","Y")))</f>
        <v>N</v>
      </c>
      <c r="BF35" s="1306" t="str">
        <f>IF(OR(Table22[[#This Row],[include commodity in Summary_input_values_chronic]]="Y",Table22[[#This Row],[include commodity in Summary_input_values_acute]]="Y"),"Y","N")</f>
        <v>N</v>
      </c>
      <c r="BG35" s="1299"/>
      <c r="BH35" s="1324"/>
    </row>
    <row r="36" spans="1:60" ht="12.75" customHeight="1" outlineLevel="3" x14ac:dyDescent="0.2">
      <c r="A36" s="39">
        <v>4</v>
      </c>
      <c r="B36" s="327">
        <v>130030</v>
      </c>
      <c r="C36" s="23" t="s">
        <v>114</v>
      </c>
      <c r="D36" s="867"/>
      <c r="E36" s="1219"/>
      <c r="F36" s="867"/>
      <c r="G36" s="869"/>
      <c r="H36" s="863"/>
      <c r="I36" s="868"/>
      <c r="J36" s="870"/>
      <c r="K36" s="871"/>
      <c r="L36" s="872"/>
      <c r="M36" s="872"/>
      <c r="N36" s="925" t="str">
        <f>IF(O36&lt;&gt;0,CONCATENATE(input_values!$AF36,input_values!$AG36,input_values!$AH36),"")</f>
        <v/>
      </c>
      <c r="O36" s="491">
        <f>IF($A$10="Refined calculation mode",Table22[[#This Row],[input for chronic (refined mode]],Table22[[#This Row],[input for chronic normal mode]])</f>
        <v>0</v>
      </c>
      <c r="P36" s="925" t="str">
        <f>IF(Q36&lt;&gt;0,CONCATENATE(input_values!$AN36,input_values!$AO36,input_values!$AP36),"")</f>
        <v/>
      </c>
      <c r="Q36" s="491">
        <f>IF($V$5=0,0,IF(OR($A$10="Refined calculation mode",Results!$B$62="Show results of IESTI calculation only for crops with GAPs under assessment"),Table22[[#This Row],[Input for IESTI (refined mode)]],Table22[[#This Row],[Input for IESTI normal mode]]))</f>
        <v>0</v>
      </c>
      <c r="R36" s="926" t="str">
        <f>IF(S36&lt;&gt;0,CONCATENATE(input_values!$AW36,input_values!$AX36,input_values!$AY36),"")</f>
        <v/>
      </c>
      <c r="S36" s="492">
        <f>IF($V$5=0,0,IF(OR($A$10="Refined calculation mode",Results!$B$62="Show results of IESTI calculation only for crops with GAPs under assessment"),Table22[[#This Row],[Input for IESTI new (refined mode)]],Table22[[#This Row],[Input for IESTI new normal mode]]))</f>
        <v>0</v>
      </c>
      <c r="T36" s="886"/>
      <c r="U36" s="1408">
        <f>Table22[[#This Row],[MRL/ proposed MRL /CXL
(mg/kg)]]</f>
        <v>0</v>
      </c>
      <c r="V36" s="1409" t="str">
        <f t="shared" si="28"/>
        <v/>
      </c>
      <c r="W36" s="1387">
        <f t="shared" si="29"/>
        <v>1</v>
      </c>
      <c r="X36" s="1387">
        <f t="shared" si="30"/>
        <v>1</v>
      </c>
      <c r="Y36" s="1387">
        <f t="shared" si="31"/>
        <v>1</v>
      </c>
      <c r="Z36" s="1410">
        <v>4</v>
      </c>
      <c r="AA36" s="1387">
        <f t="shared" si="0"/>
        <v>0</v>
      </c>
      <c r="AB36" s="1387">
        <f>IF(Z36=A36,IF(AND(L36="N",Table22[[#This Row],[LOQ_label]]="Y"),AA36,$AA36*$Y36),"")</f>
        <v>0</v>
      </c>
      <c r="AC36" s="1393">
        <f t="shared" si="1"/>
        <v>0</v>
      </c>
      <c r="AD36" s="1393">
        <f>IF(Table22[[#This Row],[Median residue*CF*PeF]]&lt;&gt;"",Table22[[#This Row],[Median residue*CF*PeF]],Table22[[#This Row],[MRL*CF*PeF (chronic)]])</f>
        <v>0</v>
      </c>
      <c r="AE36" s="1393">
        <f t="shared" si="2"/>
        <v>0</v>
      </c>
      <c r="AF36" s="1390" t="str">
        <f t="shared" si="3"/>
        <v>MRL</v>
      </c>
      <c r="AG36" s="1390" t="str">
        <f t="shared" si="4"/>
        <v/>
      </c>
      <c r="AH36" s="1394" t="str">
        <f t="shared" si="5"/>
        <v/>
      </c>
      <c r="AI36" s="1386">
        <v>4</v>
      </c>
      <c r="AJ36" s="1387">
        <f t="shared" si="6"/>
        <v>0</v>
      </c>
      <c r="AK36" s="1387">
        <f>IF(AI36=A36,IF(AND(L36="N",Table22[[#This Row],[LOQ_label]]="Y"),AJ36,$AJ36*$Y36),"")</f>
        <v>0</v>
      </c>
      <c r="AL36" s="1388">
        <f t="shared" si="7"/>
        <v>0</v>
      </c>
      <c r="AM36" s="1393">
        <f>IF(Table22[[#This Row],[Highest residue * CF*PF]]&lt;&gt;"",Table22[[#This Row],[Highest residue * CF*PF]],Table22[[#This Row],[MRL*CF*PF or MRL (if LOQ and not authorised) (acute RA)]])</f>
        <v>0</v>
      </c>
      <c r="AN36" s="1390" t="str">
        <f t="shared" si="8"/>
        <v>MRL</v>
      </c>
      <c r="AO36" s="1390" t="str">
        <f t="shared" si="9"/>
        <v/>
      </c>
      <c r="AP36" s="1404" t="str">
        <f t="shared" si="10"/>
        <v/>
      </c>
      <c r="AQ36" s="1388">
        <f t="shared" si="11"/>
        <v>0</v>
      </c>
      <c r="AR36" s="1388" t="str">
        <f t="shared" si="12"/>
        <v/>
      </c>
      <c r="AS36" s="1388" t="str">
        <f t="shared" si="13"/>
        <v/>
      </c>
      <c r="AT36" s="1388" t="str">
        <f t="shared" si="14"/>
        <v/>
      </c>
      <c r="AU36" s="1393">
        <f t="shared" si="15"/>
        <v>0</v>
      </c>
      <c r="AV36" s="1388">
        <f t="shared" si="16"/>
        <v>0</v>
      </c>
      <c r="AW36" s="1390" t="str">
        <f t="shared" si="17"/>
        <v/>
      </c>
      <c r="AX36" s="1390" t="str">
        <f>IF(AND(AW36&lt;&gt;"",AY36&lt;&gt;""),"*","")</f>
        <v/>
      </c>
      <c r="AY36" s="1394" t="str">
        <f t="shared" si="19"/>
        <v/>
      </c>
      <c r="AZ36" s="1395" t="str">
        <f>IF(Table22[[#This Row],[LOQ_label]]="Y",Table22[[#This Row],[MRL individual commodity]],"")</f>
        <v/>
      </c>
      <c r="BA36" s="1449" t="s">
        <v>654</v>
      </c>
      <c r="BB36" s="1411" t="str">
        <f>IF(Table22[[#This Row],[LOQ2]]&lt;0,MIN(AZ36:AZ410),"")</f>
        <v/>
      </c>
      <c r="BC36" s="1299"/>
      <c r="BD36" s="1306" t="str">
        <f>IF(Table22[[#This Row],[Chronic RA label]]="","N",IF(Table22[[#This Row],[Chronic RA label]]="LOQ","N",IF(Table22[[#This Row],[Chronic RA label]]="MRL","N","Y")))</f>
        <v>N</v>
      </c>
      <c r="BE36" s="1306" t="str">
        <f>IF(Table22[[#This Row],[Acute RA label]]="","N",IF(Table22[[#This Row],[Acute RA label]]="LOQ","N",IF(Table22[[#This Row],[Acute RA label]]="MRL","N","Y")))</f>
        <v>N</v>
      </c>
      <c r="BF36" s="1306" t="str">
        <f>IF(OR(Table22[[#This Row],[include commodity in Summary_input_values_chronic]]="Y",Table22[[#This Row],[include commodity in Summary_input_values_acute]]="Y"),"Y","N")</f>
        <v>N</v>
      </c>
      <c r="BG36" s="1299"/>
      <c r="BH36" s="1324"/>
    </row>
    <row r="37" spans="1:60" ht="12.75" customHeight="1" outlineLevel="3" x14ac:dyDescent="0.2">
      <c r="A37" s="39">
        <v>4</v>
      </c>
      <c r="B37" s="327">
        <v>130040</v>
      </c>
      <c r="C37" s="23" t="s">
        <v>115</v>
      </c>
      <c r="D37" s="867"/>
      <c r="E37" s="1219"/>
      <c r="F37" s="867"/>
      <c r="G37" s="869"/>
      <c r="H37" s="863"/>
      <c r="I37" s="868"/>
      <c r="J37" s="870"/>
      <c r="K37" s="871"/>
      <c r="L37" s="872"/>
      <c r="M37" s="872"/>
      <c r="N37" s="925" t="str">
        <f>IF(O37&lt;&gt;0,CONCATENATE(input_values!$AF37,input_values!$AG37,input_values!$AH37),"")</f>
        <v/>
      </c>
      <c r="O37" s="491">
        <f>IF($A$10="Refined calculation mode",Table22[[#This Row],[input for chronic (refined mode]],Table22[[#This Row],[input for chronic normal mode]])</f>
        <v>0</v>
      </c>
      <c r="P37" s="925" t="str">
        <f>IF(Q37&lt;&gt;0,CONCATENATE(input_values!$AN37,input_values!$AO37,input_values!$AP37),"")</f>
        <v/>
      </c>
      <c r="Q37" s="491">
        <f>IF($V$5=0,0,IF(OR($A$10="Refined calculation mode",Results!$B$62="Show results of IESTI calculation only for crops with GAPs under assessment"),Table22[[#This Row],[Input for IESTI (refined mode)]],Table22[[#This Row],[Input for IESTI normal mode]]))</f>
        <v>0</v>
      </c>
      <c r="R37" s="926" t="str">
        <f>IF(S37&lt;&gt;0,CONCATENATE(input_values!$AW37,input_values!$AX37,input_values!$AY37),"")</f>
        <v/>
      </c>
      <c r="S37" s="492">
        <f>IF($V$5=0,0,IF(OR($A$10="Refined calculation mode",Results!$B$62="Show results of IESTI calculation only for crops with GAPs under assessment"),Table22[[#This Row],[Input for IESTI new (refined mode)]],Table22[[#This Row],[Input for IESTI new normal mode]]))</f>
        <v>0</v>
      </c>
      <c r="T37" s="886"/>
      <c r="U37" s="1408">
        <f>Table22[[#This Row],[MRL/ proposed MRL /CXL
(mg/kg)]]</f>
        <v>0</v>
      </c>
      <c r="V37" s="1409" t="str">
        <f t="shared" si="28"/>
        <v/>
      </c>
      <c r="W37" s="1387">
        <f t="shared" si="29"/>
        <v>1</v>
      </c>
      <c r="X37" s="1387">
        <f t="shared" si="30"/>
        <v>1</v>
      </c>
      <c r="Y37" s="1387">
        <f t="shared" si="31"/>
        <v>1</v>
      </c>
      <c r="Z37" s="1410">
        <v>4</v>
      </c>
      <c r="AA37" s="1387">
        <f t="shared" si="0"/>
        <v>0</v>
      </c>
      <c r="AB37" s="1387">
        <f>IF(Z37=A37,IF(AND(L37="N",Table22[[#This Row],[LOQ_label]]="Y"),AA37,$AA37*$Y37),"")</f>
        <v>0</v>
      </c>
      <c r="AC37" s="1393">
        <f t="shared" si="1"/>
        <v>0</v>
      </c>
      <c r="AD37" s="1393">
        <f>IF(Table22[[#This Row],[Median residue*CF*PeF]]&lt;&gt;"",Table22[[#This Row],[Median residue*CF*PeF]],Table22[[#This Row],[MRL*CF*PeF (chronic)]])</f>
        <v>0</v>
      </c>
      <c r="AE37" s="1393">
        <f t="shared" si="2"/>
        <v>0</v>
      </c>
      <c r="AF37" s="1390" t="str">
        <f t="shared" si="3"/>
        <v>MRL</v>
      </c>
      <c r="AG37" s="1390" t="str">
        <f t="shared" si="4"/>
        <v/>
      </c>
      <c r="AH37" s="1394" t="str">
        <f t="shared" si="5"/>
        <v/>
      </c>
      <c r="AI37" s="1386">
        <v>4</v>
      </c>
      <c r="AJ37" s="1387">
        <f t="shared" si="6"/>
        <v>0</v>
      </c>
      <c r="AK37" s="1387">
        <f>IF(AI37=A37,IF(AND(L37="N",Table22[[#This Row],[LOQ_label]]="Y"),AJ37,$AJ37*$Y37),"")</f>
        <v>0</v>
      </c>
      <c r="AL37" s="1388">
        <f t="shared" si="7"/>
        <v>0</v>
      </c>
      <c r="AM37" s="1393">
        <f>IF(Table22[[#This Row],[Highest residue * CF*PF]]&lt;&gt;"",Table22[[#This Row],[Highest residue * CF*PF]],Table22[[#This Row],[MRL*CF*PF or MRL (if LOQ and not authorised) (acute RA)]])</f>
        <v>0</v>
      </c>
      <c r="AN37" s="1390" t="str">
        <f t="shared" si="8"/>
        <v>MRL</v>
      </c>
      <c r="AO37" s="1390" t="str">
        <f t="shared" si="9"/>
        <v/>
      </c>
      <c r="AP37" s="1404" t="str">
        <f t="shared" si="10"/>
        <v/>
      </c>
      <c r="AQ37" s="1388">
        <f t="shared" si="11"/>
        <v>0</v>
      </c>
      <c r="AR37" s="1388" t="str">
        <f t="shared" si="12"/>
        <v/>
      </c>
      <c r="AS37" s="1388" t="str">
        <f t="shared" si="13"/>
        <v/>
      </c>
      <c r="AT37" s="1388" t="str">
        <f t="shared" si="14"/>
        <v/>
      </c>
      <c r="AU37" s="1393">
        <f t="shared" si="15"/>
        <v>0</v>
      </c>
      <c r="AV37" s="1388">
        <f t="shared" si="16"/>
        <v>0</v>
      </c>
      <c r="AW37" s="1390" t="str">
        <f t="shared" si="17"/>
        <v/>
      </c>
      <c r="AX37" s="1390" t="str">
        <f>IF(AND(AW37&lt;&gt;"",AY37&lt;&gt;""),"*","")</f>
        <v/>
      </c>
      <c r="AY37" s="1394" t="str">
        <f t="shared" si="19"/>
        <v/>
      </c>
      <c r="AZ37" s="1395" t="str">
        <f>IF(Table22[[#This Row],[LOQ_label]]="Y",Table22[[#This Row],[MRL individual commodity]],"")</f>
        <v/>
      </c>
      <c r="BA37" s="1449" t="s">
        <v>654</v>
      </c>
      <c r="BB37" s="1411" t="str">
        <f>IF(Table22[[#This Row],[LOQ2]]&lt;0,MIN(AZ37:AZ410),"")</f>
        <v/>
      </c>
      <c r="BC37" s="1299"/>
      <c r="BD37" s="1306" t="str">
        <f>IF(Table22[[#This Row],[Chronic RA label]]="","N",IF(Table22[[#This Row],[Chronic RA label]]="LOQ","N",IF(Table22[[#This Row],[Chronic RA label]]="MRL","N","Y")))</f>
        <v>N</v>
      </c>
      <c r="BE37" s="1306" t="str">
        <f>IF(Table22[[#This Row],[Acute RA label]]="","N",IF(Table22[[#This Row],[Acute RA label]]="LOQ","N",IF(Table22[[#This Row],[Acute RA label]]="MRL","N","Y")))</f>
        <v>N</v>
      </c>
      <c r="BF37" s="1306" t="str">
        <f>IF(OR(Table22[[#This Row],[include commodity in Summary_input_values_chronic]]="Y",Table22[[#This Row],[include commodity in Summary_input_values_acute]]="Y"),"Y","N")</f>
        <v>N</v>
      </c>
      <c r="BG37" s="1299"/>
      <c r="BH37" s="1324"/>
    </row>
    <row r="38" spans="1:60" ht="12.75" customHeight="1" outlineLevel="3" x14ac:dyDescent="0.2">
      <c r="A38" s="39">
        <v>4</v>
      </c>
      <c r="B38" s="327">
        <v>130050</v>
      </c>
      <c r="C38" s="23" t="s">
        <v>683</v>
      </c>
      <c r="D38" s="867"/>
      <c r="E38" s="1219"/>
      <c r="F38" s="867"/>
      <c r="G38" s="869"/>
      <c r="H38" s="863"/>
      <c r="I38" s="868"/>
      <c r="J38" s="870"/>
      <c r="K38" s="865"/>
      <c r="L38" s="872"/>
      <c r="M38" s="872"/>
      <c r="N38" s="925" t="str">
        <f>IF(O38&lt;&gt;0,CONCATENATE(input_values!$AF38,input_values!$AG38,input_values!$AH38),"")</f>
        <v/>
      </c>
      <c r="O38" s="491">
        <f>IF($A$10="Refined calculation mode",Table22[[#This Row],[input for chronic (refined mode]],Table22[[#This Row],[input for chronic normal mode]])</f>
        <v>0</v>
      </c>
      <c r="P38" s="925" t="str">
        <f>IF(Q38&lt;&gt;0,CONCATENATE(input_values!$AN38,input_values!$AO38,input_values!$AP38),"")</f>
        <v/>
      </c>
      <c r="Q38" s="491">
        <f>IF($V$5=0,0,IF(OR($A$10="Refined calculation mode",Results!$B$62="Show results of IESTI calculation only for crops with GAPs under assessment"),Table22[[#This Row],[Input for IESTI (refined mode)]],Table22[[#This Row],[Input for IESTI normal mode]]))</f>
        <v>0</v>
      </c>
      <c r="R38" s="926" t="str">
        <f>IF(S38&lt;&gt;0,CONCATENATE(input_values!$AW38,input_values!$AX38,input_values!$AY38),"")</f>
        <v/>
      </c>
      <c r="S38" s="492">
        <f>IF($V$5=0,0,IF(OR($A$10="Refined calculation mode",Results!$B$62="Show results of IESTI calculation only for crops with GAPs under assessment"),Table22[[#This Row],[Input for IESTI new (refined mode)]],Table22[[#This Row],[Input for IESTI new normal mode]]))</f>
        <v>0</v>
      </c>
      <c r="T38" s="886"/>
      <c r="U38" s="1408">
        <f>Table22[[#This Row],[MRL/ proposed MRL /CXL
(mg/kg)]]</f>
        <v>0</v>
      </c>
      <c r="V38" s="1409" t="str">
        <f t="shared" si="28"/>
        <v/>
      </c>
      <c r="W38" s="1387">
        <f t="shared" si="29"/>
        <v>1</v>
      </c>
      <c r="X38" s="1387">
        <f t="shared" si="30"/>
        <v>1</v>
      </c>
      <c r="Y38" s="1387">
        <f t="shared" si="31"/>
        <v>1</v>
      </c>
      <c r="Z38" s="1410">
        <v>4</v>
      </c>
      <c r="AA38" s="1387">
        <f t="shared" si="0"/>
        <v>0</v>
      </c>
      <c r="AB38" s="1387">
        <f>IF(Z38=A38,IF(AND(L38="N",Table22[[#This Row],[LOQ_label]]="Y"),AA38,$AA38*$Y38),"")</f>
        <v>0</v>
      </c>
      <c r="AC38" s="1393">
        <f t="shared" si="1"/>
        <v>0</v>
      </c>
      <c r="AD38" s="1393">
        <f>IF(Table22[[#This Row],[Median residue*CF*PeF]]&lt;&gt;"",Table22[[#This Row],[Median residue*CF*PeF]],Table22[[#This Row],[MRL*CF*PeF (chronic)]])</f>
        <v>0</v>
      </c>
      <c r="AE38" s="1393">
        <f t="shared" si="2"/>
        <v>0</v>
      </c>
      <c r="AF38" s="1390" t="str">
        <f t="shared" si="3"/>
        <v>MRL</v>
      </c>
      <c r="AG38" s="1390" t="str">
        <f t="shared" si="4"/>
        <v/>
      </c>
      <c r="AH38" s="1394" t="str">
        <f t="shared" si="5"/>
        <v/>
      </c>
      <c r="AI38" s="1386">
        <v>4</v>
      </c>
      <c r="AJ38" s="1387">
        <f t="shared" si="6"/>
        <v>0</v>
      </c>
      <c r="AK38" s="1387">
        <f>IF(AI38=A38,IF(AND(L38="N",Table22[[#This Row],[LOQ_label]]="Y"),AJ38,$AJ38*$Y38),"")</f>
        <v>0</v>
      </c>
      <c r="AL38" s="1388">
        <f t="shared" si="7"/>
        <v>0</v>
      </c>
      <c r="AM38" s="1393">
        <f>IF(Table22[[#This Row],[Highest residue * CF*PF]]&lt;&gt;"",Table22[[#This Row],[Highest residue * CF*PF]],Table22[[#This Row],[MRL*CF*PF or MRL (if LOQ and not authorised) (acute RA)]])</f>
        <v>0</v>
      </c>
      <c r="AN38" s="1390" t="str">
        <f t="shared" si="8"/>
        <v>MRL</v>
      </c>
      <c r="AO38" s="1390" t="str">
        <f t="shared" si="9"/>
        <v/>
      </c>
      <c r="AP38" s="1404" t="str">
        <f t="shared" si="10"/>
        <v/>
      </c>
      <c r="AQ38" s="1388">
        <f t="shared" si="11"/>
        <v>0</v>
      </c>
      <c r="AR38" s="1388" t="str">
        <f t="shared" si="12"/>
        <v/>
      </c>
      <c r="AS38" s="1388" t="str">
        <f t="shared" si="13"/>
        <v/>
      </c>
      <c r="AT38" s="1388" t="str">
        <f t="shared" si="14"/>
        <v/>
      </c>
      <c r="AU38" s="1393">
        <f t="shared" si="15"/>
        <v>0</v>
      </c>
      <c r="AV38" s="1388">
        <f t="shared" si="16"/>
        <v>0</v>
      </c>
      <c r="AW38" s="1390" t="str">
        <f t="shared" si="17"/>
        <v/>
      </c>
      <c r="AX38" s="1390" t="str">
        <f>IF(AND(AW38&lt;&gt;"",AY38&lt;&gt;""),"*","")</f>
        <v/>
      </c>
      <c r="AY38" s="1394" t="str">
        <f t="shared" si="19"/>
        <v/>
      </c>
      <c r="AZ38" s="1395" t="str">
        <f>IF(Table22[[#This Row],[LOQ_label]]="Y",Table22[[#This Row],[MRL individual commodity]],"")</f>
        <v/>
      </c>
      <c r="BA38" s="1396" t="s">
        <v>618</v>
      </c>
      <c r="BB38" s="1411" t="str">
        <f>IF(Table22[[#This Row],[LOQ2]]&lt;0,MIN(AZ38:AZ410),"")</f>
        <v/>
      </c>
      <c r="BC38" s="1299"/>
      <c r="BD38" s="1306" t="str">
        <f>IF(Table22[[#This Row],[Chronic RA label]]="","N",IF(Table22[[#This Row],[Chronic RA label]]="LOQ","N",IF(Table22[[#This Row],[Chronic RA label]]="MRL","N","Y")))</f>
        <v>N</v>
      </c>
      <c r="BE38" s="1306" t="str">
        <f>IF(Table22[[#This Row],[Acute RA label]]="","N",IF(Table22[[#This Row],[Acute RA label]]="LOQ","N",IF(Table22[[#This Row],[Acute RA label]]="MRL","N","Y")))</f>
        <v>N</v>
      </c>
      <c r="BF38" s="1306" t="str">
        <f>IF(OR(Table22[[#This Row],[include commodity in Summary_input_values_chronic]]="Y",Table22[[#This Row],[include commodity in Summary_input_values_acute]]="Y"),"Y","N")</f>
        <v>N</v>
      </c>
      <c r="BG38" s="1299"/>
      <c r="BH38" s="1324"/>
    </row>
    <row r="39" spans="1:60" ht="12.75" customHeight="1" outlineLevel="3" x14ac:dyDescent="0.2">
      <c r="A39" s="39">
        <v>4</v>
      </c>
      <c r="B39" s="327">
        <v>130990</v>
      </c>
      <c r="C39" s="23" t="s">
        <v>49</v>
      </c>
      <c r="D39" s="867"/>
      <c r="E39" s="1219"/>
      <c r="F39" s="867"/>
      <c r="G39" s="868"/>
      <c r="H39" s="863"/>
      <c r="I39" s="868"/>
      <c r="J39" s="870"/>
      <c r="K39" s="865"/>
      <c r="L39" s="872"/>
      <c r="M39" s="872"/>
      <c r="N39" s="925" t="str">
        <f>IF(O39&lt;&gt;0,CONCATENATE(input_values!$AF39,input_values!$AG39,input_values!$AH39),"")</f>
        <v/>
      </c>
      <c r="O39" s="491">
        <f>IF($A$10="Refined calculation mode",Table22[[#This Row],[input for chronic (refined mode]],Table22[[#This Row],[input for chronic normal mode]])</f>
        <v>0</v>
      </c>
      <c r="P39" s="473"/>
      <c r="Q39" s="474"/>
      <c r="R39" s="473"/>
      <c r="S39" s="474"/>
      <c r="T39" s="886"/>
      <c r="U39" s="1408">
        <f>Table22[[#This Row],[MRL/ proposed MRL /CXL
(mg/kg)]]</f>
        <v>0</v>
      </c>
      <c r="V39" s="1409" t="str">
        <f t="shared" si="28"/>
        <v/>
      </c>
      <c r="W39" s="1387">
        <f t="shared" si="29"/>
        <v>1</v>
      </c>
      <c r="X39" s="1387">
        <f t="shared" si="30"/>
        <v>1</v>
      </c>
      <c r="Y39" s="1387">
        <f t="shared" si="31"/>
        <v>1</v>
      </c>
      <c r="Z39" s="1410">
        <v>4</v>
      </c>
      <c r="AA39" s="1387">
        <f t="shared" si="0"/>
        <v>0</v>
      </c>
      <c r="AB39" s="1387">
        <f>IF(Z39=A39,IF(AND(L39="N",Table22[[#This Row],[LOQ_label]]="Y"),AA39,$AA39*$Y39),"")</f>
        <v>0</v>
      </c>
      <c r="AC39" s="1393">
        <f t="shared" si="1"/>
        <v>0</v>
      </c>
      <c r="AD39" s="1393">
        <f>IF(Table22[[#This Row],[Median residue*CF*PeF]]&lt;&gt;"",Table22[[#This Row],[Median residue*CF*PeF]],Table22[[#This Row],[MRL*CF*PeF (chronic)]])</f>
        <v>0</v>
      </c>
      <c r="AE39" s="1393">
        <f t="shared" si="2"/>
        <v>0</v>
      </c>
      <c r="AF39" s="1390" t="str">
        <f t="shared" si="3"/>
        <v>MRL</v>
      </c>
      <c r="AG39" s="1390" t="str">
        <f t="shared" si="4"/>
        <v/>
      </c>
      <c r="AH39" s="1394" t="str">
        <f t="shared" si="5"/>
        <v/>
      </c>
      <c r="AI39" s="1386"/>
      <c r="AJ39" s="1387" t="str">
        <f t="shared" si="6"/>
        <v/>
      </c>
      <c r="AK39" s="1387" t="str">
        <f>IF(AI39=A39,IF(AND(L39="N",Table22[[#This Row],[LOQ_label]]="Y"),AJ39,$AJ39*$Y39),"")</f>
        <v/>
      </c>
      <c r="AL39" s="1388" t="str">
        <f t="shared" si="7"/>
        <v/>
      </c>
      <c r="AM39" s="1393" t="str">
        <f>IF(Table22[[#This Row],[Highest residue * CF*PF]]&lt;&gt;"",Table22[[#This Row],[Highest residue * CF*PF]],Table22[[#This Row],[MRL*CF*PF or MRL (if LOQ and not authorised) (acute RA)]])</f>
        <v/>
      </c>
      <c r="AN39" s="1390" t="str">
        <f t="shared" si="8"/>
        <v/>
      </c>
      <c r="AO39" s="1390" t="str">
        <f t="shared" si="9"/>
        <v/>
      </c>
      <c r="AP39" s="1404" t="str">
        <f t="shared" si="10"/>
        <v/>
      </c>
      <c r="AQ39" s="1388">
        <f t="shared" si="11"/>
        <v>0</v>
      </c>
      <c r="AR39" s="1388" t="str">
        <f t="shared" si="12"/>
        <v/>
      </c>
      <c r="AS39" s="1388" t="str">
        <f t="shared" si="13"/>
        <v/>
      </c>
      <c r="AT39" s="1388" t="str">
        <f t="shared" si="14"/>
        <v/>
      </c>
      <c r="AU39" s="1393" t="str">
        <f t="shared" si="15"/>
        <v/>
      </c>
      <c r="AV39" s="1388">
        <f t="shared" si="16"/>
        <v>0</v>
      </c>
      <c r="AW39" s="1390" t="str">
        <f t="shared" si="17"/>
        <v/>
      </c>
      <c r="AX39" s="1390" t="str">
        <f>IF(AND(AN39&lt;&gt;"",AY39&lt;&gt;""),"*","")</f>
        <v/>
      </c>
      <c r="AY39" s="1394" t="str">
        <f t="shared" si="19"/>
        <v/>
      </c>
      <c r="AZ39" s="1395" t="str">
        <f>IF(Table22[[#This Row],[LOQ_label]]="Y",Table22[[#This Row],[MRL individual commodity]],"")</f>
        <v/>
      </c>
      <c r="BA39" s="1396" t="s">
        <v>1159</v>
      </c>
      <c r="BB39" s="1411" t="str">
        <f>IF(Table22[[#This Row],[LOQ2]]&lt;0,MIN(AZ39:AZ410),"")</f>
        <v/>
      </c>
      <c r="BC39" s="1299"/>
      <c r="BD39" s="1306" t="str">
        <f>IF(Table22[[#This Row],[Chronic RA label]]="","N",IF(Table22[[#This Row],[Chronic RA label]]="LOQ","N",IF(Table22[[#This Row],[Chronic RA label]]="MRL","N","Y")))</f>
        <v>N</v>
      </c>
      <c r="BE39" s="1306" t="str">
        <f>IF(Table22[[#This Row],[Acute RA label]]="","N",IF(Table22[[#This Row],[Acute RA label]]="LOQ","N",IF(Table22[[#This Row],[Acute RA label]]="MRL","N","Y")))</f>
        <v>N</v>
      </c>
      <c r="BF39" s="1306" t="str">
        <f>IF(OR(Table22[[#This Row],[include commodity in Summary_input_values_chronic]]="Y",Table22[[#This Row],[include commodity in Summary_input_values_acute]]="Y"),"Y","N")</f>
        <v>N</v>
      </c>
      <c r="BG39" s="1299"/>
      <c r="BH39" s="1324"/>
    </row>
    <row r="40" spans="1:60" ht="12.75" customHeight="1" outlineLevel="1" x14ac:dyDescent="0.2">
      <c r="A40" s="130">
        <v>2</v>
      </c>
      <c r="B40" s="447">
        <v>140000</v>
      </c>
      <c r="C40" s="131" t="s">
        <v>214</v>
      </c>
      <c r="D40" s="862"/>
      <c r="E40" s="1218"/>
      <c r="F40" s="862"/>
      <c r="G40" s="866"/>
      <c r="H40" s="863"/>
      <c r="I40" s="863"/>
      <c r="J40" s="864"/>
      <c r="K40" s="865"/>
      <c r="L40" s="471"/>
      <c r="M40" s="471"/>
      <c r="N40" s="473"/>
      <c r="O40" s="474"/>
      <c r="P40" s="473"/>
      <c r="Q40" s="474"/>
      <c r="R40" s="473"/>
      <c r="S40" s="474"/>
      <c r="T40" s="886"/>
      <c r="U40" s="1415"/>
      <c r="V40" s="1380"/>
      <c r="W40" s="1381"/>
      <c r="X40" s="1381"/>
      <c r="Y40" s="1381"/>
      <c r="Z40" s="1382">
        <v>4</v>
      </c>
      <c r="AA40" s="1381" t="str">
        <f t="shared" si="0"/>
        <v/>
      </c>
      <c r="AB40" s="1381" t="str">
        <f>IF(Z40=A40,IF(AND(L40="N",Table22[[#This Row],[LOQ_label]]="Y"),AA40,$AA40*$Y40),"")</f>
        <v/>
      </c>
      <c r="AC40" s="1383" t="str">
        <f t="shared" si="1"/>
        <v/>
      </c>
      <c r="AD40" s="1383" t="str">
        <f>IF(Table22[[#This Row],[Median residue*CF*PeF]]&lt;&gt;"",Table22[[#This Row],[Median residue*CF*PeF]],Table22[[#This Row],[MRL*CF*PeF (chronic)]])</f>
        <v/>
      </c>
      <c r="AE40" s="1384">
        <f t="shared" si="2"/>
        <v>0</v>
      </c>
      <c r="AF40" s="1385" t="str">
        <f t="shared" si="3"/>
        <v/>
      </c>
      <c r="AG40" s="1385" t="str">
        <f t="shared" si="4"/>
        <v/>
      </c>
      <c r="AH40" s="1270" t="str">
        <f t="shared" si="5"/>
        <v/>
      </c>
      <c r="AI40" s="1386">
        <v>4</v>
      </c>
      <c r="AJ40" s="1387" t="str">
        <f t="shared" si="6"/>
        <v/>
      </c>
      <c r="AK40" s="1387" t="str">
        <f>IF(AI40=A40,IF(AND(L40="N",Table22[[#This Row],[LOQ_label]]="Y"),AJ40,$AJ40*$Y40),"")</f>
        <v/>
      </c>
      <c r="AL40" s="1388" t="str">
        <f t="shared" si="7"/>
        <v/>
      </c>
      <c r="AM40" s="1393" t="str">
        <f>IF(Table22[[#This Row],[Highest residue * CF*PF]]&lt;&gt;"",Table22[[#This Row],[Highest residue * CF*PF]],Table22[[#This Row],[MRL*CF*PF or MRL (if LOQ and not authorised) (acute RA)]])</f>
        <v/>
      </c>
      <c r="AN40" s="1390" t="str">
        <f t="shared" si="8"/>
        <v/>
      </c>
      <c r="AO40" s="1390" t="str">
        <f t="shared" si="9"/>
        <v/>
      </c>
      <c r="AP40" s="1404" t="str">
        <f t="shared" si="10"/>
        <v/>
      </c>
      <c r="AQ40" s="1388">
        <f t="shared" si="11"/>
        <v>0</v>
      </c>
      <c r="AR40" s="1388" t="str">
        <f t="shared" si="12"/>
        <v/>
      </c>
      <c r="AS40" s="1388" t="str">
        <f t="shared" si="13"/>
        <v/>
      </c>
      <c r="AT40" s="1388" t="str">
        <f t="shared" si="14"/>
        <v/>
      </c>
      <c r="AU40" s="1393" t="str">
        <f t="shared" si="15"/>
        <v/>
      </c>
      <c r="AV40" s="1388">
        <f t="shared" si="16"/>
        <v>0</v>
      </c>
      <c r="AW40" s="1390" t="str">
        <f t="shared" si="17"/>
        <v/>
      </c>
      <c r="AX40" s="1390" t="str">
        <f>IF(AND(AN40&lt;&gt;"",AY40&lt;&gt;""),"*","")</f>
        <v/>
      </c>
      <c r="AY40" s="1394" t="str">
        <f t="shared" si="19"/>
        <v/>
      </c>
      <c r="AZ40" s="1395">
        <f>IF(Table22[[#This Row],[LOQ_label]]="Y",Table22[[#This Row],[MRL individual commodity]],"")</f>
        <v>0</v>
      </c>
      <c r="BA40" s="1396" t="s">
        <v>1159</v>
      </c>
      <c r="BB40" s="1411" t="str">
        <f>IF(Table22[[#This Row],[LOQ2]]&lt;0,MIN(AZ40:AZ410),"")</f>
        <v/>
      </c>
      <c r="BC40" s="1299"/>
      <c r="BD40" s="1306" t="str">
        <f>IF(Table22[[#This Row],[Chronic RA label]]="","N",IF(Table22[[#This Row],[Chronic RA label]]="LOQ","N",IF(Table22[[#This Row],[Chronic RA label]]="MRL","N","Y")))</f>
        <v>N</v>
      </c>
      <c r="BE40" s="1306" t="str">
        <f>IF(Table22[[#This Row],[Acute RA label]]="","N",IF(Table22[[#This Row],[Acute RA label]]="LOQ","N",IF(Table22[[#This Row],[Acute RA label]]="MRL","N","Y")))</f>
        <v>N</v>
      </c>
      <c r="BF40" s="1306" t="str">
        <f>IF(OR(Table22[[#This Row],[include commodity in Summary_input_values_chronic]]="Y",Table22[[#This Row],[include commodity in Summary_input_values_acute]]="Y"),"Y","N")</f>
        <v>N</v>
      </c>
      <c r="BG40" s="1299"/>
      <c r="BH40" s="1324"/>
    </row>
    <row r="41" spans="1:60" ht="12.75" customHeight="1" outlineLevel="3" x14ac:dyDescent="0.2">
      <c r="A41" s="39">
        <v>4</v>
      </c>
      <c r="B41" s="327">
        <v>140010</v>
      </c>
      <c r="C41" s="23" t="s">
        <v>116</v>
      </c>
      <c r="D41" s="867"/>
      <c r="E41" s="1219"/>
      <c r="F41" s="867"/>
      <c r="G41" s="869"/>
      <c r="H41" s="863"/>
      <c r="I41" s="868"/>
      <c r="J41" s="870"/>
      <c r="K41" s="871"/>
      <c r="L41" s="872"/>
      <c r="M41" s="872"/>
      <c r="N41" s="925" t="str">
        <f>IF(O41&lt;&gt;0,CONCATENATE(input_values!$AF41,input_values!$AG41,input_values!$AH41),"")</f>
        <v/>
      </c>
      <c r="O41" s="491">
        <f>IF($A$10="Refined calculation mode",Table22[[#This Row],[input for chronic (refined mode]],Table22[[#This Row],[input for chronic normal mode]])</f>
        <v>0</v>
      </c>
      <c r="P41" s="925" t="str">
        <f>IF(Q41&lt;&gt;0,CONCATENATE(input_values!$AN41,input_values!$AO41,input_values!$AP41),"")</f>
        <v/>
      </c>
      <c r="Q41" s="491">
        <f>IF($V$5=0,0,IF(OR($A$10="Refined calculation mode",Results!$B$62="Show results of IESTI calculation only for crops with GAPs under assessment"),Table22[[#This Row],[Input for IESTI (refined mode)]],Table22[[#This Row],[Input for IESTI normal mode]]))</f>
        <v>0</v>
      </c>
      <c r="R41" s="926" t="str">
        <f>IF(S41&lt;&gt;0,CONCATENATE(input_values!$AW41,input_values!$AX41,input_values!$AY41),"")</f>
        <v/>
      </c>
      <c r="S41" s="492">
        <f>IF($V$5=0,0,IF(OR($A$10="Refined calculation mode",Results!$B$62="Show results of IESTI calculation only for crops with GAPs under assessment"),Table22[[#This Row],[Input for IESTI new (refined mode)]],Table22[[#This Row],[Input for IESTI new normal mode]]))</f>
        <v>0</v>
      </c>
      <c r="T41" s="886"/>
      <c r="U41" s="1408">
        <f>Table22[[#This Row],[MRL/ proposed MRL /CXL
(mg/kg)]]</f>
        <v>0</v>
      </c>
      <c r="V41" s="1409" t="str">
        <f>IF(ISBLANK(F41),"","Y")</f>
        <v/>
      </c>
      <c r="W41" s="1387">
        <f>IF($G41&gt;0,$G41,1)</f>
        <v>1</v>
      </c>
      <c r="X41" s="1387">
        <f>IF($H41&gt;0,$H41,1)</f>
        <v>1</v>
      </c>
      <c r="Y41" s="1387">
        <f>W41*X41</f>
        <v>1</v>
      </c>
      <c r="Z41" s="1410">
        <v>4</v>
      </c>
      <c r="AA41" s="1387">
        <f t="shared" si="0"/>
        <v>0</v>
      </c>
      <c r="AB41" s="1387">
        <f>IF(Z41=A41,IF(AND(L41="N",Table22[[#This Row],[LOQ_label]]="Y"),AA41,$AA41*$Y41),"")</f>
        <v>0</v>
      </c>
      <c r="AC41" s="1393">
        <f t="shared" si="1"/>
        <v>0</v>
      </c>
      <c r="AD41" s="1393">
        <f>IF(Table22[[#This Row],[Median residue*CF*PeF]]&lt;&gt;"",Table22[[#This Row],[Median residue*CF*PeF]],Table22[[#This Row],[MRL*CF*PeF (chronic)]])</f>
        <v>0</v>
      </c>
      <c r="AE41" s="1393">
        <f t="shared" si="2"/>
        <v>0</v>
      </c>
      <c r="AF41" s="1390" t="str">
        <f t="shared" si="3"/>
        <v>MRL</v>
      </c>
      <c r="AG41" s="1390" t="str">
        <f t="shared" si="4"/>
        <v/>
      </c>
      <c r="AH41" s="1394" t="str">
        <f t="shared" si="5"/>
        <v/>
      </c>
      <c r="AI41" s="1386">
        <v>4</v>
      </c>
      <c r="AJ41" s="1387">
        <f t="shared" si="6"/>
        <v>0</v>
      </c>
      <c r="AK41" s="1387">
        <f>IF(AI41=A41,IF(AND(L41="N",Table22[[#This Row],[LOQ_label]]="Y"),AJ41,$AJ41*$Y41),"")</f>
        <v>0</v>
      </c>
      <c r="AL41" s="1388">
        <f t="shared" si="7"/>
        <v>0</v>
      </c>
      <c r="AM41" s="1393">
        <f>IF(Table22[[#This Row],[Highest residue * CF*PF]]&lt;&gt;"",Table22[[#This Row],[Highest residue * CF*PF]],Table22[[#This Row],[MRL*CF*PF or MRL (if LOQ and not authorised) (acute RA)]])</f>
        <v>0</v>
      </c>
      <c r="AN41" s="1390" t="str">
        <f t="shared" si="8"/>
        <v>MRL</v>
      </c>
      <c r="AO41" s="1390" t="str">
        <f t="shared" si="9"/>
        <v/>
      </c>
      <c r="AP41" s="1404" t="str">
        <f t="shared" si="10"/>
        <v/>
      </c>
      <c r="AQ41" s="1388">
        <f t="shared" si="11"/>
        <v>0</v>
      </c>
      <c r="AR41" s="1388" t="str">
        <f t="shared" si="12"/>
        <v/>
      </c>
      <c r="AS41" s="1388" t="str">
        <f t="shared" si="13"/>
        <v/>
      </c>
      <c r="AT41" s="1388" t="str">
        <f t="shared" si="14"/>
        <v/>
      </c>
      <c r="AU41" s="1393">
        <f t="shared" si="15"/>
        <v>0</v>
      </c>
      <c r="AV41" s="1388">
        <f t="shared" si="16"/>
        <v>0</v>
      </c>
      <c r="AW41" s="1390" t="str">
        <f t="shared" si="17"/>
        <v/>
      </c>
      <c r="AX41" s="1390" t="str">
        <f>IF(AND(AW41&lt;&gt;"",AY41&lt;&gt;""),"*","")</f>
        <v/>
      </c>
      <c r="AY41" s="1394" t="str">
        <f t="shared" si="19"/>
        <v/>
      </c>
      <c r="AZ41" s="1395" t="str">
        <f>IF(Table22[[#This Row],[LOQ_label]]="Y",Table22[[#This Row],[MRL individual commodity]],"")</f>
        <v/>
      </c>
      <c r="BA41" s="1449" t="s">
        <v>654</v>
      </c>
      <c r="BB41" s="1411" t="str">
        <f>IF(Table22[[#This Row],[LOQ2]]&lt;0,MIN(AZ41:AZ410),"")</f>
        <v/>
      </c>
      <c r="BC41" s="1299"/>
      <c r="BD41" s="1306" t="str">
        <f>IF(Table22[[#This Row],[Chronic RA label]]="","N",IF(Table22[[#This Row],[Chronic RA label]]="LOQ","N",IF(Table22[[#This Row],[Chronic RA label]]="MRL","N","Y")))</f>
        <v>N</v>
      </c>
      <c r="BE41" s="1306" t="str">
        <f>IF(Table22[[#This Row],[Acute RA label]]="","N",IF(Table22[[#This Row],[Acute RA label]]="LOQ","N",IF(Table22[[#This Row],[Acute RA label]]="MRL","N","Y")))</f>
        <v>N</v>
      </c>
      <c r="BF41" s="1306" t="str">
        <f>IF(OR(Table22[[#This Row],[include commodity in Summary_input_values_chronic]]="Y",Table22[[#This Row],[include commodity in Summary_input_values_acute]]="Y"),"Y","N")</f>
        <v>N</v>
      </c>
      <c r="BG41" s="1299"/>
      <c r="BH41" s="1324"/>
    </row>
    <row r="42" spans="1:60" ht="12.75" customHeight="1" outlineLevel="3" x14ac:dyDescent="0.2">
      <c r="A42" s="39">
        <v>4</v>
      </c>
      <c r="B42" s="327">
        <v>140020</v>
      </c>
      <c r="C42" s="23" t="s">
        <v>684</v>
      </c>
      <c r="D42" s="867"/>
      <c r="E42" s="1219"/>
      <c r="F42" s="867"/>
      <c r="G42" s="869"/>
      <c r="H42" s="863"/>
      <c r="I42" s="868"/>
      <c r="J42" s="870"/>
      <c r="K42" s="865"/>
      <c r="L42" s="872"/>
      <c r="M42" s="872"/>
      <c r="N42" s="925" t="str">
        <f>IF(O42&lt;&gt;0,CONCATENATE(input_values!$AF42,input_values!$AG42,input_values!$AH42),"")</f>
        <v/>
      </c>
      <c r="O42" s="491">
        <f>IF($A$10="Refined calculation mode",Table22[[#This Row],[input for chronic (refined mode]],Table22[[#This Row],[input for chronic normal mode]])</f>
        <v>0</v>
      </c>
      <c r="P42" s="925" t="str">
        <f>IF(Q42&lt;&gt;0,CONCATENATE(input_values!$AN42,input_values!$AO42,input_values!$AP42),"")</f>
        <v/>
      </c>
      <c r="Q42" s="491">
        <f>IF($V$5=0,0,IF(OR($A$10="Refined calculation mode",Results!$B$62="Show results of IESTI calculation only for crops with GAPs under assessment"),Table22[[#This Row],[Input for IESTI (refined mode)]],Table22[[#This Row],[Input for IESTI normal mode]]))</f>
        <v>0</v>
      </c>
      <c r="R42" s="926" t="str">
        <f>IF(S42&lt;&gt;0,CONCATENATE(input_values!$AW42,input_values!$AX42,input_values!$AY42),"")</f>
        <v/>
      </c>
      <c r="S42" s="492">
        <f>IF($V$5=0,0,IF(OR($A$10="Refined calculation mode",Results!$B$62="Show results of IESTI calculation only for crops with GAPs under assessment"),Table22[[#This Row],[Input for IESTI new (refined mode)]],Table22[[#This Row],[Input for IESTI new normal mode]]))</f>
        <v>0</v>
      </c>
      <c r="T42" s="886"/>
      <c r="U42" s="1408">
        <f>Table22[[#This Row],[MRL/ proposed MRL /CXL
(mg/kg)]]</f>
        <v>0</v>
      </c>
      <c r="V42" s="1409" t="str">
        <f>IF(ISBLANK(F42),"","Y")</f>
        <v/>
      </c>
      <c r="W42" s="1387">
        <f>IF($G42&gt;0,$G42,1)</f>
        <v>1</v>
      </c>
      <c r="X42" s="1387">
        <f>IF($H42&gt;0,$H42,1)</f>
        <v>1</v>
      </c>
      <c r="Y42" s="1387">
        <f>W42*X42</f>
        <v>1</v>
      </c>
      <c r="Z42" s="1410">
        <v>4</v>
      </c>
      <c r="AA42" s="1387">
        <f t="shared" si="0"/>
        <v>0</v>
      </c>
      <c r="AB42" s="1387">
        <f>IF(Z42=A42,IF(AND(L42="N",Table22[[#This Row],[LOQ_label]]="Y"),AA42,$AA42*$Y42),"")</f>
        <v>0</v>
      </c>
      <c r="AC42" s="1393">
        <f t="shared" si="1"/>
        <v>0</v>
      </c>
      <c r="AD42" s="1393">
        <f>IF(Table22[[#This Row],[Median residue*CF*PeF]]&lt;&gt;"",Table22[[#This Row],[Median residue*CF*PeF]],Table22[[#This Row],[MRL*CF*PeF (chronic)]])</f>
        <v>0</v>
      </c>
      <c r="AE42" s="1393">
        <f t="shared" si="2"/>
        <v>0</v>
      </c>
      <c r="AF42" s="1390" t="str">
        <f t="shared" si="3"/>
        <v>MRL</v>
      </c>
      <c r="AG42" s="1390" t="str">
        <f t="shared" si="4"/>
        <v/>
      </c>
      <c r="AH42" s="1394" t="str">
        <f t="shared" si="5"/>
        <v/>
      </c>
      <c r="AI42" s="1386">
        <v>4</v>
      </c>
      <c r="AJ42" s="1387">
        <f t="shared" si="6"/>
        <v>0</v>
      </c>
      <c r="AK42" s="1387">
        <f>IF(AI42=A42,IF(AND(L42="N",Table22[[#This Row],[LOQ_label]]="Y"),AJ42,$AJ42*$Y42),"")</f>
        <v>0</v>
      </c>
      <c r="AL42" s="1388">
        <f t="shared" si="7"/>
        <v>0</v>
      </c>
      <c r="AM42" s="1393">
        <f>IF(Table22[[#This Row],[Highest residue * CF*PF]]&lt;&gt;"",Table22[[#This Row],[Highest residue * CF*PF]],Table22[[#This Row],[MRL*CF*PF or MRL (if LOQ and not authorised) (acute RA)]])</f>
        <v>0</v>
      </c>
      <c r="AN42" s="1390" t="str">
        <f t="shared" si="8"/>
        <v>MRL</v>
      </c>
      <c r="AO42" s="1390" t="str">
        <f t="shared" si="9"/>
        <v/>
      </c>
      <c r="AP42" s="1404" t="str">
        <f t="shared" si="10"/>
        <v/>
      </c>
      <c r="AQ42" s="1388">
        <f t="shared" si="11"/>
        <v>0</v>
      </c>
      <c r="AR42" s="1388" t="str">
        <f t="shared" si="12"/>
        <v/>
      </c>
      <c r="AS42" s="1388" t="str">
        <f t="shared" si="13"/>
        <v/>
      </c>
      <c r="AT42" s="1388" t="str">
        <f t="shared" si="14"/>
        <v/>
      </c>
      <c r="AU42" s="1393">
        <f t="shared" si="15"/>
        <v>0</v>
      </c>
      <c r="AV42" s="1388">
        <f t="shared" si="16"/>
        <v>0</v>
      </c>
      <c r="AW42" s="1390" t="str">
        <f t="shared" si="17"/>
        <v/>
      </c>
      <c r="AX42" s="1390" t="str">
        <f>IF(AND(AW42&lt;&gt;"",AY42&lt;&gt;""),"*","")</f>
        <v/>
      </c>
      <c r="AY42" s="1394" t="str">
        <f t="shared" si="19"/>
        <v/>
      </c>
      <c r="AZ42" s="1395" t="str">
        <f>IF(Table22[[#This Row],[LOQ_label]]="Y",Table22[[#This Row],[MRL individual commodity]],"")</f>
        <v/>
      </c>
      <c r="BA42" s="1396" t="s">
        <v>1038</v>
      </c>
      <c r="BB42" s="1411" t="str">
        <f>IF(Table22[[#This Row],[LOQ2]]&lt;0,MIN(AZ42:AZ410),"")</f>
        <v/>
      </c>
      <c r="BC42" s="1299"/>
      <c r="BD42" s="1306" t="str">
        <f>IF(Table22[[#This Row],[Chronic RA label]]="","N",IF(Table22[[#This Row],[Chronic RA label]]="LOQ","N",IF(Table22[[#This Row],[Chronic RA label]]="MRL","N","Y")))</f>
        <v>N</v>
      </c>
      <c r="BE42" s="1306" t="str">
        <f>IF(Table22[[#This Row],[Acute RA label]]="","N",IF(Table22[[#This Row],[Acute RA label]]="LOQ","N",IF(Table22[[#This Row],[Acute RA label]]="MRL","N","Y")))</f>
        <v>N</v>
      </c>
      <c r="BF42" s="1306" t="str">
        <f>IF(OR(Table22[[#This Row],[include commodity in Summary_input_values_chronic]]="Y",Table22[[#This Row],[include commodity in Summary_input_values_acute]]="Y"),"Y","N")</f>
        <v>N</v>
      </c>
      <c r="BG42" s="1299"/>
      <c r="BH42" s="1324"/>
    </row>
    <row r="43" spans="1:60" ht="12.75" customHeight="1" outlineLevel="3" x14ac:dyDescent="0.2">
      <c r="A43" s="39">
        <v>4</v>
      </c>
      <c r="B43" s="327">
        <v>140030</v>
      </c>
      <c r="C43" s="23" t="s">
        <v>117</v>
      </c>
      <c r="D43" s="867"/>
      <c r="E43" s="1219"/>
      <c r="F43" s="867"/>
      <c r="G43" s="869"/>
      <c r="H43" s="863"/>
      <c r="I43" s="868"/>
      <c r="J43" s="870"/>
      <c r="K43" s="871"/>
      <c r="L43" s="872"/>
      <c r="M43" s="872"/>
      <c r="N43" s="925" t="str">
        <f>IF(O43&lt;&gt;0,CONCATENATE(input_values!$AF43,input_values!$AG43,input_values!$AH43),"")</f>
        <v/>
      </c>
      <c r="O43" s="491">
        <f>IF($A$10="Refined calculation mode",Table22[[#This Row],[input for chronic (refined mode]],Table22[[#This Row],[input for chronic normal mode]])</f>
        <v>0</v>
      </c>
      <c r="P43" s="925" t="str">
        <f>IF(Q43&lt;&gt;0,CONCATENATE(input_values!$AN43,input_values!$AO43,input_values!$AP43),"")</f>
        <v/>
      </c>
      <c r="Q43" s="491">
        <f>IF($V$5=0,0,IF(OR($A$10="Refined calculation mode",Results!$B$62="Show results of IESTI calculation only for crops with GAPs under assessment"),Table22[[#This Row],[Input for IESTI (refined mode)]],Table22[[#This Row],[Input for IESTI normal mode]]))</f>
        <v>0</v>
      </c>
      <c r="R43" s="926" t="str">
        <f>IF(S43&lt;&gt;0,CONCATENATE(input_values!$AW43,input_values!$AX43,input_values!$AY43),"")</f>
        <v/>
      </c>
      <c r="S43" s="492">
        <f>IF($V$5=0,0,IF(OR($A$10="Refined calculation mode",Results!$B$62="Show results of IESTI calculation only for crops with GAPs under assessment"),Table22[[#This Row],[Input for IESTI new (refined mode)]],Table22[[#This Row],[Input for IESTI new normal mode]]))</f>
        <v>0</v>
      </c>
      <c r="T43" s="886"/>
      <c r="U43" s="1408">
        <f>Table22[[#This Row],[MRL/ proposed MRL /CXL
(mg/kg)]]</f>
        <v>0</v>
      </c>
      <c r="V43" s="1409" t="str">
        <f>IF(ISBLANK(F43),"","Y")</f>
        <v/>
      </c>
      <c r="W43" s="1387">
        <f>IF($G43&gt;0,$G43,1)</f>
        <v>1</v>
      </c>
      <c r="X43" s="1387">
        <f>IF($H43&gt;0,$H43,1)</f>
        <v>1</v>
      </c>
      <c r="Y43" s="1387">
        <f>W43*X43</f>
        <v>1</v>
      </c>
      <c r="Z43" s="1410">
        <v>4</v>
      </c>
      <c r="AA43" s="1387">
        <f t="shared" si="0"/>
        <v>0</v>
      </c>
      <c r="AB43" s="1387">
        <f>IF(Z43=A43,IF(AND(L43="N",Table22[[#This Row],[LOQ_label]]="Y"),AA43,$AA43*$Y43),"")</f>
        <v>0</v>
      </c>
      <c r="AC43" s="1393">
        <f t="shared" si="1"/>
        <v>0</v>
      </c>
      <c r="AD43" s="1393">
        <f>IF(Table22[[#This Row],[Median residue*CF*PeF]]&lt;&gt;"",Table22[[#This Row],[Median residue*CF*PeF]],Table22[[#This Row],[MRL*CF*PeF (chronic)]])</f>
        <v>0</v>
      </c>
      <c r="AE43" s="1393">
        <f t="shared" si="2"/>
        <v>0</v>
      </c>
      <c r="AF43" s="1390" t="str">
        <f t="shared" si="3"/>
        <v>MRL</v>
      </c>
      <c r="AG43" s="1390" t="str">
        <f t="shared" si="4"/>
        <v/>
      </c>
      <c r="AH43" s="1394" t="str">
        <f t="shared" si="5"/>
        <v/>
      </c>
      <c r="AI43" s="1386">
        <v>4</v>
      </c>
      <c r="AJ43" s="1387">
        <f t="shared" si="6"/>
        <v>0</v>
      </c>
      <c r="AK43" s="1387">
        <f>IF(AI43=A43,IF(AND(L43="N",Table22[[#This Row],[LOQ_label]]="Y"),AJ43,$AJ43*$Y43),"")</f>
        <v>0</v>
      </c>
      <c r="AL43" s="1388">
        <f t="shared" si="7"/>
        <v>0</v>
      </c>
      <c r="AM43" s="1393">
        <f>IF(Table22[[#This Row],[Highest residue * CF*PF]]&lt;&gt;"",Table22[[#This Row],[Highest residue * CF*PF]],Table22[[#This Row],[MRL*CF*PF or MRL (if LOQ and not authorised) (acute RA)]])</f>
        <v>0</v>
      </c>
      <c r="AN43" s="1390" t="str">
        <f t="shared" si="8"/>
        <v>MRL</v>
      </c>
      <c r="AO43" s="1390" t="str">
        <f t="shared" si="9"/>
        <v/>
      </c>
      <c r="AP43" s="1404" t="str">
        <f t="shared" si="10"/>
        <v/>
      </c>
      <c r="AQ43" s="1388">
        <f t="shared" si="11"/>
        <v>0</v>
      </c>
      <c r="AR43" s="1388" t="str">
        <f t="shared" si="12"/>
        <v/>
      </c>
      <c r="AS43" s="1388" t="str">
        <f t="shared" si="13"/>
        <v/>
      </c>
      <c r="AT43" s="1388" t="str">
        <f t="shared" si="14"/>
        <v/>
      </c>
      <c r="AU43" s="1393">
        <f t="shared" si="15"/>
        <v>0</v>
      </c>
      <c r="AV43" s="1388">
        <f t="shared" si="16"/>
        <v>0</v>
      </c>
      <c r="AW43" s="1390" t="str">
        <f t="shared" si="17"/>
        <v/>
      </c>
      <c r="AX43" s="1390" t="str">
        <f>IF(AND(AW43&lt;&gt;"",AY43&lt;&gt;""),"*","")</f>
        <v/>
      </c>
      <c r="AY43" s="1394" t="str">
        <f t="shared" si="19"/>
        <v/>
      </c>
      <c r="AZ43" s="1395" t="str">
        <f>IF(Table22[[#This Row],[LOQ_label]]="Y",Table22[[#This Row],[MRL individual commodity]],"")</f>
        <v/>
      </c>
      <c r="BA43" s="1449" t="s">
        <v>654</v>
      </c>
      <c r="BB43" s="1411" t="str">
        <f>IF(Table22[[#This Row],[LOQ2]]&lt;0,MIN(AZ43:AZ410),"")</f>
        <v/>
      </c>
      <c r="BC43" s="1299"/>
      <c r="BD43" s="1306" t="str">
        <f>IF(Table22[[#This Row],[Chronic RA label]]="","N",IF(Table22[[#This Row],[Chronic RA label]]="LOQ","N",IF(Table22[[#This Row],[Chronic RA label]]="MRL","N","Y")))</f>
        <v>N</v>
      </c>
      <c r="BE43" s="1306" t="str">
        <f>IF(Table22[[#This Row],[Acute RA label]]="","N",IF(Table22[[#This Row],[Acute RA label]]="LOQ","N",IF(Table22[[#This Row],[Acute RA label]]="MRL","N","Y")))</f>
        <v>N</v>
      </c>
      <c r="BF43" s="1306" t="str">
        <f>IF(OR(Table22[[#This Row],[include commodity in Summary_input_values_chronic]]="Y",Table22[[#This Row],[include commodity in Summary_input_values_acute]]="Y"),"Y","N")</f>
        <v>N</v>
      </c>
      <c r="BG43" s="1299"/>
      <c r="BH43" s="1324"/>
    </row>
    <row r="44" spans="1:60" ht="12.75" customHeight="1" outlineLevel="3" x14ac:dyDescent="0.2">
      <c r="A44" s="39">
        <v>4</v>
      </c>
      <c r="B44" s="327">
        <v>140040</v>
      </c>
      <c r="C44" s="23" t="s">
        <v>118</v>
      </c>
      <c r="D44" s="867"/>
      <c r="E44" s="1219"/>
      <c r="F44" s="867"/>
      <c r="G44" s="869"/>
      <c r="H44" s="863"/>
      <c r="I44" s="868"/>
      <c r="J44" s="870"/>
      <c r="K44" s="871"/>
      <c r="L44" s="872"/>
      <c r="M44" s="872"/>
      <c r="N44" s="925" t="str">
        <f>IF(O44&lt;&gt;0,CONCATENATE(input_values!$AF44,input_values!$AG44,input_values!$AH44),"")</f>
        <v/>
      </c>
      <c r="O44" s="491">
        <f>IF($A$10="Refined calculation mode",Table22[[#This Row],[input for chronic (refined mode]],Table22[[#This Row],[input for chronic normal mode]])</f>
        <v>0</v>
      </c>
      <c r="P44" s="925" t="str">
        <f>IF(Q44&lt;&gt;0,CONCATENATE(input_values!$AN44,input_values!$AO44,input_values!$AP44),"")</f>
        <v/>
      </c>
      <c r="Q44" s="491">
        <f>IF($V$5=0,0,IF(OR($A$10="Refined calculation mode",Results!$B$62="Show results of IESTI calculation only for crops with GAPs under assessment"),Table22[[#This Row],[Input for IESTI (refined mode)]],Table22[[#This Row],[Input for IESTI normal mode]]))</f>
        <v>0</v>
      </c>
      <c r="R44" s="926" t="str">
        <f>IF(S44&lt;&gt;0,CONCATENATE(input_values!$AW44,input_values!$AX44,input_values!$AY44),"")</f>
        <v/>
      </c>
      <c r="S44" s="492">
        <f>IF($V$5=0,0,IF(OR($A$10="Refined calculation mode",Results!$B$62="Show results of IESTI calculation only for crops with GAPs under assessment"),Table22[[#This Row],[Input for IESTI new (refined mode)]],Table22[[#This Row],[Input for IESTI new normal mode]]))</f>
        <v>0</v>
      </c>
      <c r="T44" s="886"/>
      <c r="U44" s="1408">
        <f>Table22[[#This Row],[MRL/ proposed MRL /CXL
(mg/kg)]]</f>
        <v>0</v>
      </c>
      <c r="V44" s="1409" t="str">
        <f>IF(ISBLANK(F44),"","Y")</f>
        <v/>
      </c>
      <c r="W44" s="1387">
        <f>IF($G44&gt;0,$G44,1)</f>
        <v>1</v>
      </c>
      <c r="X44" s="1387">
        <f>IF($H44&gt;0,$H44,1)</f>
        <v>1</v>
      </c>
      <c r="Y44" s="1387">
        <f>W44*X44</f>
        <v>1</v>
      </c>
      <c r="Z44" s="1410">
        <v>4</v>
      </c>
      <c r="AA44" s="1387">
        <f t="shared" si="0"/>
        <v>0</v>
      </c>
      <c r="AB44" s="1387">
        <f>IF(Z44=A44,IF(AND(L44="N",Table22[[#This Row],[LOQ_label]]="Y"),AA44,$AA44*$Y44),"")</f>
        <v>0</v>
      </c>
      <c r="AC44" s="1393">
        <f t="shared" si="1"/>
        <v>0</v>
      </c>
      <c r="AD44" s="1393">
        <f>IF(Table22[[#This Row],[Median residue*CF*PeF]]&lt;&gt;"",Table22[[#This Row],[Median residue*CF*PeF]],Table22[[#This Row],[MRL*CF*PeF (chronic)]])</f>
        <v>0</v>
      </c>
      <c r="AE44" s="1393">
        <f t="shared" si="2"/>
        <v>0</v>
      </c>
      <c r="AF44" s="1390" t="str">
        <f t="shared" si="3"/>
        <v>MRL</v>
      </c>
      <c r="AG44" s="1390" t="str">
        <f t="shared" si="4"/>
        <v/>
      </c>
      <c r="AH44" s="1394" t="str">
        <f t="shared" si="5"/>
        <v/>
      </c>
      <c r="AI44" s="1386">
        <v>4</v>
      </c>
      <c r="AJ44" s="1387">
        <f t="shared" si="6"/>
        <v>0</v>
      </c>
      <c r="AK44" s="1387">
        <f>IF(AI44=A44,IF(AND(L44="N",Table22[[#This Row],[LOQ_label]]="Y"),AJ44,$AJ44*$Y44),"")</f>
        <v>0</v>
      </c>
      <c r="AL44" s="1388">
        <f t="shared" si="7"/>
        <v>0</v>
      </c>
      <c r="AM44" s="1393">
        <f>IF(Table22[[#This Row],[Highest residue * CF*PF]]&lt;&gt;"",Table22[[#This Row],[Highest residue * CF*PF]],Table22[[#This Row],[MRL*CF*PF or MRL (if LOQ and not authorised) (acute RA)]])</f>
        <v>0</v>
      </c>
      <c r="AN44" s="1390" t="str">
        <f t="shared" si="8"/>
        <v>MRL</v>
      </c>
      <c r="AO44" s="1390" t="str">
        <f t="shared" si="9"/>
        <v/>
      </c>
      <c r="AP44" s="1404" t="str">
        <f t="shared" si="10"/>
        <v/>
      </c>
      <c r="AQ44" s="1388">
        <f t="shared" si="11"/>
        <v>0</v>
      </c>
      <c r="AR44" s="1388" t="str">
        <f t="shared" si="12"/>
        <v/>
      </c>
      <c r="AS44" s="1388" t="str">
        <f t="shared" si="13"/>
        <v/>
      </c>
      <c r="AT44" s="1388" t="str">
        <f t="shared" si="14"/>
        <v/>
      </c>
      <c r="AU44" s="1393">
        <f t="shared" si="15"/>
        <v>0</v>
      </c>
      <c r="AV44" s="1388">
        <f t="shared" si="16"/>
        <v>0</v>
      </c>
      <c r="AW44" s="1390" t="str">
        <f t="shared" si="17"/>
        <v/>
      </c>
      <c r="AX44" s="1390" t="str">
        <f>IF(AND(AW44&lt;&gt;"",AY44&lt;&gt;""),"*","")</f>
        <v/>
      </c>
      <c r="AY44" s="1394" t="str">
        <f t="shared" si="19"/>
        <v/>
      </c>
      <c r="AZ44" s="1395" t="str">
        <f>IF(Table22[[#This Row],[LOQ_label]]="Y",Table22[[#This Row],[MRL individual commodity]],"")</f>
        <v/>
      </c>
      <c r="BA44" s="1449" t="s">
        <v>654</v>
      </c>
      <c r="BB44" s="1411" t="str">
        <f>IF(Table22[[#This Row],[LOQ2]]&lt;0,MIN(AZ44:AZ410),"")</f>
        <v/>
      </c>
      <c r="BC44" s="1299"/>
      <c r="BD44" s="1306" t="str">
        <f>IF(Table22[[#This Row],[Chronic RA label]]="","N",IF(Table22[[#This Row],[Chronic RA label]]="LOQ","N",IF(Table22[[#This Row],[Chronic RA label]]="MRL","N","Y")))</f>
        <v>N</v>
      </c>
      <c r="BE44" s="1306" t="str">
        <f>IF(Table22[[#This Row],[Acute RA label]]="","N",IF(Table22[[#This Row],[Acute RA label]]="LOQ","N",IF(Table22[[#This Row],[Acute RA label]]="MRL","N","Y")))</f>
        <v>N</v>
      </c>
      <c r="BF44" s="1306" t="str">
        <f>IF(OR(Table22[[#This Row],[include commodity in Summary_input_values_chronic]]="Y",Table22[[#This Row],[include commodity in Summary_input_values_acute]]="Y"),"Y","N")</f>
        <v>N</v>
      </c>
      <c r="BG44" s="1299"/>
      <c r="BH44" s="1324"/>
    </row>
    <row r="45" spans="1:60" ht="12.75" customHeight="1" outlineLevel="3" x14ac:dyDescent="0.2">
      <c r="A45" s="39">
        <v>4</v>
      </c>
      <c r="B45" s="327">
        <v>140990</v>
      </c>
      <c r="C45" s="23" t="s">
        <v>50</v>
      </c>
      <c r="D45" s="867"/>
      <c r="E45" s="1219"/>
      <c r="F45" s="867"/>
      <c r="G45" s="868"/>
      <c r="H45" s="863"/>
      <c r="I45" s="868"/>
      <c r="J45" s="870"/>
      <c r="K45" s="865"/>
      <c r="L45" s="872"/>
      <c r="M45" s="872"/>
      <c r="N45" s="925" t="str">
        <f>IF(O45&lt;&gt;0,CONCATENATE(input_values!$AF45,input_values!$AG45,input_values!$AH45),"")</f>
        <v/>
      </c>
      <c r="O45" s="491">
        <f>IF($A$10="Refined calculation mode",Table22[[#This Row],[input for chronic (refined mode]],Table22[[#This Row],[input for chronic normal mode]])</f>
        <v>0</v>
      </c>
      <c r="P45" s="473"/>
      <c r="Q45" s="474"/>
      <c r="R45" s="473"/>
      <c r="S45" s="474"/>
      <c r="T45" s="886"/>
      <c r="U45" s="1408">
        <f>Table22[[#This Row],[MRL/ proposed MRL /CXL
(mg/kg)]]</f>
        <v>0</v>
      </c>
      <c r="V45" s="1409" t="str">
        <f>IF(ISBLANK(F45),"","Y")</f>
        <v/>
      </c>
      <c r="W45" s="1387">
        <f>IF($G45&gt;0,$G45,1)</f>
        <v>1</v>
      </c>
      <c r="X45" s="1387">
        <f>IF($H45&gt;0,$H45,1)</f>
        <v>1</v>
      </c>
      <c r="Y45" s="1387">
        <f>W45*X45</f>
        <v>1</v>
      </c>
      <c r="Z45" s="1410">
        <v>4</v>
      </c>
      <c r="AA45" s="1387">
        <f t="shared" si="0"/>
        <v>0</v>
      </c>
      <c r="AB45" s="1387">
        <f>IF(Z45=A45,IF(AND(L45="N",Table22[[#This Row],[LOQ_label]]="Y"),AA45,$AA45*$Y45),"")</f>
        <v>0</v>
      </c>
      <c r="AC45" s="1393">
        <f t="shared" si="1"/>
        <v>0</v>
      </c>
      <c r="AD45" s="1393">
        <f>IF(Table22[[#This Row],[Median residue*CF*PeF]]&lt;&gt;"",Table22[[#This Row],[Median residue*CF*PeF]],Table22[[#This Row],[MRL*CF*PeF (chronic)]])</f>
        <v>0</v>
      </c>
      <c r="AE45" s="1393">
        <f t="shared" si="2"/>
        <v>0</v>
      </c>
      <c r="AF45" s="1390" t="str">
        <f t="shared" si="3"/>
        <v>MRL</v>
      </c>
      <c r="AG45" s="1390" t="str">
        <f t="shared" si="4"/>
        <v/>
      </c>
      <c r="AH45" s="1394" t="str">
        <f t="shared" si="5"/>
        <v/>
      </c>
      <c r="AI45" s="1386"/>
      <c r="AJ45" s="1387" t="str">
        <f t="shared" si="6"/>
        <v/>
      </c>
      <c r="AK45" s="1387" t="str">
        <f>IF(AI45=A45,IF(AND(L45="N",Table22[[#This Row],[LOQ_label]]="Y"),AJ45,$AJ45*$Y45),"")</f>
        <v/>
      </c>
      <c r="AL45" s="1388" t="str">
        <f t="shared" si="7"/>
        <v/>
      </c>
      <c r="AM45" s="1393" t="str">
        <f>IF(Table22[[#This Row],[Highest residue * CF*PF]]&lt;&gt;"",Table22[[#This Row],[Highest residue * CF*PF]],Table22[[#This Row],[MRL*CF*PF or MRL (if LOQ and not authorised) (acute RA)]])</f>
        <v/>
      </c>
      <c r="AN45" s="1390" t="str">
        <f t="shared" si="8"/>
        <v/>
      </c>
      <c r="AO45" s="1390" t="str">
        <f t="shared" si="9"/>
        <v/>
      </c>
      <c r="AP45" s="1404" t="str">
        <f t="shared" si="10"/>
        <v/>
      </c>
      <c r="AQ45" s="1388">
        <f t="shared" si="11"/>
        <v>0</v>
      </c>
      <c r="AR45" s="1388" t="str">
        <f t="shared" si="12"/>
        <v/>
      </c>
      <c r="AS45" s="1388" t="str">
        <f t="shared" si="13"/>
        <v/>
      </c>
      <c r="AT45" s="1388" t="str">
        <f t="shared" si="14"/>
        <v/>
      </c>
      <c r="AU45" s="1393" t="str">
        <f t="shared" si="15"/>
        <v/>
      </c>
      <c r="AV45" s="1388">
        <f t="shared" si="16"/>
        <v>0</v>
      </c>
      <c r="AW45" s="1390" t="str">
        <f t="shared" si="17"/>
        <v/>
      </c>
      <c r="AX45" s="1390" t="str">
        <f>IF(AND(AN45&lt;&gt;"",AY45&lt;&gt;""),"*","")</f>
        <v/>
      </c>
      <c r="AY45" s="1394" t="str">
        <f t="shared" si="19"/>
        <v/>
      </c>
      <c r="AZ45" s="1395" t="str">
        <f>IF(Table22[[#This Row],[LOQ_label]]="Y",Table22[[#This Row],[MRL individual commodity]],"")</f>
        <v/>
      </c>
      <c r="BA45" s="1396" t="s">
        <v>1159</v>
      </c>
      <c r="BB45" s="1411" t="str">
        <f>IF(Table22[[#This Row],[LOQ2]]&lt;0,MIN(AZ45:AZ410),"")</f>
        <v/>
      </c>
      <c r="BC45" s="1299"/>
      <c r="BD45" s="1306" t="str">
        <f>IF(Table22[[#This Row],[Chronic RA label]]="","N",IF(Table22[[#This Row],[Chronic RA label]]="LOQ","N",IF(Table22[[#This Row],[Chronic RA label]]="MRL","N","Y")))</f>
        <v>N</v>
      </c>
      <c r="BE45" s="1306" t="str">
        <f>IF(Table22[[#This Row],[Acute RA label]]="","N",IF(Table22[[#This Row],[Acute RA label]]="LOQ","N",IF(Table22[[#This Row],[Acute RA label]]="MRL","N","Y")))</f>
        <v>N</v>
      </c>
      <c r="BF45" s="1306" t="str">
        <f>IF(OR(Table22[[#This Row],[include commodity in Summary_input_values_chronic]]="Y",Table22[[#This Row],[include commodity in Summary_input_values_acute]]="Y"),"Y","N")</f>
        <v>N</v>
      </c>
      <c r="BG45" s="1299"/>
      <c r="BH45" s="1324"/>
    </row>
    <row r="46" spans="1:60" ht="12.75" customHeight="1" outlineLevel="1" x14ac:dyDescent="0.2">
      <c r="A46" s="130">
        <v>2</v>
      </c>
      <c r="B46" s="447">
        <v>150000</v>
      </c>
      <c r="C46" s="131" t="s">
        <v>216</v>
      </c>
      <c r="D46" s="862"/>
      <c r="E46" s="1218"/>
      <c r="F46" s="862"/>
      <c r="G46" s="863"/>
      <c r="H46" s="863"/>
      <c r="I46" s="863"/>
      <c r="J46" s="864"/>
      <c r="K46" s="865"/>
      <c r="L46" s="471"/>
      <c r="M46" s="471"/>
      <c r="N46" s="473"/>
      <c r="O46" s="474"/>
      <c r="P46" s="473"/>
      <c r="Q46" s="474"/>
      <c r="R46" s="473"/>
      <c r="S46" s="474"/>
      <c r="T46" s="886"/>
      <c r="U46" s="1415"/>
      <c r="V46" s="1380"/>
      <c r="W46" s="1381"/>
      <c r="X46" s="1381"/>
      <c r="Y46" s="1381"/>
      <c r="Z46" s="1382">
        <v>4</v>
      </c>
      <c r="AA46" s="1381" t="str">
        <f t="shared" si="0"/>
        <v/>
      </c>
      <c r="AB46" s="1381" t="str">
        <f>IF(Z46=A46,IF(AND(L46="N",Table22[[#This Row],[LOQ_label]]="Y"),AA46,$AA46*$Y46),"")</f>
        <v/>
      </c>
      <c r="AC46" s="1383" t="str">
        <f t="shared" si="1"/>
        <v/>
      </c>
      <c r="AD46" s="1383" t="str">
        <f>IF(Table22[[#This Row],[Median residue*CF*PeF]]&lt;&gt;"",Table22[[#This Row],[Median residue*CF*PeF]],Table22[[#This Row],[MRL*CF*PeF (chronic)]])</f>
        <v/>
      </c>
      <c r="AE46" s="1384">
        <f t="shared" si="2"/>
        <v>0</v>
      </c>
      <c r="AF46" s="1385" t="str">
        <f t="shared" si="3"/>
        <v/>
      </c>
      <c r="AG46" s="1385" t="str">
        <f t="shared" si="4"/>
        <v/>
      </c>
      <c r="AH46" s="1270" t="str">
        <f t="shared" si="5"/>
        <v/>
      </c>
      <c r="AI46" s="1386">
        <v>4</v>
      </c>
      <c r="AJ46" s="1387" t="str">
        <f t="shared" si="6"/>
        <v/>
      </c>
      <c r="AK46" s="1387" t="str">
        <f>IF(AI46=A46,IF(AND(L46="N",Table22[[#This Row],[LOQ_label]]="Y"),AJ46,$AJ46*$Y46),"")</f>
        <v/>
      </c>
      <c r="AL46" s="1388" t="str">
        <f t="shared" si="7"/>
        <v/>
      </c>
      <c r="AM46" s="1393" t="str">
        <f>IF(Table22[[#This Row],[Highest residue * CF*PF]]&lt;&gt;"",Table22[[#This Row],[Highest residue * CF*PF]],Table22[[#This Row],[MRL*CF*PF or MRL (if LOQ and not authorised) (acute RA)]])</f>
        <v/>
      </c>
      <c r="AN46" s="1390" t="str">
        <f t="shared" si="8"/>
        <v/>
      </c>
      <c r="AO46" s="1390" t="str">
        <f t="shared" si="9"/>
        <v/>
      </c>
      <c r="AP46" s="1404" t="str">
        <f t="shared" si="10"/>
        <v/>
      </c>
      <c r="AQ46" s="1388">
        <f t="shared" si="11"/>
        <v>0</v>
      </c>
      <c r="AR46" s="1388" t="str">
        <f t="shared" si="12"/>
        <v/>
      </c>
      <c r="AS46" s="1388" t="str">
        <f t="shared" si="13"/>
        <v/>
      </c>
      <c r="AT46" s="1388" t="str">
        <f t="shared" si="14"/>
        <v/>
      </c>
      <c r="AU46" s="1393" t="str">
        <f t="shared" si="15"/>
        <v/>
      </c>
      <c r="AV46" s="1388">
        <f t="shared" si="16"/>
        <v>0</v>
      </c>
      <c r="AW46" s="1390" t="str">
        <f t="shared" si="17"/>
        <v/>
      </c>
      <c r="AX46" s="1390" t="str">
        <f>IF(AND(AN46&lt;&gt;"",AY46&lt;&gt;""),"*","")</f>
        <v/>
      </c>
      <c r="AY46" s="1394" t="str">
        <f t="shared" si="19"/>
        <v/>
      </c>
      <c r="AZ46" s="1395">
        <f>IF(Table22[[#This Row],[LOQ_label]]="Y",Table22[[#This Row],[MRL individual commodity]],"")</f>
        <v>0</v>
      </c>
      <c r="BA46" s="1396" t="s">
        <v>1159</v>
      </c>
      <c r="BB46" s="1411" t="str">
        <f>IF(Table22[[#This Row],[LOQ2]]&lt;0,MIN(AZ46:AZ410),"")</f>
        <v/>
      </c>
      <c r="BC46" s="1299"/>
      <c r="BD46" s="1306" t="str">
        <f>IF(Table22[[#This Row],[Chronic RA label]]="","N",IF(Table22[[#This Row],[Chronic RA label]]="LOQ","N",IF(Table22[[#This Row],[Chronic RA label]]="MRL","N","Y")))</f>
        <v>N</v>
      </c>
      <c r="BE46" s="1306" t="str">
        <f>IF(Table22[[#This Row],[Acute RA label]]="","N",IF(Table22[[#This Row],[Acute RA label]]="LOQ","N",IF(Table22[[#This Row],[Acute RA label]]="MRL","N","Y")))</f>
        <v>N</v>
      </c>
      <c r="BF46" s="1306" t="str">
        <f>IF(OR(Table22[[#This Row],[include commodity in Summary_input_values_chronic]]="Y",Table22[[#This Row],[include commodity in Summary_input_values_acute]]="Y"),"Y","N")</f>
        <v>N</v>
      </c>
      <c r="BG46" s="1299"/>
      <c r="BH46" s="1324"/>
    </row>
    <row r="47" spans="1:60" ht="12.75" customHeight="1" outlineLevel="2" x14ac:dyDescent="0.2">
      <c r="A47" s="132">
        <v>3</v>
      </c>
      <c r="B47" s="448">
        <v>151000</v>
      </c>
      <c r="C47" s="3" t="s">
        <v>217</v>
      </c>
      <c r="D47" s="862"/>
      <c r="E47" s="1218"/>
      <c r="F47" s="862"/>
      <c r="G47" s="866"/>
      <c r="H47" s="863"/>
      <c r="I47" s="863"/>
      <c r="J47" s="864"/>
      <c r="K47" s="865"/>
      <c r="L47" s="471"/>
      <c r="M47" s="471"/>
      <c r="N47" s="473"/>
      <c r="O47" s="474"/>
      <c r="P47" s="473"/>
      <c r="Q47" s="474"/>
      <c r="R47" s="473"/>
      <c r="S47" s="474"/>
      <c r="T47" s="886"/>
      <c r="U47" s="1415"/>
      <c r="V47" s="1380"/>
      <c r="W47" s="1381"/>
      <c r="X47" s="1381"/>
      <c r="Y47" s="1381"/>
      <c r="Z47" s="1382">
        <v>4</v>
      </c>
      <c r="AA47" s="1381" t="str">
        <f t="shared" si="0"/>
        <v/>
      </c>
      <c r="AB47" s="1381" t="str">
        <f>IF(Z47=A47,IF(AND(L47="N",Table22[[#This Row],[LOQ_label]]="Y"),AA47,$AA47*$Y47),"")</f>
        <v/>
      </c>
      <c r="AC47" s="1383" t="str">
        <f t="shared" si="1"/>
        <v/>
      </c>
      <c r="AD47" s="1383" t="str">
        <f>IF(Table22[[#This Row],[Median residue*CF*PeF]]&lt;&gt;"",Table22[[#This Row],[Median residue*CF*PeF]],Table22[[#This Row],[MRL*CF*PeF (chronic)]])</f>
        <v/>
      </c>
      <c r="AE47" s="1384">
        <f t="shared" si="2"/>
        <v>0</v>
      </c>
      <c r="AF47" s="1385" t="str">
        <f t="shared" si="3"/>
        <v/>
      </c>
      <c r="AG47" s="1385" t="str">
        <f t="shared" si="4"/>
        <v/>
      </c>
      <c r="AH47" s="1270" t="str">
        <f t="shared" si="5"/>
        <v/>
      </c>
      <c r="AI47" s="1386">
        <v>4</v>
      </c>
      <c r="AJ47" s="1387" t="str">
        <f t="shared" si="6"/>
        <v/>
      </c>
      <c r="AK47" s="1387" t="str">
        <f>IF(AI47=A47,IF(AND(L47="N",Table22[[#This Row],[LOQ_label]]="Y"),AJ47,$AJ47*$Y47),"")</f>
        <v/>
      </c>
      <c r="AL47" s="1388" t="str">
        <f t="shared" si="7"/>
        <v/>
      </c>
      <c r="AM47" s="1393" t="str">
        <f>IF(Table22[[#This Row],[Highest residue * CF*PF]]&lt;&gt;"",Table22[[#This Row],[Highest residue * CF*PF]],Table22[[#This Row],[MRL*CF*PF or MRL (if LOQ and not authorised) (acute RA)]])</f>
        <v/>
      </c>
      <c r="AN47" s="1390" t="str">
        <f t="shared" si="8"/>
        <v/>
      </c>
      <c r="AO47" s="1390" t="str">
        <f t="shared" si="9"/>
        <v/>
      </c>
      <c r="AP47" s="1404" t="str">
        <f t="shared" si="10"/>
        <v/>
      </c>
      <c r="AQ47" s="1388">
        <f t="shared" si="11"/>
        <v>0</v>
      </c>
      <c r="AR47" s="1388" t="str">
        <f t="shared" si="12"/>
        <v/>
      </c>
      <c r="AS47" s="1388" t="str">
        <f t="shared" si="13"/>
        <v/>
      </c>
      <c r="AT47" s="1388" t="str">
        <f t="shared" si="14"/>
        <v/>
      </c>
      <c r="AU47" s="1393" t="str">
        <f t="shared" si="15"/>
        <v/>
      </c>
      <c r="AV47" s="1388">
        <f t="shared" si="16"/>
        <v>0</v>
      </c>
      <c r="AW47" s="1390" t="str">
        <f t="shared" si="17"/>
        <v/>
      </c>
      <c r="AX47" s="1390" t="str">
        <f>IF(AND(AN47&lt;&gt;"",AY47&lt;&gt;""),"*","")</f>
        <v/>
      </c>
      <c r="AY47" s="1394" t="str">
        <f t="shared" si="19"/>
        <v/>
      </c>
      <c r="AZ47" s="1395">
        <f>IF(Table22[[#This Row],[LOQ_label]]="Y",Table22[[#This Row],[MRL individual commodity]],"")</f>
        <v>0</v>
      </c>
      <c r="BA47" s="1396" t="s">
        <v>1159</v>
      </c>
      <c r="BB47" s="1411" t="str">
        <f>IF(Table22[[#This Row],[LOQ2]]&lt;0,MIN(AZ47:AZ410),"")</f>
        <v/>
      </c>
      <c r="BC47" s="1299"/>
      <c r="BD47" s="1306" t="str">
        <f>IF(Table22[[#This Row],[Chronic RA label]]="","N",IF(Table22[[#This Row],[Chronic RA label]]="LOQ","N",IF(Table22[[#This Row],[Chronic RA label]]="MRL","N","Y")))</f>
        <v>N</v>
      </c>
      <c r="BE47" s="1306" t="str">
        <f>IF(Table22[[#This Row],[Acute RA label]]="","N",IF(Table22[[#This Row],[Acute RA label]]="LOQ","N",IF(Table22[[#This Row],[Acute RA label]]="MRL","N","Y")))</f>
        <v>N</v>
      </c>
      <c r="BF47" s="1306" t="str">
        <f>IF(OR(Table22[[#This Row],[include commodity in Summary_input_values_chronic]]="Y",Table22[[#This Row],[include commodity in Summary_input_values_acute]]="Y"),"Y","N")</f>
        <v>N</v>
      </c>
      <c r="BG47" s="1299"/>
      <c r="BH47" s="1324"/>
    </row>
    <row r="48" spans="1:60" ht="12.75" customHeight="1" outlineLevel="3" x14ac:dyDescent="0.2">
      <c r="A48" s="39">
        <v>4</v>
      </c>
      <c r="B48" s="327">
        <v>151010</v>
      </c>
      <c r="C48" s="23" t="s">
        <v>119</v>
      </c>
      <c r="D48" s="867"/>
      <c r="E48" s="1219"/>
      <c r="F48" s="867"/>
      <c r="G48" s="869"/>
      <c r="H48" s="863"/>
      <c r="I48" s="868"/>
      <c r="J48" s="870"/>
      <c r="K48" s="871"/>
      <c r="L48" s="872"/>
      <c r="M48" s="872"/>
      <c r="N48" s="925" t="str">
        <f>IF(O48&lt;&gt;0,CONCATENATE(input_values!$AF48,input_values!$AG48,input_values!$AH48),"")</f>
        <v/>
      </c>
      <c r="O48" s="491">
        <f>IF($A$10="Refined calculation mode",Table22[[#This Row],[input for chronic (refined mode]],Table22[[#This Row],[input for chronic normal mode]])</f>
        <v>0</v>
      </c>
      <c r="P48" s="925" t="str">
        <f>IF(Q48&lt;&gt;0,CONCATENATE(input_values!$AN48,input_values!$AO48,input_values!$AP48),"")</f>
        <v/>
      </c>
      <c r="Q48" s="491">
        <f>IF($V$5=0,0,IF(OR($A$10="Refined calculation mode",Results!$B$62="Show results of IESTI calculation only for crops with GAPs under assessment"),Table22[[#This Row],[Input for IESTI (refined mode)]],Table22[[#This Row],[Input for IESTI normal mode]]))</f>
        <v>0</v>
      </c>
      <c r="R48" s="926" t="str">
        <f>IF(S48&lt;&gt;0,CONCATENATE(input_values!$AW48,input_values!$AX48,input_values!$AY48),"")</f>
        <v/>
      </c>
      <c r="S48" s="492">
        <f>IF($V$5=0,0,IF(OR($A$10="Refined calculation mode",Results!$B$62="Show results of IESTI calculation only for crops with GAPs under assessment"),Table22[[#This Row],[Input for IESTI new (refined mode)]],Table22[[#This Row],[Input for IESTI new normal mode]]))</f>
        <v>0</v>
      </c>
      <c r="T48" s="886"/>
      <c r="U48" s="1408">
        <f>Table22[[#This Row],[MRL/ proposed MRL /CXL
(mg/kg)]]</f>
        <v>0</v>
      </c>
      <c r="V48" s="1409" t="str">
        <f>IF(ISBLANK(F48),"","Y")</f>
        <v/>
      </c>
      <c r="W48" s="1387">
        <f>IF($G48&gt;0,$G48,1)</f>
        <v>1</v>
      </c>
      <c r="X48" s="1387">
        <f>IF($H48&gt;0,$H48,1)</f>
        <v>1</v>
      </c>
      <c r="Y48" s="1387">
        <f>W48*X48</f>
        <v>1</v>
      </c>
      <c r="Z48" s="1410">
        <v>4</v>
      </c>
      <c r="AA48" s="1387">
        <f t="shared" si="0"/>
        <v>0</v>
      </c>
      <c r="AB48" s="1387">
        <f>IF(Z48=A48,IF(AND(L48="N",Table22[[#This Row],[LOQ_label]]="Y"),AA48,$AA48*$Y48),"")</f>
        <v>0</v>
      </c>
      <c r="AC48" s="1393">
        <f t="shared" si="1"/>
        <v>0</v>
      </c>
      <c r="AD48" s="1393">
        <f>IF(Table22[[#This Row],[Median residue*CF*PeF]]&lt;&gt;"",Table22[[#This Row],[Median residue*CF*PeF]],Table22[[#This Row],[MRL*CF*PeF (chronic)]])</f>
        <v>0</v>
      </c>
      <c r="AE48" s="1393">
        <f t="shared" si="2"/>
        <v>0</v>
      </c>
      <c r="AF48" s="1390" t="str">
        <f t="shared" si="3"/>
        <v>MRL</v>
      </c>
      <c r="AG48" s="1390" t="str">
        <f t="shared" si="4"/>
        <v/>
      </c>
      <c r="AH48" s="1394" t="str">
        <f t="shared" si="5"/>
        <v/>
      </c>
      <c r="AI48" s="1386">
        <v>4</v>
      </c>
      <c r="AJ48" s="1387">
        <f t="shared" si="6"/>
        <v>0</v>
      </c>
      <c r="AK48" s="1387">
        <f>IF(AI48=A48,IF(AND(L48="N",Table22[[#This Row],[LOQ_label]]="Y"),AJ48,$AJ48*$Y48),"")</f>
        <v>0</v>
      </c>
      <c r="AL48" s="1388">
        <f t="shared" si="7"/>
        <v>0</v>
      </c>
      <c r="AM48" s="1393">
        <f>IF(Table22[[#This Row],[Highest residue * CF*PF]]&lt;&gt;"",Table22[[#This Row],[Highest residue * CF*PF]],Table22[[#This Row],[MRL*CF*PF or MRL (if LOQ and not authorised) (acute RA)]])</f>
        <v>0</v>
      </c>
      <c r="AN48" s="1390" t="str">
        <f t="shared" si="8"/>
        <v>MRL</v>
      </c>
      <c r="AO48" s="1390" t="str">
        <f t="shared" si="9"/>
        <v/>
      </c>
      <c r="AP48" s="1404" t="str">
        <f t="shared" si="10"/>
        <v/>
      </c>
      <c r="AQ48" s="1388">
        <f t="shared" si="11"/>
        <v>0</v>
      </c>
      <c r="AR48" s="1388" t="str">
        <f t="shared" si="12"/>
        <v/>
      </c>
      <c r="AS48" s="1388" t="str">
        <f t="shared" si="13"/>
        <v/>
      </c>
      <c r="AT48" s="1388" t="str">
        <f t="shared" si="14"/>
        <v/>
      </c>
      <c r="AU48" s="1393">
        <f t="shared" si="15"/>
        <v>0</v>
      </c>
      <c r="AV48" s="1388">
        <f t="shared" si="16"/>
        <v>0</v>
      </c>
      <c r="AW48" s="1390" t="str">
        <f t="shared" si="17"/>
        <v/>
      </c>
      <c r="AX48" s="1390" t="str">
        <f>IF(AND(AW48&lt;&gt;"",AY48&lt;&gt;""),"*","")</f>
        <v/>
      </c>
      <c r="AY48" s="1394" t="str">
        <f t="shared" si="19"/>
        <v/>
      </c>
      <c r="AZ48" s="1395" t="str">
        <f>IF(Table22[[#This Row],[LOQ_label]]="Y",Table22[[#This Row],[MRL individual commodity]],"")</f>
        <v/>
      </c>
      <c r="BA48" s="1449" t="s">
        <v>654</v>
      </c>
      <c r="BB48" s="1411" t="str">
        <f>IF(Table22[[#This Row],[LOQ2]]&lt;0,MIN(AZ48:AZ410),"")</f>
        <v/>
      </c>
      <c r="BC48" s="1299"/>
      <c r="BD48" s="1306" t="str">
        <f>IF(Table22[[#This Row],[Chronic RA label]]="","N",IF(Table22[[#This Row],[Chronic RA label]]="LOQ","N",IF(Table22[[#This Row],[Chronic RA label]]="MRL","N","Y")))</f>
        <v>N</v>
      </c>
      <c r="BE48" s="1306" t="str">
        <f>IF(Table22[[#This Row],[Acute RA label]]="","N",IF(Table22[[#This Row],[Acute RA label]]="LOQ","N",IF(Table22[[#This Row],[Acute RA label]]="MRL","N","Y")))</f>
        <v>N</v>
      </c>
      <c r="BF48" s="1306" t="str">
        <f>IF(OR(Table22[[#This Row],[include commodity in Summary_input_values_chronic]]="Y",Table22[[#This Row],[include commodity in Summary_input_values_acute]]="Y"),"Y","N")</f>
        <v>N</v>
      </c>
      <c r="BG48" s="1299"/>
      <c r="BH48" s="1324"/>
    </row>
    <row r="49" spans="1:60" ht="12.75" customHeight="1" outlineLevel="3" x14ac:dyDescent="0.2">
      <c r="A49" s="39">
        <v>4</v>
      </c>
      <c r="B49" s="327">
        <v>151020</v>
      </c>
      <c r="C49" s="23" t="s">
        <v>120</v>
      </c>
      <c r="D49" s="867"/>
      <c r="E49" s="1219"/>
      <c r="F49" s="867"/>
      <c r="G49" s="873"/>
      <c r="H49" s="863"/>
      <c r="I49" s="868"/>
      <c r="J49" s="870"/>
      <c r="K49" s="865"/>
      <c r="L49" s="872"/>
      <c r="M49" s="872"/>
      <c r="N49" s="925" t="str">
        <f>IF(O49&lt;&gt;0,CONCATENATE(input_values!$AF49,input_values!$AG49,input_values!$AH49),"")</f>
        <v/>
      </c>
      <c r="O49" s="491">
        <f>IF($A$10="Refined calculation mode",Table22[[#This Row],[input for chronic (refined mode]],Table22[[#This Row],[input for chronic normal mode]])</f>
        <v>0</v>
      </c>
      <c r="P49" s="925" t="str">
        <f>IF(Q49&lt;&gt;0,CONCATENATE(input_values!$AN49,input_values!$AO49,input_values!$AP49),"")</f>
        <v/>
      </c>
      <c r="Q49" s="491">
        <f>IF($V$5=0,0,IF(OR($A$10="Refined calculation mode",Results!$B$62="Show results of IESTI calculation only for crops with GAPs under assessment"),Table22[[#This Row],[Input for IESTI (refined mode)]],Table22[[#This Row],[Input for IESTI normal mode]]))</f>
        <v>0</v>
      </c>
      <c r="R49" s="926" t="str">
        <f>IF(S49&lt;&gt;0,CONCATENATE(input_values!$AW49,input_values!$AX49,input_values!$AY49),"")</f>
        <v/>
      </c>
      <c r="S49" s="492">
        <f>IF($V$5=0,0,IF(OR($A$10="Refined calculation mode",Results!$B$62="Show results of IESTI calculation only for crops with GAPs under assessment"),Table22[[#This Row],[Input for IESTI new (refined mode)]],Table22[[#This Row],[Input for IESTI new normal mode]]))</f>
        <v>0</v>
      </c>
      <c r="T49" s="886"/>
      <c r="U49" s="1408">
        <f>Table22[[#This Row],[MRL/ proposed MRL /CXL
(mg/kg)]]</f>
        <v>0</v>
      </c>
      <c r="V49" s="1409" t="str">
        <f>IF(ISBLANK(F49),"","Y")</f>
        <v/>
      </c>
      <c r="W49" s="1387">
        <f>IF($G49&gt;0,$G49,1)</f>
        <v>1</v>
      </c>
      <c r="X49" s="1387">
        <f>IF($H49&gt;0,$H49,1)</f>
        <v>1</v>
      </c>
      <c r="Y49" s="1387">
        <f>W49*X49</f>
        <v>1</v>
      </c>
      <c r="Z49" s="1410">
        <v>4</v>
      </c>
      <c r="AA49" s="1387">
        <f t="shared" si="0"/>
        <v>0</v>
      </c>
      <c r="AB49" s="1387">
        <f>IF(Z49=A49,IF(AND(L49="N",Table22[[#This Row],[LOQ_label]]="Y"),AA49,$AA49*$Y49),"")</f>
        <v>0</v>
      </c>
      <c r="AC49" s="1393">
        <f t="shared" si="1"/>
        <v>0</v>
      </c>
      <c r="AD49" s="1393">
        <f>IF(Table22[[#This Row],[Median residue*CF*PeF]]&lt;&gt;"",Table22[[#This Row],[Median residue*CF*PeF]],Table22[[#This Row],[MRL*CF*PeF (chronic)]])</f>
        <v>0</v>
      </c>
      <c r="AE49" s="1393">
        <f t="shared" si="2"/>
        <v>0</v>
      </c>
      <c r="AF49" s="1390" t="str">
        <f t="shared" si="3"/>
        <v>MRL</v>
      </c>
      <c r="AG49" s="1390" t="str">
        <f t="shared" si="4"/>
        <v/>
      </c>
      <c r="AH49" s="1394" t="str">
        <f t="shared" si="5"/>
        <v/>
      </c>
      <c r="AI49" s="1386">
        <v>4</v>
      </c>
      <c r="AJ49" s="1387">
        <f t="shared" si="6"/>
        <v>0</v>
      </c>
      <c r="AK49" s="1387">
        <f>IF(AI49=A49,IF(AND(L49="N",Table22[[#This Row],[LOQ_label]]="Y"),AJ49,$AJ49*$Y49),"")</f>
        <v>0</v>
      </c>
      <c r="AL49" s="1388">
        <f t="shared" si="7"/>
        <v>0</v>
      </c>
      <c r="AM49" s="1393">
        <f>IF(Table22[[#This Row],[Highest residue * CF*PF]]&lt;&gt;"",Table22[[#This Row],[Highest residue * CF*PF]],Table22[[#This Row],[MRL*CF*PF or MRL (if LOQ and not authorised) (acute RA)]])</f>
        <v>0</v>
      </c>
      <c r="AN49" s="1390" t="str">
        <f t="shared" si="8"/>
        <v>MRL</v>
      </c>
      <c r="AO49" s="1390" t="str">
        <f t="shared" si="9"/>
        <v/>
      </c>
      <c r="AP49" s="1404" t="str">
        <f t="shared" si="10"/>
        <v/>
      </c>
      <c r="AQ49" s="1388">
        <f t="shared" si="11"/>
        <v>0</v>
      </c>
      <c r="AR49" s="1388" t="str">
        <f t="shared" si="12"/>
        <v/>
      </c>
      <c r="AS49" s="1388" t="str">
        <f t="shared" si="13"/>
        <v/>
      </c>
      <c r="AT49" s="1388" t="str">
        <f t="shared" si="14"/>
        <v/>
      </c>
      <c r="AU49" s="1393">
        <f t="shared" si="15"/>
        <v>0</v>
      </c>
      <c r="AV49" s="1388">
        <f t="shared" si="16"/>
        <v>0</v>
      </c>
      <c r="AW49" s="1390" t="str">
        <f t="shared" si="17"/>
        <v/>
      </c>
      <c r="AX49" s="1390" t="str">
        <f>IF(AND(AW49&lt;&gt;"",AY49&lt;&gt;""),"*","")</f>
        <v/>
      </c>
      <c r="AY49" s="1394" t="str">
        <f t="shared" si="19"/>
        <v/>
      </c>
      <c r="AZ49" s="1395" t="str">
        <f>IF(Table22[[#This Row],[LOQ_label]]="Y",Table22[[#This Row],[MRL individual commodity]],"")</f>
        <v/>
      </c>
      <c r="BA49" s="1396" t="s">
        <v>1038</v>
      </c>
      <c r="BB49" s="1411" t="str">
        <f>IF(Table22[[#This Row],[LOQ2]]&lt;0,MIN(AZ49:AZ410),"")</f>
        <v/>
      </c>
      <c r="BC49" s="1299"/>
      <c r="BD49" s="1306" t="str">
        <f>IF(Table22[[#This Row],[Chronic RA label]]="","N",IF(Table22[[#This Row],[Chronic RA label]]="LOQ","N",IF(Table22[[#This Row],[Chronic RA label]]="MRL","N","Y")))</f>
        <v>N</v>
      </c>
      <c r="BE49" s="1306" t="str">
        <f>IF(Table22[[#This Row],[Acute RA label]]="","N",IF(Table22[[#This Row],[Acute RA label]]="LOQ","N",IF(Table22[[#This Row],[Acute RA label]]="MRL","N","Y")))</f>
        <v>N</v>
      </c>
      <c r="BF49" s="1306" t="str">
        <f>IF(OR(Table22[[#This Row],[include commodity in Summary_input_values_chronic]]="Y",Table22[[#This Row],[include commodity in Summary_input_values_acute]]="Y"),"Y","N")</f>
        <v>N</v>
      </c>
      <c r="BG49" s="1299"/>
      <c r="BH49" s="1324"/>
    </row>
    <row r="50" spans="1:60" ht="12.75" customHeight="1" outlineLevel="2" x14ac:dyDescent="0.2">
      <c r="A50" s="132">
        <v>3</v>
      </c>
      <c r="B50" s="448">
        <v>152000</v>
      </c>
      <c r="C50" s="3" t="s">
        <v>218</v>
      </c>
      <c r="D50" s="867"/>
      <c r="E50" s="1219"/>
      <c r="F50" s="867"/>
      <c r="G50" s="868"/>
      <c r="H50" s="863"/>
      <c r="I50" s="868"/>
      <c r="J50" s="870"/>
      <c r="K50" s="865"/>
      <c r="L50" s="872"/>
      <c r="M50" s="872"/>
      <c r="N50" s="925" t="str">
        <f>IF(O50&lt;&gt;0,CONCATENATE(input_values!$AF50,input_values!$AG50,input_values!$AH50),"")</f>
        <v/>
      </c>
      <c r="O50" s="491">
        <f>IF($A$10="Refined calculation mode",Table22[[#This Row],[input for chronic (refined mode]],Table22[[#This Row],[input for chronic normal mode]])</f>
        <v>0</v>
      </c>
      <c r="P50" s="925" t="str">
        <f>IF(Q50&lt;&gt;0,CONCATENATE(input_values!$AN50,input_values!$AO50,input_values!$AP50),"")</f>
        <v/>
      </c>
      <c r="Q50" s="491">
        <f>IF($V$5=0,0,IF(OR($A$10="Refined calculation mode",Results!$B$62="Show results of IESTI calculation only for crops with GAPs under assessment"),Table22[[#This Row],[Input for IESTI (refined mode)]],Table22[[#This Row],[Input for IESTI normal mode]]))</f>
        <v>0</v>
      </c>
      <c r="R50" s="926" t="str">
        <f>IF(S50&lt;&gt;0,CONCATENATE(input_values!$AW50,input_values!$AX50,input_values!$AY50),"")</f>
        <v/>
      </c>
      <c r="S50" s="492">
        <f>IF($V$5=0,0,IF(OR($A$10="Refined calculation mode",Results!$B$62="Show results of IESTI calculation only for crops with GAPs under assessment"),Table22[[#This Row],[Input for IESTI new (refined mode)]],Table22[[#This Row],[Input for IESTI new normal mode]]))</f>
        <v>0</v>
      </c>
      <c r="T50" s="886"/>
      <c r="U50" s="1408">
        <f>Table22[[#This Row],[MRL/ proposed MRL /CXL
(mg/kg)]]</f>
        <v>0</v>
      </c>
      <c r="V50" s="1409" t="str">
        <f>IF(ISBLANK(F50),"","Y")</f>
        <v/>
      </c>
      <c r="W50" s="1387">
        <f>IF($G50&gt;0,$G50,1)</f>
        <v>1</v>
      </c>
      <c r="X50" s="1387">
        <f>IF($H50&gt;0,$H50,1)</f>
        <v>1</v>
      </c>
      <c r="Y50" s="1387">
        <f>W50*X50</f>
        <v>1</v>
      </c>
      <c r="Z50" s="1410">
        <v>3</v>
      </c>
      <c r="AA50" s="1387">
        <f t="shared" si="0"/>
        <v>0</v>
      </c>
      <c r="AB50" s="1387">
        <f>IF(Z50=A50,IF(AND(L50="N",Table22[[#This Row],[LOQ_label]]="Y"),AA50,$AA50*$Y50),"")</f>
        <v>0</v>
      </c>
      <c r="AC50" s="1393">
        <f t="shared" si="1"/>
        <v>0</v>
      </c>
      <c r="AD50" s="1393">
        <f>IF(Table22[[#This Row],[Median residue*CF*PeF]]&lt;&gt;"",Table22[[#This Row],[Median residue*CF*PeF]],Table22[[#This Row],[MRL*CF*PeF (chronic)]])</f>
        <v>0</v>
      </c>
      <c r="AE50" s="1393">
        <f t="shared" si="2"/>
        <v>0</v>
      </c>
      <c r="AF50" s="1390" t="str">
        <f t="shared" si="3"/>
        <v>MRL</v>
      </c>
      <c r="AG50" s="1390" t="str">
        <f t="shared" si="4"/>
        <v/>
      </c>
      <c r="AH50" s="1394" t="str">
        <f t="shared" si="5"/>
        <v/>
      </c>
      <c r="AI50" s="1418">
        <v>3</v>
      </c>
      <c r="AJ50" s="1387">
        <f t="shared" si="6"/>
        <v>0</v>
      </c>
      <c r="AK50" s="1387">
        <f>IF(AI50=A50,IF(AND(L50="N",Table22[[#This Row],[LOQ_label]]="Y"),AJ50,$AJ50*$Y50),"")</f>
        <v>0</v>
      </c>
      <c r="AL50" s="1388">
        <f t="shared" si="7"/>
        <v>0</v>
      </c>
      <c r="AM50" s="1393">
        <f>IF(Table22[[#This Row],[Highest residue * CF*PF]]&lt;&gt;"",Table22[[#This Row],[Highest residue * CF*PF]],Table22[[#This Row],[MRL*CF*PF or MRL (if LOQ and not authorised) (acute RA)]])</f>
        <v>0</v>
      </c>
      <c r="AN50" s="1390" t="str">
        <f t="shared" si="8"/>
        <v>MRL</v>
      </c>
      <c r="AO50" s="1390" t="str">
        <f t="shared" si="9"/>
        <v/>
      </c>
      <c r="AP50" s="1404" t="str">
        <f t="shared" si="10"/>
        <v/>
      </c>
      <c r="AQ50" s="1388">
        <f t="shared" si="11"/>
        <v>0</v>
      </c>
      <c r="AR50" s="1388" t="str">
        <f t="shared" si="12"/>
        <v/>
      </c>
      <c r="AS50" s="1388" t="str">
        <f t="shared" si="13"/>
        <v/>
      </c>
      <c r="AT50" s="1388" t="str">
        <f t="shared" si="14"/>
        <v/>
      </c>
      <c r="AU50" s="1393">
        <f t="shared" si="15"/>
        <v>0</v>
      </c>
      <c r="AV50" s="1388">
        <f t="shared" si="16"/>
        <v>0</v>
      </c>
      <c r="AW50" s="1390" t="str">
        <f t="shared" si="17"/>
        <v/>
      </c>
      <c r="AX50" s="1390" t="str">
        <f>IF(AND(AW50&lt;&gt;"",AY50&lt;&gt;""),"*","")</f>
        <v/>
      </c>
      <c r="AY50" s="1394" t="str">
        <f t="shared" si="19"/>
        <v/>
      </c>
      <c r="AZ50" s="1395" t="str">
        <f>IF(Table22[[#This Row],[LOQ_label]]="Y",Table22[[#This Row],[MRL individual commodity]],"")</f>
        <v/>
      </c>
      <c r="BA50" s="1396" t="s">
        <v>1038</v>
      </c>
      <c r="BB50" s="1411" t="str">
        <f>IF(Table22[[#This Row],[LOQ2]]&lt;0,MIN(AZ50:AZ410),"")</f>
        <v/>
      </c>
      <c r="BC50" s="1299"/>
      <c r="BD50" s="1306" t="str">
        <f>IF(Table22[[#This Row],[Chronic RA label]]="","N",IF(Table22[[#This Row],[Chronic RA label]]="LOQ","N",IF(Table22[[#This Row],[Chronic RA label]]="MRL","N","Y")))</f>
        <v>N</v>
      </c>
      <c r="BE50" s="1306" t="str">
        <f>IF(Table22[[#This Row],[Acute RA label]]="","N",IF(Table22[[#This Row],[Acute RA label]]="LOQ","N",IF(Table22[[#This Row],[Acute RA label]]="MRL","N","Y")))</f>
        <v>N</v>
      </c>
      <c r="BF50" s="1306" t="str">
        <f>IF(OR(Table22[[#This Row],[include commodity in Summary_input_values_chronic]]="Y",Table22[[#This Row],[include commodity in Summary_input_values_acute]]="Y"),"Y","N")</f>
        <v>N</v>
      </c>
      <c r="BG50" s="1299"/>
      <c r="BH50" s="1324"/>
    </row>
    <row r="51" spans="1:60" ht="12.75" customHeight="1" outlineLevel="2" x14ac:dyDescent="0.2">
      <c r="A51" s="132">
        <v>3</v>
      </c>
      <c r="B51" s="448">
        <v>153000</v>
      </c>
      <c r="C51" s="3" t="s">
        <v>219</v>
      </c>
      <c r="D51" s="862"/>
      <c r="E51" s="1218"/>
      <c r="F51" s="862"/>
      <c r="G51" s="866"/>
      <c r="H51" s="863"/>
      <c r="I51" s="863"/>
      <c r="J51" s="864"/>
      <c r="K51" s="865"/>
      <c r="L51" s="471"/>
      <c r="M51" s="471"/>
      <c r="N51" s="473"/>
      <c r="O51" s="474"/>
      <c r="P51" s="473"/>
      <c r="Q51" s="474"/>
      <c r="R51" s="473"/>
      <c r="S51" s="474"/>
      <c r="T51" s="886"/>
      <c r="U51" s="1415"/>
      <c r="V51" s="1380"/>
      <c r="W51" s="1381"/>
      <c r="X51" s="1381"/>
      <c r="Y51" s="1381"/>
      <c r="Z51" s="1382">
        <v>4</v>
      </c>
      <c r="AA51" s="1381" t="str">
        <f t="shared" si="0"/>
        <v/>
      </c>
      <c r="AB51" s="1381" t="str">
        <f>IF(Z51=A51,IF(AND(L51="N",Table22[[#This Row],[LOQ_label]]="Y"),AA51,$AA51*$Y51),"")</f>
        <v/>
      </c>
      <c r="AC51" s="1383" t="str">
        <f t="shared" si="1"/>
        <v/>
      </c>
      <c r="AD51" s="1383" t="str">
        <f>IF(Table22[[#This Row],[Median residue*CF*PeF]]&lt;&gt;"",Table22[[#This Row],[Median residue*CF*PeF]],Table22[[#This Row],[MRL*CF*PeF (chronic)]])</f>
        <v/>
      </c>
      <c r="AE51" s="1384">
        <f t="shared" si="2"/>
        <v>0</v>
      </c>
      <c r="AF51" s="1385" t="str">
        <f t="shared" si="3"/>
        <v/>
      </c>
      <c r="AG51" s="1385" t="str">
        <f t="shared" si="4"/>
        <v/>
      </c>
      <c r="AH51" s="1270" t="str">
        <f t="shared" si="5"/>
        <v/>
      </c>
      <c r="AI51" s="1386">
        <v>4</v>
      </c>
      <c r="AJ51" s="1387" t="str">
        <f t="shared" si="6"/>
        <v/>
      </c>
      <c r="AK51" s="1387" t="str">
        <f>IF(AI51=A51,IF(AND(L51="N",Table22[[#This Row],[LOQ_label]]="Y"),AJ51,$AJ51*$Y51),"")</f>
        <v/>
      </c>
      <c r="AL51" s="1388" t="str">
        <f t="shared" si="7"/>
        <v/>
      </c>
      <c r="AM51" s="1393" t="str">
        <f>IF(Table22[[#This Row],[Highest residue * CF*PF]]&lt;&gt;"",Table22[[#This Row],[Highest residue * CF*PF]],Table22[[#This Row],[MRL*CF*PF or MRL (if LOQ and not authorised) (acute RA)]])</f>
        <v/>
      </c>
      <c r="AN51" s="1390" t="str">
        <f t="shared" si="8"/>
        <v/>
      </c>
      <c r="AO51" s="1390" t="str">
        <f t="shared" si="9"/>
        <v/>
      </c>
      <c r="AP51" s="1404" t="str">
        <f t="shared" si="10"/>
        <v/>
      </c>
      <c r="AQ51" s="1388">
        <f t="shared" si="11"/>
        <v>0</v>
      </c>
      <c r="AR51" s="1388" t="str">
        <f t="shared" si="12"/>
        <v/>
      </c>
      <c r="AS51" s="1388" t="str">
        <f t="shared" si="13"/>
        <v/>
      </c>
      <c r="AT51" s="1388" t="str">
        <f t="shared" si="14"/>
        <v/>
      </c>
      <c r="AU51" s="1393" t="str">
        <f t="shared" si="15"/>
        <v/>
      </c>
      <c r="AV51" s="1388">
        <f t="shared" si="16"/>
        <v>0</v>
      </c>
      <c r="AW51" s="1390" t="str">
        <f t="shared" si="17"/>
        <v/>
      </c>
      <c r="AX51" s="1390" t="str">
        <f>IF(AND(AN51&lt;&gt;"",AY51&lt;&gt;""),"*","")</f>
        <v/>
      </c>
      <c r="AY51" s="1394" t="str">
        <f t="shared" si="19"/>
        <v/>
      </c>
      <c r="AZ51" s="1395">
        <f>IF(Table22[[#This Row],[LOQ_label]]="Y",Table22[[#This Row],[MRL individual commodity]],"")</f>
        <v>0</v>
      </c>
      <c r="BA51" s="1396" t="s">
        <v>1159</v>
      </c>
      <c r="BB51" s="1411" t="str">
        <f>IF(Table22[[#This Row],[LOQ2]]&lt;0,MIN(AZ51:AZ410),"")</f>
        <v/>
      </c>
      <c r="BC51" s="1299"/>
      <c r="BD51" s="1306" t="str">
        <f>IF(Table22[[#This Row],[Chronic RA label]]="","N",IF(Table22[[#This Row],[Chronic RA label]]="LOQ","N",IF(Table22[[#This Row],[Chronic RA label]]="MRL","N","Y")))</f>
        <v>N</v>
      </c>
      <c r="BE51" s="1306" t="str">
        <f>IF(Table22[[#This Row],[Acute RA label]]="","N",IF(Table22[[#This Row],[Acute RA label]]="LOQ","N",IF(Table22[[#This Row],[Acute RA label]]="MRL","N","Y")))</f>
        <v>N</v>
      </c>
      <c r="BF51" s="1306" t="str">
        <f>IF(OR(Table22[[#This Row],[include commodity in Summary_input_values_chronic]]="Y",Table22[[#This Row],[include commodity in Summary_input_values_acute]]="Y"),"Y","N")</f>
        <v>N</v>
      </c>
      <c r="BG51" s="1299"/>
      <c r="BH51" s="1324"/>
    </row>
    <row r="52" spans="1:60" ht="12.75" customHeight="1" outlineLevel="3" x14ac:dyDescent="0.2">
      <c r="A52" s="39">
        <v>4</v>
      </c>
      <c r="B52" s="327">
        <v>153010</v>
      </c>
      <c r="C52" s="23" t="s">
        <v>121</v>
      </c>
      <c r="D52" s="867"/>
      <c r="E52" s="1219"/>
      <c r="F52" s="867"/>
      <c r="G52" s="869"/>
      <c r="H52" s="863"/>
      <c r="I52" s="868"/>
      <c r="J52" s="870"/>
      <c r="K52" s="865"/>
      <c r="L52" s="872"/>
      <c r="M52" s="872"/>
      <c r="N52" s="925" t="str">
        <f>IF(O52&lt;&gt;0,CONCATENATE(input_values!$AF52,input_values!$AG52,input_values!$AH52),"")</f>
        <v/>
      </c>
      <c r="O52" s="491">
        <f>IF($A$10="Refined calculation mode",Table22[[#This Row],[input for chronic (refined mode]],Table22[[#This Row],[input for chronic normal mode]])</f>
        <v>0</v>
      </c>
      <c r="P52" s="925" t="str">
        <f>IF(Q52&lt;&gt;0,CONCATENATE(input_values!$AN52,input_values!$AO52,input_values!$AP52),"")</f>
        <v/>
      </c>
      <c r="Q52" s="491">
        <f>IF($V$5=0,0,IF(OR($A$10="Refined calculation mode",Results!$B$62="Show results of IESTI calculation only for crops with GAPs under assessment"),Table22[[#This Row],[Input for IESTI (refined mode)]],Table22[[#This Row],[Input for IESTI normal mode]]))</f>
        <v>0</v>
      </c>
      <c r="R52" s="926" t="str">
        <f>IF(S52&lt;&gt;0,CONCATENATE(input_values!$AW52,input_values!$AX52,input_values!$AY52),"")</f>
        <v/>
      </c>
      <c r="S52" s="492">
        <f>IF($V$5=0,0,IF(OR($A$10="Refined calculation mode",Results!$B$62="Show results of IESTI calculation only for crops with GAPs under assessment"),Table22[[#This Row],[Input for IESTI new (refined mode)]],Table22[[#This Row],[Input for IESTI new normal mode]]))</f>
        <v>0</v>
      </c>
      <c r="T52" s="886"/>
      <c r="U52" s="1408">
        <f>Table22[[#This Row],[MRL/ proposed MRL /CXL
(mg/kg)]]</f>
        <v>0</v>
      </c>
      <c r="V52" s="1409" t="str">
        <f>IF(ISBLANK(F52),"","Y")</f>
        <v/>
      </c>
      <c r="W52" s="1387">
        <f>IF($G52&gt;0,$G52,1)</f>
        <v>1</v>
      </c>
      <c r="X52" s="1387">
        <f>IF($H52&gt;0,$H52,1)</f>
        <v>1</v>
      </c>
      <c r="Y52" s="1387">
        <f>W52*X52</f>
        <v>1</v>
      </c>
      <c r="Z52" s="1410">
        <v>4</v>
      </c>
      <c r="AA52" s="1387">
        <f t="shared" si="0"/>
        <v>0</v>
      </c>
      <c r="AB52" s="1387">
        <f>IF(Z52=A52,IF(AND(L52="N",Table22[[#This Row],[LOQ_label]]="Y"),AA52,$AA52*$Y52),"")</f>
        <v>0</v>
      </c>
      <c r="AC52" s="1393">
        <f t="shared" si="1"/>
        <v>0</v>
      </c>
      <c r="AD52" s="1393">
        <f>IF(Table22[[#This Row],[Median residue*CF*PeF]]&lt;&gt;"",Table22[[#This Row],[Median residue*CF*PeF]],Table22[[#This Row],[MRL*CF*PeF (chronic)]])</f>
        <v>0</v>
      </c>
      <c r="AE52" s="1393">
        <f t="shared" si="2"/>
        <v>0</v>
      </c>
      <c r="AF52" s="1390" t="str">
        <f t="shared" si="3"/>
        <v>MRL</v>
      </c>
      <c r="AG52" s="1390" t="str">
        <f t="shared" si="4"/>
        <v/>
      </c>
      <c r="AH52" s="1394" t="str">
        <f t="shared" si="5"/>
        <v/>
      </c>
      <c r="AI52" s="1386">
        <v>4</v>
      </c>
      <c r="AJ52" s="1387">
        <f t="shared" si="6"/>
        <v>0</v>
      </c>
      <c r="AK52" s="1387">
        <f>IF(AI52=A52,IF(AND(L52="N",Table22[[#This Row],[LOQ_label]]="Y"),AJ52,$AJ52*$Y52),"")</f>
        <v>0</v>
      </c>
      <c r="AL52" s="1388">
        <f t="shared" si="7"/>
        <v>0</v>
      </c>
      <c r="AM52" s="1393">
        <f>IF(Table22[[#This Row],[Highest residue * CF*PF]]&lt;&gt;"",Table22[[#This Row],[Highest residue * CF*PF]],Table22[[#This Row],[MRL*CF*PF or MRL (if LOQ and not authorised) (acute RA)]])</f>
        <v>0</v>
      </c>
      <c r="AN52" s="1390" t="str">
        <f t="shared" si="8"/>
        <v>MRL</v>
      </c>
      <c r="AO52" s="1390" t="str">
        <f t="shared" si="9"/>
        <v/>
      </c>
      <c r="AP52" s="1404" t="str">
        <f t="shared" si="10"/>
        <v/>
      </c>
      <c r="AQ52" s="1388">
        <f t="shared" si="11"/>
        <v>0</v>
      </c>
      <c r="AR52" s="1388" t="str">
        <f t="shared" si="12"/>
        <v/>
      </c>
      <c r="AS52" s="1388" t="str">
        <f t="shared" si="13"/>
        <v/>
      </c>
      <c r="AT52" s="1388" t="str">
        <f t="shared" si="14"/>
        <v/>
      </c>
      <c r="AU52" s="1393">
        <f t="shared" si="15"/>
        <v>0</v>
      </c>
      <c r="AV52" s="1388">
        <f t="shared" si="16"/>
        <v>0</v>
      </c>
      <c r="AW52" s="1390" t="str">
        <f t="shared" si="17"/>
        <v/>
      </c>
      <c r="AX52" s="1390" t="str">
        <f>IF(AND(AW52&lt;&gt;"",AY52&lt;&gt;""),"*","")</f>
        <v/>
      </c>
      <c r="AY52" s="1394" t="str">
        <f t="shared" si="19"/>
        <v/>
      </c>
      <c r="AZ52" s="1395" t="str">
        <f>IF(Table22[[#This Row],[LOQ_label]]="Y",Table22[[#This Row],[MRL individual commodity]],"")</f>
        <v/>
      </c>
      <c r="BA52" s="1396" t="s">
        <v>1038</v>
      </c>
      <c r="BB52" s="1411" t="str">
        <f>IF(Table22[[#This Row],[LOQ2]]&lt;0,MIN(AZ52:AZ410),"")</f>
        <v/>
      </c>
      <c r="BC52" s="1299"/>
      <c r="BD52" s="1306" t="str">
        <f>IF(Table22[[#This Row],[Chronic RA label]]="","N",IF(Table22[[#This Row],[Chronic RA label]]="LOQ","N",IF(Table22[[#This Row],[Chronic RA label]]="MRL","N","Y")))</f>
        <v>N</v>
      </c>
      <c r="BE52" s="1306" t="str">
        <f>IF(Table22[[#This Row],[Acute RA label]]="","N",IF(Table22[[#This Row],[Acute RA label]]="LOQ","N",IF(Table22[[#This Row],[Acute RA label]]="MRL","N","Y")))</f>
        <v>N</v>
      </c>
      <c r="BF52" s="1306" t="str">
        <f>IF(OR(Table22[[#This Row],[include commodity in Summary_input_values_chronic]]="Y",Table22[[#This Row],[include commodity in Summary_input_values_acute]]="Y"),"Y","N")</f>
        <v>N</v>
      </c>
      <c r="BG52" s="1299"/>
      <c r="BH52" s="1324"/>
    </row>
    <row r="53" spans="1:60" ht="12.75" customHeight="1" outlineLevel="3" x14ac:dyDescent="0.2">
      <c r="A53" s="39">
        <v>4</v>
      </c>
      <c r="B53" s="327">
        <v>153020</v>
      </c>
      <c r="C53" s="23" t="s">
        <v>240</v>
      </c>
      <c r="D53" s="867"/>
      <c r="E53" s="1219"/>
      <c r="F53" s="867"/>
      <c r="G53" s="869"/>
      <c r="H53" s="863"/>
      <c r="I53" s="868"/>
      <c r="J53" s="870"/>
      <c r="K53" s="865"/>
      <c r="L53" s="872"/>
      <c r="M53" s="872"/>
      <c r="N53" s="925" t="str">
        <f>IF(O53&lt;&gt;0,CONCATENATE(input_values!$AF53,input_values!$AG53,input_values!$AH53),"")</f>
        <v/>
      </c>
      <c r="O53" s="491">
        <f>IF($A$10="Refined calculation mode",Table22[[#This Row],[input for chronic (refined mode]],Table22[[#This Row],[input for chronic normal mode]])</f>
        <v>0</v>
      </c>
      <c r="P53" s="925" t="str">
        <f>IF(Q53&lt;&gt;0,CONCATENATE(input_values!$AN53,input_values!$AO53,input_values!$AP53),"")</f>
        <v/>
      </c>
      <c r="Q53" s="491">
        <f>IF($V$5=0,0,IF(OR($A$10="Refined calculation mode",Results!$B$62="Show results of IESTI calculation only for crops with GAPs under assessment"),Table22[[#This Row],[Input for IESTI (refined mode)]],Table22[[#This Row],[Input for IESTI normal mode]]))</f>
        <v>0</v>
      </c>
      <c r="R53" s="926" t="str">
        <f>IF(S53&lt;&gt;0,CONCATENATE(input_values!$AW53,input_values!$AX53,input_values!$AY53),"")</f>
        <v/>
      </c>
      <c r="S53" s="492">
        <f>IF($V$5=0,0,IF(OR($A$10="Refined calculation mode",Results!$B$62="Show results of IESTI calculation only for crops with GAPs under assessment"),Table22[[#This Row],[Input for IESTI new (refined mode)]],Table22[[#This Row],[Input for IESTI new normal mode]]))</f>
        <v>0</v>
      </c>
      <c r="T53" s="886"/>
      <c r="U53" s="1408">
        <f>Table22[[#This Row],[MRL/ proposed MRL /CXL
(mg/kg)]]</f>
        <v>0</v>
      </c>
      <c r="V53" s="1409" t="str">
        <f>IF(ISBLANK(F53),"","Y")</f>
        <v/>
      </c>
      <c r="W53" s="1387">
        <f>IF($G53&gt;0,$G53,1)</f>
        <v>1</v>
      </c>
      <c r="X53" s="1387">
        <f>IF($H53&gt;0,$H53,1)</f>
        <v>1</v>
      </c>
      <c r="Y53" s="1387">
        <f>W53*X53</f>
        <v>1</v>
      </c>
      <c r="Z53" s="1410">
        <v>4</v>
      </c>
      <c r="AA53" s="1387">
        <f t="shared" si="0"/>
        <v>0</v>
      </c>
      <c r="AB53" s="1387">
        <f>IF(Z53=A53,IF(AND(L53="N",Table22[[#This Row],[LOQ_label]]="Y"),AA53,$AA53*$Y53),"")</f>
        <v>0</v>
      </c>
      <c r="AC53" s="1393">
        <f t="shared" si="1"/>
        <v>0</v>
      </c>
      <c r="AD53" s="1393">
        <f>IF(Table22[[#This Row],[Median residue*CF*PeF]]&lt;&gt;"",Table22[[#This Row],[Median residue*CF*PeF]],Table22[[#This Row],[MRL*CF*PeF (chronic)]])</f>
        <v>0</v>
      </c>
      <c r="AE53" s="1393">
        <f t="shared" si="2"/>
        <v>0</v>
      </c>
      <c r="AF53" s="1390" t="str">
        <f t="shared" si="3"/>
        <v>MRL</v>
      </c>
      <c r="AG53" s="1390" t="str">
        <f t="shared" si="4"/>
        <v/>
      </c>
      <c r="AH53" s="1394" t="str">
        <f t="shared" si="5"/>
        <v/>
      </c>
      <c r="AI53" s="1386">
        <v>4</v>
      </c>
      <c r="AJ53" s="1387">
        <f t="shared" si="6"/>
        <v>0</v>
      </c>
      <c r="AK53" s="1387">
        <f>IF(AI53=A53,IF(AND(L53="N",Table22[[#This Row],[LOQ_label]]="Y"),AJ53,$AJ53*$Y53),"")</f>
        <v>0</v>
      </c>
      <c r="AL53" s="1388">
        <f t="shared" si="7"/>
        <v>0</v>
      </c>
      <c r="AM53" s="1393">
        <f>IF(Table22[[#This Row],[Highest residue * CF*PF]]&lt;&gt;"",Table22[[#This Row],[Highest residue * CF*PF]],Table22[[#This Row],[MRL*CF*PF or MRL (if LOQ and not authorised) (acute RA)]])</f>
        <v>0</v>
      </c>
      <c r="AN53" s="1390" t="str">
        <f t="shared" si="8"/>
        <v>MRL</v>
      </c>
      <c r="AO53" s="1390" t="str">
        <f t="shared" si="9"/>
        <v/>
      </c>
      <c r="AP53" s="1404" t="str">
        <f t="shared" si="10"/>
        <v/>
      </c>
      <c r="AQ53" s="1388">
        <f t="shared" si="11"/>
        <v>0</v>
      </c>
      <c r="AR53" s="1388" t="str">
        <f t="shared" si="12"/>
        <v/>
      </c>
      <c r="AS53" s="1388" t="str">
        <f t="shared" si="13"/>
        <v/>
      </c>
      <c r="AT53" s="1388" t="str">
        <f t="shared" si="14"/>
        <v/>
      </c>
      <c r="AU53" s="1393">
        <f t="shared" si="15"/>
        <v>0</v>
      </c>
      <c r="AV53" s="1388">
        <f t="shared" si="16"/>
        <v>0</v>
      </c>
      <c r="AW53" s="1390" t="str">
        <f t="shared" si="17"/>
        <v/>
      </c>
      <c r="AX53" s="1390" t="str">
        <f>IF(AND(AW53&lt;&gt;"",AY53&lt;&gt;""),"*","")</f>
        <v/>
      </c>
      <c r="AY53" s="1394" t="str">
        <f t="shared" si="19"/>
        <v/>
      </c>
      <c r="AZ53" s="1395" t="str">
        <f>IF(Table22[[#This Row],[LOQ_label]]="Y",Table22[[#This Row],[MRL individual commodity]],"")</f>
        <v/>
      </c>
      <c r="BA53" s="1396" t="s">
        <v>1038</v>
      </c>
      <c r="BB53" s="1411" t="str">
        <f>IF(Table22[[#This Row],[LOQ2]]&lt;0,MIN(AZ53:AZ410),"")</f>
        <v/>
      </c>
      <c r="BC53" s="1299"/>
      <c r="BD53" s="1306" t="str">
        <f>IF(Table22[[#This Row],[Chronic RA label]]="","N",IF(Table22[[#This Row],[Chronic RA label]]="LOQ","N",IF(Table22[[#This Row],[Chronic RA label]]="MRL","N","Y")))</f>
        <v>N</v>
      </c>
      <c r="BE53" s="1306" t="str">
        <f>IF(Table22[[#This Row],[Acute RA label]]="","N",IF(Table22[[#This Row],[Acute RA label]]="LOQ","N",IF(Table22[[#This Row],[Acute RA label]]="MRL","N","Y")))</f>
        <v>N</v>
      </c>
      <c r="BF53" s="1306" t="str">
        <f>IF(OR(Table22[[#This Row],[include commodity in Summary_input_values_chronic]]="Y",Table22[[#This Row],[include commodity in Summary_input_values_acute]]="Y"),"Y","N")</f>
        <v>N</v>
      </c>
      <c r="BG53" s="1299"/>
      <c r="BH53" s="1324"/>
    </row>
    <row r="54" spans="1:60" ht="12.75" customHeight="1" outlineLevel="3" x14ac:dyDescent="0.2">
      <c r="A54" s="39">
        <v>4</v>
      </c>
      <c r="B54" s="327">
        <v>153030</v>
      </c>
      <c r="C54" s="23" t="s">
        <v>685</v>
      </c>
      <c r="D54" s="867"/>
      <c r="E54" s="1219"/>
      <c r="F54" s="867"/>
      <c r="G54" s="869"/>
      <c r="H54" s="863"/>
      <c r="I54" s="868"/>
      <c r="J54" s="870"/>
      <c r="K54" s="865"/>
      <c r="L54" s="872"/>
      <c r="M54" s="872"/>
      <c r="N54" s="925" t="str">
        <f>IF(O54&lt;&gt;0,CONCATENATE(input_values!$AF54,input_values!$AG54,input_values!$AH54),"")</f>
        <v/>
      </c>
      <c r="O54" s="491">
        <f>IF($A$10="Refined calculation mode",Table22[[#This Row],[input for chronic (refined mode]],Table22[[#This Row],[input for chronic normal mode]])</f>
        <v>0</v>
      </c>
      <c r="P54" s="925" t="str">
        <f>IF(Q54&lt;&gt;0,CONCATENATE(input_values!$AN54,input_values!$AO54,input_values!$AP54),"")</f>
        <v/>
      </c>
      <c r="Q54" s="491">
        <f>IF($V$5=0,0,IF(OR($A$10="Refined calculation mode",Results!$B$62="Show results of IESTI calculation only for crops with GAPs under assessment"),Table22[[#This Row],[Input for IESTI (refined mode)]],Table22[[#This Row],[Input for IESTI normal mode]]))</f>
        <v>0</v>
      </c>
      <c r="R54" s="926" t="str">
        <f>IF(S54&lt;&gt;0,CONCATENATE(input_values!$AW54,input_values!$AX54,input_values!$AY54),"")</f>
        <v/>
      </c>
      <c r="S54" s="492">
        <f>IF($V$5=0,0,IF(OR($A$10="Refined calculation mode",Results!$B$62="Show results of IESTI calculation only for crops with GAPs under assessment"),Table22[[#This Row],[Input for IESTI new (refined mode)]],Table22[[#This Row],[Input for IESTI new normal mode]]))</f>
        <v>0</v>
      </c>
      <c r="T54" s="886"/>
      <c r="U54" s="1408">
        <f>Table22[[#This Row],[MRL/ proposed MRL /CXL
(mg/kg)]]</f>
        <v>0</v>
      </c>
      <c r="V54" s="1409" t="str">
        <f>IF(ISBLANK(F54),"","Y")</f>
        <v/>
      </c>
      <c r="W54" s="1387">
        <f>IF($G54&gt;0,$G54,1)</f>
        <v>1</v>
      </c>
      <c r="X54" s="1387">
        <f>IF($H54&gt;0,$H54,1)</f>
        <v>1</v>
      </c>
      <c r="Y54" s="1387">
        <f>W54*X54</f>
        <v>1</v>
      </c>
      <c r="Z54" s="1410">
        <v>4</v>
      </c>
      <c r="AA54" s="1387">
        <f t="shared" si="0"/>
        <v>0</v>
      </c>
      <c r="AB54" s="1387">
        <f>IF(Z54=A54,IF(AND(L54="N",Table22[[#This Row],[LOQ_label]]="Y"),AA54,$AA54*$Y54),"")</f>
        <v>0</v>
      </c>
      <c r="AC54" s="1393">
        <f t="shared" si="1"/>
        <v>0</v>
      </c>
      <c r="AD54" s="1393">
        <f>IF(Table22[[#This Row],[Median residue*CF*PeF]]&lt;&gt;"",Table22[[#This Row],[Median residue*CF*PeF]],Table22[[#This Row],[MRL*CF*PeF (chronic)]])</f>
        <v>0</v>
      </c>
      <c r="AE54" s="1393">
        <f t="shared" si="2"/>
        <v>0</v>
      </c>
      <c r="AF54" s="1390" t="str">
        <f t="shared" si="3"/>
        <v>MRL</v>
      </c>
      <c r="AG54" s="1390" t="str">
        <f t="shared" si="4"/>
        <v/>
      </c>
      <c r="AH54" s="1394" t="str">
        <f t="shared" si="5"/>
        <v/>
      </c>
      <c r="AI54" s="1386">
        <v>4</v>
      </c>
      <c r="AJ54" s="1387">
        <f t="shared" si="6"/>
        <v>0</v>
      </c>
      <c r="AK54" s="1387">
        <f>IF(AI54=A54,IF(AND(L54="N",Table22[[#This Row],[LOQ_label]]="Y"),AJ54,$AJ54*$Y54),"")</f>
        <v>0</v>
      </c>
      <c r="AL54" s="1388">
        <f t="shared" si="7"/>
        <v>0</v>
      </c>
      <c r="AM54" s="1393">
        <f>IF(Table22[[#This Row],[Highest residue * CF*PF]]&lt;&gt;"",Table22[[#This Row],[Highest residue * CF*PF]],Table22[[#This Row],[MRL*CF*PF or MRL (if LOQ and not authorised) (acute RA)]])</f>
        <v>0</v>
      </c>
      <c r="AN54" s="1390" t="str">
        <f t="shared" si="8"/>
        <v>MRL</v>
      </c>
      <c r="AO54" s="1390" t="str">
        <f t="shared" si="9"/>
        <v/>
      </c>
      <c r="AP54" s="1404" t="str">
        <f t="shared" si="10"/>
        <v/>
      </c>
      <c r="AQ54" s="1388">
        <f t="shared" si="11"/>
        <v>0</v>
      </c>
      <c r="AR54" s="1388" t="str">
        <f t="shared" si="12"/>
        <v/>
      </c>
      <c r="AS54" s="1388" t="str">
        <f t="shared" si="13"/>
        <v/>
      </c>
      <c r="AT54" s="1388" t="str">
        <f t="shared" si="14"/>
        <v/>
      </c>
      <c r="AU54" s="1393">
        <f t="shared" si="15"/>
        <v>0</v>
      </c>
      <c r="AV54" s="1388">
        <f t="shared" si="16"/>
        <v>0</v>
      </c>
      <c r="AW54" s="1390" t="str">
        <f t="shared" si="17"/>
        <v/>
      </c>
      <c r="AX54" s="1390" t="str">
        <f>IF(AND(AW54&lt;&gt;"",AY54&lt;&gt;""),"*","")</f>
        <v/>
      </c>
      <c r="AY54" s="1394" t="str">
        <f t="shared" si="19"/>
        <v/>
      </c>
      <c r="AZ54" s="1395" t="str">
        <f>IF(Table22[[#This Row],[LOQ_label]]="Y",Table22[[#This Row],[MRL individual commodity]],"")</f>
        <v/>
      </c>
      <c r="BA54" s="1396" t="s">
        <v>1038</v>
      </c>
      <c r="BB54" s="1411" t="str">
        <f>IF(Table22[[#This Row],[LOQ2]]&lt;0,MIN(AZ54:AZ410),"")</f>
        <v/>
      </c>
      <c r="BC54" s="1299"/>
      <c r="BD54" s="1306" t="str">
        <f>IF(Table22[[#This Row],[Chronic RA label]]="","N",IF(Table22[[#This Row],[Chronic RA label]]="LOQ","N",IF(Table22[[#This Row],[Chronic RA label]]="MRL","N","Y")))</f>
        <v>N</v>
      </c>
      <c r="BE54" s="1306" t="str">
        <f>IF(Table22[[#This Row],[Acute RA label]]="","N",IF(Table22[[#This Row],[Acute RA label]]="LOQ","N",IF(Table22[[#This Row],[Acute RA label]]="MRL","N","Y")))</f>
        <v>N</v>
      </c>
      <c r="BF54" s="1306" t="str">
        <f>IF(OR(Table22[[#This Row],[include commodity in Summary_input_values_chronic]]="Y",Table22[[#This Row],[include commodity in Summary_input_values_acute]]="Y"),"Y","N")</f>
        <v>N</v>
      </c>
      <c r="BG54" s="1299"/>
      <c r="BH54" s="1324"/>
    </row>
    <row r="55" spans="1:60" ht="12.75" customHeight="1" outlineLevel="3" x14ac:dyDescent="0.2">
      <c r="A55" s="39">
        <v>4</v>
      </c>
      <c r="B55" s="327">
        <v>153990</v>
      </c>
      <c r="C55" s="23" t="s">
        <v>51</v>
      </c>
      <c r="D55" s="867"/>
      <c r="E55" s="1219"/>
      <c r="F55" s="867"/>
      <c r="G55" s="868"/>
      <c r="H55" s="863"/>
      <c r="I55" s="868"/>
      <c r="J55" s="870"/>
      <c r="K55" s="865"/>
      <c r="L55" s="872"/>
      <c r="M55" s="872"/>
      <c r="N55" s="925" t="str">
        <f>IF(O55&lt;&gt;0,CONCATENATE(input_values!$AF55,input_values!$AG55,input_values!$AH55),"")</f>
        <v/>
      </c>
      <c r="O55" s="491">
        <f>IF($A$10="Refined calculation mode",Table22[[#This Row],[input for chronic (refined mode]],Table22[[#This Row],[input for chronic normal mode]])</f>
        <v>0</v>
      </c>
      <c r="P55" s="473"/>
      <c r="Q55" s="474"/>
      <c r="R55" s="473"/>
      <c r="S55" s="474"/>
      <c r="T55" s="886"/>
      <c r="U55" s="1408">
        <f>Table22[[#This Row],[MRL/ proposed MRL /CXL
(mg/kg)]]</f>
        <v>0</v>
      </c>
      <c r="V55" s="1409" t="str">
        <f>IF(ISBLANK(F55),"","Y")</f>
        <v/>
      </c>
      <c r="W55" s="1387">
        <f>IF($G55&gt;0,$G55,1)</f>
        <v>1</v>
      </c>
      <c r="X55" s="1387">
        <f>IF($H55&gt;0,$H55,1)</f>
        <v>1</v>
      </c>
      <c r="Y55" s="1387">
        <f>W55*X55</f>
        <v>1</v>
      </c>
      <c r="Z55" s="1410">
        <v>4</v>
      </c>
      <c r="AA55" s="1387">
        <f t="shared" si="0"/>
        <v>0</v>
      </c>
      <c r="AB55" s="1387">
        <f>IF(Z55=A55,IF(AND(L55="N",Table22[[#This Row],[LOQ_label]]="Y"),AA55,$AA55*$Y55),"")</f>
        <v>0</v>
      </c>
      <c r="AC55" s="1393">
        <f t="shared" si="1"/>
        <v>0</v>
      </c>
      <c r="AD55" s="1393">
        <f>IF(Table22[[#This Row],[Median residue*CF*PeF]]&lt;&gt;"",Table22[[#This Row],[Median residue*CF*PeF]],Table22[[#This Row],[MRL*CF*PeF (chronic)]])</f>
        <v>0</v>
      </c>
      <c r="AE55" s="1393">
        <f t="shared" si="2"/>
        <v>0</v>
      </c>
      <c r="AF55" s="1390" t="str">
        <f t="shared" si="3"/>
        <v>MRL</v>
      </c>
      <c r="AG55" s="1390" t="str">
        <f t="shared" si="4"/>
        <v/>
      </c>
      <c r="AH55" s="1394" t="str">
        <f t="shared" si="5"/>
        <v/>
      </c>
      <c r="AI55" s="1386"/>
      <c r="AJ55" s="1387" t="str">
        <f t="shared" si="6"/>
        <v/>
      </c>
      <c r="AK55" s="1387" t="str">
        <f>IF(AI55=A55,IF(AND(L55="N",Table22[[#This Row],[LOQ_label]]="Y"),AJ55,$AJ55*$Y55),"")</f>
        <v/>
      </c>
      <c r="AL55" s="1388" t="str">
        <f t="shared" si="7"/>
        <v/>
      </c>
      <c r="AM55" s="1393" t="str">
        <f>IF(Table22[[#This Row],[Highest residue * CF*PF]]&lt;&gt;"",Table22[[#This Row],[Highest residue * CF*PF]],Table22[[#This Row],[MRL*CF*PF or MRL (if LOQ and not authorised) (acute RA)]])</f>
        <v/>
      </c>
      <c r="AN55" s="1390" t="str">
        <f t="shared" si="8"/>
        <v/>
      </c>
      <c r="AO55" s="1390" t="str">
        <f t="shared" si="9"/>
        <v/>
      </c>
      <c r="AP55" s="1404" t="str">
        <f t="shared" si="10"/>
        <v/>
      </c>
      <c r="AQ55" s="1388">
        <f t="shared" si="11"/>
        <v>0</v>
      </c>
      <c r="AR55" s="1388" t="str">
        <f t="shared" si="12"/>
        <v/>
      </c>
      <c r="AS55" s="1388" t="str">
        <f t="shared" si="13"/>
        <v/>
      </c>
      <c r="AT55" s="1388" t="str">
        <f t="shared" si="14"/>
        <v/>
      </c>
      <c r="AU55" s="1393" t="str">
        <f t="shared" si="15"/>
        <v/>
      </c>
      <c r="AV55" s="1388">
        <f t="shared" si="16"/>
        <v>0</v>
      </c>
      <c r="AW55" s="1390" t="str">
        <f t="shared" si="17"/>
        <v/>
      </c>
      <c r="AX55" s="1390" t="str">
        <f>IF(AND(AN55&lt;&gt;"",AY55&lt;&gt;""),"*","")</f>
        <v/>
      </c>
      <c r="AY55" s="1394" t="str">
        <f t="shared" si="19"/>
        <v/>
      </c>
      <c r="AZ55" s="1395" t="str">
        <f>IF(Table22[[#This Row],[LOQ_label]]="Y",Table22[[#This Row],[MRL individual commodity]],"")</f>
        <v/>
      </c>
      <c r="BA55" s="1396" t="s">
        <v>1159</v>
      </c>
      <c r="BB55" s="1411" t="str">
        <f>IF(Table22[[#This Row],[LOQ2]]&lt;0,MIN(AZ55:AZ410),"")</f>
        <v/>
      </c>
      <c r="BC55" s="1299"/>
      <c r="BD55" s="1306" t="str">
        <f>IF(Table22[[#This Row],[Chronic RA label]]="","N",IF(Table22[[#This Row],[Chronic RA label]]="LOQ","N",IF(Table22[[#This Row],[Chronic RA label]]="MRL","N","Y")))</f>
        <v>N</v>
      </c>
      <c r="BE55" s="1306" t="str">
        <f>IF(Table22[[#This Row],[Acute RA label]]="","N",IF(Table22[[#This Row],[Acute RA label]]="LOQ","N",IF(Table22[[#This Row],[Acute RA label]]="MRL","N","Y")))</f>
        <v>N</v>
      </c>
      <c r="BF55" s="1306" t="str">
        <f>IF(OR(Table22[[#This Row],[include commodity in Summary_input_values_chronic]]="Y",Table22[[#This Row],[include commodity in Summary_input_values_acute]]="Y"),"Y","N")</f>
        <v>N</v>
      </c>
      <c r="BG55" s="1299"/>
      <c r="BH55" s="1324"/>
    </row>
    <row r="56" spans="1:60" ht="12.75" customHeight="1" outlineLevel="2" x14ac:dyDescent="0.2">
      <c r="A56" s="132">
        <v>3</v>
      </c>
      <c r="B56" s="448">
        <v>154000</v>
      </c>
      <c r="C56" s="3" t="s">
        <v>220</v>
      </c>
      <c r="D56" s="862"/>
      <c r="E56" s="1218"/>
      <c r="F56" s="862"/>
      <c r="G56" s="866"/>
      <c r="H56" s="863"/>
      <c r="I56" s="863"/>
      <c r="J56" s="864"/>
      <c r="K56" s="865"/>
      <c r="L56" s="471"/>
      <c r="M56" s="471"/>
      <c r="N56" s="473"/>
      <c r="O56" s="474"/>
      <c r="P56" s="473"/>
      <c r="Q56" s="474"/>
      <c r="R56" s="473"/>
      <c r="S56" s="474"/>
      <c r="T56" s="886"/>
      <c r="U56" s="1415"/>
      <c r="V56" s="1380"/>
      <c r="W56" s="1381"/>
      <c r="X56" s="1381"/>
      <c r="Y56" s="1381"/>
      <c r="Z56" s="1382">
        <v>4</v>
      </c>
      <c r="AA56" s="1381" t="str">
        <f t="shared" si="0"/>
        <v/>
      </c>
      <c r="AB56" s="1381" t="str">
        <f>IF(Z56=A56,IF(AND(L56="N",Table22[[#This Row],[LOQ_label]]="Y"),AA56,$AA56*$Y56),"")</f>
        <v/>
      </c>
      <c r="AC56" s="1383" t="str">
        <f t="shared" si="1"/>
        <v/>
      </c>
      <c r="AD56" s="1383" t="str">
        <f>IF(Table22[[#This Row],[Median residue*CF*PeF]]&lt;&gt;"",Table22[[#This Row],[Median residue*CF*PeF]],Table22[[#This Row],[MRL*CF*PeF (chronic)]])</f>
        <v/>
      </c>
      <c r="AE56" s="1384">
        <f t="shared" si="2"/>
        <v>0</v>
      </c>
      <c r="AF56" s="1385" t="str">
        <f t="shared" si="3"/>
        <v/>
      </c>
      <c r="AG56" s="1385" t="str">
        <f t="shared" si="4"/>
        <v/>
      </c>
      <c r="AH56" s="1270" t="str">
        <f t="shared" si="5"/>
        <v/>
      </c>
      <c r="AI56" s="1386">
        <v>4</v>
      </c>
      <c r="AJ56" s="1387" t="str">
        <f t="shared" si="6"/>
        <v/>
      </c>
      <c r="AK56" s="1387" t="str">
        <f>IF(AI56=A56,IF(AND(L56="N",Table22[[#This Row],[LOQ_label]]="Y"),AJ56,$AJ56*$Y56),"")</f>
        <v/>
      </c>
      <c r="AL56" s="1388" t="str">
        <f t="shared" si="7"/>
        <v/>
      </c>
      <c r="AM56" s="1393" t="str">
        <f>IF(Table22[[#This Row],[Highest residue * CF*PF]]&lt;&gt;"",Table22[[#This Row],[Highest residue * CF*PF]],Table22[[#This Row],[MRL*CF*PF or MRL (if LOQ and not authorised) (acute RA)]])</f>
        <v/>
      </c>
      <c r="AN56" s="1390" t="str">
        <f t="shared" si="8"/>
        <v/>
      </c>
      <c r="AO56" s="1390" t="str">
        <f t="shared" si="9"/>
        <v/>
      </c>
      <c r="AP56" s="1404" t="str">
        <f t="shared" si="10"/>
        <v/>
      </c>
      <c r="AQ56" s="1388">
        <f t="shared" si="11"/>
        <v>0</v>
      </c>
      <c r="AR56" s="1388" t="str">
        <f t="shared" si="12"/>
        <v/>
      </c>
      <c r="AS56" s="1388" t="str">
        <f t="shared" si="13"/>
        <v/>
      </c>
      <c r="AT56" s="1388" t="str">
        <f t="shared" si="14"/>
        <v/>
      </c>
      <c r="AU56" s="1393" t="str">
        <f t="shared" si="15"/>
        <v/>
      </c>
      <c r="AV56" s="1388">
        <f t="shared" si="16"/>
        <v>0</v>
      </c>
      <c r="AW56" s="1390" t="str">
        <f t="shared" si="17"/>
        <v/>
      </c>
      <c r="AX56" s="1390" t="str">
        <f>IF(AND(AN56&lt;&gt;"",AY56&lt;&gt;""),"*","")</f>
        <v/>
      </c>
      <c r="AY56" s="1394" t="str">
        <f t="shared" si="19"/>
        <v/>
      </c>
      <c r="AZ56" s="1395">
        <f>IF(Table22[[#This Row],[LOQ_label]]="Y",Table22[[#This Row],[MRL individual commodity]],"")</f>
        <v>0</v>
      </c>
      <c r="BA56" s="1396" t="s">
        <v>1159</v>
      </c>
      <c r="BB56" s="1411" t="str">
        <f>IF(Table22[[#This Row],[LOQ2]]&lt;0,MIN(AZ56:AZ410),"")</f>
        <v/>
      </c>
      <c r="BC56" s="1299"/>
      <c r="BD56" s="1306" t="str">
        <f>IF(Table22[[#This Row],[Chronic RA label]]="","N",IF(Table22[[#This Row],[Chronic RA label]]="LOQ","N",IF(Table22[[#This Row],[Chronic RA label]]="MRL","N","Y")))</f>
        <v>N</v>
      </c>
      <c r="BE56" s="1306" t="str">
        <f>IF(Table22[[#This Row],[Acute RA label]]="","N",IF(Table22[[#This Row],[Acute RA label]]="LOQ","N",IF(Table22[[#This Row],[Acute RA label]]="MRL","N","Y")))</f>
        <v>N</v>
      </c>
      <c r="BF56" s="1306" t="str">
        <f>IF(OR(Table22[[#This Row],[include commodity in Summary_input_values_chronic]]="Y",Table22[[#This Row],[include commodity in Summary_input_values_acute]]="Y"),"Y","N")</f>
        <v>N</v>
      </c>
      <c r="BG56" s="1299"/>
      <c r="BH56" s="1324"/>
    </row>
    <row r="57" spans="1:60" ht="12.75" customHeight="1" outlineLevel="3" x14ac:dyDescent="0.2">
      <c r="A57" s="39">
        <v>4</v>
      </c>
      <c r="B57" s="327">
        <v>154010</v>
      </c>
      <c r="C57" s="23" t="s">
        <v>241</v>
      </c>
      <c r="D57" s="867"/>
      <c r="E57" s="1219"/>
      <c r="F57" s="867"/>
      <c r="G57" s="869"/>
      <c r="H57" s="863"/>
      <c r="I57" s="868"/>
      <c r="J57" s="870"/>
      <c r="K57" s="865"/>
      <c r="L57" s="872"/>
      <c r="M57" s="872"/>
      <c r="N57" s="925" t="str">
        <f>IF(O57&lt;&gt;0,CONCATENATE(input_values!$AF57,input_values!$AG57,input_values!$AH57),"")</f>
        <v/>
      </c>
      <c r="O57" s="491">
        <f>IF($A$10="Refined calculation mode",Table22[[#This Row],[input for chronic (refined mode]],Table22[[#This Row],[input for chronic normal mode]])</f>
        <v>0</v>
      </c>
      <c r="P57" s="925" t="str">
        <f>IF(Q57&lt;&gt;0,CONCATENATE(input_values!$AN57,input_values!$AO57,input_values!$AP57),"")</f>
        <v/>
      </c>
      <c r="Q57" s="491">
        <f>IF($V$5=0,0,IF(OR($A$10="Refined calculation mode",Results!$B$62="Show results of IESTI calculation only for crops with GAPs under assessment"),Table22[[#This Row],[Input for IESTI (refined mode)]],Table22[[#This Row],[Input for IESTI normal mode]]))</f>
        <v>0</v>
      </c>
      <c r="R57" s="926" t="str">
        <f>IF(S57&lt;&gt;0,CONCATENATE(input_values!$AW57,input_values!$AX57,input_values!$AY57),"")</f>
        <v/>
      </c>
      <c r="S57" s="492">
        <f>IF($V$5=0,0,IF(OR($A$10="Refined calculation mode",Results!$B$62="Show results of IESTI calculation only for crops with GAPs under assessment"),Table22[[#This Row],[Input for IESTI new (refined mode)]],Table22[[#This Row],[Input for IESTI new normal mode]]))</f>
        <v>0</v>
      </c>
      <c r="T57" s="886"/>
      <c r="U57" s="1408">
        <f>Table22[[#This Row],[MRL/ proposed MRL /CXL
(mg/kg)]]</f>
        <v>0</v>
      </c>
      <c r="V57" s="1409" t="str">
        <f t="shared" ref="V57:V65" si="32">IF(ISBLANK(F57),"","Y")</f>
        <v/>
      </c>
      <c r="W57" s="1387">
        <f t="shared" ref="W57:W65" si="33">IF($G57&gt;0,$G57,1)</f>
        <v>1</v>
      </c>
      <c r="X57" s="1387">
        <f t="shared" ref="X57:X65" si="34">IF($H57&gt;0,$H57,1)</f>
        <v>1</v>
      </c>
      <c r="Y57" s="1387">
        <f t="shared" ref="Y57:Y65" si="35">W57*X57</f>
        <v>1</v>
      </c>
      <c r="Z57" s="1410">
        <v>4</v>
      </c>
      <c r="AA57" s="1387">
        <f t="shared" si="0"/>
        <v>0</v>
      </c>
      <c r="AB57" s="1387">
        <f>IF(Z57=A57,IF(AND(L57="N",Table22[[#This Row],[LOQ_label]]="Y"),AA57,$AA57*$Y57),"")</f>
        <v>0</v>
      </c>
      <c r="AC57" s="1393">
        <f t="shared" si="1"/>
        <v>0</v>
      </c>
      <c r="AD57" s="1393">
        <f>IF(Table22[[#This Row],[Median residue*CF*PeF]]&lt;&gt;"",Table22[[#This Row],[Median residue*CF*PeF]],Table22[[#This Row],[MRL*CF*PeF (chronic)]])</f>
        <v>0</v>
      </c>
      <c r="AE57" s="1393">
        <f t="shared" si="2"/>
        <v>0</v>
      </c>
      <c r="AF57" s="1390" t="str">
        <f t="shared" si="3"/>
        <v>MRL</v>
      </c>
      <c r="AG57" s="1390" t="str">
        <f t="shared" si="4"/>
        <v/>
      </c>
      <c r="AH57" s="1394" t="str">
        <f t="shared" si="5"/>
        <v/>
      </c>
      <c r="AI57" s="1386">
        <v>4</v>
      </c>
      <c r="AJ57" s="1387">
        <f t="shared" si="6"/>
        <v>0</v>
      </c>
      <c r="AK57" s="1387">
        <f>IF(AI57=A57,IF(AND(L57="N",Table22[[#This Row],[LOQ_label]]="Y"),AJ57,$AJ57*$Y57),"")</f>
        <v>0</v>
      </c>
      <c r="AL57" s="1388">
        <f t="shared" si="7"/>
        <v>0</v>
      </c>
      <c r="AM57" s="1393">
        <f>IF(Table22[[#This Row],[Highest residue * CF*PF]]&lt;&gt;"",Table22[[#This Row],[Highest residue * CF*PF]],Table22[[#This Row],[MRL*CF*PF or MRL (if LOQ and not authorised) (acute RA)]])</f>
        <v>0</v>
      </c>
      <c r="AN57" s="1390" t="str">
        <f t="shared" si="8"/>
        <v>MRL</v>
      </c>
      <c r="AO57" s="1390" t="str">
        <f t="shared" si="9"/>
        <v/>
      </c>
      <c r="AP57" s="1404" t="str">
        <f t="shared" si="10"/>
        <v/>
      </c>
      <c r="AQ57" s="1388">
        <f t="shared" si="11"/>
        <v>0</v>
      </c>
      <c r="AR57" s="1388" t="str">
        <f t="shared" si="12"/>
        <v/>
      </c>
      <c r="AS57" s="1388" t="str">
        <f t="shared" si="13"/>
        <v/>
      </c>
      <c r="AT57" s="1388" t="str">
        <f t="shared" si="14"/>
        <v/>
      </c>
      <c r="AU57" s="1393">
        <f t="shared" si="15"/>
        <v>0</v>
      </c>
      <c r="AV57" s="1388">
        <f t="shared" si="16"/>
        <v>0</v>
      </c>
      <c r="AW57" s="1390" t="str">
        <f t="shared" si="17"/>
        <v/>
      </c>
      <c r="AX57" s="1390" t="str">
        <f t="shared" ref="AX57:AX64" si="36">IF(AND(AW57&lt;&gt;"",AY57&lt;&gt;""),"*","")</f>
        <v/>
      </c>
      <c r="AY57" s="1394" t="str">
        <f t="shared" si="19"/>
        <v/>
      </c>
      <c r="AZ57" s="1395" t="str">
        <f>IF(Table22[[#This Row],[LOQ_label]]="Y",Table22[[#This Row],[MRL individual commodity]],"")</f>
        <v/>
      </c>
      <c r="BA57" s="1396" t="s">
        <v>1038</v>
      </c>
      <c r="BB57" s="1411" t="str">
        <f>IF(Table22[[#This Row],[LOQ2]]&lt;0,MIN(AZ57:AZ410),"")</f>
        <v/>
      </c>
      <c r="BC57" s="1299"/>
      <c r="BD57" s="1306" t="str">
        <f>IF(Table22[[#This Row],[Chronic RA label]]="","N",IF(Table22[[#This Row],[Chronic RA label]]="LOQ","N",IF(Table22[[#This Row],[Chronic RA label]]="MRL","N","Y")))</f>
        <v>N</v>
      </c>
      <c r="BE57" s="1306" t="str">
        <f>IF(Table22[[#This Row],[Acute RA label]]="","N",IF(Table22[[#This Row],[Acute RA label]]="LOQ","N",IF(Table22[[#This Row],[Acute RA label]]="MRL","N","Y")))</f>
        <v>N</v>
      </c>
      <c r="BF57" s="1306" t="str">
        <f>IF(OR(Table22[[#This Row],[include commodity in Summary_input_values_chronic]]="Y",Table22[[#This Row],[include commodity in Summary_input_values_acute]]="Y"),"Y","N")</f>
        <v>N</v>
      </c>
      <c r="BG57" s="1299"/>
      <c r="BH57" s="1324"/>
    </row>
    <row r="58" spans="1:60" ht="12.75" customHeight="1" outlineLevel="3" x14ac:dyDescent="0.2">
      <c r="A58" s="39">
        <v>4</v>
      </c>
      <c r="B58" s="327">
        <v>154020</v>
      </c>
      <c r="C58" s="23" t="s">
        <v>242</v>
      </c>
      <c r="D58" s="867"/>
      <c r="E58" s="1219"/>
      <c r="F58" s="867"/>
      <c r="G58" s="869"/>
      <c r="H58" s="863"/>
      <c r="I58" s="868"/>
      <c r="J58" s="870"/>
      <c r="K58" s="865"/>
      <c r="L58" s="872"/>
      <c r="M58" s="872"/>
      <c r="N58" s="925" t="str">
        <f>IF(O58&lt;&gt;0,CONCATENATE(input_values!$AF58,input_values!$AG58,input_values!$AH58),"")</f>
        <v/>
      </c>
      <c r="O58" s="491">
        <f>IF($A$10="Refined calculation mode",Table22[[#This Row],[input for chronic (refined mode]],Table22[[#This Row],[input for chronic normal mode]])</f>
        <v>0</v>
      </c>
      <c r="P58" s="925" t="str">
        <f>IF(Q58&lt;&gt;0,CONCATENATE(input_values!$AN58,input_values!$AO58,input_values!$AP58),"")</f>
        <v/>
      </c>
      <c r="Q58" s="491">
        <f>IF($V$5=0,0,IF(OR($A$10="Refined calculation mode",Results!$B$62="Show results of IESTI calculation only for crops with GAPs under assessment"),Table22[[#This Row],[Input for IESTI (refined mode)]],Table22[[#This Row],[Input for IESTI normal mode]]))</f>
        <v>0</v>
      </c>
      <c r="R58" s="926" t="str">
        <f>IF(S58&lt;&gt;0,CONCATENATE(input_values!$AW58,input_values!$AX58,input_values!$AY58),"")</f>
        <v/>
      </c>
      <c r="S58" s="492">
        <f>IF($V$5=0,0,IF(OR($A$10="Refined calculation mode",Results!$B$62="Show results of IESTI calculation only for crops with GAPs under assessment"),Table22[[#This Row],[Input for IESTI new (refined mode)]],Table22[[#This Row],[Input for IESTI new normal mode]]))</f>
        <v>0</v>
      </c>
      <c r="T58" s="886"/>
      <c r="U58" s="1408">
        <f>Table22[[#This Row],[MRL/ proposed MRL /CXL
(mg/kg)]]</f>
        <v>0</v>
      </c>
      <c r="V58" s="1409" t="str">
        <f t="shared" si="32"/>
        <v/>
      </c>
      <c r="W58" s="1387">
        <f t="shared" si="33"/>
        <v>1</v>
      </c>
      <c r="X58" s="1387">
        <f t="shared" si="34"/>
        <v>1</v>
      </c>
      <c r="Y58" s="1387">
        <f t="shared" si="35"/>
        <v>1</v>
      </c>
      <c r="Z58" s="1410">
        <v>4</v>
      </c>
      <c r="AA58" s="1387">
        <f t="shared" si="0"/>
        <v>0</v>
      </c>
      <c r="AB58" s="1387">
        <f>IF(Z58=A58,IF(AND(L58="N",Table22[[#This Row],[LOQ_label]]="Y"),AA58,$AA58*$Y58),"")</f>
        <v>0</v>
      </c>
      <c r="AC58" s="1393">
        <f t="shared" si="1"/>
        <v>0</v>
      </c>
      <c r="AD58" s="1393">
        <f>IF(Table22[[#This Row],[Median residue*CF*PeF]]&lt;&gt;"",Table22[[#This Row],[Median residue*CF*PeF]],Table22[[#This Row],[MRL*CF*PeF (chronic)]])</f>
        <v>0</v>
      </c>
      <c r="AE58" s="1393">
        <f t="shared" si="2"/>
        <v>0</v>
      </c>
      <c r="AF58" s="1390" t="str">
        <f t="shared" si="3"/>
        <v>MRL</v>
      </c>
      <c r="AG58" s="1390" t="str">
        <f t="shared" si="4"/>
        <v/>
      </c>
      <c r="AH58" s="1394" t="str">
        <f t="shared" si="5"/>
        <v/>
      </c>
      <c r="AI58" s="1386">
        <v>4</v>
      </c>
      <c r="AJ58" s="1387">
        <f t="shared" si="6"/>
        <v>0</v>
      </c>
      <c r="AK58" s="1387">
        <f>IF(AI58=A58,IF(AND(L58="N",Table22[[#This Row],[LOQ_label]]="Y"),AJ58,$AJ58*$Y58),"")</f>
        <v>0</v>
      </c>
      <c r="AL58" s="1388">
        <f t="shared" si="7"/>
        <v>0</v>
      </c>
      <c r="AM58" s="1393">
        <f>IF(Table22[[#This Row],[Highest residue * CF*PF]]&lt;&gt;"",Table22[[#This Row],[Highest residue * CF*PF]],Table22[[#This Row],[MRL*CF*PF or MRL (if LOQ and not authorised) (acute RA)]])</f>
        <v>0</v>
      </c>
      <c r="AN58" s="1390" t="str">
        <f t="shared" si="8"/>
        <v>MRL</v>
      </c>
      <c r="AO58" s="1390" t="str">
        <f t="shared" si="9"/>
        <v/>
      </c>
      <c r="AP58" s="1404" t="str">
        <f t="shared" si="10"/>
        <v/>
      </c>
      <c r="AQ58" s="1388">
        <f t="shared" si="11"/>
        <v>0</v>
      </c>
      <c r="AR58" s="1388" t="str">
        <f t="shared" si="12"/>
        <v/>
      </c>
      <c r="AS58" s="1388" t="str">
        <f t="shared" si="13"/>
        <v/>
      </c>
      <c r="AT58" s="1388" t="str">
        <f t="shared" si="14"/>
        <v/>
      </c>
      <c r="AU58" s="1393">
        <f t="shared" si="15"/>
        <v>0</v>
      </c>
      <c r="AV58" s="1388">
        <f t="shared" si="16"/>
        <v>0</v>
      </c>
      <c r="AW58" s="1390" t="str">
        <f t="shared" si="17"/>
        <v/>
      </c>
      <c r="AX58" s="1390" t="str">
        <f t="shared" si="36"/>
        <v/>
      </c>
      <c r="AY58" s="1394" t="str">
        <f t="shared" si="19"/>
        <v/>
      </c>
      <c r="AZ58" s="1395" t="str">
        <f>IF(Table22[[#This Row],[LOQ_label]]="Y",Table22[[#This Row],[MRL individual commodity]],"")</f>
        <v/>
      </c>
      <c r="BA58" s="1396" t="s">
        <v>1038</v>
      </c>
      <c r="BB58" s="1411" t="str">
        <f>IF(Table22[[#This Row],[LOQ2]]&lt;0,MIN(AZ58:AZ410),"")</f>
        <v/>
      </c>
      <c r="BC58" s="1299"/>
      <c r="BD58" s="1306" t="str">
        <f>IF(Table22[[#This Row],[Chronic RA label]]="","N",IF(Table22[[#This Row],[Chronic RA label]]="LOQ","N",IF(Table22[[#This Row],[Chronic RA label]]="MRL","N","Y")))</f>
        <v>N</v>
      </c>
      <c r="BE58" s="1306" t="str">
        <f>IF(Table22[[#This Row],[Acute RA label]]="","N",IF(Table22[[#This Row],[Acute RA label]]="LOQ","N",IF(Table22[[#This Row],[Acute RA label]]="MRL","N","Y")))</f>
        <v>N</v>
      </c>
      <c r="BF58" s="1306" t="str">
        <f>IF(OR(Table22[[#This Row],[include commodity in Summary_input_values_chronic]]="Y",Table22[[#This Row],[include commodity in Summary_input_values_acute]]="Y"),"Y","N")</f>
        <v>N</v>
      </c>
      <c r="BG58" s="1299"/>
      <c r="BH58" s="1324"/>
    </row>
    <row r="59" spans="1:60" ht="12.75" customHeight="1" outlineLevel="3" x14ac:dyDescent="0.2">
      <c r="A59" s="39">
        <v>4</v>
      </c>
      <c r="B59" s="327">
        <v>154030</v>
      </c>
      <c r="C59" s="23" t="s">
        <v>243</v>
      </c>
      <c r="D59" s="867"/>
      <c r="E59" s="1219"/>
      <c r="F59" s="867"/>
      <c r="G59" s="869"/>
      <c r="H59" s="863"/>
      <c r="I59" s="868"/>
      <c r="J59" s="870"/>
      <c r="K59" s="865"/>
      <c r="L59" s="872"/>
      <c r="M59" s="872"/>
      <c r="N59" s="925" t="str">
        <f>IF(O59&lt;&gt;0,CONCATENATE(input_values!$AF59,input_values!$AG59,input_values!$AH59),"")</f>
        <v/>
      </c>
      <c r="O59" s="491">
        <f>IF($A$10="Refined calculation mode",Table22[[#This Row],[input for chronic (refined mode]],Table22[[#This Row],[input for chronic normal mode]])</f>
        <v>0</v>
      </c>
      <c r="P59" s="925" t="str">
        <f>IF(Q59&lt;&gt;0,CONCATENATE(input_values!$AN59,input_values!$AO59,input_values!$AP59),"")</f>
        <v/>
      </c>
      <c r="Q59" s="491">
        <f>IF($V$5=0,0,IF(OR($A$10="Refined calculation mode",Results!$B$62="Show results of IESTI calculation only for crops with GAPs under assessment"),Table22[[#This Row],[Input for IESTI (refined mode)]],Table22[[#This Row],[Input for IESTI normal mode]]))</f>
        <v>0</v>
      </c>
      <c r="R59" s="926" t="str">
        <f>IF(S59&lt;&gt;0,CONCATENATE(input_values!$AW59,input_values!$AX59,input_values!$AY59),"")</f>
        <v/>
      </c>
      <c r="S59" s="492">
        <f>IF($V$5=0,0,IF(OR($A$10="Refined calculation mode",Results!$B$62="Show results of IESTI calculation only for crops with GAPs under assessment"),Table22[[#This Row],[Input for IESTI new (refined mode)]],Table22[[#This Row],[Input for IESTI new normal mode]]))</f>
        <v>0</v>
      </c>
      <c r="T59" s="886"/>
      <c r="U59" s="1408">
        <f>Table22[[#This Row],[MRL/ proposed MRL /CXL
(mg/kg)]]</f>
        <v>0</v>
      </c>
      <c r="V59" s="1409" t="str">
        <f t="shared" si="32"/>
        <v/>
      </c>
      <c r="W59" s="1387">
        <f t="shared" si="33"/>
        <v>1</v>
      </c>
      <c r="X59" s="1387">
        <f t="shared" si="34"/>
        <v>1</v>
      </c>
      <c r="Y59" s="1387">
        <f t="shared" si="35"/>
        <v>1</v>
      </c>
      <c r="Z59" s="1410">
        <v>4</v>
      </c>
      <c r="AA59" s="1387">
        <f t="shared" si="0"/>
        <v>0</v>
      </c>
      <c r="AB59" s="1387">
        <f>IF(Z59=A59,IF(AND(L59="N",Table22[[#This Row],[LOQ_label]]="Y"),AA59,$AA59*$Y59),"")</f>
        <v>0</v>
      </c>
      <c r="AC59" s="1393">
        <f t="shared" si="1"/>
        <v>0</v>
      </c>
      <c r="AD59" s="1393">
        <f>IF(Table22[[#This Row],[Median residue*CF*PeF]]&lt;&gt;"",Table22[[#This Row],[Median residue*CF*PeF]],Table22[[#This Row],[MRL*CF*PeF (chronic)]])</f>
        <v>0</v>
      </c>
      <c r="AE59" s="1393">
        <f t="shared" si="2"/>
        <v>0</v>
      </c>
      <c r="AF59" s="1390" t="str">
        <f t="shared" si="3"/>
        <v>MRL</v>
      </c>
      <c r="AG59" s="1390" t="str">
        <f t="shared" si="4"/>
        <v/>
      </c>
      <c r="AH59" s="1394" t="str">
        <f t="shared" si="5"/>
        <v/>
      </c>
      <c r="AI59" s="1386">
        <v>4</v>
      </c>
      <c r="AJ59" s="1387">
        <f t="shared" si="6"/>
        <v>0</v>
      </c>
      <c r="AK59" s="1387">
        <f>IF(AI59=A59,IF(AND(L59="N",Table22[[#This Row],[LOQ_label]]="Y"),AJ59,$AJ59*$Y59),"")</f>
        <v>0</v>
      </c>
      <c r="AL59" s="1388">
        <f t="shared" si="7"/>
        <v>0</v>
      </c>
      <c r="AM59" s="1393">
        <f>IF(Table22[[#This Row],[Highest residue * CF*PF]]&lt;&gt;"",Table22[[#This Row],[Highest residue * CF*PF]],Table22[[#This Row],[MRL*CF*PF or MRL (if LOQ and not authorised) (acute RA)]])</f>
        <v>0</v>
      </c>
      <c r="AN59" s="1390" t="str">
        <f t="shared" si="8"/>
        <v>MRL</v>
      </c>
      <c r="AO59" s="1390" t="str">
        <f t="shared" si="9"/>
        <v/>
      </c>
      <c r="AP59" s="1404" t="str">
        <f t="shared" si="10"/>
        <v/>
      </c>
      <c r="AQ59" s="1388">
        <f t="shared" si="11"/>
        <v>0</v>
      </c>
      <c r="AR59" s="1388" t="str">
        <f t="shared" si="12"/>
        <v/>
      </c>
      <c r="AS59" s="1388" t="str">
        <f t="shared" si="13"/>
        <v/>
      </c>
      <c r="AT59" s="1388" t="str">
        <f t="shared" si="14"/>
        <v/>
      </c>
      <c r="AU59" s="1393">
        <f t="shared" si="15"/>
        <v>0</v>
      </c>
      <c r="AV59" s="1388">
        <f t="shared" si="16"/>
        <v>0</v>
      </c>
      <c r="AW59" s="1390" t="str">
        <f t="shared" si="17"/>
        <v/>
      </c>
      <c r="AX59" s="1390" t="str">
        <f t="shared" si="36"/>
        <v/>
      </c>
      <c r="AY59" s="1394" t="str">
        <f t="shared" si="19"/>
        <v/>
      </c>
      <c r="AZ59" s="1395" t="str">
        <f>IF(Table22[[#This Row],[LOQ_label]]="Y",Table22[[#This Row],[MRL individual commodity]],"")</f>
        <v/>
      </c>
      <c r="BA59" s="1396" t="s">
        <v>1038</v>
      </c>
      <c r="BB59" s="1411" t="str">
        <f>IF(Table22[[#This Row],[LOQ2]]&lt;0,MIN(AZ59:AZ410),"")</f>
        <v/>
      </c>
      <c r="BC59" s="1299"/>
      <c r="BD59" s="1306" t="str">
        <f>IF(Table22[[#This Row],[Chronic RA label]]="","N",IF(Table22[[#This Row],[Chronic RA label]]="LOQ","N",IF(Table22[[#This Row],[Chronic RA label]]="MRL","N","Y")))</f>
        <v>N</v>
      </c>
      <c r="BE59" s="1306" t="str">
        <f>IF(Table22[[#This Row],[Acute RA label]]="","N",IF(Table22[[#This Row],[Acute RA label]]="LOQ","N",IF(Table22[[#This Row],[Acute RA label]]="MRL","N","Y")))</f>
        <v>N</v>
      </c>
      <c r="BF59" s="1306" t="str">
        <f>IF(OR(Table22[[#This Row],[include commodity in Summary_input_values_chronic]]="Y",Table22[[#This Row],[include commodity in Summary_input_values_acute]]="Y"),"Y","N")</f>
        <v>N</v>
      </c>
      <c r="BG59" s="1299"/>
      <c r="BH59" s="1324"/>
    </row>
    <row r="60" spans="1:60" ht="12.75" customHeight="1" outlineLevel="3" x14ac:dyDescent="0.2">
      <c r="A60" s="39">
        <v>4</v>
      </c>
      <c r="B60" s="327">
        <v>154040</v>
      </c>
      <c r="C60" s="23" t="s">
        <v>686</v>
      </c>
      <c r="D60" s="867"/>
      <c r="E60" s="1219"/>
      <c r="F60" s="867"/>
      <c r="G60" s="869"/>
      <c r="H60" s="863"/>
      <c r="I60" s="868"/>
      <c r="J60" s="870"/>
      <c r="K60" s="865"/>
      <c r="L60" s="872"/>
      <c r="M60" s="872"/>
      <c r="N60" s="925" t="str">
        <f>IF(O60&lt;&gt;0,CONCATENATE(input_values!$AF60,input_values!$AG60,input_values!$AH60),"")</f>
        <v/>
      </c>
      <c r="O60" s="491">
        <f>IF($A$10="Refined calculation mode",Table22[[#This Row],[input for chronic (refined mode]],Table22[[#This Row],[input for chronic normal mode]])</f>
        <v>0</v>
      </c>
      <c r="P60" s="925" t="str">
        <f>IF(Q60&lt;&gt;0,CONCATENATE(input_values!$AN60,input_values!$AO60,input_values!$AP60),"")</f>
        <v/>
      </c>
      <c r="Q60" s="491">
        <f>IF($V$5=0,0,IF(OR($A$10="Refined calculation mode",Results!$B$62="Show results of IESTI calculation only for crops with GAPs under assessment"),Table22[[#This Row],[Input for IESTI (refined mode)]],Table22[[#This Row],[Input for IESTI normal mode]]))</f>
        <v>0</v>
      </c>
      <c r="R60" s="926" t="str">
        <f>IF(S60&lt;&gt;0,CONCATENATE(input_values!$AW60,input_values!$AX60,input_values!$AY60),"")</f>
        <v/>
      </c>
      <c r="S60" s="492">
        <f>IF($V$5=0,0,IF(OR($A$10="Refined calculation mode",Results!$B$62="Show results of IESTI calculation only for crops with GAPs under assessment"),Table22[[#This Row],[Input for IESTI new (refined mode)]],Table22[[#This Row],[Input for IESTI new normal mode]]))</f>
        <v>0</v>
      </c>
      <c r="T60" s="886"/>
      <c r="U60" s="1408">
        <f>Table22[[#This Row],[MRL/ proposed MRL /CXL
(mg/kg)]]</f>
        <v>0</v>
      </c>
      <c r="V60" s="1409" t="str">
        <f t="shared" si="32"/>
        <v/>
      </c>
      <c r="W60" s="1387">
        <f t="shared" si="33"/>
        <v>1</v>
      </c>
      <c r="X60" s="1387">
        <f t="shared" si="34"/>
        <v>1</v>
      </c>
      <c r="Y60" s="1387">
        <f t="shared" si="35"/>
        <v>1</v>
      </c>
      <c r="Z60" s="1410">
        <v>4</v>
      </c>
      <c r="AA60" s="1387">
        <f t="shared" si="0"/>
        <v>0</v>
      </c>
      <c r="AB60" s="1387">
        <f>IF(Z60=A60,IF(AND(L60="N",Table22[[#This Row],[LOQ_label]]="Y"),AA60,$AA60*$Y60),"")</f>
        <v>0</v>
      </c>
      <c r="AC60" s="1393">
        <f t="shared" si="1"/>
        <v>0</v>
      </c>
      <c r="AD60" s="1393">
        <f>IF(Table22[[#This Row],[Median residue*CF*PeF]]&lt;&gt;"",Table22[[#This Row],[Median residue*CF*PeF]],Table22[[#This Row],[MRL*CF*PeF (chronic)]])</f>
        <v>0</v>
      </c>
      <c r="AE60" s="1393">
        <f t="shared" si="2"/>
        <v>0</v>
      </c>
      <c r="AF60" s="1390" t="str">
        <f t="shared" si="3"/>
        <v>MRL</v>
      </c>
      <c r="AG60" s="1390" t="str">
        <f t="shared" si="4"/>
        <v/>
      </c>
      <c r="AH60" s="1394" t="str">
        <f t="shared" si="5"/>
        <v/>
      </c>
      <c r="AI60" s="1386">
        <v>4</v>
      </c>
      <c r="AJ60" s="1387">
        <f t="shared" si="6"/>
        <v>0</v>
      </c>
      <c r="AK60" s="1387">
        <f>IF(AI60=A60,IF(AND(L60="N",Table22[[#This Row],[LOQ_label]]="Y"),AJ60,$AJ60*$Y60),"")</f>
        <v>0</v>
      </c>
      <c r="AL60" s="1388">
        <f t="shared" si="7"/>
        <v>0</v>
      </c>
      <c r="AM60" s="1393">
        <f>IF(Table22[[#This Row],[Highest residue * CF*PF]]&lt;&gt;"",Table22[[#This Row],[Highest residue * CF*PF]],Table22[[#This Row],[MRL*CF*PF or MRL (if LOQ and not authorised) (acute RA)]])</f>
        <v>0</v>
      </c>
      <c r="AN60" s="1390" t="str">
        <f t="shared" si="8"/>
        <v>MRL</v>
      </c>
      <c r="AO60" s="1390" t="str">
        <f t="shared" si="9"/>
        <v/>
      </c>
      <c r="AP60" s="1404" t="str">
        <f t="shared" si="10"/>
        <v/>
      </c>
      <c r="AQ60" s="1388">
        <f t="shared" si="11"/>
        <v>0</v>
      </c>
      <c r="AR60" s="1388" t="str">
        <f t="shared" si="12"/>
        <v/>
      </c>
      <c r="AS60" s="1388" t="str">
        <f t="shared" si="13"/>
        <v/>
      </c>
      <c r="AT60" s="1388" t="str">
        <f t="shared" si="14"/>
        <v/>
      </c>
      <c r="AU60" s="1393">
        <f t="shared" si="15"/>
        <v>0</v>
      </c>
      <c r="AV60" s="1388">
        <f t="shared" si="16"/>
        <v>0</v>
      </c>
      <c r="AW60" s="1390" t="str">
        <f t="shared" si="17"/>
        <v/>
      </c>
      <c r="AX60" s="1390" t="str">
        <f t="shared" si="36"/>
        <v/>
      </c>
      <c r="AY60" s="1394" t="str">
        <f t="shared" si="19"/>
        <v/>
      </c>
      <c r="AZ60" s="1395" t="str">
        <f>IF(Table22[[#This Row],[LOQ_label]]="Y",Table22[[#This Row],[MRL individual commodity]],"")</f>
        <v/>
      </c>
      <c r="BA60" s="1396" t="s">
        <v>1038</v>
      </c>
      <c r="BB60" s="1411" t="str">
        <f>IF(Table22[[#This Row],[LOQ2]]&lt;0,MIN(AZ60:AZ410),"")</f>
        <v/>
      </c>
      <c r="BC60" s="1299"/>
      <c r="BD60" s="1306" t="str">
        <f>IF(Table22[[#This Row],[Chronic RA label]]="","N",IF(Table22[[#This Row],[Chronic RA label]]="LOQ","N",IF(Table22[[#This Row],[Chronic RA label]]="MRL","N","Y")))</f>
        <v>N</v>
      </c>
      <c r="BE60" s="1306" t="str">
        <f>IF(Table22[[#This Row],[Acute RA label]]="","N",IF(Table22[[#This Row],[Acute RA label]]="LOQ","N",IF(Table22[[#This Row],[Acute RA label]]="MRL","N","Y")))</f>
        <v>N</v>
      </c>
      <c r="BF60" s="1306" t="str">
        <f>IF(OR(Table22[[#This Row],[include commodity in Summary_input_values_chronic]]="Y",Table22[[#This Row],[include commodity in Summary_input_values_acute]]="Y"),"Y","N")</f>
        <v>N</v>
      </c>
      <c r="BG60" s="1299"/>
      <c r="BH60" s="1324"/>
    </row>
    <row r="61" spans="1:60" ht="12.75" customHeight="1" outlineLevel="3" x14ac:dyDescent="0.2">
      <c r="A61" s="39">
        <v>4</v>
      </c>
      <c r="B61" s="327">
        <v>154050</v>
      </c>
      <c r="C61" s="23" t="s">
        <v>65</v>
      </c>
      <c r="D61" s="867"/>
      <c r="E61" s="1219"/>
      <c r="F61" s="867"/>
      <c r="G61" s="869"/>
      <c r="H61" s="863"/>
      <c r="I61" s="868"/>
      <c r="J61" s="870"/>
      <c r="K61" s="865"/>
      <c r="L61" s="872"/>
      <c r="M61" s="872"/>
      <c r="N61" s="925" t="str">
        <f>IF(O61&lt;&gt;0,CONCATENATE(input_values!$AF61,input_values!$AG61,input_values!$AH61),"")</f>
        <v/>
      </c>
      <c r="O61" s="491">
        <f>IF($A$10="Refined calculation mode",Table22[[#This Row],[input for chronic (refined mode]],Table22[[#This Row],[input for chronic normal mode]])</f>
        <v>0</v>
      </c>
      <c r="P61" s="925" t="str">
        <f>IF(Q61&lt;&gt;0,CONCATENATE(input_values!$AN61,input_values!$AO61,input_values!$AP61),"")</f>
        <v/>
      </c>
      <c r="Q61" s="491">
        <f>IF($V$5=0,0,IF(OR($A$10="Refined calculation mode",Results!$B$62="Show results of IESTI calculation only for crops with GAPs under assessment"),Table22[[#This Row],[Input for IESTI (refined mode)]],Table22[[#This Row],[Input for IESTI normal mode]]))</f>
        <v>0</v>
      </c>
      <c r="R61" s="926" t="str">
        <f>IF(S61&lt;&gt;0,CONCATENATE(input_values!$AW61,input_values!$AX61,input_values!$AY61),"")</f>
        <v/>
      </c>
      <c r="S61" s="492">
        <f>IF($V$5=0,0,IF(OR($A$10="Refined calculation mode",Results!$B$62="Show results of IESTI calculation only for crops with GAPs under assessment"),Table22[[#This Row],[Input for IESTI new (refined mode)]],Table22[[#This Row],[Input for IESTI new normal mode]]))</f>
        <v>0</v>
      </c>
      <c r="T61" s="886"/>
      <c r="U61" s="1408">
        <f>Table22[[#This Row],[MRL/ proposed MRL /CXL
(mg/kg)]]</f>
        <v>0</v>
      </c>
      <c r="V61" s="1409" t="str">
        <f t="shared" si="32"/>
        <v/>
      </c>
      <c r="W61" s="1387">
        <f t="shared" si="33"/>
        <v>1</v>
      </c>
      <c r="X61" s="1387">
        <f t="shared" si="34"/>
        <v>1</v>
      </c>
      <c r="Y61" s="1387">
        <f t="shared" si="35"/>
        <v>1</v>
      </c>
      <c r="Z61" s="1410">
        <v>4</v>
      </c>
      <c r="AA61" s="1387">
        <f t="shared" si="0"/>
        <v>0</v>
      </c>
      <c r="AB61" s="1387">
        <f>IF(Z61=A61,IF(AND(L61="N",Table22[[#This Row],[LOQ_label]]="Y"),AA61,$AA61*$Y61),"")</f>
        <v>0</v>
      </c>
      <c r="AC61" s="1393">
        <f t="shared" si="1"/>
        <v>0</v>
      </c>
      <c r="AD61" s="1393">
        <f>IF(Table22[[#This Row],[Median residue*CF*PeF]]&lt;&gt;"",Table22[[#This Row],[Median residue*CF*PeF]],Table22[[#This Row],[MRL*CF*PeF (chronic)]])</f>
        <v>0</v>
      </c>
      <c r="AE61" s="1393">
        <f t="shared" si="2"/>
        <v>0</v>
      </c>
      <c r="AF61" s="1390" t="str">
        <f t="shared" si="3"/>
        <v>MRL</v>
      </c>
      <c r="AG61" s="1390" t="str">
        <f t="shared" si="4"/>
        <v/>
      </c>
      <c r="AH61" s="1394" t="str">
        <f t="shared" si="5"/>
        <v/>
      </c>
      <c r="AI61" s="1386">
        <v>4</v>
      </c>
      <c r="AJ61" s="1387">
        <f t="shared" si="6"/>
        <v>0</v>
      </c>
      <c r="AK61" s="1387">
        <f>IF(AI61=A61,IF(AND(L61="N",Table22[[#This Row],[LOQ_label]]="Y"),AJ61,$AJ61*$Y61),"")</f>
        <v>0</v>
      </c>
      <c r="AL61" s="1388">
        <f t="shared" si="7"/>
        <v>0</v>
      </c>
      <c r="AM61" s="1393">
        <f>IF(Table22[[#This Row],[Highest residue * CF*PF]]&lt;&gt;"",Table22[[#This Row],[Highest residue * CF*PF]],Table22[[#This Row],[MRL*CF*PF or MRL (if LOQ and not authorised) (acute RA)]])</f>
        <v>0</v>
      </c>
      <c r="AN61" s="1390" t="str">
        <f t="shared" si="8"/>
        <v>MRL</v>
      </c>
      <c r="AO61" s="1390" t="str">
        <f t="shared" si="9"/>
        <v/>
      </c>
      <c r="AP61" s="1404" t="str">
        <f t="shared" si="10"/>
        <v/>
      </c>
      <c r="AQ61" s="1388">
        <f t="shared" si="11"/>
        <v>0</v>
      </c>
      <c r="AR61" s="1388" t="str">
        <f t="shared" si="12"/>
        <v/>
      </c>
      <c r="AS61" s="1388" t="str">
        <f t="shared" si="13"/>
        <v/>
      </c>
      <c r="AT61" s="1388" t="str">
        <f t="shared" si="14"/>
        <v/>
      </c>
      <c r="AU61" s="1393">
        <f t="shared" si="15"/>
        <v>0</v>
      </c>
      <c r="AV61" s="1388">
        <f t="shared" si="16"/>
        <v>0</v>
      </c>
      <c r="AW61" s="1390" t="str">
        <f t="shared" si="17"/>
        <v/>
      </c>
      <c r="AX61" s="1390" t="str">
        <f t="shared" si="36"/>
        <v/>
      </c>
      <c r="AY61" s="1394" t="str">
        <f t="shared" si="19"/>
        <v/>
      </c>
      <c r="AZ61" s="1395" t="str">
        <f>IF(Table22[[#This Row],[LOQ_label]]="Y",Table22[[#This Row],[MRL individual commodity]],"")</f>
        <v/>
      </c>
      <c r="BA61" s="1396" t="s">
        <v>1038</v>
      </c>
      <c r="BB61" s="1411" t="str">
        <f>IF(Table22[[#This Row],[LOQ2]]&lt;0,MIN(AZ61:AZ410),"")</f>
        <v/>
      </c>
      <c r="BC61" s="1299"/>
      <c r="BD61" s="1306" t="str">
        <f>IF(Table22[[#This Row],[Chronic RA label]]="","N",IF(Table22[[#This Row],[Chronic RA label]]="LOQ","N",IF(Table22[[#This Row],[Chronic RA label]]="MRL","N","Y")))</f>
        <v>N</v>
      </c>
      <c r="BE61" s="1306" t="str">
        <f>IF(Table22[[#This Row],[Acute RA label]]="","N",IF(Table22[[#This Row],[Acute RA label]]="LOQ","N",IF(Table22[[#This Row],[Acute RA label]]="MRL","N","Y")))</f>
        <v>N</v>
      </c>
      <c r="BF61" s="1306" t="str">
        <f>IF(OR(Table22[[#This Row],[include commodity in Summary_input_values_chronic]]="Y",Table22[[#This Row],[include commodity in Summary_input_values_acute]]="Y"),"Y","N")</f>
        <v>N</v>
      </c>
      <c r="BG61" s="1299"/>
      <c r="BH61" s="1324"/>
    </row>
    <row r="62" spans="1:60" ht="12.75" customHeight="1" outlineLevel="3" x14ac:dyDescent="0.2">
      <c r="A62" s="39">
        <v>4</v>
      </c>
      <c r="B62" s="327">
        <v>154060</v>
      </c>
      <c r="C62" s="23" t="s">
        <v>687</v>
      </c>
      <c r="D62" s="867"/>
      <c r="E62" s="1219"/>
      <c r="F62" s="867"/>
      <c r="G62" s="869"/>
      <c r="H62" s="863"/>
      <c r="I62" s="868"/>
      <c r="J62" s="870"/>
      <c r="K62" s="865"/>
      <c r="L62" s="872"/>
      <c r="M62" s="872"/>
      <c r="N62" s="925" t="str">
        <f>IF(O62&lt;&gt;0,CONCATENATE(input_values!$AF62,input_values!$AG62,input_values!$AH62),"")</f>
        <v/>
      </c>
      <c r="O62" s="491">
        <f>IF($A$10="Refined calculation mode",Table22[[#This Row],[input for chronic (refined mode]],Table22[[#This Row],[input for chronic normal mode]])</f>
        <v>0</v>
      </c>
      <c r="P62" s="925" t="str">
        <f>IF(Q62&lt;&gt;0,CONCATENATE(input_values!$AN62,input_values!$AO62,input_values!$AP62),"")</f>
        <v/>
      </c>
      <c r="Q62" s="491">
        <f>IF($V$5=0,0,IF(OR($A$10="Refined calculation mode",Results!$B$62="Show results of IESTI calculation only for crops with GAPs under assessment"),Table22[[#This Row],[Input for IESTI (refined mode)]],Table22[[#This Row],[Input for IESTI normal mode]]))</f>
        <v>0</v>
      </c>
      <c r="R62" s="926" t="str">
        <f>IF(S62&lt;&gt;0,CONCATENATE(input_values!$AW62,input_values!$AX62,input_values!$AY62),"")</f>
        <v/>
      </c>
      <c r="S62" s="492">
        <f>IF($V$5=0,0,IF(OR($A$10="Refined calculation mode",Results!$B$62="Show results of IESTI calculation only for crops with GAPs under assessment"),Table22[[#This Row],[Input for IESTI new (refined mode)]],Table22[[#This Row],[Input for IESTI new normal mode]]))</f>
        <v>0</v>
      </c>
      <c r="T62" s="886"/>
      <c r="U62" s="1408">
        <f>Table22[[#This Row],[MRL/ proposed MRL /CXL
(mg/kg)]]</f>
        <v>0</v>
      </c>
      <c r="V62" s="1409" t="str">
        <f t="shared" si="32"/>
        <v/>
      </c>
      <c r="W62" s="1387">
        <f t="shared" si="33"/>
        <v>1</v>
      </c>
      <c r="X62" s="1387">
        <f t="shared" si="34"/>
        <v>1</v>
      </c>
      <c r="Y62" s="1387">
        <f t="shared" si="35"/>
        <v>1</v>
      </c>
      <c r="Z62" s="1410">
        <v>4</v>
      </c>
      <c r="AA62" s="1387">
        <f t="shared" si="0"/>
        <v>0</v>
      </c>
      <c r="AB62" s="1387">
        <f>IF(Z62=A62,IF(AND(L62="N",Table22[[#This Row],[LOQ_label]]="Y"),AA62,$AA62*$Y62),"")</f>
        <v>0</v>
      </c>
      <c r="AC62" s="1393">
        <f t="shared" si="1"/>
        <v>0</v>
      </c>
      <c r="AD62" s="1393">
        <f>IF(Table22[[#This Row],[Median residue*CF*PeF]]&lt;&gt;"",Table22[[#This Row],[Median residue*CF*PeF]],Table22[[#This Row],[MRL*CF*PeF (chronic)]])</f>
        <v>0</v>
      </c>
      <c r="AE62" s="1393">
        <f t="shared" si="2"/>
        <v>0</v>
      </c>
      <c r="AF62" s="1390" t="str">
        <f t="shared" si="3"/>
        <v>MRL</v>
      </c>
      <c r="AG62" s="1390" t="str">
        <f t="shared" si="4"/>
        <v/>
      </c>
      <c r="AH62" s="1394" t="str">
        <f t="shared" si="5"/>
        <v/>
      </c>
      <c r="AI62" s="1386">
        <v>4</v>
      </c>
      <c r="AJ62" s="1387">
        <f t="shared" si="6"/>
        <v>0</v>
      </c>
      <c r="AK62" s="1387">
        <f>IF(AI62=A62,IF(AND(L62="N",Table22[[#This Row],[LOQ_label]]="Y"),AJ62,$AJ62*$Y62),"")</f>
        <v>0</v>
      </c>
      <c r="AL62" s="1388">
        <f t="shared" si="7"/>
        <v>0</v>
      </c>
      <c r="AM62" s="1393">
        <f>IF(Table22[[#This Row],[Highest residue * CF*PF]]&lt;&gt;"",Table22[[#This Row],[Highest residue * CF*PF]],Table22[[#This Row],[MRL*CF*PF or MRL (if LOQ and not authorised) (acute RA)]])</f>
        <v>0</v>
      </c>
      <c r="AN62" s="1390" t="str">
        <f t="shared" si="8"/>
        <v>MRL</v>
      </c>
      <c r="AO62" s="1390" t="str">
        <f t="shared" si="9"/>
        <v/>
      </c>
      <c r="AP62" s="1404" t="str">
        <f t="shared" si="10"/>
        <v/>
      </c>
      <c r="AQ62" s="1388">
        <f t="shared" si="11"/>
        <v>0</v>
      </c>
      <c r="AR62" s="1388" t="str">
        <f t="shared" si="12"/>
        <v/>
      </c>
      <c r="AS62" s="1388" t="str">
        <f t="shared" si="13"/>
        <v/>
      </c>
      <c r="AT62" s="1388" t="str">
        <f t="shared" si="14"/>
        <v/>
      </c>
      <c r="AU62" s="1393">
        <f t="shared" si="15"/>
        <v>0</v>
      </c>
      <c r="AV62" s="1388">
        <f t="shared" si="16"/>
        <v>0</v>
      </c>
      <c r="AW62" s="1390" t="str">
        <f t="shared" si="17"/>
        <v/>
      </c>
      <c r="AX62" s="1390" t="str">
        <f t="shared" si="36"/>
        <v/>
      </c>
      <c r="AY62" s="1394" t="str">
        <f t="shared" si="19"/>
        <v/>
      </c>
      <c r="AZ62" s="1395" t="str">
        <f>IF(Table22[[#This Row],[LOQ_label]]="Y",Table22[[#This Row],[MRL individual commodity]],"")</f>
        <v/>
      </c>
      <c r="BA62" s="1396" t="s">
        <v>1038</v>
      </c>
      <c r="BB62" s="1411" t="str">
        <f>IF(Table22[[#This Row],[LOQ2]]&lt;0,MIN(AZ62:AZ410),"")</f>
        <v/>
      </c>
      <c r="BC62" s="1299"/>
      <c r="BD62" s="1306" t="str">
        <f>IF(Table22[[#This Row],[Chronic RA label]]="","N",IF(Table22[[#This Row],[Chronic RA label]]="LOQ","N",IF(Table22[[#This Row],[Chronic RA label]]="MRL","N","Y")))</f>
        <v>N</v>
      </c>
      <c r="BE62" s="1306" t="str">
        <f>IF(Table22[[#This Row],[Acute RA label]]="","N",IF(Table22[[#This Row],[Acute RA label]]="LOQ","N",IF(Table22[[#This Row],[Acute RA label]]="MRL","N","Y")))</f>
        <v>N</v>
      </c>
      <c r="BF62" s="1306" t="str">
        <f>IF(OR(Table22[[#This Row],[include commodity in Summary_input_values_chronic]]="Y",Table22[[#This Row],[include commodity in Summary_input_values_acute]]="Y"),"Y","N")</f>
        <v>N</v>
      </c>
      <c r="BG62" s="1299"/>
      <c r="BH62" s="1324"/>
    </row>
    <row r="63" spans="1:60" ht="12.75" customHeight="1" outlineLevel="3" x14ac:dyDescent="0.2">
      <c r="A63" s="39">
        <v>4</v>
      </c>
      <c r="B63" s="327">
        <v>154070</v>
      </c>
      <c r="C63" s="23" t="s">
        <v>688</v>
      </c>
      <c r="D63" s="867"/>
      <c r="E63" s="1219"/>
      <c r="F63" s="867"/>
      <c r="G63" s="869"/>
      <c r="H63" s="863"/>
      <c r="I63" s="868"/>
      <c r="J63" s="870"/>
      <c r="K63" s="865"/>
      <c r="L63" s="872"/>
      <c r="M63" s="872"/>
      <c r="N63" s="925" t="str">
        <f>IF(O63&lt;&gt;0,CONCATENATE(input_values!$AF63,input_values!$AG63,input_values!$AH63),"")</f>
        <v/>
      </c>
      <c r="O63" s="491">
        <f>IF($A$10="Refined calculation mode",Table22[[#This Row],[input for chronic (refined mode]],Table22[[#This Row],[input for chronic normal mode]])</f>
        <v>0</v>
      </c>
      <c r="P63" s="925" t="str">
        <f>IF(Q63&lt;&gt;0,CONCATENATE(input_values!$AN63,input_values!$AO63,input_values!$AP63),"")</f>
        <v/>
      </c>
      <c r="Q63" s="491">
        <f>IF($V$5=0,0,IF(OR($A$10="Refined calculation mode",Results!$B$62="Show results of IESTI calculation only for crops with GAPs under assessment"),Table22[[#This Row],[Input for IESTI (refined mode)]],Table22[[#This Row],[Input for IESTI normal mode]]))</f>
        <v>0</v>
      </c>
      <c r="R63" s="926" t="str">
        <f>IF(S63&lt;&gt;0,CONCATENATE(input_values!$AW63,input_values!$AX63,input_values!$AY63),"")</f>
        <v/>
      </c>
      <c r="S63" s="492">
        <f>IF($V$5=0,0,IF(OR($A$10="Refined calculation mode",Results!$B$62="Show results of IESTI calculation only for crops with GAPs under assessment"),Table22[[#This Row],[Input for IESTI new (refined mode)]],Table22[[#This Row],[Input for IESTI new normal mode]]))</f>
        <v>0</v>
      </c>
      <c r="T63" s="886"/>
      <c r="U63" s="1408">
        <f>Table22[[#This Row],[MRL/ proposed MRL /CXL
(mg/kg)]]</f>
        <v>0</v>
      </c>
      <c r="V63" s="1409" t="str">
        <f t="shared" si="32"/>
        <v/>
      </c>
      <c r="W63" s="1387">
        <f t="shared" si="33"/>
        <v>1</v>
      </c>
      <c r="X63" s="1387">
        <f t="shared" si="34"/>
        <v>1</v>
      </c>
      <c r="Y63" s="1387">
        <f t="shared" si="35"/>
        <v>1</v>
      </c>
      <c r="Z63" s="1410">
        <v>4</v>
      </c>
      <c r="AA63" s="1387">
        <f t="shared" si="0"/>
        <v>0</v>
      </c>
      <c r="AB63" s="1387">
        <f>IF(Z63=A63,IF(AND(L63="N",Table22[[#This Row],[LOQ_label]]="Y"),AA63,$AA63*$Y63),"")</f>
        <v>0</v>
      </c>
      <c r="AC63" s="1393">
        <f t="shared" si="1"/>
        <v>0</v>
      </c>
      <c r="AD63" s="1393">
        <f>IF(Table22[[#This Row],[Median residue*CF*PeF]]&lt;&gt;"",Table22[[#This Row],[Median residue*CF*PeF]],Table22[[#This Row],[MRL*CF*PeF (chronic)]])</f>
        <v>0</v>
      </c>
      <c r="AE63" s="1393">
        <f t="shared" si="2"/>
        <v>0</v>
      </c>
      <c r="AF63" s="1390" t="str">
        <f t="shared" si="3"/>
        <v>MRL</v>
      </c>
      <c r="AG63" s="1390" t="str">
        <f t="shared" si="4"/>
        <v/>
      </c>
      <c r="AH63" s="1394" t="str">
        <f t="shared" si="5"/>
        <v/>
      </c>
      <c r="AI63" s="1386">
        <v>4</v>
      </c>
      <c r="AJ63" s="1387">
        <f t="shared" si="6"/>
        <v>0</v>
      </c>
      <c r="AK63" s="1387">
        <f>IF(AI63=A63,IF(AND(L63="N",Table22[[#This Row],[LOQ_label]]="Y"),AJ63,$AJ63*$Y63),"")</f>
        <v>0</v>
      </c>
      <c r="AL63" s="1388">
        <f t="shared" si="7"/>
        <v>0</v>
      </c>
      <c r="AM63" s="1393">
        <f>IF(Table22[[#This Row],[Highest residue * CF*PF]]&lt;&gt;"",Table22[[#This Row],[Highest residue * CF*PF]],Table22[[#This Row],[MRL*CF*PF or MRL (if LOQ and not authorised) (acute RA)]])</f>
        <v>0</v>
      </c>
      <c r="AN63" s="1390" t="str">
        <f t="shared" si="8"/>
        <v>MRL</v>
      </c>
      <c r="AO63" s="1390" t="str">
        <f t="shared" si="9"/>
        <v/>
      </c>
      <c r="AP63" s="1404" t="str">
        <f t="shared" si="10"/>
        <v/>
      </c>
      <c r="AQ63" s="1388">
        <f t="shared" si="11"/>
        <v>0</v>
      </c>
      <c r="AR63" s="1388" t="str">
        <f t="shared" si="12"/>
        <v/>
      </c>
      <c r="AS63" s="1388" t="str">
        <f t="shared" si="13"/>
        <v/>
      </c>
      <c r="AT63" s="1388" t="str">
        <f t="shared" si="14"/>
        <v/>
      </c>
      <c r="AU63" s="1393">
        <f t="shared" si="15"/>
        <v>0</v>
      </c>
      <c r="AV63" s="1388">
        <f t="shared" si="16"/>
        <v>0</v>
      </c>
      <c r="AW63" s="1390" t="str">
        <f t="shared" si="17"/>
        <v/>
      </c>
      <c r="AX63" s="1390" t="str">
        <f t="shared" si="36"/>
        <v/>
      </c>
      <c r="AY63" s="1394" t="str">
        <f t="shared" si="19"/>
        <v/>
      </c>
      <c r="AZ63" s="1395" t="str">
        <f>IF(Table22[[#This Row],[LOQ_label]]="Y",Table22[[#This Row],[MRL individual commodity]],"")</f>
        <v/>
      </c>
      <c r="BA63" s="1396" t="s">
        <v>1038</v>
      </c>
      <c r="BB63" s="1411" t="str">
        <f>IF(Table22[[#This Row],[LOQ2]]&lt;0,MIN(AZ63:AZ410),"")</f>
        <v/>
      </c>
      <c r="BC63" s="1299"/>
      <c r="BD63" s="1306" t="str">
        <f>IF(Table22[[#This Row],[Chronic RA label]]="","N",IF(Table22[[#This Row],[Chronic RA label]]="LOQ","N",IF(Table22[[#This Row],[Chronic RA label]]="MRL","N","Y")))</f>
        <v>N</v>
      </c>
      <c r="BE63" s="1306" t="str">
        <f>IF(Table22[[#This Row],[Acute RA label]]="","N",IF(Table22[[#This Row],[Acute RA label]]="LOQ","N",IF(Table22[[#This Row],[Acute RA label]]="MRL","N","Y")))</f>
        <v>N</v>
      </c>
      <c r="BF63" s="1306" t="str">
        <f>IF(OR(Table22[[#This Row],[include commodity in Summary_input_values_chronic]]="Y",Table22[[#This Row],[include commodity in Summary_input_values_acute]]="Y"),"Y","N")</f>
        <v>N</v>
      </c>
      <c r="BG63" s="1299"/>
      <c r="BH63" s="1324"/>
    </row>
    <row r="64" spans="1:60" ht="12.75" customHeight="1" outlineLevel="3" x14ac:dyDescent="0.2">
      <c r="A64" s="39">
        <v>4</v>
      </c>
      <c r="B64" s="327">
        <v>154080</v>
      </c>
      <c r="C64" s="23" t="s">
        <v>66</v>
      </c>
      <c r="D64" s="867"/>
      <c r="E64" s="1219"/>
      <c r="F64" s="867"/>
      <c r="G64" s="869"/>
      <c r="H64" s="863"/>
      <c r="I64" s="868"/>
      <c r="J64" s="870"/>
      <c r="K64" s="871"/>
      <c r="L64" s="872"/>
      <c r="M64" s="872"/>
      <c r="N64" s="925" t="str">
        <f>IF(O64&lt;&gt;0,CONCATENATE(input_values!$AF64,input_values!$AG64,input_values!$AH64),"")</f>
        <v/>
      </c>
      <c r="O64" s="491">
        <f>IF($A$10="Refined calculation mode",Table22[[#This Row],[input for chronic (refined mode]],Table22[[#This Row],[input for chronic normal mode]])</f>
        <v>0</v>
      </c>
      <c r="P64" s="925" t="str">
        <f>IF(Q64&lt;&gt;0,CONCATENATE(input_values!$AN64,input_values!$AO64,input_values!$AP64),"")</f>
        <v/>
      </c>
      <c r="Q64" s="491">
        <f>IF($V$5=0,0,IF(OR($A$10="Refined calculation mode",Results!$B$62="Show results of IESTI calculation only for crops with GAPs under assessment"),Table22[[#This Row],[Input for IESTI (refined mode)]],Table22[[#This Row],[Input for IESTI normal mode]]))</f>
        <v>0</v>
      </c>
      <c r="R64" s="926" t="str">
        <f>IF(S64&lt;&gt;0,CONCATENATE(input_values!$AW64,input_values!$AX64,input_values!$AY64),"")</f>
        <v/>
      </c>
      <c r="S64" s="492">
        <f>IF($V$5=0,0,IF(OR($A$10="Refined calculation mode",Results!$B$62="Show results of IESTI calculation only for crops with GAPs under assessment"),Table22[[#This Row],[Input for IESTI new (refined mode)]],Table22[[#This Row],[Input for IESTI new normal mode]]))</f>
        <v>0</v>
      </c>
      <c r="T64" s="886"/>
      <c r="U64" s="1408">
        <f>Table22[[#This Row],[MRL/ proposed MRL /CXL
(mg/kg)]]</f>
        <v>0</v>
      </c>
      <c r="V64" s="1409" t="str">
        <f t="shared" si="32"/>
        <v/>
      </c>
      <c r="W64" s="1387">
        <f t="shared" si="33"/>
        <v>1</v>
      </c>
      <c r="X64" s="1387">
        <f t="shared" si="34"/>
        <v>1</v>
      </c>
      <c r="Y64" s="1387">
        <f t="shared" si="35"/>
        <v>1</v>
      </c>
      <c r="Z64" s="1410">
        <v>4</v>
      </c>
      <c r="AA64" s="1387">
        <f t="shared" si="0"/>
        <v>0</v>
      </c>
      <c r="AB64" s="1387">
        <f>IF(Z64=A64,IF(AND(L64="N",Table22[[#This Row],[LOQ_label]]="Y"),AA64,$AA64*$Y64),"")</f>
        <v>0</v>
      </c>
      <c r="AC64" s="1393">
        <f t="shared" si="1"/>
        <v>0</v>
      </c>
      <c r="AD64" s="1393">
        <f>IF(Table22[[#This Row],[Median residue*CF*PeF]]&lt;&gt;"",Table22[[#This Row],[Median residue*CF*PeF]],Table22[[#This Row],[MRL*CF*PeF (chronic)]])</f>
        <v>0</v>
      </c>
      <c r="AE64" s="1393">
        <f t="shared" si="2"/>
        <v>0</v>
      </c>
      <c r="AF64" s="1390" t="str">
        <f t="shared" si="3"/>
        <v>MRL</v>
      </c>
      <c r="AG64" s="1390" t="str">
        <f t="shared" si="4"/>
        <v/>
      </c>
      <c r="AH64" s="1394" t="str">
        <f t="shared" si="5"/>
        <v/>
      </c>
      <c r="AI64" s="1386">
        <v>4</v>
      </c>
      <c r="AJ64" s="1387">
        <f t="shared" si="6"/>
        <v>0</v>
      </c>
      <c r="AK64" s="1387">
        <f>IF(AI64=A64,IF(AND(L64="N",Table22[[#This Row],[LOQ_label]]="Y"),AJ64,$AJ64*$Y64),"")</f>
        <v>0</v>
      </c>
      <c r="AL64" s="1388">
        <f t="shared" si="7"/>
        <v>0</v>
      </c>
      <c r="AM64" s="1393">
        <f>IF(Table22[[#This Row],[Highest residue * CF*PF]]&lt;&gt;"",Table22[[#This Row],[Highest residue * CF*PF]],Table22[[#This Row],[MRL*CF*PF or MRL (if LOQ and not authorised) (acute RA)]])</f>
        <v>0</v>
      </c>
      <c r="AN64" s="1390" t="str">
        <f t="shared" si="8"/>
        <v>MRL</v>
      </c>
      <c r="AO64" s="1390" t="str">
        <f t="shared" si="9"/>
        <v/>
      </c>
      <c r="AP64" s="1404" t="str">
        <f t="shared" si="10"/>
        <v/>
      </c>
      <c r="AQ64" s="1388">
        <f t="shared" si="11"/>
        <v>0</v>
      </c>
      <c r="AR64" s="1388" t="str">
        <f t="shared" si="12"/>
        <v/>
      </c>
      <c r="AS64" s="1388" t="str">
        <f t="shared" si="13"/>
        <v/>
      </c>
      <c r="AT64" s="1388" t="str">
        <f t="shared" si="14"/>
        <v/>
      </c>
      <c r="AU64" s="1393">
        <f t="shared" si="15"/>
        <v>0</v>
      </c>
      <c r="AV64" s="1388">
        <f t="shared" si="16"/>
        <v>0</v>
      </c>
      <c r="AW64" s="1390" t="str">
        <f t="shared" si="17"/>
        <v/>
      </c>
      <c r="AX64" s="1390" t="str">
        <f t="shared" si="36"/>
        <v/>
      </c>
      <c r="AY64" s="1394" t="str">
        <f t="shared" si="19"/>
        <v/>
      </c>
      <c r="AZ64" s="1395" t="str">
        <f>IF(Table22[[#This Row],[LOQ_label]]="Y",Table22[[#This Row],[MRL individual commodity]],"")</f>
        <v/>
      </c>
      <c r="BA64" s="1449" t="s">
        <v>654</v>
      </c>
      <c r="BB64" s="1411" t="str">
        <f>IF(Table22[[#This Row],[LOQ2]]&lt;0,MIN(AZ64:AZ410),"")</f>
        <v/>
      </c>
      <c r="BC64" s="1299"/>
      <c r="BD64" s="1306" t="str">
        <f>IF(Table22[[#This Row],[Chronic RA label]]="","N",IF(Table22[[#This Row],[Chronic RA label]]="LOQ","N",IF(Table22[[#This Row],[Chronic RA label]]="MRL","N","Y")))</f>
        <v>N</v>
      </c>
      <c r="BE64" s="1306" t="str">
        <f>IF(Table22[[#This Row],[Acute RA label]]="","N",IF(Table22[[#This Row],[Acute RA label]]="LOQ","N",IF(Table22[[#This Row],[Acute RA label]]="MRL","N","Y")))</f>
        <v>N</v>
      </c>
      <c r="BF64" s="1306" t="str">
        <f>IF(OR(Table22[[#This Row],[include commodity in Summary_input_values_chronic]]="Y",Table22[[#This Row],[include commodity in Summary_input_values_acute]]="Y"),"Y","N")</f>
        <v>N</v>
      </c>
      <c r="BG64" s="1299"/>
      <c r="BH64" s="1324"/>
    </row>
    <row r="65" spans="1:60" ht="12.75" customHeight="1" outlineLevel="3" x14ac:dyDescent="0.2">
      <c r="A65" s="39">
        <v>4</v>
      </c>
      <c r="B65" s="327">
        <v>154990</v>
      </c>
      <c r="C65" s="23" t="s">
        <v>52</v>
      </c>
      <c r="D65" s="867"/>
      <c r="E65" s="1219"/>
      <c r="F65" s="867"/>
      <c r="G65" s="868"/>
      <c r="H65" s="863"/>
      <c r="I65" s="868"/>
      <c r="J65" s="870"/>
      <c r="K65" s="865"/>
      <c r="L65" s="872"/>
      <c r="M65" s="872"/>
      <c r="N65" s="925" t="str">
        <f>IF(O65&lt;&gt;0,CONCATENATE(input_values!$AF65,input_values!$AG65,input_values!$AH65),"")</f>
        <v/>
      </c>
      <c r="O65" s="491">
        <f>IF($A$10="Refined calculation mode",Table22[[#This Row],[input for chronic (refined mode]],Table22[[#This Row],[input for chronic normal mode]])</f>
        <v>0</v>
      </c>
      <c r="P65" s="473"/>
      <c r="Q65" s="474"/>
      <c r="R65" s="473"/>
      <c r="S65" s="474"/>
      <c r="T65" s="886"/>
      <c r="U65" s="1408">
        <f>Table22[[#This Row],[MRL/ proposed MRL /CXL
(mg/kg)]]</f>
        <v>0</v>
      </c>
      <c r="V65" s="1409" t="str">
        <f t="shared" si="32"/>
        <v/>
      </c>
      <c r="W65" s="1387">
        <f t="shared" si="33"/>
        <v>1</v>
      </c>
      <c r="X65" s="1387">
        <f t="shared" si="34"/>
        <v>1</v>
      </c>
      <c r="Y65" s="1387">
        <f t="shared" si="35"/>
        <v>1</v>
      </c>
      <c r="Z65" s="1410">
        <v>4</v>
      </c>
      <c r="AA65" s="1387">
        <f t="shared" si="0"/>
        <v>0</v>
      </c>
      <c r="AB65" s="1387">
        <f>IF(Z65=A65,IF(AND(L65="N",Table22[[#This Row],[LOQ_label]]="Y"),AA65,$AA65*$Y65),"")</f>
        <v>0</v>
      </c>
      <c r="AC65" s="1393">
        <f t="shared" si="1"/>
        <v>0</v>
      </c>
      <c r="AD65" s="1393">
        <f>IF(Table22[[#This Row],[Median residue*CF*PeF]]&lt;&gt;"",Table22[[#This Row],[Median residue*CF*PeF]],Table22[[#This Row],[MRL*CF*PeF (chronic)]])</f>
        <v>0</v>
      </c>
      <c r="AE65" s="1393">
        <f t="shared" si="2"/>
        <v>0</v>
      </c>
      <c r="AF65" s="1390" t="str">
        <f t="shared" si="3"/>
        <v>MRL</v>
      </c>
      <c r="AG65" s="1390" t="str">
        <f t="shared" si="4"/>
        <v/>
      </c>
      <c r="AH65" s="1394" t="str">
        <f t="shared" si="5"/>
        <v/>
      </c>
      <c r="AI65" s="1386"/>
      <c r="AJ65" s="1387" t="str">
        <f t="shared" si="6"/>
        <v/>
      </c>
      <c r="AK65" s="1387" t="str">
        <f>IF(AI65=A65,IF(AND(L65="N",Table22[[#This Row],[LOQ_label]]="Y"),AJ65,$AJ65*$Y65),"")</f>
        <v/>
      </c>
      <c r="AL65" s="1388" t="str">
        <f t="shared" si="7"/>
        <v/>
      </c>
      <c r="AM65" s="1393" t="str">
        <f>IF(Table22[[#This Row],[Highest residue * CF*PF]]&lt;&gt;"",Table22[[#This Row],[Highest residue * CF*PF]],Table22[[#This Row],[MRL*CF*PF or MRL (if LOQ and not authorised) (acute RA)]])</f>
        <v/>
      </c>
      <c r="AN65" s="1390" t="str">
        <f t="shared" si="8"/>
        <v/>
      </c>
      <c r="AO65" s="1390" t="str">
        <f t="shared" si="9"/>
        <v/>
      </c>
      <c r="AP65" s="1404" t="str">
        <f t="shared" si="10"/>
        <v/>
      </c>
      <c r="AQ65" s="1388">
        <f t="shared" si="11"/>
        <v>0</v>
      </c>
      <c r="AR65" s="1388" t="str">
        <f t="shared" si="12"/>
        <v/>
      </c>
      <c r="AS65" s="1388" t="str">
        <f t="shared" si="13"/>
        <v/>
      </c>
      <c r="AT65" s="1388" t="str">
        <f t="shared" si="14"/>
        <v/>
      </c>
      <c r="AU65" s="1393" t="str">
        <f t="shared" si="15"/>
        <v/>
      </c>
      <c r="AV65" s="1388">
        <f t="shared" si="16"/>
        <v>0</v>
      </c>
      <c r="AW65" s="1390" t="str">
        <f t="shared" si="17"/>
        <v/>
      </c>
      <c r="AX65" s="1390" t="str">
        <f>IF(AND(AN65&lt;&gt;"",AY65&lt;&gt;""),"*","")</f>
        <v/>
      </c>
      <c r="AY65" s="1394" t="str">
        <f t="shared" si="19"/>
        <v/>
      </c>
      <c r="AZ65" s="1395" t="str">
        <f>IF(Table22[[#This Row],[LOQ_label]]="Y",Table22[[#This Row],[MRL individual commodity]],"")</f>
        <v/>
      </c>
      <c r="BA65" s="1396" t="s">
        <v>1159</v>
      </c>
      <c r="BB65" s="1411" t="str">
        <f>IF(Table22[[#This Row],[LOQ2]]&lt;0,MIN(AZ65:AZ410),"")</f>
        <v/>
      </c>
      <c r="BC65" s="1299"/>
      <c r="BD65" s="1306" t="str">
        <f>IF(Table22[[#This Row],[Chronic RA label]]="","N",IF(Table22[[#This Row],[Chronic RA label]]="LOQ","N",IF(Table22[[#This Row],[Chronic RA label]]="MRL","N","Y")))</f>
        <v>N</v>
      </c>
      <c r="BE65" s="1306" t="str">
        <f>IF(Table22[[#This Row],[Acute RA label]]="","N",IF(Table22[[#This Row],[Acute RA label]]="LOQ","N",IF(Table22[[#This Row],[Acute RA label]]="MRL","N","Y")))</f>
        <v>N</v>
      </c>
      <c r="BF65" s="1306" t="str">
        <f>IF(OR(Table22[[#This Row],[include commodity in Summary_input_values_chronic]]="Y",Table22[[#This Row],[include commodity in Summary_input_values_acute]]="Y"),"Y","N")</f>
        <v>N</v>
      </c>
      <c r="BG65" s="1299"/>
      <c r="BH65" s="1324"/>
    </row>
    <row r="66" spans="1:60" ht="12.75" customHeight="1" outlineLevel="1" x14ac:dyDescent="0.2">
      <c r="A66" s="130">
        <v>2</v>
      </c>
      <c r="B66" s="447">
        <v>160000</v>
      </c>
      <c r="C66" s="131" t="s">
        <v>221</v>
      </c>
      <c r="D66" s="862"/>
      <c r="E66" s="1218"/>
      <c r="F66" s="862"/>
      <c r="G66" s="863"/>
      <c r="H66" s="863"/>
      <c r="I66" s="863"/>
      <c r="J66" s="864"/>
      <c r="K66" s="865"/>
      <c r="L66" s="471"/>
      <c r="M66" s="471"/>
      <c r="N66" s="473"/>
      <c r="O66" s="474"/>
      <c r="P66" s="473"/>
      <c r="Q66" s="474"/>
      <c r="R66" s="473"/>
      <c r="S66" s="474"/>
      <c r="T66" s="886"/>
      <c r="U66" s="1415"/>
      <c r="V66" s="1380"/>
      <c r="W66" s="1381"/>
      <c r="X66" s="1381"/>
      <c r="Y66" s="1381"/>
      <c r="Z66" s="1382">
        <v>4</v>
      </c>
      <c r="AA66" s="1381" t="str">
        <f t="shared" si="0"/>
        <v/>
      </c>
      <c r="AB66" s="1381" t="str">
        <f>IF(Z66=A66,IF(AND(L66="N",Table22[[#This Row],[LOQ_label]]="Y"),AA66,$AA66*$Y66),"")</f>
        <v/>
      </c>
      <c r="AC66" s="1383" t="str">
        <f t="shared" si="1"/>
        <v/>
      </c>
      <c r="AD66" s="1383" t="str">
        <f>IF(Table22[[#This Row],[Median residue*CF*PeF]]&lt;&gt;"",Table22[[#This Row],[Median residue*CF*PeF]],Table22[[#This Row],[MRL*CF*PeF (chronic)]])</f>
        <v/>
      </c>
      <c r="AE66" s="1384">
        <f t="shared" si="2"/>
        <v>0</v>
      </c>
      <c r="AF66" s="1385" t="str">
        <f t="shared" si="3"/>
        <v/>
      </c>
      <c r="AG66" s="1385" t="str">
        <f t="shared" si="4"/>
        <v/>
      </c>
      <c r="AH66" s="1270" t="str">
        <f t="shared" si="5"/>
        <v/>
      </c>
      <c r="AI66" s="1386">
        <v>4</v>
      </c>
      <c r="AJ66" s="1387" t="str">
        <f t="shared" si="6"/>
        <v/>
      </c>
      <c r="AK66" s="1387" t="str">
        <f>IF(AI66=A66,IF(AND(L66="N",Table22[[#This Row],[LOQ_label]]="Y"),AJ66,$AJ66*$Y66),"")</f>
        <v/>
      </c>
      <c r="AL66" s="1388" t="str">
        <f t="shared" si="7"/>
        <v/>
      </c>
      <c r="AM66" s="1393" t="str">
        <f>IF(Table22[[#This Row],[Highest residue * CF*PF]]&lt;&gt;"",Table22[[#This Row],[Highest residue * CF*PF]],Table22[[#This Row],[MRL*CF*PF or MRL (if LOQ and not authorised) (acute RA)]])</f>
        <v/>
      </c>
      <c r="AN66" s="1390" t="str">
        <f t="shared" si="8"/>
        <v/>
      </c>
      <c r="AO66" s="1390" t="str">
        <f t="shared" si="9"/>
        <v/>
      </c>
      <c r="AP66" s="1404" t="str">
        <f t="shared" si="10"/>
        <v/>
      </c>
      <c r="AQ66" s="1388">
        <f t="shared" si="11"/>
        <v>0</v>
      </c>
      <c r="AR66" s="1388" t="str">
        <f t="shared" si="12"/>
        <v/>
      </c>
      <c r="AS66" s="1388" t="str">
        <f t="shared" si="13"/>
        <v/>
      </c>
      <c r="AT66" s="1388" t="str">
        <f t="shared" si="14"/>
        <v/>
      </c>
      <c r="AU66" s="1393" t="str">
        <f t="shared" si="15"/>
        <v/>
      </c>
      <c r="AV66" s="1388">
        <f t="shared" si="16"/>
        <v>0</v>
      </c>
      <c r="AW66" s="1390" t="str">
        <f t="shared" si="17"/>
        <v/>
      </c>
      <c r="AX66" s="1390" t="str">
        <f>IF(AND(AN66&lt;&gt;"",AY66&lt;&gt;""),"*","")</f>
        <v/>
      </c>
      <c r="AY66" s="1394" t="str">
        <f t="shared" si="19"/>
        <v/>
      </c>
      <c r="AZ66" s="1395">
        <f>IF(Table22[[#This Row],[LOQ_label]]="Y",Table22[[#This Row],[MRL individual commodity]],"")</f>
        <v>0</v>
      </c>
      <c r="BA66" s="1396" t="s">
        <v>1159</v>
      </c>
      <c r="BB66" s="1411" t="str">
        <f>IF(Table22[[#This Row],[LOQ2]]&lt;0,MIN(AZ66:AZ410),"")</f>
        <v/>
      </c>
      <c r="BC66" s="1299"/>
      <c r="BD66" s="1306" t="str">
        <f>IF(Table22[[#This Row],[Chronic RA label]]="","N",IF(Table22[[#This Row],[Chronic RA label]]="LOQ","N",IF(Table22[[#This Row],[Chronic RA label]]="MRL","N","Y")))</f>
        <v>N</v>
      </c>
      <c r="BE66" s="1306" t="str">
        <f>IF(Table22[[#This Row],[Acute RA label]]="","N",IF(Table22[[#This Row],[Acute RA label]]="LOQ","N",IF(Table22[[#This Row],[Acute RA label]]="MRL","N","Y")))</f>
        <v>N</v>
      </c>
      <c r="BF66" s="1306" t="str">
        <f>IF(OR(Table22[[#This Row],[include commodity in Summary_input_values_chronic]]="Y",Table22[[#This Row],[include commodity in Summary_input_values_acute]]="Y"),"Y","N")</f>
        <v>N</v>
      </c>
      <c r="BG66" s="1299"/>
      <c r="BH66" s="1324"/>
    </row>
    <row r="67" spans="1:60" ht="12.75" customHeight="1" outlineLevel="2" x14ac:dyDescent="0.2">
      <c r="A67" s="132">
        <v>3</v>
      </c>
      <c r="B67" s="448">
        <v>161000</v>
      </c>
      <c r="C67" s="3" t="s">
        <v>73</v>
      </c>
      <c r="D67" s="862"/>
      <c r="E67" s="1218"/>
      <c r="F67" s="862"/>
      <c r="G67" s="866"/>
      <c r="H67" s="863"/>
      <c r="I67" s="863"/>
      <c r="J67" s="864"/>
      <c r="K67" s="865"/>
      <c r="L67" s="471"/>
      <c r="M67" s="471"/>
      <c r="N67" s="473"/>
      <c r="O67" s="474"/>
      <c r="P67" s="473"/>
      <c r="Q67" s="474"/>
      <c r="R67" s="473"/>
      <c r="S67" s="474"/>
      <c r="T67" s="886"/>
      <c r="U67" s="1415"/>
      <c r="V67" s="1380"/>
      <c r="W67" s="1381"/>
      <c r="X67" s="1381"/>
      <c r="Y67" s="1381"/>
      <c r="Z67" s="1382">
        <v>4</v>
      </c>
      <c r="AA67" s="1381" t="str">
        <f t="shared" si="0"/>
        <v/>
      </c>
      <c r="AB67" s="1381" t="str">
        <f>IF(Z67=A67,IF(AND(L67="N",Table22[[#This Row],[LOQ_label]]="Y"),AA67,$AA67*$Y67),"")</f>
        <v/>
      </c>
      <c r="AC67" s="1383" t="str">
        <f t="shared" si="1"/>
        <v/>
      </c>
      <c r="AD67" s="1383" t="str">
        <f>IF(Table22[[#This Row],[Median residue*CF*PeF]]&lt;&gt;"",Table22[[#This Row],[Median residue*CF*PeF]],Table22[[#This Row],[MRL*CF*PeF (chronic)]])</f>
        <v/>
      </c>
      <c r="AE67" s="1384">
        <f t="shared" si="2"/>
        <v>0</v>
      </c>
      <c r="AF67" s="1385" t="str">
        <f t="shared" si="3"/>
        <v/>
      </c>
      <c r="AG67" s="1385" t="str">
        <f t="shared" si="4"/>
        <v/>
      </c>
      <c r="AH67" s="1270" t="str">
        <f t="shared" si="5"/>
        <v/>
      </c>
      <c r="AI67" s="1386">
        <v>4</v>
      </c>
      <c r="AJ67" s="1387" t="str">
        <f t="shared" si="6"/>
        <v/>
      </c>
      <c r="AK67" s="1387" t="str">
        <f>IF(AI67=A67,IF(AND(L67="N",Table22[[#This Row],[LOQ_label]]="Y"),AJ67,$AJ67*$Y67),"")</f>
        <v/>
      </c>
      <c r="AL67" s="1388" t="str">
        <f t="shared" si="7"/>
        <v/>
      </c>
      <c r="AM67" s="1393" t="str">
        <f>IF(Table22[[#This Row],[Highest residue * CF*PF]]&lt;&gt;"",Table22[[#This Row],[Highest residue * CF*PF]],Table22[[#This Row],[MRL*CF*PF or MRL (if LOQ and not authorised) (acute RA)]])</f>
        <v/>
      </c>
      <c r="AN67" s="1390" t="str">
        <f t="shared" si="8"/>
        <v/>
      </c>
      <c r="AO67" s="1390" t="str">
        <f t="shared" si="9"/>
        <v/>
      </c>
      <c r="AP67" s="1404" t="str">
        <f t="shared" si="10"/>
        <v/>
      </c>
      <c r="AQ67" s="1388">
        <f t="shared" si="11"/>
        <v>0</v>
      </c>
      <c r="AR67" s="1388" t="str">
        <f t="shared" si="12"/>
        <v/>
      </c>
      <c r="AS67" s="1388" t="str">
        <f t="shared" si="13"/>
        <v/>
      </c>
      <c r="AT67" s="1388" t="str">
        <f t="shared" si="14"/>
        <v/>
      </c>
      <c r="AU67" s="1393" t="str">
        <f t="shared" si="15"/>
        <v/>
      </c>
      <c r="AV67" s="1388">
        <f t="shared" si="16"/>
        <v>0</v>
      </c>
      <c r="AW67" s="1390" t="str">
        <f t="shared" si="17"/>
        <v/>
      </c>
      <c r="AX67" s="1390" t="str">
        <f>IF(AND(AN67&lt;&gt;"",AY67&lt;&gt;""),"*","")</f>
        <v/>
      </c>
      <c r="AY67" s="1394" t="str">
        <f t="shared" si="19"/>
        <v/>
      </c>
      <c r="AZ67" s="1395">
        <f>IF(Table22[[#This Row],[LOQ_label]]="Y",Table22[[#This Row],[MRL individual commodity]],"")</f>
        <v>0</v>
      </c>
      <c r="BA67" s="1396" t="s">
        <v>1159</v>
      </c>
      <c r="BB67" s="1411" t="str">
        <f>IF(Table22[[#This Row],[LOQ2]]&lt;0,MIN(AZ67:AZ410),"")</f>
        <v/>
      </c>
      <c r="BC67" s="1299"/>
      <c r="BD67" s="1306" t="str">
        <f>IF(Table22[[#This Row],[Chronic RA label]]="","N",IF(Table22[[#This Row],[Chronic RA label]]="LOQ","N",IF(Table22[[#This Row],[Chronic RA label]]="MRL","N","Y")))</f>
        <v>N</v>
      </c>
      <c r="BE67" s="1306" t="str">
        <f>IF(Table22[[#This Row],[Acute RA label]]="","N",IF(Table22[[#This Row],[Acute RA label]]="LOQ","N",IF(Table22[[#This Row],[Acute RA label]]="MRL","N","Y")))</f>
        <v>N</v>
      </c>
      <c r="BF67" s="1306" t="str">
        <f>IF(OR(Table22[[#This Row],[include commodity in Summary_input_values_chronic]]="Y",Table22[[#This Row],[include commodity in Summary_input_values_acute]]="Y"),"Y","N")</f>
        <v>N</v>
      </c>
      <c r="BG67" s="1299"/>
      <c r="BH67" s="1324"/>
    </row>
    <row r="68" spans="1:60" ht="12.75" customHeight="1" outlineLevel="3" x14ac:dyDescent="0.2">
      <c r="A68" s="39">
        <v>4</v>
      </c>
      <c r="B68" s="327">
        <v>161010</v>
      </c>
      <c r="C68" s="23" t="s">
        <v>67</v>
      </c>
      <c r="D68" s="867"/>
      <c r="E68" s="1219"/>
      <c r="F68" s="867"/>
      <c r="G68" s="869"/>
      <c r="H68" s="863"/>
      <c r="I68" s="868"/>
      <c r="J68" s="870"/>
      <c r="K68" s="865"/>
      <c r="L68" s="872"/>
      <c r="M68" s="872"/>
      <c r="N68" s="925" t="str">
        <f>IF(O68&lt;&gt;0,CONCATENATE(input_values!$AF68,input_values!$AG68,input_values!$AH68),"")</f>
        <v/>
      </c>
      <c r="O68" s="491">
        <f>IF($A$10="Refined calculation mode",Table22[[#This Row],[input for chronic (refined mode]],Table22[[#This Row],[input for chronic normal mode]])</f>
        <v>0</v>
      </c>
      <c r="P68" s="925" t="str">
        <f>IF(Q68&lt;&gt;0,CONCATENATE(input_values!$AN68,input_values!$AO68,input_values!$AP68),"")</f>
        <v/>
      </c>
      <c r="Q68" s="491">
        <f>IF($V$5=0,0,IF(OR($A$10="Refined calculation mode",Results!$B$62="Show results of IESTI calculation only for crops with GAPs under assessment"),Table22[[#This Row],[Input for IESTI (refined mode)]],Table22[[#This Row],[Input for IESTI normal mode]]))</f>
        <v>0</v>
      </c>
      <c r="R68" s="926" t="str">
        <f>IF(S68&lt;&gt;0,CONCATENATE(input_values!$AW68,input_values!$AX68,input_values!$AY68),"")</f>
        <v/>
      </c>
      <c r="S68" s="492">
        <f>IF($V$5=0,0,IF(OR($A$10="Refined calculation mode",Results!$B$62="Show results of IESTI calculation only for crops with GAPs under assessment"),Table22[[#This Row],[Input for IESTI new (refined mode)]],Table22[[#This Row],[Input for IESTI new normal mode]]))</f>
        <v>0</v>
      </c>
      <c r="T68" s="886"/>
      <c r="U68" s="1408">
        <f>Table22[[#This Row],[MRL/ proposed MRL /CXL
(mg/kg)]]</f>
        <v>0</v>
      </c>
      <c r="V68" s="1409" t="str">
        <f t="shared" ref="V68:V75" si="37">IF(ISBLANK(F68),"","Y")</f>
        <v/>
      </c>
      <c r="W68" s="1387">
        <f t="shared" ref="W68:W75" si="38">IF($G68&gt;0,$G68,1)</f>
        <v>1</v>
      </c>
      <c r="X68" s="1387">
        <f t="shared" ref="X68:X75" si="39">IF($H68&gt;0,$H68,1)</f>
        <v>1</v>
      </c>
      <c r="Y68" s="1387">
        <f t="shared" ref="Y68:Y75" si="40">W68*X68</f>
        <v>1</v>
      </c>
      <c r="Z68" s="1410">
        <v>4</v>
      </c>
      <c r="AA68" s="1387">
        <f t="shared" si="0"/>
        <v>0</v>
      </c>
      <c r="AB68" s="1387">
        <f>IF(Z68=A68,IF(AND(L68="N",Table22[[#This Row],[LOQ_label]]="Y"),AA68,$AA68*$Y68),"")</f>
        <v>0</v>
      </c>
      <c r="AC68" s="1393">
        <f t="shared" si="1"/>
        <v>0</v>
      </c>
      <c r="AD68" s="1393">
        <f>IF(Table22[[#This Row],[Median residue*CF*PeF]]&lt;&gt;"",Table22[[#This Row],[Median residue*CF*PeF]],Table22[[#This Row],[MRL*CF*PeF (chronic)]])</f>
        <v>0</v>
      </c>
      <c r="AE68" s="1393">
        <f t="shared" si="2"/>
        <v>0</v>
      </c>
      <c r="AF68" s="1390" t="str">
        <f t="shared" si="3"/>
        <v>MRL</v>
      </c>
      <c r="AG68" s="1390" t="str">
        <f t="shared" si="4"/>
        <v/>
      </c>
      <c r="AH68" s="1394" t="str">
        <f t="shared" si="5"/>
        <v/>
      </c>
      <c r="AI68" s="1386">
        <v>4</v>
      </c>
      <c r="AJ68" s="1387">
        <f t="shared" si="6"/>
        <v>0</v>
      </c>
      <c r="AK68" s="1387">
        <f>IF(AI68=A68,IF(AND(L68="N",Table22[[#This Row],[LOQ_label]]="Y"),AJ68,$AJ68*$Y68),"")</f>
        <v>0</v>
      </c>
      <c r="AL68" s="1388">
        <f t="shared" si="7"/>
        <v>0</v>
      </c>
      <c r="AM68" s="1393">
        <f>IF(Table22[[#This Row],[Highest residue * CF*PF]]&lt;&gt;"",Table22[[#This Row],[Highest residue * CF*PF]],Table22[[#This Row],[MRL*CF*PF or MRL (if LOQ and not authorised) (acute RA)]])</f>
        <v>0</v>
      </c>
      <c r="AN68" s="1390" t="str">
        <f t="shared" si="8"/>
        <v>MRL</v>
      </c>
      <c r="AO68" s="1390" t="str">
        <f t="shared" si="9"/>
        <v/>
      </c>
      <c r="AP68" s="1404" t="str">
        <f t="shared" si="10"/>
        <v/>
      </c>
      <c r="AQ68" s="1388">
        <f t="shared" si="11"/>
        <v>0</v>
      </c>
      <c r="AR68" s="1388" t="str">
        <f t="shared" si="12"/>
        <v/>
      </c>
      <c r="AS68" s="1388" t="str">
        <f t="shared" si="13"/>
        <v/>
      </c>
      <c r="AT68" s="1388" t="str">
        <f t="shared" si="14"/>
        <v/>
      </c>
      <c r="AU68" s="1393">
        <f t="shared" si="15"/>
        <v>0</v>
      </c>
      <c r="AV68" s="1388">
        <f t="shared" si="16"/>
        <v>0</v>
      </c>
      <c r="AW68" s="1390" t="str">
        <f t="shared" si="17"/>
        <v/>
      </c>
      <c r="AX68" s="1390" t="str">
        <f t="shared" ref="AX68:AX74" si="41">IF(AND(AW68&lt;&gt;"",AY68&lt;&gt;""),"*","")</f>
        <v/>
      </c>
      <c r="AY68" s="1394" t="str">
        <f t="shared" si="19"/>
        <v/>
      </c>
      <c r="AZ68" s="1395" t="str">
        <f>IF(Table22[[#This Row],[LOQ_label]]="Y",Table22[[#This Row],[MRL individual commodity]],"")</f>
        <v/>
      </c>
      <c r="BA68" s="1396" t="s">
        <v>1038</v>
      </c>
      <c r="BB68" s="1411" t="str">
        <f>IF(Table22[[#This Row],[LOQ2]]&lt;0,MIN(AZ68:AZ410),"")</f>
        <v/>
      </c>
      <c r="BC68" s="1299"/>
      <c r="BD68" s="1306" t="str">
        <f>IF(Table22[[#This Row],[Chronic RA label]]="","N",IF(Table22[[#This Row],[Chronic RA label]]="LOQ","N",IF(Table22[[#This Row],[Chronic RA label]]="MRL","N","Y")))</f>
        <v>N</v>
      </c>
      <c r="BE68" s="1306" t="str">
        <f>IF(Table22[[#This Row],[Acute RA label]]="","N",IF(Table22[[#This Row],[Acute RA label]]="LOQ","N",IF(Table22[[#This Row],[Acute RA label]]="MRL","N","Y")))</f>
        <v>N</v>
      </c>
      <c r="BF68" s="1306" t="str">
        <f>IF(OR(Table22[[#This Row],[include commodity in Summary_input_values_chronic]]="Y",Table22[[#This Row],[include commodity in Summary_input_values_acute]]="Y"),"Y","N")</f>
        <v>N</v>
      </c>
      <c r="BG68" s="1299"/>
      <c r="BH68" s="1324"/>
    </row>
    <row r="69" spans="1:60" ht="12.75" customHeight="1" outlineLevel="3" x14ac:dyDescent="0.2">
      <c r="A69" s="39">
        <v>4</v>
      </c>
      <c r="B69" s="327">
        <v>161020</v>
      </c>
      <c r="C69" s="23" t="s">
        <v>68</v>
      </c>
      <c r="D69" s="867"/>
      <c r="E69" s="1219"/>
      <c r="F69" s="867"/>
      <c r="G69" s="869"/>
      <c r="H69" s="863"/>
      <c r="I69" s="868"/>
      <c r="J69" s="870"/>
      <c r="K69" s="871"/>
      <c r="L69" s="872"/>
      <c r="M69" s="872"/>
      <c r="N69" s="925" t="str">
        <f>IF(O69&lt;&gt;0,CONCATENATE(input_values!$AF69,input_values!$AG69,input_values!$AH69),"")</f>
        <v/>
      </c>
      <c r="O69" s="491">
        <f>IF($A$10="Refined calculation mode",Table22[[#This Row],[input for chronic (refined mode]],Table22[[#This Row],[input for chronic normal mode]])</f>
        <v>0</v>
      </c>
      <c r="P69" s="925" t="str">
        <f>IF(Q69&lt;&gt;0,CONCATENATE(input_values!$AN69,input_values!$AO69,input_values!$AP69),"")</f>
        <v/>
      </c>
      <c r="Q69" s="491">
        <f>IF($V$5=0,0,IF(OR($A$10="Refined calculation mode",Results!$B$62="Show results of IESTI calculation only for crops with GAPs under assessment"),Table22[[#This Row],[Input for IESTI (refined mode)]],Table22[[#This Row],[Input for IESTI normal mode]]))</f>
        <v>0</v>
      </c>
      <c r="R69" s="926" t="str">
        <f>IF(S69&lt;&gt;0,CONCATENATE(input_values!$AW69,input_values!$AX69,input_values!$AY69),"")</f>
        <v/>
      </c>
      <c r="S69" s="492">
        <f>IF($V$5=0,0,IF(OR($A$10="Refined calculation mode",Results!$B$62="Show results of IESTI calculation only for crops with GAPs under assessment"),Table22[[#This Row],[Input for IESTI new (refined mode)]],Table22[[#This Row],[Input for IESTI new normal mode]]))</f>
        <v>0</v>
      </c>
      <c r="T69" s="886"/>
      <c r="U69" s="1408">
        <f>Table22[[#This Row],[MRL/ proposed MRL /CXL
(mg/kg)]]</f>
        <v>0</v>
      </c>
      <c r="V69" s="1409" t="str">
        <f t="shared" si="37"/>
        <v/>
      </c>
      <c r="W69" s="1387">
        <f t="shared" si="38"/>
        <v>1</v>
      </c>
      <c r="X69" s="1387">
        <f t="shared" si="39"/>
        <v>1</v>
      </c>
      <c r="Y69" s="1387">
        <f t="shared" si="40"/>
        <v>1</v>
      </c>
      <c r="Z69" s="1410">
        <v>4</v>
      </c>
      <c r="AA69" s="1387">
        <f t="shared" si="0"/>
        <v>0</v>
      </c>
      <c r="AB69" s="1387">
        <f>IF(Z69=A69,IF(AND(L69="N",Table22[[#This Row],[LOQ_label]]="Y"),AA69,$AA69*$Y69),"")</f>
        <v>0</v>
      </c>
      <c r="AC69" s="1393">
        <f t="shared" si="1"/>
        <v>0</v>
      </c>
      <c r="AD69" s="1393">
        <f>IF(Table22[[#This Row],[Median residue*CF*PeF]]&lt;&gt;"",Table22[[#This Row],[Median residue*CF*PeF]],Table22[[#This Row],[MRL*CF*PeF (chronic)]])</f>
        <v>0</v>
      </c>
      <c r="AE69" s="1393">
        <f t="shared" si="2"/>
        <v>0</v>
      </c>
      <c r="AF69" s="1390" t="str">
        <f t="shared" si="3"/>
        <v>MRL</v>
      </c>
      <c r="AG69" s="1390" t="str">
        <f t="shared" si="4"/>
        <v/>
      </c>
      <c r="AH69" s="1394" t="str">
        <f t="shared" si="5"/>
        <v/>
      </c>
      <c r="AI69" s="1386">
        <v>4</v>
      </c>
      <c r="AJ69" s="1387">
        <f t="shared" si="6"/>
        <v>0</v>
      </c>
      <c r="AK69" s="1387">
        <f>IF(AI69=A69,IF(AND(L69="N",Table22[[#This Row],[LOQ_label]]="Y"),AJ69,$AJ69*$Y69),"")</f>
        <v>0</v>
      </c>
      <c r="AL69" s="1388">
        <f t="shared" si="7"/>
        <v>0</v>
      </c>
      <c r="AM69" s="1393">
        <f>IF(Table22[[#This Row],[Highest residue * CF*PF]]&lt;&gt;"",Table22[[#This Row],[Highest residue * CF*PF]],Table22[[#This Row],[MRL*CF*PF or MRL (if LOQ and not authorised) (acute RA)]])</f>
        <v>0</v>
      </c>
      <c r="AN69" s="1390" t="str">
        <f t="shared" si="8"/>
        <v>MRL</v>
      </c>
      <c r="AO69" s="1390" t="str">
        <f t="shared" si="9"/>
        <v/>
      </c>
      <c r="AP69" s="1404" t="str">
        <f t="shared" si="10"/>
        <v/>
      </c>
      <c r="AQ69" s="1388">
        <f t="shared" si="11"/>
        <v>0</v>
      </c>
      <c r="AR69" s="1388" t="str">
        <f t="shared" si="12"/>
        <v/>
      </c>
      <c r="AS69" s="1388" t="str">
        <f t="shared" si="13"/>
        <v/>
      </c>
      <c r="AT69" s="1388" t="str">
        <f t="shared" si="14"/>
        <v/>
      </c>
      <c r="AU69" s="1393">
        <f t="shared" si="15"/>
        <v>0</v>
      </c>
      <c r="AV69" s="1388">
        <f t="shared" si="16"/>
        <v>0</v>
      </c>
      <c r="AW69" s="1390" t="str">
        <f t="shared" si="17"/>
        <v/>
      </c>
      <c r="AX69" s="1390" t="str">
        <f t="shared" si="41"/>
        <v/>
      </c>
      <c r="AY69" s="1394" t="str">
        <f t="shared" si="19"/>
        <v/>
      </c>
      <c r="AZ69" s="1395" t="str">
        <f>IF(Table22[[#This Row],[LOQ_label]]="Y",Table22[[#This Row],[MRL individual commodity]],"")</f>
        <v/>
      </c>
      <c r="BA69" s="1449" t="s">
        <v>654</v>
      </c>
      <c r="BB69" s="1411" t="str">
        <f>IF(Table22[[#This Row],[LOQ2]]&lt;0,MIN(AZ69:AZ410),"")</f>
        <v/>
      </c>
      <c r="BC69" s="1299"/>
      <c r="BD69" s="1306" t="str">
        <f>IF(Table22[[#This Row],[Chronic RA label]]="","N",IF(Table22[[#This Row],[Chronic RA label]]="LOQ","N",IF(Table22[[#This Row],[Chronic RA label]]="MRL","N","Y")))</f>
        <v>N</v>
      </c>
      <c r="BE69" s="1306" t="str">
        <f>IF(Table22[[#This Row],[Acute RA label]]="","N",IF(Table22[[#This Row],[Acute RA label]]="LOQ","N",IF(Table22[[#This Row],[Acute RA label]]="MRL","N","Y")))</f>
        <v>N</v>
      </c>
      <c r="BF69" s="1306" t="str">
        <f>IF(OR(Table22[[#This Row],[include commodity in Summary_input_values_chronic]]="Y",Table22[[#This Row],[include commodity in Summary_input_values_acute]]="Y"),"Y","N")</f>
        <v>N</v>
      </c>
      <c r="BG69" s="1299"/>
      <c r="BH69" s="1324"/>
    </row>
    <row r="70" spans="1:60" ht="12.75" customHeight="1" outlineLevel="3" x14ac:dyDescent="0.2">
      <c r="A70" s="39">
        <v>4</v>
      </c>
      <c r="B70" s="327">
        <v>161030</v>
      </c>
      <c r="C70" s="23" t="s">
        <v>69</v>
      </c>
      <c r="D70" s="867"/>
      <c r="E70" s="1219"/>
      <c r="F70" s="867"/>
      <c r="G70" s="869"/>
      <c r="H70" s="863"/>
      <c r="I70" s="868"/>
      <c r="J70" s="870"/>
      <c r="K70" s="865"/>
      <c r="L70" s="872"/>
      <c r="M70" s="872"/>
      <c r="N70" s="925" t="str">
        <f>IF(O70&lt;&gt;0,CONCATENATE(input_values!$AF70,input_values!$AG70,input_values!$AH70),"")</f>
        <v/>
      </c>
      <c r="O70" s="491">
        <f>IF($A$10="Refined calculation mode",Table22[[#This Row],[input for chronic (refined mode]],Table22[[#This Row],[input for chronic normal mode]])</f>
        <v>0</v>
      </c>
      <c r="P70" s="925" t="str">
        <f>IF(Q70&lt;&gt;0,CONCATENATE(input_values!$AN70,input_values!$AO70,input_values!$AP70),"")</f>
        <v/>
      </c>
      <c r="Q70" s="491">
        <f>IF($V$5=0,0,IF(OR($A$10="Refined calculation mode",Results!$B$62="Show results of IESTI calculation only for crops with GAPs under assessment"),Table22[[#This Row],[Input for IESTI (refined mode)]],Table22[[#This Row],[Input for IESTI normal mode]]))</f>
        <v>0</v>
      </c>
      <c r="R70" s="926" t="str">
        <f>IF(S70&lt;&gt;0,CONCATENATE(input_values!$AW70,input_values!$AX70,input_values!$AY70),"")</f>
        <v/>
      </c>
      <c r="S70" s="492">
        <f>IF($V$5=0,0,IF(OR($A$10="Refined calculation mode",Results!$B$62="Show results of IESTI calculation only for crops with GAPs under assessment"),Table22[[#This Row],[Input for IESTI new (refined mode)]],Table22[[#This Row],[Input for IESTI new normal mode]]))</f>
        <v>0</v>
      </c>
      <c r="T70" s="886"/>
      <c r="U70" s="1408">
        <f>Table22[[#This Row],[MRL/ proposed MRL /CXL
(mg/kg)]]</f>
        <v>0</v>
      </c>
      <c r="V70" s="1409" t="str">
        <f t="shared" si="37"/>
        <v/>
      </c>
      <c r="W70" s="1387">
        <f t="shared" si="38"/>
        <v>1</v>
      </c>
      <c r="X70" s="1387">
        <f t="shared" si="39"/>
        <v>1</v>
      </c>
      <c r="Y70" s="1387">
        <f t="shared" si="40"/>
        <v>1</v>
      </c>
      <c r="Z70" s="1410">
        <v>4</v>
      </c>
      <c r="AA70" s="1387">
        <f t="shared" si="0"/>
        <v>0</v>
      </c>
      <c r="AB70" s="1387">
        <f>IF(Z70=A70,IF(AND(L70="N",Table22[[#This Row],[LOQ_label]]="Y"),AA70,$AA70*$Y70),"")</f>
        <v>0</v>
      </c>
      <c r="AC70" s="1393">
        <f t="shared" si="1"/>
        <v>0</v>
      </c>
      <c r="AD70" s="1393">
        <f>IF(Table22[[#This Row],[Median residue*CF*PeF]]&lt;&gt;"",Table22[[#This Row],[Median residue*CF*PeF]],Table22[[#This Row],[MRL*CF*PeF (chronic)]])</f>
        <v>0</v>
      </c>
      <c r="AE70" s="1393">
        <f t="shared" si="2"/>
        <v>0</v>
      </c>
      <c r="AF70" s="1390" t="str">
        <f t="shared" si="3"/>
        <v>MRL</v>
      </c>
      <c r="AG70" s="1390" t="str">
        <f t="shared" si="4"/>
        <v/>
      </c>
      <c r="AH70" s="1394" t="str">
        <f t="shared" si="5"/>
        <v/>
      </c>
      <c r="AI70" s="1386">
        <v>4</v>
      </c>
      <c r="AJ70" s="1387">
        <f t="shared" si="6"/>
        <v>0</v>
      </c>
      <c r="AK70" s="1387">
        <f>IF(AI70=A70,IF(AND(L70="N",Table22[[#This Row],[LOQ_label]]="Y"),AJ70,$AJ70*$Y70),"")</f>
        <v>0</v>
      </c>
      <c r="AL70" s="1388">
        <f t="shared" si="7"/>
        <v>0</v>
      </c>
      <c r="AM70" s="1393">
        <f>IF(Table22[[#This Row],[Highest residue * CF*PF]]&lt;&gt;"",Table22[[#This Row],[Highest residue * CF*PF]],Table22[[#This Row],[MRL*CF*PF or MRL (if LOQ and not authorised) (acute RA)]])</f>
        <v>0</v>
      </c>
      <c r="AN70" s="1390" t="str">
        <f t="shared" si="8"/>
        <v>MRL</v>
      </c>
      <c r="AO70" s="1390" t="str">
        <f t="shared" si="9"/>
        <v/>
      </c>
      <c r="AP70" s="1404" t="str">
        <f t="shared" si="10"/>
        <v/>
      </c>
      <c r="AQ70" s="1388">
        <f t="shared" si="11"/>
        <v>0</v>
      </c>
      <c r="AR70" s="1388" t="str">
        <f t="shared" si="12"/>
        <v/>
      </c>
      <c r="AS70" s="1388" t="str">
        <f t="shared" si="13"/>
        <v/>
      </c>
      <c r="AT70" s="1388" t="str">
        <f t="shared" si="14"/>
        <v/>
      </c>
      <c r="AU70" s="1393">
        <f t="shared" si="15"/>
        <v>0</v>
      </c>
      <c r="AV70" s="1388">
        <f t="shared" si="16"/>
        <v>0</v>
      </c>
      <c r="AW70" s="1390" t="str">
        <f t="shared" si="17"/>
        <v/>
      </c>
      <c r="AX70" s="1390" t="str">
        <f t="shared" si="41"/>
        <v/>
      </c>
      <c r="AY70" s="1394" t="str">
        <f t="shared" si="19"/>
        <v/>
      </c>
      <c r="AZ70" s="1395" t="str">
        <f>IF(Table22[[#This Row],[LOQ_label]]="Y",Table22[[#This Row],[MRL individual commodity]],"")</f>
        <v/>
      </c>
      <c r="BA70" s="1396" t="s">
        <v>1038</v>
      </c>
      <c r="BB70" s="1411" t="str">
        <f>IF(Table22[[#This Row],[LOQ2]]&lt;0,MIN(AZ70:AZ410),"")</f>
        <v/>
      </c>
      <c r="BC70" s="1299"/>
      <c r="BD70" s="1306" t="str">
        <f>IF(Table22[[#This Row],[Chronic RA label]]="","N",IF(Table22[[#This Row],[Chronic RA label]]="LOQ","N",IF(Table22[[#This Row],[Chronic RA label]]="MRL","N","Y")))</f>
        <v>N</v>
      </c>
      <c r="BE70" s="1306" t="str">
        <f>IF(Table22[[#This Row],[Acute RA label]]="","N",IF(Table22[[#This Row],[Acute RA label]]="LOQ","N",IF(Table22[[#This Row],[Acute RA label]]="MRL","N","Y")))</f>
        <v>N</v>
      </c>
      <c r="BF70" s="1306" t="str">
        <f>IF(OR(Table22[[#This Row],[include commodity in Summary_input_values_chronic]]="Y",Table22[[#This Row],[include commodity in Summary_input_values_acute]]="Y"),"Y","N")</f>
        <v>N</v>
      </c>
      <c r="BG70" s="1299"/>
      <c r="BH70" s="1324"/>
    </row>
    <row r="71" spans="1:60" ht="12.75" customHeight="1" outlineLevel="3" x14ac:dyDescent="0.2">
      <c r="A71" s="39">
        <v>4</v>
      </c>
      <c r="B71" s="327">
        <v>161040</v>
      </c>
      <c r="C71" s="23" t="s">
        <v>70</v>
      </c>
      <c r="D71" s="867"/>
      <c r="E71" s="1219"/>
      <c r="F71" s="867"/>
      <c r="G71" s="869"/>
      <c r="H71" s="863"/>
      <c r="I71" s="868"/>
      <c r="J71" s="870"/>
      <c r="K71" s="865"/>
      <c r="L71" s="872"/>
      <c r="M71" s="872"/>
      <c r="N71" s="925" t="str">
        <f>IF(O71&lt;&gt;0,CONCATENATE(input_values!$AF71,input_values!$AG71,input_values!$AH71),"")</f>
        <v/>
      </c>
      <c r="O71" s="491">
        <f>IF($A$10="Refined calculation mode",Table22[[#This Row],[input for chronic (refined mode]],Table22[[#This Row],[input for chronic normal mode]])</f>
        <v>0</v>
      </c>
      <c r="P71" s="925" t="str">
        <f>IF(Q71&lt;&gt;0,CONCATENATE(input_values!$AN71,input_values!$AO71,input_values!$AP71),"")</f>
        <v/>
      </c>
      <c r="Q71" s="491">
        <f>IF($V$5=0,0,IF(OR($A$10="Refined calculation mode",Results!$B$62="Show results of IESTI calculation only for crops with GAPs under assessment"),Table22[[#This Row],[Input for IESTI (refined mode)]],Table22[[#This Row],[Input for IESTI normal mode]]))</f>
        <v>0</v>
      </c>
      <c r="R71" s="926" t="str">
        <f>IF(S71&lt;&gt;0,CONCATENATE(input_values!$AW71,input_values!$AX71,input_values!$AY71),"")</f>
        <v/>
      </c>
      <c r="S71" s="492">
        <f>IF($V$5=0,0,IF(OR($A$10="Refined calculation mode",Results!$B$62="Show results of IESTI calculation only for crops with GAPs under assessment"),Table22[[#This Row],[Input for IESTI new (refined mode)]],Table22[[#This Row],[Input for IESTI new normal mode]]))</f>
        <v>0</v>
      </c>
      <c r="T71" s="886"/>
      <c r="U71" s="1408">
        <f>Table22[[#This Row],[MRL/ proposed MRL /CXL
(mg/kg)]]</f>
        <v>0</v>
      </c>
      <c r="V71" s="1409" t="str">
        <f t="shared" si="37"/>
        <v/>
      </c>
      <c r="W71" s="1387">
        <f t="shared" si="38"/>
        <v>1</v>
      </c>
      <c r="X71" s="1387">
        <f t="shared" si="39"/>
        <v>1</v>
      </c>
      <c r="Y71" s="1387">
        <f t="shared" si="40"/>
        <v>1</v>
      </c>
      <c r="Z71" s="1410">
        <v>4</v>
      </c>
      <c r="AA71" s="1387">
        <f t="shared" si="0"/>
        <v>0</v>
      </c>
      <c r="AB71" s="1387">
        <f>IF(Z71=A71,IF(AND(L71="N",Table22[[#This Row],[LOQ_label]]="Y"),AA71,$AA71*$Y71),"")</f>
        <v>0</v>
      </c>
      <c r="AC71" s="1393">
        <f t="shared" si="1"/>
        <v>0</v>
      </c>
      <c r="AD71" s="1393">
        <f>IF(Table22[[#This Row],[Median residue*CF*PeF]]&lt;&gt;"",Table22[[#This Row],[Median residue*CF*PeF]],Table22[[#This Row],[MRL*CF*PeF (chronic)]])</f>
        <v>0</v>
      </c>
      <c r="AE71" s="1393">
        <f t="shared" si="2"/>
        <v>0</v>
      </c>
      <c r="AF71" s="1390" t="str">
        <f t="shared" si="3"/>
        <v>MRL</v>
      </c>
      <c r="AG71" s="1390" t="str">
        <f t="shared" si="4"/>
        <v/>
      </c>
      <c r="AH71" s="1394" t="str">
        <f t="shared" si="5"/>
        <v/>
      </c>
      <c r="AI71" s="1386">
        <v>4</v>
      </c>
      <c r="AJ71" s="1387">
        <f t="shared" si="6"/>
        <v>0</v>
      </c>
      <c r="AK71" s="1387">
        <f>IF(AI71=A71,IF(AND(L71="N",Table22[[#This Row],[LOQ_label]]="Y"),AJ71,$AJ71*$Y71),"")</f>
        <v>0</v>
      </c>
      <c r="AL71" s="1388">
        <f t="shared" si="7"/>
        <v>0</v>
      </c>
      <c r="AM71" s="1393">
        <f>IF(Table22[[#This Row],[Highest residue * CF*PF]]&lt;&gt;"",Table22[[#This Row],[Highest residue * CF*PF]],Table22[[#This Row],[MRL*CF*PF or MRL (if LOQ and not authorised) (acute RA)]])</f>
        <v>0</v>
      </c>
      <c r="AN71" s="1390" t="str">
        <f t="shared" si="8"/>
        <v>MRL</v>
      </c>
      <c r="AO71" s="1390" t="str">
        <f t="shared" si="9"/>
        <v/>
      </c>
      <c r="AP71" s="1404" t="str">
        <f t="shared" si="10"/>
        <v/>
      </c>
      <c r="AQ71" s="1388">
        <f t="shared" si="11"/>
        <v>0</v>
      </c>
      <c r="AR71" s="1388" t="str">
        <f t="shared" si="12"/>
        <v/>
      </c>
      <c r="AS71" s="1388" t="str">
        <f t="shared" si="13"/>
        <v/>
      </c>
      <c r="AT71" s="1388" t="str">
        <f t="shared" si="14"/>
        <v/>
      </c>
      <c r="AU71" s="1393">
        <f t="shared" si="15"/>
        <v>0</v>
      </c>
      <c r="AV71" s="1388">
        <f t="shared" si="16"/>
        <v>0</v>
      </c>
      <c r="AW71" s="1390" t="str">
        <f t="shared" si="17"/>
        <v/>
      </c>
      <c r="AX71" s="1390" t="str">
        <f t="shared" si="41"/>
        <v/>
      </c>
      <c r="AY71" s="1394" t="str">
        <f t="shared" si="19"/>
        <v/>
      </c>
      <c r="AZ71" s="1395" t="str">
        <f>IF(Table22[[#This Row],[LOQ_label]]="Y",Table22[[#This Row],[MRL individual commodity]],"")</f>
        <v/>
      </c>
      <c r="BA71" s="1396" t="s">
        <v>1038</v>
      </c>
      <c r="BB71" s="1411" t="str">
        <f>IF(Table22[[#This Row],[LOQ2]]&lt;0,MIN(AZ71:AZ410),"")</f>
        <v/>
      </c>
      <c r="BC71" s="1299"/>
      <c r="BD71" s="1306" t="str">
        <f>IF(Table22[[#This Row],[Chronic RA label]]="","N",IF(Table22[[#This Row],[Chronic RA label]]="LOQ","N",IF(Table22[[#This Row],[Chronic RA label]]="MRL","N","Y")))</f>
        <v>N</v>
      </c>
      <c r="BE71" s="1306" t="str">
        <f>IF(Table22[[#This Row],[Acute RA label]]="","N",IF(Table22[[#This Row],[Acute RA label]]="LOQ","N",IF(Table22[[#This Row],[Acute RA label]]="MRL","N","Y")))</f>
        <v>N</v>
      </c>
      <c r="BF71" s="1306" t="str">
        <f>IF(OR(Table22[[#This Row],[include commodity in Summary_input_values_chronic]]="Y",Table22[[#This Row],[include commodity in Summary_input_values_acute]]="Y"),"Y","N")</f>
        <v>N</v>
      </c>
      <c r="BG71" s="1299"/>
      <c r="BH71" s="1324"/>
    </row>
    <row r="72" spans="1:60" ht="12.75" customHeight="1" outlineLevel="3" x14ac:dyDescent="0.2">
      <c r="A72" s="39">
        <v>4</v>
      </c>
      <c r="B72" s="327">
        <v>161050</v>
      </c>
      <c r="C72" s="23" t="s">
        <v>689</v>
      </c>
      <c r="D72" s="867"/>
      <c r="E72" s="1219"/>
      <c r="F72" s="867"/>
      <c r="G72" s="869"/>
      <c r="H72" s="863"/>
      <c r="I72" s="868"/>
      <c r="J72" s="870"/>
      <c r="K72" s="871"/>
      <c r="L72" s="872"/>
      <c r="M72" s="872"/>
      <c r="N72" s="925" t="str">
        <f>IF(O72&lt;&gt;0,CONCATENATE(input_values!$AF72,input_values!$AG72,input_values!$AH72),"")</f>
        <v/>
      </c>
      <c r="O72" s="491">
        <f>IF($A$10="Refined calculation mode",Table22[[#This Row],[input for chronic (refined mode]],Table22[[#This Row],[input for chronic normal mode]])</f>
        <v>0</v>
      </c>
      <c r="P72" s="925" t="str">
        <f>IF(Q72&lt;&gt;0,CONCATENATE(input_values!$AN72,input_values!$AO72,input_values!$AP72),"")</f>
        <v/>
      </c>
      <c r="Q72" s="491">
        <f>IF($V$5=0,0,IF(OR($A$10="Refined calculation mode",Results!$B$62="Show results of IESTI calculation only for crops with GAPs under assessment"),Table22[[#This Row],[Input for IESTI (refined mode)]],Table22[[#This Row],[Input for IESTI normal mode]]))</f>
        <v>0</v>
      </c>
      <c r="R72" s="926" t="str">
        <f>IF(S72&lt;&gt;0,CONCATENATE(input_values!$AW72,input_values!$AX72,input_values!$AY72),"")</f>
        <v/>
      </c>
      <c r="S72" s="492">
        <f>IF($V$5=0,0,IF(OR($A$10="Refined calculation mode",Results!$B$62="Show results of IESTI calculation only for crops with GAPs under assessment"),Table22[[#This Row],[Input for IESTI new (refined mode)]],Table22[[#This Row],[Input for IESTI new normal mode]]))</f>
        <v>0</v>
      </c>
      <c r="T72" s="886"/>
      <c r="U72" s="1408">
        <f>Table22[[#This Row],[MRL/ proposed MRL /CXL
(mg/kg)]]</f>
        <v>0</v>
      </c>
      <c r="V72" s="1409" t="str">
        <f t="shared" si="37"/>
        <v/>
      </c>
      <c r="W72" s="1387">
        <f t="shared" si="38"/>
        <v>1</v>
      </c>
      <c r="X72" s="1387">
        <f t="shared" si="39"/>
        <v>1</v>
      </c>
      <c r="Y72" s="1387">
        <f t="shared" si="40"/>
        <v>1</v>
      </c>
      <c r="Z72" s="1410">
        <v>4</v>
      </c>
      <c r="AA72" s="1387">
        <f t="shared" si="0"/>
        <v>0</v>
      </c>
      <c r="AB72" s="1387">
        <f>IF(Z72=A72,IF(AND(L72="N",Table22[[#This Row],[LOQ_label]]="Y"),AA72,$AA72*$Y72),"")</f>
        <v>0</v>
      </c>
      <c r="AC72" s="1393">
        <f t="shared" si="1"/>
        <v>0</v>
      </c>
      <c r="AD72" s="1393">
        <f>IF(Table22[[#This Row],[Median residue*CF*PeF]]&lt;&gt;"",Table22[[#This Row],[Median residue*CF*PeF]],Table22[[#This Row],[MRL*CF*PeF (chronic)]])</f>
        <v>0</v>
      </c>
      <c r="AE72" s="1393">
        <f t="shared" si="2"/>
        <v>0</v>
      </c>
      <c r="AF72" s="1390" t="str">
        <f t="shared" si="3"/>
        <v>MRL</v>
      </c>
      <c r="AG72" s="1390" t="str">
        <f t="shared" si="4"/>
        <v/>
      </c>
      <c r="AH72" s="1394" t="str">
        <f t="shared" si="5"/>
        <v/>
      </c>
      <c r="AI72" s="1386">
        <v>4</v>
      </c>
      <c r="AJ72" s="1387">
        <f t="shared" si="6"/>
        <v>0</v>
      </c>
      <c r="AK72" s="1387">
        <f>IF(AI72=A72,IF(AND(L72="N",Table22[[#This Row],[LOQ_label]]="Y"),AJ72,$AJ72*$Y72),"")</f>
        <v>0</v>
      </c>
      <c r="AL72" s="1388">
        <f t="shared" si="7"/>
        <v>0</v>
      </c>
      <c r="AM72" s="1393">
        <f>IF(Table22[[#This Row],[Highest residue * CF*PF]]&lt;&gt;"",Table22[[#This Row],[Highest residue * CF*PF]],Table22[[#This Row],[MRL*CF*PF or MRL (if LOQ and not authorised) (acute RA)]])</f>
        <v>0</v>
      </c>
      <c r="AN72" s="1390" t="str">
        <f t="shared" si="8"/>
        <v>MRL</v>
      </c>
      <c r="AO72" s="1390" t="str">
        <f t="shared" si="9"/>
        <v/>
      </c>
      <c r="AP72" s="1404" t="str">
        <f t="shared" si="10"/>
        <v/>
      </c>
      <c r="AQ72" s="1388">
        <f t="shared" si="11"/>
        <v>0</v>
      </c>
      <c r="AR72" s="1388" t="str">
        <f t="shared" si="12"/>
        <v/>
      </c>
      <c r="AS72" s="1388" t="str">
        <f t="shared" si="13"/>
        <v/>
      </c>
      <c r="AT72" s="1388" t="str">
        <f t="shared" si="14"/>
        <v/>
      </c>
      <c r="AU72" s="1393">
        <f t="shared" si="15"/>
        <v>0</v>
      </c>
      <c r="AV72" s="1388">
        <f t="shared" si="16"/>
        <v>0</v>
      </c>
      <c r="AW72" s="1390" t="str">
        <f t="shared" si="17"/>
        <v/>
      </c>
      <c r="AX72" s="1390" t="str">
        <f t="shared" si="41"/>
        <v/>
      </c>
      <c r="AY72" s="1394" t="str">
        <f t="shared" si="19"/>
        <v/>
      </c>
      <c r="AZ72" s="1395" t="str">
        <f>IF(Table22[[#This Row],[LOQ_label]]="Y",Table22[[#This Row],[MRL individual commodity]],"")</f>
        <v/>
      </c>
      <c r="BA72" s="1449" t="s">
        <v>654</v>
      </c>
      <c r="BB72" s="1411" t="str">
        <f>IF(Table22[[#This Row],[LOQ2]]&lt;0,MIN(AZ72:AZ410),"")</f>
        <v/>
      </c>
      <c r="BC72" s="1299"/>
      <c r="BD72" s="1306" t="str">
        <f>IF(Table22[[#This Row],[Chronic RA label]]="","N",IF(Table22[[#This Row],[Chronic RA label]]="LOQ","N",IF(Table22[[#This Row],[Chronic RA label]]="MRL","N","Y")))</f>
        <v>N</v>
      </c>
      <c r="BE72" s="1306" t="str">
        <f>IF(Table22[[#This Row],[Acute RA label]]="","N",IF(Table22[[#This Row],[Acute RA label]]="LOQ","N",IF(Table22[[#This Row],[Acute RA label]]="MRL","N","Y")))</f>
        <v>N</v>
      </c>
      <c r="BF72" s="1306" t="str">
        <f>IF(OR(Table22[[#This Row],[include commodity in Summary_input_values_chronic]]="Y",Table22[[#This Row],[include commodity in Summary_input_values_acute]]="Y"),"Y","N")</f>
        <v>N</v>
      </c>
      <c r="BG72" s="1299"/>
      <c r="BH72" s="1324"/>
    </row>
    <row r="73" spans="1:60" ht="12.75" customHeight="1" outlineLevel="3" x14ac:dyDescent="0.2">
      <c r="A73" s="39">
        <v>4</v>
      </c>
      <c r="B73" s="327">
        <v>161060</v>
      </c>
      <c r="C73" s="23" t="s">
        <v>690</v>
      </c>
      <c r="D73" s="867"/>
      <c r="E73" s="1219"/>
      <c r="F73" s="867"/>
      <c r="G73" s="869"/>
      <c r="H73" s="863"/>
      <c r="I73" s="868"/>
      <c r="J73" s="870"/>
      <c r="K73" s="871"/>
      <c r="L73" s="872"/>
      <c r="M73" s="872"/>
      <c r="N73" s="925" t="str">
        <f>IF(O73&lt;&gt;0,CONCATENATE(input_values!$AF73,input_values!$AG73,input_values!$AH73),"")</f>
        <v/>
      </c>
      <c r="O73" s="491">
        <f>IF($A$10="Refined calculation mode",Table22[[#This Row],[input for chronic (refined mode]],Table22[[#This Row],[input for chronic normal mode]])</f>
        <v>0</v>
      </c>
      <c r="P73" s="925" t="str">
        <f>IF(Q73&lt;&gt;0,CONCATENATE(input_values!$AN73,input_values!$AO73,input_values!$AP73),"")</f>
        <v/>
      </c>
      <c r="Q73" s="491">
        <f>IF($V$5=0,0,IF(OR($A$10="Refined calculation mode",Results!$B$62="Show results of IESTI calculation only for crops with GAPs under assessment"),Table22[[#This Row],[Input for IESTI (refined mode)]],Table22[[#This Row],[Input for IESTI normal mode]]))</f>
        <v>0</v>
      </c>
      <c r="R73" s="926" t="str">
        <f>IF(S73&lt;&gt;0,CONCATENATE(input_values!$AW73,input_values!$AX73,input_values!$AY73),"")</f>
        <v/>
      </c>
      <c r="S73" s="492">
        <f>IF($V$5=0,0,IF(OR($A$10="Refined calculation mode",Results!$B$62="Show results of IESTI calculation only for crops with GAPs under assessment"),Table22[[#This Row],[Input for IESTI new (refined mode)]],Table22[[#This Row],[Input for IESTI new normal mode]]))</f>
        <v>0</v>
      </c>
      <c r="T73" s="886"/>
      <c r="U73" s="1408">
        <f>Table22[[#This Row],[MRL/ proposed MRL /CXL
(mg/kg)]]</f>
        <v>0</v>
      </c>
      <c r="V73" s="1409" t="str">
        <f t="shared" si="37"/>
        <v/>
      </c>
      <c r="W73" s="1387">
        <f t="shared" si="38"/>
        <v>1</v>
      </c>
      <c r="X73" s="1387">
        <f t="shared" si="39"/>
        <v>1</v>
      </c>
      <c r="Y73" s="1387">
        <f t="shared" si="40"/>
        <v>1</v>
      </c>
      <c r="Z73" s="1410">
        <v>4</v>
      </c>
      <c r="AA73" s="1387">
        <f t="shared" si="0"/>
        <v>0</v>
      </c>
      <c r="AB73" s="1387">
        <f>IF(Z73=A73,IF(AND(L73="N",Table22[[#This Row],[LOQ_label]]="Y"),AA73,$AA73*$Y73),"")</f>
        <v>0</v>
      </c>
      <c r="AC73" s="1393">
        <f t="shared" si="1"/>
        <v>0</v>
      </c>
      <c r="AD73" s="1393">
        <f>IF(Table22[[#This Row],[Median residue*CF*PeF]]&lt;&gt;"",Table22[[#This Row],[Median residue*CF*PeF]],Table22[[#This Row],[MRL*CF*PeF (chronic)]])</f>
        <v>0</v>
      </c>
      <c r="AE73" s="1393">
        <f t="shared" si="2"/>
        <v>0</v>
      </c>
      <c r="AF73" s="1390" t="str">
        <f t="shared" si="3"/>
        <v>MRL</v>
      </c>
      <c r="AG73" s="1390" t="str">
        <f t="shared" si="4"/>
        <v/>
      </c>
      <c r="AH73" s="1394" t="str">
        <f t="shared" si="5"/>
        <v/>
      </c>
      <c r="AI73" s="1386">
        <v>4</v>
      </c>
      <c r="AJ73" s="1387">
        <f t="shared" si="6"/>
        <v>0</v>
      </c>
      <c r="AK73" s="1387">
        <f>IF(AI73=A73,IF(AND(L73="N",Table22[[#This Row],[LOQ_label]]="Y"),AJ73,$AJ73*$Y73),"")</f>
        <v>0</v>
      </c>
      <c r="AL73" s="1388">
        <f t="shared" si="7"/>
        <v>0</v>
      </c>
      <c r="AM73" s="1393">
        <f>IF(Table22[[#This Row],[Highest residue * CF*PF]]&lt;&gt;"",Table22[[#This Row],[Highest residue * CF*PF]],Table22[[#This Row],[MRL*CF*PF or MRL (if LOQ and not authorised) (acute RA)]])</f>
        <v>0</v>
      </c>
      <c r="AN73" s="1390" t="str">
        <f t="shared" si="8"/>
        <v>MRL</v>
      </c>
      <c r="AO73" s="1390" t="str">
        <f t="shared" si="9"/>
        <v/>
      </c>
      <c r="AP73" s="1404" t="str">
        <f t="shared" si="10"/>
        <v/>
      </c>
      <c r="AQ73" s="1388">
        <f t="shared" si="11"/>
        <v>0</v>
      </c>
      <c r="AR73" s="1388" t="str">
        <f t="shared" si="12"/>
        <v/>
      </c>
      <c r="AS73" s="1388" t="str">
        <f t="shared" si="13"/>
        <v/>
      </c>
      <c r="AT73" s="1388" t="str">
        <f t="shared" si="14"/>
        <v/>
      </c>
      <c r="AU73" s="1393">
        <f t="shared" si="15"/>
        <v>0</v>
      </c>
      <c r="AV73" s="1388">
        <f t="shared" si="16"/>
        <v>0</v>
      </c>
      <c r="AW73" s="1390" t="str">
        <f t="shared" si="17"/>
        <v/>
      </c>
      <c r="AX73" s="1390" t="str">
        <f t="shared" si="41"/>
        <v/>
      </c>
      <c r="AY73" s="1394" t="str">
        <f t="shared" si="19"/>
        <v/>
      </c>
      <c r="AZ73" s="1395" t="str">
        <f>IF(Table22[[#This Row],[LOQ_label]]="Y",Table22[[#This Row],[MRL individual commodity]],"")</f>
        <v/>
      </c>
      <c r="BA73" s="1449" t="s">
        <v>654</v>
      </c>
      <c r="BB73" s="1411" t="str">
        <f>IF(Table22[[#This Row],[LOQ2]]&lt;0,MIN(AZ73:AZ410),"")</f>
        <v/>
      </c>
      <c r="BC73" s="1299"/>
      <c r="BD73" s="1306" t="str">
        <f>IF(Table22[[#This Row],[Chronic RA label]]="","N",IF(Table22[[#This Row],[Chronic RA label]]="LOQ","N",IF(Table22[[#This Row],[Chronic RA label]]="MRL","N","Y")))</f>
        <v>N</v>
      </c>
      <c r="BE73" s="1306" t="str">
        <f>IF(Table22[[#This Row],[Acute RA label]]="","N",IF(Table22[[#This Row],[Acute RA label]]="LOQ","N",IF(Table22[[#This Row],[Acute RA label]]="MRL","N","Y")))</f>
        <v>N</v>
      </c>
      <c r="BF73" s="1306" t="str">
        <f>IF(OR(Table22[[#This Row],[include commodity in Summary_input_values_chronic]]="Y",Table22[[#This Row],[include commodity in Summary_input_values_acute]]="Y"),"Y","N")</f>
        <v>N</v>
      </c>
      <c r="BG73" s="1299"/>
      <c r="BH73" s="1324"/>
    </row>
    <row r="74" spans="1:60" ht="12.75" customHeight="1" outlineLevel="3" x14ac:dyDescent="0.2">
      <c r="A74" s="39">
        <v>4</v>
      </c>
      <c r="B74" s="327">
        <v>161070</v>
      </c>
      <c r="C74" s="23" t="s">
        <v>691</v>
      </c>
      <c r="D74" s="867"/>
      <c r="E74" s="1219"/>
      <c r="F74" s="867"/>
      <c r="G74" s="869"/>
      <c r="H74" s="863"/>
      <c r="I74" s="868"/>
      <c r="J74" s="870"/>
      <c r="K74" s="865"/>
      <c r="L74" s="872"/>
      <c r="M74" s="872"/>
      <c r="N74" s="925" t="str">
        <f>IF(O74&lt;&gt;0,CONCATENATE(input_values!$AF74,input_values!$AG74,input_values!$AH74),"")</f>
        <v/>
      </c>
      <c r="O74" s="491">
        <f>IF($A$10="Refined calculation mode",Table22[[#This Row],[input for chronic (refined mode]],Table22[[#This Row],[input for chronic normal mode]])</f>
        <v>0</v>
      </c>
      <c r="P74" s="925" t="str">
        <f>IF(Q74&lt;&gt;0,CONCATENATE(input_values!$AN74,input_values!$AO74,input_values!$AP74),"")</f>
        <v/>
      </c>
      <c r="Q74" s="491">
        <f>IF($V$5=0,0,IF(OR($A$10="Refined calculation mode",Results!$B$62="Show results of IESTI calculation only for crops with GAPs under assessment"),Table22[[#This Row],[Input for IESTI (refined mode)]],Table22[[#This Row],[Input for IESTI normal mode]]))</f>
        <v>0</v>
      </c>
      <c r="R74" s="926" t="str">
        <f>IF(S74&lt;&gt;0,CONCATENATE(input_values!$AW74,input_values!$AX74,input_values!$AY74),"")</f>
        <v/>
      </c>
      <c r="S74" s="492">
        <f>IF($V$5=0,0,IF(OR($A$10="Refined calculation mode",Results!$B$62="Show results of IESTI calculation only for crops with GAPs under assessment"),Table22[[#This Row],[Input for IESTI new (refined mode)]],Table22[[#This Row],[Input for IESTI new normal mode]]))</f>
        <v>0</v>
      </c>
      <c r="T74" s="886"/>
      <c r="U74" s="1408">
        <f>Table22[[#This Row],[MRL/ proposed MRL /CXL
(mg/kg)]]</f>
        <v>0</v>
      </c>
      <c r="V74" s="1409" t="str">
        <f t="shared" si="37"/>
        <v/>
      </c>
      <c r="W74" s="1387">
        <f t="shared" si="38"/>
        <v>1</v>
      </c>
      <c r="X74" s="1387">
        <f t="shared" si="39"/>
        <v>1</v>
      </c>
      <c r="Y74" s="1387">
        <f t="shared" si="40"/>
        <v>1</v>
      </c>
      <c r="Z74" s="1410">
        <v>4</v>
      </c>
      <c r="AA74" s="1387">
        <f t="shared" si="0"/>
        <v>0</v>
      </c>
      <c r="AB74" s="1387">
        <f>IF(Z74=A74,IF(AND(L74="N",Table22[[#This Row],[LOQ_label]]="Y"),AA74,$AA74*$Y74),"")</f>
        <v>0</v>
      </c>
      <c r="AC74" s="1393">
        <f t="shared" si="1"/>
        <v>0</v>
      </c>
      <c r="AD74" s="1393">
        <f>IF(Table22[[#This Row],[Median residue*CF*PeF]]&lt;&gt;"",Table22[[#This Row],[Median residue*CF*PeF]],Table22[[#This Row],[MRL*CF*PeF (chronic)]])</f>
        <v>0</v>
      </c>
      <c r="AE74" s="1393">
        <f t="shared" si="2"/>
        <v>0</v>
      </c>
      <c r="AF74" s="1390" t="str">
        <f t="shared" si="3"/>
        <v>MRL</v>
      </c>
      <c r="AG74" s="1390" t="str">
        <f t="shared" si="4"/>
        <v/>
      </c>
      <c r="AH74" s="1394" t="str">
        <f t="shared" si="5"/>
        <v/>
      </c>
      <c r="AI74" s="1386">
        <v>4</v>
      </c>
      <c r="AJ74" s="1387">
        <f t="shared" si="6"/>
        <v>0</v>
      </c>
      <c r="AK74" s="1387">
        <f>IF(AI74=A74,IF(AND(L74="N",Table22[[#This Row],[LOQ_label]]="Y"),AJ74,$AJ74*$Y74),"")</f>
        <v>0</v>
      </c>
      <c r="AL74" s="1388">
        <f t="shared" si="7"/>
        <v>0</v>
      </c>
      <c r="AM74" s="1393">
        <f>IF(Table22[[#This Row],[Highest residue * CF*PF]]&lt;&gt;"",Table22[[#This Row],[Highest residue * CF*PF]],Table22[[#This Row],[MRL*CF*PF or MRL (if LOQ and not authorised) (acute RA)]])</f>
        <v>0</v>
      </c>
      <c r="AN74" s="1390" t="str">
        <f t="shared" si="8"/>
        <v>MRL</v>
      </c>
      <c r="AO74" s="1390" t="str">
        <f t="shared" si="9"/>
        <v/>
      </c>
      <c r="AP74" s="1404" t="str">
        <f t="shared" si="10"/>
        <v/>
      </c>
      <c r="AQ74" s="1388">
        <f t="shared" si="11"/>
        <v>0</v>
      </c>
      <c r="AR74" s="1388" t="str">
        <f t="shared" si="12"/>
        <v/>
      </c>
      <c r="AS74" s="1388" t="str">
        <f t="shared" si="13"/>
        <v/>
      </c>
      <c r="AT74" s="1388" t="str">
        <f t="shared" si="14"/>
        <v/>
      </c>
      <c r="AU74" s="1393">
        <f t="shared" si="15"/>
        <v>0</v>
      </c>
      <c r="AV74" s="1388">
        <f t="shared" si="16"/>
        <v>0</v>
      </c>
      <c r="AW74" s="1390" t="str">
        <f t="shared" si="17"/>
        <v/>
      </c>
      <c r="AX74" s="1390" t="str">
        <f t="shared" si="41"/>
        <v/>
      </c>
      <c r="AY74" s="1394" t="str">
        <f t="shared" si="19"/>
        <v/>
      </c>
      <c r="AZ74" s="1395" t="str">
        <f>IF(Table22[[#This Row],[LOQ_label]]="Y",Table22[[#This Row],[MRL individual commodity]],"")</f>
        <v/>
      </c>
      <c r="BA74" s="1396" t="s">
        <v>618</v>
      </c>
      <c r="BB74" s="1411" t="str">
        <f>IF(Table22[[#This Row],[LOQ2]]&lt;0,MIN(AZ74:AZ410),"")</f>
        <v/>
      </c>
      <c r="BC74" s="1299"/>
      <c r="BD74" s="1306" t="str">
        <f>IF(Table22[[#This Row],[Chronic RA label]]="","N",IF(Table22[[#This Row],[Chronic RA label]]="LOQ","N",IF(Table22[[#This Row],[Chronic RA label]]="MRL","N","Y")))</f>
        <v>N</v>
      </c>
      <c r="BE74" s="1306" t="str">
        <f>IF(Table22[[#This Row],[Acute RA label]]="","N",IF(Table22[[#This Row],[Acute RA label]]="LOQ","N",IF(Table22[[#This Row],[Acute RA label]]="MRL","N","Y")))</f>
        <v>N</v>
      </c>
      <c r="BF74" s="1306" t="str">
        <f>IF(OR(Table22[[#This Row],[include commodity in Summary_input_values_chronic]]="Y",Table22[[#This Row],[include commodity in Summary_input_values_acute]]="Y"),"Y","N")</f>
        <v>N</v>
      </c>
      <c r="BG74" s="1299"/>
      <c r="BH74" s="1324"/>
    </row>
    <row r="75" spans="1:60" ht="12.75" customHeight="1" outlineLevel="3" x14ac:dyDescent="0.2">
      <c r="A75" s="39">
        <v>4</v>
      </c>
      <c r="B75" s="327">
        <v>161990</v>
      </c>
      <c r="C75" s="23" t="s">
        <v>53</v>
      </c>
      <c r="D75" s="867"/>
      <c r="E75" s="1219"/>
      <c r="F75" s="867"/>
      <c r="G75" s="868"/>
      <c r="H75" s="863"/>
      <c r="I75" s="868"/>
      <c r="J75" s="870"/>
      <c r="K75" s="865"/>
      <c r="L75" s="872"/>
      <c r="M75" s="872"/>
      <c r="N75" s="925" t="str">
        <f>IF(O75&lt;&gt;0,CONCATENATE(input_values!$AF75,input_values!$AG75,input_values!$AH75),"")</f>
        <v/>
      </c>
      <c r="O75" s="491">
        <f>IF($A$10="Refined calculation mode",Table22[[#This Row],[input for chronic (refined mode]],Table22[[#This Row],[input for chronic normal mode]])</f>
        <v>0</v>
      </c>
      <c r="P75" s="473"/>
      <c r="Q75" s="474"/>
      <c r="R75" s="473"/>
      <c r="S75" s="474"/>
      <c r="T75" s="886"/>
      <c r="U75" s="1408">
        <f>Table22[[#This Row],[MRL/ proposed MRL /CXL
(mg/kg)]]</f>
        <v>0</v>
      </c>
      <c r="V75" s="1409" t="str">
        <f t="shared" si="37"/>
        <v/>
      </c>
      <c r="W75" s="1387">
        <f t="shared" si="38"/>
        <v>1</v>
      </c>
      <c r="X75" s="1387">
        <f t="shared" si="39"/>
        <v>1</v>
      </c>
      <c r="Y75" s="1387">
        <f t="shared" si="40"/>
        <v>1</v>
      </c>
      <c r="Z75" s="1410">
        <v>4</v>
      </c>
      <c r="AA75" s="1387">
        <f t="shared" si="0"/>
        <v>0</v>
      </c>
      <c r="AB75" s="1387">
        <f>IF(Z75=A75,IF(AND(L75="N",Table22[[#This Row],[LOQ_label]]="Y"),AA75,$AA75*$Y75),"")</f>
        <v>0</v>
      </c>
      <c r="AC75" s="1393">
        <f t="shared" si="1"/>
        <v>0</v>
      </c>
      <c r="AD75" s="1393">
        <f>IF(Table22[[#This Row],[Median residue*CF*PeF]]&lt;&gt;"",Table22[[#This Row],[Median residue*CF*PeF]],Table22[[#This Row],[MRL*CF*PeF (chronic)]])</f>
        <v>0</v>
      </c>
      <c r="AE75" s="1393">
        <f t="shared" si="2"/>
        <v>0</v>
      </c>
      <c r="AF75" s="1390" t="str">
        <f t="shared" si="3"/>
        <v>MRL</v>
      </c>
      <c r="AG75" s="1390" t="str">
        <f t="shared" si="4"/>
        <v/>
      </c>
      <c r="AH75" s="1394" t="str">
        <f t="shared" si="5"/>
        <v/>
      </c>
      <c r="AI75" s="1386"/>
      <c r="AJ75" s="1387" t="str">
        <f t="shared" si="6"/>
        <v/>
      </c>
      <c r="AK75" s="1387" t="str">
        <f>IF(AI75=A75,IF(AND(L75="N",Table22[[#This Row],[LOQ_label]]="Y"),AJ75,$AJ75*$Y75),"")</f>
        <v/>
      </c>
      <c r="AL75" s="1388" t="str">
        <f t="shared" si="7"/>
        <v/>
      </c>
      <c r="AM75" s="1393" t="str">
        <f>IF(Table22[[#This Row],[Highest residue * CF*PF]]&lt;&gt;"",Table22[[#This Row],[Highest residue * CF*PF]],Table22[[#This Row],[MRL*CF*PF or MRL (if LOQ and not authorised) (acute RA)]])</f>
        <v/>
      </c>
      <c r="AN75" s="1390" t="str">
        <f t="shared" si="8"/>
        <v/>
      </c>
      <c r="AO75" s="1390" t="str">
        <f t="shared" si="9"/>
        <v/>
      </c>
      <c r="AP75" s="1404" t="str">
        <f t="shared" si="10"/>
        <v/>
      </c>
      <c r="AQ75" s="1388">
        <f t="shared" si="11"/>
        <v>0</v>
      </c>
      <c r="AR75" s="1388" t="str">
        <f t="shared" si="12"/>
        <v/>
      </c>
      <c r="AS75" s="1388" t="str">
        <f t="shared" si="13"/>
        <v/>
      </c>
      <c r="AT75" s="1388" t="str">
        <f t="shared" si="14"/>
        <v/>
      </c>
      <c r="AU75" s="1393" t="str">
        <f t="shared" si="15"/>
        <v/>
      </c>
      <c r="AV75" s="1388">
        <f t="shared" si="16"/>
        <v>0</v>
      </c>
      <c r="AW75" s="1390" t="str">
        <f t="shared" si="17"/>
        <v/>
      </c>
      <c r="AX75" s="1390" t="str">
        <f>IF(AND(AN75&lt;&gt;"",AY75&lt;&gt;""),"*","")</f>
        <v/>
      </c>
      <c r="AY75" s="1394" t="str">
        <f t="shared" si="19"/>
        <v/>
      </c>
      <c r="AZ75" s="1395" t="str">
        <f>IF(Table22[[#This Row],[LOQ_label]]="Y",Table22[[#This Row],[MRL individual commodity]],"")</f>
        <v/>
      </c>
      <c r="BA75" s="1396" t="s">
        <v>1159</v>
      </c>
      <c r="BB75" s="1411" t="str">
        <f>IF(Table22[[#This Row],[LOQ2]]&lt;0,MIN(AZ75:AZ410),"")</f>
        <v/>
      </c>
      <c r="BC75" s="1299"/>
      <c r="BD75" s="1306" t="str">
        <f>IF(Table22[[#This Row],[Chronic RA label]]="","N",IF(Table22[[#This Row],[Chronic RA label]]="LOQ","N",IF(Table22[[#This Row],[Chronic RA label]]="MRL","N","Y")))</f>
        <v>N</v>
      </c>
      <c r="BE75" s="1306" t="str">
        <f>IF(Table22[[#This Row],[Acute RA label]]="","N",IF(Table22[[#This Row],[Acute RA label]]="LOQ","N",IF(Table22[[#This Row],[Acute RA label]]="MRL","N","Y")))</f>
        <v>N</v>
      </c>
      <c r="BF75" s="1306" t="str">
        <f>IF(OR(Table22[[#This Row],[include commodity in Summary_input_values_chronic]]="Y",Table22[[#This Row],[include commodity in Summary_input_values_acute]]="Y"),"Y","N")</f>
        <v>N</v>
      </c>
      <c r="BG75" s="1299"/>
      <c r="BH75" s="1324"/>
    </row>
    <row r="76" spans="1:60" ht="12.75" customHeight="1" outlineLevel="2" x14ac:dyDescent="0.2">
      <c r="A76" s="132">
        <v>3</v>
      </c>
      <c r="B76" s="448">
        <v>162000</v>
      </c>
      <c r="C76" s="3" t="s">
        <v>135</v>
      </c>
      <c r="D76" s="862"/>
      <c r="E76" s="1218"/>
      <c r="F76" s="862"/>
      <c r="G76" s="866"/>
      <c r="H76" s="863"/>
      <c r="I76" s="863"/>
      <c r="J76" s="864"/>
      <c r="K76" s="865"/>
      <c r="L76" s="471"/>
      <c r="M76" s="471"/>
      <c r="N76" s="473"/>
      <c r="O76" s="474"/>
      <c r="P76" s="473"/>
      <c r="Q76" s="474"/>
      <c r="R76" s="473"/>
      <c r="S76" s="474"/>
      <c r="T76" s="886"/>
      <c r="U76" s="1415"/>
      <c r="V76" s="1380"/>
      <c r="W76" s="1381"/>
      <c r="X76" s="1381"/>
      <c r="Y76" s="1381"/>
      <c r="Z76" s="1382">
        <v>4</v>
      </c>
      <c r="AA76" s="1381" t="str">
        <f t="shared" ref="AA76:AA139" si="42">IF(Z76=A76,U76,"")</f>
        <v/>
      </c>
      <c r="AB76" s="1381" t="str">
        <f>IF(Z76=A76,IF(AND(L76="N",Table22[[#This Row],[LOQ_label]]="Y"),AA76,$AA76*$Y76),"")</f>
        <v/>
      </c>
      <c r="AC76" s="1383" t="str">
        <f t="shared" ref="AC76:AC139" si="43">IF(Z76=A76,$I76*$Y76,"")</f>
        <v/>
      </c>
      <c r="AD76" s="1383" t="str">
        <f>IF(Table22[[#This Row],[Median residue*CF*PeF]]&lt;&gt;"",Table22[[#This Row],[Median residue*CF*PeF]],Table22[[#This Row],[MRL*CF*PeF (chronic)]])</f>
        <v/>
      </c>
      <c r="AE76" s="1384">
        <f t="shared" ref="AE76:AE139" si="44">IF(OR(L76="N",ISBLANK(L76)),0,IF(Z76=A76,IF(ISBLANK(I76)=TRUE,AB76,AC76),""))</f>
        <v>0</v>
      </c>
      <c r="AF76" s="1385" t="str">
        <f t="shared" ref="AF76:AF139" si="45">IF(Z76&lt;&gt;A76,"",IF(ISBLANK(I76)=FALSE,"STMR-RAC",IF(V76="Y","LOQ","MRL")))</f>
        <v/>
      </c>
      <c r="AG76" s="1385" t="str">
        <f t="shared" ref="AG76:AG139" si="46">IF(AND(AF76&lt;&gt;"",AH76&lt;&gt;""),"*","")</f>
        <v/>
      </c>
      <c r="AH76" s="1270" t="str">
        <f t="shared" ref="AH76:AH139" si="47">IF(OR(AND(AF76="LOQ",L76="N"),AF76=""),"",IF(AND(G76&gt;0,H76&gt;0),"CF*PeF",IF(G76&gt;0,"CF",IF(H76&gt;0,"PeF",""))))</f>
        <v/>
      </c>
      <c r="AI76" s="1386">
        <v>4</v>
      </c>
      <c r="AJ76" s="1387" t="str">
        <f t="shared" ref="AJ76:AJ139" si="48">IF(AI76=A76,U76,"")</f>
        <v/>
      </c>
      <c r="AK76" s="1387" t="str">
        <f>IF(AI76=A76,IF(AND(L76="N",Table22[[#This Row],[LOQ_label]]="Y"),AJ76,$AJ76*$Y76),"")</f>
        <v/>
      </c>
      <c r="AL76" s="1388" t="str">
        <f t="shared" ref="AL76:AL139" si="49">IF(AI76=A76,$J76*$Y76,"")</f>
        <v/>
      </c>
      <c r="AM76" s="1393" t="str">
        <f>IF(Table22[[#This Row],[Highest residue * CF*PF]]&lt;&gt;"",Table22[[#This Row],[Highest residue * CF*PF]],Table22[[#This Row],[MRL*CF*PF or MRL (if LOQ and not authorised) (acute RA)]])</f>
        <v/>
      </c>
      <c r="AN76" s="1390" t="str">
        <f t="shared" ref="AN76:AN139" si="50">IF(AI76&lt;&gt;A76,"",IF(BA76=3,AF76,IF(ISBLANK($J76)=FALSE,"HR-RAC",IF(V76="Y","LOQ","MRL"))))</f>
        <v/>
      </c>
      <c r="AO76" s="1390" t="str">
        <f t="shared" ref="AO76:AO139" si="51">IF(AND(AN76&lt;&gt;"",AP76&lt;&gt;""),"*","")</f>
        <v/>
      </c>
      <c r="AP76" s="1404" t="str">
        <f t="shared" ref="AP76:AP139" si="52">IF(OR(AND(AN76="LOQ",L76="N"),AN76=""),"",IF(AND(G76&gt;0,H76&gt;0),"CF*PeF",IF(G76&gt;0,"CF",IF(H76&gt;0,"PeF",""))))</f>
        <v/>
      </c>
      <c r="AQ76" s="1388">
        <f t="shared" ref="AQ76:AQ139" si="53">IF(OR(L76="N",ISBLANK(L76)),0,IF(AI76=A76,IF(BA76=3,AE76,IF(ISBLANK(J76)=TRUE,AK76,AL76)),""))</f>
        <v>0</v>
      </c>
      <c r="AR76" s="1388" t="str">
        <f t="shared" ref="AR76:AR139" si="54">IF(OR(AI76&lt;&gt;A76,AQ76=0),"",IF(BA76=3,AF76,IF(ISBLANK($I76)=FALSE,"STMR-RAC",IF(V76="Y","LOQ","MRL"))))</f>
        <v/>
      </c>
      <c r="AS76" s="1388" t="str">
        <f t="shared" ref="AS76:AS139" si="55">IF(AND(AR76&lt;&gt;"",AT76&lt;&gt;""),"*","")</f>
        <v/>
      </c>
      <c r="AT76" s="1388" t="str">
        <f t="shared" ref="AT76:AT139" si="56">IF(OR(AND(AR76="LOQ",L76="N"),AR76=""),"",IF(AND(G76&gt;0,H76&gt;0),"CF*PeF",IF(G76&gt;0,"CF",IF(H76&gt;0,"PeF",""))))</f>
        <v/>
      </c>
      <c r="AU76" s="1393" t="str">
        <f t="shared" ref="AU76:AU139" si="57">AK76</f>
        <v/>
      </c>
      <c r="AV76" s="1388">
        <f t="shared" ref="AV76:AV139" si="58">IF(OR(L76="N",ISBLANK(L76)),0,AK76)</f>
        <v>0</v>
      </c>
      <c r="AW76" s="1390" t="str">
        <f t="shared" ref="AW76:AW139" si="59">IF(OR(AI76&lt;&gt;A76,AJ76=0),"",IF(V76="Y","LOQ","MRL"))</f>
        <v/>
      </c>
      <c r="AX76" s="1390" t="str">
        <f>IF(AND(AN76&lt;&gt;"",AY76&lt;&gt;""),"*","")</f>
        <v/>
      </c>
      <c r="AY76" s="1394" t="str">
        <f t="shared" ref="AY76:AY139" si="60">IF(OR(AND(AW76="LOQ",L76="N"),AW76=""),"",IF(AND(G76&gt;0,H76&gt;0),"CF*PeF",IF(G76&gt;0,"CF",IF(H76&gt;0,"PeF",""))))</f>
        <v/>
      </c>
      <c r="AZ76" s="1395">
        <f>IF(Table22[[#This Row],[LOQ_label]]="Y",Table22[[#This Row],[MRL individual commodity]],"")</f>
        <v>0</v>
      </c>
      <c r="BA76" s="1396" t="s">
        <v>1159</v>
      </c>
      <c r="BB76" s="1411" t="str">
        <f>IF(Table22[[#This Row],[LOQ2]]&lt;0,MIN(AZ76:AZ410),"")</f>
        <v/>
      </c>
      <c r="BC76" s="1299"/>
      <c r="BD76" s="1306" t="str">
        <f>IF(Table22[[#This Row],[Chronic RA label]]="","N",IF(Table22[[#This Row],[Chronic RA label]]="LOQ","N",IF(Table22[[#This Row],[Chronic RA label]]="MRL","N","Y")))</f>
        <v>N</v>
      </c>
      <c r="BE76" s="1306" t="str">
        <f>IF(Table22[[#This Row],[Acute RA label]]="","N",IF(Table22[[#This Row],[Acute RA label]]="LOQ","N",IF(Table22[[#This Row],[Acute RA label]]="MRL","N","Y")))</f>
        <v>N</v>
      </c>
      <c r="BF76" s="1306" t="str">
        <f>IF(OR(Table22[[#This Row],[include commodity in Summary_input_values_chronic]]="Y",Table22[[#This Row],[include commodity in Summary_input_values_acute]]="Y"),"Y","N")</f>
        <v>N</v>
      </c>
      <c r="BG76" s="1299"/>
      <c r="BH76" s="1324"/>
    </row>
    <row r="77" spans="1:60" ht="12.75" customHeight="1" outlineLevel="3" x14ac:dyDescent="0.2">
      <c r="A77" s="39">
        <v>4</v>
      </c>
      <c r="B77" s="327">
        <v>162010</v>
      </c>
      <c r="C77" s="23" t="s">
        <v>692</v>
      </c>
      <c r="D77" s="867"/>
      <c r="E77" s="1219"/>
      <c r="F77" s="867"/>
      <c r="G77" s="869"/>
      <c r="H77" s="868"/>
      <c r="I77" s="868"/>
      <c r="J77" s="870"/>
      <c r="K77" s="871"/>
      <c r="L77" s="872"/>
      <c r="M77" s="872"/>
      <c r="N77" s="925" t="str">
        <f>IF(O77&lt;&gt;0,CONCATENATE(input_values!$AF77,input_values!$AG77,input_values!$AH77),"")</f>
        <v/>
      </c>
      <c r="O77" s="491">
        <f>IF($A$10="Refined calculation mode",Table22[[#This Row],[input for chronic (refined mode]],Table22[[#This Row],[input for chronic normal mode]])</f>
        <v>0</v>
      </c>
      <c r="P77" s="925" t="str">
        <f>IF(Q77&lt;&gt;0,CONCATENATE(input_values!$AN77,input_values!$AO77,input_values!$AP77),"")</f>
        <v/>
      </c>
      <c r="Q77" s="491">
        <f>IF($V$5=0,0,IF(OR($A$10="Refined calculation mode",Results!$B$62="Show results of IESTI calculation only for crops with GAPs under assessment"),Table22[[#This Row],[Input for IESTI (refined mode)]],Table22[[#This Row],[Input for IESTI normal mode]]))</f>
        <v>0</v>
      </c>
      <c r="R77" s="926" t="str">
        <f>IF(S77&lt;&gt;0,CONCATENATE(input_values!$AW77,input_values!$AX77,input_values!$AY77),"")</f>
        <v/>
      </c>
      <c r="S77" s="492">
        <f>IF($V$5=0,0,IF(OR($A$10="Refined calculation mode",Results!$B$62="Show results of IESTI calculation only for crops with GAPs under assessment"),Table22[[#This Row],[Input for IESTI new (refined mode)]],Table22[[#This Row],[Input for IESTI new normal mode]]))</f>
        <v>0</v>
      </c>
      <c r="T77" s="886"/>
      <c r="U77" s="1408">
        <f>Table22[[#This Row],[MRL/ proposed MRL /CXL
(mg/kg)]]</f>
        <v>0</v>
      </c>
      <c r="V77" s="1409" t="str">
        <f t="shared" ref="V77:V83" si="61">IF(ISBLANK(F77),"","Y")</f>
        <v/>
      </c>
      <c r="W77" s="1387">
        <f t="shared" ref="W77:W83" si="62">IF($G77&gt;0,$G77,1)</f>
        <v>1</v>
      </c>
      <c r="X77" s="1387">
        <f t="shared" ref="X77:X83" si="63">IF($H77&gt;0,$H77,1)</f>
        <v>1</v>
      </c>
      <c r="Y77" s="1387">
        <f t="shared" ref="Y77:Y83" si="64">W77*X77</f>
        <v>1</v>
      </c>
      <c r="Z77" s="1410">
        <v>4</v>
      </c>
      <c r="AA77" s="1387">
        <f t="shared" si="42"/>
        <v>0</v>
      </c>
      <c r="AB77" s="1387">
        <f>IF(Z77=A77,IF(AND(L77="N",Table22[[#This Row],[LOQ_label]]="Y"),AA77,$AA77*$Y77),"")</f>
        <v>0</v>
      </c>
      <c r="AC77" s="1393">
        <f t="shared" si="43"/>
        <v>0</v>
      </c>
      <c r="AD77" s="1393">
        <f>IF(Table22[[#This Row],[Median residue*CF*PeF]]&lt;&gt;"",Table22[[#This Row],[Median residue*CF*PeF]],Table22[[#This Row],[MRL*CF*PeF (chronic)]])</f>
        <v>0</v>
      </c>
      <c r="AE77" s="1393">
        <f t="shared" si="44"/>
        <v>0</v>
      </c>
      <c r="AF77" s="1390" t="str">
        <f t="shared" si="45"/>
        <v>MRL</v>
      </c>
      <c r="AG77" s="1390" t="str">
        <f t="shared" si="46"/>
        <v/>
      </c>
      <c r="AH77" s="1394" t="str">
        <f t="shared" si="47"/>
        <v/>
      </c>
      <c r="AI77" s="1386">
        <v>4</v>
      </c>
      <c r="AJ77" s="1387">
        <f t="shared" si="48"/>
        <v>0</v>
      </c>
      <c r="AK77" s="1387">
        <f>IF(AI77=A77,IF(AND(L77="N",Table22[[#This Row],[LOQ_label]]="Y"),AJ77,$AJ77*$Y77),"")</f>
        <v>0</v>
      </c>
      <c r="AL77" s="1388">
        <f t="shared" si="49"/>
        <v>0</v>
      </c>
      <c r="AM77" s="1393">
        <f>IF(Table22[[#This Row],[Highest residue * CF*PF]]&lt;&gt;"",Table22[[#This Row],[Highest residue * CF*PF]],Table22[[#This Row],[MRL*CF*PF or MRL (if LOQ and not authorised) (acute RA)]])</f>
        <v>0</v>
      </c>
      <c r="AN77" s="1390" t="str">
        <f t="shared" si="50"/>
        <v>MRL</v>
      </c>
      <c r="AO77" s="1390" t="str">
        <f t="shared" si="51"/>
        <v/>
      </c>
      <c r="AP77" s="1404" t="str">
        <f t="shared" si="52"/>
        <v/>
      </c>
      <c r="AQ77" s="1388">
        <f t="shared" si="53"/>
        <v>0</v>
      </c>
      <c r="AR77" s="1388" t="str">
        <f t="shared" si="54"/>
        <v/>
      </c>
      <c r="AS77" s="1388" t="str">
        <f t="shared" si="55"/>
        <v/>
      </c>
      <c r="AT77" s="1388" t="str">
        <f t="shared" si="56"/>
        <v/>
      </c>
      <c r="AU77" s="1393">
        <f t="shared" si="57"/>
        <v>0</v>
      </c>
      <c r="AV77" s="1388">
        <f t="shared" si="58"/>
        <v>0</v>
      </c>
      <c r="AW77" s="1390" t="str">
        <f t="shared" si="59"/>
        <v/>
      </c>
      <c r="AX77" s="1390" t="str">
        <f t="shared" ref="AX77:AX82" si="65">IF(AND(AW77&lt;&gt;"",AY77&lt;&gt;""),"*","")</f>
        <v/>
      </c>
      <c r="AY77" s="1394" t="str">
        <f t="shared" si="60"/>
        <v/>
      </c>
      <c r="AZ77" s="1395" t="str">
        <f>IF(Table22[[#This Row],[LOQ_label]]="Y",Table22[[#This Row],[MRL individual commodity]],"")</f>
        <v/>
      </c>
      <c r="BA77" s="1449" t="s">
        <v>654</v>
      </c>
      <c r="BB77" s="1411" t="str">
        <f>IF(Table22[[#This Row],[LOQ2]]&lt;0,MIN(AZ77:AZ410),"")</f>
        <v/>
      </c>
      <c r="BC77" s="1299"/>
      <c r="BD77" s="1306" t="str">
        <f>IF(Table22[[#This Row],[Chronic RA label]]="","N",IF(Table22[[#This Row],[Chronic RA label]]="LOQ","N",IF(Table22[[#This Row],[Chronic RA label]]="MRL","N","Y")))</f>
        <v>N</v>
      </c>
      <c r="BE77" s="1306" t="str">
        <f>IF(Table22[[#This Row],[Acute RA label]]="","N",IF(Table22[[#This Row],[Acute RA label]]="LOQ","N",IF(Table22[[#This Row],[Acute RA label]]="MRL","N","Y")))</f>
        <v>N</v>
      </c>
      <c r="BF77" s="1306" t="str">
        <f>IF(OR(Table22[[#This Row],[include commodity in Summary_input_values_chronic]]="Y",Table22[[#This Row],[include commodity in Summary_input_values_acute]]="Y"),"Y","N")</f>
        <v>N</v>
      </c>
      <c r="BG77" s="1299"/>
      <c r="BH77" s="1324"/>
    </row>
    <row r="78" spans="1:60" ht="12.75" customHeight="1" outlineLevel="3" x14ac:dyDescent="0.2">
      <c r="A78" s="39">
        <v>4</v>
      </c>
      <c r="B78" s="327">
        <v>162020</v>
      </c>
      <c r="C78" s="23" t="s">
        <v>693</v>
      </c>
      <c r="D78" s="867"/>
      <c r="E78" s="1219"/>
      <c r="F78" s="867"/>
      <c r="G78" s="869"/>
      <c r="H78" s="868"/>
      <c r="I78" s="868"/>
      <c r="J78" s="870"/>
      <c r="K78" s="865"/>
      <c r="L78" s="872"/>
      <c r="M78" s="872"/>
      <c r="N78" s="925" t="str">
        <f>IF(O78&lt;&gt;0,CONCATENATE(input_values!$AF78,input_values!$AG78,input_values!$AH78),"")</f>
        <v/>
      </c>
      <c r="O78" s="491">
        <f>IF($A$10="Refined calculation mode",Table22[[#This Row],[input for chronic (refined mode]],Table22[[#This Row],[input for chronic normal mode]])</f>
        <v>0</v>
      </c>
      <c r="P78" s="925" t="str">
        <f>IF(Q78&lt;&gt;0,CONCATENATE(input_values!$AN78,input_values!$AO78,input_values!$AP78),"")</f>
        <v/>
      </c>
      <c r="Q78" s="491">
        <f>IF($V$5=0,0,IF(OR($A$10="Refined calculation mode",Results!$B$62="Show results of IESTI calculation only for crops with GAPs under assessment"),Table22[[#This Row],[Input for IESTI (refined mode)]],Table22[[#This Row],[Input for IESTI normal mode]]))</f>
        <v>0</v>
      </c>
      <c r="R78" s="926" t="str">
        <f>IF(S78&lt;&gt;0,CONCATENATE(input_values!$AW78,input_values!$AX78,input_values!$AY78),"")</f>
        <v/>
      </c>
      <c r="S78" s="492">
        <f>IF($V$5=0,0,IF(OR($A$10="Refined calculation mode",Results!$B$62="Show results of IESTI calculation only for crops with GAPs under assessment"),Table22[[#This Row],[Input for IESTI new (refined mode)]],Table22[[#This Row],[Input for IESTI new normal mode]]))</f>
        <v>0</v>
      </c>
      <c r="T78" s="886"/>
      <c r="U78" s="1408">
        <f>Table22[[#This Row],[MRL/ proposed MRL /CXL
(mg/kg)]]</f>
        <v>0</v>
      </c>
      <c r="V78" s="1409" t="str">
        <f t="shared" si="61"/>
        <v/>
      </c>
      <c r="W78" s="1387">
        <f t="shared" si="62"/>
        <v>1</v>
      </c>
      <c r="X78" s="1387">
        <f t="shared" si="63"/>
        <v>1</v>
      </c>
      <c r="Y78" s="1387">
        <f t="shared" si="64"/>
        <v>1</v>
      </c>
      <c r="Z78" s="1410">
        <v>4</v>
      </c>
      <c r="AA78" s="1387">
        <f t="shared" si="42"/>
        <v>0</v>
      </c>
      <c r="AB78" s="1387">
        <f>IF(Z78=A78,IF(AND(L78="N",Table22[[#This Row],[LOQ_label]]="Y"),AA78,$AA78*$Y78),"")</f>
        <v>0</v>
      </c>
      <c r="AC78" s="1393">
        <f t="shared" si="43"/>
        <v>0</v>
      </c>
      <c r="AD78" s="1393">
        <f>IF(Table22[[#This Row],[Median residue*CF*PeF]]&lt;&gt;"",Table22[[#This Row],[Median residue*CF*PeF]],Table22[[#This Row],[MRL*CF*PeF (chronic)]])</f>
        <v>0</v>
      </c>
      <c r="AE78" s="1393">
        <f t="shared" si="44"/>
        <v>0</v>
      </c>
      <c r="AF78" s="1390" t="str">
        <f t="shared" si="45"/>
        <v>MRL</v>
      </c>
      <c r="AG78" s="1390" t="str">
        <f t="shared" si="46"/>
        <v/>
      </c>
      <c r="AH78" s="1394" t="str">
        <f t="shared" si="47"/>
        <v/>
      </c>
      <c r="AI78" s="1386">
        <v>4</v>
      </c>
      <c r="AJ78" s="1387">
        <f t="shared" si="48"/>
        <v>0</v>
      </c>
      <c r="AK78" s="1387">
        <f>IF(AI78=A78,IF(AND(L78="N",Table22[[#This Row],[LOQ_label]]="Y"),AJ78,$AJ78*$Y78),"")</f>
        <v>0</v>
      </c>
      <c r="AL78" s="1388">
        <f t="shared" si="49"/>
        <v>0</v>
      </c>
      <c r="AM78" s="1393">
        <f>IF(Table22[[#This Row],[Highest residue * CF*PF]]&lt;&gt;"",Table22[[#This Row],[Highest residue * CF*PF]],Table22[[#This Row],[MRL*CF*PF or MRL (if LOQ and not authorised) (acute RA)]])</f>
        <v>0</v>
      </c>
      <c r="AN78" s="1390" t="str">
        <f t="shared" si="50"/>
        <v>MRL</v>
      </c>
      <c r="AO78" s="1390" t="str">
        <f t="shared" si="51"/>
        <v/>
      </c>
      <c r="AP78" s="1404" t="str">
        <f t="shared" si="52"/>
        <v/>
      </c>
      <c r="AQ78" s="1388">
        <f t="shared" si="53"/>
        <v>0</v>
      </c>
      <c r="AR78" s="1388" t="str">
        <f t="shared" si="54"/>
        <v/>
      </c>
      <c r="AS78" s="1388" t="str">
        <f t="shared" si="55"/>
        <v/>
      </c>
      <c r="AT78" s="1388" t="str">
        <f t="shared" si="56"/>
        <v/>
      </c>
      <c r="AU78" s="1393">
        <f t="shared" si="57"/>
        <v>0</v>
      </c>
      <c r="AV78" s="1388">
        <f t="shared" si="58"/>
        <v>0</v>
      </c>
      <c r="AW78" s="1390" t="str">
        <f t="shared" si="59"/>
        <v/>
      </c>
      <c r="AX78" s="1390" t="str">
        <f t="shared" si="65"/>
        <v/>
      </c>
      <c r="AY78" s="1394" t="str">
        <f t="shared" si="60"/>
        <v/>
      </c>
      <c r="AZ78" s="1395" t="str">
        <f>IF(Table22[[#This Row],[LOQ_label]]="Y",Table22[[#This Row],[MRL individual commodity]],"")</f>
        <v/>
      </c>
      <c r="BA78" s="1396" t="s">
        <v>1038</v>
      </c>
      <c r="BB78" s="1411" t="str">
        <f>IF(Table22[[#This Row],[LOQ2]]&lt;0,MIN(AZ78:AZ410),"")</f>
        <v/>
      </c>
      <c r="BC78" s="1299"/>
      <c r="BD78" s="1306" t="str">
        <f>IF(Table22[[#This Row],[Chronic RA label]]="","N",IF(Table22[[#This Row],[Chronic RA label]]="LOQ","N",IF(Table22[[#This Row],[Chronic RA label]]="MRL","N","Y")))</f>
        <v>N</v>
      </c>
      <c r="BE78" s="1306" t="str">
        <f>IF(Table22[[#This Row],[Acute RA label]]="","N",IF(Table22[[#This Row],[Acute RA label]]="LOQ","N",IF(Table22[[#This Row],[Acute RA label]]="MRL","N","Y")))</f>
        <v>N</v>
      </c>
      <c r="BF78" s="1306" t="str">
        <f>IF(OR(Table22[[#This Row],[include commodity in Summary_input_values_chronic]]="Y",Table22[[#This Row],[include commodity in Summary_input_values_acute]]="Y"),"Y","N")</f>
        <v>N</v>
      </c>
      <c r="BG78" s="1299"/>
      <c r="BH78" s="1324"/>
    </row>
    <row r="79" spans="1:60" ht="12.75" customHeight="1" outlineLevel="3" x14ac:dyDescent="0.2">
      <c r="A79" s="39">
        <v>4</v>
      </c>
      <c r="B79" s="327">
        <v>162030</v>
      </c>
      <c r="C79" s="23" t="s">
        <v>694</v>
      </c>
      <c r="D79" s="867"/>
      <c r="E79" s="1219"/>
      <c r="F79" s="867"/>
      <c r="G79" s="869"/>
      <c r="H79" s="868"/>
      <c r="I79" s="868"/>
      <c r="J79" s="870"/>
      <c r="K79" s="871"/>
      <c r="L79" s="872"/>
      <c r="M79" s="872"/>
      <c r="N79" s="925" t="str">
        <f>IF(O79&lt;&gt;0,CONCATENATE(input_values!$AF79,input_values!$AG79,input_values!$AH79),"")</f>
        <v/>
      </c>
      <c r="O79" s="491">
        <f>IF($A$10="Refined calculation mode",Table22[[#This Row],[input for chronic (refined mode]],Table22[[#This Row],[input for chronic normal mode]])</f>
        <v>0</v>
      </c>
      <c r="P79" s="925" t="str">
        <f>IF(Q79&lt;&gt;0,CONCATENATE(input_values!$AN79,input_values!$AO79,input_values!$AP79),"")</f>
        <v/>
      </c>
      <c r="Q79" s="491">
        <f>IF($V$5=0,0,IF(OR($A$10="Refined calculation mode",Results!$B$62="Show results of IESTI calculation only for crops with GAPs under assessment"),Table22[[#This Row],[Input for IESTI (refined mode)]],Table22[[#This Row],[Input for IESTI normal mode]]))</f>
        <v>0</v>
      </c>
      <c r="R79" s="926" t="str">
        <f>IF(S79&lt;&gt;0,CONCATENATE(input_values!$AW79,input_values!$AX79,input_values!$AY79),"")</f>
        <v/>
      </c>
      <c r="S79" s="492">
        <f>IF($V$5=0,0,IF(OR($A$10="Refined calculation mode",Results!$B$62="Show results of IESTI calculation only for crops with GAPs under assessment"),Table22[[#This Row],[Input for IESTI new (refined mode)]],Table22[[#This Row],[Input for IESTI new normal mode]]))</f>
        <v>0</v>
      </c>
      <c r="T79" s="886"/>
      <c r="U79" s="1408">
        <f>Table22[[#This Row],[MRL/ proposed MRL /CXL
(mg/kg)]]</f>
        <v>0</v>
      </c>
      <c r="V79" s="1409" t="str">
        <f t="shared" si="61"/>
        <v/>
      </c>
      <c r="W79" s="1387">
        <f t="shared" si="62"/>
        <v>1</v>
      </c>
      <c r="X79" s="1387">
        <f t="shared" si="63"/>
        <v>1</v>
      </c>
      <c r="Y79" s="1387">
        <f t="shared" si="64"/>
        <v>1</v>
      </c>
      <c r="Z79" s="1410">
        <v>4</v>
      </c>
      <c r="AA79" s="1387">
        <f t="shared" si="42"/>
        <v>0</v>
      </c>
      <c r="AB79" s="1387">
        <f>IF(Z79=A79,IF(AND(L79="N",Table22[[#This Row],[LOQ_label]]="Y"),AA79,$AA79*$Y79),"")</f>
        <v>0</v>
      </c>
      <c r="AC79" s="1393">
        <f t="shared" si="43"/>
        <v>0</v>
      </c>
      <c r="AD79" s="1393">
        <f>IF(Table22[[#This Row],[Median residue*CF*PeF]]&lt;&gt;"",Table22[[#This Row],[Median residue*CF*PeF]],Table22[[#This Row],[MRL*CF*PeF (chronic)]])</f>
        <v>0</v>
      </c>
      <c r="AE79" s="1393">
        <f t="shared" si="44"/>
        <v>0</v>
      </c>
      <c r="AF79" s="1390" t="str">
        <f t="shared" si="45"/>
        <v>MRL</v>
      </c>
      <c r="AG79" s="1390" t="str">
        <f t="shared" si="46"/>
        <v/>
      </c>
      <c r="AH79" s="1394" t="str">
        <f t="shared" si="47"/>
        <v/>
      </c>
      <c r="AI79" s="1386">
        <v>4</v>
      </c>
      <c r="AJ79" s="1387">
        <f t="shared" si="48"/>
        <v>0</v>
      </c>
      <c r="AK79" s="1387">
        <f>IF(AI79=A79,IF(AND(L79="N",Table22[[#This Row],[LOQ_label]]="Y"),AJ79,$AJ79*$Y79),"")</f>
        <v>0</v>
      </c>
      <c r="AL79" s="1388">
        <f t="shared" si="49"/>
        <v>0</v>
      </c>
      <c r="AM79" s="1393">
        <f>IF(Table22[[#This Row],[Highest residue * CF*PF]]&lt;&gt;"",Table22[[#This Row],[Highest residue * CF*PF]],Table22[[#This Row],[MRL*CF*PF or MRL (if LOQ and not authorised) (acute RA)]])</f>
        <v>0</v>
      </c>
      <c r="AN79" s="1390" t="str">
        <f t="shared" si="50"/>
        <v>MRL</v>
      </c>
      <c r="AO79" s="1390" t="str">
        <f t="shared" si="51"/>
        <v/>
      </c>
      <c r="AP79" s="1404" t="str">
        <f t="shared" si="52"/>
        <v/>
      </c>
      <c r="AQ79" s="1388">
        <f t="shared" si="53"/>
        <v>0</v>
      </c>
      <c r="AR79" s="1388" t="str">
        <f t="shared" si="54"/>
        <v/>
      </c>
      <c r="AS79" s="1388" t="str">
        <f t="shared" si="55"/>
        <v/>
      </c>
      <c r="AT79" s="1388" t="str">
        <f t="shared" si="56"/>
        <v/>
      </c>
      <c r="AU79" s="1393">
        <f t="shared" si="57"/>
        <v>0</v>
      </c>
      <c r="AV79" s="1388">
        <f t="shared" si="58"/>
        <v>0</v>
      </c>
      <c r="AW79" s="1390" t="str">
        <f t="shared" si="59"/>
        <v/>
      </c>
      <c r="AX79" s="1390" t="str">
        <f t="shared" si="65"/>
        <v/>
      </c>
      <c r="AY79" s="1394" t="str">
        <f t="shared" si="60"/>
        <v/>
      </c>
      <c r="AZ79" s="1395" t="str">
        <f>IF(Table22[[#This Row],[LOQ_label]]="Y",Table22[[#This Row],[MRL individual commodity]],"")</f>
        <v/>
      </c>
      <c r="BA79" s="1449" t="s">
        <v>654</v>
      </c>
      <c r="BB79" s="1411" t="str">
        <f>IF(Table22[[#This Row],[LOQ2]]&lt;0,MIN(AZ79:AZ410),"")</f>
        <v/>
      </c>
      <c r="BC79" s="1299"/>
      <c r="BD79" s="1306" t="str">
        <f>IF(Table22[[#This Row],[Chronic RA label]]="","N",IF(Table22[[#This Row],[Chronic RA label]]="LOQ","N",IF(Table22[[#This Row],[Chronic RA label]]="MRL","N","Y")))</f>
        <v>N</v>
      </c>
      <c r="BE79" s="1306" t="str">
        <f>IF(Table22[[#This Row],[Acute RA label]]="","N",IF(Table22[[#This Row],[Acute RA label]]="LOQ","N",IF(Table22[[#This Row],[Acute RA label]]="MRL","N","Y")))</f>
        <v>N</v>
      </c>
      <c r="BF79" s="1306" t="str">
        <f>IF(OR(Table22[[#This Row],[include commodity in Summary_input_values_chronic]]="Y",Table22[[#This Row],[include commodity in Summary_input_values_acute]]="Y"),"Y","N")</f>
        <v>N</v>
      </c>
      <c r="BG79" s="1299"/>
      <c r="BH79" s="1324"/>
    </row>
    <row r="80" spans="1:60" ht="12.75" customHeight="1" outlineLevel="3" x14ac:dyDescent="0.2">
      <c r="A80" s="39">
        <v>4</v>
      </c>
      <c r="B80" s="327">
        <v>162040</v>
      </c>
      <c r="C80" s="23" t="s">
        <v>695</v>
      </c>
      <c r="D80" s="867"/>
      <c r="E80" s="1219"/>
      <c r="F80" s="867"/>
      <c r="G80" s="869"/>
      <c r="H80" s="868"/>
      <c r="I80" s="868"/>
      <c r="J80" s="870"/>
      <c r="K80" s="871"/>
      <c r="L80" s="872"/>
      <c r="M80" s="872"/>
      <c r="N80" s="925" t="str">
        <f>IF(O80&lt;&gt;0,CONCATENATE(input_values!$AF80,input_values!$AG80,input_values!$AH80),"")</f>
        <v/>
      </c>
      <c r="O80" s="491">
        <f>IF($A$10="Refined calculation mode",Table22[[#This Row],[input for chronic (refined mode]],Table22[[#This Row],[input for chronic normal mode]])</f>
        <v>0</v>
      </c>
      <c r="P80" s="925" t="str">
        <f>IF(Q80&lt;&gt;0,CONCATENATE(input_values!$AN80,input_values!$AO80,input_values!$AP80),"")</f>
        <v/>
      </c>
      <c r="Q80" s="491">
        <f>IF($V$5=0,0,IF(OR($A$10="Refined calculation mode",Results!$B$62="Show results of IESTI calculation only for crops with GAPs under assessment"),Table22[[#This Row],[Input for IESTI (refined mode)]],Table22[[#This Row],[Input for IESTI normal mode]]))</f>
        <v>0</v>
      </c>
      <c r="R80" s="926" t="str">
        <f>IF(S80&lt;&gt;0,CONCATENATE(input_values!$AW80,input_values!$AX80,input_values!$AY80),"")</f>
        <v/>
      </c>
      <c r="S80" s="492">
        <f>IF($V$5=0,0,IF(OR($A$10="Refined calculation mode",Results!$B$62="Show results of IESTI calculation only for crops with GAPs under assessment"),Table22[[#This Row],[Input for IESTI new (refined mode)]],Table22[[#This Row],[Input for IESTI new normal mode]]))</f>
        <v>0</v>
      </c>
      <c r="T80" s="886"/>
      <c r="U80" s="1408">
        <f>Table22[[#This Row],[MRL/ proposed MRL /CXL
(mg/kg)]]</f>
        <v>0</v>
      </c>
      <c r="V80" s="1409" t="str">
        <f t="shared" si="61"/>
        <v/>
      </c>
      <c r="W80" s="1387">
        <f t="shared" si="62"/>
        <v>1</v>
      </c>
      <c r="X80" s="1387">
        <f t="shared" si="63"/>
        <v>1</v>
      </c>
      <c r="Y80" s="1387">
        <f t="shared" si="64"/>
        <v>1</v>
      </c>
      <c r="Z80" s="1410">
        <v>4</v>
      </c>
      <c r="AA80" s="1387">
        <f t="shared" si="42"/>
        <v>0</v>
      </c>
      <c r="AB80" s="1387">
        <f>IF(Z80=A80,IF(AND(L80="N",Table22[[#This Row],[LOQ_label]]="Y"),AA80,$AA80*$Y80),"")</f>
        <v>0</v>
      </c>
      <c r="AC80" s="1393">
        <f t="shared" si="43"/>
        <v>0</v>
      </c>
      <c r="AD80" s="1393">
        <f>IF(Table22[[#This Row],[Median residue*CF*PeF]]&lt;&gt;"",Table22[[#This Row],[Median residue*CF*PeF]],Table22[[#This Row],[MRL*CF*PeF (chronic)]])</f>
        <v>0</v>
      </c>
      <c r="AE80" s="1393">
        <f t="shared" si="44"/>
        <v>0</v>
      </c>
      <c r="AF80" s="1390" t="str">
        <f t="shared" si="45"/>
        <v>MRL</v>
      </c>
      <c r="AG80" s="1390" t="str">
        <f t="shared" si="46"/>
        <v/>
      </c>
      <c r="AH80" s="1394" t="str">
        <f t="shared" si="47"/>
        <v/>
      </c>
      <c r="AI80" s="1386">
        <v>4</v>
      </c>
      <c r="AJ80" s="1387">
        <f t="shared" si="48"/>
        <v>0</v>
      </c>
      <c r="AK80" s="1387">
        <f>IF(AI80=A80,IF(AND(L80="N",Table22[[#This Row],[LOQ_label]]="Y"),AJ80,$AJ80*$Y80),"")</f>
        <v>0</v>
      </c>
      <c r="AL80" s="1388">
        <f t="shared" si="49"/>
        <v>0</v>
      </c>
      <c r="AM80" s="1393">
        <f>IF(Table22[[#This Row],[Highest residue * CF*PF]]&lt;&gt;"",Table22[[#This Row],[Highest residue * CF*PF]],Table22[[#This Row],[MRL*CF*PF or MRL (if LOQ and not authorised) (acute RA)]])</f>
        <v>0</v>
      </c>
      <c r="AN80" s="1390" t="str">
        <f t="shared" si="50"/>
        <v>MRL</v>
      </c>
      <c r="AO80" s="1390" t="str">
        <f t="shared" si="51"/>
        <v/>
      </c>
      <c r="AP80" s="1404" t="str">
        <f t="shared" si="52"/>
        <v/>
      </c>
      <c r="AQ80" s="1388">
        <f t="shared" si="53"/>
        <v>0</v>
      </c>
      <c r="AR80" s="1388" t="str">
        <f t="shared" si="54"/>
        <v/>
      </c>
      <c r="AS80" s="1388" t="str">
        <f t="shared" si="55"/>
        <v/>
      </c>
      <c r="AT80" s="1388" t="str">
        <f t="shared" si="56"/>
        <v/>
      </c>
      <c r="AU80" s="1393">
        <f t="shared" si="57"/>
        <v>0</v>
      </c>
      <c r="AV80" s="1388">
        <f t="shared" si="58"/>
        <v>0</v>
      </c>
      <c r="AW80" s="1390" t="str">
        <f t="shared" si="59"/>
        <v/>
      </c>
      <c r="AX80" s="1390" t="str">
        <f t="shared" si="65"/>
        <v/>
      </c>
      <c r="AY80" s="1394" t="str">
        <f t="shared" si="60"/>
        <v/>
      </c>
      <c r="AZ80" s="1395" t="str">
        <f>IF(Table22[[#This Row],[LOQ_label]]="Y",Table22[[#This Row],[MRL individual commodity]],"")</f>
        <v/>
      </c>
      <c r="BA80" s="1449" t="s">
        <v>654</v>
      </c>
      <c r="BB80" s="1411" t="str">
        <f>IF(Table22[[#This Row],[LOQ2]]&lt;0,MIN(AZ80:AZ410),"")</f>
        <v/>
      </c>
      <c r="BC80" s="1299"/>
      <c r="BD80" s="1306" t="str">
        <f>IF(Table22[[#This Row],[Chronic RA label]]="","N",IF(Table22[[#This Row],[Chronic RA label]]="LOQ","N",IF(Table22[[#This Row],[Chronic RA label]]="MRL","N","Y")))</f>
        <v>N</v>
      </c>
      <c r="BE80" s="1306" t="str">
        <f>IF(Table22[[#This Row],[Acute RA label]]="","N",IF(Table22[[#This Row],[Acute RA label]]="LOQ","N",IF(Table22[[#This Row],[Acute RA label]]="MRL","N","Y")))</f>
        <v>N</v>
      </c>
      <c r="BF80" s="1306" t="str">
        <f>IF(OR(Table22[[#This Row],[include commodity in Summary_input_values_chronic]]="Y",Table22[[#This Row],[include commodity in Summary_input_values_acute]]="Y"),"Y","N")</f>
        <v>N</v>
      </c>
      <c r="BG80" s="1299"/>
      <c r="BH80" s="1324"/>
    </row>
    <row r="81" spans="1:60" ht="12.75" customHeight="1" outlineLevel="3" x14ac:dyDescent="0.2">
      <c r="A81" s="39">
        <v>4</v>
      </c>
      <c r="B81" s="327">
        <v>162050</v>
      </c>
      <c r="C81" s="23" t="s">
        <v>696</v>
      </c>
      <c r="D81" s="867"/>
      <c r="E81" s="1219"/>
      <c r="F81" s="867"/>
      <c r="G81" s="869"/>
      <c r="H81" s="868"/>
      <c r="I81" s="868"/>
      <c r="J81" s="870"/>
      <c r="K81" s="865"/>
      <c r="L81" s="872"/>
      <c r="M81" s="872"/>
      <c r="N81" s="925" t="str">
        <f>IF(O81&lt;&gt;0,CONCATENATE(input_values!$AF81,input_values!$AG81,input_values!$AH81),"")</f>
        <v/>
      </c>
      <c r="O81" s="491">
        <f>IF($A$10="Refined calculation mode",Table22[[#This Row],[input for chronic (refined mode]],Table22[[#This Row],[input for chronic normal mode]])</f>
        <v>0</v>
      </c>
      <c r="P81" s="925" t="str">
        <f>IF(Q81&lt;&gt;0,CONCATENATE(input_values!$AN81,input_values!$AO81,input_values!$AP81),"")</f>
        <v/>
      </c>
      <c r="Q81" s="491">
        <f>IF($V$5=0,0,IF(OR($A$10="Refined calculation mode",Results!$B$62="Show results of IESTI calculation only for crops with GAPs under assessment"),Table22[[#This Row],[Input for IESTI (refined mode)]],Table22[[#This Row],[Input for IESTI normal mode]]))</f>
        <v>0</v>
      </c>
      <c r="R81" s="926" t="str">
        <f>IF(S81&lt;&gt;0,CONCATENATE(input_values!$AW81,input_values!$AX81,input_values!$AY81),"")</f>
        <v/>
      </c>
      <c r="S81" s="492">
        <f>IF($V$5=0,0,IF(OR($A$10="Refined calculation mode",Results!$B$62="Show results of IESTI calculation only for crops with GAPs under assessment"),Table22[[#This Row],[Input for IESTI new (refined mode)]],Table22[[#This Row],[Input for IESTI new normal mode]]))</f>
        <v>0</v>
      </c>
      <c r="T81" s="886"/>
      <c r="U81" s="1408">
        <f>Table22[[#This Row],[MRL/ proposed MRL /CXL
(mg/kg)]]</f>
        <v>0</v>
      </c>
      <c r="V81" s="1409" t="str">
        <f t="shared" si="61"/>
        <v/>
      </c>
      <c r="W81" s="1387">
        <f t="shared" si="62"/>
        <v>1</v>
      </c>
      <c r="X81" s="1387">
        <f t="shared" si="63"/>
        <v>1</v>
      </c>
      <c r="Y81" s="1387">
        <f t="shared" si="64"/>
        <v>1</v>
      </c>
      <c r="Z81" s="1410">
        <v>4</v>
      </c>
      <c r="AA81" s="1387">
        <f t="shared" si="42"/>
        <v>0</v>
      </c>
      <c r="AB81" s="1387">
        <f>IF(Z81=A81,IF(AND(L81="N",Table22[[#This Row],[LOQ_label]]="Y"),AA81,$AA81*$Y81),"")</f>
        <v>0</v>
      </c>
      <c r="AC81" s="1393">
        <f t="shared" si="43"/>
        <v>0</v>
      </c>
      <c r="AD81" s="1393">
        <f>IF(Table22[[#This Row],[Median residue*CF*PeF]]&lt;&gt;"",Table22[[#This Row],[Median residue*CF*PeF]],Table22[[#This Row],[MRL*CF*PeF (chronic)]])</f>
        <v>0</v>
      </c>
      <c r="AE81" s="1393">
        <f t="shared" si="44"/>
        <v>0</v>
      </c>
      <c r="AF81" s="1390" t="str">
        <f t="shared" si="45"/>
        <v>MRL</v>
      </c>
      <c r="AG81" s="1390" t="str">
        <f t="shared" si="46"/>
        <v/>
      </c>
      <c r="AH81" s="1394" t="str">
        <f t="shared" si="47"/>
        <v/>
      </c>
      <c r="AI81" s="1386">
        <v>4</v>
      </c>
      <c r="AJ81" s="1387">
        <f t="shared" si="48"/>
        <v>0</v>
      </c>
      <c r="AK81" s="1387">
        <f>IF(AI81=A81,IF(AND(L81="N",Table22[[#This Row],[LOQ_label]]="Y"),AJ81,$AJ81*$Y81),"")</f>
        <v>0</v>
      </c>
      <c r="AL81" s="1388">
        <f t="shared" si="49"/>
        <v>0</v>
      </c>
      <c r="AM81" s="1393">
        <f>IF(Table22[[#This Row],[Highest residue * CF*PF]]&lt;&gt;"",Table22[[#This Row],[Highest residue * CF*PF]],Table22[[#This Row],[MRL*CF*PF or MRL (if LOQ and not authorised) (acute RA)]])</f>
        <v>0</v>
      </c>
      <c r="AN81" s="1390" t="str">
        <f t="shared" si="50"/>
        <v>MRL</v>
      </c>
      <c r="AO81" s="1390" t="str">
        <f t="shared" si="51"/>
        <v/>
      </c>
      <c r="AP81" s="1404" t="str">
        <f t="shared" si="52"/>
        <v/>
      </c>
      <c r="AQ81" s="1388">
        <f t="shared" si="53"/>
        <v>0</v>
      </c>
      <c r="AR81" s="1388" t="str">
        <f t="shared" si="54"/>
        <v/>
      </c>
      <c r="AS81" s="1388" t="str">
        <f t="shared" si="55"/>
        <v/>
      </c>
      <c r="AT81" s="1388" t="str">
        <f t="shared" si="56"/>
        <v/>
      </c>
      <c r="AU81" s="1393">
        <f t="shared" si="57"/>
        <v>0</v>
      </c>
      <c r="AV81" s="1388">
        <f t="shared" si="58"/>
        <v>0</v>
      </c>
      <c r="AW81" s="1390" t="str">
        <f t="shared" si="59"/>
        <v/>
      </c>
      <c r="AX81" s="1390" t="str">
        <f t="shared" si="65"/>
        <v/>
      </c>
      <c r="AY81" s="1394" t="str">
        <f t="shared" si="60"/>
        <v/>
      </c>
      <c r="AZ81" s="1395" t="str">
        <f>IF(Table22[[#This Row],[LOQ_label]]="Y",Table22[[#This Row],[MRL individual commodity]],"")</f>
        <v/>
      </c>
      <c r="BA81" s="1396" t="s">
        <v>618</v>
      </c>
      <c r="BB81" s="1411" t="str">
        <f>IF(Table22[[#This Row],[LOQ2]]&lt;0,MIN(AZ81:AZ410),"")</f>
        <v/>
      </c>
      <c r="BC81" s="1299"/>
      <c r="BD81" s="1306" t="str">
        <f>IF(Table22[[#This Row],[Chronic RA label]]="","N",IF(Table22[[#This Row],[Chronic RA label]]="LOQ","N",IF(Table22[[#This Row],[Chronic RA label]]="MRL","N","Y")))</f>
        <v>N</v>
      </c>
      <c r="BE81" s="1306" t="str">
        <f>IF(Table22[[#This Row],[Acute RA label]]="","N",IF(Table22[[#This Row],[Acute RA label]]="LOQ","N",IF(Table22[[#This Row],[Acute RA label]]="MRL","N","Y")))</f>
        <v>N</v>
      </c>
      <c r="BF81" s="1306" t="str">
        <f>IF(OR(Table22[[#This Row],[include commodity in Summary_input_values_chronic]]="Y",Table22[[#This Row],[include commodity in Summary_input_values_acute]]="Y"),"Y","N")</f>
        <v>N</v>
      </c>
      <c r="BG81" s="1299"/>
      <c r="BH81" s="1324"/>
    </row>
    <row r="82" spans="1:60" ht="12.75" customHeight="1" outlineLevel="3" x14ac:dyDescent="0.2">
      <c r="A82" s="39">
        <v>4</v>
      </c>
      <c r="B82" s="327">
        <v>162060</v>
      </c>
      <c r="C82" s="23" t="s">
        <v>697</v>
      </c>
      <c r="D82" s="867"/>
      <c r="E82" s="1219"/>
      <c r="F82" s="867"/>
      <c r="G82" s="869"/>
      <c r="H82" s="868"/>
      <c r="I82" s="868"/>
      <c r="J82" s="870"/>
      <c r="K82" s="871"/>
      <c r="L82" s="872"/>
      <c r="M82" s="872"/>
      <c r="N82" s="925" t="str">
        <f>IF(O82&lt;&gt;0,CONCATENATE(input_values!$AF82,input_values!$AG82,input_values!$AH82),"")</f>
        <v/>
      </c>
      <c r="O82" s="491">
        <f>IF($A$10="Refined calculation mode",Table22[[#This Row],[input for chronic (refined mode]],Table22[[#This Row],[input for chronic normal mode]])</f>
        <v>0</v>
      </c>
      <c r="P82" s="925" t="str">
        <f>IF(Q82&lt;&gt;0,CONCATENATE(input_values!$AN82,input_values!$AO82,input_values!$AP82),"")</f>
        <v/>
      </c>
      <c r="Q82" s="491">
        <f>IF($V$5=0,0,IF(OR($A$10="Refined calculation mode",Results!$B$62="Show results of IESTI calculation only for crops with GAPs under assessment"),Table22[[#This Row],[Input for IESTI (refined mode)]],Table22[[#This Row],[Input for IESTI normal mode]]))</f>
        <v>0</v>
      </c>
      <c r="R82" s="926" t="str">
        <f>IF(S82&lt;&gt;0,CONCATENATE(input_values!$AW82,input_values!$AX82,input_values!$AY82),"")</f>
        <v/>
      </c>
      <c r="S82" s="492">
        <f>IF($V$5=0,0,IF(OR($A$10="Refined calculation mode",Results!$B$62="Show results of IESTI calculation only for crops with GAPs under assessment"),Table22[[#This Row],[Input for IESTI new (refined mode)]],Table22[[#This Row],[Input for IESTI new normal mode]]))</f>
        <v>0</v>
      </c>
      <c r="T82" s="886"/>
      <c r="U82" s="1408">
        <f>Table22[[#This Row],[MRL/ proposed MRL /CXL
(mg/kg)]]</f>
        <v>0</v>
      </c>
      <c r="V82" s="1409" t="str">
        <f t="shared" si="61"/>
        <v/>
      </c>
      <c r="W82" s="1387">
        <f t="shared" si="62"/>
        <v>1</v>
      </c>
      <c r="X82" s="1387">
        <f t="shared" si="63"/>
        <v>1</v>
      </c>
      <c r="Y82" s="1387">
        <f t="shared" si="64"/>
        <v>1</v>
      </c>
      <c r="Z82" s="1410">
        <v>4</v>
      </c>
      <c r="AA82" s="1387">
        <f t="shared" si="42"/>
        <v>0</v>
      </c>
      <c r="AB82" s="1387">
        <f>IF(Z82=A82,IF(AND(L82="N",Table22[[#This Row],[LOQ_label]]="Y"),AA82,$AA82*$Y82),"")</f>
        <v>0</v>
      </c>
      <c r="AC82" s="1393">
        <f t="shared" si="43"/>
        <v>0</v>
      </c>
      <c r="AD82" s="1393">
        <f>IF(Table22[[#This Row],[Median residue*CF*PeF]]&lt;&gt;"",Table22[[#This Row],[Median residue*CF*PeF]],Table22[[#This Row],[MRL*CF*PeF (chronic)]])</f>
        <v>0</v>
      </c>
      <c r="AE82" s="1393">
        <f t="shared" si="44"/>
        <v>0</v>
      </c>
      <c r="AF82" s="1390" t="str">
        <f t="shared" si="45"/>
        <v>MRL</v>
      </c>
      <c r="AG82" s="1390" t="str">
        <f t="shared" si="46"/>
        <v/>
      </c>
      <c r="AH82" s="1394" t="str">
        <f t="shared" si="47"/>
        <v/>
      </c>
      <c r="AI82" s="1386">
        <v>4</v>
      </c>
      <c r="AJ82" s="1387">
        <f t="shared" si="48"/>
        <v>0</v>
      </c>
      <c r="AK82" s="1387">
        <f>IF(AI82=A82,IF(AND(L82="N",Table22[[#This Row],[LOQ_label]]="Y"),AJ82,$AJ82*$Y82),"")</f>
        <v>0</v>
      </c>
      <c r="AL82" s="1388">
        <f t="shared" si="49"/>
        <v>0</v>
      </c>
      <c r="AM82" s="1393">
        <f>IF(Table22[[#This Row],[Highest residue * CF*PF]]&lt;&gt;"",Table22[[#This Row],[Highest residue * CF*PF]],Table22[[#This Row],[MRL*CF*PF or MRL (if LOQ and not authorised) (acute RA)]])</f>
        <v>0</v>
      </c>
      <c r="AN82" s="1390" t="str">
        <f t="shared" si="50"/>
        <v>MRL</v>
      </c>
      <c r="AO82" s="1390" t="str">
        <f t="shared" si="51"/>
        <v/>
      </c>
      <c r="AP82" s="1404" t="str">
        <f t="shared" si="52"/>
        <v/>
      </c>
      <c r="AQ82" s="1388">
        <f t="shared" si="53"/>
        <v>0</v>
      </c>
      <c r="AR82" s="1388" t="str">
        <f t="shared" si="54"/>
        <v/>
      </c>
      <c r="AS82" s="1388" t="str">
        <f t="shared" si="55"/>
        <v/>
      </c>
      <c r="AT82" s="1388" t="str">
        <f t="shared" si="56"/>
        <v/>
      </c>
      <c r="AU82" s="1393">
        <f t="shared" si="57"/>
        <v>0</v>
      </c>
      <c r="AV82" s="1388">
        <f t="shared" si="58"/>
        <v>0</v>
      </c>
      <c r="AW82" s="1390" t="str">
        <f t="shared" si="59"/>
        <v/>
      </c>
      <c r="AX82" s="1390" t="str">
        <f t="shared" si="65"/>
        <v/>
      </c>
      <c r="AY82" s="1394" t="str">
        <f t="shared" si="60"/>
        <v/>
      </c>
      <c r="AZ82" s="1395" t="str">
        <f>IF(Table22[[#This Row],[LOQ_label]]="Y",Table22[[#This Row],[MRL individual commodity]],"")</f>
        <v/>
      </c>
      <c r="BA82" s="1449" t="s">
        <v>654</v>
      </c>
      <c r="BB82" s="1411" t="str">
        <f>IF(Table22[[#This Row],[LOQ2]]&lt;0,MIN(AZ82:AZ410),"")</f>
        <v/>
      </c>
      <c r="BC82" s="1299"/>
      <c r="BD82" s="1306" t="str">
        <f>IF(Table22[[#This Row],[Chronic RA label]]="","N",IF(Table22[[#This Row],[Chronic RA label]]="LOQ","N",IF(Table22[[#This Row],[Chronic RA label]]="MRL","N","Y")))</f>
        <v>N</v>
      </c>
      <c r="BE82" s="1306" t="str">
        <f>IF(Table22[[#This Row],[Acute RA label]]="","N",IF(Table22[[#This Row],[Acute RA label]]="LOQ","N",IF(Table22[[#This Row],[Acute RA label]]="MRL","N","Y")))</f>
        <v>N</v>
      </c>
      <c r="BF82" s="1306" t="str">
        <f>IF(OR(Table22[[#This Row],[include commodity in Summary_input_values_chronic]]="Y",Table22[[#This Row],[include commodity in Summary_input_values_acute]]="Y"),"Y","N")</f>
        <v>N</v>
      </c>
      <c r="BG82" s="1299"/>
      <c r="BH82" s="1324"/>
    </row>
    <row r="83" spans="1:60" ht="12.75" customHeight="1" outlineLevel="3" x14ac:dyDescent="0.2">
      <c r="A83" s="39">
        <v>4</v>
      </c>
      <c r="B83" s="327">
        <v>162990</v>
      </c>
      <c r="C83" s="23" t="s">
        <v>54</v>
      </c>
      <c r="D83" s="867"/>
      <c r="E83" s="1219"/>
      <c r="F83" s="867"/>
      <c r="G83" s="868"/>
      <c r="H83" s="868"/>
      <c r="I83" s="868"/>
      <c r="J83" s="870"/>
      <c r="K83" s="865"/>
      <c r="L83" s="872"/>
      <c r="M83" s="872"/>
      <c r="N83" s="925" t="str">
        <f>IF(O83&lt;&gt;0,CONCATENATE(input_values!$AF83,input_values!$AG83,input_values!$AH83),"")</f>
        <v/>
      </c>
      <c r="O83" s="491">
        <f>IF($A$10="Refined calculation mode",Table22[[#This Row],[input for chronic (refined mode]],Table22[[#This Row],[input for chronic normal mode]])</f>
        <v>0</v>
      </c>
      <c r="P83" s="473"/>
      <c r="Q83" s="474"/>
      <c r="R83" s="473"/>
      <c r="S83" s="474"/>
      <c r="T83" s="886"/>
      <c r="U83" s="1408">
        <f>Table22[[#This Row],[MRL/ proposed MRL /CXL
(mg/kg)]]</f>
        <v>0</v>
      </c>
      <c r="V83" s="1409" t="str">
        <f t="shared" si="61"/>
        <v/>
      </c>
      <c r="W83" s="1387">
        <f t="shared" si="62"/>
        <v>1</v>
      </c>
      <c r="X83" s="1387">
        <f t="shared" si="63"/>
        <v>1</v>
      </c>
      <c r="Y83" s="1387">
        <f t="shared" si="64"/>
        <v>1</v>
      </c>
      <c r="Z83" s="1410">
        <v>4</v>
      </c>
      <c r="AA83" s="1387">
        <f t="shared" si="42"/>
        <v>0</v>
      </c>
      <c r="AB83" s="1387">
        <f>IF(Z83=A83,IF(AND(L83="N",Table22[[#This Row],[LOQ_label]]="Y"),AA83,$AA83*$Y83),"")</f>
        <v>0</v>
      </c>
      <c r="AC83" s="1393">
        <f t="shared" si="43"/>
        <v>0</v>
      </c>
      <c r="AD83" s="1393">
        <f>IF(Table22[[#This Row],[Median residue*CF*PeF]]&lt;&gt;"",Table22[[#This Row],[Median residue*CF*PeF]],Table22[[#This Row],[MRL*CF*PeF (chronic)]])</f>
        <v>0</v>
      </c>
      <c r="AE83" s="1393">
        <f t="shared" si="44"/>
        <v>0</v>
      </c>
      <c r="AF83" s="1390" t="str">
        <f t="shared" si="45"/>
        <v>MRL</v>
      </c>
      <c r="AG83" s="1390" t="str">
        <f t="shared" si="46"/>
        <v/>
      </c>
      <c r="AH83" s="1394" t="str">
        <f t="shared" si="47"/>
        <v/>
      </c>
      <c r="AI83" s="1386"/>
      <c r="AJ83" s="1387" t="str">
        <f t="shared" si="48"/>
        <v/>
      </c>
      <c r="AK83" s="1387" t="str">
        <f>IF(AI83=A83,IF(AND(L83="N",Table22[[#This Row],[LOQ_label]]="Y"),AJ83,$AJ83*$Y83),"")</f>
        <v/>
      </c>
      <c r="AL83" s="1388" t="str">
        <f t="shared" si="49"/>
        <v/>
      </c>
      <c r="AM83" s="1393" t="str">
        <f>IF(Table22[[#This Row],[Highest residue * CF*PF]]&lt;&gt;"",Table22[[#This Row],[Highest residue * CF*PF]],Table22[[#This Row],[MRL*CF*PF or MRL (if LOQ and not authorised) (acute RA)]])</f>
        <v/>
      </c>
      <c r="AN83" s="1390" t="str">
        <f t="shared" si="50"/>
        <v/>
      </c>
      <c r="AO83" s="1390" t="str">
        <f t="shared" si="51"/>
        <v/>
      </c>
      <c r="AP83" s="1404" t="str">
        <f t="shared" si="52"/>
        <v/>
      </c>
      <c r="AQ83" s="1388">
        <f t="shared" si="53"/>
        <v>0</v>
      </c>
      <c r="AR83" s="1388" t="str">
        <f t="shared" si="54"/>
        <v/>
      </c>
      <c r="AS83" s="1388" t="str">
        <f t="shared" si="55"/>
        <v/>
      </c>
      <c r="AT83" s="1388" t="str">
        <f t="shared" si="56"/>
        <v/>
      </c>
      <c r="AU83" s="1393" t="str">
        <f t="shared" si="57"/>
        <v/>
      </c>
      <c r="AV83" s="1388">
        <f t="shared" si="58"/>
        <v>0</v>
      </c>
      <c r="AW83" s="1390" t="str">
        <f t="shared" si="59"/>
        <v/>
      </c>
      <c r="AX83" s="1390" t="str">
        <f>IF(AND(AN83&lt;&gt;"",AY83&lt;&gt;""),"*","")</f>
        <v/>
      </c>
      <c r="AY83" s="1394" t="str">
        <f t="shared" si="60"/>
        <v/>
      </c>
      <c r="AZ83" s="1395" t="str">
        <f>IF(Table22[[#This Row],[LOQ_label]]="Y",Table22[[#This Row],[MRL individual commodity]],"")</f>
        <v/>
      </c>
      <c r="BA83" s="1396" t="s">
        <v>1159</v>
      </c>
      <c r="BB83" s="1411" t="str">
        <f>IF(Table22[[#This Row],[LOQ2]]&lt;0,MIN(AZ83:AZ410),"")</f>
        <v/>
      </c>
      <c r="BC83" s="1299"/>
      <c r="BD83" s="1306" t="str">
        <f>IF(Table22[[#This Row],[Chronic RA label]]="","N",IF(Table22[[#This Row],[Chronic RA label]]="LOQ","N",IF(Table22[[#This Row],[Chronic RA label]]="MRL","N","Y")))</f>
        <v>N</v>
      </c>
      <c r="BE83" s="1306" t="str">
        <f>IF(Table22[[#This Row],[Acute RA label]]="","N",IF(Table22[[#This Row],[Acute RA label]]="LOQ","N",IF(Table22[[#This Row],[Acute RA label]]="MRL","N","Y")))</f>
        <v>N</v>
      </c>
      <c r="BF83" s="1306" t="str">
        <f>IF(OR(Table22[[#This Row],[include commodity in Summary_input_values_chronic]]="Y",Table22[[#This Row],[include commodity in Summary_input_values_acute]]="Y"),"Y","N")</f>
        <v>N</v>
      </c>
      <c r="BG83" s="1299"/>
      <c r="BH83" s="1324"/>
    </row>
    <row r="84" spans="1:60" ht="12.75" customHeight="1" outlineLevel="2" x14ac:dyDescent="0.2">
      <c r="A84" s="132">
        <v>3</v>
      </c>
      <c r="B84" s="448">
        <v>163000</v>
      </c>
      <c r="C84" s="3" t="s">
        <v>136</v>
      </c>
      <c r="D84" s="862"/>
      <c r="E84" s="1218"/>
      <c r="F84" s="862"/>
      <c r="G84" s="866"/>
      <c r="H84" s="863"/>
      <c r="I84" s="863"/>
      <c r="J84" s="864"/>
      <c r="K84" s="865"/>
      <c r="L84" s="471"/>
      <c r="M84" s="471"/>
      <c r="N84" s="473"/>
      <c r="O84" s="474"/>
      <c r="P84" s="473"/>
      <c r="Q84" s="474"/>
      <c r="R84" s="473"/>
      <c r="S84" s="474"/>
      <c r="T84" s="886"/>
      <c r="U84" s="1415"/>
      <c r="V84" s="1380"/>
      <c r="W84" s="1381"/>
      <c r="X84" s="1381"/>
      <c r="Y84" s="1381"/>
      <c r="Z84" s="1382">
        <v>4</v>
      </c>
      <c r="AA84" s="1381" t="str">
        <f t="shared" si="42"/>
        <v/>
      </c>
      <c r="AB84" s="1381" t="str">
        <f>IF(Z84=A84,IF(AND(L84="N",Table22[[#This Row],[LOQ_label]]="Y"),AA84,$AA84*$Y84),"")</f>
        <v/>
      </c>
      <c r="AC84" s="1383" t="str">
        <f t="shared" si="43"/>
        <v/>
      </c>
      <c r="AD84" s="1383" t="str">
        <f>IF(Table22[[#This Row],[Median residue*CF*PeF]]&lt;&gt;"",Table22[[#This Row],[Median residue*CF*PeF]],Table22[[#This Row],[MRL*CF*PeF (chronic)]])</f>
        <v/>
      </c>
      <c r="AE84" s="1384">
        <f t="shared" si="44"/>
        <v>0</v>
      </c>
      <c r="AF84" s="1385" t="str">
        <f t="shared" si="45"/>
        <v/>
      </c>
      <c r="AG84" s="1385" t="str">
        <f t="shared" si="46"/>
        <v/>
      </c>
      <c r="AH84" s="1270" t="str">
        <f t="shared" si="47"/>
        <v/>
      </c>
      <c r="AI84" s="1386">
        <v>4</v>
      </c>
      <c r="AJ84" s="1387" t="str">
        <f t="shared" si="48"/>
        <v/>
      </c>
      <c r="AK84" s="1387" t="str">
        <f>IF(AI84=A84,IF(AND(L84="N",Table22[[#This Row],[LOQ_label]]="Y"),AJ84,$AJ84*$Y84),"")</f>
        <v/>
      </c>
      <c r="AL84" s="1388" t="str">
        <f t="shared" si="49"/>
        <v/>
      </c>
      <c r="AM84" s="1393" t="str">
        <f>IF(Table22[[#This Row],[Highest residue * CF*PF]]&lt;&gt;"",Table22[[#This Row],[Highest residue * CF*PF]],Table22[[#This Row],[MRL*CF*PF or MRL (if LOQ and not authorised) (acute RA)]])</f>
        <v/>
      </c>
      <c r="AN84" s="1390" t="str">
        <f t="shared" si="50"/>
        <v/>
      </c>
      <c r="AO84" s="1390" t="str">
        <f t="shared" si="51"/>
        <v/>
      </c>
      <c r="AP84" s="1404" t="str">
        <f t="shared" si="52"/>
        <v/>
      </c>
      <c r="AQ84" s="1388">
        <f t="shared" si="53"/>
        <v>0</v>
      </c>
      <c r="AR84" s="1388" t="str">
        <f t="shared" si="54"/>
        <v/>
      </c>
      <c r="AS84" s="1388" t="str">
        <f t="shared" si="55"/>
        <v/>
      </c>
      <c r="AT84" s="1388" t="str">
        <f t="shared" si="56"/>
        <v/>
      </c>
      <c r="AU84" s="1393" t="str">
        <f t="shared" si="57"/>
        <v/>
      </c>
      <c r="AV84" s="1388">
        <f t="shared" si="58"/>
        <v>0</v>
      </c>
      <c r="AW84" s="1390" t="str">
        <f t="shared" si="59"/>
        <v/>
      </c>
      <c r="AX84" s="1390" t="str">
        <f>IF(AND(AN84&lt;&gt;"",AY84&lt;&gt;""),"*","")</f>
        <v/>
      </c>
      <c r="AY84" s="1394" t="str">
        <f t="shared" si="60"/>
        <v/>
      </c>
      <c r="AZ84" s="1395">
        <f>IF(Table22[[#This Row],[LOQ_label]]="Y",Table22[[#This Row],[MRL individual commodity]],"")</f>
        <v>0</v>
      </c>
      <c r="BA84" s="1396" t="s">
        <v>1159</v>
      </c>
      <c r="BB84" s="1411" t="str">
        <f>IF(Table22[[#This Row],[LOQ2]]&lt;0,MIN(AZ84:AZ410),"")</f>
        <v/>
      </c>
      <c r="BC84" s="1299"/>
      <c r="BD84" s="1306" t="str">
        <f>IF(Table22[[#This Row],[Chronic RA label]]="","N",IF(Table22[[#This Row],[Chronic RA label]]="LOQ","N",IF(Table22[[#This Row],[Chronic RA label]]="MRL","N","Y")))</f>
        <v>N</v>
      </c>
      <c r="BE84" s="1306" t="str">
        <f>IF(Table22[[#This Row],[Acute RA label]]="","N",IF(Table22[[#This Row],[Acute RA label]]="LOQ","N",IF(Table22[[#This Row],[Acute RA label]]="MRL","N","Y")))</f>
        <v>N</v>
      </c>
      <c r="BF84" s="1306" t="str">
        <f>IF(OR(Table22[[#This Row],[include commodity in Summary_input_values_chronic]]="Y",Table22[[#This Row],[include commodity in Summary_input_values_acute]]="Y"),"Y","N")</f>
        <v>N</v>
      </c>
      <c r="BG84" s="1299"/>
      <c r="BH84" s="1324"/>
    </row>
    <row r="85" spans="1:60" ht="12.75" customHeight="1" outlineLevel="3" x14ac:dyDescent="0.2">
      <c r="A85" s="39">
        <v>4</v>
      </c>
      <c r="B85" s="327">
        <v>163010</v>
      </c>
      <c r="C85" s="23" t="s">
        <v>265</v>
      </c>
      <c r="D85" s="867"/>
      <c r="E85" s="1219"/>
      <c r="F85" s="867"/>
      <c r="G85" s="869"/>
      <c r="H85" s="868"/>
      <c r="I85" s="868"/>
      <c r="J85" s="870"/>
      <c r="K85" s="871"/>
      <c r="L85" s="872"/>
      <c r="M85" s="872"/>
      <c r="N85" s="925" t="str">
        <f>IF(O85&lt;&gt;0,CONCATENATE(input_values!$AF85,input_values!$AG85,input_values!$AH85),"")</f>
        <v/>
      </c>
      <c r="O85" s="491">
        <f>IF($A$10="Refined calculation mode",Table22[[#This Row],[input for chronic (refined mode]],Table22[[#This Row],[input for chronic normal mode]])</f>
        <v>0</v>
      </c>
      <c r="P85" s="925" t="str">
        <f>IF(Q85&lt;&gt;0,CONCATENATE(input_values!$AN85,input_values!$AO85,input_values!$AP85),"")</f>
        <v/>
      </c>
      <c r="Q85" s="491">
        <f>IF($V$5=0,0,IF(OR($A$10="Refined calculation mode",Results!$B$62="Show results of IESTI calculation only for crops with GAPs under assessment"),Table22[[#This Row],[Input for IESTI (refined mode)]],Table22[[#This Row],[Input for IESTI normal mode]]))</f>
        <v>0</v>
      </c>
      <c r="R85" s="926" t="str">
        <f>IF(S85&lt;&gt;0,CONCATENATE(input_values!$AW85,input_values!$AX85,input_values!$AY85),"")</f>
        <v/>
      </c>
      <c r="S85" s="492">
        <f>IF($V$5=0,0,IF(OR($A$10="Refined calculation mode",Results!$B$62="Show results of IESTI calculation only for crops with GAPs under assessment"),Table22[[#This Row],[Input for IESTI new (refined mode)]],Table22[[#This Row],[Input for IESTI new normal mode]]))</f>
        <v>0</v>
      </c>
      <c r="T85" s="886"/>
      <c r="U85" s="1408">
        <f>Table22[[#This Row],[MRL/ proposed MRL /CXL
(mg/kg)]]</f>
        <v>0</v>
      </c>
      <c r="V85" s="1409" t="str">
        <f t="shared" ref="V85:V96" si="66">IF(ISBLANK(F85),"","Y")</f>
        <v/>
      </c>
      <c r="W85" s="1387">
        <f t="shared" ref="W85:W96" si="67">IF($G85&gt;0,$G85,1)</f>
        <v>1</v>
      </c>
      <c r="X85" s="1387">
        <f t="shared" ref="X85:X96" si="68">IF($H85&gt;0,$H85,1)</f>
        <v>1</v>
      </c>
      <c r="Y85" s="1387">
        <f t="shared" ref="Y85:Y96" si="69">W85*X85</f>
        <v>1</v>
      </c>
      <c r="Z85" s="1410">
        <v>4</v>
      </c>
      <c r="AA85" s="1387">
        <f t="shared" si="42"/>
        <v>0</v>
      </c>
      <c r="AB85" s="1387">
        <f>IF(Z85=A85,IF(AND(L85="N",Table22[[#This Row],[LOQ_label]]="Y"),AA85,$AA85*$Y85),"")</f>
        <v>0</v>
      </c>
      <c r="AC85" s="1393">
        <f t="shared" si="43"/>
        <v>0</v>
      </c>
      <c r="AD85" s="1393">
        <f>IF(Table22[[#This Row],[Median residue*CF*PeF]]&lt;&gt;"",Table22[[#This Row],[Median residue*CF*PeF]],Table22[[#This Row],[MRL*CF*PeF (chronic)]])</f>
        <v>0</v>
      </c>
      <c r="AE85" s="1393">
        <f t="shared" si="44"/>
        <v>0</v>
      </c>
      <c r="AF85" s="1390" t="str">
        <f t="shared" si="45"/>
        <v>MRL</v>
      </c>
      <c r="AG85" s="1390" t="str">
        <f t="shared" si="46"/>
        <v/>
      </c>
      <c r="AH85" s="1394" t="str">
        <f t="shared" si="47"/>
        <v/>
      </c>
      <c r="AI85" s="1386">
        <v>4</v>
      </c>
      <c r="AJ85" s="1387">
        <f t="shared" si="48"/>
        <v>0</v>
      </c>
      <c r="AK85" s="1387">
        <f>IF(AI85=A85,IF(AND(L85="N",Table22[[#This Row],[LOQ_label]]="Y"),AJ85,$AJ85*$Y85),"")</f>
        <v>0</v>
      </c>
      <c r="AL85" s="1388">
        <f t="shared" si="49"/>
        <v>0</v>
      </c>
      <c r="AM85" s="1393">
        <f>IF(Table22[[#This Row],[Highest residue * CF*PF]]&lt;&gt;"",Table22[[#This Row],[Highest residue * CF*PF]],Table22[[#This Row],[MRL*CF*PF or MRL (if LOQ and not authorised) (acute RA)]])</f>
        <v>0</v>
      </c>
      <c r="AN85" s="1390" t="str">
        <f t="shared" si="50"/>
        <v>MRL</v>
      </c>
      <c r="AO85" s="1390" t="str">
        <f t="shared" si="51"/>
        <v/>
      </c>
      <c r="AP85" s="1404" t="str">
        <f t="shared" si="52"/>
        <v/>
      </c>
      <c r="AQ85" s="1388">
        <f t="shared" si="53"/>
        <v>0</v>
      </c>
      <c r="AR85" s="1388" t="str">
        <f t="shared" si="54"/>
        <v/>
      </c>
      <c r="AS85" s="1388" t="str">
        <f t="shared" si="55"/>
        <v/>
      </c>
      <c r="AT85" s="1388" t="str">
        <f t="shared" si="56"/>
        <v/>
      </c>
      <c r="AU85" s="1393">
        <f t="shared" si="57"/>
        <v>0</v>
      </c>
      <c r="AV85" s="1388">
        <f t="shared" si="58"/>
        <v>0</v>
      </c>
      <c r="AW85" s="1390" t="str">
        <f t="shared" si="59"/>
        <v/>
      </c>
      <c r="AX85" s="1390" t="str">
        <f t="shared" ref="AX85:AX95" si="70">IF(AND(AW85&lt;&gt;"",AY85&lt;&gt;""),"*","")</f>
        <v/>
      </c>
      <c r="AY85" s="1394" t="str">
        <f t="shared" si="60"/>
        <v/>
      </c>
      <c r="AZ85" s="1395" t="str">
        <f>IF(Table22[[#This Row],[LOQ_label]]="Y",Table22[[#This Row],[MRL individual commodity]],"")</f>
        <v/>
      </c>
      <c r="BA85" s="1449" t="s">
        <v>654</v>
      </c>
      <c r="BB85" s="1411" t="str">
        <f>IF(Table22[[#This Row],[LOQ2]]&lt;0,MIN(AZ85:AZ410),"")</f>
        <v/>
      </c>
      <c r="BC85" s="1299"/>
      <c r="BD85" s="1306" t="str">
        <f>IF(Table22[[#This Row],[Chronic RA label]]="","N",IF(Table22[[#This Row],[Chronic RA label]]="LOQ","N",IF(Table22[[#This Row],[Chronic RA label]]="MRL","N","Y")))</f>
        <v>N</v>
      </c>
      <c r="BE85" s="1306" t="str">
        <f>IF(Table22[[#This Row],[Acute RA label]]="","N",IF(Table22[[#This Row],[Acute RA label]]="LOQ","N",IF(Table22[[#This Row],[Acute RA label]]="MRL","N","Y")))</f>
        <v>N</v>
      </c>
      <c r="BF85" s="1306" t="str">
        <f>IF(OR(Table22[[#This Row],[include commodity in Summary_input_values_chronic]]="Y",Table22[[#This Row],[include commodity in Summary_input_values_acute]]="Y"),"Y","N")</f>
        <v>N</v>
      </c>
      <c r="BG85" s="1299"/>
      <c r="BH85" s="1324"/>
    </row>
    <row r="86" spans="1:60" ht="12.75" customHeight="1" outlineLevel="3" x14ac:dyDescent="0.2">
      <c r="A86" s="39">
        <v>4</v>
      </c>
      <c r="B86" s="327">
        <v>163020</v>
      </c>
      <c r="C86" s="23" t="s">
        <v>266</v>
      </c>
      <c r="D86" s="867"/>
      <c r="E86" s="1219"/>
      <c r="F86" s="867"/>
      <c r="G86" s="869"/>
      <c r="H86" s="868"/>
      <c r="I86" s="868"/>
      <c r="J86" s="870"/>
      <c r="K86" s="871"/>
      <c r="L86" s="872"/>
      <c r="M86" s="872"/>
      <c r="N86" s="925" t="str">
        <f>IF(O86&lt;&gt;0,CONCATENATE(input_values!$AF86,input_values!$AG86,input_values!$AH86),"")</f>
        <v/>
      </c>
      <c r="O86" s="491">
        <f>IF($A$10="Refined calculation mode",Table22[[#This Row],[input for chronic (refined mode]],Table22[[#This Row],[input for chronic normal mode]])</f>
        <v>0</v>
      </c>
      <c r="P86" s="925" t="str">
        <f>IF(Q86&lt;&gt;0,CONCATENATE(input_values!$AN86,input_values!$AO86,input_values!$AP86),"")</f>
        <v/>
      </c>
      <c r="Q86" s="491">
        <f>IF($V$5=0,0,IF(OR($A$10="Refined calculation mode",Results!$B$62="Show results of IESTI calculation only for crops with GAPs under assessment"),Table22[[#This Row],[Input for IESTI (refined mode)]],Table22[[#This Row],[Input for IESTI normal mode]]))</f>
        <v>0</v>
      </c>
      <c r="R86" s="926" t="str">
        <f>IF(S86&lt;&gt;0,CONCATENATE(input_values!$AW86,input_values!$AX86,input_values!$AY86),"")</f>
        <v/>
      </c>
      <c r="S86" s="492">
        <f>IF($V$5=0,0,IF(OR($A$10="Refined calculation mode",Results!$B$62="Show results of IESTI calculation only for crops with GAPs under assessment"),Table22[[#This Row],[Input for IESTI new (refined mode)]],Table22[[#This Row],[Input for IESTI new normal mode]]))</f>
        <v>0</v>
      </c>
      <c r="T86" s="886"/>
      <c r="U86" s="1408">
        <f>Table22[[#This Row],[MRL/ proposed MRL /CXL
(mg/kg)]]</f>
        <v>0</v>
      </c>
      <c r="V86" s="1409" t="str">
        <f t="shared" si="66"/>
        <v/>
      </c>
      <c r="W86" s="1387">
        <f t="shared" si="67"/>
        <v>1</v>
      </c>
      <c r="X86" s="1387">
        <f t="shared" si="68"/>
        <v>1</v>
      </c>
      <c r="Y86" s="1387">
        <f t="shared" si="69"/>
        <v>1</v>
      </c>
      <c r="Z86" s="1410">
        <v>4</v>
      </c>
      <c r="AA86" s="1387">
        <f t="shared" si="42"/>
        <v>0</v>
      </c>
      <c r="AB86" s="1387">
        <f>IF(Z86=A86,IF(AND(L86="N",Table22[[#This Row],[LOQ_label]]="Y"),AA86,$AA86*$Y86),"")</f>
        <v>0</v>
      </c>
      <c r="AC86" s="1393">
        <f t="shared" si="43"/>
        <v>0</v>
      </c>
      <c r="AD86" s="1393">
        <f>IF(Table22[[#This Row],[Median residue*CF*PeF]]&lt;&gt;"",Table22[[#This Row],[Median residue*CF*PeF]],Table22[[#This Row],[MRL*CF*PeF (chronic)]])</f>
        <v>0</v>
      </c>
      <c r="AE86" s="1393">
        <f t="shared" si="44"/>
        <v>0</v>
      </c>
      <c r="AF86" s="1390" t="str">
        <f t="shared" si="45"/>
        <v>MRL</v>
      </c>
      <c r="AG86" s="1390" t="str">
        <f t="shared" si="46"/>
        <v/>
      </c>
      <c r="AH86" s="1394" t="str">
        <f t="shared" si="47"/>
        <v/>
      </c>
      <c r="AI86" s="1386">
        <v>4</v>
      </c>
      <c r="AJ86" s="1387">
        <f t="shared" si="48"/>
        <v>0</v>
      </c>
      <c r="AK86" s="1387">
        <f>IF(AI86=A86,IF(AND(L86="N",Table22[[#This Row],[LOQ_label]]="Y"),AJ86,$AJ86*$Y86),"")</f>
        <v>0</v>
      </c>
      <c r="AL86" s="1388">
        <f t="shared" si="49"/>
        <v>0</v>
      </c>
      <c r="AM86" s="1393">
        <f>IF(Table22[[#This Row],[Highest residue * CF*PF]]&lt;&gt;"",Table22[[#This Row],[Highest residue * CF*PF]],Table22[[#This Row],[MRL*CF*PF or MRL (if LOQ and not authorised) (acute RA)]])</f>
        <v>0</v>
      </c>
      <c r="AN86" s="1390" t="str">
        <f t="shared" si="50"/>
        <v>MRL</v>
      </c>
      <c r="AO86" s="1390" t="str">
        <f t="shared" si="51"/>
        <v/>
      </c>
      <c r="AP86" s="1404" t="str">
        <f t="shared" si="52"/>
        <v/>
      </c>
      <c r="AQ86" s="1388">
        <f t="shared" si="53"/>
        <v>0</v>
      </c>
      <c r="AR86" s="1388" t="str">
        <f t="shared" si="54"/>
        <v/>
      </c>
      <c r="AS86" s="1388" t="str">
        <f t="shared" si="55"/>
        <v/>
      </c>
      <c r="AT86" s="1388" t="str">
        <f t="shared" si="56"/>
        <v/>
      </c>
      <c r="AU86" s="1393">
        <f t="shared" si="57"/>
        <v>0</v>
      </c>
      <c r="AV86" s="1388">
        <f t="shared" si="58"/>
        <v>0</v>
      </c>
      <c r="AW86" s="1390" t="str">
        <f t="shared" si="59"/>
        <v/>
      </c>
      <c r="AX86" s="1390" t="str">
        <f t="shared" si="70"/>
        <v/>
      </c>
      <c r="AY86" s="1394" t="str">
        <f t="shared" si="60"/>
        <v/>
      </c>
      <c r="AZ86" s="1395" t="str">
        <f>IF(Table22[[#This Row],[LOQ_label]]="Y",Table22[[#This Row],[MRL individual commodity]],"")</f>
        <v/>
      </c>
      <c r="BA86" s="1449" t="s">
        <v>654</v>
      </c>
      <c r="BB86" s="1411" t="str">
        <f>IF(Table22[[#This Row],[LOQ2]]&lt;0,MIN(AZ86:AZ410),"")</f>
        <v/>
      </c>
      <c r="BC86" s="1299"/>
      <c r="BD86" s="1306" t="str">
        <f>IF(Table22[[#This Row],[Chronic RA label]]="","N",IF(Table22[[#This Row],[Chronic RA label]]="LOQ","N",IF(Table22[[#This Row],[Chronic RA label]]="MRL","N","Y")))</f>
        <v>N</v>
      </c>
      <c r="BE86" s="1306" t="str">
        <f>IF(Table22[[#This Row],[Acute RA label]]="","N",IF(Table22[[#This Row],[Acute RA label]]="LOQ","N",IF(Table22[[#This Row],[Acute RA label]]="MRL","N","Y")))</f>
        <v>N</v>
      </c>
      <c r="BF86" s="1306" t="str">
        <f>IF(OR(Table22[[#This Row],[include commodity in Summary_input_values_chronic]]="Y",Table22[[#This Row],[include commodity in Summary_input_values_acute]]="Y"),"Y","N")</f>
        <v>N</v>
      </c>
      <c r="BG86" s="1299"/>
      <c r="BH86" s="1324"/>
    </row>
    <row r="87" spans="1:60" ht="12.75" customHeight="1" outlineLevel="3" x14ac:dyDescent="0.2">
      <c r="A87" s="39">
        <v>4</v>
      </c>
      <c r="B87" s="327">
        <v>163030</v>
      </c>
      <c r="C87" s="23" t="s">
        <v>267</v>
      </c>
      <c r="D87" s="867"/>
      <c r="E87" s="1219"/>
      <c r="F87" s="867"/>
      <c r="G87" s="869"/>
      <c r="H87" s="868"/>
      <c r="I87" s="868"/>
      <c r="J87" s="870"/>
      <c r="K87" s="871"/>
      <c r="L87" s="872"/>
      <c r="M87" s="872"/>
      <c r="N87" s="925" t="str">
        <f>IF(O87&lt;&gt;0,CONCATENATE(input_values!$AF87,input_values!$AG87,input_values!$AH87),"")</f>
        <v/>
      </c>
      <c r="O87" s="491">
        <f>IF($A$10="Refined calculation mode",Table22[[#This Row],[input for chronic (refined mode]],Table22[[#This Row],[input for chronic normal mode]])</f>
        <v>0</v>
      </c>
      <c r="P87" s="925" t="str">
        <f>IF(Q87&lt;&gt;0,CONCATENATE(input_values!$AN87,input_values!$AO87,input_values!$AP87),"")</f>
        <v/>
      </c>
      <c r="Q87" s="491">
        <f>IF($V$5=0,0,IF(OR($A$10="Refined calculation mode",Results!$B$62="Show results of IESTI calculation only for crops with GAPs under assessment"),Table22[[#This Row],[Input for IESTI (refined mode)]],Table22[[#This Row],[Input for IESTI normal mode]]))</f>
        <v>0</v>
      </c>
      <c r="R87" s="926" t="str">
        <f>IF(S87&lt;&gt;0,CONCATENATE(input_values!$AW87,input_values!$AX87,input_values!$AY87),"")</f>
        <v/>
      </c>
      <c r="S87" s="492">
        <f>IF($V$5=0,0,IF(OR($A$10="Refined calculation mode",Results!$B$62="Show results of IESTI calculation only for crops with GAPs under assessment"),Table22[[#This Row],[Input for IESTI new (refined mode)]],Table22[[#This Row],[Input for IESTI new normal mode]]))</f>
        <v>0</v>
      </c>
      <c r="T87" s="886"/>
      <c r="U87" s="1408">
        <f>Table22[[#This Row],[MRL/ proposed MRL /CXL
(mg/kg)]]</f>
        <v>0</v>
      </c>
      <c r="V87" s="1409" t="str">
        <f t="shared" si="66"/>
        <v/>
      </c>
      <c r="W87" s="1387">
        <f t="shared" si="67"/>
        <v>1</v>
      </c>
      <c r="X87" s="1387">
        <f t="shared" si="68"/>
        <v>1</v>
      </c>
      <c r="Y87" s="1387">
        <f t="shared" si="69"/>
        <v>1</v>
      </c>
      <c r="Z87" s="1410">
        <v>4</v>
      </c>
      <c r="AA87" s="1387">
        <f t="shared" si="42"/>
        <v>0</v>
      </c>
      <c r="AB87" s="1387">
        <f>IF(Z87=A87,IF(AND(L87="N",Table22[[#This Row],[LOQ_label]]="Y"),AA87,$AA87*$Y87),"")</f>
        <v>0</v>
      </c>
      <c r="AC87" s="1393">
        <f t="shared" si="43"/>
        <v>0</v>
      </c>
      <c r="AD87" s="1393">
        <f>IF(Table22[[#This Row],[Median residue*CF*PeF]]&lt;&gt;"",Table22[[#This Row],[Median residue*CF*PeF]],Table22[[#This Row],[MRL*CF*PeF (chronic)]])</f>
        <v>0</v>
      </c>
      <c r="AE87" s="1393">
        <f t="shared" si="44"/>
        <v>0</v>
      </c>
      <c r="AF87" s="1390" t="str">
        <f t="shared" si="45"/>
        <v>MRL</v>
      </c>
      <c r="AG87" s="1390" t="str">
        <f t="shared" si="46"/>
        <v/>
      </c>
      <c r="AH87" s="1394" t="str">
        <f t="shared" si="47"/>
        <v/>
      </c>
      <c r="AI87" s="1386">
        <v>4</v>
      </c>
      <c r="AJ87" s="1387">
        <f t="shared" si="48"/>
        <v>0</v>
      </c>
      <c r="AK87" s="1387">
        <f>IF(AI87=A87,IF(AND(L87="N",Table22[[#This Row],[LOQ_label]]="Y"),AJ87,$AJ87*$Y87),"")</f>
        <v>0</v>
      </c>
      <c r="AL87" s="1388">
        <f t="shared" si="49"/>
        <v>0</v>
      </c>
      <c r="AM87" s="1393">
        <f>IF(Table22[[#This Row],[Highest residue * CF*PF]]&lt;&gt;"",Table22[[#This Row],[Highest residue * CF*PF]],Table22[[#This Row],[MRL*CF*PF or MRL (if LOQ and not authorised) (acute RA)]])</f>
        <v>0</v>
      </c>
      <c r="AN87" s="1390" t="str">
        <f t="shared" si="50"/>
        <v>MRL</v>
      </c>
      <c r="AO87" s="1390" t="str">
        <f t="shared" si="51"/>
        <v/>
      </c>
      <c r="AP87" s="1404" t="str">
        <f t="shared" si="52"/>
        <v/>
      </c>
      <c r="AQ87" s="1388">
        <f t="shared" si="53"/>
        <v>0</v>
      </c>
      <c r="AR87" s="1388" t="str">
        <f t="shared" si="54"/>
        <v/>
      </c>
      <c r="AS87" s="1388" t="str">
        <f t="shared" si="55"/>
        <v/>
      </c>
      <c r="AT87" s="1388" t="str">
        <f t="shared" si="56"/>
        <v/>
      </c>
      <c r="AU87" s="1393">
        <f t="shared" si="57"/>
        <v>0</v>
      </c>
      <c r="AV87" s="1388">
        <f t="shared" si="58"/>
        <v>0</v>
      </c>
      <c r="AW87" s="1390" t="str">
        <f t="shared" si="59"/>
        <v/>
      </c>
      <c r="AX87" s="1390" t="str">
        <f t="shared" si="70"/>
        <v/>
      </c>
      <c r="AY87" s="1394" t="str">
        <f t="shared" si="60"/>
        <v/>
      </c>
      <c r="AZ87" s="1395" t="str">
        <f>IF(Table22[[#This Row],[LOQ_label]]="Y",Table22[[#This Row],[MRL individual commodity]],"")</f>
        <v/>
      </c>
      <c r="BA87" s="1449" t="s">
        <v>654</v>
      </c>
      <c r="BB87" s="1411" t="str">
        <f>IF(Table22[[#This Row],[LOQ2]]&lt;0,MIN(AZ87:AZ410),"")</f>
        <v/>
      </c>
      <c r="BC87" s="1299"/>
      <c r="BD87" s="1306" t="str">
        <f>IF(Table22[[#This Row],[Chronic RA label]]="","N",IF(Table22[[#This Row],[Chronic RA label]]="LOQ","N",IF(Table22[[#This Row],[Chronic RA label]]="MRL","N","Y")))</f>
        <v>N</v>
      </c>
      <c r="BE87" s="1306" t="str">
        <f>IF(Table22[[#This Row],[Acute RA label]]="","N",IF(Table22[[#This Row],[Acute RA label]]="LOQ","N",IF(Table22[[#This Row],[Acute RA label]]="MRL","N","Y")))</f>
        <v>N</v>
      </c>
      <c r="BF87" s="1306" t="str">
        <f>IF(OR(Table22[[#This Row],[include commodity in Summary_input_values_chronic]]="Y",Table22[[#This Row],[include commodity in Summary_input_values_acute]]="Y"),"Y","N")</f>
        <v>N</v>
      </c>
      <c r="BG87" s="1299"/>
      <c r="BH87" s="1324"/>
    </row>
    <row r="88" spans="1:60" ht="12.75" customHeight="1" outlineLevel="3" x14ac:dyDescent="0.2">
      <c r="A88" s="39">
        <v>4</v>
      </c>
      <c r="B88" s="327">
        <v>163040</v>
      </c>
      <c r="C88" s="23" t="s">
        <v>698</v>
      </c>
      <c r="D88" s="867"/>
      <c r="E88" s="1219"/>
      <c r="F88" s="867"/>
      <c r="G88" s="869"/>
      <c r="H88" s="868"/>
      <c r="I88" s="868"/>
      <c r="J88" s="870"/>
      <c r="K88" s="871"/>
      <c r="L88" s="872"/>
      <c r="M88" s="872"/>
      <c r="N88" s="925" t="str">
        <f>IF(O88&lt;&gt;0,CONCATENATE(input_values!$AF88,input_values!$AG88,input_values!$AH88),"")</f>
        <v/>
      </c>
      <c r="O88" s="491">
        <f>IF($A$10="Refined calculation mode",Table22[[#This Row],[input for chronic (refined mode]],Table22[[#This Row],[input for chronic normal mode]])</f>
        <v>0</v>
      </c>
      <c r="P88" s="925" t="str">
        <f>IF(Q88&lt;&gt;0,CONCATENATE(input_values!$AN88,input_values!$AO88,input_values!$AP88),"")</f>
        <v/>
      </c>
      <c r="Q88" s="491">
        <f>IF($V$5=0,0,IF(OR($A$10="Refined calculation mode",Results!$B$62="Show results of IESTI calculation only for crops with GAPs under assessment"),Table22[[#This Row],[Input for IESTI (refined mode)]],Table22[[#This Row],[Input for IESTI normal mode]]))</f>
        <v>0</v>
      </c>
      <c r="R88" s="926" t="str">
        <f>IF(S88&lt;&gt;0,CONCATENATE(input_values!$AW88,input_values!$AX88,input_values!$AY88),"")</f>
        <v/>
      </c>
      <c r="S88" s="492">
        <f>IF($V$5=0,0,IF(OR($A$10="Refined calculation mode",Results!$B$62="Show results of IESTI calculation only for crops with GAPs under assessment"),Table22[[#This Row],[Input for IESTI new (refined mode)]],Table22[[#This Row],[Input for IESTI new normal mode]]))</f>
        <v>0</v>
      </c>
      <c r="T88" s="886"/>
      <c r="U88" s="1408">
        <f>Table22[[#This Row],[MRL/ proposed MRL /CXL
(mg/kg)]]</f>
        <v>0</v>
      </c>
      <c r="V88" s="1409" t="str">
        <f t="shared" si="66"/>
        <v/>
      </c>
      <c r="W88" s="1387">
        <f t="shared" si="67"/>
        <v>1</v>
      </c>
      <c r="X88" s="1387">
        <f t="shared" si="68"/>
        <v>1</v>
      </c>
      <c r="Y88" s="1387">
        <f t="shared" si="69"/>
        <v>1</v>
      </c>
      <c r="Z88" s="1410">
        <v>4</v>
      </c>
      <c r="AA88" s="1387">
        <f t="shared" si="42"/>
        <v>0</v>
      </c>
      <c r="AB88" s="1387">
        <f>IF(Z88=A88,IF(AND(L88="N",Table22[[#This Row],[LOQ_label]]="Y"),AA88,$AA88*$Y88),"")</f>
        <v>0</v>
      </c>
      <c r="AC88" s="1393">
        <f t="shared" si="43"/>
        <v>0</v>
      </c>
      <c r="AD88" s="1393">
        <f>IF(Table22[[#This Row],[Median residue*CF*PeF]]&lt;&gt;"",Table22[[#This Row],[Median residue*CF*PeF]],Table22[[#This Row],[MRL*CF*PeF (chronic)]])</f>
        <v>0</v>
      </c>
      <c r="AE88" s="1393">
        <f t="shared" si="44"/>
        <v>0</v>
      </c>
      <c r="AF88" s="1390" t="str">
        <f t="shared" si="45"/>
        <v>MRL</v>
      </c>
      <c r="AG88" s="1390" t="str">
        <f t="shared" si="46"/>
        <v/>
      </c>
      <c r="AH88" s="1394" t="str">
        <f t="shared" si="47"/>
        <v/>
      </c>
      <c r="AI88" s="1386">
        <v>4</v>
      </c>
      <c r="AJ88" s="1387">
        <f t="shared" si="48"/>
        <v>0</v>
      </c>
      <c r="AK88" s="1387">
        <f>IF(AI88=A88,IF(AND(L88="N",Table22[[#This Row],[LOQ_label]]="Y"),AJ88,$AJ88*$Y88),"")</f>
        <v>0</v>
      </c>
      <c r="AL88" s="1388">
        <f t="shared" si="49"/>
        <v>0</v>
      </c>
      <c r="AM88" s="1393">
        <f>IF(Table22[[#This Row],[Highest residue * CF*PF]]&lt;&gt;"",Table22[[#This Row],[Highest residue * CF*PF]],Table22[[#This Row],[MRL*CF*PF or MRL (if LOQ and not authorised) (acute RA)]])</f>
        <v>0</v>
      </c>
      <c r="AN88" s="1390" t="str">
        <f t="shared" si="50"/>
        <v>MRL</v>
      </c>
      <c r="AO88" s="1390" t="str">
        <f t="shared" si="51"/>
        <v/>
      </c>
      <c r="AP88" s="1404" t="str">
        <f t="shared" si="52"/>
        <v/>
      </c>
      <c r="AQ88" s="1388">
        <f t="shared" si="53"/>
        <v>0</v>
      </c>
      <c r="AR88" s="1388" t="str">
        <f t="shared" si="54"/>
        <v/>
      </c>
      <c r="AS88" s="1388" t="str">
        <f t="shared" si="55"/>
        <v/>
      </c>
      <c r="AT88" s="1388" t="str">
        <f t="shared" si="56"/>
        <v/>
      </c>
      <c r="AU88" s="1393">
        <f t="shared" si="57"/>
        <v>0</v>
      </c>
      <c r="AV88" s="1388">
        <f t="shared" si="58"/>
        <v>0</v>
      </c>
      <c r="AW88" s="1390" t="str">
        <f t="shared" si="59"/>
        <v/>
      </c>
      <c r="AX88" s="1390" t="str">
        <f t="shared" si="70"/>
        <v/>
      </c>
      <c r="AY88" s="1394" t="str">
        <f t="shared" si="60"/>
        <v/>
      </c>
      <c r="AZ88" s="1395" t="str">
        <f>IF(Table22[[#This Row],[LOQ_label]]="Y",Table22[[#This Row],[MRL individual commodity]],"")</f>
        <v/>
      </c>
      <c r="BA88" s="1449" t="s">
        <v>654</v>
      </c>
      <c r="BB88" s="1411" t="str">
        <f>IF(Table22[[#This Row],[LOQ2]]&lt;0,MIN(AZ88:AZ410),"")</f>
        <v/>
      </c>
      <c r="BC88" s="1299"/>
      <c r="BD88" s="1306" t="str">
        <f>IF(Table22[[#This Row],[Chronic RA label]]="","N",IF(Table22[[#This Row],[Chronic RA label]]="LOQ","N",IF(Table22[[#This Row],[Chronic RA label]]="MRL","N","Y")))</f>
        <v>N</v>
      </c>
      <c r="BE88" s="1306" t="str">
        <f>IF(Table22[[#This Row],[Acute RA label]]="","N",IF(Table22[[#This Row],[Acute RA label]]="LOQ","N",IF(Table22[[#This Row],[Acute RA label]]="MRL","N","Y")))</f>
        <v>N</v>
      </c>
      <c r="BF88" s="1306" t="str">
        <f>IF(OR(Table22[[#This Row],[include commodity in Summary_input_values_chronic]]="Y",Table22[[#This Row],[include commodity in Summary_input_values_acute]]="Y"),"Y","N")</f>
        <v>N</v>
      </c>
      <c r="BG88" s="1299"/>
      <c r="BH88" s="1324"/>
    </row>
    <row r="89" spans="1:60" ht="12.75" customHeight="1" outlineLevel="3" x14ac:dyDescent="0.2">
      <c r="A89" s="39">
        <v>4</v>
      </c>
      <c r="B89" s="327">
        <v>163050</v>
      </c>
      <c r="C89" s="23" t="s">
        <v>699</v>
      </c>
      <c r="D89" s="867"/>
      <c r="E89" s="1219"/>
      <c r="F89" s="867"/>
      <c r="G89" s="869"/>
      <c r="H89" s="868"/>
      <c r="I89" s="868"/>
      <c r="J89" s="870"/>
      <c r="K89" s="871"/>
      <c r="L89" s="872"/>
      <c r="M89" s="872"/>
      <c r="N89" s="925" t="str">
        <f>IF(O89&lt;&gt;0,CONCATENATE(input_values!$AF89,input_values!$AG89,input_values!$AH89),"")</f>
        <v/>
      </c>
      <c r="O89" s="491">
        <f>IF($A$10="Refined calculation mode",Table22[[#This Row],[input for chronic (refined mode]],Table22[[#This Row],[input for chronic normal mode]])</f>
        <v>0</v>
      </c>
      <c r="P89" s="925" t="str">
        <f>IF(Q89&lt;&gt;0,CONCATENATE(input_values!$AN89,input_values!$AO89,input_values!$AP89),"")</f>
        <v/>
      </c>
      <c r="Q89" s="491">
        <f>IF($V$5=0,0,IF(OR($A$10="Refined calculation mode",Results!$B$62="Show results of IESTI calculation only for crops with GAPs under assessment"),Table22[[#This Row],[Input for IESTI (refined mode)]],Table22[[#This Row],[Input for IESTI normal mode]]))</f>
        <v>0</v>
      </c>
      <c r="R89" s="926" t="str">
        <f>IF(S89&lt;&gt;0,CONCATENATE(input_values!$AW89,input_values!$AX89,input_values!$AY89),"")</f>
        <v/>
      </c>
      <c r="S89" s="492">
        <f>IF($V$5=0,0,IF(OR($A$10="Refined calculation mode",Results!$B$62="Show results of IESTI calculation only for crops with GAPs under assessment"),Table22[[#This Row],[Input for IESTI new (refined mode)]],Table22[[#This Row],[Input for IESTI new normal mode]]))</f>
        <v>0</v>
      </c>
      <c r="T89" s="886"/>
      <c r="U89" s="1408">
        <f>Table22[[#This Row],[MRL/ proposed MRL /CXL
(mg/kg)]]</f>
        <v>0</v>
      </c>
      <c r="V89" s="1409" t="str">
        <f t="shared" si="66"/>
        <v/>
      </c>
      <c r="W89" s="1387">
        <f t="shared" si="67"/>
        <v>1</v>
      </c>
      <c r="X89" s="1387">
        <f t="shared" si="68"/>
        <v>1</v>
      </c>
      <c r="Y89" s="1387">
        <f t="shared" si="69"/>
        <v>1</v>
      </c>
      <c r="Z89" s="1410">
        <v>4</v>
      </c>
      <c r="AA89" s="1387">
        <f t="shared" si="42"/>
        <v>0</v>
      </c>
      <c r="AB89" s="1387">
        <f>IF(Z89=A89,IF(AND(L89="N",Table22[[#This Row],[LOQ_label]]="Y"),AA89,$AA89*$Y89),"")</f>
        <v>0</v>
      </c>
      <c r="AC89" s="1393">
        <f t="shared" si="43"/>
        <v>0</v>
      </c>
      <c r="AD89" s="1393">
        <f>IF(Table22[[#This Row],[Median residue*CF*PeF]]&lt;&gt;"",Table22[[#This Row],[Median residue*CF*PeF]],Table22[[#This Row],[MRL*CF*PeF (chronic)]])</f>
        <v>0</v>
      </c>
      <c r="AE89" s="1393">
        <f t="shared" si="44"/>
        <v>0</v>
      </c>
      <c r="AF89" s="1390" t="str">
        <f t="shared" si="45"/>
        <v>MRL</v>
      </c>
      <c r="AG89" s="1390" t="str">
        <f t="shared" si="46"/>
        <v/>
      </c>
      <c r="AH89" s="1394" t="str">
        <f t="shared" si="47"/>
        <v/>
      </c>
      <c r="AI89" s="1386">
        <v>4</v>
      </c>
      <c r="AJ89" s="1387">
        <f t="shared" si="48"/>
        <v>0</v>
      </c>
      <c r="AK89" s="1387">
        <f>IF(AI89=A89,IF(AND(L89="N",Table22[[#This Row],[LOQ_label]]="Y"),AJ89,$AJ89*$Y89),"")</f>
        <v>0</v>
      </c>
      <c r="AL89" s="1388">
        <f t="shared" si="49"/>
        <v>0</v>
      </c>
      <c r="AM89" s="1393">
        <f>IF(Table22[[#This Row],[Highest residue * CF*PF]]&lt;&gt;"",Table22[[#This Row],[Highest residue * CF*PF]],Table22[[#This Row],[MRL*CF*PF or MRL (if LOQ and not authorised) (acute RA)]])</f>
        <v>0</v>
      </c>
      <c r="AN89" s="1390" t="str">
        <f t="shared" si="50"/>
        <v>MRL</v>
      </c>
      <c r="AO89" s="1390" t="str">
        <f t="shared" si="51"/>
        <v/>
      </c>
      <c r="AP89" s="1404" t="str">
        <f t="shared" si="52"/>
        <v/>
      </c>
      <c r="AQ89" s="1388">
        <f t="shared" si="53"/>
        <v>0</v>
      </c>
      <c r="AR89" s="1388" t="str">
        <f t="shared" si="54"/>
        <v/>
      </c>
      <c r="AS89" s="1388" t="str">
        <f t="shared" si="55"/>
        <v/>
      </c>
      <c r="AT89" s="1388" t="str">
        <f t="shared" si="56"/>
        <v/>
      </c>
      <c r="AU89" s="1393">
        <f t="shared" si="57"/>
        <v>0</v>
      </c>
      <c r="AV89" s="1388">
        <f t="shared" si="58"/>
        <v>0</v>
      </c>
      <c r="AW89" s="1390" t="str">
        <f t="shared" si="59"/>
        <v/>
      </c>
      <c r="AX89" s="1390" t="str">
        <f t="shared" si="70"/>
        <v/>
      </c>
      <c r="AY89" s="1394" t="str">
        <f t="shared" si="60"/>
        <v/>
      </c>
      <c r="AZ89" s="1395" t="str">
        <f>IF(Table22[[#This Row],[LOQ_label]]="Y",Table22[[#This Row],[MRL individual commodity]],"")</f>
        <v/>
      </c>
      <c r="BA89" s="1449" t="s">
        <v>654</v>
      </c>
      <c r="BB89" s="1411" t="str">
        <f>IF(Table22[[#This Row],[LOQ2]]&lt;0,MIN(AZ89:AZ410),"")</f>
        <v/>
      </c>
      <c r="BC89" s="1299"/>
      <c r="BD89" s="1306" t="str">
        <f>IF(Table22[[#This Row],[Chronic RA label]]="","N",IF(Table22[[#This Row],[Chronic RA label]]="LOQ","N",IF(Table22[[#This Row],[Chronic RA label]]="MRL","N","Y")))</f>
        <v>N</v>
      </c>
      <c r="BE89" s="1306" t="str">
        <f>IF(Table22[[#This Row],[Acute RA label]]="","N",IF(Table22[[#This Row],[Acute RA label]]="LOQ","N",IF(Table22[[#This Row],[Acute RA label]]="MRL","N","Y")))</f>
        <v>N</v>
      </c>
      <c r="BF89" s="1306" t="str">
        <f>IF(OR(Table22[[#This Row],[include commodity in Summary_input_values_chronic]]="Y",Table22[[#This Row],[include commodity in Summary_input_values_acute]]="Y"),"Y","N")</f>
        <v>N</v>
      </c>
      <c r="BG89" s="1299"/>
      <c r="BH89" s="1324"/>
    </row>
    <row r="90" spans="1:60" ht="12.75" customHeight="1" outlineLevel="3" x14ac:dyDescent="0.2">
      <c r="A90" s="39">
        <v>4</v>
      </c>
      <c r="B90" s="327">
        <v>163060</v>
      </c>
      <c r="C90" s="23" t="s">
        <v>700</v>
      </c>
      <c r="D90" s="867"/>
      <c r="E90" s="1219"/>
      <c r="F90" s="867"/>
      <c r="G90" s="869"/>
      <c r="H90" s="868"/>
      <c r="I90" s="868"/>
      <c r="J90" s="870"/>
      <c r="K90" s="871"/>
      <c r="L90" s="872"/>
      <c r="M90" s="872"/>
      <c r="N90" s="925" t="str">
        <f>IF(O90&lt;&gt;0,CONCATENATE(input_values!$AF90,input_values!$AG90,input_values!$AH90),"")</f>
        <v/>
      </c>
      <c r="O90" s="491">
        <f>IF($A$10="Refined calculation mode",Table22[[#This Row],[input for chronic (refined mode]],Table22[[#This Row],[input for chronic normal mode]])</f>
        <v>0</v>
      </c>
      <c r="P90" s="925" t="str">
        <f>IF(Q90&lt;&gt;0,CONCATENATE(input_values!$AN90,input_values!$AO90,input_values!$AP90),"")</f>
        <v/>
      </c>
      <c r="Q90" s="491">
        <f>IF($V$5=0,0,IF(OR($A$10="Refined calculation mode",Results!$B$62="Show results of IESTI calculation only for crops with GAPs under assessment"),Table22[[#This Row],[Input for IESTI (refined mode)]],Table22[[#This Row],[Input for IESTI normal mode]]))</f>
        <v>0</v>
      </c>
      <c r="R90" s="926" t="str">
        <f>IF(S90&lt;&gt;0,CONCATENATE(input_values!$AW90,input_values!$AX90,input_values!$AY90),"")</f>
        <v/>
      </c>
      <c r="S90" s="492">
        <f>IF($V$5=0,0,IF(OR($A$10="Refined calculation mode",Results!$B$62="Show results of IESTI calculation only for crops with GAPs under assessment"),Table22[[#This Row],[Input for IESTI new (refined mode)]],Table22[[#This Row],[Input for IESTI new normal mode]]))</f>
        <v>0</v>
      </c>
      <c r="T90" s="886"/>
      <c r="U90" s="1408">
        <f>Table22[[#This Row],[MRL/ proposed MRL /CXL
(mg/kg)]]</f>
        <v>0</v>
      </c>
      <c r="V90" s="1409" t="str">
        <f t="shared" si="66"/>
        <v/>
      </c>
      <c r="W90" s="1387">
        <f t="shared" si="67"/>
        <v>1</v>
      </c>
      <c r="X90" s="1387">
        <f t="shared" si="68"/>
        <v>1</v>
      </c>
      <c r="Y90" s="1387">
        <f t="shared" si="69"/>
        <v>1</v>
      </c>
      <c r="Z90" s="1410">
        <v>4</v>
      </c>
      <c r="AA90" s="1387">
        <f t="shared" si="42"/>
        <v>0</v>
      </c>
      <c r="AB90" s="1387">
        <f>IF(Z90=A90,IF(AND(L90="N",Table22[[#This Row],[LOQ_label]]="Y"),AA90,$AA90*$Y90),"")</f>
        <v>0</v>
      </c>
      <c r="AC90" s="1393">
        <f t="shared" si="43"/>
        <v>0</v>
      </c>
      <c r="AD90" s="1393">
        <f>IF(Table22[[#This Row],[Median residue*CF*PeF]]&lt;&gt;"",Table22[[#This Row],[Median residue*CF*PeF]],Table22[[#This Row],[MRL*CF*PeF (chronic)]])</f>
        <v>0</v>
      </c>
      <c r="AE90" s="1393">
        <f t="shared" si="44"/>
        <v>0</v>
      </c>
      <c r="AF90" s="1390" t="str">
        <f t="shared" si="45"/>
        <v>MRL</v>
      </c>
      <c r="AG90" s="1390" t="str">
        <f t="shared" si="46"/>
        <v/>
      </c>
      <c r="AH90" s="1394" t="str">
        <f t="shared" si="47"/>
        <v/>
      </c>
      <c r="AI90" s="1386">
        <v>4</v>
      </c>
      <c r="AJ90" s="1387">
        <f t="shared" si="48"/>
        <v>0</v>
      </c>
      <c r="AK90" s="1387">
        <f>IF(AI90=A90,IF(AND(L90="N",Table22[[#This Row],[LOQ_label]]="Y"),AJ90,$AJ90*$Y90),"")</f>
        <v>0</v>
      </c>
      <c r="AL90" s="1388">
        <f t="shared" si="49"/>
        <v>0</v>
      </c>
      <c r="AM90" s="1393">
        <f>IF(Table22[[#This Row],[Highest residue * CF*PF]]&lt;&gt;"",Table22[[#This Row],[Highest residue * CF*PF]],Table22[[#This Row],[MRL*CF*PF or MRL (if LOQ and not authorised) (acute RA)]])</f>
        <v>0</v>
      </c>
      <c r="AN90" s="1390" t="str">
        <f t="shared" si="50"/>
        <v>MRL</v>
      </c>
      <c r="AO90" s="1390" t="str">
        <f t="shared" si="51"/>
        <v/>
      </c>
      <c r="AP90" s="1404" t="str">
        <f t="shared" si="52"/>
        <v/>
      </c>
      <c r="AQ90" s="1388">
        <f t="shared" si="53"/>
        <v>0</v>
      </c>
      <c r="AR90" s="1388" t="str">
        <f t="shared" si="54"/>
        <v/>
      </c>
      <c r="AS90" s="1388" t="str">
        <f t="shared" si="55"/>
        <v/>
      </c>
      <c r="AT90" s="1388" t="str">
        <f t="shared" si="56"/>
        <v/>
      </c>
      <c r="AU90" s="1393">
        <f t="shared" si="57"/>
        <v>0</v>
      </c>
      <c r="AV90" s="1388">
        <f t="shared" si="58"/>
        <v>0</v>
      </c>
      <c r="AW90" s="1390" t="str">
        <f t="shared" si="59"/>
        <v/>
      </c>
      <c r="AX90" s="1390" t="str">
        <f t="shared" si="70"/>
        <v/>
      </c>
      <c r="AY90" s="1394" t="str">
        <f t="shared" si="60"/>
        <v/>
      </c>
      <c r="AZ90" s="1395" t="str">
        <f>IF(Table22[[#This Row],[LOQ_label]]="Y",Table22[[#This Row],[MRL individual commodity]],"")</f>
        <v/>
      </c>
      <c r="BA90" s="1449" t="s">
        <v>654</v>
      </c>
      <c r="BB90" s="1411" t="str">
        <f>IF(Table22[[#This Row],[LOQ2]]&lt;0,MIN(AZ90:AZ410),"")</f>
        <v/>
      </c>
      <c r="BC90" s="1299"/>
      <c r="BD90" s="1306" t="str">
        <f>IF(Table22[[#This Row],[Chronic RA label]]="","N",IF(Table22[[#This Row],[Chronic RA label]]="LOQ","N",IF(Table22[[#This Row],[Chronic RA label]]="MRL","N","Y")))</f>
        <v>N</v>
      </c>
      <c r="BE90" s="1306" t="str">
        <f>IF(Table22[[#This Row],[Acute RA label]]="","N",IF(Table22[[#This Row],[Acute RA label]]="LOQ","N",IF(Table22[[#This Row],[Acute RA label]]="MRL","N","Y")))</f>
        <v>N</v>
      </c>
      <c r="BF90" s="1306" t="str">
        <f>IF(OR(Table22[[#This Row],[include commodity in Summary_input_values_chronic]]="Y",Table22[[#This Row],[include commodity in Summary_input_values_acute]]="Y"),"Y","N")</f>
        <v>N</v>
      </c>
      <c r="BG90" s="1299"/>
      <c r="BH90" s="1324"/>
    </row>
    <row r="91" spans="1:60" ht="12.75" customHeight="1" outlineLevel="3" x14ac:dyDescent="0.2">
      <c r="A91" s="39">
        <v>4</v>
      </c>
      <c r="B91" s="327">
        <v>163070</v>
      </c>
      <c r="C91" s="23" t="s">
        <v>701</v>
      </c>
      <c r="D91" s="867"/>
      <c r="E91" s="1219"/>
      <c r="F91" s="867"/>
      <c r="G91" s="869"/>
      <c r="H91" s="868"/>
      <c r="I91" s="868"/>
      <c r="J91" s="870"/>
      <c r="K91" s="871"/>
      <c r="L91" s="872"/>
      <c r="M91" s="872"/>
      <c r="N91" s="925" t="str">
        <f>IF(O91&lt;&gt;0,CONCATENATE(input_values!$AF91,input_values!$AG91,input_values!$AH91),"")</f>
        <v/>
      </c>
      <c r="O91" s="491">
        <f>IF($A$10="Refined calculation mode",Table22[[#This Row],[input for chronic (refined mode]],Table22[[#This Row],[input for chronic normal mode]])</f>
        <v>0</v>
      </c>
      <c r="P91" s="925" t="str">
        <f>IF(Q91&lt;&gt;0,CONCATENATE(input_values!$AN91,input_values!$AO91,input_values!$AP91),"")</f>
        <v/>
      </c>
      <c r="Q91" s="491">
        <f>IF($V$5=0,0,IF(OR($A$10="Refined calculation mode",Results!$B$62="Show results of IESTI calculation only for crops with GAPs under assessment"),Table22[[#This Row],[Input for IESTI (refined mode)]],Table22[[#This Row],[Input for IESTI normal mode]]))</f>
        <v>0</v>
      </c>
      <c r="R91" s="926" t="str">
        <f>IF(S91&lt;&gt;0,CONCATENATE(input_values!$AW91,input_values!$AX91,input_values!$AY91),"")</f>
        <v/>
      </c>
      <c r="S91" s="492">
        <f>IF($V$5=0,0,IF(OR($A$10="Refined calculation mode",Results!$B$62="Show results of IESTI calculation only for crops with GAPs under assessment"),Table22[[#This Row],[Input for IESTI new (refined mode)]],Table22[[#This Row],[Input for IESTI new normal mode]]))</f>
        <v>0</v>
      </c>
      <c r="T91" s="886"/>
      <c r="U91" s="1408">
        <f>Table22[[#This Row],[MRL/ proposed MRL /CXL
(mg/kg)]]</f>
        <v>0</v>
      </c>
      <c r="V91" s="1409" t="str">
        <f t="shared" si="66"/>
        <v/>
      </c>
      <c r="W91" s="1387">
        <f t="shared" si="67"/>
        <v>1</v>
      </c>
      <c r="X91" s="1387">
        <f t="shared" si="68"/>
        <v>1</v>
      </c>
      <c r="Y91" s="1387">
        <f t="shared" si="69"/>
        <v>1</v>
      </c>
      <c r="Z91" s="1410">
        <v>4</v>
      </c>
      <c r="AA91" s="1387">
        <f t="shared" si="42"/>
        <v>0</v>
      </c>
      <c r="AB91" s="1387">
        <f>IF(Z91=A91,IF(AND(L91="N",Table22[[#This Row],[LOQ_label]]="Y"),AA91,$AA91*$Y91),"")</f>
        <v>0</v>
      </c>
      <c r="AC91" s="1393">
        <f t="shared" si="43"/>
        <v>0</v>
      </c>
      <c r="AD91" s="1393">
        <f>IF(Table22[[#This Row],[Median residue*CF*PeF]]&lt;&gt;"",Table22[[#This Row],[Median residue*CF*PeF]],Table22[[#This Row],[MRL*CF*PeF (chronic)]])</f>
        <v>0</v>
      </c>
      <c r="AE91" s="1393">
        <f t="shared" si="44"/>
        <v>0</v>
      </c>
      <c r="AF91" s="1390" t="str">
        <f t="shared" si="45"/>
        <v>MRL</v>
      </c>
      <c r="AG91" s="1390" t="str">
        <f t="shared" si="46"/>
        <v/>
      </c>
      <c r="AH91" s="1394" t="str">
        <f t="shared" si="47"/>
        <v/>
      </c>
      <c r="AI91" s="1386">
        <v>4</v>
      </c>
      <c r="AJ91" s="1387">
        <f t="shared" si="48"/>
        <v>0</v>
      </c>
      <c r="AK91" s="1387">
        <f>IF(AI91=A91,IF(AND(L91="N",Table22[[#This Row],[LOQ_label]]="Y"),AJ91,$AJ91*$Y91),"")</f>
        <v>0</v>
      </c>
      <c r="AL91" s="1388">
        <f t="shared" si="49"/>
        <v>0</v>
      </c>
      <c r="AM91" s="1393">
        <f>IF(Table22[[#This Row],[Highest residue * CF*PF]]&lt;&gt;"",Table22[[#This Row],[Highest residue * CF*PF]],Table22[[#This Row],[MRL*CF*PF or MRL (if LOQ and not authorised) (acute RA)]])</f>
        <v>0</v>
      </c>
      <c r="AN91" s="1390" t="str">
        <f t="shared" si="50"/>
        <v>MRL</v>
      </c>
      <c r="AO91" s="1390" t="str">
        <f t="shared" si="51"/>
        <v/>
      </c>
      <c r="AP91" s="1404" t="str">
        <f t="shared" si="52"/>
        <v/>
      </c>
      <c r="AQ91" s="1388">
        <f t="shared" si="53"/>
        <v>0</v>
      </c>
      <c r="AR91" s="1388" t="str">
        <f t="shared" si="54"/>
        <v/>
      </c>
      <c r="AS91" s="1388" t="str">
        <f t="shared" si="55"/>
        <v/>
      </c>
      <c r="AT91" s="1388" t="str">
        <f t="shared" si="56"/>
        <v/>
      </c>
      <c r="AU91" s="1393">
        <f t="shared" si="57"/>
        <v>0</v>
      </c>
      <c r="AV91" s="1388">
        <f t="shared" si="58"/>
        <v>0</v>
      </c>
      <c r="AW91" s="1390" t="str">
        <f t="shared" si="59"/>
        <v/>
      </c>
      <c r="AX91" s="1390" t="str">
        <f t="shared" si="70"/>
        <v/>
      </c>
      <c r="AY91" s="1394" t="str">
        <f t="shared" si="60"/>
        <v/>
      </c>
      <c r="AZ91" s="1395" t="str">
        <f>IF(Table22[[#This Row],[LOQ_label]]="Y",Table22[[#This Row],[MRL individual commodity]],"")</f>
        <v/>
      </c>
      <c r="BA91" s="1449" t="s">
        <v>654</v>
      </c>
      <c r="BB91" s="1411" t="str">
        <f>IF(Table22[[#This Row],[LOQ2]]&lt;0,MIN(AZ91:AZ410),"")</f>
        <v/>
      </c>
      <c r="BC91" s="1299"/>
      <c r="BD91" s="1306" t="str">
        <f>IF(Table22[[#This Row],[Chronic RA label]]="","N",IF(Table22[[#This Row],[Chronic RA label]]="LOQ","N",IF(Table22[[#This Row],[Chronic RA label]]="MRL","N","Y")))</f>
        <v>N</v>
      </c>
      <c r="BE91" s="1306" t="str">
        <f>IF(Table22[[#This Row],[Acute RA label]]="","N",IF(Table22[[#This Row],[Acute RA label]]="LOQ","N",IF(Table22[[#This Row],[Acute RA label]]="MRL","N","Y")))</f>
        <v>N</v>
      </c>
      <c r="BF91" s="1306" t="str">
        <f>IF(OR(Table22[[#This Row],[include commodity in Summary_input_values_chronic]]="Y",Table22[[#This Row],[include commodity in Summary_input_values_acute]]="Y"),"Y","N")</f>
        <v>N</v>
      </c>
      <c r="BG91" s="1299"/>
      <c r="BH91" s="1324"/>
    </row>
    <row r="92" spans="1:60" ht="12.75" customHeight="1" outlineLevel="3" x14ac:dyDescent="0.2">
      <c r="A92" s="39">
        <v>4</v>
      </c>
      <c r="B92" s="327">
        <v>163080</v>
      </c>
      <c r="C92" s="23" t="s">
        <v>268</v>
      </c>
      <c r="D92" s="867"/>
      <c r="E92" s="1219"/>
      <c r="F92" s="867"/>
      <c r="G92" s="869"/>
      <c r="H92" s="868"/>
      <c r="I92" s="868"/>
      <c r="J92" s="870"/>
      <c r="K92" s="871"/>
      <c r="L92" s="872"/>
      <c r="M92" s="872"/>
      <c r="N92" s="925" t="str">
        <f>IF(O92&lt;&gt;0,CONCATENATE(input_values!$AF92,input_values!$AG92,input_values!$AH92),"")</f>
        <v/>
      </c>
      <c r="O92" s="491">
        <f>IF($A$10="Refined calculation mode",Table22[[#This Row],[input for chronic (refined mode]],Table22[[#This Row],[input for chronic normal mode]])</f>
        <v>0</v>
      </c>
      <c r="P92" s="925" t="str">
        <f>IF(Q92&lt;&gt;0,CONCATENATE(input_values!$AN92,input_values!$AO92,input_values!$AP92),"")</f>
        <v/>
      </c>
      <c r="Q92" s="491">
        <f>IF($V$5=0,0,IF(OR($A$10="Refined calculation mode",Results!$B$62="Show results of IESTI calculation only for crops with GAPs under assessment"),Table22[[#This Row],[Input for IESTI (refined mode)]],Table22[[#This Row],[Input for IESTI normal mode]]))</f>
        <v>0</v>
      </c>
      <c r="R92" s="926" t="str">
        <f>IF(S92&lt;&gt;0,CONCATENATE(input_values!$AW92,input_values!$AX92,input_values!$AY92),"")</f>
        <v/>
      </c>
      <c r="S92" s="492">
        <f>IF($V$5=0,0,IF(OR($A$10="Refined calculation mode",Results!$B$62="Show results of IESTI calculation only for crops with GAPs under assessment"),Table22[[#This Row],[Input for IESTI new (refined mode)]],Table22[[#This Row],[Input for IESTI new normal mode]]))</f>
        <v>0</v>
      </c>
      <c r="T92" s="886"/>
      <c r="U92" s="1408">
        <f>Table22[[#This Row],[MRL/ proposed MRL /CXL
(mg/kg)]]</f>
        <v>0</v>
      </c>
      <c r="V92" s="1409" t="str">
        <f t="shared" si="66"/>
        <v/>
      </c>
      <c r="W92" s="1387">
        <f t="shared" si="67"/>
        <v>1</v>
      </c>
      <c r="X92" s="1387">
        <f t="shared" si="68"/>
        <v>1</v>
      </c>
      <c r="Y92" s="1387">
        <f t="shared" si="69"/>
        <v>1</v>
      </c>
      <c r="Z92" s="1410">
        <v>4</v>
      </c>
      <c r="AA92" s="1387">
        <f t="shared" si="42"/>
        <v>0</v>
      </c>
      <c r="AB92" s="1387">
        <f>IF(Z92=A92,IF(AND(L92="N",Table22[[#This Row],[LOQ_label]]="Y"),AA92,$AA92*$Y92),"")</f>
        <v>0</v>
      </c>
      <c r="AC92" s="1393">
        <f t="shared" si="43"/>
        <v>0</v>
      </c>
      <c r="AD92" s="1393">
        <f>IF(Table22[[#This Row],[Median residue*CF*PeF]]&lt;&gt;"",Table22[[#This Row],[Median residue*CF*PeF]],Table22[[#This Row],[MRL*CF*PeF (chronic)]])</f>
        <v>0</v>
      </c>
      <c r="AE92" s="1393">
        <f t="shared" si="44"/>
        <v>0</v>
      </c>
      <c r="AF92" s="1390" t="str">
        <f t="shared" si="45"/>
        <v>MRL</v>
      </c>
      <c r="AG92" s="1390" t="str">
        <f t="shared" si="46"/>
        <v/>
      </c>
      <c r="AH92" s="1394" t="str">
        <f t="shared" si="47"/>
        <v/>
      </c>
      <c r="AI92" s="1386">
        <v>4</v>
      </c>
      <c r="AJ92" s="1387">
        <f t="shared" si="48"/>
        <v>0</v>
      </c>
      <c r="AK92" s="1387">
        <f>IF(AI92=A92,IF(AND(L92="N",Table22[[#This Row],[LOQ_label]]="Y"),AJ92,$AJ92*$Y92),"")</f>
        <v>0</v>
      </c>
      <c r="AL92" s="1388">
        <f t="shared" si="49"/>
        <v>0</v>
      </c>
      <c r="AM92" s="1393">
        <f>IF(Table22[[#This Row],[Highest residue * CF*PF]]&lt;&gt;"",Table22[[#This Row],[Highest residue * CF*PF]],Table22[[#This Row],[MRL*CF*PF or MRL (if LOQ and not authorised) (acute RA)]])</f>
        <v>0</v>
      </c>
      <c r="AN92" s="1390" t="str">
        <f t="shared" si="50"/>
        <v>MRL</v>
      </c>
      <c r="AO92" s="1390" t="str">
        <f t="shared" si="51"/>
        <v/>
      </c>
      <c r="AP92" s="1404" t="str">
        <f t="shared" si="52"/>
        <v/>
      </c>
      <c r="AQ92" s="1388">
        <f t="shared" si="53"/>
        <v>0</v>
      </c>
      <c r="AR92" s="1388" t="str">
        <f t="shared" si="54"/>
        <v/>
      </c>
      <c r="AS92" s="1388" t="str">
        <f t="shared" si="55"/>
        <v/>
      </c>
      <c r="AT92" s="1388" t="str">
        <f t="shared" si="56"/>
        <v/>
      </c>
      <c r="AU92" s="1393">
        <f t="shared" si="57"/>
        <v>0</v>
      </c>
      <c r="AV92" s="1388">
        <f t="shared" si="58"/>
        <v>0</v>
      </c>
      <c r="AW92" s="1390" t="str">
        <f t="shared" si="59"/>
        <v/>
      </c>
      <c r="AX92" s="1390" t="str">
        <f t="shared" si="70"/>
        <v/>
      </c>
      <c r="AY92" s="1394" t="str">
        <f t="shared" si="60"/>
        <v/>
      </c>
      <c r="AZ92" s="1395" t="str">
        <f>IF(Table22[[#This Row],[LOQ_label]]="Y",Table22[[#This Row],[MRL individual commodity]],"")</f>
        <v/>
      </c>
      <c r="BA92" s="1449" t="s">
        <v>654</v>
      </c>
      <c r="BB92" s="1411" t="str">
        <f>IF(Table22[[#This Row],[LOQ2]]&lt;0,MIN(AZ92:AZ410),"")</f>
        <v/>
      </c>
      <c r="BC92" s="1299"/>
      <c r="BD92" s="1306" t="str">
        <f>IF(Table22[[#This Row],[Chronic RA label]]="","N",IF(Table22[[#This Row],[Chronic RA label]]="LOQ","N",IF(Table22[[#This Row],[Chronic RA label]]="MRL","N","Y")))</f>
        <v>N</v>
      </c>
      <c r="BE92" s="1306" t="str">
        <f>IF(Table22[[#This Row],[Acute RA label]]="","N",IF(Table22[[#This Row],[Acute RA label]]="LOQ","N",IF(Table22[[#This Row],[Acute RA label]]="MRL","N","Y")))</f>
        <v>N</v>
      </c>
      <c r="BF92" s="1306" t="str">
        <f>IF(OR(Table22[[#This Row],[include commodity in Summary_input_values_chronic]]="Y",Table22[[#This Row],[include commodity in Summary_input_values_acute]]="Y"),"Y","N")</f>
        <v>N</v>
      </c>
      <c r="BG92" s="1299"/>
      <c r="BH92" s="1324"/>
    </row>
    <row r="93" spans="1:60" ht="12.75" customHeight="1" outlineLevel="3" x14ac:dyDescent="0.2">
      <c r="A93" s="39">
        <v>4</v>
      </c>
      <c r="B93" s="327">
        <v>163090</v>
      </c>
      <c r="C93" s="23" t="s">
        <v>702</v>
      </c>
      <c r="D93" s="867"/>
      <c r="E93" s="1219"/>
      <c r="F93" s="867"/>
      <c r="G93" s="869"/>
      <c r="H93" s="868"/>
      <c r="I93" s="868"/>
      <c r="J93" s="870"/>
      <c r="K93" s="865"/>
      <c r="L93" s="872"/>
      <c r="M93" s="872"/>
      <c r="N93" s="925" t="str">
        <f>IF(O93&lt;&gt;0,CONCATENATE(input_values!$AF93,input_values!$AG93,input_values!$AH93),"")</f>
        <v/>
      </c>
      <c r="O93" s="491">
        <f>IF($A$10="Refined calculation mode",Table22[[#This Row],[input for chronic (refined mode]],Table22[[#This Row],[input for chronic normal mode]])</f>
        <v>0</v>
      </c>
      <c r="P93" s="925" t="str">
        <f>IF(Q93&lt;&gt;0,CONCATENATE(input_values!$AN93,input_values!$AO93,input_values!$AP93),"")</f>
        <v/>
      </c>
      <c r="Q93" s="491">
        <f>IF($V$5=0,0,IF(OR($A$10="Refined calculation mode",Results!$B$62="Show results of IESTI calculation only for crops with GAPs under assessment"),Table22[[#This Row],[Input for IESTI (refined mode)]],Table22[[#This Row],[Input for IESTI normal mode]]))</f>
        <v>0</v>
      </c>
      <c r="R93" s="926" t="str">
        <f>IF(S93&lt;&gt;0,CONCATENATE(input_values!$AW93,input_values!$AX93,input_values!$AY93),"")</f>
        <v/>
      </c>
      <c r="S93" s="492">
        <f>IF($V$5=0,0,IF(OR($A$10="Refined calculation mode",Results!$B$62="Show results of IESTI calculation only for crops with GAPs under assessment"),Table22[[#This Row],[Input for IESTI new (refined mode)]],Table22[[#This Row],[Input for IESTI new normal mode]]))</f>
        <v>0</v>
      </c>
      <c r="T93" s="886"/>
      <c r="U93" s="1408">
        <f>Table22[[#This Row],[MRL/ proposed MRL /CXL
(mg/kg)]]</f>
        <v>0</v>
      </c>
      <c r="V93" s="1409" t="str">
        <f t="shared" si="66"/>
        <v/>
      </c>
      <c r="W93" s="1387">
        <f t="shared" si="67"/>
        <v>1</v>
      </c>
      <c r="X93" s="1387">
        <f t="shared" si="68"/>
        <v>1</v>
      </c>
      <c r="Y93" s="1387">
        <f t="shared" si="69"/>
        <v>1</v>
      </c>
      <c r="Z93" s="1410">
        <v>4</v>
      </c>
      <c r="AA93" s="1387">
        <f t="shared" si="42"/>
        <v>0</v>
      </c>
      <c r="AB93" s="1387">
        <f>IF(Z93=A93,IF(AND(L93="N",Table22[[#This Row],[LOQ_label]]="Y"),AA93,$AA93*$Y93),"")</f>
        <v>0</v>
      </c>
      <c r="AC93" s="1393">
        <f t="shared" si="43"/>
        <v>0</v>
      </c>
      <c r="AD93" s="1393">
        <f>IF(Table22[[#This Row],[Median residue*CF*PeF]]&lt;&gt;"",Table22[[#This Row],[Median residue*CF*PeF]],Table22[[#This Row],[MRL*CF*PeF (chronic)]])</f>
        <v>0</v>
      </c>
      <c r="AE93" s="1393">
        <f t="shared" si="44"/>
        <v>0</v>
      </c>
      <c r="AF93" s="1390" t="str">
        <f t="shared" si="45"/>
        <v>MRL</v>
      </c>
      <c r="AG93" s="1390" t="str">
        <f t="shared" si="46"/>
        <v/>
      </c>
      <c r="AH93" s="1394" t="str">
        <f t="shared" si="47"/>
        <v/>
      </c>
      <c r="AI93" s="1386">
        <v>4</v>
      </c>
      <c r="AJ93" s="1387">
        <f t="shared" si="48"/>
        <v>0</v>
      </c>
      <c r="AK93" s="1387">
        <f>IF(AI93=A93,IF(AND(L93="N",Table22[[#This Row],[LOQ_label]]="Y"),AJ93,$AJ93*$Y93),"")</f>
        <v>0</v>
      </c>
      <c r="AL93" s="1388">
        <f t="shared" si="49"/>
        <v>0</v>
      </c>
      <c r="AM93" s="1393">
        <f>IF(Table22[[#This Row],[Highest residue * CF*PF]]&lt;&gt;"",Table22[[#This Row],[Highest residue * CF*PF]],Table22[[#This Row],[MRL*CF*PF or MRL (if LOQ and not authorised) (acute RA)]])</f>
        <v>0</v>
      </c>
      <c r="AN93" s="1390" t="str">
        <f t="shared" si="50"/>
        <v>MRL</v>
      </c>
      <c r="AO93" s="1390" t="str">
        <f t="shared" si="51"/>
        <v/>
      </c>
      <c r="AP93" s="1404" t="str">
        <f t="shared" si="52"/>
        <v/>
      </c>
      <c r="AQ93" s="1388">
        <f t="shared" si="53"/>
        <v>0</v>
      </c>
      <c r="AR93" s="1388" t="str">
        <f t="shared" si="54"/>
        <v/>
      </c>
      <c r="AS93" s="1388" t="str">
        <f t="shared" si="55"/>
        <v/>
      </c>
      <c r="AT93" s="1388" t="str">
        <f t="shared" si="56"/>
        <v/>
      </c>
      <c r="AU93" s="1393">
        <f t="shared" si="57"/>
        <v>0</v>
      </c>
      <c r="AV93" s="1388">
        <f t="shared" si="58"/>
        <v>0</v>
      </c>
      <c r="AW93" s="1390" t="str">
        <f t="shared" si="59"/>
        <v/>
      </c>
      <c r="AX93" s="1390" t="str">
        <f t="shared" si="70"/>
        <v/>
      </c>
      <c r="AY93" s="1394" t="str">
        <f t="shared" si="60"/>
        <v/>
      </c>
      <c r="AZ93" s="1395" t="str">
        <f>IF(Table22[[#This Row],[LOQ_label]]="Y",Table22[[#This Row],[MRL individual commodity]],"")</f>
        <v/>
      </c>
      <c r="BA93" s="1396" t="s">
        <v>618</v>
      </c>
      <c r="BB93" s="1411" t="str">
        <f>IF(Table22[[#This Row],[LOQ2]]&lt;0,MIN(AZ93:AZ410),"")</f>
        <v/>
      </c>
      <c r="BC93" s="1299"/>
      <c r="BD93" s="1306" t="str">
        <f>IF(Table22[[#This Row],[Chronic RA label]]="","N",IF(Table22[[#This Row],[Chronic RA label]]="LOQ","N",IF(Table22[[#This Row],[Chronic RA label]]="MRL","N","Y")))</f>
        <v>N</v>
      </c>
      <c r="BE93" s="1306" t="str">
        <f>IF(Table22[[#This Row],[Acute RA label]]="","N",IF(Table22[[#This Row],[Acute RA label]]="LOQ","N",IF(Table22[[#This Row],[Acute RA label]]="MRL","N","Y")))</f>
        <v>N</v>
      </c>
      <c r="BF93" s="1306" t="str">
        <f>IF(OR(Table22[[#This Row],[include commodity in Summary_input_values_chronic]]="Y",Table22[[#This Row],[include commodity in Summary_input_values_acute]]="Y"),"Y","N")</f>
        <v>N</v>
      </c>
      <c r="BG93" s="1299"/>
      <c r="BH93" s="1324"/>
    </row>
    <row r="94" spans="1:60" ht="12.75" customHeight="1" outlineLevel="3" x14ac:dyDescent="0.2">
      <c r="A94" s="39">
        <v>4</v>
      </c>
      <c r="B94" s="327">
        <v>163100</v>
      </c>
      <c r="C94" s="23" t="s">
        <v>703</v>
      </c>
      <c r="D94" s="867"/>
      <c r="E94" s="1219"/>
      <c r="F94" s="867"/>
      <c r="G94" s="869"/>
      <c r="H94" s="868"/>
      <c r="I94" s="868"/>
      <c r="J94" s="870"/>
      <c r="K94" s="865"/>
      <c r="L94" s="872"/>
      <c r="M94" s="872"/>
      <c r="N94" s="925" t="str">
        <f>IF(O94&lt;&gt;0,CONCATENATE(input_values!$AF94,input_values!$AG94,input_values!$AH94),"")</f>
        <v/>
      </c>
      <c r="O94" s="491">
        <f>IF($A$10="Refined calculation mode",Table22[[#This Row],[input for chronic (refined mode]],Table22[[#This Row],[input for chronic normal mode]])</f>
        <v>0</v>
      </c>
      <c r="P94" s="925" t="str">
        <f>IF(Q94&lt;&gt;0,CONCATENATE(input_values!$AN94,input_values!$AO94,input_values!$AP94),"")</f>
        <v/>
      </c>
      <c r="Q94" s="491">
        <f>IF($V$5=0,0,IF(OR($A$10="Refined calculation mode",Results!$B$62="Show results of IESTI calculation only for crops with GAPs under assessment"),Table22[[#This Row],[Input for IESTI (refined mode)]],Table22[[#This Row],[Input for IESTI normal mode]]))</f>
        <v>0</v>
      </c>
      <c r="R94" s="926" t="str">
        <f>IF(S94&lt;&gt;0,CONCATENATE(input_values!$AW94,input_values!$AX94,input_values!$AY94),"")</f>
        <v/>
      </c>
      <c r="S94" s="492">
        <f>IF($V$5=0,0,IF(OR($A$10="Refined calculation mode",Results!$B$62="Show results of IESTI calculation only for crops with GAPs under assessment"),Table22[[#This Row],[Input for IESTI new (refined mode)]],Table22[[#This Row],[Input for IESTI new normal mode]]))</f>
        <v>0</v>
      </c>
      <c r="T94" s="886"/>
      <c r="U94" s="1408">
        <f>Table22[[#This Row],[MRL/ proposed MRL /CXL
(mg/kg)]]</f>
        <v>0</v>
      </c>
      <c r="V94" s="1409" t="str">
        <f t="shared" si="66"/>
        <v/>
      </c>
      <c r="W94" s="1387">
        <f t="shared" si="67"/>
        <v>1</v>
      </c>
      <c r="X94" s="1387">
        <f t="shared" si="68"/>
        <v>1</v>
      </c>
      <c r="Y94" s="1387">
        <f t="shared" si="69"/>
        <v>1</v>
      </c>
      <c r="Z94" s="1410">
        <v>4</v>
      </c>
      <c r="AA94" s="1387">
        <f t="shared" si="42"/>
        <v>0</v>
      </c>
      <c r="AB94" s="1387">
        <f>IF(Z94=A94,IF(AND(L94="N",Table22[[#This Row],[LOQ_label]]="Y"),AA94,$AA94*$Y94),"")</f>
        <v>0</v>
      </c>
      <c r="AC94" s="1393">
        <f t="shared" si="43"/>
        <v>0</v>
      </c>
      <c r="AD94" s="1393">
        <f>IF(Table22[[#This Row],[Median residue*CF*PeF]]&lt;&gt;"",Table22[[#This Row],[Median residue*CF*PeF]],Table22[[#This Row],[MRL*CF*PeF (chronic)]])</f>
        <v>0</v>
      </c>
      <c r="AE94" s="1393">
        <f t="shared" si="44"/>
        <v>0</v>
      </c>
      <c r="AF94" s="1390" t="str">
        <f t="shared" si="45"/>
        <v>MRL</v>
      </c>
      <c r="AG94" s="1390" t="str">
        <f t="shared" si="46"/>
        <v/>
      </c>
      <c r="AH94" s="1394" t="str">
        <f t="shared" si="47"/>
        <v/>
      </c>
      <c r="AI94" s="1386">
        <v>4</v>
      </c>
      <c r="AJ94" s="1387">
        <f t="shared" si="48"/>
        <v>0</v>
      </c>
      <c r="AK94" s="1387">
        <f>IF(AI94=A94,IF(AND(L94="N",Table22[[#This Row],[LOQ_label]]="Y"),AJ94,$AJ94*$Y94),"")</f>
        <v>0</v>
      </c>
      <c r="AL94" s="1388">
        <f t="shared" si="49"/>
        <v>0</v>
      </c>
      <c r="AM94" s="1393">
        <f>IF(Table22[[#This Row],[Highest residue * CF*PF]]&lt;&gt;"",Table22[[#This Row],[Highest residue * CF*PF]],Table22[[#This Row],[MRL*CF*PF or MRL (if LOQ and not authorised) (acute RA)]])</f>
        <v>0</v>
      </c>
      <c r="AN94" s="1390" t="str">
        <f t="shared" si="50"/>
        <v>MRL</v>
      </c>
      <c r="AO94" s="1390" t="str">
        <f t="shared" si="51"/>
        <v/>
      </c>
      <c r="AP94" s="1404" t="str">
        <f t="shared" si="52"/>
        <v/>
      </c>
      <c r="AQ94" s="1388">
        <f t="shared" si="53"/>
        <v>0</v>
      </c>
      <c r="AR94" s="1388" t="str">
        <f t="shared" si="54"/>
        <v/>
      </c>
      <c r="AS94" s="1388" t="str">
        <f t="shared" si="55"/>
        <v/>
      </c>
      <c r="AT94" s="1388" t="str">
        <f t="shared" si="56"/>
        <v/>
      </c>
      <c r="AU94" s="1393">
        <f t="shared" si="57"/>
        <v>0</v>
      </c>
      <c r="AV94" s="1388">
        <f t="shared" si="58"/>
        <v>0</v>
      </c>
      <c r="AW94" s="1390" t="str">
        <f t="shared" si="59"/>
        <v/>
      </c>
      <c r="AX94" s="1390" t="str">
        <f t="shared" si="70"/>
        <v/>
      </c>
      <c r="AY94" s="1394" t="str">
        <f t="shared" si="60"/>
        <v/>
      </c>
      <c r="AZ94" s="1395" t="str">
        <f>IF(Table22[[#This Row],[LOQ_label]]="Y",Table22[[#This Row],[MRL individual commodity]],"")</f>
        <v/>
      </c>
      <c r="BA94" s="1396" t="s">
        <v>618</v>
      </c>
      <c r="BB94" s="1411" t="str">
        <f>IF(Table22[[#This Row],[LOQ2]]&lt;0,MIN(AZ94:AZ410),"")</f>
        <v/>
      </c>
      <c r="BC94" s="1299"/>
      <c r="BD94" s="1306" t="str">
        <f>IF(Table22[[#This Row],[Chronic RA label]]="","N",IF(Table22[[#This Row],[Chronic RA label]]="LOQ","N",IF(Table22[[#This Row],[Chronic RA label]]="MRL","N","Y")))</f>
        <v>N</v>
      </c>
      <c r="BE94" s="1306" t="str">
        <f>IF(Table22[[#This Row],[Acute RA label]]="","N",IF(Table22[[#This Row],[Acute RA label]]="LOQ","N",IF(Table22[[#This Row],[Acute RA label]]="MRL","N","Y")))</f>
        <v>N</v>
      </c>
      <c r="BF94" s="1306" t="str">
        <f>IF(OR(Table22[[#This Row],[include commodity in Summary_input_values_chronic]]="Y",Table22[[#This Row],[include commodity in Summary_input_values_acute]]="Y"),"Y","N")</f>
        <v>N</v>
      </c>
      <c r="BG94" s="1299"/>
      <c r="BH94" s="1324"/>
    </row>
    <row r="95" spans="1:60" ht="12.75" customHeight="1" outlineLevel="3" x14ac:dyDescent="0.2">
      <c r="A95" s="39">
        <v>4</v>
      </c>
      <c r="B95" s="327">
        <v>163110</v>
      </c>
      <c r="C95" s="23" t="s">
        <v>704</v>
      </c>
      <c r="D95" s="867"/>
      <c r="E95" s="1219"/>
      <c r="F95" s="867"/>
      <c r="G95" s="869"/>
      <c r="H95" s="868"/>
      <c r="I95" s="868"/>
      <c r="J95" s="870"/>
      <c r="K95" s="865"/>
      <c r="L95" s="872"/>
      <c r="M95" s="872"/>
      <c r="N95" s="925" t="str">
        <f>IF(O95&lt;&gt;0,CONCATENATE(input_values!$AF95,input_values!$AG95,input_values!$AH95),"")</f>
        <v/>
      </c>
      <c r="O95" s="491">
        <f>IF($A$10="Refined calculation mode",Table22[[#This Row],[input for chronic (refined mode]],Table22[[#This Row],[input for chronic normal mode]])</f>
        <v>0</v>
      </c>
      <c r="P95" s="925" t="str">
        <f>IF(Q95&lt;&gt;0,CONCATENATE(input_values!$AN95,input_values!$AO95,input_values!$AP95),"")</f>
        <v/>
      </c>
      <c r="Q95" s="491">
        <f>IF($V$5=0,0,IF(OR($A$10="Refined calculation mode",Results!$B$62="Show results of IESTI calculation only for crops with GAPs under assessment"),Table22[[#This Row],[Input for IESTI (refined mode)]],Table22[[#This Row],[Input for IESTI normal mode]]))</f>
        <v>0</v>
      </c>
      <c r="R95" s="926" t="str">
        <f>IF(S95&lt;&gt;0,CONCATENATE(input_values!$AW95,input_values!$AX95,input_values!$AY95),"")</f>
        <v/>
      </c>
      <c r="S95" s="1135">
        <f>IF($V$5=0,0,IF(OR($A$10="Refined calculation mode",Results!$B$62="Show results of IESTI calculation only for crops with GAPs under assessment"),Table22[[#This Row],[Input for IESTI new (refined mode)]],Table22[[#This Row],[Input for IESTI new normal mode]]))</f>
        <v>0</v>
      </c>
      <c r="T95" s="886"/>
      <c r="U95" s="1408">
        <f>Table22[[#This Row],[MRL/ proposed MRL /CXL
(mg/kg)]]</f>
        <v>0</v>
      </c>
      <c r="V95" s="1409" t="str">
        <f t="shared" si="66"/>
        <v/>
      </c>
      <c r="W95" s="1387">
        <f t="shared" si="67"/>
        <v>1</v>
      </c>
      <c r="X95" s="1387">
        <f t="shared" si="68"/>
        <v>1</v>
      </c>
      <c r="Y95" s="1387">
        <f t="shared" si="69"/>
        <v>1</v>
      </c>
      <c r="Z95" s="1410">
        <v>4</v>
      </c>
      <c r="AA95" s="1387">
        <f t="shared" si="42"/>
        <v>0</v>
      </c>
      <c r="AB95" s="1387">
        <f>IF(Z95=A95,IF(AND(L95="N",Table22[[#This Row],[LOQ_label]]="Y"),AA95,$AA95*$Y95),"")</f>
        <v>0</v>
      </c>
      <c r="AC95" s="1393">
        <f t="shared" si="43"/>
        <v>0</v>
      </c>
      <c r="AD95" s="1393">
        <f>IF(Table22[[#This Row],[Median residue*CF*PeF]]&lt;&gt;"",Table22[[#This Row],[Median residue*CF*PeF]],Table22[[#This Row],[MRL*CF*PeF (chronic)]])</f>
        <v>0</v>
      </c>
      <c r="AE95" s="1393">
        <f t="shared" si="44"/>
        <v>0</v>
      </c>
      <c r="AF95" s="1390" t="str">
        <f t="shared" si="45"/>
        <v>MRL</v>
      </c>
      <c r="AG95" s="1390" t="str">
        <f t="shared" si="46"/>
        <v/>
      </c>
      <c r="AH95" s="1394" t="str">
        <f t="shared" si="47"/>
        <v/>
      </c>
      <c r="AI95" s="1386">
        <v>4</v>
      </c>
      <c r="AJ95" s="1387">
        <f t="shared" si="48"/>
        <v>0</v>
      </c>
      <c r="AK95" s="1387">
        <f>IF(AI95=A95,IF(AND(L95="N",Table22[[#This Row],[LOQ_label]]="Y"),AJ95,$AJ95*$Y95),"")</f>
        <v>0</v>
      </c>
      <c r="AL95" s="1388">
        <f t="shared" si="49"/>
        <v>0</v>
      </c>
      <c r="AM95" s="1393">
        <f>IF(Table22[[#This Row],[Highest residue * CF*PF]]&lt;&gt;"",Table22[[#This Row],[Highest residue * CF*PF]],Table22[[#This Row],[MRL*CF*PF or MRL (if LOQ and not authorised) (acute RA)]])</f>
        <v>0</v>
      </c>
      <c r="AN95" s="1390" t="str">
        <f t="shared" si="50"/>
        <v>MRL</v>
      </c>
      <c r="AO95" s="1390" t="str">
        <f t="shared" si="51"/>
        <v/>
      </c>
      <c r="AP95" s="1404" t="str">
        <f t="shared" si="52"/>
        <v/>
      </c>
      <c r="AQ95" s="1388">
        <f t="shared" si="53"/>
        <v>0</v>
      </c>
      <c r="AR95" s="1388" t="str">
        <f t="shared" si="54"/>
        <v/>
      </c>
      <c r="AS95" s="1388" t="str">
        <f t="shared" si="55"/>
        <v/>
      </c>
      <c r="AT95" s="1388" t="str">
        <f t="shared" si="56"/>
        <v/>
      </c>
      <c r="AU95" s="1393">
        <f t="shared" si="57"/>
        <v>0</v>
      </c>
      <c r="AV95" s="1388">
        <f t="shared" si="58"/>
        <v>0</v>
      </c>
      <c r="AW95" s="1390" t="str">
        <f t="shared" si="59"/>
        <v/>
      </c>
      <c r="AX95" s="1390" t="str">
        <f t="shared" si="70"/>
        <v/>
      </c>
      <c r="AY95" s="1394" t="str">
        <f t="shared" si="60"/>
        <v/>
      </c>
      <c r="AZ95" s="1395" t="str">
        <f>IF(Table22[[#This Row],[LOQ_label]]="Y",Table22[[#This Row],[MRL individual commodity]],"")</f>
        <v/>
      </c>
      <c r="BA95" s="1396" t="s">
        <v>618</v>
      </c>
      <c r="BB95" s="1411" t="str">
        <f>IF(Table22[[#This Row],[LOQ2]]&lt;0,MIN(AZ95:AZ410),"")</f>
        <v/>
      </c>
      <c r="BC95" s="1299"/>
      <c r="BD95" s="1306" t="str">
        <f>IF(Table22[[#This Row],[Chronic RA label]]="","N",IF(Table22[[#This Row],[Chronic RA label]]="LOQ","N",IF(Table22[[#This Row],[Chronic RA label]]="MRL","N","Y")))</f>
        <v>N</v>
      </c>
      <c r="BE95" s="1306" t="str">
        <f>IF(Table22[[#This Row],[Acute RA label]]="","N",IF(Table22[[#This Row],[Acute RA label]]="LOQ","N",IF(Table22[[#This Row],[Acute RA label]]="MRL","N","Y")))</f>
        <v>N</v>
      </c>
      <c r="BF95" s="1306" t="str">
        <f>IF(OR(Table22[[#This Row],[include commodity in Summary_input_values_chronic]]="Y",Table22[[#This Row],[include commodity in Summary_input_values_acute]]="Y"),"Y","N")</f>
        <v>N</v>
      </c>
      <c r="BG95" s="1299"/>
      <c r="BH95" s="1324"/>
    </row>
    <row r="96" spans="1:60" ht="12.75" customHeight="1" outlineLevel="3" x14ac:dyDescent="0.2">
      <c r="A96" s="39">
        <v>4</v>
      </c>
      <c r="B96" s="327">
        <v>163990</v>
      </c>
      <c r="C96" s="23" t="s">
        <v>55</v>
      </c>
      <c r="D96" s="867"/>
      <c r="E96" s="1219"/>
      <c r="F96" s="867"/>
      <c r="G96" s="868"/>
      <c r="H96" s="868"/>
      <c r="I96" s="868"/>
      <c r="J96" s="870"/>
      <c r="K96" s="865"/>
      <c r="L96" s="872"/>
      <c r="M96" s="872"/>
      <c r="N96" s="925" t="str">
        <f>IF(O96&lt;&gt;0,CONCATENATE(input_values!$AF96,input_values!$AG96,input_values!$AH96),"")</f>
        <v/>
      </c>
      <c r="O96" s="491">
        <f>IF($A$10="Refined calculation mode",Table22[[#This Row],[input for chronic (refined mode]],Table22[[#This Row],[input for chronic normal mode]])</f>
        <v>0</v>
      </c>
      <c r="P96" s="473"/>
      <c r="Q96" s="474"/>
      <c r="R96" s="473"/>
      <c r="S96" s="474"/>
      <c r="T96" s="886"/>
      <c r="U96" s="1408">
        <f>Table22[[#This Row],[MRL/ proposed MRL /CXL
(mg/kg)]]</f>
        <v>0</v>
      </c>
      <c r="V96" s="1409" t="str">
        <f t="shared" si="66"/>
        <v/>
      </c>
      <c r="W96" s="1387">
        <f t="shared" si="67"/>
        <v>1</v>
      </c>
      <c r="X96" s="1387">
        <f t="shared" si="68"/>
        <v>1</v>
      </c>
      <c r="Y96" s="1387">
        <f t="shared" si="69"/>
        <v>1</v>
      </c>
      <c r="Z96" s="1410">
        <v>4</v>
      </c>
      <c r="AA96" s="1387">
        <f t="shared" si="42"/>
        <v>0</v>
      </c>
      <c r="AB96" s="1387">
        <f>IF(Z96=A96,IF(AND(L96="N",Table22[[#This Row],[LOQ_label]]="Y"),AA96,$AA96*$Y96),"")</f>
        <v>0</v>
      </c>
      <c r="AC96" s="1393">
        <f t="shared" si="43"/>
        <v>0</v>
      </c>
      <c r="AD96" s="1393">
        <f>IF(Table22[[#This Row],[Median residue*CF*PeF]]&lt;&gt;"",Table22[[#This Row],[Median residue*CF*PeF]],Table22[[#This Row],[MRL*CF*PeF (chronic)]])</f>
        <v>0</v>
      </c>
      <c r="AE96" s="1393">
        <f t="shared" si="44"/>
        <v>0</v>
      </c>
      <c r="AF96" s="1390" t="str">
        <f t="shared" si="45"/>
        <v>MRL</v>
      </c>
      <c r="AG96" s="1390" t="str">
        <f t="shared" si="46"/>
        <v/>
      </c>
      <c r="AH96" s="1394" t="str">
        <f t="shared" si="47"/>
        <v/>
      </c>
      <c r="AI96" s="1386"/>
      <c r="AJ96" s="1387" t="str">
        <f t="shared" si="48"/>
        <v/>
      </c>
      <c r="AK96" s="1387" t="str">
        <f>IF(AI96=A96,IF(AND(L96="N",Table22[[#This Row],[LOQ_label]]="Y"),AJ96,$AJ96*$Y96),"")</f>
        <v/>
      </c>
      <c r="AL96" s="1388" t="str">
        <f t="shared" si="49"/>
        <v/>
      </c>
      <c r="AM96" s="1393" t="str">
        <f>IF(Table22[[#This Row],[Highest residue * CF*PF]]&lt;&gt;"",Table22[[#This Row],[Highest residue * CF*PF]],Table22[[#This Row],[MRL*CF*PF or MRL (if LOQ and not authorised) (acute RA)]])</f>
        <v/>
      </c>
      <c r="AN96" s="1390" t="str">
        <f t="shared" si="50"/>
        <v/>
      </c>
      <c r="AO96" s="1390" t="str">
        <f t="shared" si="51"/>
        <v/>
      </c>
      <c r="AP96" s="1404" t="str">
        <f t="shared" si="52"/>
        <v/>
      </c>
      <c r="AQ96" s="1388">
        <f t="shared" si="53"/>
        <v>0</v>
      </c>
      <c r="AR96" s="1388" t="str">
        <f t="shared" si="54"/>
        <v/>
      </c>
      <c r="AS96" s="1388" t="str">
        <f t="shared" si="55"/>
        <v/>
      </c>
      <c r="AT96" s="1388" t="str">
        <f t="shared" si="56"/>
        <v/>
      </c>
      <c r="AU96" s="1393" t="str">
        <f t="shared" si="57"/>
        <v/>
      </c>
      <c r="AV96" s="1388">
        <f t="shared" si="58"/>
        <v>0</v>
      </c>
      <c r="AW96" s="1390" t="str">
        <f t="shared" si="59"/>
        <v/>
      </c>
      <c r="AX96" s="1390" t="str">
        <f>IF(AND(AN96&lt;&gt;"",AY96&lt;&gt;""),"*","")</f>
        <v/>
      </c>
      <c r="AY96" s="1394" t="str">
        <f t="shared" si="60"/>
        <v/>
      </c>
      <c r="AZ96" s="1395" t="str">
        <f>IF(Table22[[#This Row],[LOQ_label]]="Y",Table22[[#This Row],[MRL individual commodity]],"")</f>
        <v/>
      </c>
      <c r="BA96" s="1396" t="s">
        <v>1159</v>
      </c>
      <c r="BB96" s="1411" t="str">
        <f>IF(Table22[[#This Row],[LOQ2]]&lt;0,MIN(AZ96:AZ410),"")</f>
        <v/>
      </c>
      <c r="BC96" s="1299"/>
      <c r="BD96" s="1306" t="str">
        <f>IF(Table22[[#This Row],[Chronic RA label]]="","N",IF(Table22[[#This Row],[Chronic RA label]]="LOQ","N",IF(Table22[[#This Row],[Chronic RA label]]="MRL","N","Y")))</f>
        <v>N</v>
      </c>
      <c r="BE96" s="1306" t="str">
        <f>IF(Table22[[#This Row],[Acute RA label]]="","N",IF(Table22[[#This Row],[Acute RA label]]="LOQ","N",IF(Table22[[#This Row],[Acute RA label]]="MRL","N","Y")))</f>
        <v>N</v>
      </c>
      <c r="BF96" s="1306" t="str">
        <f>IF(OR(Table22[[#This Row],[include commodity in Summary_input_values_chronic]]="Y",Table22[[#This Row],[include commodity in Summary_input_values_acute]]="Y"),"Y","N")</f>
        <v>N</v>
      </c>
      <c r="BG96" s="1299"/>
      <c r="BH96" s="1324"/>
    </row>
    <row r="97" spans="1:60" ht="12.75" customHeight="1" x14ac:dyDescent="0.2">
      <c r="A97" s="126">
        <v>1</v>
      </c>
      <c r="B97" s="446">
        <v>200000</v>
      </c>
      <c r="C97" s="127" t="s">
        <v>137</v>
      </c>
      <c r="D97" s="862"/>
      <c r="E97" s="1218"/>
      <c r="F97" s="862"/>
      <c r="G97" s="863"/>
      <c r="H97" s="863"/>
      <c r="I97" s="863"/>
      <c r="J97" s="864"/>
      <c r="K97" s="865"/>
      <c r="L97" s="471"/>
      <c r="M97" s="471"/>
      <c r="N97" s="473"/>
      <c r="O97" s="474"/>
      <c r="P97" s="473"/>
      <c r="Q97" s="474"/>
      <c r="R97" s="473"/>
      <c r="S97" s="474"/>
      <c r="T97" s="886"/>
      <c r="U97" s="1415"/>
      <c r="V97" s="1380"/>
      <c r="W97" s="1381"/>
      <c r="X97" s="1381"/>
      <c r="Y97" s="1381"/>
      <c r="Z97" s="1382">
        <v>4</v>
      </c>
      <c r="AA97" s="1381" t="str">
        <f t="shared" si="42"/>
        <v/>
      </c>
      <c r="AB97" s="1381" t="str">
        <f>IF(Z97=A97,IF(AND(L97="N",Table22[[#This Row],[LOQ_label]]="Y"),AA97,$AA97*$Y97),"")</f>
        <v/>
      </c>
      <c r="AC97" s="1383" t="str">
        <f t="shared" si="43"/>
        <v/>
      </c>
      <c r="AD97" s="1383" t="str">
        <f>IF(Table22[[#This Row],[Median residue*CF*PeF]]&lt;&gt;"",Table22[[#This Row],[Median residue*CF*PeF]],Table22[[#This Row],[MRL*CF*PeF (chronic)]])</f>
        <v/>
      </c>
      <c r="AE97" s="1384">
        <f t="shared" si="44"/>
        <v>0</v>
      </c>
      <c r="AF97" s="1385" t="str">
        <f t="shared" si="45"/>
        <v/>
      </c>
      <c r="AG97" s="1385" t="str">
        <f t="shared" si="46"/>
        <v/>
      </c>
      <c r="AH97" s="1270" t="str">
        <f t="shared" si="47"/>
        <v/>
      </c>
      <c r="AI97" s="1386">
        <v>4</v>
      </c>
      <c r="AJ97" s="1387" t="str">
        <f t="shared" si="48"/>
        <v/>
      </c>
      <c r="AK97" s="1387" t="str">
        <f>IF(AI97=A97,IF(AND(L97="N",Table22[[#This Row],[LOQ_label]]="Y"),AJ97,$AJ97*$Y97),"")</f>
        <v/>
      </c>
      <c r="AL97" s="1388" t="str">
        <f t="shared" si="49"/>
        <v/>
      </c>
      <c r="AM97" s="1393" t="str">
        <f>IF(Table22[[#This Row],[Highest residue * CF*PF]]&lt;&gt;"",Table22[[#This Row],[Highest residue * CF*PF]],Table22[[#This Row],[MRL*CF*PF or MRL (if LOQ and not authorised) (acute RA)]])</f>
        <v/>
      </c>
      <c r="AN97" s="1390" t="str">
        <f t="shared" si="50"/>
        <v/>
      </c>
      <c r="AO97" s="1390" t="str">
        <f t="shared" si="51"/>
        <v/>
      </c>
      <c r="AP97" s="1404" t="str">
        <f t="shared" si="52"/>
        <v/>
      </c>
      <c r="AQ97" s="1388">
        <f t="shared" si="53"/>
        <v>0</v>
      </c>
      <c r="AR97" s="1388" t="str">
        <f t="shared" si="54"/>
        <v/>
      </c>
      <c r="AS97" s="1388" t="str">
        <f t="shared" si="55"/>
        <v/>
      </c>
      <c r="AT97" s="1388" t="str">
        <f t="shared" si="56"/>
        <v/>
      </c>
      <c r="AU97" s="1393" t="str">
        <f t="shared" si="57"/>
        <v/>
      </c>
      <c r="AV97" s="1388">
        <f t="shared" si="58"/>
        <v>0</v>
      </c>
      <c r="AW97" s="1390" t="str">
        <f t="shared" si="59"/>
        <v/>
      </c>
      <c r="AX97" s="1390" t="str">
        <f>IF(AND(AN97&lt;&gt;"",AY97&lt;&gt;""),"*","")</f>
        <v/>
      </c>
      <c r="AY97" s="1394" t="str">
        <f t="shared" si="60"/>
        <v/>
      </c>
      <c r="AZ97" s="1395">
        <f>IF(Table22[[#This Row],[LOQ_label]]="Y",Table22[[#This Row],[MRL individual commodity]],"")</f>
        <v>0</v>
      </c>
      <c r="BA97" s="1396" t="s">
        <v>1159</v>
      </c>
      <c r="BB97" s="1411" t="str">
        <f>IF(Table22[[#This Row],[LOQ2]]&lt;0,MIN(AZ97:AZ410),"")</f>
        <v/>
      </c>
      <c r="BC97" s="1299"/>
      <c r="BD97" s="1306" t="str">
        <f>IF(Table22[[#This Row],[Chronic RA label]]="","N",IF(Table22[[#This Row],[Chronic RA label]]="LOQ","N",IF(Table22[[#This Row],[Chronic RA label]]="MRL","N","Y")))</f>
        <v>N</v>
      </c>
      <c r="BE97" s="1306" t="str">
        <f>IF(Table22[[#This Row],[Acute RA label]]="","N",IF(Table22[[#This Row],[Acute RA label]]="LOQ","N",IF(Table22[[#This Row],[Acute RA label]]="MRL","N","Y")))</f>
        <v>N</v>
      </c>
      <c r="BF97" s="1306" t="str">
        <f>IF(OR(Table22[[#This Row],[include commodity in Summary_input_values_chronic]]="Y",Table22[[#This Row],[include commodity in Summary_input_values_acute]]="Y"),"Y","N")</f>
        <v>N</v>
      </c>
      <c r="BG97" s="1299"/>
      <c r="BH97" s="1324"/>
    </row>
    <row r="98" spans="1:60" ht="12.75" customHeight="1" outlineLevel="1" x14ac:dyDescent="0.2">
      <c r="A98" s="130">
        <v>2</v>
      </c>
      <c r="B98" s="447">
        <v>210000</v>
      </c>
      <c r="C98" s="131" t="s">
        <v>138</v>
      </c>
      <c r="D98" s="862"/>
      <c r="E98" s="1218"/>
      <c r="F98" s="862"/>
      <c r="G98" s="866"/>
      <c r="H98" s="863"/>
      <c r="I98" s="863"/>
      <c r="J98" s="864"/>
      <c r="K98" s="865"/>
      <c r="L98" s="471"/>
      <c r="M98" s="471"/>
      <c r="N98" s="473"/>
      <c r="O98" s="474"/>
      <c r="P98" s="473"/>
      <c r="Q98" s="474"/>
      <c r="R98" s="473"/>
      <c r="S98" s="474"/>
      <c r="T98" s="886"/>
      <c r="U98" s="1415"/>
      <c r="V98" s="1380"/>
      <c r="W98" s="1381"/>
      <c r="X98" s="1381"/>
      <c r="Y98" s="1381"/>
      <c r="Z98" s="1382">
        <v>4</v>
      </c>
      <c r="AA98" s="1381" t="str">
        <f t="shared" si="42"/>
        <v/>
      </c>
      <c r="AB98" s="1381" t="str">
        <f>IF(Z98=A98,IF(AND(L98="N",Table22[[#This Row],[LOQ_label]]="Y"),AA98,$AA98*$Y98),"")</f>
        <v/>
      </c>
      <c r="AC98" s="1383" t="str">
        <f t="shared" si="43"/>
        <v/>
      </c>
      <c r="AD98" s="1383" t="str">
        <f>IF(Table22[[#This Row],[Median residue*CF*PeF]]&lt;&gt;"",Table22[[#This Row],[Median residue*CF*PeF]],Table22[[#This Row],[MRL*CF*PeF (chronic)]])</f>
        <v/>
      </c>
      <c r="AE98" s="1384">
        <f t="shared" si="44"/>
        <v>0</v>
      </c>
      <c r="AF98" s="1385" t="str">
        <f t="shared" si="45"/>
        <v/>
      </c>
      <c r="AG98" s="1385" t="str">
        <f t="shared" si="46"/>
        <v/>
      </c>
      <c r="AH98" s="1270" t="str">
        <f t="shared" si="47"/>
        <v/>
      </c>
      <c r="AI98" s="1386">
        <v>4</v>
      </c>
      <c r="AJ98" s="1387" t="str">
        <f t="shared" si="48"/>
        <v/>
      </c>
      <c r="AK98" s="1387" t="str">
        <f>IF(AI98=A98,IF(AND(L98="N",Table22[[#This Row],[LOQ_label]]="Y"),AJ98,$AJ98*$Y98),"")</f>
        <v/>
      </c>
      <c r="AL98" s="1388" t="str">
        <f t="shared" si="49"/>
        <v/>
      </c>
      <c r="AM98" s="1393" t="str">
        <f>IF(Table22[[#This Row],[Highest residue * CF*PF]]&lt;&gt;"",Table22[[#This Row],[Highest residue * CF*PF]],Table22[[#This Row],[MRL*CF*PF or MRL (if LOQ and not authorised) (acute RA)]])</f>
        <v/>
      </c>
      <c r="AN98" s="1390" t="str">
        <f t="shared" si="50"/>
        <v/>
      </c>
      <c r="AO98" s="1390" t="str">
        <f t="shared" si="51"/>
        <v/>
      </c>
      <c r="AP98" s="1404" t="str">
        <f t="shared" si="52"/>
        <v/>
      </c>
      <c r="AQ98" s="1388">
        <f t="shared" si="53"/>
        <v>0</v>
      </c>
      <c r="AR98" s="1388" t="str">
        <f t="shared" si="54"/>
        <v/>
      </c>
      <c r="AS98" s="1388" t="str">
        <f t="shared" si="55"/>
        <v/>
      </c>
      <c r="AT98" s="1388" t="str">
        <f t="shared" si="56"/>
        <v/>
      </c>
      <c r="AU98" s="1393" t="str">
        <f t="shared" si="57"/>
        <v/>
      </c>
      <c r="AV98" s="1388">
        <f t="shared" si="58"/>
        <v>0</v>
      </c>
      <c r="AW98" s="1390" t="str">
        <f t="shared" si="59"/>
        <v/>
      </c>
      <c r="AX98" s="1390" t="str">
        <f>IF(AND(AN98&lt;&gt;"",AY98&lt;&gt;""),"*","")</f>
        <v/>
      </c>
      <c r="AY98" s="1394" t="str">
        <f t="shared" si="60"/>
        <v/>
      </c>
      <c r="AZ98" s="1395">
        <f>IF(Table22[[#This Row],[LOQ_label]]="Y",Table22[[#This Row],[MRL individual commodity]],"")</f>
        <v>0</v>
      </c>
      <c r="BA98" s="1396" t="s">
        <v>1159</v>
      </c>
      <c r="BB98" s="1411" t="str">
        <f>IF(Table22[[#This Row],[LOQ2]]&lt;0,MIN(AZ98:AZ410),"")</f>
        <v/>
      </c>
      <c r="BC98" s="1299"/>
      <c r="BD98" s="1306" t="str">
        <f>IF(Table22[[#This Row],[Chronic RA label]]="","N",IF(Table22[[#This Row],[Chronic RA label]]="LOQ","N",IF(Table22[[#This Row],[Chronic RA label]]="MRL","N","Y")))</f>
        <v>N</v>
      </c>
      <c r="BE98" s="1306" t="str">
        <f>IF(Table22[[#This Row],[Acute RA label]]="","N",IF(Table22[[#This Row],[Acute RA label]]="LOQ","N",IF(Table22[[#This Row],[Acute RA label]]="MRL","N","Y")))</f>
        <v>N</v>
      </c>
      <c r="BF98" s="1306" t="str">
        <f>IF(OR(Table22[[#This Row],[include commodity in Summary_input_values_chronic]]="Y",Table22[[#This Row],[include commodity in Summary_input_values_acute]]="Y"),"Y","N")</f>
        <v>N</v>
      </c>
      <c r="BG98" s="1299"/>
      <c r="BH98" s="1324"/>
    </row>
    <row r="99" spans="1:60" ht="12.75" customHeight="1" outlineLevel="2" x14ac:dyDescent="0.2">
      <c r="A99" s="132">
        <v>3</v>
      </c>
      <c r="B99" s="448">
        <v>211000</v>
      </c>
      <c r="C99" s="3" t="s">
        <v>222</v>
      </c>
      <c r="D99" s="867"/>
      <c r="E99" s="1219"/>
      <c r="F99" s="867"/>
      <c r="G99" s="868"/>
      <c r="H99" s="863"/>
      <c r="I99" s="868"/>
      <c r="J99" s="870"/>
      <c r="K99" s="871"/>
      <c r="L99" s="872"/>
      <c r="M99" s="872"/>
      <c r="N99" s="925" t="str">
        <f>IF(O99&lt;&gt;0,CONCATENATE(input_values!$AF99,input_values!$AG99,input_values!$AH99),"")</f>
        <v/>
      </c>
      <c r="O99" s="491">
        <f>IF($A$10="Refined calculation mode",Table22[[#This Row],[input for chronic (refined mode]],Table22[[#This Row],[input for chronic normal mode]])</f>
        <v>0</v>
      </c>
      <c r="P99" s="925" t="str">
        <f>IF(Q99&lt;&gt;0,CONCATENATE(input_values!$AN99,input_values!$AO99,input_values!$AP99),"")</f>
        <v/>
      </c>
      <c r="Q99" s="491">
        <f>IF($V$5=0,0,IF(OR($A$10="Refined calculation mode",Results!$B$62="Show results of IESTI calculation only for crops with GAPs under assessment"),Table22[[#This Row],[Input for IESTI (refined mode)]],Table22[[#This Row],[Input for IESTI normal mode]]))</f>
        <v>0</v>
      </c>
      <c r="R99" s="926" t="str">
        <f>IF(S99&lt;&gt;0,CONCATENATE(input_values!$AW99,input_values!$AX99,input_values!$AY99),"")</f>
        <v/>
      </c>
      <c r="S99" s="492">
        <f>IF($V$5=0,0,IF(OR($A$10="Refined calculation mode",Results!$B$62="Show results of IESTI calculation only for crops with GAPs under assessment"),Table22[[#This Row],[Input for IESTI new (refined mode)]],Table22[[#This Row],[Input for IESTI new normal mode]]))</f>
        <v>0</v>
      </c>
      <c r="T99" s="886"/>
      <c r="U99" s="1408">
        <f>Table22[[#This Row],[MRL/ proposed MRL /CXL
(mg/kg)]]</f>
        <v>0</v>
      </c>
      <c r="V99" s="1409" t="str">
        <f>IF(ISBLANK(F99),"","Y")</f>
        <v/>
      </c>
      <c r="W99" s="1387">
        <f>IF($G99&gt;0,$G99,1)</f>
        <v>1</v>
      </c>
      <c r="X99" s="1387">
        <f>IF($H99&gt;0,$H99,1)</f>
        <v>1</v>
      </c>
      <c r="Y99" s="1387">
        <f>W99*X99</f>
        <v>1</v>
      </c>
      <c r="Z99" s="1410">
        <v>3</v>
      </c>
      <c r="AA99" s="1387">
        <f t="shared" si="42"/>
        <v>0</v>
      </c>
      <c r="AB99" s="1387">
        <f>IF(Z99=A99,IF(AND(L99="N",Table22[[#This Row],[LOQ_label]]="Y"),AA99,$AA99*$Y99),"")</f>
        <v>0</v>
      </c>
      <c r="AC99" s="1393">
        <f t="shared" si="43"/>
        <v>0</v>
      </c>
      <c r="AD99" s="1393">
        <f>IF(Table22[[#This Row],[Median residue*CF*PeF]]&lt;&gt;"",Table22[[#This Row],[Median residue*CF*PeF]],Table22[[#This Row],[MRL*CF*PeF (chronic)]])</f>
        <v>0</v>
      </c>
      <c r="AE99" s="1393">
        <f t="shared" si="44"/>
        <v>0</v>
      </c>
      <c r="AF99" s="1390" t="str">
        <f t="shared" si="45"/>
        <v>MRL</v>
      </c>
      <c r="AG99" s="1390" t="str">
        <f t="shared" si="46"/>
        <v/>
      </c>
      <c r="AH99" s="1394" t="str">
        <f t="shared" si="47"/>
        <v/>
      </c>
      <c r="AI99" s="1418">
        <v>3</v>
      </c>
      <c r="AJ99" s="1387">
        <f t="shared" si="48"/>
        <v>0</v>
      </c>
      <c r="AK99" s="1387">
        <f>IF(AI99=A99,IF(AND(L99="N",Table22[[#This Row],[LOQ_label]]="Y"),AJ99,$AJ99*$Y99),"")</f>
        <v>0</v>
      </c>
      <c r="AL99" s="1388">
        <f t="shared" si="49"/>
        <v>0</v>
      </c>
      <c r="AM99" s="1393">
        <f>IF(Table22[[#This Row],[Highest residue * CF*PF]]&lt;&gt;"",Table22[[#This Row],[Highest residue * CF*PF]],Table22[[#This Row],[MRL*CF*PF or MRL (if LOQ and not authorised) (acute RA)]])</f>
        <v>0</v>
      </c>
      <c r="AN99" s="1390" t="str">
        <f t="shared" si="50"/>
        <v>MRL</v>
      </c>
      <c r="AO99" s="1390" t="str">
        <f t="shared" si="51"/>
        <v/>
      </c>
      <c r="AP99" s="1404" t="str">
        <f t="shared" si="52"/>
        <v/>
      </c>
      <c r="AQ99" s="1388">
        <f t="shared" si="53"/>
        <v>0</v>
      </c>
      <c r="AR99" s="1388" t="str">
        <f t="shared" si="54"/>
        <v/>
      </c>
      <c r="AS99" s="1388" t="str">
        <f t="shared" si="55"/>
        <v/>
      </c>
      <c r="AT99" s="1388" t="str">
        <f t="shared" si="56"/>
        <v/>
      </c>
      <c r="AU99" s="1393">
        <f t="shared" si="57"/>
        <v>0</v>
      </c>
      <c r="AV99" s="1388">
        <f t="shared" si="58"/>
        <v>0</v>
      </c>
      <c r="AW99" s="1390" t="str">
        <f t="shared" si="59"/>
        <v/>
      </c>
      <c r="AX99" s="1390" t="str">
        <f>IF(AND(AW99&lt;&gt;"",AY99&lt;&gt;""),"*","")</f>
        <v/>
      </c>
      <c r="AY99" s="1394" t="str">
        <f t="shared" si="60"/>
        <v/>
      </c>
      <c r="AZ99" s="1395" t="str">
        <f>IF(Table22[[#This Row],[LOQ_label]]="Y",Table22[[#This Row],[MRL individual commodity]],"")</f>
        <v/>
      </c>
      <c r="BA99" s="1449" t="s">
        <v>654</v>
      </c>
      <c r="BB99" s="1411" t="str">
        <f>IF(Table22[[#This Row],[LOQ2]]&lt;0,MIN(AZ99:AZ410),"")</f>
        <v/>
      </c>
      <c r="BC99" s="1299"/>
      <c r="BD99" s="1306" t="str">
        <f>IF(Table22[[#This Row],[Chronic RA label]]="","N",IF(Table22[[#This Row],[Chronic RA label]]="LOQ","N",IF(Table22[[#This Row],[Chronic RA label]]="MRL","N","Y")))</f>
        <v>N</v>
      </c>
      <c r="BE99" s="1306" t="str">
        <f>IF(Table22[[#This Row],[Acute RA label]]="","N",IF(Table22[[#This Row],[Acute RA label]]="LOQ","N",IF(Table22[[#This Row],[Acute RA label]]="MRL","N","Y")))</f>
        <v>N</v>
      </c>
      <c r="BF99" s="1306" t="str">
        <f>IF(OR(Table22[[#This Row],[include commodity in Summary_input_values_chronic]]="Y",Table22[[#This Row],[include commodity in Summary_input_values_acute]]="Y"),"Y","N")</f>
        <v>N</v>
      </c>
      <c r="BG99" s="1299"/>
      <c r="BH99" s="1324"/>
    </row>
    <row r="100" spans="1:60" ht="12.75" customHeight="1" outlineLevel="2" x14ac:dyDescent="0.2">
      <c r="A100" s="132">
        <v>3</v>
      </c>
      <c r="B100" s="448">
        <v>212000</v>
      </c>
      <c r="C100" s="3" t="s">
        <v>223</v>
      </c>
      <c r="D100" s="862"/>
      <c r="E100" s="1218"/>
      <c r="F100" s="862"/>
      <c r="G100" s="866"/>
      <c r="H100" s="863"/>
      <c r="I100" s="863"/>
      <c r="J100" s="864"/>
      <c r="K100" s="865"/>
      <c r="L100" s="471"/>
      <c r="M100" s="471"/>
      <c r="N100" s="473"/>
      <c r="O100" s="474"/>
      <c r="P100" s="473"/>
      <c r="Q100" s="474"/>
      <c r="R100" s="473"/>
      <c r="S100" s="474"/>
      <c r="T100" s="886"/>
      <c r="U100" s="1415"/>
      <c r="V100" s="1380"/>
      <c r="W100" s="1381"/>
      <c r="X100" s="1381"/>
      <c r="Y100" s="1381"/>
      <c r="Z100" s="1382">
        <v>4</v>
      </c>
      <c r="AA100" s="1381" t="str">
        <f t="shared" si="42"/>
        <v/>
      </c>
      <c r="AB100" s="1381" t="str">
        <f>IF(Z100=A100,IF(AND(L100="N",Table22[[#This Row],[LOQ_label]]="Y"),AA100,$AA100*$Y100),"")</f>
        <v/>
      </c>
      <c r="AC100" s="1383" t="str">
        <f t="shared" si="43"/>
        <v/>
      </c>
      <c r="AD100" s="1383" t="str">
        <f>IF(Table22[[#This Row],[Median residue*CF*PeF]]&lt;&gt;"",Table22[[#This Row],[Median residue*CF*PeF]],Table22[[#This Row],[MRL*CF*PeF (chronic)]])</f>
        <v/>
      </c>
      <c r="AE100" s="1384">
        <f t="shared" si="44"/>
        <v>0</v>
      </c>
      <c r="AF100" s="1385" t="str">
        <f t="shared" si="45"/>
        <v/>
      </c>
      <c r="AG100" s="1385" t="str">
        <f t="shared" si="46"/>
        <v/>
      </c>
      <c r="AH100" s="1270" t="str">
        <f t="shared" si="47"/>
        <v/>
      </c>
      <c r="AI100" s="1386">
        <v>4</v>
      </c>
      <c r="AJ100" s="1387" t="str">
        <f t="shared" si="48"/>
        <v/>
      </c>
      <c r="AK100" s="1387" t="str">
        <f>IF(AI100=A100,IF(AND(L100="N",Table22[[#This Row],[LOQ_label]]="Y"),AJ100,$AJ100*$Y100),"")</f>
        <v/>
      </c>
      <c r="AL100" s="1388" t="str">
        <f t="shared" si="49"/>
        <v/>
      </c>
      <c r="AM100" s="1393" t="str">
        <f>IF(Table22[[#This Row],[Highest residue * CF*PF]]&lt;&gt;"",Table22[[#This Row],[Highest residue * CF*PF]],Table22[[#This Row],[MRL*CF*PF or MRL (if LOQ and not authorised) (acute RA)]])</f>
        <v/>
      </c>
      <c r="AN100" s="1390" t="str">
        <f t="shared" si="50"/>
        <v/>
      </c>
      <c r="AO100" s="1390" t="str">
        <f t="shared" si="51"/>
        <v/>
      </c>
      <c r="AP100" s="1404" t="str">
        <f t="shared" si="52"/>
        <v/>
      </c>
      <c r="AQ100" s="1388">
        <f t="shared" si="53"/>
        <v>0</v>
      </c>
      <c r="AR100" s="1388" t="str">
        <f t="shared" si="54"/>
        <v/>
      </c>
      <c r="AS100" s="1388" t="str">
        <f t="shared" si="55"/>
        <v/>
      </c>
      <c r="AT100" s="1388" t="str">
        <f t="shared" si="56"/>
        <v/>
      </c>
      <c r="AU100" s="1393" t="str">
        <f t="shared" si="57"/>
        <v/>
      </c>
      <c r="AV100" s="1388">
        <f t="shared" si="58"/>
        <v>0</v>
      </c>
      <c r="AW100" s="1390" t="str">
        <f t="shared" si="59"/>
        <v/>
      </c>
      <c r="AX100" s="1390" t="str">
        <f>IF(AND(AN100&lt;&gt;"",AY100&lt;&gt;""),"*","")</f>
        <v/>
      </c>
      <c r="AY100" s="1394" t="str">
        <f t="shared" si="60"/>
        <v/>
      </c>
      <c r="AZ100" s="1395">
        <f>IF(Table22[[#This Row],[LOQ_label]]="Y",Table22[[#This Row],[MRL individual commodity]],"")</f>
        <v>0</v>
      </c>
      <c r="BA100" s="1396" t="s">
        <v>1159</v>
      </c>
      <c r="BB100" s="1411" t="str">
        <f>IF(Table22[[#This Row],[LOQ2]]&lt;0,MIN(AZ100:AZ410),"")</f>
        <v/>
      </c>
      <c r="BC100" s="1299"/>
      <c r="BD100" s="1306" t="str">
        <f>IF(Table22[[#This Row],[Chronic RA label]]="","N",IF(Table22[[#This Row],[Chronic RA label]]="LOQ","N",IF(Table22[[#This Row],[Chronic RA label]]="MRL","N","Y")))</f>
        <v>N</v>
      </c>
      <c r="BE100" s="1306" t="str">
        <f>IF(Table22[[#This Row],[Acute RA label]]="","N",IF(Table22[[#This Row],[Acute RA label]]="LOQ","N",IF(Table22[[#This Row],[Acute RA label]]="MRL","N","Y")))</f>
        <v>N</v>
      </c>
      <c r="BF100" s="1306" t="str">
        <f>IF(OR(Table22[[#This Row],[include commodity in Summary_input_values_chronic]]="Y",Table22[[#This Row],[include commodity in Summary_input_values_acute]]="Y"),"Y","N")</f>
        <v>N</v>
      </c>
      <c r="BG100" s="1299"/>
      <c r="BH100" s="1324"/>
    </row>
    <row r="101" spans="1:60" ht="12.75" customHeight="1" outlineLevel="3" x14ac:dyDescent="0.2">
      <c r="A101" s="39">
        <v>4</v>
      </c>
      <c r="B101" s="327">
        <v>212010</v>
      </c>
      <c r="C101" s="23" t="s">
        <v>705</v>
      </c>
      <c r="D101" s="867"/>
      <c r="E101" s="1219"/>
      <c r="F101" s="867"/>
      <c r="G101" s="869"/>
      <c r="H101" s="863"/>
      <c r="I101" s="868"/>
      <c r="J101" s="868"/>
      <c r="K101" s="871"/>
      <c r="L101" s="872"/>
      <c r="M101" s="872"/>
      <c r="N101" s="925" t="str">
        <f>IF(O101&lt;&gt;0,CONCATENATE(input_values!$AF101,input_values!$AG101,input_values!$AH101),"")</f>
        <v/>
      </c>
      <c r="O101" s="491">
        <f>IF($A$10="Refined calculation mode",Table22[[#This Row],[input for chronic (refined mode]],Table22[[#This Row],[input for chronic normal mode]])</f>
        <v>0</v>
      </c>
      <c r="P101" s="925" t="str">
        <f>IF(Q101&lt;&gt;0,CONCATENATE(input_values!$AN101,input_values!$AO101,input_values!$AP101),"")</f>
        <v/>
      </c>
      <c r="Q101" s="491">
        <f>IF($V$5=0,0,IF(OR($A$10="Refined calculation mode",Results!$B$62="Show results of IESTI calculation only for crops with GAPs under assessment"),Table22[[#This Row],[Input for IESTI (refined mode)]],Table22[[#This Row],[Input for IESTI normal mode]]))</f>
        <v>0</v>
      </c>
      <c r="R101" s="926" t="str">
        <f>IF(S101&lt;&gt;0,CONCATENATE(input_values!$AW101,input_values!$AX101,input_values!$AY101),"")</f>
        <v/>
      </c>
      <c r="S101" s="492">
        <f>IF($V$5=0,0,IF(OR($A$10="Refined calculation mode",Results!$B$62="Show results of IESTI calculation only for crops with GAPs under assessment"),Table22[[#This Row],[Input for IESTI new (refined mode)]],Table22[[#This Row],[Input for IESTI new normal mode]]))</f>
        <v>0</v>
      </c>
      <c r="T101" s="886"/>
      <c r="U101" s="1408">
        <f>Table22[[#This Row],[MRL/ proposed MRL /CXL
(mg/kg)]]</f>
        <v>0</v>
      </c>
      <c r="V101" s="1409" t="str">
        <f>IF(ISBLANK(F101),"","Y")</f>
        <v/>
      </c>
      <c r="W101" s="1387">
        <f>IF($G101&gt;0,$G101,1)</f>
        <v>1</v>
      </c>
      <c r="X101" s="1387">
        <f>IF($H101&gt;0,$H101,1)</f>
        <v>1</v>
      </c>
      <c r="Y101" s="1387">
        <f>W101*X101</f>
        <v>1</v>
      </c>
      <c r="Z101" s="1410">
        <v>4</v>
      </c>
      <c r="AA101" s="1387">
        <f t="shared" si="42"/>
        <v>0</v>
      </c>
      <c r="AB101" s="1387">
        <f>IF(Z101=A101,IF(AND(L101="N",Table22[[#This Row],[LOQ_label]]="Y"),AA101,$AA101*$Y101),"")</f>
        <v>0</v>
      </c>
      <c r="AC101" s="1393">
        <f t="shared" si="43"/>
        <v>0</v>
      </c>
      <c r="AD101" s="1393">
        <f>IF(Table22[[#This Row],[Median residue*CF*PeF]]&lt;&gt;"",Table22[[#This Row],[Median residue*CF*PeF]],Table22[[#This Row],[MRL*CF*PeF (chronic)]])</f>
        <v>0</v>
      </c>
      <c r="AE101" s="1393">
        <f t="shared" si="44"/>
        <v>0</v>
      </c>
      <c r="AF101" s="1390" t="str">
        <f t="shared" si="45"/>
        <v>MRL</v>
      </c>
      <c r="AG101" s="1390" t="str">
        <f t="shared" si="46"/>
        <v/>
      </c>
      <c r="AH101" s="1394" t="str">
        <f t="shared" si="47"/>
        <v/>
      </c>
      <c r="AI101" s="1386">
        <v>4</v>
      </c>
      <c r="AJ101" s="1387">
        <f t="shared" si="48"/>
        <v>0</v>
      </c>
      <c r="AK101" s="1387">
        <f>IF(AI101=A101,IF(AND(L101="N",Table22[[#This Row],[LOQ_label]]="Y"),AJ101,$AJ101*$Y101),"")</f>
        <v>0</v>
      </c>
      <c r="AL101" s="1388">
        <f t="shared" si="49"/>
        <v>0</v>
      </c>
      <c r="AM101" s="1393">
        <f>IF(Table22[[#This Row],[Highest residue * CF*PF]]&lt;&gt;"",Table22[[#This Row],[Highest residue * CF*PF]],Table22[[#This Row],[MRL*CF*PF or MRL (if LOQ and not authorised) (acute RA)]])</f>
        <v>0</v>
      </c>
      <c r="AN101" s="1390" t="str">
        <f t="shared" si="50"/>
        <v>MRL</v>
      </c>
      <c r="AO101" s="1390" t="str">
        <f t="shared" si="51"/>
        <v/>
      </c>
      <c r="AP101" s="1404" t="str">
        <f t="shared" si="52"/>
        <v/>
      </c>
      <c r="AQ101" s="1388">
        <f t="shared" si="53"/>
        <v>0</v>
      </c>
      <c r="AR101" s="1388" t="str">
        <f t="shared" si="54"/>
        <v/>
      </c>
      <c r="AS101" s="1388" t="str">
        <f t="shared" si="55"/>
        <v/>
      </c>
      <c r="AT101" s="1388" t="str">
        <f t="shared" si="56"/>
        <v/>
      </c>
      <c r="AU101" s="1393">
        <f t="shared" si="57"/>
        <v>0</v>
      </c>
      <c r="AV101" s="1388">
        <f t="shared" si="58"/>
        <v>0</v>
      </c>
      <c r="AW101" s="1390" t="str">
        <f t="shared" si="59"/>
        <v/>
      </c>
      <c r="AX101" s="1390" t="str">
        <f>IF(AND(AW101&lt;&gt;"",AY101&lt;&gt;""),"*","")</f>
        <v/>
      </c>
      <c r="AY101" s="1394" t="str">
        <f t="shared" si="60"/>
        <v/>
      </c>
      <c r="AZ101" s="1395" t="str">
        <f>IF(Table22[[#This Row],[LOQ_label]]="Y",Table22[[#This Row],[MRL individual commodity]],"")</f>
        <v/>
      </c>
      <c r="BA101" s="1449" t="s">
        <v>654</v>
      </c>
      <c r="BB101" s="1411" t="str">
        <f>IF(Table22[[#This Row],[LOQ2]]&lt;0,MIN(AZ101:AZ410),"")</f>
        <v/>
      </c>
      <c r="BC101" s="1299"/>
      <c r="BD101" s="1306" t="str">
        <f>IF(Table22[[#This Row],[Chronic RA label]]="","N",IF(Table22[[#This Row],[Chronic RA label]]="LOQ","N",IF(Table22[[#This Row],[Chronic RA label]]="MRL","N","Y")))</f>
        <v>N</v>
      </c>
      <c r="BE101" s="1306" t="str">
        <f>IF(Table22[[#This Row],[Acute RA label]]="","N",IF(Table22[[#This Row],[Acute RA label]]="LOQ","N",IF(Table22[[#This Row],[Acute RA label]]="MRL","N","Y")))</f>
        <v>N</v>
      </c>
      <c r="BF101" s="1306" t="str">
        <f>IF(OR(Table22[[#This Row],[include commodity in Summary_input_values_chronic]]="Y",Table22[[#This Row],[include commodity in Summary_input_values_acute]]="Y"),"Y","N")</f>
        <v>N</v>
      </c>
      <c r="BG101" s="1299"/>
      <c r="BH101" s="1324"/>
    </row>
    <row r="102" spans="1:60" ht="12.75" customHeight="1" outlineLevel="3" x14ac:dyDescent="0.2">
      <c r="A102" s="39">
        <v>4</v>
      </c>
      <c r="B102" s="327">
        <v>212020</v>
      </c>
      <c r="C102" s="23" t="s">
        <v>24</v>
      </c>
      <c r="D102" s="867"/>
      <c r="E102" s="1219"/>
      <c r="F102" s="867"/>
      <c r="G102" s="869"/>
      <c r="H102" s="863"/>
      <c r="I102" s="868"/>
      <c r="J102" s="870"/>
      <c r="K102" s="871"/>
      <c r="L102" s="872"/>
      <c r="M102" s="872"/>
      <c r="N102" s="925" t="str">
        <f>IF(O102&lt;&gt;0,CONCATENATE(input_values!$AF102,input_values!$AG102,input_values!$AH102),"")</f>
        <v/>
      </c>
      <c r="O102" s="491">
        <f>IF($A$10="Refined calculation mode",Table22[[#This Row],[input for chronic (refined mode]],Table22[[#This Row],[input for chronic normal mode]])</f>
        <v>0</v>
      </c>
      <c r="P102" s="925" t="str">
        <f>IF(Q102&lt;&gt;0,CONCATENATE(input_values!$AN102,input_values!$AO102,input_values!$AP102),"")</f>
        <v/>
      </c>
      <c r="Q102" s="491">
        <f>IF($V$5=0,0,IF(OR($A$10="Refined calculation mode",Results!$B$62="Show results of IESTI calculation only for crops with GAPs under assessment"),Table22[[#This Row],[Input for IESTI (refined mode)]],Table22[[#This Row],[Input for IESTI normal mode]]))</f>
        <v>0</v>
      </c>
      <c r="R102" s="926" t="str">
        <f>IF(S102&lt;&gt;0,CONCATENATE(input_values!$AW102,input_values!$AX102,input_values!$AY102),"")</f>
        <v/>
      </c>
      <c r="S102" s="492">
        <f>IF($V$5=0,0,IF(OR($A$10="Refined calculation mode",Results!$B$62="Show results of IESTI calculation only for crops with GAPs under assessment"),Table22[[#This Row],[Input for IESTI new (refined mode)]],Table22[[#This Row],[Input for IESTI new normal mode]]))</f>
        <v>0</v>
      </c>
      <c r="T102" s="886"/>
      <c r="U102" s="1408">
        <f>Table22[[#This Row],[MRL/ proposed MRL /CXL
(mg/kg)]]</f>
        <v>0</v>
      </c>
      <c r="V102" s="1409" t="str">
        <f>IF(ISBLANK(F102),"","Y")</f>
        <v/>
      </c>
      <c r="W102" s="1387">
        <f>IF($G102&gt;0,$G102,1)</f>
        <v>1</v>
      </c>
      <c r="X102" s="1387">
        <f>IF($H102&gt;0,$H102,1)</f>
        <v>1</v>
      </c>
      <c r="Y102" s="1387">
        <f>W102*X102</f>
        <v>1</v>
      </c>
      <c r="Z102" s="1410">
        <v>4</v>
      </c>
      <c r="AA102" s="1387">
        <f t="shared" si="42"/>
        <v>0</v>
      </c>
      <c r="AB102" s="1387">
        <f>IF(Z102=A102,IF(AND(L102="N",Table22[[#This Row],[LOQ_label]]="Y"),AA102,$AA102*$Y102),"")</f>
        <v>0</v>
      </c>
      <c r="AC102" s="1393">
        <f t="shared" si="43"/>
        <v>0</v>
      </c>
      <c r="AD102" s="1393">
        <f>IF(Table22[[#This Row],[Median residue*CF*PeF]]&lt;&gt;"",Table22[[#This Row],[Median residue*CF*PeF]],Table22[[#This Row],[MRL*CF*PeF (chronic)]])</f>
        <v>0</v>
      </c>
      <c r="AE102" s="1393">
        <f t="shared" si="44"/>
        <v>0</v>
      </c>
      <c r="AF102" s="1390" t="str">
        <f t="shared" si="45"/>
        <v>MRL</v>
      </c>
      <c r="AG102" s="1390" t="str">
        <f t="shared" si="46"/>
        <v/>
      </c>
      <c r="AH102" s="1394" t="str">
        <f t="shared" si="47"/>
        <v/>
      </c>
      <c r="AI102" s="1386">
        <v>4</v>
      </c>
      <c r="AJ102" s="1387">
        <f t="shared" si="48"/>
        <v>0</v>
      </c>
      <c r="AK102" s="1387">
        <f>IF(AI102=A102,IF(AND(L102="N",Table22[[#This Row],[LOQ_label]]="Y"),AJ102,$AJ102*$Y102),"")</f>
        <v>0</v>
      </c>
      <c r="AL102" s="1388">
        <f t="shared" si="49"/>
        <v>0</v>
      </c>
      <c r="AM102" s="1393">
        <f>IF(Table22[[#This Row],[Highest residue * CF*PF]]&lt;&gt;"",Table22[[#This Row],[Highest residue * CF*PF]],Table22[[#This Row],[MRL*CF*PF or MRL (if LOQ and not authorised) (acute RA)]])</f>
        <v>0</v>
      </c>
      <c r="AN102" s="1390" t="str">
        <f t="shared" si="50"/>
        <v>MRL</v>
      </c>
      <c r="AO102" s="1390" t="str">
        <f t="shared" si="51"/>
        <v/>
      </c>
      <c r="AP102" s="1404" t="str">
        <f t="shared" si="52"/>
        <v/>
      </c>
      <c r="AQ102" s="1388">
        <f t="shared" si="53"/>
        <v>0</v>
      </c>
      <c r="AR102" s="1388" t="str">
        <f t="shared" si="54"/>
        <v/>
      </c>
      <c r="AS102" s="1388" t="str">
        <f t="shared" si="55"/>
        <v/>
      </c>
      <c r="AT102" s="1388" t="str">
        <f t="shared" si="56"/>
        <v/>
      </c>
      <c r="AU102" s="1393">
        <f t="shared" si="57"/>
        <v>0</v>
      </c>
      <c r="AV102" s="1388">
        <f t="shared" si="58"/>
        <v>0</v>
      </c>
      <c r="AW102" s="1390" t="str">
        <f t="shared" si="59"/>
        <v/>
      </c>
      <c r="AX102" s="1390" t="str">
        <f>IF(AND(AW102&lt;&gt;"",AY102&lt;&gt;""),"*","")</f>
        <v/>
      </c>
      <c r="AY102" s="1394" t="str">
        <f t="shared" si="60"/>
        <v/>
      </c>
      <c r="AZ102" s="1395" t="str">
        <f>IF(Table22[[#This Row],[LOQ_label]]="Y",Table22[[#This Row],[MRL individual commodity]],"")</f>
        <v/>
      </c>
      <c r="BA102" s="1449" t="s">
        <v>654</v>
      </c>
      <c r="BB102" s="1411" t="str">
        <f>IF(Table22[[#This Row],[LOQ2]]&lt;0,MIN(AZ102:AZ410),"")</f>
        <v/>
      </c>
      <c r="BC102" s="1299"/>
      <c r="BD102" s="1306" t="str">
        <f>IF(Table22[[#This Row],[Chronic RA label]]="","N",IF(Table22[[#This Row],[Chronic RA label]]="LOQ","N",IF(Table22[[#This Row],[Chronic RA label]]="MRL","N","Y")))</f>
        <v>N</v>
      </c>
      <c r="BE102" s="1306" t="str">
        <f>IF(Table22[[#This Row],[Acute RA label]]="","N",IF(Table22[[#This Row],[Acute RA label]]="LOQ","N",IF(Table22[[#This Row],[Acute RA label]]="MRL","N","Y")))</f>
        <v>N</v>
      </c>
      <c r="BF102" s="1306" t="str">
        <f>IF(OR(Table22[[#This Row],[include commodity in Summary_input_values_chronic]]="Y",Table22[[#This Row],[include commodity in Summary_input_values_acute]]="Y"),"Y","N")</f>
        <v>N</v>
      </c>
      <c r="BG102" s="1299"/>
      <c r="BH102" s="1324"/>
    </row>
    <row r="103" spans="1:60" ht="12.75" customHeight="1" outlineLevel="3" x14ac:dyDescent="0.2">
      <c r="A103" s="39">
        <v>4</v>
      </c>
      <c r="B103" s="327">
        <v>212030</v>
      </c>
      <c r="C103" s="23" t="s">
        <v>25</v>
      </c>
      <c r="D103" s="867"/>
      <c r="E103" s="1219"/>
      <c r="F103" s="867"/>
      <c r="G103" s="869"/>
      <c r="H103" s="863"/>
      <c r="I103" s="868"/>
      <c r="J103" s="870"/>
      <c r="K103" s="871"/>
      <c r="L103" s="872"/>
      <c r="M103" s="872"/>
      <c r="N103" s="925" t="str">
        <f>IF(O103&lt;&gt;0,CONCATENATE(input_values!$AF103,input_values!$AG103,input_values!$AH103),"")</f>
        <v/>
      </c>
      <c r="O103" s="491">
        <f>IF($A$10="Refined calculation mode",Table22[[#This Row],[input for chronic (refined mode]],Table22[[#This Row],[input for chronic normal mode]])</f>
        <v>0</v>
      </c>
      <c r="P103" s="925" t="str">
        <f>IF(Q103&lt;&gt;0,CONCATENATE(input_values!$AN103,input_values!$AO103,input_values!$AP103),"")</f>
        <v/>
      </c>
      <c r="Q103" s="491">
        <f>IF($V$5=0,0,IF(OR($A$10="Refined calculation mode",Results!$B$62="Show results of IESTI calculation only for crops with GAPs under assessment"),Table22[[#This Row],[Input for IESTI (refined mode)]],Table22[[#This Row],[Input for IESTI normal mode]]))</f>
        <v>0</v>
      </c>
      <c r="R103" s="926" t="str">
        <f>IF(S103&lt;&gt;0,CONCATENATE(input_values!$AW103,input_values!$AX103,input_values!$AY103),"")</f>
        <v/>
      </c>
      <c r="S103" s="492">
        <f>IF($V$5=0,0,IF(OR($A$10="Refined calculation mode",Results!$B$62="Show results of IESTI calculation only for crops with GAPs under assessment"),Table22[[#This Row],[Input for IESTI new (refined mode)]],Table22[[#This Row],[Input for IESTI new normal mode]]))</f>
        <v>0</v>
      </c>
      <c r="T103" s="886"/>
      <c r="U103" s="1408">
        <f>Table22[[#This Row],[MRL/ proposed MRL /CXL
(mg/kg)]]</f>
        <v>0</v>
      </c>
      <c r="V103" s="1409" t="str">
        <f>IF(ISBLANK(F103),"","Y")</f>
        <v/>
      </c>
      <c r="W103" s="1387">
        <f>IF($G103&gt;0,$G103,1)</f>
        <v>1</v>
      </c>
      <c r="X103" s="1387">
        <f>IF($H103&gt;0,$H103,1)</f>
        <v>1</v>
      </c>
      <c r="Y103" s="1387">
        <f>W103*X103</f>
        <v>1</v>
      </c>
      <c r="Z103" s="1410">
        <v>4</v>
      </c>
      <c r="AA103" s="1387">
        <f t="shared" si="42"/>
        <v>0</v>
      </c>
      <c r="AB103" s="1387">
        <f>IF(Z103=A103,IF(AND(L103="N",Table22[[#This Row],[LOQ_label]]="Y"),AA103,$AA103*$Y103),"")</f>
        <v>0</v>
      </c>
      <c r="AC103" s="1393">
        <f t="shared" si="43"/>
        <v>0</v>
      </c>
      <c r="AD103" s="1393">
        <f>IF(Table22[[#This Row],[Median residue*CF*PeF]]&lt;&gt;"",Table22[[#This Row],[Median residue*CF*PeF]],Table22[[#This Row],[MRL*CF*PeF (chronic)]])</f>
        <v>0</v>
      </c>
      <c r="AE103" s="1393">
        <f t="shared" si="44"/>
        <v>0</v>
      </c>
      <c r="AF103" s="1390" t="str">
        <f t="shared" si="45"/>
        <v>MRL</v>
      </c>
      <c r="AG103" s="1390" t="str">
        <f t="shared" si="46"/>
        <v/>
      </c>
      <c r="AH103" s="1394" t="str">
        <f t="shared" si="47"/>
        <v/>
      </c>
      <c r="AI103" s="1386">
        <v>4</v>
      </c>
      <c r="AJ103" s="1387">
        <f t="shared" si="48"/>
        <v>0</v>
      </c>
      <c r="AK103" s="1387">
        <f>IF(AI103=A103,IF(AND(L103="N",Table22[[#This Row],[LOQ_label]]="Y"),AJ103,$AJ103*$Y103),"")</f>
        <v>0</v>
      </c>
      <c r="AL103" s="1388">
        <f t="shared" si="49"/>
        <v>0</v>
      </c>
      <c r="AM103" s="1393">
        <f>IF(Table22[[#This Row],[Highest residue * CF*PF]]&lt;&gt;"",Table22[[#This Row],[Highest residue * CF*PF]],Table22[[#This Row],[MRL*CF*PF or MRL (if LOQ and not authorised) (acute RA)]])</f>
        <v>0</v>
      </c>
      <c r="AN103" s="1390" t="str">
        <f t="shared" si="50"/>
        <v>MRL</v>
      </c>
      <c r="AO103" s="1390" t="str">
        <f t="shared" si="51"/>
        <v/>
      </c>
      <c r="AP103" s="1404" t="str">
        <f t="shared" si="52"/>
        <v/>
      </c>
      <c r="AQ103" s="1388">
        <f t="shared" si="53"/>
        <v>0</v>
      </c>
      <c r="AR103" s="1388" t="str">
        <f t="shared" si="54"/>
        <v/>
      </c>
      <c r="AS103" s="1388" t="str">
        <f t="shared" si="55"/>
        <v/>
      </c>
      <c r="AT103" s="1388" t="str">
        <f t="shared" si="56"/>
        <v/>
      </c>
      <c r="AU103" s="1393">
        <f t="shared" si="57"/>
        <v>0</v>
      </c>
      <c r="AV103" s="1388">
        <f t="shared" si="58"/>
        <v>0</v>
      </c>
      <c r="AW103" s="1390" t="str">
        <f t="shared" si="59"/>
        <v/>
      </c>
      <c r="AX103" s="1390" t="str">
        <f>IF(AND(AW103&lt;&gt;"",AY103&lt;&gt;""),"*","")</f>
        <v/>
      </c>
      <c r="AY103" s="1394" t="str">
        <f t="shared" si="60"/>
        <v/>
      </c>
      <c r="AZ103" s="1395" t="str">
        <f>IF(Table22[[#This Row],[LOQ_label]]="Y",Table22[[#This Row],[MRL individual commodity]],"")</f>
        <v/>
      </c>
      <c r="BA103" s="1449" t="s">
        <v>654</v>
      </c>
      <c r="BB103" s="1411" t="str">
        <f>IF(Table22[[#This Row],[LOQ2]]&lt;0,MIN(AZ103:AZ410),"")</f>
        <v/>
      </c>
      <c r="BC103" s="1299"/>
      <c r="BD103" s="1306" t="str">
        <f>IF(Table22[[#This Row],[Chronic RA label]]="","N",IF(Table22[[#This Row],[Chronic RA label]]="LOQ","N",IF(Table22[[#This Row],[Chronic RA label]]="MRL","N","Y")))</f>
        <v>N</v>
      </c>
      <c r="BE103" s="1306" t="str">
        <f>IF(Table22[[#This Row],[Acute RA label]]="","N",IF(Table22[[#This Row],[Acute RA label]]="LOQ","N",IF(Table22[[#This Row],[Acute RA label]]="MRL","N","Y")))</f>
        <v>N</v>
      </c>
      <c r="BF103" s="1306" t="str">
        <f>IF(OR(Table22[[#This Row],[include commodity in Summary_input_values_chronic]]="Y",Table22[[#This Row],[include commodity in Summary_input_values_acute]]="Y"),"Y","N")</f>
        <v>N</v>
      </c>
      <c r="BG103" s="1299"/>
      <c r="BH103" s="1324"/>
    </row>
    <row r="104" spans="1:60" ht="12.75" customHeight="1" outlineLevel="3" x14ac:dyDescent="0.2">
      <c r="A104" s="39">
        <v>4</v>
      </c>
      <c r="B104" s="327">
        <v>212040</v>
      </c>
      <c r="C104" s="23" t="s">
        <v>706</v>
      </c>
      <c r="D104" s="867"/>
      <c r="E104" s="1219"/>
      <c r="F104" s="867"/>
      <c r="G104" s="869"/>
      <c r="H104" s="863"/>
      <c r="I104" s="868"/>
      <c r="J104" s="870"/>
      <c r="K104" s="865"/>
      <c r="L104" s="872"/>
      <c r="M104" s="872"/>
      <c r="N104" s="925" t="str">
        <f>IF(O104&lt;&gt;0,CONCATENATE(input_values!$AF104,input_values!$AG104,input_values!$AH104),"")</f>
        <v/>
      </c>
      <c r="O104" s="491">
        <f>IF($A$10="Refined calculation mode",Table22[[#This Row],[input for chronic (refined mode]],Table22[[#This Row],[input for chronic normal mode]])</f>
        <v>0</v>
      </c>
      <c r="P104" s="925" t="str">
        <f>IF(Q104&lt;&gt;0,CONCATENATE(input_values!$AN104,input_values!$AO104,input_values!$AP104),"")</f>
        <v/>
      </c>
      <c r="Q104" s="491">
        <f>IF($V$5=0,0,IF(OR($A$10="Refined calculation mode",Results!$B$62="Show results of IESTI calculation only for crops with GAPs under assessment"),Table22[[#This Row],[Input for IESTI (refined mode)]],Table22[[#This Row],[Input for IESTI normal mode]]))</f>
        <v>0</v>
      </c>
      <c r="R104" s="926" t="str">
        <f>IF(S104&lt;&gt;0,CONCATENATE(input_values!$AW104,input_values!$AX104,input_values!$AY104),"")</f>
        <v/>
      </c>
      <c r="S104" s="492">
        <f>IF($V$5=0,0,IF(OR($A$10="Refined calculation mode",Results!$B$62="Show results of IESTI calculation only for crops with GAPs under assessment"),Table22[[#This Row],[Input for IESTI new (refined mode)]],Table22[[#This Row],[Input for IESTI new normal mode]]))</f>
        <v>0</v>
      </c>
      <c r="T104" s="886"/>
      <c r="U104" s="1408">
        <f>Table22[[#This Row],[MRL/ proposed MRL /CXL
(mg/kg)]]</f>
        <v>0</v>
      </c>
      <c r="V104" s="1409" t="str">
        <f>IF(ISBLANK(F104),"","Y")</f>
        <v/>
      </c>
      <c r="W104" s="1387">
        <f>IF($G104&gt;0,$G104,1)</f>
        <v>1</v>
      </c>
      <c r="X104" s="1387">
        <f>IF($H104&gt;0,$H104,1)</f>
        <v>1</v>
      </c>
      <c r="Y104" s="1387">
        <f>W104*X104</f>
        <v>1</v>
      </c>
      <c r="Z104" s="1410">
        <v>4</v>
      </c>
      <c r="AA104" s="1387">
        <f t="shared" si="42"/>
        <v>0</v>
      </c>
      <c r="AB104" s="1387">
        <f>IF(Z104=A104,IF(AND(L104="N",Table22[[#This Row],[LOQ_label]]="Y"),AA104,$AA104*$Y104),"")</f>
        <v>0</v>
      </c>
      <c r="AC104" s="1393">
        <f t="shared" si="43"/>
        <v>0</v>
      </c>
      <c r="AD104" s="1393">
        <f>IF(Table22[[#This Row],[Median residue*CF*PeF]]&lt;&gt;"",Table22[[#This Row],[Median residue*CF*PeF]],Table22[[#This Row],[MRL*CF*PeF (chronic)]])</f>
        <v>0</v>
      </c>
      <c r="AE104" s="1393">
        <f t="shared" si="44"/>
        <v>0</v>
      </c>
      <c r="AF104" s="1390" t="str">
        <f t="shared" si="45"/>
        <v>MRL</v>
      </c>
      <c r="AG104" s="1390" t="str">
        <f t="shared" si="46"/>
        <v/>
      </c>
      <c r="AH104" s="1394" t="str">
        <f t="shared" si="47"/>
        <v/>
      </c>
      <c r="AI104" s="1386">
        <v>4</v>
      </c>
      <c r="AJ104" s="1387">
        <f t="shared" si="48"/>
        <v>0</v>
      </c>
      <c r="AK104" s="1387">
        <f>IF(AI104=A104,IF(AND(L104="N",Table22[[#This Row],[LOQ_label]]="Y"),AJ104,$AJ104*$Y104),"")</f>
        <v>0</v>
      </c>
      <c r="AL104" s="1388">
        <f t="shared" si="49"/>
        <v>0</v>
      </c>
      <c r="AM104" s="1393">
        <f>IF(Table22[[#This Row],[Highest residue * CF*PF]]&lt;&gt;"",Table22[[#This Row],[Highest residue * CF*PF]],Table22[[#This Row],[MRL*CF*PF or MRL (if LOQ and not authorised) (acute RA)]])</f>
        <v>0</v>
      </c>
      <c r="AN104" s="1390" t="str">
        <f t="shared" si="50"/>
        <v>MRL</v>
      </c>
      <c r="AO104" s="1390" t="str">
        <f t="shared" si="51"/>
        <v/>
      </c>
      <c r="AP104" s="1404" t="str">
        <f t="shared" si="52"/>
        <v/>
      </c>
      <c r="AQ104" s="1388">
        <f t="shared" si="53"/>
        <v>0</v>
      </c>
      <c r="AR104" s="1388" t="str">
        <f t="shared" si="54"/>
        <v/>
      </c>
      <c r="AS104" s="1388" t="str">
        <f t="shared" si="55"/>
        <v/>
      </c>
      <c r="AT104" s="1388" t="str">
        <f t="shared" si="56"/>
        <v/>
      </c>
      <c r="AU104" s="1393">
        <f t="shared" si="57"/>
        <v>0</v>
      </c>
      <c r="AV104" s="1388">
        <f t="shared" si="58"/>
        <v>0</v>
      </c>
      <c r="AW104" s="1390" t="str">
        <f t="shared" si="59"/>
        <v/>
      </c>
      <c r="AX104" s="1390" t="str">
        <f>IF(AND(AW104&lt;&gt;"",AY104&lt;&gt;""),"*","")</f>
        <v/>
      </c>
      <c r="AY104" s="1394" t="str">
        <f t="shared" si="60"/>
        <v/>
      </c>
      <c r="AZ104" s="1395" t="str">
        <f>IF(Table22[[#This Row],[LOQ_label]]="Y",Table22[[#This Row],[MRL individual commodity]],"")</f>
        <v/>
      </c>
      <c r="BA104" s="1396" t="s">
        <v>618</v>
      </c>
      <c r="BB104" s="1411" t="str">
        <f>IF(Table22[[#This Row],[LOQ2]]&lt;0,MIN(AZ104:AZ410),"")</f>
        <v/>
      </c>
      <c r="BC104" s="1299"/>
      <c r="BD104" s="1306" t="str">
        <f>IF(Table22[[#This Row],[Chronic RA label]]="","N",IF(Table22[[#This Row],[Chronic RA label]]="LOQ","N",IF(Table22[[#This Row],[Chronic RA label]]="MRL","N","Y")))</f>
        <v>N</v>
      </c>
      <c r="BE104" s="1306" t="str">
        <f>IF(Table22[[#This Row],[Acute RA label]]="","N",IF(Table22[[#This Row],[Acute RA label]]="LOQ","N",IF(Table22[[#This Row],[Acute RA label]]="MRL","N","Y")))</f>
        <v>N</v>
      </c>
      <c r="BF104" s="1306" t="str">
        <f>IF(OR(Table22[[#This Row],[include commodity in Summary_input_values_chronic]]="Y",Table22[[#This Row],[include commodity in Summary_input_values_acute]]="Y"),"Y","N")</f>
        <v>N</v>
      </c>
      <c r="BG104" s="1299"/>
      <c r="BH104" s="1324"/>
    </row>
    <row r="105" spans="1:60" ht="12.75" customHeight="1" outlineLevel="3" x14ac:dyDescent="0.2">
      <c r="A105" s="39">
        <v>4</v>
      </c>
      <c r="B105" s="327">
        <v>212990</v>
      </c>
      <c r="C105" s="23" t="s">
        <v>163</v>
      </c>
      <c r="D105" s="867"/>
      <c r="E105" s="1219"/>
      <c r="F105" s="867"/>
      <c r="G105" s="868"/>
      <c r="H105" s="863"/>
      <c r="I105" s="868"/>
      <c r="J105" s="870"/>
      <c r="K105" s="865"/>
      <c r="L105" s="872"/>
      <c r="M105" s="872"/>
      <c r="N105" s="925" t="str">
        <f>IF(O105&lt;&gt;0,CONCATENATE(input_values!$AF105,input_values!$AG105,input_values!$AH105),"")</f>
        <v/>
      </c>
      <c r="O105" s="491">
        <f>IF($A$10="Refined calculation mode",Table22[[#This Row],[input for chronic (refined mode]],Table22[[#This Row],[input for chronic normal mode]])</f>
        <v>0</v>
      </c>
      <c r="P105" s="473"/>
      <c r="Q105" s="474"/>
      <c r="R105" s="473"/>
      <c r="S105" s="474"/>
      <c r="T105" s="886"/>
      <c r="U105" s="1408">
        <f>Table22[[#This Row],[MRL/ proposed MRL /CXL
(mg/kg)]]</f>
        <v>0</v>
      </c>
      <c r="V105" s="1409" t="str">
        <f>IF(ISBLANK(F105),"","Y")</f>
        <v/>
      </c>
      <c r="W105" s="1387">
        <f>IF($G105&gt;0,$G105,1)</f>
        <v>1</v>
      </c>
      <c r="X105" s="1387">
        <f>IF($H105&gt;0,$H105,1)</f>
        <v>1</v>
      </c>
      <c r="Y105" s="1387">
        <f>W105*X105</f>
        <v>1</v>
      </c>
      <c r="Z105" s="1410">
        <v>4</v>
      </c>
      <c r="AA105" s="1387">
        <f t="shared" si="42"/>
        <v>0</v>
      </c>
      <c r="AB105" s="1387">
        <f>IF(Z105=A105,IF(AND(L105="N",Table22[[#This Row],[LOQ_label]]="Y"),AA105,$AA105*$Y105),"")</f>
        <v>0</v>
      </c>
      <c r="AC105" s="1393">
        <f t="shared" si="43"/>
        <v>0</v>
      </c>
      <c r="AD105" s="1393">
        <f>IF(Table22[[#This Row],[Median residue*CF*PeF]]&lt;&gt;"",Table22[[#This Row],[Median residue*CF*PeF]],Table22[[#This Row],[MRL*CF*PeF (chronic)]])</f>
        <v>0</v>
      </c>
      <c r="AE105" s="1393">
        <f t="shared" si="44"/>
        <v>0</v>
      </c>
      <c r="AF105" s="1390" t="str">
        <f t="shared" si="45"/>
        <v>MRL</v>
      </c>
      <c r="AG105" s="1390" t="str">
        <f t="shared" si="46"/>
        <v/>
      </c>
      <c r="AH105" s="1394" t="str">
        <f t="shared" si="47"/>
        <v/>
      </c>
      <c r="AI105" s="1386"/>
      <c r="AJ105" s="1387" t="str">
        <f t="shared" si="48"/>
        <v/>
      </c>
      <c r="AK105" s="1387" t="str">
        <f>IF(AI105=A105,IF(AND(L105="N",Table22[[#This Row],[LOQ_label]]="Y"),AJ105,$AJ105*$Y105),"")</f>
        <v/>
      </c>
      <c r="AL105" s="1388" t="str">
        <f t="shared" si="49"/>
        <v/>
      </c>
      <c r="AM105" s="1393" t="str">
        <f>IF(Table22[[#This Row],[Highest residue * CF*PF]]&lt;&gt;"",Table22[[#This Row],[Highest residue * CF*PF]],Table22[[#This Row],[MRL*CF*PF or MRL (if LOQ and not authorised) (acute RA)]])</f>
        <v/>
      </c>
      <c r="AN105" s="1390" t="str">
        <f t="shared" si="50"/>
        <v/>
      </c>
      <c r="AO105" s="1390" t="str">
        <f t="shared" si="51"/>
        <v/>
      </c>
      <c r="AP105" s="1404" t="str">
        <f t="shared" si="52"/>
        <v/>
      </c>
      <c r="AQ105" s="1388">
        <f t="shared" si="53"/>
        <v>0</v>
      </c>
      <c r="AR105" s="1388" t="str">
        <f t="shared" si="54"/>
        <v/>
      </c>
      <c r="AS105" s="1388" t="str">
        <f t="shared" si="55"/>
        <v/>
      </c>
      <c r="AT105" s="1388" t="str">
        <f t="shared" si="56"/>
        <v/>
      </c>
      <c r="AU105" s="1393" t="str">
        <f t="shared" si="57"/>
        <v/>
      </c>
      <c r="AV105" s="1388">
        <f t="shared" si="58"/>
        <v>0</v>
      </c>
      <c r="AW105" s="1390" t="str">
        <f t="shared" si="59"/>
        <v/>
      </c>
      <c r="AX105" s="1390" t="str">
        <f>IF(AND(AN105&lt;&gt;"",AY105&lt;&gt;""),"*","")</f>
        <v/>
      </c>
      <c r="AY105" s="1394" t="str">
        <f t="shared" si="60"/>
        <v/>
      </c>
      <c r="AZ105" s="1395" t="str">
        <f>IF(Table22[[#This Row],[LOQ_label]]="Y",Table22[[#This Row],[MRL individual commodity]],"")</f>
        <v/>
      </c>
      <c r="BA105" s="1396" t="s">
        <v>1159</v>
      </c>
      <c r="BB105" s="1411" t="str">
        <f>IF(Table22[[#This Row],[LOQ2]]&lt;0,MIN(AZ105:AZ410),"")</f>
        <v/>
      </c>
      <c r="BC105" s="1299"/>
      <c r="BD105" s="1306" t="str">
        <f>IF(Table22[[#This Row],[Chronic RA label]]="","N",IF(Table22[[#This Row],[Chronic RA label]]="LOQ","N",IF(Table22[[#This Row],[Chronic RA label]]="MRL","N","Y")))</f>
        <v>N</v>
      </c>
      <c r="BE105" s="1306" t="str">
        <f>IF(Table22[[#This Row],[Acute RA label]]="","N",IF(Table22[[#This Row],[Acute RA label]]="LOQ","N",IF(Table22[[#This Row],[Acute RA label]]="MRL","N","Y")))</f>
        <v>N</v>
      </c>
      <c r="BF105" s="1306" t="str">
        <f>IF(OR(Table22[[#This Row],[include commodity in Summary_input_values_chronic]]="Y",Table22[[#This Row],[include commodity in Summary_input_values_acute]]="Y"),"Y","N")</f>
        <v>N</v>
      </c>
      <c r="BG105" s="1299"/>
      <c r="BH105" s="1324"/>
    </row>
    <row r="106" spans="1:60" ht="12.75" customHeight="1" outlineLevel="2" x14ac:dyDescent="0.2">
      <c r="A106" s="132">
        <v>3</v>
      </c>
      <c r="B106" s="448">
        <v>213000</v>
      </c>
      <c r="C106" s="3" t="s">
        <v>294</v>
      </c>
      <c r="D106" s="862"/>
      <c r="E106" s="1218"/>
      <c r="F106" s="862"/>
      <c r="G106" s="866"/>
      <c r="H106" s="863"/>
      <c r="I106" s="863"/>
      <c r="J106" s="864"/>
      <c r="K106" s="865"/>
      <c r="L106" s="471"/>
      <c r="M106" s="471"/>
      <c r="N106" s="473"/>
      <c r="O106" s="474"/>
      <c r="P106" s="473"/>
      <c r="Q106" s="474"/>
      <c r="R106" s="473"/>
      <c r="S106" s="474"/>
      <c r="T106" s="886"/>
      <c r="U106" s="1415"/>
      <c r="V106" s="1380"/>
      <c r="W106" s="1381"/>
      <c r="X106" s="1381"/>
      <c r="Y106" s="1381"/>
      <c r="Z106" s="1382">
        <v>4</v>
      </c>
      <c r="AA106" s="1381" t="str">
        <f t="shared" si="42"/>
        <v/>
      </c>
      <c r="AB106" s="1381" t="str">
        <f>IF(Z106=A106,IF(AND(L106="N",Table22[[#This Row],[LOQ_label]]="Y"),AA106,$AA106*$Y106),"")</f>
        <v/>
      </c>
      <c r="AC106" s="1383" t="str">
        <f t="shared" si="43"/>
        <v/>
      </c>
      <c r="AD106" s="1383" t="str">
        <f>IF(Table22[[#This Row],[Median residue*CF*PeF]]&lt;&gt;"",Table22[[#This Row],[Median residue*CF*PeF]],Table22[[#This Row],[MRL*CF*PeF (chronic)]])</f>
        <v/>
      </c>
      <c r="AE106" s="1384">
        <f t="shared" si="44"/>
        <v>0</v>
      </c>
      <c r="AF106" s="1385" t="str">
        <f t="shared" si="45"/>
        <v/>
      </c>
      <c r="AG106" s="1385" t="str">
        <f t="shared" si="46"/>
        <v/>
      </c>
      <c r="AH106" s="1270" t="str">
        <f t="shared" si="47"/>
        <v/>
      </c>
      <c r="AI106" s="1386">
        <v>4</v>
      </c>
      <c r="AJ106" s="1387" t="str">
        <f t="shared" si="48"/>
        <v/>
      </c>
      <c r="AK106" s="1387" t="str">
        <f>IF(AI106=A106,IF(AND(L106="N",Table22[[#This Row],[LOQ_label]]="Y"),AJ106,$AJ106*$Y106),"")</f>
        <v/>
      </c>
      <c r="AL106" s="1388" t="str">
        <f t="shared" si="49"/>
        <v/>
      </c>
      <c r="AM106" s="1393" t="str">
        <f>IF(Table22[[#This Row],[Highest residue * CF*PF]]&lt;&gt;"",Table22[[#This Row],[Highest residue * CF*PF]],Table22[[#This Row],[MRL*CF*PF or MRL (if LOQ and not authorised) (acute RA)]])</f>
        <v/>
      </c>
      <c r="AN106" s="1390" t="str">
        <f t="shared" si="50"/>
        <v/>
      </c>
      <c r="AO106" s="1390" t="str">
        <f t="shared" si="51"/>
        <v/>
      </c>
      <c r="AP106" s="1404" t="str">
        <f t="shared" si="52"/>
        <v/>
      </c>
      <c r="AQ106" s="1388">
        <f t="shared" si="53"/>
        <v>0</v>
      </c>
      <c r="AR106" s="1388" t="str">
        <f t="shared" si="54"/>
        <v/>
      </c>
      <c r="AS106" s="1388" t="str">
        <f t="shared" si="55"/>
        <v/>
      </c>
      <c r="AT106" s="1388" t="str">
        <f t="shared" si="56"/>
        <v/>
      </c>
      <c r="AU106" s="1393" t="str">
        <f t="shared" si="57"/>
        <v/>
      </c>
      <c r="AV106" s="1388">
        <f t="shared" si="58"/>
        <v>0</v>
      </c>
      <c r="AW106" s="1390" t="str">
        <f t="shared" si="59"/>
        <v/>
      </c>
      <c r="AX106" s="1390" t="str">
        <f>IF(AND(AN106&lt;&gt;"",AY106&lt;&gt;""),"*","")</f>
        <v/>
      </c>
      <c r="AY106" s="1394" t="str">
        <f t="shared" si="60"/>
        <v/>
      </c>
      <c r="AZ106" s="1395">
        <f>IF(Table22[[#This Row],[LOQ_label]]="Y",Table22[[#This Row],[MRL individual commodity]],"")</f>
        <v>0</v>
      </c>
      <c r="BA106" s="1396" t="s">
        <v>1159</v>
      </c>
      <c r="BB106" s="1411" t="str">
        <f>IF(Table22[[#This Row],[LOQ2]]&lt;0,MIN(AZ106:AZ410),"")</f>
        <v/>
      </c>
      <c r="BC106" s="1299"/>
      <c r="BD106" s="1306" t="str">
        <f>IF(Table22[[#This Row],[Chronic RA label]]="","N",IF(Table22[[#This Row],[Chronic RA label]]="LOQ","N",IF(Table22[[#This Row],[Chronic RA label]]="MRL","N","Y")))</f>
        <v>N</v>
      </c>
      <c r="BE106" s="1306" t="str">
        <f>IF(Table22[[#This Row],[Acute RA label]]="","N",IF(Table22[[#This Row],[Acute RA label]]="LOQ","N",IF(Table22[[#This Row],[Acute RA label]]="MRL","N","Y")))</f>
        <v>N</v>
      </c>
      <c r="BF106" s="1306" t="str">
        <f>IF(OR(Table22[[#This Row],[include commodity in Summary_input_values_chronic]]="Y",Table22[[#This Row],[include commodity in Summary_input_values_acute]]="Y"),"Y","N")</f>
        <v>N</v>
      </c>
      <c r="BG106" s="1299"/>
      <c r="BH106" s="1324"/>
    </row>
    <row r="107" spans="1:60" ht="12.75" customHeight="1" outlineLevel="3" x14ac:dyDescent="0.2">
      <c r="A107" s="39">
        <v>4</v>
      </c>
      <c r="B107" s="327">
        <v>213010</v>
      </c>
      <c r="C107" s="23" t="s">
        <v>707</v>
      </c>
      <c r="D107" s="867"/>
      <c r="E107" s="1219"/>
      <c r="F107" s="867"/>
      <c r="G107" s="869"/>
      <c r="H107" s="868"/>
      <c r="I107" s="868"/>
      <c r="J107" s="868"/>
      <c r="K107" s="871"/>
      <c r="L107" s="872"/>
      <c r="M107" s="872"/>
      <c r="N107" s="925" t="str">
        <f>IF(O107&lt;&gt;0,CONCATENATE(input_values!$AF107,input_values!$AG107,input_values!$AH107),"")</f>
        <v/>
      </c>
      <c r="O107" s="491">
        <f>IF($A$10="Refined calculation mode",Table22[[#This Row],[input for chronic (refined mode]],Table22[[#This Row],[input for chronic normal mode]])</f>
        <v>0</v>
      </c>
      <c r="P107" s="925" t="str">
        <f>IF(Q107&lt;&gt;0,CONCATENATE(input_values!$AN107,input_values!$AO107,input_values!$AP107),"")</f>
        <v/>
      </c>
      <c r="Q107" s="491">
        <f>IF($V$5=0,0,IF(OR($A$10="Refined calculation mode",Results!$B$62="Show results of IESTI calculation only for crops with GAPs under assessment"),Table22[[#This Row],[Input for IESTI (refined mode)]],Table22[[#This Row],[Input for IESTI normal mode]]))</f>
        <v>0</v>
      </c>
      <c r="R107" s="926" t="str">
        <f>IF(S107&lt;&gt;0,CONCATENATE(input_values!$AW107,input_values!$AX107,input_values!$AY107),"")</f>
        <v/>
      </c>
      <c r="S107" s="492">
        <f>IF($V$5=0,0,IF(OR($A$10="Refined calculation mode",Results!$B$62="Show results of IESTI calculation only for crops with GAPs under assessment"),Table22[[#This Row],[Input for IESTI new (refined mode)]],Table22[[#This Row],[Input for IESTI new normal mode]]))</f>
        <v>0</v>
      </c>
      <c r="T107" s="886"/>
      <c r="U107" s="1408">
        <f>Table22[[#This Row],[MRL/ proposed MRL /CXL
(mg/kg)]]</f>
        <v>0</v>
      </c>
      <c r="V107" s="1409" t="str">
        <f t="shared" ref="V107:V118" si="71">IF(ISBLANK(F107),"","Y")</f>
        <v/>
      </c>
      <c r="W107" s="1387">
        <f t="shared" ref="W107:W118" si="72">IF($G107&gt;0,$G107,1)</f>
        <v>1</v>
      </c>
      <c r="X107" s="1387">
        <f t="shared" ref="X107:X118" si="73">IF($H107&gt;0,$H107,1)</f>
        <v>1</v>
      </c>
      <c r="Y107" s="1387">
        <f t="shared" ref="Y107:Y118" si="74">W107*X107</f>
        <v>1</v>
      </c>
      <c r="Z107" s="1410">
        <v>4</v>
      </c>
      <c r="AA107" s="1387">
        <f t="shared" si="42"/>
        <v>0</v>
      </c>
      <c r="AB107" s="1387">
        <f>IF(Z107=A107,IF(AND(L107="N",Table22[[#This Row],[LOQ_label]]="Y"),AA107,$AA107*$Y107),"")</f>
        <v>0</v>
      </c>
      <c r="AC107" s="1393">
        <f t="shared" si="43"/>
        <v>0</v>
      </c>
      <c r="AD107" s="1393">
        <f>IF(Table22[[#This Row],[Median residue*CF*PeF]]&lt;&gt;"",Table22[[#This Row],[Median residue*CF*PeF]],Table22[[#This Row],[MRL*CF*PeF (chronic)]])</f>
        <v>0</v>
      </c>
      <c r="AE107" s="1393">
        <f t="shared" si="44"/>
        <v>0</v>
      </c>
      <c r="AF107" s="1390" t="str">
        <f t="shared" si="45"/>
        <v>MRL</v>
      </c>
      <c r="AG107" s="1390" t="str">
        <f t="shared" si="46"/>
        <v/>
      </c>
      <c r="AH107" s="1394" t="str">
        <f t="shared" si="47"/>
        <v/>
      </c>
      <c r="AI107" s="1386">
        <v>4</v>
      </c>
      <c r="AJ107" s="1387">
        <f t="shared" si="48"/>
        <v>0</v>
      </c>
      <c r="AK107" s="1387">
        <f>IF(AI107=A107,IF(AND(L107="N",Table22[[#This Row],[LOQ_label]]="Y"),AJ107,$AJ107*$Y107),"")</f>
        <v>0</v>
      </c>
      <c r="AL107" s="1388">
        <f t="shared" si="49"/>
        <v>0</v>
      </c>
      <c r="AM107" s="1393">
        <f>IF(Table22[[#This Row],[Highest residue * CF*PF]]&lt;&gt;"",Table22[[#This Row],[Highest residue * CF*PF]],Table22[[#This Row],[MRL*CF*PF or MRL (if LOQ and not authorised) (acute RA)]])</f>
        <v>0</v>
      </c>
      <c r="AN107" s="1390" t="str">
        <f t="shared" si="50"/>
        <v>MRL</v>
      </c>
      <c r="AO107" s="1390" t="str">
        <f t="shared" si="51"/>
        <v/>
      </c>
      <c r="AP107" s="1404" t="str">
        <f t="shared" si="52"/>
        <v/>
      </c>
      <c r="AQ107" s="1388">
        <f t="shared" si="53"/>
        <v>0</v>
      </c>
      <c r="AR107" s="1388" t="str">
        <f t="shared" si="54"/>
        <v/>
      </c>
      <c r="AS107" s="1388" t="str">
        <f t="shared" si="55"/>
        <v/>
      </c>
      <c r="AT107" s="1388" t="str">
        <f t="shared" si="56"/>
        <v/>
      </c>
      <c r="AU107" s="1393">
        <f t="shared" si="57"/>
        <v>0</v>
      </c>
      <c r="AV107" s="1388">
        <f t="shared" si="58"/>
        <v>0</v>
      </c>
      <c r="AW107" s="1390" t="str">
        <f t="shared" si="59"/>
        <v/>
      </c>
      <c r="AX107" s="1390" t="str">
        <f t="shared" ref="AX107:AX117" si="75">IF(AND(AW107&lt;&gt;"",AY107&lt;&gt;""),"*","")</f>
        <v/>
      </c>
      <c r="AY107" s="1394" t="str">
        <f t="shared" si="60"/>
        <v/>
      </c>
      <c r="AZ107" s="1395" t="str">
        <f>IF(Table22[[#This Row],[LOQ_label]]="Y",Table22[[#This Row],[MRL individual commodity]],"")</f>
        <v/>
      </c>
      <c r="BA107" s="1449" t="s">
        <v>654</v>
      </c>
      <c r="BB107" s="1411" t="str">
        <f>IF(Table22[[#This Row],[LOQ2]]&lt;0,MIN(AZ107:AZ410),"")</f>
        <v/>
      </c>
      <c r="BC107" s="1299"/>
      <c r="BD107" s="1306" t="str">
        <f>IF(Table22[[#This Row],[Chronic RA label]]="","N",IF(Table22[[#This Row],[Chronic RA label]]="LOQ","N",IF(Table22[[#This Row],[Chronic RA label]]="MRL","N","Y")))</f>
        <v>N</v>
      </c>
      <c r="BE107" s="1306" t="str">
        <f>IF(Table22[[#This Row],[Acute RA label]]="","N",IF(Table22[[#This Row],[Acute RA label]]="LOQ","N",IF(Table22[[#This Row],[Acute RA label]]="MRL","N","Y")))</f>
        <v>N</v>
      </c>
      <c r="BF107" s="1306" t="str">
        <f>IF(OR(Table22[[#This Row],[include commodity in Summary_input_values_chronic]]="Y",Table22[[#This Row],[include commodity in Summary_input_values_acute]]="Y"),"Y","N")</f>
        <v>N</v>
      </c>
      <c r="BG107" s="1299"/>
      <c r="BH107" s="1324"/>
    </row>
    <row r="108" spans="1:60" ht="12.75" customHeight="1" outlineLevel="3" x14ac:dyDescent="0.2">
      <c r="A108" s="39">
        <v>4</v>
      </c>
      <c r="B108" s="327">
        <v>213020</v>
      </c>
      <c r="C108" s="23" t="s">
        <v>26</v>
      </c>
      <c r="D108" s="867"/>
      <c r="E108" s="1219"/>
      <c r="F108" s="867"/>
      <c r="G108" s="869"/>
      <c r="H108" s="863"/>
      <c r="I108" s="868"/>
      <c r="J108" s="870"/>
      <c r="K108" s="871"/>
      <c r="L108" s="872"/>
      <c r="M108" s="872"/>
      <c r="N108" s="925" t="str">
        <f>IF(O108&lt;&gt;0,CONCATENATE(input_values!$AF108,input_values!$AG108,input_values!$AH108),"")</f>
        <v/>
      </c>
      <c r="O108" s="491">
        <f>IF($A$10="Refined calculation mode",Table22[[#This Row],[input for chronic (refined mode]],Table22[[#This Row],[input for chronic normal mode]])</f>
        <v>0</v>
      </c>
      <c r="P108" s="925" t="str">
        <f>IF(Q108&lt;&gt;0,CONCATENATE(input_values!$AN108,input_values!$AO108,input_values!$AP108),"")</f>
        <v/>
      </c>
      <c r="Q108" s="491">
        <f>IF($V$5=0,0,IF(OR($A$10="Refined calculation mode",Results!$B$62="Show results of IESTI calculation only for crops with GAPs under assessment"),Table22[[#This Row],[Input for IESTI (refined mode)]],Table22[[#This Row],[Input for IESTI normal mode]]))</f>
        <v>0</v>
      </c>
      <c r="R108" s="926" t="str">
        <f>IF(S108&lt;&gt;0,CONCATENATE(input_values!$AW108,input_values!$AX108,input_values!$AY108),"")</f>
        <v/>
      </c>
      <c r="S108" s="492">
        <f>IF($V$5=0,0,IF(OR($A$10="Refined calculation mode",Results!$B$62="Show results of IESTI calculation only for crops with GAPs under assessment"),Table22[[#This Row],[Input for IESTI new (refined mode)]],Table22[[#This Row],[Input for IESTI new normal mode]]))</f>
        <v>0</v>
      </c>
      <c r="T108" s="886"/>
      <c r="U108" s="1408">
        <f>Table22[[#This Row],[MRL/ proposed MRL /CXL
(mg/kg)]]</f>
        <v>0</v>
      </c>
      <c r="V108" s="1409" t="str">
        <f t="shared" si="71"/>
        <v/>
      </c>
      <c r="W108" s="1387">
        <f t="shared" si="72"/>
        <v>1</v>
      </c>
      <c r="X108" s="1387">
        <f t="shared" si="73"/>
        <v>1</v>
      </c>
      <c r="Y108" s="1387">
        <f t="shared" si="74"/>
        <v>1</v>
      </c>
      <c r="Z108" s="1410">
        <v>4</v>
      </c>
      <c r="AA108" s="1387">
        <f t="shared" si="42"/>
        <v>0</v>
      </c>
      <c r="AB108" s="1387">
        <f>IF(Z108=A108,IF(AND(L108="N",Table22[[#This Row],[LOQ_label]]="Y"),AA108,$AA108*$Y108),"")</f>
        <v>0</v>
      </c>
      <c r="AC108" s="1393">
        <f t="shared" si="43"/>
        <v>0</v>
      </c>
      <c r="AD108" s="1393">
        <f>IF(Table22[[#This Row],[Median residue*CF*PeF]]&lt;&gt;"",Table22[[#This Row],[Median residue*CF*PeF]],Table22[[#This Row],[MRL*CF*PeF (chronic)]])</f>
        <v>0</v>
      </c>
      <c r="AE108" s="1393">
        <f t="shared" si="44"/>
        <v>0</v>
      </c>
      <c r="AF108" s="1390" t="str">
        <f t="shared" si="45"/>
        <v>MRL</v>
      </c>
      <c r="AG108" s="1390" t="str">
        <f t="shared" si="46"/>
        <v/>
      </c>
      <c r="AH108" s="1394" t="str">
        <f t="shared" si="47"/>
        <v/>
      </c>
      <c r="AI108" s="1386">
        <v>4</v>
      </c>
      <c r="AJ108" s="1387">
        <f t="shared" si="48"/>
        <v>0</v>
      </c>
      <c r="AK108" s="1387">
        <f>IF(AI108=A108,IF(AND(L108="N",Table22[[#This Row],[LOQ_label]]="Y"),AJ108,$AJ108*$Y108),"")</f>
        <v>0</v>
      </c>
      <c r="AL108" s="1388">
        <f t="shared" si="49"/>
        <v>0</v>
      </c>
      <c r="AM108" s="1393">
        <f>IF(Table22[[#This Row],[Highest residue * CF*PF]]&lt;&gt;"",Table22[[#This Row],[Highest residue * CF*PF]],Table22[[#This Row],[MRL*CF*PF or MRL (if LOQ and not authorised) (acute RA)]])</f>
        <v>0</v>
      </c>
      <c r="AN108" s="1390" t="str">
        <f t="shared" si="50"/>
        <v>MRL</v>
      </c>
      <c r="AO108" s="1390" t="str">
        <f t="shared" si="51"/>
        <v/>
      </c>
      <c r="AP108" s="1404" t="str">
        <f t="shared" si="52"/>
        <v/>
      </c>
      <c r="AQ108" s="1388">
        <f t="shared" si="53"/>
        <v>0</v>
      </c>
      <c r="AR108" s="1388" t="str">
        <f t="shared" si="54"/>
        <v/>
      </c>
      <c r="AS108" s="1388" t="str">
        <f t="shared" si="55"/>
        <v/>
      </c>
      <c r="AT108" s="1388" t="str">
        <f t="shared" si="56"/>
        <v/>
      </c>
      <c r="AU108" s="1393">
        <f t="shared" si="57"/>
        <v>0</v>
      </c>
      <c r="AV108" s="1388">
        <f t="shared" si="58"/>
        <v>0</v>
      </c>
      <c r="AW108" s="1390" t="str">
        <f t="shared" si="59"/>
        <v/>
      </c>
      <c r="AX108" s="1390" t="str">
        <f t="shared" si="75"/>
        <v/>
      </c>
      <c r="AY108" s="1394" t="str">
        <f t="shared" si="60"/>
        <v/>
      </c>
      <c r="AZ108" s="1395" t="str">
        <f>IF(Table22[[#This Row],[LOQ_label]]="Y",Table22[[#This Row],[MRL individual commodity]],"")</f>
        <v/>
      </c>
      <c r="BA108" s="1449" t="s">
        <v>654</v>
      </c>
      <c r="BB108" s="1411" t="str">
        <f>IF(Table22[[#This Row],[LOQ2]]&lt;0,MIN(AZ108:AZ410),"")</f>
        <v/>
      </c>
      <c r="BC108" s="1299"/>
      <c r="BD108" s="1306" t="str">
        <f>IF(Table22[[#This Row],[Chronic RA label]]="","N",IF(Table22[[#This Row],[Chronic RA label]]="LOQ","N",IF(Table22[[#This Row],[Chronic RA label]]="MRL","N","Y")))</f>
        <v>N</v>
      </c>
      <c r="BE108" s="1306" t="str">
        <f>IF(Table22[[#This Row],[Acute RA label]]="","N",IF(Table22[[#This Row],[Acute RA label]]="LOQ","N",IF(Table22[[#This Row],[Acute RA label]]="MRL","N","Y")))</f>
        <v>N</v>
      </c>
      <c r="BF108" s="1306" t="str">
        <f>IF(OR(Table22[[#This Row],[include commodity in Summary_input_values_chronic]]="Y",Table22[[#This Row],[include commodity in Summary_input_values_acute]]="Y"),"Y","N")</f>
        <v>N</v>
      </c>
      <c r="BG108" s="1299"/>
      <c r="BH108" s="1324"/>
    </row>
    <row r="109" spans="1:60" ht="12.75" customHeight="1" outlineLevel="3" x14ac:dyDescent="0.2">
      <c r="A109" s="39">
        <v>4</v>
      </c>
      <c r="B109" s="327">
        <v>213030</v>
      </c>
      <c r="C109" s="23" t="s">
        <v>708</v>
      </c>
      <c r="D109" s="867"/>
      <c r="E109" s="1219"/>
      <c r="F109" s="867"/>
      <c r="G109" s="869"/>
      <c r="H109" s="868"/>
      <c r="I109" s="868"/>
      <c r="J109" s="868"/>
      <c r="K109" s="871"/>
      <c r="L109" s="872"/>
      <c r="M109" s="872"/>
      <c r="N109" s="925" t="str">
        <f>IF(O109&lt;&gt;0,CONCATENATE(input_values!$AF109,input_values!$AG109,input_values!$AH109),"")</f>
        <v/>
      </c>
      <c r="O109" s="491">
        <f>IF($A$10="Refined calculation mode",Table22[[#This Row],[input for chronic (refined mode]],Table22[[#This Row],[input for chronic normal mode]])</f>
        <v>0</v>
      </c>
      <c r="P109" s="925" t="str">
        <f>IF(Q109&lt;&gt;0,CONCATENATE(input_values!$AN109,input_values!$AO109,input_values!$AP109),"")</f>
        <v/>
      </c>
      <c r="Q109" s="491">
        <f>IF($V$5=0,0,IF(OR($A$10="Refined calculation mode",Results!$B$62="Show results of IESTI calculation only for crops with GAPs under assessment"),Table22[[#This Row],[Input for IESTI (refined mode)]],Table22[[#This Row],[Input for IESTI normal mode]]))</f>
        <v>0</v>
      </c>
      <c r="R109" s="926" t="str">
        <f>IF(S109&lt;&gt;0,CONCATENATE(input_values!$AW109,input_values!$AX109,input_values!$AY109),"")</f>
        <v/>
      </c>
      <c r="S109" s="492">
        <f>IF($V$5=0,0,IF(OR($A$10="Refined calculation mode",Results!$B$62="Show results of IESTI calculation only for crops with GAPs under assessment"),Table22[[#This Row],[Input for IESTI new (refined mode)]],Table22[[#This Row],[Input for IESTI new normal mode]]))</f>
        <v>0</v>
      </c>
      <c r="T109" s="886"/>
      <c r="U109" s="1408">
        <f>Table22[[#This Row],[MRL/ proposed MRL /CXL
(mg/kg)]]</f>
        <v>0</v>
      </c>
      <c r="V109" s="1409" t="str">
        <f t="shared" si="71"/>
        <v/>
      </c>
      <c r="W109" s="1387">
        <f t="shared" si="72"/>
        <v>1</v>
      </c>
      <c r="X109" s="1387">
        <f t="shared" si="73"/>
        <v>1</v>
      </c>
      <c r="Y109" s="1387">
        <f t="shared" si="74"/>
        <v>1</v>
      </c>
      <c r="Z109" s="1410">
        <v>4</v>
      </c>
      <c r="AA109" s="1387">
        <f t="shared" si="42"/>
        <v>0</v>
      </c>
      <c r="AB109" s="1387">
        <f>IF(Z109=A109,IF(AND(L109="N",Table22[[#This Row],[LOQ_label]]="Y"),AA109,$AA109*$Y109),"")</f>
        <v>0</v>
      </c>
      <c r="AC109" s="1393">
        <f t="shared" si="43"/>
        <v>0</v>
      </c>
      <c r="AD109" s="1393">
        <f>IF(Table22[[#This Row],[Median residue*CF*PeF]]&lt;&gt;"",Table22[[#This Row],[Median residue*CF*PeF]],Table22[[#This Row],[MRL*CF*PeF (chronic)]])</f>
        <v>0</v>
      </c>
      <c r="AE109" s="1393">
        <f t="shared" si="44"/>
        <v>0</v>
      </c>
      <c r="AF109" s="1390" t="str">
        <f t="shared" si="45"/>
        <v>MRL</v>
      </c>
      <c r="AG109" s="1390" t="str">
        <f t="shared" si="46"/>
        <v/>
      </c>
      <c r="AH109" s="1394" t="str">
        <f t="shared" si="47"/>
        <v/>
      </c>
      <c r="AI109" s="1386">
        <v>4</v>
      </c>
      <c r="AJ109" s="1387">
        <f t="shared" si="48"/>
        <v>0</v>
      </c>
      <c r="AK109" s="1387">
        <f>IF(AI109=A109,IF(AND(L109="N",Table22[[#This Row],[LOQ_label]]="Y"),AJ109,$AJ109*$Y109),"")</f>
        <v>0</v>
      </c>
      <c r="AL109" s="1388">
        <f t="shared" si="49"/>
        <v>0</v>
      </c>
      <c r="AM109" s="1393">
        <f>IF(Table22[[#This Row],[Highest residue * CF*PF]]&lt;&gt;"",Table22[[#This Row],[Highest residue * CF*PF]],Table22[[#This Row],[MRL*CF*PF or MRL (if LOQ and not authorised) (acute RA)]])</f>
        <v>0</v>
      </c>
      <c r="AN109" s="1390" t="str">
        <f t="shared" si="50"/>
        <v>MRL</v>
      </c>
      <c r="AO109" s="1390" t="str">
        <f t="shared" si="51"/>
        <v/>
      </c>
      <c r="AP109" s="1404" t="str">
        <f t="shared" si="52"/>
        <v/>
      </c>
      <c r="AQ109" s="1388">
        <f t="shared" si="53"/>
        <v>0</v>
      </c>
      <c r="AR109" s="1388" t="str">
        <f t="shared" si="54"/>
        <v/>
      </c>
      <c r="AS109" s="1388" t="str">
        <f t="shared" si="55"/>
        <v/>
      </c>
      <c r="AT109" s="1388" t="str">
        <f t="shared" si="56"/>
        <v/>
      </c>
      <c r="AU109" s="1393">
        <f t="shared" si="57"/>
        <v>0</v>
      </c>
      <c r="AV109" s="1388">
        <f t="shared" si="58"/>
        <v>0</v>
      </c>
      <c r="AW109" s="1390" t="str">
        <f t="shared" si="59"/>
        <v/>
      </c>
      <c r="AX109" s="1390" t="str">
        <f t="shared" si="75"/>
        <v/>
      </c>
      <c r="AY109" s="1394" t="str">
        <f t="shared" si="60"/>
        <v/>
      </c>
      <c r="AZ109" s="1395" t="str">
        <f>IF(Table22[[#This Row],[LOQ_label]]="Y",Table22[[#This Row],[MRL individual commodity]],"")</f>
        <v/>
      </c>
      <c r="BA109" s="1449" t="s">
        <v>654</v>
      </c>
      <c r="BB109" s="1411" t="str">
        <f>IF(Table22[[#This Row],[LOQ2]]&lt;0,MIN(AZ109:AZ410),"")</f>
        <v/>
      </c>
      <c r="BC109" s="1299"/>
      <c r="BD109" s="1306" t="str">
        <f>IF(Table22[[#This Row],[Chronic RA label]]="","N",IF(Table22[[#This Row],[Chronic RA label]]="LOQ","N",IF(Table22[[#This Row],[Chronic RA label]]="MRL","N","Y")))</f>
        <v>N</v>
      </c>
      <c r="BE109" s="1306" t="str">
        <f>IF(Table22[[#This Row],[Acute RA label]]="","N",IF(Table22[[#This Row],[Acute RA label]]="LOQ","N",IF(Table22[[#This Row],[Acute RA label]]="MRL","N","Y")))</f>
        <v>N</v>
      </c>
      <c r="BF109" s="1306" t="str">
        <f>IF(OR(Table22[[#This Row],[include commodity in Summary_input_values_chronic]]="Y",Table22[[#This Row],[include commodity in Summary_input_values_acute]]="Y"),"Y","N")</f>
        <v>N</v>
      </c>
      <c r="BG109" s="1299"/>
      <c r="BH109" s="1324"/>
    </row>
    <row r="110" spans="1:60" ht="12.75" customHeight="1" outlineLevel="3" x14ac:dyDescent="0.2">
      <c r="A110" s="39">
        <v>4</v>
      </c>
      <c r="B110" s="327">
        <v>213040</v>
      </c>
      <c r="C110" s="23" t="s">
        <v>709</v>
      </c>
      <c r="D110" s="867"/>
      <c r="E110" s="1219"/>
      <c r="F110" s="867"/>
      <c r="G110" s="869"/>
      <c r="H110" s="868"/>
      <c r="I110" s="868"/>
      <c r="J110" s="870"/>
      <c r="K110" s="871"/>
      <c r="L110" s="872"/>
      <c r="M110" s="872"/>
      <c r="N110" s="925" t="str">
        <f>IF(O110&lt;&gt;0,CONCATENATE(input_values!$AF110,input_values!$AG110,input_values!$AH110),"")</f>
        <v/>
      </c>
      <c r="O110" s="491">
        <f>IF($A$10="Refined calculation mode",Table22[[#This Row],[input for chronic (refined mode]],Table22[[#This Row],[input for chronic normal mode]])</f>
        <v>0</v>
      </c>
      <c r="P110" s="925" t="str">
        <f>IF(Q110&lt;&gt;0,CONCATENATE(input_values!$AN110,input_values!$AO110,input_values!$AP110),"")</f>
        <v/>
      </c>
      <c r="Q110" s="491">
        <f>IF($V$5=0,0,IF(OR($A$10="Refined calculation mode",Results!$B$62="Show results of IESTI calculation only for crops with GAPs under assessment"),Table22[[#This Row],[Input for IESTI (refined mode)]],Table22[[#This Row],[Input for IESTI normal mode]]))</f>
        <v>0</v>
      </c>
      <c r="R110" s="926" t="str">
        <f>IF(S110&lt;&gt;0,CONCATENATE(input_values!$AW110,input_values!$AX110,input_values!$AY110),"")</f>
        <v/>
      </c>
      <c r="S110" s="492">
        <f>IF($V$5=0,0,IF(OR($A$10="Refined calculation mode",Results!$B$62="Show results of IESTI calculation only for crops with GAPs under assessment"),Table22[[#This Row],[Input for IESTI new (refined mode)]],Table22[[#This Row],[Input for IESTI new normal mode]]))</f>
        <v>0</v>
      </c>
      <c r="T110" s="886"/>
      <c r="U110" s="1408">
        <f>Table22[[#This Row],[MRL/ proposed MRL /CXL
(mg/kg)]]</f>
        <v>0</v>
      </c>
      <c r="V110" s="1409" t="str">
        <f t="shared" si="71"/>
        <v/>
      </c>
      <c r="W110" s="1387">
        <f t="shared" si="72"/>
        <v>1</v>
      </c>
      <c r="X110" s="1387">
        <f t="shared" si="73"/>
        <v>1</v>
      </c>
      <c r="Y110" s="1387">
        <f t="shared" si="74"/>
        <v>1</v>
      </c>
      <c r="Z110" s="1410">
        <v>4</v>
      </c>
      <c r="AA110" s="1387">
        <f t="shared" si="42"/>
        <v>0</v>
      </c>
      <c r="AB110" s="1387">
        <f>IF(Z110=A110,IF(AND(L110="N",Table22[[#This Row],[LOQ_label]]="Y"),AA110,$AA110*$Y110),"")</f>
        <v>0</v>
      </c>
      <c r="AC110" s="1393">
        <f t="shared" si="43"/>
        <v>0</v>
      </c>
      <c r="AD110" s="1393">
        <f>IF(Table22[[#This Row],[Median residue*CF*PeF]]&lt;&gt;"",Table22[[#This Row],[Median residue*CF*PeF]],Table22[[#This Row],[MRL*CF*PeF (chronic)]])</f>
        <v>0</v>
      </c>
      <c r="AE110" s="1393">
        <f t="shared" si="44"/>
        <v>0</v>
      </c>
      <c r="AF110" s="1390" t="str">
        <f t="shared" si="45"/>
        <v>MRL</v>
      </c>
      <c r="AG110" s="1390" t="str">
        <f t="shared" si="46"/>
        <v/>
      </c>
      <c r="AH110" s="1394" t="str">
        <f t="shared" si="47"/>
        <v/>
      </c>
      <c r="AI110" s="1386">
        <v>4</v>
      </c>
      <c r="AJ110" s="1387">
        <f t="shared" si="48"/>
        <v>0</v>
      </c>
      <c r="AK110" s="1387">
        <f>IF(AI110=A110,IF(AND(L110="N",Table22[[#This Row],[LOQ_label]]="Y"),AJ110,$AJ110*$Y110),"")</f>
        <v>0</v>
      </c>
      <c r="AL110" s="1388">
        <f t="shared" si="49"/>
        <v>0</v>
      </c>
      <c r="AM110" s="1393">
        <f>IF(Table22[[#This Row],[Highest residue * CF*PF]]&lt;&gt;"",Table22[[#This Row],[Highest residue * CF*PF]],Table22[[#This Row],[MRL*CF*PF or MRL (if LOQ and not authorised) (acute RA)]])</f>
        <v>0</v>
      </c>
      <c r="AN110" s="1390" t="str">
        <f t="shared" si="50"/>
        <v>MRL</v>
      </c>
      <c r="AO110" s="1390" t="str">
        <f t="shared" si="51"/>
        <v/>
      </c>
      <c r="AP110" s="1404" t="str">
        <f t="shared" si="52"/>
        <v/>
      </c>
      <c r="AQ110" s="1388">
        <f t="shared" si="53"/>
        <v>0</v>
      </c>
      <c r="AR110" s="1388" t="str">
        <f t="shared" si="54"/>
        <v/>
      </c>
      <c r="AS110" s="1388" t="str">
        <f t="shared" si="55"/>
        <v/>
      </c>
      <c r="AT110" s="1388" t="str">
        <f t="shared" si="56"/>
        <v/>
      </c>
      <c r="AU110" s="1393">
        <f t="shared" si="57"/>
        <v>0</v>
      </c>
      <c r="AV110" s="1388">
        <f t="shared" si="58"/>
        <v>0</v>
      </c>
      <c r="AW110" s="1390" t="str">
        <f t="shared" si="59"/>
        <v/>
      </c>
      <c r="AX110" s="1390" t="str">
        <f t="shared" si="75"/>
        <v/>
      </c>
      <c r="AY110" s="1394" t="str">
        <f t="shared" si="60"/>
        <v/>
      </c>
      <c r="AZ110" s="1395" t="str">
        <f>IF(Table22[[#This Row],[LOQ_label]]="Y",Table22[[#This Row],[MRL individual commodity]],"")</f>
        <v/>
      </c>
      <c r="BA110" s="1449" t="s">
        <v>654</v>
      </c>
      <c r="BB110" s="1411" t="str">
        <f>IF(Table22[[#This Row],[LOQ2]]&lt;0,MIN(AZ110:AZ410),"")</f>
        <v/>
      </c>
      <c r="BC110" s="1299"/>
      <c r="BD110" s="1306" t="str">
        <f>IF(Table22[[#This Row],[Chronic RA label]]="","N",IF(Table22[[#This Row],[Chronic RA label]]="LOQ","N",IF(Table22[[#This Row],[Chronic RA label]]="MRL","N","Y")))</f>
        <v>N</v>
      </c>
      <c r="BE110" s="1306" t="str">
        <f>IF(Table22[[#This Row],[Acute RA label]]="","N",IF(Table22[[#This Row],[Acute RA label]]="LOQ","N",IF(Table22[[#This Row],[Acute RA label]]="MRL","N","Y")))</f>
        <v>N</v>
      </c>
      <c r="BF110" s="1306" t="str">
        <f>IF(OR(Table22[[#This Row],[include commodity in Summary_input_values_chronic]]="Y",Table22[[#This Row],[include commodity in Summary_input_values_acute]]="Y"),"Y","N")</f>
        <v>N</v>
      </c>
      <c r="BG110" s="1299"/>
      <c r="BH110" s="1324"/>
    </row>
    <row r="111" spans="1:60" ht="12.75" customHeight="1" outlineLevel="3" x14ac:dyDescent="0.2">
      <c r="A111" s="39">
        <v>4</v>
      </c>
      <c r="B111" s="327">
        <v>213050</v>
      </c>
      <c r="C111" s="23" t="s">
        <v>27</v>
      </c>
      <c r="D111" s="867"/>
      <c r="E111" s="1219"/>
      <c r="F111" s="867"/>
      <c r="G111" s="869"/>
      <c r="H111" s="863"/>
      <c r="I111" s="868"/>
      <c r="J111" s="870"/>
      <c r="K111" s="871"/>
      <c r="L111" s="872"/>
      <c r="M111" s="872"/>
      <c r="N111" s="925" t="str">
        <f>IF(O111&lt;&gt;0,CONCATENATE(input_values!$AF111,input_values!$AG111,input_values!$AH111),"")</f>
        <v/>
      </c>
      <c r="O111" s="491">
        <f>IF($A$10="Refined calculation mode",Table22[[#This Row],[input for chronic (refined mode]],Table22[[#This Row],[input for chronic normal mode]])</f>
        <v>0</v>
      </c>
      <c r="P111" s="925" t="str">
        <f>IF(Q111&lt;&gt;0,CONCATENATE(input_values!$AN111,input_values!$AO111,input_values!$AP111),"")</f>
        <v/>
      </c>
      <c r="Q111" s="491">
        <f>IF($V$5=0,0,IF(OR($A$10="Refined calculation mode",Results!$B$62="Show results of IESTI calculation only for crops with GAPs under assessment"),Table22[[#This Row],[Input for IESTI (refined mode)]],Table22[[#This Row],[Input for IESTI normal mode]]))</f>
        <v>0</v>
      </c>
      <c r="R111" s="926" t="str">
        <f>IF(S111&lt;&gt;0,CONCATENATE(input_values!$AW111,input_values!$AX111,input_values!$AY111),"")</f>
        <v/>
      </c>
      <c r="S111" s="492">
        <f>IF($V$5=0,0,IF(OR($A$10="Refined calculation mode",Results!$B$62="Show results of IESTI calculation only for crops with GAPs under assessment"),Table22[[#This Row],[Input for IESTI new (refined mode)]],Table22[[#This Row],[Input for IESTI new normal mode]]))</f>
        <v>0</v>
      </c>
      <c r="T111" s="886"/>
      <c r="U111" s="1408">
        <f>Table22[[#This Row],[MRL/ proposed MRL /CXL
(mg/kg)]]</f>
        <v>0</v>
      </c>
      <c r="V111" s="1409" t="str">
        <f t="shared" si="71"/>
        <v/>
      </c>
      <c r="W111" s="1387">
        <f t="shared" si="72"/>
        <v>1</v>
      </c>
      <c r="X111" s="1387">
        <f t="shared" si="73"/>
        <v>1</v>
      </c>
      <c r="Y111" s="1387">
        <f t="shared" si="74"/>
        <v>1</v>
      </c>
      <c r="Z111" s="1410">
        <v>4</v>
      </c>
      <c r="AA111" s="1387">
        <f t="shared" si="42"/>
        <v>0</v>
      </c>
      <c r="AB111" s="1387">
        <f>IF(Z111=A111,IF(AND(L111="N",Table22[[#This Row],[LOQ_label]]="Y"),AA111,$AA111*$Y111),"")</f>
        <v>0</v>
      </c>
      <c r="AC111" s="1393">
        <f t="shared" si="43"/>
        <v>0</v>
      </c>
      <c r="AD111" s="1393">
        <f>IF(Table22[[#This Row],[Median residue*CF*PeF]]&lt;&gt;"",Table22[[#This Row],[Median residue*CF*PeF]],Table22[[#This Row],[MRL*CF*PeF (chronic)]])</f>
        <v>0</v>
      </c>
      <c r="AE111" s="1393">
        <f t="shared" si="44"/>
        <v>0</v>
      </c>
      <c r="AF111" s="1390" t="str">
        <f t="shared" si="45"/>
        <v>MRL</v>
      </c>
      <c r="AG111" s="1390" t="str">
        <f t="shared" si="46"/>
        <v/>
      </c>
      <c r="AH111" s="1394" t="str">
        <f t="shared" si="47"/>
        <v/>
      </c>
      <c r="AI111" s="1386">
        <v>4</v>
      </c>
      <c r="AJ111" s="1387">
        <f t="shared" si="48"/>
        <v>0</v>
      </c>
      <c r="AK111" s="1387">
        <f>IF(AI111=A111,IF(AND(L111="N",Table22[[#This Row],[LOQ_label]]="Y"),AJ111,$AJ111*$Y111),"")</f>
        <v>0</v>
      </c>
      <c r="AL111" s="1388">
        <f t="shared" si="49"/>
        <v>0</v>
      </c>
      <c r="AM111" s="1393">
        <f>IF(Table22[[#This Row],[Highest residue * CF*PF]]&lt;&gt;"",Table22[[#This Row],[Highest residue * CF*PF]],Table22[[#This Row],[MRL*CF*PF or MRL (if LOQ and not authorised) (acute RA)]])</f>
        <v>0</v>
      </c>
      <c r="AN111" s="1390" t="str">
        <f t="shared" si="50"/>
        <v>MRL</v>
      </c>
      <c r="AO111" s="1390" t="str">
        <f t="shared" si="51"/>
        <v/>
      </c>
      <c r="AP111" s="1404" t="str">
        <f t="shared" si="52"/>
        <v/>
      </c>
      <c r="AQ111" s="1388">
        <f t="shared" si="53"/>
        <v>0</v>
      </c>
      <c r="AR111" s="1388" t="str">
        <f t="shared" si="54"/>
        <v/>
      </c>
      <c r="AS111" s="1388" t="str">
        <f t="shared" si="55"/>
        <v/>
      </c>
      <c r="AT111" s="1388" t="str">
        <f t="shared" si="56"/>
        <v/>
      </c>
      <c r="AU111" s="1393">
        <f t="shared" si="57"/>
        <v>0</v>
      </c>
      <c r="AV111" s="1388">
        <f t="shared" si="58"/>
        <v>0</v>
      </c>
      <c r="AW111" s="1390" t="str">
        <f t="shared" si="59"/>
        <v/>
      </c>
      <c r="AX111" s="1390" t="str">
        <f t="shared" si="75"/>
        <v/>
      </c>
      <c r="AY111" s="1394" t="str">
        <f t="shared" si="60"/>
        <v/>
      </c>
      <c r="AZ111" s="1395" t="str">
        <f>IF(Table22[[#This Row],[LOQ_label]]="Y",Table22[[#This Row],[MRL individual commodity]],"")</f>
        <v/>
      </c>
      <c r="BA111" s="1449" t="s">
        <v>654</v>
      </c>
      <c r="BB111" s="1411" t="str">
        <f>IF(Table22[[#This Row],[LOQ2]]&lt;0,MIN(AZ111:AZ410),"")</f>
        <v/>
      </c>
      <c r="BC111" s="1299"/>
      <c r="BD111" s="1306" t="str">
        <f>IF(Table22[[#This Row],[Chronic RA label]]="","N",IF(Table22[[#This Row],[Chronic RA label]]="LOQ","N",IF(Table22[[#This Row],[Chronic RA label]]="MRL","N","Y")))</f>
        <v>N</v>
      </c>
      <c r="BE111" s="1306" t="str">
        <f>IF(Table22[[#This Row],[Acute RA label]]="","N",IF(Table22[[#This Row],[Acute RA label]]="LOQ","N",IF(Table22[[#This Row],[Acute RA label]]="MRL","N","Y")))</f>
        <v>N</v>
      </c>
      <c r="BF111" s="1306" t="str">
        <f>IF(OR(Table22[[#This Row],[include commodity in Summary_input_values_chronic]]="Y",Table22[[#This Row],[include commodity in Summary_input_values_acute]]="Y"),"Y","N")</f>
        <v>N</v>
      </c>
      <c r="BG111" s="1299"/>
      <c r="BH111" s="1324"/>
    </row>
    <row r="112" spans="1:60" ht="12.75" customHeight="1" outlineLevel="3" x14ac:dyDescent="0.2">
      <c r="A112" s="39">
        <v>4</v>
      </c>
      <c r="B112" s="327">
        <v>213060</v>
      </c>
      <c r="C112" s="23" t="s">
        <v>28</v>
      </c>
      <c r="D112" s="867"/>
      <c r="E112" s="1219"/>
      <c r="F112" s="867"/>
      <c r="G112" s="869"/>
      <c r="H112" s="863"/>
      <c r="I112" s="868"/>
      <c r="J112" s="868"/>
      <c r="K112" s="871"/>
      <c r="L112" s="872"/>
      <c r="M112" s="872"/>
      <c r="N112" s="925" t="str">
        <f>IF(O112&lt;&gt;0,CONCATENATE(input_values!$AF112,input_values!$AG112,input_values!$AH112),"")</f>
        <v/>
      </c>
      <c r="O112" s="491">
        <f>IF($A$10="Refined calculation mode",Table22[[#This Row],[input for chronic (refined mode]],Table22[[#This Row],[input for chronic normal mode]])</f>
        <v>0</v>
      </c>
      <c r="P112" s="925" t="str">
        <f>IF(Q112&lt;&gt;0,CONCATENATE(input_values!$AN112,input_values!$AO112,input_values!$AP112),"")</f>
        <v/>
      </c>
      <c r="Q112" s="491">
        <f>IF($V$5=0,0,IF(OR($A$10="Refined calculation mode",Results!$B$62="Show results of IESTI calculation only for crops with GAPs under assessment"),Table22[[#This Row],[Input for IESTI (refined mode)]],Table22[[#This Row],[Input for IESTI normal mode]]))</f>
        <v>0</v>
      </c>
      <c r="R112" s="926" t="str">
        <f>IF(S112&lt;&gt;0,CONCATENATE(input_values!$AW112,input_values!$AX112,input_values!$AY112),"")</f>
        <v/>
      </c>
      <c r="S112" s="492">
        <f>IF($V$5=0,0,IF(OR($A$10="Refined calculation mode",Results!$B$62="Show results of IESTI calculation only for crops with GAPs under assessment"),Table22[[#This Row],[Input for IESTI new (refined mode)]],Table22[[#This Row],[Input for IESTI new normal mode]]))</f>
        <v>0</v>
      </c>
      <c r="T112" s="886"/>
      <c r="U112" s="1408">
        <f>Table22[[#This Row],[MRL/ proposed MRL /CXL
(mg/kg)]]</f>
        <v>0</v>
      </c>
      <c r="V112" s="1409" t="str">
        <f t="shared" si="71"/>
        <v/>
      </c>
      <c r="W112" s="1387">
        <f t="shared" si="72"/>
        <v>1</v>
      </c>
      <c r="X112" s="1387">
        <f t="shared" si="73"/>
        <v>1</v>
      </c>
      <c r="Y112" s="1387">
        <f t="shared" si="74"/>
        <v>1</v>
      </c>
      <c r="Z112" s="1410">
        <v>4</v>
      </c>
      <c r="AA112" s="1387">
        <f t="shared" si="42"/>
        <v>0</v>
      </c>
      <c r="AB112" s="1387">
        <f>IF(Z112=A112,IF(AND(L112="N",Table22[[#This Row],[LOQ_label]]="Y"),AA112,$AA112*$Y112),"")</f>
        <v>0</v>
      </c>
      <c r="AC112" s="1393">
        <f t="shared" si="43"/>
        <v>0</v>
      </c>
      <c r="AD112" s="1393">
        <f>IF(Table22[[#This Row],[Median residue*CF*PeF]]&lt;&gt;"",Table22[[#This Row],[Median residue*CF*PeF]],Table22[[#This Row],[MRL*CF*PeF (chronic)]])</f>
        <v>0</v>
      </c>
      <c r="AE112" s="1393">
        <f t="shared" si="44"/>
        <v>0</v>
      </c>
      <c r="AF112" s="1390" t="str">
        <f t="shared" si="45"/>
        <v>MRL</v>
      </c>
      <c r="AG112" s="1390" t="str">
        <f t="shared" si="46"/>
        <v/>
      </c>
      <c r="AH112" s="1394" t="str">
        <f t="shared" si="47"/>
        <v/>
      </c>
      <c r="AI112" s="1386">
        <v>4</v>
      </c>
      <c r="AJ112" s="1387">
        <f t="shared" si="48"/>
        <v>0</v>
      </c>
      <c r="AK112" s="1387">
        <f>IF(AI112=A112,IF(AND(L112="N",Table22[[#This Row],[LOQ_label]]="Y"),AJ112,$AJ112*$Y112),"")</f>
        <v>0</v>
      </c>
      <c r="AL112" s="1388">
        <f t="shared" si="49"/>
        <v>0</v>
      </c>
      <c r="AM112" s="1393">
        <f>IF(Table22[[#This Row],[Highest residue * CF*PF]]&lt;&gt;"",Table22[[#This Row],[Highest residue * CF*PF]],Table22[[#This Row],[MRL*CF*PF or MRL (if LOQ and not authorised) (acute RA)]])</f>
        <v>0</v>
      </c>
      <c r="AN112" s="1390" t="str">
        <f t="shared" si="50"/>
        <v>MRL</v>
      </c>
      <c r="AO112" s="1390" t="str">
        <f t="shared" si="51"/>
        <v/>
      </c>
      <c r="AP112" s="1404" t="str">
        <f t="shared" si="52"/>
        <v/>
      </c>
      <c r="AQ112" s="1388">
        <f t="shared" si="53"/>
        <v>0</v>
      </c>
      <c r="AR112" s="1388" t="str">
        <f t="shared" si="54"/>
        <v/>
      </c>
      <c r="AS112" s="1388" t="str">
        <f t="shared" si="55"/>
        <v/>
      </c>
      <c r="AT112" s="1388" t="str">
        <f t="shared" si="56"/>
        <v/>
      </c>
      <c r="AU112" s="1393">
        <f t="shared" si="57"/>
        <v>0</v>
      </c>
      <c r="AV112" s="1388">
        <f t="shared" si="58"/>
        <v>0</v>
      </c>
      <c r="AW112" s="1390" t="str">
        <f t="shared" si="59"/>
        <v/>
      </c>
      <c r="AX112" s="1390" t="str">
        <f t="shared" si="75"/>
        <v/>
      </c>
      <c r="AY112" s="1394" t="str">
        <f t="shared" si="60"/>
        <v/>
      </c>
      <c r="AZ112" s="1395" t="str">
        <f>IF(Table22[[#This Row],[LOQ_label]]="Y",Table22[[#This Row],[MRL individual commodity]],"")</f>
        <v/>
      </c>
      <c r="BA112" s="1449" t="s">
        <v>654</v>
      </c>
      <c r="BB112" s="1411" t="str">
        <f>IF(Table22[[#This Row],[LOQ2]]&lt;0,MIN(AZ112:AZ410),"")</f>
        <v/>
      </c>
      <c r="BC112" s="1299"/>
      <c r="BD112" s="1306" t="str">
        <f>IF(Table22[[#This Row],[Chronic RA label]]="","N",IF(Table22[[#This Row],[Chronic RA label]]="LOQ","N",IF(Table22[[#This Row],[Chronic RA label]]="MRL","N","Y")))</f>
        <v>N</v>
      </c>
      <c r="BE112" s="1306" t="str">
        <f>IF(Table22[[#This Row],[Acute RA label]]="","N",IF(Table22[[#This Row],[Acute RA label]]="LOQ","N",IF(Table22[[#This Row],[Acute RA label]]="MRL","N","Y")))</f>
        <v>N</v>
      </c>
      <c r="BF112" s="1306" t="str">
        <f>IF(OR(Table22[[#This Row],[include commodity in Summary_input_values_chronic]]="Y",Table22[[#This Row],[include commodity in Summary_input_values_acute]]="Y"),"Y","N")</f>
        <v>N</v>
      </c>
      <c r="BG112" s="1299"/>
      <c r="BH112" s="1324"/>
    </row>
    <row r="113" spans="1:60" ht="12.75" customHeight="1" outlineLevel="3" x14ac:dyDescent="0.2">
      <c r="A113" s="39">
        <v>4</v>
      </c>
      <c r="B113" s="327">
        <v>213070</v>
      </c>
      <c r="C113" s="23" t="s">
        <v>710</v>
      </c>
      <c r="D113" s="867"/>
      <c r="E113" s="1219"/>
      <c r="F113" s="867"/>
      <c r="G113" s="869"/>
      <c r="H113" s="863"/>
      <c r="I113" s="868"/>
      <c r="J113" s="870"/>
      <c r="K113" s="871"/>
      <c r="L113" s="872"/>
      <c r="M113" s="872"/>
      <c r="N113" s="925" t="str">
        <f>IF(O113&lt;&gt;0,CONCATENATE(input_values!$AF113,input_values!$AG113,input_values!$AH113),"")</f>
        <v/>
      </c>
      <c r="O113" s="491">
        <f>IF($A$10="Refined calculation mode",Table22[[#This Row],[input for chronic (refined mode]],Table22[[#This Row],[input for chronic normal mode]])</f>
        <v>0</v>
      </c>
      <c r="P113" s="925" t="str">
        <f>IF(Q113&lt;&gt;0,CONCATENATE(input_values!$AN113,input_values!$AO113,input_values!$AP113),"")</f>
        <v/>
      </c>
      <c r="Q113" s="491">
        <f>IF($V$5=0,0,IF(OR($A$10="Refined calculation mode",Results!$B$62="Show results of IESTI calculation only for crops with GAPs under assessment"),Table22[[#This Row],[Input for IESTI (refined mode)]],Table22[[#This Row],[Input for IESTI normal mode]]))</f>
        <v>0</v>
      </c>
      <c r="R113" s="926" t="str">
        <f>IF(S113&lt;&gt;0,CONCATENATE(input_values!$AW113,input_values!$AX113,input_values!$AY113),"")</f>
        <v/>
      </c>
      <c r="S113" s="492">
        <f>IF($V$5=0,0,IF(OR($A$10="Refined calculation mode",Results!$B$62="Show results of IESTI calculation only for crops with GAPs under assessment"),Table22[[#This Row],[Input for IESTI new (refined mode)]],Table22[[#This Row],[Input for IESTI new normal mode]]))</f>
        <v>0</v>
      </c>
      <c r="T113" s="886"/>
      <c r="U113" s="1408">
        <f>Table22[[#This Row],[MRL/ proposed MRL /CXL
(mg/kg)]]</f>
        <v>0</v>
      </c>
      <c r="V113" s="1409" t="str">
        <f t="shared" si="71"/>
        <v/>
      </c>
      <c r="W113" s="1387">
        <f t="shared" si="72"/>
        <v>1</v>
      </c>
      <c r="X113" s="1387">
        <f t="shared" si="73"/>
        <v>1</v>
      </c>
      <c r="Y113" s="1387">
        <f t="shared" si="74"/>
        <v>1</v>
      </c>
      <c r="Z113" s="1410">
        <v>4</v>
      </c>
      <c r="AA113" s="1387">
        <f t="shared" si="42"/>
        <v>0</v>
      </c>
      <c r="AB113" s="1387">
        <f>IF(Z113=A113,IF(AND(L113="N",Table22[[#This Row],[LOQ_label]]="Y"),AA113,$AA113*$Y113),"")</f>
        <v>0</v>
      </c>
      <c r="AC113" s="1393">
        <f t="shared" si="43"/>
        <v>0</v>
      </c>
      <c r="AD113" s="1393">
        <f>IF(Table22[[#This Row],[Median residue*CF*PeF]]&lt;&gt;"",Table22[[#This Row],[Median residue*CF*PeF]],Table22[[#This Row],[MRL*CF*PeF (chronic)]])</f>
        <v>0</v>
      </c>
      <c r="AE113" s="1393">
        <f t="shared" si="44"/>
        <v>0</v>
      </c>
      <c r="AF113" s="1390" t="str">
        <f t="shared" si="45"/>
        <v>MRL</v>
      </c>
      <c r="AG113" s="1390" t="str">
        <f t="shared" si="46"/>
        <v/>
      </c>
      <c r="AH113" s="1394" t="str">
        <f t="shared" si="47"/>
        <v/>
      </c>
      <c r="AI113" s="1386">
        <v>4</v>
      </c>
      <c r="AJ113" s="1387">
        <f t="shared" si="48"/>
        <v>0</v>
      </c>
      <c r="AK113" s="1387">
        <f>IF(AI113=A113,IF(AND(L113="N",Table22[[#This Row],[LOQ_label]]="Y"),AJ113,$AJ113*$Y113),"")</f>
        <v>0</v>
      </c>
      <c r="AL113" s="1388">
        <f t="shared" si="49"/>
        <v>0</v>
      </c>
      <c r="AM113" s="1393">
        <f>IF(Table22[[#This Row],[Highest residue * CF*PF]]&lt;&gt;"",Table22[[#This Row],[Highest residue * CF*PF]],Table22[[#This Row],[MRL*CF*PF or MRL (if LOQ and not authorised) (acute RA)]])</f>
        <v>0</v>
      </c>
      <c r="AN113" s="1390" t="str">
        <f t="shared" si="50"/>
        <v>MRL</v>
      </c>
      <c r="AO113" s="1390" t="str">
        <f t="shared" si="51"/>
        <v/>
      </c>
      <c r="AP113" s="1404" t="str">
        <f t="shared" si="52"/>
        <v/>
      </c>
      <c r="AQ113" s="1388">
        <f t="shared" si="53"/>
        <v>0</v>
      </c>
      <c r="AR113" s="1388" t="str">
        <f t="shared" si="54"/>
        <v/>
      </c>
      <c r="AS113" s="1388" t="str">
        <f t="shared" si="55"/>
        <v/>
      </c>
      <c r="AT113" s="1388" t="str">
        <f t="shared" si="56"/>
        <v/>
      </c>
      <c r="AU113" s="1393">
        <f t="shared" si="57"/>
        <v>0</v>
      </c>
      <c r="AV113" s="1388">
        <f t="shared" si="58"/>
        <v>0</v>
      </c>
      <c r="AW113" s="1390" t="str">
        <f t="shared" si="59"/>
        <v/>
      </c>
      <c r="AX113" s="1390" t="str">
        <f t="shared" si="75"/>
        <v/>
      </c>
      <c r="AY113" s="1394" t="str">
        <f t="shared" si="60"/>
        <v/>
      </c>
      <c r="AZ113" s="1395" t="str">
        <f>IF(Table22[[#This Row],[LOQ_label]]="Y",Table22[[#This Row],[MRL individual commodity]],"")</f>
        <v/>
      </c>
      <c r="BA113" s="1449" t="s">
        <v>654</v>
      </c>
      <c r="BB113" s="1411" t="str">
        <f>IF(Table22[[#This Row],[LOQ2]]&lt;0,MIN(AZ113:AZ410),"")</f>
        <v/>
      </c>
      <c r="BC113" s="1299"/>
      <c r="BD113" s="1306" t="str">
        <f>IF(Table22[[#This Row],[Chronic RA label]]="","N",IF(Table22[[#This Row],[Chronic RA label]]="LOQ","N",IF(Table22[[#This Row],[Chronic RA label]]="MRL","N","Y")))</f>
        <v>N</v>
      </c>
      <c r="BE113" s="1306" t="str">
        <f>IF(Table22[[#This Row],[Acute RA label]]="","N",IF(Table22[[#This Row],[Acute RA label]]="LOQ","N",IF(Table22[[#This Row],[Acute RA label]]="MRL","N","Y")))</f>
        <v>N</v>
      </c>
      <c r="BF113" s="1306" t="str">
        <f>IF(OR(Table22[[#This Row],[include commodity in Summary_input_values_chronic]]="Y",Table22[[#This Row],[include commodity in Summary_input_values_acute]]="Y"),"Y","N")</f>
        <v>N</v>
      </c>
      <c r="BG113" s="1299"/>
      <c r="BH113" s="1324"/>
    </row>
    <row r="114" spans="1:60" ht="12.75" customHeight="1" outlineLevel="3" x14ac:dyDescent="0.2">
      <c r="A114" s="39">
        <v>4</v>
      </c>
      <c r="B114" s="327">
        <v>213080</v>
      </c>
      <c r="C114" s="23" t="s">
        <v>29</v>
      </c>
      <c r="D114" s="867"/>
      <c r="E114" s="1219"/>
      <c r="F114" s="867"/>
      <c r="G114" s="869"/>
      <c r="H114" s="863"/>
      <c r="I114" s="868"/>
      <c r="J114" s="870"/>
      <c r="K114" s="871"/>
      <c r="L114" s="872"/>
      <c r="M114" s="872"/>
      <c r="N114" s="925" t="str">
        <f>IF(O114&lt;&gt;0,CONCATENATE(input_values!$AF114,input_values!$AG114,input_values!$AH114),"")</f>
        <v/>
      </c>
      <c r="O114" s="491">
        <f>IF($A$10="Refined calculation mode",Table22[[#This Row],[input for chronic (refined mode]],Table22[[#This Row],[input for chronic normal mode]])</f>
        <v>0</v>
      </c>
      <c r="P114" s="925" t="str">
        <f>IF(Q114&lt;&gt;0,CONCATENATE(input_values!$AN114,input_values!$AO114,input_values!$AP114),"")</f>
        <v/>
      </c>
      <c r="Q114" s="491">
        <f>IF($V$5=0,0,IF(OR($A$10="Refined calculation mode",Results!$B$62="Show results of IESTI calculation only for crops with GAPs under assessment"),Table22[[#This Row],[Input for IESTI (refined mode)]],Table22[[#This Row],[Input for IESTI normal mode]]))</f>
        <v>0</v>
      </c>
      <c r="R114" s="926" t="str">
        <f>IF(S114&lt;&gt;0,CONCATENATE(input_values!$AW114,input_values!$AX114,input_values!$AY114),"")</f>
        <v/>
      </c>
      <c r="S114" s="492">
        <f>IF($V$5=0,0,IF(OR($A$10="Refined calculation mode",Results!$B$62="Show results of IESTI calculation only for crops with GAPs under assessment"),Table22[[#This Row],[Input for IESTI new (refined mode)]],Table22[[#This Row],[Input for IESTI new normal mode]]))</f>
        <v>0</v>
      </c>
      <c r="T114" s="886"/>
      <c r="U114" s="1408">
        <f>Table22[[#This Row],[MRL/ proposed MRL /CXL
(mg/kg)]]</f>
        <v>0</v>
      </c>
      <c r="V114" s="1409" t="str">
        <f t="shared" si="71"/>
        <v/>
      </c>
      <c r="W114" s="1387">
        <f t="shared" si="72"/>
        <v>1</v>
      </c>
      <c r="X114" s="1387">
        <f t="shared" si="73"/>
        <v>1</v>
      </c>
      <c r="Y114" s="1387">
        <f t="shared" si="74"/>
        <v>1</v>
      </c>
      <c r="Z114" s="1410">
        <v>4</v>
      </c>
      <c r="AA114" s="1387">
        <f t="shared" si="42"/>
        <v>0</v>
      </c>
      <c r="AB114" s="1387">
        <f>IF(Z114=A114,IF(AND(L114="N",Table22[[#This Row],[LOQ_label]]="Y"),AA114,$AA114*$Y114),"")</f>
        <v>0</v>
      </c>
      <c r="AC114" s="1393">
        <f t="shared" si="43"/>
        <v>0</v>
      </c>
      <c r="AD114" s="1393">
        <f>IF(Table22[[#This Row],[Median residue*CF*PeF]]&lt;&gt;"",Table22[[#This Row],[Median residue*CF*PeF]],Table22[[#This Row],[MRL*CF*PeF (chronic)]])</f>
        <v>0</v>
      </c>
      <c r="AE114" s="1393">
        <f t="shared" si="44"/>
        <v>0</v>
      </c>
      <c r="AF114" s="1390" t="str">
        <f t="shared" si="45"/>
        <v>MRL</v>
      </c>
      <c r="AG114" s="1390" t="str">
        <f t="shared" si="46"/>
        <v/>
      </c>
      <c r="AH114" s="1394" t="str">
        <f t="shared" si="47"/>
        <v/>
      </c>
      <c r="AI114" s="1386">
        <v>4</v>
      </c>
      <c r="AJ114" s="1387">
        <f t="shared" si="48"/>
        <v>0</v>
      </c>
      <c r="AK114" s="1387">
        <f>IF(AI114=A114,IF(AND(L114="N",Table22[[#This Row],[LOQ_label]]="Y"),AJ114,$AJ114*$Y114),"")</f>
        <v>0</v>
      </c>
      <c r="AL114" s="1388">
        <f t="shared" si="49"/>
        <v>0</v>
      </c>
      <c r="AM114" s="1393">
        <f>IF(Table22[[#This Row],[Highest residue * CF*PF]]&lt;&gt;"",Table22[[#This Row],[Highest residue * CF*PF]],Table22[[#This Row],[MRL*CF*PF or MRL (if LOQ and not authorised) (acute RA)]])</f>
        <v>0</v>
      </c>
      <c r="AN114" s="1390" t="str">
        <f t="shared" si="50"/>
        <v>MRL</v>
      </c>
      <c r="AO114" s="1390" t="str">
        <f t="shared" si="51"/>
        <v/>
      </c>
      <c r="AP114" s="1404" t="str">
        <f t="shared" si="52"/>
        <v/>
      </c>
      <c r="AQ114" s="1388">
        <f t="shared" si="53"/>
        <v>0</v>
      </c>
      <c r="AR114" s="1388" t="str">
        <f t="shared" si="54"/>
        <v/>
      </c>
      <c r="AS114" s="1388" t="str">
        <f t="shared" si="55"/>
        <v/>
      </c>
      <c r="AT114" s="1388" t="str">
        <f t="shared" si="56"/>
        <v/>
      </c>
      <c r="AU114" s="1393">
        <f t="shared" si="57"/>
        <v>0</v>
      </c>
      <c r="AV114" s="1388">
        <f t="shared" si="58"/>
        <v>0</v>
      </c>
      <c r="AW114" s="1390" t="str">
        <f t="shared" si="59"/>
        <v/>
      </c>
      <c r="AX114" s="1390" t="str">
        <f t="shared" si="75"/>
        <v/>
      </c>
      <c r="AY114" s="1394" t="str">
        <f t="shared" si="60"/>
        <v/>
      </c>
      <c r="AZ114" s="1395" t="str">
        <f>IF(Table22[[#This Row],[LOQ_label]]="Y",Table22[[#This Row],[MRL individual commodity]],"")</f>
        <v/>
      </c>
      <c r="BA114" s="1449" t="s">
        <v>654</v>
      </c>
      <c r="BB114" s="1411" t="str">
        <f>IF(Table22[[#This Row],[LOQ2]]&lt;0,MIN(AZ114:AZ410),"")</f>
        <v/>
      </c>
      <c r="BC114" s="1299"/>
      <c r="BD114" s="1306" t="str">
        <f>IF(Table22[[#This Row],[Chronic RA label]]="","N",IF(Table22[[#This Row],[Chronic RA label]]="LOQ","N",IF(Table22[[#This Row],[Chronic RA label]]="MRL","N","Y")))</f>
        <v>N</v>
      </c>
      <c r="BE114" s="1306" t="str">
        <f>IF(Table22[[#This Row],[Acute RA label]]="","N",IF(Table22[[#This Row],[Acute RA label]]="LOQ","N",IF(Table22[[#This Row],[Acute RA label]]="MRL","N","Y")))</f>
        <v>N</v>
      </c>
      <c r="BF114" s="1306" t="str">
        <f>IF(OR(Table22[[#This Row],[include commodity in Summary_input_values_chronic]]="Y",Table22[[#This Row],[include commodity in Summary_input_values_acute]]="Y"),"Y","N")</f>
        <v>N</v>
      </c>
      <c r="BG114" s="1299"/>
      <c r="BH114" s="1324"/>
    </row>
    <row r="115" spans="1:60" ht="12.75" customHeight="1" outlineLevel="3" x14ac:dyDescent="0.2">
      <c r="A115" s="39">
        <v>4</v>
      </c>
      <c r="B115" s="327">
        <v>213090</v>
      </c>
      <c r="C115" s="23" t="s">
        <v>711</v>
      </c>
      <c r="D115" s="867"/>
      <c r="E115" s="1219"/>
      <c r="F115" s="867"/>
      <c r="G115" s="869"/>
      <c r="H115" s="868"/>
      <c r="I115" s="868"/>
      <c r="J115" s="870"/>
      <c r="K115" s="871"/>
      <c r="L115" s="872"/>
      <c r="M115" s="872"/>
      <c r="N115" s="925" t="str">
        <f>IF(O115&lt;&gt;0,CONCATENATE(input_values!$AF115,input_values!$AG115,input_values!$AH115),"")</f>
        <v/>
      </c>
      <c r="O115" s="491">
        <f>IF($A$10="Refined calculation mode",Table22[[#This Row],[input for chronic (refined mode]],Table22[[#This Row],[input for chronic normal mode]])</f>
        <v>0</v>
      </c>
      <c r="P115" s="925" t="str">
        <f>IF(Q115&lt;&gt;0,CONCATENATE(input_values!$AN115,input_values!$AO115,input_values!$AP115),"")</f>
        <v/>
      </c>
      <c r="Q115" s="491">
        <f>IF($V$5=0,0,IF(OR($A$10="Refined calculation mode",Results!$B$62="Show results of IESTI calculation only for crops with GAPs under assessment"),Table22[[#This Row],[Input for IESTI (refined mode)]],Table22[[#This Row],[Input for IESTI normal mode]]))</f>
        <v>0</v>
      </c>
      <c r="R115" s="926" t="str">
        <f>IF(S115&lt;&gt;0,CONCATENATE(input_values!$AW115,input_values!$AX115,input_values!$AY115),"")</f>
        <v/>
      </c>
      <c r="S115" s="492">
        <f>IF($V$5=0,0,IF(OR($A$10="Refined calculation mode",Results!$B$62="Show results of IESTI calculation only for crops with GAPs under assessment"),Table22[[#This Row],[Input for IESTI new (refined mode)]],Table22[[#This Row],[Input for IESTI new normal mode]]))</f>
        <v>0</v>
      </c>
      <c r="T115" s="886"/>
      <c r="U115" s="1408">
        <f>Table22[[#This Row],[MRL/ proposed MRL /CXL
(mg/kg)]]</f>
        <v>0</v>
      </c>
      <c r="V115" s="1409" t="str">
        <f t="shared" si="71"/>
        <v/>
      </c>
      <c r="W115" s="1387">
        <f t="shared" si="72"/>
        <v>1</v>
      </c>
      <c r="X115" s="1387">
        <f t="shared" si="73"/>
        <v>1</v>
      </c>
      <c r="Y115" s="1387">
        <f t="shared" si="74"/>
        <v>1</v>
      </c>
      <c r="Z115" s="1410">
        <v>4</v>
      </c>
      <c r="AA115" s="1387">
        <f t="shared" si="42"/>
        <v>0</v>
      </c>
      <c r="AB115" s="1387">
        <f>IF(Z115=A115,IF(AND(L115="N",Table22[[#This Row],[LOQ_label]]="Y"),AA115,$AA115*$Y115),"")</f>
        <v>0</v>
      </c>
      <c r="AC115" s="1393">
        <f t="shared" si="43"/>
        <v>0</v>
      </c>
      <c r="AD115" s="1393">
        <f>IF(Table22[[#This Row],[Median residue*CF*PeF]]&lt;&gt;"",Table22[[#This Row],[Median residue*CF*PeF]],Table22[[#This Row],[MRL*CF*PeF (chronic)]])</f>
        <v>0</v>
      </c>
      <c r="AE115" s="1393">
        <f t="shared" si="44"/>
        <v>0</v>
      </c>
      <c r="AF115" s="1390" t="str">
        <f t="shared" si="45"/>
        <v>MRL</v>
      </c>
      <c r="AG115" s="1390" t="str">
        <f t="shared" si="46"/>
        <v/>
      </c>
      <c r="AH115" s="1394" t="str">
        <f t="shared" si="47"/>
        <v/>
      </c>
      <c r="AI115" s="1386">
        <v>4</v>
      </c>
      <c r="AJ115" s="1387">
        <f t="shared" si="48"/>
        <v>0</v>
      </c>
      <c r="AK115" s="1387">
        <f>IF(AI115=A115,IF(AND(L115="N",Table22[[#This Row],[LOQ_label]]="Y"),AJ115,$AJ115*$Y115),"")</f>
        <v>0</v>
      </c>
      <c r="AL115" s="1388">
        <f t="shared" si="49"/>
        <v>0</v>
      </c>
      <c r="AM115" s="1393">
        <f>IF(Table22[[#This Row],[Highest residue * CF*PF]]&lt;&gt;"",Table22[[#This Row],[Highest residue * CF*PF]],Table22[[#This Row],[MRL*CF*PF or MRL (if LOQ and not authorised) (acute RA)]])</f>
        <v>0</v>
      </c>
      <c r="AN115" s="1390" t="str">
        <f t="shared" si="50"/>
        <v>MRL</v>
      </c>
      <c r="AO115" s="1390" t="str">
        <f t="shared" si="51"/>
        <v/>
      </c>
      <c r="AP115" s="1404" t="str">
        <f t="shared" si="52"/>
        <v/>
      </c>
      <c r="AQ115" s="1388">
        <f t="shared" si="53"/>
        <v>0</v>
      </c>
      <c r="AR115" s="1388" t="str">
        <f t="shared" si="54"/>
        <v/>
      </c>
      <c r="AS115" s="1388" t="str">
        <f t="shared" si="55"/>
        <v/>
      </c>
      <c r="AT115" s="1388" t="str">
        <f t="shared" si="56"/>
        <v/>
      </c>
      <c r="AU115" s="1393">
        <f t="shared" si="57"/>
        <v>0</v>
      </c>
      <c r="AV115" s="1388">
        <f t="shared" si="58"/>
        <v>0</v>
      </c>
      <c r="AW115" s="1390" t="str">
        <f t="shared" si="59"/>
        <v/>
      </c>
      <c r="AX115" s="1390" t="str">
        <f t="shared" si="75"/>
        <v/>
      </c>
      <c r="AY115" s="1394" t="str">
        <f t="shared" si="60"/>
        <v/>
      </c>
      <c r="AZ115" s="1395" t="str">
        <f>IF(Table22[[#This Row],[LOQ_label]]="Y",Table22[[#This Row],[MRL individual commodity]],"")</f>
        <v/>
      </c>
      <c r="BA115" s="1449" t="s">
        <v>654</v>
      </c>
      <c r="BB115" s="1411" t="str">
        <f>IF(Table22[[#This Row],[LOQ2]]&lt;0,MIN(AZ115:AZ410),"")</f>
        <v/>
      </c>
      <c r="BC115" s="1299"/>
      <c r="BD115" s="1306" t="str">
        <f>IF(Table22[[#This Row],[Chronic RA label]]="","N",IF(Table22[[#This Row],[Chronic RA label]]="LOQ","N",IF(Table22[[#This Row],[Chronic RA label]]="MRL","N","Y")))</f>
        <v>N</v>
      </c>
      <c r="BE115" s="1306" t="str">
        <f>IF(Table22[[#This Row],[Acute RA label]]="","N",IF(Table22[[#This Row],[Acute RA label]]="LOQ","N",IF(Table22[[#This Row],[Acute RA label]]="MRL","N","Y")))</f>
        <v>N</v>
      </c>
      <c r="BF115" s="1306" t="str">
        <f>IF(OR(Table22[[#This Row],[include commodity in Summary_input_values_chronic]]="Y",Table22[[#This Row],[include commodity in Summary_input_values_acute]]="Y"),"Y","N")</f>
        <v>N</v>
      </c>
      <c r="BG115" s="1299"/>
      <c r="BH115" s="1324"/>
    </row>
    <row r="116" spans="1:60" ht="12.75" customHeight="1" outlineLevel="3" x14ac:dyDescent="0.2">
      <c r="A116" s="39">
        <v>4</v>
      </c>
      <c r="B116" s="327">
        <v>213100</v>
      </c>
      <c r="C116" s="23" t="s">
        <v>712</v>
      </c>
      <c r="D116" s="867"/>
      <c r="E116" s="1219"/>
      <c r="F116" s="867"/>
      <c r="G116" s="869"/>
      <c r="H116" s="868"/>
      <c r="I116" s="868"/>
      <c r="J116" s="870"/>
      <c r="K116" s="871"/>
      <c r="L116" s="872"/>
      <c r="M116" s="872"/>
      <c r="N116" s="925" t="str">
        <f>IF(O116&lt;&gt;0,CONCATENATE(input_values!$AF116,input_values!$AG116,input_values!$AH116),"")</f>
        <v/>
      </c>
      <c r="O116" s="491">
        <f>IF($A$10="Refined calculation mode",Table22[[#This Row],[input for chronic (refined mode]],Table22[[#This Row],[input for chronic normal mode]])</f>
        <v>0</v>
      </c>
      <c r="P116" s="925" t="str">
        <f>IF(Q116&lt;&gt;0,CONCATENATE(input_values!$AN116,input_values!$AO116,input_values!$AP116),"")</f>
        <v/>
      </c>
      <c r="Q116" s="491">
        <f>IF($V$5=0,0,IF(OR($A$10="Refined calculation mode",Results!$B$62="Show results of IESTI calculation only for crops with GAPs under assessment"),Table22[[#This Row],[Input for IESTI (refined mode)]],Table22[[#This Row],[Input for IESTI normal mode]]))</f>
        <v>0</v>
      </c>
      <c r="R116" s="926" t="str">
        <f>IF(S116&lt;&gt;0,CONCATENATE(input_values!$AW116,input_values!$AX116,input_values!$AY116),"")</f>
        <v/>
      </c>
      <c r="S116" s="492">
        <f>IF($V$5=0,0,IF(OR($A$10="Refined calculation mode",Results!$B$62="Show results of IESTI calculation only for crops with GAPs under assessment"),Table22[[#This Row],[Input for IESTI new (refined mode)]],Table22[[#This Row],[Input for IESTI new normal mode]]))</f>
        <v>0</v>
      </c>
      <c r="T116" s="886"/>
      <c r="U116" s="1408">
        <f>Table22[[#This Row],[MRL/ proposed MRL /CXL
(mg/kg)]]</f>
        <v>0</v>
      </c>
      <c r="V116" s="1409" t="str">
        <f t="shared" si="71"/>
        <v/>
      </c>
      <c r="W116" s="1387">
        <f t="shared" si="72"/>
        <v>1</v>
      </c>
      <c r="X116" s="1387">
        <f t="shared" si="73"/>
        <v>1</v>
      </c>
      <c r="Y116" s="1387">
        <f t="shared" si="74"/>
        <v>1</v>
      </c>
      <c r="Z116" s="1410">
        <v>4</v>
      </c>
      <c r="AA116" s="1387">
        <f t="shared" si="42"/>
        <v>0</v>
      </c>
      <c r="AB116" s="1387">
        <f>IF(Z116=A116,IF(AND(L116="N",Table22[[#This Row],[LOQ_label]]="Y"),AA116,$AA116*$Y116),"")</f>
        <v>0</v>
      </c>
      <c r="AC116" s="1393">
        <f t="shared" si="43"/>
        <v>0</v>
      </c>
      <c r="AD116" s="1393">
        <f>IF(Table22[[#This Row],[Median residue*CF*PeF]]&lt;&gt;"",Table22[[#This Row],[Median residue*CF*PeF]],Table22[[#This Row],[MRL*CF*PeF (chronic)]])</f>
        <v>0</v>
      </c>
      <c r="AE116" s="1393">
        <f t="shared" si="44"/>
        <v>0</v>
      </c>
      <c r="AF116" s="1390" t="str">
        <f t="shared" si="45"/>
        <v>MRL</v>
      </c>
      <c r="AG116" s="1390" t="str">
        <f t="shared" si="46"/>
        <v/>
      </c>
      <c r="AH116" s="1394" t="str">
        <f t="shared" si="47"/>
        <v/>
      </c>
      <c r="AI116" s="1386">
        <v>4</v>
      </c>
      <c r="AJ116" s="1387">
        <f t="shared" si="48"/>
        <v>0</v>
      </c>
      <c r="AK116" s="1387">
        <f>IF(AI116=A116,IF(AND(L116="N",Table22[[#This Row],[LOQ_label]]="Y"),AJ116,$AJ116*$Y116),"")</f>
        <v>0</v>
      </c>
      <c r="AL116" s="1388">
        <f t="shared" si="49"/>
        <v>0</v>
      </c>
      <c r="AM116" s="1393">
        <f>IF(Table22[[#This Row],[Highest residue * CF*PF]]&lt;&gt;"",Table22[[#This Row],[Highest residue * CF*PF]],Table22[[#This Row],[MRL*CF*PF or MRL (if LOQ and not authorised) (acute RA)]])</f>
        <v>0</v>
      </c>
      <c r="AN116" s="1390" t="str">
        <f t="shared" si="50"/>
        <v>MRL</v>
      </c>
      <c r="AO116" s="1390" t="str">
        <f t="shared" si="51"/>
        <v/>
      </c>
      <c r="AP116" s="1404" t="str">
        <f t="shared" si="52"/>
        <v/>
      </c>
      <c r="AQ116" s="1388">
        <f t="shared" si="53"/>
        <v>0</v>
      </c>
      <c r="AR116" s="1388" t="str">
        <f t="shared" si="54"/>
        <v/>
      </c>
      <c r="AS116" s="1388" t="str">
        <f t="shared" si="55"/>
        <v/>
      </c>
      <c r="AT116" s="1388" t="str">
        <f t="shared" si="56"/>
        <v/>
      </c>
      <c r="AU116" s="1393">
        <f t="shared" si="57"/>
        <v>0</v>
      </c>
      <c r="AV116" s="1388">
        <f t="shared" si="58"/>
        <v>0</v>
      </c>
      <c r="AW116" s="1390" t="str">
        <f t="shared" si="59"/>
        <v/>
      </c>
      <c r="AX116" s="1390" t="str">
        <f t="shared" si="75"/>
        <v/>
      </c>
      <c r="AY116" s="1394" t="str">
        <f t="shared" si="60"/>
        <v/>
      </c>
      <c r="AZ116" s="1395" t="str">
        <f>IF(Table22[[#This Row],[LOQ_label]]="Y",Table22[[#This Row],[MRL individual commodity]],"")</f>
        <v/>
      </c>
      <c r="BA116" s="1449" t="s">
        <v>654</v>
      </c>
      <c r="BB116" s="1411" t="str">
        <f>IF(Table22[[#This Row],[LOQ2]]&lt;0,MIN(AZ116:AZ410),"")</f>
        <v/>
      </c>
      <c r="BC116" s="1299"/>
      <c r="BD116" s="1306" t="str">
        <f>IF(Table22[[#This Row],[Chronic RA label]]="","N",IF(Table22[[#This Row],[Chronic RA label]]="LOQ","N",IF(Table22[[#This Row],[Chronic RA label]]="MRL","N","Y")))</f>
        <v>N</v>
      </c>
      <c r="BE116" s="1306" t="str">
        <f>IF(Table22[[#This Row],[Acute RA label]]="","N",IF(Table22[[#This Row],[Acute RA label]]="LOQ","N",IF(Table22[[#This Row],[Acute RA label]]="MRL","N","Y")))</f>
        <v>N</v>
      </c>
      <c r="BF116" s="1306" t="str">
        <f>IF(OR(Table22[[#This Row],[include commodity in Summary_input_values_chronic]]="Y",Table22[[#This Row],[include commodity in Summary_input_values_acute]]="Y"),"Y","N")</f>
        <v>N</v>
      </c>
      <c r="BG116" s="1299"/>
      <c r="BH116" s="1324"/>
    </row>
    <row r="117" spans="1:60" ht="12.75" customHeight="1" outlineLevel="3" x14ac:dyDescent="0.2">
      <c r="A117" s="39">
        <v>4</v>
      </c>
      <c r="B117" s="327">
        <v>213110</v>
      </c>
      <c r="C117" s="23" t="s">
        <v>30</v>
      </c>
      <c r="D117" s="867"/>
      <c r="E117" s="1219"/>
      <c r="F117" s="867"/>
      <c r="G117" s="869"/>
      <c r="H117" s="868"/>
      <c r="I117" s="868"/>
      <c r="J117" s="870"/>
      <c r="K117" s="871"/>
      <c r="L117" s="872"/>
      <c r="M117" s="872"/>
      <c r="N117" s="925" t="str">
        <f>IF(O117&lt;&gt;0,CONCATENATE(input_values!$AF117,input_values!$AG117,input_values!$AH117),"")</f>
        <v/>
      </c>
      <c r="O117" s="491">
        <f>IF($A$10="Refined calculation mode",Table22[[#This Row],[input for chronic (refined mode]],Table22[[#This Row],[input for chronic normal mode]])</f>
        <v>0</v>
      </c>
      <c r="P117" s="925" t="str">
        <f>IF(Q117&lt;&gt;0,CONCATENATE(input_values!$AN117,input_values!$AO117,input_values!$AP117),"")</f>
        <v/>
      </c>
      <c r="Q117" s="491">
        <f>IF($V$5=0,0,IF(OR($A$10="Refined calculation mode",Results!$B$62="Show results of IESTI calculation only for crops with GAPs under assessment"),Table22[[#This Row],[Input for IESTI (refined mode)]],Table22[[#This Row],[Input for IESTI normal mode]]))</f>
        <v>0</v>
      </c>
      <c r="R117" s="926" t="str">
        <f>IF(S117&lt;&gt;0,CONCATENATE(input_values!$AW117,input_values!$AX117,input_values!$AY117),"")</f>
        <v/>
      </c>
      <c r="S117" s="492">
        <f>IF($V$5=0,0,IF(OR($A$10="Refined calculation mode",Results!$B$62="Show results of IESTI calculation only for crops with GAPs under assessment"),Table22[[#This Row],[Input for IESTI new (refined mode)]],Table22[[#This Row],[Input for IESTI new normal mode]]))</f>
        <v>0</v>
      </c>
      <c r="T117" s="886"/>
      <c r="U117" s="1408">
        <f>Table22[[#This Row],[MRL/ proposed MRL /CXL
(mg/kg)]]</f>
        <v>0</v>
      </c>
      <c r="V117" s="1409" t="str">
        <f t="shared" si="71"/>
        <v/>
      </c>
      <c r="W117" s="1387">
        <f t="shared" si="72"/>
        <v>1</v>
      </c>
      <c r="X117" s="1387">
        <f t="shared" si="73"/>
        <v>1</v>
      </c>
      <c r="Y117" s="1387">
        <f t="shared" si="74"/>
        <v>1</v>
      </c>
      <c r="Z117" s="1410">
        <v>4</v>
      </c>
      <c r="AA117" s="1387">
        <f t="shared" si="42"/>
        <v>0</v>
      </c>
      <c r="AB117" s="1387">
        <f>IF(Z117=A117,IF(AND(L117="N",Table22[[#This Row],[LOQ_label]]="Y"),AA117,$AA117*$Y117),"")</f>
        <v>0</v>
      </c>
      <c r="AC117" s="1393">
        <f t="shared" si="43"/>
        <v>0</v>
      </c>
      <c r="AD117" s="1393">
        <f>IF(Table22[[#This Row],[Median residue*CF*PeF]]&lt;&gt;"",Table22[[#This Row],[Median residue*CF*PeF]],Table22[[#This Row],[MRL*CF*PeF (chronic)]])</f>
        <v>0</v>
      </c>
      <c r="AE117" s="1393">
        <f t="shared" si="44"/>
        <v>0</v>
      </c>
      <c r="AF117" s="1390" t="str">
        <f t="shared" si="45"/>
        <v>MRL</v>
      </c>
      <c r="AG117" s="1390" t="str">
        <f t="shared" si="46"/>
        <v/>
      </c>
      <c r="AH117" s="1394" t="str">
        <f t="shared" si="47"/>
        <v/>
      </c>
      <c r="AI117" s="1386">
        <v>4</v>
      </c>
      <c r="AJ117" s="1387">
        <f t="shared" si="48"/>
        <v>0</v>
      </c>
      <c r="AK117" s="1387">
        <f>IF(AI117=A117,IF(AND(L117="N",Table22[[#This Row],[LOQ_label]]="Y"),AJ117,$AJ117*$Y117),"")</f>
        <v>0</v>
      </c>
      <c r="AL117" s="1388">
        <f t="shared" si="49"/>
        <v>0</v>
      </c>
      <c r="AM117" s="1393">
        <f>IF(Table22[[#This Row],[Highest residue * CF*PF]]&lt;&gt;"",Table22[[#This Row],[Highest residue * CF*PF]],Table22[[#This Row],[MRL*CF*PF or MRL (if LOQ and not authorised) (acute RA)]])</f>
        <v>0</v>
      </c>
      <c r="AN117" s="1390" t="str">
        <f t="shared" si="50"/>
        <v>MRL</v>
      </c>
      <c r="AO117" s="1390" t="str">
        <f t="shared" si="51"/>
        <v/>
      </c>
      <c r="AP117" s="1404" t="str">
        <f t="shared" si="52"/>
        <v/>
      </c>
      <c r="AQ117" s="1388">
        <f t="shared" si="53"/>
        <v>0</v>
      </c>
      <c r="AR117" s="1388" t="str">
        <f t="shared" si="54"/>
        <v/>
      </c>
      <c r="AS117" s="1388" t="str">
        <f t="shared" si="55"/>
        <v/>
      </c>
      <c r="AT117" s="1388" t="str">
        <f t="shared" si="56"/>
        <v/>
      </c>
      <c r="AU117" s="1393">
        <f t="shared" si="57"/>
        <v>0</v>
      </c>
      <c r="AV117" s="1388">
        <f t="shared" si="58"/>
        <v>0</v>
      </c>
      <c r="AW117" s="1390" t="str">
        <f t="shared" si="59"/>
        <v/>
      </c>
      <c r="AX117" s="1390" t="str">
        <f t="shared" si="75"/>
        <v/>
      </c>
      <c r="AY117" s="1394" t="str">
        <f t="shared" si="60"/>
        <v/>
      </c>
      <c r="AZ117" s="1395" t="str">
        <f>IF(Table22[[#This Row],[LOQ_label]]="Y",Table22[[#This Row],[MRL individual commodity]],"")</f>
        <v/>
      </c>
      <c r="BA117" s="1449" t="s">
        <v>654</v>
      </c>
      <c r="BB117" s="1411" t="str">
        <f>IF(Table22[[#This Row],[LOQ2]]&lt;0,MIN(AZ117:AZ410),"")</f>
        <v/>
      </c>
      <c r="BC117" s="1299"/>
      <c r="BD117" s="1306" t="str">
        <f>IF(Table22[[#This Row],[Chronic RA label]]="","N",IF(Table22[[#This Row],[Chronic RA label]]="LOQ","N",IF(Table22[[#This Row],[Chronic RA label]]="MRL","N","Y")))</f>
        <v>N</v>
      </c>
      <c r="BE117" s="1306" t="str">
        <f>IF(Table22[[#This Row],[Acute RA label]]="","N",IF(Table22[[#This Row],[Acute RA label]]="LOQ","N",IF(Table22[[#This Row],[Acute RA label]]="MRL","N","Y")))</f>
        <v>N</v>
      </c>
      <c r="BF117" s="1306" t="str">
        <f>IF(OR(Table22[[#This Row],[include commodity in Summary_input_values_chronic]]="Y",Table22[[#This Row],[include commodity in Summary_input_values_acute]]="Y"),"Y","N")</f>
        <v>N</v>
      </c>
      <c r="BG117" s="1299"/>
      <c r="BH117" s="1324"/>
    </row>
    <row r="118" spans="1:60" ht="12.75" customHeight="1" outlineLevel="3" x14ac:dyDescent="0.2">
      <c r="A118" s="39">
        <v>4</v>
      </c>
      <c r="B118" s="327">
        <v>213990</v>
      </c>
      <c r="C118" s="23" t="s">
        <v>164</v>
      </c>
      <c r="D118" s="867"/>
      <c r="E118" s="1219"/>
      <c r="F118" s="867"/>
      <c r="G118" s="868"/>
      <c r="H118" s="863"/>
      <c r="I118" s="868"/>
      <c r="J118" s="870"/>
      <c r="K118" s="865"/>
      <c r="L118" s="872"/>
      <c r="M118" s="872"/>
      <c r="N118" s="925" t="str">
        <f>IF(O118&lt;&gt;0,CONCATENATE(input_values!$AF118,input_values!$AG118,input_values!$AH118),"")</f>
        <v/>
      </c>
      <c r="O118" s="491">
        <f>IF($A$10="Refined calculation mode",Table22[[#This Row],[input for chronic (refined mode]],Table22[[#This Row],[input for chronic normal mode]])</f>
        <v>0</v>
      </c>
      <c r="P118" s="473"/>
      <c r="Q118" s="474"/>
      <c r="R118" s="473"/>
      <c r="S118" s="474"/>
      <c r="T118" s="886"/>
      <c r="U118" s="1408">
        <f>Table22[[#This Row],[MRL/ proposed MRL /CXL
(mg/kg)]]</f>
        <v>0</v>
      </c>
      <c r="V118" s="1409" t="str">
        <f t="shared" si="71"/>
        <v/>
      </c>
      <c r="W118" s="1387">
        <f t="shared" si="72"/>
        <v>1</v>
      </c>
      <c r="X118" s="1387">
        <f t="shared" si="73"/>
        <v>1</v>
      </c>
      <c r="Y118" s="1387">
        <f t="shared" si="74"/>
        <v>1</v>
      </c>
      <c r="Z118" s="1410">
        <v>4</v>
      </c>
      <c r="AA118" s="1387">
        <f t="shared" si="42"/>
        <v>0</v>
      </c>
      <c r="AB118" s="1387">
        <f>IF(Z118=A118,IF(AND(L118="N",Table22[[#This Row],[LOQ_label]]="Y"),AA118,$AA118*$Y118),"")</f>
        <v>0</v>
      </c>
      <c r="AC118" s="1393">
        <f t="shared" si="43"/>
        <v>0</v>
      </c>
      <c r="AD118" s="1393">
        <f>IF(Table22[[#This Row],[Median residue*CF*PeF]]&lt;&gt;"",Table22[[#This Row],[Median residue*CF*PeF]],Table22[[#This Row],[MRL*CF*PeF (chronic)]])</f>
        <v>0</v>
      </c>
      <c r="AE118" s="1393">
        <f t="shared" si="44"/>
        <v>0</v>
      </c>
      <c r="AF118" s="1390" t="str">
        <f t="shared" si="45"/>
        <v>MRL</v>
      </c>
      <c r="AG118" s="1390" t="str">
        <f t="shared" si="46"/>
        <v/>
      </c>
      <c r="AH118" s="1394" t="str">
        <f t="shared" si="47"/>
        <v/>
      </c>
      <c r="AI118" s="1386"/>
      <c r="AJ118" s="1387" t="str">
        <f t="shared" si="48"/>
        <v/>
      </c>
      <c r="AK118" s="1387" t="str">
        <f>IF(AI118=A118,IF(AND(L118="N",Table22[[#This Row],[LOQ_label]]="Y"),AJ118,$AJ118*$Y118),"")</f>
        <v/>
      </c>
      <c r="AL118" s="1388" t="str">
        <f t="shared" si="49"/>
        <v/>
      </c>
      <c r="AM118" s="1393" t="str">
        <f>IF(Table22[[#This Row],[Highest residue * CF*PF]]&lt;&gt;"",Table22[[#This Row],[Highest residue * CF*PF]],Table22[[#This Row],[MRL*CF*PF or MRL (if LOQ and not authorised) (acute RA)]])</f>
        <v/>
      </c>
      <c r="AN118" s="1390" t="str">
        <f t="shared" si="50"/>
        <v/>
      </c>
      <c r="AO118" s="1390" t="str">
        <f t="shared" si="51"/>
        <v/>
      </c>
      <c r="AP118" s="1404" t="str">
        <f t="shared" si="52"/>
        <v/>
      </c>
      <c r="AQ118" s="1388">
        <f t="shared" si="53"/>
        <v>0</v>
      </c>
      <c r="AR118" s="1388" t="str">
        <f t="shared" si="54"/>
        <v/>
      </c>
      <c r="AS118" s="1388" t="str">
        <f t="shared" si="55"/>
        <v/>
      </c>
      <c r="AT118" s="1388" t="str">
        <f t="shared" si="56"/>
        <v/>
      </c>
      <c r="AU118" s="1393" t="str">
        <f t="shared" si="57"/>
        <v/>
      </c>
      <c r="AV118" s="1388">
        <f t="shared" si="58"/>
        <v>0</v>
      </c>
      <c r="AW118" s="1390" t="str">
        <f t="shared" si="59"/>
        <v/>
      </c>
      <c r="AX118" s="1390" t="str">
        <f>IF(AND(AN118&lt;&gt;"",AY118&lt;&gt;""),"*","")</f>
        <v/>
      </c>
      <c r="AY118" s="1394" t="str">
        <f t="shared" si="60"/>
        <v/>
      </c>
      <c r="AZ118" s="1395" t="str">
        <f>IF(Table22[[#This Row],[LOQ_label]]="Y",Table22[[#This Row],[MRL individual commodity]],"")</f>
        <v/>
      </c>
      <c r="BA118" s="1396" t="s">
        <v>1159</v>
      </c>
      <c r="BB118" s="1411" t="str">
        <f>IF(Table22[[#This Row],[LOQ2]]&lt;0,MIN(AZ118:AZ410),"")</f>
        <v/>
      </c>
      <c r="BC118" s="1299"/>
      <c r="BD118" s="1306" t="str">
        <f>IF(Table22[[#This Row],[Chronic RA label]]="","N",IF(Table22[[#This Row],[Chronic RA label]]="LOQ","N",IF(Table22[[#This Row],[Chronic RA label]]="MRL","N","Y")))</f>
        <v>N</v>
      </c>
      <c r="BE118" s="1306" t="str">
        <f>IF(Table22[[#This Row],[Acute RA label]]="","N",IF(Table22[[#This Row],[Acute RA label]]="LOQ","N",IF(Table22[[#This Row],[Acute RA label]]="MRL","N","Y")))</f>
        <v>N</v>
      </c>
      <c r="BF118" s="1306" t="str">
        <f>IF(OR(Table22[[#This Row],[include commodity in Summary_input_values_chronic]]="Y",Table22[[#This Row],[include commodity in Summary_input_values_acute]]="Y"),"Y","N")</f>
        <v>N</v>
      </c>
      <c r="BG118" s="1299"/>
      <c r="BH118" s="1324"/>
    </row>
    <row r="119" spans="1:60" ht="12.75" customHeight="1" outlineLevel="1" x14ac:dyDescent="0.2">
      <c r="A119" s="130">
        <v>2</v>
      </c>
      <c r="B119" s="447">
        <v>220000</v>
      </c>
      <c r="C119" s="131" t="s">
        <v>224</v>
      </c>
      <c r="D119" s="862"/>
      <c r="E119" s="1218"/>
      <c r="F119" s="862"/>
      <c r="G119" s="866"/>
      <c r="H119" s="863"/>
      <c r="I119" s="863"/>
      <c r="J119" s="864"/>
      <c r="K119" s="865"/>
      <c r="L119" s="471"/>
      <c r="M119" s="471"/>
      <c r="N119" s="473"/>
      <c r="O119" s="474"/>
      <c r="P119" s="473"/>
      <c r="Q119" s="474"/>
      <c r="R119" s="473"/>
      <c r="S119" s="474"/>
      <c r="T119" s="886"/>
      <c r="U119" s="1415"/>
      <c r="V119" s="1380"/>
      <c r="W119" s="1381"/>
      <c r="X119" s="1381"/>
      <c r="Y119" s="1381"/>
      <c r="Z119" s="1382">
        <v>4</v>
      </c>
      <c r="AA119" s="1381" t="str">
        <f t="shared" si="42"/>
        <v/>
      </c>
      <c r="AB119" s="1381" t="str">
        <f>IF(Z119=A119,IF(AND(L119="N",Table22[[#This Row],[LOQ_label]]="Y"),AA119,$AA119*$Y119),"")</f>
        <v/>
      </c>
      <c r="AC119" s="1383" t="str">
        <f t="shared" si="43"/>
        <v/>
      </c>
      <c r="AD119" s="1383" t="str">
        <f>IF(Table22[[#This Row],[Median residue*CF*PeF]]&lt;&gt;"",Table22[[#This Row],[Median residue*CF*PeF]],Table22[[#This Row],[MRL*CF*PeF (chronic)]])</f>
        <v/>
      </c>
      <c r="AE119" s="1384">
        <f t="shared" si="44"/>
        <v>0</v>
      </c>
      <c r="AF119" s="1385" t="str">
        <f t="shared" si="45"/>
        <v/>
      </c>
      <c r="AG119" s="1385" t="str">
        <f t="shared" si="46"/>
        <v/>
      </c>
      <c r="AH119" s="1270" t="str">
        <f t="shared" si="47"/>
        <v/>
      </c>
      <c r="AI119" s="1386">
        <v>4</v>
      </c>
      <c r="AJ119" s="1387" t="str">
        <f t="shared" si="48"/>
        <v/>
      </c>
      <c r="AK119" s="1387" t="str">
        <f>IF(AI119=A119,IF(AND(L119="N",Table22[[#This Row],[LOQ_label]]="Y"),AJ119,$AJ119*$Y119),"")</f>
        <v/>
      </c>
      <c r="AL119" s="1388" t="str">
        <f t="shared" si="49"/>
        <v/>
      </c>
      <c r="AM119" s="1393" t="str">
        <f>IF(Table22[[#This Row],[Highest residue * CF*PF]]&lt;&gt;"",Table22[[#This Row],[Highest residue * CF*PF]],Table22[[#This Row],[MRL*CF*PF or MRL (if LOQ and not authorised) (acute RA)]])</f>
        <v/>
      </c>
      <c r="AN119" s="1390" t="str">
        <f t="shared" si="50"/>
        <v/>
      </c>
      <c r="AO119" s="1390" t="str">
        <f t="shared" si="51"/>
        <v/>
      </c>
      <c r="AP119" s="1404" t="str">
        <f t="shared" si="52"/>
        <v/>
      </c>
      <c r="AQ119" s="1388">
        <f t="shared" si="53"/>
        <v>0</v>
      </c>
      <c r="AR119" s="1388" t="str">
        <f t="shared" si="54"/>
        <v/>
      </c>
      <c r="AS119" s="1388" t="str">
        <f t="shared" si="55"/>
        <v/>
      </c>
      <c r="AT119" s="1388" t="str">
        <f t="shared" si="56"/>
        <v/>
      </c>
      <c r="AU119" s="1393" t="str">
        <f t="shared" si="57"/>
        <v/>
      </c>
      <c r="AV119" s="1388">
        <f t="shared" si="58"/>
        <v>0</v>
      </c>
      <c r="AW119" s="1390" t="str">
        <f t="shared" si="59"/>
        <v/>
      </c>
      <c r="AX119" s="1390" t="str">
        <f>IF(AND(AN119&lt;&gt;"",AY119&lt;&gt;""),"*","")</f>
        <v/>
      </c>
      <c r="AY119" s="1394" t="str">
        <f t="shared" si="60"/>
        <v/>
      </c>
      <c r="AZ119" s="1395">
        <f>IF(Table22[[#This Row],[LOQ_label]]="Y",Table22[[#This Row],[MRL individual commodity]],"")</f>
        <v>0</v>
      </c>
      <c r="BA119" s="1396" t="s">
        <v>1159</v>
      </c>
      <c r="BB119" s="1411" t="str">
        <f>IF(Table22[[#This Row],[LOQ2]]&lt;0,MIN(AZ119:AZ410),"")</f>
        <v/>
      </c>
      <c r="BC119" s="1299"/>
      <c r="BD119" s="1306" t="str">
        <f>IF(Table22[[#This Row],[Chronic RA label]]="","N",IF(Table22[[#This Row],[Chronic RA label]]="LOQ","N",IF(Table22[[#This Row],[Chronic RA label]]="MRL","N","Y")))</f>
        <v>N</v>
      </c>
      <c r="BE119" s="1306" t="str">
        <f>IF(Table22[[#This Row],[Acute RA label]]="","N",IF(Table22[[#This Row],[Acute RA label]]="LOQ","N",IF(Table22[[#This Row],[Acute RA label]]="MRL","N","Y")))</f>
        <v>N</v>
      </c>
      <c r="BF119" s="1306" t="str">
        <f>IF(OR(Table22[[#This Row],[include commodity in Summary_input_values_chronic]]="Y",Table22[[#This Row],[include commodity in Summary_input_values_acute]]="Y"),"Y","N")</f>
        <v>N</v>
      </c>
      <c r="BG119" s="1299"/>
      <c r="BH119" s="1324"/>
    </row>
    <row r="120" spans="1:60" ht="12.75" customHeight="1" outlineLevel="3" x14ac:dyDescent="0.2">
      <c r="A120" s="39">
        <v>4</v>
      </c>
      <c r="B120" s="327">
        <v>220010</v>
      </c>
      <c r="C120" s="23" t="s">
        <v>207</v>
      </c>
      <c r="D120" s="867"/>
      <c r="E120" s="1219"/>
      <c r="F120" s="867"/>
      <c r="G120" s="869"/>
      <c r="H120" s="868"/>
      <c r="I120" s="868"/>
      <c r="J120" s="870"/>
      <c r="K120" s="865"/>
      <c r="L120" s="872"/>
      <c r="M120" s="872"/>
      <c r="N120" s="925" t="str">
        <f>IF(O120&lt;&gt;0,CONCATENATE(input_values!$AF120,input_values!$AG120,input_values!$AH120),"")</f>
        <v/>
      </c>
      <c r="O120" s="491">
        <f>IF($A$10="Refined calculation mode",Table22[[#This Row],[input for chronic (refined mode]],Table22[[#This Row],[input for chronic normal mode]])</f>
        <v>0</v>
      </c>
      <c r="P120" s="925" t="str">
        <f>IF(Q120&lt;&gt;0,CONCATENATE(input_values!$AN120,input_values!$AO120,input_values!$AP120),"")</f>
        <v/>
      </c>
      <c r="Q120" s="491">
        <f>IF($V$5=0,0,IF(OR($A$10="Refined calculation mode",Results!$B$62="Show results of IESTI calculation only for crops with GAPs under assessment"),Table22[[#This Row],[Input for IESTI (refined mode)]],Table22[[#This Row],[Input for IESTI normal mode]]))</f>
        <v>0</v>
      </c>
      <c r="R120" s="926" t="str">
        <f>IF(S120&lt;&gt;0,CONCATENATE(input_values!$AW120,input_values!$AX120,input_values!$AY120),"")</f>
        <v/>
      </c>
      <c r="S120" s="492">
        <f>IF($V$5=0,0,IF(OR($A$10="Refined calculation mode",Results!$B$62="Show results of IESTI calculation only for crops with GAPs under assessment"),Table22[[#This Row],[Input for IESTI new (refined mode)]],Table22[[#This Row],[Input for IESTI new normal mode]]))</f>
        <v>0</v>
      </c>
      <c r="T120" s="886"/>
      <c r="U120" s="1408">
        <f>Table22[[#This Row],[MRL/ proposed MRL /CXL
(mg/kg)]]</f>
        <v>0</v>
      </c>
      <c r="V120" s="1409" t="str">
        <f>IF(ISBLANK(F120),"","Y")</f>
        <v/>
      </c>
      <c r="W120" s="1387">
        <f>IF($G120&gt;0,$G120,1)</f>
        <v>1</v>
      </c>
      <c r="X120" s="1387">
        <f>IF($H120&gt;0,$H120,1)</f>
        <v>1</v>
      </c>
      <c r="Y120" s="1387">
        <f>W120*X120</f>
        <v>1</v>
      </c>
      <c r="Z120" s="1410">
        <v>4</v>
      </c>
      <c r="AA120" s="1387">
        <f t="shared" si="42"/>
        <v>0</v>
      </c>
      <c r="AB120" s="1387">
        <f>IF(Z120=A120,IF(AND(L120="N",Table22[[#This Row],[LOQ_label]]="Y"),AA120,$AA120*$Y120),"")</f>
        <v>0</v>
      </c>
      <c r="AC120" s="1393">
        <f t="shared" si="43"/>
        <v>0</v>
      </c>
      <c r="AD120" s="1393">
        <f>IF(Table22[[#This Row],[Median residue*CF*PeF]]&lt;&gt;"",Table22[[#This Row],[Median residue*CF*PeF]],Table22[[#This Row],[MRL*CF*PeF (chronic)]])</f>
        <v>0</v>
      </c>
      <c r="AE120" s="1393">
        <f t="shared" si="44"/>
        <v>0</v>
      </c>
      <c r="AF120" s="1390" t="str">
        <f t="shared" si="45"/>
        <v>MRL</v>
      </c>
      <c r="AG120" s="1390" t="str">
        <f t="shared" si="46"/>
        <v/>
      </c>
      <c r="AH120" s="1394" t="str">
        <f t="shared" si="47"/>
        <v/>
      </c>
      <c r="AI120" s="1386">
        <v>4</v>
      </c>
      <c r="AJ120" s="1387">
        <f t="shared" si="48"/>
        <v>0</v>
      </c>
      <c r="AK120" s="1387">
        <f>IF(AI120=A120,IF(AND(L120="N",Table22[[#This Row],[LOQ_label]]="Y"),AJ120,$AJ120*$Y120),"")</f>
        <v>0</v>
      </c>
      <c r="AL120" s="1388">
        <f t="shared" si="49"/>
        <v>0</v>
      </c>
      <c r="AM120" s="1393">
        <f>IF(Table22[[#This Row],[Highest residue * CF*PF]]&lt;&gt;"",Table22[[#This Row],[Highest residue * CF*PF]],Table22[[#This Row],[MRL*CF*PF or MRL (if LOQ and not authorised) (acute RA)]])</f>
        <v>0</v>
      </c>
      <c r="AN120" s="1390" t="str">
        <f t="shared" si="50"/>
        <v>MRL</v>
      </c>
      <c r="AO120" s="1390" t="str">
        <f t="shared" si="51"/>
        <v/>
      </c>
      <c r="AP120" s="1404" t="str">
        <f t="shared" si="52"/>
        <v/>
      </c>
      <c r="AQ120" s="1388">
        <f t="shared" si="53"/>
        <v>0</v>
      </c>
      <c r="AR120" s="1388" t="str">
        <f t="shared" si="54"/>
        <v/>
      </c>
      <c r="AS120" s="1388" t="str">
        <f t="shared" si="55"/>
        <v/>
      </c>
      <c r="AT120" s="1388" t="str">
        <f t="shared" si="56"/>
        <v/>
      </c>
      <c r="AU120" s="1393">
        <f t="shared" si="57"/>
        <v>0</v>
      </c>
      <c r="AV120" s="1388">
        <f t="shared" si="58"/>
        <v>0</v>
      </c>
      <c r="AW120" s="1390" t="str">
        <f t="shared" si="59"/>
        <v/>
      </c>
      <c r="AX120" s="1390" t="str">
        <f>IF(AND(AW120&lt;&gt;"",AY120&lt;&gt;""),"*","")</f>
        <v/>
      </c>
      <c r="AY120" s="1394" t="str">
        <f t="shared" si="60"/>
        <v/>
      </c>
      <c r="AZ120" s="1395" t="str">
        <f>IF(Table22[[#This Row],[LOQ_label]]="Y",Table22[[#This Row],[MRL individual commodity]],"")</f>
        <v/>
      </c>
      <c r="BA120" s="1396" t="s">
        <v>1038</v>
      </c>
      <c r="BB120" s="1411" t="str">
        <f>IF(Table22[[#This Row],[LOQ2]]&lt;0,MIN(AZ120:AZ410),"")</f>
        <v/>
      </c>
      <c r="BC120" s="1299"/>
      <c r="BD120" s="1306" t="str">
        <f>IF(Table22[[#This Row],[Chronic RA label]]="","N",IF(Table22[[#This Row],[Chronic RA label]]="LOQ","N",IF(Table22[[#This Row],[Chronic RA label]]="MRL","N","Y")))</f>
        <v>N</v>
      </c>
      <c r="BE120" s="1306" t="str">
        <f>IF(Table22[[#This Row],[Acute RA label]]="","N",IF(Table22[[#This Row],[Acute RA label]]="LOQ","N",IF(Table22[[#This Row],[Acute RA label]]="MRL","N","Y")))</f>
        <v>N</v>
      </c>
      <c r="BF120" s="1306" t="str">
        <f>IF(OR(Table22[[#This Row],[include commodity in Summary_input_values_chronic]]="Y",Table22[[#This Row],[include commodity in Summary_input_values_acute]]="Y"),"Y","N")</f>
        <v>N</v>
      </c>
      <c r="BG120" s="1299"/>
      <c r="BH120" s="1324"/>
    </row>
    <row r="121" spans="1:60" ht="12.75" customHeight="1" outlineLevel="3" x14ac:dyDescent="0.2">
      <c r="A121" s="39">
        <v>4</v>
      </c>
      <c r="B121" s="327">
        <v>220020</v>
      </c>
      <c r="C121" s="23" t="s">
        <v>208</v>
      </c>
      <c r="D121" s="867"/>
      <c r="E121" s="1219"/>
      <c r="F121" s="867"/>
      <c r="G121" s="869"/>
      <c r="H121" s="868"/>
      <c r="I121" s="868"/>
      <c r="J121" s="870"/>
      <c r="K121" s="871"/>
      <c r="L121" s="872"/>
      <c r="M121" s="872"/>
      <c r="N121" s="925" t="str">
        <f>IF(O121&lt;&gt;0,CONCATENATE(input_values!$AF121,input_values!$AG121,input_values!$AH121),"")</f>
        <v/>
      </c>
      <c r="O121" s="491">
        <f>IF($A$10="Refined calculation mode",Table22[[#This Row],[input for chronic (refined mode]],Table22[[#This Row],[input for chronic normal mode]])</f>
        <v>0</v>
      </c>
      <c r="P121" s="925" t="str">
        <f>IF(Q121&lt;&gt;0,CONCATENATE(input_values!$AN121,input_values!$AO121,input_values!$AP121),"")</f>
        <v/>
      </c>
      <c r="Q121" s="491">
        <f>IF($V$5=0,0,IF(OR($A$10="Refined calculation mode",Results!$B$62="Show results of IESTI calculation only for crops with GAPs under assessment"),Table22[[#This Row],[Input for IESTI (refined mode)]],Table22[[#This Row],[Input for IESTI normal mode]]))</f>
        <v>0</v>
      </c>
      <c r="R121" s="926" t="str">
        <f>IF(S121&lt;&gt;0,CONCATENATE(input_values!$AW121,input_values!$AX121,input_values!$AY121),"")</f>
        <v/>
      </c>
      <c r="S121" s="492">
        <f>IF($V$5=0,0,IF(OR($A$10="Refined calculation mode",Results!$B$62="Show results of IESTI calculation only for crops with GAPs under assessment"),Table22[[#This Row],[Input for IESTI new (refined mode)]],Table22[[#This Row],[Input for IESTI new normal mode]]))</f>
        <v>0</v>
      </c>
      <c r="T121" s="886"/>
      <c r="U121" s="1408">
        <f>Table22[[#This Row],[MRL/ proposed MRL /CXL
(mg/kg)]]</f>
        <v>0</v>
      </c>
      <c r="V121" s="1409" t="str">
        <f>IF(ISBLANK(F121),"","Y")</f>
        <v/>
      </c>
      <c r="W121" s="1387">
        <f>IF($G121&gt;0,$G121,1)</f>
        <v>1</v>
      </c>
      <c r="X121" s="1387">
        <f>IF($H121&gt;0,$H121,1)</f>
        <v>1</v>
      </c>
      <c r="Y121" s="1387">
        <f>W121*X121</f>
        <v>1</v>
      </c>
      <c r="Z121" s="1410">
        <v>4</v>
      </c>
      <c r="AA121" s="1387">
        <f t="shared" si="42"/>
        <v>0</v>
      </c>
      <c r="AB121" s="1387">
        <f>IF(Z121=A121,IF(AND(L121="N",Table22[[#This Row],[LOQ_label]]="Y"),AA121,$AA121*$Y121),"")</f>
        <v>0</v>
      </c>
      <c r="AC121" s="1393">
        <f t="shared" si="43"/>
        <v>0</v>
      </c>
      <c r="AD121" s="1393">
        <f>IF(Table22[[#This Row],[Median residue*CF*PeF]]&lt;&gt;"",Table22[[#This Row],[Median residue*CF*PeF]],Table22[[#This Row],[MRL*CF*PeF (chronic)]])</f>
        <v>0</v>
      </c>
      <c r="AE121" s="1393">
        <f t="shared" si="44"/>
        <v>0</v>
      </c>
      <c r="AF121" s="1390" t="str">
        <f t="shared" si="45"/>
        <v>MRL</v>
      </c>
      <c r="AG121" s="1390" t="str">
        <f t="shared" si="46"/>
        <v/>
      </c>
      <c r="AH121" s="1394" t="str">
        <f t="shared" si="47"/>
        <v/>
      </c>
      <c r="AI121" s="1386">
        <v>4</v>
      </c>
      <c r="AJ121" s="1387">
        <f t="shared" si="48"/>
        <v>0</v>
      </c>
      <c r="AK121" s="1387">
        <f>IF(AI121=A121,IF(AND(L121="N",Table22[[#This Row],[LOQ_label]]="Y"),AJ121,$AJ121*$Y121),"")</f>
        <v>0</v>
      </c>
      <c r="AL121" s="1388">
        <f t="shared" si="49"/>
        <v>0</v>
      </c>
      <c r="AM121" s="1393">
        <f>IF(Table22[[#This Row],[Highest residue * CF*PF]]&lt;&gt;"",Table22[[#This Row],[Highest residue * CF*PF]],Table22[[#This Row],[MRL*CF*PF or MRL (if LOQ and not authorised) (acute RA)]])</f>
        <v>0</v>
      </c>
      <c r="AN121" s="1390" t="str">
        <f t="shared" si="50"/>
        <v>MRL</v>
      </c>
      <c r="AO121" s="1390" t="str">
        <f t="shared" si="51"/>
        <v/>
      </c>
      <c r="AP121" s="1404" t="str">
        <f t="shared" si="52"/>
        <v/>
      </c>
      <c r="AQ121" s="1388">
        <f t="shared" si="53"/>
        <v>0</v>
      </c>
      <c r="AR121" s="1388" t="str">
        <f t="shared" si="54"/>
        <v/>
      </c>
      <c r="AS121" s="1388" t="str">
        <f t="shared" si="55"/>
        <v/>
      </c>
      <c r="AT121" s="1388" t="str">
        <f t="shared" si="56"/>
        <v/>
      </c>
      <c r="AU121" s="1393">
        <f t="shared" si="57"/>
        <v>0</v>
      </c>
      <c r="AV121" s="1388">
        <f t="shared" si="58"/>
        <v>0</v>
      </c>
      <c r="AW121" s="1390" t="str">
        <f t="shared" si="59"/>
        <v/>
      </c>
      <c r="AX121" s="1390" t="str">
        <f>IF(AND(AW121&lt;&gt;"",AY121&lt;&gt;""),"*","")</f>
        <v/>
      </c>
      <c r="AY121" s="1394" t="str">
        <f t="shared" si="60"/>
        <v/>
      </c>
      <c r="AZ121" s="1395" t="str">
        <f>IF(Table22[[#This Row],[LOQ_label]]="Y",Table22[[#This Row],[MRL individual commodity]],"")</f>
        <v/>
      </c>
      <c r="BA121" s="1449" t="s">
        <v>654</v>
      </c>
      <c r="BB121" s="1411" t="str">
        <f>IF(Table22[[#This Row],[LOQ2]]&lt;0,MIN(AZ121:AZ410),"")</f>
        <v/>
      </c>
      <c r="BC121" s="1299"/>
      <c r="BD121" s="1306" t="str">
        <f>IF(Table22[[#This Row],[Chronic RA label]]="","N",IF(Table22[[#This Row],[Chronic RA label]]="LOQ","N",IF(Table22[[#This Row],[Chronic RA label]]="MRL","N","Y")))</f>
        <v>N</v>
      </c>
      <c r="BE121" s="1306" t="str">
        <f>IF(Table22[[#This Row],[Acute RA label]]="","N",IF(Table22[[#This Row],[Acute RA label]]="LOQ","N",IF(Table22[[#This Row],[Acute RA label]]="MRL","N","Y")))</f>
        <v>N</v>
      </c>
      <c r="BF121" s="1306" t="str">
        <f>IF(OR(Table22[[#This Row],[include commodity in Summary_input_values_chronic]]="Y",Table22[[#This Row],[include commodity in Summary_input_values_acute]]="Y"),"Y","N")</f>
        <v>N</v>
      </c>
      <c r="BG121" s="1299"/>
      <c r="BH121" s="1324"/>
    </row>
    <row r="122" spans="1:60" ht="12.75" customHeight="1" outlineLevel="3" x14ac:dyDescent="0.2">
      <c r="A122" s="39">
        <v>4</v>
      </c>
      <c r="B122" s="327">
        <v>220030</v>
      </c>
      <c r="C122" s="23" t="s">
        <v>209</v>
      </c>
      <c r="D122" s="867"/>
      <c r="E122" s="1219"/>
      <c r="F122" s="867"/>
      <c r="G122" s="869"/>
      <c r="H122" s="868"/>
      <c r="I122" s="868"/>
      <c r="J122" s="870"/>
      <c r="K122" s="871"/>
      <c r="L122" s="872"/>
      <c r="M122" s="872"/>
      <c r="N122" s="925" t="str">
        <f>IF(O122&lt;&gt;0,CONCATENATE(input_values!$AF122,input_values!$AG122,input_values!$AH122),"")</f>
        <v/>
      </c>
      <c r="O122" s="491">
        <f>IF($A$10="Refined calculation mode",Table22[[#This Row],[input for chronic (refined mode]],Table22[[#This Row],[input for chronic normal mode]])</f>
        <v>0</v>
      </c>
      <c r="P122" s="925" t="str">
        <f>IF(Q122&lt;&gt;0,CONCATENATE(input_values!$AN122,input_values!$AO122,input_values!$AP122),"")</f>
        <v/>
      </c>
      <c r="Q122" s="491">
        <f>IF($V$5=0,0,IF(OR($A$10="Refined calculation mode",Results!$B$62="Show results of IESTI calculation only for crops with GAPs under assessment"),Table22[[#This Row],[Input for IESTI (refined mode)]],Table22[[#This Row],[Input for IESTI normal mode]]))</f>
        <v>0</v>
      </c>
      <c r="R122" s="926" t="str">
        <f>IF(S122&lt;&gt;0,CONCATENATE(input_values!$AW122,input_values!$AX122,input_values!$AY122),"")</f>
        <v/>
      </c>
      <c r="S122" s="492">
        <f>IF($V$5=0,0,IF(OR($A$10="Refined calculation mode",Results!$B$62="Show results of IESTI calculation only for crops with GAPs under assessment"),Table22[[#This Row],[Input for IESTI new (refined mode)]],Table22[[#This Row],[Input for IESTI new normal mode]]))</f>
        <v>0</v>
      </c>
      <c r="T122" s="886"/>
      <c r="U122" s="1408">
        <f>Table22[[#This Row],[MRL/ proposed MRL /CXL
(mg/kg)]]</f>
        <v>0</v>
      </c>
      <c r="V122" s="1409" t="str">
        <f>IF(ISBLANK(F122),"","Y")</f>
        <v/>
      </c>
      <c r="W122" s="1387">
        <f>IF($G122&gt;0,$G122,1)</f>
        <v>1</v>
      </c>
      <c r="X122" s="1387">
        <f>IF($H122&gt;0,$H122,1)</f>
        <v>1</v>
      </c>
      <c r="Y122" s="1387">
        <f>W122*X122</f>
        <v>1</v>
      </c>
      <c r="Z122" s="1410">
        <v>4</v>
      </c>
      <c r="AA122" s="1387">
        <f t="shared" si="42"/>
        <v>0</v>
      </c>
      <c r="AB122" s="1387">
        <f>IF(Z122=A122,IF(AND(L122="N",Table22[[#This Row],[LOQ_label]]="Y"),AA122,$AA122*$Y122),"")</f>
        <v>0</v>
      </c>
      <c r="AC122" s="1393">
        <f t="shared" si="43"/>
        <v>0</v>
      </c>
      <c r="AD122" s="1393">
        <f>IF(Table22[[#This Row],[Median residue*CF*PeF]]&lt;&gt;"",Table22[[#This Row],[Median residue*CF*PeF]],Table22[[#This Row],[MRL*CF*PeF (chronic)]])</f>
        <v>0</v>
      </c>
      <c r="AE122" s="1393">
        <f t="shared" si="44"/>
        <v>0</v>
      </c>
      <c r="AF122" s="1390" t="str">
        <f t="shared" si="45"/>
        <v>MRL</v>
      </c>
      <c r="AG122" s="1390" t="str">
        <f t="shared" si="46"/>
        <v/>
      </c>
      <c r="AH122" s="1394" t="str">
        <f t="shared" si="47"/>
        <v/>
      </c>
      <c r="AI122" s="1386">
        <v>4</v>
      </c>
      <c r="AJ122" s="1387">
        <f t="shared" si="48"/>
        <v>0</v>
      </c>
      <c r="AK122" s="1387">
        <f>IF(AI122=A122,IF(AND(L122="N",Table22[[#This Row],[LOQ_label]]="Y"),AJ122,$AJ122*$Y122),"")</f>
        <v>0</v>
      </c>
      <c r="AL122" s="1388">
        <f t="shared" si="49"/>
        <v>0</v>
      </c>
      <c r="AM122" s="1393">
        <f>IF(Table22[[#This Row],[Highest residue * CF*PF]]&lt;&gt;"",Table22[[#This Row],[Highest residue * CF*PF]],Table22[[#This Row],[MRL*CF*PF or MRL (if LOQ and not authorised) (acute RA)]])</f>
        <v>0</v>
      </c>
      <c r="AN122" s="1390" t="str">
        <f t="shared" si="50"/>
        <v>MRL</v>
      </c>
      <c r="AO122" s="1390" t="str">
        <f t="shared" si="51"/>
        <v/>
      </c>
      <c r="AP122" s="1404" t="str">
        <f t="shared" si="52"/>
        <v/>
      </c>
      <c r="AQ122" s="1388">
        <f t="shared" si="53"/>
        <v>0</v>
      </c>
      <c r="AR122" s="1388" t="str">
        <f t="shared" si="54"/>
        <v/>
      </c>
      <c r="AS122" s="1388" t="str">
        <f t="shared" si="55"/>
        <v/>
      </c>
      <c r="AT122" s="1388" t="str">
        <f t="shared" si="56"/>
        <v/>
      </c>
      <c r="AU122" s="1393">
        <f t="shared" si="57"/>
        <v>0</v>
      </c>
      <c r="AV122" s="1388">
        <f t="shared" si="58"/>
        <v>0</v>
      </c>
      <c r="AW122" s="1390" t="str">
        <f t="shared" si="59"/>
        <v/>
      </c>
      <c r="AX122" s="1390" t="str">
        <f>IF(AND(AW122&lt;&gt;"",AY122&lt;&gt;""),"*","")</f>
        <v/>
      </c>
      <c r="AY122" s="1394" t="str">
        <f t="shared" si="60"/>
        <v/>
      </c>
      <c r="AZ122" s="1395" t="str">
        <f>IF(Table22[[#This Row],[LOQ_label]]="Y",Table22[[#This Row],[MRL individual commodity]],"")</f>
        <v/>
      </c>
      <c r="BA122" s="1396" t="s">
        <v>1038</v>
      </c>
      <c r="BB122" s="1411" t="str">
        <f>IF(Table22[[#This Row],[LOQ2]]&lt;0,MIN(AZ122:AZ410),"")</f>
        <v/>
      </c>
      <c r="BC122" s="1299"/>
      <c r="BD122" s="1306" t="str">
        <f>IF(Table22[[#This Row],[Chronic RA label]]="","N",IF(Table22[[#This Row],[Chronic RA label]]="LOQ","N",IF(Table22[[#This Row],[Chronic RA label]]="MRL","N","Y")))</f>
        <v>N</v>
      </c>
      <c r="BE122" s="1306" t="str">
        <f>IF(Table22[[#This Row],[Acute RA label]]="","N",IF(Table22[[#This Row],[Acute RA label]]="LOQ","N",IF(Table22[[#This Row],[Acute RA label]]="MRL","N","Y")))</f>
        <v>N</v>
      </c>
      <c r="BF122" s="1306" t="str">
        <f>IF(OR(Table22[[#This Row],[include commodity in Summary_input_values_chronic]]="Y",Table22[[#This Row],[include commodity in Summary_input_values_acute]]="Y"),"Y","N")</f>
        <v>N</v>
      </c>
      <c r="BG122" s="1299"/>
      <c r="BH122" s="1324"/>
    </row>
    <row r="123" spans="1:60" ht="12.75" customHeight="1" outlineLevel="3" x14ac:dyDescent="0.2">
      <c r="A123" s="39">
        <v>4</v>
      </c>
      <c r="B123" s="327">
        <v>220040</v>
      </c>
      <c r="C123" s="23" t="s">
        <v>827</v>
      </c>
      <c r="D123" s="867"/>
      <c r="E123" s="1219"/>
      <c r="F123" s="867"/>
      <c r="G123" s="869"/>
      <c r="H123" s="863"/>
      <c r="I123" s="868"/>
      <c r="J123" s="870"/>
      <c r="K123" s="871"/>
      <c r="L123" s="872"/>
      <c r="M123" s="872"/>
      <c r="N123" s="925" t="str">
        <f>IF(O123&lt;&gt;0,CONCATENATE(input_values!$AF123,input_values!$AG123,input_values!$AH123),"")</f>
        <v/>
      </c>
      <c r="O123" s="491">
        <f>IF($A$10="Refined calculation mode",Table22[[#This Row],[input for chronic (refined mode]],Table22[[#This Row],[input for chronic normal mode]])</f>
        <v>0</v>
      </c>
      <c r="P123" s="925" t="str">
        <f>IF(Q123&lt;&gt;0,CONCATENATE(input_values!$AN123,input_values!$AO123,input_values!$AP123),"")</f>
        <v/>
      </c>
      <c r="Q123" s="491">
        <f>IF($V$5=0,0,IF(OR($A$10="Refined calculation mode",Results!$B$62="Show results of IESTI calculation only for crops with GAPs under assessment"),Table22[[#This Row],[Input for IESTI (refined mode)]],Table22[[#This Row],[Input for IESTI normal mode]]))</f>
        <v>0</v>
      </c>
      <c r="R123" s="926" t="str">
        <f>IF(S123&lt;&gt;0,CONCATENATE(input_values!$AW123,input_values!$AX123,input_values!$AY123),"")</f>
        <v/>
      </c>
      <c r="S123" s="492">
        <f>IF($V$5=0,0,IF(OR($A$10="Refined calculation mode",Results!$B$62="Show results of IESTI calculation only for crops with GAPs under assessment"),Table22[[#This Row],[Input for IESTI new (refined mode)]],Table22[[#This Row],[Input for IESTI new normal mode]]))</f>
        <v>0</v>
      </c>
      <c r="T123" s="886"/>
      <c r="U123" s="1408">
        <f>Table22[[#This Row],[MRL/ proposed MRL /CXL
(mg/kg)]]</f>
        <v>0</v>
      </c>
      <c r="V123" s="1409" t="str">
        <f>IF(ISBLANK(F123),"","Y")</f>
        <v/>
      </c>
      <c r="W123" s="1387">
        <f>IF($G123&gt;0,$G123,1)</f>
        <v>1</v>
      </c>
      <c r="X123" s="1387">
        <f>IF($H123&gt;0,$H123,1)</f>
        <v>1</v>
      </c>
      <c r="Y123" s="1387">
        <f>W123*X123</f>
        <v>1</v>
      </c>
      <c r="Z123" s="1410">
        <v>4</v>
      </c>
      <c r="AA123" s="1387">
        <f t="shared" si="42"/>
        <v>0</v>
      </c>
      <c r="AB123" s="1387">
        <f>IF(Z123=A123,IF(AND(L123="N",Table22[[#This Row],[LOQ_label]]="Y"),AA123,$AA123*$Y123),"")</f>
        <v>0</v>
      </c>
      <c r="AC123" s="1393">
        <f t="shared" si="43"/>
        <v>0</v>
      </c>
      <c r="AD123" s="1393">
        <f>IF(Table22[[#This Row],[Median residue*CF*PeF]]&lt;&gt;"",Table22[[#This Row],[Median residue*CF*PeF]],Table22[[#This Row],[MRL*CF*PeF (chronic)]])</f>
        <v>0</v>
      </c>
      <c r="AE123" s="1393">
        <f t="shared" si="44"/>
        <v>0</v>
      </c>
      <c r="AF123" s="1390" t="str">
        <f t="shared" si="45"/>
        <v>MRL</v>
      </c>
      <c r="AG123" s="1390" t="str">
        <f t="shared" si="46"/>
        <v/>
      </c>
      <c r="AH123" s="1394" t="str">
        <f t="shared" si="47"/>
        <v/>
      </c>
      <c r="AI123" s="1386">
        <v>4</v>
      </c>
      <c r="AJ123" s="1387">
        <f t="shared" si="48"/>
        <v>0</v>
      </c>
      <c r="AK123" s="1387">
        <f>IF(AI123=A123,IF(AND(L123="N",Table22[[#This Row],[LOQ_label]]="Y"),AJ123,$AJ123*$Y123),"")</f>
        <v>0</v>
      </c>
      <c r="AL123" s="1388">
        <f t="shared" si="49"/>
        <v>0</v>
      </c>
      <c r="AM123" s="1393">
        <f>IF(Table22[[#This Row],[Highest residue * CF*PF]]&lt;&gt;"",Table22[[#This Row],[Highest residue * CF*PF]],Table22[[#This Row],[MRL*CF*PF or MRL (if LOQ and not authorised) (acute RA)]])</f>
        <v>0</v>
      </c>
      <c r="AN123" s="1390" t="str">
        <f t="shared" si="50"/>
        <v>MRL</v>
      </c>
      <c r="AO123" s="1390" t="str">
        <f t="shared" si="51"/>
        <v/>
      </c>
      <c r="AP123" s="1404" t="str">
        <f t="shared" si="52"/>
        <v/>
      </c>
      <c r="AQ123" s="1388">
        <f t="shared" si="53"/>
        <v>0</v>
      </c>
      <c r="AR123" s="1388" t="str">
        <f t="shared" si="54"/>
        <v/>
      </c>
      <c r="AS123" s="1388" t="str">
        <f t="shared" si="55"/>
        <v/>
      </c>
      <c r="AT123" s="1388" t="str">
        <f t="shared" si="56"/>
        <v/>
      </c>
      <c r="AU123" s="1393">
        <f t="shared" si="57"/>
        <v>0</v>
      </c>
      <c r="AV123" s="1388">
        <f t="shared" si="58"/>
        <v>0</v>
      </c>
      <c r="AW123" s="1390" t="str">
        <f t="shared" si="59"/>
        <v/>
      </c>
      <c r="AX123" s="1390" t="str">
        <f>IF(AND(AW123&lt;&gt;"",AY123&lt;&gt;""),"*","")</f>
        <v/>
      </c>
      <c r="AY123" s="1394" t="str">
        <f t="shared" si="60"/>
        <v/>
      </c>
      <c r="AZ123" s="1395" t="str">
        <f>IF(Table22[[#This Row],[LOQ_label]]="Y",Table22[[#This Row],[MRL individual commodity]],"")</f>
        <v/>
      </c>
      <c r="BA123" s="1449" t="s">
        <v>654</v>
      </c>
      <c r="BB123" s="1411" t="str">
        <f>IF(Table22[[#This Row],[LOQ2]]&lt;0,MIN(AZ123:AZ410),"")</f>
        <v/>
      </c>
      <c r="BC123" s="1299"/>
      <c r="BD123" s="1306" t="str">
        <f>IF(Table22[[#This Row],[Chronic RA label]]="","N",IF(Table22[[#This Row],[Chronic RA label]]="LOQ","N",IF(Table22[[#This Row],[Chronic RA label]]="MRL","N","Y")))</f>
        <v>N</v>
      </c>
      <c r="BE123" s="1306" t="str">
        <f>IF(Table22[[#This Row],[Acute RA label]]="","N",IF(Table22[[#This Row],[Acute RA label]]="LOQ","N",IF(Table22[[#This Row],[Acute RA label]]="MRL","N","Y")))</f>
        <v>N</v>
      </c>
      <c r="BF123" s="1306" t="str">
        <f>IF(OR(Table22[[#This Row],[include commodity in Summary_input_values_chronic]]="Y",Table22[[#This Row],[include commodity in Summary_input_values_acute]]="Y"),"Y","N")</f>
        <v>N</v>
      </c>
      <c r="BG123" s="1299"/>
      <c r="BH123" s="1324"/>
    </row>
    <row r="124" spans="1:60" ht="12.75" customHeight="1" outlineLevel="3" x14ac:dyDescent="0.2">
      <c r="A124" s="39">
        <v>4</v>
      </c>
      <c r="B124" s="327">
        <v>220990</v>
      </c>
      <c r="C124" s="23" t="s">
        <v>165</v>
      </c>
      <c r="D124" s="867"/>
      <c r="E124" s="1219"/>
      <c r="F124" s="867"/>
      <c r="G124" s="868"/>
      <c r="H124" s="863"/>
      <c r="I124" s="868"/>
      <c r="J124" s="870"/>
      <c r="K124" s="865"/>
      <c r="L124" s="872"/>
      <c r="M124" s="872"/>
      <c r="N124" s="925" t="str">
        <f>IF(O124&lt;&gt;0,CONCATENATE(input_values!$AF124,input_values!$AG124,input_values!$AH124),"")</f>
        <v/>
      </c>
      <c r="O124" s="491">
        <f>IF($A$10="Refined calculation mode",Table22[[#This Row],[input for chronic (refined mode]],Table22[[#This Row],[input for chronic normal mode]])</f>
        <v>0</v>
      </c>
      <c r="P124" s="473"/>
      <c r="Q124" s="474"/>
      <c r="R124" s="473"/>
      <c r="S124" s="474"/>
      <c r="T124" s="886"/>
      <c r="U124" s="1408">
        <f>Table22[[#This Row],[MRL/ proposed MRL /CXL
(mg/kg)]]</f>
        <v>0</v>
      </c>
      <c r="V124" s="1409" t="str">
        <f>IF(ISBLANK(F124),"","Y")</f>
        <v/>
      </c>
      <c r="W124" s="1387">
        <f>IF($G124&gt;0,$G124,1)</f>
        <v>1</v>
      </c>
      <c r="X124" s="1387">
        <f>IF($H124&gt;0,$H124,1)</f>
        <v>1</v>
      </c>
      <c r="Y124" s="1387">
        <f>W124*X124</f>
        <v>1</v>
      </c>
      <c r="Z124" s="1410">
        <v>4</v>
      </c>
      <c r="AA124" s="1387">
        <f t="shared" si="42"/>
        <v>0</v>
      </c>
      <c r="AB124" s="1387">
        <f>IF(Z124=A124,IF(AND(L124="N",Table22[[#This Row],[LOQ_label]]="Y"),AA124,$AA124*$Y124),"")</f>
        <v>0</v>
      </c>
      <c r="AC124" s="1393">
        <f t="shared" si="43"/>
        <v>0</v>
      </c>
      <c r="AD124" s="1393">
        <f>IF(Table22[[#This Row],[Median residue*CF*PeF]]&lt;&gt;"",Table22[[#This Row],[Median residue*CF*PeF]],Table22[[#This Row],[MRL*CF*PeF (chronic)]])</f>
        <v>0</v>
      </c>
      <c r="AE124" s="1393">
        <f t="shared" si="44"/>
        <v>0</v>
      </c>
      <c r="AF124" s="1390" t="str">
        <f t="shared" si="45"/>
        <v>MRL</v>
      </c>
      <c r="AG124" s="1390" t="str">
        <f t="shared" si="46"/>
        <v/>
      </c>
      <c r="AH124" s="1394" t="str">
        <f t="shared" si="47"/>
        <v/>
      </c>
      <c r="AI124" s="1386"/>
      <c r="AJ124" s="1387" t="str">
        <f t="shared" si="48"/>
        <v/>
      </c>
      <c r="AK124" s="1387" t="str">
        <f>IF(AI124=A124,IF(AND(L124="N",Table22[[#This Row],[LOQ_label]]="Y"),AJ124,$AJ124*$Y124),"")</f>
        <v/>
      </c>
      <c r="AL124" s="1388" t="str">
        <f t="shared" si="49"/>
        <v/>
      </c>
      <c r="AM124" s="1393" t="str">
        <f>IF(Table22[[#This Row],[Highest residue * CF*PF]]&lt;&gt;"",Table22[[#This Row],[Highest residue * CF*PF]],Table22[[#This Row],[MRL*CF*PF or MRL (if LOQ and not authorised) (acute RA)]])</f>
        <v/>
      </c>
      <c r="AN124" s="1390" t="str">
        <f t="shared" si="50"/>
        <v/>
      </c>
      <c r="AO124" s="1390" t="str">
        <f t="shared" si="51"/>
        <v/>
      </c>
      <c r="AP124" s="1404" t="str">
        <f t="shared" si="52"/>
        <v/>
      </c>
      <c r="AQ124" s="1388">
        <f t="shared" si="53"/>
        <v>0</v>
      </c>
      <c r="AR124" s="1388" t="str">
        <f t="shared" si="54"/>
        <v/>
      </c>
      <c r="AS124" s="1388" t="str">
        <f t="shared" si="55"/>
        <v/>
      </c>
      <c r="AT124" s="1388" t="str">
        <f t="shared" si="56"/>
        <v/>
      </c>
      <c r="AU124" s="1393" t="str">
        <f t="shared" si="57"/>
        <v/>
      </c>
      <c r="AV124" s="1388">
        <f t="shared" si="58"/>
        <v>0</v>
      </c>
      <c r="AW124" s="1390" t="str">
        <f t="shared" si="59"/>
        <v/>
      </c>
      <c r="AX124" s="1390" t="str">
        <f>IF(AND(AN124&lt;&gt;"",AY124&lt;&gt;""),"*","")</f>
        <v/>
      </c>
      <c r="AY124" s="1394" t="str">
        <f t="shared" si="60"/>
        <v/>
      </c>
      <c r="AZ124" s="1395" t="str">
        <f>IF(Table22[[#This Row],[LOQ_label]]="Y",Table22[[#This Row],[MRL individual commodity]],"")</f>
        <v/>
      </c>
      <c r="BA124" s="1396" t="s">
        <v>1159</v>
      </c>
      <c r="BB124" s="1411" t="str">
        <f>IF(Table22[[#This Row],[LOQ2]]&lt;0,MIN(AZ124:AZ410),"")</f>
        <v/>
      </c>
      <c r="BC124" s="1299"/>
      <c r="BD124" s="1306" t="str">
        <f>IF(Table22[[#This Row],[Chronic RA label]]="","N",IF(Table22[[#This Row],[Chronic RA label]]="LOQ","N",IF(Table22[[#This Row],[Chronic RA label]]="MRL","N","Y")))</f>
        <v>N</v>
      </c>
      <c r="BE124" s="1306" t="str">
        <f>IF(Table22[[#This Row],[Acute RA label]]="","N",IF(Table22[[#This Row],[Acute RA label]]="LOQ","N",IF(Table22[[#This Row],[Acute RA label]]="MRL","N","Y")))</f>
        <v>N</v>
      </c>
      <c r="BF124" s="1306" t="str">
        <f>IF(OR(Table22[[#This Row],[include commodity in Summary_input_values_chronic]]="Y",Table22[[#This Row],[include commodity in Summary_input_values_acute]]="Y"),"Y","N")</f>
        <v>N</v>
      </c>
      <c r="BG124" s="1299"/>
      <c r="BH124" s="1324"/>
    </row>
    <row r="125" spans="1:60" ht="12.75" customHeight="1" outlineLevel="1" x14ac:dyDescent="0.2">
      <c r="A125" s="130">
        <v>2</v>
      </c>
      <c r="B125" s="447">
        <v>230000</v>
      </c>
      <c r="C125" s="131" t="s">
        <v>225</v>
      </c>
      <c r="D125" s="862"/>
      <c r="E125" s="1218"/>
      <c r="F125" s="862"/>
      <c r="G125" s="863"/>
      <c r="H125" s="863"/>
      <c r="I125" s="863"/>
      <c r="J125" s="864"/>
      <c r="K125" s="865"/>
      <c r="L125" s="471"/>
      <c r="M125" s="471"/>
      <c r="N125" s="473"/>
      <c r="O125" s="474"/>
      <c r="P125" s="473"/>
      <c r="Q125" s="474"/>
      <c r="R125" s="473"/>
      <c r="S125" s="474"/>
      <c r="T125" s="886"/>
      <c r="U125" s="1415"/>
      <c r="V125" s="1380"/>
      <c r="W125" s="1381"/>
      <c r="X125" s="1381"/>
      <c r="Y125" s="1381"/>
      <c r="Z125" s="1382">
        <v>4</v>
      </c>
      <c r="AA125" s="1381" t="str">
        <f t="shared" si="42"/>
        <v/>
      </c>
      <c r="AB125" s="1381" t="str">
        <f>IF(Z125=A125,IF(AND(L125="N",Table22[[#This Row],[LOQ_label]]="Y"),AA125,$AA125*$Y125),"")</f>
        <v/>
      </c>
      <c r="AC125" s="1383" t="str">
        <f t="shared" si="43"/>
        <v/>
      </c>
      <c r="AD125" s="1383" t="str">
        <f>IF(Table22[[#This Row],[Median residue*CF*PeF]]&lt;&gt;"",Table22[[#This Row],[Median residue*CF*PeF]],Table22[[#This Row],[MRL*CF*PeF (chronic)]])</f>
        <v/>
      </c>
      <c r="AE125" s="1384">
        <f t="shared" si="44"/>
        <v>0</v>
      </c>
      <c r="AF125" s="1385" t="str">
        <f t="shared" si="45"/>
        <v/>
      </c>
      <c r="AG125" s="1385" t="str">
        <f t="shared" si="46"/>
        <v/>
      </c>
      <c r="AH125" s="1270" t="str">
        <f t="shared" si="47"/>
        <v/>
      </c>
      <c r="AI125" s="1386">
        <v>4</v>
      </c>
      <c r="AJ125" s="1387" t="str">
        <f t="shared" si="48"/>
        <v/>
      </c>
      <c r="AK125" s="1387" t="str">
        <f>IF(AI125=A125,IF(AND(L125="N",Table22[[#This Row],[LOQ_label]]="Y"),AJ125,$AJ125*$Y125),"")</f>
        <v/>
      </c>
      <c r="AL125" s="1388" t="str">
        <f t="shared" si="49"/>
        <v/>
      </c>
      <c r="AM125" s="1393" t="str">
        <f>IF(Table22[[#This Row],[Highest residue * CF*PF]]&lt;&gt;"",Table22[[#This Row],[Highest residue * CF*PF]],Table22[[#This Row],[MRL*CF*PF or MRL (if LOQ and not authorised) (acute RA)]])</f>
        <v/>
      </c>
      <c r="AN125" s="1390" t="str">
        <f t="shared" si="50"/>
        <v/>
      </c>
      <c r="AO125" s="1390" t="str">
        <f t="shared" si="51"/>
        <v/>
      </c>
      <c r="AP125" s="1404" t="str">
        <f t="shared" si="52"/>
        <v/>
      </c>
      <c r="AQ125" s="1388">
        <f t="shared" si="53"/>
        <v>0</v>
      </c>
      <c r="AR125" s="1388" t="str">
        <f t="shared" si="54"/>
        <v/>
      </c>
      <c r="AS125" s="1388" t="str">
        <f t="shared" si="55"/>
        <v/>
      </c>
      <c r="AT125" s="1388" t="str">
        <f t="shared" si="56"/>
        <v/>
      </c>
      <c r="AU125" s="1393" t="str">
        <f t="shared" si="57"/>
        <v/>
      </c>
      <c r="AV125" s="1388">
        <f t="shared" si="58"/>
        <v>0</v>
      </c>
      <c r="AW125" s="1390" t="str">
        <f t="shared" si="59"/>
        <v/>
      </c>
      <c r="AX125" s="1390" t="str">
        <f>IF(AND(AN125&lt;&gt;"",AY125&lt;&gt;""),"*","")</f>
        <v/>
      </c>
      <c r="AY125" s="1394" t="str">
        <f t="shared" si="60"/>
        <v/>
      </c>
      <c r="AZ125" s="1395">
        <f>IF(Table22[[#This Row],[LOQ_label]]="Y",Table22[[#This Row],[MRL individual commodity]],"")</f>
        <v>0</v>
      </c>
      <c r="BA125" s="1396" t="s">
        <v>1159</v>
      </c>
      <c r="BB125" s="1411" t="str">
        <f>IF(Table22[[#This Row],[LOQ2]]&lt;0,MIN(AZ125:AZ410),"")</f>
        <v/>
      </c>
      <c r="BC125" s="1299"/>
      <c r="BD125" s="1306" t="str">
        <f>IF(Table22[[#This Row],[Chronic RA label]]="","N",IF(Table22[[#This Row],[Chronic RA label]]="LOQ","N",IF(Table22[[#This Row],[Chronic RA label]]="MRL","N","Y")))</f>
        <v>N</v>
      </c>
      <c r="BE125" s="1306" t="str">
        <f>IF(Table22[[#This Row],[Acute RA label]]="","N",IF(Table22[[#This Row],[Acute RA label]]="LOQ","N",IF(Table22[[#This Row],[Acute RA label]]="MRL","N","Y")))</f>
        <v>N</v>
      </c>
      <c r="BF125" s="1306" t="str">
        <f>IF(OR(Table22[[#This Row],[include commodity in Summary_input_values_chronic]]="Y",Table22[[#This Row],[include commodity in Summary_input_values_acute]]="Y"),"Y","N")</f>
        <v>N</v>
      </c>
      <c r="BG125" s="1299"/>
      <c r="BH125" s="1324"/>
    </row>
    <row r="126" spans="1:60" ht="12.75" customHeight="1" outlineLevel="2" x14ac:dyDescent="0.2">
      <c r="A126" s="132">
        <v>3</v>
      </c>
      <c r="B126" s="448">
        <v>231000</v>
      </c>
      <c r="C126" s="3" t="s">
        <v>226</v>
      </c>
      <c r="D126" s="862"/>
      <c r="E126" s="1218"/>
      <c r="F126" s="862"/>
      <c r="G126" s="866"/>
      <c r="H126" s="863"/>
      <c r="I126" s="863"/>
      <c r="J126" s="864"/>
      <c r="K126" s="865"/>
      <c r="L126" s="471"/>
      <c r="M126" s="471"/>
      <c r="N126" s="473"/>
      <c r="O126" s="474"/>
      <c r="P126" s="473"/>
      <c r="Q126" s="474"/>
      <c r="R126" s="473"/>
      <c r="S126" s="474"/>
      <c r="T126" s="886"/>
      <c r="U126" s="1415"/>
      <c r="V126" s="1380"/>
      <c r="W126" s="1381"/>
      <c r="X126" s="1381"/>
      <c r="Y126" s="1381"/>
      <c r="Z126" s="1382">
        <v>4</v>
      </c>
      <c r="AA126" s="1381" t="str">
        <f t="shared" si="42"/>
        <v/>
      </c>
      <c r="AB126" s="1381" t="str">
        <f>IF(Z126=A126,IF(AND(L126="N",Table22[[#This Row],[LOQ_label]]="Y"),AA126,$AA126*$Y126),"")</f>
        <v/>
      </c>
      <c r="AC126" s="1383" t="str">
        <f t="shared" si="43"/>
        <v/>
      </c>
      <c r="AD126" s="1383" t="str">
        <f>IF(Table22[[#This Row],[Median residue*CF*PeF]]&lt;&gt;"",Table22[[#This Row],[Median residue*CF*PeF]],Table22[[#This Row],[MRL*CF*PeF (chronic)]])</f>
        <v/>
      </c>
      <c r="AE126" s="1384">
        <f t="shared" si="44"/>
        <v>0</v>
      </c>
      <c r="AF126" s="1385" t="str">
        <f t="shared" si="45"/>
        <v/>
      </c>
      <c r="AG126" s="1385" t="str">
        <f t="shared" si="46"/>
        <v/>
      </c>
      <c r="AH126" s="1270" t="str">
        <f t="shared" si="47"/>
        <v/>
      </c>
      <c r="AI126" s="1386">
        <v>4</v>
      </c>
      <c r="AJ126" s="1387" t="str">
        <f t="shared" si="48"/>
        <v/>
      </c>
      <c r="AK126" s="1387" t="str">
        <f>IF(AI126=A126,IF(AND(L126="N",Table22[[#This Row],[LOQ_label]]="Y"),AJ126,$AJ126*$Y126),"")</f>
        <v/>
      </c>
      <c r="AL126" s="1388" t="str">
        <f t="shared" si="49"/>
        <v/>
      </c>
      <c r="AM126" s="1393" t="str">
        <f>IF(Table22[[#This Row],[Highest residue * CF*PF]]&lt;&gt;"",Table22[[#This Row],[Highest residue * CF*PF]],Table22[[#This Row],[MRL*CF*PF or MRL (if LOQ and not authorised) (acute RA)]])</f>
        <v/>
      </c>
      <c r="AN126" s="1390" t="str">
        <f t="shared" si="50"/>
        <v/>
      </c>
      <c r="AO126" s="1390" t="str">
        <f t="shared" si="51"/>
        <v/>
      </c>
      <c r="AP126" s="1404" t="str">
        <f t="shared" si="52"/>
        <v/>
      </c>
      <c r="AQ126" s="1388">
        <f t="shared" si="53"/>
        <v>0</v>
      </c>
      <c r="AR126" s="1388" t="str">
        <f t="shared" si="54"/>
        <v/>
      </c>
      <c r="AS126" s="1388" t="str">
        <f t="shared" si="55"/>
        <v/>
      </c>
      <c r="AT126" s="1388" t="str">
        <f t="shared" si="56"/>
        <v/>
      </c>
      <c r="AU126" s="1393" t="str">
        <f t="shared" si="57"/>
        <v/>
      </c>
      <c r="AV126" s="1388">
        <f t="shared" si="58"/>
        <v>0</v>
      </c>
      <c r="AW126" s="1390" t="str">
        <f t="shared" si="59"/>
        <v/>
      </c>
      <c r="AX126" s="1390" t="str">
        <f>IF(AND(AN126&lt;&gt;"",AY126&lt;&gt;""),"*","")</f>
        <v/>
      </c>
      <c r="AY126" s="1394" t="str">
        <f t="shared" si="60"/>
        <v/>
      </c>
      <c r="AZ126" s="1395">
        <f>IF(Table22[[#This Row],[LOQ_label]]="Y",Table22[[#This Row],[MRL individual commodity]],"")</f>
        <v>0</v>
      </c>
      <c r="BA126" s="1396" t="s">
        <v>1159</v>
      </c>
      <c r="BB126" s="1411" t="str">
        <f>IF(Table22[[#This Row],[LOQ2]]&lt;0,MIN(AZ126:AZ410),"")</f>
        <v/>
      </c>
      <c r="BC126" s="1299"/>
      <c r="BD126" s="1306" t="str">
        <f>IF(Table22[[#This Row],[Chronic RA label]]="","N",IF(Table22[[#This Row],[Chronic RA label]]="LOQ","N",IF(Table22[[#This Row],[Chronic RA label]]="MRL","N","Y")))</f>
        <v>N</v>
      </c>
      <c r="BE126" s="1306" t="str">
        <f>IF(Table22[[#This Row],[Acute RA label]]="","N",IF(Table22[[#This Row],[Acute RA label]]="LOQ","N",IF(Table22[[#This Row],[Acute RA label]]="MRL","N","Y")))</f>
        <v>N</v>
      </c>
      <c r="BF126" s="1306" t="str">
        <f>IF(OR(Table22[[#This Row],[include commodity in Summary_input_values_chronic]]="Y",Table22[[#This Row],[include commodity in Summary_input_values_acute]]="Y"),"Y","N")</f>
        <v>N</v>
      </c>
      <c r="BG126" s="1299"/>
      <c r="BH126" s="1324"/>
    </row>
    <row r="127" spans="1:60" ht="12.75" customHeight="1" outlineLevel="3" x14ac:dyDescent="0.2">
      <c r="A127" s="39">
        <v>4</v>
      </c>
      <c r="B127" s="327">
        <v>231010</v>
      </c>
      <c r="C127" s="23" t="s">
        <v>210</v>
      </c>
      <c r="D127" s="867"/>
      <c r="E127" s="1219"/>
      <c r="F127" s="867"/>
      <c r="G127" s="869"/>
      <c r="H127" s="863"/>
      <c r="I127" s="868"/>
      <c r="J127" s="870"/>
      <c r="K127" s="871"/>
      <c r="L127" s="872"/>
      <c r="M127" s="872"/>
      <c r="N127" s="925" t="str">
        <f>IF(O127&lt;&gt;0,CONCATENATE(input_values!$AF127,input_values!$AG127,input_values!$AH127),"")</f>
        <v/>
      </c>
      <c r="O127" s="491">
        <f>IF($A$10="Refined calculation mode",Table22[[#This Row],[input for chronic (refined mode]],Table22[[#This Row],[input for chronic normal mode]])</f>
        <v>0</v>
      </c>
      <c r="P127" s="925" t="str">
        <f>IF(Q127&lt;&gt;0,CONCATENATE(input_values!$AN127,input_values!$AO127,input_values!$AP127),"")</f>
        <v/>
      </c>
      <c r="Q127" s="491">
        <f>IF($V$5=0,0,IF(OR($A$10="Refined calculation mode",Results!$B$62="Show results of IESTI calculation only for crops with GAPs under assessment"),Table22[[#This Row],[Input for IESTI (refined mode)]],Table22[[#This Row],[Input for IESTI normal mode]]))</f>
        <v>0</v>
      </c>
      <c r="R127" s="926" t="str">
        <f>IF(S127&lt;&gt;0,CONCATENATE(input_values!$AW127,input_values!$AX127,input_values!$AY127),"")</f>
        <v/>
      </c>
      <c r="S127" s="492">
        <f>IF($V$5=0,0,IF(OR($A$10="Refined calculation mode",Results!$B$62="Show results of IESTI calculation only for crops with GAPs under assessment"),Table22[[#This Row],[Input for IESTI new (refined mode)]],Table22[[#This Row],[Input for IESTI new normal mode]]))</f>
        <v>0</v>
      </c>
      <c r="T127" s="886"/>
      <c r="U127" s="1408">
        <f>Table22[[#This Row],[MRL/ proposed MRL /CXL
(mg/kg)]]</f>
        <v>0</v>
      </c>
      <c r="V127" s="1409" t="str">
        <f>IF(ISBLANK(F127),"","Y")</f>
        <v/>
      </c>
      <c r="W127" s="1387">
        <f>IF($G127&gt;0,$G127,1)</f>
        <v>1</v>
      </c>
      <c r="X127" s="1387">
        <f>IF($H127&gt;0,$H127,1)</f>
        <v>1</v>
      </c>
      <c r="Y127" s="1387">
        <f>W127*X127</f>
        <v>1</v>
      </c>
      <c r="Z127" s="1410">
        <v>4</v>
      </c>
      <c r="AA127" s="1387">
        <f t="shared" si="42"/>
        <v>0</v>
      </c>
      <c r="AB127" s="1387">
        <f>IF(Z127=A127,IF(AND(L127="N",Table22[[#This Row],[LOQ_label]]="Y"),AA127,$AA127*$Y127),"")</f>
        <v>0</v>
      </c>
      <c r="AC127" s="1393">
        <f t="shared" si="43"/>
        <v>0</v>
      </c>
      <c r="AD127" s="1393">
        <f>IF(Table22[[#This Row],[Median residue*CF*PeF]]&lt;&gt;"",Table22[[#This Row],[Median residue*CF*PeF]],Table22[[#This Row],[MRL*CF*PeF (chronic)]])</f>
        <v>0</v>
      </c>
      <c r="AE127" s="1393">
        <f t="shared" si="44"/>
        <v>0</v>
      </c>
      <c r="AF127" s="1390" t="str">
        <f t="shared" si="45"/>
        <v>MRL</v>
      </c>
      <c r="AG127" s="1390" t="str">
        <f t="shared" si="46"/>
        <v/>
      </c>
      <c r="AH127" s="1394" t="str">
        <f t="shared" si="47"/>
        <v/>
      </c>
      <c r="AI127" s="1386">
        <v>4</v>
      </c>
      <c r="AJ127" s="1387">
        <f t="shared" si="48"/>
        <v>0</v>
      </c>
      <c r="AK127" s="1387">
        <f>IF(AI127=A127,IF(AND(L127="N",Table22[[#This Row],[LOQ_label]]="Y"),AJ127,$AJ127*$Y127),"")</f>
        <v>0</v>
      </c>
      <c r="AL127" s="1388">
        <f t="shared" si="49"/>
        <v>0</v>
      </c>
      <c r="AM127" s="1393">
        <f>IF(Table22[[#This Row],[Highest residue * CF*PF]]&lt;&gt;"",Table22[[#This Row],[Highest residue * CF*PF]],Table22[[#This Row],[MRL*CF*PF or MRL (if LOQ and not authorised) (acute RA)]])</f>
        <v>0</v>
      </c>
      <c r="AN127" s="1390" t="str">
        <f t="shared" si="50"/>
        <v>MRL</v>
      </c>
      <c r="AO127" s="1390" t="str">
        <f t="shared" si="51"/>
        <v/>
      </c>
      <c r="AP127" s="1404" t="str">
        <f t="shared" si="52"/>
        <v/>
      </c>
      <c r="AQ127" s="1388">
        <f t="shared" si="53"/>
        <v>0</v>
      </c>
      <c r="AR127" s="1388" t="str">
        <f t="shared" si="54"/>
        <v/>
      </c>
      <c r="AS127" s="1388" t="str">
        <f t="shared" si="55"/>
        <v/>
      </c>
      <c r="AT127" s="1388" t="str">
        <f t="shared" si="56"/>
        <v/>
      </c>
      <c r="AU127" s="1393">
        <f t="shared" si="57"/>
        <v>0</v>
      </c>
      <c r="AV127" s="1388">
        <f t="shared" si="58"/>
        <v>0</v>
      </c>
      <c r="AW127" s="1390" t="str">
        <f t="shared" si="59"/>
        <v/>
      </c>
      <c r="AX127" s="1390" t="str">
        <f>IF(AND(AW127&lt;&gt;"",AY127&lt;&gt;""),"*","")</f>
        <v/>
      </c>
      <c r="AY127" s="1394" t="str">
        <f t="shared" si="60"/>
        <v/>
      </c>
      <c r="AZ127" s="1395" t="str">
        <f>IF(Table22[[#This Row],[LOQ_label]]="Y",Table22[[#This Row],[MRL individual commodity]],"")</f>
        <v/>
      </c>
      <c r="BA127" s="1449" t="s">
        <v>654</v>
      </c>
      <c r="BB127" s="1411" t="str">
        <f>IF(Table22[[#This Row],[LOQ2]]&lt;0,MIN(AZ127:AZ410),"")</f>
        <v/>
      </c>
      <c r="BC127" s="1299"/>
      <c r="BD127" s="1306" t="str">
        <f>IF(Table22[[#This Row],[Chronic RA label]]="","N",IF(Table22[[#This Row],[Chronic RA label]]="LOQ","N",IF(Table22[[#This Row],[Chronic RA label]]="MRL","N","Y")))</f>
        <v>N</v>
      </c>
      <c r="BE127" s="1306" t="str">
        <f>IF(Table22[[#This Row],[Acute RA label]]="","N",IF(Table22[[#This Row],[Acute RA label]]="LOQ","N",IF(Table22[[#This Row],[Acute RA label]]="MRL","N","Y")))</f>
        <v>N</v>
      </c>
      <c r="BF127" s="1306" t="str">
        <f>IF(OR(Table22[[#This Row],[include commodity in Summary_input_values_chronic]]="Y",Table22[[#This Row],[include commodity in Summary_input_values_acute]]="Y"),"Y","N")</f>
        <v>N</v>
      </c>
      <c r="BG127" s="1299"/>
      <c r="BH127" s="1324"/>
    </row>
    <row r="128" spans="1:60" ht="12.75" customHeight="1" outlineLevel="3" x14ac:dyDescent="0.2">
      <c r="A128" s="39">
        <v>4</v>
      </c>
      <c r="B128" s="327">
        <v>231020</v>
      </c>
      <c r="C128" s="23" t="s">
        <v>713</v>
      </c>
      <c r="D128" s="867"/>
      <c r="E128" s="1219"/>
      <c r="F128" s="867"/>
      <c r="G128" s="869"/>
      <c r="H128" s="863"/>
      <c r="I128" s="868"/>
      <c r="J128" s="870"/>
      <c r="K128" s="871"/>
      <c r="L128" s="872"/>
      <c r="M128" s="872"/>
      <c r="N128" s="925" t="str">
        <f>IF(O128&lt;&gt;0,CONCATENATE(input_values!$AF128,input_values!$AG128,input_values!$AH128),"")</f>
        <v/>
      </c>
      <c r="O128" s="491">
        <f>IF($A$10="Refined calculation mode",Table22[[#This Row],[input for chronic (refined mode]],Table22[[#This Row],[input for chronic normal mode]])</f>
        <v>0</v>
      </c>
      <c r="P128" s="925" t="str">
        <f>IF(Q128&lt;&gt;0,CONCATENATE(input_values!$AN128,input_values!$AO128,input_values!$AP128),"")</f>
        <v/>
      </c>
      <c r="Q128" s="491">
        <f>IF($V$5=0,0,IF(OR($A$10="Refined calculation mode",Results!$B$62="Show results of IESTI calculation only for crops with GAPs under assessment"),Table22[[#This Row],[Input for IESTI (refined mode)]],Table22[[#This Row],[Input for IESTI normal mode]]))</f>
        <v>0</v>
      </c>
      <c r="R128" s="926" t="str">
        <f>IF(S128&lt;&gt;0,CONCATENATE(input_values!$AW128,input_values!$AX128,input_values!$AY128),"")</f>
        <v/>
      </c>
      <c r="S128" s="492">
        <f>IF($V$5=0,0,IF(OR($A$10="Refined calculation mode",Results!$B$62="Show results of IESTI calculation only for crops with GAPs under assessment"),Table22[[#This Row],[Input for IESTI new (refined mode)]],Table22[[#This Row],[Input for IESTI new normal mode]]))</f>
        <v>0</v>
      </c>
      <c r="T128" s="886"/>
      <c r="U128" s="1408">
        <f>Table22[[#This Row],[MRL/ proposed MRL /CXL
(mg/kg)]]</f>
        <v>0</v>
      </c>
      <c r="V128" s="1409" t="str">
        <f>IF(ISBLANK(F128),"","Y")</f>
        <v/>
      </c>
      <c r="W128" s="1387">
        <f>IF($G128&gt;0,$G128,1)</f>
        <v>1</v>
      </c>
      <c r="X128" s="1387">
        <f>IF($H128&gt;0,$H128,1)</f>
        <v>1</v>
      </c>
      <c r="Y128" s="1387">
        <f>W128*X128</f>
        <v>1</v>
      </c>
      <c r="Z128" s="1410">
        <v>4</v>
      </c>
      <c r="AA128" s="1387">
        <f t="shared" si="42"/>
        <v>0</v>
      </c>
      <c r="AB128" s="1387">
        <f>IF(Z128=A128,IF(AND(L128="N",Table22[[#This Row],[LOQ_label]]="Y"),AA128,$AA128*$Y128),"")</f>
        <v>0</v>
      </c>
      <c r="AC128" s="1393">
        <f t="shared" si="43"/>
        <v>0</v>
      </c>
      <c r="AD128" s="1393">
        <f>IF(Table22[[#This Row],[Median residue*CF*PeF]]&lt;&gt;"",Table22[[#This Row],[Median residue*CF*PeF]],Table22[[#This Row],[MRL*CF*PeF (chronic)]])</f>
        <v>0</v>
      </c>
      <c r="AE128" s="1393">
        <f t="shared" si="44"/>
        <v>0</v>
      </c>
      <c r="AF128" s="1390" t="str">
        <f t="shared" si="45"/>
        <v>MRL</v>
      </c>
      <c r="AG128" s="1390" t="str">
        <f t="shared" si="46"/>
        <v/>
      </c>
      <c r="AH128" s="1394" t="str">
        <f t="shared" si="47"/>
        <v/>
      </c>
      <c r="AI128" s="1386">
        <v>4</v>
      </c>
      <c r="AJ128" s="1387">
        <f t="shared" si="48"/>
        <v>0</v>
      </c>
      <c r="AK128" s="1387">
        <f>IF(AI128=A128,IF(AND(L128="N",Table22[[#This Row],[LOQ_label]]="Y"),AJ128,$AJ128*$Y128),"")</f>
        <v>0</v>
      </c>
      <c r="AL128" s="1388">
        <f t="shared" si="49"/>
        <v>0</v>
      </c>
      <c r="AM128" s="1393">
        <f>IF(Table22[[#This Row],[Highest residue * CF*PF]]&lt;&gt;"",Table22[[#This Row],[Highest residue * CF*PF]],Table22[[#This Row],[MRL*CF*PF or MRL (if LOQ and not authorised) (acute RA)]])</f>
        <v>0</v>
      </c>
      <c r="AN128" s="1390" t="str">
        <f t="shared" si="50"/>
        <v>MRL</v>
      </c>
      <c r="AO128" s="1390" t="str">
        <f t="shared" si="51"/>
        <v/>
      </c>
      <c r="AP128" s="1404" t="str">
        <f t="shared" si="52"/>
        <v/>
      </c>
      <c r="AQ128" s="1388">
        <f t="shared" si="53"/>
        <v>0</v>
      </c>
      <c r="AR128" s="1388" t="str">
        <f t="shared" si="54"/>
        <v/>
      </c>
      <c r="AS128" s="1388" t="str">
        <f t="shared" si="55"/>
        <v/>
      </c>
      <c r="AT128" s="1388" t="str">
        <f t="shared" si="56"/>
        <v/>
      </c>
      <c r="AU128" s="1393">
        <f t="shared" si="57"/>
        <v>0</v>
      </c>
      <c r="AV128" s="1388">
        <f t="shared" si="58"/>
        <v>0</v>
      </c>
      <c r="AW128" s="1390" t="str">
        <f t="shared" si="59"/>
        <v/>
      </c>
      <c r="AX128" s="1390" t="str">
        <f>IF(AND(AW128&lt;&gt;"",AY128&lt;&gt;""),"*","")</f>
        <v/>
      </c>
      <c r="AY128" s="1394" t="str">
        <f t="shared" si="60"/>
        <v/>
      </c>
      <c r="AZ128" s="1395" t="str">
        <f>IF(Table22[[#This Row],[LOQ_label]]="Y",Table22[[#This Row],[MRL individual commodity]],"")</f>
        <v/>
      </c>
      <c r="BA128" s="1449" t="s">
        <v>654</v>
      </c>
      <c r="BB128" s="1411" t="str">
        <f>IF(Table22[[#This Row],[LOQ2]]&lt;0,MIN(AZ128:AZ410),"")</f>
        <v/>
      </c>
      <c r="BC128" s="1299"/>
      <c r="BD128" s="1306" t="str">
        <f>IF(Table22[[#This Row],[Chronic RA label]]="","N",IF(Table22[[#This Row],[Chronic RA label]]="LOQ","N",IF(Table22[[#This Row],[Chronic RA label]]="MRL","N","Y")))</f>
        <v>N</v>
      </c>
      <c r="BE128" s="1306" t="str">
        <f>IF(Table22[[#This Row],[Acute RA label]]="","N",IF(Table22[[#This Row],[Acute RA label]]="LOQ","N",IF(Table22[[#This Row],[Acute RA label]]="MRL","N","Y")))</f>
        <v>N</v>
      </c>
      <c r="BF128" s="1306" t="str">
        <f>IF(OR(Table22[[#This Row],[include commodity in Summary_input_values_chronic]]="Y",Table22[[#This Row],[include commodity in Summary_input_values_acute]]="Y"),"Y","N")</f>
        <v>N</v>
      </c>
      <c r="BG128" s="1299"/>
      <c r="BH128" s="1324"/>
    </row>
    <row r="129" spans="1:60" ht="12.75" customHeight="1" outlineLevel="3" x14ac:dyDescent="0.2">
      <c r="A129" s="39">
        <v>4</v>
      </c>
      <c r="B129" s="327">
        <v>231030</v>
      </c>
      <c r="C129" s="23" t="s">
        <v>1055</v>
      </c>
      <c r="D129" s="867"/>
      <c r="E129" s="1219"/>
      <c r="F129" s="867"/>
      <c r="G129" s="869"/>
      <c r="H129" s="863"/>
      <c r="I129" s="868"/>
      <c r="J129" s="870"/>
      <c r="K129" s="871"/>
      <c r="L129" s="872"/>
      <c r="M129" s="872"/>
      <c r="N129" s="925" t="str">
        <f>IF(O129&lt;&gt;0,CONCATENATE(input_values!$AF129,input_values!$AG129,input_values!$AH129),"")</f>
        <v/>
      </c>
      <c r="O129" s="491">
        <f>IF($A$10="Refined calculation mode",Table22[[#This Row],[input for chronic (refined mode]],Table22[[#This Row],[input for chronic normal mode]])</f>
        <v>0</v>
      </c>
      <c r="P129" s="925" t="str">
        <f>IF(Q129&lt;&gt;0,CONCATENATE(input_values!$AN129,input_values!$AO129,input_values!$AP129),"")</f>
        <v/>
      </c>
      <c r="Q129" s="491">
        <f>IF($V$5=0,0,IF(OR($A$10="Refined calculation mode",Results!$B$62="Show results of IESTI calculation only for crops with GAPs under assessment"),Table22[[#This Row],[Input for IESTI (refined mode)]],Table22[[#This Row],[Input for IESTI normal mode]]))</f>
        <v>0</v>
      </c>
      <c r="R129" s="926" t="str">
        <f>IF(S129&lt;&gt;0,CONCATENATE(input_values!$AW129,input_values!$AX129,input_values!$AY129),"")</f>
        <v/>
      </c>
      <c r="S129" s="492">
        <f>IF($V$5=0,0,IF(OR($A$10="Refined calculation mode",Results!$B$62="Show results of IESTI calculation only for crops with GAPs under assessment"),Table22[[#This Row],[Input for IESTI new (refined mode)]],Table22[[#This Row],[Input for IESTI new normal mode]]))</f>
        <v>0</v>
      </c>
      <c r="T129" s="886"/>
      <c r="U129" s="1408">
        <f>Table22[[#This Row],[MRL/ proposed MRL /CXL
(mg/kg)]]</f>
        <v>0</v>
      </c>
      <c r="V129" s="1409" t="str">
        <f>IF(ISBLANK(F129),"","Y")</f>
        <v/>
      </c>
      <c r="W129" s="1387">
        <f>IF($G129&gt;0,$G129,1)</f>
        <v>1</v>
      </c>
      <c r="X129" s="1387">
        <f>IF($H129&gt;0,$H129,1)</f>
        <v>1</v>
      </c>
      <c r="Y129" s="1387">
        <f>W129*X129</f>
        <v>1</v>
      </c>
      <c r="Z129" s="1410">
        <v>4</v>
      </c>
      <c r="AA129" s="1387">
        <f t="shared" si="42"/>
        <v>0</v>
      </c>
      <c r="AB129" s="1387">
        <f>IF(Z129=A129,IF(AND(L129="N",Table22[[#This Row],[LOQ_label]]="Y"),AA129,$AA129*$Y129),"")</f>
        <v>0</v>
      </c>
      <c r="AC129" s="1393">
        <f t="shared" si="43"/>
        <v>0</v>
      </c>
      <c r="AD129" s="1393">
        <f>IF(Table22[[#This Row],[Median residue*CF*PeF]]&lt;&gt;"",Table22[[#This Row],[Median residue*CF*PeF]],Table22[[#This Row],[MRL*CF*PeF (chronic)]])</f>
        <v>0</v>
      </c>
      <c r="AE129" s="1393">
        <f t="shared" si="44"/>
        <v>0</v>
      </c>
      <c r="AF129" s="1390" t="str">
        <f t="shared" si="45"/>
        <v>MRL</v>
      </c>
      <c r="AG129" s="1390" t="str">
        <f t="shared" si="46"/>
        <v/>
      </c>
      <c r="AH129" s="1394" t="str">
        <f t="shared" si="47"/>
        <v/>
      </c>
      <c r="AI129" s="1386">
        <v>4</v>
      </c>
      <c r="AJ129" s="1387">
        <f t="shared" si="48"/>
        <v>0</v>
      </c>
      <c r="AK129" s="1387">
        <f>IF(AI129=A129,IF(AND(L129="N",Table22[[#This Row],[LOQ_label]]="Y"),AJ129,$AJ129*$Y129),"")</f>
        <v>0</v>
      </c>
      <c r="AL129" s="1388">
        <f t="shared" si="49"/>
        <v>0</v>
      </c>
      <c r="AM129" s="1393">
        <f>IF(Table22[[#This Row],[Highest residue * CF*PF]]&lt;&gt;"",Table22[[#This Row],[Highest residue * CF*PF]],Table22[[#This Row],[MRL*CF*PF or MRL (if LOQ and not authorised) (acute RA)]])</f>
        <v>0</v>
      </c>
      <c r="AN129" s="1390" t="str">
        <f t="shared" si="50"/>
        <v>MRL</v>
      </c>
      <c r="AO129" s="1390" t="str">
        <f t="shared" si="51"/>
        <v/>
      </c>
      <c r="AP129" s="1404" t="str">
        <f t="shared" si="52"/>
        <v/>
      </c>
      <c r="AQ129" s="1388">
        <f t="shared" si="53"/>
        <v>0</v>
      </c>
      <c r="AR129" s="1388" t="str">
        <f t="shared" si="54"/>
        <v/>
      </c>
      <c r="AS129" s="1388" t="str">
        <f t="shared" si="55"/>
        <v/>
      </c>
      <c r="AT129" s="1388" t="str">
        <f t="shared" si="56"/>
        <v/>
      </c>
      <c r="AU129" s="1393">
        <f t="shared" si="57"/>
        <v>0</v>
      </c>
      <c r="AV129" s="1388">
        <f t="shared" si="58"/>
        <v>0</v>
      </c>
      <c r="AW129" s="1390" t="str">
        <f t="shared" si="59"/>
        <v/>
      </c>
      <c r="AX129" s="1390" t="str">
        <f>IF(AND(AW129&lt;&gt;"",AY129&lt;&gt;""),"*","")</f>
        <v/>
      </c>
      <c r="AY129" s="1394" t="str">
        <f t="shared" si="60"/>
        <v/>
      </c>
      <c r="AZ129" s="1395" t="str">
        <f>IF(Table22[[#This Row],[LOQ_label]]="Y",Table22[[#This Row],[MRL individual commodity]],"")</f>
        <v/>
      </c>
      <c r="BA129" s="1449" t="s">
        <v>654</v>
      </c>
      <c r="BB129" s="1411" t="str">
        <f>IF(Table22[[#This Row],[LOQ2]]&lt;0,MIN(AZ129:AZ410),"")</f>
        <v/>
      </c>
      <c r="BC129" s="1299"/>
      <c r="BD129" s="1306" t="str">
        <f>IF(Table22[[#This Row],[Chronic RA label]]="","N",IF(Table22[[#This Row],[Chronic RA label]]="LOQ","N",IF(Table22[[#This Row],[Chronic RA label]]="MRL","N","Y")))</f>
        <v>N</v>
      </c>
      <c r="BE129" s="1306" t="str">
        <f>IF(Table22[[#This Row],[Acute RA label]]="","N",IF(Table22[[#This Row],[Acute RA label]]="LOQ","N",IF(Table22[[#This Row],[Acute RA label]]="MRL","N","Y")))</f>
        <v>N</v>
      </c>
      <c r="BF129" s="1306" t="str">
        <f>IF(OR(Table22[[#This Row],[include commodity in Summary_input_values_chronic]]="Y",Table22[[#This Row],[include commodity in Summary_input_values_acute]]="Y"),"Y","N")</f>
        <v>N</v>
      </c>
      <c r="BG129" s="1299"/>
      <c r="BH129" s="1324"/>
    </row>
    <row r="130" spans="1:60" ht="12.75" customHeight="1" outlineLevel="3" x14ac:dyDescent="0.2">
      <c r="A130" s="39">
        <v>4</v>
      </c>
      <c r="B130" s="327">
        <v>231040</v>
      </c>
      <c r="C130" s="23" t="s">
        <v>714</v>
      </c>
      <c r="D130" s="867"/>
      <c r="E130" s="1219"/>
      <c r="F130" s="867"/>
      <c r="G130" s="869"/>
      <c r="H130" s="863"/>
      <c r="I130" s="868"/>
      <c r="J130" s="870"/>
      <c r="K130" s="865"/>
      <c r="L130" s="872"/>
      <c r="M130" s="872"/>
      <c r="N130" s="925" t="str">
        <f>IF(O130&lt;&gt;0,CONCATENATE(input_values!$AF130,input_values!$AG130,input_values!$AH130),"")</f>
        <v/>
      </c>
      <c r="O130" s="491">
        <f>IF($A$10="Refined calculation mode",Table22[[#This Row],[input for chronic (refined mode]],Table22[[#This Row],[input for chronic normal mode]])</f>
        <v>0</v>
      </c>
      <c r="P130" s="925" t="str">
        <f>IF(Q130&lt;&gt;0,CONCATENATE(input_values!$AN130,input_values!$AO130,input_values!$AP130),"")</f>
        <v/>
      </c>
      <c r="Q130" s="491">
        <f>IF($V$5=0,0,IF(OR($A$10="Refined calculation mode",Results!$B$62="Show results of IESTI calculation only for crops with GAPs under assessment"),Table22[[#This Row],[Input for IESTI (refined mode)]],Table22[[#This Row],[Input for IESTI normal mode]]))</f>
        <v>0</v>
      </c>
      <c r="R130" s="926" t="str">
        <f>IF(S130&lt;&gt;0,CONCATENATE(input_values!$AW130,input_values!$AX130,input_values!$AY130),"")</f>
        <v/>
      </c>
      <c r="S130" s="492">
        <f>IF($V$5=0,0,IF(OR($A$10="Refined calculation mode",Results!$B$62="Show results of IESTI calculation only for crops with GAPs under assessment"),Table22[[#This Row],[Input for IESTI new (refined mode)]],Table22[[#This Row],[Input for IESTI new normal mode]]))</f>
        <v>0</v>
      </c>
      <c r="T130" s="886"/>
      <c r="U130" s="1408">
        <f>Table22[[#This Row],[MRL/ proposed MRL /CXL
(mg/kg)]]</f>
        <v>0</v>
      </c>
      <c r="V130" s="1409" t="str">
        <f>IF(ISBLANK(F130),"","Y")</f>
        <v/>
      </c>
      <c r="W130" s="1387">
        <f>IF($G130&gt;0,$G130,1)</f>
        <v>1</v>
      </c>
      <c r="X130" s="1387">
        <f>IF($H130&gt;0,$H130,1)</f>
        <v>1</v>
      </c>
      <c r="Y130" s="1387">
        <f>W130*X130</f>
        <v>1</v>
      </c>
      <c r="Z130" s="1410">
        <v>4</v>
      </c>
      <c r="AA130" s="1387">
        <f t="shared" si="42"/>
        <v>0</v>
      </c>
      <c r="AB130" s="1387">
        <f>IF(Z130=A130,IF(AND(L130="N",Table22[[#This Row],[LOQ_label]]="Y"),AA130,$AA130*$Y130),"")</f>
        <v>0</v>
      </c>
      <c r="AC130" s="1393">
        <f t="shared" si="43"/>
        <v>0</v>
      </c>
      <c r="AD130" s="1393">
        <f>IF(Table22[[#This Row],[Median residue*CF*PeF]]&lt;&gt;"",Table22[[#This Row],[Median residue*CF*PeF]],Table22[[#This Row],[MRL*CF*PeF (chronic)]])</f>
        <v>0</v>
      </c>
      <c r="AE130" s="1393">
        <f t="shared" si="44"/>
        <v>0</v>
      </c>
      <c r="AF130" s="1390" t="str">
        <f t="shared" si="45"/>
        <v>MRL</v>
      </c>
      <c r="AG130" s="1390" t="str">
        <f t="shared" si="46"/>
        <v/>
      </c>
      <c r="AH130" s="1394" t="str">
        <f t="shared" si="47"/>
        <v/>
      </c>
      <c r="AI130" s="1386">
        <v>4</v>
      </c>
      <c r="AJ130" s="1387">
        <f t="shared" si="48"/>
        <v>0</v>
      </c>
      <c r="AK130" s="1387">
        <f>IF(AI130=A130,IF(AND(L130="N",Table22[[#This Row],[LOQ_label]]="Y"),AJ130,$AJ130*$Y130),"")</f>
        <v>0</v>
      </c>
      <c r="AL130" s="1388">
        <f t="shared" si="49"/>
        <v>0</v>
      </c>
      <c r="AM130" s="1393">
        <f>IF(Table22[[#This Row],[Highest residue * CF*PF]]&lt;&gt;"",Table22[[#This Row],[Highest residue * CF*PF]],Table22[[#This Row],[MRL*CF*PF or MRL (if LOQ and not authorised) (acute RA)]])</f>
        <v>0</v>
      </c>
      <c r="AN130" s="1390" t="str">
        <f t="shared" si="50"/>
        <v>MRL</v>
      </c>
      <c r="AO130" s="1390" t="str">
        <f t="shared" si="51"/>
        <v/>
      </c>
      <c r="AP130" s="1404" t="str">
        <f t="shared" si="52"/>
        <v/>
      </c>
      <c r="AQ130" s="1388">
        <f t="shared" si="53"/>
        <v>0</v>
      </c>
      <c r="AR130" s="1388" t="str">
        <f t="shared" si="54"/>
        <v/>
      </c>
      <c r="AS130" s="1388" t="str">
        <f t="shared" si="55"/>
        <v/>
      </c>
      <c r="AT130" s="1388" t="str">
        <f t="shared" si="56"/>
        <v/>
      </c>
      <c r="AU130" s="1393">
        <f t="shared" si="57"/>
        <v>0</v>
      </c>
      <c r="AV130" s="1388">
        <f t="shared" si="58"/>
        <v>0</v>
      </c>
      <c r="AW130" s="1390" t="str">
        <f t="shared" si="59"/>
        <v/>
      </c>
      <c r="AX130" s="1390" t="str">
        <f>IF(AND(AW130&lt;&gt;"",AY130&lt;&gt;""),"*","")</f>
        <v/>
      </c>
      <c r="AY130" s="1394" t="str">
        <f t="shared" si="60"/>
        <v/>
      </c>
      <c r="AZ130" s="1395" t="str">
        <f>IF(Table22[[#This Row],[LOQ_label]]="Y",Table22[[#This Row],[MRL individual commodity]],"")</f>
        <v/>
      </c>
      <c r="BA130" s="1396" t="s">
        <v>1038</v>
      </c>
      <c r="BB130" s="1411" t="str">
        <f>IF(Table22[[#This Row],[LOQ2]]&lt;0,MIN(AZ130:AZ410),"")</f>
        <v/>
      </c>
      <c r="BC130" s="1299"/>
      <c r="BD130" s="1306" t="str">
        <f>IF(Table22[[#This Row],[Chronic RA label]]="","N",IF(Table22[[#This Row],[Chronic RA label]]="LOQ","N",IF(Table22[[#This Row],[Chronic RA label]]="MRL","N","Y")))</f>
        <v>N</v>
      </c>
      <c r="BE130" s="1306" t="str">
        <f>IF(Table22[[#This Row],[Acute RA label]]="","N",IF(Table22[[#This Row],[Acute RA label]]="LOQ","N",IF(Table22[[#This Row],[Acute RA label]]="MRL","N","Y")))</f>
        <v>N</v>
      </c>
      <c r="BF130" s="1306" t="str">
        <f>IF(OR(Table22[[#This Row],[include commodity in Summary_input_values_chronic]]="Y",Table22[[#This Row],[include commodity in Summary_input_values_acute]]="Y"),"Y","N")</f>
        <v>N</v>
      </c>
      <c r="BG130" s="1299"/>
      <c r="BH130" s="1324"/>
    </row>
    <row r="131" spans="1:60" ht="12.75" customHeight="1" outlineLevel="3" x14ac:dyDescent="0.2">
      <c r="A131" s="39">
        <v>4</v>
      </c>
      <c r="B131" s="327">
        <v>231990</v>
      </c>
      <c r="C131" s="23" t="s">
        <v>166</v>
      </c>
      <c r="D131" s="867"/>
      <c r="E131" s="1219"/>
      <c r="F131" s="867"/>
      <c r="G131" s="868"/>
      <c r="H131" s="863"/>
      <c r="I131" s="868"/>
      <c r="J131" s="870"/>
      <c r="K131" s="865"/>
      <c r="L131" s="872"/>
      <c r="M131" s="872"/>
      <c r="N131" s="925" t="str">
        <f>IF(O131&lt;&gt;0,CONCATENATE(input_values!$AF131,input_values!$AG131,input_values!$AH131),"")</f>
        <v/>
      </c>
      <c r="O131" s="491">
        <f>IF($A$10="Refined calculation mode",Table22[[#This Row],[input for chronic (refined mode]],Table22[[#This Row],[input for chronic normal mode]])</f>
        <v>0</v>
      </c>
      <c r="P131" s="473"/>
      <c r="Q131" s="474"/>
      <c r="R131" s="473"/>
      <c r="S131" s="474"/>
      <c r="T131" s="886"/>
      <c r="U131" s="1408">
        <f>Table22[[#This Row],[MRL/ proposed MRL /CXL
(mg/kg)]]</f>
        <v>0</v>
      </c>
      <c r="V131" s="1409" t="str">
        <f>IF(ISBLANK(F131),"","Y")</f>
        <v/>
      </c>
      <c r="W131" s="1387">
        <f>IF($G131&gt;0,$G131,1)</f>
        <v>1</v>
      </c>
      <c r="X131" s="1387">
        <f>IF($H131&gt;0,$H131,1)</f>
        <v>1</v>
      </c>
      <c r="Y131" s="1387">
        <f>W131*X131</f>
        <v>1</v>
      </c>
      <c r="Z131" s="1410">
        <v>4</v>
      </c>
      <c r="AA131" s="1387">
        <f t="shared" si="42"/>
        <v>0</v>
      </c>
      <c r="AB131" s="1387">
        <f>IF(Z131=A131,IF(AND(L131="N",Table22[[#This Row],[LOQ_label]]="Y"),AA131,$AA131*$Y131),"")</f>
        <v>0</v>
      </c>
      <c r="AC131" s="1393">
        <f t="shared" si="43"/>
        <v>0</v>
      </c>
      <c r="AD131" s="1393">
        <f>IF(Table22[[#This Row],[Median residue*CF*PeF]]&lt;&gt;"",Table22[[#This Row],[Median residue*CF*PeF]],Table22[[#This Row],[MRL*CF*PeF (chronic)]])</f>
        <v>0</v>
      </c>
      <c r="AE131" s="1393">
        <f t="shared" si="44"/>
        <v>0</v>
      </c>
      <c r="AF131" s="1390" t="str">
        <f t="shared" si="45"/>
        <v>MRL</v>
      </c>
      <c r="AG131" s="1390" t="str">
        <f t="shared" si="46"/>
        <v/>
      </c>
      <c r="AH131" s="1394" t="str">
        <f t="shared" si="47"/>
        <v/>
      </c>
      <c r="AI131" s="1386"/>
      <c r="AJ131" s="1387" t="str">
        <f t="shared" si="48"/>
        <v/>
      </c>
      <c r="AK131" s="1387" t="str">
        <f>IF(AI131=A131,IF(AND(L131="N",Table22[[#This Row],[LOQ_label]]="Y"),AJ131,$AJ131*$Y131),"")</f>
        <v/>
      </c>
      <c r="AL131" s="1388" t="str">
        <f t="shared" si="49"/>
        <v/>
      </c>
      <c r="AM131" s="1393" t="str">
        <f>IF(Table22[[#This Row],[Highest residue * CF*PF]]&lt;&gt;"",Table22[[#This Row],[Highest residue * CF*PF]],Table22[[#This Row],[MRL*CF*PF or MRL (if LOQ and not authorised) (acute RA)]])</f>
        <v/>
      </c>
      <c r="AN131" s="1390" t="str">
        <f t="shared" si="50"/>
        <v/>
      </c>
      <c r="AO131" s="1390" t="str">
        <f t="shared" si="51"/>
        <v/>
      </c>
      <c r="AP131" s="1404" t="str">
        <f t="shared" si="52"/>
        <v/>
      </c>
      <c r="AQ131" s="1388">
        <f t="shared" si="53"/>
        <v>0</v>
      </c>
      <c r="AR131" s="1388" t="str">
        <f t="shared" si="54"/>
        <v/>
      </c>
      <c r="AS131" s="1388" t="str">
        <f t="shared" si="55"/>
        <v/>
      </c>
      <c r="AT131" s="1388" t="str">
        <f t="shared" si="56"/>
        <v/>
      </c>
      <c r="AU131" s="1393" t="str">
        <f t="shared" si="57"/>
        <v/>
      </c>
      <c r="AV131" s="1388">
        <f t="shared" si="58"/>
        <v>0</v>
      </c>
      <c r="AW131" s="1390" t="str">
        <f t="shared" si="59"/>
        <v/>
      </c>
      <c r="AX131" s="1390" t="str">
        <f>IF(AND(AN131&lt;&gt;"",AY131&lt;&gt;""),"*","")</f>
        <v/>
      </c>
      <c r="AY131" s="1394" t="str">
        <f t="shared" si="60"/>
        <v/>
      </c>
      <c r="AZ131" s="1395" t="str">
        <f>IF(Table22[[#This Row],[LOQ_label]]="Y",Table22[[#This Row],[MRL individual commodity]],"")</f>
        <v/>
      </c>
      <c r="BA131" s="1396" t="s">
        <v>1159</v>
      </c>
      <c r="BB131" s="1411" t="str">
        <f>IF(Table22[[#This Row],[LOQ2]]&lt;0,MIN(AZ131:AZ410),"")</f>
        <v/>
      </c>
      <c r="BC131" s="1299"/>
      <c r="BD131" s="1306" t="str">
        <f>IF(Table22[[#This Row],[Chronic RA label]]="","N",IF(Table22[[#This Row],[Chronic RA label]]="LOQ","N",IF(Table22[[#This Row],[Chronic RA label]]="MRL","N","Y")))</f>
        <v>N</v>
      </c>
      <c r="BE131" s="1306" t="str">
        <f>IF(Table22[[#This Row],[Acute RA label]]="","N",IF(Table22[[#This Row],[Acute RA label]]="LOQ","N",IF(Table22[[#This Row],[Acute RA label]]="MRL","N","Y")))</f>
        <v>N</v>
      </c>
      <c r="BF131" s="1306" t="str">
        <f>IF(OR(Table22[[#This Row],[include commodity in Summary_input_values_chronic]]="Y",Table22[[#This Row],[include commodity in Summary_input_values_acute]]="Y"),"Y","N")</f>
        <v>N</v>
      </c>
      <c r="BG131" s="1299"/>
      <c r="BH131" s="1324"/>
    </row>
    <row r="132" spans="1:60" ht="12.75" customHeight="1" outlineLevel="2" x14ac:dyDescent="0.2">
      <c r="A132" s="132">
        <v>3</v>
      </c>
      <c r="B132" s="448">
        <v>232000</v>
      </c>
      <c r="C132" s="3" t="s">
        <v>227</v>
      </c>
      <c r="D132" s="862"/>
      <c r="E132" s="1218"/>
      <c r="F132" s="862"/>
      <c r="G132" s="866"/>
      <c r="H132" s="863"/>
      <c r="I132" s="863"/>
      <c r="J132" s="864"/>
      <c r="K132" s="865"/>
      <c r="L132" s="471"/>
      <c r="M132" s="471"/>
      <c r="N132" s="473"/>
      <c r="O132" s="474"/>
      <c r="P132" s="473"/>
      <c r="Q132" s="474"/>
      <c r="R132" s="473"/>
      <c r="S132" s="474"/>
      <c r="T132" s="886"/>
      <c r="U132" s="1415"/>
      <c r="V132" s="1380"/>
      <c r="W132" s="1381"/>
      <c r="X132" s="1381"/>
      <c r="Y132" s="1381"/>
      <c r="Z132" s="1382">
        <v>4</v>
      </c>
      <c r="AA132" s="1381" t="str">
        <f t="shared" si="42"/>
        <v/>
      </c>
      <c r="AB132" s="1381" t="str">
        <f>IF(Z132=A132,IF(AND(L132="N",Table22[[#This Row],[LOQ_label]]="Y"),AA132,$AA132*$Y132),"")</f>
        <v/>
      </c>
      <c r="AC132" s="1383" t="str">
        <f t="shared" si="43"/>
        <v/>
      </c>
      <c r="AD132" s="1383" t="str">
        <f>IF(Table22[[#This Row],[Median residue*CF*PeF]]&lt;&gt;"",Table22[[#This Row],[Median residue*CF*PeF]],Table22[[#This Row],[MRL*CF*PeF (chronic)]])</f>
        <v/>
      </c>
      <c r="AE132" s="1384">
        <f t="shared" si="44"/>
        <v>0</v>
      </c>
      <c r="AF132" s="1385" t="str">
        <f t="shared" si="45"/>
        <v/>
      </c>
      <c r="AG132" s="1385" t="str">
        <f t="shared" si="46"/>
        <v/>
      </c>
      <c r="AH132" s="1270" t="str">
        <f t="shared" si="47"/>
        <v/>
      </c>
      <c r="AI132" s="1386">
        <v>4</v>
      </c>
      <c r="AJ132" s="1387" t="str">
        <f t="shared" si="48"/>
        <v/>
      </c>
      <c r="AK132" s="1387" t="str">
        <f>IF(AI132=A132,IF(AND(L132="N",Table22[[#This Row],[LOQ_label]]="Y"),AJ132,$AJ132*$Y132),"")</f>
        <v/>
      </c>
      <c r="AL132" s="1388" t="str">
        <f t="shared" si="49"/>
        <v/>
      </c>
      <c r="AM132" s="1393" t="str">
        <f>IF(Table22[[#This Row],[Highest residue * CF*PF]]&lt;&gt;"",Table22[[#This Row],[Highest residue * CF*PF]],Table22[[#This Row],[MRL*CF*PF or MRL (if LOQ and not authorised) (acute RA)]])</f>
        <v/>
      </c>
      <c r="AN132" s="1390" t="str">
        <f t="shared" si="50"/>
        <v/>
      </c>
      <c r="AO132" s="1390" t="str">
        <f t="shared" si="51"/>
        <v/>
      </c>
      <c r="AP132" s="1404" t="str">
        <f t="shared" si="52"/>
        <v/>
      </c>
      <c r="AQ132" s="1388">
        <f t="shared" si="53"/>
        <v>0</v>
      </c>
      <c r="AR132" s="1388" t="str">
        <f t="shared" si="54"/>
        <v/>
      </c>
      <c r="AS132" s="1388" t="str">
        <f t="shared" si="55"/>
        <v/>
      </c>
      <c r="AT132" s="1388" t="str">
        <f t="shared" si="56"/>
        <v/>
      </c>
      <c r="AU132" s="1393" t="str">
        <f t="shared" si="57"/>
        <v/>
      </c>
      <c r="AV132" s="1388">
        <f t="shared" si="58"/>
        <v>0</v>
      </c>
      <c r="AW132" s="1390" t="str">
        <f t="shared" si="59"/>
        <v/>
      </c>
      <c r="AX132" s="1390" t="str">
        <f>IF(AND(AN132&lt;&gt;"",AY132&lt;&gt;""),"*","")</f>
        <v/>
      </c>
      <c r="AY132" s="1394" t="str">
        <f t="shared" si="60"/>
        <v/>
      </c>
      <c r="AZ132" s="1395">
        <f>IF(Table22[[#This Row],[LOQ_label]]="Y",Table22[[#This Row],[MRL individual commodity]],"")</f>
        <v>0</v>
      </c>
      <c r="BA132" s="1396" t="s">
        <v>1159</v>
      </c>
      <c r="BB132" s="1411" t="str">
        <f>IF(Table22[[#This Row],[LOQ2]]&lt;0,MIN(AZ132:AZ410),"")</f>
        <v/>
      </c>
      <c r="BC132" s="1299"/>
      <c r="BD132" s="1306" t="str">
        <f>IF(Table22[[#This Row],[Chronic RA label]]="","N",IF(Table22[[#This Row],[Chronic RA label]]="LOQ","N",IF(Table22[[#This Row],[Chronic RA label]]="MRL","N","Y")))</f>
        <v>N</v>
      </c>
      <c r="BE132" s="1306" t="str">
        <f>IF(Table22[[#This Row],[Acute RA label]]="","N",IF(Table22[[#This Row],[Acute RA label]]="LOQ","N",IF(Table22[[#This Row],[Acute RA label]]="MRL","N","Y")))</f>
        <v>N</v>
      </c>
      <c r="BF132" s="1306" t="str">
        <f>IF(OR(Table22[[#This Row],[include commodity in Summary_input_values_chronic]]="Y",Table22[[#This Row],[include commodity in Summary_input_values_acute]]="Y"),"Y","N")</f>
        <v>N</v>
      </c>
      <c r="BG132" s="1299"/>
      <c r="BH132" s="1324"/>
    </row>
    <row r="133" spans="1:60" ht="12.75" customHeight="1" outlineLevel="3" x14ac:dyDescent="0.2">
      <c r="A133" s="39">
        <v>4</v>
      </c>
      <c r="B133" s="327">
        <v>232010</v>
      </c>
      <c r="C133" s="23" t="s">
        <v>211</v>
      </c>
      <c r="D133" s="867"/>
      <c r="E133" s="1219"/>
      <c r="F133" s="867"/>
      <c r="G133" s="869"/>
      <c r="H133" s="863"/>
      <c r="I133" s="868"/>
      <c r="J133" s="870"/>
      <c r="K133" s="871"/>
      <c r="L133" s="872"/>
      <c r="M133" s="872"/>
      <c r="N133" s="925" t="str">
        <f>IF(O133&lt;&gt;0,CONCATENATE(input_values!$AF133,input_values!$AG133,input_values!$AH133),"")</f>
        <v/>
      </c>
      <c r="O133" s="491">
        <f>IF($A$10="Refined calculation mode",Table22[[#This Row],[input for chronic (refined mode]],Table22[[#This Row],[input for chronic normal mode]])</f>
        <v>0</v>
      </c>
      <c r="P133" s="925" t="str">
        <f>IF(Q133&lt;&gt;0,CONCATENATE(input_values!$AN133,input_values!$AO133,input_values!$AP133),"")</f>
        <v/>
      </c>
      <c r="Q133" s="491">
        <f>IF($V$5=0,0,IF(OR($A$10="Refined calculation mode",Results!$B$62="Show results of IESTI calculation only for crops with GAPs under assessment"),Table22[[#This Row],[Input for IESTI (refined mode)]],Table22[[#This Row],[Input for IESTI normal mode]]))</f>
        <v>0</v>
      </c>
      <c r="R133" s="926" t="str">
        <f>IF(S133&lt;&gt;0,CONCATENATE(input_values!$AW133,input_values!$AX133,input_values!$AY133),"")</f>
        <v/>
      </c>
      <c r="S133" s="492">
        <f>IF($V$5=0,0,IF(OR($A$10="Refined calculation mode",Results!$B$62="Show results of IESTI calculation only for crops with GAPs under assessment"),Table22[[#This Row],[Input for IESTI new (refined mode)]],Table22[[#This Row],[Input for IESTI new normal mode]]))</f>
        <v>0</v>
      </c>
      <c r="T133" s="886"/>
      <c r="U133" s="1408">
        <f>Table22[[#This Row],[MRL/ proposed MRL /CXL
(mg/kg)]]</f>
        <v>0</v>
      </c>
      <c r="V133" s="1409" t="str">
        <f>IF(ISBLANK(F133),"","Y")</f>
        <v/>
      </c>
      <c r="W133" s="1387">
        <f>IF($G133&gt;0,$G133,1)</f>
        <v>1</v>
      </c>
      <c r="X133" s="1387">
        <f>IF($H133&gt;0,$H133,1)</f>
        <v>1</v>
      </c>
      <c r="Y133" s="1387">
        <f>W133*X133</f>
        <v>1</v>
      </c>
      <c r="Z133" s="1410">
        <v>4</v>
      </c>
      <c r="AA133" s="1387">
        <f t="shared" si="42"/>
        <v>0</v>
      </c>
      <c r="AB133" s="1387">
        <f>IF(Z133=A133,IF(AND(L133="N",Table22[[#This Row],[LOQ_label]]="Y"),AA133,$AA133*$Y133),"")</f>
        <v>0</v>
      </c>
      <c r="AC133" s="1393">
        <f t="shared" si="43"/>
        <v>0</v>
      </c>
      <c r="AD133" s="1393">
        <f>IF(Table22[[#This Row],[Median residue*CF*PeF]]&lt;&gt;"",Table22[[#This Row],[Median residue*CF*PeF]],Table22[[#This Row],[MRL*CF*PeF (chronic)]])</f>
        <v>0</v>
      </c>
      <c r="AE133" s="1393">
        <f t="shared" si="44"/>
        <v>0</v>
      </c>
      <c r="AF133" s="1390" t="str">
        <f t="shared" si="45"/>
        <v>MRL</v>
      </c>
      <c r="AG133" s="1390" t="str">
        <f t="shared" si="46"/>
        <v/>
      </c>
      <c r="AH133" s="1394" t="str">
        <f t="shared" si="47"/>
        <v/>
      </c>
      <c r="AI133" s="1386">
        <v>4</v>
      </c>
      <c r="AJ133" s="1387">
        <f t="shared" si="48"/>
        <v>0</v>
      </c>
      <c r="AK133" s="1387">
        <f>IF(AI133=A133,IF(AND(L133="N",Table22[[#This Row],[LOQ_label]]="Y"),AJ133,$AJ133*$Y133),"")</f>
        <v>0</v>
      </c>
      <c r="AL133" s="1388">
        <f t="shared" si="49"/>
        <v>0</v>
      </c>
      <c r="AM133" s="1393">
        <f>IF(Table22[[#This Row],[Highest residue * CF*PF]]&lt;&gt;"",Table22[[#This Row],[Highest residue * CF*PF]],Table22[[#This Row],[MRL*CF*PF or MRL (if LOQ and not authorised) (acute RA)]])</f>
        <v>0</v>
      </c>
      <c r="AN133" s="1390" t="str">
        <f t="shared" si="50"/>
        <v>MRL</v>
      </c>
      <c r="AO133" s="1390" t="str">
        <f t="shared" si="51"/>
        <v/>
      </c>
      <c r="AP133" s="1404" t="str">
        <f t="shared" si="52"/>
        <v/>
      </c>
      <c r="AQ133" s="1388">
        <f t="shared" si="53"/>
        <v>0</v>
      </c>
      <c r="AR133" s="1388" t="str">
        <f t="shared" si="54"/>
        <v/>
      </c>
      <c r="AS133" s="1388" t="str">
        <f t="shared" si="55"/>
        <v/>
      </c>
      <c r="AT133" s="1388" t="str">
        <f t="shared" si="56"/>
        <v/>
      </c>
      <c r="AU133" s="1393">
        <f t="shared" si="57"/>
        <v>0</v>
      </c>
      <c r="AV133" s="1388">
        <f t="shared" si="58"/>
        <v>0</v>
      </c>
      <c r="AW133" s="1390" t="str">
        <f t="shared" si="59"/>
        <v/>
      </c>
      <c r="AX133" s="1390" t="str">
        <f>IF(AND(AW133&lt;&gt;"",AY133&lt;&gt;""),"*","")</f>
        <v/>
      </c>
      <c r="AY133" s="1394" t="str">
        <f t="shared" si="60"/>
        <v/>
      </c>
      <c r="AZ133" s="1395" t="str">
        <f>IF(Table22[[#This Row],[LOQ_label]]="Y",Table22[[#This Row],[MRL individual commodity]],"")</f>
        <v/>
      </c>
      <c r="BA133" s="1449" t="s">
        <v>654</v>
      </c>
      <c r="BB133" s="1411" t="str">
        <f>IF(Table22[[#This Row],[LOQ2]]&lt;0,MIN(AZ133:AZ410),"")</f>
        <v/>
      </c>
      <c r="BC133" s="1299"/>
      <c r="BD133" s="1306" t="str">
        <f>IF(Table22[[#This Row],[Chronic RA label]]="","N",IF(Table22[[#This Row],[Chronic RA label]]="LOQ","N",IF(Table22[[#This Row],[Chronic RA label]]="MRL","N","Y")))</f>
        <v>N</v>
      </c>
      <c r="BE133" s="1306" t="str">
        <f>IF(Table22[[#This Row],[Acute RA label]]="","N",IF(Table22[[#This Row],[Acute RA label]]="LOQ","N",IF(Table22[[#This Row],[Acute RA label]]="MRL","N","Y")))</f>
        <v>N</v>
      </c>
      <c r="BF133" s="1306" t="str">
        <f>IF(OR(Table22[[#This Row],[include commodity in Summary_input_values_chronic]]="Y",Table22[[#This Row],[include commodity in Summary_input_values_acute]]="Y"),"Y","N")</f>
        <v>N</v>
      </c>
      <c r="BG133" s="1299"/>
      <c r="BH133" s="1324"/>
    </row>
    <row r="134" spans="1:60" ht="12.75" customHeight="1" outlineLevel="3" x14ac:dyDescent="0.2">
      <c r="A134" s="39">
        <v>4</v>
      </c>
      <c r="B134" s="327">
        <v>232020</v>
      </c>
      <c r="C134" s="23" t="s">
        <v>245</v>
      </c>
      <c r="D134" s="867"/>
      <c r="E134" s="1219"/>
      <c r="F134" s="867"/>
      <c r="G134" s="869"/>
      <c r="H134" s="863"/>
      <c r="I134" s="868"/>
      <c r="J134" s="870"/>
      <c r="K134" s="871"/>
      <c r="L134" s="872"/>
      <c r="M134" s="872"/>
      <c r="N134" s="925" t="str">
        <f>IF(O134&lt;&gt;0,CONCATENATE(input_values!$AF134,input_values!$AG134,input_values!$AH134),"")</f>
        <v/>
      </c>
      <c r="O134" s="491">
        <f>IF($A$10="Refined calculation mode",Table22[[#This Row],[input for chronic (refined mode]],Table22[[#This Row],[input for chronic normal mode]])</f>
        <v>0</v>
      </c>
      <c r="P134" s="925" t="str">
        <f>IF(Q134&lt;&gt;0,CONCATENATE(input_values!$AN134,input_values!$AO134,input_values!$AP134),"")</f>
        <v/>
      </c>
      <c r="Q134" s="491">
        <f>IF($V$5=0,0,IF(OR($A$10="Refined calculation mode",Results!$B$62="Show results of IESTI calculation only for crops with GAPs under assessment"),Table22[[#This Row],[Input for IESTI (refined mode)]],Table22[[#This Row],[Input for IESTI normal mode]]))</f>
        <v>0</v>
      </c>
      <c r="R134" s="926" t="str">
        <f>IF(S134&lt;&gt;0,CONCATENATE(input_values!$AW134,input_values!$AX134,input_values!$AY134),"")</f>
        <v/>
      </c>
      <c r="S134" s="492">
        <f>IF($V$5=0,0,IF(OR($A$10="Refined calculation mode",Results!$B$62="Show results of IESTI calculation only for crops with GAPs under assessment"),Table22[[#This Row],[Input for IESTI new (refined mode)]],Table22[[#This Row],[Input for IESTI new normal mode]]))</f>
        <v>0</v>
      </c>
      <c r="T134" s="886"/>
      <c r="U134" s="1408">
        <f>Table22[[#This Row],[MRL/ proposed MRL /CXL
(mg/kg)]]</f>
        <v>0</v>
      </c>
      <c r="V134" s="1409" t="str">
        <f>IF(ISBLANK(F134),"","Y")</f>
        <v/>
      </c>
      <c r="W134" s="1387">
        <f>IF($G134&gt;0,$G134,1)</f>
        <v>1</v>
      </c>
      <c r="X134" s="1387">
        <f>IF($H134&gt;0,$H134,1)</f>
        <v>1</v>
      </c>
      <c r="Y134" s="1387">
        <f>W134*X134</f>
        <v>1</v>
      </c>
      <c r="Z134" s="1410">
        <v>4</v>
      </c>
      <c r="AA134" s="1387">
        <f t="shared" si="42"/>
        <v>0</v>
      </c>
      <c r="AB134" s="1387">
        <f>IF(Z134=A134,IF(AND(L134="N",Table22[[#This Row],[LOQ_label]]="Y"),AA134,$AA134*$Y134),"")</f>
        <v>0</v>
      </c>
      <c r="AC134" s="1393">
        <f t="shared" si="43"/>
        <v>0</v>
      </c>
      <c r="AD134" s="1393">
        <f>IF(Table22[[#This Row],[Median residue*CF*PeF]]&lt;&gt;"",Table22[[#This Row],[Median residue*CF*PeF]],Table22[[#This Row],[MRL*CF*PeF (chronic)]])</f>
        <v>0</v>
      </c>
      <c r="AE134" s="1393">
        <f t="shared" si="44"/>
        <v>0</v>
      </c>
      <c r="AF134" s="1390" t="str">
        <f t="shared" si="45"/>
        <v>MRL</v>
      </c>
      <c r="AG134" s="1390" t="str">
        <f t="shared" si="46"/>
        <v/>
      </c>
      <c r="AH134" s="1394" t="str">
        <f t="shared" si="47"/>
        <v/>
      </c>
      <c r="AI134" s="1386">
        <v>4</v>
      </c>
      <c r="AJ134" s="1387">
        <f t="shared" si="48"/>
        <v>0</v>
      </c>
      <c r="AK134" s="1387">
        <f>IF(AI134=A134,IF(AND(L134="N",Table22[[#This Row],[LOQ_label]]="Y"),AJ134,$AJ134*$Y134),"")</f>
        <v>0</v>
      </c>
      <c r="AL134" s="1388">
        <f t="shared" si="49"/>
        <v>0</v>
      </c>
      <c r="AM134" s="1393">
        <f>IF(Table22[[#This Row],[Highest residue * CF*PF]]&lt;&gt;"",Table22[[#This Row],[Highest residue * CF*PF]],Table22[[#This Row],[MRL*CF*PF or MRL (if LOQ and not authorised) (acute RA)]])</f>
        <v>0</v>
      </c>
      <c r="AN134" s="1390" t="str">
        <f t="shared" si="50"/>
        <v>MRL</v>
      </c>
      <c r="AO134" s="1390" t="str">
        <f t="shared" si="51"/>
        <v/>
      </c>
      <c r="AP134" s="1404" t="str">
        <f t="shared" si="52"/>
        <v/>
      </c>
      <c r="AQ134" s="1388">
        <f t="shared" si="53"/>
        <v>0</v>
      </c>
      <c r="AR134" s="1388" t="str">
        <f t="shared" si="54"/>
        <v/>
      </c>
      <c r="AS134" s="1388" t="str">
        <f t="shared" si="55"/>
        <v/>
      </c>
      <c r="AT134" s="1388" t="str">
        <f t="shared" si="56"/>
        <v/>
      </c>
      <c r="AU134" s="1393">
        <f t="shared" si="57"/>
        <v>0</v>
      </c>
      <c r="AV134" s="1388">
        <f t="shared" si="58"/>
        <v>0</v>
      </c>
      <c r="AW134" s="1390" t="str">
        <f t="shared" si="59"/>
        <v/>
      </c>
      <c r="AX134" s="1390" t="str">
        <f>IF(AND(AW134&lt;&gt;"",AY134&lt;&gt;""),"*","")</f>
        <v/>
      </c>
      <c r="AY134" s="1394" t="str">
        <f t="shared" si="60"/>
        <v/>
      </c>
      <c r="AZ134" s="1395" t="str">
        <f>IF(Table22[[#This Row],[LOQ_label]]="Y",Table22[[#This Row],[MRL individual commodity]],"")</f>
        <v/>
      </c>
      <c r="BA134" s="1396" t="s">
        <v>1038</v>
      </c>
      <c r="BB134" s="1411" t="str">
        <f>IF(Table22[[#This Row],[LOQ2]]&lt;0,MIN(AZ134:AZ410),"")</f>
        <v/>
      </c>
      <c r="BC134" s="1299"/>
      <c r="BD134" s="1306" t="str">
        <f>IF(Table22[[#This Row],[Chronic RA label]]="","N",IF(Table22[[#This Row],[Chronic RA label]]="LOQ","N",IF(Table22[[#This Row],[Chronic RA label]]="MRL","N","Y")))</f>
        <v>N</v>
      </c>
      <c r="BE134" s="1306" t="str">
        <f>IF(Table22[[#This Row],[Acute RA label]]="","N",IF(Table22[[#This Row],[Acute RA label]]="LOQ","N",IF(Table22[[#This Row],[Acute RA label]]="MRL","N","Y")))</f>
        <v>N</v>
      </c>
      <c r="BF134" s="1306" t="str">
        <f>IF(OR(Table22[[#This Row],[include commodity in Summary_input_values_chronic]]="Y",Table22[[#This Row],[include commodity in Summary_input_values_acute]]="Y"),"Y","N")</f>
        <v>N</v>
      </c>
      <c r="BG134" s="1299"/>
      <c r="BH134" s="1324"/>
    </row>
    <row r="135" spans="1:60" ht="12.75" customHeight="1" outlineLevel="3" x14ac:dyDescent="0.2">
      <c r="A135" s="39">
        <v>4</v>
      </c>
      <c r="B135" s="327">
        <v>232030</v>
      </c>
      <c r="C135" s="23" t="s">
        <v>246</v>
      </c>
      <c r="D135" s="867"/>
      <c r="E135" s="1219"/>
      <c r="F135" s="867"/>
      <c r="G135" s="869"/>
      <c r="H135" s="863"/>
      <c r="I135" s="868"/>
      <c r="J135" s="870"/>
      <c r="K135" s="871"/>
      <c r="L135" s="872"/>
      <c r="M135" s="872"/>
      <c r="N135" s="925" t="str">
        <f>IF(O135&lt;&gt;0,CONCATENATE(input_values!$AF135,input_values!$AG135,input_values!$AH135),"")</f>
        <v/>
      </c>
      <c r="O135" s="491">
        <f>IF($A$10="Refined calculation mode",Table22[[#This Row],[input for chronic (refined mode]],Table22[[#This Row],[input for chronic normal mode]])</f>
        <v>0</v>
      </c>
      <c r="P135" s="925" t="str">
        <f>IF(Q135&lt;&gt;0,CONCATENATE(input_values!$AN135,input_values!$AO135,input_values!$AP135),"")</f>
        <v/>
      </c>
      <c r="Q135" s="491">
        <f>IF($V$5=0,0,IF(OR($A$10="Refined calculation mode",Results!$B$62="Show results of IESTI calculation only for crops with GAPs under assessment"),Table22[[#This Row],[Input for IESTI (refined mode)]],Table22[[#This Row],[Input for IESTI normal mode]]))</f>
        <v>0</v>
      </c>
      <c r="R135" s="926" t="str">
        <f>IF(S135&lt;&gt;0,CONCATENATE(input_values!$AW135,input_values!$AX135,input_values!$AY135),"")</f>
        <v/>
      </c>
      <c r="S135" s="492">
        <f>IF($V$5=0,0,IF(OR($A$10="Refined calculation mode",Results!$B$62="Show results of IESTI calculation only for crops with GAPs under assessment"),Table22[[#This Row],[Input for IESTI new (refined mode)]],Table22[[#This Row],[Input for IESTI new normal mode]]))</f>
        <v>0</v>
      </c>
      <c r="T135" s="886"/>
      <c r="U135" s="1408">
        <f>Table22[[#This Row],[MRL/ proposed MRL /CXL
(mg/kg)]]</f>
        <v>0</v>
      </c>
      <c r="V135" s="1409" t="str">
        <f>IF(ISBLANK(F135),"","Y")</f>
        <v/>
      </c>
      <c r="W135" s="1387">
        <f>IF($G135&gt;0,$G135,1)</f>
        <v>1</v>
      </c>
      <c r="X135" s="1387">
        <f>IF($H135&gt;0,$H135,1)</f>
        <v>1</v>
      </c>
      <c r="Y135" s="1387">
        <f>W135*X135</f>
        <v>1</v>
      </c>
      <c r="Z135" s="1410">
        <v>4</v>
      </c>
      <c r="AA135" s="1387">
        <f t="shared" si="42"/>
        <v>0</v>
      </c>
      <c r="AB135" s="1387">
        <f>IF(Z135=A135,IF(AND(L135="N",Table22[[#This Row],[LOQ_label]]="Y"),AA135,$AA135*$Y135),"")</f>
        <v>0</v>
      </c>
      <c r="AC135" s="1393">
        <f t="shared" si="43"/>
        <v>0</v>
      </c>
      <c r="AD135" s="1393">
        <f>IF(Table22[[#This Row],[Median residue*CF*PeF]]&lt;&gt;"",Table22[[#This Row],[Median residue*CF*PeF]],Table22[[#This Row],[MRL*CF*PeF (chronic)]])</f>
        <v>0</v>
      </c>
      <c r="AE135" s="1393">
        <f t="shared" si="44"/>
        <v>0</v>
      </c>
      <c r="AF135" s="1390" t="str">
        <f t="shared" si="45"/>
        <v>MRL</v>
      </c>
      <c r="AG135" s="1390" t="str">
        <f t="shared" si="46"/>
        <v/>
      </c>
      <c r="AH135" s="1394" t="str">
        <f t="shared" si="47"/>
        <v/>
      </c>
      <c r="AI135" s="1386">
        <v>4</v>
      </c>
      <c r="AJ135" s="1387">
        <f t="shared" si="48"/>
        <v>0</v>
      </c>
      <c r="AK135" s="1387">
        <f>IF(AI135=A135,IF(AND(L135="N",Table22[[#This Row],[LOQ_label]]="Y"),AJ135,$AJ135*$Y135),"")</f>
        <v>0</v>
      </c>
      <c r="AL135" s="1388">
        <f t="shared" si="49"/>
        <v>0</v>
      </c>
      <c r="AM135" s="1393">
        <f>IF(Table22[[#This Row],[Highest residue * CF*PF]]&lt;&gt;"",Table22[[#This Row],[Highest residue * CF*PF]],Table22[[#This Row],[MRL*CF*PF or MRL (if LOQ and not authorised) (acute RA)]])</f>
        <v>0</v>
      </c>
      <c r="AN135" s="1390" t="str">
        <f t="shared" si="50"/>
        <v>MRL</v>
      </c>
      <c r="AO135" s="1390" t="str">
        <f t="shared" si="51"/>
        <v/>
      </c>
      <c r="AP135" s="1404" t="str">
        <f t="shared" si="52"/>
        <v/>
      </c>
      <c r="AQ135" s="1388">
        <f t="shared" si="53"/>
        <v>0</v>
      </c>
      <c r="AR135" s="1388" t="str">
        <f t="shared" si="54"/>
        <v/>
      </c>
      <c r="AS135" s="1388" t="str">
        <f t="shared" si="55"/>
        <v/>
      </c>
      <c r="AT135" s="1388" t="str">
        <f t="shared" si="56"/>
        <v/>
      </c>
      <c r="AU135" s="1393">
        <f t="shared" si="57"/>
        <v>0</v>
      </c>
      <c r="AV135" s="1388">
        <f t="shared" si="58"/>
        <v>0</v>
      </c>
      <c r="AW135" s="1390" t="str">
        <f t="shared" si="59"/>
        <v/>
      </c>
      <c r="AX135" s="1390" t="str">
        <f>IF(AND(AW135&lt;&gt;"",AY135&lt;&gt;""),"*","")</f>
        <v/>
      </c>
      <c r="AY135" s="1394" t="str">
        <f t="shared" si="60"/>
        <v/>
      </c>
      <c r="AZ135" s="1395" t="str">
        <f>IF(Table22[[#This Row],[LOQ_label]]="Y",Table22[[#This Row],[MRL individual commodity]],"")</f>
        <v/>
      </c>
      <c r="BA135" s="1449" t="s">
        <v>654</v>
      </c>
      <c r="BB135" s="1411" t="str">
        <f>IF(Table22[[#This Row],[LOQ2]]&lt;0,MIN(AZ135:AZ410),"")</f>
        <v/>
      </c>
      <c r="BC135" s="1299"/>
      <c r="BD135" s="1306" t="str">
        <f>IF(Table22[[#This Row],[Chronic RA label]]="","N",IF(Table22[[#This Row],[Chronic RA label]]="LOQ","N",IF(Table22[[#This Row],[Chronic RA label]]="MRL","N","Y")))</f>
        <v>N</v>
      </c>
      <c r="BE135" s="1306" t="str">
        <f>IF(Table22[[#This Row],[Acute RA label]]="","N",IF(Table22[[#This Row],[Acute RA label]]="LOQ","N",IF(Table22[[#This Row],[Acute RA label]]="MRL","N","Y")))</f>
        <v>N</v>
      </c>
      <c r="BF135" s="1306" t="str">
        <f>IF(OR(Table22[[#This Row],[include commodity in Summary_input_values_chronic]]="Y",Table22[[#This Row],[include commodity in Summary_input_values_acute]]="Y"),"Y","N")</f>
        <v>N</v>
      </c>
      <c r="BG135" s="1299"/>
      <c r="BH135" s="1324"/>
    </row>
    <row r="136" spans="1:60" ht="12.75" customHeight="1" outlineLevel="3" x14ac:dyDescent="0.2">
      <c r="A136" s="39">
        <v>4</v>
      </c>
      <c r="B136" s="327">
        <v>232990</v>
      </c>
      <c r="C136" s="23" t="s">
        <v>167</v>
      </c>
      <c r="D136" s="867"/>
      <c r="E136" s="1219"/>
      <c r="F136" s="867"/>
      <c r="G136" s="868"/>
      <c r="H136" s="863"/>
      <c r="I136" s="868"/>
      <c r="J136" s="870"/>
      <c r="K136" s="865"/>
      <c r="L136" s="872"/>
      <c r="M136" s="872"/>
      <c r="N136" s="925" t="str">
        <f>IF(O136&lt;&gt;0,CONCATENATE(input_values!$AF136,input_values!$AG136,input_values!$AH136),"")</f>
        <v/>
      </c>
      <c r="O136" s="491">
        <f>IF($A$10="Refined calculation mode",Table22[[#This Row],[input for chronic (refined mode]],Table22[[#This Row],[input for chronic normal mode]])</f>
        <v>0</v>
      </c>
      <c r="P136" s="473"/>
      <c r="Q136" s="474"/>
      <c r="R136" s="473"/>
      <c r="S136" s="474"/>
      <c r="T136" s="886"/>
      <c r="U136" s="1408">
        <f>Table22[[#This Row],[MRL/ proposed MRL /CXL
(mg/kg)]]</f>
        <v>0</v>
      </c>
      <c r="V136" s="1409" t="str">
        <f>IF(ISBLANK(F136),"","Y")</f>
        <v/>
      </c>
      <c r="W136" s="1387">
        <f>IF($G136&gt;0,$G136,1)</f>
        <v>1</v>
      </c>
      <c r="X136" s="1387">
        <f>IF($H136&gt;0,$H136,1)</f>
        <v>1</v>
      </c>
      <c r="Y136" s="1387">
        <f>W136*X136</f>
        <v>1</v>
      </c>
      <c r="Z136" s="1410">
        <v>4</v>
      </c>
      <c r="AA136" s="1387">
        <f t="shared" si="42"/>
        <v>0</v>
      </c>
      <c r="AB136" s="1387">
        <f>IF(Z136=A136,IF(AND(L136="N",Table22[[#This Row],[LOQ_label]]="Y"),AA136,$AA136*$Y136),"")</f>
        <v>0</v>
      </c>
      <c r="AC136" s="1393">
        <f t="shared" si="43"/>
        <v>0</v>
      </c>
      <c r="AD136" s="1393">
        <f>IF(Table22[[#This Row],[Median residue*CF*PeF]]&lt;&gt;"",Table22[[#This Row],[Median residue*CF*PeF]],Table22[[#This Row],[MRL*CF*PeF (chronic)]])</f>
        <v>0</v>
      </c>
      <c r="AE136" s="1393">
        <f t="shared" si="44"/>
        <v>0</v>
      </c>
      <c r="AF136" s="1390" t="str">
        <f t="shared" si="45"/>
        <v>MRL</v>
      </c>
      <c r="AG136" s="1390" t="str">
        <f t="shared" si="46"/>
        <v/>
      </c>
      <c r="AH136" s="1394" t="str">
        <f t="shared" si="47"/>
        <v/>
      </c>
      <c r="AI136" s="1386"/>
      <c r="AJ136" s="1387" t="str">
        <f t="shared" si="48"/>
        <v/>
      </c>
      <c r="AK136" s="1387" t="str">
        <f>IF(AI136=A136,IF(AND(L136="N",Table22[[#This Row],[LOQ_label]]="Y"),AJ136,$AJ136*$Y136),"")</f>
        <v/>
      </c>
      <c r="AL136" s="1388" t="str">
        <f t="shared" si="49"/>
        <v/>
      </c>
      <c r="AM136" s="1393" t="str">
        <f>IF(Table22[[#This Row],[Highest residue * CF*PF]]&lt;&gt;"",Table22[[#This Row],[Highest residue * CF*PF]],Table22[[#This Row],[MRL*CF*PF or MRL (if LOQ and not authorised) (acute RA)]])</f>
        <v/>
      </c>
      <c r="AN136" s="1390" t="str">
        <f t="shared" si="50"/>
        <v/>
      </c>
      <c r="AO136" s="1390" t="str">
        <f t="shared" si="51"/>
        <v/>
      </c>
      <c r="AP136" s="1404" t="str">
        <f t="shared" si="52"/>
        <v/>
      </c>
      <c r="AQ136" s="1388">
        <f t="shared" si="53"/>
        <v>0</v>
      </c>
      <c r="AR136" s="1388" t="str">
        <f t="shared" si="54"/>
        <v/>
      </c>
      <c r="AS136" s="1388" t="str">
        <f t="shared" si="55"/>
        <v/>
      </c>
      <c r="AT136" s="1388" t="str">
        <f t="shared" si="56"/>
        <v/>
      </c>
      <c r="AU136" s="1393" t="str">
        <f t="shared" si="57"/>
        <v/>
      </c>
      <c r="AV136" s="1388">
        <f t="shared" si="58"/>
        <v>0</v>
      </c>
      <c r="AW136" s="1390" t="str">
        <f t="shared" si="59"/>
        <v/>
      </c>
      <c r="AX136" s="1390" t="str">
        <f>IF(AND(AN136&lt;&gt;"",AY136&lt;&gt;""),"*","")</f>
        <v/>
      </c>
      <c r="AY136" s="1394" t="str">
        <f t="shared" si="60"/>
        <v/>
      </c>
      <c r="AZ136" s="1395" t="str">
        <f>IF(Table22[[#This Row],[LOQ_label]]="Y",Table22[[#This Row],[MRL individual commodity]],"")</f>
        <v/>
      </c>
      <c r="BA136" s="1396" t="s">
        <v>1159</v>
      </c>
      <c r="BB136" s="1411" t="str">
        <f>IF(Table22[[#This Row],[LOQ2]]&lt;0,MIN(AZ136:AZ410),"")</f>
        <v/>
      </c>
      <c r="BC136" s="1299"/>
      <c r="BD136" s="1306" t="str">
        <f>IF(Table22[[#This Row],[Chronic RA label]]="","N",IF(Table22[[#This Row],[Chronic RA label]]="LOQ","N",IF(Table22[[#This Row],[Chronic RA label]]="MRL","N","Y")))</f>
        <v>N</v>
      </c>
      <c r="BE136" s="1306" t="str">
        <f>IF(Table22[[#This Row],[Acute RA label]]="","N",IF(Table22[[#This Row],[Acute RA label]]="LOQ","N",IF(Table22[[#This Row],[Acute RA label]]="MRL","N","Y")))</f>
        <v>N</v>
      </c>
      <c r="BF136" s="1306" t="str">
        <f>IF(OR(Table22[[#This Row],[include commodity in Summary_input_values_chronic]]="Y",Table22[[#This Row],[include commodity in Summary_input_values_acute]]="Y"),"Y","N")</f>
        <v>N</v>
      </c>
      <c r="BG136" s="1299"/>
      <c r="BH136" s="1324"/>
    </row>
    <row r="137" spans="1:60" ht="12.75" customHeight="1" outlineLevel="2" x14ac:dyDescent="0.2">
      <c r="A137" s="132">
        <v>3</v>
      </c>
      <c r="B137" s="448">
        <v>233000</v>
      </c>
      <c r="C137" s="3" t="s">
        <v>168</v>
      </c>
      <c r="D137" s="862"/>
      <c r="E137" s="1218"/>
      <c r="F137" s="862"/>
      <c r="G137" s="866"/>
      <c r="H137" s="863"/>
      <c r="I137" s="863"/>
      <c r="J137" s="864"/>
      <c r="K137" s="865"/>
      <c r="L137" s="471"/>
      <c r="M137" s="471"/>
      <c r="N137" s="473"/>
      <c r="O137" s="474"/>
      <c r="P137" s="473"/>
      <c r="Q137" s="474"/>
      <c r="R137" s="473"/>
      <c r="S137" s="474"/>
      <c r="T137" s="886"/>
      <c r="U137" s="1415"/>
      <c r="V137" s="1380"/>
      <c r="W137" s="1381"/>
      <c r="X137" s="1381"/>
      <c r="Y137" s="1381"/>
      <c r="Z137" s="1382">
        <v>4</v>
      </c>
      <c r="AA137" s="1381" t="str">
        <f t="shared" si="42"/>
        <v/>
      </c>
      <c r="AB137" s="1381" t="str">
        <f>IF(Z137=A137,IF(AND(L137="N",Table22[[#This Row],[LOQ_label]]="Y"),AA137,$AA137*$Y137),"")</f>
        <v/>
      </c>
      <c r="AC137" s="1383" t="str">
        <f t="shared" si="43"/>
        <v/>
      </c>
      <c r="AD137" s="1383" t="str">
        <f>IF(Table22[[#This Row],[Median residue*CF*PeF]]&lt;&gt;"",Table22[[#This Row],[Median residue*CF*PeF]],Table22[[#This Row],[MRL*CF*PeF (chronic)]])</f>
        <v/>
      </c>
      <c r="AE137" s="1384">
        <f t="shared" si="44"/>
        <v>0</v>
      </c>
      <c r="AF137" s="1385" t="str">
        <f t="shared" si="45"/>
        <v/>
      </c>
      <c r="AG137" s="1385" t="str">
        <f t="shared" si="46"/>
        <v/>
      </c>
      <c r="AH137" s="1270" t="str">
        <f t="shared" si="47"/>
        <v/>
      </c>
      <c r="AI137" s="1386">
        <v>4</v>
      </c>
      <c r="AJ137" s="1387" t="str">
        <f t="shared" si="48"/>
        <v/>
      </c>
      <c r="AK137" s="1387" t="str">
        <f>IF(AI137=A137,IF(AND(L137="N",Table22[[#This Row],[LOQ_label]]="Y"),AJ137,$AJ137*$Y137),"")</f>
        <v/>
      </c>
      <c r="AL137" s="1388" t="str">
        <f t="shared" si="49"/>
        <v/>
      </c>
      <c r="AM137" s="1393" t="str">
        <f>IF(Table22[[#This Row],[Highest residue * CF*PF]]&lt;&gt;"",Table22[[#This Row],[Highest residue * CF*PF]],Table22[[#This Row],[MRL*CF*PF or MRL (if LOQ and not authorised) (acute RA)]])</f>
        <v/>
      </c>
      <c r="AN137" s="1390" t="str">
        <f t="shared" si="50"/>
        <v/>
      </c>
      <c r="AO137" s="1390" t="str">
        <f t="shared" si="51"/>
        <v/>
      </c>
      <c r="AP137" s="1404" t="str">
        <f t="shared" si="52"/>
        <v/>
      </c>
      <c r="AQ137" s="1388">
        <f t="shared" si="53"/>
        <v>0</v>
      </c>
      <c r="AR137" s="1388" t="str">
        <f t="shared" si="54"/>
        <v/>
      </c>
      <c r="AS137" s="1388" t="str">
        <f t="shared" si="55"/>
        <v/>
      </c>
      <c r="AT137" s="1388" t="str">
        <f t="shared" si="56"/>
        <v/>
      </c>
      <c r="AU137" s="1393" t="str">
        <f t="shared" si="57"/>
        <v/>
      </c>
      <c r="AV137" s="1388">
        <f t="shared" si="58"/>
        <v>0</v>
      </c>
      <c r="AW137" s="1390" t="str">
        <f t="shared" si="59"/>
        <v/>
      </c>
      <c r="AX137" s="1390" t="str">
        <f>IF(AND(AN137&lt;&gt;"",AY137&lt;&gt;""),"*","")</f>
        <v/>
      </c>
      <c r="AY137" s="1394" t="str">
        <f t="shared" si="60"/>
        <v/>
      </c>
      <c r="AZ137" s="1395">
        <f>IF(Table22[[#This Row],[LOQ_label]]="Y",Table22[[#This Row],[MRL individual commodity]],"")</f>
        <v>0</v>
      </c>
      <c r="BA137" s="1396" t="s">
        <v>1159</v>
      </c>
      <c r="BB137" s="1411" t="str">
        <f>IF(Table22[[#This Row],[LOQ2]]&lt;0,MIN(AZ137:AZ410),"")</f>
        <v/>
      </c>
      <c r="BC137" s="1299"/>
      <c r="BD137" s="1306" t="str">
        <f>IF(Table22[[#This Row],[Chronic RA label]]="","N",IF(Table22[[#This Row],[Chronic RA label]]="LOQ","N",IF(Table22[[#This Row],[Chronic RA label]]="MRL","N","Y")))</f>
        <v>N</v>
      </c>
      <c r="BE137" s="1306" t="str">
        <f>IF(Table22[[#This Row],[Acute RA label]]="","N",IF(Table22[[#This Row],[Acute RA label]]="LOQ","N",IF(Table22[[#This Row],[Acute RA label]]="MRL","N","Y")))</f>
        <v>N</v>
      </c>
      <c r="BF137" s="1306" t="str">
        <f>IF(OR(Table22[[#This Row],[include commodity in Summary_input_values_chronic]]="Y",Table22[[#This Row],[include commodity in Summary_input_values_acute]]="Y"),"Y","N")</f>
        <v>N</v>
      </c>
      <c r="BG137" s="1299"/>
      <c r="BH137" s="1324"/>
    </row>
    <row r="138" spans="1:60" ht="12.75" customHeight="1" outlineLevel="3" x14ac:dyDescent="0.2">
      <c r="A138" s="39">
        <v>4</v>
      </c>
      <c r="B138" s="327">
        <v>233010</v>
      </c>
      <c r="C138" s="23" t="s">
        <v>247</v>
      </c>
      <c r="D138" s="867"/>
      <c r="E138" s="1219"/>
      <c r="F138" s="867"/>
      <c r="G138" s="869"/>
      <c r="H138" s="868"/>
      <c r="I138" s="868"/>
      <c r="J138" s="870"/>
      <c r="K138" s="871"/>
      <c r="L138" s="872"/>
      <c r="M138" s="872"/>
      <c r="N138" s="925" t="str">
        <f>IF(O138&lt;&gt;0,CONCATENATE(input_values!$AF138,input_values!$AG138,input_values!$AH138),"")</f>
        <v/>
      </c>
      <c r="O138" s="491">
        <f>IF($A$10="Refined calculation mode",Table22[[#This Row],[input for chronic (refined mode]],Table22[[#This Row],[input for chronic normal mode]])</f>
        <v>0</v>
      </c>
      <c r="P138" s="925" t="str">
        <f>IF(Q138&lt;&gt;0,CONCATENATE(input_values!$AN138,input_values!$AO138,input_values!$AP138),"")</f>
        <v/>
      </c>
      <c r="Q138" s="491">
        <f>IF($V$5=0,0,IF(OR($A$10="Refined calculation mode",Results!$B$62="Show results of IESTI calculation only for crops with GAPs under assessment"),Table22[[#This Row],[Input for IESTI (refined mode)]],Table22[[#This Row],[Input for IESTI normal mode]]))</f>
        <v>0</v>
      </c>
      <c r="R138" s="926" t="str">
        <f>IF(S138&lt;&gt;0,CONCATENATE(input_values!$AW138,input_values!$AX138,input_values!$AY138),"")</f>
        <v/>
      </c>
      <c r="S138" s="492">
        <f>IF($V$5=0,0,IF(OR($A$10="Refined calculation mode",Results!$B$62="Show results of IESTI calculation only for crops with GAPs under assessment"),Table22[[#This Row],[Input for IESTI new (refined mode)]],Table22[[#This Row],[Input for IESTI new normal mode]]))</f>
        <v>0</v>
      </c>
      <c r="T138" s="886"/>
      <c r="U138" s="1408">
        <f>Table22[[#This Row],[MRL/ proposed MRL /CXL
(mg/kg)]]</f>
        <v>0</v>
      </c>
      <c r="V138" s="1409" t="str">
        <f>IF(ISBLANK(F138),"","Y")</f>
        <v/>
      </c>
      <c r="W138" s="1387">
        <f>IF($G138&gt;0,$G138,1)</f>
        <v>1</v>
      </c>
      <c r="X138" s="1387">
        <f>IF($H138&gt;0,$H138,1)</f>
        <v>1</v>
      </c>
      <c r="Y138" s="1387">
        <f>W138*X138</f>
        <v>1</v>
      </c>
      <c r="Z138" s="1410">
        <v>4</v>
      </c>
      <c r="AA138" s="1387">
        <f t="shared" si="42"/>
        <v>0</v>
      </c>
      <c r="AB138" s="1387">
        <f>IF(Z138=A138,IF(AND(L138="N",Table22[[#This Row],[LOQ_label]]="Y"),AA138,$AA138*$Y138),"")</f>
        <v>0</v>
      </c>
      <c r="AC138" s="1393">
        <f t="shared" si="43"/>
        <v>0</v>
      </c>
      <c r="AD138" s="1393">
        <f>IF(Table22[[#This Row],[Median residue*CF*PeF]]&lt;&gt;"",Table22[[#This Row],[Median residue*CF*PeF]],Table22[[#This Row],[MRL*CF*PeF (chronic)]])</f>
        <v>0</v>
      </c>
      <c r="AE138" s="1393">
        <f t="shared" si="44"/>
        <v>0</v>
      </c>
      <c r="AF138" s="1390" t="str">
        <f t="shared" si="45"/>
        <v>MRL</v>
      </c>
      <c r="AG138" s="1390" t="str">
        <f t="shared" si="46"/>
        <v/>
      </c>
      <c r="AH138" s="1394" t="str">
        <f t="shared" si="47"/>
        <v/>
      </c>
      <c r="AI138" s="1386">
        <v>4</v>
      </c>
      <c r="AJ138" s="1387">
        <f t="shared" si="48"/>
        <v>0</v>
      </c>
      <c r="AK138" s="1387">
        <f>IF(AI138=A138,IF(AND(L138="N",Table22[[#This Row],[LOQ_label]]="Y"),AJ138,$AJ138*$Y138),"")</f>
        <v>0</v>
      </c>
      <c r="AL138" s="1388">
        <f t="shared" si="49"/>
        <v>0</v>
      </c>
      <c r="AM138" s="1393">
        <f>IF(Table22[[#This Row],[Highest residue * CF*PF]]&lt;&gt;"",Table22[[#This Row],[Highest residue * CF*PF]],Table22[[#This Row],[MRL*CF*PF or MRL (if LOQ and not authorised) (acute RA)]])</f>
        <v>0</v>
      </c>
      <c r="AN138" s="1390" t="str">
        <f t="shared" si="50"/>
        <v>MRL</v>
      </c>
      <c r="AO138" s="1390" t="str">
        <f t="shared" si="51"/>
        <v/>
      </c>
      <c r="AP138" s="1404" t="str">
        <f t="shared" si="52"/>
        <v/>
      </c>
      <c r="AQ138" s="1388">
        <f t="shared" si="53"/>
        <v>0</v>
      </c>
      <c r="AR138" s="1388" t="str">
        <f t="shared" si="54"/>
        <v/>
      </c>
      <c r="AS138" s="1388" t="str">
        <f t="shared" si="55"/>
        <v/>
      </c>
      <c r="AT138" s="1388" t="str">
        <f t="shared" si="56"/>
        <v/>
      </c>
      <c r="AU138" s="1393">
        <f t="shared" si="57"/>
        <v>0</v>
      </c>
      <c r="AV138" s="1388">
        <f t="shared" si="58"/>
        <v>0</v>
      </c>
      <c r="AW138" s="1390" t="str">
        <f t="shared" si="59"/>
        <v/>
      </c>
      <c r="AX138" s="1390" t="str">
        <f>IF(AND(AW138&lt;&gt;"",AY138&lt;&gt;""),"*","")</f>
        <v/>
      </c>
      <c r="AY138" s="1394" t="str">
        <f t="shared" si="60"/>
        <v/>
      </c>
      <c r="AZ138" s="1395" t="str">
        <f>IF(Table22[[#This Row],[LOQ_label]]="Y",Table22[[#This Row],[MRL individual commodity]],"")</f>
        <v/>
      </c>
      <c r="BA138" s="1449" t="s">
        <v>654</v>
      </c>
      <c r="BB138" s="1411" t="str">
        <f>IF(Table22[[#This Row],[LOQ2]]&lt;0,MIN(AZ138:AZ410),"")</f>
        <v/>
      </c>
      <c r="BC138" s="1299"/>
      <c r="BD138" s="1306" t="str">
        <f>IF(Table22[[#This Row],[Chronic RA label]]="","N",IF(Table22[[#This Row],[Chronic RA label]]="LOQ","N",IF(Table22[[#This Row],[Chronic RA label]]="MRL","N","Y")))</f>
        <v>N</v>
      </c>
      <c r="BE138" s="1306" t="str">
        <f>IF(Table22[[#This Row],[Acute RA label]]="","N",IF(Table22[[#This Row],[Acute RA label]]="LOQ","N",IF(Table22[[#This Row],[Acute RA label]]="MRL","N","Y")))</f>
        <v>N</v>
      </c>
      <c r="BF138" s="1306" t="str">
        <f>IF(OR(Table22[[#This Row],[include commodity in Summary_input_values_chronic]]="Y",Table22[[#This Row],[include commodity in Summary_input_values_acute]]="Y"),"Y","N")</f>
        <v>N</v>
      </c>
      <c r="BG138" s="1299"/>
      <c r="BH138" s="1324"/>
    </row>
    <row r="139" spans="1:60" ht="12.75" customHeight="1" outlineLevel="3" x14ac:dyDescent="0.2">
      <c r="A139" s="39">
        <v>4</v>
      </c>
      <c r="B139" s="327">
        <v>233020</v>
      </c>
      <c r="C139" s="23" t="s">
        <v>248</v>
      </c>
      <c r="D139" s="867"/>
      <c r="E139" s="1219"/>
      <c r="F139" s="867"/>
      <c r="G139" s="869"/>
      <c r="H139" s="868"/>
      <c r="I139" s="868"/>
      <c r="J139" s="870"/>
      <c r="K139" s="871"/>
      <c r="L139" s="872"/>
      <c r="M139" s="872"/>
      <c r="N139" s="925" t="str">
        <f>IF(O139&lt;&gt;0,CONCATENATE(input_values!$AF139,input_values!$AG139,input_values!$AH139),"")</f>
        <v/>
      </c>
      <c r="O139" s="491">
        <f>IF($A$10="Refined calculation mode",Table22[[#This Row],[input for chronic (refined mode]],Table22[[#This Row],[input for chronic normal mode]])</f>
        <v>0</v>
      </c>
      <c r="P139" s="925" t="str">
        <f>IF(Q139&lt;&gt;0,CONCATENATE(input_values!$AN139,input_values!$AO139,input_values!$AP139),"")</f>
        <v/>
      </c>
      <c r="Q139" s="491">
        <f>IF($V$5=0,0,IF(OR($A$10="Refined calculation mode",Results!$B$62="Show results of IESTI calculation only for crops with GAPs under assessment"),Table22[[#This Row],[Input for IESTI (refined mode)]],Table22[[#This Row],[Input for IESTI normal mode]]))</f>
        <v>0</v>
      </c>
      <c r="R139" s="926" t="str">
        <f>IF(S139&lt;&gt;0,CONCATENATE(input_values!$AW139,input_values!$AX139,input_values!$AY139),"")</f>
        <v/>
      </c>
      <c r="S139" s="492">
        <f>IF($V$5=0,0,IF(OR($A$10="Refined calculation mode",Results!$B$62="Show results of IESTI calculation only for crops with GAPs under assessment"),Table22[[#This Row],[Input for IESTI new (refined mode)]],Table22[[#This Row],[Input for IESTI new normal mode]]))</f>
        <v>0</v>
      </c>
      <c r="T139" s="886"/>
      <c r="U139" s="1408">
        <f>Table22[[#This Row],[MRL/ proposed MRL /CXL
(mg/kg)]]</f>
        <v>0</v>
      </c>
      <c r="V139" s="1409" t="str">
        <f>IF(ISBLANK(F139),"","Y")</f>
        <v/>
      </c>
      <c r="W139" s="1387">
        <f>IF($G139&gt;0,$G139,1)</f>
        <v>1</v>
      </c>
      <c r="X139" s="1387">
        <f>IF($H139&gt;0,$H139,1)</f>
        <v>1</v>
      </c>
      <c r="Y139" s="1387">
        <f>W139*X139</f>
        <v>1</v>
      </c>
      <c r="Z139" s="1410">
        <v>4</v>
      </c>
      <c r="AA139" s="1387">
        <f t="shared" si="42"/>
        <v>0</v>
      </c>
      <c r="AB139" s="1387">
        <f>IF(Z139=A139,IF(AND(L139="N",Table22[[#This Row],[LOQ_label]]="Y"),AA139,$AA139*$Y139),"")</f>
        <v>0</v>
      </c>
      <c r="AC139" s="1393">
        <f t="shared" si="43"/>
        <v>0</v>
      </c>
      <c r="AD139" s="1393">
        <f>IF(Table22[[#This Row],[Median residue*CF*PeF]]&lt;&gt;"",Table22[[#This Row],[Median residue*CF*PeF]],Table22[[#This Row],[MRL*CF*PeF (chronic)]])</f>
        <v>0</v>
      </c>
      <c r="AE139" s="1393">
        <f t="shared" si="44"/>
        <v>0</v>
      </c>
      <c r="AF139" s="1390" t="str">
        <f t="shared" si="45"/>
        <v>MRL</v>
      </c>
      <c r="AG139" s="1390" t="str">
        <f t="shared" si="46"/>
        <v/>
      </c>
      <c r="AH139" s="1394" t="str">
        <f t="shared" si="47"/>
        <v/>
      </c>
      <c r="AI139" s="1386">
        <v>4</v>
      </c>
      <c r="AJ139" s="1387">
        <f t="shared" si="48"/>
        <v>0</v>
      </c>
      <c r="AK139" s="1387">
        <f>IF(AI139=A139,IF(AND(L139="N",Table22[[#This Row],[LOQ_label]]="Y"),AJ139,$AJ139*$Y139),"")</f>
        <v>0</v>
      </c>
      <c r="AL139" s="1388">
        <f t="shared" si="49"/>
        <v>0</v>
      </c>
      <c r="AM139" s="1393">
        <f>IF(Table22[[#This Row],[Highest residue * CF*PF]]&lt;&gt;"",Table22[[#This Row],[Highest residue * CF*PF]],Table22[[#This Row],[MRL*CF*PF or MRL (if LOQ and not authorised) (acute RA)]])</f>
        <v>0</v>
      </c>
      <c r="AN139" s="1390" t="str">
        <f t="shared" si="50"/>
        <v>MRL</v>
      </c>
      <c r="AO139" s="1390" t="str">
        <f t="shared" si="51"/>
        <v/>
      </c>
      <c r="AP139" s="1404" t="str">
        <f t="shared" si="52"/>
        <v/>
      </c>
      <c r="AQ139" s="1388">
        <f t="shared" si="53"/>
        <v>0</v>
      </c>
      <c r="AR139" s="1388" t="str">
        <f t="shared" si="54"/>
        <v/>
      </c>
      <c r="AS139" s="1388" t="str">
        <f t="shared" si="55"/>
        <v/>
      </c>
      <c r="AT139" s="1388" t="str">
        <f t="shared" si="56"/>
        <v/>
      </c>
      <c r="AU139" s="1393">
        <f t="shared" si="57"/>
        <v>0</v>
      </c>
      <c r="AV139" s="1388">
        <f t="shared" si="58"/>
        <v>0</v>
      </c>
      <c r="AW139" s="1390" t="str">
        <f t="shared" si="59"/>
        <v/>
      </c>
      <c r="AX139" s="1390" t="str">
        <f>IF(AND(AW139&lt;&gt;"",AY139&lt;&gt;""),"*","")</f>
        <v/>
      </c>
      <c r="AY139" s="1394" t="str">
        <f t="shared" si="60"/>
        <v/>
      </c>
      <c r="AZ139" s="1395" t="str">
        <f>IF(Table22[[#This Row],[LOQ_label]]="Y",Table22[[#This Row],[MRL individual commodity]],"")</f>
        <v/>
      </c>
      <c r="BA139" s="1449" t="s">
        <v>654</v>
      </c>
      <c r="BB139" s="1411" t="str">
        <f>IF(Table22[[#This Row],[LOQ2]]&lt;0,MIN(AZ139:AZ410),"")</f>
        <v/>
      </c>
      <c r="BC139" s="1299"/>
      <c r="BD139" s="1306" t="str">
        <f>IF(Table22[[#This Row],[Chronic RA label]]="","N",IF(Table22[[#This Row],[Chronic RA label]]="LOQ","N",IF(Table22[[#This Row],[Chronic RA label]]="MRL","N","Y")))</f>
        <v>N</v>
      </c>
      <c r="BE139" s="1306" t="str">
        <f>IF(Table22[[#This Row],[Acute RA label]]="","N",IF(Table22[[#This Row],[Acute RA label]]="LOQ","N",IF(Table22[[#This Row],[Acute RA label]]="MRL","N","Y")))</f>
        <v>N</v>
      </c>
      <c r="BF139" s="1306" t="str">
        <f>IF(OR(Table22[[#This Row],[include commodity in Summary_input_values_chronic]]="Y",Table22[[#This Row],[include commodity in Summary_input_values_acute]]="Y"),"Y","N")</f>
        <v>N</v>
      </c>
      <c r="BG139" s="1299"/>
      <c r="BH139" s="1324"/>
    </row>
    <row r="140" spans="1:60" ht="12.75" customHeight="1" outlineLevel="3" x14ac:dyDescent="0.2">
      <c r="A140" s="39">
        <v>4</v>
      </c>
      <c r="B140" s="327">
        <v>233030</v>
      </c>
      <c r="C140" s="23" t="s">
        <v>249</v>
      </c>
      <c r="D140" s="867"/>
      <c r="E140" s="1219"/>
      <c r="F140" s="867"/>
      <c r="G140" s="869"/>
      <c r="H140" s="868"/>
      <c r="I140" s="868"/>
      <c r="J140" s="870"/>
      <c r="K140" s="871"/>
      <c r="L140" s="872"/>
      <c r="M140" s="872"/>
      <c r="N140" s="925" t="str">
        <f>IF(O140&lt;&gt;0,CONCATENATE(input_values!$AF140,input_values!$AG140,input_values!$AH140),"")</f>
        <v/>
      </c>
      <c r="O140" s="491">
        <f>IF($A$10="Refined calculation mode",Table22[[#This Row],[input for chronic (refined mode]],Table22[[#This Row],[input for chronic normal mode]])</f>
        <v>0</v>
      </c>
      <c r="P140" s="925" t="str">
        <f>IF(Q140&lt;&gt;0,CONCATENATE(input_values!$AN140,input_values!$AO140,input_values!$AP140),"")</f>
        <v/>
      </c>
      <c r="Q140" s="491">
        <f>IF($V$5=0,0,IF(OR($A$10="Refined calculation mode",Results!$B$62="Show results of IESTI calculation only for crops with GAPs under assessment"),Table22[[#This Row],[Input for IESTI (refined mode)]],Table22[[#This Row],[Input for IESTI normal mode]]))</f>
        <v>0</v>
      </c>
      <c r="R140" s="926" t="str">
        <f>IF(S140&lt;&gt;0,CONCATENATE(input_values!$AW140,input_values!$AX140,input_values!$AY140),"")</f>
        <v/>
      </c>
      <c r="S140" s="492">
        <f>IF($V$5=0,0,IF(OR($A$10="Refined calculation mode",Results!$B$62="Show results of IESTI calculation only for crops with GAPs under assessment"),Table22[[#This Row],[Input for IESTI new (refined mode)]],Table22[[#This Row],[Input for IESTI new normal mode]]))</f>
        <v>0</v>
      </c>
      <c r="T140" s="886"/>
      <c r="U140" s="1408">
        <f>Table22[[#This Row],[MRL/ proposed MRL /CXL
(mg/kg)]]</f>
        <v>0</v>
      </c>
      <c r="V140" s="1409" t="str">
        <f>IF(ISBLANK(F140),"","Y")</f>
        <v/>
      </c>
      <c r="W140" s="1387">
        <f>IF($G140&gt;0,$G140,1)</f>
        <v>1</v>
      </c>
      <c r="X140" s="1387">
        <f>IF($H140&gt;0,$H140,1)</f>
        <v>1</v>
      </c>
      <c r="Y140" s="1387">
        <f>W140*X140</f>
        <v>1</v>
      </c>
      <c r="Z140" s="1410">
        <v>4</v>
      </c>
      <c r="AA140" s="1387">
        <f t="shared" ref="AA140:AA203" si="76">IF(Z140=A140,U140,"")</f>
        <v>0</v>
      </c>
      <c r="AB140" s="1387">
        <f>IF(Z140=A140,IF(AND(L140="N",Table22[[#This Row],[LOQ_label]]="Y"),AA140,$AA140*$Y140),"")</f>
        <v>0</v>
      </c>
      <c r="AC140" s="1393">
        <f t="shared" ref="AC140:AC203" si="77">IF(Z140=A140,$I140*$Y140,"")</f>
        <v>0</v>
      </c>
      <c r="AD140" s="1393">
        <f>IF(Table22[[#This Row],[Median residue*CF*PeF]]&lt;&gt;"",Table22[[#This Row],[Median residue*CF*PeF]],Table22[[#This Row],[MRL*CF*PeF (chronic)]])</f>
        <v>0</v>
      </c>
      <c r="AE140" s="1393">
        <f t="shared" ref="AE140:AE203" si="78">IF(OR(L140="N",ISBLANK(L140)),0,IF(Z140=A140,IF(ISBLANK(I140)=TRUE,AB140,AC140),""))</f>
        <v>0</v>
      </c>
      <c r="AF140" s="1390" t="str">
        <f t="shared" ref="AF140:AF203" si="79">IF(Z140&lt;&gt;A140,"",IF(ISBLANK(I140)=FALSE,"STMR-RAC",IF(V140="Y","LOQ","MRL")))</f>
        <v>MRL</v>
      </c>
      <c r="AG140" s="1390" t="str">
        <f t="shared" ref="AG140:AG203" si="80">IF(AND(AF140&lt;&gt;"",AH140&lt;&gt;""),"*","")</f>
        <v/>
      </c>
      <c r="AH140" s="1394" t="str">
        <f t="shared" ref="AH140:AH203" si="81">IF(OR(AND(AF140="LOQ",L140="N"),AF140=""),"",IF(AND(G140&gt;0,H140&gt;0),"CF*PeF",IF(G140&gt;0,"CF",IF(H140&gt;0,"PeF",""))))</f>
        <v/>
      </c>
      <c r="AI140" s="1386">
        <v>4</v>
      </c>
      <c r="AJ140" s="1387">
        <f t="shared" ref="AJ140:AJ203" si="82">IF(AI140=A140,U140,"")</f>
        <v>0</v>
      </c>
      <c r="AK140" s="1387">
        <f>IF(AI140=A140,IF(AND(L140="N",Table22[[#This Row],[LOQ_label]]="Y"),AJ140,$AJ140*$Y140),"")</f>
        <v>0</v>
      </c>
      <c r="AL140" s="1388">
        <f t="shared" ref="AL140:AL203" si="83">IF(AI140=A140,$J140*$Y140,"")</f>
        <v>0</v>
      </c>
      <c r="AM140" s="1393">
        <f>IF(Table22[[#This Row],[Highest residue * CF*PF]]&lt;&gt;"",Table22[[#This Row],[Highest residue * CF*PF]],Table22[[#This Row],[MRL*CF*PF or MRL (if LOQ and not authorised) (acute RA)]])</f>
        <v>0</v>
      </c>
      <c r="AN140" s="1390" t="str">
        <f t="shared" ref="AN140:AN203" si="84">IF(AI140&lt;&gt;A140,"",IF(BA140=3,AF140,IF(ISBLANK($J140)=FALSE,"HR-RAC",IF(V140="Y","LOQ","MRL"))))</f>
        <v>MRL</v>
      </c>
      <c r="AO140" s="1390" t="str">
        <f t="shared" ref="AO140:AO203" si="85">IF(AND(AN140&lt;&gt;"",AP140&lt;&gt;""),"*","")</f>
        <v/>
      </c>
      <c r="AP140" s="1404" t="str">
        <f t="shared" ref="AP140:AP203" si="86">IF(OR(AND(AN140="LOQ",L140="N"),AN140=""),"",IF(AND(G140&gt;0,H140&gt;0),"CF*PeF",IF(G140&gt;0,"CF",IF(H140&gt;0,"PeF",""))))</f>
        <v/>
      </c>
      <c r="AQ140" s="1388">
        <f t="shared" ref="AQ140:AQ203" si="87">IF(OR(L140="N",ISBLANK(L140)),0,IF(AI140=A140,IF(BA140=3,AE140,IF(ISBLANK(J140)=TRUE,AK140,AL140)),""))</f>
        <v>0</v>
      </c>
      <c r="AR140" s="1388" t="str">
        <f t="shared" ref="AR140:AR203" si="88">IF(OR(AI140&lt;&gt;A140,AQ140=0),"",IF(BA140=3,AF140,IF(ISBLANK($I140)=FALSE,"STMR-RAC",IF(V140="Y","LOQ","MRL"))))</f>
        <v/>
      </c>
      <c r="AS140" s="1388" t="str">
        <f t="shared" ref="AS140:AS203" si="89">IF(AND(AR140&lt;&gt;"",AT140&lt;&gt;""),"*","")</f>
        <v/>
      </c>
      <c r="AT140" s="1388" t="str">
        <f t="shared" ref="AT140:AT203" si="90">IF(OR(AND(AR140="LOQ",L140="N"),AR140=""),"",IF(AND(G140&gt;0,H140&gt;0),"CF*PeF",IF(G140&gt;0,"CF",IF(H140&gt;0,"PeF",""))))</f>
        <v/>
      </c>
      <c r="AU140" s="1393">
        <f t="shared" ref="AU140:AU203" si="91">AK140</f>
        <v>0</v>
      </c>
      <c r="AV140" s="1388">
        <f t="shared" ref="AV140:AV203" si="92">IF(OR(L140="N",ISBLANK(L140)),0,AK140)</f>
        <v>0</v>
      </c>
      <c r="AW140" s="1390" t="str">
        <f t="shared" ref="AW140:AW203" si="93">IF(OR(AI140&lt;&gt;A140,AJ140=0),"",IF(V140="Y","LOQ","MRL"))</f>
        <v/>
      </c>
      <c r="AX140" s="1390" t="str">
        <f>IF(AND(AW140&lt;&gt;"",AY140&lt;&gt;""),"*","")</f>
        <v/>
      </c>
      <c r="AY140" s="1394" t="str">
        <f t="shared" ref="AY140:AY203" si="94">IF(OR(AND(AW140="LOQ",L140="N"),AW140=""),"",IF(AND(G140&gt;0,H140&gt;0),"CF*PeF",IF(G140&gt;0,"CF",IF(H140&gt;0,"PeF",""))))</f>
        <v/>
      </c>
      <c r="AZ140" s="1395" t="str">
        <f>IF(Table22[[#This Row],[LOQ_label]]="Y",Table22[[#This Row],[MRL individual commodity]],"")</f>
        <v/>
      </c>
      <c r="BA140" s="1449" t="s">
        <v>654</v>
      </c>
      <c r="BB140" s="1411" t="str">
        <f>IF(Table22[[#This Row],[LOQ2]]&lt;0,MIN(AZ140:AZ410),"")</f>
        <v/>
      </c>
      <c r="BC140" s="1299"/>
      <c r="BD140" s="1306" t="str">
        <f>IF(Table22[[#This Row],[Chronic RA label]]="","N",IF(Table22[[#This Row],[Chronic RA label]]="LOQ","N",IF(Table22[[#This Row],[Chronic RA label]]="MRL","N","Y")))</f>
        <v>N</v>
      </c>
      <c r="BE140" s="1306" t="str">
        <f>IF(Table22[[#This Row],[Acute RA label]]="","N",IF(Table22[[#This Row],[Acute RA label]]="LOQ","N",IF(Table22[[#This Row],[Acute RA label]]="MRL","N","Y")))</f>
        <v>N</v>
      </c>
      <c r="BF140" s="1306" t="str">
        <f>IF(OR(Table22[[#This Row],[include commodity in Summary_input_values_chronic]]="Y",Table22[[#This Row],[include commodity in Summary_input_values_acute]]="Y"),"Y","N")</f>
        <v>N</v>
      </c>
      <c r="BG140" s="1299"/>
      <c r="BH140" s="1324"/>
    </row>
    <row r="141" spans="1:60" ht="12.75" customHeight="1" outlineLevel="3" x14ac:dyDescent="0.2">
      <c r="A141" s="39">
        <v>4</v>
      </c>
      <c r="B141" s="327">
        <v>233990</v>
      </c>
      <c r="C141" s="23" t="s">
        <v>169</v>
      </c>
      <c r="D141" s="867"/>
      <c r="E141" s="1219"/>
      <c r="F141" s="867"/>
      <c r="G141" s="869"/>
      <c r="H141" s="868"/>
      <c r="I141" s="868"/>
      <c r="J141" s="870"/>
      <c r="K141" s="865"/>
      <c r="L141" s="872"/>
      <c r="M141" s="872"/>
      <c r="N141" s="925" t="str">
        <f>IF(O141&lt;&gt;0,CONCATENATE(input_values!$AF141,input_values!$AG141,input_values!$AH141),"")</f>
        <v/>
      </c>
      <c r="O141" s="491">
        <f>IF($A$10="Refined calculation mode",Table22[[#This Row],[input for chronic (refined mode]],Table22[[#This Row],[input for chronic normal mode]])</f>
        <v>0</v>
      </c>
      <c r="P141" s="473"/>
      <c r="Q141" s="474"/>
      <c r="R141" s="473"/>
      <c r="S141" s="474"/>
      <c r="T141" s="886"/>
      <c r="U141" s="1408">
        <f>Table22[[#This Row],[MRL/ proposed MRL /CXL
(mg/kg)]]</f>
        <v>0</v>
      </c>
      <c r="V141" s="1409" t="str">
        <f>IF(ISBLANK(F141),"","Y")</f>
        <v/>
      </c>
      <c r="W141" s="1387">
        <f>IF($G141&gt;0,$G141,1)</f>
        <v>1</v>
      </c>
      <c r="X141" s="1387">
        <f>IF($H141&gt;0,$H141,1)</f>
        <v>1</v>
      </c>
      <c r="Y141" s="1387">
        <f>W141*X141</f>
        <v>1</v>
      </c>
      <c r="Z141" s="1410">
        <v>4</v>
      </c>
      <c r="AA141" s="1387">
        <f t="shared" si="76"/>
        <v>0</v>
      </c>
      <c r="AB141" s="1387">
        <f>IF(Z141=A141,IF(AND(L141="N",Table22[[#This Row],[LOQ_label]]="Y"),AA141,$AA141*$Y141),"")</f>
        <v>0</v>
      </c>
      <c r="AC141" s="1393">
        <f t="shared" si="77"/>
        <v>0</v>
      </c>
      <c r="AD141" s="1393">
        <f>IF(Table22[[#This Row],[Median residue*CF*PeF]]&lt;&gt;"",Table22[[#This Row],[Median residue*CF*PeF]],Table22[[#This Row],[MRL*CF*PeF (chronic)]])</f>
        <v>0</v>
      </c>
      <c r="AE141" s="1393">
        <f t="shared" si="78"/>
        <v>0</v>
      </c>
      <c r="AF141" s="1390" t="str">
        <f t="shared" si="79"/>
        <v>MRL</v>
      </c>
      <c r="AG141" s="1390" t="str">
        <f t="shared" si="80"/>
        <v/>
      </c>
      <c r="AH141" s="1394" t="str">
        <f t="shared" si="81"/>
        <v/>
      </c>
      <c r="AI141" s="1418"/>
      <c r="AJ141" s="1387" t="str">
        <f t="shared" si="82"/>
        <v/>
      </c>
      <c r="AK141" s="1387" t="str">
        <f>IF(AI141=A141,IF(AND(L141="N",Table22[[#This Row],[LOQ_label]]="Y"),AJ141,$AJ141*$Y141),"")</f>
        <v/>
      </c>
      <c r="AL141" s="1388" t="str">
        <f t="shared" si="83"/>
        <v/>
      </c>
      <c r="AM141" s="1393" t="str">
        <f>IF(Table22[[#This Row],[Highest residue * CF*PF]]&lt;&gt;"",Table22[[#This Row],[Highest residue * CF*PF]],Table22[[#This Row],[MRL*CF*PF or MRL (if LOQ and not authorised) (acute RA)]])</f>
        <v/>
      </c>
      <c r="AN141" s="1390" t="str">
        <f t="shared" si="84"/>
        <v/>
      </c>
      <c r="AO141" s="1390" t="str">
        <f t="shared" si="85"/>
        <v/>
      </c>
      <c r="AP141" s="1404" t="str">
        <f t="shared" si="86"/>
        <v/>
      </c>
      <c r="AQ141" s="1388">
        <f t="shared" si="87"/>
        <v>0</v>
      </c>
      <c r="AR141" s="1388" t="str">
        <f t="shared" si="88"/>
        <v/>
      </c>
      <c r="AS141" s="1388" t="str">
        <f t="shared" si="89"/>
        <v/>
      </c>
      <c r="AT141" s="1388" t="str">
        <f t="shared" si="90"/>
        <v/>
      </c>
      <c r="AU141" s="1393" t="str">
        <f t="shared" si="91"/>
        <v/>
      </c>
      <c r="AV141" s="1388">
        <f t="shared" si="92"/>
        <v>0</v>
      </c>
      <c r="AW141" s="1390" t="str">
        <f t="shared" si="93"/>
        <v/>
      </c>
      <c r="AX141" s="1390" t="str">
        <f>IF(AND(AN141&lt;&gt;"",AY141&lt;&gt;""),"*","")</f>
        <v/>
      </c>
      <c r="AY141" s="1394" t="str">
        <f t="shared" si="94"/>
        <v/>
      </c>
      <c r="AZ141" s="1395" t="str">
        <f>IF(Table22[[#This Row],[LOQ_label]]="Y",Table22[[#This Row],[MRL individual commodity]],"")</f>
        <v/>
      </c>
      <c r="BA141" s="1396" t="s">
        <v>1159</v>
      </c>
      <c r="BB141" s="1411" t="str">
        <f>IF(Table22[[#This Row],[LOQ2]]&lt;0,MIN(AZ141:AZ410),"")</f>
        <v/>
      </c>
      <c r="BC141" s="1299"/>
      <c r="BD141" s="1306" t="str">
        <f>IF(Table22[[#This Row],[Chronic RA label]]="","N",IF(Table22[[#This Row],[Chronic RA label]]="LOQ","N",IF(Table22[[#This Row],[Chronic RA label]]="MRL","N","Y")))</f>
        <v>N</v>
      </c>
      <c r="BE141" s="1306" t="str">
        <f>IF(Table22[[#This Row],[Acute RA label]]="","N",IF(Table22[[#This Row],[Acute RA label]]="LOQ","N",IF(Table22[[#This Row],[Acute RA label]]="MRL","N","Y")))</f>
        <v>N</v>
      </c>
      <c r="BF141" s="1306" t="str">
        <f>IF(OR(Table22[[#This Row],[include commodity in Summary_input_values_chronic]]="Y",Table22[[#This Row],[include commodity in Summary_input_values_acute]]="Y"),"Y","N")</f>
        <v>N</v>
      </c>
      <c r="BG141" s="1299"/>
      <c r="BH141" s="1324"/>
    </row>
    <row r="142" spans="1:60" ht="12.75" customHeight="1" outlineLevel="2" x14ac:dyDescent="0.2">
      <c r="A142" s="132">
        <v>3</v>
      </c>
      <c r="B142" s="448">
        <v>234000</v>
      </c>
      <c r="C142" s="3" t="s">
        <v>228</v>
      </c>
      <c r="D142" s="867"/>
      <c r="E142" s="1219"/>
      <c r="F142" s="867"/>
      <c r="G142" s="869"/>
      <c r="H142" s="863"/>
      <c r="I142" s="868"/>
      <c r="J142" s="870"/>
      <c r="K142" s="871"/>
      <c r="L142" s="872"/>
      <c r="M142" s="872"/>
      <c r="N142" s="925" t="str">
        <f>IF(O142&lt;&gt;0,CONCATENATE(input_values!$AF142,input_values!$AG142,input_values!$AH142),"")</f>
        <v/>
      </c>
      <c r="O142" s="491">
        <f>IF($A$10="Refined calculation mode",Table22[[#This Row],[input for chronic (refined mode]],Table22[[#This Row],[input for chronic normal mode]])</f>
        <v>0</v>
      </c>
      <c r="P142" s="925" t="str">
        <f>IF(Q142&lt;&gt;0,CONCATENATE(input_values!$AN142,input_values!$AO142,input_values!$AP142),"")</f>
        <v/>
      </c>
      <c r="Q142" s="491">
        <f>IF($V$5=0,0,IF(OR($A$10="Refined calculation mode",Results!$B$62="Show results of IESTI calculation only for crops with GAPs under assessment"),Table22[[#This Row],[Input for IESTI (refined mode)]],Table22[[#This Row],[Input for IESTI normal mode]]))</f>
        <v>0</v>
      </c>
      <c r="R142" s="926" t="str">
        <f>IF(S142&lt;&gt;0,CONCATENATE(input_values!$AW142,input_values!$AX142,input_values!$AY142),"")</f>
        <v/>
      </c>
      <c r="S142" s="492">
        <f>IF($V$5=0,0,IF(OR($A$10="Refined calculation mode",Results!$B$62="Show results of IESTI calculation only for crops with GAPs under assessment"),Table22[[#This Row],[Input for IESTI new (refined mode)]],Table22[[#This Row],[Input for IESTI new normal mode]]))</f>
        <v>0</v>
      </c>
      <c r="T142" s="886"/>
      <c r="U142" s="1408">
        <f>Table22[[#This Row],[MRL/ proposed MRL /CXL
(mg/kg)]]</f>
        <v>0</v>
      </c>
      <c r="V142" s="1409" t="str">
        <f>IF(ISBLANK(F142),"","Y")</f>
        <v/>
      </c>
      <c r="W142" s="1387">
        <f>IF($G142&gt;0,$G142,1)</f>
        <v>1</v>
      </c>
      <c r="X142" s="1387">
        <f>IF($H142&gt;0,$H142,1)</f>
        <v>1</v>
      </c>
      <c r="Y142" s="1387">
        <f>W142*X142</f>
        <v>1</v>
      </c>
      <c r="Z142" s="1410">
        <v>3</v>
      </c>
      <c r="AA142" s="1387">
        <f t="shared" si="76"/>
        <v>0</v>
      </c>
      <c r="AB142" s="1387">
        <f>IF(Z142=A142,IF(AND(L142="N",Table22[[#This Row],[LOQ_label]]="Y"),AA142,$AA142*$Y142),"")</f>
        <v>0</v>
      </c>
      <c r="AC142" s="1393">
        <f t="shared" si="77"/>
        <v>0</v>
      </c>
      <c r="AD142" s="1393">
        <f>IF(Table22[[#This Row],[Median residue*CF*PeF]]&lt;&gt;"",Table22[[#This Row],[Median residue*CF*PeF]],Table22[[#This Row],[MRL*CF*PeF (chronic)]])</f>
        <v>0</v>
      </c>
      <c r="AE142" s="1393">
        <f t="shared" si="78"/>
        <v>0</v>
      </c>
      <c r="AF142" s="1390" t="str">
        <f t="shared" si="79"/>
        <v>MRL</v>
      </c>
      <c r="AG142" s="1390" t="str">
        <f t="shared" si="80"/>
        <v/>
      </c>
      <c r="AH142" s="1394" t="str">
        <f t="shared" si="81"/>
        <v/>
      </c>
      <c r="AI142" s="1418">
        <v>3</v>
      </c>
      <c r="AJ142" s="1387">
        <f t="shared" si="82"/>
        <v>0</v>
      </c>
      <c r="AK142" s="1387">
        <f>IF(AI142=A142,IF(AND(L142="N",Table22[[#This Row],[LOQ_label]]="Y"),AJ142,$AJ142*$Y142),"")</f>
        <v>0</v>
      </c>
      <c r="AL142" s="1388">
        <f t="shared" si="83"/>
        <v>0</v>
      </c>
      <c r="AM142" s="1393">
        <f>IF(Table22[[#This Row],[Highest residue * CF*PF]]&lt;&gt;"",Table22[[#This Row],[Highest residue * CF*PF]],Table22[[#This Row],[MRL*CF*PF or MRL (if LOQ and not authorised) (acute RA)]])</f>
        <v>0</v>
      </c>
      <c r="AN142" s="1390" t="str">
        <f t="shared" si="84"/>
        <v>MRL</v>
      </c>
      <c r="AO142" s="1390" t="str">
        <f t="shared" si="85"/>
        <v/>
      </c>
      <c r="AP142" s="1404" t="str">
        <f t="shared" si="86"/>
        <v/>
      </c>
      <c r="AQ142" s="1388">
        <f t="shared" si="87"/>
        <v>0</v>
      </c>
      <c r="AR142" s="1388" t="str">
        <f t="shared" si="88"/>
        <v/>
      </c>
      <c r="AS142" s="1388" t="str">
        <f t="shared" si="89"/>
        <v/>
      </c>
      <c r="AT142" s="1388" t="str">
        <f t="shared" si="90"/>
        <v/>
      </c>
      <c r="AU142" s="1393">
        <f t="shared" si="91"/>
        <v>0</v>
      </c>
      <c r="AV142" s="1388">
        <f t="shared" si="92"/>
        <v>0</v>
      </c>
      <c r="AW142" s="1390" t="str">
        <f t="shared" si="93"/>
        <v/>
      </c>
      <c r="AX142" s="1390" t="str">
        <f>IF(AND(AW142&lt;&gt;"",AY142&lt;&gt;""),"*","")</f>
        <v/>
      </c>
      <c r="AY142" s="1394" t="str">
        <f t="shared" si="94"/>
        <v/>
      </c>
      <c r="AZ142" s="1395" t="str">
        <f>IF(Table22[[#This Row],[LOQ_label]]="Y",Table22[[#This Row],[MRL individual commodity]],"")</f>
        <v/>
      </c>
      <c r="BA142" s="1449" t="s">
        <v>654</v>
      </c>
      <c r="BB142" s="1411" t="str">
        <f>IF(Table22[[#This Row],[LOQ2]]&lt;0,MIN(AZ142:AZ410),"")</f>
        <v/>
      </c>
      <c r="BC142" s="1299"/>
      <c r="BD142" s="1306" t="str">
        <f>IF(Table22[[#This Row],[Chronic RA label]]="","N",IF(Table22[[#This Row],[Chronic RA label]]="LOQ","N",IF(Table22[[#This Row],[Chronic RA label]]="MRL","N","Y")))</f>
        <v>N</v>
      </c>
      <c r="BE142" s="1306" t="str">
        <f>IF(Table22[[#This Row],[Acute RA label]]="","N",IF(Table22[[#This Row],[Acute RA label]]="LOQ","N",IF(Table22[[#This Row],[Acute RA label]]="MRL","N","Y")))</f>
        <v>N</v>
      </c>
      <c r="BF142" s="1306" t="str">
        <f>IF(OR(Table22[[#This Row],[include commodity in Summary_input_values_chronic]]="Y",Table22[[#This Row],[include commodity in Summary_input_values_acute]]="Y"),"Y","N")</f>
        <v>N</v>
      </c>
      <c r="BG142" s="1299"/>
      <c r="BH142" s="1324"/>
    </row>
    <row r="143" spans="1:60" ht="12.75" customHeight="1" outlineLevel="2" x14ac:dyDescent="0.2">
      <c r="A143" s="132">
        <v>3</v>
      </c>
      <c r="B143" s="448">
        <v>239000</v>
      </c>
      <c r="C143" s="3" t="s">
        <v>229</v>
      </c>
      <c r="D143" s="862"/>
      <c r="E143" s="1218"/>
      <c r="F143" s="862"/>
      <c r="G143" s="863"/>
      <c r="H143" s="863"/>
      <c r="I143" s="863"/>
      <c r="J143" s="864"/>
      <c r="K143" s="865"/>
      <c r="L143" s="471"/>
      <c r="M143" s="471"/>
      <c r="N143" s="473"/>
      <c r="O143" s="474"/>
      <c r="P143" s="473"/>
      <c r="Q143" s="474"/>
      <c r="R143" s="473"/>
      <c r="S143" s="474"/>
      <c r="T143" s="886"/>
      <c r="U143" s="1415"/>
      <c r="V143" s="1380"/>
      <c r="W143" s="1381"/>
      <c r="X143" s="1381"/>
      <c r="Y143" s="1381"/>
      <c r="Z143" s="1382">
        <v>4</v>
      </c>
      <c r="AA143" s="1381" t="str">
        <f t="shared" si="76"/>
        <v/>
      </c>
      <c r="AB143" s="1381" t="str">
        <f>IF(Z143=A143,IF(AND(L143="N",Table22[[#This Row],[LOQ_label]]="Y"),AA143,$AA143*$Y143),"")</f>
        <v/>
      </c>
      <c r="AC143" s="1383" t="str">
        <f t="shared" si="77"/>
        <v/>
      </c>
      <c r="AD143" s="1383" t="str">
        <f>IF(Table22[[#This Row],[Median residue*CF*PeF]]&lt;&gt;"",Table22[[#This Row],[Median residue*CF*PeF]],Table22[[#This Row],[MRL*CF*PeF (chronic)]])</f>
        <v/>
      </c>
      <c r="AE143" s="1384">
        <f t="shared" si="78"/>
        <v>0</v>
      </c>
      <c r="AF143" s="1385" t="str">
        <f t="shared" si="79"/>
        <v/>
      </c>
      <c r="AG143" s="1385" t="str">
        <f t="shared" si="80"/>
        <v/>
      </c>
      <c r="AH143" s="1270" t="str">
        <f t="shared" si="81"/>
        <v/>
      </c>
      <c r="AI143" s="1386">
        <v>4</v>
      </c>
      <c r="AJ143" s="1387" t="str">
        <f t="shared" si="82"/>
        <v/>
      </c>
      <c r="AK143" s="1387" t="str">
        <f>IF(AI143=A143,IF(AND(L143="N",Table22[[#This Row],[LOQ_label]]="Y"),AJ143,$AJ143*$Y143),"")</f>
        <v/>
      </c>
      <c r="AL143" s="1388" t="str">
        <f t="shared" si="83"/>
        <v/>
      </c>
      <c r="AM143" s="1393" t="str">
        <f>IF(Table22[[#This Row],[Highest residue * CF*PF]]&lt;&gt;"",Table22[[#This Row],[Highest residue * CF*PF]],Table22[[#This Row],[MRL*CF*PF or MRL (if LOQ and not authorised) (acute RA)]])</f>
        <v/>
      </c>
      <c r="AN143" s="1390" t="str">
        <f t="shared" si="84"/>
        <v/>
      </c>
      <c r="AO143" s="1390" t="str">
        <f t="shared" si="85"/>
        <v/>
      </c>
      <c r="AP143" s="1404" t="str">
        <f t="shared" si="86"/>
        <v/>
      </c>
      <c r="AQ143" s="1388">
        <f t="shared" si="87"/>
        <v>0</v>
      </c>
      <c r="AR143" s="1388" t="str">
        <f t="shared" si="88"/>
        <v/>
      </c>
      <c r="AS143" s="1388" t="str">
        <f t="shared" si="89"/>
        <v/>
      </c>
      <c r="AT143" s="1388" t="str">
        <f t="shared" si="90"/>
        <v/>
      </c>
      <c r="AU143" s="1393" t="str">
        <f t="shared" si="91"/>
        <v/>
      </c>
      <c r="AV143" s="1388">
        <f t="shared" si="92"/>
        <v>0</v>
      </c>
      <c r="AW143" s="1390" t="str">
        <f t="shared" si="93"/>
        <v/>
      </c>
      <c r="AX143" s="1390" t="str">
        <f>IF(AND(AN143&lt;&gt;"",AY143&lt;&gt;""),"*","")</f>
        <v/>
      </c>
      <c r="AY143" s="1394" t="str">
        <f t="shared" si="94"/>
        <v/>
      </c>
      <c r="AZ143" s="1395">
        <f>IF(Table22[[#This Row],[LOQ_label]]="Y",Table22[[#This Row],[MRL individual commodity]],"")</f>
        <v>0</v>
      </c>
      <c r="BA143" s="1396" t="s">
        <v>1159</v>
      </c>
      <c r="BB143" s="1411" t="str">
        <f>IF(Table22[[#This Row],[LOQ2]]&lt;0,MIN(AZ143:AZ410),"")</f>
        <v/>
      </c>
      <c r="BC143" s="1299"/>
      <c r="BD143" s="1306" t="str">
        <f>IF(Table22[[#This Row],[Chronic RA label]]="","N",IF(Table22[[#This Row],[Chronic RA label]]="LOQ","N",IF(Table22[[#This Row],[Chronic RA label]]="MRL","N","Y")))</f>
        <v>N</v>
      </c>
      <c r="BE143" s="1306" t="str">
        <f>IF(Table22[[#This Row],[Acute RA label]]="","N",IF(Table22[[#This Row],[Acute RA label]]="LOQ","N",IF(Table22[[#This Row],[Acute RA label]]="MRL","N","Y")))</f>
        <v>N</v>
      </c>
      <c r="BF143" s="1306" t="str">
        <f>IF(OR(Table22[[#This Row],[include commodity in Summary_input_values_chronic]]="Y",Table22[[#This Row],[include commodity in Summary_input_values_acute]]="Y"),"Y","N")</f>
        <v>N</v>
      </c>
      <c r="BG143" s="1299"/>
      <c r="BH143" s="1324"/>
    </row>
    <row r="144" spans="1:60" ht="12.75" customHeight="1" outlineLevel="1" x14ac:dyDescent="0.2">
      <c r="A144" s="130">
        <v>2</v>
      </c>
      <c r="B144" s="447">
        <v>240000</v>
      </c>
      <c r="C144" s="131" t="s">
        <v>230</v>
      </c>
      <c r="D144" s="862"/>
      <c r="E144" s="1218"/>
      <c r="F144" s="862"/>
      <c r="G144" s="863"/>
      <c r="H144" s="863"/>
      <c r="I144" s="863"/>
      <c r="J144" s="864"/>
      <c r="K144" s="865"/>
      <c r="L144" s="471"/>
      <c r="M144" s="471"/>
      <c r="N144" s="473"/>
      <c r="O144" s="474"/>
      <c r="P144" s="473"/>
      <c r="Q144" s="474"/>
      <c r="R144" s="473"/>
      <c r="S144" s="474"/>
      <c r="T144" s="886"/>
      <c r="U144" s="1415"/>
      <c r="V144" s="1380"/>
      <c r="W144" s="1381"/>
      <c r="X144" s="1381"/>
      <c r="Y144" s="1381"/>
      <c r="Z144" s="1382">
        <v>4</v>
      </c>
      <c r="AA144" s="1381" t="str">
        <f t="shared" si="76"/>
        <v/>
      </c>
      <c r="AB144" s="1381" t="str">
        <f>IF(Z144=A144,IF(AND(L144="N",Table22[[#This Row],[LOQ_label]]="Y"),AA144,$AA144*$Y144),"")</f>
        <v/>
      </c>
      <c r="AC144" s="1383" t="str">
        <f t="shared" si="77"/>
        <v/>
      </c>
      <c r="AD144" s="1383" t="str">
        <f>IF(Table22[[#This Row],[Median residue*CF*PeF]]&lt;&gt;"",Table22[[#This Row],[Median residue*CF*PeF]],Table22[[#This Row],[MRL*CF*PeF (chronic)]])</f>
        <v/>
      </c>
      <c r="AE144" s="1384">
        <f t="shared" si="78"/>
        <v>0</v>
      </c>
      <c r="AF144" s="1385" t="str">
        <f t="shared" si="79"/>
        <v/>
      </c>
      <c r="AG144" s="1385" t="str">
        <f t="shared" si="80"/>
        <v/>
      </c>
      <c r="AH144" s="1270" t="str">
        <f t="shared" si="81"/>
        <v/>
      </c>
      <c r="AI144" s="1386">
        <v>4</v>
      </c>
      <c r="AJ144" s="1387" t="str">
        <f t="shared" si="82"/>
        <v/>
      </c>
      <c r="AK144" s="1387" t="str">
        <f>IF(AI144=A144,IF(AND(L144="N",Table22[[#This Row],[LOQ_label]]="Y"),AJ144,$AJ144*$Y144),"")</f>
        <v/>
      </c>
      <c r="AL144" s="1388" t="str">
        <f t="shared" si="83"/>
        <v/>
      </c>
      <c r="AM144" s="1393" t="str">
        <f>IF(Table22[[#This Row],[Highest residue * CF*PF]]&lt;&gt;"",Table22[[#This Row],[Highest residue * CF*PF]],Table22[[#This Row],[MRL*CF*PF or MRL (if LOQ and not authorised) (acute RA)]])</f>
        <v/>
      </c>
      <c r="AN144" s="1390" t="str">
        <f t="shared" si="84"/>
        <v/>
      </c>
      <c r="AO144" s="1390" t="str">
        <f t="shared" si="85"/>
        <v/>
      </c>
      <c r="AP144" s="1404" t="str">
        <f t="shared" si="86"/>
        <v/>
      </c>
      <c r="AQ144" s="1388">
        <f t="shared" si="87"/>
        <v>0</v>
      </c>
      <c r="AR144" s="1388" t="str">
        <f t="shared" si="88"/>
        <v/>
      </c>
      <c r="AS144" s="1388" t="str">
        <f t="shared" si="89"/>
        <v/>
      </c>
      <c r="AT144" s="1388" t="str">
        <f t="shared" si="90"/>
        <v/>
      </c>
      <c r="AU144" s="1393" t="str">
        <f t="shared" si="91"/>
        <v/>
      </c>
      <c r="AV144" s="1388">
        <f t="shared" si="92"/>
        <v>0</v>
      </c>
      <c r="AW144" s="1390" t="str">
        <f t="shared" si="93"/>
        <v/>
      </c>
      <c r="AX144" s="1390" t="str">
        <f>IF(AND(AN144&lt;&gt;"",AY144&lt;&gt;""),"*","")</f>
        <v/>
      </c>
      <c r="AY144" s="1394" t="str">
        <f t="shared" si="94"/>
        <v/>
      </c>
      <c r="AZ144" s="1395">
        <f>IF(Table22[[#This Row],[LOQ_label]]="Y",Table22[[#This Row],[MRL individual commodity]],"")</f>
        <v>0</v>
      </c>
      <c r="BA144" s="1396" t="s">
        <v>1159</v>
      </c>
      <c r="BB144" s="1411" t="str">
        <f>IF(Table22[[#This Row],[LOQ2]]&lt;0,MIN(AZ144:AZ410),"")</f>
        <v/>
      </c>
      <c r="BC144" s="1299"/>
      <c r="BD144" s="1306" t="str">
        <f>IF(Table22[[#This Row],[Chronic RA label]]="","N",IF(Table22[[#This Row],[Chronic RA label]]="LOQ","N",IF(Table22[[#This Row],[Chronic RA label]]="MRL","N","Y")))</f>
        <v>N</v>
      </c>
      <c r="BE144" s="1306" t="str">
        <f>IF(Table22[[#This Row],[Acute RA label]]="","N",IF(Table22[[#This Row],[Acute RA label]]="LOQ","N",IF(Table22[[#This Row],[Acute RA label]]="MRL","N","Y")))</f>
        <v>N</v>
      </c>
      <c r="BF144" s="1306" t="str">
        <f>IF(OR(Table22[[#This Row],[include commodity in Summary_input_values_chronic]]="Y",Table22[[#This Row],[include commodity in Summary_input_values_acute]]="Y"),"Y","N")</f>
        <v>N</v>
      </c>
      <c r="BG144" s="1299"/>
      <c r="BH144" s="1324"/>
    </row>
    <row r="145" spans="1:60" ht="12.75" customHeight="1" outlineLevel="2" x14ac:dyDescent="0.2">
      <c r="A145" s="132">
        <v>3</v>
      </c>
      <c r="B145" s="448">
        <v>241000</v>
      </c>
      <c r="C145" s="3" t="s">
        <v>231</v>
      </c>
      <c r="D145" s="862"/>
      <c r="E145" s="1218"/>
      <c r="F145" s="862"/>
      <c r="G145" s="866"/>
      <c r="H145" s="863"/>
      <c r="I145" s="863"/>
      <c r="J145" s="864"/>
      <c r="K145" s="865"/>
      <c r="L145" s="471"/>
      <c r="M145" s="471"/>
      <c r="N145" s="473"/>
      <c r="O145" s="474"/>
      <c r="P145" s="473"/>
      <c r="Q145" s="474"/>
      <c r="R145" s="473"/>
      <c r="S145" s="474"/>
      <c r="T145" s="886"/>
      <c r="U145" s="1415"/>
      <c r="V145" s="1380"/>
      <c r="W145" s="1381"/>
      <c r="X145" s="1381"/>
      <c r="Y145" s="1381"/>
      <c r="Z145" s="1382">
        <v>4</v>
      </c>
      <c r="AA145" s="1381" t="str">
        <f t="shared" si="76"/>
        <v/>
      </c>
      <c r="AB145" s="1381" t="str">
        <f>IF(Z145=A145,IF(AND(L145="N",Table22[[#This Row],[LOQ_label]]="Y"),AA145,$AA145*$Y145),"")</f>
        <v/>
      </c>
      <c r="AC145" s="1383" t="str">
        <f t="shared" si="77"/>
        <v/>
      </c>
      <c r="AD145" s="1383" t="str">
        <f>IF(Table22[[#This Row],[Median residue*CF*PeF]]&lt;&gt;"",Table22[[#This Row],[Median residue*CF*PeF]],Table22[[#This Row],[MRL*CF*PeF (chronic)]])</f>
        <v/>
      </c>
      <c r="AE145" s="1384">
        <f t="shared" si="78"/>
        <v>0</v>
      </c>
      <c r="AF145" s="1385" t="str">
        <f t="shared" si="79"/>
        <v/>
      </c>
      <c r="AG145" s="1385" t="str">
        <f t="shared" si="80"/>
        <v/>
      </c>
      <c r="AH145" s="1270" t="str">
        <f t="shared" si="81"/>
        <v/>
      </c>
      <c r="AI145" s="1386">
        <v>4</v>
      </c>
      <c r="AJ145" s="1387" t="str">
        <f t="shared" si="82"/>
        <v/>
      </c>
      <c r="AK145" s="1387" t="str">
        <f>IF(AI145=A145,IF(AND(L145="N",Table22[[#This Row],[LOQ_label]]="Y"),AJ145,$AJ145*$Y145),"")</f>
        <v/>
      </c>
      <c r="AL145" s="1388" t="str">
        <f t="shared" si="83"/>
        <v/>
      </c>
      <c r="AM145" s="1393" t="str">
        <f>IF(Table22[[#This Row],[Highest residue * CF*PF]]&lt;&gt;"",Table22[[#This Row],[Highest residue * CF*PF]],Table22[[#This Row],[MRL*CF*PF or MRL (if LOQ and not authorised) (acute RA)]])</f>
        <v/>
      </c>
      <c r="AN145" s="1390" t="str">
        <f t="shared" si="84"/>
        <v/>
      </c>
      <c r="AO145" s="1390" t="str">
        <f t="shared" si="85"/>
        <v/>
      </c>
      <c r="AP145" s="1404" t="str">
        <f t="shared" si="86"/>
        <v/>
      </c>
      <c r="AQ145" s="1388">
        <f t="shared" si="87"/>
        <v>0</v>
      </c>
      <c r="AR145" s="1388" t="str">
        <f t="shared" si="88"/>
        <v/>
      </c>
      <c r="AS145" s="1388" t="str">
        <f t="shared" si="89"/>
        <v/>
      </c>
      <c r="AT145" s="1388" t="str">
        <f t="shared" si="90"/>
        <v/>
      </c>
      <c r="AU145" s="1393" t="str">
        <f t="shared" si="91"/>
        <v/>
      </c>
      <c r="AV145" s="1388">
        <f t="shared" si="92"/>
        <v>0</v>
      </c>
      <c r="AW145" s="1390" t="str">
        <f t="shared" si="93"/>
        <v/>
      </c>
      <c r="AX145" s="1390" t="str">
        <f>IF(AND(AN145&lt;&gt;"",AY145&lt;&gt;""),"*","")</f>
        <v/>
      </c>
      <c r="AY145" s="1394" t="str">
        <f t="shared" si="94"/>
        <v/>
      </c>
      <c r="AZ145" s="1395">
        <f>IF(Table22[[#This Row],[LOQ_label]]="Y",Table22[[#This Row],[MRL individual commodity]],"")</f>
        <v>0</v>
      </c>
      <c r="BA145" s="1396" t="s">
        <v>1159</v>
      </c>
      <c r="BB145" s="1411" t="str">
        <f>IF(Table22[[#This Row],[LOQ2]]&lt;0,MIN(AZ145:AZ410),"")</f>
        <v/>
      </c>
      <c r="BC145" s="1299"/>
      <c r="BD145" s="1306" t="str">
        <f>IF(Table22[[#This Row],[Chronic RA label]]="","N",IF(Table22[[#This Row],[Chronic RA label]]="LOQ","N",IF(Table22[[#This Row],[Chronic RA label]]="MRL","N","Y")))</f>
        <v>N</v>
      </c>
      <c r="BE145" s="1306" t="str">
        <f>IF(Table22[[#This Row],[Acute RA label]]="","N",IF(Table22[[#This Row],[Acute RA label]]="LOQ","N",IF(Table22[[#This Row],[Acute RA label]]="MRL","N","Y")))</f>
        <v>N</v>
      </c>
      <c r="BF145" s="1306" t="str">
        <f>IF(OR(Table22[[#This Row],[include commodity in Summary_input_values_chronic]]="Y",Table22[[#This Row],[include commodity in Summary_input_values_acute]]="Y"),"Y","N")</f>
        <v>N</v>
      </c>
      <c r="BG145" s="1299"/>
      <c r="BH145" s="1324"/>
    </row>
    <row r="146" spans="1:60" ht="12.75" customHeight="1" outlineLevel="3" x14ac:dyDescent="0.2">
      <c r="A146" s="39">
        <v>4</v>
      </c>
      <c r="B146" s="327">
        <v>241010</v>
      </c>
      <c r="C146" s="23" t="s">
        <v>250</v>
      </c>
      <c r="D146" s="867"/>
      <c r="E146" s="1219"/>
      <c r="F146" s="867"/>
      <c r="G146" s="869"/>
      <c r="H146" s="863"/>
      <c r="I146" s="868"/>
      <c r="J146" s="870"/>
      <c r="K146" s="871"/>
      <c r="L146" s="872"/>
      <c r="M146" s="872"/>
      <c r="N146" s="925" t="str">
        <f>IF(O146&lt;&gt;0,CONCATENATE(input_values!$AF146,input_values!$AG146,input_values!$AH146),"")</f>
        <v/>
      </c>
      <c r="O146" s="491">
        <f>IF($A$10="Refined calculation mode",Table22[[#This Row],[input for chronic (refined mode]],Table22[[#This Row],[input for chronic normal mode]])</f>
        <v>0</v>
      </c>
      <c r="P146" s="925" t="str">
        <f>IF(Q146&lt;&gt;0,CONCATENATE(input_values!$AN146,input_values!$AO146,input_values!$AP146),"")</f>
        <v/>
      </c>
      <c r="Q146" s="491">
        <f>IF($V$5=0,0,IF(OR($A$10="Refined calculation mode",Results!$B$62="Show results of IESTI calculation only for crops with GAPs under assessment"),Table22[[#This Row],[Input for IESTI (refined mode)]],Table22[[#This Row],[Input for IESTI normal mode]]))</f>
        <v>0</v>
      </c>
      <c r="R146" s="926" t="str">
        <f>IF(S146&lt;&gt;0,CONCATENATE(input_values!$AW146,input_values!$AX146,input_values!$AY146),"")</f>
        <v/>
      </c>
      <c r="S146" s="492">
        <f>IF($V$5=0,0,IF(OR($A$10="Refined calculation mode",Results!$B$62="Show results of IESTI calculation only for crops with GAPs under assessment"),Table22[[#This Row],[Input for IESTI new (refined mode)]],Table22[[#This Row],[Input for IESTI new normal mode]]))</f>
        <v>0</v>
      </c>
      <c r="T146" s="886"/>
      <c r="U146" s="1408">
        <f>Table22[[#This Row],[MRL/ proposed MRL /CXL
(mg/kg)]]</f>
        <v>0</v>
      </c>
      <c r="V146" s="1409" t="str">
        <f>IF(ISBLANK(F146),"","Y")</f>
        <v/>
      </c>
      <c r="W146" s="1387">
        <f>IF($G146&gt;0,$G146,1)</f>
        <v>1</v>
      </c>
      <c r="X146" s="1387">
        <f>IF($H146&gt;0,$H146,1)</f>
        <v>1</v>
      </c>
      <c r="Y146" s="1387">
        <f>W146*X146</f>
        <v>1</v>
      </c>
      <c r="Z146" s="1410">
        <v>4</v>
      </c>
      <c r="AA146" s="1387">
        <f t="shared" si="76"/>
        <v>0</v>
      </c>
      <c r="AB146" s="1387">
        <f>IF(Z146=A146,IF(AND(L146="N",Table22[[#This Row],[LOQ_label]]="Y"),AA146,$AA146*$Y146),"")</f>
        <v>0</v>
      </c>
      <c r="AC146" s="1393">
        <f t="shared" si="77"/>
        <v>0</v>
      </c>
      <c r="AD146" s="1393">
        <f>IF(Table22[[#This Row],[Median residue*CF*PeF]]&lt;&gt;"",Table22[[#This Row],[Median residue*CF*PeF]],Table22[[#This Row],[MRL*CF*PeF (chronic)]])</f>
        <v>0</v>
      </c>
      <c r="AE146" s="1393">
        <f t="shared" si="78"/>
        <v>0</v>
      </c>
      <c r="AF146" s="1390" t="str">
        <f t="shared" si="79"/>
        <v>MRL</v>
      </c>
      <c r="AG146" s="1390" t="str">
        <f t="shared" si="80"/>
        <v/>
      </c>
      <c r="AH146" s="1394" t="str">
        <f t="shared" si="81"/>
        <v/>
      </c>
      <c r="AI146" s="1386">
        <v>4</v>
      </c>
      <c r="AJ146" s="1387">
        <f t="shared" si="82"/>
        <v>0</v>
      </c>
      <c r="AK146" s="1387">
        <f>IF(AI146=A146,IF(AND(L146="N",Table22[[#This Row],[LOQ_label]]="Y"),AJ146,$AJ146*$Y146),"")</f>
        <v>0</v>
      </c>
      <c r="AL146" s="1388">
        <f t="shared" si="83"/>
        <v>0</v>
      </c>
      <c r="AM146" s="1393">
        <f>IF(Table22[[#This Row],[Highest residue * CF*PF]]&lt;&gt;"",Table22[[#This Row],[Highest residue * CF*PF]],Table22[[#This Row],[MRL*CF*PF or MRL (if LOQ and not authorised) (acute RA)]])</f>
        <v>0</v>
      </c>
      <c r="AN146" s="1390" t="str">
        <f t="shared" si="84"/>
        <v>MRL</v>
      </c>
      <c r="AO146" s="1390" t="str">
        <f t="shared" si="85"/>
        <v/>
      </c>
      <c r="AP146" s="1404" t="str">
        <f t="shared" si="86"/>
        <v/>
      </c>
      <c r="AQ146" s="1388">
        <f t="shared" si="87"/>
        <v>0</v>
      </c>
      <c r="AR146" s="1388" t="str">
        <f t="shared" si="88"/>
        <v/>
      </c>
      <c r="AS146" s="1388" t="str">
        <f t="shared" si="89"/>
        <v/>
      </c>
      <c r="AT146" s="1388" t="str">
        <f t="shared" si="90"/>
        <v/>
      </c>
      <c r="AU146" s="1393">
        <f t="shared" si="91"/>
        <v>0</v>
      </c>
      <c r="AV146" s="1388">
        <f t="shared" si="92"/>
        <v>0</v>
      </c>
      <c r="AW146" s="1390" t="str">
        <f t="shared" si="93"/>
        <v/>
      </c>
      <c r="AX146" s="1390" t="str">
        <f>IF(AND(AW146&lt;&gt;"",AY146&lt;&gt;""),"*","")</f>
        <v/>
      </c>
      <c r="AY146" s="1394" t="str">
        <f t="shared" si="94"/>
        <v/>
      </c>
      <c r="AZ146" s="1395" t="str">
        <f>IF(Table22[[#This Row],[LOQ_label]]="Y",Table22[[#This Row],[MRL individual commodity]],"")</f>
        <v/>
      </c>
      <c r="BA146" s="1449" t="s">
        <v>654</v>
      </c>
      <c r="BB146" s="1411" t="str">
        <f>IF(Table22[[#This Row],[LOQ2]]&lt;0,MIN(AZ146:AZ410),"")</f>
        <v/>
      </c>
      <c r="BC146" s="1299"/>
      <c r="BD146" s="1306" t="str">
        <f>IF(Table22[[#This Row],[Chronic RA label]]="","N",IF(Table22[[#This Row],[Chronic RA label]]="LOQ","N",IF(Table22[[#This Row],[Chronic RA label]]="MRL","N","Y")))</f>
        <v>N</v>
      </c>
      <c r="BE146" s="1306" t="str">
        <f>IF(Table22[[#This Row],[Acute RA label]]="","N",IF(Table22[[#This Row],[Acute RA label]]="LOQ","N",IF(Table22[[#This Row],[Acute RA label]]="MRL","N","Y")))</f>
        <v>N</v>
      </c>
      <c r="BF146" s="1306" t="str">
        <f>IF(OR(Table22[[#This Row],[include commodity in Summary_input_values_chronic]]="Y",Table22[[#This Row],[include commodity in Summary_input_values_acute]]="Y"),"Y","N")</f>
        <v>N</v>
      </c>
      <c r="BG146" s="1299"/>
      <c r="BH146" s="1324"/>
    </row>
    <row r="147" spans="1:60" ht="12.75" customHeight="1" outlineLevel="3" x14ac:dyDescent="0.2">
      <c r="A147" s="39">
        <v>4</v>
      </c>
      <c r="B147" s="327">
        <v>241020</v>
      </c>
      <c r="C147" s="23" t="s">
        <v>715</v>
      </c>
      <c r="D147" s="867"/>
      <c r="E147" s="1219"/>
      <c r="F147" s="867"/>
      <c r="G147" s="869"/>
      <c r="H147" s="863"/>
      <c r="I147" s="868"/>
      <c r="J147" s="868"/>
      <c r="K147" s="871"/>
      <c r="L147" s="872"/>
      <c r="M147" s="872"/>
      <c r="N147" s="925" t="str">
        <f>IF(O147&lt;&gt;0,CONCATENATE(input_values!$AF147,input_values!$AG147,input_values!$AH147),"")</f>
        <v/>
      </c>
      <c r="O147" s="491">
        <f>IF($A$10="Refined calculation mode",Table22[[#This Row],[input for chronic (refined mode]],Table22[[#This Row],[input for chronic normal mode]])</f>
        <v>0</v>
      </c>
      <c r="P147" s="925" t="str">
        <f>IF(Q147&lt;&gt;0,CONCATENATE(input_values!$AN147,input_values!$AO147,input_values!$AP147),"")</f>
        <v/>
      </c>
      <c r="Q147" s="491">
        <f>IF($V$5=0,0,IF(OR($A$10="Refined calculation mode",Results!$B$62="Show results of IESTI calculation only for crops with GAPs under assessment"),Table22[[#This Row],[Input for IESTI (refined mode)]],Table22[[#This Row],[Input for IESTI normal mode]]))</f>
        <v>0</v>
      </c>
      <c r="R147" s="926" t="str">
        <f>IF(S147&lt;&gt;0,CONCATENATE(input_values!$AW147,input_values!$AX147,input_values!$AY147),"")</f>
        <v/>
      </c>
      <c r="S147" s="492">
        <f>IF($V$5=0,0,IF(OR($A$10="Refined calculation mode",Results!$B$62="Show results of IESTI calculation only for crops with GAPs under assessment"),Table22[[#This Row],[Input for IESTI new (refined mode)]],Table22[[#This Row],[Input for IESTI new normal mode]]))</f>
        <v>0</v>
      </c>
      <c r="T147" s="886"/>
      <c r="U147" s="1408">
        <f>Table22[[#This Row],[MRL/ proposed MRL /CXL
(mg/kg)]]</f>
        <v>0</v>
      </c>
      <c r="V147" s="1409" t="str">
        <f>IF(ISBLANK(F147),"","Y")</f>
        <v/>
      </c>
      <c r="W147" s="1387">
        <f>IF($G147&gt;0,$G147,1)</f>
        <v>1</v>
      </c>
      <c r="X147" s="1387">
        <f>IF($H147&gt;0,$H147,1)</f>
        <v>1</v>
      </c>
      <c r="Y147" s="1387">
        <f>W147*X147</f>
        <v>1</v>
      </c>
      <c r="Z147" s="1410">
        <v>4</v>
      </c>
      <c r="AA147" s="1387">
        <f t="shared" si="76"/>
        <v>0</v>
      </c>
      <c r="AB147" s="1387">
        <f>IF(Z147=A147,IF(AND(L147="N",Table22[[#This Row],[LOQ_label]]="Y"),AA147,$AA147*$Y147),"")</f>
        <v>0</v>
      </c>
      <c r="AC147" s="1393">
        <f t="shared" si="77"/>
        <v>0</v>
      </c>
      <c r="AD147" s="1393">
        <f>IF(Table22[[#This Row],[Median residue*CF*PeF]]&lt;&gt;"",Table22[[#This Row],[Median residue*CF*PeF]],Table22[[#This Row],[MRL*CF*PeF (chronic)]])</f>
        <v>0</v>
      </c>
      <c r="AE147" s="1393">
        <f t="shared" si="78"/>
        <v>0</v>
      </c>
      <c r="AF147" s="1390" t="str">
        <f t="shared" si="79"/>
        <v>MRL</v>
      </c>
      <c r="AG147" s="1390" t="str">
        <f t="shared" si="80"/>
        <v/>
      </c>
      <c r="AH147" s="1394" t="str">
        <f t="shared" si="81"/>
        <v/>
      </c>
      <c r="AI147" s="1386">
        <v>4</v>
      </c>
      <c r="AJ147" s="1387">
        <f t="shared" si="82"/>
        <v>0</v>
      </c>
      <c r="AK147" s="1387">
        <f>IF(AI147=A147,IF(AND(L147="N",Table22[[#This Row],[LOQ_label]]="Y"),AJ147,$AJ147*$Y147),"")</f>
        <v>0</v>
      </c>
      <c r="AL147" s="1388">
        <f t="shared" si="83"/>
        <v>0</v>
      </c>
      <c r="AM147" s="1393">
        <f>IF(Table22[[#This Row],[Highest residue * CF*PF]]&lt;&gt;"",Table22[[#This Row],[Highest residue * CF*PF]],Table22[[#This Row],[MRL*CF*PF or MRL (if LOQ and not authorised) (acute RA)]])</f>
        <v>0</v>
      </c>
      <c r="AN147" s="1390" t="str">
        <f t="shared" si="84"/>
        <v>MRL</v>
      </c>
      <c r="AO147" s="1390" t="str">
        <f t="shared" si="85"/>
        <v/>
      </c>
      <c r="AP147" s="1404" t="str">
        <f t="shared" si="86"/>
        <v/>
      </c>
      <c r="AQ147" s="1388">
        <f t="shared" si="87"/>
        <v>0</v>
      </c>
      <c r="AR147" s="1388" t="str">
        <f t="shared" si="88"/>
        <v/>
      </c>
      <c r="AS147" s="1388" t="str">
        <f t="shared" si="89"/>
        <v/>
      </c>
      <c r="AT147" s="1388" t="str">
        <f t="shared" si="90"/>
        <v/>
      </c>
      <c r="AU147" s="1393">
        <f t="shared" si="91"/>
        <v>0</v>
      </c>
      <c r="AV147" s="1388">
        <f t="shared" si="92"/>
        <v>0</v>
      </c>
      <c r="AW147" s="1390" t="str">
        <f t="shared" si="93"/>
        <v/>
      </c>
      <c r="AX147" s="1390" t="str">
        <f>IF(AND(AW147&lt;&gt;"",AY147&lt;&gt;""),"*","")</f>
        <v/>
      </c>
      <c r="AY147" s="1394" t="str">
        <f t="shared" si="94"/>
        <v/>
      </c>
      <c r="AZ147" s="1395" t="str">
        <f>IF(Table22[[#This Row],[LOQ_label]]="Y",Table22[[#This Row],[MRL individual commodity]],"")</f>
        <v/>
      </c>
      <c r="BA147" s="1449" t="s">
        <v>654</v>
      </c>
      <c r="BB147" s="1411" t="str">
        <f>IF(Table22[[#This Row],[LOQ2]]&lt;0,MIN(AZ147:AZ410),"")</f>
        <v/>
      </c>
      <c r="BC147" s="1299"/>
      <c r="BD147" s="1306" t="str">
        <f>IF(Table22[[#This Row],[Chronic RA label]]="","N",IF(Table22[[#This Row],[Chronic RA label]]="LOQ","N",IF(Table22[[#This Row],[Chronic RA label]]="MRL","N","Y")))</f>
        <v>N</v>
      </c>
      <c r="BE147" s="1306" t="str">
        <f>IF(Table22[[#This Row],[Acute RA label]]="","N",IF(Table22[[#This Row],[Acute RA label]]="LOQ","N",IF(Table22[[#This Row],[Acute RA label]]="MRL","N","Y")))</f>
        <v>N</v>
      </c>
      <c r="BF147" s="1306" t="str">
        <f>IF(OR(Table22[[#This Row],[include commodity in Summary_input_values_chronic]]="Y",Table22[[#This Row],[include commodity in Summary_input_values_acute]]="Y"),"Y","N")</f>
        <v>N</v>
      </c>
      <c r="BG147" s="1299"/>
      <c r="BH147" s="1324"/>
    </row>
    <row r="148" spans="1:60" ht="12.75" customHeight="1" outlineLevel="3" x14ac:dyDescent="0.2">
      <c r="A148" s="39">
        <v>4</v>
      </c>
      <c r="B148" s="327">
        <v>241990</v>
      </c>
      <c r="C148" s="23" t="s">
        <v>170</v>
      </c>
      <c r="D148" s="867"/>
      <c r="E148" s="1219"/>
      <c r="F148" s="867"/>
      <c r="G148" s="868"/>
      <c r="H148" s="863"/>
      <c r="I148" s="868"/>
      <c r="J148" s="870"/>
      <c r="K148" s="865"/>
      <c r="L148" s="872"/>
      <c r="M148" s="872"/>
      <c r="N148" s="925" t="str">
        <f>IF(O148&lt;&gt;0,CONCATENATE(input_values!$AF148,input_values!$AG148,input_values!$AH148),"")</f>
        <v/>
      </c>
      <c r="O148" s="491">
        <f>IF($A$10="Refined calculation mode",Table22[[#This Row],[input for chronic (refined mode]],Table22[[#This Row],[input for chronic normal mode]])</f>
        <v>0</v>
      </c>
      <c r="P148" s="473"/>
      <c r="Q148" s="474"/>
      <c r="R148" s="473"/>
      <c r="S148" s="474"/>
      <c r="T148" s="886"/>
      <c r="U148" s="1408">
        <f>Table22[[#This Row],[MRL/ proposed MRL /CXL
(mg/kg)]]</f>
        <v>0</v>
      </c>
      <c r="V148" s="1409" t="str">
        <f>IF(ISBLANK(F148),"","Y")</f>
        <v/>
      </c>
      <c r="W148" s="1387">
        <f>IF($G148&gt;0,$G148,1)</f>
        <v>1</v>
      </c>
      <c r="X148" s="1387">
        <f>IF($H148&gt;0,$H148,1)</f>
        <v>1</v>
      </c>
      <c r="Y148" s="1387">
        <f>W148*X148</f>
        <v>1</v>
      </c>
      <c r="Z148" s="1410">
        <v>4</v>
      </c>
      <c r="AA148" s="1387">
        <f t="shared" si="76"/>
        <v>0</v>
      </c>
      <c r="AB148" s="1387">
        <f>IF(Z148=A148,IF(AND(L148="N",Table22[[#This Row],[LOQ_label]]="Y"),AA148,$AA148*$Y148),"")</f>
        <v>0</v>
      </c>
      <c r="AC148" s="1393">
        <f t="shared" si="77"/>
        <v>0</v>
      </c>
      <c r="AD148" s="1393">
        <f>IF(Table22[[#This Row],[Median residue*CF*PeF]]&lt;&gt;"",Table22[[#This Row],[Median residue*CF*PeF]],Table22[[#This Row],[MRL*CF*PeF (chronic)]])</f>
        <v>0</v>
      </c>
      <c r="AE148" s="1393">
        <f t="shared" si="78"/>
        <v>0</v>
      </c>
      <c r="AF148" s="1390" t="str">
        <f t="shared" si="79"/>
        <v>MRL</v>
      </c>
      <c r="AG148" s="1390" t="str">
        <f t="shared" si="80"/>
        <v/>
      </c>
      <c r="AH148" s="1394" t="str">
        <f t="shared" si="81"/>
        <v/>
      </c>
      <c r="AI148" s="1386"/>
      <c r="AJ148" s="1387" t="str">
        <f t="shared" si="82"/>
        <v/>
      </c>
      <c r="AK148" s="1387" t="str">
        <f>IF(AI148=A148,IF(AND(L148="N",Table22[[#This Row],[LOQ_label]]="Y"),AJ148,$AJ148*$Y148),"")</f>
        <v/>
      </c>
      <c r="AL148" s="1388" t="str">
        <f t="shared" si="83"/>
        <v/>
      </c>
      <c r="AM148" s="1393" t="str">
        <f>IF(Table22[[#This Row],[Highest residue * CF*PF]]&lt;&gt;"",Table22[[#This Row],[Highest residue * CF*PF]],Table22[[#This Row],[MRL*CF*PF or MRL (if LOQ and not authorised) (acute RA)]])</f>
        <v/>
      </c>
      <c r="AN148" s="1390" t="str">
        <f t="shared" si="84"/>
        <v/>
      </c>
      <c r="AO148" s="1390" t="str">
        <f t="shared" si="85"/>
        <v/>
      </c>
      <c r="AP148" s="1404" t="str">
        <f t="shared" si="86"/>
        <v/>
      </c>
      <c r="AQ148" s="1388">
        <f t="shared" si="87"/>
        <v>0</v>
      </c>
      <c r="AR148" s="1388" t="str">
        <f t="shared" si="88"/>
        <v/>
      </c>
      <c r="AS148" s="1388" t="str">
        <f t="shared" si="89"/>
        <v/>
      </c>
      <c r="AT148" s="1388" t="str">
        <f t="shared" si="90"/>
        <v/>
      </c>
      <c r="AU148" s="1393" t="str">
        <f t="shared" si="91"/>
        <v/>
      </c>
      <c r="AV148" s="1388">
        <f t="shared" si="92"/>
        <v>0</v>
      </c>
      <c r="AW148" s="1390" t="str">
        <f t="shared" si="93"/>
        <v/>
      </c>
      <c r="AX148" s="1390" t="str">
        <f>IF(AND(AN148&lt;&gt;"",AY148&lt;&gt;""),"*","")</f>
        <v/>
      </c>
      <c r="AY148" s="1394" t="str">
        <f t="shared" si="94"/>
        <v/>
      </c>
      <c r="AZ148" s="1395" t="str">
        <f>IF(Table22[[#This Row],[LOQ_label]]="Y",Table22[[#This Row],[MRL individual commodity]],"")</f>
        <v/>
      </c>
      <c r="BA148" s="1396" t="s">
        <v>1159</v>
      </c>
      <c r="BB148" s="1411" t="str">
        <f>IF(Table22[[#This Row],[LOQ2]]&lt;0,MIN(AZ148:AZ410),"")</f>
        <v/>
      </c>
      <c r="BC148" s="1299"/>
      <c r="BD148" s="1306" t="str">
        <f>IF(Table22[[#This Row],[Chronic RA label]]="","N",IF(Table22[[#This Row],[Chronic RA label]]="LOQ","N",IF(Table22[[#This Row],[Chronic RA label]]="MRL","N","Y")))</f>
        <v>N</v>
      </c>
      <c r="BE148" s="1306" t="str">
        <f>IF(Table22[[#This Row],[Acute RA label]]="","N",IF(Table22[[#This Row],[Acute RA label]]="LOQ","N",IF(Table22[[#This Row],[Acute RA label]]="MRL","N","Y")))</f>
        <v>N</v>
      </c>
      <c r="BF148" s="1306" t="str">
        <f>IF(OR(Table22[[#This Row],[include commodity in Summary_input_values_chronic]]="Y",Table22[[#This Row],[include commodity in Summary_input_values_acute]]="Y"),"Y","N")</f>
        <v>N</v>
      </c>
      <c r="BG148" s="1299"/>
      <c r="BH148" s="1324"/>
    </row>
    <row r="149" spans="1:60" ht="12.75" customHeight="1" outlineLevel="2" x14ac:dyDescent="0.2">
      <c r="A149" s="132">
        <v>3</v>
      </c>
      <c r="B149" s="448">
        <v>242000</v>
      </c>
      <c r="C149" s="3" t="s">
        <v>232</v>
      </c>
      <c r="D149" s="862"/>
      <c r="E149" s="1218"/>
      <c r="F149" s="862"/>
      <c r="G149" s="866"/>
      <c r="H149" s="863"/>
      <c r="I149" s="863"/>
      <c r="J149" s="864"/>
      <c r="K149" s="865"/>
      <c r="L149" s="471"/>
      <c r="M149" s="471"/>
      <c r="N149" s="473"/>
      <c r="O149" s="474"/>
      <c r="P149" s="473"/>
      <c r="Q149" s="474"/>
      <c r="R149" s="473"/>
      <c r="S149" s="474"/>
      <c r="T149" s="886"/>
      <c r="U149" s="1415"/>
      <c r="V149" s="1380"/>
      <c r="W149" s="1381"/>
      <c r="X149" s="1381"/>
      <c r="Y149" s="1381"/>
      <c r="Z149" s="1382">
        <v>4</v>
      </c>
      <c r="AA149" s="1381" t="str">
        <f t="shared" si="76"/>
        <v/>
      </c>
      <c r="AB149" s="1381" t="str">
        <f>IF(Z149=A149,IF(AND(L149="N",Table22[[#This Row],[LOQ_label]]="Y"),AA149,$AA149*$Y149),"")</f>
        <v/>
      </c>
      <c r="AC149" s="1383" t="str">
        <f t="shared" si="77"/>
        <v/>
      </c>
      <c r="AD149" s="1383" t="str">
        <f>IF(Table22[[#This Row],[Median residue*CF*PeF]]&lt;&gt;"",Table22[[#This Row],[Median residue*CF*PeF]],Table22[[#This Row],[MRL*CF*PeF (chronic)]])</f>
        <v/>
      </c>
      <c r="AE149" s="1384">
        <f t="shared" si="78"/>
        <v>0</v>
      </c>
      <c r="AF149" s="1385" t="str">
        <f t="shared" si="79"/>
        <v/>
      </c>
      <c r="AG149" s="1385" t="str">
        <f t="shared" si="80"/>
        <v/>
      </c>
      <c r="AH149" s="1270" t="str">
        <f t="shared" si="81"/>
        <v/>
      </c>
      <c r="AI149" s="1386">
        <v>4</v>
      </c>
      <c r="AJ149" s="1387" t="str">
        <f t="shared" si="82"/>
        <v/>
      </c>
      <c r="AK149" s="1387" t="str">
        <f>IF(AI149=A149,IF(AND(L149="N",Table22[[#This Row],[LOQ_label]]="Y"),AJ149,$AJ149*$Y149),"")</f>
        <v/>
      </c>
      <c r="AL149" s="1388" t="str">
        <f t="shared" si="83"/>
        <v/>
      </c>
      <c r="AM149" s="1393" t="str">
        <f>IF(Table22[[#This Row],[Highest residue * CF*PF]]&lt;&gt;"",Table22[[#This Row],[Highest residue * CF*PF]],Table22[[#This Row],[MRL*CF*PF or MRL (if LOQ and not authorised) (acute RA)]])</f>
        <v/>
      </c>
      <c r="AN149" s="1390" t="str">
        <f t="shared" si="84"/>
        <v/>
      </c>
      <c r="AO149" s="1390" t="str">
        <f t="shared" si="85"/>
        <v/>
      </c>
      <c r="AP149" s="1404" t="str">
        <f t="shared" si="86"/>
        <v/>
      </c>
      <c r="AQ149" s="1388">
        <f t="shared" si="87"/>
        <v>0</v>
      </c>
      <c r="AR149" s="1388" t="str">
        <f t="shared" si="88"/>
        <v/>
      </c>
      <c r="AS149" s="1388" t="str">
        <f t="shared" si="89"/>
        <v/>
      </c>
      <c r="AT149" s="1388" t="str">
        <f t="shared" si="90"/>
        <v/>
      </c>
      <c r="AU149" s="1393" t="str">
        <f t="shared" si="91"/>
        <v/>
      </c>
      <c r="AV149" s="1388">
        <f t="shared" si="92"/>
        <v>0</v>
      </c>
      <c r="AW149" s="1390" t="str">
        <f t="shared" si="93"/>
        <v/>
      </c>
      <c r="AX149" s="1390" t="str">
        <f>IF(AND(AN149&lt;&gt;"",AY149&lt;&gt;""),"*","")</f>
        <v/>
      </c>
      <c r="AY149" s="1394" t="str">
        <f t="shared" si="94"/>
        <v/>
      </c>
      <c r="AZ149" s="1395">
        <f>IF(Table22[[#This Row],[LOQ_label]]="Y",Table22[[#This Row],[MRL individual commodity]],"")</f>
        <v>0</v>
      </c>
      <c r="BA149" s="1396" t="s">
        <v>1159</v>
      </c>
      <c r="BB149" s="1411" t="str">
        <f>IF(Table22[[#This Row],[LOQ2]]&lt;0,MIN(AZ149:AZ410),"")</f>
        <v/>
      </c>
      <c r="BC149" s="1299"/>
      <c r="BD149" s="1306" t="str">
        <f>IF(Table22[[#This Row],[Chronic RA label]]="","N",IF(Table22[[#This Row],[Chronic RA label]]="LOQ","N",IF(Table22[[#This Row],[Chronic RA label]]="MRL","N","Y")))</f>
        <v>N</v>
      </c>
      <c r="BE149" s="1306" t="str">
        <f>IF(Table22[[#This Row],[Acute RA label]]="","N",IF(Table22[[#This Row],[Acute RA label]]="LOQ","N",IF(Table22[[#This Row],[Acute RA label]]="MRL","N","Y")))</f>
        <v>N</v>
      </c>
      <c r="BF149" s="1306" t="str">
        <f>IF(OR(Table22[[#This Row],[include commodity in Summary_input_values_chronic]]="Y",Table22[[#This Row],[include commodity in Summary_input_values_acute]]="Y"),"Y","N")</f>
        <v>N</v>
      </c>
      <c r="BG149" s="1299"/>
      <c r="BH149" s="1324"/>
    </row>
    <row r="150" spans="1:60" ht="12.75" customHeight="1" outlineLevel="3" x14ac:dyDescent="0.2">
      <c r="A150" s="39">
        <v>4</v>
      </c>
      <c r="B150" s="327">
        <v>242010</v>
      </c>
      <c r="C150" s="23" t="s">
        <v>86</v>
      </c>
      <c r="D150" s="867"/>
      <c r="E150" s="1219"/>
      <c r="F150" s="867"/>
      <c r="G150" s="869"/>
      <c r="H150" s="863"/>
      <c r="I150" s="868"/>
      <c r="J150" s="870"/>
      <c r="K150" s="865"/>
      <c r="L150" s="872"/>
      <c r="M150" s="872"/>
      <c r="N150" s="925" t="str">
        <f>IF(O150&lt;&gt;0,CONCATENATE(input_values!$AF150,input_values!$AG150,input_values!$AH150),"")</f>
        <v/>
      </c>
      <c r="O150" s="491">
        <f>IF($A$10="Refined calculation mode",Table22[[#This Row],[input for chronic (refined mode]],Table22[[#This Row],[input for chronic normal mode]])</f>
        <v>0</v>
      </c>
      <c r="P150" s="925" t="str">
        <f>IF(Q150&lt;&gt;0,CONCATENATE(input_values!$AN150,input_values!$AO150,input_values!$AP150),"")</f>
        <v/>
      </c>
      <c r="Q150" s="491">
        <f>IF($V$5=0,0,IF(OR($A$10="Refined calculation mode",Results!$B$62="Show results of IESTI calculation only for crops with GAPs under assessment"),Table22[[#This Row],[Input for IESTI (refined mode)]],Table22[[#This Row],[Input for IESTI normal mode]]))</f>
        <v>0</v>
      </c>
      <c r="R150" s="926" t="str">
        <f>IF(S150&lt;&gt;0,CONCATENATE(input_values!$AW150,input_values!$AX150,input_values!$AY150),"")</f>
        <v/>
      </c>
      <c r="S150" s="492">
        <f>IF($V$5=0,0,IF(OR($A$10="Refined calculation mode",Results!$B$62="Show results of IESTI calculation only for crops with GAPs under assessment"),Table22[[#This Row],[Input for IESTI new (refined mode)]],Table22[[#This Row],[Input for IESTI new normal mode]]))</f>
        <v>0</v>
      </c>
      <c r="T150" s="886"/>
      <c r="U150" s="1408">
        <f>Table22[[#This Row],[MRL/ proposed MRL /CXL
(mg/kg)]]</f>
        <v>0</v>
      </c>
      <c r="V150" s="1409" t="str">
        <f>IF(ISBLANK(F150),"","Y")</f>
        <v/>
      </c>
      <c r="W150" s="1387">
        <f>IF($G150&gt;0,$G150,1)</f>
        <v>1</v>
      </c>
      <c r="X150" s="1387">
        <f>IF($H150&gt;0,$H150,1)</f>
        <v>1</v>
      </c>
      <c r="Y150" s="1387">
        <f>W150*X150</f>
        <v>1</v>
      </c>
      <c r="Z150" s="1410">
        <v>4</v>
      </c>
      <c r="AA150" s="1387">
        <f t="shared" si="76"/>
        <v>0</v>
      </c>
      <c r="AB150" s="1387">
        <f>IF(Z150=A150,IF(AND(L150="N",Table22[[#This Row],[LOQ_label]]="Y"),AA150,$AA150*$Y150),"")</f>
        <v>0</v>
      </c>
      <c r="AC150" s="1393">
        <f t="shared" si="77"/>
        <v>0</v>
      </c>
      <c r="AD150" s="1393">
        <f>IF(Table22[[#This Row],[Median residue*CF*PeF]]&lt;&gt;"",Table22[[#This Row],[Median residue*CF*PeF]],Table22[[#This Row],[MRL*CF*PeF (chronic)]])</f>
        <v>0</v>
      </c>
      <c r="AE150" s="1393">
        <f t="shared" si="78"/>
        <v>0</v>
      </c>
      <c r="AF150" s="1390" t="str">
        <f t="shared" si="79"/>
        <v>MRL</v>
      </c>
      <c r="AG150" s="1390" t="str">
        <f t="shared" si="80"/>
        <v/>
      </c>
      <c r="AH150" s="1394" t="str">
        <f t="shared" si="81"/>
        <v/>
      </c>
      <c r="AI150" s="1386">
        <v>4</v>
      </c>
      <c r="AJ150" s="1387">
        <f t="shared" si="82"/>
        <v>0</v>
      </c>
      <c r="AK150" s="1387">
        <f>IF(AI150=A150,IF(AND(L150="N",Table22[[#This Row],[LOQ_label]]="Y"),AJ150,$AJ150*$Y150),"")</f>
        <v>0</v>
      </c>
      <c r="AL150" s="1388">
        <f t="shared" si="83"/>
        <v>0</v>
      </c>
      <c r="AM150" s="1393">
        <f>IF(Table22[[#This Row],[Highest residue * CF*PF]]&lt;&gt;"",Table22[[#This Row],[Highest residue * CF*PF]],Table22[[#This Row],[MRL*CF*PF or MRL (if LOQ and not authorised) (acute RA)]])</f>
        <v>0</v>
      </c>
      <c r="AN150" s="1390" t="str">
        <f t="shared" si="84"/>
        <v>MRL</v>
      </c>
      <c r="AO150" s="1390" t="str">
        <f t="shared" si="85"/>
        <v/>
      </c>
      <c r="AP150" s="1404" t="str">
        <f t="shared" si="86"/>
        <v/>
      </c>
      <c r="AQ150" s="1388">
        <f t="shared" si="87"/>
        <v>0</v>
      </c>
      <c r="AR150" s="1388" t="str">
        <f t="shared" si="88"/>
        <v/>
      </c>
      <c r="AS150" s="1388" t="str">
        <f t="shared" si="89"/>
        <v/>
      </c>
      <c r="AT150" s="1388" t="str">
        <f t="shared" si="90"/>
        <v/>
      </c>
      <c r="AU150" s="1393">
        <f t="shared" si="91"/>
        <v>0</v>
      </c>
      <c r="AV150" s="1388">
        <f t="shared" si="92"/>
        <v>0</v>
      </c>
      <c r="AW150" s="1390" t="str">
        <f t="shared" si="93"/>
        <v/>
      </c>
      <c r="AX150" s="1390" t="str">
        <f>IF(AND(AW150&lt;&gt;"",AY150&lt;&gt;""),"*","")</f>
        <v/>
      </c>
      <c r="AY150" s="1394" t="str">
        <f t="shared" si="94"/>
        <v/>
      </c>
      <c r="AZ150" s="1395" t="str">
        <f>IF(Table22[[#This Row],[LOQ_label]]="Y",Table22[[#This Row],[MRL individual commodity]],"")</f>
        <v/>
      </c>
      <c r="BA150" s="1396" t="s">
        <v>1038</v>
      </c>
      <c r="BB150" s="1411" t="str">
        <f>IF(Table22[[#This Row],[LOQ2]]&lt;0,MIN(AZ150:AZ410),"")</f>
        <v/>
      </c>
      <c r="BC150" s="1299"/>
      <c r="BD150" s="1306" t="str">
        <f>IF(Table22[[#This Row],[Chronic RA label]]="","N",IF(Table22[[#This Row],[Chronic RA label]]="LOQ","N",IF(Table22[[#This Row],[Chronic RA label]]="MRL","N","Y")))</f>
        <v>N</v>
      </c>
      <c r="BE150" s="1306" t="str">
        <f>IF(Table22[[#This Row],[Acute RA label]]="","N",IF(Table22[[#This Row],[Acute RA label]]="LOQ","N",IF(Table22[[#This Row],[Acute RA label]]="MRL","N","Y")))</f>
        <v>N</v>
      </c>
      <c r="BF150" s="1306" t="str">
        <f>IF(OR(Table22[[#This Row],[include commodity in Summary_input_values_chronic]]="Y",Table22[[#This Row],[include commodity in Summary_input_values_acute]]="Y"),"Y","N")</f>
        <v>N</v>
      </c>
      <c r="BG150" s="1299"/>
      <c r="BH150" s="1324"/>
    </row>
    <row r="151" spans="1:60" ht="12.75" customHeight="1" outlineLevel="3" x14ac:dyDescent="0.2">
      <c r="A151" s="39">
        <v>4</v>
      </c>
      <c r="B151" s="327">
        <v>242020</v>
      </c>
      <c r="C151" s="23" t="s">
        <v>716</v>
      </c>
      <c r="D151" s="867"/>
      <c r="E151" s="1219"/>
      <c r="F151" s="867"/>
      <c r="G151" s="869"/>
      <c r="H151" s="863"/>
      <c r="I151" s="868"/>
      <c r="J151" s="870"/>
      <c r="K151" s="871"/>
      <c r="L151" s="872"/>
      <c r="M151" s="872"/>
      <c r="N151" s="925" t="str">
        <f>IF(O151&lt;&gt;0,CONCATENATE(input_values!$AF151,input_values!$AG151,input_values!$AH151),"")</f>
        <v/>
      </c>
      <c r="O151" s="491">
        <f>IF($A$10="Refined calculation mode",Table22[[#This Row],[input for chronic (refined mode]],Table22[[#This Row],[input for chronic normal mode]])</f>
        <v>0</v>
      </c>
      <c r="P151" s="925" t="str">
        <f>IF(Q151&lt;&gt;0,CONCATENATE(input_values!$AN151,input_values!$AO151,input_values!$AP151),"")</f>
        <v/>
      </c>
      <c r="Q151" s="491">
        <f>IF($V$5=0,0,IF(OR($A$10="Refined calculation mode",Results!$B$62="Show results of IESTI calculation only for crops with GAPs under assessment"),Table22[[#This Row],[Input for IESTI (refined mode)]],Table22[[#This Row],[Input for IESTI normal mode]]))</f>
        <v>0</v>
      </c>
      <c r="R151" s="926" t="str">
        <f>IF(S151&lt;&gt;0,CONCATENATE(input_values!$AW151,input_values!$AX151,input_values!$AY151),"")</f>
        <v/>
      </c>
      <c r="S151" s="492">
        <f>IF($V$5=0,0,IF(OR($A$10="Refined calculation mode",Results!$B$62="Show results of IESTI calculation only for crops with GAPs under assessment"),Table22[[#This Row],[Input for IESTI new (refined mode)]],Table22[[#This Row],[Input for IESTI new normal mode]]))</f>
        <v>0</v>
      </c>
      <c r="T151" s="886"/>
      <c r="U151" s="1408">
        <f>Table22[[#This Row],[MRL/ proposed MRL /CXL
(mg/kg)]]</f>
        <v>0</v>
      </c>
      <c r="V151" s="1409" t="str">
        <f>IF(ISBLANK(F151),"","Y")</f>
        <v/>
      </c>
      <c r="W151" s="1387">
        <f>IF($G151&gt;0,$G151,1)</f>
        <v>1</v>
      </c>
      <c r="X151" s="1387">
        <f>IF($H151&gt;0,$H151,1)</f>
        <v>1</v>
      </c>
      <c r="Y151" s="1387">
        <f>W151*X151</f>
        <v>1</v>
      </c>
      <c r="Z151" s="1410">
        <v>4</v>
      </c>
      <c r="AA151" s="1387">
        <f t="shared" si="76"/>
        <v>0</v>
      </c>
      <c r="AB151" s="1387">
        <f>IF(Z151=A151,IF(AND(L151="N",Table22[[#This Row],[LOQ_label]]="Y"),AA151,$AA151*$Y151),"")</f>
        <v>0</v>
      </c>
      <c r="AC151" s="1393">
        <f t="shared" si="77"/>
        <v>0</v>
      </c>
      <c r="AD151" s="1393">
        <f>IF(Table22[[#This Row],[Median residue*CF*PeF]]&lt;&gt;"",Table22[[#This Row],[Median residue*CF*PeF]],Table22[[#This Row],[MRL*CF*PeF (chronic)]])</f>
        <v>0</v>
      </c>
      <c r="AE151" s="1393">
        <f t="shared" si="78"/>
        <v>0</v>
      </c>
      <c r="AF151" s="1390" t="str">
        <f t="shared" si="79"/>
        <v>MRL</v>
      </c>
      <c r="AG151" s="1390" t="str">
        <f t="shared" si="80"/>
        <v/>
      </c>
      <c r="AH151" s="1394" t="str">
        <f t="shared" si="81"/>
        <v/>
      </c>
      <c r="AI151" s="1386">
        <v>4</v>
      </c>
      <c r="AJ151" s="1387">
        <f t="shared" si="82"/>
        <v>0</v>
      </c>
      <c r="AK151" s="1387">
        <f>IF(AI151=A151,IF(AND(L151="N",Table22[[#This Row],[LOQ_label]]="Y"),AJ151,$AJ151*$Y151),"")</f>
        <v>0</v>
      </c>
      <c r="AL151" s="1388">
        <f t="shared" si="83"/>
        <v>0</v>
      </c>
      <c r="AM151" s="1393">
        <f>IF(Table22[[#This Row],[Highest residue * CF*PF]]&lt;&gt;"",Table22[[#This Row],[Highest residue * CF*PF]],Table22[[#This Row],[MRL*CF*PF or MRL (if LOQ and not authorised) (acute RA)]])</f>
        <v>0</v>
      </c>
      <c r="AN151" s="1390" t="str">
        <f t="shared" si="84"/>
        <v>MRL</v>
      </c>
      <c r="AO151" s="1390" t="str">
        <f t="shared" si="85"/>
        <v/>
      </c>
      <c r="AP151" s="1404" t="str">
        <f t="shared" si="86"/>
        <v/>
      </c>
      <c r="AQ151" s="1388">
        <f t="shared" si="87"/>
        <v>0</v>
      </c>
      <c r="AR151" s="1388" t="str">
        <f t="shared" si="88"/>
        <v/>
      </c>
      <c r="AS151" s="1388" t="str">
        <f t="shared" si="89"/>
        <v/>
      </c>
      <c r="AT151" s="1388" t="str">
        <f t="shared" si="90"/>
        <v/>
      </c>
      <c r="AU151" s="1393">
        <f t="shared" si="91"/>
        <v>0</v>
      </c>
      <c r="AV151" s="1388">
        <f t="shared" si="92"/>
        <v>0</v>
      </c>
      <c r="AW151" s="1390" t="str">
        <f t="shared" si="93"/>
        <v/>
      </c>
      <c r="AX151" s="1390" t="str">
        <f>IF(AND(AW151&lt;&gt;"",AY151&lt;&gt;""),"*","")</f>
        <v/>
      </c>
      <c r="AY151" s="1394" t="str">
        <f t="shared" si="94"/>
        <v/>
      </c>
      <c r="AZ151" s="1395" t="str">
        <f>IF(Table22[[#This Row],[LOQ_label]]="Y",Table22[[#This Row],[MRL individual commodity]],"")</f>
        <v/>
      </c>
      <c r="BA151" s="1449" t="s">
        <v>654</v>
      </c>
      <c r="BB151" s="1411" t="str">
        <f>IF(Table22[[#This Row],[LOQ2]]&lt;0,MIN(AZ151:AZ410),"")</f>
        <v/>
      </c>
      <c r="BC151" s="1299"/>
      <c r="BD151" s="1306" t="str">
        <f>IF(Table22[[#This Row],[Chronic RA label]]="","N",IF(Table22[[#This Row],[Chronic RA label]]="LOQ","N",IF(Table22[[#This Row],[Chronic RA label]]="MRL","N","Y")))</f>
        <v>N</v>
      </c>
      <c r="BE151" s="1306" t="str">
        <f>IF(Table22[[#This Row],[Acute RA label]]="","N",IF(Table22[[#This Row],[Acute RA label]]="LOQ","N",IF(Table22[[#This Row],[Acute RA label]]="MRL","N","Y")))</f>
        <v>N</v>
      </c>
      <c r="BF151" s="1306" t="str">
        <f>IF(OR(Table22[[#This Row],[include commodity in Summary_input_values_chronic]]="Y",Table22[[#This Row],[include commodity in Summary_input_values_acute]]="Y"),"Y","N")</f>
        <v>N</v>
      </c>
      <c r="BG151" s="1299"/>
      <c r="BH151" s="1324"/>
    </row>
    <row r="152" spans="1:60" ht="12.75" customHeight="1" outlineLevel="3" x14ac:dyDescent="0.2">
      <c r="A152" s="39">
        <v>4</v>
      </c>
      <c r="B152" s="327">
        <v>242990</v>
      </c>
      <c r="C152" s="23" t="s">
        <v>171</v>
      </c>
      <c r="D152" s="867"/>
      <c r="E152" s="1219"/>
      <c r="F152" s="867"/>
      <c r="G152" s="868"/>
      <c r="H152" s="863"/>
      <c r="I152" s="868"/>
      <c r="J152" s="870"/>
      <c r="K152" s="865"/>
      <c r="L152" s="872"/>
      <c r="M152" s="872"/>
      <c r="N152" s="925" t="str">
        <f>IF(O152&lt;&gt;0,CONCATENATE(input_values!$AF152,input_values!$AG152,input_values!$AH152),"")</f>
        <v/>
      </c>
      <c r="O152" s="491">
        <f>IF($A$10="Refined calculation mode",Table22[[#This Row],[input for chronic (refined mode]],Table22[[#This Row],[input for chronic normal mode]])</f>
        <v>0</v>
      </c>
      <c r="P152" s="473"/>
      <c r="Q152" s="474"/>
      <c r="R152" s="473"/>
      <c r="S152" s="474"/>
      <c r="T152" s="886"/>
      <c r="U152" s="1408">
        <f>Table22[[#This Row],[MRL/ proposed MRL /CXL
(mg/kg)]]</f>
        <v>0</v>
      </c>
      <c r="V152" s="1409" t="str">
        <f>IF(ISBLANK(F152),"","Y")</f>
        <v/>
      </c>
      <c r="W152" s="1387">
        <f>IF($G152&gt;0,$G152,1)</f>
        <v>1</v>
      </c>
      <c r="X152" s="1387">
        <f>IF($H152&gt;0,$H152,1)</f>
        <v>1</v>
      </c>
      <c r="Y152" s="1387">
        <f>W152*X152</f>
        <v>1</v>
      </c>
      <c r="Z152" s="1410">
        <v>4</v>
      </c>
      <c r="AA152" s="1387">
        <f t="shared" si="76"/>
        <v>0</v>
      </c>
      <c r="AB152" s="1387">
        <f>IF(Z152=A152,IF(AND(L152="N",Table22[[#This Row],[LOQ_label]]="Y"),AA152,$AA152*$Y152),"")</f>
        <v>0</v>
      </c>
      <c r="AC152" s="1393">
        <f t="shared" si="77"/>
        <v>0</v>
      </c>
      <c r="AD152" s="1393">
        <f>IF(Table22[[#This Row],[Median residue*CF*PeF]]&lt;&gt;"",Table22[[#This Row],[Median residue*CF*PeF]],Table22[[#This Row],[MRL*CF*PeF (chronic)]])</f>
        <v>0</v>
      </c>
      <c r="AE152" s="1393">
        <f t="shared" si="78"/>
        <v>0</v>
      </c>
      <c r="AF152" s="1390" t="str">
        <f t="shared" si="79"/>
        <v>MRL</v>
      </c>
      <c r="AG152" s="1390" t="str">
        <f t="shared" si="80"/>
        <v/>
      </c>
      <c r="AH152" s="1394" t="str">
        <f t="shared" si="81"/>
        <v/>
      </c>
      <c r="AI152" s="1386"/>
      <c r="AJ152" s="1387" t="str">
        <f t="shared" si="82"/>
        <v/>
      </c>
      <c r="AK152" s="1387" t="str">
        <f>IF(AI152=A152,IF(AND(L152="N",Table22[[#This Row],[LOQ_label]]="Y"),AJ152,$AJ152*$Y152),"")</f>
        <v/>
      </c>
      <c r="AL152" s="1388" t="str">
        <f t="shared" si="83"/>
        <v/>
      </c>
      <c r="AM152" s="1393" t="str">
        <f>IF(Table22[[#This Row],[Highest residue * CF*PF]]&lt;&gt;"",Table22[[#This Row],[Highest residue * CF*PF]],Table22[[#This Row],[MRL*CF*PF or MRL (if LOQ and not authorised) (acute RA)]])</f>
        <v/>
      </c>
      <c r="AN152" s="1390" t="str">
        <f t="shared" si="84"/>
        <v/>
      </c>
      <c r="AO152" s="1390" t="str">
        <f t="shared" si="85"/>
        <v/>
      </c>
      <c r="AP152" s="1404" t="str">
        <f t="shared" si="86"/>
        <v/>
      </c>
      <c r="AQ152" s="1388">
        <f t="shared" si="87"/>
        <v>0</v>
      </c>
      <c r="AR152" s="1388" t="str">
        <f t="shared" si="88"/>
        <v/>
      </c>
      <c r="AS152" s="1388" t="str">
        <f t="shared" si="89"/>
        <v/>
      </c>
      <c r="AT152" s="1388" t="str">
        <f t="shared" si="90"/>
        <v/>
      </c>
      <c r="AU152" s="1393" t="str">
        <f t="shared" si="91"/>
        <v/>
      </c>
      <c r="AV152" s="1388">
        <f t="shared" si="92"/>
        <v>0</v>
      </c>
      <c r="AW152" s="1390" t="str">
        <f t="shared" si="93"/>
        <v/>
      </c>
      <c r="AX152" s="1390" t="str">
        <f>IF(AND(AN152&lt;&gt;"",AY152&lt;&gt;""),"*","")</f>
        <v/>
      </c>
      <c r="AY152" s="1394" t="str">
        <f t="shared" si="94"/>
        <v/>
      </c>
      <c r="AZ152" s="1395" t="str">
        <f>IF(Table22[[#This Row],[LOQ_label]]="Y",Table22[[#This Row],[MRL individual commodity]],"")</f>
        <v/>
      </c>
      <c r="BA152" s="1396" t="s">
        <v>1159</v>
      </c>
      <c r="BB152" s="1411" t="str">
        <f>IF(Table22[[#This Row],[LOQ2]]&lt;0,MIN(AZ152:AZ410),"")</f>
        <v/>
      </c>
      <c r="BC152" s="1299"/>
      <c r="BD152" s="1306" t="str">
        <f>IF(Table22[[#This Row],[Chronic RA label]]="","N",IF(Table22[[#This Row],[Chronic RA label]]="LOQ","N",IF(Table22[[#This Row],[Chronic RA label]]="MRL","N","Y")))</f>
        <v>N</v>
      </c>
      <c r="BE152" s="1306" t="str">
        <f>IF(Table22[[#This Row],[Acute RA label]]="","N",IF(Table22[[#This Row],[Acute RA label]]="LOQ","N",IF(Table22[[#This Row],[Acute RA label]]="MRL","N","Y")))</f>
        <v>N</v>
      </c>
      <c r="BF152" s="1306" t="str">
        <f>IF(OR(Table22[[#This Row],[include commodity in Summary_input_values_chronic]]="Y",Table22[[#This Row],[include commodity in Summary_input_values_acute]]="Y"),"Y","N")</f>
        <v>N</v>
      </c>
      <c r="BG152" s="1299"/>
      <c r="BH152" s="1324"/>
    </row>
    <row r="153" spans="1:60" ht="12.75" customHeight="1" outlineLevel="2" x14ac:dyDescent="0.2">
      <c r="A153" s="132">
        <v>3</v>
      </c>
      <c r="B153" s="448">
        <v>243000</v>
      </c>
      <c r="C153" s="3" t="s">
        <v>233</v>
      </c>
      <c r="D153" s="862"/>
      <c r="E153" s="1218"/>
      <c r="F153" s="862"/>
      <c r="G153" s="866"/>
      <c r="H153" s="863"/>
      <c r="I153" s="863"/>
      <c r="J153" s="864"/>
      <c r="K153" s="865"/>
      <c r="L153" s="471"/>
      <c r="M153" s="471"/>
      <c r="N153" s="473"/>
      <c r="O153" s="474"/>
      <c r="P153" s="473"/>
      <c r="Q153" s="474"/>
      <c r="R153" s="473"/>
      <c r="S153" s="474"/>
      <c r="T153" s="886"/>
      <c r="U153" s="1415"/>
      <c r="V153" s="1380"/>
      <c r="W153" s="1381"/>
      <c r="X153" s="1381"/>
      <c r="Y153" s="1381"/>
      <c r="Z153" s="1382">
        <v>4</v>
      </c>
      <c r="AA153" s="1381" t="str">
        <f t="shared" si="76"/>
        <v/>
      </c>
      <c r="AB153" s="1381" t="str">
        <f>IF(Z153=A153,IF(AND(L153="N",Table22[[#This Row],[LOQ_label]]="Y"),AA153,$AA153*$Y153),"")</f>
        <v/>
      </c>
      <c r="AC153" s="1383" t="str">
        <f t="shared" si="77"/>
        <v/>
      </c>
      <c r="AD153" s="1383" t="str">
        <f>IF(Table22[[#This Row],[Median residue*CF*PeF]]&lt;&gt;"",Table22[[#This Row],[Median residue*CF*PeF]],Table22[[#This Row],[MRL*CF*PeF (chronic)]])</f>
        <v/>
      </c>
      <c r="AE153" s="1384">
        <f t="shared" si="78"/>
        <v>0</v>
      </c>
      <c r="AF153" s="1385" t="str">
        <f t="shared" si="79"/>
        <v/>
      </c>
      <c r="AG153" s="1385" t="str">
        <f t="shared" si="80"/>
        <v/>
      </c>
      <c r="AH153" s="1270" t="str">
        <f t="shared" si="81"/>
        <v/>
      </c>
      <c r="AI153" s="1386">
        <v>4</v>
      </c>
      <c r="AJ153" s="1387" t="str">
        <f t="shared" si="82"/>
        <v/>
      </c>
      <c r="AK153" s="1387" t="str">
        <f>IF(AI153=A153,IF(AND(L153="N",Table22[[#This Row],[LOQ_label]]="Y"),AJ153,$AJ153*$Y153),"")</f>
        <v/>
      </c>
      <c r="AL153" s="1388" t="str">
        <f t="shared" si="83"/>
        <v/>
      </c>
      <c r="AM153" s="1393" t="str">
        <f>IF(Table22[[#This Row],[Highest residue * CF*PF]]&lt;&gt;"",Table22[[#This Row],[Highest residue * CF*PF]],Table22[[#This Row],[MRL*CF*PF or MRL (if LOQ and not authorised) (acute RA)]])</f>
        <v/>
      </c>
      <c r="AN153" s="1390" t="str">
        <f t="shared" si="84"/>
        <v/>
      </c>
      <c r="AO153" s="1390" t="str">
        <f t="shared" si="85"/>
        <v/>
      </c>
      <c r="AP153" s="1404" t="str">
        <f t="shared" si="86"/>
        <v/>
      </c>
      <c r="AQ153" s="1388">
        <f t="shared" si="87"/>
        <v>0</v>
      </c>
      <c r="AR153" s="1388" t="str">
        <f t="shared" si="88"/>
        <v/>
      </c>
      <c r="AS153" s="1388" t="str">
        <f t="shared" si="89"/>
        <v/>
      </c>
      <c r="AT153" s="1388" t="str">
        <f t="shared" si="90"/>
        <v/>
      </c>
      <c r="AU153" s="1393" t="str">
        <f t="shared" si="91"/>
        <v/>
      </c>
      <c r="AV153" s="1388">
        <f t="shared" si="92"/>
        <v>0</v>
      </c>
      <c r="AW153" s="1390" t="str">
        <f t="shared" si="93"/>
        <v/>
      </c>
      <c r="AX153" s="1390" t="str">
        <f>IF(AND(AN153&lt;&gt;"",AY153&lt;&gt;""),"*","")</f>
        <v/>
      </c>
      <c r="AY153" s="1394" t="str">
        <f t="shared" si="94"/>
        <v/>
      </c>
      <c r="AZ153" s="1395">
        <f>IF(Table22[[#This Row],[LOQ_label]]="Y",Table22[[#This Row],[MRL individual commodity]],"")</f>
        <v>0</v>
      </c>
      <c r="BA153" s="1396" t="s">
        <v>1159</v>
      </c>
      <c r="BB153" s="1411" t="str">
        <f>IF(Table22[[#This Row],[LOQ2]]&lt;0,MIN(AZ153:AZ410),"")</f>
        <v/>
      </c>
      <c r="BC153" s="1299"/>
      <c r="BD153" s="1306" t="str">
        <f>IF(Table22[[#This Row],[Chronic RA label]]="","N",IF(Table22[[#This Row],[Chronic RA label]]="LOQ","N",IF(Table22[[#This Row],[Chronic RA label]]="MRL","N","Y")))</f>
        <v>N</v>
      </c>
      <c r="BE153" s="1306" t="str">
        <f>IF(Table22[[#This Row],[Acute RA label]]="","N",IF(Table22[[#This Row],[Acute RA label]]="LOQ","N",IF(Table22[[#This Row],[Acute RA label]]="MRL","N","Y")))</f>
        <v>N</v>
      </c>
      <c r="BF153" s="1306" t="str">
        <f>IF(OR(Table22[[#This Row],[include commodity in Summary_input_values_chronic]]="Y",Table22[[#This Row],[include commodity in Summary_input_values_acute]]="Y"),"Y","N")</f>
        <v>N</v>
      </c>
      <c r="BG153" s="1299"/>
      <c r="BH153" s="1324"/>
    </row>
    <row r="154" spans="1:60" ht="12.75" customHeight="1" outlineLevel="3" x14ac:dyDescent="0.2">
      <c r="A154" s="39">
        <v>4</v>
      </c>
      <c r="B154" s="327">
        <v>243010</v>
      </c>
      <c r="C154" s="23" t="s">
        <v>717</v>
      </c>
      <c r="D154" s="867"/>
      <c r="E154" s="1219"/>
      <c r="F154" s="867"/>
      <c r="G154" s="869"/>
      <c r="H154" s="863"/>
      <c r="I154" s="868"/>
      <c r="J154" s="870"/>
      <c r="K154" s="871"/>
      <c r="L154" s="872"/>
      <c r="M154" s="872"/>
      <c r="N154" s="925" t="str">
        <f>IF(O154&lt;&gt;0,CONCATENATE(input_values!$AF154,input_values!$AG154,input_values!$AH154),"")</f>
        <v/>
      </c>
      <c r="O154" s="491">
        <f>IF($A$10="Refined calculation mode",Table22[[#This Row],[input for chronic (refined mode]],Table22[[#This Row],[input for chronic normal mode]])</f>
        <v>0</v>
      </c>
      <c r="P154" s="925" t="str">
        <f>IF(Q154&lt;&gt;0,CONCATENATE(input_values!$AN154,input_values!$AO154,input_values!$AP154),"")</f>
        <v/>
      </c>
      <c r="Q154" s="491">
        <f>IF($V$5=0,0,IF(OR($A$10="Refined calculation mode",Results!$B$62="Show results of IESTI calculation only for crops with GAPs under assessment"),Table22[[#This Row],[Input for IESTI (refined mode)]],Table22[[#This Row],[Input for IESTI normal mode]]))</f>
        <v>0</v>
      </c>
      <c r="R154" s="926" t="str">
        <f>IF(S154&lt;&gt;0,CONCATENATE(input_values!$AW154,input_values!$AX154,input_values!$AY154),"")</f>
        <v/>
      </c>
      <c r="S154" s="492">
        <f>IF($V$5=0,0,IF(OR($A$10="Refined calculation mode",Results!$B$62="Show results of IESTI calculation only for crops with GAPs under assessment"),Table22[[#This Row],[Input for IESTI new (refined mode)]],Table22[[#This Row],[Input for IESTI new normal mode]]))</f>
        <v>0</v>
      </c>
      <c r="T154" s="886"/>
      <c r="U154" s="1408">
        <f>Table22[[#This Row],[MRL/ proposed MRL /CXL
(mg/kg)]]</f>
        <v>0</v>
      </c>
      <c r="V154" s="1409" t="str">
        <f>IF(ISBLANK(F154),"","Y")</f>
        <v/>
      </c>
      <c r="W154" s="1387">
        <f>IF($G154&gt;0,$G154,1)</f>
        <v>1</v>
      </c>
      <c r="X154" s="1387">
        <f>IF($H154&gt;0,$H154,1)</f>
        <v>1</v>
      </c>
      <c r="Y154" s="1387">
        <f>W154*X154</f>
        <v>1</v>
      </c>
      <c r="Z154" s="1410">
        <v>4</v>
      </c>
      <c r="AA154" s="1387">
        <f t="shared" si="76"/>
        <v>0</v>
      </c>
      <c r="AB154" s="1387">
        <f>IF(Z154=A154,IF(AND(L154="N",Table22[[#This Row],[LOQ_label]]="Y"),AA154,$AA154*$Y154),"")</f>
        <v>0</v>
      </c>
      <c r="AC154" s="1393">
        <f t="shared" si="77"/>
        <v>0</v>
      </c>
      <c r="AD154" s="1393">
        <f>IF(Table22[[#This Row],[Median residue*CF*PeF]]&lt;&gt;"",Table22[[#This Row],[Median residue*CF*PeF]],Table22[[#This Row],[MRL*CF*PeF (chronic)]])</f>
        <v>0</v>
      </c>
      <c r="AE154" s="1393">
        <f t="shared" si="78"/>
        <v>0</v>
      </c>
      <c r="AF154" s="1390" t="str">
        <f t="shared" si="79"/>
        <v>MRL</v>
      </c>
      <c r="AG154" s="1390" t="str">
        <f t="shared" si="80"/>
        <v/>
      </c>
      <c r="AH154" s="1394" t="str">
        <f t="shared" si="81"/>
        <v/>
      </c>
      <c r="AI154" s="1386">
        <v>4</v>
      </c>
      <c r="AJ154" s="1387">
        <f t="shared" si="82"/>
        <v>0</v>
      </c>
      <c r="AK154" s="1387">
        <f>IF(AI154=A154,IF(AND(L154="N",Table22[[#This Row],[LOQ_label]]="Y"),AJ154,$AJ154*$Y154),"")</f>
        <v>0</v>
      </c>
      <c r="AL154" s="1388">
        <f t="shared" si="83"/>
        <v>0</v>
      </c>
      <c r="AM154" s="1393">
        <f>IF(Table22[[#This Row],[Highest residue * CF*PF]]&lt;&gt;"",Table22[[#This Row],[Highest residue * CF*PF]],Table22[[#This Row],[MRL*CF*PF or MRL (if LOQ and not authorised) (acute RA)]])</f>
        <v>0</v>
      </c>
      <c r="AN154" s="1390" t="str">
        <f t="shared" si="84"/>
        <v>MRL</v>
      </c>
      <c r="AO154" s="1390" t="str">
        <f t="shared" si="85"/>
        <v/>
      </c>
      <c r="AP154" s="1404" t="str">
        <f t="shared" si="86"/>
        <v/>
      </c>
      <c r="AQ154" s="1388">
        <f t="shared" si="87"/>
        <v>0</v>
      </c>
      <c r="AR154" s="1388" t="str">
        <f t="shared" si="88"/>
        <v/>
      </c>
      <c r="AS154" s="1388" t="str">
        <f t="shared" si="89"/>
        <v/>
      </c>
      <c r="AT154" s="1388" t="str">
        <f t="shared" si="90"/>
        <v/>
      </c>
      <c r="AU154" s="1393">
        <f t="shared" si="91"/>
        <v>0</v>
      </c>
      <c r="AV154" s="1388">
        <f t="shared" si="92"/>
        <v>0</v>
      </c>
      <c r="AW154" s="1390" t="str">
        <f t="shared" si="93"/>
        <v/>
      </c>
      <c r="AX154" s="1390" t="str">
        <f>IF(AND(AW154&lt;&gt;"",AY154&lt;&gt;""),"*","")</f>
        <v/>
      </c>
      <c r="AY154" s="1394" t="str">
        <f t="shared" si="94"/>
        <v/>
      </c>
      <c r="AZ154" s="1395" t="str">
        <f>IF(Table22[[#This Row],[LOQ_label]]="Y",Table22[[#This Row],[MRL individual commodity]],"")</f>
        <v/>
      </c>
      <c r="BA154" s="1449" t="s">
        <v>654</v>
      </c>
      <c r="BB154" s="1411" t="str">
        <f>IF(Table22[[#This Row],[LOQ2]]&lt;0,MIN(AZ154:AZ410),"")</f>
        <v/>
      </c>
      <c r="BC154" s="1299"/>
      <c r="BD154" s="1306" t="str">
        <f>IF(Table22[[#This Row],[Chronic RA label]]="","N",IF(Table22[[#This Row],[Chronic RA label]]="LOQ","N",IF(Table22[[#This Row],[Chronic RA label]]="MRL","N","Y")))</f>
        <v>N</v>
      </c>
      <c r="BE154" s="1306" t="str">
        <f>IF(Table22[[#This Row],[Acute RA label]]="","N",IF(Table22[[#This Row],[Acute RA label]]="LOQ","N",IF(Table22[[#This Row],[Acute RA label]]="MRL","N","Y")))</f>
        <v>N</v>
      </c>
      <c r="BF154" s="1306" t="str">
        <f>IF(OR(Table22[[#This Row],[include commodity in Summary_input_values_chronic]]="Y",Table22[[#This Row],[include commodity in Summary_input_values_acute]]="Y"),"Y","N")</f>
        <v>N</v>
      </c>
      <c r="BG154" s="1299"/>
      <c r="BH154" s="1324"/>
    </row>
    <row r="155" spans="1:60" ht="12.75" customHeight="1" outlineLevel="3" x14ac:dyDescent="0.2">
      <c r="A155" s="39">
        <v>4</v>
      </c>
      <c r="B155" s="327">
        <v>243020</v>
      </c>
      <c r="C155" s="23" t="s">
        <v>718</v>
      </c>
      <c r="D155" s="867"/>
      <c r="E155" s="1219"/>
      <c r="F155" s="867"/>
      <c r="G155" s="869"/>
      <c r="H155" s="863"/>
      <c r="I155" s="868"/>
      <c r="J155" s="870"/>
      <c r="K155" s="871"/>
      <c r="L155" s="872"/>
      <c r="M155" s="872"/>
      <c r="N155" s="925" t="str">
        <f>IF(O155&lt;&gt;0,CONCATENATE(input_values!$AF155,input_values!$AG155,input_values!$AH155),"")</f>
        <v/>
      </c>
      <c r="O155" s="491">
        <f>IF($A$10="Refined calculation mode",Table22[[#This Row],[input for chronic (refined mode]],Table22[[#This Row],[input for chronic normal mode]])</f>
        <v>0</v>
      </c>
      <c r="P155" s="925" t="str">
        <f>IF(Q155&lt;&gt;0,CONCATENATE(input_values!$AN155,input_values!$AO155,input_values!$AP155),"")</f>
        <v/>
      </c>
      <c r="Q155" s="491">
        <f>IF($V$5=0,0,IF(OR($A$10="Refined calculation mode",Results!$B$62="Show results of IESTI calculation only for crops with GAPs under assessment"),Table22[[#This Row],[Input for IESTI (refined mode)]],Table22[[#This Row],[Input for IESTI normal mode]]))</f>
        <v>0</v>
      </c>
      <c r="R155" s="926" t="str">
        <f>IF(S155&lt;&gt;0,CONCATENATE(input_values!$AW155,input_values!$AX155,input_values!$AY155),"")</f>
        <v/>
      </c>
      <c r="S155" s="492">
        <f>IF($V$5=0,0,IF(OR($A$10="Refined calculation mode",Results!$B$62="Show results of IESTI calculation only for crops with GAPs under assessment"),Table22[[#This Row],[Input for IESTI new (refined mode)]],Table22[[#This Row],[Input for IESTI new normal mode]]))</f>
        <v>0</v>
      </c>
      <c r="T155" s="886"/>
      <c r="U155" s="1408">
        <f>Table22[[#This Row],[MRL/ proposed MRL /CXL
(mg/kg)]]</f>
        <v>0</v>
      </c>
      <c r="V155" s="1409" t="str">
        <f>IF(ISBLANK(F155),"","Y")</f>
        <v/>
      </c>
      <c r="W155" s="1387">
        <f>IF($G155&gt;0,$G155,1)</f>
        <v>1</v>
      </c>
      <c r="X155" s="1387">
        <f>IF($H155&gt;0,$H155,1)</f>
        <v>1</v>
      </c>
      <c r="Y155" s="1387">
        <f>W155*X155</f>
        <v>1</v>
      </c>
      <c r="Z155" s="1410">
        <v>4</v>
      </c>
      <c r="AA155" s="1387">
        <f t="shared" si="76"/>
        <v>0</v>
      </c>
      <c r="AB155" s="1387">
        <f>IF(Z155=A155,IF(AND(L155="N",Table22[[#This Row],[LOQ_label]]="Y"),AA155,$AA155*$Y155),"")</f>
        <v>0</v>
      </c>
      <c r="AC155" s="1393">
        <f t="shared" si="77"/>
        <v>0</v>
      </c>
      <c r="AD155" s="1393">
        <f>IF(Table22[[#This Row],[Median residue*CF*PeF]]&lt;&gt;"",Table22[[#This Row],[Median residue*CF*PeF]],Table22[[#This Row],[MRL*CF*PeF (chronic)]])</f>
        <v>0</v>
      </c>
      <c r="AE155" s="1393">
        <f t="shared" si="78"/>
        <v>0</v>
      </c>
      <c r="AF155" s="1390" t="str">
        <f t="shared" si="79"/>
        <v>MRL</v>
      </c>
      <c r="AG155" s="1390" t="str">
        <f t="shared" si="80"/>
        <v/>
      </c>
      <c r="AH155" s="1394" t="str">
        <f t="shared" si="81"/>
        <v/>
      </c>
      <c r="AI155" s="1386">
        <v>4</v>
      </c>
      <c r="AJ155" s="1387">
        <f t="shared" si="82"/>
        <v>0</v>
      </c>
      <c r="AK155" s="1387">
        <f>IF(AI155=A155,IF(AND(L155="N",Table22[[#This Row],[LOQ_label]]="Y"),AJ155,$AJ155*$Y155),"")</f>
        <v>0</v>
      </c>
      <c r="AL155" s="1388">
        <f t="shared" si="83"/>
        <v>0</v>
      </c>
      <c r="AM155" s="1393">
        <f>IF(Table22[[#This Row],[Highest residue * CF*PF]]&lt;&gt;"",Table22[[#This Row],[Highest residue * CF*PF]],Table22[[#This Row],[MRL*CF*PF or MRL (if LOQ and not authorised) (acute RA)]])</f>
        <v>0</v>
      </c>
      <c r="AN155" s="1390" t="str">
        <f t="shared" si="84"/>
        <v>MRL</v>
      </c>
      <c r="AO155" s="1390" t="str">
        <f t="shared" si="85"/>
        <v/>
      </c>
      <c r="AP155" s="1404" t="str">
        <f t="shared" si="86"/>
        <v/>
      </c>
      <c r="AQ155" s="1388">
        <f t="shared" si="87"/>
        <v>0</v>
      </c>
      <c r="AR155" s="1388" t="str">
        <f t="shared" si="88"/>
        <v/>
      </c>
      <c r="AS155" s="1388" t="str">
        <f t="shared" si="89"/>
        <v/>
      </c>
      <c r="AT155" s="1388" t="str">
        <f t="shared" si="90"/>
        <v/>
      </c>
      <c r="AU155" s="1393">
        <f t="shared" si="91"/>
        <v>0</v>
      </c>
      <c r="AV155" s="1388">
        <f t="shared" si="92"/>
        <v>0</v>
      </c>
      <c r="AW155" s="1390" t="str">
        <f t="shared" si="93"/>
        <v/>
      </c>
      <c r="AX155" s="1390" t="str">
        <f>IF(AND(AW155&lt;&gt;"",AY155&lt;&gt;""),"*","")</f>
        <v/>
      </c>
      <c r="AY155" s="1394" t="str">
        <f t="shared" si="94"/>
        <v/>
      </c>
      <c r="AZ155" s="1395" t="str">
        <f>IF(Table22[[#This Row],[LOQ_label]]="Y",Table22[[#This Row],[MRL individual commodity]],"")</f>
        <v/>
      </c>
      <c r="BA155" s="1449" t="s">
        <v>654</v>
      </c>
      <c r="BB155" s="1411" t="str">
        <f>IF(Table22[[#This Row],[LOQ2]]&lt;0,MIN(AZ155:AZ410),"")</f>
        <v/>
      </c>
      <c r="BC155" s="1299"/>
      <c r="BD155" s="1306" t="str">
        <f>IF(Table22[[#This Row],[Chronic RA label]]="","N",IF(Table22[[#This Row],[Chronic RA label]]="LOQ","N",IF(Table22[[#This Row],[Chronic RA label]]="MRL","N","Y")))</f>
        <v>N</v>
      </c>
      <c r="BE155" s="1306" t="str">
        <f>IF(Table22[[#This Row],[Acute RA label]]="","N",IF(Table22[[#This Row],[Acute RA label]]="LOQ","N",IF(Table22[[#This Row],[Acute RA label]]="MRL","N","Y")))</f>
        <v>N</v>
      </c>
      <c r="BF155" s="1306" t="str">
        <f>IF(OR(Table22[[#This Row],[include commodity in Summary_input_values_chronic]]="Y",Table22[[#This Row],[include commodity in Summary_input_values_acute]]="Y"),"Y","N")</f>
        <v>N</v>
      </c>
      <c r="BG155" s="1299"/>
      <c r="BH155" s="1324"/>
    </row>
    <row r="156" spans="1:60" ht="12.75" customHeight="1" outlineLevel="3" x14ac:dyDescent="0.2">
      <c r="A156" s="39">
        <v>4</v>
      </c>
      <c r="B156" s="327">
        <v>243990</v>
      </c>
      <c r="C156" s="23" t="s">
        <v>172</v>
      </c>
      <c r="D156" s="867"/>
      <c r="E156" s="1219"/>
      <c r="F156" s="867"/>
      <c r="G156" s="869"/>
      <c r="H156" s="863"/>
      <c r="I156" s="868"/>
      <c r="J156" s="870"/>
      <c r="K156" s="865"/>
      <c r="L156" s="872"/>
      <c r="M156" s="872"/>
      <c r="N156" s="925" t="str">
        <f>IF(O156&lt;&gt;0,CONCATENATE(input_values!$AF156,input_values!$AG156,input_values!$AH156),"")</f>
        <v/>
      </c>
      <c r="O156" s="491">
        <f>IF($A$10="Refined calculation mode",Table22[[#This Row],[input for chronic (refined mode]],Table22[[#This Row],[input for chronic normal mode]])</f>
        <v>0</v>
      </c>
      <c r="P156" s="473"/>
      <c r="Q156" s="474"/>
      <c r="R156" s="473"/>
      <c r="S156" s="474"/>
      <c r="T156" s="886"/>
      <c r="U156" s="1408">
        <f>Table22[[#This Row],[MRL/ proposed MRL /CXL
(mg/kg)]]</f>
        <v>0</v>
      </c>
      <c r="V156" s="1409" t="str">
        <f>IF(ISBLANK(F156),"","Y")</f>
        <v/>
      </c>
      <c r="W156" s="1387">
        <f>IF($G156&gt;0,$G156,1)</f>
        <v>1</v>
      </c>
      <c r="X156" s="1387">
        <f>IF($H156&gt;0,$H156,1)</f>
        <v>1</v>
      </c>
      <c r="Y156" s="1387">
        <f>W156*X156</f>
        <v>1</v>
      </c>
      <c r="Z156" s="1410">
        <v>4</v>
      </c>
      <c r="AA156" s="1387">
        <f t="shared" si="76"/>
        <v>0</v>
      </c>
      <c r="AB156" s="1387">
        <f>IF(Z156=A156,IF(AND(L156="N",Table22[[#This Row],[LOQ_label]]="Y"),AA156,$AA156*$Y156),"")</f>
        <v>0</v>
      </c>
      <c r="AC156" s="1393">
        <f t="shared" si="77"/>
        <v>0</v>
      </c>
      <c r="AD156" s="1393">
        <f>IF(Table22[[#This Row],[Median residue*CF*PeF]]&lt;&gt;"",Table22[[#This Row],[Median residue*CF*PeF]],Table22[[#This Row],[MRL*CF*PeF (chronic)]])</f>
        <v>0</v>
      </c>
      <c r="AE156" s="1393">
        <f t="shared" si="78"/>
        <v>0</v>
      </c>
      <c r="AF156" s="1390" t="str">
        <f t="shared" si="79"/>
        <v>MRL</v>
      </c>
      <c r="AG156" s="1390" t="str">
        <f t="shared" si="80"/>
        <v/>
      </c>
      <c r="AH156" s="1394" t="str">
        <f t="shared" si="81"/>
        <v/>
      </c>
      <c r="AI156" s="1418"/>
      <c r="AJ156" s="1387" t="str">
        <f t="shared" si="82"/>
        <v/>
      </c>
      <c r="AK156" s="1387" t="str">
        <f>IF(AI156=A156,IF(AND(L156="N",Table22[[#This Row],[LOQ_label]]="Y"),AJ156,$AJ156*$Y156),"")</f>
        <v/>
      </c>
      <c r="AL156" s="1388" t="str">
        <f t="shared" si="83"/>
        <v/>
      </c>
      <c r="AM156" s="1393" t="str">
        <f>IF(Table22[[#This Row],[Highest residue * CF*PF]]&lt;&gt;"",Table22[[#This Row],[Highest residue * CF*PF]],Table22[[#This Row],[MRL*CF*PF or MRL (if LOQ and not authorised) (acute RA)]])</f>
        <v/>
      </c>
      <c r="AN156" s="1390" t="str">
        <f t="shared" si="84"/>
        <v/>
      </c>
      <c r="AO156" s="1390" t="str">
        <f t="shared" si="85"/>
        <v/>
      </c>
      <c r="AP156" s="1404" t="str">
        <f t="shared" si="86"/>
        <v/>
      </c>
      <c r="AQ156" s="1388">
        <f t="shared" si="87"/>
        <v>0</v>
      </c>
      <c r="AR156" s="1388" t="str">
        <f t="shared" si="88"/>
        <v/>
      </c>
      <c r="AS156" s="1388" t="str">
        <f t="shared" si="89"/>
        <v/>
      </c>
      <c r="AT156" s="1388" t="str">
        <f t="shared" si="90"/>
        <v/>
      </c>
      <c r="AU156" s="1393" t="str">
        <f t="shared" si="91"/>
        <v/>
      </c>
      <c r="AV156" s="1388">
        <f t="shared" si="92"/>
        <v>0</v>
      </c>
      <c r="AW156" s="1390" t="str">
        <f t="shared" si="93"/>
        <v/>
      </c>
      <c r="AX156" s="1390" t="str">
        <f>IF(AND(AN156&lt;&gt;"",AY156&lt;&gt;""),"*","")</f>
        <v/>
      </c>
      <c r="AY156" s="1394" t="str">
        <f t="shared" si="94"/>
        <v/>
      </c>
      <c r="AZ156" s="1395" t="str">
        <f>IF(Table22[[#This Row],[LOQ_label]]="Y",Table22[[#This Row],[MRL individual commodity]],"")</f>
        <v/>
      </c>
      <c r="BA156" s="1396" t="s">
        <v>1159</v>
      </c>
      <c r="BB156" s="1411" t="str">
        <f>IF(Table22[[#This Row],[LOQ2]]&lt;0,MIN(AZ156:AZ410),"")</f>
        <v/>
      </c>
      <c r="BC156" s="1299"/>
      <c r="BD156" s="1306" t="str">
        <f>IF(Table22[[#This Row],[Chronic RA label]]="","N",IF(Table22[[#This Row],[Chronic RA label]]="LOQ","N",IF(Table22[[#This Row],[Chronic RA label]]="MRL","N","Y")))</f>
        <v>N</v>
      </c>
      <c r="BE156" s="1306" t="str">
        <f>IF(Table22[[#This Row],[Acute RA label]]="","N",IF(Table22[[#This Row],[Acute RA label]]="LOQ","N",IF(Table22[[#This Row],[Acute RA label]]="MRL","N","Y")))</f>
        <v>N</v>
      </c>
      <c r="BF156" s="1306" t="str">
        <f>IF(OR(Table22[[#This Row],[include commodity in Summary_input_values_chronic]]="Y",Table22[[#This Row],[include commodity in Summary_input_values_acute]]="Y"),"Y","N")</f>
        <v>N</v>
      </c>
      <c r="BG156" s="1299"/>
      <c r="BH156" s="1324"/>
    </row>
    <row r="157" spans="1:60" ht="12.75" customHeight="1" outlineLevel="2" x14ac:dyDescent="0.2">
      <c r="A157" s="132">
        <v>3</v>
      </c>
      <c r="B157" s="448">
        <v>244000</v>
      </c>
      <c r="C157" s="3" t="s">
        <v>719</v>
      </c>
      <c r="D157" s="867"/>
      <c r="E157" s="1219"/>
      <c r="F157" s="867"/>
      <c r="G157" s="868"/>
      <c r="H157" s="863"/>
      <c r="I157" s="868"/>
      <c r="J157" s="868"/>
      <c r="K157" s="871"/>
      <c r="L157" s="872"/>
      <c r="M157" s="872"/>
      <c r="N157" s="925" t="str">
        <f>IF(O157&lt;&gt;0,CONCATENATE(input_values!$AF157,input_values!$AG157,input_values!$AH157),"")</f>
        <v/>
      </c>
      <c r="O157" s="491">
        <f>IF($A$10="Refined calculation mode",Table22[[#This Row],[input for chronic (refined mode]],Table22[[#This Row],[input for chronic normal mode]])</f>
        <v>0</v>
      </c>
      <c r="P157" s="925" t="str">
        <f>IF(Q157&lt;&gt;0,CONCATENATE(input_values!$AN157,input_values!$AO157,input_values!$AP157),"")</f>
        <v/>
      </c>
      <c r="Q157" s="491">
        <f>IF($V$5=0,0,IF(OR($A$10="Refined calculation mode",Results!$B$62="Show results of IESTI calculation only for crops with GAPs under assessment"),Table22[[#This Row],[Input for IESTI (refined mode)]],Table22[[#This Row],[Input for IESTI normal mode]]))</f>
        <v>0</v>
      </c>
      <c r="R157" s="926" t="str">
        <f>IF(S157&lt;&gt;0,CONCATENATE(input_values!$AW157,input_values!$AX157,input_values!$AY157),"")</f>
        <v/>
      </c>
      <c r="S157" s="492">
        <f>IF($V$5=0,0,IF(OR($A$10="Refined calculation mode",Results!$B$62="Show results of IESTI calculation only for crops with GAPs under assessment"),Table22[[#This Row],[Input for IESTI new (refined mode)]],Table22[[#This Row],[Input for IESTI new normal mode]]))</f>
        <v>0</v>
      </c>
      <c r="T157" s="886"/>
      <c r="U157" s="1408">
        <f>Table22[[#This Row],[MRL/ proposed MRL /CXL
(mg/kg)]]</f>
        <v>0</v>
      </c>
      <c r="V157" s="1409" t="str">
        <f>IF(ISBLANK(F157),"","Y")</f>
        <v/>
      </c>
      <c r="W157" s="1387">
        <f>IF($G157&gt;0,$G157,1)</f>
        <v>1</v>
      </c>
      <c r="X157" s="1387">
        <f>IF($H157&gt;0,$H157,1)</f>
        <v>1</v>
      </c>
      <c r="Y157" s="1387">
        <f>W157*X157</f>
        <v>1</v>
      </c>
      <c r="Z157" s="1410">
        <v>3</v>
      </c>
      <c r="AA157" s="1387">
        <f t="shared" si="76"/>
        <v>0</v>
      </c>
      <c r="AB157" s="1387">
        <f>IF(Z157=A157,IF(AND(L157="N",Table22[[#This Row],[LOQ_label]]="Y"),AA157,$AA157*$Y157),"")</f>
        <v>0</v>
      </c>
      <c r="AC157" s="1393">
        <f t="shared" si="77"/>
        <v>0</v>
      </c>
      <c r="AD157" s="1393">
        <f>IF(Table22[[#This Row],[Median residue*CF*PeF]]&lt;&gt;"",Table22[[#This Row],[Median residue*CF*PeF]],Table22[[#This Row],[MRL*CF*PeF (chronic)]])</f>
        <v>0</v>
      </c>
      <c r="AE157" s="1393">
        <f t="shared" si="78"/>
        <v>0</v>
      </c>
      <c r="AF157" s="1390" t="str">
        <f t="shared" si="79"/>
        <v>MRL</v>
      </c>
      <c r="AG157" s="1390" t="str">
        <f t="shared" si="80"/>
        <v/>
      </c>
      <c r="AH157" s="1394" t="str">
        <f t="shared" si="81"/>
        <v/>
      </c>
      <c r="AI157" s="1418">
        <v>3</v>
      </c>
      <c r="AJ157" s="1387">
        <f t="shared" si="82"/>
        <v>0</v>
      </c>
      <c r="AK157" s="1387">
        <f>IF(AI157=A157,IF(AND(L157="N",Table22[[#This Row],[LOQ_label]]="Y"),AJ157,$AJ157*$Y157),"")</f>
        <v>0</v>
      </c>
      <c r="AL157" s="1388">
        <f t="shared" si="83"/>
        <v>0</v>
      </c>
      <c r="AM157" s="1393">
        <f>IF(Table22[[#This Row],[Highest residue * CF*PF]]&lt;&gt;"",Table22[[#This Row],[Highest residue * CF*PF]],Table22[[#This Row],[MRL*CF*PF or MRL (if LOQ and not authorised) (acute RA)]])</f>
        <v>0</v>
      </c>
      <c r="AN157" s="1390" t="str">
        <f t="shared" si="84"/>
        <v>MRL</v>
      </c>
      <c r="AO157" s="1390" t="str">
        <f t="shared" si="85"/>
        <v/>
      </c>
      <c r="AP157" s="1404" t="str">
        <f t="shared" si="86"/>
        <v/>
      </c>
      <c r="AQ157" s="1388">
        <f t="shared" si="87"/>
        <v>0</v>
      </c>
      <c r="AR157" s="1388" t="str">
        <f t="shared" si="88"/>
        <v/>
      </c>
      <c r="AS157" s="1388" t="str">
        <f t="shared" si="89"/>
        <v/>
      </c>
      <c r="AT157" s="1388" t="str">
        <f t="shared" si="90"/>
        <v/>
      </c>
      <c r="AU157" s="1393">
        <f t="shared" si="91"/>
        <v>0</v>
      </c>
      <c r="AV157" s="1388">
        <f t="shared" si="92"/>
        <v>0</v>
      </c>
      <c r="AW157" s="1390" t="str">
        <f t="shared" si="93"/>
        <v/>
      </c>
      <c r="AX157" s="1390" t="str">
        <f>IF(AND(AW157&lt;&gt;"",AY157&lt;&gt;""),"*","")</f>
        <v/>
      </c>
      <c r="AY157" s="1394" t="str">
        <f t="shared" si="94"/>
        <v/>
      </c>
      <c r="AZ157" s="1395" t="str">
        <f>IF(Table22[[#This Row],[LOQ_label]]="Y",Table22[[#This Row],[MRL individual commodity]],"")</f>
        <v/>
      </c>
      <c r="BA157" s="1449" t="s">
        <v>654</v>
      </c>
      <c r="BB157" s="1411" t="str">
        <f>IF(Table22[[#This Row],[LOQ2]]&lt;0,MIN(AZ157:AZ410),"")</f>
        <v/>
      </c>
      <c r="BC157" s="1299"/>
      <c r="BD157" s="1306" t="str">
        <f>IF(Table22[[#This Row],[Chronic RA label]]="","N",IF(Table22[[#This Row],[Chronic RA label]]="LOQ","N",IF(Table22[[#This Row],[Chronic RA label]]="MRL","N","Y")))</f>
        <v>N</v>
      </c>
      <c r="BE157" s="1306" t="str">
        <f>IF(Table22[[#This Row],[Acute RA label]]="","N",IF(Table22[[#This Row],[Acute RA label]]="LOQ","N",IF(Table22[[#This Row],[Acute RA label]]="MRL","N","Y")))</f>
        <v>N</v>
      </c>
      <c r="BF157" s="1306" t="str">
        <f>IF(OR(Table22[[#This Row],[include commodity in Summary_input_values_chronic]]="Y",Table22[[#This Row],[include commodity in Summary_input_values_acute]]="Y"),"Y","N")</f>
        <v>N</v>
      </c>
      <c r="BG157" s="1299"/>
      <c r="BH157" s="1324"/>
    </row>
    <row r="158" spans="1:60" ht="12.75" customHeight="1" outlineLevel="1" x14ac:dyDescent="0.2">
      <c r="A158" s="130">
        <v>2</v>
      </c>
      <c r="B158" s="447">
        <v>250000</v>
      </c>
      <c r="C158" s="131" t="s">
        <v>720</v>
      </c>
      <c r="D158" s="862"/>
      <c r="E158" s="1218"/>
      <c r="F158" s="862"/>
      <c r="G158" s="863"/>
      <c r="H158" s="863"/>
      <c r="I158" s="863"/>
      <c r="J158" s="864"/>
      <c r="K158" s="865"/>
      <c r="L158" s="471"/>
      <c r="M158" s="471"/>
      <c r="N158" s="473"/>
      <c r="O158" s="474"/>
      <c r="P158" s="473"/>
      <c r="Q158" s="474"/>
      <c r="R158" s="473"/>
      <c r="S158" s="474"/>
      <c r="T158" s="886"/>
      <c r="U158" s="1415"/>
      <c r="V158" s="1380"/>
      <c r="W158" s="1381"/>
      <c r="X158" s="1381"/>
      <c r="Y158" s="1381"/>
      <c r="Z158" s="1382">
        <v>4</v>
      </c>
      <c r="AA158" s="1381" t="str">
        <f t="shared" si="76"/>
        <v/>
      </c>
      <c r="AB158" s="1381" t="str">
        <f>IF(Z158=A158,IF(AND(L158="N",Table22[[#This Row],[LOQ_label]]="Y"),AA158,$AA158*$Y158),"")</f>
        <v/>
      </c>
      <c r="AC158" s="1383" t="str">
        <f t="shared" si="77"/>
        <v/>
      </c>
      <c r="AD158" s="1383" t="str">
        <f>IF(Table22[[#This Row],[Median residue*CF*PeF]]&lt;&gt;"",Table22[[#This Row],[Median residue*CF*PeF]],Table22[[#This Row],[MRL*CF*PeF (chronic)]])</f>
        <v/>
      </c>
      <c r="AE158" s="1384">
        <f t="shared" si="78"/>
        <v>0</v>
      </c>
      <c r="AF158" s="1385" t="str">
        <f t="shared" si="79"/>
        <v/>
      </c>
      <c r="AG158" s="1385" t="str">
        <f t="shared" si="80"/>
        <v/>
      </c>
      <c r="AH158" s="1270" t="str">
        <f t="shared" si="81"/>
        <v/>
      </c>
      <c r="AI158" s="1386">
        <v>4</v>
      </c>
      <c r="AJ158" s="1387" t="str">
        <f t="shared" si="82"/>
        <v/>
      </c>
      <c r="AK158" s="1387" t="str">
        <f>IF(AI158=A158,IF(AND(L158="N",Table22[[#This Row],[LOQ_label]]="Y"),AJ158,$AJ158*$Y158),"")</f>
        <v/>
      </c>
      <c r="AL158" s="1388" t="str">
        <f t="shared" si="83"/>
        <v/>
      </c>
      <c r="AM158" s="1393" t="str">
        <f>IF(Table22[[#This Row],[Highest residue * CF*PF]]&lt;&gt;"",Table22[[#This Row],[Highest residue * CF*PF]],Table22[[#This Row],[MRL*CF*PF or MRL (if LOQ and not authorised) (acute RA)]])</f>
        <v/>
      </c>
      <c r="AN158" s="1390" t="str">
        <f t="shared" si="84"/>
        <v/>
      </c>
      <c r="AO158" s="1390" t="str">
        <f t="shared" si="85"/>
        <v/>
      </c>
      <c r="AP158" s="1404" t="str">
        <f t="shared" si="86"/>
        <v/>
      </c>
      <c r="AQ158" s="1388">
        <f t="shared" si="87"/>
        <v>0</v>
      </c>
      <c r="AR158" s="1388" t="str">
        <f t="shared" si="88"/>
        <v/>
      </c>
      <c r="AS158" s="1388" t="str">
        <f t="shared" si="89"/>
        <v/>
      </c>
      <c r="AT158" s="1388" t="str">
        <f t="shared" si="90"/>
        <v/>
      </c>
      <c r="AU158" s="1393" t="str">
        <f t="shared" si="91"/>
        <v/>
      </c>
      <c r="AV158" s="1388">
        <f t="shared" si="92"/>
        <v>0</v>
      </c>
      <c r="AW158" s="1390" t="str">
        <f t="shared" si="93"/>
        <v/>
      </c>
      <c r="AX158" s="1390" t="str">
        <f>IF(AND(AN158&lt;&gt;"",AY158&lt;&gt;""),"*","")</f>
        <v/>
      </c>
      <c r="AY158" s="1394" t="str">
        <f t="shared" si="94"/>
        <v/>
      </c>
      <c r="AZ158" s="1395">
        <f>IF(Table22[[#This Row],[LOQ_label]]="Y",Table22[[#This Row],[MRL individual commodity]],"")</f>
        <v>0</v>
      </c>
      <c r="BA158" s="1396" t="s">
        <v>1159</v>
      </c>
      <c r="BB158" s="1411" t="str">
        <f>IF(Table22[[#This Row],[LOQ2]]&lt;0,MIN(AZ158:AZ410),"")</f>
        <v/>
      </c>
      <c r="BC158" s="1299"/>
      <c r="BD158" s="1306" t="str">
        <f>IF(Table22[[#This Row],[Chronic RA label]]="","N",IF(Table22[[#This Row],[Chronic RA label]]="LOQ","N",IF(Table22[[#This Row],[Chronic RA label]]="MRL","N","Y")))</f>
        <v>N</v>
      </c>
      <c r="BE158" s="1306" t="str">
        <f>IF(Table22[[#This Row],[Acute RA label]]="","N",IF(Table22[[#This Row],[Acute RA label]]="LOQ","N",IF(Table22[[#This Row],[Acute RA label]]="MRL","N","Y")))</f>
        <v>N</v>
      </c>
      <c r="BF158" s="1306" t="str">
        <f>IF(OR(Table22[[#This Row],[include commodity in Summary_input_values_chronic]]="Y",Table22[[#This Row],[include commodity in Summary_input_values_acute]]="Y"),"Y","N")</f>
        <v>N</v>
      </c>
      <c r="BG158" s="1299"/>
      <c r="BH158" s="1324"/>
    </row>
    <row r="159" spans="1:60" ht="12.75" customHeight="1" outlineLevel="2" x14ac:dyDescent="0.2">
      <c r="A159" s="132">
        <v>3</v>
      </c>
      <c r="B159" s="448">
        <v>251000</v>
      </c>
      <c r="C159" s="3" t="s">
        <v>295</v>
      </c>
      <c r="D159" s="862"/>
      <c r="E159" s="1218"/>
      <c r="F159" s="862"/>
      <c r="G159" s="866"/>
      <c r="H159" s="863"/>
      <c r="I159" s="863"/>
      <c r="J159" s="864"/>
      <c r="K159" s="865"/>
      <c r="L159" s="471"/>
      <c r="M159" s="471"/>
      <c r="N159" s="473"/>
      <c r="O159" s="474"/>
      <c r="P159" s="473"/>
      <c r="Q159" s="474"/>
      <c r="R159" s="473"/>
      <c r="S159" s="474"/>
      <c r="T159" s="886"/>
      <c r="U159" s="1415"/>
      <c r="V159" s="1380"/>
      <c r="W159" s="1381"/>
      <c r="X159" s="1381"/>
      <c r="Y159" s="1381"/>
      <c r="Z159" s="1382">
        <v>4</v>
      </c>
      <c r="AA159" s="1381" t="str">
        <f t="shared" si="76"/>
        <v/>
      </c>
      <c r="AB159" s="1381" t="str">
        <f>IF(Z159=A159,IF(AND(L159="N",Table22[[#This Row],[LOQ_label]]="Y"),AA159,$AA159*$Y159),"")</f>
        <v/>
      </c>
      <c r="AC159" s="1383" t="str">
        <f t="shared" si="77"/>
        <v/>
      </c>
      <c r="AD159" s="1383" t="str">
        <f>IF(Table22[[#This Row],[Median residue*CF*PeF]]&lt;&gt;"",Table22[[#This Row],[Median residue*CF*PeF]],Table22[[#This Row],[MRL*CF*PeF (chronic)]])</f>
        <v/>
      </c>
      <c r="AE159" s="1384">
        <f t="shared" si="78"/>
        <v>0</v>
      </c>
      <c r="AF159" s="1385" t="str">
        <f t="shared" si="79"/>
        <v/>
      </c>
      <c r="AG159" s="1385" t="str">
        <f t="shared" si="80"/>
        <v/>
      </c>
      <c r="AH159" s="1270" t="str">
        <f t="shared" si="81"/>
        <v/>
      </c>
      <c r="AI159" s="1386">
        <v>4</v>
      </c>
      <c r="AJ159" s="1387" t="str">
        <f t="shared" si="82"/>
        <v/>
      </c>
      <c r="AK159" s="1387" t="str">
        <f>IF(AI159=A159,IF(AND(L159="N",Table22[[#This Row],[LOQ_label]]="Y"),AJ159,$AJ159*$Y159),"")</f>
        <v/>
      </c>
      <c r="AL159" s="1388" t="str">
        <f t="shared" si="83"/>
        <v/>
      </c>
      <c r="AM159" s="1393" t="str">
        <f>IF(Table22[[#This Row],[Highest residue * CF*PF]]&lt;&gt;"",Table22[[#This Row],[Highest residue * CF*PF]],Table22[[#This Row],[MRL*CF*PF or MRL (if LOQ and not authorised) (acute RA)]])</f>
        <v/>
      </c>
      <c r="AN159" s="1390" t="str">
        <f t="shared" si="84"/>
        <v/>
      </c>
      <c r="AO159" s="1390" t="str">
        <f t="shared" si="85"/>
        <v/>
      </c>
      <c r="AP159" s="1404" t="str">
        <f t="shared" si="86"/>
        <v/>
      </c>
      <c r="AQ159" s="1388">
        <f t="shared" si="87"/>
        <v>0</v>
      </c>
      <c r="AR159" s="1388" t="str">
        <f t="shared" si="88"/>
        <v/>
      </c>
      <c r="AS159" s="1388" t="str">
        <f t="shared" si="89"/>
        <v/>
      </c>
      <c r="AT159" s="1388" t="str">
        <f t="shared" si="90"/>
        <v/>
      </c>
      <c r="AU159" s="1393" t="str">
        <f t="shared" si="91"/>
        <v/>
      </c>
      <c r="AV159" s="1388">
        <f t="shared" si="92"/>
        <v>0</v>
      </c>
      <c r="AW159" s="1390" t="str">
        <f t="shared" si="93"/>
        <v/>
      </c>
      <c r="AX159" s="1390" t="str">
        <f>IF(AND(AN159&lt;&gt;"",AY159&lt;&gt;""),"*","")</f>
        <v/>
      </c>
      <c r="AY159" s="1394" t="str">
        <f t="shared" si="94"/>
        <v/>
      </c>
      <c r="AZ159" s="1395">
        <f>IF(Table22[[#This Row],[LOQ_label]]="Y",Table22[[#This Row],[MRL individual commodity]],"")</f>
        <v>0</v>
      </c>
      <c r="BA159" s="1396" t="s">
        <v>1159</v>
      </c>
      <c r="BB159" s="1411" t="str">
        <f>IF(Table22[[#This Row],[LOQ2]]&lt;0,MIN(AZ159:AZ410),"")</f>
        <v/>
      </c>
      <c r="BC159" s="1299"/>
      <c r="BD159" s="1306" t="str">
        <f>IF(Table22[[#This Row],[Chronic RA label]]="","N",IF(Table22[[#This Row],[Chronic RA label]]="LOQ","N",IF(Table22[[#This Row],[Chronic RA label]]="MRL","N","Y")))</f>
        <v>N</v>
      </c>
      <c r="BE159" s="1306" t="str">
        <f>IF(Table22[[#This Row],[Acute RA label]]="","N",IF(Table22[[#This Row],[Acute RA label]]="LOQ","N",IF(Table22[[#This Row],[Acute RA label]]="MRL","N","Y")))</f>
        <v>N</v>
      </c>
      <c r="BF159" s="1306" t="str">
        <f>IF(OR(Table22[[#This Row],[include commodity in Summary_input_values_chronic]]="Y",Table22[[#This Row],[include commodity in Summary_input_values_acute]]="Y"),"Y","N")</f>
        <v>N</v>
      </c>
      <c r="BG159" s="1299"/>
      <c r="BH159" s="1324"/>
    </row>
    <row r="160" spans="1:60" ht="12.75" customHeight="1" outlineLevel="3" x14ac:dyDescent="0.2">
      <c r="A160" s="39">
        <v>4</v>
      </c>
      <c r="B160" s="327">
        <v>251010</v>
      </c>
      <c r="C160" s="23" t="s">
        <v>721</v>
      </c>
      <c r="D160" s="867"/>
      <c r="E160" s="1219"/>
      <c r="F160" s="867"/>
      <c r="G160" s="869"/>
      <c r="H160" s="863"/>
      <c r="I160" s="868"/>
      <c r="J160" s="870"/>
      <c r="K160" s="865"/>
      <c r="L160" s="872"/>
      <c r="M160" s="872"/>
      <c r="N160" s="925" t="str">
        <f>IF(O160&lt;&gt;0,CONCATENATE(input_values!$AF160,input_values!$AG160,input_values!$AH160),"")</f>
        <v/>
      </c>
      <c r="O160" s="491">
        <f>IF($A$10="Refined calculation mode",Table22[[#This Row],[input for chronic (refined mode]],Table22[[#This Row],[input for chronic normal mode]])</f>
        <v>0</v>
      </c>
      <c r="P160" s="925" t="str">
        <f>IF(Q160&lt;&gt;0,CONCATENATE(input_values!$AN160,input_values!$AO160,input_values!$AP160),"")</f>
        <v/>
      </c>
      <c r="Q160" s="491">
        <f>IF($V$5=0,0,IF(OR($A$10="Refined calculation mode",Results!$B$62="Show results of IESTI calculation only for crops with GAPs under assessment"),Table22[[#This Row],[Input for IESTI (refined mode)]],Table22[[#This Row],[Input for IESTI normal mode]]))</f>
        <v>0</v>
      </c>
      <c r="R160" s="926" t="str">
        <f>IF(S160&lt;&gt;0,CONCATENATE(input_values!$AW160,input_values!$AX160,input_values!$AY160),"")</f>
        <v/>
      </c>
      <c r="S160" s="492">
        <f>IF($V$5=0,0,IF(OR($A$10="Refined calculation mode",Results!$B$62="Show results of IESTI calculation only for crops with GAPs under assessment"),Table22[[#This Row],[Input for IESTI new (refined mode)]],Table22[[#This Row],[Input for IESTI new normal mode]]))</f>
        <v>0</v>
      </c>
      <c r="T160" s="886"/>
      <c r="U160" s="1408">
        <f>Table22[[#This Row],[MRL/ proposed MRL /CXL
(mg/kg)]]</f>
        <v>0</v>
      </c>
      <c r="V160" s="1409" t="str">
        <f t="shared" ref="V160:V168" si="95">IF(ISBLANK(F160),"","Y")</f>
        <v/>
      </c>
      <c r="W160" s="1387">
        <f t="shared" ref="W160:W168" si="96">IF($G160&gt;0,$G160,1)</f>
        <v>1</v>
      </c>
      <c r="X160" s="1387">
        <f t="shared" ref="X160:X168" si="97">IF($H160&gt;0,$H160,1)</f>
        <v>1</v>
      </c>
      <c r="Y160" s="1387">
        <f t="shared" ref="Y160:Y168" si="98">W160*X160</f>
        <v>1</v>
      </c>
      <c r="Z160" s="1410">
        <v>4</v>
      </c>
      <c r="AA160" s="1387">
        <f t="shared" si="76"/>
        <v>0</v>
      </c>
      <c r="AB160" s="1387">
        <f>IF(Z160=A160,IF(AND(L160="N",Table22[[#This Row],[LOQ_label]]="Y"),AA160,$AA160*$Y160),"")</f>
        <v>0</v>
      </c>
      <c r="AC160" s="1393">
        <f t="shared" si="77"/>
        <v>0</v>
      </c>
      <c r="AD160" s="1393">
        <f>IF(Table22[[#This Row],[Median residue*CF*PeF]]&lt;&gt;"",Table22[[#This Row],[Median residue*CF*PeF]],Table22[[#This Row],[MRL*CF*PeF (chronic)]])</f>
        <v>0</v>
      </c>
      <c r="AE160" s="1393">
        <f t="shared" si="78"/>
        <v>0</v>
      </c>
      <c r="AF160" s="1390" t="str">
        <f t="shared" si="79"/>
        <v>MRL</v>
      </c>
      <c r="AG160" s="1390" t="str">
        <f t="shared" si="80"/>
        <v/>
      </c>
      <c r="AH160" s="1394" t="str">
        <f t="shared" si="81"/>
        <v/>
      </c>
      <c r="AI160" s="1386">
        <v>4</v>
      </c>
      <c r="AJ160" s="1387">
        <f t="shared" si="82"/>
        <v>0</v>
      </c>
      <c r="AK160" s="1387">
        <f>IF(AI160=A160,IF(AND(L160="N",Table22[[#This Row],[LOQ_label]]="Y"),AJ160,$AJ160*$Y160),"")</f>
        <v>0</v>
      </c>
      <c r="AL160" s="1388">
        <f t="shared" si="83"/>
        <v>0</v>
      </c>
      <c r="AM160" s="1393">
        <f>IF(Table22[[#This Row],[Highest residue * CF*PF]]&lt;&gt;"",Table22[[#This Row],[Highest residue * CF*PF]],Table22[[#This Row],[MRL*CF*PF or MRL (if LOQ and not authorised) (acute RA)]])</f>
        <v>0</v>
      </c>
      <c r="AN160" s="1390" t="str">
        <f t="shared" si="84"/>
        <v>MRL</v>
      </c>
      <c r="AO160" s="1390" t="str">
        <f t="shared" si="85"/>
        <v/>
      </c>
      <c r="AP160" s="1404" t="str">
        <f t="shared" si="86"/>
        <v/>
      </c>
      <c r="AQ160" s="1388">
        <f t="shared" si="87"/>
        <v>0</v>
      </c>
      <c r="AR160" s="1388" t="str">
        <f t="shared" si="88"/>
        <v/>
      </c>
      <c r="AS160" s="1388" t="str">
        <f t="shared" si="89"/>
        <v/>
      </c>
      <c r="AT160" s="1388" t="str">
        <f t="shared" si="90"/>
        <v/>
      </c>
      <c r="AU160" s="1393">
        <f t="shared" si="91"/>
        <v>0</v>
      </c>
      <c r="AV160" s="1388">
        <f t="shared" si="92"/>
        <v>0</v>
      </c>
      <c r="AW160" s="1390" t="str">
        <f t="shared" si="93"/>
        <v/>
      </c>
      <c r="AX160" s="1390" t="str">
        <f t="shared" ref="AX160:AX167" si="99">IF(AND(AW160&lt;&gt;"",AY160&lt;&gt;""),"*","")</f>
        <v/>
      </c>
      <c r="AY160" s="1394" t="str">
        <f t="shared" si="94"/>
        <v/>
      </c>
      <c r="AZ160" s="1395" t="str">
        <f>IF(Table22[[#This Row],[LOQ_label]]="Y",Table22[[#This Row],[MRL individual commodity]],"")</f>
        <v/>
      </c>
      <c r="BA160" s="1396" t="s">
        <v>1038</v>
      </c>
      <c r="BB160" s="1411" t="str">
        <f>IF(Table22[[#This Row],[LOQ2]]&lt;0,MIN(AZ160:AZ410),"")</f>
        <v/>
      </c>
      <c r="BC160" s="1299"/>
      <c r="BD160" s="1306" t="str">
        <f>IF(Table22[[#This Row],[Chronic RA label]]="","N",IF(Table22[[#This Row],[Chronic RA label]]="LOQ","N",IF(Table22[[#This Row],[Chronic RA label]]="MRL","N","Y")))</f>
        <v>N</v>
      </c>
      <c r="BE160" s="1306" t="str">
        <f>IF(Table22[[#This Row],[Acute RA label]]="","N",IF(Table22[[#This Row],[Acute RA label]]="LOQ","N",IF(Table22[[#This Row],[Acute RA label]]="MRL","N","Y")))</f>
        <v>N</v>
      </c>
      <c r="BF160" s="1306" t="str">
        <f>IF(OR(Table22[[#This Row],[include commodity in Summary_input_values_chronic]]="Y",Table22[[#This Row],[include commodity in Summary_input_values_acute]]="Y"),"Y","N")</f>
        <v>N</v>
      </c>
      <c r="BG160" s="1299"/>
      <c r="BH160" s="1324"/>
    </row>
    <row r="161" spans="1:60" ht="12.75" customHeight="1" outlineLevel="3" x14ac:dyDescent="0.2">
      <c r="A161" s="39">
        <v>4</v>
      </c>
      <c r="B161" s="327">
        <v>251020</v>
      </c>
      <c r="C161" s="23" t="s">
        <v>722</v>
      </c>
      <c r="D161" s="867"/>
      <c r="E161" s="1219"/>
      <c r="F161" s="867"/>
      <c r="G161" s="869"/>
      <c r="H161" s="863"/>
      <c r="I161" s="868"/>
      <c r="J161" s="870"/>
      <c r="K161" s="871"/>
      <c r="L161" s="872"/>
      <c r="M161" s="872"/>
      <c r="N161" s="925" t="str">
        <f>IF(O161&lt;&gt;0,CONCATENATE(input_values!$AF161,input_values!$AG161,input_values!$AH161),"")</f>
        <v/>
      </c>
      <c r="O161" s="491">
        <f>IF($A$10="Refined calculation mode",Table22[[#This Row],[input for chronic (refined mode]],Table22[[#This Row],[input for chronic normal mode]])</f>
        <v>0</v>
      </c>
      <c r="P161" s="925" t="str">
        <f>IF(Q161&lt;&gt;0,CONCATENATE(input_values!$AN161,input_values!$AO161,input_values!$AP161),"")</f>
        <v/>
      </c>
      <c r="Q161" s="491">
        <f>IF($V$5=0,0,IF(OR($A$10="Refined calculation mode",Results!$B$62="Show results of IESTI calculation only for crops with GAPs under assessment"),Table22[[#This Row],[Input for IESTI (refined mode)]],Table22[[#This Row],[Input for IESTI normal mode]]))</f>
        <v>0</v>
      </c>
      <c r="R161" s="926" t="str">
        <f>IF(S161&lt;&gt;0,CONCATENATE(input_values!$AW161,input_values!$AX161,input_values!$AY161),"")</f>
        <v/>
      </c>
      <c r="S161" s="492">
        <f>IF($V$5=0,0,IF(OR($A$10="Refined calculation mode",Results!$B$62="Show results of IESTI calculation only for crops with GAPs under assessment"),Table22[[#This Row],[Input for IESTI new (refined mode)]],Table22[[#This Row],[Input for IESTI new normal mode]]))</f>
        <v>0</v>
      </c>
      <c r="T161" s="886"/>
      <c r="U161" s="1408">
        <f>Table22[[#This Row],[MRL/ proposed MRL /CXL
(mg/kg)]]</f>
        <v>0</v>
      </c>
      <c r="V161" s="1409" t="str">
        <f t="shared" si="95"/>
        <v/>
      </c>
      <c r="W161" s="1387">
        <f t="shared" si="96"/>
        <v>1</v>
      </c>
      <c r="X161" s="1387">
        <f t="shared" si="97"/>
        <v>1</v>
      </c>
      <c r="Y161" s="1387">
        <f t="shared" si="98"/>
        <v>1</v>
      </c>
      <c r="Z161" s="1410">
        <v>4</v>
      </c>
      <c r="AA161" s="1387">
        <f t="shared" si="76"/>
        <v>0</v>
      </c>
      <c r="AB161" s="1387">
        <f>IF(Z161=A161,IF(AND(L161="N",Table22[[#This Row],[LOQ_label]]="Y"),AA161,$AA161*$Y161),"")</f>
        <v>0</v>
      </c>
      <c r="AC161" s="1393">
        <f t="shared" si="77"/>
        <v>0</v>
      </c>
      <c r="AD161" s="1393">
        <f>IF(Table22[[#This Row],[Median residue*CF*PeF]]&lt;&gt;"",Table22[[#This Row],[Median residue*CF*PeF]],Table22[[#This Row],[MRL*CF*PeF (chronic)]])</f>
        <v>0</v>
      </c>
      <c r="AE161" s="1393">
        <f t="shared" si="78"/>
        <v>0</v>
      </c>
      <c r="AF161" s="1390" t="str">
        <f t="shared" si="79"/>
        <v>MRL</v>
      </c>
      <c r="AG161" s="1390" t="str">
        <f t="shared" si="80"/>
        <v/>
      </c>
      <c r="AH161" s="1394" t="str">
        <f t="shared" si="81"/>
        <v/>
      </c>
      <c r="AI161" s="1386">
        <v>4</v>
      </c>
      <c r="AJ161" s="1387">
        <f t="shared" si="82"/>
        <v>0</v>
      </c>
      <c r="AK161" s="1387">
        <f>IF(AI161=A161,IF(AND(L161="N",Table22[[#This Row],[LOQ_label]]="Y"),AJ161,$AJ161*$Y161),"")</f>
        <v>0</v>
      </c>
      <c r="AL161" s="1388">
        <f t="shared" si="83"/>
        <v>0</v>
      </c>
      <c r="AM161" s="1393">
        <f>IF(Table22[[#This Row],[Highest residue * CF*PF]]&lt;&gt;"",Table22[[#This Row],[Highest residue * CF*PF]],Table22[[#This Row],[MRL*CF*PF or MRL (if LOQ and not authorised) (acute RA)]])</f>
        <v>0</v>
      </c>
      <c r="AN161" s="1390" t="str">
        <f t="shared" si="84"/>
        <v>MRL</v>
      </c>
      <c r="AO161" s="1390" t="str">
        <f t="shared" si="85"/>
        <v/>
      </c>
      <c r="AP161" s="1404" t="str">
        <f t="shared" si="86"/>
        <v/>
      </c>
      <c r="AQ161" s="1388">
        <f t="shared" si="87"/>
        <v>0</v>
      </c>
      <c r="AR161" s="1388" t="str">
        <f t="shared" si="88"/>
        <v/>
      </c>
      <c r="AS161" s="1388" t="str">
        <f t="shared" si="89"/>
        <v/>
      </c>
      <c r="AT161" s="1388" t="str">
        <f t="shared" si="90"/>
        <v/>
      </c>
      <c r="AU161" s="1393">
        <f t="shared" si="91"/>
        <v>0</v>
      </c>
      <c r="AV161" s="1388">
        <f t="shared" si="92"/>
        <v>0</v>
      </c>
      <c r="AW161" s="1390" t="str">
        <f t="shared" si="93"/>
        <v/>
      </c>
      <c r="AX161" s="1390" t="str">
        <f t="shared" si="99"/>
        <v/>
      </c>
      <c r="AY161" s="1394" t="str">
        <f t="shared" si="94"/>
        <v/>
      </c>
      <c r="AZ161" s="1395" t="str">
        <f>IF(Table22[[#This Row],[LOQ_label]]="Y",Table22[[#This Row],[MRL individual commodity]],"")</f>
        <v/>
      </c>
      <c r="BA161" s="1449" t="s">
        <v>654</v>
      </c>
      <c r="BB161" s="1411" t="str">
        <f>IF(Table22[[#This Row],[LOQ2]]&lt;0,MIN(AZ161:AZ410),"")</f>
        <v/>
      </c>
      <c r="BC161" s="1299"/>
      <c r="BD161" s="1306" t="str">
        <f>IF(Table22[[#This Row],[Chronic RA label]]="","N",IF(Table22[[#This Row],[Chronic RA label]]="LOQ","N",IF(Table22[[#This Row],[Chronic RA label]]="MRL","N","Y")))</f>
        <v>N</v>
      </c>
      <c r="BE161" s="1306" t="str">
        <f>IF(Table22[[#This Row],[Acute RA label]]="","N",IF(Table22[[#This Row],[Acute RA label]]="LOQ","N",IF(Table22[[#This Row],[Acute RA label]]="MRL","N","Y")))</f>
        <v>N</v>
      </c>
      <c r="BF161" s="1306" t="str">
        <f>IF(OR(Table22[[#This Row],[include commodity in Summary_input_values_chronic]]="Y",Table22[[#This Row],[include commodity in Summary_input_values_acute]]="Y"),"Y","N")</f>
        <v>N</v>
      </c>
      <c r="BG161" s="1299"/>
      <c r="BH161" s="1324"/>
    </row>
    <row r="162" spans="1:60" ht="12.75" customHeight="1" outlineLevel="3" x14ac:dyDescent="0.2">
      <c r="A162" s="39">
        <v>4</v>
      </c>
      <c r="B162" s="327">
        <v>251030</v>
      </c>
      <c r="C162" s="23" t="s">
        <v>723</v>
      </c>
      <c r="D162" s="867"/>
      <c r="E162" s="1219"/>
      <c r="F162" s="867"/>
      <c r="G162" s="869"/>
      <c r="H162" s="863"/>
      <c r="I162" s="868"/>
      <c r="J162" s="870"/>
      <c r="K162" s="871"/>
      <c r="L162" s="872"/>
      <c r="M162" s="872"/>
      <c r="N162" s="925" t="str">
        <f>IF(O162&lt;&gt;0,CONCATENATE(input_values!$AF162,input_values!$AG162,input_values!$AH162),"")</f>
        <v/>
      </c>
      <c r="O162" s="491">
        <f>IF($A$10="Refined calculation mode",Table22[[#This Row],[input for chronic (refined mode]],Table22[[#This Row],[input for chronic normal mode]])</f>
        <v>0</v>
      </c>
      <c r="P162" s="925" t="str">
        <f>IF(Q162&lt;&gt;0,CONCATENATE(input_values!$AN162,input_values!$AO162,input_values!$AP162),"")</f>
        <v/>
      </c>
      <c r="Q162" s="491">
        <f>IF($V$5=0,0,IF(OR($A$10="Refined calculation mode",Results!$B$62="Show results of IESTI calculation only for crops with GAPs under assessment"),Table22[[#This Row],[Input for IESTI (refined mode)]],Table22[[#This Row],[Input for IESTI normal mode]]))</f>
        <v>0</v>
      </c>
      <c r="R162" s="926" t="str">
        <f>IF(S162&lt;&gt;0,CONCATENATE(input_values!$AW162,input_values!$AX162,input_values!$AY162),"")</f>
        <v/>
      </c>
      <c r="S162" s="492">
        <f>IF($V$5=0,0,IF(OR($A$10="Refined calculation mode",Results!$B$62="Show results of IESTI calculation only for crops with GAPs under assessment"),Table22[[#This Row],[Input for IESTI new (refined mode)]],Table22[[#This Row],[Input for IESTI new normal mode]]))</f>
        <v>0</v>
      </c>
      <c r="T162" s="886"/>
      <c r="U162" s="1408">
        <f>Table22[[#This Row],[MRL/ proposed MRL /CXL
(mg/kg)]]</f>
        <v>0</v>
      </c>
      <c r="V162" s="1409" t="str">
        <f t="shared" si="95"/>
        <v/>
      </c>
      <c r="W162" s="1387">
        <f t="shared" si="96"/>
        <v>1</v>
      </c>
      <c r="X162" s="1387">
        <f t="shared" si="97"/>
        <v>1</v>
      </c>
      <c r="Y162" s="1387">
        <f t="shared" si="98"/>
        <v>1</v>
      </c>
      <c r="Z162" s="1410">
        <v>4</v>
      </c>
      <c r="AA162" s="1387">
        <f t="shared" si="76"/>
        <v>0</v>
      </c>
      <c r="AB162" s="1387">
        <f>IF(Z162=A162,IF(AND(L162="N",Table22[[#This Row],[LOQ_label]]="Y"),AA162,$AA162*$Y162),"")</f>
        <v>0</v>
      </c>
      <c r="AC162" s="1393">
        <f t="shared" si="77"/>
        <v>0</v>
      </c>
      <c r="AD162" s="1393">
        <f>IF(Table22[[#This Row],[Median residue*CF*PeF]]&lt;&gt;"",Table22[[#This Row],[Median residue*CF*PeF]],Table22[[#This Row],[MRL*CF*PeF (chronic)]])</f>
        <v>0</v>
      </c>
      <c r="AE162" s="1393">
        <f t="shared" si="78"/>
        <v>0</v>
      </c>
      <c r="AF162" s="1390" t="str">
        <f t="shared" si="79"/>
        <v>MRL</v>
      </c>
      <c r="AG162" s="1390" t="str">
        <f t="shared" si="80"/>
        <v/>
      </c>
      <c r="AH162" s="1394" t="str">
        <f t="shared" si="81"/>
        <v/>
      </c>
      <c r="AI162" s="1386">
        <v>4</v>
      </c>
      <c r="AJ162" s="1387">
        <f t="shared" si="82"/>
        <v>0</v>
      </c>
      <c r="AK162" s="1387">
        <f>IF(AI162=A162,IF(AND(L162="N",Table22[[#This Row],[LOQ_label]]="Y"),AJ162,$AJ162*$Y162),"")</f>
        <v>0</v>
      </c>
      <c r="AL162" s="1388">
        <f t="shared" si="83"/>
        <v>0</v>
      </c>
      <c r="AM162" s="1393">
        <f>IF(Table22[[#This Row],[Highest residue * CF*PF]]&lt;&gt;"",Table22[[#This Row],[Highest residue * CF*PF]],Table22[[#This Row],[MRL*CF*PF or MRL (if LOQ and not authorised) (acute RA)]])</f>
        <v>0</v>
      </c>
      <c r="AN162" s="1390" t="str">
        <f t="shared" si="84"/>
        <v>MRL</v>
      </c>
      <c r="AO162" s="1390" t="str">
        <f t="shared" si="85"/>
        <v/>
      </c>
      <c r="AP162" s="1404" t="str">
        <f t="shared" si="86"/>
        <v/>
      </c>
      <c r="AQ162" s="1388">
        <f t="shared" si="87"/>
        <v>0</v>
      </c>
      <c r="AR162" s="1388" t="str">
        <f t="shared" si="88"/>
        <v/>
      </c>
      <c r="AS162" s="1388" t="str">
        <f t="shared" si="89"/>
        <v/>
      </c>
      <c r="AT162" s="1388" t="str">
        <f t="shared" si="90"/>
        <v/>
      </c>
      <c r="AU162" s="1393">
        <f t="shared" si="91"/>
        <v>0</v>
      </c>
      <c r="AV162" s="1388">
        <f t="shared" si="92"/>
        <v>0</v>
      </c>
      <c r="AW162" s="1390" t="str">
        <f t="shared" si="93"/>
        <v/>
      </c>
      <c r="AX162" s="1390" t="str">
        <f t="shared" si="99"/>
        <v/>
      </c>
      <c r="AY162" s="1394" t="str">
        <f t="shared" si="94"/>
        <v/>
      </c>
      <c r="AZ162" s="1395" t="str">
        <f>IF(Table22[[#This Row],[LOQ_label]]="Y",Table22[[#This Row],[MRL individual commodity]],"")</f>
        <v/>
      </c>
      <c r="BA162" s="1449" t="s">
        <v>654</v>
      </c>
      <c r="BB162" s="1411" t="str">
        <f>IF(Table22[[#This Row],[LOQ2]]&lt;0,MIN(AZ162:AZ410),"")</f>
        <v/>
      </c>
      <c r="BC162" s="1299"/>
      <c r="BD162" s="1306" t="str">
        <f>IF(Table22[[#This Row],[Chronic RA label]]="","N",IF(Table22[[#This Row],[Chronic RA label]]="LOQ","N",IF(Table22[[#This Row],[Chronic RA label]]="MRL","N","Y")))</f>
        <v>N</v>
      </c>
      <c r="BE162" s="1306" t="str">
        <f>IF(Table22[[#This Row],[Acute RA label]]="","N",IF(Table22[[#This Row],[Acute RA label]]="LOQ","N",IF(Table22[[#This Row],[Acute RA label]]="MRL","N","Y")))</f>
        <v>N</v>
      </c>
      <c r="BF162" s="1306" t="str">
        <f>IF(OR(Table22[[#This Row],[include commodity in Summary_input_values_chronic]]="Y",Table22[[#This Row],[include commodity in Summary_input_values_acute]]="Y"),"Y","N")</f>
        <v>N</v>
      </c>
      <c r="BG162" s="1299"/>
      <c r="BH162" s="1324"/>
    </row>
    <row r="163" spans="1:60" ht="12.75" customHeight="1" outlineLevel="3" x14ac:dyDescent="0.2">
      <c r="A163" s="39">
        <v>4</v>
      </c>
      <c r="B163" s="327">
        <v>251040</v>
      </c>
      <c r="C163" s="23" t="s">
        <v>724</v>
      </c>
      <c r="D163" s="867"/>
      <c r="E163" s="1219"/>
      <c r="F163" s="867"/>
      <c r="G163" s="869"/>
      <c r="H163" s="863"/>
      <c r="I163" s="868"/>
      <c r="J163" s="870"/>
      <c r="K163" s="865"/>
      <c r="L163" s="872"/>
      <c r="M163" s="872"/>
      <c r="N163" s="925" t="str">
        <f>IF(O163&lt;&gt;0,CONCATENATE(input_values!$AF163,input_values!$AG163,input_values!$AH163),"")</f>
        <v/>
      </c>
      <c r="O163" s="491">
        <f>IF($A$10="Refined calculation mode",Table22[[#This Row],[input for chronic (refined mode]],Table22[[#This Row],[input for chronic normal mode]])</f>
        <v>0</v>
      </c>
      <c r="P163" s="925" t="str">
        <f>IF(Q163&lt;&gt;0,CONCATENATE(input_values!$AN163,input_values!$AO163,input_values!$AP163),"")</f>
        <v/>
      </c>
      <c r="Q163" s="491">
        <f>IF($V$5=0,0,IF(OR($A$10="Refined calculation mode",Results!$B$62="Show results of IESTI calculation only for crops with GAPs under assessment"),Table22[[#This Row],[Input for IESTI (refined mode)]],Table22[[#This Row],[Input for IESTI normal mode]]))</f>
        <v>0</v>
      </c>
      <c r="R163" s="926" t="str">
        <f>IF(S163&lt;&gt;0,CONCATENATE(input_values!$AW163,input_values!$AX163,input_values!$AY163),"")</f>
        <v/>
      </c>
      <c r="S163" s="492">
        <f>IF($V$5=0,0,IF(OR($A$10="Refined calculation mode",Results!$B$62="Show results of IESTI calculation only for crops with GAPs under assessment"),Table22[[#This Row],[Input for IESTI new (refined mode)]],Table22[[#This Row],[Input for IESTI new normal mode]]))</f>
        <v>0</v>
      </c>
      <c r="T163" s="886"/>
      <c r="U163" s="1408">
        <f>Table22[[#This Row],[MRL/ proposed MRL /CXL
(mg/kg)]]</f>
        <v>0</v>
      </c>
      <c r="V163" s="1409" t="str">
        <f t="shared" si="95"/>
        <v/>
      </c>
      <c r="W163" s="1387">
        <f t="shared" si="96"/>
        <v>1</v>
      </c>
      <c r="X163" s="1387">
        <f t="shared" si="97"/>
        <v>1</v>
      </c>
      <c r="Y163" s="1387">
        <f t="shared" si="98"/>
        <v>1</v>
      </c>
      <c r="Z163" s="1410">
        <v>4</v>
      </c>
      <c r="AA163" s="1387">
        <f t="shared" si="76"/>
        <v>0</v>
      </c>
      <c r="AB163" s="1387">
        <f>IF(Z163=A163,IF(AND(L163="N",Table22[[#This Row],[LOQ_label]]="Y"),AA163,$AA163*$Y163),"")</f>
        <v>0</v>
      </c>
      <c r="AC163" s="1393">
        <f t="shared" si="77"/>
        <v>0</v>
      </c>
      <c r="AD163" s="1393">
        <f>IF(Table22[[#This Row],[Median residue*CF*PeF]]&lt;&gt;"",Table22[[#This Row],[Median residue*CF*PeF]],Table22[[#This Row],[MRL*CF*PeF (chronic)]])</f>
        <v>0</v>
      </c>
      <c r="AE163" s="1393">
        <f t="shared" si="78"/>
        <v>0</v>
      </c>
      <c r="AF163" s="1390" t="str">
        <f t="shared" si="79"/>
        <v>MRL</v>
      </c>
      <c r="AG163" s="1390" t="str">
        <f t="shared" si="80"/>
        <v/>
      </c>
      <c r="AH163" s="1394" t="str">
        <f t="shared" si="81"/>
        <v/>
      </c>
      <c r="AI163" s="1386">
        <v>4</v>
      </c>
      <c r="AJ163" s="1387">
        <f t="shared" si="82"/>
        <v>0</v>
      </c>
      <c r="AK163" s="1387">
        <f>IF(AI163=A163,IF(AND(L163="N",Table22[[#This Row],[LOQ_label]]="Y"),AJ163,$AJ163*$Y163),"")</f>
        <v>0</v>
      </c>
      <c r="AL163" s="1388">
        <f t="shared" si="83"/>
        <v>0</v>
      </c>
      <c r="AM163" s="1393">
        <f>IF(Table22[[#This Row],[Highest residue * CF*PF]]&lt;&gt;"",Table22[[#This Row],[Highest residue * CF*PF]],Table22[[#This Row],[MRL*CF*PF or MRL (if LOQ and not authorised) (acute RA)]])</f>
        <v>0</v>
      </c>
      <c r="AN163" s="1390" t="str">
        <f t="shared" si="84"/>
        <v>MRL</v>
      </c>
      <c r="AO163" s="1390" t="str">
        <f t="shared" si="85"/>
        <v/>
      </c>
      <c r="AP163" s="1404" t="str">
        <f t="shared" si="86"/>
        <v/>
      </c>
      <c r="AQ163" s="1388">
        <f t="shared" si="87"/>
        <v>0</v>
      </c>
      <c r="AR163" s="1388" t="str">
        <f t="shared" si="88"/>
        <v/>
      </c>
      <c r="AS163" s="1388" t="str">
        <f t="shared" si="89"/>
        <v/>
      </c>
      <c r="AT163" s="1388" t="str">
        <f t="shared" si="90"/>
        <v/>
      </c>
      <c r="AU163" s="1393">
        <f t="shared" si="91"/>
        <v>0</v>
      </c>
      <c r="AV163" s="1388">
        <f t="shared" si="92"/>
        <v>0</v>
      </c>
      <c r="AW163" s="1390" t="str">
        <f t="shared" si="93"/>
        <v/>
      </c>
      <c r="AX163" s="1390" t="str">
        <f t="shared" si="99"/>
        <v/>
      </c>
      <c r="AY163" s="1394" t="str">
        <f t="shared" si="94"/>
        <v/>
      </c>
      <c r="AZ163" s="1395" t="str">
        <f>IF(Table22[[#This Row],[LOQ_label]]="Y",Table22[[#This Row],[MRL individual commodity]],"")</f>
        <v/>
      </c>
      <c r="BA163" s="1396" t="s">
        <v>1038</v>
      </c>
      <c r="BB163" s="1411" t="str">
        <f>IF(Table22[[#This Row],[LOQ2]]&lt;0,MIN(AZ163:AZ539),"")</f>
        <v/>
      </c>
      <c r="BC163" s="1299"/>
      <c r="BD163" s="1306" t="str">
        <f>IF(Table22[[#This Row],[Chronic RA label]]="","N",IF(Table22[[#This Row],[Chronic RA label]]="LOQ","N",IF(Table22[[#This Row],[Chronic RA label]]="MRL","N","Y")))</f>
        <v>N</v>
      </c>
      <c r="BE163" s="1306" t="str">
        <f>IF(Table22[[#This Row],[Acute RA label]]="","N",IF(Table22[[#This Row],[Acute RA label]]="LOQ","N",IF(Table22[[#This Row],[Acute RA label]]="MRL","N","Y")))</f>
        <v>N</v>
      </c>
      <c r="BF163" s="1306" t="str">
        <f>IF(OR(Table22[[#This Row],[include commodity in Summary_input_values_chronic]]="Y",Table22[[#This Row],[include commodity in Summary_input_values_acute]]="Y"),"Y","N")</f>
        <v>N</v>
      </c>
      <c r="BG163" s="1299"/>
      <c r="BH163" s="1324"/>
    </row>
    <row r="164" spans="1:60" ht="12.75" customHeight="1" outlineLevel="3" x14ac:dyDescent="0.2">
      <c r="A164" s="39">
        <v>4</v>
      </c>
      <c r="B164" s="327">
        <v>251050</v>
      </c>
      <c r="C164" s="23" t="s">
        <v>127</v>
      </c>
      <c r="D164" s="867"/>
      <c r="E164" s="1219"/>
      <c r="F164" s="867"/>
      <c r="G164" s="869"/>
      <c r="H164" s="863"/>
      <c r="I164" s="868"/>
      <c r="J164" s="870"/>
      <c r="K164" s="865"/>
      <c r="L164" s="872"/>
      <c r="M164" s="872"/>
      <c r="N164" s="925" t="str">
        <f>IF(O164&lt;&gt;0,CONCATENATE(input_values!$AF164,input_values!$AG164,input_values!$AH164),"")</f>
        <v/>
      </c>
      <c r="O164" s="491">
        <f>IF($A$10="Refined calculation mode",Table22[[#This Row],[input for chronic (refined mode]],Table22[[#This Row],[input for chronic normal mode]])</f>
        <v>0</v>
      </c>
      <c r="P164" s="925" t="str">
        <f>IF(Q164&lt;&gt;0,CONCATENATE(input_values!$AN164,input_values!$AO164,input_values!$AP164),"")</f>
        <v/>
      </c>
      <c r="Q164" s="491">
        <f>IF($V$5=0,0,IF(OR($A$10="Refined calculation mode",Results!$B$62="Show results of IESTI calculation only for crops with GAPs under assessment"),Table22[[#This Row],[Input for IESTI (refined mode)]],Table22[[#This Row],[Input for IESTI normal mode]]))</f>
        <v>0</v>
      </c>
      <c r="R164" s="926" t="str">
        <f>IF(S164&lt;&gt;0,CONCATENATE(input_values!$AW164,input_values!$AX164,input_values!$AY164),"")</f>
        <v/>
      </c>
      <c r="S164" s="492">
        <f>IF($V$5=0,0,IF(OR($A$10="Refined calculation mode",Results!$B$62="Show results of IESTI calculation only for crops with GAPs under assessment"),Table22[[#This Row],[Input for IESTI new (refined mode)]],Table22[[#This Row],[Input for IESTI new normal mode]]))</f>
        <v>0</v>
      </c>
      <c r="T164" s="886"/>
      <c r="U164" s="1408">
        <f>Table22[[#This Row],[MRL/ proposed MRL /CXL
(mg/kg)]]</f>
        <v>0</v>
      </c>
      <c r="V164" s="1409" t="str">
        <f t="shared" si="95"/>
        <v/>
      </c>
      <c r="W164" s="1387">
        <f t="shared" si="96"/>
        <v>1</v>
      </c>
      <c r="X164" s="1387">
        <f t="shared" si="97"/>
        <v>1</v>
      </c>
      <c r="Y164" s="1387">
        <f t="shared" si="98"/>
        <v>1</v>
      </c>
      <c r="Z164" s="1410">
        <v>4</v>
      </c>
      <c r="AA164" s="1387">
        <f t="shared" si="76"/>
        <v>0</v>
      </c>
      <c r="AB164" s="1387">
        <f>IF(Z164=A164,IF(AND(L164="N",Table22[[#This Row],[LOQ_label]]="Y"),AA164,$AA164*$Y164),"")</f>
        <v>0</v>
      </c>
      <c r="AC164" s="1393">
        <f t="shared" si="77"/>
        <v>0</v>
      </c>
      <c r="AD164" s="1393">
        <f>IF(Table22[[#This Row],[Median residue*CF*PeF]]&lt;&gt;"",Table22[[#This Row],[Median residue*CF*PeF]],Table22[[#This Row],[MRL*CF*PeF (chronic)]])</f>
        <v>0</v>
      </c>
      <c r="AE164" s="1393">
        <f t="shared" si="78"/>
        <v>0</v>
      </c>
      <c r="AF164" s="1390" t="str">
        <f t="shared" si="79"/>
        <v>MRL</v>
      </c>
      <c r="AG164" s="1390" t="str">
        <f t="shared" si="80"/>
        <v/>
      </c>
      <c r="AH164" s="1394" t="str">
        <f t="shared" si="81"/>
        <v/>
      </c>
      <c r="AI164" s="1386">
        <v>4</v>
      </c>
      <c r="AJ164" s="1387">
        <f t="shared" si="82"/>
        <v>0</v>
      </c>
      <c r="AK164" s="1387">
        <f>IF(AI164=A164,IF(AND(L164="N",Table22[[#This Row],[LOQ_label]]="Y"),AJ164,$AJ164*$Y164),"")</f>
        <v>0</v>
      </c>
      <c r="AL164" s="1388">
        <f t="shared" si="83"/>
        <v>0</v>
      </c>
      <c r="AM164" s="1393">
        <f>IF(Table22[[#This Row],[Highest residue * CF*PF]]&lt;&gt;"",Table22[[#This Row],[Highest residue * CF*PF]],Table22[[#This Row],[MRL*CF*PF or MRL (if LOQ and not authorised) (acute RA)]])</f>
        <v>0</v>
      </c>
      <c r="AN164" s="1390" t="str">
        <f t="shared" si="84"/>
        <v>MRL</v>
      </c>
      <c r="AO164" s="1390" t="str">
        <f t="shared" si="85"/>
        <v/>
      </c>
      <c r="AP164" s="1404" t="str">
        <f t="shared" si="86"/>
        <v/>
      </c>
      <c r="AQ164" s="1388">
        <f t="shared" si="87"/>
        <v>0</v>
      </c>
      <c r="AR164" s="1388" t="str">
        <f t="shared" si="88"/>
        <v/>
      </c>
      <c r="AS164" s="1388" t="str">
        <f t="shared" si="89"/>
        <v/>
      </c>
      <c r="AT164" s="1388" t="str">
        <f t="shared" si="90"/>
        <v/>
      </c>
      <c r="AU164" s="1393">
        <f t="shared" si="91"/>
        <v>0</v>
      </c>
      <c r="AV164" s="1388">
        <f t="shared" si="92"/>
        <v>0</v>
      </c>
      <c r="AW164" s="1390" t="str">
        <f t="shared" si="93"/>
        <v/>
      </c>
      <c r="AX164" s="1390" t="str">
        <f t="shared" si="99"/>
        <v/>
      </c>
      <c r="AY164" s="1394" t="str">
        <f t="shared" si="94"/>
        <v/>
      </c>
      <c r="AZ164" s="1395" t="str">
        <f>IF(Table22[[#This Row],[LOQ_label]]="Y",Table22[[#This Row],[MRL individual commodity]],"")</f>
        <v/>
      </c>
      <c r="BA164" s="1396" t="s">
        <v>618</v>
      </c>
      <c r="BB164" s="1411" t="str">
        <f>IF(Table22[[#This Row],[LOQ2]]&lt;0,MIN(AZ164:AZ540),"")</f>
        <v/>
      </c>
      <c r="BC164" s="1299"/>
      <c r="BD164" s="1306" t="str">
        <f>IF(Table22[[#This Row],[Chronic RA label]]="","N",IF(Table22[[#This Row],[Chronic RA label]]="LOQ","N",IF(Table22[[#This Row],[Chronic RA label]]="MRL","N","Y")))</f>
        <v>N</v>
      </c>
      <c r="BE164" s="1306" t="str">
        <f>IF(Table22[[#This Row],[Acute RA label]]="","N",IF(Table22[[#This Row],[Acute RA label]]="LOQ","N",IF(Table22[[#This Row],[Acute RA label]]="MRL","N","Y")))</f>
        <v>N</v>
      </c>
      <c r="BF164" s="1306" t="str">
        <f>IF(OR(Table22[[#This Row],[include commodity in Summary_input_values_chronic]]="Y",Table22[[#This Row],[include commodity in Summary_input_values_acute]]="Y"),"Y","N")</f>
        <v>N</v>
      </c>
      <c r="BG164" s="1299"/>
      <c r="BH164" s="1324"/>
    </row>
    <row r="165" spans="1:60" ht="12.75" customHeight="1" outlineLevel="3" x14ac:dyDescent="0.2">
      <c r="A165" s="39">
        <v>4</v>
      </c>
      <c r="B165" s="327">
        <v>251060</v>
      </c>
      <c r="C165" s="23" t="s">
        <v>725</v>
      </c>
      <c r="D165" s="867"/>
      <c r="E165" s="1219"/>
      <c r="F165" s="867"/>
      <c r="G165" s="869"/>
      <c r="H165" s="863"/>
      <c r="I165" s="868"/>
      <c r="J165" s="870"/>
      <c r="K165" s="865"/>
      <c r="L165" s="872"/>
      <c r="M165" s="872"/>
      <c r="N165" s="925" t="str">
        <f>IF(O165&lt;&gt;0,CONCATENATE(input_values!$AF165,input_values!$AG165,input_values!$AH165),"")</f>
        <v/>
      </c>
      <c r="O165" s="491">
        <f>IF($A$10="Refined calculation mode",Table22[[#This Row],[input for chronic (refined mode]],Table22[[#This Row],[input for chronic normal mode]])</f>
        <v>0</v>
      </c>
      <c r="P165" s="925" t="str">
        <f>IF(Q165&lt;&gt;0,CONCATENATE(input_values!$AN165,input_values!$AO165,input_values!$AP165),"")</f>
        <v/>
      </c>
      <c r="Q165" s="491">
        <f>IF($V$5=0,0,IF(OR($A$10="Refined calculation mode",Results!$B$62="Show results of IESTI calculation only for crops with GAPs under assessment"),Table22[[#This Row],[Input for IESTI (refined mode)]],Table22[[#This Row],[Input for IESTI normal mode]]))</f>
        <v>0</v>
      </c>
      <c r="R165" s="926" t="str">
        <f>IF(S165&lt;&gt;0,CONCATENATE(input_values!$AW165,input_values!$AX165,input_values!$AY165),"")</f>
        <v/>
      </c>
      <c r="S165" s="492">
        <f>IF($V$5=0,0,IF(OR($A$10="Refined calculation mode",Results!$B$62="Show results of IESTI calculation only for crops with GAPs under assessment"),Table22[[#This Row],[Input for IESTI new (refined mode)]],Table22[[#This Row],[Input for IESTI new normal mode]]))</f>
        <v>0</v>
      </c>
      <c r="T165" s="886"/>
      <c r="U165" s="1408">
        <f>Table22[[#This Row],[MRL/ proposed MRL /CXL
(mg/kg)]]</f>
        <v>0</v>
      </c>
      <c r="V165" s="1409" t="str">
        <f t="shared" si="95"/>
        <v/>
      </c>
      <c r="W165" s="1387">
        <f t="shared" si="96"/>
        <v>1</v>
      </c>
      <c r="X165" s="1387">
        <f t="shared" si="97"/>
        <v>1</v>
      </c>
      <c r="Y165" s="1387">
        <f t="shared" si="98"/>
        <v>1</v>
      </c>
      <c r="Z165" s="1410">
        <v>4</v>
      </c>
      <c r="AA165" s="1387">
        <f t="shared" si="76"/>
        <v>0</v>
      </c>
      <c r="AB165" s="1387">
        <f>IF(Z165=A165,IF(AND(L165="N",Table22[[#This Row],[LOQ_label]]="Y"),AA165,$AA165*$Y165),"")</f>
        <v>0</v>
      </c>
      <c r="AC165" s="1393">
        <f t="shared" si="77"/>
        <v>0</v>
      </c>
      <c r="AD165" s="1393">
        <f>IF(Table22[[#This Row],[Median residue*CF*PeF]]&lt;&gt;"",Table22[[#This Row],[Median residue*CF*PeF]],Table22[[#This Row],[MRL*CF*PeF (chronic)]])</f>
        <v>0</v>
      </c>
      <c r="AE165" s="1393">
        <f t="shared" si="78"/>
        <v>0</v>
      </c>
      <c r="AF165" s="1390" t="str">
        <f t="shared" si="79"/>
        <v>MRL</v>
      </c>
      <c r="AG165" s="1390" t="str">
        <f t="shared" si="80"/>
        <v/>
      </c>
      <c r="AH165" s="1394" t="str">
        <f t="shared" si="81"/>
        <v/>
      </c>
      <c r="AI165" s="1386">
        <v>4</v>
      </c>
      <c r="AJ165" s="1387">
        <f t="shared" si="82"/>
        <v>0</v>
      </c>
      <c r="AK165" s="1387">
        <f>IF(AI165=A165,IF(AND(L165="N",Table22[[#This Row],[LOQ_label]]="Y"),AJ165,$AJ165*$Y165),"")</f>
        <v>0</v>
      </c>
      <c r="AL165" s="1388">
        <f t="shared" si="83"/>
        <v>0</v>
      </c>
      <c r="AM165" s="1393">
        <f>IF(Table22[[#This Row],[Highest residue * CF*PF]]&lt;&gt;"",Table22[[#This Row],[Highest residue * CF*PF]],Table22[[#This Row],[MRL*CF*PF or MRL (if LOQ and not authorised) (acute RA)]])</f>
        <v>0</v>
      </c>
      <c r="AN165" s="1390" t="str">
        <f t="shared" si="84"/>
        <v>MRL</v>
      </c>
      <c r="AO165" s="1390" t="str">
        <f t="shared" si="85"/>
        <v/>
      </c>
      <c r="AP165" s="1404" t="str">
        <f t="shared" si="86"/>
        <v/>
      </c>
      <c r="AQ165" s="1388">
        <f t="shared" si="87"/>
        <v>0</v>
      </c>
      <c r="AR165" s="1388" t="str">
        <f t="shared" si="88"/>
        <v/>
      </c>
      <c r="AS165" s="1388" t="str">
        <f t="shared" si="89"/>
        <v/>
      </c>
      <c r="AT165" s="1388" t="str">
        <f t="shared" si="90"/>
        <v/>
      </c>
      <c r="AU165" s="1393">
        <f t="shared" si="91"/>
        <v>0</v>
      </c>
      <c r="AV165" s="1388">
        <f t="shared" si="92"/>
        <v>0</v>
      </c>
      <c r="AW165" s="1390" t="str">
        <f t="shared" si="93"/>
        <v/>
      </c>
      <c r="AX165" s="1390" t="str">
        <f t="shared" si="99"/>
        <v/>
      </c>
      <c r="AY165" s="1394" t="str">
        <f t="shared" si="94"/>
        <v/>
      </c>
      <c r="AZ165" s="1395" t="str">
        <f>IF(Table22[[#This Row],[LOQ_label]]="Y",Table22[[#This Row],[MRL individual commodity]],"")</f>
        <v/>
      </c>
      <c r="BA165" s="1396" t="s">
        <v>1038</v>
      </c>
      <c r="BB165" s="1411" t="str">
        <f>IF(Table22[[#This Row],[LOQ2]]&lt;0,MIN(AZ165:AZ541),"")</f>
        <v/>
      </c>
      <c r="BC165" s="1299"/>
      <c r="BD165" s="1306" t="str">
        <f>IF(Table22[[#This Row],[Chronic RA label]]="","N",IF(Table22[[#This Row],[Chronic RA label]]="LOQ","N",IF(Table22[[#This Row],[Chronic RA label]]="MRL","N","Y")))</f>
        <v>N</v>
      </c>
      <c r="BE165" s="1306" t="str">
        <f>IF(Table22[[#This Row],[Acute RA label]]="","N",IF(Table22[[#This Row],[Acute RA label]]="LOQ","N",IF(Table22[[#This Row],[Acute RA label]]="MRL","N","Y")))</f>
        <v>N</v>
      </c>
      <c r="BF165" s="1306" t="str">
        <f>IF(OR(Table22[[#This Row],[include commodity in Summary_input_values_chronic]]="Y",Table22[[#This Row],[include commodity in Summary_input_values_acute]]="Y"),"Y","N")</f>
        <v>N</v>
      </c>
      <c r="BG165" s="1299"/>
      <c r="BH165" s="1324"/>
    </row>
    <row r="166" spans="1:60" ht="12.75" customHeight="1" outlineLevel="3" x14ac:dyDescent="0.2">
      <c r="A166" s="39">
        <v>4</v>
      </c>
      <c r="B166" s="327">
        <v>251070</v>
      </c>
      <c r="C166" s="23" t="s">
        <v>726</v>
      </c>
      <c r="D166" s="867"/>
      <c r="E166" s="1219"/>
      <c r="F166" s="867"/>
      <c r="G166" s="869"/>
      <c r="H166" s="863"/>
      <c r="I166" s="868"/>
      <c r="J166" s="870"/>
      <c r="K166" s="871"/>
      <c r="L166" s="872"/>
      <c r="M166" s="872"/>
      <c r="N166" s="925" t="str">
        <f>IF(O166&lt;&gt;0,CONCATENATE(input_values!$AF166,input_values!$AG166,input_values!$AH166),"")</f>
        <v/>
      </c>
      <c r="O166" s="491">
        <f>IF($A$10="Refined calculation mode",Table22[[#This Row],[input for chronic (refined mode]],Table22[[#This Row],[input for chronic normal mode]])</f>
        <v>0</v>
      </c>
      <c r="P166" s="925" t="str">
        <f>IF(Q166&lt;&gt;0,CONCATENATE(input_values!$AN166,input_values!$AO166,input_values!$AP166),"")</f>
        <v/>
      </c>
      <c r="Q166" s="491">
        <f>IF($V$5=0,0,IF(OR($A$10="Refined calculation mode",Results!$B$62="Show results of IESTI calculation only for crops with GAPs under assessment"),Table22[[#This Row],[Input for IESTI (refined mode)]],Table22[[#This Row],[Input for IESTI normal mode]]))</f>
        <v>0</v>
      </c>
      <c r="R166" s="926" t="str">
        <f>IF(S166&lt;&gt;0,CONCATENATE(input_values!$AW166,input_values!$AX166,input_values!$AY166),"")</f>
        <v/>
      </c>
      <c r="S166" s="492">
        <f>IF($V$5=0,0,IF(OR($A$10="Refined calculation mode",Results!$B$62="Show results of IESTI calculation only for crops with GAPs under assessment"),Table22[[#This Row],[Input for IESTI new (refined mode)]],Table22[[#This Row],[Input for IESTI new normal mode]]))</f>
        <v>0</v>
      </c>
      <c r="T166" s="886"/>
      <c r="U166" s="1408">
        <f>Table22[[#This Row],[MRL/ proposed MRL /CXL
(mg/kg)]]</f>
        <v>0</v>
      </c>
      <c r="V166" s="1409" t="str">
        <f t="shared" si="95"/>
        <v/>
      </c>
      <c r="W166" s="1387">
        <f t="shared" si="96"/>
        <v>1</v>
      </c>
      <c r="X166" s="1387">
        <f t="shared" si="97"/>
        <v>1</v>
      </c>
      <c r="Y166" s="1387">
        <f t="shared" si="98"/>
        <v>1</v>
      </c>
      <c r="Z166" s="1410">
        <v>4</v>
      </c>
      <c r="AA166" s="1387">
        <f t="shared" si="76"/>
        <v>0</v>
      </c>
      <c r="AB166" s="1387">
        <f>IF(Z166=A166,IF(AND(L166="N",Table22[[#This Row],[LOQ_label]]="Y"),AA166,$AA166*$Y166),"")</f>
        <v>0</v>
      </c>
      <c r="AC166" s="1393">
        <f t="shared" si="77"/>
        <v>0</v>
      </c>
      <c r="AD166" s="1393">
        <f>IF(Table22[[#This Row],[Median residue*CF*PeF]]&lt;&gt;"",Table22[[#This Row],[Median residue*CF*PeF]],Table22[[#This Row],[MRL*CF*PeF (chronic)]])</f>
        <v>0</v>
      </c>
      <c r="AE166" s="1393">
        <f t="shared" si="78"/>
        <v>0</v>
      </c>
      <c r="AF166" s="1390" t="str">
        <f t="shared" si="79"/>
        <v>MRL</v>
      </c>
      <c r="AG166" s="1390" t="str">
        <f t="shared" si="80"/>
        <v/>
      </c>
      <c r="AH166" s="1394" t="str">
        <f t="shared" si="81"/>
        <v/>
      </c>
      <c r="AI166" s="1386">
        <v>4</v>
      </c>
      <c r="AJ166" s="1387">
        <f t="shared" si="82"/>
        <v>0</v>
      </c>
      <c r="AK166" s="1387">
        <f>IF(AI166=A166,IF(AND(L166="N",Table22[[#This Row],[LOQ_label]]="Y"),AJ166,$AJ166*$Y166),"")</f>
        <v>0</v>
      </c>
      <c r="AL166" s="1388">
        <f t="shared" si="83"/>
        <v>0</v>
      </c>
      <c r="AM166" s="1393">
        <f>IF(Table22[[#This Row],[Highest residue * CF*PF]]&lt;&gt;"",Table22[[#This Row],[Highest residue * CF*PF]],Table22[[#This Row],[MRL*CF*PF or MRL (if LOQ and not authorised) (acute RA)]])</f>
        <v>0</v>
      </c>
      <c r="AN166" s="1390" t="str">
        <f t="shared" si="84"/>
        <v>MRL</v>
      </c>
      <c r="AO166" s="1390" t="str">
        <f t="shared" si="85"/>
        <v/>
      </c>
      <c r="AP166" s="1404" t="str">
        <f t="shared" si="86"/>
        <v/>
      </c>
      <c r="AQ166" s="1388">
        <f t="shared" si="87"/>
        <v>0</v>
      </c>
      <c r="AR166" s="1388" t="str">
        <f t="shared" si="88"/>
        <v/>
      </c>
      <c r="AS166" s="1388" t="str">
        <f t="shared" si="89"/>
        <v/>
      </c>
      <c r="AT166" s="1388" t="str">
        <f t="shared" si="90"/>
        <v/>
      </c>
      <c r="AU166" s="1393">
        <f t="shared" si="91"/>
        <v>0</v>
      </c>
      <c r="AV166" s="1388">
        <f t="shared" si="92"/>
        <v>0</v>
      </c>
      <c r="AW166" s="1390" t="str">
        <f t="shared" si="93"/>
        <v/>
      </c>
      <c r="AX166" s="1390" t="str">
        <f t="shared" si="99"/>
        <v/>
      </c>
      <c r="AY166" s="1394" t="str">
        <f t="shared" si="94"/>
        <v/>
      </c>
      <c r="AZ166" s="1395" t="str">
        <f>IF(Table22[[#This Row],[LOQ_label]]="Y",Table22[[#This Row],[MRL individual commodity]],"")</f>
        <v/>
      </c>
      <c r="BA166" s="1449" t="s">
        <v>654</v>
      </c>
      <c r="BB166" s="1411" t="str">
        <f>IF(Table22[[#This Row],[LOQ2]]&lt;0,MIN(AZ166:AZ542),"")</f>
        <v/>
      </c>
      <c r="BC166" s="1299"/>
      <c r="BD166" s="1306" t="str">
        <f>IF(Table22[[#This Row],[Chronic RA label]]="","N",IF(Table22[[#This Row],[Chronic RA label]]="LOQ","N",IF(Table22[[#This Row],[Chronic RA label]]="MRL","N","Y")))</f>
        <v>N</v>
      </c>
      <c r="BE166" s="1306" t="str">
        <f>IF(Table22[[#This Row],[Acute RA label]]="","N",IF(Table22[[#This Row],[Acute RA label]]="LOQ","N",IF(Table22[[#This Row],[Acute RA label]]="MRL","N","Y")))</f>
        <v>N</v>
      </c>
      <c r="BF166" s="1306" t="str">
        <f>IF(OR(Table22[[#This Row],[include commodity in Summary_input_values_chronic]]="Y",Table22[[#This Row],[include commodity in Summary_input_values_acute]]="Y"),"Y","N")</f>
        <v>N</v>
      </c>
      <c r="BG166" s="1299"/>
      <c r="BH166" s="1324"/>
    </row>
    <row r="167" spans="1:60" ht="12.75" customHeight="1" outlineLevel="3" x14ac:dyDescent="0.2">
      <c r="A167" s="39">
        <v>4</v>
      </c>
      <c r="B167" s="327">
        <v>251080</v>
      </c>
      <c r="C167" s="23" t="s">
        <v>727</v>
      </c>
      <c r="D167" s="867"/>
      <c r="E167" s="1219"/>
      <c r="F167" s="867"/>
      <c r="G167" s="869"/>
      <c r="H167" s="863"/>
      <c r="I167" s="868"/>
      <c r="J167" s="870"/>
      <c r="K167" s="865"/>
      <c r="L167" s="872"/>
      <c r="M167" s="872"/>
      <c r="N167" s="925" t="str">
        <f>IF(O167&lt;&gt;0,CONCATENATE(input_values!$AF167,input_values!$AG167,input_values!$AH167),"")</f>
        <v/>
      </c>
      <c r="O167" s="491">
        <f>IF($A$10="Refined calculation mode",Table22[[#This Row],[input for chronic (refined mode]],Table22[[#This Row],[input for chronic normal mode]])</f>
        <v>0</v>
      </c>
      <c r="P167" s="925" t="str">
        <f>IF(Q167&lt;&gt;0,CONCATENATE(input_values!$AN167,input_values!$AO167,input_values!$AP167),"")</f>
        <v/>
      </c>
      <c r="Q167" s="491">
        <f>IF($V$5=0,0,IF(OR($A$10="Refined calculation mode",Results!$B$62="Show results of IESTI calculation only for crops with GAPs under assessment"),Table22[[#This Row],[Input for IESTI (refined mode)]],Table22[[#This Row],[Input for IESTI normal mode]]))</f>
        <v>0</v>
      </c>
      <c r="R167" s="926" t="str">
        <f>IF(S167&lt;&gt;0,CONCATENATE(input_values!$AW167,input_values!$AX167,input_values!$AY167),"")</f>
        <v/>
      </c>
      <c r="S167" s="492">
        <f>IF($V$5=0,0,IF(OR($A$10="Refined calculation mode",Results!$B$62="Show results of IESTI calculation only for crops with GAPs under assessment"),Table22[[#This Row],[Input for IESTI new (refined mode)]],Table22[[#This Row],[Input for IESTI new normal mode]]))</f>
        <v>0</v>
      </c>
      <c r="T167" s="886"/>
      <c r="U167" s="1408">
        <f>Table22[[#This Row],[MRL/ proposed MRL /CXL
(mg/kg)]]</f>
        <v>0</v>
      </c>
      <c r="V167" s="1409" t="str">
        <f t="shared" si="95"/>
        <v/>
      </c>
      <c r="W167" s="1387">
        <f t="shared" si="96"/>
        <v>1</v>
      </c>
      <c r="X167" s="1387">
        <f t="shared" si="97"/>
        <v>1</v>
      </c>
      <c r="Y167" s="1387">
        <f t="shared" si="98"/>
        <v>1</v>
      </c>
      <c r="Z167" s="1410">
        <v>4</v>
      </c>
      <c r="AA167" s="1387">
        <f t="shared" si="76"/>
        <v>0</v>
      </c>
      <c r="AB167" s="1387">
        <f>IF(Z167=A167,IF(AND(L167="N",Table22[[#This Row],[LOQ_label]]="Y"),AA167,$AA167*$Y167),"")</f>
        <v>0</v>
      </c>
      <c r="AC167" s="1393">
        <f t="shared" si="77"/>
        <v>0</v>
      </c>
      <c r="AD167" s="1393">
        <f>IF(Table22[[#This Row],[Median residue*CF*PeF]]&lt;&gt;"",Table22[[#This Row],[Median residue*CF*PeF]],Table22[[#This Row],[MRL*CF*PeF (chronic)]])</f>
        <v>0</v>
      </c>
      <c r="AE167" s="1393">
        <f t="shared" si="78"/>
        <v>0</v>
      </c>
      <c r="AF167" s="1390" t="str">
        <f t="shared" si="79"/>
        <v>MRL</v>
      </c>
      <c r="AG167" s="1390" t="str">
        <f t="shared" si="80"/>
        <v/>
      </c>
      <c r="AH167" s="1394" t="str">
        <f t="shared" si="81"/>
        <v/>
      </c>
      <c r="AI167" s="1386">
        <v>4</v>
      </c>
      <c r="AJ167" s="1387">
        <f t="shared" si="82"/>
        <v>0</v>
      </c>
      <c r="AK167" s="1387">
        <f>IF(AI167=A167,IF(AND(L167="N",Table22[[#This Row],[LOQ_label]]="Y"),AJ167,$AJ167*$Y167),"")</f>
        <v>0</v>
      </c>
      <c r="AL167" s="1388">
        <f t="shared" si="83"/>
        <v>0</v>
      </c>
      <c r="AM167" s="1393">
        <f>IF(Table22[[#This Row],[Highest residue * CF*PF]]&lt;&gt;"",Table22[[#This Row],[Highest residue * CF*PF]],Table22[[#This Row],[MRL*CF*PF or MRL (if LOQ and not authorised) (acute RA)]])</f>
        <v>0</v>
      </c>
      <c r="AN167" s="1390" t="str">
        <f t="shared" si="84"/>
        <v>MRL</v>
      </c>
      <c r="AO167" s="1390" t="str">
        <f t="shared" si="85"/>
        <v/>
      </c>
      <c r="AP167" s="1404" t="str">
        <f t="shared" si="86"/>
        <v/>
      </c>
      <c r="AQ167" s="1388">
        <f t="shared" si="87"/>
        <v>0</v>
      </c>
      <c r="AR167" s="1388" t="str">
        <f t="shared" si="88"/>
        <v/>
      </c>
      <c r="AS167" s="1388" t="str">
        <f t="shared" si="89"/>
        <v/>
      </c>
      <c r="AT167" s="1388" t="str">
        <f t="shared" si="90"/>
        <v/>
      </c>
      <c r="AU167" s="1393">
        <f t="shared" si="91"/>
        <v>0</v>
      </c>
      <c r="AV167" s="1388">
        <f t="shared" si="92"/>
        <v>0</v>
      </c>
      <c r="AW167" s="1390" t="str">
        <f t="shared" si="93"/>
        <v/>
      </c>
      <c r="AX167" s="1390" t="str">
        <f t="shared" si="99"/>
        <v/>
      </c>
      <c r="AY167" s="1394" t="str">
        <f t="shared" si="94"/>
        <v/>
      </c>
      <c r="AZ167" s="1395" t="str">
        <f>IF(Table22[[#This Row],[LOQ_label]]="Y",Table22[[#This Row],[MRL individual commodity]],"")</f>
        <v/>
      </c>
      <c r="BA167" s="1396" t="s">
        <v>1038</v>
      </c>
      <c r="BB167" s="1411" t="str">
        <f>IF(Table22[[#This Row],[LOQ2]]&lt;0,MIN(AZ167:AZ543),"")</f>
        <v/>
      </c>
      <c r="BC167" s="1299"/>
      <c r="BD167" s="1306" t="str">
        <f>IF(Table22[[#This Row],[Chronic RA label]]="","N",IF(Table22[[#This Row],[Chronic RA label]]="LOQ","N",IF(Table22[[#This Row],[Chronic RA label]]="MRL","N","Y")))</f>
        <v>N</v>
      </c>
      <c r="BE167" s="1306" t="str">
        <f>IF(Table22[[#This Row],[Acute RA label]]="","N",IF(Table22[[#This Row],[Acute RA label]]="LOQ","N",IF(Table22[[#This Row],[Acute RA label]]="MRL","N","Y")))</f>
        <v>N</v>
      </c>
      <c r="BF167" s="1306" t="str">
        <f>IF(OR(Table22[[#This Row],[include commodity in Summary_input_values_chronic]]="Y",Table22[[#This Row],[include commodity in Summary_input_values_acute]]="Y"),"Y","N")</f>
        <v>N</v>
      </c>
      <c r="BG167" s="1299"/>
      <c r="BH167" s="1324"/>
    </row>
    <row r="168" spans="1:60" ht="12.75" customHeight="1" outlineLevel="3" x14ac:dyDescent="0.2">
      <c r="A168" s="39">
        <v>4</v>
      </c>
      <c r="B168" s="327">
        <v>251990</v>
      </c>
      <c r="C168" s="23" t="s">
        <v>173</v>
      </c>
      <c r="D168" s="867"/>
      <c r="E168" s="1219"/>
      <c r="F168" s="867"/>
      <c r="G168" s="868"/>
      <c r="H168" s="863"/>
      <c r="I168" s="868"/>
      <c r="J168" s="870"/>
      <c r="K168" s="865"/>
      <c r="L168" s="872"/>
      <c r="M168" s="872"/>
      <c r="N168" s="925" t="str">
        <f>IF(O168&lt;&gt;0,CONCATENATE(input_values!$AF168,input_values!$AG168,input_values!$AH168),"")</f>
        <v/>
      </c>
      <c r="O168" s="491">
        <f>IF($A$10="Refined calculation mode",Table22[[#This Row],[input for chronic (refined mode]],Table22[[#This Row],[input for chronic normal mode]])</f>
        <v>0</v>
      </c>
      <c r="P168" s="473"/>
      <c r="Q168" s="474"/>
      <c r="R168" s="473"/>
      <c r="S168" s="474"/>
      <c r="T168" s="886"/>
      <c r="U168" s="1408">
        <f>Table22[[#This Row],[MRL/ proposed MRL /CXL
(mg/kg)]]</f>
        <v>0</v>
      </c>
      <c r="V168" s="1409" t="str">
        <f t="shared" si="95"/>
        <v/>
      </c>
      <c r="W168" s="1387">
        <f t="shared" si="96"/>
        <v>1</v>
      </c>
      <c r="X168" s="1387">
        <f t="shared" si="97"/>
        <v>1</v>
      </c>
      <c r="Y168" s="1387">
        <f t="shared" si="98"/>
        <v>1</v>
      </c>
      <c r="Z168" s="1410">
        <v>4</v>
      </c>
      <c r="AA168" s="1387">
        <f t="shared" si="76"/>
        <v>0</v>
      </c>
      <c r="AB168" s="1387">
        <f>IF(Z168=A168,IF(AND(L168="N",Table22[[#This Row],[LOQ_label]]="Y"),AA168,$AA168*$Y168),"")</f>
        <v>0</v>
      </c>
      <c r="AC168" s="1393">
        <f t="shared" si="77"/>
        <v>0</v>
      </c>
      <c r="AD168" s="1393">
        <f>IF(Table22[[#This Row],[Median residue*CF*PeF]]&lt;&gt;"",Table22[[#This Row],[Median residue*CF*PeF]],Table22[[#This Row],[MRL*CF*PeF (chronic)]])</f>
        <v>0</v>
      </c>
      <c r="AE168" s="1393">
        <f t="shared" si="78"/>
        <v>0</v>
      </c>
      <c r="AF168" s="1390" t="str">
        <f t="shared" si="79"/>
        <v>MRL</v>
      </c>
      <c r="AG168" s="1390" t="str">
        <f t="shared" si="80"/>
        <v/>
      </c>
      <c r="AH168" s="1394" t="str">
        <f t="shared" si="81"/>
        <v/>
      </c>
      <c r="AI168" s="1386"/>
      <c r="AJ168" s="1387" t="str">
        <f t="shared" si="82"/>
        <v/>
      </c>
      <c r="AK168" s="1387" t="str">
        <f>IF(AI168=A168,IF(AND(L168="N",Table22[[#This Row],[LOQ_label]]="Y"),AJ168,$AJ168*$Y168),"")</f>
        <v/>
      </c>
      <c r="AL168" s="1388" t="str">
        <f t="shared" si="83"/>
        <v/>
      </c>
      <c r="AM168" s="1393" t="str">
        <f>IF(Table22[[#This Row],[Highest residue * CF*PF]]&lt;&gt;"",Table22[[#This Row],[Highest residue * CF*PF]],Table22[[#This Row],[MRL*CF*PF or MRL (if LOQ and not authorised) (acute RA)]])</f>
        <v/>
      </c>
      <c r="AN168" s="1390" t="str">
        <f t="shared" si="84"/>
        <v/>
      </c>
      <c r="AO168" s="1390" t="str">
        <f t="shared" si="85"/>
        <v/>
      </c>
      <c r="AP168" s="1404" t="str">
        <f t="shared" si="86"/>
        <v/>
      </c>
      <c r="AQ168" s="1388">
        <f t="shared" si="87"/>
        <v>0</v>
      </c>
      <c r="AR168" s="1388" t="str">
        <f t="shared" si="88"/>
        <v/>
      </c>
      <c r="AS168" s="1388" t="str">
        <f t="shared" si="89"/>
        <v/>
      </c>
      <c r="AT168" s="1388" t="str">
        <f t="shared" si="90"/>
        <v/>
      </c>
      <c r="AU168" s="1393" t="str">
        <f t="shared" si="91"/>
        <v/>
      </c>
      <c r="AV168" s="1388">
        <f t="shared" si="92"/>
        <v>0</v>
      </c>
      <c r="AW168" s="1390" t="str">
        <f t="shared" si="93"/>
        <v/>
      </c>
      <c r="AX168" s="1390" t="str">
        <f>IF(AND(AN168&lt;&gt;"",AY168&lt;&gt;""),"*","")</f>
        <v/>
      </c>
      <c r="AY168" s="1394" t="str">
        <f t="shared" si="94"/>
        <v/>
      </c>
      <c r="AZ168" s="1395" t="str">
        <f>IF(Table22[[#This Row],[LOQ_label]]="Y",Table22[[#This Row],[MRL individual commodity]],"")</f>
        <v/>
      </c>
      <c r="BA168" s="1396" t="s">
        <v>1159</v>
      </c>
      <c r="BB168" s="1411" t="str">
        <f>IF(Table22[[#This Row],[LOQ2]]&lt;0,MIN(AZ168:AZ544),"")</f>
        <v/>
      </c>
      <c r="BC168" s="1299"/>
      <c r="BD168" s="1306" t="str">
        <f>IF(Table22[[#This Row],[Chronic RA label]]="","N",IF(Table22[[#This Row],[Chronic RA label]]="LOQ","N",IF(Table22[[#This Row],[Chronic RA label]]="MRL","N","Y")))</f>
        <v>N</v>
      </c>
      <c r="BE168" s="1306" t="str">
        <f>IF(Table22[[#This Row],[Acute RA label]]="","N",IF(Table22[[#This Row],[Acute RA label]]="LOQ","N",IF(Table22[[#This Row],[Acute RA label]]="MRL","N","Y")))</f>
        <v>N</v>
      </c>
      <c r="BF168" s="1306" t="str">
        <f>IF(OR(Table22[[#This Row],[include commodity in Summary_input_values_chronic]]="Y",Table22[[#This Row],[include commodity in Summary_input_values_acute]]="Y"),"Y","N")</f>
        <v>N</v>
      </c>
      <c r="BG168" s="1299"/>
      <c r="BH168" s="1324"/>
    </row>
    <row r="169" spans="1:60" ht="12.75" customHeight="1" outlineLevel="2" x14ac:dyDescent="0.2">
      <c r="A169" s="132">
        <v>3</v>
      </c>
      <c r="B169" s="448">
        <v>252000</v>
      </c>
      <c r="C169" s="3" t="s">
        <v>234</v>
      </c>
      <c r="D169" s="862"/>
      <c r="E169" s="1218"/>
      <c r="F169" s="862"/>
      <c r="G169" s="866"/>
      <c r="H169" s="863"/>
      <c r="I169" s="863"/>
      <c r="J169" s="864"/>
      <c r="K169" s="865"/>
      <c r="L169" s="471"/>
      <c r="M169" s="471"/>
      <c r="N169" s="473"/>
      <c r="O169" s="474"/>
      <c r="P169" s="473"/>
      <c r="Q169" s="474"/>
      <c r="R169" s="473"/>
      <c r="S169" s="474"/>
      <c r="T169" s="886"/>
      <c r="U169" s="1415"/>
      <c r="V169" s="1380"/>
      <c r="W169" s="1381"/>
      <c r="X169" s="1381"/>
      <c r="Y169" s="1381"/>
      <c r="Z169" s="1382">
        <v>4</v>
      </c>
      <c r="AA169" s="1381" t="str">
        <f t="shared" si="76"/>
        <v/>
      </c>
      <c r="AB169" s="1381" t="str">
        <f>IF(Z169=A169,IF(AND(L169="N",Table22[[#This Row],[LOQ_label]]="Y"),AA169,$AA169*$Y169),"")</f>
        <v/>
      </c>
      <c r="AC169" s="1383" t="str">
        <f t="shared" si="77"/>
        <v/>
      </c>
      <c r="AD169" s="1383" t="str">
        <f>IF(Table22[[#This Row],[Median residue*CF*PeF]]&lt;&gt;"",Table22[[#This Row],[Median residue*CF*PeF]],Table22[[#This Row],[MRL*CF*PeF (chronic)]])</f>
        <v/>
      </c>
      <c r="AE169" s="1384">
        <f t="shared" si="78"/>
        <v>0</v>
      </c>
      <c r="AF169" s="1385" t="str">
        <f t="shared" si="79"/>
        <v/>
      </c>
      <c r="AG169" s="1385" t="str">
        <f t="shared" si="80"/>
        <v/>
      </c>
      <c r="AH169" s="1270" t="str">
        <f t="shared" si="81"/>
        <v/>
      </c>
      <c r="AI169" s="1386">
        <v>4</v>
      </c>
      <c r="AJ169" s="1387" t="str">
        <f t="shared" si="82"/>
        <v/>
      </c>
      <c r="AK169" s="1387" t="str">
        <f>IF(AI169=A169,IF(AND(L169="N",Table22[[#This Row],[LOQ_label]]="Y"),AJ169,$AJ169*$Y169),"")</f>
        <v/>
      </c>
      <c r="AL169" s="1388" t="str">
        <f t="shared" si="83"/>
        <v/>
      </c>
      <c r="AM169" s="1393" t="str">
        <f>IF(Table22[[#This Row],[Highest residue * CF*PF]]&lt;&gt;"",Table22[[#This Row],[Highest residue * CF*PF]],Table22[[#This Row],[MRL*CF*PF or MRL (if LOQ and not authorised) (acute RA)]])</f>
        <v/>
      </c>
      <c r="AN169" s="1390" t="str">
        <f t="shared" si="84"/>
        <v/>
      </c>
      <c r="AO169" s="1390" t="str">
        <f t="shared" si="85"/>
        <v/>
      </c>
      <c r="AP169" s="1404" t="str">
        <f t="shared" si="86"/>
        <v/>
      </c>
      <c r="AQ169" s="1388">
        <f t="shared" si="87"/>
        <v>0</v>
      </c>
      <c r="AR169" s="1388" t="str">
        <f t="shared" si="88"/>
        <v/>
      </c>
      <c r="AS169" s="1388" t="str">
        <f t="shared" si="89"/>
        <v/>
      </c>
      <c r="AT169" s="1388" t="str">
        <f t="shared" si="90"/>
        <v/>
      </c>
      <c r="AU169" s="1393" t="str">
        <f t="shared" si="91"/>
        <v/>
      </c>
      <c r="AV169" s="1388">
        <f t="shared" si="92"/>
        <v>0</v>
      </c>
      <c r="AW169" s="1390" t="str">
        <f t="shared" si="93"/>
        <v/>
      </c>
      <c r="AX169" s="1390" t="str">
        <f>IF(AND(AN169&lt;&gt;"",AY169&lt;&gt;""),"*","")</f>
        <v/>
      </c>
      <c r="AY169" s="1394" t="str">
        <f t="shared" si="94"/>
        <v/>
      </c>
      <c r="AZ169" s="1395">
        <f>IF(Table22[[#This Row],[LOQ_label]]="Y",Table22[[#This Row],[MRL individual commodity]],"")</f>
        <v>0</v>
      </c>
      <c r="BA169" s="1396" t="s">
        <v>1159</v>
      </c>
      <c r="BB169" s="1411" t="str">
        <f>IF(Table22[[#This Row],[LOQ2]]&lt;0,MIN(AZ169:AZ545),"")</f>
        <v/>
      </c>
      <c r="BC169" s="1299"/>
      <c r="BD169" s="1306" t="str">
        <f>IF(Table22[[#This Row],[Chronic RA label]]="","N",IF(Table22[[#This Row],[Chronic RA label]]="LOQ","N",IF(Table22[[#This Row],[Chronic RA label]]="MRL","N","Y")))</f>
        <v>N</v>
      </c>
      <c r="BE169" s="1306" t="str">
        <f>IF(Table22[[#This Row],[Acute RA label]]="","N",IF(Table22[[#This Row],[Acute RA label]]="LOQ","N",IF(Table22[[#This Row],[Acute RA label]]="MRL","N","Y")))</f>
        <v>N</v>
      </c>
      <c r="BF169" s="1306" t="str">
        <f>IF(OR(Table22[[#This Row],[include commodity in Summary_input_values_chronic]]="Y",Table22[[#This Row],[include commodity in Summary_input_values_acute]]="Y"),"Y","N")</f>
        <v>N</v>
      </c>
      <c r="BG169" s="1299"/>
      <c r="BH169" s="1324"/>
    </row>
    <row r="170" spans="1:60" ht="12.75" customHeight="1" outlineLevel="3" x14ac:dyDescent="0.2">
      <c r="A170" s="39">
        <v>4</v>
      </c>
      <c r="B170" s="327">
        <v>252010</v>
      </c>
      <c r="C170" s="23" t="s">
        <v>728</v>
      </c>
      <c r="D170" s="867"/>
      <c r="E170" s="1219"/>
      <c r="F170" s="867"/>
      <c r="G170" s="869"/>
      <c r="H170" s="863"/>
      <c r="I170" s="868"/>
      <c r="J170" s="870"/>
      <c r="K170" s="865"/>
      <c r="L170" s="872"/>
      <c r="M170" s="872"/>
      <c r="N170" s="925" t="str">
        <f>IF(O170&lt;&gt;0,CONCATENATE(input_values!$AF170,input_values!$AG170,input_values!$AH170),"")</f>
        <v/>
      </c>
      <c r="O170" s="491">
        <f>IF($A$10="Refined calculation mode",Table22[[#This Row],[input for chronic (refined mode]],Table22[[#This Row],[input for chronic normal mode]])</f>
        <v>0</v>
      </c>
      <c r="P170" s="925" t="str">
        <f>IF(Q170&lt;&gt;0,CONCATENATE(input_values!$AN170,input_values!$AO170,input_values!$AP170),"")</f>
        <v/>
      </c>
      <c r="Q170" s="491">
        <f>IF($V$5=0,0,IF(OR($A$10="Refined calculation mode",Results!$B$62="Show results of IESTI calculation only for crops with GAPs under assessment"),Table22[[#This Row],[Input for IESTI (refined mode)]],Table22[[#This Row],[Input for IESTI normal mode]]))</f>
        <v>0</v>
      </c>
      <c r="R170" s="926" t="str">
        <f>IF(S170&lt;&gt;0,CONCATENATE(input_values!$AW170,input_values!$AX170,input_values!$AY170),"")</f>
        <v/>
      </c>
      <c r="S170" s="492">
        <f>IF($V$5=0,0,IF(OR($A$10="Refined calculation mode",Results!$B$62="Show results of IESTI calculation only for crops with GAPs under assessment"),Table22[[#This Row],[Input for IESTI new (refined mode)]],Table22[[#This Row],[Input for IESTI new normal mode]]))</f>
        <v>0</v>
      </c>
      <c r="T170" s="886"/>
      <c r="U170" s="1408">
        <f>Table22[[#This Row],[MRL/ proposed MRL /CXL
(mg/kg)]]</f>
        <v>0</v>
      </c>
      <c r="V170" s="1409" t="str">
        <f t="shared" ref="V170:V177" si="100">IF(ISBLANK(F170),"","Y")</f>
        <v/>
      </c>
      <c r="W170" s="1387">
        <f t="shared" ref="W170:W177" si="101">IF($G170&gt;0,$G170,1)</f>
        <v>1</v>
      </c>
      <c r="X170" s="1387">
        <f t="shared" ref="X170:X177" si="102">IF($H170&gt;0,$H170,1)</f>
        <v>1</v>
      </c>
      <c r="Y170" s="1387">
        <f t="shared" ref="Y170:Y176" si="103">W170*X170</f>
        <v>1</v>
      </c>
      <c r="Z170" s="1410">
        <v>4</v>
      </c>
      <c r="AA170" s="1387">
        <f t="shared" si="76"/>
        <v>0</v>
      </c>
      <c r="AB170" s="1387">
        <f>IF(Z170=A170,IF(AND(L170="N",Table22[[#This Row],[LOQ_label]]="Y"),AA170,$AA170*$Y170),"")</f>
        <v>0</v>
      </c>
      <c r="AC170" s="1393">
        <f t="shared" si="77"/>
        <v>0</v>
      </c>
      <c r="AD170" s="1393">
        <f>IF(Table22[[#This Row],[Median residue*CF*PeF]]&lt;&gt;"",Table22[[#This Row],[Median residue*CF*PeF]],Table22[[#This Row],[MRL*CF*PeF (chronic)]])</f>
        <v>0</v>
      </c>
      <c r="AE170" s="1393">
        <f t="shared" si="78"/>
        <v>0</v>
      </c>
      <c r="AF170" s="1390" t="str">
        <f t="shared" si="79"/>
        <v>MRL</v>
      </c>
      <c r="AG170" s="1390" t="str">
        <f t="shared" si="80"/>
        <v/>
      </c>
      <c r="AH170" s="1394" t="str">
        <f t="shared" si="81"/>
        <v/>
      </c>
      <c r="AI170" s="1386">
        <v>4</v>
      </c>
      <c r="AJ170" s="1387">
        <f t="shared" si="82"/>
        <v>0</v>
      </c>
      <c r="AK170" s="1387">
        <f>IF(AI170=A170,IF(AND(L170="N",Table22[[#This Row],[LOQ_label]]="Y"),AJ170,$AJ170*$Y170),"")</f>
        <v>0</v>
      </c>
      <c r="AL170" s="1388">
        <f t="shared" si="83"/>
        <v>0</v>
      </c>
      <c r="AM170" s="1393">
        <f>IF(Table22[[#This Row],[Highest residue * CF*PF]]&lt;&gt;"",Table22[[#This Row],[Highest residue * CF*PF]],Table22[[#This Row],[MRL*CF*PF or MRL (if LOQ and not authorised) (acute RA)]])</f>
        <v>0</v>
      </c>
      <c r="AN170" s="1390" t="str">
        <f t="shared" si="84"/>
        <v>MRL</v>
      </c>
      <c r="AO170" s="1390" t="str">
        <f t="shared" si="85"/>
        <v/>
      </c>
      <c r="AP170" s="1404" t="str">
        <f t="shared" si="86"/>
        <v/>
      </c>
      <c r="AQ170" s="1388">
        <f t="shared" si="87"/>
        <v>0</v>
      </c>
      <c r="AR170" s="1388" t="str">
        <f t="shared" si="88"/>
        <v/>
      </c>
      <c r="AS170" s="1388" t="str">
        <f t="shared" si="89"/>
        <v/>
      </c>
      <c r="AT170" s="1388" t="str">
        <f t="shared" si="90"/>
        <v/>
      </c>
      <c r="AU170" s="1393">
        <f t="shared" si="91"/>
        <v>0</v>
      </c>
      <c r="AV170" s="1388">
        <f t="shared" si="92"/>
        <v>0</v>
      </c>
      <c r="AW170" s="1390" t="str">
        <f t="shared" si="93"/>
        <v/>
      </c>
      <c r="AX170" s="1390" t="str">
        <f>IF(AND(AW170&lt;&gt;"",AY170&lt;&gt;""),"*","")</f>
        <v/>
      </c>
      <c r="AY170" s="1394" t="str">
        <f t="shared" si="94"/>
        <v/>
      </c>
      <c r="AZ170" s="1395" t="str">
        <f>IF(Table22[[#This Row],[LOQ_label]]="Y",Table22[[#This Row],[MRL individual commodity]],"")</f>
        <v/>
      </c>
      <c r="BA170" s="1396" t="s">
        <v>1038</v>
      </c>
      <c r="BB170" s="1411" t="str">
        <f>IF(Table22[[#This Row],[LOQ2]]&lt;0,MIN(AZ170:AZ546),"")</f>
        <v/>
      </c>
      <c r="BC170" s="1299"/>
      <c r="BD170" s="1306" t="str">
        <f>IF(Table22[[#This Row],[Chronic RA label]]="","N",IF(Table22[[#This Row],[Chronic RA label]]="LOQ","N",IF(Table22[[#This Row],[Chronic RA label]]="MRL","N","Y")))</f>
        <v>N</v>
      </c>
      <c r="BE170" s="1306" t="str">
        <f>IF(Table22[[#This Row],[Acute RA label]]="","N",IF(Table22[[#This Row],[Acute RA label]]="LOQ","N",IF(Table22[[#This Row],[Acute RA label]]="MRL","N","Y")))</f>
        <v>N</v>
      </c>
      <c r="BF170" s="1306" t="str">
        <f>IF(OR(Table22[[#This Row],[include commodity in Summary_input_values_chronic]]="Y",Table22[[#This Row],[include commodity in Summary_input_values_acute]]="Y"),"Y","N")</f>
        <v>N</v>
      </c>
      <c r="BG170" s="1299"/>
      <c r="BH170" s="1324"/>
    </row>
    <row r="171" spans="1:60" ht="12.75" customHeight="1" outlineLevel="3" x14ac:dyDescent="0.2">
      <c r="A171" s="39">
        <v>4</v>
      </c>
      <c r="B171" s="327">
        <v>252020</v>
      </c>
      <c r="C171" s="23" t="s">
        <v>729</v>
      </c>
      <c r="D171" s="867"/>
      <c r="E171" s="1219"/>
      <c r="F171" s="867"/>
      <c r="G171" s="869"/>
      <c r="H171" s="863"/>
      <c r="I171" s="868"/>
      <c r="J171" s="870"/>
      <c r="K171" s="865"/>
      <c r="L171" s="872"/>
      <c r="M171" s="872"/>
      <c r="N171" s="925" t="str">
        <f>IF(O171&lt;&gt;0,CONCATENATE(input_values!$AF171,input_values!$AG171,input_values!$AH171),"")</f>
        <v/>
      </c>
      <c r="O171" s="491">
        <f>IF($A$10="Refined calculation mode",Table22[[#This Row],[input for chronic (refined mode]],Table22[[#This Row],[input for chronic normal mode]])</f>
        <v>0</v>
      </c>
      <c r="P171" s="925" t="str">
        <f>IF(Q171&lt;&gt;0,CONCATENATE(input_values!$AN171,input_values!$AO171,input_values!$AP171),"")</f>
        <v/>
      </c>
      <c r="Q171" s="491">
        <f>IF($V$5=0,0,IF(OR($A$10="Refined calculation mode",Results!$B$62="Show results of IESTI calculation only for crops with GAPs under assessment"),Table22[[#This Row],[Input for IESTI (refined mode)]],Table22[[#This Row],[Input for IESTI normal mode]]))</f>
        <v>0</v>
      </c>
      <c r="R171" s="926" t="str">
        <f>IF(S171&lt;&gt;0,CONCATENATE(input_values!$AW171,input_values!$AX171,input_values!$AY171),"")</f>
        <v/>
      </c>
      <c r="S171" s="492">
        <f>IF($V$5=0,0,IF(OR($A$10="Refined calculation mode",Results!$B$62="Show results of IESTI calculation only for crops with GAPs under assessment"),Table22[[#This Row],[Input for IESTI new (refined mode)]],Table22[[#This Row],[Input for IESTI new normal mode]]))</f>
        <v>0</v>
      </c>
      <c r="T171" s="886"/>
      <c r="U171" s="1408">
        <f>Table22[[#This Row],[MRL/ proposed MRL /CXL
(mg/kg)]]</f>
        <v>0</v>
      </c>
      <c r="V171" s="1409" t="str">
        <f t="shared" si="100"/>
        <v/>
      </c>
      <c r="W171" s="1387">
        <f t="shared" si="101"/>
        <v>1</v>
      </c>
      <c r="X171" s="1387">
        <f t="shared" si="102"/>
        <v>1</v>
      </c>
      <c r="Y171" s="1387">
        <f t="shared" si="103"/>
        <v>1</v>
      </c>
      <c r="Z171" s="1410">
        <v>4</v>
      </c>
      <c r="AA171" s="1387">
        <f t="shared" si="76"/>
        <v>0</v>
      </c>
      <c r="AB171" s="1387">
        <f>IF(Z171=A171,IF(AND(L171="N",Table22[[#This Row],[LOQ_label]]="Y"),AA171,$AA171*$Y171),"")</f>
        <v>0</v>
      </c>
      <c r="AC171" s="1393">
        <f t="shared" si="77"/>
        <v>0</v>
      </c>
      <c r="AD171" s="1393">
        <f>IF(Table22[[#This Row],[Median residue*CF*PeF]]&lt;&gt;"",Table22[[#This Row],[Median residue*CF*PeF]],Table22[[#This Row],[MRL*CF*PeF (chronic)]])</f>
        <v>0</v>
      </c>
      <c r="AE171" s="1393">
        <f t="shared" si="78"/>
        <v>0</v>
      </c>
      <c r="AF171" s="1390" t="str">
        <f t="shared" si="79"/>
        <v>MRL</v>
      </c>
      <c r="AG171" s="1390" t="str">
        <f t="shared" si="80"/>
        <v/>
      </c>
      <c r="AH171" s="1394" t="str">
        <f t="shared" si="81"/>
        <v/>
      </c>
      <c r="AI171" s="1386">
        <v>4</v>
      </c>
      <c r="AJ171" s="1387">
        <f t="shared" si="82"/>
        <v>0</v>
      </c>
      <c r="AK171" s="1387">
        <f>IF(AI171=A171,IF(AND(L171="N",Table22[[#This Row],[LOQ_label]]="Y"),AJ171,$AJ171*$Y171),"")</f>
        <v>0</v>
      </c>
      <c r="AL171" s="1388">
        <f t="shared" si="83"/>
        <v>0</v>
      </c>
      <c r="AM171" s="1393">
        <f>IF(Table22[[#This Row],[Highest residue * CF*PF]]&lt;&gt;"",Table22[[#This Row],[Highest residue * CF*PF]],Table22[[#This Row],[MRL*CF*PF or MRL (if LOQ and not authorised) (acute RA)]])</f>
        <v>0</v>
      </c>
      <c r="AN171" s="1390" t="str">
        <f t="shared" si="84"/>
        <v>MRL</v>
      </c>
      <c r="AO171" s="1390" t="str">
        <f t="shared" si="85"/>
        <v/>
      </c>
      <c r="AP171" s="1404" t="str">
        <f t="shared" si="86"/>
        <v/>
      </c>
      <c r="AQ171" s="1388">
        <f t="shared" si="87"/>
        <v>0</v>
      </c>
      <c r="AR171" s="1388" t="str">
        <f t="shared" si="88"/>
        <v/>
      </c>
      <c r="AS171" s="1388" t="str">
        <f t="shared" si="89"/>
        <v/>
      </c>
      <c r="AT171" s="1388" t="str">
        <f t="shared" si="90"/>
        <v/>
      </c>
      <c r="AU171" s="1393">
        <f t="shared" si="91"/>
        <v>0</v>
      </c>
      <c r="AV171" s="1388">
        <f t="shared" si="92"/>
        <v>0</v>
      </c>
      <c r="AW171" s="1390" t="str">
        <f t="shared" si="93"/>
        <v/>
      </c>
      <c r="AX171" s="1390" t="str">
        <f>IF(AND(AW171&lt;&gt;"",AY171&lt;&gt;""),"*","")</f>
        <v/>
      </c>
      <c r="AY171" s="1394" t="str">
        <f t="shared" si="94"/>
        <v/>
      </c>
      <c r="AZ171" s="1395" t="str">
        <f>IF(Table22[[#This Row],[LOQ_label]]="Y",Table22[[#This Row],[MRL individual commodity]],"")</f>
        <v/>
      </c>
      <c r="BA171" s="1396">
        <v>1</v>
      </c>
      <c r="BB171" s="1411" t="str">
        <f>IF(Table22[[#This Row],[LOQ2]]&lt;0,MIN(AZ171:AZ547),"")</f>
        <v/>
      </c>
      <c r="BC171" s="1299"/>
      <c r="BD171" s="1306" t="str">
        <f>IF(Table22[[#This Row],[Chronic RA label]]="","N",IF(Table22[[#This Row],[Chronic RA label]]="LOQ","N",IF(Table22[[#This Row],[Chronic RA label]]="MRL","N","Y")))</f>
        <v>N</v>
      </c>
      <c r="BE171" s="1306" t="str">
        <f>IF(Table22[[#This Row],[Acute RA label]]="","N",IF(Table22[[#This Row],[Acute RA label]]="LOQ","N",IF(Table22[[#This Row],[Acute RA label]]="MRL","N","Y")))</f>
        <v>N</v>
      </c>
      <c r="BF171" s="1306" t="str">
        <f>IF(OR(Table22[[#This Row],[include commodity in Summary_input_values_chronic]]="Y",Table22[[#This Row],[include commodity in Summary_input_values_acute]]="Y"),"Y","N")</f>
        <v>N</v>
      </c>
      <c r="BG171" s="1299"/>
      <c r="BH171" s="1324"/>
    </row>
    <row r="172" spans="1:60" ht="12.75" customHeight="1" outlineLevel="3" x14ac:dyDescent="0.2">
      <c r="A172" s="39">
        <v>4</v>
      </c>
      <c r="B172" s="327">
        <v>252030</v>
      </c>
      <c r="C172" s="23" t="s">
        <v>730</v>
      </c>
      <c r="D172" s="867"/>
      <c r="E172" s="1219"/>
      <c r="F172" s="867"/>
      <c r="G172" s="869"/>
      <c r="H172" s="863"/>
      <c r="I172" s="868"/>
      <c r="J172" s="870"/>
      <c r="K172" s="871"/>
      <c r="L172" s="872"/>
      <c r="M172" s="872"/>
      <c r="N172" s="925" t="str">
        <f>IF(O172&lt;&gt;0,CONCATENATE(input_values!$AF172,input_values!$AG172,input_values!$AH172),"")</f>
        <v/>
      </c>
      <c r="O172" s="491">
        <f>IF($A$10="Refined calculation mode",Table22[[#This Row],[input for chronic (refined mode]],Table22[[#This Row],[input for chronic normal mode]])</f>
        <v>0</v>
      </c>
      <c r="P172" s="925" t="str">
        <f>IF(Q172&lt;&gt;0,CONCATENATE(input_values!$AN172,input_values!$AO172,input_values!$AP172),"")</f>
        <v/>
      </c>
      <c r="Q172" s="491">
        <f>IF($V$5=0,0,IF(OR($A$10="Refined calculation mode",Results!$B$62="Show results of IESTI calculation only for crops with GAPs under assessment"),Table22[[#This Row],[Input for IESTI (refined mode)]],Table22[[#This Row],[Input for IESTI normal mode]]))</f>
        <v>0</v>
      </c>
      <c r="R172" s="926" t="str">
        <f>IF(S172&lt;&gt;0,CONCATENATE(input_values!$AW172,input_values!$AX172,input_values!$AY172),"")</f>
        <v/>
      </c>
      <c r="S172" s="492">
        <f>IF($V$5=0,0,IF(OR($A$10="Refined calculation mode",Results!$B$62="Show results of IESTI calculation only for crops with GAPs under assessment"),Table22[[#This Row],[Input for IESTI new (refined mode)]],Table22[[#This Row],[Input for IESTI new normal mode]]))</f>
        <v>0</v>
      </c>
      <c r="T172" s="886"/>
      <c r="U172" s="1408">
        <f>Table22[[#This Row],[MRL/ proposed MRL /CXL
(mg/kg)]]</f>
        <v>0</v>
      </c>
      <c r="V172" s="1409" t="str">
        <f t="shared" si="100"/>
        <v/>
      </c>
      <c r="W172" s="1387">
        <f t="shared" si="101"/>
        <v>1</v>
      </c>
      <c r="X172" s="1387">
        <f t="shared" si="102"/>
        <v>1</v>
      </c>
      <c r="Y172" s="1387">
        <f t="shared" si="103"/>
        <v>1</v>
      </c>
      <c r="Z172" s="1410">
        <v>4</v>
      </c>
      <c r="AA172" s="1387">
        <f t="shared" si="76"/>
        <v>0</v>
      </c>
      <c r="AB172" s="1387">
        <f>IF(Z172=A172,IF(AND(L172="N",Table22[[#This Row],[LOQ_label]]="Y"),AA172,$AA172*$Y172),"")</f>
        <v>0</v>
      </c>
      <c r="AC172" s="1393">
        <f t="shared" si="77"/>
        <v>0</v>
      </c>
      <c r="AD172" s="1393">
        <f>IF(Table22[[#This Row],[Median residue*CF*PeF]]&lt;&gt;"",Table22[[#This Row],[Median residue*CF*PeF]],Table22[[#This Row],[MRL*CF*PeF (chronic)]])</f>
        <v>0</v>
      </c>
      <c r="AE172" s="1393">
        <f t="shared" si="78"/>
        <v>0</v>
      </c>
      <c r="AF172" s="1390" t="str">
        <f t="shared" si="79"/>
        <v>MRL</v>
      </c>
      <c r="AG172" s="1390" t="str">
        <f t="shared" si="80"/>
        <v/>
      </c>
      <c r="AH172" s="1394" t="str">
        <f t="shared" si="81"/>
        <v/>
      </c>
      <c r="AI172" s="1386">
        <v>4</v>
      </c>
      <c r="AJ172" s="1387">
        <f t="shared" si="82"/>
        <v>0</v>
      </c>
      <c r="AK172" s="1387">
        <f>IF(AI172=A172,IF(AND(L172="N",Table22[[#This Row],[LOQ_label]]="Y"),AJ172,$AJ172*$Y172),"")</f>
        <v>0</v>
      </c>
      <c r="AL172" s="1388">
        <f t="shared" si="83"/>
        <v>0</v>
      </c>
      <c r="AM172" s="1393">
        <f>IF(Table22[[#This Row],[Highest residue * CF*PF]]&lt;&gt;"",Table22[[#This Row],[Highest residue * CF*PF]],Table22[[#This Row],[MRL*CF*PF or MRL (if LOQ and not authorised) (acute RA)]])</f>
        <v>0</v>
      </c>
      <c r="AN172" s="1390" t="str">
        <f t="shared" si="84"/>
        <v>MRL</v>
      </c>
      <c r="AO172" s="1390" t="str">
        <f t="shared" si="85"/>
        <v/>
      </c>
      <c r="AP172" s="1404" t="str">
        <f t="shared" si="86"/>
        <v/>
      </c>
      <c r="AQ172" s="1388">
        <f t="shared" si="87"/>
        <v>0</v>
      </c>
      <c r="AR172" s="1388" t="str">
        <f t="shared" si="88"/>
        <v/>
      </c>
      <c r="AS172" s="1388" t="str">
        <f t="shared" si="89"/>
        <v/>
      </c>
      <c r="AT172" s="1388" t="str">
        <f t="shared" si="90"/>
        <v/>
      </c>
      <c r="AU172" s="1393">
        <f t="shared" si="91"/>
        <v>0</v>
      </c>
      <c r="AV172" s="1388">
        <f t="shared" si="92"/>
        <v>0</v>
      </c>
      <c r="AW172" s="1390" t="str">
        <f t="shared" si="93"/>
        <v/>
      </c>
      <c r="AX172" s="1390" t="str">
        <f>IF(AND(AW172&lt;&gt;"",AY172&lt;&gt;""),"*","")</f>
        <v/>
      </c>
      <c r="AY172" s="1394" t="str">
        <f t="shared" si="94"/>
        <v/>
      </c>
      <c r="AZ172" s="1395" t="str">
        <f>IF(Table22[[#This Row],[LOQ_label]]="Y",Table22[[#This Row],[MRL individual commodity]],"")</f>
        <v/>
      </c>
      <c r="BA172" s="1449" t="s">
        <v>654</v>
      </c>
      <c r="BB172" s="1411" t="str">
        <f>IF(Table22[[#This Row],[LOQ2]]&lt;0,MIN(AZ172:AZ548),"")</f>
        <v/>
      </c>
      <c r="BC172" s="1299"/>
      <c r="BD172" s="1306" t="str">
        <f>IF(Table22[[#This Row],[Chronic RA label]]="","N",IF(Table22[[#This Row],[Chronic RA label]]="LOQ","N",IF(Table22[[#This Row],[Chronic RA label]]="MRL","N","Y")))</f>
        <v>N</v>
      </c>
      <c r="BE172" s="1306" t="str">
        <f>IF(Table22[[#This Row],[Acute RA label]]="","N",IF(Table22[[#This Row],[Acute RA label]]="LOQ","N",IF(Table22[[#This Row],[Acute RA label]]="MRL","N","Y")))</f>
        <v>N</v>
      </c>
      <c r="BF172" s="1306" t="str">
        <f>IF(OR(Table22[[#This Row],[include commodity in Summary_input_values_chronic]]="Y",Table22[[#This Row],[include commodity in Summary_input_values_acute]]="Y"),"Y","N")</f>
        <v>N</v>
      </c>
      <c r="BG172" s="1299"/>
      <c r="BH172" s="1324"/>
    </row>
    <row r="173" spans="1:60" ht="12.75" customHeight="1" outlineLevel="3" x14ac:dyDescent="0.2">
      <c r="A173" s="39">
        <v>4</v>
      </c>
      <c r="B173" s="327">
        <v>252990</v>
      </c>
      <c r="C173" s="23" t="s">
        <v>174</v>
      </c>
      <c r="D173" s="867"/>
      <c r="E173" s="1219"/>
      <c r="F173" s="867"/>
      <c r="G173" s="869"/>
      <c r="H173" s="863"/>
      <c r="I173" s="868"/>
      <c r="J173" s="870"/>
      <c r="K173" s="865"/>
      <c r="L173" s="872"/>
      <c r="M173" s="872"/>
      <c r="N173" s="925" t="str">
        <f>IF(O173&lt;&gt;0,CONCATENATE(input_values!$AF173,input_values!$AG173,input_values!$AH173),"")</f>
        <v/>
      </c>
      <c r="O173" s="491">
        <f>IF($A$10="Refined calculation mode",Table22[[#This Row],[input for chronic (refined mode]],Table22[[#This Row],[input for chronic normal mode]])</f>
        <v>0</v>
      </c>
      <c r="P173" s="473"/>
      <c r="Q173" s="474"/>
      <c r="R173" s="473"/>
      <c r="S173" s="474"/>
      <c r="T173" s="886"/>
      <c r="U173" s="1408">
        <f>Table22[[#This Row],[MRL/ proposed MRL /CXL
(mg/kg)]]</f>
        <v>0</v>
      </c>
      <c r="V173" s="1409" t="str">
        <f t="shared" si="100"/>
        <v/>
      </c>
      <c r="W173" s="1387">
        <f t="shared" si="101"/>
        <v>1</v>
      </c>
      <c r="X173" s="1387">
        <f t="shared" si="102"/>
        <v>1</v>
      </c>
      <c r="Y173" s="1387">
        <f t="shared" si="103"/>
        <v>1</v>
      </c>
      <c r="Z173" s="1410">
        <v>4</v>
      </c>
      <c r="AA173" s="1387">
        <f t="shared" si="76"/>
        <v>0</v>
      </c>
      <c r="AB173" s="1387">
        <f>IF(Z173=A173,IF(AND(L173="N",Table22[[#This Row],[LOQ_label]]="Y"),AA173,$AA173*$Y173),"")</f>
        <v>0</v>
      </c>
      <c r="AC173" s="1393">
        <f t="shared" si="77"/>
        <v>0</v>
      </c>
      <c r="AD173" s="1393">
        <f>IF(Table22[[#This Row],[Median residue*CF*PeF]]&lt;&gt;"",Table22[[#This Row],[Median residue*CF*PeF]],Table22[[#This Row],[MRL*CF*PeF (chronic)]])</f>
        <v>0</v>
      </c>
      <c r="AE173" s="1393">
        <f t="shared" si="78"/>
        <v>0</v>
      </c>
      <c r="AF173" s="1390" t="str">
        <f t="shared" si="79"/>
        <v>MRL</v>
      </c>
      <c r="AG173" s="1390" t="str">
        <f t="shared" si="80"/>
        <v/>
      </c>
      <c r="AH173" s="1394" t="str">
        <f t="shared" si="81"/>
        <v/>
      </c>
      <c r="AI173" s="1418"/>
      <c r="AJ173" s="1387" t="str">
        <f t="shared" si="82"/>
        <v/>
      </c>
      <c r="AK173" s="1387" t="str">
        <f>IF(AI173=A173,IF(AND(L173="N",Table22[[#This Row],[LOQ_label]]="Y"),AJ173,$AJ173*$Y173),"")</f>
        <v/>
      </c>
      <c r="AL173" s="1388" t="str">
        <f t="shared" si="83"/>
        <v/>
      </c>
      <c r="AM173" s="1393" t="str">
        <f>IF(Table22[[#This Row],[Highest residue * CF*PF]]&lt;&gt;"",Table22[[#This Row],[Highest residue * CF*PF]],Table22[[#This Row],[MRL*CF*PF or MRL (if LOQ and not authorised) (acute RA)]])</f>
        <v/>
      </c>
      <c r="AN173" s="1390" t="str">
        <f t="shared" si="84"/>
        <v/>
      </c>
      <c r="AO173" s="1390" t="str">
        <f t="shared" si="85"/>
        <v/>
      </c>
      <c r="AP173" s="1404" t="str">
        <f t="shared" si="86"/>
        <v/>
      </c>
      <c r="AQ173" s="1388">
        <f t="shared" si="87"/>
        <v>0</v>
      </c>
      <c r="AR173" s="1388" t="str">
        <f t="shared" si="88"/>
        <v/>
      </c>
      <c r="AS173" s="1388" t="str">
        <f t="shared" si="89"/>
        <v/>
      </c>
      <c r="AT173" s="1388" t="str">
        <f t="shared" si="90"/>
        <v/>
      </c>
      <c r="AU173" s="1393" t="str">
        <f t="shared" si="91"/>
        <v/>
      </c>
      <c r="AV173" s="1388">
        <f t="shared" si="92"/>
        <v>0</v>
      </c>
      <c r="AW173" s="1390" t="str">
        <f t="shared" si="93"/>
        <v/>
      </c>
      <c r="AX173" s="1390" t="str">
        <f>IF(AND(AN173&lt;&gt;"",AY173&lt;&gt;""),"*","")</f>
        <v/>
      </c>
      <c r="AY173" s="1394" t="str">
        <f t="shared" si="94"/>
        <v/>
      </c>
      <c r="AZ173" s="1395" t="str">
        <f>IF(Table22[[#This Row],[LOQ_label]]="Y",Table22[[#This Row],[MRL individual commodity]],"")</f>
        <v/>
      </c>
      <c r="BA173" s="1396" t="s">
        <v>1159</v>
      </c>
      <c r="BB173" s="1411" t="str">
        <f>IF(Table22[[#This Row],[LOQ2]]&lt;0,MIN(AZ173:AZ549),"")</f>
        <v/>
      </c>
      <c r="BC173" s="1299"/>
      <c r="BD173" s="1306" t="str">
        <f>IF(Table22[[#This Row],[Chronic RA label]]="","N",IF(Table22[[#This Row],[Chronic RA label]]="LOQ","N",IF(Table22[[#This Row],[Chronic RA label]]="MRL","N","Y")))</f>
        <v>N</v>
      </c>
      <c r="BE173" s="1306" t="str">
        <f>IF(Table22[[#This Row],[Acute RA label]]="","N",IF(Table22[[#This Row],[Acute RA label]]="LOQ","N",IF(Table22[[#This Row],[Acute RA label]]="MRL","N","Y")))</f>
        <v>N</v>
      </c>
      <c r="BF173" s="1306" t="str">
        <f>IF(OR(Table22[[#This Row],[include commodity in Summary_input_values_chronic]]="Y",Table22[[#This Row],[include commodity in Summary_input_values_acute]]="Y"),"Y","N")</f>
        <v>N</v>
      </c>
      <c r="BG173" s="1299"/>
      <c r="BH173" s="1324"/>
    </row>
    <row r="174" spans="1:60" ht="12.75" customHeight="1" outlineLevel="2" x14ac:dyDescent="0.2">
      <c r="A174" s="132">
        <v>3</v>
      </c>
      <c r="B174" s="448">
        <v>253000</v>
      </c>
      <c r="C174" s="3" t="s">
        <v>731</v>
      </c>
      <c r="D174" s="867"/>
      <c r="E174" s="1219"/>
      <c r="F174" s="867"/>
      <c r="G174" s="869"/>
      <c r="H174" s="863"/>
      <c r="I174" s="868"/>
      <c r="J174" s="870"/>
      <c r="K174" s="865"/>
      <c r="L174" s="872"/>
      <c r="M174" s="872"/>
      <c r="N174" s="925" t="str">
        <f>IF(O174&lt;&gt;0,CONCATENATE(input_values!$AF174,input_values!$AG174,input_values!$AH174),"")</f>
        <v/>
      </c>
      <c r="O174" s="491">
        <f>IF($A$10="Refined calculation mode",Table22[[#This Row],[input for chronic (refined mode]],Table22[[#This Row],[input for chronic normal mode]])</f>
        <v>0</v>
      </c>
      <c r="P174" s="925" t="str">
        <f>IF(Q174&lt;&gt;0,CONCATENATE(input_values!$AN174,input_values!$AO174,input_values!$AP174),"")</f>
        <v/>
      </c>
      <c r="Q174" s="491">
        <f>IF($V$5=0,0,IF(OR($A$10="Refined calculation mode",Results!$B$62="Show results of IESTI calculation only for crops with GAPs under assessment"),Table22[[#This Row],[Input for IESTI (refined mode)]],Table22[[#This Row],[Input for IESTI normal mode]]))</f>
        <v>0</v>
      </c>
      <c r="R174" s="926" t="str">
        <f>IF(S174&lt;&gt;0,CONCATENATE(input_values!$AW174,input_values!$AX174,input_values!$AY174),"")</f>
        <v/>
      </c>
      <c r="S174" s="492">
        <f>IF($V$5=0,0,IF(OR($A$10="Refined calculation mode",Results!$B$62="Show results of IESTI calculation only for crops with GAPs under assessment"),Table22[[#This Row],[Input for IESTI new (refined mode)]],Table22[[#This Row],[Input for IESTI new normal mode]]))</f>
        <v>0</v>
      </c>
      <c r="T174" s="886"/>
      <c r="U174" s="1408">
        <f>Table22[[#This Row],[MRL/ proposed MRL /CXL
(mg/kg)]]</f>
        <v>0</v>
      </c>
      <c r="V174" s="1409" t="str">
        <f t="shared" si="100"/>
        <v/>
      </c>
      <c r="W174" s="1387">
        <f t="shared" si="101"/>
        <v>1</v>
      </c>
      <c r="X174" s="1387">
        <f t="shared" si="102"/>
        <v>1</v>
      </c>
      <c r="Y174" s="1387">
        <f t="shared" si="103"/>
        <v>1</v>
      </c>
      <c r="Z174" s="1410">
        <v>3</v>
      </c>
      <c r="AA174" s="1387">
        <f t="shared" si="76"/>
        <v>0</v>
      </c>
      <c r="AB174" s="1387">
        <f>IF(Z174=A174,IF(AND(L174="N",Table22[[#This Row],[LOQ_label]]="Y"),AA174,$AA174*$Y174),"")</f>
        <v>0</v>
      </c>
      <c r="AC174" s="1393">
        <f t="shared" si="77"/>
        <v>0</v>
      </c>
      <c r="AD174" s="1393">
        <f>IF(Table22[[#This Row],[Median residue*CF*PeF]]&lt;&gt;"",Table22[[#This Row],[Median residue*CF*PeF]],Table22[[#This Row],[MRL*CF*PeF (chronic)]])</f>
        <v>0</v>
      </c>
      <c r="AE174" s="1393">
        <f t="shared" si="78"/>
        <v>0</v>
      </c>
      <c r="AF174" s="1390" t="str">
        <f t="shared" si="79"/>
        <v>MRL</v>
      </c>
      <c r="AG174" s="1390" t="str">
        <f t="shared" si="80"/>
        <v/>
      </c>
      <c r="AH174" s="1394" t="str">
        <f t="shared" si="81"/>
        <v/>
      </c>
      <c r="AI174" s="1418">
        <v>3</v>
      </c>
      <c r="AJ174" s="1387">
        <f t="shared" si="82"/>
        <v>0</v>
      </c>
      <c r="AK174" s="1387">
        <f>IF(AI174=A174,IF(AND(L174="N",Table22[[#This Row],[LOQ_label]]="Y"),AJ174,$AJ174*$Y174),"")</f>
        <v>0</v>
      </c>
      <c r="AL174" s="1388">
        <f t="shared" si="83"/>
        <v>0</v>
      </c>
      <c r="AM174" s="1393">
        <f>IF(Table22[[#This Row],[Highest residue * CF*PF]]&lt;&gt;"",Table22[[#This Row],[Highest residue * CF*PF]],Table22[[#This Row],[MRL*CF*PF or MRL (if LOQ and not authorised) (acute RA)]])</f>
        <v>0</v>
      </c>
      <c r="AN174" s="1390" t="str">
        <f t="shared" si="84"/>
        <v>MRL</v>
      </c>
      <c r="AO174" s="1390" t="str">
        <f t="shared" si="85"/>
        <v/>
      </c>
      <c r="AP174" s="1404" t="str">
        <f t="shared" si="86"/>
        <v/>
      </c>
      <c r="AQ174" s="1388">
        <f t="shared" si="87"/>
        <v>0</v>
      </c>
      <c r="AR174" s="1388" t="str">
        <f t="shared" si="88"/>
        <v/>
      </c>
      <c r="AS174" s="1388" t="str">
        <f t="shared" si="89"/>
        <v/>
      </c>
      <c r="AT174" s="1388" t="str">
        <f t="shared" si="90"/>
        <v/>
      </c>
      <c r="AU174" s="1393">
        <f t="shared" si="91"/>
        <v>0</v>
      </c>
      <c r="AV174" s="1388">
        <f t="shared" si="92"/>
        <v>0</v>
      </c>
      <c r="AW174" s="1390" t="str">
        <f t="shared" si="93"/>
        <v/>
      </c>
      <c r="AX174" s="1390" t="str">
        <f>IF(AND(AW174&lt;&gt;"",AY174&lt;&gt;""),"*","")</f>
        <v/>
      </c>
      <c r="AY174" s="1394" t="str">
        <f t="shared" si="94"/>
        <v/>
      </c>
      <c r="AZ174" s="1395" t="str">
        <f>IF(Table22[[#This Row],[LOQ_label]]="Y",Table22[[#This Row],[MRL individual commodity]],"")</f>
        <v/>
      </c>
      <c r="BA174" s="1396" t="s">
        <v>1038</v>
      </c>
      <c r="BB174" s="1411" t="str">
        <f>IF(Table22[[#This Row],[LOQ2]]&lt;0,MIN(AZ174:AZ550),"")</f>
        <v/>
      </c>
      <c r="BC174" s="1299"/>
      <c r="BD174" s="1306" t="str">
        <f>IF(Table22[[#This Row],[Chronic RA label]]="","N",IF(Table22[[#This Row],[Chronic RA label]]="LOQ","N",IF(Table22[[#This Row],[Chronic RA label]]="MRL","N","Y")))</f>
        <v>N</v>
      </c>
      <c r="BE174" s="1306" t="str">
        <f>IF(Table22[[#This Row],[Acute RA label]]="","N",IF(Table22[[#This Row],[Acute RA label]]="LOQ","N",IF(Table22[[#This Row],[Acute RA label]]="MRL","N","Y")))</f>
        <v>N</v>
      </c>
      <c r="BF174" s="1306" t="str">
        <f>IF(OR(Table22[[#This Row],[include commodity in Summary_input_values_chronic]]="Y",Table22[[#This Row],[include commodity in Summary_input_values_acute]]="Y"),"Y","N")</f>
        <v>N</v>
      </c>
      <c r="BG174" s="1299"/>
      <c r="BH174" s="1324"/>
    </row>
    <row r="175" spans="1:60" ht="12.75" customHeight="1" outlineLevel="2" x14ac:dyDescent="0.2">
      <c r="A175" s="132">
        <v>3</v>
      </c>
      <c r="B175" s="448">
        <v>254000</v>
      </c>
      <c r="C175" s="3" t="s">
        <v>732</v>
      </c>
      <c r="D175" s="867"/>
      <c r="E175" s="1219"/>
      <c r="F175" s="867"/>
      <c r="G175" s="869"/>
      <c r="H175" s="863"/>
      <c r="I175" s="868"/>
      <c r="J175" s="870"/>
      <c r="K175" s="865"/>
      <c r="L175" s="872"/>
      <c r="M175" s="872"/>
      <c r="N175" s="925" t="str">
        <f>IF(O175&lt;&gt;0,CONCATENATE(input_values!$AF175,input_values!$AG175,input_values!$AH175),"")</f>
        <v/>
      </c>
      <c r="O175" s="491">
        <f>IF($A$10="Refined calculation mode",Table22[[#This Row],[input for chronic (refined mode]],Table22[[#This Row],[input for chronic normal mode]])</f>
        <v>0</v>
      </c>
      <c r="P175" s="925" t="str">
        <f>IF(Q175&lt;&gt;0,CONCATENATE(input_values!$AN175,input_values!$AO175,input_values!$AP175),"")</f>
        <v/>
      </c>
      <c r="Q175" s="491">
        <f>IF($V$5=0,0,IF(OR($A$10="Refined calculation mode",Results!$B$62="Show results of IESTI calculation only for crops with GAPs under assessment"),Table22[[#This Row],[Input for IESTI (refined mode)]],Table22[[#This Row],[Input for IESTI normal mode]]))</f>
        <v>0</v>
      </c>
      <c r="R175" s="926" t="str">
        <f>IF(S175&lt;&gt;0,CONCATENATE(input_values!$AW175,input_values!$AX175,input_values!$AY175),"")</f>
        <v/>
      </c>
      <c r="S175" s="492">
        <f>IF($V$5=0,0,IF(OR($A$10="Refined calculation mode",Results!$B$62="Show results of IESTI calculation only for crops with GAPs under assessment"),Table22[[#This Row],[Input for IESTI new (refined mode)]],Table22[[#This Row],[Input for IESTI new normal mode]]))</f>
        <v>0</v>
      </c>
      <c r="T175" s="886"/>
      <c r="U175" s="1408">
        <f>Table22[[#This Row],[MRL/ proposed MRL /CXL
(mg/kg)]]</f>
        <v>0</v>
      </c>
      <c r="V175" s="1409" t="str">
        <f t="shared" si="100"/>
        <v/>
      </c>
      <c r="W175" s="1387">
        <f t="shared" si="101"/>
        <v>1</v>
      </c>
      <c r="X175" s="1387">
        <f t="shared" si="102"/>
        <v>1</v>
      </c>
      <c r="Y175" s="1387">
        <f t="shared" si="103"/>
        <v>1</v>
      </c>
      <c r="Z175" s="1410">
        <v>3</v>
      </c>
      <c r="AA175" s="1387">
        <f t="shared" si="76"/>
        <v>0</v>
      </c>
      <c r="AB175" s="1387">
        <f>IF(Z175=A175,IF(AND(L175="N",Table22[[#This Row],[LOQ_label]]="Y"),AA175,$AA175*$Y175),"")</f>
        <v>0</v>
      </c>
      <c r="AC175" s="1393">
        <f t="shared" si="77"/>
        <v>0</v>
      </c>
      <c r="AD175" s="1393">
        <f>IF(Table22[[#This Row],[Median residue*CF*PeF]]&lt;&gt;"",Table22[[#This Row],[Median residue*CF*PeF]],Table22[[#This Row],[MRL*CF*PeF (chronic)]])</f>
        <v>0</v>
      </c>
      <c r="AE175" s="1393">
        <f t="shared" si="78"/>
        <v>0</v>
      </c>
      <c r="AF175" s="1390" t="str">
        <f t="shared" si="79"/>
        <v>MRL</v>
      </c>
      <c r="AG175" s="1390" t="str">
        <f t="shared" si="80"/>
        <v/>
      </c>
      <c r="AH175" s="1394" t="str">
        <f t="shared" si="81"/>
        <v/>
      </c>
      <c r="AI175" s="1418">
        <v>3</v>
      </c>
      <c r="AJ175" s="1387">
        <f t="shared" si="82"/>
        <v>0</v>
      </c>
      <c r="AK175" s="1387">
        <f>IF(AI175=A175,IF(AND(L175="N",Table22[[#This Row],[LOQ_label]]="Y"),AJ175,$AJ175*$Y175),"")</f>
        <v>0</v>
      </c>
      <c r="AL175" s="1388">
        <f t="shared" si="83"/>
        <v>0</v>
      </c>
      <c r="AM175" s="1393">
        <f>IF(Table22[[#This Row],[Highest residue * CF*PF]]&lt;&gt;"",Table22[[#This Row],[Highest residue * CF*PF]],Table22[[#This Row],[MRL*CF*PF or MRL (if LOQ and not authorised) (acute RA)]])</f>
        <v>0</v>
      </c>
      <c r="AN175" s="1390" t="str">
        <f t="shared" si="84"/>
        <v>MRL</v>
      </c>
      <c r="AO175" s="1390" t="str">
        <f t="shared" si="85"/>
        <v/>
      </c>
      <c r="AP175" s="1404" t="str">
        <f t="shared" si="86"/>
        <v/>
      </c>
      <c r="AQ175" s="1388">
        <f t="shared" si="87"/>
        <v>0</v>
      </c>
      <c r="AR175" s="1388" t="str">
        <f t="shared" si="88"/>
        <v/>
      </c>
      <c r="AS175" s="1388" t="str">
        <f t="shared" si="89"/>
        <v/>
      </c>
      <c r="AT175" s="1388" t="str">
        <f t="shared" si="90"/>
        <v/>
      </c>
      <c r="AU175" s="1393">
        <f t="shared" si="91"/>
        <v>0</v>
      </c>
      <c r="AV175" s="1388">
        <f t="shared" si="92"/>
        <v>0</v>
      </c>
      <c r="AW175" s="1390" t="str">
        <f t="shared" si="93"/>
        <v/>
      </c>
      <c r="AX175" s="1390" t="str">
        <f>IF(AND(AW175&lt;&gt;"",AY175&lt;&gt;""),"*","")</f>
        <v/>
      </c>
      <c r="AY175" s="1394" t="str">
        <f t="shared" si="94"/>
        <v/>
      </c>
      <c r="AZ175" s="1395" t="str">
        <f>IF(Table22[[#This Row],[LOQ_label]]="Y",Table22[[#This Row],[MRL individual commodity]],"")</f>
        <v/>
      </c>
      <c r="BA175" s="1396" t="s">
        <v>1038</v>
      </c>
      <c r="BB175" s="1411" t="str">
        <f>IF(Table22[[#This Row],[LOQ2]]&lt;0,MIN(AZ175:AZ551),"")</f>
        <v/>
      </c>
      <c r="BC175" s="1299"/>
      <c r="BD175" s="1306" t="str">
        <f>IF(Table22[[#This Row],[Chronic RA label]]="","N",IF(Table22[[#This Row],[Chronic RA label]]="LOQ","N",IF(Table22[[#This Row],[Chronic RA label]]="MRL","N","Y")))</f>
        <v>N</v>
      </c>
      <c r="BE175" s="1306" t="str">
        <f>IF(Table22[[#This Row],[Acute RA label]]="","N",IF(Table22[[#This Row],[Acute RA label]]="LOQ","N",IF(Table22[[#This Row],[Acute RA label]]="MRL","N","Y")))</f>
        <v>N</v>
      </c>
      <c r="BF175" s="1306" t="str">
        <f>IF(OR(Table22[[#This Row],[include commodity in Summary_input_values_chronic]]="Y",Table22[[#This Row],[include commodity in Summary_input_values_acute]]="Y"),"Y","N")</f>
        <v>N</v>
      </c>
      <c r="BG175" s="1299"/>
      <c r="BH175" s="1324"/>
    </row>
    <row r="176" spans="1:60" ht="12.75" customHeight="1" outlineLevel="2" x14ac:dyDescent="0.2">
      <c r="A176" s="132">
        <v>3</v>
      </c>
      <c r="B176" s="448">
        <v>255000</v>
      </c>
      <c r="C176" s="3" t="s">
        <v>733</v>
      </c>
      <c r="D176" s="867"/>
      <c r="E176" s="1219"/>
      <c r="F176" s="867"/>
      <c r="G176" s="868"/>
      <c r="H176" s="863"/>
      <c r="I176" s="868"/>
      <c r="J176" s="870"/>
      <c r="K176" s="871"/>
      <c r="L176" s="872"/>
      <c r="M176" s="872"/>
      <c r="N176" s="925" t="str">
        <f>IF(O176&lt;&gt;0,CONCATENATE(input_values!$AF176,input_values!$AG176,input_values!$AH176),"")</f>
        <v/>
      </c>
      <c r="O176" s="491">
        <f>IF($A$10="Refined calculation mode",Table22[[#This Row],[input for chronic (refined mode]],Table22[[#This Row],[input for chronic normal mode]])</f>
        <v>0</v>
      </c>
      <c r="P176" s="925" t="str">
        <f>IF(Q176&lt;&gt;0,CONCATENATE(input_values!$AN176,input_values!$AO176,input_values!$AP176),"")</f>
        <v/>
      </c>
      <c r="Q176" s="491">
        <f>IF($V$5=0,0,IF(OR($A$10="Refined calculation mode",Results!$B$62="Show results of IESTI calculation only for crops with GAPs under assessment"),Table22[[#This Row],[Input for IESTI (refined mode)]],Table22[[#This Row],[Input for IESTI normal mode]]))</f>
        <v>0</v>
      </c>
      <c r="R176" s="926" t="str">
        <f>IF(S176&lt;&gt;0,CONCATENATE(input_values!$AW176,input_values!$AX176,input_values!$AY176),"")</f>
        <v/>
      </c>
      <c r="S176" s="492">
        <f>IF($V$5=0,0,IF(OR($A$10="Refined calculation mode",Results!$B$62="Show results of IESTI calculation only for crops with GAPs under assessment"),Table22[[#This Row],[Input for IESTI new (refined mode)]],Table22[[#This Row],[Input for IESTI new normal mode]]))</f>
        <v>0</v>
      </c>
      <c r="T176" s="886"/>
      <c r="U176" s="1408">
        <f>Table22[[#This Row],[MRL/ proposed MRL /CXL
(mg/kg)]]</f>
        <v>0</v>
      </c>
      <c r="V176" s="1409" t="str">
        <f t="shared" si="100"/>
        <v/>
      </c>
      <c r="W176" s="1387">
        <f t="shared" si="101"/>
        <v>1</v>
      </c>
      <c r="X176" s="1387">
        <f t="shared" si="102"/>
        <v>1</v>
      </c>
      <c r="Y176" s="1387">
        <f t="shared" si="103"/>
        <v>1</v>
      </c>
      <c r="Z176" s="1410">
        <v>3</v>
      </c>
      <c r="AA176" s="1387">
        <f t="shared" si="76"/>
        <v>0</v>
      </c>
      <c r="AB176" s="1387">
        <f>IF(Z176=A176,IF(AND(L176="N",Table22[[#This Row],[LOQ_label]]="Y"),AA176,$AA176*$Y176),"")</f>
        <v>0</v>
      </c>
      <c r="AC176" s="1393">
        <f t="shared" si="77"/>
        <v>0</v>
      </c>
      <c r="AD176" s="1393">
        <f>IF(Table22[[#This Row],[Median residue*CF*PeF]]&lt;&gt;"",Table22[[#This Row],[Median residue*CF*PeF]],Table22[[#This Row],[MRL*CF*PeF (chronic)]])</f>
        <v>0</v>
      </c>
      <c r="AE176" s="1393">
        <f t="shared" si="78"/>
        <v>0</v>
      </c>
      <c r="AF176" s="1390" t="str">
        <f t="shared" si="79"/>
        <v>MRL</v>
      </c>
      <c r="AG176" s="1390" t="str">
        <f t="shared" si="80"/>
        <v/>
      </c>
      <c r="AH176" s="1394" t="str">
        <f t="shared" si="81"/>
        <v/>
      </c>
      <c r="AI176" s="1418">
        <v>3</v>
      </c>
      <c r="AJ176" s="1387">
        <f t="shared" si="82"/>
        <v>0</v>
      </c>
      <c r="AK176" s="1387">
        <f>IF(AI176=A176,IF(AND(L176="N",Table22[[#This Row],[LOQ_label]]="Y"),AJ176,$AJ176*$Y176),"")</f>
        <v>0</v>
      </c>
      <c r="AL176" s="1388">
        <f t="shared" si="83"/>
        <v>0</v>
      </c>
      <c r="AM176" s="1393">
        <f>IF(Table22[[#This Row],[Highest residue * CF*PF]]&lt;&gt;"",Table22[[#This Row],[Highest residue * CF*PF]],Table22[[#This Row],[MRL*CF*PF or MRL (if LOQ and not authorised) (acute RA)]])</f>
        <v>0</v>
      </c>
      <c r="AN176" s="1390" t="str">
        <f t="shared" si="84"/>
        <v>MRL</v>
      </c>
      <c r="AO176" s="1390" t="str">
        <f t="shared" si="85"/>
        <v/>
      </c>
      <c r="AP176" s="1404" t="str">
        <f t="shared" si="86"/>
        <v/>
      </c>
      <c r="AQ176" s="1388">
        <f t="shared" si="87"/>
        <v>0</v>
      </c>
      <c r="AR176" s="1388" t="str">
        <f t="shared" si="88"/>
        <v/>
      </c>
      <c r="AS176" s="1388" t="str">
        <f t="shared" si="89"/>
        <v/>
      </c>
      <c r="AT176" s="1388" t="str">
        <f t="shared" si="90"/>
        <v/>
      </c>
      <c r="AU176" s="1393">
        <f t="shared" si="91"/>
        <v>0</v>
      </c>
      <c r="AV176" s="1388">
        <f t="shared" si="92"/>
        <v>0</v>
      </c>
      <c r="AW176" s="1390" t="str">
        <f t="shared" si="93"/>
        <v/>
      </c>
      <c r="AX176" s="1390" t="str">
        <f>IF(AND(AW176&lt;&gt;"",AY176&lt;&gt;""),"*","")</f>
        <v/>
      </c>
      <c r="AY176" s="1394" t="str">
        <f t="shared" si="94"/>
        <v/>
      </c>
      <c r="AZ176" s="1395" t="str">
        <f>IF(Table22[[#This Row],[LOQ_label]]="Y",Table22[[#This Row],[MRL individual commodity]],"")</f>
        <v/>
      </c>
      <c r="BA176" s="1449" t="s">
        <v>654</v>
      </c>
      <c r="BB176" s="1411" t="str">
        <f>IF(Table22[[#This Row],[LOQ2]]&lt;0,MIN(AZ176:AZ552),"")</f>
        <v/>
      </c>
      <c r="BC176" s="1299"/>
      <c r="BD176" s="1306" t="str">
        <f>IF(Table22[[#This Row],[Chronic RA label]]="","N",IF(Table22[[#This Row],[Chronic RA label]]="LOQ","N",IF(Table22[[#This Row],[Chronic RA label]]="MRL","N","Y")))</f>
        <v>N</v>
      </c>
      <c r="BE176" s="1306" t="str">
        <f>IF(Table22[[#This Row],[Acute RA label]]="","N",IF(Table22[[#This Row],[Acute RA label]]="LOQ","N",IF(Table22[[#This Row],[Acute RA label]]="MRL","N","Y")))</f>
        <v>N</v>
      </c>
      <c r="BF176" s="1306" t="str">
        <f>IF(OR(Table22[[#This Row],[include commodity in Summary_input_values_chronic]]="Y",Table22[[#This Row],[include commodity in Summary_input_values_acute]]="Y"),"Y","N")</f>
        <v>N</v>
      </c>
      <c r="BG176" s="1299"/>
      <c r="BH176" s="1324"/>
    </row>
    <row r="177" spans="1:60" ht="12.75" customHeight="1" outlineLevel="2" x14ac:dyDescent="0.2">
      <c r="A177" s="132">
        <v>3</v>
      </c>
      <c r="B177" s="448">
        <v>256000</v>
      </c>
      <c r="C177" s="3" t="s">
        <v>734</v>
      </c>
      <c r="D177" s="862"/>
      <c r="E177" s="1218"/>
      <c r="F177" s="862"/>
      <c r="G177" s="866"/>
      <c r="H177" s="863"/>
      <c r="I177" s="863"/>
      <c r="J177" s="864"/>
      <c r="K177" s="865"/>
      <c r="L177" s="471"/>
      <c r="M177" s="471"/>
      <c r="N177" s="473"/>
      <c r="O177" s="474"/>
      <c r="P177" s="473"/>
      <c r="Q177" s="474"/>
      <c r="R177" s="473"/>
      <c r="S177" s="474"/>
      <c r="T177" s="886"/>
      <c r="U177" s="1415"/>
      <c r="V177" s="1380"/>
      <c r="W177" s="1381"/>
      <c r="X177" s="1381"/>
      <c r="Y177" s="1381"/>
      <c r="Z177" s="1382">
        <v>4</v>
      </c>
      <c r="AA177" s="1381" t="str">
        <f t="shared" ref="AA177" si="104">IF(Z177=A177,U177,"")</f>
        <v/>
      </c>
      <c r="AB177" s="1381" t="str">
        <f>IF(Z177=A177,IF(AND(L177="N",Table22[[#This Row],[LOQ_label]]="Y"),AA177,$AA177*$Y177),"")</f>
        <v/>
      </c>
      <c r="AC177" s="1383" t="str">
        <f t="shared" ref="AC177" si="105">IF(Z177=A177,$I177*$Y177,"")</f>
        <v/>
      </c>
      <c r="AD177" s="1383" t="str">
        <f>IF(Table22[[#This Row],[Median residue*CF*PeF]]&lt;&gt;"",Table22[[#This Row],[Median residue*CF*PeF]],Table22[[#This Row],[MRL*CF*PeF (chronic)]])</f>
        <v/>
      </c>
      <c r="AE177" s="1383">
        <f t="shared" ref="AE177" si="106">IF(OR(L177="N",ISBLANK(L177)),0,IF(Z177=A177,IF(ISBLANK(I177)=TRUE,AB177,AC177),""))</f>
        <v>0</v>
      </c>
      <c r="AF177" s="1385" t="str">
        <f t="shared" ref="AF177" si="107">IF(Z177&lt;&gt;A177,"",IF(ISBLANK(I177)=FALSE,"STMR-RAC",IF(V177="Y","LOQ","MRL")))</f>
        <v/>
      </c>
      <c r="AG177" s="1385" t="str">
        <f t="shared" ref="AG177" si="108">IF(AND(AF177&lt;&gt;"",AH177&lt;&gt;""),"*","")</f>
        <v/>
      </c>
      <c r="AH177" s="1270" t="str">
        <f t="shared" ref="AH177" si="109">IF(OR(AND(AF177="LOQ",L177="N"),AF177=""),"",IF(AND(G177&gt;0,H177&gt;0),"CF*PeF",IF(G177&gt;0,"CF",IF(H177&gt;0,"PeF",""))))</f>
        <v/>
      </c>
      <c r="AI177" s="1386">
        <v>3</v>
      </c>
      <c r="AJ177" s="1387">
        <f t="shared" si="82"/>
        <v>0</v>
      </c>
      <c r="AK177" s="1387">
        <f>IF(AI177=A177,IF(AND(L177="N",Table22[[#This Row],[LOQ_label]]="Y"),AJ177,$AJ177*$Y177),"")</f>
        <v>0</v>
      </c>
      <c r="AL177" s="1388">
        <f t="shared" si="83"/>
        <v>0</v>
      </c>
      <c r="AM177" s="1393">
        <f>IF(Table22[[#This Row],[Highest residue * CF*PF]]&lt;&gt;"",Table22[[#This Row],[Highest residue * CF*PF]],Table22[[#This Row],[MRL*CF*PF or MRL (if LOQ and not authorised) (acute RA)]])</f>
        <v>0</v>
      </c>
      <c r="AN177" s="1390" t="str">
        <f t="shared" si="84"/>
        <v>LOQ</v>
      </c>
      <c r="AO177" s="1390" t="str">
        <f t="shared" si="85"/>
        <v/>
      </c>
      <c r="AP177" s="1404" t="str">
        <f t="shared" si="86"/>
        <v/>
      </c>
      <c r="AQ177" s="1388">
        <f t="shared" si="87"/>
        <v>0</v>
      </c>
      <c r="AR177" s="1388" t="str">
        <f t="shared" si="88"/>
        <v/>
      </c>
      <c r="AS177" s="1388" t="str">
        <f t="shared" si="89"/>
        <v/>
      </c>
      <c r="AT177" s="1388" t="str">
        <f t="shared" si="90"/>
        <v/>
      </c>
      <c r="AU177" s="1393">
        <f t="shared" si="91"/>
        <v>0</v>
      </c>
      <c r="AV177" s="1388">
        <f t="shared" si="92"/>
        <v>0</v>
      </c>
      <c r="AW177" s="1390" t="str">
        <f t="shared" si="93"/>
        <v/>
      </c>
      <c r="AX177" s="1390" t="str">
        <f>IF(AND(AN177&lt;&gt;"",AY177&lt;&gt;""),"*","")</f>
        <v/>
      </c>
      <c r="AY177" s="1394" t="str">
        <f t="shared" si="94"/>
        <v/>
      </c>
      <c r="AZ177" s="1395">
        <f>IF(Table22[[#This Row],[LOQ_label]]="Y",Table22[[#This Row],[MRL individual commodity]],"")</f>
        <v>0</v>
      </c>
      <c r="BA177" s="1396"/>
      <c r="BB177" s="1411" t="str">
        <f>IF(Table22[[#This Row],[LOQ2]]&lt;0,MIN(AZ177:AZ553),"")</f>
        <v/>
      </c>
      <c r="BC177" s="1299"/>
      <c r="BD177" s="1306" t="str">
        <f>IF(Table22[[#This Row],[Chronic RA label]]="","N",IF(Table22[[#This Row],[Chronic RA label]]="LOQ","N",IF(Table22[[#This Row],[Chronic RA label]]="MRL","N","Y")))</f>
        <v>N</v>
      </c>
      <c r="BE177" s="1306" t="str">
        <f>IF(Table22[[#This Row],[Acute RA label]]="","N",IF(Table22[[#This Row],[Acute RA label]]="LOQ","N",IF(Table22[[#This Row],[Acute RA label]]="MRL","N","Y")))</f>
        <v>N</v>
      </c>
      <c r="BF177" s="1306" t="str">
        <f>IF(OR(Table22[[#This Row],[include commodity in Summary_input_values_chronic]]="Y",Table22[[#This Row],[include commodity in Summary_input_values_acute]]="Y"),"Y","N")</f>
        <v>N</v>
      </c>
      <c r="BG177" s="1299"/>
      <c r="BH177" s="1324"/>
    </row>
    <row r="178" spans="1:60" ht="12.75" customHeight="1" outlineLevel="3" x14ac:dyDescent="0.2">
      <c r="A178" s="39">
        <v>4</v>
      </c>
      <c r="B178" s="327">
        <v>256010</v>
      </c>
      <c r="C178" s="23" t="s">
        <v>128</v>
      </c>
      <c r="D178" s="867"/>
      <c r="E178" s="1219"/>
      <c r="F178" s="867"/>
      <c r="G178" s="869"/>
      <c r="H178" s="863"/>
      <c r="I178" s="868"/>
      <c r="J178" s="870"/>
      <c r="K178" s="865"/>
      <c r="L178" s="872"/>
      <c r="M178" s="872"/>
      <c r="N178" s="925" t="str">
        <f>IF(O178&lt;&gt;0,CONCATENATE(input_values!$AF178,input_values!$AG178,input_values!$AH178),"")</f>
        <v/>
      </c>
      <c r="O178" s="491">
        <f>IF($A$10="Refined calculation mode",Table22[[#This Row],[input for chronic (refined mode]],Table22[[#This Row],[input for chronic normal mode]])</f>
        <v>0</v>
      </c>
      <c r="P178" s="925" t="str">
        <f>IF(Q178&lt;&gt;0,CONCATENATE(input_values!$AN178,input_values!$AO178,input_values!$AP178),"")</f>
        <v/>
      </c>
      <c r="Q178" s="491">
        <f>IF($V$5=0,0,IF(OR($A$10="Refined calculation mode",Results!$B$62="Show results of IESTI calculation only for crops with GAPs under assessment"),Table22[[#This Row],[Input for IESTI (refined mode)]],Table22[[#This Row],[Input for IESTI normal mode]]))</f>
        <v>0</v>
      </c>
      <c r="R178" s="926" t="str">
        <f>IF(S178&lt;&gt;0,CONCATENATE(input_values!$AW178,input_values!$AX178,input_values!$AY178),"")</f>
        <v/>
      </c>
      <c r="S178" s="492">
        <f>IF($V$5=0,0,IF(OR($A$10="Refined calculation mode",Results!$B$62="Show results of IESTI calculation only for crops with GAPs under assessment"),Table22[[#This Row],[Input for IESTI new (refined mode)]],Table22[[#This Row],[Input for IESTI new normal mode]]))</f>
        <v>0</v>
      </c>
      <c r="T178" s="886"/>
      <c r="U178" s="1408">
        <f>Table22[[#This Row],[MRL/ proposed MRL /CXL
(mg/kg)]]</f>
        <v>0</v>
      </c>
      <c r="V178" s="1409" t="str">
        <f t="shared" ref="V178:V188" si="110">IF(ISBLANK(F178),"","Y")</f>
        <v/>
      </c>
      <c r="W178" s="1387">
        <f t="shared" ref="W178:W188" si="111">IF($G178&gt;0,$G178,1)</f>
        <v>1</v>
      </c>
      <c r="X178" s="1387">
        <f t="shared" ref="X178:X188" si="112">IF($H178&gt;0,$H178,1)</f>
        <v>1</v>
      </c>
      <c r="Y178" s="1387">
        <f t="shared" ref="Y178:Y188" si="113">W178*X178</f>
        <v>1</v>
      </c>
      <c r="Z178" s="1410">
        <v>4</v>
      </c>
      <c r="AA178" s="1387">
        <f t="shared" si="76"/>
        <v>0</v>
      </c>
      <c r="AB178" s="1387">
        <f>IF(Z178=A178,IF(AND(L178="N",Table22[[#This Row],[LOQ_label]]="Y"),AA178,$AA178*$Y178),"")</f>
        <v>0</v>
      </c>
      <c r="AC178" s="1393">
        <f t="shared" si="77"/>
        <v>0</v>
      </c>
      <c r="AD178" s="1393">
        <f>IF(Table22[[#This Row],[Median residue*CF*PeF]]&lt;&gt;"",Table22[[#This Row],[Median residue*CF*PeF]],Table22[[#This Row],[MRL*CF*PeF (chronic)]])</f>
        <v>0</v>
      </c>
      <c r="AE178" s="1393">
        <f t="shared" si="78"/>
        <v>0</v>
      </c>
      <c r="AF178" s="1390" t="str">
        <f t="shared" si="79"/>
        <v>MRL</v>
      </c>
      <c r="AG178" s="1390" t="str">
        <f t="shared" si="80"/>
        <v/>
      </c>
      <c r="AH178" s="1394" t="str">
        <f t="shared" si="81"/>
        <v/>
      </c>
      <c r="AI178" s="1386">
        <v>4</v>
      </c>
      <c r="AJ178" s="1387">
        <f t="shared" si="82"/>
        <v>0</v>
      </c>
      <c r="AK178" s="1387">
        <f>IF(AI178=A178,IF(AND(L178="N",Table22[[#This Row],[LOQ_label]]="Y"),AJ178,$AJ178*$Y178),"")</f>
        <v>0</v>
      </c>
      <c r="AL178" s="1388">
        <f t="shared" si="83"/>
        <v>0</v>
      </c>
      <c r="AM178" s="1393">
        <f>IF(Table22[[#This Row],[Highest residue * CF*PF]]&lt;&gt;"",Table22[[#This Row],[Highest residue * CF*PF]],Table22[[#This Row],[MRL*CF*PF or MRL (if LOQ and not authorised) (acute RA)]])</f>
        <v>0</v>
      </c>
      <c r="AN178" s="1390" t="str">
        <f t="shared" si="84"/>
        <v>MRL</v>
      </c>
      <c r="AO178" s="1390" t="str">
        <f t="shared" si="85"/>
        <v/>
      </c>
      <c r="AP178" s="1404" t="str">
        <f t="shared" si="86"/>
        <v/>
      </c>
      <c r="AQ178" s="1388">
        <f t="shared" si="87"/>
        <v>0</v>
      </c>
      <c r="AR178" s="1388" t="str">
        <f t="shared" si="88"/>
        <v/>
      </c>
      <c r="AS178" s="1388" t="str">
        <f t="shared" si="89"/>
        <v/>
      </c>
      <c r="AT178" s="1388" t="str">
        <f t="shared" si="90"/>
        <v/>
      </c>
      <c r="AU178" s="1393">
        <f t="shared" si="91"/>
        <v>0</v>
      </c>
      <c r="AV178" s="1388">
        <f t="shared" si="92"/>
        <v>0</v>
      </c>
      <c r="AW178" s="1390" t="str">
        <f t="shared" si="93"/>
        <v/>
      </c>
      <c r="AX178" s="1390" t="str">
        <f t="shared" ref="AX178:AX187" si="114">IF(AND(AW178&lt;&gt;"",AY178&lt;&gt;""),"*","")</f>
        <v/>
      </c>
      <c r="AY178" s="1394" t="str">
        <f t="shared" si="94"/>
        <v/>
      </c>
      <c r="AZ178" s="1395" t="str">
        <f>IF(Table22[[#This Row],[LOQ_label]]="Y",Table22[[#This Row],[MRL individual commodity]],"")</f>
        <v/>
      </c>
      <c r="BA178" s="1396" t="s">
        <v>1038</v>
      </c>
      <c r="BB178" s="1411" t="str">
        <f>IF(Table22[[#This Row],[LOQ2]]&lt;0,MIN(AZ178:AZ554),"")</f>
        <v/>
      </c>
      <c r="BC178" s="1299"/>
      <c r="BD178" s="1306" t="str">
        <f>IF(Table22[[#This Row],[Chronic RA label]]="","N",IF(Table22[[#This Row],[Chronic RA label]]="LOQ","N",IF(Table22[[#This Row],[Chronic RA label]]="MRL","N","Y")))</f>
        <v>N</v>
      </c>
      <c r="BE178" s="1306" t="str">
        <f>IF(Table22[[#This Row],[Acute RA label]]="","N",IF(Table22[[#This Row],[Acute RA label]]="LOQ","N",IF(Table22[[#This Row],[Acute RA label]]="MRL","N","Y")))</f>
        <v>N</v>
      </c>
      <c r="BF178" s="1306" t="str">
        <f>IF(OR(Table22[[#This Row],[include commodity in Summary_input_values_chronic]]="Y",Table22[[#This Row],[include commodity in Summary_input_values_acute]]="Y"),"Y","N")</f>
        <v>N</v>
      </c>
      <c r="BG178" s="1299"/>
      <c r="BH178" s="1324"/>
    </row>
    <row r="179" spans="1:60" ht="12.75" customHeight="1" outlineLevel="3" x14ac:dyDescent="0.2">
      <c r="A179" s="39">
        <v>4</v>
      </c>
      <c r="B179" s="327">
        <v>256020</v>
      </c>
      <c r="C179" s="23" t="s">
        <v>129</v>
      </c>
      <c r="D179" s="867"/>
      <c r="E179" s="1219"/>
      <c r="F179" s="867"/>
      <c r="G179" s="869"/>
      <c r="H179" s="863"/>
      <c r="I179" s="868"/>
      <c r="J179" s="870"/>
      <c r="K179" s="865"/>
      <c r="L179" s="872"/>
      <c r="M179" s="872"/>
      <c r="N179" s="925" t="str">
        <f>IF(O179&lt;&gt;0,CONCATENATE(input_values!$AF179,input_values!$AG179,input_values!$AH179),"")</f>
        <v/>
      </c>
      <c r="O179" s="491">
        <f>IF($A$10="Refined calculation mode",Table22[[#This Row],[input for chronic (refined mode]],Table22[[#This Row],[input for chronic normal mode]])</f>
        <v>0</v>
      </c>
      <c r="P179" s="925" t="str">
        <f>IF(Q179&lt;&gt;0,CONCATENATE(input_values!$AN179,input_values!$AO179,input_values!$AP179),"")</f>
        <v/>
      </c>
      <c r="Q179" s="491">
        <f>IF($V$5=0,0,IF(OR($A$10="Refined calculation mode",Results!$B$62="Show results of IESTI calculation only for crops with GAPs under assessment"),Table22[[#This Row],[Input for IESTI (refined mode)]],Table22[[#This Row],[Input for IESTI normal mode]]))</f>
        <v>0</v>
      </c>
      <c r="R179" s="926" t="str">
        <f>IF(S179&lt;&gt;0,CONCATENATE(input_values!$AW179,input_values!$AX179,input_values!$AY179),"")</f>
        <v/>
      </c>
      <c r="S179" s="492">
        <f>IF($V$5=0,0,IF(OR($A$10="Refined calculation mode",Results!$B$62="Show results of IESTI calculation only for crops with GAPs under assessment"),Table22[[#This Row],[Input for IESTI new (refined mode)]],Table22[[#This Row],[Input for IESTI new normal mode]]))</f>
        <v>0</v>
      </c>
      <c r="T179" s="886"/>
      <c r="U179" s="1408">
        <f>Table22[[#This Row],[MRL/ proposed MRL /CXL
(mg/kg)]]</f>
        <v>0</v>
      </c>
      <c r="V179" s="1409" t="str">
        <f t="shared" si="110"/>
        <v/>
      </c>
      <c r="W179" s="1387">
        <f t="shared" si="111"/>
        <v>1</v>
      </c>
      <c r="X179" s="1387">
        <f t="shared" si="112"/>
        <v>1</v>
      </c>
      <c r="Y179" s="1387">
        <f t="shared" si="113"/>
        <v>1</v>
      </c>
      <c r="Z179" s="1410">
        <v>4</v>
      </c>
      <c r="AA179" s="1387">
        <f t="shared" si="76"/>
        <v>0</v>
      </c>
      <c r="AB179" s="1387">
        <f>IF(Z179=A179,IF(AND(L179="N",Table22[[#This Row],[LOQ_label]]="Y"),AA179,$AA179*$Y179),"")</f>
        <v>0</v>
      </c>
      <c r="AC179" s="1393">
        <f t="shared" si="77"/>
        <v>0</v>
      </c>
      <c r="AD179" s="1393">
        <f>IF(Table22[[#This Row],[Median residue*CF*PeF]]&lt;&gt;"",Table22[[#This Row],[Median residue*CF*PeF]],Table22[[#This Row],[MRL*CF*PeF (chronic)]])</f>
        <v>0</v>
      </c>
      <c r="AE179" s="1393">
        <f t="shared" si="78"/>
        <v>0</v>
      </c>
      <c r="AF179" s="1390" t="str">
        <f t="shared" si="79"/>
        <v>MRL</v>
      </c>
      <c r="AG179" s="1390" t="str">
        <f t="shared" si="80"/>
        <v/>
      </c>
      <c r="AH179" s="1394" t="str">
        <f t="shared" si="81"/>
        <v/>
      </c>
      <c r="AI179" s="1386">
        <v>4</v>
      </c>
      <c r="AJ179" s="1387">
        <f t="shared" si="82"/>
        <v>0</v>
      </c>
      <c r="AK179" s="1387">
        <f>IF(AI179=A179,IF(AND(L179="N",Table22[[#This Row],[LOQ_label]]="Y"),AJ179,$AJ179*$Y179),"")</f>
        <v>0</v>
      </c>
      <c r="AL179" s="1388">
        <f t="shared" si="83"/>
        <v>0</v>
      </c>
      <c r="AM179" s="1393">
        <f>IF(Table22[[#This Row],[Highest residue * CF*PF]]&lt;&gt;"",Table22[[#This Row],[Highest residue * CF*PF]],Table22[[#This Row],[MRL*CF*PF or MRL (if LOQ and not authorised) (acute RA)]])</f>
        <v>0</v>
      </c>
      <c r="AN179" s="1390" t="str">
        <f t="shared" si="84"/>
        <v>MRL</v>
      </c>
      <c r="AO179" s="1390" t="str">
        <f t="shared" si="85"/>
        <v/>
      </c>
      <c r="AP179" s="1404" t="str">
        <f t="shared" si="86"/>
        <v/>
      </c>
      <c r="AQ179" s="1388">
        <f t="shared" si="87"/>
        <v>0</v>
      </c>
      <c r="AR179" s="1388" t="str">
        <f t="shared" si="88"/>
        <v/>
      </c>
      <c r="AS179" s="1388" t="str">
        <f t="shared" si="89"/>
        <v/>
      </c>
      <c r="AT179" s="1388" t="str">
        <f t="shared" si="90"/>
        <v/>
      </c>
      <c r="AU179" s="1393">
        <f t="shared" si="91"/>
        <v>0</v>
      </c>
      <c r="AV179" s="1388">
        <f t="shared" si="92"/>
        <v>0</v>
      </c>
      <c r="AW179" s="1390" t="str">
        <f t="shared" si="93"/>
        <v/>
      </c>
      <c r="AX179" s="1390" t="str">
        <f t="shared" si="114"/>
        <v/>
      </c>
      <c r="AY179" s="1394" t="str">
        <f t="shared" si="94"/>
        <v/>
      </c>
      <c r="AZ179" s="1395" t="str">
        <f>IF(Table22[[#This Row],[LOQ_label]]="Y",Table22[[#This Row],[MRL individual commodity]],"")</f>
        <v/>
      </c>
      <c r="BA179" s="1396" t="s">
        <v>1038</v>
      </c>
      <c r="BB179" s="1411" t="str">
        <f>IF(Table22[[#This Row],[LOQ2]]&lt;0,MIN(AZ179:AZ555),"")</f>
        <v/>
      </c>
      <c r="BC179" s="1299"/>
      <c r="BD179" s="1306" t="str">
        <f>IF(Table22[[#This Row],[Chronic RA label]]="","N",IF(Table22[[#This Row],[Chronic RA label]]="LOQ","N",IF(Table22[[#This Row],[Chronic RA label]]="MRL","N","Y")))</f>
        <v>N</v>
      </c>
      <c r="BE179" s="1306" t="str">
        <f>IF(Table22[[#This Row],[Acute RA label]]="","N",IF(Table22[[#This Row],[Acute RA label]]="LOQ","N",IF(Table22[[#This Row],[Acute RA label]]="MRL","N","Y")))</f>
        <v>N</v>
      </c>
      <c r="BF179" s="1306" t="str">
        <f>IF(OR(Table22[[#This Row],[include commodity in Summary_input_values_chronic]]="Y",Table22[[#This Row],[include commodity in Summary_input_values_acute]]="Y"),"Y","N")</f>
        <v>N</v>
      </c>
      <c r="BG179" s="1299"/>
      <c r="BH179" s="1324"/>
    </row>
    <row r="180" spans="1:60" ht="12.75" customHeight="1" outlineLevel="3" x14ac:dyDescent="0.2">
      <c r="A180" s="39">
        <v>4</v>
      </c>
      <c r="B180" s="327">
        <v>256030</v>
      </c>
      <c r="C180" s="23" t="s">
        <v>130</v>
      </c>
      <c r="D180" s="867"/>
      <c r="E180" s="1219"/>
      <c r="F180" s="867"/>
      <c r="G180" s="869"/>
      <c r="H180" s="863"/>
      <c r="I180" s="868"/>
      <c r="J180" s="870"/>
      <c r="K180" s="865"/>
      <c r="L180" s="872"/>
      <c r="M180" s="872"/>
      <c r="N180" s="925" t="str">
        <f>IF(O180&lt;&gt;0,CONCATENATE(input_values!$AF180,input_values!$AG180,input_values!$AH180),"")</f>
        <v/>
      </c>
      <c r="O180" s="491">
        <f>IF($A$10="Refined calculation mode",Table22[[#This Row],[input for chronic (refined mode]],Table22[[#This Row],[input for chronic normal mode]])</f>
        <v>0</v>
      </c>
      <c r="P180" s="925" t="str">
        <f>IF(Q180&lt;&gt;0,CONCATENATE(input_values!$AN180,input_values!$AO180,input_values!$AP180),"")</f>
        <v/>
      </c>
      <c r="Q180" s="491">
        <f>IF($V$5=0,0,IF(OR($A$10="Refined calculation mode",Results!$B$62="Show results of IESTI calculation only for crops with GAPs under assessment"),Table22[[#This Row],[Input for IESTI (refined mode)]],Table22[[#This Row],[Input for IESTI normal mode]]))</f>
        <v>0</v>
      </c>
      <c r="R180" s="926" t="str">
        <f>IF(S180&lt;&gt;0,CONCATENATE(input_values!$AW180,input_values!$AX180,input_values!$AY180),"")</f>
        <v/>
      </c>
      <c r="S180" s="492">
        <f>IF($V$5=0,0,IF(OR($A$10="Refined calculation mode",Results!$B$62="Show results of IESTI calculation only for crops with GAPs under assessment"),Table22[[#This Row],[Input for IESTI new (refined mode)]],Table22[[#This Row],[Input for IESTI new normal mode]]))</f>
        <v>0</v>
      </c>
      <c r="T180" s="886"/>
      <c r="U180" s="1408">
        <f>Table22[[#This Row],[MRL/ proposed MRL /CXL
(mg/kg)]]</f>
        <v>0</v>
      </c>
      <c r="V180" s="1409" t="str">
        <f t="shared" si="110"/>
        <v/>
      </c>
      <c r="W180" s="1387">
        <f t="shared" si="111"/>
        <v>1</v>
      </c>
      <c r="X180" s="1387">
        <f t="shared" si="112"/>
        <v>1</v>
      </c>
      <c r="Y180" s="1387">
        <f t="shared" si="113"/>
        <v>1</v>
      </c>
      <c r="Z180" s="1410">
        <v>4</v>
      </c>
      <c r="AA180" s="1387">
        <f t="shared" si="76"/>
        <v>0</v>
      </c>
      <c r="AB180" s="1387">
        <f>IF(Z180=A180,IF(AND(L180="N",Table22[[#This Row],[LOQ_label]]="Y"),AA180,$AA180*$Y180),"")</f>
        <v>0</v>
      </c>
      <c r="AC180" s="1393">
        <f t="shared" si="77"/>
        <v>0</v>
      </c>
      <c r="AD180" s="1393">
        <f>IF(Table22[[#This Row],[Median residue*CF*PeF]]&lt;&gt;"",Table22[[#This Row],[Median residue*CF*PeF]],Table22[[#This Row],[MRL*CF*PeF (chronic)]])</f>
        <v>0</v>
      </c>
      <c r="AE180" s="1393">
        <f t="shared" si="78"/>
        <v>0</v>
      </c>
      <c r="AF180" s="1390" t="str">
        <f t="shared" si="79"/>
        <v>MRL</v>
      </c>
      <c r="AG180" s="1390" t="str">
        <f t="shared" si="80"/>
        <v/>
      </c>
      <c r="AH180" s="1394" t="str">
        <f t="shared" si="81"/>
        <v/>
      </c>
      <c r="AI180" s="1386">
        <v>4</v>
      </c>
      <c r="AJ180" s="1387">
        <f t="shared" si="82"/>
        <v>0</v>
      </c>
      <c r="AK180" s="1387">
        <f>IF(AI180=A180,IF(AND(L180="N",Table22[[#This Row],[LOQ_label]]="Y"),AJ180,$AJ180*$Y180),"")</f>
        <v>0</v>
      </c>
      <c r="AL180" s="1388">
        <f t="shared" si="83"/>
        <v>0</v>
      </c>
      <c r="AM180" s="1393">
        <f>IF(Table22[[#This Row],[Highest residue * CF*PF]]&lt;&gt;"",Table22[[#This Row],[Highest residue * CF*PF]],Table22[[#This Row],[MRL*CF*PF or MRL (if LOQ and not authorised) (acute RA)]])</f>
        <v>0</v>
      </c>
      <c r="AN180" s="1390" t="str">
        <f t="shared" si="84"/>
        <v>MRL</v>
      </c>
      <c r="AO180" s="1390" t="str">
        <f t="shared" si="85"/>
        <v/>
      </c>
      <c r="AP180" s="1404" t="str">
        <f t="shared" si="86"/>
        <v/>
      </c>
      <c r="AQ180" s="1388">
        <f t="shared" si="87"/>
        <v>0</v>
      </c>
      <c r="AR180" s="1388" t="str">
        <f t="shared" si="88"/>
        <v/>
      </c>
      <c r="AS180" s="1388" t="str">
        <f t="shared" si="89"/>
        <v/>
      </c>
      <c r="AT180" s="1388" t="str">
        <f t="shared" si="90"/>
        <v/>
      </c>
      <c r="AU180" s="1393">
        <f t="shared" si="91"/>
        <v>0</v>
      </c>
      <c r="AV180" s="1388">
        <f t="shared" si="92"/>
        <v>0</v>
      </c>
      <c r="AW180" s="1390" t="str">
        <f t="shared" si="93"/>
        <v/>
      </c>
      <c r="AX180" s="1390" t="str">
        <f t="shared" si="114"/>
        <v/>
      </c>
      <c r="AY180" s="1394" t="str">
        <f t="shared" si="94"/>
        <v/>
      </c>
      <c r="AZ180" s="1395" t="str">
        <f>IF(Table22[[#This Row],[LOQ_label]]="Y",Table22[[#This Row],[MRL individual commodity]],"")</f>
        <v/>
      </c>
      <c r="BA180" s="1396" t="s">
        <v>1038</v>
      </c>
      <c r="BB180" s="1411" t="str">
        <f>IF(Table22[[#This Row],[LOQ2]]&lt;0,MIN(AZ180:AZ556),"")</f>
        <v/>
      </c>
      <c r="BC180" s="1299"/>
      <c r="BD180" s="1306" t="str">
        <f>IF(Table22[[#This Row],[Chronic RA label]]="","N",IF(Table22[[#This Row],[Chronic RA label]]="LOQ","N",IF(Table22[[#This Row],[Chronic RA label]]="MRL","N","Y")))</f>
        <v>N</v>
      </c>
      <c r="BE180" s="1306" t="str">
        <f>IF(Table22[[#This Row],[Acute RA label]]="","N",IF(Table22[[#This Row],[Acute RA label]]="LOQ","N",IF(Table22[[#This Row],[Acute RA label]]="MRL","N","Y")))</f>
        <v>N</v>
      </c>
      <c r="BF180" s="1306" t="str">
        <f>IF(OR(Table22[[#This Row],[include commodity in Summary_input_values_chronic]]="Y",Table22[[#This Row],[include commodity in Summary_input_values_acute]]="Y"),"Y","N")</f>
        <v>N</v>
      </c>
      <c r="BG180" s="1299"/>
      <c r="BH180" s="1324"/>
    </row>
    <row r="181" spans="1:60" ht="12.75" customHeight="1" outlineLevel="3" x14ac:dyDescent="0.2">
      <c r="A181" s="39">
        <v>4</v>
      </c>
      <c r="B181" s="327">
        <v>256040</v>
      </c>
      <c r="C181" s="23" t="s">
        <v>131</v>
      </c>
      <c r="D181" s="867"/>
      <c r="E181" s="1219"/>
      <c r="F181" s="867"/>
      <c r="G181" s="869"/>
      <c r="H181" s="863"/>
      <c r="I181" s="868"/>
      <c r="J181" s="870"/>
      <c r="K181" s="865"/>
      <c r="L181" s="872"/>
      <c r="M181" s="872"/>
      <c r="N181" s="925" t="str">
        <f>IF(O181&lt;&gt;0,CONCATENATE(input_values!$AF181,input_values!$AG181,input_values!$AH181),"")</f>
        <v/>
      </c>
      <c r="O181" s="491">
        <f>IF($A$10="Refined calculation mode",Table22[[#This Row],[input for chronic (refined mode]],Table22[[#This Row],[input for chronic normal mode]])</f>
        <v>0</v>
      </c>
      <c r="P181" s="925" t="str">
        <f>IF(Q181&lt;&gt;0,CONCATENATE(input_values!$AN181,input_values!$AO181,input_values!$AP181),"")</f>
        <v/>
      </c>
      <c r="Q181" s="491">
        <f>IF($V$5=0,0,IF(OR($A$10="Refined calculation mode",Results!$B$62="Show results of IESTI calculation only for crops with GAPs under assessment"),Table22[[#This Row],[Input for IESTI (refined mode)]],Table22[[#This Row],[Input for IESTI normal mode]]))</f>
        <v>0</v>
      </c>
      <c r="R181" s="926" t="str">
        <f>IF(S181&lt;&gt;0,CONCATENATE(input_values!$AW181,input_values!$AX181,input_values!$AY181),"")</f>
        <v/>
      </c>
      <c r="S181" s="492">
        <f>IF($V$5=0,0,IF(OR($A$10="Refined calculation mode",Results!$B$62="Show results of IESTI calculation only for crops with GAPs under assessment"),Table22[[#This Row],[Input for IESTI new (refined mode)]],Table22[[#This Row],[Input for IESTI new normal mode]]))</f>
        <v>0</v>
      </c>
      <c r="T181" s="886"/>
      <c r="U181" s="1408">
        <f>Table22[[#This Row],[MRL/ proposed MRL /CXL
(mg/kg)]]</f>
        <v>0</v>
      </c>
      <c r="V181" s="1409" t="str">
        <f t="shared" si="110"/>
        <v/>
      </c>
      <c r="W181" s="1387">
        <f t="shared" si="111"/>
        <v>1</v>
      </c>
      <c r="X181" s="1387">
        <f t="shared" si="112"/>
        <v>1</v>
      </c>
      <c r="Y181" s="1387">
        <f t="shared" si="113"/>
        <v>1</v>
      </c>
      <c r="Z181" s="1410">
        <v>4</v>
      </c>
      <c r="AA181" s="1387">
        <f t="shared" si="76"/>
        <v>0</v>
      </c>
      <c r="AB181" s="1387">
        <f>IF(Z181=A181,IF(AND(L181="N",Table22[[#This Row],[LOQ_label]]="Y"),AA181,$AA181*$Y181),"")</f>
        <v>0</v>
      </c>
      <c r="AC181" s="1393">
        <f t="shared" si="77"/>
        <v>0</v>
      </c>
      <c r="AD181" s="1393">
        <f>IF(Table22[[#This Row],[Median residue*CF*PeF]]&lt;&gt;"",Table22[[#This Row],[Median residue*CF*PeF]],Table22[[#This Row],[MRL*CF*PeF (chronic)]])</f>
        <v>0</v>
      </c>
      <c r="AE181" s="1393">
        <f t="shared" si="78"/>
        <v>0</v>
      </c>
      <c r="AF181" s="1390" t="str">
        <f t="shared" si="79"/>
        <v>MRL</v>
      </c>
      <c r="AG181" s="1390" t="str">
        <f t="shared" si="80"/>
        <v/>
      </c>
      <c r="AH181" s="1394" t="str">
        <f t="shared" si="81"/>
        <v/>
      </c>
      <c r="AI181" s="1386">
        <v>4</v>
      </c>
      <c r="AJ181" s="1387">
        <f t="shared" si="82"/>
        <v>0</v>
      </c>
      <c r="AK181" s="1387">
        <f>IF(AI181=A181,IF(AND(L181="N",Table22[[#This Row],[LOQ_label]]="Y"),AJ181,$AJ181*$Y181),"")</f>
        <v>0</v>
      </c>
      <c r="AL181" s="1388">
        <f t="shared" si="83"/>
        <v>0</v>
      </c>
      <c r="AM181" s="1393">
        <f>IF(Table22[[#This Row],[Highest residue * CF*PF]]&lt;&gt;"",Table22[[#This Row],[Highest residue * CF*PF]],Table22[[#This Row],[MRL*CF*PF or MRL (if LOQ and not authorised) (acute RA)]])</f>
        <v>0</v>
      </c>
      <c r="AN181" s="1390" t="str">
        <f t="shared" si="84"/>
        <v>MRL</v>
      </c>
      <c r="AO181" s="1390" t="str">
        <f t="shared" si="85"/>
        <v/>
      </c>
      <c r="AP181" s="1404" t="str">
        <f t="shared" si="86"/>
        <v/>
      </c>
      <c r="AQ181" s="1388">
        <f t="shared" si="87"/>
        <v>0</v>
      </c>
      <c r="AR181" s="1388" t="str">
        <f t="shared" si="88"/>
        <v/>
      </c>
      <c r="AS181" s="1388" t="str">
        <f t="shared" si="89"/>
        <v/>
      </c>
      <c r="AT181" s="1388" t="str">
        <f t="shared" si="90"/>
        <v/>
      </c>
      <c r="AU181" s="1393">
        <f t="shared" si="91"/>
        <v>0</v>
      </c>
      <c r="AV181" s="1388">
        <f t="shared" si="92"/>
        <v>0</v>
      </c>
      <c r="AW181" s="1390" t="str">
        <f t="shared" si="93"/>
        <v/>
      </c>
      <c r="AX181" s="1390" t="str">
        <f t="shared" si="114"/>
        <v/>
      </c>
      <c r="AY181" s="1394" t="str">
        <f t="shared" si="94"/>
        <v/>
      </c>
      <c r="AZ181" s="1395" t="str">
        <f>IF(Table22[[#This Row],[LOQ_label]]="Y",Table22[[#This Row],[MRL individual commodity]],"")</f>
        <v/>
      </c>
      <c r="BA181" s="1396" t="s">
        <v>1038</v>
      </c>
      <c r="BB181" s="1411" t="str">
        <f>IF(Table22[[#This Row],[LOQ2]]&lt;0,MIN(AZ181:AZ557),"")</f>
        <v/>
      </c>
      <c r="BC181" s="1299"/>
      <c r="BD181" s="1306" t="str">
        <f>IF(Table22[[#This Row],[Chronic RA label]]="","N",IF(Table22[[#This Row],[Chronic RA label]]="LOQ","N",IF(Table22[[#This Row],[Chronic RA label]]="MRL","N","Y")))</f>
        <v>N</v>
      </c>
      <c r="BE181" s="1306" t="str">
        <f>IF(Table22[[#This Row],[Acute RA label]]="","N",IF(Table22[[#This Row],[Acute RA label]]="LOQ","N",IF(Table22[[#This Row],[Acute RA label]]="MRL","N","Y")))</f>
        <v>N</v>
      </c>
      <c r="BF181" s="1306" t="str">
        <f>IF(OR(Table22[[#This Row],[include commodity in Summary_input_values_chronic]]="Y",Table22[[#This Row],[include commodity in Summary_input_values_acute]]="Y"),"Y","N")</f>
        <v>N</v>
      </c>
      <c r="BG181" s="1299"/>
      <c r="BH181" s="1324"/>
    </row>
    <row r="182" spans="1:60" ht="12.75" customHeight="1" outlineLevel="3" x14ac:dyDescent="0.2">
      <c r="A182" s="39">
        <v>4</v>
      </c>
      <c r="B182" s="327">
        <v>256050</v>
      </c>
      <c r="C182" s="23" t="s">
        <v>132</v>
      </c>
      <c r="D182" s="867"/>
      <c r="E182" s="1219"/>
      <c r="F182" s="867"/>
      <c r="G182" s="869"/>
      <c r="H182" s="863"/>
      <c r="I182" s="868"/>
      <c r="J182" s="870"/>
      <c r="K182" s="865"/>
      <c r="L182" s="872"/>
      <c r="M182" s="872"/>
      <c r="N182" s="925" t="str">
        <f>IF(O182&lt;&gt;0,CONCATENATE(input_values!$AF182,input_values!$AG182,input_values!$AH182),"")</f>
        <v/>
      </c>
      <c r="O182" s="491">
        <f>IF($A$10="Refined calculation mode",Table22[[#This Row],[input for chronic (refined mode]],Table22[[#This Row],[input for chronic normal mode]])</f>
        <v>0</v>
      </c>
      <c r="P182" s="925" t="str">
        <f>IF(Q182&lt;&gt;0,CONCATENATE(input_values!$AN182,input_values!$AO182,input_values!$AP182),"")</f>
        <v/>
      </c>
      <c r="Q182" s="491">
        <f>IF($V$5=0,0,IF(OR($A$10="Refined calculation mode",Results!$B$62="Show results of IESTI calculation only for crops with GAPs under assessment"),Table22[[#This Row],[Input for IESTI (refined mode)]],Table22[[#This Row],[Input for IESTI normal mode]]))</f>
        <v>0</v>
      </c>
      <c r="R182" s="926" t="str">
        <f>IF(S182&lt;&gt;0,CONCATENATE(input_values!$AW182,input_values!$AX182,input_values!$AY182),"")</f>
        <v/>
      </c>
      <c r="S182" s="492">
        <f>IF($V$5=0,0,IF(OR($A$10="Refined calculation mode",Results!$B$62="Show results of IESTI calculation only for crops with GAPs under assessment"),Table22[[#This Row],[Input for IESTI new (refined mode)]],Table22[[#This Row],[Input for IESTI new normal mode]]))</f>
        <v>0</v>
      </c>
      <c r="T182" s="886"/>
      <c r="U182" s="1408">
        <f>Table22[[#This Row],[MRL/ proposed MRL /CXL
(mg/kg)]]</f>
        <v>0</v>
      </c>
      <c r="V182" s="1409" t="str">
        <f t="shared" si="110"/>
        <v/>
      </c>
      <c r="W182" s="1387">
        <f t="shared" si="111"/>
        <v>1</v>
      </c>
      <c r="X182" s="1387">
        <f t="shared" si="112"/>
        <v>1</v>
      </c>
      <c r="Y182" s="1387">
        <f t="shared" si="113"/>
        <v>1</v>
      </c>
      <c r="Z182" s="1410">
        <v>4</v>
      </c>
      <c r="AA182" s="1387">
        <f t="shared" si="76"/>
        <v>0</v>
      </c>
      <c r="AB182" s="1387">
        <f>IF(Z182=A182,IF(AND(L182="N",Table22[[#This Row],[LOQ_label]]="Y"),AA182,$AA182*$Y182),"")</f>
        <v>0</v>
      </c>
      <c r="AC182" s="1393">
        <f t="shared" si="77"/>
        <v>0</v>
      </c>
      <c r="AD182" s="1393">
        <f>IF(Table22[[#This Row],[Median residue*CF*PeF]]&lt;&gt;"",Table22[[#This Row],[Median residue*CF*PeF]],Table22[[#This Row],[MRL*CF*PeF (chronic)]])</f>
        <v>0</v>
      </c>
      <c r="AE182" s="1393">
        <f t="shared" si="78"/>
        <v>0</v>
      </c>
      <c r="AF182" s="1390" t="str">
        <f t="shared" si="79"/>
        <v>MRL</v>
      </c>
      <c r="AG182" s="1390" t="str">
        <f t="shared" si="80"/>
        <v/>
      </c>
      <c r="AH182" s="1394" t="str">
        <f t="shared" si="81"/>
        <v/>
      </c>
      <c r="AI182" s="1386">
        <v>4</v>
      </c>
      <c r="AJ182" s="1387">
        <f t="shared" si="82"/>
        <v>0</v>
      </c>
      <c r="AK182" s="1387">
        <f>IF(AI182=A182,IF(AND(L182="N",Table22[[#This Row],[LOQ_label]]="Y"),AJ182,$AJ182*$Y182),"")</f>
        <v>0</v>
      </c>
      <c r="AL182" s="1388">
        <f t="shared" si="83"/>
        <v>0</v>
      </c>
      <c r="AM182" s="1393">
        <f>IF(Table22[[#This Row],[Highest residue * CF*PF]]&lt;&gt;"",Table22[[#This Row],[Highest residue * CF*PF]],Table22[[#This Row],[MRL*CF*PF or MRL (if LOQ and not authorised) (acute RA)]])</f>
        <v>0</v>
      </c>
      <c r="AN182" s="1390" t="str">
        <f t="shared" si="84"/>
        <v>MRL</v>
      </c>
      <c r="AO182" s="1390" t="str">
        <f t="shared" si="85"/>
        <v/>
      </c>
      <c r="AP182" s="1404" t="str">
        <f t="shared" si="86"/>
        <v/>
      </c>
      <c r="AQ182" s="1388">
        <f t="shared" si="87"/>
        <v>0</v>
      </c>
      <c r="AR182" s="1388" t="str">
        <f t="shared" si="88"/>
        <v/>
      </c>
      <c r="AS182" s="1388" t="str">
        <f t="shared" si="89"/>
        <v/>
      </c>
      <c r="AT182" s="1388" t="str">
        <f t="shared" si="90"/>
        <v/>
      </c>
      <c r="AU182" s="1393">
        <f t="shared" si="91"/>
        <v>0</v>
      </c>
      <c r="AV182" s="1388">
        <f t="shared" si="92"/>
        <v>0</v>
      </c>
      <c r="AW182" s="1390" t="str">
        <f t="shared" si="93"/>
        <v/>
      </c>
      <c r="AX182" s="1390" t="str">
        <f t="shared" si="114"/>
        <v/>
      </c>
      <c r="AY182" s="1394" t="str">
        <f t="shared" si="94"/>
        <v/>
      </c>
      <c r="AZ182" s="1395" t="str">
        <f>IF(Table22[[#This Row],[LOQ_label]]="Y",Table22[[#This Row],[MRL individual commodity]],"")</f>
        <v/>
      </c>
      <c r="BA182" s="1396" t="s">
        <v>1038</v>
      </c>
      <c r="BB182" s="1411" t="str">
        <f>IF(Table22[[#This Row],[LOQ2]]&lt;0,MIN(AZ182:AZ558),"")</f>
        <v/>
      </c>
      <c r="BC182" s="1299"/>
      <c r="BD182" s="1306" t="str">
        <f>IF(Table22[[#This Row],[Chronic RA label]]="","N",IF(Table22[[#This Row],[Chronic RA label]]="LOQ","N",IF(Table22[[#This Row],[Chronic RA label]]="MRL","N","Y")))</f>
        <v>N</v>
      </c>
      <c r="BE182" s="1306" t="str">
        <f>IF(Table22[[#This Row],[Acute RA label]]="","N",IF(Table22[[#This Row],[Acute RA label]]="LOQ","N",IF(Table22[[#This Row],[Acute RA label]]="MRL","N","Y")))</f>
        <v>N</v>
      </c>
      <c r="BF182" s="1306" t="str">
        <f>IF(OR(Table22[[#This Row],[include commodity in Summary_input_values_chronic]]="Y",Table22[[#This Row],[include commodity in Summary_input_values_acute]]="Y"),"Y","N")</f>
        <v>N</v>
      </c>
      <c r="BG182" s="1299"/>
      <c r="BH182" s="1324"/>
    </row>
    <row r="183" spans="1:60" ht="12.75" customHeight="1" outlineLevel="3" x14ac:dyDescent="0.2">
      <c r="A183" s="39">
        <v>4</v>
      </c>
      <c r="B183" s="327">
        <v>256060</v>
      </c>
      <c r="C183" s="23" t="s">
        <v>133</v>
      </c>
      <c r="D183" s="867"/>
      <c r="E183" s="1219"/>
      <c r="F183" s="867"/>
      <c r="G183" s="869"/>
      <c r="H183" s="863"/>
      <c r="I183" s="868"/>
      <c r="J183" s="870"/>
      <c r="K183" s="865"/>
      <c r="L183" s="872"/>
      <c r="M183" s="872"/>
      <c r="N183" s="925" t="str">
        <f>IF(O183&lt;&gt;0,CONCATENATE(input_values!$AF183,input_values!$AG183,input_values!$AH183),"")</f>
        <v/>
      </c>
      <c r="O183" s="491">
        <f>IF($A$10="Refined calculation mode",Table22[[#This Row],[input for chronic (refined mode]],Table22[[#This Row],[input for chronic normal mode]])</f>
        <v>0</v>
      </c>
      <c r="P183" s="925" t="str">
        <f>IF(Q183&lt;&gt;0,CONCATENATE(input_values!$AN183,input_values!$AO183,input_values!$AP183),"")</f>
        <v/>
      </c>
      <c r="Q183" s="491">
        <f>IF($V$5=0,0,IF(OR($A$10="Refined calculation mode",Results!$B$62="Show results of IESTI calculation only for crops with GAPs under assessment"),Table22[[#This Row],[Input for IESTI (refined mode)]],Table22[[#This Row],[Input for IESTI normal mode]]))</f>
        <v>0</v>
      </c>
      <c r="R183" s="926" t="str">
        <f>IF(S183&lt;&gt;0,CONCATENATE(input_values!$AW183,input_values!$AX183,input_values!$AY183),"")</f>
        <v/>
      </c>
      <c r="S183" s="492">
        <f>IF($V$5=0,0,IF(OR($A$10="Refined calculation mode",Results!$B$62="Show results of IESTI calculation only for crops with GAPs under assessment"),Table22[[#This Row],[Input for IESTI new (refined mode)]],Table22[[#This Row],[Input for IESTI new normal mode]]))</f>
        <v>0</v>
      </c>
      <c r="T183" s="886"/>
      <c r="U183" s="1408">
        <f>Table22[[#This Row],[MRL/ proposed MRL /CXL
(mg/kg)]]</f>
        <v>0</v>
      </c>
      <c r="V183" s="1409" t="str">
        <f t="shared" si="110"/>
        <v/>
      </c>
      <c r="W183" s="1387">
        <f t="shared" si="111"/>
        <v>1</v>
      </c>
      <c r="X183" s="1387">
        <f t="shared" si="112"/>
        <v>1</v>
      </c>
      <c r="Y183" s="1387">
        <f t="shared" si="113"/>
        <v>1</v>
      </c>
      <c r="Z183" s="1410">
        <v>4</v>
      </c>
      <c r="AA183" s="1387">
        <f t="shared" si="76"/>
        <v>0</v>
      </c>
      <c r="AB183" s="1387">
        <f>IF(Z183=A183,IF(AND(L183="N",Table22[[#This Row],[LOQ_label]]="Y"),AA183,$AA183*$Y183),"")</f>
        <v>0</v>
      </c>
      <c r="AC183" s="1393">
        <f t="shared" si="77"/>
        <v>0</v>
      </c>
      <c r="AD183" s="1393">
        <f>IF(Table22[[#This Row],[Median residue*CF*PeF]]&lt;&gt;"",Table22[[#This Row],[Median residue*CF*PeF]],Table22[[#This Row],[MRL*CF*PeF (chronic)]])</f>
        <v>0</v>
      </c>
      <c r="AE183" s="1393">
        <f t="shared" si="78"/>
        <v>0</v>
      </c>
      <c r="AF183" s="1390" t="str">
        <f t="shared" si="79"/>
        <v>MRL</v>
      </c>
      <c r="AG183" s="1390" t="str">
        <f t="shared" si="80"/>
        <v/>
      </c>
      <c r="AH183" s="1394" t="str">
        <f t="shared" si="81"/>
        <v/>
      </c>
      <c r="AI183" s="1386">
        <v>4</v>
      </c>
      <c r="AJ183" s="1387">
        <f t="shared" si="82"/>
        <v>0</v>
      </c>
      <c r="AK183" s="1387">
        <f>IF(AI183=A183,IF(AND(L183="N",Table22[[#This Row],[LOQ_label]]="Y"),AJ183,$AJ183*$Y183),"")</f>
        <v>0</v>
      </c>
      <c r="AL183" s="1388">
        <f t="shared" si="83"/>
        <v>0</v>
      </c>
      <c r="AM183" s="1393">
        <f>IF(Table22[[#This Row],[Highest residue * CF*PF]]&lt;&gt;"",Table22[[#This Row],[Highest residue * CF*PF]],Table22[[#This Row],[MRL*CF*PF or MRL (if LOQ and not authorised) (acute RA)]])</f>
        <v>0</v>
      </c>
      <c r="AN183" s="1390" t="str">
        <f t="shared" si="84"/>
        <v>MRL</v>
      </c>
      <c r="AO183" s="1390" t="str">
        <f t="shared" si="85"/>
        <v/>
      </c>
      <c r="AP183" s="1404" t="str">
        <f t="shared" si="86"/>
        <v/>
      </c>
      <c r="AQ183" s="1388">
        <f t="shared" si="87"/>
        <v>0</v>
      </c>
      <c r="AR183" s="1388" t="str">
        <f t="shared" si="88"/>
        <v/>
      </c>
      <c r="AS183" s="1388" t="str">
        <f t="shared" si="89"/>
        <v/>
      </c>
      <c r="AT183" s="1388" t="str">
        <f t="shared" si="90"/>
        <v/>
      </c>
      <c r="AU183" s="1393">
        <f t="shared" si="91"/>
        <v>0</v>
      </c>
      <c r="AV183" s="1388">
        <f t="shared" si="92"/>
        <v>0</v>
      </c>
      <c r="AW183" s="1390" t="str">
        <f t="shared" si="93"/>
        <v/>
      </c>
      <c r="AX183" s="1390" t="str">
        <f t="shared" si="114"/>
        <v/>
      </c>
      <c r="AY183" s="1394" t="str">
        <f t="shared" si="94"/>
        <v/>
      </c>
      <c r="AZ183" s="1395" t="str">
        <f>IF(Table22[[#This Row],[LOQ_label]]="Y",Table22[[#This Row],[MRL individual commodity]],"")</f>
        <v/>
      </c>
      <c r="BA183" s="1396" t="s">
        <v>1038</v>
      </c>
      <c r="BB183" s="1411" t="str">
        <f>IF(Table22[[#This Row],[LOQ2]]&lt;0,MIN(AZ183:AZ559),"")</f>
        <v/>
      </c>
      <c r="BC183" s="1299"/>
      <c r="BD183" s="1306" t="str">
        <f>IF(Table22[[#This Row],[Chronic RA label]]="","N",IF(Table22[[#This Row],[Chronic RA label]]="LOQ","N",IF(Table22[[#This Row],[Chronic RA label]]="MRL","N","Y")))</f>
        <v>N</v>
      </c>
      <c r="BE183" s="1306" t="str">
        <f>IF(Table22[[#This Row],[Acute RA label]]="","N",IF(Table22[[#This Row],[Acute RA label]]="LOQ","N",IF(Table22[[#This Row],[Acute RA label]]="MRL","N","Y")))</f>
        <v>N</v>
      </c>
      <c r="BF183" s="1306" t="str">
        <f>IF(OR(Table22[[#This Row],[include commodity in Summary_input_values_chronic]]="Y",Table22[[#This Row],[include commodity in Summary_input_values_acute]]="Y"),"Y","N")</f>
        <v>N</v>
      </c>
      <c r="BG183" s="1299"/>
      <c r="BH183" s="1324"/>
    </row>
    <row r="184" spans="1:60" ht="12.75" customHeight="1" outlineLevel="3" x14ac:dyDescent="0.2">
      <c r="A184" s="39">
        <v>4</v>
      </c>
      <c r="B184" s="327">
        <v>256070</v>
      </c>
      <c r="C184" s="23" t="s">
        <v>134</v>
      </c>
      <c r="D184" s="867"/>
      <c r="E184" s="1219"/>
      <c r="F184" s="867"/>
      <c r="G184" s="869"/>
      <c r="H184" s="863"/>
      <c r="I184" s="868"/>
      <c r="J184" s="870"/>
      <c r="K184" s="865"/>
      <c r="L184" s="872"/>
      <c r="M184" s="872"/>
      <c r="N184" s="925" t="str">
        <f>IF(O184&lt;&gt;0,CONCATENATE(input_values!$AF184,input_values!$AG184,input_values!$AH184),"")</f>
        <v/>
      </c>
      <c r="O184" s="491">
        <f>IF($A$10="Refined calculation mode",Table22[[#This Row],[input for chronic (refined mode]],Table22[[#This Row],[input for chronic normal mode]])</f>
        <v>0</v>
      </c>
      <c r="P184" s="925" t="str">
        <f>IF(Q184&lt;&gt;0,CONCATENATE(input_values!$AN184,input_values!$AO184,input_values!$AP184),"")</f>
        <v/>
      </c>
      <c r="Q184" s="491">
        <f>IF($V$5=0,0,IF(OR($A$10="Refined calculation mode",Results!$B$62="Show results of IESTI calculation only for crops with GAPs under assessment"),Table22[[#This Row],[Input for IESTI (refined mode)]],Table22[[#This Row],[Input for IESTI normal mode]]))</f>
        <v>0</v>
      </c>
      <c r="R184" s="926" t="str">
        <f>IF(S184&lt;&gt;0,CONCATENATE(input_values!$AW184,input_values!$AX184,input_values!$AY184),"")</f>
        <v/>
      </c>
      <c r="S184" s="492">
        <f>IF($V$5=0,0,IF(OR($A$10="Refined calculation mode",Results!$B$62="Show results of IESTI calculation only for crops with GAPs under assessment"),Table22[[#This Row],[Input for IESTI new (refined mode)]],Table22[[#This Row],[Input for IESTI new normal mode]]))</f>
        <v>0</v>
      </c>
      <c r="T184" s="886"/>
      <c r="U184" s="1408">
        <f>Table22[[#This Row],[MRL/ proposed MRL /CXL
(mg/kg)]]</f>
        <v>0</v>
      </c>
      <c r="V184" s="1409" t="str">
        <f t="shared" si="110"/>
        <v/>
      </c>
      <c r="W184" s="1387">
        <f t="shared" si="111"/>
        <v>1</v>
      </c>
      <c r="X184" s="1387">
        <f t="shared" si="112"/>
        <v>1</v>
      </c>
      <c r="Y184" s="1387">
        <f t="shared" si="113"/>
        <v>1</v>
      </c>
      <c r="Z184" s="1410">
        <v>4</v>
      </c>
      <c r="AA184" s="1387">
        <f t="shared" si="76"/>
        <v>0</v>
      </c>
      <c r="AB184" s="1387">
        <f>IF(Z184=A184,IF(AND(L184="N",Table22[[#This Row],[LOQ_label]]="Y"),AA184,$AA184*$Y184),"")</f>
        <v>0</v>
      </c>
      <c r="AC184" s="1393">
        <f t="shared" si="77"/>
        <v>0</v>
      </c>
      <c r="AD184" s="1393">
        <f>IF(Table22[[#This Row],[Median residue*CF*PeF]]&lt;&gt;"",Table22[[#This Row],[Median residue*CF*PeF]],Table22[[#This Row],[MRL*CF*PeF (chronic)]])</f>
        <v>0</v>
      </c>
      <c r="AE184" s="1393">
        <f t="shared" si="78"/>
        <v>0</v>
      </c>
      <c r="AF184" s="1390" t="str">
        <f t="shared" si="79"/>
        <v>MRL</v>
      </c>
      <c r="AG184" s="1390" t="str">
        <f t="shared" si="80"/>
        <v/>
      </c>
      <c r="AH184" s="1394" t="str">
        <f t="shared" si="81"/>
        <v/>
      </c>
      <c r="AI184" s="1386">
        <v>4</v>
      </c>
      <c r="AJ184" s="1387">
        <f t="shared" si="82"/>
        <v>0</v>
      </c>
      <c r="AK184" s="1387">
        <f>IF(AI184=A184,IF(AND(L184="N",Table22[[#This Row],[LOQ_label]]="Y"),AJ184,$AJ184*$Y184),"")</f>
        <v>0</v>
      </c>
      <c r="AL184" s="1388">
        <f t="shared" si="83"/>
        <v>0</v>
      </c>
      <c r="AM184" s="1393">
        <f>IF(Table22[[#This Row],[Highest residue * CF*PF]]&lt;&gt;"",Table22[[#This Row],[Highest residue * CF*PF]],Table22[[#This Row],[MRL*CF*PF or MRL (if LOQ and not authorised) (acute RA)]])</f>
        <v>0</v>
      </c>
      <c r="AN184" s="1390" t="str">
        <f t="shared" si="84"/>
        <v>MRL</v>
      </c>
      <c r="AO184" s="1390" t="str">
        <f t="shared" si="85"/>
        <v/>
      </c>
      <c r="AP184" s="1404" t="str">
        <f t="shared" si="86"/>
        <v/>
      </c>
      <c r="AQ184" s="1388">
        <f t="shared" si="87"/>
        <v>0</v>
      </c>
      <c r="AR184" s="1388" t="str">
        <f t="shared" si="88"/>
        <v/>
      </c>
      <c r="AS184" s="1388" t="str">
        <f t="shared" si="89"/>
        <v/>
      </c>
      <c r="AT184" s="1388" t="str">
        <f t="shared" si="90"/>
        <v/>
      </c>
      <c r="AU184" s="1393">
        <f t="shared" si="91"/>
        <v>0</v>
      </c>
      <c r="AV184" s="1388">
        <f t="shared" si="92"/>
        <v>0</v>
      </c>
      <c r="AW184" s="1390" t="str">
        <f t="shared" si="93"/>
        <v/>
      </c>
      <c r="AX184" s="1390" t="str">
        <f t="shared" si="114"/>
        <v/>
      </c>
      <c r="AY184" s="1394" t="str">
        <f t="shared" si="94"/>
        <v/>
      </c>
      <c r="AZ184" s="1395" t="str">
        <f>IF(Table22[[#This Row],[LOQ_label]]="Y",Table22[[#This Row],[MRL individual commodity]],"")</f>
        <v/>
      </c>
      <c r="BA184" s="1396" t="s">
        <v>1038</v>
      </c>
      <c r="BB184" s="1411" t="str">
        <f>IF(Table22[[#This Row],[LOQ2]]&lt;0,MIN(AZ184:AZ560),"")</f>
        <v/>
      </c>
      <c r="BC184" s="1299"/>
      <c r="BD184" s="1306" t="str">
        <f>IF(Table22[[#This Row],[Chronic RA label]]="","N",IF(Table22[[#This Row],[Chronic RA label]]="LOQ","N",IF(Table22[[#This Row],[Chronic RA label]]="MRL","N","Y")))</f>
        <v>N</v>
      </c>
      <c r="BE184" s="1306" t="str">
        <f>IF(Table22[[#This Row],[Acute RA label]]="","N",IF(Table22[[#This Row],[Acute RA label]]="LOQ","N",IF(Table22[[#This Row],[Acute RA label]]="MRL","N","Y")))</f>
        <v>N</v>
      </c>
      <c r="BF184" s="1306" t="str">
        <f>IF(OR(Table22[[#This Row],[include commodity in Summary_input_values_chronic]]="Y",Table22[[#This Row],[include commodity in Summary_input_values_acute]]="Y"),"Y","N")</f>
        <v>N</v>
      </c>
      <c r="BG184" s="1299"/>
      <c r="BH184" s="1324"/>
    </row>
    <row r="185" spans="1:60" ht="12.75" customHeight="1" outlineLevel="3" x14ac:dyDescent="0.2">
      <c r="A185" s="39">
        <v>4</v>
      </c>
      <c r="B185" s="327">
        <v>256080</v>
      </c>
      <c r="C185" s="23" t="s">
        <v>735</v>
      </c>
      <c r="D185" s="867"/>
      <c r="E185" s="1219"/>
      <c r="F185" s="867"/>
      <c r="G185" s="869"/>
      <c r="H185" s="863"/>
      <c r="I185" s="868"/>
      <c r="J185" s="870"/>
      <c r="K185" s="865"/>
      <c r="L185" s="872"/>
      <c r="M185" s="872"/>
      <c r="N185" s="925" t="str">
        <f>IF(O185&lt;&gt;0,CONCATENATE(input_values!$AF185,input_values!$AG185,input_values!$AH185),"")</f>
        <v/>
      </c>
      <c r="O185" s="491">
        <f>IF($A$10="Refined calculation mode",Table22[[#This Row],[input for chronic (refined mode]],Table22[[#This Row],[input for chronic normal mode]])</f>
        <v>0</v>
      </c>
      <c r="P185" s="925" t="str">
        <f>IF(Q185&lt;&gt;0,CONCATENATE(input_values!$AN185,input_values!$AO185,input_values!$AP185),"")</f>
        <v/>
      </c>
      <c r="Q185" s="491">
        <f>IF($V$5=0,0,IF(OR($A$10="Refined calculation mode",Results!$B$62="Show results of IESTI calculation only for crops with GAPs under assessment"),Table22[[#This Row],[Input for IESTI (refined mode)]],Table22[[#This Row],[Input for IESTI normal mode]]))</f>
        <v>0</v>
      </c>
      <c r="R185" s="926" t="str">
        <f>IF(S185&lt;&gt;0,CONCATENATE(input_values!$AW185,input_values!$AX185,input_values!$AY185),"")</f>
        <v/>
      </c>
      <c r="S185" s="492">
        <f>IF($V$5=0,0,IF(OR($A$10="Refined calculation mode",Results!$B$62="Show results of IESTI calculation only for crops with GAPs under assessment"),Table22[[#This Row],[Input for IESTI new (refined mode)]],Table22[[#This Row],[Input for IESTI new normal mode]]))</f>
        <v>0</v>
      </c>
      <c r="T185" s="886"/>
      <c r="U185" s="1408">
        <f>Table22[[#This Row],[MRL/ proposed MRL /CXL
(mg/kg)]]</f>
        <v>0</v>
      </c>
      <c r="V185" s="1409" t="str">
        <f t="shared" si="110"/>
        <v/>
      </c>
      <c r="W185" s="1387">
        <f t="shared" si="111"/>
        <v>1</v>
      </c>
      <c r="X185" s="1387">
        <f t="shared" si="112"/>
        <v>1</v>
      </c>
      <c r="Y185" s="1387">
        <f t="shared" si="113"/>
        <v>1</v>
      </c>
      <c r="Z185" s="1410">
        <v>4</v>
      </c>
      <c r="AA185" s="1387">
        <f t="shared" si="76"/>
        <v>0</v>
      </c>
      <c r="AB185" s="1387">
        <f>IF(Z185=A185,IF(AND(L185="N",Table22[[#This Row],[LOQ_label]]="Y"),AA185,$AA185*$Y185),"")</f>
        <v>0</v>
      </c>
      <c r="AC185" s="1393">
        <f t="shared" si="77"/>
        <v>0</v>
      </c>
      <c r="AD185" s="1393">
        <f>IF(Table22[[#This Row],[Median residue*CF*PeF]]&lt;&gt;"",Table22[[#This Row],[Median residue*CF*PeF]],Table22[[#This Row],[MRL*CF*PeF (chronic)]])</f>
        <v>0</v>
      </c>
      <c r="AE185" s="1393">
        <f t="shared" si="78"/>
        <v>0</v>
      </c>
      <c r="AF185" s="1390" t="str">
        <f t="shared" si="79"/>
        <v>MRL</v>
      </c>
      <c r="AG185" s="1390" t="str">
        <f t="shared" si="80"/>
        <v/>
      </c>
      <c r="AH185" s="1394" t="str">
        <f t="shared" si="81"/>
        <v/>
      </c>
      <c r="AI185" s="1386">
        <v>4</v>
      </c>
      <c r="AJ185" s="1387">
        <f t="shared" si="82"/>
        <v>0</v>
      </c>
      <c r="AK185" s="1387">
        <f>IF(AI185=A185,IF(AND(L185="N",Table22[[#This Row],[LOQ_label]]="Y"),AJ185,$AJ185*$Y185),"")</f>
        <v>0</v>
      </c>
      <c r="AL185" s="1388">
        <f t="shared" si="83"/>
        <v>0</v>
      </c>
      <c r="AM185" s="1393">
        <f>IF(Table22[[#This Row],[Highest residue * CF*PF]]&lt;&gt;"",Table22[[#This Row],[Highest residue * CF*PF]],Table22[[#This Row],[MRL*CF*PF or MRL (if LOQ and not authorised) (acute RA)]])</f>
        <v>0</v>
      </c>
      <c r="AN185" s="1390" t="str">
        <f t="shared" si="84"/>
        <v>MRL</v>
      </c>
      <c r="AO185" s="1390" t="str">
        <f t="shared" si="85"/>
        <v/>
      </c>
      <c r="AP185" s="1404" t="str">
        <f t="shared" si="86"/>
        <v/>
      </c>
      <c r="AQ185" s="1388">
        <f t="shared" si="87"/>
        <v>0</v>
      </c>
      <c r="AR185" s="1388" t="str">
        <f t="shared" si="88"/>
        <v/>
      </c>
      <c r="AS185" s="1388" t="str">
        <f t="shared" si="89"/>
        <v/>
      </c>
      <c r="AT185" s="1388" t="str">
        <f t="shared" si="90"/>
        <v/>
      </c>
      <c r="AU185" s="1393">
        <f t="shared" si="91"/>
        <v>0</v>
      </c>
      <c r="AV185" s="1388">
        <f t="shared" si="92"/>
        <v>0</v>
      </c>
      <c r="AW185" s="1390" t="str">
        <f t="shared" si="93"/>
        <v/>
      </c>
      <c r="AX185" s="1390" t="str">
        <f t="shared" si="114"/>
        <v/>
      </c>
      <c r="AY185" s="1394" t="str">
        <f t="shared" si="94"/>
        <v/>
      </c>
      <c r="AZ185" s="1395" t="str">
        <f>IF(Table22[[#This Row],[LOQ_label]]="Y",Table22[[#This Row],[MRL individual commodity]],"")</f>
        <v/>
      </c>
      <c r="BA185" s="1396" t="s">
        <v>1038</v>
      </c>
      <c r="BB185" s="1411" t="str">
        <f>IF(Table22[[#This Row],[LOQ2]]&lt;0,MIN(AZ185:AZ561),"")</f>
        <v/>
      </c>
      <c r="BC185" s="1299"/>
      <c r="BD185" s="1306" t="str">
        <f>IF(Table22[[#This Row],[Chronic RA label]]="","N",IF(Table22[[#This Row],[Chronic RA label]]="LOQ","N",IF(Table22[[#This Row],[Chronic RA label]]="MRL","N","Y")))</f>
        <v>N</v>
      </c>
      <c r="BE185" s="1306" t="str">
        <f>IF(Table22[[#This Row],[Acute RA label]]="","N",IF(Table22[[#This Row],[Acute RA label]]="LOQ","N",IF(Table22[[#This Row],[Acute RA label]]="MRL","N","Y")))</f>
        <v>N</v>
      </c>
      <c r="BF185" s="1306" t="str">
        <f>IF(OR(Table22[[#This Row],[include commodity in Summary_input_values_chronic]]="Y",Table22[[#This Row],[include commodity in Summary_input_values_acute]]="Y"),"Y","N")</f>
        <v>N</v>
      </c>
      <c r="BG185" s="1299"/>
      <c r="BH185" s="1324"/>
    </row>
    <row r="186" spans="1:60" ht="12.75" customHeight="1" outlineLevel="3" x14ac:dyDescent="0.2">
      <c r="A186" s="39">
        <v>4</v>
      </c>
      <c r="B186" s="327">
        <v>256090</v>
      </c>
      <c r="C186" s="23" t="s">
        <v>736</v>
      </c>
      <c r="D186" s="867"/>
      <c r="E186" s="1219"/>
      <c r="F186" s="867"/>
      <c r="G186" s="869"/>
      <c r="H186" s="863"/>
      <c r="I186" s="868"/>
      <c r="J186" s="870"/>
      <c r="K186" s="865"/>
      <c r="L186" s="872"/>
      <c r="M186" s="872"/>
      <c r="N186" s="925" t="str">
        <f>IF(O186&lt;&gt;0,CONCATENATE(input_values!$AF186,input_values!$AG186,input_values!$AH186),"")</f>
        <v/>
      </c>
      <c r="O186" s="491">
        <f>IF($A$10="Refined calculation mode",Table22[[#This Row],[input for chronic (refined mode]],Table22[[#This Row],[input for chronic normal mode]])</f>
        <v>0</v>
      </c>
      <c r="P186" s="925" t="str">
        <f>IF(Q186&lt;&gt;0,CONCATENATE(input_values!$AN186,input_values!$AO186,input_values!$AP186),"")</f>
        <v/>
      </c>
      <c r="Q186" s="491">
        <f>IF($V$5=0,0,IF(OR($A$10="Refined calculation mode",Results!$B$62="Show results of IESTI calculation only for crops with GAPs under assessment"),Table22[[#This Row],[Input for IESTI (refined mode)]],Table22[[#This Row],[Input for IESTI normal mode]]))</f>
        <v>0</v>
      </c>
      <c r="R186" s="926" t="str">
        <f>IF(S186&lt;&gt;0,CONCATENATE(input_values!$AW186,input_values!$AX186,input_values!$AY186),"")</f>
        <v/>
      </c>
      <c r="S186" s="492">
        <f>IF($V$5=0,0,IF(OR($A$10="Refined calculation mode",Results!$B$62="Show results of IESTI calculation only for crops with GAPs under assessment"),Table22[[#This Row],[Input for IESTI new (refined mode)]],Table22[[#This Row],[Input for IESTI new normal mode]]))</f>
        <v>0</v>
      </c>
      <c r="T186" s="886"/>
      <c r="U186" s="1408">
        <f>Table22[[#This Row],[MRL/ proposed MRL /CXL
(mg/kg)]]</f>
        <v>0</v>
      </c>
      <c r="V186" s="1409" t="str">
        <f t="shared" si="110"/>
        <v/>
      </c>
      <c r="W186" s="1387">
        <f t="shared" si="111"/>
        <v>1</v>
      </c>
      <c r="X186" s="1387">
        <f t="shared" si="112"/>
        <v>1</v>
      </c>
      <c r="Y186" s="1387">
        <f t="shared" si="113"/>
        <v>1</v>
      </c>
      <c r="Z186" s="1410">
        <v>4</v>
      </c>
      <c r="AA186" s="1387">
        <f t="shared" si="76"/>
        <v>0</v>
      </c>
      <c r="AB186" s="1387">
        <f>IF(Z186=A186,IF(AND(L186="N",Table22[[#This Row],[LOQ_label]]="Y"),AA186,$AA186*$Y186),"")</f>
        <v>0</v>
      </c>
      <c r="AC186" s="1393">
        <f t="shared" si="77"/>
        <v>0</v>
      </c>
      <c r="AD186" s="1393">
        <f>IF(Table22[[#This Row],[Median residue*CF*PeF]]&lt;&gt;"",Table22[[#This Row],[Median residue*CF*PeF]],Table22[[#This Row],[MRL*CF*PeF (chronic)]])</f>
        <v>0</v>
      </c>
      <c r="AE186" s="1393">
        <f t="shared" si="78"/>
        <v>0</v>
      </c>
      <c r="AF186" s="1390" t="str">
        <f t="shared" si="79"/>
        <v>MRL</v>
      </c>
      <c r="AG186" s="1390" t="str">
        <f t="shared" si="80"/>
        <v/>
      </c>
      <c r="AH186" s="1394" t="str">
        <f t="shared" si="81"/>
        <v/>
      </c>
      <c r="AI186" s="1386">
        <v>4</v>
      </c>
      <c r="AJ186" s="1387">
        <f t="shared" si="82"/>
        <v>0</v>
      </c>
      <c r="AK186" s="1387">
        <f>IF(AI186=A186,IF(AND(L186="N",Table22[[#This Row],[LOQ_label]]="Y"),AJ186,$AJ186*$Y186),"")</f>
        <v>0</v>
      </c>
      <c r="AL186" s="1388">
        <f t="shared" si="83"/>
        <v>0</v>
      </c>
      <c r="AM186" s="1393">
        <f>IF(Table22[[#This Row],[Highest residue * CF*PF]]&lt;&gt;"",Table22[[#This Row],[Highest residue * CF*PF]],Table22[[#This Row],[MRL*CF*PF or MRL (if LOQ and not authorised) (acute RA)]])</f>
        <v>0</v>
      </c>
      <c r="AN186" s="1390" t="str">
        <f t="shared" si="84"/>
        <v>MRL</v>
      </c>
      <c r="AO186" s="1390" t="str">
        <f t="shared" si="85"/>
        <v/>
      </c>
      <c r="AP186" s="1404" t="str">
        <f t="shared" si="86"/>
        <v/>
      </c>
      <c r="AQ186" s="1388">
        <f t="shared" si="87"/>
        <v>0</v>
      </c>
      <c r="AR186" s="1388" t="str">
        <f t="shared" si="88"/>
        <v/>
      </c>
      <c r="AS186" s="1388" t="str">
        <f t="shared" si="89"/>
        <v/>
      </c>
      <c r="AT186" s="1388" t="str">
        <f t="shared" si="90"/>
        <v/>
      </c>
      <c r="AU186" s="1393">
        <f t="shared" si="91"/>
        <v>0</v>
      </c>
      <c r="AV186" s="1388">
        <f t="shared" si="92"/>
        <v>0</v>
      </c>
      <c r="AW186" s="1390" t="str">
        <f t="shared" si="93"/>
        <v/>
      </c>
      <c r="AX186" s="1390" t="str">
        <f t="shared" si="114"/>
        <v/>
      </c>
      <c r="AY186" s="1394" t="str">
        <f t="shared" si="94"/>
        <v/>
      </c>
      <c r="AZ186" s="1395" t="str">
        <f>IF(Table22[[#This Row],[LOQ_label]]="Y",Table22[[#This Row],[MRL individual commodity]],"")</f>
        <v/>
      </c>
      <c r="BA186" s="1396" t="s">
        <v>1038</v>
      </c>
      <c r="BB186" s="1411" t="str">
        <f>IF(Table22[[#This Row],[LOQ2]]&lt;0,MIN(AZ186:AZ562),"")</f>
        <v/>
      </c>
      <c r="BC186" s="1299"/>
      <c r="BD186" s="1306" t="str">
        <f>IF(Table22[[#This Row],[Chronic RA label]]="","N",IF(Table22[[#This Row],[Chronic RA label]]="LOQ","N",IF(Table22[[#This Row],[Chronic RA label]]="MRL","N","Y")))</f>
        <v>N</v>
      </c>
      <c r="BE186" s="1306" t="str">
        <f>IF(Table22[[#This Row],[Acute RA label]]="","N",IF(Table22[[#This Row],[Acute RA label]]="LOQ","N",IF(Table22[[#This Row],[Acute RA label]]="MRL","N","Y")))</f>
        <v>N</v>
      </c>
      <c r="BF186" s="1306" t="str">
        <f>IF(OR(Table22[[#This Row],[include commodity in Summary_input_values_chronic]]="Y",Table22[[#This Row],[include commodity in Summary_input_values_acute]]="Y"),"Y","N")</f>
        <v>N</v>
      </c>
      <c r="BG186" s="1299"/>
      <c r="BH186" s="1324"/>
    </row>
    <row r="187" spans="1:60" ht="12.75" customHeight="1" outlineLevel="3" x14ac:dyDescent="0.2">
      <c r="A187" s="39">
        <v>4</v>
      </c>
      <c r="B187" s="327">
        <v>256100</v>
      </c>
      <c r="C187" s="23" t="s">
        <v>31</v>
      </c>
      <c r="D187" s="867"/>
      <c r="E187" s="1219"/>
      <c r="F187" s="867"/>
      <c r="G187" s="869"/>
      <c r="H187" s="863"/>
      <c r="I187" s="868"/>
      <c r="J187" s="870"/>
      <c r="K187" s="865"/>
      <c r="L187" s="872"/>
      <c r="M187" s="872"/>
      <c r="N187" s="925" t="str">
        <f>IF(O187&lt;&gt;0,CONCATENATE(input_values!$AF187,input_values!$AG187,input_values!$AH187),"")</f>
        <v/>
      </c>
      <c r="O187" s="491">
        <f>IF($A$10="Refined calculation mode",Table22[[#This Row],[input for chronic (refined mode]],Table22[[#This Row],[input for chronic normal mode]])</f>
        <v>0</v>
      </c>
      <c r="P187" s="925" t="str">
        <f>IF(Q187&lt;&gt;0,CONCATENATE(input_values!$AN187,input_values!$AO187,input_values!$AP187),"")</f>
        <v/>
      </c>
      <c r="Q187" s="491">
        <f>IF($V$5=0,0,IF(OR($A$10="Refined calculation mode",Results!$B$62="Show results of IESTI calculation only for crops with GAPs under assessment"),Table22[[#This Row],[Input for IESTI (refined mode)]],Table22[[#This Row],[Input for IESTI normal mode]]))</f>
        <v>0</v>
      </c>
      <c r="R187" s="926" t="str">
        <f>IF(S187&lt;&gt;0,CONCATENATE(input_values!$AW187,input_values!$AX187,input_values!$AY187),"")</f>
        <v/>
      </c>
      <c r="S187" s="492">
        <f>IF($V$5=0,0,IF(OR($A$10="Refined calculation mode",Results!$B$62="Show results of IESTI calculation only for crops with GAPs under assessment"),Table22[[#This Row],[Input for IESTI new (refined mode)]],Table22[[#This Row],[Input for IESTI new normal mode]]))</f>
        <v>0</v>
      </c>
      <c r="T187" s="886"/>
      <c r="U187" s="1408">
        <f>Table22[[#This Row],[MRL/ proposed MRL /CXL
(mg/kg)]]</f>
        <v>0</v>
      </c>
      <c r="V187" s="1409" t="str">
        <f t="shared" si="110"/>
        <v/>
      </c>
      <c r="W187" s="1387">
        <f t="shared" si="111"/>
        <v>1</v>
      </c>
      <c r="X187" s="1387">
        <f t="shared" si="112"/>
        <v>1</v>
      </c>
      <c r="Y187" s="1387">
        <f t="shared" si="113"/>
        <v>1</v>
      </c>
      <c r="Z187" s="1410">
        <v>4</v>
      </c>
      <c r="AA187" s="1387">
        <f t="shared" si="76"/>
        <v>0</v>
      </c>
      <c r="AB187" s="1387">
        <f>IF(Z187=A187,IF(AND(L187="N",Table22[[#This Row],[LOQ_label]]="Y"),AA187,$AA187*$Y187),"")</f>
        <v>0</v>
      </c>
      <c r="AC187" s="1393">
        <f t="shared" si="77"/>
        <v>0</v>
      </c>
      <c r="AD187" s="1393">
        <f>IF(Table22[[#This Row],[Median residue*CF*PeF]]&lt;&gt;"",Table22[[#This Row],[Median residue*CF*PeF]],Table22[[#This Row],[MRL*CF*PeF (chronic)]])</f>
        <v>0</v>
      </c>
      <c r="AE187" s="1393">
        <f t="shared" si="78"/>
        <v>0</v>
      </c>
      <c r="AF187" s="1390" t="str">
        <f t="shared" si="79"/>
        <v>MRL</v>
      </c>
      <c r="AG187" s="1390" t="str">
        <f t="shared" si="80"/>
        <v/>
      </c>
      <c r="AH187" s="1394" t="str">
        <f t="shared" si="81"/>
        <v/>
      </c>
      <c r="AI187" s="1386">
        <v>4</v>
      </c>
      <c r="AJ187" s="1387">
        <f t="shared" si="82"/>
        <v>0</v>
      </c>
      <c r="AK187" s="1387">
        <f>IF(AI187=A187,IF(AND(L187="N",Table22[[#This Row],[LOQ_label]]="Y"),AJ187,$AJ187*$Y187),"")</f>
        <v>0</v>
      </c>
      <c r="AL187" s="1388">
        <f t="shared" si="83"/>
        <v>0</v>
      </c>
      <c r="AM187" s="1393">
        <f>IF(Table22[[#This Row],[Highest residue * CF*PF]]&lt;&gt;"",Table22[[#This Row],[Highest residue * CF*PF]],Table22[[#This Row],[MRL*CF*PF or MRL (if LOQ and not authorised) (acute RA)]])</f>
        <v>0</v>
      </c>
      <c r="AN187" s="1390" t="str">
        <f t="shared" si="84"/>
        <v>MRL</v>
      </c>
      <c r="AO187" s="1390" t="str">
        <f t="shared" si="85"/>
        <v/>
      </c>
      <c r="AP187" s="1404" t="str">
        <f t="shared" si="86"/>
        <v/>
      </c>
      <c r="AQ187" s="1388">
        <f t="shared" si="87"/>
        <v>0</v>
      </c>
      <c r="AR187" s="1388" t="str">
        <f t="shared" si="88"/>
        <v/>
      </c>
      <c r="AS187" s="1388" t="str">
        <f t="shared" si="89"/>
        <v/>
      </c>
      <c r="AT187" s="1388" t="str">
        <f t="shared" si="90"/>
        <v/>
      </c>
      <c r="AU187" s="1393">
        <f t="shared" si="91"/>
        <v>0</v>
      </c>
      <c r="AV187" s="1388">
        <f t="shared" si="92"/>
        <v>0</v>
      </c>
      <c r="AW187" s="1390" t="str">
        <f t="shared" si="93"/>
        <v/>
      </c>
      <c r="AX187" s="1390" t="str">
        <f t="shared" si="114"/>
        <v/>
      </c>
      <c r="AY187" s="1394" t="str">
        <f t="shared" si="94"/>
        <v/>
      </c>
      <c r="AZ187" s="1395" t="str">
        <f>IF(Table22[[#This Row],[LOQ_label]]="Y",Table22[[#This Row],[MRL individual commodity]],"")</f>
        <v/>
      </c>
      <c r="BA187" s="1396" t="s">
        <v>1038</v>
      </c>
      <c r="BB187" s="1411" t="str">
        <f>IF(Table22[[#This Row],[LOQ2]]&lt;0,MIN(AZ187:AZ563),"")</f>
        <v/>
      </c>
      <c r="BC187" s="1299"/>
      <c r="BD187" s="1306" t="str">
        <f>IF(Table22[[#This Row],[Chronic RA label]]="","N",IF(Table22[[#This Row],[Chronic RA label]]="LOQ","N",IF(Table22[[#This Row],[Chronic RA label]]="MRL","N","Y")))</f>
        <v>N</v>
      </c>
      <c r="BE187" s="1306" t="str">
        <f>IF(Table22[[#This Row],[Acute RA label]]="","N",IF(Table22[[#This Row],[Acute RA label]]="LOQ","N",IF(Table22[[#This Row],[Acute RA label]]="MRL","N","Y")))</f>
        <v>N</v>
      </c>
      <c r="BF187" s="1306" t="str">
        <f>IF(OR(Table22[[#This Row],[include commodity in Summary_input_values_chronic]]="Y",Table22[[#This Row],[include commodity in Summary_input_values_acute]]="Y"),"Y","N")</f>
        <v>N</v>
      </c>
      <c r="BG187" s="1299"/>
      <c r="BH187" s="1324"/>
    </row>
    <row r="188" spans="1:60" ht="12.75" customHeight="1" outlineLevel="3" x14ac:dyDescent="0.2">
      <c r="A188" s="39">
        <v>4</v>
      </c>
      <c r="B188" s="327">
        <v>256990</v>
      </c>
      <c r="C188" s="23" t="s">
        <v>175</v>
      </c>
      <c r="D188" s="867"/>
      <c r="E188" s="1219"/>
      <c r="F188" s="867"/>
      <c r="G188" s="868"/>
      <c r="H188" s="863"/>
      <c r="I188" s="868"/>
      <c r="J188" s="870"/>
      <c r="K188" s="865"/>
      <c r="L188" s="872"/>
      <c r="M188" s="872"/>
      <c r="N188" s="925" t="str">
        <f>IF(O188&lt;&gt;0,CONCATENATE(input_values!$AF188,input_values!$AG188,input_values!$AH188),"")</f>
        <v/>
      </c>
      <c r="O188" s="491">
        <f>IF($A$10="Refined calculation mode",Table22[[#This Row],[input for chronic (refined mode]],Table22[[#This Row],[input for chronic normal mode]])</f>
        <v>0</v>
      </c>
      <c r="P188" s="473"/>
      <c r="Q188" s="474"/>
      <c r="R188" s="473"/>
      <c r="S188" s="474"/>
      <c r="T188" s="886"/>
      <c r="U188" s="1408">
        <f>Table22[[#This Row],[MRL/ proposed MRL /CXL
(mg/kg)]]</f>
        <v>0</v>
      </c>
      <c r="V188" s="1409" t="str">
        <f t="shared" si="110"/>
        <v/>
      </c>
      <c r="W188" s="1387">
        <f t="shared" si="111"/>
        <v>1</v>
      </c>
      <c r="X188" s="1387">
        <f t="shared" si="112"/>
        <v>1</v>
      </c>
      <c r="Y188" s="1387">
        <f t="shared" si="113"/>
        <v>1</v>
      </c>
      <c r="Z188" s="1410">
        <v>4</v>
      </c>
      <c r="AA188" s="1387">
        <f t="shared" si="76"/>
        <v>0</v>
      </c>
      <c r="AB188" s="1387">
        <f>IF(Z188=A188,IF(AND(L188="N",Table22[[#This Row],[LOQ_label]]="Y"),AA188,$AA188*$Y188),"")</f>
        <v>0</v>
      </c>
      <c r="AC188" s="1393">
        <f t="shared" si="77"/>
        <v>0</v>
      </c>
      <c r="AD188" s="1393">
        <f>IF(Table22[[#This Row],[Median residue*CF*PeF]]&lt;&gt;"",Table22[[#This Row],[Median residue*CF*PeF]],Table22[[#This Row],[MRL*CF*PeF (chronic)]])</f>
        <v>0</v>
      </c>
      <c r="AE188" s="1393">
        <f t="shared" si="78"/>
        <v>0</v>
      </c>
      <c r="AF188" s="1390" t="str">
        <f t="shared" si="79"/>
        <v>MRL</v>
      </c>
      <c r="AG188" s="1390" t="str">
        <f t="shared" si="80"/>
        <v/>
      </c>
      <c r="AH188" s="1394" t="str">
        <f t="shared" si="81"/>
        <v/>
      </c>
      <c r="AI188" s="1386"/>
      <c r="AJ188" s="1387" t="str">
        <f t="shared" si="82"/>
        <v/>
      </c>
      <c r="AK188" s="1387" t="str">
        <f>IF(AI188=A188,IF(AND(L188="N",Table22[[#This Row],[LOQ_label]]="Y"),AJ188,$AJ188*$Y188),"")</f>
        <v/>
      </c>
      <c r="AL188" s="1388" t="str">
        <f t="shared" si="83"/>
        <v/>
      </c>
      <c r="AM188" s="1393" t="str">
        <f>IF(Table22[[#This Row],[Highest residue * CF*PF]]&lt;&gt;"",Table22[[#This Row],[Highest residue * CF*PF]],Table22[[#This Row],[MRL*CF*PF or MRL (if LOQ and not authorised) (acute RA)]])</f>
        <v/>
      </c>
      <c r="AN188" s="1390" t="str">
        <f t="shared" si="84"/>
        <v/>
      </c>
      <c r="AO188" s="1390" t="str">
        <f t="shared" si="85"/>
        <v/>
      </c>
      <c r="AP188" s="1404" t="str">
        <f t="shared" si="86"/>
        <v/>
      </c>
      <c r="AQ188" s="1388">
        <f t="shared" si="87"/>
        <v>0</v>
      </c>
      <c r="AR188" s="1388" t="str">
        <f t="shared" si="88"/>
        <v/>
      </c>
      <c r="AS188" s="1388" t="str">
        <f t="shared" si="89"/>
        <v/>
      </c>
      <c r="AT188" s="1388" t="str">
        <f t="shared" si="90"/>
        <v/>
      </c>
      <c r="AU188" s="1393" t="str">
        <f t="shared" si="91"/>
        <v/>
      </c>
      <c r="AV188" s="1388">
        <f t="shared" si="92"/>
        <v>0</v>
      </c>
      <c r="AW188" s="1390" t="str">
        <f t="shared" si="93"/>
        <v/>
      </c>
      <c r="AX188" s="1390" t="str">
        <f>IF(AND(AN188&lt;&gt;"",AY188&lt;&gt;""),"*","")</f>
        <v/>
      </c>
      <c r="AY188" s="1394" t="str">
        <f t="shared" si="94"/>
        <v/>
      </c>
      <c r="AZ188" s="1395" t="str">
        <f>IF(Table22[[#This Row],[LOQ_label]]="Y",Table22[[#This Row],[MRL individual commodity]],"")</f>
        <v/>
      </c>
      <c r="BA188" s="1396" t="s">
        <v>1159</v>
      </c>
      <c r="BB188" s="1411" t="str">
        <f>IF(Table22[[#This Row],[LOQ2]]&lt;0,MIN(AZ188:AZ564),"")</f>
        <v/>
      </c>
      <c r="BC188" s="1299"/>
      <c r="BD188" s="1306" t="str">
        <f>IF(Table22[[#This Row],[Chronic RA label]]="","N",IF(Table22[[#This Row],[Chronic RA label]]="LOQ","N",IF(Table22[[#This Row],[Chronic RA label]]="MRL","N","Y")))</f>
        <v>N</v>
      </c>
      <c r="BE188" s="1306" t="str">
        <f>IF(Table22[[#This Row],[Acute RA label]]="","N",IF(Table22[[#This Row],[Acute RA label]]="LOQ","N",IF(Table22[[#This Row],[Acute RA label]]="MRL","N","Y")))</f>
        <v>N</v>
      </c>
      <c r="BF188" s="1306" t="str">
        <f>IF(OR(Table22[[#This Row],[include commodity in Summary_input_values_chronic]]="Y",Table22[[#This Row],[include commodity in Summary_input_values_acute]]="Y"),"Y","N")</f>
        <v>N</v>
      </c>
      <c r="BG188" s="1299"/>
      <c r="BH188" s="1324"/>
    </row>
    <row r="189" spans="1:60" ht="12.75" customHeight="1" outlineLevel="1" x14ac:dyDescent="0.2">
      <c r="A189" s="130">
        <v>2</v>
      </c>
      <c r="B189" s="447">
        <v>260000</v>
      </c>
      <c r="C189" s="131" t="s">
        <v>354</v>
      </c>
      <c r="D189" s="862"/>
      <c r="E189" s="1218"/>
      <c r="F189" s="862"/>
      <c r="G189" s="866"/>
      <c r="H189" s="863"/>
      <c r="I189" s="863"/>
      <c r="J189" s="864"/>
      <c r="K189" s="865"/>
      <c r="L189" s="471"/>
      <c r="M189" s="471"/>
      <c r="N189" s="473"/>
      <c r="O189" s="474"/>
      <c r="P189" s="473"/>
      <c r="Q189" s="474"/>
      <c r="R189" s="473"/>
      <c r="S189" s="474"/>
      <c r="T189" s="886"/>
      <c r="U189" s="1415"/>
      <c r="V189" s="1380"/>
      <c r="W189" s="1381"/>
      <c r="X189" s="1381"/>
      <c r="Y189" s="1381"/>
      <c r="Z189" s="1382">
        <v>4</v>
      </c>
      <c r="AA189" s="1381" t="str">
        <f t="shared" si="76"/>
        <v/>
      </c>
      <c r="AB189" s="1381" t="str">
        <f>IF(Z189=A189,IF(AND(L189="N",Table22[[#This Row],[LOQ_label]]="Y"),AA189,$AA189*$Y189),"")</f>
        <v/>
      </c>
      <c r="AC189" s="1383" t="str">
        <f t="shared" si="77"/>
        <v/>
      </c>
      <c r="AD189" s="1383" t="str">
        <f>IF(Table22[[#This Row],[Median residue*CF*PeF]]&lt;&gt;"",Table22[[#This Row],[Median residue*CF*PeF]],Table22[[#This Row],[MRL*CF*PeF (chronic)]])</f>
        <v/>
      </c>
      <c r="AE189" s="1384">
        <f t="shared" si="78"/>
        <v>0</v>
      </c>
      <c r="AF189" s="1385" t="str">
        <f t="shared" si="79"/>
        <v/>
      </c>
      <c r="AG189" s="1385" t="str">
        <f t="shared" si="80"/>
        <v/>
      </c>
      <c r="AH189" s="1270" t="str">
        <f t="shared" si="81"/>
        <v/>
      </c>
      <c r="AI189" s="1386">
        <v>4</v>
      </c>
      <c r="AJ189" s="1387" t="str">
        <f t="shared" si="82"/>
        <v/>
      </c>
      <c r="AK189" s="1387" t="str">
        <f>IF(AI189=A189,IF(AND(L189="N",Table22[[#This Row],[LOQ_label]]="Y"),AJ189,$AJ189*$Y189),"")</f>
        <v/>
      </c>
      <c r="AL189" s="1388" t="str">
        <f t="shared" si="83"/>
        <v/>
      </c>
      <c r="AM189" s="1393" t="str">
        <f>IF(Table22[[#This Row],[Highest residue * CF*PF]]&lt;&gt;"",Table22[[#This Row],[Highest residue * CF*PF]],Table22[[#This Row],[MRL*CF*PF or MRL (if LOQ and not authorised) (acute RA)]])</f>
        <v/>
      </c>
      <c r="AN189" s="1390" t="str">
        <f t="shared" si="84"/>
        <v/>
      </c>
      <c r="AO189" s="1390" t="str">
        <f t="shared" si="85"/>
        <v/>
      </c>
      <c r="AP189" s="1404" t="str">
        <f t="shared" si="86"/>
        <v/>
      </c>
      <c r="AQ189" s="1388">
        <f t="shared" si="87"/>
        <v>0</v>
      </c>
      <c r="AR189" s="1388" t="str">
        <f t="shared" si="88"/>
        <v/>
      </c>
      <c r="AS189" s="1388" t="str">
        <f t="shared" si="89"/>
        <v/>
      </c>
      <c r="AT189" s="1388" t="str">
        <f t="shared" si="90"/>
        <v/>
      </c>
      <c r="AU189" s="1393" t="str">
        <f t="shared" si="91"/>
        <v/>
      </c>
      <c r="AV189" s="1388">
        <f t="shared" si="92"/>
        <v>0</v>
      </c>
      <c r="AW189" s="1390" t="str">
        <f t="shared" si="93"/>
        <v/>
      </c>
      <c r="AX189" s="1390" t="str">
        <f>IF(AND(AN189&lt;&gt;"",AY189&lt;&gt;""),"*","")</f>
        <v/>
      </c>
      <c r="AY189" s="1394" t="str">
        <f t="shared" si="94"/>
        <v/>
      </c>
      <c r="AZ189" s="1395">
        <f>IF(Table22[[#This Row],[LOQ_label]]="Y",Table22[[#This Row],[MRL individual commodity]],"")</f>
        <v>0</v>
      </c>
      <c r="BA189" s="1396" t="s">
        <v>1159</v>
      </c>
      <c r="BB189" s="1411" t="str">
        <f>IF(Table22[[#This Row],[LOQ2]]&lt;0,MIN(AZ189:AZ565),"")</f>
        <v/>
      </c>
      <c r="BC189" s="1299"/>
      <c r="BD189" s="1306" t="str">
        <f>IF(Table22[[#This Row],[Chronic RA label]]="","N",IF(Table22[[#This Row],[Chronic RA label]]="LOQ","N",IF(Table22[[#This Row],[Chronic RA label]]="MRL","N","Y")))</f>
        <v>N</v>
      </c>
      <c r="BE189" s="1306" t="str">
        <f>IF(Table22[[#This Row],[Acute RA label]]="","N",IF(Table22[[#This Row],[Acute RA label]]="LOQ","N",IF(Table22[[#This Row],[Acute RA label]]="MRL","N","Y")))</f>
        <v>N</v>
      </c>
      <c r="BF189" s="1306" t="str">
        <f>IF(OR(Table22[[#This Row],[include commodity in Summary_input_values_chronic]]="Y",Table22[[#This Row],[include commodity in Summary_input_values_acute]]="Y"),"Y","N")</f>
        <v>N</v>
      </c>
      <c r="BG189" s="1299"/>
      <c r="BH189" s="1324"/>
    </row>
    <row r="190" spans="1:60" ht="12.75" customHeight="1" outlineLevel="3" x14ac:dyDescent="0.2">
      <c r="A190" s="39">
        <v>4</v>
      </c>
      <c r="B190" s="327">
        <v>260010</v>
      </c>
      <c r="C190" s="23" t="s">
        <v>32</v>
      </c>
      <c r="D190" s="867"/>
      <c r="E190" s="1219"/>
      <c r="F190" s="867"/>
      <c r="G190" s="869"/>
      <c r="H190" s="863"/>
      <c r="I190" s="868"/>
      <c r="J190" s="870"/>
      <c r="K190" s="865"/>
      <c r="L190" s="872"/>
      <c r="M190" s="872"/>
      <c r="N190" s="925" t="str">
        <f>IF(O190&lt;&gt;0,CONCATENATE(input_values!$AF190,input_values!$AG190,input_values!$AH190),"")</f>
        <v/>
      </c>
      <c r="O190" s="491">
        <f>IF($A$10="Refined calculation mode",Table22[[#This Row],[input for chronic (refined mode]],Table22[[#This Row],[input for chronic normal mode]])</f>
        <v>0</v>
      </c>
      <c r="P190" s="925" t="str">
        <f>IF(Q190&lt;&gt;0,CONCATENATE(input_values!$AN190,input_values!$AO190,input_values!$AP190),"")</f>
        <v/>
      </c>
      <c r="Q190" s="491">
        <f>IF($V$5=0,0,IF(OR($A$10="Refined calculation mode",Results!$B$62="Show results of IESTI calculation only for crops with GAPs under assessment"),Table22[[#This Row],[Input for IESTI (refined mode)]],Table22[[#This Row],[Input for IESTI normal mode]]))</f>
        <v>0</v>
      </c>
      <c r="R190" s="926" t="str">
        <f>IF(S190&lt;&gt;0,CONCATENATE(input_values!$AW190,input_values!$AX190,input_values!$AY190),"")</f>
        <v/>
      </c>
      <c r="S190" s="492">
        <f>IF($V$5=0,0,IF(OR($A$10="Refined calculation mode",Results!$B$62="Show results of IESTI calculation only for crops with GAPs under assessment"),Table22[[#This Row],[Input for IESTI new (refined mode)]],Table22[[#This Row],[Input for IESTI new normal mode]]))</f>
        <v>0</v>
      </c>
      <c r="T190" s="886"/>
      <c r="U190" s="1408">
        <f>Table22[[#This Row],[MRL/ proposed MRL /CXL
(mg/kg)]]</f>
        <v>0</v>
      </c>
      <c r="V190" s="1409" t="str">
        <f t="shared" ref="V190:V195" si="115">IF(ISBLANK(F190),"","Y")</f>
        <v/>
      </c>
      <c r="W190" s="1387">
        <f t="shared" ref="W190:W195" si="116">IF($G190&gt;0,$G190,1)</f>
        <v>1</v>
      </c>
      <c r="X190" s="1387">
        <f t="shared" ref="X190:X195" si="117">IF($H190&gt;0,$H190,1)</f>
        <v>1</v>
      </c>
      <c r="Y190" s="1387">
        <f t="shared" ref="Y190:Y195" si="118">W190*X190</f>
        <v>1</v>
      </c>
      <c r="Z190" s="1410">
        <v>4</v>
      </c>
      <c r="AA190" s="1387">
        <f t="shared" si="76"/>
        <v>0</v>
      </c>
      <c r="AB190" s="1387">
        <f>IF(Z190=A190,IF(AND(L190="N",Table22[[#This Row],[LOQ_label]]="Y"),AA190,$AA190*$Y190),"")</f>
        <v>0</v>
      </c>
      <c r="AC190" s="1393">
        <f t="shared" si="77"/>
        <v>0</v>
      </c>
      <c r="AD190" s="1393">
        <f>IF(Table22[[#This Row],[Median residue*CF*PeF]]&lt;&gt;"",Table22[[#This Row],[Median residue*CF*PeF]],Table22[[#This Row],[MRL*CF*PeF (chronic)]])</f>
        <v>0</v>
      </c>
      <c r="AE190" s="1393">
        <f t="shared" si="78"/>
        <v>0</v>
      </c>
      <c r="AF190" s="1390" t="str">
        <f t="shared" si="79"/>
        <v>MRL</v>
      </c>
      <c r="AG190" s="1390" t="str">
        <f t="shared" si="80"/>
        <v/>
      </c>
      <c r="AH190" s="1394" t="str">
        <f t="shared" si="81"/>
        <v/>
      </c>
      <c r="AI190" s="1386">
        <v>4</v>
      </c>
      <c r="AJ190" s="1387">
        <f t="shared" si="82"/>
        <v>0</v>
      </c>
      <c r="AK190" s="1387">
        <f>IF(AI190=A190,IF(AND(L190="N",Table22[[#This Row],[LOQ_label]]="Y"),AJ190,$AJ190*$Y190),"")</f>
        <v>0</v>
      </c>
      <c r="AL190" s="1388">
        <f t="shared" si="83"/>
        <v>0</v>
      </c>
      <c r="AM190" s="1393">
        <f>IF(Table22[[#This Row],[Highest residue * CF*PF]]&lt;&gt;"",Table22[[#This Row],[Highest residue * CF*PF]],Table22[[#This Row],[MRL*CF*PF or MRL (if LOQ and not authorised) (acute RA)]])</f>
        <v>0</v>
      </c>
      <c r="AN190" s="1390" t="str">
        <f t="shared" si="84"/>
        <v>MRL</v>
      </c>
      <c r="AO190" s="1390" t="str">
        <f t="shared" si="85"/>
        <v/>
      </c>
      <c r="AP190" s="1404" t="str">
        <f t="shared" si="86"/>
        <v/>
      </c>
      <c r="AQ190" s="1388">
        <f t="shared" si="87"/>
        <v>0</v>
      </c>
      <c r="AR190" s="1388" t="str">
        <f t="shared" si="88"/>
        <v/>
      </c>
      <c r="AS190" s="1388" t="str">
        <f t="shared" si="89"/>
        <v/>
      </c>
      <c r="AT190" s="1388" t="str">
        <f t="shared" si="90"/>
        <v/>
      </c>
      <c r="AU190" s="1393">
        <f t="shared" si="91"/>
        <v>0</v>
      </c>
      <c r="AV190" s="1388">
        <f t="shared" si="92"/>
        <v>0</v>
      </c>
      <c r="AW190" s="1390" t="str">
        <f t="shared" si="93"/>
        <v/>
      </c>
      <c r="AX190" s="1390" t="str">
        <f>IF(AND(AW190&lt;&gt;"",AY190&lt;&gt;""),"*","")</f>
        <v/>
      </c>
      <c r="AY190" s="1394" t="str">
        <f t="shared" si="94"/>
        <v/>
      </c>
      <c r="AZ190" s="1395" t="str">
        <f>IF(Table22[[#This Row],[LOQ_label]]="Y",Table22[[#This Row],[MRL individual commodity]],"")</f>
        <v/>
      </c>
      <c r="BA190" s="1396" t="s">
        <v>1038</v>
      </c>
      <c r="BB190" s="1411" t="str">
        <f>IF(Table22[[#This Row],[LOQ2]]&lt;0,MIN(AZ190:AZ566),"")</f>
        <v/>
      </c>
      <c r="BC190" s="1299"/>
      <c r="BD190" s="1306" t="str">
        <f>IF(Table22[[#This Row],[Chronic RA label]]="","N",IF(Table22[[#This Row],[Chronic RA label]]="LOQ","N",IF(Table22[[#This Row],[Chronic RA label]]="MRL","N","Y")))</f>
        <v>N</v>
      </c>
      <c r="BE190" s="1306" t="str">
        <f>IF(Table22[[#This Row],[Acute RA label]]="","N",IF(Table22[[#This Row],[Acute RA label]]="LOQ","N",IF(Table22[[#This Row],[Acute RA label]]="MRL","N","Y")))</f>
        <v>N</v>
      </c>
      <c r="BF190" s="1306" t="str">
        <f>IF(OR(Table22[[#This Row],[include commodity in Summary_input_values_chronic]]="Y",Table22[[#This Row],[include commodity in Summary_input_values_acute]]="Y"),"Y","N")</f>
        <v>N</v>
      </c>
      <c r="BG190" s="1299"/>
      <c r="BH190" s="1324"/>
    </row>
    <row r="191" spans="1:60" ht="12.75" customHeight="1" outlineLevel="3" x14ac:dyDescent="0.2">
      <c r="A191" s="39">
        <v>4</v>
      </c>
      <c r="B191" s="327">
        <v>260020</v>
      </c>
      <c r="C191" s="23" t="s">
        <v>33</v>
      </c>
      <c r="D191" s="867"/>
      <c r="E191" s="1219"/>
      <c r="F191" s="867"/>
      <c r="G191" s="869"/>
      <c r="H191" s="863"/>
      <c r="I191" s="868"/>
      <c r="J191" s="870"/>
      <c r="K191" s="865"/>
      <c r="L191" s="872"/>
      <c r="M191" s="872"/>
      <c r="N191" s="925" t="str">
        <f>IF(O191&lt;&gt;0,CONCATENATE(input_values!$AF191,input_values!$AG191,input_values!$AH191),"")</f>
        <v/>
      </c>
      <c r="O191" s="491">
        <f>IF($A$10="Refined calculation mode",Table22[[#This Row],[input for chronic (refined mode]],Table22[[#This Row],[input for chronic normal mode]])</f>
        <v>0</v>
      </c>
      <c r="P191" s="925" t="str">
        <f>IF(Q191&lt;&gt;0,CONCATENATE(input_values!$AN191,input_values!$AO191,input_values!$AP191),"")</f>
        <v/>
      </c>
      <c r="Q191" s="491">
        <f>IF($V$5=0,0,IF(OR($A$10="Refined calculation mode",Results!$B$62="Show results of IESTI calculation only for crops with GAPs under assessment"),Table22[[#This Row],[Input for IESTI (refined mode)]],Table22[[#This Row],[Input for IESTI normal mode]]))</f>
        <v>0</v>
      </c>
      <c r="R191" s="926" t="str">
        <f>IF(S191&lt;&gt;0,CONCATENATE(input_values!$AW191,input_values!$AX191,input_values!$AY191),"")</f>
        <v/>
      </c>
      <c r="S191" s="492">
        <f>IF($V$5=0,0,IF(OR($A$10="Refined calculation mode",Results!$B$62="Show results of IESTI calculation only for crops with GAPs under assessment"),Table22[[#This Row],[Input for IESTI new (refined mode)]],Table22[[#This Row],[Input for IESTI new normal mode]]))</f>
        <v>0</v>
      </c>
      <c r="T191" s="886"/>
      <c r="U191" s="1408">
        <f>Table22[[#This Row],[MRL/ proposed MRL /CXL
(mg/kg)]]</f>
        <v>0</v>
      </c>
      <c r="V191" s="1409" t="str">
        <f t="shared" si="115"/>
        <v/>
      </c>
      <c r="W191" s="1387">
        <f t="shared" si="116"/>
        <v>1</v>
      </c>
      <c r="X191" s="1387">
        <f t="shared" si="117"/>
        <v>1</v>
      </c>
      <c r="Y191" s="1387">
        <f t="shared" si="118"/>
        <v>1</v>
      </c>
      <c r="Z191" s="1410">
        <v>4</v>
      </c>
      <c r="AA191" s="1387">
        <f t="shared" si="76"/>
        <v>0</v>
      </c>
      <c r="AB191" s="1387">
        <f>IF(Z191=A191,IF(AND(L191="N",Table22[[#This Row],[LOQ_label]]="Y"),AA191,$AA191*$Y191),"")</f>
        <v>0</v>
      </c>
      <c r="AC191" s="1393">
        <f t="shared" si="77"/>
        <v>0</v>
      </c>
      <c r="AD191" s="1393">
        <f>IF(Table22[[#This Row],[Median residue*CF*PeF]]&lt;&gt;"",Table22[[#This Row],[Median residue*CF*PeF]],Table22[[#This Row],[MRL*CF*PeF (chronic)]])</f>
        <v>0</v>
      </c>
      <c r="AE191" s="1393">
        <f t="shared" si="78"/>
        <v>0</v>
      </c>
      <c r="AF191" s="1390" t="str">
        <f t="shared" si="79"/>
        <v>MRL</v>
      </c>
      <c r="AG191" s="1390" t="str">
        <f t="shared" si="80"/>
        <v/>
      </c>
      <c r="AH191" s="1394" t="str">
        <f t="shared" si="81"/>
        <v/>
      </c>
      <c r="AI191" s="1386">
        <v>4</v>
      </c>
      <c r="AJ191" s="1387">
        <f t="shared" si="82"/>
        <v>0</v>
      </c>
      <c r="AK191" s="1387">
        <f>IF(AI191=A191,IF(AND(L191="N",Table22[[#This Row],[LOQ_label]]="Y"),AJ191,$AJ191*$Y191),"")</f>
        <v>0</v>
      </c>
      <c r="AL191" s="1388">
        <f t="shared" si="83"/>
        <v>0</v>
      </c>
      <c r="AM191" s="1393">
        <f>IF(Table22[[#This Row],[Highest residue * CF*PF]]&lt;&gt;"",Table22[[#This Row],[Highest residue * CF*PF]],Table22[[#This Row],[MRL*CF*PF or MRL (if LOQ and not authorised) (acute RA)]])</f>
        <v>0</v>
      </c>
      <c r="AN191" s="1390" t="str">
        <f t="shared" si="84"/>
        <v>MRL</v>
      </c>
      <c r="AO191" s="1390" t="str">
        <f t="shared" si="85"/>
        <v/>
      </c>
      <c r="AP191" s="1404" t="str">
        <f t="shared" si="86"/>
        <v/>
      </c>
      <c r="AQ191" s="1388">
        <f t="shared" si="87"/>
        <v>0</v>
      </c>
      <c r="AR191" s="1388" t="str">
        <f t="shared" si="88"/>
        <v/>
      </c>
      <c r="AS191" s="1388" t="str">
        <f t="shared" si="89"/>
        <v/>
      </c>
      <c r="AT191" s="1388" t="str">
        <f t="shared" si="90"/>
        <v/>
      </c>
      <c r="AU191" s="1393">
        <f t="shared" si="91"/>
        <v>0</v>
      </c>
      <c r="AV191" s="1388">
        <f t="shared" si="92"/>
        <v>0</v>
      </c>
      <c r="AW191" s="1390" t="str">
        <f t="shared" si="93"/>
        <v/>
      </c>
      <c r="AX191" s="1390" t="str">
        <f>IF(AND(AW191&lt;&gt;"",AY191&lt;&gt;""),"*","")</f>
        <v/>
      </c>
      <c r="AY191" s="1394" t="str">
        <f t="shared" si="94"/>
        <v/>
      </c>
      <c r="AZ191" s="1395" t="str">
        <f>IF(Table22[[#This Row],[LOQ_label]]="Y",Table22[[#This Row],[MRL individual commodity]],"")</f>
        <v/>
      </c>
      <c r="BA191" s="1396" t="s">
        <v>1038</v>
      </c>
      <c r="BB191" s="1411" t="str">
        <f>IF(Table22[[#This Row],[LOQ2]]&lt;0,MIN(AZ191:AZ567),"")</f>
        <v/>
      </c>
      <c r="BC191" s="1299"/>
      <c r="BD191" s="1306" t="str">
        <f>IF(Table22[[#This Row],[Chronic RA label]]="","N",IF(Table22[[#This Row],[Chronic RA label]]="LOQ","N",IF(Table22[[#This Row],[Chronic RA label]]="MRL","N","Y")))</f>
        <v>N</v>
      </c>
      <c r="BE191" s="1306" t="str">
        <f>IF(Table22[[#This Row],[Acute RA label]]="","N",IF(Table22[[#This Row],[Acute RA label]]="LOQ","N",IF(Table22[[#This Row],[Acute RA label]]="MRL","N","Y")))</f>
        <v>N</v>
      </c>
      <c r="BF191" s="1306" t="str">
        <f>IF(OR(Table22[[#This Row],[include commodity in Summary_input_values_chronic]]="Y",Table22[[#This Row],[include commodity in Summary_input_values_acute]]="Y"),"Y","N")</f>
        <v>N</v>
      </c>
      <c r="BG191" s="1299"/>
      <c r="BH191" s="1324"/>
    </row>
    <row r="192" spans="1:60" ht="12.75" customHeight="1" outlineLevel="3" x14ac:dyDescent="0.2">
      <c r="A192" s="39">
        <v>4</v>
      </c>
      <c r="B192" s="327">
        <v>260030</v>
      </c>
      <c r="C192" s="23" t="s">
        <v>57</v>
      </c>
      <c r="D192" s="867"/>
      <c r="E192" s="1219"/>
      <c r="F192" s="867"/>
      <c r="G192" s="869"/>
      <c r="H192" s="863"/>
      <c r="I192" s="868"/>
      <c r="J192" s="870"/>
      <c r="K192" s="865"/>
      <c r="L192" s="872"/>
      <c r="M192" s="872"/>
      <c r="N192" s="925" t="str">
        <f>IF(O192&lt;&gt;0,CONCATENATE(input_values!$AF192,input_values!$AG192,input_values!$AH192),"")</f>
        <v/>
      </c>
      <c r="O192" s="491">
        <f>IF($A$10="Refined calculation mode",Table22[[#This Row],[input for chronic (refined mode]],Table22[[#This Row],[input for chronic normal mode]])</f>
        <v>0</v>
      </c>
      <c r="P192" s="925" t="str">
        <f>IF(Q192&lt;&gt;0,CONCATENATE(input_values!$AN192,input_values!$AO192,input_values!$AP192),"")</f>
        <v/>
      </c>
      <c r="Q192" s="491">
        <f>IF($V$5=0,0,IF(OR($A$10="Refined calculation mode",Results!$B$62="Show results of IESTI calculation only for crops with GAPs under assessment"),Table22[[#This Row],[Input for IESTI (refined mode)]],Table22[[#This Row],[Input for IESTI normal mode]]))</f>
        <v>0</v>
      </c>
      <c r="R192" s="926" t="str">
        <f>IF(S192&lt;&gt;0,CONCATENATE(input_values!$AW192,input_values!$AX192,input_values!$AY192),"")</f>
        <v/>
      </c>
      <c r="S192" s="492">
        <f>IF($V$5=0,0,IF(OR($A$10="Refined calculation mode",Results!$B$62="Show results of IESTI calculation only for crops with GAPs under assessment"),Table22[[#This Row],[Input for IESTI new (refined mode)]],Table22[[#This Row],[Input for IESTI new normal mode]]))</f>
        <v>0</v>
      </c>
      <c r="T192" s="886"/>
      <c r="U192" s="1408">
        <f>Table22[[#This Row],[MRL/ proposed MRL /CXL
(mg/kg)]]</f>
        <v>0</v>
      </c>
      <c r="V192" s="1409" t="str">
        <f t="shared" si="115"/>
        <v/>
      </c>
      <c r="W192" s="1387">
        <f t="shared" si="116"/>
        <v>1</v>
      </c>
      <c r="X192" s="1387">
        <f t="shared" si="117"/>
        <v>1</v>
      </c>
      <c r="Y192" s="1387">
        <f t="shared" si="118"/>
        <v>1</v>
      </c>
      <c r="Z192" s="1410">
        <v>4</v>
      </c>
      <c r="AA192" s="1387">
        <f t="shared" si="76"/>
        <v>0</v>
      </c>
      <c r="AB192" s="1387">
        <f>IF(Z192=A192,IF(AND(L192="N",Table22[[#This Row],[LOQ_label]]="Y"),AA192,$AA192*$Y192),"")</f>
        <v>0</v>
      </c>
      <c r="AC192" s="1393">
        <f t="shared" si="77"/>
        <v>0</v>
      </c>
      <c r="AD192" s="1393">
        <f>IF(Table22[[#This Row],[Median residue*CF*PeF]]&lt;&gt;"",Table22[[#This Row],[Median residue*CF*PeF]],Table22[[#This Row],[MRL*CF*PeF (chronic)]])</f>
        <v>0</v>
      </c>
      <c r="AE192" s="1393">
        <f t="shared" si="78"/>
        <v>0</v>
      </c>
      <c r="AF192" s="1390" t="str">
        <f t="shared" si="79"/>
        <v>MRL</v>
      </c>
      <c r="AG192" s="1390" t="str">
        <f t="shared" si="80"/>
        <v/>
      </c>
      <c r="AH192" s="1394" t="str">
        <f t="shared" si="81"/>
        <v/>
      </c>
      <c r="AI192" s="1386">
        <v>4</v>
      </c>
      <c r="AJ192" s="1387">
        <f t="shared" si="82"/>
        <v>0</v>
      </c>
      <c r="AK192" s="1387">
        <f>IF(AI192=A192,IF(AND(L192="N",Table22[[#This Row],[LOQ_label]]="Y"),AJ192,$AJ192*$Y192),"")</f>
        <v>0</v>
      </c>
      <c r="AL192" s="1388">
        <f t="shared" si="83"/>
        <v>0</v>
      </c>
      <c r="AM192" s="1393">
        <f>IF(Table22[[#This Row],[Highest residue * CF*PF]]&lt;&gt;"",Table22[[#This Row],[Highest residue * CF*PF]],Table22[[#This Row],[MRL*CF*PF or MRL (if LOQ and not authorised) (acute RA)]])</f>
        <v>0</v>
      </c>
      <c r="AN192" s="1390" t="str">
        <f t="shared" si="84"/>
        <v>MRL</v>
      </c>
      <c r="AO192" s="1390" t="str">
        <f t="shared" si="85"/>
        <v/>
      </c>
      <c r="AP192" s="1404" t="str">
        <f t="shared" si="86"/>
        <v/>
      </c>
      <c r="AQ192" s="1388">
        <f t="shared" si="87"/>
        <v>0</v>
      </c>
      <c r="AR192" s="1388" t="str">
        <f t="shared" si="88"/>
        <v/>
      </c>
      <c r="AS192" s="1388" t="str">
        <f t="shared" si="89"/>
        <v/>
      </c>
      <c r="AT192" s="1388" t="str">
        <f t="shared" si="90"/>
        <v/>
      </c>
      <c r="AU192" s="1393">
        <f t="shared" si="91"/>
        <v>0</v>
      </c>
      <c r="AV192" s="1388">
        <f t="shared" si="92"/>
        <v>0</v>
      </c>
      <c r="AW192" s="1390" t="str">
        <f t="shared" si="93"/>
        <v/>
      </c>
      <c r="AX192" s="1390" t="str">
        <f>IF(AND(AW192&lt;&gt;"",AY192&lt;&gt;""),"*","")</f>
        <v/>
      </c>
      <c r="AY192" s="1394" t="str">
        <f t="shared" si="94"/>
        <v/>
      </c>
      <c r="AZ192" s="1395" t="str">
        <f>IF(Table22[[#This Row],[LOQ_label]]="Y",Table22[[#This Row],[MRL individual commodity]],"")</f>
        <v/>
      </c>
      <c r="BA192" s="1396" t="s">
        <v>1038</v>
      </c>
      <c r="BB192" s="1411" t="str">
        <f>IF(Table22[[#This Row],[LOQ2]]&lt;0,MIN(AZ192:AZ568),"")</f>
        <v/>
      </c>
      <c r="BC192" s="1299"/>
      <c r="BD192" s="1306" t="str">
        <f>IF(Table22[[#This Row],[Chronic RA label]]="","N",IF(Table22[[#This Row],[Chronic RA label]]="LOQ","N",IF(Table22[[#This Row],[Chronic RA label]]="MRL","N","Y")))</f>
        <v>N</v>
      </c>
      <c r="BE192" s="1306" t="str">
        <f>IF(Table22[[#This Row],[Acute RA label]]="","N",IF(Table22[[#This Row],[Acute RA label]]="LOQ","N",IF(Table22[[#This Row],[Acute RA label]]="MRL","N","Y")))</f>
        <v>N</v>
      </c>
      <c r="BF192" s="1306" t="str">
        <f>IF(OR(Table22[[#This Row],[include commodity in Summary_input_values_chronic]]="Y",Table22[[#This Row],[include commodity in Summary_input_values_acute]]="Y"),"Y","N")</f>
        <v>N</v>
      </c>
      <c r="BG192" s="1299"/>
      <c r="BH192" s="1324"/>
    </row>
    <row r="193" spans="1:60" ht="12.75" customHeight="1" outlineLevel="3" x14ac:dyDescent="0.2">
      <c r="A193" s="39">
        <v>4</v>
      </c>
      <c r="B193" s="327">
        <v>260040</v>
      </c>
      <c r="C193" s="23" t="s">
        <v>58</v>
      </c>
      <c r="D193" s="867"/>
      <c r="E193" s="1219"/>
      <c r="F193" s="867"/>
      <c r="G193" s="869"/>
      <c r="H193" s="863"/>
      <c r="I193" s="868"/>
      <c r="J193" s="870"/>
      <c r="K193" s="865"/>
      <c r="L193" s="872"/>
      <c r="M193" s="872"/>
      <c r="N193" s="925" t="str">
        <f>IF(O193&lt;&gt;0,CONCATENATE(input_values!$AF193,input_values!$AG193,input_values!$AH193),"")</f>
        <v/>
      </c>
      <c r="O193" s="491">
        <f>IF($A$10="Refined calculation mode",Table22[[#This Row],[input for chronic (refined mode]],Table22[[#This Row],[input for chronic normal mode]])</f>
        <v>0</v>
      </c>
      <c r="P193" s="925" t="str">
        <f>IF(Q193&lt;&gt;0,CONCATENATE(input_values!$AN193,input_values!$AO193,input_values!$AP193),"")</f>
        <v/>
      </c>
      <c r="Q193" s="491">
        <f>IF($V$5=0,0,IF(OR($A$10="Refined calculation mode",Results!$B$62="Show results of IESTI calculation only for crops with GAPs under assessment"),Table22[[#This Row],[Input for IESTI (refined mode)]],Table22[[#This Row],[Input for IESTI normal mode]]))</f>
        <v>0</v>
      </c>
      <c r="R193" s="926" t="str">
        <f>IF(S193&lt;&gt;0,CONCATENATE(input_values!$AW193,input_values!$AX193,input_values!$AY193),"")</f>
        <v/>
      </c>
      <c r="S193" s="492">
        <f>IF($V$5=0,0,IF(OR($A$10="Refined calculation mode",Results!$B$62="Show results of IESTI calculation only for crops with GAPs under assessment"),Table22[[#This Row],[Input for IESTI new (refined mode)]],Table22[[#This Row],[Input for IESTI new normal mode]]))</f>
        <v>0</v>
      </c>
      <c r="T193" s="886"/>
      <c r="U193" s="1408">
        <f>Table22[[#This Row],[MRL/ proposed MRL /CXL
(mg/kg)]]</f>
        <v>0</v>
      </c>
      <c r="V193" s="1409" t="str">
        <f t="shared" si="115"/>
        <v/>
      </c>
      <c r="W193" s="1387">
        <f t="shared" si="116"/>
        <v>1</v>
      </c>
      <c r="X193" s="1387">
        <f t="shared" si="117"/>
        <v>1</v>
      </c>
      <c r="Y193" s="1387">
        <f t="shared" si="118"/>
        <v>1</v>
      </c>
      <c r="Z193" s="1410">
        <v>4</v>
      </c>
      <c r="AA193" s="1387">
        <f t="shared" si="76"/>
        <v>0</v>
      </c>
      <c r="AB193" s="1387">
        <f>IF(Z193=A193,IF(AND(L193="N",Table22[[#This Row],[LOQ_label]]="Y"),AA193,$AA193*$Y193),"")</f>
        <v>0</v>
      </c>
      <c r="AC193" s="1393">
        <f t="shared" si="77"/>
        <v>0</v>
      </c>
      <c r="AD193" s="1393">
        <f>IF(Table22[[#This Row],[Median residue*CF*PeF]]&lt;&gt;"",Table22[[#This Row],[Median residue*CF*PeF]],Table22[[#This Row],[MRL*CF*PeF (chronic)]])</f>
        <v>0</v>
      </c>
      <c r="AE193" s="1393">
        <f t="shared" si="78"/>
        <v>0</v>
      </c>
      <c r="AF193" s="1390" t="str">
        <f t="shared" si="79"/>
        <v>MRL</v>
      </c>
      <c r="AG193" s="1390" t="str">
        <f t="shared" si="80"/>
        <v/>
      </c>
      <c r="AH193" s="1394" t="str">
        <f t="shared" si="81"/>
        <v/>
      </c>
      <c r="AI193" s="1386">
        <v>4</v>
      </c>
      <c r="AJ193" s="1387">
        <f t="shared" si="82"/>
        <v>0</v>
      </c>
      <c r="AK193" s="1387">
        <f>IF(AI193=A193,IF(AND(L193="N",Table22[[#This Row],[LOQ_label]]="Y"),AJ193,$AJ193*$Y193),"")</f>
        <v>0</v>
      </c>
      <c r="AL193" s="1388">
        <f t="shared" si="83"/>
        <v>0</v>
      </c>
      <c r="AM193" s="1393">
        <f>IF(Table22[[#This Row],[Highest residue * CF*PF]]&lt;&gt;"",Table22[[#This Row],[Highest residue * CF*PF]],Table22[[#This Row],[MRL*CF*PF or MRL (if LOQ and not authorised) (acute RA)]])</f>
        <v>0</v>
      </c>
      <c r="AN193" s="1390" t="str">
        <f t="shared" si="84"/>
        <v>MRL</v>
      </c>
      <c r="AO193" s="1390" t="str">
        <f t="shared" si="85"/>
        <v/>
      </c>
      <c r="AP193" s="1404" t="str">
        <f t="shared" si="86"/>
        <v/>
      </c>
      <c r="AQ193" s="1388">
        <f t="shared" si="87"/>
        <v>0</v>
      </c>
      <c r="AR193" s="1388" t="str">
        <f t="shared" si="88"/>
        <v/>
      </c>
      <c r="AS193" s="1388" t="str">
        <f t="shared" si="89"/>
        <v/>
      </c>
      <c r="AT193" s="1388" t="str">
        <f t="shared" si="90"/>
        <v/>
      </c>
      <c r="AU193" s="1393">
        <f t="shared" si="91"/>
        <v>0</v>
      </c>
      <c r="AV193" s="1388">
        <f t="shared" si="92"/>
        <v>0</v>
      </c>
      <c r="AW193" s="1390" t="str">
        <f t="shared" si="93"/>
        <v/>
      </c>
      <c r="AX193" s="1390" t="str">
        <f>IF(AND(AW193&lt;&gt;"",AY193&lt;&gt;""),"*","")</f>
        <v/>
      </c>
      <c r="AY193" s="1394" t="str">
        <f t="shared" si="94"/>
        <v/>
      </c>
      <c r="AZ193" s="1395" t="str">
        <f>IF(Table22[[#This Row],[LOQ_label]]="Y",Table22[[#This Row],[MRL individual commodity]],"")</f>
        <v/>
      </c>
      <c r="BA193" s="1396" t="s">
        <v>1038</v>
      </c>
      <c r="BB193" s="1411" t="str">
        <f>IF(Table22[[#This Row],[LOQ2]]&lt;0,MIN(AZ193:AZ569),"")</f>
        <v/>
      </c>
      <c r="BC193" s="1299"/>
      <c r="BD193" s="1306" t="str">
        <f>IF(Table22[[#This Row],[Chronic RA label]]="","N",IF(Table22[[#This Row],[Chronic RA label]]="LOQ","N",IF(Table22[[#This Row],[Chronic RA label]]="MRL","N","Y")))</f>
        <v>N</v>
      </c>
      <c r="BE193" s="1306" t="str">
        <f>IF(Table22[[#This Row],[Acute RA label]]="","N",IF(Table22[[#This Row],[Acute RA label]]="LOQ","N",IF(Table22[[#This Row],[Acute RA label]]="MRL","N","Y")))</f>
        <v>N</v>
      </c>
      <c r="BF193" s="1306" t="str">
        <f>IF(OR(Table22[[#This Row],[include commodity in Summary_input_values_chronic]]="Y",Table22[[#This Row],[include commodity in Summary_input_values_acute]]="Y"),"Y","N")</f>
        <v>N</v>
      </c>
      <c r="BG193" s="1299"/>
      <c r="BH193" s="1324"/>
    </row>
    <row r="194" spans="1:60" ht="12.75" customHeight="1" outlineLevel="3" x14ac:dyDescent="0.2">
      <c r="A194" s="39">
        <v>4</v>
      </c>
      <c r="B194" s="327">
        <v>260050</v>
      </c>
      <c r="C194" s="23" t="s">
        <v>269</v>
      </c>
      <c r="D194" s="867"/>
      <c r="E194" s="1219"/>
      <c r="F194" s="867"/>
      <c r="G194" s="869"/>
      <c r="H194" s="863"/>
      <c r="I194" s="868"/>
      <c r="J194" s="870"/>
      <c r="K194" s="865"/>
      <c r="L194" s="872"/>
      <c r="M194" s="872"/>
      <c r="N194" s="925" t="str">
        <f>IF(O194&lt;&gt;0,CONCATENATE(input_values!$AF194,input_values!$AG194,input_values!$AH194),"")</f>
        <v/>
      </c>
      <c r="O194" s="491">
        <f>IF($A$10="Refined calculation mode",Table22[[#This Row],[input for chronic (refined mode]],Table22[[#This Row],[input for chronic normal mode]])</f>
        <v>0</v>
      </c>
      <c r="P194" s="925" t="str">
        <f>IF(Q194&lt;&gt;0,CONCATENATE(input_values!$AN194,input_values!$AO194,input_values!$AP194),"")</f>
        <v/>
      </c>
      <c r="Q194" s="491">
        <f>IF($V$5=0,0,IF(OR($A$10="Refined calculation mode",Results!$B$62="Show results of IESTI calculation only for crops with GAPs under assessment"),Table22[[#This Row],[Input for IESTI (refined mode)]],Table22[[#This Row],[Input for IESTI normal mode]]))</f>
        <v>0</v>
      </c>
      <c r="R194" s="926" t="str">
        <f>IF(S194&lt;&gt;0,CONCATENATE(input_values!$AW194,input_values!$AX194,input_values!$AY194),"")</f>
        <v/>
      </c>
      <c r="S194" s="492">
        <f>IF($V$5=0,0,IF(OR($A$10="Refined calculation mode",Results!$B$62="Show results of IESTI calculation only for crops with GAPs under assessment"),Table22[[#This Row],[Input for IESTI new (refined mode)]],Table22[[#This Row],[Input for IESTI new normal mode]]))</f>
        <v>0</v>
      </c>
      <c r="T194" s="886"/>
      <c r="U194" s="1408">
        <f>Table22[[#This Row],[MRL/ proposed MRL /CXL
(mg/kg)]]</f>
        <v>0</v>
      </c>
      <c r="V194" s="1409" t="str">
        <f t="shared" si="115"/>
        <v/>
      </c>
      <c r="W194" s="1387">
        <f t="shared" si="116"/>
        <v>1</v>
      </c>
      <c r="X194" s="1387">
        <f t="shared" si="117"/>
        <v>1</v>
      </c>
      <c r="Y194" s="1387">
        <f t="shared" si="118"/>
        <v>1</v>
      </c>
      <c r="Z194" s="1410">
        <v>4</v>
      </c>
      <c r="AA194" s="1387">
        <f t="shared" si="76"/>
        <v>0</v>
      </c>
      <c r="AB194" s="1387">
        <f>IF(Z194=A194,IF(AND(L194="N",Table22[[#This Row],[LOQ_label]]="Y"),AA194,$AA194*$Y194),"")</f>
        <v>0</v>
      </c>
      <c r="AC194" s="1393">
        <f t="shared" si="77"/>
        <v>0</v>
      </c>
      <c r="AD194" s="1393">
        <f>IF(Table22[[#This Row],[Median residue*CF*PeF]]&lt;&gt;"",Table22[[#This Row],[Median residue*CF*PeF]],Table22[[#This Row],[MRL*CF*PeF (chronic)]])</f>
        <v>0</v>
      </c>
      <c r="AE194" s="1393">
        <f t="shared" si="78"/>
        <v>0</v>
      </c>
      <c r="AF194" s="1390" t="str">
        <f t="shared" si="79"/>
        <v>MRL</v>
      </c>
      <c r="AG194" s="1390" t="str">
        <f t="shared" si="80"/>
        <v/>
      </c>
      <c r="AH194" s="1394" t="str">
        <f t="shared" si="81"/>
        <v/>
      </c>
      <c r="AI194" s="1386">
        <v>4</v>
      </c>
      <c r="AJ194" s="1387">
        <f t="shared" si="82"/>
        <v>0</v>
      </c>
      <c r="AK194" s="1387">
        <f>IF(AI194=A194,IF(AND(L194="N",Table22[[#This Row],[LOQ_label]]="Y"),AJ194,$AJ194*$Y194),"")</f>
        <v>0</v>
      </c>
      <c r="AL194" s="1388">
        <f t="shared" si="83"/>
        <v>0</v>
      </c>
      <c r="AM194" s="1393">
        <f>IF(Table22[[#This Row],[Highest residue * CF*PF]]&lt;&gt;"",Table22[[#This Row],[Highest residue * CF*PF]],Table22[[#This Row],[MRL*CF*PF or MRL (if LOQ and not authorised) (acute RA)]])</f>
        <v>0</v>
      </c>
      <c r="AN194" s="1390" t="str">
        <f t="shared" si="84"/>
        <v>MRL</v>
      </c>
      <c r="AO194" s="1390" t="str">
        <f t="shared" si="85"/>
        <v/>
      </c>
      <c r="AP194" s="1404" t="str">
        <f t="shared" si="86"/>
        <v/>
      </c>
      <c r="AQ194" s="1388">
        <f t="shared" si="87"/>
        <v>0</v>
      </c>
      <c r="AR194" s="1388" t="str">
        <f t="shared" si="88"/>
        <v/>
      </c>
      <c r="AS194" s="1388" t="str">
        <f t="shared" si="89"/>
        <v/>
      </c>
      <c r="AT194" s="1388" t="str">
        <f t="shared" si="90"/>
        <v/>
      </c>
      <c r="AU194" s="1393">
        <f t="shared" si="91"/>
        <v>0</v>
      </c>
      <c r="AV194" s="1388">
        <f t="shared" si="92"/>
        <v>0</v>
      </c>
      <c r="AW194" s="1390" t="str">
        <f t="shared" si="93"/>
        <v/>
      </c>
      <c r="AX194" s="1390" t="str">
        <f>IF(AND(AW194&lt;&gt;"",AY194&lt;&gt;""),"*","")</f>
        <v/>
      </c>
      <c r="AY194" s="1394" t="str">
        <f t="shared" si="94"/>
        <v/>
      </c>
      <c r="AZ194" s="1395" t="str">
        <f>IF(Table22[[#This Row],[LOQ_label]]="Y",Table22[[#This Row],[MRL individual commodity]],"")</f>
        <v/>
      </c>
      <c r="BA194" s="1396" t="s">
        <v>1038</v>
      </c>
      <c r="BB194" s="1411" t="str">
        <f>IF(Table22[[#This Row],[LOQ2]]&lt;0,MIN(AZ194:AZ570),"")</f>
        <v/>
      </c>
      <c r="BC194" s="1299"/>
      <c r="BD194" s="1306" t="str">
        <f>IF(Table22[[#This Row],[Chronic RA label]]="","N",IF(Table22[[#This Row],[Chronic RA label]]="LOQ","N",IF(Table22[[#This Row],[Chronic RA label]]="MRL","N","Y")))</f>
        <v>N</v>
      </c>
      <c r="BE194" s="1306" t="str">
        <f>IF(Table22[[#This Row],[Acute RA label]]="","N",IF(Table22[[#This Row],[Acute RA label]]="LOQ","N",IF(Table22[[#This Row],[Acute RA label]]="MRL","N","Y")))</f>
        <v>N</v>
      </c>
      <c r="BF194" s="1306" t="str">
        <f>IF(OR(Table22[[#This Row],[include commodity in Summary_input_values_chronic]]="Y",Table22[[#This Row],[include commodity in Summary_input_values_acute]]="Y"),"Y","N")</f>
        <v>N</v>
      </c>
      <c r="BG194" s="1299"/>
      <c r="BH194" s="1324"/>
    </row>
    <row r="195" spans="1:60" ht="12.75" customHeight="1" outlineLevel="3" x14ac:dyDescent="0.2">
      <c r="A195" s="39">
        <v>4</v>
      </c>
      <c r="B195" s="327">
        <v>260990</v>
      </c>
      <c r="C195" s="23" t="s">
        <v>176</v>
      </c>
      <c r="D195" s="867"/>
      <c r="E195" s="1219"/>
      <c r="F195" s="867"/>
      <c r="G195" s="868"/>
      <c r="H195" s="863"/>
      <c r="I195" s="868"/>
      <c r="J195" s="870"/>
      <c r="K195" s="865"/>
      <c r="L195" s="872"/>
      <c r="M195" s="872"/>
      <c r="N195" s="925" t="str">
        <f>IF(O195&lt;&gt;0,CONCATENATE(input_values!$AF195,input_values!$AG195,input_values!$AH195),"")</f>
        <v/>
      </c>
      <c r="O195" s="491">
        <f>IF($A$10="Refined calculation mode",Table22[[#This Row],[input for chronic (refined mode]],Table22[[#This Row],[input for chronic normal mode]])</f>
        <v>0</v>
      </c>
      <c r="P195" s="473"/>
      <c r="Q195" s="474"/>
      <c r="R195" s="473"/>
      <c r="S195" s="474"/>
      <c r="T195" s="886"/>
      <c r="U195" s="1408">
        <f>Table22[[#This Row],[MRL/ proposed MRL /CXL
(mg/kg)]]</f>
        <v>0</v>
      </c>
      <c r="V195" s="1409" t="str">
        <f t="shared" si="115"/>
        <v/>
      </c>
      <c r="W195" s="1387">
        <f t="shared" si="116"/>
        <v>1</v>
      </c>
      <c r="X195" s="1387">
        <f t="shared" si="117"/>
        <v>1</v>
      </c>
      <c r="Y195" s="1387">
        <f t="shared" si="118"/>
        <v>1</v>
      </c>
      <c r="Z195" s="1410">
        <v>4</v>
      </c>
      <c r="AA195" s="1387">
        <f t="shared" si="76"/>
        <v>0</v>
      </c>
      <c r="AB195" s="1387">
        <f>IF(Z195=A195,IF(AND(L195="N",Table22[[#This Row],[LOQ_label]]="Y"),AA195,$AA195*$Y195),"")</f>
        <v>0</v>
      </c>
      <c r="AC195" s="1393">
        <f t="shared" si="77"/>
        <v>0</v>
      </c>
      <c r="AD195" s="1393">
        <f>IF(Table22[[#This Row],[Median residue*CF*PeF]]&lt;&gt;"",Table22[[#This Row],[Median residue*CF*PeF]],Table22[[#This Row],[MRL*CF*PeF (chronic)]])</f>
        <v>0</v>
      </c>
      <c r="AE195" s="1393">
        <f t="shared" si="78"/>
        <v>0</v>
      </c>
      <c r="AF195" s="1390" t="str">
        <f t="shared" si="79"/>
        <v>MRL</v>
      </c>
      <c r="AG195" s="1390" t="str">
        <f t="shared" si="80"/>
        <v/>
      </c>
      <c r="AH195" s="1394" t="str">
        <f t="shared" si="81"/>
        <v/>
      </c>
      <c r="AI195" s="1386"/>
      <c r="AJ195" s="1387" t="str">
        <f t="shared" si="82"/>
        <v/>
      </c>
      <c r="AK195" s="1387" t="str">
        <f>IF(AI195=A195,IF(AND(L195="N",Table22[[#This Row],[LOQ_label]]="Y"),AJ195,$AJ195*$Y195),"")</f>
        <v/>
      </c>
      <c r="AL195" s="1388" t="str">
        <f t="shared" si="83"/>
        <v/>
      </c>
      <c r="AM195" s="1393" t="str">
        <f>IF(Table22[[#This Row],[Highest residue * CF*PF]]&lt;&gt;"",Table22[[#This Row],[Highest residue * CF*PF]],Table22[[#This Row],[MRL*CF*PF or MRL (if LOQ and not authorised) (acute RA)]])</f>
        <v/>
      </c>
      <c r="AN195" s="1390" t="str">
        <f t="shared" si="84"/>
        <v/>
      </c>
      <c r="AO195" s="1390" t="str">
        <f t="shared" si="85"/>
        <v/>
      </c>
      <c r="AP195" s="1404" t="str">
        <f t="shared" si="86"/>
        <v/>
      </c>
      <c r="AQ195" s="1388">
        <f t="shared" si="87"/>
        <v>0</v>
      </c>
      <c r="AR195" s="1388" t="str">
        <f t="shared" si="88"/>
        <v/>
      </c>
      <c r="AS195" s="1388" t="str">
        <f t="shared" si="89"/>
        <v/>
      </c>
      <c r="AT195" s="1388" t="str">
        <f t="shared" si="90"/>
        <v/>
      </c>
      <c r="AU195" s="1393" t="str">
        <f t="shared" si="91"/>
        <v/>
      </c>
      <c r="AV195" s="1388">
        <f t="shared" si="92"/>
        <v>0</v>
      </c>
      <c r="AW195" s="1390" t="str">
        <f t="shared" si="93"/>
        <v/>
      </c>
      <c r="AX195" s="1390" t="str">
        <f>IF(AND(AN195&lt;&gt;"",AY195&lt;&gt;""),"*","")</f>
        <v/>
      </c>
      <c r="AY195" s="1394" t="str">
        <f t="shared" si="94"/>
        <v/>
      </c>
      <c r="AZ195" s="1395" t="str">
        <f>IF(Table22[[#This Row],[LOQ_label]]="Y",Table22[[#This Row],[MRL individual commodity]],"")</f>
        <v/>
      </c>
      <c r="BA195" s="1396" t="s">
        <v>1159</v>
      </c>
      <c r="BB195" s="1411" t="str">
        <f>IF(Table22[[#This Row],[LOQ2]]&lt;0,MIN(AZ195:AZ571),"")</f>
        <v/>
      </c>
      <c r="BC195" s="1299"/>
      <c r="BD195" s="1306" t="str">
        <f>IF(Table22[[#This Row],[Chronic RA label]]="","N",IF(Table22[[#This Row],[Chronic RA label]]="LOQ","N",IF(Table22[[#This Row],[Chronic RA label]]="MRL","N","Y")))</f>
        <v>N</v>
      </c>
      <c r="BE195" s="1306" t="str">
        <f>IF(Table22[[#This Row],[Acute RA label]]="","N",IF(Table22[[#This Row],[Acute RA label]]="LOQ","N",IF(Table22[[#This Row],[Acute RA label]]="MRL","N","Y")))</f>
        <v>N</v>
      </c>
      <c r="BF195" s="1306" t="str">
        <f>IF(OR(Table22[[#This Row],[include commodity in Summary_input_values_chronic]]="Y",Table22[[#This Row],[include commodity in Summary_input_values_acute]]="Y"),"Y","N")</f>
        <v>N</v>
      </c>
      <c r="BG195" s="1299"/>
      <c r="BH195" s="1324"/>
    </row>
    <row r="196" spans="1:60" ht="12.75" customHeight="1" outlineLevel="1" x14ac:dyDescent="0.2">
      <c r="A196" s="130">
        <v>2</v>
      </c>
      <c r="B196" s="447">
        <v>270000</v>
      </c>
      <c r="C196" s="131" t="s">
        <v>353</v>
      </c>
      <c r="D196" s="862"/>
      <c r="E196" s="1218"/>
      <c r="F196" s="862"/>
      <c r="G196" s="1471"/>
      <c r="H196" s="863"/>
      <c r="I196" s="863"/>
      <c r="J196" s="864"/>
      <c r="K196" s="865"/>
      <c r="L196" s="471"/>
      <c r="M196" s="471"/>
      <c r="N196" s="473"/>
      <c r="O196" s="474"/>
      <c r="P196" s="473"/>
      <c r="Q196" s="474"/>
      <c r="R196" s="473"/>
      <c r="S196" s="474"/>
      <c r="T196" s="886"/>
      <c r="U196" s="1415"/>
      <c r="V196" s="1380"/>
      <c r="W196" s="1381"/>
      <c r="X196" s="1381"/>
      <c r="Y196" s="1381"/>
      <c r="Z196" s="1382">
        <v>4</v>
      </c>
      <c r="AA196" s="1381" t="str">
        <f t="shared" si="76"/>
        <v/>
      </c>
      <c r="AB196" s="1381" t="str">
        <f>IF(Z196=A196,IF(AND(L196="N",Table22[[#This Row],[LOQ_label]]="Y"),AA196,$AA196*$Y196),"")</f>
        <v/>
      </c>
      <c r="AC196" s="1383" t="str">
        <f t="shared" si="77"/>
        <v/>
      </c>
      <c r="AD196" s="1383" t="str">
        <f>IF(Table22[[#This Row],[Median residue*CF*PeF]]&lt;&gt;"",Table22[[#This Row],[Median residue*CF*PeF]],Table22[[#This Row],[MRL*CF*PeF (chronic)]])</f>
        <v/>
      </c>
      <c r="AE196" s="1384">
        <f t="shared" si="78"/>
        <v>0</v>
      </c>
      <c r="AF196" s="1385" t="str">
        <f t="shared" si="79"/>
        <v/>
      </c>
      <c r="AG196" s="1385" t="str">
        <f t="shared" si="80"/>
        <v/>
      </c>
      <c r="AH196" s="1270" t="str">
        <f t="shared" si="81"/>
        <v/>
      </c>
      <c r="AI196" s="1386">
        <v>4</v>
      </c>
      <c r="AJ196" s="1387" t="str">
        <f t="shared" si="82"/>
        <v/>
      </c>
      <c r="AK196" s="1387" t="str">
        <f>IF(AI196=A196,IF(AND(L196="N",Table22[[#This Row],[LOQ_label]]="Y"),AJ196,$AJ196*$Y196),"")</f>
        <v/>
      </c>
      <c r="AL196" s="1388" t="str">
        <f t="shared" si="83"/>
        <v/>
      </c>
      <c r="AM196" s="1393" t="str">
        <f>IF(Table22[[#This Row],[Highest residue * CF*PF]]&lt;&gt;"",Table22[[#This Row],[Highest residue * CF*PF]],Table22[[#This Row],[MRL*CF*PF or MRL (if LOQ and not authorised) (acute RA)]])</f>
        <v/>
      </c>
      <c r="AN196" s="1390" t="str">
        <f t="shared" si="84"/>
        <v/>
      </c>
      <c r="AO196" s="1390" t="str">
        <f t="shared" si="85"/>
        <v/>
      </c>
      <c r="AP196" s="1404" t="str">
        <f t="shared" si="86"/>
        <v/>
      </c>
      <c r="AQ196" s="1388">
        <f t="shared" si="87"/>
        <v>0</v>
      </c>
      <c r="AR196" s="1388" t="str">
        <f t="shared" si="88"/>
        <v/>
      </c>
      <c r="AS196" s="1388" t="str">
        <f t="shared" si="89"/>
        <v/>
      </c>
      <c r="AT196" s="1388" t="str">
        <f t="shared" si="90"/>
        <v/>
      </c>
      <c r="AU196" s="1393" t="str">
        <f t="shared" si="91"/>
        <v/>
      </c>
      <c r="AV196" s="1388">
        <f t="shared" si="92"/>
        <v>0</v>
      </c>
      <c r="AW196" s="1390" t="str">
        <f t="shared" si="93"/>
        <v/>
      </c>
      <c r="AX196" s="1390" t="str">
        <f>IF(AND(AN196&lt;&gt;"",AY196&lt;&gt;""),"*","")</f>
        <v/>
      </c>
      <c r="AY196" s="1394" t="str">
        <f t="shared" si="94"/>
        <v/>
      </c>
      <c r="AZ196" s="1395">
        <f>IF(Table22[[#This Row],[LOQ_label]]="Y",Table22[[#This Row],[MRL individual commodity]],"")</f>
        <v>0</v>
      </c>
      <c r="BA196" s="1396" t="s">
        <v>1159</v>
      </c>
      <c r="BB196" s="1411" t="str">
        <f>IF(Table22[[#This Row],[LOQ2]]&lt;0,MIN(AZ196:AZ572),"")</f>
        <v/>
      </c>
      <c r="BC196" s="1299"/>
      <c r="BD196" s="1306" t="str">
        <f>IF(Table22[[#This Row],[Chronic RA label]]="","N",IF(Table22[[#This Row],[Chronic RA label]]="LOQ","N",IF(Table22[[#This Row],[Chronic RA label]]="MRL","N","Y")))</f>
        <v>N</v>
      </c>
      <c r="BE196" s="1306" t="str">
        <f>IF(Table22[[#This Row],[Acute RA label]]="","N",IF(Table22[[#This Row],[Acute RA label]]="LOQ","N",IF(Table22[[#This Row],[Acute RA label]]="MRL","N","Y")))</f>
        <v>N</v>
      </c>
      <c r="BF196" s="1306" t="str">
        <f>IF(OR(Table22[[#This Row],[include commodity in Summary_input_values_chronic]]="Y",Table22[[#This Row],[include commodity in Summary_input_values_acute]]="Y"),"Y","N")</f>
        <v>N</v>
      </c>
      <c r="BG196" s="1299"/>
      <c r="BH196" s="1324"/>
    </row>
    <row r="197" spans="1:60" ht="12.75" customHeight="1" outlineLevel="3" x14ac:dyDescent="0.2">
      <c r="A197" s="39">
        <v>4</v>
      </c>
      <c r="B197" s="327">
        <v>270010</v>
      </c>
      <c r="C197" s="23" t="s">
        <v>60</v>
      </c>
      <c r="D197" s="867"/>
      <c r="E197" s="1219"/>
      <c r="F197" s="867"/>
      <c r="G197" s="869"/>
      <c r="H197" s="863"/>
      <c r="I197" s="868"/>
      <c r="J197" s="870"/>
      <c r="K197" s="871"/>
      <c r="L197" s="872"/>
      <c r="M197" s="872"/>
      <c r="N197" s="925" t="str">
        <f>IF(O197&lt;&gt;0,CONCATENATE(input_values!$AF197,input_values!$AG197,input_values!$AH197),"")</f>
        <v/>
      </c>
      <c r="O197" s="491">
        <f>IF($A$10="Refined calculation mode",Table22[[#This Row],[input for chronic (refined mode]],Table22[[#This Row],[input for chronic normal mode]])</f>
        <v>0</v>
      </c>
      <c r="P197" s="925" t="str">
        <f>IF(Q197&lt;&gt;0,CONCATENATE(input_values!$AN197,input_values!$AO197,input_values!$AP197),"")</f>
        <v/>
      </c>
      <c r="Q197" s="491">
        <f>IF($V$5=0,0,IF(OR($A$10="Refined calculation mode",Results!$B$62="Show results of IESTI calculation only for crops with GAPs under assessment"),Table22[[#This Row],[Input for IESTI (refined mode)]],Table22[[#This Row],[Input for IESTI normal mode]]))</f>
        <v>0</v>
      </c>
      <c r="R197" s="926" t="str">
        <f>IF(S197&lt;&gt;0,CONCATENATE(input_values!$AW197,input_values!$AX197,input_values!$AY197),"")</f>
        <v/>
      </c>
      <c r="S197" s="492">
        <f>IF($V$5=0,0,IF(OR($A$10="Refined calculation mode",Results!$B$62="Show results of IESTI calculation only for crops with GAPs under assessment"),Table22[[#This Row],[Input for IESTI new (refined mode)]],Table22[[#This Row],[Input for IESTI new normal mode]]))</f>
        <v>0</v>
      </c>
      <c r="T197" s="886"/>
      <c r="U197" s="1408">
        <f>Table22[[#This Row],[MRL/ proposed MRL /CXL
(mg/kg)]]</f>
        <v>0</v>
      </c>
      <c r="V197" s="1409" t="str">
        <f t="shared" ref="V197:V206" si="119">IF(ISBLANK(F197),"","Y")</f>
        <v/>
      </c>
      <c r="W197" s="1387">
        <f t="shared" ref="W197:W206" si="120">IF($G197&gt;0,$G197,1)</f>
        <v>1</v>
      </c>
      <c r="X197" s="1387">
        <f t="shared" ref="X197:X206" si="121">IF($H197&gt;0,$H197,1)</f>
        <v>1</v>
      </c>
      <c r="Y197" s="1387">
        <f t="shared" ref="Y197:Y206" si="122">W197*X197</f>
        <v>1</v>
      </c>
      <c r="Z197" s="1410">
        <v>4</v>
      </c>
      <c r="AA197" s="1387">
        <f t="shared" si="76"/>
        <v>0</v>
      </c>
      <c r="AB197" s="1387">
        <f>IF(Z197=A197,IF(AND(L197="N",Table22[[#This Row],[LOQ_label]]="Y"),AA197,$AA197*$Y197),"")</f>
        <v>0</v>
      </c>
      <c r="AC197" s="1393">
        <f t="shared" si="77"/>
        <v>0</v>
      </c>
      <c r="AD197" s="1393">
        <f>IF(Table22[[#This Row],[Median residue*CF*PeF]]&lt;&gt;"",Table22[[#This Row],[Median residue*CF*PeF]],Table22[[#This Row],[MRL*CF*PeF (chronic)]])</f>
        <v>0</v>
      </c>
      <c r="AE197" s="1393">
        <f t="shared" si="78"/>
        <v>0</v>
      </c>
      <c r="AF197" s="1390" t="str">
        <f t="shared" si="79"/>
        <v>MRL</v>
      </c>
      <c r="AG197" s="1390" t="str">
        <f t="shared" si="80"/>
        <v/>
      </c>
      <c r="AH197" s="1394" t="str">
        <f t="shared" si="81"/>
        <v/>
      </c>
      <c r="AI197" s="1386">
        <v>4</v>
      </c>
      <c r="AJ197" s="1387">
        <f t="shared" si="82"/>
        <v>0</v>
      </c>
      <c r="AK197" s="1387">
        <f>IF(AI197=A197,IF(AND(L197="N",Table22[[#This Row],[LOQ_label]]="Y"),AJ197,$AJ197*$Y197),"")</f>
        <v>0</v>
      </c>
      <c r="AL197" s="1388">
        <f t="shared" si="83"/>
        <v>0</v>
      </c>
      <c r="AM197" s="1393">
        <f>IF(Table22[[#This Row],[Highest residue * CF*PF]]&lt;&gt;"",Table22[[#This Row],[Highest residue * CF*PF]],Table22[[#This Row],[MRL*CF*PF or MRL (if LOQ and not authorised) (acute RA)]])</f>
        <v>0</v>
      </c>
      <c r="AN197" s="1390" t="str">
        <f t="shared" si="84"/>
        <v>MRL</v>
      </c>
      <c r="AO197" s="1390" t="str">
        <f t="shared" si="85"/>
        <v/>
      </c>
      <c r="AP197" s="1404" t="str">
        <f t="shared" si="86"/>
        <v/>
      </c>
      <c r="AQ197" s="1388">
        <f t="shared" si="87"/>
        <v>0</v>
      </c>
      <c r="AR197" s="1388" t="str">
        <f t="shared" si="88"/>
        <v/>
      </c>
      <c r="AS197" s="1388" t="str">
        <f t="shared" si="89"/>
        <v/>
      </c>
      <c r="AT197" s="1388" t="str">
        <f t="shared" si="90"/>
        <v/>
      </c>
      <c r="AU197" s="1393">
        <f t="shared" si="91"/>
        <v>0</v>
      </c>
      <c r="AV197" s="1388">
        <f t="shared" si="92"/>
        <v>0</v>
      </c>
      <c r="AW197" s="1390" t="str">
        <f t="shared" si="93"/>
        <v/>
      </c>
      <c r="AX197" s="1390" t="str">
        <f t="shared" ref="AX197:AX205" si="123">IF(AND(AW197&lt;&gt;"",AY197&lt;&gt;""),"*","")</f>
        <v/>
      </c>
      <c r="AY197" s="1394" t="str">
        <f t="shared" si="94"/>
        <v/>
      </c>
      <c r="AZ197" s="1395" t="str">
        <f>IF(Table22[[#This Row],[LOQ_label]]="Y",Table22[[#This Row],[MRL individual commodity]],"")</f>
        <v/>
      </c>
      <c r="BA197" s="1449" t="s">
        <v>654</v>
      </c>
      <c r="BB197" s="1411" t="str">
        <f>IF(Table22[[#This Row],[LOQ2]]&lt;0,MIN(AZ197:AZ573),"")</f>
        <v/>
      </c>
      <c r="BC197" s="1299"/>
      <c r="BD197" s="1306" t="str">
        <f>IF(Table22[[#This Row],[Chronic RA label]]="","N",IF(Table22[[#This Row],[Chronic RA label]]="LOQ","N",IF(Table22[[#This Row],[Chronic RA label]]="MRL","N","Y")))</f>
        <v>N</v>
      </c>
      <c r="BE197" s="1306" t="str">
        <f>IF(Table22[[#This Row],[Acute RA label]]="","N",IF(Table22[[#This Row],[Acute RA label]]="LOQ","N",IF(Table22[[#This Row],[Acute RA label]]="MRL","N","Y")))</f>
        <v>N</v>
      </c>
      <c r="BF197" s="1306" t="str">
        <f>IF(OR(Table22[[#This Row],[include commodity in Summary_input_values_chronic]]="Y",Table22[[#This Row],[include commodity in Summary_input_values_acute]]="Y"),"Y","N")</f>
        <v>N</v>
      </c>
      <c r="BG197" s="1299"/>
      <c r="BH197" s="1324"/>
    </row>
    <row r="198" spans="1:60" ht="12.75" customHeight="1" outlineLevel="3" x14ac:dyDescent="0.2">
      <c r="A198" s="39">
        <v>4</v>
      </c>
      <c r="B198" s="327">
        <v>270020</v>
      </c>
      <c r="C198" s="23" t="s">
        <v>61</v>
      </c>
      <c r="D198" s="867"/>
      <c r="E198" s="1219"/>
      <c r="F198" s="867"/>
      <c r="G198" s="869"/>
      <c r="H198" s="863"/>
      <c r="I198" s="868"/>
      <c r="J198" s="870"/>
      <c r="K198" s="871"/>
      <c r="L198" s="872"/>
      <c r="M198" s="872"/>
      <c r="N198" s="925" t="str">
        <f>IF(O198&lt;&gt;0,CONCATENATE(input_values!$AF198,input_values!$AG198,input_values!$AH198),"")</f>
        <v/>
      </c>
      <c r="O198" s="491">
        <f>IF($A$10="Refined calculation mode",Table22[[#This Row],[input for chronic (refined mode]],Table22[[#This Row],[input for chronic normal mode]])</f>
        <v>0</v>
      </c>
      <c r="P198" s="925" t="str">
        <f>IF(Q198&lt;&gt;0,CONCATENATE(input_values!$AN198,input_values!$AO198,input_values!$AP198),"")</f>
        <v/>
      </c>
      <c r="Q198" s="491">
        <f>IF($V$5=0,0,IF(OR($A$10="Refined calculation mode",Results!$B$62="Show results of IESTI calculation only for crops with GAPs under assessment"),Table22[[#This Row],[Input for IESTI (refined mode)]],Table22[[#This Row],[Input for IESTI normal mode]]))</f>
        <v>0</v>
      </c>
      <c r="R198" s="926" t="str">
        <f>IF(S198&lt;&gt;0,CONCATENATE(input_values!$AW198,input_values!$AX198,input_values!$AY198),"")</f>
        <v/>
      </c>
      <c r="S198" s="492">
        <f>IF($V$5=0,0,IF(OR($A$10="Refined calculation mode",Results!$B$62="Show results of IESTI calculation only for crops with GAPs under assessment"),Table22[[#This Row],[Input for IESTI new (refined mode)]],Table22[[#This Row],[Input for IESTI new normal mode]]))</f>
        <v>0</v>
      </c>
      <c r="T198" s="886"/>
      <c r="U198" s="1408">
        <f>Table22[[#This Row],[MRL/ proposed MRL /CXL
(mg/kg)]]</f>
        <v>0</v>
      </c>
      <c r="V198" s="1409" t="str">
        <f t="shared" si="119"/>
        <v/>
      </c>
      <c r="W198" s="1387">
        <f t="shared" si="120"/>
        <v>1</v>
      </c>
      <c r="X198" s="1387">
        <f t="shared" si="121"/>
        <v>1</v>
      </c>
      <c r="Y198" s="1387">
        <f t="shared" si="122"/>
        <v>1</v>
      </c>
      <c r="Z198" s="1410">
        <v>4</v>
      </c>
      <c r="AA198" s="1387">
        <f t="shared" si="76"/>
        <v>0</v>
      </c>
      <c r="AB198" s="1387">
        <f>IF(Z198=A198,IF(AND(L198="N",Table22[[#This Row],[LOQ_label]]="Y"),AA198,$AA198*$Y198),"")</f>
        <v>0</v>
      </c>
      <c r="AC198" s="1393">
        <f t="shared" si="77"/>
        <v>0</v>
      </c>
      <c r="AD198" s="1393">
        <f>IF(Table22[[#This Row],[Median residue*CF*PeF]]&lt;&gt;"",Table22[[#This Row],[Median residue*CF*PeF]],Table22[[#This Row],[MRL*CF*PeF (chronic)]])</f>
        <v>0</v>
      </c>
      <c r="AE198" s="1393">
        <f t="shared" si="78"/>
        <v>0</v>
      </c>
      <c r="AF198" s="1390" t="str">
        <f t="shared" si="79"/>
        <v>MRL</v>
      </c>
      <c r="AG198" s="1390" t="str">
        <f t="shared" si="80"/>
        <v/>
      </c>
      <c r="AH198" s="1394" t="str">
        <f t="shared" si="81"/>
        <v/>
      </c>
      <c r="AI198" s="1386">
        <v>4</v>
      </c>
      <c r="AJ198" s="1387">
        <f t="shared" si="82"/>
        <v>0</v>
      </c>
      <c r="AK198" s="1387">
        <f>IF(AI198=A198,IF(AND(L198="N",Table22[[#This Row],[LOQ_label]]="Y"),AJ198,$AJ198*$Y198),"")</f>
        <v>0</v>
      </c>
      <c r="AL198" s="1388">
        <f t="shared" si="83"/>
        <v>0</v>
      </c>
      <c r="AM198" s="1393">
        <f>IF(Table22[[#This Row],[Highest residue * CF*PF]]&lt;&gt;"",Table22[[#This Row],[Highest residue * CF*PF]],Table22[[#This Row],[MRL*CF*PF or MRL (if LOQ and not authorised) (acute RA)]])</f>
        <v>0</v>
      </c>
      <c r="AN198" s="1390" t="str">
        <f t="shared" si="84"/>
        <v>MRL</v>
      </c>
      <c r="AO198" s="1390" t="str">
        <f t="shared" si="85"/>
        <v/>
      </c>
      <c r="AP198" s="1404" t="str">
        <f t="shared" si="86"/>
        <v/>
      </c>
      <c r="AQ198" s="1388">
        <f t="shared" si="87"/>
        <v>0</v>
      </c>
      <c r="AR198" s="1388" t="str">
        <f t="shared" si="88"/>
        <v/>
      </c>
      <c r="AS198" s="1388" t="str">
        <f t="shared" si="89"/>
        <v/>
      </c>
      <c r="AT198" s="1388" t="str">
        <f t="shared" si="90"/>
        <v/>
      </c>
      <c r="AU198" s="1393">
        <f t="shared" si="91"/>
        <v>0</v>
      </c>
      <c r="AV198" s="1388">
        <f t="shared" si="92"/>
        <v>0</v>
      </c>
      <c r="AW198" s="1390" t="str">
        <f t="shared" si="93"/>
        <v/>
      </c>
      <c r="AX198" s="1390" t="str">
        <f t="shared" si="123"/>
        <v/>
      </c>
      <c r="AY198" s="1394" t="str">
        <f t="shared" si="94"/>
        <v/>
      </c>
      <c r="AZ198" s="1395" t="str">
        <f>IF(Table22[[#This Row],[LOQ_label]]="Y",Table22[[#This Row],[MRL individual commodity]],"")</f>
        <v/>
      </c>
      <c r="BA198" s="1449" t="s">
        <v>654</v>
      </c>
      <c r="BB198" s="1411" t="str">
        <f>IF(Table22[[#This Row],[LOQ2]]&lt;0,MIN(AZ198:AZ574),"")</f>
        <v/>
      </c>
      <c r="BC198" s="1299"/>
      <c r="BD198" s="1306" t="str">
        <f>IF(Table22[[#This Row],[Chronic RA label]]="","N",IF(Table22[[#This Row],[Chronic RA label]]="LOQ","N",IF(Table22[[#This Row],[Chronic RA label]]="MRL","N","Y")))</f>
        <v>N</v>
      </c>
      <c r="BE198" s="1306" t="str">
        <f>IF(Table22[[#This Row],[Acute RA label]]="","N",IF(Table22[[#This Row],[Acute RA label]]="LOQ","N",IF(Table22[[#This Row],[Acute RA label]]="MRL","N","Y")))</f>
        <v>N</v>
      </c>
      <c r="BF198" s="1306" t="str">
        <f>IF(OR(Table22[[#This Row],[include commodity in Summary_input_values_chronic]]="Y",Table22[[#This Row],[include commodity in Summary_input_values_acute]]="Y"),"Y","N")</f>
        <v>N</v>
      </c>
      <c r="BG198" s="1299"/>
      <c r="BH198" s="1324"/>
    </row>
    <row r="199" spans="1:60" ht="12.75" customHeight="1" outlineLevel="3" x14ac:dyDescent="0.2">
      <c r="A199" s="39">
        <v>4</v>
      </c>
      <c r="B199" s="327">
        <v>270030</v>
      </c>
      <c r="C199" s="23" t="s">
        <v>737</v>
      </c>
      <c r="D199" s="867"/>
      <c r="E199" s="1219"/>
      <c r="F199" s="867"/>
      <c r="G199" s="869"/>
      <c r="H199" s="863"/>
      <c r="I199" s="868"/>
      <c r="J199" s="868"/>
      <c r="K199" s="871"/>
      <c r="L199" s="872"/>
      <c r="M199" s="872"/>
      <c r="N199" s="925" t="str">
        <f>IF(O199&lt;&gt;0,CONCATENATE(input_values!$AF199,input_values!$AG199,input_values!$AH199),"")</f>
        <v/>
      </c>
      <c r="O199" s="491">
        <f>IF($A$10="Refined calculation mode",Table22[[#This Row],[input for chronic (refined mode]],Table22[[#This Row],[input for chronic normal mode]])</f>
        <v>0</v>
      </c>
      <c r="P199" s="925" t="str">
        <f>IF(Q199&lt;&gt;0,CONCATENATE(input_values!$AN199,input_values!$AO199,input_values!$AP199),"")</f>
        <v/>
      </c>
      <c r="Q199" s="491">
        <f>IF($V$5=0,0,IF(OR($A$10="Refined calculation mode",Results!$B$62="Show results of IESTI calculation only for crops with GAPs under assessment"),Table22[[#This Row],[Input for IESTI (refined mode)]],Table22[[#This Row],[Input for IESTI normal mode]]))</f>
        <v>0</v>
      </c>
      <c r="R199" s="926" t="str">
        <f>IF(S199&lt;&gt;0,CONCATENATE(input_values!$AW199,input_values!$AX199,input_values!$AY199),"")</f>
        <v/>
      </c>
      <c r="S199" s="492">
        <f>IF($V$5=0,0,IF(OR($A$10="Refined calculation mode",Results!$B$62="Show results of IESTI calculation only for crops with GAPs under assessment"),Table22[[#This Row],[Input for IESTI new (refined mode)]],Table22[[#This Row],[Input for IESTI new normal mode]]))</f>
        <v>0</v>
      </c>
      <c r="T199" s="886"/>
      <c r="U199" s="1408">
        <f>Table22[[#This Row],[MRL/ proposed MRL /CXL
(mg/kg)]]</f>
        <v>0</v>
      </c>
      <c r="V199" s="1409" t="str">
        <f t="shared" si="119"/>
        <v/>
      </c>
      <c r="W199" s="1387">
        <f t="shared" si="120"/>
        <v>1</v>
      </c>
      <c r="X199" s="1387">
        <f t="shared" si="121"/>
        <v>1</v>
      </c>
      <c r="Y199" s="1387">
        <f t="shared" si="122"/>
        <v>1</v>
      </c>
      <c r="Z199" s="1410">
        <v>4</v>
      </c>
      <c r="AA199" s="1387">
        <f t="shared" si="76"/>
        <v>0</v>
      </c>
      <c r="AB199" s="1387">
        <f>IF(Z199=A199,IF(AND(L199="N",Table22[[#This Row],[LOQ_label]]="Y"),AA199,$AA199*$Y199),"")</f>
        <v>0</v>
      </c>
      <c r="AC199" s="1393">
        <f t="shared" si="77"/>
        <v>0</v>
      </c>
      <c r="AD199" s="1393">
        <f>IF(Table22[[#This Row],[Median residue*CF*PeF]]&lt;&gt;"",Table22[[#This Row],[Median residue*CF*PeF]],Table22[[#This Row],[MRL*CF*PeF (chronic)]])</f>
        <v>0</v>
      </c>
      <c r="AE199" s="1393">
        <f t="shared" si="78"/>
        <v>0</v>
      </c>
      <c r="AF199" s="1390" t="str">
        <f t="shared" si="79"/>
        <v>MRL</v>
      </c>
      <c r="AG199" s="1390" t="str">
        <f t="shared" si="80"/>
        <v/>
      </c>
      <c r="AH199" s="1394" t="str">
        <f t="shared" si="81"/>
        <v/>
      </c>
      <c r="AI199" s="1386">
        <v>4</v>
      </c>
      <c r="AJ199" s="1387">
        <f t="shared" si="82"/>
        <v>0</v>
      </c>
      <c r="AK199" s="1387">
        <f>IF(AI199=A199,IF(AND(L199="N",Table22[[#This Row],[LOQ_label]]="Y"),AJ199,$AJ199*$Y199),"")</f>
        <v>0</v>
      </c>
      <c r="AL199" s="1388">
        <f t="shared" si="83"/>
        <v>0</v>
      </c>
      <c r="AM199" s="1393">
        <f>IF(Table22[[#This Row],[Highest residue * CF*PF]]&lt;&gt;"",Table22[[#This Row],[Highest residue * CF*PF]],Table22[[#This Row],[MRL*CF*PF or MRL (if LOQ and not authorised) (acute RA)]])</f>
        <v>0</v>
      </c>
      <c r="AN199" s="1390" t="str">
        <f t="shared" si="84"/>
        <v>MRL</v>
      </c>
      <c r="AO199" s="1390" t="str">
        <f t="shared" si="85"/>
        <v/>
      </c>
      <c r="AP199" s="1404" t="str">
        <f t="shared" si="86"/>
        <v/>
      </c>
      <c r="AQ199" s="1388">
        <f t="shared" si="87"/>
        <v>0</v>
      </c>
      <c r="AR199" s="1388" t="str">
        <f t="shared" si="88"/>
        <v/>
      </c>
      <c r="AS199" s="1388" t="str">
        <f t="shared" si="89"/>
        <v/>
      </c>
      <c r="AT199" s="1388" t="str">
        <f t="shared" si="90"/>
        <v/>
      </c>
      <c r="AU199" s="1393">
        <f t="shared" si="91"/>
        <v>0</v>
      </c>
      <c r="AV199" s="1388">
        <f t="shared" si="92"/>
        <v>0</v>
      </c>
      <c r="AW199" s="1390" t="str">
        <f t="shared" si="93"/>
        <v/>
      </c>
      <c r="AX199" s="1390" t="str">
        <f t="shared" si="123"/>
        <v/>
      </c>
      <c r="AY199" s="1394" t="str">
        <f t="shared" si="94"/>
        <v/>
      </c>
      <c r="AZ199" s="1395" t="str">
        <f>IF(Table22[[#This Row],[LOQ_label]]="Y",Table22[[#This Row],[MRL individual commodity]],"")</f>
        <v/>
      </c>
      <c r="BA199" s="1449" t="s">
        <v>654</v>
      </c>
      <c r="BB199" s="1411" t="str">
        <f>IF(Table22[[#This Row],[LOQ2]]&lt;0,MIN(AZ199:AZ575),"")</f>
        <v/>
      </c>
      <c r="BC199" s="1299"/>
      <c r="BD199" s="1306" t="str">
        <f>IF(Table22[[#This Row],[Chronic RA label]]="","N",IF(Table22[[#This Row],[Chronic RA label]]="LOQ","N",IF(Table22[[#This Row],[Chronic RA label]]="MRL","N","Y")))</f>
        <v>N</v>
      </c>
      <c r="BE199" s="1306" t="str">
        <f>IF(Table22[[#This Row],[Acute RA label]]="","N",IF(Table22[[#This Row],[Acute RA label]]="LOQ","N",IF(Table22[[#This Row],[Acute RA label]]="MRL","N","Y")))</f>
        <v>N</v>
      </c>
      <c r="BF199" s="1306" t="str">
        <f>IF(OR(Table22[[#This Row],[include commodity in Summary_input_values_chronic]]="Y",Table22[[#This Row],[include commodity in Summary_input_values_acute]]="Y"),"Y","N")</f>
        <v>N</v>
      </c>
      <c r="BG199" s="1299"/>
      <c r="BH199" s="1324"/>
    </row>
    <row r="200" spans="1:60" ht="12.75" customHeight="1" outlineLevel="3" x14ac:dyDescent="0.2">
      <c r="A200" s="39">
        <v>4</v>
      </c>
      <c r="B200" s="327">
        <v>270040</v>
      </c>
      <c r="C200" s="23" t="s">
        <v>932</v>
      </c>
      <c r="D200" s="867"/>
      <c r="E200" s="1219"/>
      <c r="F200" s="867"/>
      <c r="G200" s="869"/>
      <c r="H200" s="863"/>
      <c r="I200" s="868"/>
      <c r="J200" s="870"/>
      <c r="K200" s="871"/>
      <c r="L200" s="872"/>
      <c r="M200" s="872"/>
      <c r="N200" s="925" t="str">
        <f>IF(O200&lt;&gt;0,CONCATENATE(input_values!$AF200,input_values!$AG200,input_values!$AH200),"")</f>
        <v/>
      </c>
      <c r="O200" s="491">
        <f>IF($A$10="Refined calculation mode",Table22[[#This Row],[input for chronic (refined mode]],Table22[[#This Row],[input for chronic normal mode]])</f>
        <v>0</v>
      </c>
      <c r="P200" s="925" t="str">
        <f>IF(Q200&lt;&gt;0,CONCATENATE(input_values!$AN200,input_values!$AO200,input_values!$AP200),"")</f>
        <v/>
      </c>
      <c r="Q200" s="491">
        <f>IF($V$5=0,0,IF(OR($A$10="Refined calculation mode",Results!$B$62="Show results of IESTI calculation only for crops with GAPs under assessment"),Table22[[#This Row],[Input for IESTI (refined mode)]],Table22[[#This Row],[Input for IESTI normal mode]]))</f>
        <v>0</v>
      </c>
      <c r="R200" s="926" t="str">
        <f>IF(S200&lt;&gt;0,CONCATENATE(input_values!$AW200,input_values!$AX200,input_values!$AY200),"")</f>
        <v/>
      </c>
      <c r="S200" s="492">
        <f>IF($V$5=0,0,IF(OR($A$10="Refined calculation mode",Results!$B$62="Show results of IESTI calculation only for crops with GAPs under assessment"),Table22[[#This Row],[Input for IESTI new (refined mode)]],Table22[[#This Row],[Input for IESTI new normal mode]]))</f>
        <v>0</v>
      </c>
      <c r="T200" s="886"/>
      <c r="U200" s="1408">
        <f>Table22[[#This Row],[MRL/ proposed MRL /CXL
(mg/kg)]]</f>
        <v>0</v>
      </c>
      <c r="V200" s="1409" t="str">
        <f t="shared" si="119"/>
        <v/>
      </c>
      <c r="W200" s="1387">
        <f t="shared" si="120"/>
        <v>1</v>
      </c>
      <c r="X200" s="1387">
        <f t="shared" si="121"/>
        <v>1</v>
      </c>
      <c r="Y200" s="1387">
        <f t="shared" si="122"/>
        <v>1</v>
      </c>
      <c r="Z200" s="1410">
        <v>4</v>
      </c>
      <c r="AA200" s="1387">
        <f t="shared" si="76"/>
        <v>0</v>
      </c>
      <c r="AB200" s="1387">
        <f>IF(Z200=A200,IF(AND(L200="N",Table22[[#This Row],[LOQ_label]]="Y"),AA200,$AA200*$Y200),"")</f>
        <v>0</v>
      </c>
      <c r="AC200" s="1393">
        <f t="shared" si="77"/>
        <v>0</v>
      </c>
      <c r="AD200" s="1393">
        <f>IF(Table22[[#This Row],[Median residue*CF*PeF]]&lt;&gt;"",Table22[[#This Row],[Median residue*CF*PeF]],Table22[[#This Row],[MRL*CF*PeF (chronic)]])</f>
        <v>0</v>
      </c>
      <c r="AE200" s="1393">
        <f t="shared" si="78"/>
        <v>0</v>
      </c>
      <c r="AF200" s="1390" t="str">
        <f t="shared" si="79"/>
        <v>MRL</v>
      </c>
      <c r="AG200" s="1390" t="str">
        <f t="shared" si="80"/>
        <v/>
      </c>
      <c r="AH200" s="1394" t="str">
        <f t="shared" si="81"/>
        <v/>
      </c>
      <c r="AI200" s="1386">
        <v>4</v>
      </c>
      <c r="AJ200" s="1387">
        <f t="shared" si="82"/>
        <v>0</v>
      </c>
      <c r="AK200" s="1387">
        <f>IF(AI200=A200,IF(AND(L200="N",Table22[[#This Row],[LOQ_label]]="Y"),AJ200,$AJ200*$Y200),"")</f>
        <v>0</v>
      </c>
      <c r="AL200" s="1388">
        <f t="shared" si="83"/>
        <v>0</v>
      </c>
      <c r="AM200" s="1393">
        <f>IF(Table22[[#This Row],[Highest residue * CF*PF]]&lt;&gt;"",Table22[[#This Row],[Highest residue * CF*PF]],Table22[[#This Row],[MRL*CF*PF or MRL (if LOQ and not authorised) (acute RA)]])</f>
        <v>0</v>
      </c>
      <c r="AN200" s="1390" t="str">
        <f t="shared" si="84"/>
        <v>MRL</v>
      </c>
      <c r="AO200" s="1390" t="str">
        <f t="shared" si="85"/>
        <v/>
      </c>
      <c r="AP200" s="1404" t="str">
        <f t="shared" si="86"/>
        <v/>
      </c>
      <c r="AQ200" s="1388">
        <f t="shared" si="87"/>
        <v>0</v>
      </c>
      <c r="AR200" s="1388" t="str">
        <f t="shared" si="88"/>
        <v/>
      </c>
      <c r="AS200" s="1388" t="str">
        <f t="shared" si="89"/>
        <v/>
      </c>
      <c r="AT200" s="1388" t="str">
        <f t="shared" si="90"/>
        <v/>
      </c>
      <c r="AU200" s="1393">
        <f t="shared" si="91"/>
        <v>0</v>
      </c>
      <c r="AV200" s="1388">
        <f t="shared" si="92"/>
        <v>0</v>
      </c>
      <c r="AW200" s="1390" t="str">
        <f t="shared" si="93"/>
        <v/>
      </c>
      <c r="AX200" s="1390" t="str">
        <f t="shared" si="123"/>
        <v/>
      </c>
      <c r="AY200" s="1394" t="str">
        <f t="shared" si="94"/>
        <v/>
      </c>
      <c r="AZ200" s="1395" t="str">
        <f>IF(Table22[[#This Row],[LOQ_label]]="Y",Table22[[#This Row],[MRL individual commodity]],"")</f>
        <v/>
      </c>
      <c r="BA200" s="1449" t="s">
        <v>654</v>
      </c>
      <c r="BB200" s="1411" t="str">
        <f>IF(Table22[[#This Row],[LOQ2]]&lt;0,MIN(AZ200:AZ576),"")</f>
        <v/>
      </c>
      <c r="BC200" s="1299"/>
      <c r="BD200" s="1306" t="str">
        <f>IF(Table22[[#This Row],[Chronic RA label]]="","N",IF(Table22[[#This Row],[Chronic RA label]]="LOQ","N",IF(Table22[[#This Row],[Chronic RA label]]="MRL","N","Y")))</f>
        <v>N</v>
      </c>
      <c r="BE200" s="1306" t="str">
        <f>IF(Table22[[#This Row],[Acute RA label]]="","N",IF(Table22[[#This Row],[Acute RA label]]="LOQ","N",IF(Table22[[#This Row],[Acute RA label]]="MRL","N","Y")))</f>
        <v>N</v>
      </c>
      <c r="BF200" s="1306" t="str">
        <f>IF(OR(Table22[[#This Row],[include commodity in Summary_input_values_chronic]]="Y",Table22[[#This Row],[include commodity in Summary_input_values_acute]]="Y"),"Y","N")</f>
        <v>N</v>
      </c>
      <c r="BG200" s="1299"/>
      <c r="BH200" s="1324"/>
    </row>
    <row r="201" spans="1:60" ht="12.75" customHeight="1" outlineLevel="3" x14ac:dyDescent="0.2">
      <c r="A201" s="39">
        <v>4</v>
      </c>
      <c r="B201" s="327">
        <v>270050</v>
      </c>
      <c r="C201" s="23" t="s">
        <v>62</v>
      </c>
      <c r="D201" s="867"/>
      <c r="E201" s="1219"/>
      <c r="F201" s="867"/>
      <c r="G201" s="869"/>
      <c r="H201" s="863"/>
      <c r="I201" s="868"/>
      <c r="J201" s="870"/>
      <c r="K201" s="871"/>
      <c r="L201" s="872"/>
      <c r="M201" s="872"/>
      <c r="N201" s="925" t="str">
        <f>IF(O201&lt;&gt;0,CONCATENATE(input_values!$AF201,input_values!$AG201,input_values!$AH201),"")</f>
        <v/>
      </c>
      <c r="O201" s="491">
        <f>IF($A$10="Refined calculation mode",Table22[[#This Row],[input for chronic (refined mode]],Table22[[#This Row],[input for chronic normal mode]])</f>
        <v>0</v>
      </c>
      <c r="P201" s="925" t="str">
        <f>IF(Q201&lt;&gt;0,CONCATENATE(input_values!$AN201,input_values!$AO201,input_values!$AP201),"")</f>
        <v/>
      </c>
      <c r="Q201" s="491">
        <f>IF($V$5=0,0,IF(OR($A$10="Refined calculation mode",Results!$B$62="Show results of IESTI calculation only for crops with GAPs under assessment"),Table22[[#This Row],[Input for IESTI (refined mode)]],Table22[[#This Row],[Input for IESTI normal mode]]))</f>
        <v>0</v>
      </c>
      <c r="R201" s="926" t="str">
        <f>IF(S201&lt;&gt;0,CONCATENATE(input_values!$AW201,input_values!$AX201,input_values!$AY201),"")</f>
        <v/>
      </c>
      <c r="S201" s="492">
        <f>IF($V$5=0,0,IF(OR($A$10="Refined calculation mode",Results!$B$62="Show results of IESTI calculation only for crops with GAPs under assessment"),Table22[[#This Row],[Input for IESTI new (refined mode)]],Table22[[#This Row],[Input for IESTI new normal mode]]))</f>
        <v>0</v>
      </c>
      <c r="T201" s="886"/>
      <c r="U201" s="1408">
        <f>Table22[[#This Row],[MRL/ proposed MRL /CXL
(mg/kg)]]</f>
        <v>0</v>
      </c>
      <c r="V201" s="1409" t="str">
        <f t="shared" si="119"/>
        <v/>
      </c>
      <c r="W201" s="1387">
        <f t="shared" si="120"/>
        <v>1</v>
      </c>
      <c r="X201" s="1387">
        <f t="shared" si="121"/>
        <v>1</v>
      </c>
      <c r="Y201" s="1387">
        <f t="shared" si="122"/>
        <v>1</v>
      </c>
      <c r="Z201" s="1410">
        <v>4</v>
      </c>
      <c r="AA201" s="1387">
        <f t="shared" si="76"/>
        <v>0</v>
      </c>
      <c r="AB201" s="1387">
        <f>IF(Z201=A201,IF(AND(L201="N",Table22[[#This Row],[LOQ_label]]="Y"),AA201,$AA201*$Y201),"")</f>
        <v>0</v>
      </c>
      <c r="AC201" s="1393">
        <f t="shared" si="77"/>
        <v>0</v>
      </c>
      <c r="AD201" s="1393">
        <f>IF(Table22[[#This Row],[Median residue*CF*PeF]]&lt;&gt;"",Table22[[#This Row],[Median residue*CF*PeF]],Table22[[#This Row],[MRL*CF*PeF (chronic)]])</f>
        <v>0</v>
      </c>
      <c r="AE201" s="1393">
        <f t="shared" si="78"/>
        <v>0</v>
      </c>
      <c r="AF201" s="1390" t="str">
        <f t="shared" si="79"/>
        <v>MRL</v>
      </c>
      <c r="AG201" s="1390" t="str">
        <f t="shared" si="80"/>
        <v/>
      </c>
      <c r="AH201" s="1394" t="str">
        <f t="shared" si="81"/>
        <v/>
      </c>
      <c r="AI201" s="1386">
        <v>4</v>
      </c>
      <c r="AJ201" s="1387">
        <f t="shared" si="82"/>
        <v>0</v>
      </c>
      <c r="AK201" s="1387">
        <f>IF(AI201=A201,IF(AND(L201="N",Table22[[#This Row],[LOQ_label]]="Y"),AJ201,$AJ201*$Y201),"")</f>
        <v>0</v>
      </c>
      <c r="AL201" s="1388">
        <f t="shared" si="83"/>
        <v>0</v>
      </c>
      <c r="AM201" s="1393">
        <f>IF(Table22[[#This Row],[Highest residue * CF*PF]]&lt;&gt;"",Table22[[#This Row],[Highest residue * CF*PF]],Table22[[#This Row],[MRL*CF*PF or MRL (if LOQ and not authorised) (acute RA)]])</f>
        <v>0</v>
      </c>
      <c r="AN201" s="1390" t="str">
        <f t="shared" si="84"/>
        <v>MRL</v>
      </c>
      <c r="AO201" s="1390" t="str">
        <f t="shared" si="85"/>
        <v/>
      </c>
      <c r="AP201" s="1404" t="str">
        <f t="shared" si="86"/>
        <v/>
      </c>
      <c r="AQ201" s="1388">
        <f t="shared" si="87"/>
        <v>0</v>
      </c>
      <c r="AR201" s="1388" t="str">
        <f t="shared" si="88"/>
        <v/>
      </c>
      <c r="AS201" s="1388" t="str">
        <f t="shared" si="89"/>
        <v/>
      </c>
      <c r="AT201" s="1388" t="str">
        <f t="shared" si="90"/>
        <v/>
      </c>
      <c r="AU201" s="1393">
        <f t="shared" si="91"/>
        <v>0</v>
      </c>
      <c r="AV201" s="1388">
        <f t="shared" si="92"/>
        <v>0</v>
      </c>
      <c r="AW201" s="1390" t="str">
        <f t="shared" si="93"/>
        <v/>
      </c>
      <c r="AX201" s="1390" t="str">
        <f t="shared" si="123"/>
        <v/>
      </c>
      <c r="AY201" s="1394" t="str">
        <f t="shared" si="94"/>
        <v/>
      </c>
      <c r="AZ201" s="1395" t="str">
        <f>IF(Table22[[#This Row],[LOQ_label]]="Y",Table22[[#This Row],[MRL individual commodity]],"")</f>
        <v/>
      </c>
      <c r="BA201" s="1449" t="s">
        <v>654</v>
      </c>
      <c r="BB201" s="1411" t="str">
        <f>IF(Table22[[#This Row],[LOQ2]]&lt;0,MIN(AZ201:AZ577),"")</f>
        <v/>
      </c>
      <c r="BC201" s="1299"/>
      <c r="BD201" s="1306" t="str">
        <f>IF(Table22[[#This Row],[Chronic RA label]]="","N",IF(Table22[[#This Row],[Chronic RA label]]="LOQ","N",IF(Table22[[#This Row],[Chronic RA label]]="MRL","N","Y")))</f>
        <v>N</v>
      </c>
      <c r="BE201" s="1306" t="str">
        <f>IF(Table22[[#This Row],[Acute RA label]]="","N",IF(Table22[[#This Row],[Acute RA label]]="LOQ","N",IF(Table22[[#This Row],[Acute RA label]]="MRL","N","Y")))</f>
        <v>N</v>
      </c>
      <c r="BF201" s="1306" t="str">
        <f>IF(OR(Table22[[#This Row],[include commodity in Summary_input_values_chronic]]="Y",Table22[[#This Row],[include commodity in Summary_input_values_acute]]="Y"),"Y","N")</f>
        <v>N</v>
      </c>
      <c r="BG201" s="1299"/>
      <c r="BH201" s="1324"/>
    </row>
    <row r="202" spans="1:60" ht="12.75" customHeight="1" outlineLevel="3" x14ac:dyDescent="0.2">
      <c r="A202" s="39">
        <v>4</v>
      </c>
      <c r="B202" s="327">
        <v>270060</v>
      </c>
      <c r="C202" s="23" t="s">
        <v>738</v>
      </c>
      <c r="D202" s="867"/>
      <c r="E202" s="1219"/>
      <c r="F202" s="867"/>
      <c r="G202" s="869"/>
      <c r="H202" s="863"/>
      <c r="I202" s="868"/>
      <c r="J202" s="870"/>
      <c r="K202" s="871"/>
      <c r="L202" s="872"/>
      <c r="M202" s="872"/>
      <c r="N202" s="925" t="str">
        <f>IF(O202&lt;&gt;0,CONCATENATE(input_values!$AF202,input_values!$AG202,input_values!$AH202),"")</f>
        <v/>
      </c>
      <c r="O202" s="491">
        <f>IF($A$10="Refined calculation mode",Table22[[#This Row],[input for chronic (refined mode]],Table22[[#This Row],[input for chronic normal mode]])</f>
        <v>0</v>
      </c>
      <c r="P202" s="925" t="str">
        <f>IF(Q202&lt;&gt;0,CONCATENATE(input_values!$AN202,input_values!$AO202,input_values!$AP202),"")</f>
        <v/>
      </c>
      <c r="Q202" s="491">
        <f>IF($V$5=0,0,IF(OR($A$10="Refined calculation mode",Results!$B$62="Show results of IESTI calculation only for crops with GAPs under assessment"),Table22[[#This Row],[Input for IESTI (refined mode)]],Table22[[#This Row],[Input for IESTI normal mode]]))</f>
        <v>0</v>
      </c>
      <c r="R202" s="926" t="str">
        <f>IF(S202&lt;&gt;0,CONCATENATE(input_values!$AW202,input_values!$AX202,input_values!$AY202),"")</f>
        <v/>
      </c>
      <c r="S202" s="492">
        <f>IF($V$5=0,0,IF(OR($A$10="Refined calculation mode",Results!$B$62="Show results of IESTI calculation only for crops with GAPs under assessment"),Table22[[#This Row],[Input for IESTI new (refined mode)]],Table22[[#This Row],[Input for IESTI new normal mode]]))</f>
        <v>0</v>
      </c>
      <c r="T202" s="886"/>
      <c r="U202" s="1408">
        <f>Table22[[#This Row],[MRL/ proposed MRL /CXL
(mg/kg)]]</f>
        <v>0</v>
      </c>
      <c r="V202" s="1409" t="str">
        <f t="shared" si="119"/>
        <v/>
      </c>
      <c r="W202" s="1387">
        <f t="shared" si="120"/>
        <v>1</v>
      </c>
      <c r="X202" s="1387">
        <f t="shared" si="121"/>
        <v>1</v>
      </c>
      <c r="Y202" s="1387">
        <f t="shared" si="122"/>
        <v>1</v>
      </c>
      <c r="Z202" s="1410">
        <v>4</v>
      </c>
      <c r="AA202" s="1387">
        <f t="shared" si="76"/>
        <v>0</v>
      </c>
      <c r="AB202" s="1387">
        <f>IF(Z202=A202,IF(AND(L202="N",Table22[[#This Row],[LOQ_label]]="Y"),AA202,$AA202*$Y202),"")</f>
        <v>0</v>
      </c>
      <c r="AC202" s="1393">
        <f t="shared" si="77"/>
        <v>0</v>
      </c>
      <c r="AD202" s="1393">
        <f>IF(Table22[[#This Row],[Median residue*CF*PeF]]&lt;&gt;"",Table22[[#This Row],[Median residue*CF*PeF]],Table22[[#This Row],[MRL*CF*PeF (chronic)]])</f>
        <v>0</v>
      </c>
      <c r="AE202" s="1393">
        <f t="shared" si="78"/>
        <v>0</v>
      </c>
      <c r="AF202" s="1390" t="str">
        <f t="shared" si="79"/>
        <v>MRL</v>
      </c>
      <c r="AG202" s="1390" t="str">
        <f t="shared" si="80"/>
        <v/>
      </c>
      <c r="AH202" s="1394" t="str">
        <f t="shared" si="81"/>
        <v/>
      </c>
      <c r="AI202" s="1386">
        <v>4</v>
      </c>
      <c r="AJ202" s="1387">
        <f t="shared" si="82"/>
        <v>0</v>
      </c>
      <c r="AK202" s="1387">
        <f>IF(AI202=A202,IF(AND(L202="N",Table22[[#This Row],[LOQ_label]]="Y"),AJ202,$AJ202*$Y202),"")</f>
        <v>0</v>
      </c>
      <c r="AL202" s="1388">
        <f t="shared" si="83"/>
        <v>0</v>
      </c>
      <c r="AM202" s="1393">
        <f>IF(Table22[[#This Row],[Highest residue * CF*PF]]&lt;&gt;"",Table22[[#This Row],[Highest residue * CF*PF]],Table22[[#This Row],[MRL*CF*PF or MRL (if LOQ and not authorised) (acute RA)]])</f>
        <v>0</v>
      </c>
      <c r="AN202" s="1390" t="str">
        <f t="shared" si="84"/>
        <v>MRL</v>
      </c>
      <c r="AO202" s="1390" t="str">
        <f t="shared" si="85"/>
        <v/>
      </c>
      <c r="AP202" s="1404" t="str">
        <f t="shared" si="86"/>
        <v/>
      </c>
      <c r="AQ202" s="1388">
        <f t="shared" si="87"/>
        <v>0</v>
      </c>
      <c r="AR202" s="1388" t="str">
        <f t="shared" si="88"/>
        <v/>
      </c>
      <c r="AS202" s="1388" t="str">
        <f t="shared" si="89"/>
        <v/>
      </c>
      <c r="AT202" s="1388" t="str">
        <f t="shared" si="90"/>
        <v/>
      </c>
      <c r="AU202" s="1393">
        <f t="shared" si="91"/>
        <v>0</v>
      </c>
      <c r="AV202" s="1388">
        <f t="shared" si="92"/>
        <v>0</v>
      </c>
      <c r="AW202" s="1390" t="str">
        <f t="shared" si="93"/>
        <v/>
      </c>
      <c r="AX202" s="1390" t="str">
        <f t="shared" si="123"/>
        <v/>
      </c>
      <c r="AY202" s="1394" t="str">
        <f t="shared" si="94"/>
        <v/>
      </c>
      <c r="AZ202" s="1395" t="str">
        <f>IF(Table22[[#This Row],[LOQ_label]]="Y",Table22[[#This Row],[MRL individual commodity]],"")</f>
        <v/>
      </c>
      <c r="BA202" s="1449" t="s">
        <v>654</v>
      </c>
      <c r="BB202" s="1411" t="str">
        <f>IF(Table22[[#This Row],[LOQ2]]&lt;0,MIN(AZ202:AZ578),"")</f>
        <v/>
      </c>
      <c r="BC202" s="1299"/>
      <c r="BD202" s="1306" t="str">
        <f>IF(Table22[[#This Row],[Chronic RA label]]="","N",IF(Table22[[#This Row],[Chronic RA label]]="LOQ","N",IF(Table22[[#This Row],[Chronic RA label]]="MRL","N","Y")))</f>
        <v>N</v>
      </c>
      <c r="BE202" s="1306" t="str">
        <f>IF(Table22[[#This Row],[Acute RA label]]="","N",IF(Table22[[#This Row],[Acute RA label]]="LOQ","N",IF(Table22[[#This Row],[Acute RA label]]="MRL","N","Y")))</f>
        <v>N</v>
      </c>
      <c r="BF202" s="1306" t="str">
        <f>IF(OR(Table22[[#This Row],[include commodity in Summary_input_values_chronic]]="Y",Table22[[#This Row],[include commodity in Summary_input_values_acute]]="Y"),"Y","N")</f>
        <v>N</v>
      </c>
      <c r="BG202" s="1299"/>
      <c r="BH202" s="1324"/>
    </row>
    <row r="203" spans="1:60" ht="12.75" customHeight="1" outlineLevel="3" x14ac:dyDescent="0.2">
      <c r="A203" s="39">
        <v>4</v>
      </c>
      <c r="B203" s="327">
        <v>270070</v>
      </c>
      <c r="C203" s="23" t="s">
        <v>739</v>
      </c>
      <c r="D203" s="867"/>
      <c r="E203" s="1219"/>
      <c r="F203" s="867"/>
      <c r="G203" s="869"/>
      <c r="H203" s="863"/>
      <c r="I203" s="868"/>
      <c r="J203" s="870"/>
      <c r="K203" s="871"/>
      <c r="L203" s="872"/>
      <c r="M203" s="872"/>
      <c r="N203" s="925" t="str">
        <f>IF(O203&lt;&gt;0,CONCATENATE(input_values!$AF203,input_values!$AG203,input_values!$AH203),"")</f>
        <v/>
      </c>
      <c r="O203" s="491">
        <f>IF($A$10="Refined calculation mode",Table22[[#This Row],[input for chronic (refined mode]],Table22[[#This Row],[input for chronic normal mode]])</f>
        <v>0</v>
      </c>
      <c r="P203" s="925" t="str">
        <f>IF(Q203&lt;&gt;0,CONCATENATE(input_values!$AN203,input_values!$AO203,input_values!$AP203),"")</f>
        <v/>
      </c>
      <c r="Q203" s="491">
        <f>IF($V$5=0,0,IF(OR($A$10="Refined calculation mode",Results!$B$62="Show results of IESTI calculation only for crops with GAPs under assessment"),Table22[[#This Row],[Input for IESTI (refined mode)]],Table22[[#This Row],[Input for IESTI normal mode]]))</f>
        <v>0</v>
      </c>
      <c r="R203" s="926" t="str">
        <f>IF(S203&lt;&gt;0,CONCATENATE(input_values!$AW203,input_values!$AX203,input_values!$AY203),"")</f>
        <v/>
      </c>
      <c r="S203" s="492">
        <f>IF($V$5=0,0,IF(OR($A$10="Refined calculation mode",Results!$B$62="Show results of IESTI calculation only for crops with GAPs under assessment"),Table22[[#This Row],[Input for IESTI new (refined mode)]],Table22[[#This Row],[Input for IESTI new normal mode]]))</f>
        <v>0</v>
      </c>
      <c r="T203" s="886"/>
      <c r="U203" s="1408">
        <f>Table22[[#This Row],[MRL/ proposed MRL /CXL
(mg/kg)]]</f>
        <v>0</v>
      </c>
      <c r="V203" s="1409" t="str">
        <f t="shared" si="119"/>
        <v/>
      </c>
      <c r="W203" s="1387">
        <f t="shared" si="120"/>
        <v>1</v>
      </c>
      <c r="X203" s="1387">
        <f t="shared" si="121"/>
        <v>1</v>
      </c>
      <c r="Y203" s="1387">
        <f t="shared" si="122"/>
        <v>1</v>
      </c>
      <c r="Z203" s="1410">
        <v>4</v>
      </c>
      <c r="AA203" s="1387">
        <f t="shared" si="76"/>
        <v>0</v>
      </c>
      <c r="AB203" s="1387">
        <f>IF(Z203=A203,IF(AND(L203="N",Table22[[#This Row],[LOQ_label]]="Y"),AA203,$AA203*$Y203),"")</f>
        <v>0</v>
      </c>
      <c r="AC203" s="1393">
        <f t="shared" si="77"/>
        <v>0</v>
      </c>
      <c r="AD203" s="1393">
        <f>IF(Table22[[#This Row],[Median residue*CF*PeF]]&lt;&gt;"",Table22[[#This Row],[Median residue*CF*PeF]],Table22[[#This Row],[MRL*CF*PeF (chronic)]])</f>
        <v>0</v>
      </c>
      <c r="AE203" s="1393">
        <f t="shared" si="78"/>
        <v>0</v>
      </c>
      <c r="AF203" s="1390" t="str">
        <f t="shared" si="79"/>
        <v>MRL</v>
      </c>
      <c r="AG203" s="1390" t="str">
        <f t="shared" si="80"/>
        <v/>
      </c>
      <c r="AH203" s="1394" t="str">
        <f t="shared" si="81"/>
        <v/>
      </c>
      <c r="AI203" s="1386">
        <v>4</v>
      </c>
      <c r="AJ203" s="1387">
        <f t="shared" si="82"/>
        <v>0</v>
      </c>
      <c r="AK203" s="1387">
        <f>IF(AI203=A203,IF(AND(L203="N",Table22[[#This Row],[LOQ_label]]="Y"),AJ203,$AJ203*$Y203),"")</f>
        <v>0</v>
      </c>
      <c r="AL203" s="1388">
        <f t="shared" si="83"/>
        <v>0</v>
      </c>
      <c r="AM203" s="1393">
        <f>IF(Table22[[#This Row],[Highest residue * CF*PF]]&lt;&gt;"",Table22[[#This Row],[Highest residue * CF*PF]],Table22[[#This Row],[MRL*CF*PF or MRL (if LOQ and not authorised) (acute RA)]])</f>
        <v>0</v>
      </c>
      <c r="AN203" s="1390" t="str">
        <f t="shared" si="84"/>
        <v>MRL</v>
      </c>
      <c r="AO203" s="1390" t="str">
        <f t="shared" si="85"/>
        <v/>
      </c>
      <c r="AP203" s="1404" t="str">
        <f t="shared" si="86"/>
        <v/>
      </c>
      <c r="AQ203" s="1388">
        <f t="shared" si="87"/>
        <v>0</v>
      </c>
      <c r="AR203" s="1388" t="str">
        <f t="shared" si="88"/>
        <v/>
      </c>
      <c r="AS203" s="1388" t="str">
        <f t="shared" si="89"/>
        <v/>
      </c>
      <c r="AT203" s="1388" t="str">
        <f t="shared" si="90"/>
        <v/>
      </c>
      <c r="AU203" s="1393">
        <f t="shared" si="91"/>
        <v>0</v>
      </c>
      <c r="AV203" s="1388">
        <f t="shared" si="92"/>
        <v>0</v>
      </c>
      <c r="AW203" s="1390" t="str">
        <f t="shared" si="93"/>
        <v/>
      </c>
      <c r="AX203" s="1390" t="str">
        <f t="shared" si="123"/>
        <v/>
      </c>
      <c r="AY203" s="1394" t="str">
        <f t="shared" si="94"/>
        <v/>
      </c>
      <c r="AZ203" s="1395" t="str">
        <f>IF(Table22[[#This Row],[LOQ_label]]="Y",Table22[[#This Row],[MRL individual commodity]],"")</f>
        <v/>
      </c>
      <c r="BA203" s="1449" t="s">
        <v>654</v>
      </c>
      <c r="BB203" s="1411" t="str">
        <f>IF(Table22[[#This Row],[LOQ2]]&lt;0,MIN(AZ203:AZ579),"")</f>
        <v/>
      </c>
      <c r="BC203" s="1299"/>
      <c r="BD203" s="1306" t="str">
        <f>IF(Table22[[#This Row],[Chronic RA label]]="","N",IF(Table22[[#This Row],[Chronic RA label]]="LOQ","N",IF(Table22[[#This Row],[Chronic RA label]]="MRL","N","Y")))</f>
        <v>N</v>
      </c>
      <c r="BE203" s="1306" t="str">
        <f>IF(Table22[[#This Row],[Acute RA label]]="","N",IF(Table22[[#This Row],[Acute RA label]]="LOQ","N",IF(Table22[[#This Row],[Acute RA label]]="MRL","N","Y")))</f>
        <v>N</v>
      </c>
      <c r="BF203" s="1306" t="str">
        <f>IF(OR(Table22[[#This Row],[include commodity in Summary_input_values_chronic]]="Y",Table22[[#This Row],[include commodity in Summary_input_values_acute]]="Y"),"Y","N")</f>
        <v>N</v>
      </c>
      <c r="BG203" s="1299"/>
      <c r="BH203" s="1324"/>
    </row>
    <row r="204" spans="1:60" ht="12.75" customHeight="1" outlineLevel="3" x14ac:dyDescent="0.2">
      <c r="A204" s="39">
        <v>4</v>
      </c>
      <c r="B204" s="327">
        <v>270080</v>
      </c>
      <c r="C204" s="23" t="s">
        <v>63</v>
      </c>
      <c r="D204" s="867"/>
      <c r="E204" s="1219"/>
      <c r="F204" s="867"/>
      <c r="G204" s="869"/>
      <c r="H204" s="863"/>
      <c r="I204" s="868"/>
      <c r="J204" s="870"/>
      <c r="K204" s="865"/>
      <c r="L204" s="872"/>
      <c r="M204" s="872"/>
      <c r="N204" s="925" t="str">
        <f>IF(O204&lt;&gt;0,CONCATENATE(input_values!$AF204,input_values!$AG204,input_values!$AH204),"")</f>
        <v/>
      </c>
      <c r="O204" s="491">
        <f>IF($A$10="Refined calculation mode",Table22[[#This Row],[input for chronic (refined mode]],Table22[[#This Row],[input for chronic normal mode]])</f>
        <v>0</v>
      </c>
      <c r="P204" s="925" t="str">
        <f>IF(Q204&lt;&gt;0,CONCATENATE(input_values!$AN204,input_values!$AO204,input_values!$AP204),"")</f>
        <v/>
      </c>
      <c r="Q204" s="491">
        <f>IF($V$5=0,0,IF(OR($A$10="Refined calculation mode",Results!$B$62="Show results of IESTI calculation only for crops with GAPs under assessment"),Table22[[#This Row],[Input for IESTI (refined mode)]],Table22[[#This Row],[Input for IESTI normal mode]]))</f>
        <v>0</v>
      </c>
      <c r="R204" s="926" t="str">
        <f>IF(S204&lt;&gt;0,CONCATENATE(input_values!$AW204,input_values!$AX204,input_values!$AY204),"")</f>
        <v/>
      </c>
      <c r="S204" s="492">
        <f>IF($V$5=0,0,IF(OR($A$10="Refined calculation mode",Results!$B$62="Show results of IESTI calculation only for crops with GAPs under assessment"),Table22[[#This Row],[Input for IESTI new (refined mode)]],Table22[[#This Row],[Input for IESTI new normal mode]]))</f>
        <v>0</v>
      </c>
      <c r="T204" s="886"/>
      <c r="U204" s="1408">
        <f>Table22[[#This Row],[MRL/ proposed MRL /CXL
(mg/kg)]]</f>
        <v>0</v>
      </c>
      <c r="V204" s="1409" t="str">
        <f t="shared" si="119"/>
        <v/>
      </c>
      <c r="W204" s="1387">
        <f t="shared" si="120"/>
        <v>1</v>
      </c>
      <c r="X204" s="1387">
        <f t="shared" si="121"/>
        <v>1</v>
      </c>
      <c r="Y204" s="1387">
        <f t="shared" si="122"/>
        <v>1</v>
      </c>
      <c r="Z204" s="1410">
        <v>4</v>
      </c>
      <c r="AA204" s="1387">
        <f t="shared" ref="AA204:AA267" si="124">IF(Z204=A204,U204,"")</f>
        <v>0</v>
      </c>
      <c r="AB204" s="1387">
        <f>IF(Z204=A204,IF(AND(L204="N",Table22[[#This Row],[LOQ_label]]="Y"),AA204,$AA204*$Y204),"")</f>
        <v>0</v>
      </c>
      <c r="AC204" s="1393">
        <f t="shared" ref="AC204:AC267" si="125">IF(Z204=A204,$I204*$Y204,"")</f>
        <v>0</v>
      </c>
      <c r="AD204" s="1393">
        <f>IF(Table22[[#This Row],[Median residue*CF*PeF]]&lt;&gt;"",Table22[[#This Row],[Median residue*CF*PeF]],Table22[[#This Row],[MRL*CF*PeF (chronic)]])</f>
        <v>0</v>
      </c>
      <c r="AE204" s="1393">
        <f t="shared" ref="AE204:AE267" si="126">IF(OR(L204="N",ISBLANK(L204)),0,IF(Z204=A204,IF(ISBLANK(I204)=TRUE,AB204,AC204),""))</f>
        <v>0</v>
      </c>
      <c r="AF204" s="1390" t="str">
        <f t="shared" ref="AF204:AF267" si="127">IF(Z204&lt;&gt;A204,"",IF(ISBLANK(I204)=FALSE,"STMR-RAC",IF(V204="Y","LOQ","MRL")))</f>
        <v>MRL</v>
      </c>
      <c r="AG204" s="1390" t="str">
        <f t="shared" ref="AG204:AG267" si="128">IF(AND(AF204&lt;&gt;"",AH204&lt;&gt;""),"*","")</f>
        <v/>
      </c>
      <c r="AH204" s="1394" t="str">
        <f t="shared" ref="AH204:AH267" si="129">IF(OR(AND(AF204="LOQ",L204="N"),AF204=""),"",IF(AND(G204&gt;0,H204&gt;0),"CF*PeF",IF(G204&gt;0,"CF",IF(H204&gt;0,"PeF",""))))</f>
        <v/>
      </c>
      <c r="AI204" s="1386">
        <v>4</v>
      </c>
      <c r="AJ204" s="1387">
        <f t="shared" ref="AJ204:AJ267" si="130">IF(AI204=A204,U204,"")</f>
        <v>0</v>
      </c>
      <c r="AK204" s="1387">
        <f>IF(AI204=A204,IF(AND(L204="N",Table22[[#This Row],[LOQ_label]]="Y"),AJ204,$AJ204*$Y204),"")</f>
        <v>0</v>
      </c>
      <c r="AL204" s="1388">
        <f t="shared" ref="AL204:AL267" si="131">IF(AI204=A204,$J204*$Y204,"")</f>
        <v>0</v>
      </c>
      <c r="AM204" s="1393">
        <f>IF(Table22[[#This Row],[Highest residue * CF*PF]]&lt;&gt;"",Table22[[#This Row],[Highest residue * CF*PF]],Table22[[#This Row],[MRL*CF*PF or MRL (if LOQ and not authorised) (acute RA)]])</f>
        <v>0</v>
      </c>
      <c r="AN204" s="1390" t="str">
        <f t="shared" ref="AN204:AN267" si="132">IF(AI204&lt;&gt;A204,"",IF(BA204=3,AF204,IF(ISBLANK($J204)=FALSE,"HR-RAC",IF(V204="Y","LOQ","MRL"))))</f>
        <v>MRL</v>
      </c>
      <c r="AO204" s="1390" t="str">
        <f t="shared" ref="AO204:AO267" si="133">IF(AND(AN204&lt;&gt;"",AP204&lt;&gt;""),"*","")</f>
        <v/>
      </c>
      <c r="AP204" s="1404" t="str">
        <f t="shared" ref="AP204:AP267" si="134">IF(OR(AND(AN204="LOQ",L204="N"),AN204=""),"",IF(AND(G204&gt;0,H204&gt;0),"CF*PeF",IF(G204&gt;0,"CF",IF(H204&gt;0,"PeF",""))))</f>
        <v/>
      </c>
      <c r="AQ204" s="1388">
        <f t="shared" ref="AQ204:AQ267" si="135">IF(OR(L204="N",ISBLANK(L204)),0,IF(AI204=A204,IF(BA204=3,AE204,IF(ISBLANK(J204)=TRUE,AK204,AL204)),""))</f>
        <v>0</v>
      </c>
      <c r="AR204" s="1388" t="str">
        <f t="shared" ref="AR204:AR267" si="136">IF(OR(AI204&lt;&gt;A204,AQ204=0),"",IF(BA204=3,AF204,IF(ISBLANK($I204)=FALSE,"STMR-RAC",IF(V204="Y","LOQ","MRL"))))</f>
        <v/>
      </c>
      <c r="AS204" s="1388" t="str">
        <f t="shared" ref="AS204:AS267" si="137">IF(AND(AR204&lt;&gt;"",AT204&lt;&gt;""),"*","")</f>
        <v/>
      </c>
      <c r="AT204" s="1388" t="str">
        <f t="shared" ref="AT204:AT267" si="138">IF(OR(AND(AR204="LOQ",L204="N"),AR204=""),"",IF(AND(G204&gt;0,H204&gt;0),"CF*PeF",IF(G204&gt;0,"CF",IF(H204&gt;0,"PeF",""))))</f>
        <v/>
      </c>
      <c r="AU204" s="1393">
        <f t="shared" ref="AU204:AU267" si="139">AK204</f>
        <v>0</v>
      </c>
      <c r="AV204" s="1388">
        <f t="shared" ref="AV204:AV267" si="140">IF(OR(L204="N",ISBLANK(L204)),0,AK204)</f>
        <v>0</v>
      </c>
      <c r="AW204" s="1390" t="str">
        <f t="shared" ref="AW204:AW267" si="141">IF(OR(AI204&lt;&gt;A204,AJ204=0),"",IF(V204="Y","LOQ","MRL"))</f>
        <v/>
      </c>
      <c r="AX204" s="1390" t="str">
        <f t="shared" si="123"/>
        <v/>
      </c>
      <c r="AY204" s="1394" t="str">
        <f t="shared" ref="AY204:AY267" si="142">IF(OR(AND(AW204="LOQ",L204="N"),AW204=""),"",IF(AND(G204&gt;0,H204&gt;0),"CF*PeF",IF(G204&gt;0,"CF",IF(H204&gt;0,"PeF",""))))</f>
        <v/>
      </c>
      <c r="AZ204" s="1395" t="str">
        <f>IF(Table22[[#This Row],[LOQ_label]]="Y",Table22[[#This Row],[MRL individual commodity]],"")</f>
        <v/>
      </c>
      <c r="BA204" s="1396" t="s">
        <v>1038</v>
      </c>
      <c r="BB204" s="1411" t="str">
        <f>IF(Table22[[#This Row],[LOQ2]]&lt;0,MIN(AZ204:AZ580),"")</f>
        <v/>
      </c>
      <c r="BC204" s="1299"/>
      <c r="BD204" s="1306" t="str">
        <f>IF(Table22[[#This Row],[Chronic RA label]]="","N",IF(Table22[[#This Row],[Chronic RA label]]="LOQ","N",IF(Table22[[#This Row],[Chronic RA label]]="MRL","N","Y")))</f>
        <v>N</v>
      </c>
      <c r="BE204" s="1306" t="str">
        <f>IF(Table22[[#This Row],[Acute RA label]]="","N",IF(Table22[[#This Row],[Acute RA label]]="LOQ","N",IF(Table22[[#This Row],[Acute RA label]]="MRL","N","Y")))</f>
        <v>N</v>
      </c>
      <c r="BF204" s="1306" t="str">
        <f>IF(OR(Table22[[#This Row],[include commodity in Summary_input_values_chronic]]="Y",Table22[[#This Row],[include commodity in Summary_input_values_acute]]="Y"),"Y","N")</f>
        <v>N</v>
      </c>
      <c r="BG204" s="1299"/>
      <c r="BH204" s="1324"/>
    </row>
    <row r="205" spans="1:60" ht="12.75" customHeight="1" outlineLevel="3" x14ac:dyDescent="0.2">
      <c r="A205" s="39">
        <v>4</v>
      </c>
      <c r="B205" s="327">
        <v>270090</v>
      </c>
      <c r="C205" s="23" t="s">
        <v>64</v>
      </c>
      <c r="D205" s="867"/>
      <c r="E205" s="1219"/>
      <c r="F205" s="867"/>
      <c r="G205" s="869"/>
      <c r="H205" s="863"/>
      <c r="I205" s="868"/>
      <c r="J205" s="870"/>
      <c r="K205" s="865"/>
      <c r="L205" s="872"/>
      <c r="M205" s="872"/>
      <c r="N205" s="925" t="str">
        <f>IF(O205&lt;&gt;0,CONCATENATE(input_values!$AF205,input_values!$AG205,input_values!$AH205),"")</f>
        <v/>
      </c>
      <c r="O205" s="491">
        <f>IF($A$10="Refined calculation mode",Table22[[#This Row],[input for chronic (refined mode]],Table22[[#This Row],[input for chronic normal mode]])</f>
        <v>0</v>
      </c>
      <c r="P205" s="925" t="str">
        <f>IF(Q205&lt;&gt;0,CONCATENATE(input_values!$AN205,input_values!$AO205,input_values!$AP205),"")</f>
        <v/>
      </c>
      <c r="Q205" s="491">
        <f>IF($V$5=0,0,IF(OR($A$10="Refined calculation mode",Results!$B$62="Show results of IESTI calculation only for crops with GAPs under assessment"),Table22[[#This Row],[Input for IESTI (refined mode)]],Table22[[#This Row],[Input for IESTI normal mode]]))</f>
        <v>0</v>
      </c>
      <c r="R205" s="926" t="str">
        <f>IF(S205&lt;&gt;0,CONCATENATE(input_values!$AW205,input_values!$AX205,input_values!$AY205),"")</f>
        <v/>
      </c>
      <c r="S205" s="492">
        <f>IF($V$5=0,0,IF(OR($A$10="Refined calculation mode",Results!$B$62="Show results of IESTI calculation only for crops with GAPs under assessment"),Table22[[#This Row],[Input for IESTI new (refined mode)]],Table22[[#This Row],[Input for IESTI new normal mode]]))</f>
        <v>0</v>
      </c>
      <c r="T205" s="886"/>
      <c r="U205" s="1408">
        <f>Table22[[#This Row],[MRL/ proposed MRL /CXL
(mg/kg)]]</f>
        <v>0</v>
      </c>
      <c r="V205" s="1409" t="str">
        <f t="shared" si="119"/>
        <v/>
      </c>
      <c r="W205" s="1387">
        <f t="shared" si="120"/>
        <v>1</v>
      </c>
      <c r="X205" s="1387">
        <f t="shared" si="121"/>
        <v>1</v>
      </c>
      <c r="Y205" s="1387">
        <f t="shared" si="122"/>
        <v>1</v>
      </c>
      <c r="Z205" s="1410">
        <v>4</v>
      </c>
      <c r="AA205" s="1387">
        <f t="shared" si="124"/>
        <v>0</v>
      </c>
      <c r="AB205" s="1387">
        <f>IF(Z205=A205,IF(AND(L205="N",Table22[[#This Row],[LOQ_label]]="Y"),AA205,$AA205*$Y205),"")</f>
        <v>0</v>
      </c>
      <c r="AC205" s="1393">
        <f t="shared" si="125"/>
        <v>0</v>
      </c>
      <c r="AD205" s="1393">
        <f>IF(Table22[[#This Row],[Median residue*CF*PeF]]&lt;&gt;"",Table22[[#This Row],[Median residue*CF*PeF]],Table22[[#This Row],[MRL*CF*PeF (chronic)]])</f>
        <v>0</v>
      </c>
      <c r="AE205" s="1393">
        <f t="shared" si="126"/>
        <v>0</v>
      </c>
      <c r="AF205" s="1390" t="str">
        <f t="shared" si="127"/>
        <v>MRL</v>
      </c>
      <c r="AG205" s="1390" t="str">
        <f t="shared" si="128"/>
        <v/>
      </c>
      <c r="AH205" s="1394" t="str">
        <f t="shared" si="129"/>
        <v/>
      </c>
      <c r="AI205" s="1386">
        <v>4</v>
      </c>
      <c r="AJ205" s="1387">
        <f t="shared" si="130"/>
        <v>0</v>
      </c>
      <c r="AK205" s="1387">
        <f>IF(AI205=A205,IF(AND(L205="N",Table22[[#This Row],[LOQ_label]]="Y"),AJ205,$AJ205*$Y205),"")</f>
        <v>0</v>
      </c>
      <c r="AL205" s="1388">
        <f t="shared" si="131"/>
        <v>0</v>
      </c>
      <c r="AM205" s="1393">
        <f>IF(Table22[[#This Row],[Highest residue * CF*PF]]&lt;&gt;"",Table22[[#This Row],[Highest residue * CF*PF]],Table22[[#This Row],[MRL*CF*PF or MRL (if LOQ and not authorised) (acute RA)]])</f>
        <v>0</v>
      </c>
      <c r="AN205" s="1390" t="str">
        <f t="shared" si="132"/>
        <v>MRL</v>
      </c>
      <c r="AO205" s="1390" t="str">
        <f t="shared" si="133"/>
        <v/>
      </c>
      <c r="AP205" s="1404" t="str">
        <f t="shared" si="134"/>
        <v/>
      </c>
      <c r="AQ205" s="1388">
        <f t="shared" si="135"/>
        <v>0</v>
      </c>
      <c r="AR205" s="1388" t="str">
        <f t="shared" si="136"/>
        <v/>
      </c>
      <c r="AS205" s="1388" t="str">
        <f t="shared" si="137"/>
        <v/>
      </c>
      <c r="AT205" s="1388" t="str">
        <f t="shared" si="138"/>
        <v/>
      </c>
      <c r="AU205" s="1393">
        <f t="shared" si="139"/>
        <v>0</v>
      </c>
      <c r="AV205" s="1388">
        <f t="shared" si="140"/>
        <v>0</v>
      </c>
      <c r="AW205" s="1390" t="str">
        <f t="shared" si="141"/>
        <v/>
      </c>
      <c r="AX205" s="1390" t="str">
        <f t="shared" si="123"/>
        <v/>
      </c>
      <c r="AY205" s="1394" t="str">
        <f t="shared" si="142"/>
        <v/>
      </c>
      <c r="AZ205" s="1395" t="str">
        <f>IF(Table22[[#This Row],[LOQ_label]]="Y",Table22[[#This Row],[MRL individual commodity]],"")</f>
        <v/>
      </c>
      <c r="BA205" s="1396">
        <v>1</v>
      </c>
      <c r="BB205" s="1411" t="str">
        <f>IF(Table22[[#This Row],[LOQ2]]&lt;0,MIN(AZ205:AZ581),"")</f>
        <v/>
      </c>
      <c r="BC205" s="1299"/>
      <c r="BD205" s="1306" t="str">
        <f>IF(Table22[[#This Row],[Chronic RA label]]="","N",IF(Table22[[#This Row],[Chronic RA label]]="LOQ","N",IF(Table22[[#This Row],[Chronic RA label]]="MRL","N","Y")))</f>
        <v>N</v>
      </c>
      <c r="BE205" s="1306" t="str">
        <f>IF(Table22[[#This Row],[Acute RA label]]="","N",IF(Table22[[#This Row],[Acute RA label]]="LOQ","N",IF(Table22[[#This Row],[Acute RA label]]="MRL","N","Y")))</f>
        <v>N</v>
      </c>
      <c r="BF205" s="1306" t="str">
        <f>IF(OR(Table22[[#This Row],[include commodity in Summary_input_values_chronic]]="Y",Table22[[#This Row],[include commodity in Summary_input_values_acute]]="Y"),"Y","N")</f>
        <v>N</v>
      </c>
      <c r="BG205" s="1299"/>
      <c r="BH205" s="1324"/>
    </row>
    <row r="206" spans="1:60" ht="12.75" customHeight="1" outlineLevel="3" x14ac:dyDescent="0.2">
      <c r="A206" s="39">
        <v>4</v>
      </c>
      <c r="B206" s="327">
        <v>270990</v>
      </c>
      <c r="C206" s="23" t="s">
        <v>177</v>
      </c>
      <c r="D206" s="867"/>
      <c r="E206" s="1219"/>
      <c r="F206" s="867"/>
      <c r="G206" s="868"/>
      <c r="H206" s="863"/>
      <c r="I206" s="868"/>
      <c r="J206" s="870"/>
      <c r="K206" s="865"/>
      <c r="L206" s="872"/>
      <c r="M206" s="872"/>
      <c r="N206" s="925" t="str">
        <f>IF(O206&lt;&gt;0,CONCATENATE(input_values!$AF206,input_values!$AG206,input_values!$AH206),"")</f>
        <v/>
      </c>
      <c r="O206" s="491">
        <f>IF($A$10="Refined calculation mode",Table22[[#This Row],[input for chronic (refined mode]],Table22[[#This Row],[input for chronic normal mode]])</f>
        <v>0</v>
      </c>
      <c r="P206" s="473"/>
      <c r="Q206" s="474"/>
      <c r="R206" s="473"/>
      <c r="S206" s="474"/>
      <c r="T206" s="886"/>
      <c r="U206" s="1408">
        <f>Table22[[#This Row],[MRL/ proposed MRL /CXL
(mg/kg)]]</f>
        <v>0</v>
      </c>
      <c r="V206" s="1409" t="str">
        <f t="shared" si="119"/>
        <v/>
      </c>
      <c r="W206" s="1387">
        <f t="shared" si="120"/>
        <v>1</v>
      </c>
      <c r="X206" s="1387">
        <f t="shared" si="121"/>
        <v>1</v>
      </c>
      <c r="Y206" s="1387">
        <f t="shared" si="122"/>
        <v>1</v>
      </c>
      <c r="Z206" s="1410">
        <v>4</v>
      </c>
      <c r="AA206" s="1387">
        <f t="shared" si="124"/>
        <v>0</v>
      </c>
      <c r="AB206" s="1387">
        <f>IF(Z206=A206,IF(AND(L206="N",Table22[[#This Row],[LOQ_label]]="Y"),AA206,$AA206*$Y206),"")</f>
        <v>0</v>
      </c>
      <c r="AC206" s="1393">
        <f t="shared" si="125"/>
        <v>0</v>
      </c>
      <c r="AD206" s="1393">
        <f>IF(Table22[[#This Row],[Median residue*CF*PeF]]&lt;&gt;"",Table22[[#This Row],[Median residue*CF*PeF]],Table22[[#This Row],[MRL*CF*PeF (chronic)]])</f>
        <v>0</v>
      </c>
      <c r="AE206" s="1393">
        <f t="shared" si="126"/>
        <v>0</v>
      </c>
      <c r="AF206" s="1390" t="str">
        <f t="shared" si="127"/>
        <v>MRL</v>
      </c>
      <c r="AG206" s="1390" t="str">
        <f t="shared" si="128"/>
        <v/>
      </c>
      <c r="AH206" s="1394" t="str">
        <f t="shared" si="129"/>
        <v/>
      </c>
      <c r="AI206" s="1386"/>
      <c r="AJ206" s="1387" t="str">
        <f t="shared" si="130"/>
        <v/>
      </c>
      <c r="AK206" s="1387" t="str">
        <f>IF(AI206=A206,IF(AND(L206="N",Table22[[#This Row],[LOQ_label]]="Y"),AJ206,$AJ206*$Y206),"")</f>
        <v/>
      </c>
      <c r="AL206" s="1388" t="str">
        <f t="shared" si="131"/>
        <v/>
      </c>
      <c r="AM206" s="1393" t="str">
        <f>IF(Table22[[#This Row],[Highest residue * CF*PF]]&lt;&gt;"",Table22[[#This Row],[Highest residue * CF*PF]],Table22[[#This Row],[MRL*CF*PF or MRL (if LOQ and not authorised) (acute RA)]])</f>
        <v/>
      </c>
      <c r="AN206" s="1390" t="str">
        <f t="shared" si="132"/>
        <v/>
      </c>
      <c r="AO206" s="1390" t="str">
        <f t="shared" si="133"/>
        <v/>
      </c>
      <c r="AP206" s="1404" t="str">
        <f t="shared" si="134"/>
        <v/>
      </c>
      <c r="AQ206" s="1388">
        <f t="shared" si="135"/>
        <v>0</v>
      </c>
      <c r="AR206" s="1388" t="str">
        <f t="shared" si="136"/>
        <v/>
      </c>
      <c r="AS206" s="1388" t="str">
        <f t="shared" si="137"/>
        <v/>
      </c>
      <c r="AT206" s="1388" t="str">
        <f t="shared" si="138"/>
        <v/>
      </c>
      <c r="AU206" s="1393" t="str">
        <f t="shared" si="139"/>
        <v/>
      </c>
      <c r="AV206" s="1388">
        <f t="shared" si="140"/>
        <v>0</v>
      </c>
      <c r="AW206" s="1390" t="str">
        <f t="shared" si="141"/>
        <v/>
      </c>
      <c r="AX206" s="1390" t="str">
        <f>IF(AND(AN206&lt;&gt;"",AY206&lt;&gt;""),"*","")</f>
        <v/>
      </c>
      <c r="AY206" s="1394" t="str">
        <f t="shared" si="142"/>
        <v/>
      </c>
      <c r="AZ206" s="1395" t="str">
        <f>IF(Table22[[#This Row],[LOQ_label]]="Y",Table22[[#This Row],[MRL individual commodity]],"")</f>
        <v/>
      </c>
      <c r="BA206" s="1396" t="s">
        <v>1159</v>
      </c>
      <c r="BB206" s="1411" t="str">
        <f>IF(Table22[[#This Row],[LOQ2]]&lt;0,MIN(AZ206:AZ582),"")</f>
        <v/>
      </c>
      <c r="BC206" s="1299"/>
      <c r="BD206" s="1306" t="str">
        <f>IF(Table22[[#This Row],[Chronic RA label]]="","N",IF(Table22[[#This Row],[Chronic RA label]]="LOQ","N",IF(Table22[[#This Row],[Chronic RA label]]="MRL","N","Y")))</f>
        <v>N</v>
      </c>
      <c r="BE206" s="1306" t="str">
        <f>IF(Table22[[#This Row],[Acute RA label]]="","N",IF(Table22[[#This Row],[Acute RA label]]="LOQ","N",IF(Table22[[#This Row],[Acute RA label]]="MRL","N","Y")))</f>
        <v>N</v>
      </c>
      <c r="BF206" s="1306" t="str">
        <f>IF(OR(Table22[[#This Row],[include commodity in Summary_input_values_chronic]]="Y",Table22[[#This Row],[include commodity in Summary_input_values_acute]]="Y"),"Y","N")</f>
        <v>N</v>
      </c>
      <c r="BG206" s="1299"/>
      <c r="BH206" s="1324"/>
    </row>
    <row r="207" spans="1:60" ht="12.75" customHeight="1" outlineLevel="2" x14ac:dyDescent="0.2">
      <c r="A207" s="130">
        <v>2</v>
      </c>
      <c r="B207" s="447">
        <v>280000</v>
      </c>
      <c r="C207" s="131" t="s">
        <v>235</v>
      </c>
      <c r="D207" s="862"/>
      <c r="E207" s="1218"/>
      <c r="F207" s="862"/>
      <c r="G207" s="866"/>
      <c r="H207" s="863"/>
      <c r="I207" s="863"/>
      <c r="J207" s="864"/>
      <c r="K207" s="865"/>
      <c r="L207" s="471"/>
      <c r="M207" s="471"/>
      <c r="N207" s="473"/>
      <c r="O207" s="474"/>
      <c r="P207" s="473"/>
      <c r="Q207" s="474"/>
      <c r="R207" s="473"/>
      <c r="S207" s="474"/>
      <c r="T207" s="886"/>
      <c r="U207" s="1415"/>
      <c r="V207" s="1380"/>
      <c r="W207" s="1381"/>
      <c r="X207" s="1381"/>
      <c r="Y207" s="1381"/>
      <c r="Z207" s="1382">
        <v>4</v>
      </c>
      <c r="AA207" s="1381" t="str">
        <f t="shared" si="124"/>
        <v/>
      </c>
      <c r="AB207" s="1381" t="str">
        <f>IF(Z207=A207,IF(AND(L207="N",Table22[[#This Row],[LOQ_label]]="Y"),AA207,$AA207*$Y207),"")</f>
        <v/>
      </c>
      <c r="AC207" s="1383" t="str">
        <f t="shared" si="125"/>
        <v/>
      </c>
      <c r="AD207" s="1383" t="str">
        <f>IF(Table22[[#This Row],[Median residue*CF*PeF]]&lt;&gt;"",Table22[[#This Row],[Median residue*CF*PeF]],Table22[[#This Row],[MRL*CF*PeF (chronic)]])</f>
        <v/>
      </c>
      <c r="AE207" s="1384">
        <f t="shared" si="126"/>
        <v>0</v>
      </c>
      <c r="AF207" s="1385" t="str">
        <f t="shared" si="127"/>
        <v/>
      </c>
      <c r="AG207" s="1385" t="str">
        <f t="shared" si="128"/>
        <v/>
      </c>
      <c r="AH207" s="1270" t="str">
        <f t="shared" si="129"/>
        <v/>
      </c>
      <c r="AI207" s="1386">
        <v>4</v>
      </c>
      <c r="AJ207" s="1387" t="str">
        <f t="shared" si="130"/>
        <v/>
      </c>
      <c r="AK207" s="1387" t="str">
        <f>IF(AI207=A207,IF(AND(L207="N",Table22[[#This Row],[LOQ_label]]="Y"),AJ207,$AJ207*$Y207),"")</f>
        <v/>
      </c>
      <c r="AL207" s="1388" t="str">
        <f t="shared" si="131"/>
        <v/>
      </c>
      <c r="AM207" s="1393" t="str">
        <f>IF(Table22[[#This Row],[Highest residue * CF*PF]]&lt;&gt;"",Table22[[#This Row],[Highest residue * CF*PF]],Table22[[#This Row],[MRL*CF*PF or MRL (if LOQ and not authorised) (acute RA)]])</f>
        <v/>
      </c>
      <c r="AN207" s="1390" t="str">
        <f t="shared" si="132"/>
        <v/>
      </c>
      <c r="AO207" s="1390" t="str">
        <f t="shared" si="133"/>
        <v/>
      </c>
      <c r="AP207" s="1404" t="str">
        <f t="shared" si="134"/>
        <v/>
      </c>
      <c r="AQ207" s="1388">
        <f t="shared" si="135"/>
        <v>0</v>
      </c>
      <c r="AR207" s="1388" t="str">
        <f t="shared" si="136"/>
        <v/>
      </c>
      <c r="AS207" s="1388" t="str">
        <f t="shared" si="137"/>
        <v/>
      </c>
      <c r="AT207" s="1388" t="str">
        <f t="shared" si="138"/>
        <v/>
      </c>
      <c r="AU207" s="1393" t="str">
        <f t="shared" si="139"/>
        <v/>
      </c>
      <c r="AV207" s="1388">
        <f t="shared" si="140"/>
        <v>0</v>
      </c>
      <c r="AW207" s="1390" t="str">
        <f t="shared" si="141"/>
        <v/>
      </c>
      <c r="AX207" s="1390" t="str">
        <f>IF(AND(AN207&lt;&gt;"",AY207&lt;&gt;""),"*","")</f>
        <v/>
      </c>
      <c r="AY207" s="1394" t="str">
        <f t="shared" si="142"/>
        <v/>
      </c>
      <c r="AZ207" s="1395">
        <f>IF(Table22[[#This Row],[LOQ_label]]="Y",Table22[[#This Row],[MRL individual commodity]],"")</f>
        <v>0</v>
      </c>
      <c r="BA207" s="1396" t="s">
        <v>1159</v>
      </c>
      <c r="BB207" s="1411" t="str">
        <f>IF(Table22[[#This Row],[LOQ2]]&lt;0,MIN(AZ207:AZ583),"")</f>
        <v/>
      </c>
      <c r="BC207" s="1299"/>
      <c r="BD207" s="1306" t="str">
        <f>IF(Table22[[#This Row],[Chronic RA label]]="","N",IF(Table22[[#This Row],[Chronic RA label]]="LOQ","N",IF(Table22[[#This Row],[Chronic RA label]]="MRL","N","Y")))</f>
        <v>N</v>
      </c>
      <c r="BE207" s="1306" t="str">
        <f>IF(Table22[[#This Row],[Acute RA label]]="","N",IF(Table22[[#This Row],[Acute RA label]]="LOQ","N",IF(Table22[[#This Row],[Acute RA label]]="MRL","N","Y")))</f>
        <v>N</v>
      </c>
      <c r="BF207" s="1306" t="str">
        <f>IF(OR(Table22[[#This Row],[include commodity in Summary_input_values_chronic]]="Y",Table22[[#This Row],[include commodity in Summary_input_values_acute]]="Y"),"Y","N")</f>
        <v>N</v>
      </c>
      <c r="BG207" s="1299"/>
      <c r="BH207" s="1324"/>
    </row>
    <row r="208" spans="1:60" ht="12.75" customHeight="1" outlineLevel="3" x14ac:dyDescent="0.2">
      <c r="A208" s="39">
        <v>4</v>
      </c>
      <c r="B208" s="327">
        <v>280010</v>
      </c>
      <c r="C208" s="23" t="s">
        <v>236</v>
      </c>
      <c r="D208" s="867"/>
      <c r="E208" s="1219"/>
      <c r="F208" s="867"/>
      <c r="G208" s="869"/>
      <c r="H208" s="863"/>
      <c r="I208" s="868"/>
      <c r="J208" s="870"/>
      <c r="K208" s="871"/>
      <c r="L208" s="872"/>
      <c r="M208" s="872"/>
      <c r="N208" s="925" t="str">
        <f>IF(O208&lt;&gt;0,CONCATENATE(input_values!$AF208,input_values!$AG208,input_values!$AH208),"")</f>
        <v/>
      </c>
      <c r="O208" s="491">
        <f>IF($A$10="Refined calculation mode",Table22[[#This Row],[input for chronic (refined mode]],Table22[[#This Row],[input for chronic normal mode]])</f>
        <v>0</v>
      </c>
      <c r="P208" s="925" t="str">
        <f>IF(Q208&lt;&gt;0,CONCATENATE(input_values!$AN208,input_values!$AO208,input_values!$AP208),"")</f>
        <v/>
      </c>
      <c r="Q208" s="491">
        <f>IF($V$5=0,0,IF(OR($A$10="Refined calculation mode",Results!$B$62="Show results of IESTI calculation only for crops with GAPs under assessment"),Table22[[#This Row],[Input for IESTI (refined mode)]],Table22[[#This Row],[Input for IESTI normal mode]]))</f>
        <v>0</v>
      </c>
      <c r="R208" s="926" t="str">
        <f>IF(S208&lt;&gt;0,CONCATENATE(input_values!$AW208,input_values!$AX208,input_values!$AY208),"")</f>
        <v/>
      </c>
      <c r="S208" s="492">
        <f>IF($V$5=0,0,IF(OR($A$10="Refined calculation mode",Results!$B$62="Show results of IESTI calculation only for crops with GAPs under assessment"),Table22[[#This Row],[Input for IESTI new (refined mode)]],Table22[[#This Row],[Input for IESTI new normal mode]]))</f>
        <v>0</v>
      </c>
      <c r="T208" s="886"/>
      <c r="U208" s="1408">
        <f>Table22[[#This Row],[MRL/ proposed MRL /CXL
(mg/kg)]]</f>
        <v>0</v>
      </c>
      <c r="V208" s="1409" t="str">
        <f>IF(ISBLANK(F208),"","Y")</f>
        <v/>
      </c>
      <c r="W208" s="1387">
        <f>IF($G208&gt;0,$G208,1)</f>
        <v>1</v>
      </c>
      <c r="X208" s="1387">
        <f>IF($H208&gt;0,$H208,1)</f>
        <v>1</v>
      </c>
      <c r="Y208" s="1387">
        <f>W208*X208</f>
        <v>1</v>
      </c>
      <c r="Z208" s="1410">
        <v>4</v>
      </c>
      <c r="AA208" s="1387">
        <f t="shared" si="124"/>
        <v>0</v>
      </c>
      <c r="AB208" s="1387">
        <f>IF(Z208=A208,IF(AND(L208="N",Table22[[#This Row],[LOQ_label]]="Y"),AA208,$AA208*$Y208),"")</f>
        <v>0</v>
      </c>
      <c r="AC208" s="1393">
        <f t="shared" si="125"/>
        <v>0</v>
      </c>
      <c r="AD208" s="1393">
        <f>IF(Table22[[#This Row],[Median residue*CF*PeF]]&lt;&gt;"",Table22[[#This Row],[Median residue*CF*PeF]],Table22[[#This Row],[MRL*CF*PeF (chronic)]])</f>
        <v>0</v>
      </c>
      <c r="AE208" s="1393">
        <f t="shared" si="126"/>
        <v>0</v>
      </c>
      <c r="AF208" s="1390" t="str">
        <f t="shared" si="127"/>
        <v>MRL</v>
      </c>
      <c r="AG208" s="1390" t="str">
        <f t="shared" si="128"/>
        <v/>
      </c>
      <c r="AH208" s="1394" t="str">
        <f t="shared" si="129"/>
        <v/>
      </c>
      <c r="AI208" s="1386">
        <v>4</v>
      </c>
      <c r="AJ208" s="1387">
        <f t="shared" si="130"/>
        <v>0</v>
      </c>
      <c r="AK208" s="1387">
        <f>IF(AI208=A208,IF(AND(L208="N",Table22[[#This Row],[LOQ_label]]="Y"),AJ208,$AJ208*$Y208),"")</f>
        <v>0</v>
      </c>
      <c r="AL208" s="1388">
        <f t="shared" si="131"/>
        <v>0</v>
      </c>
      <c r="AM208" s="1393">
        <f>IF(Table22[[#This Row],[Highest residue * CF*PF]]&lt;&gt;"",Table22[[#This Row],[Highest residue * CF*PF]],Table22[[#This Row],[MRL*CF*PF or MRL (if LOQ and not authorised) (acute RA)]])</f>
        <v>0</v>
      </c>
      <c r="AN208" s="1390" t="str">
        <f t="shared" si="132"/>
        <v>MRL</v>
      </c>
      <c r="AO208" s="1390" t="str">
        <f t="shared" si="133"/>
        <v/>
      </c>
      <c r="AP208" s="1404" t="str">
        <f t="shared" si="134"/>
        <v/>
      </c>
      <c r="AQ208" s="1388">
        <f t="shared" si="135"/>
        <v>0</v>
      </c>
      <c r="AR208" s="1388" t="str">
        <f t="shared" si="136"/>
        <v/>
      </c>
      <c r="AS208" s="1388" t="str">
        <f t="shared" si="137"/>
        <v/>
      </c>
      <c r="AT208" s="1388" t="str">
        <f t="shared" si="138"/>
        <v/>
      </c>
      <c r="AU208" s="1393">
        <f t="shared" si="139"/>
        <v>0</v>
      </c>
      <c r="AV208" s="1388">
        <f t="shared" si="140"/>
        <v>0</v>
      </c>
      <c r="AW208" s="1390" t="str">
        <f t="shared" si="141"/>
        <v/>
      </c>
      <c r="AX208" s="1390" t="str">
        <f>IF(AND(AW208&lt;&gt;"",AY208&lt;&gt;""),"*","")</f>
        <v/>
      </c>
      <c r="AY208" s="1394" t="str">
        <f t="shared" si="142"/>
        <v/>
      </c>
      <c r="AZ208" s="1395" t="str">
        <f>IF(Table22[[#This Row],[LOQ_label]]="Y",Table22[[#This Row],[MRL individual commodity]],"")</f>
        <v/>
      </c>
      <c r="BA208" s="1449" t="s">
        <v>654</v>
      </c>
      <c r="BB208" s="1411" t="str">
        <f>IF(Table22[[#This Row],[LOQ2]]&lt;0,MIN(AZ208:AZ584),"")</f>
        <v/>
      </c>
      <c r="BC208" s="1299"/>
      <c r="BD208" s="1306" t="str">
        <f>IF(Table22[[#This Row],[Chronic RA label]]="","N",IF(Table22[[#This Row],[Chronic RA label]]="LOQ","N",IF(Table22[[#This Row],[Chronic RA label]]="MRL","N","Y")))</f>
        <v>N</v>
      </c>
      <c r="BE208" s="1306" t="str">
        <f>IF(Table22[[#This Row],[Acute RA label]]="","N",IF(Table22[[#This Row],[Acute RA label]]="LOQ","N",IF(Table22[[#This Row],[Acute RA label]]="MRL","N","Y")))</f>
        <v>N</v>
      </c>
      <c r="BF208" s="1306" t="str">
        <f>IF(OR(Table22[[#This Row],[include commodity in Summary_input_values_chronic]]="Y",Table22[[#This Row],[include commodity in Summary_input_values_acute]]="Y"),"Y","N")</f>
        <v>N</v>
      </c>
      <c r="BG208" s="1299"/>
      <c r="BH208" s="1324"/>
    </row>
    <row r="209" spans="1:60" ht="12.75" customHeight="1" outlineLevel="3" x14ac:dyDescent="0.2">
      <c r="A209" s="39">
        <v>4</v>
      </c>
      <c r="B209" s="327">
        <v>280020</v>
      </c>
      <c r="C209" s="23" t="s">
        <v>237</v>
      </c>
      <c r="D209" s="867"/>
      <c r="E209" s="1219"/>
      <c r="F209" s="867"/>
      <c r="G209" s="869"/>
      <c r="H209" s="863"/>
      <c r="I209" s="868"/>
      <c r="J209" s="870"/>
      <c r="K209" s="871"/>
      <c r="L209" s="872"/>
      <c r="M209" s="872"/>
      <c r="N209" s="925" t="str">
        <f>IF(O209&lt;&gt;0,CONCATENATE(input_values!$AF209,input_values!$AG209,input_values!$AH209),"")</f>
        <v/>
      </c>
      <c r="O209" s="491">
        <f>IF($A$10="Refined calculation mode",Table22[[#This Row],[input for chronic (refined mode]],Table22[[#This Row],[input for chronic normal mode]])</f>
        <v>0</v>
      </c>
      <c r="P209" s="925" t="str">
        <f>IF(Q209&lt;&gt;0,CONCATENATE(input_values!$AN209,input_values!$AO209,input_values!$AP209),"")</f>
        <v/>
      </c>
      <c r="Q209" s="491">
        <f>IF($V$5=0,0,IF(OR($A$10="Refined calculation mode",Results!$B$62="Show results of IESTI calculation only for crops with GAPs under assessment"),Table22[[#This Row],[Input for IESTI (refined mode)]],Table22[[#This Row],[Input for IESTI normal mode]]))</f>
        <v>0</v>
      </c>
      <c r="R209" s="926" t="str">
        <f>IF(S209&lt;&gt;0,CONCATENATE(input_values!$AW209,input_values!$AX209,input_values!$AY209),"")</f>
        <v/>
      </c>
      <c r="S209" s="492">
        <f>IF($V$5=0,0,IF(OR($A$10="Refined calculation mode",Results!$B$62="Show results of IESTI calculation only for crops with GAPs under assessment"),Table22[[#This Row],[Input for IESTI new (refined mode)]],Table22[[#This Row],[Input for IESTI new normal mode]]))</f>
        <v>0</v>
      </c>
      <c r="T209" s="886"/>
      <c r="U209" s="1408">
        <f>Table22[[#This Row],[MRL/ proposed MRL /CXL
(mg/kg)]]</f>
        <v>0</v>
      </c>
      <c r="V209" s="1409" t="str">
        <f>IF(ISBLANK(F209),"","Y")</f>
        <v/>
      </c>
      <c r="W209" s="1387">
        <f>IF($G209&gt;0,$G209,1)</f>
        <v>1</v>
      </c>
      <c r="X209" s="1387">
        <f>IF($H209&gt;0,$H209,1)</f>
        <v>1</v>
      </c>
      <c r="Y209" s="1387">
        <f>W209*X209</f>
        <v>1</v>
      </c>
      <c r="Z209" s="1410">
        <v>4</v>
      </c>
      <c r="AA209" s="1387">
        <f t="shared" si="124"/>
        <v>0</v>
      </c>
      <c r="AB209" s="1387">
        <f>IF(Z209=A209,IF(AND(L209="N",Table22[[#This Row],[LOQ_label]]="Y"),AA209,$AA209*$Y209),"")</f>
        <v>0</v>
      </c>
      <c r="AC209" s="1393">
        <f t="shared" si="125"/>
        <v>0</v>
      </c>
      <c r="AD209" s="1393">
        <f>IF(Table22[[#This Row],[Median residue*CF*PeF]]&lt;&gt;"",Table22[[#This Row],[Median residue*CF*PeF]],Table22[[#This Row],[MRL*CF*PeF (chronic)]])</f>
        <v>0</v>
      </c>
      <c r="AE209" s="1393">
        <f t="shared" si="126"/>
        <v>0</v>
      </c>
      <c r="AF209" s="1390" t="str">
        <f t="shared" si="127"/>
        <v>MRL</v>
      </c>
      <c r="AG209" s="1390" t="str">
        <f t="shared" si="128"/>
        <v/>
      </c>
      <c r="AH209" s="1394" t="str">
        <f t="shared" si="129"/>
        <v/>
      </c>
      <c r="AI209" s="1386">
        <v>4</v>
      </c>
      <c r="AJ209" s="1387">
        <f t="shared" si="130"/>
        <v>0</v>
      </c>
      <c r="AK209" s="1387">
        <f>IF(AI209=A209,IF(AND(L209="N",Table22[[#This Row],[LOQ_label]]="Y"),AJ209,$AJ209*$Y209),"")</f>
        <v>0</v>
      </c>
      <c r="AL209" s="1388">
        <f t="shared" si="131"/>
        <v>0</v>
      </c>
      <c r="AM209" s="1393">
        <f>IF(Table22[[#This Row],[Highest residue * CF*PF]]&lt;&gt;"",Table22[[#This Row],[Highest residue * CF*PF]],Table22[[#This Row],[MRL*CF*PF or MRL (if LOQ and not authorised) (acute RA)]])</f>
        <v>0</v>
      </c>
      <c r="AN209" s="1390" t="str">
        <f t="shared" si="132"/>
        <v>MRL</v>
      </c>
      <c r="AO209" s="1390" t="str">
        <f t="shared" si="133"/>
        <v/>
      </c>
      <c r="AP209" s="1404" t="str">
        <f t="shared" si="134"/>
        <v/>
      </c>
      <c r="AQ209" s="1388">
        <f t="shared" si="135"/>
        <v>0</v>
      </c>
      <c r="AR209" s="1388" t="str">
        <f t="shared" si="136"/>
        <v/>
      </c>
      <c r="AS209" s="1388" t="str">
        <f t="shared" si="137"/>
        <v/>
      </c>
      <c r="AT209" s="1388" t="str">
        <f t="shared" si="138"/>
        <v/>
      </c>
      <c r="AU209" s="1393">
        <f t="shared" si="139"/>
        <v>0</v>
      </c>
      <c r="AV209" s="1388">
        <f t="shared" si="140"/>
        <v>0</v>
      </c>
      <c r="AW209" s="1390" t="str">
        <f t="shared" si="141"/>
        <v/>
      </c>
      <c r="AX209" s="1390" t="str">
        <f>IF(AND(AW209&lt;&gt;"",AY209&lt;&gt;""),"*","")</f>
        <v/>
      </c>
      <c r="AY209" s="1394" t="str">
        <f t="shared" si="142"/>
        <v/>
      </c>
      <c r="AZ209" s="1395" t="str">
        <f>IF(Table22[[#This Row],[LOQ_label]]="Y",Table22[[#This Row],[MRL individual commodity]],"")</f>
        <v/>
      </c>
      <c r="BA209" s="1396" t="s">
        <v>1038</v>
      </c>
      <c r="BB209" s="1411" t="str">
        <f>IF(Table22[[#This Row],[LOQ2]]&lt;0,MIN(AZ209:AZ585),"")</f>
        <v/>
      </c>
      <c r="BC209" s="1299"/>
      <c r="BD209" s="1306" t="str">
        <f>IF(Table22[[#This Row],[Chronic RA label]]="","N",IF(Table22[[#This Row],[Chronic RA label]]="LOQ","N",IF(Table22[[#This Row],[Chronic RA label]]="MRL","N","Y")))</f>
        <v>N</v>
      </c>
      <c r="BE209" s="1306" t="str">
        <f>IF(Table22[[#This Row],[Acute RA label]]="","N",IF(Table22[[#This Row],[Acute RA label]]="LOQ","N",IF(Table22[[#This Row],[Acute RA label]]="MRL","N","Y")))</f>
        <v>N</v>
      </c>
      <c r="BF209" s="1306" t="str">
        <f>IF(OR(Table22[[#This Row],[include commodity in Summary_input_values_chronic]]="Y",Table22[[#This Row],[include commodity in Summary_input_values_acute]]="Y"),"Y","N")</f>
        <v>N</v>
      </c>
      <c r="BG209" s="1299"/>
      <c r="BH209" s="1324"/>
    </row>
    <row r="210" spans="1:60" ht="12.75" customHeight="1" outlineLevel="3" x14ac:dyDescent="0.2">
      <c r="A210" s="39">
        <v>4</v>
      </c>
      <c r="B210" s="327">
        <v>280990</v>
      </c>
      <c r="C210" s="23" t="s">
        <v>740</v>
      </c>
      <c r="D210" s="867"/>
      <c r="E210" s="1219"/>
      <c r="F210" s="867"/>
      <c r="G210" s="869"/>
      <c r="H210" s="863"/>
      <c r="I210" s="868"/>
      <c r="J210" s="870"/>
      <c r="K210" s="865"/>
      <c r="L210" s="872"/>
      <c r="M210" s="872"/>
      <c r="N210" s="925" t="str">
        <f>IF(O210&lt;&gt;0,CONCATENATE(input_values!$AF210,input_values!$AG210,input_values!$AH210),"")</f>
        <v/>
      </c>
      <c r="O210" s="491">
        <f>IF($A$10="Refined calculation mode",Table22[[#This Row],[input for chronic (refined mode]],Table22[[#This Row],[input for chronic normal mode]])</f>
        <v>0</v>
      </c>
      <c r="P210" s="925" t="str">
        <f>IF(Q210&lt;&gt;0,CONCATENATE(input_values!$AN210,input_values!$AO210,input_values!$AP210),"")</f>
        <v/>
      </c>
      <c r="Q210" s="491">
        <f>IF($V$5=0,0,IF(OR($A$10="Refined calculation mode",Results!$B$62="Show results of IESTI calculation only for crops with GAPs under assessment"),Table22[[#This Row],[Input for IESTI (refined mode)]],Table22[[#This Row],[Input for IESTI normal mode]]))</f>
        <v>0</v>
      </c>
      <c r="R210" s="926" t="str">
        <f>IF(S210&lt;&gt;0,CONCATENATE(input_values!$AW210,input_values!$AX210,input_values!$AY210),"")</f>
        <v/>
      </c>
      <c r="S210" s="492">
        <f>IF($V$5=0,0,IF(OR($A$10="Refined calculation mode",Results!$B$62="Show results of IESTI calculation only for crops with GAPs under assessment"),Table22[[#This Row],[Input for IESTI new (refined mode)]],Table22[[#This Row],[Input for IESTI new normal mode]]))</f>
        <v>0</v>
      </c>
      <c r="T210" s="886"/>
      <c r="U210" s="1408">
        <f>Table22[[#This Row],[MRL/ proposed MRL /CXL
(mg/kg)]]</f>
        <v>0</v>
      </c>
      <c r="V210" s="1409" t="str">
        <f>IF(ISBLANK(F210),"","Y")</f>
        <v/>
      </c>
      <c r="W210" s="1387">
        <f>IF($G210&gt;0,$G210,1)</f>
        <v>1</v>
      </c>
      <c r="X210" s="1387">
        <f>IF($H210&gt;0,$H210,1)</f>
        <v>1</v>
      </c>
      <c r="Y210" s="1387">
        <f>W210*X210</f>
        <v>1</v>
      </c>
      <c r="Z210" s="1410">
        <v>4</v>
      </c>
      <c r="AA210" s="1387">
        <f t="shared" si="124"/>
        <v>0</v>
      </c>
      <c r="AB210" s="1387">
        <f>IF(Z210=A210,IF(AND(L210="N",Table22[[#This Row],[LOQ_label]]="Y"),AA210,$AA210*$Y210),"")</f>
        <v>0</v>
      </c>
      <c r="AC210" s="1393">
        <f t="shared" si="125"/>
        <v>0</v>
      </c>
      <c r="AD210" s="1393">
        <f>IF(Table22[[#This Row],[Median residue*CF*PeF]]&lt;&gt;"",Table22[[#This Row],[Median residue*CF*PeF]],Table22[[#This Row],[MRL*CF*PeF (chronic)]])</f>
        <v>0</v>
      </c>
      <c r="AE210" s="1393">
        <f t="shared" si="126"/>
        <v>0</v>
      </c>
      <c r="AF210" s="1390" t="str">
        <f t="shared" si="127"/>
        <v>MRL</v>
      </c>
      <c r="AG210" s="1390" t="str">
        <f t="shared" si="128"/>
        <v/>
      </c>
      <c r="AH210" s="1394" t="str">
        <f t="shared" si="129"/>
        <v/>
      </c>
      <c r="AI210" s="1386">
        <v>4</v>
      </c>
      <c r="AJ210" s="1387">
        <f t="shared" si="130"/>
        <v>0</v>
      </c>
      <c r="AK210" s="1387">
        <f>IF(AI210=A210,IF(AND(L210="N",Table22[[#This Row],[LOQ_label]]="Y"),AJ210,$AJ210*$Y210),"")</f>
        <v>0</v>
      </c>
      <c r="AL210" s="1388">
        <f t="shared" si="131"/>
        <v>0</v>
      </c>
      <c r="AM210" s="1393">
        <f>IF(Table22[[#This Row],[Highest residue * CF*PF]]&lt;&gt;"",Table22[[#This Row],[Highest residue * CF*PF]],Table22[[#This Row],[MRL*CF*PF or MRL (if LOQ and not authorised) (acute RA)]])</f>
        <v>0</v>
      </c>
      <c r="AN210" s="1390" t="str">
        <f t="shared" si="132"/>
        <v>MRL</v>
      </c>
      <c r="AO210" s="1390" t="str">
        <f t="shared" si="133"/>
        <v/>
      </c>
      <c r="AP210" s="1404" t="str">
        <f t="shared" si="134"/>
        <v/>
      </c>
      <c r="AQ210" s="1388">
        <f t="shared" si="135"/>
        <v>0</v>
      </c>
      <c r="AR210" s="1388" t="str">
        <f t="shared" si="136"/>
        <v/>
      </c>
      <c r="AS210" s="1388" t="str">
        <f t="shared" si="137"/>
        <v/>
      </c>
      <c r="AT210" s="1388" t="str">
        <f t="shared" si="138"/>
        <v/>
      </c>
      <c r="AU210" s="1393">
        <f t="shared" si="139"/>
        <v>0</v>
      </c>
      <c r="AV210" s="1388">
        <f t="shared" si="140"/>
        <v>0</v>
      </c>
      <c r="AW210" s="1390" t="str">
        <f t="shared" si="141"/>
        <v/>
      </c>
      <c r="AX210" s="1390" t="str">
        <f>IF(AND(AN210&lt;&gt;"",AY210&lt;&gt;""),"*","")</f>
        <v/>
      </c>
      <c r="AY210" s="1394" t="str">
        <f t="shared" si="142"/>
        <v/>
      </c>
      <c r="AZ210" s="1395" t="str">
        <f>IF(Table22[[#This Row],[LOQ_label]]="Y",Table22[[#This Row],[MRL individual commodity]],"")</f>
        <v/>
      </c>
      <c r="BA210" s="1396">
        <v>1</v>
      </c>
      <c r="BB210" s="1411" t="str">
        <f>IF(Table22[[#This Row],[LOQ2]]&lt;0,MIN(AZ210:AZ586),"")</f>
        <v/>
      </c>
      <c r="BC210" s="1299"/>
      <c r="BD210" s="1306" t="str">
        <f>IF(Table22[[#This Row],[Chronic RA label]]="","N",IF(Table22[[#This Row],[Chronic RA label]]="LOQ","N",IF(Table22[[#This Row],[Chronic RA label]]="MRL","N","Y")))</f>
        <v>N</v>
      </c>
      <c r="BE210" s="1306" t="str">
        <f>IF(Table22[[#This Row],[Acute RA label]]="","N",IF(Table22[[#This Row],[Acute RA label]]="LOQ","N",IF(Table22[[#This Row],[Acute RA label]]="MRL","N","Y")))</f>
        <v>N</v>
      </c>
      <c r="BF210" s="1306" t="str">
        <f>IF(OR(Table22[[#This Row],[include commodity in Summary_input_values_chronic]]="Y",Table22[[#This Row],[include commodity in Summary_input_values_acute]]="Y"),"Y","N")</f>
        <v>N</v>
      </c>
      <c r="BG210" s="1299"/>
      <c r="BH210" s="1324"/>
    </row>
    <row r="211" spans="1:60" ht="12.75" customHeight="1" outlineLevel="1" x14ac:dyDescent="0.2">
      <c r="A211" s="130">
        <v>2</v>
      </c>
      <c r="B211" s="447">
        <v>290000</v>
      </c>
      <c r="C211" s="131" t="s">
        <v>741</v>
      </c>
      <c r="D211" s="867"/>
      <c r="E211" s="1219"/>
      <c r="F211" s="867"/>
      <c r="G211" s="868"/>
      <c r="H211" s="863"/>
      <c r="I211" s="868"/>
      <c r="J211" s="870"/>
      <c r="K211" s="865"/>
      <c r="L211" s="872"/>
      <c r="M211" s="872"/>
      <c r="N211" s="925" t="str">
        <f>IF(O211&lt;&gt;0,CONCATENATE(input_values!$AF211,input_values!$AG211,input_values!$AH211),"")</f>
        <v/>
      </c>
      <c r="O211" s="491">
        <f>IF($A$10="Refined calculation mode",Table22[[#This Row],[input for chronic (refined mode]],Table22[[#This Row],[input for chronic normal mode]])</f>
        <v>0</v>
      </c>
      <c r="P211" s="925" t="str">
        <f>IF(Q211&lt;&gt;0,CONCATENATE(input_values!$AN211,input_values!$AO211,input_values!$AP211),"")</f>
        <v/>
      </c>
      <c r="Q211" s="491">
        <f>IF($V$5=0,0,IF(OR($A$10="Refined calculation mode",Results!$B$62="Show results of IESTI calculation only for crops with GAPs under assessment"),Table22[[#This Row],[Input for IESTI (refined mode)]],Table22[[#This Row],[Input for IESTI normal mode]]))</f>
        <v>0</v>
      </c>
      <c r="R211" s="926" t="str">
        <f>IF(S211&lt;&gt;0,CONCATENATE(input_values!$AW211,input_values!$AX211,input_values!$AY211),"")</f>
        <v/>
      </c>
      <c r="S211" s="492">
        <f>IF($V$5=0,0,IF(OR($A$10="Refined calculation mode",Results!$B$62="Show results of IESTI calculation only for crops with GAPs under assessment"),Table22[[#This Row],[Input for IESTI new (refined mode)]],Table22[[#This Row],[Input for IESTI new normal mode]]))</f>
        <v>0</v>
      </c>
      <c r="T211" s="886"/>
      <c r="U211" s="1408">
        <f>Table22[[#This Row],[MRL/ proposed MRL /CXL
(mg/kg)]]</f>
        <v>0</v>
      </c>
      <c r="V211" s="1409" t="str">
        <f>IF(ISBLANK(F211),"","Y")</f>
        <v/>
      </c>
      <c r="W211" s="1387">
        <f>IF($G211&gt;0,$G211,1)</f>
        <v>1</v>
      </c>
      <c r="X211" s="1387">
        <f>IF($H211&gt;0,$H211,1)</f>
        <v>1</v>
      </c>
      <c r="Y211" s="1387">
        <f>W211*X211</f>
        <v>1</v>
      </c>
      <c r="Z211" s="1410">
        <v>2</v>
      </c>
      <c r="AA211" s="1387">
        <f t="shared" si="124"/>
        <v>0</v>
      </c>
      <c r="AB211" s="1387">
        <f>IF(Z211=A211,IF(AND(L211="N",Table22[[#This Row],[LOQ_label]]="Y"),AA211,$AA211*$Y211),"")</f>
        <v>0</v>
      </c>
      <c r="AC211" s="1393">
        <f t="shared" si="125"/>
        <v>0</v>
      </c>
      <c r="AD211" s="1393">
        <f>IF(Table22[[#This Row],[Median residue*CF*PeF]]&lt;&gt;"",Table22[[#This Row],[Median residue*CF*PeF]],Table22[[#This Row],[MRL*CF*PeF (chronic)]])</f>
        <v>0</v>
      </c>
      <c r="AE211" s="1393">
        <f t="shared" si="126"/>
        <v>0</v>
      </c>
      <c r="AF211" s="1390" t="str">
        <f t="shared" si="127"/>
        <v>MRL</v>
      </c>
      <c r="AG211" s="1390" t="str">
        <f t="shared" si="128"/>
        <v/>
      </c>
      <c r="AH211" s="1394" t="str">
        <f t="shared" si="129"/>
        <v/>
      </c>
      <c r="AI211" s="1419">
        <v>2</v>
      </c>
      <c r="AJ211" s="1387">
        <f t="shared" si="130"/>
        <v>0</v>
      </c>
      <c r="AK211" s="1387">
        <f>IF(AI211=A211,IF(AND(L211="N",Table22[[#This Row],[LOQ_label]]="Y"),AJ211,$AJ211*$Y211),"")</f>
        <v>0</v>
      </c>
      <c r="AL211" s="1388">
        <f t="shared" si="131"/>
        <v>0</v>
      </c>
      <c r="AM211" s="1393">
        <f>IF(Table22[[#This Row],[Highest residue * CF*PF]]&lt;&gt;"",Table22[[#This Row],[Highest residue * CF*PF]],Table22[[#This Row],[MRL*CF*PF or MRL (if LOQ and not authorised) (acute RA)]])</f>
        <v>0</v>
      </c>
      <c r="AN211" s="1390" t="str">
        <f t="shared" si="132"/>
        <v>MRL</v>
      </c>
      <c r="AO211" s="1390" t="str">
        <f t="shared" si="133"/>
        <v/>
      </c>
      <c r="AP211" s="1404" t="str">
        <f t="shared" si="134"/>
        <v/>
      </c>
      <c r="AQ211" s="1388">
        <f t="shared" si="135"/>
        <v>0</v>
      </c>
      <c r="AR211" s="1388" t="str">
        <f t="shared" si="136"/>
        <v/>
      </c>
      <c r="AS211" s="1388" t="str">
        <f t="shared" si="137"/>
        <v/>
      </c>
      <c r="AT211" s="1388" t="str">
        <f t="shared" si="138"/>
        <v/>
      </c>
      <c r="AU211" s="1393">
        <f t="shared" si="139"/>
        <v>0</v>
      </c>
      <c r="AV211" s="1388">
        <f t="shared" si="140"/>
        <v>0</v>
      </c>
      <c r="AW211" s="1390" t="str">
        <f t="shared" si="141"/>
        <v/>
      </c>
      <c r="AX211" s="1390" t="str">
        <f>IF(AND(AW211&lt;&gt;"",AY211&lt;&gt;""),"*","")</f>
        <v/>
      </c>
      <c r="AY211" s="1394" t="str">
        <f t="shared" si="142"/>
        <v/>
      </c>
      <c r="AZ211" s="1395" t="str">
        <f>IF(Table22[[#This Row],[LOQ_label]]="Y",Table22[[#This Row],[MRL individual commodity]],"")</f>
        <v/>
      </c>
      <c r="BA211" s="1396">
        <v>1</v>
      </c>
      <c r="BB211" s="1411" t="str">
        <f>IF(Table22[[#This Row],[LOQ2]]&lt;0,MIN(AZ211:AZ587),"")</f>
        <v/>
      </c>
      <c r="BC211" s="1299"/>
      <c r="BD211" s="1306" t="str">
        <f>IF(Table22[[#This Row],[Chronic RA label]]="","N",IF(Table22[[#This Row],[Chronic RA label]]="LOQ","N",IF(Table22[[#This Row],[Chronic RA label]]="MRL","N","Y")))</f>
        <v>N</v>
      </c>
      <c r="BE211" s="1306" t="str">
        <f>IF(Table22[[#This Row],[Acute RA label]]="","N",IF(Table22[[#This Row],[Acute RA label]]="LOQ","N",IF(Table22[[#This Row],[Acute RA label]]="MRL","N","Y")))</f>
        <v>N</v>
      </c>
      <c r="BF211" s="1306" t="str">
        <f>IF(OR(Table22[[#This Row],[include commodity in Summary_input_values_chronic]]="Y",Table22[[#This Row],[include commodity in Summary_input_values_acute]]="Y"),"Y","N")</f>
        <v>N</v>
      </c>
      <c r="BG211" s="1299"/>
      <c r="BH211" s="1324"/>
    </row>
    <row r="212" spans="1:60" ht="12.75" customHeight="1" x14ac:dyDescent="0.2">
      <c r="A212" s="126">
        <v>1</v>
      </c>
      <c r="B212" s="446">
        <v>300000</v>
      </c>
      <c r="C212" s="127" t="s">
        <v>742</v>
      </c>
      <c r="D212" s="862"/>
      <c r="E212" s="1218"/>
      <c r="F212" s="862"/>
      <c r="G212" s="866"/>
      <c r="H212" s="863"/>
      <c r="I212" s="863"/>
      <c r="J212" s="863"/>
      <c r="K212" s="865"/>
      <c r="L212" s="471"/>
      <c r="M212" s="471"/>
      <c r="N212" s="473"/>
      <c r="O212" s="474"/>
      <c r="P212" s="473"/>
      <c r="Q212" s="474"/>
      <c r="R212" s="473"/>
      <c r="S212" s="474"/>
      <c r="T212" s="886"/>
      <c r="U212" s="1415"/>
      <c r="V212" s="1380"/>
      <c r="W212" s="1381"/>
      <c r="X212" s="1381"/>
      <c r="Y212" s="1381"/>
      <c r="Z212" s="1382">
        <v>4</v>
      </c>
      <c r="AA212" s="1381" t="str">
        <f t="shared" si="124"/>
        <v/>
      </c>
      <c r="AB212" s="1381" t="str">
        <f>IF(Z212=A212,IF(AND(L212="N",Table22[[#This Row],[LOQ_label]]="Y"),AA212,$AA212*$Y212),"")</f>
        <v/>
      </c>
      <c r="AC212" s="1383" t="str">
        <f t="shared" si="125"/>
        <v/>
      </c>
      <c r="AD212" s="1383" t="str">
        <f>IF(Table22[[#This Row],[Median residue*CF*PeF]]&lt;&gt;"",Table22[[#This Row],[Median residue*CF*PeF]],Table22[[#This Row],[MRL*CF*PeF (chronic)]])</f>
        <v/>
      </c>
      <c r="AE212" s="1384">
        <f t="shared" si="126"/>
        <v>0</v>
      </c>
      <c r="AF212" s="1385" t="str">
        <f t="shared" si="127"/>
        <v/>
      </c>
      <c r="AG212" s="1385" t="str">
        <f t="shared" si="128"/>
        <v/>
      </c>
      <c r="AH212" s="1270" t="str">
        <f t="shared" si="129"/>
        <v/>
      </c>
      <c r="AI212" s="1386">
        <v>4</v>
      </c>
      <c r="AJ212" s="1387" t="str">
        <f t="shared" si="130"/>
        <v/>
      </c>
      <c r="AK212" s="1387" t="str">
        <f>IF(AI212=A212,IF(AND(L212="N",Table22[[#This Row],[LOQ_label]]="Y"),AJ212,$AJ212*$Y212),"")</f>
        <v/>
      </c>
      <c r="AL212" s="1388" t="str">
        <f t="shared" si="131"/>
        <v/>
      </c>
      <c r="AM212" s="1393" t="str">
        <f>IF(Table22[[#This Row],[Highest residue * CF*PF]]&lt;&gt;"",Table22[[#This Row],[Highest residue * CF*PF]],Table22[[#This Row],[MRL*CF*PF or MRL (if LOQ and not authorised) (acute RA)]])</f>
        <v/>
      </c>
      <c r="AN212" s="1390" t="str">
        <f t="shared" si="132"/>
        <v/>
      </c>
      <c r="AO212" s="1390" t="str">
        <f t="shared" si="133"/>
        <v/>
      </c>
      <c r="AP212" s="1404" t="str">
        <f t="shared" si="134"/>
        <v/>
      </c>
      <c r="AQ212" s="1388">
        <f t="shared" si="135"/>
        <v>0</v>
      </c>
      <c r="AR212" s="1388" t="str">
        <f t="shared" si="136"/>
        <v/>
      </c>
      <c r="AS212" s="1388" t="str">
        <f t="shared" si="137"/>
        <v/>
      </c>
      <c r="AT212" s="1388" t="str">
        <f t="shared" si="138"/>
        <v/>
      </c>
      <c r="AU212" s="1393" t="str">
        <f t="shared" si="139"/>
        <v/>
      </c>
      <c r="AV212" s="1388">
        <f t="shared" si="140"/>
        <v>0</v>
      </c>
      <c r="AW212" s="1390" t="str">
        <f t="shared" si="141"/>
        <v/>
      </c>
      <c r="AX212" s="1390" t="str">
        <f>IF(AND(AN212&lt;&gt;"",AY212&lt;&gt;""),"*","")</f>
        <v/>
      </c>
      <c r="AY212" s="1394" t="str">
        <f t="shared" si="142"/>
        <v/>
      </c>
      <c r="AZ212" s="1395">
        <f>IF(Table22[[#This Row],[LOQ_label]]="Y",Table22[[#This Row],[MRL individual commodity]],"")</f>
        <v>0</v>
      </c>
      <c r="BA212" s="1396" t="s">
        <v>1159</v>
      </c>
      <c r="BB212" s="1411" t="str">
        <f>IF(Table22[[#This Row],[LOQ2]]&lt;0,MIN(AZ212:AZ588),"")</f>
        <v/>
      </c>
      <c r="BC212" s="1299"/>
      <c r="BD212" s="1306" t="str">
        <f>IF(Table22[[#This Row],[Chronic RA label]]="","N",IF(Table22[[#This Row],[Chronic RA label]]="LOQ","N",IF(Table22[[#This Row],[Chronic RA label]]="MRL","N","Y")))</f>
        <v>N</v>
      </c>
      <c r="BE212" s="1306" t="str">
        <f>IF(Table22[[#This Row],[Acute RA label]]="","N",IF(Table22[[#This Row],[Acute RA label]]="LOQ","N",IF(Table22[[#This Row],[Acute RA label]]="MRL","N","Y")))</f>
        <v>N</v>
      </c>
      <c r="BF212" s="1306" t="str">
        <f>IF(OR(Table22[[#This Row],[include commodity in Summary_input_values_chronic]]="Y",Table22[[#This Row],[include commodity in Summary_input_values_acute]]="Y"),"Y","N")</f>
        <v>N</v>
      </c>
      <c r="BG212" s="1299"/>
      <c r="BH212" s="1324"/>
    </row>
    <row r="213" spans="1:60" ht="12.75" customHeight="1" outlineLevel="3" x14ac:dyDescent="0.2">
      <c r="A213" s="39">
        <v>4</v>
      </c>
      <c r="B213" s="327">
        <v>300010</v>
      </c>
      <c r="C213" s="23" t="s">
        <v>291</v>
      </c>
      <c r="D213" s="867"/>
      <c r="E213" s="1219"/>
      <c r="F213" s="867"/>
      <c r="G213" s="869"/>
      <c r="H213" s="863"/>
      <c r="I213" s="868"/>
      <c r="J213" s="870"/>
      <c r="K213" s="865"/>
      <c r="L213" s="872"/>
      <c r="M213" s="874"/>
      <c r="N213" s="925" t="str">
        <f>IF(O213&lt;&gt;0,CONCATENATE(input_values!$AF213,input_values!$AG213,input_values!$AH213),"")</f>
        <v/>
      </c>
      <c r="O213" s="491">
        <f>IF($A$10="Refined calculation mode",Table22[[#This Row],[input for chronic (refined mode]],Table22[[#This Row],[input for chronic normal mode]])</f>
        <v>0</v>
      </c>
      <c r="P213" s="925" t="str">
        <f>IF(Q213&lt;&gt;0,CONCATENATE(input_values!$AN213,input_values!$AO213,input_values!$AP213),"")</f>
        <v/>
      </c>
      <c r="Q213" s="491">
        <f>IF($V$5=0,0,IF(OR($A$10="Refined calculation mode",Results!$B$62="Show results of IESTI calculation only for crops with GAPs under assessment"),Table22[[#This Row],[Input for IESTI (refined mode)]],Table22[[#This Row],[Input for IESTI normal mode]]))</f>
        <v>0</v>
      </c>
      <c r="R213" s="926" t="str">
        <f>IF(S213&lt;&gt;0,CONCATENATE(input_values!$AW213,input_values!$AX213,input_values!$AY213),"")</f>
        <v/>
      </c>
      <c r="S213" s="492">
        <f>IF($V$5=0,0,IF(OR($A$10="Refined calculation mode",Results!$B$62="Show results of IESTI calculation only for crops with GAPs under assessment"),Table22[[#This Row],[Input for IESTI new (refined mode)]],Table22[[#This Row],[Input for IESTI new normal mode]]))</f>
        <v>0</v>
      </c>
      <c r="T213" s="886"/>
      <c r="U213" s="1408">
        <f>Table22[[#This Row],[MRL/ proposed MRL /CXL
(mg/kg)]]</f>
        <v>0</v>
      </c>
      <c r="V213" s="1409" t="str">
        <f>IF(ISBLANK(F213),"","Y")</f>
        <v/>
      </c>
      <c r="W213" s="1387">
        <f>IF($G213&gt;0,$G213,1)</f>
        <v>1</v>
      </c>
      <c r="X213" s="1387">
        <f>IF($H213&gt;0,$H213,1)</f>
        <v>1</v>
      </c>
      <c r="Y213" s="1387">
        <f>W213*X213</f>
        <v>1</v>
      </c>
      <c r="Z213" s="1410">
        <v>4</v>
      </c>
      <c r="AA213" s="1387">
        <f t="shared" si="124"/>
        <v>0</v>
      </c>
      <c r="AB213" s="1387">
        <f>IF(Z213=A213,IF(AND(L213="N",Table22[[#This Row],[LOQ_label]]="Y"),AA213,$AA213*$Y213),"")</f>
        <v>0</v>
      </c>
      <c r="AC213" s="1393">
        <f t="shared" si="125"/>
        <v>0</v>
      </c>
      <c r="AD213" s="1393">
        <f>IF(Table22[[#This Row],[Median residue*CF*PeF]]&lt;&gt;"",Table22[[#This Row],[Median residue*CF*PeF]],Table22[[#This Row],[MRL*CF*PeF (chronic)]])</f>
        <v>0</v>
      </c>
      <c r="AE213" s="1393">
        <f t="shared" si="126"/>
        <v>0</v>
      </c>
      <c r="AF213" s="1390" t="str">
        <f t="shared" si="127"/>
        <v>MRL</v>
      </c>
      <c r="AG213" s="1390" t="str">
        <f t="shared" si="128"/>
        <v/>
      </c>
      <c r="AH213" s="1394" t="str">
        <f t="shared" si="129"/>
        <v/>
      </c>
      <c r="AI213" s="1386">
        <v>4</v>
      </c>
      <c r="AJ213" s="1387">
        <f t="shared" si="130"/>
        <v>0</v>
      </c>
      <c r="AK213" s="1387">
        <f>IF(AI213=A213,IF(AND(L213="N",Table22[[#This Row],[LOQ_label]]="Y"),AJ213,$AJ213*$Y213),"")</f>
        <v>0</v>
      </c>
      <c r="AL213" s="1388">
        <f t="shared" si="131"/>
        <v>0</v>
      </c>
      <c r="AM213"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13" s="1451" t="str">
        <f>IF(AI213&lt;&gt;A213,"",IF(Table22[[#This Row],[Post-harvest treatment]]="",Table22[[#This Row],[label for chronic calculation]],IF(Table22[[#This Row],[Post-harvest treatment]]="N",Table22[[#This Row],[label for chronic calculation]],IF(Table22[[#This Row],[HR-RAC (highest residue)]]&gt;"","HR-RAC",IF(V213="Y","LOQ","MRL")))))</f>
        <v>MRL</v>
      </c>
      <c r="AO213" s="1390" t="str">
        <f t="shared" si="133"/>
        <v/>
      </c>
      <c r="AP213" s="1404" t="str">
        <f t="shared" si="134"/>
        <v/>
      </c>
      <c r="AQ213" s="1388">
        <f t="shared" si="135"/>
        <v>0</v>
      </c>
      <c r="AR213" s="1388" t="str">
        <f t="shared" si="136"/>
        <v/>
      </c>
      <c r="AS213" s="1388" t="str">
        <f t="shared" si="137"/>
        <v/>
      </c>
      <c r="AT213" s="1388" t="str">
        <f t="shared" si="138"/>
        <v/>
      </c>
      <c r="AU213" s="1393">
        <f t="shared" si="139"/>
        <v>0</v>
      </c>
      <c r="AV213" s="1388">
        <f t="shared" si="140"/>
        <v>0</v>
      </c>
      <c r="AW213" s="1390" t="str">
        <f t="shared" si="141"/>
        <v/>
      </c>
      <c r="AX213" s="1390" t="str">
        <f>IF(AND(AW213&lt;&gt;"",AY213&lt;&gt;""),"*","")</f>
        <v/>
      </c>
      <c r="AY213" s="1394" t="str">
        <f t="shared" si="142"/>
        <v/>
      </c>
      <c r="AZ213" s="1395" t="str">
        <f>IF(Table22[[#This Row],[LOQ_label]]="Y",Table22[[#This Row],[MRL individual commodity]],"")</f>
        <v/>
      </c>
      <c r="BA213" s="1422">
        <v>3</v>
      </c>
      <c r="BB213" s="1411" t="str">
        <f>IF(Table22[[#This Row],[LOQ2]]&lt;0,MIN(AZ213:AZ589),"")</f>
        <v/>
      </c>
      <c r="BC213" s="1299"/>
      <c r="BD213" s="1306" t="str">
        <f>IF(Table22[[#This Row],[Chronic RA label]]="","N",IF(Table22[[#This Row],[Chronic RA label]]="LOQ","N",IF(Table22[[#This Row],[Chronic RA label]]="MRL","N","Y")))</f>
        <v>N</v>
      </c>
      <c r="BE213" s="1306" t="str">
        <f>IF(Table22[[#This Row],[Acute RA label]]="","N",IF(Table22[[#This Row],[Acute RA label]]="LOQ","N",IF(Table22[[#This Row],[Acute RA label]]="MRL","N","Y")))</f>
        <v>N</v>
      </c>
      <c r="BF213" s="1306" t="str">
        <f>IF(OR(Table22[[#This Row],[include commodity in Summary_input_values_chronic]]="Y",Table22[[#This Row],[include commodity in Summary_input_values_acute]]="Y"),"Y","N")</f>
        <v>N</v>
      </c>
      <c r="BG213" s="1299"/>
      <c r="BH213" s="1324"/>
    </row>
    <row r="214" spans="1:60" ht="12.75" customHeight="1" outlineLevel="3" x14ac:dyDescent="0.2">
      <c r="A214" s="39">
        <v>4</v>
      </c>
      <c r="B214" s="327">
        <v>300020</v>
      </c>
      <c r="C214" s="23" t="s">
        <v>59</v>
      </c>
      <c r="D214" s="867"/>
      <c r="E214" s="1219"/>
      <c r="F214" s="867"/>
      <c r="G214" s="869"/>
      <c r="H214" s="863"/>
      <c r="I214" s="868"/>
      <c r="J214" s="870"/>
      <c r="K214" s="865"/>
      <c r="L214" s="872"/>
      <c r="M214" s="874"/>
      <c r="N214" s="925" t="str">
        <f>IF(O214&lt;&gt;0,CONCATENATE(input_values!$AF214,input_values!$AG214,input_values!$AH214),"")</f>
        <v/>
      </c>
      <c r="O214" s="491">
        <f>IF($A$10="Refined calculation mode",Table22[[#This Row],[input for chronic (refined mode]],Table22[[#This Row],[input for chronic normal mode]])</f>
        <v>0</v>
      </c>
      <c r="P214" s="925" t="str">
        <f>IF(Q214&lt;&gt;0,CONCATENATE(input_values!$AN214,input_values!$AO214,input_values!$AP214),"")</f>
        <v/>
      </c>
      <c r="Q214" s="491">
        <f>IF($V$5=0,0,IF(OR($A$10="Refined calculation mode",Results!$B$62="Show results of IESTI calculation only for crops with GAPs under assessment"),Table22[[#This Row],[Input for IESTI (refined mode)]],Table22[[#This Row],[Input for IESTI normal mode]]))</f>
        <v>0</v>
      </c>
      <c r="R214" s="926" t="str">
        <f>IF(S214&lt;&gt;0,CONCATENATE(input_values!$AW214,input_values!$AX214,input_values!$AY214),"")</f>
        <v/>
      </c>
      <c r="S214" s="492">
        <f>IF($V$5=0,0,IF(OR($A$10="Refined calculation mode",Results!$B$62="Show results of IESTI calculation only for crops with GAPs under assessment"),Table22[[#This Row],[Input for IESTI new (refined mode)]],Table22[[#This Row],[Input for IESTI new normal mode]]))</f>
        <v>0</v>
      </c>
      <c r="T214" s="886"/>
      <c r="U214" s="1408">
        <f>Table22[[#This Row],[MRL/ proposed MRL /CXL
(mg/kg)]]</f>
        <v>0</v>
      </c>
      <c r="V214" s="1409" t="str">
        <f>IF(ISBLANK(F214),"","Y")</f>
        <v/>
      </c>
      <c r="W214" s="1387">
        <f>IF($G214&gt;0,$G214,1)</f>
        <v>1</v>
      </c>
      <c r="X214" s="1387">
        <f>IF($H214&gt;0,$H214,1)</f>
        <v>1</v>
      </c>
      <c r="Y214" s="1387">
        <f>W214*X214</f>
        <v>1</v>
      </c>
      <c r="Z214" s="1410">
        <v>4</v>
      </c>
      <c r="AA214" s="1387">
        <f t="shared" si="124"/>
        <v>0</v>
      </c>
      <c r="AB214" s="1387">
        <f>IF(Z214=A214,IF(AND(L214="N",Table22[[#This Row],[LOQ_label]]="Y"),AA214,$AA214*$Y214),"")</f>
        <v>0</v>
      </c>
      <c r="AC214" s="1393">
        <f t="shared" si="125"/>
        <v>0</v>
      </c>
      <c r="AD214" s="1393">
        <f>IF(Table22[[#This Row],[Median residue*CF*PeF]]&lt;&gt;"",Table22[[#This Row],[Median residue*CF*PeF]],Table22[[#This Row],[MRL*CF*PeF (chronic)]])</f>
        <v>0</v>
      </c>
      <c r="AE214" s="1393">
        <f t="shared" si="126"/>
        <v>0</v>
      </c>
      <c r="AF214" s="1390" t="str">
        <f t="shared" si="127"/>
        <v>MRL</v>
      </c>
      <c r="AG214" s="1390" t="str">
        <f t="shared" si="128"/>
        <v/>
      </c>
      <c r="AH214" s="1394" t="str">
        <f t="shared" si="129"/>
        <v/>
      </c>
      <c r="AI214" s="1386">
        <v>4</v>
      </c>
      <c r="AJ214" s="1387">
        <f t="shared" si="130"/>
        <v>0</v>
      </c>
      <c r="AK214" s="1387">
        <f>IF(AI214=A214,IF(AND(L214="N",Table22[[#This Row],[LOQ_label]]="Y"),AJ214,$AJ214*$Y214),"")</f>
        <v>0</v>
      </c>
      <c r="AL214" s="1388">
        <f t="shared" si="131"/>
        <v>0</v>
      </c>
      <c r="AM214"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14" s="1451" t="str">
        <f>IF(AI214&lt;&gt;A214,"",IF(Table22[[#This Row],[Post-harvest treatment]]="",Table22[[#This Row],[label for chronic calculation]],IF(Table22[[#This Row],[Post-harvest treatment]]="N",Table22[[#This Row],[label for chronic calculation]],IF(Table22[[#This Row],[HR-RAC (highest residue)]]&gt;"","HR-RAC",IF(V214="Y","LOQ","MRL")))))</f>
        <v>MRL</v>
      </c>
      <c r="AO214" s="1390" t="str">
        <f t="shared" si="133"/>
        <v/>
      </c>
      <c r="AP214" s="1404" t="str">
        <f t="shared" si="134"/>
        <v/>
      </c>
      <c r="AQ214" s="1388">
        <f t="shared" si="135"/>
        <v>0</v>
      </c>
      <c r="AR214" s="1388" t="str">
        <f t="shared" si="136"/>
        <v/>
      </c>
      <c r="AS214" s="1388" t="str">
        <f t="shared" si="137"/>
        <v/>
      </c>
      <c r="AT214" s="1388" t="str">
        <f t="shared" si="138"/>
        <v/>
      </c>
      <c r="AU214" s="1393">
        <f t="shared" si="139"/>
        <v>0</v>
      </c>
      <c r="AV214" s="1388">
        <f t="shared" si="140"/>
        <v>0</v>
      </c>
      <c r="AW214" s="1390" t="str">
        <f t="shared" si="141"/>
        <v/>
      </c>
      <c r="AX214" s="1390" t="str">
        <f>IF(AND(AW214&lt;&gt;"",AY214&lt;&gt;""),"*","")</f>
        <v/>
      </c>
      <c r="AY214" s="1394" t="str">
        <f t="shared" si="142"/>
        <v/>
      </c>
      <c r="AZ214" s="1395" t="str">
        <f>IF(Table22[[#This Row],[LOQ_label]]="Y",Table22[[#This Row],[MRL individual commodity]],"")</f>
        <v/>
      </c>
      <c r="BA214" s="1422">
        <v>3</v>
      </c>
      <c r="BB214" s="1411" t="str">
        <f>IF(Table22[[#This Row],[LOQ2]]&lt;0,MIN(AZ214:AZ590),"")</f>
        <v/>
      </c>
      <c r="BC214" s="1299"/>
      <c r="BD214" s="1306" t="str">
        <f>IF(Table22[[#This Row],[Chronic RA label]]="","N",IF(Table22[[#This Row],[Chronic RA label]]="LOQ","N",IF(Table22[[#This Row],[Chronic RA label]]="MRL","N","Y")))</f>
        <v>N</v>
      </c>
      <c r="BE214" s="1306" t="str">
        <f>IF(Table22[[#This Row],[Acute RA label]]="","N",IF(Table22[[#This Row],[Acute RA label]]="LOQ","N",IF(Table22[[#This Row],[Acute RA label]]="MRL","N","Y")))</f>
        <v>N</v>
      </c>
      <c r="BF214" s="1306" t="str">
        <f>IF(OR(Table22[[#This Row],[include commodity in Summary_input_values_chronic]]="Y",Table22[[#This Row],[include commodity in Summary_input_values_acute]]="Y"),"Y","N")</f>
        <v>N</v>
      </c>
      <c r="BG214" s="1299"/>
      <c r="BH214" s="1324"/>
    </row>
    <row r="215" spans="1:60" ht="12.75" customHeight="1" outlineLevel="3" x14ac:dyDescent="0.2">
      <c r="A215" s="39">
        <v>4</v>
      </c>
      <c r="B215" s="327">
        <v>300030</v>
      </c>
      <c r="C215" s="23" t="s">
        <v>292</v>
      </c>
      <c r="D215" s="867"/>
      <c r="E215" s="1219"/>
      <c r="F215" s="867"/>
      <c r="G215" s="869"/>
      <c r="H215" s="863"/>
      <c r="I215" s="868"/>
      <c r="J215" s="870"/>
      <c r="K215" s="865"/>
      <c r="L215" s="872"/>
      <c r="M215" s="874"/>
      <c r="N215" s="925" t="str">
        <f>IF(O215&lt;&gt;0,CONCATENATE(input_values!$AF215,input_values!$AG215,input_values!$AH215),"")</f>
        <v/>
      </c>
      <c r="O215" s="491">
        <f>IF($A$10="Refined calculation mode",Table22[[#This Row],[input for chronic (refined mode]],Table22[[#This Row],[input for chronic normal mode]])</f>
        <v>0</v>
      </c>
      <c r="P215" s="925" t="str">
        <f>IF(Q215&lt;&gt;0,CONCATENATE(input_values!$AN215,input_values!$AO215,input_values!$AP215),"")</f>
        <v/>
      </c>
      <c r="Q215" s="491">
        <f>IF($V$5=0,0,IF(OR($A$10="Refined calculation mode",Results!$B$62="Show results of IESTI calculation only for crops with GAPs under assessment"),Table22[[#This Row],[Input for IESTI (refined mode)]],Table22[[#This Row],[Input for IESTI normal mode]]))</f>
        <v>0</v>
      </c>
      <c r="R215" s="926" t="str">
        <f>IF(S215&lt;&gt;0,CONCATENATE(input_values!$AW215,input_values!$AX215,input_values!$AY215),"")</f>
        <v/>
      </c>
      <c r="S215" s="492">
        <f>IF($V$5=0,0,IF(OR($A$10="Refined calculation mode",Results!$B$62="Show results of IESTI calculation only for crops with GAPs under assessment"),Table22[[#This Row],[Input for IESTI new (refined mode)]],Table22[[#This Row],[Input for IESTI new normal mode]]))</f>
        <v>0</v>
      </c>
      <c r="T215" s="886"/>
      <c r="U215" s="1408">
        <f>Table22[[#This Row],[MRL/ proposed MRL /CXL
(mg/kg)]]</f>
        <v>0</v>
      </c>
      <c r="V215" s="1409" t="str">
        <f>IF(ISBLANK(F215),"","Y")</f>
        <v/>
      </c>
      <c r="W215" s="1387">
        <f>IF($G215&gt;0,$G215,1)</f>
        <v>1</v>
      </c>
      <c r="X215" s="1387">
        <f>IF($H215&gt;0,$H215,1)</f>
        <v>1</v>
      </c>
      <c r="Y215" s="1387">
        <f>W215*X215</f>
        <v>1</v>
      </c>
      <c r="Z215" s="1410">
        <v>4</v>
      </c>
      <c r="AA215" s="1387">
        <f t="shared" si="124"/>
        <v>0</v>
      </c>
      <c r="AB215" s="1387">
        <f>IF(Z215=A215,IF(AND(L215="N",Table22[[#This Row],[LOQ_label]]="Y"),AA215,$AA215*$Y215),"")</f>
        <v>0</v>
      </c>
      <c r="AC215" s="1393">
        <f t="shared" si="125"/>
        <v>0</v>
      </c>
      <c r="AD215" s="1393">
        <f>IF(Table22[[#This Row],[Median residue*CF*PeF]]&lt;&gt;"",Table22[[#This Row],[Median residue*CF*PeF]],Table22[[#This Row],[MRL*CF*PeF (chronic)]])</f>
        <v>0</v>
      </c>
      <c r="AE215" s="1393">
        <f t="shared" si="126"/>
        <v>0</v>
      </c>
      <c r="AF215" s="1390" t="str">
        <f t="shared" si="127"/>
        <v>MRL</v>
      </c>
      <c r="AG215" s="1390" t="str">
        <f t="shared" si="128"/>
        <v/>
      </c>
      <c r="AH215" s="1394" t="str">
        <f t="shared" si="129"/>
        <v/>
      </c>
      <c r="AI215" s="1386">
        <v>4</v>
      </c>
      <c r="AJ215" s="1387">
        <f t="shared" si="130"/>
        <v>0</v>
      </c>
      <c r="AK215" s="1387">
        <f>IF(AI215=A215,IF(AND(L215="N",Table22[[#This Row],[LOQ_label]]="Y"),AJ215,$AJ215*$Y215),"")</f>
        <v>0</v>
      </c>
      <c r="AL215" s="1388">
        <f t="shared" si="131"/>
        <v>0</v>
      </c>
      <c r="AM215"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15" s="1451" t="str">
        <f>IF(AI215&lt;&gt;A215,"",IF(Table22[[#This Row],[Post-harvest treatment]]="",Table22[[#This Row],[label for chronic calculation]],IF(Table22[[#This Row],[Post-harvest treatment]]="N",Table22[[#This Row],[label for chronic calculation]],IF(Table22[[#This Row],[HR-RAC (highest residue)]]&gt;"","HR-RAC",IF(V215="Y","LOQ","MRL")))))</f>
        <v>MRL</v>
      </c>
      <c r="AO215" s="1390" t="str">
        <f t="shared" si="133"/>
        <v/>
      </c>
      <c r="AP215" s="1404" t="str">
        <f t="shared" si="134"/>
        <v/>
      </c>
      <c r="AQ215" s="1388">
        <f t="shared" si="135"/>
        <v>0</v>
      </c>
      <c r="AR215" s="1388" t="str">
        <f t="shared" si="136"/>
        <v/>
      </c>
      <c r="AS215" s="1388" t="str">
        <f t="shared" si="137"/>
        <v/>
      </c>
      <c r="AT215" s="1388" t="str">
        <f t="shared" si="138"/>
        <v/>
      </c>
      <c r="AU215" s="1393">
        <f t="shared" si="139"/>
        <v>0</v>
      </c>
      <c r="AV215" s="1388">
        <f t="shared" si="140"/>
        <v>0</v>
      </c>
      <c r="AW215" s="1390" t="str">
        <f t="shared" si="141"/>
        <v/>
      </c>
      <c r="AX215" s="1390" t="str">
        <f>IF(AND(AW215&lt;&gt;"",AY215&lt;&gt;""),"*","")</f>
        <v/>
      </c>
      <c r="AY215" s="1394" t="str">
        <f t="shared" si="142"/>
        <v/>
      </c>
      <c r="AZ215" s="1395" t="str">
        <f>IF(Table22[[#This Row],[LOQ_label]]="Y",Table22[[#This Row],[MRL individual commodity]],"")</f>
        <v/>
      </c>
      <c r="BA215" s="1450">
        <v>3</v>
      </c>
      <c r="BB215" s="1411" t="str">
        <f>IF(Table22[[#This Row],[LOQ2]]&lt;0,MIN(AZ215:AZ591),"")</f>
        <v/>
      </c>
      <c r="BC215" s="1299"/>
      <c r="BD215" s="1306" t="str">
        <f>IF(Table22[[#This Row],[Chronic RA label]]="","N",IF(Table22[[#This Row],[Chronic RA label]]="LOQ","N",IF(Table22[[#This Row],[Chronic RA label]]="MRL","N","Y")))</f>
        <v>N</v>
      </c>
      <c r="BE215" s="1306" t="str">
        <f>IF(Table22[[#This Row],[Acute RA label]]="","N",IF(Table22[[#This Row],[Acute RA label]]="LOQ","N",IF(Table22[[#This Row],[Acute RA label]]="MRL","N","Y")))</f>
        <v>N</v>
      </c>
      <c r="BF215" s="1306" t="str">
        <f>IF(OR(Table22[[#This Row],[include commodity in Summary_input_values_chronic]]="Y",Table22[[#This Row],[include commodity in Summary_input_values_acute]]="Y"),"Y","N")</f>
        <v>N</v>
      </c>
      <c r="BG215" s="1299"/>
      <c r="BH215" s="1324"/>
    </row>
    <row r="216" spans="1:60" ht="12.75" customHeight="1" outlineLevel="3" x14ac:dyDescent="0.2">
      <c r="A216" s="39">
        <v>4</v>
      </c>
      <c r="B216" s="327">
        <v>300040</v>
      </c>
      <c r="C216" s="23" t="s">
        <v>743</v>
      </c>
      <c r="D216" s="867"/>
      <c r="E216" s="1219"/>
      <c r="F216" s="867"/>
      <c r="G216" s="869"/>
      <c r="H216" s="863"/>
      <c r="I216" s="868"/>
      <c r="J216" s="870"/>
      <c r="K216" s="865"/>
      <c r="L216" s="872"/>
      <c r="M216" s="874"/>
      <c r="N216" s="925" t="str">
        <f>IF(O216&lt;&gt;0,CONCATENATE(input_values!$AF216,input_values!$AG216,input_values!$AH216),"")</f>
        <v/>
      </c>
      <c r="O216" s="491">
        <f>IF($A$10="Refined calculation mode",Table22[[#This Row],[input for chronic (refined mode]],Table22[[#This Row],[input for chronic normal mode]])</f>
        <v>0</v>
      </c>
      <c r="P216" s="925" t="str">
        <f>IF(Q216&lt;&gt;0,CONCATENATE(input_values!$AN216,input_values!$AO216,input_values!$AP216),"")</f>
        <v/>
      </c>
      <c r="Q216" s="491">
        <f>IF($V$5=0,0,IF(OR($A$10="Refined calculation mode",Results!$B$62="Show results of IESTI calculation only for crops with GAPs under assessment"),Table22[[#This Row],[Input for IESTI (refined mode)]],Table22[[#This Row],[Input for IESTI normal mode]]))</f>
        <v>0</v>
      </c>
      <c r="R216" s="926" t="str">
        <f>IF(S216&lt;&gt;0,CONCATENATE(input_values!$AW216,input_values!$AX216,input_values!$AY216),"")</f>
        <v/>
      </c>
      <c r="S216" s="492">
        <f>IF($V$5=0,0,IF(OR($A$10="Refined calculation mode",Results!$B$62="Show results of IESTI calculation only for crops with GAPs under assessment"),Table22[[#This Row],[Input for IESTI new (refined mode)]],Table22[[#This Row],[Input for IESTI new normal mode]]))</f>
        <v>0</v>
      </c>
      <c r="T216" s="886"/>
      <c r="U216" s="1408">
        <f>Table22[[#This Row],[MRL/ proposed MRL /CXL
(mg/kg)]]</f>
        <v>0</v>
      </c>
      <c r="V216" s="1409" t="str">
        <f>IF(ISBLANK(F216),"","Y")</f>
        <v/>
      </c>
      <c r="W216" s="1387">
        <f>IF($G216&gt;0,$G216,1)</f>
        <v>1</v>
      </c>
      <c r="X216" s="1387">
        <f>IF($H216&gt;0,$H216,1)</f>
        <v>1</v>
      </c>
      <c r="Y216" s="1387">
        <f>W216*X216</f>
        <v>1</v>
      </c>
      <c r="Z216" s="1410">
        <v>4</v>
      </c>
      <c r="AA216" s="1387">
        <f t="shared" si="124"/>
        <v>0</v>
      </c>
      <c r="AB216" s="1387">
        <f>IF(Z216=A216,IF(AND(L216="N",Table22[[#This Row],[LOQ_label]]="Y"),AA216,$AA216*$Y216),"")</f>
        <v>0</v>
      </c>
      <c r="AC216" s="1393">
        <f t="shared" si="125"/>
        <v>0</v>
      </c>
      <c r="AD216" s="1393">
        <f>IF(Table22[[#This Row],[Median residue*CF*PeF]]&lt;&gt;"",Table22[[#This Row],[Median residue*CF*PeF]],Table22[[#This Row],[MRL*CF*PeF (chronic)]])</f>
        <v>0</v>
      </c>
      <c r="AE216" s="1393">
        <f t="shared" si="126"/>
        <v>0</v>
      </c>
      <c r="AF216" s="1390" t="str">
        <f t="shared" si="127"/>
        <v>MRL</v>
      </c>
      <c r="AG216" s="1390" t="str">
        <f t="shared" si="128"/>
        <v/>
      </c>
      <c r="AH216" s="1394" t="str">
        <f t="shared" si="129"/>
        <v/>
      </c>
      <c r="AI216" s="1386">
        <v>4</v>
      </c>
      <c r="AJ216" s="1387">
        <f t="shared" si="130"/>
        <v>0</v>
      </c>
      <c r="AK216" s="1387">
        <f>IF(AI216=A216,IF(AND(L216="N",Table22[[#This Row],[LOQ_label]]="Y"),AJ216,$AJ216*$Y216),"")</f>
        <v>0</v>
      </c>
      <c r="AL216" s="1388">
        <f t="shared" si="131"/>
        <v>0</v>
      </c>
      <c r="AM216"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16" s="1451" t="str">
        <f>IF(AI216&lt;&gt;A216,"",IF(Table22[[#This Row],[Post-harvest treatment]]="",Table22[[#This Row],[label for chronic calculation]],IF(Table22[[#This Row],[Post-harvest treatment]]="N",Table22[[#This Row],[label for chronic calculation]],IF(Table22[[#This Row],[HR-RAC (highest residue)]]&gt;"","HR-RAC",IF(V216="Y","LOQ","MRL")))))</f>
        <v>MRL</v>
      </c>
      <c r="AO216" s="1390" t="str">
        <f t="shared" si="133"/>
        <v/>
      </c>
      <c r="AP216" s="1404" t="str">
        <f t="shared" si="134"/>
        <v/>
      </c>
      <c r="AQ216" s="1388">
        <f t="shared" si="135"/>
        <v>0</v>
      </c>
      <c r="AR216" s="1388" t="str">
        <f t="shared" si="136"/>
        <v/>
      </c>
      <c r="AS216" s="1388" t="str">
        <f t="shared" si="137"/>
        <v/>
      </c>
      <c r="AT216" s="1388" t="str">
        <f t="shared" si="138"/>
        <v/>
      </c>
      <c r="AU216" s="1393">
        <f t="shared" si="139"/>
        <v>0</v>
      </c>
      <c r="AV216" s="1388">
        <f t="shared" si="140"/>
        <v>0</v>
      </c>
      <c r="AW216" s="1390" t="str">
        <f t="shared" si="141"/>
        <v/>
      </c>
      <c r="AX216" s="1390" t="str">
        <f>IF(AND(AW216&lt;&gt;"",AY216&lt;&gt;""),"*","")</f>
        <v/>
      </c>
      <c r="AY216" s="1394" t="str">
        <f t="shared" si="142"/>
        <v/>
      </c>
      <c r="AZ216" s="1395" t="str">
        <f>IF(Table22[[#This Row],[LOQ_label]]="Y",Table22[[#This Row],[MRL individual commodity]],"")</f>
        <v/>
      </c>
      <c r="BA216" s="1422">
        <v>3</v>
      </c>
      <c r="BB216" s="1411" t="str">
        <f>IF(Table22[[#This Row],[LOQ2]]&lt;0,MIN(AZ216:AZ592),"")</f>
        <v/>
      </c>
      <c r="BC216" s="1299"/>
      <c r="BD216" s="1306" t="str">
        <f>IF(Table22[[#This Row],[Chronic RA label]]="","N",IF(Table22[[#This Row],[Chronic RA label]]="LOQ","N",IF(Table22[[#This Row],[Chronic RA label]]="MRL","N","Y")))</f>
        <v>N</v>
      </c>
      <c r="BE216" s="1306" t="str">
        <f>IF(Table22[[#This Row],[Acute RA label]]="","N",IF(Table22[[#This Row],[Acute RA label]]="LOQ","N",IF(Table22[[#This Row],[Acute RA label]]="MRL","N","Y")))</f>
        <v>N</v>
      </c>
      <c r="BF216" s="1306" t="str">
        <f>IF(OR(Table22[[#This Row],[include commodity in Summary_input_values_chronic]]="Y",Table22[[#This Row],[include commodity in Summary_input_values_acute]]="Y"),"Y","N")</f>
        <v>N</v>
      </c>
      <c r="BG216" s="1299"/>
      <c r="BH216" s="1324"/>
    </row>
    <row r="217" spans="1:60" ht="12.75" customHeight="1" outlineLevel="3" x14ac:dyDescent="0.2">
      <c r="A217" s="39">
        <v>4</v>
      </c>
      <c r="B217" s="327">
        <v>300990</v>
      </c>
      <c r="C217" s="23" t="s">
        <v>744</v>
      </c>
      <c r="D217" s="867"/>
      <c r="E217" s="1219"/>
      <c r="F217" s="867"/>
      <c r="G217" s="868"/>
      <c r="H217" s="863"/>
      <c r="I217" s="868"/>
      <c r="J217" s="870"/>
      <c r="K217" s="865"/>
      <c r="L217" s="872"/>
      <c r="M217" s="874"/>
      <c r="N217" s="925" t="str">
        <f>IF(O217&lt;&gt;0,CONCATENATE(input_values!$AF217,input_values!$AG217,input_values!$AH217),"")</f>
        <v/>
      </c>
      <c r="O217" s="491">
        <f>IF($A$10="Refined calculation mode",Table22[[#This Row],[input for chronic (refined mode]],Table22[[#This Row],[input for chronic normal mode]])</f>
        <v>0</v>
      </c>
      <c r="P217" s="473"/>
      <c r="Q217" s="474"/>
      <c r="R217" s="473"/>
      <c r="S217" s="474"/>
      <c r="T217" s="886"/>
      <c r="U217" s="1408">
        <f>Table22[[#This Row],[MRL/ proposed MRL /CXL
(mg/kg)]]</f>
        <v>0</v>
      </c>
      <c r="V217" s="1409" t="str">
        <f>IF(ISBLANK(F217),"","Y")</f>
        <v/>
      </c>
      <c r="W217" s="1387">
        <f>IF($G217&gt;0,$G217,1)</f>
        <v>1</v>
      </c>
      <c r="X217" s="1387">
        <f>IF($H217&gt;0,$H217,1)</f>
        <v>1</v>
      </c>
      <c r="Y217" s="1387">
        <f>W217*X217</f>
        <v>1</v>
      </c>
      <c r="Z217" s="1410">
        <v>4</v>
      </c>
      <c r="AA217" s="1387">
        <f t="shared" si="124"/>
        <v>0</v>
      </c>
      <c r="AB217" s="1387">
        <f>IF(Z217=A217,IF(AND(L217="N",Table22[[#This Row],[LOQ_label]]="Y"),AA217,$AA217*$Y217),"")</f>
        <v>0</v>
      </c>
      <c r="AC217" s="1393">
        <f t="shared" si="125"/>
        <v>0</v>
      </c>
      <c r="AD217" s="1393">
        <f>IF(Table22[[#This Row],[Median residue*CF*PeF]]&lt;&gt;"",Table22[[#This Row],[Median residue*CF*PeF]],Table22[[#This Row],[MRL*CF*PeF (chronic)]])</f>
        <v>0</v>
      </c>
      <c r="AE217" s="1393">
        <f t="shared" si="126"/>
        <v>0</v>
      </c>
      <c r="AF217" s="1390" t="str">
        <f t="shared" si="127"/>
        <v>MRL</v>
      </c>
      <c r="AG217" s="1390" t="str">
        <f t="shared" si="128"/>
        <v/>
      </c>
      <c r="AH217" s="1394" t="str">
        <f t="shared" si="129"/>
        <v/>
      </c>
      <c r="AI217" s="1386"/>
      <c r="AJ217" s="1387" t="str">
        <f t="shared" si="130"/>
        <v/>
      </c>
      <c r="AK217" s="1387" t="str">
        <f>IF(AI217=A217,IF(AND(L217="N",Table22[[#This Row],[LOQ_label]]="Y"),AJ217,$AJ217*$Y217),"")</f>
        <v/>
      </c>
      <c r="AL217" s="1388" t="str">
        <f t="shared" si="131"/>
        <v/>
      </c>
      <c r="AM217" s="1420" t="str">
        <f>IF(Table22[[#This Row],[Case for acute RA children/adults]]=3,Table22[[#This Row],[Chronic RA input value]],IF(Table22[[#This Row],[Highest residue * CF*PF]]&lt;&gt;"",Table22[[#This Row],[Highest residue * CF*PF]],Table22[[#This Row],[MRL*CF*PF or MRL (if LOQ and not authorised) (acute RA)]]))</f>
        <v/>
      </c>
      <c r="AN217" s="1421" t="str">
        <f t="shared" si="132"/>
        <v/>
      </c>
      <c r="AO217" s="1390" t="str">
        <f t="shared" si="133"/>
        <v/>
      </c>
      <c r="AP217" s="1404" t="str">
        <f t="shared" si="134"/>
        <v/>
      </c>
      <c r="AQ217" s="1388">
        <f t="shared" si="135"/>
        <v>0</v>
      </c>
      <c r="AR217" s="1388" t="str">
        <f t="shared" si="136"/>
        <v/>
      </c>
      <c r="AS217" s="1388" t="str">
        <f t="shared" si="137"/>
        <v/>
      </c>
      <c r="AT217" s="1388" t="str">
        <f t="shared" si="138"/>
        <v/>
      </c>
      <c r="AU217" s="1393" t="str">
        <f t="shared" si="139"/>
        <v/>
      </c>
      <c r="AV217" s="1388">
        <f t="shared" si="140"/>
        <v>0</v>
      </c>
      <c r="AW217" s="1390" t="str">
        <f t="shared" si="141"/>
        <v/>
      </c>
      <c r="AX217" s="1390" t="str">
        <f>IF(AND(AN217&lt;&gt;"",AY217&lt;&gt;""),"*","")</f>
        <v/>
      </c>
      <c r="AY217" s="1394" t="str">
        <f t="shared" si="142"/>
        <v/>
      </c>
      <c r="AZ217" s="1395" t="str">
        <f>IF(Table22[[#This Row],[LOQ_label]]="Y",Table22[[#This Row],[MRL individual commodity]],"")</f>
        <v/>
      </c>
      <c r="BA217" s="1396" t="s">
        <v>1159</v>
      </c>
      <c r="BB217" s="1411" t="str">
        <f>IF(Table22[[#This Row],[LOQ2]]&lt;0,MIN(AZ217:AZ593),"")</f>
        <v/>
      </c>
      <c r="BC217" s="1299"/>
      <c r="BD217" s="1306" t="str">
        <f>IF(Table22[[#This Row],[Chronic RA label]]="","N",IF(Table22[[#This Row],[Chronic RA label]]="LOQ","N",IF(Table22[[#This Row],[Chronic RA label]]="MRL","N","Y")))</f>
        <v>N</v>
      </c>
      <c r="BE217" s="1306" t="str">
        <f>IF(Table22[[#This Row],[Acute RA label]]="","N",IF(Table22[[#This Row],[Acute RA label]]="LOQ","N",IF(Table22[[#This Row],[Acute RA label]]="MRL","N","Y")))</f>
        <v>N</v>
      </c>
      <c r="BF217" s="1306" t="str">
        <f>IF(OR(Table22[[#This Row],[include commodity in Summary_input_values_chronic]]="Y",Table22[[#This Row],[include commodity in Summary_input_values_acute]]="Y"),"Y","N")</f>
        <v>N</v>
      </c>
      <c r="BG217" s="1299"/>
      <c r="BH217" s="1324"/>
    </row>
    <row r="218" spans="1:60" ht="12.75" customHeight="1" x14ac:dyDescent="0.2">
      <c r="A218" s="126">
        <v>1</v>
      </c>
      <c r="B218" s="446">
        <v>400000</v>
      </c>
      <c r="C218" s="127" t="s">
        <v>140</v>
      </c>
      <c r="D218" s="862"/>
      <c r="E218" s="1218"/>
      <c r="F218" s="862"/>
      <c r="G218" s="863"/>
      <c r="H218" s="863"/>
      <c r="I218" s="863"/>
      <c r="J218" s="864"/>
      <c r="K218" s="865"/>
      <c r="L218" s="471"/>
      <c r="M218" s="471"/>
      <c r="N218" s="473"/>
      <c r="O218" s="474"/>
      <c r="P218" s="473"/>
      <c r="Q218" s="474"/>
      <c r="R218" s="473"/>
      <c r="S218" s="474"/>
      <c r="T218" s="886"/>
      <c r="U218" s="1415"/>
      <c r="V218" s="1380"/>
      <c r="W218" s="1381"/>
      <c r="X218" s="1381"/>
      <c r="Y218" s="1381"/>
      <c r="Z218" s="1382">
        <v>4</v>
      </c>
      <c r="AA218" s="1381" t="str">
        <f t="shared" si="124"/>
        <v/>
      </c>
      <c r="AB218" s="1381" t="str">
        <f>IF(Z218=A218,IF(AND(L218="N",Table22[[#This Row],[LOQ_label]]="Y"),AA218,$AA218*$Y218),"")</f>
        <v/>
      </c>
      <c r="AC218" s="1383" t="str">
        <f t="shared" si="125"/>
        <v/>
      </c>
      <c r="AD218" s="1383" t="str">
        <f>IF(Table22[[#This Row],[Median residue*CF*PeF]]&lt;&gt;"",Table22[[#This Row],[Median residue*CF*PeF]],Table22[[#This Row],[MRL*CF*PeF (chronic)]])</f>
        <v/>
      </c>
      <c r="AE218" s="1384">
        <f t="shared" si="126"/>
        <v>0</v>
      </c>
      <c r="AF218" s="1385" t="str">
        <f t="shared" si="127"/>
        <v/>
      </c>
      <c r="AG218" s="1385" t="str">
        <f t="shared" si="128"/>
        <v/>
      </c>
      <c r="AH218" s="1270" t="str">
        <f t="shared" si="129"/>
        <v/>
      </c>
      <c r="AI218" s="1386">
        <v>4</v>
      </c>
      <c r="AJ218" s="1387" t="str">
        <f t="shared" si="130"/>
        <v/>
      </c>
      <c r="AK218" s="1387" t="str">
        <f>IF(AI218=A218,IF(AND(L218="N",Table22[[#This Row],[LOQ_label]]="Y"),AJ218,$AJ218*$Y218),"")</f>
        <v/>
      </c>
      <c r="AL218" s="1388" t="str">
        <f t="shared" si="131"/>
        <v/>
      </c>
      <c r="AM218" s="1393" t="str">
        <f>IF(Table22[[#This Row],[Highest residue * CF*PF]]&lt;&gt;"",Table22[[#This Row],[Highest residue * CF*PF]],Table22[[#This Row],[MRL*CF*PF or MRL (if LOQ and not authorised) (acute RA)]])</f>
        <v/>
      </c>
      <c r="AN218" s="1390" t="str">
        <f t="shared" si="132"/>
        <v/>
      </c>
      <c r="AO218" s="1390" t="str">
        <f t="shared" si="133"/>
        <v/>
      </c>
      <c r="AP218" s="1404" t="str">
        <f t="shared" si="134"/>
        <v/>
      </c>
      <c r="AQ218" s="1388">
        <f t="shared" si="135"/>
        <v>0</v>
      </c>
      <c r="AR218" s="1388" t="str">
        <f t="shared" si="136"/>
        <v/>
      </c>
      <c r="AS218" s="1388" t="str">
        <f t="shared" si="137"/>
        <v/>
      </c>
      <c r="AT218" s="1388" t="str">
        <f t="shared" si="138"/>
        <v/>
      </c>
      <c r="AU218" s="1393" t="str">
        <f t="shared" si="139"/>
        <v/>
      </c>
      <c r="AV218" s="1388">
        <f t="shared" si="140"/>
        <v>0</v>
      </c>
      <c r="AW218" s="1390" t="str">
        <f t="shared" si="141"/>
        <v/>
      </c>
      <c r="AX218" s="1390" t="str">
        <f>IF(AND(AN218&lt;&gt;"",AY218&lt;&gt;""),"*","")</f>
        <v/>
      </c>
      <c r="AY218" s="1394" t="str">
        <f t="shared" si="142"/>
        <v/>
      </c>
      <c r="AZ218" s="1395">
        <f>IF(Table22[[#This Row],[LOQ_label]]="Y",Table22[[#This Row],[MRL individual commodity]],"")</f>
        <v>0</v>
      </c>
      <c r="BA218" s="1396" t="s">
        <v>1159</v>
      </c>
      <c r="BB218" s="1411" t="str">
        <f>IF(Table22[[#This Row],[LOQ2]]&lt;0,MIN(AZ218:AZ594),"")</f>
        <v/>
      </c>
      <c r="BC218" s="1299"/>
      <c r="BD218" s="1306" t="str">
        <f>IF(Table22[[#This Row],[Chronic RA label]]="","N",IF(Table22[[#This Row],[Chronic RA label]]="LOQ","N",IF(Table22[[#This Row],[Chronic RA label]]="MRL","N","Y")))</f>
        <v>N</v>
      </c>
      <c r="BE218" s="1306" t="str">
        <f>IF(Table22[[#This Row],[Acute RA label]]="","N",IF(Table22[[#This Row],[Acute RA label]]="LOQ","N",IF(Table22[[#This Row],[Acute RA label]]="MRL","N","Y")))</f>
        <v>N</v>
      </c>
      <c r="BF218" s="1306" t="str">
        <f>IF(OR(Table22[[#This Row],[include commodity in Summary_input_values_chronic]]="Y",Table22[[#This Row],[include commodity in Summary_input_values_acute]]="Y"),"Y","N")</f>
        <v>N</v>
      </c>
      <c r="BG218" s="1299"/>
      <c r="BH218" s="1324"/>
    </row>
    <row r="219" spans="1:60" ht="12.75" customHeight="1" outlineLevel="1" x14ac:dyDescent="0.2">
      <c r="A219" s="130">
        <v>2</v>
      </c>
      <c r="B219" s="447">
        <v>401000</v>
      </c>
      <c r="C219" s="131" t="s">
        <v>141</v>
      </c>
      <c r="D219" s="862"/>
      <c r="E219" s="1218"/>
      <c r="F219" s="862"/>
      <c r="G219" s="866"/>
      <c r="H219" s="863"/>
      <c r="I219" s="863"/>
      <c r="J219" s="863"/>
      <c r="K219" s="865"/>
      <c r="L219" s="471"/>
      <c r="M219" s="471"/>
      <c r="N219" s="473"/>
      <c r="O219" s="474"/>
      <c r="P219" s="473"/>
      <c r="Q219" s="474"/>
      <c r="R219" s="473"/>
      <c r="S219" s="474"/>
      <c r="T219" s="886"/>
      <c r="U219" s="1415"/>
      <c r="V219" s="1380"/>
      <c r="W219" s="1381"/>
      <c r="X219" s="1381"/>
      <c r="Y219" s="1381"/>
      <c r="Z219" s="1382">
        <v>4</v>
      </c>
      <c r="AA219" s="1381" t="str">
        <f t="shared" si="124"/>
        <v/>
      </c>
      <c r="AB219" s="1381" t="str">
        <f>IF(Z219=A219,IF(AND(L219="N",Table22[[#This Row],[LOQ_label]]="Y"),AA219,$AA219*$Y219),"")</f>
        <v/>
      </c>
      <c r="AC219" s="1383" t="str">
        <f t="shared" si="125"/>
        <v/>
      </c>
      <c r="AD219" s="1383" t="str">
        <f>IF(Table22[[#This Row],[Median residue*CF*PeF]]&lt;&gt;"",Table22[[#This Row],[Median residue*CF*PeF]],Table22[[#This Row],[MRL*CF*PeF (chronic)]])</f>
        <v/>
      </c>
      <c r="AE219" s="1384">
        <f t="shared" si="126"/>
        <v>0</v>
      </c>
      <c r="AF219" s="1385" t="str">
        <f t="shared" si="127"/>
        <v/>
      </c>
      <c r="AG219" s="1385" t="str">
        <f t="shared" si="128"/>
        <v/>
      </c>
      <c r="AH219" s="1270" t="str">
        <f t="shared" si="129"/>
        <v/>
      </c>
      <c r="AI219" s="1386">
        <v>4</v>
      </c>
      <c r="AJ219" s="1387" t="str">
        <f t="shared" si="130"/>
        <v/>
      </c>
      <c r="AK219" s="1387" t="str">
        <f>IF(AI219=A219,IF(AND(L219="N",Table22[[#This Row],[LOQ_label]]="Y"),AJ219,$AJ219*$Y219),"")</f>
        <v/>
      </c>
      <c r="AL219" s="1388" t="str">
        <f t="shared" si="131"/>
        <v/>
      </c>
      <c r="AM219" s="1393" t="str">
        <f>IF(Table22[[#This Row],[Highest residue * CF*PF]]&lt;&gt;"",Table22[[#This Row],[Highest residue * CF*PF]],Table22[[#This Row],[MRL*CF*PF or MRL (if LOQ and not authorised) (acute RA)]])</f>
        <v/>
      </c>
      <c r="AN219" s="1390" t="str">
        <f t="shared" si="132"/>
        <v/>
      </c>
      <c r="AO219" s="1390" t="str">
        <f t="shared" si="133"/>
        <v/>
      </c>
      <c r="AP219" s="1404" t="str">
        <f t="shared" si="134"/>
        <v/>
      </c>
      <c r="AQ219" s="1388">
        <f t="shared" si="135"/>
        <v>0</v>
      </c>
      <c r="AR219" s="1388" t="str">
        <f t="shared" si="136"/>
        <v/>
      </c>
      <c r="AS219" s="1388" t="str">
        <f t="shared" si="137"/>
        <v/>
      </c>
      <c r="AT219" s="1388" t="str">
        <f t="shared" si="138"/>
        <v/>
      </c>
      <c r="AU219" s="1393" t="str">
        <f t="shared" si="139"/>
        <v/>
      </c>
      <c r="AV219" s="1388">
        <f t="shared" si="140"/>
        <v>0</v>
      </c>
      <c r="AW219" s="1390" t="str">
        <f t="shared" si="141"/>
        <v/>
      </c>
      <c r="AX219" s="1390" t="str">
        <f>IF(AND(AN219&lt;&gt;"",AY219&lt;&gt;""),"*","")</f>
        <v/>
      </c>
      <c r="AY219" s="1394" t="str">
        <f t="shared" si="142"/>
        <v/>
      </c>
      <c r="AZ219" s="1395">
        <f>IF(Table22[[#This Row],[LOQ_label]]="Y",Table22[[#This Row],[MRL individual commodity]],"")</f>
        <v>0</v>
      </c>
      <c r="BA219" s="1396" t="s">
        <v>1159</v>
      </c>
      <c r="BB219" s="1411" t="str">
        <f>IF(Table22[[#This Row],[LOQ2]]&lt;0,MIN(AZ219:AZ595),"")</f>
        <v/>
      </c>
      <c r="BC219" s="1299"/>
      <c r="BD219" s="1306" t="str">
        <f>IF(Table22[[#This Row],[Chronic RA label]]="","N",IF(Table22[[#This Row],[Chronic RA label]]="LOQ","N",IF(Table22[[#This Row],[Chronic RA label]]="MRL","N","Y")))</f>
        <v>N</v>
      </c>
      <c r="BE219" s="1306" t="str">
        <f>IF(Table22[[#This Row],[Acute RA label]]="","N",IF(Table22[[#This Row],[Acute RA label]]="LOQ","N",IF(Table22[[#This Row],[Acute RA label]]="MRL","N","Y")))</f>
        <v>N</v>
      </c>
      <c r="BF219" s="1306" t="str">
        <f>IF(OR(Table22[[#This Row],[include commodity in Summary_input_values_chronic]]="Y",Table22[[#This Row],[include commodity in Summary_input_values_acute]]="Y"),"Y","N")</f>
        <v>N</v>
      </c>
      <c r="BG219" s="1299"/>
      <c r="BH219" s="1324"/>
    </row>
    <row r="220" spans="1:60" ht="12.75" customHeight="1" outlineLevel="3" x14ac:dyDescent="0.2">
      <c r="A220" s="39">
        <v>4</v>
      </c>
      <c r="B220" s="327">
        <v>401010</v>
      </c>
      <c r="C220" s="23" t="s">
        <v>745</v>
      </c>
      <c r="D220" s="867"/>
      <c r="E220" s="1219"/>
      <c r="F220" s="867"/>
      <c r="G220" s="869"/>
      <c r="H220" s="863"/>
      <c r="I220" s="868"/>
      <c r="J220" s="870"/>
      <c r="K220" s="865"/>
      <c r="L220" s="872"/>
      <c r="M220" s="874"/>
      <c r="N220" s="925" t="str">
        <f>IF(O220&lt;&gt;0,CONCATENATE(input_values!$AF220,input_values!$AG220,input_values!$AH220),"")</f>
        <v/>
      </c>
      <c r="O220" s="491">
        <f>IF($A$10="Refined calculation mode",Table22[[#This Row],[input for chronic (refined mode]],Table22[[#This Row],[input for chronic normal mode]])</f>
        <v>0</v>
      </c>
      <c r="P220" s="925" t="str">
        <f>IF(Q220&lt;&gt;0,CONCATENATE(input_values!$AN220,input_values!$AO220,input_values!$AP220),"")</f>
        <v/>
      </c>
      <c r="Q220" s="491">
        <f>IF($V$5=0,0,IF(OR($A$10="Refined calculation mode",Results!$B$62="Show results of IESTI calculation only for crops with GAPs under assessment"),Table22[[#This Row],[Input for IESTI (refined mode)]],Table22[[#This Row],[Input for IESTI normal mode]]))</f>
        <v>0</v>
      </c>
      <c r="R220" s="926" t="str">
        <f>IF(S220&lt;&gt;0,CONCATENATE(input_values!$AW220,input_values!$AX220,input_values!$AY220),"")</f>
        <v/>
      </c>
      <c r="S220" s="492">
        <f>IF($V$5=0,0,IF(OR($A$10="Refined calculation mode",Results!$B$62="Show results of IESTI calculation only for crops with GAPs under assessment"),Table22[[#This Row],[Input for IESTI new (refined mode)]],Table22[[#This Row],[Input for IESTI new normal mode]]))</f>
        <v>0</v>
      </c>
      <c r="T220" s="886"/>
      <c r="U220" s="1408">
        <f>Table22[[#This Row],[MRL/ proposed MRL /CXL
(mg/kg)]]</f>
        <v>0</v>
      </c>
      <c r="V220" s="1409" t="str">
        <f t="shared" ref="V220:V235" si="143">IF(ISBLANK(F220),"","Y")</f>
        <v/>
      </c>
      <c r="W220" s="1387">
        <f t="shared" ref="W220:W235" si="144">IF($G220&gt;0,$G220,1)</f>
        <v>1</v>
      </c>
      <c r="X220" s="1387">
        <f t="shared" ref="X220:X235" si="145">IF($H220&gt;0,$H220,1)</f>
        <v>1</v>
      </c>
      <c r="Y220" s="1387">
        <f t="shared" ref="Y220:Y235" si="146">W220*X220</f>
        <v>1</v>
      </c>
      <c r="Z220" s="1410">
        <v>4</v>
      </c>
      <c r="AA220" s="1387">
        <f t="shared" si="124"/>
        <v>0</v>
      </c>
      <c r="AB220" s="1387">
        <f>IF(Z220=A220,IF(AND(L220="N",Table22[[#This Row],[LOQ_label]]="Y"),AA220,$AA220*$Y220),"")</f>
        <v>0</v>
      </c>
      <c r="AC220" s="1393">
        <f t="shared" si="125"/>
        <v>0</v>
      </c>
      <c r="AD220" s="1393">
        <f>IF(Table22[[#This Row],[Median residue*CF*PeF]]&lt;&gt;"",Table22[[#This Row],[Median residue*CF*PeF]],Table22[[#This Row],[MRL*CF*PeF (chronic)]])</f>
        <v>0</v>
      </c>
      <c r="AE220" s="1393">
        <f t="shared" si="126"/>
        <v>0</v>
      </c>
      <c r="AF220" s="1390" t="str">
        <f t="shared" si="127"/>
        <v>MRL</v>
      </c>
      <c r="AG220" s="1390" t="str">
        <f t="shared" si="128"/>
        <v/>
      </c>
      <c r="AH220" s="1394" t="str">
        <f t="shared" si="129"/>
        <v/>
      </c>
      <c r="AI220" s="1386">
        <v>4</v>
      </c>
      <c r="AJ220" s="1387">
        <f t="shared" si="130"/>
        <v>0</v>
      </c>
      <c r="AK220" s="1387">
        <f>IF(AI220=A220,IF(AND(L220="N",Table22[[#This Row],[LOQ_label]]="Y"),AJ220,$AJ220*$Y220),"")</f>
        <v>0</v>
      </c>
      <c r="AL220" s="1388">
        <f t="shared" si="131"/>
        <v>0</v>
      </c>
      <c r="AM220"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20" s="1451" t="str">
        <f>IF(AI220&lt;&gt;A220,"",IF(Table22[[#This Row],[Post-harvest treatment]]="",Table22[[#This Row],[label for chronic calculation]],IF(Table22[[#This Row],[Post-harvest treatment]]="N",Table22[[#This Row],[label for chronic calculation]],IF(Table22[[#This Row],[HR-RAC (highest residue)]]&gt;"","HR-RAC",IF(V220="Y","LOQ","MRL")))))</f>
        <v>MRL</v>
      </c>
      <c r="AO220" s="1390" t="str">
        <f t="shared" si="133"/>
        <v/>
      </c>
      <c r="AP220" s="1404" t="str">
        <f t="shared" si="134"/>
        <v/>
      </c>
      <c r="AQ220" s="1388">
        <f t="shared" si="135"/>
        <v>0</v>
      </c>
      <c r="AR220" s="1388" t="str">
        <f t="shared" si="136"/>
        <v/>
      </c>
      <c r="AS220" s="1388" t="str">
        <f t="shared" si="137"/>
        <v/>
      </c>
      <c r="AT220" s="1388" t="str">
        <f t="shared" si="138"/>
        <v/>
      </c>
      <c r="AU220" s="1393">
        <f t="shared" si="139"/>
        <v>0</v>
      </c>
      <c r="AV220" s="1388">
        <f t="shared" si="140"/>
        <v>0</v>
      </c>
      <c r="AW220" s="1390" t="str">
        <f>IF(OR(AI220&lt;&gt;A220,AJ220=0),"",IF(V220="Y","LOQ","MRL"))</f>
        <v/>
      </c>
      <c r="AX220" s="1390" t="str">
        <f t="shared" ref="AX220:AX234" si="147">IF(AND(AW220&lt;&gt;"",AY220&lt;&gt;""),"*","")</f>
        <v/>
      </c>
      <c r="AY220" s="1394" t="str">
        <f t="shared" si="142"/>
        <v/>
      </c>
      <c r="AZ220" s="1395" t="str">
        <f>IF(Table22[[#This Row],[LOQ_label]]="Y",Table22[[#This Row],[MRL individual commodity]],"")</f>
        <v/>
      </c>
      <c r="BA220" s="1422">
        <v>3</v>
      </c>
      <c r="BB220" s="1411" t="str">
        <f>IF(Table22[[#This Row],[LOQ2]]&lt;0,MIN(AZ220:AZ596),"")</f>
        <v/>
      </c>
      <c r="BC220" s="1299"/>
      <c r="BD220" s="1306" t="str">
        <f>IF(Table22[[#This Row],[Chronic RA label]]="","N",IF(Table22[[#This Row],[Chronic RA label]]="LOQ","N",IF(Table22[[#This Row],[Chronic RA label]]="MRL","N","Y")))</f>
        <v>N</v>
      </c>
      <c r="BE220" s="1306" t="str">
        <f>IF(Table22[[#This Row],[Acute RA label]]="","N",IF(Table22[[#This Row],[Acute RA label]]="LOQ","N",IF(Table22[[#This Row],[Acute RA label]]="MRL","N","Y")))</f>
        <v>N</v>
      </c>
      <c r="BF220" s="1306" t="str">
        <f>IF(OR(Table22[[#This Row],[include commodity in Summary_input_values_chronic]]="Y",Table22[[#This Row],[include commodity in Summary_input_values_acute]]="Y"),"Y","N")</f>
        <v>N</v>
      </c>
      <c r="BG220" s="1299"/>
      <c r="BH220" s="1324"/>
    </row>
    <row r="221" spans="1:60" ht="12.75" customHeight="1" outlineLevel="3" x14ac:dyDescent="0.2">
      <c r="A221" s="39">
        <v>4</v>
      </c>
      <c r="B221" s="327">
        <v>401020</v>
      </c>
      <c r="C221" s="23" t="s">
        <v>746</v>
      </c>
      <c r="D221" s="867"/>
      <c r="E221" s="1219"/>
      <c r="F221" s="867"/>
      <c r="G221" s="869"/>
      <c r="H221" s="863"/>
      <c r="I221" s="868"/>
      <c r="J221" s="870"/>
      <c r="K221" s="865"/>
      <c r="L221" s="872"/>
      <c r="M221" s="874"/>
      <c r="N221" s="925" t="str">
        <f>IF(O221&lt;&gt;0,CONCATENATE(input_values!$AF221,input_values!$AG221,input_values!$AH221),"")</f>
        <v/>
      </c>
      <c r="O221" s="491">
        <f>IF($A$10="Refined calculation mode",Table22[[#This Row],[input for chronic (refined mode]],Table22[[#This Row],[input for chronic normal mode]])</f>
        <v>0</v>
      </c>
      <c r="P221" s="925" t="str">
        <f>IF(Q221&lt;&gt;0,CONCATENATE(input_values!$AN221,input_values!$AO221,input_values!$AP221),"")</f>
        <v/>
      </c>
      <c r="Q221" s="491">
        <f>IF($V$5=0,0,IF(OR($A$10="Refined calculation mode",Results!$B$62="Show results of IESTI calculation only for crops with GAPs under assessment"),Table22[[#This Row],[Input for IESTI (refined mode)]],Table22[[#This Row],[Input for IESTI normal mode]]))</f>
        <v>0</v>
      </c>
      <c r="R221" s="926" t="str">
        <f>IF(S221&lt;&gt;0,CONCATENATE(input_values!$AW221,input_values!$AX221,input_values!$AY221),"")</f>
        <v/>
      </c>
      <c r="S221" s="492">
        <f>IF($V$5=0,0,IF(OR($A$10="Refined calculation mode",Results!$B$62="Show results of IESTI calculation only for crops with GAPs under assessment"),Table22[[#This Row],[Input for IESTI new (refined mode)]],Table22[[#This Row],[Input for IESTI new normal mode]]))</f>
        <v>0</v>
      </c>
      <c r="T221" s="886"/>
      <c r="U221" s="1408">
        <f>Table22[[#This Row],[MRL/ proposed MRL /CXL
(mg/kg)]]</f>
        <v>0</v>
      </c>
      <c r="V221" s="1409" t="str">
        <f t="shared" si="143"/>
        <v/>
      </c>
      <c r="W221" s="1387">
        <f t="shared" si="144"/>
        <v>1</v>
      </c>
      <c r="X221" s="1387">
        <f t="shared" si="145"/>
        <v>1</v>
      </c>
      <c r="Y221" s="1387">
        <f t="shared" si="146"/>
        <v>1</v>
      </c>
      <c r="Z221" s="1410">
        <v>4</v>
      </c>
      <c r="AA221" s="1387">
        <f t="shared" si="124"/>
        <v>0</v>
      </c>
      <c r="AB221" s="1387">
        <f>IF(Z221=A221,IF(AND(L221="N",Table22[[#This Row],[LOQ_label]]="Y"),AA221,$AA221*$Y221),"")</f>
        <v>0</v>
      </c>
      <c r="AC221" s="1393">
        <f t="shared" si="125"/>
        <v>0</v>
      </c>
      <c r="AD221" s="1393">
        <f>IF(Table22[[#This Row],[Median residue*CF*PeF]]&lt;&gt;"",Table22[[#This Row],[Median residue*CF*PeF]],Table22[[#This Row],[MRL*CF*PeF (chronic)]])</f>
        <v>0</v>
      </c>
      <c r="AE221" s="1393">
        <f t="shared" si="126"/>
        <v>0</v>
      </c>
      <c r="AF221" s="1390" t="str">
        <f t="shared" si="127"/>
        <v>MRL</v>
      </c>
      <c r="AG221" s="1390" t="str">
        <f t="shared" si="128"/>
        <v/>
      </c>
      <c r="AH221" s="1394" t="str">
        <f t="shared" si="129"/>
        <v/>
      </c>
      <c r="AI221" s="1386">
        <v>4</v>
      </c>
      <c r="AJ221" s="1387">
        <f t="shared" si="130"/>
        <v>0</v>
      </c>
      <c r="AK221" s="1387">
        <f>IF(AI221=A221,IF(AND(L221="N",Table22[[#This Row],[LOQ_label]]="Y"),AJ221,$AJ221*$Y221),"")</f>
        <v>0</v>
      </c>
      <c r="AL221" s="1388">
        <f t="shared" si="131"/>
        <v>0</v>
      </c>
      <c r="AM221"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21" s="1451" t="str">
        <f>IF(AI221&lt;&gt;A221,"",IF(Table22[[#This Row],[Post-harvest treatment]]="",Table22[[#This Row],[label for chronic calculation]],IF(Table22[[#This Row],[Post-harvest treatment]]="N",Table22[[#This Row],[label for chronic calculation]],IF(Table22[[#This Row],[HR-RAC (highest residue)]]&gt;"","HR-RAC",IF(V221="Y","LOQ","MRL")))))</f>
        <v>MRL</v>
      </c>
      <c r="AO221" s="1390" t="str">
        <f t="shared" si="133"/>
        <v/>
      </c>
      <c r="AP221" s="1404" t="str">
        <f t="shared" si="134"/>
        <v/>
      </c>
      <c r="AQ221" s="1388">
        <f t="shared" si="135"/>
        <v>0</v>
      </c>
      <c r="AR221" s="1388" t="str">
        <f t="shared" si="136"/>
        <v/>
      </c>
      <c r="AS221" s="1388" t="str">
        <f t="shared" si="137"/>
        <v/>
      </c>
      <c r="AT221" s="1388" t="str">
        <f t="shared" si="138"/>
        <v/>
      </c>
      <c r="AU221" s="1393">
        <f t="shared" si="139"/>
        <v>0</v>
      </c>
      <c r="AV221" s="1388">
        <f t="shared" si="140"/>
        <v>0</v>
      </c>
      <c r="AW221" s="1390" t="str">
        <f t="shared" si="141"/>
        <v/>
      </c>
      <c r="AX221" s="1390" t="str">
        <f t="shared" si="147"/>
        <v/>
      </c>
      <c r="AY221" s="1394" t="str">
        <f t="shared" si="142"/>
        <v/>
      </c>
      <c r="AZ221" s="1395" t="str">
        <f>IF(Table22[[#This Row],[LOQ_label]]="Y",Table22[[#This Row],[MRL individual commodity]],"")</f>
        <v/>
      </c>
      <c r="BA221" s="1422">
        <v>3</v>
      </c>
      <c r="BB221" s="1411" t="str">
        <f>IF(Table22[[#This Row],[LOQ2]]&lt;0,MIN(AZ221:AZ597),"")</f>
        <v/>
      </c>
      <c r="BC221" s="1299"/>
      <c r="BD221" s="1306" t="str">
        <f>IF(Table22[[#This Row],[Chronic RA label]]="","N",IF(Table22[[#This Row],[Chronic RA label]]="LOQ","N",IF(Table22[[#This Row],[Chronic RA label]]="MRL","N","Y")))</f>
        <v>N</v>
      </c>
      <c r="BE221" s="1306" t="str">
        <f>IF(Table22[[#This Row],[Acute RA label]]="","N",IF(Table22[[#This Row],[Acute RA label]]="LOQ","N",IF(Table22[[#This Row],[Acute RA label]]="MRL","N","Y")))</f>
        <v>N</v>
      </c>
      <c r="BF221" s="1306" t="str">
        <f>IF(OR(Table22[[#This Row],[include commodity in Summary_input_values_chronic]]="Y",Table22[[#This Row],[include commodity in Summary_input_values_acute]]="Y"),"Y","N")</f>
        <v>N</v>
      </c>
      <c r="BG221" s="1299"/>
      <c r="BH221" s="1324"/>
    </row>
    <row r="222" spans="1:60" ht="12.75" customHeight="1" outlineLevel="3" x14ac:dyDescent="0.2">
      <c r="A222" s="39">
        <v>4</v>
      </c>
      <c r="B222" s="327">
        <v>401030</v>
      </c>
      <c r="C222" s="23" t="s">
        <v>747</v>
      </c>
      <c r="D222" s="867"/>
      <c r="E222" s="1219"/>
      <c r="F222" s="867"/>
      <c r="G222" s="869"/>
      <c r="H222" s="863"/>
      <c r="I222" s="868"/>
      <c r="J222" s="870"/>
      <c r="K222" s="865"/>
      <c r="L222" s="872"/>
      <c r="M222" s="874"/>
      <c r="N222" s="925" t="str">
        <f>IF(O222&lt;&gt;0,CONCATENATE(input_values!$AF222,input_values!$AG222,input_values!$AH222),"")</f>
        <v/>
      </c>
      <c r="O222" s="491">
        <f>IF($A$10="Refined calculation mode",Table22[[#This Row],[input for chronic (refined mode]],Table22[[#This Row],[input for chronic normal mode]])</f>
        <v>0</v>
      </c>
      <c r="P222" s="925" t="str">
        <f>IF(Q222&lt;&gt;0,CONCATENATE(input_values!$AN222,input_values!$AO222,input_values!$AP222),"")</f>
        <v/>
      </c>
      <c r="Q222" s="491">
        <f>IF($V$5=0,0,IF(OR($A$10="Refined calculation mode",Results!$B$62="Show results of IESTI calculation only for crops with GAPs under assessment"),Table22[[#This Row],[Input for IESTI (refined mode)]],Table22[[#This Row],[Input for IESTI normal mode]]))</f>
        <v>0</v>
      </c>
      <c r="R222" s="926" t="str">
        <f>IF(S222&lt;&gt;0,CONCATENATE(input_values!$AW222,input_values!$AX222,input_values!$AY222),"")</f>
        <v/>
      </c>
      <c r="S222" s="492">
        <f>IF($V$5=0,0,IF(OR($A$10="Refined calculation mode",Results!$B$62="Show results of IESTI calculation only for crops with GAPs under assessment"),Table22[[#This Row],[Input for IESTI new (refined mode)]],Table22[[#This Row],[Input for IESTI new normal mode]]))</f>
        <v>0</v>
      </c>
      <c r="T222" s="886"/>
      <c r="U222" s="1408">
        <f>Table22[[#This Row],[MRL/ proposed MRL /CXL
(mg/kg)]]</f>
        <v>0</v>
      </c>
      <c r="V222" s="1409" t="str">
        <f t="shared" si="143"/>
        <v/>
      </c>
      <c r="W222" s="1387">
        <f t="shared" si="144"/>
        <v>1</v>
      </c>
      <c r="X222" s="1387">
        <f t="shared" si="145"/>
        <v>1</v>
      </c>
      <c r="Y222" s="1387">
        <f t="shared" si="146"/>
        <v>1</v>
      </c>
      <c r="Z222" s="1410">
        <v>4</v>
      </c>
      <c r="AA222" s="1387">
        <f t="shared" si="124"/>
        <v>0</v>
      </c>
      <c r="AB222" s="1387">
        <f>IF(Z222=A222,IF(AND(L222="N",Table22[[#This Row],[LOQ_label]]="Y"),AA222,$AA222*$Y222),"")</f>
        <v>0</v>
      </c>
      <c r="AC222" s="1393">
        <f t="shared" si="125"/>
        <v>0</v>
      </c>
      <c r="AD222" s="1393">
        <f>IF(Table22[[#This Row],[Median residue*CF*PeF]]&lt;&gt;"",Table22[[#This Row],[Median residue*CF*PeF]],Table22[[#This Row],[MRL*CF*PeF (chronic)]])</f>
        <v>0</v>
      </c>
      <c r="AE222" s="1393">
        <f t="shared" si="126"/>
        <v>0</v>
      </c>
      <c r="AF222" s="1390" t="str">
        <f t="shared" si="127"/>
        <v>MRL</v>
      </c>
      <c r="AG222" s="1390" t="str">
        <f t="shared" si="128"/>
        <v/>
      </c>
      <c r="AH222" s="1394" t="str">
        <f t="shared" si="129"/>
        <v/>
      </c>
      <c r="AI222" s="1386">
        <v>4</v>
      </c>
      <c r="AJ222" s="1387">
        <f t="shared" si="130"/>
        <v>0</v>
      </c>
      <c r="AK222" s="1387">
        <f>IF(AI222=A222,IF(AND(L222="N",Table22[[#This Row],[LOQ_label]]="Y"),AJ222,$AJ222*$Y222),"")</f>
        <v>0</v>
      </c>
      <c r="AL222" s="1388">
        <f t="shared" si="131"/>
        <v>0</v>
      </c>
      <c r="AM222"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22" s="1451" t="str">
        <f>IF(AI222&lt;&gt;A222,"",IF(Table22[[#This Row],[Post-harvest treatment]]="",Table22[[#This Row],[label for chronic calculation]],IF(Table22[[#This Row],[Post-harvest treatment]]="N",Table22[[#This Row],[label for chronic calculation]],IF(Table22[[#This Row],[HR-RAC (highest residue)]]&gt;"","HR-RAC",IF(V222="Y","LOQ","MRL")))))</f>
        <v>MRL</v>
      </c>
      <c r="AO222" s="1390" t="str">
        <f t="shared" si="133"/>
        <v/>
      </c>
      <c r="AP222" s="1404" t="str">
        <f t="shared" si="134"/>
        <v/>
      </c>
      <c r="AQ222" s="1388">
        <f t="shared" si="135"/>
        <v>0</v>
      </c>
      <c r="AR222" s="1388" t="str">
        <f t="shared" si="136"/>
        <v/>
      </c>
      <c r="AS222" s="1388" t="str">
        <f t="shared" si="137"/>
        <v/>
      </c>
      <c r="AT222" s="1388" t="str">
        <f t="shared" si="138"/>
        <v/>
      </c>
      <c r="AU222" s="1393">
        <f t="shared" si="139"/>
        <v>0</v>
      </c>
      <c r="AV222" s="1388">
        <f t="shared" si="140"/>
        <v>0</v>
      </c>
      <c r="AW222" s="1390" t="str">
        <f t="shared" si="141"/>
        <v/>
      </c>
      <c r="AX222" s="1390" t="str">
        <f t="shared" si="147"/>
        <v/>
      </c>
      <c r="AY222" s="1394" t="str">
        <f t="shared" si="142"/>
        <v/>
      </c>
      <c r="AZ222" s="1395" t="str">
        <f>IF(Table22[[#This Row],[LOQ_label]]="Y",Table22[[#This Row],[MRL individual commodity]],"")</f>
        <v/>
      </c>
      <c r="BA222" s="1422">
        <v>3</v>
      </c>
      <c r="BB222" s="1411" t="str">
        <f>IF(Table22[[#This Row],[LOQ2]]&lt;0,MIN(AZ222:AZ598),"")</f>
        <v/>
      </c>
      <c r="BC222" s="1299"/>
      <c r="BD222" s="1306" t="str">
        <f>IF(Table22[[#This Row],[Chronic RA label]]="","N",IF(Table22[[#This Row],[Chronic RA label]]="LOQ","N",IF(Table22[[#This Row],[Chronic RA label]]="MRL","N","Y")))</f>
        <v>N</v>
      </c>
      <c r="BE222" s="1306" t="str">
        <f>IF(Table22[[#This Row],[Acute RA label]]="","N",IF(Table22[[#This Row],[Acute RA label]]="LOQ","N",IF(Table22[[#This Row],[Acute RA label]]="MRL","N","Y")))</f>
        <v>N</v>
      </c>
      <c r="BF222" s="1306" t="str">
        <f>IF(OR(Table22[[#This Row],[include commodity in Summary_input_values_chronic]]="Y",Table22[[#This Row],[include commodity in Summary_input_values_acute]]="Y"),"Y","N")</f>
        <v>N</v>
      </c>
      <c r="BG222" s="1299"/>
      <c r="BH222" s="1324"/>
    </row>
    <row r="223" spans="1:60" ht="12.75" customHeight="1" outlineLevel="3" x14ac:dyDescent="0.2">
      <c r="A223" s="39">
        <v>4</v>
      </c>
      <c r="B223" s="327">
        <v>401040</v>
      </c>
      <c r="C223" s="23" t="s">
        <v>748</v>
      </c>
      <c r="D223" s="867"/>
      <c r="E223" s="1219"/>
      <c r="F223" s="867"/>
      <c r="G223" s="869"/>
      <c r="H223" s="863"/>
      <c r="I223" s="868"/>
      <c r="J223" s="870"/>
      <c r="K223" s="865"/>
      <c r="L223" s="872"/>
      <c r="M223" s="874"/>
      <c r="N223" s="925" t="str">
        <f>IF(O223&lt;&gt;0,CONCATENATE(input_values!$AF223,input_values!$AG223,input_values!$AH223),"")</f>
        <v/>
      </c>
      <c r="O223" s="491">
        <f>IF($A$10="Refined calculation mode",Table22[[#This Row],[input for chronic (refined mode]],Table22[[#This Row],[input for chronic normal mode]])</f>
        <v>0</v>
      </c>
      <c r="P223" s="925" t="str">
        <f>IF(Q223&lt;&gt;0,CONCATENATE(input_values!$AN223,input_values!$AO223,input_values!$AP223),"")</f>
        <v/>
      </c>
      <c r="Q223" s="491">
        <f>IF($V$5=0,0,IF(OR($A$10="Refined calculation mode",Results!$B$62="Show results of IESTI calculation only for crops with GAPs under assessment"),Table22[[#This Row],[Input for IESTI (refined mode)]],Table22[[#This Row],[Input for IESTI normal mode]]))</f>
        <v>0</v>
      </c>
      <c r="R223" s="926" t="str">
        <f>IF(S223&lt;&gt;0,CONCATENATE(input_values!$AW223,input_values!$AX223,input_values!$AY223),"")</f>
        <v/>
      </c>
      <c r="S223" s="492">
        <f>IF($V$5=0,0,IF(OR($A$10="Refined calculation mode",Results!$B$62="Show results of IESTI calculation only for crops with GAPs under assessment"),Table22[[#This Row],[Input for IESTI new (refined mode)]],Table22[[#This Row],[Input for IESTI new normal mode]]))</f>
        <v>0</v>
      </c>
      <c r="T223" s="886"/>
      <c r="U223" s="1408">
        <f>Table22[[#This Row],[MRL/ proposed MRL /CXL
(mg/kg)]]</f>
        <v>0</v>
      </c>
      <c r="V223" s="1409" t="str">
        <f t="shared" si="143"/>
        <v/>
      </c>
      <c r="W223" s="1387">
        <f t="shared" si="144"/>
        <v>1</v>
      </c>
      <c r="X223" s="1387">
        <f t="shared" si="145"/>
        <v>1</v>
      </c>
      <c r="Y223" s="1387">
        <f t="shared" si="146"/>
        <v>1</v>
      </c>
      <c r="Z223" s="1410">
        <v>4</v>
      </c>
      <c r="AA223" s="1387">
        <f t="shared" si="124"/>
        <v>0</v>
      </c>
      <c r="AB223" s="1387">
        <f>IF(Z223=A223,IF(AND(L223="N",Table22[[#This Row],[LOQ_label]]="Y"),AA223,$AA223*$Y223),"")</f>
        <v>0</v>
      </c>
      <c r="AC223" s="1393">
        <f t="shared" si="125"/>
        <v>0</v>
      </c>
      <c r="AD223" s="1393">
        <f>IF(Table22[[#This Row],[Median residue*CF*PeF]]&lt;&gt;"",Table22[[#This Row],[Median residue*CF*PeF]],Table22[[#This Row],[MRL*CF*PeF (chronic)]])</f>
        <v>0</v>
      </c>
      <c r="AE223" s="1393">
        <f t="shared" si="126"/>
        <v>0</v>
      </c>
      <c r="AF223" s="1390" t="str">
        <f t="shared" si="127"/>
        <v>MRL</v>
      </c>
      <c r="AG223" s="1390" t="str">
        <f t="shared" si="128"/>
        <v/>
      </c>
      <c r="AH223" s="1394" t="str">
        <f t="shared" si="129"/>
        <v/>
      </c>
      <c r="AI223" s="1386">
        <v>4</v>
      </c>
      <c r="AJ223" s="1387">
        <f t="shared" si="130"/>
        <v>0</v>
      </c>
      <c r="AK223" s="1387">
        <f>IF(AI223=A223,IF(AND(L223="N",Table22[[#This Row],[LOQ_label]]="Y"),AJ223,$AJ223*$Y223),"")</f>
        <v>0</v>
      </c>
      <c r="AL223" s="1388">
        <f t="shared" si="131"/>
        <v>0</v>
      </c>
      <c r="AM223"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23" s="1451" t="str">
        <f>IF(AI223&lt;&gt;A223,"",IF(Table22[[#This Row],[Post-harvest treatment]]="",Table22[[#This Row],[label for chronic calculation]],IF(Table22[[#This Row],[Post-harvest treatment]]="N",Table22[[#This Row],[label for chronic calculation]],IF(Table22[[#This Row],[HR-RAC (highest residue)]]&gt;"","HR-RAC",IF(V223="Y","LOQ","MRL")))))</f>
        <v>MRL</v>
      </c>
      <c r="AO223" s="1390" t="str">
        <f t="shared" si="133"/>
        <v/>
      </c>
      <c r="AP223" s="1404" t="str">
        <f t="shared" si="134"/>
        <v/>
      </c>
      <c r="AQ223" s="1388">
        <f t="shared" si="135"/>
        <v>0</v>
      </c>
      <c r="AR223" s="1388" t="str">
        <f t="shared" si="136"/>
        <v/>
      </c>
      <c r="AS223" s="1388" t="str">
        <f t="shared" si="137"/>
        <v/>
      </c>
      <c r="AT223" s="1388" t="str">
        <f t="shared" si="138"/>
        <v/>
      </c>
      <c r="AU223" s="1393">
        <f t="shared" si="139"/>
        <v>0</v>
      </c>
      <c r="AV223" s="1388">
        <f t="shared" si="140"/>
        <v>0</v>
      </c>
      <c r="AW223" s="1390" t="str">
        <f t="shared" si="141"/>
        <v/>
      </c>
      <c r="AX223" s="1390" t="str">
        <f t="shared" si="147"/>
        <v/>
      </c>
      <c r="AY223" s="1394" t="str">
        <f t="shared" si="142"/>
        <v/>
      </c>
      <c r="AZ223" s="1395" t="str">
        <f>IF(Table22[[#This Row],[LOQ_label]]="Y",Table22[[#This Row],[MRL individual commodity]],"")</f>
        <v/>
      </c>
      <c r="BA223" s="1422">
        <v>3</v>
      </c>
      <c r="BB223" s="1411" t="str">
        <f>IF(Table22[[#This Row],[LOQ2]]&lt;0,MIN(AZ223:AZ599),"")</f>
        <v/>
      </c>
      <c r="BC223" s="1299"/>
      <c r="BD223" s="1306" t="str">
        <f>IF(Table22[[#This Row],[Chronic RA label]]="","N",IF(Table22[[#This Row],[Chronic RA label]]="LOQ","N",IF(Table22[[#This Row],[Chronic RA label]]="MRL","N","Y")))</f>
        <v>N</v>
      </c>
      <c r="BE223" s="1306" t="str">
        <f>IF(Table22[[#This Row],[Acute RA label]]="","N",IF(Table22[[#This Row],[Acute RA label]]="LOQ","N",IF(Table22[[#This Row],[Acute RA label]]="MRL","N","Y")))</f>
        <v>N</v>
      </c>
      <c r="BF223" s="1306" t="str">
        <f>IF(OR(Table22[[#This Row],[include commodity in Summary_input_values_chronic]]="Y",Table22[[#This Row],[include commodity in Summary_input_values_acute]]="Y"),"Y","N")</f>
        <v>N</v>
      </c>
      <c r="BG223" s="1299"/>
      <c r="BH223" s="1324"/>
    </row>
    <row r="224" spans="1:60" ht="12.75" customHeight="1" outlineLevel="3" x14ac:dyDescent="0.2">
      <c r="A224" s="39">
        <v>4</v>
      </c>
      <c r="B224" s="327">
        <v>401050</v>
      </c>
      <c r="C224" s="23" t="s">
        <v>749</v>
      </c>
      <c r="D224" s="867"/>
      <c r="E224" s="1219"/>
      <c r="F224" s="867"/>
      <c r="G224" s="869"/>
      <c r="H224" s="863"/>
      <c r="I224" s="868"/>
      <c r="J224" s="870"/>
      <c r="K224" s="865"/>
      <c r="L224" s="872"/>
      <c r="M224" s="874"/>
      <c r="N224" s="925" t="str">
        <f>IF(O224&lt;&gt;0,CONCATENATE(input_values!$AF224,input_values!$AG224,input_values!$AH224),"")</f>
        <v/>
      </c>
      <c r="O224" s="491">
        <f>IF($A$10="Refined calculation mode",Table22[[#This Row],[input for chronic (refined mode]],Table22[[#This Row],[input for chronic normal mode]])</f>
        <v>0</v>
      </c>
      <c r="P224" s="925" t="str">
        <f>IF(Q224&lt;&gt;0,CONCATENATE(input_values!$AN224,input_values!$AO224,input_values!$AP224),"")</f>
        <v/>
      </c>
      <c r="Q224" s="491">
        <f>IF($V$5=0,0,IF(OR($A$10="Refined calculation mode",Results!$B$62="Show results of IESTI calculation only for crops with GAPs under assessment"),Table22[[#This Row],[Input for IESTI (refined mode)]],Table22[[#This Row],[Input for IESTI normal mode]]))</f>
        <v>0</v>
      </c>
      <c r="R224" s="926" t="str">
        <f>IF(S224&lt;&gt;0,CONCATENATE(input_values!$AW224,input_values!$AX224,input_values!$AY224),"")</f>
        <v/>
      </c>
      <c r="S224" s="492">
        <f>IF($V$5=0,0,IF(OR($A$10="Refined calculation mode",Results!$B$62="Show results of IESTI calculation only for crops with GAPs under assessment"),Table22[[#This Row],[Input for IESTI new (refined mode)]],Table22[[#This Row],[Input for IESTI new normal mode]]))</f>
        <v>0</v>
      </c>
      <c r="T224" s="886"/>
      <c r="U224" s="1408">
        <f>Table22[[#This Row],[MRL/ proposed MRL /CXL
(mg/kg)]]</f>
        <v>0</v>
      </c>
      <c r="V224" s="1409" t="str">
        <f t="shared" si="143"/>
        <v/>
      </c>
      <c r="W224" s="1387">
        <f t="shared" si="144"/>
        <v>1</v>
      </c>
      <c r="X224" s="1387">
        <f t="shared" si="145"/>
        <v>1</v>
      </c>
      <c r="Y224" s="1387">
        <f t="shared" si="146"/>
        <v>1</v>
      </c>
      <c r="Z224" s="1410">
        <v>4</v>
      </c>
      <c r="AA224" s="1387">
        <f t="shared" si="124"/>
        <v>0</v>
      </c>
      <c r="AB224" s="1387">
        <f>IF(Z224=A224,IF(AND(L224="N",Table22[[#This Row],[LOQ_label]]="Y"),AA224,$AA224*$Y224),"")</f>
        <v>0</v>
      </c>
      <c r="AC224" s="1393">
        <f t="shared" si="125"/>
        <v>0</v>
      </c>
      <c r="AD224" s="1393">
        <f>IF(Table22[[#This Row],[Median residue*CF*PeF]]&lt;&gt;"",Table22[[#This Row],[Median residue*CF*PeF]],Table22[[#This Row],[MRL*CF*PeF (chronic)]])</f>
        <v>0</v>
      </c>
      <c r="AE224" s="1393">
        <f t="shared" si="126"/>
        <v>0</v>
      </c>
      <c r="AF224" s="1390" t="str">
        <f t="shared" si="127"/>
        <v>MRL</v>
      </c>
      <c r="AG224" s="1390" t="str">
        <f t="shared" si="128"/>
        <v/>
      </c>
      <c r="AH224" s="1394" t="str">
        <f t="shared" si="129"/>
        <v/>
      </c>
      <c r="AI224" s="1386">
        <v>4</v>
      </c>
      <c r="AJ224" s="1387">
        <f t="shared" si="130"/>
        <v>0</v>
      </c>
      <c r="AK224" s="1387">
        <f>IF(AI224=A224,IF(AND(L224="N",Table22[[#This Row],[LOQ_label]]="Y"),AJ224,$AJ224*$Y224),"")</f>
        <v>0</v>
      </c>
      <c r="AL224" s="1388">
        <f t="shared" si="131"/>
        <v>0</v>
      </c>
      <c r="AM224"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24" s="1451" t="str">
        <f>IF(AI224&lt;&gt;A224,"",IF(Table22[[#This Row],[Post-harvest treatment]]="",Table22[[#This Row],[label for chronic calculation]],IF(Table22[[#This Row],[Post-harvest treatment]]="N",Table22[[#This Row],[label for chronic calculation]],IF(Table22[[#This Row],[HR-RAC (highest residue)]]&gt;"","HR-RAC",IF(V224="Y","LOQ","MRL")))))</f>
        <v>MRL</v>
      </c>
      <c r="AO224" s="1390" t="str">
        <f t="shared" si="133"/>
        <v/>
      </c>
      <c r="AP224" s="1404" t="str">
        <f t="shared" si="134"/>
        <v/>
      </c>
      <c r="AQ224" s="1388">
        <f t="shared" si="135"/>
        <v>0</v>
      </c>
      <c r="AR224" s="1388" t="str">
        <f t="shared" si="136"/>
        <v/>
      </c>
      <c r="AS224" s="1388" t="str">
        <f t="shared" si="137"/>
        <v/>
      </c>
      <c r="AT224" s="1388" t="str">
        <f t="shared" si="138"/>
        <v/>
      </c>
      <c r="AU224" s="1393">
        <f t="shared" si="139"/>
        <v>0</v>
      </c>
      <c r="AV224" s="1388">
        <f t="shared" si="140"/>
        <v>0</v>
      </c>
      <c r="AW224" s="1390" t="str">
        <f t="shared" si="141"/>
        <v/>
      </c>
      <c r="AX224" s="1390" t="str">
        <f t="shared" si="147"/>
        <v/>
      </c>
      <c r="AY224" s="1394" t="str">
        <f t="shared" si="142"/>
        <v/>
      </c>
      <c r="AZ224" s="1395" t="str">
        <f>IF(Table22[[#This Row],[LOQ_label]]="Y",Table22[[#This Row],[MRL individual commodity]],"")</f>
        <v/>
      </c>
      <c r="BA224" s="1422">
        <v>3</v>
      </c>
      <c r="BB224" s="1411" t="str">
        <f>IF(Table22[[#This Row],[LOQ2]]&lt;0,MIN(AZ224:AZ600),"")</f>
        <v/>
      </c>
      <c r="BC224" s="1299"/>
      <c r="BD224" s="1306" t="str">
        <f>IF(Table22[[#This Row],[Chronic RA label]]="","N",IF(Table22[[#This Row],[Chronic RA label]]="LOQ","N",IF(Table22[[#This Row],[Chronic RA label]]="MRL","N","Y")))</f>
        <v>N</v>
      </c>
      <c r="BE224" s="1306" t="str">
        <f>IF(Table22[[#This Row],[Acute RA label]]="","N",IF(Table22[[#This Row],[Acute RA label]]="LOQ","N",IF(Table22[[#This Row],[Acute RA label]]="MRL","N","Y")))</f>
        <v>N</v>
      </c>
      <c r="BF224" s="1306" t="str">
        <f>IF(OR(Table22[[#This Row],[include commodity in Summary_input_values_chronic]]="Y",Table22[[#This Row],[include commodity in Summary_input_values_acute]]="Y"),"Y","N")</f>
        <v>N</v>
      </c>
      <c r="BG224" s="1299"/>
      <c r="BH224" s="1324"/>
    </row>
    <row r="225" spans="1:60" ht="12.75" customHeight="1" outlineLevel="3" x14ac:dyDescent="0.2">
      <c r="A225" s="39">
        <v>4</v>
      </c>
      <c r="B225" s="327">
        <v>401060</v>
      </c>
      <c r="C225" s="23" t="s">
        <v>750</v>
      </c>
      <c r="D225" s="867"/>
      <c r="E225" s="1219"/>
      <c r="F225" s="867"/>
      <c r="G225" s="869"/>
      <c r="H225" s="863"/>
      <c r="I225" s="868"/>
      <c r="J225" s="870"/>
      <c r="K225" s="865"/>
      <c r="L225" s="872"/>
      <c r="M225" s="874"/>
      <c r="N225" s="925" t="str">
        <f>IF(O225&lt;&gt;0,CONCATENATE(input_values!$AF225,input_values!$AG225,input_values!$AH225),"")</f>
        <v/>
      </c>
      <c r="O225" s="491">
        <f>IF($A$10="Refined calculation mode",Table22[[#This Row],[input for chronic (refined mode]],Table22[[#This Row],[input for chronic normal mode]])</f>
        <v>0</v>
      </c>
      <c r="P225" s="925" t="str">
        <f>IF(Q225&lt;&gt;0,CONCATENATE(input_values!$AN225,input_values!$AO225,input_values!$AP225),"")</f>
        <v/>
      </c>
      <c r="Q225" s="491">
        <f>IF($V$5=0,0,IF(OR($A$10="Refined calculation mode",Results!$B$62="Show results of IESTI calculation only for crops with GAPs under assessment"),Table22[[#This Row],[Input for IESTI (refined mode)]],Table22[[#This Row],[Input for IESTI normal mode]]))</f>
        <v>0</v>
      </c>
      <c r="R225" s="926" t="str">
        <f>IF(S225&lt;&gt;0,CONCATENATE(input_values!$AW225,input_values!$AX225,input_values!$AY225),"")</f>
        <v/>
      </c>
      <c r="S225" s="492">
        <f>IF($V$5=0,0,IF(OR($A$10="Refined calculation mode",Results!$B$62="Show results of IESTI calculation only for crops with GAPs under assessment"),Table22[[#This Row],[Input for IESTI new (refined mode)]],Table22[[#This Row],[Input for IESTI new normal mode]]))</f>
        <v>0</v>
      </c>
      <c r="T225" s="886"/>
      <c r="U225" s="1408">
        <f>Table22[[#This Row],[MRL/ proposed MRL /CXL
(mg/kg)]]</f>
        <v>0</v>
      </c>
      <c r="V225" s="1409" t="str">
        <f t="shared" si="143"/>
        <v/>
      </c>
      <c r="W225" s="1387">
        <f t="shared" si="144"/>
        <v>1</v>
      </c>
      <c r="X225" s="1387">
        <f t="shared" si="145"/>
        <v>1</v>
      </c>
      <c r="Y225" s="1387">
        <f t="shared" si="146"/>
        <v>1</v>
      </c>
      <c r="Z225" s="1410">
        <v>4</v>
      </c>
      <c r="AA225" s="1387">
        <f t="shared" si="124"/>
        <v>0</v>
      </c>
      <c r="AB225" s="1387">
        <f>IF(Z225=A225,IF(AND(L225="N",Table22[[#This Row],[LOQ_label]]="Y"),AA225,$AA225*$Y225),"")</f>
        <v>0</v>
      </c>
      <c r="AC225" s="1393">
        <f t="shared" si="125"/>
        <v>0</v>
      </c>
      <c r="AD225" s="1393">
        <f>IF(Table22[[#This Row],[Median residue*CF*PeF]]&lt;&gt;"",Table22[[#This Row],[Median residue*CF*PeF]],Table22[[#This Row],[MRL*CF*PeF (chronic)]])</f>
        <v>0</v>
      </c>
      <c r="AE225" s="1393">
        <f t="shared" si="126"/>
        <v>0</v>
      </c>
      <c r="AF225" s="1390" t="str">
        <f t="shared" si="127"/>
        <v>MRL</v>
      </c>
      <c r="AG225" s="1390" t="str">
        <f t="shared" si="128"/>
        <v/>
      </c>
      <c r="AH225" s="1394" t="str">
        <f t="shared" si="129"/>
        <v/>
      </c>
      <c r="AI225" s="1386">
        <v>4</v>
      </c>
      <c r="AJ225" s="1387">
        <f t="shared" si="130"/>
        <v>0</v>
      </c>
      <c r="AK225" s="1387">
        <f>IF(AI225=A225,IF(AND(L225="N",Table22[[#This Row],[LOQ_label]]="Y"),AJ225,$AJ225*$Y225),"")</f>
        <v>0</v>
      </c>
      <c r="AL225" s="1388">
        <f t="shared" si="131"/>
        <v>0</v>
      </c>
      <c r="AM225"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25" s="1451" t="str">
        <f>IF(AI225&lt;&gt;A225,"",IF(Table22[[#This Row],[Post-harvest treatment]]="",Table22[[#This Row],[label for chronic calculation]],IF(Table22[[#This Row],[Post-harvest treatment]]="N",Table22[[#This Row],[label for chronic calculation]],IF(Table22[[#This Row],[HR-RAC (highest residue)]]&gt;"","HR-RAC",IF(V225="Y","LOQ","MRL")))))</f>
        <v>MRL</v>
      </c>
      <c r="AO225" s="1390" t="str">
        <f t="shared" si="133"/>
        <v/>
      </c>
      <c r="AP225" s="1404" t="str">
        <f t="shared" si="134"/>
        <v/>
      </c>
      <c r="AQ225" s="1388">
        <f t="shared" si="135"/>
        <v>0</v>
      </c>
      <c r="AR225" s="1388" t="str">
        <f t="shared" si="136"/>
        <v/>
      </c>
      <c r="AS225" s="1388" t="str">
        <f t="shared" si="137"/>
        <v/>
      </c>
      <c r="AT225" s="1388" t="str">
        <f t="shared" si="138"/>
        <v/>
      </c>
      <c r="AU225" s="1393">
        <f t="shared" si="139"/>
        <v>0</v>
      </c>
      <c r="AV225" s="1388">
        <f t="shared" si="140"/>
        <v>0</v>
      </c>
      <c r="AW225" s="1390" t="str">
        <f t="shared" si="141"/>
        <v/>
      </c>
      <c r="AX225" s="1390" t="str">
        <f t="shared" si="147"/>
        <v/>
      </c>
      <c r="AY225" s="1394" t="str">
        <f t="shared" si="142"/>
        <v/>
      </c>
      <c r="AZ225" s="1395" t="str">
        <f>IF(Table22[[#This Row],[LOQ_label]]="Y",Table22[[#This Row],[MRL individual commodity]],"")</f>
        <v/>
      </c>
      <c r="BA225" s="1422">
        <v>3</v>
      </c>
      <c r="BB225" s="1411" t="str">
        <f>IF(Table22[[#This Row],[LOQ2]]&lt;0,MIN(AZ225:AZ601),"")</f>
        <v/>
      </c>
      <c r="BC225" s="1299"/>
      <c r="BD225" s="1306" t="str">
        <f>IF(Table22[[#This Row],[Chronic RA label]]="","N",IF(Table22[[#This Row],[Chronic RA label]]="LOQ","N",IF(Table22[[#This Row],[Chronic RA label]]="MRL","N","Y")))</f>
        <v>N</v>
      </c>
      <c r="BE225" s="1306" t="str">
        <f>IF(Table22[[#This Row],[Acute RA label]]="","N",IF(Table22[[#This Row],[Acute RA label]]="LOQ","N",IF(Table22[[#This Row],[Acute RA label]]="MRL","N","Y")))</f>
        <v>N</v>
      </c>
      <c r="BF225" s="1306" t="str">
        <f>IF(OR(Table22[[#This Row],[include commodity in Summary_input_values_chronic]]="Y",Table22[[#This Row],[include commodity in Summary_input_values_acute]]="Y"),"Y","N")</f>
        <v>N</v>
      </c>
      <c r="BG225" s="1299"/>
      <c r="BH225" s="1324"/>
    </row>
    <row r="226" spans="1:60" ht="12.75" customHeight="1" outlineLevel="3" x14ac:dyDescent="0.2">
      <c r="A226" s="39">
        <v>4</v>
      </c>
      <c r="B226" s="327">
        <v>401070</v>
      </c>
      <c r="C226" s="23" t="s">
        <v>751</v>
      </c>
      <c r="D226" s="867"/>
      <c r="E226" s="1219"/>
      <c r="F226" s="867"/>
      <c r="G226" s="869"/>
      <c r="H226" s="863"/>
      <c r="I226" s="868"/>
      <c r="J226" s="870"/>
      <c r="K226" s="865"/>
      <c r="L226" s="872"/>
      <c r="M226" s="874"/>
      <c r="N226" s="925" t="str">
        <f>IF(O226&lt;&gt;0,CONCATENATE(input_values!$AF226,input_values!$AG226,input_values!$AH226),"")</f>
        <v/>
      </c>
      <c r="O226" s="491">
        <f>IF($A$10="Refined calculation mode",Table22[[#This Row],[input for chronic (refined mode]],Table22[[#This Row],[input for chronic normal mode]])</f>
        <v>0</v>
      </c>
      <c r="P226" s="925" t="str">
        <f>IF(Q226&lt;&gt;0,CONCATENATE(input_values!$AN226,input_values!$AO226,input_values!$AP226),"")</f>
        <v/>
      </c>
      <c r="Q226" s="491">
        <f>IF($V$5=0,0,IF(OR($A$10="Refined calculation mode",Results!$B$62="Show results of IESTI calculation only for crops with GAPs under assessment"),Table22[[#This Row],[Input for IESTI (refined mode)]],Table22[[#This Row],[Input for IESTI normal mode]]))</f>
        <v>0</v>
      </c>
      <c r="R226" s="926" t="str">
        <f>IF(S226&lt;&gt;0,CONCATENATE(input_values!$AW226,input_values!$AX226,input_values!$AY226),"")</f>
        <v/>
      </c>
      <c r="S226" s="492">
        <f>IF($V$5=0,0,IF(OR($A$10="Refined calculation mode",Results!$B$62="Show results of IESTI calculation only for crops with GAPs under assessment"),Table22[[#This Row],[Input for IESTI new (refined mode)]],Table22[[#This Row],[Input for IESTI new normal mode]]))</f>
        <v>0</v>
      </c>
      <c r="T226" s="886"/>
      <c r="U226" s="1408">
        <f>Table22[[#This Row],[MRL/ proposed MRL /CXL
(mg/kg)]]</f>
        <v>0</v>
      </c>
      <c r="V226" s="1409" t="str">
        <f t="shared" si="143"/>
        <v/>
      </c>
      <c r="W226" s="1387">
        <f t="shared" si="144"/>
        <v>1</v>
      </c>
      <c r="X226" s="1387">
        <f t="shared" si="145"/>
        <v>1</v>
      </c>
      <c r="Y226" s="1387">
        <f t="shared" si="146"/>
        <v>1</v>
      </c>
      <c r="Z226" s="1410">
        <v>4</v>
      </c>
      <c r="AA226" s="1387">
        <f t="shared" si="124"/>
        <v>0</v>
      </c>
      <c r="AB226" s="1387">
        <f>IF(Z226=A226,IF(AND(L226="N",Table22[[#This Row],[LOQ_label]]="Y"),AA226,$AA226*$Y226),"")</f>
        <v>0</v>
      </c>
      <c r="AC226" s="1393">
        <f t="shared" si="125"/>
        <v>0</v>
      </c>
      <c r="AD226" s="1393">
        <f>IF(Table22[[#This Row],[Median residue*CF*PeF]]&lt;&gt;"",Table22[[#This Row],[Median residue*CF*PeF]],Table22[[#This Row],[MRL*CF*PeF (chronic)]])</f>
        <v>0</v>
      </c>
      <c r="AE226" s="1393">
        <f t="shared" si="126"/>
        <v>0</v>
      </c>
      <c r="AF226" s="1390" t="str">
        <f t="shared" si="127"/>
        <v>MRL</v>
      </c>
      <c r="AG226" s="1390" t="str">
        <f t="shared" si="128"/>
        <v/>
      </c>
      <c r="AH226" s="1394" t="str">
        <f t="shared" si="129"/>
        <v/>
      </c>
      <c r="AI226" s="1386">
        <v>4</v>
      </c>
      <c r="AJ226" s="1387">
        <f t="shared" si="130"/>
        <v>0</v>
      </c>
      <c r="AK226" s="1387">
        <f>IF(AI226=A226,IF(AND(L226="N",Table22[[#This Row],[LOQ_label]]="Y"),AJ226,$AJ226*$Y226),"")</f>
        <v>0</v>
      </c>
      <c r="AL226" s="1388">
        <f t="shared" si="131"/>
        <v>0</v>
      </c>
      <c r="AM226"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26" s="1451" t="str">
        <f>IF(AI226&lt;&gt;A226,"",IF(Table22[[#This Row],[Post-harvest treatment]]="",Table22[[#This Row],[label for chronic calculation]],IF(Table22[[#This Row],[Post-harvest treatment]]="N",Table22[[#This Row],[label for chronic calculation]],IF(Table22[[#This Row],[HR-RAC (highest residue)]]&gt;"","HR-RAC",IF(V226="Y","LOQ","MRL")))))</f>
        <v>MRL</v>
      </c>
      <c r="AO226" s="1390" t="str">
        <f t="shared" si="133"/>
        <v/>
      </c>
      <c r="AP226" s="1404" t="str">
        <f t="shared" si="134"/>
        <v/>
      </c>
      <c r="AQ226" s="1388">
        <f t="shared" si="135"/>
        <v>0</v>
      </c>
      <c r="AR226" s="1388" t="str">
        <f t="shared" si="136"/>
        <v/>
      </c>
      <c r="AS226" s="1388" t="str">
        <f t="shared" si="137"/>
        <v/>
      </c>
      <c r="AT226" s="1388" t="str">
        <f t="shared" si="138"/>
        <v/>
      </c>
      <c r="AU226" s="1393">
        <f t="shared" si="139"/>
        <v>0</v>
      </c>
      <c r="AV226" s="1388">
        <f t="shared" si="140"/>
        <v>0</v>
      </c>
      <c r="AW226" s="1390" t="str">
        <f t="shared" si="141"/>
        <v/>
      </c>
      <c r="AX226" s="1390" t="str">
        <f t="shared" si="147"/>
        <v/>
      </c>
      <c r="AY226" s="1394" t="str">
        <f t="shared" si="142"/>
        <v/>
      </c>
      <c r="AZ226" s="1395" t="str">
        <f>IF(Table22[[#This Row],[LOQ_label]]="Y",Table22[[#This Row],[MRL individual commodity]],"")</f>
        <v/>
      </c>
      <c r="BA226" s="1422">
        <v>3</v>
      </c>
      <c r="BB226" s="1411" t="str">
        <f>IF(Table22[[#This Row],[LOQ2]]&lt;0,MIN(AZ226:AZ602),"")</f>
        <v/>
      </c>
      <c r="BC226" s="1299"/>
      <c r="BD226" s="1306" t="str">
        <f>IF(Table22[[#This Row],[Chronic RA label]]="","N",IF(Table22[[#This Row],[Chronic RA label]]="LOQ","N",IF(Table22[[#This Row],[Chronic RA label]]="MRL","N","Y")))</f>
        <v>N</v>
      </c>
      <c r="BE226" s="1306" t="str">
        <f>IF(Table22[[#This Row],[Acute RA label]]="","N",IF(Table22[[#This Row],[Acute RA label]]="LOQ","N",IF(Table22[[#This Row],[Acute RA label]]="MRL","N","Y")))</f>
        <v>N</v>
      </c>
      <c r="BF226" s="1306" t="str">
        <f>IF(OR(Table22[[#This Row],[include commodity in Summary_input_values_chronic]]="Y",Table22[[#This Row],[include commodity in Summary_input_values_acute]]="Y"),"Y","N")</f>
        <v>N</v>
      </c>
      <c r="BG226" s="1299"/>
      <c r="BH226" s="1324"/>
    </row>
    <row r="227" spans="1:60" ht="12.75" customHeight="1" outlineLevel="3" x14ac:dyDescent="0.2">
      <c r="A227" s="39">
        <v>4</v>
      </c>
      <c r="B227" s="327">
        <v>401080</v>
      </c>
      <c r="C227" s="23" t="s">
        <v>752</v>
      </c>
      <c r="D227" s="867"/>
      <c r="E227" s="1219"/>
      <c r="F227" s="867"/>
      <c r="G227" s="869"/>
      <c r="H227" s="863"/>
      <c r="I227" s="868"/>
      <c r="J227" s="870"/>
      <c r="K227" s="865"/>
      <c r="L227" s="872"/>
      <c r="M227" s="874"/>
      <c r="N227" s="925" t="str">
        <f>IF(O227&lt;&gt;0,CONCATENATE(input_values!$AF227,input_values!$AG227,input_values!$AH227),"")</f>
        <v/>
      </c>
      <c r="O227" s="491">
        <f>IF($A$10="Refined calculation mode",Table22[[#This Row],[input for chronic (refined mode]],Table22[[#This Row],[input for chronic normal mode]])</f>
        <v>0</v>
      </c>
      <c r="P227" s="925" t="str">
        <f>IF(Q227&lt;&gt;0,CONCATENATE(input_values!$AN227,input_values!$AO227,input_values!$AP227),"")</f>
        <v/>
      </c>
      <c r="Q227" s="491">
        <f>IF($V$5=0,0,IF(OR($A$10="Refined calculation mode",Results!$B$62="Show results of IESTI calculation only for crops with GAPs under assessment"),Table22[[#This Row],[Input for IESTI (refined mode)]],Table22[[#This Row],[Input for IESTI normal mode]]))</f>
        <v>0</v>
      </c>
      <c r="R227" s="926" t="str">
        <f>IF(S227&lt;&gt;0,CONCATENATE(input_values!$AW227,input_values!$AX227,input_values!$AY227),"")</f>
        <v/>
      </c>
      <c r="S227" s="492">
        <f>IF($V$5=0,0,IF(OR($A$10="Refined calculation mode",Results!$B$62="Show results of IESTI calculation only for crops with GAPs under assessment"),Table22[[#This Row],[Input for IESTI new (refined mode)]],Table22[[#This Row],[Input for IESTI new normal mode]]))</f>
        <v>0</v>
      </c>
      <c r="T227" s="886"/>
      <c r="U227" s="1408">
        <f>Table22[[#This Row],[MRL/ proposed MRL /CXL
(mg/kg)]]</f>
        <v>0</v>
      </c>
      <c r="V227" s="1409" t="str">
        <f t="shared" si="143"/>
        <v/>
      </c>
      <c r="W227" s="1387">
        <f t="shared" si="144"/>
        <v>1</v>
      </c>
      <c r="X227" s="1387">
        <f t="shared" si="145"/>
        <v>1</v>
      </c>
      <c r="Y227" s="1387">
        <f t="shared" si="146"/>
        <v>1</v>
      </c>
      <c r="Z227" s="1410">
        <v>4</v>
      </c>
      <c r="AA227" s="1387">
        <f t="shared" si="124"/>
        <v>0</v>
      </c>
      <c r="AB227" s="1387">
        <f>IF(Z227=A227,IF(AND(L227="N",Table22[[#This Row],[LOQ_label]]="Y"),AA227,$AA227*$Y227),"")</f>
        <v>0</v>
      </c>
      <c r="AC227" s="1393">
        <f t="shared" si="125"/>
        <v>0</v>
      </c>
      <c r="AD227" s="1393">
        <f>IF(Table22[[#This Row],[Median residue*CF*PeF]]&lt;&gt;"",Table22[[#This Row],[Median residue*CF*PeF]],Table22[[#This Row],[MRL*CF*PeF (chronic)]])</f>
        <v>0</v>
      </c>
      <c r="AE227" s="1393">
        <f t="shared" si="126"/>
        <v>0</v>
      </c>
      <c r="AF227" s="1390" t="str">
        <f t="shared" si="127"/>
        <v>MRL</v>
      </c>
      <c r="AG227" s="1390" t="str">
        <f t="shared" si="128"/>
        <v/>
      </c>
      <c r="AH227" s="1394" t="str">
        <f t="shared" si="129"/>
        <v/>
      </c>
      <c r="AI227" s="1386">
        <v>4</v>
      </c>
      <c r="AJ227" s="1387">
        <f t="shared" si="130"/>
        <v>0</v>
      </c>
      <c r="AK227" s="1387">
        <f>IF(AI227=A227,IF(AND(L227="N",Table22[[#This Row],[LOQ_label]]="Y"),AJ227,$AJ227*$Y227),"")</f>
        <v>0</v>
      </c>
      <c r="AL227" s="1388">
        <f t="shared" si="131"/>
        <v>0</v>
      </c>
      <c r="AM227"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27" s="1451" t="str">
        <f>IF(AI227&lt;&gt;A227,"",IF(Table22[[#This Row],[Post-harvest treatment]]="",Table22[[#This Row],[label for chronic calculation]],IF(Table22[[#This Row],[Post-harvest treatment]]="N",Table22[[#This Row],[label for chronic calculation]],IF(Table22[[#This Row],[HR-RAC (highest residue)]]&gt;"","HR-RAC",IF(V227="Y","LOQ","MRL")))))</f>
        <v>MRL</v>
      </c>
      <c r="AO227" s="1390" t="str">
        <f t="shared" si="133"/>
        <v/>
      </c>
      <c r="AP227" s="1404" t="str">
        <f t="shared" si="134"/>
        <v/>
      </c>
      <c r="AQ227" s="1388">
        <f t="shared" si="135"/>
        <v>0</v>
      </c>
      <c r="AR227" s="1388" t="str">
        <f t="shared" si="136"/>
        <v/>
      </c>
      <c r="AS227" s="1388" t="str">
        <f t="shared" si="137"/>
        <v/>
      </c>
      <c r="AT227" s="1388" t="str">
        <f t="shared" si="138"/>
        <v/>
      </c>
      <c r="AU227" s="1393">
        <f t="shared" si="139"/>
        <v>0</v>
      </c>
      <c r="AV227" s="1388">
        <f t="shared" si="140"/>
        <v>0</v>
      </c>
      <c r="AW227" s="1390" t="str">
        <f t="shared" si="141"/>
        <v/>
      </c>
      <c r="AX227" s="1390" t="str">
        <f t="shared" si="147"/>
        <v/>
      </c>
      <c r="AY227" s="1394" t="str">
        <f t="shared" si="142"/>
        <v/>
      </c>
      <c r="AZ227" s="1395" t="str">
        <f>IF(Table22[[#This Row],[LOQ_label]]="Y",Table22[[#This Row],[MRL individual commodity]],"")</f>
        <v/>
      </c>
      <c r="BA227" s="1422">
        <v>3</v>
      </c>
      <c r="BB227" s="1411" t="str">
        <f>IF(Table22[[#This Row],[LOQ2]]&lt;0,MIN(AZ227:AZ603),"")</f>
        <v/>
      </c>
      <c r="BC227" s="1299"/>
      <c r="BD227" s="1306" t="str">
        <f>IF(Table22[[#This Row],[Chronic RA label]]="","N",IF(Table22[[#This Row],[Chronic RA label]]="LOQ","N",IF(Table22[[#This Row],[Chronic RA label]]="MRL","N","Y")))</f>
        <v>N</v>
      </c>
      <c r="BE227" s="1306" t="str">
        <f>IF(Table22[[#This Row],[Acute RA label]]="","N",IF(Table22[[#This Row],[Acute RA label]]="LOQ","N",IF(Table22[[#This Row],[Acute RA label]]="MRL","N","Y")))</f>
        <v>N</v>
      </c>
      <c r="BF227" s="1306" t="str">
        <f>IF(OR(Table22[[#This Row],[include commodity in Summary_input_values_chronic]]="Y",Table22[[#This Row],[include commodity in Summary_input_values_acute]]="Y"),"Y","N")</f>
        <v>N</v>
      </c>
      <c r="BG227" s="1299"/>
      <c r="BH227" s="1324"/>
    </row>
    <row r="228" spans="1:60" ht="12.75" customHeight="1" outlineLevel="3" x14ac:dyDescent="0.2">
      <c r="A228" s="39">
        <v>4</v>
      </c>
      <c r="B228" s="327">
        <v>401090</v>
      </c>
      <c r="C228" s="23" t="s">
        <v>753</v>
      </c>
      <c r="D228" s="867"/>
      <c r="E228" s="1219"/>
      <c r="F228" s="867"/>
      <c r="G228" s="869"/>
      <c r="H228" s="863"/>
      <c r="I228" s="868"/>
      <c r="J228" s="870"/>
      <c r="K228" s="865"/>
      <c r="L228" s="872"/>
      <c r="M228" s="874"/>
      <c r="N228" s="925" t="str">
        <f>IF(O228&lt;&gt;0,CONCATENATE(input_values!$AF228,input_values!$AG228,input_values!$AH228),"")</f>
        <v/>
      </c>
      <c r="O228" s="491">
        <f>IF($A$10="Refined calculation mode",Table22[[#This Row],[input for chronic (refined mode]],Table22[[#This Row],[input for chronic normal mode]])</f>
        <v>0</v>
      </c>
      <c r="P228" s="925" t="str">
        <f>IF(Q228&lt;&gt;0,CONCATENATE(input_values!$AN228,input_values!$AO228,input_values!$AP228),"")</f>
        <v/>
      </c>
      <c r="Q228" s="491">
        <f>IF($V$5=0,0,IF(OR($A$10="Refined calculation mode",Results!$B$62="Show results of IESTI calculation only for crops with GAPs under assessment"),Table22[[#This Row],[Input for IESTI (refined mode)]],Table22[[#This Row],[Input for IESTI normal mode]]))</f>
        <v>0</v>
      </c>
      <c r="R228" s="926" t="str">
        <f>IF(S228&lt;&gt;0,CONCATENATE(input_values!$AW228,input_values!$AX228,input_values!$AY228),"")</f>
        <v/>
      </c>
      <c r="S228" s="492">
        <f>IF($V$5=0,0,IF(OR($A$10="Refined calculation mode",Results!$B$62="Show results of IESTI calculation only for crops with GAPs under assessment"),Table22[[#This Row],[Input for IESTI new (refined mode)]],Table22[[#This Row],[Input for IESTI new normal mode]]))</f>
        <v>0</v>
      </c>
      <c r="T228" s="886"/>
      <c r="U228" s="1408">
        <f>Table22[[#This Row],[MRL/ proposed MRL /CXL
(mg/kg)]]</f>
        <v>0</v>
      </c>
      <c r="V228" s="1409" t="str">
        <f t="shared" si="143"/>
        <v/>
      </c>
      <c r="W228" s="1387">
        <f t="shared" si="144"/>
        <v>1</v>
      </c>
      <c r="X228" s="1387">
        <f t="shared" si="145"/>
        <v>1</v>
      </c>
      <c r="Y228" s="1387">
        <f t="shared" si="146"/>
        <v>1</v>
      </c>
      <c r="Z228" s="1410">
        <v>4</v>
      </c>
      <c r="AA228" s="1387">
        <f t="shared" si="124"/>
        <v>0</v>
      </c>
      <c r="AB228" s="1387">
        <f>IF(Z228=A228,IF(AND(L228="N",Table22[[#This Row],[LOQ_label]]="Y"),AA228,$AA228*$Y228),"")</f>
        <v>0</v>
      </c>
      <c r="AC228" s="1393">
        <f t="shared" si="125"/>
        <v>0</v>
      </c>
      <c r="AD228" s="1393">
        <f>IF(Table22[[#This Row],[Median residue*CF*PeF]]&lt;&gt;"",Table22[[#This Row],[Median residue*CF*PeF]],Table22[[#This Row],[MRL*CF*PeF (chronic)]])</f>
        <v>0</v>
      </c>
      <c r="AE228" s="1393">
        <f t="shared" si="126"/>
        <v>0</v>
      </c>
      <c r="AF228" s="1390" t="str">
        <f t="shared" si="127"/>
        <v>MRL</v>
      </c>
      <c r="AG228" s="1390" t="str">
        <f t="shared" si="128"/>
        <v/>
      </c>
      <c r="AH228" s="1394" t="str">
        <f t="shared" si="129"/>
        <v/>
      </c>
      <c r="AI228" s="1386">
        <v>4</v>
      </c>
      <c r="AJ228" s="1387">
        <f t="shared" si="130"/>
        <v>0</v>
      </c>
      <c r="AK228" s="1387">
        <f>IF(AI228=A228,IF(AND(L228="N",Table22[[#This Row],[LOQ_label]]="Y"),AJ228,$AJ228*$Y228),"")</f>
        <v>0</v>
      </c>
      <c r="AL228" s="1388">
        <f t="shared" si="131"/>
        <v>0</v>
      </c>
      <c r="AM228"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28" s="1451" t="str">
        <f>IF(AI228&lt;&gt;A228,"",IF(Table22[[#This Row],[Post-harvest treatment]]="",Table22[[#This Row],[label for chronic calculation]],IF(Table22[[#This Row],[Post-harvest treatment]]="N",Table22[[#This Row],[label for chronic calculation]],IF(Table22[[#This Row],[HR-RAC (highest residue)]]&gt;"","HR-RAC",IF(V228="Y","LOQ","MRL")))))</f>
        <v>MRL</v>
      </c>
      <c r="AO228" s="1390" t="str">
        <f t="shared" si="133"/>
        <v/>
      </c>
      <c r="AP228" s="1404" t="str">
        <f t="shared" si="134"/>
        <v/>
      </c>
      <c r="AQ228" s="1388">
        <f t="shared" si="135"/>
        <v>0</v>
      </c>
      <c r="AR228" s="1388" t="str">
        <f t="shared" si="136"/>
        <v/>
      </c>
      <c r="AS228" s="1388" t="str">
        <f t="shared" si="137"/>
        <v/>
      </c>
      <c r="AT228" s="1388" t="str">
        <f t="shared" si="138"/>
        <v/>
      </c>
      <c r="AU228" s="1393">
        <f t="shared" si="139"/>
        <v>0</v>
      </c>
      <c r="AV228" s="1388">
        <f t="shared" si="140"/>
        <v>0</v>
      </c>
      <c r="AW228" s="1390" t="str">
        <f t="shared" si="141"/>
        <v/>
      </c>
      <c r="AX228" s="1390" t="str">
        <f t="shared" si="147"/>
        <v/>
      </c>
      <c r="AY228" s="1394" t="str">
        <f t="shared" si="142"/>
        <v/>
      </c>
      <c r="AZ228" s="1395" t="str">
        <f>IF(Table22[[#This Row],[LOQ_label]]="Y",Table22[[#This Row],[MRL individual commodity]],"")</f>
        <v/>
      </c>
      <c r="BA228" s="1422">
        <v>3</v>
      </c>
      <c r="BB228" s="1411" t="str">
        <f>IF(Table22[[#This Row],[LOQ2]]&lt;0,MIN(AZ228:AZ604),"")</f>
        <v/>
      </c>
      <c r="BC228" s="1299"/>
      <c r="BD228" s="1306" t="str">
        <f>IF(Table22[[#This Row],[Chronic RA label]]="","N",IF(Table22[[#This Row],[Chronic RA label]]="LOQ","N",IF(Table22[[#This Row],[Chronic RA label]]="MRL","N","Y")))</f>
        <v>N</v>
      </c>
      <c r="BE228" s="1306" t="str">
        <f>IF(Table22[[#This Row],[Acute RA label]]="","N",IF(Table22[[#This Row],[Acute RA label]]="LOQ","N",IF(Table22[[#This Row],[Acute RA label]]="MRL","N","Y")))</f>
        <v>N</v>
      </c>
      <c r="BF228" s="1306" t="str">
        <f>IF(OR(Table22[[#This Row],[include commodity in Summary_input_values_chronic]]="Y",Table22[[#This Row],[include commodity in Summary_input_values_acute]]="Y"),"Y","N")</f>
        <v>N</v>
      </c>
      <c r="BG228" s="1299"/>
      <c r="BH228" s="1324"/>
    </row>
    <row r="229" spans="1:60" ht="12.75" customHeight="1" outlineLevel="3" x14ac:dyDescent="0.2">
      <c r="A229" s="39">
        <v>4</v>
      </c>
      <c r="B229" s="327">
        <v>401100</v>
      </c>
      <c r="C229" s="23" t="s">
        <v>154</v>
      </c>
      <c r="D229" s="867"/>
      <c r="E229" s="1219"/>
      <c r="F229" s="867"/>
      <c r="G229" s="869"/>
      <c r="H229" s="863"/>
      <c r="I229" s="868"/>
      <c r="J229" s="870"/>
      <c r="K229" s="865"/>
      <c r="L229" s="872"/>
      <c r="M229" s="874"/>
      <c r="N229" s="925" t="str">
        <f>IF(O229&lt;&gt;0,CONCATENATE(input_values!$AF229,input_values!$AG229,input_values!$AH229),"")</f>
        <v/>
      </c>
      <c r="O229" s="491">
        <f>IF($A$10="Refined calculation mode",Table22[[#This Row],[input for chronic (refined mode]],Table22[[#This Row],[input for chronic normal mode]])</f>
        <v>0</v>
      </c>
      <c r="P229" s="925" t="str">
        <f>IF(Q229&lt;&gt;0,CONCATENATE(input_values!$AN229,input_values!$AO229,input_values!$AP229),"")</f>
        <v/>
      </c>
      <c r="Q229" s="491">
        <f>IF($V$5=0,0,IF(OR($A$10="Refined calculation mode",Results!$B$62="Show results of IESTI calculation only for crops with GAPs under assessment"),Table22[[#This Row],[Input for IESTI (refined mode)]],Table22[[#This Row],[Input for IESTI normal mode]]))</f>
        <v>0</v>
      </c>
      <c r="R229" s="926" t="str">
        <f>IF(S229&lt;&gt;0,CONCATENATE(input_values!$AW229,input_values!$AX229,input_values!$AY229),"")</f>
        <v/>
      </c>
      <c r="S229" s="492">
        <f>IF($V$5=0,0,IF(OR($A$10="Refined calculation mode",Results!$B$62="Show results of IESTI calculation only for crops with GAPs under assessment"),Table22[[#This Row],[Input for IESTI new (refined mode)]],Table22[[#This Row],[Input for IESTI new normal mode]]))</f>
        <v>0</v>
      </c>
      <c r="T229" s="886"/>
      <c r="U229" s="1408">
        <f>Table22[[#This Row],[MRL/ proposed MRL /CXL
(mg/kg)]]</f>
        <v>0</v>
      </c>
      <c r="V229" s="1409" t="str">
        <f t="shared" si="143"/>
        <v/>
      </c>
      <c r="W229" s="1387">
        <f t="shared" si="144"/>
        <v>1</v>
      </c>
      <c r="X229" s="1387">
        <f t="shared" si="145"/>
        <v>1</v>
      </c>
      <c r="Y229" s="1387">
        <f t="shared" si="146"/>
        <v>1</v>
      </c>
      <c r="Z229" s="1410">
        <v>4</v>
      </c>
      <c r="AA229" s="1387">
        <f t="shared" si="124"/>
        <v>0</v>
      </c>
      <c r="AB229" s="1387">
        <f>IF(Z229=A229,IF(AND(L229="N",Table22[[#This Row],[LOQ_label]]="Y"),AA229,$AA229*$Y229),"")</f>
        <v>0</v>
      </c>
      <c r="AC229" s="1393">
        <f t="shared" si="125"/>
        <v>0</v>
      </c>
      <c r="AD229" s="1393">
        <f>IF(Table22[[#This Row],[Median residue*CF*PeF]]&lt;&gt;"",Table22[[#This Row],[Median residue*CF*PeF]],Table22[[#This Row],[MRL*CF*PeF (chronic)]])</f>
        <v>0</v>
      </c>
      <c r="AE229" s="1393">
        <f t="shared" si="126"/>
        <v>0</v>
      </c>
      <c r="AF229" s="1390" t="str">
        <f t="shared" si="127"/>
        <v>MRL</v>
      </c>
      <c r="AG229" s="1390" t="str">
        <f t="shared" si="128"/>
        <v/>
      </c>
      <c r="AH229" s="1394" t="str">
        <f t="shared" si="129"/>
        <v/>
      </c>
      <c r="AI229" s="1386">
        <v>4</v>
      </c>
      <c r="AJ229" s="1387">
        <f t="shared" si="130"/>
        <v>0</v>
      </c>
      <c r="AK229" s="1387">
        <f>IF(AI229=A229,IF(AND(L229="N",Table22[[#This Row],[LOQ_label]]="Y"),AJ229,$AJ229*$Y229),"")</f>
        <v>0</v>
      </c>
      <c r="AL229" s="1388">
        <f t="shared" si="131"/>
        <v>0</v>
      </c>
      <c r="AM229"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29" s="1451" t="str">
        <f>IF(AI229&lt;&gt;A229,"",IF(Table22[[#This Row],[Post-harvest treatment]]="",Table22[[#This Row],[label for chronic calculation]],IF(Table22[[#This Row],[Post-harvest treatment]]="N",Table22[[#This Row],[label for chronic calculation]],IF(Table22[[#This Row],[HR-RAC (highest residue)]]&gt;"","HR-RAC",IF(V229="Y","LOQ","MRL")))))</f>
        <v>MRL</v>
      </c>
      <c r="AO229" s="1390" t="str">
        <f t="shared" si="133"/>
        <v/>
      </c>
      <c r="AP229" s="1404" t="str">
        <f t="shared" si="134"/>
        <v/>
      </c>
      <c r="AQ229" s="1388">
        <f t="shared" si="135"/>
        <v>0</v>
      </c>
      <c r="AR229" s="1388" t="str">
        <f t="shared" si="136"/>
        <v/>
      </c>
      <c r="AS229" s="1388" t="str">
        <f t="shared" si="137"/>
        <v/>
      </c>
      <c r="AT229" s="1388" t="str">
        <f t="shared" si="138"/>
        <v/>
      </c>
      <c r="AU229" s="1393">
        <f t="shared" si="139"/>
        <v>0</v>
      </c>
      <c r="AV229" s="1388">
        <f t="shared" si="140"/>
        <v>0</v>
      </c>
      <c r="AW229" s="1390" t="str">
        <f t="shared" si="141"/>
        <v/>
      </c>
      <c r="AX229" s="1390" t="str">
        <f t="shared" si="147"/>
        <v/>
      </c>
      <c r="AY229" s="1394" t="str">
        <f t="shared" si="142"/>
        <v/>
      </c>
      <c r="AZ229" s="1395" t="str">
        <f>IF(Table22[[#This Row],[LOQ_label]]="Y",Table22[[#This Row],[MRL individual commodity]],"")</f>
        <v/>
      </c>
      <c r="BA229" s="1422">
        <v>3</v>
      </c>
      <c r="BB229" s="1411" t="str">
        <f>IF(Table22[[#This Row],[LOQ2]]&lt;0,MIN(AZ229:AZ605),"")</f>
        <v/>
      </c>
      <c r="BC229" s="1299"/>
      <c r="BD229" s="1306" t="str">
        <f>IF(Table22[[#This Row],[Chronic RA label]]="","N",IF(Table22[[#This Row],[Chronic RA label]]="LOQ","N",IF(Table22[[#This Row],[Chronic RA label]]="MRL","N","Y")))</f>
        <v>N</v>
      </c>
      <c r="BE229" s="1306" t="str">
        <f>IF(Table22[[#This Row],[Acute RA label]]="","N",IF(Table22[[#This Row],[Acute RA label]]="LOQ","N",IF(Table22[[#This Row],[Acute RA label]]="MRL","N","Y")))</f>
        <v>N</v>
      </c>
      <c r="BF229" s="1306" t="str">
        <f>IF(OR(Table22[[#This Row],[include commodity in Summary_input_values_chronic]]="Y",Table22[[#This Row],[include commodity in Summary_input_values_acute]]="Y"),"Y","N")</f>
        <v>N</v>
      </c>
      <c r="BG229" s="1299"/>
      <c r="BH229" s="1324"/>
    </row>
    <row r="230" spans="1:60" ht="12.75" customHeight="1" outlineLevel="3" x14ac:dyDescent="0.2">
      <c r="A230" s="39">
        <v>4</v>
      </c>
      <c r="B230" s="327">
        <v>401110</v>
      </c>
      <c r="C230" s="23" t="s">
        <v>754</v>
      </c>
      <c r="D230" s="867"/>
      <c r="E230" s="1219"/>
      <c r="F230" s="867"/>
      <c r="G230" s="869"/>
      <c r="H230" s="863"/>
      <c r="I230" s="868"/>
      <c r="J230" s="870"/>
      <c r="K230" s="865"/>
      <c r="L230" s="872"/>
      <c r="M230" s="874"/>
      <c r="N230" s="925" t="str">
        <f>IF(O230&lt;&gt;0,CONCATENATE(input_values!$AF230,input_values!$AG230,input_values!$AH230),"")</f>
        <v/>
      </c>
      <c r="O230" s="491">
        <f>IF($A$10="Refined calculation mode",Table22[[#This Row],[input for chronic (refined mode]],Table22[[#This Row],[input for chronic normal mode]])</f>
        <v>0</v>
      </c>
      <c r="P230" s="925" t="str">
        <f>IF(Q230&lt;&gt;0,CONCATENATE(input_values!$AN230,input_values!$AO230,input_values!$AP230),"")</f>
        <v/>
      </c>
      <c r="Q230" s="491">
        <f>IF($V$5=0,0,IF(OR($A$10="Refined calculation mode",Results!$B$62="Show results of IESTI calculation only for crops with GAPs under assessment"),Table22[[#This Row],[Input for IESTI (refined mode)]],Table22[[#This Row],[Input for IESTI normal mode]]))</f>
        <v>0</v>
      </c>
      <c r="R230" s="926" t="str">
        <f>IF(S230&lt;&gt;0,CONCATENATE(input_values!$AW230,input_values!$AX230,input_values!$AY230),"")</f>
        <v/>
      </c>
      <c r="S230" s="492">
        <f>IF($V$5=0,0,IF(OR($A$10="Refined calculation mode",Results!$B$62="Show results of IESTI calculation only for crops with GAPs under assessment"),Table22[[#This Row],[Input for IESTI new (refined mode)]],Table22[[#This Row],[Input for IESTI new normal mode]]))</f>
        <v>0</v>
      </c>
      <c r="T230" s="886"/>
      <c r="U230" s="1408">
        <f>Table22[[#This Row],[MRL/ proposed MRL /CXL
(mg/kg)]]</f>
        <v>0</v>
      </c>
      <c r="V230" s="1409" t="str">
        <f t="shared" si="143"/>
        <v/>
      </c>
      <c r="W230" s="1387">
        <f t="shared" si="144"/>
        <v>1</v>
      </c>
      <c r="X230" s="1387">
        <f t="shared" si="145"/>
        <v>1</v>
      </c>
      <c r="Y230" s="1387">
        <f t="shared" si="146"/>
        <v>1</v>
      </c>
      <c r="Z230" s="1410">
        <v>4</v>
      </c>
      <c r="AA230" s="1387">
        <f t="shared" si="124"/>
        <v>0</v>
      </c>
      <c r="AB230" s="1387">
        <f>IF(Z230=A230,IF(AND(L230="N",Table22[[#This Row],[LOQ_label]]="Y"),AA230,$AA230*$Y230),"")</f>
        <v>0</v>
      </c>
      <c r="AC230" s="1393">
        <f t="shared" si="125"/>
        <v>0</v>
      </c>
      <c r="AD230" s="1393">
        <f>IF(Table22[[#This Row],[Median residue*CF*PeF]]&lt;&gt;"",Table22[[#This Row],[Median residue*CF*PeF]],Table22[[#This Row],[MRL*CF*PeF (chronic)]])</f>
        <v>0</v>
      </c>
      <c r="AE230" s="1393">
        <f t="shared" si="126"/>
        <v>0</v>
      </c>
      <c r="AF230" s="1390" t="str">
        <f t="shared" si="127"/>
        <v>MRL</v>
      </c>
      <c r="AG230" s="1390" t="str">
        <f t="shared" si="128"/>
        <v/>
      </c>
      <c r="AH230" s="1394" t="str">
        <f t="shared" si="129"/>
        <v/>
      </c>
      <c r="AI230" s="1386">
        <v>4</v>
      </c>
      <c r="AJ230" s="1387">
        <f t="shared" si="130"/>
        <v>0</v>
      </c>
      <c r="AK230" s="1387">
        <f>IF(AI230=A230,IF(AND(L230="N",Table22[[#This Row],[LOQ_label]]="Y"),AJ230,$AJ230*$Y230),"")</f>
        <v>0</v>
      </c>
      <c r="AL230" s="1388">
        <f t="shared" si="131"/>
        <v>0</v>
      </c>
      <c r="AM230"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30" s="1451" t="str">
        <f>IF(AI230&lt;&gt;A230,"",IF(Table22[[#This Row],[Post-harvest treatment]]="",Table22[[#This Row],[label for chronic calculation]],IF(Table22[[#This Row],[Post-harvest treatment]]="N",Table22[[#This Row],[label for chronic calculation]],IF(Table22[[#This Row],[HR-RAC (highest residue)]]&gt;"","HR-RAC",IF(V230="Y","LOQ","MRL")))))</f>
        <v>MRL</v>
      </c>
      <c r="AO230" s="1390" t="str">
        <f t="shared" si="133"/>
        <v/>
      </c>
      <c r="AP230" s="1404" t="str">
        <f t="shared" si="134"/>
        <v/>
      </c>
      <c r="AQ230" s="1388">
        <f t="shared" si="135"/>
        <v>0</v>
      </c>
      <c r="AR230" s="1388" t="str">
        <f t="shared" si="136"/>
        <v/>
      </c>
      <c r="AS230" s="1388" t="str">
        <f t="shared" si="137"/>
        <v/>
      </c>
      <c r="AT230" s="1388" t="str">
        <f t="shared" si="138"/>
        <v/>
      </c>
      <c r="AU230" s="1393">
        <f t="shared" si="139"/>
        <v>0</v>
      </c>
      <c r="AV230" s="1388">
        <f t="shared" si="140"/>
        <v>0</v>
      </c>
      <c r="AW230" s="1390" t="str">
        <f t="shared" si="141"/>
        <v/>
      </c>
      <c r="AX230" s="1390" t="str">
        <f t="shared" si="147"/>
        <v/>
      </c>
      <c r="AY230" s="1394" t="str">
        <f t="shared" si="142"/>
        <v/>
      </c>
      <c r="AZ230" s="1395" t="str">
        <f>IF(Table22[[#This Row],[LOQ_label]]="Y",Table22[[#This Row],[MRL individual commodity]],"")</f>
        <v/>
      </c>
      <c r="BA230" s="1422">
        <v>3</v>
      </c>
      <c r="BB230" s="1411" t="str">
        <f>IF(Table22[[#This Row],[LOQ2]]&lt;0,MIN(AZ230:AZ606),"")</f>
        <v/>
      </c>
      <c r="BC230" s="1299"/>
      <c r="BD230" s="1306" t="str">
        <f>IF(Table22[[#This Row],[Chronic RA label]]="","N",IF(Table22[[#This Row],[Chronic RA label]]="LOQ","N",IF(Table22[[#This Row],[Chronic RA label]]="MRL","N","Y")))</f>
        <v>N</v>
      </c>
      <c r="BE230" s="1306" t="str">
        <f>IF(Table22[[#This Row],[Acute RA label]]="","N",IF(Table22[[#This Row],[Acute RA label]]="LOQ","N",IF(Table22[[#This Row],[Acute RA label]]="MRL","N","Y")))</f>
        <v>N</v>
      </c>
      <c r="BF230" s="1306" t="str">
        <f>IF(OR(Table22[[#This Row],[include commodity in Summary_input_values_chronic]]="Y",Table22[[#This Row],[include commodity in Summary_input_values_acute]]="Y"),"Y","N")</f>
        <v>N</v>
      </c>
      <c r="BG230" s="1299"/>
      <c r="BH230" s="1324"/>
    </row>
    <row r="231" spans="1:60" ht="12.75" customHeight="1" outlineLevel="3" x14ac:dyDescent="0.2">
      <c r="A231" s="39">
        <v>4</v>
      </c>
      <c r="B231" s="327">
        <v>401120</v>
      </c>
      <c r="C231" s="23" t="s">
        <v>755</v>
      </c>
      <c r="D231" s="867"/>
      <c r="E231" s="1219"/>
      <c r="F231" s="867"/>
      <c r="G231" s="869"/>
      <c r="H231" s="863"/>
      <c r="I231" s="868"/>
      <c r="J231" s="870"/>
      <c r="K231" s="865"/>
      <c r="L231" s="872"/>
      <c r="M231" s="874"/>
      <c r="N231" s="925" t="str">
        <f>IF(O231&lt;&gt;0,CONCATENATE(input_values!$AF231,input_values!$AG231,input_values!$AH231),"")</f>
        <v/>
      </c>
      <c r="O231" s="491">
        <f>IF($A$10="Refined calculation mode",Table22[[#This Row],[input for chronic (refined mode]],Table22[[#This Row],[input for chronic normal mode]])</f>
        <v>0</v>
      </c>
      <c r="P231" s="925" t="str">
        <f>IF(Q231&lt;&gt;0,CONCATENATE(input_values!$AN231,input_values!$AO231,input_values!$AP231),"")</f>
        <v/>
      </c>
      <c r="Q231" s="491">
        <f>IF($V$5=0,0,IF(OR($A$10="Refined calculation mode",Results!$B$62="Show results of IESTI calculation only for crops with GAPs under assessment"),Table22[[#This Row],[Input for IESTI (refined mode)]],Table22[[#This Row],[Input for IESTI normal mode]]))</f>
        <v>0</v>
      </c>
      <c r="R231" s="926" t="str">
        <f>IF(S231&lt;&gt;0,CONCATENATE(input_values!$AW231,input_values!$AX231,input_values!$AY231),"")</f>
        <v/>
      </c>
      <c r="S231" s="492">
        <f>IF($V$5=0,0,IF(OR($A$10="Refined calculation mode",Results!$B$62="Show results of IESTI calculation only for crops with GAPs under assessment"),Table22[[#This Row],[Input for IESTI new (refined mode)]],Table22[[#This Row],[Input for IESTI new normal mode]]))</f>
        <v>0</v>
      </c>
      <c r="T231" s="886"/>
      <c r="U231" s="1408">
        <f>Table22[[#This Row],[MRL/ proposed MRL /CXL
(mg/kg)]]</f>
        <v>0</v>
      </c>
      <c r="V231" s="1409" t="str">
        <f t="shared" si="143"/>
        <v/>
      </c>
      <c r="W231" s="1387">
        <f t="shared" si="144"/>
        <v>1</v>
      </c>
      <c r="X231" s="1387">
        <f t="shared" si="145"/>
        <v>1</v>
      </c>
      <c r="Y231" s="1387">
        <f t="shared" si="146"/>
        <v>1</v>
      </c>
      <c r="Z231" s="1410">
        <v>4</v>
      </c>
      <c r="AA231" s="1387">
        <f t="shared" si="124"/>
        <v>0</v>
      </c>
      <c r="AB231" s="1387">
        <f>IF(Z231=A231,IF(AND(L231="N",Table22[[#This Row],[LOQ_label]]="Y"),AA231,$AA231*$Y231),"")</f>
        <v>0</v>
      </c>
      <c r="AC231" s="1393">
        <f t="shared" si="125"/>
        <v>0</v>
      </c>
      <c r="AD231" s="1393">
        <f>IF(Table22[[#This Row],[Median residue*CF*PeF]]&lt;&gt;"",Table22[[#This Row],[Median residue*CF*PeF]],Table22[[#This Row],[MRL*CF*PeF (chronic)]])</f>
        <v>0</v>
      </c>
      <c r="AE231" s="1393">
        <f t="shared" si="126"/>
        <v>0</v>
      </c>
      <c r="AF231" s="1390" t="str">
        <f t="shared" si="127"/>
        <v>MRL</v>
      </c>
      <c r="AG231" s="1390" t="str">
        <f t="shared" si="128"/>
        <v/>
      </c>
      <c r="AH231" s="1394" t="str">
        <f t="shared" si="129"/>
        <v/>
      </c>
      <c r="AI231" s="1386">
        <v>4</v>
      </c>
      <c r="AJ231" s="1387">
        <f t="shared" si="130"/>
        <v>0</v>
      </c>
      <c r="AK231" s="1387">
        <f>IF(AI231=A231,IF(AND(L231="N",Table22[[#This Row],[LOQ_label]]="Y"),AJ231,$AJ231*$Y231),"")</f>
        <v>0</v>
      </c>
      <c r="AL231" s="1388">
        <f t="shared" si="131"/>
        <v>0</v>
      </c>
      <c r="AM231"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31" s="1451" t="str">
        <f>IF(AI231&lt;&gt;A231,"",IF(Table22[[#This Row],[Post-harvest treatment]]="",Table22[[#This Row],[label for chronic calculation]],IF(Table22[[#This Row],[Post-harvest treatment]]="N",Table22[[#This Row],[label for chronic calculation]],IF(Table22[[#This Row],[HR-RAC (highest residue)]]&gt;"","HR-RAC",IF(V231="Y","LOQ","MRL")))))</f>
        <v>MRL</v>
      </c>
      <c r="AO231" s="1390" t="str">
        <f t="shared" si="133"/>
        <v/>
      </c>
      <c r="AP231" s="1404" t="str">
        <f t="shared" si="134"/>
        <v/>
      </c>
      <c r="AQ231" s="1388">
        <f t="shared" si="135"/>
        <v>0</v>
      </c>
      <c r="AR231" s="1388" t="str">
        <f t="shared" si="136"/>
        <v/>
      </c>
      <c r="AS231" s="1388" t="str">
        <f t="shared" si="137"/>
        <v/>
      </c>
      <c r="AT231" s="1388" t="str">
        <f t="shared" si="138"/>
        <v/>
      </c>
      <c r="AU231" s="1393">
        <f t="shared" si="139"/>
        <v>0</v>
      </c>
      <c r="AV231" s="1388">
        <f t="shared" si="140"/>
        <v>0</v>
      </c>
      <c r="AW231" s="1390" t="str">
        <f t="shared" si="141"/>
        <v/>
      </c>
      <c r="AX231" s="1390" t="str">
        <f t="shared" si="147"/>
        <v/>
      </c>
      <c r="AY231" s="1394" t="str">
        <f t="shared" si="142"/>
        <v/>
      </c>
      <c r="AZ231" s="1395" t="str">
        <f>IF(Table22[[#This Row],[LOQ_label]]="Y",Table22[[#This Row],[MRL individual commodity]],"")</f>
        <v/>
      </c>
      <c r="BA231" s="1422">
        <v>3</v>
      </c>
      <c r="BB231" s="1411" t="str">
        <f>IF(Table22[[#This Row],[LOQ2]]&lt;0,MIN(AZ231:AZ607),"")</f>
        <v/>
      </c>
      <c r="BC231" s="1299"/>
      <c r="BD231" s="1306" t="str">
        <f>IF(Table22[[#This Row],[Chronic RA label]]="","N",IF(Table22[[#This Row],[Chronic RA label]]="LOQ","N",IF(Table22[[#This Row],[Chronic RA label]]="MRL","N","Y")))</f>
        <v>N</v>
      </c>
      <c r="BE231" s="1306" t="str">
        <f>IF(Table22[[#This Row],[Acute RA label]]="","N",IF(Table22[[#This Row],[Acute RA label]]="LOQ","N",IF(Table22[[#This Row],[Acute RA label]]="MRL","N","Y")))</f>
        <v>N</v>
      </c>
      <c r="BF231" s="1306" t="str">
        <f>IF(OR(Table22[[#This Row],[include commodity in Summary_input_values_chronic]]="Y",Table22[[#This Row],[include commodity in Summary_input_values_acute]]="Y"),"Y","N")</f>
        <v>N</v>
      </c>
      <c r="BG231" s="1299"/>
      <c r="BH231" s="1324"/>
    </row>
    <row r="232" spans="1:60" ht="12.75" customHeight="1" outlineLevel="3" x14ac:dyDescent="0.2">
      <c r="A232" s="39">
        <v>4</v>
      </c>
      <c r="B232" s="327">
        <v>401130</v>
      </c>
      <c r="C232" s="23" t="s">
        <v>756</v>
      </c>
      <c r="D232" s="867"/>
      <c r="E232" s="1219"/>
      <c r="F232" s="867"/>
      <c r="G232" s="869"/>
      <c r="H232" s="863"/>
      <c r="I232" s="868"/>
      <c r="J232" s="870"/>
      <c r="K232" s="865"/>
      <c r="L232" s="872"/>
      <c r="M232" s="874"/>
      <c r="N232" s="925" t="str">
        <f>IF(O232&lt;&gt;0,CONCATENATE(input_values!$AF232,input_values!$AG232,input_values!$AH232),"")</f>
        <v/>
      </c>
      <c r="O232" s="491">
        <f>IF($A$10="Refined calculation mode",Table22[[#This Row],[input for chronic (refined mode]],Table22[[#This Row],[input for chronic normal mode]])</f>
        <v>0</v>
      </c>
      <c r="P232" s="925" t="str">
        <f>IF(Q232&lt;&gt;0,CONCATENATE(input_values!$AN232,input_values!$AO232,input_values!$AP232),"")</f>
        <v/>
      </c>
      <c r="Q232" s="491">
        <f>IF($V$5=0,0,IF(OR($A$10="Refined calculation mode",Results!$B$62="Show results of IESTI calculation only for crops with GAPs under assessment"),Table22[[#This Row],[Input for IESTI (refined mode)]],Table22[[#This Row],[Input for IESTI normal mode]]))</f>
        <v>0</v>
      </c>
      <c r="R232" s="926" t="str">
        <f>IF(S232&lt;&gt;0,CONCATENATE(input_values!$AW232,input_values!$AX232,input_values!$AY232),"")</f>
        <v/>
      </c>
      <c r="S232" s="492">
        <f>IF($V$5=0,0,IF(OR($A$10="Refined calculation mode",Results!$B$62="Show results of IESTI calculation only for crops with GAPs under assessment"),Table22[[#This Row],[Input for IESTI new (refined mode)]],Table22[[#This Row],[Input for IESTI new normal mode]]))</f>
        <v>0</v>
      </c>
      <c r="T232" s="886"/>
      <c r="U232" s="1408">
        <f>Table22[[#This Row],[MRL/ proposed MRL /CXL
(mg/kg)]]</f>
        <v>0</v>
      </c>
      <c r="V232" s="1409" t="str">
        <f t="shared" si="143"/>
        <v/>
      </c>
      <c r="W232" s="1387">
        <f t="shared" si="144"/>
        <v>1</v>
      </c>
      <c r="X232" s="1387">
        <f t="shared" si="145"/>
        <v>1</v>
      </c>
      <c r="Y232" s="1387">
        <f t="shared" si="146"/>
        <v>1</v>
      </c>
      <c r="Z232" s="1410">
        <v>4</v>
      </c>
      <c r="AA232" s="1387">
        <f t="shared" si="124"/>
        <v>0</v>
      </c>
      <c r="AB232" s="1387">
        <f>IF(Z232=A232,IF(AND(L232="N",Table22[[#This Row],[LOQ_label]]="Y"),AA232,$AA232*$Y232),"")</f>
        <v>0</v>
      </c>
      <c r="AC232" s="1393">
        <f t="shared" si="125"/>
        <v>0</v>
      </c>
      <c r="AD232" s="1393">
        <f>IF(Table22[[#This Row],[Median residue*CF*PeF]]&lt;&gt;"",Table22[[#This Row],[Median residue*CF*PeF]],Table22[[#This Row],[MRL*CF*PeF (chronic)]])</f>
        <v>0</v>
      </c>
      <c r="AE232" s="1393">
        <f t="shared" si="126"/>
        <v>0</v>
      </c>
      <c r="AF232" s="1390" t="str">
        <f t="shared" si="127"/>
        <v>MRL</v>
      </c>
      <c r="AG232" s="1390" t="str">
        <f t="shared" si="128"/>
        <v/>
      </c>
      <c r="AH232" s="1394" t="str">
        <f t="shared" si="129"/>
        <v/>
      </c>
      <c r="AI232" s="1386">
        <v>4</v>
      </c>
      <c r="AJ232" s="1387">
        <f t="shared" si="130"/>
        <v>0</v>
      </c>
      <c r="AK232" s="1387">
        <f>IF(AI232=A232,IF(AND(L232="N",Table22[[#This Row],[LOQ_label]]="Y"),AJ232,$AJ232*$Y232),"")</f>
        <v>0</v>
      </c>
      <c r="AL232" s="1388">
        <f t="shared" si="131"/>
        <v>0</v>
      </c>
      <c r="AM232"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32" s="1451" t="str">
        <f>IF(AI232&lt;&gt;A232,"",IF(Table22[[#This Row],[Post-harvest treatment]]="",Table22[[#This Row],[label for chronic calculation]],IF(Table22[[#This Row],[Post-harvest treatment]]="N",Table22[[#This Row],[label for chronic calculation]],IF(Table22[[#This Row],[HR-RAC (highest residue)]]&gt;"","HR-RAC",IF(V232="Y","LOQ","MRL")))))</f>
        <v>MRL</v>
      </c>
      <c r="AO232" s="1390" t="str">
        <f t="shared" si="133"/>
        <v/>
      </c>
      <c r="AP232" s="1404" t="str">
        <f t="shared" si="134"/>
        <v/>
      </c>
      <c r="AQ232" s="1388">
        <f t="shared" si="135"/>
        <v>0</v>
      </c>
      <c r="AR232" s="1388" t="str">
        <f t="shared" si="136"/>
        <v/>
      </c>
      <c r="AS232" s="1388" t="str">
        <f t="shared" si="137"/>
        <v/>
      </c>
      <c r="AT232" s="1388" t="str">
        <f t="shared" si="138"/>
        <v/>
      </c>
      <c r="AU232" s="1393">
        <f t="shared" si="139"/>
        <v>0</v>
      </c>
      <c r="AV232" s="1388">
        <f t="shared" si="140"/>
        <v>0</v>
      </c>
      <c r="AW232" s="1390" t="str">
        <f t="shared" si="141"/>
        <v/>
      </c>
      <c r="AX232" s="1390" t="str">
        <f t="shared" si="147"/>
        <v/>
      </c>
      <c r="AY232" s="1394" t="str">
        <f t="shared" si="142"/>
        <v/>
      </c>
      <c r="AZ232" s="1395" t="str">
        <f>IF(Table22[[#This Row],[LOQ_label]]="Y",Table22[[#This Row],[MRL individual commodity]],"")</f>
        <v/>
      </c>
      <c r="BA232" s="1422">
        <v>3</v>
      </c>
      <c r="BB232" s="1411" t="str">
        <f>IF(Table22[[#This Row],[LOQ2]]&lt;0,MIN(AZ232:AZ608),"")</f>
        <v/>
      </c>
      <c r="BC232" s="1299"/>
      <c r="BD232" s="1306" t="str">
        <f>IF(Table22[[#This Row],[Chronic RA label]]="","N",IF(Table22[[#This Row],[Chronic RA label]]="LOQ","N",IF(Table22[[#This Row],[Chronic RA label]]="MRL","N","Y")))</f>
        <v>N</v>
      </c>
      <c r="BE232" s="1306" t="str">
        <f>IF(Table22[[#This Row],[Acute RA label]]="","N",IF(Table22[[#This Row],[Acute RA label]]="LOQ","N",IF(Table22[[#This Row],[Acute RA label]]="MRL","N","Y")))</f>
        <v>N</v>
      </c>
      <c r="BF232" s="1306" t="str">
        <f>IF(OR(Table22[[#This Row],[include commodity in Summary_input_values_chronic]]="Y",Table22[[#This Row],[include commodity in Summary_input_values_acute]]="Y"),"Y","N")</f>
        <v>N</v>
      </c>
      <c r="BG232" s="1299"/>
      <c r="BH232" s="1324"/>
    </row>
    <row r="233" spans="1:60" ht="12.75" customHeight="1" outlineLevel="3" x14ac:dyDescent="0.2">
      <c r="A233" s="39">
        <v>4</v>
      </c>
      <c r="B233" s="327">
        <v>401140</v>
      </c>
      <c r="C233" s="23" t="s">
        <v>757</v>
      </c>
      <c r="D233" s="867"/>
      <c r="E233" s="1219"/>
      <c r="F233" s="867"/>
      <c r="G233" s="869"/>
      <c r="H233" s="863"/>
      <c r="I233" s="868"/>
      <c r="J233" s="870"/>
      <c r="K233" s="865"/>
      <c r="L233" s="872"/>
      <c r="M233" s="874"/>
      <c r="N233" s="925" t="str">
        <f>IF(O233&lt;&gt;0,CONCATENATE(input_values!$AF233,input_values!$AG233,input_values!$AH233),"")</f>
        <v/>
      </c>
      <c r="O233" s="491">
        <f>IF($A$10="Refined calculation mode",Table22[[#This Row],[input for chronic (refined mode]],Table22[[#This Row],[input for chronic normal mode]])</f>
        <v>0</v>
      </c>
      <c r="P233" s="925" t="str">
        <f>IF(Q233&lt;&gt;0,CONCATENATE(input_values!$AN233,input_values!$AO233,input_values!$AP233),"")</f>
        <v/>
      </c>
      <c r="Q233" s="491">
        <f>IF($V$5=0,0,IF(OR($A$10="Refined calculation mode",Results!$B$62="Show results of IESTI calculation only for crops with GAPs under assessment"),Table22[[#This Row],[Input for IESTI (refined mode)]],Table22[[#This Row],[Input for IESTI normal mode]]))</f>
        <v>0</v>
      </c>
      <c r="R233" s="926" t="str">
        <f>IF(S233&lt;&gt;0,CONCATENATE(input_values!$AW233,input_values!$AX233,input_values!$AY233),"")</f>
        <v/>
      </c>
      <c r="S233" s="492">
        <f>IF($V$5=0,0,IF(OR($A$10="Refined calculation mode",Results!$B$62="Show results of IESTI calculation only for crops with GAPs under assessment"),Table22[[#This Row],[Input for IESTI new (refined mode)]],Table22[[#This Row],[Input for IESTI new normal mode]]))</f>
        <v>0</v>
      </c>
      <c r="T233" s="886"/>
      <c r="U233" s="1408">
        <f>Table22[[#This Row],[MRL/ proposed MRL /CXL
(mg/kg)]]</f>
        <v>0</v>
      </c>
      <c r="V233" s="1409" t="str">
        <f t="shared" si="143"/>
        <v/>
      </c>
      <c r="W233" s="1387">
        <f t="shared" si="144"/>
        <v>1</v>
      </c>
      <c r="X233" s="1387">
        <f t="shared" si="145"/>
        <v>1</v>
      </c>
      <c r="Y233" s="1387">
        <f t="shared" si="146"/>
        <v>1</v>
      </c>
      <c r="Z233" s="1410">
        <v>4</v>
      </c>
      <c r="AA233" s="1387">
        <f t="shared" si="124"/>
        <v>0</v>
      </c>
      <c r="AB233" s="1387">
        <f>IF(Z233=A233,IF(AND(L233="N",Table22[[#This Row],[LOQ_label]]="Y"),AA233,$AA233*$Y233),"")</f>
        <v>0</v>
      </c>
      <c r="AC233" s="1393">
        <f t="shared" si="125"/>
        <v>0</v>
      </c>
      <c r="AD233" s="1393">
        <f>IF(Table22[[#This Row],[Median residue*CF*PeF]]&lt;&gt;"",Table22[[#This Row],[Median residue*CF*PeF]],Table22[[#This Row],[MRL*CF*PeF (chronic)]])</f>
        <v>0</v>
      </c>
      <c r="AE233" s="1393">
        <f t="shared" si="126"/>
        <v>0</v>
      </c>
      <c r="AF233" s="1390" t="str">
        <f t="shared" si="127"/>
        <v>MRL</v>
      </c>
      <c r="AG233" s="1390" t="str">
        <f t="shared" si="128"/>
        <v/>
      </c>
      <c r="AH233" s="1394" t="str">
        <f t="shared" si="129"/>
        <v/>
      </c>
      <c r="AI233" s="1386">
        <v>4</v>
      </c>
      <c r="AJ233" s="1387">
        <f t="shared" si="130"/>
        <v>0</v>
      </c>
      <c r="AK233" s="1387">
        <f>IF(AI233=A233,IF(AND(L233="N",Table22[[#This Row],[LOQ_label]]="Y"),AJ233,$AJ233*$Y233),"")</f>
        <v>0</v>
      </c>
      <c r="AL233" s="1388">
        <f t="shared" si="131"/>
        <v>0</v>
      </c>
      <c r="AM233"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33" s="1451" t="str">
        <f>IF(AI233&lt;&gt;A233,"",IF(Table22[[#This Row],[Post-harvest treatment]]="",Table22[[#This Row],[label for chronic calculation]],IF(Table22[[#This Row],[Post-harvest treatment]]="N",Table22[[#This Row],[label for chronic calculation]],IF(Table22[[#This Row],[HR-RAC (highest residue)]]&gt;"","HR-RAC",IF(V233="Y","LOQ","MRL")))))</f>
        <v>MRL</v>
      </c>
      <c r="AO233" s="1390" t="str">
        <f t="shared" si="133"/>
        <v/>
      </c>
      <c r="AP233" s="1404" t="str">
        <f t="shared" si="134"/>
        <v/>
      </c>
      <c r="AQ233" s="1388">
        <f t="shared" si="135"/>
        <v>0</v>
      </c>
      <c r="AR233" s="1388" t="str">
        <f t="shared" si="136"/>
        <v/>
      </c>
      <c r="AS233" s="1388" t="str">
        <f t="shared" si="137"/>
        <v/>
      </c>
      <c r="AT233" s="1388" t="str">
        <f t="shared" si="138"/>
        <v/>
      </c>
      <c r="AU233" s="1393">
        <f t="shared" si="139"/>
        <v>0</v>
      </c>
      <c r="AV233" s="1388">
        <f t="shared" si="140"/>
        <v>0</v>
      </c>
      <c r="AW233" s="1390" t="str">
        <f t="shared" si="141"/>
        <v/>
      </c>
      <c r="AX233" s="1390" t="str">
        <f t="shared" si="147"/>
        <v/>
      </c>
      <c r="AY233" s="1394" t="str">
        <f t="shared" si="142"/>
        <v/>
      </c>
      <c r="AZ233" s="1395" t="str">
        <f>IF(Table22[[#This Row],[LOQ_label]]="Y",Table22[[#This Row],[MRL individual commodity]],"")</f>
        <v/>
      </c>
      <c r="BA233" s="1422">
        <v>3</v>
      </c>
      <c r="BB233" s="1411" t="str">
        <f>IF(Table22[[#This Row],[LOQ2]]&lt;0,MIN(AZ233:AZ609),"")</f>
        <v/>
      </c>
      <c r="BC233" s="1299"/>
      <c r="BD233" s="1306" t="str">
        <f>IF(Table22[[#This Row],[Chronic RA label]]="","N",IF(Table22[[#This Row],[Chronic RA label]]="LOQ","N",IF(Table22[[#This Row],[Chronic RA label]]="MRL","N","Y")))</f>
        <v>N</v>
      </c>
      <c r="BE233" s="1306" t="str">
        <f>IF(Table22[[#This Row],[Acute RA label]]="","N",IF(Table22[[#This Row],[Acute RA label]]="LOQ","N",IF(Table22[[#This Row],[Acute RA label]]="MRL","N","Y")))</f>
        <v>N</v>
      </c>
      <c r="BF233" s="1306" t="str">
        <f>IF(OR(Table22[[#This Row],[include commodity in Summary_input_values_chronic]]="Y",Table22[[#This Row],[include commodity in Summary_input_values_acute]]="Y"),"Y","N")</f>
        <v>N</v>
      </c>
      <c r="BG233" s="1299"/>
      <c r="BH233" s="1324"/>
    </row>
    <row r="234" spans="1:60" ht="12.75" customHeight="1" outlineLevel="3" x14ac:dyDescent="0.2">
      <c r="A234" s="39">
        <v>4</v>
      </c>
      <c r="B234" s="327">
        <v>401150</v>
      </c>
      <c r="C234" s="23" t="s">
        <v>758</v>
      </c>
      <c r="D234" s="867"/>
      <c r="E234" s="1219"/>
      <c r="F234" s="867"/>
      <c r="G234" s="869"/>
      <c r="H234" s="863"/>
      <c r="I234" s="868"/>
      <c r="J234" s="870"/>
      <c r="K234" s="865"/>
      <c r="L234" s="872"/>
      <c r="M234" s="874"/>
      <c r="N234" s="925" t="str">
        <f>IF(O234&lt;&gt;0,CONCATENATE(input_values!$AF234,input_values!$AG234,input_values!$AH234),"")</f>
        <v/>
      </c>
      <c r="O234" s="491">
        <f>IF($A$10="Refined calculation mode",Table22[[#This Row],[input for chronic (refined mode]],Table22[[#This Row],[input for chronic normal mode]])</f>
        <v>0</v>
      </c>
      <c r="P234" s="925" t="str">
        <f>IF(Q234&lt;&gt;0,CONCATENATE(input_values!$AN234,input_values!$AO234,input_values!$AP234),"")</f>
        <v/>
      </c>
      <c r="Q234" s="491">
        <f>IF($V$5=0,0,IF(OR($A$10="Refined calculation mode",Results!$B$62="Show results of IESTI calculation only for crops with GAPs under assessment"),Table22[[#This Row],[Input for IESTI (refined mode)]],Table22[[#This Row],[Input for IESTI normal mode]]))</f>
        <v>0</v>
      </c>
      <c r="R234" s="926" t="str">
        <f>IF(S234&lt;&gt;0,CONCATENATE(input_values!$AW234,input_values!$AX234,input_values!$AY234),"")</f>
        <v/>
      </c>
      <c r="S234" s="492">
        <f>IF($V$5=0,0,IF(OR($A$10="Refined calculation mode",Results!$B$62="Show results of IESTI calculation only for crops with GAPs under assessment"),Table22[[#This Row],[Input for IESTI new (refined mode)]],Table22[[#This Row],[Input for IESTI new normal mode]]))</f>
        <v>0</v>
      </c>
      <c r="T234" s="886"/>
      <c r="U234" s="1408">
        <f>Table22[[#This Row],[MRL/ proposed MRL /CXL
(mg/kg)]]</f>
        <v>0</v>
      </c>
      <c r="V234" s="1409" t="str">
        <f t="shared" si="143"/>
        <v/>
      </c>
      <c r="W234" s="1387">
        <f t="shared" si="144"/>
        <v>1</v>
      </c>
      <c r="X234" s="1387">
        <f t="shared" si="145"/>
        <v>1</v>
      </c>
      <c r="Y234" s="1387">
        <f t="shared" si="146"/>
        <v>1</v>
      </c>
      <c r="Z234" s="1410">
        <v>4</v>
      </c>
      <c r="AA234" s="1387">
        <f t="shared" si="124"/>
        <v>0</v>
      </c>
      <c r="AB234" s="1387">
        <f>IF(Z234=A234,IF(AND(L234="N",Table22[[#This Row],[LOQ_label]]="Y"),AA234,$AA234*$Y234),"")</f>
        <v>0</v>
      </c>
      <c r="AC234" s="1393">
        <f t="shared" si="125"/>
        <v>0</v>
      </c>
      <c r="AD234" s="1393">
        <f>IF(Table22[[#This Row],[Median residue*CF*PeF]]&lt;&gt;"",Table22[[#This Row],[Median residue*CF*PeF]],Table22[[#This Row],[MRL*CF*PeF (chronic)]])</f>
        <v>0</v>
      </c>
      <c r="AE234" s="1393">
        <f t="shared" si="126"/>
        <v>0</v>
      </c>
      <c r="AF234" s="1390" t="str">
        <f t="shared" si="127"/>
        <v>MRL</v>
      </c>
      <c r="AG234" s="1390" t="str">
        <f t="shared" si="128"/>
        <v/>
      </c>
      <c r="AH234" s="1394" t="str">
        <f t="shared" si="129"/>
        <v/>
      </c>
      <c r="AI234" s="1386">
        <v>4</v>
      </c>
      <c r="AJ234" s="1387">
        <f t="shared" si="130"/>
        <v>0</v>
      </c>
      <c r="AK234" s="1387">
        <f>IF(AI234=A234,IF(AND(L234="N",Table22[[#This Row],[LOQ_label]]="Y"),AJ234,$AJ234*$Y234),"")</f>
        <v>0</v>
      </c>
      <c r="AL234" s="1388">
        <f t="shared" si="131"/>
        <v>0</v>
      </c>
      <c r="AM234"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34" s="1451" t="str">
        <f>IF(AI234&lt;&gt;A234,"",IF(Table22[[#This Row],[Post-harvest treatment]]="",Table22[[#This Row],[label for chronic calculation]],IF(Table22[[#This Row],[Post-harvest treatment]]="N",Table22[[#This Row],[label for chronic calculation]],IF(Table22[[#This Row],[HR-RAC (highest residue)]]&gt;"","HR-RAC",IF(V234="Y","LOQ","MRL")))))</f>
        <v>MRL</v>
      </c>
      <c r="AO234" s="1390" t="str">
        <f t="shared" si="133"/>
        <v/>
      </c>
      <c r="AP234" s="1404" t="str">
        <f t="shared" si="134"/>
        <v/>
      </c>
      <c r="AQ234" s="1388">
        <f t="shared" si="135"/>
        <v>0</v>
      </c>
      <c r="AR234" s="1388" t="str">
        <f t="shared" si="136"/>
        <v/>
      </c>
      <c r="AS234" s="1388" t="str">
        <f t="shared" si="137"/>
        <v/>
      </c>
      <c r="AT234" s="1388" t="str">
        <f t="shared" si="138"/>
        <v/>
      </c>
      <c r="AU234" s="1393">
        <f t="shared" si="139"/>
        <v>0</v>
      </c>
      <c r="AV234" s="1388">
        <f t="shared" si="140"/>
        <v>0</v>
      </c>
      <c r="AW234" s="1390" t="str">
        <f t="shared" si="141"/>
        <v/>
      </c>
      <c r="AX234" s="1390" t="str">
        <f t="shared" si="147"/>
        <v/>
      </c>
      <c r="AY234" s="1394" t="str">
        <f t="shared" si="142"/>
        <v/>
      </c>
      <c r="AZ234" s="1395" t="str">
        <f>IF(Table22[[#This Row],[LOQ_label]]="Y",Table22[[#This Row],[MRL individual commodity]],"")</f>
        <v/>
      </c>
      <c r="BA234" s="1422">
        <v>3</v>
      </c>
      <c r="BB234" s="1411" t="str">
        <f>IF(Table22[[#This Row],[LOQ2]]&lt;0,MIN(AZ234:AZ610),"")</f>
        <v/>
      </c>
      <c r="BC234" s="1299"/>
      <c r="BD234" s="1306" t="str">
        <f>IF(Table22[[#This Row],[Chronic RA label]]="","N",IF(Table22[[#This Row],[Chronic RA label]]="LOQ","N",IF(Table22[[#This Row],[Chronic RA label]]="MRL","N","Y")))</f>
        <v>N</v>
      </c>
      <c r="BE234" s="1306" t="str">
        <f>IF(Table22[[#This Row],[Acute RA label]]="","N",IF(Table22[[#This Row],[Acute RA label]]="LOQ","N",IF(Table22[[#This Row],[Acute RA label]]="MRL","N","Y")))</f>
        <v>N</v>
      </c>
      <c r="BF234" s="1306" t="str">
        <f>IF(OR(Table22[[#This Row],[include commodity in Summary_input_values_chronic]]="Y",Table22[[#This Row],[include commodity in Summary_input_values_acute]]="Y"),"Y","N")</f>
        <v>N</v>
      </c>
      <c r="BG234" s="1299"/>
      <c r="BH234" s="1324"/>
    </row>
    <row r="235" spans="1:60" ht="12.75" customHeight="1" outlineLevel="3" x14ac:dyDescent="0.2">
      <c r="A235" s="39">
        <v>4</v>
      </c>
      <c r="B235" s="327">
        <v>401990</v>
      </c>
      <c r="C235" s="23" t="s">
        <v>178</v>
      </c>
      <c r="D235" s="867"/>
      <c r="E235" s="1219"/>
      <c r="F235" s="867"/>
      <c r="G235" s="868"/>
      <c r="H235" s="863"/>
      <c r="I235" s="868"/>
      <c r="J235" s="870"/>
      <c r="K235" s="865"/>
      <c r="L235" s="872"/>
      <c r="M235" s="874"/>
      <c r="N235" s="925" t="str">
        <f>IF(O235&lt;&gt;0,CONCATENATE(input_values!$AF235,input_values!$AG235,input_values!$AH235),"")</f>
        <v/>
      </c>
      <c r="O235" s="491">
        <f>IF($A$10="Refined calculation mode",Table22[[#This Row],[input for chronic (refined mode]],Table22[[#This Row],[input for chronic normal mode]])</f>
        <v>0</v>
      </c>
      <c r="P235" s="473"/>
      <c r="Q235" s="474"/>
      <c r="R235" s="473"/>
      <c r="S235" s="474"/>
      <c r="T235" s="886"/>
      <c r="U235" s="1408">
        <f>Table22[[#This Row],[MRL/ proposed MRL /CXL
(mg/kg)]]</f>
        <v>0</v>
      </c>
      <c r="V235" s="1409" t="str">
        <f t="shared" si="143"/>
        <v/>
      </c>
      <c r="W235" s="1387">
        <f t="shared" si="144"/>
        <v>1</v>
      </c>
      <c r="X235" s="1387">
        <f t="shared" si="145"/>
        <v>1</v>
      </c>
      <c r="Y235" s="1387">
        <f t="shared" si="146"/>
        <v>1</v>
      </c>
      <c r="Z235" s="1410">
        <v>4</v>
      </c>
      <c r="AA235" s="1387">
        <f t="shared" si="124"/>
        <v>0</v>
      </c>
      <c r="AB235" s="1387">
        <f>IF(Z235=A235,IF(AND(L235="N",Table22[[#This Row],[LOQ_label]]="Y"),AA235,$AA235*$Y235),"")</f>
        <v>0</v>
      </c>
      <c r="AC235" s="1393">
        <f t="shared" si="125"/>
        <v>0</v>
      </c>
      <c r="AD235" s="1393">
        <f>IF(Table22[[#This Row],[Median residue*CF*PeF]]&lt;&gt;"",Table22[[#This Row],[Median residue*CF*PeF]],Table22[[#This Row],[MRL*CF*PeF (chronic)]])</f>
        <v>0</v>
      </c>
      <c r="AE235" s="1393">
        <f t="shared" si="126"/>
        <v>0</v>
      </c>
      <c r="AF235" s="1390" t="str">
        <f t="shared" si="127"/>
        <v>MRL</v>
      </c>
      <c r="AG235" s="1390" t="str">
        <f t="shared" si="128"/>
        <v/>
      </c>
      <c r="AH235" s="1394" t="str">
        <f t="shared" si="129"/>
        <v/>
      </c>
      <c r="AI235" s="1386"/>
      <c r="AJ235" s="1387" t="str">
        <f t="shared" si="130"/>
        <v/>
      </c>
      <c r="AK235" s="1387" t="str">
        <f>IF(AI235=A235,IF(AND(L235="N",Table22[[#This Row],[LOQ_label]]="Y"),AJ235,$AJ235*$Y235),"")</f>
        <v/>
      </c>
      <c r="AL235" s="1388" t="str">
        <f t="shared" si="131"/>
        <v/>
      </c>
      <c r="AM235" s="1393" t="str">
        <f>IF(Table22[[#This Row],[Highest residue * CF*PF]]&lt;&gt;"",Table22[[#This Row],[Highest residue * CF*PF]],Table22[[#This Row],[MRL*CF*PF or MRL (if LOQ and not authorised) (acute RA)]])</f>
        <v/>
      </c>
      <c r="AN235" s="1423" t="str">
        <f t="shared" si="132"/>
        <v/>
      </c>
      <c r="AO235" s="1390" t="str">
        <f t="shared" si="133"/>
        <v/>
      </c>
      <c r="AP235" s="1404" t="str">
        <f t="shared" si="134"/>
        <v/>
      </c>
      <c r="AQ235" s="1388">
        <f t="shared" si="135"/>
        <v>0</v>
      </c>
      <c r="AR235" s="1388" t="str">
        <f t="shared" si="136"/>
        <v/>
      </c>
      <c r="AS235" s="1388" t="str">
        <f t="shared" si="137"/>
        <v/>
      </c>
      <c r="AT235" s="1388" t="str">
        <f t="shared" si="138"/>
        <v/>
      </c>
      <c r="AU235" s="1393" t="str">
        <f t="shared" si="139"/>
        <v/>
      </c>
      <c r="AV235" s="1388">
        <f t="shared" si="140"/>
        <v>0</v>
      </c>
      <c r="AW235" s="1390" t="str">
        <f t="shared" si="141"/>
        <v/>
      </c>
      <c r="AX235" s="1390" t="str">
        <f>IF(AND(AN235&lt;&gt;"",AY235&lt;&gt;""),"*","")</f>
        <v/>
      </c>
      <c r="AY235" s="1394" t="str">
        <f t="shared" si="142"/>
        <v/>
      </c>
      <c r="AZ235" s="1395" t="str">
        <f>IF(Table22[[#This Row],[LOQ_label]]="Y",Table22[[#This Row],[MRL individual commodity]],"")</f>
        <v/>
      </c>
      <c r="BA235" s="1396" t="s">
        <v>1159</v>
      </c>
      <c r="BB235" s="1411" t="str">
        <f>IF(Table22[[#This Row],[LOQ2]]&lt;0,MIN(AZ235:AZ611),"")</f>
        <v/>
      </c>
      <c r="BC235" s="1299"/>
      <c r="BD235" s="1306" t="str">
        <f>IF(Table22[[#This Row],[Chronic RA label]]="","N",IF(Table22[[#This Row],[Chronic RA label]]="LOQ","N",IF(Table22[[#This Row],[Chronic RA label]]="MRL","N","Y")))</f>
        <v>N</v>
      </c>
      <c r="BE235" s="1306" t="str">
        <f>IF(Table22[[#This Row],[Acute RA label]]="","N",IF(Table22[[#This Row],[Acute RA label]]="LOQ","N",IF(Table22[[#This Row],[Acute RA label]]="MRL","N","Y")))</f>
        <v>N</v>
      </c>
      <c r="BF235" s="1306" t="str">
        <f>IF(OR(Table22[[#This Row],[include commodity in Summary_input_values_chronic]]="Y",Table22[[#This Row],[include commodity in Summary_input_values_acute]]="Y"),"Y","N")</f>
        <v>N</v>
      </c>
      <c r="BG235" s="1299"/>
      <c r="BH235" s="1324"/>
    </row>
    <row r="236" spans="1:60" ht="12.75" customHeight="1" outlineLevel="1" x14ac:dyDescent="0.2">
      <c r="A236" s="130">
        <v>2</v>
      </c>
      <c r="B236" s="447">
        <v>402000</v>
      </c>
      <c r="C236" s="131" t="s">
        <v>759</v>
      </c>
      <c r="D236" s="862"/>
      <c r="E236" s="1218"/>
      <c r="F236" s="862"/>
      <c r="G236" s="866"/>
      <c r="H236" s="863"/>
      <c r="I236" s="863"/>
      <c r="J236" s="863"/>
      <c r="K236" s="865"/>
      <c r="L236" s="471"/>
      <c r="M236" s="471"/>
      <c r="N236" s="473"/>
      <c r="O236" s="474"/>
      <c r="P236" s="473"/>
      <c r="Q236" s="474"/>
      <c r="R236" s="473"/>
      <c r="S236" s="474"/>
      <c r="T236" s="886"/>
      <c r="U236" s="1415"/>
      <c r="V236" s="1380"/>
      <c r="W236" s="1381"/>
      <c r="X236" s="1381"/>
      <c r="Y236" s="1381"/>
      <c r="Z236" s="1382">
        <v>4</v>
      </c>
      <c r="AA236" s="1381" t="str">
        <f t="shared" si="124"/>
        <v/>
      </c>
      <c r="AB236" s="1381" t="str">
        <f>IF(Z236=A236,IF(AND(L236="N",Table22[[#This Row],[LOQ_label]]="Y"),AA236,$AA236*$Y236),"")</f>
        <v/>
      </c>
      <c r="AC236" s="1383" t="str">
        <f t="shared" si="125"/>
        <v/>
      </c>
      <c r="AD236" s="1383" t="str">
        <f>IF(Table22[[#This Row],[Median residue*CF*PeF]]&lt;&gt;"",Table22[[#This Row],[Median residue*CF*PeF]],Table22[[#This Row],[MRL*CF*PeF (chronic)]])</f>
        <v/>
      </c>
      <c r="AE236" s="1384">
        <f t="shared" si="126"/>
        <v>0</v>
      </c>
      <c r="AF236" s="1385" t="str">
        <f t="shared" si="127"/>
        <v/>
      </c>
      <c r="AG236" s="1385" t="str">
        <f t="shared" si="128"/>
        <v/>
      </c>
      <c r="AH236" s="1270" t="str">
        <f t="shared" si="129"/>
        <v/>
      </c>
      <c r="AI236" s="1386">
        <v>4</v>
      </c>
      <c r="AJ236" s="1387" t="str">
        <f t="shared" si="130"/>
        <v/>
      </c>
      <c r="AK236" s="1387" t="str">
        <f>IF(AI236=A236,IF(AND(L236="N",Table22[[#This Row],[LOQ_label]]="Y"),AJ236,$AJ236*$Y236),"")</f>
        <v/>
      </c>
      <c r="AL236" s="1388" t="str">
        <f t="shared" si="131"/>
        <v/>
      </c>
      <c r="AM236" s="1393" t="str">
        <f>IF(Table22[[#This Row],[Highest residue * CF*PF]]&lt;&gt;"",Table22[[#This Row],[Highest residue * CF*PF]],Table22[[#This Row],[MRL*CF*PF or MRL (if LOQ and not authorised) (acute RA)]])</f>
        <v/>
      </c>
      <c r="AN236" s="1390" t="str">
        <f t="shared" si="132"/>
        <v/>
      </c>
      <c r="AO236" s="1390" t="str">
        <f t="shared" si="133"/>
        <v/>
      </c>
      <c r="AP236" s="1404" t="str">
        <f t="shared" si="134"/>
        <v/>
      </c>
      <c r="AQ236" s="1388">
        <f t="shared" si="135"/>
        <v>0</v>
      </c>
      <c r="AR236" s="1388" t="str">
        <f t="shared" si="136"/>
        <v/>
      </c>
      <c r="AS236" s="1388" t="str">
        <f t="shared" si="137"/>
        <v/>
      </c>
      <c r="AT236" s="1388" t="str">
        <f t="shared" si="138"/>
        <v/>
      </c>
      <c r="AU236" s="1393" t="str">
        <f t="shared" si="139"/>
        <v/>
      </c>
      <c r="AV236" s="1388">
        <f t="shared" si="140"/>
        <v>0</v>
      </c>
      <c r="AW236" s="1390" t="str">
        <f t="shared" si="141"/>
        <v/>
      </c>
      <c r="AX236" s="1390" t="str">
        <f>IF(AND(AN236&lt;&gt;"",AY236&lt;&gt;""),"*","")</f>
        <v/>
      </c>
      <c r="AY236" s="1394" t="str">
        <f t="shared" si="142"/>
        <v/>
      </c>
      <c r="AZ236" s="1395">
        <f>IF(Table22[[#This Row],[LOQ_label]]="Y",Table22[[#This Row],[MRL individual commodity]],"")</f>
        <v>0</v>
      </c>
      <c r="BA236" s="1396" t="s">
        <v>1159</v>
      </c>
      <c r="BB236" s="1411" t="str">
        <f>IF(Table22[[#This Row],[LOQ2]]&lt;0,MIN(AZ236:AZ612),"")</f>
        <v/>
      </c>
      <c r="BC236" s="1299"/>
      <c r="BD236" s="1306" t="str">
        <f>IF(Table22[[#This Row],[Chronic RA label]]="","N",IF(Table22[[#This Row],[Chronic RA label]]="LOQ","N",IF(Table22[[#This Row],[Chronic RA label]]="MRL","N","Y")))</f>
        <v>N</v>
      </c>
      <c r="BE236" s="1306" t="str">
        <f>IF(Table22[[#This Row],[Acute RA label]]="","N",IF(Table22[[#This Row],[Acute RA label]]="LOQ","N",IF(Table22[[#This Row],[Acute RA label]]="MRL","N","Y")))</f>
        <v>N</v>
      </c>
      <c r="BF236" s="1306" t="str">
        <f>IF(OR(Table22[[#This Row],[include commodity in Summary_input_values_chronic]]="Y",Table22[[#This Row],[include commodity in Summary_input_values_acute]]="Y"),"Y","N")</f>
        <v>N</v>
      </c>
      <c r="BG236" s="1299"/>
      <c r="BH236" s="1324"/>
    </row>
    <row r="237" spans="1:60" ht="12.75" customHeight="1" outlineLevel="2" x14ac:dyDescent="0.2">
      <c r="A237" s="39">
        <v>4</v>
      </c>
      <c r="B237" s="327">
        <v>402010</v>
      </c>
      <c r="C237" s="23" t="s">
        <v>155</v>
      </c>
      <c r="D237" s="867"/>
      <c r="E237" s="1219"/>
      <c r="F237" s="867"/>
      <c r="G237" s="869"/>
      <c r="H237" s="863"/>
      <c r="I237" s="868"/>
      <c r="J237" s="870"/>
      <c r="K237" s="865"/>
      <c r="L237" s="872"/>
      <c r="M237" s="874"/>
      <c r="N237" s="925" t="str">
        <f>IF(O237&lt;&gt;0,CONCATENATE(input_values!$AF237,input_values!$AG237,input_values!$AH237),"")</f>
        <v/>
      </c>
      <c r="O237" s="491">
        <f>IF($A$10="Refined calculation mode",Table22[[#This Row],[input for chronic (refined mode]],Table22[[#This Row],[input for chronic normal mode]])</f>
        <v>0</v>
      </c>
      <c r="P237" s="925" t="str">
        <f>IF(Q237&lt;&gt;0,CONCATENATE(input_values!$AN237,input_values!$AO237,input_values!$AP237),"")</f>
        <v/>
      </c>
      <c r="Q237" s="491">
        <f>IF($V$5=0,0,IF(OR($A$10="Refined calculation mode",Results!$B$62="Show results of IESTI calculation only for crops with GAPs under assessment"),Table22[[#This Row],[Input for IESTI (refined mode)]],Table22[[#This Row],[Input for IESTI normal mode]]))</f>
        <v>0</v>
      </c>
      <c r="R237" s="926" t="str">
        <f>IF(S237&lt;&gt;0,CONCATENATE(input_values!$AW237,input_values!$AX237,input_values!$AY237),"")</f>
        <v/>
      </c>
      <c r="S237" s="492">
        <f>IF($V$5=0,0,IF(OR($A$10="Refined calculation mode",Results!$B$62="Show results of IESTI calculation only for crops with GAPs under assessment"),Table22[[#This Row],[Input for IESTI new (refined mode)]],Table22[[#This Row],[Input for IESTI new normal mode]]))</f>
        <v>0</v>
      </c>
      <c r="T237" s="886"/>
      <c r="U237" s="1408">
        <f>Table22[[#This Row],[MRL/ proposed MRL /CXL
(mg/kg)]]</f>
        <v>0</v>
      </c>
      <c r="V237" s="1409" t="str">
        <f>IF(ISBLANK(F237),"","Y")</f>
        <v/>
      </c>
      <c r="W237" s="1387">
        <f>IF($G237&gt;0,$G237,1)</f>
        <v>1</v>
      </c>
      <c r="X237" s="1387">
        <f>IF($H237&gt;0,$H237,1)</f>
        <v>1</v>
      </c>
      <c r="Y237" s="1387">
        <f>W237*X237</f>
        <v>1</v>
      </c>
      <c r="Z237" s="1410">
        <v>4</v>
      </c>
      <c r="AA237" s="1387">
        <f t="shared" si="124"/>
        <v>0</v>
      </c>
      <c r="AB237" s="1387">
        <f>IF(Z237=A237,IF(AND(L237="N",Table22[[#This Row],[LOQ_label]]="Y"),AA237,$AA237*$Y237),"")</f>
        <v>0</v>
      </c>
      <c r="AC237" s="1393">
        <f t="shared" si="125"/>
        <v>0</v>
      </c>
      <c r="AD237" s="1393">
        <f>IF(Table22[[#This Row],[Median residue*CF*PeF]]&lt;&gt;"",Table22[[#This Row],[Median residue*CF*PeF]],Table22[[#This Row],[MRL*CF*PeF (chronic)]])</f>
        <v>0</v>
      </c>
      <c r="AE237" s="1393">
        <f t="shared" si="126"/>
        <v>0</v>
      </c>
      <c r="AF237" s="1390" t="str">
        <f t="shared" si="127"/>
        <v>MRL</v>
      </c>
      <c r="AG237" s="1390" t="str">
        <f t="shared" si="128"/>
        <v/>
      </c>
      <c r="AH237" s="1394" t="str">
        <f t="shared" si="129"/>
        <v/>
      </c>
      <c r="AI237" s="1386">
        <v>4</v>
      </c>
      <c r="AJ237" s="1387">
        <f t="shared" si="130"/>
        <v>0</v>
      </c>
      <c r="AK237" s="1387">
        <f>IF(AI237=A237,IF(AND(L237="N",Table22[[#This Row],[LOQ_label]]="Y"),AJ237,$AJ237*$Y237),"")</f>
        <v>0</v>
      </c>
      <c r="AL237" s="1388">
        <f t="shared" si="131"/>
        <v>0</v>
      </c>
      <c r="AM237"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37" s="1451" t="str">
        <f>IF(AI237&lt;&gt;A237,"",IF(Table22[[#This Row],[Post-harvest treatment]]="",Table22[[#This Row],[label for chronic calculation]],IF(Table22[[#This Row],[Post-harvest treatment]]="N",Table22[[#This Row],[label for chronic calculation]],IF(Table22[[#This Row],[HR-RAC (highest residue)]]&gt;"","HR-RAC",IF(V237="Y","LOQ","MRL")))))</f>
        <v>MRL</v>
      </c>
      <c r="AO237" s="1390" t="str">
        <f t="shared" si="133"/>
        <v/>
      </c>
      <c r="AP237" s="1404" t="str">
        <f t="shared" si="134"/>
        <v/>
      </c>
      <c r="AQ237" s="1388">
        <f t="shared" si="135"/>
        <v>0</v>
      </c>
      <c r="AR237" s="1388" t="str">
        <f t="shared" si="136"/>
        <v/>
      </c>
      <c r="AS237" s="1388" t="str">
        <f t="shared" si="137"/>
        <v/>
      </c>
      <c r="AT237" s="1388" t="str">
        <f t="shared" si="138"/>
        <v/>
      </c>
      <c r="AU237" s="1393">
        <f t="shared" si="139"/>
        <v>0</v>
      </c>
      <c r="AV237" s="1388">
        <f t="shared" si="140"/>
        <v>0</v>
      </c>
      <c r="AW237" s="1390" t="str">
        <f t="shared" si="141"/>
        <v/>
      </c>
      <c r="AX237" s="1390" t="str">
        <f>IF(AND(AW237&lt;&gt;"",AY237&lt;&gt;""),"*","")</f>
        <v/>
      </c>
      <c r="AY237" s="1394" t="str">
        <f t="shared" si="142"/>
        <v/>
      </c>
      <c r="AZ237" s="1395" t="str">
        <f>IF(Table22[[#This Row],[LOQ_label]]="Y",Table22[[#This Row],[MRL individual commodity]],"")</f>
        <v/>
      </c>
      <c r="BA237" s="1422">
        <v>3</v>
      </c>
      <c r="BB237" s="1411" t="str">
        <f>IF(Table22[[#This Row],[LOQ2]]&lt;0,MIN(AZ237:AZ613),"")</f>
        <v/>
      </c>
      <c r="BC237" s="1299"/>
      <c r="BD237" s="1306" t="str">
        <f>IF(Table22[[#This Row],[Chronic RA label]]="","N",IF(Table22[[#This Row],[Chronic RA label]]="LOQ","N",IF(Table22[[#This Row],[Chronic RA label]]="MRL","N","Y")))</f>
        <v>N</v>
      </c>
      <c r="BE237" s="1306" t="str">
        <f>IF(Table22[[#This Row],[Acute RA label]]="","N",IF(Table22[[#This Row],[Acute RA label]]="LOQ","N",IF(Table22[[#This Row],[Acute RA label]]="MRL","N","Y")))</f>
        <v>N</v>
      </c>
      <c r="BF237" s="1306" t="str">
        <f>IF(OR(Table22[[#This Row],[include commodity in Summary_input_values_chronic]]="Y",Table22[[#This Row],[include commodity in Summary_input_values_acute]]="Y"),"Y","N")</f>
        <v>N</v>
      </c>
      <c r="BG237" s="1299"/>
      <c r="BH237" s="1324"/>
    </row>
    <row r="238" spans="1:60" ht="12.75" customHeight="1" outlineLevel="2" x14ac:dyDescent="0.2">
      <c r="A238" s="39">
        <v>4</v>
      </c>
      <c r="B238" s="327">
        <v>402020</v>
      </c>
      <c r="C238" s="23" t="s">
        <v>760</v>
      </c>
      <c r="D238" s="867"/>
      <c r="E238" s="1219"/>
      <c r="F238" s="867"/>
      <c r="G238" s="869"/>
      <c r="H238" s="863"/>
      <c r="I238" s="868"/>
      <c r="J238" s="870"/>
      <c r="K238" s="865"/>
      <c r="L238" s="872"/>
      <c r="M238" s="874"/>
      <c r="N238" s="925" t="str">
        <f>IF(O238&lt;&gt;0,CONCATENATE(input_values!$AF238,input_values!$AG238,input_values!$AH238),"")</f>
        <v/>
      </c>
      <c r="O238" s="491">
        <f>IF($A$10="Refined calculation mode",Table22[[#This Row],[input for chronic (refined mode]],Table22[[#This Row],[input for chronic normal mode]])</f>
        <v>0</v>
      </c>
      <c r="P238" s="925" t="str">
        <f>IF(Q238&lt;&gt;0,CONCATENATE(input_values!$AN238,input_values!$AO238,input_values!$AP238),"")</f>
        <v/>
      </c>
      <c r="Q238" s="491">
        <f>IF($V$5=0,0,IF(OR($A$10="Refined calculation mode",Results!$B$62="Show results of IESTI calculation only for crops with GAPs under assessment"),Table22[[#This Row],[Input for IESTI (refined mode)]],Table22[[#This Row],[Input for IESTI normal mode]]))</f>
        <v>0</v>
      </c>
      <c r="R238" s="926" t="str">
        <f>IF(S238&lt;&gt;0,CONCATENATE(input_values!$AW238,input_values!$AX238,input_values!$AY238),"")</f>
        <v/>
      </c>
      <c r="S238" s="492">
        <f>IF($V$5=0,0,IF(OR($A$10="Refined calculation mode",Results!$B$62="Show results of IESTI calculation only for crops with GAPs under assessment"),Table22[[#This Row],[Input for IESTI new (refined mode)]],Table22[[#This Row],[Input for IESTI new normal mode]]))</f>
        <v>0</v>
      </c>
      <c r="T238" s="886"/>
      <c r="U238" s="1408">
        <f>Table22[[#This Row],[MRL/ proposed MRL /CXL
(mg/kg)]]</f>
        <v>0</v>
      </c>
      <c r="V238" s="1409" t="str">
        <f>IF(ISBLANK(F238),"","Y")</f>
        <v/>
      </c>
      <c r="W238" s="1387">
        <f>IF($G238&gt;0,$G238,1)</f>
        <v>1</v>
      </c>
      <c r="X238" s="1387">
        <f>IF($H238&gt;0,$H238,1)</f>
        <v>1</v>
      </c>
      <c r="Y238" s="1387">
        <f>W238*X238</f>
        <v>1</v>
      </c>
      <c r="Z238" s="1410">
        <v>4</v>
      </c>
      <c r="AA238" s="1387">
        <f t="shared" si="124"/>
        <v>0</v>
      </c>
      <c r="AB238" s="1387">
        <f>IF(Z238=A238,IF(AND(L238="N",Table22[[#This Row],[LOQ_label]]="Y"),AA238,$AA238*$Y238),"")</f>
        <v>0</v>
      </c>
      <c r="AC238" s="1393">
        <f t="shared" si="125"/>
        <v>0</v>
      </c>
      <c r="AD238" s="1393">
        <f>IF(Table22[[#This Row],[Median residue*CF*PeF]]&lt;&gt;"",Table22[[#This Row],[Median residue*CF*PeF]],Table22[[#This Row],[MRL*CF*PeF (chronic)]])</f>
        <v>0</v>
      </c>
      <c r="AE238" s="1393">
        <f t="shared" si="126"/>
        <v>0</v>
      </c>
      <c r="AF238" s="1390" t="str">
        <f t="shared" si="127"/>
        <v>MRL</v>
      </c>
      <c r="AG238" s="1390" t="str">
        <f t="shared" si="128"/>
        <v/>
      </c>
      <c r="AH238" s="1394" t="str">
        <f t="shared" si="129"/>
        <v/>
      </c>
      <c r="AI238" s="1386">
        <v>4</v>
      </c>
      <c r="AJ238" s="1387">
        <f t="shared" si="130"/>
        <v>0</v>
      </c>
      <c r="AK238" s="1387">
        <f>IF(AI238=A238,IF(AND(L238="N",Table22[[#This Row],[LOQ_label]]="Y"),AJ238,$AJ238*$Y238),"")</f>
        <v>0</v>
      </c>
      <c r="AL238" s="1388">
        <f t="shared" si="131"/>
        <v>0</v>
      </c>
      <c r="AM238"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38" s="1451" t="str">
        <f>IF(AI238&lt;&gt;A238,"",IF(Table22[[#This Row],[Post-harvest treatment]]="",Table22[[#This Row],[label for chronic calculation]],IF(Table22[[#This Row],[Post-harvest treatment]]="N",Table22[[#This Row],[label for chronic calculation]],IF(Table22[[#This Row],[HR-RAC (highest residue)]]&gt;"","HR-RAC",IF(V238="Y","LOQ","MRL")))))</f>
        <v>MRL</v>
      </c>
      <c r="AO238" s="1390" t="str">
        <f t="shared" si="133"/>
        <v/>
      </c>
      <c r="AP238" s="1404" t="str">
        <f t="shared" si="134"/>
        <v/>
      </c>
      <c r="AQ238" s="1388">
        <f t="shared" si="135"/>
        <v>0</v>
      </c>
      <c r="AR238" s="1388" t="str">
        <f t="shared" si="136"/>
        <v/>
      </c>
      <c r="AS238" s="1388" t="str">
        <f t="shared" si="137"/>
        <v/>
      </c>
      <c r="AT238" s="1388" t="str">
        <f t="shared" si="138"/>
        <v/>
      </c>
      <c r="AU238" s="1393">
        <f t="shared" si="139"/>
        <v>0</v>
      </c>
      <c r="AV238" s="1388">
        <f t="shared" si="140"/>
        <v>0</v>
      </c>
      <c r="AW238" s="1390" t="str">
        <f t="shared" si="141"/>
        <v/>
      </c>
      <c r="AX238" s="1390" t="str">
        <f>IF(AND(AW238&lt;&gt;"",AY238&lt;&gt;""),"*","")</f>
        <v/>
      </c>
      <c r="AY238" s="1394" t="str">
        <f t="shared" si="142"/>
        <v/>
      </c>
      <c r="AZ238" s="1395" t="str">
        <f>IF(Table22[[#This Row],[LOQ_label]]="Y",Table22[[#This Row],[MRL individual commodity]],"")</f>
        <v/>
      </c>
      <c r="BA238" s="1422">
        <v>3</v>
      </c>
      <c r="BB238" s="1411" t="str">
        <f>IF(Table22[[#This Row],[LOQ2]]&lt;0,MIN(AZ238:AZ614),"")</f>
        <v/>
      </c>
      <c r="BC238" s="1299"/>
      <c r="BD238" s="1306" t="str">
        <f>IF(Table22[[#This Row],[Chronic RA label]]="","N",IF(Table22[[#This Row],[Chronic RA label]]="LOQ","N",IF(Table22[[#This Row],[Chronic RA label]]="MRL","N","Y")))</f>
        <v>N</v>
      </c>
      <c r="BE238" s="1306" t="str">
        <f>IF(Table22[[#This Row],[Acute RA label]]="","N",IF(Table22[[#This Row],[Acute RA label]]="LOQ","N",IF(Table22[[#This Row],[Acute RA label]]="MRL","N","Y")))</f>
        <v>N</v>
      </c>
      <c r="BF238" s="1306" t="str">
        <f>IF(OR(Table22[[#This Row],[include commodity in Summary_input_values_chronic]]="Y",Table22[[#This Row],[include commodity in Summary_input_values_acute]]="Y"),"Y","N")</f>
        <v>N</v>
      </c>
      <c r="BG238" s="1299"/>
      <c r="BH238" s="1324"/>
    </row>
    <row r="239" spans="1:60" ht="12.75" customHeight="1" outlineLevel="2" x14ac:dyDescent="0.2">
      <c r="A239" s="39">
        <v>4</v>
      </c>
      <c r="B239" s="327">
        <v>402030</v>
      </c>
      <c r="C239" s="23" t="s">
        <v>761</v>
      </c>
      <c r="D239" s="867"/>
      <c r="E239" s="1219"/>
      <c r="F239" s="867"/>
      <c r="G239" s="869"/>
      <c r="H239" s="863"/>
      <c r="I239" s="868"/>
      <c r="J239" s="870"/>
      <c r="K239" s="865"/>
      <c r="L239" s="872"/>
      <c r="M239" s="874"/>
      <c r="N239" s="925" t="str">
        <f>IF(O239&lt;&gt;0,CONCATENATE(input_values!$AF239,input_values!$AG239,input_values!$AH239),"")</f>
        <v/>
      </c>
      <c r="O239" s="491">
        <f>IF($A$10="Refined calculation mode",Table22[[#This Row],[input for chronic (refined mode]],Table22[[#This Row],[input for chronic normal mode]])</f>
        <v>0</v>
      </c>
      <c r="P239" s="925" t="str">
        <f>IF(Q239&lt;&gt;0,CONCATENATE(input_values!$AN239,input_values!$AO239,input_values!$AP239),"")</f>
        <v/>
      </c>
      <c r="Q239" s="491">
        <f>IF($V$5=0,0,IF(OR($A$10="Refined calculation mode",Results!$B$62="Show results of IESTI calculation only for crops with GAPs under assessment"),Table22[[#This Row],[Input for IESTI (refined mode)]],Table22[[#This Row],[Input for IESTI normal mode]]))</f>
        <v>0</v>
      </c>
      <c r="R239" s="926" t="str">
        <f>IF(S239&lt;&gt;0,CONCATENATE(input_values!$AW239,input_values!$AX239,input_values!$AY239),"")</f>
        <v/>
      </c>
      <c r="S239" s="492">
        <f>IF($V$5=0,0,IF(OR($A$10="Refined calculation mode",Results!$B$62="Show results of IESTI calculation only for crops with GAPs under assessment"),Table22[[#This Row],[Input for IESTI new (refined mode)]],Table22[[#This Row],[Input for IESTI new normal mode]]))</f>
        <v>0</v>
      </c>
      <c r="T239" s="886"/>
      <c r="U239" s="1408">
        <f>Table22[[#This Row],[MRL/ proposed MRL /CXL
(mg/kg)]]</f>
        <v>0</v>
      </c>
      <c r="V239" s="1409" t="str">
        <f>IF(ISBLANK(F239),"","Y")</f>
        <v/>
      </c>
      <c r="W239" s="1387">
        <f>IF($G239&gt;0,$G239,1)</f>
        <v>1</v>
      </c>
      <c r="X239" s="1387">
        <f>IF($H239&gt;0,$H239,1)</f>
        <v>1</v>
      </c>
      <c r="Y239" s="1387">
        <f>W239*X239</f>
        <v>1</v>
      </c>
      <c r="Z239" s="1410">
        <v>4</v>
      </c>
      <c r="AA239" s="1387">
        <f t="shared" si="124"/>
        <v>0</v>
      </c>
      <c r="AB239" s="1387">
        <f>IF(Z239=A239,IF(AND(L239="N",Table22[[#This Row],[LOQ_label]]="Y"),AA239,$AA239*$Y239),"")</f>
        <v>0</v>
      </c>
      <c r="AC239" s="1393">
        <f t="shared" si="125"/>
        <v>0</v>
      </c>
      <c r="AD239" s="1393">
        <f>IF(Table22[[#This Row],[Median residue*CF*PeF]]&lt;&gt;"",Table22[[#This Row],[Median residue*CF*PeF]],Table22[[#This Row],[MRL*CF*PeF (chronic)]])</f>
        <v>0</v>
      </c>
      <c r="AE239" s="1393">
        <f t="shared" si="126"/>
        <v>0</v>
      </c>
      <c r="AF239" s="1390" t="str">
        <f t="shared" si="127"/>
        <v>MRL</v>
      </c>
      <c r="AG239" s="1390" t="str">
        <f t="shared" si="128"/>
        <v/>
      </c>
      <c r="AH239" s="1394" t="str">
        <f t="shared" si="129"/>
        <v/>
      </c>
      <c r="AI239" s="1386">
        <v>4</v>
      </c>
      <c r="AJ239" s="1387">
        <f t="shared" si="130"/>
        <v>0</v>
      </c>
      <c r="AK239" s="1387">
        <f>IF(AI239=A239,IF(AND(L239="N",Table22[[#This Row],[LOQ_label]]="Y"),AJ239,$AJ239*$Y239),"")</f>
        <v>0</v>
      </c>
      <c r="AL239" s="1388">
        <f t="shared" si="131"/>
        <v>0</v>
      </c>
      <c r="AM239"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39" s="1451" t="str">
        <f>IF(AI239&lt;&gt;A239,"",IF(Table22[[#This Row],[Post-harvest treatment]]="",Table22[[#This Row],[label for chronic calculation]],IF(Table22[[#This Row],[Post-harvest treatment]]="N",Table22[[#This Row],[label for chronic calculation]],IF(Table22[[#This Row],[HR-RAC (highest residue)]]&gt;"","HR-RAC",IF(V239="Y","LOQ","MRL")))))</f>
        <v>MRL</v>
      </c>
      <c r="AO239" s="1390" t="str">
        <f t="shared" si="133"/>
        <v/>
      </c>
      <c r="AP239" s="1404" t="str">
        <f t="shared" si="134"/>
        <v/>
      </c>
      <c r="AQ239" s="1388">
        <f t="shared" si="135"/>
        <v>0</v>
      </c>
      <c r="AR239" s="1388" t="str">
        <f t="shared" si="136"/>
        <v/>
      </c>
      <c r="AS239" s="1388" t="str">
        <f t="shared" si="137"/>
        <v/>
      </c>
      <c r="AT239" s="1388" t="str">
        <f t="shared" si="138"/>
        <v/>
      </c>
      <c r="AU239" s="1393">
        <f t="shared" si="139"/>
        <v>0</v>
      </c>
      <c r="AV239" s="1388">
        <f t="shared" si="140"/>
        <v>0</v>
      </c>
      <c r="AW239" s="1390" t="str">
        <f t="shared" si="141"/>
        <v/>
      </c>
      <c r="AX239" s="1390" t="str">
        <f>IF(AND(AW239&lt;&gt;"",AY239&lt;&gt;""),"*","")</f>
        <v/>
      </c>
      <c r="AY239" s="1394" t="str">
        <f t="shared" si="142"/>
        <v/>
      </c>
      <c r="AZ239" s="1395" t="str">
        <f>IF(Table22[[#This Row],[LOQ_label]]="Y",Table22[[#This Row],[MRL individual commodity]],"")</f>
        <v/>
      </c>
      <c r="BA239" s="1422">
        <v>3</v>
      </c>
      <c r="BB239" s="1411" t="str">
        <f>IF(Table22[[#This Row],[LOQ2]]&lt;0,MIN(AZ239:AZ615),"")</f>
        <v/>
      </c>
      <c r="BC239" s="1299"/>
      <c r="BD239" s="1306" t="str">
        <f>IF(Table22[[#This Row],[Chronic RA label]]="","N",IF(Table22[[#This Row],[Chronic RA label]]="LOQ","N",IF(Table22[[#This Row],[Chronic RA label]]="MRL","N","Y")))</f>
        <v>N</v>
      </c>
      <c r="BE239" s="1306" t="str">
        <f>IF(Table22[[#This Row],[Acute RA label]]="","N",IF(Table22[[#This Row],[Acute RA label]]="LOQ","N",IF(Table22[[#This Row],[Acute RA label]]="MRL","N","Y")))</f>
        <v>N</v>
      </c>
      <c r="BF239" s="1306" t="str">
        <f>IF(OR(Table22[[#This Row],[include commodity in Summary_input_values_chronic]]="Y",Table22[[#This Row],[include commodity in Summary_input_values_acute]]="Y"),"Y","N")</f>
        <v>N</v>
      </c>
      <c r="BG239" s="1299"/>
      <c r="BH239" s="1324"/>
    </row>
    <row r="240" spans="1:60" ht="12.75" customHeight="1" outlineLevel="2" x14ac:dyDescent="0.2">
      <c r="A240" s="39">
        <v>4</v>
      </c>
      <c r="B240" s="327">
        <v>402040</v>
      </c>
      <c r="C240" s="23" t="s">
        <v>156</v>
      </c>
      <c r="D240" s="867"/>
      <c r="E240" s="1219"/>
      <c r="F240" s="867"/>
      <c r="G240" s="869"/>
      <c r="H240" s="863"/>
      <c r="I240" s="868"/>
      <c r="J240" s="870"/>
      <c r="K240" s="865"/>
      <c r="L240" s="872"/>
      <c r="M240" s="874"/>
      <c r="N240" s="925" t="str">
        <f>IF(O240&lt;&gt;0,CONCATENATE(input_values!$AF240,input_values!$AG240,input_values!$AH240),"")</f>
        <v/>
      </c>
      <c r="O240" s="491">
        <f>IF($A$10="Refined calculation mode",Table22[[#This Row],[input for chronic (refined mode]],Table22[[#This Row],[input for chronic normal mode]])</f>
        <v>0</v>
      </c>
      <c r="P240" s="925" t="str">
        <f>IF(Q240&lt;&gt;0,CONCATENATE(input_values!$AN240,input_values!$AO240,input_values!$AP240),"")</f>
        <v/>
      </c>
      <c r="Q240" s="491">
        <f>IF($V$5=0,0,IF(OR($A$10="Refined calculation mode",Results!$B$62="Show results of IESTI calculation only for crops with GAPs under assessment"),Table22[[#This Row],[Input for IESTI (refined mode)]],Table22[[#This Row],[Input for IESTI normal mode]]))</f>
        <v>0</v>
      </c>
      <c r="R240" s="926" t="str">
        <f>IF(S240&lt;&gt;0,CONCATENATE(input_values!$AW240,input_values!$AX240,input_values!$AY240),"")</f>
        <v/>
      </c>
      <c r="S240" s="492">
        <f>IF($V$5=0,0,IF(OR($A$10="Refined calculation mode",Results!$B$62="Show results of IESTI calculation only for crops with GAPs under assessment"),Table22[[#This Row],[Input for IESTI new (refined mode)]],Table22[[#This Row],[Input for IESTI new normal mode]]))</f>
        <v>0</v>
      </c>
      <c r="T240" s="886"/>
      <c r="U240" s="1408">
        <f>Table22[[#This Row],[MRL/ proposed MRL /CXL
(mg/kg)]]</f>
        <v>0</v>
      </c>
      <c r="V240" s="1409" t="str">
        <f>IF(ISBLANK(F240),"","Y")</f>
        <v/>
      </c>
      <c r="W240" s="1387">
        <f>IF($G240&gt;0,$G240,1)</f>
        <v>1</v>
      </c>
      <c r="X240" s="1387">
        <f>IF($H240&gt;0,$H240,1)</f>
        <v>1</v>
      </c>
      <c r="Y240" s="1387">
        <f>W240*X240</f>
        <v>1</v>
      </c>
      <c r="Z240" s="1410">
        <v>4</v>
      </c>
      <c r="AA240" s="1387">
        <f t="shared" si="124"/>
        <v>0</v>
      </c>
      <c r="AB240" s="1387">
        <f>IF(Z240=A240,IF(AND(L240="N",Table22[[#This Row],[LOQ_label]]="Y"),AA240,$AA240*$Y240),"")</f>
        <v>0</v>
      </c>
      <c r="AC240" s="1393">
        <f t="shared" si="125"/>
        <v>0</v>
      </c>
      <c r="AD240" s="1393">
        <f>IF(Table22[[#This Row],[Median residue*CF*PeF]]&lt;&gt;"",Table22[[#This Row],[Median residue*CF*PeF]],Table22[[#This Row],[MRL*CF*PeF (chronic)]])</f>
        <v>0</v>
      </c>
      <c r="AE240" s="1393">
        <f t="shared" si="126"/>
        <v>0</v>
      </c>
      <c r="AF240" s="1390" t="str">
        <f t="shared" si="127"/>
        <v>MRL</v>
      </c>
      <c r="AG240" s="1390" t="str">
        <f t="shared" si="128"/>
        <v/>
      </c>
      <c r="AH240" s="1394" t="str">
        <f t="shared" si="129"/>
        <v/>
      </c>
      <c r="AI240" s="1386">
        <v>4</v>
      </c>
      <c r="AJ240" s="1387">
        <f t="shared" si="130"/>
        <v>0</v>
      </c>
      <c r="AK240" s="1387">
        <f>IF(AI240=A240,IF(AND(L240="N",Table22[[#This Row],[LOQ_label]]="Y"),AJ240,$AJ240*$Y240),"")</f>
        <v>0</v>
      </c>
      <c r="AL240" s="1388">
        <f t="shared" si="131"/>
        <v>0</v>
      </c>
      <c r="AM240" s="1420">
        <f>IF(Table22[[#This Row],[Case for acute RA children/adults]]=3,Table22[[#This Row],[Chronic RA input value]],IF(Table22[[#This Row],[Highest residue * CF*PF]]&lt;&gt;"",Table22[[#This Row],[Highest residue * CF*PF]],Table22[[#This Row],[MRL*CF*PF or MRL (if LOQ and not authorised) (acute RA)]]))</f>
        <v>0</v>
      </c>
      <c r="AN240" s="1421" t="str">
        <f t="shared" si="132"/>
        <v>MRL</v>
      </c>
      <c r="AO240" s="1390" t="str">
        <f t="shared" si="133"/>
        <v/>
      </c>
      <c r="AP240" s="1404" t="str">
        <f t="shared" si="134"/>
        <v/>
      </c>
      <c r="AQ240" s="1388">
        <f t="shared" si="135"/>
        <v>0</v>
      </c>
      <c r="AR240" s="1388" t="str">
        <f t="shared" si="136"/>
        <v/>
      </c>
      <c r="AS240" s="1388" t="str">
        <f t="shared" si="137"/>
        <v/>
      </c>
      <c r="AT240" s="1388" t="str">
        <f t="shared" si="138"/>
        <v/>
      </c>
      <c r="AU240" s="1393">
        <f t="shared" si="139"/>
        <v>0</v>
      </c>
      <c r="AV240" s="1388">
        <f t="shared" si="140"/>
        <v>0</v>
      </c>
      <c r="AW240" s="1390" t="str">
        <f t="shared" si="141"/>
        <v/>
      </c>
      <c r="AX240" s="1390" t="str">
        <f>IF(AND(AW240&lt;&gt;"",AY240&lt;&gt;""),"*","")</f>
        <v/>
      </c>
      <c r="AY240" s="1394" t="str">
        <f t="shared" si="142"/>
        <v/>
      </c>
      <c r="AZ240" s="1395" t="str">
        <f>IF(Table22[[#This Row],[LOQ_label]]="Y",Table22[[#This Row],[MRL individual commodity]],"")</f>
        <v/>
      </c>
      <c r="BA240" s="1396" t="s">
        <v>618</v>
      </c>
      <c r="BB240" s="1411" t="str">
        <f>IF(Table22[[#This Row],[LOQ2]]&lt;0,MIN(AZ240:AZ616),"")</f>
        <v/>
      </c>
      <c r="BC240" s="1299"/>
      <c r="BD240" s="1306" t="str">
        <f>IF(Table22[[#This Row],[Chronic RA label]]="","N",IF(Table22[[#This Row],[Chronic RA label]]="LOQ","N",IF(Table22[[#This Row],[Chronic RA label]]="MRL","N","Y")))</f>
        <v>N</v>
      </c>
      <c r="BE240" s="1306" t="str">
        <f>IF(Table22[[#This Row],[Acute RA label]]="","N",IF(Table22[[#This Row],[Acute RA label]]="LOQ","N",IF(Table22[[#This Row],[Acute RA label]]="MRL","N","Y")))</f>
        <v>N</v>
      </c>
      <c r="BF240" s="1306" t="str">
        <f>IF(OR(Table22[[#This Row],[include commodity in Summary_input_values_chronic]]="Y",Table22[[#This Row],[include commodity in Summary_input_values_acute]]="Y"),"Y","N")</f>
        <v>N</v>
      </c>
      <c r="BG240" s="1299"/>
      <c r="BH240" s="1324"/>
    </row>
    <row r="241" spans="1:60" ht="12.75" customHeight="1" outlineLevel="2" x14ac:dyDescent="0.2">
      <c r="A241" s="39">
        <v>4</v>
      </c>
      <c r="B241" s="327">
        <v>402990</v>
      </c>
      <c r="C241" s="23" t="s">
        <v>179</v>
      </c>
      <c r="D241" s="867"/>
      <c r="E241" s="1219"/>
      <c r="F241" s="867"/>
      <c r="G241" s="868"/>
      <c r="H241" s="863"/>
      <c r="I241" s="868"/>
      <c r="J241" s="870"/>
      <c r="K241" s="865"/>
      <c r="L241" s="872"/>
      <c r="M241" s="874"/>
      <c r="N241" s="925" t="str">
        <f>IF(O241&lt;&gt;0,CONCATENATE(input_values!$AF241,input_values!$AG241,input_values!$AH241),"")</f>
        <v/>
      </c>
      <c r="O241" s="491">
        <f>IF($A$10="Refined calculation mode",Table22[[#This Row],[input for chronic (refined mode]],Table22[[#This Row],[input for chronic normal mode]])</f>
        <v>0</v>
      </c>
      <c r="P241" s="473"/>
      <c r="Q241" s="474"/>
      <c r="R241" s="473"/>
      <c r="S241" s="474"/>
      <c r="T241" s="886"/>
      <c r="U241" s="1408">
        <f>Table22[[#This Row],[MRL/ proposed MRL /CXL
(mg/kg)]]</f>
        <v>0</v>
      </c>
      <c r="V241" s="1409" t="str">
        <f>IF(ISBLANK(F241),"","Y")</f>
        <v/>
      </c>
      <c r="W241" s="1387">
        <f>IF($G241&gt;0,$G241,1)</f>
        <v>1</v>
      </c>
      <c r="X241" s="1387">
        <f>IF($H241&gt;0,$H241,1)</f>
        <v>1</v>
      </c>
      <c r="Y241" s="1387">
        <f>W241*X241</f>
        <v>1</v>
      </c>
      <c r="Z241" s="1410">
        <v>4</v>
      </c>
      <c r="AA241" s="1387">
        <f t="shared" si="124"/>
        <v>0</v>
      </c>
      <c r="AB241" s="1387">
        <f>IF(Z241=A241,IF(AND(L241="N",Table22[[#This Row],[LOQ_label]]="Y"),AA241,$AA241*$Y241),"")</f>
        <v>0</v>
      </c>
      <c r="AC241" s="1393">
        <f t="shared" si="125"/>
        <v>0</v>
      </c>
      <c r="AD241" s="1393">
        <f>IF(Table22[[#This Row],[Median residue*CF*PeF]]&lt;&gt;"",Table22[[#This Row],[Median residue*CF*PeF]],Table22[[#This Row],[MRL*CF*PeF (chronic)]])</f>
        <v>0</v>
      </c>
      <c r="AE241" s="1393">
        <f t="shared" si="126"/>
        <v>0</v>
      </c>
      <c r="AF241" s="1390" t="str">
        <f t="shared" si="127"/>
        <v>MRL</v>
      </c>
      <c r="AG241" s="1390" t="str">
        <f t="shared" si="128"/>
        <v/>
      </c>
      <c r="AH241" s="1394" t="str">
        <f t="shared" si="129"/>
        <v/>
      </c>
      <c r="AI241" s="1386"/>
      <c r="AJ241" s="1387" t="str">
        <f t="shared" si="130"/>
        <v/>
      </c>
      <c r="AK241" s="1387" t="str">
        <f>IF(AI241=A241,IF(AND(L241="N",Table22[[#This Row],[LOQ_label]]="Y"),AJ241,$AJ241*$Y241),"")</f>
        <v/>
      </c>
      <c r="AL241" s="1388" t="str">
        <f t="shared" si="131"/>
        <v/>
      </c>
      <c r="AM241" s="1420" t="str">
        <f>IF(Table22[[#This Row],[Case for acute RA children/adults]]=3,Table22[[#This Row],[Chronic RA input value]],IF(Table22[[#This Row],[Highest residue * CF*PF]]&lt;&gt;"",Table22[[#This Row],[Highest residue * CF*PF]],Table22[[#This Row],[MRL*CF*PF or MRL (if LOQ and not authorised) (acute RA)]]))</f>
        <v/>
      </c>
      <c r="AN241" s="1421" t="str">
        <f t="shared" si="132"/>
        <v/>
      </c>
      <c r="AO241" s="1390" t="str">
        <f t="shared" si="133"/>
        <v/>
      </c>
      <c r="AP241" s="1404" t="str">
        <f t="shared" si="134"/>
        <v/>
      </c>
      <c r="AQ241" s="1388">
        <f t="shared" si="135"/>
        <v>0</v>
      </c>
      <c r="AR241" s="1388" t="str">
        <f t="shared" si="136"/>
        <v/>
      </c>
      <c r="AS241" s="1388" t="str">
        <f t="shared" si="137"/>
        <v/>
      </c>
      <c r="AT241" s="1388" t="str">
        <f t="shared" si="138"/>
        <v/>
      </c>
      <c r="AU241" s="1393" t="str">
        <f t="shared" si="139"/>
        <v/>
      </c>
      <c r="AV241" s="1388">
        <f t="shared" si="140"/>
        <v>0</v>
      </c>
      <c r="AW241" s="1390" t="str">
        <f t="shared" si="141"/>
        <v/>
      </c>
      <c r="AX241" s="1390" t="str">
        <f>IF(AND(AN241&lt;&gt;"",AY241&lt;&gt;""),"*","")</f>
        <v/>
      </c>
      <c r="AY241" s="1394" t="str">
        <f t="shared" si="142"/>
        <v/>
      </c>
      <c r="AZ241" s="1395" t="str">
        <f>IF(Table22[[#This Row],[LOQ_label]]="Y",Table22[[#This Row],[MRL individual commodity]],"")</f>
        <v/>
      </c>
      <c r="BA241" s="1396" t="s">
        <v>1159</v>
      </c>
      <c r="BB241" s="1411" t="str">
        <f>IF(Table22[[#This Row],[LOQ2]]&lt;0,MIN(AZ241:AZ617),"")</f>
        <v/>
      </c>
      <c r="BC241" s="1299"/>
      <c r="BD241" s="1306" t="str">
        <f>IF(Table22[[#This Row],[Chronic RA label]]="","N",IF(Table22[[#This Row],[Chronic RA label]]="LOQ","N",IF(Table22[[#This Row],[Chronic RA label]]="MRL","N","Y")))</f>
        <v>N</v>
      </c>
      <c r="BE241" s="1306" t="str">
        <f>IF(Table22[[#This Row],[Acute RA label]]="","N",IF(Table22[[#This Row],[Acute RA label]]="LOQ","N",IF(Table22[[#This Row],[Acute RA label]]="MRL","N","Y")))</f>
        <v>N</v>
      </c>
      <c r="BF241" s="1306" t="str">
        <f>IF(OR(Table22[[#This Row],[include commodity in Summary_input_values_chronic]]="Y",Table22[[#This Row],[include commodity in Summary_input_values_acute]]="Y"),"Y","N")</f>
        <v>N</v>
      </c>
      <c r="BG241" s="1299"/>
      <c r="BH241" s="1324"/>
    </row>
    <row r="242" spans="1:60" ht="12.75" customHeight="1" x14ac:dyDescent="0.2">
      <c r="A242" s="126">
        <v>1</v>
      </c>
      <c r="B242" s="446">
        <v>500000</v>
      </c>
      <c r="C242" s="127" t="s">
        <v>142</v>
      </c>
      <c r="D242" s="862"/>
      <c r="E242" s="1218"/>
      <c r="F242" s="862"/>
      <c r="G242" s="866"/>
      <c r="H242" s="863"/>
      <c r="I242" s="863"/>
      <c r="J242" s="863"/>
      <c r="K242" s="865"/>
      <c r="L242" s="471"/>
      <c r="M242" s="471"/>
      <c r="N242" s="473"/>
      <c r="O242" s="474"/>
      <c r="P242" s="473"/>
      <c r="Q242" s="474"/>
      <c r="R242" s="473"/>
      <c r="S242" s="474"/>
      <c r="T242" s="886"/>
      <c r="U242" s="1415"/>
      <c r="V242" s="1380"/>
      <c r="W242" s="1381"/>
      <c r="X242" s="1381"/>
      <c r="Y242" s="1381"/>
      <c r="Z242" s="1382">
        <v>4</v>
      </c>
      <c r="AA242" s="1381" t="str">
        <f t="shared" si="124"/>
        <v/>
      </c>
      <c r="AB242" s="1381" t="str">
        <f>IF(Z242=A242,IF(AND(L242="N",Table22[[#This Row],[LOQ_label]]="Y"),AA242,$AA242*$Y242),"")</f>
        <v/>
      </c>
      <c r="AC242" s="1383" t="str">
        <f t="shared" si="125"/>
        <v/>
      </c>
      <c r="AD242" s="1383" t="str">
        <f>IF(Table22[[#This Row],[Median residue*CF*PeF]]&lt;&gt;"",Table22[[#This Row],[Median residue*CF*PeF]],Table22[[#This Row],[MRL*CF*PeF (chronic)]])</f>
        <v/>
      </c>
      <c r="AE242" s="1384">
        <f t="shared" si="126"/>
        <v>0</v>
      </c>
      <c r="AF242" s="1385" t="str">
        <f t="shared" si="127"/>
        <v/>
      </c>
      <c r="AG242" s="1385" t="str">
        <f t="shared" si="128"/>
        <v/>
      </c>
      <c r="AH242" s="1270" t="str">
        <f t="shared" si="129"/>
        <v/>
      </c>
      <c r="AI242" s="1386">
        <v>4</v>
      </c>
      <c r="AJ242" s="1387" t="str">
        <f t="shared" si="130"/>
        <v/>
      </c>
      <c r="AK242" s="1387" t="str">
        <f>IF(AI242=A242,IF(AND(L242="N",Table22[[#This Row],[LOQ_label]]="Y"),AJ242,$AJ242*$Y242),"")</f>
        <v/>
      </c>
      <c r="AL242" s="1388" t="str">
        <f t="shared" si="131"/>
        <v/>
      </c>
      <c r="AM242" s="1393" t="str">
        <f>IF(Table22[[#This Row],[Highest residue * CF*PF]]&lt;&gt;"",Table22[[#This Row],[Highest residue * CF*PF]],Table22[[#This Row],[MRL*CF*PF or MRL (if LOQ and not authorised) (acute RA)]])</f>
        <v/>
      </c>
      <c r="AN242" s="1390" t="str">
        <f t="shared" si="132"/>
        <v/>
      </c>
      <c r="AO242" s="1390" t="str">
        <f t="shared" si="133"/>
        <v/>
      </c>
      <c r="AP242" s="1404" t="str">
        <f t="shared" si="134"/>
        <v/>
      </c>
      <c r="AQ242" s="1388">
        <f t="shared" si="135"/>
        <v>0</v>
      </c>
      <c r="AR242" s="1388" t="str">
        <f t="shared" si="136"/>
        <v/>
      </c>
      <c r="AS242" s="1388" t="str">
        <f t="shared" si="137"/>
        <v/>
      </c>
      <c r="AT242" s="1388" t="str">
        <f t="shared" si="138"/>
        <v/>
      </c>
      <c r="AU242" s="1393" t="str">
        <f t="shared" si="139"/>
        <v/>
      </c>
      <c r="AV242" s="1388">
        <f t="shared" si="140"/>
        <v>0</v>
      </c>
      <c r="AW242" s="1390" t="str">
        <f t="shared" si="141"/>
        <v/>
      </c>
      <c r="AX242" s="1390" t="str">
        <f>IF(AND(AN242&lt;&gt;"",AY242&lt;&gt;""),"*","")</f>
        <v/>
      </c>
      <c r="AY242" s="1394" t="str">
        <f t="shared" si="142"/>
        <v/>
      </c>
      <c r="AZ242" s="1395">
        <f>IF(Table22[[#This Row],[LOQ_label]]="Y",Table22[[#This Row],[MRL individual commodity]],"")</f>
        <v>0</v>
      </c>
      <c r="BA242" s="1396" t="s">
        <v>1159</v>
      </c>
      <c r="BB242" s="1411" t="str">
        <f>IF(Table22[[#This Row],[LOQ2]]&lt;0,MIN(AZ242:AZ618),"")</f>
        <v/>
      </c>
      <c r="BC242" s="1299"/>
      <c r="BD242" s="1306" t="str">
        <f>IF(Table22[[#This Row],[Chronic RA label]]="","N",IF(Table22[[#This Row],[Chronic RA label]]="LOQ","N",IF(Table22[[#This Row],[Chronic RA label]]="MRL","N","Y")))</f>
        <v>N</v>
      </c>
      <c r="BE242" s="1306" t="str">
        <f>IF(Table22[[#This Row],[Acute RA label]]="","N",IF(Table22[[#This Row],[Acute RA label]]="LOQ","N",IF(Table22[[#This Row],[Acute RA label]]="MRL","N","Y")))</f>
        <v>N</v>
      </c>
      <c r="BF242" s="1306" t="str">
        <f>IF(OR(Table22[[#This Row],[include commodity in Summary_input_values_chronic]]="Y",Table22[[#This Row],[include commodity in Summary_input_values_acute]]="Y"),"Y","N")</f>
        <v>N</v>
      </c>
      <c r="BG242" s="1299"/>
      <c r="BH242" s="1324"/>
    </row>
    <row r="243" spans="1:60" ht="12.75" customHeight="1" outlineLevel="2" x14ac:dyDescent="0.2">
      <c r="A243" s="39">
        <v>4</v>
      </c>
      <c r="B243" s="327">
        <v>500010</v>
      </c>
      <c r="C243" s="23" t="s">
        <v>157</v>
      </c>
      <c r="D243" s="867"/>
      <c r="E243" s="1219"/>
      <c r="F243" s="867"/>
      <c r="G243" s="869"/>
      <c r="H243" s="863"/>
      <c r="I243" s="868"/>
      <c r="J243" s="870"/>
      <c r="K243" s="865"/>
      <c r="L243" s="872"/>
      <c r="M243" s="874"/>
      <c r="N243" s="925" t="str">
        <f>IF(O243&lt;&gt;0,CONCATENATE(input_values!$AF243,input_values!$AG243,input_values!$AH243),"")</f>
        <v/>
      </c>
      <c r="O243" s="491">
        <f>IF($A$10="Refined calculation mode",Table22[[#This Row],[input for chronic (refined mode]],Table22[[#This Row],[input for chronic normal mode]])</f>
        <v>0</v>
      </c>
      <c r="P243" s="925" t="str">
        <f>IF(Q243&lt;&gt;0,CONCATENATE(input_values!$AN243,input_values!$AO243,input_values!$AP243),"")</f>
        <v/>
      </c>
      <c r="Q243" s="927">
        <f>IF($V$5=0,0,IF(OR($A$10="Refined calculation mode",Results!$B$62="Show results of IESTI calculation only for crops with GAPs under assessment"),Table22[[#This Row],[Input for IESTI (refined mode)]],Table22[[#This Row],[Input for IESTI normal mode]]))</f>
        <v>0</v>
      </c>
      <c r="R243" s="926" t="str">
        <f>IF(S243&lt;&gt;0,CONCATENATE(input_values!$AW243,input_values!$AX243,input_values!$AY243),"")</f>
        <v/>
      </c>
      <c r="S243" s="492">
        <f>IF($V$5=0,0,IF(OR($A$10="Refined calculation mode",Results!$B$62="Show results of IESTI calculation only for crops with GAPs under assessment"),Table22[[#This Row],[Input for IESTI new (refined mode)]],Table22[[#This Row],[Input for IESTI new normal mode]]))</f>
        <v>0</v>
      </c>
      <c r="T243" s="886"/>
      <c r="U243" s="1408">
        <f>Table22[[#This Row],[MRL/ proposed MRL /CXL
(mg/kg)]]</f>
        <v>0</v>
      </c>
      <c r="V243" s="1409" t="str">
        <f t="shared" ref="V243:V252" si="148">IF(ISBLANK(F243),"","Y")</f>
        <v/>
      </c>
      <c r="W243" s="1387">
        <f t="shared" ref="W243:W252" si="149">IF($G243&gt;0,$G243,1)</f>
        <v>1</v>
      </c>
      <c r="X243" s="1387">
        <f t="shared" ref="X243:X252" si="150">IF($H243&gt;0,$H243,1)</f>
        <v>1</v>
      </c>
      <c r="Y243" s="1387">
        <f t="shared" ref="Y243:Y252" si="151">W243*X243</f>
        <v>1</v>
      </c>
      <c r="Z243" s="1410">
        <v>4</v>
      </c>
      <c r="AA243" s="1387">
        <f t="shared" si="124"/>
        <v>0</v>
      </c>
      <c r="AB243" s="1387">
        <f>IF(Z243=A243,IF(AND(L243="N",Table22[[#This Row],[LOQ_label]]="Y"),AA243,$AA243*$Y243),"")</f>
        <v>0</v>
      </c>
      <c r="AC243" s="1393">
        <f t="shared" si="125"/>
        <v>0</v>
      </c>
      <c r="AD243" s="1393">
        <f>IF(Table22[[#This Row],[Median residue*CF*PeF]]&lt;&gt;"",Table22[[#This Row],[Median residue*CF*PeF]],Table22[[#This Row],[MRL*CF*PeF (chronic)]])</f>
        <v>0</v>
      </c>
      <c r="AE243" s="1393">
        <f t="shared" si="126"/>
        <v>0</v>
      </c>
      <c r="AF243" s="1390" t="str">
        <f t="shared" si="127"/>
        <v>MRL</v>
      </c>
      <c r="AG243" s="1390" t="str">
        <f t="shared" si="128"/>
        <v/>
      </c>
      <c r="AH243" s="1394" t="str">
        <f t="shared" si="129"/>
        <v/>
      </c>
      <c r="AI243" s="1386">
        <v>4</v>
      </c>
      <c r="AJ243" s="1387">
        <f t="shared" si="130"/>
        <v>0</v>
      </c>
      <c r="AK243" s="1387">
        <f>IF(AI243=A243,IF(AND(L243="N",Table22[[#This Row],[LOQ_label]]="Y"),AJ243,$AJ243*$Y243),"")</f>
        <v>0</v>
      </c>
      <c r="AL243" s="1388">
        <f t="shared" si="131"/>
        <v>0</v>
      </c>
      <c r="AM243"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43" s="1451" t="str">
        <f>IF(AI243&lt;&gt;A243,"",IF(Table22[[#This Row],[Post-harvest treatment]]="",Table22[[#This Row],[label for chronic calculation]],IF(Table22[[#This Row],[Post-harvest treatment]]="N",Table22[[#This Row],[label for chronic calculation]],IF(Table22[[#This Row],[HR-RAC (highest residue)]]&gt;"","HR-RAC",IF(V243="Y","LOQ","MRL")))))</f>
        <v>MRL</v>
      </c>
      <c r="AO243" s="1390" t="str">
        <f t="shared" si="133"/>
        <v/>
      </c>
      <c r="AP243" s="1404" t="str">
        <f t="shared" si="134"/>
        <v/>
      </c>
      <c r="AQ243" s="1388">
        <f t="shared" si="135"/>
        <v>0</v>
      </c>
      <c r="AR243" s="1388" t="str">
        <f t="shared" si="136"/>
        <v/>
      </c>
      <c r="AS243" s="1388" t="str">
        <f t="shared" si="137"/>
        <v/>
      </c>
      <c r="AT243" s="1388" t="str">
        <f t="shared" si="138"/>
        <v/>
      </c>
      <c r="AU243" s="1393">
        <f t="shared" si="139"/>
        <v>0</v>
      </c>
      <c r="AV243" s="1388">
        <f t="shared" si="140"/>
        <v>0</v>
      </c>
      <c r="AW243" s="1390" t="str">
        <f t="shared" si="141"/>
        <v/>
      </c>
      <c r="AX243" s="1390" t="str">
        <f t="shared" ref="AX243:AX251" si="152">IF(AND(AW243&lt;&gt;"",AY243&lt;&gt;""),"*","")</f>
        <v/>
      </c>
      <c r="AY243" s="1394" t="str">
        <f t="shared" si="142"/>
        <v/>
      </c>
      <c r="AZ243" s="1395" t="str">
        <f>IF(Table22[[#This Row],[LOQ_label]]="Y",Table22[[#This Row],[MRL individual commodity]],"")</f>
        <v/>
      </c>
      <c r="BA243" s="1422">
        <v>3</v>
      </c>
      <c r="BB243" s="1411" t="str">
        <f>IF(Table22[[#This Row],[LOQ2]]&lt;0,MIN(AZ243:AZ619),"")</f>
        <v/>
      </c>
      <c r="BC243" s="1299"/>
      <c r="BD243" s="1306" t="str">
        <f>IF(Table22[[#This Row],[Chronic RA label]]="","N",IF(Table22[[#This Row],[Chronic RA label]]="LOQ","N",IF(Table22[[#This Row],[Chronic RA label]]="MRL","N","Y")))</f>
        <v>N</v>
      </c>
      <c r="BE243" s="1306" t="str">
        <f>IF(Table22[[#This Row],[Acute RA label]]="","N",IF(Table22[[#This Row],[Acute RA label]]="LOQ","N",IF(Table22[[#This Row],[Acute RA label]]="MRL","N","Y")))</f>
        <v>N</v>
      </c>
      <c r="BF243" s="1306" t="str">
        <f>IF(OR(Table22[[#This Row],[include commodity in Summary_input_values_chronic]]="Y",Table22[[#This Row],[include commodity in Summary_input_values_acute]]="Y"),"Y","N")</f>
        <v>N</v>
      </c>
      <c r="BG243" s="1299"/>
      <c r="BH243" s="1324"/>
    </row>
    <row r="244" spans="1:60" ht="12.75" customHeight="1" outlineLevel="2" x14ac:dyDescent="0.2">
      <c r="A244" s="39">
        <v>4</v>
      </c>
      <c r="B244" s="327">
        <v>500020</v>
      </c>
      <c r="C244" s="23" t="s">
        <v>762</v>
      </c>
      <c r="D244" s="867"/>
      <c r="E244" s="1219"/>
      <c r="F244" s="867"/>
      <c r="G244" s="869"/>
      <c r="H244" s="863"/>
      <c r="I244" s="868"/>
      <c r="J244" s="870"/>
      <c r="K244" s="865"/>
      <c r="L244" s="872"/>
      <c r="M244" s="874"/>
      <c r="N244" s="925" t="str">
        <f>IF(O244&lt;&gt;0,CONCATENATE(input_values!$AF244,input_values!$AG244,input_values!$AH244),"")</f>
        <v/>
      </c>
      <c r="O244" s="491">
        <f>IF($A$10="Refined calculation mode",Table22[[#This Row],[input for chronic (refined mode]],Table22[[#This Row],[input for chronic normal mode]])</f>
        <v>0</v>
      </c>
      <c r="P244" s="925" t="str">
        <f>IF(Q244&lt;&gt;0,CONCATENATE(input_values!$AN244,input_values!$AO244,input_values!$AP244),"")</f>
        <v/>
      </c>
      <c r="Q244" s="491">
        <f>IF($V$5=0,0,IF(OR($A$10="Refined calculation mode",Results!$B$62="Show results of IESTI calculation only for crops with GAPs under assessment"),Table22[[#This Row],[Input for IESTI (refined mode)]],Table22[[#This Row],[Input for IESTI normal mode]]))</f>
        <v>0</v>
      </c>
      <c r="R244" s="926" t="str">
        <f>IF(S244&lt;&gt;0,CONCATENATE(input_values!$AW244,input_values!$AX244,input_values!$AY244),"")</f>
        <v/>
      </c>
      <c r="S244" s="492">
        <f>IF($V$5=0,0,IF(OR($A$10="Refined calculation mode",Results!$B$62="Show results of IESTI calculation only for crops with GAPs under assessment"),Table22[[#This Row],[Input for IESTI new (refined mode)]],Table22[[#This Row],[Input for IESTI new normal mode]]))</f>
        <v>0</v>
      </c>
      <c r="T244" s="886"/>
      <c r="U244" s="1408">
        <f>Table22[[#This Row],[MRL/ proposed MRL /CXL
(mg/kg)]]</f>
        <v>0</v>
      </c>
      <c r="V244" s="1409" t="str">
        <f t="shared" si="148"/>
        <v/>
      </c>
      <c r="W244" s="1387">
        <f t="shared" si="149"/>
        <v>1</v>
      </c>
      <c r="X244" s="1387">
        <f t="shared" si="150"/>
        <v>1</v>
      </c>
      <c r="Y244" s="1387">
        <f t="shared" si="151"/>
        <v>1</v>
      </c>
      <c r="Z244" s="1410">
        <v>4</v>
      </c>
      <c r="AA244" s="1387">
        <f t="shared" si="124"/>
        <v>0</v>
      </c>
      <c r="AB244" s="1387">
        <f>IF(Z244=A244,IF(AND(L244="N",Table22[[#This Row],[LOQ_label]]="Y"),AA244,$AA244*$Y244),"")</f>
        <v>0</v>
      </c>
      <c r="AC244" s="1393">
        <f t="shared" si="125"/>
        <v>0</v>
      </c>
      <c r="AD244" s="1393">
        <f>IF(Table22[[#This Row],[Median residue*CF*PeF]]&lt;&gt;"",Table22[[#This Row],[Median residue*CF*PeF]],Table22[[#This Row],[MRL*CF*PeF (chronic)]])</f>
        <v>0</v>
      </c>
      <c r="AE244" s="1393">
        <f t="shared" si="126"/>
        <v>0</v>
      </c>
      <c r="AF244" s="1390" t="str">
        <f t="shared" si="127"/>
        <v>MRL</v>
      </c>
      <c r="AG244" s="1390" t="str">
        <f t="shared" si="128"/>
        <v/>
      </c>
      <c r="AH244" s="1394" t="str">
        <f t="shared" si="129"/>
        <v/>
      </c>
      <c r="AI244" s="1386">
        <v>4</v>
      </c>
      <c r="AJ244" s="1387">
        <f t="shared" si="130"/>
        <v>0</v>
      </c>
      <c r="AK244" s="1387">
        <f>IF(AI244=A244,IF(AND(L244="N",Table22[[#This Row],[LOQ_label]]="Y"),AJ244,$AJ244*$Y244),"")</f>
        <v>0</v>
      </c>
      <c r="AL244" s="1388">
        <f t="shared" si="131"/>
        <v>0</v>
      </c>
      <c r="AM244"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44" s="1451" t="str">
        <f>IF(AI244&lt;&gt;A244,"",IF(Table22[[#This Row],[Post-harvest treatment]]="",Table22[[#This Row],[label for chronic calculation]],IF(Table22[[#This Row],[Post-harvest treatment]]="N",Table22[[#This Row],[label for chronic calculation]],IF(Table22[[#This Row],[HR-RAC (highest residue)]]&gt;"","HR-RAC",IF(V244="Y","LOQ","MRL")))))</f>
        <v>MRL</v>
      </c>
      <c r="AO244" s="1390" t="str">
        <f t="shared" si="133"/>
        <v/>
      </c>
      <c r="AP244" s="1404" t="str">
        <f t="shared" si="134"/>
        <v/>
      </c>
      <c r="AQ244" s="1388">
        <f t="shared" si="135"/>
        <v>0</v>
      </c>
      <c r="AR244" s="1388" t="str">
        <f t="shared" si="136"/>
        <v/>
      </c>
      <c r="AS244" s="1388" t="str">
        <f t="shared" si="137"/>
        <v/>
      </c>
      <c r="AT244" s="1388" t="str">
        <f t="shared" si="138"/>
        <v/>
      </c>
      <c r="AU244" s="1393">
        <f t="shared" si="139"/>
        <v>0</v>
      </c>
      <c r="AV244" s="1388">
        <f t="shared" si="140"/>
        <v>0</v>
      </c>
      <c r="AW244" s="1390" t="str">
        <f t="shared" si="141"/>
        <v/>
      </c>
      <c r="AX244" s="1390" t="str">
        <f t="shared" si="152"/>
        <v/>
      </c>
      <c r="AY244" s="1394" t="str">
        <f t="shared" si="142"/>
        <v/>
      </c>
      <c r="AZ244" s="1395" t="str">
        <f>IF(Table22[[#This Row],[LOQ_label]]="Y",Table22[[#This Row],[MRL individual commodity]],"")</f>
        <v/>
      </c>
      <c r="BA244" s="1422">
        <v>3</v>
      </c>
      <c r="BB244" s="1411" t="str">
        <f>IF(Table22[[#This Row],[LOQ2]]&lt;0,MIN(AZ244:AZ620),"")</f>
        <v/>
      </c>
      <c r="BC244" s="1299"/>
      <c r="BD244" s="1306" t="str">
        <f>IF(Table22[[#This Row],[Chronic RA label]]="","N",IF(Table22[[#This Row],[Chronic RA label]]="LOQ","N",IF(Table22[[#This Row],[Chronic RA label]]="MRL","N","Y")))</f>
        <v>N</v>
      </c>
      <c r="BE244" s="1306" t="str">
        <f>IF(Table22[[#This Row],[Acute RA label]]="","N",IF(Table22[[#This Row],[Acute RA label]]="LOQ","N",IF(Table22[[#This Row],[Acute RA label]]="MRL","N","Y")))</f>
        <v>N</v>
      </c>
      <c r="BF244" s="1306" t="str">
        <f>IF(OR(Table22[[#This Row],[include commodity in Summary_input_values_chronic]]="Y",Table22[[#This Row],[include commodity in Summary_input_values_acute]]="Y"),"Y","N")</f>
        <v>N</v>
      </c>
      <c r="BG244" s="1299"/>
      <c r="BH244" s="1324"/>
    </row>
    <row r="245" spans="1:60" ht="12.75" customHeight="1" outlineLevel="2" x14ac:dyDescent="0.2">
      <c r="A245" s="39">
        <v>4</v>
      </c>
      <c r="B245" s="327">
        <v>500030</v>
      </c>
      <c r="C245" s="23" t="s">
        <v>763</v>
      </c>
      <c r="D245" s="867"/>
      <c r="E245" s="1219"/>
      <c r="F245" s="867"/>
      <c r="G245" s="869"/>
      <c r="H245" s="863"/>
      <c r="I245" s="868"/>
      <c r="J245" s="870"/>
      <c r="K245" s="865"/>
      <c r="L245" s="872"/>
      <c r="M245" s="874"/>
      <c r="N245" s="925" t="str">
        <f>IF(O245&lt;&gt;0,CONCATENATE(input_values!$AF245,input_values!$AG245,input_values!$AH245),"")</f>
        <v/>
      </c>
      <c r="O245" s="491">
        <f>IF($A$10="Refined calculation mode",Table22[[#This Row],[input for chronic (refined mode]],Table22[[#This Row],[input for chronic normal mode]])</f>
        <v>0</v>
      </c>
      <c r="P245" s="925" t="str">
        <f>IF(Q245&lt;&gt;0,CONCATENATE(input_values!$AN245,input_values!$AO245,input_values!$AP245),"")</f>
        <v/>
      </c>
      <c r="Q245" s="491">
        <f>IF($V$5=0,0,IF(OR($A$10="Refined calculation mode",Results!$B$62="Show results of IESTI calculation only for crops with GAPs under assessment"),Table22[[#This Row],[Input for IESTI (refined mode)]],Table22[[#This Row],[Input for IESTI normal mode]]))</f>
        <v>0</v>
      </c>
      <c r="R245" s="926" t="str">
        <f>IF(S245&lt;&gt;0,CONCATENATE(input_values!$AW245,input_values!$AX245,input_values!$AY245),"")</f>
        <v/>
      </c>
      <c r="S245" s="492">
        <f>IF($V$5=0,0,IF(OR($A$10="Refined calculation mode",Results!$B$62="Show results of IESTI calculation only for crops with GAPs under assessment"),Table22[[#This Row],[Input for IESTI new (refined mode)]],Table22[[#This Row],[Input for IESTI new normal mode]]))</f>
        <v>0</v>
      </c>
      <c r="T245" s="886"/>
      <c r="U245" s="1408">
        <f>Table22[[#This Row],[MRL/ proposed MRL /CXL
(mg/kg)]]</f>
        <v>0</v>
      </c>
      <c r="V245" s="1409" t="str">
        <f t="shared" si="148"/>
        <v/>
      </c>
      <c r="W245" s="1387">
        <f t="shared" si="149"/>
        <v>1</v>
      </c>
      <c r="X245" s="1387">
        <f t="shared" si="150"/>
        <v>1</v>
      </c>
      <c r="Y245" s="1387">
        <f t="shared" si="151"/>
        <v>1</v>
      </c>
      <c r="Z245" s="1410">
        <v>4</v>
      </c>
      <c r="AA245" s="1387">
        <f t="shared" si="124"/>
        <v>0</v>
      </c>
      <c r="AB245" s="1387">
        <f>IF(Z245=A245,IF(AND(L245="N",Table22[[#This Row],[LOQ_label]]="Y"),AA245,$AA245*$Y245),"")</f>
        <v>0</v>
      </c>
      <c r="AC245" s="1393">
        <f t="shared" si="125"/>
        <v>0</v>
      </c>
      <c r="AD245" s="1393">
        <f>IF(Table22[[#This Row],[Median residue*CF*PeF]]&lt;&gt;"",Table22[[#This Row],[Median residue*CF*PeF]],Table22[[#This Row],[MRL*CF*PeF (chronic)]])</f>
        <v>0</v>
      </c>
      <c r="AE245" s="1393">
        <f t="shared" si="126"/>
        <v>0</v>
      </c>
      <c r="AF245" s="1390" t="str">
        <f t="shared" si="127"/>
        <v>MRL</v>
      </c>
      <c r="AG245" s="1390" t="str">
        <f t="shared" si="128"/>
        <v/>
      </c>
      <c r="AH245" s="1394" t="str">
        <f t="shared" si="129"/>
        <v/>
      </c>
      <c r="AI245" s="1386">
        <v>4</v>
      </c>
      <c r="AJ245" s="1387">
        <f t="shared" si="130"/>
        <v>0</v>
      </c>
      <c r="AK245" s="1387">
        <f>IF(AI245=A245,IF(AND(L245="N",Table22[[#This Row],[LOQ_label]]="Y"),AJ245,$AJ245*$Y245),"")</f>
        <v>0</v>
      </c>
      <c r="AL245" s="1388">
        <f t="shared" si="131"/>
        <v>0</v>
      </c>
      <c r="AM245"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45" s="1451" t="str">
        <f>IF(AI245&lt;&gt;A245,"",IF(Table22[[#This Row],[Post-harvest treatment]]="",Table22[[#This Row],[label for chronic calculation]],IF(Table22[[#This Row],[Post-harvest treatment]]="N",Table22[[#This Row],[label for chronic calculation]],IF(Table22[[#This Row],[HR-RAC (highest residue)]]&gt;"","HR-RAC",IF(V245="Y","LOQ","MRL")))))</f>
        <v>MRL</v>
      </c>
      <c r="AO245" s="1390" t="str">
        <f t="shared" si="133"/>
        <v/>
      </c>
      <c r="AP245" s="1404" t="str">
        <f t="shared" si="134"/>
        <v/>
      </c>
      <c r="AQ245" s="1388">
        <f t="shared" si="135"/>
        <v>0</v>
      </c>
      <c r="AR245" s="1388" t="str">
        <f t="shared" si="136"/>
        <v/>
      </c>
      <c r="AS245" s="1388" t="str">
        <f t="shared" si="137"/>
        <v/>
      </c>
      <c r="AT245" s="1388" t="str">
        <f t="shared" si="138"/>
        <v/>
      </c>
      <c r="AU245" s="1393">
        <f t="shared" si="139"/>
        <v>0</v>
      </c>
      <c r="AV245" s="1388">
        <f t="shared" si="140"/>
        <v>0</v>
      </c>
      <c r="AW245" s="1390" t="str">
        <f t="shared" si="141"/>
        <v/>
      </c>
      <c r="AX245" s="1390" t="str">
        <f t="shared" si="152"/>
        <v/>
      </c>
      <c r="AY245" s="1394" t="str">
        <f t="shared" si="142"/>
        <v/>
      </c>
      <c r="AZ245" s="1395" t="str">
        <f>IF(Table22[[#This Row],[LOQ_label]]="Y",Table22[[#This Row],[MRL individual commodity]],"")</f>
        <v/>
      </c>
      <c r="BA245" s="1422">
        <v>3</v>
      </c>
      <c r="BB245" s="1411" t="str">
        <f>IF(Table22[[#This Row],[LOQ2]]&lt;0,MIN(AZ245:AZ621),"")</f>
        <v/>
      </c>
      <c r="BC245" s="1299"/>
      <c r="BD245" s="1306" t="str">
        <f>IF(Table22[[#This Row],[Chronic RA label]]="","N",IF(Table22[[#This Row],[Chronic RA label]]="LOQ","N",IF(Table22[[#This Row],[Chronic RA label]]="MRL","N","Y")))</f>
        <v>N</v>
      </c>
      <c r="BE245" s="1306" t="str">
        <f>IF(Table22[[#This Row],[Acute RA label]]="","N",IF(Table22[[#This Row],[Acute RA label]]="LOQ","N",IF(Table22[[#This Row],[Acute RA label]]="MRL","N","Y")))</f>
        <v>N</v>
      </c>
      <c r="BF245" s="1306" t="str">
        <f>IF(OR(Table22[[#This Row],[include commodity in Summary_input_values_chronic]]="Y",Table22[[#This Row],[include commodity in Summary_input_values_acute]]="Y"),"Y","N")</f>
        <v>N</v>
      </c>
      <c r="BG245" s="1299"/>
      <c r="BH245" s="1324"/>
    </row>
    <row r="246" spans="1:60" ht="12.75" customHeight="1" outlineLevel="2" x14ac:dyDescent="0.2">
      <c r="A246" s="39">
        <v>4</v>
      </c>
      <c r="B246" s="327">
        <v>500040</v>
      </c>
      <c r="C246" s="23" t="s">
        <v>764</v>
      </c>
      <c r="D246" s="867"/>
      <c r="E246" s="1219"/>
      <c r="F246" s="867"/>
      <c r="G246" s="869"/>
      <c r="H246" s="863"/>
      <c r="I246" s="868"/>
      <c r="J246" s="870"/>
      <c r="K246" s="865"/>
      <c r="L246" s="872"/>
      <c r="M246" s="874"/>
      <c r="N246" s="925" t="str">
        <f>IF(O246&lt;&gt;0,CONCATENATE(input_values!$AF246,input_values!$AG246,input_values!$AH246),"")</f>
        <v/>
      </c>
      <c r="O246" s="491">
        <f>IF($A$10="Refined calculation mode",Table22[[#This Row],[input for chronic (refined mode]],Table22[[#This Row],[input for chronic normal mode]])</f>
        <v>0</v>
      </c>
      <c r="P246" s="925" t="str">
        <f>IF(Q246&lt;&gt;0,CONCATENATE(input_values!$AN246,input_values!$AO246,input_values!$AP246),"")</f>
        <v/>
      </c>
      <c r="Q246" s="491">
        <f>IF($V$5=0,0,IF(OR($A$10="Refined calculation mode",Results!$B$62="Show results of IESTI calculation only for crops with GAPs under assessment"),Table22[[#This Row],[Input for IESTI (refined mode)]],Table22[[#This Row],[Input for IESTI normal mode]]))</f>
        <v>0</v>
      </c>
      <c r="R246" s="926" t="str">
        <f>IF(S246&lt;&gt;0,CONCATENATE(input_values!$AW246,input_values!$AX246,input_values!$AY246),"")</f>
        <v/>
      </c>
      <c r="S246" s="492">
        <f>IF($V$5=0,0,IF(OR($A$10="Refined calculation mode",Results!$B$62="Show results of IESTI calculation only for crops with GAPs under assessment"),Table22[[#This Row],[Input for IESTI new (refined mode)]],Table22[[#This Row],[Input for IESTI new normal mode]]))</f>
        <v>0</v>
      </c>
      <c r="T246" s="886"/>
      <c r="U246" s="1408">
        <f>Table22[[#This Row],[MRL/ proposed MRL /CXL
(mg/kg)]]</f>
        <v>0</v>
      </c>
      <c r="V246" s="1409" t="str">
        <f t="shared" si="148"/>
        <v/>
      </c>
      <c r="W246" s="1387">
        <f t="shared" si="149"/>
        <v>1</v>
      </c>
      <c r="X246" s="1387">
        <f t="shared" si="150"/>
        <v>1</v>
      </c>
      <c r="Y246" s="1387">
        <f t="shared" si="151"/>
        <v>1</v>
      </c>
      <c r="Z246" s="1410">
        <v>4</v>
      </c>
      <c r="AA246" s="1387">
        <f t="shared" si="124"/>
        <v>0</v>
      </c>
      <c r="AB246" s="1387">
        <f>IF(Z246=A246,IF(AND(L246="N",Table22[[#This Row],[LOQ_label]]="Y"),AA246,$AA246*$Y246),"")</f>
        <v>0</v>
      </c>
      <c r="AC246" s="1393">
        <f t="shared" si="125"/>
        <v>0</v>
      </c>
      <c r="AD246" s="1393">
        <f>IF(Table22[[#This Row],[Median residue*CF*PeF]]&lt;&gt;"",Table22[[#This Row],[Median residue*CF*PeF]],Table22[[#This Row],[MRL*CF*PeF (chronic)]])</f>
        <v>0</v>
      </c>
      <c r="AE246" s="1393">
        <f t="shared" si="126"/>
        <v>0</v>
      </c>
      <c r="AF246" s="1390" t="str">
        <f t="shared" si="127"/>
        <v>MRL</v>
      </c>
      <c r="AG246" s="1390" t="str">
        <f t="shared" si="128"/>
        <v/>
      </c>
      <c r="AH246" s="1394" t="str">
        <f t="shared" si="129"/>
        <v/>
      </c>
      <c r="AI246" s="1386">
        <v>4</v>
      </c>
      <c r="AJ246" s="1387">
        <f t="shared" si="130"/>
        <v>0</v>
      </c>
      <c r="AK246" s="1387">
        <f>IF(AI246=A246,IF(AND(L246="N",Table22[[#This Row],[LOQ_label]]="Y"),AJ246,$AJ246*$Y246),"")</f>
        <v>0</v>
      </c>
      <c r="AL246" s="1388">
        <f t="shared" si="131"/>
        <v>0</v>
      </c>
      <c r="AM246"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46" s="1451" t="str">
        <f>IF(AI246&lt;&gt;A246,"",IF(Table22[[#This Row],[Post-harvest treatment]]="",Table22[[#This Row],[label for chronic calculation]],IF(Table22[[#This Row],[Post-harvest treatment]]="N",Table22[[#This Row],[label for chronic calculation]],IF(Table22[[#This Row],[HR-RAC (highest residue)]]&gt;"","HR-RAC",IF(V246="Y","LOQ","MRL")))))</f>
        <v>MRL</v>
      </c>
      <c r="AO246" s="1390" t="str">
        <f t="shared" si="133"/>
        <v/>
      </c>
      <c r="AP246" s="1404" t="str">
        <f t="shared" si="134"/>
        <v/>
      </c>
      <c r="AQ246" s="1388">
        <f t="shared" si="135"/>
        <v>0</v>
      </c>
      <c r="AR246" s="1388" t="str">
        <f t="shared" si="136"/>
        <v/>
      </c>
      <c r="AS246" s="1388" t="str">
        <f t="shared" si="137"/>
        <v/>
      </c>
      <c r="AT246" s="1388" t="str">
        <f t="shared" si="138"/>
        <v/>
      </c>
      <c r="AU246" s="1393">
        <f t="shared" si="139"/>
        <v>0</v>
      </c>
      <c r="AV246" s="1388">
        <f t="shared" si="140"/>
        <v>0</v>
      </c>
      <c r="AW246" s="1390" t="str">
        <f t="shared" si="141"/>
        <v/>
      </c>
      <c r="AX246" s="1390" t="str">
        <f t="shared" si="152"/>
        <v/>
      </c>
      <c r="AY246" s="1394" t="str">
        <f t="shared" si="142"/>
        <v/>
      </c>
      <c r="AZ246" s="1395" t="str">
        <f>IF(Table22[[#This Row],[LOQ_label]]="Y",Table22[[#This Row],[MRL individual commodity]],"")</f>
        <v/>
      </c>
      <c r="BA246" s="1422">
        <v>3</v>
      </c>
      <c r="BB246" s="1411" t="str">
        <f>IF(Table22[[#This Row],[LOQ2]]&lt;0,MIN(AZ246:AZ622),"")</f>
        <v/>
      </c>
      <c r="BC246" s="1299"/>
      <c r="BD246" s="1306" t="str">
        <f>IF(Table22[[#This Row],[Chronic RA label]]="","N",IF(Table22[[#This Row],[Chronic RA label]]="LOQ","N",IF(Table22[[#This Row],[Chronic RA label]]="MRL","N","Y")))</f>
        <v>N</v>
      </c>
      <c r="BE246" s="1306" t="str">
        <f>IF(Table22[[#This Row],[Acute RA label]]="","N",IF(Table22[[#This Row],[Acute RA label]]="LOQ","N",IF(Table22[[#This Row],[Acute RA label]]="MRL","N","Y")))</f>
        <v>N</v>
      </c>
      <c r="BF246" s="1306" t="str">
        <f>IF(OR(Table22[[#This Row],[include commodity in Summary_input_values_chronic]]="Y",Table22[[#This Row],[include commodity in Summary_input_values_acute]]="Y"),"Y","N")</f>
        <v>N</v>
      </c>
      <c r="BG246" s="1299"/>
      <c r="BH246" s="1324"/>
    </row>
    <row r="247" spans="1:60" ht="12.75" customHeight="1" outlineLevel="2" x14ac:dyDescent="0.2">
      <c r="A247" s="39">
        <v>4</v>
      </c>
      <c r="B247" s="327">
        <v>500050</v>
      </c>
      <c r="C247" s="23" t="s">
        <v>844</v>
      </c>
      <c r="D247" s="867"/>
      <c r="E247" s="1219"/>
      <c r="F247" s="867"/>
      <c r="G247" s="869"/>
      <c r="H247" s="863"/>
      <c r="I247" s="868"/>
      <c r="J247" s="870"/>
      <c r="K247" s="865"/>
      <c r="L247" s="872"/>
      <c r="M247" s="874"/>
      <c r="N247" s="925" t="str">
        <f>IF(O247&lt;&gt;0,CONCATENATE(input_values!$AF247,input_values!$AG247,input_values!$AH247),"")</f>
        <v/>
      </c>
      <c r="O247" s="491">
        <f>IF($A$10="Refined calculation mode",Table22[[#This Row],[input for chronic (refined mode]],Table22[[#This Row],[input for chronic normal mode]])</f>
        <v>0</v>
      </c>
      <c r="P247" s="925" t="str">
        <f>IF(Q247&lt;&gt;0,CONCATENATE(input_values!$AN247,input_values!$AO247,input_values!$AP247),"")</f>
        <v/>
      </c>
      <c r="Q247" s="491">
        <f>IF($V$5=0,0,IF(OR($A$10="Refined calculation mode",Results!$B$62="Show results of IESTI calculation only for crops with GAPs under assessment"),Table22[[#This Row],[Input for IESTI (refined mode)]],Table22[[#This Row],[Input for IESTI normal mode]]))</f>
        <v>0</v>
      </c>
      <c r="R247" s="926" t="str">
        <f>IF(S247&lt;&gt;0,CONCATENATE(input_values!$AW247,input_values!$AX247,input_values!$AY247),"")</f>
        <v/>
      </c>
      <c r="S247" s="492">
        <f>IF($V$5=0,0,IF(OR($A$10="Refined calculation mode",Results!$B$62="Show results of IESTI calculation only for crops with GAPs under assessment"),Table22[[#This Row],[Input for IESTI new (refined mode)]],Table22[[#This Row],[Input for IESTI new normal mode]]))</f>
        <v>0</v>
      </c>
      <c r="T247" s="886"/>
      <c r="U247" s="1408">
        <f>Table22[[#This Row],[MRL/ proposed MRL /CXL
(mg/kg)]]</f>
        <v>0</v>
      </c>
      <c r="V247" s="1409" t="str">
        <f t="shared" si="148"/>
        <v/>
      </c>
      <c r="W247" s="1387">
        <f t="shared" si="149"/>
        <v>1</v>
      </c>
      <c r="X247" s="1387">
        <f t="shared" si="150"/>
        <v>1</v>
      </c>
      <c r="Y247" s="1387">
        <f t="shared" si="151"/>
        <v>1</v>
      </c>
      <c r="Z247" s="1410">
        <v>4</v>
      </c>
      <c r="AA247" s="1387">
        <f t="shared" si="124"/>
        <v>0</v>
      </c>
      <c r="AB247" s="1387">
        <f>IF(Z247=A247,IF(AND(L247="N",Table22[[#This Row],[LOQ_label]]="Y"),AA247,$AA247*$Y247),"")</f>
        <v>0</v>
      </c>
      <c r="AC247" s="1393">
        <f t="shared" si="125"/>
        <v>0</v>
      </c>
      <c r="AD247" s="1393">
        <f>IF(Table22[[#This Row],[Median residue*CF*PeF]]&lt;&gt;"",Table22[[#This Row],[Median residue*CF*PeF]],Table22[[#This Row],[MRL*CF*PeF (chronic)]])</f>
        <v>0</v>
      </c>
      <c r="AE247" s="1393">
        <f t="shared" si="126"/>
        <v>0</v>
      </c>
      <c r="AF247" s="1390" t="str">
        <f t="shared" si="127"/>
        <v>MRL</v>
      </c>
      <c r="AG247" s="1390" t="str">
        <f t="shared" si="128"/>
        <v/>
      </c>
      <c r="AH247" s="1394" t="str">
        <f t="shared" si="129"/>
        <v/>
      </c>
      <c r="AI247" s="1386">
        <v>4</v>
      </c>
      <c r="AJ247" s="1387">
        <f t="shared" si="130"/>
        <v>0</v>
      </c>
      <c r="AK247" s="1387">
        <f>IF(AI247=A247,IF(AND(L247="N",Table22[[#This Row],[LOQ_label]]="Y"),AJ247,$AJ247*$Y247),"")</f>
        <v>0</v>
      </c>
      <c r="AL247" s="1388">
        <f t="shared" si="131"/>
        <v>0</v>
      </c>
      <c r="AM247"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47" s="1451" t="str">
        <f>IF(AI247&lt;&gt;A247,"",IF(Table22[[#This Row],[Post-harvest treatment]]="",Table22[[#This Row],[label for chronic calculation]],IF(Table22[[#This Row],[Post-harvest treatment]]="N",Table22[[#This Row],[label for chronic calculation]],IF(Table22[[#This Row],[HR-RAC (highest residue)]]&gt;"","HR-RAC",IF(V247="Y","LOQ","MRL")))))</f>
        <v>MRL</v>
      </c>
      <c r="AO247" s="1390" t="str">
        <f t="shared" si="133"/>
        <v/>
      </c>
      <c r="AP247" s="1404" t="str">
        <f t="shared" si="134"/>
        <v/>
      </c>
      <c r="AQ247" s="1388">
        <f t="shared" si="135"/>
        <v>0</v>
      </c>
      <c r="AR247" s="1388" t="str">
        <f t="shared" si="136"/>
        <v/>
      </c>
      <c r="AS247" s="1388" t="str">
        <f t="shared" si="137"/>
        <v/>
      </c>
      <c r="AT247" s="1388" t="str">
        <f t="shared" si="138"/>
        <v/>
      </c>
      <c r="AU247" s="1393">
        <f t="shared" si="139"/>
        <v>0</v>
      </c>
      <c r="AV247" s="1388">
        <f t="shared" si="140"/>
        <v>0</v>
      </c>
      <c r="AW247" s="1390" t="str">
        <f t="shared" si="141"/>
        <v/>
      </c>
      <c r="AX247" s="1390" t="str">
        <f t="shared" si="152"/>
        <v/>
      </c>
      <c r="AY247" s="1394" t="str">
        <f t="shared" si="142"/>
        <v/>
      </c>
      <c r="AZ247" s="1395" t="str">
        <f>IF(Table22[[#This Row],[LOQ_label]]="Y",Table22[[#This Row],[MRL individual commodity]],"")</f>
        <v/>
      </c>
      <c r="BA247" s="1422">
        <v>3</v>
      </c>
      <c r="BB247" s="1411" t="str">
        <f>IF(Table22[[#This Row],[LOQ2]]&lt;0,MIN(AZ247:AZ623),"")</f>
        <v/>
      </c>
      <c r="BC247" s="1299"/>
      <c r="BD247" s="1306" t="str">
        <f>IF(Table22[[#This Row],[Chronic RA label]]="","N",IF(Table22[[#This Row],[Chronic RA label]]="LOQ","N",IF(Table22[[#This Row],[Chronic RA label]]="MRL","N","Y")))</f>
        <v>N</v>
      </c>
      <c r="BE247" s="1306" t="str">
        <f>IF(Table22[[#This Row],[Acute RA label]]="","N",IF(Table22[[#This Row],[Acute RA label]]="LOQ","N",IF(Table22[[#This Row],[Acute RA label]]="MRL","N","Y")))</f>
        <v>N</v>
      </c>
      <c r="BF247" s="1306" t="str">
        <f>IF(OR(Table22[[#This Row],[include commodity in Summary_input_values_chronic]]="Y",Table22[[#This Row],[include commodity in Summary_input_values_acute]]="Y"),"Y","N")</f>
        <v>N</v>
      </c>
      <c r="BG247" s="1299"/>
      <c r="BH247" s="1324"/>
    </row>
    <row r="248" spans="1:60" ht="12.75" customHeight="1" outlineLevel="2" x14ac:dyDescent="0.2">
      <c r="A248" s="39">
        <v>4</v>
      </c>
      <c r="B248" s="327">
        <v>500060</v>
      </c>
      <c r="C248" s="23" t="s">
        <v>158</v>
      </c>
      <c r="D248" s="867"/>
      <c r="E248" s="1219"/>
      <c r="F248" s="867"/>
      <c r="G248" s="869"/>
      <c r="H248" s="863"/>
      <c r="I248" s="868"/>
      <c r="J248" s="870"/>
      <c r="K248" s="865"/>
      <c r="L248" s="872"/>
      <c r="M248" s="874"/>
      <c r="N248" s="925" t="str">
        <f>IF(O248&lt;&gt;0,CONCATENATE(input_values!$AF248,input_values!$AG248,input_values!$AH248),"")</f>
        <v/>
      </c>
      <c r="O248" s="491">
        <f>IF($A$10="Refined calculation mode",Table22[[#This Row],[input for chronic (refined mode]],Table22[[#This Row],[input for chronic normal mode]])</f>
        <v>0</v>
      </c>
      <c r="P248" s="925" t="str">
        <f>IF(Q248&lt;&gt;0,CONCATENATE(input_values!$AN248,input_values!$AO248,input_values!$AP248),"")</f>
        <v/>
      </c>
      <c r="Q248" s="491">
        <f>IF($V$5=0,0,IF(OR($A$10="Refined calculation mode",Results!$B$62="Show results of IESTI calculation only for crops with GAPs under assessment"),Table22[[#This Row],[Input for IESTI (refined mode)]],Table22[[#This Row],[Input for IESTI normal mode]]))</f>
        <v>0</v>
      </c>
      <c r="R248" s="926" t="str">
        <f>IF(S248&lt;&gt;0,CONCATENATE(input_values!$AW248,input_values!$AX248,input_values!$AY248),"")</f>
        <v/>
      </c>
      <c r="S248" s="492">
        <f>IF($V$5=0,0,IF(OR($A$10="Refined calculation mode",Results!$B$62="Show results of IESTI calculation only for crops with GAPs under assessment"),Table22[[#This Row],[Input for IESTI new (refined mode)]],Table22[[#This Row],[Input for IESTI new normal mode]]))</f>
        <v>0</v>
      </c>
      <c r="T248" s="886"/>
      <c r="U248" s="1408">
        <f>Table22[[#This Row],[MRL/ proposed MRL /CXL
(mg/kg)]]</f>
        <v>0</v>
      </c>
      <c r="V248" s="1409" t="str">
        <f t="shared" si="148"/>
        <v/>
      </c>
      <c r="W248" s="1387">
        <f t="shared" si="149"/>
        <v>1</v>
      </c>
      <c r="X248" s="1387">
        <f t="shared" si="150"/>
        <v>1</v>
      </c>
      <c r="Y248" s="1387">
        <f t="shared" si="151"/>
        <v>1</v>
      </c>
      <c r="Z248" s="1410">
        <v>4</v>
      </c>
      <c r="AA248" s="1387">
        <f t="shared" si="124"/>
        <v>0</v>
      </c>
      <c r="AB248" s="1387">
        <f>IF(Z248=A248,IF(AND(L248="N",Table22[[#This Row],[LOQ_label]]="Y"),AA248,$AA248*$Y248),"")</f>
        <v>0</v>
      </c>
      <c r="AC248" s="1393">
        <f t="shared" si="125"/>
        <v>0</v>
      </c>
      <c r="AD248" s="1393">
        <f>IF(Table22[[#This Row],[Median residue*CF*PeF]]&lt;&gt;"",Table22[[#This Row],[Median residue*CF*PeF]],Table22[[#This Row],[MRL*CF*PeF (chronic)]])</f>
        <v>0</v>
      </c>
      <c r="AE248" s="1393">
        <f t="shared" si="126"/>
        <v>0</v>
      </c>
      <c r="AF248" s="1390" t="str">
        <f t="shared" si="127"/>
        <v>MRL</v>
      </c>
      <c r="AG248" s="1390" t="str">
        <f t="shared" si="128"/>
        <v/>
      </c>
      <c r="AH248" s="1394" t="str">
        <f t="shared" si="129"/>
        <v/>
      </c>
      <c r="AI248" s="1386">
        <v>4</v>
      </c>
      <c r="AJ248" s="1387">
        <f t="shared" si="130"/>
        <v>0</v>
      </c>
      <c r="AK248" s="1387">
        <f>IF(AI248=A248,IF(AND(L248="N",Table22[[#This Row],[LOQ_label]]="Y"),AJ248,$AJ248*$Y248),"")</f>
        <v>0</v>
      </c>
      <c r="AL248" s="1388">
        <f t="shared" si="131"/>
        <v>0</v>
      </c>
      <c r="AM248"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48" s="1451" t="str">
        <f>IF(AI248&lt;&gt;A248,"",IF(Table22[[#This Row],[Post-harvest treatment]]="",Table22[[#This Row],[label for chronic calculation]],IF(Table22[[#This Row],[Post-harvest treatment]]="N",Table22[[#This Row],[label for chronic calculation]],IF(Table22[[#This Row],[HR-RAC (highest residue)]]&gt;"","HR-RAC",IF(V248="Y","LOQ","MRL")))))</f>
        <v>MRL</v>
      </c>
      <c r="AO248" s="1390" t="str">
        <f t="shared" si="133"/>
        <v/>
      </c>
      <c r="AP248" s="1404" t="str">
        <f t="shared" si="134"/>
        <v/>
      </c>
      <c r="AQ248" s="1388">
        <f t="shared" si="135"/>
        <v>0</v>
      </c>
      <c r="AR248" s="1388" t="str">
        <f t="shared" si="136"/>
        <v/>
      </c>
      <c r="AS248" s="1388" t="str">
        <f t="shared" si="137"/>
        <v/>
      </c>
      <c r="AT248" s="1388" t="str">
        <f t="shared" si="138"/>
        <v/>
      </c>
      <c r="AU248" s="1393">
        <f t="shared" si="139"/>
        <v>0</v>
      </c>
      <c r="AV248" s="1388">
        <f t="shared" si="140"/>
        <v>0</v>
      </c>
      <c r="AW248" s="1390" t="str">
        <f t="shared" si="141"/>
        <v/>
      </c>
      <c r="AX248" s="1390" t="str">
        <f t="shared" si="152"/>
        <v/>
      </c>
      <c r="AY248" s="1394" t="str">
        <f t="shared" si="142"/>
        <v/>
      </c>
      <c r="AZ248" s="1395" t="str">
        <f>IF(Table22[[#This Row],[LOQ_label]]="Y",Table22[[#This Row],[MRL individual commodity]],"")</f>
        <v/>
      </c>
      <c r="BA248" s="1422">
        <v>3</v>
      </c>
      <c r="BB248" s="1411" t="str">
        <f>IF(Table22[[#This Row],[LOQ2]]&lt;0,MIN(AZ248:AZ624),"")</f>
        <v/>
      </c>
      <c r="BC248" s="1299"/>
      <c r="BD248" s="1306" t="str">
        <f>IF(Table22[[#This Row],[Chronic RA label]]="","N",IF(Table22[[#This Row],[Chronic RA label]]="LOQ","N",IF(Table22[[#This Row],[Chronic RA label]]="MRL","N","Y")))</f>
        <v>N</v>
      </c>
      <c r="BE248" s="1306" t="str">
        <f>IF(Table22[[#This Row],[Acute RA label]]="","N",IF(Table22[[#This Row],[Acute RA label]]="LOQ","N",IF(Table22[[#This Row],[Acute RA label]]="MRL","N","Y")))</f>
        <v>N</v>
      </c>
      <c r="BF248" s="1306" t="str">
        <f>IF(OR(Table22[[#This Row],[include commodity in Summary_input_values_chronic]]="Y",Table22[[#This Row],[include commodity in Summary_input_values_acute]]="Y"),"Y","N")</f>
        <v>N</v>
      </c>
      <c r="BG248" s="1299"/>
      <c r="BH248" s="1324"/>
    </row>
    <row r="249" spans="1:60" ht="12.75" customHeight="1" outlineLevel="2" x14ac:dyDescent="0.2">
      <c r="A249" s="39">
        <v>4</v>
      </c>
      <c r="B249" s="327">
        <v>500070</v>
      </c>
      <c r="C249" s="23" t="s">
        <v>159</v>
      </c>
      <c r="D249" s="867"/>
      <c r="E249" s="1219"/>
      <c r="F249" s="867"/>
      <c r="G249" s="869"/>
      <c r="H249" s="863"/>
      <c r="I249" s="868"/>
      <c r="J249" s="870"/>
      <c r="K249" s="865"/>
      <c r="L249" s="872"/>
      <c r="M249" s="874"/>
      <c r="N249" s="925" t="str">
        <f>IF(O249&lt;&gt;0,CONCATENATE(input_values!$AF249,input_values!$AG249,input_values!$AH249),"")</f>
        <v/>
      </c>
      <c r="O249" s="491">
        <f>IF($A$10="Refined calculation mode",Table22[[#This Row],[input for chronic (refined mode]],Table22[[#This Row],[input for chronic normal mode]])</f>
        <v>0</v>
      </c>
      <c r="P249" s="925" t="str">
        <f>IF(Q249&lt;&gt;0,CONCATENATE(input_values!$AN249,input_values!$AO249,input_values!$AP249),"")</f>
        <v/>
      </c>
      <c r="Q249" s="491">
        <f>IF($V$5=0,0,IF(OR($A$10="Refined calculation mode",Results!$B$62="Show results of IESTI calculation only for crops with GAPs under assessment"),Table22[[#This Row],[Input for IESTI (refined mode)]],Table22[[#This Row],[Input for IESTI normal mode]]))</f>
        <v>0</v>
      </c>
      <c r="R249" s="926" t="str">
        <f>IF(S249&lt;&gt;0,CONCATENATE(input_values!$AW249,input_values!$AX249,input_values!$AY249),"")</f>
        <v/>
      </c>
      <c r="S249" s="492">
        <f>IF($V$5=0,0,IF(OR($A$10="Refined calculation mode",Results!$B$62="Show results of IESTI calculation only for crops with GAPs under assessment"),Table22[[#This Row],[Input for IESTI new (refined mode)]],Table22[[#This Row],[Input for IESTI new normal mode]]))</f>
        <v>0</v>
      </c>
      <c r="T249" s="886"/>
      <c r="U249" s="1408">
        <f>Table22[[#This Row],[MRL/ proposed MRL /CXL
(mg/kg)]]</f>
        <v>0</v>
      </c>
      <c r="V249" s="1409" t="str">
        <f t="shared" si="148"/>
        <v/>
      </c>
      <c r="W249" s="1387">
        <f t="shared" si="149"/>
        <v>1</v>
      </c>
      <c r="X249" s="1387">
        <f t="shared" si="150"/>
        <v>1</v>
      </c>
      <c r="Y249" s="1387">
        <f t="shared" si="151"/>
        <v>1</v>
      </c>
      <c r="Z249" s="1410">
        <v>4</v>
      </c>
      <c r="AA249" s="1387">
        <f t="shared" si="124"/>
        <v>0</v>
      </c>
      <c r="AB249" s="1387">
        <f>IF(Z249=A249,IF(AND(L249="N",Table22[[#This Row],[LOQ_label]]="Y"),AA249,$AA249*$Y249),"")</f>
        <v>0</v>
      </c>
      <c r="AC249" s="1393">
        <f t="shared" si="125"/>
        <v>0</v>
      </c>
      <c r="AD249" s="1393">
        <f>IF(Table22[[#This Row],[Median residue*CF*PeF]]&lt;&gt;"",Table22[[#This Row],[Median residue*CF*PeF]],Table22[[#This Row],[MRL*CF*PeF (chronic)]])</f>
        <v>0</v>
      </c>
      <c r="AE249" s="1393">
        <f t="shared" si="126"/>
        <v>0</v>
      </c>
      <c r="AF249" s="1390" t="str">
        <f t="shared" si="127"/>
        <v>MRL</v>
      </c>
      <c r="AG249" s="1390" t="str">
        <f t="shared" si="128"/>
        <v/>
      </c>
      <c r="AH249" s="1394" t="str">
        <f t="shared" si="129"/>
        <v/>
      </c>
      <c r="AI249" s="1386">
        <v>4</v>
      </c>
      <c r="AJ249" s="1387">
        <f t="shared" si="130"/>
        <v>0</v>
      </c>
      <c r="AK249" s="1387">
        <f>IF(AI249=A249,IF(AND(L249="N",Table22[[#This Row],[LOQ_label]]="Y"),AJ249,$AJ249*$Y249),"")</f>
        <v>0</v>
      </c>
      <c r="AL249" s="1388">
        <f t="shared" si="131"/>
        <v>0</v>
      </c>
      <c r="AM249"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49" s="1451" t="str">
        <f>IF(AI249&lt;&gt;A249,"",IF(Table22[[#This Row],[Post-harvest treatment]]="",Table22[[#This Row],[label for chronic calculation]],IF(Table22[[#This Row],[Post-harvest treatment]]="N",Table22[[#This Row],[label for chronic calculation]],IF(Table22[[#This Row],[HR-RAC (highest residue)]]&gt;"","HR-RAC",IF(V249="Y","LOQ","MRL")))))</f>
        <v>MRL</v>
      </c>
      <c r="AO249" s="1390" t="str">
        <f t="shared" si="133"/>
        <v/>
      </c>
      <c r="AP249" s="1404" t="str">
        <f t="shared" si="134"/>
        <v/>
      </c>
      <c r="AQ249" s="1388">
        <f t="shared" si="135"/>
        <v>0</v>
      </c>
      <c r="AR249" s="1388" t="str">
        <f t="shared" si="136"/>
        <v/>
      </c>
      <c r="AS249" s="1388" t="str">
        <f t="shared" si="137"/>
        <v/>
      </c>
      <c r="AT249" s="1388" t="str">
        <f t="shared" si="138"/>
        <v/>
      </c>
      <c r="AU249" s="1393">
        <f t="shared" si="139"/>
        <v>0</v>
      </c>
      <c r="AV249" s="1388">
        <f t="shared" si="140"/>
        <v>0</v>
      </c>
      <c r="AW249" s="1390" t="str">
        <f t="shared" si="141"/>
        <v/>
      </c>
      <c r="AX249" s="1390" t="str">
        <f t="shared" si="152"/>
        <v/>
      </c>
      <c r="AY249" s="1394" t="str">
        <f t="shared" si="142"/>
        <v/>
      </c>
      <c r="AZ249" s="1395" t="str">
        <f>IF(Table22[[#This Row],[LOQ_label]]="Y",Table22[[#This Row],[MRL individual commodity]],"")</f>
        <v/>
      </c>
      <c r="BA249" s="1422">
        <v>3</v>
      </c>
      <c r="BB249" s="1411" t="str">
        <f>IF(Table22[[#This Row],[LOQ2]]&lt;0,MIN(AZ249:AZ625),"")</f>
        <v/>
      </c>
      <c r="BC249" s="1299"/>
      <c r="BD249" s="1306" t="str">
        <f>IF(Table22[[#This Row],[Chronic RA label]]="","N",IF(Table22[[#This Row],[Chronic RA label]]="LOQ","N",IF(Table22[[#This Row],[Chronic RA label]]="MRL","N","Y")))</f>
        <v>N</v>
      </c>
      <c r="BE249" s="1306" t="str">
        <f>IF(Table22[[#This Row],[Acute RA label]]="","N",IF(Table22[[#This Row],[Acute RA label]]="LOQ","N",IF(Table22[[#This Row],[Acute RA label]]="MRL","N","Y")))</f>
        <v>N</v>
      </c>
      <c r="BF249" s="1306" t="str">
        <f>IF(OR(Table22[[#This Row],[include commodity in Summary_input_values_chronic]]="Y",Table22[[#This Row],[include commodity in Summary_input_values_acute]]="Y"),"Y","N")</f>
        <v>N</v>
      </c>
      <c r="BG249" s="1299"/>
      <c r="BH249" s="1324"/>
    </row>
    <row r="250" spans="1:60" ht="12.75" customHeight="1" outlineLevel="2" x14ac:dyDescent="0.2">
      <c r="A250" s="39">
        <v>4</v>
      </c>
      <c r="B250" s="327">
        <v>500080</v>
      </c>
      <c r="C250" s="23" t="s">
        <v>160</v>
      </c>
      <c r="D250" s="867"/>
      <c r="E250" s="1219"/>
      <c r="F250" s="867"/>
      <c r="G250" s="869"/>
      <c r="H250" s="863"/>
      <c r="I250" s="868"/>
      <c r="J250" s="870"/>
      <c r="K250" s="865"/>
      <c r="L250" s="872"/>
      <c r="M250" s="874"/>
      <c r="N250" s="925" t="str">
        <f>IF(O250&lt;&gt;0,CONCATENATE(input_values!$AF250,input_values!$AG250,input_values!$AH250),"")</f>
        <v/>
      </c>
      <c r="O250" s="491">
        <f>IF($A$10="Refined calculation mode",Table22[[#This Row],[input for chronic (refined mode]],Table22[[#This Row],[input for chronic normal mode]])</f>
        <v>0</v>
      </c>
      <c r="P250" s="925" t="str">
        <f>IF(Q250&lt;&gt;0,CONCATENATE(input_values!$AN250,input_values!$AO250,input_values!$AP250),"")</f>
        <v/>
      </c>
      <c r="Q250" s="491">
        <f>IF($V$5=0,0,IF(OR($A$10="Refined calculation mode",Results!$B$62="Show results of IESTI calculation only for crops with GAPs under assessment"),Table22[[#This Row],[Input for IESTI (refined mode)]],Table22[[#This Row],[Input for IESTI normal mode]]))</f>
        <v>0</v>
      </c>
      <c r="R250" s="926" t="str">
        <f>IF(S250&lt;&gt;0,CONCATENATE(input_values!$AW250,input_values!$AX250,input_values!$AY250),"")</f>
        <v/>
      </c>
      <c r="S250" s="492">
        <f>IF($V$5=0,0,IF(OR($A$10="Refined calculation mode",Results!$B$62="Show results of IESTI calculation only for crops with GAPs under assessment"),Table22[[#This Row],[Input for IESTI new (refined mode)]],Table22[[#This Row],[Input for IESTI new normal mode]]))</f>
        <v>0</v>
      </c>
      <c r="T250" s="886"/>
      <c r="U250" s="1408">
        <f>Table22[[#This Row],[MRL/ proposed MRL /CXL
(mg/kg)]]</f>
        <v>0</v>
      </c>
      <c r="V250" s="1409" t="str">
        <f t="shared" si="148"/>
        <v/>
      </c>
      <c r="W250" s="1387">
        <f t="shared" si="149"/>
        <v>1</v>
      </c>
      <c r="X250" s="1387">
        <f t="shared" si="150"/>
        <v>1</v>
      </c>
      <c r="Y250" s="1387">
        <f t="shared" si="151"/>
        <v>1</v>
      </c>
      <c r="Z250" s="1410">
        <v>4</v>
      </c>
      <c r="AA250" s="1387">
        <f t="shared" si="124"/>
        <v>0</v>
      </c>
      <c r="AB250" s="1387">
        <f>IF(Z250=A250,IF(AND(L250="N",Table22[[#This Row],[LOQ_label]]="Y"),AA250,$AA250*$Y250),"")</f>
        <v>0</v>
      </c>
      <c r="AC250" s="1393">
        <f t="shared" si="125"/>
        <v>0</v>
      </c>
      <c r="AD250" s="1393">
        <f>IF(Table22[[#This Row],[Median residue*CF*PeF]]&lt;&gt;"",Table22[[#This Row],[Median residue*CF*PeF]],Table22[[#This Row],[MRL*CF*PeF (chronic)]])</f>
        <v>0</v>
      </c>
      <c r="AE250" s="1393">
        <f t="shared" si="126"/>
        <v>0</v>
      </c>
      <c r="AF250" s="1390" t="str">
        <f t="shared" si="127"/>
        <v>MRL</v>
      </c>
      <c r="AG250" s="1390" t="str">
        <f t="shared" si="128"/>
        <v/>
      </c>
      <c r="AH250" s="1394" t="str">
        <f t="shared" si="129"/>
        <v/>
      </c>
      <c r="AI250" s="1386">
        <v>4</v>
      </c>
      <c r="AJ250" s="1387">
        <f t="shared" si="130"/>
        <v>0</v>
      </c>
      <c r="AK250" s="1387">
        <f>IF(AI250=A250,IF(AND(L250="N",Table22[[#This Row],[LOQ_label]]="Y"),AJ250,$AJ250*$Y250),"")</f>
        <v>0</v>
      </c>
      <c r="AL250" s="1388">
        <f t="shared" si="131"/>
        <v>0</v>
      </c>
      <c r="AM250"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50" s="1451" t="str">
        <f>IF(AI250&lt;&gt;A250,"",IF(Table22[[#This Row],[Post-harvest treatment]]="",Table22[[#This Row],[label for chronic calculation]],IF(Table22[[#This Row],[Post-harvest treatment]]="N",Table22[[#This Row],[label for chronic calculation]],IF(Table22[[#This Row],[HR-RAC (highest residue)]]&gt;"","HR-RAC",IF(V250="Y","LOQ","MRL")))))</f>
        <v>MRL</v>
      </c>
      <c r="AO250" s="1390" t="str">
        <f t="shared" si="133"/>
        <v/>
      </c>
      <c r="AP250" s="1404" t="str">
        <f t="shared" si="134"/>
        <v/>
      </c>
      <c r="AQ250" s="1388">
        <f t="shared" si="135"/>
        <v>0</v>
      </c>
      <c r="AR250" s="1388" t="str">
        <f t="shared" si="136"/>
        <v/>
      </c>
      <c r="AS250" s="1388" t="str">
        <f t="shared" si="137"/>
        <v/>
      </c>
      <c r="AT250" s="1388" t="str">
        <f t="shared" si="138"/>
        <v/>
      </c>
      <c r="AU250" s="1393">
        <f t="shared" si="139"/>
        <v>0</v>
      </c>
      <c r="AV250" s="1388">
        <f t="shared" si="140"/>
        <v>0</v>
      </c>
      <c r="AW250" s="1390" t="str">
        <f t="shared" si="141"/>
        <v/>
      </c>
      <c r="AX250" s="1390" t="str">
        <f t="shared" si="152"/>
        <v/>
      </c>
      <c r="AY250" s="1394" t="str">
        <f t="shared" si="142"/>
        <v/>
      </c>
      <c r="AZ250" s="1395" t="str">
        <f>IF(Table22[[#This Row],[LOQ_label]]="Y",Table22[[#This Row],[MRL individual commodity]],"")</f>
        <v/>
      </c>
      <c r="BA250" s="1422">
        <v>3</v>
      </c>
      <c r="BB250" s="1411" t="str">
        <f>IF(Table22[[#This Row],[LOQ2]]&lt;0,MIN(AZ250:AZ626),"")</f>
        <v/>
      </c>
      <c r="BC250" s="1299"/>
      <c r="BD250" s="1306" t="str">
        <f>IF(Table22[[#This Row],[Chronic RA label]]="","N",IF(Table22[[#This Row],[Chronic RA label]]="LOQ","N",IF(Table22[[#This Row],[Chronic RA label]]="MRL","N","Y")))</f>
        <v>N</v>
      </c>
      <c r="BE250" s="1306" t="str">
        <f>IF(Table22[[#This Row],[Acute RA label]]="","N",IF(Table22[[#This Row],[Acute RA label]]="LOQ","N",IF(Table22[[#This Row],[Acute RA label]]="MRL","N","Y")))</f>
        <v>N</v>
      </c>
      <c r="BF250" s="1306" t="str">
        <f>IF(OR(Table22[[#This Row],[include commodity in Summary_input_values_chronic]]="Y",Table22[[#This Row],[include commodity in Summary_input_values_acute]]="Y"),"Y","N")</f>
        <v>N</v>
      </c>
      <c r="BG250" s="1299"/>
      <c r="BH250" s="1324"/>
    </row>
    <row r="251" spans="1:60" ht="12.75" customHeight="1" outlineLevel="2" x14ac:dyDescent="0.2">
      <c r="A251" s="39">
        <v>4</v>
      </c>
      <c r="B251" s="327">
        <v>500090</v>
      </c>
      <c r="C251" s="23" t="s">
        <v>161</v>
      </c>
      <c r="D251" s="867"/>
      <c r="E251" s="1219"/>
      <c r="F251" s="867"/>
      <c r="G251" s="869"/>
      <c r="H251" s="863"/>
      <c r="I251" s="868"/>
      <c r="J251" s="870"/>
      <c r="K251" s="865"/>
      <c r="L251" s="872"/>
      <c r="M251" s="874"/>
      <c r="N251" s="925" t="str">
        <f>IF(O251&lt;&gt;0,CONCATENATE(input_values!$AF251,input_values!$AG251,input_values!$AH251),"")</f>
        <v/>
      </c>
      <c r="O251" s="491">
        <f>IF($A$10="Refined calculation mode",Table22[[#This Row],[input for chronic (refined mode]],Table22[[#This Row],[input for chronic normal mode]])</f>
        <v>0</v>
      </c>
      <c r="P251" s="925" t="str">
        <f>IF(Q251&lt;&gt;0,CONCATENATE(input_values!$AN251,input_values!$AO251,input_values!$AP251),"")</f>
        <v/>
      </c>
      <c r="Q251" s="491">
        <f>IF($V$5=0,0,IF(OR($A$10="Refined calculation mode",Results!$B$62="Show results of IESTI calculation only for crops with GAPs under assessment"),Table22[[#This Row],[Input for IESTI (refined mode)]],Table22[[#This Row],[Input for IESTI normal mode]]))</f>
        <v>0</v>
      </c>
      <c r="R251" s="926" t="str">
        <f>IF(S251&lt;&gt;0,CONCATENATE(input_values!$AW251,input_values!$AX251,input_values!$AY251),"")</f>
        <v/>
      </c>
      <c r="S251" s="492">
        <f>IF($V$5=0,0,IF(OR($A$10="Refined calculation mode",Results!$B$62="Show results of IESTI calculation only for crops with GAPs under assessment"),Table22[[#This Row],[Input for IESTI new (refined mode)]],Table22[[#This Row],[Input for IESTI new normal mode]]))</f>
        <v>0</v>
      </c>
      <c r="T251" s="886"/>
      <c r="U251" s="1408">
        <f>Table22[[#This Row],[MRL/ proposed MRL /CXL
(mg/kg)]]</f>
        <v>0</v>
      </c>
      <c r="V251" s="1409" t="str">
        <f t="shared" si="148"/>
        <v/>
      </c>
      <c r="W251" s="1387">
        <f t="shared" si="149"/>
        <v>1</v>
      </c>
      <c r="X251" s="1387">
        <f t="shared" si="150"/>
        <v>1</v>
      </c>
      <c r="Y251" s="1387">
        <f t="shared" si="151"/>
        <v>1</v>
      </c>
      <c r="Z251" s="1410">
        <v>4</v>
      </c>
      <c r="AA251" s="1387">
        <f t="shared" si="124"/>
        <v>0</v>
      </c>
      <c r="AB251" s="1387">
        <f>IF(Z251=A251,IF(AND(L251="N",Table22[[#This Row],[LOQ_label]]="Y"),AA251,$AA251*$Y251),"")</f>
        <v>0</v>
      </c>
      <c r="AC251" s="1393">
        <f t="shared" si="125"/>
        <v>0</v>
      </c>
      <c r="AD251" s="1393">
        <f>IF(Table22[[#This Row],[Median residue*CF*PeF]]&lt;&gt;"",Table22[[#This Row],[Median residue*CF*PeF]],Table22[[#This Row],[MRL*CF*PeF (chronic)]])</f>
        <v>0</v>
      </c>
      <c r="AE251" s="1393">
        <f t="shared" si="126"/>
        <v>0</v>
      </c>
      <c r="AF251" s="1390" t="str">
        <f t="shared" si="127"/>
        <v>MRL</v>
      </c>
      <c r="AG251" s="1390" t="str">
        <f t="shared" si="128"/>
        <v/>
      </c>
      <c r="AH251" s="1394" t="str">
        <f t="shared" si="129"/>
        <v/>
      </c>
      <c r="AI251" s="1386">
        <v>4</v>
      </c>
      <c r="AJ251" s="1387">
        <f t="shared" si="130"/>
        <v>0</v>
      </c>
      <c r="AK251" s="1387">
        <f>IF(AI251=A251,IF(AND(L251="N",Table22[[#This Row],[LOQ_label]]="Y"),AJ251,$AJ251*$Y251),"")</f>
        <v>0</v>
      </c>
      <c r="AL251" s="1388">
        <f t="shared" si="131"/>
        <v>0</v>
      </c>
      <c r="AM251"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51" s="1451" t="str">
        <f>IF(AI251&lt;&gt;A251,"",IF(Table22[[#This Row],[Post-harvest treatment]]="",Table22[[#This Row],[label for chronic calculation]],IF(Table22[[#This Row],[Post-harvest treatment]]="N",Table22[[#This Row],[label for chronic calculation]],IF(Table22[[#This Row],[HR-RAC (highest residue)]]&gt;"","HR-RAC",IF(V251="Y","LOQ","MRL")))))</f>
        <v>MRL</v>
      </c>
      <c r="AO251" s="1390" t="str">
        <f t="shared" si="133"/>
        <v/>
      </c>
      <c r="AP251" s="1404" t="str">
        <f t="shared" si="134"/>
        <v/>
      </c>
      <c r="AQ251" s="1388">
        <f t="shared" si="135"/>
        <v>0</v>
      </c>
      <c r="AR251" s="1388" t="str">
        <f t="shared" si="136"/>
        <v/>
      </c>
      <c r="AS251" s="1388" t="str">
        <f t="shared" si="137"/>
        <v/>
      </c>
      <c r="AT251" s="1388" t="str">
        <f t="shared" si="138"/>
        <v/>
      </c>
      <c r="AU251" s="1393">
        <f t="shared" si="139"/>
        <v>0</v>
      </c>
      <c r="AV251" s="1388">
        <f t="shared" si="140"/>
        <v>0</v>
      </c>
      <c r="AW251" s="1390" t="str">
        <f t="shared" si="141"/>
        <v/>
      </c>
      <c r="AX251" s="1390" t="str">
        <f t="shared" si="152"/>
        <v/>
      </c>
      <c r="AY251" s="1394" t="str">
        <f t="shared" si="142"/>
        <v/>
      </c>
      <c r="AZ251" s="1395" t="str">
        <f>IF(Table22[[#This Row],[LOQ_label]]="Y",Table22[[#This Row],[MRL individual commodity]],"")</f>
        <v/>
      </c>
      <c r="BA251" s="1422">
        <v>3</v>
      </c>
      <c r="BB251" s="1411" t="str">
        <f>IF(Table22[[#This Row],[LOQ2]]&lt;0,MIN(AZ251:AZ627),"")</f>
        <v/>
      </c>
      <c r="BC251" s="1299"/>
      <c r="BD251" s="1306" t="str">
        <f>IF(Table22[[#This Row],[Chronic RA label]]="","N",IF(Table22[[#This Row],[Chronic RA label]]="LOQ","N",IF(Table22[[#This Row],[Chronic RA label]]="MRL","N","Y")))</f>
        <v>N</v>
      </c>
      <c r="BE251" s="1306" t="str">
        <f>IF(Table22[[#This Row],[Acute RA label]]="","N",IF(Table22[[#This Row],[Acute RA label]]="LOQ","N",IF(Table22[[#This Row],[Acute RA label]]="MRL","N","Y")))</f>
        <v>N</v>
      </c>
      <c r="BF251" s="1306" t="str">
        <f>IF(OR(Table22[[#This Row],[include commodity in Summary_input_values_chronic]]="Y",Table22[[#This Row],[include commodity in Summary_input_values_acute]]="Y"),"Y","N")</f>
        <v>N</v>
      </c>
      <c r="BG251" s="1299"/>
      <c r="BH251" s="1324"/>
    </row>
    <row r="252" spans="1:60" ht="12.75" customHeight="1" outlineLevel="2" x14ac:dyDescent="0.2">
      <c r="A252" s="39">
        <v>4</v>
      </c>
      <c r="B252" s="327">
        <v>500990</v>
      </c>
      <c r="C252" s="23" t="s">
        <v>765</v>
      </c>
      <c r="D252" s="867"/>
      <c r="E252" s="1219"/>
      <c r="F252" s="867"/>
      <c r="G252" s="869"/>
      <c r="H252" s="863"/>
      <c r="I252" s="868"/>
      <c r="J252" s="870"/>
      <c r="K252" s="865"/>
      <c r="L252" s="872"/>
      <c r="M252" s="874"/>
      <c r="N252" s="925" t="str">
        <f>IF(O252&lt;&gt;0,CONCATENATE(input_values!$AF252,input_values!$AG252,input_values!$AH252),"")</f>
        <v/>
      </c>
      <c r="O252" s="491">
        <f>IF($A$10="Refined calculation mode",Table22[[#This Row],[input for chronic (refined mode]],Table22[[#This Row],[input for chronic normal mode]])</f>
        <v>0</v>
      </c>
      <c r="P252" s="473"/>
      <c r="Q252" s="474"/>
      <c r="R252" s="473"/>
      <c r="S252" s="474"/>
      <c r="T252" s="886"/>
      <c r="U252" s="1408">
        <f>Table22[[#This Row],[MRL/ proposed MRL /CXL
(mg/kg)]]</f>
        <v>0</v>
      </c>
      <c r="V252" s="1409" t="str">
        <f t="shared" si="148"/>
        <v/>
      </c>
      <c r="W252" s="1387">
        <f t="shared" si="149"/>
        <v>1</v>
      </c>
      <c r="X252" s="1387">
        <f t="shared" si="150"/>
        <v>1</v>
      </c>
      <c r="Y252" s="1387">
        <f t="shared" si="151"/>
        <v>1</v>
      </c>
      <c r="Z252" s="1410">
        <v>4</v>
      </c>
      <c r="AA252" s="1387">
        <f t="shared" si="124"/>
        <v>0</v>
      </c>
      <c r="AB252" s="1387">
        <f>IF(Z252=A252,IF(AND(L252="N",Table22[[#This Row],[LOQ_label]]="Y"),AA252,$AA252*$Y252),"")</f>
        <v>0</v>
      </c>
      <c r="AC252" s="1393">
        <f t="shared" si="125"/>
        <v>0</v>
      </c>
      <c r="AD252" s="1393">
        <f>IF(Table22[[#This Row],[Median residue*CF*PeF]]&lt;&gt;"",Table22[[#This Row],[Median residue*CF*PeF]],Table22[[#This Row],[MRL*CF*PeF (chronic)]])</f>
        <v>0</v>
      </c>
      <c r="AE252" s="1393">
        <f t="shared" si="126"/>
        <v>0</v>
      </c>
      <c r="AF252" s="1390" t="str">
        <f t="shared" si="127"/>
        <v>MRL</v>
      </c>
      <c r="AG252" s="1390" t="str">
        <f t="shared" si="128"/>
        <v/>
      </c>
      <c r="AH252" s="1394" t="str">
        <f t="shared" si="129"/>
        <v/>
      </c>
      <c r="AI252" s="1386"/>
      <c r="AJ252" s="1387" t="str">
        <f t="shared" si="130"/>
        <v/>
      </c>
      <c r="AK252" s="1387" t="str">
        <f>IF(AI252=A252,IF(AND(L252="N",Table22[[#This Row],[LOQ_label]]="Y"),AJ252,$AJ252*$Y252),"")</f>
        <v/>
      </c>
      <c r="AL252" s="1388" t="str">
        <f t="shared" si="131"/>
        <v/>
      </c>
      <c r="AM252" s="1393" t="str">
        <f>IF(Table22[[#This Row],[Highest residue * CF*PF]]&lt;&gt;"",Table22[[#This Row],[Highest residue * CF*PF]],Table22[[#This Row],[MRL*CF*PF or MRL (if LOQ and not authorised) (acute RA)]])</f>
        <v/>
      </c>
      <c r="AN252" s="1421" t="str">
        <f t="shared" si="132"/>
        <v/>
      </c>
      <c r="AO252" s="1390" t="str">
        <f t="shared" si="133"/>
        <v/>
      </c>
      <c r="AP252" s="1404" t="str">
        <f t="shared" si="134"/>
        <v/>
      </c>
      <c r="AQ252" s="1388">
        <f t="shared" si="135"/>
        <v>0</v>
      </c>
      <c r="AR252" s="1388" t="str">
        <f t="shared" si="136"/>
        <v/>
      </c>
      <c r="AS252" s="1388" t="str">
        <f t="shared" si="137"/>
        <v/>
      </c>
      <c r="AT252" s="1388" t="str">
        <f t="shared" si="138"/>
        <v/>
      </c>
      <c r="AU252" s="1393" t="str">
        <f t="shared" si="139"/>
        <v/>
      </c>
      <c r="AV252" s="1388">
        <f t="shared" si="140"/>
        <v>0</v>
      </c>
      <c r="AW252" s="1390" t="str">
        <f t="shared" si="141"/>
        <v/>
      </c>
      <c r="AX252" s="1390" t="str">
        <f>IF(AND(AN252&lt;&gt;"",AY252&lt;&gt;""),"*","")</f>
        <v/>
      </c>
      <c r="AY252" s="1394" t="str">
        <f t="shared" si="142"/>
        <v/>
      </c>
      <c r="AZ252" s="1395" t="str">
        <f>IF(Table22[[#This Row],[LOQ_label]]="Y",Table22[[#This Row],[MRL individual commodity]],"")</f>
        <v/>
      </c>
      <c r="BA252" s="1396" t="s">
        <v>1159</v>
      </c>
      <c r="BB252" s="1411" t="str">
        <f>IF(Table22[[#This Row],[LOQ2]]&lt;0,MIN(AZ252:AZ628),"")</f>
        <v/>
      </c>
      <c r="BC252" s="1299"/>
      <c r="BD252" s="1306" t="str">
        <f>IF(Table22[[#This Row],[Chronic RA label]]="","N",IF(Table22[[#This Row],[Chronic RA label]]="LOQ","N",IF(Table22[[#This Row],[Chronic RA label]]="MRL","N","Y")))</f>
        <v>N</v>
      </c>
      <c r="BE252" s="1306" t="str">
        <f>IF(Table22[[#This Row],[Acute RA label]]="","N",IF(Table22[[#This Row],[Acute RA label]]="LOQ","N",IF(Table22[[#This Row],[Acute RA label]]="MRL","N","Y")))</f>
        <v>N</v>
      </c>
      <c r="BF252" s="1306" t="str">
        <f>IF(OR(Table22[[#This Row],[include commodity in Summary_input_values_chronic]]="Y",Table22[[#This Row],[include commodity in Summary_input_values_acute]]="Y"),"Y","N")</f>
        <v>N</v>
      </c>
      <c r="BG252" s="1299"/>
      <c r="BH252" s="1324"/>
    </row>
    <row r="253" spans="1:60" ht="12.75" customHeight="1" x14ac:dyDescent="0.2">
      <c r="A253" s="126">
        <v>1</v>
      </c>
      <c r="B253" s="446">
        <v>600000</v>
      </c>
      <c r="C253" s="127" t="s">
        <v>351</v>
      </c>
      <c r="D253" s="862"/>
      <c r="E253" s="1218"/>
      <c r="F253" s="862"/>
      <c r="G253" s="866"/>
      <c r="H253" s="863"/>
      <c r="I253" s="863"/>
      <c r="J253" s="864"/>
      <c r="K253" s="865"/>
      <c r="L253" s="471"/>
      <c r="M253" s="471"/>
      <c r="N253" s="473"/>
      <c r="O253" s="474"/>
      <c r="P253" s="473"/>
      <c r="Q253" s="474"/>
      <c r="R253" s="473"/>
      <c r="S253" s="474"/>
      <c r="T253" s="886"/>
      <c r="U253" s="1415"/>
      <c r="V253" s="1380"/>
      <c r="W253" s="1381"/>
      <c r="X253" s="1381"/>
      <c r="Y253" s="1381"/>
      <c r="Z253" s="1382">
        <v>2</v>
      </c>
      <c r="AA253" s="1381" t="str">
        <f t="shared" si="124"/>
        <v/>
      </c>
      <c r="AB253" s="1381" t="str">
        <f>IF(Z253=A253,IF(AND(L253="N",Table22[[#This Row],[LOQ_label]]="Y"),AA253,$AA253*$Y253),"")</f>
        <v/>
      </c>
      <c r="AC253" s="1383" t="str">
        <f t="shared" si="125"/>
        <v/>
      </c>
      <c r="AD253" s="1383" t="str">
        <f>IF(Table22[[#This Row],[Median residue*CF*PeF]]&lt;&gt;"",Table22[[#This Row],[Median residue*CF*PeF]],Table22[[#This Row],[MRL*CF*PeF (chronic)]])</f>
        <v/>
      </c>
      <c r="AE253" s="1384">
        <f t="shared" si="126"/>
        <v>0</v>
      </c>
      <c r="AF253" s="1385" t="str">
        <f t="shared" si="127"/>
        <v/>
      </c>
      <c r="AG253" s="1385" t="str">
        <f t="shared" si="128"/>
        <v/>
      </c>
      <c r="AH253" s="1270" t="str">
        <f t="shared" si="129"/>
        <v/>
      </c>
      <c r="AI253" s="1386">
        <v>2</v>
      </c>
      <c r="AJ253" s="1387" t="str">
        <f t="shared" si="130"/>
        <v/>
      </c>
      <c r="AK253" s="1387" t="str">
        <f>IF(AI253=A253,IF(AND(L253="N",Table22[[#This Row],[LOQ_label]]="Y"),AJ253,$AJ253*$Y253),"")</f>
        <v/>
      </c>
      <c r="AL253" s="1388" t="str">
        <f t="shared" si="131"/>
        <v/>
      </c>
      <c r="AM253" s="1393" t="str">
        <f>IF(Table22[[#This Row],[Highest residue * CF*PF]]&lt;&gt;"",Table22[[#This Row],[Highest residue * CF*PF]],Table22[[#This Row],[MRL*CF*PF or MRL (if LOQ and not authorised) (acute RA)]])</f>
        <v/>
      </c>
      <c r="AN253" s="1390" t="str">
        <f t="shared" si="132"/>
        <v/>
      </c>
      <c r="AO253" s="1390" t="str">
        <f t="shared" si="133"/>
        <v/>
      </c>
      <c r="AP253" s="1404" t="str">
        <f t="shared" si="134"/>
        <v/>
      </c>
      <c r="AQ253" s="1388">
        <f t="shared" si="135"/>
        <v>0</v>
      </c>
      <c r="AR253" s="1388" t="str">
        <f t="shared" si="136"/>
        <v/>
      </c>
      <c r="AS253" s="1388" t="str">
        <f t="shared" si="137"/>
        <v/>
      </c>
      <c r="AT253" s="1388" t="str">
        <f t="shared" si="138"/>
        <v/>
      </c>
      <c r="AU253" s="1393" t="str">
        <f t="shared" si="139"/>
        <v/>
      </c>
      <c r="AV253" s="1388">
        <f t="shared" si="140"/>
        <v>0</v>
      </c>
      <c r="AW253" s="1390" t="str">
        <f t="shared" si="141"/>
        <v/>
      </c>
      <c r="AX253" s="1390" t="str">
        <f>IF(AND(AN253&lt;&gt;"",AY253&lt;&gt;""),"*","")</f>
        <v/>
      </c>
      <c r="AY253" s="1394" t="str">
        <f t="shared" si="142"/>
        <v/>
      </c>
      <c r="AZ253" s="1395">
        <f>IF(Table22[[#This Row],[LOQ_label]]="Y",Table22[[#This Row],[MRL individual commodity]],"")</f>
        <v>0</v>
      </c>
      <c r="BA253" s="1396" t="s">
        <v>1159</v>
      </c>
      <c r="BB253" s="1411" t="str">
        <f>IF(Table22[[#This Row],[LOQ2]]&lt;0,MIN(AZ253:AZ629),"")</f>
        <v/>
      </c>
      <c r="BC253" s="1299"/>
      <c r="BD253" s="1306" t="str">
        <f>IF(Table22[[#This Row],[Chronic RA label]]="","N",IF(Table22[[#This Row],[Chronic RA label]]="LOQ","N",IF(Table22[[#This Row],[Chronic RA label]]="MRL","N","Y")))</f>
        <v>N</v>
      </c>
      <c r="BE253" s="1306" t="str">
        <f>IF(Table22[[#This Row],[Acute RA label]]="","N",IF(Table22[[#This Row],[Acute RA label]]="LOQ","N",IF(Table22[[#This Row],[Acute RA label]]="MRL","N","Y")))</f>
        <v>N</v>
      </c>
      <c r="BF253" s="1306" t="str">
        <f>IF(OR(Table22[[#This Row],[include commodity in Summary_input_values_chronic]]="Y",Table22[[#This Row],[include commodity in Summary_input_values_acute]]="Y"),"Y","N")</f>
        <v>N</v>
      </c>
      <c r="BG253" s="1299"/>
      <c r="BH253" s="1324"/>
    </row>
    <row r="254" spans="1:60" ht="12.75" customHeight="1" outlineLevel="1" x14ac:dyDescent="0.2">
      <c r="A254" s="130">
        <v>2</v>
      </c>
      <c r="B254" s="447">
        <v>610000</v>
      </c>
      <c r="C254" s="131" t="s">
        <v>678</v>
      </c>
      <c r="D254" s="867"/>
      <c r="E254" s="1219"/>
      <c r="F254" s="867"/>
      <c r="G254" s="869"/>
      <c r="H254" s="863"/>
      <c r="I254" s="868"/>
      <c r="J254" s="870"/>
      <c r="K254" s="865"/>
      <c r="L254" s="872"/>
      <c r="M254" s="874"/>
      <c r="N254" s="925" t="str">
        <f>IF(O254&lt;&gt;0,CONCATENATE(input_values!$AF254,input_values!$AG254,input_values!$AH254),"")</f>
        <v/>
      </c>
      <c r="O254" s="491">
        <f>IF($A$10="Refined calculation mode",Table22[[#This Row],[input for chronic (refined mode]],Table22[[#This Row],[input for chronic normal mode]])</f>
        <v>0</v>
      </c>
      <c r="P254" s="925" t="str">
        <f>IF(Q254&lt;&gt;0,CONCATENATE(input_values!$AN254,input_values!$AO254,input_values!$AP254),"")</f>
        <v/>
      </c>
      <c r="Q254" s="491">
        <f>IF($V$5=0,0,IF(OR($A$10="Refined calculation mode",Results!$B$62="Show results of IESTI calculation only for crops with GAPs under assessment"),Table22[[#This Row],[Input for IESTI (refined mode)]],Table22[[#This Row],[Input for IESTI normal mode]]))</f>
        <v>0</v>
      </c>
      <c r="R254" s="926" t="str">
        <f>IF(S254&lt;&gt;0,CONCATENATE(input_values!$AW254,input_values!$AX254,input_values!$AY254),"")</f>
        <v/>
      </c>
      <c r="S254" s="492">
        <f>IF($V$5=0,0,IF(OR($A$10="Refined calculation mode",Results!$B$62="Show results of IESTI calculation only for crops with GAPs under assessment"),Table22[[#This Row],[Input for IESTI new (refined mode)]],Table22[[#This Row],[Input for IESTI new normal mode]]))</f>
        <v>0</v>
      </c>
      <c r="T254" s="886"/>
      <c r="U254" s="1408">
        <f>Table22[[#This Row],[MRL/ proposed MRL /CXL
(mg/kg)]]</f>
        <v>0</v>
      </c>
      <c r="V254" s="1409" t="str">
        <f>IF(ISBLANK(F254),"","Y")</f>
        <v/>
      </c>
      <c r="W254" s="1387">
        <f>IF($G254&gt;0,$G254,1)</f>
        <v>1</v>
      </c>
      <c r="X254" s="1387">
        <f>IF($H254&gt;0,$H254,1)</f>
        <v>1</v>
      </c>
      <c r="Y254" s="1387">
        <f>W254*X254</f>
        <v>1</v>
      </c>
      <c r="Z254" s="1410">
        <v>2</v>
      </c>
      <c r="AA254" s="1387">
        <f t="shared" si="124"/>
        <v>0</v>
      </c>
      <c r="AB254" s="1387">
        <f>IF(Z254=A254,IF(AND(L254="N",Table22[[#This Row],[LOQ_label]]="Y"),AA254,$AA254*$Y254),"")</f>
        <v>0</v>
      </c>
      <c r="AC254" s="1393">
        <f t="shared" si="125"/>
        <v>0</v>
      </c>
      <c r="AD254" s="1393">
        <f>IF(Table22[[#This Row],[Median residue*CF*PeF]]&lt;&gt;"",Table22[[#This Row],[Median residue*CF*PeF]],Table22[[#This Row],[MRL*CF*PeF (chronic)]])</f>
        <v>0</v>
      </c>
      <c r="AE254" s="1393">
        <f t="shared" si="126"/>
        <v>0</v>
      </c>
      <c r="AF254" s="1390" t="str">
        <f t="shared" si="127"/>
        <v>MRL</v>
      </c>
      <c r="AG254" s="1390" t="str">
        <f t="shared" si="128"/>
        <v/>
      </c>
      <c r="AH254" s="1394" t="str">
        <f t="shared" si="129"/>
        <v/>
      </c>
      <c r="AI254" s="1419">
        <v>2</v>
      </c>
      <c r="AJ254" s="1387">
        <f t="shared" si="130"/>
        <v>0</v>
      </c>
      <c r="AK254" s="1387">
        <f>IF(AI254=A254,IF(AND(L254="N",Table22[[#This Row],[LOQ_label]]="Y"),AJ254,$AJ254*$Y254),"")</f>
        <v>0</v>
      </c>
      <c r="AL254" s="1388">
        <f t="shared" si="131"/>
        <v>0</v>
      </c>
      <c r="AM254"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54" s="1451" t="str">
        <f>IF(AI254&lt;&gt;A254,"",IF(Table22[[#This Row],[Post-harvest treatment]]="",Table22[[#This Row],[label for chronic calculation]],IF(Table22[[#This Row],[Post-harvest treatment]]="N",Table22[[#This Row],[label for chronic calculation]],IF(Table22[[#This Row],[HR-RAC (highest residue)]]&gt;"","HR-RAC",IF(V254="Y","LOQ","MRL")))))</f>
        <v>MRL</v>
      </c>
      <c r="AO254" s="1390" t="str">
        <f t="shared" si="133"/>
        <v/>
      </c>
      <c r="AP254" s="1404" t="str">
        <f t="shared" si="134"/>
        <v/>
      </c>
      <c r="AQ254" s="1388">
        <f t="shared" si="135"/>
        <v>0</v>
      </c>
      <c r="AR254" s="1388" t="str">
        <f t="shared" si="136"/>
        <v/>
      </c>
      <c r="AS254" s="1388" t="str">
        <f t="shared" si="137"/>
        <v/>
      </c>
      <c r="AT254" s="1388" t="str">
        <f t="shared" si="138"/>
        <v/>
      </c>
      <c r="AU254" s="1393">
        <f t="shared" si="139"/>
        <v>0</v>
      </c>
      <c r="AV254" s="1388">
        <f t="shared" si="140"/>
        <v>0</v>
      </c>
      <c r="AW254" s="1390" t="str">
        <f t="shared" si="141"/>
        <v/>
      </c>
      <c r="AX254" s="1390" t="str">
        <f>IF(AND(AW254&lt;&gt;"",AY254&lt;&gt;""),"*","")</f>
        <v/>
      </c>
      <c r="AY254" s="1394" t="str">
        <f t="shared" si="142"/>
        <v/>
      </c>
      <c r="AZ254" s="1395" t="str">
        <f>IF(Table22[[#This Row],[LOQ_label]]="Y",Table22[[#This Row],[MRL individual commodity]],"")</f>
        <v/>
      </c>
      <c r="BA254" s="1422">
        <v>3</v>
      </c>
      <c r="BB254" s="1411" t="str">
        <f>IF(Table22[[#This Row],[LOQ2]]&lt;0,MIN(AZ254:AZ630),"")</f>
        <v/>
      </c>
      <c r="BC254" s="1299"/>
      <c r="BD254" s="1306" t="str">
        <f>IF(Table22[[#This Row],[Chronic RA label]]="","N",IF(Table22[[#This Row],[Chronic RA label]]="LOQ","N",IF(Table22[[#This Row],[Chronic RA label]]="MRL","N","Y")))</f>
        <v>N</v>
      </c>
      <c r="BE254" s="1306" t="str">
        <f>IF(Table22[[#This Row],[Acute RA label]]="","N",IF(Table22[[#This Row],[Acute RA label]]="LOQ","N",IF(Table22[[#This Row],[Acute RA label]]="MRL","N","Y")))</f>
        <v>N</v>
      </c>
      <c r="BF254" s="1306" t="str">
        <f>IF(OR(Table22[[#This Row],[include commodity in Summary_input_values_chronic]]="Y",Table22[[#This Row],[include commodity in Summary_input_values_acute]]="Y"),"Y","N")</f>
        <v>N</v>
      </c>
      <c r="BG254" s="1299"/>
      <c r="BH254" s="1324"/>
    </row>
    <row r="255" spans="1:60" ht="12.75" customHeight="1" outlineLevel="1" x14ac:dyDescent="0.2">
      <c r="A255" s="130">
        <v>2</v>
      </c>
      <c r="B255" s="447">
        <v>620000</v>
      </c>
      <c r="C255" s="131" t="s">
        <v>143</v>
      </c>
      <c r="D255" s="867"/>
      <c r="E255" s="1219"/>
      <c r="F255" s="867"/>
      <c r="G255" s="869"/>
      <c r="H255" s="863"/>
      <c r="I255" s="868"/>
      <c r="J255" s="870"/>
      <c r="K255" s="865"/>
      <c r="L255" s="872"/>
      <c r="M255" s="874"/>
      <c r="N255" s="925" t="str">
        <f>IF(O255&lt;&gt;0,CONCATENATE(input_values!$AF255,input_values!$AG255,input_values!$AH255),"")</f>
        <v/>
      </c>
      <c r="O255" s="491">
        <f>IF($A$10="Refined calculation mode",Table22[[#This Row],[input for chronic (refined mode]],Table22[[#This Row],[input for chronic normal mode]])</f>
        <v>0</v>
      </c>
      <c r="P255" s="925" t="str">
        <f>IF(Q255&lt;&gt;0,CONCATENATE(input_values!$AN255,input_values!$AO255,input_values!$AP255),"")</f>
        <v/>
      </c>
      <c r="Q255" s="491">
        <f>IF($V$5=0,0,IF(OR($A$10="Refined calculation mode",Results!$B$62="Show results of IESTI calculation only for crops with GAPs under assessment"),Table22[[#This Row],[Input for IESTI (refined mode)]],Table22[[#This Row],[Input for IESTI normal mode]]))</f>
        <v>0</v>
      </c>
      <c r="R255" s="926" t="str">
        <f>IF(S255&lt;&gt;0,CONCATENATE(input_values!$AW255,input_values!$AX255,input_values!$AY255),"")</f>
        <v/>
      </c>
      <c r="S255" s="492">
        <f>IF($V$5=0,0,IF(OR($A$10="Refined calculation mode",Results!$B$62="Show results of IESTI calculation only for crops with GAPs under assessment"),Table22[[#This Row],[Input for IESTI new (refined mode)]],Table22[[#This Row],[Input for IESTI new normal mode]]))</f>
        <v>0</v>
      </c>
      <c r="T255" s="886"/>
      <c r="U255" s="1408">
        <f>Table22[[#This Row],[MRL/ proposed MRL /CXL
(mg/kg)]]</f>
        <v>0</v>
      </c>
      <c r="V255" s="1409" t="str">
        <f>IF(ISBLANK(F255),"","Y")</f>
        <v/>
      </c>
      <c r="W255" s="1387">
        <f>IF($G255&gt;0,$G255,1)</f>
        <v>1</v>
      </c>
      <c r="X255" s="1387">
        <f>IF($H255&gt;0,$H255,1)</f>
        <v>1</v>
      </c>
      <c r="Y255" s="1387">
        <f>W255*X255</f>
        <v>1</v>
      </c>
      <c r="Z255" s="1410">
        <v>2</v>
      </c>
      <c r="AA255" s="1387">
        <f t="shared" si="124"/>
        <v>0</v>
      </c>
      <c r="AB255" s="1387">
        <f>IF(Z255=A255,IF(AND(L255="N",Table22[[#This Row],[LOQ_label]]="Y"),AA255,$AA255*$Y255),"")</f>
        <v>0</v>
      </c>
      <c r="AC255" s="1393">
        <f t="shared" si="125"/>
        <v>0</v>
      </c>
      <c r="AD255" s="1393">
        <f>IF(Table22[[#This Row],[Median residue*CF*PeF]]&lt;&gt;"",Table22[[#This Row],[Median residue*CF*PeF]],Table22[[#This Row],[MRL*CF*PeF (chronic)]])</f>
        <v>0</v>
      </c>
      <c r="AE255" s="1393">
        <f t="shared" si="126"/>
        <v>0</v>
      </c>
      <c r="AF255" s="1390" t="str">
        <f t="shared" si="127"/>
        <v>MRL</v>
      </c>
      <c r="AG255" s="1390" t="str">
        <f t="shared" si="128"/>
        <v/>
      </c>
      <c r="AH255" s="1394" t="str">
        <f t="shared" si="129"/>
        <v/>
      </c>
      <c r="AI255" s="1419">
        <v>2</v>
      </c>
      <c r="AJ255" s="1387">
        <f t="shared" si="130"/>
        <v>0</v>
      </c>
      <c r="AK255" s="1387">
        <f>IF(AI255=A255,IF(AND(L255="N",Table22[[#This Row],[LOQ_label]]="Y"),AJ255,$AJ255*$Y255),"")</f>
        <v>0</v>
      </c>
      <c r="AL255" s="1388">
        <f t="shared" si="131"/>
        <v>0</v>
      </c>
      <c r="AM255"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255" s="1451" t="str">
        <f>IF(AI255&lt;&gt;A255,"",IF(Table22[[#This Row],[Post-harvest treatment]]="",Table22[[#This Row],[label for chronic calculation]],IF(Table22[[#This Row],[Post-harvest treatment]]="N",Table22[[#This Row],[label for chronic calculation]],IF(Table22[[#This Row],[HR-RAC (highest residue)]]&gt;"","HR-RAC",IF(V255="Y","LOQ","MRL")))))</f>
        <v>MRL</v>
      </c>
      <c r="AO255" s="1390" t="str">
        <f t="shared" si="133"/>
        <v/>
      </c>
      <c r="AP255" s="1404" t="str">
        <f t="shared" si="134"/>
        <v/>
      </c>
      <c r="AQ255" s="1388">
        <f t="shared" si="135"/>
        <v>0</v>
      </c>
      <c r="AR255" s="1388" t="str">
        <f t="shared" si="136"/>
        <v/>
      </c>
      <c r="AS255" s="1388" t="str">
        <f t="shared" si="137"/>
        <v/>
      </c>
      <c r="AT255" s="1388" t="str">
        <f t="shared" si="138"/>
        <v/>
      </c>
      <c r="AU255" s="1393">
        <f t="shared" si="139"/>
        <v>0</v>
      </c>
      <c r="AV255" s="1388">
        <f t="shared" si="140"/>
        <v>0</v>
      </c>
      <c r="AW255" s="1390" t="str">
        <f t="shared" si="141"/>
        <v/>
      </c>
      <c r="AX255" s="1390" t="str">
        <f>IF(AND(AW255&lt;&gt;"",AY255&lt;&gt;""),"*","")</f>
        <v/>
      </c>
      <c r="AY255" s="1394" t="str">
        <f t="shared" si="142"/>
        <v/>
      </c>
      <c r="AZ255" s="1395" t="str">
        <f>IF(Table22[[#This Row],[LOQ_label]]="Y",Table22[[#This Row],[MRL individual commodity]],"")</f>
        <v/>
      </c>
      <c r="BA255" s="1422">
        <v>3</v>
      </c>
      <c r="BB255" s="1411" t="str">
        <f>IF(Table22[[#This Row],[LOQ2]]&lt;0,MIN(AZ255:AZ631),"")</f>
        <v/>
      </c>
      <c r="BC255" s="1299"/>
      <c r="BD255" s="1306" t="str">
        <f>IF(Table22[[#This Row],[Chronic RA label]]="","N",IF(Table22[[#This Row],[Chronic RA label]]="LOQ","N",IF(Table22[[#This Row],[Chronic RA label]]="MRL","N","Y")))</f>
        <v>N</v>
      </c>
      <c r="BE255" s="1306" t="str">
        <f>IF(Table22[[#This Row],[Acute RA label]]="","N",IF(Table22[[#This Row],[Acute RA label]]="LOQ","N",IF(Table22[[#This Row],[Acute RA label]]="MRL","N","Y")))</f>
        <v>N</v>
      </c>
      <c r="BF255" s="1306" t="str">
        <f>IF(OR(Table22[[#This Row],[include commodity in Summary_input_values_chronic]]="Y",Table22[[#This Row],[include commodity in Summary_input_values_acute]]="Y"),"Y","N")</f>
        <v>N</v>
      </c>
      <c r="BG255" s="1299"/>
      <c r="BH255" s="1324"/>
    </row>
    <row r="256" spans="1:60" ht="12.75" customHeight="1" outlineLevel="1" x14ac:dyDescent="0.2">
      <c r="A256" s="130">
        <v>2</v>
      </c>
      <c r="B256" s="447">
        <v>630000</v>
      </c>
      <c r="C256" s="131" t="s">
        <v>365</v>
      </c>
      <c r="D256" s="862"/>
      <c r="E256" s="1218"/>
      <c r="F256" s="862"/>
      <c r="G256" s="866"/>
      <c r="H256" s="863"/>
      <c r="I256" s="863"/>
      <c r="J256" s="864"/>
      <c r="K256" s="865"/>
      <c r="L256" s="471"/>
      <c r="M256" s="471"/>
      <c r="N256" s="473"/>
      <c r="O256" s="474"/>
      <c r="P256" s="473"/>
      <c r="Q256" s="474"/>
      <c r="R256" s="473"/>
      <c r="S256" s="474"/>
      <c r="T256" s="886"/>
      <c r="U256" s="1415"/>
      <c r="V256" s="1380"/>
      <c r="W256" s="1381"/>
      <c r="X256" s="1381"/>
      <c r="Y256" s="1381"/>
      <c r="Z256" s="1382">
        <v>4</v>
      </c>
      <c r="AA256" s="1381" t="str">
        <f t="shared" si="124"/>
        <v/>
      </c>
      <c r="AB256" s="1381" t="str">
        <f>IF(Z256=A256,IF(AND(L256="N",Table22[[#This Row],[LOQ_label]]="Y"),AA256,$AA256*$Y256),"")</f>
        <v/>
      </c>
      <c r="AC256" s="1383" t="str">
        <f t="shared" si="125"/>
        <v/>
      </c>
      <c r="AD256" s="1383" t="str">
        <f>IF(Table22[[#This Row],[Median residue*CF*PeF]]&lt;&gt;"",Table22[[#This Row],[Median residue*CF*PeF]],Table22[[#This Row],[MRL*CF*PeF (chronic)]])</f>
        <v/>
      </c>
      <c r="AE256" s="1384">
        <f t="shared" si="126"/>
        <v>0</v>
      </c>
      <c r="AF256" s="1385" t="str">
        <f t="shared" si="127"/>
        <v/>
      </c>
      <c r="AG256" s="1385" t="str">
        <f t="shared" si="128"/>
        <v/>
      </c>
      <c r="AH256" s="1270" t="str">
        <f t="shared" si="129"/>
        <v/>
      </c>
      <c r="AI256" s="1386">
        <v>4</v>
      </c>
      <c r="AJ256" s="1387" t="str">
        <f t="shared" si="130"/>
        <v/>
      </c>
      <c r="AK256" s="1387" t="str">
        <f>IF(AI256=A256,IF(AND(L256="N",Table22[[#This Row],[LOQ_label]]="Y"),AJ256,$AJ256*$Y256),"")</f>
        <v/>
      </c>
      <c r="AL256" s="1388" t="str">
        <f t="shared" si="131"/>
        <v/>
      </c>
      <c r="AM256" s="1393" t="str">
        <f>IF(Table22[[#This Row],[Highest residue * CF*PF]]&lt;&gt;"",Table22[[#This Row],[Highest residue * CF*PF]],Table22[[#This Row],[MRL*CF*PF or MRL (if LOQ and not authorised) (acute RA)]])</f>
        <v/>
      </c>
      <c r="AN256" s="1390" t="str">
        <f t="shared" si="132"/>
        <v/>
      </c>
      <c r="AO256" s="1390" t="str">
        <f t="shared" si="133"/>
        <v/>
      </c>
      <c r="AP256" s="1404" t="str">
        <f t="shared" si="134"/>
        <v/>
      </c>
      <c r="AQ256" s="1388">
        <f t="shared" si="135"/>
        <v>0</v>
      </c>
      <c r="AR256" s="1388" t="str">
        <f t="shared" si="136"/>
        <v/>
      </c>
      <c r="AS256" s="1388" t="str">
        <f t="shared" si="137"/>
        <v/>
      </c>
      <c r="AT256" s="1388" t="str">
        <f t="shared" si="138"/>
        <v/>
      </c>
      <c r="AU256" s="1393" t="str">
        <f t="shared" si="139"/>
        <v/>
      </c>
      <c r="AV256" s="1388">
        <f t="shared" si="140"/>
        <v>0</v>
      </c>
      <c r="AW256" s="1390" t="str">
        <f t="shared" si="141"/>
        <v/>
      </c>
      <c r="AX256" s="1390" t="str">
        <f>IF(AND(AW256&lt;&gt;"",AY256&lt;&gt;""),"*","")</f>
        <v/>
      </c>
      <c r="AY256" s="1394" t="str">
        <f t="shared" si="142"/>
        <v/>
      </c>
      <c r="AZ256" s="1395">
        <f>IF(Table22[[#This Row],[LOQ_label]]="Y",Table22[[#This Row],[MRL individual commodity]],"")</f>
        <v>0</v>
      </c>
      <c r="BA256" s="1396" t="s">
        <v>1159</v>
      </c>
      <c r="BB256" s="1411" t="str">
        <f>IF(Table22[[#This Row],[LOQ2]]&lt;0,MIN(AZ256:AZ632),"")</f>
        <v/>
      </c>
      <c r="BC256" s="1299"/>
      <c r="BD256" s="1306" t="str">
        <f>IF(Table22[[#This Row],[Chronic RA label]]="","N",IF(Table22[[#This Row],[Chronic RA label]]="LOQ","N",IF(Table22[[#This Row],[Chronic RA label]]="MRL","N","Y")))</f>
        <v>N</v>
      </c>
      <c r="BE256" s="1306" t="str">
        <f>IF(Table22[[#This Row],[Acute RA label]]="","N",IF(Table22[[#This Row],[Acute RA label]]="LOQ","N",IF(Table22[[#This Row],[Acute RA label]]="MRL","N","Y")))</f>
        <v>N</v>
      </c>
      <c r="BF256" s="1306" t="str">
        <f>IF(OR(Table22[[#This Row],[include commodity in Summary_input_values_chronic]]="Y",Table22[[#This Row],[include commodity in Summary_input_values_acute]]="Y"),"Y","N")</f>
        <v>N</v>
      </c>
      <c r="BG256" s="1299"/>
      <c r="BH256" s="1324"/>
    </row>
    <row r="257" spans="1:60" ht="12.75" customHeight="1" outlineLevel="2" x14ac:dyDescent="0.2">
      <c r="A257" s="132">
        <v>3</v>
      </c>
      <c r="B257" s="448">
        <v>631000</v>
      </c>
      <c r="C257" s="3" t="s">
        <v>74</v>
      </c>
      <c r="D257" s="862"/>
      <c r="E257" s="1218"/>
      <c r="F257" s="862"/>
      <c r="G257" s="866"/>
      <c r="H257" s="863"/>
      <c r="I257" s="863"/>
      <c r="J257" s="864"/>
      <c r="K257" s="865"/>
      <c r="L257" s="471"/>
      <c r="M257" s="471"/>
      <c r="N257" s="473"/>
      <c r="O257" s="474"/>
      <c r="P257" s="473"/>
      <c r="Q257" s="474"/>
      <c r="R257" s="473"/>
      <c r="S257" s="474"/>
      <c r="T257" s="886"/>
      <c r="U257" s="1415"/>
      <c r="V257" s="1380"/>
      <c r="W257" s="1381"/>
      <c r="X257" s="1381"/>
      <c r="Y257" s="1381"/>
      <c r="Z257" s="1382">
        <v>4</v>
      </c>
      <c r="AA257" s="1381" t="str">
        <f t="shared" si="124"/>
        <v/>
      </c>
      <c r="AB257" s="1381" t="str">
        <f>IF(Z257=A257,IF(AND(L257="N",Table22[[#This Row],[LOQ_label]]="Y"),AA257,$AA257*$Y257),"")</f>
        <v/>
      </c>
      <c r="AC257" s="1383" t="str">
        <f t="shared" si="125"/>
        <v/>
      </c>
      <c r="AD257" s="1383" t="str">
        <f>IF(Table22[[#This Row],[Median residue*CF*PeF]]&lt;&gt;"",Table22[[#This Row],[Median residue*CF*PeF]],Table22[[#This Row],[MRL*CF*PeF (chronic)]])</f>
        <v/>
      </c>
      <c r="AE257" s="1384">
        <f t="shared" si="126"/>
        <v>0</v>
      </c>
      <c r="AF257" s="1385" t="str">
        <f t="shared" si="127"/>
        <v/>
      </c>
      <c r="AG257" s="1385" t="str">
        <f t="shared" si="128"/>
        <v/>
      </c>
      <c r="AH257" s="1270" t="str">
        <f t="shared" si="129"/>
        <v/>
      </c>
      <c r="AI257" s="1424">
        <v>4</v>
      </c>
      <c r="AJ257" s="1387" t="str">
        <f t="shared" si="130"/>
        <v/>
      </c>
      <c r="AK257" s="1387" t="str">
        <f>IF(AI257=A257,IF(AND(L257="N",Table22[[#This Row],[LOQ_label]]="Y"),AJ257,$AJ257*$Y257),"")</f>
        <v/>
      </c>
      <c r="AL257" s="1388" t="str">
        <f t="shared" si="131"/>
        <v/>
      </c>
      <c r="AM257" s="1393" t="str">
        <f>IF(Table22[[#This Row],[Highest residue * CF*PF]]&lt;&gt;"",Table22[[#This Row],[Highest residue * CF*PF]],Table22[[#This Row],[MRL*CF*PF or MRL (if LOQ and not authorised) (acute RA)]])</f>
        <v/>
      </c>
      <c r="AN257" s="1390" t="str">
        <f t="shared" si="132"/>
        <v/>
      </c>
      <c r="AO257" s="1390" t="str">
        <f t="shared" si="133"/>
        <v/>
      </c>
      <c r="AP257" s="1404" t="str">
        <f t="shared" si="134"/>
        <v/>
      </c>
      <c r="AQ257" s="1388">
        <f t="shared" si="135"/>
        <v>0</v>
      </c>
      <c r="AR257" s="1388" t="str">
        <f t="shared" si="136"/>
        <v/>
      </c>
      <c r="AS257" s="1388" t="str">
        <f t="shared" si="137"/>
        <v/>
      </c>
      <c r="AT257" s="1388" t="str">
        <f t="shared" si="138"/>
        <v/>
      </c>
      <c r="AU257" s="1393" t="str">
        <f t="shared" si="139"/>
        <v/>
      </c>
      <c r="AV257" s="1388">
        <f t="shared" si="140"/>
        <v>0</v>
      </c>
      <c r="AW257" s="1390" t="str">
        <f t="shared" si="141"/>
        <v/>
      </c>
      <c r="AX257" s="1390" t="str">
        <f t="shared" ref="AX257:AX273" si="153">IF(AND(AN257&lt;&gt;"",AY257&lt;&gt;""),"*","")</f>
        <v/>
      </c>
      <c r="AY257" s="1394" t="str">
        <f t="shared" si="142"/>
        <v/>
      </c>
      <c r="AZ257" s="1395">
        <f>IF(Table22[[#This Row],[LOQ_label]]="Y",Table22[[#This Row],[MRL individual commodity]],"")</f>
        <v>0</v>
      </c>
      <c r="BA257" s="1396"/>
      <c r="BB257" s="1411" t="str">
        <f>IF(Table22[[#This Row],[LOQ2]]&lt;0,MIN(AZ257:AZ633),"")</f>
        <v/>
      </c>
      <c r="BC257" s="1299"/>
      <c r="BD257" s="1306" t="str">
        <f>IF(Table22[[#This Row],[Chronic RA label]]="","N",IF(Table22[[#This Row],[Chronic RA label]]="LOQ","N",IF(Table22[[#This Row],[Chronic RA label]]="MRL","N","Y")))</f>
        <v>N</v>
      </c>
      <c r="BE257" s="1306" t="str">
        <f>IF(Table22[[#This Row],[Acute RA label]]="","N",IF(Table22[[#This Row],[Acute RA label]]="LOQ","N",IF(Table22[[#This Row],[Acute RA label]]="MRL","N","Y")))</f>
        <v>N</v>
      </c>
      <c r="BF257" s="1306" t="str">
        <f>IF(OR(Table22[[#This Row],[include commodity in Summary_input_values_chronic]]="Y",Table22[[#This Row],[include commodity in Summary_input_values_acute]]="Y"),"Y","N")</f>
        <v>N</v>
      </c>
      <c r="BG257" s="1299"/>
      <c r="BH257" s="1324"/>
    </row>
    <row r="258" spans="1:60" ht="12.75" customHeight="1" outlineLevel="3" x14ac:dyDescent="0.2">
      <c r="A258" s="39">
        <v>4</v>
      </c>
      <c r="B258" s="327">
        <v>631010</v>
      </c>
      <c r="C258" s="23" t="s">
        <v>767</v>
      </c>
      <c r="D258" s="867"/>
      <c r="E258" s="1219"/>
      <c r="F258" s="867"/>
      <c r="G258" s="869"/>
      <c r="H258" s="863"/>
      <c r="I258" s="868"/>
      <c r="J258" s="870"/>
      <c r="K258" s="865"/>
      <c r="L258" s="872"/>
      <c r="M258" s="872"/>
      <c r="N258" s="925" t="str">
        <f>IF(O258&lt;&gt;0,CONCATENATE(input_values!$AF258,input_values!$AG258,input_values!$AH258),"")</f>
        <v/>
      </c>
      <c r="O258" s="491">
        <f>IF($A$10="Refined calculation mode",Table22[[#This Row],[input for chronic (refined mode]],Table22[[#This Row],[input for chronic normal mode]])</f>
        <v>0</v>
      </c>
      <c r="P258" s="925" t="str">
        <f>IF(Q258&lt;&gt;0,CONCATENATE(input_values!$AN258,input_values!$AO258,input_values!$AP258),"")</f>
        <v/>
      </c>
      <c r="Q258" s="491">
        <f>IF($V$5=0,0,IF(OR($A$10="Refined calculation mode",Results!$B$62="Show results of IESTI calculation only for crops with GAPs under assessment"),Table22[[#This Row],[Input for IESTI (refined mode)]],Table22[[#This Row],[Input for IESTI normal mode]]))</f>
        <v>0</v>
      </c>
      <c r="R258" s="926" t="str">
        <f>IF(S258&lt;&gt;0,CONCATENATE(input_values!$AW258,input_values!$AX258,input_values!$AY258),"")</f>
        <v/>
      </c>
      <c r="S258" s="492">
        <f>IF($V$5=0,0,IF(OR($A$10="Refined calculation mode",Results!$B$62="Show results of IESTI calculation only for crops with GAPs under assessment"),Table22[[#This Row],[Input for IESTI new (refined mode)]],Table22[[#This Row],[Input for IESTI new normal mode]]))</f>
        <v>0</v>
      </c>
      <c r="T258" s="886"/>
      <c r="U258" s="1408">
        <f>Table22[[#This Row],[MRL/ proposed MRL /CXL
(mg/kg)]]</f>
        <v>0</v>
      </c>
      <c r="V258" s="1409" t="str">
        <f t="shared" ref="V258:V263" si="154">IF(ISBLANK(F258),"","Y")</f>
        <v/>
      </c>
      <c r="W258" s="1387">
        <f t="shared" ref="W258:W263" si="155">IF($G258&gt;0,$G258,1)</f>
        <v>1</v>
      </c>
      <c r="X258" s="1387">
        <f t="shared" ref="X258:X263" si="156">IF($H258&gt;0,$H258,1)</f>
        <v>1</v>
      </c>
      <c r="Y258" s="1387">
        <f t="shared" ref="Y258:Y263" si="157">W258*X258</f>
        <v>1</v>
      </c>
      <c r="Z258" s="1410">
        <v>4</v>
      </c>
      <c r="AA258" s="1387">
        <f t="shared" si="124"/>
        <v>0</v>
      </c>
      <c r="AB258" s="1387">
        <f>IF(Z258=A258,IF(AND(L258="N",Table22[[#This Row],[LOQ_label]]="Y"),AA258,$AA258*$Y258),"")</f>
        <v>0</v>
      </c>
      <c r="AC258" s="1393">
        <f t="shared" si="125"/>
        <v>0</v>
      </c>
      <c r="AD258" s="1393">
        <f>IF(Table22[[#This Row],[Median residue*CF*PeF]]&lt;&gt;"",Table22[[#This Row],[Median residue*CF*PeF]],Table22[[#This Row],[MRL*CF*PeF (chronic)]])</f>
        <v>0</v>
      </c>
      <c r="AE258" s="1393">
        <f t="shared" si="126"/>
        <v>0</v>
      </c>
      <c r="AF258" s="1390" t="str">
        <f t="shared" si="127"/>
        <v>MRL</v>
      </c>
      <c r="AG258" s="1390" t="str">
        <f t="shared" si="128"/>
        <v/>
      </c>
      <c r="AH258" s="1394" t="str">
        <f t="shared" si="129"/>
        <v/>
      </c>
      <c r="AI258" s="1386">
        <v>4</v>
      </c>
      <c r="AJ258" s="1387">
        <f t="shared" si="130"/>
        <v>0</v>
      </c>
      <c r="AK258" s="1387">
        <f>IF(AI258=A258,IF(AND(L258="N",Table22[[#This Row],[LOQ_label]]="Y"),AJ258,$AJ258*$Y258),"")</f>
        <v>0</v>
      </c>
      <c r="AL258" s="1388">
        <f t="shared" si="131"/>
        <v>0</v>
      </c>
      <c r="AM258" s="1393">
        <f>IF(Table22[[#This Row],[Highest residue * CF*PF]]&lt;&gt;"",Table22[[#This Row],[Highest residue * CF*PF]],Table22[[#This Row],[MRL*CF*PF or MRL (if LOQ and not authorised) (acute RA)]])</f>
        <v>0</v>
      </c>
      <c r="AN258" s="1390" t="str">
        <f t="shared" si="132"/>
        <v>MRL</v>
      </c>
      <c r="AO258" s="1390" t="str">
        <f t="shared" si="133"/>
        <v/>
      </c>
      <c r="AP258" s="1404" t="str">
        <f t="shared" si="134"/>
        <v/>
      </c>
      <c r="AQ258" s="1388">
        <f t="shared" si="135"/>
        <v>0</v>
      </c>
      <c r="AR258" s="1388" t="str">
        <f t="shared" si="136"/>
        <v/>
      </c>
      <c r="AS258" s="1388" t="str">
        <f t="shared" si="137"/>
        <v/>
      </c>
      <c r="AT258" s="1388" t="str">
        <f t="shared" si="138"/>
        <v/>
      </c>
      <c r="AU258" s="1393">
        <f t="shared" si="139"/>
        <v>0</v>
      </c>
      <c r="AV258" s="1388">
        <f t="shared" si="140"/>
        <v>0</v>
      </c>
      <c r="AW258" s="1390" t="str">
        <f t="shared" si="141"/>
        <v/>
      </c>
      <c r="AX258" s="1390" t="str">
        <f t="shared" si="153"/>
        <v/>
      </c>
      <c r="AY258" s="1394" t="str">
        <f t="shared" si="142"/>
        <v/>
      </c>
      <c r="AZ258" s="1395" t="str">
        <f>IF(Table22[[#This Row],[LOQ_label]]="Y",Table22[[#This Row],[MRL individual commodity]],"")</f>
        <v/>
      </c>
      <c r="BA258" s="1396" t="s">
        <v>1038</v>
      </c>
      <c r="BB258" s="1411" t="str">
        <f>IF(Table22[[#This Row],[LOQ2]]&lt;0,MIN(AZ258:AZ634),"")</f>
        <v/>
      </c>
      <c r="BC258" s="1299"/>
      <c r="BD258" s="1306" t="str">
        <f>IF(Table22[[#This Row],[Chronic RA label]]="","N",IF(Table22[[#This Row],[Chronic RA label]]="LOQ","N",IF(Table22[[#This Row],[Chronic RA label]]="MRL","N","Y")))</f>
        <v>N</v>
      </c>
      <c r="BE258" s="1306" t="str">
        <f>IF(Table22[[#This Row],[Acute RA label]]="","N",IF(Table22[[#This Row],[Acute RA label]]="LOQ","N",IF(Table22[[#This Row],[Acute RA label]]="MRL","N","Y")))</f>
        <v>N</v>
      </c>
      <c r="BF258" s="1306" t="str">
        <f>IF(OR(Table22[[#This Row],[include commodity in Summary_input_values_chronic]]="Y",Table22[[#This Row],[include commodity in Summary_input_values_acute]]="Y"),"Y","N")</f>
        <v>N</v>
      </c>
      <c r="BG258" s="1299"/>
      <c r="BH258" s="1324"/>
    </row>
    <row r="259" spans="1:60" ht="12.75" customHeight="1" outlineLevel="3" x14ac:dyDescent="0.2">
      <c r="A259" s="39">
        <v>4</v>
      </c>
      <c r="B259" s="327">
        <v>631020</v>
      </c>
      <c r="C259" s="23" t="s">
        <v>768</v>
      </c>
      <c r="D259" s="867"/>
      <c r="E259" s="1219"/>
      <c r="F259" s="867"/>
      <c r="G259" s="869"/>
      <c r="H259" s="863"/>
      <c r="I259" s="868"/>
      <c r="J259" s="870"/>
      <c r="K259" s="865"/>
      <c r="L259" s="872"/>
      <c r="M259" s="872"/>
      <c r="N259" s="925" t="str">
        <f>IF(O259&lt;&gt;0,CONCATENATE(input_values!$AF259,input_values!$AG259,input_values!$AH259),"")</f>
        <v/>
      </c>
      <c r="O259" s="491">
        <f>IF($A$10="Refined calculation mode",Table22[[#This Row],[input for chronic (refined mode]],Table22[[#This Row],[input for chronic normal mode]])</f>
        <v>0</v>
      </c>
      <c r="P259" s="925" t="str">
        <f>IF(Q259&lt;&gt;0,CONCATENATE(input_values!$AN259,input_values!$AO259,input_values!$AP259),"")</f>
        <v/>
      </c>
      <c r="Q259" s="491">
        <f>IF($V$5=0,0,IF(OR($A$10="Refined calculation mode",Results!$B$62="Show results of IESTI calculation only for crops with GAPs under assessment"),Table22[[#This Row],[Input for IESTI (refined mode)]],Table22[[#This Row],[Input for IESTI normal mode]]))</f>
        <v>0</v>
      </c>
      <c r="R259" s="926" t="str">
        <f>IF(S259&lt;&gt;0,CONCATENATE(input_values!$AW259,input_values!$AX259,input_values!$AY259),"")</f>
        <v/>
      </c>
      <c r="S259" s="492">
        <f>IF($V$5=0,0,IF(OR($A$10="Refined calculation mode",Results!$B$62="Show results of IESTI calculation only for crops with GAPs under assessment"),Table22[[#This Row],[Input for IESTI new (refined mode)]],Table22[[#This Row],[Input for IESTI new normal mode]]))</f>
        <v>0</v>
      </c>
      <c r="T259" s="886"/>
      <c r="U259" s="1408">
        <f>Table22[[#This Row],[MRL/ proposed MRL /CXL
(mg/kg)]]</f>
        <v>0</v>
      </c>
      <c r="V259" s="1409" t="str">
        <f t="shared" si="154"/>
        <v/>
      </c>
      <c r="W259" s="1387">
        <f t="shared" si="155"/>
        <v>1</v>
      </c>
      <c r="X259" s="1387">
        <f t="shared" si="156"/>
        <v>1</v>
      </c>
      <c r="Y259" s="1387">
        <f t="shared" si="157"/>
        <v>1</v>
      </c>
      <c r="Z259" s="1410">
        <v>4</v>
      </c>
      <c r="AA259" s="1387">
        <f t="shared" si="124"/>
        <v>0</v>
      </c>
      <c r="AB259" s="1387">
        <f>IF(Z259=A259,IF(AND(L259="N",Table22[[#This Row],[LOQ_label]]="Y"),AA259,$AA259*$Y259),"")</f>
        <v>0</v>
      </c>
      <c r="AC259" s="1393">
        <f t="shared" si="125"/>
        <v>0</v>
      </c>
      <c r="AD259" s="1393">
        <f>IF(Table22[[#This Row],[Median residue*CF*PeF]]&lt;&gt;"",Table22[[#This Row],[Median residue*CF*PeF]],Table22[[#This Row],[MRL*CF*PeF (chronic)]])</f>
        <v>0</v>
      </c>
      <c r="AE259" s="1393">
        <f t="shared" si="126"/>
        <v>0</v>
      </c>
      <c r="AF259" s="1390" t="str">
        <f t="shared" si="127"/>
        <v>MRL</v>
      </c>
      <c r="AG259" s="1390" t="str">
        <f t="shared" si="128"/>
        <v/>
      </c>
      <c r="AH259" s="1394" t="str">
        <f t="shared" si="129"/>
        <v/>
      </c>
      <c r="AI259" s="1386">
        <v>4</v>
      </c>
      <c r="AJ259" s="1387">
        <f t="shared" si="130"/>
        <v>0</v>
      </c>
      <c r="AK259" s="1387">
        <f>IF(AI259=A259,IF(AND(L259="N",Table22[[#This Row],[LOQ_label]]="Y"),AJ259,$AJ259*$Y259),"")</f>
        <v>0</v>
      </c>
      <c r="AL259" s="1388">
        <f t="shared" si="131"/>
        <v>0</v>
      </c>
      <c r="AM259" s="1393">
        <f>IF(Table22[[#This Row],[Highest residue * CF*PF]]&lt;&gt;"",Table22[[#This Row],[Highest residue * CF*PF]],Table22[[#This Row],[MRL*CF*PF or MRL (if LOQ and not authorised) (acute RA)]])</f>
        <v>0</v>
      </c>
      <c r="AN259" s="1390" t="str">
        <f t="shared" si="132"/>
        <v>MRL</v>
      </c>
      <c r="AO259" s="1390" t="str">
        <f t="shared" si="133"/>
        <v/>
      </c>
      <c r="AP259" s="1404" t="str">
        <f t="shared" si="134"/>
        <v/>
      </c>
      <c r="AQ259" s="1388">
        <f t="shared" si="135"/>
        <v>0</v>
      </c>
      <c r="AR259" s="1388" t="str">
        <f t="shared" si="136"/>
        <v/>
      </c>
      <c r="AS259" s="1388" t="str">
        <f t="shared" si="137"/>
        <v/>
      </c>
      <c r="AT259" s="1388" t="str">
        <f t="shared" si="138"/>
        <v/>
      </c>
      <c r="AU259" s="1393">
        <f t="shared" si="139"/>
        <v>0</v>
      </c>
      <c r="AV259" s="1388">
        <f t="shared" si="140"/>
        <v>0</v>
      </c>
      <c r="AW259" s="1390" t="str">
        <f t="shared" si="141"/>
        <v/>
      </c>
      <c r="AX259" s="1390" t="str">
        <f t="shared" si="153"/>
        <v/>
      </c>
      <c r="AY259" s="1394" t="str">
        <f t="shared" si="142"/>
        <v/>
      </c>
      <c r="AZ259" s="1395" t="str">
        <f>IF(Table22[[#This Row],[LOQ_label]]="Y",Table22[[#This Row],[MRL individual commodity]],"")</f>
        <v/>
      </c>
      <c r="BA259" s="1396" t="s">
        <v>1038</v>
      </c>
      <c r="BB259" s="1411" t="str">
        <f>IF(Table22[[#This Row],[LOQ2]]&lt;0,MIN(AZ259:AZ635),"")</f>
        <v/>
      </c>
      <c r="BC259" s="1299"/>
      <c r="BD259" s="1306" t="str">
        <f>IF(Table22[[#This Row],[Chronic RA label]]="","N",IF(Table22[[#This Row],[Chronic RA label]]="LOQ","N",IF(Table22[[#This Row],[Chronic RA label]]="MRL","N","Y")))</f>
        <v>N</v>
      </c>
      <c r="BE259" s="1306" t="str">
        <f>IF(Table22[[#This Row],[Acute RA label]]="","N",IF(Table22[[#This Row],[Acute RA label]]="LOQ","N",IF(Table22[[#This Row],[Acute RA label]]="MRL","N","Y")))</f>
        <v>N</v>
      </c>
      <c r="BF259" s="1306" t="str">
        <f>IF(OR(Table22[[#This Row],[include commodity in Summary_input_values_chronic]]="Y",Table22[[#This Row],[include commodity in Summary_input_values_acute]]="Y"),"Y","N")</f>
        <v>N</v>
      </c>
      <c r="BG259" s="1299"/>
      <c r="BH259" s="1324"/>
    </row>
    <row r="260" spans="1:60" ht="12.75" customHeight="1" outlineLevel="3" x14ac:dyDescent="0.2">
      <c r="A260" s="39">
        <v>4</v>
      </c>
      <c r="B260" s="327">
        <v>631030</v>
      </c>
      <c r="C260" s="23" t="s">
        <v>769</v>
      </c>
      <c r="D260" s="867"/>
      <c r="E260" s="1219"/>
      <c r="F260" s="867"/>
      <c r="G260" s="869"/>
      <c r="H260" s="863"/>
      <c r="I260" s="868"/>
      <c r="J260" s="870"/>
      <c r="K260" s="865"/>
      <c r="L260" s="872"/>
      <c r="M260" s="872"/>
      <c r="N260" s="925" t="str">
        <f>IF(O260&lt;&gt;0,CONCATENATE(input_values!$AF260,input_values!$AG260,input_values!$AH260),"")</f>
        <v/>
      </c>
      <c r="O260" s="491">
        <f>IF($A$10="Refined calculation mode",Table22[[#This Row],[input for chronic (refined mode]],Table22[[#This Row],[input for chronic normal mode]])</f>
        <v>0</v>
      </c>
      <c r="P260" s="925" t="str">
        <f>IF(Q260&lt;&gt;0,CONCATENATE(input_values!$AN260,input_values!$AO260,input_values!$AP260),"")</f>
        <v/>
      </c>
      <c r="Q260" s="491">
        <f>IF($V$5=0,0,IF(OR($A$10="Refined calculation mode",Results!$B$62="Show results of IESTI calculation only for crops with GAPs under assessment"),Table22[[#This Row],[Input for IESTI (refined mode)]],Table22[[#This Row],[Input for IESTI normal mode]]))</f>
        <v>0</v>
      </c>
      <c r="R260" s="926" t="str">
        <f>IF(S260&lt;&gt;0,CONCATENATE(input_values!$AW260,input_values!$AX260,input_values!$AY260),"")</f>
        <v/>
      </c>
      <c r="S260" s="492">
        <f>IF($V$5=0,0,IF(OR($A$10="Refined calculation mode",Results!$B$62="Show results of IESTI calculation only for crops with GAPs under assessment"),Table22[[#This Row],[Input for IESTI new (refined mode)]],Table22[[#This Row],[Input for IESTI new normal mode]]))</f>
        <v>0</v>
      </c>
      <c r="T260" s="886"/>
      <c r="U260" s="1408">
        <f>Table22[[#This Row],[MRL/ proposed MRL /CXL
(mg/kg)]]</f>
        <v>0</v>
      </c>
      <c r="V260" s="1409" t="str">
        <f t="shared" si="154"/>
        <v/>
      </c>
      <c r="W260" s="1387">
        <f t="shared" si="155"/>
        <v>1</v>
      </c>
      <c r="X260" s="1387">
        <f t="shared" si="156"/>
        <v>1</v>
      </c>
      <c r="Y260" s="1387">
        <f t="shared" si="157"/>
        <v>1</v>
      </c>
      <c r="Z260" s="1410">
        <v>4</v>
      </c>
      <c r="AA260" s="1387">
        <f t="shared" si="124"/>
        <v>0</v>
      </c>
      <c r="AB260" s="1387">
        <f>IF(Z260=A260,IF(AND(L260="N",Table22[[#This Row],[LOQ_label]]="Y"),AA260,$AA260*$Y260),"")</f>
        <v>0</v>
      </c>
      <c r="AC260" s="1393">
        <f t="shared" si="125"/>
        <v>0</v>
      </c>
      <c r="AD260" s="1393">
        <f>IF(Table22[[#This Row],[Median residue*CF*PeF]]&lt;&gt;"",Table22[[#This Row],[Median residue*CF*PeF]],Table22[[#This Row],[MRL*CF*PeF (chronic)]])</f>
        <v>0</v>
      </c>
      <c r="AE260" s="1393">
        <f t="shared" si="126"/>
        <v>0</v>
      </c>
      <c r="AF260" s="1390" t="str">
        <f t="shared" si="127"/>
        <v>MRL</v>
      </c>
      <c r="AG260" s="1390" t="str">
        <f t="shared" si="128"/>
        <v/>
      </c>
      <c r="AH260" s="1394" t="str">
        <f t="shared" si="129"/>
        <v/>
      </c>
      <c r="AI260" s="1386">
        <v>4</v>
      </c>
      <c r="AJ260" s="1387">
        <f t="shared" si="130"/>
        <v>0</v>
      </c>
      <c r="AK260" s="1387">
        <f>IF(AI260=A260,IF(AND(L260="N",Table22[[#This Row],[LOQ_label]]="Y"),AJ260,$AJ260*$Y260),"")</f>
        <v>0</v>
      </c>
      <c r="AL260" s="1388">
        <f t="shared" si="131"/>
        <v>0</v>
      </c>
      <c r="AM260" s="1393">
        <f>IF(Table22[[#This Row],[Highest residue * CF*PF]]&lt;&gt;"",Table22[[#This Row],[Highest residue * CF*PF]],Table22[[#This Row],[MRL*CF*PF or MRL (if LOQ and not authorised) (acute RA)]])</f>
        <v>0</v>
      </c>
      <c r="AN260" s="1390" t="str">
        <f t="shared" si="132"/>
        <v>MRL</v>
      </c>
      <c r="AO260" s="1390" t="str">
        <f t="shared" si="133"/>
        <v/>
      </c>
      <c r="AP260" s="1404" t="str">
        <f t="shared" si="134"/>
        <v/>
      </c>
      <c r="AQ260" s="1388">
        <f t="shared" si="135"/>
        <v>0</v>
      </c>
      <c r="AR260" s="1388" t="str">
        <f t="shared" si="136"/>
        <v/>
      </c>
      <c r="AS260" s="1388" t="str">
        <f t="shared" si="137"/>
        <v/>
      </c>
      <c r="AT260" s="1388" t="str">
        <f t="shared" si="138"/>
        <v/>
      </c>
      <c r="AU260" s="1393">
        <f t="shared" si="139"/>
        <v>0</v>
      </c>
      <c r="AV260" s="1388">
        <f t="shared" si="140"/>
        <v>0</v>
      </c>
      <c r="AW260" s="1390" t="str">
        <f t="shared" si="141"/>
        <v/>
      </c>
      <c r="AX260" s="1390" t="str">
        <f t="shared" si="153"/>
        <v/>
      </c>
      <c r="AY260" s="1394" t="str">
        <f t="shared" si="142"/>
        <v/>
      </c>
      <c r="AZ260" s="1395" t="str">
        <f>IF(Table22[[#This Row],[LOQ_label]]="Y",Table22[[#This Row],[MRL individual commodity]],"")</f>
        <v/>
      </c>
      <c r="BA260" s="1396" t="s">
        <v>1038</v>
      </c>
      <c r="BB260" s="1411" t="str">
        <f>IF(Table22[[#This Row],[LOQ2]]&lt;0,MIN(AZ260:AZ636),"")</f>
        <v/>
      </c>
      <c r="BC260" s="1299"/>
      <c r="BD260" s="1306" t="str">
        <f>IF(Table22[[#This Row],[Chronic RA label]]="","N",IF(Table22[[#This Row],[Chronic RA label]]="LOQ","N",IF(Table22[[#This Row],[Chronic RA label]]="MRL","N","Y")))</f>
        <v>N</v>
      </c>
      <c r="BE260" s="1306" t="str">
        <f>IF(Table22[[#This Row],[Acute RA label]]="","N",IF(Table22[[#This Row],[Acute RA label]]="LOQ","N",IF(Table22[[#This Row],[Acute RA label]]="MRL","N","Y")))</f>
        <v>N</v>
      </c>
      <c r="BF260" s="1306" t="str">
        <f>IF(OR(Table22[[#This Row],[include commodity in Summary_input_values_chronic]]="Y",Table22[[#This Row],[include commodity in Summary_input_values_acute]]="Y"),"Y","N")</f>
        <v>N</v>
      </c>
      <c r="BG260" s="1299"/>
      <c r="BH260" s="1324"/>
    </row>
    <row r="261" spans="1:60" ht="12.75" customHeight="1" outlineLevel="3" x14ac:dyDescent="0.2">
      <c r="A261" s="39">
        <v>4</v>
      </c>
      <c r="B261" s="327">
        <v>631040</v>
      </c>
      <c r="C261" s="23" t="s">
        <v>770</v>
      </c>
      <c r="D261" s="867"/>
      <c r="E261" s="1219"/>
      <c r="F261" s="867"/>
      <c r="G261" s="869"/>
      <c r="H261" s="863"/>
      <c r="I261" s="868"/>
      <c r="J261" s="870"/>
      <c r="K261" s="865"/>
      <c r="L261" s="872"/>
      <c r="M261" s="872"/>
      <c r="N261" s="925" t="str">
        <f>IF(O261&lt;&gt;0,CONCATENATE(input_values!$AF261,input_values!$AG261,input_values!$AH261),"")</f>
        <v/>
      </c>
      <c r="O261" s="491">
        <f>IF($A$10="Refined calculation mode",Table22[[#This Row],[input for chronic (refined mode]],Table22[[#This Row],[input for chronic normal mode]])</f>
        <v>0</v>
      </c>
      <c r="P261" s="925" t="str">
        <f>IF(Q261&lt;&gt;0,CONCATENATE(input_values!$AN261,input_values!$AO261,input_values!$AP261),"")</f>
        <v/>
      </c>
      <c r="Q261" s="491">
        <f>IF($V$5=0,0,IF(OR($A$10="Refined calculation mode",Results!$B$62="Show results of IESTI calculation only for crops with GAPs under assessment"),Table22[[#This Row],[Input for IESTI (refined mode)]],Table22[[#This Row],[Input for IESTI normal mode]]))</f>
        <v>0</v>
      </c>
      <c r="R261" s="926" t="str">
        <f>IF(S261&lt;&gt;0,CONCATENATE(input_values!$AW261,input_values!$AX261,input_values!$AY261),"")</f>
        <v/>
      </c>
      <c r="S261" s="492">
        <f>IF($V$5=0,0,IF(OR($A$10="Refined calculation mode",Results!$B$62="Show results of IESTI calculation only for crops with GAPs under assessment"),Table22[[#This Row],[Input for IESTI new (refined mode)]],Table22[[#This Row],[Input for IESTI new normal mode]]))</f>
        <v>0</v>
      </c>
      <c r="T261" s="886"/>
      <c r="U261" s="1408">
        <f>Table22[[#This Row],[MRL/ proposed MRL /CXL
(mg/kg)]]</f>
        <v>0</v>
      </c>
      <c r="V261" s="1409" t="str">
        <f t="shared" si="154"/>
        <v/>
      </c>
      <c r="W261" s="1387">
        <f t="shared" si="155"/>
        <v>1</v>
      </c>
      <c r="X261" s="1387">
        <f t="shared" si="156"/>
        <v>1</v>
      </c>
      <c r="Y261" s="1387">
        <f t="shared" si="157"/>
        <v>1</v>
      </c>
      <c r="Z261" s="1410">
        <v>4</v>
      </c>
      <c r="AA261" s="1387">
        <f t="shared" si="124"/>
        <v>0</v>
      </c>
      <c r="AB261" s="1387">
        <f>IF(Z261=A261,IF(AND(L261="N",Table22[[#This Row],[LOQ_label]]="Y"),AA261,$AA261*$Y261),"")</f>
        <v>0</v>
      </c>
      <c r="AC261" s="1393">
        <f t="shared" si="125"/>
        <v>0</v>
      </c>
      <c r="AD261" s="1393">
        <f>IF(Table22[[#This Row],[Median residue*CF*PeF]]&lt;&gt;"",Table22[[#This Row],[Median residue*CF*PeF]],Table22[[#This Row],[MRL*CF*PeF (chronic)]])</f>
        <v>0</v>
      </c>
      <c r="AE261" s="1393">
        <f t="shared" si="126"/>
        <v>0</v>
      </c>
      <c r="AF261" s="1390" t="str">
        <f t="shared" si="127"/>
        <v>MRL</v>
      </c>
      <c r="AG261" s="1390" t="str">
        <f t="shared" si="128"/>
        <v/>
      </c>
      <c r="AH261" s="1394" t="str">
        <f t="shared" si="129"/>
        <v/>
      </c>
      <c r="AI261" s="1386">
        <v>4</v>
      </c>
      <c r="AJ261" s="1387">
        <f t="shared" si="130"/>
        <v>0</v>
      </c>
      <c r="AK261" s="1387">
        <f>IF(AI261=A261,IF(AND(L261="N",Table22[[#This Row],[LOQ_label]]="Y"),AJ261,$AJ261*$Y261),"")</f>
        <v>0</v>
      </c>
      <c r="AL261" s="1388">
        <f t="shared" si="131"/>
        <v>0</v>
      </c>
      <c r="AM261" s="1393">
        <f>IF(Table22[[#This Row],[Highest residue * CF*PF]]&lt;&gt;"",Table22[[#This Row],[Highest residue * CF*PF]],Table22[[#This Row],[MRL*CF*PF or MRL (if LOQ and not authorised) (acute RA)]])</f>
        <v>0</v>
      </c>
      <c r="AN261" s="1390" t="str">
        <f t="shared" si="132"/>
        <v>MRL</v>
      </c>
      <c r="AO261" s="1390" t="str">
        <f t="shared" si="133"/>
        <v/>
      </c>
      <c r="AP261" s="1404" t="str">
        <f t="shared" si="134"/>
        <v/>
      </c>
      <c r="AQ261" s="1388">
        <f t="shared" si="135"/>
        <v>0</v>
      </c>
      <c r="AR261" s="1388" t="str">
        <f t="shared" si="136"/>
        <v/>
      </c>
      <c r="AS261" s="1388" t="str">
        <f t="shared" si="137"/>
        <v/>
      </c>
      <c r="AT261" s="1388" t="str">
        <f t="shared" si="138"/>
        <v/>
      </c>
      <c r="AU261" s="1393">
        <f t="shared" si="139"/>
        <v>0</v>
      </c>
      <c r="AV261" s="1388">
        <f t="shared" si="140"/>
        <v>0</v>
      </c>
      <c r="AW261" s="1390" t="str">
        <f t="shared" si="141"/>
        <v/>
      </c>
      <c r="AX261" s="1390" t="str">
        <f t="shared" si="153"/>
        <v/>
      </c>
      <c r="AY261" s="1394" t="str">
        <f t="shared" si="142"/>
        <v/>
      </c>
      <c r="AZ261" s="1395" t="str">
        <f>IF(Table22[[#This Row],[LOQ_label]]="Y",Table22[[#This Row],[MRL individual commodity]],"")</f>
        <v/>
      </c>
      <c r="BA261" s="1396" t="s">
        <v>1038</v>
      </c>
      <c r="BB261" s="1411" t="str">
        <f>IF(Table22[[#This Row],[LOQ2]]&lt;0,MIN(AZ261:AZ637),"")</f>
        <v/>
      </c>
      <c r="BC261" s="1299"/>
      <c r="BD261" s="1306" t="str">
        <f>IF(Table22[[#This Row],[Chronic RA label]]="","N",IF(Table22[[#This Row],[Chronic RA label]]="LOQ","N",IF(Table22[[#This Row],[Chronic RA label]]="MRL","N","Y")))</f>
        <v>N</v>
      </c>
      <c r="BE261" s="1306" t="str">
        <f>IF(Table22[[#This Row],[Acute RA label]]="","N",IF(Table22[[#This Row],[Acute RA label]]="LOQ","N",IF(Table22[[#This Row],[Acute RA label]]="MRL","N","Y")))</f>
        <v>N</v>
      </c>
      <c r="BF261" s="1306" t="str">
        <f>IF(OR(Table22[[#This Row],[include commodity in Summary_input_values_chronic]]="Y",Table22[[#This Row],[include commodity in Summary_input_values_acute]]="Y"),"Y","N")</f>
        <v>N</v>
      </c>
      <c r="BG261" s="1299"/>
      <c r="BH261" s="1324"/>
    </row>
    <row r="262" spans="1:60" ht="12.75" customHeight="1" outlineLevel="3" x14ac:dyDescent="0.2">
      <c r="A262" s="39">
        <v>4</v>
      </c>
      <c r="B262" s="327">
        <v>631050</v>
      </c>
      <c r="C262" s="23" t="s">
        <v>766</v>
      </c>
      <c r="D262" s="867"/>
      <c r="E262" s="1219"/>
      <c r="F262" s="867"/>
      <c r="G262" s="869"/>
      <c r="H262" s="863"/>
      <c r="I262" s="868"/>
      <c r="J262" s="870"/>
      <c r="K262" s="865"/>
      <c r="L262" s="872"/>
      <c r="M262" s="872"/>
      <c r="N262" s="925" t="str">
        <f>IF(O262&lt;&gt;0,CONCATENATE(input_values!$AF262,input_values!$AG262,input_values!$AH262),"")</f>
        <v/>
      </c>
      <c r="O262" s="491">
        <f>IF($A$10="Refined calculation mode",Table22[[#This Row],[input for chronic (refined mode]],Table22[[#This Row],[input for chronic normal mode]])</f>
        <v>0</v>
      </c>
      <c r="P262" s="925" t="str">
        <f>IF(Q262&lt;&gt;0,CONCATENATE(input_values!$AN262,input_values!$AO262,input_values!$AP262),"")</f>
        <v/>
      </c>
      <c r="Q262" s="491">
        <f>IF($V$5=0,0,IF(OR($A$10="Refined calculation mode",Results!$B$62="Show results of IESTI calculation only for crops with GAPs under assessment"),Table22[[#This Row],[Input for IESTI (refined mode)]],Table22[[#This Row],[Input for IESTI normal mode]]))</f>
        <v>0</v>
      </c>
      <c r="R262" s="926" t="str">
        <f>IF(S262&lt;&gt;0,CONCATENATE(input_values!$AW262,input_values!$AX262,input_values!$AY262),"")</f>
        <v/>
      </c>
      <c r="S262" s="492">
        <f>IF($V$5=0,0,IF(OR($A$10="Refined calculation mode",Results!$B$62="Show results of IESTI calculation only for crops with GAPs under assessment"),Table22[[#This Row],[Input for IESTI new (refined mode)]],Table22[[#This Row],[Input for IESTI new normal mode]]))</f>
        <v>0</v>
      </c>
      <c r="T262" s="886"/>
      <c r="U262" s="1408">
        <f>Table22[[#This Row],[MRL/ proposed MRL /CXL
(mg/kg)]]</f>
        <v>0</v>
      </c>
      <c r="V262" s="1409" t="str">
        <f t="shared" si="154"/>
        <v/>
      </c>
      <c r="W262" s="1387">
        <f t="shared" si="155"/>
        <v>1</v>
      </c>
      <c r="X262" s="1387">
        <f t="shared" si="156"/>
        <v>1</v>
      </c>
      <c r="Y262" s="1387">
        <f t="shared" si="157"/>
        <v>1</v>
      </c>
      <c r="Z262" s="1410">
        <v>4</v>
      </c>
      <c r="AA262" s="1387">
        <f t="shared" si="124"/>
        <v>0</v>
      </c>
      <c r="AB262" s="1387">
        <f>IF(Z262=A262,IF(AND(L262="N",Table22[[#This Row],[LOQ_label]]="Y"),AA262,$AA262*$Y262),"")</f>
        <v>0</v>
      </c>
      <c r="AC262" s="1393">
        <f t="shared" si="125"/>
        <v>0</v>
      </c>
      <c r="AD262" s="1393">
        <f>IF(Table22[[#This Row],[Median residue*CF*PeF]]&lt;&gt;"",Table22[[#This Row],[Median residue*CF*PeF]],Table22[[#This Row],[MRL*CF*PeF (chronic)]])</f>
        <v>0</v>
      </c>
      <c r="AE262" s="1393">
        <f t="shared" si="126"/>
        <v>0</v>
      </c>
      <c r="AF262" s="1390" t="str">
        <f t="shared" si="127"/>
        <v>MRL</v>
      </c>
      <c r="AG262" s="1390" t="str">
        <f t="shared" si="128"/>
        <v/>
      </c>
      <c r="AH262" s="1394" t="str">
        <f t="shared" si="129"/>
        <v/>
      </c>
      <c r="AI262" s="1386">
        <v>4</v>
      </c>
      <c r="AJ262" s="1387">
        <f t="shared" si="130"/>
        <v>0</v>
      </c>
      <c r="AK262" s="1387">
        <f>IF(AI262=A262,IF(AND(L262="N",Table22[[#This Row],[LOQ_label]]="Y"),AJ262,$AJ262*$Y262),"")</f>
        <v>0</v>
      </c>
      <c r="AL262" s="1388">
        <f t="shared" si="131"/>
        <v>0</v>
      </c>
      <c r="AM262" s="1393">
        <f>IF(Table22[[#This Row],[Highest residue * CF*PF]]&lt;&gt;"",Table22[[#This Row],[Highest residue * CF*PF]],Table22[[#This Row],[MRL*CF*PF or MRL (if LOQ and not authorised) (acute RA)]])</f>
        <v>0</v>
      </c>
      <c r="AN262" s="1390" t="str">
        <f t="shared" si="132"/>
        <v>MRL</v>
      </c>
      <c r="AO262" s="1390" t="str">
        <f t="shared" si="133"/>
        <v/>
      </c>
      <c r="AP262" s="1404" t="str">
        <f t="shared" si="134"/>
        <v/>
      </c>
      <c r="AQ262" s="1388">
        <f t="shared" si="135"/>
        <v>0</v>
      </c>
      <c r="AR262" s="1388" t="str">
        <f t="shared" si="136"/>
        <v/>
      </c>
      <c r="AS262" s="1388" t="str">
        <f t="shared" si="137"/>
        <v/>
      </c>
      <c r="AT262" s="1388" t="str">
        <f t="shared" si="138"/>
        <v/>
      </c>
      <c r="AU262" s="1393">
        <f t="shared" si="139"/>
        <v>0</v>
      </c>
      <c r="AV262" s="1388">
        <f t="shared" si="140"/>
        <v>0</v>
      </c>
      <c r="AW262" s="1390" t="str">
        <f t="shared" si="141"/>
        <v/>
      </c>
      <c r="AX262" s="1390" t="str">
        <f t="shared" si="153"/>
        <v/>
      </c>
      <c r="AY262" s="1394" t="str">
        <f t="shared" si="142"/>
        <v/>
      </c>
      <c r="AZ262" s="1395" t="str">
        <f>IF(Table22[[#This Row],[LOQ_label]]="Y",Table22[[#This Row],[MRL individual commodity]],"")</f>
        <v/>
      </c>
      <c r="BA262" s="1396" t="s">
        <v>1038</v>
      </c>
      <c r="BB262" s="1411" t="str">
        <f>IF(Table22[[#This Row],[LOQ2]]&lt;0,MIN(AZ262:AZ638),"")</f>
        <v/>
      </c>
      <c r="BC262" s="1299"/>
      <c r="BD262" s="1306" t="str">
        <f>IF(Table22[[#This Row],[Chronic RA label]]="","N",IF(Table22[[#This Row],[Chronic RA label]]="LOQ","N",IF(Table22[[#This Row],[Chronic RA label]]="MRL","N","Y")))</f>
        <v>N</v>
      </c>
      <c r="BE262" s="1306" t="str">
        <f>IF(Table22[[#This Row],[Acute RA label]]="","N",IF(Table22[[#This Row],[Acute RA label]]="LOQ","N",IF(Table22[[#This Row],[Acute RA label]]="MRL","N","Y")))</f>
        <v>N</v>
      </c>
      <c r="BF262" s="1306" t="str">
        <f>IF(OR(Table22[[#This Row],[include commodity in Summary_input_values_chronic]]="Y",Table22[[#This Row],[include commodity in Summary_input_values_acute]]="Y"),"Y","N")</f>
        <v>N</v>
      </c>
      <c r="BG262" s="1299"/>
      <c r="BH262" s="1324"/>
    </row>
    <row r="263" spans="1:60" ht="12.75" customHeight="1" outlineLevel="3" x14ac:dyDescent="0.2">
      <c r="A263" s="39">
        <v>4</v>
      </c>
      <c r="B263" s="327">
        <v>631990</v>
      </c>
      <c r="C263" s="23" t="s">
        <v>180</v>
      </c>
      <c r="D263" s="867"/>
      <c r="E263" s="1219"/>
      <c r="F263" s="867"/>
      <c r="G263" s="869"/>
      <c r="H263" s="863"/>
      <c r="I263" s="868"/>
      <c r="J263" s="870"/>
      <c r="K263" s="865"/>
      <c r="L263" s="872"/>
      <c r="M263" s="872"/>
      <c r="N263" s="925" t="str">
        <f>IF(O263&lt;&gt;0,CONCATENATE(input_values!$AF263,input_values!$AG263,input_values!$AH263),"")</f>
        <v/>
      </c>
      <c r="O263" s="491">
        <f>IF($A$10="Refined calculation mode",Table22[[#This Row],[input for chronic (refined mode]],Table22[[#This Row],[input for chronic normal mode]])</f>
        <v>0</v>
      </c>
      <c r="P263" s="473"/>
      <c r="Q263" s="474"/>
      <c r="R263" s="473"/>
      <c r="S263" s="474"/>
      <c r="T263" s="886"/>
      <c r="U263" s="1408">
        <f>Table22[[#This Row],[MRL/ proposed MRL /CXL
(mg/kg)]]</f>
        <v>0</v>
      </c>
      <c r="V263" s="1409" t="str">
        <f t="shared" si="154"/>
        <v/>
      </c>
      <c r="W263" s="1387">
        <f t="shared" si="155"/>
        <v>1</v>
      </c>
      <c r="X263" s="1387">
        <f t="shared" si="156"/>
        <v>1</v>
      </c>
      <c r="Y263" s="1387">
        <f t="shared" si="157"/>
        <v>1</v>
      </c>
      <c r="Z263" s="1410">
        <v>4</v>
      </c>
      <c r="AA263" s="1387">
        <f t="shared" si="124"/>
        <v>0</v>
      </c>
      <c r="AB263" s="1387">
        <f>IF(Z263=A263,IF(AND(L263="N",Table22[[#This Row],[LOQ_label]]="Y"),AA263,$AA263*$Y263),"")</f>
        <v>0</v>
      </c>
      <c r="AC263" s="1393">
        <f t="shared" si="125"/>
        <v>0</v>
      </c>
      <c r="AD263" s="1393">
        <f>IF(Table22[[#This Row],[Median residue*CF*PeF]]&lt;&gt;"",Table22[[#This Row],[Median residue*CF*PeF]],Table22[[#This Row],[MRL*CF*PeF (chronic)]])</f>
        <v>0</v>
      </c>
      <c r="AE263" s="1393">
        <f t="shared" si="126"/>
        <v>0</v>
      </c>
      <c r="AF263" s="1390" t="str">
        <f t="shared" si="127"/>
        <v>MRL</v>
      </c>
      <c r="AG263" s="1390" t="str">
        <f t="shared" si="128"/>
        <v/>
      </c>
      <c r="AH263" s="1394" t="str">
        <f t="shared" si="129"/>
        <v/>
      </c>
      <c r="AI263" s="1386"/>
      <c r="AJ263" s="1387" t="str">
        <f t="shared" si="130"/>
        <v/>
      </c>
      <c r="AK263" s="1387" t="str">
        <f>IF(AI263=A263,IF(AND(L263="N",Table22[[#This Row],[LOQ_label]]="Y"),AJ263,$AJ263*$Y263),"")</f>
        <v/>
      </c>
      <c r="AL263" s="1388" t="str">
        <f t="shared" si="131"/>
        <v/>
      </c>
      <c r="AM263" s="1393" t="str">
        <f>IF(Table22[[#This Row],[Highest residue * CF*PF]]&lt;&gt;"",Table22[[#This Row],[Highest residue * CF*PF]],Table22[[#This Row],[MRL*CF*PF or MRL (if LOQ and not authorised) (acute RA)]])</f>
        <v/>
      </c>
      <c r="AN263" s="1390" t="str">
        <f t="shared" si="132"/>
        <v/>
      </c>
      <c r="AO263" s="1390" t="str">
        <f t="shared" si="133"/>
        <v/>
      </c>
      <c r="AP263" s="1404" t="str">
        <f t="shared" si="134"/>
        <v/>
      </c>
      <c r="AQ263" s="1388">
        <f t="shared" si="135"/>
        <v>0</v>
      </c>
      <c r="AR263" s="1388" t="str">
        <f t="shared" si="136"/>
        <v/>
      </c>
      <c r="AS263" s="1388" t="str">
        <f t="shared" si="137"/>
        <v/>
      </c>
      <c r="AT263" s="1388" t="str">
        <f t="shared" si="138"/>
        <v/>
      </c>
      <c r="AU263" s="1393" t="str">
        <f t="shared" si="139"/>
        <v/>
      </c>
      <c r="AV263" s="1388">
        <f t="shared" si="140"/>
        <v>0</v>
      </c>
      <c r="AW263" s="1390" t="str">
        <f t="shared" si="141"/>
        <v/>
      </c>
      <c r="AX263" s="1390" t="str">
        <f t="shared" si="153"/>
        <v/>
      </c>
      <c r="AY263" s="1394" t="str">
        <f t="shared" si="142"/>
        <v/>
      </c>
      <c r="AZ263" s="1395" t="str">
        <f>IF(Table22[[#This Row],[LOQ_label]]="Y",Table22[[#This Row],[MRL individual commodity]],"")</f>
        <v/>
      </c>
      <c r="BA263" s="1396">
        <v>1</v>
      </c>
      <c r="BB263" s="1411" t="str">
        <f>IF(Table22[[#This Row],[LOQ2]]&lt;0,MIN(AZ263:AZ639),"")</f>
        <v/>
      </c>
      <c r="BC263" s="1299"/>
      <c r="BD263" s="1306" t="str">
        <f>IF(Table22[[#This Row],[Chronic RA label]]="","N",IF(Table22[[#This Row],[Chronic RA label]]="LOQ","N",IF(Table22[[#This Row],[Chronic RA label]]="MRL","N","Y")))</f>
        <v>N</v>
      </c>
      <c r="BE263" s="1306" t="str">
        <f>IF(Table22[[#This Row],[Acute RA label]]="","N",IF(Table22[[#This Row],[Acute RA label]]="LOQ","N",IF(Table22[[#This Row],[Acute RA label]]="MRL","N","Y")))</f>
        <v>N</v>
      </c>
      <c r="BF263" s="1306" t="str">
        <f>IF(OR(Table22[[#This Row],[include commodity in Summary_input_values_chronic]]="Y",Table22[[#This Row],[include commodity in Summary_input_values_acute]]="Y"),"Y","N")</f>
        <v>N</v>
      </c>
      <c r="BG263" s="1299"/>
      <c r="BH263" s="1324"/>
    </row>
    <row r="264" spans="1:60" ht="12.75" customHeight="1" outlineLevel="2" x14ac:dyDescent="0.2">
      <c r="A264" s="132">
        <v>3</v>
      </c>
      <c r="B264" s="448">
        <v>632000</v>
      </c>
      <c r="C264" s="3" t="s">
        <v>75</v>
      </c>
      <c r="D264" s="862"/>
      <c r="E264" s="1218"/>
      <c r="F264" s="862"/>
      <c r="G264" s="866"/>
      <c r="H264" s="863"/>
      <c r="I264" s="863"/>
      <c r="J264" s="864"/>
      <c r="K264" s="865"/>
      <c r="L264" s="471"/>
      <c r="M264" s="471"/>
      <c r="N264" s="473"/>
      <c r="O264" s="474"/>
      <c r="P264" s="473"/>
      <c r="Q264" s="474"/>
      <c r="R264" s="473"/>
      <c r="S264" s="474"/>
      <c r="T264" s="886"/>
      <c r="U264" s="1415"/>
      <c r="V264" s="1380"/>
      <c r="W264" s="1381"/>
      <c r="X264" s="1381"/>
      <c r="Y264" s="1381"/>
      <c r="Z264" s="1382">
        <v>4</v>
      </c>
      <c r="AA264" s="1381" t="str">
        <f t="shared" si="124"/>
        <v/>
      </c>
      <c r="AB264" s="1381" t="str">
        <f>IF(Z264=A264,IF(AND(L264="N",Table22[[#This Row],[LOQ_label]]="Y"),AA264,$AA264*$Y264),"")</f>
        <v/>
      </c>
      <c r="AC264" s="1383" t="str">
        <f t="shared" si="125"/>
        <v/>
      </c>
      <c r="AD264" s="1383" t="str">
        <f>IF(Table22[[#This Row],[Median residue*CF*PeF]]&lt;&gt;"",Table22[[#This Row],[Median residue*CF*PeF]],Table22[[#This Row],[MRL*CF*PeF (chronic)]])</f>
        <v/>
      </c>
      <c r="AE264" s="1384">
        <f t="shared" si="126"/>
        <v>0</v>
      </c>
      <c r="AF264" s="1385" t="str">
        <f t="shared" si="127"/>
        <v/>
      </c>
      <c r="AG264" s="1385" t="str">
        <f t="shared" si="128"/>
        <v/>
      </c>
      <c r="AH264" s="1270" t="str">
        <f t="shared" si="129"/>
        <v/>
      </c>
      <c r="AI264" s="1386">
        <v>4</v>
      </c>
      <c r="AJ264" s="1387" t="str">
        <f t="shared" si="130"/>
        <v/>
      </c>
      <c r="AK264" s="1387" t="str">
        <f>IF(AI264=A264,IF(AND(L264="N",Table22[[#This Row],[LOQ_label]]="Y"),AJ264,$AJ264*$Y264),"")</f>
        <v/>
      </c>
      <c r="AL264" s="1388" t="str">
        <f t="shared" si="131"/>
        <v/>
      </c>
      <c r="AM264" s="1393" t="str">
        <f>IF(Table22[[#This Row],[Highest residue * CF*PF]]&lt;&gt;"",Table22[[#This Row],[Highest residue * CF*PF]],Table22[[#This Row],[MRL*CF*PF or MRL (if LOQ and not authorised) (acute RA)]])</f>
        <v/>
      </c>
      <c r="AN264" s="1390" t="str">
        <f t="shared" si="132"/>
        <v/>
      </c>
      <c r="AO264" s="1390" t="str">
        <f t="shared" si="133"/>
        <v/>
      </c>
      <c r="AP264" s="1404" t="str">
        <f t="shared" si="134"/>
        <v/>
      </c>
      <c r="AQ264" s="1388">
        <f t="shared" si="135"/>
        <v>0</v>
      </c>
      <c r="AR264" s="1388" t="str">
        <f t="shared" si="136"/>
        <v/>
      </c>
      <c r="AS264" s="1388" t="str">
        <f t="shared" si="137"/>
        <v/>
      </c>
      <c r="AT264" s="1388" t="str">
        <f t="shared" si="138"/>
        <v/>
      </c>
      <c r="AU264" s="1393" t="str">
        <f t="shared" si="139"/>
        <v/>
      </c>
      <c r="AV264" s="1388">
        <f t="shared" si="140"/>
        <v>0</v>
      </c>
      <c r="AW264" s="1390" t="str">
        <f t="shared" si="141"/>
        <v/>
      </c>
      <c r="AX264" s="1390" t="str">
        <f t="shared" si="153"/>
        <v/>
      </c>
      <c r="AY264" s="1394" t="str">
        <f t="shared" si="142"/>
        <v/>
      </c>
      <c r="AZ264" s="1395">
        <f>IF(Table22[[#This Row],[LOQ_label]]="Y",Table22[[#This Row],[MRL individual commodity]],"")</f>
        <v>0</v>
      </c>
      <c r="BA264" s="1396"/>
      <c r="BB264" s="1411" t="str">
        <f>IF(Table22[[#This Row],[LOQ2]]&lt;0,MIN(AZ264:AZ640),"")</f>
        <v/>
      </c>
      <c r="BC264" s="1299"/>
      <c r="BD264" s="1306" t="str">
        <f>IF(Table22[[#This Row],[Chronic RA label]]="","N",IF(Table22[[#This Row],[Chronic RA label]]="LOQ","N",IF(Table22[[#This Row],[Chronic RA label]]="MRL","N","Y")))</f>
        <v>N</v>
      </c>
      <c r="BE264" s="1306" t="str">
        <f>IF(Table22[[#This Row],[Acute RA label]]="","N",IF(Table22[[#This Row],[Acute RA label]]="LOQ","N",IF(Table22[[#This Row],[Acute RA label]]="MRL","N","Y")))</f>
        <v>N</v>
      </c>
      <c r="BF264" s="1306" t="str">
        <f>IF(OR(Table22[[#This Row],[include commodity in Summary_input_values_chronic]]="Y",Table22[[#This Row],[include commodity in Summary_input_values_acute]]="Y"),"Y","N")</f>
        <v>N</v>
      </c>
      <c r="BG264" s="1299"/>
      <c r="BH264" s="1324"/>
    </row>
    <row r="265" spans="1:60" ht="12.75" customHeight="1" outlineLevel="3" x14ac:dyDescent="0.2">
      <c r="A265" s="39">
        <v>4</v>
      </c>
      <c r="B265" s="327">
        <v>632010</v>
      </c>
      <c r="C265" s="23" t="s">
        <v>162</v>
      </c>
      <c r="D265" s="867"/>
      <c r="E265" s="1219"/>
      <c r="F265" s="867"/>
      <c r="G265" s="869"/>
      <c r="H265" s="863"/>
      <c r="I265" s="868"/>
      <c r="J265" s="870"/>
      <c r="K265" s="865"/>
      <c r="L265" s="872"/>
      <c r="M265" s="872"/>
      <c r="N265" s="925" t="str">
        <f>IF(O265&lt;&gt;0,CONCATENATE(input_values!$AF265,input_values!$AG265,input_values!$AH265),"")</f>
        <v/>
      </c>
      <c r="O265" s="491">
        <f>IF($A$10="Refined calculation mode",Table22[[#This Row],[input for chronic (refined mode]],Table22[[#This Row],[input for chronic normal mode]])</f>
        <v>0</v>
      </c>
      <c r="P265" s="925" t="str">
        <f>IF(Q265&lt;&gt;0,CONCATENATE(input_values!$AN265,input_values!$AO265,input_values!$AP265),"")</f>
        <v/>
      </c>
      <c r="Q265" s="491">
        <f>IF($V$5=0,0,IF(OR($A$10="Refined calculation mode",Results!$B$62="Show results of IESTI calculation only for crops with GAPs under assessment"),Table22[[#This Row],[Input for IESTI (refined mode)]],Table22[[#This Row],[Input for IESTI normal mode]]))</f>
        <v>0</v>
      </c>
      <c r="R265" s="926" t="str">
        <f>IF(S265&lt;&gt;0,CONCATENATE(input_values!$AW265,input_values!$AX265,input_values!$AY265),"")</f>
        <v/>
      </c>
      <c r="S265" s="492">
        <f>IF($V$5=0,0,IF(OR($A$10="Refined calculation mode",Results!$B$62="Show results of IESTI calculation only for crops with GAPs under assessment"),Table22[[#This Row],[Input for IESTI new (refined mode)]],Table22[[#This Row],[Input for IESTI new normal mode]]))</f>
        <v>0</v>
      </c>
      <c r="T265" s="886"/>
      <c r="U265" s="1408">
        <f>Table22[[#This Row],[MRL/ proposed MRL /CXL
(mg/kg)]]</f>
        <v>0</v>
      </c>
      <c r="V265" s="1409" t="str">
        <f>IF(ISBLANK(F265),"","Y")</f>
        <v/>
      </c>
      <c r="W265" s="1387">
        <f>IF($G265&gt;0,$G265,1)</f>
        <v>1</v>
      </c>
      <c r="X265" s="1387">
        <f>IF($H265&gt;0,$H265,1)</f>
        <v>1</v>
      </c>
      <c r="Y265" s="1387">
        <f>W265*X265</f>
        <v>1</v>
      </c>
      <c r="Z265" s="1410">
        <v>4</v>
      </c>
      <c r="AA265" s="1387">
        <f t="shared" si="124"/>
        <v>0</v>
      </c>
      <c r="AB265" s="1387">
        <f>IF(Z265=A265,IF(AND(L265="N",Table22[[#This Row],[LOQ_label]]="Y"),AA265,$AA265*$Y265),"")</f>
        <v>0</v>
      </c>
      <c r="AC265" s="1393">
        <f t="shared" si="125"/>
        <v>0</v>
      </c>
      <c r="AD265" s="1393">
        <f>IF(Table22[[#This Row],[Median residue*CF*PeF]]&lt;&gt;"",Table22[[#This Row],[Median residue*CF*PeF]],Table22[[#This Row],[MRL*CF*PeF (chronic)]])</f>
        <v>0</v>
      </c>
      <c r="AE265" s="1393">
        <f t="shared" si="126"/>
        <v>0</v>
      </c>
      <c r="AF265" s="1390" t="str">
        <f t="shared" si="127"/>
        <v>MRL</v>
      </c>
      <c r="AG265" s="1390" t="str">
        <f t="shared" si="128"/>
        <v/>
      </c>
      <c r="AH265" s="1394" t="str">
        <f t="shared" si="129"/>
        <v/>
      </c>
      <c r="AI265" s="1386">
        <v>4</v>
      </c>
      <c r="AJ265" s="1387">
        <f t="shared" si="130"/>
        <v>0</v>
      </c>
      <c r="AK265" s="1387">
        <f>IF(AI265=A265,IF(AND(L265="N",Table22[[#This Row],[LOQ_label]]="Y"),AJ265,$AJ265*$Y265),"")</f>
        <v>0</v>
      </c>
      <c r="AL265" s="1388">
        <f t="shared" si="131"/>
        <v>0</v>
      </c>
      <c r="AM265" s="1393">
        <f>IF(Table22[[#This Row],[Highest residue * CF*PF]]&lt;&gt;"",Table22[[#This Row],[Highest residue * CF*PF]],Table22[[#This Row],[MRL*CF*PF or MRL (if LOQ and not authorised) (acute RA)]])</f>
        <v>0</v>
      </c>
      <c r="AN265" s="1390" t="str">
        <f t="shared" si="132"/>
        <v>MRL</v>
      </c>
      <c r="AO265" s="1390" t="str">
        <f t="shared" si="133"/>
        <v/>
      </c>
      <c r="AP265" s="1404" t="str">
        <f t="shared" si="134"/>
        <v/>
      </c>
      <c r="AQ265" s="1388">
        <f t="shared" si="135"/>
        <v>0</v>
      </c>
      <c r="AR265" s="1388" t="str">
        <f t="shared" si="136"/>
        <v/>
      </c>
      <c r="AS265" s="1388" t="str">
        <f t="shared" si="137"/>
        <v/>
      </c>
      <c r="AT265" s="1388" t="str">
        <f t="shared" si="138"/>
        <v/>
      </c>
      <c r="AU265" s="1393">
        <f t="shared" si="139"/>
        <v>0</v>
      </c>
      <c r="AV265" s="1388">
        <f t="shared" si="140"/>
        <v>0</v>
      </c>
      <c r="AW265" s="1390" t="str">
        <f t="shared" si="141"/>
        <v/>
      </c>
      <c r="AX265" s="1390" t="str">
        <f t="shared" si="153"/>
        <v/>
      </c>
      <c r="AY265" s="1394" t="str">
        <f t="shared" si="142"/>
        <v/>
      </c>
      <c r="AZ265" s="1395" t="str">
        <f>IF(Table22[[#This Row],[LOQ_label]]="Y",Table22[[#This Row],[MRL individual commodity]],"")</f>
        <v/>
      </c>
      <c r="BA265" s="1396" t="s">
        <v>1038</v>
      </c>
      <c r="BB265" s="1411" t="str">
        <f>IF(Table22[[#This Row],[LOQ2]]&lt;0,MIN(AZ265:AZ641),"")</f>
        <v/>
      </c>
      <c r="BC265" s="1299"/>
      <c r="BD265" s="1306" t="str">
        <f>IF(Table22[[#This Row],[Chronic RA label]]="","N",IF(Table22[[#This Row],[Chronic RA label]]="LOQ","N",IF(Table22[[#This Row],[Chronic RA label]]="MRL","N","Y")))</f>
        <v>N</v>
      </c>
      <c r="BE265" s="1306" t="str">
        <f>IF(Table22[[#This Row],[Acute RA label]]="","N",IF(Table22[[#This Row],[Acute RA label]]="LOQ","N",IF(Table22[[#This Row],[Acute RA label]]="MRL","N","Y")))</f>
        <v>N</v>
      </c>
      <c r="BF265" s="1306" t="str">
        <f>IF(OR(Table22[[#This Row],[include commodity in Summary_input_values_chronic]]="Y",Table22[[#This Row],[include commodity in Summary_input_values_acute]]="Y"),"Y","N")</f>
        <v>N</v>
      </c>
      <c r="BG265" s="1299"/>
      <c r="BH265" s="1324"/>
    </row>
    <row r="266" spans="1:60" ht="12.75" customHeight="1" outlineLevel="3" x14ac:dyDescent="0.2">
      <c r="A266" s="39">
        <v>4</v>
      </c>
      <c r="B266" s="327">
        <v>632020</v>
      </c>
      <c r="C266" s="23" t="s">
        <v>771</v>
      </c>
      <c r="D266" s="867"/>
      <c r="E266" s="1219"/>
      <c r="F266" s="867"/>
      <c r="G266" s="869"/>
      <c r="H266" s="863"/>
      <c r="I266" s="868"/>
      <c r="J266" s="870"/>
      <c r="K266" s="865"/>
      <c r="L266" s="872"/>
      <c r="M266" s="872"/>
      <c r="N266" s="925" t="str">
        <f>IF(O266&lt;&gt;0,CONCATENATE(input_values!$AF266,input_values!$AG266,input_values!$AH266),"")</f>
        <v/>
      </c>
      <c r="O266" s="491">
        <f>IF($A$10="Refined calculation mode",Table22[[#This Row],[input for chronic (refined mode]],Table22[[#This Row],[input for chronic normal mode]])</f>
        <v>0</v>
      </c>
      <c r="P266" s="925" t="str">
        <f>IF(Q266&lt;&gt;0,CONCATENATE(input_values!$AN266,input_values!$AO266,input_values!$AP266),"")</f>
        <v/>
      </c>
      <c r="Q266" s="491">
        <f>IF($V$5=0,0,IF(OR($A$10="Refined calculation mode",Results!$B$62="Show results of IESTI calculation only for crops with GAPs under assessment"),Table22[[#This Row],[Input for IESTI (refined mode)]],Table22[[#This Row],[Input for IESTI normal mode]]))</f>
        <v>0</v>
      </c>
      <c r="R266" s="926" t="str">
        <f>IF(S266&lt;&gt;0,CONCATENATE(input_values!$AW266,input_values!$AX266,input_values!$AY266),"")</f>
        <v/>
      </c>
      <c r="S266" s="492">
        <f>IF($V$5=0,0,IF(OR($A$10="Refined calculation mode",Results!$B$62="Show results of IESTI calculation only for crops with GAPs under assessment"),Table22[[#This Row],[Input for IESTI new (refined mode)]],Table22[[#This Row],[Input for IESTI new normal mode]]))</f>
        <v>0</v>
      </c>
      <c r="T266" s="886"/>
      <c r="U266" s="1408">
        <f>Table22[[#This Row],[MRL/ proposed MRL /CXL
(mg/kg)]]</f>
        <v>0</v>
      </c>
      <c r="V266" s="1409" t="str">
        <f>IF(ISBLANK(F266),"","Y")</f>
        <v/>
      </c>
      <c r="W266" s="1387">
        <f>IF($G266&gt;0,$G266,1)</f>
        <v>1</v>
      </c>
      <c r="X266" s="1387">
        <f>IF($H266&gt;0,$H266,1)</f>
        <v>1</v>
      </c>
      <c r="Y266" s="1387">
        <f>W266*X266</f>
        <v>1</v>
      </c>
      <c r="Z266" s="1410">
        <v>4</v>
      </c>
      <c r="AA266" s="1387">
        <f t="shared" si="124"/>
        <v>0</v>
      </c>
      <c r="AB266" s="1387">
        <f>IF(Z266=A266,IF(AND(L266="N",Table22[[#This Row],[LOQ_label]]="Y"),AA266,$AA266*$Y266),"")</f>
        <v>0</v>
      </c>
      <c r="AC266" s="1393">
        <f t="shared" si="125"/>
        <v>0</v>
      </c>
      <c r="AD266" s="1393">
        <f>IF(Table22[[#This Row],[Median residue*CF*PeF]]&lt;&gt;"",Table22[[#This Row],[Median residue*CF*PeF]],Table22[[#This Row],[MRL*CF*PeF (chronic)]])</f>
        <v>0</v>
      </c>
      <c r="AE266" s="1393">
        <f t="shared" si="126"/>
        <v>0</v>
      </c>
      <c r="AF266" s="1390" t="str">
        <f t="shared" si="127"/>
        <v>MRL</v>
      </c>
      <c r="AG266" s="1390" t="str">
        <f t="shared" si="128"/>
        <v/>
      </c>
      <c r="AH266" s="1394" t="str">
        <f t="shared" si="129"/>
        <v/>
      </c>
      <c r="AI266" s="1386">
        <v>4</v>
      </c>
      <c r="AJ266" s="1387">
        <f t="shared" si="130"/>
        <v>0</v>
      </c>
      <c r="AK266" s="1387">
        <f>IF(AI266=A266,IF(AND(L266="N",Table22[[#This Row],[LOQ_label]]="Y"),AJ266,$AJ266*$Y266),"")</f>
        <v>0</v>
      </c>
      <c r="AL266" s="1388">
        <f t="shared" si="131"/>
        <v>0</v>
      </c>
      <c r="AM266" s="1393">
        <f>IF(Table22[[#This Row],[Highest residue * CF*PF]]&lt;&gt;"",Table22[[#This Row],[Highest residue * CF*PF]],Table22[[#This Row],[MRL*CF*PF or MRL (if LOQ and not authorised) (acute RA)]])</f>
        <v>0</v>
      </c>
      <c r="AN266" s="1390" t="str">
        <f t="shared" si="132"/>
        <v>MRL</v>
      </c>
      <c r="AO266" s="1390" t="str">
        <f t="shared" si="133"/>
        <v/>
      </c>
      <c r="AP266" s="1404" t="str">
        <f t="shared" si="134"/>
        <v/>
      </c>
      <c r="AQ266" s="1388">
        <f t="shared" si="135"/>
        <v>0</v>
      </c>
      <c r="AR266" s="1388" t="str">
        <f t="shared" si="136"/>
        <v/>
      </c>
      <c r="AS266" s="1388" t="str">
        <f t="shared" si="137"/>
        <v/>
      </c>
      <c r="AT266" s="1388" t="str">
        <f t="shared" si="138"/>
        <v/>
      </c>
      <c r="AU266" s="1393">
        <f t="shared" si="139"/>
        <v>0</v>
      </c>
      <c r="AV266" s="1388">
        <f t="shared" si="140"/>
        <v>0</v>
      </c>
      <c r="AW266" s="1390" t="str">
        <f t="shared" si="141"/>
        <v/>
      </c>
      <c r="AX266" s="1390" t="str">
        <f t="shared" si="153"/>
        <v/>
      </c>
      <c r="AY266" s="1394" t="str">
        <f t="shared" si="142"/>
        <v/>
      </c>
      <c r="AZ266" s="1395" t="str">
        <f>IF(Table22[[#This Row],[LOQ_label]]="Y",Table22[[#This Row],[MRL individual commodity]],"")</f>
        <v/>
      </c>
      <c r="BA266" s="1396" t="s">
        <v>1038</v>
      </c>
      <c r="BB266" s="1411" t="str">
        <f>IF(Table22[[#This Row],[LOQ2]]&lt;0,MIN(AZ266:AZ642),"")</f>
        <v/>
      </c>
      <c r="BC266" s="1299"/>
      <c r="BD266" s="1306" t="str">
        <f>IF(Table22[[#This Row],[Chronic RA label]]="","N",IF(Table22[[#This Row],[Chronic RA label]]="LOQ","N",IF(Table22[[#This Row],[Chronic RA label]]="MRL","N","Y")))</f>
        <v>N</v>
      </c>
      <c r="BE266" s="1306" t="str">
        <f>IF(Table22[[#This Row],[Acute RA label]]="","N",IF(Table22[[#This Row],[Acute RA label]]="LOQ","N",IF(Table22[[#This Row],[Acute RA label]]="MRL","N","Y")))</f>
        <v>N</v>
      </c>
      <c r="BF266" s="1306" t="str">
        <f>IF(OR(Table22[[#This Row],[include commodity in Summary_input_values_chronic]]="Y",Table22[[#This Row],[include commodity in Summary_input_values_acute]]="Y"),"Y","N")</f>
        <v>N</v>
      </c>
      <c r="BG266" s="1299"/>
      <c r="BH266" s="1324"/>
    </row>
    <row r="267" spans="1:60" ht="12.75" customHeight="1" outlineLevel="3" x14ac:dyDescent="0.2">
      <c r="A267" s="39">
        <v>4</v>
      </c>
      <c r="B267" s="327">
        <v>632030</v>
      </c>
      <c r="C267" s="23" t="s">
        <v>772</v>
      </c>
      <c r="D267" s="867"/>
      <c r="E267" s="1219"/>
      <c r="F267" s="867"/>
      <c r="G267" s="869"/>
      <c r="H267" s="863"/>
      <c r="I267" s="868"/>
      <c r="J267" s="870"/>
      <c r="K267" s="865"/>
      <c r="L267" s="872"/>
      <c r="M267" s="872"/>
      <c r="N267" s="925" t="str">
        <f>IF(O267&lt;&gt;0,CONCATENATE(input_values!$AF267,input_values!$AG267,input_values!$AH267),"")</f>
        <v/>
      </c>
      <c r="O267" s="491">
        <f>IF($A$10="Refined calculation mode",Table22[[#This Row],[input for chronic (refined mode]],Table22[[#This Row],[input for chronic normal mode]])</f>
        <v>0</v>
      </c>
      <c r="P267" s="925" t="str">
        <f>IF(Q267&lt;&gt;0,CONCATENATE(input_values!$AN267,input_values!$AO267,input_values!$AP267),"")</f>
        <v/>
      </c>
      <c r="Q267" s="491">
        <f>IF($V$5=0,0,IF(OR($A$10="Refined calculation mode",Results!$B$62="Show results of IESTI calculation only for crops with GAPs under assessment"),Table22[[#This Row],[Input for IESTI (refined mode)]],Table22[[#This Row],[Input for IESTI normal mode]]))</f>
        <v>0</v>
      </c>
      <c r="R267" s="926" t="str">
        <f>IF(S267&lt;&gt;0,CONCATENATE(input_values!$AW267,input_values!$AX267,input_values!$AY267),"")</f>
        <v/>
      </c>
      <c r="S267" s="492">
        <f>IF($V$5=0,0,IF(OR($A$10="Refined calculation mode",Results!$B$62="Show results of IESTI calculation only for crops with GAPs under assessment"),Table22[[#This Row],[Input for IESTI new (refined mode)]],Table22[[#This Row],[Input for IESTI new normal mode]]))</f>
        <v>0</v>
      </c>
      <c r="T267" s="886"/>
      <c r="U267" s="1408">
        <f>Table22[[#This Row],[MRL/ proposed MRL /CXL
(mg/kg)]]</f>
        <v>0</v>
      </c>
      <c r="V267" s="1409" t="str">
        <f>IF(ISBLANK(F267),"","Y")</f>
        <v/>
      </c>
      <c r="W267" s="1387">
        <f>IF($G267&gt;0,$G267,1)</f>
        <v>1</v>
      </c>
      <c r="X267" s="1387">
        <f>IF($H267&gt;0,$H267,1)</f>
        <v>1</v>
      </c>
      <c r="Y267" s="1387">
        <f>W267*X267</f>
        <v>1</v>
      </c>
      <c r="Z267" s="1410">
        <v>4</v>
      </c>
      <c r="AA267" s="1387">
        <f t="shared" si="124"/>
        <v>0</v>
      </c>
      <c r="AB267" s="1387">
        <f>IF(Z267=A267,IF(AND(L267="N",Table22[[#This Row],[LOQ_label]]="Y"),AA267,$AA267*$Y267),"")</f>
        <v>0</v>
      </c>
      <c r="AC267" s="1393">
        <f t="shared" si="125"/>
        <v>0</v>
      </c>
      <c r="AD267" s="1393">
        <f>IF(Table22[[#This Row],[Median residue*CF*PeF]]&lt;&gt;"",Table22[[#This Row],[Median residue*CF*PeF]],Table22[[#This Row],[MRL*CF*PeF (chronic)]])</f>
        <v>0</v>
      </c>
      <c r="AE267" s="1393">
        <f t="shared" si="126"/>
        <v>0</v>
      </c>
      <c r="AF267" s="1390" t="str">
        <f t="shared" si="127"/>
        <v>MRL</v>
      </c>
      <c r="AG267" s="1390" t="str">
        <f t="shared" si="128"/>
        <v/>
      </c>
      <c r="AH267" s="1394" t="str">
        <f t="shared" si="129"/>
        <v/>
      </c>
      <c r="AI267" s="1386">
        <v>4</v>
      </c>
      <c r="AJ267" s="1387">
        <f t="shared" si="130"/>
        <v>0</v>
      </c>
      <c r="AK267" s="1387">
        <f>IF(AI267=A267,IF(AND(L267="N",Table22[[#This Row],[LOQ_label]]="Y"),AJ267,$AJ267*$Y267),"")</f>
        <v>0</v>
      </c>
      <c r="AL267" s="1388">
        <f t="shared" si="131"/>
        <v>0</v>
      </c>
      <c r="AM267" s="1393">
        <f>IF(Table22[[#This Row],[Highest residue * CF*PF]]&lt;&gt;"",Table22[[#This Row],[Highest residue * CF*PF]],Table22[[#This Row],[MRL*CF*PF or MRL (if LOQ and not authorised) (acute RA)]])</f>
        <v>0</v>
      </c>
      <c r="AN267" s="1390" t="str">
        <f t="shared" si="132"/>
        <v>MRL</v>
      </c>
      <c r="AO267" s="1390" t="str">
        <f t="shared" si="133"/>
        <v/>
      </c>
      <c r="AP267" s="1404" t="str">
        <f t="shared" si="134"/>
        <v/>
      </c>
      <c r="AQ267" s="1388">
        <f t="shared" si="135"/>
        <v>0</v>
      </c>
      <c r="AR267" s="1388" t="str">
        <f t="shared" si="136"/>
        <v/>
      </c>
      <c r="AS267" s="1388" t="str">
        <f t="shared" si="137"/>
        <v/>
      </c>
      <c r="AT267" s="1388" t="str">
        <f t="shared" si="138"/>
        <v/>
      </c>
      <c r="AU267" s="1393">
        <f t="shared" si="139"/>
        <v>0</v>
      </c>
      <c r="AV267" s="1388">
        <f t="shared" si="140"/>
        <v>0</v>
      </c>
      <c r="AW267" s="1390" t="str">
        <f t="shared" si="141"/>
        <v/>
      </c>
      <c r="AX267" s="1390" t="str">
        <f t="shared" si="153"/>
        <v/>
      </c>
      <c r="AY267" s="1394" t="str">
        <f t="shared" si="142"/>
        <v/>
      </c>
      <c r="AZ267" s="1395" t="str">
        <f>IF(Table22[[#This Row],[LOQ_label]]="Y",Table22[[#This Row],[MRL individual commodity]],"")</f>
        <v/>
      </c>
      <c r="BA267" s="1396" t="s">
        <v>1038</v>
      </c>
      <c r="BB267" s="1411" t="str">
        <f>IF(Table22[[#This Row],[LOQ2]]&lt;0,MIN(AZ267:AZ643),"")</f>
        <v/>
      </c>
      <c r="BC267" s="1299"/>
      <c r="BD267" s="1306" t="str">
        <f>IF(Table22[[#This Row],[Chronic RA label]]="","N",IF(Table22[[#This Row],[Chronic RA label]]="LOQ","N",IF(Table22[[#This Row],[Chronic RA label]]="MRL","N","Y")))</f>
        <v>N</v>
      </c>
      <c r="BE267" s="1306" t="str">
        <f>IF(Table22[[#This Row],[Acute RA label]]="","N",IF(Table22[[#This Row],[Acute RA label]]="LOQ","N",IF(Table22[[#This Row],[Acute RA label]]="MRL","N","Y")))</f>
        <v>N</v>
      </c>
      <c r="BF267" s="1306" t="str">
        <f>IF(OR(Table22[[#This Row],[include commodity in Summary_input_values_chronic]]="Y",Table22[[#This Row],[include commodity in Summary_input_values_acute]]="Y"),"Y","N")</f>
        <v>N</v>
      </c>
      <c r="BG267" s="1299"/>
      <c r="BH267" s="1324"/>
    </row>
    <row r="268" spans="1:60" ht="12.75" customHeight="1" outlineLevel="3" x14ac:dyDescent="0.2">
      <c r="A268" s="39">
        <v>4</v>
      </c>
      <c r="B268" s="327">
        <v>632990</v>
      </c>
      <c r="C268" s="23" t="s">
        <v>181</v>
      </c>
      <c r="D268" s="867"/>
      <c r="E268" s="1219"/>
      <c r="F268" s="867"/>
      <c r="G268" s="869"/>
      <c r="H268" s="863"/>
      <c r="I268" s="868"/>
      <c r="J268" s="870"/>
      <c r="K268" s="865"/>
      <c r="L268" s="872"/>
      <c r="M268" s="872"/>
      <c r="N268" s="925" t="str">
        <f>IF(O268&lt;&gt;0,CONCATENATE(input_values!$AF268,input_values!$AG268,input_values!$AH268),"")</f>
        <v/>
      </c>
      <c r="O268" s="491">
        <f>IF($A$10="Refined calculation mode",Table22[[#This Row],[input for chronic (refined mode]],Table22[[#This Row],[input for chronic normal mode]])</f>
        <v>0</v>
      </c>
      <c r="P268" s="473"/>
      <c r="Q268" s="474"/>
      <c r="R268" s="473"/>
      <c r="S268" s="474"/>
      <c r="T268" s="886"/>
      <c r="U268" s="1408">
        <f>Table22[[#This Row],[MRL/ proposed MRL /CXL
(mg/kg)]]</f>
        <v>0</v>
      </c>
      <c r="V268" s="1409" t="str">
        <f>IF(ISBLANK(F268),"","Y")</f>
        <v/>
      </c>
      <c r="W268" s="1387">
        <f>IF($G268&gt;0,$G268,1)</f>
        <v>1</v>
      </c>
      <c r="X268" s="1387">
        <f>IF($H268&gt;0,$H268,1)</f>
        <v>1</v>
      </c>
      <c r="Y268" s="1387">
        <f>W268*X268</f>
        <v>1</v>
      </c>
      <c r="Z268" s="1410">
        <v>4</v>
      </c>
      <c r="AA268" s="1387">
        <f t="shared" ref="AA268:AA322" si="158">IF(Z268=A268,U268,"")</f>
        <v>0</v>
      </c>
      <c r="AB268" s="1387">
        <f>IF(Z268=A268,IF(AND(L268="N",Table22[[#This Row],[LOQ_label]]="Y"),AA268,$AA268*$Y268),"")</f>
        <v>0</v>
      </c>
      <c r="AC268" s="1393">
        <f t="shared" ref="AC268:AC331" si="159">IF(Z268=A268,$I268*$Y268,"")</f>
        <v>0</v>
      </c>
      <c r="AD268" s="1393">
        <f>IF(Table22[[#This Row],[Median residue*CF*PeF]]&lt;&gt;"",Table22[[#This Row],[Median residue*CF*PeF]],Table22[[#This Row],[MRL*CF*PeF (chronic)]])</f>
        <v>0</v>
      </c>
      <c r="AE268" s="1393">
        <f t="shared" ref="AE268:AE331" si="160">IF(OR(L268="N",ISBLANK(L268)),0,IF(Z268=A268,IF(ISBLANK(I268)=TRUE,AB268,AC268),""))</f>
        <v>0</v>
      </c>
      <c r="AF268" s="1390" t="str">
        <f t="shared" ref="AF268:AF331" si="161">IF(Z268&lt;&gt;A268,"",IF(ISBLANK(I268)=FALSE,"STMR-RAC",IF(V268="Y","LOQ","MRL")))</f>
        <v>MRL</v>
      </c>
      <c r="AG268" s="1390" t="str">
        <f t="shared" ref="AG268:AG331" si="162">IF(AND(AF268&lt;&gt;"",AH268&lt;&gt;""),"*","")</f>
        <v/>
      </c>
      <c r="AH268" s="1394" t="str">
        <f t="shared" ref="AH268:AH331" si="163">IF(OR(AND(AF268="LOQ",L268="N"),AF268=""),"",IF(AND(G268&gt;0,H268&gt;0),"CF*PeF",IF(G268&gt;0,"CF",IF(H268&gt;0,"PeF",""))))</f>
        <v/>
      </c>
      <c r="AI268" s="1386"/>
      <c r="AJ268" s="1387" t="str">
        <f t="shared" ref="AJ268:AJ325" si="164">IF(AI268=A268,U268,"")</f>
        <v/>
      </c>
      <c r="AK268" s="1387" t="str">
        <f>IF(AI268=A268,IF(AND(L268="N",Table22[[#This Row],[LOQ_label]]="Y"),AJ268,$AJ268*$Y268),"")</f>
        <v/>
      </c>
      <c r="AL268" s="1388" t="str">
        <f t="shared" ref="AL268:AL330" si="165">IF(AI268=A268,$J268*$Y268,"")</f>
        <v/>
      </c>
      <c r="AM268" s="1393" t="str">
        <f>IF(Table22[[#This Row],[Highest residue * CF*PF]]&lt;&gt;"",Table22[[#This Row],[Highest residue * CF*PF]],Table22[[#This Row],[MRL*CF*PF or MRL (if LOQ and not authorised) (acute RA)]])</f>
        <v/>
      </c>
      <c r="AN268" s="1390" t="str">
        <f t="shared" ref="AN268:AN331" si="166">IF(AI268&lt;&gt;A268,"",IF(BA268=3,AF268,IF(ISBLANK($J268)=FALSE,"HR-RAC",IF(V268="Y","LOQ","MRL"))))</f>
        <v/>
      </c>
      <c r="AO268" s="1390" t="str">
        <f t="shared" ref="AO268:AO330" si="167">IF(AND(AN268&lt;&gt;"",AP268&lt;&gt;""),"*","")</f>
        <v/>
      </c>
      <c r="AP268" s="1404" t="str">
        <f t="shared" ref="AP268:AP330" si="168">IF(OR(AND(AN268="LOQ",L268="N"),AN268=""),"",IF(AND(G268&gt;0,H268&gt;0),"CF*PeF",IF(G268&gt;0,"CF",IF(H268&gt;0,"PeF",""))))</f>
        <v/>
      </c>
      <c r="AQ268" s="1388">
        <f t="shared" ref="AQ268:AQ331" si="169">IF(OR(L268="N",ISBLANK(L268)),0,IF(AI268=A268,IF(BA268=3,AE268,IF(ISBLANK(J268)=TRUE,AK268,AL268)),""))</f>
        <v>0</v>
      </c>
      <c r="AR268" s="1388" t="str">
        <f t="shared" ref="AR268:AR331" si="170">IF(OR(AI268&lt;&gt;A268,AQ268=0),"",IF(BA268=3,AF268,IF(ISBLANK($I268)=FALSE,"STMR-RAC",IF(V268="Y","LOQ","MRL"))))</f>
        <v/>
      </c>
      <c r="AS268" s="1388" t="str">
        <f t="shared" ref="AS268:AS330" si="171">IF(AND(AR268&lt;&gt;"",AT268&lt;&gt;""),"*","")</f>
        <v/>
      </c>
      <c r="AT268" s="1388" t="str">
        <f t="shared" ref="AT268:AT330" si="172">IF(OR(AND(AR268="LOQ",L268="N"),AR268=""),"",IF(AND(G268&gt;0,H268&gt;0),"CF*PeF",IF(G268&gt;0,"CF",IF(H268&gt;0,"PeF",""))))</f>
        <v/>
      </c>
      <c r="AU268" s="1393" t="str">
        <f t="shared" ref="AU268:AU330" si="173">AK268</f>
        <v/>
      </c>
      <c r="AV268" s="1388">
        <f t="shared" ref="AV268:AV330" si="174">IF(OR(L268="N",ISBLANK(L268)),0,AK268)</f>
        <v>0</v>
      </c>
      <c r="AW268" s="1390" t="str">
        <f t="shared" ref="AW268:AW330" si="175">IF(OR(AI268&lt;&gt;A268,AJ268=0),"",IF(V268="Y","LOQ","MRL"))</f>
        <v/>
      </c>
      <c r="AX268" s="1390" t="str">
        <f t="shared" si="153"/>
        <v/>
      </c>
      <c r="AY268" s="1394" t="str">
        <f t="shared" ref="AY268:AY330" si="176">IF(OR(AND(AW268="LOQ",L268="N"),AW268=""),"",IF(AND(G268&gt;0,H268&gt;0),"CF*PeF",IF(G268&gt;0,"CF",IF(H268&gt;0,"PeF",""))))</f>
        <v/>
      </c>
      <c r="AZ268" s="1395" t="str">
        <f>IF(Table22[[#This Row],[LOQ_label]]="Y",Table22[[#This Row],[MRL individual commodity]],"")</f>
        <v/>
      </c>
      <c r="BA268" s="1396">
        <v>1</v>
      </c>
      <c r="BB268" s="1411" t="str">
        <f>IF(Table22[[#This Row],[LOQ2]]&lt;0,MIN(AZ268:AZ644),"")</f>
        <v/>
      </c>
      <c r="BC268" s="1299"/>
      <c r="BD268" s="1306" t="str">
        <f>IF(Table22[[#This Row],[Chronic RA label]]="","N",IF(Table22[[#This Row],[Chronic RA label]]="LOQ","N",IF(Table22[[#This Row],[Chronic RA label]]="MRL","N","Y")))</f>
        <v>N</v>
      </c>
      <c r="BE268" s="1306" t="str">
        <f>IF(Table22[[#This Row],[Acute RA label]]="","N",IF(Table22[[#This Row],[Acute RA label]]="LOQ","N",IF(Table22[[#This Row],[Acute RA label]]="MRL","N","Y")))</f>
        <v>N</v>
      </c>
      <c r="BF268" s="1306" t="str">
        <f>IF(OR(Table22[[#This Row],[include commodity in Summary_input_values_chronic]]="Y",Table22[[#This Row],[include commodity in Summary_input_values_acute]]="Y"),"Y","N")</f>
        <v>N</v>
      </c>
      <c r="BG268" s="1299"/>
      <c r="BH268" s="1324"/>
    </row>
    <row r="269" spans="1:60" ht="12.75" customHeight="1" outlineLevel="2" x14ac:dyDescent="0.2">
      <c r="A269" s="132">
        <v>3</v>
      </c>
      <c r="B269" s="448">
        <v>633000</v>
      </c>
      <c r="C269" s="3" t="s">
        <v>76</v>
      </c>
      <c r="D269" s="862"/>
      <c r="E269" s="1218"/>
      <c r="F269" s="862"/>
      <c r="G269" s="863"/>
      <c r="H269" s="863"/>
      <c r="I269" s="863"/>
      <c r="J269" s="864"/>
      <c r="K269" s="865"/>
      <c r="L269" s="471"/>
      <c r="M269" s="471"/>
      <c r="N269" s="473"/>
      <c r="O269" s="474"/>
      <c r="P269" s="473"/>
      <c r="Q269" s="474"/>
      <c r="R269" s="473"/>
      <c r="S269" s="474"/>
      <c r="T269" s="886"/>
      <c r="U269" s="1415"/>
      <c r="V269" s="1380"/>
      <c r="W269" s="1381"/>
      <c r="X269" s="1381"/>
      <c r="Y269" s="1381"/>
      <c r="Z269" s="1382">
        <v>4</v>
      </c>
      <c r="AA269" s="1381" t="str">
        <f t="shared" si="158"/>
        <v/>
      </c>
      <c r="AB269" s="1381" t="str">
        <f>IF(Z269=A269,IF(AND(L269="N",Table22[[#This Row],[LOQ_label]]="Y"),AA269,$AA269*$Y269),"")</f>
        <v/>
      </c>
      <c r="AC269" s="1383" t="str">
        <f t="shared" si="159"/>
        <v/>
      </c>
      <c r="AD269" s="1383" t="str">
        <f>IF(Table22[[#This Row],[Median residue*CF*PeF]]&lt;&gt;"",Table22[[#This Row],[Median residue*CF*PeF]],Table22[[#This Row],[MRL*CF*PeF (chronic)]])</f>
        <v/>
      </c>
      <c r="AE269" s="1384">
        <f t="shared" si="160"/>
        <v>0</v>
      </c>
      <c r="AF269" s="1385" t="str">
        <f t="shared" si="161"/>
        <v/>
      </c>
      <c r="AG269" s="1385" t="str">
        <f t="shared" si="162"/>
        <v/>
      </c>
      <c r="AH269" s="1270" t="str">
        <f t="shared" si="163"/>
        <v/>
      </c>
      <c r="AI269" s="1386">
        <v>4</v>
      </c>
      <c r="AJ269" s="1387" t="str">
        <f t="shared" si="164"/>
        <v/>
      </c>
      <c r="AK269" s="1387" t="str">
        <f>IF(AI269=A269,IF(AND(L269="N",Table22[[#This Row],[LOQ_label]]="Y"),AJ269,$AJ269*$Y269),"")</f>
        <v/>
      </c>
      <c r="AL269" s="1388" t="str">
        <f t="shared" si="165"/>
        <v/>
      </c>
      <c r="AM269" s="1393" t="str">
        <f>IF(Table22[[#This Row],[Highest residue * CF*PF]]&lt;&gt;"",Table22[[#This Row],[Highest residue * CF*PF]],Table22[[#This Row],[MRL*CF*PF or MRL (if LOQ and not authorised) (acute RA)]])</f>
        <v/>
      </c>
      <c r="AN269" s="1390" t="str">
        <f t="shared" si="166"/>
        <v/>
      </c>
      <c r="AO269" s="1390" t="str">
        <f t="shared" si="167"/>
        <v/>
      </c>
      <c r="AP269" s="1404" t="str">
        <f t="shared" si="168"/>
        <v/>
      </c>
      <c r="AQ269" s="1388">
        <f t="shared" si="169"/>
        <v>0</v>
      </c>
      <c r="AR269" s="1388" t="str">
        <f t="shared" si="170"/>
        <v/>
      </c>
      <c r="AS269" s="1388" t="str">
        <f t="shared" si="171"/>
        <v/>
      </c>
      <c r="AT269" s="1388" t="str">
        <f t="shared" si="172"/>
        <v/>
      </c>
      <c r="AU269" s="1393" t="str">
        <f t="shared" si="173"/>
        <v/>
      </c>
      <c r="AV269" s="1388">
        <f t="shared" si="174"/>
        <v>0</v>
      </c>
      <c r="AW269" s="1390" t="str">
        <f t="shared" si="175"/>
        <v/>
      </c>
      <c r="AX269" s="1390" t="str">
        <f t="shared" si="153"/>
        <v/>
      </c>
      <c r="AY269" s="1394" t="str">
        <f t="shared" si="176"/>
        <v/>
      </c>
      <c r="AZ269" s="1395">
        <f>IF(Table22[[#This Row],[LOQ_label]]="Y",Table22[[#This Row],[MRL individual commodity]],"")</f>
        <v>0</v>
      </c>
      <c r="BA269" s="1396"/>
      <c r="BB269" s="1411" t="str">
        <f>IF(Table22[[#This Row],[LOQ2]]&lt;0,MIN(AZ269:AZ645),"")</f>
        <v/>
      </c>
      <c r="BC269" s="1299"/>
      <c r="BD269" s="1306" t="str">
        <f>IF(Table22[[#This Row],[Chronic RA label]]="","N",IF(Table22[[#This Row],[Chronic RA label]]="LOQ","N",IF(Table22[[#This Row],[Chronic RA label]]="MRL","N","Y")))</f>
        <v>N</v>
      </c>
      <c r="BE269" s="1306" t="str">
        <f>IF(Table22[[#This Row],[Acute RA label]]="","N",IF(Table22[[#This Row],[Acute RA label]]="LOQ","N",IF(Table22[[#This Row],[Acute RA label]]="MRL","N","Y")))</f>
        <v>N</v>
      </c>
      <c r="BF269" s="1306" t="str">
        <f>IF(OR(Table22[[#This Row],[include commodity in Summary_input_values_chronic]]="Y",Table22[[#This Row],[include commodity in Summary_input_values_acute]]="Y"),"Y","N")</f>
        <v>N</v>
      </c>
      <c r="BG269" s="1299"/>
      <c r="BH269" s="1324"/>
    </row>
    <row r="270" spans="1:60" ht="12.75" customHeight="1" outlineLevel="3" x14ac:dyDescent="0.2">
      <c r="A270" s="39">
        <v>4</v>
      </c>
      <c r="B270" s="327">
        <v>633010</v>
      </c>
      <c r="C270" s="23" t="s">
        <v>270</v>
      </c>
      <c r="D270" s="867"/>
      <c r="E270" s="1219"/>
      <c r="F270" s="867"/>
      <c r="G270" s="868"/>
      <c r="H270" s="863"/>
      <c r="I270" s="868"/>
      <c r="J270" s="870"/>
      <c r="K270" s="865"/>
      <c r="L270" s="872"/>
      <c r="M270" s="872"/>
      <c r="N270" s="925" t="str">
        <f>IF(O270&lt;&gt;0,CONCATENATE(input_values!$AF270,input_values!$AG270,input_values!$AH270),"")</f>
        <v/>
      </c>
      <c r="O270" s="491">
        <f>IF($A$10="Refined calculation mode",Table22[[#This Row],[input for chronic (refined mode]],Table22[[#This Row],[input for chronic normal mode]])</f>
        <v>0</v>
      </c>
      <c r="P270" s="925" t="str">
        <f>IF(Q270&lt;&gt;0,CONCATENATE(input_values!$AN270,input_values!$AO270,input_values!$AP270),"")</f>
        <v/>
      </c>
      <c r="Q270" s="491">
        <f>IF($V$5=0,0,IF(OR($A$10="Refined calculation mode",Results!$B$62="Show results of IESTI calculation only for crops with GAPs under assessment"),Table22[[#This Row],[Input for IESTI (refined mode)]],Table22[[#This Row],[Input for IESTI normal mode]]))</f>
        <v>0</v>
      </c>
      <c r="R270" s="926" t="str">
        <f>IF(S270&lt;&gt;0,CONCATENATE(input_values!$AW270,input_values!$AX270,input_values!$AY270),"")</f>
        <v/>
      </c>
      <c r="S270" s="492">
        <f>IF($V$5=0,0,IF(OR($A$10="Refined calculation mode",Results!$B$62="Show results of IESTI calculation only for crops with GAPs under assessment"),Table22[[#This Row],[Input for IESTI new (refined mode)]],Table22[[#This Row],[Input for IESTI new normal mode]]))</f>
        <v>0</v>
      </c>
      <c r="T270" s="886"/>
      <c r="U270" s="1408">
        <f>Table22[[#This Row],[MRL/ proposed MRL /CXL
(mg/kg)]]</f>
        <v>0</v>
      </c>
      <c r="V270" s="1409" t="str">
        <f t="shared" ref="V270:V276" si="177">IF(ISBLANK(F270),"","Y")</f>
        <v/>
      </c>
      <c r="W270" s="1387">
        <f t="shared" ref="W270:W276" si="178">IF($G270&gt;0,$G270,1)</f>
        <v>1</v>
      </c>
      <c r="X270" s="1387">
        <f t="shared" ref="X270:X276" si="179">IF($H270&gt;0,$H270,1)</f>
        <v>1</v>
      </c>
      <c r="Y270" s="1387">
        <f t="shared" ref="Y270:Y276" si="180">W270*X270</f>
        <v>1</v>
      </c>
      <c r="Z270" s="1410">
        <v>4</v>
      </c>
      <c r="AA270" s="1387">
        <f t="shared" si="158"/>
        <v>0</v>
      </c>
      <c r="AB270" s="1387">
        <f>IF(Z270=A270,IF(AND(L270="N",Table22[[#This Row],[LOQ_label]]="Y"),AA270,$AA270*$Y270),"")</f>
        <v>0</v>
      </c>
      <c r="AC270" s="1393">
        <f t="shared" si="159"/>
        <v>0</v>
      </c>
      <c r="AD270" s="1393">
        <f>IF(Table22[[#This Row],[Median residue*CF*PeF]]&lt;&gt;"",Table22[[#This Row],[Median residue*CF*PeF]],Table22[[#This Row],[MRL*CF*PeF (chronic)]])</f>
        <v>0</v>
      </c>
      <c r="AE270" s="1393">
        <f t="shared" si="160"/>
        <v>0</v>
      </c>
      <c r="AF270" s="1390" t="str">
        <f t="shared" si="161"/>
        <v>MRL</v>
      </c>
      <c r="AG270" s="1390" t="str">
        <f t="shared" si="162"/>
        <v/>
      </c>
      <c r="AH270" s="1394" t="str">
        <f t="shared" si="163"/>
        <v/>
      </c>
      <c r="AI270" s="1386">
        <v>4</v>
      </c>
      <c r="AJ270" s="1387">
        <f t="shared" si="164"/>
        <v>0</v>
      </c>
      <c r="AK270" s="1387">
        <f>IF(AI270=A270,IF(AND(L270="N",Table22[[#This Row],[LOQ_label]]="Y"),AJ270,$AJ270*$Y270),"")</f>
        <v>0</v>
      </c>
      <c r="AL270" s="1388">
        <f t="shared" si="165"/>
        <v>0</v>
      </c>
      <c r="AM270" s="1393">
        <f>IF(Table22[[#This Row],[Highest residue * CF*PF]]&lt;&gt;"",Table22[[#This Row],[Highest residue * CF*PF]],Table22[[#This Row],[MRL*CF*PF or MRL (if LOQ and not authorised) (acute RA)]])</f>
        <v>0</v>
      </c>
      <c r="AN270" s="1390" t="str">
        <f t="shared" si="166"/>
        <v>MRL</v>
      </c>
      <c r="AO270" s="1390" t="str">
        <f t="shared" si="167"/>
        <v/>
      </c>
      <c r="AP270" s="1404" t="str">
        <f t="shared" si="168"/>
        <v/>
      </c>
      <c r="AQ270" s="1388">
        <f t="shared" si="169"/>
        <v>0</v>
      </c>
      <c r="AR270" s="1388" t="str">
        <f t="shared" si="170"/>
        <v/>
      </c>
      <c r="AS270" s="1388" t="str">
        <f t="shared" si="171"/>
        <v/>
      </c>
      <c r="AT270" s="1388" t="str">
        <f t="shared" si="172"/>
        <v/>
      </c>
      <c r="AU270" s="1393">
        <f t="shared" si="173"/>
        <v>0</v>
      </c>
      <c r="AV270" s="1388">
        <f t="shared" si="174"/>
        <v>0</v>
      </c>
      <c r="AW270" s="1390" t="str">
        <f t="shared" si="175"/>
        <v/>
      </c>
      <c r="AX270" s="1390" t="str">
        <f t="shared" si="153"/>
        <v/>
      </c>
      <c r="AY270" s="1394" t="str">
        <f t="shared" si="176"/>
        <v/>
      </c>
      <c r="AZ270" s="1395" t="str">
        <f>IF(Table22[[#This Row],[LOQ_label]]="Y",Table22[[#This Row],[MRL individual commodity]],"")</f>
        <v/>
      </c>
      <c r="BA270" s="1396" t="s">
        <v>1038</v>
      </c>
      <c r="BB270" s="1411" t="str">
        <f>IF(Table22[[#This Row],[LOQ2]]&lt;0,MIN(AZ270:AZ646),"")</f>
        <v/>
      </c>
      <c r="BC270" s="1299"/>
      <c r="BD270" s="1306" t="str">
        <f>IF(Table22[[#This Row],[Chronic RA label]]="","N",IF(Table22[[#This Row],[Chronic RA label]]="LOQ","N",IF(Table22[[#This Row],[Chronic RA label]]="MRL","N","Y")))</f>
        <v>N</v>
      </c>
      <c r="BE270" s="1306" t="str">
        <f>IF(Table22[[#This Row],[Acute RA label]]="","N",IF(Table22[[#This Row],[Acute RA label]]="LOQ","N",IF(Table22[[#This Row],[Acute RA label]]="MRL","N","Y")))</f>
        <v>N</v>
      </c>
      <c r="BF270" s="1306" t="str">
        <f>IF(OR(Table22[[#This Row],[include commodity in Summary_input_values_chronic]]="Y",Table22[[#This Row],[include commodity in Summary_input_values_acute]]="Y"),"Y","N")</f>
        <v>N</v>
      </c>
      <c r="BG270" s="1299"/>
      <c r="BH270" s="1324"/>
    </row>
    <row r="271" spans="1:60" ht="12.75" customHeight="1" outlineLevel="3" x14ac:dyDescent="0.2">
      <c r="A271" s="39">
        <v>4</v>
      </c>
      <c r="B271" s="327">
        <v>633020</v>
      </c>
      <c r="C271" s="23" t="s">
        <v>271</v>
      </c>
      <c r="D271" s="867"/>
      <c r="E271" s="1219"/>
      <c r="F271" s="867"/>
      <c r="G271" s="868"/>
      <c r="H271" s="863"/>
      <c r="I271" s="868"/>
      <c r="J271" s="870"/>
      <c r="K271" s="865"/>
      <c r="L271" s="872"/>
      <c r="M271" s="872"/>
      <c r="N271" s="925" t="str">
        <f>IF(O271&lt;&gt;0,CONCATENATE(input_values!$AF271,input_values!$AG271,input_values!$AH271),"")</f>
        <v/>
      </c>
      <c r="O271" s="491">
        <f>IF($A$10="Refined calculation mode",Table22[[#This Row],[input for chronic (refined mode]],Table22[[#This Row],[input for chronic normal mode]])</f>
        <v>0</v>
      </c>
      <c r="P271" s="925" t="str">
        <f>IF(Q271&lt;&gt;0,CONCATENATE(input_values!$AN271,input_values!$AO271,input_values!$AP271),"")</f>
        <v/>
      </c>
      <c r="Q271" s="491">
        <f>IF($V$5=0,0,IF(OR($A$10="Refined calculation mode",Results!$B$62="Show results of IESTI calculation only for crops with GAPs under assessment"),Table22[[#This Row],[Input for IESTI (refined mode)]],Table22[[#This Row],[Input for IESTI normal mode]]))</f>
        <v>0</v>
      </c>
      <c r="R271" s="926" t="str">
        <f>IF(S271&lt;&gt;0,CONCATENATE(input_values!$AW271,input_values!$AX271,input_values!$AY271),"")</f>
        <v/>
      </c>
      <c r="S271" s="492">
        <f>IF($V$5=0,0,IF(OR($A$10="Refined calculation mode",Results!$B$62="Show results of IESTI calculation only for crops with GAPs under assessment"),Table22[[#This Row],[Input for IESTI new (refined mode)]],Table22[[#This Row],[Input for IESTI new normal mode]]))</f>
        <v>0</v>
      </c>
      <c r="T271" s="886"/>
      <c r="U271" s="1408">
        <f>Table22[[#This Row],[MRL/ proposed MRL /CXL
(mg/kg)]]</f>
        <v>0</v>
      </c>
      <c r="V271" s="1409" t="str">
        <f t="shared" si="177"/>
        <v/>
      </c>
      <c r="W271" s="1387">
        <f t="shared" si="178"/>
        <v>1</v>
      </c>
      <c r="X271" s="1387">
        <f t="shared" si="179"/>
        <v>1</v>
      </c>
      <c r="Y271" s="1387">
        <f t="shared" si="180"/>
        <v>1</v>
      </c>
      <c r="Z271" s="1410">
        <v>4</v>
      </c>
      <c r="AA271" s="1387">
        <f t="shared" si="158"/>
        <v>0</v>
      </c>
      <c r="AB271" s="1387">
        <f>IF(Z271=A271,IF(AND(L271="N",Table22[[#This Row],[LOQ_label]]="Y"),AA271,$AA271*$Y271),"")</f>
        <v>0</v>
      </c>
      <c r="AC271" s="1393">
        <f t="shared" si="159"/>
        <v>0</v>
      </c>
      <c r="AD271" s="1393">
        <f>IF(Table22[[#This Row],[Median residue*CF*PeF]]&lt;&gt;"",Table22[[#This Row],[Median residue*CF*PeF]],Table22[[#This Row],[MRL*CF*PeF (chronic)]])</f>
        <v>0</v>
      </c>
      <c r="AE271" s="1393">
        <f t="shared" si="160"/>
        <v>0</v>
      </c>
      <c r="AF271" s="1390" t="str">
        <f t="shared" si="161"/>
        <v>MRL</v>
      </c>
      <c r="AG271" s="1390" t="str">
        <f t="shared" si="162"/>
        <v/>
      </c>
      <c r="AH271" s="1394" t="str">
        <f t="shared" si="163"/>
        <v/>
      </c>
      <c r="AI271" s="1386">
        <v>4</v>
      </c>
      <c r="AJ271" s="1387">
        <f t="shared" si="164"/>
        <v>0</v>
      </c>
      <c r="AK271" s="1387">
        <f>IF(AI271=A271,IF(AND(L271="N",Table22[[#This Row],[LOQ_label]]="Y"),AJ271,$AJ271*$Y271),"")</f>
        <v>0</v>
      </c>
      <c r="AL271" s="1388">
        <f t="shared" si="165"/>
        <v>0</v>
      </c>
      <c r="AM271" s="1393">
        <f>IF(Table22[[#This Row],[Highest residue * CF*PF]]&lt;&gt;"",Table22[[#This Row],[Highest residue * CF*PF]],Table22[[#This Row],[MRL*CF*PF or MRL (if LOQ and not authorised) (acute RA)]])</f>
        <v>0</v>
      </c>
      <c r="AN271" s="1390" t="str">
        <f t="shared" si="166"/>
        <v>MRL</v>
      </c>
      <c r="AO271" s="1390" t="str">
        <f t="shared" si="167"/>
        <v/>
      </c>
      <c r="AP271" s="1404" t="str">
        <f t="shared" si="168"/>
        <v/>
      </c>
      <c r="AQ271" s="1388">
        <f t="shared" si="169"/>
        <v>0</v>
      </c>
      <c r="AR271" s="1388" t="str">
        <f t="shared" si="170"/>
        <v/>
      </c>
      <c r="AS271" s="1388" t="str">
        <f t="shared" si="171"/>
        <v/>
      </c>
      <c r="AT271" s="1388" t="str">
        <f t="shared" si="172"/>
        <v/>
      </c>
      <c r="AU271" s="1393">
        <f t="shared" si="173"/>
        <v>0</v>
      </c>
      <c r="AV271" s="1388">
        <f t="shared" si="174"/>
        <v>0</v>
      </c>
      <c r="AW271" s="1390" t="str">
        <f t="shared" si="175"/>
        <v/>
      </c>
      <c r="AX271" s="1390" t="str">
        <f t="shared" si="153"/>
        <v/>
      </c>
      <c r="AY271" s="1394" t="str">
        <f t="shared" si="176"/>
        <v/>
      </c>
      <c r="AZ271" s="1395" t="str">
        <f>IF(Table22[[#This Row],[LOQ_label]]="Y",Table22[[#This Row],[MRL individual commodity]],"")</f>
        <v/>
      </c>
      <c r="BA271" s="1396" t="s">
        <v>1038</v>
      </c>
      <c r="BB271" s="1411" t="str">
        <f>IF(Table22[[#This Row],[LOQ2]]&lt;0,MIN(AZ271:AZ647),"")</f>
        <v/>
      </c>
      <c r="BC271" s="1299"/>
      <c r="BD271" s="1306" t="str">
        <f>IF(Table22[[#This Row],[Chronic RA label]]="","N",IF(Table22[[#This Row],[Chronic RA label]]="LOQ","N",IF(Table22[[#This Row],[Chronic RA label]]="MRL","N","Y")))</f>
        <v>N</v>
      </c>
      <c r="BE271" s="1306" t="str">
        <f>IF(Table22[[#This Row],[Acute RA label]]="","N",IF(Table22[[#This Row],[Acute RA label]]="LOQ","N",IF(Table22[[#This Row],[Acute RA label]]="MRL","N","Y")))</f>
        <v>N</v>
      </c>
      <c r="BF271" s="1306" t="str">
        <f>IF(OR(Table22[[#This Row],[include commodity in Summary_input_values_chronic]]="Y",Table22[[#This Row],[include commodity in Summary_input_values_acute]]="Y"),"Y","N")</f>
        <v>N</v>
      </c>
      <c r="BG271" s="1299"/>
      <c r="BH271" s="1324"/>
    </row>
    <row r="272" spans="1:60" ht="12.75" customHeight="1" outlineLevel="3" x14ac:dyDescent="0.2">
      <c r="A272" s="39">
        <v>4</v>
      </c>
      <c r="B272" s="327">
        <v>633990</v>
      </c>
      <c r="C272" s="23" t="s">
        <v>182</v>
      </c>
      <c r="D272" s="867"/>
      <c r="E272" s="1219"/>
      <c r="F272" s="867"/>
      <c r="G272" s="869"/>
      <c r="H272" s="863"/>
      <c r="I272" s="868"/>
      <c r="J272" s="870"/>
      <c r="K272" s="865"/>
      <c r="L272" s="872"/>
      <c r="M272" s="872"/>
      <c r="N272" s="925" t="str">
        <f>IF(O272&lt;&gt;0,CONCATENATE(input_values!$AF272,input_values!$AG272,input_values!$AH272),"")</f>
        <v/>
      </c>
      <c r="O272" s="491">
        <f>IF($A$10="Refined calculation mode",Table22[[#This Row],[input for chronic (refined mode]],Table22[[#This Row],[input for chronic normal mode]])</f>
        <v>0</v>
      </c>
      <c r="P272" s="473"/>
      <c r="Q272" s="474"/>
      <c r="R272" s="473"/>
      <c r="S272" s="474"/>
      <c r="T272" s="886"/>
      <c r="U272" s="1408">
        <f>Table22[[#This Row],[MRL/ proposed MRL /CXL
(mg/kg)]]</f>
        <v>0</v>
      </c>
      <c r="V272" s="1409" t="str">
        <f t="shared" si="177"/>
        <v/>
      </c>
      <c r="W272" s="1387">
        <f t="shared" si="178"/>
        <v>1</v>
      </c>
      <c r="X272" s="1387">
        <f t="shared" si="179"/>
        <v>1</v>
      </c>
      <c r="Y272" s="1387">
        <f t="shared" si="180"/>
        <v>1</v>
      </c>
      <c r="Z272" s="1410">
        <v>4</v>
      </c>
      <c r="AA272" s="1387">
        <f t="shared" si="158"/>
        <v>0</v>
      </c>
      <c r="AB272" s="1387">
        <f>IF(Z272=A272,IF(AND(L272="N",Table22[[#This Row],[LOQ_label]]="Y"),AA272,$AA272*$Y272),"")</f>
        <v>0</v>
      </c>
      <c r="AC272" s="1393">
        <f t="shared" si="159"/>
        <v>0</v>
      </c>
      <c r="AD272" s="1393">
        <f>IF(Table22[[#This Row],[Median residue*CF*PeF]]&lt;&gt;"",Table22[[#This Row],[Median residue*CF*PeF]],Table22[[#This Row],[MRL*CF*PeF (chronic)]])</f>
        <v>0</v>
      </c>
      <c r="AE272" s="1393">
        <f t="shared" si="160"/>
        <v>0</v>
      </c>
      <c r="AF272" s="1390" t="str">
        <f t="shared" si="161"/>
        <v>MRL</v>
      </c>
      <c r="AG272" s="1390" t="str">
        <f t="shared" si="162"/>
        <v/>
      </c>
      <c r="AH272" s="1394" t="str">
        <f t="shared" si="163"/>
        <v/>
      </c>
      <c r="AI272" s="1386"/>
      <c r="AJ272" s="1387" t="str">
        <f t="shared" si="164"/>
        <v/>
      </c>
      <c r="AK272" s="1387" t="str">
        <f>IF(AI272=A272,IF(AND(L272="N",Table22[[#This Row],[LOQ_label]]="Y"),AJ272,$AJ272*$Y272),"")</f>
        <v/>
      </c>
      <c r="AL272" s="1388" t="str">
        <f t="shared" si="165"/>
        <v/>
      </c>
      <c r="AM272" s="1393" t="str">
        <f>IF(Table22[[#This Row],[Highest residue * CF*PF]]&lt;&gt;"",Table22[[#This Row],[Highest residue * CF*PF]],Table22[[#This Row],[MRL*CF*PF or MRL (if LOQ and not authorised) (acute RA)]])</f>
        <v/>
      </c>
      <c r="AN272" s="1390" t="str">
        <f t="shared" si="166"/>
        <v/>
      </c>
      <c r="AO272" s="1390" t="str">
        <f t="shared" si="167"/>
        <v/>
      </c>
      <c r="AP272" s="1404" t="str">
        <f t="shared" si="168"/>
        <v/>
      </c>
      <c r="AQ272" s="1388">
        <f t="shared" si="169"/>
        <v>0</v>
      </c>
      <c r="AR272" s="1388" t="str">
        <f t="shared" si="170"/>
        <v/>
      </c>
      <c r="AS272" s="1388" t="str">
        <f t="shared" si="171"/>
        <v/>
      </c>
      <c r="AT272" s="1388" t="str">
        <f t="shared" si="172"/>
        <v/>
      </c>
      <c r="AU272" s="1393" t="str">
        <f t="shared" si="173"/>
        <v/>
      </c>
      <c r="AV272" s="1388">
        <f t="shared" si="174"/>
        <v>0</v>
      </c>
      <c r="AW272" s="1390" t="str">
        <f t="shared" si="175"/>
        <v/>
      </c>
      <c r="AX272" s="1390" t="str">
        <f t="shared" si="153"/>
        <v/>
      </c>
      <c r="AY272" s="1394" t="str">
        <f t="shared" si="176"/>
        <v/>
      </c>
      <c r="AZ272" s="1395" t="str">
        <f>IF(Table22[[#This Row],[LOQ_label]]="Y",Table22[[#This Row],[MRL individual commodity]],"")</f>
        <v/>
      </c>
      <c r="BA272" s="1396">
        <v>1</v>
      </c>
      <c r="BB272" s="1411" t="str">
        <f>IF(Table22[[#This Row],[LOQ2]]&lt;0,MIN(AZ272:AZ648),"")</f>
        <v/>
      </c>
      <c r="BC272" s="1299"/>
      <c r="BD272" s="1306" t="str">
        <f>IF(Table22[[#This Row],[Chronic RA label]]="","N",IF(Table22[[#This Row],[Chronic RA label]]="LOQ","N",IF(Table22[[#This Row],[Chronic RA label]]="MRL","N","Y")))</f>
        <v>N</v>
      </c>
      <c r="BE272" s="1306" t="str">
        <f>IF(Table22[[#This Row],[Acute RA label]]="","N",IF(Table22[[#This Row],[Acute RA label]]="LOQ","N",IF(Table22[[#This Row],[Acute RA label]]="MRL","N","Y")))</f>
        <v>N</v>
      </c>
      <c r="BF272" s="1306" t="str">
        <f>IF(OR(Table22[[#This Row],[include commodity in Summary_input_values_chronic]]="Y",Table22[[#This Row],[include commodity in Summary_input_values_acute]]="Y"),"Y","N")</f>
        <v>N</v>
      </c>
      <c r="BG272" s="1299"/>
      <c r="BH272" s="1324"/>
    </row>
    <row r="273" spans="1:60" ht="12.75" customHeight="1" outlineLevel="2" x14ac:dyDescent="0.2">
      <c r="A273" s="133">
        <v>3</v>
      </c>
      <c r="B273" s="449">
        <v>639000</v>
      </c>
      <c r="C273" s="5" t="s">
        <v>773</v>
      </c>
      <c r="D273" s="862"/>
      <c r="E273" s="1218"/>
      <c r="F273" s="862"/>
      <c r="G273" s="866"/>
      <c r="H273" s="863"/>
      <c r="I273" s="863"/>
      <c r="J273" s="864"/>
      <c r="K273" s="865"/>
      <c r="L273" s="471"/>
      <c r="M273" s="471"/>
      <c r="N273" s="473"/>
      <c r="O273" s="474"/>
      <c r="P273" s="473"/>
      <c r="Q273" s="474"/>
      <c r="R273" s="473"/>
      <c r="S273" s="474"/>
      <c r="T273" s="886"/>
      <c r="U273" s="1415"/>
      <c r="V273" s="1380"/>
      <c r="W273" s="1381"/>
      <c r="X273" s="1381"/>
      <c r="Y273" s="1381"/>
      <c r="Z273" s="1382">
        <v>4</v>
      </c>
      <c r="AA273" s="1381"/>
      <c r="AB273" s="1381"/>
      <c r="AC273" s="1383"/>
      <c r="AD273" s="1383"/>
      <c r="AE273" s="1384"/>
      <c r="AF273" s="1385"/>
      <c r="AG273" s="1385"/>
      <c r="AH273" s="1270"/>
      <c r="AI273" s="1386">
        <v>3</v>
      </c>
      <c r="AJ273" s="1387">
        <f t="shared" si="164"/>
        <v>0</v>
      </c>
      <c r="AK273" s="1387">
        <f>IF(AI273=A273,IF(AND(L273="N",Table22[[#This Row],[LOQ_label]]="Y"),AJ273,$AJ273*$Y273),"")</f>
        <v>0</v>
      </c>
      <c r="AL273" s="1388">
        <f t="shared" si="165"/>
        <v>0</v>
      </c>
      <c r="AM273" s="1393">
        <f>IF(Table22[[#This Row],[Highest residue * CF*PF]]&lt;&gt;"",Table22[[#This Row],[Highest residue * CF*PF]],Table22[[#This Row],[MRL*CF*PF or MRL (if LOQ and not authorised) (acute RA)]])</f>
        <v>0</v>
      </c>
      <c r="AN273" s="1390" t="str">
        <f t="shared" si="166"/>
        <v>LOQ</v>
      </c>
      <c r="AO273" s="1390" t="str">
        <f t="shared" si="167"/>
        <v/>
      </c>
      <c r="AP273" s="1404" t="str">
        <f t="shared" si="168"/>
        <v/>
      </c>
      <c r="AQ273" s="1388">
        <f t="shared" si="169"/>
        <v>0</v>
      </c>
      <c r="AR273" s="1388" t="str">
        <f t="shared" si="170"/>
        <v/>
      </c>
      <c r="AS273" s="1388" t="str">
        <f t="shared" si="171"/>
        <v/>
      </c>
      <c r="AT273" s="1388" t="str">
        <f t="shared" si="172"/>
        <v/>
      </c>
      <c r="AU273" s="1393">
        <f t="shared" si="173"/>
        <v>0</v>
      </c>
      <c r="AV273" s="1388">
        <f t="shared" si="174"/>
        <v>0</v>
      </c>
      <c r="AW273" s="1390" t="str">
        <f t="shared" si="175"/>
        <v/>
      </c>
      <c r="AX273" s="1390" t="str">
        <f t="shared" si="153"/>
        <v/>
      </c>
      <c r="AY273" s="1394" t="str">
        <f t="shared" si="176"/>
        <v/>
      </c>
      <c r="AZ273" s="1395">
        <f>IF(Table22[[#This Row],[LOQ_label]]="Y",Table22[[#This Row],[MRL individual commodity]],"")</f>
        <v>0</v>
      </c>
      <c r="BA273" s="1396" t="s">
        <v>1038</v>
      </c>
      <c r="BB273" s="1411" t="str">
        <f>IF(Table22[[#This Row],[LOQ2]]&lt;0,MIN(AZ273:AZ649),"")</f>
        <v/>
      </c>
      <c r="BC273" s="1299"/>
      <c r="BD273" s="1306" t="str">
        <f>IF(Table22[[#This Row],[Chronic RA label]]="","N",IF(Table22[[#This Row],[Chronic RA label]]="LOQ","N",IF(Table22[[#This Row],[Chronic RA label]]="MRL","N","Y")))</f>
        <v>N</v>
      </c>
      <c r="BE273" s="1306" t="str">
        <f>IF(Table22[[#This Row],[Acute RA label]]="","N",IF(Table22[[#This Row],[Acute RA label]]="LOQ","N",IF(Table22[[#This Row],[Acute RA label]]="MRL","N","Y")))</f>
        <v>N</v>
      </c>
      <c r="BF273" s="1306" t="str">
        <f>IF(OR(Table22[[#This Row],[include commodity in Summary_input_values_chronic]]="Y",Table22[[#This Row],[include commodity in Summary_input_values_acute]]="Y"),"Y","N")</f>
        <v>N</v>
      </c>
      <c r="BG273" s="1299"/>
      <c r="BH273" s="1324"/>
    </row>
    <row r="274" spans="1:60" ht="12.75" customHeight="1" outlineLevel="1" x14ac:dyDescent="0.2">
      <c r="A274" s="130">
        <v>2</v>
      </c>
      <c r="B274" s="447">
        <v>640000</v>
      </c>
      <c r="C274" s="131" t="s">
        <v>774</v>
      </c>
      <c r="D274" s="867"/>
      <c r="E274" s="1219"/>
      <c r="F274" s="867"/>
      <c r="G274" s="869"/>
      <c r="H274" s="863"/>
      <c r="I274" s="868"/>
      <c r="J274" s="870"/>
      <c r="K274" s="865"/>
      <c r="L274" s="872"/>
      <c r="M274" s="872"/>
      <c r="N274" s="925" t="str">
        <f>IF(O274&lt;&gt;0,CONCATENATE(input_values!$AF274,input_values!$AG274,input_values!$AH274),"")</f>
        <v/>
      </c>
      <c r="O274" s="491">
        <f>IF($A$10="Refined calculation mode",Table22[[#This Row],[input for chronic (refined mode]],Table22[[#This Row],[input for chronic normal mode]])</f>
        <v>0</v>
      </c>
      <c r="P274" s="925" t="str">
        <f>IF(Q274&lt;&gt;0,CONCATENATE(input_values!$AN274,input_values!$AO274,input_values!$AP274),"")</f>
        <v/>
      </c>
      <c r="Q274" s="491">
        <f>IF($V$5=0,0,IF(OR($A$10="Refined calculation mode",Results!$B$62="Show results of IESTI calculation only for crops with GAPs under assessment"),Table22[[#This Row],[Input for IESTI (refined mode)]],Table22[[#This Row],[Input for IESTI normal mode]]))</f>
        <v>0</v>
      </c>
      <c r="R274" s="926" t="str">
        <f>IF(S274&lt;&gt;0,CONCATENATE(input_values!$AW274,input_values!$AX274,input_values!$AY274),"")</f>
        <v/>
      </c>
      <c r="S274" s="492">
        <f>IF($V$5=0,0,IF(OR($A$10="Refined calculation mode",Results!$B$62="Show results of IESTI calculation only for crops with GAPs under assessment"),Table22[[#This Row],[Input for IESTI new (refined mode)]],Table22[[#This Row],[Input for IESTI new normal mode]]))</f>
        <v>0</v>
      </c>
      <c r="T274" s="886"/>
      <c r="U274" s="1408">
        <f>Table22[[#This Row],[MRL/ proposed MRL /CXL
(mg/kg)]]</f>
        <v>0</v>
      </c>
      <c r="V274" s="1409" t="str">
        <f t="shared" si="177"/>
        <v/>
      </c>
      <c r="W274" s="1387">
        <f t="shared" si="178"/>
        <v>1</v>
      </c>
      <c r="X274" s="1387">
        <f t="shared" si="179"/>
        <v>1</v>
      </c>
      <c r="Y274" s="1387">
        <f t="shared" si="180"/>
        <v>1</v>
      </c>
      <c r="Z274" s="1425">
        <v>2</v>
      </c>
      <c r="AA274" s="1387">
        <f t="shared" si="158"/>
        <v>0</v>
      </c>
      <c r="AB274" s="1387">
        <f>IF(Z274=A274,IF(AND(L274="N",Table22[[#This Row],[LOQ_label]]="Y"),AA274,$AA274*$Y274),"")</f>
        <v>0</v>
      </c>
      <c r="AC274" s="1393">
        <f t="shared" si="159"/>
        <v>0</v>
      </c>
      <c r="AD274" s="1393">
        <f>IF(Table22[[#This Row],[Median residue*CF*PeF]]&lt;&gt;"",Table22[[#This Row],[Median residue*CF*PeF]],Table22[[#This Row],[MRL*CF*PeF (chronic)]])</f>
        <v>0</v>
      </c>
      <c r="AE274" s="1393">
        <f t="shared" si="160"/>
        <v>0</v>
      </c>
      <c r="AF274" s="1390" t="str">
        <f t="shared" si="161"/>
        <v>MRL</v>
      </c>
      <c r="AG274" s="1390" t="str">
        <f t="shared" si="162"/>
        <v/>
      </c>
      <c r="AH274" s="1394" t="str">
        <f t="shared" si="163"/>
        <v/>
      </c>
      <c r="AI274" s="1426">
        <v>2</v>
      </c>
      <c r="AJ274" s="1387">
        <f t="shared" si="164"/>
        <v>0</v>
      </c>
      <c r="AK274" s="1387">
        <f>IF(AI274=A274,IF(AND(L274="N",Table22[[#This Row],[LOQ_label]]="Y"),AJ274,$AJ274*$Y274),"")</f>
        <v>0</v>
      </c>
      <c r="AL274" s="1388">
        <f t="shared" si="165"/>
        <v>0</v>
      </c>
      <c r="AM274" s="1393">
        <f>IF(Table22[[#This Row],[Highest residue * CF*PF]]&lt;&gt;"",Table22[[#This Row],[Highest residue * CF*PF]],Table22[[#This Row],[MRL*CF*PF or MRL (if LOQ and not authorised) (acute RA)]])</f>
        <v>0</v>
      </c>
      <c r="AN274" s="1390" t="str">
        <f t="shared" si="166"/>
        <v>MRL</v>
      </c>
      <c r="AO274" s="1390" t="str">
        <f t="shared" si="167"/>
        <v/>
      </c>
      <c r="AP274" s="1404" t="str">
        <f t="shared" si="168"/>
        <v/>
      </c>
      <c r="AQ274" s="1388">
        <f t="shared" si="169"/>
        <v>0</v>
      </c>
      <c r="AR274" s="1388" t="str">
        <f t="shared" si="170"/>
        <v/>
      </c>
      <c r="AS274" s="1388" t="str">
        <f t="shared" si="171"/>
        <v/>
      </c>
      <c r="AT274" s="1388" t="str">
        <f t="shared" si="172"/>
        <v/>
      </c>
      <c r="AU274" s="1393">
        <f t="shared" si="173"/>
        <v>0</v>
      </c>
      <c r="AV274" s="1388">
        <f t="shared" si="174"/>
        <v>0</v>
      </c>
      <c r="AW274" s="1390" t="str">
        <f t="shared" si="175"/>
        <v/>
      </c>
      <c r="AX274" s="1390" t="str">
        <f>IF(AND(AW274&lt;&gt;"",AY274&lt;&gt;""),"*","")</f>
        <v/>
      </c>
      <c r="AY274" s="1394" t="str">
        <f t="shared" si="176"/>
        <v/>
      </c>
      <c r="AZ274" s="1395" t="str">
        <f>IF(Table22[[#This Row],[LOQ_label]]="Y",Table22[[#This Row],[MRL individual commodity]],"")</f>
        <v/>
      </c>
      <c r="BA274" s="1396" t="s">
        <v>1038</v>
      </c>
      <c r="BB274" s="1411" t="str">
        <f>IF(Table22[[#This Row],[LOQ2]]&lt;0,MIN(AZ274:AZ650),"")</f>
        <v/>
      </c>
      <c r="BC274" s="1299"/>
      <c r="BD274" s="1306" t="str">
        <f>IF(Table22[[#This Row],[Chronic RA label]]="","N",IF(Table22[[#This Row],[Chronic RA label]]="LOQ","N",IF(Table22[[#This Row],[Chronic RA label]]="MRL","N","Y")))</f>
        <v>N</v>
      </c>
      <c r="BE274" s="1306" t="str">
        <f>IF(Table22[[#This Row],[Acute RA label]]="","N",IF(Table22[[#This Row],[Acute RA label]]="LOQ","N",IF(Table22[[#This Row],[Acute RA label]]="MRL","N","Y")))</f>
        <v>N</v>
      </c>
      <c r="BF274" s="1306" t="str">
        <f>IF(OR(Table22[[#This Row],[include commodity in Summary_input_values_chronic]]="Y",Table22[[#This Row],[include commodity in Summary_input_values_acute]]="Y"),"Y","N")</f>
        <v>N</v>
      </c>
      <c r="BG274" s="1299"/>
      <c r="BH274" s="1324"/>
    </row>
    <row r="275" spans="1:60" ht="12.75" customHeight="1" outlineLevel="1" x14ac:dyDescent="0.2">
      <c r="A275" s="130">
        <v>2</v>
      </c>
      <c r="B275" s="447">
        <v>650000</v>
      </c>
      <c r="C275" s="131" t="s">
        <v>775</v>
      </c>
      <c r="D275" s="867"/>
      <c r="E275" s="1219"/>
      <c r="F275" s="867"/>
      <c r="G275" s="869"/>
      <c r="H275" s="863"/>
      <c r="I275" s="868"/>
      <c r="J275" s="870"/>
      <c r="K275" s="865"/>
      <c r="L275" s="872"/>
      <c r="M275" s="872"/>
      <c r="N275" s="925" t="str">
        <f>IF(O275&lt;&gt;0,CONCATENATE(input_values!$AF275,input_values!$AG275,input_values!$AH275),"")</f>
        <v/>
      </c>
      <c r="O275" s="491">
        <f>IF($A$10="Refined calculation mode",Table22[[#This Row],[input for chronic (refined mode]],Table22[[#This Row],[input for chronic normal mode]])</f>
        <v>0</v>
      </c>
      <c r="P275" s="925" t="str">
        <f>IF(Q275&lt;&gt;0,CONCATENATE(input_values!$AN275,input_values!$AO275,input_values!$AP275),"")</f>
        <v/>
      </c>
      <c r="Q275" s="491">
        <f>IF($V$5=0,0,IF(OR($A$10="Refined calculation mode",Results!$B$62="Show results of IESTI calculation only for crops with GAPs under assessment"),Table22[[#This Row],[Input for IESTI (refined mode)]],Table22[[#This Row],[Input for IESTI normal mode]]))</f>
        <v>0</v>
      </c>
      <c r="R275" s="926" t="str">
        <f>IF(S275&lt;&gt;0,CONCATENATE(input_values!$AW275,input_values!$AX275,input_values!$AY275),"")</f>
        <v/>
      </c>
      <c r="S275" s="492">
        <f>IF($V$5=0,0,IF(OR($A$10="Refined calculation mode",Results!$B$62="Show results of IESTI calculation only for crops with GAPs under assessment"),Table22[[#This Row],[Input for IESTI new (refined mode)]],Table22[[#This Row],[Input for IESTI new normal mode]]))</f>
        <v>0</v>
      </c>
      <c r="T275" s="886"/>
      <c r="U275" s="1408">
        <f>Table22[[#This Row],[MRL/ proposed MRL /CXL
(mg/kg)]]</f>
        <v>0</v>
      </c>
      <c r="V275" s="1409" t="str">
        <f t="shared" si="177"/>
        <v/>
      </c>
      <c r="W275" s="1387">
        <f t="shared" si="178"/>
        <v>1</v>
      </c>
      <c r="X275" s="1387">
        <f t="shared" si="179"/>
        <v>1</v>
      </c>
      <c r="Y275" s="1387">
        <f t="shared" si="180"/>
        <v>1</v>
      </c>
      <c r="Z275" s="1425">
        <v>2</v>
      </c>
      <c r="AA275" s="1387">
        <f t="shared" si="158"/>
        <v>0</v>
      </c>
      <c r="AB275" s="1387">
        <f>IF(Z275=A275,IF(AND(L275="N",Table22[[#This Row],[LOQ_label]]="Y"),AA275,$AA275*$Y275),"")</f>
        <v>0</v>
      </c>
      <c r="AC275" s="1393">
        <f t="shared" si="159"/>
        <v>0</v>
      </c>
      <c r="AD275" s="1393">
        <f>IF(Table22[[#This Row],[Median residue*CF*PeF]]&lt;&gt;"",Table22[[#This Row],[Median residue*CF*PeF]],Table22[[#This Row],[MRL*CF*PeF (chronic)]])</f>
        <v>0</v>
      </c>
      <c r="AE275" s="1393">
        <f t="shared" si="160"/>
        <v>0</v>
      </c>
      <c r="AF275" s="1390" t="str">
        <f t="shared" si="161"/>
        <v>MRL</v>
      </c>
      <c r="AG275" s="1390" t="str">
        <f t="shared" si="162"/>
        <v/>
      </c>
      <c r="AH275" s="1394" t="str">
        <f t="shared" si="163"/>
        <v/>
      </c>
      <c r="AI275" s="1426">
        <v>2</v>
      </c>
      <c r="AJ275" s="1387">
        <f t="shared" si="164"/>
        <v>0</v>
      </c>
      <c r="AK275" s="1387">
        <f>IF(AI275=A275,IF(AND(L275="N",Table22[[#This Row],[LOQ_label]]="Y"),AJ275,$AJ275*$Y275),"")</f>
        <v>0</v>
      </c>
      <c r="AL275" s="1388">
        <f t="shared" si="165"/>
        <v>0</v>
      </c>
      <c r="AM275" s="1393">
        <f>IF(Table22[[#This Row],[Highest residue * CF*PF]]&lt;&gt;"",Table22[[#This Row],[Highest residue * CF*PF]],Table22[[#This Row],[MRL*CF*PF or MRL (if LOQ and not authorised) (acute RA)]])</f>
        <v>0</v>
      </c>
      <c r="AN275" s="1390" t="str">
        <f t="shared" si="166"/>
        <v>MRL</v>
      </c>
      <c r="AO275" s="1390" t="str">
        <f t="shared" si="167"/>
        <v/>
      </c>
      <c r="AP275" s="1404" t="str">
        <f t="shared" si="168"/>
        <v/>
      </c>
      <c r="AQ275" s="1388">
        <f t="shared" si="169"/>
        <v>0</v>
      </c>
      <c r="AR275" s="1388" t="str">
        <f t="shared" si="170"/>
        <v/>
      </c>
      <c r="AS275" s="1388" t="str">
        <f t="shared" si="171"/>
        <v/>
      </c>
      <c r="AT275" s="1388" t="str">
        <f t="shared" si="172"/>
        <v/>
      </c>
      <c r="AU275" s="1393">
        <f t="shared" si="173"/>
        <v>0</v>
      </c>
      <c r="AV275" s="1388">
        <f t="shared" si="174"/>
        <v>0</v>
      </c>
      <c r="AW275" s="1390" t="str">
        <f t="shared" si="175"/>
        <v/>
      </c>
      <c r="AX275" s="1390" t="str">
        <f>IF(AND(AW275&lt;&gt;"",AY275&lt;&gt;""),"*","")</f>
        <v/>
      </c>
      <c r="AY275" s="1394" t="str">
        <f t="shared" si="176"/>
        <v/>
      </c>
      <c r="AZ275" s="1395" t="str">
        <f>IF(Table22[[#This Row],[LOQ_label]]="Y",Table22[[#This Row],[MRL individual commodity]],"")</f>
        <v/>
      </c>
      <c r="BA275" s="1396" t="s">
        <v>1038</v>
      </c>
      <c r="BB275" s="1411" t="str">
        <f>IF(Table22[[#This Row],[LOQ2]]&lt;0,MIN(AZ275:AZ651),"")</f>
        <v/>
      </c>
      <c r="BC275" s="1299"/>
      <c r="BD275" s="1306" t="str">
        <f>IF(Table22[[#This Row],[Chronic RA label]]="","N",IF(Table22[[#This Row],[Chronic RA label]]="LOQ","N",IF(Table22[[#This Row],[Chronic RA label]]="MRL","N","Y")))</f>
        <v>N</v>
      </c>
      <c r="BE275" s="1306" t="str">
        <f>IF(Table22[[#This Row],[Acute RA label]]="","N",IF(Table22[[#This Row],[Acute RA label]]="LOQ","N",IF(Table22[[#This Row],[Acute RA label]]="MRL","N","Y")))</f>
        <v>N</v>
      </c>
      <c r="BF275" s="1306" t="str">
        <f>IF(OR(Table22[[#This Row],[include commodity in Summary_input_values_chronic]]="Y",Table22[[#This Row],[include commodity in Summary_input_values_acute]]="Y"),"Y","N")</f>
        <v>N</v>
      </c>
      <c r="BG275" s="1299"/>
      <c r="BH275" s="1324"/>
    </row>
    <row r="276" spans="1:60" ht="12.75" customHeight="1" collapsed="1" x14ac:dyDescent="0.2">
      <c r="A276" s="126">
        <v>1</v>
      </c>
      <c r="B276" s="446">
        <v>700000</v>
      </c>
      <c r="C276" s="127" t="s">
        <v>366</v>
      </c>
      <c r="D276" s="867"/>
      <c r="E276" s="1219"/>
      <c r="F276" s="867"/>
      <c r="G276" s="868"/>
      <c r="H276" s="863"/>
      <c r="I276" s="868"/>
      <c r="J276" s="870"/>
      <c r="K276" s="865"/>
      <c r="L276" s="872"/>
      <c r="M276" s="872"/>
      <c r="N276" s="925" t="str">
        <f>IF(O276&lt;&gt;0,CONCATENATE(input_values!$AF276,input_values!$AG276,input_values!$AH276),"")</f>
        <v/>
      </c>
      <c r="O276" s="491">
        <f>IF($A$10="Refined calculation mode",Table22[[#This Row],[input for chronic (refined mode]],Table22[[#This Row],[input for chronic normal mode]])</f>
        <v>0</v>
      </c>
      <c r="P276" s="925" t="str">
        <f>IF(Q276&lt;&gt;0,CONCATENATE(input_values!$AN276,input_values!$AO276,input_values!$AP276),"")</f>
        <v/>
      </c>
      <c r="Q276" s="491">
        <f>IF($V$5=0,0,IF(OR($A$10="Refined calculation mode",Results!$B$62="Show results of IESTI calculation only for crops with GAPs under assessment"),Table22[[#This Row],[Input for IESTI (refined mode)]],Table22[[#This Row],[Input for IESTI normal mode]]))</f>
        <v>0</v>
      </c>
      <c r="R276" s="926" t="str">
        <f>IF(S276&lt;&gt;0,CONCATENATE(input_values!$AW276,input_values!$AX276,input_values!$AY276),"")</f>
        <v/>
      </c>
      <c r="S276" s="492">
        <f>IF($V$5=0,0,IF(OR($A$10="Refined calculation mode",Results!$B$62="Show results of IESTI calculation only for crops with GAPs under assessment"),Table22[[#This Row],[Input for IESTI new (refined mode)]],Table22[[#This Row],[Input for IESTI new normal mode]]))</f>
        <v>0</v>
      </c>
      <c r="T276" s="886"/>
      <c r="U276" s="1408">
        <f>Table22[[#This Row],[MRL/ proposed MRL /CXL
(mg/kg)]]</f>
        <v>0</v>
      </c>
      <c r="V276" s="1409" t="str">
        <f t="shared" si="177"/>
        <v/>
      </c>
      <c r="W276" s="1387">
        <f t="shared" si="178"/>
        <v>1</v>
      </c>
      <c r="X276" s="1387">
        <f t="shared" si="179"/>
        <v>1</v>
      </c>
      <c r="Y276" s="1387">
        <f t="shared" si="180"/>
        <v>1</v>
      </c>
      <c r="Z276" s="1410">
        <v>1</v>
      </c>
      <c r="AA276" s="1387">
        <f t="shared" si="158"/>
        <v>0</v>
      </c>
      <c r="AB276" s="1387">
        <f>IF(Z276=A276,IF(AND(L276="N",Table22[[#This Row],[LOQ_label]]="Y"),AA276,$AA276*$Y276),"")</f>
        <v>0</v>
      </c>
      <c r="AC276" s="1393">
        <f t="shared" si="159"/>
        <v>0</v>
      </c>
      <c r="AD276" s="1393">
        <f>IF(Table22[[#This Row],[Median residue*CF*PeF]]&lt;&gt;"",Table22[[#This Row],[Median residue*CF*PeF]],Table22[[#This Row],[MRL*CF*PeF (chronic)]])</f>
        <v>0</v>
      </c>
      <c r="AE276" s="1393">
        <f t="shared" si="160"/>
        <v>0</v>
      </c>
      <c r="AF276" s="1390" t="str">
        <f t="shared" si="161"/>
        <v>MRL</v>
      </c>
      <c r="AG276" s="1390" t="str">
        <f t="shared" si="162"/>
        <v/>
      </c>
      <c r="AH276" s="1394" t="str">
        <f t="shared" si="163"/>
        <v/>
      </c>
      <c r="AI276" s="1386">
        <v>1</v>
      </c>
      <c r="AJ276" s="1387">
        <f t="shared" si="164"/>
        <v>0</v>
      </c>
      <c r="AK276" s="1387">
        <f>IF(AI276=A276,IF(AND(L276="N",Table22[[#This Row],[LOQ_label]]="Y"),AJ276,$AJ276*$Y276),"")</f>
        <v>0</v>
      </c>
      <c r="AL276" s="1388">
        <f t="shared" si="165"/>
        <v>0</v>
      </c>
      <c r="AM276" s="1393">
        <f>IF(Table22[[#This Row],[Highest residue * CF*PF]]&lt;&gt;"",Table22[[#This Row],[Highest residue * CF*PF]],Table22[[#This Row],[MRL*CF*PF or MRL (if LOQ and not authorised) (acute RA)]])</f>
        <v>0</v>
      </c>
      <c r="AN276" s="1390" t="str">
        <f t="shared" si="166"/>
        <v>MRL</v>
      </c>
      <c r="AO276" s="1390" t="str">
        <f t="shared" si="167"/>
        <v/>
      </c>
      <c r="AP276" s="1404" t="str">
        <f t="shared" si="168"/>
        <v/>
      </c>
      <c r="AQ276" s="1388">
        <f t="shared" si="169"/>
        <v>0</v>
      </c>
      <c r="AR276" s="1388" t="str">
        <f t="shared" si="170"/>
        <v/>
      </c>
      <c r="AS276" s="1388" t="str">
        <f t="shared" si="171"/>
        <v/>
      </c>
      <c r="AT276" s="1388" t="str">
        <f t="shared" si="172"/>
        <v/>
      </c>
      <c r="AU276" s="1393">
        <f t="shared" si="173"/>
        <v>0</v>
      </c>
      <c r="AV276" s="1388">
        <f t="shared" si="174"/>
        <v>0</v>
      </c>
      <c r="AW276" s="1390" t="str">
        <f t="shared" si="175"/>
        <v/>
      </c>
      <c r="AX276" s="1390" t="str">
        <f>IF(AND(AW276&lt;&gt;"",AY276&lt;&gt;""),"*","")</f>
        <v/>
      </c>
      <c r="AY276" s="1394" t="str">
        <f t="shared" si="176"/>
        <v/>
      </c>
      <c r="AZ276" s="1395" t="str">
        <f>IF(Table22[[#This Row],[LOQ_label]]="Y",Table22[[#This Row],[MRL individual commodity]],"")</f>
        <v/>
      </c>
      <c r="BA276" s="1396" t="s">
        <v>1038</v>
      </c>
      <c r="BB276" s="1411" t="str">
        <f>IF(Table22[[#This Row],[LOQ2]]&lt;0,MIN(AZ276:AZ652),"")</f>
        <v/>
      </c>
      <c r="BC276" s="1299"/>
      <c r="BD276" s="1306" t="str">
        <f>IF(Table22[[#This Row],[Chronic RA label]]="","N",IF(Table22[[#This Row],[Chronic RA label]]="LOQ","N",IF(Table22[[#This Row],[Chronic RA label]]="MRL","N","Y")))</f>
        <v>N</v>
      </c>
      <c r="BE276" s="1306" t="str">
        <f>IF(Table22[[#This Row],[Acute RA label]]="","N",IF(Table22[[#This Row],[Acute RA label]]="LOQ","N",IF(Table22[[#This Row],[Acute RA label]]="MRL","N","Y")))</f>
        <v>N</v>
      </c>
      <c r="BF276" s="1306" t="str">
        <f>IF(OR(Table22[[#This Row],[include commodity in Summary_input_values_chronic]]="Y",Table22[[#This Row],[include commodity in Summary_input_values_acute]]="Y"),"Y","N")</f>
        <v>N</v>
      </c>
      <c r="BG276" s="1299"/>
      <c r="BH276" s="1324"/>
    </row>
    <row r="277" spans="1:60" ht="12.75" customHeight="1" x14ac:dyDescent="0.2">
      <c r="A277" s="126">
        <v>1</v>
      </c>
      <c r="B277" s="446">
        <v>800000</v>
      </c>
      <c r="C277" s="127" t="s">
        <v>144</v>
      </c>
      <c r="D277" s="862"/>
      <c r="E277" s="1218"/>
      <c r="F277" s="862"/>
      <c r="G277" s="866"/>
      <c r="H277" s="863"/>
      <c r="I277" s="863"/>
      <c r="J277" s="864"/>
      <c r="K277" s="865"/>
      <c r="L277" s="471"/>
      <c r="M277" s="471"/>
      <c r="N277" s="473"/>
      <c r="O277" s="474"/>
      <c r="P277" s="473"/>
      <c r="Q277" s="474"/>
      <c r="R277" s="473"/>
      <c r="S277" s="474"/>
      <c r="T277" s="886"/>
      <c r="U277" s="1415"/>
      <c r="V277" s="1380"/>
      <c r="W277" s="1381"/>
      <c r="X277" s="1381"/>
      <c r="Y277" s="1381"/>
      <c r="Z277" s="1382">
        <v>4</v>
      </c>
      <c r="AA277" s="1381" t="str">
        <f t="shared" si="158"/>
        <v/>
      </c>
      <c r="AB277" s="1381" t="str">
        <f>IF(Z277=A277,IF(AND(L277="N",Table22[[#This Row],[LOQ_label]]="Y"),AA277,$AA277*$Y277),"")</f>
        <v/>
      </c>
      <c r="AC277" s="1383" t="str">
        <f t="shared" si="159"/>
        <v/>
      </c>
      <c r="AD277" s="1383" t="str">
        <f>IF(Table22[[#This Row],[Median residue*CF*PeF]]&lt;&gt;"",Table22[[#This Row],[Median residue*CF*PeF]],Table22[[#This Row],[MRL*CF*PeF (chronic)]])</f>
        <v/>
      </c>
      <c r="AE277" s="1384">
        <f t="shared" si="160"/>
        <v>0</v>
      </c>
      <c r="AF277" s="1385" t="str">
        <f t="shared" si="161"/>
        <v/>
      </c>
      <c r="AG277" s="1385" t="str">
        <f t="shared" si="162"/>
        <v/>
      </c>
      <c r="AH277" s="1270" t="str">
        <f t="shared" si="163"/>
        <v/>
      </c>
      <c r="AI277" s="1386">
        <v>4</v>
      </c>
      <c r="AJ277" s="1387" t="str">
        <f t="shared" si="164"/>
        <v/>
      </c>
      <c r="AK277" s="1387" t="str">
        <f>IF(AI277=A277,IF(AND(L277="N",Table22[[#This Row],[LOQ_label]]="Y"),AJ277,$AJ277*$Y277),"")</f>
        <v/>
      </c>
      <c r="AL277" s="1388" t="str">
        <f t="shared" si="165"/>
        <v/>
      </c>
      <c r="AM277" s="1393" t="str">
        <f>IF(Table22[[#This Row],[Highest residue * CF*PF]]&lt;&gt;"",Table22[[#This Row],[Highest residue * CF*PF]],Table22[[#This Row],[MRL*CF*PF or MRL (if LOQ and not authorised) (acute RA)]])</f>
        <v/>
      </c>
      <c r="AN277" s="1390" t="str">
        <f t="shared" si="166"/>
        <v/>
      </c>
      <c r="AO277" s="1390" t="str">
        <f t="shared" si="167"/>
        <v/>
      </c>
      <c r="AP277" s="1404" t="str">
        <f t="shared" si="168"/>
        <v/>
      </c>
      <c r="AQ277" s="1388">
        <f t="shared" si="169"/>
        <v>0</v>
      </c>
      <c r="AR277" s="1388" t="str">
        <f t="shared" si="170"/>
        <v/>
      </c>
      <c r="AS277" s="1388" t="str">
        <f t="shared" si="171"/>
        <v/>
      </c>
      <c r="AT277" s="1388" t="str">
        <f t="shared" si="172"/>
        <v/>
      </c>
      <c r="AU277" s="1393" t="str">
        <f t="shared" si="173"/>
        <v/>
      </c>
      <c r="AV277" s="1388">
        <f t="shared" si="174"/>
        <v>0</v>
      </c>
      <c r="AW277" s="1390" t="str">
        <f t="shared" si="175"/>
        <v/>
      </c>
      <c r="AX277" s="1390" t="str">
        <f>IF(AND(AW277&lt;&gt;"",AY277&lt;&gt;""),"*","")</f>
        <v/>
      </c>
      <c r="AY277" s="1394" t="str">
        <f t="shared" si="176"/>
        <v/>
      </c>
      <c r="AZ277" s="1395">
        <f>IF(Table22[[#This Row],[LOQ_label]]="Y",Table22[[#This Row],[MRL individual commodity]],"")</f>
        <v>0</v>
      </c>
      <c r="BA277" s="1396" t="s">
        <v>1159</v>
      </c>
      <c r="BB277" s="1411" t="str">
        <f>IF(Table22[[#This Row],[LOQ2]]&lt;0,MIN(AZ277:AZ653),"")</f>
        <v/>
      </c>
      <c r="BC277" s="1299"/>
      <c r="BD277" s="1306" t="str">
        <f>IF(Table22[[#This Row],[Chronic RA label]]="","N",IF(Table22[[#This Row],[Chronic RA label]]="LOQ","N",IF(Table22[[#This Row],[Chronic RA label]]="MRL","N","Y")))</f>
        <v>N</v>
      </c>
      <c r="BE277" s="1306" t="str">
        <f>IF(Table22[[#This Row],[Acute RA label]]="","N",IF(Table22[[#This Row],[Acute RA label]]="LOQ","N",IF(Table22[[#This Row],[Acute RA label]]="MRL","N","Y")))</f>
        <v>N</v>
      </c>
      <c r="BF277" s="1306" t="str">
        <f>IF(OR(Table22[[#This Row],[include commodity in Summary_input_values_chronic]]="Y",Table22[[#This Row],[include commodity in Summary_input_values_acute]]="Y"),"Y","N")</f>
        <v>N</v>
      </c>
      <c r="BG277" s="1299"/>
      <c r="BH277" s="1324"/>
    </row>
    <row r="278" spans="1:60" ht="12.75" customHeight="1" outlineLevel="1" x14ac:dyDescent="0.2">
      <c r="A278" s="130">
        <v>2</v>
      </c>
      <c r="B278" s="447">
        <v>810000</v>
      </c>
      <c r="C278" s="131" t="s">
        <v>77</v>
      </c>
      <c r="D278" s="862"/>
      <c r="E278" s="1218"/>
      <c r="F278" s="862"/>
      <c r="G278" s="866"/>
      <c r="H278" s="863"/>
      <c r="I278" s="863"/>
      <c r="J278" s="864"/>
      <c r="K278" s="865"/>
      <c r="L278" s="471"/>
      <c r="M278" s="471"/>
      <c r="N278" s="473"/>
      <c r="O278" s="474"/>
      <c r="P278" s="473"/>
      <c r="Q278" s="474"/>
      <c r="R278" s="473"/>
      <c r="S278" s="474"/>
      <c r="T278" s="886"/>
      <c r="U278" s="1415"/>
      <c r="V278" s="1380"/>
      <c r="W278" s="1381"/>
      <c r="X278" s="1381"/>
      <c r="Y278" s="1381"/>
      <c r="Z278" s="1382">
        <v>4</v>
      </c>
      <c r="AA278" s="1381" t="str">
        <f t="shared" si="158"/>
        <v/>
      </c>
      <c r="AB278" s="1381" t="str">
        <f>IF(Z278=A278,IF(AND(L278="N",Table22[[#This Row],[LOQ_label]]="Y"),AA278,$AA278*$Y278),"")</f>
        <v/>
      </c>
      <c r="AC278" s="1383" t="str">
        <f t="shared" si="159"/>
        <v/>
      </c>
      <c r="AD278" s="1383" t="str">
        <f>IF(Table22[[#This Row],[Median residue*CF*PeF]]&lt;&gt;"",Table22[[#This Row],[Median residue*CF*PeF]],Table22[[#This Row],[MRL*CF*PeF (chronic)]])</f>
        <v/>
      </c>
      <c r="AE278" s="1384">
        <f t="shared" si="160"/>
        <v>0</v>
      </c>
      <c r="AF278" s="1385" t="str">
        <f t="shared" si="161"/>
        <v/>
      </c>
      <c r="AG278" s="1385" t="str">
        <f t="shared" si="162"/>
        <v/>
      </c>
      <c r="AH278" s="1270" t="str">
        <f t="shared" si="163"/>
        <v/>
      </c>
      <c r="AI278" s="1386">
        <v>4</v>
      </c>
      <c r="AJ278" s="1387" t="str">
        <f t="shared" si="164"/>
        <v/>
      </c>
      <c r="AK278" s="1387" t="str">
        <f>IF(AI278=A278,IF(AND(L278="N",Table22[[#This Row],[LOQ_label]]="Y"),AJ278,$AJ278*$Y278),"")</f>
        <v/>
      </c>
      <c r="AL278" s="1388" t="str">
        <f t="shared" si="165"/>
        <v/>
      </c>
      <c r="AM278" s="1393" t="str">
        <f>IF(Table22[[#This Row],[Highest residue * CF*PF]]&lt;&gt;"",Table22[[#This Row],[Highest residue * CF*PF]],Table22[[#This Row],[MRL*CF*PF or MRL (if LOQ and not authorised) (acute RA)]])</f>
        <v/>
      </c>
      <c r="AN278" s="1390" t="str">
        <f t="shared" si="166"/>
        <v/>
      </c>
      <c r="AO278" s="1390" t="str">
        <f t="shared" si="167"/>
        <v/>
      </c>
      <c r="AP278" s="1404" t="str">
        <f t="shared" si="168"/>
        <v/>
      </c>
      <c r="AQ278" s="1388">
        <f t="shared" si="169"/>
        <v>0</v>
      </c>
      <c r="AR278" s="1388" t="str">
        <f t="shared" si="170"/>
        <v/>
      </c>
      <c r="AS278" s="1388" t="str">
        <f t="shared" si="171"/>
        <v/>
      </c>
      <c r="AT278" s="1388" t="str">
        <f t="shared" si="172"/>
        <v/>
      </c>
      <c r="AU278" s="1393" t="str">
        <f t="shared" si="173"/>
        <v/>
      </c>
      <c r="AV278" s="1388">
        <f t="shared" si="174"/>
        <v>0</v>
      </c>
      <c r="AW278" s="1390" t="str">
        <f t="shared" si="175"/>
        <v/>
      </c>
      <c r="AX278" s="1390" t="str">
        <f t="shared" ref="AX278:AX318" si="181">IF(AND(AN278&lt;&gt;"",AY278&lt;&gt;""),"*","")</f>
        <v/>
      </c>
      <c r="AY278" s="1394" t="str">
        <f t="shared" si="176"/>
        <v/>
      </c>
      <c r="AZ278" s="1395">
        <f>IF(Table22[[#This Row],[LOQ_label]]="Y",Table22[[#This Row],[MRL individual commodity]],"")</f>
        <v>0</v>
      </c>
      <c r="BA278" s="1396" t="s">
        <v>1159</v>
      </c>
      <c r="BB278" s="1411" t="str">
        <f>IF(Table22[[#This Row],[LOQ2]]&lt;0,MIN(AZ278:AZ654),"")</f>
        <v/>
      </c>
      <c r="BC278" s="1299"/>
      <c r="BD278" s="1306" t="str">
        <f>IF(Table22[[#This Row],[Chronic RA label]]="","N",IF(Table22[[#This Row],[Chronic RA label]]="LOQ","N",IF(Table22[[#This Row],[Chronic RA label]]="MRL","N","Y")))</f>
        <v>N</v>
      </c>
      <c r="BE278" s="1306" t="str">
        <f>IF(Table22[[#This Row],[Acute RA label]]="","N",IF(Table22[[#This Row],[Acute RA label]]="LOQ","N",IF(Table22[[#This Row],[Acute RA label]]="MRL","N","Y")))</f>
        <v>N</v>
      </c>
      <c r="BF278" s="1306" t="str">
        <f>IF(OR(Table22[[#This Row],[include commodity in Summary_input_values_chronic]]="Y",Table22[[#This Row],[include commodity in Summary_input_values_acute]]="Y"),"Y","N")</f>
        <v>N</v>
      </c>
      <c r="BG278" s="1299"/>
      <c r="BH278" s="1324"/>
    </row>
    <row r="279" spans="1:60" ht="12.75" customHeight="1" outlineLevel="3" x14ac:dyDescent="0.2">
      <c r="A279" s="39">
        <v>4</v>
      </c>
      <c r="B279" s="327">
        <v>810010</v>
      </c>
      <c r="C279" s="23" t="s">
        <v>776</v>
      </c>
      <c r="D279" s="867"/>
      <c r="E279" s="1219"/>
      <c r="F279" s="867"/>
      <c r="G279" s="869"/>
      <c r="H279" s="863"/>
      <c r="I279" s="868"/>
      <c r="J279" s="870"/>
      <c r="K279" s="865"/>
      <c r="L279" s="872"/>
      <c r="M279" s="872"/>
      <c r="N279" s="925" t="str">
        <f>IF(O279&lt;&gt;0,CONCATENATE(input_values!$AF279,input_values!$AG279,input_values!$AH279),"")</f>
        <v/>
      </c>
      <c r="O279" s="491">
        <f>IF($A$10="Refined calculation mode",Table22[[#This Row],[input for chronic (refined mode]],Table22[[#This Row],[input for chronic normal mode]])</f>
        <v>0</v>
      </c>
      <c r="P279" s="925" t="str">
        <f>IF(Q279&lt;&gt;0,CONCATENATE(input_values!$AN279,input_values!$AO279,input_values!$AP279),"")</f>
        <v/>
      </c>
      <c r="Q279" s="491">
        <f>IF($V$5=0,0,IF(OR($A$10="Refined calculation mode",Results!$B$62="Show results of IESTI calculation only for crops with GAPs under assessment"),Table22[[#This Row],[Input for IESTI (refined mode)]],Table22[[#This Row],[Input for IESTI normal mode]]))</f>
        <v>0</v>
      </c>
      <c r="R279" s="926" t="str">
        <f>IF(S279&lt;&gt;0,CONCATENATE(input_values!$AW279,input_values!$AX279,input_values!$AY279),"")</f>
        <v/>
      </c>
      <c r="S279" s="492">
        <f>IF($V$5=0,0,IF(OR($A$10="Refined calculation mode",Results!$B$62="Show results of IESTI calculation only for crops with GAPs under assessment"),Table22[[#This Row],[Input for IESTI new (refined mode)]],Table22[[#This Row],[Input for IESTI new normal mode]]))</f>
        <v>0</v>
      </c>
      <c r="T279" s="886"/>
      <c r="U279" s="1408">
        <f>Table22[[#This Row],[MRL/ proposed MRL /CXL
(mg/kg)]]</f>
        <v>0</v>
      </c>
      <c r="V279" s="1409" t="str">
        <f t="shared" ref="V279:V288" si="182">IF(ISBLANK(F279),"","Y")</f>
        <v/>
      </c>
      <c r="W279" s="1387">
        <f t="shared" ref="W279:W288" si="183">IF($G279&gt;0,$G279,1)</f>
        <v>1</v>
      </c>
      <c r="X279" s="1387">
        <f t="shared" ref="X279:X288" si="184">IF($H279&gt;0,$H279,1)</f>
        <v>1</v>
      </c>
      <c r="Y279" s="1387">
        <f t="shared" ref="Y279:Y288" si="185">W279*X279</f>
        <v>1</v>
      </c>
      <c r="Z279" s="1410">
        <v>4</v>
      </c>
      <c r="AA279" s="1387">
        <f t="shared" si="158"/>
        <v>0</v>
      </c>
      <c r="AB279" s="1387">
        <f>IF(Z279=A279,IF(AND(L279="N",Table22[[#This Row],[LOQ_label]]="Y"),AA279,$AA279*$Y279),"")</f>
        <v>0</v>
      </c>
      <c r="AC279" s="1393">
        <f t="shared" si="159"/>
        <v>0</v>
      </c>
      <c r="AD279" s="1393">
        <f>IF(Table22[[#This Row],[Median residue*CF*PeF]]&lt;&gt;"",Table22[[#This Row],[Median residue*CF*PeF]],Table22[[#This Row],[MRL*CF*PeF (chronic)]])</f>
        <v>0</v>
      </c>
      <c r="AE279" s="1393">
        <f t="shared" si="160"/>
        <v>0</v>
      </c>
      <c r="AF279" s="1390" t="str">
        <f t="shared" si="161"/>
        <v>MRL</v>
      </c>
      <c r="AG279" s="1390" t="str">
        <f t="shared" si="162"/>
        <v/>
      </c>
      <c r="AH279" s="1394" t="str">
        <f t="shared" si="163"/>
        <v/>
      </c>
      <c r="AI279" s="1386">
        <v>4</v>
      </c>
      <c r="AJ279" s="1387">
        <f t="shared" si="164"/>
        <v>0</v>
      </c>
      <c r="AK279" s="1387">
        <f>IF(AI279=A279,IF(AND(L279="N",Table22[[#This Row],[LOQ_label]]="Y"),AJ279,$AJ279*$Y279),"")</f>
        <v>0</v>
      </c>
      <c r="AL279" s="1388">
        <f t="shared" si="165"/>
        <v>0</v>
      </c>
      <c r="AM279" s="1393">
        <f>IF(Table22[[#This Row],[Highest residue * CF*PF]]&lt;&gt;"",Table22[[#This Row],[Highest residue * CF*PF]],Table22[[#This Row],[MRL*CF*PF or MRL (if LOQ and not authorised) (acute RA)]])</f>
        <v>0</v>
      </c>
      <c r="AN279" s="1390" t="str">
        <f t="shared" si="166"/>
        <v>MRL</v>
      </c>
      <c r="AO279" s="1390" t="str">
        <f t="shared" si="167"/>
        <v/>
      </c>
      <c r="AP279" s="1404" t="str">
        <f t="shared" si="168"/>
        <v/>
      </c>
      <c r="AQ279" s="1388">
        <f t="shared" si="169"/>
        <v>0</v>
      </c>
      <c r="AR279" s="1388" t="str">
        <f t="shared" si="170"/>
        <v/>
      </c>
      <c r="AS279" s="1388" t="str">
        <f t="shared" si="171"/>
        <v/>
      </c>
      <c r="AT279" s="1388" t="str">
        <f t="shared" si="172"/>
        <v/>
      </c>
      <c r="AU279" s="1393">
        <f t="shared" si="173"/>
        <v>0</v>
      </c>
      <c r="AV279" s="1388">
        <f t="shared" si="174"/>
        <v>0</v>
      </c>
      <c r="AW279" s="1390" t="str">
        <f t="shared" si="175"/>
        <v/>
      </c>
      <c r="AX279" s="1390" t="str">
        <f t="shared" si="181"/>
        <v/>
      </c>
      <c r="AY279" s="1394" t="str">
        <f t="shared" si="176"/>
        <v/>
      </c>
      <c r="AZ279" s="1395" t="str">
        <f>IF(Table22[[#This Row],[LOQ_label]]="Y",Table22[[#This Row],[MRL individual commodity]],"")</f>
        <v/>
      </c>
      <c r="BA279" s="1396" t="s">
        <v>1038</v>
      </c>
      <c r="BB279" s="1411" t="str">
        <f>IF(Table22[[#This Row],[LOQ2]]&lt;0,MIN(AZ279:AZ655),"")</f>
        <v/>
      </c>
      <c r="BC279" s="1299"/>
      <c r="BD279" s="1306" t="str">
        <f>IF(Table22[[#This Row],[Chronic RA label]]="","N",IF(Table22[[#This Row],[Chronic RA label]]="LOQ","N",IF(Table22[[#This Row],[Chronic RA label]]="MRL","N","Y")))</f>
        <v>N</v>
      </c>
      <c r="BE279" s="1306" t="str">
        <f>IF(Table22[[#This Row],[Acute RA label]]="","N",IF(Table22[[#This Row],[Acute RA label]]="LOQ","N",IF(Table22[[#This Row],[Acute RA label]]="MRL","N","Y")))</f>
        <v>N</v>
      </c>
      <c r="BF279" s="1306" t="str">
        <f>IF(OR(Table22[[#This Row],[include commodity in Summary_input_values_chronic]]="Y",Table22[[#This Row],[include commodity in Summary_input_values_acute]]="Y"),"Y","N")</f>
        <v>N</v>
      </c>
      <c r="BG279" s="1299"/>
      <c r="BH279" s="1324"/>
    </row>
    <row r="280" spans="1:60" ht="12.75" customHeight="1" outlineLevel="3" x14ac:dyDescent="0.2">
      <c r="A280" s="39">
        <v>4</v>
      </c>
      <c r="B280" s="327">
        <v>810020</v>
      </c>
      <c r="C280" s="23" t="s">
        <v>777</v>
      </c>
      <c r="D280" s="867"/>
      <c r="E280" s="1219"/>
      <c r="F280" s="867"/>
      <c r="G280" s="869"/>
      <c r="H280" s="863"/>
      <c r="I280" s="868"/>
      <c r="J280" s="870"/>
      <c r="K280" s="865"/>
      <c r="L280" s="872"/>
      <c r="M280" s="872"/>
      <c r="N280" s="925" t="str">
        <f>IF(O280&lt;&gt;0,CONCATENATE(input_values!$AF280,input_values!$AG280,input_values!$AH280),"")</f>
        <v/>
      </c>
      <c r="O280" s="491">
        <f>IF($A$10="Refined calculation mode",Table22[[#This Row],[input for chronic (refined mode]],Table22[[#This Row],[input for chronic normal mode]])</f>
        <v>0</v>
      </c>
      <c r="P280" s="925" t="str">
        <f>IF(Q280&lt;&gt;0,CONCATENATE(input_values!$AN280,input_values!$AO280,input_values!$AP280),"")</f>
        <v/>
      </c>
      <c r="Q280" s="491">
        <f>IF($V$5=0,0,IF(OR($A$10="Refined calculation mode",Results!$B$62="Show results of IESTI calculation only for crops with GAPs under assessment"),Table22[[#This Row],[Input for IESTI (refined mode)]],Table22[[#This Row],[Input for IESTI normal mode]]))</f>
        <v>0</v>
      </c>
      <c r="R280" s="926" t="str">
        <f>IF(S280&lt;&gt;0,CONCATENATE(input_values!$AW280,input_values!$AX280,input_values!$AY280),"")</f>
        <v/>
      </c>
      <c r="S280" s="492">
        <f>IF($V$5=0,0,IF(OR($A$10="Refined calculation mode",Results!$B$62="Show results of IESTI calculation only for crops with GAPs under assessment"),Table22[[#This Row],[Input for IESTI new (refined mode)]],Table22[[#This Row],[Input for IESTI new normal mode]]))</f>
        <v>0</v>
      </c>
      <c r="T280" s="886"/>
      <c r="U280" s="1408">
        <f>Table22[[#This Row],[MRL/ proposed MRL /CXL
(mg/kg)]]</f>
        <v>0</v>
      </c>
      <c r="V280" s="1409" t="str">
        <f t="shared" si="182"/>
        <v/>
      </c>
      <c r="W280" s="1387">
        <f t="shared" si="183"/>
        <v>1</v>
      </c>
      <c r="X280" s="1387">
        <f t="shared" si="184"/>
        <v>1</v>
      </c>
      <c r="Y280" s="1387">
        <f t="shared" si="185"/>
        <v>1</v>
      </c>
      <c r="Z280" s="1410">
        <v>4</v>
      </c>
      <c r="AA280" s="1387">
        <f t="shared" si="158"/>
        <v>0</v>
      </c>
      <c r="AB280" s="1387">
        <f>IF(Z280=A280,IF(AND(L280="N",Table22[[#This Row],[LOQ_label]]="Y"),AA280,$AA280*$Y280),"")</f>
        <v>0</v>
      </c>
      <c r="AC280" s="1393">
        <f t="shared" si="159"/>
        <v>0</v>
      </c>
      <c r="AD280" s="1393">
        <f>IF(Table22[[#This Row],[Median residue*CF*PeF]]&lt;&gt;"",Table22[[#This Row],[Median residue*CF*PeF]],Table22[[#This Row],[MRL*CF*PeF (chronic)]])</f>
        <v>0</v>
      </c>
      <c r="AE280" s="1393">
        <f t="shared" si="160"/>
        <v>0</v>
      </c>
      <c r="AF280" s="1390" t="str">
        <f t="shared" si="161"/>
        <v>MRL</v>
      </c>
      <c r="AG280" s="1390" t="str">
        <f t="shared" si="162"/>
        <v/>
      </c>
      <c r="AH280" s="1394" t="str">
        <f t="shared" si="163"/>
        <v/>
      </c>
      <c r="AI280" s="1386">
        <v>4</v>
      </c>
      <c r="AJ280" s="1387">
        <f t="shared" si="164"/>
        <v>0</v>
      </c>
      <c r="AK280" s="1387">
        <f>IF(AI280=A280,IF(AND(L280="N",Table22[[#This Row],[LOQ_label]]="Y"),AJ280,$AJ280*$Y280),"")</f>
        <v>0</v>
      </c>
      <c r="AL280" s="1388">
        <f t="shared" si="165"/>
        <v>0</v>
      </c>
      <c r="AM280" s="1393">
        <f>IF(Table22[[#This Row],[Highest residue * CF*PF]]&lt;&gt;"",Table22[[#This Row],[Highest residue * CF*PF]],Table22[[#This Row],[MRL*CF*PF or MRL (if LOQ and not authorised) (acute RA)]])</f>
        <v>0</v>
      </c>
      <c r="AN280" s="1390" t="str">
        <f t="shared" si="166"/>
        <v>MRL</v>
      </c>
      <c r="AO280" s="1390" t="str">
        <f t="shared" si="167"/>
        <v/>
      </c>
      <c r="AP280" s="1404" t="str">
        <f t="shared" si="168"/>
        <v/>
      </c>
      <c r="AQ280" s="1388">
        <f t="shared" si="169"/>
        <v>0</v>
      </c>
      <c r="AR280" s="1388" t="str">
        <f t="shared" si="170"/>
        <v/>
      </c>
      <c r="AS280" s="1388" t="str">
        <f t="shared" si="171"/>
        <v/>
      </c>
      <c r="AT280" s="1388" t="str">
        <f t="shared" si="172"/>
        <v/>
      </c>
      <c r="AU280" s="1393">
        <f t="shared" si="173"/>
        <v>0</v>
      </c>
      <c r="AV280" s="1388">
        <f t="shared" si="174"/>
        <v>0</v>
      </c>
      <c r="AW280" s="1390" t="str">
        <f t="shared" si="175"/>
        <v/>
      </c>
      <c r="AX280" s="1390" t="str">
        <f t="shared" si="181"/>
        <v/>
      </c>
      <c r="AY280" s="1394" t="str">
        <f t="shared" si="176"/>
        <v/>
      </c>
      <c r="AZ280" s="1395" t="str">
        <f>IF(Table22[[#This Row],[LOQ_label]]="Y",Table22[[#This Row],[MRL individual commodity]],"")</f>
        <v/>
      </c>
      <c r="BA280" s="1396" t="s">
        <v>1038</v>
      </c>
      <c r="BB280" s="1411" t="str">
        <f>IF(Table22[[#This Row],[LOQ2]]&lt;0,MIN(AZ280:AZ656),"")</f>
        <v/>
      </c>
      <c r="BC280" s="1299"/>
      <c r="BD280" s="1306" t="str">
        <f>IF(Table22[[#This Row],[Chronic RA label]]="","N",IF(Table22[[#This Row],[Chronic RA label]]="LOQ","N",IF(Table22[[#This Row],[Chronic RA label]]="MRL","N","Y")))</f>
        <v>N</v>
      </c>
      <c r="BE280" s="1306" t="str">
        <f>IF(Table22[[#This Row],[Acute RA label]]="","N",IF(Table22[[#This Row],[Acute RA label]]="LOQ","N",IF(Table22[[#This Row],[Acute RA label]]="MRL","N","Y")))</f>
        <v>N</v>
      </c>
      <c r="BF280" s="1306" t="str">
        <f>IF(OR(Table22[[#This Row],[include commodity in Summary_input_values_chronic]]="Y",Table22[[#This Row],[include commodity in Summary_input_values_acute]]="Y"),"Y","N")</f>
        <v>N</v>
      </c>
      <c r="BG280" s="1299"/>
      <c r="BH280" s="1324"/>
    </row>
    <row r="281" spans="1:60" ht="12.75" customHeight="1" outlineLevel="3" x14ac:dyDescent="0.2">
      <c r="A281" s="39">
        <v>4</v>
      </c>
      <c r="B281" s="327">
        <v>810030</v>
      </c>
      <c r="C281" s="23" t="s">
        <v>272</v>
      </c>
      <c r="D281" s="867"/>
      <c r="E281" s="1219"/>
      <c r="F281" s="867"/>
      <c r="G281" s="869"/>
      <c r="H281" s="863"/>
      <c r="I281" s="868"/>
      <c r="J281" s="870"/>
      <c r="K281" s="865"/>
      <c r="L281" s="872"/>
      <c r="M281" s="872"/>
      <c r="N281" s="925" t="str">
        <f>IF(O281&lt;&gt;0,CONCATENATE(input_values!$AF281,input_values!$AG281,input_values!$AH281),"")</f>
        <v/>
      </c>
      <c r="O281" s="491">
        <f>IF($A$10="Refined calculation mode",Table22[[#This Row],[input for chronic (refined mode]],Table22[[#This Row],[input for chronic normal mode]])</f>
        <v>0</v>
      </c>
      <c r="P281" s="925" t="str">
        <f>IF(Q281&lt;&gt;0,CONCATENATE(input_values!$AN281,input_values!$AO281,input_values!$AP281),"")</f>
        <v/>
      </c>
      <c r="Q281" s="491">
        <f>IF($V$5=0,0,IF(OR($A$10="Refined calculation mode",Results!$B$62="Show results of IESTI calculation only for crops with GAPs under assessment"),Table22[[#This Row],[Input for IESTI (refined mode)]],Table22[[#This Row],[Input for IESTI normal mode]]))</f>
        <v>0</v>
      </c>
      <c r="R281" s="926" t="str">
        <f>IF(S281&lt;&gt;0,CONCATENATE(input_values!$AW281,input_values!$AX281,input_values!$AY281),"")</f>
        <v/>
      </c>
      <c r="S281" s="492">
        <f>IF($V$5=0,0,IF(OR($A$10="Refined calculation mode",Results!$B$62="Show results of IESTI calculation only for crops with GAPs under assessment"),Table22[[#This Row],[Input for IESTI new (refined mode)]],Table22[[#This Row],[Input for IESTI new normal mode]]))</f>
        <v>0</v>
      </c>
      <c r="T281" s="886"/>
      <c r="U281" s="1408">
        <f>Table22[[#This Row],[MRL/ proposed MRL /CXL
(mg/kg)]]</f>
        <v>0</v>
      </c>
      <c r="V281" s="1409" t="str">
        <f t="shared" si="182"/>
        <v/>
      </c>
      <c r="W281" s="1387">
        <f t="shared" si="183"/>
        <v>1</v>
      </c>
      <c r="X281" s="1387">
        <f t="shared" si="184"/>
        <v>1</v>
      </c>
      <c r="Y281" s="1387">
        <f t="shared" si="185"/>
        <v>1</v>
      </c>
      <c r="Z281" s="1410">
        <v>4</v>
      </c>
      <c r="AA281" s="1387">
        <f t="shared" si="158"/>
        <v>0</v>
      </c>
      <c r="AB281" s="1387">
        <f>IF(Z281=A281,IF(AND(L281="N",Table22[[#This Row],[LOQ_label]]="Y"),AA281,$AA281*$Y281),"")</f>
        <v>0</v>
      </c>
      <c r="AC281" s="1393">
        <f t="shared" si="159"/>
        <v>0</v>
      </c>
      <c r="AD281" s="1393">
        <f>IF(Table22[[#This Row],[Median residue*CF*PeF]]&lt;&gt;"",Table22[[#This Row],[Median residue*CF*PeF]],Table22[[#This Row],[MRL*CF*PeF (chronic)]])</f>
        <v>0</v>
      </c>
      <c r="AE281" s="1393">
        <f t="shared" si="160"/>
        <v>0</v>
      </c>
      <c r="AF281" s="1390" t="str">
        <f t="shared" si="161"/>
        <v>MRL</v>
      </c>
      <c r="AG281" s="1390" t="str">
        <f t="shared" si="162"/>
        <v/>
      </c>
      <c r="AH281" s="1394" t="str">
        <f t="shared" si="163"/>
        <v/>
      </c>
      <c r="AI281" s="1386">
        <v>4</v>
      </c>
      <c r="AJ281" s="1387">
        <f t="shared" si="164"/>
        <v>0</v>
      </c>
      <c r="AK281" s="1387">
        <f>IF(AI281=A281,IF(AND(L281="N",Table22[[#This Row],[LOQ_label]]="Y"),AJ281,$AJ281*$Y281),"")</f>
        <v>0</v>
      </c>
      <c r="AL281" s="1388">
        <f t="shared" si="165"/>
        <v>0</v>
      </c>
      <c r="AM281" s="1393">
        <f>IF(Table22[[#This Row],[Highest residue * CF*PF]]&lt;&gt;"",Table22[[#This Row],[Highest residue * CF*PF]],Table22[[#This Row],[MRL*CF*PF or MRL (if LOQ and not authorised) (acute RA)]])</f>
        <v>0</v>
      </c>
      <c r="AN281" s="1390" t="str">
        <f t="shared" si="166"/>
        <v>MRL</v>
      </c>
      <c r="AO281" s="1390" t="str">
        <f t="shared" si="167"/>
        <v/>
      </c>
      <c r="AP281" s="1404" t="str">
        <f t="shared" si="168"/>
        <v/>
      </c>
      <c r="AQ281" s="1388">
        <f t="shared" si="169"/>
        <v>0</v>
      </c>
      <c r="AR281" s="1388" t="str">
        <f t="shared" si="170"/>
        <v/>
      </c>
      <c r="AS281" s="1388" t="str">
        <f t="shared" si="171"/>
        <v/>
      </c>
      <c r="AT281" s="1388" t="str">
        <f t="shared" si="172"/>
        <v/>
      </c>
      <c r="AU281" s="1393">
        <f t="shared" si="173"/>
        <v>0</v>
      </c>
      <c r="AV281" s="1388">
        <f t="shared" si="174"/>
        <v>0</v>
      </c>
      <c r="AW281" s="1390" t="str">
        <f t="shared" si="175"/>
        <v/>
      </c>
      <c r="AX281" s="1390" t="str">
        <f t="shared" si="181"/>
        <v/>
      </c>
      <c r="AY281" s="1394" t="str">
        <f t="shared" si="176"/>
        <v/>
      </c>
      <c r="AZ281" s="1395" t="str">
        <f>IF(Table22[[#This Row],[LOQ_label]]="Y",Table22[[#This Row],[MRL individual commodity]],"")</f>
        <v/>
      </c>
      <c r="BA281" s="1396" t="s">
        <v>1038</v>
      </c>
      <c r="BB281" s="1411" t="str">
        <f>IF(Table22[[#This Row],[LOQ2]]&lt;0,MIN(AZ281:AZ657),"")</f>
        <v/>
      </c>
      <c r="BC281" s="1299"/>
      <c r="BD281" s="1306" t="str">
        <f>IF(Table22[[#This Row],[Chronic RA label]]="","N",IF(Table22[[#This Row],[Chronic RA label]]="LOQ","N",IF(Table22[[#This Row],[Chronic RA label]]="MRL","N","Y")))</f>
        <v>N</v>
      </c>
      <c r="BE281" s="1306" t="str">
        <f>IF(Table22[[#This Row],[Acute RA label]]="","N",IF(Table22[[#This Row],[Acute RA label]]="LOQ","N",IF(Table22[[#This Row],[Acute RA label]]="MRL","N","Y")))</f>
        <v>N</v>
      </c>
      <c r="BF281" s="1306" t="str">
        <f>IF(OR(Table22[[#This Row],[include commodity in Summary_input_values_chronic]]="Y",Table22[[#This Row],[include commodity in Summary_input_values_acute]]="Y"),"Y","N")</f>
        <v>N</v>
      </c>
      <c r="BG281" s="1299"/>
      <c r="BH281" s="1324"/>
    </row>
    <row r="282" spans="1:60" ht="12.75" customHeight="1" outlineLevel="3" x14ac:dyDescent="0.2">
      <c r="A282" s="39">
        <v>4</v>
      </c>
      <c r="B282" s="327">
        <v>810040</v>
      </c>
      <c r="C282" s="23" t="s">
        <v>273</v>
      </c>
      <c r="D282" s="867"/>
      <c r="E282" s="1219"/>
      <c r="F282" s="867"/>
      <c r="G282" s="869"/>
      <c r="H282" s="863"/>
      <c r="I282" s="868"/>
      <c r="J282" s="870"/>
      <c r="K282" s="865"/>
      <c r="L282" s="872"/>
      <c r="M282" s="872"/>
      <c r="N282" s="925" t="str">
        <f>IF(O282&lt;&gt;0,CONCATENATE(input_values!$AF282,input_values!$AG282,input_values!$AH282),"")</f>
        <v/>
      </c>
      <c r="O282" s="491">
        <f>IF($A$10="Refined calculation mode",Table22[[#This Row],[input for chronic (refined mode]],Table22[[#This Row],[input for chronic normal mode]])</f>
        <v>0</v>
      </c>
      <c r="P282" s="925" t="str">
        <f>IF(Q282&lt;&gt;0,CONCATENATE(input_values!$AN282,input_values!$AO282,input_values!$AP282),"")</f>
        <v/>
      </c>
      <c r="Q282" s="491">
        <f>IF($V$5=0,0,IF(OR($A$10="Refined calculation mode",Results!$B$62="Show results of IESTI calculation only for crops with GAPs under assessment"),Table22[[#This Row],[Input for IESTI (refined mode)]],Table22[[#This Row],[Input for IESTI normal mode]]))</f>
        <v>0</v>
      </c>
      <c r="R282" s="926" t="str">
        <f>IF(S282&lt;&gt;0,CONCATENATE(input_values!$AW282,input_values!$AX282,input_values!$AY282),"")</f>
        <v/>
      </c>
      <c r="S282" s="492">
        <f>IF($V$5=0,0,IF(OR($A$10="Refined calculation mode",Results!$B$62="Show results of IESTI calculation only for crops with GAPs under assessment"),Table22[[#This Row],[Input for IESTI new (refined mode)]],Table22[[#This Row],[Input for IESTI new normal mode]]))</f>
        <v>0</v>
      </c>
      <c r="T282" s="886"/>
      <c r="U282" s="1408">
        <f>Table22[[#This Row],[MRL/ proposed MRL /CXL
(mg/kg)]]</f>
        <v>0</v>
      </c>
      <c r="V282" s="1409" t="str">
        <f t="shared" si="182"/>
        <v/>
      </c>
      <c r="W282" s="1387">
        <f t="shared" si="183"/>
        <v>1</v>
      </c>
      <c r="X282" s="1387">
        <f t="shared" si="184"/>
        <v>1</v>
      </c>
      <c r="Y282" s="1387">
        <f t="shared" si="185"/>
        <v>1</v>
      </c>
      <c r="Z282" s="1410">
        <v>4</v>
      </c>
      <c r="AA282" s="1387">
        <f t="shared" si="158"/>
        <v>0</v>
      </c>
      <c r="AB282" s="1387">
        <f>IF(Z282=A282,IF(AND(L282="N",Table22[[#This Row],[LOQ_label]]="Y"),AA282,$AA282*$Y282),"")</f>
        <v>0</v>
      </c>
      <c r="AC282" s="1393">
        <f t="shared" si="159"/>
        <v>0</v>
      </c>
      <c r="AD282" s="1393">
        <f>IF(Table22[[#This Row],[Median residue*CF*PeF]]&lt;&gt;"",Table22[[#This Row],[Median residue*CF*PeF]],Table22[[#This Row],[MRL*CF*PeF (chronic)]])</f>
        <v>0</v>
      </c>
      <c r="AE282" s="1393">
        <f t="shared" si="160"/>
        <v>0</v>
      </c>
      <c r="AF282" s="1390" t="str">
        <f t="shared" si="161"/>
        <v>MRL</v>
      </c>
      <c r="AG282" s="1390" t="str">
        <f t="shared" si="162"/>
        <v/>
      </c>
      <c r="AH282" s="1394" t="str">
        <f t="shared" si="163"/>
        <v/>
      </c>
      <c r="AI282" s="1386">
        <v>4</v>
      </c>
      <c r="AJ282" s="1387">
        <f t="shared" si="164"/>
        <v>0</v>
      </c>
      <c r="AK282" s="1387">
        <f>IF(AI282=A282,IF(AND(L282="N",Table22[[#This Row],[LOQ_label]]="Y"),AJ282,$AJ282*$Y282),"")</f>
        <v>0</v>
      </c>
      <c r="AL282" s="1388">
        <f t="shared" si="165"/>
        <v>0</v>
      </c>
      <c r="AM282" s="1393">
        <f>IF(Table22[[#This Row],[Highest residue * CF*PF]]&lt;&gt;"",Table22[[#This Row],[Highest residue * CF*PF]],Table22[[#This Row],[MRL*CF*PF or MRL (if LOQ and not authorised) (acute RA)]])</f>
        <v>0</v>
      </c>
      <c r="AN282" s="1390" t="str">
        <f t="shared" si="166"/>
        <v>MRL</v>
      </c>
      <c r="AO282" s="1390" t="str">
        <f t="shared" si="167"/>
        <v/>
      </c>
      <c r="AP282" s="1404" t="str">
        <f t="shared" si="168"/>
        <v/>
      </c>
      <c r="AQ282" s="1388">
        <f t="shared" si="169"/>
        <v>0</v>
      </c>
      <c r="AR282" s="1388" t="str">
        <f t="shared" si="170"/>
        <v/>
      </c>
      <c r="AS282" s="1388" t="str">
        <f t="shared" si="171"/>
        <v/>
      </c>
      <c r="AT282" s="1388" t="str">
        <f t="shared" si="172"/>
        <v/>
      </c>
      <c r="AU282" s="1393">
        <f t="shared" si="173"/>
        <v>0</v>
      </c>
      <c r="AV282" s="1388">
        <f t="shared" si="174"/>
        <v>0</v>
      </c>
      <c r="AW282" s="1390" t="str">
        <f t="shared" si="175"/>
        <v/>
      </c>
      <c r="AX282" s="1390" t="str">
        <f t="shared" si="181"/>
        <v/>
      </c>
      <c r="AY282" s="1394" t="str">
        <f t="shared" si="176"/>
        <v/>
      </c>
      <c r="AZ282" s="1395" t="str">
        <f>IF(Table22[[#This Row],[LOQ_label]]="Y",Table22[[#This Row],[MRL individual commodity]],"")</f>
        <v/>
      </c>
      <c r="BA282" s="1396" t="s">
        <v>1038</v>
      </c>
      <c r="BB282" s="1411" t="str">
        <f>IF(Table22[[#This Row],[LOQ2]]&lt;0,MIN(AZ282:AZ658),"")</f>
        <v/>
      </c>
      <c r="BC282" s="1299"/>
      <c r="BD282" s="1306" t="str">
        <f>IF(Table22[[#This Row],[Chronic RA label]]="","N",IF(Table22[[#This Row],[Chronic RA label]]="LOQ","N",IF(Table22[[#This Row],[Chronic RA label]]="MRL","N","Y")))</f>
        <v>N</v>
      </c>
      <c r="BE282" s="1306" t="str">
        <f>IF(Table22[[#This Row],[Acute RA label]]="","N",IF(Table22[[#This Row],[Acute RA label]]="LOQ","N",IF(Table22[[#This Row],[Acute RA label]]="MRL","N","Y")))</f>
        <v>N</v>
      </c>
      <c r="BF282" s="1306" t="str">
        <f>IF(OR(Table22[[#This Row],[include commodity in Summary_input_values_chronic]]="Y",Table22[[#This Row],[include commodity in Summary_input_values_acute]]="Y"),"Y","N")</f>
        <v>N</v>
      </c>
      <c r="BG282" s="1299"/>
      <c r="BH282" s="1324"/>
    </row>
    <row r="283" spans="1:60" ht="12.75" customHeight="1" outlineLevel="3" x14ac:dyDescent="0.2">
      <c r="A283" s="39">
        <v>4</v>
      </c>
      <c r="B283" s="327">
        <v>810050</v>
      </c>
      <c r="C283" s="23" t="s">
        <v>274</v>
      </c>
      <c r="D283" s="867"/>
      <c r="E283" s="1219"/>
      <c r="F283" s="867"/>
      <c r="G283" s="869"/>
      <c r="H283" s="863"/>
      <c r="I283" s="868"/>
      <c r="J283" s="870"/>
      <c r="K283" s="865"/>
      <c r="L283" s="872"/>
      <c r="M283" s="872"/>
      <c r="N283" s="925" t="str">
        <f>IF(O283&lt;&gt;0,CONCATENATE(input_values!$AF283,input_values!$AG283,input_values!$AH283),"")</f>
        <v/>
      </c>
      <c r="O283" s="491">
        <f>IF($A$10="Refined calculation mode",Table22[[#This Row],[input for chronic (refined mode]],Table22[[#This Row],[input for chronic normal mode]])</f>
        <v>0</v>
      </c>
      <c r="P283" s="925" t="str">
        <f>IF(Q283&lt;&gt;0,CONCATENATE(input_values!$AN283,input_values!$AO283,input_values!$AP283),"")</f>
        <v/>
      </c>
      <c r="Q283" s="491">
        <f>IF($V$5=0,0,IF(OR($A$10="Refined calculation mode",Results!$B$62="Show results of IESTI calculation only for crops with GAPs under assessment"),Table22[[#This Row],[Input for IESTI (refined mode)]],Table22[[#This Row],[Input for IESTI normal mode]]))</f>
        <v>0</v>
      </c>
      <c r="R283" s="926" t="str">
        <f>IF(S283&lt;&gt;0,CONCATENATE(input_values!$AW283,input_values!$AX283,input_values!$AY283),"")</f>
        <v/>
      </c>
      <c r="S283" s="492">
        <f>IF($V$5=0,0,IF(OR($A$10="Refined calculation mode",Results!$B$62="Show results of IESTI calculation only for crops with GAPs under assessment"),Table22[[#This Row],[Input for IESTI new (refined mode)]],Table22[[#This Row],[Input for IESTI new normal mode]]))</f>
        <v>0</v>
      </c>
      <c r="T283" s="886"/>
      <c r="U283" s="1408">
        <f>Table22[[#This Row],[MRL/ proposed MRL /CXL
(mg/kg)]]</f>
        <v>0</v>
      </c>
      <c r="V283" s="1409" t="str">
        <f t="shared" si="182"/>
        <v/>
      </c>
      <c r="W283" s="1387">
        <f t="shared" si="183"/>
        <v>1</v>
      </c>
      <c r="X283" s="1387">
        <f t="shared" si="184"/>
        <v>1</v>
      </c>
      <c r="Y283" s="1387">
        <f t="shared" si="185"/>
        <v>1</v>
      </c>
      <c r="Z283" s="1410">
        <v>4</v>
      </c>
      <c r="AA283" s="1387">
        <f t="shared" si="158"/>
        <v>0</v>
      </c>
      <c r="AB283" s="1387">
        <f>IF(Z283=A283,IF(AND(L283="N",Table22[[#This Row],[LOQ_label]]="Y"),AA283,$AA283*$Y283),"")</f>
        <v>0</v>
      </c>
      <c r="AC283" s="1393">
        <f t="shared" si="159"/>
        <v>0</v>
      </c>
      <c r="AD283" s="1393">
        <f>IF(Table22[[#This Row],[Median residue*CF*PeF]]&lt;&gt;"",Table22[[#This Row],[Median residue*CF*PeF]],Table22[[#This Row],[MRL*CF*PeF (chronic)]])</f>
        <v>0</v>
      </c>
      <c r="AE283" s="1393">
        <f t="shared" si="160"/>
        <v>0</v>
      </c>
      <c r="AF283" s="1390" t="str">
        <f t="shared" si="161"/>
        <v>MRL</v>
      </c>
      <c r="AG283" s="1390" t="str">
        <f t="shared" si="162"/>
        <v/>
      </c>
      <c r="AH283" s="1394" t="str">
        <f t="shared" si="163"/>
        <v/>
      </c>
      <c r="AI283" s="1386">
        <v>4</v>
      </c>
      <c r="AJ283" s="1387">
        <f t="shared" si="164"/>
        <v>0</v>
      </c>
      <c r="AK283" s="1387">
        <f>IF(AI283=A283,IF(AND(L283="N",Table22[[#This Row],[LOQ_label]]="Y"),AJ283,$AJ283*$Y283),"")</f>
        <v>0</v>
      </c>
      <c r="AL283" s="1388">
        <f t="shared" si="165"/>
        <v>0</v>
      </c>
      <c r="AM283" s="1393">
        <f>IF(Table22[[#This Row],[Highest residue * CF*PF]]&lt;&gt;"",Table22[[#This Row],[Highest residue * CF*PF]],Table22[[#This Row],[MRL*CF*PF or MRL (if LOQ and not authorised) (acute RA)]])</f>
        <v>0</v>
      </c>
      <c r="AN283" s="1390" t="str">
        <f t="shared" si="166"/>
        <v>MRL</v>
      </c>
      <c r="AO283" s="1390" t="str">
        <f t="shared" si="167"/>
        <v/>
      </c>
      <c r="AP283" s="1404" t="str">
        <f t="shared" si="168"/>
        <v/>
      </c>
      <c r="AQ283" s="1388">
        <f t="shared" si="169"/>
        <v>0</v>
      </c>
      <c r="AR283" s="1388" t="str">
        <f t="shared" si="170"/>
        <v/>
      </c>
      <c r="AS283" s="1388" t="str">
        <f t="shared" si="171"/>
        <v/>
      </c>
      <c r="AT283" s="1388" t="str">
        <f t="shared" si="172"/>
        <v/>
      </c>
      <c r="AU283" s="1393">
        <f t="shared" si="173"/>
        <v>0</v>
      </c>
      <c r="AV283" s="1388">
        <f t="shared" si="174"/>
        <v>0</v>
      </c>
      <c r="AW283" s="1390" t="str">
        <f t="shared" si="175"/>
        <v/>
      </c>
      <c r="AX283" s="1390" t="str">
        <f t="shared" si="181"/>
        <v/>
      </c>
      <c r="AY283" s="1394" t="str">
        <f t="shared" si="176"/>
        <v/>
      </c>
      <c r="AZ283" s="1395" t="str">
        <f>IF(Table22[[#This Row],[LOQ_label]]="Y",Table22[[#This Row],[MRL individual commodity]],"")</f>
        <v/>
      </c>
      <c r="BA283" s="1396" t="s">
        <v>1038</v>
      </c>
      <c r="BB283" s="1411" t="str">
        <f>IF(Table22[[#This Row],[LOQ2]]&lt;0,MIN(AZ283:AZ659),"")</f>
        <v/>
      </c>
      <c r="BC283" s="1299"/>
      <c r="BD283" s="1306" t="str">
        <f>IF(Table22[[#This Row],[Chronic RA label]]="","N",IF(Table22[[#This Row],[Chronic RA label]]="LOQ","N",IF(Table22[[#This Row],[Chronic RA label]]="MRL","N","Y")))</f>
        <v>N</v>
      </c>
      <c r="BE283" s="1306" t="str">
        <f>IF(Table22[[#This Row],[Acute RA label]]="","N",IF(Table22[[#This Row],[Acute RA label]]="LOQ","N",IF(Table22[[#This Row],[Acute RA label]]="MRL","N","Y")))</f>
        <v>N</v>
      </c>
      <c r="BF283" s="1306" t="str">
        <f>IF(OR(Table22[[#This Row],[include commodity in Summary_input_values_chronic]]="Y",Table22[[#This Row],[include commodity in Summary_input_values_acute]]="Y"),"Y","N")</f>
        <v>N</v>
      </c>
      <c r="BG283" s="1299"/>
      <c r="BH283" s="1324"/>
    </row>
    <row r="284" spans="1:60" ht="12.75" customHeight="1" outlineLevel="3" x14ac:dyDescent="0.2">
      <c r="A284" s="39">
        <v>4</v>
      </c>
      <c r="B284" s="327">
        <v>810060</v>
      </c>
      <c r="C284" s="23" t="s">
        <v>275</v>
      </c>
      <c r="D284" s="867"/>
      <c r="E284" s="1219"/>
      <c r="F284" s="867"/>
      <c r="G284" s="869"/>
      <c r="H284" s="863"/>
      <c r="I284" s="868"/>
      <c r="J284" s="870"/>
      <c r="K284" s="865"/>
      <c r="L284" s="872"/>
      <c r="M284" s="872"/>
      <c r="N284" s="925" t="str">
        <f>IF(O284&lt;&gt;0,CONCATENATE(input_values!$AF284,input_values!$AG284,input_values!$AH284),"")</f>
        <v/>
      </c>
      <c r="O284" s="491">
        <f>IF($A$10="Refined calculation mode",Table22[[#This Row],[input for chronic (refined mode]],Table22[[#This Row],[input for chronic normal mode]])</f>
        <v>0</v>
      </c>
      <c r="P284" s="925" t="str">
        <f>IF(Q284&lt;&gt;0,CONCATENATE(input_values!$AN284,input_values!$AO284,input_values!$AP284),"")</f>
        <v/>
      </c>
      <c r="Q284" s="491">
        <f>IF($V$5=0,0,IF(OR($A$10="Refined calculation mode",Results!$B$62="Show results of IESTI calculation only for crops with GAPs under assessment"),Table22[[#This Row],[Input for IESTI (refined mode)]],Table22[[#This Row],[Input for IESTI normal mode]]))</f>
        <v>0</v>
      </c>
      <c r="R284" s="926" t="str">
        <f>IF(S284&lt;&gt;0,CONCATENATE(input_values!$AW284,input_values!$AX284,input_values!$AY284),"")</f>
        <v/>
      </c>
      <c r="S284" s="492">
        <f>IF($V$5=0,0,IF(OR($A$10="Refined calculation mode",Results!$B$62="Show results of IESTI calculation only for crops with GAPs under assessment"),Table22[[#This Row],[Input for IESTI new (refined mode)]],Table22[[#This Row],[Input for IESTI new normal mode]]))</f>
        <v>0</v>
      </c>
      <c r="T284" s="886"/>
      <c r="U284" s="1408">
        <f>Table22[[#This Row],[MRL/ proposed MRL /CXL
(mg/kg)]]</f>
        <v>0</v>
      </c>
      <c r="V284" s="1409" t="str">
        <f t="shared" si="182"/>
        <v/>
      </c>
      <c r="W284" s="1387">
        <f t="shared" si="183"/>
        <v>1</v>
      </c>
      <c r="X284" s="1387">
        <f t="shared" si="184"/>
        <v>1</v>
      </c>
      <c r="Y284" s="1387">
        <f t="shared" si="185"/>
        <v>1</v>
      </c>
      <c r="Z284" s="1410">
        <v>4</v>
      </c>
      <c r="AA284" s="1387">
        <f t="shared" si="158"/>
        <v>0</v>
      </c>
      <c r="AB284" s="1387">
        <f>IF(Z284=A284,IF(AND(L284="N",Table22[[#This Row],[LOQ_label]]="Y"),AA284,$AA284*$Y284),"")</f>
        <v>0</v>
      </c>
      <c r="AC284" s="1393">
        <f t="shared" si="159"/>
        <v>0</v>
      </c>
      <c r="AD284" s="1393">
        <f>IF(Table22[[#This Row],[Median residue*CF*PeF]]&lt;&gt;"",Table22[[#This Row],[Median residue*CF*PeF]],Table22[[#This Row],[MRL*CF*PeF (chronic)]])</f>
        <v>0</v>
      </c>
      <c r="AE284" s="1393">
        <f t="shared" si="160"/>
        <v>0</v>
      </c>
      <c r="AF284" s="1390" t="str">
        <f t="shared" si="161"/>
        <v>MRL</v>
      </c>
      <c r="AG284" s="1390" t="str">
        <f t="shared" si="162"/>
        <v/>
      </c>
      <c r="AH284" s="1394" t="str">
        <f t="shared" si="163"/>
        <v/>
      </c>
      <c r="AI284" s="1386">
        <v>4</v>
      </c>
      <c r="AJ284" s="1387">
        <f t="shared" si="164"/>
        <v>0</v>
      </c>
      <c r="AK284" s="1387">
        <f>IF(AI284=A284,IF(AND(L284="N",Table22[[#This Row],[LOQ_label]]="Y"),AJ284,$AJ284*$Y284),"")</f>
        <v>0</v>
      </c>
      <c r="AL284" s="1388">
        <f t="shared" si="165"/>
        <v>0</v>
      </c>
      <c r="AM284" s="1393">
        <f>IF(Table22[[#This Row],[Highest residue * CF*PF]]&lt;&gt;"",Table22[[#This Row],[Highest residue * CF*PF]],Table22[[#This Row],[MRL*CF*PF or MRL (if LOQ and not authorised) (acute RA)]])</f>
        <v>0</v>
      </c>
      <c r="AN284" s="1390" t="str">
        <f t="shared" si="166"/>
        <v>MRL</v>
      </c>
      <c r="AO284" s="1390" t="str">
        <f t="shared" si="167"/>
        <v/>
      </c>
      <c r="AP284" s="1404" t="str">
        <f t="shared" si="168"/>
        <v/>
      </c>
      <c r="AQ284" s="1388">
        <f t="shared" si="169"/>
        <v>0</v>
      </c>
      <c r="AR284" s="1388" t="str">
        <f t="shared" si="170"/>
        <v/>
      </c>
      <c r="AS284" s="1388" t="str">
        <f t="shared" si="171"/>
        <v/>
      </c>
      <c r="AT284" s="1388" t="str">
        <f t="shared" si="172"/>
        <v/>
      </c>
      <c r="AU284" s="1393">
        <f t="shared" si="173"/>
        <v>0</v>
      </c>
      <c r="AV284" s="1388">
        <f t="shared" si="174"/>
        <v>0</v>
      </c>
      <c r="AW284" s="1390" t="str">
        <f t="shared" si="175"/>
        <v/>
      </c>
      <c r="AX284" s="1390" t="str">
        <f t="shared" si="181"/>
        <v/>
      </c>
      <c r="AY284" s="1394" t="str">
        <f t="shared" si="176"/>
        <v/>
      </c>
      <c r="AZ284" s="1395" t="str">
        <f>IF(Table22[[#This Row],[LOQ_label]]="Y",Table22[[#This Row],[MRL individual commodity]],"")</f>
        <v/>
      </c>
      <c r="BA284" s="1396" t="s">
        <v>1038</v>
      </c>
      <c r="BB284" s="1411" t="str">
        <f>IF(Table22[[#This Row],[LOQ2]]&lt;0,MIN(AZ284:AZ660),"")</f>
        <v/>
      </c>
      <c r="BC284" s="1299"/>
      <c r="BD284" s="1306" t="str">
        <f>IF(Table22[[#This Row],[Chronic RA label]]="","N",IF(Table22[[#This Row],[Chronic RA label]]="LOQ","N",IF(Table22[[#This Row],[Chronic RA label]]="MRL","N","Y")))</f>
        <v>N</v>
      </c>
      <c r="BE284" s="1306" t="str">
        <f>IF(Table22[[#This Row],[Acute RA label]]="","N",IF(Table22[[#This Row],[Acute RA label]]="LOQ","N",IF(Table22[[#This Row],[Acute RA label]]="MRL","N","Y")))</f>
        <v>N</v>
      </c>
      <c r="BF284" s="1306" t="str">
        <f>IF(OR(Table22[[#This Row],[include commodity in Summary_input_values_chronic]]="Y",Table22[[#This Row],[include commodity in Summary_input_values_acute]]="Y"),"Y","N")</f>
        <v>N</v>
      </c>
      <c r="BG284" s="1299"/>
      <c r="BH284" s="1324"/>
    </row>
    <row r="285" spans="1:60" ht="12.75" customHeight="1" outlineLevel="3" x14ac:dyDescent="0.2">
      <c r="A285" s="39">
        <v>4</v>
      </c>
      <c r="B285" s="327">
        <v>810070</v>
      </c>
      <c r="C285" s="23" t="s">
        <v>276</v>
      </c>
      <c r="D285" s="867"/>
      <c r="E285" s="1219"/>
      <c r="F285" s="867"/>
      <c r="G285" s="869"/>
      <c r="H285" s="863"/>
      <c r="I285" s="868"/>
      <c r="J285" s="870"/>
      <c r="K285" s="865"/>
      <c r="L285" s="872"/>
      <c r="M285" s="872"/>
      <c r="N285" s="925" t="str">
        <f>IF(O285&lt;&gt;0,CONCATENATE(input_values!$AF285,input_values!$AG285,input_values!$AH285),"")</f>
        <v/>
      </c>
      <c r="O285" s="491">
        <f>IF($A$10="Refined calculation mode",Table22[[#This Row],[input for chronic (refined mode]],Table22[[#This Row],[input for chronic normal mode]])</f>
        <v>0</v>
      </c>
      <c r="P285" s="925" t="str">
        <f>IF(Q285&lt;&gt;0,CONCATENATE(input_values!$AN285,input_values!$AO285,input_values!$AP285),"")</f>
        <v/>
      </c>
      <c r="Q285" s="491">
        <f>IF($V$5=0,0,IF(OR($A$10="Refined calculation mode",Results!$B$62="Show results of IESTI calculation only for crops with GAPs under assessment"),Table22[[#This Row],[Input for IESTI (refined mode)]],Table22[[#This Row],[Input for IESTI normal mode]]))</f>
        <v>0</v>
      </c>
      <c r="R285" s="926" t="str">
        <f>IF(S285&lt;&gt;0,CONCATENATE(input_values!$AW285,input_values!$AX285,input_values!$AY285),"")</f>
        <v/>
      </c>
      <c r="S285" s="492">
        <f>IF($V$5=0,0,IF(OR($A$10="Refined calculation mode",Results!$B$62="Show results of IESTI calculation only for crops with GAPs under assessment"),Table22[[#This Row],[Input for IESTI new (refined mode)]],Table22[[#This Row],[Input for IESTI new normal mode]]))</f>
        <v>0</v>
      </c>
      <c r="T285" s="886"/>
      <c r="U285" s="1408">
        <f>Table22[[#This Row],[MRL/ proposed MRL /CXL
(mg/kg)]]</f>
        <v>0</v>
      </c>
      <c r="V285" s="1409" t="str">
        <f t="shared" si="182"/>
        <v/>
      </c>
      <c r="W285" s="1387">
        <f t="shared" si="183"/>
        <v>1</v>
      </c>
      <c r="X285" s="1387">
        <f t="shared" si="184"/>
        <v>1</v>
      </c>
      <c r="Y285" s="1387">
        <f t="shared" si="185"/>
        <v>1</v>
      </c>
      <c r="Z285" s="1410">
        <v>4</v>
      </c>
      <c r="AA285" s="1387">
        <f t="shared" si="158"/>
        <v>0</v>
      </c>
      <c r="AB285" s="1387">
        <f>IF(Z285=A285,IF(AND(L285="N",Table22[[#This Row],[LOQ_label]]="Y"),AA285,$AA285*$Y285),"")</f>
        <v>0</v>
      </c>
      <c r="AC285" s="1393">
        <f t="shared" si="159"/>
        <v>0</v>
      </c>
      <c r="AD285" s="1393">
        <f>IF(Table22[[#This Row],[Median residue*CF*PeF]]&lt;&gt;"",Table22[[#This Row],[Median residue*CF*PeF]],Table22[[#This Row],[MRL*CF*PeF (chronic)]])</f>
        <v>0</v>
      </c>
      <c r="AE285" s="1393">
        <f t="shared" si="160"/>
        <v>0</v>
      </c>
      <c r="AF285" s="1390" t="str">
        <f t="shared" si="161"/>
        <v>MRL</v>
      </c>
      <c r="AG285" s="1390" t="str">
        <f t="shared" si="162"/>
        <v/>
      </c>
      <c r="AH285" s="1394" t="str">
        <f t="shared" si="163"/>
        <v/>
      </c>
      <c r="AI285" s="1386">
        <v>4</v>
      </c>
      <c r="AJ285" s="1387">
        <f t="shared" si="164"/>
        <v>0</v>
      </c>
      <c r="AK285" s="1387">
        <f>IF(AI285=A285,IF(AND(L285="N",Table22[[#This Row],[LOQ_label]]="Y"),AJ285,$AJ285*$Y285),"")</f>
        <v>0</v>
      </c>
      <c r="AL285" s="1388">
        <f t="shared" si="165"/>
        <v>0</v>
      </c>
      <c r="AM285" s="1393">
        <f>IF(Table22[[#This Row],[Highest residue * CF*PF]]&lt;&gt;"",Table22[[#This Row],[Highest residue * CF*PF]],Table22[[#This Row],[MRL*CF*PF or MRL (if LOQ and not authorised) (acute RA)]])</f>
        <v>0</v>
      </c>
      <c r="AN285" s="1390" t="str">
        <f t="shared" si="166"/>
        <v>MRL</v>
      </c>
      <c r="AO285" s="1390" t="str">
        <f t="shared" si="167"/>
        <v/>
      </c>
      <c r="AP285" s="1404" t="str">
        <f t="shared" si="168"/>
        <v/>
      </c>
      <c r="AQ285" s="1388">
        <f t="shared" si="169"/>
        <v>0</v>
      </c>
      <c r="AR285" s="1388" t="str">
        <f t="shared" si="170"/>
        <v/>
      </c>
      <c r="AS285" s="1388" t="str">
        <f t="shared" si="171"/>
        <v/>
      </c>
      <c r="AT285" s="1388" t="str">
        <f t="shared" si="172"/>
        <v/>
      </c>
      <c r="AU285" s="1393">
        <f t="shared" si="173"/>
        <v>0</v>
      </c>
      <c r="AV285" s="1388">
        <f t="shared" si="174"/>
        <v>0</v>
      </c>
      <c r="AW285" s="1390" t="str">
        <f t="shared" si="175"/>
        <v/>
      </c>
      <c r="AX285" s="1390" t="str">
        <f t="shared" si="181"/>
        <v/>
      </c>
      <c r="AY285" s="1394" t="str">
        <f t="shared" si="176"/>
        <v/>
      </c>
      <c r="AZ285" s="1395" t="str">
        <f>IF(Table22[[#This Row],[LOQ_label]]="Y",Table22[[#This Row],[MRL individual commodity]],"")</f>
        <v/>
      </c>
      <c r="BA285" s="1396" t="s">
        <v>1038</v>
      </c>
      <c r="BB285" s="1411" t="str">
        <f>IF(Table22[[#This Row],[LOQ2]]&lt;0,MIN(AZ285:AZ661),"")</f>
        <v/>
      </c>
      <c r="BC285" s="1299"/>
      <c r="BD285" s="1306" t="str">
        <f>IF(Table22[[#This Row],[Chronic RA label]]="","N",IF(Table22[[#This Row],[Chronic RA label]]="LOQ","N",IF(Table22[[#This Row],[Chronic RA label]]="MRL","N","Y")))</f>
        <v>N</v>
      </c>
      <c r="BE285" s="1306" t="str">
        <f>IF(Table22[[#This Row],[Acute RA label]]="","N",IF(Table22[[#This Row],[Acute RA label]]="LOQ","N",IF(Table22[[#This Row],[Acute RA label]]="MRL","N","Y")))</f>
        <v>N</v>
      </c>
      <c r="BF285" s="1306" t="str">
        <f>IF(OR(Table22[[#This Row],[include commodity in Summary_input_values_chronic]]="Y",Table22[[#This Row],[include commodity in Summary_input_values_acute]]="Y"),"Y","N")</f>
        <v>N</v>
      </c>
      <c r="BG285" s="1299"/>
      <c r="BH285" s="1324"/>
    </row>
    <row r="286" spans="1:60" ht="12.75" customHeight="1" outlineLevel="3" x14ac:dyDescent="0.2">
      <c r="A286" s="39">
        <v>4</v>
      </c>
      <c r="B286" s="327">
        <v>810080</v>
      </c>
      <c r="C286" s="23" t="s">
        <v>277</v>
      </c>
      <c r="D286" s="867"/>
      <c r="E286" s="1219"/>
      <c r="F286" s="867"/>
      <c r="G286" s="869"/>
      <c r="H286" s="863"/>
      <c r="I286" s="868"/>
      <c r="J286" s="870"/>
      <c r="K286" s="865"/>
      <c r="L286" s="872"/>
      <c r="M286" s="872"/>
      <c r="N286" s="925" t="str">
        <f>IF(O286&lt;&gt;0,CONCATENATE(input_values!$AF286,input_values!$AG286,input_values!$AH286),"")</f>
        <v/>
      </c>
      <c r="O286" s="491">
        <f>IF($A$10="Refined calculation mode",Table22[[#This Row],[input for chronic (refined mode]],Table22[[#This Row],[input for chronic normal mode]])</f>
        <v>0</v>
      </c>
      <c r="P286" s="925" t="str">
        <f>IF(Q286&lt;&gt;0,CONCATENATE(input_values!$AN286,input_values!$AO286,input_values!$AP286),"")</f>
        <v/>
      </c>
      <c r="Q286" s="491">
        <f>IF($V$5=0,0,IF(OR($A$10="Refined calculation mode",Results!$B$62="Show results of IESTI calculation only for crops with GAPs under assessment"),Table22[[#This Row],[Input for IESTI (refined mode)]],Table22[[#This Row],[Input for IESTI normal mode]]))</f>
        <v>0</v>
      </c>
      <c r="R286" s="926" t="str">
        <f>IF(S286&lt;&gt;0,CONCATENATE(input_values!$AW286,input_values!$AX286,input_values!$AY286),"")</f>
        <v/>
      </c>
      <c r="S286" s="492">
        <f>IF($V$5=0,0,IF(OR($A$10="Refined calculation mode",Results!$B$62="Show results of IESTI calculation only for crops with GAPs under assessment"),Table22[[#This Row],[Input for IESTI new (refined mode)]],Table22[[#This Row],[Input for IESTI new normal mode]]))</f>
        <v>0</v>
      </c>
      <c r="T286" s="886"/>
      <c r="U286" s="1408">
        <f>Table22[[#This Row],[MRL/ proposed MRL /CXL
(mg/kg)]]</f>
        <v>0</v>
      </c>
      <c r="V286" s="1409" t="str">
        <f t="shared" si="182"/>
        <v/>
      </c>
      <c r="W286" s="1387">
        <f t="shared" si="183"/>
        <v>1</v>
      </c>
      <c r="X286" s="1387">
        <f t="shared" si="184"/>
        <v>1</v>
      </c>
      <c r="Y286" s="1387">
        <f t="shared" si="185"/>
        <v>1</v>
      </c>
      <c r="Z286" s="1410">
        <v>4</v>
      </c>
      <c r="AA286" s="1387">
        <f t="shared" si="158"/>
        <v>0</v>
      </c>
      <c r="AB286" s="1387">
        <f>IF(Z286=A286,IF(AND(L286="N",Table22[[#This Row],[LOQ_label]]="Y"),AA286,$AA286*$Y286),"")</f>
        <v>0</v>
      </c>
      <c r="AC286" s="1393">
        <f t="shared" si="159"/>
        <v>0</v>
      </c>
      <c r="AD286" s="1393">
        <f>IF(Table22[[#This Row],[Median residue*CF*PeF]]&lt;&gt;"",Table22[[#This Row],[Median residue*CF*PeF]],Table22[[#This Row],[MRL*CF*PeF (chronic)]])</f>
        <v>0</v>
      </c>
      <c r="AE286" s="1393">
        <f t="shared" si="160"/>
        <v>0</v>
      </c>
      <c r="AF286" s="1390" t="str">
        <f t="shared" si="161"/>
        <v>MRL</v>
      </c>
      <c r="AG286" s="1390" t="str">
        <f t="shared" si="162"/>
        <v/>
      </c>
      <c r="AH286" s="1394" t="str">
        <f t="shared" si="163"/>
        <v/>
      </c>
      <c r="AI286" s="1386">
        <v>4</v>
      </c>
      <c r="AJ286" s="1387">
        <f t="shared" si="164"/>
        <v>0</v>
      </c>
      <c r="AK286" s="1387">
        <f>IF(AI286=A286,IF(AND(L286="N",Table22[[#This Row],[LOQ_label]]="Y"),AJ286,$AJ286*$Y286),"")</f>
        <v>0</v>
      </c>
      <c r="AL286" s="1388">
        <f t="shared" si="165"/>
        <v>0</v>
      </c>
      <c r="AM286" s="1393">
        <f>IF(Table22[[#This Row],[Highest residue * CF*PF]]&lt;&gt;"",Table22[[#This Row],[Highest residue * CF*PF]],Table22[[#This Row],[MRL*CF*PF or MRL (if LOQ and not authorised) (acute RA)]])</f>
        <v>0</v>
      </c>
      <c r="AN286" s="1390" t="str">
        <f t="shared" si="166"/>
        <v>MRL</v>
      </c>
      <c r="AO286" s="1390" t="str">
        <f t="shared" si="167"/>
        <v/>
      </c>
      <c r="AP286" s="1404" t="str">
        <f t="shared" si="168"/>
        <v/>
      </c>
      <c r="AQ286" s="1388">
        <f t="shared" si="169"/>
        <v>0</v>
      </c>
      <c r="AR286" s="1388" t="str">
        <f t="shared" si="170"/>
        <v/>
      </c>
      <c r="AS286" s="1388" t="str">
        <f t="shared" si="171"/>
        <v/>
      </c>
      <c r="AT286" s="1388" t="str">
        <f t="shared" si="172"/>
        <v/>
      </c>
      <c r="AU286" s="1393">
        <f t="shared" si="173"/>
        <v>0</v>
      </c>
      <c r="AV286" s="1388">
        <f t="shared" si="174"/>
        <v>0</v>
      </c>
      <c r="AW286" s="1390" t="str">
        <f t="shared" si="175"/>
        <v/>
      </c>
      <c r="AX286" s="1390" t="str">
        <f t="shared" si="181"/>
        <v/>
      </c>
      <c r="AY286" s="1394" t="str">
        <f t="shared" si="176"/>
        <v/>
      </c>
      <c r="AZ286" s="1395" t="str">
        <f>IF(Table22[[#This Row],[LOQ_label]]="Y",Table22[[#This Row],[MRL individual commodity]],"")</f>
        <v/>
      </c>
      <c r="BA286" s="1396" t="s">
        <v>1038</v>
      </c>
      <c r="BB286" s="1411" t="str">
        <f>IF(Table22[[#This Row],[LOQ2]]&lt;0,MIN(AZ286:AZ662),"")</f>
        <v/>
      </c>
      <c r="BC286" s="1299"/>
      <c r="BD286" s="1306" t="str">
        <f>IF(Table22[[#This Row],[Chronic RA label]]="","N",IF(Table22[[#This Row],[Chronic RA label]]="LOQ","N",IF(Table22[[#This Row],[Chronic RA label]]="MRL","N","Y")))</f>
        <v>N</v>
      </c>
      <c r="BE286" s="1306" t="str">
        <f>IF(Table22[[#This Row],[Acute RA label]]="","N",IF(Table22[[#This Row],[Acute RA label]]="LOQ","N",IF(Table22[[#This Row],[Acute RA label]]="MRL","N","Y")))</f>
        <v>N</v>
      </c>
      <c r="BF286" s="1306" t="str">
        <f>IF(OR(Table22[[#This Row],[include commodity in Summary_input_values_chronic]]="Y",Table22[[#This Row],[include commodity in Summary_input_values_acute]]="Y"),"Y","N")</f>
        <v>N</v>
      </c>
      <c r="BG286" s="1299"/>
      <c r="BH286" s="1324"/>
    </row>
    <row r="287" spans="1:60" ht="12.75" customHeight="1" outlineLevel="3" x14ac:dyDescent="0.2">
      <c r="A287" s="39">
        <v>4</v>
      </c>
      <c r="B287" s="327">
        <v>810090</v>
      </c>
      <c r="C287" s="23" t="s">
        <v>278</v>
      </c>
      <c r="D287" s="867"/>
      <c r="E287" s="1219"/>
      <c r="F287" s="867"/>
      <c r="G287" s="869"/>
      <c r="H287" s="863"/>
      <c r="I287" s="868"/>
      <c r="J287" s="870"/>
      <c r="K287" s="865"/>
      <c r="L287" s="872"/>
      <c r="M287" s="872"/>
      <c r="N287" s="925" t="str">
        <f>IF(O287&lt;&gt;0,CONCATENATE(input_values!$AF287,input_values!$AG287,input_values!$AH287),"")</f>
        <v/>
      </c>
      <c r="O287" s="491">
        <f>IF($A$10="Refined calculation mode",Table22[[#This Row],[input for chronic (refined mode]],Table22[[#This Row],[input for chronic normal mode]])</f>
        <v>0</v>
      </c>
      <c r="P287" s="925" t="str">
        <f>IF(Q287&lt;&gt;0,CONCATENATE(input_values!$AN287,input_values!$AO287,input_values!$AP287),"")</f>
        <v/>
      </c>
      <c r="Q287" s="491">
        <f>IF($V$5=0,0,IF(OR($A$10="Refined calculation mode",Results!$B$62="Show results of IESTI calculation only for crops with GAPs under assessment"),Table22[[#This Row],[Input for IESTI (refined mode)]],Table22[[#This Row],[Input for IESTI normal mode]]))</f>
        <v>0</v>
      </c>
      <c r="R287" s="926" t="str">
        <f>IF(S287&lt;&gt;0,CONCATENATE(input_values!$AW287,input_values!$AX287,input_values!$AY287),"")</f>
        <v/>
      </c>
      <c r="S287" s="492">
        <f>IF($V$5=0,0,IF(OR($A$10="Refined calculation mode",Results!$B$62="Show results of IESTI calculation only for crops with GAPs under assessment"),Table22[[#This Row],[Input for IESTI new (refined mode)]],Table22[[#This Row],[Input for IESTI new normal mode]]))</f>
        <v>0</v>
      </c>
      <c r="T287" s="886"/>
      <c r="U287" s="1408">
        <f>Table22[[#This Row],[MRL/ proposed MRL /CXL
(mg/kg)]]</f>
        <v>0</v>
      </c>
      <c r="V287" s="1409" t="str">
        <f t="shared" si="182"/>
        <v/>
      </c>
      <c r="W287" s="1387">
        <f t="shared" si="183"/>
        <v>1</v>
      </c>
      <c r="X287" s="1387">
        <f t="shared" si="184"/>
        <v>1</v>
      </c>
      <c r="Y287" s="1387">
        <f t="shared" si="185"/>
        <v>1</v>
      </c>
      <c r="Z287" s="1410">
        <v>4</v>
      </c>
      <c r="AA287" s="1387">
        <f t="shared" si="158"/>
        <v>0</v>
      </c>
      <c r="AB287" s="1387">
        <f>IF(Z287=A287,IF(AND(L287="N",Table22[[#This Row],[LOQ_label]]="Y"),AA287,$AA287*$Y287),"")</f>
        <v>0</v>
      </c>
      <c r="AC287" s="1393">
        <f t="shared" si="159"/>
        <v>0</v>
      </c>
      <c r="AD287" s="1393">
        <f>IF(Table22[[#This Row],[Median residue*CF*PeF]]&lt;&gt;"",Table22[[#This Row],[Median residue*CF*PeF]],Table22[[#This Row],[MRL*CF*PeF (chronic)]])</f>
        <v>0</v>
      </c>
      <c r="AE287" s="1393">
        <f t="shared" si="160"/>
        <v>0</v>
      </c>
      <c r="AF287" s="1390" t="str">
        <f t="shared" si="161"/>
        <v>MRL</v>
      </c>
      <c r="AG287" s="1390" t="str">
        <f t="shared" si="162"/>
        <v/>
      </c>
      <c r="AH287" s="1394" t="str">
        <f t="shared" si="163"/>
        <v/>
      </c>
      <c r="AI287" s="1386">
        <v>4</v>
      </c>
      <c r="AJ287" s="1387">
        <f t="shared" si="164"/>
        <v>0</v>
      </c>
      <c r="AK287" s="1387">
        <f>IF(AI287=A287,IF(AND(L287="N",Table22[[#This Row],[LOQ_label]]="Y"),AJ287,$AJ287*$Y287),"")</f>
        <v>0</v>
      </c>
      <c r="AL287" s="1388">
        <f t="shared" si="165"/>
        <v>0</v>
      </c>
      <c r="AM287" s="1393">
        <f>IF(Table22[[#This Row],[Highest residue * CF*PF]]&lt;&gt;"",Table22[[#This Row],[Highest residue * CF*PF]],Table22[[#This Row],[MRL*CF*PF or MRL (if LOQ and not authorised) (acute RA)]])</f>
        <v>0</v>
      </c>
      <c r="AN287" s="1390" t="str">
        <f t="shared" si="166"/>
        <v>MRL</v>
      </c>
      <c r="AO287" s="1390" t="str">
        <f t="shared" si="167"/>
        <v/>
      </c>
      <c r="AP287" s="1404" t="str">
        <f t="shared" si="168"/>
        <v/>
      </c>
      <c r="AQ287" s="1388">
        <f t="shared" si="169"/>
        <v>0</v>
      </c>
      <c r="AR287" s="1388" t="str">
        <f t="shared" si="170"/>
        <v/>
      </c>
      <c r="AS287" s="1388" t="str">
        <f t="shared" si="171"/>
        <v/>
      </c>
      <c r="AT287" s="1388" t="str">
        <f t="shared" si="172"/>
        <v/>
      </c>
      <c r="AU287" s="1393">
        <f t="shared" si="173"/>
        <v>0</v>
      </c>
      <c r="AV287" s="1388">
        <f t="shared" si="174"/>
        <v>0</v>
      </c>
      <c r="AW287" s="1390" t="str">
        <f t="shared" si="175"/>
        <v/>
      </c>
      <c r="AX287" s="1390" t="str">
        <f t="shared" si="181"/>
        <v/>
      </c>
      <c r="AY287" s="1394" t="str">
        <f t="shared" si="176"/>
        <v/>
      </c>
      <c r="AZ287" s="1395" t="str">
        <f>IF(Table22[[#This Row],[LOQ_label]]="Y",Table22[[#This Row],[MRL individual commodity]],"")</f>
        <v/>
      </c>
      <c r="BA287" s="1396" t="s">
        <v>1038</v>
      </c>
      <c r="BB287" s="1411" t="str">
        <f>IF(Table22[[#This Row],[LOQ2]]&lt;0,MIN(AZ287:AZ663),"")</f>
        <v/>
      </c>
      <c r="BC287" s="1299"/>
      <c r="BD287" s="1306" t="str">
        <f>IF(Table22[[#This Row],[Chronic RA label]]="","N",IF(Table22[[#This Row],[Chronic RA label]]="LOQ","N",IF(Table22[[#This Row],[Chronic RA label]]="MRL","N","Y")))</f>
        <v>N</v>
      </c>
      <c r="BE287" s="1306" t="str">
        <f>IF(Table22[[#This Row],[Acute RA label]]="","N",IF(Table22[[#This Row],[Acute RA label]]="LOQ","N",IF(Table22[[#This Row],[Acute RA label]]="MRL","N","Y")))</f>
        <v>N</v>
      </c>
      <c r="BF287" s="1306" t="str">
        <f>IF(OR(Table22[[#This Row],[include commodity in Summary_input_values_chronic]]="Y",Table22[[#This Row],[include commodity in Summary_input_values_acute]]="Y"),"Y","N")</f>
        <v>N</v>
      </c>
      <c r="BG287" s="1299"/>
      <c r="BH287" s="1324"/>
    </row>
    <row r="288" spans="1:60" ht="12.75" customHeight="1" outlineLevel="3" x14ac:dyDescent="0.2">
      <c r="A288" s="39">
        <v>4</v>
      </c>
      <c r="B288" s="327">
        <v>810990</v>
      </c>
      <c r="C288" s="23" t="s">
        <v>183</v>
      </c>
      <c r="D288" s="867"/>
      <c r="E288" s="1219"/>
      <c r="F288" s="867"/>
      <c r="G288" s="869"/>
      <c r="H288" s="863"/>
      <c r="I288" s="868"/>
      <c r="J288" s="870"/>
      <c r="K288" s="865"/>
      <c r="L288" s="872"/>
      <c r="M288" s="872"/>
      <c r="N288" s="925" t="str">
        <f>IF(O288&lt;&gt;0,CONCATENATE(input_values!$AF288,input_values!$AG288,input_values!$AH288),"")</f>
        <v/>
      </c>
      <c r="O288" s="491">
        <f>IF($A$10="Refined calculation mode",Table22[[#This Row],[input for chronic (refined mode]],Table22[[#This Row],[input for chronic normal mode]])</f>
        <v>0</v>
      </c>
      <c r="P288" s="473"/>
      <c r="Q288" s="474"/>
      <c r="R288" s="473"/>
      <c r="S288" s="474"/>
      <c r="T288" s="886"/>
      <c r="U288" s="1408">
        <f>Table22[[#This Row],[MRL/ proposed MRL /CXL
(mg/kg)]]</f>
        <v>0</v>
      </c>
      <c r="V288" s="1409" t="str">
        <f t="shared" si="182"/>
        <v/>
      </c>
      <c r="W288" s="1387">
        <f t="shared" si="183"/>
        <v>1</v>
      </c>
      <c r="X288" s="1387">
        <f t="shared" si="184"/>
        <v>1</v>
      </c>
      <c r="Y288" s="1387">
        <f t="shared" si="185"/>
        <v>1</v>
      </c>
      <c r="Z288" s="1410">
        <v>4</v>
      </c>
      <c r="AA288" s="1387">
        <f t="shared" si="158"/>
        <v>0</v>
      </c>
      <c r="AB288" s="1387">
        <f>IF(Z288=A288,IF(AND(L288="N",Table22[[#This Row],[LOQ_label]]="Y"),AA288,$AA288*$Y288),"")</f>
        <v>0</v>
      </c>
      <c r="AC288" s="1393">
        <f t="shared" si="159"/>
        <v>0</v>
      </c>
      <c r="AD288" s="1393">
        <f>IF(Table22[[#This Row],[Median residue*CF*PeF]]&lt;&gt;"",Table22[[#This Row],[Median residue*CF*PeF]],Table22[[#This Row],[MRL*CF*PeF (chronic)]])</f>
        <v>0</v>
      </c>
      <c r="AE288" s="1393">
        <f t="shared" si="160"/>
        <v>0</v>
      </c>
      <c r="AF288" s="1390" t="str">
        <f t="shared" si="161"/>
        <v>MRL</v>
      </c>
      <c r="AG288" s="1390" t="str">
        <f t="shared" si="162"/>
        <v/>
      </c>
      <c r="AH288" s="1394" t="str">
        <f t="shared" si="163"/>
        <v/>
      </c>
      <c r="AI288" s="1386"/>
      <c r="AJ288" s="1387" t="str">
        <f t="shared" si="164"/>
        <v/>
      </c>
      <c r="AK288" s="1387" t="str">
        <f>IF(AI288=A288,IF(AND(L288="N",Table22[[#This Row],[LOQ_label]]="Y"),AJ288,$AJ288*$Y288),"")</f>
        <v/>
      </c>
      <c r="AL288" s="1388" t="str">
        <f t="shared" si="165"/>
        <v/>
      </c>
      <c r="AM288" s="1393" t="str">
        <f>IF(Table22[[#This Row],[Highest residue * CF*PF]]&lt;&gt;"",Table22[[#This Row],[Highest residue * CF*PF]],Table22[[#This Row],[MRL*CF*PF or MRL (if LOQ and not authorised) (acute RA)]])</f>
        <v/>
      </c>
      <c r="AN288" s="1390" t="str">
        <f t="shared" si="166"/>
        <v/>
      </c>
      <c r="AO288" s="1390" t="str">
        <f t="shared" si="167"/>
        <v/>
      </c>
      <c r="AP288" s="1404" t="str">
        <f t="shared" si="168"/>
        <v/>
      </c>
      <c r="AQ288" s="1388">
        <f t="shared" si="169"/>
        <v>0</v>
      </c>
      <c r="AR288" s="1388" t="str">
        <f t="shared" si="170"/>
        <v/>
      </c>
      <c r="AS288" s="1388" t="str">
        <f t="shared" si="171"/>
        <v/>
      </c>
      <c r="AT288" s="1388" t="str">
        <f t="shared" si="172"/>
        <v/>
      </c>
      <c r="AU288" s="1393" t="str">
        <f t="shared" si="173"/>
        <v/>
      </c>
      <c r="AV288" s="1388">
        <f t="shared" si="174"/>
        <v>0</v>
      </c>
      <c r="AW288" s="1390" t="str">
        <f t="shared" si="175"/>
        <v/>
      </c>
      <c r="AX288" s="1390" t="str">
        <f t="shared" si="181"/>
        <v/>
      </c>
      <c r="AY288" s="1394" t="str">
        <f t="shared" si="176"/>
        <v/>
      </c>
      <c r="AZ288" s="1395" t="str">
        <f>IF(Table22[[#This Row],[LOQ_label]]="Y",Table22[[#This Row],[MRL individual commodity]],"")</f>
        <v/>
      </c>
      <c r="BA288" s="1396" t="s">
        <v>1159</v>
      </c>
      <c r="BB288" s="1411" t="str">
        <f>IF(Table22[[#This Row],[LOQ2]]&lt;0,MIN(AZ288:AZ664),"")</f>
        <v/>
      </c>
      <c r="BC288" s="1299"/>
      <c r="BD288" s="1306" t="str">
        <f>IF(Table22[[#This Row],[Chronic RA label]]="","N",IF(Table22[[#This Row],[Chronic RA label]]="LOQ","N",IF(Table22[[#This Row],[Chronic RA label]]="MRL","N","Y")))</f>
        <v>N</v>
      </c>
      <c r="BE288" s="1306" t="str">
        <f>IF(Table22[[#This Row],[Acute RA label]]="","N",IF(Table22[[#This Row],[Acute RA label]]="LOQ","N",IF(Table22[[#This Row],[Acute RA label]]="MRL","N","Y")))</f>
        <v>N</v>
      </c>
      <c r="BF288" s="1306" t="str">
        <f>IF(OR(Table22[[#This Row],[include commodity in Summary_input_values_chronic]]="Y",Table22[[#This Row],[include commodity in Summary_input_values_acute]]="Y"),"Y","N")</f>
        <v>N</v>
      </c>
      <c r="BG288" s="1299"/>
      <c r="BH288" s="1324"/>
    </row>
    <row r="289" spans="1:60" ht="12.75" customHeight="1" outlineLevel="1" x14ac:dyDescent="0.2">
      <c r="A289" s="130">
        <v>2</v>
      </c>
      <c r="B289" s="447">
        <v>820000</v>
      </c>
      <c r="C289" s="131" t="s">
        <v>783</v>
      </c>
      <c r="D289" s="862"/>
      <c r="E289" s="1218"/>
      <c r="F289" s="862"/>
      <c r="G289" s="866"/>
      <c r="H289" s="863"/>
      <c r="I289" s="863"/>
      <c r="J289" s="864"/>
      <c r="K289" s="865"/>
      <c r="L289" s="471"/>
      <c r="M289" s="471"/>
      <c r="N289" s="473"/>
      <c r="O289" s="474"/>
      <c r="P289" s="473"/>
      <c r="Q289" s="474"/>
      <c r="R289" s="473"/>
      <c r="S289" s="474"/>
      <c r="T289" s="886"/>
      <c r="U289" s="1415"/>
      <c r="V289" s="1380"/>
      <c r="W289" s="1381"/>
      <c r="X289" s="1381"/>
      <c r="Y289" s="1381"/>
      <c r="Z289" s="1382">
        <v>4</v>
      </c>
      <c r="AA289" s="1381" t="str">
        <f t="shared" si="158"/>
        <v/>
      </c>
      <c r="AB289" s="1381" t="str">
        <f>IF(Z289=A289,IF(AND(L289="N",Table22[[#This Row],[LOQ_label]]="Y"),AA289,$AA289*$Y289),"")</f>
        <v/>
      </c>
      <c r="AC289" s="1383" t="str">
        <f t="shared" si="159"/>
        <v/>
      </c>
      <c r="AD289" s="1383" t="str">
        <f>IF(Table22[[#This Row],[Median residue*CF*PeF]]&lt;&gt;"",Table22[[#This Row],[Median residue*CF*PeF]],Table22[[#This Row],[MRL*CF*PeF (chronic)]])</f>
        <v/>
      </c>
      <c r="AE289" s="1384">
        <f t="shared" si="160"/>
        <v>0</v>
      </c>
      <c r="AF289" s="1385" t="str">
        <f t="shared" si="161"/>
        <v/>
      </c>
      <c r="AG289" s="1385" t="str">
        <f t="shared" si="162"/>
        <v/>
      </c>
      <c r="AH289" s="1270" t="str">
        <f t="shared" si="163"/>
        <v/>
      </c>
      <c r="AI289" s="1386">
        <v>4</v>
      </c>
      <c r="AJ289" s="1387" t="str">
        <f t="shared" si="164"/>
        <v/>
      </c>
      <c r="AK289" s="1387" t="str">
        <f>IF(AI289=A289,IF(AND(L289="N",Table22[[#This Row],[LOQ_label]]="Y"),AJ289,$AJ289*$Y289),"")</f>
        <v/>
      </c>
      <c r="AL289" s="1388" t="str">
        <f t="shared" si="165"/>
        <v/>
      </c>
      <c r="AM289" s="1393" t="str">
        <f>IF(Table22[[#This Row],[Highest residue * CF*PF]]&lt;&gt;"",Table22[[#This Row],[Highest residue * CF*PF]],Table22[[#This Row],[MRL*CF*PF or MRL (if LOQ and not authorised) (acute RA)]])</f>
        <v/>
      </c>
      <c r="AN289" s="1390" t="str">
        <f t="shared" si="166"/>
        <v/>
      </c>
      <c r="AO289" s="1390" t="str">
        <f t="shared" si="167"/>
        <v/>
      </c>
      <c r="AP289" s="1404" t="str">
        <f t="shared" si="168"/>
        <v/>
      </c>
      <c r="AQ289" s="1388">
        <f t="shared" si="169"/>
        <v>0</v>
      </c>
      <c r="AR289" s="1388" t="str">
        <f t="shared" si="170"/>
        <v/>
      </c>
      <c r="AS289" s="1388" t="str">
        <f t="shared" si="171"/>
        <v/>
      </c>
      <c r="AT289" s="1388" t="str">
        <f t="shared" si="172"/>
        <v/>
      </c>
      <c r="AU289" s="1393" t="str">
        <f t="shared" si="173"/>
        <v/>
      </c>
      <c r="AV289" s="1388">
        <f t="shared" si="174"/>
        <v>0</v>
      </c>
      <c r="AW289" s="1390" t="str">
        <f t="shared" si="175"/>
        <v/>
      </c>
      <c r="AX289" s="1390" t="str">
        <f t="shared" si="181"/>
        <v/>
      </c>
      <c r="AY289" s="1394" t="str">
        <f t="shared" si="176"/>
        <v/>
      </c>
      <c r="AZ289" s="1395">
        <f>IF(Table22[[#This Row],[LOQ_label]]="Y",Table22[[#This Row],[MRL individual commodity]],"")</f>
        <v>0</v>
      </c>
      <c r="BA289" s="1396" t="s">
        <v>1159</v>
      </c>
      <c r="BB289" s="1411" t="str">
        <f>IF(Table22[[#This Row],[LOQ2]]&lt;0,MIN(AZ289:AZ665),"")</f>
        <v/>
      </c>
      <c r="BC289" s="1299"/>
      <c r="BD289" s="1306" t="str">
        <f>IF(Table22[[#This Row],[Chronic RA label]]="","N",IF(Table22[[#This Row],[Chronic RA label]]="LOQ","N",IF(Table22[[#This Row],[Chronic RA label]]="MRL","N","Y")))</f>
        <v>N</v>
      </c>
      <c r="BE289" s="1306" t="str">
        <f>IF(Table22[[#This Row],[Acute RA label]]="","N",IF(Table22[[#This Row],[Acute RA label]]="LOQ","N",IF(Table22[[#This Row],[Acute RA label]]="MRL","N","Y")))</f>
        <v>N</v>
      </c>
      <c r="BF289" s="1306" t="str">
        <f>IF(OR(Table22[[#This Row],[include commodity in Summary_input_values_chronic]]="Y",Table22[[#This Row],[include commodity in Summary_input_values_acute]]="Y"),"Y","N")</f>
        <v>N</v>
      </c>
      <c r="BG289" s="1299"/>
      <c r="BH289" s="1324"/>
    </row>
    <row r="290" spans="1:60" ht="12.75" customHeight="1" outlineLevel="3" x14ac:dyDescent="0.2">
      <c r="A290" s="39">
        <v>4</v>
      </c>
      <c r="B290" s="327">
        <v>820010</v>
      </c>
      <c r="C290" s="23" t="s">
        <v>778</v>
      </c>
      <c r="D290" s="867"/>
      <c r="E290" s="1219"/>
      <c r="F290" s="867"/>
      <c r="G290" s="869"/>
      <c r="H290" s="863"/>
      <c r="I290" s="868"/>
      <c r="J290" s="870"/>
      <c r="K290" s="865"/>
      <c r="L290" s="872"/>
      <c r="M290" s="872"/>
      <c r="N290" s="925" t="str">
        <f>IF(O290&lt;&gt;0,CONCATENATE(input_values!$AF290,input_values!$AG290,input_values!$AH290),"")</f>
        <v/>
      </c>
      <c r="O290" s="491">
        <f>IF($A$10="Refined calculation mode",Table22[[#This Row],[input for chronic (refined mode]],Table22[[#This Row],[input for chronic normal mode]])</f>
        <v>0</v>
      </c>
      <c r="P290" s="925" t="str">
        <f>IF(Q290&lt;&gt;0,CONCATENATE(input_values!$AN290,input_values!$AO290,input_values!$AP290),"")</f>
        <v/>
      </c>
      <c r="Q290" s="491">
        <f>IF($V$5=0,0,IF(OR($A$10="Refined calculation mode",Results!$B$62="Show results of IESTI calculation only for crops with GAPs under assessment"),Table22[[#This Row],[Input for IESTI (refined mode)]],Table22[[#This Row],[Input for IESTI normal mode]]))</f>
        <v>0</v>
      </c>
      <c r="R290" s="926" t="str">
        <f>IF(S290&lt;&gt;0,CONCATENATE(input_values!$AW290,input_values!$AX290,input_values!$AY290),"")</f>
        <v/>
      </c>
      <c r="S290" s="492">
        <f>IF($V$5=0,0,IF(OR($A$10="Refined calculation mode",Results!$B$62="Show results of IESTI calculation only for crops with GAPs under assessment"),Table22[[#This Row],[Input for IESTI new (refined mode)]],Table22[[#This Row],[Input for IESTI new normal mode]]))</f>
        <v>0</v>
      </c>
      <c r="T290" s="886"/>
      <c r="U290" s="1408">
        <f>Table22[[#This Row],[MRL/ proposed MRL /CXL
(mg/kg)]]</f>
        <v>0</v>
      </c>
      <c r="V290" s="1409" t="str">
        <f t="shared" ref="V290:V298" si="186">IF(ISBLANK(F290),"","Y")</f>
        <v/>
      </c>
      <c r="W290" s="1387">
        <f t="shared" ref="W290:W298" si="187">IF($G290&gt;0,$G290,1)</f>
        <v>1</v>
      </c>
      <c r="X290" s="1387">
        <f t="shared" ref="X290:X298" si="188">IF($H290&gt;0,$H290,1)</f>
        <v>1</v>
      </c>
      <c r="Y290" s="1387">
        <f t="shared" ref="Y290:Y298" si="189">W290*X290</f>
        <v>1</v>
      </c>
      <c r="Z290" s="1410">
        <v>4</v>
      </c>
      <c r="AA290" s="1387">
        <f t="shared" si="158"/>
        <v>0</v>
      </c>
      <c r="AB290" s="1387">
        <f>IF(Z290=A290,IF(AND(L290="N",Table22[[#This Row],[LOQ_label]]="Y"),AA290,$AA290*$Y290),"")</f>
        <v>0</v>
      </c>
      <c r="AC290" s="1393">
        <f t="shared" si="159"/>
        <v>0</v>
      </c>
      <c r="AD290" s="1393">
        <f>IF(Table22[[#This Row],[Median residue*CF*PeF]]&lt;&gt;"",Table22[[#This Row],[Median residue*CF*PeF]],Table22[[#This Row],[MRL*CF*PeF (chronic)]])</f>
        <v>0</v>
      </c>
      <c r="AE290" s="1393">
        <f t="shared" si="160"/>
        <v>0</v>
      </c>
      <c r="AF290" s="1390" t="str">
        <f t="shared" si="161"/>
        <v>MRL</v>
      </c>
      <c r="AG290" s="1390" t="str">
        <f t="shared" si="162"/>
        <v/>
      </c>
      <c r="AH290" s="1394" t="str">
        <f t="shared" si="163"/>
        <v/>
      </c>
      <c r="AI290" s="1386">
        <v>4</v>
      </c>
      <c r="AJ290" s="1387">
        <f t="shared" si="164"/>
        <v>0</v>
      </c>
      <c r="AK290" s="1387">
        <f>IF(AI290=A290,IF(AND(L290="N",Table22[[#This Row],[LOQ_label]]="Y"),AJ290,$AJ290*$Y290),"")</f>
        <v>0</v>
      </c>
      <c r="AL290" s="1388">
        <f t="shared" si="165"/>
        <v>0</v>
      </c>
      <c r="AM290" s="1393">
        <f>IF(Table22[[#This Row],[Highest residue * CF*PF]]&lt;&gt;"",Table22[[#This Row],[Highest residue * CF*PF]],Table22[[#This Row],[MRL*CF*PF or MRL (if LOQ and not authorised) (acute RA)]])</f>
        <v>0</v>
      </c>
      <c r="AN290" s="1390" t="str">
        <f t="shared" si="166"/>
        <v>MRL</v>
      </c>
      <c r="AO290" s="1390" t="str">
        <f t="shared" si="167"/>
        <v/>
      </c>
      <c r="AP290" s="1404" t="str">
        <f t="shared" si="168"/>
        <v/>
      </c>
      <c r="AQ290" s="1388">
        <f t="shared" si="169"/>
        <v>0</v>
      </c>
      <c r="AR290" s="1388" t="str">
        <f t="shared" si="170"/>
        <v/>
      </c>
      <c r="AS290" s="1388" t="str">
        <f t="shared" si="171"/>
        <v/>
      </c>
      <c r="AT290" s="1388" t="str">
        <f t="shared" si="172"/>
        <v/>
      </c>
      <c r="AU290" s="1393">
        <f t="shared" si="173"/>
        <v>0</v>
      </c>
      <c r="AV290" s="1388">
        <f t="shared" si="174"/>
        <v>0</v>
      </c>
      <c r="AW290" s="1390" t="str">
        <f t="shared" si="175"/>
        <v/>
      </c>
      <c r="AX290" s="1390" t="str">
        <f t="shared" si="181"/>
        <v/>
      </c>
      <c r="AY290" s="1394" t="str">
        <f t="shared" si="176"/>
        <v/>
      </c>
      <c r="AZ290" s="1395" t="str">
        <f>IF(Table22[[#This Row],[LOQ_label]]="Y",Table22[[#This Row],[MRL individual commodity]],"")</f>
        <v/>
      </c>
      <c r="BA290" s="1396" t="s">
        <v>1038</v>
      </c>
      <c r="BB290" s="1411" t="str">
        <f>IF(Table22[[#This Row],[LOQ2]]&lt;0,MIN(AZ290:AZ666),"")</f>
        <v/>
      </c>
      <c r="BC290" s="1299"/>
      <c r="BD290" s="1306" t="str">
        <f>IF(Table22[[#This Row],[Chronic RA label]]="","N",IF(Table22[[#This Row],[Chronic RA label]]="LOQ","N",IF(Table22[[#This Row],[Chronic RA label]]="MRL","N","Y")))</f>
        <v>N</v>
      </c>
      <c r="BE290" s="1306" t="str">
        <f>IF(Table22[[#This Row],[Acute RA label]]="","N",IF(Table22[[#This Row],[Acute RA label]]="LOQ","N",IF(Table22[[#This Row],[Acute RA label]]="MRL","N","Y")))</f>
        <v>N</v>
      </c>
      <c r="BF290" s="1306" t="str">
        <f>IF(OR(Table22[[#This Row],[include commodity in Summary_input_values_chronic]]="Y",Table22[[#This Row],[include commodity in Summary_input_values_acute]]="Y"),"Y","N")</f>
        <v>N</v>
      </c>
      <c r="BG290" s="1299"/>
      <c r="BH290" s="1324"/>
    </row>
    <row r="291" spans="1:60" ht="12.75" customHeight="1" outlineLevel="3" x14ac:dyDescent="0.2">
      <c r="A291" s="39">
        <v>4</v>
      </c>
      <c r="B291" s="327">
        <v>820020</v>
      </c>
      <c r="C291" s="23" t="s">
        <v>779</v>
      </c>
      <c r="D291" s="867"/>
      <c r="E291" s="1219"/>
      <c r="F291" s="867"/>
      <c r="G291" s="869"/>
      <c r="H291" s="863"/>
      <c r="I291" s="868"/>
      <c r="J291" s="870"/>
      <c r="K291" s="865"/>
      <c r="L291" s="872"/>
      <c r="M291" s="872"/>
      <c r="N291" s="925" t="str">
        <f>IF(O291&lt;&gt;0,CONCATENATE(input_values!$AF291,input_values!$AG291,input_values!$AH291),"")</f>
        <v/>
      </c>
      <c r="O291" s="491">
        <f>IF($A$10="Refined calculation mode",Table22[[#This Row],[input for chronic (refined mode]],Table22[[#This Row],[input for chronic normal mode]])</f>
        <v>0</v>
      </c>
      <c r="P291" s="925" t="str">
        <f>IF(Q291&lt;&gt;0,CONCATENATE(input_values!$AN291,input_values!$AO291,input_values!$AP291),"")</f>
        <v/>
      </c>
      <c r="Q291" s="491">
        <f>IF($V$5=0,0,IF(OR($A$10="Refined calculation mode",Results!$B$62="Show results of IESTI calculation only for crops with GAPs under assessment"),Table22[[#This Row],[Input for IESTI (refined mode)]],Table22[[#This Row],[Input for IESTI normal mode]]))</f>
        <v>0</v>
      </c>
      <c r="R291" s="926" t="str">
        <f>IF(S291&lt;&gt;0,CONCATENATE(input_values!$AW291,input_values!$AX291,input_values!$AY291),"")</f>
        <v/>
      </c>
      <c r="S291" s="492">
        <f>IF($V$5=0,0,IF(OR($A$10="Refined calculation mode",Results!$B$62="Show results of IESTI calculation only for crops with GAPs under assessment"),Table22[[#This Row],[Input for IESTI new (refined mode)]],Table22[[#This Row],[Input for IESTI new normal mode]]))</f>
        <v>0</v>
      </c>
      <c r="T291" s="886"/>
      <c r="U291" s="1408">
        <f>Table22[[#This Row],[MRL/ proposed MRL /CXL
(mg/kg)]]</f>
        <v>0</v>
      </c>
      <c r="V291" s="1409" t="str">
        <f t="shared" si="186"/>
        <v/>
      </c>
      <c r="W291" s="1387">
        <f t="shared" si="187"/>
        <v>1</v>
      </c>
      <c r="X291" s="1387">
        <f t="shared" si="188"/>
        <v>1</v>
      </c>
      <c r="Y291" s="1387">
        <f t="shared" si="189"/>
        <v>1</v>
      </c>
      <c r="Z291" s="1410">
        <v>4</v>
      </c>
      <c r="AA291" s="1387">
        <f t="shared" si="158"/>
        <v>0</v>
      </c>
      <c r="AB291" s="1387">
        <f>IF(Z291=A291,IF(AND(L291="N",Table22[[#This Row],[LOQ_label]]="Y"),AA291,$AA291*$Y291),"")</f>
        <v>0</v>
      </c>
      <c r="AC291" s="1393">
        <f t="shared" si="159"/>
        <v>0</v>
      </c>
      <c r="AD291" s="1393">
        <f>IF(Table22[[#This Row],[Median residue*CF*PeF]]&lt;&gt;"",Table22[[#This Row],[Median residue*CF*PeF]],Table22[[#This Row],[MRL*CF*PeF (chronic)]])</f>
        <v>0</v>
      </c>
      <c r="AE291" s="1393">
        <f t="shared" si="160"/>
        <v>0</v>
      </c>
      <c r="AF291" s="1390" t="str">
        <f t="shared" si="161"/>
        <v>MRL</v>
      </c>
      <c r="AG291" s="1390" t="str">
        <f t="shared" si="162"/>
        <v/>
      </c>
      <c r="AH291" s="1394" t="str">
        <f t="shared" si="163"/>
        <v/>
      </c>
      <c r="AI291" s="1386">
        <v>4</v>
      </c>
      <c r="AJ291" s="1387">
        <f t="shared" si="164"/>
        <v>0</v>
      </c>
      <c r="AK291" s="1387">
        <f>IF(AI291=A291,IF(AND(L291="N",Table22[[#This Row],[LOQ_label]]="Y"),AJ291,$AJ291*$Y291),"")</f>
        <v>0</v>
      </c>
      <c r="AL291" s="1388">
        <f t="shared" si="165"/>
        <v>0</v>
      </c>
      <c r="AM291" s="1393">
        <f>IF(Table22[[#This Row],[Highest residue * CF*PF]]&lt;&gt;"",Table22[[#This Row],[Highest residue * CF*PF]],Table22[[#This Row],[MRL*CF*PF or MRL (if LOQ and not authorised) (acute RA)]])</f>
        <v>0</v>
      </c>
      <c r="AN291" s="1390" t="str">
        <f t="shared" si="166"/>
        <v>MRL</v>
      </c>
      <c r="AO291" s="1390" t="str">
        <f t="shared" si="167"/>
        <v/>
      </c>
      <c r="AP291" s="1404" t="str">
        <f t="shared" si="168"/>
        <v/>
      </c>
      <c r="AQ291" s="1388">
        <f t="shared" si="169"/>
        <v>0</v>
      </c>
      <c r="AR291" s="1388" t="str">
        <f t="shared" si="170"/>
        <v/>
      </c>
      <c r="AS291" s="1388" t="str">
        <f t="shared" si="171"/>
        <v/>
      </c>
      <c r="AT291" s="1388" t="str">
        <f t="shared" si="172"/>
        <v/>
      </c>
      <c r="AU291" s="1393">
        <f t="shared" si="173"/>
        <v>0</v>
      </c>
      <c r="AV291" s="1388">
        <f t="shared" si="174"/>
        <v>0</v>
      </c>
      <c r="AW291" s="1390" t="str">
        <f t="shared" si="175"/>
        <v/>
      </c>
      <c r="AX291" s="1390" t="str">
        <f t="shared" si="181"/>
        <v/>
      </c>
      <c r="AY291" s="1394" t="str">
        <f t="shared" si="176"/>
        <v/>
      </c>
      <c r="AZ291" s="1395" t="str">
        <f>IF(Table22[[#This Row],[LOQ_label]]="Y",Table22[[#This Row],[MRL individual commodity]],"")</f>
        <v/>
      </c>
      <c r="BA291" s="1396" t="s">
        <v>1038</v>
      </c>
      <c r="BB291" s="1411" t="str">
        <f>IF(Table22[[#This Row],[LOQ2]]&lt;0,MIN(AZ291:AZ667),"")</f>
        <v/>
      </c>
      <c r="BC291" s="1299"/>
      <c r="BD291" s="1306" t="str">
        <f>IF(Table22[[#This Row],[Chronic RA label]]="","N",IF(Table22[[#This Row],[Chronic RA label]]="LOQ","N",IF(Table22[[#This Row],[Chronic RA label]]="MRL","N","Y")))</f>
        <v>N</v>
      </c>
      <c r="BE291" s="1306" t="str">
        <f>IF(Table22[[#This Row],[Acute RA label]]="","N",IF(Table22[[#This Row],[Acute RA label]]="LOQ","N",IF(Table22[[#This Row],[Acute RA label]]="MRL","N","Y")))</f>
        <v>N</v>
      </c>
      <c r="BF291" s="1306" t="str">
        <f>IF(OR(Table22[[#This Row],[include commodity in Summary_input_values_chronic]]="Y",Table22[[#This Row],[include commodity in Summary_input_values_acute]]="Y"),"Y","N")</f>
        <v>N</v>
      </c>
      <c r="BG291" s="1299"/>
      <c r="BH291" s="1324"/>
    </row>
    <row r="292" spans="1:60" ht="12.75" customHeight="1" outlineLevel="3" x14ac:dyDescent="0.2">
      <c r="A292" s="39">
        <v>4</v>
      </c>
      <c r="B292" s="327">
        <v>820030</v>
      </c>
      <c r="C292" s="23" t="s">
        <v>279</v>
      </c>
      <c r="D292" s="867"/>
      <c r="E292" s="1219"/>
      <c r="F292" s="867"/>
      <c r="G292" s="869"/>
      <c r="H292" s="863"/>
      <c r="I292" s="868"/>
      <c r="J292" s="870"/>
      <c r="K292" s="865"/>
      <c r="L292" s="872"/>
      <c r="M292" s="872"/>
      <c r="N292" s="925" t="str">
        <f>IF(O292&lt;&gt;0,CONCATENATE(input_values!$AF292,input_values!$AG292,input_values!$AH292),"")</f>
        <v/>
      </c>
      <c r="O292" s="491">
        <f>IF($A$10="Refined calculation mode",Table22[[#This Row],[input for chronic (refined mode]],Table22[[#This Row],[input for chronic normal mode]])</f>
        <v>0</v>
      </c>
      <c r="P292" s="925" t="str">
        <f>IF(Q292&lt;&gt;0,CONCATENATE(input_values!$AN292,input_values!$AO292,input_values!$AP292),"")</f>
        <v/>
      </c>
      <c r="Q292" s="491">
        <f>IF($V$5=0,0,IF(OR($A$10="Refined calculation mode",Results!$B$62="Show results of IESTI calculation only for crops with GAPs under assessment"),Table22[[#This Row],[Input for IESTI (refined mode)]],Table22[[#This Row],[Input for IESTI normal mode]]))</f>
        <v>0</v>
      </c>
      <c r="R292" s="926" t="str">
        <f>IF(S292&lt;&gt;0,CONCATENATE(input_values!$AW292,input_values!$AX292,input_values!$AY292),"")</f>
        <v/>
      </c>
      <c r="S292" s="492">
        <f>IF($V$5=0,0,IF(OR($A$10="Refined calculation mode",Results!$B$62="Show results of IESTI calculation only for crops with GAPs under assessment"),Table22[[#This Row],[Input for IESTI new (refined mode)]],Table22[[#This Row],[Input for IESTI new normal mode]]))</f>
        <v>0</v>
      </c>
      <c r="T292" s="886"/>
      <c r="U292" s="1408">
        <f>Table22[[#This Row],[MRL/ proposed MRL /CXL
(mg/kg)]]</f>
        <v>0</v>
      </c>
      <c r="V292" s="1409" t="str">
        <f t="shared" si="186"/>
        <v/>
      </c>
      <c r="W292" s="1387">
        <f t="shared" si="187"/>
        <v>1</v>
      </c>
      <c r="X292" s="1387">
        <f t="shared" si="188"/>
        <v>1</v>
      </c>
      <c r="Y292" s="1387">
        <f t="shared" si="189"/>
        <v>1</v>
      </c>
      <c r="Z292" s="1410">
        <v>4</v>
      </c>
      <c r="AA292" s="1387">
        <f t="shared" si="158"/>
        <v>0</v>
      </c>
      <c r="AB292" s="1387">
        <f>IF(Z292=A292,IF(AND(L292="N",Table22[[#This Row],[LOQ_label]]="Y"),AA292,$AA292*$Y292),"")</f>
        <v>0</v>
      </c>
      <c r="AC292" s="1393">
        <f t="shared" si="159"/>
        <v>0</v>
      </c>
      <c r="AD292" s="1393">
        <f>IF(Table22[[#This Row],[Median residue*CF*PeF]]&lt;&gt;"",Table22[[#This Row],[Median residue*CF*PeF]],Table22[[#This Row],[MRL*CF*PeF (chronic)]])</f>
        <v>0</v>
      </c>
      <c r="AE292" s="1393">
        <f t="shared" si="160"/>
        <v>0</v>
      </c>
      <c r="AF292" s="1390" t="str">
        <f t="shared" si="161"/>
        <v>MRL</v>
      </c>
      <c r="AG292" s="1390" t="str">
        <f t="shared" si="162"/>
        <v/>
      </c>
      <c r="AH292" s="1394" t="str">
        <f t="shared" si="163"/>
        <v/>
      </c>
      <c r="AI292" s="1386">
        <v>4</v>
      </c>
      <c r="AJ292" s="1387">
        <f t="shared" si="164"/>
        <v>0</v>
      </c>
      <c r="AK292" s="1387">
        <f>IF(AI292=A292,IF(AND(L292="N",Table22[[#This Row],[LOQ_label]]="Y"),AJ292,$AJ292*$Y292),"")</f>
        <v>0</v>
      </c>
      <c r="AL292" s="1388">
        <f t="shared" si="165"/>
        <v>0</v>
      </c>
      <c r="AM292" s="1393">
        <f>IF(Table22[[#This Row],[Highest residue * CF*PF]]&lt;&gt;"",Table22[[#This Row],[Highest residue * CF*PF]],Table22[[#This Row],[MRL*CF*PF or MRL (if LOQ and not authorised) (acute RA)]])</f>
        <v>0</v>
      </c>
      <c r="AN292" s="1390" t="str">
        <f t="shared" si="166"/>
        <v>MRL</v>
      </c>
      <c r="AO292" s="1390" t="str">
        <f t="shared" si="167"/>
        <v/>
      </c>
      <c r="AP292" s="1404" t="str">
        <f t="shared" si="168"/>
        <v/>
      </c>
      <c r="AQ292" s="1388">
        <f t="shared" si="169"/>
        <v>0</v>
      </c>
      <c r="AR292" s="1388" t="str">
        <f t="shared" si="170"/>
        <v/>
      </c>
      <c r="AS292" s="1388" t="str">
        <f t="shared" si="171"/>
        <v/>
      </c>
      <c r="AT292" s="1388" t="str">
        <f t="shared" si="172"/>
        <v/>
      </c>
      <c r="AU292" s="1393">
        <f t="shared" si="173"/>
        <v>0</v>
      </c>
      <c r="AV292" s="1388">
        <f t="shared" si="174"/>
        <v>0</v>
      </c>
      <c r="AW292" s="1390" t="str">
        <f t="shared" si="175"/>
        <v/>
      </c>
      <c r="AX292" s="1390" t="str">
        <f t="shared" si="181"/>
        <v/>
      </c>
      <c r="AY292" s="1394" t="str">
        <f t="shared" si="176"/>
        <v/>
      </c>
      <c r="AZ292" s="1395" t="str">
        <f>IF(Table22[[#This Row],[LOQ_label]]="Y",Table22[[#This Row],[MRL individual commodity]],"")</f>
        <v/>
      </c>
      <c r="BA292" s="1396" t="s">
        <v>1038</v>
      </c>
      <c r="BB292" s="1411" t="str">
        <f>IF(Table22[[#This Row],[LOQ2]]&lt;0,MIN(AZ292:AZ668),"")</f>
        <v/>
      </c>
      <c r="BC292" s="1299"/>
      <c r="BD292" s="1306" t="str">
        <f>IF(Table22[[#This Row],[Chronic RA label]]="","N",IF(Table22[[#This Row],[Chronic RA label]]="LOQ","N",IF(Table22[[#This Row],[Chronic RA label]]="MRL","N","Y")))</f>
        <v>N</v>
      </c>
      <c r="BE292" s="1306" t="str">
        <f>IF(Table22[[#This Row],[Acute RA label]]="","N",IF(Table22[[#This Row],[Acute RA label]]="LOQ","N",IF(Table22[[#This Row],[Acute RA label]]="MRL","N","Y")))</f>
        <v>N</v>
      </c>
      <c r="BF292" s="1306" t="str">
        <f>IF(OR(Table22[[#This Row],[include commodity in Summary_input_values_chronic]]="Y",Table22[[#This Row],[include commodity in Summary_input_values_acute]]="Y"),"Y","N")</f>
        <v>N</v>
      </c>
      <c r="BG292" s="1299"/>
      <c r="BH292" s="1324"/>
    </row>
    <row r="293" spans="1:60" ht="12.75" customHeight="1" outlineLevel="3" x14ac:dyDescent="0.2">
      <c r="A293" s="39">
        <v>4</v>
      </c>
      <c r="B293" s="327">
        <v>820040</v>
      </c>
      <c r="C293" s="23" t="s">
        <v>280</v>
      </c>
      <c r="D293" s="867"/>
      <c r="E293" s="1219"/>
      <c r="F293" s="867"/>
      <c r="G293" s="869"/>
      <c r="H293" s="863"/>
      <c r="I293" s="868"/>
      <c r="J293" s="870"/>
      <c r="K293" s="865"/>
      <c r="L293" s="872"/>
      <c r="M293" s="872"/>
      <c r="N293" s="925" t="str">
        <f>IF(O293&lt;&gt;0,CONCATENATE(input_values!$AF293,input_values!$AG293,input_values!$AH293),"")</f>
        <v/>
      </c>
      <c r="O293" s="491">
        <f>IF($A$10="Refined calculation mode",Table22[[#This Row],[input for chronic (refined mode]],Table22[[#This Row],[input for chronic normal mode]])</f>
        <v>0</v>
      </c>
      <c r="P293" s="925" t="str">
        <f>IF(Q293&lt;&gt;0,CONCATENATE(input_values!$AN293,input_values!$AO293,input_values!$AP293),"")</f>
        <v/>
      </c>
      <c r="Q293" s="491">
        <f>IF($V$5=0,0,IF(OR($A$10="Refined calculation mode",Results!$B$62="Show results of IESTI calculation only for crops with GAPs under assessment"),Table22[[#This Row],[Input for IESTI (refined mode)]],Table22[[#This Row],[Input for IESTI normal mode]]))</f>
        <v>0</v>
      </c>
      <c r="R293" s="926" t="str">
        <f>IF(S293&lt;&gt;0,CONCATENATE(input_values!$AW293,input_values!$AX293,input_values!$AY293),"")</f>
        <v/>
      </c>
      <c r="S293" s="492">
        <f>IF($V$5=0,0,IF(OR($A$10="Refined calculation mode",Results!$B$62="Show results of IESTI calculation only for crops with GAPs under assessment"),Table22[[#This Row],[Input for IESTI new (refined mode)]],Table22[[#This Row],[Input for IESTI new normal mode]]))</f>
        <v>0</v>
      </c>
      <c r="T293" s="886"/>
      <c r="U293" s="1408">
        <f>Table22[[#This Row],[MRL/ proposed MRL /CXL
(mg/kg)]]</f>
        <v>0</v>
      </c>
      <c r="V293" s="1409" t="str">
        <f t="shared" si="186"/>
        <v/>
      </c>
      <c r="W293" s="1387">
        <f t="shared" si="187"/>
        <v>1</v>
      </c>
      <c r="X293" s="1387">
        <f t="shared" si="188"/>
        <v>1</v>
      </c>
      <c r="Y293" s="1387">
        <f t="shared" si="189"/>
        <v>1</v>
      </c>
      <c r="Z293" s="1410">
        <v>4</v>
      </c>
      <c r="AA293" s="1387">
        <f t="shared" si="158"/>
        <v>0</v>
      </c>
      <c r="AB293" s="1387">
        <f>IF(Z293=A293,IF(AND(L293="N",Table22[[#This Row],[LOQ_label]]="Y"),AA293,$AA293*$Y293),"")</f>
        <v>0</v>
      </c>
      <c r="AC293" s="1393">
        <f t="shared" si="159"/>
        <v>0</v>
      </c>
      <c r="AD293" s="1393">
        <f>IF(Table22[[#This Row],[Median residue*CF*PeF]]&lt;&gt;"",Table22[[#This Row],[Median residue*CF*PeF]],Table22[[#This Row],[MRL*CF*PeF (chronic)]])</f>
        <v>0</v>
      </c>
      <c r="AE293" s="1393">
        <f t="shared" si="160"/>
        <v>0</v>
      </c>
      <c r="AF293" s="1390" t="str">
        <f t="shared" si="161"/>
        <v>MRL</v>
      </c>
      <c r="AG293" s="1390" t="str">
        <f t="shared" si="162"/>
        <v/>
      </c>
      <c r="AH293" s="1394" t="str">
        <f t="shared" si="163"/>
        <v/>
      </c>
      <c r="AI293" s="1386">
        <v>4</v>
      </c>
      <c r="AJ293" s="1387">
        <f t="shared" si="164"/>
        <v>0</v>
      </c>
      <c r="AK293" s="1387">
        <f>IF(AI293=A293,IF(AND(L293="N",Table22[[#This Row],[LOQ_label]]="Y"),AJ293,$AJ293*$Y293),"")</f>
        <v>0</v>
      </c>
      <c r="AL293" s="1388">
        <f t="shared" si="165"/>
        <v>0</v>
      </c>
      <c r="AM293" s="1393">
        <f>IF(Table22[[#This Row],[Highest residue * CF*PF]]&lt;&gt;"",Table22[[#This Row],[Highest residue * CF*PF]],Table22[[#This Row],[MRL*CF*PF or MRL (if LOQ and not authorised) (acute RA)]])</f>
        <v>0</v>
      </c>
      <c r="AN293" s="1390" t="str">
        <f t="shared" si="166"/>
        <v>MRL</v>
      </c>
      <c r="AO293" s="1390" t="str">
        <f t="shared" si="167"/>
        <v/>
      </c>
      <c r="AP293" s="1404" t="str">
        <f t="shared" si="168"/>
        <v/>
      </c>
      <c r="AQ293" s="1388">
        <f t="shared" si="169"/>
        <v>0</v>
      </c>
      <c r="AR293" s="1388" t="str">
        <f t="shared" si="170"/>
        <v/>
      </c>
      <c r="AS293" s="1388" t="str">
        <f t="shared" si="171"/>
        <v/>
      </c>
      <c r="AT293" s="1388" t="str">
        <f t="shared" si="172"/>
        <v/>
      </c>
      <c r="AU293" s="1393">
        <f t="shared" si="173"/>
        <v>0</v>
      </c>
      <c r="AV293" s="1388">
        <f t="shared" si="174"/>
        <v>0</v>
      </c>
      <c r="AW293" s="1390" t="str">
        <f t="shared" si="175"/>
        <v/>
      </c>
      <c r="AX293" s="1390" t="str">
        <f t="shared" si="181"/>
        <v/>
      </c>
      <c r="AY293" s="1394" t="str">
        <f t="shared" si="176"/>
        <v/>
      </c>
      <c r="AZ293" s="1395" t="str">
        <f>IF(Table22[[#This Row],[LOQ_label]]="Y",Table22[[#This Row],[MRL individual commodity]],"")</f>
        <v/>
      </c>
      <c r="BA293" s="1396" t="s">
        <v>1038</v>
      </c>
      <c r="BB293" s="1411" t="str">
        <f>IF(Table22[[#This Row],[LOQ2]]&lt;0,MIN(AZ293:AZ669),"")</f>
        <v/>
      </c>
      <c r="BC293" s="1299"/>
      <c r="BD293" s="1306" t="str">
        <f>IF(Table22[[#This Row],[Chronic RA label]]="","N",IF(Table22[[#This Row],[Chronic RA label]]="LOQ","N",IF(Table22[[#This Row],[Chronic RA label]]="MRL","N","Y")))</f>
        <v>N</v>
      </c>
      <c r="BE293" s="1306" t="str">
        <f>IF(Table22[[#This Row],[Acute RA label]]="","N",IF(Table22[[#This Row],[Acute RA label]]="LOQ","N",IF(Table22[[#This Row],[Acute RA label]]="MRL","N","Y")))</f>
        <v>N</v>
      </c>
      <c r="BF293" s="1306" t="str">
        <f>IF(OR(Table22[[#This Row],[include commodity in Summary_input_values_chronic]]="Y",Table22[[#This Row],[include commodity in Summary_input_values_acute]]="Y"),"Y","N")</f>
        <v>N</v>
      </c>
      <c r="BG293" s="1299"/>
      <c r="BH293" s="1324"/>
    </row>
    <row r="294" spans="1:60" ht="12.75" customHeight="1" outlineLevel="3" x14ac:dyDescent="0.2">
      <c r="A294" s="39">
        <v>4</v>
      </c>
      <c r="B294" s="327">
        <v>820050</v>
      </c>
      <c r="C294" s="23" t="s">
        <v>780</v>
      </c>
      <c r="D294" s="867"/>
      <c r="E294" s="1219"/>
      <c r="F294" s="867"/>
      <c r="G294" s="869"/>
      <c r="H294" s="863"/>
      <c r="I294" s="868"/>
      <c r="J294" s="870"/>
      <c r="K294" s="865"/>
      <c r="L294" s="872"/>
      <c r="M294" s="872"/>
      <c r="N294" s="925" t="str">
        <f>IF(O294&lt;&gt;0,CONCATENATE(input_values!$AF294,input_values!$AG294,input_values!$AH294),"")</f>
        <v/>
      </c>
      <c r="O294" s="491">
        <f>IF($A$10="Refined calculation mode",Table22[[#This Row],[input for chronic (refined mode]],Table22[[#This Row],[input for chronic normal mode]])</f>
        <v>0</v>
      </c>
      <c r="P294" s="925" t="str">
        <f>IF(Q294&lt;&gt;0,CONCATENATE(input_values!$AN294,input_values!$AO294,input_values!$AP294),"")</f>
        <v/>
      </c>
      <c r="Q294" s="491">
        <f>IF($V$5=0,0,IF(OR($A$10="Refined calculation mode",Results!$B$62="Show results of IESTI calculation only for crops with GAPs under assessment"),Table22[[#This Row],[Input for IESTI (refined mode)]],Table22[[#This Row],[Input for IESTI normal mode]]))</f>
        <v>0</v>
      </c>
      <c r="R294" s="926" t="str">
        <f>IF(S294&lt;&gt;0,CONCATENATE(input_values!$AW294,input_values!$AX294,input_values!$AY294),"")</f>
        <v/>
      </c>
      <c r="S294" s="492">
        <f>IF($V$5=0,0,IF(OR($A$10="Refined calculation mode",Results!$B$62="Show results of IESTI calculation only for crops with GAPs under assessment"),Table22[[#This Row],[Input for IESTI new (refined mode)]],Table22[[#This Row],[Input for IESTI new normal mode]]))</f>
        <v>0</v>
      </c>
      <c r="T294" s="886"/>
      <c r="U294" s="1408">
        <f>Table22[[#This Row],[MRL/ proposed MRL /CXL
(mg/kg)]]</f>
        <v>0</v>
      </c>
      <c r="V294" s="1409" t="str">
        <f t="shared" si="186"/>
        <v/>
      </c>
      <c r="W294" s="1387">
        <f t="shared" si="187"/>
        <v>1</v>
      </c>
      <c r="X294" s="1387">
        <f t="shared" si="188"/>
        <v>1</v>
      </c>
      <c r="Y294" s="1387">
        <f t="shared" si="189"/>
        <v>1</v>
      </c>
      <c r="Z294" s="1410">
        <v>4</v>
      </c>
      <c r="AA294" s="1387">
        <f t="shared" si="158"/>
        <v>0</v>
      </c>
      <c r="AB294" s="1387">
        <f>IF(Z294=A294,IF(AND(L294="N",Table22[[#This Row],[LOQ_label]]="Y"),AA294,$AA294*$Y294),"")</f>
        <v>0</v>
      </c>
      <c r="AC294" s="1393">
        <f t="shared" si="159"/>
        <v>0</v>
      </c>
      <c r="AD294" s="1393">
        <f>IF(Table22[[#This Row],[Median residue*CF*PeF]]&lt;&gt;"",Table22[[#This Row],[Median residue*CF*PeF]],Table22[[#This Row],[MRL*CF*PeF (chronic)]])</f>
        <v>0</v>
      </c>
      <c r="AE294" s="1393">
        <f t="shared" si="160"/>
        <v>0</v>
      </c>
      <c r="AF294" s="1390" t="str">
        <f t="shared" si="161"/>
        <v>MRL</v>
      </c>
      <c r="AG294" s="1390" t="str">
        <f t="shared" si="162"/>
        <v/>
      </c>
      <c r="AH294" s="1394" t="str">
        <f t="shared" si="163"/>
        <v/>
      </c>
      <c r="AI294" s="1386">
        <v>4</v>
      </c>
      <c r="AJ294" s="1387">
        <f t="shared" si="164"/>
        <v>0</v>
      </c>
      <c r="AK294" s="1387">
        <f>IF(AI294=A294,IF(AND(L294="N",Table22[[#This Row],[LOQ_label]]="Y"),AJ294,$AJ294*$Y294),"")</f>
        <v>0</v>
      </c>
      <c r="AL294" s="1388">
        <f t="shared" si="165"/>
        <v>0</v>
      </c>
      <c r="AM294" s="1393">
        <f>IF(Table22[[#This Row],[Highest residue * CF*PF]]&lt;&gt;"",Table22[[#This Row],[Highest residue * CF*PF]],Table22[[#This Row],[MRL*CF*PF or MRL (if LOQ and not authorised) (acute RA)]])</f>
        <v>0</v>
      </c>
      <c r="AN294" s="1390" t="str">
        <f t="shared" si="166"/>
        <v>MRL</v>
      </c>
      <c r="AO294" s="1390" t="str">
        <f t="shared" si="167"/>
        <v/>
      </c>
      <c r="AP294" s="1404" t="str">
        <f t="shared" si="168"/>
        <v/>
      </c>
      <c r="AQ294" s="1388">
        <f t="shared" si="169"/>
        <v>0</v>
      </c>
      <c r="AR294" s="1388" t="str">
        <f t="shared" si="170"/>
        <v/>
      </c>
      <c r="AS294" s="1388" t="str">
        <f t="shared" si="171"/>
        <v/>
      </c>
      <c r="AT294" s="1388" t="str">
        <f t="shared" si="172"/>
        <v/>
      </c>
      <c r="AU294" s="1393">
        <f t="shared" si="173"/>
        <v>0</v>
      </c>
      <c r="AV294" s="1388">
        <f t="shared" si="174"/>
        <v>0</v>
      </c>
      <c r="AW294" s="1390" t="str">
        <f t="shared" si="175"/>
        <v/>
      </c>
      <c r="AX294" s="1390" t="str">
        <f t="shared" si="181"/>
        <v/>
      </c>
      <c r="AY294" s="1394" t="str">
        <f t="shared" si="176"/>
        <v/>
      </c>
      <c r="AZ294" s="1395" t="str">
        <f>IF(Table22[[#This Row],[LOQ_label]]="Y",Table22[[#This Row],[MRL individual commodity]],"")</f>
        <v/>
      </c>
      <c r="BA294" s="1396" t="s">
        <v>1038</v>
      </c>
      <c r="BB294" s="1411" t="str">
        <f>IF(Table22[[#This Row],[LOQ2]]&lt;0,MIN(AZ294:AZ670),"")</f>
        <v/>
      </c>
      <c r="BC294" s="1299"/>
      <c r="BD294" s="1306" t="str">
        <f>IF(Table22[[#This Row],[Chronic RA label]]="","N",IF(Table22[[#This Row],[Chronic RA label]]="LOQ","N",IF(Table22[[#This Row],[Chronic RA label]]="MRL","N","Y")))</f>
        <v>N</v>
      </c>
      <c r="BE294" s="1306" t="str">
        <f>IF(Table22[[#This Row],[Acute RA label]]="","N",IF(Table22[[#This Row],[Acute RA label]]="LOQ","N",IF(Table22[[#This Row],[Acute RA label]]="MRL","N","Y")))</f>
        <v>N</v>
      </c>
      <c r="BF294" s="1306" t="str">
        <f>IF(OR(Table22[[#This Row],[include commodity in Summary_input_values_chronic]]="Y",Table22[[#This Row],[include commodity in Summary_input_values_acute]]="Y"),"Y","N")</f>
        <v>N</v>
      </c>
      <c r="BG294" s="1299"/>
      <c r="BH294" s="1324"/>
    </row>
    <row r="295" spans="1:60" ht="12.75" customHeight="1" outlineLevel="3" x14ac:dyDescent="0.2">
      <c r="A295" s="39">
        <v>4</v>
      </c>
      <c r="B295" s="327">
        <v>820060</v>
      </c>
      <c r="C295" s="23" t="s">
        <v>781</v>
      </c>
      <c r="D295" s="867"/>
      <c r="E295" s="1219"/>
      <c r="F295" s="867"/>
      <c r="G295" s="869"/>
      <c r="H295" s="863"/>
      <c r="I295" s="868"/>
      <c r="J295" s="870"/>
      <c r="K295" s="865"/>
      <c r="L295" s="872"/>
      <c r="M295" s="872"/>
      <c r="N295" s="925" t="str">
        <f>IF(O295&lt;&gt;0,CONCATENATE(input_values!$AF295,input_values!$AG295,input_values!$AH295),"")</f>
        <v/>
      </c>
      <c r="O295" s="491">
        <f>IF($A$10="Refined calculation mode",Table22[[#This Row],[input for chronic (refined mode]],Table22[[#This Row],[input for chronic normal mode]])</f>
        <v>0</v>
      </c>
      <c r="P295" s="925" t="str">
        <f>IF(Q295&lt;&gt;0,CONCATENATE(input_values!$AN295,input_values!$AO295,input_values!$AP295),"")</f>
        <v/>
      </c>
      <c r="Q295" s="491">
        <f>IF($V$5=0,0,IF(OR($A$10="Refined calculation mode",Results!$B$62="Show results of IESTI calculation only for crops with GAPs under assessment"),Table22[[#This Row],[Input for IESTI (refined mode)]],Table22[[#This Row],[Input for IESTI normal mode]]))</f>
        <v>0</v>
      </c>
      <c r="R295" s="926" t="str">
        <f>IF(S295&lt;&gt;0,CONCATENATE(input_values!$AW295,input_values!$AX295,input_values!$AY295),"")</f>
        <v/>
      </c>
      <c r="S295" s="492">
        <f>IF($V$5=0,0,IF(OR($A$10="Refined calculation mode",Results!$B$62="Show results of IESTI calculation only for crops with GAPs under assessment"),Table22[[#This Row],[Input for IESTI new (refined mode)]],Table22[[#This Row],[Input for IESTI new normal mode]]))</f>
        <v>0</v>
      </c>
      <c r="T295" s="886"/>
      <c r="U295" s="1408">
        <f>Table22[[#This Row],[MRL/ proposed MRL /CXL
(mg/kg)]]</f>
        <v>0</v>
      </c>
      <c r="V295" s="1409" t="str">
        <f t="shared" si="186"/>
        <v/>
      </c>
      <c r="W295" s="1387">
        <f t="shared" si="187"/>
        <v>1</v>
      </c>
      <c r="X295" s="1387">
        <f t="shared" si="188"/>
        <v>1</v>
      </c>
      <c r="Y295" s="1387">
        <f t="shared" si="189"/>
        <v>1</v>
      </c>
      <c r="Z295" s="1410">
        <v>4</v>
      </c>
      <c r="AA295" s="1387">
        <f t="shared" si="158"/>
        <v>0</v>
      </c>
      <c r="AB295" s="1387">
        <f>IF(Z295=A295,IF(AND(L295="N",Table22[[#This Row],[LOQ_label]]="Y"),AA295,$AA295*$Y295),"")</f>
        <v>0</v>
      </c>
      <c r="AC295" s="1393">
        <f t="shared" si="159"/>
        <v>0</v>
      </c>
      <c r="AD295" s="1393">
        <f>IF(Table22[[#This Row],[Median residue*CF*PeF]]&lt;&gt;"",Table22[[#This Row],[Median residue*CF*PeF]],Table22[[#This Row],[MRL*CF*PeF (chronic)]])</f>
        <v>0</v>
      </c>
      <c r="AE295" s="1393">
        <f t="shared" si="160"/>
        <v>0</v>
      </c>
      <c r="AF295" s="1390" t="str">
        <f t="shared" si="161"/>
        <v>MRL</v>
      </c>
      <c r="AG295" s="1390" t="str">
        <f t="shared" si="162"/>
        <v/>
      </c>
      <c r="AH295" s="1394" t="str">
        <f t="shared" si="163"/>
        <v/>
      </c>
      <c r="AI295" s="1386">
        <v>4</v>
      </c>
      <c r="AJ295" s="1387">
        <f t="shared" si="164"/>
        <v>0</v>
      </c>
      <c r="AK295" s="1387">
        <f>IF(AI295=A295,IF(AND(L295="N",Table22[[#This Row],[LOQ_label]]="Y"),AJ295,$AJ295*$Y295),"")</f>
        <v>0</v>
      </c>
      <c r="AL295" s="1388">
        <f t="shared" si="165"/>
        <v>0</v>
      </c>
      <c r="AM295" s="1393">
        <f>IF(Table22[[#This Row],[Highest residue * CF*PF]]&lt;&gt;"",Table22[[#This Row],[Highest residue * CF*PF]],Table22[[#This Row],[MRL*CF*PF or MRL (if LOQ and not authorised) (acute RA)]])</f>
        <v>0</v>
      </c>
      <c r="AN295" s="1390" t="str">
        <f t="shared" si="166"/>
        <v>MRL</v>
      </c>
      <c r="AO295" s="1390" t="str">
        <f t="shared" si="167"/>
        <v/>
      </c>
      <c r="AP295" s="1404" t="str">
        <f t="shared" si="168"/>
        <v/>
      </c>
      <c r="AQ295" s="1388">
        <f t="shared" si="169"/>
        <v>0</v>
      </c>
      <c r="AR295" s="1388" t="str">
        <f t="shared" si="170"/>
        <v/>
      </c>
      <c r="AS295" s="1388" t="str">
        <f t="shared" si="171"/>
        <v/>
      </c>
      <c r="AT295" s="1388" t="str">
        <f t="shared" si="172"/>
        <v/>
      </c>
      <c r="AU295" s="1393">
        <f t="shared" si="173"/>
        <v>0</v>
      </c>
      <c r="AV295" s="1388">
        <f t="shared" si="174"/>
        <v>0</v>
      </c>
      <c r="AW295" s="1390" t="str">
        <f t="shared" si="175"/>
        <v/>
      </c>
      <c r="AX295" s="1390" t="str">
        <f t="shared" si="181"/>
        <v/>
      </c>
      <c r="AY295" s="1394" t="str">
        <f t="shared" si="176"/>
        <v/>
      </c>
      <c r="AZ295" s="1395" t="str">
        <f>IF(Table22[[#This Row],[LOQ_label]]="Y",Table22[[#This Row],[MRL individual commodity]],"")</f>
        <v/>
      </c>
      <c r="BA295" s="1396" t="s">
        <v>1038</v>
      </c>
      <c r="BB295" s="1411" t="str">
        <f>IF(Table22[[#This Row],[LOQ2]]&lt;0,MIN(AZ295:AZ671),"")</f>
        <v/>
      </c>
      <c r="BC295" s="1299"/>
      <c r="BD295" s="1306" t="str">
        <f>IF(Table22[[#This Row],[Chronic RA label]]="","N",IF(Table22[[#This Row],[Chronic RA label]]="LOQ","N",IF(Table22[[#This Row],[Chronic RA label]]="MRL","N","Y")))</f>
        <v>N</v>
      </c>
      <c r="BE295" s="1306" t="str">
        <f>IF(Table22[[#This Row],[Acute RA label]]="","N",IF(Table22[[#This Row],[Acute RA label]]="LOQ","N",IF(Table22[[#This Row],[Acute RA label]]="MRL","N","Y")))</f>
        <v>N</v>
      </c>
      <c r="BF295" s="1306" t="str">
        <f>IF(OR(Table22[[#This Row],[include commodity in Summary_input_values_chronic]]="Y",Table22[[#This Row],[include commodity in Summary_input_values_acute]]="Y"),"Y","N")</f>
        <v>N</v>
      </c>
      <c r="BG295" s="1299"/>
      <c r="BH295" s="1324"/>
    </row>
    <row r="296" spans="1:60" ht="12.75" customHeight="1" outlineLevel="3" x14ac:dyDescent="0.2">
      <c r="A296" s="39">
        <v>4</v>
      </c>
      <c r="B296" s="327">
        <v>820070</v>
      </c>
      <c r="C296" s="23" t="s">
        <v>122</v>
      </c>
      <c r="D296" s="867"/>
      <c r="E296" s="1219"/>
      <c r="F296" s="867"/>
      <c r="G296" s="869"/>
      <c r="H296" s="863"/>
      <c r="I296" s="868"/>
      <c r="J296" s="870"/>
      <c r="K296" s="865"/>
      <c r="L296" s="872"/>
      <c r="M296" s="872"/>
      <c r="N296" s="925" t="str">
        <f>IF(O296&lt;&gt;0,CONCATENATE(input_values!$AF296,input_values!$AG296,input_values!$AH296),"")</f>
        <v/>
      </c>
      <c r="O296" s="491">
        <f>IF($A$10="Refined calculation mode",Table22[[#This Row],[input for chronic (refined mode]],Table22[[#This Row],[input for chronic normal mode]])</f>
        <v>0</v>
      </c>
      <c r="P296" s="925" t="str">
        <f>IF(Q296&lt;&gt;0,CONCATENATE(input_values!$AN296,input_values!$AO296,input_values!$AP296),"")</f>
        <v/>
      </c>
      <c r="Q296" s="491">
        <f>IF($V$5=0,0,IF(OR($A$10="Refined calculation mode",Results!$B$62="Show results of IESTI calculation only for crops with GAPs under assessment"),Table22[[#This Row],[Input for IESTI (refined mode)]],Table22[[#This Row],[Input for IESTI normal mode]]))</f>
        <v>0</v>
      </c>
      <c r="R296" s="926" t="str">
        <f>IF(S296&lt;&gt;0,CONCATENATE(input_values!$AW296,input_values!$AX296,input_values!$AY296),"")</f>
        <v/>
      </c>
      <c r="S296" s="492">
        <f>IF($V$5=0,0,IF(OR($A$10="Refined calculation mode",Results!$B$62="Show results of IESTI calculation only for crops with GAPs under assessment"),Table22[[#This Row],[Input for IESTI new (refined mode)]],Table22[[#This Row],[Input for IESTI new normal mode]]))</f>
        <v>0</v>
      </c>
      <c r="T296" s="886"/>
      <c r="U296" s="1408">
        <f>Table22[[#This Row],[MRL/ proposed MRL /CXL
(mg/kg)]]</f>
        <v>0</v>
      </c>
      <c r="V296" s="1409" t="str">
        <f t="shared" si="186"/>
        <v/>
      </c>
      <c r="W296" s="1387">
        <f t="shared" si="187"/>
        <v>1</v>
      </c>
      <c r="X296" s="1387">
        <f t="shared" si="188"/>
        <v>1</v>
      </c>
      <c r="Y296" s="1387">
        <f t="shared" si="189"/>
        <v>1</v>
      </c>
      <c r="Z296" s="1410">
        <v>4</v>
      </c>
      <c r="AA296" s="1387">
        <f t="shared" si="158"/>
        <v>0</v>
      </c>
      <c r="AB296" s="1387">
        <f>IF(Z296=A296,IF(AND(L296="N",Table22[[#This Row],[LOQ_label]]="Y"),AA296,$AA296*$Y296),"")</f>
        <v>0</v>
      </c>
      <c r="AC296" s="1393">
        <f t="shared" si="159"/>
        <v>0</v>
      </c>
      <c r="AD296" s="1393">
        <f>IF(Table22[[#This Row],[Median residue*CF*PeF]]&lt;&gt;"",Table22[[#This Row],[Median residue*CF*PeF]],Table22[[#This Row],[MRL*CF*PeF (chronic)]])</f>
        <v>0</v>
      </c>
      <c r="AE296" s="1393">
        <f t="shared" si="160"/>
        <v>0</v>
      </c>
      <c r="AF296" s="1390" t="str">
        <f t="shared" si="161"/>
        <v>MRL</v>
      </c>
      <c r="AG296" s="1390" t="str">
        <f t="shared" si="162"/>
        <v/>
      </c>
      <c r="AH296" s="1394" t="str">
        <f t="shared" si="163"/>
        <v/>
      </c>
      <c r="AI296" s="1386">
        <v>4</v>
      </c>
      <c r="AJ296" s="1387">
        <f t="shared" si="164"/>
        <v>0</v>
      </c>
      <c r="AK296" s="1387">
        <f>IF(AI296=A296,IF(AND(L296="N",Table22[[#This Row],[LOQ_label]]="Y"),AJ296,$AJ296*$Y296),"")</f>
        <v>0</v>
      </c>
      <c r="AL296" s="1388">
        <f t="shared" si="165"/>
        <v>0</v>
      </c>
      <c r="AM296" s="1393">
        <f>IF(Table22[[#This Row],[Highest residue * CF*PF]]&lt;&gt;"",Table22[[#This Row],[Highest residue * CF*PF]],Table22[[#This Row],[MRL*CF*PF or MRL (if LOQ and not authorised) (acute RA)]])</f>
        <v>0</v>
      </c>
      <c r="AN296" s="1390" t="str">
        <f t="shared" si="166"/>
        <v>MRL</v>
      </c>
      <c r="AO296" s="1390" t="str">
        <f t="shared" si="167"/>
        <v/>
      </c>
      <c r="AP296" s="1404" t="str">
        <f t="shared" si="168"/>
        <v/>
      </c>
      <c r="AQ296" s="1388">
        <f t="shared" si="169"/>
        <v>0</v>
      </c>
      <c r="AR296" s="1388" t="str">
        <f t="shared" si="170"/>
        <v/>
      </c>
      <c r="AS296" s="1388" t="str">
        <f t="shared" si="171"/>
        <v/>
      </c>
      <c r="AT296" s="1388" t="str">
        <f t="shared" si="172"/>
        <v/>
      </c>
      <c r="AU296" s="1393">
        <f t="shared" si="173"/>
        <v>0</v>
      </c>
      <c r="AV296" s="1388">
        <f t="shared" si="174"/>
        <v>0</v>
      </c>
      <c r="AW296" s="1390" t="str">
        <f t="shared" si="175"/>
        <v/>
      </c>
      <c r="AX296" s="1390" t="str">
        <f t="shared" si="181"/>
        <v/>
      </c>
      <c r="AY296" s="1394" t="str">
        <f t="shared" si="176"/>
        <v/>
      </c>
      <c r="AZ296" s="1395" t="str">
        <f>IF(Table22[[#This Row],[LOQ_label]]="Y",Table22[[#This Row],[MRL individual commodity]],"")</f>
        <v/>
      </c>
      <c r="BA296" s="1396" t="s">
        <v>1038</v>
      </c>
      <c r="BB296" s="1411" t="str">
        <f>IF(Table22[[#This Row],[LOQ2]]&lt;0,MIN(AZ296:AZ672),"")</f>
        <v/>
      </c>
      <c r="BC296" s="1299"/>
      <c r="BD296" s="1306" t="str">
        <f>IF(Table22[[#This Row],[Chronic RA label]]="","N",IF(Table22[[#This Row],[Chronic RA label]]="LOQ","N",IF(Table22[[#This Row],[Chronic RA label]]="MRL","N","Y")))</f>
        <v>N</v>
      </c>
      <c r="BE296" s="1306" t="str">
        <f>IF(Table22[[#This Row],[Acute RA label]]="","N",IF(Table22[[#This Row],[Acute RA label]]="LOQ","N",IF(Table22[[#This Row],[Acute RA label]]="MRL","N","Y")))</f>
        <v>N</v>
      </c>
      <c r="BF296" s="1306" t="str">
        <f>IF(OR(Table22[[#This Row],[include commodity in Summary_input_values_chronic]]="Y",Table22[[#This Row],[include commodity in Summary_input_values_acute]]="Y"),"Y","N")</f>
        <v>N</v>
      </c>
      <c r="BG296" s="1299"/>
      <c r="BH296" s="1324"/>
    </row>
    <row r="297" spans="1:60" ht="12.75" customHeight="1" outlineLevel="3" x14ac:dyDescent="0.2">
      <c r="A297" s="39">
        <v>4</v>
      </c>
      <c r="B297" s="327">
        <v>820080</v>
      </c>
      <c r="C297" s="23" t="s">
        <v>123</v>
      </c>
      <c r="D297" s="867"/>
      <c r="E297" s="1219"/>
      <c r="F297" s="867"/>
      <c r="G297" s="869"/>
      <c r="H297" s="863"/>
      <c r="I297" s="868"/>
      <c r="J297" s="870"/>
      <c r="K297" s="865"/>
      <c r="L297" s="872"/>
      <c r="M297" s="872"/>
      <c r="N297" s="925" t="str">
        <f>IF(O297&lt;&gt;0,CONCATENATE(input_values!$AF297,input_values!$AG297,input_values!$AH297),"")</f>
        <v/>
      </c>
      <c r="O297" s="491">
        <f>IF($A$10="Refined calculation mode",Table22[[#This Row],[input for chronic (refined mode]],Table22[[#This Row],[input for chronic normal mode]])</f>
        <v>0</v>
      </c>
      <c r="P297" s="925" t="str">
        <f>IF(Q297&lt;&gt;0,CONCATENATE(input_values!$AN297,input_values!$AO297,input_values!$AP297),"")</f>
        <v/>
      </c>
      <c r="Q297" s="491">
        <f>IF($V$5=0,0,IF(OR($A$10="Refined calculation mode",Results!$B$62="Show results of IESTI calculation only for crops with GAPs under assessment"),Table22[[#This Row],[Input for IESTI (refined mode)]],Table22[[#This Row],[Input for IESTI normal mode]]))</f>
        <v>0</v>
      </c>
      <c r="R297" s="926" t="str">
        <f>IF(S297&lt;&gt;0,CONCATENATE(input_values!$AW297,input_values!$AX297,input_values!$AY297),"")</f>
        <v/>
      </c>
      <c r="S297" s="492">
        <f>IF($V$5=0,0,IF(OR($A$10="Refined calculation mode",Results!$B$62="Show results of IESTI calculation only for crops with GAPs under assessment"),Table22[[#This Row],[Input for IESTI new (refined mode)]],Table22[[#This Row],[Input for IESTI new normal mode]]))</f>
        <v>0</v>
      </c>
      <c r="T297" s="886"/>
      <c r="U297" s="1408">
        <f>Table22[[#This Row],[MRL/ proposed MRL /CXL
(mg/kg)]]</f>
        <v>0</v>
      </c>
      <c r="V297" s="1409" t="str">
        <f t="shared" si="186"/>
        <v/>
      </c>
      <c r="W297" s="1387">
        <f t="shared" si="187"/>
        <v>1</v>
      </c>
      <c r="X297" s="1387">
        <f t="shared" si="188"/>
        <v>1</v>
      </c>
      <c r="Y297" s="1387">
        <f t="shared" si="189"/>
        <v>1</v>
      </c>
      <c r="Z297" s="1410">
        <v>4</v>
      </c>
      <c r="AA297" s="1387">
        <f t="shared" si="158"/>
        <v>0</v>
      </c>
      <c r="AB297" s="1387">
        <f>IF(Z297=A297,IF(AND(L297="N",Table22[[#This Row],[LOQ_label]]="Y"),AA297,$AA297*$Y297),"")</f>
        <v>0</v>
      </c>
      <c r="AC297" s="1393">
        <f t="shared" si="159"/>
        <v>0</v>
      </c>
      <c r="AD297" s="1393">
        <f>IF(Table22[[#This Row],[Median residue*CF*PeF]]&lt;&gt;"",Table22[[#This Row],[Median residue*CF*PeF]],Table22[[#This Row],[MRL*CF*PeF (chronic)]])</f>
        <v>0</v>
      </c>
      <c r="AE297" s="1393">
        <f t="shared" si="160"/>
        <v>0</v>
      </c>
      <c r="AF297" s="1390" t="str">
        <f t="shared" si="161"/>
        <v>MRL</v>
      </c>
      <c r="AG297" s="1390" t="str">
        <f t="shared" si="162"/>
        <v/>
      </c>
      <c r="AH297" s="1394" t="str">
        <f t="shared" si="163"/>
        <v/>
      </c>
      <c r="AI297" s="1386">
        <v>4</v>
      </c>
      <c r="AJ297" s="1387">
        <f t="shared" si="164"/>
        <v>0</v>
      </c>
      <c r="AK297" s="1387">
        <f>IF(AI297=A297,IF(AND(L297="N",Table22[[#This Row],[LOQ_label]]="Y"),AJ297,$AJ297*$Y297),"")</f>
        <v>0</v>
      </c>
      <c r="AL297" s="1388">
        <f t="shared" si="165"/>
        <v>0</v>
      </c>
      <c r="AM297" s="1393">
        <f>IF(Table22[[#This Row],[Highest residue * CF*PF]]&lt;&gt;"",Table22[[#This Row],[Highest residue * CF*PF]],Table22[[#This Row],[MRL*CF*PF or MRL (if LOQ and not authorised) (acute RA)]])</f>
        <v>0</v>
      </c>
      <c r="AN297" s="1390" t="str">
        <f t="shared" si="166"/>
        <v>MRL</v>
      </c>
      <c r="AO297" s="1390" t="str">
        <f t="shared" si="167"/>
        <v/>
      </c>
      <c r="AP297" s="1404" t="str">
        <f t="shared" si="168"/>
        <v/>
      </c>
      <c r="AQ297" s="1388">
        <f t="shared" si="169"/>
        <v>0</v>
      </c>
      <c r="AR297" s="1388" t="str">
        <f t="shared" si="170"/>
        <v/>
      </c>
      <c r="AS297" s="1388" t="str">
        <f t="shared" si="171"/>
        <v/>
      </c>
      <c r="AT297" s="1388" t="str">
        <f t="shared" si="172"/>
        <v/>
      </c>
      <c r="AU297" s="1393">
        <f t="shared" si="173"/>
        <v>0</v>
      </c>
      <c r="AV297" s="1388">
        <f t="shared" si="174"/>
        <v>0</v>
      </c>
      <c r="AW297" s="1390" t="str">
        <f t="shared" si="175"/>
        <v/>
      </c>
      <c r="AX297" s="1390" t="str">
        <f t="shared" si="181"/>
        <v/>
      </c>
      <c r="AY297" s="1394" t="str">
        <f t="shared" si="176"/>
        <v/>
      </c>
      <c r="AZ297" s="1395" t="str">
        <f>IF(Table22[[#This Row],[LOQ_label]]="Y",Table22[[#This Row],[MRL individual commodity]],"")</f>
        <v/>
      </c>
      <c r="BA297" s="1449" t="s">
        <v>654</v>
      </c>
      <c r="BB297" s="1411" t="str">
        <f>IF(Table22[[#This Row],[LOQ2]]&lt;0,MIN(AZ297:AZ673),"")</f>
        <v/>
      </c>
      <c r="BC297" s="1299"/>
      <c r="BD297" s="1306" t="str">
        <f>IF(Table22[[#This Row],[Chronic RA label]]="","N",IF(Table22[[#This Row],[Chronic RA label]]="LOQ","N",IF(Table22[[#This Row],[Chronic RA label]]="MRL","N","Y")))</f>
        <v>N</v>
      </c>
      <c r="BE297" s="1306" t="str">
        <f>IF(Table22[[#This Row],[Acute RA label]]="","N",IF(Table22[[#This Row],[Acute RA label]]="LOQ","N",IF(Table22[[#This Row],[Acute RA label]]="MRL","N","Y")))</f>
        <v>N</v>
      </c>
      <c r="BF297" s="1306" t="str">
        <f>IF(OR(Table22[[#This Row],[include commodity in Summary_input_values_chronic]]="Y",Table22[[#This Row],[include commodity in Summary_input_values_acute]]="Y"),"Y","N")</f>
        <v>N</v>
      </c>
      <c r="BG297" s="1299"/>
      <c r="BH297" s="1324"/>
    </row>
    <row r="298" spans="1:60" ht="12.75" customHeight="1" outlineLevel="3" x14ac:dyDescent="0.2">
      <c r="A298" s="39">
        <v>4</v>
      </c>
      <c r="B298" s="327">
        <v>820990</v>
      </c>
      <c r="C298" s="23" t="s">
        <v>782</v>
      </c>
      <c r="D298" s="867"/>
      <c r="E298" s="1219"/>
      <c r="F298" s="867"/>
      <c r="G298" s="869"/>
      <c r="H298" s="863"/>
      <c r="I298" s="868"/>
      <c r="J298" s="870"/>
      <c r="K298" s="865"/>
      <c r="L298" s="872"/>
      <c r="M298" s="872"/>
      <c r="N298" s="925" t="str">
        <f>IF(O298&lt;&gt;0,CONCATENATE(input_values!$AF298,input_values!$AG298,input_values!$AH298),"")</f>
        <v/>
      </c>
      <c r="O298" s="491">
        <f>IF($A$10="Refined calculation mode",Table22[[#This Row],[input for chronic (refined mode]],Table22[[#This Row],[input for chronic normal mode]])</f>
        <v>0</v>
      </c>
      <c r="P298" s="473"/>
      <c r="Q298" s="474"/>
      <c r="R298" s="473"/>
      <c r="S298" s="474"/>
      <c r="T298" s="886"/>
      <c r="U298" s="1408">
        <f>Table22[[#This Row],[MRL/ proposed MRL /CXL
(mg/kg)]]</f>
        <v>0</v>
      </c>
      <c r="V298" s="1409" t="str">
        <f t="shared" si="186"/>
        <v/>
      </c>
      <c r="W298" s="1387">
        <f t="shared" si="187"/>
        <v>1</v>
      </c>
      <c r="X298" s="1387">
        <f t="shared" si="188"/>
        <v>1</v>
      </c>
      <c r="Y298" s="1387">
        <f t="shared" si="189"/>
        <v>1</v>
      </c>
      <c r="Z298" s="1410">
        <v>4</v>
      </c>
      <c r="AA298" s="1387">
        <f t="shared" si="158"/>
        <v>0</v>
      </c>
      <c r="AB298" s="1387">
        <f>IF(Z298=A298,IF(AND(L298="N",Table22[[#This Row],[LOQ_label]]="Y"),AA298,$AA298*$Y298),"")</f>
        <v>0</v>
      </c>
      <c r="AC298" s="1393">
        <f t="shared" si="159"/>
        <v>0</v>
      </c>
      <c r="AD298" s="1393">
        <f>IF(Table22[[#This Row],[Median residue*CF*PeF]]&lt;&gt;"",Table22[[#This Row],[Median residue*CF*PeF]],Table22[[#This Row],[MRL*CF*PeF (chronic)]])</f>
        <v>0</v>
      </c>
      <c r="AE298" s="1393">
        <f t="shared" si="160"/>
        <v>0</v>
      </c>
      <c r="AF298" s="1390" t="str">
        <f t="shared" si="161"/>
        <v>MRL</v>
      </c>
      <c r="AG298" s="1390" t="str">
        <f t="shared" si="162"/>
        <v/>
      </c>
      <c r="AH298" s="1394" t="str">
        <f t="shared" si="163"/>
        <v/>
      </c>
      <c r="AI298" s="1386"/>
      <c r="AJ298" s="1387" t="str">
        <f t="shared" si="164"/>
        <v/>
      </c>
      <c r="AK298" s="1387" t="str">
        <f>IF(AI298=A298,IF(AND(L298="N",Table22[[#This Row],[LOQ_label]]="Y"),AJ298,$AJ298*$Y298),"")</f>
        <v/>
      </c>
      <c r="AL298" s="1388" t="str">
        <f t="shared" si="165"/>
        <v/>
      </c>
      <c r="AM298" s="1393" t="str">
        <f>IF(Table22[[#This Row],[Highest residue * CF*PF]]&lt;&gt;"",Table22[[#This Row],[Highest residue * CF*PF]],Table22[[#This Row],[MRL*CF*PF or MRL (if LOQ and not authorised) (acute RA)]])</f>
        <v/>
      </c>
      <c r="AN298" s="1390" t="str">
        <f t="shared" si="166"/>
        <v/>
      </c>
      <c r="AO298" s="1390" t="str">
        <f t="shared" si="167"/>
        <v/>
      </c>
      <c r="AP298" s="1404" t="str">
        <f t="shared" si="168"/>
        <v/>
      </c>
      <c r="AQ298" s="1388">
        <f t="shared" si="169"/>
        <v>0</v>
      </c>
      <c r="AR298" s="1388" t="str">
        <f t="shared" si="170"/>
        <v/>
      </c>
      <c r="AS298" s="1388" t="str">
        <f t="shared" si="171"/>
        <v/>
      </c>
      <c r="AT298" s="1388" t="str">
        <f t="shared" si="172"/>
        <v/>
      </c>
      <c r="AU298" s="1393" t="str">
        <f t="shared" si="173"/>
        <v/>
      </c>
      <c r="AV298" s="1388">
        <f t="shared" si="174"/>
        <v>0</v>
      </c>
      <c r="AW298" s="1390" t="str">
        <f t="shared" si="175"/>
        <v/>
      </c>
      <c r="AX298" s="1390" t="str">
        <f t="shared" si="181"/>
        <v/>
      </c>
      <c r="AY298" s="1394" t="str">
        <f t="shared" si="176"/>
        <v/>
      </c>
      <c r="AZ298" s="1395" t="str">
        <f>IF(Table22[[#This Row],[LOQ_label]]="Y",Table22[[#This Row],[MRL individual commodity]],"")</f>
        <v/>
      </c>
      <c r="BA298" s="1396" t="s">
        <v>1159</v>
      </c>
      <c r="BB298" s="1411" t="str">
        <f>IF(Table22[[#This Row],[LOQ2]]&lt;0,MIN(AZ298:AZ674),"")</f>
        <v/>
      </c>
      <c r="BC298" s="1299"/>
      <c r="BD298" s="1306" t="str">
        <f>IF(Table22[[#This Row],[Chronic RA label]]="","N",IF(Table22[[#This Row],[Chronic RA label]]="LOQ","N",IF(Table22[[#This Row],[Chronic RA label]]="MRL","N","Y")))</f>
        <v>N</v>
      </c>
      <c r="BE298" s="1306" t="str">
        <f>IF(Table22[[#This Row],[Acute RA label]]="","N",IF(Table22[[#This Row],[Acute RA label]]="LOQ","N",IF(Table22[[#This Row],[Acute RA label]]="MRL","N","Y")))</f>
        <v>N</v>
      </c>
      <c r="BF298" s="1306" t="str">
        <f>IF(OR(Table22[[#This Row],[include commodity in Summary_input_values_chronic]]="Y",Table22[[#This Row],[include commodity in Summary_input_values_acute]]="Y"),"Y","N")</f>
        <v>N</v>
      </c>
      <c r="BG298" s="1299"/>
      <c r="BH298" s="1324"/>
    </row>
    <row r="299" spans="1:60" ht="12.75" customHeight="1" outlineLevel="1" x14ac:dyDescent="0.2">
      <c r="A299" s="130">
        <v>2</v>
      </c>
      <c r="B299" s="447">
        <v>830000</v>
      </c>
      <c r="C299" s="131" t="s">
        <v>78</v>
      </c>
      <c r="D299" s="862"/>
      <c r="E299" s="1218"/>
      <c r="F299" s="862"/>
      <c r="G299" s="866"/>
      <c r="H299" s="863"/>
      <c r="I299" s="863"/>
      <c r="J299" s="864"/>
      <c r="K299" s="865"/>
      <c r="L299" s="471"/>
      <c r="M299" s="471"/>
      <c r="N299" s="473"/>
      <c r="O299" s="474"/>
      <c r="P299" s="473"/>
      <c r="Q299" s="474"/>
      <c r="R299" s="473"/>
      <c r="S299" s="474"/>
      <c r="T299" s="886"/>
      <c r="U299" s="1415"/>
      <c r="V299" s="1380"/>
      <c r="W299" s="1381"/>
      <c r="X299" s="1381"/>
      <c r="Y299" s="1381"/>
      <c r="Z299" s="1382">
        <v>4</v>
      </c>
      <c r="AA299" s="1381" t="str">
        <f t="shared" si="158"/>
        <v/>
      </c>
      <c r="AB299" s="1381" t="str">
        <f>IF(Z299=A299,IF(AND(L299="N",Table22[[#This Row],[LOQ_label]]="Y"),AA299,$AA299*$Y299),"")</f>
        <v/>
      </c>
      <c r="AC299" s="1383" t="str">
        <f t="shared" si="159"/>
        <v/>
      </c>
      <c r="AD299" s="1383" t="str">
        <f>IF(Table22[[#This Row],[Median residue*CF*PeF]]&lt;&gt;"",Table22[[#This Row],[Median residue*CF*PeF]],Table22[[#This Row],[MRL*CF*PeF (chronic)]])</f>
        <v/>
      </c>
      <c r="AE299" s="1384">
        <f t="shared" si="160"/>
        <v>0</v>
      </c>
      <c r="AF299" s="1385" t="str">
        <f t="shared" si="161"/>
        <v/>
      </c>
      <c r="AG299" s="1385" t="str">
        <f t="shared" si="162"/>
        <v/>
      </c>
      <c r="AH299" s="1270" t="str">
        <f t="shared" si="163"/>
        <v/>
      </c>
      <c r="AI299" s="1386">
        <v>4</v>
      </c>
      <c r="AJ299" s="1387" t="str">
        <f t="shared" si="164"/>
        <v/>
      </c>
      <c r="AK299" s="1387" t="str">
        <f>IF(AI299=A299,IF(AND(L299="N",Table22[[#This Row],[LOQ_label]]="Y"),AJ299,$AJ299*$Y299),"")</f>
        <v/>
      </c>
      <c r="AL299" s="1388" t="str">
        <f t="shared" si="165"/>
        <v/>
      </c>
      <c r="AM299" s="1393" t="str">
        <f>IF(Table22[[#This Row],[Highest residue * CF*PF]]&lt;&gt;"",Table22[[#This Row],[Highest residue * CF*PF]],Table22[[#This Row],[MRL*CF*PF or MRL (if LOQ and not authorised) (acute RA)]])</f>
        <v/>
      </c>
      <c r="AN299" s="1390" t="str">
        <f t="shared" si="166"/>
        <v/>
      </c>
      <c r="AO299" s="1390" t="str">
        <f t="shared" si="167"/>
        <v/>
      </c>
      <c r="AP299" s="1404" t="str">
        <f t="shared" si="168"/>
        <v/>
      </c>
      <c r="AQ299" s="1388">
        <f t="shared" si="169"/>
        <v>0</v>
      </c>
      <c r="AR299" s="1388" t="str">
        <f t="shared" si="170"/>
        <v/>
      </c>
      <c r="AS299" s="1388" t="str">
        <f t="shared" si="171"/>
        <v/>
      </c>
      <c r="AT299" s="1388" t="str">
        <f t="shared" si="172"/>
        <v/>
      </c>
      <c r="AU299" s="1393" t="str">
        <f t="shared" si="173"/>
        <v/>
      </c>
      <c r="AV299" s="1388">
        <f t="shared" si="174"/>
        <v>0</v>
      </c>
      <c r="AW299" s="1390" t="str">
        <f t="shared" si="175"/>
        <v/>
      </c>
      <c r="AX299" s="1390" t="str">
        <f t="shared" si="181"/>
        <v/>
      </c>
      <c r="AY299" s="1394" t="str">
        <f t="shared" si="176"/>
        <v/>
      </c>
      <c r="AZ299" s="1395">
        <f>IF(Table22[[#This Row],[LOQ_label]]="Y",Table22[[#This Row],[MRL individual commodity]],"")</f>
        <v>0</v>
      </c>
      <c r="BA299" s="1396" t="s">
        <v>1159</v>
      </c>
      <c r="BB299" s="1411" t="str">
        <f>IF(Table22[[#This Row],[LOQ2]]&lt;0,MIN(AZ299:AZ675),"")</f>
        <v/>
      </c>
      <c r="BC299" s="1299"/>
      <c r="BD299" s="1306" t="str">
        <f>IF(Table22[[#This Row],[Chronic RA label]]="","N",IF(Table22[[#This Row],[Chronic RA label]]="LOQ","N",IF(Table22[[#This Row],[Chronic RA label]]="MRL","N","Y")))</f>
        <v>N</v>
      </c>
      <c r="BE299" s="1306" t="str">
        <f>IF(Table22[[#This Row],[Acute RA label]]="","N",IF(Table22[[#This Row],[Acute RA label]]="LOQ","N",IF(Table22[[#This Row],[Acute RA label]]="MRL","N","Y")))</f>
        <v>N</v>
      </c>
      <c r="BF299" s="1306" t="str">
        <f>IF(OR(Table22[[#This Row],[include commodity in Summary_input_values_chronic]]="Y",Table22[[#This Row],[include commodity in Summary_input_values_acute]]="Y"),"Y","N")</f>
        <v>N</v>
      </c>
      <c r="BG299" s="1299"/>
      <c r="BH299" s="1324"/>
    </row>
    <row r="300" spans="1:60" ht="12.75" customHeight="1" outlineLevel="3" x14ac:dyDescent="0.2">
      <c r="A300" s="39">
        <v>4</v>
      </c>
      <c r="B300" s="327">
        <v>830010</v>
      </c>
      <c r="C300" s="23" t="s">
        <v>124</v>
      </c>
      <c r="D300" s="867"/>
      <c r="E300" s="1219"/>
      <c r="F300" s="867"/>
      <c r="G300" s="869"/>
      <c r="H300" s="863"/>
      <c r="I300" s="868"/>
      <c r="J300" s="870"/>
      <c r="K300" s="865"/>
      <c r="L300" s="872"/>
      <c r="M300" s="872"/>
      <c r="N300" s="925" t="str">
        <f>IF(O300&lt;&gt;0,CONCATENATE(input_values!$AF300,input_values!$AG300,input_values!$AH300),"")</f>
        <v/>
      </c>
      <c r="O300" s="491">
        <f>IF($A$10="Refined calculation mode",Table22[[#This Row],[input for chronic (refined mode]],Table22[[#This Row],[input for chronic normal mode]])</f>
        <v>0</v>
      </c>
      <c r="P300" s="925" t="str">
        <f>IF(Q300&lt;&gt;0,CONCATENATE(input_values!$AN300,input_values!$AO300,input_values!$AP300),"")</f>
        <v/>
      </c>
      <c r="Q300" s="491">
        <f>IF($V$5=0,0,IF(OR($A$10="Refined calculation mode",Results!$B$62="Show results of IESTI calculation only for crops with GAPs under assessment"),Table22[[#This Row],[Input for IESTI (refined mode)]],Table22[[#This Row],[Input for IESTI normal mode]]))</f>
        <v>0</v>
      </c>
      <c r="R300" s="926" t="str">
        <f>IF(S300&lt;&gt;0,CONCATENATE(input_values!$AW300,input_values!$AX300,input_values!$AY300),"")</f>
        <v/>
      </c>
      <c r="S300" s="492">
        <f>IF($V$5=0,0,IF(OR($A$10="Refined calculation mode",Results!$B$62="Show results of IESTI calculation only for crops with GAPs under assessment"),Table22[[#This Row],[Input for IESTI new (refined mode)]],Table22[[#This Row],[Input for IESTI new normal mode]]))</f>
        <v>0</v>
      </c>
      <c r="T300" s="886"/>
      <c r="U300" s="1408">
        <f>Table22[[#This Row],[MRL/ proposed MRL /CXL
(mg/kg)]]</f>
        <v>0</v>
      </c>
      <c r="V300" s="1409" t="str">
        <f>IF(ISBLANK(F300),"","Y")</f>
        <v/>
      </c>
      <c r="W300" s="1387">
        <f>IF($G300&gt;0,$G300,1)</f>
        <v>1</v>
      </c>
      <c r="X300" s="1387">
        <f>IF($H300&gt;0,$H300,1)</f>
        <v>1</v>
      </c>
      <c r="Y300" s="1387">
        <f>W300*X300</f>
        <v>1</v>
      </c>
      <c r="Z300" s="1410">
        <v>4</v>
      </c>
      <c r="AA300" s="1387">
        <f t="shared" si="158"/>
        <v>0</v>
      </c>
      <c r="AB300" s="1387">
        <f>IF(Z300=A300,IF(AND(L300="N",Table22[[#This Row],[LOQ_label]]="Y"),AA300,$AA300*$Y300),"")</f>
        <v>0</v>
      </c>
      <c r="AC300" s="1393">
        <f t="shared" si="159"/>
        <v>0</v>
      </c>
      <c r="AD300" s="1393">
        <f>IF(Table22[[#This Row],[Median residue*CF*PeF]]&lt;&gt;"",Table22[[#This Row],[Median residue*CF*PeF]],Table22[[#This Row],[MRL*CF*PeF (chronic)]])</f>
        <v>0</v>
      </c>
      <c r="AE300" s="1393">
        <f t="shared" si="160"/>
        <v>0</v>
      </c>
      <c r="AF300" s="1390" t="str">
        <f t="shared" si="161"/>
        <v>MRL</v>
      </c>
      <c r="AG300" s="1390" t="str">
        <f t="shared" si="162"/>
        <v/>
      </c>
      <c r="AH300" s="1394" t="str">
        <f t="shared" si="163"/>
        <v/>
      </c>
      <c r="AI300" s="1386">
        <v>4</v>
      </c>
      <c r="AJ300" s="1387">
        <f t="shared" si="164"/>
        <v>0</v>
      </c>
      <c r="AK300" s="1387">
        <f>IF(AI300=A300,IF(AND(L300="N",Table22[[#This Row],[LOQ_label]]="Y"),AJ300,$AJ300*$Y300),"")</f>
        <v>0</v>
      </c>
      <c r="AL300" s="1388">
        <f t="shared" si="165"/>
        <v>0</v>
      </c>
      <c r="AM300" s="1393">
        <f>IF(Table22[[#This Row],[Highest residue * CF*PF]]&lt;&gt;"",Table22[[#This Row],[Highest residue * CF*PF]],Table22[[#This Row],[MRL*CF*PF or MRL (if LOQ and not authorised) (acute RA)]])</f>
        <v>0</v>
      </c>
      <c r="AN300" s="1390" t="str">
        <f t="shared" si="166"/>
        <v>MRL</v>
      </c>
      <c r="AO300" s="1390" t="str">
        <f t="shared" si="167"/>
        <v/>
      </c>
      <c r="AP300" s="1404" t="str">
        <f t="shared" si="168"/>
        <v/>
      </c>
      <c r="AQ300" s="1388">
        <f t="shared" si="169"/>
        <v>0</v>
      </c>
      <c r="AR300" s="1388" t="str">
        <f t="shared" si="170"/>
        <v/>
      </c>
      <c r="AS300" s="1388" t="str">
        <f t="shared" si="171"/>
        <v/>
      </c>
      <c r="AT300" s="1388" t="str">
        <f t="shared" si="172"/>
        <v/>
      </c>
      <c r="AU300" s="1393">
        <f t="shared" si="173"/>
        <v>0</v>
      </c>
      <c r="AV300" s="1388">
        <f t="shared" si="174"/>
        <v>0</v>
      </c>
      <c r="AW300" s="1390" t="str">
        <f t="shared" si="175"/>
        <v/>
      </c>
      <c r="AX300" s="1390" t="str">
        <f t="shared" si="181"/>
        <v/>
      </c>
      <c r="AY300" s="1394" t="str">
        <f t="shared" si="176"/>
        <v/>
      </c>
      <c r="AZ300" s="1395" t="str">
        <f>IF(Table22[[#This Row],[LOQ_label]]="Y",Table22[[#This Row],[MRL individual commodity]],"")</f>
        <v/>
      </c>
      <c r="BA300" s="1396" t="s">
        <v>1038</v>
      </c>
      <c r="BB300" s="1411" t="str">
        <f>IF(Table22[[#This Row],[LOQ2]]&lt;0,MIN(AZ300:AZ676),"")</f>
        <v/>
      </c>
      <c r="BC300" s="1299"/>
      <c r="BD300" s="1306" t="str">
        <f>IF(Table22[[#This Row],[Chronic RA label]]="","N",IF(Table22[[#This Row],[Chronic RA label]]="LOQ","N",IF(Table22[[#This Row],[Chronic RA label]]="MRL","N","Y")))</f>
        <v>N</v>
      </c>
      <c r="BE300" s="1306" t="str">
        <f>IF(Table22[[#This Row],[Acute RA label]]="","N",IF(Table22[[#This Row],[Acute RA label]]="LOQ","N",IF(Table22[[#This Row],[Acute RA label]]="MRL","N","Y")))</f>
        <v>N</v>
      </c>
      <c r="BF300" s="1306" t="str">
        <f>IF(OR(Table22[[#This Row],[include commodity in Summary_input_values_chronic]]="Y",Table22[[#This Row],[include commodity in Summary_input_values_acute]]="Y"),"Y","N")</f>
        <v>N</v>
      </c>
      <c r="BG300" s="1299"/>
      <c r="BH300" s="1324"/>
    </row>
    <row r="301" spans="1:60" ht="12.75" customHeight="1" outlineLevel="3" x14ac:dyDescent="0.2">
      <c r="A301" s="39">
        <v>4</v>
      </c>
      <c r="B301" s="327">
        <v>830990</v>
      </c>
      <c r="C301" s="23" t="s">
        <v>184</v>
      </c>
      <c r="D301" s="867"/>
      <c r="E301" s="1219"/>
      <c r="F301" s="867"/>
      <c r="G301" s="869"/>
      <c r="H301" s="863"/>
      <c r="I301" s="868"/>
      <c r="J301" s="870"/>
      <c r="K301" s="865"/>
      <c r="L301" s="872"/>
      <c r="M301" s="872"/>
      <c r="N301" s="925" t="str">
        <f>IF(O301&lt;&gt;0,CONCATENATE(input_values!$AF301,input_values!$AG301,input_values!$AH301),"")</f>
        <v/>
      </c>
      <c r="O301" s="491">
        <f>IF($A$10="Refined calculation mode",Table22[[#This Row],[input for chronic (refined mode]],Table22[[#This Row],[input for chronic normal mode]])</f>
        <v>0</v>
      </c>
      <c r="P301" s="473"/>
      <c r="Q301" s="474"/>
      <c r="R301" s="473"/>
      <c r="S301" s="474"/>
      <c r="T301" s="886"/>
      <c r="U301" s="1408">
        <f>Table22[[#This Row],[MRL/ proposed MRL /CXL
(mg/kg)]]</f>
        <v>0</v>
      </c>
      <c r="V301" s="1409" t="str">
        <f>IF(ISBLANK(F301),"","Y")</f>
        <v/>
      </c>
      <c r="W301" s="1387">
        <f>IF($G301&gt;0,$G301,1)</f>
        <v>1</v>
      </c>
      <c r="X301" s="1387">
        <f>IF($H301&gt;0,$H301,1)</f>
        <v>1</v>
      </c>
      <c r="Y301" s="1387">
        <f>W301*X301</f>
        <v>1</v>
      </c>
      <c r="Z301" s="1410">
        <v>4</v>
      </c>
      <c r="AA301" s="1387">
        <f t="shared" si="158"/>
        <v>0</v>
      </c>
      <c r="AB301" s="1387">
        <f>IF(Z301=A301,IF(AND(L301="N",Table22[[#This Row],[LOQ_label]]="Y"),AA301,$AA301*$Y301),"")</f>
        <v>0</v>
      </c>
      <c r="AC301" s="1393">
        <f t="shared" si="159"/>
        <v>0</v>
      </c>
      <c r="AD301" s="1393">
        <f>IF(Table22[[#This Row],[Median residue*CF*PeF]]&lt;&gt;"",Table22[[#This Row],[Median residue*CF*PeF]],Table22[[#This Row],[MRL*CF*PeF (chronic)]])</f>
        <v>0</v>
      </c>
      <c r="AE301" s="1393">
        <f t="shared" si="160"/>
        <v>0</v>
      </c>
      <c r="AF301" s="1390" t="str">
        <f t="shared" si="161"/>
        <v>MRL</v>
      </c>
      <c r="AG301" s="1390" t="str">
        <f t="shared" si="162"/>
        <v/>
      </c>
      <c r="AH301" s="1394" t="str">
        <f t="shared" si="163"/>
        <v/>
      </c>
      <c r="AI301" s="1386"/>
      <c r="AJ301" s="1387" t="str">
        <f t="shared" si="164"/>
        <v/>
      </c>
      <c r="AK301" s="1387" t="str">
        <f>IF(AI301=A301,IF(AND(L301="N",Table22[[#This Row],[LOQ_label]]="Y"),AJ301,$AJ301*$Y301),"")</f>
        <v/>
      </c>
      <c r="AL301" s="1388" t="str">
        <f t="shared" si="165"/>
        <v/>
      </c>
      <c r="AM301" s="1393" t="str">
        <f>IF(Table22[[#This Row],[Highest residue * CF*PF]]&lt;&gt;"",Table22[[#This Row],[Highest residue * CF*PF]],Table22[[#This Row],[MRL*CF*PF or MRL (if LOQ and not authorised) (acute RA)]])</f>
        <v/>
      </c>
      <c r="AN301" s="1390" t="str">
        <f t="shared" si="166"/>
        <v/>
      </c>
      <c r="AO301" s="1390" t="str">
        <f t="shared" si="167"/>
        <v/>
      </c>
      <c r="AP301" s="1404" t="str">
        <f t="shared" si="168"/>
        <v/>
      </c>
      <c r="AQ301" s="1388">
        <f t="shared" si="169"/>
        <v>0</v>
      </c>
      <c r="AR301" s="1388" t="str">
        <f t="shared" si="170"/>
        <v/>
      </c>
      <c r="AS301" s="1388" t="str">
        <f t="shared" si="171"/>
        <v/>
      </c>
      <c r="AT301" s="1388" t="str">
        <f t="shared" si="172"/>
        <v/>
      </c>
      <c r="AU301" s="1393" t="str">
        <f t="shared" si="173"/>
        <v/>
      </c>
      <c r="AV301" s="1388">
        <f t="shared" si="174"/>
        <v>0</v>
      </c>
      <c r="AW301" s="1390" t="str">
        <f t="shared" si="175"/>
        <v/>
      </c>
      <c r="AX301" s="1390" t="str">
        <f t="shared" si="181"/>
        <v/>
      </c>
      <c r="AY301" s="1394" t="str">
        <f t="shared" si="176"/>
        <v/>
      </c>
      <c r="AZ301" s="1395" t="str">
        <f>IF(Table22[[#This Row],[LOQ_label]]="Y",Table22[[#This Row],[MRL individual commodity]],"")</f>
        <v/>
      </c>
      <c r="BA301" s="1396" t="s">
        <v>1159</v>
      </c>
      <c r="BB301" s="1411" t="str">
        <f>IF(Table22[[#This Row],[LOQ2]]&lt;0,MIN(AZ301:AZ677),"")</f>
        <v/>
      </c>
      <c r="BC301" s="1299"/>
      <c r="BD301" s="1306" t="str">
        <f>IF(Table22[[#This Row],[Chronic RA label]]="","N",IF(Table22[[#This Row],[Chronic RA label]]="LOQ","N",IF(Table22[[#This Row],[Chronic RA label]]="MRL","N","Y")))</f>
        <v>N</v>
      </c>
      <c r="BE301" s="1306" t="str">
        <f>IF(Table22[[#This Row],[Acute RA label]]="","N",IF(Table22[[#This Row],[Acute RA label]]="LOQ","N",IF(Table22[[#This Row],[Acute RA label]]="MRL","N","Y")))</f>
        <v>N</v>
      </c>
      <c r="BF301" s="1306" t="str">
        <f>IF(OR(Table22[[#This Row],[include commodity in Summary_input_values_chronic]]="Y",Table22[[#This Row],[include commodity in Summary_input_values_acute]]="Y"),"Y","N")</f>
        <v>N</v>
      </c>
      <c r="BG301" s="1299"/>
      <c r="BH301" s="1324"/>
    </row>
    <row r="302" spans="1:60" ht="12.75" customHeight="1" outlineLevel="1" x14ac:dyDescent="0.2">
      <c r="A302" s="130">
        <v>2</v>
      </c>
      <c r="B302" s="447">
        <v>840000</v>
      </c>
      <c r="C302" s="131" t="s">
        <v>79</v>
      </c>
      <c r="D302" s="862"/>
      <c r="E302" s="1218"/>
      <c r="F302" s="862"/>
      <c r="G302" s="866"/>
      <c r="H302" s="863"/>
      <c r="I302" s="863"/>
      <c r="J302" s="864"/>
      <c r="K302" s="865"/>
      <c r="L302" s="471"/>
      <c r="M302" s="471"/>
      <c r="N302" s="473"/>
      <c r="O302" s="474"/>
      <c r="P302" s="473"/>
      <c r="Q302" s="474"/>
      <c r="R302" s="473"/>
      <c r="S302" s="474"/>
      <c r="T302" s="886"/>
      <c r="U302" s="1415"/>
      <c r="V302" s="1380"/>
      <c r="W302" s="1381"/>
      <c r="X302" s="1381"/>
      <c r="Y302" s="1381"/>
      <c r="Z302" s="1382">
        <v>4</v>
      </c>
      <c r="AA302" s="1381" t="str">
        <f t="shared" si="158"/>
        <v/>
      </c>
      <c r="AB302" s="1381" t="str">
        <f>IF(Z302=A302,IF(AND(L302="N",Table22[[#This Row],[LOQ_label]]="Y"),AA302,$AA302*$Y302),"")</f>
        <v/>
      </c>
      <c r="AC302" s="1383" t="str">
        <f t="shared" si="159"/>
        <v/>
      </c>
      <c r="AD302" s="1383" t="str">
        <f>IF(Table22[[#This Row],[Median residue*CF*PeF]]&lt;&gt;"",Table22[[#This Row],[Median residue*CF*PeF]],Table22[[#This Row],[MRL*CF*PeF (chronic)]])</f>
        <v/>
      </c>
      <c r="AE302" s="1384">
        <f t="shared" si="160"/>
        <v>0</v>
      </c>
      <c r="AF302" s="1385" t="str">
        <f t="shared" si="161"/>
        <v/>
      </c>
      <c r="AG302" s="1385" t="str">
        <f t="shared" si="162"/>
        <v/>
      </c>
      <c r="AH302" s="1270" t="str">
        <f t="shared" si="163"/>
        <v/>
      </c>
      <c r="AI302" s="1386">
        <v>4</v>
      </c>
      <c r="AJ302" s="1387" t="str">
        <f t="shared" si="164"/>
        <v/>
      </c>
      <c r="AK302" s="1387" t="str">
        <f>IF(AI302=A302,IF(AND(L302="N",Table22[[#This Row],[LOQ_label]]="Y"),AJ302,$AJ302*$Y302),"")</f>
        <v/>
      </c>
      <c r="AL302" s="1388" t="str">
        <f t="shared" si="165"/>
        <v/>
      </c>
      <c r="AM302" s="1393" t="str">
        <f>IF(Table22[[#This Row],[Highest residue * CF*PF]]&lt;&gt;"",Table22[[#This Row],[Highest residue * CF*PF]],Table22[[#This Row],[MRL*CF*PF or MRL (if LOQ and not authorised) (acute RA)]])</f>
        <v/>
      </c>
      <c r="AN302" s="1390" t="str">
        <f t="shared" si="166"/>
        <v/>
      </c>
      <c r="AO302" s="1390" t="str">
        <f t="shared" si="167"/>
        <v/>
      </c>
      <c r="AP302" s="1404" t="str">
        <f t="shared" si="168"/>
        <v/>
      </c>
      <c r="AQ302" s="1388">
        <f t="shared" si="169"/>
        <v>0</v>
      </c>
      <c r="AR302" s="1388" t="str">
        <f t="shared" si="170"/>
        <v/>
      </c>
      <c r="AS302" s="1388" t="str">
        <f t="shared" si="171"/>
        <v/>
      </c>
      <c r="AT302" s="1388" t="str">
        <f t="shared" si="172"/>
        <v/>
      </c>
      <c r="AU302" s="1393" t="str">
        <f t="shared" si="173"/>
        <v/>
      </c>
      <c r="AV302" s="1388">
        <f t="shared" si="174"/>
        <v>0</v>
      </c>
      <c r="AW302" s="1390" t="str">
        <f t="shared" si="175"/>
        <v/>
      </c>
      <c r="AX302" s="1390" t="str">
        <f t="shared" si="181"/>
        <v/>
      </c>
      <c r="AY302" s="1394" t="str">
        <f t="shared" si="176"/>
        <v/>
      </c>
      <c r="AZ302" s="1395">
        <f>IF(Table22[[#This Row],[LOQ_label]]="Y",Table22[[#This Row],[MRL individual commodity]],"")</f>
        <v>0</v>
      </c>
      <c r="BA302" s="1396" t="s">
        <v>1159</v>
      </c>
      <c r="BB302" s="1411" t="str">
        <f>IF(Table22[[#This Row],[LOQ2]]&lt;0,MIN(AZ302:AZ678),"")</f>
        <v/>
      </c>
      <c r="BC302" s="1299"/>
      <c r="BD302" s="1306" t="str">
        <f>IF(Table22[[#This Row],[Chronic RA label]]="","N",IF(Table22[[#This Row],[Chronic RA label]]="LOQ","N",IF(Table22[[#This Row],[Chronic RA label]]="MRL","N","Y")))</f>
        <v>N</v>
      </c>
      <c r="BE302" s="1306" t="str">
        <f>IF(Table22[[#This Row],[Acute RA label]]="","N",IF(Table22[[#This Row],[Acute RA label]]="LOQ","N",IF(Table22[[#This Row],[Acute RA label]]="MRL","N","Y")))</f>
        <v>N</v>
      </c>
      <c r="BF302" s="1306" t="str">
        <f>IF(OR(Table22[[#This Row],[include commodity in Summary_input_values_chronic]]="Y",Table22[[#This Row],[include commodity in Summary_input_values_acute]]="Y"),"Y","N")</f>
        <v>N</v>
      </c>
      <c r="BG302" s="1299"/>
      <c r="BH302" s="1324"/>
    </row>
    <row r="303" spans="1:60" ht="12.75" customHeight="1" outlineLevel="3" x14ac:dyDescent="0.2">
      <c r="A303" s="39">
        <v>4</v>
      </c>
      <c r="B303" s="327">
        <v>840010</v>
      </c>
      <c r="C303" s="23" t="s">
        <v>125</v>
      </c>
      <c r="D303" s="867"/>
      <c r="E303" s="1219"/>
      <c r="F303" s="867"/>
      <c r="G303" s="869"/>
      <c r="H303" s="863"/>
      <c r="I303" s="868"/>
      <c r="J303" s="870"/>
      <c r="K303" s="865"/>
      <c r="L303" s="872"/>
      <c r="M303" s="872"/>
      <c r="N303" s="925" t="str">
        <f>IF(O303&lt;&gt;0,CONCATENATE(input_values!$AF303,input_values!$AG303,input_values!$AH303),"")</f>
        <v/>
      </c>
      <c r="O303" s="491">
        <f>IF($A$10="Refined calculation mode",Table22[[#This Row],[input for chronic (refined mode]],Table22[[#This Row],[input for chronic normal mode]])</f>
        <v>0</v>
      </c>
      <c r="P303" s="925" t="str">
        <f>IF(Q303&lt;&gt;0,CONCATENATE(input_values!$AN303,input_values!$AO303,input_values!$AP303),"")</f>
        <v/>
      </c>
      <c r="Q303" s="491">
        <f>IF($V$5=0,0,IF(OR($A$10="Refined calculation mode",Results!$B$62="Show results of IESTI calculation only for crops with GAPs under assessment"),Table22[[#This Row],[Input for IESTI (refined mode)]],Table22[[#This Row],[Input for IESTI normal mode]]))</f>
        <v>0</v>
      </c>
      <c r="R303" s="926" t="str">
        <f>IF(S303&lt;&gt;0,CONCATENATE(input_values!$AW303,input_values!$AX303,input_values!$AY303),"")</f>
        <v/>
      </c>
      <c r="S303" s="492">
        <f>IF($V$5=0,0,IF(OR($A$10="Refined calculation mode",Results!$B$62="Show results of IESTI calculation only for crops with GAPs under assessment"),Table22[[#This Row],[Input for IESTI new (refined mode)]],Table22[[#This Row],[Input for IESTI new normal mode]]))</f>
        <v>0</v>
      </c>
      <c r="T303" s="886"/>
      <c r="U303" s="1408">
        <f>Table22[[#This Row],[MRL/ proposed MRL /CXL
(mg/kg)]]</f>
        <v>0</v>
      </c>
      <c r="V303" s="1409" t="str">
        <f>IF(ISBLANK(F303),"","Y")</f>
        <v/>
      </c>
      <c r="W303" s="1387">
        <f>IF($G303&gt;0,$G303,1)</f>
        <v>1</v>
      </c>
      <c r="X303" s="1387">
        <f>IF($H303&gt;0,$H303,1)</f>
        <v>1</v>
      </c>
      <c r="Y303" s="1387">
        <f>W303*X303</f>
        <v>1</v>
      </c>
      <c r="Z303" s="1410">
        <v>4</v>
      </c>
      <c r="AA303" s="1387">
        <f t="shared" si="158"/>
        <v>0</v>
      </c>
      <c r="AB303" s="1387">
        <f>IF(Z303=A303,IF(AND(L303="N",Table22[[#This Row],[LOQ_label]]="Y"),AA303,$AA303*$Y303),"")</f>
        <v>0</v>
      </c>
      <c r="AC303" s="1393">
        <f t="shared" si="159"/>
        <v>0</v>
      </c>
      <c r="AD303" s="1393">
        <f>IF(Table22[[#This Row],[Median residue*CF*PeF]]&lt;&gt;"",Table22[[#This Row],[Median residue*CF*PeF]],Table22[[#This Row],[MRL*CF*PeF (chronic)]])</f>
        <v>0</v>
      </c>
      <c r="AE303" s="1393">
        <f t="shared" si="160"/>
        <v>0</v>
      </c>
      <c r="AF303" s="1390" t="str">
        <f t="shared" si="161"/>
        <v>MRL</v>
      </c>
      <c r="AG303" s="1390" t="str">
        <f t="shared" si="162"/>
        <v/>
      </c>
      <c r="AH303" s="1394" t="str">
        <f t="shared" si="163"/>
        <v/>
      </c>
      <c r="AI303" s="1386">
        <v>4</v>
      </c>
      <c r="AJ303" s="1387">
        <f t="shared" si="164"/>
        <v>0</v>
      </c>
      <c r="AK303" s="1387">
        <f>IF(AI303=A303,IF(AND(L303="N",Table22[[#This Row],[LOQ_label]]="Y"),AJ303,$AJ303*$Y303),"")</f>
        <v>0</v>
      </c>
      <c r="AL303" s="1388">
        <f t="shared" si="165"/>
        <v>0</v>
      </c>
      <c r="AM303" s="1393">
        <f>IF(Table22[[#This Row],[Highest residue * CF*PF]]&lt;&gt;"",Table22[[#This Row],[Highest residue * CF*PF]],Table22[[#This Row],[MRL*CF*PF or MRL (if LOQ and not authorised) (acute RA)]])</f>
        <v>0</v>
      </c>
      <c r="AN303" s="1390" t="str">
        <f t="shared" si="166"/>
        <v>MRL</v>
      </c>
      <c r="AO303" s="1390" t="str">
        <f t="shared" si="167"/>
        <v/>
      </c>
      <c r="AP303" s="1404" t="str">
        <f t="shared" si="168"/>
        <v/>
      </c>
      <c r="AQ303" s="1388">
        <f t="shared" si="169"/>
        <v>0</v>
      </c>
      <c r="AR303" s="1388" t="str">
        <f t="shared" si="170"/>
        <v/>
      </c>
      <c r="AS303" s="1388" t="str">
        <f t="shared" si="171"/>
        <v/>
      </c>
      <c r="AT303" s="1388" t="str">
        <f t="shared" si="172"/>
        <v/>
      </c>
      <c r="AU303" s="1393">
        <f t="shared" si="173"/>
        <v>0</v>
      </c>
      <c r="AV303" s="1388">
        <f t="shared" si="174"/>
        <v>0</v>
      </c>
      <c r="AW303" s="1390" t="str">
        <f t="shared" si="175"/>
        <v/>
      </c>
      <c r="AX303" s="1390" t="str">
        <f t="shared" si="181"/>
        <v/>
      </c>
      <c r="AY303" s="1394" t="str">
        <f t="shared" si="176"/>
        <v/>
      </c>
      <c r="AZ303" s="1395" t="str">
        <f>IF(Table22[[#This Row],[LOQ_label]]="Y",Table22[[#This Row],[MRL individual commodity]],"")</f>
        <v/>
      </c>
      <c r="BA303" s="1396" t="s">
        <v>1038</v>
      </c>
      <c r="BB303" s="1411" t="str">
        <f>IF(Table22[[#This Row],[LOQ2]]&lt;0,MIN(AZ303:AZ679),"")</f>
        <v/>
      </c>
      <c r="BC303" s="1299"/>
      <c r="BD303" s="1306" t="str">
        <f>IF(Table22[[#This Row],[Chronic RA label]]="","N",IF(Table22[[#This Row],[Chronic RA label]]="LOQ","N",IF(Table22[[#This Row],[Chronic RA label]]="MRL","N","Y")))</f>
        <v>N</v>
      </c>
      <c r="BE303" s="1306" t="str">
        <f>IF(Table22[[#This Row],[Acute RA label]]="","N",IF(Table22[[#This Row],[Acute RA label]]="LOQ","N",IF(Table22[[#This Row],[Acute RA label]]="MRL","N","Y")))</f>
        <v>N</v>
      </c>
      <c r="BF303" s="1306" t="str">
        <f>IF(OR(Table22[[#This Row],[include commodity in Summary_input_values_chronic]]="Y",Table22[[#This Row],[include commodity in Summary_input_values_acute]]="Y"),"Y","N")</f>
        <v>N</v>
      </c>
      <c r="BG303" s="1299"/>
      <c r="BH303" s="1324"/>
    </row>
    <row r="304" spans="1:60" ht="12.75" customHeight="1" outlineLevel="3" x14ac:dyDescent="0.2">
      <c r="A304" s="39">
        <v>4</v>
      </c>
      <c r="B304" s="327">
        <v>840020</v>
      </c>
      <c r="C304" s="23" t="s">
        <v>126</v>
      </c>
      <c r="D304" s="867"/>
      <c r="E304" s="1219"/>
      <c r="F304" s="867"/>
      <c r="G304" s="869"/>
      <c r="H304" s="863"/>
      <c r="I304" s="868"/>
      <c r="J304" s="870"/>
      <c r="K304" s="871"/>
      <c r="L304" s="872"/>
      <c r="M304" s="872"/>
      <c r="N304" s="925" t="str">
        <f>IF(O304&lt;&gt;0,CONCATENATE(input_values!$AF304,input_values!$AG304,input_values!$AH304),"")</f>
        <v/>
      </c>
      <c r="O304" s="491">
        <f>IF($A$10="Refined calculation mode",Table22[[#This Row],[input for chronic (refined mode]],Table22[[#This Row],[input for chronic normal mode]])</f>
        <v>0</v>
      </c>
      <c r="P304" s="925" t="str">
        <f>IF(Q304&lt;&gt;0,CONCATENATE(input_values!$AN304,input_values!$AO304,input_values!$AP304),"")</f>
        <v/>
      </c>
      <c r="Q304" s="491">
        <f>IF($V$5=0,0,IF(OR($A$10="Refined calculation mode",Results!$B$62="Show results of IESTI calculation only for crops with GAPs under assessment"),Table22[[#This Row],[Input for IESTI (refined mode)]],Table22[[#This Row],[Input for IESTI normal mode]]))</f>
        <v>0</v>
      </c>
      <c r="R304" s="926" t="str">
        <f>IF(S304&lt;&gt;0,CONCATENATE(input_values!$AW304,input_values!$AX304,input_values!$AY304),"")</f>
        <v/>
      </c>
      <c r="S304" s="492">
        <f>IF($V$5=0,0,IF(OR($A$10="Refined calculation mode",Results!$B$62="Show results of IESTI calculation only for crops with GAPs under assessment"),Table22[[#This Row],[Input for IESTI new (refined mode)]],Table22[[#This Row],[Input for IESTI new normal mode]]))</f>
        <v>0</v>
      </c>
      <c r="T304" s="886"/>
      <c r="U304" s="1408">
        <f>Table22[[#This Row],[MRL/ proposed MRL /CXL
(mg/kg)]]</f>
        <v>0</v>
      </c>
      <c r="V304" s="1409" t="str">
        <f>IF(ISBLANK(F304),"","Y")</f>
        <v/>
      </c>
      <c r="W304" s="1387">
        <f>IF($G304&gt;0,$G304,1)</f>
        <v>1</v>
      </c>
      <c r="X304" s="1387">
        <f>IF($H304&gt;0,$H304,1)</f>
        <v>1</v>
      </c>
      <c r="Y304" s="1387">
        <f>W304*X304</f>
        <v>1</v>
      </c>
      <c r="Z304" s="1410">
        <v>4</v>
      </c>
      <c r="AA304" s="1387">
        <f t="shared" si="158"/>
        <v>0</v>
      </c>
      <c r="AB304" s="1387">
        <f>IF(Z304=A304,IF(AND(L304="N",Table22[[#This Row],[LOQ_label]]="Y"),AA304,$AA304*$Y304),"")</f>
        <v>0</v>
      </c>
      <c r="AC304" s="1393">
        <f t="shared" si="159"/>
        <v>0</v>
      </c>
      <c r="AD304" s="1393">
        <f>IF(Table22[[#This Row],[Median residue*CF*PeF]]&lt;&gt;"",Table22[[#This Row],[Median residue*CF*PeF]],Table22[[#This Row],[MRL*CF*PeF (chronic)]])</f>
        <v>0</v>
      </c>
      <c r="AE304" s="1393">
        <f t="shared" si="160"/>
        <v>0</v>
      </c>
      <c r="AF304" s="1390" t="str">
        <f t="shared" si="161"/>
        <v>MRL</v>
      </c>
      <c r="AG304" s="1390" t="str">
        <f t="shared" si="162"/>
        <v/>
      </c>
      <c r="AH304" s="1394" t="str">
        <f t="shared" si="163"/>
        <v/>
      </c>
      <c r="AI304" s="1386">
        <v>4</v>
      </c>
      <c r="AJ304" s="1387">
        <f t="shared" si="164"/>
        <v>0</v>
      </c>
      <c r="AK304" s="1387">
        <f>IF(AI304=A304,IF(AND(L304="N",Table22[[#This Row],[LOQ_label]]="Y"),AJ304,$AJ304*$Y304),"")</f>
        <v>0</v>
      </c>
      <c r="AL304" s="1388">
        <f t="shared" si="165"/>
        <v>0</v>
      </c>
      <c r="AM304"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304" s="1451" t="str">
        <f>IF(AI304&lt;&gt;A304,"",IF(Table22[[#This Row],[Post-harvest treatment]]="",Table22[[#This Row],[label for chronic calculation]],IF(Table22[[#This Row],[Post-harvest treatment]]="N",Table22[[#This Row],[label for chronic calculation]],IF(Table22[[#This Row],[HR-RAC (highest residue)]]&gt;"","HR-RAC",IF(V304="Y","LOQ","MRL")))))</f>
        <v>MRL</v>
      </c>
      <c r="AO304" s="1390" t="str">
        <f t="shared" si="167"/>
        <v/>
      </c>
      <c r="AP304" s="1404" t="str">
        <f t="shared" si="168"/>
        <v/>
      </c>
      <c r="AQ304" s="1388">
        <f t="shared" si="169"/>
        <v>0</v>
      </c>
      <c r="AR304" s="1388" t="str">
        <f t="shared" si="170"/>
        <v/>
      </c>
      <c r="AS304" s="1388" t="str">
        <f t="shared" si="171"/>
        <v/>
      </c>
      <c r="AT304" s="1388" t="str">
        <f t="shared" si="172"/>
        <v/>
      </c>
      <c r="AU304" s="1393">
        <f t="shared" si="173"/>
        <v>0</v>
      </c>
      <c r="AV304" s="1388">
        <f t="shared" si="174"/>
        <v>0</v>
      </c>
      <c r="AW304" s="1390" t="str">
        <f t="shared" si="175"/>
        <v/>
      </c>
      <c r="AX304" s="1390" t="str">
        <f t="shared" si="181"/>
        <v/>
      </c>
      <c r="AY304" s="1394" t="str">
        <f t="shared" si="176"/>
        <v/>
      </c>
      <c r="AZ304" s="1395" t="str">
        <f>IF(Table22[[#This Row],[LOQ_label]]="Y",Table22[[#This Row],[MRL individual commodity]],"")</f>
        <v/>
      </c>
      <c r="BA304" s="1422">
        <v>1</v>
      </c>
      <c r="BB304" s="1411" t="str">
        <f>IF(Table22[[#This Row],[LOQ2]]&lt;0,MIN(AZ304:AZ680),"")</f>
        <v/>
      </c>
      <c r="BC304" s="1299"/>
      <c r="BD304" s="1306" t="str">
        <f>IF(Table22[[#This Row],[Chronic RA label]]="","N",IF(Table22[[#This Row],[Chronic RA label]]="LOQ","N",IF(Table22[[#This Row],[Chronic RA label]]="MRL","N","Y")))</f>
        <v>N</v>
      </c>
      <c r="BE304" s="1306" t="str">
        <f>IF(Table22[[#This Row],[Acute RA label]]="","N",IF(Table22[[#This Row],[Acute RA label]]="LOQ","N",IF(Table22[[#This Row],[Acute RA label]]="MRL","N","Y")))</f>
        <v>N</v>
      </c>
      <c r="BF304" s="1306" t="str">
        <f>IF(OR(Table22[[#This Row],[include commodity in Summary_input_values_chronic]]="Y",Table22[[#This Row],[include commodity in Summary_input_values_acute]]="Y"),"Y","N")</f>
        <v>N</v>
      </c>
      <c r="BG304" s="1299"/>
      <c r="BH304" s="1324"/>
    </row>
    <row r="305" spans="1:60" ht="12.75" customHeight="1" outlineLevel="3" x14ac:dyDescent="0.2">
      <c r="A305" s="39">
        <v>4</v>
      </c>
      <c r="B305" s="327">
        <v>840030</v>
      </c>
      <c r="C305" s="23" t="s">
        <v>784</v>
      </c>
      <c r="D305" s="867"/>
      <c r="E305" s="1219"/>
      <c r="F305" s="867"/>
      <c r="G305" s="869"/>
      <c r="H305" s="863"/>
      <c r="I305" s="868"/>
      <c r="J305" s="870"/>
      <c r="K305" s="865"/>
      <c r="L305" s="872"/>
      <c r="M305" s="872"/>
      <c r="N305" s="925" t="str">
        <f>IF(O305&lt;&gt;0,CONCATENATE(input_values!$AF305,input_values!$AG305,input_values!$AH305),"")</f>
        <v/>
      </c>
      <c r="O305" s="491">
        <f>IF($A$10="Refined calculation mode",Table22[[#This Row],[input for chronic (refined mode]],Table22[[#This Row],[input for chronic normal mode]])</f>
        <v>0</v>
      </c>
      <c r="P305" s="925" t="str">
        <f>IF(Q305&lt;&gt;0,CONCATENATE(input_values!$AN305,input_values!$AO305,input_values!$AP305),"")</f>
        <v/>
      </c>
      <c r="Q305" s="491">
        <f>IF($V$5=0,0,IF(OR($A$10="Refined calculation mode",Results!$B$62="Show results of IESTI calculation only for crops with GAPs under assessment"),Table22[[#This Row],[Input for IESTI (refined mode)]],Table22[[#This Row],[Input for IESTI normal mode]]))</f>
        <v>0</v>
      </c>
      <c r="R305" s="926" t="str">
        <f>IF(S305&lt;&gt;0,CONCATENATE(input_values!$AW305,input_values!$AX305,input_values!$AY305),"")</f>
        <v/>
      </c>
      <c r="S305" s="492">
        <f>IF($V$5=0,0,IF(OR($A$10="Refined calculation mode",Results!$B$62="Show results of IESTI calculation only for crops with GAPs under assessment"),Table22[[#This Row],[Input for IESTI new (refined mode)]],Table22[[#This Row],[Input for IESTI new normal mode]]))</f>
        <v>0</v>
      </c>
      <c r="T305" s="886"/>
      <c r="U305" s="1408">
        <f>Table22[[#This Row],[MRL/ proposed MRL /CXL
(mg/kg)]]</f>
        <v>0</v>
      </c>
      <c r="V305" s="1409" t="str">
        <f>IF(ISBLANK(F305),"","Y")</f>
        <v/>
      </c>
      <c r="W305" s="1387">
        <f>IF($G305&gt;0,$G305,1)</f>
        <v>1</v>
      </c>
      <c r="X305" s="1387">
        <f>IF($H305&gt;0,$H305,1)</f>
        <v>1</v>
      </c>
      <c r="Y305" s="1387">
        <f>W305*X305</f>
        <v>1</v>
      </c>
      <c r="Z305" s="1410">
        <v>4</v>
      </c>
      <c r="AA305" s="1387">
        <f t="shared" si="158"/>
        <v>0</v>
      </c>
      <c r="AB305" s="1387">
        <f>IF(Z305=A305,IF(AND(L305="N",Table22[[#This Row],[LOQ_label]]="Y"),AA305,$AA305*$Y305),"")</f>
        <v>0</v>
      </c>
      <c r="AC305" s="1393">
        <f t="shared" si="159"/>
        <v>0</v>
      </c>
      <c r="AD305" s="1393">
        <f>IF(Table22[[#This Row],[Median residue*CF*PeF]]&lt;&gt;"",Table22[[#This Row],[Median residue*CF*PeF]],Table22[[#This Row],[MRL*CF*PeF (chronic)]])</f>
        <v>0</v>
      </c>
      <c r="AE305" s="1393">
        <f t="shared" si="160"/>
        <v>0</v>
      </c>
      <c r="AF305" s="1390" t="str">
        <f t="shared" si="161"/>
        <v>MRL</v>
      </c>
      <c r="AG305" s="1390" t="str">
        <f t="shared" si="162"/>
        <v/>
      </c>
      <c r="AH305" s="1394" t="str">
        <f t="shared" si="163"/>
        <v/>
      </c>
      <c r="AI305" s="1386">
        <v>4</v>
      </c>
      <c r="AJ305" s="1387">
        <f t="shared" si="164"/>
        <v>0</v>
      </c>
      <c r="AK305" s="1387">
        <f>IF(AI305=A305,IF(AND(L305="N",Table22[[#This Row],[LOQ_label]]="Y"),AJ305,$AJ305*$Y305),"")</f>
        <v>0</v>
      </c>
      <c r="AL305" s="1388">
        <f t="shared" si="165"/>
        <v>0</v>
      </c>
      <c r="AM305" s="1393">
        <f>IF(Table22[[#This Row],[Highest residue * CF*PF]]&lt;&gt;"",Table22[[#This Row],[Highest residue * CF*PF]],Table22[[#This Row],[MRL*CF*PF or MRL (if LOQ and not authorised) (acute RA)]])</f>
        <v>0</v>
      </c>
      <c r="AN305" s="1390" t="str">
        <f t="shared" si="166"/>
        <v>MRL</v>
      </c>
      <c r="AO305" s="1390" t="str">
        <f t="shared" si="167"/>
        <v/>
      </c>
      <c r="AP305" s="1404" t="str">
        <f t="shared" si="168"/>
        <v/>
      </c>
      <c r="AQ305" s="1388">
        <f t="shared" si="169"/>
        <v>0</v>
      </c>
      <c r="AR305" s="1388" t="str">
        <f t="shared" si="170"/>
        <v/>
      </c>
      <c r="AS305" s="1388" t="str">
        <f t="shared" si="171"/>
        <v/>
      </c>
      <c r="AT305" s="1388" t="str">
        <f t="shared" si="172"/>
        <v/>
      </c>
      <c r="AU305" s="1393">
        <f t="shared" si="173"/>
        <v>0</v>
      </c>
      <c r="AV305" s="1388">
        <f t="shared" si="174"/>
        <v>0</v>
      </c>
      <c r="AW305" s="1390" t="str">
        <f t="shared" si="175"/>
        <v/>
      </c>
      <c r="AX305" s="1390" t="str">
        <f t="shared" si="181"/>
        <v/>
      </c>
      <c r="AY305" s="1394" t="str">
        <f t="shared" si="176"/>
        <v/>
      </c>
      <c r="AZ305" s="1395" t="str">
        <f>IF(Table22[[#This Row],[LOQ_label]]="Y",Table22[[#This Row],[MRL individual commodity]],"")</f>
        <v/>
      </c>
      <c r="BA305" s="1396" t="s">
        <v>1038</v>
      </c>
      <c r="BB305" s="1411" t="str">
        <f>IF(Table22[[#This Row],[LOQ2]]&lt;0,MIN(AZ305:AZ681),"")</f>
        <v/>
      </c>
      <c r="BC305" s="1299"/>
      <c r="BD305" s="1306" t="str">
        <f>IF(Table22[[#This Row],[Chronic RA label]]="","N",IF(Table22[[#This Row],[Chronic RA label]]="LOQ","N",IF(Table22[[#This Row],[Chronic RA label]]="MRL","N","Y")))</f>
        <v>N</v>
      </c>
      <c r="BE305" s="1306" t="str">
        <f>IF(Table22[[#This Row],[Acute RA label]]="","N",IF(Table22[[#This Row],[Acute RA label]]="LOQ","N",IF(Table22[[#This Row],[Acute RA label]]="MRL","N","Y")))</f>
        <v>N</v>
      </c>
      <c r="BF305" s="1306" t="str">
        <f>IF(OR(Table22[[#This Row],[include commodity in Summary_input_values_chronic]]="Y",Table22[[#This Row],[include commodity in Summary_input_values_acute]]="Y"),"Y","N")</f>
        <v>N</v>
      </c>
      <c r="BG305" s="1299"/>
      <c r="BH305" s="1324"/>
    </row>
    <row r="306" spans="1:60" ht="12.75" customHeight="1" outlineLevel="3" x14ac:dyDescent="0.2">
      <c r="A306" s="39">
        <v>4</v>
      </c>
      <c r="B306" s="327">
        <v>840040</v>
      </c>
      <c r="C306" s="23" t="s">
        <v>185</v>
      </c>
      <c r="D306" s="867"/>
      <c r="E306" s="1219"/>
      <c r="F306" s="867"/>
      <c r="G306" s="869"/>
      <c r="H306" s="863"/>
      <c r="I306" s="868"/>
      <c r="J306" s="870"/>
      <c r="K306" s="871"/>
      <c r="L306" s="872"/>
      <c r="M306" s="872"/>
      <c r="N306" s="925" t="str">
        <f>IF(O306&lt;&gt;0,CONCATENATE(input_values!$AF306,input_values!$AG306,input_values!$AH306),"")</f>
        <v/>
      </c>
      <c r="O306" s="491">
        <f>IF($A$10="Refined calculation mode",Table22[[#This Row],[input for chronic (refined mode]],Table22[[#This Row],[input for chronic normal mode]])</f>
        <v>0</v>
      </c>
      <c r="P306" s="925" t="str">
        <f>IF(Q306&lt;&gt;0,CONCATENATE(input_values!$AN306,input_values!$AO306,input_values!$AP306),"")</f>
        <v/>
      </c>
      <c r="Q306" s="491">
        <f>IF($V$5=0,0,IF(OR($A$10="Refined calculation mode",Results!$B$62="Show results of IESTI calculation only for crops with GAPs under assessment"),Table22[[#This Row],[Input for IESTI (refined mode)]],Table22[[#This Row],[Input for IESTI normal mode]]))</f>
        <v>0</v>
      </c>
      <c r="R306" s="926" t="str">
        <f>IF(S306&lt;&gt;0,CONCATENATE(input_values!$AW306,input_values!$AX306,input_values!$AY306),"")</f>
        <v/>
      </c>
      <c r="S306" s="492">
        <f>IF($V$5=0,0,IF(OR($A$10="Refined calculation mode",Results!$B$62="Show results of IESTI calculation only for crops with GAPs under assessment"),Table22[[#This Row],[Input for IESTI new (refined mode)]],Table22[[#This Row],[Input for IESTI new normal mode]]))</f>
        <v>0</v>
      </c>
      <c r="T306" s="886"/>
      <c r="U306" s="1408">
        <f>Table22[[#This Row],[MRL/ proposed MRL /CXL
(mg/kg)]]</f>
        <v>0</v>
      </c>
      <c r="V306" s="1409" t="str">
        <f>IF(ISBLANK(F306),"","Y")</f>
        <v/>
      </c>
      <c r="W306" s="1387">
        <f>IF($G306&gt;0,$G306,1)</f>
        <v>1</v>
      </c>
      <c r="X306" s="1387">
        <f>IF($H306&gt;0,$H306,1)</f>
        <v>1</v>
      </c>
      <c r="Y306" s="1387">
        <f>W306*X306</f>
        <v>1</v>
      </c>
      <c r="Z306" s="1410">
        <v>4</v>
      </c>
      <c r="AA306" s="1387">
        <f t="shared" si="158"/>
        <v>0</v>
      </c>
      <c r="AB306" s="1387">
        <f>IF(Z306=A306,IF(AND(L306="N",Table22[[#This Row],[LOQ_label]]="Y"),AA306,$AA306*$Y306),"")</f>
        <v>0</v>
      </c>
      <c r="AC306" s="1393">
        <f t="shared" si="159"/>
        <v>0</v>
      </c>
      <c r="AD306" s="1393">
        <f>IF(Table22[[#This Row],[Median residue*CF*PeF]]&lt;&gt;"",Table22[[#This Row],[Median residue*CF*PeF]],Table22[[#This Row],[MRL*CF*PeF (chronic)]])</f>
        <v>0</v>
      </c>
      <c r="AE306" s="1393">
        <f t="shared" si="160"/>
        <v>0</v>
      </c>
      <c r="AF306" s="1390" t="str">
        <f t="shared" si="161"/>
        <v>MRL</v>
      </c>
      <c r="AG306" s="1390" t="str">
        <f t="shared" si="162"/>
        <v/>
      </c>
      <c r="AH306" s="1394" t="str">
        <f t="shared" si="163"/>
        <v/>
      </c>
      <c r="AI306" s="1386">
        <v>4</v>
      </c>
      <c r="AJ306" s="1387">
        <f t="shared" si="164"/>
        <v>0</v>
      </c>
      <c r="AK306" s="1387">
        <f>IF(AI306=A306,IF(AND(L306="N",Table22[[#This Row],[LOQ_label]]="Y"),AJ306,$AJ306*$Y306),"")</f>
        <v>0</v>
      </c>
      <c r="AL306" s="1388">
        <f t="shared" si="165"/>
        <v>0</v>
      </c>
      <c r="AM306" s="1393">
        <f>IF(Table22[[#This Row],[Highest residue * CF*PF]]&lt;&gt;"",Table22[[#This Row],[Highest residue * CF*PF]],Table22[[#This Row],[MRL*CF*PF or MRL (if LOQ and not authorised) (acute RA)]])</f>
        <v>0</v>
      </c>
      <c r="AN306" s="1390" t="str">
        <f t="shared" si="166"/>
        <v>MRL</v>
      </c>
      <c r="AO306" s="1390" t="str">
        <f t="shared" si="167"/>
        <v/>
      </c>
      <c r="AP306" s="1404" t="str">
        <f t="shared" si="168"/>
        <v/>
      </c>
      <c r="AQ306" s="1388">
        <f t="shared" si="169"/>
        <v>0</v>
      </c>
      <c r="AR306" s="1388" t="str">
        <f t="shared" si="170"/>
        <v/>
      </c>
      <c r="AS306" s="1388" t="str">
        <f t="shared" si="171"/>
        <v/>
      </c>
      <c r="AT306" s="1388" t="str">
        <f t="shared" si="172"/>
        <v/>
      </c>
      <c r="AU306" s="1393">
        <f t="shared" si="173"/>
        <v>0</v>
      </c>
      <c r="AV306" s="1388">
        <f t="shared" si="174"/>
        <v>0</v>
      </c>
      <c r="AW306" s="1390" t="str">
        <f t="shared" si="175"/>
        <v/>
      </c>
      <c r="AX306" s="1390" t="str">
        <f t="shared" si="181"/>
        <v/>
      </c>
      <c r="AY306" s="1394" t="str">
        <f t="shared" si="176"/>
        <v/>
      </c>
      <c r="AZ306" s="1395" t="str">
        <f>IF(Table22[[#This Row],[LOQ_label]]="Y",Table22[[#This Row],[MRL individual commodity]],"")</f>
        <v/>
      </c>
      <c r="BA306" s="1449" t="s">
        <v>654</v>
      </c>
      <c r="BB306" s="1411" t="str">
        <f>IF(Table22[[#This Row],[LOQ2]]&lt;0,MIN(AZ306:AZ682),"")</f>
        <v/>
      </c>
      <c r="BC306" s="1299"/>
      <c r="BD306" s="1306" t="str">
        <f>IF(Table22[[#This Row],[Chronic RA label]]="","N",IF(Table22[[#This Row],[Chronic RA label]]="LOQ","N",IF(Table22[[#This Row],[Chronic RA label]]="MRL","N","Y")))</f>
        <v>N</v>
      </c>
      <c r="BE306" s="1306" t="str">
        <f>IF(Table22[[#This Row],[Acute RA label]]="","N",IF(Table22[[#This Row],[Acute RA label]]="LOQ","N",IF(Table22[[#This Row],[Acute RA label]]="MRL","N","Y")))</f>
        <v>N</v>
      </c>
      <c r="BF306" s="1306" t="str">
        <f>IF(OR(Table22[[#This Row],[include commodity in Summary_input_values_chronic]]="Y",Table22[[#This Row],[include commodity in Summary_input_values_acute]]="Y"),"Y","N")</f>
        <v>N</v>
      </c>
      <c r="BG306" s="1299"/>
      <c r="BH306" s="1324"/>
    </row>
    <row r="307" spans="1:60" ht="12.75" customHeight="1" outlineLevel="3" x14ac:dyDescent="0.2">
      <c r="A307" s="39">
        <v>4</v>
      </c>
      <c r="B307" s="327">
        <v>840990</v>
      </c>
      <c r="C307" s="23" t="s">
        <v>186</v>
      </c>
      <c r="D307" s="867"/>
      <c r="E307" s="1219"/>
      <c r="F307" s="867"/>
      <c r="G307" s="869"/>
      <c r="H307" s="863"/>
      <c r="I307" s="868"/>
      <c r="J307" s="870"/>
      <c r="K307" s="865"/>
      <c r="L307" s="872"/>
      <c r="M307" s="872"/>
      <c r="N307" s="925" t="str">
        <f>IF(O307&lt;&gt;0,CONCATENATE(input_values!$AF307,input_values!$AG307,input_values!$AH307),"")</f>
        <v/>
      </c>
      <c r="O307" s="491">
        <f>IF($A$10="Refined calculation mode",Table22[[#This Row],[input for chronic (refined mode]],Table22[[#This Row],[input for chronic normal mode]])</f>
        <v>0</v>
      </c>
      <c r="P307" s="473"/>
      <c r="Q307" s="474"/>
      <c r="R307" s="473"/>
      <c r="S307" s="474"/>
      <c r="T307" s="886"/>
      <c r="U307" s="1408">
        <f>Table22[[#This Row],[MRL/ proposed MRL /CXL
(mg/kg)]]</f>
        <v>0</v>
      </c>
      <c r="V307" s="1409" t="str">
        <f>IF(ISBLANK(F307),"","Y")</f>
        <v/>
      </c>
      <c r="W307" s="1387">
        <f>IF($G307&gt;0,$G307,1)</f>
        <v>1</v>
      </c>
      <c r="X307" s="1387">
        <f>IF($H307&gt;0,$H307,1)</f>
        <v>1</v>
      </c>
      <c r="Y307" s="1387">
        <f>W307*X307</f>
        <v>1</v>
      </c>
      <c r="Z307" s="1410">
        <v>4</v>
      </c>
      <c r="AA307" s="1387">
        <f t="shared" si="158"/>
        <v>0</v>
      </c>
      <c r="AB307" s="1387">
        <f>IF(Z307=A307,IF(AND(L307="N",Table22[[#This Row],[LOQ_label]]="Y"),AA307,$AA307*$Y307),"")</f>
        <v>0</v>
      </c>
      <c r="AC307" s="1393">
        <f t="shared" si="159"/>
        <v>0</v>
      </c>
      <c r="AD307" s="1393">
        <f>IF(Table22[[#This Row],[Median residue*CF*PeF]]&lt;&gt;"",Table22[[#This Row],[Median residue*CF*PeF]],Table22[[#This Row],[MRL*CF*PeF (chronic)]])</f>
        <v>0</v>
      </c>
      <c r="AE307" s="1393">
        <f t="shared" si="160"/>
        <v>0</v>
      </c>
      <c r="AF307" s="1390" t="str">
        <f t="shared" si="161"/>
        <v>MRL</v>
      </c>
      <c r="AG307" s="1390" t="str">
        <f t="shared" si="162"/>
        <v/>
      </c>
      <c r="AH307" s="1394" t="str">
        <f t="shared" si="163"/>
        <v/>
      </c>
      <c r="AI307" s="1386"/>
      <c r="AJ307" s="1387" t="str">
        <f t="shared" si="164"/>
        <v/>
      </c>
      <c r="AK307" s="1387" t="str">
        <f>IF(AI307=A307,IF(AND(L307="N",Table22[[#This Row],[LOQ_label]]="Y"),AJ307,$AJ307*$Y307),"")</f>
        <v/>
      </c>
      <c r="AL307" s="1388" t="str">
        <f t="shared" si="165"/>
        <v/>
      </c>
      <c r="AM307" s="1393" t="str">
        <f>IF(Table22[[#This Row],[Highest residue * CF*PF]]&lt;&gt;"",Table22[[#This Row],[Highest residue * CF*PF]],Table22[[#This Row],[MRL*CF*PF or MRL (if LOQ and not authorised) (acute RA)]])</f>
        <v/>
      </c>
      <c r="AN307" s="1390" t="str">
        <f t="shared" si="166"/>
        <v/>
      </c>
      <c r="AO307" s="1390" t="str">
        <f t="shared" si="167"/>
        <v/>
      </c>
      <c r="AP307" s="1404" t="str">
        <f t="shared" si="168"/>
        <v/>
      </c>
      <c r="AQ307" s="1388">
        <f t="shared" si="169"/>
        <v>0</v>
      </c>
      <c r="AR307" s="1388" t="str">
        <f t="shared" si="170"/>
        <v/>
      </c>
      <c r="AS307" s="1388" t="str">
        <f t="shared" si="171"/>
        <v/>
      </c>
      <c r="AT307" s="1388" t="str">
        <f t="shared" si="172"/>
        <v/>
      </c>
      <c r="AU307" s="1393" t="str">
        <f t="shared" si="173"/>
        <v/>
      </c>
      <c r="AV307" s="1388">
        <f t="shared" si="174"/>
        <v>0</v>
      </c>
      <c r="AW307" s="1390" t="str">
        <f t="shared" si="175"/>
        <v/>
      </c>
      <c r="AX307" s="1390" t="str">
        <f t="shared" si="181"/>
        <v/>
      </c>
      <c r="AY307" s="1394" t="str">
        <f t="shared" si="176"/>
        <v/>
      </c>
      <c r="AZ307" s="1395" t="str">
        <f>IF(Table22[[#This Row],[LOQ_label]]="Y",Table22[[#This Row],[MRL individual commodity]],"")</f>
        <v/>
      </c>
      <c r="BA307" s="1396" t="s">
        <v>1159</v>
      </c>
      <c r="BB307" s="1411" t="str">
        <f>IF(Table22[[#This Row],[LOQ2]]&lt;0,MIN(AZ307:AZ683),"")</f>
        <v/>
      </c>
      <c r="BC307" s="1299"/>
      <c r="BD307" s="1306" t="str">
        <f>IF(Table22[[#This Row],[Chronic RA label]]="","N",IF(Table22[[#This Row],[Chronic RA label]]="LOQ","N",IF(Table22[[#This Row],[Chronic RA label]]="MRL","N","Y")))</f>
        <v>N</v>
      </c>
      <c r="BE307" s="1306" t="str">
        <f>IF(Table22[[#This Row],[Acute RA label]]="","N",IF(Table22[[#This Row],[Acute RA label]]="LOQ","N",IF(Table22[[#This Row],[Acute RA label]]="MRL","N","Y")))</f>
        <v>N</v>
      </c>
      <c r="BF307" s="1306" t="str">
        <f>IF(OR(Table22[[#This Row],[include commodity in Summary_input_values_chronic]]="Y",Table22[[#This Row],[include commodity in Summary_input_values_acute]]="Y"),"Y","N")</f>
        <v>N</v>
      </c>
      <c r="BG307" s="1299"/>
      <c r="BH307" s="1324"/>
    </row>
    <row r="308" spans="1:60" ht="12.75" customHeight="1" outlineLevel="1" x14ac:dyDescent="0.2">
      <c r="A308" s="130">
        <v>2</v>
      </c>
      <c r="B308" s="447">
        <v>850000</v>
      </c>
      <c r="C308" s="131" t="s">
        <v>80</v>
      </c>
      <c r="D308" s="862"/>
      <c r="E308" s="1218"/>
      <c r="F308" s="862"/>
      <c r="G308" s="866"/>
      <c r="H308" s="863"/>
      <c r="I308" s="863"/>
      <c r="J308" s="864"/>
      <c r="K308" s="865"/>
      <c r="L308" s="471"/>
      <c r="M308" s="471"/>
      <c r="N308" s="473"/>
      <c r="O308" s="474"/>
      <c r="P308" s="473"/>
      <c r="Q308" s="474"/>
      <c r="R308" s="473"/>
      <c r="S308" s="474"/>
      <c r="T308" s="886"/>
      <c r="U308" s="1415"/>
      <c r="V308" s="1380"/>
      <c r="W308" s="1381"/>
      <c r="X308" s="1381"/>
      <c r="Y308" s="1381"/>
      <c r="Z308" s="1382">
        <v>4</v>
      </c>
      <c r="AA308" s="1381" t="str">
        <f t="shared" si="158"/>
        <v/>
      </c>
      <c r="AB308" s="1381" t="str">
        <f>IF(Z308=A308,IF(AND(L308="N",Table22[[#This Row],[LOQ_label]]="Y"),AA308,$AA308*$Y308),"")</f>
        <v/>
      </c>
      <c r="AC308" s="1383" t="str">
        <f t="shared" si="159"/>
        <v/>
      </c>
      <c r="AD308" s="1383" t="str">
        <f>IF(Table22[[#This Row],[Median residue*CF*PeF]]&lt;&gt;"",Table22[[#This Row],[Median residue*CF*PeF]],Table22[[#This Row],[MRL*CF*PeF (chronic)]])</f>
        <v/>
      </c>
      <c r="AE308" s="1384">
        <f t="shared" si="160"/>
        <v>0</v>
      </c>
      <c r="AF308" s="1385" t="str">
        <f t="shared" si="161"/>
        <v/>
      </c>
      <c r="AG308" s="1385" t="str">
        <f t="shared" si="162"/>
        <v/>
      </c>
      <c r="AH308" s="1270" t="str">
        <f t="shared" si="163"/>
        <v/>
      </c>
      <c r="AI308" s="1386">
        <v>4</v>
      </c>
      <c r="AJ308" s="1387" t="str">
        <f t="shared" si="164"/>
        <v/>
      </c>
      <c r="AK308" s="1387" t="str">
        <f>IF(AI308=A308,IF(AND(L308="N",Table22[[#This Row],[LOQ_label]]="Y"),AJ308,$AJ308*$Y308),"")</f>
        <v/>
      </c>
      <c r="AL308" s="1388" t="str">
        <f t="shared" si="165"/>
        <v/>
      </c>
      <c r="AM308" s="1393" t="str">
        <f>IF(Table22[[#This Row],[Highest residue * CF*PF]]&lt;&gt;"",Table22[[#This Row],[Highest residue * CF*PF]],Table22[[#This Row],[MRL*CF*PF or MRL (if LOQ and not authorised) (acute RA)]])</f>
        <v/>
      </c>
      <c r="AN308" s="1390" t="str">
        <f t="shared" si="166"/>
        <v/>
      </c>
      <c r="AO308" s="1390" t="str">
        <f t="shared" si="167"/>
        <v/>
      </c>
      <c r="AP308" s="1404" t="str">
        <f t="shared" si="168"/>
        <v/>
      </c>
      <c r="AQ308" s="1388">
        <f t="shared" si="169"/>
        <v>0</v>
      </c>
      <c r="AR308" s="1388" t="str">
        <f t="shared" si="170"/>
        <v/>
      </c>
      <c r="AS308" s="1388" t="str">
        <f t="shared" si="171"/>
        <v/>
      </c>
      <c r="AT308" s="1388" t="str">
        <f t="shared" si="172"/>
        <v/>
      </c>
      <c r="AU308" s="1393" t="str">
        <f t="shared" si="173"/>
        <v/>
      </c>
      <c r="AV308" s="1388">
        <f t="shared" si="174"/>
        <v>0</v>
      </c>
      <c r="AW308" s="1390" t="str">
        <f t="shared" si="175"/>
        <v/>
      </c>
      <c r="AX308" s="1390" t="str">
        <f t="shared" si="181"/>
        <v/>
      </c>
      <c r="AY308" s="1394" t="str">
        <f t="shared" si="176"/>
        <v/>
      </c>
      <c r="AZ308" s="1395">
        <f>IF(Table22[[#This Row],[LOQ_label]]="Y",Table22[[#This Row],[MRL individual commodity]],"")</f>
        <v>0</v>
      </c>
      <c r="BA308" s="1396" t="s">
        <v>1159</v>
      </c>
      <c r="BB308" s="1411" t="str">
        <f>IF(Table22[[#This Row],[LOQ2]]&lt;0,MIN(AZ308:AZ684),"")</f>
        <v/>
      </c>
      <c r="BC308" s="1299"/>
      <c r="BD308" s="1306" t="str">
        <f>IF(Table22[[#This Row],[Chronic RA label]]="","N",IF(Table22[[#This Row],[Chronic RA label]]="LOQ","N",IF(Table22[[#This Row],[Chronic RA label]]="MRL","N","Y")))</f>
        <v>N</v>
      </c>
      <c r="BE308" s="1306" t="str">
        <f>IF(Table22[[#This Row],[Acute RA label]]="","N",IF(Table22[[#This Row],[Acute RA label]]="LOQ","N",IF(Table22[[#This Row],[Acute RA label]]="MRL","N","Y")))</f>
        <v>N</v>
      </c>
      <c r="BF308" s="1306" t="str">
        <f>IF(OR(Table22[[#This Row],[include commodity in Summary_input_values_chronic]]="Y",Table22[[#This Row],[include commodity in Summary_input_values_acute]]="Y"),"Y","N")</f>
        <v>N</v>
      </c>
      <c r="BG308" s="1299"/>
      <c r="BH308" s="1324"/>
    </row>
    <row r="309" spans="1:60" ht="12.75" customHeight="1" outlineLevel="3" x14ac:dyDescent="0.2">
      <c r="A309" s="39">
        <v>4</v>
      </c>
      <c r="B309" s="327">
        <v>850010</v>
      </c>
      <c r="C309" s="23" t="s">
        <v>202</v>
      </c>
      <c r="D309" s="867"/>
      <c r="E309" s="1219"/>
      <c r="F309" s="867"/>
      <c r="G309" s="869"/>
      <c r="H309" s="863"/>
      <c r="I309" s="868"/>
      <c r="J309" s="870"/>
      <c r="K309" s="865"/>
      <c r="L309" s="872"/>
      <c r="M309" s="872"/>
      <c r="N309" s="925" t="str">
        <f>IF(O309&lt;&gt;0,CONCATENATE(input_values!$AF309,input_values!$AG309,input_values!$AH309),"")</f>
        <v/>
      </c>
      <c r="O309" s="491">
        <f>IF($A$10="Refined calculation mode",Table22[[#This Row],[input for chronic (refined mode]],Table22[[#This Row],[input for chronic normal mode]])</f>
        <v>0</v>
      </c>
      <c r="P309" s="925" t="str">
        <f>IF(Q309&lt;&gt;0,CONCATENATE(input_values!$AN309,input_values!$AO309,input_values!$AP309),"")</f>
        <v/>
      </c>
      <c r="Q309" s="491">
        <f>IF($V$5=0,0,IF(OR($A$10="Refined calculation mode",Results!$B$62="Show results of IESTI calculation only for crops with GAPs under assessment"),Table22[[#This Row],[Input for IESTI (refined mode)]],Table22[[#This Row],[Input for IESTI normal mode]]))</f>
        <v>0</v>
      </c>
      <c r="R309" s="926" t="str">
        <f>IF(S309&lt;&gt;0,CONCATENATE(input_values!$AW309,input_values!$AX309,input_values!$AY309),"")</f>
        <v/>
      </c>
      <c r="S309" s="492">
        <f>IF($V$5=0,0,IF(OR($A$10="Refined calculation mode",Results!$B$62="Show results of IESTI calculation only for crops with GAPs under assessment"),Table22[[#This Row],[Input for IESTI new (refined mode)]],Table22[[#This Row],[Input for IESTI new normal mode]]))</f>
        <v>0</v>
      </c>
      <c r="T309" s="886"/>
      <c r="U309" s="1408">
        <f>Table22[[#This Row],[MRL/ proposed MRL /CXL
(mg/kg)]]</f>
        <v>0</v>
      </c>
      <c r="V309" s="1409" t="str">
        <f>IF(ISBLANK(F309),"","Y")</f>
        <v/>
      </c>
      <c r="W309" s="1387">
        <f>IF($G309&gt;0,$G309,1)</f>
        <v>1</v>
      </c>
      <c r="X309" s="1387">
        <f>IF($H309&gt;0,$H309,1)</f>
        <v>1</v>
      </c>
      <c r="Y309" s="1387">
        <f>W309*X309</f>
        <v>1</v>
      </c>
      <c r="Z309" s="1410">
        <v>4</v>
      </c>
      <c r="AA309" s="1387">
        <f t="shared" si="158"/>
        <v>0</v>
      </c>
      <c r="AB309" s="1387">
        <f>IF(Z309=A309,IF(AND(L309="N",Table22[[#This Row],[LOQ_label]]="Y"),AA309,$AA309*$Y309),"")</f>
        <v>0</v>
      </c>
      <c r="AC309" s="1393">
        <f t="shared" si="159"/>
        <v>0</v>
      </c>
      <c r="AD309" s="1393">
        <f>IF(Table22[[#This Row],[Median residue*CF*PeF]]&lt;&gt;"",Table22[[#This Row],[Median residue*CF*PeF]],Table22[[#This Row],[MRL*CF*PeF (chronic)]])</f>
        <v>0</v>
      </c>
      <c r="AE309" s="1393">
        <f t="shared" si="160"/>
        <v>0</v>
      </c>
      <c r="AF309" s="1390" t="str">
        <f t="shared" si="161"/>
        <v>MRL</v>
      </c>
      <c r="AG309" s="1390" t="str">
        <f t="shared" si="162"/>
        <v/>
      </c>
      <c r="AH309" s="1394" t="str">
        <f t="shared" si="163"/>
        <v/>
      </c>
      <c r="AI309" s="1386">
        <v>4</v>
      </c>
      <c r="AJ309" s="1387">
        <f t="shared" si="164"/>
        <v>0</v>
      </c>
      <c r="AK309" s="1387">
        <f>IF(AI309=A309,IF(AND(L309="N",Table22[[#This Row],[LOQ_label]]="Y"),AJ309,$AJ309*$Y309),"")</f>
        <v>0</v>
      </c>
      <c r="AL309" s="1388">
        <f t="shared" si="165"/>
        <v>0</v>
      </c>
      <c r="AM309" s="1393">
        <f>IF(Table22[[#This Row],[Highest residue * CF*PF]]&lt;&gt;"",Table22[[#This Row],[Highest residue * CF*PF]],Table22[[#This Row],[MRL*CF*PF or MRL (if LOQ and not authorised) (acute RA)]])</f>
        <v>0</v>
      </c>
      <c r="AN309" s="1390" t="str">
        <f t="shared" si="166"/>
        <v>MRL</v>
      </c>
      <c r="AO309" s="1390" t="str">
        <f t="shared" si="167"/>
        <v/>
      </c>
      <c r="AP309" s="1404" t="str">
        <f t="shared" si="168"/>
        <v/>
      </c>
      <c r="AQ309" s="1388">
        <f t="shared" si="169"/>
        <v>0</v>
      </c>
      <c r="AR309" s="1388" t="str">
        <f t="shared" si="170"/>
        <v/>
      </c>
      <c r="AS309" s="1388" t="str">
        <f t="shared" si="171"/>
        <v/>
      </c>
      <c r="AT309" s="1388" t="str">
        <f t="shared" si="172"/>
        <v/>
      </c>
      <c r="AU309" s="1393">
        <f t="shared" si="173"/>
        <v>0</v>
      </c>
      <c r="AV309" s="1388">
        <f t="shared" si="174"/>
        <v>0</v>
      </c>
      <c r="AW309" s="1390" t="str">
        <f t="shared" si="175"/>
        <v/>
      </c>
      <c r="AX309" s="1390" t="str">
        <f t="shared" si="181"/>
        <v/>
      </c>
      <c r="AY309" s="1394" t="str">
        <f t="shared" si="176"/>
        <v/>
      </c>
      <c r="AZ309" s="1395" t="str">
        <f>IF(Table22[[#This Row],[LOQ_label]]="Y",Table22[[#This Row],[MRL individual commodity]],"")</f>
        <v/>
      </c>
      <c r="BA309" s="1396" t="s">
        <v>1038</v>
      </c>
      <c r="BB309" s="1411" t="str">
        <f>IF(Table22[[#This Row],[LOQ2]]&lt;0,MIN(AZ309:AZ685),"")</f>
        <v/>
      </c>
      <c r="BC309" s="1299"/>
      <c r="BD309" s="1306" t="str">
        <f>IF(Table22[[#This Row],[Chronic RA label]]="","N",IF(Table22[[#This Row],[Chronic RA label]]="LOQ","N",IF(Table22[[#This Row],[Chronic RA label]]="MRL","N","Y")))</f>
        <v>N</v>
      </c>
      <c r="BE309" s="1306" t="str">
        <f>IF(Table22[[#This Row],[Acute RA label]]="","N",IF(Table22[[#This Row],[Acute RA label]]="LOQ","N",IF(Table22[[#This Row],[Acute RA label]]="MRL","N","Y")))</f>
        <v>N</v>
      </c>
      <c r="BF309" s="1306" t="str">
        <f>IF(OR(Table22[[#This Row],[include commodity in Summary_input_values_chronic]]="Y",Table22[[#This Row],[include commodity in Summary_input_values_acute]]="Y"),"Y","N")</f>
        <v>N</v>
      </c>
      <c r="BG309" s="1299"/>
      <c r="BH309" s="1324"/>
    </row>
    <row r="310" spans="1:60" ht="12.75" customHeight="1" outlineLevel="3" x14ac:dyDescent="0.2">
      <c r="A310" s="39">
        <v>4</v>
      </c>
      <c r="B310" s="327">
        <v>850020</v>
      </c>
      <c r="C310" s="23" t="s">
        <v>203</v>
      </c>
      <c r="D310" s="867"/>
      <c r="E310" s="1219"/>
      <c r="F310" s="867"/>
      <c r="G310" s="869"/>
      <c r="H310" s="863"/>
      <c r="I310" s="868"/>
      <c r="J310" s="870"/>
      <c r="K310" s="865"/>
      <c r="L310" s="872"/>
      <c r="M310" s="872"/>
      <c r="N310" s="925" t="str">
        <f>IF(O310&lt;&gt;0,CONCATENATE(input_values!$AF310,input_values!$AG310,input_values!$AH310),"")</f>
        <v/>
      </c>
      <c r="O310" s="491">
        <f>IF($A$10="Refined calculation mode",Table22[[#This Row],[input for chronic (refined mode]],Table22[[#This Row],[input for chronic normal mode]])</f>
        <v>0</v>
      </c>
      <c r="P310" s="925" t="str">
        <f>IF(Q310&lt;&gt;0,CONCATENATE(input_values!$AN310,input_values!$AO310,input_values!$AP310),"")</f>
        <v/>
      </c>
      <c r="Q310" s="491">
        <f>IF($V$5=0,0,IF(OR($A$10="Refined calculation mode",Results!$B$62="Show results of IESTI calculation only for crops with GAPs under assessment"),Table22[[#This Row],[Input for IESTI (refined mode)]],Table22[[#This Row],[Input for IESTI normal mode]]))</f>
        <v>0</v>
      </c>
      <c r="R310" s="926" t="str">
        <f>IF(S310&lt;&gt;0,CONCATENATE(input_values!$AW310,input_values!$AX310,input_values!$AY310),"")</f>
        <v/>
      </c>
      <c r="S310" s="492">
        <f>IF($V$5=0,0,IF(OR($A$10="Refined calculation mode",Results!$B$62="Show results of IESTI calculation only for crops with GAPs under assessment"),Table22[[#This Row],[Input for IESTI new (refined mode)]],Table22[[#This Row],[Input for IESTI new normal mode]]))</f>
        <v>0</v>
      </c>
      <c r="T310" s="886"/>
      <c r="U310" s="1408">
        <f>Table22[[#This Row],[MRL/ proposed MRL /CXL
(mg/kg)]]</f>
        <v>0</v>
      </c>
      <c r="V310" s="1409" t="str">
        <f>IF(ISBLANK(F310),"","Y")</f>
        <v/>
      </c>
      <c r="W310" s="1387">
        <f>IF($G310&gt;0,$G310,1)</f>
        <v>1</v>
      </c>
      <c r="X310" s="1387">
        <f>IF($H310&gt;0,$H310,1)</f>
        <v>1</v>
      </c>
      <c r="Y310" s="1387">
        <f>W310*X310</f>
        <v>1</v>
      </c>
      <c r="Z310" s="1410">
        <v>4</v>
      </c>
      <c r="AA310" s="1387">
        <f t="shared" si="158"/>
        <v>0</v>
      </c>
      <c r="AB310" s="1387">
        <f>IF(Z310=A310,IF(AND(L310="N",Table22[[#This Row],[LOQ_label]]="Y"),AA310,$AA310*$Y310),"")</f>
        <v>0</v>
      </c>
      <c r="AC310" s="1393">
        <f t="shared" si="159"/>
        <v>0</v>
      </c>
      <c r="AD310" s="1393">
        <f>IF(Table22[[#This Row],[Median residue*CF*PeF]]&lt;&gt;"",Table22[[#This Row],[Median residue*CF*PeF]],Table22[[#This Row],[MRL*CF*PeF (chronic)]])</f>
        <v>0</v>
      </c>
      <c r="AE310" s="1393">
        <f t="shared" si="160"/>
        <v>0</v>
      </c>
      <c r="AF310" s="1390" t="str">
        <f t="shared" si="161"/>
        <v>MRL</v>
      </c>
      <c r="AG310" s="1390" t="str">
        <f t="shared" si="162"/>
        <v/>
      </c>
      <c r="AH310" s="1394" t="str">
        <f t="shared" si="163"/>
        <v/>
      </c>
      <c r="AI310" s="1386">
        <v>4</v>
      </c>
      <c r="AJ310" s="1387">
        <f t="shared" si="164"/>
        <v>0</v>
      </c>
      <c r="AK310" s="1387">
        <f>IF(AI310=A310,IF(AND(L310="N",Table22[[#This Row],[LOQ_label]]="Y"),AJ310,$AJ310*$Y310),"")</f>
        <v>0</v>
      </c>
      <c r="AL310" s="1388">
        <f t="shared" si="165"/>
        <v>0</v>
      </c>
      <c r="AM310" s="1393">
        <f>IF(Table22[[#This Row],[Highest residue * CF*PF]]&lt;&gt;"",Table22[[#This Row],[Highest residue * CF*PF]],Table22[[#This Row],[MRL*CF*PF or MRL (if LOQ and not authorised) (acute RA)]])</f>
        <v>0</v>
      </c>
      <c r="AN310" s="1390" t="str">
        <f t="shared" si="166"/>
        <v>MRL</v>
      </c>
      <c r="AO310" s="1390" t="str">
        <f t="shared" si="167"/>
        <v/>
      </c>
      <c r="AP310" s="1404" t="str">
        <f t="shared" si="168"/>
        <v/>
      </c>
      <c r="AQ310" s="1388">
        <f t="shared" si="169"/>
        <v>0</v>
      </c>
      <c r="AR310" s="1388" t="str">
        <f t="shared" si="170"/>
        <v/>
      </c>
      <c r="AS310" s="1388" t="str">
        <f t="shared" si="171"/>
        <v/>
      </c>
      <c r="AT310" s="1388" t="str">
        <f t="shared" si="172"/>
        <v/>
      </c>
      <c r="AU310" s="1393">
        <f t="shared" si="173"/>
        <v>0</v>
      </c>
      <c r="AV310" s="1388">
        <f t="shared" si="174"/>
        <v>0</v>
      </c>
      <c r="AW310" s="1390" t="str">
        <f t="shared" si="175"/>
        <v/>
      </c>
      <c r="AX310" s="1390" t="str">
        <f t="shared" si="181"/>
        <v/>
      </c>
      <c r="AY310" s="1394" t="str">
        <f t="shared" si="176"/>
        <v/>
      </c>
      <c r="AZ310" s="1395" t="str">
        <f>IF(Table22[[#This Row],[LOQ_label]]="Y",Table22[[#This Row],[MRL individual commodity]],"")</f>
        <v/>
      </c>
      <c r="BA310" s="1396" t="s">
        <v>1038</v>
      </c>
      <c r="BB310" s="1411" t="str">
        <f>IF(Table22[[#This Row],[LOQ2]]&lt;0,MIN(AZ310:AZ686),"")</f>
        <v/>
      </c>
      <c r="BC310" s="1299"/>
      <c r="BD310" s="1306" t="str">
        <f>IF(Table22[[#This Row],[Chronic RA label]]="","N",IF(Table22[[#This Row],[Chronic RA label]]="LOQ","N",IF(Table22[[#This Row],[Chronic RA label]]="MRL","N","Y")))</f>
        <v>N</v>
      </c>
      <c r="BE310" s="1306" t="str">
        <f>IF(Table22[[#This Row],[Acute RA label]]="","N",IF(Table22[[#This Row],[Acute RA label]]="LOQ","N",IF(Table22[[#This Row],[Acute RA label]]="MRL","N","Y")))</f>
        <v>N</v>
      </c>
      <c r="BF310" s="1306" t="str">
        <f>IF(OR(Table22[[#This Row],[include commodity in Summary_input_values_chronic]]="Y",Table22[[#This Row],[include commodity in Summary_input_values_acute]]="Y"),"Y","N")</f>
        <v>N</v>
      </c>
      <c r="BG310" s="1299"/>
      <c r="BH310" s="1324"/>
    </row>
    <row r="311" spans="1:60" ht="12.75" customHeight="1" outlineLevel="3" x14ac:dyDescent="0.2">
      <c r="A311" s="39">
        <v>4</v>
      </c>
      <c r="B311" s="327">
        <v>850990</v>
      </c>
      <c r="C311" s="23" t="s">
        <v>187</v>
      </c>
      <c r="D311" s="867"/>
      <c r="E311" s="1219"/>
      <c r="F311" s="867"/>
      <c r="G311" s="869"/>
      <c r="H311" s="863"/>
      <c r="I311" s="868"/>
      <c r="J311" s="870"/>
      <c r="K311" s="865"/>
      <c r="L311" s="872"/>
      <c r="M311" s="872"/>
      <c r="N311" s="925" t="str">
        <f>IF(O311&lt;&gt;0,CONCATENATE(input_values!$AF311,input_values!$AG311,input_values!$AH311),"")</f>
        <v/>
      </c>
      <c r="O311" s="491">
        <f>IF($A$10="Refined calculation mode",Table22[[#This Row],[input for chronic (refined mode]],Table22[[#This Row],[input for chronic normal mode]])</f>
        <v>0</v>
      </c>
      <c r="P311" s="473"/>
      <c r="Q311" s="474"/>
      <c r="R311" s="473"/>
      <c r="S311" s="474"/>
      <c r="T311" s="886"/>
      <c r="U311" s="1408">
        <f>Table22[[#This Row],[MRL/ proposed MRL /CXL
(mg/kg)]]</f>
        <v>0</v>
      </c>
      <c r="V311" s="1409" t="str">
        <f>IF(ISBLANK(F311),"","Y")</f>
        <v/>
      </c>
      <c r="W311" s="1387">
        <f>IF($G311&gt;0,$G311,1)</f>
        <v>1</v>
      </c>
      <c r="X311" s="1387">
        <f>IF($H311&gt;0,$H311,1)</f>
        <v>1</v>
      </c>
      <c r="Y311" s="1387">
        <f>W311*X311</f>
        <v>1</v>
      </c>
      <c r="Z311" s="1410">
        <v>4</v>
      </c>
      <c r="AA311" s="1387">
        <f t="shared" si="158"/>
        <v>0</v>
      </c>
      <c r="AB311" s="1387">
        <f>IF(Z311=A311,IF(AND(L311="N",Table22[[#This Row],[LOQ_label]]="Y"),AA311,$AA311*$Y311),"")</f>
        <v>0</v>
      </c>
      <c r="AC311" s="1393">
        <f t="shared" si="159"/>
        <v>0</v>
      </c>
      <c r="AD311" s="1393">
        <f>IF(Table22[[#This Row],[Median residue*CF*PeF]]&lt;&gt;"",Table22[[#This Row],[Median residue*CF*PeF]],Table22[[#This Row],[MRL*CF*PeF (chronic)]])</f>
        <v>0</v>
      </c>
      <c r="AE311" s="1393">
        <f t="shared" si="160"/>
        <v>0</v>
      </c>
      <c r="AF311" s="1390" t="str">
        <f t="shared" si="161"/>
        <v>MRL</v>
      </c>
      <c r="AG311" s="1390" t="str">
        <f t="shared" si="162"/>
        <v/>
      </c>
      <c r="AH311" s="1394" t="str">
        <f t="shared" si="163"/>
        <v/>
      </c>
      <c r="AI311" s="1386"/>
      <c r="AJ311" s="1387" t="str">
        <f t="shared" si="164"/>
        <v/>
      </c>
      <c r="AK311" s="1387" t="str">
        <f>IF(AI311=A311,IF(AND(L311="N",Table22[[#This Row],[LOQ_label]]="Y"),AJ311,$AJ311*$Y311),"")</f>
        <v/>
      </c>
      <c r="AL311" s="1388" t="str">
        <f t="shared" si="165"/>
        <v/>
      </c>
      <c r="AM311" s="1393" t="str">
        <f>IF(Table22[[#This Row],[Highest residue * CF*PF]]&lt;&gt;"",Table22[[#This Row],[Highest residue * CF*PF]],Table22[[#This Row],[MRL*CF*PF or MRL (if LOQ and not authorised) (acute RA)]])</f>
        <v/>
      </c>
      <c r="AN311" s="1390" t="str">
        <f t="shared" si="166"/>
        <v/>
      </c>
      <c r="AO311" s="1390" t="str">
        <f t="shared" si="167"/>
        <v/>
      </c>
      <c r="AP311" s="1404" t="str">
        <f t="shared" si="168"/>
        <v/>
      </c>
      <c r="AQ311" s="1388">
        <f t="shared" si="169"/>
        <v>0</v>
      </c>
      <c r="AR311" s="1388" t="str">
        <f t="shared" si="170"/>
        <v/>
      </c>
      <c r="AS311" s="1388" t="str">
        <f t="shared" si="171"/>
        <v/>
      </c>
      <c r="AT311" s="1388" t="str">
        <f t="shared" si="172"/>
        <v/>
      </c>
      <c r="AU311" s="1393" t="str">
        <f t="shared" si="173"/>
        <v/>
      </c>
      <c r="AV311" s="1388">
        <f t="shared" si="174"/>
        <v>0</v>
      </c>
      <c r="AW311" s="1390" t="str">
        <f t="shared" si="175"/>
        <v/>
      </c>
      <c r="AX311" s="1390" t="str">
        <f t="shared" si="181"/>
        <v/>
      </c>
      <c r="AY311" s="1394" t="str">
        <f t="shared" si="176"/>
        <v/>
      </c>
      <c r="AZ311" s="1395" t="str">
        <f>IF(Table22[[#This Row],[LOQ_label]]="Y",Table22[[#This Row],[MRL individual commodity]],"")</f>
        <v/>
      </c>
      <c r="BA311" s="1396" t="s">
        <v>1159</v>
      </c>
      <c r="BB311" s="1411" t="str">
        <f>IF(Table22[[#This Row],[LOQ2]]&lt;0,MIN(AZ311:AZ687),"")</f>
        <v/>
      </c>
      <c r="BC311" s="1299"/>
      <c r="BD311" s="1306" t="str">
        <f>IF(Table22[[#This Row],[Chronic RA label]]="","N",IF(Table22[[#This Row],[Chronic RA label]]="LOQ","N",IF(Table22[[#This Row],[Chronic RA label]]="MRL","N","Y")))</f>
        <v>N</v>
      </c>
      <c r="BE311" s="1306" t="str">
        <f>IF(Table22[[#This Row],[Acute RA label]]="","N",IF(Table22[[#This Row],[Acute RA label]]="LOQ","N",IF(Table22[[#This Row],[Acute RA label]]="MRL","N","Y")))</f>
        <v>N</v>
      </c>
      <c r="BF311" s="1306" t="str">
        <f>IF(OR(Table22[[#This Row],[include commodity in Summary_input_values_chronic]]="Y",Table22[[#This Row],[include commodity in Summary_input_values_acute]]="Y"),"Y","N")</f>
        <v>N</v>
      </c>
      <c r="BG311" s="1299"/>
      <c r="BH311" s="1324"/>
    </row>
    <row r="312" spans="1:60" ht="12.75" customHeight="1" outlineLevel="1" x14ac:dyDescent="0.2">
      <c r="A312" s="130">
        <v>2</v>
      </c>
      <c r="B312" s="447">
        <v>860000</v>
      </c>
      <c r="C312" s="131" t="s">
        <v>81</v>
      </c>
      <c r="D312" s="862"/>
      <c r="E312" s="1218"/>
      <c r="F312" s="862"/>
      <c r="G312" s="866"/>
      <c r="H312" s="863"/>
      <c r="I312" s="863"/>
      <c r="J312" s="864"/>
      <c r="K312" s="865"/>
      <c r="L312" s="471"/>
      <c r="M312" s="471"/>
      <c r="N312" s="473"/>
      <c r="O312" s="474"/>
      <c r="P312" s="473"/>
      <c r="Q312" s="474"/>
      <c r="R312" s="473"/>
      <c r="S312" s="474"/>
      <c r="T312" s="886"/>
      <c r="U312" s="1415"/>
      <c r="V312" s="1380"/>
      <c r="W312" s="1381"/>
      <c r="X312" s="1381"/>
      <c r="Y312" s="1381"/>
      <c r="Z312" s="1382">
        <v>4</v>
      </c>
      <c r="AA312" s="1381" t="str">
        <f t="shared" si="158"/>
        <v/>
      </c>
      <c r="AB312" s="1381" t="str">
        <f>IF(Z312=A312,IF(AND(L312="N",Table22[[#This Row],[LOQ_label]]="Y"),AA312,$AA312*$Y312),"")</f>
        <v/>
      </c>
      <c r="AC312" s="1383" t="str">
        <f t="shared" si="159"/>
        <v/>
      </c>
      <c r="AD312" s="1383" t="str">
        <f>IF(Table22[[#This Row],[Median residue*CF*PeF]]&lt;&gt;"",Table22[[#This Row],[Median residue*CF*PeF]],Table22[[#This Row],[MRL*CF*PeF (chronic)]])</f>
        <v/>
      </c>
      <c r="AE312" s="1384">
        <f t="shared" si="160"/>
        <v>0</v>
      </c>
      <c r="AF312" s="1385" t="str">
        <f t="shared" si="161"/>
        <v/>
      </c>
      <c r="AG312" s="1385" t="str">
        <f t="shared" si="162"/>
        <v/>
      </c>
      <c r="AH312" s="1270" t="str">
        <f t="shared" si="163"/>
        <v/>
      </c>
      <c r="AI312" s="1386">
        <v>4</v>
      </c>
      <c r="AJ312" s="1387" t="str">
        <f t="shared" si="164"/>
        <v/>
      </c>
      <c r="AK312" s="1387" t="str">
        <f>IF(AI312=A312,IF(AND(L312="N",Table22[[#This Row],[LOQ_label]]="Y"),AJ312,$AJ312*$Y312),"")</f>
        <v/>
      </c>
      <c r="AL312" s="1388" t="str">
        <f t="shared" si="165"/>
        <v/>
      </c>
      <c r="AM312" s="1393" t="str">
        <f>IF(Table22[[#This Row],[Highest residue * CF*PF]]&lt;&gt;"",Table22[[#This Row],[Highest residue * CF*PF]],Table22[[#This Row],[MRL*CF*PF or MRL (if LOQ and not authorised) (acute RA)]])</f>
        <v/>
      </c>
      <c r="AN312" s="1390" t="str">
        <f t="shared" si="166"/>
        <v/>
      </c>
      <c r="AO312" s="1390" t="str">
        <f t="shared" si="167"/>
        <v/>
      </c>
      <c r="AP312" s="1404" t="str">
        <f t="shared" si="168"/>
        <v/>
      </c>
      <c r="AQ312" s="1388">
        <f t="shared" si="169"/>
        <v>0</v>
      </c>
      <c r="AR312" s="1388" t="str">
        <f t="shared" si="170"/>
        <v/>
      </c>
      <c r="AS312" s="1388" t="str">
        <f t="shared" si="171"/>
        <v/>
      </c>
      <c r="AT312" s="1388" t="str">
        <f t="shared" si="172"/>
        <v/>
      </c>
      <c r="AU312" s="1393" t="str">
        <f t="shared" si="173"/>
        <v/>
      </c>
      <c r="AV312" s="1388">
        <f t="shared" si="174"/>
        <v>0</v>
      </c>
      <c r="AW312" s="1390" t="str">
        <f t="shared" si="175"/>
        <v/>
      </c>
      <c r="AX312" s="1390" t="str">
        <f t="shared" si="181"/>
        <v/>
      </c>
      <c r="AY312" s="1394" t="str">
        <f t="shared" si="176"/>
        <v/>
      </c>
      <c r="AZ312" s="1395">
        <f>IF(Table22[[#This Row],[LOQ_label]]="Y",Table22[[#This Row],[MRL individual commodity]],"")</f>
        <v>0</v>
      </c>
      <c r="BA312" s="1396" t="s">
        <v>1159</v>
      </c>
      <c r="BB312" s="1411" t="str">
        <f>IF(Table22[[#This Row],[LOQ2]]&lt;0,MIN(AZ312:AZ688),"")</f>
        <v/>
      </c>
      <c r="BC312" s="1299"/>
      <c r="BD312" s="1306" t="str">
        <f>IF(Table22[[#This Row],[Chronic RA label]]="","N",IF(Table22[[#This Row],[Chronic RA label]]="LOQ","N",IF(Table22[[#This Row],[Chronic RA label]]="MRL","N","Y")))</f>
        <v>N</v>
      </c>
      <c r="BE312" s="1306" t="str">
        <f>IF(Table22[[#This Row],[Acute RA label]]="","N",IF(Table22[[#This Row],[Acute RA label]]="LOQ","N",IF(Table22[[#This Row],[Acute RA label]]="MRL","N","Y")))</f>
        <v>N</v>
      </c>
      <c r="BF312" s="1306" t="str">
        <f>IF(OR(Table22[[#This Row],[include commodity in Summary_input_values_chronic]]="Y",Table22[[#This Row],[include commodity in Summary_input_values_acute]]="Y"),"Y","N")</f>
        <v>N</v>
      </c>
      <c r="BG312" s="1299"/>
      <c r="BH312" s="1324"/>
    </row>
    <row r="313" spans="1:60" ht="12.75" customHeight="1" outlineLevel="3" x14ac:dyDescent="0.2">
      <c r="A313" s="39">
        <v>4</v>
      </c>
      <c r="B313" s="327">
        <v>860010</v>
      </c>
      <c r="C313" s="23" t="s">
        <v>204</v>
      </c>
      <c r="D313" s="867"/>
      <c r="E313" s="1219"/>
      <c r="F313" s="867"/>
      <c r="G313" s="869"/>
      <c r="H313" s="863"/>
      <c r="I313" s="868"/>
      <c r="J313" s="870"/>
      <c r="K313" s="865"/>
      <c r="L313" s="872"/>
      <c r="M313" s="872"/>
      <c r="N313" s="925" t="str">
        <f>IF(O313&lt;&gt;0,CONCATENATE(input_values!$AF313,input_values!$AG313,input_values!$AH313),"")</f>
        <v/>
      </c>
      <c r="O313" s="491">
        <f>IF($A$10="Refined calculation mode",Table22[[#This Row],[input for chronic (refined mode]],Table22[[#This Row],[input for chronic normal mode]])</f>
        <v>0</v>
      </c>
      <c r="P313" s="925" t="str">
        <f>IF(Q313&lt;&gt;0,CONCATENATE(input_values!$AN313,input_values!$AO313,input_values!$AP313),"")</f>
        <v/>
      </c>
      <c r="Q313" s="491">
        <f>IF($V$5=0,0,IF(OR($A$10="Refined calculation mode",Results!$B$62="Show results of IESTI calculation only for crops with GAPs under assessment"),Table22[[#This Row],[Input for IESTI (refined mode)]],Table22[[#This Row],[Input for IESTI normal mode]]))</f>
        <v>0</v>
      </c>
      <c r="R313" s="926" t="str">
        <f>IF(S313&lt;&gt;0,CONCATENATE(input_values!$AW313,input_values!$AX313,input_values!$AY313),"")</f>
        <v/>
      </c>
      <c r="S313" s="492">
        <f>IF($V$5=0,0,IF(OR($A$10="Refined calculation mode",Results!$B$62="Show results of IESTI calculation only for crops with GAPs under assessment"),Table22[[#This Row],[Input for IESTI new (refined mode)]],Table22[[#This Row],[Input for IESTI new normal mode]]))</f>
        <v>0</v>
      </c>
      <c r="T313" s="886"/>
      <c r="U313" s="1408">
        <f>Table22[[#This Row],[MRL/ proposed MRL /CXL
(mg/kg)]]</f>
        <v>0</v>
      </c>
      <c r="V313" s="1409" t="str">
        <f>IF(ISBLANK(F313),"","Y")</f>
        <v/>
      </c>
      <c r="W313" s="1387">
        <f>IF($G313&gt;0,$G313,1)</f>
        <v>1</v>
      </c>
      <c r="X313" s="1387">
        <f>IF($H313&gt;0,$H313,1)</f>
        <v>1</v>
      </c>
      <c r="Y313" s="1387">
        <f>W313*X313</f>
        <v>1</v>
      </c>
      <c r="Z313" s="1410">
        <v>4</v>
      </c>
      <c r="AA313" s="1387">
        <f t="shared" si="158"/>
        <v>0</v>
      </c>
      <c r="AB313" s="1387">
        <f>IF(Z313=A313,IF(AND(L313="N",Table22[[#This Row],[LOQ_label]]="Y"),AA313,$AA313*$Y313),"")</f>
        <v>0</v>
      </c>
      <c r="AC313" s="1393">
        <f t="shared" si="159"/>
        <v>0</v>
      </c>
      <c r="AD313" s="1393">
        <f>IF(Table22[[#This Row],[Median residue*CF*PeF]]&lt;&gt;"",Table22[[#This Row],[Median residue*CF*PeF]],Table22[[#This Row],[MRL*CF*PeF (chronic)]])</f>
        <v>0</v>
      </c>
      <c r="AE313" s="1393">
        <f t="shared" si="160"/>
        <v>0</v>
      </c>
      <c r="AF313" s="1390" t="str">
        <f t="shared" si="161"/>
        <v>MRL</v>
      </c>
      <c r="AG313" s="1390" t="str">
        <f t="shared" si="162"/>
        <v/>
      </c>
      <c r="AH313" s="1394" t="str">
        <f t="shared" si="163"/>
        <v/>
      </c>
      <c r="AI313" s="1386">
        <v>4</v>
      </c>
      <c r="AJ313" s="1387">
        <f t="shared" si="164"/>
        <v>0</v>
      </c>
      <c r="AK313" s="1387">
        <f>IF(AI313=A313,IF(AND(L313="N",Table22[[#This Row],[LOQ_label]]="Y"),AJ313,$AJ313*$Y313),"")</f>
        <v>0</v>
      </c>
      <c r="AL313" s="1388">
        <f t="shared" si="165"/>
        <v>0</v>
      </c>
      <c r="AM313" s="1393">
        <f>IF(Table22[[#This Row],[Highest residue * CF*PF]]&lt;&gt;"",Table22[[#This Row],[Highest residue * CF*PF]],Table22[[#This Row],[MRL*CF*PF or MRL (if LOQ and not authorised) (acute RA)]])</f>
        <v>0</v>
      </c>
      <c r="AN313" s="1390" t="str">
        <f t="shared" si="166"/>
        <v>MRL</v>
      </c>
      <c r="AO313" s="1390" t="str">
        <f t="shared" si="167"/>
        <v/>
      </c>
      <c r="AP313" s="1404" t="str">
        <f t="shared" si="168"/>
        <v/>
      </c>
      <c r="AQ313" s="1388">
        <f t="shared" si="169"/>
        <v>0</v>
      </c>
      <c r="AR313" s="1388" t="str">
        <f t="shared" si="170"/>
        <v/>
      </c>
      <c r="AS313" s="1388" t="str">
        <f t="shared" si="171"/>
        <v/>
      </c>
      <c r="AT313" s="1388" t="str">
        <f t="shared" si="172"/>
        <v/>
      </c>
      <c r="AU313" s="1393">
        <f t="shared" si="173"/>
        <v>0</v>
      </c>
      <c r="AV313" s="1388">
        <f t="shared" si="174"/>
        <v>0</v>
      </c>
      <c r="AW313" s="1390" t="str">
        <f t="shared" si="175"/>
        <v/>
      </c>
      <c r="AX313" s="1390" t="str">
        <f t="shared" si="181"/>
        <v/>
      </c>
      <c r="AY313" s="1394" t="str">
        <f t="shared" si="176"/>
        <v/>
      </c>
      <c r="AZ313" s="1395" t="str">
        <f>IF(Table22[[#This Row],[LOQ_label]]="Y",Table22[[#This Row],[MRL individual commodity]],"")</f>
        <v/>
      </c>
      <c r="BA313" s="1396" t="s">
        <v>1038</v>
      </c>
      <c r="BB313" s="1411" t="str">
        <f>IF(Table22[[#This Row],[LOQ2]]&lt;0,MIN(AZ313:AZ689),"")</f>
        <v/>
      </c>
      <c r="BC313" s="1299"/>
      <c r="BD313" s="1306" t="str">
        <f>IF(Table22[[#This Row],[Chronic RA label]]="","N",IF(Table22[[#This Row],[Chronic RA label]]="LOQ","N",IF(Table22[[#This Row],[Chronic RA label]]="MRL","N","Y")))</f>
        <v>N</v>
      </c>
      <c r="BE313" s="1306" t="str">
        <f>IF(Table22[[#This Row],[Acute RA label]]="","N",IF(Table22[[#This Row],[Acute RA label]]="LOQ","N",IF(Table22[[#This Row],[Acute RA label]]="MRL","N","Y")))</f>
        <v>N</v>
      </c>
      <c r="BF313" s="1306" t="str">
        <f>IF(OR(Table22[[#This Row],[include commodity in Summary_input_values_chronic]]="Y",Table22[[#This Row],[include commodity in Summary_input_values_acute]]="Y"),"Y","N")</f>
        <v>N</v>
      </c>
      <c r="BG313" s="1299"/>
      <c r="BH313" s="1324"/>
    </row>
    <row r="314" spans="1:60" ht="12.75" customHeight="1" outlineLevel="3" x14ac:dyDescent="0.2">
      <c r="A314" s="39">
        <v>4</v>
      </c>
      <c r="B314" s="327">
        <v>860990</v>
      </c>
      <c r="C314" s="23" t="s">
        <v>188</v>
      </c>
      <c r="D314" s="867"/>
      <c r="E314" s="1219"/>
      <c r="F314" s="867"/>
      <c r="G314" s="869"/>
      <c r="H314" s="863"/>
      <c r="I314" s="868"/>
      <c r="J314" s="870"/>
      <c r="K314" s="865"/>
      <c r="L314" s="872"/>
      <c r="M314" s="872"/>
      <c r="N314" s="925" t="str">
        <f>IF(O314&lt;&gt;0,CONCATENATE(input_values!$AF314,input_values!$AG314,input_values!$AH314),"")</f>
        <v/>
      </c>
      <c r="O314" s="491">
        <f>IF($A$10="Refined calculation mode",Table22[[#This Row],[input for chronic (refined mode]],Table22[[#This Row],[input for chronic normal mode]])</f>
        <v>0</v>
      </c>
      <c r="P314" s="473"/>
      <c r="Q314" s="474"/>
      <c r="R314" s="473"/>
      <c r="S314" s="474"/>
      <c r="T314" s="886"/>
      <c r="U314" s="1408">
        <f>Table22[[#This Row],[MRL/ proposed MRL /CXL
(mg/kg)]]</f>
        <v>0</v>
      </c>
      <c r="V314" s="1409" t="str">
        <f>IF(ISBLANK(F314),"","Y")</f>
        <v/>
      </c>
      <c r="W314" s="1387">
        <f>IF($G314&gt;0,$G314,1)</f>
        <v>1</v>
      </c>
      <c r="X314" s="1387">
        <f>IF($H314&gt;0,$H314,1)</f>
        <v>1</v>
      </c>
      <c r="Y314" s="1387">
        <f>W314*X314</f>
        <v>1</v>
      </c>
      <c r="Z314" s="1410">
        <v>4</v>
      </c>
      <c r="AA314" s="1387">
        <f t="shared" si="158"/>
        <v>0</v>
      </c>
      <c r="AB314" s="1387">
        <f>IF(Z314=A314,IF(AND(L314="N",Table22[[#This Row],[LOQ_label]]="Y"),AA314,$AA314*$Y314),"")</f>
        <v>0</v>
      </c>
      <c r="AC314" s="1393">
        <f t="shared" si="159"/>
        <v>0</v>
      </c>
      <c r="AD314" s="1393">
        <f>IF(Table22[[#This Row],[Median residue*CF*PeF]]&lt;&gt;"",Table22[[#This Row],[Median residue*CF*PeF]],Table22[[#This Row],[MRL*CF*PeF (chronic)]])</f>
        <v>0</v>
      </c>
      <c r="AE314" s="1393">
        <f t="shared" si="160"/>
        <v>0</v>
      </c>
      <c r="AF314" s="1390" t="str">
        <f t="shared" si="161"/>
        <v>MRL</v>
      </c>
      <c r="AG314" s="1390" t="str">
        <f t="shared" si="162"/>
        <v/>
      </c>
      <c r="AH314" s="1394" t="str">
        <f t="shared" si="163"/>
        <v/>
      </c>
      <c r="AI314" s="1386"/>
      <c r="AJ314" s="1387" t="str">
        <f t="shared" si="164"/>
        <v/>
      </c>
      <c r="AK314" s="1387" t="str">
        <f>IF(AI314=A314,IF(AND(L314="N",Table22[[#This Row],[LOQ_label]]="Y"),AJ314,$AJ314*$Y314),"")</f>
        <v/>
      </c>
      <c r="AL314" s="1388" t="str">
        <f t="shared" si="165"/>
        <v/>
      </c>
      <c r="AM314" s="1393" t="str">
        <f>IF(Table22[[#This Row],[Highest residue * CF*PF]]&lt;&gt;"",Table22[[#This Row],[Highest residue * CF*PF]],Table22[[#This Row],[MRL*CF*PF or MRL (if LOQ and not authorised) (acute RA)]])</f>
        <v/>
      </c>
      <c r="AN314" s="1390" t="str">
        <f t="shared" si="166"/>
        <v/>
      </c>
      <c r="AO314" s="1390" t="str">
        <f t="shared" si="167"/>
        <v/>
      </c>
      <c r="AP314" s="1404" t="str">
        <f t="shared" si="168"/>
        <v/>
      </c>
      <c r="AQ314" s="1388">
        <f t="shared" si="169"/>
        <v>0</v>
      </c>
      <c r="AR314" s="1388" t="str">
        <f t="shared" si="170"/>
        <v/>
      </c>
      <c r="AS314" s="1388" t="str">
        <f t="shared" si="171"/>
        <v/>
      </c>
      <c r="AT314" s="1388" t="str">
        <f t="shared" si="172"/>
        <v/>
      </c>
      <c r="AU314" s="1393" t="str">
        <f t="shared" si="173"/>
        <v/>
      </c>
      <c r="AV314" s="1388">
        <f t="shared" si="174"/>
        <v>0</v>
      </c>
      <c r="AW314" s="1390" t="str">
        <f t="shared" si="175"/>
        <v/>
      </c>
      <c r="AX314" s="1390" t="str">
        <f t="shared" si="181"/>
        <v/>
      </c>
      <c r="AY314" s="1394" t="str">
        <f t="shared" si="176"/>
        <v/>
      </c>
      <c r="AZ314" s="1395" t="str">
        <f>IF(Table22[[#This Row],[LOQ_label]]="Y",Table22[[#This Row],[MRL individual commodity]],"")</f>
        <v/>
      </c>
      <c r="BA314" s="1396" t="s">
        <v>1159</v>
      </c>
      <c r="BB314" s="1411" t="str">
        <f>IF(Table22[[#This Row],[LOQ2]]&lt;0,MIN(AZ314:AZ690),"")</f>
        <v/>
      </c>
      <c r="BC314" s="1299"/>
      <c r="BD314" s="1306" t="str">
        <f>IF(Table22[[#This Row],[Chronic RA label]]="","N",IF(Table22[[#This Row],[Chronic RA label]]="LOQ","N",IF(Table22[[#This Row],[Chronic RA label]]="MRL","N","Y")))</f>
        <v>N</v>
      </c>
      <c r="BE314" s="1306" t="str">
        <f>IF(Table22[[#This Row],[Acute RA label]]="","N",IF(Table22[[#This Row],[Acute RA label]]="LOQ","N",IF(Table22[[#This Row],[Acute RA label]]="MRL","N","Y")))</f>
        <v>N</v>
      </c>
      <c r="BF314" s="1306" t="str">
        <f>IF(OR(Table22[[#This Row],[include commodity in Summary_input_values_chronic]]="Y",Table22[[#This Row],[include commodity in Summary_input_values_acute]]="Y"),"Y","N")</f>
        <v>N</v>
      </c>
      <c r="BG314" s="1299"/>
      <c r="BH314" s="1324"/>
    </row>
    <row r="315" spans="1:60" ht="12.75" customHeight="1" outlineLevel="1" x14ac:dyDescent="0.2">
      <c r="A315" s="130">
        <v>2</v>
      </c>
      <c r="B315" s="447">
        <v>870000</v>
      </c>
      <c r="C315" s="131" t="s">
        <v>82</v>
      </c>
      <c r="D315" s="862"/>
      <c r="E315" s="1218"/>
      <c r="F315" s="862"/>
      <c r="G315" s="866"/>
      <c r="H315" s="863"/>
      <c r="I315" s="863"/>
      <c r="J315" s="864"/>
      <c r="K315" s="865"/>
      <c r="L315" s="471"/>
      <c r="M315" s="471"/>
      <c r="N315" s="473"/>
      <c r="O315" s="474"/>
      <c r="P315" s="473"/>
      <c r="Q315" s="474"/>
      <c r="R315" s="473"/>
      <c r="S315" s="474"/>
      <c r="T315" s="886"/>
      <c r="U315" s="1415"/>
      <c r="V315" s="1380"/>
      <c r="W315" s="1381"/>
      <c r="X315" s="1381"/>
      <c r="Y315" s="1381"/>
      <c r="Z315" s="1382">
        <v>4</v>
      </c>
      <c r="AA315" s="1381" t="str">
        <f t="shared" si="158"/>
        <v/>
      </c>
      <c r="AB315" s="1381" t="str">
        <f>IF(Z315=A315,IF(AND(L315="N",Table22[[#This Row],[LOQ_label]]="Y"),AA315,$AA315*$Y315),"")</f>
        <v/>
      </c>
      <c r="AC315" s="1383" t="str">
        <f t="shared" si="159"/>
        <v/>
      </c>
      <c r="AD315" s="1383" t="str">
        <f>IF(Table22[[#This Row],[Median residue*CF*PeF]]&lt;&gt;"",Table22[[#This Row],[Median residue*CF*PeF]],Table22[[#This Row],[MRL*CF*PeF (chronic)]])</f>
        <v/>
      </c>
      <c r="AE315" s="1384">
        <f t="shared" si="160"/>
        <v>0</v>
      </c>
      <c r="AF315" s="1385" t="str">
        <f t="shared" si="161"/>
        <v/>
      </c>
      <c r="AG315" s="1385" t="str">
        <f t="shared" si="162"/>
        <v/>
      </c>
      <c r="AH315" s="1270" t="str">
        <f t="shared" si="163"/>
        <v/>
      </c>
      <c r="AI315" s="1386">
        <v>4</v>
      </c>
      <c r="AJ315" s="1387" t="str">
        <f t="shared" si="164"/>
        <v/>
      </c>
      <c r="AK315" s="1387" t="str">
        <f>IF(AI315=A315,IF(AND(L315="N",Table22[[#This Row],[LOQ_label]]="Y"),AJ315,$AJ315*$Y315),"")</f>
        <v/>
      </c>
      <c r="AL315" s="1388" t="str">
        <f t="shared" si="165"/>
        <v/>
      </c>
      <c r="AM315" s="1393" t="str">
        <f>IF(Table22[[#This Row],[Highest residue * CF*PF]]&lt;&gt;"",Table22[[#This Row],[Highest residue * CF*PF]],Table22[[#This Row],[MRL*CF*PF or MRL (if LOQ and not authorised) (acute RA)]])</f>
        <v/>
      </c>
      <c r="AN315" s="1390" t="str">
        <f t="shared" si="166"/>
        <v/>
      </c>
      <c r="AO315" s="1390" t="str">
        <f t="shared" si="167"/>
        <v/>
      </c>
      <c r="AP315" s="1404" t="str">
        <f t="shared" si="168"/>
        <v/>
      </c>
      <c r="AQ315" s="1388">
        <f t="shared" si="169"/>
        <v>0</v>
      </c>
      <c r="AR315" s="1388" t="str">
        <f t="shared" si="170"/>
        <v/>
      </c>
      <c r="AS315" s="1388" t="str">
        <f t="shared" si="171"/>
        <v/>
      </c>
      <c r="AT315" s="1388" t="str">
        <f t="shared" si="172"/>
        <v/>
      </c>
      <c r="AU315" s="1393" t="str">
        <f t="shared" si="173"/>
        <v/>
      </c>
      <c r="AV315" s="1388">
        <f t="shared" si="174"/>
        <v>0</v>
      </c>
      <c r="AW315" s="1390" t="str">
        <f t="shared" si="175"/>
        <v/>
      </c>
      <c r="AX315" s="1390" t="str">
        <f t="shared" si="181"/>
        <v/>
      </c>
      <c r="AY315" s="1394" t="str">
        <f t="shared" si="176"/>
        <v/>
      </c>
      <c r="AZ315" s="1395">
        <f>IF(Table22[[#This Row],[LOQ_label]]="Y",Table22[[#This Row],[MRL individual commodity]],"")</f>
        <v>0</v>
      </c>
      <c r="BA315" s="1396" t="s">
        <v>1159</v>
      </c>
      <c r="BB315" s="1411" t="str">
        <f>IF(Table22[[#This Row],[LOQ2]]&lt;0,MIN(AZ315:AZ691),"")</f>
        <v/>
      </c>
      <c r="BC315" s="1299"/>
      <c r="BD315" s="1306" t="str">
        <f>IF(Table22[[#This Row],[Chronic RA label]]="","N",IF(Table22[[#This Row],[Chronic RA label]]="LOQ","N",IF(Table22[[#This Row],[Chronic RA label]]="MRL","N","Y")))</f>
        <v>N</v>
      </c>
      <c r="BE315" s="1306" t="str">
        <f>IF(Table22[[#This Row],[Acute RA label]]="","N",IF(Table22[[#This Row],[Acute RA label]]="LOQ","N",IF(Table22[[#This Row],[Acute RA label]]="MRL","N","Y")))</f>
        <v>N</v>
      </c>
      <c r="BF315" s="1306" t="str">
        <f>IF(OR(Table22[[#This Row],[include commodity in Summary_input_values_chronic]]="Y",Table22[[#This Row],[include commodity in Summary_input_values_acute]]="Y"),"Y","N")</f>
        <v>N</v>
      </c>
      <c r="BG315" s="1299"/>
      <c r="BH315" s="1324"/>
    </row>
    <row r="316" spans="1:60" ht="12.75" customHeight="1" outlineLevel="3" x14ac:dyDescent="0.2">
      <c r="A316" s="39">
        <v>4</v>
      </c>
      <c r="B316" s="327">
        <v>870010</v>
      </c>
      <c r="C316" s="23" t="s">
        <v>205</v>
      </c>
      <c r="D316" s="867"/>
      <c r="E316" s="1219"/>
      <c r="F316" s="867"/>
      <c r="G316" s="869"/>
      <c r="H316" s="863"/>
      <c r="I316" s="868"/>
      <c r="J316" s="870"/>
      <c r="K316" s="865"/>
      <c r="L316" s="872"/>
      <c r="M316" s="872"/>
      <c r="N316" s="925" t="str">
        <f>IF(O316&lt;&gt;0,CONCATENATE(input_values!$AF316,input_values!$AG316,input_values!$AH316),"")</f>
        <v/>
      </c>
      <c r="O316" s="491">
        <f>IF($A$10="Refined calculation mode",Table22[[#This Row],[input for chronic (refined mode]],Table22[[#This Row],[input for chronic normal mode]])</f>
        <v>0</v>
      </c>
      <c r="P316" s="925" t="str">
        <f>IF(Q316&lt;&gt;0,CONCATENATE(input_values!$AN316,input_values!$AO316,input_values!$AP316),"")</f>
        <v/>
      </c>
      <c r="Q316" s="491">
        <f>IF($V$5=0,0,IF(OR($A$10="Refined calculation mode",Results!$B$62="Show results of IESTI calculation only for crops with GAPs under assessment"),Table22[[#This Row],[Input for IESTI (refined mode)]],Table22[[#This Row],[Input for IESTI normal mode]]))</f>
        <v>0</v>
      </c>
      <c r="R316" s="926" t="str">
        <f>IF(S316&lt;&gt;0,CONCATENATE(input_values!$AW316,input_values!$AX316,input_values!$AY316),"")</f>
        <v/>
      </c>
      <c r="S316" s="492">
        <f>IF($V$5=0,0,IF(OR($A$10="Refined calculation mode",Results!$B$62="Show results of IESTI calculation only for crops with GAPs under assessment"),Table22[[#This Row],[Input for IESTI new (refined mode)]],Table22[[#This Row],[Input for IESTI new normal mode]]))</f>
        <v>0</v>
      </c>
      <c r="T316" s="886"/>
      <c r="U316" s="1408">
        <f>Table22[[#This Row],[MRL/ proposed MRL /CXL
(mg/kg)]]</f>
        <v>0</v>
      </c>
      <c r="V316" s="1409" t="str">
        <f>IF(ISBLANK(F316),"","Y")</f>
        <v/>
      </c>
      <c r="W316" s="1387">
        <f>IF($G316&gt;0,$G316,1)</f>
        <v>1</v>
      </c>
      <c r="X316" s="1387">
        <f>IF($H316&gt;0,$H316,1)</f>
        <v>1</v>
      </c>
      <c r="Y316" s="1387">
        <f>W316*X316</f>
        <v>1</v>
      </c>
      <c r="Z316" s="1410">
        <v>4</v>
      </c>
      <c r="AA316" s="1387">
        <f t="shared" si="158"/>
        <v>0</v>
      </c>
      <c r="AB316" s="1387">
        <f>IF(Z316=A316,IF(AND(L316="N",Table22[[#This Row],[LOQ_label]]="Y"),AA316,$AA316*$Y316),"")</f>
        <v>0</v>
      </c>
      <c r="AC316" s="1393">
        <f t="shared" si="159"/>
        <v>0</v>
      </c>
      <c r="AD316" s="1393">
        <f>IF(Table22[[#This Row],[Median residue*CF*PeF]]&lt;&gt;"",Table22[[#This Row],[Median residue*CF*PeF]],Table22[[#This Row],[MRL*CF*PeF (chronic)]])</f>
        <v>0</v>
      </c>
      <c r="AE316" s="1393">
        <f t="shared" si="160"/>
        <v>0</v>
      </c>
      <c r="AF316" s="1390" t="str">
        <f t="shared" si="161"/>
        <v>MRL</v>
      </c>
      <c r="AG316" s="1390" t="str">
        <f t="shared" si="162"/>
        <v/>
      </c>
      <c r="AH316" s="1394" t="str">
        <f t="shared" si="163"/>
        <v/>
      </c>
      <c r="AI316" s="1386">
        <v>4</v>
      </c>
      <c r="AJ316" s="1387">
        <f t="shared" si="164"/>
        <v>0</v>
      </c>
      <c r="AK316" s="1387">
        <f>IF(AI316=A316,IF(AND(L316="N",Table22[[#This Row],[LOQ_label]]="Y"),AJ316,$AJ316*$Y316),"")</f>
        <v>0</v>
      </c>
      <c r="AL316" s="1388">
        <f t="shared" si="165"/>
        <v>0</v>
      </c>
      <c r="AM316" s="1393">
        <f>IF(Table22[[#This Row],[Highest residue * CF*PF]]&lt;&gt;"",Table22[[#This Row],[Highest residue * CF*PF]],Table22[[#This Row],[MRL*CF*PF or MRL (if LOQ and not authorised) (acute RA)]])</f>
        <v>0</v>
      </c>
      <c r="AN316" s="1390" t="str">
        <f t="shared" si="166"/>
        <v>MRL</v>
      </c>
      <c r="AO316" s="1390" t="str">
        <f t="shared" si="167"/>
        <v/>
      </c>
      <c r="AP316" s="1404" t="str">
        <f t="shared" si="168"/>
        <v/>
      </c>
      <c r="AQ316" s="1388">
        <f t="shared" si="169"/>
        <v>0</v>
      </c>
      <c r="AR316" s="1388" t="str">
        <f t="shared" si="170"/>
        <v/>
      </c>
      <c r="AS316" s="1388" t="str">
        <f t="shared" si="171"/>
        <v/>
      </c>
      <c r="AT316" s="1388" t="str">
        <f t="shared" si="172"/>
        <v/>
      </c>
      <c r="AU316" s="1393">
        <f t="shared" si="173"/>
        <v>0</v>
      </c>
      <c r="AV316" s="1388">
        <f t="shared" si="174"/>
        <v>0</v>
      </c>
      <c r="AW316" s="1390" t="str">
        <f t="shared" si="175"/>
        <v/>
      </c>
      <c r="AX316" s="1390" t="str">
        <f t="shared" si="181"/>
        <v/>
      </c>
      <c r="AY316" s="1394" t="str">
        <f t="shared" si="176"/>
        <v/>
      </c>
      <c r="AZ316" s="1395" t="str">
        <f>IF(Table22[[#This Row],[LOQ_label]]="Y",Table22[[#This Row],[MRL individual commodity]],"")</f>
        <v/>
      </c>
      <c r="BA316" s="1396" t="s">
        <v>1038</v>
      </c>
      <c r="BB316" s="1411" t="str">
        <f>IF(Table22[[#This Row],[LOQ2]]&lt;0,MIN(AZ316:AZ692),"")</f>
        <v/>
      </c>
      <c r="BC316" s="1299"/>
      <c r="BD316" s="1306" t="str">
        <f>IF(Table22[[#This Row],[Chronic RA label]]="","N",IF(Table22[[#This Row],[Chronic RA label]]="LOQ","N",IF(Table22[[#This Row],[Chronic RA label]]="MRL","N","Y")))</f>
        <v>N</v>
      </c>
      <c r="BE316" s="1306" t="str">
        <f>IF(Table22[[#This Row],[Acute RA label]]="","N",IF(Table22[[#This Row],[Acute RA label]]="LOQ","N",IF(Table22[[#This Row],[Acute RA label]]="MRL","N","Y")))</f>
        <v>N</v>
      </c>
      <c r="BF316" s="1306" t="str">
        <f>IF(OR(Table22[[#This Row],[include commodity in Summary_input_values_chronic]]="Y",Table22[[#This Row],[include commodity in Summary_input_values_acute]]="Y"),"Y","N")</f>
        <v>N</v>
      </c>
      <c r="BG316" s="1299"/>
      <c r="BH316" s="1324"/>
    </row>
    <row r="317" spans="1:60" ht="12.75" customHeight="1" outlineLevel="3" x14ac:dyDescent="0.2">
      <c r="A317" s="39">
        <v>4</v>
      </c>
      <c r="B317" s="327">
        <v>870990</v>
      </c>
      <c r="C317" s="23" t="s">
        <v>189</v>
      </c>
      <c r="D317" s="867"/>
      <c r="E317" s="1219"/>
      <c r="F317" s="867"/>
      <c r="G317" s="868"/>
      <c r="H317" s="863"/>
      <c r="I317" s="868"/>
      <c r="J317" s="870"/>
      <c r="K317" s="865"/>
      <c r="L317" s="872"/>
      <c r="M317" s="872"/>
      <c r="N317" s="925" t="str">
        <f>IF(O317&lt;&gt;0,CONCATENATE(input_values!$AF317,input_values!$AG317,input_values!$AH317),"")</f>
        <v/>
      </c>
      <c r="O317" s="491">
        <f>IF($A$10="Refined calculation mode",Table22[[#This Row],[input for chronic (refined mode]],Table22[[#This Row],[input for chronic normal mode]])</f>
        <v>0</v>
      </c>
      <c r="P317" s="473"/>
      <c r="Q317" s="474"/>
      <c r="R317" s="473"/>
      <c r="S317" s="474"/>
      <c r="T317" s="886"/>
      <c r="U317" s="1408">
        <f>Table22[[#This Row],[MRL/ proposed MRL /CXL
(mg/kg)]]</f>
        <v>0</v>
      </c>
      <c r="V317" s="1409" t="str">
        <f>IF(ISBLANK(F317),"","Y")</f>
        <v/>
      </c>
      <c r="W317" s="1387">
        <f>IF($G317&gt;0,$G317,1)</f>
        <v>1</v>
      </c>
      <c r="X317" s="1387">
        <f>IF($H317&gt;0,$H317,1)</f>
        <v>1</v>
      </c>
      <c r="Y317" s="1387">
        <f>W317*X317</f>
        <v>1</v>
      </c>
      <c r="Z317" s="1410">
        <v>4</v>
      </c>
      <c r="AA317" s="1387">
        <f t="shared" si="158"/>
        <v>0</v>
      </c>
      <c r="AB317" s="1387">
        <f>IF(Z317=A317,IF(AND(L317="N",Table22[[#This Row],[LOQ_label]]="Y"),AA317,$AA317*$Y317),"")</f>
        <v>0</v>
      </c>
      <c r="AC317" s="1393">
        <f t="shared" si="159"/>
        <v>0</v>
      </c>
      <c r="AD317" s="1393">
        <f>IF(Table22[[#This Row],[Median residue*CF*PeF]]&lt;&gt;"",Table22[[#This Row],[Median residue*CF*PeF]],Table22[[#This Row],[MRL*CF*PeF (chronic)]])</f>
        <v>0</v>
      </c>
      <c r="AE317" s="1393">
        <f t="shared" si="160"/>
        <v>0</v>
      </c>
      <c r="AF317" s="1390" t="str">
        <f t="shared" si="161"/>
        <v>MRL</v>
      </c>
      <c r="AG317" s="1390" t="str">
        <f t="shared" si="162"/>
        <v/>
      </c>
      <c r="AH317" s="1394" t="str">
        <f t="shared" si="163"/>
        <v/>
      </c>
      <c r="AI317" s="1386"/>
      <c r="AJ317" s="1387" t="str">
        <f t="shared" si="164"/>
        <v/>
      </c>
      <c r="AK317" s="1387" t="str">
        <f>IF(AI317=A317,IF(AND(L317="N",Table22[[#This Row],[LOQ_label]]="Y"),AJ317,$AJ317*$Y317),"")</f>
        <v/>
      </c>
      <c r="AL317" s="1388" t="str">
        <f t="shared" si="165"/>
        <v/>
      </c>
      <c r="AM317" s="1393" t="str">
        <f>IF(Table22[[#This Row],[Highest residue * CF*PF]]&lt;&gt;"",Table22[[#This Row],[Highest residue * CF*PF]],Table22[[#This Row],[MRL*CF*PF or MRL (if LOQ and not authorised) (acute RA)]])</f>
        <v/>
      </c>
      <c r="AN317" s="1390" t="str">
        <f t="shared" si="166"/>
        <v/>
      </c>
      <c r="AO317" s="1390" t="str">
        <f t="shared" si="167"/>
        <v/>
      </c>
      <c r="AP317" s="1404" t="str">
        <f t="shared" si="168"/>
        <v/>
      </c>
      <c r="AQ317" s="1388">
        <f t="shared" si="169"/>
        <v>0</v>
      </c>
      <c r="AR317" s="1388" t="str">
        <f t="shared" si="170"/>
        <v/>
      </c>
      <c r="AS317" s="1388" t="str">
        <f t="shared" si="171"/>
        <v/>
      </c>
      <c r="AT317" s="1388" t="str">
        <f t="shared" si="172"/>
        <v/>
      </c>
      <c r="AU317" s="1393" t="str">
        <f t="shared" si="173"/>
        <v/>
      </c>
      <c r="AV317" s="1388">
        <f t="shared" si="174"/>
        <v>0</v>
      </c>
      <c r="AW317" s="1390" t="str">
        <f t="shared" si="175"/>
        <v/>
      </c>
      <c r="AX317" s="1390" t="str">
        <f t="shared" si="181"/>
        <v/>
      </c>
      <c r="AY317" s="1394" t="str">
        <f t="shared" si="176"/>
        <v/>
      </c>
      <c r="AZ317" s="1395" t="str">
        <f>IF(Table22[[#This Row],[LOQ_label]]="Y",Table22[[#This Row],[MRL individual commodity]],"")</f>
        <v/>
      </c>
      <c r="BA317" s="1396" t="s">
        <v>1159</v>
      </c>
      <c r="BB317" s="1411" t="str">
        <f>IF(Table22[[#This Row],[LOQ2]]&lt;0,MIN(AZ317:AZ693),"")</f>
        <v/>
      </c>
      <c r="BC317" s="1299"/>
      <c r="BD317" s="1306" t="str">
        <f>IF(Table22[[#This Row],[Chronic RA label]]="","N",IF(Table22[[#This Row],[Chronic RA label]]="LOQ","N",IF(Table22[[#This Row],[Chronic RA label]]="MRL","N","Y")))</f>
        <v>N</v>
      </c>
      <c r="BE317" s="1306" t="str">
        <f>IF(Table22[[#This Row],[Acute RA label]]="","N",IF(Table22[[#This Row],[Acute RA label]]="LOQ","N",IF(Table22[[#This Row],[Acute RA label]]="MRL","N","Y")))</f>
        <v>N</v>
      </c>
      <c r="BF317" s="1306" t="str">
        <f>IF(OR(Table22[[#This Row],[include commodity in Summary_input_values_chronic]]="Y",Table22[[#This Row],[include commodity in Summary_input_values_acute]]="Y"),"Y","N")</f>
        <v>N</v>
      </c>
      <c r="BG317" s="1299"/>
      <c r="BH317" s="1324"/>
    </row>
    <row r="318" spans="1:60" ht="12.75" customHeight="1" x14ac:dyDescent="0.2">
      <c r="A318" s="126">
        <v>1</v>
      </c>
      <c r="B318" s="446">
        <v>900000</v>
      </c>
      <c r="C318" s="127" t="s">
        <v>145</v>
      </c>
      <c r="D318" s="862"/>
      <c r="E318" s="1218"/>
      <c r="F318" s="862"/>
      <c r="G318" s="866"/>
      <c r="H318" s="863"/>
      <c r="I318" s="863"/>
      <c r="J318" s="863"/>
      <c r="K318" s="865"/>
      <c r="L318" s="471"/>
      <c r="M318" s="471"/>
      <c r="N318" s="473"/>
      <c r="O318" s="474"/>
      <c r="P318" s="473"/>
      <c r="Q318" s="474"/>
      <c r="R318" s="473"/>
      <c r="S318" s="474"/>
      <c r="T318" s="886"/>
      <c r="U318" s="1415"/>
      <c r="V318" s="1380"/>
      <c r="W318" s="1381"/>
      <c r="X318" s="1381"/>
      <c r="Y318" s="1381"/>
      <c r="Z318" s="1382">
        <v>4</v>
      </c>
      <c r="AA318" s="1381" t="str">
        <f t="shared" si="158"/>
        <v/>
      </c>
      <c r="AB318" s="1381" t="str">
        <f>IF(Z318=A318,IF(AND(L318="N",Table22[[#This Row],[LOQ_label]]="Y"),AA318,$AA318*$Y318),"")</f>
        <v/>
      </c>
      <c r="AC318" s="1383" t="str">
        <f t="shared" si="159"/>
        <v/>
      </c>
      <c r="AD318" s="1383" t="str">
        <f>IF(Table22[[#This Row],[Median residue*CF*PeF]]&lt;&gt;"",Table22[[#This Row],[Median residue*CF*PeF]],Table22[[#This Row],[MRL*CF*PeF (chronic)]])</f>
        <v/>
      </c>
      <c r="AE318" s="1384">
        <f t="shared" si="160"/>
        <v>0</v>
      </c>
      <c r="AF318" s="1385" t="str">
        <f t="shared" si="161"/>
        <v/>
      </c>
      <c r="AG318" s="1385" t="str">
        <f t="shared" si="162"/>
        <v/>
      </c>
      <c r="AH318" s="1270" t="str">
        <f t="shared" si="163"/>
        <v/>
      </c>
      <c r="AI318" s="1386">
        <v>4</v>
      </c>
      <c r="AJ318" s="1387" t="str">
        <f t="shared" si="164"/>
        <v/>
      </c>
      <c r="AK318" s="1387" t="str">
        <f>IF(AI318=A318,IF(AND(L318="N",Table22[[#This Row],[LOQ_label]]="Y"),AJ318,$AJ318*$Y318),"")</f>
        <v/>
      </c>
      <c r="AL318" s="1388" t="str">
        <f t="shared" si="165"/>
        <v/>
      </c>
      <c r="AM318" s="1393" t="str">
        <f>IF(Table22[[#This Row],[Highest residue * CF*PF]]&lt;&gt;"",Table22[[#This Row],[Highest residue * CF*PF]],Table22[[#This Row],[MRL*CF*PF or MRL (if LOQ and not authorised) (acute RA)]])</f>
        <v/>
      </c>
      <c r="AN318" s="1390" t="str">
        <f t="shared" si="166"/>
        <v/>
      </c>
      <c r="AO318" s="1390" t="str">
        <f t="shared" si="167"/>
        <v/>
      </c>
      <c r="AP318" s="1404" t="str">
        <f t="shared" si="168"/>
        <v/>
      </c>
      <c r="AQ318" s="1388">
        <f t="shared" si="169"/>
        <v>0</v>
      </c>
      <c r="AR318" s="1388" t="str">
        <f t="shared" si="170"/>
        <v/>
      </c>
      <c r="AS318" s="1388" t="str">
        <f t="shared" si="171"/>
        <v/>
      </c>
      <c r="AT318" s="1388" t="str">
        <f t="shared" si="172"/>
        <v/>
      </c>
      <c r="AU318" s="1393" t="str">
        <f t="shared" si="173"/>
        <v/>
      </c>
      <c r="AV318" s="1388">
        <f t="shared" si="174"/>
        <v>0</v>
      </c>
      <c r="AW318" s="1390" t="str">
        <f t="shared" si="175"/>
        <v/>
      </c>
      <c r="AX318" s="1390" t="str">
        <f t="shared" si="181"/>
        <v/>
      </c>
      <c r="AY318" s="1394" t="str">
        <f t="shared" si="176"/>
        <v/>
      </c>
      <c r="AZ318" s="1395">
        <f>IF(Table22[[#This Row],[LOQ_label]]="Y",Table22[[#This Row],[MRL individual commodity]],"")</f>
        <v>0</v>
      </c>
      <c r="BA318" s="1396" t="s">
        <v>1159</v>
      </c>
      <c r="BB318" s="1411" t="str">
        <f>IF(Table22[[#This Row],[LOQ2]]&lt;0,MIN(AZ318:AZ694),"")</f>
        <v/>
      </c>
      <c r="BC318" s="1299"/>
      <c r="BD318" s="1306" t="str">
        <f>IF(Table22[[#This Row],[Chronic RA label]]="","N",IF(Table22[[#This Row],[Chronic RA label]]="LOQ","N",IF(Table22[[#This Row],[Chronic RA label]]="MRL","N","Y")))</f>
        <v>N</v>
      </c>
      <c r="BE318" s="1306" t="str">
        <f>IF(Table22[[#This Row],[Acute RA label]]="","N",IF(Table22[[#This Row],[Acute RA label]]="LOQ","N",IF(Table22[[#This Row],[Acute RA label]]="MRL","N","Y")))</f>
        <v>N</v>
      </c>
      <c r="BF318" s="1306" t="str">
        <f>IF(OR(Table22[[#This Row],[include commodity in Summary_input_values_chronic]]="Y",Table22[[#This Row],[include commodity in Summary_input_values_acute]]="Y"),"Y","N")</f>
        <v>N</v>
      </c>
      <c r="BG318" s="1299"/>
      <c r="BH318" s="1324"/>
    </row>
    <row r="319" spans="1:60" ht="12.75" customHeight="1" outlineLevel="3" x14ac:dyDescent="0.2">
      <c r="A319" s="39">
        <v>4</v>
      </c>
      <c r="B319" s="327">
        <v>900010</v>
      </c>
      <c r="C319" s="23" t="s">
        <v>785</v>
      </c>
      <c r="D319" s="867"/>
      <c r="E319" s="1219"/>
      <c r="F319" s="867"/>
      <c r="G319" s="869"/>
      <c r="H319" s="863"/>
      <c r="I319" s="868"/>
      <c r="J319" s="870"/>
      <c r="K319" s="865"/>
      <c r="L319" s="872"/>
      <c r="M319" s="872"/>
      <c r="N319" s="925" t="str">
        <f>IF(O319&lt;&gt;0,CONCATENATE(input_values!$AF319,input_values!$AG319,input_values!$AH319),"")</f>
        <v/>
      </c>
      <c r="O319" s="491">
        <f>IF($A$10="Refined calculation mode",Table22[[#This Row],[input for chronic (refined mode]],Table22[[#This Row],[input for chronic normal mode]])</f>
        <v>0</v>
      </c>
      <c r="P319" s="925" t="str">
        <f>IF(Q319&lt;&gt;0,CONCATENATE(input_values!$AN319,input_values!$AO319,input_values!$AP319),"")</f>
        <v/>
      </c>
      <c r="Q319" s="491">
        <f>IF($V$5=0,0,IF(OR($A$10="Refined calculation mode",Results!$B$62="Show results of IESTI calculation only for crops with GAPs under assessment"),Table22[[#This Row],[Input for IESTI (refined mode)]],Table22[[#This Row],[Input for IESTI normal mode]]))</f>
        <v>0</v>
      </c>
      <c r="R319" s="926" t="str">
        <f>IF(S319&lt;&gt;0,CONCATENATE(input_values!$AW319,input_values!$AX319,input_values!$AY319),"")</f>
        <v/>
      </c>
      <c r="S319" s="492">
        <f>IF($V$5=0,0,IF(OR($A$10="Refined calculation mode",Results!$B$62="Show results of IESTI calculation only for crops with GAPs under assessment"),Table22[[#This Row],[Input for IESTI new (refined mode)]],Table22[[#This Row],[Input for IESTI new normal mode]]))</f>
        <v>0</v>
      </c>
      <c r="T319" s="886"/>
      <c r="U319" s="1408">
        <f>Table22[[#This Row],[MRL/ proposed MRL /CXL
(mg/kg)]]</f>
        <v>0</v>
      </c>
      <c r="V319" s="1409" t="str">
        <f>IF(ISBLANK(F319),"","Y")</f>
        <v/>
      </c>
      <c r="W319" s="1387">
        <f>IF($G319&gt;0,$G319,1)</f>
        <v>1</v>
      </c>
      <c r="X319" s="1387">
        <f>IF($H319&gt;0,$H319,1)</f>
        <v>1</v>
      </c>
      <c r="Y319" s="1387">
        <f>W319*X319</f>
        <v>1</v>
      </c>
      <c r="Z319" s="1410">
        <v>4</v>
      </c>
      <c r="AA319" s="1387">
        <f t="shared" si="158"/>
        <v>0</v>
      </c>
      <c r="AB319" s="1387">
        <f>IF(Z319=A319,IF(AND(L319="N",Table22[[#This Row],[LOQ_label]]="Y"),AA319,$AA319*$Y319),"")</f>
        <v>0</v>
      </c>
      <c r="AC319" s="1393">
        <f t="shared" si="159"/>
        <v>0</v>
      </c>
      <c r="AD319" s="1393">
        <f>IF(Table22[[#This Row],[Median residue*CF*PeF]]&lt;&gt;"",Table22[[#This Row],[Median residue*CF*PeF]],Table22[[#This Row],[MRL*CF*PeF (chronic)]])</f>
        <v>0</v>
      </c>
      <c r="AE319" s="1393">
        <f t="shared" si="160"/>
        <v>0</v>
      </c>
      <c r="AF319" s="1390" t="str">
        <f t="shared" si="161"/>
        <v>MRL</v>
      </c>
      <c r="AG319" s="1390" t="str">
        <f t="shared" si="162"/>
        <v/>
      </c>
      <c r="AH319" s="1394" t="str">
        <f t="shared" si="163"/>
        <v/>
      </c>
      <c r="AI319" s="1386">
        <v>4</v>
      </c>
      <c r="AJ319" s="1387">
        <f t="shared" si="164"/>
        <v>0</v>
      </c>
      <c r="AK319" s="1387">
        <f>IF(AI319=A319,IF(AND(L319="N",Table22[[#This Row],[LOQ_label]]="Y"),AJ319,$AJ319*$Y319),"")</f>
        <v>0</v>
      </c>
      <c r="AL319" s="1388">
        <f t="shared" si="165"/>
        <v>0</v>
      </c>
      <c r="AM319" s="1393">
        <f>IF(Table22[[#This Row],[Highest residue * CF*PF]]&lt;&gt;"",Table22[[#This Row],[Highest residue * CF*PF]],Table22[[#This Row],[MRL*CF*PF or MRL (if LOQ and not authorised) (acute RA)]])</f>
        <v>0</v>
      </c>
      <c r="AN319" s="1390" t="str">
        <f t="shared" si="166"/>
        <v>MRL</v>
      </c>
      <c r="AO319" s="1390" t="str">
        <f t="shared" si="167"/>
        <v/>
      </c>
      <c r="AP319" s="1404" t="str">
        <f t="shared" si="168"/>
        <v/>
      </c>
      <c r="AQ319" s="1388">
        <f t="shared" si="169"/>
        <v>0</v>
      </c>
      <c r="AR319" s="1388" t="str">
        <f t="shared" si="170"/>
        <v/>
      </c>
      <c r="AS319" s="1388" t="str">
        <f t="shared" si="171"/>
        <v/>
      </c>
      <c r="AT319" s="1388" t="str">
        <f t="shared" si="172"/>
        <v/>
      </c>
      <c r="AU319" s="1393">
        <f t="shared" si="173"/>
        <v>0</v>
      </c>
      <c r="AV319" s="1388">
        <f t="shared" si="174"/>
        <v>0</v>
      </c>
      <c r="AW319" s="1390" t="str">
        <f t="shared" si="175"/>
        <v/>
      </c>
      <c r="AX319" s="1390" t="str">
        <f>IF(AND(AW319&lt;&gt;"",AY319&lt;&gt;""),"*","")</f>
        <v/>
      </c>
      <c r="AY319" s="1394" t="str">
        <f t="shared" si="176"/>
        <v/>
      </c>
      <c r="AZ319" s="1395" t="str">
        <f>IF(Table22[[#This Row],[LOQ_label]]="Y",Table22[[#This Row],[MRL individual commodity]],"")</f>
        <v/>
      </c>
      <c r="BA319" s="1396" t="s">
        <v>618</v>
      </c>
      <c r="BB319" s="1411" t="str">
        <f>IF(Table22[[#This Row],[LOQ2]]&lt;0,MIN(AZ319:AZ695),"")</f>
        <v/>
      </c>
      <c r="BC319" s="1299"/>
      <c r="BD319" s="1306" t="str">
        <f>IF(Table22[[#This Row],[Chronic RA label]]="","N",IF(Table22[[#This Row],[Chronic RA label]]="LOQ","N",IF(Table22[[#This Row],[Chronic RA label]]="MRL","N","Y")))</f>
        <v>N</v>
      </c>
      <c r="BE319" s="1306" t="str">
        <f>IF(Table22[[#This Row],[Acute RA label]]="","N",IF(Table22[[#This Row],[Acute RA label]]="LOQ","N",IF(Table22[[#This Row],[Acute RA label]]="MRL","N","Y")))</f>
        <v>N</v>
      </c>
      <c r="BF319" s="1306" t="str">
        <f>IF(OR(Table22[[#This Row],[include commodity in Summary_input_values_chronic]]="Y",Table22[[#This Row],[include commodity in Summary_input_values_acute]]="Y"),"Y","N")</f>
        <v>N</v>
      </c>
      <c r="BG319" s="1299"/>
      <c r="BH319" s="1324"/>
    </row>
    <row r="320" spans="1:60" ht="12.75" customHeight="1" outlineLevel="3" x14ac:dyDescent="0.2">
      <c r="A320" s="39">
        <v>4</v>
      </c>
      <c r="B320" s="327">
        <v>900020</v>
      </c>
      <c r="C320" s="23" t="s">
        <v>786</v>
      </c>
      <c r="D320" s="867"/>
      <c r="E320" s="1219"/>
      <c r="F320" s="867"/>
      <c r="G320" s="869"/>
      <c r="H320" s="863"/>
      <c r="I320" s="868"/>
      <c r="J320" s="870"/>
      <c r="K320" s="865"/>
      <c r="L320" s="872"/>
      <c r="M320" s="872"/>
      <c r="N320" s="925" t="str">
        <f>IF(O320&lt;&gt;0,CONCATENATE(input_values!$AF320,input_values!$AG320,input_values!$AH320),"")</f>
        <v/>
      </c>
      <c r="O320" s="491">
        <f>IF($A$10="Refined calculation mode",Table22[[#This Row],[input for chronic (refined mode]],Table22[[#This Row],[input for chronic normal mode]])</f>
        <v>0</v>
      </c>
      <c r="P320" s="925" t="str">
        <f>IF(Q320&lt;&gt;0,CONCATENATE(input_values!$AN320,input_values!$AO320,input_values!$AP320),"")</f>
        <v/>
      </c>
      <c r="Q320" s="491">
        <f>IF($V$5=0,0,IF(OR($A$10="Refined calculation mode",Results!$B$62="Show results of IESTI calculation only for crops with GAPs under assessment"),Table22[[#This Row],[Input for IESTI (refined mode)]],Table22[[#This Row],[Input for IESTI normal mode]]))</f>
        <v>0</v>
      </c>
      <c r="R320" s="926" t="str">
        <f>IF(S320&lt;&gt;0,CONCATENATE(input_values!$AW320,input_values!$AX320,input_values!$AY320),"")</f>
        <v/>
      </c>
      <c r="S320" s="492">
        <f>IF($V$5=0,0,IF(OR($A$10="Refined calculation mode",Results!$B$62="Show results of IESTI calculation only for crops with GAPs under assessment"),Table22[[#This Row],[Input for IESTI new (refined mode)]],Table22[[#This Row],[Input for IESTI new normal mode]]))</f>
        <v>0</v>
      </c>
      <c r="T320" s="886"/>
      <c r="U320" s="1408">
        <f>Table22[[#This Row],[MRL/ proposed MRL /CXL
(mg/kg)]]</f>
        <v>0</v>
      </c>
      <c r="V320" s="1409" t="str">
        <f>IF(ISBLANK(F320),"","Y")</f>
        <v/>
      </c>
      <c r="W320" s="1387">
        <f>IF($G320&gt;0,$G320,1)</f>
        <v>1</v>
      </c>
      <c r="X320" s="1387">
        <f>IF($H320&gt;0,$H320,1)</f>
        <v>1</v>
      </c>
      <c r="Y320" s="1387">
        <f>W320*X320</f>
        <v>1</v>
      </c>
      <c r="Z320" s="1410">
        <v>4</v>
      </c>
      <c r="AA320" s="1387">
        <f t="shared" si="158"/>
        <v>0</v>
      </c>
      <c r="AB320" s="1387">
        <f>IF(Z320=A320,IF(AND(L320="N",Table22[[#This Row],[LOQ_label]]="Y"),AA320,$AA320*$Y320),"")</f>
        <v>0</v>
      </c>
      <c r="AC320" s="1393">
        <f t="shared" si="159"/>
        <v>0</v>
      </c>
      <c r="AD320" s="1393">
        <f>IF(Table22[[#This Row],[Median residue*CF*PeF]]&lt;&gt;"",Table22[[#This Row],[Median residue*CF*PeF]],Table22[[#This Row],[MRL*CF*PeF (chronic)]])</f>
        <v>0</v>
      </c>
      <c r="AE320" s="1393">
        <f t="shared" si="160"/>
        <v>0</v>
      </c>
      <c r="AF320" s="1390" t="str">
        <f t="shared" si="161"/>
        <v>MRL</v>
      </c>
      <c r="AG320" s="1390" t="str">
        <f t="shared" si="162"/>
        <v/>
      </c>
      <c r="AH320" s="1394" t="str">
        <f t="shared" si="163"/>
        <v/>
      </c>
      <c r="AI320" s="1386">
        <v>4</v>
      </c>
      <c r="AJ320" s="1387">
        <f t="shared" si="164"/>
        <v>0</v>
      </c>
      <c r="AK320" s="1387">
        <f>IF(AI320=A320,IF(AND(L320="N",Table22[[#This Row],[LOQ_label]]="Y"),AJ320,$AJ320*$Y320),"")</f>
        <v>0</v>
      </c>
      <c r="AL320" s="1388">
        <f t="shared" si="165"/>
        <v>0</v>
      </c>
      <c r="AM320" s="1393">
        <f>IF(Table22[[#This Row],[Highest residue * CF*PF]]&lt;&gt;"",Table22[[#This Row],[Highest residue * CF*PF]],Table22[[#This Row],[MRL*CF*PF or MRL (if LOQ and not authorised) (acute RA)]])</f>
        <v>0</v>
      </c>
      <c r="AN320" s="1390" t="str">
        <f t="shared" si="166"/>
        <v>MRL</v>
      </c>
      <c r="AO320" s="1390" t="str">
        <f t="shared" si="167"/>
        <v/>
      </c>
      <c r="AP320" s="1404" t="str">
        <f t="shared" si="168"/>
        <v/>
      </c>
      <c r="AQ320" s="1388">
        <f t="shared" si="169"/>
        <v>0</v>
      </c>
      <c r="AR320" s="1388" t="str">
        <f t="shared" si="170"/>
        <v/>
      </c>
      <c r="AS320" s="1388" t="str">
        <f t="shared" si="171"/>
        <v/>
      </c>
      <c r="AT320" s="1388" t="str">
        <f t="shared" si="172"/>
        <v/>
      </c>
      <c r="AU320" s="1393">
        <f t="shared" si="173"/>
        <v>0</v>
      </c>
      <c r="AV320" s="1388">
        <f t="shared" si="174"/>
        <v>0</v>
      </c>
      <c r="AW320" s="1390" t="str">
        <f t="shared" si="175"/>
        <v/>
      </c>
      <c r="AX320" s="1390" t="str">
        <f>IF(AND(AW320&lt;&gt;"",AY320&lt;&gt;""),"*","")</f>
        <v/>
      </c>
      <c r="AY320" s="1394" t="str">
        <f t="shared" si="176"/>
        <v/>
      </c>
      <c r="AZ320" s="1395" t="str">
        <f>IF(Table22[[#This Row],[LOQ_label]]="Y",Table22[[#This Row],[MRL individual commodity]],"")</f>
        <v/>
      </c>
      <c r="BA320" s="1396" t="s">
        <v>1038</v>
      </c>
      <c r="BB320" s="1411" t="str">
        <f>IF(Table22[[#This Row],[LOQ2]]&lt;0,MIN(AZ320:AZ696),"")</f>
        <v/>
      </c>
      <c r="BC320" s="1299"/>
      <c r="BD320" s="1306" t="str">
        <f>IF(Table22[[#This Row],[Chronic RA label]]="","N",IF(Table22[[#This Row],[Chronic RA label]]="LOQ","N",IF(Table22[[#This Row],[Chronic RA label]]="MRL","N","Y")))</f>
        <v>N</v>
      </c>
      <c r="BE320" s="1306" t="str">
        <f>IF(Table22[[#This Row],[Acute RA label]]="","N",IF(Table22[[#This Row],[Acute RA label]]="LOQ","N",IF(Table22[[#This Row],[Acute RA label]]="MRL","N","Y")))</f>
        <v>N</v>
      </c>
      <c r="BF320" s="1306" t="str">
        <f>IF(OR(Table22[[#This Row],[include commodity in Summary_input_values_chronic]]="Y",Table22[[#This Row],[include commodity in Summary_input_values_acute]]="Y"),"Y","N")</f>
        <v>N</v>
      </c>
      <c r="BG320" s="1299"/>
      <c r="BH320" s="1324"/>
    </row>
    <row r="321" spans="1:60" ht="12.75" customHeight="1" outlineLevel="3" x14ac:dyDescent="0.2">
      <c r="A321" s="39">
        <v>4</v>
      </c>
      <c r="B321" s="327">
        <v>900030</v>
      </c>
      <c r="C321" s="23" t="s">
        <v>206</v>
      </c>
      <c r="D321" s="867"/>
      <c r="E321" s="1219"/>
      <c r="F321" s="867"/>
      <c r="G321" s="869"/>
      <c r="H321" s="863"/>
      <c r="I321" s="868"/>
      <c r="J321" s="870"/>
      <c r="K321" s="865"/>
      <c r="L321" s="872"/>
      <c r="M321" s="872"/>
      <c r="N321" s="925" t="str">
        <f>IF(O321&lt;&gt;0,CONCATENATE(input_values!$AF321,input_values!$AG321,input_values!$AH321),"")</f>
        <v/>
      </c>
      <c r="O321" s="491">
        <f>IF($A$10="Refined calculation mode",Table22[[#This Row],[input for chronic (refined mode]],Table22[[#This Row],[input for chronic normal mode]])</f>
        <v>0</v>
      </c>
      <c r="P321" s="925" t="str">
        <f>IF(Q321&lt;&gt;0,CONCATENATE(input_values!$AN321,input_values!$AO321,input_values!$AP321),"")</f>
        <v/>
      </c>
      <c r="Q321" s="491">
        <f>IF($V$5=0,0,IF(OR($A$10="Refined calculation mode",Results!$B$62="Show results of IESTI calculation only for crops with GAPs under assessment"),Table22[[#This Row],[Input for IESTI (refined mode)]],Table22[[#This Row],[Input for IESTI normal mode]]))</f>
        <v>0</v>
      </c>
      <c r="R321" s="926" t="str">
        <f>IF(S321&lt;&gt;0,CONCATENATE(input_values!$AW321,input_values!$AX321,input_values!$AY321),"")</f>
        <v/>
      </c>
      <c r="S321" s="492">
        <f>IF($V$5=0,0,IF(OR($A$10="Refined calculation mode",Results!$B$62="Show results of IESTI calculation only for crops with GAPs under assessment"),Table22[[#This Row],[Input for IESTI new (refined mode)]],Table22[[#This Row],[Input for IESTI new normal mode]]))</f>
        <v>0</v>
      </c>
      <c r="T321" s="886"/>
      <c r="U321" s="1408">
        <f>Table22[[#This Row],[MRL/ proposed MRL /CXL
(mg/kg)]]</f>
        <v>0</v>
      </c>
      <c r="V321" s="1409" t="str">
        <f>IF(ISBLANK(F321),"","Y")</f>
        <v/>
      </c>
      <c r="W321" s="1387">
        <f>IF($G321&gt;0,$G321,1)</f>
        <v>1</v>
      </c>
      <c r="X321" s="1387">
        <f>IF($H321&gt;0,$H321,1)</f>
        <v>1</v>
      </c>
      <c r="Y321" s="1387">
        <f>W321*X321</f>
        <v>1</v>
      </c>
      <c r="Z321" s="1410">
        <v>4</v>
      </c>
      <c r="AA321" s="1387">
        <f t="shared" si="158"/>
        <v>0</v>
      </c>
      <c r="AB321" s="1387">
        <f>IF(Z321=A321,IF(AND(L321="N",Table22[[#This Row],[LOQ_label]]="Y"),AA321,$AA321*$Y321),"")</f>
        <v>0</v>
      </c>
      <c r="AC321" s="1393">
        <f t="shared" si="159"/>
        <v>0</v>
      </c>
      <c r="AD321" s="1393">
        <f>IF(Table22[[#This Row],[Median residue*CF*PeF]]&lt;&gt;"",Table22[[#This Row],[Median residue*CF*PeF]],Table22[[#This Row],[MRL*CF*PeF (chronic)]])</f>
        <v>0</v>
      </c>
      <c r="AE321" s="1393">
        <f t="shared" si="160"/>
        <v>0</v>
      </c>
      <c r="AF321" s="1390" t="str">
        <f t="shared" si="161"/>
        <v>MRL</v>
      </c>
      <c r="AG321" s="1390" t="str">
        <f t="shared" si="162"/>
        <v/>
      </c>
      <c r="AH321" s="1394" t="str">
        <f t="shared" si="163"/>
        <v/>
      </c>
      <c r="AI321" s="1386">
        <v>4</v>
      </c>
      <c r="AJ321" s="1387">
        <f t="shared" si="164"/>
        <v>0</v>
      </c>
      <c r="AK321" s="1387">
        <f>IF(AI321=A321,IF(AND(L321="N",Table22[[#This Row],[LOQ_label]]="Y"),AJ321,$AJ321*$Y321),"")</f>
        <v>0</v>
      </c>
      <c r="AL321" s="1388">
        <f t="shared" si="165"/>
        <v>0</v>
      </c>
      <c r="AM321" s="1393">
        <f>IF(Table22[[#This Row],[Highest residue * CF*PF]]&lt;&gt;"",Table22[[#This Row],[Highest residue * CF*PF]],Table22[[#This Row],[MRL*CF*PF or MRL (if LOQ and not authorised) (acute RA)]])</f>
        <v>0</v>
      </c>
      <c r="AN321" s="1390" t="str">
        <f t="shared" si="166"/>
        <v>MRL</v>
      </c>
      <c r="AO321" s="1390" t="str">
        <f t="shared" si="167"/>
        <v/>
      </c>
      <c r="AP321" s="1404" t="str">
        <f t="shared" si="168"/>
        <v/>
      </c>
      <c r="AQ321" s="1388">
        <f t="shared" si="169"/>
        <v>0</v>
      </c>
      <c r="AR321" s="1388" t="str">
        <f t="shared" si="170"/>
        <v/>
      </c>
      <c r="AS321" s="1388" t="str">
        <f t="shared" si="171"/>
        <v/>
      </c>
      <c r="AT321" s="1388" t="str">
        <f t="shared" si="172"/>
        <v/>
      </c>
      <c r="AU321" s="1393">
        <f t="shared" si="173"/>
        <v>0</v>
      </c>
      <c r="AV321" s="1388">
        <f t="shared" si="174"/>
        <v>0</v>
      </c>
      <c r="AW321" s="1390" t="str">
        <f t="shared" si="175"/>
        <v/>
      </c>
      <c r="AX321" s="1390" t="str">
        <f>IF(AND(AW321&lt;&gt;"",AY321&lt;&gt;""),"*","")</f>
        <v/>
      </c>
      <c r="AY321" s="1394" t="str">
        <f t="shared" si="176"/>
        <v/>
      </c>
      <c r="AZ321" s="1395" t="str">
        <f>IF(Table22[[#This Row],[LOQ_label]]="Y",Table22[[#This Row],[MRL individual commodity]],"")</f>
        <v/>
      </c>
      <c r="BA321" s="1396">
        <v>1</v>
      </c>
      <c r="BB321" s="1411" t="str">
        <f>IF(Table22[[#This Row],[LOQ2]]&lt;0,MIN(AZ321:AZ697),"")</f>
        <v/>
      </c>
      <c r="BC321" s="1299"/>
      <c r="BD321" s="1306" t="str">
        <f>IF(Table22[[#This Row],[Chronic RA label]]="","N",IF(Table22[[#This Row],[Chronic RA label]]="LOQ","N",IF(Table22[[#This Row],[Chronic RA label]]="MRL","N","Y")))</f>
        <v>N</v>
      </c>
      <c r="BE321" s="1306" t="str">
        <f>IF(Table22[[#This Row],[Acute RA label]]="","N",IF(Table22[[#This Row],[Acute RA label]]="LOQ","N",IF(Table22[[#This Row],[Acute RA label]]="MRL","N","Y")))</f>
        <v>N</v>
      </c>
      <c r="BF321" s="1306" t="str">
        <f>IF(OR(Table22[[#This Row],[include commodity in Summary_input_values_chronic]]="Y",Table22[[#This Row],[include commodity in Summary_input_values_acute]]="Y"),"Y","N")</f>
        <v>N</v>
      </c>
      <c r="BG321" s="1299"/>
      <c r="BH321" s="1324"/>
    </row>
    <row r="322" spans="1:60" ht="12.75" customHeight="1" outlineLevel="3" x14ac:dyDescent="0.2">
      <c r="A322" s="39">
        <v>4</v>
      </c>
      <c r="B322" s="327">
        <v>900990</v>
      </c>
      <c r="C322" s="23" t="s">
        <v>190</v>
      </c>
      <c r="D322" s="867"/>
      <c r="E322" s="1219"/>
      <c r="F322" s="867"/>
      <c r="G322" s="868"/>
      <c r="H322" s="863"/>
      <c r="I322" s="868"/>
      <c r="J322" s="870"/>
      <c r="K322" s="865"/>
      <c r="L322" s="872"/>
      <c r="M322" s="872"/>
      <c r="N322" s="925" t="str">
        <f>IF(O322&lt;&gt;0,CONCATENATE(input_values!$AF322,input_values!$AG322,input_values!$AH322),"")</f>
        <v/>
      </c>
      <c r="O322" s="491">
        <f>IF($A$10="Refined calculation mode",Table22[[#This Row],[input for chronic (refined mode]],Table22[[#This Row],[input for chronic normal mode]])</f>
        <v>0</v>
      </c>
      <c r="P322" s="473"/>
      <c r="Q322" s="474"/>
      <c r="R322" s="473"/>
      <c r="S322" s="474"/>
      <c r="T322" s="886"/>
      <c r="U322" s="1408">
        <f>Table22[[#This Row],[MRL/ proposed MRL /CXL
(mg/kg)]]</f>
        <v>0</v>
      </c>
      <c r="V322" s="1409" t="str">
        <f>IF(ISBLANK(F322),"","Y")</f>
        <v/>
      </c>
      <c r="W322" s="1387">
        <f>IF($G322&gt;0,$G322,1)</f>
        <v>1</v>
      </c>
      <c r="X322" s="1387">
        <f>IF($H322&gt;0,$H322,1)</f>
        <v>1</v>
      </c>
      <c r="Y322" s="1387">
        <f>W322*X322</f>
        <v>1</v>
      </c>
      <c r="Z322" s="1410">
        <v>4</v>
      </c>
      <c r="AA322" s="1387">
        <f t="shared" si="158"/>
        <v>0</v>
      </c>
      <c r="AB322" s="1387">
        <f>IF(Z322=A322,IF(AND(L322="N",Table22[[#This Row],[LOQ_label]]="Y"),AA322,$AA322*$Y322),"")</f>
        <v>0</v>
      </c>
      <c r="AC322" s="1393">
        <f t="shared" si="159"/>
        <v>0</v>
      </c>
      <c r="AD322" s="1393">
        <f>IF(Table22[[#This Row],[Median residue*CF*PeF]]&lt;&gt;"",Table22[[#This Row],[Median residue*CF*PeF]],Table22[[#This Row],[MRL*CF*PeF (chronic)]])</f>
        <v>0</v>
      </c>
      <c r="AE322" s="1393">
        <f t="shared" si="160"/>
        <v>0</v>
      </c>
      <c r="AF322" s="1390" t="str">
        <f t="shared" si="161"/>
        <v>MRL</v>
      </c>
      <c r="AG322" s="1390" t="str">
        <f t="shared" si="162"/>
        <v/>
      </c>
      <c r="AH322" s="1394" t="str">
        <f t="shared" si="163"/>
        <v/>
      </c>
      <c r="AI322" s="1386"/>
      <c r="AJ322" s="1387" t="str">
        <f t="shared" si="164"/>
        <v/>
      </c>
      <c r="AK322" s="1387" t="str">
        <f>IF(AI322=A322,IF(AND(L322="N",Table22[[#This Row],[LOQ_label]]="Y"),AJ322,$AJ322*$Y322),"")</f>
        <v/>
      </c>
      <c r="AL322" s="1388" t="str">
        <f t="shared" si="165"/>
        <v/>
      </c>
      <c r="AM322" s="1393" t="str">
        <f>IF(Table22[[#This Row],[Highest residue * CF*PF]]&lt;&gt;"",Table22[[#This Row],[Highest residue * CF*PF]],Table22[[#This Row],[MRL*CF*PF or MRL (if LOQ and not authorised) (acute RA)]])</f>
        <v/>
      </c>
      <c r="AN322" s="1390" t="str">
        <f t="shared" si="166"/>
        <v/>
      </c>
      <c r="AO322" s="1390" t="str">
        <f t="shared" si="167"/>
        <v/>
      </c>
      <c r="AP322" s="1404" t="str">
        <f t="shared" si="168"/>
        <v/>
      </c>
      <c r="AQ322" s="1388">
        <f t="shared" si="169"/>
        <v>0</v>
      </c>
      <c r="AR322" s="1388" t="str">
        <f t="shared" si="170"/>
        <v/>
      </c>
      <c r="AS322" s="1388" t="str">
        <f t="shared" si="171"/>
        <v/>
      </c>
      <c r="AT322" s="1388" t="str">
        <f t="shared" si="172"/>
        <v/>
      </c>
      <c r="AU322" s="1393" t="str">
        <f t="shared" si="173"/>
        <v/>
      </c>
      <c r="AV322" s="1388">
        <f t="shared" si="174"/>
        <v>0</v>
      </c>
      <c r="AW322" s="1390" t="str">
        <f t="shared" si="175"/>
        <v/>
      </c>
      <c r="AX322" s="1390" t="str">
        <f>IF(AND(AN322&lt;&gt;"",AY322&lt;&gt;""),"*","")</f>
        <v/>
      </c>
      <c r="AY322" s="1394" t="str">
        <f t="shared" si="176"/>
        <v/>
      </c>
      <c r="AZ322" s="1395" t="str">
        <f>IF(Table22[[#This Row],[LOQ_label]]="Y",Table22[[#This Row],[MRL individual commodity]],"")</f>
        <v/>
      </c>
      <c r="BA322" s="1396" t="s">
        <v>1159</v>
      </c>
      <c r="BB322" s="1411" t="str">
        <f>IF(Table22[[#This Row],[LOQ2]]&lt;0,MIN(AZ322:AZ698),"")</f>
        <v/>
      </c>
      <c r="BC322" s="1299"/>
      <c r="BD322" s="1306" t="str">
        <f>IF(Table22[[#This Row],[Chronic RA label]]="","N",IF(Table22[[#This Row],[Chronic RA label]]="LOQ","N",IF(Table22[[#This Row],[Chronic RA label]]="MRL","N","Y")))</f>
        <v>N</v>
      </c>
      <c r="BE322" s="1306" t="str">
        <f>IF(Table22[[#This Row],[Acute RA label]]="","N",IF(Table22[[#This Row],[Acute RA label]]="LOQ","N",IF(Table22[[#This Row],[Acute RA label]]="MRL","N","Y")))</f>
        <v>N</v>
      </c>
      <c r="BF322" s="1306" t="str">
        <f>IF(OR(Table22[[#This Row],[include commodity in Summary_input_values_chronic]]="Y",Table22[[#This Row],[include commodity in Summary_input_values_acute]]="Y"),"Y","N")</f>
        <v>N</v>
      </c>
      <c r="BG322" s="1299"/>
      <c r="BH322" s="1324"/>
    </row>
    <row r="323" spans="1:60" ht="12.75" customHeight="1" x14ac:dyDescent="0.2">
      <c r="A323" s="126">
        <v>1</v>
      </c>
      <c r="B323" s="446">
        <v>1000000</v>
      </c>
      <c r="C323" s="127" t="s">
        <v>139</v>
      </c>
      <c r="D323" s="862"/>
      <c r="E323" s="1218"/>
      <c r="F323" s="862"/>
      <c r="G323" s="863"/>
      <c r="H323" s="863"/>
      <c r="I323" s="863"/>
      <c r="J323" s="864"/>
      <c r="K323" s="865"/>
      <c r="L323" s="471"/>
      <c r="M323" s="471"/>
      <c r="N323" s="473"/>
      <c r="O323" s="474"/>
      <c r="P323" s="473"/>
      <c r="Q323" s="474"/>
      <c r="R323" s="473"/>
      <c r="S323" s="474"/>
      <c r="T323" s="886"/>
      <c r="U323" s="1415"/>
      <c r="V323" s="1380"/>
      <c r="W323" s="1381"/>
      <c r="X323" s="1381"/>
      <c r="Y323" s="1381"/>
      <c r="Z323" s="1382">
        <v>4</v>
      </c>
      <c r="AA323" s="1381"/>
      <c r="AB323" s="1381" t="str">
        <f>IF(Z323=A323,IF(AND(L323="N",Table22[[#This Row],[LOQ_label]]="Y"),AA323,$AA323*$Y323),"")</f>
        <v/>
      </c>
      <c r="AC323" s="1383" t="str">
        <f t="shared" si="159"/>
        <v/>
      </c>
      <c r="AD323" s="1383" t="str">
        <f>IF(Table22[[#This Row],[Median residue*CF*PeF]]&lt;&gt;"",Table22[[#This Row],[Median residue*CF*PeF]],Table22[[#This Row],[MRL*CF*PeF (chronic)]])</f>
        <v/>
      </c>
      <c r="AE323" s="1384">
        <f t="shared" si="160"/>
        <v>0</v>
      </c>
      <c r="AF323" s="1385" t="str">
        <f t="shared" si="161"/>
        <v/>
      </c>
      <c r="AG323" s="1385" t="str">
        <f t="shared" si="162"/>
        <v/>
      </c>
      <c r="AH323" s="1270" t="str">
        <f t="shared" si="163"/>
        <v/>
      </c>
      <c r="AI323" s="1386">
        <v>4</v>
      </c>
      <c r="AJ323" s="1387" t="str">
        <f t="shared" si="164"/>
        <v/>
      </c>
      <c r="AK323" s="1387" t="str">
        <f>IF(AI323=A323,IF(AND(L323="N",Table22[[#This Row],[LOQ_label]]="Y"),AJ323,$AJ323*$Y323),"")</f>
        <v/>
      </c>
      <c r="AL323" s="1388" t="str">
        <f t="shared" si="165"/>
        <v/>
      </c>
      <c r="AM323" s="1393" t="str">
        <f>IF(Table22[[#This Row],[Highest residue * CF*PF]]&lt;&gt;"",Table22[[#This Row],[Highest residue * CF*PF]],Table22[[#This Row],[MRL*CF*PF or MRL (if LOQ and not authorised) (acute RA)]])</f>
        <v/>
      </c>
      <c r="AN323" s="1390" t="str">
        <f t="shared" si="166"/>
        <v/>
      </c>
      <c r="AO323" s="1390" t="str">
        <f t="shared" si="167"/>
        <v/>
      </c>
      <c r="AP323" s="1404" t="str">
        <f t="shared" si="168"/>
        <v/>
      </c>
      <c r="AQ323" s="1388">
        <f t="shared" si="169"/>
        <v>0</v>
      </c>
      <c r="AR323" s="1388" t="str">
        <f t="shared" si="170"/>
        <v/>
      </c>
      <c r="AS323" s="1388" t="str">
        <f t="shared" si="171"/>
        <v/>
      </c>
      <c r="AT323" s="1388" t="str">
        <f t="shared" si="172"/>
        <v/>
      </c>
      <c r="AU323" s="1393" t="str">
        <f t="shared" si="173"/>
        <v/>
      </c>
      <c r="AV323" s="1388">
        <f t="shared" si="174"/>
        <v>0</v>
      </c>
      <c r="AW323" s="1390" t="str">
        <f t="shared" si="175"/>
        <v/>
      </c>
      <c r="AX323" s="1390" t="str">
        <f>IF(AND(AN323&lt;&gt;"",AY323&lt;&gt;""),"*","")</f>
        <v/>
      </c>
      <c r="AY323" s="1394" t="str">
        <f t="shared" si="176"/>
        <v/>
      </c>
      <c r="AZ323" s="1395">
        <f>IF(Table22[[#This Row],[LOQ_label]]="Y",Table22[[#This Row],[MRL individual commodity]],"")</f>
        <v>0</v>
      </c>
      <c r="BA323" s="1396" t="s">
        <v>1159</v>
      </c>
      <c r="BB323" s="1411" t="str">
        <f>IF(Table22[[#This Row],[LOQ2]]&lt;0,MIN(AZ323:AZ699),"")</f>
        <v/>
      </c>
      <c r="BC323" s="1299"/>
      <c r="BD323" s="1306" t="str">
        <f>IF(Table22[[#This Row],[Chronic RA label]]="","N",IF(Table22[[#This Row],[Chronic RA label]]="LOQ","N",IF(Table22[[#This Row],[Chronic RA label]]="MRL","N","Y")))</f>
        <v>N</v>
      </c>
      <c r="BE323" s="1306" t="str">
        <f>IF(Table22[[#This Row],[Acute RA label]]="","N",IF(Table22[[#This Row],[Acute RA label]]="LOQ","N",IF(Table22[[#This Row],[Acute RA label]]="MRL","N","Y")))</f>
        <v>N</v>
      </c>
      <c r="BF323" s="1306" t="str">
        <f>IF(OR(Table22[[#This Row],[include commodity in Summary_input_values_chronic]]="Y",Table22[[#This Row],[include commodity in Summary_input_values_acute]]="Y"),"Y","N")</f>
        <v>N</v>
      </c>
      <c r="BG323" s="1299"/>
      <c r="BH323" s="1324"/>
    </row>
    <row r="324" spans="1:60" ht="12.75" customHeight="1" outlineLevel="1" x14ac:dyDescent="0.2">
      <c r="A324" s="130">
        <v>2</v>
      </c>
      <c r="B324" s="447">
        <v>1010000</v>
      </c>
      <c r="C324" s="131" t="s">
        <v>625</v>
      </c>
      <c r="D324" s="862"/>
      <c r="E324" s="1218"/>
      <c r="F324" s="862"/>
      <c r="G324" s="863"/>
      <c r="H324" s="863"/>
      <c r="I324" s="863"/>
      <c r="J324" s="864"/>
      <c r="K324" s="865"/>
      <c r="L324" s="471"/>
      <c r="M324" s="471"/>
      <c r="N324" s="473"/>
      <c r="O324" s="474"/>
      <c r="P324" s="473"/>
      <c r="Q324" s="474"/>
      <c r="R324" s="473"/>
      <c r="S324" s="474"/>
      <c r="T324" s="886"/>
      <c r="U324" s="1415"/>
      <c r="V324" s="1380"/>
      <c r="W324" s="1381"/>
      <c r="X324" s="1381"/>
      <c r="Y324" s="1381"/>
      <c r="Z324" s="1382">
        <v>4</v>
      </c>
      <c r="AA324" s="1381"/>
      <c r="AB324" s="1381" t="str">
        <f>IF(Z324=A324,IF(AND(L324="N",Table22[[#This Row],[LOQ_label]]="Y"),AA324,$AA324*$Y324),"")</f>
        <v/>
      </c>
      <c r="AC324" s="1383" t="str">
        <f t="shared" si="159"/>
        <v/>
      </c>
      <c r="AD324" s="1383" t="str">
        <f>IF(Table22[[#This Row],[Median residue*CF*PeF]]&lt;&gt;"",Table22[[#This Row],[Median residue*CF*PeF]],Table22[[#This Row],[MRL*CF*PeF (chronic)]])</f>
        <v/>
      </c>
      <c r="AE324" s="1384">
        <f t="shared" si="160"/>
        <v>0</v>
      </c>
      <c r="AF324" s="1385" t="str">
        <f t="shared" si="161"/>
        <v/>
      </c>
      <c r="AG324" s="1385" t="str">
        <f t="shared" si="162"/>
        <v/>
      </c>
      <c r="AH324" s="1270" t="str">
        <f t="shared" si="163"/>
        <v/>
      </c>
      <c r="AI324" s="1386">
        <v>4</v>
      </c>
      <c r="AJ324" s="1387" t="str">
        <f t="shared" si="164"/>
        <v/>
      </c>
      <c r="AK324" s="1387" t="str">
        <f>IF(AI324=A324,IF(AND(L324="N",Table22[[#This Row],[LOQ_label]]="Y"),AJ324,$AJ324*$Y324),"")</f>
        <v/>
      </c>
      <c r="AL324" s="1388" t="str">
        <f t="shared" si="165"/>
        <v/>
      </c>
      <c r="AM324" s="1393" t="str">
        <f>IF(Table22[[#This Row],[Highest residue * CF*PF]]&lt;&gt;"",Table22[[#This Row],[Highest residue * CF*PF]],Table22[[#This Row],[MRL*CF*PF or MRL (if LOQ and not authorised) (acute RA)]])</f>
        <v/>
      </c>
      <c r="AN324" s="1390" t="str">
        <f t="shared" si="166"/>
        <v/>
      </c>
      <c r="AO324" s="1390" t="str">
        <f t="shared" si="167"/>
        <v/>
      </c>
      <c r="AP324" s="1404" t="str">
        <f t="shared" si="168"/>
        <v/>
      </c>
      <c r="AQ324" s="1388">
        <f t="shared" si="169"/>
        <v>0</v>
      </c>
      <c r="AR324" s="1388" t="str">
        <f t="shared" si="170"/>
        <v/>
      </c>
      <c r="AS324" s="1388" t="str">
        <f t="shared" si="171"/>
        <v/>
      </c>
      <c r="AT324" s="1388" t="str">
        <f t="shared" si="172"/>
        <v/>
      </c>
      <c r="AU324" s="1393" t="str">
        <f t="shared" si="173"/>
        <v/>
      </c>
      <c r="AV324" s="1388">
        <f t="shared" si="174"/>
        <v>0</v>
      </c>
      <c r="AW324" s="1390" t="str">
        <f t="shared" si="175"/>
        <v/>
      </c>
      <c r="AX324" s="1390" t="str">
        <f>IF(AND(AN324&lt;&gt;"",AY324&lt;&gt;""),"*","")</f>
        <v/>
      </c>
      <c r="AY324" s="1394" t="str">
        <f t="shared" si="176"/>
        <v/>
      </c>
      <c r="AZ324" s="1395">
        <f>IF(Table22[[#This Row],[LOQ_label]]="Y",Table22[[#This Row],[MRL individual commodity]],"")</f>
        <v>0</v>
      </c>
      <c r="BA324" s="1396" t="s">
        <v>1159</v>
      </c>
      <c r="BB324" s="1411" t="str">
        <f>IF(Table22[[#This Row],[LOQ2]]&lt;0,MIN(AZ324:AZ700),"")</f>
        <v/>
      </c>
      <c r="BC324" s="1299"/>
      <c r="BD324" s="1306" t="str">
        <f>IF(Table22[[#This Row],[Chronic RA label]]="","N",IF(Table22[[#This Row],[Chronic RA label]]="LOQ","N",IF(Table22[[#This Row],[Chronic RA label]]="MRL","N","Y")))</f>
        <v>N</v>
      </c>
      <c r="BE324" s="1306" t="str">
        <f>IF(Table22[[#This Row],[Acute RA label]]="","N",IF(Table22[[#This Row],[Acute RA label]]="LOQ","N",IF(Table22[[#This Row],[Acute RA label]]="MRL","N","Y")))</f>
        <v>N</v>
      </c>
      <c r="BF324" s="1306" t="str">
        <f>IF(OR(Table22[[#This Row],[include commodity in Summary_input_values_chronic]]="Y",Table22[[#This Row],[include commodity in Summary_input_values_acute]]="Y"),"Y","N")</f>
        <v>N</v>
      </c>
      <c r="BG324" s="1299"/>
      <c r="BH324" s="1324"/>
    </row>
    <row r="325" spans="1:60" ht="12.75" customHeight="1" outlineLevel="2" x14ac:dyDescent="0.2">
      <c r="A325" s="133">
        <v>3</v>
      </c>
      <c r="B325" s="449">
        <v>1011000</v>
      </c>
      <c r="C325" s="5" t="s">
        <v>146</v>
      </c>
      <c r="D325" s="862"/>
      <c r="E325" s="1218"/>
      <c r="F325" s="862"/>
      <c r="G325" s="866"/>
      <c r="H325" s="863"/>
      <c r="I325" s="863"/>
      <c r="J325" s="864"/>
      <c r="K325" s="865"/>
      <c r="L325" s="471"/>
      <c r="M325" s="471"/>
      <c r="N325" s="473"/>
      <c r="O325" s="474"/>
      <c r="P325" s="473"/>
      <c r="Q325" s="474"/>
      <c r="R325" s="473"/>
      <c r="S325" s="474"/>
      <c r="T325" s="886"/>
      <c r="U325" s="1415"/>
      <c r="V325" s="1380"/>
      <c r="W325" s="1381"/>
      <c r="X325" s="1381"/>
      <c r="Y325" s="1381"/>
      <c r="Z325" s="1382">
        <v>4</v>
      </c>
      <c r="AA325" s="1381" t="str">
        <f>IF(Z325=A325,U325,"")</f>
        <v/>
      </c>
      <c r="AB325" s="1381" t="str">
        <f>IF(Z325=A325,IF(AND(L325="N",Table22[[#This Row],[LOQ_label]]="Y"),AA325,$AA325*$Y325),"")</f>
        <v/>
      </c>
      <c r="AC325" s="1383" t="str">
        <f t="shared" si="159"/>
        <v/>
      </c>
      <c r="AD325" s="1383" t="str">
        <f>IF(Table22[[#This Row],[Median residue*CF*PeF]]&lt;&gt;"",Table22[[#This Row],[Median residue*CF*PeF]],Table22[[#This Row],[MRL*CF*PeF (chronic)]])</f>
        <v/>
      </c>
      <c r="AE325" s="1384">
        <f t="shared" si="160"/>
        <v>0</v>
      </c>
      <c r="AF325" s="1385" t="str">
        <f t="shared" si="161"/>
        <v/>
      </c>
      <c r="AG325" s="1385" t="str">
        <f t="shared" si="162"/>
        <v/>
      </c>
      <c r="AH325" s="1270" t="str">
        <f t="shared" si="163"/>
        <v/>
      </c>
      <c r="AI325" s="1386">
        <v>4</v>
      </c>
      <c r="AJ325" s="1387" t="str">
        <f t="shared" si="164"/>
        <v/>
      </c>
      <c r="AK325" s="1387" t="str">
        <f>IF(AI325=A325,IF(AND(L325="N",Table22[[#This Row],[LOQ_label]]="Y"),AJ325,$AJ325*$Y325),"")</f>
        <v/>
      </c>
      <c r="AL325" s="1388" t="str">
        <f t="shared" si="165"/>
        <v/>
      </c>
      <c r="AM325" s="1393" t="str">
        <f>IF(Table22[[#This Row],[Highest residue * CF*PF]]&lt;&gt;"",Table22[[#This Row],[Highest residue * CF*PF]],Table22[[#This Row],[MRL*CF*PF or MRL (if LOQ and not authorised) (acute RA)]])</f>
        <v/>
      </c>
      <c r="AN325" s="1390" t="str">
        <f t="shared" si="166"/>
        <v/>
      </c>
      <c r="AO325" s="1390" t="str">
        <f t="shared" si="167"/>
        <v/>
      </c>
      <c r="AP325" s="1404" t="str">
        <f t="shared" si="168"/>
        <v/>
      </c>
      <c r="AQ325" s="1388">
        <f t="shared" si="169"/>
        <v>0</v>
      </c>
      <c r="AR325" s="1388" t="str">
        <f t="shared" si="170"/>
        <v/>
      </c>
      <c r="AS325" s="1388" t="str">
        <f t="shared" si="171"/>
        <v/>
      </c>
      <c r="AT325" s="1388" t="str">
        <f t="shared" si="172"/>
        <v/>
      </c>
      <c r="AU325" s="1393" t="str">
        <f t="shared" si="173"/>
        <v/>
      </c>
      <c r="AV325" s="1388">
        <f t="shared" si="174"/>
        <v>0</v>
      </c>
      <c r="AW325" s="1390" t="str">
        <f t="shared" si="175"/>
        <v/>
      </c>
      <c r="AX325" s="1390" t="str">
        <f>IF(AND(AN325&lt;&gt;"",AY325&lt;&gt;""),"*","")</f>
        <v/>
      </c>
      <c r="AY325" s="1394" t="str">
        <f t="shared" si="176"/>
        <v/>
      </c>
      <c r="AZ325" s="1395">
        <f>IF(Table22[[#This Row],[LOQ_label]]="Y",Table22[[#This Row],[MRL individual commodity]],"")</f>
        <v>0</v>
      </c>
      <c r="BA325" s="1396" t="s">
        <v>1159</v>
      </c>
      <c r="BB325" s="1411" t="str">
        <f>IF(Table22[[#This Row],[LOQ2]]&lt;0,MIN(AZ325:AZ701),"")</f>
        <v/>
      </c>
      <c r="BC325" s="1299"/>
      <c r="BD325" s="1306" t="str">
        <f>IF(Table22[[#This Row],[Chronic RA label]]="","N",IF(Table22[[#This Row],[Chronic RA label]]="LOQ","N",IF(Table22[[#This Row],[Chronic RA label]]="MRL","N","Y")))</f>
        <v>N</v>
      </c>
      <c r="BE325" s="1306" t="str">
        <f>IF(Table22[[#This Row],[Acute RA label]]="","N",IF(Table22[[#This Row],[Acute RA label]]="LOQ","N",IF(Table22[[#This Row],[Acute RA label]]="MRL","N","Y")))</f>
        <v>N</v>
      </c>
      <c r="BF325" s="1306" t="str">
        <f>IF(OR(Table22[[#This Row],[include commodity in Summary_input_values_chronic]]="Y",Table22[[#This Row],[include commodity in Summary_input_values_acute]]="Y"),"Y","N")</f>
        <v>N</v>
      </c>
      <c r="BG325" s="1299"/>
      <c r="BH325" s="1324"/>
    </row>
    <row r="326" spans="1:60" ht="12.75" customHeight="1" outlineLevel="3" x14ac:dyDescent="0.2">
      <c r="A326" s="39">
        <v>4</v>
      </c>
      <c r="B326" s="327">
        <v>1011010</v>
      </c>
      <c r="C326" s="23" t="s">
        <v>862</v>
      </c>
      <c r="D326" s="867"/>
      <c r="E326" s="1219"/>
      <c r="F326" s="867"/>
      <c r="G326" s="869"/>
      <c r="H326" s="863"/>
      <c r="I326" s="868"/>
      <c r="J326" s="870"/>
      <c r="K326" s="865"/>
      <c r="L326" s="872"/>
      <c r="M326" s="872"/>
      <c r="N326" s="925" t="str">
        <f>IF(O326&lt;&gt;0,CONCATENATE(input_values!$AF326,input_values!$AG326,input_values!$AH326),"")</f>
        <v/>
      </c>
      <c r="O326" s="491">
        <f>IF($A$10="Refined calculation mode",Table22[[#This Row],[input for chronic (refined mode]],Table22[[#This Row],[input for chronic normal mode]])</f>
        <v>0</v>
      </c>
      <c r="P326" s="925" t="str">
        <f>IF(Q326&lt;&gt;0,CONCATENATE(input_values!$AN326,input_values!$AO326,input_values!$AP326),"")</f>
        <v/>
      </c>
      <c r="Q326" s="491">
        <f>IF($V$5=0,0,IF(OR($A$10="Refined calculation mode",Results!$B$62="Show results of IESTI calculation only for crops with GAPs under assessment"),Table22[[#This Row],[Input for IESTI (refined mode)]],Table22[[#This Row],[Input for IESTI normal mode]]))</f>
        <v>0</v>
      </c>
      <c r="R326" s="926" t="str">
        <f>IF(S326&lt;&gt;0,CONCATENATE(input_values!$AW326,input_values!$AX326,input_values!$AY326),"")</f>
        <v/>
      </c>
      <c r="S326" s="492">
        <f>IF($V$5=0,0,IF(OR($A$10="Refined calculation mode",Results!$B$62="Show results of IESTI calculation only for crops with GAPs under assessment"),Table22[[#This Row],[Input for IESTI new (refined mode)]],Table22[[#This Row],[Input for IESTI new normal mode]]))</f>
        <v>0</v>
      </c>
      <c r="T326" s="886"/>
      <c r="U326" s="1427">
        <f>Table22[[#This Row],[MRL/ proposed MRL /CXL
(mg/kg)]]</f>
        <v>0</v>
      </c>
      <c r="V326" s="1428" t="str">
        <f t="shared" ref="V326:V331" si="190">IF(ISBLANK(F326),"","Y")</f>
        <v/>
      </c>
      <c r="W326" s="1387">
        <f t="shared" ref="W326:W331" si="191">IF($G326&gt;0,$G326,1)</f>
        <v>1</v>
      </c>
      <c r="X326" s="1387">
        <f t="shared" ref="X326:X331" si="192">IF($H326&gt;0,$H326,1)</f>
        <v>1</v>
      </c>
      <c r="Y326" s="1387">
        <f t="shared" ref="Y326:Y331" si="193">W326*X326</f>
        <v>1</v>
      </c>
      <c r="Z326" s="1410">
        <v>4</v>
      </c>
      <c r="AA326" s="1429">
        <f>IF($L$7="fat soluble",U326*0.8+U327*0.2,U326)</f>
        <v>0</v>
      </c>
      <c r="AB326" s="1387">
        <f>IF(Z326=A326,IF(AND(L326="N",Table22[[#This Row],[LOQ_label]]="Y"),AA326,$AA326*$Y326),"")</f>
        <v>0</v>
      </c>
      <c r="AC326" s="1393">
        <f t="shared" si="159"/>
        <v>0</v>
      </c>
      <c r="AD326" s="1393">
        <f>IF(Table22[[#This Row],[Median residue*CF*PeF]]&lt;&gt;"",Table22[[#This Row],[Median residue*CF*PeF]],Table22[[#This Row],[MRL*CF*PeF (chronic)]])</f>
        <v>0</v>
      </c>
      <c r="AE326" s="1393">
        <f t="shared" si="160"/>
        <v>0</v>
      </c>
      <c r="AF326" s="1390" t="str">
        <f t="shared" si="161"/>
        <v>MRL</v>
      </c>
      <c r="AG326" s="1390" t="str">
        <f t="shared" si="162"/>
        <v/>
      </c>
      <c r="AH326" s="1394" t="str">
        <f t="shared" si="163"/>
        <v/>
      </c>
      <c r="AI326" s="1386">
        <v>4</v>
      </c>
      <c r="AJ326" s="1430">
        <f>IF($L$7="fat soluble",U326*0.8+U327*0.2,U326)</f>
        <v>0</v>
      </c>
      <c r="AK326" s="1387">
        <f>IF(AI326=A326,IF(AND(L326="N",Table22[[#This Row],[LOQ_label]]="Y"),AJ326,$AJ326*$Y326),"")</f>
        <v>0</v>
      </c>
      <c r="AL326" s="1388">
        <f t="shared" si="165"/>
        <v>0</v>
      </c>
      <c r="AM326" s="1393">
        <f>IF(Table22[[#This Row],[Highest residue * CF*PF]]&lt;&gt;"",Table22[[#This Row],[Highest residue * CF*PF]],Table22[[#This Row],[MRL*CF*PF or MRL (if LOQ and not authorised) (acute RA)]])</f>
        <v>0</v>
      </c>
      <c r="AN326" s="1421" t="str">
        <f t="shared" si="166"/>
        <v>MRL</v>
      </c>
      <c r="AO326" s="1390" t="str">
        <f t="shared" si="167"/>
        <v/>
      </c>
      <c r="AP326" s="1404" t="str">
        <f t="shared" si="168"/>
        <v/>
      </c>
      <c r="AQ326" s="1388">
        <f t="shared" si="169"/>
        <v>0</v>
      </c>
      <c r="AR326" s="1388" t="str">
        <f t="shared" si="170"/>
        <v/>
      </c>
      <c r="AS326" s="1388" t="str">
        <f t="shared" si="171"/>
        <v/>
      </c>
      <c r="AT326" s="1388" t="str">
        <f t="shared" si="172"/>
        <v/>
      </c>
      <c r="AU326" s="1393">
        <f t="shared" si="173"/>
        <v>0</v>
      </c>
      <c r="AV326" s="1431">
        <f t="shared" si="174"/>
        <v>0</v>
      </c>
      <c r="AW326" s="1421" t="str">
        <f t="shared" si="175"/>
        <v/>
      </c>
      <c r="AX326" s="1390" t="str">
        <f t="shared" ref="AX326:AX331" si="194">IF(AND(AW326&lt;&gt;"",AY326&lt;&gt;""),"*","")</f>
        <v/>
      </c>
      <c r="AY326" s="1394" t="str">
        <f t="shared" si="176"/>
        <v/>
      </c>
      <c r="AZ326" s="1395" t="str">
        <f>IF(Table22[[#This Row],[LOQ_label]]="Y",Table22[[#This Row],[MRL individual commodity]],"")</f>
        <v/>
      </c>
      <c r="BA326" s="1396" t="s">
        <v>1038</v>
      </c>
      <c r="BB326" s="1411" t="str">
        <f>IF(Table22[[#This Row],[LOQ2]]&lt;0,MIN(AZ326:AZ702),"")</f>
        <v/>
      </c>
      <c r="BC326" s="1299"/>
      <c r="BD326" s="1306" t="str">
        <f>IF(Table22[[#This Row],[Chronic RA label]]="","N",IF(Table22[[#This Row],[Chronic RA label]]="LOQ","N",IF(Table22[[#This Row],[Chronic RA label]]="MRL","N","Y")))</f>
        <v>N</v>
      </c>
      <c r="BE326" s="1306" t="str">
        <f>IF(Table22[[#This Row],[Acute RA label]]="","N",IF(Table22[[#This Row],[Acute RA label]]="LOQ","N",IF(Table22[[#This Row],[Acute RA label]]="MRL","N","Y")))</f>
        <v>N</v>
      </c>
      <c r="BF326" s="1306" t="str">
        <f>IF(OR(Table22[[#This Row],[include commodity in Summary_input_values_chronic]]="Y",Table22[[#This Row],[include commodity in Summary_input_values_acute]]="Y"),"Y","N")</f>
        <v>N</v>
      </c>
      <c r="BG326" s="1299"/>
      <c r="BH326" s="1324"/>
    </row>
    <row r="327" spans="1:60" ht="12.75" customHeight="1" outlineLevel="3" x14ac:dyDescent="0.2">
      <c r="A327" s="39">
        <v>4</v>
      </c>
      <c r="B327" s="327">
        <v>1011020</v>
      </c>
      <c r="C327" s="23" t="s">
        <v>787</v>
      </c>
      <c r="D327" s="867"/>
      <c r="E327" s="1219"/>
      <c r="F327" s="867"/>
      <c r="G327" s="869"/>
      <c r="H327" s="863"/>
      <c r="I327" s="868"/>
      <c r="J327" s="870"/>
      <c r="K327" s="865"/>
      <c r="L327" s="872"/>
      <c r="M327" s="872"/>
      <c r="N327" s="925" t="str">
        <f>IF(O327&lt;&gt;0,CONCATENATE(input_values!$AF327,input_values!$AG327,input_values!$AH327),"")</f>
        <v/>
      </c>
      <c r="O327" s="491">
        <f>IF($A$10="Refined calculation mode",Table22[[#This Row],[input for chronic (refined mode]],Table22[[#This Row],[input for chronic normal mode]])</f>
        <v>0</v>
      </c>
      <c r="P327" s="925" t="str">
        <f>IF(Q327&lt;&gt;0,CONCATENATE(input_values!$AN327,input_values!$AO327,input_values!$AP327),"")</f>
        <v/>
      </c>
      <c r="Q327" s="491">
        <f>IF($V$5=0,0,IF(OR($A$10="Refined calculation mode",Results!$B$62="Show results of IESTI calculation only for crops with GAPs under assessment"),Table22[[#This Row],[Input for IESTI (refined mode)]],Table22[[#This Row],[Input for IESTI normal mode]]))</f>
        <v>0</v>
      </c>
      <c r="R327" s="926" t="str">
        <f>IF(S327&lt;&gt;0,CONCATENATE(input_values!$AW327,input_values!$AX327,input_values!$AY327),"")</f>
        <v/>
      </c>
      <c r="S327" s="492">
        <f>IF($V$5=0,0,IF(OR($A$10="Refined calculation mode",Results!$B$62="Show results of IESTI calculation only for crops with GAPs under assessment"),Table22[[#This Row],[Input for IESTI new (refined mode)]],Table22[[#This Row],[Input for IESTI new normal mode]]))</f>
        <v>0</v>
      </c>
      <c r="T327" s="886"/>
      <c r="U327" s="1427">
        <f>Table22[[#This Row],[MRL/ proposed MRL /CXL
(mg/kg)]]</f>
        <v>0</v>
      </c>
      <c r="V327" s="1428" t="str">
        <f t="shared" si="190"/>
        <v/>
      </c>
      <c r="W327" s="1387">
        <f t="shared" si="191"/>
        <v>1</v>
      </c>
      <c r="X327" s="1387">
        <f t="shared" si="192"/>
        <v>1</v>
      </c>
      <c r="Y327" s="1387">
        <f t="shared" si="193"/>
        <v>1</v>
      </c>
      <c r="Z327" s="1410">
        <v>4</v>
      </c>
      <c r="AA327" s="1387">
        <f t="shared" ref="AA327:AA332" si="195">IF(Z327=A327,U327,"")</f>
        <v>0</v>
      </c>
      <c r="AB327" s="1387">
        <f>IF(Z327=A327,IF(AND(L327="N",Table22[[#This Row],[LOQ_label]]="Y"),AA327,$AA327*$Y327),"")</f>
        <v>0</v>
      </c>
      <c r="AC327" s="1393">
        <f t="shared" si="159"/>
        <v>0</v>
      </c>
      <c r="AD327" s="1393">
        <f>IF(Table22[[#This Row],[Median residue*CF*PeF]]&lt;&gt;"",Table22[[#This Row],[Median residue*CF*PeF]],Table22[[#This Row],[MRL*CF*PeF (chronic)]])</f>
        <v>0</v>
      </c>
      <c r="AE327" s="1393">
        <f t="shared" si="160"/>
        <v>0</v>
      </c>
      <c r="AF327" s="1390" t="str">
        <f t="shared" si="161"/>
        <v>MRL</v>
      </c>
      <c r="AG327" s="1390" t="str">
        <f t="shared" si="162"/>
        <v/>
      </c>
      <c r="AH327" s="1394" t="str">
        <f t="shared" si="163"/>
        <v/>
      </c>
      <c r="AI327" s="1386">
        <v>4</v>
      </c>
      <c r="AJ327" s="1387">
        <f t="shared" ref="AJ327:AJ332" si="196">IF(AI327=A327,U327,"")</f>
        <v>0</v>
      </c>
      <c r="AK327" s="1387">
        <f>IF(AI327=A327,IF(AND(L327="N",Table22[[#This Row],[LOQ_label]]="Y"),AJ327,$AJ327*$Y327),"")</f>
        <v>0</v>
      </c>
      <c r="AL327" s="1388">
        <f t="shared" si="165"/>
        <v>0</v>
      </c>
      <c r="AM327" s="1393">
        <f>IF(Table22[[#This Row],[Highest residue * CF*PF]]&lt;&gt;"",Table22[[#This Row],[Highest residue * CF*PF]],Table22[[#This Row],[MRL*CF*PF or MRL (if LOQ and not authorised) (acute RA)]])</f>
        <v>0</v>
      </c>
      <c r="AN327" s="1390" t="str">
        <f t="shared" si="166"/>
        <v>MRL</v>
      </c>
      <c r="AO327" s="1390" t="str">
        <f t="shared" si="167"/>
        <v/>
      </c>
      <c r="AP327" s="1404" t="str">
        <f t="shared" si="168"/>
        <v/>
      </c>
      <c r="AQ327" s="1388">
        <f t="shared" si="169"/>
        <v>0</v>
      </c>
      <c r="AR327" s="1388" t="str">
        <f t="shared" si="170"/>
        <v/>
      </c>
      <c r="AS327" s="1388" t="str">
        <f t="shared" si="171"/>
        <v/>
      </c>
      <c r="AT327" s="1388" t="str">
        <f t="shared" si="172"/>
        <v/>
      </c>
      <c r="AU327" s="1393">
        <f t="shared" si="173"/>
        <v>0</v>
      </c>
      <c r="AV327" s="1388">
        <f t="shared" si="174"/>
        <v>0</v>
      </c>
      <c r="AW327" s="1390" t="str">
        <f t="shared" si="175"/>
        <v/>
      </c>
      <c r="AX327" s="1390" t="str">
        <f t="shared" si="194"/>
        <v/>
      </c>
      <c r="AY327" s="1394" t="str">
        <f t="shared" si="176"/>
        <v/>
      </c>
      <c r="AZ327" s="1395" t="str">
        <f>IF(Table22[[#This Row],[LOQ_label]]="Y",Table22[[#This Row],[MRL individual commodity]],"")</f>
        <v/>
      </c>
      <c r="BA327" s="1396" t="s">
        <v>1038</v>
      </c>
      <c r="BB327" s="1411" t="str">
        <f>IF(Table22[[#This Row],[LOQ2]]&lt;0,MIN(AZ327:AZ703),"")</f>
        <v/>
      </c>
      <c r="BC327" s="1299"/>
      <c r="BD327" s="1306" t="str">
        <f>IF(Table22[[#This Row],[Chronic RA label]]="","N",IF(Table22[[#This Row],[Chronic RA label]]="LOQ","N",IF(Table22[[#This Row],[Chronic RA label]]="MRL","N","Y")))</f>
        <v>N</v>
      </c>
      <c r="BE327" s="1306" t="str">
        <f>IF(Table22[[#This Row],[Acute RA label]]="","N",IF(Table22[[#This Row],[Acute RA label]]="LOQ","N",IF(Table22[[#This Row],[Acute RA label]]="MRL","N","Y")))</f>
        <v>N</v>
      </c>
      <c r="BF327" s="1306" t="str">
        <f>IF(OR(Table22[[#This Row],[include commodity in Summary_input_values_chronic]]="Y",Table22[[#This Row],[include commodity in Summary_input_values_acute]]="Y"),"Y","N")</f>
        <v>N</v>
      </c>
      <c r="BG327" s="1299"/>
      <c r="BH327" s="1324"/>
    </row>
    <row r="328" spans="1:60" ht="12.75" customHeight="1" outlineLevel="3" x14ac:dyDescent="0.2">
      <c r="A328" s="39">
        <v>4</v>
      </c>
      <c r="B328" s="327">
        <v>1011030</v>
      </c>
      <c r="C328" s="23" t="s">
        <v>191</v>
      </c>
      <c r="D328" s="867"/>
      <c r="E328" s="1219"/>
      <c r="F328" s="867"/>
      <c r="G328" s="869"/>
      <c r="H328" s="863"/>
      <c r="I328" s="868"/>
      <c r="J328" s="870"/>
      <c r="K328" s="865"/>
      <c r="L328" s="872"/>
      <c r="M328" s="872"/>
      <c r="N328" s="925" t="str">
        <f>IF(O328&lt;&gt;0,CONCATENATE(input_values!$AF328,input_values!$AG328,input_values!$AH328),"")</f>
        <v/>
      </c>
      <c r="O328" s="491">
        <f>IF($A$10="Refined calculation mode",Table22[[#This Row],[input for chronic (refined mode]],Table22[[#This Row],[input for chronic normal mode]])</f>
        <v>0</v>
      </c>
      <c r="P328" s="925" t="str">
        <f>IF(Q328&lt;&gt;0,CONCATENATE(input_values!$AN328,input_values!$AO328,input_values!$AP328),"")</f>
        <v/>
      </c>
      <c r="Q328" s="491">
        <f>IF($V$5=0,0,IF(OR($A$10="Refined calculation mode",Results!$B$62="Show results of IESTI calculation only for crops with GAPs under assessment"),Table22[[#This Row],[Input for IESTI (refined mode)]],Table22[[#This Row],[Input for IESTI normal mode]]))</f>
        <v>0</v>
      </c>
      <c r="R328" s="926" t="str">
        <f>IF(S328&lt;&gt;0,CONCATENATE(input_values!$AW328,input_values!$AX328,input_values!$AY328),"")</f>
        <v/>
      </c>
      <c r="S328" s="492">
        <f>IF($V$5=0,0,IF(OR($A$10="Refined calculation mode",Results!$B$62="Show results of IESTI calculation only for crops with GAPs under assessment"),Table22[[#This Row],[Input for IESTI new (refined mode)]],Table22[[#This Row],[Input for IESTI new normal mode]]))</f>
        <v>0</v>
      </c>
      <c r="T328" s="886"/>
      <c r="U328" s="1427">
        <f>Table22[[#This Row],[MRL/ proposed MRL /CXL
(mg/kg)]]</f>
        <v>0</v>
      </c>
      <c r="V328" s="1428" t="str">
        <f t="shared" si="190"/>
        <v/>
      </c>
      <c r="W328" s="1387">
        <f t="shared" si="191"/>
        <v>1</v>
      </c>
      <c r="X328" s="1387">
        <f t="shared" si="192"/>
        <v>1</v>
      </c>
      <c r="Y328" s="1387">
        <f t="shared" si="193"/>
        <v>1</v>
      </c>
      <c r="Z328" s="1410">
        <v>4</v>
      </c>
      <c r="AA328" s="1387">
        <f t="shared" si="195"/>
        <v>0</v>
      </c>
      <c r="AB328" s="1387">
        <f>IF(Z328=A328,IF(AND(L328="N",Table22[[#This Row],[LOQ_label]]="Y"),AA328,$AA328*$Y328),"")</f>
        <v>0</v>
      </c>
      <c r="AC328" s="1393">
        <f t="shared" si="159"/>
        <v>0</v>
      </c>
      <c r="AD328" s="1393">
        <f>IF(Table22[[#This Row],[Median residue*CF*PeF]]&lt;&gt;"",Table22[[#This Row],[Median residue*CF*PeF]],Table22[[#This Row],[MRL*CF*PeF (chronic)]])</f>
        <v>0</v>
      </c>
      <c r="AE328" s="1393">
        <f t="shared" si="160"/>
        <v>0</v>
      </c>
      <c r="AF328" s="1390" t="str">
        <f t="shared" si="161"/>
        <v>MRL</v>
      </c>
      <c r="AG328" s="1390" t="str">
        <f t="shared" si="162"/>
        <v/>
      </c>
      <c r="AH328" s="1394" t="str">
        <f t="shared" si="163"/>
        <v/>
      </c>
      <c r="AI328" s="1386">
        <v>4</v>
      </c>
      <c r="AJ328" s="1387">
        <f t="shared" si="196"/>
        <v>0</v>
      </c>
      <c r="AK328" s="1387">
        <f>IF(AI328=A328,IF(AND(L328="N",Table22[[#This Row],[LOQ_label]]="Y"),AJ328,$AJ328*$Y328),"")</f>
        <v>0</v>
      </c>
      <c r="AL328" s="1388">
        <f t="shared" si="165"/>
        <v>0</v>
      </c>
      <c r="AM328" s="1393">
        <f>IF(Table22[[#This Row],[Highest residue * CF*PF]]&lt;&gt;"",Table22[[#This Row],[Highest residue * CF*PF]],Table22[[#This Row],[MRL*CF*PF or MRL (if LOQ and not authorised) (acute RA)]])</f>
        <v>0</v>
      </c>
      <c r="AN328" s="1390" t="str">
        <f t="shared" si="166"/>
        <v>MRL</v>
      </c>
      <c r="AO328" s="1390" t="str">
        <f t="shared" si="167"/>
        <v/>
      </c>
      <c r="AP328" s="1404" t="str">
        <f t="shared" si="168"/>
        <v/>
      </c>
      <c r="AQ328" s="1388">
        <f t="shared" si="169"/>
        <v>0</v>
      </c>
      <c r="AR328" s="1388" t="str">
        <f t="shared" si="170"/>
        <v/>
      </c>
      <c r="AS328" s="1388" t="str">
        <f t="shared" si="171"/>
        <v/>
      </c>
      <c r="AT328" s="1388" t="str">
        <f t="shared" si="172"/>
        <v/>
      </c>
      <c r="AU328" s="1393">
        <f t="shared" si="173"/>
        <v>0</v>
      </c>
      <c r="AV328" s="1388">
        <f t="shared" si="174"/>
        <v>0</v>
      </c>
      <c r="AW328" s="1390" t="str">
        <f t="shared" si="175"/>
        <v/>
      </c>
      <c r="AX328" s="1390" t="str">
        <f t="shared" si="194"/>
        <v/>
      </c>
      <c r="AY328" s="1394" t="str">
        <f t="shared" si="176"/>
        <v/>
      </c>
      <c r="AZ328" s="1395" t="str">
        <f>IF(Table22[[#This Row],[LOQ_label]]="Y",Table22[[#This Row],[MRL individual commodity]],"")</f>
        <v/>
      </c>
      <c r="BA328" s="1396" t="s">
        <v>1038</v>
      </c>
      <c r="BB328" s="1411" t="str">
        <f>IF(Table22[[#This Row],[LOQ2]]&lt;0,MIN(AZ328:AZ704),"")</f>
        <v/>
      </c>
      <c r="BC328" s="1299"/>
      <c r="BD328" s="1306" t="str">
        <f>IF(Table22[[#This Row],[Chronic RA label]]="","N",IF(Table22[[#This Row],[Chronic RA label]]="LOQ","N",IF(Table22[[#This Row],[Chronic RA label]]="MRL","N","Y")))</f>
        <v>N</v>
      </c>
      <c r="BE328" s="1306" t="str">
        <f>IF(Table22[[#This Row],[Acute RA label]]="","N",IF(Table22[[#This Row],[Acute RA label]]="LOQ","N",IF(Table22[[#This Row],[Acute RA label]]="MRL","N","Y")))</f>
        <v>N</v>
      </c>
      <c r="BF328" s="1306" t="str">
        <f>IF(OR(Table22[[#This Row],[include commodity in Summary_input_values_chronic]]="Y",Table22[[#This Row],[include commodity in Summary_input_values_acute]]="Y"),"Y","N")</f>
        <v>N</v>
      </c>
      <c r="BG328" s="1299"/>
      <c r="BH328" s="1324"/>
    </row>
    <row r="329" spans="1:60" ht="12.75" customHeight="1" outlineLevel="3" x14ac:dyDescent="0.2">
      <c r="A329" s="39">
        <v>4</v>
      </c>
      <c r="B329" s="327">
        <v>1011040</v>
      </c>
      <c r="C329" s="23" t="s">
        <v>192</v>
      </c>
      <c r="D329" s="867"/>
      <c r="E329" s="1219"/>
      <c r="F329" s="867"/>
      <c r="G329" s="869"/>
      <c r="H329" s="863"/>
      <c r="I329" s="868"/>
      <c r="J329" s="870"/>
      <c r="K329" s="865"/>
      <c r="L329" s="872"/>
      <c r="M329" s="872"/>
      <c r="N329" s="925" t="str">
        <f>IF(O329&lt;&gt;0,CONCATENATE(input_values!$AF329,input_values!$AG329,input_values!$AH329),"")</f>
        <v/>
      </c>
      <c r="O329" s="491">
        <f>IF($A$10="Refined calculation mode",Table22[[#This Row],[input for chronic (refined mode]],Table22[[#This Row],[input for chronic normal mode]])</f>
        <v>0</v>
      </c>
      <c r="P329" s="925" t="str">
        <f>IF(Q329&lt;&gt;0,CONCATENATE(input_values!$AN329,input_values!$AO329,input_values!$AP329),"")</f>
        <v/>
      </c>
      <c r="Q329" s="491">
        <f>IF($V$5=0,0,IF(OR($A$10="Refined calculation mode",Results!$B$62="Show results of IESTI calculation only for crops with GAPs under assessment"),Table22[[#This Row],[Input for IESTI (refined mode)]],Table22[[#This Row],[Input for IESTI normal mode]]))</f>
        <v>0</v>
      </c>
      <c r="R329" s="926" t="str">
        <f>IF(S329&lt;&gt;0,CONCATENATE(input_values!$AW329,input_values!$AX329,input_values!$AY329),"")</f>
        <v/>
      </c>
      <c r="S329" s="492">
        <f>IF($V$5=0,0,IF(OR($A$10="Refined calculation mode",Results!$B$62="Show results of IESTI calculation only for crops with GAPs under assessment"),Table22[[#This Row],[Input for IESTI new (refined mode)]],Table22[[#This Row],[Input for IESTI new normal mode]]))</f>
        <v>0</v>
      </c>
      <c r="T329" s="886"/>
      <c r="U329" s="1427">
        <f>Table22[[#This Row],[MRL/ proposed MRL /CXL
(mg/kg)]]</f>
        <v>0</v>
      </c>
      <c r="V329" s="1428" t="str">
        <f t="shared" si="190"/>
        <v/>
      </c>
      <c r="W329" s="1387">
        <f t="shared" si="191"/>
        <v>1</v>
      </c>
      <c r="X329" s="1387">
        <f t="shared" si="192"/>
        <v>1</v>
      </c>
      <c r="Y329" s="1387">
        <f t="shared" si="193"/>
        <v>1</v>
      </c>
      <c r="Z329" s="1410">
        <v>4</v>
      </c>
      <c r="AA329" s="1387">
        <f t="shared" si="195"/>
        <v>0</v>
      </c>
      <c r="AB329" s="1387">
        <f>IF(Z329=A329,IF(AND(L329="N",Table22[[#This Row],[LOQ_label]]="Y"),AA329,$AA329*$Y329),"")</f>
        <v>0</v>
      </c>
      <c r="AC329" s="1393">
        <f t="shared" si="159"/>
        <v>0</v>
      </c>
      <c r="AD329" s="1393">
        <f>IF(Table22[[#This Row],[Median residue*CF*PeF]]&lt;&gt;"",Table22[[#This Row],[Median residue*CF*PeF]],Table22[[#This Row],[MRL*CF*PeF (chronic)]])</f>
        <v>0</v>
      </c>
      <c r="AE329" s="1393">
        <f t="shared" si="160"/>
        <v>0</v>
      </c>
      <c r="AF329" s="1390" t="str">
        <f t="shared" si="161"/>
        <v>MRL</v>
      </c>
      <c r="AG329" s="1390" t="str">
        <f t="shared" si="162"/>
        <v/>
      </c>
      <c r="AH329" s="1394" t="str">
        <f t="shared" si="163"/>
        <v/>
      </c>
      <c r="AI329" s="1386">
        <v>4</v>
      </c>
      <c r="AJ329" s="1387">
        <f t="shared" si="196"/>
        <v>0</v>
      </c>
      <c r="AK329" s="1387">
        <f>IF(AI329=A329,IF(AND(L329="N",Table22[[#This Row],[LOQ_label]]="Y"),AJ329,$AJ329*$Y329),"")</f>
        <v>0</v>
      </c>
      <c r="AL329" s="1388">
        <f t="shared" si="165"/>
        <v>0</v>
      </c>
      <c r="AM329" s="1393">
        <f>IF(Table22[[#This Row],[Highest residue * CF*PF]]&lt;&gt;"",Table22[[#This Row],[Highest residue * CF*PF]],Table22[[#This Row],[MRL*CF*PF or MRL (if LOQ and not authorised) (acute RA)]])</f>
        <v>0</v>
      </c>
      <c r="AN329" s="1390" t="str">
        <f t="shared" si="166"/>
        <v>MRL</v>
      </c>
      <c r="AO329" s="1390" t="str">
        <f t="shared" si="167"/>
        <v/>
      </c>
      <c r="AP329" s="1404" t="str">
        <f t="shared" si="168"/>
        <v/>
      </c>
      <c r="AQ329" s="1388">
        <f t="shared" si="169"/>
        <v>0</v>
      </c>
      <c r="AR329" s="1388" t="str">
        <f t="shared" si="170"/>
        <v/>
      </c>
      <c r="AS329" s="1388" t="str">
        <f t="shared" si="171"/>
        <v/>
      </c>
      <c r="AT329" s="1388" t="str">
        <f t="shared" si="172"/>
        <v/>
      </c>
      <c r="AU329" s="1393">
        <f t="shared" si="173"/>
        <v>0</v>
      </c>
      <c r="AV329" s="1388">
        <f t="shared" si="174"/>
        <v>0</v>
      </c>
      <c r="AW329" s="1390" t="str">
        <f t="shared" si="175"/>
        <v/>
      </c>
      <c r="AX329" s="1390" t="str">
        <f t="shared" si="194"/>
        <v/>
      </c>
      <c r="AY329" s="1394" t="str">
        <f t="shared" si="176"/>
        <v/>
      </c>
      <c r="AZ329" s="1395" t="str">
        <f>IF(Table22[[#This Row],[LOQ_label]]="Y",Table22[[#This Row],[MRL individual commodity]],"")</f>
        <v/>
      </c>
      <c r="BA329" s="1396" t="s">
        <v>1038</v>
      </c>
      <c r="BB329" s="1411" t="str">
        <f>IF(Table22[[#This Row],[LOQ2]]&lt;0,MIN(AZ329:AZ705),"")</f>
        <v/>
      </c>
      <c r="BC329" s="1299"/>
      <c r="BD329" s="1306" t="str">
        <f>IF(Table22[[#This Row],[Chronic RA label]]="","N",IF(Table22[[#This Row],[Chronic RA label]]="LOQ","N",IF(Table22[[#This Row],[Chronic RA label]]="MRL","N","Y")))</f>
        <v>N</v>
      </c>
      <c r="BE329" s="1306" t="str">
        <f>IF(Table22[[#This Row],[Acute RA label]]="","N",IF(Table22[[#This Row],[Acute RA label]]="LOQ","N",IF(Table22[[#This Row],[Acute RA label]]="MRL","N","Y")))</f>
        <v>N</v>
      </c>
      <c r="BF329" s="1306" t="str">
        <f>IF(OR(Table22[[#This Row],[include commodity in Summary_input_values_chronic]]="Y",Table22[[#This Row],[include commodity in Summary_input_values_acute]]="Y"),"Y","N")</f>
        <v>N</v>
      </c>
      <c r="BG329" s="1299"/>
      <c r="BH329" s="1324"/>
    </row>
    <row r="330" spans="1:60" ht="12.75" customHeight="1" outlineLevel="3" x14ac:dyDescent="0.2">
      <c r="A330" s="39">
        <v>4</v>
      </c>
      <c r="B330" s="327">
        <v>1011050</v>
      </c>
      <c r="C330" s="23" t="s">
        <v>788</v>
      </c>
      <c r="D330" s="867"/>
      <c r="E330" s="1219"/>
      <c r="F330" s="867"/>
      <c r="G330" s="869"/>
      <c r="H330" s="863"/>
      <c r="I330" s="868"/>
      <c r="J330" s="870"/>
      <c r="K330" s="865"/>
      <c r="L330" s="872"/>
      <c r="M330" s="872"/>
      <c r="N330" s="925" t="str">
        <f>IF(O330&lt;&gt;0,CONCATENATE(input_values!$AF330,input_values!$AG330,input_values!$AH330),"")</f>
        <v/>
      </c>
      <c r="O330" s="491">
        <f>IF($A$10="Refined calculation mode",Table22[[#This Row],[input for chronic (refined mode]],Table22[[#This Row],[input for chronic normal mode]])</f>
        <v>0</v>
      </c>
      <c r="P330" s="925" t="str">
        <f>IF(Q330&lt;&gt;0,CONCATENATE(input_values!$AN330,input_values!$AO330,input_values!$AP330),"")</f>
        <v/>
      </c>
      <c r="Q330" s="491">
        <f>IF($V$5=0,0,IF(OR($A$10="Refined calculation mode",Results!$B$62="Show results of IESTI calculation only for crops with GAPs under assessment"),Table22[[#This Row],[Input for IESTI (refined mode)]],Table22[[#This Row],[Input for IESTI normal mode]]))</f>
        <v>0</v>
      </c>
      <c r="R330" s="926" t="str">
        <f>IF(S330&lt;&gt;0,CONCATENATE(input_values!$AW330,input_values!$AX330,input_values!$AY330),"")</f>
        <v/>
      </c>
      <c r="S330" s="492">
        <f>IF($V$5=0,0,IF(OR($A$10="Refined calculation mode",Results!$B$62="Show results of IESTI calculation only for crops with GAPs under assessment"),Table22[[#This Row],[Input for IESTI new (refined mode)]],Table22[[#This Row],[Input for IESTI new normal mode]]))</f>
        <v>0</v>
      </c>
      <c r="T330" s="886"/>
      <c r="U330" s="1427">
        <f>Table22[[#This Row],[MRL/ proposed MRL /CXL
(mg/kg)]]</f>
        <v>0</v>
      </c>
      <c r="V330" s="1428" t="str">
        <f t="shared" si="190"/>
        <v/>
      </c>
      <c r="W330" s="1387">
        <f t="shared" si="191"/>
        <v>1</v>
      </c>
      <c r="X330" s="1387">
        <f t="shared" si="192"/>
        <v>1</v>
      </c>
      <c r="Y330" s="1387">
        <f t="shared" si="193"/>
        <v>1</v>
      </c>
      <c r="Z330" s="1410">
        <v>4</v>
      </c>
      <c r="AA330" s="1387">
        <f t="shared" si="195"/>
        <v>0</v>
      </c>
      <c r="AB330" s="1387">
        <f>IF(Z330=A330,IF(AND(L330="N",Table22[[#This Row],[LOQ_label]]="Y"),AA330,$AA330*$Y330),"")</f>
        <v>0</v>
      </c>
      <c r="AC330" s="1393">
        <f t="shared" si="159"/>
        <v>0</v>
      </c>
      <c r="AD330" s="1393">
        <f>IF(Table22[[#This Row],[Median residue*CF*PeF]]&lt;&gt;"",Table22[[#This Row],[Median residue*CF*PeF]],Table22[[#This Row],[MRL*CF*PeF (chronic)]])</f>
        <v>0</v>
      </c>
      <c r="AE330" s="1393">
        <f t="shared" si="160"/>
        <v>0</v>
      </c>
      <c r="AF330" s="1390" t="str">
        <f t="shared" si="161"/>
        <v>MRL</v>
      </c>
      <c r="AG330" s="1390" t="str">
        <f t="shared" si="162"/>
        <v/>
      </c>
      <c r="AH330" s="1394" t="str">
        <f t="shared" si="163"/>
        <v/>
      </c>
      <c r="AI330" s="1386">
        <v>4</v>
      </c>
      <c r="AJ330" s="1387">
        <f t="shared" si="196"/>
        <v>0</v>
      </c>
      <c r="AK330" s="1387">
        <f>IF(AI330=A330,IF(AND(L330="N",Table22[[#This Row],[LOQ_label]]="Y"),AJ330,$AJ330*$Y330),"")</f>
        <v>0</v>
      </c>
      <c r="AL330" s="1388">
        <f t="shared" si="165"/>
        <v>0</v>
      </c>
      <c r="AM330" s="1393">
        <f>IF(Table22[[#This Row],[Highest residue * CF*PF]]&lt;&gt;"",Table22[[#This Row],[Highest residue * CF*PF]],Table22[[#This Row],[MRL*CF*PF or MRL (if LOQ and not authorised) (acute RA)]])</f>
        <v>0</v>
      </c>
      <c r="AN330" s="1390" t="str">
        <f t="shared" si="166"/>
        <v>MRL</v>
      </c>
      <c r="AO330" s="1390" t="str">
        <f t="shared" si="167"/>
        <v/>
      </c>
      <c r="AP330" s="1404" t="str">
        <f t="shared" si="168"/>
        <v/>
      </c>
      <c r="AQ330" s="1388">
        <f t="shared" si="169"/>
        <v>0</v>
      </c>
      <c r="AR330" s="1388" t="str">
        <f t="shared" si="170"/>
        <v/>
      </c>
      <c r="AS330" s="1388" t="str">
        <f t="shared" si="171"/>
        <v/>
      </c>
      <c r="AT330" s="1388" t="str">
        <f t="shared" si="172"/>
        <v/>
      </c>
      <c r="AU330" s="1393">
        <f t="shared" si="173"/>
        <v>0</v>
      </c>
      <c r="AV330" s="1388">
        <f t="shared" si="174"/>
        <v>0</v>
      </c>
      <c r="AW330" s="1390" t="str">
        <f t="shared" si="175"/>
        <v/>
      </c>
      <c r="AX330" s="1390" t="str">
        <f t="shared" si="194"/>
        <v/>
      </c>
      <c r="AY330" s="1394" t="str">
        <f t="shared" si="176"/>
        <v/>
      </c>
      <c r="AZ330" s="1395" t="str">
        <f>IF(Table22[[#This Row],[LOQ_label]]="Y",Table22[[#This Row],[MRL individual commodity]],"")</f>
        <v/>
      </c>
      <c r="BA330" s="1396" t="s">
        <v>1038</v>
      </c>
      <c r="BB330" s="1411" t="str">
        <f>IF(Table22[[#This Row],[LOQ2]]&lt;0,MIN(AZ330:AZ706),"")</f>
        <v/>
      </c>
      <c r="BC330" s="1299"/>
      <c r="BD330" s="1306" t="str">
        <f>IF(Table22[[#This Row],[Chronic RA label]]="","N",IF(Table22[[#This Row],[Chronic RA label]]="LOQ","N",IF(Table22[[#This Row],[Chronic RA label]]="MRL","N","Y")))</f>
        <v>N</v>
      </c>
      <c r="BE330" s="1306" t="str">
        <f>IF(Table22[[#This Row],[Acute RA label]]="","N",IF(Table22[[#This Row],[Acute RA label]]="LOQ","N",IF(Table22[[#This Row],[Acute RA label]]="MRL","N","Y")))</f>
        <v>N</v>
      </c>
      <c r="BF330" s="1306" t="str">
        <f>IF(OR(Table22[[#This Row],[include commodity in Summary_input_values_chronic]]="Y",Table22[[#This Row],[include commodity in Summary_input_values_acute]]="Y"),"Y","N")</f>
        <v>N</v>
      </c>
      <c r="BG330" s="1299"/>
      <c r="BH330" s="1324"/>
    </row>
    <row r="331" spans="1:60" ht="12.75" customHeight="1" outlineLevel="3" x14ac:dyDescent="0.2">
      <c r="A331" s="39">
        <v>4</v>
      </c>
      <c r="B331" s="327">
        <v>1011990</v>
      </c>
      <c r="C331" s="23" t="s">
        <v>634</v>
      </c>
      <c r="D331" s="867"/>
      <c r="E331" s="1219"/>
      <c r="F331" s="867"/>
      <c r="G331" s="868"/>
      <c r="H331" s="863"/>
      <c r="I331" s="868"/>
      <c r="J331" s="870"/>
      <c r="K331" s="865"/>
      <c r="L331" s="872"/>
      <c r="M331" s="872"/>
      <c r="N331" s="925" t="str">
        <f>IF(O331&lt;&gt;0,CONCATENATE(input_values!$AF331,input_values!$AG331,input_values!$AH331),"")</f>
        <v/>
      </c>
      <c r="O331" s="491">
        <f>IF($A$10="Refined calculation mode",Table22[[#This Row],[input for chronic (refined mode]],Table22[[#This Row],[input for chronic normal mode]])</f>
        <v>0</v>
      </c>
      <c r="P331" s="925" t="str">
        <f>IF(Q331&lt;&gt;0,CONCATENATE(input_values!$AN331,input_values!$AO331,input_values!$AP331),"")</f>
        <v/>
      </c>
      <c r="Q331" s="491">
        <f>IF($V$5=0,0,IF(OR($A$10="Refined calculation mode",Results!$B$62="Show results of IESTI calculation only for crops with GAPs under assessment"),Table22[[#This Row],[Input for IESTI (refined mode)]],Table22[[#This Row],[Input for IESTI normal mode]]))</f>
        <v>0</v>
      </c>
      <c r="R331" s="926" t="str">
        <f>IF(S331&lt;&gt;0,CONCATENATE(input_values!$AW331,input_values!$AX331,input_values!$AY331),"")</f>
        <v/>
      </c>
      <c r="S331" s="492">
        <f>IF($V$5=0,0,IF(OR($A$10="Refined calculation mode",Results!$B$62="Show results of IESTI calculation only for crops with GAPs under assessment"),Table22[[#This Row],[Input for IESTI new (refined mode)]],Table22[[#This Row],[Input for IESTI new normal mode]]))</f>
        <v>0</v>
      </c>
      <c r="T331" s="886"/>
      <c r="U331" s="1427">
        <f>Table22[[#This Row],[MRL/ proposed MRL /CXL
(mg/kg)]]</f>
        <v>0</v>
      </c>
      <c r="V331" s="1428" t="str">
        <f t="shared" si="190"/>
        <v/>
      </c>
      <c r="W331" s="1387">
        <f t="shared" si="191"/>
        <v>1</v>
      </c>
      <c r="X331" s="1387">
        <f t="shared" si="192"/>
        <v>1</v>
      </c>
      <c r="Y331" s="1387">
        <f t="shared" si="193"/>
        <v>1</v>
      </c>
      <c r="Z331" s="1410">
        <v>4</v>
      </c>
      <c r="AA331" s="1387">
        <f t="shared" si="195"/>
        <v>0</v>
      </c>
      <c r="AB331" s="1387">
        <f>IF(Z331=A331,IF(AND(L331="N",Table22[[#This Row],[LOQ_label]]="Y"),AA331,$AA331*$Y331),"")</f>
        <v>0</v>
      </c>
      <c r="AC331" s="1393">
        <f t="shared" si="159"/>
        <v>0</v>
      </c>
      <c r="AD331" s="1393">
        <f>IF(Table22[[#This Row],[Median residue*CF*PeF]]&lt;&gt;"",Table22[[#This Row],[Median residue*CF*PeF]],Table22[[#This Row],[MRL*CF*PeF (chronic)]])</f>
        <v>0</v>
      </c>
      <c r="AE331" s="1393">
        <f t="shared" si="160"/>
        <v>0</v>
      </c>
      <c r="AF331" s="1390" t="str">
        <f t="shared" si="161"/>
        <v>MRL</v>
      </c>
      <c r="AG331" s="1390" t="str">
        <f t="shared" si="162"/>
        <v/>
      </c>
      <c r="AH331" s="1394" t="str">
        <f t="shared" si="163"/>
        <v/>
      </c>
      <c r="AI331" s="1386">
        <v>4</v>
      </c>
      <c r="AJ331" s="1387">
        <f>IF(AI331=A331,U331,"")</f>
        <v>0</v>
      </c>
      <c r="AK331" s="1387">
        <f>IF(AI331=A331,IF(AND(L331="N",Table22[[#This Row],[LOQ_label]]="Y"),AJ331,$AJ331*$Y331),"")</f>
        <v>0</v>
      </c>
      <c r="AL331" s="1388">
        <f>IF(AI331=A331,$J331*$Y331,"")</f>
        <v>0</v>
      </c>
      <c r="AM331" s="1393">
        <f>IF(Table22[[#This Row],[Highest residue * CF*PF]]&lt;&gt;"",Table22[[#This Row],[Highest residue * CF*PF]],Table22[[#This Row],[MRL*CF*PF or MRL (if LOQ and not authorised) (acute RA)]])</f>
        <v>0</v>
      </c>
      <c r="AN331" s="1390" t="str">
        <f t="shared" si="166"/>
        <v>MRL</v>
      </c>
      <c r="AO331" s="1390" t="str">
        <f>IF(AND(AN331&lt;&gt;"",AP331&lt;&gt;""),"*","")</f>
        <v/>
      </c>
      <c r="AP331" s="1404" t="str">
        <f>IF(OR(AND(AN331="LOQ",L331="N"),AN331=""),"",IF(AND(G331&gt;0,H331&gt;0),"CF*PeF",IF(G331&gt;0,"CF",IF(H331&gt;0,"PeF",""))))</f>
        <v/>
      </c>
      <c r="AQ331" s="1388">
        <f t="shared" si="169"/>
        <v>0</v>
      </c>
      <c r="AR331" s="1388" t="str">
        <f t="shared" si="170"/>
        <v/>
      </c>
      <c r="AS331" s="1388" t="str">
        <f>IF(AND(AR331&lt;&gt;"",AT331&lt;&gt;""),"*","")</f>
        <v/>
      </c>
      <c r="AT331" s="1388" t="str">
        <f>IF(OR(AND(AR331="LOQ",L331="N"),AR331=""),"",IF(AND(G331&gt;0,H331&gt;0),"CF*PeF",IF(G331&gt;0,"CF",IF(H331&gt;0,"PeF",""))))</f>
        <v/>
      </c>
      <c r="AU331" s="1393">
        <f>AK331</f>
        <v>0</v>
      </c>
      <c r="AV331" s="1388">
        <f>IF(OR(L331="N",ISBLANK(L331)),0,AK331)</f>
        <v>0</v>
      </c>
      <c r="AW331" s="1390" t="str">
        <f>IF(OR(AI331&lt;&gt;A331,AJ331=0),"",IF(V331="Y","LOQ","MRL"))</f>
        <v/>
      </c>
      <c r="AX331" s="1390" t="str">
        <f t="shared" si="194"/>
        <v/>
      </c>
      <c r="AY331" s="1394" t="str">
        <f>IF(OR(AND(AW331="LOQ",L331="N"),AW331=""),"",IF(AND(G331&gt;0,H331&gt;0),"CF*PeF",IF(G331&gt;0,"CF",IF(H331&gt;0,"PeF",""))))</f>
        <v/>
      </c>
      <c r="AZ331" s="1395" t="str">
        <f>IF(Table22[[#This Row],[LOQ_label]]="Y",Table22[[#This Row],[MRL individual commodity]],"")</f>
        <v/>
      </c>
      <c r="BA331" s="1396" t="s">
        <v>1159</v>
      </c>
      <c r="BB331" s="1411" t="str">
        <f>IF(Table22[[#This Row],[LOQ2]]&lt;0,MIN(AZ331:AZ707),"")</f>
        <v/>
      </c>
      <c r="BC331" s="1299"/>
      <c r="BD331" s="1306" t="str">
        <f>IF(Table22[[#This Row],[Chronic RA label]]="","N",IF(Table22[[#This Row],[Chronic RA label]]="LOQ","N",IF(Table22[[#This Row],[Chronic RA label]]="MRL","N","Y")))</f>
        <v>N</v>
      </c>
      <c r="BE331" s="1306" t="str">
        <f>IF(Table22[[#This Row],[Acute RA label]]="","N",IF(Table22[[#This Row],[Acute RA label]]="LOQ","N",IF(Table22[[#This Row],[Acute RA label]]="MRL","N","Y")))</f>
        <v>N</v>
      </c>
      <c r="BF331" s="1306" t="str">
        <f>IF(OR(Table22[[#This Row],[include commodity in Summary_input_values_chronic]]="Y",Table22[[#This Row],[include commodity in Summary_input_values_acute]]="Y"),"Y","N")</f>
        <v>N</v>
      </c>
      <c r="BG331" s="1299"/>
      <c r="BH331" s="1324"/>
    </row>
    <row r="332" spans="1:60" ht="12.75" customHeight="1" outlineLevel="2" x14ac:dyDescent="0.2">
      <c r="A332" s="133">
        <v>3</v>
      </c>
      <c r="B332" s="449">
        <v>1012000</v>
      </c>
      <c r="C332" s="5" t="s">
        <v>193</v>
      </c>
      <c r="D332" s="862"/>
      <c r="E332" s="1218"/>
      <c r="F332" s="862"/>
      <c r="G332" s="866"/>
      <c r="H332" s="863"/>
      <c r="I332" s="863"/>
      <c r="J332" s="864"/>
      <c r="K332" s="865"/>
      <c r="L332" s="471"/>
      <c r="M332" s="471"/>
      <c r="N332" s="473"/>
      <c r="O332" s="474"/>
      <c r="P332" s="473"/>
      <c r="Q332" s="474"/>
      <c r="R332" s="473"/>
      <c r="S332" s="474"/>
      <c r="T332" s="886"/>
      <c r="U332" s="1415"/>
      <c r="V332" s="1380"/>
      <c r="W332" s="1381"/>
      <c r="X332" s="1381"/>
      <c r="Y332" s="1381"/>
      <c r="Z332" s="1382">
        <v>4</v>
      </c>
      <c r="AA332" s="1381" t="str">
        <f t="shared" si="195"/>
        <v/>
      </c>
      <c r="AB332" s="1381" t="str">
        <f>IF(Z332=A332,IF(AND(L332="N",Table22[[#This Row],[LOQ_label]]="Y"),AA332,$AA332*$Y332),"")</f>
        <v/>
      </c>
      <c r="AC332" s="1383" t="str">
        <f t="shared" ref="AC332:AC367" si="197">IF(Z332=A332,$I332*$Y332,"")</f>
        <v/>
      </c>
      <c r="AD332" s="1383" t="str">
        <f>IF(Table22[[#This Row],[Median residue*CF*PeF]]&lt;&gt;"",Table22[[#This Row],[Median residue*CF*PeF]],Table22[[#This Row],[MRL*CF*PeF (chronic)]])</f>
        <v/>
      </c>
      <c r="AE332" s="1384">
        <f t="shared" ref="AE332:AE367" si="198">IF(OR(L332="N",ISBLANK(L332)),0,IF(Z332=A332,IF(ISBLANK(I332)=TRUE,AB332,AC332),""))</f>
        <v>0</v>
      </c>
      <c r="AF332" s="1385" t="str">
        <f t="shared" ref="AF332:AF390" si="199">IF(Z332&lt;&gt;A332,"",IF(ISBLANK(I332)=FALSE,"STMR-RAC",IF(V332="Y","LOQ","MRL")))</f>
        <v/>
      </c>
      <c r="AG332" s="1385" t="str">
        <f t="shared" ref="AG332:AG367" si="200">IF(AND(AF332&lt;&gt;"",AH332&lt;&gt;""),"*","")</f>
        <v/>
      </c>
      <c r="AH332" s="1270" t="str">
        <f t="shared" ref="AH332:AH391" si="201">IF(OR(AND(AF332="LOQ",L332="N"),AF332=""),"",IF(AND(G332&gt;0,H332&gt;0),"CF*PeF",IF(G332&gt;0,"CF",IF(H332&gt;0,"PeF",""))))</f>
        <v/>
      </c>
      <c r="AI332" s="1386">
        <v>4</v>
      </c>
      <c r="AJ332" s="1387" t="str">
        <f t="shared" si="196"/>
        <v/>
      </c>
      <c r="AK332" s="1387" t="str">
        <f>IF(AI332=A332,IF(AND(L332="N",Table22[[#This Row],[LOQ_label]]="Y"),AJ332,$AJ332*$Y332),"")</f>
        <v/>
      </c>
      <c r="AL332" s="1388" t="str">
        <f t="shared" ref="AL332:AL391" si="202">IF(AI332=A332,$J332*$Y332,"")</f>
        <v/>
      </c>
      <c r="AM332" s="1393" t="str">
        <f>IF(Table22[[#This Row],[Highest residue * CF*PF]]&lt;&gt;"",Table22[[#This Row],[Highest residue * CF*PF]],Table22[[#This Row],[MRL*CF*PF or MRL (if LOQ and not authorised) (acute RA)]])</f>
        <v/>
      </c>
      <c r="AN332" s="1390" t="str">
        <f t="shared" ref="AN332:AN391" si="203">IF(AI332&lt;&gt;A332,"",IF(BA332=3,AF332,IF(ISBLANK($J332)=FALSE,"HR-RAC",IF(V332="Y","LOQ","MRL"))))</f>
        <v/>
      </c>
      <c r="AO332" s="1390" t="str">
        <f t="shared" ref="AO332:AO367" si="204">IF(AND(AN332&lt;&gt;"",AP332&lt;&gt;""),"*","")</f>
        <v/>
      </c>
      <c r="AP332" s="1404" t="str">
        <f t="shared" ref="AP332:AP391" si="205">IF(OR(AND(AN332="LOQ",L332="N"),AN332=""),"",IF(AND(G332&gt;0,H332&gt;0),"CF*PeF",IF(G332&gt;0,"CF",IF(H332&gt;0,"PeF",""))))</f>
        <v/>
      </c>
      <c r="AQ332" s="1388">
        <f t="shared" ref="AQ332:AQ391" si="206">IF(OR(L332="N",ISBLANK(L332)),0,IF(AI332=A332,IF(BA332=3,AE332,IF(ISBLANK(J332)=TRUE,AK332,AL332)),""))</f>
        <v>0</v>
      </c>
      <c r="AR332" s="1388" t="str">
        <f t="shared" ref="AR332:AR391" si="207">IF(OR(AI332&lt;&gt;A332,AQ332=0),"",IF(BA332=3,AF332,IF(ISBLANK($I332)=FALSE,"STMR-RAC",IF(V332="Y","LOQ","MRL"))))</f>
        <v/>
      </c>
      <c r="AS332" s="1388" t="str">
        <f t="shared" ref="AS332:AS391" si="208">IF(AND(AR332&lt;&gt;"",AT332&lt;&gt;""),"*","")</f>
        <v/>
      </c>
      <c r="AT332" s="1388" t="str">
        <f t="shared" ref="AT332:AT391" si="209">IF(OR(AND(AR332="LOQ",L332="N"),AR332=""),"",IF(AND(G332&gt;0,H332&gt;0),"CF*PeF",IF(G332&gt;0,"CF",IF(H332&gt;0,"PeF",""))))</f>
        <v/>
      </c>
      <c r="AU332" s="1393" t="str">
        <f t="shared" ref="AU332:AU367" si="210">AK332</f>
        <v/>
      </c>
      <c r="AV332" s="1388">
        <f t="shared" ref="AV332:AV390" si="211">IF(OR(L332="N",ISBLANK(L332)),0,AK332)</f>
        <v>0</v>
      </c>
      <c r="AW332" s="1390" t="str">
        <f t="shared" ref="AW332:AW391" si="212">IF(OR(AI332&lt;&gt;A332,AJ332=0),"",IF(V332="Y","LOQ","MRL"))</f>
        <v/>
      </c>
      <c r="AX332" s="1390" t="str">
        <f>IF(AND(AN332&lt;&gt;"",AY332&lt;&gt;""),"*","")</f>
        <v/>
      </c>
      <c r="AY332" s="1394" t="str">
        <f t="shared" ref="AY332:AY391" si="213">IF(OR(AND(AW332="LOQ",L332="N"),AW332=""),"",IF(AND(G332&gt;0,H332&gt;0),"CF*PeF",IF(G332&gt;0,"CF",IF(H332&gt;0,"PeF",""))))</f>
        <v/>
      </c>
      <c r="AZ332" s="1395">
        <f>IF(Table22[[#This Row],[LOQ_label]]="Y",Table22[[#This Row],[MRL individual commodity]],"")</f>
        <v>0</v>
      </c>
      <c r="BA332" s="1396" t="s">
        <v>1159</v>
      </c>
      <c r="BB332" s="1411" t="str">
        <f>IF(Table22[[#This Row],[LOQ2]]&lt;0,MIN(AZ332:AZ708),"")</f>
        <v/>
      </c>
      <c r="BC332" s="1299"/>
      <c r="BD332" s="1306" t="str">
        <f>IF(Table22[[#This Row],[Chronic RA label]]="","N",IF(Table22[[#This Row],[Chronic RA label]]="LOQ","N",IF(Table22[[#This Row],[Chronic RA label]]="MRL","N","Y")))</f>
        <v>N</v>
      </c>
      <c r="BE332" s="1306" t="str">
        <f>IF(Table22[[#This Row],[Acute RA label]]="","N",IF(Table22[[#This Row],[Acute RA label]]="LOQ","N",IF(Table22[[#This Row],[Acute RA label]]="MRL","N","Y")))</f>
        <v>N</v>
      </c>
      <c r="BF332" s="1306" t="str">
        <f>IF(OR(Table22[[#This Row],[include commodity in Summary_input_values_chronic]]="Y",Table22[[#This Row],[include commodity in Summary_input_values_acute]]="Y"),"Y","N")</f>
        <v>N</v>
      </c>
      <c r="BG332" s="1299"/>
      <c r="BH332" s="1324"/>
    </row>
    <row r="333" spans="1:60" ht="12.75" customHeight="1" outlineLevel="3" x14ac:dyDescent="0.2">
      <c r="A333" s="39">
        <v>4</v>
      </c>
      <c r="B333" s="327">
        <v>1012010</v>
      </c>
      <c r="C333" s="23" t="s">
        <v>863</v>
      </c>
      <c r="D333" s="867"/>
      <c r="E333" s="1219"/>
      <c r="F333" s="867"/>
      <c r="G333" s="869"/>
      <c r="H333" s="863"/>
      <c r="I333" s="868"/>
      <c r="J333" s="870"/>
      <c r="K333" s="865"/>
      <c r="L333" s="872"/>
      <c r="M333" s="872"/>
      <c r="N333" s="925" t="str">
        <f>IF(O333&lt;&gt;0,CONCATENATE(input_values!$AF333,input_values!$AG333,input_values!$AH333),"")</f>
        <v/>
      </c>
      <c r="O333" s="491">
        <f>IF($A$10="Refined calculation mode",Table22[[#This Row],[input for chronic (refined mode]],Table22[[#This Row],[input for chronic normal mode]])</f>
        <v>0</v>
      </c>
      <c r="P333" s="925" t="str">
        <f>IF(Q333&lt;&gt;0,CONCATENATE(input_values!$AN333,input_values!$AO333,input_values!$AP333),"")</f>
        <v/>
      </c>
      <c r="Q333" s="491">
        <f>IF($V$5=0,0,IF(OR($A$10="Refined calculation mode",Results!$B$62="Show results of IESTI calculation only for crops with GAPs under assessment"),Table22[[#This Row],[Input for IESTI (refined mode)]],Table22[[#This Row],[Input for IESTI normal mode]]))</f>
        <v>0</v>
      </c>
      <c r="R333" s="926" t="str">
        <f>IF(S333&lt;&gt;0,CONCATENATE(input_values!$AW333,input_values!$AX333,input_values!$AY333),"")</f>
        <v/>
      </c>
      <c r="S333" s="492">
        <f>IF($V$5=0,0,IF(OR($A$10="Refined calculation mode",Results!$B$62="Show results of IESTI calculation only for crops with GAPs under assessment"),Table22[[#This Row],[Input for IESTI new (refined mode)]],Table22[[#This Row],[Input for IESTI new normal mode]]))</f>
        <v>0</v>
      </c>
      <c r="T333" s="886"/>
      <c r="U333" s="1427">
        <f>Table22[[#This Row],[MRL/ proposed MRL /CXL
(mg/kg)]]</f>
        <v>0</v>
      </c>
      <c r="V333" s="1428" t="str">
        <f t="shared" ref="V333:V338" si="214">IF(ISBLANK(F333),"","Y")</f>
        <v/>
      </c>
      <c r="W333" s="1387">
        <f t="shared" ref="W333:W338" si="215">IF($G333&gt;0,$G333,1)</f>
        <v>1</v>
      </c>
      <c r="X333" s="1387">
        <f t="shared" ref="X333:X338" si="216">IF($H333&gt;0,$H333,1)</f>
        <v>1</v>
      </c>
      <c r="Y333" s="1387">
        <f t="shared" ref="Y333:Y338" si="217">W333*X333</f>
        <v>1</v>
      </c>
      <c r="Z333" s="1410">
        <v>4</v>
      </c>
      <c r="AA333" s="1430">
        <f>IF($L$7="fat soluble",U333*0.8+U334*0.2,U333)</f>
        <v>0</v>
      </c>
      <c r="AB333" s="1387">
        <f>IF(Z333=A333,IF(AND(L333="N",Table22[[#This Row],[LOQ_label]]="Y"),AA333,$AA333*$Y333),"")</f>
        <v>0</v>
      </c>
      <c r="AC333" s="1393">
        <f t="shared" si="197"/>
        <v>0</v>
      </c>
      <c r="AD333" s="1393">
        <f>IF(Table22[[#This Row],[Median residue*CF*PeF]]&lt;&gt;"",Table22[[#This Row],[Median residue*CF*PeF]],Table22[[#This Row],[MRL*CF*PeF (chronic)]])</f>
        <v>0</v>
      </c>
      <c r="AE333" s="1393">
        <f t="shared" si="198"/>
        <v>0</v>
      </c>
      <c r="AF333" s="1390" t="str">
        <f t="shared" si="199"/>
        <v>MRL</v>
      </c>
      <c r="AG333" s="1390" t="str">
        <f t="shared" si="200"/>
        <v/>
      </c>
      <c r="AH333" s="1394" t="str">
        <f t="shared" si="201"/>
        <v/>
      </c>
      <c r="AI333" s="1386">
        <v>4</v>
      </c>
      <c r="AJ333" s="1430">
        <f>IF($L$7="fat soluble",U333*0.8+U334*0.2,U333)</f>
        <v>0</v>
      </c>
      <c r="AK333" s="1387">
        <f>IF(AI333=A333,IF(AND(L333="N",Table22[[#This Row],[LOQ_label]]="Y"),AJ333,$AJ333*$Y333),"")</f>
        <v>0</v>
      </c>
      <c r="AL333" s="1388">
        <f t="shared" si="202"/>
        <v>0</v>
      </c>
      <c r="AM333" s="1393">
        <f>IF(Table22[[#This Row],[Highest residue * CF*PF]]&lt;&gt;"",Table22[[#This Row],[Highest residue * CF*PF]],Table22[[#This Row],[MRL*CF*PF or MRL (if LOQ and not authorised) (acute RA)]])</f>
        <v>0</v>
      </c>
      <c r="AN333" s="1421" t="str">
        <f t="shared" si="203"/>
        <v>MRL</v>
      </c>
      <c r="AO333" s="1390" t="str">
        <f t="shared" si="204"/>
        <v/>
      </c>
      <c r="AP333" s="1404" t="str">
        <f t="shared" si="205"/>
        <v/>
      </c>
      <c r="AQ333" s="1388">
        <f t="shared" si="206"/>
        <v>0</v>
      </c>
      <c r="AR333" s="1388" t="str">
        <f t="shared" si="207"/>
        <v/>
      </c>
      <c r="AS333" s="1388" t="str">
        <f t="shared" si="208"/>
        <v/>
      </c>
      <c r="AT333" s="1388" t="str">
        <f t="shared" si="209"/>
        <v/>
      </c>
      <c r="AU333" s="1393">
        <f t="shared" si="210"/>
        <v>0</v>
      </c>
      <c r="AV333" s="1431">
        <f t="shared" si="211"/>
        <v>0</v>
      </c>
      <c r="AW333" s="1421" t="str">
        <f t="shared" si="212"/>
        <v/>
      </c>
      <c r="AX333" s="1390" t="str">
        <f t="shared" ref="AX333:AX338" si="218">IF(AND(AW333&lt;&gt;"",AY333&lt;&gt;""),"*","")</f>
        <v/>
      </c>
      <c r="AY333" s="1394" t="str">
        <f t="shared" si="213"/>
        <v/>
      </c>
      <c r="AZ333" s="1395" t="str">
        <f>IF(Table22[[#This Row],[LOQ_label]]="Y",Table22[[#This Row],[MRL individual commodity]],"")</f>
        <v/>
      </c>
      <c r="BA333" s="1396" t="s">
        <v>1038</v>
      </c>
      <c r="BB333" s="1411" t="str">
        <f>IF(Table22[[#This Row],[LOQ2]]&lt;0,MIN(AZ333:AZ709),"")</f>
        <v/>
      </c>
      <c r="BC333" s="1299"/>
      <c r="BD333" s="1306" t="str">
        <f>IF(Table22[[#This Row],[Chronic RA label]]="","N",IF(Table22[[#This Row],[Chronic RA label]]="LOQ","N",IF(Table22[[#This Row],[Chronic RA label]]="MRL","N","Y")))</f>
        <v>N</v>
      </c>
      <c r="BE333" s="1306" t="str">
        <f>IF(Table22[[#This Row],[Acute RA label]]="","N",IF(Table22[[#This Row],[Acute RA label]]="LOQ","N",IF(Table22[[#This Row],[Acute RA label]]="MRL","N","Y")))</f>
        <v>N</v>
      </c>
      <c r="BF333" s="1306" t="str">
        <f>IF(OR(Table22[[#This Row],[include commodity in Summary_input_values_chronic]]="Y",Table22[[#This Row],[include commodity in Summary_input_values_acute]]="Y"),"Y","N")</f>
        <v>N</v>
      </c>
      <c r="BG333" s="1299"/>
      <c r="BH333" s="1324"/>
    </row>
    <row r="334" spans="1:60" ht="12.75" customHeight="1" outlineLevel="3" x14ac:dyDescent="0.2">
      <c r="A334" s="39">
        <v>4</v>
      </c>
      <c r="B334" s="327">
        <v>1012020</v>
      </c>
      <c r="C334" s="23" t="s">
        <v>789</v>
      </c>
      <c r="D334" s="867"/>
      <c r="E334" s="1219"/>
      <c r="F334" s="867"/>
      <c r="G334" s="869"/>
      <c r="H334" s="863"/>
      <c r="I334" s="868"/>
      <c r="J334" s="870"/>
      <c r="K334" s="865"/>
      <c r="L334" s="872"/>
      <c r="M334" s="872"/>
      <c r="N334" s="925" t="str">
        <f>IF(O334&lt;&gt;0,CONCATENATE(input_values!$AF334,input_values!$AG334,input_values!$AH334),"")</f>
        <v/>
      </c>
      <c r="O334" s="491">
        <f>IF($A$10="Refined calculation mode",Table22[[#This Row],[input for chronic (refined mode]],Table22[[#This Row],[input for chronic normal mode]])</f>
        <v>0</v>
      </c>
      <c r="P334" s="925" t="str">
        <f>IF(Q334&lt;&gt;0,CONCATENATE(input_values!$AN334,input_values!$AO334,input_values!$AP334),"")</f>
        <v/>
      </c>
      <c r="Q334" s="491">
        <f>IF($V$5=0,0,IF(OR($A$10="Refined calculation mode",Results!$B$62="Show results of IESTI calculation only for crops with GAPs under assessment"),Table22[[#This Row],[Input for IESTI (refined mode)]],Table22[[#This Row],[Input for IESTI normal mode]]))</f>
        <v>0</v>
      </c>
      <c r="R334" s="926" t="str">
        <f>IF(S334&lt;&gt;0,CONCATENATE(input_values!$AW334,input_values!$AX334,input_values!$AY334),"")</f>
        <v/>
      </c>
      <c r="S334" s="492">
        <f>IF($V$5=0,0,IF(OR($A$10="Refined calculation mode",Results!$B$62="Show results of IESTI calculation only for crops with GAPs under assessment"),Table22[[#This Row],[Input for IESTI new (refined mode)]],Table22[[#This Row],[Input for IESTI new normal mode]]))</f>
        <v>0</v>
      </c>
      <c r="T334" s="886"/>
      <c r="U334" s="1427">
        <f>Table22[[#This Row],[MRL/ proposed MRL /CXL
(mg/kg)]]</f>
        <v>0</v>
      </c>
      <c r="V334" s="1428" t="str">
        <f t="shared" si="214"/>
        <v/>
      </c>
      <c r="W334" s="1387">
        <f t="shared" si="215"/>
        <v>1</v>
      </c>
      <c r="X334" s="1387">
        <f t="shared" si="216"/>
        <v>1</v>
      </c>
      <c r="Y334" s="1387">
        <f t="shared" si="217"/>
        <v>1</v>
      </c>
      <c r="Z334" s="1410">
        <v>4</v>
      </c>
      <c r="AA334" s="1387">
        <f t="shared" ref="AA334:AA339" si="219">IF(Z334=A334,U334,"")</f>
        <v>0</v>
      </c>
      <c r="AB334" s="1387">
        <f>IF(Z334=A334,IF(AND(L334="N",Table22[[#This Row],[LOQ_label]]="Y"),AA334,$AA334*$Y334),"")</f>
        <v>0</v>
      </c>
      <c r="AC334" s="1393">
        <f t="shared" si="197"/>
        <v>0</v>
      </c>
      <c r="AD334" s="1393">
        <f>IF(Table22[[#This Row],[Median residue*CF*PeF]]&lt;&gt;"",Table22[[#This Row],[Median residue*CF*PeF]],Table22[[#This Row],[MRL*CF*PeF (chronic)]])</f>
        <v>0</v>
      </c>
      <c r="AE334" s="1393">
        <f t="shared" si="198"/>
        <v>0</v>
      </c>
      <c r="AF334" s="1390" t="str">
        <f t="shared" si="199"/>
        <v>MRL</v>
      </c>
      <c r="AG334" s="1390" t="str">
        <f t="shared" si="200"/>
        <v/>
      </c>
      <c r="AH334" s="1394" t="str">
        <f t="shared" si="201"/>
        <v/>
      </c>
      <c r="AI334" s="1386">
        <v>4</v>
      </c>
      <c r="AJ334" s="1387">
        <f t="shared" ref="AJ334:AJ339" si="220">IF(AI334=A334,U334,"")</f>
        <v>0</v>
      </c>
      <c r="AK334" s="1387">
        <f>IF(AI334=A334,IF(AND(L334="N",Table22[[#This Row],[LOQ_label]]="Y"),AJ334,$AJ334*$Y334),"")</f>
        <v>0</v>
      </c>
      <c r="AL334" s="1388">
        <f t="shared" si="202"/>
        <v>0</v>
      </c>
      <c r="AM334" s="1393">
        <f>IF(Table22[[#This Row],[Highest residue * CF*PF]]&lt;&gt;"",Table22[[#This Row],[Highest residue * CF*PF]],Table22[[#This Row],[MRL*CF*PF or MRL (if LOQ and not authorised) (acute RA)]])</f>
        <v>0</v>
      </c>
      <c r="AN334" s="1390" t="str">
        <f t="shared" si="203"/>
        <v>MRL</v>
      </c>
      <c r="AO334" s="1390" t="str">
        <f t="shared" si="204"/>
        <v/>
      </c>
      <c r="AP334" s="1404" t="str">
        <f t="shared" si="205"/>
        <v/>
      </c>
      <c r="AQ334" s="1388">
        <f t="shared" si="206"/>
        <v>0</v>
      </c>
      <c r="AR334" s="1388" t="str">
        <f t="shared" si="207"/>
        <v/>
      </c>
      <c r="AS334" s="1388" t="str">
        <f t="shared" si="208"/>
        <v/>
      </c>
      <c r="AT334" s="1388" t="str">
        <f t="shared" si="209"/>
        <v/>
      </c>
      <c r="AU334" s="1393">
        <f t="shared" si="210"/>
        <v>0</v>
      </c>
      <c r="AV334" s="1388">
        <f t="shared" si="211"/>
        <v>0</v>
      </c>
      <c r="AW334" s="1390" t="str">
        <f t="shared" si="212"/>
        <v/>
      </c>
      <c r="AX334" s="1390" t="str">
        <f t="shared" si="218"/>
        <v/>
      </c>
      <c r="AY334" s="1394" t="str">
        <f t="shared" si="213"/>
        <v/>
      </c>
      <c r="AZ334" s="1395" t="str">
        <f>IF(Table22[[#This Row],[LOQ_label]]="Y",Table22[[#This Row],[MRL individual commodity]],"")</f>
        <v/>
      </c>
      <c r="BA334" s="1396" t="s">
        <v>1038</v>
      </c>
      <c r="BB334" s="1411" t="str">
        <f>IF(Table22[[#This Row],[LOQ2]]&lt;0,MIN(AZ334:AZ710),"")</f>
        <v/>
      </c>
      <c r="BC334" s="1299"/>
      <c r="BD334" s="1306" t="str">
        <f>IF(Table22[[#This Row],[Chronic RA label]]="","N",IF(Table22[[#This Row],[Chronic RA label]]="LOQ","N",IF(Table22[[#This Row],[Chronic RA label]]="MRL","N","Y")))</f>
        <v>N</v>
      </c>
      <c r="BE334" s="1306" t="str">
        <f>IF(Table22[[#This Row],[Acute RA label]]="","N",IF(Table22[[#This Row],[Acute RA label]]="LOQ","N",IF(Table22[[#This Row],[Acute RA label]]="MRL","N","Y")))</f>
        <v>N</v>
      </c>
      <c r="BF334" s="1306" t="str">
        <f>IF(OR(Table22[[#This Row],[include commodity in Summary_input_values_chronic]]="Y",Table22[[#This Row],[include commodity in Summary_input_values_acute]]="Y"),"Y","N")</f>
        <v>N</v>
      </c>
      <c r="BG334" s="1299"/>
      <c r="BH334" s="1324"/>
    </row>
    <row r="335" spans="1:60" ht="12.75" customHeight="1" outlineLevel="3" x14ac:dyDescent="0.2">
      <c r="A335" s="39">
        <v>4</v>
      </c>
      <c r="B335" s="327">
        <v>1012030</v>
      </c>
      <c r="C335" s="23" t="s">
        <v>194</v>
      </c>
      <c r="D335" s="867"/>
      <c r="E335" s="1219"/>
      <c r="F335" s="867"/>
      <c r="G335" s="869"/>
      <c r="H335" s="863"/>
      <c r="I335" s="868"/>
      <c r="J335" s="870"/>
      <c r="K335" s="865"/>
      <c r="L335" s="872"/>
      <c r="M335" s="872"/>
      <c r="N335" s="925" t="str">
        <f>IF(O335&lt;&gt;0,CONCATENATE(input_values!$AF335,input_values!$AG335,input_values!$AH335),"")</f>
        <v/>
      </c>
      <c r="O335" s="491">
        <f>IF($A$10="Refined calculation mode",Table22[[#This Row],[input for chronic (refined mode]],Table22[[#This Row],[input for chronic normal mode]])</f>
        <v>0</v>
      </c>
      <c r="P335" s="925" t="str">
        <f>IF(Q335&lt;&gt;0,CONCATENATE(input_values!$AN335,input_values!$AO335,input_values!$AP335),"")</f>
        <v/>
      </c>
      <c r="Q335" s="491">
        <f>IF($V$5=0,0,IF(OR($A$10="Refined calculation mode",Results!$B$62="Show results of IESTI calculation only for crops with GAPs under assessment"),Table22[[#This Row],[Input for IESTI (refined mode)]],Table22[[#This Row],[Input for IESTI normal mode]]))</f>
        <v>0</v>
      </c>
      <c r="R335" s="926" t="str">
        <f>IF(S335&lt;&gt;0,CONCATENATE(input_values!$AW335,input_values!$AX335,input_values!$AY335),"")</f>
        <v/>
      </c>
      <c r="S335" s="492">
        <f>IF($V$5=0,0,IF(OR($A$10="Refined calculation mode",Results!$B$62="Show results of IESTI calculation only for crops with GAPs under assessment"),Table22[[#This Row],[Input for IESTI new (refined mode)]],Table22[[#This Row],[Input for IESTI new normal mode]]))</f>
        <v>0</v>
      </c>
      <c r="T335" s="886"/>
      <c r="U335" s="1427">
        <f>Table22[[#This Row],[MRL/ proposed MRL /CXL
(mg/kg)]]</f>
        <v>0</v>
      </c>
      <c r="V335" s="1428" t="str">
        <f t="shared" si="214"/>
        <v/>
      </c>
      <c r="W335" s="1387">
        <f t="shared" si="215"/>
        <v>1</v>
      </c>
      <c r="X335" s="1387">
        <f t="shared" si="216"/>
        <v>1</v>
      </c>
      <c r="Y335" s="1387">
        <f t="shared" si="217"/>
        <v>1</v>
      </c>
      <c r="Z335" s="1410">
        <v>4</v>
      </c>
      <c r="AA335" s="1387">
        <f t="shared" si="219"/>
        <v>0</v>
      </c>
      <c r="AB335" s="1387">
        <f>IF(Z335=A335,IF(AND(L335="N",Table22[[#This Row],[LOQ_label]]="Y"),AA335,$AA335*$Y335),"")</f>
        <v>0</v>
      </c>
      <c r="AC335" s="1393">
        <f t="shared" si="197"/>
        <v>0</v>
      </c>
      <c r="AD335" s="1393">
        <f>IF(Table22[[#This Row],[Median residue*CF*PeF]]&lt;&gt;"",Table22[[#This Row],[Median residue*CF*PeF]],Table22[[#This Row],[MRL*CF*PeF (chronic)]])</f>
        <v>0</v>
      </c>
      <c r="AE335" s="1393">
        <f t="shared" si="198"/>
        <v>0</v>
      </c>
      <c r="AF335" s="1390" t="str">
        <f t="shared" si="199"/>
        <v>MRL</v>
      </c>
      <c r="AG335" s="1390" t="str">
        <f t="shared" si="200"/>
        <v/>
      </c>
      <c r="AH335" s="1394" t="str">
        <f t="shared" si="201"/>
        <v/>
      </c>
      <c r="AI335" s="1386">
        <v>4</v>
      </c>
      <c r="AJ335" s="1387">
        <f t="shared" si="220"/>
        <v>0</v>
      </c>
      <c r="AK335" s="1387">
        <f>IF(AI335=A335,IF(AND(L335="N",Table22[[#This Row],[LOQ_label]]="Y"),AJ335,$AJ335*$Y335),"")</f>
        <v>0</v>
      </c>
      <c r="AL335" s="1388">
        <f t="shared" si="202"/>
        <v>0</v>
      </c>
      <c r="AM335" s="1393">
        <f>IF(Table22[[#This Row],[Highest residue * CF*PF]]&lt;&gt;"",Table22[[#This Row],[Highest residue * CF*PF]],Table22[[#This Row],[MRL*CF*PF or MRL (if LOQ and not authorised) (acute RA)]])</f>
        <v>0</v>
      </c>
      <c r="AN335" s="1390" t="str">
        <f t="shared" si="203"/>
        <v>MRL</v>
      </c>
      <c r="AO335" s="1390" t="str">
        <f t="shared" si="204"/>
        <v/>
      </c>
      <c r="AP335" s="1404" t="str">
        <f t="shared" si="205"/>
        <v/>
      </c>
      <c r="AQ335" s="1388">
        <f t="shared" si="206"/>
        <v>0</v>
      </c>
      <c r="AR335" s="1388" t="str">
        <f t="shared" si="207"/>
        <v/>
      </c>
      <c r="AS335" s="1388" t="str">
        <f t="shared" si="208"/>
        <v/>
      </c>
      <c r="AT335" s="1388" t="str">
        <f t="shared" si="209"/>
        <v/>
      </c>
      <c r="AU335" s="1393">
        <f t="shared" si="210"/>
        <v>0</v>
      </c>
      <c r="AV335" s="1388">
        <f t="shared" si="211"/>
        <v>0</v>
      </c>
      <c r="AW335" s="1390" t="str">
        <f t="shared" si="212"/>
        <v/>
      </c>
      <c r="AX335" s="1390" t="str">
        <f t="shared" si="218"/>
        <v/>
      </c>
      <c r="AY335" s="1394" t="str">
        <f t="shared" si="213"/>
        <v/>
      </c>
      <c r="AZ335" s="1395" t="str">
        <f>IF(Table22[[#This Row],[LOQ_label]]="Y",Table22[[#This Row],[MRL individual commodity]],"")</f>
        <v/>
      </c>
      <c r="BA335" s="1396" t="s">
        <v>1038</v>
      </c>
      <c r="BB335" s="1411" t="str">
        <f>IF(Table22[[#This Row],[LOQ2]]&lt;0,MIN(AZ335:AZ711),"")</f>
        <v/>
      </c>
      <c r="BC335" s="1299"/>
      <c r="BD335" s="1306" t="str">
        <f>IF(Table22[[#This Row],[Chronic RA label]]="","N",IF(Table22[[#This Row],[Chronic RA label]]="LOQ","N",IF(Table22[[#This Row],[Chronic RA label]]="MRL","N","Y")))</f>
        <v>N</v>
      </c>
      <c r="BE335" s="1306" t="str">
        <f>IF(Table22[[#This Row],[Acute RA label]]="","N",IF(Table22[[#This Row],[Acute RA label]]="LOQ","N",IF(Table22[[#This Row],[Acute RA label]]="MRL","N","Y")))</f>
        <v>N</v>
      </c>
      <c r="BF335" s="1306" t="str">
        <f>IF(OR(Table22[[#This Row],[include commodity in Summary_input_values_chronic]]="Y",Table22[[#This Row],[include commodity in Summary_input_values_acute]]="Y"),"Y","N")</f>
        <v>N</v>
      </c>
      <c r="BG335" s="1299"/>
      <c r="BH335" s="1324"/>
    </row>
    <row r="336" spans="1:60" ht="12.75" customHeight="1" outlineLevel="3" x14ac:dyDescent="0.2">
      <c r="A336" s="39">
        <v>4</v>
      </c>
      <c r="B336" s="327">
        <v>1012040</v>
      </c>
      <c r="C336" s="23" t="s">
        <v>195</v>
      </c>
      <c r="D336" s="867"/>
      <c r="E336" s="1219"/>
      <c r="F336" s="867"/>
      <c r="G336" s="869"/>
      <c r="H336" s="863"/>
      <c r="I336" s="868"/>
      <c r="J336" s="870"/>
      <c r="K336" s="865"/>
      <c r="L336" s="872"/>
      <c r="M336" s="872"/>
      <c r="N336" s="925" t="str">
        <f>IF(O336&lt;&gt;0,CONCATENATE(input_values!$AF336,input_values!$AG336,input_values!$AH336),"")</f>
        <v/>
      </c>
      <c r="O336" s="491">
        <f>IF($A$10="Refined calculation mode",Table22[[#This Row],[input for chronic (refined mode]],Table22[[#This Row],[input for chronic normal mode]])</f>
        <v>0</v>
      </c>
      <c r="P336" s="925" t="str">
        <f>IF(Q336&lt;&gt;0,CONCATENATE(input_values!$AN336,input_values!$AO336,input_values!$AP336),"")</f>
        <v/>
      </c>
      <c r="Q336" s="491">
        <f>IF($V$5=0,0,IF(OR($A$10="Refined calculation mode",Results!$B$62="Show results of IESTI calculation only for crops with GAPs under assessment"),Table22[[#This Row],[Input for IESTI (refined mode)]],Table22[[#This Row],[Input for IESTI normal mode]]))</f>
        <v>0</v>
      </c>
      <c r="R336" s="926" t="str">
        <f>IF(S336&lt;&gt;0,CONCATENATE(input_values!$AW336,input_values!$AX336,input_values!$AY336),"")</f>
        <v/>
      </c>
      <c r="S336" s="492">
        <f>IF($V$5=0,0,IF(OR($A$10="Refined calculation mode",Results!$B$62="Show results of IESTI calculation only for crops with GAPs under assessment"),Table22[[#This Row],[Input for IESTI new (refined mode)]],Table22[[#This Row],[Input for IESTI new normal mode]]))</f>
        <v>0</v>
      </c>
      <c r="T336" s="886"/>
      <c r="U336" s="1427">
        <f>Table22[[#This Row],[MRL/ proposed MRL /CXL
(mg/kg)]]</f>
        <v>0</v>
      </c>
      <c r="V336" s="1428" t="str">
        <f t="shared" si="214"/>
        <v/>
      </c>
      <c r="W336" s="1387">
        <f t="shared" si="215"/>
        <v>1</v>
      </c>
      <c r="X336" s="1387">
        <f t="shared" si="216"/>
        <v>1</v>
      </c>
      <c r="Y336" s="1387">
        <f t="shared" si="217"/>
        <v>1</v>
      </c>
      <c r="Z336" s="1410">
        <v>4</v>
      </c>
      <c r="AA336" s="1387">
        <f t="shared" si="219"/>
        <v>0</v>
      </c>
      <c r="AB336" s="1387">
        <f>IF(Z336=A336,IF(AND(L336="N",Table22[[#This Row],[LOQ_label]]="Y"),AA336,$AA336*$Y336),"")</f>
        <v>0</v>
      </c>
      <c r="AC336" s="1393">
        <f t="shared" si="197"/>
        <v>0</v>
      </c>
      <c r="AD336" s="1393">
        <f>IF(Table22[[#This Row],[Median residue*CF*PeF]]&lt;&gt;"",Table22[[#This Row],[Median residue*CF*PeF]],Table22[[#This Row],[MRL*CF*PeF (chronic)]])</f>
        <v>0</v>
      </c>
      <c r="AE336" s="1393">
        <f t="shared" si="198"/>
        <v>0</v>
      </c>
      <c r="AF336" s="1390" t="str">
        <f t="shared" si="199"/>
        <v>MRL</v>
      </c>
      <c r="AG336" s="1390" t="str">
        <f t="shared" si="200"/>
        <v/>
      </c>
      <c r="AH336" s="1394" t="str">
        <f t="shared" si="201"/>
        <v/>
      </c>
      <c r="AI336" s="1386">
        <v>4</v>
      </c>
      <c r="AJ336" s="1387">
        <f t="shared" si="220"/>
        <v>0</v>
      </c>
      <c r="AK336" s="1387">
        <f>IF(AI336=A336,IF(AND(L336="N",Table22[[#This Row],[LOQ_label]]="Y"),AJ336,$AJ336*$Y336),"")</f>
        <v>0</v>
      </c>
      <c r="AL336" s="1388">
        <f t="shared" si="202"/>
        <v>0</v>
      </c>
      <c r="AM336" s="1393">
        <f>IF(Table22[[#This Row],[Highest residue * CF*PF]]&lt;&gt;"",Table22[[#This Row],[Highest residue * CF*PF]],Table22[[#This Row],[MRL*CF*PF or MRL (if LOQ and not authorised) (acute RA)]])</f>
        <v>0</v>
      </c>
      <c r="AN336" s="1390" t="str">
        <f t="shared" si="203"/>
        <v>MRL</v>
      </c>
      <c r="AO336" s="1390" t="str">
        <f t="shared" si="204"/>
        <v/>
      </c>
      <c r="AP336" s="1404" t="str">
        <f t="shared" si="205"/>
        <v/>
      </c>
      <c r="AQ336" s="1388">
        <f t="shared" si="206"/>
        <v>0</v>
      </c>
      <c r="AR336" s="1388" t="str">
        <f t="shared" si="207"/>
        <v/>
      </c>
      <c r="AS336" s="1388" t="str">
        <f t="shared" si="208"/>
        <v/>
      </c>
      <c r="AT336" s="1388" t="str">
        <f t="shared" si="209"/>
        <v/>
      </c>
      <c r="AU336" s="1393">
        <f t="shared" si="210"/>
        <v>0</v>
      </c>
      <c r="AV336" s="1388">
        <f t="shared" si="211"/>
        <v>0</v>
      </c>
      <c r="AW336" s="1390" t="str">
        <f t="shared" si="212"/>
        <v/>
      </c>
      <c r="AX336" s="1390" t="str">
        <f t="shared" si="218"/>
        <v/>
      </c>
      <c r="AY336" s="1394" t="str">
        <f t="shared" si="213"/>
        <v/>
      </c>
      <c r="AZ336" s="1395" t="str">
        <f>IF(Table22[[#This Row],[LOQ_label]]="Y",Table22[[#This Row],[MRL individual commodity]],"")</f>
        <v/>
      </c>
      <c r="BA336" s="1396" t="s">
        <v>1038</v>
      </c>
      <c r="BB336" s="1411" t="str">
        <f>IF(Table22[[#This Row],[LOQ2]]&lt;0,MIN(AZ336:AZ712),"")</f>
        <v/>
      </c>
      <c r="BC336" s="1299"/>
      <c r="BD336" s="1306" t="str">
        <f>IF(Table22[[#This Row],[Chronic RA label]]="","N",IF(Table22[[#This Row],[Chronic RA label]]="LOQ","N",IF(Table22[[#This Row],[Chronic RA label]]="MRL","N","Y")))</f>
        <v>N</v>
      </c>
      <c r="BE336" s="1306" t="str">
        <f>IF(Table22[[#This Row],[Acute RA label]]="","N",IF(Table22[[#This Row],[Acute RA label]]="LOQ","N",IF(Table22[[#This Row],[Acute RA label]]="MRL","N","Y")))</f>
        <v>N</v>
      </c>
      <c r="BF336" s="1306" t="str">
        <f>IF(OR(Table22[[#This Row],[include commodity in Summary_input_values_chronic]]="Y",Table22[[#This Row],[include commodity in Summary_input_values_acute]]="Y"),"Y","N")</f>
        <v>N</v>
      </c>
      <c r="BG336" s="1299"/>
      <c r="BH336" s="1324"/>
    </row>
    <row r="337" spans="1:60" ht="12.75" customHeight="1" outlineLevel="3" x14ac:dyDescent="0.2">
      <c r="A337" s="39">
        <v>4</v>
      </c>
      <c r="B337" s="327">
        <v>1012050</v>
      </c>
      <c r="C337" s="23" t="s">
        <v>790</v>
      </c>
      <c r="D337" s="867"/>
      <c r="E337" s="1219"/>
      <c r="F337" s="867"/>
      <c r="G337" s="869"/>
      <c r="H337" s="863"/>
      <c r="I337" s="868"/>
      <c r="J337" s="870"/>
      <c r="K337" s="865"/>
      <c r="L337" s="872"/>
      <c r="M337" s="872"/>
      <c r="N337" s="925" t="str">
        <f>IF(O337&lt;&gt;0,CONCATENATE(input_values!$AF337,input_values!$AG337,input_values!$AH337),"")</f>
        <v/>
      </c>
      <c r="O337" s="491">
        <f>IF($A$10="Refined calculation mode",Table22[[#This Row],[input for chronic (refined mode]],Table22[[#This Row],[input for chronic normal mode]])</f>
        <v>0</v>
      </c>
      <c r="P337" s="925" t="str">
        <f>IF(Q337&lt;&gt;0,CONCATENATE(input_values!$AN337,input_values!$AO337,input_values!$AP337),"")</f>
        <v/>
      </c>
      <c r="Q337" s="491">
        <f>IF($V$5=0,0,IF(OR($A$10="Refined calculation mode",Results!$B$62="Show results of IESTI calculation only for crops with GAPs under assessment"),Table22[[#This Row],[Input for IESTI (refined mode)]],Table22[[#This Row],[Input for IESTI normal mode]]))</f>
        <v>0</v>
      </c>
      <c r="R337" s="926" t="str">
        <f>IF(S337&lt;&gt;0,CONCATENATE(input_values!$AW337,input_values!$AX337,input_values!$AY337),"")</f>
        <v/>
      </c>
      <c r="S337" s="492">
        <f>IF($V$5=0,0,IF(OR($A$10="Refined calculation mode",Results!$B$62="Show results of IESTI calculation only for crops with GAPs under assessment"),Table22[[#This Row],[Input for IESTI new (refined mode)]],Table22[[#This Row],[Input for IESTI new normal mode]]))</f>
        <v>0</v>
      </c>
      <c r="T337" s="886"/>
      <c r="U337" s="1427">
        <f>Table22[[#This Row],[MRL/ proposed MRL /CXL
(mg/kg)]]</f>
        <v>0</v>
      </c>
      <c r="V337" s="1428" t="str">
        <f t="shared" si="214"/>
        <v/>
      </c>
      <c r="W337" s="1387">
        <f t="shared" si="215"/>
        <v>1</v>
      </c>
      <c r="X337" s="1387">
        <f t="shared" si="216"/>
        <v>1</v>
      </c>
      <c r="Y337" s="1387">
        <f t="shared" si="217"/>
        <v>1</v>
      </c>
      <c r="Z337" s="1410">
        <v>4</v>
      </c>
      <c r="AA337" s="1387">
        <f t="shared" si="219"/>
        <v>0</v>
      </c>
      <c r="AB337" s="1387">
        <f>IF(Z337=A337,IF(AND(L337="N",Table22[[#This Row],[LOQ_label]]="Y"),AA337,$AA337*$Y337),"")</f>
        <v>0</v>
      </c>
      <c r="AC337" s="1393">
        <f t="shared" si="197"/>
        <v>0</v>
      </c>
      <c r="AD337" s="1393">
        <f>IF(Table22[[#This Row],[Median residue*CF*PeF]]&lt;&gt;"",Table22[[#This Row],[Median residue*CF*PeF]],Table22[[#This Row],[MRL*CF*PeF (chronic)]])</f>
        <v>0</v>
      </c>
      <c r="AE337" s="1393">
        <f t="shared" si="198"/>
        <v>0</v>
      </c>
      <c r="AF337" s="1390" t="str">
        <f t="shared" si="199"/>
        <v>MRL</v>
      </c>
      <c r="AG337" s="1390" t="str">
        <f t="shared" si="200"/>
        <v/>
      </c>
      <c r="AH337" s="1394" t="str">
        <f t="shared" si="201"/>
        <v/>
      </c>
      <c r="AI337" s="1386">
        <v>4</v>
      </c>
      <c r="AJ337" s="1387">
        <f t="shared" si="220"/>
        <v>0</v>
      </c>
      <c r="AK337" s="1387">
        <f>IF(AI337=A337,IF(AND(L337="N",Table22[[#This Row],[LOQ_label]]="Y"),AJ337,$AJ337*$Y337),"")</f>
        <v>0</v>
      </c>
      <c r="AL337" s="1388">
        <f t="shared" si="202"/>
        <v>0</v>
      </c>
      <c r="AM337" s="1393">
        <f>IF(Table22[[#This Row],[Highest residue * CF*PF]]&lt;&gt;"",Table22[[#This Row],[Highest residue * CF*PF]],Table22[[#This Row],[MRL*CF*PF or MRL (if LOQ and not authorised) (acute RA)]])</f>
        <v>0</v>
      </c>
      <c r="AN337" s="1390" t="str">
        <f t="shared" si="203"/>
        <v>MRL</v>
      </c>
      <c r="AO337" s="1390" t="str">
        <f t="shared" si="204"/>
        <v/>
      </c>
      <c r="AP337" s="1404" t="str">
        <f t="shared" si="205"/>
        <v/>
      </c>
      <c r="AQ337" s="1388">
        <f t="shared" si="206"/>
        <v>0</v>
      </c>
      <c r="AR337" s="1388" t="str">
        <f t="shared" si="207"/>
        <v/>
      </c>
      <c r="AS337" s="1388" t="str">
        <f t="shared" si="208"/>
        <v/>
      </c>
      <c r="AT337" s="1388" t="str">
        <f t="shared" si="209"/>
        <v/>
      </c>
      <c r="AU337" s="1393">
        <f t="shared" si="210"/>
        <v>0</v>
      </c>
      <c r="AV337" s="1388">
        <f t="shared" si="211"/>
        <v>0</v>
      </c>
      <c r="AW337" s="1390" t="str">
        <f t="shared" si="212"/>
        <v/>
      </c>
      <c r="AX337" s="1390" t="str">
        <f t="shared" si="218"/>
        <v/>
      </c>
      <c r="AY337" s="1394" t="str">
        <f t="shared" si="213"/>
        <v/>
      </c>
      <c r="AZ337" s="1395" t="str">
        <f>IF(Table22[[#This Row],[LOQ_label]]="Y",Table22[[#This Row],[MRL individual commodity]],"")</f>
        <v/>
      </c>
      <c r="BA337" s="1396" t="s">
        <v>1038</v>
      </c>
      <c r="BB337" s="1411" t="str">
        <f>IF(Table22[[#This Row],[LOQ2]]&lt;0,MIN(AZ337:AZ713),"")</f>
        <v/>
      </c>
      <c r="BC337" s="1299"/>
      <c r="BD337" s="1306" t="str">
        <f>IF(Table22[[#This Row],[Chronic RA label]]="","N",IF(Table22[[#This Row],[Chronic RA label]]="LOQ","N",IF(Table22[[#This Row],[Chronic RA label]]="MRL","N","Y")))</f>
        <v>N</v>
      </c>
      <c r="BE337" s="1306" t="str">
        <f>IF(Table22[[#This Row],[Acute RA label]]="","N",IF(Table22[[#This Row],[Acute RA label]]="LOQ","N",IF(Table22[[#This Row],[Acute RA label]]="MRL","N","Y")))</f>
        <v>N</v>
      </c>
      <c r="BF337" s="1306" t="str">
        <f>IF(OR(Table22[[#This Row],[include commodity in Summary_input_values_chronic]]="Y",Table22[[#This Row],[include commodity in Summary_input_values_acute]]="Y"),"Y","N")</f>
        <v>N</v>
      </c>
      <c r="BG337" s="1299"/>
      <c r="BH337" s="1324"/>
    </row>
    <row r="338" spans="1:60" ht="12.75" customHeight="1" outlineLevel="3" x14ac:dyDescent="0.2">
      <c r="A338" s="39">
        <v>4</v>
      </c>
      <c r="B338" s="327">
        <v>1012990</v>
      </c>
      <c r="C338" s="23" t="s">
        <v>635</v>
      </c>
      <c r="D338" s="867"/>
      <c r="E338" s="1219"/>
      <c r="F338" s="867"/>
      <c r="G338" s="868"/>
      <c r="H338" s="863"/>
      <c r="I338" s="868"/>
      <c r="J338" s="870"/>
      <c r="K338" s="865"/>
      <c r="L338" s="872"/>
      <c r="M338" s="872"/>
      <c r="N338" s="925" t="str">
        <f>IF(O338&lt;&gt;0,CONCATENATE(input_values!$AF338,input_values!$AG338,input_values!$AH338),"")</f>
        <v/>
      </c>
      <c r="O338" s="491">
        <f>IF($A$10="Refined calculation mode",Table22[[#This Row],[input for chronic (refined mode]],Table22[[#This Row],[input for chronic normal mode]])</f>
        <v>0</v>
      </c>
      <c r="P338" s="925" t="str">
        <f>IF(Q338&lt;&gt;0,CONCATENATE(input_values!$AN338,input_values!$AO338,input_values!$AP338),"")</f>
        <v/>
      </c>
      <c r="Q338" s="491">
        <f>IF($V$5=0,0,IF(OR($A$10="Refined calculation mode",Results!$B$62="Show results of IESTI calculation only for crops with GAPs under assessment"),Table22[[#This Row],[Input for IESTI (refined mode)]],Table22[[#This Row],[Input for IESTI normal mode]]))</f>
        <v>0</v>
      </c>
      <c r="R338" s="926" t="str">
        <f>IF(S338&lt;&gt;0,CONCATENATE(input_values!$AW338,input_values!$AX338,input_values!$AY338),"")</f>
        <v/>
      </c>
      <c r="S338" s="492">
        <f>IF($V$5=0,0,IF(OR($A$10="Refined calculation mode",Results!$B$62="Show results of IESTI calculation only for crops with GAPs under assessment"),Table22[[#This Row],[Input for IESTI new (refined mode)]],Table22[[#This Row],[Input for IESTI new normal mode]]))</f>
        <v>0</v>
      </c>
      <c r="T338" s="886"/>
      <c r="U338" s="1427">
        <f>Table22[[#This Row],[MRL/ proposed MRL /CXL
(mg/kg)]]</f>
        <v>0</v>
      </c>
      <c r="V338" s="1428" t="str">
        <f t="shared" si="214"/>
        <v/>
      </c>
      <c r="W338" s="1387">
        <f t="shared" si="215"/>
        <v>1</v>
      </c>
      <c r="X338" s="1387">
        <f t="shared" si="216"/>
        <v>1</v>
      </c>
      <c r="Y338" s="1387">
        <f t="shared" si="217"/>
        <v>1</v>
      </c>
      <c r="Z338" s="1410">
        <v>4</v>
      </c>
      <c r="AA338" s="1387">
        <f t="shared" si="219"/>
        <v>0</v>
      </c>
      <c r="AB338" s="1387">
        <f>IF(Z338=A338,IF(AND(L338="N",Table22[[#This Row],[LOQ_label]]="Y"),AA338,$AA338*$Y338),"")</f>
        <v>0</v>
      </c>
      <c r="AC338" s="1393">
        <f t="shared" si="197"/>
        <v>0</v>
      </c>
      <c r="AD338" s="1393">
        <f>IF(Table22[[#This Row],[Median residue*CF*PeF]]&lt;&gt;"",Table22[[#This Row],[Median residue*CF*PeF]],Table22[[#This Row],[MRL*CF*PeF (chronic)]])</f>
        <v>0</v>
      </c>
      <c r="AE338" s="1393">
        <f t="shared" si="198"/>
        <v>0</v>
      </c>
      <c r="AF338" s="1390" t="str">
        <f t="shared" si="199"/>
        <v>MRL</v>
      </c>
      <c r="AG338" s="1390" t="str">
        <f t="shared" si="200"/>
        <v/>
      </c>
      <c r="AH338" s="1394" t="str">
        <f t="shared" si="201"/>
        <v/>
      </c>
      <c r="AI338" s="1386">
        <v>4</v>
      </c>
      <c r="AJ338" s="1387">
        <f>IF(AI338=A338,U338,"")</f>
        <v>0</v>
      </c>
      <c r="AK338" s="1387">
        <f>IF(AI338=A338,IF(AND(L338="N",Table22[[#This Row],[LOQ_label]]="Y"),AJ338,$AJ338*$Y338),"")</f>
        <v>0</v>
      </c>
      <c r="AL338" s="1388">
        <f>IF(AI338=A338,$J338*$Y338,"")</f>
        <v>0</v>
      </c>
      <c r="AM338" s="1393">
        <f>IF(Table22[[#This Row],[Highest residue * CF*PF]]&lt;&gt;"",Table22[[#This Row],[Highest residue * CF*PF]],Table22[[#This Row],[MRL*CF*PF or MRL (if LOQ and not authorised) (acute RA)]])</f>
        <v>0</v>
      </c>
      <c r="AN338" s="1390" t="str">
        <f t="shared" si="203"/>
        <v>MRL</v>
      </c>
      <c r="AO338" s="1390" t="str">
        <f>IF(AND(AN338&lt;&gt;"",AP338&lt;&gt;""),"*","")</f>
        <v/>
      </c>
      <c r="AP338" s="1404" t="str">
        <f>IF(OR(AND(AN338="LOQ",L338="N"),AN338=""),"",IF(AND(G338&gt;0,H338&gt;0),"CF*PeF",IF(G338&gt;0,"CF",IF(H338&gt;0,"PeF",""))))</f>
        <v/>
      </c>
      <c r="AQ338" s="1388">
        <f t="shared" si="206"/>
        <v>0</v>
      </c>
      <c r="AR338" s="1388" t="str">
        <f t="shared" si="207"/>
        <v/>
      </c>
      <c r="AS338" s="1388" t="str">
        <f>IF(AND(AR338&lt;&gt;"",AT338&lt;&gt;""),"*","")</f>
        <v/>
      </c>
      <c r="AT338" s="1388" t="str">
        <f>IF(OR(AND(AR338="LOQ",L338="N"),AR338=""),"",IF(AND(G338&gt;0,H338&gt;0),"CF*PeF",IF(G338&gt;0,"CF",IF(H338&gt;0,"PeF",""))))</f>
        <v/>
      </c>
      <c r="AU338" s="1393">
        <f>AK338</f>
        <v>0</v>
      </c>
      <c r="AV338" s="1388">
        <f>IF(OR(L338="N",ISBLANK(L338)),0,AK338)</f>
        <v>0</v>
      </c>
      <c r="AW338" s="1390" t="str">
        <f>IF(OR(AI338&lt;&gt;A338,AJ338=0),"",IF(V338="Y","LOQ","MRL"))</f>
        <v/>
      </c>
      <c r="AX338" s="1390" t="str">
        <f t="shared" si="218"/>
        <v/>
      </c>
      <c r="AY338" s="1394" t="str">
        <f>IF(OR(AND(AW338="LOQ",L338="N"),AW338=""),"",IF(AND(G338&gt;0,H338&gt;0),"CF*PeF",IF(G338&gt;0,"CF",IF(H338&gt;0,"PeF",""))))</f>
        <v/>
      </c>
      <c r="AZ338" s="1395" t="str">
        <f>IF(Table22[[#This Row],[LOQ_label]]="Y",Table22[[#This Row],[MRL individual commodity]],"")</f>
        <v/>
      </c>
      <c r="BA338" s="1396" t="s">
        <v>1159</v>
      </c>
      <c r="BB338" s="1411" t="str">
        <f>IF(Table22[[#This Row],[LOQ2]]&lt;0,MIN(AZ338:AZ714),"")</f>
        <v/>
      </c>
      <c r="BC338" s="1299"/>
      <c r="BD338" s="1306" t="str">
        <f>IF(Table22[[#This Row],[Chronic RA label]]="","N",IF(Table22[[#This Row],[Chronic RA label]]="LOQ","N",IF(Table22[[#This Row],[Chronic RA label]]="MRL","N","Y")))</f>
        <v>N</v>
      </c>
      <c r="BE338" s="1306" t="str">
        <f>IF(Table22[[#This Row],[Acute RA label]]="","N",IF(Table22[[#This Row],[Acute RA label]]="LOQ","N",IF(Table22[[#This Row],[Acute RA label]]="MRL","N","Y")))</f>
        <v>N</v>
      </c>
      <c r="BF338" s="1306" t="str">
        <f>IF(OR(Table22[[#This Row],[include commodity in Summary_input_values_chronic]]="Y",Table22[[#This Row],[include commodity in Summary_input_values_acute]]="Y"),"Y","N")</f>
        <v>N</v>
      </c>
      <c r="BG338" s="1299"/>
      <c r="BH338" s="1324"/>
    </row>
    <row r="339" spans="1:60" ht="12.75" customHeight="1" outlineLevel="2" x14ac:dyDescent="0.2">
      <c r="A339" s="133">
        <v>3</v>
      </c>
      <c r="B339" s="449">
        <v>1013000</v>
      </c>
      <c r="C339" s="5" t="s">
        <v>264</v>
      </c>
      <c r="D339" s="862"/>
      <c r="E339" s="1218"/>
      <c r="F339" s="862"/>
      <c r="G339" s="866"/>
      <c r="H339" s="863"/>
      <c r="I339" s="863"/>
      <c r="J339" s="864"/>
      <c r="K339" s="865"/>
      <c r="L339" s="471"/>
      <c r="M339" s="471"/>
      <c r="N339" s="473"/>
      <c r="O339" s="474"/>
      <c r="P339" s="473"/>
      <c r="Q339" s="474"/>
      <c r="R339" s="473"/>
      <c r="S339" s="474"/>
      <c r="T339" s="886"/>
      <c r="U339" s="1415"/>
      <c r="V339" s="1380"/>
      <c r="W339" s="1381"/>
      <c r="X339" s="1381"/>
      <c r="Y339" s="1381"/>
      <c r="Z339" s="1382">
        <v>4</v>
      </c>
      <c r="AA339" s="1381" t="str">
        <f t="shared" si="219"/>
        <v/>
      </c>
      <c r="AB339" s="1381" t="str">
        <f>IF(Z339=A339,IF(AND(L339="N",Table22[[#This Row],[LOQ_label]]="Y"),AA339,$AA339*$Y339),"")</f>
        <v/>
      </c>
      <c r="AC339" s="1383" t="str">
        <f t="shared" si="197"/>
        <v/>
      </c>
      <c r="AD339" s="1383" t="str">
        <f>IF(Table22[[#This Row],[Median residue*CF*PeF]]&lt;&gt;"",Table22[[#This Row],[Median residue*CF*PeF]],Table22[[#This Row],[MRL*CF*PeF (chronic)]])</f>
        <v/>
      </c>
      <c r="AE339" s="1384">
        <f t="shared" si="198"/>
        <v>0</v>
      </c>
      <c r="AF339" s="1385" t="str">
        <f t="shared" si="199"/>
        <v/>
      </c>
      <c r="AG339" s="1385" t="str">
        <f t="shared" si="200"/>
        <v/>
      </c>
      <c r="AH339" s="1270" t="str">
        <f t="shared" si="201"/>
        <v/>
      </c>
      <c r="AI339" s="1386">
        <v>4</v>
      </c>
      <c r="AJ339" s="1387" t="str">
        <f t="shared" si="220"/>
        <v/>
      </c>
      <c r="AK339" s="1387" t="str">
        <f>IF(AI339=A339,IF(AND(L339="N",Table22[[#This Row],[LOQ_label]]="Y"),AJ339,$AJ339*$Y339),"")</f>
        <v/>
      </c>
      <c r="AL339" s="1388" t="str">
        <f t="shared" si="202"/>
        <v/>
      </c>
      <c r="AM339" s="1393" t="str">
        <f>IF(Table22[[#This Row],[Highest residue * CF*PF]]&lt;&gt;"",Table22[[#This Row],[Highest residue * CF*PF]],Table22[[#This Row],[MRL*CF*PF or MRL (if LOQ and not authorised) (acute RA)]])</f>
        <v/>
      </c>
      <c r="AN339" s="1390" t="str">
        <f t="shared" si="203"/>
        <v/>
      </c>
      <c r="AO339" s="1390" t="str">
        <f t="shared" si="204"/>
        <v/>
      </c>
      <c r="AP339" s="1404" t="str">
        <f t="shared" si="205"/>
        <v/>
      </c>
      <c r="AQ339" s="1388">
        <f t="shared" si="206"/>
        <v>0</v>
      </c>
      <c r="AR339" s="1388" t="str">
        <f t="shared" si="207"/>
        <v/>
      </c>
      <c r="AS339" s="1388" t="str">
        <f t="shared" si="208"/>
        <v/>
      </c>
      <c r="AT339" s="1388" t="str">
        <f t="shared" si="209"/>
        <v/>
      </c>
      <c r="AU339" s="1393" t="str">
        <f t="shared" si="210"/>
        <v/>
      </c>
      <c r="AV339" s="1388">
        <f t="shared" si="211"/>
        <v>0</v>
      </c>
      <c r="AW339" s="1390" t="str">
        <f t="shared" si="212"/>
        <v/>
      </c>
      <c r="AX339" s="1390" t="str">
        <f>IF(AND(AN339&lt;&gt;"",AY339&lt;&gt;""),"*","")</f>
        <v/>
      </c>
      <c r="AY339" s="1394" t="str">
        <f t="shared" si="213"/>
        <v/>
      </c>
      <c r="AZ339" s="1395">
        <f>IF(Table22[[#This Row],[LOQ_label]]="Y",Table22[[#This Row],[MRL individual commodity]],"")</f>
        <v>0</v>
      </c>
      <c r="BA339" s="1396" t="s">
        <v>1159</v>
      </c>
      <c r="BB339" s="1411" t="str">
        <f>IF(Table22[[#This Row],[LOQ2]]&lt;0,MIN(AZ339:AZ715),"")</f>
        <v/>
      </c>
      <c r="BC339" s="1299"/>
      <c r="BD339" s="1306" t="str">
        <f>IF(Table22[[#This Row],[Chronic RA label]]="","N",IF(Table22[[#This Row],[Chronic RA label]]="LOQ","N",IF(Table22[[#This Row],[Chronic RA label]]="MRL","N","Y")))</f>
        <v>N</v>
      </c>
      <c r="BE339" s="1306" t="str">
        <f>IF(Table22[[#This Row],[Acute RA label]]="","N",IF(Table22[[#This Row],[Acute RA label]]="LOQ","N",IF(Table22[[#This Row],[Acute RA label]]="MRL","N","Y")))</f>
        <v>N</v>
      </c>
      <c r="BF339" s="1306" t="str">
        <f>IF(OR(Table22[[#This Row],[include commodity in Summary_input_values_chronic]]="Y",Table22[[#This Row],[include commodity in Summary_input_values_acute]]="Y"),"Y","N")</f>
        <v>N</v>
      </c>
      <c r="BG339" s="1299"/>
      <c r="BH339" s="1324"/>
    </row>
    <row r="340" spans="1:60" ht="12.75" customHeight="1" outlineLevel="3" x14ac:dyDescent="0.2">
      <c r="A340" s="39">
        <v>4</v>
      </c>
      <c r="B340" s="327">
        <v>1013010</v>
      </c>
      <c r="C340" s="23" t="s">
        <v>864</v>
      </c>
      <c r="D340" s="867"/>
      <c r="E340" s="1219"/>
      <c r="F340" s="867"/>
      <c r="G340" s="869"/>
      <c r="H340" s="863"/>
      <c r="I340" s="868"/>
      <c r="J340" s="870"/>
      <c r="K340" s="865"/>
      <c r="L340" s="872"/>
      <c r="M340" s="872"/>
      <c r="N340" s="925" t="str">
        <f>IF(O340&lt;&gt;0,CONCATENATE(input_values!$AF340,input_values!$AG340,input_values!$AH340),"")</f>
        <v/>
      </c>
      <c r="O340" s="491">
        <f>IF($A$10="Refined calculation mode",Table22[[#This Row],[input for chronic (refined mode]],Table22[[#This Row],[input for chronic normal mode]])</f>
        <v>0</v>
      </c>
      <c r="P340" s="925" t="str">
        <f>IF(Q340&lt;&gt;0,CONCATENATE(input_values!$AN340,input_values!$AO340,input_values!$AP340),"")</f>
        <v/>
      </c>
      <c r="Q340" s="491">
        <f>IF($V$5=0,0,IF(OR($A$10="Refined calculation mode",Results!$B$62="Show results of IESTI calculation only for crops with GAPs under assessment"),Table22[[#This Row],[Input for IESTI (refined mode)]],Table22[[#This Row],[Input for IESTI normal mode]]))</f>
        <v>0</v>
      </c>
      <c r="R340" s="926" t="str">
        <f>IF(S340&lt;&gt;0,CONCATENATE(input_values!$AW340,input_values!$AX340,input_values!$AY340),"")</f>
        <v/>
      </c>
      <c r="S340" s="492">
        <f>IF($V$5=0,0,IF(OR($A$10="Refined calculation mode",Results!$B$62="Show results of IESTI calculation only for crops with GAPs under assessment"),Table22[[#This Row],[Input for IESTI new (refined mode)]],Table22[[#This Row],[Input for IESTI new normal mode]]))</f>
        <v>0</v>
      </c>
      <c r="T340" s="886"/>
      <c r="U340" s="1427">
        <f>Table22[[#This Row],[MRL/ proposed MRL /CXL
(mg/kg)]]</f>
        <v>0</v>
      </c>
      <c r="V340" s="1428" t="str">
        <f t="shared" ref="V340:V345" si="221">IF(ISBLANK(F340),"","Y")</f>
        <v/>
      </c>
      <c r="W340" s="1387">
        <f t="shared" ref="W340:W345" si="222">IF($G340&gt;0,$G340,1)</f>
        <v>1</v>
      </c>
      <c r="X340" s="1387">
        <f t="shared" ref="X340:X345" si="223">IF($H340&gt;0,$H340,1)</f>
        <v>1</v>
      </c>
      <c r="Y340" s="1387">
        <f t="shared" ref="Y340:Y345" si="224">W340*X340</f>
        <v>1</v>
      </c>
      <c r="Z340" s="1410">
        <v>4</v>
      </c>
      <c r="AA340" s="1430">
        <f>IF($L$7="fat soluble",U340*0.8+U341*0.2,U340)</f>
        <v>0</v>
      </c>
      <c r="AB340" s="1387">
        <f>IF(Z340=A340,IF(AND(L340="N",Table22[[#This Row],[LOQ_label]]="Y"),AA340,$AA340*$Y340),"")</f>
        <v>0</v>
      </c>
      <c r="AC340" s="1393">
        <f t="shared" si="197"/>
        <v>0</v>
      </c>
      <c r="AD340" s="1393">
        <f>IF(Table22[[#This Row],[Median residue*CF*PeF]]&lt;&gt;"",Table22[[#This Row],[Median residue*CF*PeF]],Table22[[#This Row],[MRL*CF*PeF (chronic)]])</f>
        <v>0</v>
      </c>
      <c r="AE340" s="1393">
        <f t="shared" si="198"/>
        <v>0</v>
      </c>
      <c r="AF340" s="1390" t="str">
        <f t="shared" si="199"/>
        <v>MRL</v>
      </c>
      <c r="AG340" s="1390" t="str">
        <f t="shared" si="200"/>
        <v/>
      </c>
      <c r="AH340" s="1394" t="str">
        <f t="shared" si="201"/>
        <v/>
      </c>
      <c r="AI340" s="1386">
        <v>4</v>
      </c>
      <c r="AJ340" s="1430">
        <f>IF($L$7="fat soluble",U340*0.8+U341*0.2,U340)</f>
        <v>0</v>
      </c>
      <c r="AK340" s="1387">
        <f>IF(AI340=A340,IF(AND(L340="N",Table22[[#This Row],[LOQ_label]]="Y"),AJ340,$AJ340*$Y340),"")</f>
        <v>0</v>
      </c>
      <c r="AL340" s="1388">
        <f t="shared" si="202"/>
        <v>0</v>
      </c>
      <c r="AM340" s="1393">
        <f>IF(Table22[[#This Row],[Highest residue * CF*PF]]&lt;&gt;"",Table22[[#This Row],[Highest residue * CF*PF]],Table22[[#This Row],[MRL*CF*PF or MRL (if LOQ and not authorised) (acute RA)]])</f>
        <v>0</v>
      </c>
      <c r="AN340" s="1421" t="str">
        <f t="shared" si="203"/>
        <v>MRL</v>
      </c>
      <c r="AO340" s="1390" t="str">
        <f t="shared" si="204"/>
        <v/>
      </c>
      <c r="AP340" s="1404" t="str">
        <f t="shared" si="205"/>
        <v/>
      </c>
      <c r="AQ340" s="1388">
        <f t="shared" si="206"/>
        <v>0</v>
      </c>
      <c r="AR340" s="1388" t="str">
        <f t="shared" si="207"/>
        <v/>
      </c>
      <c r="AS340" s="1388" t="str">
        <f t="shared" si="208"/>
        <v/>
      </c>
      <c r="AT340" s="1388" t="str">
        <f t="shared" si="209"/>
        <v/>
      </c>
      <c r="AU340" s="1393">
        <f t="shared" si="210"/>
        <v>0</v>
      </c>
      <c r="AV340" s="1431">
        <f t="shared" si="211"/>
        <v>0</v>
      </c>
      <c r="AW340" s="1421" t="str">
        <f t="shared" si="212"/>
        <v/>
      </c>
      <c r="AX340" s="1390" t="str">
        <f>IF(AND(AW340&lt;&gt;"",AY340&lt;&gt;""),"*","")</f>
        <v/>
      </c>
      <c r="AY340" s="1394" t="str">
        <f t="shared" si="213"/>
        <v/>
      </c>
      <c r="AZ340" s="1395" t="str">
        <f>IF(Table22[[#This Row],[LOQ_label]]="Y",Table22[[#This Row],[MRL individual commodity]],"")</f>
        <v/>
      </c>
      <c r="BA340" s="1396" t="s">
        <v>1038</v>
      </c>
      <c r="BB340" s="1411" t="str">
        <f>IF(Table22[[#This Row],[LOQ2]]&lt;0,MIN(AZ340:AZ716),"")</f>
        <v/>
      </c>
      <c r="BC340" s="1299"/>
      <c r="BD340" s="1306" t="str">
        <f>IF(Table22[[#This Row],[Chronic RA label]]="","N",IF(Table22[[#This Row],[Chronic RA label]]="LOQ","N",IF(Table22[[#This Row],[Chronic RA label]]="MRL","N","Y")))</f>
        <v>N</v>
      </c>
      <c r="BE340" s="1306" t="str">
        <f>IF(Table22[[#This Row],[Acute RA label]]="","N",IF(Table22[[#This Row],[Acute RA label]]="LOQ","N",IF(Table22[[#This Row],[Acute RA label]]="MRL","N","Y")))</f>
        <v>N</v>
      </c>
      <c r="BF340" s="1306" t="str">
        <f>IF(OR(Table22[[#This Row],[include commodity in Summary_input_values_chronic]]="Y",Table22[[#This Row],[include commodity in Summary_input_values_acute]]="Y"),"Y","N")</f>
        <v>N</v>
      </c>
      <c r="BG340" s="1299"/>
      <c r="BH340" s="1324"/>
    </row>
    <row r="341" spans="1:60" ht="12.75" customHeight="1" outlineLevel="3" x14ac:dyDescent="0.2">
      <c r="A341" s="39">
        <v>4</v>
      </c>
      <c r="B341" s="327">
        <v>1013020</v>
      </c>
      <c r="C341" s="23" t="s">
        <v>791</v>
      </c>
      <c r="D341" s="867"/>
      <c r="E341" s="1219"/>
      <c r="F341" s="867"/>
      <c r="G341" s="869"/>
      <c r="H341" s="863"/>
      <c r="I341" s="868"/>
      <c r="J341" s="870"/>
      <c r="K341" s="865"/>
      <c r="L341" s="872"/>
      <c r="M341" s="872"/>
      <c r="N341" s="925" t="str">
        <f>IF(O341&lt;&gt;0,CONCATENATE(input_values!$AF341,input_values!$AG341,input_values!$AH341),"")</f>
        <v/>
      </c>
      <c r="O341" s="491">
        <f>IF($A$10="Refined calculation mode",Table22[[#This Row],[input for chronic (refined mode]],Table22[[#This Row],[input for chronic normal mode]])</f>
        <v>0</v>
      </c>
      <c r="P341" s="925" t="str">
        <f>IF(Q341&lt;&gt;0,CONCATENATE(input_values!$AN341,input_values!$AO341,input_values!$AP341),"")</f>
        <v/>
      </c>
      <c r="Q341" s="491">
        <f>IF($V$5=0,0,IF(OR($A$10="Refined calculation mode",Results!$B$62="Show results of IESTI calculation only for crops with GAPs under assessment"),Table22[[#This Row],[Input for IESTI (refined mode)]],Table22[[#This Row],[Input for IESTI normal mode]]))</f>
        <v>0</v>
      </c>
      <c r="R341" s="926" t="str">
        <f>IF(S341&lt;&gt;0,CONCATENATE(input_values!$AW341,input_values!$AX341,input_values!$AY341),"")</f>
        <v/>
      </c>
      <c r="S341" s="492">
        <f>IF($V$5=0,0,IF(OR($A$10="Refined calculation mode",Results!$B$62="Show results of IESTI calculation only for crops with GAPs under assessment"),Table22[[#This Row],[Input for IESTI new (refined mode)]],Table22[[#This Row],[Input for IESTI new normal mode]]))</f>
        <v>0</v>
      </c>
      <c r="T341" s="886"/>
      <c r="U341" s="1432">
        <f>Table22[[#This Row],[MRL/ proposed MRL /CXL
(mg/kg)]]</f>
        <v>0</v>
      </c>
      <c r="V341" s="1433" t="str">
        <f t="shared" si="221"/>
        <v/>
      </c>
      <c r="W341" s="1387">
        <f t="shared" si="222"/>
        <v>1</v>
      </c>
      <c r="X341" s="1387">
        <f t="shared" si="223"/>
        <v>1</v>
      </c>
      <c r="Y341" s="1387">
        <f t="shared" si="224"/>
        <v>1</v>
      </c>
      <c r="Z341" s="1410">
        <v>4</v>
      </c>
      <c r="AA341" s="1387">
        <f t="shared" ref="AA341:AA346" si="225">IF(Z341=A341,U341,"")</f>
        <v>0</v>
      </c>
      <c r="AB341" s="1387">
        <f>IF(Z341=A341,IF(AND(L341="N",Table22[[#This Row],[LOQ_label]]="Y"),AA341,$AA341*$Y341),"")</f>
        <v>0</v>
      </c>
      <c r="AC341" s="1393">
        <f t="shared" si="197"/>
        <v>0</v>
      </c>
      <c r="AD341" s="1393">
        <f>IF(Table22[[#This Row],[Median residue*CF*PeF]]&lt;&gt;"",Table22[[#This Row],[Median residue*CF*PeF]],Table22[[#This Row],[MRL*CF*PeF (chronic)]])</f>
        <v>0</v>
      </c>
      <c r="AE341" s="1393">
        <f t="shared" si="198"/>
        <v>0</v>
      </c>
      <c r="AF341" s="1390" t="str">
        <f t="shared" si="199"/>
        <v>MRL</v>
      </c>
      <c r="AG341" s="1390" t="str">
        <f t="shared" si="200"/>
        <v/>
      </c>
      <c r="AH341" s="1394" t="str">
        <f t="shared" si="201"/>
        <v/>
      </c>
      <c r="AI341" s="1386">
        <v>4</v>
      </c>
      <c r="AJ341" s="1387">
        <f t="shared" ref="AJ341:AJ346" si="226">IF(AI341=A341,U341,"")</f>
        <v>0</v>
      </c>
      <c r="AK341" s="1387">
        <f>IF(AI341=A341,IF(AND(L341="N",Table22[[#This Row],[LOQ_label]]="Y"),AJ341,$AJ341*$Y341),"")</f>
        <v>0</v>
      </c>
      <c r="AL341" s="1388">
        <f t="shared" si="202"/>
        <v>0</v>
      </c>
      <c r="AM341" s="1393">
        <f>IF(Table22[[#This Row],[Highest residue * CF*PF]]&lt;&gt;"",Table22[[#This Row],[Highest residue * CF*PF]],Table22[[#This Row],[MRL*CF*PF or MRL (if LOQ and not authorised) (acute RA)]])</f>
        <v>0</v>
      </c>
      <c r="AN341" s="1390" t="str">
        <f t="shared" si="203"/>
        <v>MRL</v>
      </c>
      <c r="AO341" s="1390" t="str">
        <f t="shared" si="204"/>
        <v/>
      </c>
      <c r="AP341" s="1404" t="str">
        <f t="shared" si="205"/>
        <v/>
      </c>
      <c r="AQ341" s="1388">
        <f t="shared" si="206"/>
        <v>0</v>
      </c>
      <c r="AR341" s="1388" t="str">
        <f t="shared" si="207"/>
        <v/>
      </c>
      <c r="AS341" s="1388" t="str">
        <f t="shared" si="208"/>
        <v/>
      </c>
      <c r="AT341" s="1388" t="str">
        <f t="shared" si="209"/>
        <v/>
      </c>
      <c r="AU341" s="1393">
        <f t="shared" si="210"/>
        <v>0</v>
      </c>
      <c r="AV341" s="1388">
        <f t="shared" si="211"/>
        <v>0</v>
      </c>
      <c r="AW341" s="1390" t="str">
        <f t="shared" si="212"/>
        <v/>
      </c>
      <c r="AX341" s="1390" t="str">
        <f>IF(AND(AW341&lt;&gt;"",AY341&lt;&gt;""),"*","")</f>
        <v/>
      </c>
      <c r="AY341" s="1394" t="str">
        <f t="shared" si="213"/>
        <v/>
      </c>
      <c r="AZ341" s="1395" t="str">
        <f>IF(Table22[[#This Row],[LOQ_label]]="Y",Table22[[#This Row],[MRL individual commodity]],"")</f>
        <v/>
      </c>
      <c r="BA341" s="1396" t="s">
        <v>1038</v>
      </c>
      <c r="BB341" s="1411" t="str">
        <f>IF(Table22[[#This Row],[LOQ2]]&lt;0,MIN(AZ341:AZ717),"")</f>
        <v/>
      </c>
      <c r="BC341" s="1299"/>
      <c r="BD341" s="1306" t="str">
        <f>IF(Table22[[#This Row],[Chronic RA label]]="","N",IF(Table22[[#This Row],[Chronic RA label]]="LOQ","N",IF(Table22[[#This Row],[Chronic RA label]]="MRL","N","Y")))</f>
        <v>N</v>
      </c>
      <c r="BE341" s="1306" t="str">
        <f>IF(Table22[[#This Row],[Acute RA label]]="","N",IF(Table22[[#This Row],[Acute RA label]]="LOQ","N",IF(Table22[[#This Row],[Acute RA label]]="MRL","N","Y")))</f>
        <v>N</v>
      </c>
      <c r="BF341" s="1306" t="str">
        <f>IF(OR(Table22[[#This Row],[include commodity in Summary_input_values_chronic]]="Y",Table22[[#This Row],[include commodity in Summary_input_values_acute]]="Y"),"Y","N")</f>
        <v>N</v>
      </c>
      <c r="BG341" s="1299"/>
      <c r="BH341" s="1324"/>
    </row>
    <row r="342" spans="1:60" ht="12.75" customHeight="1" outlineLevel="3" x14ac:dyDescent="0.2">
      <c r="A342" s="39">
        <v>4</v>
      </c>
      <c r="B342" s="327">
        <v>1013030</v>
      </c>
      <c r="C342" s="23" t="s">
        <v>196</v>
      </c>
      <c r="D342" s="867"/>
      <c r="E342" s="1219"/>
      <c r="F342" s="867"/>
      <c r="G342" s="869"/>
      <c r="H342" s="863"/>
      <c r="I342" s="868"/>
      <c r="J342" s="870"/>
      <c r="K342" s="865"/>
      <c r="L342" s="872"/>
      <c r="M342" s="872"/>
      <c r="N342" s="925" t="str">
        <f>IF(O342&lt;&gt;0,CONCATENATE(input_values!$AF342,input_values!$AG342,input_values!$AH342),"")</f>
        <v/>
      </c>
      <c r="O342" s="491">
        <f>IF($A$10="Refined calculation mode",Table22[[#This Row],[input for chronic (refined mode]],Table22[[#This Row],[input for chronic normal mode]])</f>
        <v>0</v>
      </c>
      <c r="P342" s="925" t="str">
        <f>IF(Q342&lt;&gt;0,CONCATENATE(input_values!$AN342,input_values!$AO342,input_values!$AP342),"")</f>
        <v/>
      </c>
      <c r="Q342" s="491">
        <f>IF($V$5=0,0,IF(OR($A$10="Refined calculation mode",Results!$B$62="Show results of IESTI calculation only for crops with GAPs under assessment"),Table22[[#This Row],[Input for IESTI (refined mode)]],Table22[[#This Row],[Input for IESTI normal mode]]))</f>
        <v>0</v>
      </c>
      <c r="R342" s="926" t="str">
        <f>IF(S342&lt;&gt;0,CONCATENATE(input_values!$AW342,input_values!$AX342,input_values!$AY342),"")</f>
        <v/>
      </c>
      <c r="S342" s="492">
        <f>IF($V$5=0,0,IF(OR($A$10="Refined calculation mode",Results!$B$62="Show results of IESTI calculation only for crops with GAPs under assessment"),Table22[[#This Row],[Input for IESTI new (refined mode)]],Table22[[#This Row],[Input for IESTI new normal mode]]))</f>
        <v>0</v>
      </c>
      <c r="T342" s="886"/>
      <c r="U342" s="1432">
        <f>Table22[[#This Row],[MRL/ proposed MRL /CXL
(mg/kg)]]</f>
        <v>0</v>
      </c>
      <c r="V342" s="1433" t="str">
        <f t="shared" si="221"/>
        <v/>
      </c>
      <c r="W342" s="1387">
        <f t="shared" si="222"/>
        <v>1</v>
      </c>
      <c r="X342" s="1387">
        <f t="shared" si="223"/>
        <v>1</v>
      </c>
      <c r="Y342" s="1387">
        <f t="shared" si="224"/>
        <v>1</v>
      </c>
      <c r="Z342" s="1410">
        <v>4</v>
      </c>
      <c r="AA342" s="1387">
        <f t="shared" si="225"/>
        <v>0</v>
      </c>
      <c r="AB342" s="1387">
        <f>IF(Z342=A342,IF(AND(L342="N",Table22[[#This Row],[LOQ_label]]="Y"),AA342,$AA342*$Y342),"")</f>
        <v>0</v>
      </c>
      <c r="AC342" s="1393">
        <f t="shared" si="197"/>
        <v>0</v>
      </c>
      <c r="AD342" s="1393">
        <f>IF(Table22[[#This Row],[Median residue*CF*PeF]]&lt;&gt;"",Table22[[#This Row],[Median residue*CF*PeF]],Table22[[#This Row],[MRL*CF*PeF (chronic)]])</f>
        <v>0</v>
      </c>
      <c r="AE342" s="1393">
        <f t="shared" si="198"/>
        <v>0</v>
      </c>
      <c r="AF342" s="1390" t="str">
        <f t="shared" si="199"/>
        <v>MRL</v>
      </c>
      <c r="AG342" s="1390" t="str">
        <f t="shared" si="200"/>
        <v/>
      </c>
      <c r="AH342" s="1394" t="str">
        <f t="shared" si="201"/>
        <v/>
      </c>
      <c r="AI342" s="1386">
        <v>4</v>
      </c>
      <c r="AJ342" s="1387">
        <f t="shared" si="226"/>
        <v>0</v>
      </c>
      <c r="AK342" s="1387">
        <f>IF(AI342=A342,IF(AND(L342="N",Table22[[#This Row],[LOQ_label]]="Y"),AJ342,$AJ342*$Y342),"")</f>
        <v>0</v>
      </c>
      <c r="AL342" s="1388">
        <f t="shared" si="202"/>
        <v>0</v>
      </c>
      <c r="AM342" s="1393">
        <f>IF(Table22[[#This Row],[Highest residue * CF*PF]]&lt;&gt;"",Table22[[#This Row],[Highest residue * CF*PF]],Table22[[#This Row],[MRL*CF*PF or MRL (if LOQ and not authorised) (acute RA)]])</f>
        <v>0</v>
      </c>
      <c r="AN342" s="1390" t="str">
        <f t="shared" si="203"/>
        <v>MRL</v>
      </c>
      <c r="AO342" s="1390" t="str">
        <f t="shared" si="204"/>
        <v/>
      </c>
      <c r="AP342" s="1404" t="str">
        <f t="shared" si="205"/>
        <v/>
      </c>
      <c r="AQ342" s="1388">
        <f t="shared" si="206"/>
        <v>0</v>
      </c>
      <c r="AR342" s="1388" t="str">
        <f t="shared" si="207"/>
        <v/>
      </c>
      <c r="AS342" s="1388" t="str">
        <f t="shared" si="208"/>
        <v/>
      </c>
      <c r="AT342" s="1388" t="str">
        <f t="shared" si="209"/>
        <v/>
      </c>
      <c r="AU342" s="1393">
        <f t="shared" si="210"/>
        <v>0</v>
      </c>
      <c r="AV342" s="1388">
        <f t="shared" si="211"/>
        <v>0</v>
      </c>
      <c r="AW342" s="1390" t="str">
        <f t="shared" si="212"/>
        <v/>
      </c>
      <c r="AX342" s="1390" t="str">
        <f>IF(AND(AW342&lt;&gt;"",AY342&lt;&gt;""),"*","")</f>
        <v/>
      </c>
      <c r="AY342" s="1394" t="str">
        <f t="shared" si="213"/>
        <v/>
      </c>
      <c r="AZ342" s="1395" t="str">
        <f>IF(Table22[[#This Row],[LOQ_label]]="Y",Table22[[#This Row],[MRL individual commodity]],"")</f>
        <v/>
      </c>
      <c r="BA342" s="1396" t="s">
        <v>1038</v>
      </c>
      <c r="BB342" s="1411" t="str">
        <f>IF(Table22[[#This Row],[LOQ2]]&lt;0,MIN(AZ342:AZ718),"")</f>
        <v/>
      </c>
      <c r="BC342" s="1299"/>
      <c r="BD342" s="1306" t="str">
        <f>IF(Table22[[#This Row],[Chronic RA label]]="","N",IF(Table22[[#This Row],[Chronic RA label]]="LOQ","N",IF(Table22[[#This Row],[Chronic RA label]]="MRL","N","Y")))</f>
        <v>N</v>
      </c>
      <c r="BE342" s="1306" t="str">
        <f>IF(Table22[[#This Row],[Acute RA label]]="","N",IF(Table22[[#This Row],[Acute RA label]]="LOQ","N",IF(Table22[[#This Row],[Acute RA label]]="MRL","N","Y")))</f>
        <v>N</v>
      </c>
      <c r="BF342" s="1306" t="str">
        <f>IF(OR(Table22[[#This Row],[include commodity in Summary_input_values_chronic]]="Y",Table22[[#This Row],[include commodity in Summary_input_values_acute]]="Y"),"Y","N")</f>
        <v>N</v>
      </c>
      <c r="BG342" s="1299"/>
      <c r="BH342" s="1324"/>
    </row>
    <row r="343" spans="1:60" ht="12.75" customHeight="1" outlineLevel="3" x14ac:dyDescent="0.2">
      <c r="A343" s="39">
        <v>4</v>
      </c>
      <c r="B343" s="327">
        <v>1013040</v>
      </c>
      <c r="C343" s="23" t="s">
        <v>197</v>
      </c>
      <c r="D343" s="867"/>
      <c r="E343" s="1219"/>
      <c r="F343" s="867"/>
      <c r="G343" s="869"/>
      <c r="H343" s="863"/>
      <c r="I343" s="868"/>
      <c r="J343" s="870"/>
      <c r="K343" s="865"/>
      <c r="L343" s="872"/>
      <c r="M343" s="872"/>
      <c r="N343" s="925" t="str">
        <f>IF(O343&lt;&gt;0,CONCATENATE(input_values!$AF343,input_values!$AG343,input_values!$AH343),"")</f>
        <v/>
      </c>
      <c r="O343" s="491">
        <f>IF($A$10="Refined calculation mode",Table22[[#This Row],[input for chronic (refined mode]],Table22[[#This Row],[input for chronic normal mode]])</f>
        <v>0</v>
      </c>
      <c r="P343" s="925" t="str">
        <f>IF(Q343&lt;&gt;0,CONCATENATE(input_values!$AN343,input_values!$AO343,input_values!$AP343),"")</f>
        <v/>
      </c>
      <c r="Q343" s="491">
        <f>IF($V$5=0,0,IF(OR($A$10="Refined calculation mode",Results!$B$62="Show results of IESTI calculation only for crops with GAPs under assessment"),Table22[[#This Row],[Input for IESTI (refined mode)]],Table22[[#This Row],[Input for IESTI normal mode]]))</f>
        <v>0</v>
      </c>
      <c r="R343" s="926" t="str">
        <f>IF(S343&lt;&gt;0,CONCATENATE(input_values!$AW343,input_values!$AX343,input_values!$AY343),"")</f>
        <v/>
      </c>
      <c r="S343" s="492">
        <f>IF($V$5=0,0,IF(OR($A$10="Refined calculation mode",Results!$B$62="Show results of IESTI calculation only for crops with GAPs under assessment"),Table22[[#This Row],[Input for IESTI new (refined mode)]],Table22[[#This Row],[Input for IESTI new normal mode]]))</f>
        <v>0</v>
      </c>
      <c r="T343" s="886"/>
      <c r="U343" s="1432">
        <f>Table22[[#This Row],[MRL/ proposed MRL /CXL
(mg/kg)]]</f>
        <v>0</v>
      </c>
      <c r="V343" s="1433" t="str">
        <f t="shared" si="221"/>
        <v/>
      </c>
      <c r="W343" s="1387">
        <f t="shared" si="222"/>
        <v>1</v>
      </c>
      <c r="X343" s="1387">
        <f t="shared" si="223"/>
        <v>1</v>
      </c>
      <c r="Y343" s="1387">
        <f t="shared" si="224"/>
        <v>1</v>
      </c>
      <c r="Z343" s="1410">
        <v>4</v>
      </c>
      <c r="AA343" s="1387">
        <f t="shared" si="225"/>
        <v>0</v>
      </c>
      <c r="AB343" s="1387">
        <f>IF(Z343=A343,IF(AND(L343="N",Table22[[#This Row],[LOQ_label]]="Y"),AA343,$AA343*$Y343),"")</f>
        <v>0</v>
      </c>
      <c r="AC343" s="1393">
        <f t="shared" si="197"/>
        <v>0</v>
      </c>
      <c r="AD343" s="1393">
        <f>IF(Table22[[#This Row],[Median residue*CF*PeF]]&lt;&gt;"",Table22[[#This Row],[Median residue*CF*PeF]],Table22[[#This Row],[MRL*CF*PeF (chronic)]])</f>
        <v>0</v>
      </c>
      <c r="AE343" s="1393">
        <f t="shared" si="198"/>
        <v>0</v>
      </c>
      <c r="AF343" s="1390" t="str">
        <f t="shared" si="199"/>
        <v>MRL</v>
      </c>
      <c r="AG343" s="1390" t="str">
        <f t="shared" si="200"/>
        <v/>
      </c>
      <c r="AH343" s="1394" t="str">
        <f t="shared" si="201"/>
        <v/>
      </c>
      <c r="AI343" s="1386">
        <v>4</v>
      </c>
      <c r="AJ343" s="1387">
        <f t="shared" si="226"/>
        <v>0</v>
      </c>
      <c r="AK343" s="1387">
        <f>IF(AI343=A343,IF(AND(L343="N",Table22[[#This Row],[LOQ_label]]="Y"),AJ343,$AJ343*$Y343),"")</f>
        <v>0</v>
      </c>
      <c r="AL343" s="1388">
        <f t="shared" si="202"/>
        <v>0</v>
      </c>
      <c r="AM343" s="1393">
        <f>IF(Table22[[#This Row],[Highest residue * CF*PF]]&lt;&gt;"",Table22[[#This Row],[Highest residue * CF*PF]],Table22[[#This Row],[MRL*CF*PF or MRL (if LOQ and not authorised) (acute RA)]])</f>
        <v>0</v>
      </c>
      <c r="AN343" s="1390" t="str">
        <f t="shared" si="203"/>
        <v>MRL</v>
      </c>
      <c r="AO343" s="1390" t="str">
        <f t="shared" si="204"/>
        <v/>
      </c>
      <c r="AP343" s="1404" t="str">
        <f t="shared" si="205"/>
        <v/>
      </c>
      <c r="AQ343" s="1388">
        <f t="shared" si="206"/>
        <v>0</v>
      </c>
      <c r="AR343" s="1388" t="str">
        <f t="shared" si="207"/>
        <v/>
      </c>
      <c r="AS343" s="1388" t="str">
        <f t="shared" si="208"/>
        <v/>
      </c>
      <c r="AT343" s="1388" t="str">
        <f t="shared" si="209"/>
        <v/>
      </c>
      <c r="AU343" s="1393">
        <f t="shared" si="210"/>
        <v>0</v>
      </c>
      <c r="AV343" s="1388">
        <f t="shared" si="211"/>
        <v>0</v>
      </c>
      <c r="AW343" s="1390" t="str">
        <f t="shared" si="212"/>
        <v/>
      </c>
      <c r="AX343" s="1390" t="str">
        <f>IF(AND(AW343&lt;&gt;"",AY343&lt;&gt;""),"*","")</f>
        <v/>
      </c>
      <c r="AY343" s="1394" t="str">
        <f t="shared" si="213"/>
        <v/>
      </c>
      <c r="AZ343" s="1395" t="str">
        <f>IF(Table22[[#This Row],[LOQ_label]]="Y",Table22[[#This Row],[MRL individual commodity]],"")</f>
        <v/>
      </c>
      <c r="BA343" s="1396" t="s">
        <v>1038</v>
      </c>
      <c r="BB343" s="1411" t="str">
        <f>IF(Table22[[#This Row],[LOQ2]]&lt;0,MIN(AZ343:AZ719),"")</f>
        <v/>
      </c>
      <c r="BC343" s="1299"/>
      <c r="BD343" s="1306" t="str">
        <f>IF(Table22[[#This Row],[Chronic RA label]]="","N",IF(Table22[[#This Row],[Chronic RA label]]="LOQ","N",IF(Table22[[#This Row],[Chronic RA label]]="MRL","N","Y")))</f>
        <v>N</v>
      </c>
      <c r="BE343" s="1306" t="str">
        <f>IF(Table22[[#This Row],[Acute RA label]]="","N",IF(Table22[[#This Row],[Acute RA label]]="LOQ","N",IF(Table22[[#This Row],[Acute RA label]]="MRL","N","Y")))</f>
        <v>N</v>
      </c>
      <c r="BF343" s="1306" t="str">
        <f>IF(OR(Table22[[#This Row],[include commodity in Summary_input_values_chronic]]="Y",Table22[[#This Row],[include commodity in Summary_input_values_acute]]="Y"),"Y","N")</f>
        <v>N</v>
      </c>
      <c r="BG343" s="1299"/>
      <c r="BH343" s="1324"/>
    </row>
    <row r="344" spans="1:60" ht="12.75" customHeight="1" outlineLevel="3" x14ac:dyDescent="0.2">
      <c r="A344" s="39">
        <v>4</v>
      </c>
      <c r="B344" s="327">
        <v>1013050</v>
      </c>
      <c r="C344" s="23" t="s">
        <v>794</v>
      </c>
      <c r="D344" s="867"/>
      <c r="E344" s="1219"/>
      <c r="F344" s="867"/>
      <c r="G344" s="869"/>
      <c r="H344" s="863"/>
      <c r="I344" s="868"/>
      <c r="J344" s="870"/>
      <c r="K344" s="865"/>
      <c r="L344" s="872"/>
      <c r="M344" s="872"/>
      <c r="N344" s="925" t="str">
        <f>IF(O344&lt;&gt;0,CONCATENATE(input_values!$AF344,input_values!$AG344,input_values!$AH344),"")</f>
        <v/>
      </c>
      <c r="O344" s="491">
        <f>IF($A$10="Refined calculation mode",Table22[[#This Row],[input for chronic (refined mode]],Table22[[#This Row],[input for chronic normal mode]])</f>
        <v>0</v>
      </c>
      <c r="P344" s="925" t="str">
        <f>IF(Q344&lt;&gt;0,CONCATENATE(input_values!$AN344,input_values!$AO344,input_values!$AP344),"")</f>
        <v/>
      </c>
      <c r="Q344" s="491">
        <f>IF($V$5=0,0,IF(OR($A$10="Refined calculation mode",Results!$B$62="Show results of IESTI calculation only for crops with GAPs under assessment"),Table22[[#This Row],[Input for IESTI (refined mode)]],Table22[[#This Row],[Input for IESTI normal mode]]))</f>
        <v>0</v>
      </c>
      <c r="R344" s="926" t="str">
        <f>IF(S344&lt;&gt;0,CONCATENATE(input_values!$AW344,input_values!$AX344,input_values!$AY344),"")</f>
        <v/>
      </c>
      <c r="S344" s="492">
        <f>IF($V$5=0,0,IF(OR($A$10="Refined calculation mode",Results!$B$62="Show results of IESTI calculation only for crops with GAPs under assessment"),Table22[[#This Row],[Input for IESTI new (refined mode)]],Table22[[#This Row],[Input for IESTI new normal mode]]))</f>
        <v>0</v>
      </c>
      <c r="T344" s="886"/>
      <c r="U344" s="1432">
        <f>Table22[[#This Row],[MRL/ proposed MRL /CXL
(mg/kg)]]</f>
        <v>0</v>
      </c>
      <c r="V344" s="1433" t="str">
        <f t="shared" si="221"/>
        <v/>
      </c>
      <c r="W344" s="1387">
        <f t="shared" si="222"/>
        <v>1</v>
      </c>
      <c r="X344" s="1387">
        <f t="shared" si="223"/>
        <v>1</v>
      </c>
      <c r="Y344" s="1387">
        <f t="shared" si="224"/>
        <v>1</v>
      </c>
      <c r="Z344" s="1410">
        <v>4</v>
      </c>
      <c r="AA344" s="1387">
        <f t="shared" si="225"/>
        <v>0</v>
      </c>
      <c r="AB344" s="1387">
        <f>IF(Z344=A344,IF(AND(L344="N",Table22[[#This Row],[LOQ_label]]="Y"),AA344,$AA344*$Y344),"")</f>
        <v>0</v>
      </c>
      <c r="AC344" s="1393">
        <f t="shared" si="197"/>
        <v>0</v>
      </c>
      <c r="AD344" s="1393">
        <f>IF(Table22[[#This Row],[Median residue*CF*PeF]]&lt;&gt;"",Table22[[#This Row],[Median residue*CF*PeF]],Table22[[#This Row],[MRL*CF*PeF (chronic)]])</f>
        <v>0</v>
      </c>
      <c r="AE344" s="1393">
        <f t="shared" si="198"/>
        <v>0</v>
      </c>
      <c r="AF344" s="1390" t="str">
        <f t="shared" si="199"/>
        <v>MRL</v>
      </c>
      <c r="AG344" s="1390" t="str">
        <f t="shared" si="200"/>
        <v/>
      </c>
      <c r="AH344" s="1394" t="str">
        <f t="shared" si="201"/>
        <v/>
      </c>
      <c r="AI344" s="1386">
        <v>4</v>
      </c>
      <c r="AJ344" s="1387">
        <f t="shared" si="226"/>
        <v>0</v>
      </c>
      <c r="AK344" s="1387">
        <f>IF(AI344=A344,IF(AND(L344="N",Table22[[#This Row],[LOQ_label]]="Y"),AJ344,$AJ344*$Y344),"")</f>
        <v>0</v>
      </c>
      <c r="AL344" s="1388">
        <f t="shared" si="202"/>
        <v>0</v>
      </c>
      <c r="AM344" s="1393">
        <f>IF(Table22[[#This Row],[Highest residue * CF*PF]]&lt;&gt;"",Table22[[#This Row],[Highest residue * CF*PF]],Table22[[#This Row],[MRL*CF*PF or MRL (if LOQ and not authorised) (acute RA)]])</f>
        <v>0</v>
      </c>
      <c r="AN344" s="1390" t="str">
        <f t="shared" si="203"/>
        <v>MRL</v>
      </c>
      <c r="AO344" s="1390" t="str">
        <f t="shared" si="204"/>
        <v/>
      </c>
      <c r="AP344" s="1404" t="str">
        <f t="shared" si="205"/>
        <v/>
      </c>
      <c r="AQ344" s="1388">
        <f t="shared" si="206"/>
        <v>0</v>
      </c>
      <c r="AR344" s="1388" t="str">
        <f t="shared" si="207"/>
        <v/>
      </c>
      <c r="AS344" s="1388" t="str">
        <f t="shared" si="208"/>
        <v/>
      </c>
      <c r="AT344" s="1388" t="str">
        <f t="shared" si="209"/>
        <v/>
      </c>
      <c r="AU344" s="1393">
        <f t="shared" si="210"/>
        <v>0</v>
      </c>
      <c r="AV344" s="1388">
        <f t="shared" si="211"/>
        <v>0</v>
      </c>
      <c r="AW344" s="1390" t="str">
        <f t="shared" si="212"/>
        <v/>
      </c>
      <c r="AX344" s="1390" t="str">
        <f>IF(AND(AW344&lt;&gt;"",AY344&lt;&gt;""),"*","")</f>
        <v/>
      </c>
      <c r="AY344" s="1394" t="str">
        <f t="shared" si="213"/>
        <v/>
      </c>
      <c r="AZ344" s="1395" t="str">
        <f>IF(Table22[[#This Row],[LOQ_label]]="Y",Table22[[#This Row],[MRL individual commodity]],"")</f>
        <v/>
      </c>
      <c r="BA344" s="1396" t="s">
        <v>1038</v>
      </c>
      <c r="BB344" s="1411" t="str">
        <f>IF(Table22[[#This Row],[LOQ2]]&lt;0,MIN(AZ344:AZ720),"")</f>
        <v/>
      </c>
      <c r="BC344" s="1299"/>
      <c r="BD344" s="1306" t="str">
        <f>IF(Table22[[#This Row],[Chronic RA label]]="","N",IF(Table22[[#This Row],[Chronic RA label]]="LOQ","N",IF(Table22[[#This Row],[Chronic RA label]]="MRL","N","Y")))</f>
        <v>N</v>
      </c>
      <c r="BE344" s="1306" t="str">
        <f>IF(Table22[[#This Row],[Acute RA label]]="","N",IF(Table22[[#This Row],[Acute RA label]]="LOQ","N",IF(Table22[[#This Row],[Acute RA label]]="MRL","N","Y")))</f>
        <v>N</v>
      </c>
      <c r="BF344" s="1306" t="str">
        <f>IF(OR(Table22[[#This Row],[include commodity in Summary_input_values_chronic]]="Y",Table22[[#This Row],[include commodity in Summary_input_values_acute]]="Y"),"Y","N")</f>
        <v>N</v>
      </c>
      <c r="BG344" s="1299"/>
      <c r="BH344" s="1324"/>
    </row>
    <row r="345" spans="1:60" ht="12.75" customHeight="1" outlineLevel="3" x14ac:dyDescent="0.2">
      <c r="A345" s="39">
        <v>4</v>
      </c>
      <c r="B345" s="327">
        <v>1013990</v>
      </c>
      <c r="C345" s="23" t="s">
        <v>636</v>
      </c>
      <c r="D345" s="867"/>
      <c r="E345" s="1219"/>
      <c r="F345" s="867"/>
      <c r="G345" s="868"/>
      <c r="H345" s="863"/>
      <c r="I345" s="868"/>
      <c r="J345" s="870"/>
      <c r="K345" s="865"/>
      <c r="L345" s="872"/>
      <c r="M345" s="872"/>
      <c r="N345" s="925" t="str">
        <f>IF(O345&lt;&gt;0,CONCATENATE(input_values!$AF345,input_values!$AG345,input_values!$AH345),"")</f>
        <v/>
      </c>
      <c r="O345" s="491">
        <f>IF($A$10="Refined calculation mode",Table22[[#This Row],[input for chronic (refined mode]],Table22[[#This Row],[input for chronic normal mode]])</f>
        <v>0</v>
      </c>
      <c r="P345" s="473"/>
      <c r="Q345" s="474"/>
      <c r="R345" s="473"/>
      <c r="S345" s="474"/>
      <c r="T345" s="886"/>
      <c r="U345" s="1432">
        <f>Table22[[#This Row],[MRL/ proposed MRL /CXL
(mg/kg)]]</f>
        <v>0</v>
      </c>
      <c r="V345" s="1433" t="str">
        <f t="shared" si="221"/>
        <v/>
      </c>
      <c r="W345" s="1387">
        <f t="shared" si="222"/>
        <v>1</v>
      </c>
      <c r="X345" s="1387">
        <f t="shared" si="223"/>
        <v>1</v>
      </c>
      <c r="Y345" s="1387">
        <f t="shared" si="224"/>
        <v>1</v>
      </c>
      <c r="Z345" s="1410">
        <v>4</v>
      </c>
      <c r="AA345" s="1387">
        <f t="shared" si="225"/>
        <v>0</v>
      </c>
      <c r="AB345" s="1387">
        <f>IF(Z345=A345,IF(AND(L345="N",Table22[[#This Row],[LOQ_label]]="Y"),AA345,$AA345*$Y345),"")</f>
        <v>0</v>
      </c>
      <c r="AC345" s="1393">
        <f t="shared" si="197"/>
        <v>0</v>
      </c>
      <c r="AD345" s="1393">
        <f>IF(Table22[[#This Row],[Median residue*CF*PeF]]&lt;&gt;"",Table22[[#This Row],[Median residue*CF*PeF]],Table22[[#This Row],[MRL*CF*PeF (chronic)]])</f>
        <v>0</v>
      </c>
      <c r="AE345" s="1393">
        <f t="shared" si="198"/>
        <v>0</v>
      </c>
      <c r="AF345" s="1390" t="str">
        <f t="shared" si="199"/>
        <v>MRL</v>
      </c>
      <c r="AG345" s="1390" t="str">
        <f t="shared" si="200"/>
        <v/>
      </c>
      <c r="AH345" s="1394" t="str">
        <f t="shared" si="201"/>
        <v/>
      </c>
      <c r="AI345" s="1386"/>
      <c r="AJ345" s="1387" t="str">
        <f t="shared" si="226"/>
        <v/>
      </c>
      <c r="AK345" s="1387" t="str">
        <f>IF(AI345=A345,IF(AND(L345="N",Table22[[#This Row],[LOQ_label]]="Y"),AJ345,$AJ345*$Y345),"")</f>
        <v/>
      </c>
      <c r="AL345" s="1388" t="str">
        <f t="shared" si="202"/>
        <v/>
      </c>
      <c r="AM345" s="1393" t="str">
        <f>IF(Table22[[#This Row],[Highest residue * CF*PF]]&lt;&gt;"",Table22[[#This Row],[Highest residue * CF*PF]],Table22[[#This Row],[MRL*CF*PF or MRL (if LOQ and not authorised) (acute RA)]])</f>
        <v/>
      </c>
      <c r="AN345" s="1390" t="str">
        <f t="shared" si="203"/>
        <v/>
      </c>
      <c r="AO345" s="1390" t="str">
        <f t="shared" si="204"/>
        <v/>
      </c>
      <c r="AP345" s="1404" t="str">
        <f t="shared" si="205"/>
        <v/>
      </c>
      <c r="AQ345" s="1388">
        <f t="shared" si="206"/>
        <v>0</v>
      </c>
      <c r="AR345" s="1388" t="str">
        <f t="shared" si="207"/>
        <v/>
      </c>
      <c r="AS345" s="1388" t="str">
        <f t="shared" si="208"/>
        <v/>
      </c>
      <c r="AT345" s="1388" t="str">
        <f t="shared" si="209"/>
        <v/>
      </c>
      <c r="AU345" s="1393" t="str">
        <f t="shared" si="210"/>
        <v/>
      </c>
      <c r="AV345" s="1388">
        <f t="shared" si="211"/>
        <v>0</v>
      </c>
      <c r="AW345" s="1390" t="str">
        <f t="shared" si="212"/>
        <v/>
      </c>
      <c r="AX345" s="1390" t="str">
        <f>IF(AND(AN345&lt;&gt;"",AY345&lt;&gt;""),"*","")</f>
        <v/>
      </c>
      <c r="AY345" s="1394" t="str">
        <f t="shared" si="213"/>
        <v/>
      </c>
      <c r="AZ345" s="1395" t="str">
        <f>IF(Table22[[#This Row],[LOQ_label]]="Y",Table22[[#This Row],[MRL individual commodity]],"")</f>
        <v/>
      </c>
      <c r="BA345" s="1396" t="s">
        <v>1159</v>
      </c>
      <c r="BB345" s="1411" t="str">
        <f>IF(Table22[[#This Row],[LOQ2]]&lt;0,MIN(AZ345:AZ721),"")</f>
        <v/>
      </c>
      <c r="BC345" s="1299"/>
      <c r="BD345" s="1306" t="str">
        <f>IF(Table22[[#This Row],[Chronic RA label]]="","N",IF(Table22[[#This Row],[Chronic RA label]]="LOQ","N",IF(Table22[[#This Row],[Chronic RA label]]="MRL","N","Y")))</f>
        <v>N</v>
      </c>
      <c r="BE345" s="1306" t="str">
        <f>IF(Table22[[#This Row],[Acute RA label]]="","N",IF(Table22[[#This Row],[Acute RA label]]="LOQ","N",IF(Table22[[#This Row],[Acute RA label]]="MRL","N","Y")))</f>
        <v>N</v>
      </c>
      <c r="BF345" s="1306" t="str">
        <f>IF(OR(Table22[[#This Row],[include commodity in Summary_input_values_chronic]]="Y",Table22[[#This Row],[include commodity in Summary_input_values_acute]]="Y"),"Y","N")</f>
        <v>N</v>
      </c>
      <c r="BG345" s="1299"/>
      <c r="BH345" s="1324"/>
    </row>
    <row r="346" spans="1:60" ht="12.75" customHeight="1" outlineLevel="2" x14ac:dyDescent="0.2">
      <c r="A346" s="133">
        <v>3</v>
      </c>
      <c r="B346" s="449">
        <v>1014000</v>
      </c>
      <c r="C346" s="5" t="s">
        <v>198</v>
      </c>
      <c r="D346" s="862"/>
      <c r="E346" s="1218"/>
      <c r="F346" s="862"/>
      <c r="G346" s="866"/>
      <c r="H346" s="863"/>
      <c r="I346" s="863"/>
      <c r="J346" s="864"/>
      <c r="K346" s="865"/>
      <c r="L346" s="471"/>
      <c r="M346" s="471"/>
      <c r="N346" s="473"/>
      <c r="O346" s="474"/>
      <c r="P346" s="473"/>
      <c r="Q346" s="474"/>
      <c r="R346" s="473"/>
      <c r="S346" s="474"/>
      <c r="T346" s="886"/>
      <c r="U346" s="1415"/>
      <c r="V346" s="1380"/>
      <c r="W346" s="1381"/>
      <c r="X346" s="1381"/>
      <c r="Y346" s="1381"/>
      <c r="Z346" s="1382">
        <v>4</v>
      </c>
      <c r="AA346" s="1381" t="str">
        <f t="shared" si="225"/>
        <v/>
      </c>
      <c r="AB346" s="1381" t="str">
        <f>IF(Z346=A346,IF(AND(L346="N",Table22[[#This Row],[LOQ_label]]="Y"),AA346,$AA346*$Y346),"")</f>
        <v/>
      </c>
      <c r="AC346" s="1383" t="str">
        <f t="shared" si="197"/>
        <v/>
      </c>
      <c r="AD346" s="1383" t="str">
        <f>IF(Table22[[#This Row],[Median residue*CF*PeF]]&lt;&gt;"",Table22[[#This Row],[Median residue*CF*PeF]],Table22[[#This Row],[MRL*CF*PeF (chronic)]])</f>
        <v/>
      </c>
      <c r="AE346" s="1384">
        <f t="shared" si="198"/>
        <v>0</v>
      </c>
      <c r="AF346" s="1385" t="str">
        <f t="shared" si="199"/>
        <v/>
      </c>
      <c r="AG346" s="1385" t="str">
        <f t="shared" si="200"/>
        <v/>
      </c>
      <c r="AH346" s="1270" t="str">
        <f t="shared" si="201"/>
        <v/>
      </c>
      <c r="AI346" s="1386">
        <v>4</v>
      </c>
      <c r="AJ346" s="1387" t="str">
        <f t="shared" si="226"/>
        <v/>
      </c>
      <c r="AK346" s="1387" t="str">
        <f>IF(AI346=A346,IF(AND(L346="N",Table22[[#This Row],[LOQ_label]]="Y"),AJ346,$AJ346*$Y346),"")</f>
        <v/>
      </c>
      <c r="AL346" s="1388" t="str">
        <f t="shared" si="202"/>
        <v/>
      </c>
      <c r="AM346" s="1393" t="str">
        <f>IF(Table22[[#This Row],[Highest residue * CF*PF]]&lt;&gt;"",Table22[[#This Row],[Highest residue * CF*PF]],Table22[[#This Row],[MRL*CF*PF or MRL (if LOQ and not authorised) (acute RA)]])</f>
        <v/>
      </c>
      <c r="AN346" s="1390" t="str">
        <f t="shared" si="203"/>
        <v/>
      </c>
      <c r="AO346" s="1390" t="str">
        <f t="shared" si="204"/>
        <v/>
      </c>
      <c r="AP346" s="1404" t="str">
        <f t="shared" si="205"/>
        <v/>
      </c>
      <c r="AQ346" s="1388">
        <f t="shared" si="206"/>
        <v>0</v>
      </c>
      <c r="AR346" s="1388" t="str">
        <f t="shared" si="207"/>
        <v/>
      </c>
      <c r="AS346" s="1388" t="str">
        <f t="shared" si="208"/>
        <v/>
      </c>
      <c r="AT346" s="1388" t="str">
        <f t="shared" si="209"/>
        <v/>
      </c>
      <c r="AU346" s="1393" t="str">
        <f t="shared" si="210"/>
        <v/>
      </c>
      <c r="AV346" s="1388">
        <f t="shared" si="211"/>
        <v>0</v>
      </c>
      <c r="AW346" s="1390" t="str">
        <f t="shared" si="212"/>
        <v/>
      </c>
      <c r="AX346" s="1390" t="str">
        <f>IF(AND(AN346&lt;&gt;"",AY346&lt;&gt;""),"*","")</f>
        <v/>
      </c>
      <c r="AY346" s="1394" t="str">
        <f t="shared" si="213"/>
        <v/>
      </c>
      <c r="AZ346" s="1395">
        <f>IF(Table22[[#This Row],[LOQ_label]]="Y",Table22[[#This Row],[MRL individual commodity]],"")</f>
        <v>0</v>
      </c>
      <c r="BA346" s="1396" t="s">
        <v>1159</v>
      </c>
      <c r="BB346" s="1411" t="str">
        <f>IF(Table22[[#This Row],[LOQ2]]&lt;0,MIN(AZ346:AZ722),"")</f>
        <v/>
      </c>
      <c r="BC346" s="1299"/>
      <c r="BD346" s="1306" t="str">
        <f>IF(Table22[[#This Row],[Chronic RA label]]="","N",IF(Table22[[#This Row],[Chronic RA label]]="LOQ","N",IF(Table22[[#This Row],[Chronic RA label]]="MRL","N","Y")))</f>
        <v>N</v>
      </c>
      <c r="BE346" s="1306" t="str">
        <f>IF(Table22[[#This Row],[Acute RA label]]="","N",IF(Table22[[#This Row],[Acute RA label]]="LOQ","N",IF(Table22[[#This Row],[Acute RA label]]="MRL","N","Y")))</f>
        <v>N</v>
      </c>
      <c r="BF346" s="1306" t="str">
        <f>IF(OR(Table22[[#This Row],[include commodity in Summary_input_values_chronic]]="Y",Table22[[#This Row],[include commodity in Summary_input_values_acute]]="Y"),"Y","N")</f>
        <v>N</v>
      </c>
      <c r="BG346" s="1299"/>
      <c r="BH346" s="1324"/>
    </row>
    <row r="347" spans="1:60" ht="12.75" customHeight="1" outlineLevel="3" x14ac:dyDescent="0.2">
      <c r="A347" s="39">
        <v>4</v>
      </c>
      <c r="B347" s="327">
        <v>1014010</v>
      </c>
      <c r="C347" s="23" t="s">
        <v>865</v>
      </c>
      <c r="D347" s="867"/>
      <c r="E347" s="1219"/>
      <c r="F347" s="867"/>
      <c r="G347" s="869"/>
      <c r="H347" s="863"/>
      <c r="I347" s="868"/>
      <c r="J347" s="870"/>
      <c r="K347" s="865"/>
      <c r="L347" s="872"/>
      <c r="M347" s="872"/>
      <c r="N347" s="925" t="str">
        <f>IF(O347&lt;&gt;0,CONCATENATE(input_values!$AF347,input_values!$AG347,input_values!$AH347),"")</f>
        <v/>
      </c>
      <c r="O347" s="491">
        <f>IF($A$10="Refined calculation mode",Table22[[#This Row],[input for chronic (refined mode]],Table22[[#This Row],[input for chronic normal mode]])</f>
        <v>0</v>
      </c>
      <c r="P347" s="925" t="str">
        <f>IF(Q347&lt;&gt;0,CONCATENATE(input_values!$AN347,input_values!$AO347,input_values!$AP347),"")</f>
        <v/>
      </c>
      <c r="Q347" s="491">
        <f>IF($V$5=0,0,IF(OR($A$10="Refined calculation mode",Results!$B$62="Show results of IESTI calculation only for crops with GAPs under assessment"),Table22[[#This Row],[Input for IESTI (refined mode)]],Table22[[#This Row],[Input for IESTI normal mode]]))</f>
        <v>0</v>
      </c>
      <c r="R347" s="926" t="str">
        <f>IF(S347&lt;&gt;0,CONCATENATE(input_values!$AW347,input_values!$AX347,input_values!$AY347),"")</f>
        <v/>
      </c>
      <c r="S347" s="492">
        <f>IF($V$5=0,0,IF(OR($A$10="Refined calculation mode",Results!$B$62="Show results of IESTI calculation only for crops with GAPs under assessment"),Table22[[#This Row],[Input for IESTI new (refined mode)]],Table22[[#This Row],[Input for IESTI new normal mode]]))</f>
        <v>0</v>
      </c>
      <c r="T347" s="886"/>
      <c r="U347" s="1434">
        <f>Table22[[#This Row],[MRL/ proposed MRL /CXL
(mg/kg)]]</f>
        <v>0</v>
      </c>
      <c r="V347" s="1435" t="str">
        <f t="shared" ref="V347:V352" si="227">IF(ISBLANK(F347),"","Y")</f>
        <v/>
      </c>
      <c r="W347" s="1387">
        <f t="shared" ref="W347:W352" si="228">IF($G347&gt;0,$G347,1)</f>
        <v>1</v>
      </c>
      <c r="X347" s="1387">
        <f t="shared" ref="X347:X352" si="229">IF($H347&gt;0,$H347,1)</f>
        <v>1</v>
      </c>
      <c r="Y347" s="1387">
        <f t="shared" ref="Y347:Y352" si="230">W347*X347</f>
        <v>1</v>
      </c>
      <c r="Z347" s="1410">
        <v>4</v>
      </c>
      <c r="AA347" s="1430">
        <f>IF($L$7="fat soluble",U347*0.8+U348*0.2,U347)</f>
        <v>0</v>
      </c>
      <c r="AB347" s="1387">
        <f>IF(Z347=A347,IF(AND(L347="N",Table22[[#This Row],[LOQ_label]]="Y"),AA347,$AA347*$Y347),"")</f>
        <v>0</v>
      </c>
      <c r="AC347" s="1393">
        <f t="shared" si="197"/>
        <v>0</v>
      </c>
      <c r="AD347" s="1393">
        <f>IF(Table22[[#This Row],[Median residue*CF*PeF]]&lt;&gt;"",Table22[[#This Row],[Median residue*CF*PeF]],Table22[[#This Row],[MRL*CF*PeF (chronic)]])</f>
        <v>0</v>
      </c>
      <c r="AE347" s="1393">
        <f t="shared" si="198"/>
        <v>0</v>
      </c>
      <c r="AF347" s="1390" t="str">
        <f t="shared" si="199"/>
        <v>MRL</v>
      </c>
      <c r="AG347" s="1390" t="str">
        <f t="shared" si="200"/>
        <v/>
      </c>
      <c r="AH347" s="1394" t="str">
        <f t="shared" si="201"/>
        <v/>
      </c>
      <c r="AI347" s="1386">
        <v>4</v>
      </c>
      <c r="AJ347" s="1430">
        <f>IF($L$7="fat soluble",U347*0.8+U348*0.2,U347)</f>
        <v>0</v>
      </c>
      <c r="AK347" s="1387">
        <f>IF(AI347=A347,IF(AND(L347="N",Table22[[#This Row],[LOQ_label]]="Y"),AJ347,$AJ347*$Y347),"")</f>
        <v>0</v>
      </c>
      <c r="AL347" s="1388">
        <f t="shared" si="202"/>
        <v>0</v>
      </c>
      <c r="AM347" s="1393">
        <f>IF(Table22[[#This Row],[Highest residue * CF*PF]]&lt;&gt;"",Table22[[#This Row],[Highest residue * CF*PF]],Table22[[#This Row],[MRL*CF*PF or MRL (if LOQ and not authorised) (acute RA)]])</f>
        <v>0</v>
      </c>
      <c r="AN347" s="1421" t="str">
        <f t="shared" si="203"/>
        <v>MRL</v>
      </c>
      <c r="AO347" s="1390" t="str">
        <f t="shared" si="204"/>
        <v/>
      </c>
      <c r="AP347" s="1404" t="str">
        <f t="shared" si="205"/>
        <v/>
      </c>
      <c r="AQ347" s="1388">
        <f t="shared" si="206"/>
        <v>0</v>
      </c>
      <c r="AR347" s="1388" t="str">
        <f t="shared" si="207"/>
        <v/>
      </c>
      <c r="AS347" s="1388" t="str">
        <f t="shared" si="208"/>
        <v/>
      </c>
      <c r="AT347" s="1388" t="str">
        <f t="shared" si="209"/>
        <v/>
      </c>
      <c r="AU347" s="1393">
        <f t="shared" si="210"/>
        <v>0</v>
      </c>
      <c r="AV347" s="1431">
        <f t="shared" si="211"/>
        <v>0</v>
      </c>
      <c r="AW347" s="1421" t="str">
        <f t="shared" si="212"/>
        <v/>
      </c>
      <c r="AX347" s="1390" t="str">
        <f>IF(AND(AW347&lt;&gt;"",AY347&lt;&gt;""),"*","")</f>
        <v/>
      </c>
      <c r="AY347" s="1394" t="str">
        <f t="shared" si="213"/>
        <v/>
      </c>
      <c r="AZ347" s="1395" t="str">
        <f>IF(Table22[[#This Row],[LOQ_label]]="Y",Table22[[#This Row],[MRL individual commodity]],"")</f>
        <v/>
      </c>
      <c r="BA347" s="1396" t="s">
        <v>1038</v>
      </c>
      <c r="BB347" s="1411" t="str">
        <f>IF(Table22[[#This Row],[LOQ2]]&lt;0,MIN(AZ347:AZ723),"")</f>
        <v/>
      </c>
      <c r="BC347" s="1299"/>
      <c r="BD347" s="1306" t="str">
        <f>IF(Table22[[#This Row],[Chronic RA label]]="","N",IF(Table22[[#This Row],[Chronic RA label]]="LOQ","N",IF(Table22[[#This Row],[Chronic RA label]]="MRL","N","Y")))</f>
        <v>N</v>
      </c>
      <c r="BE347" s="1306" t="str">
        <f>IF(Table22[[#This Row],[Acute RA label]]="","N",IF(Table22[[#This Row],[Acute RA label]]="LOQ","N",IF(Table22[[#This Row],[Acute RA label]]="MRL","N","Y")))</f>
        <v>N</v>
      </c>
      <c r="BF347" s="1306" t="str">
        <f>IF(OR(Table22[[#This Row],[include commodity in Summary_input_values_chronic]]="Y",Table22[[#This Row],[include commodity in Summary_input_values_acute]]="Y"),"Y","N")</f>
        <v>N</v>
      </c>
      <c r="BG347" s="1299"/>
      <c r="BH347" s="1324"/>
    </row>
    <row r="348" spans="1:60" ht="12.75" customHeight="1" outlineLevel="3" x14ac:dyDescent="0.2">
      <c r="A348" s="39">
        <v>4</v>
      </c>
      <c r="B348" s="327">
        <v>1014020</v>
      </c>
      <c r="C348" s="23" t="s">
        <v>792</v>
      </c>
      <c r="D348" s="867"/>
      <c r="E348" s="1219"/>
      <c r="F348" s="867"/>
      <c r="G348" s="869"/>
      <c r="H348" s="863"/>
      <c r="I348" s="868"/>
      <c r="J348" s="870"/>
      <c r="K348" s="865"/>
      <c r="L348" s="872"/>
      <c r="M348" s="872"/>
      <c r="N348" s="925" t="str">
        <f>IF(O348&lt;&gt;0,CONCATENATE(input_values!$AF348,input_values!$AG348,input_values!$AH348),"")</f>
        <v/>
      </c>
      <c r="O348" s="491">
        <f>IF($A$10="Refined calculation mode",Table22[[#This Row],[input for chronic (refined mode]],Table22[[#This Row],[input for chronic normal mode]])</f>
        <v>0</v>
      </c>
      <c r="P348" s="925" t="str">
        <f>IF(Q348&lt;&gt;0,CONCATENATE(input_values!$AN348,input_values!$AO348,input_values!$AP348),"")</f>
        <v/>
      </c>
      <c r="Q348" s="491">
        <f>IF($V$5=0,0,IF(OR($A$10="Refined calculation mode",Results!$B$62="Show results of IESTI calculation only for crops with GAPs under assessment"),Table22[[#This Row],[Input for IESTI (refined mode)]],Table22[[#This Row],[Input for IESTI normal mode]]))</f>
        <v>0</v>
      </c>
      <c r="R348" s="926" t="str">
        <f>IF(S348&lt;&gt;0,CONCATENATE(input_values!$AW348,input_values!$AX348,input_values!$AY348),"")</f>
        <v/>
      </c>
      <c r="S348" s="492">
        <f>IF($V$5=0,0,IF(OR($A$10="Refined calculation mode",Results!$B$62="Show results of IESTI calculation only for crops with GAPs under assessment"),Table22[[#This Row],[Input for IESTI new (refined mode)]],Table22[[#This Row],[Input for IESTI new normal mode]]))</f>
        <v>0</v>
      </c>
      <c r="T348" s="886"/>
      <c r="U348" s="1436">
        <f>Table22[[#This Row],[MRL/ proposed MRL /CXL
(mg/kg)]]</f>
        <v>0</v>
      </c>
      <c r="V348" s="1437" t="str">
        <f t="shared" si="227"/>
        <v/>
      </c>
      <c r="W348" s="1387">
        <f t="shared" si="228"/>
        <v>1</v>
      </c>
      <c r="X348" s="1387">
        <f t="shared" si="229"/>
        <v>1</v>
      </c>
      <c r="Y348" s="1387">
        <f t="shared" si="230"/>
        <v>1</v>
      </c>
      <c r="Z348" s="1410">
        <v>4</v>
      </c>
      <c r="AA348" s="1387">
        <f t="shared" ref="AA348:AA353" si="231">IF(Z348=A348,U348,"")</f>
        <v>0</v>
      </c>
      <c r="AB348" s="1387">
        <f>IF(Z348=A348,IF(AND(L348="N",Table22[[#This Row],[LOQ_label]]="Y"),AA348,$AA348*$Y348),"")</f>
        <v>0</v>
      </c>
      <c r="AC348" s="1393">
        <f t="shared" si="197"/>
        <v>0</v>
      </c>
      <c r="AD348" s="1393">
        <f>IF(Table22[[#This Row],[Median residue*CF*PeF]]&lt;&gt;"",Table22[[#This Row],[Median residue*CF*PeF]],Table22[[#This Row],[MRL*CF*PeF (chronic)]])</f>
        <v>0</v>
      </c>
      <c r="AE348" s="1393">
        <f t="shared" si="198"/>
        <v>0</v>
      </c>
      <c r="AF348" s="1390" t="str">
        <f t="shared" si="199"/>
        <v>MRL</v>
      </c>
      <c r="AG348" s="1390" t="str">
        <f t="shared" si="200"/>
        <v/>
      </c>
      <c r="AH348" s="1394" t="str">
        <f t="shared" si="201"/>
        <v/>
      </c>
      <c r="AI348" s="1386">
        <v>4</v>
      </c>
      <c r="AJ348" s="1387">
        <f t="shared" ref="AJ348:AJ353" si="232">IF(AI348=A348,U348,"")</f>
        <v>0</v>
      </c>
      <c r="AK348" s="1387">
        <f>IF(AI348=A348,IF(AND(L348="N",Table22[[#This Row],[LOQ_label]]="Y"),AJ348,$AJ348*$Y348),"")</f>
        <v>0</v>
      </c>
      <c r="AL348" s="1388">
        <f t="shared" si="202"/>
        <v>0</v>
      </c>
      <c r="AM348" s="1393">
        <f>IF(Table22[[#This Row],[Highest residue * CF*PF]]&lt;&gt;"",Table22[[#This Row],[Highest residue * CF*PF]],Table22[[#This Row],[MRL*CF*PF or MRL (if LOQ and not authorised) (acute RA)]])</f>
        <v>0</v>
      </c>
      <c r="AN348" s="1390" t="str">
        <f t="shared" si="203"/>
        <v>MRL</v>
      </c>
      <c r="AO348" s="1390" t="str">
        <f t="shared" si="204"/>
        <v/>
      </c>
      <c r="AP348" s="1404" t="str">
        <f t="shared" si="205"/>
        <v/>
      </c>
      <c r="AQ348" s="1388">
        <f t="shared" si="206"/>
        <v>0</v>
      </c>
      <c r="AR348" s="1388" t="str">
        <f t="shared" si="207"/>
        <v/>
      </c>
      <c r="AS348" s="1388" t="str">
        <f t="shared" si="208"/>
        <v/>
      </c>
      <c r="AT348" s="1388" t="str">
        <f t="shared" si="209"/>
        <v/>
      </c>
      <c r="AU348" s="1393">
        <f t="shared" si="210"/>
        <v>0</v>
      </c>
      <c r="AV348" s="1388">
        <f t="shared" si="211"/>
        <v>0</v>
      </c>
      <c r="AW348" s="1390" t="str">
        <f t="shared" si="212"/>
        <v/>
      </c>
      <c r="AX348" s="1390" t="str">
        <f>IF(AND(AW348&lt;&gt;"",AY348&lt;&gt;""),"*","")</f>
        <v/>
      </c>
      <c r="AY348" s="1394" t="str">
        <f t="shared" si="213"/>
        <v/>
      </c>
      <c r="AZ348" s="1395" t="str">
        <f>IF(Table22[[#This Row],[LOQ_label]]="Y",Table22[[#This Row],[MRL individual commodity]],"")</f>
        <v/>
      </c>
      <c r="BA348" s="1396" t="s">
        <v>1038</v>
      </c>
      <c r="BB348" s="1411" t="str">
        <f>IF(Table22[[#This Row],[LOQ2]]&lt;0,MIN(AZ348:AZ724),"")</f>
        <v/>
      </c>
      <c r="BC348" s="1299"/>
      <c r="BD348" s="1306" t="str">
        <f>IF(Table22[[#This Row],[Chronic RA label]]="","N",IF(Table22[[#This Row],[Chronic RA label]]="LOQ","N",IF(Table22[[#This Row],[Chronic RA label]]="MRL","N","Y")))</f>
        <v>N</v>
      </c>
      <c r="BE348" s="1306" t="str">
        <f>IF(Table22[[#This Row],[Acute RA label]]="","N",IF(Table22[[#This Row],[Acute RA label]]="LOQ","N",IF(Table22[[#This Row],[Acute RA label]]="MRL","N","Y")))</f>
        <v>N</v>
      </c>
      <c r="BF348" s="1306" t="str">
        <f>IF(OR(Table22[[#This Row],[include commodity in Summary_input_values_chronic]]="Y",Table22[[#This Row],[include commodity in Summary_input_values_acute]]="Y"),"Y","N")</f>
        <v>N</v>
      </c>
      <c r="BG348" s="1299"/>
      <c r="BH348" s="1324"/>
    </row>
    <row r="349" spans="1:60" ht="12.75" customHeight="1" outlineLevel="3" x14ac:dyDescent="0.2">
      <c r="A349" s="39">
        <v>4</v>
      </c>
      <c r="B349" s="327">
        <v>1014030</v>
      </c>
      <c r="C349" s="23" t="s">
        <v>199</v>
      </c>
      <c r="D349" s="867"/>
      <c r="E349" s="1219"/>
      <c r="F349" s="867"/>
      <c r="G349" s="869"/>
      <c r="H349" s="863"/>
      <c r="I349" s="868"/>
      <c r="J349" s="870"/>
      <c r="K349" s="865"/>
      <c r="L349" s="872"/>
      <c r="M349" s="872"/>
      <c r="N349" s="925" t="str">
        <f>IF(O349&lt;&gt;0,CONCATENATE(input_values!$AF349,input_values!$AG349,input_values!$AH349),"")</f>
        <v/>
      </c>
      <c r="O349" s="491">
        <f>IF($A$10="Refined calculation mode",Table22[[#This Row],[input for chronic (refined mode]],Table22[[#This Row],[input for chronic normal mode]])</f>
        <v>0</v>
      </c>
      <c r="P349" s="925" t="str">
        <f>IF(Q349&lt;&gt;0,CONCATENATE(input_values!$AN349,input_values!$AO349,input_values!$AP349),"")</f>
        <v/>
      </c>
      <c r="Q349" s="491">
        <f>IF($V$5=0,0,IF(OR($A$10="Refined calculation mode",Results!$B$62="Show results of IESTI calculation only for crops with GAPs under assessment"),Table22[[#This Row],[Input for IESTI (refined mode)]],Table22[[#This Row],[Input for IESTI normal mode]]))</f>
        <v>0</v>
      </c>
      <c r="R349" s="926" t="str">
        <f>IF(S349&lt;&gt;0,CONCATENATE(input_values!$AW349,input_values!$AX349,input_values!$AY349),"")</f>
        <v/>
      </c>
      <c r="S349" s="492">
        <f>IF($V$5=0,0,IF(OR($A$10="Refined calculation mode",Results!$B$62="Show results of IESTI calculation only for crops with GAPs under assessment"),Table22[[#This Row],[Input for IESTI new (refined mode)]],Table22[[#This Row],[Input for IESTI new normal mode]]))</f>
        <v>0</v>
      </c>
      <c r="T349" s="886"/>
      <c r="U349" s="1436">
        <f>Table22[[#This Row],[MRL/ proposed MRL /CXL
(mg/kg)]]</f>
        <v>0</v>
      </c>
      <c r="V349" s="1437" t="str">
        <f t="shared" si="227"/>
        <v/>
      </c>
      <c r="W349" s="1387">
        <f t="shared" si="228"/>
        <v>1</v>
      </c>
      <c r="X349" s="1387">
        <f t="shared" si="229"/>
        <v>1</v>
      </c>
      <c r="Y349" s="1387">
        <f t="shared" si="230"/>
        <v>1</v>
      </c>
      <c r="Z349" s="1410">
        <v>4</v>
      </c>
      <c r="AA349" s="1387">
        <f t="shared" si="231"/>
        <v>0</v>
      </c>
      <c r="AB349" s="1387">
        <f>IF(Z349=A349,IF(AND(L349="N",Table22[[#This Row],[LOQ_label]]="Y"),AA349,$AA349*$Y349),"")</f>
        <v>0</v>
      </c>
      <c r="AC349" s="1393">
        <f t="shared" si="197"/>
        <v>0</v>
      </c>
      <c r="AD349" s="1393">
        <f>IF(Table22[[#This Row],[Median residue*CF*PeF]]&lt;&gt;"",Table22[[#This Row],[Median residue*CF*PeF]],Table22[[#This Row],[MRL*CF*PeF (chronic)]])</f>
        <v>0</v>
      </c>
      <c r="AE349" s="1393">
        <f t="shared" si="198"/>
        <v>0</v>
      </c>
      <c r="AF349" s="1390" t="str">
        <f t="shared" si="199"/>
        <v>MRL</v>
      </c>
      <c r="AG349" s="1390" t="str">
        <f t="shared" si="200"/>
        <v/>
      </c>
      <c r="AH349" s="1394" t="str">
        <f t="shared" si="201"/>
        <v/>
      </c>
      <c r="AI349" s="1386">
        <v>4</v>
      </c>
      <c r="AJ349" s="1387">
        <f t="shared" si="232"/>
        <v>0</v>
      </c>
      <c r="AK349" s="1387">
        <f>IF(AI349=A349,IF(AND(L349="N",Table22[[#This Row],[LOQ_label]]="Y"),AJ349,$AJ349*$Y349),"")</f>
        <v>0</v>
      </c>
      <c r="AL349" s="1388">
        <f t="shared" si="202"/>
        <v>0</v>
      </c>
      <c r="AM349" s="1393">
        <f>IF(Table22[[#This Row],[Highest residue * CF*PF]]&lt;&gt;"",Table22[[#This Row],[Highest residue * CF*PF]],Table22[[#This Row],[MRL*CF*PF or MRL (if LOQ and not authorised) (acute RA)]])</f>
        <v>0</v>
      </c>
      <c r="AN349" s="1390" t="str">
        <f t="shared" si="203"/>
        <v>MRL</v>
      </c>
      <c r="AO349" s="1390" t="str">
        <f t="shared" si="204"/>
        <v/>
      </c>
      <c r="AP349" s="1404" t="str">
        <f t="shared" si="205"/>
        <v/>
      </c>
      <c r="AQ349" s="1388">
        <f t="shared" si="206"/>
        <v>0</v>
      </c>
      <c r="AR349" s="1388" t="str">
        <f t="shared" si="207"/>
        <v/>
      </c>
      <c r="AS349" s="1388" t="str">
        <f t="shared" si="208"/>
        <v/>
      </c>
      <c r="AT349" s="1388" t="str">
        <f t="shared" si="209"/>
        <v/>
      </c>
      <c r="AU349" s="1393">
        <f t="shared" si="210"/>
        <v>0</v>
      </c>
      <c r="AV349" s="1388">
        <f t="shared" si="211"/>
        <v>0</v>
      </c>
      <c r="AW349" s="1390" t="str">
        <f t="shared" si="212"/>
        <v/>
      </c>
      <c r="AX349" s="1390" t="str">
        <f>IF(AND(AW349&lt;&gt;"",AY349&lt;&gt;""),"*","")</f>
        <v/>
      </c>
      <c r="AY349" s="1394" t="str">
        <f t="shared" si="213"/>
        <v/>
      </c>
      <c r="AZ349" s="1395" t="str">
        <f>IF(Table22[[#This Row],[LOQ_label]]="Y",Table22[[#This Row],[MRL individual commodity]],"")</f>
        <v/>
      </c>
      <c r="BA349" s="1396" t="s">
        <v>1038</v>
      </c>
      <c r="BB349" s="1411" t="str">
        <f>IF(Table22[[#This Row],[LOQ2]]&lt;0,MIN(AZ349:AZ725),"")</f>
        <v/>
      </c>
      <c r="BC349" s="1299"/>
      <c r="BD349" s="1306" t="str">
        <f>IF(Table22[[#This Row],[Chronic RA label]]="","N",IF(Table22[[#This Row],[Chronic RA label]]="LOQ","N",IF(Table22[[#This Row],[Chronic RA label]]="MRL","N","Y")))</f>
        <v>N</v>
      </c>
      <c r="BE349" s="1306" t="str">
        <f>IF(Table22[[#This Row],[Acute RA label]]="","N",IF(Table22[[#This Row],[Acute RA label]]="LOQ","N",IF(Table22[[#This Row],[Acute RA label]]="MRL","N","Y")))</f>
        <v>N</v>
      </c>
      <c r="BF349" s="1306" t="str">
        <f>IF(OR(Table22[[#This Row],[include commodity in Summary_input_values_chronic]]="Y",Table22[[#This Row],[include commodity in Summary_input_values_acute]]="Y"),"Y","N")</f>
        <v>N</v>
      </c>
      <c r="BG349" s="1299"/>
      <c r="BH349" s="1324"/>
    </row>
    <row r="350" spans="1:60" ht="12.75" customHeight="1" outlineLevel="3" x14ac:dyDescent="0.2">
      <c r="A350" s="39">
        <v>4</v>
      </c>
      <c r="B350" s="327">
        <v>1014040</v>
      </c>
      <c r="C350" s="23" t="s">
        <v>200</v>
      </c>
      <c r="D350" s="867"/>
      <c r="E350" s="1219"/>
      <c r="F350" s="867"/>
      <c r="G350" s="869"/>
      <c r="H350" s="863"/>
      <c r="I350" s="868"/>
      <c r="J350" s="870"/>
      <c r="K350" s="865"/>
      <c r="L350" s="872"/>
      <c r="M350" s="872"/>
      <c r="N350" s="925" t="str">
        <f>IF(O350&lt;&gt;0,CONCATENATE(input_values!$AF350,input_values!$AG350,input_values!$AH350),"")</f>
        <v/>
      </c>
      <c r="O350" s="491">
        <f>IF($A$10="Refined calculation mode",Table22[[#This Row],[input for chronic (refined mode]],Table22[[#This Row],[input for chronic normal mode]])</f>
        <v>0</v>
      </c>
      <c r="P350" s="925" t="str">
        <f>IF(Q350&lt;&gt;0,CONCATENATE(input_values!$AN350,input_values!$AO350,input_values!$AP350),"")</f>
        <v/>
      </c>
      <c r="Q350" s="491">
        <f>IF($V$5=0,0,IF(OR($A$10="Refined calculation mode",Results!$B$62="Show results of IESTI calculation only for crops with GAPs under assessment"),Table22[[#This Row],[Input for IESTI (refined mode)]],Table22[[#This Row],[Input for IESTI normal mode]]))</f>
        <v>0</v>
      </c>
      <c r="R350" s="926" t="str">
        <f>IF(S350&lt;&gt;0,CONCATENATE(input_values!$AW350,input_values!$AX350,input_values!$AY350),"")</f>
        <v/>
      </c>
      <c r="S350" s="492">
        <f>IF($V$5=0,0,IF(OR($A$10="Refined calculation mode",Results!$B$62="Show results of IESTI calculation only for crops with GAPs under assessment"),Table22[[#This Row],[Input for IESTI new (refined mode)]],Table22[[#This Row],[Input for IESTI new normal mode]]))</f>
        <v>0</v>
      </c>
      <c r="T350" s="886"/>
      <c r="U350" s="1436">
        <f>Table22[[#This Row],[MRL/ proposed MRL /CXL
(mg/kg)]]</f>
        <v>0</v>
      </c>
      <c r="V350" s="1437" t="str">
        <f t="shared" si="227"/>
        <v/>
      </c>
      <c r="W350" s="1387">
        <f t="shared" si="228"/>
        <v>1</v>
      </c>
      <c r="X350" s="1387">
        <f t="shared" si="229"/>
        <v>1</v>
      </c>
      <c r="Y350" s="1387">
        <f t="shared" si="230"/>
        <v>1</v>
      </c>
      <c r="Z350" s="1410">
        <v>4</v>
      </c>
      <c r="AA350" s="1387">
        <f t="shared" si="231"/>
        <v>0</v>
      </c>
      <c r="AB350" s="1387">
        <f>IF(Z350=A350,IF(AND(L350="N",Table22[[#This Row],[LOQ_label]]="Y"),AA350,$AA350*$Y350),"")</f>
        <v>0</v>
      </c>
      <c r="AC350" s="1393">
        <f t="shared" si="197"/>
        <v>0</v>
      </c>
      <c r="AD350" s="1393">
        <f>IF(Table22[[#This Row],[Median residue*CF*PeF]]&lt;&gt;"",Table22[[#This Row],[Median residue*CF*PeF]],Table22[[#This Row],[MRL*CF*PeF (chronic)]])</f>
        <v>0</v>
      </c>
      <c r="AE350" s="1393">
        <f t="shared" si="198"/>
        <v>0</v>
      </c>
      <c r="AF350" s="1390" t="str">
        <f t="shared" si="199"/>
        <v>MRL</v>
      </c>
      <c r="AG350" s="1390" t="str">
        <f t="shared" si="200"/>
        <v/>
      </c>
      <c r="AH350" s="1394" t="str">
        <f t="shared" si="201"/>
        <v/>
      </c>
      <c r="AI350" s="1386">
        <v>4</v>
      </c>
      <c r="AJ350" s="1387">
        <f t="shared" si="232"/>
        <v>0</v>
      </c>
      <c r="AK350" s="1387">
        <f>IF(AI350=A350,IF(AND(L350="N",Table22[[#This Row],[LOQ_label]]="Y"),AJ350,$AJ350*$Y350),"")</f>
        <v>0</v>
      </c>
      <c r="AL350" s="1388">
        <f t="shared" si="202"/>
        <v>0</v>
      </c>
      <c r="AM350" s="1393">
        <f>IF(Table22[[#This Row],[Highest residue * CF*PF]]&lt;&gt;"",Table22[[#This Row],[Highest residue * CF*PF]],Table22[[#This Row],[MRL*CF*PF or MRL (if LOQ and not authorised) (acute RA)]])</f>
        <v>0</v>
      </c>
      <c r="AN350" s="1390" t="str">
        <f t="shared" si="203"/>
        <v>MRL</v>
      </c>
      <c r="AO350" s="1390" t="str">
        <f t="shared" si="204"/>
        <v/>
      </c>
      <c r="AP350" s="1404" t="str">
        <f t="shared" si="205"/>
        <v/>
      </c>
      <c r="AQ350" s="1388">
        <f t="shared" si="206"/>
        <v>0</v>
      </c>
      <c r="AR350" s="1388" t="str">
        <f t="shared" si="207"/>
        <v/>
      </c>
      <c r="AS350" s="1388" t="str">
        <f t="shared" si="208"/>
        <v/>
      </c>
      <c r="AT350" s="1388" t="str">
        <f t="shared" si="209"/>
        <v/>
      </c>
      <c r="AU350" s="1393">
        <f t="shared" si="210"/>
        <v>0</v>
      </c>
      <c r="AV350" s="1388">
        <f t="shared" si="211"/>
        <v>0</v>
      </c>
      <c r="AW350" s="1390" t="str">
        <f t="shared" si="212"/>
        <v/>
      </c>
      <c r="AX350" s="1390" t="str">
        <f>IF(AND(AW350&lt;&gt;"",AY350&lt;&gt;""),"*","")</f>
        <v/>
      </c>
      <c r="AY350" s="1394" t="str">
        <f t="shared" si="213"/>
        <v/>
      </c>
      <c r="AZ350" s="1395" t="str">
        <f>IF(Table22[[#This Row],[LOQ_label]]="Y",Table22[[#This Row],[MRL individual commodity]],"")</f>
        <v/>
      </c>
      <c r="BA350" s="1396" t="s">
        <v>1038</v>
      </c>
      <c r="BB350" s="1411" t="str">
        <f>IF(Table22[[#This Row],[LOQ2]]&lt;0,MIN(AZ350:AZ726),"")</f>
        <v/>
      </c>
      <c r="BC350" s="1299"/>
      <c r="BD350" s="1306" t="str">
        <f>IF(Table22[[#This Row],[Chronic RA label]]="","N",IF(Table22[[#This Row],[Chronic RA label]]="LOQ","N",IF(Table22[[#This Row],[Chronic RA label]]="MRL","N","Y")))</f>
        <v>N</v>
      </c>
      <c r="BE350" s="1306" t="str">
        <f>IF(Table22[[#This Row],[Acute RA label]]="","N",IF(Table22[[#This Row],[Acute RA label]]="LOQ","N",IF(Table22[[#This Row],[Acute RA label]]="MRL","N","Y")))</f>
        <v>N</v>
      </c>
      <c r="BF350" s="1306" t="str">
        <f>IF(OR(Table22[[#This Row],[include commodity in Summary_input_values_chronic]]="Y",Table22[[#This Row],[include commodity in Summary_input_values_acute]]="Y"),"Y","N")</f>
        <v>N</v>
      </c>
      <c r="BG350" s="1299"/>
      <c r="BH350" s="1324"/>
    </row>
    <row r="351" spans="1:60" ht="12.75" customHeight="1" outlineLevel="3" x14ac:dyDescent="0.2">
      <c r="A351" s="39">
        <v>4</v>
      </c>
      <c r="B351" s="327">
        <v>1014050</v>
      </c>
      <c r="C351" s="23" t="s">
        <v>795</v>
      </c>
      <c r="D351" s="867"/>
      <c r="E351" s="1219"/>
      <c r="F351" s="867"/>
      <c r="G351" s="869"/>
      <c r="H351" s="863"/>
      <c r="I351" s="868"/>
      <c r="J351" s="870"/>
      <c r="K351" s="865"/>
      <c r="L351" s="872"/>
      <c r="M351" s="872"/>
      <c r="N351" s="925" t="str">
        <f>IF(O351&lt;&gt;0,CONCATENATE(input_values!$AF351,input_values!$AG351,input_values!$AH351),"")</f>
        <v/>
      </c>
      <c r="O351" s="491">
        <f>IF($A$10="Refined calculation mode",Table22[[#This Row],[input for chronic (refined mode]],Table22[[#This Row],[input for chronic normal mode]])</f>
        <v>0</v>
      </c>
      <c r="P351" s="925" t="str">
        <f>IF(Q351&lt;&gt;0,CONCATENATE(input_values!$AN351,input_values!$AO351,input_values!$AP351),"")</f>
        <v/>
      </c>
      <c r="Q351" s="491">
        <f>IF($V$5=0,0,IF(OR($A$10="Refined calculation mode",Results!$B$62="Show results of IESTI calculation only for crops with GAPs under assessment"),Table22[[#This Row],[Input for IESTI (refined mode)]],Table22[[#This Row],[Input for IESTI normal mode]]))</f>
        <v>0</v>
      </c>
      <c r="R351" s="926" t="str">
        <f>IF(S351&lt;&gt;0,CONCATENATE(input_values!$AW351,input_values!$AX351,input_values!$AY351),"")</f>
        <v/>
      </c>
      <c r="S351" s="492">
        <f>IF($V$5=0,0,IF(OR($A$10="Refined calculation mode",Results!$B$62="Show results of IESTI calculation only for crops with GAPs under assessment"),Table22[[#This Row],[Input for IESTI new (refined mode)]],Table22[[#This Row],[Input for IESTI new normal mode]]))</f>
        <v>0</v>
      </c>
      <c r="T351" s="886"/>
      <c r="U351" s="1436">
        <f>Table22[[#This Row],[MRL/ proposed MRL /CXL
(mg/kg)]]</f>
        <v>0</v>
      </c>
      <c r="V351" s="1437" t="str">
        <f t="shared" si="227"/>
        <v/>
      </c>
      <c r="W351" s="1387">
        <f t="shared" si="228"/>
        <v>1</v>
      </c>
      <c r="X351" s="1387">
        <f t="shared" si="229"/>
        <v>1</v>
      </c>
      <c r="Y351" s="1387">
        <f t="shared" si="230"/>
        <v>1</v>
      </c>
      <c r="Z351" s="1410">
        <v>4</v>
      </c>
      <c r="AA351" s="1387">
        <f t="shared" si="231"/>
        <v>0</v>
      </c>
      <c r="AB351" s="1387">
        <f>IF(Z351=A351,IF(AND(L351="N",Table22[[#This Row],[LOQ_label]]="Y"),AA351,$AA351*$Y351),"")</f>
        <v>0</v>
      </c>
      <c r="AC351" s="1393">
        <f t="shared" si="197"/>
        <v>0</v>
      </c>
      <c r="AD351" s="1393">
        <f>IF(Table22[[#This Row],[Median residue*CF*PeF]]&lt;&gt;"",Table22[[#This Row],[Median residue*CF*PeF]],Table22[[#This Row],[MRL*CF*PeF (chronic)]])</f>
        <v>0</v>
      </c>
      <c r="AE351" s="1393">
        <f t="shared" si="198"/>
        <v>0</v>
      </c>
      <c r="AF351" s="1390" t="str">
        <f t="shared" si="199"/>
        <v>MRL</v>
      </c>
      <c r="AG351" s="1390" t="str">
        <f t="shared" si="200"/>
        <v/>
      </c>
      <c r="AH351" s="1394" t="str">
        <f t="shared" si="201"/>
        <v/>
      </c>
      <c r="AI351" s="1386">
        <v>4</v>
      </c>
      <c r="AJ351" s="1387">
        <f t="shared" si="232"/>
        <v>0</v>
      </c>
      <c r="AK351" s="1387">
        <f>IF(AI351=A351,IF(AND(L351="N",Table22[[#This Row],[LOQ_label]]="Y"),AJ351,$AJ351*$Y351),"")</f>
        <v>0</v>
      </c>
      <c r="AL351" s="1388">
        <f t="shared" si="202"/>
        <v>0</v>
      </c>
      <c r="AM351" s="1393">
        <f>IF(Table22[[#This Row],[Highest residue * CF*PF]]&lt;&gt;"",Table22[[#This Row],[Highest residue * CF*PF]],Table22[[#This Row],[MRL*CF*PF or MRL (if LOQ and not authorised) (acute RA)]])</f>
        <v>0</v>
      </c>
      <c r="AN351" s="1390" t="str">
        <f t="shared" si="203"/>
        <v>MRL</v>
      </c>
      <c r="AO351" s="1390" t="str">
        <f t="shared" si="204"/>
        <v/>
      </c>
      <c r="AP351" s="1404" t="str">
        <f t="shared" si="205"/>
        <v/>
      </c>
      <c r="AQ351" s="1388">
        <f t="shared" si="206"/>
        <v>0</v>
      </c>
      <c r="AR351" s="1388" t="str">
        <f t="shared" si="207"/>
        <v/>
      </c>
      <c r="AS351" s="1388" t="str">
        <f t="shared" si="208"/>
        <v/>
      </c>
      <c r="AT351" s="1388" t="str">
        <f t="shared" si="209"/>
        <v/>
      </c>
      <c r="AU351" s="1393">
        <f t="shared" si="210"/>
        <v>0</v>
      </c>
      <c r="AV351" s="1388">
        <f t="shared" si="211"/>
        <v>0</v>
      </c>
      <c r="AW351" s="1390" t="str">
        <f t="shared" si="212"/>
        <v/>
      </c>
      <c r="AX351" s="1390" t="str">
        <f>IF(AND(AW351&lt;&gt;"",AY351&lt;&gt;""),"*","")</f>
        <v/>
      </c>
      <c r="AY351" s="1394" t="str">
        <f t="shared" si="213"/>
        <v/>
      </c>
      <c r="AZ351" s="1395" t="str">
        <f>IF(Table22[[#This Row],[LOQ_label]]="Y",Table22[[#This Row],[MRL individual commodity]],"")</f>
        <v/>
      </c>
      <c r="BA351" s="1396" t="s">
        <v>1038</v>
      </c>
      <c r="BB351" s="1411" t="str">
        <f>IF(Table22[[#This Row],[LOQ2]]&lt;0,MIN(AZ351:AZ727),"")</f>
        <v/>
      </c>
      <c r="BC351" s="1299"/>
      <c r="BD351" s="1306" t="str">
        <f>IF(Table22[[#This Row],[Chronic RA label]]="","N",IF(Table22[[#This Row],[Chronic RA label]]="LOQ","N",IF(Table22[[#This Row],[Chronic RA label]]="MRL","N","Y")))</f>
        <v>N</v>
      </c>
      <c r="BE351" s="1306" t="str">
        <f>IF(Table22[[#This Row],[Acute RA label]]="","N",IF(Table22[[#This Row],[Acute RA label]]="LOQ","N",IF(Table22[[#This Row],[Acute RA label]]="MRL","N","Y")))</f>
        <v>N</v>
      </c>
      <c r="BF351" s="1306" t="str">
        <f>IF(OR(Table22[[#This Row],[include commodity in Summary_input_values_chronic]]="Y",Table22[[#This Row],[include commodity in Summary_input_values_acute]]="Y"),"Y","N")</f>
        <v>N</v>
      </c>
      <c r="BG351" s="1299"/>
      <c r="BH351" s="1324"/>
    </row>
    <row r="352" spans="1:60" ht="12.75" customHeight="1" outlineLevel="3" x14ac:dyDescent="0.2">
      <c r="A352" s="39">
        <v>4</v>
      </c>
      <c r="B352" s="327">
        <v>1014990</v>
      </c>
      <c r="C352" s="23" t="s">
        <v>637</v>
      </c>
      <c r="D352" s="867"/>
      <c r="E352" s="1219"/>
      <c r="F352" s="867"/>
      <c r="G352" s="868"/>
      <c r="H352" s="863"/>
      <c r="I352" s="868"/>
      <c r="J352" s="870"/>
      <c r="K352" s="865"/>
      <c r="L352" s="872"/>
      <c r="M352" s="872"/>
      <c r="N352" s="925" t="str">
        <f>IF(O352&lt;&gt;0,CONCATENATE(input_values!$AF352,input_values!$AG352,input_values!$AH352),"")</f>
        <v/>
      </c>
      <c r="O352" s="491">
        <f>IF($A$10="Refined calculation mode",Table22[[#This Row],[input for chronic (refined mode]],Table22[[#This Row],[input for chronic normal mode]])</f>
        <v>0</v>
      </c>
      <c r="P352" s="473"/>
      <c r="Q352" s="474"/>
      <c r="R352" s="473"/>
      <c r="S352" s="474"/>
      <c r="T352" s="886"/>
      <c r="U352" s="1436">
        <f>Table22[[#This Row],[MRL/ proposed MRL /CXL
(mg/kg)]]</f>
        <v>0</v>
      </c>
      <c r="V352" s="1437" t="str">
        <f t="shared" si="227"/>
        <v/>
      </c>
      <c r="W352" s="1387">
        <f t="shared" si="228"/>
        <v>1</v>
      </c>
      <c r="X352" s="1387">
        <f t="shared" si="229"/>
        <v>1</v>
      </c>
      <c r="Y352" s="1387">
        <f t="shared" si="230"/>
        <v>1</v>
      </c>
      <c r="Z352" s="1410">
        <v>4</v>
      </c>
      <c r="AA352" s="1387">
        <f t="shared" si="231"/>
        <v>0</v>
      </c>
      <c r="AB352" s="1387">
        <f>IF(Z352=A352,IF(AND(L352="N",Table22[[#This Row],[LOQ_label]]="Y"),AA352,$AA352*$Y352),"")</f>
        <v>0</v>
      </c>
      <c r="AC352" s="1393">
        <f t="shared" si="197"/>
        <v>0</v>
      </c>
      <c r="AD352" s="1393">
        <f>IF(Table22[[#This Row],[Median residue*CF*PeF]]&lt;&gt;"",Table22[[#This Row],[Median residue*CF*PeF]],Table22[[#This Row],[MRL*CF*PeF (chronic)]])</f>
        <v>0</v>
      </c>
      <c r="AE352" s="1393">
        <f t="shared" si="198"/>
        <v>0</v>
      </c>
      <c r="AF352" s="1390" t="str">
        <f t="shared" si="199"/>
        <v>MRL</v>
      </c>
      <c r="AG352" s="1390" t="str">
        <f t="shared" si="200"/>
        <v/>
      </c>
      <c r="AH352" s="1394" t="str">
        <f t="shared" si="201"/>
        <v/>
      </c>
      <c r="AI352" s="1386"/>
      <c r="AJ352" s="1387" t="str">
        <f t="shared" si="232"/>
        <v/>
      </c>
      <c r="AK352" s="1387" t="str">
        <f>IF(AI352=A352,IF(AND(L352="N",Table22[[#This Row],[LOQ_label]]="Y"),AJ352,$AJ352*$Y352),"")</f>
        <v/>
      </c>
      <c r="AL352" s="1388" t="str">
        <f t="shared" si="202"/>
        <v/>
      </c>
      <c r="AM352" s="1393" t="str">
        <f>IF(Table22[[#This Row],[Highest residue * CF*PF]]&lt;&gt;"",Table22[[#This Row],[Highest residue * CF*PF]],Table22[[#This Row],[MRL*CF*PF or MRL (if LOQ and not authorised) (acute RA)]])</f>
        <v/>
      </c>
      <c r="AN352" s="1390" t="str">
        <f t="shared" si="203"/>
        <v/>
      </c>
      <c r="AO352" s="1390" t="str">
        <f t="shared" si="204"/>
        <v/>
      </c>
      <c r="AP352" s="1404" t="str">
        <f t="shared" si="205"/>
        <v/>
      </c>
      <c r="AQ352" s="1388">
        <f t="shared" si="206"/>
        <v>0</v>
      </c>
      <c r="AR352" s="1388" t="str">
        <f t="shared" si="207"/>
        <v/>
      </c>
      <c r="AS352" s="1388" t="str">
        <f t="shared" si="208"/>
        <v/>
      </c>
      <c r="AT352" s="1388" t="str">
        <f t="shared" si="209"/>
        <v/>
      </c>
      <c r="AU352" s="1393" t="str">
        <f t="shared" si="210"/>
        <v/>
      </c>
      <c r="AV352" s="1388">
        <f t="shared" si="211"/>
        <v>0</v>
      </c>
      <c r="AW352" s="1390" t="str">
        <f t="shared" si="212"/>
        <v/>
      </c>
      <c r="AX352" s="1390" t="str">
        <f>IF(AND(AN352&lt;&gt;"",AY352&lt;&gt;""),"*","")</f>
        <v/>
      </c>
      <c r="AY352" s="1394" t="str">
        <f t="shared" si="213"/>
        <v/>
      </c>
      <c r="AZ352" s="1395" t="str">
        <f>IF(Table22[[#This Row],[LOQ_label]]="Y",Table22[[#This Row],[MRL individual commodity]],"")</f>
        <v/>
      </c>
      <c r="BA352" s="1396" t="s">
        <v>1159</v>
      </c>
      <c r="BB352" s="1411" t="str">
        <f>IF(Table22[[#This Row],[LOQ2]]&lt;0,MIN(AZ352:AZ728),"")</f>
        <v/>
      </c>
      <c r="BC352" s="1299"/>
      <c r="BD352" s="1306" t="str">
        <f>IF(Table22[[#This Row],[Chronic RA label]]="","N",IF(Table22[[#This Row],[Chronic RA label]]="LOQ","N",IF(Table22[[#This Row],[Chronic RA label]]="MRL","N","Y")))</f>
        <v>N</v>
      </c>
      <c r="BE352" s="1306" t="str">
        <f>IF(Table22[[#This Row],[Acute RA label]]="","N",IF(Table22[[#This Row],[Acute RA label]]="LOQ","N",IF(Table22[[#This Row],[Acute RA label]]="MRL","N","Y")))</f>
        <v>N</v>
      </c>
      <c r="BF352" s="1306" t="str">
        <f>IF(OR(Table22[[#This Row],[include commodity in Summary_input_values_chronic]]="Y",Table22[[#This Row],[include commodity in Summary_input_values_acute]]="Y"),"Y","N")</f>
        <v>N</v>
      </c>
      <c r="BG352" s="1299"/>
      <c r="BH352" s="1324"/>
    </row>
    <row r="353" spans="1:60" ht="12.75" customHeight="1" outlineLevel="2" x14ac:dyDescent="0.2">
      <c r="A353" s="133">
        <v>3</v>
      </c>
      <c r="B353" s="449">
        <v>1015000</v>
      </c>
      <c r="C353" s="5" t="s">
        <v>796</v>
      </c>
      <c r="D353" s="862"/>
      <c r="E353" s="1218"/>
      <c r="F353" s="862"/>
      <c r="G353" s="866"/>
      <c r="H353" s="863"/>
      <c r="I353" s="863"/>
      <c r="J353" s="864"/>
      <c r="K353" s="865"/>
      <c r="L353" s="471"/>
      <c r="M353" s="471"/>
      <c r="N353" s="473"/>
      <c r="O353" s="474"/>
      <c r="P353" s="473"/>
      <c r="Q353" s="474"/>
      <c r="R353" s="473"/>
      <c r="S353" s="474"/>
      <c r="T353" s="886"/>
      <c r="U353" s="1415"/>
      <c r="V353" s="1380"/>
      <c r="W353" s="1381"/>
      <c r="X353" s="1381"/>
      <c r="Y353" s="1381"/>
      <c r="Z353" s="1382">
        <v>4</v>
      </c>
      <c r="AA353" s="1381" t="str">
        <f t="shared" si="231"/>
        <v/>
      </c>
      <c r="AB353" s="1381" t="str">
        <f>IF(Z353=A353,IF(AND(L353="N",Table22[[#This Row],[LOQ_label]]="Y"),AA353,$AA353*$Y353),"")</f>
        <v/>
      </c>
      <c r="AC353" s="1383" t="str">
        <f t="shared" si="197"/>
        <v/>
      </c>
      <c r="AD353" s="1383" t="str">
        <f>IF(Table22[[#This Row],[Median residue*CF*PeF]]&lt;&gt;"",Table22[[#This Row],[Median residue*CF*PeF]],Table22[[#This Row],[MRL*CF*PeF (chronic)]])</f>
        <v/>
      </c>
      <c r="AE353" s="1384">
        <f t="shared" si="198"/>
        <v>0</v>
      </c>
      <c r="AF353" s="1385" t="str">
        <f t="shared" si="199"/>
        <v/>
      </c>
      <c r="AG353" s="1385" t="str">
        <f t="shared" si="200"/>
        <v/>
      </c>
      <c r="AH353" s="1270" t="str">
        <f t="shared" si="201"/>
        <v/>
      </c>
      <c r="AI353" s="1386">
        <v>4</v>
      </c>
      <c r="AJ353" s="1387" t="str">
        <f t="shared" si="232"/>
        <v/>
      </c>
      <c r="AK353" s="1387" t="str">
        <f>IF(AI353=A353,IF(AND(L353="N",Table22[[#This Row],[LOQ_label]]="Y"),AJ353,$AJ353*$Y353),"")</f>
        <v/>
      </c>
      <c r="AL353" s="1388" t="str">
        <f t="shared" si="202"/>
        <v/>
      </c>
      <c r="AM353" s="1393" t="str">
        <f>IF(Table22[[#This Row],[Highest residue * CF*PF]]&lt;&gt;"",Table22[[#This Row],[Highest residue * CF*PF]],Table22[[#This Row],[MRL*CF*PF or MRL (if LOQ and not authorised) (acute RA)]])</f>
        <v/>
      </c>
      <c r="AN353" s="1390" t="str">
        <f t="shared" si="203"/>
        <v/>
      </c>
      <c r="AO353" s="1390" t="str">
        <f t="shared" si="204"/>
        <v/>
      </c>
      <c r="AP353" s="1404" t="str">
        <f t="shared" si="205"/>
        <v/>
      </c>
      <c r="AQ353" s="1388">
        <f t="shared" si="206"/>
        <v>0</v>
      </c>
      <c r="AR353" s="1388" t="str">
        <f t="shared" si="207"/>
        <v/>
      </c>
      <c r="AS353" s="1388" t="str">
        <f t="shared" si="208"/>
        <v/>
      </c>
      <c r="AT353" s="1388" t="str">
        <f t="shared" si="209"/>
        <v/>
      </c>
      <c r="AU353" s="1393" t="str">
        <f t="shared" si="210"/>
        <v/>
      </c>
      <c r="AV353" s="1388">
        <f t="shared" si="211"/>
        <v>0</v>
      </c>
      <c r="AW353" s="1390" t="str">
        <f t="shared" si="212"/>
        <v/>
      </c>
      <c r="AX353" s="1390" t="str">
        <f>IF(AND(AN353&lt;&gt;"",AY353&lt;&gt;""),"*","")</f>
        <v/>
      </c>
      <c r="AY353" s="1394" t="str">
        <f t="shared" si="213"/>
        <v/>
      </c>
      <c r="AZ353" s="1395">
        <f>IF(Table22[[#This Row],[LOQ_label]]="Y",Table22[[#This Row],[MRL individual commodity]],"")</f>
        <v>0</v>
      </c>
      <c r="BA353" s="1396" t="s">
        <v>1159</v>
      </c>
      <c r="BB353" s="1411" t="str">
        <f>IF(Table22[[#This Row],[LOQ2]]&lt;0,MIN(AZ353:AZ729),"")</f>
        <v/>
      </c>
      <c r="BC353" s="1299"/>
      <c r="BD353" s="1306" t="str">
        <f>IF(Table22[[#This Row],[Chronic RA label]]="","N",IF(Table22[[#This Row],[Chronic RA label]]="LOQ","N",IF(Table22[[#This Row],[Chronic RA label]]="MRL","N","Y")))</f>
        <v>N</v>
      </c>
      <c r="BE353" s="1306" t="str">
        <f>IF(Table22[[#This Row],[Acute RA label]]="","N",IF(Table22[[#This Row],[Acute RA label]]="LOQ","N",IF(Table22[[#This Row],[Acute RA label]]="MRL","N","Y")))</f>
        <v>N</v>
      </c>
      <c r="BF353" s="1306" t="str">
        <f>IF(OR(Table22[[#This Row],[include commodity in Summary_input_values_chronic]]="Y",Table22[[#This Row],[include commodity in Summary_input_values_acute]]="Y"),"Y","N")</f>
        <v>N</v>
      </c>
      <c r="BG353" s="1299"/>
      <c r="BH353" s="1324"/>
    </row>
    <row r="354" spans="1:60" ht="12.75" customHeight="1" outlineLevel="3" x14ac:dyDescent="0.2">
      <c r="A354" s="39">
        <v>4</v>
      </c>
      <c r="B354" s="327">
        <v>1015010</v>
      </c>
      <c r="C354" s="23" t="s">
        <v>866</v>
      </c>
      <c r="D354" s="867"/>
      <c r="E354" s="1219"/>
      <c r="F354" s="867"/>
      <c r="G354" s="869"/>
      <c r="H354" s="863"/>
      <c r="I354" s="868"/>
      <c r="J354" s="870"/>
      <c r="K354" s="865"/>
      <c r="L354" s="872"/>
      <c r="M354" s="872"/>
      <c r="N354" s="925" t="str">
        <f>IF(O354&lt;&gt;0,CONCATENATE(input_values!$AF354,input_values!$AG354,input_values!$AH354),"")</f>
        <v/>
      </c>
      <c r="O354" s="491">
        <f>IF($A$10="Refined calculation mode",Table22[[#This Row],[input for chronic (refined mode]],Table22[[#This Row],[input for chronic normal mode]])</f>
        <v>0</v>
      </c>
      <c r="P354" s="925" t="str">
        <f>IF(Q354&lt;&gt;0,CONCATENATE(input_values!$AN354,input_values!$AO354,input_values!$AP354),"")</f>
        <v/>
      </c>
      <c r="Q354" s="491">
        <f>IF($V$5=0,0,IF(OR($A$10="Refined calculation mode",Results!$B$62="Show results of IESTI calculation only for crops with GAPs under assessment"),Table22[[#This Row],[Input for IESTI (refined mode)]],Table22[[#This Row],[Input for IESTI normal mode]]))</f>
        <v>0</v>
      </c>
      <c r="R354" s="926" t="str">
        <f>IF(S354&lt;&gt;0,CONCATENATE(input_values!$AW354,input_values!$AX354,input_values!$AY354),"")</f>
        <v/>
      </c>
      <c r="S354" s="492">
        <f>IF($V$5=0,0,IF(OR($A$10="Refined calculation mode",Results!$B$62="Show results of IESTI calculation only for crops with GAPs under assessment"),Table22[[#This Row],[Input for IESTI new (refined mode)]],Table22[[#This Row],[Input for IESTI new normal mode]]))</f>
        <v>0</v>
      </c>
      <c r="T354" s="886"/>
      <c r="U354" s="1434">
        <f>Table22[[#This Row],[MRL/ proposed MRL /CXL
(mg/kg)]]</f>
        <v>0</v>
      </c>
      <c r="V354" s="1435" t="str">
        <f t="shared" ref="V354:V359" si="233">IF(ISBLANK(F354),"","Y")</f>
        <v/>
      </c>
      <c r="W354" s="1387">
        <f t="shared" ref="W354:W359" si="234">IF($G354&gt;0,$G354,1)</f>
        <v>1</v>
      </c>
      <c r="X354" s="1387">
        <f t="shared" ref="X354:X359" si="235">IF($H354&gt;0,$H354,1)</f>
        <v>1</v>
      </c>
      <c r="Y354" s="1387">
        <f t="shared" ref="Y354:Y359" si="236">W354*X354</f>
        <v>1</v>
      </c>
      <c r="Z354" s="1410">
        <v>4</v>
      </c>
      <c r="AA354" s="1430">
        <f>IF($L$7="fat soluble",U354*0.8+U355*0.2,U354)</f>
        <v>0</v>
      </c>
      <c r="AB354" s="1387">
        <f>IF(Z354=A354,IF(AND(L354="N",Table22[[#This Row],[LOQ_label]]="Y"),AA354,$AA354*$Y354),"")</f>
        <v>0</v>
      </c>
      <c r="AC354" s="1393">
        <f t="shared" si="197"/>
        <v>0</v>
      </c>
      <c r="AD354" s="1393">
        <f>IF(Table22[[#This Row],[Median residue*CF*PeF]]&lt;&gt;"",Table22[[#This Row],[Median residue*CF*PeF]],Table22[[#This Row],[MRL*CF*PeF (chronic)]])</f>
        <v>0</v>
      </c>
      <c r="AE354" s="1393">
        <f t="shared" si="198"/>
        <v>0</v>
      </c>
      <c r="AF354" s="1390" t="str">
        <f t="shared" si="199"/>
        <v>MRL</v>
      </c>
      <c r="AG354" s="1390" t="str">
        <f t="shared" si="200"/>
        <v/>
      </c>
      <c r="AH354" s="1394" t="str">
        <f t="shared" si="201"/>
        <v/>
      </c>
      <c r="AI354" s="1386">
        <v>4</v>
      </c>
      <c r="AJ354" s="1430">
        <f>IF($L$7="fat soluble",U354*0.8+U355*0.2,U354)</f>
        <v>0</v>
      </c>
      <c r="AK354" s="1387">
        <f>IF(AI354=A354,IF(AND(L354="N",Table22[[#This Row],[LOQ_label]]="Y"),AJ354,$AJ354*$Y354),"")</f>
        <v>0</v>
      </c>
      <c r="AL354" s="1388">
        <f t="shared" si="202"/>
        <v>0</v>
      </c>
      <c r="AM354" s="1393">
        <f>IF(Table22[[#This Row],[Highest residue * CF*PF]]&lt;&gt;"",Table22[[#This Row],[Highest residue * CF*PF]],Table22[[#This Row],[MRL*CF*PF or MRL (if LOQ and not authorised) (acute RA)]])</f>
        <v>0</v>
      </c>
      <c r="AN354" s="1421" t="str">
        <f t="shared" si="203"/>
        <v>MRL</v>
      </c>
      <c r="AO354" s="1390" t="str">
        <f t="shared" si="204"/>
        <v/>
      </c>
      <c r="AP354" s="1404" t="str">
        <f t="shared" si="205"/>
        <v/>
      </c>
      <c r="AQ354" s="1388">
        <f t="shared" si="206"/>
        <v>0</v>
      </c>
      <c r="AR354" s="1388" t="str">
        <f t="shared" si="207"/>
        <v/>
      </c>
      <c r="AS354" s="1388" t="str">
        <f t="shared" si="208"/>
        <v/>
      </c>
      <c r="AT354" s="1388" t="str">
        <f t="shared" si="209"/>
        <v/>
      </c>
      <c r="AU354" s="1393">
        <f t="shared" si="210"/>
        <v>0</v>
      </c>
      <c r="AV354" s="1431">
        <f t="shared" si="211"/>
        <v>0</v>
      </c>
      <c r="AW354" s="1421" t="str">
        <f t="shared" si="212"/>
        <v/>
      </c>
      <c r="AX354" s="1390" t="str">
        <f>IF(AND(AW354&lt;&gt;"",AY354&lt;&gt;""),"*","")</f>
        <v/>
      </c>
      <c r="AY354" s="1394" t="str">
        <f t="shared" si="213"/>
        <v/>
      </c>
      <c r="AZ354" s="1395" t="str">
        <f>IF(Table22[[#This Row],[LOQ_label]]="Y",Table22[[#This Row],[MRL individual commodity]],"")</f>
        <v/>
      </c>
      <c r="BA354" s="1396" t="s">
        <v>1038</v>
      </c>
      <c r="BB354" s="1411" t="str">
        <f>IF(Table22[[#This Row],[LOQ2]]&lt;0,MIN(AZ354:AZ730),"")</f>
        <v/>
      </c>
      <c r="BC354" s="1299"/>
      <c r="BD354" s="1306" t="str">
        <f>IF(Table22[[#This Row],[Chronic RA label]]="","N",IF(Table22[[#This Row],[Chronic RA label]]="LOQ","N",IF(Table22[[#This Row],[Chronic RA label]]="MRL","N","Y")))</f>
        <v>N</v>
      </c>
      <c r="BE354" s="1306" t="str">
        <f>IF(Table22[[#This Row],[Acute RA label]]="","N",IF(Table22[[#This Row],[Acute RA label]]="LOQ","N",IF(Table22[[#This Row],[Acute RA label]]="MRL","N","Y")))</f>
        <v>N</v>
      </c>
      <c r="BF354" s="1306" t="str">
        <f>IF(OR(Table22[[#This Row],[include commodity in Summary_input_values_chronic]]="Y",Table22[[#This Row],[include commodity in Summary_input_values_acute]]="Y"),"Y","N")</f>
        <v>N</v>
      </c>
      <c r="BG354" s="1299"/>
      <c r="BH354" s="1324"/>
    </row>
    <row r="355" spans="1:60" ht="12.75" customHeight="1" outlineLevel="3" x14ac:dyDescent="0.2">
      <c r="A355" s="39">
        <v>4</v>
      </c>
      <c r="B355" s="327">
        <v>1015020</v>
      </c>
      <c r="C355" s="23" t="s">
        <v>797</v>
      </c>
      <c r="D355" s="867"/>
      <c r="E355" s="1219"/>
      <c r="F355" s="867"/>
      <c r="G355" s="869"/>
      <c r="H355" s="863"/>
      <c r="I355" s="868"/>
      <c r="J355" s="870"/>
      <c r="K355" s="865"/>
      <c r="L355" s="872"/>
      <c r="M355" s="872"/>
      <c r="N355" s="925" t="str">
        <f>IF(O355&lt;&gt;0,CONCATENATE(input_values!$AF355,input_values!$AG355,input_values!$AH355),"")</f>
        <v/>
      </c>
      <c r="O355" s="491">
        <f>IF($A$10="Refined calculation mode",Table22[[#This Row],[input for chronic (refined mode]],Table22[[#This Row],[input for chronic normal mode]])</f>
        <v>0</v>
      </c>
      <c r="P355" s="925" t="str">
        <f>IF(Q355&lt;&gt;0,CONCATENATE(input_values!$AN355,input_values!$AO355,input_values!$AP355),"")</f>
        <v/>
      </c>
      <c r="Q355" s="491">
        <f>IF($V$5=0,0,IF(OR($A$10="Refined calculation mode",Results!$B$62="Show results of IESTI calculation only for crops with GAPs under assessment"),Table22[[#This Row],[Input for IESTI (refined mode)]],Table22[[#This Row],[Input for IESTI normal mode]]))</f>
        <v>0</v>
      </c>
      <c r="R355" s="926" t="str">
        <f>IF(S355&lt;&gt;0,CONCATENATE(input_values!$AW355,input_values!$AX355,input_values!$AY355),"")</f>
        <v/>
      </c>
      <c r="S355" s="492">
        <f>IF($V$5=0,0,IF(OR($A$10="Refined calculation mode",Results!$B$62="Show results of IESTI calculation only for crops with GAPs under assessment"),Table22[[#This Row],[Input for IESTI new (refined mode)]],Table22[[#This Row],[Input for IESTI new normal mode]]))</f>
        <v>0</v>
      </c>
      <c r="T355" s="886"/>
      <c r="U355" s="1436">
        <f>Table22[[#This Row],[MRL/ proposed MRL /CXL
(mg/kg)]]</f>
        <v>0</v>
      </c>
      <c r="V355" s="1437" t="str">
        <f t="shared" si="233"/>
        <v/>
      </c>
      <c r="W355" s="1387">
        <f t="shared" si="234"/>
        <v>1</v>
      </c>
      <c r="X355" s="1387">
        <f t="shared" si="235"/>
        <v>1</v>
      </c>
      <c r="Y355" s="1387">
        <f t="shared" si="236"/>
        <v>1</v>
      </c>
      <c r="Z355" s="1410">
        <v>4</v>
      </c>
      <c r="AA355" s="1387">
        <f t="shared" ref="AA355:AA360" si="237">IF(Z355=A355,U355,"")</f>
        <v>0</v>
      </c>
      <c r="AB355" s="1387">
        <f>IF(Z355=A355,IF(AND(L355="N",Table22[[#This Row],[LOQ_label]]="Y"),AA355,$AA355*$Y355),"")</f>
        <v>0</v>
      </c>
      <c r="AC355" s="1393">
        <f t="shared" si="197"/>
        <v>0</v>
      </c>
      <c r="AD355" s="1393">
        <f>IF(Table22[[#This Row],[Median residue*CF*PeF]]&lt;&gt;"",Table22[[#This Row],[Median residue*CF*PeF]],Table22[[#This Row],[MRL*CF*PeF (chronic)]])</f>
        <v>0</v>
      </c>
      <c r="AE355" s="1393">
        <f t="shared" si="198"/>
        <v>0</v>
      </c>
      <c r="AF355" s="1390" t="str">
        <f t="shared" si="199"/>
        <v>MRL</v>
      </c>
      <c r="AG355" s="1390" t="str">
        <f t="shared" si="200"/>
        <v/>
      </c>
      <c r="AH355" s="1394" t="str">
        <f t="shared" si="201"/>
        <v/>
      </c>
      <c r="AI355" s="1386">
        <v>4</v>
      </c>
      <c r="AJ355" s="1387">
        <f t="shared" ref="AJ355:AJ360" si="238">IF(AI355=A355,U355,"")</f>
        <v>0</v>
      </c>
      <c r="AK355" s="1387">
        <f>IF(AI355=A355,IF(AND(L355="N",Table22[[#This Row],[LOQ_label]]="Y"),AJ355,$AJ355*$Y355),"")</f>
        <v>0</v>
      </c>
      <c r="AL355" s="1388">
        <f t="shared" si="202"/>
        <v>0</v>
      </c>
      <c r="AM355" s="1393">
        <f>IF(Table22[[#This Row],[Highest residue * CF*PF]]&lt;&gt;"",Table22[[#This Row],[Highest residue * CF*PF]],Table22[[#This Row],[MRL*CF*PF or MRL (if LOQ and not authorised) (acute RA)]])</f>
        <v>0</v>
      </c>
      <c r="AN355" s="1390" t="str">
        <f t="shared" si="203"/>
        <v>MRL</v>
      </c>
      <c r="AO355" s="1390" t="str">
        <f t="shared" si="204"/>
        <v/>
      </c>
      <c r="AP355" s="1404" t="str">
        <f t="shared" si="205"/>
        <v/>
      </c>
      <c r="AQ355" s="1388">
        <f t="shared" si="206"/>
        <v>0</v>
      </c>
      <c r="AR355" s="1388" t="str">
        <f t="shared" si="207"/>
        <v/>
      </c>
      <c r="AS355" s="1388" t="str">
        <f t="shared" si="208"/>
        <v/>
      </c>
      <c r="AT355" s="1388" t="str">
        <f t="shared" si="209"/>
        <v/>
      </c>
      <c r="AU355" s="1393">
        <f t="shared" si="210"/>
        <v>0</v>
      </c>
      <c r="AV355" s="1388">
        <f t="shared" si="211"/>
        <v>0</v>
      </c>
      <c r="AW355" s="1390" t="str">
        <f t="shared" si="212"/>
        <v/>
      </c>
      <c r="AX355" s="1390" t="str">
        <f>IF(AND(AW355&lt;&gt;"",AY355&lt;&gt;""),"*","")</f>
        <v/>
      </c>
      <c r="AY355" s="1394" t="str">
        <f t="shared" si="213"/>
        <v/>
      </c>
      <c r="AZ355" s="1395" t="str">
        <f>IF(Table22[[#This Row],[LOQ_label]]="Y",Table22[[#This Row],[MRL individual commodity]],"")</f>
        <v/>
      </c>
      <c r="BA355" s="1396" t="s">
        <v>1038</v>
      </c>
      <c r="BB355" s="1411" t="str">
        <f>IF(Table22[[#This Row],[LOQ2]]&lt;0,MIN(AZ355:AZ731),"")</f>
        <v/>
      </c>
      <c r="BC355" s="1299"/>
      <c r="BD355" s="1306" t="str">
        <f>IF(Table22[[#This Row],[Chronic RA label]]="","N",IF(Table22[[#This Row],[Chronic RA label]]="LOQ","N",IF(Table22[[#This Row],[Chronic RA label]]="MRL","N","Y")))</f>
        <v>N</v>
      </c>
      <c r="BE355" s="1306" t="str">
        <f>IF(Table22[[#This Row],[Acute RA label]]="","N",IF(Table22[[#This Row],[Acute RA label]]="LOQ","N",IF(Table22[[#This Row],[Acute RA label]]="MRL","N","Y")))</f>
        <v>N</v>
      </c>
      <c r="BF355" s="1306" t="str">
        <f>IF(OR(Table22[[#This Row],[include commodity in Summary_input_values_chronic]]="Y",Table22[[#This Row],[include commodity in Summary_input_values_acute]]="Y"),"Y","N")</f>
        <v>N</v>
      </c>
      <c r="BG355" s="1299"/>
      <c r="BH355" s="1324"/>
    </row>
    <row r="356" spans="1:60" ht="12.75" customHeight="1" outlineLevel="3" x14ac:dyDescent="0.2">
      <c r="A356" s="39">
        <v>4</v>
      </c>
      <c r="B356" s="327">
        <v>1015030</v>
      </c>
      <c r="C356" s="23" t="s">
        <v>798</v>
      </c>
      <c r="D356" s="867"/>
      <c r="E356" s="1219"/>
      <c r="F356" s="867"/>
      <c r="G356" s="869"/>
      <c r="H356" s="863"/>
      <c r="I356" s="868"/>
      <c r="J356" s="870"/>
      <c r="K356" s="865"/>
      <c r="L356" s="872"/>
      <c r="M356" s="872"/>
      <c r="N356" s="925" t="str">
        <f>IF(O356&lt;&gt;0,CONCATENATE(input_values!$AF356,input_values!$AG356,input_values!$AH356),"")</f>
        <v/>
      </c>
      <c r="O356" s="491">
        <f>IF($A$10="Refined calculation mode",Table22[[#This Row],[input for chronic (refined mode]],Table22[[#This Row],[input for chronic normal mode]])</f>
        <v>0</v>
      </c>
      <c r="P356" s="925" t="str">
        <f>IF(Q356&lt;&gt;0,CONCATENATE(input_values!$AN356,input_values!$AO356,input_values!$AP356),"")</f>
        <v/>
      </c>
      <c r="Q356" s="491">
        <f>IF($V$5=0,0,IF(OR($A$10="Refined calculation mode",Results!$B$62="Show results of IESTI calculation only for crops with GAPs under assessment"),Table22[[#This Row],[Input for IESTI (refined mode)]],Table22[[#This Row],[Input for IESTI normal mode]]))</f>
        <v>0</v>
      </c>
      <c r="R356" s="926" t="str">
        <f>IF(S356&lt;&gt;0,CONCATENATE(input_values!$AW356,input_values!$AX356,input_values!$AY356),"")</f>
        <v/>
      </c>
      <c r="S356" s="492">
        <f>IF($V$5=0,0,IF(OR($A$10="Refined calculation mode",Results!$B$62="Show results of IESTI calculation only for crops with GAPs under assessment"),Table22[[#This Row],[Input for IESTI new (refined mode)]],Table22[[#This Row],[Input for IESTI new normal mode]]))</f>
        <v>0</v>
      </c>
      <c r="T356" s="886"/>
      <c r="U356" s="1436">
        <f>Table22[[#This Row],[MRL/ proposed MRL /CXL
(mg/kg)]]</f>
        <v>0</v>
      </c>
      <c r="V356" s="1437" t="str">
        <f t="shared" si="233"/>
        <v/>
      </c>
      <c r="W356" s="1387">
        <f t="shared" si="234"/>
        <v>1</v>
      </c>
      <c r="X356" s="1387">
        <f t="shared" si="235"/>
        <v>1</v>
      </c>
      <c r="Y356" s="1387">
        <f t="shared" si="236"/>
        <v>1</v>
      </c>
      <c r="Z356" s="1410">
        <v>4</v>
      </c>
      <c r="AA356" s="1387">
        <f t="shared" si="237"/>
        <v>0</v>
      </c>
      <c r="AB356" s="1387">
        <f>IF(Z356=A356,IF(AND(L356="N",Table22[[#This Row],[LOQ_label]]="Y"),AA356,$AA356*$Y356),"")</f>
        <v>0</v>
      </c>
      <c r="AC356" s="1393">
        <f t="shared" si="197"/>
        <v>0</v>
      </c>
      <c r="AD356" s="1393">
        <f>IF(Table22[[#This Row],[Median residue*CF*PeF]]&lt;&gt;"",Table22[[#This Row],[Median residue*CF*PeF]],Table22[[#This Row],[MRL*CF*PeF (chronic)]])</f>
        <v>0</v>
      </c>
      <c r="AE356" s="1393">
        <f t="shared" si="198"/>
        <v>0</v>
      </c>
      <c r="AF356" s="1390" t="str">
        <f t="shared" si="199"/>
        <v>MRL</v>
      </c>
      <c r="AG356" s="1390" t="str">
        <f t="shared" si="200"/>
        <v/>
      </c>
      <c r="AH356" s="1394" t="str">
        <f t="shared" si="201"/>
        <v/>
      </c>
      <c r="AI356" s="1386">
        <v>4</v>
      </c>
      <c r="AJ356" s="1387">
        <f t="shared" si="238"/>
        <v>0</v>
      </c>
      <c r="AK356" s="1387">
        <f>IF(AI356=A356,IF(AND(L356="N",Table22[[#This Row],[LOQ_label]]="Y"),AJ356,$AJ356*$Y356),"")</f>
        <v>0</v>
      </c>
      <c r="AL356" s="1388">
        <f t="shared" si="202"/>
        <v>0</v>
      </c>
      <c r="AM356" s="1393">
        <f>IF(Table22[[#This Row],[Highest residue * CF*PF]]&lt;&gt;"",Table22[[#This Row],[Highest residue * CF*PF]],Table22[[#This Row],[MRL*CF*PF or MRL (if LOQ and not authorised) (acute RA)]])</f>
        <v>0</v>
      </c>
      <c r="AN356" s="1390" t="str">
        <f t="shared" si="203"/>
        <v>MRL</v>
      </c>
      <c r="AO356" s="1390" t="str">
        <f t="shared" si="204"/>
        <v/>
      </c>
      <c r="AP356" s="1404" t="str">
        <f t="shared" si="205"/>
        <v/>
      </c>
      <c r="AQ356" s="1388">
        <f t="shared" si="206"/>
        <v>0</v>
      </c>
      <c r="AR356" s="1388" t="str">
        <f t="shared" si="207"/>
        <v/>
      </c>
      <c r="AS356" s="1388" t="str">
        <f t="shared" si="208"/>
        <v/>
      </c>
      <c r="AT356" s="1388" t="str">
        <f t="shared" si="209"/>
        <v/>
      </c>
      <c r="AU356" s="1393">
        <f t="shared" si="210"/>
        <v>0</v>
      </c>
      <c r="AV356" s="1388">
        <f t="shared" si="211"/>
        <v>0</v>
      </c>
      <c r="AW356" s="1390" t="str">
        <f t="shared" si="212"/>
        <v/>
      </c>
      <c r="AX356" s="1390" t="str">
        <f>IF(AND(AW356&lt;&gt;"",AY356&lt;&gt;""),"*","")</f>
        <v/>
      </c>
      <c r="AY356" s="1394" t="str">
        <f t="shared" si="213"/>
        <v/>
      </c>
      <c r="AZ356" s="1395" t="str">
        <f>IF(Table22[[#This Row],[LOQ_label]]="Y",Table22[[#This Row],[MRL individual commodity]],"")</f>
        <v/>
      </c>
      <c r="BA356" s="1396" t="s">
        <v>1038</v>
      </c>
      <c r="BB356" s="1411" t="str">
        <f>IF(Table22[[#This Row],[LOQ2]]&lt;0,MIN(AZ356:AZ732),"")</f>
        <v/>
      </c>
      <c r="BC356" s="1299"/>
      <c r="BD356" s="1306" t="str">
        <f>IF(Table22[[#This Row],[Chronic RA label]]="","N",IF(Table22[[#This Row],[Chronic RA label]]="LOQ","N",IF(Table22[[#This Row],[Chronic RA label]]="MRL","N","Y")))</f>
        <v>N</v>
      </c>
      <c r="BE356" s="1306" t="str">
        <f>IF(Table22[[#This Row],[Acute RA label]]="","N",IF(Table22[[#This Row],[Acute RA label]]="LOQ","N",IF(Table22[[#This Row],[Acute RA label]]="MRL","N","Y")))</f>
        <v>N</v>
      </c>
      <c r="BF356" s="1306" t="str">
        <f>IF(OR(Table22[[#This Row],[include commodity in Summary_input_values_chronic]]="Y",Table22[[#This Row],[include commodity in Summary_input_values_acute]]="Y"),"Y","N")</f>
        <v>N</v>
      </c>
      <c r="BG356" s="1299"/>
      <c r="BH356" s="1324"/>
    </row>
    <row r="357" spans="1:60" ht="12.75" customHeight="1" outlineLevel="3" x14ac:dyDescent="0.2">
      <c r="A357" s="39">
        <v>4</v>
      </c>
      <c r="B357" s="327">
        <v>1015040</v>
      </c>
      <c r="C357" s="23" t="s">
        <v>799</v>
      </c>
      <c r="D357" s="867"/>
      <c r="E357" s="1219"/>
      <c r="F357" s="867"/>
      <c r="G357" s="869"/>
      <c r="H357" s="863"/>
      <c r="I357" s="868"/>
      <c r="J357" s="870"/>
      <c r="K357" s="865"/>
      <c r="L357" s="872"/>
      <c r="M357" s="872"/>
      <c r="N357" s="925" t="str">
        <f>IF(O357&lt;&gt;0,CONCATENATE(input_values!$AF357,input_values!$AG357,input_values!$AH357),"")</f>
        <v/>
      </c>
      <c r="O357" s="491">
        <f>IF($A$10="Refined calculation mode",Table22[[#This Row],[input for chronic (refined mode]],Table22[[#This Row],[input for chronic normal mode]])</f>
        <v>0</v>
      </c>
      <c r="P357" s="925" t="str">
        <f>IF(Q357&lt;&gt;0,CONCATENATE(input_values!$AN357,input_values!$AO357,input_values!$AP357),"")</f>
        <v/>
      </c>
      <c r="Q357" s="491">
        <f>IF($V$5=0,0,IF(OR($A$10="Refined calculation mode",Results!$B$62="Show results of IESTI calculation only for crops with GAPs under assessment"),Table22[[#This Row],[Input for IESTI (refined mode)]],Table22[[#This Row],[Input for IESTI normal mode]]))</f>
        <v>0</v>
      </c>
      <c r="R357" s="926" t="str">
        <f>IF(S357&lt;&gt;0,CONCATENATE(input_values!$AW357,input_values!$AX357,input_values!$AY357),"")</f>
        <v/>
      </c>
      <c r="S357" s="492">
        <f>IF($V$5=0,0,IF(OR($A$10="Refined calculation mode",Results!$B$62="Show results of IESTI calculation only for crops with GAPs under assessment"),Table22[[#This Row],[Input for IESTI new (refined mode)]],Table22[[#This Row],[Input for IESTI new normal mode]]))</f>
        <v>0</v>
      </c>
      <c r="T357" s="886"/>
      <c r="U357" s="1436">
        <f>Table22[[#This Row],[MRL/ proposed MRL /CXL
(mg/kg)]]</f>
        <v>0</v>
      </c>
      <c r="V357" s="1437" t="str">
        <f t="shared" si="233"/>
        <v/>
      </c>
      <c r="W357" s="1387">
        <f t="shared" si="234"/>
        <v>1</v>
      </c>
      <c r="X357" s="1387">
        <f t="shared" si="235"/>
        <v>1</v>
      </c>
      <c r="Y357" s="1387">
        <f t="shared" si="236"/>
        <v>1</v>
      </c>
      <c r="Z357" s="1410">
        <v>4</v>
      </c>
      <c r="AA357" s="1387">
        <f t="shared" si="237"/>
        <v>0</v>
      </c>
      <c r="AB357" s="1387">
        <f>IF(Z357=A357,IF(AND(L357="N",Table22[[#This Row],[LOQ_label]]="Y"),AA357,$AA357*$Y357),"")</f>
        <v>0</v>
      </c>
      <c r="AC357" s="1393">
        <f t="shared" si="197"/>
        <v>0</v>
      </c>
      <c r="AD357" s="1393">
        <f>IF(Table22[[#This Row],[Median residue*CF*PeF]]&lt;&gt;"",Table22[[#This Row],[Median residue*CF*PeF]],Table22[[#This Row],[MRL*CF*PeF (chronic)]])</f>
        <v>0</v>
      </c>
      <c r="AE357" s="1393">
        <f t="shared" si="198"/>
        <v>0</v>
      </c>
      <c r="AF357" s="1390" t="str">
        <f t="shared" si="199"/>
        <v>MRL</v>
      </c>
      <c r="AG357" s="1390" t="str">
        <f t="shared" si="200"/>
        <v/>
      </c>
      <c r="AH357" s="1394" t="str">
        <f t="shared" si="201"/>
        <v/>
      </c>
      <c r="AI357" s="1386">
        <v>4</v>
      </c>
      <c r="AJ357" s="1387">
        <f t="shared" si="238"/>
        <v>0</v>
      </c>
      <c r="AK357" s="1387">
        <f>IF(AI357=A357,IF(AND(L357="N",Table22[[#This Row],[LOQ_label]]="Y"),AJ357,$AJ357*$Y357),"")</f>
        <v>0</v>
      </c>
      <c r="AL357" s="1388">
        <f t="shared" si="202"/>
        <v>0</v>
      </c>
      <c r="AM357" s="1393">
        <f>IF(Table22[[#This Row],[Highest residue * CF*PF]]&lt;&gt;"",Table22[[#This Row],[Highest residue * CF*PF]],Table22[[#This Row],[MRL*CF*PF or MRL (if LOQ and not authorised) (acute RA)]])</f>
        <v>0</v>
      </c>
      <c r="AN357" s="1390" t="str">
        <f t="shared" si="203"/>
        <v>MRL</v>
      </c>
      <c r="AO357" s="1390" t="str">
        <f t="shared" si="204"/>
        <v/>
      </c>
      <c r="AP357" s="1404" t="str">
        <f t="shared" si="205"/>
        <v/>
      </c>
      <c r="AQ357" s="1388">
        <f t="shared" si="206"/>
        <v>0</v>
      </c>
      <c r="AR357" s="1388" t="str">
        <f t="shared" si="207"/>
        <v/>
      </c>
      <c r="AS357" s="1388" t="str">
        <f t="shared" si="208"/>
        <v/>
      </c>
      <c r="AT357" s="1388" t="str">
        <f t="shared" si="209"/>
        <v/>
      </c>
      <c r="AU357" s="1393">
        <f t="shared" si="210"/>
        <v>0</v>
      </c>
      <c r="AV357" s="1388">
        <f t="shared" si="211"/>
        <v>0</v>
      </c>
      <c r="AW357" s="1390" t="str">
        <f t="shared" si="212"/>
        <v/>
      </c>
      <c r="AX357" s="1390" t="str">
        <f>IF(AND(AW357&lt;&gt;"",AY357&lt;&gt;""),"*","")</f>
        <v/>
      </c>
      <c r="AY357" s="1394" t="str">
        <f t="shared" si="213"/>
        <v/>
      </c>
      <c r="AZ357" s="1395" t="str">
        <f>IF(Table22[[#This Row],[LOQ_label]]="Y",Table22[[#This Row],[MRL individual commodity]],"")</f>
        <v/>
      </c>
      <c r="BA357" s="1396" t="s">
        <v>1038</v>
      </c>
      <c r="BB357" s="1411" t="str">
        <f>IF(Table22[[#This Row],[LOQ2]]&lt;0,MIN(AZ357:AZ733),"")</f>
        <v/>
      </c>
      <c r="BC357" s="1299"/>
      <c r="BD357" s="1306" t="str">
        <f>IF(Table22[[#This Row],[Chronic RA label]]="","N",IF(Table22[[#This Row],[Chronic RA label]]="LOQ","N",IF(Table22[[#This Row],[Chronic RA label]]="MRL","N","Y")))</f>
        <v>N</v>
      </c>
      <c r="BE357" s="1306" t="str">
        <f>IF(Table22[[#This Row],[Acute RA label]]="","N",IF(Table22[[#This Row],[Acute RA label]]="LOQ","N",IF(Table22[[#This Row],[Acute RA label]]="MRL","N","Y")))</f>
        <v>N</v>
      </c>
      <c r="BF357" s="1306" t="str">
        <f>IF(OR(Table22[[#This Row],[include commodity in Summary_input_values_chronic]]="Y",Table22[[#This Row],[include commodity in Summary_input_values_acute]]="Y"),"Y","N")</f>
        <v>N</v>
      </c>
      <c r="BG357" s="1299"/>
      <c r="BH357" s="1324"/>
    </row>
    <row r="358" spans="1:60" ht="12.75" customHeight="1" outlineLevel="3" x14ac:dyDescent="0.2">
      <c r="A358" s="39">
        <v>4</v>
      </c>
      <c r="B358" s="327">
        <v>1015050</v>
      </c>
      <c r="C358" s="23" t="s">
        <v>801</v>
      </c>
      <c r="D358" s="867"/>
      <c r="E358" s="1219"/>
      <c r="F358" s="867"/>
      <c r="G358" s="869"/>
      <c r="H358" s="863"/>
      <c r="I358" s="868"/>
      <c r="J358" s="870"/>
      <c r="K358" s="865"/>
      <c r="L358" s="872"/>
      <c r="M358" s="872"/>
      <c r="N358" s="925" t="str">
        <f>IF(O358&lt;&gt;0,CONCATENATE(input_values!$AF358,input_values!$AG358,input_values!$AH358),"")</f>
        <v/>
      </c>
      <c r="O358" s="491">
        <f>IF($A$10="Refined calculation mode",Table22[[#This Row],[input for chronic (refined mode]],Table22[[#This Row],[input for chronic normal mode]])</f>
        <v>0</v>
      </c>
      <c r="P358" s="925" t="str">
        <f>IF(Q358&lt;&gt;0,CONCATENATE(input_values!$AN358,input_values!$AO358,input_values!$AP358),"")</f>
        <v/>
      </c>
      <c r="Q358" s="491">
        <f>IF($V$5=0,0,IF(OR($A$10="Refined calculation mode",Results!$B$62="Show results of IESTI calculation only for crops with GAPs under assessment"),Table22[[#This Row],[Input for IESTI (refined mode)]],Table22[[#This Row],[Input for IESTI normal mode]]))</f>
        <v>0</v>
      </c>
      <c r="R358" s="926" t="str">
        <f>IF(S358&lt;&gt;0,CONCATENATE(input_values!$AW358,input_values!$AX358,input_values!$AY358),"")</f>
        <v/>
      </c>
      <c r="S358" s="492">
        <f>IF($V$5=0,0,IF(OR($A$10="Refined calculation mode",Results!$B$62="Show results of IESTI calculation only for crops with GAPs under assessment"),Table22[[#This Row],[Input for IESTI new (refined mode)]],Table22[[#This Row],[Input for IESTI new normal mode]]))</f>
        <v>0</v>
      </c>
      <c r="T358" s="886"/>
      <c r="U358" s="1436">
        <f>Table22[[#This Row],[MRL/ proposed MRL /CXL
(mg/kg)]]</f>
        <v>0</v>
      </c>
      <c r="V358" s="1437" t="str">
        <f t="shared" si="233"/>
        <v/>
      </c>
      <c r="W358" s="1387">
        <f t="shared" si="234"/>
        <v>1</v>
      </c>
      <c r="X358" s="1387">
        <f t="shared" si="235"/>
        <v>1</v>
      </c>
      <c r="Y358" s="1387">
        <f t="shared" si="236"/>
        <v>1</v>
      </c>
      <c r="Z358" s="1410">
        <v>4</v>
      </c>
      <c r="AA358" s="1387">
        <f t="shared" si="237"/>
        <v>0</v>
      </c>
      <c r="AB358" s="1387">
        <f>IF(Z358=A358,IF(AND(L358="N",Table22[[#This Row],[LOQ_label]]="Y"),AA358,$AA358*$Y358),"")</f>
        <v>0</v>
      </c>
      <c r="AC358" s="1393">
        <f t="shared" si="197"/>
        <v>0</v>
      </c>
      <c r="AD358" s="1393">
        <f>IF(Table22[[#This Row],[Median residue*CF*PeF]]&lt;&gt;"",Table22[[#This Row],[Median residue*CF*PeF]],Table22[[#This Row],[MRL*CF*PeF (chronic)]])</f>
        <v>0</v>
      </c>
      <c r="AE358" s="1393">
        <f t="shared" si="198"/>
        <v>0</v>
      </c>
      <c r="AF358" s="1390" t="str">
        <f t="shared" si="199"/>
        <v>MRL</v>
      </c>
      <c r="AG358" s="1390" t="str">
        <f t="shared" si="200"/>
        <v/>
      </c>
      <c r="AH358" s="1394" t="str">
        <f t="shared" si="201"/>
        <v/>
      </c>
      <c r="AI358" s="1386">
        <v>4</v>
      </c>
      <c r="AJ358" s="1387">
        <f t="shared" si="238"/>
        <v>0</v>
      </c>
      <c r="AK358" s="1387">
        <f>IF(AI358=A358,IF(AND(L358="N",Table22[[#This Row],[LOQ_label]]="Y"),AJ358,$AJ358*$Y358),"")</f>
        <v>0</v>
      </c>
      <c r="AL358" s="1388">
        <f t="shared" si="202"/>
        <v>0</v>
      </c>
      <c r="AM358" s="1393">
        <f>IF(Table22[[#This Row],[Highest residue * CF*PF]]&lt;&gt;"",Table22[[#This Row],[Highest residue * CF*PF]],Table22[[#This Row],[MRL*CF*PF or MRL (if LOQ and not authorised) (acute RA)]])</f>
        <v>0</v>
      </c>
      <c r="AN358" s="1390" t="str">
        <f t="shared" si="203"/>
        <v>MRL</v>
      </c>
      <c r="AO358" s="1390" t="str">
        <f t="shared" si="204"/>
        <v/>
      </c>
      <c r="AP358" s="1404" t="str">
        <f t="shared" si="205"/>
        <v/>
      </c>
      <c r="AQ358" s="1388">
        <f t="shared" si="206"/>
        <v>0</v>
      </c>
      <c r="AR358" s="1388" t="str">
        <f t="shared" si="207"/>
        <v/>
      </c>
      <c r="AS358" s="1388" t="str">
        <f t="shared" si="208"/>
        <v/>
      </c>
      <c r="AT358" s="1388" t="str">
        <f t="shared" si="209"/>
        <v/>
      </c>
      <c r="AU358" s="1393">
        <f t="shared" si="210"/>
        <v>0</v>
      </c>
      <c r="AV358" s="1388">
        <f t="shared" si="211"/>
        <v>0</v>
      </c>
      <c r="AW358" s="1390" t="str">
        <f t="shared" si="212"/>
        <v/>
      </c>
      <c r="AX358" s="1390" t="str">
        <f>IF(AND(AW358&lt;&gt;"",AY358&lt;&gt;""),"*","")</f>
        <v/>
      </c>
      <c r="AY358" s="1394" t="str">
        <f t="shared" si="213"/>
        <v/>
      </c>
      <c r="AZ358" s="1395" t="str">
        <f>IF(Table22[[#This Row],[LOQ_label]]="Y",Table22[[#This Row],[MRL individual commodity]],"")</f>
        <v/>
      </c>
      <c r="BA358" s="1396" t="s">
        <v>1038</v>
      </c>
      <c r="BB358" s="1411" t="str">
        <f>IF(Table22[[#This Row],[LOQ2]]&lt;0,MIN(AZ358:AZ734),"")</f>
        <v/>
      </c>
      <c r="BC358" s="1299"/>
      <c r="BD358" s="1306" t="str">
        <f>IF(Table22[[#This Row],[Chronic RA label]]="","N",IF(Table22[[#This Row],[Chronic RA label]]="LOQ","N",IF(Table22[[#This Row],[Chronic RA label]]="MRL","N","Y")))</f>
        <v>N</v>
      </c>
      <c r="BE358" s="1306" t="str">
        <f>IF(Table22[[#This Row],[Acute RA label]]="","N",IF(Table22[[#This Row],[Acute RA label]]="LOQ","N",IF(Table22[[#This Row],[Acute RA label]]="MRL","N","Y")))</f>
        <v>N</v>
      </c>
      <c r="BF358" s="1306" t="str">
        <f>IF(OR(Table22[[#This Row],[include commodity in Summary_input_values_chronic]]="Y",Table22[[#This Row],[include commodity in Summary_input_values_acute]]="Y"),"Y","N")</f>
        <v>N</v>
      </c>
      <c r="BG358" s="1299"/>
      <c r="BH358" s="1324"/>
    </row>
    <row r="359" spans="1:60" ht="12.75" customHeight="1" outlineLevel="3" x14ac:dyDescent="0.2">
      <c r="A359" s="39">
        <v>4</v>
      </c>
      <c r="B359" s="327">
        <v>1015990</v>
      </c>
      <c r="C359" s="23" t="s">
        <v>800</v>
      </c>
      <c r="D359" s="867"/>
      <c r="E359" s="1219"/>
      <c r="F359" s="867"/>
      <c r="G359" s="868"/>
      <c r="H359" s="863"/>
      <c r="I359" s="868"/>
      <c r="J359" s="870"/>
      <c r="K359" s="865"/>
      <c r="L359" s="872"/>
      <c r="M359" s="872"/>
      <c r="N359" s="925" t="str">
        <f>IF(O359&lt;&gt;0,CONCATENATE(input_values!$AF359,input_values!$AG359,input_values!$AH359),"")</f>
        <v/>
      </c>
      <c r="O359" s="491">
        <f>IF($A$10="Refined calculation mode",Table22[[#This Row],[input for chronic (refined mode]],Table22[[#This Row],[input for chronic normal mode]])</f>
        <v>0</v>
      </c>
      <c r="P359" s="473"/>
      <c r="Q359" s="474"/>
      <c r="R359" s="473"/>
      <c r="S359" s="474"/>
      <c r="T359" s="886"/>
      <c r="U359" s="1436">
        <f>Table22[[#This Row],[MRL/ proposed MRL /CXL
(mg/kg)]]</f>
        <v>0</v>
      </c>
      <c r="V359" s="1437" t="str">
        <f t="shared" si="233"/>
        <v/>
      </c>
      <c r="W359" s="1387">
        <f t="shared" si="234"/>
        <v>1</v>
      </c>
      <c r="X359" s="1387">
        <f t="shared" si="235"/>
        <v>1</v>
      </c>
      <c r="Y359" s="1387">
        <f t="shared" si="236"/>
        <v>1</v>
      </c>
      <c r="Z359" s="1410">
        <v>4</v>
      </c>
      <c r="AA359" s="1387">
        <f t="shared" si="237"/>
        <v>0</v>
      </c>
      <c r="AB359" s="1387">
        <f>IF(Z359=A359,IF(AND(L359="N",Table22[[#This Row],[LOQ_label]]="Y"),AA359,$AA359*$Y359),"")</f>
        <v>0</v>
      </c>
      <c r="AC359" s="1393">
        <f t="shared" si="197"/>
        <v>0</v>
      </c>
      <c r="AD359" s="1393">
        <f>IF(Table22[[#This Row],[Median residue*CF*PeF]]&lt;&gt;"",Table22[[#This Row],[Median residue*CF*PeF]],Table22[[#This Row],[MRL*CF*PeF (chronic)]])</f>
        <v>0</v>
      </c>
      <c r="AE359" s="1393">
        <f t="shared" si="198"/>
        <v>0</v>
      </c>
      <c r="AF359" s="1390" t="str">
        <f t="shared" si="199"/>
        <v>MRL</v>
      </c>
      <c r="AG359" s="1390" t="str">
        <f t="shared" si="200"/>
        <v/>
      </c>
      <c r="AH359" s="1394" t="str">
        <f t="shared" si="201"/>
        <v/>
      </c>
      <c r="AI359" s="1386"/>
      <c r="AJ359" s="1387" t="str">
        <f t="shared" si="238"/>
        <v/>
      </c>
      <c r="AK359" s="1387" t="str">
        <f>IF(AI359=A359,IF(AND(L359="N",Table22[[#This Row],[LOQ_label]]="Y"),AJ359,$AJ359*$Y359),"")</f>
        <v/>
      </c>
      <c r="AL359" s="1388" t="str">
        <f t="shared" si="202"/>
        <v/>
      </c>
      <c r="AM359" s="1393" t="str">
        <f>IF(Table22[[#This Row],[Highest residue * CF*PF]]&lt;&gt;"",Table22[[#This Row],[Highest residue * CF*PF]],Table22[[#This Row],[MRL*CF*PF or MRL (if LOQ and not authorised) (acute RA)]])</f>
        <v/>
      </c>
      <c r="AN359" s="1390" t="str">
        <f t="shared" si="203"/>
        <v/>
      </c>
      <c r="AO359" s="1390" t="str">
        <f t="shared" si="204"/>
        <v/>
      </c>
      <c r="AP359" s="1404" t="str">
        <f t="shared" si="205"/>
        <v/>
      </c>
      <c r="AQ359" s="1388">
        <f t="shared" si="206"/>
        <v>0</v>
      </c>
      <c r="AR359" s="1388" t="str">
        <f t="shared" si="207"/>
        <v/>
      </c>
      <c r="AS359" s="1388" t="str">
        <f t="shared" si="208"/>
        <v/>
      </c>
      <c r="AT359" s="1388" t="str">
        <f t="shared" si="209"/>
        <v/>
      </c>
      <c r="AU359" s="1393" t="str">
        <f t="shared" si="210"/>
        <v/>
      </c>
      <c r="AV359" s="1388">
        <f t="shared" si="211"/>
        <v>0</v>
      </c>
      <c r="AW359" s="1390" t="str">
        <f t="shared" si="212"/>
        <v/>
      </c>
      <c r="AX359" s="1390" t="str">
        <f>IF(AND(AN359&lt;&gt;"",AY359&lt;&gt;""),"*","")</f>
        <v/>
      </c>
      <c r="AY359" s="1394" t="str">
        <f t="shared" si="213"/>
        <v/>
      </c>
      <c r="AZ359" s="1395" t="str">
        <f>IF(Table22[[#This Row],[LOQ_label]]="Y",Table22[[#This Row],[MRL individual commodity]],"")</f>
        <v/>
      </c>
      <c r="BA359" s="1396" t="s">
        <v>1159</v>
      </c>
      <c r="BB359" s="1411" t="str">
        <f>IF(Table22[[#This Row],[LOQ2]]&lt;0,MIN(AZ359:AZ735),"")</f>
        <v/>
      </c>
      <c r="BC359" s="1299"/>
      <c r="BD359" s="1306" t="str">
        <f>IF(Table22[[#This Row],[Chronic RA label]]="","N",IF(Table22[[#This Row],[Chronic RA label]]="LOQ","N",IF(Table22[[#This Row],[Chronic RA label]]="MRL","N","Y")))</f>
        <v>N</v>
      </c>
      <c r="BE359" s="1306" t="str">
        <f>IF(Table22[[#This Row],[Acute RA label]]="","N",IF(Table22[[#This Row],[Acute RA label]]="LOQ","N",IF(Table22[[#This Row],[Acute RA label]]="MRL","N","Y")))</f>
        <v>N</v>
      </c>
      <c r="BF359" s="1306" t="str">
        <f>IF(OR(Table22[[#This Row],[include commodity in Summary_input_values_chronic]]="Y",Table22[[#This Row],[include commodity in Summary_input_values_acute]]="Y"),"Y","N")</f>
        <v>N</v>
      </c>
      <c r="BG359" s="1299"/>
      <c r="BH359" s="1324"/>
    </row>
    <row r="360" spans="1:60" ht="12.75" customHeight="1" outlineLevel="2" x14ac:dyDescent="0.2">
      <c r="A360" s="133">
        <v>3</v>
      </c>
      <c r="B360" s="449">
        <v>1016000</v>
      </c>
      <c r="C360" s="5" t="s">
        <v>802</v>
      </c>
      <c r="D360" s="862"/>
      <c r="E360" s="1218"/>
      <c r="F360" s="862"/>
      <c r="G360" s="866"/>
      <c r="H360" s="863"/>
      <c r="I360" s="863"/>
      <c r="J360" s="864"/>
      <c r="K360" s="865"/>
      <c r="L360" s="471"/>
      <c r="M360" s="471"/>
      <c r="N360" s="473"/>
      <c r="O360" s="474"/>
      <c r="P360" s="473"/>
      <c r="Q360" s="474"/>
      <c r="R360" s="473"/>
      <c r="S360" s="474"/>
      <c r="T360" s="886"/>
      <c r="U360" s="1415"/>
      <c r="V360" s="1380"/>
      <c r="W360" s="1381"/>
      <c r="X360" s="1381"/>
      <c r="Y360" s="1381"/>
      <c r="Z360" s="1382">
        <v>4</v>
      </c>
      <c r="AA360" s="1381" t="str">
        <f t="shared" si="237"/>
        <v/>
      </c>
      <c r="AB360" s="1381" t="str">
        <f>IF(Z360=A360,IF(AND(L360="N",Table22[[#This Row],[LOQ_label]]="Y"),AA360,$AA360*$Y360),"")</f>
        <v/>
      </c>
      <c r="AC360" s="1383" t="str">
        <f t="shared" si="197"/>
        <v/>
      </c>
      <c r="AD360" s="1383" t="str">
        <f>IF(Table22[[#This Row],[Median residue*CF*PeF]]&lt;&gt;"",Table22[[#This Row],[Median residue*CF*PeF]],Table22[[#This Row],[MRL*CF*PeF (chronic)]])</f>
        <v/>
      </c>
      <c r="AE360" s="1384">
        <f t="shared" si="198"/>
        <v>0</v>
      </c>
      <c r="AF360" s="1385" t="str">
        <f t="shared" si="199"/>
        <v/>
      </c>
      <c r="AG360" s="1385" t="str">
        <f t="shared" si="200"/>
        <v/>
      </c>
      <c r="AH360" s="1270" t="str">
        <f t="shared" si="201"/>
        <v/>
      </c>
      <c r="AI360" s="1386">
        <v>4</v>
      </c>
      <c r="AJ360" s="1387" t="str">
        <f t="shared" si="238"/>
        <v/>
      </c>
      <c r="AK360" s="1387" t="str">
        <f>IF(AI360=A360,IF(AND(L360="N",Table22[[#This Row],[LOQ_label]]="Y"),AJ360,$AJ360*$Y360),"")</f>
        <v/>
      </c>
      <c r="AL360" s="1388" t="str">
        <f t="shared" si="202"/>
        <v/>
      </c>
      <c r="AM360" s="1393" t="str">
        <f>IF(Table22[[#This Row],[Highest residue * CF*PF]]&lt;&gt;"",Table22[[#This Row],[Highest residue * CF*PF]],Table22[[#This Row],[MRL*CF*PF or MRL (if LOQ and not authorised) (acute RA)]])</f>
        <v/>
      </c>
      <c r="AN360" s="1390" t="str">
        <f t="shared" si="203"/>
        <v/>
      </c>
      <c r="AO360" s="1390" t="str">
        <f t="shared" si="204"/>
        <v/>
      </c>
      <c r="AP360" s="1404" t="str">
        <f t="shared" si="205"/>
        <v/>
      </c>
      <c r="AQ360" s="1388">
        <f t="shared" si="206"/>
        <v>0</v>
      </c>
      <c r="AR360" s="1388" t="str">
        <f t="shared" si="207"/>
        <v/>
      </c>
      <c r="AS360" s="1388" t="str">
        <f t="shared" si="208"/>
        <v/>
      </c>
      <c r="AT360" s="1388" t="str">
        <f t="shared" si="209"/>
        <v/>
      </c>
      <c r="AU360" s="1393" t="str">
        <f t="shared" si="210"/>
        <v/>
      </c>
      <c r="AV360" s="1388">
        <f t="shared" si="211"/>
        <v>0</v>
      </c>
      <c r="AW360" s="1390" t="str">
        <f t="shared" si="212"/>
        <v/>
      </c>
      <c r="AX360" s="1390" t="str">
        <f>IF(AND(AN360&lt;&gt;"",AY360&lt;&gt;""),"*","")</f>
        <v/>
      </c>
      <c r="AY360" s="1394" t="str">
        <f t="shared" si="213"/>
        <v/>
      </c>
      <c r="AZ360" s="1395">
        <f>IF(Table22[[#This Row],[LOQ_label]]="Y",Table22[[#This Row],[MRL individual commodity]],"")</f>
        <v>0</v>
      </c>
      <c r="BA360" s="1396" t="s">
        <v>1159</v>
      </c>
      <c r="BB360" s="1411" t="str">
        <f>IF(Table22[[#This Row],[LOQ2]]&lt;0,MIN(AZ360:AZ736),"")</f>
        <v/>
      </c>
      <c r="BC360" s="1299"/>
      <c r="BD360" s="1306" t="str">
        <f>IF(Table22[[#This Row],[Chronic RA label]]="","N",IF(Table22[[#This Row],[Chronic RA label]]="LOQ","N",IF(Table22[[#This Row],[Chronic RA label]]="MRL","N","Y")))</f>
        <v>N</v>
      </c>
      <c r="BE360" s="1306" t="str">
        <f>IF(Table22[[#This Row],[Acute RA label]]="","N",IF(Table22[[#This Row],[Acute RA label]]="LOQ","N",IF(Table22[[#This Row],[Acute RA label]]="MRL","N","Y")))</f>
        <v>N</v>
      </c>
      <c r="BF360" s="1306" t="str">
        <f>IF(OR(Table22[[#This Row],[include commodity in Summary_input_values_chronic]]="Y",Table22[[#This Row],[include commodity in Summary_input_values_acute]]="Y"),"Y","N")</f>
        <v>N</v>
      </c>
      <c r="BG360" s="1299"/>
      <c r="BH360" s="1324"/>
    </row>
    <row r="361" spans="1:60" ht="12.75" customHeight="1" outlineLevel="3" x14ac:dyDescent="0.2">
      <c r="A361" s="39">
        <v>4</v>
      </c>
      <c r="B361" s="327">
        <v>1016010</v>
      </c>
      <c r="C361" s="23" t="s">
        <v>867</v>
      </c>
      <c r="D361" s="867"/>
      <c r="E361" s="1219"/>
      <c r="F361" s="867"/>
      <c r="G361" s="869"/>
      <c r="H361" s="863"/>
      <c r="I361" s="868"/>
      <c r="J361" s="870"/>
      <c r="K361" s="865"/>
      <c r="L361" s="872"/>
      <c r="M361" s="872"/>
      <c r="N361" s="925" t="str">
        <f>IF(O361&lt;&gt;0,CONCATENATE(input_values!$AF361,input_values!$AG361,input_values!$AH361),"")</f>
        <v/>
      </c>
      <c r="O361" s="491">
        <f>IF($A$10="Refined calculation mode",Table22[[#This Row],[input for chronic (refined mode]],Table22[[#This Row],[input for chronic normal mode]])</f>
        <v>0</v>
      </c>
      <c r="P361" s="925" t="str">
        <f>IF(Q361&lt;&gt;0,CONCATENATE(input_values!$AN361,input_values!$AO361,input_values!$AP361),"")</f>
        <v/>
      </c>
      <c r="Q361" s="491">
        <f>IF($V$5=0,0,IF(OR($A$10="Refined calculation mode",Results!$B$62="Show results of IESTI calculation only for crops with GAPs under assessment"),Table22[[#This Row],[Input for IESTI (refined mode)]],Table22[[#This Row],[Input for IESTI normal mode]]))</f>
        <v>0</v>
      </c>
      <c r="R361" s="926" t="str">
        <f>IF(S361&lt;&gt;0,CONCATENATE(input_values!$AW361,input_values!$AX361,input_values!$AY361),"")</f>
        <v/>
      </c>
      <c r="S361" s="492">
        <f>IF($V$5=0,0,IF(OR($A$10="Refined calculation mode",Results!$B$62="Show results of IESTI calculation only for crops with GAPs under assessment"),Table22[[#This Row],[Input for IESTI new (refined mode)]],Table22[[#This Row],[Input for IESTI new normal mode]]))</f>
        <v>0</v>
      </c>
      <c r="T361" s="886"/>
      <c r="U361" s="1434">
        <f>Table22[[#This Row],[MRL/ proposed MRL /CXL
(mg/kg)]]</f>
        <v>0</v>
      </c>
      <c r="V361" s="1435" t="str">
        <f t="shared" ref="V361:V366" si="239">IF(ISBLANK(F361),"","Y")</f>
        <v/>
      </c>
      <c r="W361" s="1387">
        <f t="shared" ref="W361:W366" si="240">IF($G361&gt;0,$G361,1)</f>
        <v>1</v>
      </c>
      <c r="X361" s="1387">
        <f t="shared" ref="X361:X366" si="241">IF($H361&gt;0,$H361,1)</f>
        <v>1</v>
      </c>
      <c r="Y361" s="1387">
        <f t="shared" ref="Y361:Y366" si="242">W361*X361</f>
        <v>1</v>
      </c>
      <c r="Z361" s="1410">
        <v>4</v>
      </c>
      <c r="AA361" s="1430">
        <f>IF($L$7="fat soluble",U361*0.9+U362*0.1,U361)</f>
        <v>0</v>
      </c>
      <c r="AB361" s="1387">
        <f>IF(Z361=A361,IF(AND(L361="N",Table22[[#This Row],[LOQ_label]]="Y"),AA361,$AA361*$Y361),"")</f>
        <v>0</v>
      </c>
      <c r="AC361" s="1393">
        <f t="shared" si="197"/>
        <v>0</v>
      </c>
      <c r="AD361" s="1393">
        <f>IF(Table22[[#This Row],[Median residue*CF*PeF]]&lt;&gt;"",Table22[[#This Row],[Median residue*CF*PeF]],Table22[[#This Row],[MRL*CF*PeF (chronic)]])</f>
        <v>0</v>
      </c>
      <c r="AE361" s="1393">
        <f t="shared" si="198"/>
        <v>0</v>
      </c>
      <c r="AF361" s="1390" t="str">
        <f t="shared" si="199"/>
        <v>MRL</v>
      </c>
      <c r="AG361" s="1390" t="str">
        <f t="shared" si="200"/>
        <v/>
      </c>
      <c r="AH361" s="1394" t="str">
        <f t="shared" si="201"/>
        <v/>
      </c>
      <c r="AI361" s="1386">
        <v>4</v>
      </c>
      <c r="AJ361" s="1430">
        <f>IF($L$7="fat soluble",U361*0.9+U362*0.1,U361)</f>
        <v>0</v>
      </c>
      <c r="AK361" s="1387">
        <f>IF(AI361=A361,IF(AND(L361="N",Table22[[#This Row],[LOQ_label]]="Y"),AJ361,$AJ361*$Y361),"")</f>
        <v>0</v>
      </c>
      <c r="AL361" s="1388">
        <f t="shared" si="202"/>
        <v>0</v>
      </c>
      <c r="AM361" s="1393">
        <f>IF(Table22[[#This Row],[Highest residue * CF*PF]]&lt;&gt;"",Table22[[#This Row],[Highest residue * CF*PF]],Table22[[#This Row],[MRL*CF*PF or MRL (if LOQ and not authorised) (acute RA)]])</f>
        <v>0</v>
      </c>
      <c r="AN361" s="1421" t="str">
        <f t="shared" si="203"/>
        <v>MRL</v>
      </c>
      <c r="AO361" s="1390" t="str">
        <f t="shared" si="204"/>
        <v/>
      </c>
      <c r="AP361" s="1404" t="str">
        <f t="shared" si="205"/>
        <v/>
      </c>
      <c r="AQ361" s="1388">
        <f t="shared" si="206"/>
        <v>0</v>
      </c>
      <c r="AR361" s="1388" t="str">
        <f t="shared" si="207"/>
        <v/>
      </c>
      <c r="AS361" s="1388" t="str">
        <f t="shared" si="208"/>
        <v/>
      </c>
      <c r="AT361" s="1388" t="str">
        <f t="shared" si="209"/>
        <v/>
      </c>
      <c r="AU361" s="1393">
        <f t="shared" si="210"/>
        <v>0</v>
      </c>
      <c r="AV361" s="1431">
        <f t="shared" si="211"/>
        <v>0</v>
      </c>
      <c r="AW361" s="1421" t="str">
        <f t="shared" si="212"/>
        <v/>
      </c>
      <c r="AX361" s="1390" t="str">
        <f>IF(AND(AW361&lt;&gt;"",AY361&lt;&gt;""),"*","")</f>
        <v/>
      </c>
      <c r="AY361" s="1394" t="str">
        <f t="shared" si="213"/>
        <v/>
      </c>
      <c r="AZ361" s="1395" t="str">
        <f>IF(Table22[[#This Row],[LOQ_label]]="Y",Table22[[#This Row],[MRL individual commodity]],"")</f>
        <v/>
      </c>
      <c r="BA361" s="1396" t="s">
        <v>1038</v>
      </c>
      <c r="BB361" s="1411" t="str">
        <f>IF(Table22[[#This Row],[LOQ2]]&lt;0,MIN(AZ361:AZ737),"")</f>
        <v/>
      </c>
      <c r="BC361" s="1299"/>
      <c r="BD361" s="1306" t="str">
        <f>IF(Table22[[#This Row],[Chronic RA label]]="","N",IF(Table22[[#This Row],[Chronic RA label]]="LOQ","N",IF(Table22[[#This Row],[Chronic RA label]]="MRL","N","Y")))</f>
        <v>N</v>
      </c>
      <c r="BE361" s="1306" t="str">
        <f>IF(Table22[[#This Row],[Acute RA label]]="","N",IF(Table22[[#This Row],[Acute RA label]]="LOQ","N",IF(Table22[[#This Row],[Acute RA label]]="MRL","N","Y")))</f>
        <v>N</v>
      </c>
      <c r="BF361" s="1306" t="str">
        <f>IF(OR(Table22[[#This Row],[include commodity in Summary_input_values_chronic]]="Y",Table22[[#This Row],[include commodity in Summary_input_values_acute]]="Y"),"Y","N")</f>
        <v>N</v>
      </c>
      <c r="BG361" s="1299"/>
      <c r="BH361" s="1324"/>
    </row>
    <row r="362" spans="1:60" ht="12.75" customHeight="1" outlineLevel="3" x14ac:dyDescent="0.2">
      <c r="A362" s="39">
        <v>4</v>
      </c>
      <c r="B362" s="327">
        <v>1016020</v>
      </c>
      <c r="C362" s="23" t="s">
        <v>793</v>
      </c>
      <c r="D362" s="867"/>
      <c r="E362" s="1219"/>
      <c r="F362" s="867"/>
      <c r="G362" s="869"/>
      <c r="H362" s="863"/>
      <c r="I362" s="868"/>
      <c r="J362" s="870"/>
      <c r="K362" s="865"/>
      <c r="L362" s="872"/>
      <c r="M362" s="872"/>
      <c r="N362" s="925" t="str">
        <f>IF(O362&lt;&gt;0,CONCATENATE(input_values!$AF362,input_values!$AG362,input_values!$AH362),"")</f>
        <v/>
      </c>
      <c r="O362" s="491">
        <f>IF($A$10="Refined calculation mode",Table22[[#This Row],[input for chronic (refined mode]],Table22[[#This Row],[input for chronic normal mode]])</f>
        <v>0</v>
      </c>
      <c r="P362" s="925" t="str">
        <f>IF(Q362&lt;&gt;0,CONCATENATE(input_values!$AN362,input_values!$AO362,input_values!$AP362),"")</f>
        <v/>
      </c>
      <c r="Q362" s="491">
        <f>IF($V$5=0,0,IF(OR($A$10="Refined calculation mode",Results!$B$62="Show results of IESTI calculation only for crops with GAPs under assessment"),Table22[[#This Row],[Input for IESTI (refined mode)]],Table22[[#This Row],[Input for IESTI normal mode]]))</f>
        <v>0</v>
      </c>
      <c r="R362" s="926" t="str">
        <f>IF(S362&lt;&gt;0,CONCATENATE(input_values!$AW362,input_values!$AX362,input_values!$AY362),"")</f>
        <v/>
      </c>
      <c r="S362" s="492">
        <f>IF($V$5=0,0,IF(OR($A$10="Refined calculation mode",Results!$B$62="Show results of IESTI calculation only for crops with GAPs under assessment"),Table22[[#This Row],[Input for IESTI new (refined mode)]],Table22[[#This Row],[Input for IESTI new normal mode]]))</f>
        <v>0</v>
      </c>
      <c r="T362" s="886"/>
      <c r="U362" s="1436">
        <f>Table22[[#This Row],[MRL/ proposed MRL /CXL
(mg/kg)]]</f>
        <v>0</v>
      </c>
      <c r="V362" s="1437" t="str">
        <f t="shared" si="239"/>
        <v/>
      </c>
      <c r="W362" s="1387">
        <f t="shared" si="240"/>
        <v>1</v>
      </c>
      <c r="X362" s="1387">
        <f t="shared" si="241"/>
        <v>1</v>
      </c>
      <c r="Y362" s="1387">
        <f t="shared" si="242"/>
        <v>1</v>
      </c>
      <c r="Z362" s="1410">
        <v>4</v>
      </c>
      <c r="AA362" s="1387">
        <f t="shared" ref="AA362:AA367" si="243">IF(Z362=A362,U362,"")</f>
        <v>0</v>
      </c>
      <c r="AB362" s="1387">
        <f>IF(Z362=A362,IF(AND(L362="N",Table22[[#This Row],[LOQ_label]]="Y"),AA362,$AA362*$Y362),"")</f>
        <v>0</v>
      </c>
      <c r="AC362" s="1393">
        <f t="shared" si="197"/>
        <v>0</v>
      </c>
      <c r="AD362" s="1393">
        <f>IF(Table22[[#This Row],[Median residue*CF*PeF]]&lt;&gt;"",Table22[[#This Row],[Median residue*CF*PeF]],Table22[[#This Row],[MRL*CF*PeF (chronic)]])</f>
        <v>0</v>
      </c>
      <c r="AE362" s="1393">
        <f t="shared" si="198"/>
        <v>0</v>
      </c>
      <c r="AF362" s="1390" t="str">
        <f t="shared" si="199"/>
        <v>MRL</v>
      </c>
      <c r="AG362" s="1390" t="str">
        <f t="shared" si="200"/>
        <v/>
      </c>
      <c r="AH362" s="1394" t="str">
        <f t="shared" si="201"/>
        <v/>
      </c>
      <c r="AI362" s="1386">
        <v>4</v>
      </c>
      <c r="AJ362" s="1387">
        <f t="shared" ref="AJ362:AJ367" si="244">IF(AI362=A362,U362,"")</f>
        <v>0</v>
      </c>
      <c r="AK362" s="1387">
        <f>IF(AI362=A362,IF(AND(L362="N",Table22[[#This Row],[LOQ_label]]="Y"),AJ362,$AJ362*$Y362),"")</f>
        <v>0</v>
      </c>
      <c r="AL362" s="1388">
        <f t="shared" si="202"/>
        <v>0</v>
      </c>
      <c r="AM362" s="1393">
        <f>IF(Table22[[#This Row],[Highest residue * CF*PF]]&lt;&gt;"",Table22[[#This Row],[Highest residue * CF*PF]],Table22[[#This Row],[MRL*CF*PF or MRL (if LOQ and not authorised) (acute RA)]])</f>
        <v>0</v>
      </c>
      <c r="AN362" s="1390" t="str">
        <f t="shared" si="203"/>
        <v>MRL</v>
      </c>
      <c r="AO362" s="1390" t="str">
        <f t="shared" si="204"/>
        <v/>
      </c>
      <c r="AP362" s="1404" t="str">
        <f t="shared" si="205"/>
        <v/>
      </c>
      <c r="AQ362" s="1388">
        <f t="shared" si="206"/>
        <v>0</v>
      </c>
      <c r="AR362" s="1388" t="str">
        <f t="shared" si="207"/>
        <v/>
      </c>
      <c r="AS362" s="1388" t="str">
        <f t="shared" si="208"/>
        <v/>
      </c>
      <c r="AT362" s="1388" t="str">
        <f t="shared" si="209"/>
        <v/>
      </c>
      <c r="AU362" s="1393">
        <f t="shared" si="210"/>
        <v>0</v>
      </c>
      <c r="AV362" s="1388">
        <f t="shared" si="211"/>
        <v>0</v>
      </c>
      <c r="AW362" s="1390" t="str">
        <f t="shared" si="212"/>
        <v/>
      </c>
      <c r="AX362" s="1390" t="str">
        <f>IF(AND(AW362&lt;&gt;"",AY362&lt;&gt;""),"*","")</f>
        <v/>
      </c>
      <c r="AY362" s="1394" t="str">
        <f t="shared" si="213"/>
        <v/>
      </c>
      <c r="AZ362" s="1395" t="str">
        <f>IF(Table22[[#This Row],[LOQ_label]]="Y",Table22[[#This Row],[MRL individual commodity]],"")</f>
        <v/>
      </c>
      <c r="BA362" s="1396" t="s">
        <v>1038</v>
      </c>
      <c r="BB362" s="1411" t="str">
        <f>IF(Table22[[#This Row],[LOQ2]]&lt;0,MIN(AZ362:AZ738),"")</f>
        <v/>
      </c>
      <c r="BC362" s="1299"/>
      <c r="BD362" s="1306" t="str">
        <f>IF(Table22[[#This Row],[Chronic RA label]]="","N",IF(Table22[[#This Row],[Chronic RA label]]="LOQ","N",IF(Table22[[#This Row],[Chronic RA label]]="MRL","N","Y")))</f>
        <v>N</v>
      </c>
      <c r="BE362" s="1306" t="str">
        <f>IF(Table22[[#This Row],[Acute RA label]]="","N",IF(Table22[[#This Row],[Acute RA label]]="LOQ","N",IF(Table22[[#This Row],[Acute RA label]]="MRL","N","Y")))</f>
        <v>N</v>
      </c>
      <c r="BF362" s="1306" t="str">
        <f>IF(OR(Table22[[#This Row],[include commodity in Summary_input_values_chronic]]="Y",Table22[[#This Row],[include commodity in Summary_input_values_acute]]="Y"),"Y","N")</f>
        <v>N</v>
      </c>
      <c r="BG362" s="1299"/>
      <c r="BH362" s="1324"/>
    </row>
    <row r="363" spans="1:60" ht="12.75" customHeight="1" outlineLevel="3" x14ac:dyDescent="0.2">
      <c r="A363" s="39">
        <v>4</v>
      </c>
      <c r="B363" s="327">
        <v>1016030</v>
      </c>
      <c r="C363" s="23" t="s">
        <v>201</v>
      </c>
      <c r="D363" s="867"/>
      <c r="E363" s="1219"/>
      <c r="F363" s="867"/>
      <c r="G363" s="869"/>
      <c r="H363" s="863"/>
      <c r="I363" s="868"/>
      <c r="J363" s="870"/>
      <c r="K363" s="865"/>
      <c r="L363" s="872"/>
      <c r="M363" s="872"/>
      <c r="N363" s="925" t="str">
        <f>IF(O363&lt;&gt;0,CONCATENATE(input_values!$AF363,input_values!$AG363,input_values!$AH363),"")</f>
        <v/>
      </c>
      <c r="O363" s="491">
        <f>IF($A$10="Refined calculation mode",Table22[[#This Row],[input for chronic (refined mode]],Table22[[#This Row],[input for chronic normal mode]])</f>
        <v>0</v>
      </c>
      <c r="P363" s="925" t="str">
        <f>IF(Q363&lt;&gt;0,CONCATENATE(input_values!$AN363,input_values!$AO363,input_values!$AP363),"")</f>
        <v/>
      </c>
      <c r="Q363" s="491">
        <f>IF($V$5=0,0,IF(OR($A$10="Refined calculation mode",Results!$B$62="Show results of IESTI calculation only for crops with GAPs under assessment"),Table22[[#This Row],[Input for IESTI (refined mode)]],Table22[[#This Row],[Input for IESTI normal mode]]))</f>
        <v>0</v>
      </c>
      <c r="R363" s="926" t="str">
        <f>IF(S363&lt;&gt;0,CONCATENATE(input_values!$AW363,input_values!$AX363,input_values!$AY363),"")</f>
        <v/>
      </c>
      <c r="S363" s="492">
        <f>IF($V$5=0,0,IF(OR($A$10="Refined calculation mode",Results!$B$62="Show results of IESTI calculation only for crops with GAPs under assessment"),Table22[[#This Row],[Input for IESTI new (refined mode)]],Table22[[#This Row],[Input for IESTI new normal mode]]))</f>
        <v>0</v>
      </c>
      <c r="T363" s="886"/>
      <c r="U363" s="1436">
        <f>Table22[[#This Row],[MRL/ proposed MRL /CXL
(mg/kg)]]</f>
        <v>0</v>
      </c>
      <c r="V363" s="1437" t="str">
        <f t="shared" si="239"/>
        <v/>
      </c>
      <c r="W363" s="1387">
        <f t="shared" si="240"/>
        <v>1</v>
      </c>
      <c r="X363" s="1387">
        <f t="shared" si="241"/>
        <v>1</v>
      </c>
      <c r="Y363" s="1387">
        <f t="shared" si="242"/>
        <v>1</v>
      </c>
      <c r="Z363" s="1410">
        <v>4</v>
      </c>
      <c r="AA363" s="1387">
        <f t="shared" si="243"/>
        <v>0</v>
      </c>
      <c r="AB363" s="1387">
        <f>IF(Z363=A363,IF(AND(L363="N",Table22[[#This Row],[LOQ_label]]="Y"),AA363,$AA363*$Y363),"")</f>
        <v>0</v>
      </c>
      <c r="AC363" s="1393">
        <f t="shared" si="197"/>
        <v>0</v>
      </c>
      <c r="AD363" s="1393">
        <f>IF(Table22[[#This Row],[Median residue*CF*PeF]]&lt;&gt;"",Table22[[#This Row],[Median residue*CF*PeF]],Table22[[#This Row],[MRL*CF*PeF (chronic)]])</f>
        <v>0</v>
      </c>
      <c r="AE363" s="1393">
        <f t="shared" si="198"/>
        <v>0</v>
      </c>
      <c r="AF363" s="1390" t="str">
        <f t="shared" si="199"/>
        <v>MRL</v>
      </c>
      <c r="AG363" s="1390" t="str">
        <f t="shared" si="200"/>
        <v/>
      </c>
      <c r="AH363" s="1394" t="str">
        <f t="shared" si="201"/>
        <v/>
      </c>
      <c r="AI363" s="1386">
        <v>4</v>
      </c>
      <c r="AJ363" s="1387">
        <f t="shared" si="244"/>
        <v>0</v>
      </c>
      <c r="AK363" s="1387">
        <f>IF(AI363=A363,IF(AND(L363="N",Table22[[#This Row],[LOQ_label]]="Y"),AJ363,$AJ363*$Y363),"")</f>
        <v>0</v>
      </c>
      <c r="AL363" s="1388">
        <f t="shared" si="202"/>
        <v>0</v>
      </c>
      <c r="AM363" s="1393">
        <f>IF(Table22[[#This Row],[Highest residue * CF*PF]]&lt;&gt;"",Table22[[#This Row],[Highest residue * CF*PF]],Table22[[#This Row],[MRL*CF*PF or MRL (if LOQ and not authorised) (acute RA)]])</f>
        <v>0</v>
      </c>
      <c r="AN363" s="1390" t="str">
        <f t="shared" si="203"/>
        <v>MRL</v>
      </c>
      <c r="AO363" s="1390" t="str">
        <f t="shared" si="204"/>
        <v/>
      </c>
      <c r="AP363" s="1404" t="str">
        <f t="shared" si="205"/>
        <v/>
      </c>
      <c r="AQ363" s="1388">
        <f t="shared" si="206"/>
        <v>0</v>
      </c>
      <c r="AR363" s="1388" t="str">
        <f t="shared" si="207"/>
        <v/>
      </c>
      <c r="AS363" s="1388" t="str">
        <f t="shared" si="208"/>
        <v/>
      </c>
      <c r="AT363" s="1388" t="str">
        <f t="shared" si="209"/>
        <v/>
      </c>
      <c r="AU363" s="1393">
        <f t="shared" si="210"/>
        <v>0</v>
      </c>
      <c r="AV363" s="1388">
        <f t="shared" si="211"/>
        <v>0</v>
      </c>
      <c r="AW363" s="1390" t="str">
        <f t="shared" si="212"/>
        <v/>
      </c>
      <c r="AX363" s="1390" t="str">
        <f>IF(AND(AW363&lt;&gt;"",AY363&lt;&gt;""),"*","")</f>
        <v/>
      </c>
      <c r="AY363" s="1394" t="str">
        <f t="shared" si="213"/>
        <v/>
      </c>
      <c r="AZ363" s="1395" t="str">
        <f>IF(Table22[[#This Row],[LOQ_label]]="Y",Table22[[#This Row],[MRL individual commodity]],"")</f>
        <v/>
      </c>
      <c r="BA363" s="1396" t="s">
        <v>1038</v>
      </c>
      <c r="BB363" s="1411" t="str">
        <f>IF(Table22[[#This Row],[LOQ2]]&lt;0,MIN(AZ363:AZ739),"")</f>
        <v/>
      </c>
      <c r="BC363" s="1299"/>
      <c r="BD363" s="1306" t="str">
        <f>IF(Table22[[#This Row],[Chronic RA label]]="","N",IF(Table22[[#This Row],[Chronic RA label]]="LOQ","N",IF(Table22[[#This Row],[Chronic RA label]]="MRL","N","Y")))</f>
        <v>N</v>
      </c>
      <c r="BE363" s="1306" t="str">
        <f>IF(Table22[[#This Row],[Acute RA label]]="","N",IF(Table22[[#This Row],[Acute RA label]]="LOQ","N",IF(Table22[[#This Row],[Acute RA label]]="MRL","N","Y")))</f>
        <v>N</v>
      </c>
      <c r="BF363" s="1306" t="str">
        <f>IF(OR(Table22[[#This Row],[include commodity in Summary_input_values_chronic]]="Y",Table22[[#This Row],[include commodity in Summary_input_values_acute]]="Y"),"Y","N")</f>
        <v>N</v>
      </c>
      <c r="BG363" s="1299"/>
      <c r="BH363" s="1324"/>
    </row>
    <row r="364" spans="1:60" ht="12.75" customHeight="1" outlineLevel="3" x14ac:dyDescent="0.2">
      <c r="A364" s="39">
        <v>4</v>
      </c>
      <c r="B364" s="327">
        <v>1016040</v>
      </c>
      <c r="C364" s="23" t="s">
        <v>147</v>
      </c>
      <c r="D364" s="867"/>
      <c r="E364" s="1219"/>
      <c r="F364" s="867"/>
      <c r="G364" s="869"/>
      <c r="H364" s="863"/>
      <c r="I364" s="868"/>
      <c r="J364" s="870"/>
      <c r="K364" s="865"/>
      <c r="L364" s="872"/>
      <c r="M364" s="872"/>
      <c r="N364" s="925" t="str">
        <f>IF(O364&lt;&gt;0,CONCATENATE(input_values!$AF364,input_values!$AG364,input_values!$AH364),"")</f>
        <v/>
      </c>
      <c r="O364" s="491">
        <f>IF($A$10="Refined calculation mode",Table22[[#This Row],[input for chronic (refined mode]],Table22[[#This Row],[input for chronic normal mode]])</f>
        <v>0</v>
      </c>
      <c r="P364" s="925" t="str">
        <f>IF(Q364&lt;&gt;0,CONCATENATE(input_values!$AN364,input_values!$AO364,input_values!$AP364),"")</f>
        <v/>
      </c>
      <c r="Q364" s="491">
        <f>IF($V$5=0,0,IF(OR($A$10="Refined calculation mode",Results!$B$62="Show results of IESTI calculation only for crops with GAPs under assessment"),Table22[[#This Row],[Input for IESTI (refined mode)]],Table22[[#This Row],[Input for IESTI normal mode]]))</f>
        <v>0</v>
      </c>
      <c r="R364" s="926" t="str">
        <f>IF(S364&lt;&gt;0,CONCATENATE(input_values!$AW364,input_values!$AX364,input_values!$AY364),"")</f>
        <v/>
      </c>
      <c r="S364" s="492">
        <f>IF($V$5=0,0,IF(OR($A$10="Refined calculation mode",Results!$B$62="Show results of IESTI calculation only for crops with GAPs under assessment"),Table22[[#This Row],[Input for IESTI new (refined mode)]],Table22[[#This Row],[Input for IESTI new normal mode]]))</f>
        <v>0</v>
      </c>
      <c r="T364" s="886"/>
      <c r="U364" s="1436">
        <f>Table22[[#This Row],[MRL/ proposed MRL /CXL
(mg/kg)]]</f>
        <v>0</v>
      </c>
      <c r="V364" s="1437" t="str">
        <f t="shared" si="239"/>
        <v/>
      </c>
      <c r="W364" s="1387">
        <f t="shared" si="240"/>
        <v>1</v>
      </c>
      <c r="X364" s="1387">
        <f t="shared" si="241"/>
        <v>1</v>
      </c>
      <c r="Y364" s="1387">
        <f t="shared" si="242"/>
        <v>1</v>
      </c>
      <c r="Z364" s="1410">
        <v>4</v>
      </c>
      <c r="AA364" s="1387">
        <f t="shared" si="243"/>
        <v>0</v>
      </c>
      <c r="AB364" s="1387">
        <f>IF(Z364=A364,IF(AND(L364="N",Table22[[#This Row],[LOQ_label]]="Y"),AA364,$AA364*$Y364),"")</f>
        <v>0</v>
      </c>
      <c r="AC364" s="1393">
        <f t="shared" si="197"/>
        <v>0</v>
      </c>
      <c r="AD364" s="1393">
        <f>IF(Table22[[#This Row],[Median residue*CF*PeF]]&lt;&gt;"",Table22[[#This Row],[Median residue*CF*PeF]],Table22[[#This Row],[MRL*CF*PeF (chronic)]])</f>
        <v>0</v>
      </c>
      <c r="AE364" s="1393">
        <f t="shared" si="198"/>
        <v>0</v>
      </c>
      <c r="AF364" s="1390" t="str">
        <f t="shared" si="199"/>
        <v>MRL</v>
      </c>
      <c r="AG364" s="1390" t="str">
        <f t="shared" si="200"/>
        <v/>
      </c>
      <c r="AH364" s="1394" t="str">
        <f t="shared" si="201"/>
        <v/>
      </c>
      <c r="AI364" s="1386">
        <v>4</v>
      </c>
      <c r="AJ364" s="1387">
        <f t="shared" si="244"/>
        <v>0</v>
      </c>
      <c r="AK364" s="1387">
        <f>IF(AI364=A364,IF(AND(L364="N",Table22[[#This Row],[LOQ_label]]="Y"),AJ364,$AJ364*$Y364),"")</f>
        <v>0</v>
      </c>
      <c r="AL364" s="1388">
        <f t="shared" si="202"/>
        <v>0</v>
      </c>
      <c r="AM364" s="1393">
        <f>IF(Table22[[#This Row],[Highest residue * CF*PF]]&lt;&gt;"",Table22[[#This Row],[Highest residue * CF*PF]],Table22[[#This Row],[MRL*CF*PF or MRL (if LOQ and not authorised) (acute RA)]])</f>
        <v>0</v>
      </c>
      <c r="AN364" s="1390" t="str">
        <f t="shared" si="203"/>
        <v>MRL</v>
      </c>
      <c r="AO364" s="1390" t="str">
        <f t="shared" si="204"/>
        <v/>
      </c>
      <c r="AP364" s="1404" t="str">
        <f t="shared" si="205"/>
        <v/>
      </c>
      <c r="AQ364" s="1388">
        <f t="shared" si="206"/>
        <v>0</v>
      </c>
      <c r="AR364" s="1388" t="str">
        <f t="shared" si="207"/>
        <v/>
      </c>
      <c r="AS364" s="1388" t="str">
        <f t="shared" si="208"/>
        <v/>
      </c>
      <c r="AT364" s="1388" t="str">
        <f t="shared" si="209"/>
        <v/>
      </c>
      <c r="AU364" s="1393">
        <f t="shared" si="210"/>
        <v>0</v>
      </c>
      <c r="AV364" s="1388">
        <f t="shared" si="211"/>
        <v>0</v>
      </c>
      <c r="AW364" s="1390" t="str">
        <f t="shared" si="212"/>
        <v/>
      </c>
      <c r="AX364" s="1390" t="str">
        <f>IF(AND(AW364&lt;&gt;"",AY364&lt;&gt;""),"*","")</f>
        <v/>
      </c>
      <c r="AY364" s="1394" t="str">
        <f t="shared" si="213"/>
        <v/>
      </c>
      <c r="AZ364" s="1395" t="str">
        <f>IF(Table22[[#This Row],[LOQ_label]]="Y",Table22[[#This Row],[MRL individual commodity]],"")</f>
        <v/>
      </c>
      <c r="BA364" s="1396" t="s">
        <v>1038</v>
      </c>
      <c r="BB364" s="1411" t="str">
        <f>IF(Table22[[#This Row],[LOQ2]]&lt;0,MIN(AZ364:AZ740),"")</f>
        <v/>
      </c>
      <c r="BC364" s="1299"/>
      <c r="BD364" s="1306" t="str">
        <f>IF(Table22[[#This Row],[Chronic RA label]]="","N",IF(Table22[[#This Row],[Chronic RA label]]="LOQ","N",IF(Table22[[#This Row],[Chronic RA label]]="MRL","N","Y")))</f>
        <v>N</v>
      </c>
      <c r="BE364" s="1306" t="str">
        <f>IF(Table22[[#This Row],[Acute RA label]]="","N",IF(Table22[[#This Row],[Acute RA label]]="LOQ","N",IF(Table22[[#This Row],[Acute RA label]]="MRL","N","Y")))</f>
        <v>N</v>
      </c>
      <c r="BF364" s="1306" t="str">
        <f>IF(OR(Table22[[#This Row],[include commodity in Summary_input_values_chronic]]="Y",Table22[[#This Row],[include commodity in Summary_input_values_acute]]="Y"),"Y","N")</f>
        <v>N</v>
      </c>
      <c r="BG364" s="1299"/>
      <c r="BH364" s="1324"/>
    </row>
    <row r="365" spans="1:60" ht="12.75" customHeight="1" outlineLevel="3" x14ac:dyDescent="0.2">
      <c r="A365" s="39">
        <v>4</v>
      </c>
      <c r="B365" s="327">
        <v>1016050</v>
      </c>
      <c r="C365" s="23" t="s">
        <v>803</v>
      </c>
      <c r="D365" s="867"/>
      <c r="E365" s="1219"/>
      <c r="F365" s="867"/>
      <c r="G365" s="869"/>
      <c r="H365" s="863"/>
      <c r="I365" s="868"/>
      <c r="J365" s="870"/>
      <c r="K365" s="865"/>
      <c r="L365" s="872"/>
      <c r="M365" s="872"/>
      <c r="N365" s="925" t="str">
        <f>IF(O365&lt;&gt;0,CONCATENATE(input_values!$AF365,input_values!$AG365,input_values!$AH365),"")</f>
        <v/>
      </c>
      <c r="O365" s="491">
        <f>IF($A$10="Refined calculation mode",Table22[[#This Row],[input for chronic (refined mode]],Table22[[#This Row],[input for chronic normal mode]])</f>
        <v>0</v>
      </c>
      <c r="P365" s="925" t="str">
        <f>IF(Q365&lt;&gt;0,CONCATENATE(input_values!$AN365,input_values!$AO365,input_values!$AP365),"")</f>
        <v/>
      </c>
      <c r="Q365" s="491">
        <f>IF($V$5=0,0,IF(OR($A$10="Refined calculation mode",Results!$B$62="Show results of IESTI calculation only for crops with GAPs under assessment"),Table22[[#This Row],[Input for IESTI (refined mode)]],Table22[[#This Row],[Input for IESTI normal mode]]))</f>
        <v>0</v>
      </c>
      <c r="R365" s="926" t="str">
        <f>IF(S365&lt;&gt;0,CONCATENATE(input_values!$AW365,input_values!$AX365,input_values!$AY365),"")</f>
        <v/>
      </c>
      <c r="S365" s="492">
        <f>IF($V$5=0,0,IF(OR($A$10="Refined calculation mode",Results!$B$62="Show results of IESTI calculation only for crops with GAPs under assessment"),Table22[[#This Row],[Input for IESTI new (refined mode)]],Table22[[#This Row],[Input for IESTI new normal mode]]))</f>
        <v>0</v>
      </c>
      <c r="T365" s="886"/>
      <c r="U365" s="1436">
        <f>Table22[[#This Row],[MRL/ proposed MRL /CXL
(mg/kg)]]</f>
        <v>0</v>
      </c>
      <c r="V365" s="1437" t="str">
        <f t="shared" si="239"/>
        <v/>
      </c>
      <c r="W365" s="1387">
        <f t="shared" si="240"/>
        <v>1</v>
      </c>
      <c r="X365" s="1387">
        <f t="shared" si="241"/>
        <v>1</v>
      </c>
      <c r="Y365" s="1387">
        <f t="shared" si="242"/>
        <v>1</v>
      </c>
      <c r="Z365" s="1410">
        <v>4</v>
      </c>
      <c r="AA365" s="1387">
        <f t="shared" si="243"/>
        <v>0</v>
      </c>
      <c r="AB365" s="1387">
        <f>IF(Z365=A365,IF(AND(L365="N",Table22[[#This Row],[LOQ_label]]="Y"),AA365,$AA365*$Y365),"")</f>
        <v>0</v>
      </c>
      <c r="AC365" s="1393">
        <f t="shared" si="197"/>
        <v>0</v>
      </c>
      <c r="AD365" s="1393">
        <f>IF(Table22[[#This Row],[Median residue*CF*PeF]]&lt;&gt;"",Table22[[#This Row],[Median residue*CF*PeF]],Table22[[#This Row],[MRL*CF*PeF (chronic)]])</f>
        <v>0</v>
      </c>
      <c r="AE365" s="1393">
        <f t="shared" si="198"/>
        <v>0</v>
      </c>
      <c r="AF365" s="1390" t="str">
        <f t="shared" si="199"/>
        <v>MRL</v>
      </c>
      <c r="AG365" s="1390" t="str">
        <f t="shared" si="200"/>
        <v/>
      </c>
      <c r="AH365" s="1394" t="str">
        <f t="shared" si="201"/>
        <v/>
      </c>
      <c r="AI365" s="1386">
        <v>4</v>
      </c>
      <c r="AJ365" s="1387">
        <f t="shared" si="244"/>
        <v>0</v>
      </c>
      <c r="AK365" s="1387">
        <f>IF(AI365=A365,IF(AND(L365="N",Table22[[#This Row],[LOQ_label]]="Y"),AJ365,$AJ365*$Y365),"")</f>
        <v>0</v>
      </c>
      <c r="AL365" s="1388">
        <f t="shared" si="202"/>
        <v>0</v>
      </c>
      <c r="AM365" s="1393">
        <f>IF(Table22[[#This Row],[Highest residue * CF*PF]]&lt;&gt;"",Table22[[#This Row],[Highest residue * CF*PF]],Table22[[#This Row],[MRL*CF*PF or MRL (if LOQ and not authorised) (acute RA)]])</f>
        <v>0</v>
      </c>
      <c r="AN365" s="1390" t="str">
        <f t="shared" si="203"/>
        <v>MRL</v>
      </c>
      <c r="AO365" s="1390" t="str">
        <f t="shared" si="204"/>
        <v/>
      </c>
      <c r="AP365" s="1404" t="str">
        <f t="shared" si="205"/>
        <v/>
      </c>
      <c r="AQ365" s="1388">
        <f t="shared" si="206"/>
        <v>0</v>
      </c>
      <c r="AR365" s="1388" t="str">
        <f t="shared" si="207"/>
        <v/>
      </c>
      <c r="AS365" s="1388" t="str">
        <f t="shared" si="208"/>
        <v/>
      </c>
      <c r="AT365" s="1388" t="str">
        <f t="shared" si="209"/>
        <v/>
      </c>
      <c r="AU365" s="1393">
        <f t="shared" si="210"/>
        <v>0</v>
      </c>
      <c r="AV365" s="1388">
        <f t="shared" si="211"/>
        <v>0</v>
      </c>
      <c r="AW365" s="1390" t="str">
        <f t="shared" si="212"/>
        <v/>
      </c>
      <c r="AX365" s="1390" t="str">
        <f>IF(AND(AW365&lt;&gt;"",AY365&lt;&gt;""),"*","")</f>
        <v/>
      </c>
      <c r="AY365" s="1394" t="str">
        <f t="shared" si="213"/>
        <v/>
      </c>
      <c r="AZ365" s="1395" t="str">
        <f>IF(Table22[[#This Row],[LOQ_label]]="Y",Table22[[#This Row],[MRL individual commodity]],"")</f>
        <v/>
      </c>
      <c r="BA365" s="1396" t="s">
        <v>1038</v>
      </c>
      <c r="BB365" s="1411" t="str">
        <f>IF(Table22[[#This Row],[LOQ2]]&lt;0,MIN(AZ365:AZ741),"")</f>
        <v/>
      </c>
      <c r="BC365" s="1299"/>
      <c r="BD365" s="1306" t="str">
        <f>IF(Table22[[#This Row],[Chronic RA label]]="","N",IF(Table22[[#This Row],[Chronic RA label]]="LOQ","N",IF(Table22[[#This Row],[Chronic RA label]]="MRL","N","Y")))</f>
        <v>N</v>
      </c>
      <c r="BE365" s="1306" t="str">
        <f>IF(Table22[[#This Row],[Acute RA label]]="","N",IF(Table22[[#This Row],[Acute RA label]]="LOQ","N",IF(Table22[[#This Row],[Acute RA label]]="MRL","N","Y")))</f>
        <v>N</v>
      </c>
      <c r="BF365" s="1306" t="str">
        <f>IF(OR(Table22[[#This Row],[include commodity in Summary_input_values_chronic]]="Y",Table22[[#This Row],[include commodity in Summary_input_values_acute]]="Y"),"Y","N")</f>
        <v>N</v>
      </c>
      <c r="BG365" s="1299"/>
      <c r="BH365" s="1324"/>
    </row>
    <row r="366" spans="1:60" ht="12.75" customHeight="1" outlineLevel="3" x14ac:dyDescent="0.2">
      <c r="A366" s="39">
        <v>4</v>
      </c>
      <c r="B366" s="327">
        <v>1016990</v>
      </c>
      <c r="C366" s="23" t="s">
        <v>638</v>
      </c>
      <c r="D366" s="867"/>
      <c r="E366" s="1219"/>
      <c r="F366" s="867"/>
      <c r="G366" s="868"/>
      <c r="H366" s="863"/>
      <c r="I366" s="868"/>
      <c r="J366" s="870"/>
      <c r="K366" s="865"/>
      <c r="L366" s="872"/>
      <c r="M366" s="872"/>
      <c r="N366" s="925" t="str">
        <f>IF(O366&lt;&gt;0,CONCATENATE(input_values!$AF366,input_values!$AG366,input_values!$AH366),"")</f>
        <v/>
      </c>
      <c r="O366" s="491">
        <f>IF($A$10="Refined calculation mode",Table22[[#This Row],[input for chronic (refined mode]],Table22[[#This Row],[input for chronic normal mode]])</f>
        <v>0</v>
      </c>
      <c r="P366" s="473"/>
      <c r="Q366" s="474"/>
      <c r="R366" s="473"/>
      <c r="S366" s="474"/>
      <c r="T366" s="886"/>
      <c r="U366" s="1436">
        <f>Table22[[#This Row],[MRL/ proposed MRL /CXL
(mg/kg)]]</f>
        <v>0</v>
      </c>
      <c r="V366" s="1437" t="str">
        <f t="shared" si="239"/>
        <v/>
      </c>
      <c r="W366" s="1387">
        <f t="shared" si="240"/>
        <v>1</v>
      </c>
      <c r="X366" s="1387">
        <f t="shared" si="241"/>
        <v>1</v>
      </c>
      <c r="Y366" s="1387">
        <f t="shared" si="242"/>
        <v>1</v>
      </c>
      <c r="Z366" s="1410">
        <v>4</v>
      </c>
      <c r="AA366" s="1387">
        <f t="shared" si="243"/>
        <v>0</v>
      </c>
      <c r="AB366" s="1387">
        <f>IF(Z366=A366,IF(AND(L366="N",Table22[[#This Row],[LOQ_label]]="Y"),AA366,$AA366*$Y366),"")</f>
        <v>0</v>
      </c>
      <c r="AC366" s="1393">
        <f t="shared" si="197"/>
        <v>0</v>
      </c>
      <c r="AD366" s="1393">
        <f>IF(Table22[[#This Row],[Median residue*CF*PeF]]&lt;&gt;"",Table22[[#This Row],[Median residue*CF*PeF]],Table22[[#This Row],[MRL*CF*PeF (chronic)]])</f>
        <v>0</v>
      </c>
      <c r="AE366" s="1393">
        <f t="shared" si="198"/>
        <v>0</v>
      </c>
      <c r="AF366" s="1390" t="str">
        <f t="shared" si="199"/>
        <v>MRL</v>
      </c>
      <c r="AG366" s="1390" t="str">
        <f t="shared" si="200"/>
        <v/>
      </c>
      <c r="AH366" s="1394" t="str">
        <f t="shared" si="201"/>
        <v/>
      </c>
      <c r="AI366" s="1386"/>
      <c r="AJ366" s="1387" t="str">
        <f t="shared" si="244"/>
        <v/>
      </c>
      <c r="AK366" s="1387" t="str">
        <f>IF(AI366=A366,IF(AND(L366="N",Table22[[#This Row],[LOQ_label]]="Y"),AJ366,$AJ366*$Y366),"")</f>
        <v/>
      </c>
      <c r="AL366" s="1388" t="str">
        <f t="shared" si="202"/>
        <v/>
      </c>
      <c r="AM366" s="1393" t="str">
        <f>IF(Table22[[#This Row],[Highest residue * CF*PF]]&lt;&gt;"",Table22[[#This Row],[Highest residue * CF*PF]],Table22[[#This Row],[MRL*CF*PF or MRL (if LOQ and not authorised) (acute RA)]])</f>
        <v/>
      </c>
      <c r="AN366" s="1390" t="str">
        <f t="shared" si="203"/>
        <v/>
      </c>
      <c r="AO366" s="1390" t="str">
        <f t="shared" si="204"/>
        <v/>
      </c>
      <c r="AP366" s="1404" t="str">
        <f t="shared" si="205"/>
        <v/>
      </c>
      <c r="AQ366" s="1388">
        <f t="shared" si="206"/>
        <v>0</v>
      </c>
      <c r="AR366" s="1388" t="str">
        <f t="shared" si="207"/>
        <v/>
      </c>
      <c r="AS366" s="1388" t="str">
        <f t="shared" si="208"/>
        <v/>
      </c>
      <c r="AT366" s="1388" t="str">
        <f t="shared" si="209"/>
        <v/>
      </c>
      <c r="AU366" s="1393" t="str">
        <f t="shared" si="210"/>
        <v/>
      </c>
      <c r="AV366" s="1388">
        <f t="shared" si="211"/>
        <v>0</v>
      </c>
      <c r="AW366" s="1390" t="str">
        <f t="shared" si="212"/>
        <v/>
      </c>
      <c r="AX366" s="1390" t="str">
        <f>IF(AND(AN366&lt;&gt;"",AY366&lt;&gt;""),"*","")</f>
        <v/>
      </c>
      <c r="AY366" s="1394" t="str">
        <f t="shared" si="213"/>
        <v/>
      </c>
      <c r="AZ366" s="1395" t="str">
        <f>IF(Table22[[#This Row],[LOQ_label]]="Y",Table22[[#This Row],[MRL individual commodity]],"")</f>
        <v/>
      </c>
      <c r="BA366" s="1396" t="s">
        <v>1159</v>
      </c>
      <c r="BB366" s="1411" t="str">
        <f>IF(Table22[[#This Row],[LOQ2]]&lt;0,MIN(AZ366:AZ742),"")</f>
        <v/>
      </c>
      <c r="BC366" s="1299"/>
      <c r="BD366" s="1306" t="str">
        <f>IF(Table22[[#This Row],[Chronic RA label]]="","N",IF(Table22[[#This Row],[Chronic RA label]]="LOQ","N",IF(Table22[[#This Row],[Chronic RA label]]="MRL","N","Y")))</f>
        <v>N</v>
      </c>
      <c r="BE366" s="1306" t="str">
        <f>IF(Table22[[#This Row],[Acute RA label]]="","N",IF(Table22[[#This Row],[Acute RA label]]="LOQ","N",IF(Table22[[#This Row],[Acute RA label]]="MRL","N","Y")))</f>
        <v>N</v>
      </c>
      <c r="BF366" s="1306" t="str">
        <f>IF(OR(Table22[[#This Row],[include commodity in Summary_input_values_chronic]]="Y",Table22[[#This Row],[include commodity in Summary_input_values_acute]]="Y"),"Y","N")</f>
        <v>N</v>
      </c>
      <c r="BG366" s="1299"/>
      <c r="BH366" s="1324"/>
    </row>
    <row r="367" spans="1:60" ht="12.75" customHeight="1" outlineLevel="2" x14ac:dyDescent="0.2">
      <c r="A367" s="133">
        <v>3</v>
      </c>
      <c r="B367" s="449">
        <v>1017000</v>
      </c>
      <c r="C367" s="5" t="s">
        <v>804</v>
      </c>
      <c r="D367" s="862"/>
      <c r="E367" s="1218"/>
      <c r="F367" s="862"/>
      <c r="G367" s="866"/>
      <c r="H367" s="863"/>
      <c r="I367" s="863"/>
      <c r="J367" s="864"/>
      <c r="K367" s="865"/>
      <c r="L367" s="471"/>
      <c r="M367" s="471"/>
      <c r="N367" s="473"/>
      <c r="O367" s="474"/>
      <c r="P367" s="473"/>
      <c r="Q367" s="474"/>
      <c r="R367" s="473"/>
      <c r="S367" s="474"/>
      <c r="T367" s="886"/>
      <c r="U367" s="1415"/>
      <c r="V367" s="1380"/>
      <c r="W367" s="1381"/>
      <c r="X367" s="1381"/>
      <c r="Y367" s="1381"/>
      <c r="Z367" s="1382">
        <v>4</v>
      </c>
      <c r="AA367" s="1381" t="str">
        <f t="shared" si="243"/>
        <v/>
      </c>
      <c r="AB367" s="1381" t="str">
        <f>IF(Z367=A367,IF(AND(L367="N",Table22[[#This Row],[LOQ_label]]="Y"),AA367,$AA367*$Y367),"")</f>
        <v/>
      </c>
      <c r="AC367" s="1383" t="str">
        <f t="shared" si="197"/>
        <v/>
      </c>
      <c r="AD367" s="1383" t="str">
        <f>IF(Table22[[#This Row],[Median residue*CF*PeF]]&lt;&gt;"",Table22[[#This Row],[Median residue*CF*PeF]],Table22[[#This Row],[MRL*CF*PeF (chronic)]])</f>
        <v/>
      </c>
      <c r="AE367" s="1384">
        <f t="shared" si="198"/>
        <v>0</v>
      </c>
      <c r="AF367" s="1385" t="str">
        <f t="shared" si="199"/>
        <v/>
      </c>
      <c r="AG367" s="1385" t="str">
        <f t="shared" si="200"/>
        <v/>
      </c>
      <c r="AH367" s="1270" t="str">
        <f t="shared" si="201"/>
        <v/>
      </c>
      <c r="AI367" s="1386">
        <v>4</v>
      </c>
      <c r="AJ367" s="1387" t="str">
        <f t="shared" si="244"/>
        <v/>
      </c>
      <c r="AK367" s="1387" t="str">
        <f>IF(AI367=A367,IF(AND(L367="N",Table22[[#This Row],[LOQ_label]]="Y"),AJ367,$AJ367*$Y367),"")</f>
        <v/>
      </c>
      <c r="AL367" s="1388" t="str">
        <f t="shared" si="202"/>
        <v/>
      </c>
      <c r="AM367" s="1393" t="str">
        <f>IF(Table22[[#This Row],[Highest residue * CF*PF]]&lt;&gt;"",Table22[[#This Row],[Highest residue * CF*PF]],Table22[[#This Row],[MRL*CF*PF or MRL (if LOQ and not authorised) (acute RA)]])</f>
        <v/>
      </c>
      <c r="AN367" s="1390" t="str">
        <f t="shared" si="203"/>
        <v/>
      </c>
      <c r="AO367" s="1390" t="str">
        <f t="shared" si="204"/>
        <v/>
      </c>
      <c r="AP367" s="1404" t="str">
        <f t="shared" si="205"/>
        <v/>
      </c>
      <c r="AQ367" s="1388">
        <f t="shared" si="206"/>
        <v>0</v>
      </c>
      <c r="AR367" s="1388" t="str">
        <f t="shared" si="207"/>
        <v/>
      </c>
      <c r="AS367" s="1388" t="str">
        <f t="shared" si="208"/>
        <v/>
      </c>
      <c r="AT367" s="1388" t="str">
        <f t="shared" si="209"/>
        <v/>
      </c>
      <c r="AU367" s="1393" t="str">
        <f t="shared" si="210"/>
        <v/>
      </c>
      <c r="AV367" s="1388">
        <f t="shared" si="211"/>
        <v>0</v>
      </c>
      <c r="AW367" s="1390" t="str">
        <f t="shared" si="212"/>
        <v/>
      </c>
      <c r="AX367" s="1390" t="str">
        <f>IF(AND(AN367&lt;&gt;"",AY367&lt;&gt;""),"*","")</f>
        <v/>
      </c>
      <c r="AY367" s="1394" t="str">
        <f t="shared" si="213"/>
        <v/>
      </c>
      <c r="AZ367" s="1395">
        <f>IF(Table22[[#This Row],[LOQ_label]]="Y",Table22[[#This Row],[MRL individual commodity]],"")</f>
        <v>0</v>
      </c>
      <c r="BA367" s="1396" t="s">
        <v>1159</v>
      </c>
      <c r="BB367" s="1411" t="str">
        <f>IF(Table22[[#This Row],[LOQ2]]&lt;0,MIN(AZ367:AZ743),"")</f>
        <v/>
      </c>
      <c r="BC367" s="1299"/>
      <c r="BD367" s="1306" t="str">
        <f>IF(Table22[[#This Row],[Chronic RA label]]="","N",IF(Table22[[#This Row],[Chronic RA label]]="LOQ","N",IF(Table22[[#This Row],[Chronic RA label]]="MRL","N","Y")))</f>
        <v>N</v>
      </c>
      <c r="BE367" s="1306" t="str">
        <f>IF(Table22[[#This Row],[Acute RA label]]="","N",IF(Table22[[#This Row],[Acute RA label]]="LOQ","N",IF(Table22[[#This Row],[Acute RA label]]="MRL","N","Y")))</f>
        <v>N</v>
      </c>
      <c r="BF367" s="1306" t="str">
        <f>IF(OR(Table22[[#This Row],[include commodity in Summary_input_values_chronic]]="Y",Table22[[#This Row],[include commodity in Summary_input_values_acute]]="Y"),"Y","N")</f>
        <v>N</v>
      </c>
      <c r="BG367" s="1299"/>
      <c r="BH367" s="1324"/>
    </row>
    <row r="368" spans="1:60" ht="12.75" customHeight="1" outlineLevel="3" x14ac:dyDescent="0.2">
      <c r="A368" s="39">
        <v>4</v>
      </c>
      <c r="B368" s="327">
        <v>1017010</v>
      </c>
      <c r="C368" s="23" t="s">
        <v>868</v>
      </c>
      <c r="D368" s="867"/>
      <c r="E368" s="1219"/>
      <c r="F368" s="867"/>
      <c r="G368" s="869"/>
      <c r="H368" s="863"/>
      <c r="I368" s="868"/>
      <c r="J368" s="870"/>
      <c r="K368" s="865"/>
      <c r="L368" s="872"/>
      <c r="M368" s="872"/>
      <c r="N368" s="925" t="str">
        <f>IF(O368&lt;&gt;0,CONCATENATE(input_values!$AF368,input_values!$AG368,input_values!$AH368),"")</f>
        <v/>
      </c>
      <c r="O368" s="491">
        <f>IF($A$10="Refined calculation mode",Table22[[#This Row],[input for chronic (refined mode]],Table22[[#This Row],[input for chronic normal mode]])</f>
        <v>0</v>
      </c>
      <c r="P368" s="925" t="str">
        <f>IF(Q368&lt;&gt;0,CONCATENATE(input_values!$AN368,input_values!$AO368,input_values!$AP368),"")</f>
        <v/>
      </c>
      <c r="Q368" s="491">
        <f>IF($V$5=0,0,IF(OR($A$10="Refined calculation mode",Results!$B$62="Show results of IESTI calculation only for crops with GAPs under assessment"),Table22[[#This Row],[Input for IESTI (refined mode)]],Table22[[#This Row],[Input for IESTI normal mode]]))</f>
        <v>0</v>
      </c>
      <c r="R368" s="926" t="str">
        <f>IF(S368&lt;&gt;0,CONCATENATE(input_values!$AW368,input_values!$AX368,input_values!$AY368),"")</f>
        <v/>
      </c>
      <c r="S368" s="492">
        <f>IF($V$5=0,0,IF(OR($A$10="Refined calculation mode",Results!$B$62="Show results of IESTI calculation only for crops with GAPs under assessment"),Table22[[#This Row],[Input for IESTI new (refined mode)]],Table22[[#This Row],[Input for IESTI new normal mode]]))</f>
        <v>0</v>
      </c>
      <c r="T368" s="886"/>
      <c r="U368" s="1436">
        <f>Table22[[#This Row],[MRL/ proposed MRL /CXL
(mg/kg)]]</f>
        <v>0</v>
      </c>
      <c r="V368" s="1437" t="str">
        <f t="shared" ref="V368:V373" si="245">IF(ISBLANK(F368),"","Y")</f>
        <v/>
      </c>
      <c r="W368" s="1387">
        <f>IF($G369&gt;0,$G369,1)</f>
        <v>1</v>
      </c>
      <c r="X368" s="1387">
        <f>IF($H369&gt;0,$H369,1)</f>
        <v>1</v>
      </c>
      <c r="Y368" s="1387">
        <f>W369*X369</f>
        <v>1</v>
      </c>
      <c r="Z368" s="1410">
        <v>4</v>
      </c>
      <c r="AA368" s="1430">
        <f>IF($L$7="fat soluble",U368*0.8+U369*0.2,U368)</f>
        <v>0</v>
      </c>
      <c r="AB368" s="1387">
        <f>IF(Z368=A368,IF(AND(L368="N",Table22[[#This Row],[LOQ_label]]="Y"),AA368,$AA368*$Y368),"")</f>
        <v>0</v>
      </c>
      <c r="AC368" s="1393">
        <f>IF(Z369=A369,$I369*$Y369,"")</f>
        <v>0</v>
      </c>
      <c r="AD368" s="1393">
        <f>IF(Table22[[#This Row],[Median residue*CF*PeF]]&lt;&gt;"",Table22[[#This Row],[Median residue*CF*PeF]],Table22[[#This Row],[MRL*CF*PeF (chronic)]])</f>
        <v>0</v>
      </c>
      <c r="AE368" s="1393">
        <f>IF(OR(L369="N",ISBLANK(L369)),0,IF(Z369=A369,IF(ISBLANK(I369)=TRUE,AB369,AC369),""))</f>
        <v>0</v>
      </c>
      <c r="AF368" s="1390" t="str">
        <f t="shared" si="199"/>
        <v>MRL</v>
      </c>
      <c r="AG368" s="1390" t="str">
        <f>IF(AND(AF369&lt;&gt;"",AH369&lt;&gt;""),"*","")</f>
        <v/>
      </c>
      <c r="AH368" s="1394" t="str">
        <f t="shared" si="201"/>
        <v/>
      </c>
      <c r="AI368" s="1386">
        <v>4</v>
      </c>
      <c r="AJ368" s="1430">
        <f>IF($L$7="fat soluble",U368*0.8+U369*0.2,U368)</f>
        <v>0</v>
      </c>
      <c r="AK368" s="1387">
        <f>IF(AI368=A368,IF(AND(L368="N",Table22[[#This Row],[LOQ_label]]="Y"),AJ368,$AJ368*$Y368),"")</f>
        <v>0</v>
      </c>
      <c r="AL368" s="1388">
        <f t="shared" si="202"/>
        <v>0</v>
      </c>
      <c r="AM368" s="1393">
        <f>IF(Table22[[#This Row],[Highest residue * CF*PF]]&lt;&gt;"",Table22[[#This Row],[Highest residue * CF*PF]],Table22[[#This Row],[MRL*CF*PF or MRL (if LOQ and not authorised) (acute RA)]])</f>
        <v>0</v>
      </c>
      <c r="AN368" s="1421" t="str">
        <f t="shared" si="203"/>
        <v>MRL</v>
      </c>
      <c r="AO368" s="1390" t="str">
        <f>IF(AND(AN369&lt;&gt;"",AP369&lt;&gt;""),"*","")</f>
        <v/>
      </c>
      <c r="AP368" s="1404" t="str">
        <f t="shared" si="205"/>
        <v/>
      </c>
      <c r="AQ368" s="1388">
        <f t="shared" si="206"/>
        <v>0</v>
      </c>
      <c r="AR368" s="1388" t="str">
        <f t="shared" si="207"/>
        <v/>
      </c>
      <c r="AS368" s="1388" t="str">
        <f t="shared" si="208"/>
        <v/>
      </c>
      <c r="AT368" s="1388" t="str">
        <f t="shared" si="209"/>
        <v/>
      </c>
      <c r="AU368" s="1393">
        <f>AK369</f>
        <v>0</v>
      </c>
      <c r="AV368" s="1431">
        <f t="shared" si="211"/>
        <v>0</v>
      </c>
      <c r="AW368" s="1421" t="str">
        <f t="shared" si="212"/>
        <v/>
      </c>
      <c r="AX368" s="1390" t="str">
        <f>IF(AND(AW369&lt;&gt;"",AY369&lt;&gt;""),"*","")</f>
        <v/>
      </c>
      <c r="AY368" s="1394" t="str">
        <f t="shared" si="213"/>
        <v/>
      </c>
      <c r="AZ368" s="1395" t="str">
        <f>IF(Table22[[#This Row],[LOQ_label]]="Y",Table22[[#This Row],[MRL individual commodity]],"")</f>
        <v/>
      </c>
      <c r="BA368" s="1396" t="s">
        <v>1038</v>
      </c>
      <c r="BB368" s="1411" t="str">
        <f>IF(Table22[[#This Row],[LOQ2]]&lt;0,MIN(AZ368:AZ744),"")</f>
        <v/>
      </c>
      <c r="BC368" s="1299"/>
      <c r="BD368" s="1306" t="str">
        <f>IF(Table22[[#This Row],[Chronic RA label]]="","N",IF(Table22[[#This Row],[Chronic RA label]]="LOQ","N",IF(Table22[[#This Row],[Chronic RA label]]="MRL","N","Y")))</f>
        <v>N</v>
      </c>
      <c r="BE368" s="1306" t="str">
        <f>IF(Table22[[#This Row],[Acute RA label]]="","N",IF(Table22[[#This Row],[Acute RA label]]="LOQ","N",IF(Table22[[#This Row],[Acute RA label]]="MRL","N","Y")))</f>
        <v>N</v>
      </c>
      <c r="BF368" s="1306" t="str">
        <f>IF(OR(Table22[[#This Row],[include commodity in Summary_input_values_chronic]]="Y",Table22[[#This Row],[include commodity in Summary_input_values_acute]]="Y"),"Y","N")</f>
        <v>N</v>
      </c>
      <c r="BG368" s="1299"/>
      <c r="BH368" s="1324"/>
    </row>
    <row r="369" spans="1:60" ht="12.75" customHeight="1" outlineLevel="3" x14ac:dyDescent="0.2">
      <c r="A369" s="39">
        <v>4</v>
      </c>
      <c r="B369" s="327">
        <v>1017020</v>
      </c>
      <c r="C369" s="23" t="s">
        <v>805</v>
      </c>
      <c r="D369" s="867"/>
      <c r="E369" s="1219"/>
      <c r="F369" s="867"/>
      <c r="G369" s="869"/>
      <c r="H369" s="863"/>
      <c r="I369" s="868"/>
      <c r="J369" s="870"/>
      <c r="K369" s="865"/>
      <c r="L369" s="872"/>
      <c r="M369" s="872"/>
      <c r="N369" s="925" t="str">
        <f>IF(O369&lt;&gt;0,CONCATENATE(input_values!$AF369,input_values!$AG369,input_values!$AH369),"")</f>
        <v/>
      </c>
      <c r="O369" s="491">
        <f>IF($A$10="Refined calculation mode",Table22[[#This Row],[input for chronic (refined mode]],Table22[[#This Row],[input for chronic normal mode]])</f>
        <v>0</v>
      </c>
      <c r="P369" s="925" t="str">
        <f>IF(Q369&lt;&gt;0,CONCATENATE(input_values!$AN369,input_values!$AO369,input_values!$AP369),"")</f>
        <v/>
      </c>
      <c r="Q369" s="491">
        <f>IF($V$5=0,0,IF(OR($A$10="Refined calculation mode",Results!$B$62="Show results of IESTI calculation only for crops with GAPs under assessment"),Table22[[#This Row],[Input for IESTI (refined mode)]],Table22[[#This Row],[Input for IESTI normal mode]]))</f>
        <v>0</v>
      </c>
      <c r="R369" s="926" t="str">
        <f>IF(S369&lt;&gt;0,CONCATENATE(input_values!$AW369,input_values!$AX369,input_values!$AY369),"")</f>
        <v/>
      </c>
      <c r="S369" s="492">
        <f>IF($V$5=0,0,IF(OR($A$10="Refined calculation mode",Results!$B$62="Show results of IESTI calculation only for crops with GAPs under assessment"),Table22[[#This Row],[Input for IESTI new (refined mode)]],Table22[[#This Row],[Input for IESTI new normal mode]]))</f>
        <v>0</v>
      </c>
      <c r="T369" s="886"/>
      <c r="U369" s="1436">
        <f>Table22[[#This Row],[MRL/ proposed MRL /CXL
(mg/kg)]]</f>
        <v>0</v>
      </c>
      <c r="V369" s="1437" t="str">
        <f t="shared" si="245"/>
        <v/>
      </c>
      <c r="W369" s="1387">
        <f>IF($G369&gt;0,$G369,1)</f>
        <v>1</v>
      </c>
      <c r="X369" s="1387">
        <f>IF($H369&gt;0,$H369,1)</f>
        <v>1</v>
      </c>
      <c r="Y369" s="1387">
        <f>W369*X369</f>
        <v>1</v>
      </c>
      <c r="Z369" s="1410">
        <v>4</v>
      </c>
      <c r="AA369" s="1387">
        <f t="shared" ref="AA369:AA390" si="246">IF(Z369=A369,U369,"")</f>
        <v>0</v>
      </c>
      <c r="AB369" s="1387">
        <f>IF(Z369=A369,IF(AND(L369="N",Table22[[#This Row],[LOQ_label]]="Y"),AA369,$AA369*$Y369),"")</f>
        <v>0</v>
      </c>
      <c r="AC369" s="1393">
        <f t="shared" ref="AC369:AC390" si="247">IF(Z369=A369,$I369*$Y369,"")</f>
        <v>0</v>
      </c>
      <c r="AD369" s="1393">
        <f>IF(Table22[[#This Row],[Median residue*CF*PeF]]&lt;&gt;"",Table22[[#This Row],[Median residue*CF*PeF]],Table22[[#This Row],[MRL*CF*PeF (chronic)]])</f>
        <v>0</v>
      </c>
      <c r="AE369" s="1393">
        <f t="shared" ref="AE369:AE390" si="248">IF(OR(L369="N",ISBLANK(L369)),0,IF(Z369=A369,IF(ISBLANK(I369)=TRUE,AB369,AC369),""))</f>
        <v>0</v>
      </c>
      <c r="AF369" s="1390" t="str">
        <f t="shared" si="199"/>
        <v>MRL</v>
      </c>
      <c r="AG369" s="1390" t="str">
        <f t="shared" ref="AG369:AG390" si="249">IF(AND(AF369&lt;&gt;"",AH369&lt;&gt;""),"*","")</f>
        <v/>
      </c>
      <c r="AH369" s="1394" t="str">
        <f t="shared" si="201"/>
        <v/>
      </c>
      <c r="AI369" s="1386">
        <v>4</v>
      </c>
      <c r="AJ369" s="1387">
        <f t="shared" ref="AJ369:AJ390" si="250">IF(AI369=A369,U369,"")</f>
        <v>0</v>
      </c>
      <c r="AK369" s="1387">
        <f>IF(AI369=A369,IF(AND(L369="N",Table22[[#This Row],[LOQ_label]]="Y"),AJ369,$AJ369*$Y369),"")</f>
        <v>0</v>
      </c>
      <c r="AL369" s="1388">
        <f t="shared" si="202"/>
        <v>0</v>
      </c>
      <c r="AM369" s="1393">
        <f>IF(Table22[[#This Row],[Highest residue * CF*PF]]&lt;&gt;"",Table22[[#This Row],[Highest residue * CF*PF]],Table22[[#This Row],[MRL*CF*PF or MRL (if LOQ and not authorised) (acute RA)]])</f>
        <v>0</v>
      </c>
      <c r="AN369" s="1390" t="str">
        <f t="shared" si="203"/>
        <v>MRL</v>
      </c>
      <c r="AO369" s="1390" t="str">
        <f t="shared" ref="AO369:AO390" si="251">IF(AND(AN369&lt;&gt;"",AP369&lt;&gt;""),"*","")</f>
        <v/>
      </c>
      <c r="AP369" s="1404" t="str">
        <f t="shared" si="205"/>
        <v/>
      </c>
      <c r="AQ369" s="1388">
        <f t="shared" si="206"/>
        <v>0</v>
      </c>
      <c r="AR369" s="1388" t="str">
        <f t="shared" si="207"/>
        <v/>
      </c>
      <c r="AS369" s="1388" t="str">
        <f t="shared" si="208"/>
        <v/>
      </c>
      <c r="AT369" s="1388" t="str">
        <f t="shared" si="209"/>
        <v/>
      </c>
      <c r="AU369" s="1393">
        <f t="shared" ref="AU369:AU390" si="252">AK369</f>
        <v>0</v>
      </c>
      <c r="AV369" s="1388">
        <f t="shared" si="211"/>
        <v>0</v>
      </c>
      <c r="AW369" s="1390" t="str">
        <f t="shared" si="212"/>
        <v/>
      </c>
      <c r="AX369" s="1390" t="str">
        <f>IF(AND(AW369&lt;&gt;"",AY369&lt;&gt;""),"*","")</f>
        <v/>
      </c>
      <c r="AY369" s="1394" t="str">
        <f t="shared" si="213"/>
        <v/>
      </c>
      <c r="AZ369" s="1395" t="str">
        <f>IF(Table22[[#This Row],[LOQ_label]]="Y",Table22[[#This Row],[MRL individual commodity]],"")</f>
        <v/>
      </c>
      <c r="BA369" s="1396" t="s">
        <v>1038</v>
      </c>
      <c r="BB369" s="1411" t="str">
        <f>IF(Table22[[#This Row],[LOQ2]]&lt;0,MIN(AZ369:AZ745),"")</f>
        <v/>
      </c>
      <c r="BC369" s="1299"/>
      <c r="BD369" s="1306" t="str">
        <f>IF(Table22[[#This Row],[Chronic RA label]]="","N",IF(Table22[[#This Row],[Chronic RA label]]="LOQ","N",IF(Table22[[#This Row],[Chronic RA label]]="MRL","N","Y")))</f>
        <v>N</v>
      </c>
      <c r="BE369" s="1306" t="str">
        <f>IF(Table22[[#This Row],[Acute RA label]]="","N",IF(Table22[[#This Row],[Acute RA label]]="LOQ","N",IF(Table22[[#This Row],[Acute RA label]]="MRL","N","Y")))</f>
        <v>N</v>
      </c>
      <c r="BF369" s="1306" t="str">
        <f>IF(OR(Table22[[#This Row],[include commodity in Summary_input_values_chronic]]="Y",Table22[[#This Row],[include commodity in Summary_input_values_acute]]="Y"),"Y","N")</f>
        <v>N</v>
      </c>
      <c r="BG369" s="1299"/>
      <c r="BH369" s="1324"/>
    </row>
    <row r="370" spans="1:60" ht="12.75" customHeight="1" outlineLevel="3" x14ac:dyDescent="0.2">
      <c r="A370" s="39">
        <v>4</v>
      </c>
      <c r="B370" s="327">
        <v>1017030</v>
      </c>
      <c r="C370" s="23" t="s">
        <v>806</v>
      </c>
      <c r="D370" s="867"/>
      <c r="E370" s="1219"/>
      <c r="F370" s="867"/>
      <c r="G370" s="869"/>
      <c r="H370" s="863"/>
      <c r="I370" s="868"/>
      <c r="J370" s="870"/>
      <c r="K370" s="865"/>
      <c r="L370" s="872"/>
      <c r="M370" s="872"/>
      <c r="N370" s="925" t="str">
        <f>IF(O370&lt;&gt;0,CONCATENATE(input_values!$AF370,input_values!$AG370,input_values!$AH370),"")</f>
        <v/>
      </c>
      <c r="O370" s="491">
        <f>IF($A$10="Refined calculation mode",Table22[[#This Row],[input for chronic (refined mode]],Table22[[#This Row],[input for chronic normal mode]])</f>
        <v>0</v>
      </c>
      <c r="P370" s="925" t="str">
        <f>IF(Q370&lt;&gt;0,CONCATENATE(input_values!$AN370,input_values!$AO370,input_values!$AP370),"")</f>
        <v/>
      </c>
      <c r="Q370" s="491">
        <f>IF($V$5=0,0,IF(OR($A$10="Refined calculation mode",Results!$B$62="Show results of IESTI calculation only for crops with GAPs under assessment"),Table22[[#This Row],[Input for IESTI (refined mode)]],Table22[[#This Row],[Input for IESTI normal mode]]))</f>
        <v>0</v>
      </c>
      <c r="R370" s="926" t="str">
        <f>IF(S370&lt;&gt;0,CONCATENATE(input_values!$AW370,input_values!$AX370,input_values!$AY370),"")</f>
        <v/>
      </c>
      <c r="S370" s="492">
        <f>IF($V$5=0,0,IF(OR($A$10="Refined calculation mode",Results!$B$62="Show results of IESTI calculation only for crops with GAPs under assessment"),Table22[[#This Row],[Input for IESTI new (refined mode)]],Table22[[#This Row],[Input for IESTI new normal mode]]))</f>
        <v>0</v>
      </c>
      <c r="T370" s="886"/>
      <c r="U370" s="1436">
        <f>Table22[[#This Row],[MRL/ proposed MRL /CXL
(mg/kg)]]</f>
        <v>0</v>
      </c>
      <c r="V370" s="1437" t="str">
        <f t="shared" si="245"/>
        <v/>
      </c>
      <c r="W370" s="1387">
        <f>IF($G370&gt;0,$G370,1)</f>
        <v>1</v>
      </c>
      <c r="X370" s="1387">
        <f>IF($H370&gt;0,$H370,1)</f>
        <v>1</v>
      </c>
      <c r="Y370" s="1387">
        <f>W370*X370</f>
        <v>1</v>
      </c>
      <c r="Z370" s="1410">
        <v>4</v>
      </c>
      <c r="AA370" s="1387">
        <f t="shared" si="246"/>
        <v>0</v>
      </c>
      <c r="AB370" s="1387">
        <f>IF(Z370=A370,IF(AND(L370="N",Table22[[#This Row],[LOQ_label]]="Y"),AA370,$AA370*$Y370),"")</f>
        <v>0</v>
      </c>
      <c r="AC370" s="1393">
        <f t="shared" si="247"/>
        <v>0</v>
      </c>
      <c r="AD370" s="1393">
        <f>IF(Table22[[#This Row],[Median residue*CF*PeF]]&lt;&gt;"",Table22[[#This Row],[Median residue*CF*PeF]],Table22[[#This Row],[MRL*CF*PeF (chronic)]])</f>
        <v>0</v>
      </c>
      <c r="AE370" s="1393">
        <f t="shared" si="248"/>
        <v>0</v>
      </c>
      <c r="AF370" s="1390" t="str">
        <f t="shared" si="199"/>
        <v>MRL</v>
      </c>
      <c r="AG370" s="1390" t="str">
        <f t="shared" si="249"/>
        <v/>
      </c>
      <c r="AH370" s="1394" t="str">
        <f t="shared" si="201"/>
        <v/>
      </c>
      <c r="AI370" s="1386">
        <v>4</v>
      </c>
      <c r="AJ370" s="1387">
        <f t="shared" si="250"/>
        <v>0</v>
      </c>
      <c r="AK370" s="1387">
        <f>IF(AI370=A370,IF(AND(L370="N",Table22[[#This Row],[LOQ_label]]="Y"),AJ370,$AJ370*$Y370),"")</f>
        <v>0</v>
      </c>
      <c r="AL370" s="1388">
        <f t="shared" si="202"/>
        <v>0</v>
      </c>
      <c r="AM370" s="1393">
        <f>IF(Table22[[#This Row],[Highest residue * CF*PF]]&lt;&gt;"",Table22[[#This Row],[Highest residue * CF*PF]],Table22[[#This Row],[MRL*CF*PF or MRL (if LOQ and not authorised) (acute RA)]])</f>
        <v>0</v>
      </c>
      <c r="AN370" s="1390" t="str">
        <f t="shared" si="203"/>
        <v>MRL</v>
      </c>
      <c r="AO370" s="1390" t="str">
        <f t="shared" si="251"/>
        <v/>
      </c>
      <c r="AP370" s="1404" t="str">
        <f t="shared" si="205"/>
        <v/>
      </c>
      <c r="AQ370" s="1388">
        <f t="shared" si="206"/>
        <v>0</v>
      </c>
      <c r="AR370" s="1388" t="str">
        <f t="shared" si="207"/>
        <v/>
      </c>
      <c r="AS370" s="1388" t="str">
        <f t="shared" si="208"/>
        <v/>
      </c>
      <c r="AT370" s="1388" t="str">
        <f t="shared" si="209"/>
        <v/>
      </c>
      <c r="AU370" s="1393">
        <f t="shared" si="252"/>
        <v>0</v>
      </c>
      <c r="AV370" s="1388">
        <f t="shared" si="211"/>
        <v>0</v>
      </c>
      <c r="AW370" s="1390" t="str">
        <f t="shared" si="212"/>
        <v/>
      </c>
      <c r="AX370" s="1390" t="str">
        <f>IF(AND(AW370&lt;&gt;"",AY370&lt;&gt;""),"*","")</f>
        <v/>
      </c>
      <c r="AY370" s="1394" t="str">
        <f t="shared" si="213"/>
        <v/>
      </c>
      <c r="AZ370" s="1395" t="str">
        <f>IF(Table22[[#This Row],[LOQ_label]]="Y",Table22[[#This Row],[MRL individual commodity]],"")</f>
        <v/>
      </c>
      <c r="BA370" s="1396" t="s">
        <v>1038</v>
      </c>
      <c r="BB370" s="1411" t="str">
        <f>IF(Table22[[#This Row],[LOQ2]]&lt;0,MIN(AZ370:AZ746),"")</f>
        <v/>
      </c>
      <c r="BC370" s="1299"/>
      <c r="BD370" s="1306" t="str">
        <f>IF(Table22[[#This Row],[Chronic RA label]]="","N",IF(Table22[[#This Row],[Chronic RA label]]="LOQ","N",IF(Table22[[#This Row],[Chronic RA label]]="MRL","N","Y")))</f>
        <v>N</v>
      </c>
      <c r="BE370" s="1306" t="str">
        <f>IF(Table22[[#This Row],[Acute RA label]]="","N",IF(Table22[[#This Row],[Acute RA label]]="LOQ","N",IF(Table22[[#This Row],[Acute RA label]]="MRL","N","Y")))</f>
        <v>N</v>
      </c>
      <c r="BF370" s="1306" t="str">
        <f>IF(OR(Table22[[#This Row],[include commodity in Summary_input_values_chronic]]="Y",Table22[[#This Row],[include commodity in Summary_input_values_acute]]="Y"),"Y","N")</f>
        <v>N</v>
      </c>
      <c r="BG370" s="1299"/>
      <c r="BH370" s="1324"/>
    </row>
    <row r="371" spans="1:60" ht="12.75" customHeight="1" outlineLevel="3" x14ac:dyDescent="0.2">
      <c r="A371" s="39">
        <v>4</v>
      </c>
      <c r="B371" s="327">
        <v>1017040</v>
      </c>
      <c r="C371" s="23" t="s">
        <v>807</v>
      </c>
      <c r="D371" s="867"/>
      <c r="E371" s="1219"/>
      <c r="F371" s="867"/>
      <c r="G371" s="869"/>
      <c r="H371" s="863"/>
      <c r="I371" s="868"/>
      <c r="J371" s="870"/>
      <c r="K371" s="865"/>
      <c r="L371" s="872"/>
      <c r="M371" s="872"/>
      <c r="N371" s="925" t="str">
        <f>IF(O371&lt;&gt;0,CONCATENATE(input_values!$AF371,input_values!$AG371,input_values!$AH371),"")</f>
        <v/>
      </c>
      <c r="O371" s="491">
        <f>IF($A$10="Refined calculation mode",Table22[[#This Row],[input for chronic (refined mode]],Table22[[#This Row],[input for chronic normal mode]])</f>
        <v>0</v>
      </c>
      <c r="P371" s="925" t="str">
        <f>IF(Q371&lt;&gt;0,CONCATENATE(input_values!$AN371,input_values!$AO371,input_values!$AP371),"")</f>
        <v/>
      </c>
      <c r="Q371" s="491">
        <f>IF($V$5=0,0,IF(OR($A$10="Refined calculation mode",Results!$B$62="Show results of IESTI calculation only for crops with GAPs under assessment"),Table22[[#This Row],[Input for IESTI (refined mode)]],Table22[[#This Row],[Input for IESTI normal mode]]))</f>
        <v>0</v>
      </c>
      <c r="R371" s="926" t="str">
        <f>IF(S371&lt;&gt;0,CONCATENATE(input_values!$AW371,input_values!$AX371,input_values!$AY371),"")</f>
        <v/>
      </c>
      <c r="S371" s="492">
        <f>IF($V$5=0,0,IF(OR($A$10="Refined calculation mode",Results!$B$62="Show results of IESTI calculation only for crops with GAPs under assessment"),Table22[[#This Row],[Input for IESTI new (refined mode)]],Table22[[#This Row],[Input for IESTI new normal mode]]))</f>
        <v>0</v>
      </c>
      <c r="T371" s="886"/>
      <c r="U371" s="1436">
        <f>Table22[[#This Row],[MRL/ proposed MRL /CXL
(mg/kg)]]</f>
        <v>0</v>
      </c>
      <c r="V371" s="1437" t="str">
        <f t="shared" si="245"/>
        <v/>
      </c>
      <c r="W371" s="1387">
        <f>IF($G371&gt;0,$G371,1)</f>
        <v>1</v>
      </c>
      <c r="X371" s="1387">
        <f>IF($H371&gt;0,$H371,1)</f>
        <v>1</v>
      </c>
      <c r="Y371" s="1387">
        <f>W371*X371</f>
        <v>1</v>
      </c>
      <c r="Z371" s="1410">
        <v>4</v>
      </c>
      <c r="AA371" s="1387">
        <f t="shared" si="246"/>
        <v>0</v>
      </c>
      <c r="AB371" s="1387">
        <f>IF(Z371=A371,IF(AND(L371="N",Table22[[#This Row],[LOQ_label]]="Y"),AA371,$AA371*$Y371),"")</f>
        <v>0</v>
      </c>
      <c r="AC371" s="1393">
        <f t="shared" si="247"/>
        <v>0</v>
      </c>
      <c r="AD371" s="1393">
        <f>IF(Table22[[#This Row],[Median residue*CF*PeF]]&lt;&gt;"",Table22[[#This Row],[Median residue*CF*PeF]],Table22[[#This Row],[MRL*CF*PeF (chronic)]])</f>
        <v>0</v>
      </c>
      <c r="AE371" s="1393">
        <f t="shared" si="248"/>
        <v>0</v>
      </c>
      <c r="AF371" s="1390" t="str">
        <f t="shared" si="199"/>
        <v>MRL</v>
      </c>
      <c r="AG371" s="1390" t="str">
        <f t="shared" si="249"/>
        <v/>
      </c>
      <c r="AH371" s="1394" t="str">
        <f t="shared" si="201"/>
        <v/>
      </c>
      <c r="AI371" s="1386">
        <v>4</v>
      </c>
      <c r="AJ371" s="1387">
        <f t="shared" si="250"/>
        <v>0</v>
      </c>
      <c r="AK371" s="1387">
        <f>IF(AI371=A371,IF(AND(L371="N",Table22[[#This Row],[LOQ_label]]="Y"),AJ371,$AJ371*$Y371),"")</f>
        <v>0</v>
      </c>
      <c r="AL371" s="1388">
        <f t="shared" si="202"/>
        <v>0</v>
      </c>
      <c r="AM371" s="1393">
        <f>IF(Table22[[#This Row],[Highest residue * CF*PF]]&lt;&gt;"",Table22[[#This Row],[Highest residue * CF*PF]],Table22[[#This Row],[MRL*CF*PF or MRL (if LOQ and not authorised) (acute RA)]])</f>
        <v>0</v>
      </c>
      <c r="AN371" s="1390" t="str">
        <f t="shared" si="203"/>
        <v>MRL</v>
      </c>
      <c r="AO371" s="1390" t="str">
        <f t="shared" si="251"/>
        <v/>
      </c>
      <c r="AP371" s="1404" t="str">
        <f t="shared" si="205"/>
        <v/>
      </c>
      <c r="AQ371" s="1388">
        <f t="shared" si="206"/>
        <v>0</v>
      </c>
      <c r="AR371" s="1388" t="str">
        <f t="shared" si="207"/>
        <v/>
      </c>
      <c r="AS371" s="1388" t="str">
        <f t="shared" si="208"/>
        <v/>
      </c>
      <c r="AT371" s="1388" t="str">
        <f t="shared" si="209"/>
        <v/>
      </c>
      <c r="AU371" s="1393">
        <f t="shared" si="252"/>
        <v>0</v>
      </c>
      <c r="AV371" s="1388">
        <f t="shared" si="211"/>
        <v>0</v>
      </c>
      <c r="AW371" s="1390" t="str">
        <f t="shared" si="212"/>
        <v/>
      </c>
      <c r="AX371" s="1390" t="str">
        <f>IF(AND(AW371&lt;&gt;"",AY371&lt;&gt;""),"*","")</f>
        <v/>
      </c>
      <c r="AY371" s="1394" t="str">
        <f t="shared" si="213"/>
        <v/>
      </c>
      <c r="AZ371" s="1395" t="str">
        <f>IF(Table22[[#This Row],[LOQ_label]]="Y",Table22[[#This Row],[MRL individual commodity]],"")</f>
        <v/>
      </c>
      <c r="BA371" s="1396" t="s">
        <v>1038</v>
      </c>
      <c r="BB371" s="1411" t="str">
        <f>IF(Table22[[#This Row],[LOQ2]]&lt;0,MIN(AZ371:AZ747),"")</f>
        <v/>
      </c>
      <c r="BC371" s="1299"/>
      <c r="BD371" s="1306" t="str">
        <f>IF(Table22[[#This Row],[Chronic RA label]]="","N",IF(Table22[[#This Row],[Chronic RA label]]="LOQ","N",IF(Table22[[#This Row],[Chronic RA label]]="MRL","N","Y")))</f>
        <v>N</v>
      </c>
      <c r="BE371" s="1306" t="str">
        <f>IF(Table22[[#This Row],[Acute RA label]]="","N",IF(Table22[[#This Row],[Acute RA label]]="LOQ","N",IF(Table22[[#This Row],[Acute RA label]]="MRL","N","Y")))</f>
        <v>N</v>
      </c>
      <c r="BF371" s="1306" t="str">
        <f>IF(OR(Table22[[#This Row],[include commodity in Summary_input_values_chronic]]="Y",Table22[[#This Row],[include commodity in Summary_input_values_acute]]="Y"),"Y","N")</f>
        <v>N</v>
      </c>
      <c r="BG371" s="1299"/>
      <c r="BH371" s="1324"/>
    </row>
    <row r="372" spans="1:60" ht="12.75" customHeight="1" outlineLevel="3" x14ac:dyDescent="0.2">
      <c r="A372" s="39">
        <v>4</v>
      </c>
      <c r="B372" s="327">
        <v>1017050</v>
      </c>
      <c r="C372" s="23" t="s">
        <v>809</v>
      </c>
      <c r="D372" s="867"/>
      <c r="E372" s="1219"/>
      <c r="F372" s="867"/>
      <c r="G372" s="869"/>
      <c r="H372" s="863"/>
      <c r="I372" s="868"/>
      <c r="J372" s="870"/>
      <c r="K372" s="865"/>
      <c r="L372" s="872"/>
      <c r="M372" s="872"/>
      <c r="N372" s="925" t="str">
        <f>IF(O372&lt;&gt;0,CONCATENATE(input_values!$AF372,input_values!$AG372,input_values!$AH372),"")</f>
        <v/>
      </c>
      <c r="O372" s="491">
        <f>IF($A$10="Refined calculation mode",Table22[[#This Row],[input for chronic (refined mode]],Table22[[#This Row],[input for chronic normal mode]])</f>
        <v>0</v>
      </c>
      <c r="P372" s="925" t="str">
        <f>IF(Q372&lt;&gt;0,CONCATENATE(input_values!$AN372,input_values!$AO372,input_values!$AP372),"")</f>
        <v/>
      </c>
      <c r="Q372" s="491">
        <f>IF($V$5=0,0,IF(OR($A$10="Refined calculation mode",Results!$B$62="Show results of IESTI calculation only for crops with GAPs under assessment"),Table22[[#This Row],[Input for IESTI (refined mode)]],Table22[[#This Row],[Input for IESTI normal mode]]))</f>
        <v>0</v>
      </c>
      <c r="R372" s="926" t="str">
        <f>IF(S372&lt;&gt;0,CONCATENATE(input_values!$AW372,input_values!$AX372,input_values!$AY372),"")</f>
        <v/>
      </c>
      <c r="S372" s="492">
        <f>IF($V$5=0,0,IF(OR($A$10="Refined calculation mode",Results!$B$62="Show results of IESTI calculation only for crops with GAPs under assessment"),Table22[[#This Row],[Input for IESTI new (refined mode)]],Table22[[#This Row],[Input for IESTI new normal mode]]))</f>
        <v>0</v>
      </c>
      <c r="T372" s="886"/>
      <c r="U372" s="1436">
        <f>Table22[[#This Row],[MRL/ proposed MRL /CXL
(mg/kg)]]</f>
        <v>0</v>
      </c>
      <c r="V372" s="1437" t="str">
        <f t="shared" si="245"/>
        <v/>
      </c>
      <c r="W372" s="1387">
        <f>IF($G372&gt;0,$G372,1)</f>
        <v>1</v>
      </c>
      <c r="X372" s="1387">
        <f>IF($H372&gt;0,$H372,1)</f>
        <v>1</v>
      </c>
      <c r="Y372" s="1387">
        <f>W372*X372</f>
        <v>1</v>
      </c>
      <c r="Z372" s="1410">
        <v>4</v>
      </c>
      <c r="AA372" s="1387">
        <f t="shared" si="246"/>
        <v>0</v>
      </c>
      <c r="AB372" s="1387">
        <f>IF(Z372=A372,IF(AND(L372="N",Table22[[#This Row],[LOQ_label]]="Y"),AA372,$AA372*$Y372),"")</f>
        <v>0</v>
      </c>
      <c r="AC372" s="1393">
        <f t="shared" si="247"/>
        <v>0</v>
      </c>
      <c r="AD372" s="1393">
        <f>IF(Table22[[#This Row],[Median residue*CF*PeF]]&lt;&gt;"",Table22[[#This Row],[Median residue*CF*PeF]],Table22[[#This Row],[MRL*CF*PeF (chronic)]])</f>
        <v>0</v>
      </c>
      <c r="AE372" s="1393">
        <f t="shared" si="248"/>
        <v>0</v>
      </c>
      <c r="AF372" s="1390" t="str">
        <f t="shared" si="199"/>
        <v>MRL</v>
      </c>
      <c r="AG372" s="1390" t="str">
        <f t="shared" si="249"/>
        <v/>
      </c>
      <c r="AH372" s="1394" t="str">
        <f t="shared" si="201"/>
        <v/>
      </c>
      <c r="AI372" s="1386">
        <v>4</v>
      </c>
      <c r="AJ372" s="1387">
        <f t="shared" si="250"/>
        <v>0</v>
      </c>
      <c r="AK372" s="1387">
        <f>IF(AI372=A372,IF(AND(L372="N",Table22[[#This Row],[LOQ_label]]="Y"),AJ372,$AJ372*$Y372),"")</f>
        <v>0</v>
      </c>
      <c r="AL372" s="1388">
        <f t="shared" si="202"/>
        <v>0</v>
      </c>
      <c r="AM372" s="1393">
        <f>IF(Table22[[#This Row],[Highest residue * CF*PF]]&lt;&gt;"",Table22[[#This Row],[Highest residue * CF*PF]],Table22[[#This Row],[MRL*CF*PF or MRL (if LOQ and not authorised) (acute RA)]])</f>
        <v>0</v>
      </c>
      <c r="AN372" s="1390" t="str">
        <f t="shared" si="203"/>
        <v>MRL</v>
      </c>
      <c r="AO372" s="1390" t="str">
        <f t="shared" si="251"/>
        <v/>
      </c>
      <c r="AP372" s="1404" t="str">
        <f t="shared" si="205"/>
        <v/>
      </c>
      <c r="AQ372" s="1388">
        <f t="shared" si="206"/>
        <v>0</v>
      </c>
      <c r="AR372" s="1388" t="str">
        <f t="shared" si="207"/>
        <v/>
      </c>
      <c r="AS372" s="1388" t="str">
        <f t="shared" si="208"/>
        <v/>
      </c>
      <c r="AT372" s="1388" t="str">
        <f t="shared" si="209"/>
        <v/>
      </c>
      <c r="AU372" s="1393">
        <f t="shared" si="252"/>
        <v>0</v>
      </c>
      <c r="AV372" s="1388">
        <f t="shared" si="211"/>
        <v>0</v>
      </c>
      <c r="AW372" s="1390" t="str">
        <f t="shared" si="212"/>
        <v/>
      </c>
      <c r="AX372" s="1390" t="str">
        <f>IF(AND(AW372&lt;&gt;"",AY372&lt;&gt;""),"*","")</f>
        <v/>
      </c>
      <c r="AY372" s="1394" t="str">
        <f t="shared" si="213"/>
        <v/>
      </c>
      <c r="AZ372" s="1395" t="str">
        <f>IF(Table22[[#This Row],[LOQ_label]]="Y",Table22[[#This Row],[MRL individual commodity]],"")</f>
        <v/>
      </c>
      <c r="BA372" s="1396" t="s">
        <v>1038</v>
      </c>
      <c r="BB372" s="1411" t="str">
        <f>IF(Table22[[#This Row],[LOQ2]]&lt;0,MIN(AZ372:AZ748),"")</f>
        <v/>
      </c>
      <c r="BC372" s="1299"/>
      <c r="BD372" s="1306" t="str">
        <f>IF(Table22[[#This Row],[Chronic RA label]]="","N",IF(Table22[[#This Row],[Chronic RA label]]="LOQ","N",IF(Table22[[#This Row],[Chronic RA label]]="MRL","N","Y")))</f>
        <v>N</v>
      </c>
      <c r="BE372" s="1306" t="str">
        <f>IF(Table22[[#This Row],[Acute RA label]]="","N",IF(Table22[[#This Row],[Acute RA label]]="LOQ","N",IF(Table22[[#This Row],[Acute RA label]]="MRL","N","Y")))</f>
        <v>N</v>
      </c>
      <c r="BF372" s="1306" t="str">
        <f>IF(OR(Table22[[#This Row],[include commodity in Summary_input_values_chronic]]="Y",Table22[[#This Row],[include commodity in Summary_input_values_acute]]="Y"),"Y","N")</f>
        <v>N</v>
      </c>
      <c r="BG372" s="1299"/>
      <c r="BH372" s="1324"/>
    </row>
    <row r="373" spans="1:60" ht="12.75" customHeight="1" outlineLevel="3" x14ac:dyDescent="0.2">
      <c r="A373" s="39">
        <v>4</v>
      </c>
      <c r="B373" s="327">
        <v>1017990</v>
      </c>
      <c r="C373" s="23" t="s">
        <v>808</v>
      </c>
      <c r="D373" s="867"/>
      <c r="E373" s="1219"/>
      <c r="F373" s="867"/>
      <c r="G373" s="868"/>
      <c r="H373" s="863"/>
      <c r="I373" s="868"/>
      <c r="J373" s="870"/>
      <c r="K373" s="865"/>
      <c r="L373" s="872"/>
      <c r="M373" s="872"/>
      <c r="N373" s="925" t="str">
        <f>IF(O373&lt;&gt;0,CONCATENATE(input_values!$AF373,input_values!$AG373,input_values!$AH373),"")</f>
        <v/>
      </c>
      <c r="O373" s="491">
        <f>IF($A$10="Refined calculation mode",Table22[[#This Row],[input for chronic (refined mode]],Table22[[#This Row],[input for chronic normal mode]])</f>
        <v>0</v>
      </c>
      <c r="P373" s="473"/>
      <c r="Q373" s="474"/>
      <c r="R373" s="473"/>
      <c r="S373" s="474"/>
      <c r="T373" s="886"/>
      <c r="U373" s="1436">
        <f>Table22[[#This Row],[MRL/ proposed MRL /CXL
(mg/kg)]]</f>
        <v>0</v>
      </c>
      <c r="V373" s="1437" t="str">
        <f t="shared" si="245"/>
        <v/>
      </c>
      <c r="W373" s="1387">
        <f>IF($G373&gt;0,$G373,1)</f>
        <v>1</v>
      </c>
      <c r="X373" s="1387">
        <f>IF($H373&gt;0,$H373,1)</f>
        <v>1</v>
      </c>
      <c r="Y373" s="1387">
        <f>W373*X373</f>
        <v>1</v>
      </c>
      <c r="Z373" s="1410">
        <v>4</v>
      </c>
      <c r="AA373" s="1387">
        <f t="shared" si="246"/>
        <v>0</v>
      </c>
      <c r="AB373" s="1387">
        <f>IF(Z373=A373,IF(AND(L373="N",Table22[[#This Row],[LOQ_label]]="Y"),AA373,$AA373*$Y373),"")</f>
        <v>0</v>
      </c>
      <c r="AC373" s="1393">
        <f t="shared" si="247"/>
        <v>0</v>
      </c>
      <c r="AD373" s="1393">
        <f>IF(Table22[[#This Row],[Median residue*CF*PeF]]&lt;&gt;"",Table22[[#This Row],[Median residue*CF*PeF]],Table22[[#This Row],[MRL*CF*PeF (chronic)]])</f>
        <v>0</v>
      </c>
      <c r="AE373" s="1393">
        <f t="shared" si="248"/>
        <v>0</v>
      </c>
      <c r="AF373" s="1390" t="str">
        <f t="shared" si="199"/>
        <v>MRL</v>
      </c>
      <c r="AG373" s="1390" t="str">
        <f t="shared" si="249"/>
        <v/>
      </c>
      <c r="AH373" s="1394" t="str">
        <f t="shared" si="201"/>
        <v/>
      </c>
      <c r="AI373" s="1386"/>
      <c r="AJ373" s="1387" t="str">
        <f t="shared" si="250"/>
        <v/>
      </c>
      <c r="AK373" s="1387" t="str">
        <f>IF(AI373=A373,IF(AND(L373="N",Table22[[#This Row],[LOQ_label]]="Y"),AJ373,$AJ373*$Y373),"")</f>
        <v/>
      </c>
      <c r="AL373" s="1388" t="str">
        <f t="shared" si="202"/>
        <v/>
      </c>
      <c r="AM373" s="1393" t="str">
        <f>IF(Table22[[#This Row],[Highest residue * CF*PF]]&lt;&gt;"",Table22[[#This Row],[Highest residue * CF*PF]],Table22[[#This Row],[MRL*CF*PF or MRL (if LOQ and not authorised) (acute RA)]])</f>
        <v/>
      </c>
      <c r="AN373" s="1390" t="str">
        <f t="shared" si="203"/>
        <v/>
      </c>
      <c r="AO373" s="1390" t="str">
        <f t="shared" si="251"/>
        <v/>
      </c>
      <c r="AP373" s="1404" t="str">
        <f t="shared" si="205"/>
        <v/>
      </c>
      <c r="AQ373" s="1388">
        <f t="shared" si="206"/>
        <v>0</v>
      </c>
      <c r="AR373" s="1388" t="str">
        <f t="shared" si="207"/>
        <v/>
      </c>
      <c r="AS373" s="1388" t="str">
        <f t="shared" si="208"/>
        <v/>
      </c>
      <c r="AT373" s="1388" t="str">
        <f t="shared" si="209"/>
        <v/>
      </c>
      <c r="AU373" s="1393" t="str">
        <f t="shared" si="252"/>
        <v/>
      </c>
      <c r="AV373" s="1388">
        <f t="shared" si="211"/>
        <v>0</v>
      </c>
      <c r="AW373" s="1390" t="str">
        <f t="shared" si="212"/>
        <v/>
      </c>
      <c r="AX373" s="1390" t="str">
        <f>IF(AND(AN373&lt;&gt;"",AY373&lt;&gt;""),"*","")</f>
        <v/>
      </c>
      <c r="AY373" s="1394" t="str">
        <f t="shared" si="213"/>
        <v/>
      </c>
      <c r="AZ373" s="1395" t="str">
        <f>IF(Table22[[#This Row],[LOQ_label]]="Y",Table22[[#This Row],[MRL individual commodity]],"")</f>
        <v/>
      </c>
      <c r="BA373" s="1396" t="s">
        <v>1159</v>
      </c>
      <c r="BB373" s="1411" t="str">
        <f>IF(Table22[[#This Row],[LOQ2]]&lt;0,MIN(AZ373:AZ749),"")</f>
        <v/>
      </c>
      <c r="BC373" s="1299"/>
      <c r="BD373" s="1306" t="str">
        <f>IF(Table22[[#This Row],[Chronic RA label]]="","N",IF(Table22[[#This Row],[Chronic RA label]]="LOQ","N",IF(Table22[[#This Row],[Chronic RA label]]="MRL","N","Y")))</f>
        <v>N</v>
      </c>
      <c r="BE373" s="1306" t="str">
        <f>IF(Table22[[#This Row],[Acute RA label]]="","N",IF(Table22[[#This Row],[Acute RA label]]="LOQ","N",IF(Table22[[#This Row],[Acute RA label]]="MRL","N","Y")))</f>
        <v>N</v>
      </c>
      <c r="BF373" s="1306" t="str">
        <f>IF(OR(Table22[[#This Row],[include commodity in Summary_input_values_chronic]]="Y",Table22[[#This Row],[include commodity in Summary_input_values_acute]]="Y"),"Y","N")</f>
        <v>N</v>
      </c>
      <c r="BG373" s="1299"/>
      <c r="BH373" s="1324"/>
    </row>
    <row r="374" spans="1:60" ht="12.75" customHeight="1" outlineLevel="1" x14ac:dyDescent="0.2">
      <c r="A374" s="130">
        <v>2</v>
      </c>
      <c r="B374" s="447">
        <v>1020000</v>
      </c>
      <c r="C374" s="131" t="s">
        <v>628</v>
      </c>
      <c r="D374" s="862"/>
      <c r="E374" s="1218"/>
      <c r="F374" s="862"/>
      <c r="G374" s="866"/>
      <c r="H374" s="863"/>
      <c r="I374" s="863"/>
      <c r="J374" s="863"/>
      <c r="K374" s="865"/>
      <c r="L374" s="471"/>
      <c r="M374" s="471"/>
      <c r="N374" s="473"/>
      <c r="O374" s="474"/>
      <c r="P374" s="473"/>
      <c r="Q374" s="474"/>
      <c r="R374" s="473"/>
      <c r="S374" s="474"/>
      <c r="T374" s="886"/>
      <c r="U374" s="1415"/>
      <c r="V374" s="1380"/>
      <c r="W374" s="1381"/>
      <c r="X374" s="1381"/>
      <c r="Y374" s="1381"/>
      <c r="Z374" s="1382">
        <v>4</v>
      </c>
      <c r="AA374" s="1381" t="str">
        <f t="shared" si="246"/>
        <v/>
      </c>
      <c r="AB374" s="1381" t="str">
        <f>IF(Z374=A374,IF(AND(L374="N",Table22[[#This Row],[LOQ_label]]="Y"),AA374,$AA374*$Y374),"")</f>
        <v/>
      </c>
      <c r="AC374" s="1383" t="str">
        <f t="shared" si="247"/>
        <v/>
      </c>
      <c r="AD374" s="1383" t="str">
        <f>IF(Table22[[#This Row],[Median residue*CF*PeF]]&lt;&gt;"",Table22[[#This Row],[Median residue*CF*PeF]],Table22[[#This Row],[MRL*CF*PeF (chronic)]])</f>
        <v/>
      </c>
      <c r="AE374" s="1384">
        <f t="shared" si="248"/>
        <v>0</v>
      </c>
      <c r="AF374" s="1385" t="str">
        <f t="shared" si="199"/>
        <v/>
      </c>
      <c r="AG374" s="1385" t="str">
        <f t="shared" si="249"/>
        <v/>
      </c>
      <c r="AH374" s="1270" t="str">
        <f t="shared" si="201"/>
        <v/>
      </c>
      <c r="AI374" s="1386">
        <v>4</v>
      </c>
      <c r="AJ374" s="1387" t="str">
        <f t="shared" si="250"/>
        <v/>
      </c>
      <c r="AK374" s="1387" t="str">
        <f>IF(AI374=A374,IF(AND(L374="N",Table22[[#This Row],[LOQ_label]]="Y"),AJ374,$AJ374*$Y374),"")</f>
        <v/>
      </c>
      <c r="AL374" s="1388" t="str">
        <f t="shared" si="202"/>
        <v/>
      </c>
      <c r="AM374" s="1393" t="str">
        <f>IF(Table22[[#This Row],[Highest residue * CF*PF]]&lt;&gt;"",Table22[[#This Row],[Highest residue * CF*PF]],Table22[[#This Row],[MRL*CF*PF or MRL (if LOQ and not authorised) (acute RA)]])</f>
        <v/>
      </c>
      <c r="AN374" s="1390" t="str">
        <f t="shared" si="203"/>
        <v/>
      </c>
      <c r="AO374" s="1390" t="str">
        <f t="shared" si="251"/>
        <v/>
      </c>
      <c r="AP374" s="1404" t="str">
        <f t="shared" si="205"/>
        <v/>
      </c>
      <c r="AQ374" s="1388">
        <f t="shared" si="206"/>
        <v>0</v>
      </c>
      <c r="AR374" s="1388" t="str">
        <f t="shared" si="207"/>
        <v/>
      </c>
      <c r="AS374" s="1388" t="str">
        <f t="shared" si="208"/>
        <v/>
      </c>
      <c r="AT374" s="1388" t="str">
        <f t="shared" si="209"/>
        <v/>
      </c>
      <c r="AU374" s="1393" t="str">
        <f t="shared" si="252"/>
        <v/>
      </c>
      <c r="AV374" s="1388">
        <f t="shared" si="211"/>
        <v>0</v>
      </c>
      <c r="AW374" s="1390" t="str">
        <f t="shared" si="212"/>
        <v/>
      </c>
      <c r="AX374" s="1390" t="str">
        <f>IF(AND(AN374&lt;&gt;"",AY374&lt;&gt;""),"*","")</f>
        <v/>
      </c>
      <c r="AY374" s="1394" t="str">
        <f t="shared" si="213"/>
        <v/>
      </c>
      <c r="AZ374" s="1395">
        <f>IF(Table22[[#This Row],[LOQ_label]]="Y",Table22[[#This Row],[MRL individual commodity]],"")</f>
        <v>0</v>
      </c>
      <c r="BA374" s="1396" t="s">
        <v>1159</v>
      </c>
      <c r="BB374" s="1411" t="str">
        <f>IF(Table22[[#This Row],[LOQ2]]&lt;0,MIN(AZ374:AZ750),"")</f>
        <v/>
      </c>
      <c r="BC374" s="1299"/>
      <c r="BD374" s="1306" t="str">
        <f>IF(Table22[[#This Row],[Chronic RA label]]="","N",IF(Table22[[#This Row],[Chronic RA label]]="LOQ","N",IF(Table22[[#This Row],[Chronic RA label]]="MRL","N","Y")))</f>
        <v>N</v>
      </c>
      <c r="BE374" s="1306" t="str">
        <f>IF(Table22[[#This Row],[Acute RA label]]="","N",IF(Table22[[#This Row],[Acute RA label]]="LOQ","N",IF(Table22[[#This Row],[Acute RA label]]="MRL","N","Y")))</f>
        <v>N</v>
      </c>
      <c r="BF374" s="1306" t="str">
        <f>IF(OR(Table22[[#This Row],[include commodity in Summary_input_values_chronic]]="Y",Table22[[#This Row],[include commodity in Summary_input_values_acute]]="Y"),"Y","N")</f>
        <v>N</v>
      </c>
      <c r="BG374" s="1299"/>
      <c r="BH374" s="1324"/>
    </row>
    <row r="375" spans="1:60" ht="12.75" customHeight="1" outlineLevel="3" x14ac:dyDescent="0.2">
      <c r="A375" s="39">
        <v>4</v>
      </c>
      <c r="B375" s="327">
        <v>1020010</v>
      </c>
      <c r="C375" s="23" t="s">
        <v>629</v>
      </c>
      <c r="D375" s="867"/>
      <c r="E375" s="1219"/>
      <c r="F375" s="867"/>
      <c r="G375" s="869"/>
      <c r="H375" s="863"/>
      <c r="I375" s="875"/>
      <c r="J375" s="863"/>
      <c r="K375" s="865"/>
      <c r="L375" s="872"/>
      <c r="M375" s="872"/>
      <c r="N375" s="925" t="str">
        <f>IF(O375&lt;&gt;0,CONCATENATE(input_values!$AF375,input_values!$AG375,input_values!$AH375),"")</f>
        <v/>
      </c>
      <c r="O375" s="491">
        <f>IF($A$10="Refined calculation mode",Table22[[#This Row],[input for chronic (refined mode]],Table22[[#This Row],[input for chronic normal mode]])</f>
        <v>0</v>
      </c>
      <c r="P375" s="925" t="str">
        <f>IF(Q375&lt;&gt;0,CONCATENATE(input_values!$AN375,input_values!$AO375,input_values!$AP375),"")</f>
        <v/>
      </c>
      <c r="Q375" s="491">
        <f>IF($V$5=0,0,IF(OR($A$10="Refined calculation mode",Results!$B$62="Show results of IESTI calculation only for crops with GAPs under assessment"),Table22[[#This Row],[Input for IESTI (refined mode)]],Table22[[#This Row],[Input for IESTI normal mode]]))</f>
        <v>0</v>
      </c>
      <c r="R375" s="926" t="str">
        <f>IF(S375&lt;&gt;0,CONCATENATE(input_values!$AW375,input_values!$AX375,input_values!$AY375),"")</f>
        <v/>
      </c>
      <c r="S375" s="492">
        <f>IF($V$5=0,0,IF(OR($A$10="Refined calculation mode",Results!$B$62="Show results of IESTI calculation only for crops with GAPs under assessment"),Table22[[#This Row],[Input for IESTI new (refined mode)]],Table22[[#This Row],[Input for IESTI new normal mode]]))</f>
        <v>0</v>
      </c>
      <c r="T375" s="886"/>
      <c r="U375" s="1432">
        <f>Table22[[#This Row],[MRL/ proposed MRL /CXL
(mg/kg)]]</f>
        <v>0</v>
      </c>
      <c r="V375" s="1433" t="str">
        <f>IF(ISBLANK(F375),"","Y")</f>
        <v/>
      </c>
      <c r="W375" s="1387">
        <f>IF($G375&gt;0,$G375,1)</f>
        <v>1</v>
      </c>
      <c r="X375" s="1387">
        <f>IF($H375&gt;0,$H375,1)</f>
        <v>1</v>
      </c>
      <c r="Y375" s="1387">
        <f>W375*X375</f>
        <v>1</v>
      </c>
      <c r="Z375" s="1410">
        <v>4</v>
      </c>
      <c r="AA375" s="1387">
        <f t="shared" si="246"/>
        <v>0</v>
      </c>
      <c r="AB375" s="1387">
        <f>IF(Z375=A375,IF(AND(L375="N",Table22[[#This Row],[LOQ_label]]="Y"),AA375,$AA375*$Y375),"")</f>
        <v>0</v>
      </c>
      <c r="AC375" s="1393">
        <f t="shared" si="247"/>
        <v>0</v>
      </c>
      <c r="AD375" s="1393">
        <f>IF(Table22[[#This Row],[Median residue*CF*PeF]]&lt;&gt;"",Table22[[#This Row],[Median residue*CF*PeF]],Table22[[#This Row],[MRL*CF*PeF (chronic)]])</f>
        <v>0</v>
      </c>
      <c r="AE375" s="1393">
        <f t="shared" si="248"/>
        <v>0</v>
      </c>
      <c r="AF375" s="1390" t="str">
        <f t="shared" si="199"/>
        <v>MRL</v>
      </c>
      <c r="AG375" s="1390" t="str">
        <f t="shared" si="249"/>
        <v/>
      </c>
      <c r="AH375" s="1394" t="str">
        <f t="shared" si="201"/>
        <v/>
      </c>
      <c r="AI375" s="1386">
        <v>4</v>
      </c>
      <c r="AJ375" s="1387">
        <f t="shared" si="250"/>
        <v>0</v>
      </c>
      <c r="AK375" s="1387">
        <f>IF(AI375=A375,IF(AND(L375="N",Table22[[#This Row],[LOQ_label]]="Y"),AJ375,$AJ375*$Y375),"")</f>
        <v>0</v>
      </c>
      <c r="AL375" s="1388"/>
      <c r="AM375" s="1438">
        <f>IF(Table22[[#This Row],[Median residue*CF*PeF]]&lt;&gt;"",Table22[[#This Row],[Median residue*CF*PeF]],Table22[[#This Row],[MRL*CF*PF or MRL (if LOQ and not authorised) (acute RA)]])</f>
        <v>0</v>
      </c>
      <c r="AN375" s="1439" t="str">
        <f t="shared" si="203"/>
        <v>MRL</v>
      </c>
      <c r="AO375" s="1390" t="str">
        <f t="shared" si="251"/>
        <v/>
      </c>
      <c r="AP375" s="1404" t="str">
        <f t="shared" si="205"/>
        <v/>
      </c>
      <c r="AQ375" s="1388">
        <f t="shared" si="206"/>
        <v>0</v>
      </c>
      <c r="AR375" s="1388" t="str">
        <f t="shared" si="207"/>
        <v/>
      </c>
      <c r="AS375" s="1388" t="str">
        <f t="shared" si="208"/>
        <v/>
      </c>
      <c r="AT375" s="1388" t="str">
        <f t="shared" si="209"/>
        <v/>
      </c>
      <c r="AU375" s="1393">
        <f t="shared" si="252"/>
        <v>0</v>
      </c>
      <c r="AV375" s="1388">
        <f t="shared" si="211"/>
        <v>0</v>
      </c>
      <c r="AW375" s="1390" t="str">
        <f t="shared" si="212"/>
        <v/>
      </c>
      <c r="AX375" s="1390" t="str">
        <f>IF(AND(AW375&lt;&gt;"",AY375&lt;&gt;""),"*","")</f>
        <v/>
      </c>
      <c r="AY375" s="1394" t="str">
        <f t="shared" si="213"/>
        <v/>
      </c>
      <c r="AZ375" s="1395" t="str">
        <f>IF(Table22[[#This Row],[LOQ_label]]="Y",Table22[[#This Row],[MRL individual commodity]],"")</f>
        <v/>
      </c>
      <c r="BA375" s="1422">
        <v>3</v>
      </c>
      <c r="BB375" s="1411" t="str">
        <f>IF(Table22[[#This Row],[LOQ2]]&lt;0,MIN(AZ375:AZ751),"")</f>
        <v/>
      </c>
      <c r="BC375" s="1299"/>
      <c r="BD375" s="1306" t="str">
        <f>IF(Table22[[#This Row],[Chronic RA label]]="","N",IF(Table22[[#This Row],[Chronic RA label]]="LOQ","N",IF(Table22[[#This Row],[Chronic RA label]]="MRL","N","Y")))</f>
        <v>N</v>
      </c>
      <c r="BE375" s="1306" t="str">
        <f>IF(Table22[[#This Row],[Acute RA label]]="","N",IF(Table22[[#This Row],[Acute RA label]]="LOQ","N",IF(Table22[[#This Row],[Acute RA label]]="MRL","N","Y")))</f>
        <v>N</v>
      </c>
      <c r="BF375" s="1306" t="str">
        <f>IF(OR(Table22[[#This Row],[include commodity in Summary_input_values_chronic]]="Y",Table22[[#This Row],[include commodity in Summary_input_values_acute]]="Y"),"Y","N")</f>
        <v>N</v>
      </c>
      <c r="BG375" s="1299"/>
      <c r="BH375" s="1324"/>
    </row>
    <row r="376" spans="1:60" ht="12.75" customHeight="1" outlineLevel="3" x14ac:dyDescent="0.2">
      <c r="A376" s="39">
        <v>4</v>
      </c>
      <c r="B376" s="327">
        <v>1020020</v>
      </c>
      <c r="C376" s="23" t="s">
        <v>630</v>
      </c>
      <c r="D376" s="867"/>
      <c r="E376" s="1219"/>
      <c r="F376" s="867"/>
      <c r="G376" s="869"/>
      <c r="H376" s="863"/>
      <c r="I376" s="875"/>
      <c r="J376" s="863"/>
      <c r="K376" s="865"/>
      <c r="L376" s="872"/>
      <c r="M376" s="872"/>
      <c r="N376" s="925" t="str">
        <f>IF(O376&lt;&gt;0,CONCATENATE(input_values!$AF376,input_values!$AG376,input_values!$AH376),"")</f>
        <v/>
      </c>
      <c r="O376" s="491">
        <f>IF($A$10="Refined calculation mode",Table22[[#This Row],[input for chronic (refined mode]],Table22[[#This Row],[input for chronic normal mode]])</f>
        <v>0</v>
      </c>
      <c r="P376" s="925" t="str">
        <f>IF(Q376&lt;&gt;0,CONCATENATE(input_values!$AN376,input_values!$AO376,input_values!$AP376),"")</f>
        <v/>
      </c>
      <c r="Q376" s="491">
        <f>IF($V$5=0,0,IF(OR($A$10="Refined calculation mode",Results!$B$62="Show results of IESTI calculation only for crops with GAPs under assessment"),Table22[[#This Row],[Input for IESTI (refined mode)]],Table22[[#This Row],[Input for IESTI normal mode]]))</f>
        <v>0</v>
      </c>
      <c r="R376" s="926" t="str">
        <f>IF(S376&lt;&gt;0,CONCATENATE(input_values!$AW376,input_values!$AX376,input_values!$AY376),"")</f>
        <v/>
      </c>
      <c r="S376" s="492">
        <f>IF($V$5=0,0,IF(OR($A$10="Refined calculation mode",Results!$B$62="Show results of IESTI calculation only for crops with GAPs under assessment"),Table22[[#This Row],[Input for IESTI new (refined mode)]],Table22[[#This Row],[Input for IESTI new normal mode]]))</f>
        <v>0</v>
      </c>
      <c r="T376" s="886"/>
      <c r="U376" s="1432">
        <f>Table22[[#This Row],[MRL/ proposed MRL /CXL
(mg/kg)]]</f>
        <v>0</v>
      </c>
      <c r="V376" s="1433" t="str">
        <f>IF(ISBLANK(F376),"","Y")</f>
        <v/>
      </c>
      <c r="W376" s="1387">
        <f>IF($G376&gt;0,$G376,1)</f>
        <v>1</v>
      </c>
      <c r="X376" s="1387">
        <f>IF($H376&gt;0,$H376,1)</f>
        <v>1</v>
      </c>
      <c r="Y376" s="1387">
        <f>W376*X376</f>
        <v>1</v>
      </c>
      <c r="Z376" s="1410">
        <v>4</v>
      </c>
      <c r="AA376" s="1387">
        <f t="shared" si="246"/>
        <v>0</v>
      </c>
      <c r="AB376" s="1387">
        <f>IF(Z376=A376,IF(AND(L376="N",Table22[[#This Row],[LOQ_label]]="Y"),AA376,$AA376*$Y376),"")</f>
        <v>0</v>
      </c>
      <c r="AC376" s="1393">
        <f t="shared" si="247"/>
        <v>0</v>
      </c>
      <c r="AD376" s="1393">
        <f>IF(Table22[[#This Row],[Median residue*CF*PeF]]&lt;&gt;"",Table22[[#This Row],[Median residue*CF*PeF]],Table22[[#This Row],[MRL*CF*PeF (chronic)]])</f>
        <v>0</v>
      </c>
      <c r="AE376" s="1393">
        <f t="shared" si="248"/>
        <v>0</v>
      </c>
      <c r="AF376" s="1390" t="str">
        <f t="shared" si="199"/>
        <v>MRL</v>
      </c>
      <c r="AG376" s="1390" t="str">
        <f t="shared" si="249"/>
        <v/>
      </c>
      <c r="AH376" s="1394" t="str">
        <f t="shared" si="201"/>
        <v/>
      </c>
      <c r="AI376" s="1386">
        <v>4</v>
      </c>
      <c r="AJ376" s="1387">
        <f t="shared" si="250"/>
        <v>0</v>
      </c>
      <c r="AK376" s="1387">
        <f>IF(AI376=A376,IF(AND(L376="N",Table22[[#This Row],[LOQ_label]]="Y"),AJ376,$AJ376*$Y376),"")</f>
        <v>0</v>
      </c>
      <c r="AL376" s="1388"/>
      <c r="AM376" s="1438">
        <f>IF(Table22[[#This Row],[Median residue*CF*PeF]]&lt;&gt;"",Table22[[#This Row],[Median residue*CF*PeF]],Table22[[#This Row],[MRL*CF*PF or MRL (if LOQ and not authorised) (acute RA)]])</f>
        <v>0</v>
      </c>
      <c r="AN376" s="1439" t="str">
        <f t="shared" si="203"/>
        <v>MRL</v>
      </c>
      <c r="AO376" s="1390" t="str">
        <f t="shared" si="251"/>
        <v/>
      </c>
      <c r="AP376" s="1404" t="str">
        <f t="shared" si="205"/>
        <v/>
      </c>
      <c r="AQ376" s="1388">
        <f t="shared" si="206"/>
        <v>0</v>
      </c>
      <c r="AR376" s="1388" t="str">
        <f t="shared" si="207"/>
        <v/>
      </c>
      <c r="AS376" s="1388" t="str">
        <f t="shared" si="208"/>
        <v/>
      </c>
      <c r="AT376" s="1388" t="str">
        <f t="shared" si="209"/>
        <v/>
      </c>
      <c r="AU376" s="1393">
        <f t="shared" si="252"/>
        <v>0</v>
      </c>
      <c r="AV376" s="1388">
        <f t="shared" si="211"/>
        <v>0</v>
      </c>
      <c r="AW376" s="1390" t="str">
        <f t="shared" si="212"/>
        <v/>
      </c>
      <c r="AX376" s="1390" t="str">
        <f>IF(AND(AW376&lt;&gt;"",AY376&lt;&gt;""),"*","")</f>
        <v/>
      </c>
      <c r="AY376" s="1394" t="str">
        <f t="shared" si="213"/>
        <v/>
      </c>
      <c r="AZ376" s="1395" t="str">
        <f>IF(Table22[[#This Row],[LOQ_label]]="Y",Table22[[#This Row],[MRL individual commodity]],"")</f>
        <v/>
      </c>
      <c r="BA376" s="1422">
        <v>3</v>
      </c>
      <c r="BB376" s="1411" t="str">
        <f>IF(Table22[[#This Row],[LOQ2]]&lt;0,MIN(AZ376:AZ752),"")</f>
        <v/>
      </c>
      <c r="BC376" s="1299"/>
      <c r="BD376" s="1306" t="str">
        <f>IF(Table22[[#This Row],[Chronic RA label]]="","N",IF(Table22[[#This Row],[Chronic RA label]]="LOQ","N",IF(Table22[[#This Row],[Chronic RA label]]="MRL","N","Y")))</f>
        <v>N</v>
      </c>
      <c r="BE376" s="1306" t="str">
        <f>IF(Table22[[#This Row],[Acute RA label]]="","N",IF(Table22[[#This Row],[Acute RA label]]="LOQ","N",IF(Table22[[#This Row],[Acute RA label]]="MRL","N","Y")))</f>
        <v>N</v>
      </c>
      <c r="BF376" s="1306" t="str">
        <f>IF(OR(Table22[[#This Row],[include commodity in Summary_input_values_chronic]]="Y",Table22[[#This Row],[include commodity in Summary_input_values_acute]]="Y"),"Y","N")</f>
        <v>N</v>
      </c>
      <c r="BG376" s="1299"/>
      <c r="BH376" s="1324"/>
    </row>
    <row r="377" spans="1:60" ht="12.75" customHeight="1" outlineLevel="3" x14ac:dyDescent="0.2">
      <c r="A377" s="39">
        <v>4</v>
      </c>
      <c r="B377" s="327">
        <v>1020030</v>
      </c>
      <c r="C377" s="23" t="s">
        <v>631</v>
      </c>
      <c r="D377" s="867"/>
      <c r="E377" s="1219"/>
      <c r="F377" s="867"/>
      <c r="G377" s="869"/>
      <c r="H377" s="863"/>
      <c r="I377" s="875"/>
      <c r="J377" s="863"/>
      <c r="K377" s="865"/>
      <c r="L377" s="872"/>
      <c r="M377" s="872"/>
      <c r="N377" s="925" t="str">
        <f>IF(O377&lt;&gt;0,CONCATENATE(input_values!$AF377,input_values!$AG377,input_values!$AH377),"")</f>
        <v/>
      </c>
      <c r="O377" s="491">
        <f>IF($A$10="Refined calculation mode",Table22[[#This Row],[input for chronic (refined mode]],Table22[[#This Row],[input for chronic normal mode]])</f>
        <v>0</v>
      </c>
      <c r="P377" s="925" t="str">
        <f>IF(Q377&lt;&gt;0,CONCATENATE(input_values!$AN377,input_values!$AO377,input_values!$AP377),"")</f>
        <v/>
      </c>
      <c r="Q377" s="491">
        <f>IF($V$5=0,0,IF(OR($A$10="Refined calculation mode",Results!$B$62="Show results of IESTI calculation only for crops with GAPs under assessment"),Table22[[#This Row],[Input for IESTI (refined mode)]],Table22[[#This Row],[Input for IESTI normal mode]]))</f>
        <v>0</v>
      </c>
      <c r="R377" s="926" t="str">
        <f>IF(S377&lt;&gt;0,CONCATENATE(input_values!$AW377,input_values!$AX377,input_values!$AY377),"")</f>
        <v/>
      </c>
      <c r="S377" s="492">
        <f>IF($V$5=0,0,IF(OR($A$10="Refined calculation mode",Results!$B$62="Show results of IESTI calculation only for crops with GAPs under assessment"),Table22[[#This Row],[Input for IESTI new (refined mode)]],Table22[[#This Row],[Input for IESTI new normal mode]]))</f>
        <v>0</v>
      </c>
      <c r="T377" s="886"/>
      <c r="U377" s="1432">
        <f>Table22[[#This Row],[MRL/ proposed MRL /CXL
(mg/kg)]]</f>
        <v>0</v>
      </c>
      <c r="V377" s="1433" t="str">
        <f>IF(ISBLANK(F377),"","Y")</f>
        <v/>
      </c>
      <c r="W377" s="1387">
        <f>IF($G377&gt;0,$G377,1)</f>
        <v>1</v>
      </c>
      <c r="X377" s="1387">
        <f>IF($H377&gt;0,$H377,1)</f>
        <v>1</v>
      </c>
      <c r="Y377" s="1387">
        <f>W377*X377</f>
        <v>1</v>
      </c>
      <c r="Z377" s="1410">
        <v>4</v>
      </c>
      <c r="AA377" s="1387">
        <f t="shared" si="246"/>
        <v>0</v>
      </c>
      <c r="AB377" s="1387">
        <f>IF(Z377=A377,IF(AND(L377="N",Table22[[#This Row],[LOQ_label]]="Y"),AA377,$AA377*$Y377),"")</f>
        <v>0</v>
      </c>
      <c r="AC377" s="1393">
        <f t="shared" si="247"/>
        <v>0</v>
      </c>
      <c r="AD377" s="1393">
        <f>IF(Table22[[#This Row],[Median residue*CF*PeF]]&lt;&gt;"",Table22[[#This Row],[Median residue*CF*PeF]],Table22[[#This Row],[MRL*CF*PeF (chronic)]])</f>
        <v>0</v>
      </c>
      <c r="AE377" s="1393">
        <f t="shared" si="248"/>
        <v>0</v>
      </c>
      <c r="AF377" s="1390" t="str">
        <f t="shared" si="199"/>
        <v>MRL</v>
      </c>
      <c r="AG377" s="1390" t="str">
        <f t="shared" si="249"/>
        <v/>
      </c>
      <c r="AH377" s="1394" t="str">
        <f t="shared" si="201"/>
        <v/>
      </c>
      <c r="AI377" s="1386">
        <v>4</v>
      </c>
      <c r="AJ377" s="1387">
        <f t="shared" si="250"/>
        <v>0</v>
      </c>
      <c r="AK377" s="1387">
        <f>IF(AI377=A377,IF(AND(L377="N",Table22[[#This Row],[LOQ_label]]="Y"),AJ377,$AJ377*$Y377),"")</f>
        <v>0</v>
      </c>
      <c r="AL377" s="1388"/>
      <c r="AM377" s="1438">
        <f>IF(Table22[[#This Row],[Median residue*CF*PeF]]&lt;&gt;"",Table22[[#This Row],[Median residue*CF*PeF]],Table22[[#This Row],[MRL*CF*PF or MRL (if LOQ and not authorised) (acute RA)]])</f>
        <v>0</v>
      </c>
      <c r="AN377" s="1439" t="str">
        <f t="shared" si="203"/>
        <v>MRL</v>
      </c>
      <c r="AO377" s="1390" t="str">
        <f t="shared" si="251"/>
        <v/>
      </c>
      <c r="AP377" s="1404" t="str">
        <f t="shared" si="205"/>
        <v/>
      </c>
      <c r="AQ377" s="1388">
        <f t="shared" si="206"/>
        <v>0</v>
      </c>
      <c r="AR377" s="1388" t="str">
        <f t="shared" si="207"/>
        <v/>
      </c>
      <c r="AS377" s="1388" t="str">
        <f t="shared" si="208"/>
        <v/>
      </c>
      <c r="AT377" s="1388" t="str">
        <f t="shared" si="209"/>
        <v/>
      </c>
      <c r="AU377" s="1393">
        <f t="shared" si="252"/>
        <v>0</v>
      </c>
      <c r="AV377" s="1388">
        <f t="shared" si="211"/>
        <v>0</v>
      </c>
      <c r="AW377" s="1390" t="str">
        <f t="shared" si="212"/>
        <v/>
      </c>
      <c r="AX377" s="1390" t="str">
        <f>IF(AND(AW377&lt;&gt;"",AY377&lt;&gt;""),"*","")</f>
        <v/>
      </c>
      <c r="AY377" s="1394" t="str">
        <f t="shared" si="213"/>
        <v/>
      </c>
      <c r="AZ377" s="1395" t="str">
        <f>IF(Table22[[#This Row],[LOQ_label]]="Y",Table22[[#This Row],[MRL individual commodity]],"")</f>
        <v/>
      </c>
      <c r="BA377" s="1422">
        <v>3</v>
      </c>
      <c r="BB377" s="1411" t="str">
        <f>IF(Table22[[#This Row],[LOQ2]]&lt;0,MIN(AZ377:AZ753),"")</f>
        <v/>
      </c>
      <c r="BC377" s="1299"/>
      <c r="BD377" s="1306" t="str">
        <f>IF(Table22[[#This Row],[Chronic RA label]]="","N",IF(Table22[[#This Row],[Chronic RA label]]="LOQ","N",IF(Table22[[#This Row],[Chronic RA label]]="MRL","N","Y")))</f>
        <v>N</v>
      </c>
      <c r="BE377" s="1306" t="str">
        <f>IF(Table22[[#This Row],[Acute RA label]]="","N",IF(Table22[[#This Row],[Acute RA label]]="LOQ","N",IF(Table22[[#This Row],[Acute RA label]]="MRL","N","Y")))</f>
        <v>N</v>
      </c>
      <c r="BF377" s="1306" t="str">
        <f>IF(OR(Table22[[#This Row],[include commodity in Summary_input_values_chronic]]="Y",Table22[[#This Row],[include commodity in Summary_input_values_acute]]="Y"),"Y","N")</f>
        <v>N</v>
      </c>
      <c r="BG377" s="1299"/>
      <c r="BH377" s="1324"/>
    </row>
    <row r="378" spans="1:60" ht="12.75" customHeight="1" outlineLevel="3" x14ac:dyDescent="0.2">
      <c r="A378" s="39">
        <v>4</v>
      </c>
      <c r="B378" s="327">
        <v>1020040</v>
      </c>
      <c r="C378" s="23" t="s">
        <v>639</v>
      </c>
      <c r="D378" s="867"/>
      <c r="E378" s="1219"/>
      <c r="F378" s="867"/>
      <c r="G378" s="869"/>
      <c r="H378" s="863"/>
      <c r="I378" s="875"/>
      <c r="J378" s="863"/>
      <c r="K378" s="865"/>
      <c r="L378" s="872"/>
      <c r="M378" s="872"/>
      <c r="N378" s="925" t="str">
        <f>IF(O378&lt;&gt;0,CONCATENATE(input_values!$AF378,input_values!$AG378,input_values!$AH378),"")</f>
        <v/>
      </c>
      <c r="O378" s="491">
        <f>IF($A$10="Refined calculation mode",Table22[[#This Row],[input for chronic (refined mode]],Table22[[#This Row],[input for chronic normal mode]])</f>
        <v>0</v>
      </c>
      <c r="P378" s="925" t="str">
        <f>IF(Q378&lt;&gt;0,CONCATENATE(input_values!$AN378,input_values!$AO378,input_values!$AP378),"")</f>
        <v/>
      </c>
      <c r="Q378" s="491">
        <f>IF($V$5=0,0,IF(OR($A$10="Refined calculation mode",Results!$B$62="Show results of IESTI calculation only for crops with GAPs under assessment"),Table22[[#This Row],[Input for IESTI (refined mode)]],Table22[[#This Row],[Input for IESTI normal mode]]))</f>
        <v>0</v>
      </c>
      <c r="R378" s="926" t="str">
        <f>IF(S378&lt;&gt;0,CONCATENATE(input_values!$AW378,input_values!$AX378,input_values!$AY378),"")</f>
        <v/>
      </c>
      <c r="S378" s="492">
        <f>IF($V$5=0,0,IF(OR($A$10="Refined calculation mode",Results!$B$62="Show results of IESTI calculation only for crops with GAPs under assessment"),Table22[[#This Row],[Input for IESTI new (refined mode)]],Table22[[#This Row],[Input for IESTI new normal mode]]))</f>
        <v>0</v>
      </c>
      <c r="T378" s="886"/>
      <c r="U378" s="1432">
        <f>Table22[[#This Row],[MRL/ proposed MRL /CXL
(mg/kg)]]</f>
        <v>0</v>
      </c>
      <c r="V378" s="1433" t="str">
        <f>IF(ISBLANK(F378),"","Y")</f>
        <v/>
      </c>
      <c r="W378" s="1387">
        <f>IF($G378&gt;0,$G378,1)</f>
        <v>1</v>
      </c>
      <c r="X378" s="1387">
        <f>IF($H378&gt;0,$H378,1)</f>
        <v>1</v>
      </c>
      <c r="Y378" s="1387">
        <f>W378*X378</f>
        <v>1</v>
      </c>
      <c r="Z378" s="1410">
        <v>4</v>
      </c>
      <c r="AA378" s="1387">
        <f t="shared" si="246"/>
        <v>0</v>
      </c>
      <c r="AB378" s="1387">
        <f>IF(Z378=A378,IF(AND(L378="N",Table22[[#This Row],[LOQ_label]]="Y"),AA378,$AA378*$Y378),"")</f>
        <v>0</v>
      </c>
      <c r="AC378" s="1393">
        <f t="shared" si="247"/>
        <v>0</v>
      </c>
      <c r="AD378" s="1393">
        <f>IF(Table22[[#This Row],[Median residue*CF*PeF]]&lt;&gt;"",Table22[[#This Row],[Median residue*CF*PeF]],Table22[[#This Row],[MRL*CF*PeF (chronic)]])</f>
        <v>0</v>
      </c>
      <c r="AE378" s="1393">
        <f t="shared" si="248"/>
        <v>0</v>
      </c>
      <c r="AF378" s="1390" t="str">
        <f t="shared" si="199"/>
        <v>MRL</v>
      </c>
      <c r="AG378" s="1390" t="str">
        <f t="shared" si="249"/>
        <v/>
      </c>
      <c r="AH378" s="1394" t="str">
        <f t="shared" si="201"/>
        <v/>
      </c>
      <c r="AI378" s="1386">
        <v>4</v>
      </c>
      <c r="AJ378" s="1387">
        <f t="shared" si="250"/>
        <v>0</v>
      </c>
      <c r="AK378" s="1387">
        <f>IF(AI378=A378,IF(AND(L378="N",Table22[[#This Row],[LOQ_label]]="Y"),AJ378,$AJ378*$Y378),"")</f>
        <v>0</v>
      </c>
      <c r="AL378" s="1388"/>
      <c r="AM378" s="1438">
        <f>IF(Table22[[#This Row],[Median residue*CF*PeF]]&lt;&gt;"",Table22[[#This Row],[Median residue*CF*PeF]],Table22[[#This Row],[MRL*CF*PF or MRL (if LOQ and not authorised) (acute RA)]])</f>
        <v>0</v>
      </c>
      <c r="AN378" s="1439" t="str">
        <f t="shared" si="203"/>
        <v>MRL</v>
      </c>
      <c r="AO378" s="1390" t="str">
        <f t="shared" si="251"/>
        <v/>
      </c>
      <c r="AP378" s="1404" t="str">
        <f t="shared" si="205"/>
        <v/>
      </c>
      <c r="AQ378" s="1388">
        <f t="shared" si="206"/>
        <v>0</v>
      </c>
      <c r="AR378" s="1388" t="str">
        <f t="shared" si="207"/>
        <v/>
      </c>
      <c r="AS378" s="1388" t="str">
        <f t="shared" si="208"/>
        <v/>
      </c>
      <c r="AT378" s="1388" t="str">
        <f t="shared" si="209"/>
        <v/>
      </c>
      <c r="AU378" s="1393">
        <f t="shared" si="252"/>
        <v>0</v>
      </c>
      <c r="AV378" s="1388">
        <f t="shared" si="211"/>
        <v>0</v>
      </c>
      <c r="AW378" s="1390" t="str">
        <f t="shared" si="212"/>
        <v/>
      </c>
      <c r="AX378" s="1390" t="str">
        <f>IF(AND(AW378&lt;&gt;"",AY378&lt;&gt;""),"*","")</f>
        <v/>
      </c>
      <c r="AY378" s="1394" t="str">
        <f t="shared" si="213"/>
        <v/>
      </c>
      <c r="AZ378" s="1395" t="str">
        <f>IF(Table22[[#This Row],[LOQ_label]]="Y",Table22[[#This Row],[MRL individual commodity]],"")</f>
        <v/>
      </c>
      <c r="BA378" s="1422">
        <v>3</v>
      </c>
      <c r="BB378" s="1411" t="str">
        <f>IF(Table22[[#This Row],[LOQ2]]&lt;0,MIN(AZ378:AZ754),"")</f>
        <v/>
      </c>
      <c r="BC378" s="1299"/>
      <c r="BD378" s="1306" t="str">
        <f>IF(Table22[[#This Row],[Chronic RA label]]="","N",IF(Table22[[#This Row],[Chronic RA label]]="LOQ","N",IF(Table22[[#This Row],[Chronic RA label]]="MRL","N","Y")))</f>
        <v>N</v>
      </c>
      <c r="BE378" s="1306" t="str">
        <f>IF(Table22[[#This Row],[Acute RA label]]="","N",IF(Table22[[#This Row],[Acute RA label]]="LOQ","N",IF(Table22[[#This Row],[Acute RA label]]="MRL","N","Y")))</f>
        <v>N</v>
      </c>
      <c r="BF378" s="1306" t="str">
        <f>IF(OR(Table22[[#This Row],[include commodity in Summary_input_values_chronic]]="Y",Table22[[#This Row],[include commodity in Summary_input_values_acute]]="Y"),"Y","N")</f>
        <v>N</v>
      </c>
      <c r="BG378" s="1299"/>
      <c r="BH378" s="1324"/>
    </row>
    <row r="379" spans="1:60" ht="12.75" customHeight="1" outlineLevel="3" x14ac:dyDescent="0.2">
      <c r="A379" s="39">
        <v>4</v>
      </c>
      <c r="B379" s="327">
        <v>1020990</v>
      </c>
      <c r="C379" s="23" t="s">
        <v>632</v>
      </c>
      <c r="D379" s="867"/>
      <c r="E379" s="1219"/>
      <c r="F379" s="867"/>
      <c r="G379" s="868"/>
      <c r="H379" s="863"/>
      <c r="I379" s="875"/>
      <c r="J379" s="863"/>
      <c r="K379" s="865"/>
      <c r="L379" s="872"/>
      <c r="M379" s="872"/>
      <c r="N379" s="925" t="str">
        <f>IF(O379&lt;&gt;0,CONCATENATE(input_values!$AF379,input_values!$AG379,input_values!$AH379),"")</f>
        <v/>
      </c>
      <c r="O379" s="491">
        <f>IF($A$10="Refined calculation mode",Table22[[#This Row],[input for chronic (refined mode]],Table22[[#This Row],[input for chronic normal mode]])</f>
        <v>0</v>
      </c>
      <c r="P379" s="925" t="str">
        <f>IF(Q379&lt;&gt;0,CONCATENATE(input_values!$AN379,input_values!$AO379,input_values!$AP379),"")</f>
        <v/>
      </c>
      <c r="Q379" s="491">
        <f>IF($V$5=0,0,IF(OR($A$10="Refined calculation mode",Results!$B$62="Show results of IESTI calculation only for crops with GAPs under assessment"),Table22[[#This Row],[Input for IESTI (refined mode)]],Table22[[#This Row],[Input for IESTI normal mode]]))</f>
        <v>0</v>
      </c>
      <c r="R379" s="926" t="str">
        <f>IF(S379&lt;&gt;0,CONCATENATE(input_values!$AW379,input_values!$AX379,input_values!$AY379),"")</f>
        <v/>
      </c>
      <c r="S379" s="492">
        <f>IF($V$5=0,0,IF(OR($A$10="Refined calculation mode",Results!$B$62="Show results of IESTI calculation only for crops with GAPs under assessment"),Table22[[#This Row],[Input for IESTI new (refined mode)]],Table22[[#This Row],[Input for IESTI new normal mode]]))</f>
        <v>0</v>
      </c>
      <c r="T379" s="886"/>
      <c r="U379" s="1432">
        <f>Table22[[#This Row],[MRL/ proposed MRL /CXL
(mg/kg)]]</f>
        <v>0</v>
      </c>
      <c r="V379" s="1433" t="str">
        <f>IF(ISBLANK(F379),"","Y")</f>
        <v/>
      </c>
      <c r="W379" s="1387">
        <f>IF($G379&gt;0,$G379,1)</f>
        <v>1</v>
      </c>
      <c r="X379" s="1387">
        <f>IF($H379&gt;0,$H379,1)</f>
        <v>1</v>
      </c>
      <c r="Y379" s="1387">
        <f>W379*X379</f>
        <v>1</v>
      </c>
      <c r="Z379" s="1410">
        <v>4</v>
      </c>
      <c r="AA379" s="1387">
        <f t="shared" si="246"/>
        <v>0</v>
      </c>
      <c r="AB379" s="1387">
        <f>IF(Z379=A379,IF(AND(L379="N",Table22[[#This Row],[LOQ_label]]="Y"),AA379,$AA379*$Y379),"")</f>
        <v>0</v>
      </c>
      <c r="AC379" s="1393">
        <f t="shared" si="247"/>
        <v>0</v>
      </c>
      <c r="AD379" s="1393">
        <f>IF(Table22[[#This Row],[Median residue*CF*PeF]]&lt;&gt;"",Table22[[#This Row],[Median residue*CF*PeF]],Table22[[#This Row],[MRL*CF*PeF (chronic)]])</f>
        <v>0</v>
      </c>
      <c r="AE379" s="1393">
        <f t="shared" si="248"/>
        <v>0</v>
      </c>
      <c r="AF379" s="1390" t="str">
        <f t="shared" si="199"/>
        <v>MRL</v>
      </c>
      <c r="AG379" s="1390" t="str">
        <f t="shared" si="249"/>
        <v/>
      </c>
      <c r="AH379" s="1394" t="str">
        <f t="shared" si="201"/>
        <v/>
      </c>
      <c r="AI379" s="1386">
        <v>4</v>
      </c>
      <c r="AJ379" s="1387">
        <f t="shared" si="250"/>
        <v>0</v>
      </c>
      <c r="AK379" s="1387">
        <f>IF(AI379=A379,IF(AND(L379="N",Table22[[#This Row],[LOQ_label]]="Y"),AJ379,$AJ379*$Y379),"")</f>
        <v>0</v>
      </c>
      <c r="AL379" s="1388">
        <f t="shared" si="202"/>
        <v>0</v>
      </c>
      <c r="AM379" s="1420">
        <f>IF(Table22[[#This Row],[Post-harvest treatment]]="",Table22[[#This Row],[input for chronic normal mode]],IF(Table22[[#This Row],[Post-harvest treatment]]="N",Table22[[#This Row],[input for chronic normal mode]],IF(Table22[[#This Row],[Highest residue * CF*PF]]&gt;"",Table22[[#This Row],[Highest residue * CF*PF]],Table22[[#This Row],[MRL*CF*PF or MRL (if LOQ and not authorised) (acute RA)]])))</f>
        <v>0</v>
      </c>
      <c r="AN379" s="1439" t="str">
        <f t="shared" si="203"/>
        <v>MRL</v>
      </c>
      <c r="AO379" s="1390" t="str">
        <f t="shared" si="251"/>
        <v/>
      </c>
      <c r="AP379" s="1404" t="str">
        <f t="shared" si="205"/>
        <v/>
      </c>
      <c r="AQ379" s="1388">
        <f t="shared" si="206"/>
        <v>0</v>
      </c>
      <c r="AR379" s="1388" t="str">
        <f t="shared" si="207"/>
        <v/>
      </c>
      <c r="AS379" s="1388" t="str">
        <f t="shared" si="208"/>
        <v/>
      </c>
      <c r="AT379" s="1388" t="str">
        <f t="shared" si="209"/>
        <v/>
      </c>
      <c r="AU379" s="1393">
        <f t="shared" si="252"/>
        <v>0</v>
      </c>
      <c r="AV379" s="1388">
        <f t="shared" si="211"/>
        <v>0</v>
      </c>
      <c r="AW379" s="1390" t="str">
        <f t="shared" si="212"/>
        <v/>
      </c>
      <c r="AX379" s="1390" t="str">
        <f>IF(AND(AN379&lt;&gt;"",AY379&lt;&gt;""),"*","")</f>
        <v/>
      </c>
      <c r="AY379" s="1394" t="str">
        <f t="shared" si="213"/>
        <v/>
      </c>
      <c r="AZ379" s="1395" t="str">
        <f>IF(Table22[[#This Row],[LOQ_label]]="Y",Table22[[#This Row],[MRL individual commodity]],"")</f>
        <v/>
      </c>
      <c r="BA379" s="1422">
        <v>3</v>
      </c>
      <c r="BB379" s="1411" t="str">
        <f>IF(Table22[[#This Row],[LOQ2]]&lt;0,MIN(AZ379:AZ755),"")</f>
        <v/>
      </c>
      <c r="BC379" s="1299"/>
      <c r="BD379" s="1306" t="str">
        <f>IF(Table22[[#This Row],[Chronic RA label]]="","N",IF(Table22[[#This Row],[Chronic RA label]]="LOQ","N",IF(Table22[[#This Row],[Chronic RA label]]="MRL","N","Y")))</f>
        <v>N</v>
      </c>
      <c r="BE379" s="1306" t="str">
        <f>IF(Table22[[#This Row],[Acute RA label]]="","N",IF(Table22[[#This Row],[Acute RA label]]="LOQ","N",IF(Table22[[#This Row],[Acute RA label]]="MRL","N","Y")))</f>
        <v>N</v>
      </c>
      <c r="BF379" s="1306" t="str">
        <f>IF(OR(Table22[[#This Row],[include commodity in Summary_input_values_chronic]]="Y",Table22[[#This Row],[include commodity in Summary_input_values_acute]]="Y"),"Y","N")</f>
        <v>N</v>
      </c>
      <c r="BG379" s="1299"/>
      <c r="BH379" s="1324"/>
    </row>
    <row r="380" spans="1:60" ht="12.75" customHeight="1" outlineLevel="1" x14ac:dyDescent="0.2">
      <c r="A380" s="130">
        <v>2</v>
      </c>
      <c r="B380" s="447">
        <v>1030000</v>
      </c>
      <c r="C380" s="131" t="s">
        <v>810</v>
      </c>
      <c r="D380" s="862"/>
      <c r="E380" s="1218"/>
      <c r="F380" s="862"/>
      <c r="G380" s="866"/>
      <c r="H380" s="863"/>
      <c r="I380" s="863"/>
      <c r="J380" s="863"/>
      <c r="K380" s="865"/>
      <c r="L380" s="471"/>
      <c r="M380" s="471"/>
      <c r="N380" s="473"/>
      <c r="O380" s="474"/>
      <c r="P380" s="473"/>
      <c r="Q380" s="474"/>
      <c r="R380" s="473"/>
      <c r="S380" s="474"/>
      <c r="T380" s="886"/>
      <c r="U380" s="1415"/>
      <c r="V380" s="1380"/>
      <c r="W380" s="1381"/>
      <c r="X380" s="1381"/>
      <c r="Y380" s="1381"/>
      <c r="Z380" s="1382">
        <v>4</v>
      </c>
      <c r="AA380" s="1381" t="str">
        <f t="shared" si="246"/>
        <v/>
      </c>
      <c r="AB380" s="1381" t="str">
        <f>IF(Z380=A380,IF(AND(L380="N",Table22[[#This Row],[LOQ_label]]="Y"),AA380,$AA380*$Y380),"")</f>
        <v/>
      </c>
      <c r="AC380" s="1383" t="str">
        <f t="shared" si="247"/>
        <v/>
      </c>
      <c r="AD380" s="1383" t="str">
        <f>IF(Table22[[#This Row],[Median residue*CF*PeF]]&lt;&gt;"",Table22[[#This Row],[Median residue*CF*PeF]],Table22[[#This Row],[MRL*CF*PeF (chronic)]])</f>
        <v/>
      </c>
      <c r="AE380" s="1384">
        <f t="shared" si="248"/>
        <v>0</v>
      </c>
      <c r="AF380" s="1385" t="str">
        <f t="shared" si="199"/>
        <v/>
      </c>
      <c r="AG380" s="1385" t="str">
        <f t="shared" si="249"/>
        <v/>
      </c>
      <c r="AH380" s="1270" t="str">
        <f t="shared" si="201"/>
        <v/>
      </c>
      <c r="AI380" s="1386">
        <v>4</v>
      </c>
      <c r="AJ380" s="1387" t="str">
        <f t="shared" si="250"/>
        <v/>
      </c>
      <c r="AK380" s="1387" t="str">
        <f>IF(AI380=A380,IF(AND(L380="N",Table22[[#This Row],[LOQ_label]]="Y"),AJ380,$AJ380*$Y380),"")</f>
        <v/>
      </c>
      <c r="AL380" s="1388" t="str">
        <f t="shared" si="202"/>
        <v/>
      </c>
      <c r="AM380" s="1393" t="str">
        <f>IF(Table22[[#This Row],[Highest residue * CF*PF]]&lt;&gt;"",Table22[[#This Row],[Highest residue * CF*PF]],Table22[[#This Row],[MRL*CF*PF or MRL (if LOQ and not authorised) (acute RA)]])</f>
        <v/>
      </c>
      <c r="AN380" s="1390" t="str">
        <f t="shared" si="203"/>
        <v/>
      </c>
      <c r="AO380" s="1390" t="str">
        <f t="shared" si="251"/>
        <v/>
      </c>
      <c r="AP380" s="1404" t="str">
        <f t="shared" si="205"/>
        <v/>
      </c>
      <c r="AQ380" s="1388">
        <f t="shared" si="206"/>
        <v>0</v>
      </c>
      <c r="AR380" s="1388" t="str">
        <f t="shared" si="207"/>
        <v/>
      </c>
      <c r="AS380" s="1388" t="str">
        <f t="shared" si="208"/>
        <v/>
      </c>
      <c r="AT380" s="1388" t="str">
        <f t="shared" si="209"/>
        <v/>
      </c>
      <c r="AU380" s="1393" t="str">
        <f t="shared" si="252"/>
        <v/>
      </c>
      <c r="AV380" s="1388">
        <f t="shared" si="211"/>
        <v>0</v>
      </c>
      <c r="AW380" s="1390" t="str">
        <f t="shared" si="212"/>
        <v/>
      </c>
      <c r="AX380" s="1390" t="str">
        <f>IF(AND(AN380&lt;&gt;"",AY380&lt;&gt;""),"*","")</f>
        <v/>
      </c>
      <c r="AY380" s="1394" t="str">
        <f t="shared" si="213"/>
        <v/>
      </c>
      <c r="AZ380" s="1395">
        <f>IF(Table22[[#This Row],[LOQ_label]]="Y",Table22[[#This Row],[MRL individual commodity]],"")</f>
        <v>0</v>
      </c>
      <c r="BA380" s="1396" t="s">
        <v>1159</v>
      </c>
      <c r="BB380" s="1411" t="str">
        <f>IF(Table22[[#This Row],[LOQ2]]&lt;0,MIN(AZ380:AZ756),"")</f>
        <v/>
      </c>
      <c r="BC380" s="1299"/>
      <c r="BD380" s="1306" t="str">
        <f>IF(Table22[[#This Row],[Chronic RA label]]="","N",IF(Table22[[#This Row],[Chronic RA label]]="LOQ","N",IF(Table22[[#This Row],[Chronic RA label]]="MRL","N","Y")))</f>
        <v>N</v>
      </c>
      <c r="BE380" s="1306" t="str">
        <f>IF(Table22[[#This Row],[Acute RA label]]="","N",IF(Table22[[#This Row],[Acute RA label]]="LOQ","N",IF(Table22[[#This Row],[Acute RA label]]="MRL","N","Y")))</f>
        <v>N</v>
      </c>
      <c r="BF380" s="1306" t="str">
        <f>IF(OR(Table22[[#This Row],[include commodity in Summary_input_values_chronic]]="Y",Table22[[#This Row],[include commodity in Summary_input_values_acute]]="Y"),"Y","N")</f>
        <v>N</v>
      </c>
      <c r="BG380" s="1299"/>
      <c r="BH380" s="1324"/>
    </row>
    <row r="381" spans="1:60" ht="12.75" customHeight="1" outlineLevel="3" x14ac:dyDescent="0.2">
      <c r="A381" s="39">
        <v>4</v>
      </c>
      <c r="B381" s="327">
        <v>1030010</v>
      </c>
      <c r="C381" s="23" t="s">
        <v>148</v>
      </c>
      <c r="D381" s="867"/>
      <c r="E381" s="1219"/>
      <c r="F381" s="867"/>
      <c r="G381" s="869"/>
      <c r="H381" s="863"/>
      <c r="I381" s="868"/>
      <c r="J381" s="870"/>
      <c r="K381" s="865"/>
      <c r="L381" s="872"/>
      <c r="M381" s="872"/>
      <c r="N381" s="925" t="str">
        <f>IF(O381&lt;&gt;0,CONCATENATE(input_values!$AF381,input_values!$AG381,input_values!$AH381),"")</f>
        <v/>
      </c>
      <c r="O381" s="491">
        <f>IF($A$10="Refined calculation mode",Table22[[#This Row],[input for chronic (refined mode]],Table22[[#This Row],[input for chronic normal mode]])</f>
        <v>0</v>
      </c>
      <c r="P381" s="925" t="str">
        <f>IF(Q381&lt;&gt;0,CONCATENATE(input_values!$AN381,input_values!$AO381,input_values!$AP381),"")</f>
        <v/>
      </c>
      <c r="Q381" s="491">
        <f>IF($V$5=0,0,IF(OR($A$10="Refined calculation mode",Results!$B$62="Show results of IESTI calculation only for crops with GAPs under assessment"),Table22[[#This Row],[Input for IESTI (refined mode)]],Table22[[#This Row],[Input for IESTI normal mode]]))</f>
        <v>0</v>
      </c>
      <c r="R381" s="926" t="str">
        <f>IF(S381&lt;&gt;0,CONCATENATE(input_values!$AW381,input_values!$AX381,input_values!$AY381),"")</f>
        <v/>
      </c>
      <c r="S381" s="492">
        <f>IF($V$5=0,0,IF(OR($A$10="Refined calculation mode",Results!$B$62="Show results of IESTI calculation only for crops with GAPs under assessment"),Table22[[#This Row],[Input for IESTI new (refined mode)]],Table22[[#This Row],[Input for IESTI new normal mode]]))</f>
        <v>0</v>
      </c>
      <c r="T381" s="886"/>
      <c r="U381" s="1432">
        <f>Table22[[#This Row],[MRL/ proposed MRL /CXL
(mg/kg)]]</f>
        <v>0</v>
      </c>
      <c r="V381" s="1433" t="str">
        <f t="shared" ref="V381:V389" si="253">IF(ISBLANK(F381),"","Y")</f>
        <v/>
      </c>
      <c r="W381" s="1387">
        <f t="shared" ref="W381:W389" si="254">IF($G381&gt;0,$G381,1)</f>
        <v>1</v>
      </c>
      <c r="X381" s="1387">
        <f t="shared" ref="X381:X389" si="255">IF($H381&gt;0,$H381,1)</f>
        <v>1</v>
      </c>
      <c r="Y381" s="1387">
        <f t="shared" ref="Y381:Y389" si="256">W381*X381</f>
        <v>1</v>
      </c>
      <c r="Z381" s="1410">
        <v>4</v>
      </c>
      <c r="AA381" s="1387">
        <f t="shared" si="246"/>
        <v>0</v>
      </c>
      <c r="AB381" s="1387">
        <f>IF(Z381=A381,IF(AND(L381="N",Table22[[#This Row],[LOQ_label]]="Y"),AA381,$AA381*$Y381),"")</f>
        <v>0</v>
      </c>
      <c r="AC381" s="1393">
        <f t="shared" si="247"/>
        <v>0</v>
      </c>
      <c r="AD381" s="1393">
        <f>IF(Table22[[#This Row],[Median residue*CF*PeF]]&lt;&gt;"",Table22[[#This Row],[Median residue*CF*PeF]],Table22[[#This Row],[MRL*CF*PeF (chronic)]])</f>
        <v>0</v>
      </c>
      <c r="AE381" s="1393">
        <f t="shared" si="248"/>
        <v>0</v>
      </c>
      <c r="AF381" s="1390" t="str">
        <f t="shared" si="199"/>
        <v>MRL</v>
      </c>
      <c r="AG381" s="1390" t="str">
        <f t="shared" si="249"/>
        <v/>
      </c>
      <c r="AH381" s="1394" t="str">
        <f t="shared" si="201"/>
        <v/>
      </c>
      <c r="AI381" s="1386">
        <v>4</v>
      </c>
      <c r="AJ381" s="1387">
        <f t="shared" si="250"/>
        <v>0</v>
      </c>
      <c r="AK381" s="1387">
        <f>IF(AI381=A381,IF(AND(L381="N",Table22[[#This Row],[LOQ_label]]="Y"),AJ381,$AJ381*$Y381),"")</f>
        <v>0</v>
      </c>
      <c r="AL381" s="1388">
        <f t="shared" si="202"/>
        <v>0</v>
      </c>
      <c r="AM381" s="1393">
        <f>IF(Table22[[#This Row],[Highest residue * CF*PF]]&lt;&gt;"",Table22[[#This Row],[Highest residue * CF*PF]],Table22[[#This Row],[MRL*CF*PF or MRL (if LOQ and not authorised) (acute RA)]])</f>
        <v>0</v>
      </c>
      <c r="AN381" s="1390" t="str">
        <f t="shared" si="203"/>
        <v>MRL</v>
      </c>
      <c r="AO381" s="1390" t="str">
        <f t="shared" si="251"/>
        <v/>
      </c>
      <c r="AP381" s="1404" t="str">
        <f t="shared" si="205"/>
        <v/>
      </c>
      <c r="AQ381" s="1388">
        <f t="shared" si="206"/>
        <v>0</v>
      </c>
      <c r="AR381" s="1388" t="str">
        <f t="shared" si="207"/>
        <v/>
      </c>
      <c r="AS381" s="1388" t="str">
        <f t="shared" si="208"/>
        <v/>
      </c>
      <c r="AT381" s="1388" t="str">
        <f t="shared" si="209"/>
        <v/>
      </c>
      <c r="AU381" s="1393">
        <f t="shared" si="252"/>
        <v>0</v>
      </c>
      <c r="AV381" s="1388">
        <f t="shared" si="211"/>
        <v>0</v>
      </c>
      <c r="AW381" s="1390" t="str">
        <f t="shared" si="212"/>
        <v/>
      </c>
      <c r="AX381" s="1390" t="str">
        <f>IF(AND(AW381&lt;&gt;"",AY381&lt;&gt;""),"*","")</f>
        <v/>
      </c>
      <c r="AY381" s="1394" t="str">
        <f t="shared" si="213"/>
        <v/>
      </c>
      <c r="AZ381" s="1395" t="str">
        <f>IF(Table22[[#This Row],[LOQ_label]]="Y",Table22[[#This Row],[MRL individual commodity]],"")</f>
        <v/>
      </c>
      <c r="BA381" s="1396" t="s">
        <v>1038</v>
      </c>
      <c r="BB381" s="1411" t="str">
        <f>IF(Table22[[#This Row],[LOQ2]]&lt;0,MIN(AZ381:AZ757),"")</f>
        <v/>
      </c>
      <c r="BC381" s="1299"/>
      <c r="BD381" s="1306" t="str">
        <f>IF(Table22[[#This Row],[Chronic RA label]]="","N",IF(Table22[[#This Row],[Chronic RA label]]="LOQ","N",IF(Table22[[#This Row],[Chronic RA label]]="MRL","N","Y")))</f>
        <v>N</v>
      </c>
      <c r="BE381" s="1306" t="str">
        <f>IF(Table22[[#This Row],[Acute RA label]]="","N",IF(Table22[[#This Row],[Acute RA label]]="LOQ","N",IF(Table22[[#This Row],[Acute RA label]]="MRL","N","Y")))</f>
        <v>N</v>
      </c>
      <c r="BF381" s="1306" t="str">
        <f>IF(OR(Table22[[#This Row],[include commodity in Summary_input_values_chronic]]="Y",Table22[[#This Row],[include commodity in Summary_input_values_acute]]="Y"),"Y","N")</f>
        <v>N</v>
      </c>
      <c r="BG381" s="1299"/>
      <c r="BH381" s="1324"/>
    </row>
    <row r="382" spans="1:60" ht="12.75" customHeight="1" outlineLevel="3" x14ac:dyDescent="0.2">
      <c r="A382" s="39">
        <v>4</v>
      </c>
      <c r="B382" s="327">
        <v>1030020</v>
      </c>
      <c r="C382" s="23" t="s">
        <v>149</v>
      </c>
      <c r="D382" s="867"/>
      <c r="E382" s="1219"/>
      <c r="F382" s="867"/>
      <c r="G382" s="869"/>
      <c r="H382" s="863"/>
      <c r="I382" s="868"/>
      <c r="J382" s="870"/>
      <c r="K382" s="865"/>
      <c r="L382" s="872"/>
      <c r="M382" s="872"/>
      <c r="N382" s="925" t="str">
        <f>IF(O382&lt;&gt;0,CONCATENATE(input_values!$AF382,input_values!$AG382,input_values!$AH382),"")</f>
        <v/>
      </c>
      <c r="O382" s="491">
        <f>IF($A$10="Refined calculation mode",Table22[[#This Row],[input for chronic (refined mode]],Table22[[#This Row],[input for chronic normal mode]])</f>
        <v>0</v>
      </c>
      <c r="P382" s="925" t="str">
        <f>IF(Q382&lt;&gt;0,CONCATENATE(input_values!$AN382,input_values!$AO382,input_values!$AP382),"")</f>
        <v/>
      </c>
      <c r="Q382" s="491">
        <f>IF($V$5=0,0,IF(OR($A$10="Refined calculation mode",Results!$B$62="Show results of IESTI calculation only for crops with GAPs under assessment"),Table22[[#This Row],[Input for IESTI (refined mode)]],Table22[[#This Row],[Input for IESTI normal mode]]))</f>
        <v>0</v>
      </c>
      <c r="R382" s="926" t="str">
        <f>IF(S382&lt;&gt;0,CONCATENATE(input_values!$AW382,input_values!$AX382,input_values!$AY382),"")</f>
        <v/>
      </c>
      <c r="S382" s="492">
        <f>IF($V$5=0,0,IF(OR($A$10="Refined calculation mode",Results!$B$62="Show results of IESTI calculation only for crops with GAPs under assessment"),Table22[[#This Row],[Input for IESTI new (refined mode)]],Table22[[#This Row],[Input for IESTI new normal mode]]))</f>
        <v>0</v>
      </c>
      <c r="T382" s="886"/>
      <c r="U382" s="1432">
        <f>Table22[[#This Row],[MRL/ proposed MRL /CXL
(mg/kg)]]</f>
        <v>0</v>
      </c>
      <c r="V382" s="1433" t="str">
        <f t="shared" si="253"/>
        <v/>
      </c>
      <c r="W382" s="1387">
        <f t="shared" si="254"/>
        <v>1</v>
      </c>
      <c r="X382" s="1387">
        <f t="shared" si="255"/>
        <v>1</v>
      </c>
      <c r="Y382" s="1387">
        <f t="shared" si="256"/>
        <v>1</v>
      </c>
      <c r="Z382" s="1410">
        <v>4</v>
      </c>
      <c r="AA382" s="1387">
        <f t="shared" si="246"/>
        <v>0</v>
      </c>
      <c r="AB382" s="1387">
        <f>IF(Z382=A382,IF(AND(L382="N",Table22[[#This Row],[LOQ_label]]="Y"),AA382,$AA382*$Y382),"")</f>
        <v>0</v>
      </c>
      <c r="AC382" s="1393">
        <f t="shared" si="247"/>
        <v>0</v>
      </c>
      <c r="AD382" s="1393">
        <f>IF(Table22[[#This Row],[Median residue*CF*PeF]]&lt;&gt;"",Table22[[#This Row],[Median residue*CF*PeF]],Table22[[#This Row],[MRL*CF*PeF (chronic)]])</f>
        <v>0</v>
      </c>
      <c r="AE382" s="1393">
        <f t="shared" si="248"/>
        <v>0</v>
      </c>
      <c r="AF382" s="1390" t="str">
        <f t="shared" si="199"/>
        <v>MRL</v>
      </c>
      <c r="AG382" s="1390" t="str">
        <f t="shared" si="249"/>
        <v/>
      </c>
      <c r="AH382" s="1394" t="str">
        <f t="shared" si="201"/>
        <v/>
      </c>
      <c r="AI382" s="1386">
        <v>4</v>
      </c>
      <c r="AJ382" s="1387">
        <f t="shared" si="250"/>
        <v>0</v>
      </c>
      <c r="AK382" s="1387">
        <f>IF(AI382=A382,IF(AND(L382="N",Table22[[#This Row],[LOQ_label]]="Y"),AJ382,$AJ382*$Y382),"")</f>
        <v>0</v>
      </c>
      <c r="AL382" s="1388">
        <f t="shared" si="202"/>
        <v>0</v>
      </c>
      <c r="AM382" s="1393">
        <f>IF(Table22[[#This Row],[Highest residue * CF*PF]]&lt;&gt;"",Table22[[#This Row],[Highest residue * CF*PF]],Table22[[#This Row],[MRL*CF*PF or MRL (if LOQ and not authorised) (acute RA)]])</f>
        <v>0</v>
      </c>
      <c r="AN382" s="1390" t="str">
        <f t="shared" si="203"/>
        <v>MRL</v>
      </c>
      <c r="AO382" s="1390" t="str">
        <f t="shared" si="251"/>
        <v/>
      </c>
      <c r="AP382" s="1404" t="str">
        <f t="shared" si="205"/>
        <v/>
      </c>
      <c r="AQ382" s="1388">
        <f t="shared" si="206"/>
        <v>0</v>
      </c>
      <c r="AR382" s="1388" t="str">
        <f t="shared" si="207"/>
        <v/>
      </c>
      <c r="AS382" s="1388" t="str">
        <f t="shared" si="208"/>
        <v/>
      </c>
      <c r="AT382" s="1388" t="str">
        <f t="shared" si="209"/>
        <v/>
      </c>
      <c r="AU382" s="1393">
        <f t="shared" si="252"/>
        <v>0</v>
      </c>
      <c r="AV382" s="1388">
        <f t="shared" si="211"/>
        <v>0</v>
      </c>
      <c r="AW382" s="1390" t="str">
        <f t="shared" si="212"/>
        <v/>
      </c>
      <c r="AX382" s="1390" t="str">
        <f>IF(AND(AW382&lt;&gt;"",AY382&lt;&gt;""),"*","")</f>
        <v/>
      </c>
      <c r="AY382" s="1394" t="str">
        <f t="shared" si="213"/>
        <v/>
      </c>
      <c r="AZ382" s="1395" t="str">
        <f>IF(Table22[[#This Row],[LOQ_label]]="Y",Table22[[#This Row],[MRL individual commodity]],"")</f>
        <v/>
      </c>
      <c r="BA382" s="1396" t="s">
        <v>1038</v>
      </c>
      <c r="BB382" s="1411" t="str">
        <f>IF(Table22[[#This Row],[LOQ2]]&lt;0,MIN(AZ382:AZ758),"")</f>
        <v/>
      </c>
      <c r="BC382" s="1299"/>
      <c r="BD382" s="1306" t="str">
        <f>IF(Table22[[#This Row],[Chronic RA label]]="","N",IF(Table22[[#This Row],[Chronic RA label]]="LOQ","N",IF(Table22[[#This Row],[Chronic RA label]]="MRL","N","Y")))</f>
        <v>N</v>
      </c>
      <c r="BE382" s="1306" t="str">
        <f>IF(Table22[[#This Row],[Acute RA label]]="","N",IF(Table22[[#This Row],[Acute RA label]]="LOQ","N",IF(Table22[[#This Row],[Acute RA label]]="MRL","N","Y")))</f>
        <v>N</v>
      </c>
      <c r="BF382" s="1306" t="str">
        <f>IF(OR(Table22[[#This Row],[include commodity in Summary_input_values_chronic]]="Y",Table22[[#This Row],[include commodity in Summary_input_values_acute]]="Y"),"Y","N")</f>
        <v>N</v>
      </c>
      <c r="BG382" s="1299"/>
      <c r="BH382" s="1324"/>
    </row>
    <row r="383" spans="1:60" ht="12.75" customHeight="1" outlineLevel="3" x14ac:dyDescent="0.2">
      <c r="A383" s="39">
        <v>4</v>
      </c>
      <c r="B383" s="327">
        <v>1030030</v>
      </c>
      <c r="C383" s="23" t="s">
        <v>150</v>
      </c>
      <c r="D383" s="867"/>
      <c r="E383" s="1219"/>
      <c r="F383" s="867"/>
      <c r="G383" s="869"/>
      <c r="H383" s="863"/>
      <c r="I383" s="868"/>
      <c r="J383" s="870"/>
      <c r="K383" s="865"/>
      <c r="L383" s="872"/>
      <c r="M383" s="872"/>
      <c r="N383" s="925" t="str">
        <f>IF(O383&lt;&gt;0,CONCATENATE(input_values!$AF383,input_values!$AG383,input_values!$AH383),"")</f>
        <v/>
      </c>
      <c r="O383" s="491">
        <f>IF($A$10="Refined calculation mode",Table22[[#This Row],[input for chronic (refined mode]],Table22[[#This Row],[input for chronic normal mode]])</f>
        <v>0</v>
      </c>
      <c r="P383" s="925" t="str">
        <f>IF(Q383&lt;&gt;0,CONCATENATE(input_values!$AN383,input_values!$AO383,input_values!$AP383),"")</f>
        <v/>
      </c>
      <c r="Q383" s="491">
        <f>IF($V$5=0,0,IF(OR($A$10="Refined calculation mode",Results!$B$62="Show results of IESTI calculation only for crops with GAPs under assessment"),Table22[[#This Row],[Input for IESTI (refined mode)]],Table22[[#This Row],[Input for IESTI normal mode]]))</f>
        <v>0</v>
      </c>
      <c r="R383" s="926" t="str">
        <f>IF(S383&lt;&gt;0,CONCATENATE(input_values!$AW383,input_values!$AX383,input_values!$AY383),"")</f>
        <v/>
      </c>
      <c r="S383" s="492">
        <f>IF($V$5=0,0,IF(OR($A$10="Refined calculation mode",Results!$B$62="Show results of IESTI calculation only for crops with GAPs under assessment"),Table22[[#This Row],[Input for IESTI new (refined mode)]],Table22[[#This Row],[Input for IESTI new normal mode]]))</f>
        <v>0</v>
      </c>
      <c r="T383" s="886"/>
      <c r="U383" s="1432">
        <f>Table22[[#This Row],[MRL/ proposed MRL /CXL
(mg/kg)]]</f>
        <v>0</v>
      </c>
      <c r="V383" s="1433" t="str">
        <f t="shared" si="253"/>
        <v/>
      </c>
      <c r="W383" s="1387">
        <f t="shared" si="254"/>
        <v>1</v>
      </c>
      <c r="X383" s="1387">
        <f t="shared" si="255"/>
        <v>1</v>
      </c>
      <c r="Y383" s="1387">
        <f t="shared" si="256"/>
        <v>1</v>
      </c>
      <c r="Z383" s="1410">
        <v>4</v>
      </c>
      <c r="AA383" s="1387">
        <f t="shared" si="246"/>
        <v>0</v>
      </c>
      <c r="AB383" s="1387">
        <f>IF(Z383=A383,IF(AND(L383="N",Table22[[#This Row],[LOQ_label]]="Y"),AA383,$AA383*$Y383),"")</f>
        <v>0</v>
      </c>
      <c r="AC383" s="1393">
        <f t="shared" si="247"/>
        <v>0</v>
      </c>
      <c r="AD383" s="1393">
        <f>IF(Table22[[#This Row],[Median residue*CF*PeF]]&lt;&gt;"",Table22[[#This Row],[Median residue*CF*PeF]],Table22[[#This Row],[MRL*CF*PeF (chronic)]])</f>
        <v>0</v>
      </c>
      <c r="AE383" s="1393">
        <f t="shared" si="248"/>
        <v>0</v>
      </c>
      <c r="AF383" s="1390" t="str">
        <f t="shared" si="199"/>
        <v>MRL</v>
      </c>
      <c r="AG383" s="1390" t="str">
        <f t="shared" si="249"/>
        <v/>
      </c>
      <c r="AH383" s="1394" t="str">
        <f t="shared" si="201"/>
        <v/>
      </c>
      <c r="AI383" s="1386">
        <v>4</v>
      </c>
      <c r="AJ383" s="1387">
        <f t="shared" si="250"/>
        <v>0</v>
      </c>
      <c r="AK383" s="1387">
        <f>IF(AI383=A383,IF(AND(L383="N",Table22[[#This Row],[LOQ_label]]="Y"),AJ383,$AJ383*$Y383),"")</f>
        <v>0</v>
      </c>
      <c r="AL383" s="1388">
        <f t="shared" si="202"/>
        <v>0</v>
      </c>
      <c r="AM383" s="1393">
        <f>IF(Table22[[#This Row],[Highest residue * CF*PF]]&lt;&gt;"",Table22[[#This Row],[Highest residue * CF*PF]],Table22[[#This Row],[MRL*CF*PF or MRL (if LOQ and not authorised) (acute RA)]])</f>
        <v>0</v>
      </c>
      <c r="AN383" s="1390" t="str">
        <f t="shared" si="203"/>
        <v>MRL</v>
      </c>
      <c r="AO383" s="1390" t="str">
        <f t="shared" si="251"/>
        <v/>
      </c>
      <c r="AP383" s="1404" t="str">
        <f t="shared" si="205"/>
        <v/>
      </c>
      <c r="AQ383" s="1388">
        <f t="shared" si="206"/>
        <v>0</v>
      </c>
      <c r="AR383" s="1388" t="str">
        <f t="shared" si="207"/>
        <v/>
      </c>
      <c r="AS383" s="1388" t="str">
        <f t="shared" si="208"/>
        <v/>
      </c>
      <c r="AT383" s="1388" t="str">
        <f t="shared" si="209"/>
        <v/>
      </c>
      <c r="AU383" s="1393">
        <f t="shared" si="252"/>
        <v>0</v>
      </c>
      <c r="AV383" s="1388">
        <f t="shared" si="211"/>
        <v>0</v>
      </c>
      <c r="AW383" s="1390" t="str">
        <f t="shared" si="212"/>
        <v/>
      </c>
      <c r="AX383" s="1390" t="str">
        <f>IF(AND(AW383&lt;&gt;"",AY383&lt;&gt;""),"*","")</f>
        <v/>
      </c>
      <c r="AY383" s="1394" t="str">
        <f t="shared" si="213"/>
        <v/>
      </c>
      <c r="AZ383" s="1395" t="str">
        <f>IF(Table22[[#This Row],[LOQ_label]]="Y",Table22[[#This Row],[MRL individual commodity]],"")</f>
        <v/>
      </c>
      <c r="BA383" s="1396" t="s">
        <v>1038</v>
      </c>
      <c r="BB383" s="1411" t="str">
        <f>IF(Table22[[#This Row],[LOQ2]]&lt;0,MIN(AZ383:AZ759),"")</f>
        <v/>
      </c>
      <c r="BC383" s="1299"/>
      <c r="BD383" s="1306" t="str">
        <f>IF(Table22[[#This Row],[Chronic RA label]]="","N",IF(Table22[[#This Row],[Chronic RA label]]="LOQ","N",IF(Table22[[#This Row],[Chronic RA label]]="MRL","N","Y")))</f>
        <v>N</v>
      </c>
      <c r="BE383" s="1306" t="str">
        <f>IF(Table22[[#This Row],[Acute RA label]]="","N",IF(Table22[[#This Row],[Acute RA label]]="LOQ","N",IF(Table22[[#This Row],[Acute RA label]]="MRL","N","Y")))</f>
        <v>N</v>
      </c>
      <c r="BF383" s="1306" t="str">
        <f>IF(OR(Table22[[#This Row],[include commodity in Summary_input_values_chronic]]="Y",Table22[[#This Row],[include commodity in Summary_input_values_acute]]="Y"),"Y","N")</f>
        <v>N</v>
      </c>
      <c r="BG383" s="1299"/>
      <c r="BH383" s="1324"/>
    </row>
    <row r="384" spans="1:60" ht="12.75" customHeight="1" outlineLevel="3" x14ac:dyDescent="0.2">
      <c r="A384" s="39">
        <v>4</v>
      </c>
      <c r="B384" s="327">
        <v>1030040</v>
      </c>
      <c r="C384" s="23" t="s">
        <v>151</v>
      </c>
      <c r="D384" s="867"/>
      <c r="E384" s="1219"/>
      <c r="F384" s="867"/>
      <c r="G384" s="869"/>
      <c r="H384" s="863"/>
      <c r="I384" s="868"/>
      <c r="J384" s="870"/>
      <c r="K384" s="865"/>
      <c r="L384" s="872"/>
      <c r="M384" s="872"/>
      <c r="N384" s="925" t="str">
        <f>IF(O384&lt;&gt;0,CONCATENATE(input_values!$AF384,input_values!$AG384,input_values!$AH384),"")</f>
        <v/>
      </c>
      <c r="O384" s="491">
        <f>IF($A$10="Refined calculation mode",Table22[[#This Row],[input for chronic (refined mode]],Table22[[#This Row],[input for chronic normal mode]])</f>
        <v>0</v>
      </c>
      <c r="P384" s="925" t="str">
        <f>IF(Q384&lt;&gt;0,CONCATENATE(input_values!$AN384,input_values!$AO384,input_values!$AP384),"")</f>
        <v/>
      </c>
      <c r="Q384" s="491">
        <f>IF($V$5=0,0,IF(OR($A$10="Refined calculation mode",Results!$B$62="Show results of IESTI calculation only for crops with GAPs under assessment"),Table22[[#This Row],[Input for IESTI (refined mode)]],Table22[[#This Row],[Input for IESTI normal mode]]))</f>
        <v>0</v>
      </c>
      <c r="R384" s="926" t="str">
        <f>IF(S384&lt;&gt;0,CONCATENATE(input_values!$AW384,input_values!$AX384,input_values!$AY384),"")</f>
        <v/>
      </c>
      <c r="S384" s="492">
        <f>IF($V$5=0,0,IF(OR($A$10="Refined calculation mode",Results!$B$62="Show results of IESTI calculation only for crops with GAPs under assessment"),Table22[[#This Row],[Input for IESTI new (refined mode)]],Table22[[#This Row],[Input for IESTI new normal mode]]))</f>
        <v>0</v>
      </c>
      <c r="T384" s="886"/>
      <c r="U384" s="1432">
        <f>Table22[[#This Row],[MRL/ proposed MRL /CXL
(mg/kg)]]</f>
        <v>0</v>
      </c>
      <c r="V384" s="1433" t="str">
        <f t="shared" si="253"/>
        <v/>
      </c>
      <c r="W384" s="1387">
        <f t="shared" si="254"/>
        <v>1</v>
      </c>
      <c r="X384" s="1387">
        <f t="shared" si="255"/>
        <v>1</v>
      </c>
      <c r="Y384" s="1387">
        <f t="shared" si="256"/>
        <v>1</v>
      </c>
      <c r="Z384" s="1410">
        <v>4</v>
      </c>
      <c r="AA384" s="1387">
        <f t="shared" si="246"/>
        <v>0</v>
      </c>
      <c r="AB384" s="1387">
        <f>IF(Z384=A384,IF(AND(L384="N",Table22[[#This Row],[LOQ_label]]="Y"),AA384,$AA384*$Y384),"")</f>
        <v>0</v>
      </c>
      <c r="AC384" s="1393">
        <f t="shared" si="247"/>
        <v>0</v>
      </c>
      <c r="AD384" s="1393">
        <f>IF(Table22[[#This Row],[Median residue*CF*PeF]]&lt;&gt;"",Table22[[#This Row],[Median residue*CF*PeF]],Table22[[#This Row],[MRL*CF*PeF (chronic)]])</f>
        <v>0</v>
      </c>
      <c r="AE384" s="1393">
        <f t="shared" si="248"/>
        <v>0</v>
      </c>
      <c r="AF384" s="1390" t="str">
        <f t="shared" si="199"/>
        <v>MRL</v>
      </c>
      <c r="AG384" s="1390" t="str">
        <f t="shared" si="249"/>
        <v/>
      </c>
      <c r="AH384" s="1394" t="str">
        <f t="shared" si="201"/>
        <v/>
      </c>
      <c r="AI384" s="1386">
        <v>4</v>
      </c>
      <c r="AJ384" s="1387">
        <f t="shared" si="250"/>
        <v>0</v>
      </c>
      <c r="AK384" s="1387">
        <f>IF(AI384=A384,IF(AND(L384="N",Table22[[#This Row],[LOQ_label]]="Y"),AJ384,$AJ384*$Y384),"")</f>
        <v>0</v>
      </c>
      <c r="AL384" s="1388">
        <f t="shared" si="202"/>
        <v>0</v>
      </c>
      <c r="AM384" s="1393">
        <f>IF(Table22[[#This Row],[Highest residue * CF*PF]]&lt;&gt;"",Table22[[#This Row],[Highest residue * CF*PF]],Table22[[#This Row],[MRL*CF*PF or MRL (if LOQ and not authorised) (acute RA)]])</f>
        <v>0</v>
      </c>
      <c r="AN384" s="1390" t="str">
        <f t="shared" si="203"/>
        <v>MRL</v>
      </c>
      <c r="AO384" s="1390" t="str">
        <f t="shared" si="251"/>
        <v/>
      </c>
      <c r="AP384" s="1404" t="str">
        <f t="shared" si="205"/>
        <v/>
      </c>
      <c r="AQ384" s="1388">
        <f t="shared" si="206"/>
        <v>0</v>
      </c>
      <c r="AR384" s="1388" t="str">
        <f t="shared" si="207"/>
        <v/>
      </c>
      <c r="AS384" s="1388" t="str">
        <f t="shared" si="208"/>
        <v/>
      </c>
      <c r="AT384" s="1388" t="str">
        <f t="shared" si="209"/>
        <v/>
      </c>
      <c r="AU384" s="1393">
        <f t="shared" si="252"/>
        <v>0</v>
      </c>
      <c r="AV384" s="1388">
        <f t="shared" si="211"/>
        <v>0</v>
      </c>
      <c r="AW384" s="1390" t="str">
        <f t="shared" si="212"/>
        <v/>
      </c>
      <c r="AX384" s="1390" t="str">
        <f>IF(AND(AW384&lt;&gt;"",AY384&lt;&gt;""),"*","")</f>
        <v/>
      </c>
      <c r="AY384" s="1394" t="str">
        <f t="shared" si="213"/>
        <v/>
      </c>
      <c r="AZ384" s="1395" t="str">
        <f>IF(Table22[[#This Row],[LOQ_label]]="Y",Table22[[#This Row],[MRL individual commodity]],"")</f>
        <v/>
      </c>
      <c r="BA384" s="1396" t="s">
        <v>1038</v>
      </c>
      <c r="BB384" s="1411" t="str">
        <f>IF(Table22[[#This Row],[LOQ2]]&lt;0,MIN(AZ384:AZ760),"")</f>
        <v/>
      </c>
      <c r="BC384" s="1299"/>
      <c r="BD384" s="1306" t="str">
        <f>IF(Table22[[#This Row],[Chronic RA label]]="","N",IF(Table22[[#This Row],[Chronic RA label]]="LOQ","N",IF(Table22[[#This Row],[Chronic RA label]]="MRL","N","Y")))</f>
        <v>N</v>
      </c>
      <c r="BE384" s="1306" t="str">
        <f>IF(Table22[[#This Row],[Acute RA label]]="","N",IF(Table22[[#This Row],[Acute RA label]]="LOQ","N",IF(Table22[[#This Row],[Acute RA label]]="MRL","N","Y")))</f>
        <v>N</v>
      </c>
      <c r="BF384" s="1306" t="str">
        <f>IF(OR(Table22[[#This Row],[include commodity in Summary_input_values_chronic]]="Y",Table22[[#This Row],[include commodity in Summary_input_values_acute]]="Y"),"Y","N")</f>
        <v>N</v>
      </c>
      <c r="BG384" s="1299"/>
      <c r="BH384" s="1324"/>
    </row>
    <row r="385" spans="1:60" ht="12.75" customHeight="1" outlineLevel="3" x14ac:dyDescent="0.2">
      <c r="A385" s="39">
        <v>4</v>
      </c>
      <c r="B385" s="327">
        <v>1030990</v>
      </c>
      <c r="C385" s="23" t="s">
        <v>633</v>
      </c>
      <c r="D385" s="867"/>
      <c r="E385" s="1219"/>
      <c r="F385" s="867"/>
      <c r="G385" s="869"/>
      <c r="H385" s="863"/>
      <c r="I385" s="868"/>
      <c r="J385" s="870"/>
      <c r="K385" s="865"/>
      <c r="L385" s="872"/>
      <c r="M385" s="872"/>
      <c r="N385" s="925" t="str">
        <f>IF(O385&lt;&gt;0,CONCATENATE(input_values!$AF385,input_values!$AG385,input_values!$AH385),"")</f>
        <v/>
      </c>
      <c r="O385" s="491">
        <f>IF($A$10="Refined calculation mode",Table22[[#This Row],[input for chronic (refined mode]],Table22[[#This Row],[input for chronic normal mode]])</f>
        <v>0</v>
      </c>
      <c r="P385" s="925" t="str">
        <f>IF(Q385&lt;&gt;0,CONCATENATE(input_values!$AN385,input_values!$AO385,input_values!$AP385),"")</f>
        <v/>
      </c>
      <c r="Q385" s="491">
        <f>IF($V$5=0,0,IF(OR($A$10="Refined calculation mode",Results!$B$62="Show results of IESTI calculation only for crops with GAPs under assessment"),Table22[[#This Row],[Input for IESTI (refined mode)]],Table22[[#This Row],[Input for IESTI normal mode]]))</f>
        <v>0</v>
      </c>
      <c r="R385" s="926" t="str">
        <f>IF(S385&lt;&gt;0,CONCATENATE(input_values!$AW385,input_values!$AX385,input_values!$AY385),"")</f>
        <v/>
      </c>
      <c r="S385" s="492">
        <f>IF($V$5=0,0,IF(OR($A$10="Refined calculation mode",Results!$B$62="Show results of IESTI calculation only for crops with GAPs under assessment"),Table22[[#This Row],[Input for IESTI new (refined mode)]],Table22[[#This Row],[Input for IESTI new normal mode]]))</f>
        <v>0</v>
      </c>
      <c r="T385" s="886"/>
      <c r="U385" s="1432">
        <f>Table22[[#This Row],[MRL/ proposed MRL /CXL
(mg/kg)]]</f>
        <v>0</v>
      </c>
      <c r="V385" s="1433" t="str">
        <f t="shared" si="253"/>
        <v/>
      </c>
      <c r="W385" s="1387">
        <f t="shared" si="254"/>
        <v>1</v>
      </c>
      <c r="X385" s="1387">
        <f t="shared" si="255"/>
        <v>1</v>
      </c>
      <c r="Y385" s="1387">
        <f t="shared" si="256"/>
        <v>1</v>
      </c>
      <c r="Z385" s="1410">
        <v>4</v>
      </c>
      <c r="AA385" s="1387">
        <f t="shared" si="246"/>
        <v>0</v>
      </c>
      <c r="AB385" s="1387">
        <f>IF(Z385=A385,IF(AND(L385="N",Table22[[#This Row],[LOQ_label]]="Y"),AA385,$AA385*$Y385),"")</f>
        <v>0</v>
      </c>
      <c r="AC385" s="1393">
        <f t="shared" si="247"/>
        <v>0</v>
      </c>
      <c r="AD385" s="1393">
        <f>IF(Table22[[#This Row],[Median residue*CF*PeF]]&lt;&gt;"",Table22[[#This Row],[Median residue*CF*PeF]],Table22[[#This Row],[MRL*CF*PeF (chronic)]])</f>
        <v>0</v>
      </c>
      <c r="AE385" s="1393">
        <f t="shared" si="248"/>
        <v>0</v>
      </c>
      <c r="AF385" s="1390" t="str">
        <f t="shared" si="199"/>
        <v>MRL</v>
      </c>
      <c r="AG385" s="1390" t="str">
        <f t="shared" si="249"/>
        <v/>
      </c>
      <c r="AH385" s="1394" t="str">
        <f t="shared" si="201"/>
        <v/>
      </c>
      <c r="AI385" s="1386"/>
      <c r="AJ385" s="1387" t="str">
        <f t="shared" si="250"/>
        <v/>
      </c>
      <c r="AK385" s="1387" t="str">
        <f>IF(AI385=A385,IF(AND(L385="N",Table22[[#This Row],[LOQ_label]]="Y"),AJ385,$AJ385*$Y385),"")</f>
        <v/>
      </c>
      <c r="AL385" s="1388" t="str">
        <f t="shared" si="202"/>
        <v/>
      </c>
      <c r="AM385" s="1393" t="str">
        <f>IF(Table22[[#This Row],[Highest residue * CF*PF]]&lt;&gt;"",Table22[[#This Row],[Highest residue * CF*PF]],Table22[[#This Row],[MRL*CF*PF or MRL (if LOQ and not authorised) (acute RA)]])</f>
        <v/>
      </c>
      <c r="AN385" s="1390" t="str">
        <f t="shared" si="203"/>
        <v/>
      </c>
      <c r="AO385" s="1390" t="str">
        <f t="shared" si="251"/>
        <v/>
      </c>
      <c r="AP385" s="1404" t="str">
        <f t="shared" si="205"/>
        <v/>
      </c>
      <c r="AQ385" s="1388">
        <f t="shared" si="206"/>
        <v>0</v>
      </c>
      <c r="AR385" s="1388" t="str">
        <f t="shared" si="207"/>
        <v/>
      </c>
      <c r="AS385" s="1388" t="str">
        <f t="shared" si="208"/>
        <v/>
      </c>
      <c r="AT385" s="1388" t="str">
        <f t="shared" si="209"/>
        <v/>
      </c>
      <c r="AU385" s="1393" t="str">
        <f t="shared" si="252"/>
        <v/>
      </c>
      <c r="AV385" s="1388">
        <f t="shared" si="211"/>
        <v>0</v>
      </c>
      <c r="AW385" s="1390" t="str">
        <f t="shared" si="212"/>
        <v/>
      </c>
      <c r="AX385" s="1390" t="str">
        <f>IF(AND(AN385&lt;&gt;"",AY385&lt;&gt;""),"*","")</f>
        <v/>
      </c>
      <c r="AY385" s="1394" t="str">
        <f t="shared" si="213"/>
        <v/>
      </c>
      <c r="AZ385" s="1395" t="str">
        <f>IF(Table22[[#This Row],[LOQ_label]]="Y",Table22[[#This Row],[MRL individual commodity]],"")</f>
        <v/>
      </c>
      <c r="BA385" s="1396">
        <v>1</v>
      </c>
      <c r="BB385" s="1411" t="str">
        <f>IF(Table22[[#This Row],[LOQ2]]&lt;0,MIN(AZ385:AZ761),"")</f>
        <v/>
      </c>
      <c r="BC385" s="1299"/>
      <c r="BD385" s="1306" t="str">
        <f>IF(Table22[[#This Row],[Chronic RA label]]="","N",IF(Table22[[#This Row],[Chronic RA label]]="LOQ","N",IF(Table22[[#This Row],[Chronic RA label]]="MRL","N","Y")))</f>
        <v>N</v>
      </c>
      <c r="BE385" s="1306" t="str">
        <f>IF(Table22[[#This Row],[Acute RA label]]="","N",IF(Table22[[#This Row],[Acute RA label]]="LOQ","N",IF(Table22[[#This Row],[Acute RA label]]="MRL","N","Y")))</f>
        <v>N</v>
      </c>
      <c r="BF385" s="1306" t="str">
        <f>IF(OR(Table22[[#This Row],[include commodity in Summary_input_values_chronic]]="Y",Table22[[#This Row],[include commodity in Summary_input_values_acute]]="Y"),"Y","N")</f>
        <v>N</v>
      </c>
      <c r="BG385" s="1299"/>
      <c r="BH385" s="1324"/>
    </row>
    <row r="386" spans="1:60" ht="12.75" customHeight="1" outlineLevel="1" x14ac:dyDescent="0.2">
      <c r="A386" s="130">
        <v>2</v>
      </c>
      <c r="B386" s="447">
        <v>1040000</v>
      </c>
      <c r="C386" s="131" t="s">
        <v>811</v>
      </c>
      <c r="D386" s="867"/>
      <c r="E386" s="1219"/>
      <c r="F386" s="867"/>
      <c r="G386" s="869"/>
      <c r="H386" s="863"/>
      <c r="I386" s="868"/>
      <c r="J386" s="870"/>
      <c r="K386" s="865"/>
      <c r="L386" s="872"/>
      <c r="M386" s="872"/>
      <c r="N386" s="925" t="str">
        <f>IF(O386&lt;&gt;0,CONCATENATE(input_values!$AF386,input_values!$AG386,input_values!$AH386),"")</f>
        <v/>
      </c>
      <c r="O386" s="491">
        <f>IF($A$10="Refined calculation mode",Table22[[#This Row],[input for chronic (refined mode]],Table22[[#This Row],[input for chronic normal mode]])</f>
        <v>0</v>
      </c>
      <c r="P386" s="925" t="str">
        <f>IF(Q386&lt;&gt;0,CONCATENATE(input_values!$AN386,input_values!$AO386,input_values!$AP386),"")</f>
        <v/>
      </c>
      <c r="Q386" s="491">
        <f>IF($V$5=0,0,IF(OR($A$10="Refined calculation mode",Results!$B$62="Show results of IESTI calculation only for crops with GAPs under assessment"),Table22[[#This Row],[Input for IESTI (refined mode)]],Table22[[#This Row],[Input for IESTI normal mode]]))</f>
        <v>0</v>
      </c>
      <c r="R386" s="926" t="str">
        <f>IF(S386&lt;&gt;0,CONCATENATE(input_values!$AW386,input_values!$AX386,input_values!$AY386),"")</f>
        <v/>
      </c>
      <c r="S386" s="492">
        <f>IF($V$5=0,0,IF(OR($A$10="Refined calculation mode",Results!$B$62="Show results of IESTI calculation only for crops with GAPs under assessment"),Table22[[#This Row],[Input for IESTI new (refined mode)]],Table22[[#This Row],[Input for IESTI new normal mode]]))</f>
        <v>0</v>
      </c>
      <c r="T386" s="886"/>
      <c r="U386" s="1432">
        <f>Table22[[#This Row],[MRL/ proposed MRL /CXL
(mg/kg)]]</f>
        <v>0</v>
      </c>
      <c r="V386" s="1433" t="str">
        <f t="shared" si="253"/>
        <v/>
      </c>
      <c r="W386" s="1387">
        <f t="shared" si="254"/>
        <v>1</v>
      </c>
      <c r="X386" s="1387">
        <f t="shared" si="255"/>
        <v>1</v>
      </c>
      <c r="Y386" s="1387">
        <f t="shared" si="256"/>
        <v>1</v>
      </c>
      <c r="Z386" s="1410">
        <v>2</v>
      </c>
      <c r="AA386" s="1387">
        <f t="shared" si="246"/>
        <v>0</v>
      </c>
      <c r="AB386" s="1387">
        <f>IF(Z386=A386,IF(AND(L386="N",Table22[[#This Row],[LOQ_label]]="Y"),AA386,$AA386*$Y386),"")</f>
        <v>0</v>
      </c>
      <c r="AC386" s="1393">
        <f t="shared" si="247"/>
        <v>0</v>
      </c>
      <c r="AD386" s="1393">
        <f>IF(Table22[[#This Row],[Median residue*CF*PeF]]&lt;&gt;"",Table22[[#This Row],[Median residue*CF*PeF]],Table22[[#This Row],[MRL*CF*PeF (chronic)]])</f>
        <v>0</v>
      </c>
      <c r="AE386" s="1393">
        <f t="shared" si="248"/>
        <v>0</v>
      </c>
      <c r="AF386" s="1390" t="str">
        <f t="shared" si="199"/>
        <v>MRL</v>
      </c>
      <c r="AG386" s="1390" t="str">
        <f t="shared" si="249"/>
        <v/>
      </c>
      <c r="AH386" s="1394" t="str">
        <f t="shared" si="201"/>
        <v/>
      </c>
      <c r="AI386" s="1386">
        <v>2</v>
      </c>
      <c r="AJ386" s="1387">
        <f t="shared" si="250"/>
        <v>0</v>
      </c>
      <c r="AK386" s="1387">
        <f>IF(AI386=A386,IF(AND(L386="N",Table22[[#This Row],[LOQ_label]]="Y"),AJ386,$AJ386*$Y386),"")</f>
        <v>0</v>
      </c>
      <c r="AL386" s="1388">
        <f t="shared" si="202"/>
        <v>0</v>
      </c>
      <c r="AM386" s="1393">
        <f>IF(Table22[[#This Row],[Highest residue * CF*PF]]&lt;&gt;"",Table22[[#This Row],[Highest residue * CF*PF]],Table22[[#This Row],[MRL*CF*PF or MRL (if LOQ and not authorised) (acute RA)]])</f>
        <v>0</v>
      </c>
      <c r="AN386" s="1390" t="str">
        <f t="shared" si="203"/>
        <v>MRL</v>
      </c>
      <c r="AO386" s="1390" t="str">
        <f t="shared" si="251"/>
        <v/>
      </c>
      <c r="AP386" s="1404" t="str">
        <f t="shared" si="205"/>
        <v/>
      </c>
      <c r="AQ386" s="1388">
        <f t="shared" si="206"/>
        <v>0</v>
      </c>
      <c r="AR386" s="1388" t="str">
        <f t="shared" si="207"/>
        <v/>
      </c>
      <c r="AS386" s="1388" t="str">
        <f t="shared" si="208"/>
        <v/>
      </c>
      <c r="AT386" s="1388" t="str">
        <f t="shared" si="209"/>
        <v/>
      </c>
      <c r="AU386" s="1393">
        <f t="shared" si="252"/>
        <v>0</v>
      </c>
      <c r="AV386" s="1388">
        <f t="shared" si="211"/>
        <v>0</v>
      </c>
      <c r="AW386" s="1390" t="str">
        <f t="shared" si="212"/>
        <v/>
      </c>
      <c r="AX386" s="1390" t="str">
        <f>IF(AND(AW386&lt;&gt;"",AY386&lt;&gt;""),"*","")</f>
        <v/>
      </c>
      <c r="AY386" s="1394" t="str">
        <f t="shared" si="213"/>
        <v/>
      </c>
      <c r="AZ386" s="1395" t="str">
        <f>IF(Table22[[#This Row],[LOQ_label]]="Y",Table22[[#This Row],[MRL individual commodity]],"")</f>
        <v/>
      </c>
      <c r="BA386" s="1396" t="s">
        <v>1038</v>
      </c>
      <c r="BB386" s="1411" t="str">
        <f>IF(Table22[[#This Row],[LOQ2]]&lt;0,MIN(AZ386:AZ762),"")</f>
        <v/>
      </c>
      <c r="BC386" s="1299"/>
      <c r="BD386" s="1306" t="str">
        <f>IF(Table22[[#This Row],[Chronic RA label]]="","N",IF(Table22[[#This Row],[Chronic RA label]]="LOQ","N",IF(Table22[[#This Row],[Chronic RA label]]="MRL","N","Y")))</f>
        <v>N</v>
      </c>
      <c r="BE386" s="1306" t="str">
        <f>IF(Table22[[#This Row],[Acute RA label]]="","N",IF(Table22[[#This Row],[Acute RA label]]="LOQ","N",IF(Table22[[#This Row],[Acute RA label]]="MRL","N","Y")))</f>
        <v>N</v>
      </c>
      <c r="BF386" s="1306" t="str">
        <f>IF(OR(Table22[[#This Row],[include commodity in Summary_input_values_chronic]]="Y",Table22[[#This Row],[include commodity in Summary_input_values_acute]]="Y"),"Y","N")</f>
        <v>N</v>
      </c>
      <c r="BG386" s="1299"/>
      <c r="BH386" s="1324"/>
    </row>
    <row r="387" spans="1:60" ht="12.75" customHeight="1" outlineLevel="1" x14ac:dyDescent="0.2">
      <c r="A387" s="130">
        <v>2</v>
      </c>
      <c r="B387" s="447">
        <v>1050000</v>
      </c>
      <c r="C387" s="131" t="s">
        <v>38</v>
      </c>
      <c r="D387" s="867"/>
      <c r="E387" s="1219"/>
      <c r="F387" s="867"/>
      <c r="G387" s="869"/>
      <c r="H387" s="863"/>
      <c r="I387" s="868"/>
      <c r="J387" s="870"/>
      <c r="K387" s="865"/>
      <c r="L387" s="872"/>
      <c r="M387" s="872"/>
      <c r="N387" s="925" t="str">
        <f>IF(O387&lt;&gt;0,CONCATENATE(input_values!$AF387,input_values!$AG387,input_values!$AH387),"")</f>
        <v/>
      </c>
      <c r="O387" s="491">
        <f>IF($A$10="Refined calculation mode",Table22[[#This Row],[input for chronic (refined mode]],Table22[[#This Row],[input for chronic normal mode]])</f>
        <v>0</v>
      </c>
      <c r="P387" s="925" t="str">
        <f>IF(Q387&lt;&gt;0,CONCATENATE(input_values!$AN387,input_values!$AO387,input_values!$AP387),"")</f>
        <v/>
      </c>
      <c r="Q387" s="491">
        <f>IF($V$5=0,0,IF(OR($A$10="Refined calculation mode",Results!$B$62="Show results of IESTI calculation only for crops with GAPs under assessment"),Table22[[#This Row],[Input for IESTI (refined mode)]],Table22[[#This Row],[Input for IESTI normal mode]]))</f>
        <v>0</v>
      </c>
      <c r="R387" s="926" t="str">
        <f>IF(S387&lt;&gt;0,CONCATENATE(input_values!$AW387,input_values!$AX387,input_values!$AY387),"")</f>
        <v/>
      </c>
      <c r="S387" s="492">
        <f>IF($V$5=0,0,IF(OR($A$10="Refined calculation mode",Results!$B$62="Show results of IESTI calculation only for crops with GAPs under assessment"),Table22[[#This Row],[Input for IESTI new (refined mode)]],Table22[[#This Row],[Input for IESTI new normal mode]]))</f>
        <v>0</v>
      </c>
      <c r="T387" s="886"/>
      <c r="U387" s="1432">
        <f>Table22[[#This Row],[MRL/ proposed MRL /CXL
(mg/kg)]]</f>
        <v>0</v>
      </c>
      <c r="V387" s="1433" t="str">
        <f t="shared" si="253"/>
        <v/>
      </c>
      <c r="W387" s="1387">
        <f t="shared" si="254"/>
        <v>1</v>
      </c>
      <c r="X387" s="1387">
        <f t="shared" si="255"/>
        <v>1</v>
      </c>
      <c r="Y387" s="1387">
        <f t="shared" si="256"/>
        <v>1</v>
      </c>
      <c r="Z387" s="1410">
        <v>2</v>
      </c>
      <c r="AA387" s="1387">
        <f t="shared" si="246"/>
        <v>0</v>
      </c>
      <c r="AB387" s="1387">
        <f>IF(Z387=A387,IF(AND(L387="N",Table22[[#This Row],[LOQ_label]]="Y"),AA387,$AA387*$Y387),"")</f>
        <v>0</v>
      </c>
      <c r="AC387" s="1393">
        <f t="shared" si="247"/>
        <v>0</v>
      </c>
      <c r="AD387" s="1393">
        <f>IF(Table22[[#This Row],[Median residue*CF*PeF]]&lt;&gt;"",Table22[[#This Row],[Median residue*CF*PeF]],Table22[[#This Row],[MRL*CF*PeF (chronic)]])</f>
        <v>0</v>
      </c>
      <c r="AE387" s="1393">
        <f t="shared" si="248"/>
        <v>0</v>
      </c>
      <c r="AF387" s="1390" t="str">
        <f t="shared" si="199"/>
        <v>MRL</v>
      </c>
      <c r="AG387" s="1390" t="str">
        <f t="shared" si="249"/>
        <v/>
      </c>
      <c r="AH387" s="1394" t="str">
        <f t="shared" si="201"/>
        <v/>
      </c>
      <c r="AI387" s="1386">
        <v>2</v>
      </c>
      <c r="AJ387" s="1387">
        <f t="shared" si="250"/>
        <v>0</v>
      </c>
      <c r="AK387" s="1387">
        <f>IF(AI387=A387,IF(AND(L387="N",Table22[[#This Row],[LOQ_label]]="Y"),AJ387,$AJ387*$Y387),"")</f>
        <v>0</v>
      </c>
      <c r="AL387" s="1388">
        <f t="shared" si="202"/>
        <v>0</v>
      </c>
      <c r="AM387" s="1393">
        <f>IF(Table22[[#This Row],[Highest residue * CF*PF]]&lt;&gt;"",Table22[[#This Row],[Highest residue * CF*PF]],Table22[[#This Row],[MRL*CF*PF or MRL (if LOQ and not authorised) (acute RA)]])</f>
        <v>0</v>
      </c>
      <c r="AN387" s="1390" t="str">
        <f t="shared" si="203"/>
        <v>MRL</v>
      </c>
      <c r="AO387" s="1390" t="str">
        <f t="shared" si="251"/>
        <v/>
      </c>
      <c r="AP387" s="1404" t="str">
        <f t="shared" si="205"/>
        <v/>
      </c>
      <c r="AQ387" s="1388">
        <f t="shared" si="206"/>
        <v>0</v>
      </c>
      <c r="AR387" s="1388" t="str">
        <f t="shared" si="207"/>
        <v/>
      </c>
      <c r="AS387" s="1388" t="str">
        <f t="shared" si="208"/>
        <v/>
      </c>
      <c r="AT387" s="1388" t="str">
        <f t="shared" si="209"/>
        <v/>
      </c>
      <c r="AU387" s="1393">
        <f t="shared" si="252"/>
        <v>0</v>
      </c>
      <c r="AV387" s="1388">
        <f t="shared" si="211"/>
        <v>0</v>
      </c>
      <c r="AW387" s="1390" t="str">
        <f t="shared" si="212"/>
        <v/>
      </c>
      <c r="AX387" s="1390" t="str">
        <f>IF(AND(AW387&lt;&gt;"",AY387&lt;&gt;""),"*","")</f>
        <v/>
      </c>
      <c r="AY387" s="1394" t="str">
        <f t="shared" si="213"/>
        <v/>
      </c>
      <c r="AZ387" s="1395" t="str">
        <f>IF(Table22[[#This Row],[LOQ_label]]="Y",Table22[[#This Row],[MRL individual commodity]],"")</f>
        <v/>
      </c>
      <c r="BA387" s="1396" t="s">
        <v>1038</v>
      </c>
      <c r="BB387" s="1411" t="str">
        <f>IF(Table22[[#This Row],[LOQ2]]&lt;0,MIN(AZ387:AZ763),"")</f>
        <v/>
      </c>
      <c r="BC387" s="1299"/>
      <c r="BD387" s="1306" t="str">
        <f>IF(Table22[[#This Row],[Chronic RA label]]="","N",IF(Table22[[#This Row],[Chronic RA label]]="LOQ","N",IF(Table22[[#This Row],[Chronic RA label]]="MRL","N","Y")))</f>
        <v>N</v>
      </c>
      <c r="BE387" s="1306" t="str">
        <f>IF(Table22[[#This Row],[Acute RA label]]="","N",IF(Table22[[#This Row],[Acute RA label]]="LOQ","N",IF(Table22[[#This Row],[Acute RA label]]="MRL","N","Y")))</f>
        <v>N</v>
      </c>
      <c r="BF387" s="1306" t="str">
        <f>IF(OR(Table22[[#This Row],[include commodity in Summary_input_values_chronic]]="Y",Table22[[#This Row],[include commodity in Summary_input_values_acute]]="Y"),"Y","N")</f>
        <v>N</v>
      </c>
      <c r="BG387" s="1299"/>
      <c r="BH387" s="1324"/>
    </row>
    <row r="388" spans="1:60" ht="12.75" customHeight="1" outlineLevel="1" x14ac:dyDescent="0.2">
      <c r="A388" s="130">
        <v>2</v>
      </c>
      <c r="B388" s="447">
        <v>1060000</v>
      </c>
      <c r="C388" s="131" t="s">
        <v>812</v>
      </c>
      <c r="D388" s="867"/>
      <c r="E388" s="1219"/>
      <c r="F388" s="867"/>
      <c r="G388" s="869"/>
      <c r="H388" s="863"/>
      <c r="I388" s="868"/>
      <c r="J388" s="870"/>
      <c r="K388" s="865"/>
      <c r="L388" s="872"/>
      <c r="M388" s="872"/>
      <c r="N388" s="925" t="str">
        <f>IF(O388&lt;&gt;0,CONCATENATE(input_values!$AF388,input_values!$AG388,input_values!$AH388),"")</f>
        <v/>
      </c>
      <c r="O388" s="491">
        <f>IF($A$10="Refined calculation mode",Table22[[#This Row],[input for chronic (refined mode]],Table22[[#This Row],[input for chronic normal mode]])</f>
        <v>0</v>
      </c>
      <c r="P388" s="925" t="str">
        <f>IF(Q388&lt;&gt;0,CONCATENATE(input_values!$AN388,input_values!$AO388,input_values!$AP388),"")</f>
        <v/>
      </c>
      <c r="Q388" s="491">
        <f>IF($V$5=0,0,IF(OR($A$10="Refined calculation mode",Results!$B$62="Show results of IESTI calculation only for crops with GAPs under assessment"),Table22[[#This Row],[Input for IESTI (refined mode)]],Table22[[#This Row],[Input for IESTI normal mode]]))</f>
        <v>0</v>
      </c>
      <c r="R388" s="926" t="str">
        <f>IF(S388&lt;&gt;0,CONCATENATE(input_values!$AW388,input_values!$AX388,input_values!$AY388),"")</f>
        <v/>
      </c>
      <c r="S388" s="492">
        <f>IF($V$5=0,0,IF(OR($A$10="Refined calculation mode",Results!$B$62="Show results of IESTI calculation only for crops with GAPs under assessment"),Table22[[#This Row],[Input for IESTI new (refined mode)]],Table22[[#This Row],[Input for IESTI new normal mode]]))</f>
        <v>0</v>
      </c>
      <c r="T388" s="886"/>
      <c r="U388" s="1432">
        <f>Table22[[#This Row],[MRL/ proposed MRL /CXL
(mg/kg)]]</f>
        <v>0</v>
      </c>
      <c r="V388" s="1433" t="str">
        <f t="shared" si="253"/>
        <v/>
      </c>
      <c r="W388" s="1387">
        <f t="shared" si="254"/>
        <v>1</v>
      </c>
      <c r="X388" s="1387">
        <f t="shared" si="255"/>
        <v>1</v>
      </c>
      <c r="Y388" s="1387">
        <f t="shared" si="256"/>
        <v>1</v>
      </c>
      <c r="Z388" s="1410">
        <v>2</v>
      </c>
      <c r="AA388" s="1387">
        <f t="shared" si="246"/>
        <v>0</v>
      </c>
      <c r="AB388" s="1387">
        <f>IF(Z388=A388,IF(AND(L388="N",Table22[[#This Row],[LOQ_label]]="Y"),AA388,$AA388*$Y388),"")</f>
        <v>0</v>
      </c>
      <c r="AC388" s="1393">
        <f t="shared" si="247"/>
        <v>0</v>
      </c>
      <c r="AD388" s="1393">
        <f>IF(Table22[[#This Row],[Median residue*CF*PeF]]&lt;&gt;"",Table22[[#This Row],[Median residue*CF*PeF]],Table22[[#This Row],[MRL*CF*PeF (chronic)]])</f>
        <v>0</v>
      </c>
      <c r="AE388" s="1393">
        <f t="shared" si="248"/>
        <v>0</v>
      </c>
      <c r="AF388" s="1390" t="str">
        <f t="shared" si="199"/>
        <v>MRL</v>
      </c>
      <c r="AG388" s="1390" t="str">
        <f t="shared" si="249"/>
        <v/>
      </c>
      <c r="AH388" s="1394" t="str">
        <f t="shared" si="201"/>
        <v/>
      </c>
      <c r="AI388" s="1386">
        <v>2</v>
      </c>
      <c r="AJ388" s="1387">
        <f t="shared" si="250"/>
        <v>0</v>
      </c>
      <c r="AK388" s="1387">
        <f>IF(AI388=A388,IF(AND(L388="N",Table22[[#This Row],[LOQ_label]]="Y"),AJ388,$AJ388*$Y388),"")</f>
        <v>0</v>
      </c>
      <c r="AL388" s="1388">
        <f t="shared" si="202"/>
        <v>0</v>
      </c>
      <c r="AM388" s="1393">
        <f>IF(Table22[[#This Row],[Highest residue * CF*PF]]&lt;&gt;"",Table22[[#This Row],[Highest residue * CF*PF]],Table22[[#This Row],[MRL*CF*PF or MRL (if LOQ and not authorised) (acute RA)]])</f>
        <v>0</v>
      </c>
      <c r="AN388" s="1390" t="str">
        <f t="shared" si="203"/>
        <v>MRL</v>
      </c>
      <c r="AO388" s="1390" t="str">
        <f t="shared" si="251"/>
        <v/>
      </c>
      <c r="AP388" s="1404" t="str">
        <f t="shared" si="205"/>
        <v/>
      </c>
      <c r="AQ388" s="1388">
        <f t="shared" si="206"/>
        <v>0</v>
      </c>
      <c r="AR388" s="1388" t="str">
        <f t="shared" si="207"/>
        <v/>
      </c>
      <c r="AS388" s="1388" t="str">
        <f t="shared" si="208"/>
        <v/>
      </c>
      <c r="AT388" s="1388" t="str">
        <f t="shared" si="209"/>
        <v/>
      </c>
      <c r="AU388" s="1393">
        <f t="shared" si="252"/>
        <v>0</v>
      </c>
      <c r="AV388" s="1388">
        <f t="shared" si="211"/>
        <v>0</v>
      </c>
      <c r="AW388" s="1390" t="str">
        <f t="shared" si="212"/>
        <v/>
      </c>
      <c r="AX388" s="1390" t="str">
        <f>IF(AND(AW388&lt;&gt;"",AY388&lt;&gt;""),"*","")</f>
        <v/>
      </c>
      <c r="AY388" s="1394" t="str">
        <f t="shared" si="213"/>
        <v/>
      </c>
      <c r="AZ388" s="1395" t="str">
        <f>IF(Table22[[#This Row],[LOQ_label]]="Y",Table22[[#This Row],[MRL individual commodity]],"")</f>
        <v/>
      </c>
      <c r="BA388" s="1396" t="s">
        <v>1038</v>
      </c>
      <c r="BB388" s="1411" t="str">
        <f>IF(Table22[[#This Row],[LOQ2]]&lt;0,MIN(AZ388:AZ764),"")</f>
        <v/>
      </c>
      <c r="BC388" s="1299"/>
      <c r="BD388" s="1306" t="str">
        <f>IF(Table22[[#This Row],[Chronic RA label]]="","N",IF(Table22[[#This Row],[Chronic RA label]]="LOQ","N",IF(Table22[[#This Row],[Chronic RA label]]="MRL","N","Y")))</f>
        <v>N</v>
      </c>
      <c r="BE388" s="1306" t="str">
        <f>IF(Table22[[#This Row],[Acute RA label]]="","N",IF(Table22[[#This Row],[Acute RA label]]="LOQ","N",IF(Table22[[#This Row],[Acute RA label]]="MRL","N","Y")))</f>
        <v>N</v>
      </c>
      <c r="BF388" s="1306" t="str">
        <f>IF(OR(Table22[[#This Row],[include commodity in Summary_input_values_chronic]]="Y",Table22[[#This Row],[include commodity in Summary_input_values_acute]]="Y"),"Y","N")</f>
        <v>N</v>
      </c>
      <c r="BG388" s="1299"/>
      <c r="BH388" s="1324"/>
    </row>
    <row r="389" spans="1:60" ht="12.75" customHeight="1" outlineLevel="1" x14ac:dyDescent="0.2">
      <c r="A389" s="130">
        <v>2</v>
      </c>
      <c r="B389" s="447">
        <v>1070000</v>
      </c>
      <c r="C389" s="131" t="s">
        <v>813</v>
      </c>
      <c r="D389" s="867"/>
      <c r="E389" s="1219"/>
      <c r="F389" s="867"/>
      <c r="G389" s="869"/>
      <c r="H389" s="863"/>
      <c r="I389" s="868"/>
      <c r="J389" s="870"/>
      <c r="K389" s="865"/>
      <c r="L389" s="872"/>
      <c r="M389" s="872"/>
      <c r="N389" s="925" t="str">
        <f>IF(O389&lt;&gt;0,CONCATENATE(input_values!$AF389,input_values!$AG389,input_values!$AH389),"")</f>
        <v/>
      </c>
      <c r="O389" s="491">
        <f>IF($A$10="Refined calculation mode",Table22[[#This Row],[input for chronic (refined mode]],Table22[[#This Row],[input for chronic normal mode]])</f>
        <v>0</v>
      </c>
      <c r="P389" s="925" t="str">
        <f>IF(Q389&lt;&gt;0,CONCATENATE(input_values!$AN389,input_values!$AO389,input_values!$AP389),"")</f>
        <v/>
      </c>
      <c r="Q389" s="491">
        <f>IF($V$5=0,0,IF(OR($A$10="Refined calculation mode",Results!$B$62="Show results of IESTI calculation only for crops with GAPs under assessment"),Table22[[#This Row],[Input for IESTI (refined mode)]],Table22[[#This Row],[Input for IESTI normal mode]]))</f>
        <v>0</v>
      </c>
      <c r="R389" s="926" t="str">
        <f>IF(S389&lt;&gt;0,CONCATENATE(input_values!$AW389,input_values!$AX389,input_values!$AY389),"")</f>
        <v/>
      </c>
      <c r="S389" s="492">
        <f>IF($V$5=0,0,IF(OR($A$10="Refined calculation mode",Results!$B$62="Show results of IESTI calculation only for crops with GAPs under assessment"),Table22[[#This Row],[Input for IESTI new (refined mode)]],Table22[[#This Row],[Input for IESTI new normal mode]]))</f>
        <v>0</v>
      </c>
      <c r="T389" s="886"/>
      <c r="U389" s="1432">
        <f>Table22[[#This Row],[MRL/ proposed MRL /CXL
(mg/kg)]]</f>
        <v>0</v>
      </c>
      <c r="V389" s="1433" t="str">
        <f t="shared" si="253"/>
        <v/>
      </c>
      <c r="W389" s="1387">
        <f t="shared" si="254"/>
        <v>1</v>
      </c>
      <c r="X389" s="1387">
        <f t="shared" si="255"/>
        <v>1</v>
      </c>
      <c r="Y389" s="1387">
        <f t="shared" si="256"/>
        <v>1</v>
      </c>
      <c r="Z389" s="1410">
        <v>2</v>
      </c>
      <c r="AA389" s="1387">
        <f t="shared" si="246"/>
        <v>0</v>
      </c>
      <c r="AB389" s="1387">
        <f>IF(Z389=A389,IF(AND(L389="N",Table22[[#This Row],[LOQ_label]]="Y"),AA389,$AA389*$Y389),"")</f>
        <v>0</v>
      </c>
      <c r="AC389" s="1393">
        <f t="shared" si="247"/>
        <v>0</v>
      </c>
      <c r="AD389" s="1393">
        <f>IF(Table22[[#This Row],[Median residue*CF*PeF]]&lt;&gt;"",Table22[[#This Row],[Median residue*CF*PeF]],Table22[[#This Row],[MRL*CF*PeF (chronic)]])</f>
        <v>0</v>
      </c>
      <c r="AE389" s="1393">
        <f t="shared" si="248"/>
        <v>0</v>
      </c>
      <c r="AF389" s="1390" t="str">
        <f t="shared" si="199"/>
        <v>MRL</v>
      </c>
      <c r="AG389" s="1390" t="str">
        <f t="shared" si="249"/>
        <v/>
      </c>
      <c r="AH389" s="1394" t="str">
        <f t="shared" si="201"/>
        <v/>
      </c>
      <c r="AI389" s="1386">
        <v>2</v>
      </c>
      <c r="AJ389" s="1387">
        <f t="shared" si="250"/>
        <v>0</v>
      </c>
      <c r="AK389" s="1387">
        <f>IF(AI389=A389,IF(AND(L389="N",Table22[[#This Row],[LOQ_label]]="Y"),AJ389,$AJ389*$Y389),"")</f>
        <v>0</v>
      </c>
      <c r="AL389" s="1388">
        <f t="shared" si="202"/>
        <v>0</v>
      </c>
      <c r="AM389" s="1393">
        <f>IF(Table22[[#This Row],[Highest residue * CF*PF]]&lt;&gt;"",Table22[[#This Row],[Highest residue * CF*PF]],Table22[[#This Row],[MRL*CF*PF or MRL (if LOQ and not authorised) (acute RA)]])</f>
        <v>0</v>
      </c>
      <c r="AN389" s="1390" t="str">
        <f t="shared" si="203"/>
        <v>MRL</v>
      </c>
      <c r="AO389" s="1390" t="str">
        <f t="shared" si="251"/>
        <v/>
      </c>
      <c r="AP389" s="1404" t="str">
        <f t="shared" si="205"/>
        <v/>
      </c>
      <c r="AQ389" s="1388">
        <f t="shared" si="206"/>
        <v>0</v>
      </c>
      <c r="AR389" s="1388" t="str">
        <f t="shared" si="207"/>
        <v/>
      </c>
      <c r="AS389" s="1388" t="str">
        <f t="shared" si="208"/>
        <v/>
      </c>
      <c r="AT389" s="1388" t="str">
        <f t="shared" si="209"/>
        <v/>
      </c>
      <c r="AU389" s="1393">
        <f t="shared" si="252"/>
        <v>0</v>
      </c>
      <c r="AV389" s="1388">
        <f t="shared" si="211"/>
        <v>0</v>
      </c>
      <c r="AW389" s="1390" t="str">
        <f t="shared" si="212"/>
        <v/>
      </c>
      <c r="AX389" s="1390" t="str">
        <f>IF(AND(AW389&lt;&gt;"",AY389&lt;&gt;""),"*","")</f>
        <v/>
      </c>
      <c r="AY389" s="1394" t="str">
        <f t="shared" si="213"/>
        <v/>
      </c>
      <c r="AZ389" s="1395" t="str">
        <f>IF(Table22[[#This Row],[LOQ_label]]="Y",Table22[[#This Row],[MRL individual commodity]],"")</f>
        <v/>
      </c>
      <c r="BA389" s="1396" t="s">
        <v>1038</v>
      </c>
      <c r="BB389" s="1411" t="str">
        <f>IF(Table22[[#This Row],[LOQ2]]&lt;0,MIN(AZ389:AZ765),"")</f>
        <v/>
      </c>
      <c r="BC389" s="1299"/>
      <c r="BD389" s="1306" t="str">
        <f>IF(Table22[[#This Row],[Chronic RA label]]="","N",IF(Table22[[#This Row],[Chronic RA label]]="LOQ","N",IF(Table22[[#This Row],[Chronic RA label]]="MRL","N","Y")))</f>
        <v>N</v>
      </c>
      <c r="BE389" s="1306" t="str">
        <f>IF(Table22[[#This Row],[Acute RA label]]="","N",IF(Table22[[#This Row],[Acute RA label]]="LOQ","N",IF(Table22[[#This Row],[Acute RA label]]="MRL","N","Y")))</f>
        <v>N</v>
      </c>
      <c r="BF389" s="1306" t="str">
        <f>IF(OR(Table22[[#This Row],[include commodity in Summary_input_values_chronic]]="Y",Table22[[#This Row],[include commodity in Summary_input_values_acute]]="Y"),"Y","N")</f>
        <v>N</v>
      </c>
      <c r="BG389" s="1299"/>
      <c r="BH389" s="1324"/>
    </row>
    <row r="390" spans="1:60" ht="12.75" customHeight="1" x14ac:dyDescent="0.2">
      <c r="A390" s="126">
        <v>1</v>
      </c>
      <c r="B390" s="446">
        <v>1100000</v>
      </c>
      <c r="C390" s="127" t="s">
        <v>814</v>
      </c>
      <c r="D390" s="876"/>
      <c r="E390" s="877"/>
      <c r="F390" s="878"/>
      <c r="G390" s="877"/>
      <c r="H390" s="877"/>
      <c r="I390" s="877"/>
      <c r="J390" s="864"/>
      <c r="K390" s="865"/>
      <c r="L390" s="865"/>
      <c r="M390" s="471"/>
      <c r="N390" s="473"/>
      <c r="O390" s="474"/>
      <c r="P390" s="473"/>
      <c r="Q390" s="474"/>
      <c r="R390" s="473"/>
      <c r="S390" s="474"/>
      <c r="T390" s="887"/>
      <c r="U390" s="1415"/>
      <c r="V390" s="1380"/>
      <c r="W390" s="1381"/>
      <c r="X390" s="1381"/>
      <c r="Y390" s="1381"/>
      <c r="Z390" s="1382"/>
      <c r="AA390" s="1381" t="str">
        <f t="shared" si="246"/>
        <v/>
      </c>
      <c r="AB390" s="1440" t="str">
        <f>IF(Z390=A390,IF(AND(L390="N",Table22[[#This Row],[LOQ_label]]="Y"),AA390,$AA390*$Y390),"")</f>
        <v/>
      </c>
      <c r="AC390" s="1383" t="str">
        <f t="shared" si="247"/>
        <v/>
      </c>
      <c r="AD390" s="1383" t="str">
        <f>IF(Table22[[#This Row],[Median residue*CF*PeF]]&lt;&gt;"",Table22[[#This Row],[Median residue*CF*PeF]],Table22[[#This Row],[MRL*CF*PeF (chronic)]])</f>
        <v/>
      </c>
      <c r="AE390" s="1383">
        <f t="shared" si="248"/>
        <v>0</v>
      </c>
      <c r="AF390" s="1385" t="str">
        <f t="shared" si="199"/>
        <v/>
      </c>
      <c r="AG390" s="1385" t="str">
        <f t="shared" si="249"/>
        <v/>
      </c>
      <c r="AH390" s="1270" t="str">
        <f t="shared" si="201"/>
        <v/>
      </c>
      <c r="AI390" s="1441"/>
      <c r="AJ390" s="1381" t="str">
        <f t="shared" si="250"/>
        <v/>
      </c>
      <c r="AK390" s="1381" t="str">
        <f>IF(AI390=A390,IF(AND(L390="N",Table22[[#This Row],[LOQ_label]]="Y"),AJ390,$AJ390*$Y390),"")</f>
        <v/>
      </c>
      <c r="AL390" s="1384" t="str">
        <f t="shared" si="202"/>
        <v/>
      </c>
      <c r="AM390" s="1383" t="str">
        <f>IF(Table22[[#This Row],[Highest residue * CF*PF]]&lt;&gt;"",Table22[[#This Row],[Highest residue * CF*PF]],Table22[[#This Row],[MRL*CF*PF or MRL (if LOQ and not authorised) (acute RA)]])</f>
        <v/>
      </c>
      <c r="AN390" s="1385" t="str">
        <f t="shared" si="203"/>
        <v/>
      </c>
      <c r="AO390" s="1385" t="str">
        <f t="shared" si="251"/>
        <v/>
      </c>
      <c r="AP390" s="1442" t="str">
        <f t="shared" si="205"/>
        <v/>
      </c>
      <c r="AQ390" s="1384">
        <f t="shared" si="206"/>
        <v>0</v>
      </c>
      <c r="AR390" s="1384" t="str">
        <f t="shared" si="207"/>
        <v/>
      </c>
      <c r="AS390" s="1384" t="str">
        <f t="shared" si="208"/>
        <v/>
      </c>
      <c r="AT390" s="1384" t="str">
        <f t="shared" si="209"/>
        <v/>
      </c>
      <c r="AU390" s="1383" t="str">
        <f t="shared" si="252"/>
        <v/>
      </c>
      <c r="AV390" s="1384">
        <f t="shared" si="211"/>
        <v>0</v>
      </c>
      <c r="AW390" s="1385" t="str">
        <f t="shared" si="212"/>
        <v/>
      </c>
      <c r="AX390" s="1385" t="str">
        <f>IF(AND(AW390&lt;&gt;"",AY390&lt;&gt;""),"*","")</f>
        <v/>
      </c>
      <c r="AY390" s="1270" t="str">
        <f t="shared" si="213"/>
        <v/>
      </c>
      <c r="AZ390" s="1443">
        <f>IF(Table22[[#This Row],[LOQ_label]]="Y",Table22[[#This Row],[MRL individual commodity]],"")</f>
        <v>0</v>
      </c>
      <c r="BA390" s="1272"/>
      <c r="BB390" s="1411" t="str">
        <f>IF(Table22[[#This Row],[LOQ2]]&lt;0,MIN(AZ390:AZ766),"")</f>
        <v/>
      </c>
      <c r="BC390" s="1299"/>
      <c r="BD390" s="1306" t="str">
        <f>IF(Table22[[#This Row],[Chronic RA label]]="","N",IF(Table22[[#This Row],[Chronic RA label]]="LOQ","N",IF(Table22[[#This Row],[Chronic RA label]]="MRL","N","Y")))</f>
        <v>N</v>
      </c>
      <c r="BE390" s="1306" t="str">
        <f>IF(Table22[[#This Row],[Acute RA label]]="","N",IF(Table22[[#This Row],[Acute RA label]]="LOQ","N",IF(Table22[[#This Row],[Acute RA label]]="MRL","N","Y")))</f>
        <v>N</v>
      </c>
      <c r="BF390" s="1306" t="str">
        <f>IF(OR(Table22[[#This Row],[include commodity in Summary_input_values_chronic]]="Y",Table22[[#This Row],[include commodity in Summary_input_values_acute]]="Y"),"Y","N")</f>
        <v>N</v>
      </c>
      <c r="BG390" s="1299"/>
      <c r="BH390" s="1324"/>
    </row>
    <row r="391" spans="1:60" ht="12.75" customHeight="1" x14ac:dyDescent="0.2">
      <c r="A391" s="134" t="s">
        <v>456</v>
      </c>
      <c r="B391" s="450"/>
      <c r="C391" s="135"/>
      <c r="D391" s="876"/>
      <c r="E391" s="877"/>
      <c r="F391" s="1253"/>
      <c r="G391" s="877"/>
      <c r="H391" s="877"/>
      <c r="I391" s="877"/>
      <c r="J391" s="864"/>
      <c r="K391" s="865"/>
      <c r="L391" s="865"/>
      <c r="M391" s="471"/>
      <c r="N391" s="473"/>
      <c r="O391" s="474"/>
      <c r="P391" s="473"/>
      <c r="Q391" s="474"/>
      <c r="R391" s="473"/>
      <c r="S391" s="474"/>
      <c r="T391" s="1254"/>
      <c r="U391" s="1383"/>
      <c r="V391" s="1444"/>
      <c r="W391" s="1379"/>
      <c r="X391" s="1379"/>
      <c r="Y391" s="1379"/>
      <c r="Z391" s="1445"/>
      <c r="AA391" s="1445"/>
      <c r="AB391" s="1379"/>
      <c r="AC391" s="1383"/>
      <c r="AD391" s="1383"/>
      <c r="AE391" s="1383"/>
      <c r="AF391" s="1385"/>
      <c r="AG391" s="1385"/>
      <c r="AH391" s="1270" t="str">
        <f t="shared" si="201"/>
        <v/>
      </c>
      <c r="AI391" s="1445"/>
      <c r="AJ391" s="1379"/>
      <c r="AK391" s="1379"/>
      <c r="AL391" s="1384">
        <f t="shared" si="202"/>
        <v>0</v>
      </c>
      <c r="AM391" s="1383">
        <f>IF(Table22[[#This Row],[Highest residue * CF*PF]]&lt;&gt;"",Table22[[#This Row],[Highest residue * CF*PF]],Table22[[#This Row],[MRL*CF*PF or MRL (if LOQ and not authorised) (acute RA)]])</f>
        <v>0</v>
      </c>
      <c r="AN391" s="1385" t="str">
        <f t="shared" si="203"/>
        <v>LOQ</v>
      </c>
      <c r="AO391" s="1385"/>
      <c r="AP391" s="1270" t="str">
        <f t="shared" si="205"/>
        <v/>
      </c>
      <c r="AQ391" s="1384">
        <f t="shared" si="206"/>
        <v>0</v>
      </c>
      <c r="AR391" s="1384" t="str">
        <f t="shared" si="207"/>
        <v/>
      </c>
      <c r="AS391" s="1384" t="str">
        <f t="shared" si="208"/>
        <v/>
      </c>
      <c r="AT391" s="1384" t="str">
        <f t="shared" si="209"/>
        <v/>
      </c>
      <c r="AU391" s="1383"/>
      <c r="AV391" s="1383"/>
      <c r="AW391" s="1385" t="str">
        <f t="shared" si="212"/>
        <v/>
      </c>
      <c r="AX391" s="1385"/>
      <c r="AY391" s="1270" t="str">
        <f t="shared" si="213"/>
        <v/>
      </c>
      <c r="AZ391" s="1446">
        <f>IF(Table22[[#This Row],[LOQ_label]]="Y",Table22[[#This Row],[MRL individual commodity]],"")</f>
        <v>0</v>
      </c>
      <c r="BA391" s="1272"/>
      <c r="BB391" s="1411" t="str">
        <f>IF(Table22[[#This Row],[LOQ2]]&lt;0,MIN(AZ391:AZ767),"")</f>
        <v/>
      </c>
      <c r="BC391" s="1299"/>
      <c r="BD391" s="1306" t="str">
        <f>IF(Table22[[#This Row],[Chronic RA label]]="","N",IF(Table22[[#This Row],[Chronic RA label]]="LOQ","N",IF(Table22[[#This Row],[Chronic RA label]]="MRL","N","Y")))</f>
        <v>N</v>
      </c>
      <c r="BE391" s="1306" t="str">
        <f>IF(Table22[[#This Row],[Acute RA label]]="","N",IF(Table22[[#This Row],[Acute RA label]]="LOQ","N",IF(Table22[[#This Row],[Acute RA label]]="MRL","N","Y")))</f>
        <v>N</v>
      </c>
      <c r="BF391" s="1306" t="str">
        <f>IF(OR(Table22[[#This Row],[include commodity in Summary_input_values_chronic]]="Y",Table22[[#This Row],[include commodity in Summary_input_values_acute]]="Y"),"Y","N")</f>
        <v>N</v>
      </c>
      <c r="BG391" s="1299"/>
      <c r="BH391" s="1324"/>
    </row>
    <row r="392" spans="1:60" s="124" customFormat="1" ht="30" customHeight="1" x14ac:dyDescent="0.2">
      <c r="A392" s="136"/>
      <c r="B392" s="137"/>
      <c r="C392" s="137"/>
      <c r="D392" s="138"/>
      <c r="E392" s="139"/>
      <c r="F392" s="148"/>
      <c r="G392" s="138"/>
      <c r="H392" s="138"/>
      <c r="I392" s="140"/>
      <c r="J392" s="141"/>
      <c r="K392" s="142"/>
      <c r="L392" s="142"/>
      <c r="M392" s="142"/>
      <c r="N392" s="142"/>
      <c r="O392" s="142"/>
      <c r="P392" s="142"/>
      <c r="Q392" s="142"/>
      <c r="R392" s="142"/>
      <c r="S392" s="143"/>
      <c r="T392" s="60"/>
      <c r="U392" s="62"/>
      <c r="V392" s="61"/>
      <c r="W392" s="61"/>
      <c r="X392" s="61"/>
      <c r="Y392" s="62"/>
      <c r="Z392" s="60"/>
      <c r="AA392" s="61"/>
      <c r="AB392" s="144"/>
      <c r="AC392" s="144"/>
      <c r="AD392" s="144"/>
      <c r="AE392" s="145"/>
      <c r="AF392" s="145"/>
      <c r="AG392" s="554"/>
      <c r="AH392" s="555"/>
      <c r="AI392" s="556"/>
      <c r="AJ392" s="556"/>
      <c r="AK392" s="554"/>
      <c r="AL392" s="144"/>
      <c r="AM392" s="144"/>
      <c r="AN392" s="145"/>
      <c r="AO392" s="145"/>
      <c r="AP392" s="145"/>
      <c r="AQ392" s="143"/>
      <c r="AR392" s="143"/>
      <c r="AS392" s="145"/>
      <c r="AT392" s="145"/>
      <c r="AU392" s="145"/>
      <c r="AV392" s="136"/>
      <c r="AW392" s="146"/>
    </row>
    <row r="393" spans="1:60" s="124" customFormat="1" hidden="1" x14ac:dyDescent="0.2">
      <c r="A393" s="136"/>
      <c r="B393" s="147"/>
      <c r="C393" s="147"/>
      <c r="D393" s="148"/>
      <c r="E393" s="149"/>
      <c r="F393" s="148"/>
      <c r="G393" s="148"/>
      <c r="H393" s="148"/>
      <c r="I393" s="150"/>
      <c r="J393" s="151"/>
      <c r="K393" s="152"/>
      <c r="L393" s="152"/>
      <c r="M393" s="152"/>
      <c r="N393" s="152"/>
      <c r="O393" s="152" t="str">
        <f>IF(P393&lt;&gt;0,CONCATENATE(input_values!$AN393,input_values!$AO393,input_values!$AP393),"")</f>
        <v/>
      </c>
      <c r="P393" s="152"/>
      <c r="Q393" s="152" t="str">
        <f>IF(P393&lt;&gt;0,CONCATENATE(input_values!$AS393,input_values!$AT393,input_values!$AU393),"")</f>
        <v/>
      </c>
      <c r="R393" s="152"/>
      <c r="S393" s="153"/>
      <c r="T393" s="58"/>
      <c r="U393" s="384"/>
      <c r="V393" s="59"/>
      <c r="W393" s="59"/>
      <c r="X393" s="59"/>
      <c r="Y393" s="63"/>
      <c r="Z393" s="58"/>
      <c r="AA393" s="59"/>
      <c r="AB393" s="154"/>
      <c r="AC393" s="154"/>
      <c r="AD393" s="154"/>
      <c r="AE393" s="155"/>
      <c r="AF393" s="155"/>
      <c r="AG393" s="554"/>
      <c r="AH393" s="557"/>
      <c r="AI393" s="556"/>
      <c r="AJ393" s="556"/>
      <c r="AK393" s="554"/>
      <c r="AL393" s="154"/>
      <c r="AM393" s="154"/>
      <c r="AN393" s="155"/>
      <c r="AO393" s="155"/>
      <c r="AP393" s="155"/>
      <c r="AQ393" s="153"/>
      <c r="AR393" s="153"/>
      <c r="AS393" s="155"/>
      <c r="AT393" s="155"/>
      <c r="AU393" s="155"/>
      <c r="AV393" s="382"/>
      <c r="AW393" s="156"/>
    </row>
    <row r="394" spans="1:60" s="124" customFormat="1" hidden="1" x14ac:dyDescent="0.2">
      <c r="A394" s="136"/>
      <c r="B394" s="147"/>
      <c r="C394" s="147"/>
      <c r="D394" s="148"/>
      <c r="E394" s="149"/>
      <c r="F394" s="148"/>
      <c r="G394" s="148"/>
      <c r="H394" s="148"/>
      <c r="I394" s="150"/>
      <c r="J394" s="151"/>
      <c r="K394" s="152"/>
      <c r="L394" s="152"/>
      <c r="M394" s="152"/>
      <c r="N394" s="152"/>
      <c r="O394" s="152" t="str">
        <f>IF(P394&lt;&gt;0,CONCATENATE(input_values!$AN394,input_values!$AO394,input_values!$AP394),"")</f>
        <v/>
      </c>
      <c r="P394" s="152"/>
      <c r="Q394" s="152" t="str">
        <f>IF(P394&lt;&gt;0,CONCATENATE(input_values!$AS394,input_values!$AT394,input_values!$AU394),"")</f>
        <v/>
      </c>
      <c r="R394" s="152"/>
      <c r="S394" s="153"/>
      <c r="T394" s="58"/>
      <c r="U394" s="384"/>
      <c r="V394" s="59"/>
      <c r="W394" s="59"/>
      <c r="X394" s="59"/>
      <c r="Y394" s="63"/>
      <c r="Z394" s="58"/>
      <c r="AA394" s="59"/>
      <c r="AB394" s="154"/>
      <c r="AC394" s="154"/>
      <c r="AD394" s="154"/>
      <c r="AE394" s="155"/>
      <c r="AF394" s="155"/>
      <c r="AG394" s="554"/>
      <c r="AH394" s="557"/>
      <c r="AI394" s="556"/>
      <c r="AJ394" s="556"/>
      <c r="AK394" s="554"/>
      <c r="AL394" s="154"/>
      <c r="AM394" s="154"/>
      <c r="AN394" s="155"/>
      <c r="AO394" s="155"/>
      <c r="AP394" s="155"/>
      <c r="AQ394" s="153"/>
      <c r="AR394" s="153"/>
      <c r="AS394" s="155"/>
      <c r="AT394" s="155"/>
      <c r="AU394" s="155"/>
      <c r="AV394" s="382"/>
      <c r="AW394" s="156"/>
    </row>
    <row r="395" spans="1:60" s="124" customFormat="1" hidden="1" x14ac:dyDescent="0.2">
      <c r="A395" s="136"/>
      <c r="B395" s="147"/>
      <c r="C395" s="147"/>
      <c r="D395" s="148"/>
      <c r="E395" s="149"/>
      <c r="F395" s="148"/>
      <c r="G395" s="148"/>
      <c r="H395" s="148"/>
      <c r="I395" s="150"/>
      <c r="J395" s="151"/>
      <c r="K395" s="152"/>
      <c r="L395" s="152"/>
      <c r="M395" s="152"/>
      <c r="N395" s="152"/>
      <c r="O395" s="152" t="str">
        <f>IF(P395&lt;&gt;0,CONCATENATE(input_values!$AN395,input_values!$AO395,input_values!$AP395),"")</f>
        <v/>
      </c>
      <c r="P395" s="152"/>
      <c r="Q395" s="152" t="str">
        <f>IF(P395&lt;&gt;0,CONCATENATE(input_values!$AS395,input_values!$AT395,input_values!$AU395),"")</f>
        <v/>
      </c>
      <c r="R395" s="152"/>
      <c r="S395" s="153"/>
      <c r="T395" s="58"/>
      <c r="U395" s="384"/>
      <c r="V395" s="59"/>
      <c r="W395" s="59"/>
      <c r="X395" s="59"/>
      <c r="Y395" s="63"/>
      <c r="Z395" s="58"/>
      <c r="AA395" s="59"/>
      <c r="AB395" s="154"/>
      <c r="AC395" s="154"/>
      <c r="AD395" s="154"/>
      <c r="AE395" s="155"/>
      <c r="AF395" s="155"/>
      <c r="AG395" s="554"/>
      <c r="AH395" s="557"/>
      <c r="AI395" s="556"/>
      <c r="AJ395" s="556"/>
      <c r="AK395" s="554"/>
      <c r="AL395" s="154"/>
      <c r="AM395" s="154"/>
      <c r="AN395" s="155"/>
      <c r="AO395" s="155"/>
      <c r="AP395" s="155"/>
      <c r="AQ395" s="153"/>
      <c r="AR395" s="153"/>
      <c r="AS395" s="155"/>
      <c r="AT395" s="155"/>
      <c r="AU395" s="155"/>
      <c r="AV395" s="382"/>
      <c r="AW395" s="156"/>
    </row>
    <row r="396" spans="1:60" s="124" customFormat="1" hidden="1" x14ac:dyDescent="0.2">
      <c r="A396" s="136"/>
      <c r="B396" s="147"/>
      <c r="C396" s="147"/>
      <c r="D396" s="148"/>
      <c r="E396" s="149"/>
      <c r="F396" s="148"/>
      <c r="G396" s="148"/>
      <c r="H396" s="148"/>
      <c r="I396" s="150"/>
      <c r="J396" s="151"/>
      <c r="K396" s="152"/>
      <c r="L396" s="152"/>
      <c r="M396" s="152"/>
      <c r="N396" s="152"/>
      <c r="O396" s="152" t="str">
        <f>IF(P396&lt;&gt;0,CONCATENATE(input_values!$AN396,input_values!$AO396,input_values!$AP396),"")</f>
        <v/>
      </c>
      <c r="P396" s="152"/>
      <c r="Q396" s="152" t="str">
        <f>IF(P396&lt;&gt;0,CONCATENATE(input_values!$AS396,input_values!$AT396,input_values!$AU396),"")</f>
        <v/>
      </c>
      <c r="R396" s="152"/>
      <c r="S396" s="153"/>
      <c r="T396" s="58"/>
      <c r="U396" s="384"/>
      <c r="V396" s="59"/>
      <c r="W396" s="59"/>
      <c r="X396" s="59"/>
      <c r="Y396" s="63"/>
      <c r="Z396" s="58"/>
      <c r="AA396" s="59"/>
      <c r="AB396" s="154"/>
      <c r="AC396" s="154"/>
      <c r="AD396" s="154"/>
      <c r="AE396" s="155"/>
      <c r="AF396" s="155"/>
      <c r="AG396" s="554"/>
      <c r="AH396" s="557"/>
      <c r="AI396" s="556"/>
      <c r="AJ396" s="556"/>
      <c r="AK396" s="554"/>
      <c r="AL396" s="154"/>
      <c r="AM396" s="154"/>
      <c r="AN396" s="155"/>
      <c r="AO396" s="155"/>
      <c r="AP396" s="155"/>
      <c r="AQ396" s="153"/>
      <c r="AR396" s="153"/>
      <c r="AS396" s="155"/>
      <c r="AT396" s="155"/>
      <c r="AU396" s="155"/>
      <c r="AV396" s="382"/>
      <c r="AW396" s="156"/>
    </row>
    <row r="397" spans="1:60" s="124" customFormat="1" hidden="1" x14ac:dyDescent="0.2">
      <c r="A397" s="136"/>
      <c r="B397" s="147"/>
      <c r="C397" s="147"/>
      <c r="D397" s="148"/>
      <c r="E397" s="149"/>
      <c r="F397" s="148"/>
      <c r="G397" s="148"/>
      <c r="H397" s="148"/>
      <c r="I397" s="150"/>
      <c r="J397" s="151"/>
      <c r="K397" s="152"/>
      <c r="L397" s="152"/>
      <c r="M397" s="152"/>
      <c r="N397" s="152"/>
      <c r="O397" s="152" t="str">
        <f>IF(P397&lt;&gt;0,CONCATENATE(input_values!$AN397,input_values!$AO397,input_values!$AP397),"")</f>
        <v/>
      </c>
      <c r="P397" s="152"/>
      <c r="Q397" s="152" t="str">
        <f>IF(P397&lt;&gt;0,CONCATENATE(input_values!$AS397,input_values!$AT397,input_values!$AU397),"")</f>
        <v/>
      </c>
      <c r="R397" s="152"/>
      <c r="S397" s="153"/>
      <c r="T397" s="58"/>
      <c r="U397" s="384"/>
      <c r="V397" s="59"/>
      <c r="W397" s="59"/>
      <c r="X397" s="59"/>
      <c r="Y397" s="63"/>
      <c r="Z397" s="58"/>
      <c r="AA397" s="59"/>
      <c r="AB397" s="154"/>
      <c r="AC397" s="154"/>
      <c r="AD397" s="154"/>
      <c r="AE397" s="155"/>
      <c r="AF397" s="155"/>
      <c r="AG397" s="554"/>
      <c r="AH397" s="557"/>
      <c r="AI397" s="556"/>
      <c r="AJ397" s="556"/>
      <c r="AK397" s="554"/>
      <c r="AL397" s="154"/>
      <c r="AM397" s="154"/>
      <c r="AN397" s="155"/>
      <c r="AO397" s="155"/>
      <c r="AP397" s="155"/>
      <c r="AQ397" s="153"/>
      <c r="AR397" s="153"/>
      <c r="AS397" s="155"/>
      <c r="AT397" s="155"/>
      <c r="AU397" s="155"/>
      <c r="AV397" s="382"/>
      <c r="AW397" s="156"/>
    </row>
    <row r="398" spans="1:60" s="124" customFormat="1" hidden="1" x14ac:dyDescent="0.2">
      <c r="A398" s="136"/>
      <c r="B398" s="147"/>
      <c r="C398" s="147"/>
      <c r="D398" s="148"/>
      <c r="E398" s="149"/>
      <c r="F398" s="148"/>
      <c r="G398" s="148"/>
      <c r="H398" s="148"/>
      <c r="I398" s="150"/>
      <c r="J398" s="151"/>
      <c r="K398" s="152"/>
      <c r="L398" s="152"/>
      <c r="M398" s="152"/>
      <c r="N398" s="152"/>
      <c r="O398" s="152" t="str">
        <f>IF(P398&lt;&gt;0,CONCATENATE(input_values!$AN398,input_values!$AO398,input_values!$AP398),"")</f>
        <v/>
      </c>
      <c r="P398" s="152"/>
      <c r="Q398" s="152" t="str">
        <f>IF(P398&lt;&gt;0,CONCATENATE(input_values!$AS398,input_values!$AT398,input_values!$AU398),"")</f>
        <v/>
      </c>
      <c r="R398" s="152"/>
      <c r="S398" s="153"/>
      <c r="T398" s="58"/>
      <c r="U398" s="384"/>
      <c r="V398" s="59"/>
      <c r="W398" s="59"/>
      <c r="X398" s="59"/>
      <c r="Y398" s="63"/>
      <c r="Z398" s="58"/>
      <c r="AA398" s="59"/>
      <c r="AB398" s="154"/>
      <c r="AC398" s="154"/>
      <c r="AD398" s="154"/>
      <c r="AE398" s="155"/>
      <c r="AF398" s="155"/>
      <c r="AG398" s="554"/>
      <c r="AH398" s="557"/>
      <c r="AI398" s="556"/>
      <c r="AJ398" s="556"/>
      <c r="AK398" s="554"/>
      <c r="AL398" s="154"/>
      <c r="AM398" s="154"/>
      <c r="AN398" s="155"/>
      <c r="AO398" s="155"/>
      <c r="AP398" s="155"/>
      <c r="AQ398" s="153"/>
      <c r="AR398" s="153"/>
      <c r="AS398" s="155"/>
      <c r="AT398" s="155"/>
      <c r="AU398" s="155"/>
      <c r="AV398" s="382"/>
      <c r="AW398" s="156"/>
    </row>
    <row r="399" spans="1:60" s="124" customFormat="1" hidden="1" x14ac:dyDescent="0.2">
      <c r="A399" s="136"/>
      <c r="B399" s="147"/>
      <c r="C399" s="147"/>
      <c r="D399" s="148"/>
      <c r="E399" s="149"/>
      <c r="F399" s="148"/>
      <c r="G399" s="148"/>
      <c r="H399" s="148"/>
      <c r="I399" s="150"/>
      <c r="J399" s="151"/>
      <c r="K399" s="152"/>
      <c r="L399" s="152"/>
      <c r="M399" s="152"/>
      <c r="N399" s="152"/>
      <c r="O399" s="152" t="str">
        <f>IF(P399&lt;&gt;0,CONCATENATE(input_values!$AN399,input_values!$AO399,input_values!$AP399),"")</f>
        <v/>
      </c>
      <c r="P399" s="152"/>
      <c r="Q399" s="152" t="str">
        <f>IF(P399&lt;&gt;0,CONCATENATE(input_values!$AS399,input_values!$AT399,input_values!$AU399),"")</f>
        <v/>
      </c>
      <c r="R399" s="152"/>
      <c r="S399" s="153"/>
      <c r="T399" s="58"/>
      <c r="U399" s="384"/>
      <c r="V399" s="59"/>
      <c r="W399" s="59"/>
      <c r="X399" s="59"/>
      <c r="Y399" s="63"/>
      <c r="Z399" s="58"/>
      <c r="AA399" s="59"/>
      <c r="AB399" s="154"/>
      <c r="AC399" s="154"/>
      <c r="AD399" s="154"/>
      <c r="AE399" s="155"/>
      <c r="AF399" s="155"/>
      <c r="AG399" s="554"/>
      <c r="AH399" s="557"/>
      <c r="AI399" s="556"/>
      <c r="AJ399" s="556"/>
      <c r="AK399" s="554"/>
      <c r="AL399" s="154"/>
      <c r="AM399" s="154"/>
      <c r="AN399" s="155"/>
      <c r="AO399" s="155"/>
      <c r="AP399" s="155"/>
      <c r="AQ399" s="153"/>
      <c r="AR399" s="153"/>
      <c r="AS399" s="155"/>
      <c r="AT399" s="155"/>
      <c r="AU399" s="155"/>
      <c r="AV399" s="382"/>
      <c r="AW399" s="156"/>
    </row>
    <row r="400" spans="1:60" s="124" customFormat="1" hidden="1" x14ac:dyDescent="0.2">
      <c r="A400" s="136"/>
      <c r="B400" s="147"/>
      <c r="C400" s="147"/>
      <c r="D400" s="148"/>
      <c r="E400" s="149"/>
      <c r="F400" s="148"/>
      <c r="G400" s="148"/>
      <c r="H400" s="148"/>
      <c r="I400" s="150"/>
      <c r="J400" s="151"/>
      <c r="K400" s="152"/>
      <c r="L400" s="152"/>
      <c r="M400" s="152"/>
      <c r="N400" s="152"/>
      <c r="O400" s="152" t="str">
        <f>IF(P400&lt;&gt;0,CONCATENATE(input_values!$AN400,input_values!$AO400,input_values!$AP400),"")</f>
        <v/>
      </c>
      <c r="P400" s="152"/>
      <c r="Q400" s="152" t="str">
        <f>IF(P400&lt;&gt;0,CONCATENATE(input_values!$AS400,input_values!$AT400,input_values!$AU400),"")</f>
        <v/>
      </c>
      <c r="R400" s="152"/>
      <c r="S400" s="153"/>
      <c r="T400" s="58"/>
      <c r="U400" s="384"/>
      <c r="V400" s="59"/>
      <c r="W400" s="59"/>
      <c r="X400" s="59"/>
      <c r="Y400" s="63"/>
      <c r="Z400" s="58"/>
      <c r="AA400" s="59"/>
      <c r="AB400" s="154"/>
      <c r="AC400" s="154"/>
      <c r="AD400" s="154"/>
      <c r="AE400" s="155"/>
      <c r="AF400" s="155"/>
      <c r="AG400" s="554"/>
      <c r="AH400" s="557"/>
      <c r="AI400" s="556"/>
      <c r="AJ400" s="556"/>
      <c r="AK400" s="554"/>
      <c r="AL400" s="154"/>
      <c r="AM400" s="154"/>
      <c r="AN400" s="155"/>
      <c r="AO400" s="155"/>
      <c r="AP400" s="155"/>
      <c r="AQ400" s="153"/>
      <c r="AR400" s="153"/>
      <c r="AS400" s="155"/>
      <c r="AT400" s="155"/>
      <c r="AU400" s="155"/>
      <c r="AV400" s="382"/>
      <c r="AW400" s="156"/>
    </row>
    <row r="401" spans="1:65" s="124" customFormat="1" hidden="1" x14ac:dyDescent="0.2">
      <c r="A401" s="136"/>
      <c r="B401" s="147"/>
      <c r="C401" s="147"/>
      <c r="D401" s="148"/>
      <c r="E401" s="149"/>
      <c r="F401" s="148"/>
      <c r="G401" s="148"/>
      <c r="H401" s="148"/>
      <c r="I401" s="150"/>
      <c r="J401" s="151"/>
      <c r="K401" s="152"/>
      <c r="L401" s="152"/>
      <c r="M401" s="152"/>
      <c r="N401" s="152"/>
      <c r="O401" s="152" t="str">
        <f>IF(P401&lt;&gt;0,CONCATENATE(input_values!$AN401,input_values!$AO401,input_values!$AP401),"")</f>
        <v/>
      </c>
      <c r="P401" s="152"/>
      <c r="Q401" s="152" t="str">
        <f>IF(P401&lt;&gt;0,CONCATENATE(input_values!$AS401,input_values!$AT401,input_values!$AU401),"")</f>
        <v/>
      </c>
      <c r="R401" s="152"/>
      <c r="S401" s="153"/>
      <c r="T401" s="58"/>
      <c r="U401" s="384"/>
      <c r="V401" s="59"/>
      <c r="W401" s="59"/>
      <c r="X401" s="59"/>
      <c r="Y401" s="63"/>
      <c r="Z401" s="58"/>
      <c r="AA401" s="59"/>
      <c r="AB401" s="154"/>
      <c r="AC401" s="154"/>
      <c r="AD401" s="154"/>
      <c r="AE401" s="155"/>
      <c r="AF401" s="155"/>
      <c r="AG401" s="554"/>
      <c r="AH401" s="557"/>
      <c r="AI401" s="556"/>
      <c r="AJ401" s="556"/>
      <c r="AK401" s="554"/>
      <c r="AL401" s="154"/>
      <c r="AM401" s="154"/>
      <c r="AN401" s="155"/>
      <c r="AO401" s="155"/>
      <c r="AP401" s="155"/>
      <c r="AQ401" s="153"/>
      <c r="AR401" s="153"/>
      <c r="AS401" s="155"/>
      <c r="AT401" s="155"/>
      <c r="AU401" s="155"/>
      <c r="AV401" s="382"/>
      <c r="AW401" s="156"/>
    </row>
    <row r="402" spans="1:65" s="124" customFormat="1" hidden="1" x14ac:dyDescent="0.2">
      <c r="A402" s="136"/>
      <c r="B402" s="147"/>
      <c r="C402" s="147"/>
      <c r="D402" s="148"/>
      <c r="E402" s="149"/>
      <c r="F402" s="148"/>
      <c r="G402" s="148"/>
      <c r="H402" s="148"/>
      <c r="I402" s="150"/>
      <c r="J402" s="151"/>
      <c r="K402" s="152"/>
      <c r="L402" s="152"/>
      <c r="M402" s="152"/>
      <c r="N402" s="152"/>
      <c r="O402" s="152" t="str">
        <f>IF(P402&lt;&gt;0,CONCATENATE(input_values!$AN402,input_values!$AO402,input_values!$AP402),"")</f>
        <v/>
      </c>
      <c r="P402" s="152"/>
      <c r="Q402" s="152" t="str">
        <f>IF(P402&lt;&gt;0,CONCATENATE(input_values!$AS402,input_values!$AT402,input_values!$AU402),"")</f>
        <v/>
      </c>
      <c r="R402" s="152"/>
      <c r="S402" s="153"/>
      <c r="T402" s="58"/>
      <c r="U402" s="384"/>
      <c r="V402" s="59"/>
      <c r="W402" s="59"/>
      <c r="X402" s="59"/>
      <c r="Y402" s="63"/>
      <c r="Z402" s="58"/>
      <c r="AA402" s="59"/>
      <c r="AB402" s="154"/>
      <c r="AC402" s="154"/>
      <c r="AD402" s="154"/>
      <c r="AE402" s="155"/>
      <c r="AF402" s="155"/>
      <c r="AG402" s="554"/>
      <c r="AH402" s="557"/>
      <c r="AI402" s="556"/>
      <c r="AJ402" s="556"/>
      <c r="AK402" s="554"/>
      <c r="AL402" s="154"/>
      <c r="AM402" s="154"/>
      <c r="AN402" s="155"/>
      <c r="AO402" s="155"/>
      <c r="AP402" s="155"/>
      <c r="AQ402" s="153"/>
      <c r="AR402" s="153"/>
      <c r="AS402" s="155"/>
      <c r="AT402" s="155"/>
      <c r="AU402" s="155"/>
      <c r="AV402" s="382"/>
      <c r="AW402" s="156"/>
    </row>
    <row r="403" spans="1:65" s="124" customFormat="1" hidden="1" x14ac:dyDescent="0.2">
      <c r="A403" s="136"/>
      <c r="B403" s="147"/>
      <c r="C403" s="147"/>
      <c r="D403" s="148"/>
      <c r="E403" s="149"/>
      <c r="F403" s="148"/>
      <c r="G403" s="148"/>
      <c r="H403" s="148"/>
      <c r="I403" s="150"/>
      <c r="J403" s="151"/>
      <c r="K403" s="152"/>
      <c r="L403" s="152"/>
      <c r="M403" s="152"/>
      <c r="N403" s="152"/>
      <c r="O403" s="152" t="str">
        <f>IF(P403&lt;&gt;0,CONCATENATE(input_values!$AN403,input_values!$AO403,input_values!$AP403),"")</f>
        <v/>
      </c>
      <c r="P403" s="152"/>
      <c r="Q403" s="152" t="str">
        <f>IF(P403&lt;&gt;0,CONCATENATE(input_values!$AS403,input_values!$AT403,input_values!$AU403),"")</f>
        <v/>
      </c>
      <c r="R403" s="152"/>
      <c r="S403" s="153"/>
      <c r="T403" s="58"/>
      <c r="U403" s="384"/>
      <c r="V403" s="59"/>
      <c r="W403" s="59"/>
      <c r="X403" s="59"/>
      <c r="Y403" s="63"/>
      <c r="Z403" s="58"/>
      <c r="AA403" s="59"/>
      <c r="AB403" s="154"/>
      <c r="AC403" s="154"/>
      <c r="AD403" s="154"/>
      <c r="AE403" s="155"/>
      <c r="AF403" s="155"/>
      <c r="AG403" s="554"/>
      <c r="AH403" s="557"/>
      <c r="AI403" s="556"/>
      <c r="AJ403" s="556"/>
      <c r="AK403" s="554"/>
      <c r="AL403" s="154"/>
      <c r="AM403" s="154"/>
      <c r="AN403" s="155"/>
      <c r="AO403" s="155"/>
      <c r="AP403" s="155"/>
      <c r="AQ403" s="153"/>
      <c r="AR403" s="153"/>
      <c r="AS403" s="155"/>
      <c r="AT403" s="155"/>
      <c r="AU403" s="155"/>
      <c r="AV403" s="382"/>
      <c r="AW403" s="156"/>
    </row>
    <row r="404" spans="1:65" s="124" customFormat="1" hidden="1" x14ac:dyDescent="0.2">
      <c r="A404" s="136"/>
      <c r="B404" s="147"/>
      <c r="C404" s="147"/>
      <c r="D404" s="148"/>
      <c r="E404" s="149"/>
      <c r="F404" s="148"/>
      <c r="G404" s="148"/>
      <c r="H404" s="148"/>
      <c r="I404" s="150"/>
      <c r="J404" s="151"/>
      <c r="K404" s="152"/>
      <c r="L404" s="152"/>
      <c r="M404" s="152"/>
      <c r="N404" s="152"/>
      <c r="O404" s="152" t="str">
        <f>IF(P404&lt;&gt;0,CONCATENATE(input_values!$AN404,input_values!$AO404,input_values!$AP404),"")</f>
        <v/>
      </c>
      <c r="P404" s="152"/>
      <c r="Q404" s="152" t="str">
        <f>IF(P404&lt;&gt;0,CONCATENATE(input_values!$AS404,input_values!$AT404,input_values!$AU404),"")</f>
        <v/>
      </c>
      <c r="R404" s="152"/>
      <c r="S404" s="153"/>
      <c r="T404" s="58"/>
      <c r="U404" s="384"/>
      <c r="V404" s="59"/>
      <c r="W404" s="59"/>
      <c r="X404" s="59"/>
      <c r="Y404" s="63"/>
      <c r="Z404" s="58"/>
      <c r="AA404" s="59"/>
      <c r="AB404" s="154"/>
      <c r="AC404" s="154"/>
      <c r="AD404" s="154"/>
      <c r="AE404" s="155"/>
      <c r="AF404" s="155"/>
      <c r="AG404" s="554"/>
      <c r="AH404" s="557"/>
      <c r="AI404" s="556"/>
      <c r="AJ404" s="556"/>
      <c r="AK404" s="554"/>
      <c r="AL404" s="154"/>
      <c r="AM404" s="154"/>
      <c r="AN404" s="155"/>
      <c r="AO404" s="155"/>
      <c r="AP404" s="155"/>
      <c r="AQ404" s="153"/>
      <c r="AR404" s="153"/>
      <c r="AS404" s="155"/>
      <c r="AT404" s="155"/>
      <c r="AU404" s="155"/>
      <c r="AV404" s="382"/>
      <c r="AW404" s="156"/>
    </row>
    <row r="405" spans="1:65" s="124" customFormat="1" hidden="1" x14ac:dyDescent="0.2">
      <c r="A405" s="136"/>
      <c r="B405" s="147"/>
      <c r="C405" s="147"/>
      <c r="D405" s="148"/>
      <c r="E405" s="149"/>
      <c r="F405" s="148"/>
      <c r="G405" s="148"/>
      <c r="H405" s="148"/>
      <c r="I405" s="150"/>
      <c r="J405" s="151"/>
      <c r="K405" s="152"/>
      <c r="L405" s="152"/>
      <c r="M405" s="152"/>
      <c r="N405" s="152"/>
      <c r="O405" s="152" t="str">
        <f>IF(P405&lt;&gt;0,CONCATENATE(input_values!$AN405,input_values!$AO405,input_values!$AP405),"")</f>
        <v/>
      </c>
      <c r="P405" s="152"/>
      <c r="Q405" s="152" t="str">
        <f>IF(P405&lt;&gt;0,CONCATENATE(input_values!$AS405,input_values!$AT405,input_values!$AU405),"")</f>
        <v/>
      </c>
      <c r="R405" s="152"/>
      <c r="S405" s="153"/>
      <c r="T405" s="58"/>
      <c r="U405" s="384"/>
      <c r="V405" s="59"/>
      <c r="W405" s="59"/>
      <c r="X405" s="59"/>
      <c r="Y405" s="63"/>
      <c r="Z405" s="58"/>
      <c r="AA405" s="59"/>
      <c r="AB405" s="154"/>
      <c r="AC405" s="154"/>
      <c r="AD405" s="154"/>
      <c r="AE405" s="155"/>
      <c r="AF405" s="155"/>
      <c r="AG405" s="554"/>
      <c r="AH405" s="557"/>
      <c r="AI405" s="556"/>
      <c r="AJ405" s="556"/>
      <c r="AK405" s="554"/>
      <c r="AL405" s="154"/>
      <c r="AM405" s="154"/>
      <c r="AN405" s="155"/>
      <c r="AO405" s="155"/>
      <c r="AP405" s="155"/>
      <c r="AQ405" s="153"/>
      <c r="AR405" s="153"/>
      <c r="AS405" s="155"/>
      <c r="AT405" s="155"/>
      <c r="AU405" s="155"/>
      <c r="AV405" s="382"/>
      <c r="AW405" s="156"/>
    </row>
    <row r="406" spans="1:65" s="124" customFormat="1" hidden="1" x14ac:dyDescent="0.2">
      <c r="A406" s="136"/>
      <c r="B406" s="147"/>
      <c r="C406" s="147"/>
      <c r="D406" s="148"/>
      <c r="E406" s="149"/>
      <c r="F406" s="148"/>
      <c r="G406" s="148"/>
      <c r="H406" s="148"/>
      <c r="I406" s="150"/>
      <c r="J406" s="151"/>
      <c r="K406" s="152"/>
      <c r="L406" s="152"/>
      <c r="M406" s="152"/>
      <c r="N406" s="152"/>
      <c r="O406" s="152" t="str">
        <f>IF(P406&lt;&gt;0,CONCATENATE(input_values!$AN406,input_values!$AO406,input_values!$AP406),"")</f>
        <v/>
      </c>
      <c r="P406" s="152"/>
      <c r="Q406" s="152" t="str">
        <f>IF(P406&lt;&gt;0,CONCATENATE(input_values!$AS406,input_values!$AT406,input_values!$AU406),"")</f>
        <v/>
      </c>
      <c r="R406" s="152"/>
      <c r="S406" s="153"/>
      <c r="T406" s="58"/>
      <c r="U406" s="384"/>
      <c r="V406" s="59"/>
      <c r="W406" s="59"/>
      <c r="X406" s="59"/>
      <c r="Y406" s="63"/>
      <c r="Z406" s="58"/>
      <c r="AA406" s="59"/>
      <c r="AB406" s="154"/>
      <c r="AC406" s="154"/>
      <c r="AD406" s="154"/>
      <c r="AE406" s="155"/>
      <c r="AF406" s="155"/>
      <c r="AG406" s="554"/>
      <c r="AH406" s="557"/>
      <c r="AI406" s="556"/>
      <c r="AJ406" s="556"/>
      <c r="AK406" s="554"/>
      <c r="AL406" s="154"/>
      <c r="AM406" s="154"/>
      <c r="AN406" s="155"/>
      <c r="AO406" s="155"/>
      <c r="AP406" s="155"/>
      <c r="AQ406" s="153"/>
      <c r="AR406" s="153"/>
      <c r="AS406" s="155"/>
      <c r="AT406" s="155"/>
      <c r="AU406" s="155"/>
      <c r="AV406" s="382"/>
      <c r="AW406" s="156"/>
    </row>
    <row r="407" spans="1:65" s="104" customFormat="1" x14ac:dyDescent="0.2">
      <c r="A407" s="1181"/>
      <c r="B407" s="257"/>
      <c r="C407" s="257"/>
      <c r="D407" s="1182"/>
      <c r="E407" s="1183"/>
      <c r="F407" s="1182"/>
      <c r="G407" s="1182"/>
      <c r="H407" s="1182"/>
      <c r="I407" s="1184"/>
      <c r="J407" s="1185"/>
      <c r="K407" s="856"/>
      <c r="L407" s="856"/>
      <c r="M407" s="856"/>
      <c r="N407" s="856"/>
      <c r="O407" s="856"/>
      <c r="P407" s="856"/>
      <c r="Q407" s="856"/>
      <c r="R407" s="856"/>
      <c r="S407" s="1255"/>
      <c r="T407" s="1186"/>
      <c r="U407" s="1187"/>
      <c r="V407" s="1188"/>
      <c r="W407" s="1188"/>
      <c r="X407" s="1188"/>
      <c r="Y407" s="1187"/>
      <c r="Z407" s="1186"/>
      <c r="AA407" s="1188"/>
      <c r="AB407" s="1189"/>
      <c r="AC407" s="1189"/>
      <c r="AD407" s="1189"/>
      <c r="AE407" s="397"/>
      <c r="AF407" s="397"/>
      <c r="AG407" s="1190"/>
      <c r="AH407" s="1191"/>
      <c r="AI407" s="1192"/>
      <c r="AJ407" s="1192"/>
      <c r="AK407" s="1190"/>
      <c r="AL407" s="1189"/>
      <c r="AM407" s="1193"/>
      <c r="AN407" s="1194"/>
      <c r="AO407" s="1195"/>
      <c r="AP407" s="1196"/>
      <c r="AQ407" s="1197"/>
      <c r="AR407" s="1197"/>
      <c r="AS407" s="1197"/>
      <c r="AT407" s="1197"/>
      <c r="AU407" s="1190"/>
      <c r="AV407" s="1197"/>
      <c r="AW407" s="1195"/>
      <c r="AX407" s="1195"/>
      <c r="AY407" s="553"/>
      <c r="AZ407" s="1198"/>
      <c r="BA407" s="1199"/>
    </row>
    <row r="408" spans="1:65" s="104" customFormat="1" x14ac:dyDescent="0.2">
      <c r="P408" s="168"/>
      <c r="AG408" s="553"/>
      <c r="AH408" s="553"/>
      <c r="AI408" s="553"/>
      <c r="AJ408" s="553"/>
      <c r="AK408" s="553"/>
    </row>
    <row r="409" spans="1:65" s="104" customFormat="1" ht="39" customHeight="1" x14ac:dyDescent="0.2">
      <c r="P409"/>
      <c r="Q409" s="168"/>
      <c r="S409" s="1256"/>
      <c r="AG409" s="553"/>
      <c r="AH409" s="553"/>
      <c r="AI409" s="553"/>
      <c r="AJ409" s="553"/>
      <c r="AK409" s="553"/>
    </row>
    <row r="410" spans="1:65" s="124" customFormat="1" ht="13.5" thickBot="1" x14ac:dyDescent="0.25">
      <c r="A410" s="558">
        <f>COLUMN(A410)</f>
        <v>1</v>
      </c>
      <c r="B410" s="558">
        <f t="shared" ref="B410:BG410" si="257">COLUMN(B410)</f>
        <v>2</v>
      </c>
      <c r="C410" s="558">
        <f t="shared" si="257"/>
        <v>3</v>
      </c>
      <c r="D410" s="558">
        <f t="shared" si="257"/>
        <v>4</v>
      </c>
      <c r="E410" s="558">
        <f t="shared" si="257"/>
        <v>5</v>
      </c>
      <c r="F410" s="558">
        <f t="shared" si="257"/>
        <v>6</v>
      </c>
      <c r="G410" s="558">
        <f t="shared" si="257"/>
        <v>7</v>
      </c>
      <c r="H410" s="558">
        <f t="shared" si="257"/>
        <v>8</v>
      </c>
      <c r="I410" s="558">
        <f t="shared" si="257"/>
        <v>9</v>
      </c>
      <c r="J410" s="558">
        <f t="shared" si="257"/>
        <v>10</v>
      </c>
      <c r="K410" s="558">
        <f t="shared" si="257"/>
        <v>11</v>
      </c>
      <c r="L410" s="558">
        <f t="shared" si="257"/>
        <v>12</v>
      </c>
      <c r="M410" s="558">
        <f t="shared" si="257"/>
        <v>13</v>
      </c>
      <c r="N410" s="558">
        <f t="shared" si="257"/>
        <v>14</v>
      </c>
      <c r="O410" s="558">
        <f t="shared" si="257"/>
        <v>15</v>
      </c>
      <c r="P410" s="558">
        <f t="shared" si="257"/>
        <v>16</v>
      </c>
      <c r="Q410" s="558">
        <f t="shared" si="257"/>
        <v>17</v>
      </c>
      <c r="R410" s="558">
        <f t="shared" si="257"/>
        <v>18</v>
      </c>
      <c r="S410" s="558">
        <f t="shared" si="257"/>
        <v>19</v>
      </c>
      <c r="T410" s="558">
        <f t="shared" si="257"/>
        <v>20</v>
      </c>
      <c r="U410" s="558">
        <f t="shared" si="257"/>
        <v>21</v>
      </c>
      <c r="V410" s="558">
        <f t="shared" si="257"/>
        <v>22</v>
      </c>
      <c r="W410" s="558">
        <f t="shared" si="257"/>
        <v>23</v>
      </c>
      <c r="X410" s="558">
        <f t="shared" si="257"/>
        <v>24</v>
      </c>
      <c r="Y410" s="558">
        <f t="shared" si="257"/>
        <v>25</v>
      </c>
      <c r="Z410" s="558">
        <f t="shared" si="257"/>
        <v>26</v>
      </c>
      <c r="AA410" s="558">
        <f t="shared" si="257"/>
        <v>27</v>
      </c>
      <c r="AB410" s="558">
        <f t="shared" si="257"/>
        <v>28</v>
      </c>
      <c r="AC410" s="558">
        <f t="shared" si="257"/>
        <v>29</v>
      </c>
      <c r="AD410" s="558">
        <f t="shared" si="257"/>
        <v>30</v>
      </c>
      <c r="AE410" s="558">
        <f t="shared" si="257"/>
        <v>31</v>
      </c>
      <c r="AF410" s="558">
        <f t="shared" si="257"/>
        <v>32</v>
      </c>
      <c r="AG410" s="558">
        <f t="shared" si="257"/>
        <v>33</v>
      </c>
      <c r="AH410" s="558">
        <f t="shared" si="257"/>
        <v>34</v>
      </c>
      <c r="AI410" s="558">
        <f t="shared" si="257"/>
        <v>35</v>
      </c>
      <c r="AJ410" s="558">
        <f t="shared" si="257"/>
        <v>36</v>
      </c>
      <c r="AK410" s="558">
        <f t="shared" si="257"/>
        <v>37</v>
      </c>
      <c r="AL410" s="558">
        <f t="shared" si="257"/>
        <v>38</v>
      </c>
      <c r="AM410" s="558">
        <f t="shared" si="257"/>
        <v>39</v>
      </c>
      <c r="AN410" s="558">
        <f t="shared" si="257"/>
        <v>40</v>
      </c>
      <c r="AO410" s="558">
        <f t="shared" si="257"/>
        <v>41</v>
      </c>
      <c r="AP410" s="558">
        <f t="shared" si="257"/>
        <v>42</v>
      </c>
      <c r="AQ410" s="558">
        <f t="shared" si="257"/>
        <v>43</v>
      </c>
      <c r="AR410" s="558">
        <f t="shared" si="257"/>
        <v>44</v>
      </c>
      <c r="AS410" s="558">
        <f t="shared" si="257"/>
        <v>45</v>
      </c>
      <c r="AT410" s="558">
        <f t="shared" si="257"/>
        <v>46</v>
      </c>
      <c r="AU410" s="558">
        <f t="shared" si="257"/>
        <v>47</v>
      </c>
      <c r="AV410" s="558">
        <f t="shared" si="257"/>
        <v>48</v>
      </c>
      <c r="AW410" s="558">
        <f t="shared" si="257"/>
        <v>49</v>
      </c>
      <c r="AX410" s="558">
        <f t="shared" si="257"/>
        <v>50</v>
      </c>
      <c r="AY410" s="558">
        <f t="shared" si="257"/>
        <v>51</v>
      </c>
      <c r="AZ410" s="558">
        <f t="shared" si="257"/>
        <v>52</v>
      </c>
      <c r="BA410" s="558">
        <f t="shared" si="257"/>
        <v>53</v>
      </c>
      <c r="BB410" s="558">
        <f t="shared" si="257"/>
        <v>54</v>
      </c>
      <c r="BC410" s="558">
        <f t="shared" si="257"/>
        <v>55</v>
      </c>
      <c r="BD410" s="558"/>
      <c r="BE410" s="558"/>
      <c r="BF410" s="558"/>
      <c r="BG410" s="558">
        <f t="shared" si="257"/>
        <v>59</v>
      </c>
      <c r="BH410" s="104"/>
      <c r="BI410" s="104"/>
      <c r="BJ410" s="104"/>
      <c r="BK410" s="104"/>
      <c r="BL410" s="104"/>
      <c r="BM410" s="104"/>
    </row>
    <row r="411" spans="1:65" s="11" customFormat="1" ht="88.5" customHeight="1" thickBot="1" x14ac:dyDescent="0.25">
      <c r="A411" s="463" t="s">
        <v>484</v>
      </c>
      <c r="B411" s="157" t="s">
        <v>212</v>
      </c>
      <c r="C411" s="158" t="s">
        <v>434</v>
      </c>
      <c r="D411" s="159" t="s">
        <v>972</v>
      </c>
      <c r="E411" s="159" t="s">
        <v>930</v>
      </c>
      <c r="F411" s="160" t="s">
        <v>303</v>
      </c>
      <c r="G411" s="159" t="s">
        <v>986</v>
      </c>
      <c r="H411" s="159" t="s">
        <v>925</v>
      </c>
      <c r="I411" s="159" t="s">
        <v>1003</v>
      </c>
      <c r="J411" s="159" t="s">
        <v>970</v>
      </c>
      <c r="K411" s="159" t="s">
        <v>971</v>
      </c>
      <c r="L411" s="159" t="s">
        <v>965</v>
      </c>
      <c r="M411" s="161" t="s">
        <v>922</v>
      </c>
      <c r="N411" s="161" t="s">
        <v>643</v>
      </c>
      <c r="O411" s="161" t="s">
        <v>924</v>
      </c>
      <c r="P411" s="161" t="s">
        <v>995</v>
      </c>
      <c r="Q411" s="161" t="s">
        <v>996</v>
      </c>
      <c r="R411" s="161" t="s">
        <v>997</v>
      </c>
      <c r="S411" s="161" t="s">
        <v>998</v>
      </c>
      <c r="T411" s="162" t="s">
        <v>344</v>
      </c>
      <c r="U411" s="159" t="s">
        <v>645</v>
      </c>
      <c r="V411" s="159" t="s">
        <v>646</v>
      </c>
      <c r="W411" s="159" t="s">
        <v>482</v>
      </c>
      <c r="X411" s="157" t="s">
        <v>647</v>
      </c>
      <c r="Y411" s="159" t="s">
        <v>345</v>
      </c>
      <c r="Z411" s="159" t="s">
        <v>346</v>
      </c>
      <c r="AA411" s="161" t="s">
        <v>677</v>
      </c>
      <c r="AB411" s="161" t="s">
        <v>903</v>
      </c>
      <c r="AC411" s="161" t="s">
        <v>926</v>
      </c>
      <c r="AD411" s="162" t="s">
        <v>347</v>
      </c>
      <c r="AE411" s="163" t="s">
        <v>622</v>
      </c>
      <c r="AF411" s="483" t="s">
        <v>896</v>
      </c>
      <c r="AG411" s="485" t="s">
        <v>904</v>
      </c>
      <c r="AH411" s="486" t="s">
        <v>906</v>
      </c>
      <c r="AI411" s="486" t="s">
        <v>905</v>
      </c>
      <c r="AJ411" s="486" t="s">
        <v>907</v>
      </c>
      <c r="AK411" s="487" t="s">
        <v>914</v>
      </c>
      <c r="AL411" s="485" t="s">
        <v>897</v>
      </c>
      <c r="AM411" s="488" t="s">
        <v>898</v>
      </c>
      <c r="AN411" s="486" t="s">
        <v>899</v>
      </c>
      <c r="AO411" s="486" t="s">
        <v>908</v>
      </c>
      <c r="AP411" s="487" t="s">
        <v>915</v>
      </c>
      <c r="AQ411" s="485" t="s">
        <v>909</v>
      </c>
      <c r="AR411" s="487" t="s">
        <v>916</v>
      </c>
      <c r="AS411" s="484" t="s">
        <v>900</v>
      </c>
      <c r="AT411" s="161" t="s">
        <v>901</v>
      </c>
      <c r="AU411" s="162" t="s">
        <v>910</v>
      </c>
      <c r="AV411" s="162" t="s">
        <v>911</v>
      </c>
      <c r="AW411" s="490" t="s">
        <v>912</v>
      </c>
      <c r="AX411" s="490" t="s">
        <v>913</v>
      </c>
      <c r="AY411" s="489" t="s">
        <v>881</v>
      </c>
      <c r="AZ411" s="163" t="s">
        <v>927</v>
      </c>
      <c r="BA411" s="163" t="s">
        <v>928</v>
      </c>
      <c r="BB411" s="162" t="s">
        <v>929</v>
      </c>
      <c r="BC411" s="164" t="s">
        <v>653</v>
      </c>
      <c r="BD411" s="579" t="s">
        <v>973</v>
      </c>
      <c r="BE411" s="483" t="s">
        <v>1155</v>
      </c>
      <c r="BF411" s="579" t="s">
        <v>1156</v>
      </c>
      <c r="BG411" s="464" t="s">
        <v>883</v>
      </c>
    </row>
    <row r="412" spans="1:65" s="472" customFormat="1" ht="12.75" customHeight="1" x14ac:dyDescent="0.2">
      <c r="A412" s="479" t="s">
        <v>490</v>
      </c>
      <c r="B412" s="480">
        <v>110010</v>
      </c>
      <c r="C412" s="547" t="s">
        <v>816</v>
      </c>
      <c r="D412" s="1261">
        <f>VLOOKUP(Table6[[#This Row],[Code no.]],$B$12:$D$390,3,FALSE)</f>
        <v>0</v>
      </c>
      <c r="E412" s="1264">
        <f t="shared" ref="E412:E442" si="258">VLOOKUP($B412,$B$12:$AY$390,$U$2,FALSE)</f>
        <v>0</v>
      </c>
      <c r="F412" s="1262" t="str">
        <f>IF(VLOOKUP($B412,$B$12:$AY$390,$V$2,FALSE)="Y","*","")</f>
        <v/>
      </c>
      <c r="G412" s="1263">
        <f t="shared" ref="G412:G442" si="259">VLOOKUP($B412,$B$12:$AY$390,$W$2,FALSE)</f>
        <v>1</v>
      </c>
      <c r="H412" s="879"/>
      <c r="I412" s="880"/>
      <c r="J412" s="1269">
        <f t="shared" ref="J412:J442" si="260">VLOOKUP($B412,$B$12:$AY$390,$I$2,FALSE)</f>
        <v>0</v>
      </c>
      <c r="K412" s="1269">
        <f t="shared" ref="K412:K442" si="261">VLOOKUP($B412,$B$12:$AY$390,$J$2,FALSE)</f>
        <v>0</v>
      </c>
      <c r="L412" s="1270"/>
      <c r="M412" s="1271" t="str">
        <f t="shared" ref="M412:M442" si="262">IF(VLOOKUP($B412,$B$12:$L$390,$L$2)="","",VLOOKUP($B412,$B$12:$L$390,$L$2))</f>
        <v/>
      </c>
      <c r="N412" s="1272"/>
      <c r="O412" s="1273">
        <v>3</v>
      </c>
      <c r="P412" s="1271" t="str">
        <f>IF(OR($A$10=$BG$15,Results!$B$62=Results!$T$63),Table6[[#This Row],[label refine mode]],Table6[[#This Row],[label normal mode]])</f>
        <v/>
      </c>
      <c r="Q412" s="1260" t="str">
        <f>IF(OR($A$10=$BG$15,Results!$B$62=Results!$T$63),Table6[[#This Row],[input refined mode]],Table6[[#This Row],[Input normal mode]])</f>
        <v/>
      </c>
      <c r="R412" s="1274" t="str">
        <f>IF(Table6[[#This Row],[Acute RA IESTI new input value]]="","",CONCATENATE(Table6[[#This Row],[label for IESTI new normal mode]],Table6[[#This Row],[label connector IESTI new normal mode]],Table6[[#This Row],[label refinements normal mode]]))</f>
        <v/>
      </c>
      <c r="S412" s="1258">
        <f>IF(OR($A$10=$BG$15,Results!$B$62=Results!$T$63),Table6[[#This Row],[Input for IESTI new refined mode]],Table6[[#This Row],[Input for IESTI new normal mode]])</f>
        <v>0</v>
      </c>
      <c r="T412" s="888"/>
      <c r="U412" s="1283">
        <f t="shared" ref="U412:U442" si="263">E412</f>
        <v>0</v>
      </c>
      <c r="V412" s="1284" t="str">
        <f>VLOOKUP($B412,$B$12:$AY$390,$V$2,FALSE)</f>
        <v/>
      </c>
      <c r="W412" s="1285">
        <f>IF($H412&gt;0,$H412,IF(Table6[[#This Row],[CFrisk for residue definition (applicable for unprocessed products)]]&gt;0,Table6[[#This Row],[CFrisk for residue definition (applicable for unprocessed products)]],1))</f>
        <v>1</v>
      </c>
      <c r="X412" s="1285">
        <v>1</v>
      </c>
      <c r="Y412" s="1285">
        <f t="shared" ref="Y412:Y442" si="264">IF($I412&gt;0,$I412,X412)</f>
        <v>1</v>
      </c>
      <c r="Z412" s="1285">
        <f t="shared" ref="Z412:Z442" si="265">W412*Y412</f>
        <v>1</v>
      </c>
      <c r="AA412" s="1285" t="str">
        <f>IF(Table6[[#This Row],[Post-harvest treatment]]="","","Y")</f>
        <v/>
      </c>
      <c r="AB412" s="1285" t="str">
        <f>IF(AND(Table6[[#This Row],[CF used for for calculation]]&lt;&gt;1,Table6[[#This Row],[PF for calculation]]&lt;&gt;1),"CF*PF",IF(Table6[[#This Row],[CF used for for calculation]]&lt;&gt;1,"CF",IF(Table6[[#This Row],[PF for calculation]]&lt;&gt;1,"PF","")))</f>
        <v/>
      </c>
      <c r="AC412" s="1286">
        <f>IF(AND(Table6[[#This Row],[LOQ RAC individual crop]]="Y",Table6[[#This Row],[GAP under assessment]]="N"),Table6[[#This Row],[MRL RAC individual commodity]],Table6[[#This Row],[MRL RAC individual commodity]]*Table6[[#This Row],[CF*PF for calculation]])</f>
        <v>0</v>
      </c>
      <c r="AD412" s="1287">
        <f t="shared" ref="AD412:AD442" si="266">$J412*$Z412</f>
        <v>0</v>
      </c>
      <c r="AE412" s="1287">
        <f t="shared" ref="AE412:AE442" si="267">$K412*$Z412</f>
        <v>0</v>
      </c>
      <c r="AF412" s="1288">
        <f>Table6[[#This Row],[IESTI case]]</f>
        <v>3</v>
      </c>
      <c r="AG412" s="1289"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12" s="1289" t="str">
        <f>IF(Table6[[#This Row],[Input value normal mode case 1, 2a/2b,Po]]&gt;0,
              IF(Table6[[#This Row],[Highest residue * CF*PF]]&gt;"","HR-RAC",
                             IF(Table6[[#This Row],[LOQ RAC individual crop]]="Y","LOQ","MRL")),"")</f>
        <v/>
      </c>
      <c r="AI412" s="1290" t="str">
        <f t="shared" ref="AI412:AI442" si="268">IF(AND(AH412&lt;&gt;"",AJ412&lt;&gt;""),"*","")</f>
        <v/>
      </c>
      <c r="AJ412" s="1289" t="str">
        <f>IF(Table6[[#This Row],[Input value normal mode case 1, 2a/2b,Po]]&gt;0,IF(Table6[[#This Row],[label description]]&gt;"",Table6[[#This Row],[label description]],""),"")</f>
        <v/>
      </c>
      <c r="AK412" s="1289" t="str">
        <f>CONCATENATE(Table6[[#This Row],[label for IESTI normal mode case 1, 2a/2b,Po]],Table6[[#This Row],[label connector case  normal mode]],Table6[[#This Row],[label refinements normal mode case 1, 2a/2b,Po]])</f>
        <v/>
      </c>
      <c r="AL412" s="1289" t="str">
        <f>IF(AND(Table6[[#This Row],[Case for acute RA children / adults]]=3,Table6[[#This Row],[Post-harvest treatment]]=""),IF(AND(Table6[[#This Row],[LOQ RAC individual crop]]="Y",M411="N"),Table6[[#This Row],[MRL RAC individual commodity]],IF(Table6[[#This Row],[Median residue*CF*PF]]&gt;0,Table6[[#This Row],[Median residue*CF*PF]],IF(Table6[[#This Row],[MRL*CF*PF or LOQ (if not under assessment and LOQ)]]&gt;0,Table6[[#This Row],[MRL*CF*PF or LOQ (if not under assessment and LOQ)]],""))),"")</f>
        <v/>
      </c>
      <c r="AM412" s="1291" t="str">
        <f>IF(Table6[[#This Row],[input for case 3 normal mode]]&gt;0,IF(Table6[[#This Row],[Median residue*CF*PF]]&gt;0,"STMR-RAC",IF(AND($AC412&gt;0,NOT(V412="Y")),"MRL",IF($V412="Y","LOQ",""))),"")</f>
        <v/>
      </c>
      <c r="AN412" s="1290" t="str">
        <f t="shared" ref="AN412:AN442" si="269">IF(AND(AM412&lt;&gt;"",AO412&lt;&gt;""),"*","")</f>
        <v/>
      </c>
      <c r="AO412" s="1289" t="str">
        <f>IF(Table6[[#This Row],[input for case 3 normal mode]]="","",IF(AND(Table6[[#This Row],[label for case 3 calculation normal mode]]="LOQ",Table6[[#This Row],[GAP under assessment]]="N"),"",IF(Table6[[#This Row],[label description]]&gt;"",Table6[[#This Row],[label description]],"")))</f>
        <v/>
      </c>
      <c r="AP412" s="1289" t="str">
        <f>CONCATENATE(Table6[[#This Row],[label for case 3 calculation normal mode]],Table6[[#This Row],[label connector case 3 normal mode]],Table6[[#This Row],[label refinements case 3 normal mode]])</f>
        <v/>
      </c>
      <c r="AQ412" s="1292" t="str">
        <f>IF(Table6[[#This Row],[GAP under assessment]]="Y",Table6[[#This Row],[Input value normal mode case 1, 2a/2b,Po]],"")</f>
        <v/>
      </c>
      <c r="AR412" s="1289" t="str">
        <f>IF(Table6[[#This Row],[Input value refined mode case 1, 2a/2b,Po]]&gt;0,Table6[[#This Row],[concat label normal mode 1,2a/2b,Po ]],"")</f>
        <v/>
      </c>
      <c r="AS412" s="1292" t="str">
        <f>IF(Table6[[#This Row],[GAP under assessment]]="Y",Table6[[#This Row],[input for case 3 normal mode]],"")</f>
        <v/>
      </c>
      <c r="AT412" s="1292" t="str">
        <f>IF(Table6[[#This Row],[input for case 3 refined mode]]&gt;0,Table6[[#This Row],[concat label normal mode  case 3]],"")</f>
        <v/>
      </c>
      <c r="AU412" s="1290" t="str">
        <f>IF(Table6[[#This Row],[Input value normal mode case 1, 2a/2b,Po]]&gt;0,Table6[[#This Row],[Input value normal mode case 1, 2a/2b,Po]],Table6[[#This Row],[input for case 3 normal mode]])</f>
        <v/>
      </c>
      <c r="AV412" s="1293" t="str">
        <f>IF(Table6[[#This Row],[Input value normal mode case 1, 2a/2b,Po]]&gt;0,Table6[[#This Row],[concat label normal mode 1,2a/2b,Po ]],Table6[[#This Row],[concat label normal mode  case 3]])</f>
        <v/>
      </c>
      <c r="AW412" s="1294" t="str">
        <f>IF(Table6[[#This Row],[Input value refined mode case 1, 2a/2b,Po]]&gt;0,Table6[[#This Row],[Input value refined mode case 1, 2a/2b,Po]],Table6[[#This Row],[input for case 3 refined mode]])</f>
        <v/>
      </c>
      <c r="AX412" s="1293" t="str">
        <f>IF(Table6[[#This Row],[Input value refined mode case 1, 2a/2b,Po]]&gt;0,Table6[[#This Row],[concat label refined mode case 1,2a/2b,Po]],Table6[[#This Row],[label for case 3 calculation refined mode]])</f>
        <v/>
      </c>
      <c r="AY412" s="1287">
        <f>$AC412</f>
        <v>0</v>
      </c>
      <c r="AZ412" s="1295" t="str">
        <f t="shared" ref="AZ412:AZ442" si="270">IF(AND($AC412&gt;0,NOT($V412="Y")),"MRL",IF($V412="Y","LOQ",""))</f>
        <v/>
      </c>
      <c r="BA412" s="1295" t="str">
        <f t="shared" ref="BA412:BA442" si="271">IF(AND($AZ412&lt;&gt;"",$BB412&lt;&gt;""),"*","")</f>
        <v/>
      </c>
      <c r="BB412" s="1287" t="str">
        <f>IF(AND(Table6[[#This Row],[label for IESTI new normal mode]]="LOQ",Table6[[#This Row],[GAP under assessment]]="N"),"",IF(AND($H412&gt;0,$Y412&lt;&gt;1),"CF*PF",IF($H412&gt;0,"CF",IF($Y412&lt;&gt;1,"PF",""))))</f>
        <v/>
      </c>
      <c r="BC412" s="1296" t="s">
        <v>369</v>
      </c>
      <c r="BD412" s="1297"/>
      <c r="BE412" s="1457" t="str">
        <f>IF(Table6[[#This Row],[GAP under assessment]]="Y",Table6[[#This Row],[MRL*CF*PF or LOQ (if not under assessment and LOQ)]],"")</f>
        <v/>
      </c>
      <c r="BF412" s="1293" t="str">
        <f>IF(Table6[[#This Row],[Input for IESTI new refined mode]]&lt;&gt;"",CONCATENATE("MRL",Table6[[#This Row],[label connector case 3 normal mode]],Table6[[#This Row],[label refinements case 3 normal mode]]),"")</f>
        <v/>
      </c>
      <c r="BG412" s="1298" t="s">
        <v>490</v>
      </c>
      <c r="BH412" s="1299"/>
    </row>
    <row r="413" spans="1:65" s="11" customFormat="1" ht="12.75" customHeight="1" x14ac:dyDescent="0.2">
      <c r="A413" s="479" t="s">
        <v>489</v>
      </c>
      <c r="B413" s="480">
        <v>110020</v>
      </c>
      <c r="C413" s="547" t="s">
        <v>376</v>
      </c>
      <c r="D413" s="1261">
        <f>VLOOKUP(Table6[[#This Row],[Code no.]],$B$12:$D$390,3,FALSE)</f>
        <v>0</v>
      </c>
      <c r="E413" s="1264">
        <f t="shared" si="258"/>
        <v>0</v>
      </c>
      <c r="F413" s="1262" t="str">
        <f t="shared" ref="F413:F474" si="272">IF(VLOOKUP($B413,$B$12:$AY$390,$V$2,FALSE)="Y","*","")</f>
        <v/>
      </c>
      <c r="G413" s="1265">
        <f t="shared" si="259"/>
        <v>1</v>
      </c>
      <c r="H413" s="881"/>
      <c r="I413" s="880"/>
      <c r="J413" s="1269">
        <f t="shared" si="260"/>
        <v>0</v>
      </c>
      <c r="K413" s="1269">
        <f>VLOOKUP($B413,$B$12:$AY$390,$J$2,FALSE)</f>
        <v>0</v>
      </c>
      <c r="L413" s="1270"/>
      <c r="M413" s="1271" t="str">
        <f t="shared" si="262"/>
        <v/>
      </c>
      <c r="N413" s="1272"/>
      <c r="O413" s="1273">
        <v>3</v>
      </c>
      <c r="P413" s="1273" t="str">
        <f>IF(OR($A$10=$BG$15,Results!$B$62=Results!$T$63),Table6[[#This Row],[label refine mode]],Table6[[#This Row],[label normal mode]])</f>
        <v/>
      </c>
      <c r="Q413" s="1257" t="str">
        <f>IF(OR($A$10=$BG$15,Results!$B$62=Results!$T$63),Table6[[#This Row],[input refined mode]],Table6[[#This Row],[Input normal mode]])</f>
        <v/>
      </c>
      <c r="R413" s="1275" t="str">
        <f>IF(Table6[[#This Row],[Acute RA IESTI new input value]]="","",CONCATENATE(Table6[[#This Row],[label for IESTI new normal mode]],Table6[[#This Row],[label connector IESTI new normal mode]],Table6[[#This Row],[label refinements normal mode]]))</f>
        <v/>
      </c>
      <c r="S413" s="1259">
        <f>IF(OR($A$10=$BG$15,Results!$B$62=Results!$T$63),Table6[[#This Row],[Input for IESTI new refined mode]],Table6[[#This Row],[Input for IESTI new normal mode]])</f>
        <v>0</v>
      </c>
      <c r="T413" s="888"/>
      <c r="U413" s="1283">
        <f t="shared" si="263"/>
        <v>0</v>
      </c>
      <c r="V413" s="1284" t="str">
        <f t="shared" ref="V413:V442" si="273">VLOOKUP($B413,$B$12:$AY$390,$V$2,FALSE)</f>
        <v/>
      </c>
      <c r="W413" s="1285">
        <f>IF($H413&gt;0,$H413,IF(Table6[[#This Row],[CFrisk for residue definition (applicable for unprocessed products)]]&gt;0,Table6[[#This Row],[CFrisk for residue definition (applicable for unprocessed products)]],1))</f>
        <v>1</v>
      </c>
      <c r="X413" s="1285">
        <v>1</v>
      </c>
      <c r="Y413" s="1285">
        <f t="shared" si="264"/>
        <v>1</v>
      </c>
      <c r="Z413" s="1285">
        <f t="shared" si="265"/>
        <v>1</v>
      </c>
      <c r="AA413" s="1285" t="str">
        <f>IF(Table6[[#This Row],[Post-harvest treatment]]="","","Y")</f>
        <v/>
      </c>
      <c r="AB413" s="1285" t="str">
        <f>IF(AND(Table6[[#This Row],[CF used for for calculation]]&lt;&gt;1,Table6[[#This Row],[PF for calculation]]&lt;&gt;1),"CF*PF",IF(Table6[[#This Row],[CF used for for calculation]]&lt;&gt;1,"CF",IF(Table6[[#This Row],[PF for calculation]]&lt;&gt;1,"PF","")))</f>
        <v/>
      </c>
      <c r="AC413" s="1300">
        <f>IF(AND(Table6[[#This Row],[LOQ RAC individual crop]]="Y",Table6[[#This Row],[GAP under assessment]]="N"),Table6[[#This Row],[MRL RAC individual commodity]],Table6[[#This Row],[MRL RAC individual commodity]]*Table6[[#This Row],[CF*PF for calculation]])</f>
        <v>0</v>
      </c>
      <c r="AD413" s="1287">
        <f t="shared" si="266"/>
        <v>0</v>
      </c>
      <c r="AE413" s="1287">
        <f t="shared" si="267"/>
        <v>0</v>
      </c>
      <c r="AF413" s="1288">
        <f>Table6[[#This Row],[IESTI case]]</f>
        <v>3</v>
      </c>
      <c r="AG41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13" s="1302" t="str">
        <f>IF(Table6[[#This Row],[Input value normal mode case 1, 2a/2b,Po]]&gt;0,
              IF(Table6[[#This Row],[Highest residue * CF*PF]]&gt;"","HR-RAC",
                             IF(Table6[[#This Row],[LOQ RAC individual crop]]="Y","LOQ","MRL")),"")</f>
        <v/>
      </c>
      <c r="AI413" s="1302" t="str">
        <f t="shared" si="268"/>
        <v/>
      </c>
      <c r="AJ413" s="1302" t="str">
        <f>IF(Table6[[#This Row],[Input value normal mode case 1, 2a/2b,Po]]&gt;0,IF(Table6[[#This Row],[label description]]&gt;"",Table6[[#This Row],[label description]],""),"")</f>
        <v/>
      </c>
      <c r="AK413" s="1302" t="str">
        <f>CONCATENATE(Table6[[#This Row],[label for IESTI normal mode case 1, 2a/2b,Po]],Table6[[#This Row],[label connector case  normal mode]],Table6[[#This Row],[label refinements normal mode case 1, 2a/2b,Po]])</f>
        <v/>
      </c>
      <c r="AL413" s="1287" t="str">
        <f>IF(AND(Table6[[#This Row],[Case for acute RA children / adults]]=3,Table6[[#This Row],[Post-harvest treatment]]=""),IF(AND(Table6[[#This Row],[LOQ RAC individual crop]]="Y",M412="N"),Table6[[#This Row],[MRL RAC individual commodity]],IF(Table6[[#This Row],[Median residue*CF*PF]]&gt;0,Table6[[#This Row],[Median residue*CF*PF]],IF(Table6[[#This Row],[MRL*CF*PF or LOQ (if not under assessment and LOQ)]]&gt;0,Table6[[#This Row],[MRL*CF*PF or LOQ (if not under assessment and LOQ)]],""))),"")</f>
        <v/>
      </c>
      <c r="AM413" s="1295" t="str">
        <f>IF(Table6[[#This Row],[input for case 3 normal mode]]&gt;0,IF(Table6[[#This Row],[Median residue*CF*PF]]&gt;0,"STMR-RAC",IF(AND($AC413&gt;0,NOT(V413="Y")),"MRL",IF($V413="Y","LOQ",""))),"")</f>
        <v/>
      </c>
      <c r="AN413" s="1295" t="str">
        <f t="shared" si="269"/>
        <v/>
      </c>
      <c r="AO413" s="1287" t="str">
        <f>IF(Table6[[#This Row],[input for case 3 normal mode]]="","",IF(AND(Table6[[#This Row],[label for case 3 calculation normal mode]]="LOQ",Table6[[#This Row],[GAP under assessment]]="N"),"",IF(Table6[[#This Row],[label description]]&gt;"",Table6[[#This Row],[label description]],"")))</f>
        <v/>
      </c>
      <c r="AP413" s="1287" t="str">
        <f>CONCATENATE(Table6[[#This Row],[label for case 3 calculation normal mode]],Table6[[#This Row],[label connector case 3 normal mode]],Table6[[#This Row],[label refinements case 3 normal mode]])</f>
        <v/>
      </c>
      <c r="AQ413" s="1287" t="str">
        <f>IF(Table6[[#This Row],[GAP under assessment]]="Y",Table6[[#This Row],[Input value normal mode case 1, 2a/2b,Po]],"")</f>
        <v/>
      </c>
      <c r="AR413" s="1287" t="str">
        <f>IF(Table6[[#This Row],[Input value refined mode case 1, 2a/2b,Po]]&gt;0,Table6[[#This Row],[concat label normal mode 1,2a/2b,Po ]],"")</f>
        <v/>
      </c>
      <c r="AS413" s="1303" t="str">
        <f>IF(Table6[[#This Row],[GAP under assessment]]="Y",Table6[[#This Row],[input for case 3 normal mode]],"")</f>
        <v/>
      </c>
      <c r="AT413" s="1287" t="str">
        <f>IF(Table6[[#This Row],[input for case 3 refined mode]]&gt;0,Table6[[#This Row],[concat label normal mode  case 3]],"")</f>
        <v/>
      </c>
      <c r="AU413" s="1295" t="str">
        <f>IF(Table6[[#This Row],[Input value normal mode case 1, 2a/2b,Po]]&gt;0,Table6[[#This Row],[Input value normal mode case 1, 2a/2b,Po]],Table6[[#This Row],[input for case 3 normal mode]])</f>
        <v/>
      </c>
      <c r="AV413" s="1295" t="str">
        <f>IF(Table6[[#This Row],[Input value normal mode case 1, 2a/2b,Po]]&gt;0,Table6[[#This Row],[concat label normal mode 1,2a/2b,Po ]],Table6[[#This Row],[concat label normal mode  case 3]])</f>
        <v/>
      </c>
      <c r="AW413" s="1295" t="str">
        <f>IF(Table6[[#This Row],[Input value refined mode case 1, 2a/2b,Po]]&gt;0,Table6[[#This Row],[Input value refined mode case 1, 2a/2b,Po]],Table6[[#This Row],[input for case 3 refined mode]])</f>
        <v/>
      </c>
      <c r="AX413" s="1295" t="str">
        <f>IF(Table6[[#This Row],[Input value refined mode case 1, 2a/2b,Po]]&gt;0,Table6[[#This Row],[concat label refined mode case 1,2a/2b,Po]],Table6[[#This Row],[label for case 3 calculation refined mode]])</f>
        <v/>
      </c>
      <c r="AY413" s="1287">
        <f t="shared" ref="AY413:AY442" si="274">$AC413</f>
        <v>0</v>
      </c>
      <c r="AZ413" s="1295" t="str">
        <f t="shared" si="270"/>
        <v/>
      </c>
      <c r="BA413" s="1295" t="str">
        <f t="shared" si="271"/>
        <v/>
      </c>
      <c r="BB413" s="1287" t="str">
        <f>IF(AND(Table6[[#This Row],[label for IESTI new normal mode]]="LOQ",Table6[[#This Row],[GAP under assessment]]="N"),"",IF(AND($H413&gt;0,$Y413&lt;&gt;1),"CF*PF",IF($H413&gt;0,"CF",IF($Y413&lt;&gt;1,"PF",""))))</f>
        <v/>
      </c>
      <c r="BC413" s="1296" t="s">
        <v>369</v>
      </c>
      <c r="BD413" s="1297"/>
      <c r="BE413" s="1304" t="str">
        <f>IF(Table6[[#This Row],[GAP under assessment]]="Y",Table6[[#This Row],[MRL*CF*PF or LOQ (if not under assessment and LOQ)]],"")</f>
        <v/>
      </c>
      <c r="BF413" s="1305" t="str">
        <f>IF(Table6[[#This Row],[Input for IESTI new refined mode]]&lt;&gt;"",CONCATENATE("MRL",Table6[[#This Row],[label connector case 3 normal mode]],Table6[[#This Row],[label refinements case 3 normal mode]]),"")</f>
        <v/>
      </c>
      <c r="BG413" s="1298" t="s">
        <v>489</v>
      </c>
      <c r="BH413" s="1306"/>
    </row>
    <row r="414" spans="1:65" s="11" customFormat="1" ht="12.75" customHeight="1" x14ac:dyDescent="0.2">
      <c r="A414" s="479" t="s">
        <v>491</v>
      </c>
      <c r="B414" s="480">
        <v>110030</v>
      </c>
      <c r="C414" s="547" t="s">
        <v>457</v>
      </c>
      <c r="D414" s="1261">
        <f>VLOOKUP(Table6[[#This Row],[Code no.]],$B$12:$D$390,3,FALSE)</f>
        <v>0</v>
      </c>
      <c r="E414" s="1264">
        <f t="shared" si="258"/>
        <v>0</v>
      </c>
      <c r="F414" s="1262" t="str">
        <f t="shared" si="272"/>
        <v/>
      </c>
      <c r="G414" s="1265">
        <f t="shared" si="259"/>
        <v>1</v>
      </c>
      <c r="H414" s="881"/>
      <c r="I414" s="880"/>
      <c r="J414" s="1269">
        <f t="shared" si="260"/>
        <v>0</v>
      </c>
      <c r="K414" s="1269">
        <f t="shared" si="261"/>
        <v>0</v>
      </c>
      <c r="L414" s="1270"/>
      <c r="M414" s="1271" t="str">
        <f t="shared" si="262"/>
        <v/>
      </c>
      <c r="N414" s="1272"/>
      <c r="O414" s="1273">
        <v>3</v>
      </c>
      <c r="P414" s="1273" t="str">
        <f>IF(OR($A$10=$BG$15,Results!$B$62=Results!$T$63),Table6[[#This Row],[label refine mode]],Table6[[#This Row],[label normal mode]])</f>
        <v/>
      </c>
      <c r="Q414" s="1257" t="str">
        <f>IF(OR($A$10=$BG$15,Results!$B$62=Results!$T$63),Table6[[#This Row],[input refined mode]],Table6[[#This Row],[Input normal mode]])</f>
        <v/>
      </c>
      <c r="R414" s="1275" t="str">
        <f>IF(Table6[[#This Row],[Acute RA IESTI new input value]]="","",CONCATENATE(Table6[[#This Row],[label for IESTI new normal mode]],Table6[[#This Row],[label connector IESTI new normal mode]],Table6[[#This Row],[label refinements normal mode]]))</f>
        <v/>
      </c>
      <c r="S414" s="1259">
        <f>IF(OR($A$10=$BG$15,Results!$B$62=Results!$T$63),Table6[[#This Row],[Input for IESTI new refined mode]],Table6[[#This Row],[Input for IESTI new normal mode]])</f>
        <v>0</v>
      </c>
      <c r="T414" s="888"/>
      <c r="U414" s="1283">
        <f t="shared" si="263"/>
        <v>0</v>
      </c>
      <c r="V414" s="1284" t="str">
        <f t="shared" si="273"/>
        <v/>
      </c>
      <c r="W414" s="1285">
        <f>IF($H414&gt;0,$H414,IF(Table6[[#This Row],[CFrisk for residue definition (applicable for unprocessed products)]]&gt;0,Table6[[#This Row],[CFrisk for residue definition (applicable for unprocessed products)]],1))</f>
        <v>1</v>
      </c>
      <c r="X414" s="1285">
        <v>1</v>
      </c>
      <c r="Y414" s="1285">
        <f t="shared" si="264"/>
        <v>1</v>
      </c>
      <c r="Z414" s="1285">
        <f t="shared" si="265"/>
        <v>1</v>
      </c>
      <c r="AA414" s="1285" t="str">
        <f>IF(Table6[[#This Row],[Post-harvest treatment]]="","","Y")</f>
        <v/>
      </c>
      <c r="AB414" s="1285" t="str">
        <f>IF(AND(Table6[[#This Row],[CF used for for calculation]]&lt;&gt;1,Table6[[#This Row],[PF for calculation]]&lt;&gt;1),"CF*PF",IF(Table6[[#This Row],[CF used for for calculation]]&lt;&gt;1,"CF",IF(Table6[[#This Row],[PF for calculation]]&lt;&gt;1,"PF","")))</f>
        <v/>
      </c>
      <c r="AC414" s="1300">
        <f>IF(AND(Table6[[#This Row],[LOQ RAC individual crop]]="Y",Table6[[#This Row],[GAP under assessment]]="N"),Table6[[#This Row],[MRL RAC individual commodity]],Table6[[#This Row],[MRL RAC individual commodity]]*Table6[[#This Row],[CF*PF for calculation]])</f>
        <v>0</v>
      </c>
      <c r="AD414" s="1287">
        <f t="shared" si="266"/>
        <v>0</v>
      </c>
      <c r="AE414" s="1287">
        <f t="shared" si="267"/>
        <v>0</v>
      </c>
      <c r="AF414" s="1288">
        <f>Table6[[#This Row],[IESTI case]]</f>
        <v>3</v>
      </c>
      <c r="AG41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14" s="1302" t="str">
        <f>IF(Table6[[#This Row],[Input value normal mode case 1, 2a/2b,Po]]&gt;0,
              IF(Table6[[#This Row],[Highest residue * CF*PF]]&gt;"","HR-RAC",
                             IF(Table6[[#This Row],[LOQ RAC individual crop]]="Y","LOQ","MRL")),"")</f>
        <v/>
      </c>
      <c r="AI414" s="1302" t="str">
        <f t="shared" si="268"/>
        <v/>
      </c>
      <c r="AJ414" s="1302" t="str">
        <f>IF(Table6[[#This Row],[Input value normal mode case 1, 2a/2b,Po]]&gt;0,IF(Table6[[#This Row],[label description]]&gt;"",Table6[[#This Row],[label description]],""),"")</f>
        <v/>
      </c>
      <c r="AK414" s="1302" t="str">
        <f>CONCATENATE(Table6[[#This Row],[label for IESTI normal mode case 1, 2a/2b,Po]],Table6[[#This Row],[label connector case  normal mode]],Table6[[#This Row],[label refinements normal mode case 1, 2a/2b,Po]])</f>
        <v/>
      </c>
      <c r="AL414" s="1287" t="str">
        <f>IF(AND(Table6[[#This Row],[Case for acute RA children / adults]]=3,Table6[[#This Row],[Post-harvest treatment]]=""),IF(AND(Table6[[#This Row],[LOQ RAC individual crop]]="Y",M413="N"),Table6[[#This Row],[MRL RAC individual commodity]],IF(Table6[[#This Row],[Median residue*CF*PF]]&gt;0,Table6[[#This Row],[Median residue*CF*PF]],IF(Table6[[#This Row],[MRL*CF*PF or LOQ (if not under assessment and LOQ)]]&gt;0,Table6[[#This Row],[MRL*CF*PF or LOQ (if not under assessment and LOQ)]],""))),"")</f>
        <v/>
      </c>
      <c r="AM414" s="1295" t="str">
        <f>IF(Table6[[#This Row],[input for case 3 normal mode]]&gt;0,IF(Table6[[#This Row],[Median residue*CF*PF]]&gt;0,"STMR-RAC",IF(AND($AC414&gt;0,NOT(V414="Y")),"MRL",IF($V414="Y","LOQ",""))),"")</f>
        <v/>
      </c>
      <c r="AN414" s="1295" t="str">
        <f t="shared" si="269"/>
        <v/>
      </c>
      <c r="AO414" s="1287" t="str">
        <f>IF(Table6[[#This Row],[input for case 3 normal mode]]="","",IF(AND(Table6[[#This Row],[label for case 3 calculation normal mode]]="LOQ",Table6[[#This Row],[GAP under assessment]]="N"),"",IF(Table6[[#This Row],[label description]]&gt;"",Table6[[#This Row],[label description]],"")))</f>
        <v/>
      </c>
      <c r="AP414" s="1287" t="str">
        <f>CONCATENATE(Table6[[#This Row],[label for case 3 calculation normal mode]],Table6[[#This Row],[label connector case 3 normal mode]],Table6[[#This Row],[label refinements case 3 normal mode]])</f>
        <v/>
      </c>
      <c r="AQ414" s="1287" t="str">
        <f>IF(Table6[[#This Row],[GAP under assessment]]="Y",Table6[[#This Row],[Input value normal mode case 1, 2a/2b,Po]],"")</f>
        <v/>
      </c>
      <c r="AR414" s="1287" t="str">
        <f>IF(Table6[[#This Row],[Input value refined mode case 1, 2a/2b,Po]]&gt;0,Table6[[#This Row],[concat label normal mode 1,2a/2b,Po ]],"")</f>
        <v/>
      </c>
      <c r="AS414" s="1303" t="str">
        <f>IF(Table6[[#This Row],[GAP under assessment]]="Y",Table6[[#This Row],[input for case 3 normal mode]],"")</f>
        <v/>
      </c>
      <c r="AT414" s="1287" t="str">
        <f>IF(Table6[[#This Row],[input for case 3 refined mode]]&gt;0,Table6[[#This Row],[concat label normal mode  case 3]],"")</f>
        <v/>
      </c>
      <c r="AU414" s="1295" t="str">
        <f>IF(Table6[[#This Row],[Input value normal mode case 1, 2a/2b,Po]]&gt;0,Table6[[#This Row],[Input value normal mode case 1, 2a/2b,Po]],Table6[[#This Row],[input for case 3 normal mode]])</f>
        <v/>
      </c>
      <c r="AV414" s="1295" t="str">
        <f>IF(Table6[[#This Row],[Input value normal mode case 1, 2a/2b,Po]]&gt;0,Table6[[#This Row],[concat label normal mode 1,2a/2b,Po ]],Table6[[#This Row],[concat label normal mode  case 3]])</f>
        <v/>
      </c>
      <c r="AW414" s="1295" t="str">
        <f>IF(Table6[[#This Row],[Input value refined mode case 1, 2a/2b,Po]]&gt;0,Table6[[#This Row],[Input value refined mode case 1, 2a/2b,Po]],Table6[[#This Row],[input for case 3 refined mode]])</f>
        <v/>
      </c>
      <c r="AX414" s="1295" t="str">
        <f>IF(Table6[[#This Row],[Input value refined mode case 1, 2a/2b,Po]]&gt;0,Table6[[#This Row],[concat label refined mode case 1,2a/2b,Po]],Table6[[#This Row],[label for case 3 calculation refined mode]])</f>
        <v/>
      </c>
      <c r="AY414" s="1287">
        <f t="shared" si="274"/>
        <v>0</v>
      </c>
      <c r="AZ414" s="1295" t="str">
        <f t="shared" si="270"/>
        <v/>
      </c>
      <c r="BA414" s="1295" t="str">
        <f t="shared" si="271"/>
        <v/>
      </c>
      <c r="BB414" s="1287" t="str">
        <f>IF(AND(Table6[[#This Row],[label for IESTI new normal mode]]="LOQ",Table6[[#This Row],[GAP under assessment]]="N"),"",IF(AND($H414&gt;0,$Y414&lt;&gt;1),"CF*PF",IF($H414&gt;0,"CF",IF($Y414&lt;&gt;1,"PF",""))))</f>
        <v/>
      </c>
      <c r="BC414" s="1296" t="s">
        <v>369</v>
      </c>
      <c r="BD414" s="1297"/>
      <c r="BE414" s="1304" t="str">
        <f>IF(Table6[[#This Row],[GAP under assessment]]="Y",Table6[[#This Row],[MRL*CF*PF or LOQ (if not under assessment and LOQ)]],"")</f>
        <v/>
      </c>
      <c r="BF414" s="1305" t="str">
        <f>IF(Table6[[#This Row],[Input for IESTI new refined mode]]&lt;&gt;"",CONCATENATE("MRL",Table6[[#This Row],[label connector case 3 normal mode]],Table6[[#This Row],[label refinements case 3 normal mode]]),"")</f>
        <v/>
      </c>
      <c r="BG414" s="1298" t="s">
        <v>491</v>
      </c>
      <c r="BH414" s="1306"/>
    </row>
    <row r="415" spans="1:65" s="11" customFormat="1" ht="12.75" customHeight="1" x14ac:dyDescent="0.2">
      <c r="A415" s="479" t="s">
        <v>525</v>
      </c>
      <c r="B415" s="480">
        <v>110030</v>
      </c>
      <c r="C415" s="547" t="s">
        <v>421</v>
      </c>
      <c r="D415" s="1261">
        <f>VLOOKUP(Table6[[#This Row],[Code no.]],$B$12:$D$390,3,FALSE)</f>
        <v>0</v>
      </c>
      <c r="E415" s="1264">
        <f t="shared" si="258"/>
        <v>0</v>
      </c>
      <c r="F415" s="1262" t="str">
        <f t="shared" si="272"/>
        <v/>
      </c>
      <c r="G415" s="1265">
        <f t="shared" si="259"/>
        <v>1</v>
      </c>
      <c r="H415" s="881"/>
      <c r="I415" s="880"/>
      <c r="J415" s="1269">
        <f t="shared" si="260"/>
        <v>0</v>
      </c>
      <c r="K415" s="1269">
        <f t="shared" si="261"/>
        <v>0</v>
      </c>
      <c r="L415" s="1270"/>
      <c r="M415" s="1271" t="str">
        <f t="shared" si="262"/>
        <v/>
      </c>
      <c r="N415" s="1272"/>
      <c r="O415" s="1273">
        <v>3</v>
      </c>
      <c r="P415" s="1273" t="str">
        <f>IF(OR($A$10=$BG$15,Results!$B$62=Results!$T$63),Table6[[#This Row],[label refine mode]],Table6[[#This Row],[label normal mode]])</f>
        <v/>
      </c>
      <c r="Q415" s="1257" t="str">
        <f>IF(OR($A$10=$BG$15,Results!$B$62=Results!$T$63),Table6[[#This Row],[input refined mode]],Table6[[#This Row],[Input normal mode]])</f>
        <v/>
      </c>
      <c r="R415" s="1275" t="str">
        <f>IF(Table6[[#This Row],[Acute RA IESTI new input value]]="","",CONCATENATE(Table6[[#This Row],[label for IESTI new normal mode]],Table6[[#This Row],[label connector IESTI new normal mode]],Table6[[#This Row],[label refinements normal mode]]))</f>
        <v/>
      </c>
      <c r="S415" s="1259">
        <f>IF(OR($A$10=$BG$15,Results!$B$62=Results!$T$63),Table6[[#This Row],[Input for IESTI new refined mode]],Table6[[#This Row],[Input for IESTI new normal mode]])</f>
        <v>0</v>
      </c>
      <c r="T415" s="888"/>
      <c r="U415" s="1283">
        <f t="shared" si="263"/>
        <v>0</v>
      </c>
      <c r="V415" s="1284" t="str">
        <f t="shared" si="273"/>
        <v/>
      </c>
      <c r="W415" s="1285">
        <f>IF($H415&gt;0,$H415,IF(Table6[[#This Row],[CFrisk for residue definition (applicable for unprocessed products)]]&gt;0,Table6[[#This Row],[CFrisk for residue definition (applicable for unprocessed products)]],1))</f>
        <v>1</v>
      </c>
      <c r="X415" s="1285">
        <v>1</v>
      </c>
      <c r="Y415" s="1285">
        <f t="shared" si="264"/>
        <v>1</v>
      </c>
      <c r="Z415" s="1285">
        <f t="shared" si="265"/>
        <v>1</v>
      </c>
      <c r="AA415" s="1285" t="str">
        <f>IF(Table6[[#This Row],[Post-harvest treatment]]="","","Y")</f>
        <v/>
      </c>
      <c r="AB415" s="1285" t="str">
        <f>IF(AND(Table6[[#This Row],[CF used for for calculation]]&lt;&gt;1,Table6[[#This Row],[PF for calculation]]&lt;&gt;1),"CF*PF",IF(Table6[[#This Row],[CF used for for calculation]]&lt;&gt;1,"CF",IF(Table6[[#This Row],[PF for calculation]]&lt;&gt;1,"PF","")))</f>
        <v/>
      </c>
      <c r="AC415" s="1300">
        <f>IF(AND(Table6[[#This Row],[LOQ RAC individual crop]]="Y",Table6[[#This Row],[GAP under assessment]]="N"),Table6[[#This Row],[MRL RAC individual commodity]],Table6[[#This Row],[MRL RAC individual commodity]]*Table6[[#This Row],[CF*PF for calculation]])</f>
        <v>0</v>
      </c>
      <c r="AD415" s="1287">
        <f t="shared" si="266"/>
        <v>0</v>
      </c>
      <c r="AE415" s="1287">
        <f t="shared" si="267"/>
        <v>0</v>
      </c>
      <c r="AF415" s="1288">
        <f>Table6[[#This Row],[IESTI case]]</f>
        <v>3</v>
      </c>
      <c r="AG41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15" s="1302" t="str">
        <f>IF(Table6[[#This Row],[Input value normal mode case 1, 2a/2b,Po]]&gt;0,
              IF(Table6[[#This Row],[Highest residue * CF*PF]]&gt;"","HR-RAC",
                             IF(Table6[[#This Row],[LOQ RAC individual crop]]="Y","LOQ","MRL")),"")</f>
        <v/>
      </c>
      <c r="AI415" s="1302" t="str">
        <f t="shared" si="268"/>
        <v/>
      </c>
      <c r="AJ415" s="1302" t="str">
        <f>IF(Table6[[#This Row],[Input value normal mode case 1, 2a/2b,Po]]&gt;0,IF(Table6[[#This Row],[label description]]&gt;"",Table6[[#This Row],[label description]],""),"")</f>
        <v/>
      </c>
      <c r="AK415" s="1302" t="str">
        <f>CONCATENATE(Table6[[#This Row],[label for IESTI normal mode case 1, 2a/2b,Po]],Table6[[#This Row],[label connector case  normal mode]],Table6[[#This Row],[label refinements normal mode case 1, 2a/2b,Po]])</f>
        <v/>
      </c>
      <c r="AL415" s="1287" t="str">
        <f>IF(AND(Table6[[#This Row],[Case for acute RA children / adults]]=3,Table6[[#This Row],[Post-harvest treatment]]=""),IF(AND(Table6[[#This Row],[LOQ RAC individual crop]]="Y",M414="N"),Table6[[#This Row],[MRL RAC individual commodity]],IF(Table6[[#This Row],[Median residue*CF*PF]]&gt;0,Table6[[#This Row],[Median residue*CF*PF]],IF(Table6[[#This Row],[MRL*CF*PF or LOQ (if not under assessment and LOQ)]]&gt;0,Table6[[#This Row],[MRL*CF*PF or LOQ (if not under assessment and LOQ)]],""))),"")</f>
        <v/>
      </c>
      <c r="AM415" s="1295" t="str">
        <f>IF(Table6[[#This Row],[input for case 3 normal mode]]&gt;0,IF(Table6[[#This Row],[Median residue*CF*PF]]&gt;0,"STMR-RAC",IF(AND($AC415&gt;0,NOT(V415="Y")),"MRL",IF($V415="Y","LOQ",""))),"")</f>
        <v/>
      </c>
      <c r="AN415" s="1295" t="str">
        <f t="shared" si="269"/>
        <v/>
      </c>
      <c r="AO415" s="1287" t="str">
        <f>IF(Table6[[#This Row],[input for case 3 normal mode]]="","",IF(AND(Table6[[#This Row],[label for case 3 calculation normal mode]]="LOQ",Table6[[#This Row],[GAP under assessment]]="N"),"",IF(Table6[[#This Row],[label description]]&gt;"",Table6[[#This Row],[label description]],"")))</f>
        <v/>
      </c>
      <c r="AP415" s="1287" t="str">
        <f>CONCATENATE(Table6[[#This Row],[label for case 3 calculation normal mode]],Table6[[#This Row],[label connector case 3 normal mode]],Table6[[#This Row],[label refinements case 3 normal mode]])</f>
        <v/>
      </c>
      <c r="AQ415" s="1287" t="str">
        <f>IF(Table6[[#This Row],[GAP under assessment]]="Y",Table6[[#This Row],[Input value normal mode case 1, 2a/2b,Po]],"")</f>
        <v/>
      </c>
      <c r="AR415" s="1287" t="str">
        <f>IF(Table6[[#This Row],[Input value refined mode case 1, 2a/2b,Po]]&gt;0,Table6[[#This Row],[concat label normal mode 1,2a/2b,Po ]],"")</f>
        <v/>
      </c>
      <c r="AS415" s="1303" t="str">
        <f>IF(Table6[[#This Row],[GAP under assessment]]="Y",Table6[[#This Row],[input for case 3 normal mode]],"")</f>
        <v/>
      </c>
      <c r="AT415" s="1287" t="str">
        <f>IF(Table6[[#This Row],[input for case 3 refined mode]]&gt;0,Table6[[#This Row],[concat label normal mode  case 3]],"")</f>
        <v/>
      </c>
      <c r="AU415" s="1295" t="str">
        <f>IF(Table6[[#This Row],[Input value normal mode case 1, 2a/2b,Po]]&gt;0,Table6[[#This Row],[Input value normal mode case 1, 2a/2b,Po]],Table6[[#This Row],[input for case 3 normal mode]])</f>
        <v/>
      </c>
      <c r="AV415" s="1295" t="str">
        <f>IF(Table6[[#This Row],[Input value normal mode case 1, 2a/2b,Po]]&gt;0,Table6[[#This Row],[concat label normal mode 1,2a/2b,Po ]],Table6[[#This Row],[concat label normal mode  case 3]])</f>
        <v/>
      </c>
      <c r="AW415" s="1295" t="str">
        <f>IF(Table6[[#This Row],[Input value refined mode case 1, 2a/2b,Po]]&gt;0,Table6[[#This Row],[Input value refined mode case 1, 2a/2b,Po]],Table6[[#This Row],[input for case 3 refined mode]])</f>
        <v/>
      </c>
      <c r="AX415" s="1295" t="str">
        <f>IF(Table6[[#This Row],[Input value refined mode case 1, 2a/2b,Po]]&gt;0,Table6[[#This Row],[concat label refined mode case 1,2a/2b,Po]],Table6[[#This Row],[label for case 3 calculation refined mode]])</f>
        <v/>
      </c>
      <c r="AY415" s="1287">
        <f t="shared" si="274"/>
        <v>0</v>
      </c>
      <c r="AZ415" s="1295" t="str">
        <f t="shared" si="270"/>
        <v/>
      </c>
      <c r="BA415" s="1295" t="str">
        <f t="shared" si="271"/>
        <v/>
      </c>
      <c r="BB415" s="1287" t="str">
        <f>IF(AND(Table6[[#This Row],[label for IESTI new normal mode]]="LOQ",Table6[[#This Row],[GAP under assessment]]="N"),"",IF(AND($H415&gt;0,$Y415&lt;&gt;1),"CF*PF",IF($H415&gt;0,"CF",IF($Y415&lt;&gt;1,"PF",""))))</f>
        <v/>
      </c>
      <c r="BC415" s="1296" t="s">
        <v>369</v>
      </c>
      <c r="BD415" s="1297"/>
      <c r="BE415" s="1304" t="str">
        <f>IF(Table6[[#This Row],[GAP under assessment]]="Y",Table6[[#This Row],[MRL*CF*PF or LOQ (if not under assessment and LOQ)]],"")</f>
        <v/>
      </c>
      <c r="BF415" s="1305" t="str">
        <f>IF(Table6[[#This Row],[Input for IESTI new refined mode]]&lt;&gt;"",CONCATENATE("MRL",Table6[[#This Row],[label connector case 3 normal mode]],Table6[[#This Row],[label refinements case 3 normal mode]]),"")</f>
        <v/>
      </c>
      <c r="BG415" s="1298" t="s">
        <v>525</v>
      </c>
      <c r="BH415" s="1306"/>
    </row>
    <row r="416" spans="1:65" s="11" customFormat="1" ht="12.75" customHeight="1" x14ac:dyDescent="0.2">
      <c r="A416" s="479" t="s">
        <v>492</v>
      </c>
      <c r="B416" s="480">
        <v>110040</v>
      </c>
      <c r="C416" s="547" t="s">
        <v>377</v>
      </c>
      <c r="D416" s="1261">
        <f>VLOOKUP(Table6[[#This Row],[Code no.]],$B$12:$D$390,3,FALSE)</f>
        <v>0</v>
      </c>
      <c r="E416" s="1264">
        <f t="shared" si="258"/>
        <v>0</v>
      </c>
      <c r="F416" s="1262" t="str">
        <f t="shared" si="272"/>
        <v/>
      </c>
      <c r="G416" s="1265">
        <f t="shared" si="259"/>
        <v>1</v>
      </c>
      <c r="H416" s="881"/>
      <c r="I416" s="880"/>
      <c r="J416" s="1269">
        <f t="shared" si="260"/>
        <v>0</v>
      </c>
      <c r="K416" s="1269">
        <f t="shared" si="261"/>
        <v>0</v>
      </c>
      <c r="L416" s="1270"/>
      <c r="M416" s="1271" t="str">
        <f t="shared" si="262"/>
        <v/>
      </c>
      <c r="N416" s="1272"/>
      <c r="O416" s="1273">
        <v>3</v>
      </c>
      <c r="P416" s="1273" t="str">
        <f>IF(OR($A$10=$BG$15,Results!$B$62=Results!$T$63),Table6[[#This Row],[label refine mode]],Table6[[#This Row],[label normal mode]])</f>
        <v/>
      </c>
      <c r="Q416" s="1257" t="str">
        <f>IF(OR($A$10=$BG$15,Results!$B$62=Results!$T$63),Table6[[#This Row],[input refined mode]],Table6[[#This Row],[Input normal mode]])</f>
        <v/>
      </c>
      <c r="R416" s="1275" t="str">
        <f>IF(Table6[[#This Row],[Acute RA IESTI new input value]]="","",CONCATENATE(Table6[[#This Row],[label for IESTI new normal mode]],Table6[[#This Row],[label connector IESTI new normal mode]],Table6[[#This Row],[label refinements normal mode]]))</f>
        <v/>
      </c>
      <c r="S416" s="1259">
        <f>IF(OR($A$10=$BG$15,Results!$B$62=Results!$T$63),Table6[[#This Row],[Input for IESTI new refined mode]],Table6[[#This Row],[Input for IESTI new normal mode]])</f>
        <v>0</v>
      </c>
      <c r="T416" s="888"/>
      <c r="U416" s="1283">
        <f t="shared" si="263"/>
        <v>0</v>
      </c>
      <c r="V416" s="1284" t="str">
        <f t="shared" si="273"/>
        <v/>
      </c>
      <c r="W416" s="1285">
        <f>IF($H416&gt;0,$H416,IF(Table6[[#This Row],[CFrisk for residue definition (applicable for unprocessed products)]]&gt;0,Table6[[#This Row],[CFrisk for residue definition (applicable for unprocessed products)]],1))</f>
        <v>1</v>
      </c>
      <c r="X416" s="1285">
        <v>1</v>
      </c>
      <c r="Y416" s="1285">
        <f t="shared" si="264"/>
        <v>1</v>
      </c>
      <c r="Z416" s="1285">
        <f t="shared" si="265"/>
        <v>1</v>
      </c>
      <c r="AA416" s="1285" t="str">
        <f>IF(Table6[[#This Row],[Post-harvest treatment]]="","","Y")</f>
        <v/>
      </c>
      <c r="AB416" s="1285" t="str">
        <f>IF(AND(Table6[[#This Row],[CF used for for calculation]]&lt;&gt;1,Table6[[#This Row],[PF for calculation]]&lt;&gt;1),"CF*PF",IF(Table6[[#This Row],[CF used for for calculation]]&lt;&gt;1,"CF",IF(Table6[[#This Row],[PF for calculation]]&lt;&gt;1,"PF","")))</f>
        <v/>
      </c>
      <c r="AC416" s="1300">
        <f>IF(AND(Table6[[#This Row],[LOQ RAC individual crop]]="Y",Table6[[#This Row],[GAP under assessment]]="N"),Table6[[#This Row],[MRL RAC individual commodity]],Table6[[#This Row],[MRL RAC individual commodity]]*Table6[[#This Row],[CF*PF for calculation]])</f>
        <v>0</v>
      </c>
      <c r="AD416" s="1287">
        <f t="shared" si="266"/>
        <v>0</v>
      </c>
      <c r="AE416" s="1287">
        <f t="shared" si="267"/>
        <v>0</v>
      </c>
      <c r="AF416" s="1288">
        <f>Table6[[#This Row],[IESTI case]]</f>
        <v>3</v>
      </c>
      <c r="AG41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16" s="1302" t="str">
        <f>IF(Table6[[#This Row],[Input value normal mode case 1, 2a/2b,Po]]&gt;0,
              IF(Table6[[#This Row],[Highest residue * CF*PF]]&gt;"","HR-RAC",
                             IF(Table6[[#This Row],[LOQ RAC individual crop]]="Y","LOQ","MRL")),"")</f>
        <v/>
      </c>
      <c r="AI416" s="1302" t="str">
        <f t="shared" si="268"/>
        <v/>
      </c>
      <c r="AJ416" s="1302" t="str">
        <f>IF(Table6[[#This Row],[Input value normal mode case 1, 2a/2b,Po]]&gt;0,IF(Table6[[#This Row],[label description]]&gt;"",Table6[[#This Row],[label description]],""),"")</f>
        <v/>
      </c>
      <c r="AK416" s="1302" t="str">
        <f>CONCATENATE(Table6[[#This Row],[label for IESTI normal mode case 1, 2a/2b,Po]],Table6[[#This Row],[label connector case  normal mode]],Table6[[#This Row],[label refinements normal mode case 1, 2a/2b,Po]])</f>
        <v/>
      </c>
      <c r="AL416" s="1287" t="str">
        <f>IF(AND(Table6[[#This Row],[Case for acute RA children / adults]]=3,Table6[[#This Row],[Post-harvest treatment]]=""),IF(AND(Table6[[#This Row],[LOQ RAC individual crop]]="Y",M415="N"),Table6[[#This Row],[MRL RAC individual commodity]],IF(Table6[[#This Row],[Median residue*CF*PF]]&gt;0,Table6[[#This Row],[Median residue*CF*PF]],IF(Table6[[#This Row],[MRL*CF*PF or LOQ (if not under assessment and LOQ)]]&gt;0,Table6[[#This Row],[MRL*CF*PF or LOQ (if not under assessment and LOQ)]],""))),"")</f>
        <v/>
      </c>
      <c r="AM416" s="1295" t="str">
        <f>IF(Table6[[#This Row],[input for case 3 normal mode]]&gt;0,IF(Table6[[#This Row],[Median residue*CF*PF]]&gt;0,"STMR-RAC",IF(AND($AC416&gt;0,NOT(V416="Y")),"MRL",IF($V416="Y","LOQ",""))),"")</f>
        <v/>
      </c>
      <c r="AN416" s="1295" t="str">
        <f t="shared" si="269"/>
        <v/>
      </c>
      <c r="AO416" s="1287" t="str">
        <f>IF(Table6[[#This Row],[input for case 3 normal mode]]="","",IF(AND(Table6[[#This Row],[label for case 3 calculation normal mode]]="LOQ",Table6[[#This Row],[GAP under assessment]]="N"),"",IF(Table6[[#This Row],[label description]]&gt;"",Table6[[#This Row],[label description]],"")))</f>
        <v/>
      </c>
      <c r="AP416" s="1287" t="str">
        <f>CONCATENATE(Table6[[#This Row],[label for case 3 calculation normal mode]],Table6[[#This Row],[label connector case 3 normal mode]],Table6[[#This Row],[label refinements case 3 normal mode]])</f>
        <v/>
      </c>
      <c r="AQ416" s="1287" t="str">
        <f>IF(Table6[[#This Row],[GAP under assessment]]="Y",Table6[[#This Row],[Input value normal mode case 1, 2a/2b,Po]],"")</f>
        <v/>
      </c>
      <c r="AR416" s="1287" t="str">
        <f>IF(Table6[[#This Row],[Input value refined mode case 1, 2a/2b,Po]]&gt;0,Table6[[#This Row],[concat label normal mode 1,2a/2b,Po ]],"")</f>
        <v/>
      </c>
      <c r="AS416" s="1303" t="str">
        <f>IF(Table6[[#This Row],[GAP under assessment]]="Y",Table6[[#This Row],[input for case 3 normal mode]],"")</f>
        <v/>
      </c>
      <c r="AT416" s="1287" t="str">
        <f>IF(Table6[[#This Row],[input for case 3 refined mode]]&gt;0,Table6[[#This Row],[concat label normal mode  case 3]],"")</f>
        <v/>
      </c>
      <c r="AU416" s="1295" t="str">
        <f>IF(Table6[[#This Row],[Input value normal mode case 1, 2a/2b,Po]]&gt;0,Table6[[#This Row],[Input value normal mode case 1, 2a/2b,Po]],Table6[[#This Row],[input for case 3 normal mode]])</f>
        <v/>
      </c>
      <c r="AV416" s="1295" t="str">
        <f>IF(Table6[[#This Row],[Input value normal mode case 1, 2a/2b,Po]]&gt;0,Table6[[#This Row],[concat label normal mode 1,2a/2b,Po ]],Table6[[#This Row],[concat label normal mode  case 3]])</f>
        <v/>
      </c>
      <c r="AW416" s="1295" t="str">
        <f>IF(Table6[[#This Row],[Input value refined mode case 1, 2a/2b,Po]]&gt;0,Table6[[#This Row],[Input value refined mode case 1, 2a/2b,Po]],Table6[[#This Row],[input for case 3 refined mode]])</f>
        <v/>
      </c>
      <c r="AX416" s="1295" t="str">
        <f>IF(Table6[[#This Row],[Input value refined mode case 1, 2a/2b,Po]]&gt;0,Table6[[#This Row],[concat label refined mode case 1,2a/2b,Po]],Table6[[#This Row],[label for case 3 calculation refined mode]])</f>
        <v/>
      </c>
      <c r="AY416" s="1287">
        <f t="shared" si="274"/>
        <v>0</v>
      </c>
      <c r="AZ416" s="1295" t="str">
        <f t="shared" si="270"/>
        <v/>
      </c>
      <c r="BA416" s="1295" t="str">
        <f t="shared" si="271"/>
        <v/>
      </c>
      <c r="BB416" s="1287" t="str">
        <f>IF(AND(Table6[[#This Row],[label for IESTI new normal mode]]="LOQ",Table6[[#This Row],[GAP under assessment]]="N"),"",IF(AND($H416&gt;0,$Y416&lt;&gt;1),"CF*PF",IF($H416&gt;0,"CF",IF($Y416&lt;&gt;1,"PF",""))))</f>
        <v/>
      </c>
      <c r="BC416" s="1296" t="s">
        <v>369</v>
      </c>
      <c r="BD416" s="1297"/>
      <c r="BE416" s="1304" t="str">
        <f>IF(Table6[[#This Row],[GAP under assessment]]="Y",Table6[[#This Row],[MRL*CF*PF or LOQ (if not under assessment and LOQ)]],"")</f>
        <v/>
      </c>
      <c r="BF416" s="1305" t="str">
        <f>IF(Table6[[#This Row],[Input for IESTI new refined mode]]&lt;&gt;"",CONCATENATE("MRL",Table6[[#This Row],[label connector case 3 normal mode]],Table6[[#This Row],[label refinements case 3 normal mode]]),"")</f>
        <v/>
      </c>
      <c r="BG416" s="1298" t="s">
        <v>492</v>
      </c>
      <c r="BH416" s="1306"/>
    </row>
    <row r="417" spans="1:60" s="11" customFormat="1" ht="12.75" customHeight="1" x14ac:dyDescent="0.2">
      <c r="A417" s="479" t="s">
        <v>512</v>
      </c>
      <c r="B417" s="480">
        <v>120050</v>
      </c>
      <c r="C417" s="547" t="s">
        <v>1907</v>
      </c>
      <c r="D417" s="1261">
        <f>VLOOKUP(Table6[[#This Row],[Code no.]],$B$12:$D$390,3,FALSE)</f>
        <v>0</v>
      </c>
      <c r="E417" s="1264">
        <f t="shared" si="258"/>
        <v>0</v>
      </c>
      <c r="F417" s="1262" t="str">
        <f t="shared" si="272"/>
        <v/>
      </c>
      <c r="G417" s="1265">
        <f t="shared" si="259"/>
        <v>1</v>
      </c>
      <c r="H417" s="881"/>
      <c r="I417" s="880"/>
      <c r="J417" s="1269">
        <f t="shared" si="260"/>
        <v>0</v>
      </c>
      <c r="K417" s="1269">
        <f t="shared" si="261"/>
        <v>0</v>
      </c>
      <c r="L417" s="1270"/>
      <c r="M417" s="1271" t="str">
        <f t="shared" si="262"/>
        <v/>
      </c>
      <c r="N417" s="1272"/>
      <c r="O417" s="1273">
        <v>3</v>
      </c>
      <c r="P417" s="1273" t="str">
        <f>IF(OR($A$10=$BG$15,Results!$B$62=Results!$T$63),Table6[[#This Row],[label refine mode]],Table6[[#This Row],[label normal mode]])</f>
        <v/>
      </c>
      <c r="Q417" s="1257" t="str">
        <f>IF(OR($A$10=$BG$15,Results!$B$62=Results!$T$63),Table6[[#This Row],[input refined mode]],Table6[[#This Row],[Input normal mode]])</f>
        <v/>
      </c>
      <c r="R417" s="1275" t="str">
        <f>IF(Table6[[#This Row],[Acute RA IESTI new input value]]="","",CONCATENATE(Table6[[#This Row],[label for IESTI new normal mode]],Table6[[#This Row],[label connector IESTI new normal mode]],Table6[[#This Row],[label refinements normal mode]]))</f>
        <v/>
      </c>
      <c r="S417" s="1259">
        <f>IF(OR($A$10=$BG$15,Results!$B$62=Results!$T$63),Table6[[#This Row],[Input for IESTI new refined mode]],Table6[[#This Row],[Input for IESTI new normal mode]])</f>
        <v>0</v>
      </c>
      <c r="T417" s="888"/>
      <c r="U417" s="1283">
        <f t="shared" si="263"/>
        <v>0</v>
      </c>
      <c r="V417" s="1284" t="str">
        <f t="shared" si="273"/>
        <v/>
      </c>
      <c r="W417" s="1285">
        <f>IF($H417&gt;0,$H417,IF(Table6[[#This Row],[CFrisk for residue definition (applicable for unprocessed products)]]&gt;0,Table6[[#This Row],[CFrisk for residue definition (applicable for unprocessed products)]],1))</f>
        <v>1</v>
      </c>
      <c r="X417" s="1285">
        <v>1</v>
      </c>
      <c r="Y417" s="1285">
        <f t="shared" si="264"/>
        <v>1</v>
      </c>
      <c r="Z417" s="1285">
        <f t="shared" si="265"/>
        <v>1</v>
      </c>
      <c r="AA417" s="1285" t="str">
        <f>IF(Table6[[#This Row],[Post-harvest treatment]]="","","Y")</f>
        <v/>
      </c>
      <c r="AB417" s="1285" t="str">
        <f>IF(AND(Table6[[#This Row],[CF used for for calculation]]&lt;&gt;1,Table6[[#This Row],[PF for calculation]]&lt;&gt;1),"CF*PF",IF(Table6[[#This Row],[CF used for for calculation]]&lt;&gt;1,"CF",IF(Table6[[#This Row],[PF for calculation]]&lt;&gt;1,"PF","")))</f>
        <v/>
      </c>
      <c r="AC417" s="1300">
        <f>IF(AND(Table6[[#This Row],[LOQ RAC individual crop]]="Y",Table6[[#This Row],[GAP under assessment]]="N"),Table6[[#This Row],[MRL RAC individual commodity]],Table6[[#This Row],[MRL RAC individual commodity]]*Table6[[#This Row],[CF*PF for calculation]])</f>
        <v>0</v>
      </c>
      <c r="AD417" s="1287">
        <f t="shared" si="266"/>
        <v>0</v>
      </c>
      <c r="AE417" s="1287">
        <f t="shared" si="267"/>
        <v>0</v>
      </c>
      <c r="AF417" s="1288">
        <f>Table6[[#This Row],[IESTI case]]</f>
        <v>3</v>
      </c>
      <c r="AG41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17" s="1302" t="str">
        <f>IF(Table6[[#This Row],[Input value normal mode case 1, 2a/2b,Po]]&gt;0,
              IF(Table6[[#This Row],[Highest residue * CF*PF]]&gt;"","HR-RAC",
                             IF(Table6[[#This Row],[LOQ RAC individual crop]]="Y","LOQ","MRL")),"")</f>
        <v/>
      </c>
      <c r="AI417" s="1302" t="str">
        <f t="shared" si="268"/>
        <v/>
      </c>
      <c r="AJ417" s="1302" t="str">
        <f>IF(Table6[[#This Row],[Input value normal mode case 1, 2a/2b,Po]]&gt;0,IF(Table6[[#This Row],[label description]]&gt;"",Table6[[#This Row],[label description]],""),"")</f>
        <v/>
      </c>
      <c r="AK417" s="1302" t="str">
        <f>CONCATENATE(Table6[[#This Row],[label for IESTI normal mode case 1, 2a/2b,Po]],Table6[[#This Row],[label connector case  normal mode]],Table6[[#This Row],[label refinements normal mode case 1, 2a/2b,Po]])</f>
        <v/>
      </c>
      <c r="AL417" s="1287" t="str">
        <f>IF(AND(Table6[[#This Row],[Case for acute RA children / adults]]=3,Table6[[#This Row],[Post-harvest treatment]]=""),IF(AND(Table6[[#This Row],[LOQ RAC individual crop]]="Y",M416="N"),Table6[[#This Row],[MRL RAC individual commodity]],IF(Table6[[#This Row],[Median residue*CF*PF]]&gt;0,Table6[[#This Row],[Median residue*CF*PF]],IF(Table6[[#This Row],[MRL*CF*PF or LOQ (if not under assessment and LOQ)]]&gt;0,Table6[[#This Row],[MRL*CF*PF or LOQ (if not under assessment and LOQ)]],""))),"")</f>
        <v/>
      </c>
      <c r="AM417" s="1295" t="str">
        <f>IF(Table6[[#This Row],[input for case 3 normal mode]]&gt;0,IF(Table6[[#This Row],[Median residue*CF*PF]]&gt;0,"STMR-RAC",IF(AND($AC417&gt;0,NOT(V417="Y")),"MRL",IF($V417="Y","LOQ",""))),"")</f>
        <v/>
      </c>
      <c r="AN417" s="1295" t="str">
        <f t="shared" si="269"/>
        <v/>
      </c>
      <c r="AO417" s="1287" t="str">
        <f>IF(Table6[[#This Row],[input for case 3 normal mode]]="","",IF(AND(Table6[[#This Row],[label for case 3 calculation normal mode]]="LOQ",Table6[[#This Row],[GAP under assessment]]="N"),"",IF(Table6[[#This Row],[label description]]&gt;"",Table6[[#This Row],[label description]],"")))</f>
        <v/>
      </c>
      <c r="AP417" s="1287" t="str">
        <f>CONCATENATE(Table6[[#This Row],[label for case 3 calculation normal mode]],Table6[[#This Row],[label connector case 3 normal mode]],Table6[[#This Row],[label refinements case 3 normal mode]])</f>
        <v/>
      </c>
      <c r="AQ417" s="1287" t="str">
        <f>IF(Table6[[#This Row],[GAP under assessment]]="Y",Table6[[#This Row],[Input value normal mode case 1, 2a/2b,Po]],"")</f>
        <v/>
      </c>
      <c r="AR417" s="1287" t="str">
        <f>IF(Table6[[#This Row],[Input value refined mode case 1, 2a/2b,Po]]&gt;0,Table6[[#This Row],[concat label normal mode 1,2a/2b,Po ]],"")</f>
        <v/>
      </c>
      <c r="AS417" s="1303" t="str">
        <f>IF(Table6[[#This Row],[GAP under assessment]]="Y",Table6[[#This Row],[input for case 3 normal mode]],"")</f>
        <v/>
      </c>
      <c r="AT417" s="1287" t="str">
        <f>IF(Table6[[#This Row],[input for case 3 refined mode]]&gt;0,Table6[[#This Row],[concat label normal mode  case 3]],"")</f>
        <v/>
      </c>
      <c r="AU417" s="1295" t="str">
        <f>IF(Table6[[#This Row],[Input value normal mode case 1, 2a/2b,Po]]&gt;0,Table6[[#This Row],[Input value normal mode case 1, 2a/2b,Po]],Table6[[#This Row],[input for case 3 normal mode]])</f>
        <v/>
      </c>
      <c r="AV417" s="1295" t="str">
        <f>IF(Table6[[#This Row],[Input value normal mode case 1, 2a/2b,Po]]&gt;0,Table6[[#This Row],[concat label normal mode 1,2a/2b,Po ]],Table6[[#This Row],[concat label normal mode  case 3]])</f>
        <v/>
      </c>
      <c r="AW417" s="1295" t="str">
        <f>IF(Table6[[#This Row],[Input value refined mode case 1, 2a/2b,Po]]&gt;0,Table6[[#This Row],[Input value refined mode case 1, 2a/2b,Po]],Table6[[#This Row],[input for case 3 refined mode]])</f>
        <v/>
      </c>
      <c r="AX417" s="1295" t="str">
        <f>IF(Table6[[#This Row],[Input value refined mode case 1, 2a/2b,Po]]&gt;0,Table6[[#This Row],[concat label refined mode case 1,2a/2b,Po]],Table6[[#This Row],[label for case 3 calculation refined mode]])</f>
        <v/>
      </c>
      <c r="AY417" s="1287">
        <f t="shared" si="274"/>
        <v>0</v>
      </c>
      <c r="AZ417" s="1295" t="str">
        <f t="shared" si="270"/>
        <v/>
      </c>
      <c r="BA417" s="1295" t="str">
        <f t="shared" si="271"/>
        <v/>
      </c>
      <c r="BB417" s="1287" t="str">
        <f>IF(AND(Table6[[#This Row],[label for IESTI new normal mode]]="LOQ",Table6[[#This Row],[GAP under assessment]]="N"),"",IF(AND($H417&gt;0,$Y417&lt;&gt;1),"CF*PF",IF($H417&gt;0,"CF",IF($Y417&lt;&gt;1,"PF",""))))</f>
        <v/>
      </c>
      <c r="BC417" s="1296" t="s">
        <v>369</v>
      </c>
      <c r="BD417" s="1297"/>
      <c r="BE417" s="1304" t="str">
        <f>IF(Table6[[#This Row],[GAP under assessment]]="Y",Table6[[#This Row],[MRL*CF*PF or LOQ (if not under assessment and LOQ)]],"")</f>
        <v/>
      </c>
      <c r="BF417" s="1305" t="str">
        <f>IF(Table6[[#This Row],[Input for IESTI new refined mode]]&lt;&gt;"",CONCATENATE("MRL",Table6[[#This Row],[label connector case 3 normal mode]],Table6[[#This Row],[label refinements case 3 normal mode]]),"")</f>
        <v/>
      </c>
      <c r="BG417" s="1298" t="s">
        <v>512</v>
      </c>
      <c r="BH417" s="1306"/>
    </row>
    <row r="418" spans="1:60" s="11" customFormat="1" ht="12.75" customHeight="1" x14ac:dyDescent="0.2">
      <c r="A418" s="479" t="s">
        <v>493</v>
      </c>
      <c r="B418" s="480">
        <v>130010</v>
      </c>
      <c r="C418" s="547" t="s">
        <v>378</v>
      </c>
      <c r="D418" s="1261">
        <f>VLOOKUP(Table6[[#This Row],[Code no.]],$B$12:$D$390,3,FALSE)</f>
        <v>0</v>
      </c>
      <c r="E418" s="1264">
        <f t="shared" si="258"/>
        <v>0</v>
      </c>
      <c r="F418" s="1262" t="str">
        <f t="shared" si="272"/>
        <v/>
      </c>
      <c r="G418" s="1265">
        <f t="shared" si="259"/>
        <v>1</v>
      </c>
      <c r="H418" s="881"/>
      <c r="I418" s="880"/>
      <c r="J418" s="1269">
        <f t="shared" si="260"/>
        <v>0</v>
      </c>
      <c r="K418" s="1269">
        <f t="shared" si="261"/>
        <v>0</v>
      </c>
      <c r="L418" s="1270"/>
      <c r="M418" s="1271" t="str">
        <f t="shared" si="262"/>
        <v/>
      </c>
      <c r="N418" s="1272"/>
      <c r="O418" s="1273">
        <v>3</v>
      </c>
      <c r="P418" s="1273" t="str">
        <f>IF(OR($A$10=$BG$15,Results!$B$62=Results!$T$63),Table6[[#This Row],[label refine mode]],Table6[[#This Row],[label normal mode]])</f>
        <v/>
      </c>
      <c r="Q418" s="1257" t="str">
        <f>IF(OR($A$10=$BG$15,Results!$B$62=Results!$T$63),Table6[[#This Row],[input refined mode]],Table6[[#This Row],[Input normal mode]])</f>
        <v/>
      </c>
      <c r="R418" s="1275" t="str">
        <f>IF(Table6[[#This Row],[Acute RA IESTI new input value]]="","",CONCATENATE(Table6[[#This Row],[label for IESTI new normal mode]],Table6[[#This Row],[label connector IESTI new normal mode]],Table6[[#This Row],[label refinements normal mode]]))</f>
        <v/>
      </c>
      <c r="S418" s="1259">
        <f>IF(OR($A$10=$BG$15,Results!$B$62=Results!$T$63),Table6[[#This Row],[Input for IESTI new refined mode]],Table6[[#This Row],[Input for IESTI new normal mode]])</f>
        <v>0</v>
      </c>
      <c r="T418" s="888"/>
      <c r="U418" s="1283">
        <f t="shared" si="263"/>
        <v>0</v>
      </c>
      <c r="V418" s="1284" t="str">
        <f t="shared" si="273"/>
        <v/>
      </c>
      <c r="W418" s="1285">
        <f>IF($H418&gt;0,$H418,IF(Table6[[#This Row],[CFrisk for residue definition (applicable for unprocessed products)]]&gt;0,Table6[[#This Row],[CFrisk for residue definition (applicable for unprocessed products)]],1))</f>
        <v>1</v>
      </c>
      <c r="X418" s="1285">
        <v>1</v>
      </c>
      <c r="Y418" s="1285">
        <f t="shared" si="264"/>
        <v>1</v>
      </c>
      <c r="Z418" s="1285">
        <f t="shared" si="265"/>
        <v>1</v>
      </c>
      <c r="AA418" s="1285" t="str">
        <f>IF(Table6[[#This Row],[Post-harvest treatment]]="","","Y")</f>
        <v/>
      </c>
      <c r="AB418" s="1285" t="str">
        <f>IF(AND(Table6[[#This Row],[CF used for for calculation]]&lt;&gt;1,Table6[[#This Row],[PF for calculation]]&lt;&gt;1),"CF*PF",IF(Table6[[#This Row],[CF used for for calculation]]&lt;&gt;1,"CF",IF(Table6[[#This Row],[PF for calculation]]&lt;&gt;1,"PF","")))</f>
        <v/>
      </c>
      <c r="AC418" s="1300">
        <f>IF(AND(Table6[[#This Row],[LOQ RAC individual crop]]="Y",Table6[[#This Row],[GAP under assessment]]="N"),Table6[[#This Row],[MRL RAC individual commodity]],Table6[[#This Row],[MRL RAC individual commodity]]*Table6[[#This Row],[CF*PF for calculation]])</f>
        <v>0</v>
      </c>
      <c r="AD418" s="1287">
        <f t="shared" si="266"/>
        <v>0</v>
      </c>
      <c r="AE418" s="1287">
        <f t="shared" si="267"/>
        <v>0</v>
      </c>
      <c r="AF418" s="1288">
        <f>Table6[[#This Row],[IESTI case]]</f>
        <v>3</v>
      </c>
      <c r="AG418"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18" s="1302" t="str">
        <f>IF(Table6[[#This Row],[Input value normal mode case 1, 2a/2b,Po]]&gt;0,
              IF(Table6[[#This Row],[Highest residue * CF*PF]]&gt;"","HR-RAC",
                             IF(Table6[[#This Row],[LOQ RAC individual crop]]="Y","LOQ","MRL")),"")</f>
        <v/>
      </c>
      <c r="AI418" s="1302" t="str">
        <f t="shared" si="268"/>
        <v/>
      </c>
      <c r="AJ418" s="1302" t="str">
        <f>IF(Table6[[#This Row],[Input value normal mode case 1, 2a/2b,Po]]&gt;0,IF(Table6[[#This Row],[label description]]&gt;"",Table6[[#This Row],[label description]],""),"")</f>
        <v/>
      </c>
      <c r="AK418" s="1302" t="str">
        <f>CONCATENATE(Table6[[#This Row],[label for IESTI normal mode case 1, 2a/2b,Po]],Table6[[#This Row],[label connector case  normal mode]],Table6[[#This Row],[label refinements normal mode case 1, 2a/2b,Po]])</f>
        <v/>
      </c>
      <c r="AL418" s="1287" t="str">
        <f>IF(AND(Table6[[#This Row],[Case for acute RA children / adults]]=3,Table6[[#This Row],[Post-harvest treatment]]=""),IF(AND(Table6[[#This Row],[LOQ RAC individual crop]]="Y",M417="N"),Table6[[#This Row],[MRL RAC individual commodity]],IF(Table6[[#This Row],[Median residue*CF*PF]]&gt;0,Table6[[#This Row],[Median residue*CF*PF]],IF(Table6[[#This Row],[MRL*CF*PF or LOQ (if not under assessment and LOQ)]]&gt;0,Table6[[#This Row],[MRL*CF*PF or LOQ (if not under assessment and LOQ)]],""))),"")</f>
        <v/>
      </c>
      <c r="AM418" s="1295" t="str">
        <f>IF(Table6[[#This Row],[input for case 3 normal mode]]&gt;0,IF(Table6[[#This Row],[Median residue*CF*PF]]&gt;0,"STMR-RAC",IF(AND($AC418&gt;0,NOT(V418="Y")),"MRL",IF($V418="Y","LOQ",""))),"")</f>
        <v/>
      </c>
      <c r="AN418" s="1295" t="str">
        <f t="shared" si="269"/>
        <v/>
      </c>
      <c r="AO418" s="1287" t="str">
        <f>IF(Table6[[#This Row],[input for case 3 normal mode]]="","",IF(AND(Table6[[#This Row],[label for case 3 calculation normal mode]]="LOQ",Table6[[#This Row],[GAP under assessment]]="N"),"",IF(Table6[[#This Row],[label description]]&gt;"",Table6[[#This Row],[label description]],"")))</f>
        <v/>
      </c>
      <c r="AP418" s="1287" t="str">
        <f>CONCATENATE(Table6[[#This Row],[label for case 3 calculation normal mode]],Table6[[#This Row],[label connector case 3 normal mode]],Table6[[#This Row],[label refinements case 3 normal mode]])</f>
        <v/>
      </c>
      <c r="AQ418" s="1287" t="str">
        <f>IF(Table6[[#This Row],[GAP under assessment]]="Y",Table6[[#This Row],[Input value normal mode case 1, 2a/2b,Po]],"")</f>
        <v/>
      </c>
      <c r="AR418" s="1287" t="str">
        <f>IF(Table6[[#This Row],[Input value refined mode case 1, 2a/2b,Po]]&gt;0,Table6[[#This Row],[concat label normal mode 1,2a/2b,Po ]],"")</f>
        <v/>
      </c>
      <c r="AS418" s="1303" t="str">
        <f>IF(Table6[[#This Row],[GAP under assessment]]="Y",Table6[[#This Row],[input for case 3 normal mode]],"")</f>
        <v/>
      </c>
      <c r="AT418" s="1287" t="str">
        <f>IF(Table6[[#This Row],[input for case 3 refined mode]]&gt;0,Table6[[#This Row],[concat label normal mode  case 3]],"")</f>
        <v/>
      </c>
      <c r="AU418" s="1295" t="str">
        <f>IF(Table6[[#This Row],[Input value normal mode case 1, 2a/2b,Po]]&gt;0,Table6[[#This Row],[Input value normal mode case 1, 2a/2b,Po]],Table6[[#This Row],[input for case 3 normal mode]])</f>
        <v/>
      </c>
      <c r="AV418" s="1295" t="str">
        <f>IF(Table6[[#This Row],[Input value normal mode case 1, 2a/2b,Po]]&gt;0,Table6[[#This Row],[concat label normal mode 1,2a/2b,Po ]],Table6[[#This Row],[concat label normal mode  case 3]])</f>
        <v/>
      </c>
      <c r="AW418" s="1295" t="str">
        <f>IF(Table6[[#This Row],[Input value refined mode case 1, 2a/2b,Po]]&gt;0,Table6[[#This Row],[Input value refined mode case 1, 2a/2b,Po]],Table6[[#This Row],[input for case 3 refined mode]])</f>
        <v/>
      </c>
      <c r="AX418" s="1295" t="str">
        <f>IF(Table6[[#This Row],[Input value refined mode case 1, 2a/2b,Po]]&gt;0,Table6[[#This Row],[concat label refined mode case 1,2a/2b,Po]],Table6[[#This Row],[label for case 3 calculation refined mode]])</f>
        <v/>
      </c>
      <c r="AY418" s="1287">
        <f t="shared" si="274"/>
        <v>0</v>
      </c>
      <c r="AZ418" s="1295" t="str">
        <f t="shared" si="270"/>
        <v/>
      </c>
      <c r="BA418" s="1295" t="str">
        <f t="shared" si="271"/>
        <v/>
      </c>
      <c r="BB418" s="1287" t="str">
        <f>IF(AND(Table6[[#This Row],[label for IESTI new normal mode]]="LOQ",Table6[[#This Row],[GAP under assessment]]="N"),"",IF(AND($H418&gt;0,$Y418&lt;&gt;1),"CF*PF",IF($H418&gt;0,"CF",IF($Y418&lt;&gt;1,"PF",""))))</f>
        <v/>
      </c>
      <c r="BC418" s="1296" t="s">
        <v>369</v>
      </c>
      <c r="BD418" s="1297"/>
      <c r="BE418" s="1304" t="str">
        <f>IF(Table6[[#This Row],[GAP under assessment]]="Y",Table6[[#This Row],[MRL*CF*PF or LOQ (if not under assessment and LOQ)]],"")</f>
        <v/>
      </c>
      <c r="BF418" s="1305" t="str">
        <f>IF(Table6[[#This Row],[Input for IESTI new refined mode]]&lt;&gt;"",CONCATENATE("MRL",Table6[[#This Row],[label connector case 3 normal mode]],Table6[[#This Row],[label refinements case 3 normal mode]]),"")</f>
        <v/>
      </c>
      <c r="BG418" s="1298" t="s">
        <v>493</v>
      </c>
      <c r="BH418" s="1306"/>
    </row>
    <row r="419" spans="1:60" s="11" customFormat="1" ht="12.75" customHeight="1" x14ac:dyDescent="0.2">
      <c r="A419" s="479" t="s">
        <v>494</v>
      </c>
      <c r="B419" s="480">
        <v>130020</v>
      </c>
      <c r="C419" s="547" t="s">
        <v>379</v>
      </c>
      <c r="D419" s="1261">
        <f>VLOOKUP(Table6[[#This Row],[Code no.]],$B$12:$D$390,3,FALSE)</f>
        <v>0</v>
      </c>
      <c r="E419" s="1264">
        <f t="shared" si="258"/>
        <v>0</v>
      </c>
      <c r="F419" s="1262" t="str">
        <f t="shared" si="272"/>
        <v/>
      </c>
      <c r="G419" s="1265">
        <f t="shared" si="259"/>
        <v>1</v>
      </c>
      <c r="H419" s="881"/>
      <c r="I419" s="880"/>
      <c r="J419" s="1269">
        <f t="shared" si="260"/>
        <v>0</v>
      </c>
      <c r="K419" s="1269">
        <f t="shared" si="261"/>
        <v>0</v>
      </c>
      <c r="L419" s="1270"/>
      <c r="M419" s="1271" t="str">
        <f t="shared" si="262"/>
        <v/>
      </c>
      <c r="N419" s="1272"/>
      <c r="O419" s="1273">
        <v>3</v>
      </c>
      <c r="P419" s="1273" t="str">
        <f>IF(OR($A$10=$BG$15,Results!$B$62=Results!$T$63),Table6[[#This Row],[label refine mode]],Table6[[#This Row],[label normal mode]])</f>
        <v/>
      </c>
      <c r="Q419" s="1257" t="str">
        <f>IF(OR($A$10=$BG$15,Results!$B$62=Results!$T$63),Table6[[#This Row],[input refined mode]],Table6[[#This Row],[Input normal mode]])</f>
        <v/>
      </c>
      <c r="R419" s="1275" t="str">
        <f>IF(Table6[[#This Row],[Acute RA IESTI new input value]]="","",CONCATENATE(Table6[[#This Row],[label for IESTI new normal mode]],Table6[[#This Row],[label connector IESTI new normal mode]],Table6[[#This Row],[label refinements normal mode]]))</f>
        <v/>
      </c>
      <c r="S419" s="1259">
        <f>IF(OR($A$10=$BG$15,Results!$B$62=Results!$T$63),Table6[[#This Row],[Input for IESTI new refined mode]],Table6[[#This Row],[Input for IESTI new normal mode]])</f>
        <v>0</v>
      </c>
      <c r="T419" s="888"/>
      <c r="U419" s="1283">
        <f t="shared" si="263"/>
        <v>0</v>
      </c>
      <c r="V419" s="1284" t="str">
        <f t="shared" si="273"/>
        <v/>
      </c>
      <c r="W419" s="1285">
        <f>IF($H419&gt;0,$H419,IF(Table6[[#This Row],[CFrisk for residue definition (applicable for unprocessed products)]]&gt;0,Table6[[#This Row],[CFrisk for residue definition (applicable for unprocessed products)]],1))</f>
        <v>1</v>
      </c>
      <c r="X419" s="1285">
        <v>1</v>
      </c>
      <c r="Y419" s="1285">
        <f t="shared" si="264"/>
        <v>1</v>
      </c>
      <c r="Z419" s="1285">
        <f t="shared" si="265"/>
        <v>1</v>
      </c>
      <c r="AA419" s="1285" t="str">
        <f>IF(Table6[[#This Row],[Post-harvest treatment]]="","","Y")</f>
        <v/>
      </c>
      <c r="AB419" s="1285" t="str">
        <f>IF(AND(Table6[[#This Row],[CF used for for calculation]]&lt;&gt;1,Table6[[#This Row],[PF for calculation]]&lt;&gt;1),"CF*PF",IF(Table6[[#This Row],[CF used for for calculation]]&lt;&gt;1,"CF",IF(Table6[[#This Row],[PF for calculation]]&lt;&gt;1,"PF","")))</f>
        <v/>
      </c>
      <c r="AC419" s="1300">
        <f>IF(AND(Table6[[#This Row],[LOQ RAC individual crop]]="Y",Table6[[#This Row],[GAP under assessment]]="N"),Table6[[#This Row],[MRL RAC individual commodity]],Table6[[#This Row],[MRL RAC individual commodity]]*Table6[[#This Row],[CF*PF for calculation]])</f>
        <v>0</v>
      </c>
      <c r="AD419" s="1287">
        <f t="shared" si="266"/>
        <v>0</v>
      </c>
      <c r="AE419" s="1287">
        <f t="shared" si="267"/>
        <v>0</v>
      </c>
      <c r="AF419" s="1288">
        <f>Table6[[#This Row],[IESTI case]]</f>
        <v>3</v>
      </c>
      <c r="AG419"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19" s="1302" t="str">
        <f>IF(Table6[[#This Row],[Input value normal mode case 1, 2a/2b,Po]]&gt;0,
              IF(Table6[[#This Row],[Highest residue * CF*PF]]&gt;"","HR-RAC",
                             IF(Table6[[#This Row],[LOQ RAC individual crop]]="Y","LOQ","MRL")),"")</f>
        <v/>
      </c>
      <c r="AI419" s="1302" t="str">
        <f t="shared" si="268"/>
        <v/>
      </c>
      <c r="AJ419" s="1302" t="str">
        <f>IF(Table6[[#This Row],[Input value normal mode case 1, 2a/2b,Po]]&gt;0,IF(Table6[[#This Row],[label description]]&gt;"",Table6[[#This Row],[label description]],""),"")</f>
        <v/>
      </c>
      <c r="AK419" s="1302" t="str">
        <f>CONCATENATE(Table6[[#This Row],[label for IESTI normal mode case 1, 2a/2b,Po]],Table6[[#This Row],[label connector case  normal mode]],Table6[[#This Row],[label refinements normal mode case 1, 2a/2b,Po]])</f>
        <v/>
      </c>
      <c r="AL419" s="1287" t="str">
        <f>IF(AND(Table6[[#This Row],[Case for acute RA children / adults]]=3,Table6[[#This Row],[Post-harvest treatment]]=""),IF(AND(Table6[[#This Row],[LOQ RAC individual crop]]="Y",M418="N"),Table6[[#This Row],[MRL RAC individual commodity]],IF(Table6[[#This Row],[Median residue*CF*PF]]&gt;0,Table6[[#This Row],[Median residue*CF*PF]],IF(Table6[[#This Row],[MRL*CF*PF or LOQ (if not under assessment and LOQ)]]&gt;0,Table6[[#This Row],[MRL*CF*PF or LOQ (if not under assessment and LOQ)]],""))),"")</f>
        <v/>
      </c>
      <c r="AM419" s="1295" t="str">
        <f>IF(Table6[[#This Row],[input for case 3 normal mode]]&gt;0,IF(Table6[[#This Row],[Median residue*CF*PF]]&gt;0,"STMR-RAC",IF(AND($AC419&gt;0,NOT(V419="Y")),"MRL",IF($V419="Y","LOQ",""))),"")</f>
        <v/>
      </c>
      <c r="AN419" s="1295" t="str">
        <f t="shared" si="269"/>
        <v/>
      </c>
      <c r="AO419" s="1287" t="str">
        <f>IF(Table6[[#This Row],[input for case 3 normal mode]]="","",IF(AND(Table6[[#This Row],[label for case 3 calculation normal mode]]="LOQ",Table6[[#This Row],[GAP under assessment]]="N"),"",IF(Table6[[#This Row],[label description]]&gt;"",Table6[[#This Row],[label description]],"")))</f>
        <v/>
      </c>
      <c r="AP419" s="1287" t="str">
        <f>CONCATENATE(Table6[[#This Row],[label for case 3 calculation normal mode]],Table6[[#This Row],[label connector case 3 normal mode]],Table6[[#This Row],[label refinements case 3 normal mode]])</f>
        <v/>
      </c>
      <c r="AQ419" s="1287" t="str">
        <f>IF(Table6[[#This Row],[GAP under assessment]]="Y",Table6[[#This Row],[Input value normal mode case 1, 2a/2b,Po]],"")</f>
        <v/>
      </c>
      <c r="AR419" s="1287" t="str">
        <f>IF(Table6[[#This Row],[Input value refined mode case 1, 2a/2b,Po]]&gt;0,Table6[[#This Row],[concat label normal mode 1,2a/2b,Po ]],"")</f>
        <v/>
      </c>
      <c r="AS419" s="1303" t="str">
        <f>IF(Table6[[#This Row],[GAP under assessment]]="Y",Table6[[#This Row],[input for case 3 normal mode]],"")</f>
        <v/>
      </c>
      <c r="AT419" s="1287" t="str">
        <f>IF(Table6[[#This Row],[input for case 3 refined mode]]&gt;0,Table6[[#This Row],[concat label normal mode  case 3]],"")</f>
        <v/>
      </c>
      <c r="AU419" s="1295" t="str">
        <f>IF(Table6[[#This Row],[Input value normal mode case 1, 2a/2b,Po]]&gt;0,Table6[[#This Row],[Input value normal mode case 1, 2a/2b,Po]],Table6[[#This Row],[input for case 3 normal mode]])</f>
        <v/>
      </c>
      <c r="AV419" s="1295" t="str">
        <f>IF(Table6[[#This Row],[Input value normal mode case 1, 2a/2b,Po]]&gt;0,Table6[[#This Row],[concat label normal mode 1,2a/2b,Po ]],Table6[[#This Row],[concat label normal mode  case 3]])</f>
        <v/>
      </c>
      <c r="AW419" s="1295" t="str">
        <f>IF(Table6[[#This Row],[Input value refined mode case 1, 2a/2b,Po]]&gt;0,Table6[[#This Row],[Input value refined mode case 1, 2a/2b,Po]],Table6[[#This Row],[input for case 3 refined mode]])</f>
        <v/>
      </c>
      <c r="AX419" s="1295" t="str">
        <f>IF(Table6[[#This Row],[Input value refined mode case 1, 2a/2b,Po]]&gt;0,Table6[[#This Row],[concat label refined mode case 1,2a/2b,Po]],Table6[[#This Row],[label for case 3 calculation refined mode]])</f>
        <v/>
      </c>
      <c r="AY419" s="1287">
        <f t="shared" si="274"/>
        <v>0</v>
      </c>
      <c r="AZ419" s="1295" t="str">
        <f t="shared" si="270"/>
        <v/>
      </c>
      <c r="BA419" s="1295" t="str">
        <f t="shared" si="271"/>
        <v/>
      </c>
      <c r="BB419" s="1287" t="str">
        <f>IF(AND(Table6[[#This Row],[label for IESTI new normal mode]]="LOQ",Table6[[#This Row],[GAP under assessment]]="N"),"",IF(AND($H419&gt;0,$Y419&lt;&gt;1),"CF*PF",IF($H419&gt;0,"CF",IF($Y419&lt;&gt;1,"PF",""))))</f>
        <v/>
      </c>
      <c r="BC419" s="1296" t="s">
        <v>369</v>
      </c>
      <c r="BD419" s="1297"/>
      <c r="BE419" s="1304" t="str">
        <f>IF(Table6[[#This Row],[GAP under assessment]]="Y",Table6[[#This Row],[MRL*CF*PF or LOQ (if not under assessment and LOQ)]],"")</f>
        <v/>
      </c>
      <c r="BF419" s="1305" t="str">
        <f>IF(Table6[[#This Row],[Input for IESTI new refined mode]]&lt;&gt;"",CONCATENATE("MRL",Table6[[#This Row],[label connector case 3 normal mode]],Table6[[#This Row],[label refinements case 3 normal mode]]),"")</f>
        <v/>
      </c>
      <c r="BG419" s="1298" t="s">
        <v>494</v>
      </c>
      <c r="BH419" s="1306"/>
    </row>
    <row r="420" spans="1:60" s="11" customFormat="1" ht="12.75" customHeight="1" x14ac:dyDescent="0.2">
      <c r="A420" s="479" t="s">
        <v>526</v>
      </c>
      <c r="B420" s="480">
        <v>130030</v>
      </c>
      <c r="C420" s="547" t="s">
        <v>380</v>
      </c>
      <c r="D420" s="1261">
        <f>VLOOKUP(Table6[[#This Row],[Code no.]],$B$12:$D$390,3,FALSE)</f>
        <v>0</v>
      </c>
      <c r="E420" s="1264">
        <f t="shared" si="258"/>
        <v>0</v>
      </c>
      <c r="F420" s="1262" t="str">
        <f t="shared" si="272"/>
        <v/>
      </c>
      <c r="G420" s="1265">
        <f t="shared" si="259"/>
        <v>1</v>
      </c>
      <c r="H420" s="881"/>
      <c r="I420" s="880"/>
      <c r="J420" s="1269">
        <f t="shared" si="260"/>
        <v>0</v>
      </c>
      <c r="K420" s="1269">
        <f t="shared" si="261"/>
        <v>0</v>
      </c>
      <c r="L420" s="1270"/>
      <c r="M420" s="1271" t="str">
        <f t="shared" si="262"/>
        <v/>
      </c>
      <c r="N420" s="1272"/>
      <c r="O420" s="1273">
        <v>3</v>
      </c>
      <c r="P420" s="1273" t="str">
        <f>IF(OR($A$10=$BG$15,Results!$B$62=Results!$T$63),Table6[[#This Row],[label refine mode]],Table6[[#This Row],[label normal mode]])</f>
        <v/>
      </c>
      <c r="Q420" s="1257" t="str">
        <f>IF(OR($A$10=$BG$15,Results!$B$62=Results!$T$63),Table6[[#This Row],[input refined mode]],Table6[[#This Row],[Input normal mode]])</f>
        <v/>
      </c>
      <c r="R420" s="1275" t="str">
        <f>IF(Table6[[#This Row],[Acute RA IESTI new input value]]="","",CONCATENATE(Table6[[#This Row],[label for IESTI new normal mode]],Table6[[#This Row],[label connector IESTI new normal mode]],Table6[[#This Row],[label refinements normal mode]]))</f>
        <v/>
      </c>
      <c r="S420" s="1259">
        <f>IF(OR($A$10=$BG$15,Results!$B$62=Results!$T$63),Table6[[#This Row],[Input for IESTI new refined mode]],Table6[[#This Row],[Input for IESTI new normal mode]])</f>
        <v>0</v>
      </c>
      <c r="T420" s="888"/>
      <c r="U420" s="1283">
        <f t="shared" si="263"/>
        <v>0</v>
      </c>
      <c r="V420" s="1284" t="str">
        <f t="shared" si="273"/>
        <v/>
      </c>
      <c r="W420" s="1285">
        <f>IF($H420&gt;0,$H420,IF(Table6[[#This Row],[CFrisk for residue definition (applicable for unprocessed products)]]&gt;0,Table6[[#This Row],[CFrisk for residue definition (applicable for unprocessed products)]],1))</f>
        <v>1</v>
      </c>
      <c r="X420" s="1285">
        <v>1</v>
      </c>
      <c r="Y420" s="1285">
        <f t="shared" si="264"/>
        <v>1</v>
      </c>
      <c r="Z420" s="1285">
        <f t="shared" si="265"/>
        <v>1</v>
      </c>
      <c r="AA420" s="1285" t="str">
        <f>IF(Table6[[#This Row],[Post-harvest treatment]]="","","Y")</f>
        <v/>
      </c>
      <c r="AB420" s="1285" t="str">
        <f>IF(AND(Table6[[#This Row],[CF used for for calculation]]&lt;&gt;1,Table6[[#This Row],[PF for calculation]]&lt;&gt;1),"CF*PF",IF(Table6[[#This Row],[CF used for for calculation]]&lt;&gt;1,"CF",IF(Table6[[#This Row],[PF for calculation]]&lt;&gt;1,"PF","")))</f>
        <v/>
      </c>
      <c r="AC420" s="1300">
        <f>IF(AND(Table6[[#This Row],[LOQ RAC individual crop]]="Y",Table6[[#This Row],[GAP under assessment]]="N"),Table6[[#This Row],[MRL RAC individual commodity]],Table6[[#This Row],[MRL RAC individual commodity]]*Table6[[#This Row],[CF*PF for calculation]])</f>
        <v>0</v>
      </c>
      <c r="AD420" s="1287">
        <f t="shared" si="266"/>
        <v>0</v>
      </c>
      <c r="AE420" s="1287">
        <f t="shared" si="267"/>
        <v>0</v>
      </c>
      <c r="AF420" s="1288">
        <f>Table6[[#This Row],[IESTI case]]</f>
        <v>3</v>
      </c>
      <c r="AG420"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20" s="1302" t="str">
        <f>IF(Table6[[#This Row],[Input value normal mode case 1, 2a/2b,Po]]&gt;0,
              IF(Table6[[#This Row],[Highest residue * CF*PF]]&gt;"","HR-RAC",
                             IF(Table6[[#This Row],[LOQ RAC individual crop]]="Y","LOQ","MRL")),"")</f>
        <v/>
      </c>
      <c r="AI420" s="1302" t="str">
        <f t="shared" si="268"/>
        <v/>
      </c>
      <c r="AJ420" s="1302" t="str">
        <f>IF(Table6[[#This Row],[Input value normal mode case 1, 2a/2b,Po]]&gt;0,IF(Table6[[#This Row],[label description]]&gt;"",Table6[[#This Row],[label description]],""),"")</f>
        <v/>
      </c>
      <c r="AK420" s="1302" t="str">
        <f>CONCATENATE(Table6[[#This Row],[label for IESTI normal mode case 1, 2a/2b,Po]],Table6[[#This Row],[label connector case  normal mode]],Table6[[#This Row],[label refinements normal mode case 1, 2a/2b,Po]])</f>
        <v/>
      </c>
      <c r="AL420" s="1287" t="str">
        <f>IF(AND(Table6[[#This Row],[Case for acute RA children / adults]]=3,Table6[[#This Row],[Post-harvest treatment]]=""),IF(AND(Table6[[#This Row],[LOQ RAC individual crop]]="Y",M419="N"),Table6[[#This Row],[MRL RAC individual commodity]],IF(Table6[[#This Row],[Median residue*CF*PF]]&gt;0,Table6[[#This Row],[Median residue*CF*PF]],IF(Table6[[#This Row],[MRL*CF*PF or LOQ (if not under assessment and LOQ)]]&gt;0,Table6[[#This Row],[MRL*CF*PF or LOQ (if not under assessment and LOQ)]],""))),"")</f>
        <v/>
      </c>
      <c r="AM420" s="1295" t="str">
        <f>IF(Table6[[#This Row],[input for case 3 normal mode]]&gt;0,IF(Table6[[#This Row],[Median residue*CF*PF]]&gt;0,"STMR-RAC",IF(AND($AC420&gt;0,NOT(V420="Y")),"MRL",IF($V420="Y","LOQ",""))),"")</f>
        <v/>
      </c>
      <c r="AN420" s="1295" t="str">
        <f t="shared" si="269"/>
        <v/>
      </c>
      <c r="AO420" s="1287" t="str">
        <f>IF(Table6[[#This Row],[input for case 3 normal mode]]="","",IF(AND(Table6[[#This Row],[label for case 3 calculation normal mode]]="LOQ",Table6[[#This Row],[GAP under assessment]]="N"),"",IF(Table6[[#This Row],[label description]]&gt;"",Table6[[#This Row],[label description]],"")))</f>
        <v/>
      </c>
      <c r="AP420" s="1287" t="str">
        <f>CONCATENATE(Table6[[#This Row],[label for case 3 calculation normal mode]],Table6[[#This Row],[label connector case 3 normal mode]],Table6[[#This Row],[label refinements case 3 normal mode]])</f>
        <v/>
      </c>
      <c r="AQ420" s="1287" t="str">
        <f>IF(Table6[[#This Row],[GAP under assessment]]="Y",Table6[[#This Row],[Input value normal mode case 1, 2a/2b,Po]],"")</f>
        <v/>
      </c>
      <c r="AR420" s="1287" t="str">
        <f>IF(Table6[[#This Row],[Input value refined mode case 1, 2a/2b,Po]]&gt;0,Table6[[#This Row],[concat label normal mode 1,2a/2b,Po ]],"")</f>
        <v/>
      </c>
      <c r="AS420" s="1303" t="str">
        <f>IF(Table6[[#This Row],[GAP under assessment]]="Y",Table6[[#This Row],[input for case 3 normal mode]],"")</f>
        <v/>
      </c>
      <c r="AT420" s="1287" t="str">
        <f>IF(Table6[[#This Row],[input for case 3 refined mode]]&gt;0,Table6[[#This Row],[concat label normal mode  case 3]],"")</f>
        <v/>
      </c>
      <c r="AU420" s="1295" t="str">
        <f>IF(Table6[[#This Row],[Input value normal mode case 1, 2a/2b,Po]]&gt;0,Table6[[#This Row],[Input value normal mode case 1, 2a/2b,Po]],Table6[[#This Row],[input for case 3 normal mode]])</f>
        <v/>
      </c>
      <c r="AV420" s="1295" t="str">
        <f>IF(Table6[[#This Row],[Input value normal mode case 1, 2a/2b,Po]]&gt;0,Table6[[#This Row],[concat label normal mode 1,2a/2b,Po ]],Table6[[#This Row],[concat label normal mode  case 3]])</f>
        <v/>
      </c>
      <c r="AW420" s="1295" t="str">
        <f>IF(Table6[[#This Row],[Input value refined mode case 1, 2a/2b,Po]]&gt;0,Table6[[#This Row],[Input value refined mode case 1, 2a/2b,Po]],Table6[[#This Row],[input for case 3 refined mode]])</f>
        <v/>
      </c>
      <c r="AX420" s="1295" t="str">
        <f>IF(Table6[[#This Row],[Input value refined mode case 1, 2a/2b,Po]]&gt;0,Table6[[#This Row],[concat label refined mode case 1,2a/2b,Po]],Table6[[#This Row],[label for case 3 calculation refined mode]])</f>
        <v/>
      </c>
      <c r="AY420" s="1287">
        <f t="shared" si="274"/>
        <v>0</v>
      </c>
      <c r="AZ420" s="1295" t="str">
        <f t="shared" si="270"/>
        <v/>
      </c>
      <c r="BA420" s="1295" t="str">
        <f t="shared" si="271"/>
        <v/>
      </c>
      <c r="BB420" s="1287" t="str">
        <f>IF(AND(Table6[[#This Row],[label for IESTI new normal mode]]="LOQ",Table6[[#This Row],[GAP under assessment]]="N"),"",IF(AND($H420&gt;0,$Y420&lt;&gt;1),"CF*PF",IF($H420&gt;0,"CF",IF($Y420&lt;&gt;1,"PF",""))))</f>
        <v/>
      </c>
      <c r="BC420" s="1296" t="s">
        <v>369</v>
      </c>
      <c r="BD420" s="1297"/>
      <c r="BE420" s="1304" t="str">
        <f>IF(Table6[[#This Row],[GAP under assessment]]="Y",Table6[[#This Row],[MRL*CF*PF or LOQ (if not under assessment and LOQ)]],"")</f>
        <v/>
      </c>
      <c r="BF420" s="1305" t="str">
        <f>IF(Table6[[#This Row],[Input for IESTI new refined mode]]&lt;&gt;"",CONCATENATE("MRL",Table6[[#This Row],[label connector case 3 normal mode]],Table6[[#This Row],[label refinements case 3 normal mode]]),"")</f>
        <v/>
      </c>
      <c r="BG420" s="1298" t="s">
        <v>526</v>
      </c>
      <c r="BH420" s="1306"/>
    </row>
    <row r="421" spans="1:60" s="11" customFormat="1" ht="12.75" customHeight="1" x14ac:dyDescent="0.2">
      <c r="A421" s="479" t="s">
        <v>495</v>
      </c>
      <c r="B421" s="480">
        <v>140030</v>
      </c>
      <c r="C421" s="547" t="s">
        <v>382</v>
      </c>
      <c r="D421" s="1261">
        <f>VLOOKUP(Table6[[#This Row],[Code no.]],$B$12:$D$390,3,FALSE)</f>
        <v>0</v>
      </c>
      <c r="E421" s="1264">
        <f t="shared" si="258"/>
        <v>0</v>
      </c>
      <c r="F421" s="1262" t="str">
        <f t="shared" si="272"/>
        <v/>
      </c>
      <c r="G421" s="1265">
        <f t="shared" si="259"/>
        <v>1</v>
      </c>
      <c r="H421" s="881"/>
      <c r="I421" s="880"/>
      <c r="J421" s="1269">
        <f t="shared" si="260"/>
        <v>0</v>
      </c>
      <c r="K421" s="1269">
        <f t="shared" si="261"/>
        <v>0</v>
      </c>
      <c r="L421" s="1270"/>
      <c r="M421" s="1271" t="str">
        <f t="shared" si="262"/>
        <v/>
      </c>
      <c r="N421" s="1272"/>
      <c r="O421" s="1273">
        <v>3</v>
      </c>
      <c r="P421" s="1273" t="str">
        <f>IF(OR($A$10=$BG$15,Results!$B$62=Results!$T$63),Table6[[#This Row],[label refine mode]],Table6[[#This Row],[label normal mode]])</f>
        <v/>
      </c>
      <c r="Q421" s="1257" t="str">
        <f>IF(OR($A$10=$BG$15,Results!$B$62=Results!$T$63),Table6[[#This Row],[input refined mode]],Table6[[#This Row],[Input normal mode]])</f>
        <v/>
      </c>
      <c r="R421" s="1275" t="str">
        <f>IF(Table6[[#This Row],[Acute RA IESTI new input value]]="","",CONCATENATE(Table6[[#This Row],[label for IESTI new normal mode]],Table6[[#This Row],[label connector IESTI new normal mode]],Table6[[#This Row],[label refinements normal mode]]))</f>
        <v/>
      </c>
      <c r="S421" s="1259">
        <f>IF(OR($A$10=$BG$15,Results!$B$62=Results!$T$63),Table6[[#This Row],[Input for IESTI new refined mode]],Table6[[#This Row],[Input for IESTI new normal mode]])</f>
        <v>0</v>
      </c>
      <c r="T421" s="888"/>
      <c r="U421" s="1283">
        <f t="shared" si="263"/>
        <v>0</v>
      </c>
      <c r="V421" s="1284" t="str">
        <f t="shared" si="273"/>
        <v/>
      </c>
      <c r="W421" s="1285">
        <f>IF($H421&gt;0,$H421,IF(Table6[[#This Row],[CFrisk for residue definition (applicable for unprocessed products)]]&gt;0,Table6[[#This Row],[CFrisk for residue definition (applicable for unprocessed products)]],1))</f>
        <v>1</v>
      </c>
      <c r="X421" s="1285">
        <v>1</v>
      </c>
      <c r="Y421" s="1285">
        <f t="shared" si="264"/>
        <v>1</v>
      </c>
      <c r="Z421" s="1285">
        <f t="shared" si="265"/>
        <v>1</v>
      </c>
      <c r="AA421" s="1285" t="str">
        <f>IF(Table6[[#This Row],[Post-harvest treatment]]="","","Y")</f>
        <v/>
      </c>
      <c r="AB421" s="1285" t="str">
        <f>IF(AND(Table6[[#This Row],[CF used for for calculation]]&lt;&gt;1,Table6[[#This Row],[PF for calculation]]&lt;&gt;1),"CF*PF",IF(Table6[[#This Row],[CF used for for calculation]]&lt;&gt;1,"CF",IF(Table6[[#This Row],[PF for calculation]]&lt;&gt;1,"PF","")))</f>
        <v/>
      </c>
      <c r="AC421" s="1300">
        <f>IF(AND(Table6[[#This Row],[LOQ RAC individual crop]]="Y",Table6[[#This Row],[GAP under assessment]]="N"),Table6[[#This Row],[MRL RAC individual commodity]],Table6[[#This Row],[MRL RAC individual commodity]]*Table6[[#This Row],[CF*PF for calculation]])</f>
        <v>0</v>
      </c>
      <c r="AD421" s="1287">
        <f t="shared" si="266"/>
        <v>0</v>
      </c>
      <c r="AE421" s="1287">
        <f t="shared" si="267"/>
        <v>0</v>
      </c>
      <c r="AF421" s="1288">
        <f>Table6[[#This Row],[IESTI case]]</f>
        <v>3</v>
      </c>
      <c r="AG421"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21" s="1302" t="str">
        <f>IF(Table6[[#This Row],[Input value normal mode case 1, 2a/2b,Po]]&gt;0,
              IF(Table6[[#This Row],[Highest residue * CF*PF]]&gt;"","HR-RAC",
                             IF(Table6[[#This Row],[LOQ RAC individual crop]]="Y","LOQ","MRL")),"")</f>
        <v/>
      </c>
      <c r="AI421" s="1302" t="str">
        <f t="shared" si="268"/>
        <v/>
      </c>
      <c r="AJ421" s="1302" t="str">
        <f>IF(Table6[[#This Row],[Input value normal mode case 1, 2a/2b,Po]]&gt;0,IF(Table6[[#This Row],[label description]]&gt;"",Table6[[#This Row],[label description]],""),"")</f>
        <v/>
      </c>
      <c r="AK421" s="1302" t="str">
        <f>CONCATENATE(Table6[[#This Row],[label for IESTI normal mode case 1, 2a/2b,Po]],Table6[[#This Row],[label connector case  normal mode]],Table6[[#This Row],[label refinements normal mode case 1, 2a/2b,Po]])</f>
        <v/>
      </c>
      <c r="AL421" s="1287" t="str">
        <f>IF(AND(Table6[[#This Row],[Case for acute RA children / adults]]=3,Table6[[#This Row],[Post-harvest treatment]]=""),IF(AND(Table6[[#This Row],[LOQ RAC individual crop]]="Y",M420="N"),Table6[[#This Row],[MRL RAC individual commodity]],IF(Table6[[#This Row],[Median residue*CF*PF]]&gt;0,Table6[[#This Row],[Median residue*CF*PF]],IF(Table6[[#This Row],[MRL*CF*PF or LOQ (if not under assessment and LOQ)]]&gt;0,Table6[[#This Row],[MRL*CF*PF or LOQ (if not under assessment and LOQ)]],""))),"")</f>
        <v/>
      </c>
      <c r="AM421" s="1295" t="str">
        <f>IF(Table6[[#This Row],[input for case 3 normal mode]]&gt;0,IF(Table6[[#This Row],[Median residue*CF*PF]]&gt;0,"STMR-RAC",IF(AND($AC421&gt;0,NOT(V421="Y")),"MRL",IF($V421="Y","LOQ",""))),"")</f>
        <v/>
      </c>
      <c r="AN421" s="1295" t="str">
        <f t="shared" si="269"/>
        <v/>
      </c>
      <c r="AO421" s="1287" t="str">
        <f>IF(Table6[[#This Row],[input for case 3 normal mode]]="","",IF(AND(Table6[[#This Row],[label for case 3 calculation normal mode]]="LOQ",Table6[[#This Row],[GAP under assessment]]="N"),"",IF(Table6[[#This Row],[label description]]&gt;"",Table6[[#This Row],[label description]],"")))</f>
        <v/>
      </c>
      <c r="AP421" s="1287" t="str">
        <f>CONCATENATE(Table6[[#This Row],[label for case 3 calculation normal mode]],Table6[[#This Row],[label connector case 3 normal mode]],Table6[[#This Row],[label refinements case 3 normal mode]])</f>
        <v/>
      </c>
      <c r="AQ421" s="1287" t="str">
        <f>IF(Table6[[#This Row],[GAP under assessment]]="Y",Table6[[#This Row],[Input value normal mode case 1, 2a/2b,Po]],"")</f>
        <v/>
      </c>
      <c r="AR421" s="1287" t="str">
        <f>IF(Table6[[#This Row],[Input value refined mode case 1, 2a/2b,Po]]&gt;0,Table6[[#This Row],[concat label normal mode 1,2a/2b,Po ]],"")</f>
        <v/>
      </c>
      <c r="AS421" s="1303" t="str">
        <f>IF(Table6[[#This Row],[GAP under assessment]]="Y",Table6[[#This Row],[input for case 3 normal mode]],"")</f>
        <v/>
      </c>
      <c r="AT421" s="1287" t="str">
        <f>IF(Table6[[#This Row],[input for case 3 refined mode]]&gt;0,Table6[[#This Row],[concat label normal mode  case 3]],"")</f>
        <v/>
      </c>
      <c r="AU421" s="1295" t="str">
        <f>IF(Table6[[#This Row],[Input value normal mode case 1, 2a/2b,Po]]&gt;0,Table6[[#This Row],[Input value normal mode case 1, 2a/2b,Po]],Table6[[#This Row],[input for case 3 normal mode]])</f>
        <v/>
      </c>
      <c r="AV421" s="1295" t="str">
        <f>IF(Table6[[#This Row],[Input value normal mode case 1, 2a/2b,Po]]&gt;0,Table6[[#This Row],[concat label normal mode 1,2a/2b,Po ]],Table6[[#This Row],[concat label normal mode  case 3]])</f>
        <v/>
      </c>
      <c r="AW421" s="1295" t="str">
        <f>IF(Table6[[#This Row],[Input value refined mode case 1, 2a/2b,Po]]&gt;0,Table6[[#This Row],[Input value refined mode case 1, 2a/2b,Po]],Table6[[#This Row],[input for case 3 refined mode]])</f>
        <v/>
      </c>
      <c r="AX421" s="1295" t="str">
        <f>IF(Table6[[#This Row],[Input value refined mode case 1, 2a/2b,Po]]&gt;0,Table6[[#This Row],[concat label refined mode case 1,2a/2b,Po]],Table6[[#This Row],[label for case 3 calculation refined mode]])</f>
        <v/>
      </c>
      <c r="AY421" s="1287">
        <f t="shared" si="274"/>
        <v>0</v>
      </c>
      <c r="AZ421" s="1295" t="str">
        <f t="shared" si="270"/>
        <v/>
      </c>
      <c r="BA421" s="1295" t="str">
        <f t="shared" si="271"/>
        <v/>
      </c>
      <c r="BB421" s="1287" t="str">
        <f>IF(AND(Table6[[#This Row],[label for IESTI new normal mode]]="LOQ",Table6[[#This Row],[GAP under assessment]]="N"),"",IF(AND($H421&gt;0,$Y421&lt;&gt;1),"CF*PF",IF($H421&gt;0,"CF",IF($Y421&lt;&gt;1,"PF",""))))</f>
        <v/>
      </c>
      <c r="BC421" s="1296" t="s">
        <v>369</v>
      </c>
      <c r="BD421" s="1297"/>
      <c r="BE421" s="1304" t="str">
        <f>IF(Table6[[#This Row],[GAP under assessment]]="Y",Table6[[#This Row],[MRL*CF*PF or LOQ (if not under assessment and LOQ)]],"")</f>
        <v/>
      </c>
      <c r="BF421" s="1305" t="str">
        <f>IF(Table6[[#This Row],[Input for IESTI new refined mode]]&lt;&gt;"",CONCATENATE("MRL",Table6[[#This Row],[label connector case 3 normal mode]],Table6[[#This Row],[label refinements case 3 normal mode]]),"")</f>
        <v/>
      </c>
      <c r="BG421" s="1298" t="s">
        <v>495</v>
      </c>
      <c r="BH421" s="1306"/>
    </row>
    <row r="422" spans="1:60" s="11" customFormat="1" ht="12.75" customHeight="1" x14ac:dyDescent="0.2">
      <c r="A422" s="479" t="s">
        <v>513</v>
      </c>
      <c r="B422" s="480">
        <v>140030</v>
      </c>
      <c r="C422" s="547" t="s">
        <v>381</v>
      </c>
      <c r="D422" s="1261">
        <f>VLOOKUP(Table6[[#This Row],[Code no.]],$B$12:$D$390,3,FALSE)</f>
        <v>0</v>
      </c>
      <c r="E422" s="1264">
        <f t="shared" si="258"/>
        <v>0</v>
      </c>
      <c r="F422" s="1262" t="str">
        <f t="shared" si="272"/>
        <v/>
      </c>
      <c r="G422" s="1265">
        <f t="shared" si="259"/>
        <v>1</v>
      </c>
      <c r="H422" s="881"/>
      <c r="I422" s="880"/>
      <c r="J422" s="1269">
        <f t="shared" si="260"/>
        <v>0</v>
      </c>
      <c r="K422" s="1269">
        <f t="shared" si="261"/>
        <v>0</v>
      </c>
      <c r="L422" s="1276" t="str">
        <f>IF(VLOOKUP($B422,$B$12:$AY$390,$K$2,FALSE)&gt;"",VLOOKUP($B422,$B$12:$AY$390,$K$2,FALSE),"")</f>
        <v/>
      </c>
      <c r="M422" s="1271" t="str">
        <f t="shared" si="262"/>
        <v/>
      </c>
      <c r="N422" s="1272"/>
      <c r="O422" s="1271" t="s">
        <v>654</v>
      </c>
      <c r="P422" s="1273" t="str">
        <f>IF(OR($A$10=$BG$15,Results!$B$62=Results!$T$63),Table6[[#This Row],[label refine mode]],Table6[[#This Row],[label normal mode]])</f>
        <v/>
      </c>
      <c r="Q422" s="1257" t="str">
        <f>IF(OR($A$10=$BG$15,Results!$B$62=Results!$T$63),Table6[[#This Row],[input refined mode]],Table6[[#This Row],[Input normal mode]])</f>
        <v/>
      </c>
      <c r="R422" s="1275" t="str">
        <f>IF(Table6[[#This Row],[Acute RA IESTI new input value]]="","",CONCATENATE(Table6[[#This Row],[label for IESTI new normal mode]],Table6[[#This Row],[label connector IESTI new normal mode]],Table6[[#This Row],[label refinements normal mode]]))</f>
        <v/>
      </c>
      <c r="S422" s="1259">
        <f>IF(OR($A$10=$BG$15,Results!$B$62=Results!$T$63),Table6[[#This Row],[Input for IESTI new refined mode]],Table6[[#This Row],[Input for IESTI new normal mode]])</f>
        <v>0</v>
      </c>
      <c r="T422" s="888"/>
      <c r="U422" s="1283">
        <f t="shared" si="263"/>
        <v>0</v>
      </c>
      <c r="V422" s="1284" t="str">
        <f t="shared" si="273"/>
        <v/>
      </c>
      <c r="W422" s="1285">
        <f>IF($H422&gt;0,$H422,IF(Table6[[#This Row],[CFrisk for residue definition (applicable for unprocessed products)]]&gt;0,Table6[[#This Row],[CFrisk for residue definition (applicable for unprocessed products)]],1))</f>
        <v>1</v>
      </c>
      <c r="X422" s="1285">
        <v>1</v>
      </c>
      <c r="Y422" s="1285">
        <f t="shared" si="264"/>
        <v>1</v>
      </c>
      <c r="Z422" s="1285">
        <f t="shared" si="265"/>
        <v>1</v>
      </c>
      <c r="AA422" s="1285" t="str">
        <f>IF(Table6[[#This Row],[Post-harvest treatment]]="","","Y")</f>
        <v/>
      </c>
      <c r="AB422" s="1285" t="str">
        <f>IF(AND(Table6[[#This Row],[CF used for for calculation]]&lt;&gt;1,Table6[[#This Row],[PF for calculation]]&lt;&gt;1),"CF*PF",IF(Table6[[#This Row],[CF used for for calculation]]&lt;&gt;1,"CF",IF(Table6[[#This Row],[PF for calculation]]&lt;&gt;1,"PF","")))</f>
        <v/>
      </c>
      <c r="AC422" s="1300">
        <f>IF(AND(Table6[[#This Row],[LOQ RAC individual crop]]="Y",Table6[[#This Row],[GAP under assessment]]="N"),Table6[[#This Row],[MRL RAC individual commodity]],Table6[[#This Row],[MRL RAC individual commodity]]*Table6[[#This Row],[CF*PF for calculation]])</f>
        <v>0</v>
      </c>
      <c r="AD422" s="1287">
        <f t="shared" si="266"/>
        <v>0</v>
      </c>
      <c r="AE422" s="1287">
        <f t="shared" si="267"/>
        <v>0</v>
      </c>
      <c r="AF422" s="1307" t="str">
        <f>Table6[[#This Row],[IESTI case]]</f>
        <v>2a/2b</v>
      </c>
      <c r="AG422"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22" s="1302" t="str">
        <f>IF(Table6[[#This Row],[Input value normal mode case 1, 2a/2b,Po]]&gt;0,
              IF(Table6[[#This Row],[Highest residue * CF*PF]]&gt;"","HR-RAC",
                             IF(Table6[[#This Row],[LOQ RAC individual crop]]="Y","LOQ","MRL")),"")</f>
        <v/>
      </c>
      <c r="AI422" s="1302" t="str">
        <f t="shared" si="268"/>
        <v/>
      </c>
      <c r="AJ422" s="1302" t="str">
        <f>IF(Table6[[#This Row],[Input value normal mode case 1, 2a/2b,Po]]&gt;0,IF(Table6[[#This Row],[label description]]&gt;"",Table6[[#This Row],[label description]],""),"")</f>
        <v/>
      </c>
      <c r="AK422" s="1302" t="str">
        <f>CONCATENATE(Table6[[#This Row],[label for IESTI normal mode case 1, 2a/2b,Po]],Table6[[#This Row],[label connector case  normal mode]],Table6[[#This Row],[label refinements normal mode case 1, 2a/2b,Po]])</f>
        <v/>
      </c>
      <c r="AL422" s="1287" t="str">
        <f>IF(AND(Table6[[#This Row],[Case for acute RA children / adults]]=3,Table6[[#This Row],[Post-harvest treatment]]=""),IF(AND(Table6[[#This Row],[LOQ RAC individual crop]]="Y",M421="N"),Table6[[#This Row],[MRL RAC individual commodity]],IF(Table6[[#This Row],[Median residue*CF*PF]]&gt;0,Table6[[#This Row],[Median residue*CF*PF]],IF(Table6[[#This Row],[MRL*CF*PF or LOQ (if not under assessment and LOQ)]]&gt;0,Table6[[#This Row],[MRL*CF*PF or LOQ (if not under assessment and LOQ)]],""))),"")</f>
        <v/>
      </c>
      <c r="AM422" s="1295" t="str">
        <f>IF(Table6[[#This Row],[input for case 3 normal mode]]&gt;0,IF(Table6[[#This Row],[Median residue*CF*PF]]&gt;0,"STMR-RAC",IF(AND($AC422&gt;0,NOT(V422="Y")),"MRL",IF($V422="Y","LOQ",""))),"")</f>
        <v/>
      </c>
      <c r="AN422" s="1295" t="str">
        <f t="shared" si="269"/>
        <v/>
      </c>
      <c r="AO422" s="1287" t="str">
        <f>IF(Table6[[#This Row],[input for case 3 normal mode]]="","",IF(AND(Table6[[#This Row],[label for case 3 calculation normal mode]]="LOQ",Table6[[#This Row],[GAP under assessment]]="N"),"",IF(Table6[[#This Row],[label description]]&gt;"",Table6[[#This Row],[label description]],"")))</f>
        <v/>
      </c>
      <c r="AP422" s="1287" t="str">
        <f>CONCATENATE(Table6[[#This Row],[label for case 3 calculation normal mode]],Table6[[#This Row],[label connector case 3 normal mode]],Table6[[#This Row],[label refinements case 3 normal mode]])</f>
        <v/>
      </c>
      <c r="AQ422" s="1287" t="str">
        <f>IF(Table6[[#This Row],[GAP under assessment]]="Y",Table6[[#This Row],[Input value normal mode case 1, 2a/2b,Po]],"")</f>
        <v/>
      </c>
      <c r="AR422" s="1287" t="str">
        <f>IF(Table6[[#This Row],[Input value refined mode case 1, 2a/2b,Po]]&gt;0,Table6[[#This Row],[concat label normal mode 1,2a/2b,Po ]],"")</f>
        <v/>
      </c>
      <c r="AS422" s="1303" t="str">
        <f>IF(Table6[[#This Row],[GAP under assessment]]="Y",Table6[[#This Row],[input for case 3 normal mode]],"")</f>
        <v/>
      </c>
      <c r="AT422" s="1287" t="str">
        <f>IF(Table6[[#This Row],[input for case 3 refined mode]]&gt;0,Table6[[#This Row],[concat label normal mode  case 3]],"")</f>
        <v/>
      </c>
      <c r="AU422" s="1295" t="str">
        <f>IF(Table6[[#This Row],[Input value normal mode case 1, 2a/2b,Po]]&gt;0,Table6[[#This Row],[Input value normal mode case 1, 2a/2b,Po]],Table6[[#This Row],[input for case 3 normal mode]])</f>
        <v/>
      </c>
      <c r="AV422" s="1295" t="str">
        <f>IF(Table6[[#This Row],[Input value normal mode case 1, 2a/2b,Po]]&gt;0,Table6[[#This Row],[concat label normal mode 1,2a/2b,Po ]],Table6[[#This Row],[concat label normal mode  case 3]])</f>
        <v/>
      </c>
      <c r="AW422" s="1295" t="str">
        <f>IF(Table6[[#This Row],[Input value refined mode case 1, 2a/2b,Po]]&gt;0,Table6[[#This Row],[Input value refined mode case 1, 2a/2b,Po]],Table6[[#This Row],[input for case 3 refined mode]])</f>
        <v/>
      </c>
      <c r="AX422" s="1295" t="str">
        <f>IF(Table6[[#This Row],[Input value refined mode case 1, 2a/2b,Po]]&gt;0,Table6[[#This Row],[concat label refined mode case 1,2a/2b,Po]],Table6[[#This Row],[label for case 3 calculation refined mode]])</f>
        <v/>
      </c>
      <c r="AY422" s="1287">
        <f t="shared" si="274"/>
        <v>0</v>
      </c>
      <c r="AZ422" s="1295" t="str">
        <f t="shared" si="270"/>
        <v/>
      </c>
      <c r="BA422" s="1295" t="str">
        <f t="shared" si="271"/>
        <v/>
      </c>
      <c r="BB422" s="1287" t="str">
        <f>IF(AND(Table6[[#This Row],[label for IESTI new normal mode]]="LOQ",Table6[[#This Row],[GAP under assessment]]="N"),"",IF(AND($H422&gt;0,$Y422&lt;&gt;1),"CF*PF",IF($H422&gt;0,"CF",IF($Y422&lt;&gt;1,"PF",""))))</f>
        <v/>
      </c>
      <c r="BC422" s="1296"/>
      <c r="BD422" s="1297"/>
      <c r="BE422" s="1304" t="str">
        <f>IF(Table6[[#This Row],[GAP under assessment]]="Y",Table6[[#This Row],[MRL*CF*PF or LOQ (if not under assessment and LOQ)]],"")</f>
        <v/>
      </c>
      <c r="BF422" s="1305"/>
      <c r="BG422" s="1298" t="s">
        <v>513</v>
      </c>
      <c r="BH422" s="1306"/>
    </row>
    <row r="423" spans="1:60" s="11" customFormat="1" ht="12.75" customHeight="1" x14ac:dyDescent="0.2">
      <c r="A423" s="479" t="s">
        <v>496</v>
      </c>
      <c r="B423" s="480">
        <v>140040</v>
      </c>
      <c r="C423" s="547" t="s">
        <v>383</v>
      </c>
      <c r="D423" s="1261">
        <f>VLOOKUP(Table6[[#This Row],[Code no.]],$B$12:$D$390,3,FALSE)</f>
        <v>0</v>
      </c>
      <c r="E423" s="1264">
        <f t="shared" si="258"/>
        <v>0</v>
      </c>
      <c r="F423" s="1262" t="str">
        <f t="shared" si="272"/>
        <v/>
      </c>
      <c r="G423" s="1265">
        <f t="shared" si="259"/>
        <v>1</v>
      </c>
      <c r="H423" s="881"/>
      <c r="I423" s="880"/>
      <c r="J423" s="1269">
        <f t="shared" si="260"/>
        <v>0</v>
      </c>
      <c r="K423" s="1269">
        <f t="shared" si="261"/>
        <v>0</v>
      </c>
      <c r="L423" s="1270"/>
      <c r="M423" s="1271" t="str">
        <f t="shared" si="262"/>
        <v/>
      </c>
      <c r="N423" s="1272"/>
      <c r="O423" s="1273">
        <v>3</v>
      </c>
      <c r="P423" s="1273" t="str">
        <f>IF(OR($A$10=$BG$15,Results!$B$62=Results!$T$63),Table6[[#This Row],[label refine mode]],Table6[[#This Row],[label normal mode]])</f>
        <v/>
      </c>
      <c r="Q423" s="1257" t="str">
        <f>IF(OR($A$10=$BG$15,Results!$B$62=Results!$T$63),Table6[[#This Row],[input refined mode]],Table6[[#This Row],[Input normal mode]])</f>
        <v/>
      </c>
      <c r="R423" s="1275" t="str">
        <f>IF(Table6[[#This Row],[Acute RA IESTI new input value]]="","",CONCATENATE(Table6[[#This Row],[label for IESTI new normal mode]],Table6[[#This Row],[label connector IESTI new normal mode]],Table6[[#This Row],[label refinements normal mode]]))</f>
        <v/>
      </c>
      <c r="S423" s="1259">
        <f>IF(OR($A$10=$BG$15,Results!$B$62=Results!$T$63),Table6[[#This Row],[Input for IESTI new refined mode]],Table6[[#This Row],[Input for IESTI new normal mode]])</f>
        <v>0</v>
      </c>
      <c r="T423" s="888"/>
      <c r="U423" s="1283">
        <f t="shared" si="263"/>
        <v>0</v>
      </c>
      <c r="V423" s="1284" t="str">
        <f t="shared" si="273"/>
        <v/>
      </c>
      <c r="W423" s="1285">
        <f>IF($H423&gt;0,$H423,IF(Table6[[#This Row],[CFrisk for residue definition (applicable for unprocessed products)]]&gt;0,Table6[[#This Row],[CFrisk for residue definition (applicable for unprocessed products)]],1))</f>
        <v>1</v>
      </c>
      <c r="X423" s="1285">
        <v>1</v>
      </c>
      <c r="Y423" s="1285">
        <f t="shared" si="264"/>
        <v>1</v>
      </c>
      <c r="Z423" s="1285">
        <f t="shared" si="265"/>
        <v>1</v>
      </c>
      <c r="AA423" s="1285" t="str">
        <f>IF(Table6[[#This Row],[Post-harvest treatment]]="","","Y")</f>
        <v/>
      </c>
      <c r="AB423" s="1285" t="str">
        <f>IF(AND(Table6[[#This Row],[CF used for for calculation]]&lt;&gt;1,Table6[[#This Row],[PF for calculation]]&lt;&gt;1),"CF*PF",IF(Table6[[#This Row],[CF used for for calculation]]&lt;&gt;1,"CF",IF(Table6[[#This Row],[PF for calculation]]&lt;&gt;1,"PF","")))</f>
        <v/>
      </c>
      <c r="AC423" s="1300">
        <f>IF(AND(Table6[[#This Row],[LOQ RAC individual crop]]="Y",Table6[[#This Row],[GAP under assessment]]="N"),Table6[[#This Row],[MRL RAC individual commodity]],Table6[[#This Row],[MRL RAC individual commodity]]*Table6[[#This Row],[CF*PF for calculation]])</f>
        <v>0</v>
      </c>
      <c r="AD423" s="1287">
        <f t="shared" si="266"/>
        <v>0</v>
      </c>
      <c r="AE423" s="1287">
        <f t="shared" si="267"/>
        <v>0</v>
      </c>
      <c r="AF423" s="1288">
        <f>Table6[[#This Row],[IESTI case]]</f>
        <v>3</v>
      </c>
      <c r="AG42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23" s="1302" t="str">
        <f>IF(Table6[[#This Row],[Input value normal mode case 1, 2a/2b,Po]]&gt;0,
              IF(Table6[[#This Row],[Highest residue * CF*PF]]&gt;"","HR-RAC",
                             IF(Table6[[#This Row],[LOQ RAC individual crop]]="Y","LOQ","MRL")),"")</f>
        <v/>
      </c>
      <c r="AI423" s="1302" t="str">
        <f t="shared" si="268"/>
        <v/>
      </c>
      <c r="AJ423" s="1302" t="str">
        <f>IF(Table6[[#This Row],[Input value normal mode case 1, 2a/2b,Po]]&gt;0,IF(Table6[[#This Row],[label description]]&gt;"",Table6[[#This Row],[label description]],""),"")</f>
        <v/>
      </c>
      <c r="AK423" s="1302" t="str">
        <f>CONCATENATE(Table6[[#This Row],[label for IESTI normal mode case 1, 2a/2b,Po]],Table6[[#This Row],[label connector case  normal mode]],Table6[[#This Row],[label refinements normal mode case 1, 2a/2b,Po]])</f>
        <v/>
      </c>
      <c r="AL423" s="1287" t="str">
        <f>IF(AND(Table6[[#This Row],[Case for acute RA children / adults]]=3,Table6[[#This Row],[Post-harvest treatment]]=""),IF(AND(Table6[[#This Row],[LOQ RAC individual crop]]="Y",M422="N"),Table6[[#This Row],[MRL RAC individual commodity]],IF(Table6[[#This Row],[Median residue*CF*PF]]&gt;0,Table6[[#This Row],[Median residue*CF*PF]],IF(Table6[[#This Row],[MRL*CF*PF or LOQ (if not under assessment and LOQ)]]&gt;0,Table6[[#This Row],[MRL*CF*PF or LOQ (if not under assessment and LOQ)]],""))),"")</f>
        <v/>
      </c>
      <c r="AM423" s="1295" t="str">
        <f>IF(Table6[[#This Row],[input for case 3 normal mode]]&gt;0,IF(Table6[[#This Row],[Median residue*CF*PF]]&gt;0,"STMR-RAC",IF(AND($AC423&gt;0,NOT(V423="Y")),"MRL",IF($V423="Y","LOQ",""))),"")</f>
        <v/>
      </c>
      <c r="AN423" s="1295" t="str">
        <f t="shared" si="269"/>
        <v/>
      </c>
      <c r="AO423" s="1287" t="str">
        <f>IF(Table6[[#This Row],[input for case 3 normal mode]]="","",IF(AND(Table6[[#This Row],[label for case 3 calculation normal mode]]="LOQ",Table6[[#This Row],[GAP under assessment]]="N"),"",IF(Table6[[#This Row],[label description]]&gt;"",Table6[[#This Row],[label description]],"")))</f>
        <v/>
      </c>
      <c r="AP423" s="1287" t="str">
        <f>CONCATENATE(Table6[[#This Row],[label for case 3 calculation normal mode]],Table6[[#This Row],[label connector case 3 normal mode]],Table6[[#This Row],[label refinements case 3 normal mode]])</f>
        <v/>
      </c>
      <c r="AQ423" s="1287" t="str">
        <f>IF(Table6[[#This Row],[GAP under assessment]]="Y",Table6[[#This Row],[Input value normal mode case 1, 2a/2b,Po]],"")</f>
        <v/>
      </c>
      <c r="AR423" s="1287" t="str">
        <f>IF(Table6[[#This Row],[Input value refined mode case 1, 2a/2b,Po]]&gt;0,Table6[[#This Row],[concat label normal mode 1,2a/2b,Po ]],"")</f>
        <v/>
      </c>
      <c r="AS423" s="1303" t="str">
        <f>IF(Table6[[#This Row],[GAP under assessment]]="Y",Table6[[#This Row],[input for case 3 normal mode]],"")</f>
        <v/>
      </c>
      <c r="AT423" s="1287" t="str">
        <f>IF(Table6[[#This Row],[input for case 3 refined mode]]&gt;0,Table6[[#This Row],[concat label normal mode  case 3]],"")</f>
        <v/>
      </c>
      <c r="AU423" s="1295" t="str">
        <f>IF(Table6[[#This Row],[Input value normal mode case 1, 2a/2b,Po]]&gt;0,Table6[[#This Row],[Input value normal mode case 1, 2a/2b,Po]],Table6[[#This Row],[input for case 3 normal mode]])</f>
        <v/>
      </c>
      <c r="AV423" s="1295" t="str">
        <f>IF(Table6[[#This Row],[Input value normal mode case 1, 2a/2b,Po]]&gt;0,Table6[[#This Row],[concat label normal mode 1,2a/2b,Po ]],Table6[[#This Row],[concat label normal mode  case 3]])</f>
        <v/>
      </c>
      <c r="AW423" s="1295" t="str">
        <f>IF(Table6[[#This Row],[Input value refined mode case 1, 2a/2b,Po]]&gt;0,Table6[[#This Row],[Input value refined mode case 1, 2a/2b,Po]],Table6[[#This Row],[input for case 3 refined mode]])</f>
        <v/>
      </c>
      <c r="AX423" s="1295" t="str">
        <f>IF(Table6[[#This Row],[Input value refined mode case 1, 2a/2b,Po]]&gt;0,Table6[[#This Row],[concat label refined mode case 1,2a/2b,Po]],Table6[[#This Row],[label for case 3 calculation refined mode]])</f>
        <v/>
      </c>
      <c r="AY423" s="1287">
        <f t="shared" si="274"/>
        <v>0</v>
      </c>
      <c r="AZ423" s="1295" t="str">
        <f t="shared" si="270"/>
        <v/>
      </c>
      <c r="BA423" s="1295" t="str">
        <f t="shared" si="271"/>
        <v/>
      </c>
      <c r="BB423" s="1287" t="str">
        <f>IF(AND(Table6[[#This Row],[label for IESTI new normal mode]]="LOQ",Table6[[#This Row],[GAP under assessment]]="N"),"",IF(AND($H423&gt;0,$Y423&lt;&gt;1),"CF*PF",IF($H423&gt;0,"CF",IF($Y423&lt;&gt;1,"PF",""))))</f>
        <v/>
      </c>
      <c r="BC423" s="1296" t="s">
        <v>369</v>
      </c>
      <c r="BD423" s="1297"/>
      <c r="BE423" s="1304" t="str">
        <f>IF(Table6[[#This Row],[GAP under assessment]]="Y",Table6[[#This Row],[MRL*CF*PF or LOQ (if not under assessment and LOQ)]],"")</f>
        <v/>
      </c>
      <c r="BF423" s="1305" t="str">
        <f>IF(Table6[[#This Row],[Input for IESTI new refined mode]]&lt;&gt;"",CONCATENATE("MRL",Table6[[#This Row],[label connector case 3 normal mode]],Table6[[#This Row],[label refinements case 3 normal mode]]),"")</f>
        <v/>
      </c>
      <c r="BG423" s="1298" t="s">
        <v>496</v>
      </c>
      <c r="BH423" s="1306"/>
    </row>
    <row r="424" spans="1:60" s="11" customFormat="1" ht="12.75" customHeight="1" x14ac:dyDescent="0.2">
      <c r="A424" s="479" t="s">
        <v>594</v>
      </c>
      <c r="B424" s="480">
        <v>151010</v>
      </c>
      <c r="C424" s="547" t="s">
        <v>877</v>
      </c>
      <c r="D424" s="1261">
        <f>VLOOKUP(Table6[[#This Row],[Code no.]],$B$12:$D$390,3,FALSE)</f>
        <v>0</v>
      </c>
      <c r="E424" s="1264">
        <f t="shared" si="258"/>
        <v>0</v>
      </c>
      <c r="F424" s="1262" t="str">
        <f t="shared" si="272"/>
        <v/>
      </c>
      <c r="G424" s="1265">
        <f t="shared" si="259"/>
        <v>1</v>
      </c>
      <c r="H424" s="881"/>
      <c r="I424" s="882"/>
      <c r="J424" s="1269">
        <f t="shared" si="260"/>
        <v>0</v>
      </c>
      <c r="K424" s="1269">
        <f t="shared" si="261"/>
        <v>0</v>
      </c>
      <c r="L424" s="1270"/>
      <c r="M424" s="1271" t="str">
        <f t="shared" si="262"/>
        <v/>
      </c>
      <c r="N424" s="1272"/>
      <c r="O424" s="1273">
        <v>1</v>
      </c>
      <c r="P424" s="1273" t="str">
        <f>IF(OR($A$10=$BG$15,Results!$B$62=Results!$T$63),Table6[[#This Row],[label refine mode]],Table6[[#This Row],[label normal mode]])</f>
        <v/>
      </c>
      <c r="Q424" s="1257" t="str">
        <f>IF(OR($A$10=$BG$15,Results!$B$62=Results!$T$63),Table6[[#This Row],[input refined mode]],Table6[[#This Row],[Input normal mode]])</f>
        <v/>
      </c>
      <c r="R424" s="1275" t="str">
        <f>IF(Table6[[#This Row],[Acute RA IESTI new input value]]="","",CONCATENATE(Table6[[#This Row],[label for IESTI new normal mode]],Table6[[#This Row],[label connector IESTI new normal mode]],Table6[[#This Row],[label refinements normal mode]]))</f>
        <v/>
      </c>
      <c r="S424" s="1259">
        <f>IF(OR($A$10=$BG$15,Results!$B$62=Results!$T$63),Table6[[#This Row],[Input for IESTI new refined mode]],Table6[[#This Row],[Input for IESTI new normal mode]])</f>
        <v>0</v>
      </c>
      <c r="T424" s="888"/>
      <c r="U424" s="1283">
        <f t="shared" si="263"/>
        <v>0</v>
      </c>
      <c r="V424" s="1284" t="str">
        <f t="shared" si="273"/>
        <v/>
      </c>
      <c r="W424" s="1285">
        <f>IF($H424&gt;0,$H424,IF(Table6[[#This Row],[CFrisk for residue definition (applicable for unprocessed products)]]&gt;0,Table6[[#This Row],[CFrisk for residue definition (applicable for unprocessed products)]],1))</f>
        <v>1</v>
      </c>
      <c r="X424" s="1285">
        <v>4.7</v>
      </c>
      <c r="Y424" s="1285">
        <f t="shared" si="264"/>
        <v>4.7</v>
      </c>
      <c r="Z424" s="1285">
        <f t="shared" si="265"/>
        <v>4.7</v>
      </c>
      <c r="AA424" s="1285" t="str">
        <f>IF(Table6[[#This Row],[Post-harvest treatment]]="","","Y")</f>
        <v/>
      </c>
      <c r="AB424" s="1285" t="str">
        <f>IF(AND(Table6[[#This Row],[CF used for for calculation]]&lt;&gt;1,Table6[[#This Row],[PF for calculation]]&lt;&gt;1),"CF*PF",IF(Table6[[#This Row],[CF used for for calculation]]&lt;&gt;1,"CF",IF(Table6[[#This Row],[PF for calculation]]&lt;&gt;1,"PF","")))</f>
        <v>PF</v>
      </c>
      <c r="AC424" s="1300">
        <f>IF(AND(Table6[[#This Row],[LOQ RAC individual crop]]="Y",Table6[[#This Row],[GAP under assessment]]="N"),Table6[[#This Row],[MRL RAC individual commodity]],Table6[[#This Row],[MRL RAC individual commodity]]*Table6[[#This Row],[CF*PF for calculation]])</f>
        <v>0</v>
      </c>
      <c r="AD424" s="1287">
        <f t="shared" si="266"/>
        <v>0</v>
      </c>
      <c r="AE424" s="1287">
        <f t="shared" si="267"/>
        <v>0</v>
      </c>
      <c r="AF424" s="1288">
        <f>Table6[[#This Row],[IESTI case]]</f>
        <v>1</v>
      </c>
      <c r="AG42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24" s="1302" t="str">
        <f>IF(Table6[[#This Row],[Input value normal mode case 1, 2a/2b,Po]]&gt;0,
              IF(Table6[[#This Row],[Highest residue * CF*PF]]&gt;"","HR-RAC",
                             IF(Table6[[#This Row],[LOQ RAC individual crop]]="Y","LOQ","MRL")),"")</f>
        <v/>
      </c>
      <c r="AI424" s="1302" t="str">
        <f t="shared" si="268"/>
        <v/>
      </c>
      <c r="AJ424" s="1302" t="str">
        <f>IF(Table6[[#This Row],[Input value normal mode case 1, 2a/2b,Po]]&gt;0,IF(Table6[[#This Row],[label description]]&gt;"",Table6[[#This Row],[label description]],""),"")</f>
        <v/>
      </c>
      <c r="AK424" s="1302" t="str">
        <f>CONCATENATE(Table6[[#This Row],[label for IESTI normal mode case 1, 2a/2b,Po]],Table6[[#This Row],[label connector case  normal mode]],Table6[[#This Row],[label refinements normal mode case 1, 2a/2b,Po]])</f>
        <v/>
      </c>
      <c r="AL424" s="1287" t="str">
        <f>IF(AND(Table6[[#This Row],[Case for acute RA children / adults]]=3,Table6[[#This Row],[Post-harvest treatment]]=""),IF(AND(Table6[[#This Row],[LOQ RAC individual crop]]="Y",M423="N"),Table6[[#This Row],[MRL RAC individual commodity]],IF(Table6[[#This Row],[Median residue*CF*PF]]&gt;0,Table6[[#This Row],[Median residue*CF*PF]],IF(Table6[[#This Row],[MRL*CF*PF or LOQ (if not under assessment and LOQ)]]&gt;0,Table6[[#This Row],[MRL*CF*PF or LOQ (if not under assessment and LOQ)]],""))),"")</f>
        <v/>
      </c>
      <c r="AM424" s="1295" t="str">
        <f>IF(Table6[[#This Row],[input for case 3 normal mode]]&gt;0,IF(Table6[[#This Row],[Median residue*CF*PF]]&gt;0,"STMR-RAC",IF(AND($AC424&gt;0,NOT(V424="Y")),"MRL",IF($V424="Y","LOQ",""))),"")</f>
        <v/>
      </c>
      <c r="AN424" s="1295" t="str">
        <f t="shared" si="269"/>
        <v/>
      </c>
      <c r="AO424" s="1287" t="str">
        <f>IF(Table6[[#This Row],[input for case 3 normal mode]]="","",IF(AND(Table6[[#This Row],[label for case 3 calculation normal mode]]="LOQ",Table6[[#This Row],[GAP under assessment]]="N"),"",IF(Table6[[#This Row],[label description]]&gt;"",Table6[[#This Row],[label description]],"")))</f>
        <v/>
      </c>
      <c r="AP424" s="1287" t="str">
        <f>CONCATENATE(Table6[[#This Row],[label for case 3 calculation normal mode]],Table6[[#This Row],[label connector case 3 normal mode]],Table6[[#This Row],[label refinements case 3 normal mode]])</f>
        <v/>
      </c>
      <c r="AQ424" s="1287" t="str">
        <f>IF(Table6[[#This Row],[GAP under assessment]]="Y",Table6[[#This Row],[Input value normal mode case 1, 2a/2b,Po]],"")</f>
        <v/>
      </c>
      <c r="AR424" s="1287" t="str">
        <f>IF(Table6[[#This Row],[Input value refined mode case 1, 2a/2b,Po]]&gt;0,Table6[[#This Row],[concat label normal mode 1,2a/2b,Po ]],"")</f>
        <v/>
      </c>
      <c r="AS424" s="1303" t="str">
        <f>IF(Table6[[#This Row],[GAP under assessment]]="Y",Table6[[#This Row],[input for case 3 normal mode]],"")</f>
        <v/>
      </c>
      <c r="AT424" s="1287" t="str">
        <f>IF(Table6[[#This Row],[input for case 3 refined mode]]&gt;0,Table6[[#This Row],[concat label normal mode  case 3]],"")</f>
        <v/>
      </c>
      <c r="AU424" s="1295" t="str">
        <f>IF(Table6[[#This Row],[Input value normal mode case 1, 2a/2b,Po]]&gt;0,Table6[[#This Row],[Input value normal mode case 1, 2a/2b,Po]],Table6[[#This Row],[input for case 3 normal mode]])</f>
        <v/>
      </c>
      <c r="AV424" s="1295" t="str">
        <f>IF(Table6[[#This Row],[Input value normal mode case 1, 2a/2b,Po]]&gt;0,Table6[[#This Row],[concat label normal mode 1,2a/2b,Po ]],Table6[[#This Row],[concat label normal mode  case 3]])</f>
        <v/>
      </c>
      <c r="AW424" s="1295" t="str">
        <f>IF(Table6[[#This Row],[Input value refined mode case 1, 2a/2b,Po]]&gt;0,Table6[[#This Row],[Input value refined mode case 1, 2a/2b,Po]],Table6[[#This Row],[input for case 3 refined mode]])</f>
        <v/>
      </c>
      <c r="AX424" s="1295" t="str">
        <f>IF(Table6[[#This Row],[Input value refined mode case 1, 2a/2b,Po]]&gt;0,Table6[[#This Row],[concat label refined mode case 1,2a/2b,Po]],Table6[[#This Row],[label for case 3 calculation refined mode]])</f>
        <v/>
      </c>
      <c r="AY424" s="1287">
        <f t="shared" si="274"/>
        <v>0</v>
      </c>
      <c r="AZ424" s="1295" t="str">
        <f t="shared" si="270"/>
        <v/>
      </c>
      <c r="BA424" s="1295" t="str">
        <f t="shared" si="271"/>
        <v/>
      </c>
      <c r="BB424" s="1287" t="str">
        <f>IF(AND(Table6[[#This Row],[label for IESTI new normal mode]]="LOQ",Table6[[#This Row],[GAP under assessment]]="N"),"",IF(AND($H424&gt;0,$Y424&lt;&gt;1),"CF*PF",IF($H424&gt;0,"CF",IF($Y424&lt;&gt;1,"PF",""))))</f>
        <v>PF</v>
      </c>
      <c r="BC424" s="1296" t="s">
        <v>369</v>
      </c>
      <c r="BD424" s="1297"/>
      <c r="BE424" s="1304" t="str">
        <f>IF(Table6[[#This Row],[GAP under assessment]]="Y",Table6[[#This Row],[MRL*CF*PF or LOQ (if not under assessment and LOQ)]],"")</f>
        <v/>
      </c>
      <c r="BF424" s="1305" t="str">
        <f>IF(Table6[[#This Row],[Input for IESTI new refined mode]]&lt;&gt;"",CONCATENATE("MRL",Table6[[#This Row],[label connector case 3 normal mode]],Table6[[#This Row],[label refinements case 3 normal mode]]),"")</f>
        <v/>
      </c>
      <c r="BG424" s="1298" t="s">
        <v>594</v>
      </c>
      <c r="BH424" s="1306"/>
    </row>
    <row r="425" spans="1:60" s="11" customFormat="1" ht="12.75" customHeight="1" x14ac:dyDescent="0.2">
      <c r="A425" s="479" t="s">
        <v>532</v>
      </c>
      <c r="B425" s="480">
        <v>151020</v>
      </c>
      <c r="C425" s="547" t="s">
        <v>458</v>
      </c>
      <c r="D425" s="1261">
        <f>VLOOKUP(Table6[[#This Row],[Code no.]],$B$12:$D$390,3,FALSE)</f>
        <v>0</v>
      </c>
      <c r="E425" s="1264">
        <f t="shared" si="258"/>
        <v>0</v>
      </c>
      <c r="F425" s="1262" t="str">
        <f t="shared" si="272"/>
        <v/>
      </c>
      <c r="G425" s="1265">
        <f t="shared" si="259"/>
        <v>1</v>
      </c>
      <c r="H425" s="881"/>
      <c r="I425" s="880"/>
      <c r="J425" s="1269">
        <f t="shared" si="260"/>
        <v>0</v>
      </c>
      <c r="K425" s="1269">
        <f t="shared" si="261"/>
        <v>0</v>
      </c>
      <c r="L425" s="1270"/>
      <c r="M425" s="1271" t="str">
        <f t="shared" si="262"/>
        <v/>
      </c>
      <c r="N425" s="1272"/>
      <c r="O425" s="1273">
        <v>1</v>
      </c>
      <c r="P425" s="1273" t="str">
        <f>IF(OR($A$10=$BG$15,Results!$B$62=Results!$T$63),Table6[[#This Row],[label refine mode]],Table6[[#This Row],[label normal mode]])</f>
        <v/>
      </c>
      <c r="Q425" s="1257" t="str">
        <f>IF(OR($A$10=$BG$15,Results!$B$62=Results!$T$63),Table6[[#This Row],[input refined mode]],Table6[[#This Row],[Input normal mode]])</f>
        <v/>
      </c>
      <c r="R425" s="1275" t="str">
        <f>IF(Table6[[#This Row],[Acute RA IESTI new input value]]="","",CONCATENATE(Table6[[#This Row],[label for IESTI new normal mode]],Table6[[#This Row],[label connector IESTI new normal mode]],Table6[[#This Row],[label refinements normal mode]]))</f>
        <v/>
      </c>
      <c r="S425" s="1259">
        <f>IF(OR($A$10=$BG$15,Results!$B$62=Results!$T$63),Table6[[#This Row],[Input for IESTI new refined mode]],Table6[[#This Row],[Input for IESTI new normal mode]])</f>
        <v>0</v>
      </c>
      <c r="T425" s="888"/>
      <c r="U425" s="1283">
        <f t="shared" si="263"/>
        <v>0</v>
      </c>
      <c r="V425" s="1284" t="str">
        <f t="shared" si="273"/>
        <v/>
      </c>
      <c r="W425" s="1285">
        <f>IF($H425&gt;0,$H425,IF(Table6[[#This Row],[CFrisk for residue definition (applicable for unprocessed products)]]&gt;0,Table6[[#This Row],[CFrisk for residue definition (applicable for unprocessed products)]],1))</f>
        <v>1</v>
      </c>
      <c r="X425" s="1285">
        <v>1</v>
      </c>
      <c r="Y425" s="1285">
        <f t="shared" si="264"/>
        <v>1</v>
      </c>
      <c r="Z425" s="1285">
        <f t="shared" si="265"/>
        <v>1</v>
      </c>
      <c r="AA425" s="1285" t="str">
        <f>IF(Table6[[#This Row],[Post-harvest treatment]]="","","Y")</f>
        <v/>
      </c>
      <c r="AB425" s="1285" t="str">
        <f>IF(AND(Table6[[#This Row],[CF used for for calculation]]&lt;&gt;1,Table6[[#This Row],[PF for calculation]]&lt;&gt;1),"CF*PF",IF(Table6[[#This Row],[CF used for for calculation]]&lt;&gt;1,"CF",IF(Table6[[#This Row],[PF for calculation]]&lt;&gt;1,"PF","")))</f>
        <v/>
      </c>
      <c r="AC425" s="1300">
        <f>IF(AND(Table6[[#This Row],[LOQ RAC individual crop]]="Y",Table6[[#This Row],[GAP under assessment]]="N"),Table6[[#This Row],[MRL RAC individual commodity]],Table6[[#This Row],[MRL RAC individual commodity]]*Table6[[#This Row],[CF*PF for calculation]])</f>
        <v>0</v>
      </c>
      <c r="AD425" s="1287">
        <f t="shared" si="266"/>
        <v>0</v>
      </c>
      <c r="AE425" s="1287">
        <f t="shared" si="267"/>
        <v>0</v>
      </c>
      <c r="AF425" s="1288">
        <f>Table6[[#This Row],[IESTI case]]</f>
        <v>1</v>
      </c>
      <c r="AG42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25" s="1302" t="str">
        <f>IF(Table6[[#This Row],[Input value normal mode case 1, 2a/2b,Po]]&gt;0,
              IF(Table6[[#This Row],[Highest residue * CF*PF]]&gt;"","HR-RAC",
                             IF(Table6[[#This Row],[LOQ RAC individual crop]]="Y","LOQ","MRL")),"")</f>
        <v/>
      </c>
      <c r="AI425" s="1302" t="str">
        <f t="shared" si="268"/>
        <v/>
      </c>
      <c r="AJ425" s="1302" t="str">
        <f>IF(Table6[[#This Row],[Input value normal mode case 1, 2a/2b,Po]]&gt;0,IF(Table6[[#This Row],[label description]]&gt;"",Table6[[#This Row],[label description]],""),"")</f>
        <v/>
      </c>
      <c r="AK425" s="1302" t="str">
        <f>CONCATENATE(Table6[[#This Row],[label for IESTI normal mode case 1, 2a/2b,Po]],Table6[[#This Row],[label connector case  normal mode]],Table6[[#This Row],[label refinements normal mode case 1, 2a/2b,Po]])</f>
        <v/>
      </c>
      <c r="AL425" s="1287" t="str">
        <f>IF(AND(Table6[[#This Row],[Case for acute RA children / adults]]=3,Table6[[#This Row],[Post-harvest treatment]]=""),IF(AND(Table6[[#This Row],[LOQ RAC individual crop]]="Y",M424="N"),Table6[[#This Row],[MRL RAC individual commodity]],IF(Table6[[#This Row],[Median residue*CF*PF]]&gt;0,Table6[[#This Row],[Median residue*CF*PF]],IF(Table6[[#This Row],[MRL*CF*PF or LOQ (if not under assessment and LOQ)]]&gt;0,Table6[[#This Row],[MRL*CF*PF or LOQ (if not under assessment and LOQ)]],""))),"")</f>
        <v/>
      </c>
      <c r="AM425" s="1295" t="str">
        <f>IF(Table6[[#This Row],[input for case 3 normal mode]]&gt;0,IF(Table6[[#This Row],[Median residue*CF*PF]]&gt;0,"STMR-RAC",IF(AND($AC425&gt;0,NOT(V425="Y")),"MRL",IF($V425="Y","LOQ",""))),"")</f>
        <v/>
      </c>
      <c r="AN425" s="1295" t="str">
        <f t="shared" si="269"/>
        <v/>
      </c>
      <c r="AO425" s="1287" t="str">
        <f>IF(Table6[[#This Row],[input for case 3 normal mode]]="","",IF(AND(Table6[[#This Row],[label for case 3 calculation normal mode]]="LOQ",Table6[[#This Row],[GAP under assessment]]="N"),"",IF(Table6[[#This Row],[label description]]&gt;"",Table6[[#This Row],[label description]],"")))</f>
        <v/>
      </c>
      <c r="AP425" s="1287" t="str">
        <f>CONCATENATE(Table6[[#This Row],[label for case 3 calculation normal mode]],Table6[[#This Row],[label connector case 3 normal mode]],Table6[[#This Row],[label refinements case 3 normal mode]])</f>
        <v/>
      </c>
      <c r="AQ425" s="1287" t="str">
        <f>IF(Table6[[#This Row],[GAP under assessment]]="Y",Table6[[#This Row],[Input value normal mode case 1, 2a/2b,Po]],"")</f>
        <v/>
      </c>
      <c r="AR425" s="1287" t="str">
        <f>IF(Table6[[#This Row],[Input value refined mode case 1, 2a/2b,Po]]&gt;0,Table6[[#This Row],[concat label normal mode 1,2a/2b,Po ]],"")</f>
        <v/>
      </c>
      <c r="AS425" s="1303" t="str">
        <f>IF(Table6[[#This Row],[GAP under assessment]]="Y",Table6[[#This Row],[input for case 3 normal mode]],"")</f>
        <v/>
      </c>
      <c r="AT425" s="1287" t="str">
        <f>IF(Table6[[#This Row],[input for case 3 refined mode]]&gt;0,Table6[[#This Row],[concat label normal mode  case 3]],"")</f>
        <v/>
      </c>
      <c r="AU425" s="1295" t="str">
        <f>IF(Table6[[#This Row],[Input value normal mode case 1, 2a/2b,Po]]&gt;0,Table6[[#This Row],[Input value normal mode case 1, 2a/2b,Po]],Table6[[#This Row],[input for case 3 normal mode]])</f>
        <v/>
      </c>
      <c r="AV425" s="1295" t="str">
        <f>IF(Table6[[#This Row],[Input value normal mode case 1, 2a/2b,Po]]&gt;0,Table6[[#This Row],[concat label normal mode 1,2a/2b,Po ]],Table6[[#This Row],[concat label normal mode  case 3]])</f>
        <v/>
      </c>
      <c r="AW425" s="1295" t="str">
        <f>IF(Table6[[#This Row],[Input value refined mode case 1, 2a/2b,Po]]&gt;0,Table6[[#This Row],[Input value refined mode case 1, 2a/2b,Po]],Table6[[#This Row],[input for case 3 refined mode]])</f>
        <v/>
      </c>
      <c r="AX425" s="1295" t="str">
        <f>IF(Table6[[#This Row],[Input value refined mode case 1, 2a/2b,Po]]&gt;0,Table6[[#This Row],[concat label refined mode case 1,2a/2b,Po]],Table6[[#This Row],[label for case 3 calculation refined mode]])</f>
        <v/>
      </c>
      <c r="AY425" s="1287">
        <f t="shared" si="274"/>
        <v>0</v>
      </c>
      <c r="AZ425" s="1295" t="str">
        <f t="shared" si="270"/>
        <v/>
      </c>
      <c r="BA425" s="1295" t="str">
        <f t="shared" si="271"/>
        <v/>
      </c>
      <c r="BB425" s="1287" t="str">
        <f>IF(AND(Table6[[#This Row],[label for IESTI new normal mode]]="LOQ",Table6[[#This Row],[GAP under assessment]]="N"),"",IF(AND($H425&gt;0,$Y425&lt;&gt;1),"CF*PF",IF($H425&gt;0,"CF",IF($Y425&lt;&gt;1,"PF",""))))</f>
        <v/>
      </c>
      <c r="BC425" s="1296"/>
      <c r="BD425" s="1297"/>
      <c r="BE425" s="1304" t="str">
        <f>IF(Table6[[#This Row],[GAP under assessment]]="Y",Table6[[#This Row],[MRL*CF*PF or LOQ (if not under assessment and LOQ)]],"")</f>
        <v/>
      </c>
      <c r="BF425" s="1305" t="str">
        <f>IF(Table6[[#This Row],[Input for IESTI new refined mode]]&lt;&gt;"",CONCATENATE("MRL",Table6[[#This Row],[label connector case 3 normal mode]],Table6[[#This Row],[label refinements case 3 normal mode]]),"")</f>
        <v/>
      </c>
      <c r="BG425" s="1298" t="s">
        <v>532</v>
      </c>
      <c r="BH425" s="1306"/>
    </row>
    <row r="426" spans="1:60" s="11" customFormat="1" ht="12.75" customHeight="1" x14ac:dyDescent="0.2">
      <c r="A426" s="479" t="s">
        <v>497</v>
      </c>
      <c r="B426" s="480">
        <v>151020</v>
      </c>
      <c r="C426" s="547" t="s">
        <v>384</v>
      </c>
      <c r="D426" s="1261">
        <f>VLOOKUP(Table6[[#This Row],[Code no.]],$B$12:$D$390,3,FALSE)</f>
        <v>0</v>
      </c>
      <c r="E426" s="1264">
        <f t="shared" si="258"/>
        <v>0</v>
      </c>
      <c r="F426" s="1262" t="str">
        <f t="shared" si="272"/>
        <v/>
      </c>
      <c r="G426" s="1265">
        <f t="shared" si="259"/>
        <v>1</v>
      </c>
      <c r="H426" s="881"/>
      <c r="I426" s="880"/>
      <c r="J426" s="1269">
        <f t="shared" si="260"/>
        <v>0</v>
      </c>
      <c r="K426" s="1269">
        <f t="shared" si="261"/>
        <v>0</v>
      </c>
      <c r="L426" s="1270"/>
      <c r="M426" s="1271" t="str">
        <f t="shared" si="262"/>
        <v/>
      </c>
      <c r="N426" s="1272"/>
      <c r="O426" s="1273">
        <v>3</v>
      </c>
      <c r="P426" s="1273" t="str">
        <f>IF(OR($A$10=$BG$15,Results!$B$62=Results!$T$63),Table6[[#This Row],[label refine mode]],Table6[[#This Row],[label normal mode]])</f>
        <v/>
      </c>
      <c r="Q426" s="1257" t="str">
        <f>IF(OR($A$10=$BG$15,Results!$B$62=Results!$T$63),Table6[[#This Row],[input refined mode]],Table6[[#This Row],[Input normal mode]])</f>
        <v/>
      </c>
      <c r="R426" s="1275" t="str">
        <f>IF(Table6[[#This Row],[Acute RA IESTI new input value]]="","",CONCATENATE(Table6[[#This Row],[label for IESTI new normal mode]],Table6[[#This Row],[label connector IESTI new normal mode]],Table6[[#This Row],[label refinements normal mode]]))</f>
        <v/>
      </c>
      <c r="S426" s="1259">
        <f>IF(OR($A$10=$BG$15,Results!$B$62=Results!$T$63),Table6[[#This Row],[Input for IESTI new refined mode]],Table6[[#This Row],[Input for IESTI new normal mode]])</f>
        <v>0</v>
      </c>
      <c r="T426" s="888"/>
      <c r="U426" s="1283">
        <f t="shared" si="263"/>
        <v>0</v>
      </c>
      <c r="V426" s="1284" t="str">
        <f t="shared" si="273"/>
        <v/>
      </c>
      <c r="W426" s="1285">
        <f>IF($H426&gt;0,$H426,IF(Table6[[#This Row],[CFrisk for residue definition (applicable for unprocessed products)]]&gt;0,Table6[[#This Row],[CFrisk for residue definition (applicable for unprocessed products)]],1))</f>
        <v>1</v>
      </c>
      <c r="X426" s="1285">
        <v>1</v>
      </c>
      <c r="Y426" s="1285">
        <f t="shared" si="264"/>
        <v>1</v>
      </c>
      <c r="Z426" s="1285">
        <f t="shared" si="265"/>
        <v>1</v>
      </c>
      <c r="AA426" s="1285" t="str">
        <f>IF(Table6[[#This Row],[Post-harvest treatment]]="","","Y")</f>
        <v/>
      </c>
      <c r="AB426" s="1285" t="str">
        <f>IF(AND(Table6[[#This Row],[CF used for for calculation]]&lt;&gt;1,Table6[[#This Row],[PF for calculation]]&lt;&gt;1),"CF*PF",IF(Table6[[#This Row],[CF used for for calculation]]&lt;&gt;1,"CF",IF(Table6[[#This Row],[PF for calculation]]&lt;&gt;1,"PF","")))</f>
        <v/>
      </c>
      <c r="AC426" s="1300">
        <f>IF(AND(Table6[[#This Row],[LOQ RAC individual crop]]="Y",Table6[[#This Row],[GAP under assessment]]="N"),Table6[[#This Row],[MRL RAC individual commodity]],Table6[[#This Row],[MRL RAC individual commodity]]*Table6[[#This Row],[CF*PF for calculation]])</f>
        <v>0</v>
      </c>
      <c r="AD426" s="1287">
        <f t="shared" si="266"/>
        <v>0</v>
      </c>
      <c r="AE426" s="1287">
        <f t="shared" si="267"/>
        <v>0</v>
      </c>
      <c r="AF426" s="1288">
        <f>Table6[[#This Row],[IESTI case]]</f>
        <v>3</v>
      </c>
      <c r="AG42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26" s="1302" t="str">
        <f>IF(Table6[[#This Row],[Input value normal mode case 1, 2a/2b,Po]]&gt;0,
              IF(Table6[[#This Row],[Highest residue * CF*PF]]&gt;"","HR-RAC",
                             IF(Table6[[#This Row],[LOQ RAC individual crop]]="Y","LOQ","MRL")),"")</f>
        <v/>
      </c>
      <c r="AI426" s="1302" t="str">
        <f t="shared" si="268"/>
        <v/>
      </c>
      <c r="AJ426" s="1302" t="str">
        <f>IF(Table6[[#This Row],[Input value normal mode case 1, 2a/2b,Po]]&gt;0,IF(Table6[[#This Row],[label description]]&gt;"",Table6[[#This Row],[label description]],""),"")</f>
        <v/>
      </c>
      <c r="AK426" s="1302" t="str">
        <f>CONCATENATE(Table6[[#This Row],[label for IESTI normal mode case 1, 2a/2b,Po]],Table6[[#This Row],[label connector case  normal mode]],Table6[[#This Row],[label refinements normal mode case 1, 2a/2b,Po]])</f>
        <v/>
      </c>
      <c r="AL426" s="1287" t="str">
        <f>IF(AND(Table6[[#This Row],[Case for acute RA children / adults]]=3,Table6[[#This Row],[Post-harvest treatment]]=""),IF(AND(Table6[[#This Row],[LOQ RAC individual crop]]="Y",M425="N"),Table6[[#This Row],[MRL RAC individual commodity]],IF(Table6[[#This Row],[Median residue*CF*PF]]&gt;0,Table6[[#This Row],[Median residue*CF*PF]],IF(Table6[[#This Row],[MRL*CF*PF or LOQ (if not under assessment and LOQ)]]&gt;0,Table6[[#This Row],[MRL*CF*PF or LOQ (if not under assessment and LOQ)]],""))),"")</f>
        <v/>
      </c>
      <c r="AM426" s="1295" t="str">
        <f>IF(Table6[[#This Row],[input for case 3 normal mode]]&gt;0,IF(Table6[[#This Row],[Median residue*CF*PF]]&gt;0,"STMR-RAC",IF(AND($AC426&gt;0,NOT(V426="Y")),"MRL",IF($V426="Y","LOQ",""))),"")</f>
        <v/>
      </c>
      <c r="AN426" s="1295" t="str">
        <f t="shared" si="269"/>
        <v/>
      </c>
      <c r="AO426" s="1287" t="str">
        <f>IF(Table6[[#This Row],[input for case 3 normal mode]]="","",IF(AND(Table6[[#This Row],[label for case 3 calculation normal mode]]="LOQ",Table6[[#This Row],[GAP under assessment]]="N"),"",IF(Table6[[#This Row],[label description]]&gt;"",Table6[[#This Row],[label description]],"")))</f>
        <v/>
      </c>
      <c r="AP426" s="1287" t="str">
        <f>CONCATENATE(Table6[[#This Row],[label for case 3 calculation normal mode]],Table6[[#This Row],[label connector case 3 normal mode]],Table6[[#This Row],[label refinements case 3 normal mode]])</f>
        <v/>
      </c>
      <c r="AQ426" s="1287" t="str">
        <f>IF(Table6[[#This Row],[GAP under assessment]]="Y",Table6[[#This Row],[Input value normal mode case 1, 2a/2b,Po]],"")</f>
        <v/>
      </c>
      <c r="AR426" s="1287" t="str">
        <f>IF(Table6[[#This Row],[Input value refined mode case 1, 2a/2b,Po]]&gt;0,Table6[[#This Row],[concat label normal mode 1,2a/2b,Po ]],"")</f>
        <v/>
      </c>
      <c r="AS426" s="1303" t="str">
        <f>IF(Table6[[#This Row],[GAP under assessment]]="Y",Table6[[#This Row],[input for case 3 normal mode]],"")</f>
        <v/>
      </c>
      <c r="AT426" s="1287" t="str">
        <f>IF(Table6[[#This Row],[input for case 3 refined mode]]&gt;0,Table6[[#This Row],[concat label normal mode  case 3]],"")</f>
        <v/>
      </c>
      <c r="AU426" s="1295" t="str">
        <f>IF(Table6[[#This Row],[Input value normal mode case 1, 2a/2b,Po]]&gt;0,Table6[[#This Row],[Input value normal mode case 1, 2a/2b,Po]],Table6[[#This Row],[input for case 3 normal mode]])</f>
        <v/>
      </c>
      <c r="AV426" s="1295" t="str">
        <f>IF(Table6[[#This Row],[Input value normal mode case 1, 2a/2b,Po]]&gt;0,Table6[[#This Row],[concat label normal mode 1,2a/2b,Po ]],Table6[[#This Row],[concat label normal mode  case 3]])</f>
        <v/>
      </c>
      <c r="AW426" s="1295" t="str">
        <f>IF(Table6[[#This Row],[Input value refined mode case 1, 2a/2b,Po]]&gt;0,Table6[[#This Row],[Input value refined mode case 1, 2a/2b,Po]],Table6[[#This Row],[input for case 3 refined mode]])</f>
        <v/>
      </c>
      <c r="AX426" s="1295" t="str">
        <f>IF(Table6[[#This Row],[Input value refined mode case 1, 2a/2b,Po]]&gt;0,Table6[[#This Row],[concat label refined mode case 1,2a/2b,Po]],Table6[[#This Row],[label for case 3 calculation refined mode]])</f>
        <v/>
      </c>
      <c r="AY426" s="1287">
        <f t="shared" si="274"/>
        <v>0</v>
      </c>
      <c r="AZ426" s="1295" t="str">
        <f t="shared" si="270"/>
        <v/>
      </c>
      <c r="BA426" s="1295" t="str">
        <f t="shared" si="271"/>
        <v/>
      </c>
      <c r="BB426" s="1287" t="str">
        <f>IF(AND(Table6[[#This Row],[label for IESTI new normal mode]]="LOQ",Table6[[#This Row],[GAP under assessment]]="N"),"",IF(AND($H426&gt;0,$Y426&lt;&gt;1),"CF*PF",IF($H426&gt;0,"CF",IF($Y426&lt;&gt;1,"PF",""))))</f>
        <v/>
      </c>
      <c r="BC426" s="1296" t="s">
        <v>369</v>
      </c>
      <c r="BD426" s="1297"/>
      <c r="BE426" s="1304" t="str">
        <f>IF(Table6[[#This Row],[GAP under assessment]]="Y",Table6[[#This Row],[MRL*CF*PF or LOQ (if not under assessment and LOQ)]],"")</f>
        <v/>
      </c>
      <c r="BF426" s="1305" t="str">
        <f>IF(Table6[[#This Row],[Input for IESTI new refined mode]]&lt;&gt;"",CONCATENATE("MRL",Table6[[#This Row],[label connector case 3 normal mode]],Table6[[#This Row],[label refinements case 3 normal mode]]),"")</f>
        <v/>
      </c>
      <c r="BG426" s="1298" t="s">
        <v>497</v>
      </c>
      <c r="BH426" s="1306"/>
    </row>
    <row r="427" spans="1:60" s="11" customFormat="1" ht="12.75" customHeight="1" x14ac:dyDescent="0.2">
      <c r="A427" s="479" t="s">
        <v>498</v>
      </c>
      <c r="B427" s="480">
        <v>153030</v>
      </c>
      <c r="C427" s="547" t="s">
        <v>385</v>
      </c>
      <c r="D427" s="1261">
        <f>VLOOKUP(Table6[[#This Row],[Code no.]],$B$12:$D$390,3,FALSE)</f>
        <v>0</v>
      </c>
      <c r="E427" s="1264">
        <f t="shared" si="258"/>
        <v>0</v>
      </c>
      <c r="F427" s="1262" t="str">
        <f t="shared" si="272"/>
        <v/>
      </c>
      <c r="G427" s="1265">
        <f t="shared" si="259"/>
        <v>1</v>
      </c>
      <c r="H427" s="881"/>
      <c r="I427" s="880"/>
      <c r="J427" s="1269">
        <f t="shared" si="260"/>
        <v>0</v>
      </c>
      <c r="K427" s="1269">
        <f t="shared" si="261"/>
        <v>0</v>
      </c>
      <c r="L427" s="1270"/>
      <c r="M427" s="1271" t="str">
        <f t="shared" si="262"/>
        <v/>
      </c>
      <c r="N427" s="1272"/>
      <c r="O427" s="1273">
        <v>3</v>
      </c>
      <c r="P427" s="1273" t="str">
        <f>IF(OR($A$10=$BG$15,Results!$B$62=Results!$T$63),Table6[[#This Row],[label refine mode]],Table6[[#This Row],[label normal mode]])</f>
        <v/>
      </c>
      <c r="Q427" s="1257" t="str">
        <f>IF(OR($A$10=$BG$15,Results!$B$62=Results!$T$63),Table6[[#This Row],[input refined mode]],Table6[[#This Row],[Input normal mode]])</f>
        <v/>
      </c>
      <c r="R427" s="1275" t="str">
        <f>IF(Table6[[#This Row],[Acute RA IESTI new input value]]="","",CONCATENATE(Table6[[#This Row],[label for IESTI new normal mode]],Table6[[#This Row],[label connector IESTI new normal mode]],Table6[[#This Row],[label refinements normal mode]]))</f>
        <v/>
      </c>
      <c r="S427" s="1259">
        <f>IF(OR($A$10=$BG$15,Results!$B$62=Results!$T$63),Table6[[#This Row],[Input for IESTI new refined mode]],Table6[[#This Row],[Input for IESTI new normal mode]])</f>
        <v>0</v>
      </c>
      <c r="T427" s="888"/>
      <c r="U427" s="1283">
        <f t="shared" si="263"/>
        <v>0</v>
      </c>
      <c r="V427" s="1284" t="str">
        <f t="shared" si="273"/>
        <v/>
      </c>
      <c r="W427" s="1285">
        <f>IF($H427&gt;0,$H427,IF(Table6[[#This Row],[CFrisk for residue definition (applicable for unprocessed products)]]&gt;0,Table6[[#This Row],[CFrisk for residue definition (applicable for unprocessed products)]],1))</f>
        <v>1</v>
      </c>
      <c r="X427" s="1285">
        <v>1</v>
      </c>
      <c r="Y427" s="1285">
        <f t="shared" si="264"/>
        <v>1</v>
      </c>
      <c r="Z427" s="1285">
        <f t="shared" si="265"/>
        <v>1</v>
      </c>
      <c r="AA427" s="1285" t="str">
        <f>IF(Table6[[#This Row],[Post-harvest treatment]]="","","Y")</f>
        <v/>
      </c>
      <c r="AB427" s="1285" t="str">
        <f>IF(AND(Table6[[#This Row],[CF used for for calculation]]&lt;&gt;1,Table6[[#This Row],[PF for calculation]]&lt;&gt;1),"CF*PF",IF(Table6[[#This Row],[CF used for for calculation]]&lt;&gt;1,"CF",IF(Table6[[#This Row],[PF for calculation]]&lt;&gt;1,"PF","")))</f>
        <v/>
      </c>
      <c r="AC427" s="1300">
        <f>IF(AND(Table6[[#This Row],[LOQ RAC individual crop]]="Y",Table6[[#This Row],[GAP under assessment]]="N"),Table6[[#This Row],[MRL RAC individual commodity]],Table6[[#This Row],[MRL RAC individual commodity]]*Table6[[#This Row],[CF*PF for calculation]])</f>
        <v>0</v>
      </c>
      <c r="AD427" s="1287">
        <f t="shared" si="266"/>
        <v>0</v>
      </c>
      <c r="AE427" s="1287">
        <f t="shared" si="267"/>
        <v>0</v>
      </c>
      <c r="AF427" s="1288">
        <f>Table6[[#This Row],[IESTI case]]</f>
        <v>3</v>
      </c>
      <c r="AG42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27" s="1302" t="str">
        <f>IF(Table6[[#This Row],[Input value normal mode case 1, 2a/2b,Po]]&gt;0,
              IF(Table6[[#This Row],[Highest residue * CF*PF]]&gt;"","HR-RAC",
                             IF(Table6[[#This Row],[LOQ RAC individual crop]]="Y","LOQ","MRL")),"")</f>
        <v/>
      </c>
      <c r="AI427" s="1302" t="str">
        <f t="shared" si="268"/>
        <v/>
      </c>
      <c r="AJ427" s="1302" t="str">
        <f>IF(Table6[[#This Row],[Input value normal mode case 1, 2a/2b,Po]]&gt;0,IF(Table6[[#This Row],[label description]]&gt;"",Table6[[#This Row],[label description]],""),"")</f>
        <v/>
      </c>
      <c r="AK427" s="1302" t="str">
        <f>CONCATENATE(Table6[[#This Row],[label for IESTI normal mode case 1, 2a/2b,Po]],Table6[[#This Row],[label connector case  normal mode]],Table6[[#This Row],[label refinements normal mode case 1, 2a/2b,Po]])</f>
        <v/>
      </c>
      <c r="AL427" s="1287" t="str">
        <f>IF(AND(Table6[[#This Row],[Case for acute RA children / adults]]=3,Table6[[#This Row],[Post-harvest treatment]]=""),IF(AND(Table6[[#This Row],[LOQ RAC individual crop]]="Y",M426="N"),Table6[[#This Row],[MRL RAC individual commodity]],IF(Table6[[#This Row],[Median residue*CF*PF]]&gt;0,Table6[[#This Row],[Median residue*CF*PF]],IF(Table6[[#This Row],[MRL*CF*PF or LOQ (if not under assessment and LOQ)]]&gt;0,Table6[[#This Row],[MRL*CF*PF or LOQ (if not under assessment and LOQ)]],""))),"")</f>
        <v/>
      </c>
      <c r="AM427" s="1295" t="str">
        <f>IF(Table6[[#This Row],[input for case 3 normal mode]]&gt;0,IF(Table6[[#This Row],[Median residue*CF*PF]]&gt;0,"STMR-RAC",IF(AND($AC427&gt;0,NOT(V427="Y")),"MRL",IF($V427="Y","LOQ",""))),"")</f>
        <v/>
      </c>
      <c r="AN427" s="1295" t="str">
        <f t="shared" si="269"/>
        <v/>
      </c>
      <c r="AO427" s="1287" t="str">
        <f>IF(Table6[[#This Row],[input for case 3 normal mode]]="","",IF(AND(Table6[[#This Row],[label for case 3 calculation normal mode]]="LOQ",Table6[[#This Row],[GAP under assessment]]="N"),"",IF(Table6[[#This Row],[label description]]&gt;"",Table6[[#This Row],[label description]],"")))</f>
        <v/>
      </c>
      <c r="AP427" s="1287" t="str">
        <f>CONCATENATE(Table6[[#This Row],[label for case 3 calculation normal mode]],Table6[[#This Row],[label connector case 3 normal mode]],Table6[[#This Row],[label refinements case 3 normal mode]])</f>
        <v/>
      </c>
      <c r="AQ427" s="1287" t="str">
        <f>IF(Table6[[#This Row],[GAP under assessment]]="Y",Table6[[#This Row],[Input value normal mode case 1, 2a/2b,Po]],"")</f>
        <v/>
      </c>
      <c r="AR427" s="1287" t="str">
        <f>IF(Table6[[#This Row],[Input value refined mode case 1, 2a/2b,Po]]&gt;0,Table6[[#This Row],[concat label normal mode 1,2a/2b,Po ]],"")</f>
        <v/>
      </c>
      <c r="AS427" s="1303" t="str">
        <f>IF(Table6[[#This Row],[GAP under assessment]]="Y",Table6[[#This Row],[input for case 3 normal mode]],"")</f>
        <v/>
      </c>
      <c r="AT427" s="1287" t="str">
        <f>IF(Table6[[#This Row],[input for case 3 refined mode]]&gt;0,Table6[[#This Row],[concat label normal mode  case 3]],"")</f>
        <v/>
      </c>
      <c r="AU427" s="1295" t="str">
        <f>IF(Table6[[#This Row],[Input value normal mode case 1, 2a/2b,Po]]&gt;0,Table6[[#This Row],[Input value normal mode case 1, 2a/2b,Po]],Table6[[#This Row],[input for case 3 normal mode]])</f>
        <v/>
      </c>
      <c r="AV427" s="1295" t="str">
        <f>IF(Table6[[#This Row],[Input value normal mode case 1, 2a/2b,Po]]&gt;0,Table6[[#This Row],[concat label normal mode 1,2a/2b,Po ]],Table6[[#This Row],[concat label normal mode  case 3]])</f>
        <v/>
      </c>
      <c r="AW427" s="1295" t="str">
        <f>IF(Table6[[#This Row],[Input value refined mode case 1, 2a/2b,Po]]&gt;0,Table6[[#This Row],[Input value refined mode case 1, 2a/2b,Po]],Table6[[#This Row],[input for case 3 refined mode]])</f>
        <v/>
      </c>
      <c r="AX427" s="1295" t="str">
        <f>IF(Table6[[#This Row],[Input value refined mode case 1, 2a/2b,Po]]&gt;0,Table6[[#This Row],[concat label refined mode case 1,2a/2b,Po]],Table6[[#This Row],[label for case 3 calculation refined mode]])</f>
        <v/>
      </c>
      <c r="AY427" s="1287">
        <f t="shared" si="274"/>
        <v>0</v>
      </c>
      <c r="AZ427" s="1295" t="str">
        <f t="shared" si="270"/>
        <v/>
      </c>
      <c r="BA427" s="1295" t="str">
        <f t="shared" si="271"/>
        <v/>
      </c>
      <c r="BB427" s="1287" t="str">
        <f>IF(AND(Table6[[#This Row],[label for IESTI new normal mode]]="LOQ",Table6[[#This Row],[GAP under assessment]]="N"),"",IF(AND($H427&gt;0,$Y427&lt;&gt;1),"CF*PF",IF($H427&gt;0,"CF",IF($Y427&lt;&gt;1,"PF",""))))</f>
        <v/>
      </c>
      <c r="BC427" s="1296"/>
      <c r="BD427" s="1297"/>
      <c r="BE427" s="1304" t="str">
        <f>IF(Table6[[#This Row],[GAP under assessment]]="Y",Table6[[#This Row],[MRL*CF*PF or LOQ (if not under assessment and LOQ)]],"")</f>
        <v/>
      </c>
      <c r="BF427" s="1305" t="str">
        <f>IF(Table6[[#This Row],[Input for IESTI new refined mode]]&lt;&gt;"",CONCATENATE("MRL",Table6[[#This Row],[label connector case 3 normal mode]],Table6[[#This Row],[label refinements case 3 normal mode]]),"")</f>
        <v/>
      </c>
      <c r="BG427" s="1298" t="s">
        <v>498</v>
      </c>
      <c r="BH427" s="1306"/>
    </row>
    <row r="428" spans="1:60" s="11" customFormat="1" ht="12.75" customHeight="1" x14ac:dyDescent="0.2">
      <c r="A428" s="479" t="s">
        <v>592</v>
      </c>
      <c r="B428" s="480">
        <v>154020</v>
      </c>
      <c r="C428" s="547" t="s">
        <v>460</v>
      </c>
      <c r="D428" s="1261">
        <f>VLOOKUP(Table6[[#This Row],[Code no.]],$B$12:$D$390,3,FALSE)</f>
        <v>0</v>
      </c>
      <c r="E428" s="1264">
        <f t="shared" si="258"/>
        <v>0</v>
      </c>
      <c r="F428" s="1262" t="str">
        <f t="shared" si="272"/>
        <v/>
      </c>
      <c r="G428" s="1265">
        <f t="shared" si="259"/>
        <v>1</v>
      </c>
      <c r="H428" s="881"/>
      <c r="I428" s="880"/>
      <c r="J428" s="1269">
        <f t="shared" si="260"/>
        <v>0</v>
      </c>
      <c r="K428" s="1269">
        <f t="shared" si="261"/>
        <v>0</v>
      </c>
      <c r="L428" s="1270"/>
      <c r="M428" s="1271" t="str">
        <f t="shared" si="262"/>
        <v/>
      </c>
      <c r="N428" s="1272"/>
      <c r="O428" s="1273">
        <v>3</v>
      </c>
      <c r="P428" s="1273" t="str">
        <f>IF(OR($A$10=$BG$15,Results!$B$62=Results!$T$63),Table6[[#This Row],[label refine mode]],Table6[[#This Row],[label normal mode]])</f>
        <v/>
      </c>
      <c r="Q428" s="1257" t="str">
        <f>IF(OR($A$10=$BG$15,Results!$B$62=Results!$T$63),Table6[[#This Row],[input refined mode]],Table6[[#This Row],[Input normal mode]])</f>
        <v/>
      </c>
      <c r="R428" s="1275" t="str">
        <f>IF(Table6[[#This Row],[Acute RA IESTI new input value]]="","",CONCATENATE(Table6[[#This Row],[label for IESTI new normal mode]],Table6[[#This Row],[label connector IESTI new normal mode]],Table6[[#This Row],[label refinements normal mode]]))</f>
        <v/>
      </c>
      <c r="S428" s="1259">
        <f>IF(OR($A$10=$BG$15,Results!$B$62=Results!$T$63),Table6[[#This Row],[Input for IESTI new refined mode]],Table6[[#This Row],[Input for IESTI new normal mode]])</f>
        <v>0</v>
      </c>
      <c r="T428" s="888"/>
      <c r="U428" s="1283">
        <f t="shared" si="263"/>
        <v>0</v>
      </c>
      <c r="V428" s="1284" t="str">
        <f t="shared" si="273"/>
        <v/>
      </c>
      <c r="W428" s="1285">
        <f>IF($H428&gt;0,$H428,IF(Table6[[#This Row],[CFrisk for residue definition (applicable for unprocessed products)]]&gt;0,Table6[[#This Row],[CFrisk for residue definition (applicable for unprocessed products)]],1))</f>
        <v>1</v>
      </c>
      <c r="X428" s="1285">
        <v>1</v>
      </c>
      <c r="Y428" s="1285">
        <f t="shared" si="264"/>
        <v>1</v>
      </c>
      <c r="Z428" s="1285">
        <f t="shared" si="265"/>
        <v>1</v>
      </c>
      <c r="AA428" s="1285" t="str">
        <f>IF(Table6[[#This Row],[Post-harvest treatment]]="","","Y")</f>
        <v/>
      </c>
      <c r="AB428" s="1285" t="str">
        <f>IF(AND(Table6[[#This Row],[CF used for for calculation]]&lt;&gt;1,Table6[[#This Row],[PF for calculation]]&lt;&gt;1),"CF*PF",IF(Table6[[#This Row],[CF used for for calculation]]&lt;&gt;1,"CF",IF(Table6[[#This Row],[PF for calculation]]&lt;&gt;1,"PF","")))</f>
        <v/>
      </c>
      <c r="AC428" s="1300">
        <f>IF(AND(Table6[[#This Row],[LOQ RAC individual crop]]="Y",Table6[[#This Row],[GAP under assessment]]="N"),Table6[[#This Row],[MRL RAC individual commodity]],Table6[[#This Row],[MRL RAC individual commodity]]*Table6[[#This Row],[CF*PF for calculation]])</f>
        <v>0</v>
      </c>
      <c r="AD428" s="1287">
        <f t="shared" si="266"/>
        <v>0</v>
      </c>
      <c r="AE428" s="1287">
        <f t="shared" si="267"/>
        <v>0</v>
      </c>
      <c r="AF428" s="1288">
        <f>Table6[[#This Row],[IESTI case]]</f>
        <v>3</v>
      </c>
      <c r="AG428"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28" s="1302" t="str">
        <f>IF(Table6[[#This Row],[Input value normal mode case 1, 2a/2b,Po]]&gt;0,
              IF(Table6[[#This Row],[Highest residue * CF*PF]]&gt;"","HR-RAC",
                             IF(Table6[[#This Row],[LOQ RAC individual crop]]="Y","LOQ","MRL")),"")</f>
        <v/>
      </c>
      <c r="AI428" s="1302" t="str">
        <f t="shared" si="268"/>
        <v/>
      </c>
      <c r="AJ428" s="1302" t="str">
        <f>IF(Table6[[#This Row],[Input value normal mode case 1, 2a/2b,Po]]&gt;0,IF(Table6[[#This Row],[label description]]&gt;"",Table6[[#This Row],[label description]],""),"")</f>
        <v/>
      </c>
      <c r="AK428" s="1302" t="str">
        <f>CONCATENATE(Table6[[#This Row],[label for IESTI normal mode case 1, 2a/2b,Po]],Table6[[#This Row],[label connector case  normal mode]],Table6[[#This Row],[label refinements normal mode case 1, 2a/2b,Po]])</f>
        <v/>
      </c>
      <c r="AL428" s="1287" t="str">
        <f>IF(AND(Table6[[#This Row],[Case for acute RA children / adults]]=3,Table6[[#This Row],[Post-harvest treatment]]=""),IF(AND(Table6[[#This Row],[LOQ RAC individual crop]]="Y",M427="N"),Table6[[#This Row],[MRL RAC individual commodity]],IF(Table6[[#This Row],[Median residue*CF*PF]]&gt;0,Table6[[#This Row],[Median residue*CF*PF]],IF(Table6[[#This Row],[MRL*CF*PF or LOQ (if not under assessment and LOQ)]]&gt;0,Table6[[#This Row],[MRL*CF*PF or LOQ (if not under assessment and LOQ)]],""))),"")</f>
        <v/>
      </c>
      <c r="AM428" s="1295" t="str">
        <f>IF(Table6[[#This Row],[input for case 3 normal mode]]&gt;0,IF(Table6[[#This Row],[Median residue*CF*PF]]&gt;0,"STMR-RAC",IF(AND($AC428&gt;0,NOT(V428="Y")),"MRL",IF($V428="Y","LOQ",""))),"")</f>
        <v/>
      </c>
      <c r="AN428" s="1295" t="str">
        <f t="shared" si="269"/>
        <v/>
      </c>
      <c r="AO428" s="1287" t="str">
        <f>IF(Table6[[#This Row],[input for case 3 normal mode]]="","",IF(AND(Table6[[#This Row],[label for case 3 calculation normal mode]]="LOQ",Table6[[#This Row],[GAP under assessment]]="N"),"",IF(Table6[[#This Row],[label description]]&gt;"",Table6[[#This Row],[label description]],"")))</f>
        <v/>
      </c>
      <c r="AP428" s="1287" t="str">
        <f>CONCATENATE(Table6[[#This Row],[label for case 3 calculation normal mode]],Table6[[#This Row],[label connector case 3 normal mode]],Table6[[#This Row],[label refinements case 3 normal mode]])</f>
        <v/>
      </c>
      <c r="AQ428" s="1287" t="str">
        <f>IF(Table6[[#This Row],[GAP under assessment]]="Y",Table6[[#This Row],[Input value normal mode case 1, 2a/2b,Po]],"")</f>
        <v/>
      </c>
      <c r="AR428" s="1287" t="str">
        <f>IF(Table6[[#This Row],[Input value refined mode case 1, 2a/2b,Po]]&gt;0,Table6[[#This Row],[concat label normal mode 1,2a/2b,Po ]],"")</f>
        <v/>
      </c>
      <c r="AS428" s="1303" t="str">
        <f>IF(Table6[[#This Row],[GAP under assessment]]="Y",Table6[[#This Row],[input for case 3 normal mode]],"")</f>
        <v/>
      </c>
      <c r="AT428" s="1287" t="str">
        <f>IF(Table6[[#This Row],[input for case 3 refined mode]]&gt;0,Table6[[#This Row],[concat label normal mode  case 3]],"")</f>
        <v/>
      </c>
      <c r="AU428" s="1295" t="str">
        <f>IF(Table6[[#This Row],[Input value normal mode case 1, 2a/2b,Po]]&gt;0,Table6[[#This Row],[Input value normal mode case 1, 2a/2b,Po]],Table6[[#This Row],[input for case 3 normal mode]])</f>
        <v/>
      </c>
      <c r="AV428" s="1295" t="str">
        <f>IF(Table6[[#This Row],[Input value normal mode case 1, 2a/2b,Po]]&gt;0,Table6[[#This Row],[concat label normal mode 1,2a/2b,Po ]],Table6[[#This Row],[concat label normal mode  case 3]])</f>
        <v/>
      </c>
      <c r="AW428" s="1295" t="str">
        <f>IF(Table6[[#This Row],[Input value refined mode case 1, 2a/2b,Po]]&gt;0,Table6[[#This Row],[Input value refined mode case 1, 2a/2b,Po]],Table6[[#This Row],[input for case 3 refined mode]])</f>
        <v/>
      </c>
      <c r="AX428" s="1295" t="str">
        <f>IF(Table6[[#This Row],[Input value refined mode case 1, 2a/2b,Po]]&gt;0,Table6[[#This Row],[concat label refined mode case 1,2a/2b,Po]],Table6[[#This Row],[label for case 3 calculation refined mode]])</f>
        <v/>
      </c>
      <c r="AY428" s="1287">
        <f t="shared" si="274"/>
        <v>0</v>
      </c>
      <c r="AZ428" s="1295" t="str">
        <f t="shared" si="270"/>
        <v/>
      </c>
      <c r="BA428" s="1295" t="str">
        <f t="shared" si="271"/>
        <v/>
      </c>
      <c r="BB428" s="1287" t="str">
        <f>IF(AND(Table6[[#This Row],[label for IESTI new normal mode]]="LOQ",Table6[[#This Row],[GAP under assessment]]="N"),"",IF(AND($H428&gt;0,$Y428&lt;&gt;1),"CF*PF",IF($H428&gt;0,"CF",IF($Y428&lt;&gt;1,"PF",""))))</f>
        <v/>
      </c>
      <c r="BC428" s="1296" t="s">
        <v>369</v>
      </c>
      <c r="BD428" s="1297"/>
      <c r="BE428" s="1304" t="str">
        <f>IF(Table6[[#This Row],[GAP under assessment]]="Y",Table6[[#This Row],[MRL*CF*PF or LOQ (if not under assessment and LOQ)]],"")</f>
        <v/>
      </c>
      <c r="BF428" s="1305" t="str">
        <f>IF(Table6[[#This Row],[Input for IESTI new refined mode]]&lt;&gt;"",CONCATENATE("MRL",Table6[[#This Row],[label connector case 3 normal mode]],Table6[[#This Row],[label refinements case 3 normal mode]]),"")</f>
        <v/>
      </c>
      <c r="BG428" s="1298" t="s">
        <v>592</v>
      </c>
      <c r="BH428" s="1306"/>
    </row>
    <row r="429" spans="1:60" s="11" customFormat="1" ht="12.75" customHeight="1" x14ac:dyDescent="0.2">
      <c r="A429" s="479" t="s">
        <v>499</v>
      </c>
      <c r="B429" s="480">
        <v>154020</v>
      </c>
      <c r="C429" s="547" t="s">
        <v>386</v>
      </c>
      <c r="D429" s="1261">
        <f>VLOOKUP(Table6[[#This Row],[Code no.]],$B$12:$D$390,3,FALSE)</f>
        <v>0</v>
      </c>
      <c r="E429" s="1264">
        <f t="shared" si="258"/>
        <v>0</v>
      </c>
      <c r="F429" s="1262" t="str">
        <f t="shared" si="272"/>
        <v/>
      </c>
      <c r="G429" s="1265">
        <f t="shared" si="259"/>
        <v>1</v>
      </c>
      <c r="H429" s="881"/>
      <c r="I429" s="880"/>
      <c r="J429" s="1269">
        <f t="shared" si="260"/>
        <v>0</v>
      </c>
      <c r="K429" s="1269">
        <f t="shared" si="261"/>
        <v>0</v>
      </c>
      <c r="L429" s="1270"/>
      <c r="M429" s="1271" t="str">
        <f t="shared" si="262"/>
        <v/>
      </c>
      <c r="N429" s="1272"/>
      <c r="O429" s="1273">
        <v>3</v>
      </c>
      <c r="P429" s="1273" t="str">
        <f>IF(OR($A$10=$BG$15,Results!$B$62=Results!$T$63),Table6[[#This Row],[label refine mode]],Table6[[#This Row],[label normal mode]])</f>
        <v/>
      </c>
      <c r="Q429" s="1257" t="str">
        <f>IF(OR($A$10=$BG$15,Results!$B$62=Results!$T$63),Table6[[#This Row],[input refined mode]],Table6[[#This Row],[Input normal mode]])</f>
        <v/>
      </c>
      <c r="R429" s="1275" t="str">
        <f>IF(Table6[[#This Row],[Acute RA IESTI new input value]]="","",CONCATENATE(Table6[[#This Row],[label for IESTI new normal mode]],Table6[[#This Row],[label connector IESTI new normal mode]],Table6[[#This Row],[label refinements normal mode]]))</f>
        <v/>
      </c>
      <c r="S429" s="1259">
        <f>IF(OR($A$10=$BG$15,Results!$B$62=Results!$T$63),Table6[[#This Row],[Input for IESTI new refined mode]],Table6[[#This Row],[Input for IESTI new normal mode]])</f>
        <v>0</v>
      </c>
      <c r="T429" s="888"/>
      <c r="U429" s="1283">
        <f t="shared" si="263"/>
        <v>0</v>
      </c>
      <c r="V429" s="1284" t="str">
        <f t="shared" si="273"/>
        <v/>
      </c>
      <c r="W429" s="1285">
        <f>IF($H429&gt;0,$H429,IF(Table6[[#This Row],[CFrisk for residue definition (applicable for unprocessed products)]]&gt;0,Table6[[#This Row],[CFrisk for residue definition (applicable for unprocessed products)]],1))</f>
        <v>1</v>
      </c>
      <c r="X429" s="1285">
        <v>1</v>
      </c>
      <c r="Y429" s="1285">
        <f t="shared" si="264"/>
        <v>1</v>
      </c>
      <c r="Z429" s="1285">
        <f t="shared" si="265"/>
        <v>1</v>
      </c>
      <c r="AA429" s="1285" t="str">
        <f>IF(Table6[[#This Row],[Post-harvest treatment]]="","","Y")</f>
        <v/>
      </c>
      <c r="AB429" s="1285" t="str">
        <f>IF(AND(Table6[[#This Row],[CF used for for calculation]]&lt;&gt;1,Table6[[#This Row],[PF for calculation]]&lt;&gt;1),"CF*PF",IF(Table6[[#This Row],[CF used for for calculation]]&lt;&gt;1,"CF",IF(Table6[[#This Row],[PF for calculation]]&lt;&gt;1,"PF","")))</f>
        <v/>
      </c>
      <c r="AC429" s="1300">
        <f>IF(AND(Table6[[#This Row],[LOQ RAC individual crop]]="Y",Table6[[#This Row],[GAP under assessment]]="N"),Table6[[#This Row],[MRL RAC individual commodity]],Table6[[#This Row],[MRL RAC individual commodity]]*Table6[[#This Row],[CF*PF for calculation]])</f>
        <v>0</v>
      </c>
      <c r="AD429" s="1287">
        <f t="shared" si="266"/>
        <v>0</v>
      </c>
      <c r="AE429" s="1287">
        <f t="shared" si="267"/>
        <v>0</v>
      </c>
      <c r="AF429" s="1288">
        <f>Table6[[#This Row],[IESTI case]]</f>
        <v>3</v>
      </c>
      <c r="AG429"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29" s="1302" t="str">
        <f>IF(Table6[[#This Row],[Input value normal mode case 1, 2a/2b,Po]]&gt;0,
              IF(Table6[[#This Row],[Highest residue * CF*PF]]&gt;"","HR-RAC",
                             IF(Table6[[#This Row],[LOQ RAC individual crop]]="Y","LOQ","MRL")),"")</f>
        <v/>
      </c>
      <c r="AI429" s="1302" t="str">
        <f t="shared" si="268"/>
        <v/>
      </c>
      <c r="AJ429" s="1302" t="str">
        <f>IF(Table6[[#This Row],[Input value normal mode case 1, 2a/2b,Po]]&gt;0,IF(Table6[[#This Row],[label description]]&gt;"",Table6[[#This Row],[label description]],""),"")</f>
        <v/>
      </c>
      <c r="AK429" s="1302" t="str">
        <f>CONCATENATE(Table6[[#This Row],[label for IESTI normal mode case 1, 2a/2b,Po]],Table6[[#This Row],[label connector case  normal mode]],Table6[[#This Row],[label refinements normal mode case 1, 2a/2b,Po]])</f>
        <v/>
      </c>
      <c r="AL429" s="1287" t="str">
        <f>IF(AND(Table6[[#This Row],[Case for acute RA children / adults]]=3,Table6[[#This Row],[Post-harvest treatment]]=""),IF(AND(Table6[[#This Row],[LOQ RAC individual crop]]="Y",M428="N"),Table6[[#This Row],[MRL RAC individual commodity]],IF(Table6[[#This Row],[Median residue*CF*PF]]&gt;0,Table6[[#This Row],[Median residue*CF*PF]],IF(Table6[[#This Row],[MRL*CF*PF or LOQ (if not under assessment and LOQ)]]&gt;0,Table6[[#This Row],[MRL*CF*PF or LOQ (if not under assessment and LOQ)]],""))),"")</f>
        <v/>
      </c>
      <c r="AM429" s="1295" t="str">
        <f>IF(Table6[[#This Row],[input for case 3 normal mode]]&gt;0,IF(Table6[[#This Row],[Median residue*CF*PF]]&gt;0,"STMR-RAC",IF(AND($AC429&gt;0,NOT(V429="Y")),"MRL",IF($V429="Y","LOQ",""))),"")</f>
        <v/>
      </c>
      <c r="AN429" s="1295" t="str">
        <f t="shared" si="269"/>
        <v/>
      </c>
      <c r="AO429" s="1287" t="str">
        <f>IF(Table6[[#This Row],[input for case 3 normal mode]]="","",IF(AND(Table6[[#This Row],[label for case 3 calculation normal mode]]="LOQ",Table6[[#This Row],[GAP under assessment]]="N"),"",IF(Table6[[#This Row],[label description]]&gt;"",Table6[[#This Row],[label description]],"")))</f>
        <v/>
      </c>
      <c r="AP429" s="1287" t="str">
        <f>CONCATENATE(Table6[[#This Row],[label for case 3 calculation normal mode]],Table6[[#This Row],[label connector case 3 normal mode]],Table6[[#This Row],[label refinements case 3 normal mode]])</f>
        <v/>
      </c>
      <c r="AQ429" s="1287" t="str">
        <f>IF(Table6[[#This Row],[GAP under assessment]]="Y",Table6[[#This Row],[Input value normal mode case 1, 2a/2b,Po]],"")</f>
        <v/>
      </c>
      <c r="AR429" s="1287" t="str">
        <f>IF(Table6[[#This Row],[Input value refined mode case 1, 2a/2b,Po]]&gt;0,Table6[[#This Row],[concat label normal mode 1,2a/2b,Po ]],"")</f>
        <v/>
      </c>
      <c r="AS429" s="1303" t="str">
        <f>IF(Table6[[#This Row],[GAP under assessment]]="Y",Table6[[#This Row],[input for case 3 normal mode]],"")</f>
        <v/>
      </c>
      <c r="AT429" s="1287" t="str">
        <f>IF(Table6[[#This Row],[input for case 3 refined mode]]&gt;0,Table6[[#This Row],[concat label normal mode  case 3]],"")</f>
        <v/>
      </c>
      <c r="AU429" s="1295" t="str">
        <f>IF(Table6[[#This Row],[Input value normal mode case 1, 2a/2b,Po]]&gt;0,Table6[[#This Row],[Input value normal mode case 1, 2a/2b,Po]],Table6[[#This Row],[input for case 3 normal mode]])</f>
        <v/>
      </c>
      <c r="AV429" s="1295" t="str">
        <f>IF(Table6[[#This Row],[Input value normal mode case 1, 2a/2b,Po]]&gt;0,Table6[[#This Row],[concat label normal mode 1,2a/2b,Po ]],Table6[[#This Row],[concat label normal mode  case 3]])</f>
        <v/>
      </c>
      <c r="AW429" s="1295" t="str">
        <f>IF(Table6[[#This Row],[Input value refined mode case 1, 2a/2b,Po]]&gt;0,Table6[[#This Row],[Input value refined mode case 1, 2a/2b,Po]],Table6[[#This Row],[input for case 3 refined mode]])</f>
        <v/>
      </c>
      <c r="AX429" s="1295" t="str">
        <f>IF(Table6[[#This Row],[Input value refined mode case 1, 2a/2b,Po]]&gt;0,Table6[[#This Row],[concat label refined mode case 1,2a/2b,Po]],Table6[[#This Row],[label for case 3 calculation refined mode]])</f>
        <v/>
      </c>
      <c r="AY429" s="1287">
        <f t="shared" si="274"/>
        <v>0</v>
      </c>
      <c r="AZ429" s="1295" t="str">
        <f t="shared" si="270"/>
        <v/>
      </c>
      <c r="BA429" s="1295" t="str">
        <f t="shared" si="271"/>
        <v/>
      </c>
      <c r="BB429" s="1287" t="str">
        <f>IF(AND(Table6[[#This Row],[label for IESTI new normal mode]]="LOQ",Table6[[#This Row],[GAP under assessment]]="N"),"",IF(AND($H429&gt;0,$Y429&lt;&gt;1),"CF*PF",IF($H429&gt;0,"CF",IF($Y429&lt;&gt;1,"PF",""))))</f>
        <v/>
      </c>
      <c r="BC429" s="1296" t="s">
        <v>369</v>
      </c>
      <c r="BD429" s="1297"/>
      <c r="BE429" s="1304" t="str">
        <f>IF(Table6[[#This Row],[GAP under assessment]]="Y",Table6[[#This Row],[MRL*CF*PF or LOQ (if not under assessment and LOQ)]],"")</f>
        <v/>
      </c>
      <c r="BF429" s="1305" t="str">
        <f>IF(Table6[[#This Row],[Input for IESTI new refined mode]]&lt;&gt;"",CONCATENATE("MRL",Table6[[#This Row],[label connector case 3 normal mode]],Table6[[#This Row],[label refinements case 3 normal mode]]),"")</f>
        <v/>
      </c>
      <c r="BG429" s="1298" t="s">
        <v>499</v>
      </c>
      <c r="BH429" s="1306"/>
    </row>
    <row r="430" spans="1:60" s="11" customFormat="1" ht="12.75" customHeight="1" x14ac:dyDescent="0.2">
      <c r="A430" s="479" t="s">
        <v>500</v>
      </c>
      <c r="B430" s="480">
        <v>154030</v>
      </c>
      <c r="C430" s="547" t="s">
        <v>387</v>
      </c>
      <c r="D430" s="1261">
        <f>VLOOKUP(Table6[[#This Row],[Code no.]],$B$12:$D$390,3,FALSE)</f>
        <v>0</v>
      </c>
      <c r="E430" s="1264">
        <f t="shared" si="258"/>
        <v>0</v>
      </c>
      <c r="F430" s="1262" t="str">
        <f t="shared" si="272"/>
        <v/>
      </c>
      <c r="G430" s="1265">
        <f t="shared" si="259"/>
        <v>1</v>
      </c>
      <c r="H430" s="881"/>
      <c r="I430" s="880"/>
      <c r="J430" s="1269">
        <f t="shared" si="260"/>
        <v>0</v>
      </c>
      <c r="K430" s="1269">
        <f t="shared" si="261"/>
        <v>0</v>
      </c>
      <c r="L430" s="1270"/>
      <c r="M430" s="1271" t="str">
        <f t="shared" si="262"/>
        <v/>
      </c>
      <c r="N430" s="1272"/>
      <c r="O430" s="1273">
        <v>3</v>
      </c>
      <c r="P430" s="1273" t="str">
        <f>IF(OR($A$10=$BG$15,Results!$B$62=Results!$T$63),Table6[[#This Row],[label refine mode]],Table6[[#This Row],[label normal mode]])</f>
        <v/>
      </c>
      <c r="Q430" s="1257" t="str">
        <f>IF(OR($A$10=$BG$15,Results!$B$62=Results!$T$63),Table6[[#This Row],[input refined mode]],Table6[[#This Row],[Input normal mode]])</f>
        <v/>
      </c>
      <c r="R430" s="1275" t="str">
        <f>IF(Table6[[#This Row],[Acute RA IESTI new input value]]="","",CONCATENATE(Table6[[#This Row],[label for IESTI new normal mode]],Table6[[#This Row],[label connector IESTI new normal mode]],Table6[[#This Row],[label refinements normal mode]]))</f>
        <v/>
      </c>
      <c r="S430" s="1259">
        <f>IF(OR($A$10=$BG$15,Results!$B$62=Results!$T$63),Table6[[#This Row],[Input for IESTI new refined mode]],Table6[[#This Row],[Input for IESTI new normal mode]])</f>
        <v>0</v>
      </c>
      <c r="T430" s="888"/>
      <c r="U430" s="1283">
        <f t="shared" si="263"/>
        <v>0</v>
      </c>
      <c r="V430" s="1284" t="str">
        <f t="shared" si="273"/>
        <v/>
      </c>
      <c r="W430" s="1285">
        <f>IF($H430&gt;0,$H430,IF(Table6[[#This Row],[CFrisk for residue definition (applicable for unprocessed products)]]&gt;0,Table6[[#This Row],[CFrisk for residue definition (applicable for unprocessed products)]],1))</f>
        <v>1</v>
      </c>
      <c r="X430" s="1285">
        <v>1</v>
      </c>
      <c r="Y430" s="1285">
        <f t="shared" si="264"/>
        <v>1</v>
      </c>
      <c r="Z430" s="1285">
        <f t="shared" si="265"/>
        <v>1</v>
      </c>
      <c r="AA430" s="1285" t="str">
        <f>IF(Table6[[#This Row],[Post-harvest treatment]]="","","Y")</f>
        <v/>
      </c>
      <c r="AB430" s="1285" t="str">
        <f>IF(AND(Table6[[#This Row],[CF used for for calculation]]&lt;&gt;1,Table6[[#This Row],[PF for calculation]]&lt;&gt;1),"CF*PF",IF(Table6[[#This Row],[CF used for for calculation]]&lt;&gt;1,"CF",IF(Table6[[#This Row],[PF for calculation]]&lt;&gt;1,"PF","")))</f>
        <v/>
      </c>
      <c r="AC430" s="1300">
        <f>IF(AND(Table6[[#This Row],[LOQ RAC individual crop]]="Y",Table6[[#This Row],[GAP under assessment]]="N"),Table6[[#This Row],[MRL RAC individual commodity]],Table6[[#This Row],[MRL RAC individual commodity]]*Table6[[#This Row],[CF*PF for calculation]])</f>
        <v>0</v>
      </c>
      <c r="AD430" s="1287">
        <f t="shared" si="266"/>
        <v>0</v>
      </c>
      <c r="AE430" s="1287">
        <f t="shared" si="267"/>
        <v>0</v>
      </c>
      <c r="AF430" s="1288">
        <f>Table6[[#This Row],[IESTI case]]</f>
        <v>3</v>
      </c>
      <c r="AG430"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30" s="1302" t="str">
        <f>IF(Table6[[#This Row],[Input value normal mode case 1, 2a/2b,Po]]&gt;0,
              IF(Table6[[#This Row],[Highest residue * CF*PF]]&gt;"","HR-RAC",
                             IF(Table6[[#This Row],[LOQ RAC individual crop]]="Y","LOQ","MRL")),"")</f>
        <v/>
      </c>
      <c r="AI430" s="1302" t="str">
        <f t="shared" si="268"/>
        <v/>
      </c>
      <c r="AJ430" s="1302" t="str">
        <f>IF(Table6[[#This Row],[Input value normal mode case 1, 2a/2b,Po]]&gt;0,IF(Table6[[#This Row],[label description]]&gt;"",Table6[[#This Row],[label description]],""),"")</f>
        <v/>
      </c>
      <c r="AK430" s="1302" t="str">
        <f>CONCATENATE(Table6[[#This Row],[label for IESTI normal mode case 1, 2a/2b,Po]],Table6[[#This Row],[label connector case  normal mode]],Table6[[#This Row],[label refinements normal mode case 1, 2a/2b,Po]])</f>
        <v/>
      </c>
      <c r="AL430" s="1287" t="str">
        <f>IF(AND(Table6[[#This Row],[Case for acute RA children / adults]]=3,Table6[[#This Row],[Post-harvest treatment]]=""),IF(AND(Table6[[#This Row],[LOQ RAC individual crop]]="Y",M429="N"),Table6[[#This Row],[MRL RAC individual commodity]],IF(Table6[[#This Row],[Median residue*CF*PF]]&gt;0,Table6[[#This Row],[Median residue*CF*PF]],IF(Table6[[#This Row],[MRL*CF*PF or LOQ (if not under assessment and LOQ)]]&gt;0,Table6[[#This Row],[MRL*CF*PF or LOQ (if not under assessment and LOQ)]],""))),"")</f>
        <v/>
      </c>
      <c r="AM430" s="1295" t="str">
        <f>IF(Table6[[#This Row],[input for case 3 normal mode]]&gt;0,IF(Table6[[#This Row],[Median residue*CF*PF]]&gt;0,"STMR-RAC",IF(AND($AC430&gt;0,NOT(V430="Y")),"MRL",IF($V430="Y","LOQ",""))),"")</f>
        <v/>
      </c>
      <c r="AN430" s="1295" t="str">
        <f t="shared" si="269"/>
        <v/>
      </c>
      <c r="AO430" s="1287" t="str">
        <f>IF(Table6[[#This Row],[input for case 3 normal mode]]="","",IF(AND(Table6[[#This Row],[label for case 3 calculation normal mode]]="LOQ",Table6[[#This Row],[GAP under assessment]]="N"),"",IF(Table6[[#This Row],[label description]]&gt;"",Table6[[#This Row],[label description]],"")))</f>
        <v/>
      </c>
      <c r="AP430" s="1287" t="str">
        <f>CONCATENATE(Table6[[#This Row],[label for case 3 calculation normal mode]],Table6[[#This Row],[label connector case 3 normal mode]],Table6[[#This Row],[label refinements case 3 normal mode]])</f>
        <v/>
      </c>
      <c r="AQ430" s="1287" t="str">
        <f>IF(Table6[[#This Row],[GAP under assessment]]="Y",Table6[[#This Row],[Input value normal mode case 1, 2a/2b,Po]],"")</f>
        <v/>
      </c>
      <c r="AR430" s="1287" t="str">
        <f>IF(Table6[[#This Row],[Input value refined mode case 1, 2a/2b,Po]]&gt;0,Table6[[#This Row],[concat label normal mode 1,2a/2b,Po ]],"")</f>
        <v/>
      </c>
      <c r="AS430" s="1303" t="str">
        <f>IF(Table6[[#This Row],[GAP under assessment]]="Y",Table6[[#This Row],[input for case 3 normal mode]],"")</f>
        <v/>
      </c>
      <c r="AT430" s="1287" t="str">
        <f>IF(Table6[[#This Row],[input for case 3 refined mode]]&gt;0,Table6[[#This Row],[concat label normal mode  case 3]],"")</f>
        <v/>
      </c>
      <c r="AU430" s="1295" t="str">
        <f>IF(Table6[[#This Row],[Input value normal mode case 1, 2a/2b,Po]]&gt;0,Table6[[#This Row],[Input value normal mode case 1, 2a/2b,Po]],Table6[[#This Row],[input for case 3 normal mode]])</f>
        <v/>
      </c>
      <c r="AV430" s="1295" t="str">
        <f>IF(Table6[[#This Row],[Input value normal mode case 1, 2a/2b,Po]]&gt;0,Table6[[#This Row],[concat label normal mode 1,2a/2b,Po ]],Table6[[#This Row],[concat label normal mode  case 3]])</f>
        <v/>
      </c>
      <c r="AW430" s="1295" t="str">
        <f>IF(Table6[[#This Row],[Input value refined mode case 1, 2a/2b,Po]]&gt;0,Table6[[#This Row],[Input value refined mode case 1, 2a/2b,Po]],Table6[[#This Row],[input for case 3 refined mode]])</f>
        <v/>
      </c>
      <c r="AX430" s="1295" t="str">
        <f>IF(Table6[[#This Row],[Input value refined mode case 1, 2a/2b,Po]]&gt;0,Table6[[#This Row],[concat label refined mode case 1,2a/2b,Po]],Table6[[#This Row],[label for case 3 calculation refined mode]])</f>
        <v/>
      </c>
      <c r="AY430" s="1287">
        <f t="shared" si="274"/>
        <v>0</v>
      </c>
      <c r="AZ430" s="1295" t="str">
        <f t="shared" si="270"/>
        <v/>
      </c>
      <c r="BA430" s="1295" t="str">
        <f t="shared" si="271"/>
        <v/>
      </c>
      <c r="BB430" s="1287" t="str">
        <f>IF(AND(Table6[[#This Row],[label for IESTI new normal mode]]="LOQ",Table6[[#This Row],[GAP under assessment]]="N"),"",IF(AND($H430&gt;0,$Y430&lt;&gt;1),"CF*PF",IF($H430&gt;0,"CF",IF($Y430&lt;&gt;1,"PF",""))))</f>
        <v/>
      </c>
      <c r="BC430" s="1296"/>
      <c r="BD430" s="1297"/>
      <c r="BE430" s="1304" t="str">
        <f>IF(Table6[[#This Row],[GAP under assessment]]="Y",Table6[[#This Row],[MRL*CF*PF or LOQ (if not under assessment and LOQ)]],"")</f>
        <v/>
      </c>
      <c r="BF430" s="1305" t="str">
        <f>IF(Table6[[#This Row],[Input for IESTI new refined mode]]&lt;&gt;"",CONCATENATE("MRL",Table6[[#This Row],[label connector case 3 normal mode]],Table6[[#This Row],[label refinements case 3 normal mode]]),"")</f>
        <v/>
      </c>
      <c r="BG430" s="1298" t="s">
        <v>500</v>
      </c>
      <c r="BH430" s="1306"/>
    </row>
    <row r="431" spans="1:60" s="11" customFormat="1" ht="12.75" customHeight="1" x14ac:dyDescent="0.2">
      <c r="A431" s="479" t="s">
        <v>527</v>
      </c>
      <c r="B431" s="480">
        <v>154050</v>
      </c>
      <c r="C431" s="547" t="s">
        <v>388</v>
      </c>
      <c r="D431" s="1261">
        <f>VLOOKUP(Table6[[#This Row],[Code no.]],$B$12:$D$390,3,FALSE)</f>
        <v>0</v>
      </c>
      <c r="E431" s="1264">
        <f t="shared" si="258"/>
        <v>0</v>
      </c>
      <c r="F431" s="1262" t="str">
        <f t="shared" si="272"/>
        <v/>
      </c>
      <c r="G431" s="1265">
        <f t="shared" si="259"/>
        <v>1</v>
      </c>
      <c r="H431" s="881"/>
      <c r="I431" s="880"/>
      <c r="J431" s="1269">
        <f t="shared" si="260"/>
        <v>0</v>
      </c>
      <c r="K431" s="1269">
        <f t="shared" si="261"/>
        <v>0</v>
      </c>
      <c r="L431" s="1270"/>
      <c r="M431" s="1271" t="str">
        <f t="shared" si="262"/>
        <v/>
      </c>
      <c r="N431" s="1272"/>
      <c r="O431" s="1273">
        <v>3</v>
      </c>
      <c r="P431" s="1273" t="str">
        <f>IF(OR($A$10=$BG$15,Results!$B$62=Results!$T$63),Table6[[#This Row],[label refine mode]],Table6[[#This Row],[label normal mode]])</f>
        <v/>
      </c>
      <c r="Q431" s="1257" t="str">
        <f>IF(OR($A$10=$BG$15,Results!$B$62=Results!$T$63),Table6[[#This Row],[input refined mode]],Table6[[#This Row],[Input normal mode]])</f>
        <v/>
      </c>
      <c r="R431" s="1275" t="str">
        <f>IF(Table6[[#This Row],[Acute RA IESTI new input value]]="","",CONCATENATE(Table6[[#This Row],[label for IESTI new normal mode]],Table6[[#This Row],[label connector IESTI new normal mode]],Table6[[#This Row],[label refinements normal mode]]))</f>
        <v/>
      </c>
      <c r="S431" s="1259">
        <f>IF(OR($A$10=$BG$15,Results!$B$62=Results!$T$63),Table6[[#This Row],[Input for IESTI new refined mode]],Table6[[#This Row],[Input for IESTI new normal mode]])</f>
        <v>0</v>
      </c>
      <c r="T431" s="888"/>
      <c r="U431" s="1283">
        <f t="shared" si="263"/>
        <v>0</v>
      </c>
      <c r="V431" s="1284" t="str">
        <f t="shared" si="273"/>
        <v/>
      </c>
      <c r="W431" s="1285">
        <f>IF($H431&gt;0,$H431,IF(Table6[[#This Row],[CFrisk for residue definition (applicable for unprocessed products)]]&gt;0,Table6[[#This Row],[CFrisk for residue definition (applicable for unprocessed products)]],1))</f>
        <v>1</v>
      </c>
      <c r="X431" s="1285">
        <v>1</v>
      </c>
      <c r="Y431" s="1285">
        <f t="shared" si="264"/>
        <v>1</v>
      </c>
      <c r="Z431" s="1285">
        <f t="shared" si="265"/>
        <v>1</v>
      </c>
      <c r="AA431" s="1285" t="str">
        <f>IF(Table6[[#This Row],[Post-harvest treatment]]="","","Y")</f>
        <v/>
      </c>
      <c r="AB431" s="1285" t="str">
        <f>IF(AND(Table6[[#This Row],[CF used for for calculation]]&lt;&gt;1,Table6[[#This Row],[PF for calculation]]&lt;&gt;1),"CF*PF",IF(Table6[[#This Row],[CF used for for calculation]]&lt;&gt;1,"CF",IF(Table6[[#This Row],[PF for calculation]]&lt;&gt;1,"PF","")))</f>
        <v/>
      </c>
      <c r="AC431" s="1300">
        <f>IF(AND(Table6[[#This Row],[LOQ RAC individual crop]]="Y",Table6[[#This Row],[GAP under assessment]]="N"),Table6[[#This Row],[MRL RAC individual commodity]],Table6[[#This Row],[MRL RAC individual commodity]]*Table6[[#This Row],[CF*PF for calculation]])</f>
        <v>0</v>
      </c>
      <c r="AD431" s="1287">
        <f t="shared" si="266"/>
        <v>0</v>
      </c>
      <c r="AE431" s="1287">
        <f t="shared" si="267"/>
        <v>0</v>
      </c>
      <c r="AF431" s="1288">
        <f>Table6[[#This Row],[IESTI case]]</f>
        <v>3</v>
      </c>
      <c r="AG431"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31" s="1302" t="str">
        <f>IF(Table6[[#This Row],[Input value normal mode case 1, 2a/2b,Po]]&gt;0,
              IF(Table6[[#This Row],[Highest residue * CF*PF]]&gt;"","HR-RAC",
                             IF(Table6[[#This Row],[LOQ RAC individual crop]]="Y","LOQ","MRL")),"")</f>
        <v/>
      </c>
      <c r="AI431" s="1302" t="str">
        <f t="shared" si="268"/>
        <v/>
      </c>
      <c r="AJ431" s="1302" t="str">
        <f>IF(Table6[[#This Row],[Input value normal mode case 1, 2a/2b,Po]]&gt;0,IF(Table6[[#This Row],[label description]]&gt;"",Table6[[#This Row],[label description]],""),"")</f>
        <v/>
      </c>
      <c r="AK431" s="1302" t="str">
        <f>CONCATENATE(Table6[[#This Row],[label for IESTI normal mode case 1, 2a/2b,Po]],Table6[[#This Row],[label connector case  normal mode]],Table6[[#This Row],[label refinements normal mode case 1, 2a/2b,Po]])</f>
        <v/>
      </c>
      <c r="AL431" s="1287" t="str">
        <f>IF(AND(Table6[[#This Row],[Case for acute RA children / adults]]=3,Table6[[#This Row],[Post-harvest treatment]]=""),IF(AND(Table6[[#This Row],[LOQ RAC individual crop]]="Y",M430="N"),Table6[[#This Row],[MRL RAC individual commodity]],IF(Table6[[#This Row],[Median residue*CF*PF]]&gt;0,Table6[[#This Row],[Median residue*CF*PF]],IF(Table6[[#This Row],[MRL*CF*PF or LOQ (if not under assessment and LOQ)]]&gt;0,Table6[[#This Row],[MRL*CF*PF or LOQ (if not under assessment and LOQ)]],""))),"")</f>
        <v/>
      </c>
      <c r="AM431" s="1295" t="str">
        <f>IF(Table6[[#This Row],[input for case 3 normal mode]]&gt;0,IF(Table6[[#This Row],[Median residue*CF*PF]]&gt;0,"STMR-RAC",IF(AND($AC431&gt;0,NOT(V431="Y")),"MRL",IF($V431="Y","LOQ",""))),"")</f>
        <v/>
      </c>
      <c r="AN431" s="1295" t="str">
        <f t="shared" si="269"/>
        <v/>
      </c>
      <c r="AO431" s="1287" t="str">
        <f>IF(Table6[[#This Row],[input for case 3 normal mode]]="","",IF(AND(Table6[[#This Row],[label for case 3 calculation normal mode]]="LOQ",Table6[[#This Row],[GAP under assessment]]="N"),"",IF(Table6[[#This Row],[label description]]&gt;"",Table6[[#This Row],[label description]],"")))</f>
        <v/>
      </c>
      <c r="AP431" s="1287" t="str">
        <f>CONCATENATE(Table6[[#This Row],[label for case 3 calculation normal mode]],Table6[[#This Row],[label connector case 3 normal mode]],Table6[[#This Row],[label refinements case 3 normal mode]])</f>
        <v/>
      </c>
      <c r="AQ431" s="1287" t="str">
        <f>IF(Table6[[#This Row],[GAP under assessment]]="Y",Table6[[#This Row],[Input value normal mode case 1, 2a/2b,Po]],"")</f>
        <v/>
      </c>
      <c r="AR431" s="1287" t="str">
        <f>IF(Table6[[#This Row],[Input value refined mode case 1, 2a/2b,Po]]&gt;0,Table6[[#This Row],[concat label normal mode 1,2a/2b,Po ]],"")</f>
        <v/>
      </c>
      <c r="AS431" s="1303" t="str">
        <f>IF(Table6[[#This Row],[GAP under assessment]]="Y",Table6[[#This Row],[input for case 3 normal mode]],"")</f>
        <v/>
      </c>
      <c r="AT431" s="1287" t="str">
        <f>IF(Table6[[#This Row],[input for case 3 refined mode]]&gt;0,Table6[[#This Row],[concat label normal mode  case 3]],"")</f>
        <v/>
      </c>
      <c r="AU431" s="1295" t="str">
        <f>IF(Table6[[#This Row],[Input value normal mode case 1, 2a/2b,Po]]&gt;0,Table6[[#This Row],[Input value normal mode case 1, 2a/2b,Po]],Table6[[#This Row],[input for case 3 normal mode]])</f>
        <v/>
      </c>
      <c r="AV431" s="1295" t="str">
        <f>IF(Table6[[#This Row],[Input value normal mode case 1, 2a/2b,Po]]&gt;0,Table6[[#This Row],[concat label normal mode 1,2a/2b,Po ]],Table6[[#This Row],[concat label normal mode  case 3]])</f>
        <v/>
      </c>
      <c r="AW431" s="1295" t="str">
        <f>IF(Table6[[#This Row],[Input value refined mode case 1, 2a/2b,Po]]&gt;0,Table6[[#This Row],[Input value refined mode case 1, 2a/2b,Po]],Table6[[#This Row],[input for case 3 refined mode]])</f>
        <v/>
      </c>
      <c r="AX431" s="1295" t="str">
        <f>IF(Table6[[#This Row],[Input value refined mode case 1, 2a/2b,Po]]&gt;0,Table6[[#This Row],[concat label refined mode case 1,2a/2b,Po]],Table6[[#This Row],[label for case 3 calculation refined mode]])</f>
        <v/>
      </c>
      <c r="AY431" s="1287">
        <f t="shared" si="274"/>
        <v>0</v>
      </c>
      <c r="AZ431" s="1295" t="str">
        <f t="shared" si="270"/>
        <v/>
      </c>
      <c r="BA431" s="1295" t="str">
        <f t="shared" si="271"/>
        <v/>
      </c>
      <c r="BB431" s="1287" t="str">
        <f>IF(AND(Table6[[#This Row],[label for IESTI new normal mode]]="LOQ",Table6[[#This Row],[GAP under assessment]]="N"),"",IF(AND($H431&gt;0,$Y431&lt;&gt;1),"CF*PF",IF($H431&gt;0,"CF",IF($Y431&lt;&gt;1,"PF",""))))</f>
        <v/>
      </c>
      <c r="BC431" s="1296" t="s">
        <v>369</v>
      </c>
      <c r="BD431" s="1297"/>
      <c r="BE431" s="1304" t="str">
        <f>IF(Table6[[#This Row],[GAP under assessment]]="Y",Table6[[#This Row],[MRL*CF*PF or LOQ (if not under assessment and LOQ)]],"")</f>
        <v/>
      </c>
      <c r="BF431" s="1305" t="str">
        <f>IF(Table6[[#This Row],[Input for IESTI new refined mode]]&lt;&gt;"",CONCATENATE("MRL",Table6[[#This Row],[label connector case 3 normal mode]],Table6[[#This Row],[label refinements case 3 normal mode]]),"")</f>
        <v/>
      </c>
      <c r="BG431" s="1298" t="s">
        <v>527</v>
      </c>
      <c r="BH431" s="1306"/>
    </row>
    <row r="432" spans="1:60" s="11" customFormat="1" ht="12.75" customHeight="1" x14ac:dyDescent="0.2">
      <c r="A432" s="479" t="s">
        <v>501</v>
      </c>
      <c r="B432" s="480">
        <v>154070</v>
      </c>
      <c r="C432" s="547" t="s">
        <v>389</v>
      </c>
      <c r="D432" s="1261">
        <f>VLOOKUP(Table6[[#This Row],[Code no.]],$B$12:$D$390,3,FALSE)</f>
        <v>0</v>
      </c>
      <c r="E432" s="1264">
        <f t="shared" si="258"/>
        <v>0</v>
      </c>
      <c r="F432" s="1262" t="str">
        <f t="shared" si="272"/>
        <v/>
      </c>
      <c r="G432" s="1265">
        <f t="shared" si="259"/>
        <v>1</v>
      </c>
      <c r="H432" s="881"/>
      <c r="I432" s="880"/>
      <c r="J432" s="1269">
        <f t="shared" si="260"/>
        <v>0</v>
      </c>
      <c r="K432" s="1269">
        <f t="shared" si="261"/>
        <v>0</v>
      </c>
      <c r="L432" s="1270"/>
      <c r="M432" s="1271" t="str">
        <f t="shared" si="262"/>
        <v/>
      </c>
      <c r="N432" s="1272"/>
      <c r="O432" s="1273">
        <v>3</v>
      </c>
      <c r="P432" s="1273" t="str">
        <f>IF(OR($A$10=$BG$15,Results!$B$62=Results!$T$63),Table6[[#This Row],[label refine mode]],Table6[[#This Row],[label normal mode]])</f>
        <v/>
      </c>
      <c r="Q432" s="1257" t="str">
        <f>IF(OR($A$10=$BG$15,Results!$B$62=Results!$T$63),Table6[[#This Row],[input refined mode]],Table6[[#This Row],[Input normal mode]])</f>
        <v/>
      </c>
      <c r="R432" s="1275" t="str">
        <f>IF(Table6[[#This Row],[Acute RA IESTI new input value]]="","",CONCATENATE(Table6[[#This Row],[label for IESTI new normal mode]],Table6[[#This Row],[label connector IESTI new normal mode]],Table6[[#This Row],[label refinements normal mode]]))</f>
        <v/>
      </c>
      <c r="S432" s="1259">
        <f>IF(OR($A$10=$BG$15,Results!$B$62=Results!$T$63),Table6[[#This Row],[Input for IESTI new refined mode]],Table6[[#This Row],[Input for IESTI new normal mode]])</f>
        <v>0</v>
      </c>
      <c r="T432" s="888"/>
      <c r="U432" s="1283">
        <f t="shared" si="263"/>
        <v>0</v>
      </c>
      <c r="V432" s="1284" t="str">
        <f t="shared" si="273"/>
        <v/>
      </c>
      <c r="W432" s="1285">
        <f>IF($H432&gt;0,$H432,IF(Table6[[#This Row],[CFrisk for residue definition (applicable for unprocessed products)]]&gt;0,Table6[[#This Row],[CFrisk for residue definition (applicable for unprocessed products)]],1))</f>
        <v>1</v>
      </c>
      <c r="X432" s="1285">
        <v>1</v>
      </c>
      <c r="Y432" s="1285">
        <f t="shared" si="264"/>
        <v>1</v>
      </c>
      <c r="Z432" s="1285">
        <f t="shared" si="265"/>
        <v>1</v>
      </c>
      <c r="AA432" s="1285" t="str">
        <f>IF(Table6[[#This Row],[Post-harvest treatment]]="","","Y")</f>
        <v/>
      </c>
      <c r="AB432" s="1285" t="str">
        <f>IF(AND(Table6[[#This Row],[CF used for for calculation]]&lt;&gt;1,Table6[[#This Row],[PF for calculation]]&lt;&gt;1),"CF*PF",IF(Table6[[#This Row],[CF used for for calculation]]&lt;&gt;1,"CF",IF(Table6[[#This Row],[PF for calculation]]&lt;&gt;1,"PF","")))</f>
        <v/>
      </c>
      <c r="AC432" s="1300">
        <f>IF(AND(Table6[[#This Row],[LOQ RAC individual crop]]="Y",Table6[[#This Row],[GAP under assessment]]="N"),Table6[[#This Row],[MRL RAC individual commodity]],Table6[[#This Row],[MRL RAC individual commodity]]*Table6[[#This Row],[CF*PF for calculation]])</f>
        <v>0</v>
      </c>
      <c r="AD432" s="1287">
        <f t="shared" si="266"/>
        <v>0</v>
      </c>
      <c r="AE432" s="1287">
        <f t="shared" si="267"/>
        <v>0</v>
      </c>
      <c r="AF432" s="1288">
        <f>Table6[[#This Row],[IESTI case]]</f>
        <v>3</v>
      </c>
      <c r="AG432"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32" s="1302" t="str">
        <f>IF(Table6[[#This Row],[Input value normal mode case 1, 2a/2b,Po]]&gt;0,
              IF(Table6[[#This Row],[Highest residue * CF*PF]]&gt;"","HR-RAC",
                             IF(Table6[[#This Row],[LOQ RAC individual crop]]="Y","LOQ","MRL")),"")</f>
        <v/>
      </c>
      <c r="AI432" s="1302" t="str">
        <f t="shared" si="268"/>
        <v/>
      </c>
      <c r="AJ432" s="1302" t="str">
        <f>IF(Table6[[#This Row],[Input value normal mode case 1, 2a/2b,Po]]&gt;0,IF(Table6[[#This Row],[label description]]&gt;"",Table6[[#This Row],[label description]],""),"")</f>
        <v/>
      </c>
      <c r="AK432" s="1302" t="str">
        <f>CONCATENATE(Table6[[#This Row],[label for IESTI normal mode case 1, 2a/2b,Po]],Table6[[#This Row],[label connector case  normal mode]],Table6[[#This Row],[label refinements normal mode case 1, 2a/2b,Po]])</f>
        <v/>
      </c>
      <c r="AL432" s="1287" t="str">
        <f>IF(AND(Table6[[#This Row],[Case for acute RA children / adults]]=3,Table6[[#This Row],[Post-harvest treatment]]=""),IF(AND(Table6[[#This Row],[LOQ RAC individual crop]]="Y",M431="N"),Table6[[#This Row],[MRL RAC individual commodity]],IF(Table6[[#This Row],[Median residue*CF*PF]]&gt;0,Table6[[#This Row],[Median residue*CF*PF]],IF(Table6[[#This Row],[MRL*CF*PF or LOQ (if not under assessment and LOQ)]]&gt;0,Table6[[#This Row],[MRL*CF*PF or LOQ (if not under assessment and LOQ)]],""))),"")</f>
        <v/>
      </c>
      <c r="AM432" s="1295" t="str">
        <f>IF(Table6[[#This Row],[input for case 3 normal mode]]&gt;0,IF(Table6[[#This Row],[Median residue*CF*PF]]&gt;0,"STMR-RAC",IF(AND($AC432&gt;0,NOT(V432="Y")),"MRL",IF($V432="Y","LOQ",""))),"")</f>
        <v/>
      </c>
      <c r="AN432" s="1295" t="str">
        <f t="shared" si="269"/>
        <v/>
      </c>
      <c r="AO432" s="1287" t="str">
        <f>IF(Table6[[#This Row],[input for case 3 normal mode]]="","",IF(AND(Table6[[#This Row],[label for case 3 calculation normal mode]]="LOQ",Table6[[#This Row],[GAP under assessment]]="N"),"",IF(Table6[[#This Row],[label description]]&gt;"",Table6[[#This Row],[label description]],"")))</f>
        <v/>
      </c>
      <c r="AP432" s="1287" t="str">
        <f>CONCATENATE(Table6[[#This Row],[label for case 3 calculation normal mode]],Table6[[#This Row],[label connector case 3 normal mode]],Table6[[#This Row],[label refinements case 3 normal mode]])</f>
        <v/>
      </c>
      <c r="AQ432" s="1287" t="str">
        <f>IF(Table6[[#This Row],[GAP under assessment]]="Y",Table6[[#This Row],[Input value normal mode case 1, 2a/2b,Po]],"")</f>
        <v/>
      </c>
      <c r="AR432" s="1287" t="str">
        <f>IF(Table6[[#This Row],[Input value refined mode case 1, 2a/2b,Po]]&gt;0,Table6[[#This Row],[concat label normal mode 1,2a/2b,Po ]],"")</f>
        <v/>
      </c>
      <c r="AS432" s="1303" t="str">
        <f>IF(Table6[[#This Row],[GAP under assessment]]="Y",Table6[[#This Row],[input for case 3 normal mode]],"")</f>
        <v/>
      </c>
      <c r="AT432" s="1287" t="str">
        <f>IF(Table6[[#This Row],[input for case 3 refined mode]]&gt;0,Table6[[#This Row],[concat label normal mode  case 3]],"")</f>
        <v/>
      </c>
      <c r="AU432" s="1295" t="str">
        <f>IF(Table6[[#This Row],[Input value normal mode case 1, 2a/2b,Po]]&gt;0,Table6[[#This Row],[Input value normal mode case 1, 2a/2b,Po]],Table6[[#This Row],[input for case 3 normal mode]])</f>
        <v/>
      </c>
      <c r="AV432" s="1295" t="str">
        <f>IF(Table6[[#This Row],[Input value normal mode case 1, 2a/2b,Po]]&gt;0,Table6[[#This Row],[concat label normal mode 1,2a/2b,Po ]],Table6[[#This Row],[concat label normal mode  case 3]])</f>
        <v/>
      </c>
      <c r="AW432" s="1295" t="str">
        <f>IF(Table6[[#This Row],[Input value refined mode case 1, 2a/2b,Po]]&gt;0,Table6[[#This Row],[Input value refined mode case 1, 2a/2b,Po]],Table6[[#This Row],[input for case 3 refined mode]])</f>
        <v/>
      </c>
      <c r="AX432" s="1295" t="str">
        <f>IF(Table6[[#This Row],[Input value refined mode case 1, 2a/2b,Po]]&gt;0,Table6[[#This Row],[concat label refined mode case 1,2a/2b,Po]],Table6[[#This Row],[label for case 3 calculation refined mode]])</f>
        <v/>
      </c>
      <c r="AY432" s="1287">
        <f t="shared" si="274"/>
        <v>0</v>
      </c>
      <c r="AZ432" s="1295" t="str">
        <f t="shared" si="270"/>
        <v/>
      </c>
      <c r="BA432" s="1295" t="str">
        <f t="shared" si="271"/>
        <v/>
      </c>
      <c r="BB432" s="1287" t="str">
        <f>IF(AND(Table6[[#This Row],[label for IESTI new normal mode]]="LOQ",Table6[[#This Row],[GAP under assessment]]="N"),"",IF(AND($H432&gt;0,$Y432&lt;&gt;1),"CF*PF",IF($H432&gt;0,"CF",IF($Y432&lt;&gt;1,"PF",""))))</f>
        <v/>
      </c>
      <c r="BC432" s="1296" t="s">
        <v>369</v>
      </c>
      <c r="BD432" s="1297"/>
      <c r="BE432" s="1304" t="str">
        <f>IF(Table6[[#This Row],[GAP under assessment]]="Y",Table6[[#This Row],[MRL*CF*PF or LOQ (if not under assessment and LOQ)]],"")</f>
        <v/>
      </c>
      <c r="BF432" s="1305" t="str">
        <f>IF(Table6[[#This Row],[Input for IESTI new refined mode]]&lt;&gt;"",CONCATENATE("MRL",Table6[[#This Row],[label connector case 3 normal mode]],Table6[[#This Row],[label refinements case 3 normal mode]]),"")</f>
        <v/>
      </c>
      <c r="BG432" s="1298" t="s">
        <v>501</v>
      </c>
      <c r="BH432" s="1306"/>
    </row>
    <row r="433" spans="1:60" s="11" customFormat="1" ht="12.75" customHeight="1" x14ac:dyDescent="0.2">
      <c r="A433" s="479" t="s">
        <v>502</v>
      </c>
      <c r="B433" s="480">
        <v>154080</v>
      </c>
      <c r="C433" s="547" t="s">
        <v>390</v>
      </c>
      <c r="D433" s="1261">
        <f>VLOOKUP(Table6[[#This Row],[Code no.]],$B$12:$D$390,3,FALSE)</f>
        <v>0</v>
      </c>
      <c r="E433" s="1264">
        <f t="shared" si="258"/>
        <v>0</v>
      </c>
      <c r="F433" s="1262" t="str">
        <f t="shared" si="272"/>
        <v/>
      </c>
      <c r="G433" s="1265">
        <f t="shared" si="259"/>
        <v>1</v>
      </c>
      <c r="H433" s="881"/>
      <c r="I433" s="880"/>
      <c r="J433" s="1269">
        <f t="shared" si="260"/>
        <v>0</v>
      </c>
      <c r="K433" s="1269">
        <f t="shared" si="261"/>
        <v>0</v>
      </c>
      <c r="L433" s="1270"/>
      <c r="M433" s="1271" t="str">
        <f t="shared" si="262"/>
        <v/>
      </c>
      <c r="N433" s="1272"/>
      <c r="O433" s="1273">
        <v>3</v>
      </c>
      <c r="P433" s="1273" t="str">
        <f>IF(OR($A$10=$BG$15,Results!$B$62=Results!$T$63),Table6[[#This Row],[label refine mode]],Table6[[#This Row],[label normal mode]])</f>
        <v/>
      </c>
      <c r="Q433" s="1257" t="str">
        <f>IF(OR($A$10=$BG$15,Results!$B$62=Results!$T$63),Table6[[#This Row],[input refined mode]],Table6[[#This Row],[Input normal mode]])</f>
        <v/>
      </c>
      <c r="R433" s="1275" t="str">
        <f>IF(Table6[[#This Row],[Acute RA IESTI new input value]]="","",CONCATENATE(Table6[[#This Row],[label for IESTI new normal mode]],Table6[[#This Row],[label connector IESTI new normal mode]],Table6[[#This Row],[label refinements normal mode]]))</f>
        <v/>
      </c>
      <c r="S433" s="1259">
        <f>IF(OR($A$10=$BG$15,Results!$B$62=Results!$T$63),Table6[[#This Row],[Input for IESTI new refined mode]],Table6[[#This Row],[Input for IESTI new normal mode]])</f>
        <v>0</v>
      </c>
      <c r="T433" s="888"/>
      <c r="U433" s="1283">
        <f t="shared" si="263"/>
        <v>0</v>
      </c>
      <c r="V433" s="1284" t="str">
        <f t="shared" si="273"/>
        <v/>
      </c>
      <c r="W433" s="1285">
        <f>IF($H433&gt;0,$H433,IF(Table6[[#This Row],[CFrisk for residue definition (applicable for unprocessed products)]]&gt;0,Table6[[#This Row],[CFrisk for residue definition (applicable for unprocessed products)]],1))</f>
        <v>1</v>
      </c>
      <c r="X433" s="1285">
        <v>1</v>
      </c>
      <c r="Y433" s="1285">
        <f t="shared" si="264"/>
        <v>1</v>
      </c>
      <c r="Z433" s="1285">
        <f t="shared" si="265"/>
        <v>1</v>
      </c>
      <c r="AA433" s="1285" t="str">
        <f>IF(Table6[[#This Row],[Post-harvest treatment]]="","","Y")</f>
        <v/>
      </c>
      <c r="AB433" s="1285" t="str">
        <f>IF(AND(Table6[[#This Row],[CF used for for calculation]]&lt;&gt;1,Table6[[#This Row],[PF for calculation]]&lt;&gt;1),"CF*PF",IF(Table6[[#This Row],[CF used for for calculation]]&lt;&gt;1,"CF",IF(Table6[[#This Row],[PF for calculation]]&lt;&gt;1,"PF","")))</f>
        <v/>
      </c>
      <c r="AC433" s="1300">
        <f>IF(AND(Table6[[#This Row],[LOQ RAC individual crop]]="Y",Table6[[#This Row],[GAP under assessment]]="N"),Table6[[#This Row],[MRL RAC individual commodity]],Table6[[#This Row],[MRL RAC individual commodity]]*Table6[[#This Row],[CF*PF for calculation]])</f>
        <v>0</v>
      </c>
      <c r="AD433" s="1287">
        <f t="shared" si="266"/>
        <v>0</v>
      </c>
      <c r="AE433" s="1287">
        <f t="shared" si="267"/>
        <v>0</v>
      </c>
      <c r="AF433" s="1288">
        <f>Table6[[#This Row],[IESTI case]]</f>
        <v>3</v>
      </c>
      <c r="AG43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33" s="1302" t="str">
        <f>IF(Table6[[#This Row],[Input value normal mode case 1, 2a/2b,Po]]&gt;0,
              IF(Table6[[#This Row],[Highest residue * CF*PF]]&gt;"","HR-RAC",
                             IF(Table6[[#This Row],[LOQ RAC individual crop]]="Y","LOQ","MRL")),"")</f>
        <v/>
      </c>
      <c r="AI433" s="1302" t="str">
        <f t="shared" si="268"/>
        <v/>
      </c>
      <c r="AJ433" s="1302" t="str">
        <f>IF(Table6[[#This Row],[Input value normal mode case 1, 2a/2b,Po]]&gt;0,IF(Table6[[#This Row],[label description]]&gt;"",Table6[[#This Row],[label description]],""),"")</f>
        <v/>
      </c>
      <c r="AK433" s="1302" t="str">
        <f>CONCATENATE(Table6[[#This Row],[label for IESTI normal mode case 1, 2a/2b,Po]],Table6[[#This Row],[label connector case  normal mode]],Table6[[#This Row],[label refinements normal mode case 1, 2a/2b,Po]])</f>
        <v/>
      </c>
      <c r="AL433" s="1287" t="str">
        <f>IF(AND(Table6[[#This Row],[Case for acute RA children / adults]]=3,Table6[[#This Row],[Post-harvest treatment]]=""),IF(AND(Table6[[#This Row],[LOQ RAC individual crop]]="Y",M432="N"),Table6[[#This Row],[MRL RAC individual commodity]],IF(Table6[[#This Row],[Median residue*CF*PF]]&gt;0,Table6[[#This Row],[Median residue*CF*PF]],IF(Table6[[#This Row],[MRL*CF*PF or LOQ (if not under assessment and LOQ)]]&gt;0,Table6[[#This Row],[MRL*CF*PF or LOQ (if not under assessment and LOQ)]],""))),"")</f>
        <v/>
      </c>
      <c r="AM433" s="1295" t="str">
        <f>IF(Table6[[#This Row],[input for case 3 normal mode]]&gt;0,IF(Table6[[#This Row],[Median residue*CF*PF]]&gt;0,"STMR-RAC",IF(AND($AC433&gt;0,NOT(V433="Y")),"MRL",IF($V433="Y","LOQ",""))),"")</f>
        <v/>
      </c>
      <c r="AN433" s="1295" t="str">
        <f t="shared" si="269"/>
        <v/>
      </c>
      <c r="AO433" s="1287" t="str">
        <f>IF(Table6[[#This Row],[input for case 3 normal mode]]="","",IF(AND(Table6[[#This Row],[label for case 3 calculation normal mode]]="LOQ",Table6[[#This Row],[GAP under assessment]]="N"),"",IF(Table6[[#This Row],[label description]]&gt;"",Table6[[#This Row],[label description]],"")))</f>
        <v/>
      </c>
      <c r="AP433" s="1287" t="str">
        <f>CONCATENATE(Table6[[#This Row],[label for case 3 calculation normal mode]],Table6[[#This Row],[label connector case 3 normal mode]],Table6[[#This Row],[label refinements case 3 normal mode]])</f>
        <v/>
      </c>
      <c r="AQ433" s="1287" t="str">
        <f>IF(Table6[[#This Row],[GAP under assessment]]="Y",Table6[[#This Row],[Input value normal mode case 1, 2a/2b,Po]],"")</f>
        <v/>
      </c>
      <c r="AR433" s="1287" t="str">
        <f>IF(Table6[[#This Row],[Input value refined mode case 1, 2a/2b,Po]]&gt;0,Table6[[#This Row],[concat label normal mode 1,2a/2b,Po ]],"")</f>
        <v/>
      </c>
      <c r="AS433" s="1303" t="str">
        <f>IF(Table6[[#This Row],[GAP under assessment]]="Y",Table6[[#This Row],[input for case 3 normal mode]],"")</f>
        <v/>
      </c>
      <c r="AT433" s="1287" t="str">
        <f>IF(Table6[[#This Row],[input for case 3 refined mode]]&gt;0,Table6[[#This Row],[concat label normal mode  case 3]],"")</f>
        <v/>
      </c>
      <c r="AU433" s="1295" t="str">
        <f>IF(Table6[[#This Row],[Input value normal mode case 1, 2a/2b,Po]]&gt;0,Table6[[#This Row],[Input value normal mode case 1, 2a/2b,Po]],Table6[[#This Row],[input for case 3 normal mode]])</f>
        <v/>
      </c>
      <c r="AV433" s="1295" t="str">
        <f>IF(Table6[[#This Row],[Input value normal mode case 1, 2a/2b,Po]]&gt;0,Table6[[#This Row],[concat label normal mode 1,2a/2b,Po ]],Table6[[#This Row],[concat label normal mode  case 3]])</f>
        <v/>
      </c>
      <c r="AW433" s="1295" t="str">
        <f>IF(Table6[[#This Row],[Input value refined mode case 1, 2a/2b,Po]]&gt;0,Table6[[#This Row],[Input value refined mode case 1, 2a/2b,Po]],Table6[[#This Row],[input for case 3 refined mode]])</f>
        <v/>
      </c>
      <c r="AX433" s="1295" t="str">
        <f>IF(Table6[[#This Row],[Input value refined mode case 1, 2a/2b,Po]]&gt;0,Table6[[#This Row],[concat label refined mode case 1,2a/2b,Po]],Table6[[#This Row],[label for case 3 calculation refined mode]])</f>
        <v/>
      </c>
      <c r="AY433" s="1287">
        <f t="shared" si="274"/>
        <v>0</v>
      </c>
      <c r="AZ433" s="1295" t="str">
        <f t="shared" si="270"/>
        <v/>
      </c>
      <c r="BA433" s="1295" t="str">
        <f t="shared" si="271"/>
        <v/>
      </c>
      <c r="BB433" s="1287" t="str">
        <f>IF(AND(Table6[[#This Row],[label for IESTI new normal mode]]="LOQ",Table6[[#This Row],[GAP under assessment]]="N"),"",IF(AND($H433&gt;0,$Y433&lt;&gt;1),"CF*PF",IF($H433&gt;0,"CF",IF($Y433&lt;&gt;1,"PF",""))))</f>
        <v/>
      </c>
      <c r="BC433" s="1296" t="s">
        <v>369</v>
      </c>
      <c r="BD433" s="1297"/>
      <c r="BE433" s="1304" t="str">
        <f>IF(Table6[[#This Row],[GAP under assessment]]="Y",Table6[[#This Row],[MRL*CF*PF or LOQ (if not under assessment and LOQ)]],"")</f>
        <v/>
      </c>
      <c r="BF433" s="1305" t="str">
        <f>IF(Table6[[#This Row],[Input for IESTI new refined mode]]&lt;&gt;"",CONCATENATE("MRL",Table6[[#This Row],[label connector case 3 normal mode]],Table6[[#This Row],[label refinements case 3 normal mode]]),"")</f>
        <v/>
      </c>
      <c r="BG433" s="1298" t="s">
        <v>502</v>
      </c>
      <c r="BH433" s="1306"/>
    </row>
    <row r="434" spans="1:60" s="11" customFormat="1" ht="12.75" customHeight="1" x14ac:dyDescent="0.2">
      <c r="A434" s="479" t="s">
        <v>528</v>
      </c>
      <c r="B434" s="480">
        <v>161020</v>
      </c>
      <c r="C434" s="547" t="s">
        <v>461</v>
      </c>
      <c r="D434" s="1261">
        <f>VLOOKUP(Table6[[#This Row],[Code no.]],$B$12:$D$390,3,FALSE)</f>
        <v>0</v>
      </c>
      <c r="E434" s="1264">
        <f t="shared" si="258"/>
        <v>0</v>
      </c>
      <c r="F434" s="1262" t="str">
        <f>IF(VLOOKUP($B434,$B$12:$AY$390,$V$2,FALSE)="Y","*","")</f>
        <v/>
      </c>
      <c r="G434" s="1265">
        <f t="shared" si="259"/>
        <v>1</v>
      </c>
      <c r="H434" s="881"/>
      <c r="I434" s="880"/>
      <c r="J434" s="1269">
        <f t="shared" si="260"/>
        <v>0</v>
      </c>
      <c r="K434" s="1269">
        <f t="shared" si="261"/>
        <v>0</v>
      </c>
      <c r="L434" s="1270"/>
      <c r="M434" s="1271" t="str">
        <f t="shared" si="262"/>
        <v/>
      </c>
      <c r="N434" s="1272"/>
      <c r="O434" s="1273">
        <v>3</v>
      </c>
      <c r="P434" s="1273" t="str">
        <f>IF(OR($A$10=$BG$15,Results!$B$62=Results!$T$63),Table6[[#This Row],[label refine mode]],Table6[[#This Row],[label normal mode]])</f>
        <v/>
      </c>
      <c r="Q434" s="1257" t="str">
        <f>IF(OR($A$10=$BG$15,Results!$B$62=Results!$T$63),Table6[[#This Row],[input refined mode]],Table6[[#This Row],[Input normal mode]])</f>
        <v/>
      </c>
      <c r="R434" s="1275" t="str">
        <f>IF(Table6[[#This Row],[Acute RA IESTI new input value]]="","",CONCATENATE(Table6[[#This Row],[label for IESTI new normal mode]],Table6[[#This Row],[label connector IESTI new normal mode]],Table6[[#This Row],[label refinements normal mode]]))</f>
        <v/>
      </c>
      <c r="S434" s="1259">
        <f>IF(OR($A$10=$BG$15,Results!$B$62=Results!$T$63),Table6[[#This Row],[Input for IESTI new refined mode]],Table6[[#This Row],[Input for IESTI new normal mode]])</f>
        <v>0</v>
      </c>
      <c r="T434" s="888"/>
      <c r="U434" s="1283">
        <f t="shared" si="263"/>
        <v>0</v>
      </c>
      <c r="V434" s="1284" t="str">
        <f t="shared" si="273"/>
        <v/>
      </c>
      <c r="W434" s="1285">
        <f>IF($H434&gt;0,$H434,IF(Table6[[#This Row],[CFrisk for residue definition (applicable for unprocessed products)]]&gt;0,Table6[[#This Row],[CFrisk for residue definition (applicable for unprocessed products)]],1))</f>
        <v>1</v>
      </c>
      <c r="X434" s="1285">
        <v>1</v>
      </c>
      <c r="Y434" s="1285">
        <f t="shared" si="264"/>
        <v>1</v>
      </c>
      <c r="Z434" s="1285">
        <f t="shared" si="265"/>
        <v>1</v>
      </c>
      <c r="AA434" s="1285" t="str">
        <f>IF(Table6[[#This Row],[Post-harvest treatment]]="","","Y")</f>
        <v/>
      </c>
      <c r="AB434" s="1285" t="str">
        <f>IF(AND(Table6[[#This Row],[CF used for for calculation]]&lt;&gt;1,Table6[[#This Row],[PF for calculation]]&lt;&gt;1),"CF*PF",IF(Table6[[#This Row],[CF used for for calculation]]&lt;&gt;1,"CF",IF(Table6[[#This Row],[PF for calculation]]&lt;&gt;1,"PF","")))</f>
        <v/>
      </c>
      <c r="AC434" s="1300">
        <f>IF(AND(Table6[[#This Row],[LOQ RAC individual crop]]="Y",Table6[[#This Row],[GAP under assessment]]="N"),Table6[[#This Row],[MRL RAC individual commodity]],Table6[[#This Row],[MRL RAC individual commodity]]*Table6[[#This Row],[CF*PF for calculation]])</f>
        <v>0</v>
      </c>
      <c r="AD434" s="1287">
        <f t="shared" si="266"/>
        <v>0</v>
      </c>
      <c r="AE434" s="1287">
        <f t="shared" si="267"/>
        <v>0</v>
      </c>
      <c r="AF434" s="1288">
        <f>Table6[[#This Row],[IESTI case]]</f>
        <v>3</v>
      </c>
      <c r="AG43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34" s="1302" t="str">
        <f>IF(Table6[[#This Row],[Input value normal mode case 1, 2a/2b,Po]]&gt;0,
              IF(Table6[[#This Row],[Highest residue * CF*PF]]&gt;"","HR-RAC",
                             IF(Table6[[#This Row],[LOQ RAC individual crop]]="Y","LOQ","MRL")),"")</f>
        <v/>
      </c>
      <c r="AI434" s="1302" t="str">
        <f t="shared" si="268"/>
        <v/>
      </c>
      <c r="AJ434" s="1302" t="str">
        <f>IF(Table6[[#This Row],[Input value normal mode case 1, 2a/2b,Po]]&gt;0,IF(Table6[[#This Row],[label description]]&gt;"",Table6[[#This Row],[label description]],""),"")</f>
        <v/>
      </c>
      <c r="AK434" s="1302" t="str">
        <f>CONCATENATE(Table6[[#This Row],[label for IESTI normal mode case 1, 2a/2b,Po]],Table6[[#This Row],[label connector case  normal mode]],Table6[[#This Row],[label refinements normal mode case 1, 2a/2b,Po]])</f>
        <v/>
      </c>
      <c r="AL434" s="1287" t="str">
        <f>IF(AND(Table6[[#This Row],[Case for acute RA children / adults]]=3,Table6[[#This Row],[Post-harvest treatment]]=""),IF(AND(Table6[[#This Row],[LOQ RAC individual crop]]="Y",M433="N"),Table6[[#This Row],[MRL RAC individual commodity]],IF(Table6[[#This Row],[Median residue*CF*PF]]&gt;0,Table6[[#This Row],[Median residue*CF*PF]],IF(Table6[[#This Row],[MRL*CF*PF or LOQ (if not under assessment and LOQ)]]&gt;0,Table6[[#This Row],[MRL*CF*PF or LOQ (if not under assessment and LOQ)]],""))),"")</f>
        <v/>
      </c>
      <c r="AM434" s="1295" t="str">
        <f>IF(Table6[[#This Row],[input for case 3 normal mode]]&gt;0,IF(Table6[[#This Row],[Median residue*CF*PF]]&gt;0,"STMR-RAC",IF(AND($AC434&gt;0,NOT(V434="Y")),"MRL",IF($V434="Y","LOQ",""))),"")</f>
        <v/>
      </c>
      <c r="AN434" s="1295" t="str">
        <f t="shared" si="269"/>
        <v/>
      </c>
      <c r="AO434" s="1287" t="str">
        <f>IF(Table6[[#This Row],[input for case 3 normal mode]]="","",IF(AND(Table6[[#This Row],[label for case 3 calculation normal mode]]="LOQ",Table6[[#This Row],[GAP under assessment]]="N"),"",IF(Table6[[#This Row],[label description]]&gt;"",Table6[[#This Row],[label description]],"")))</f>
        <v/>
      </c>
      <c r="AP434" s="1287" t="str">
        <f>CONCATENATE(Table6[[#This Row],[label for case 3 calculation normal mode]],Table6[[#This Row],[label connector case 3 normal mode]],Table6[[#This Row],[label refinements case 3 normal mode]])</f>
        <v/>
      </c>
      <c r="AQ434" s="1287" t="str">
        <f>IF(Table6[[#This Row],[GAP under assessment]]="Y",Table6[[#This Row],[Input value normal mode case 1, 2a/2b,Po]],"")</f>
        <v/>
      </c>
      <c r="AR434" s="1287" t="str">
        <f>IF(Table6[[#This Row],[Input value refined mode case 1, 2a/2b,Po]]&gt;0,Table6[[#This Row],[concat label normal mode 1,2a/2b,Po ]],"")</f>
        <v/>
      </c>
      <c r="AS434" s="1303" t="str">
        <f>IF(Table6[[#This Row],[GAP under assessment]]="Y",Table6[[#This Row],[input for case 3 normal mode]],"")</f>
        <v/>
      </c>
      <c r="AT434" s="1287" t="str">
        <f>IF(Table6[[#This Row],[input for case 3 refined mode]]&gt;0,Table6[[#This Row],[concat label normal mode  case 3]],"")</f>
        <v/>
      </c>
      <c r="AU434" s="1295" t="str">
        <f>IF(Table6[[#This Row],[Input value normal mode case 1, 2a/2b,Po]]&gt;0,Table6[[#This Row],[Input value normal mode case 1, 2a/2b,Po]],Table6[[#This Row],[input for case 3 normal mode]])</f>
        <v/>
      </c>
      <c r="AV434" s="1295" t="str">
        <f>IF(Table6[[#This Row],[Input value normal mode case 1, 2a/2b,Po]]&gt;0,Table6[[#This Row],[concat label normal mode 1,2a/2b,Po ]],Table6[[#This Row],[concat label normal mode  case 3]])</f>
        <v/>
      </c>
      <c r="AW434" s="1295" t="str">
        <f>IF(Table6[[#This Row],[Input value refined mode case 1, 2a/2b,Po]]&gt;0,Table6[[#This Row],[Input value refined mode case 1, 2a/2b,Po]],Table6[[#This Row],[input for case 3 refined mode]])</f>
        <v/>
      </c>
      <c r="AX434" s="1295" t="str">
        <f>IF(Table6[[#This Row],[Input value refined mode case 1, 2a/2b,Po]]&gt;0,Table6[[#This Row],[concat label refined mode case 1,2a/2b,Po]],Table6[[#This Row],[label for case 3 calculation refined mode]])</f>
        <v/>
      </c>
      <c r="AY434" s="1287">
        <f t="shared" si="274"/>
        <v>0</v>
      </c>
      <c r="AZ434" s="1295" t="str">
        <f t="shared" si="270"/>
        <v/>
      </c>
      <c r="BA434" s="1295" t="str">
        <f t="shared" si="271"/>
        <v/>
      </c>
      <c r="BB434" s="1287" t="str">
        <f>IF(AND(Table6[[#This Row],[label for IESTI new normal mode]]="LOQ",Table6[[#This Row],[GAP under assessment]]="N"),"",IF(AND($H434&gt;0,$Y434&lt;&gt;1),"CF*PF",IF($H434&gt;0,"CF",IF($Y434&lt;&gt;1,"PF",""))))</f>
        <v/>
      </c>
      <c r="BC434" s="1296" t="s">
        <v>369</v>
      </c>
      <c r="BD434" s="1297"/>
      <c r="BE434" s="1304" t="str">
        <f>IF(Table6[[#This Row],[GAP under assessment]]="Y",Table6[[#This Row],[MRL*CF*PF or LOQ (if not under assessment and LOQ)]],"")</f>
        <v/>
      </c>
      <c r="BF434" s="1305" t="str">
        <f>IF(Table6[[#This Row],[Input for IESTI new refined mode]]&lt;&gt;"",CONCATENATE("MRL",Table6[[#This Row],[label connector case 3 normal mode]],Table6[[#This Row],[label refinements case 3 normal mode]]),"")</f>
        <v/>
      </c>
      <c r="BG434" s="1298" t="s">
        <v>528</v>
      </c>
      <c r="BH434" s="1306"/>
    </row>
    <row r="435" spans="1:60" s="11" customFormat="1" ht="12.75" customHeight="1" x14ac:dyDescent="0.2">
      <c r="A435" s="479" t="s">
        <v>514</v>
      </c>
      <c r="B435" s="480">
        <v>161030</v>
      </c>
      <c r="C435" s="547" t="s">
        <v>445</v>
      </c>
      <c r="D435" s="1261">
        <f>VLOOKUP(Table6[[#This Row],[Code no.]],$B$12:$D$390,3,FALSE)</f>
        <v>0</v>
      </c>
      <c r="E435" s="1264">
        <f t="shared" si="258"/>
        <v>0</v>
      </c>
      <c r="F435" s="1262" t="str">
        <f t="shared" si="272"/>
        <v/>
      </c>
      <c r="G435" s="1265">
        <f t="shared" si="259"/>
        <v>1</v>
      </c>
      <c r="H435" s="881"/>
      <c r="I435" s="880"/>
      <c r="J435" s="1269">
        <f t="shared" si="260"/>
        <v>0</v>
      </c>
      <c r="K435" s="1269">
        <f t="shared" si="261"/>
        <v>0</v>
      </c>
      <c r="L435" s="1270"/>
      <c r="M435" s="1271" t="str">
        <f t="shared" si="262"/>
        <v/>
      </c>
      <c r="N435" s="1272"/>
      <c r="O435" s="1273">
        <v>3</v>
      </c>
      <c r="P435" s="1273" t="str">
        <f>IF(OR($A$10=$BG$15,Results!$B$62=Results!$T$63),Table6[[#This Row],[label refine mode]],Table6[[#This Row],[label normal mode]])</f>
        <v/>
      </c>
      <c r="Q435" s="1257" t="str">
        <f>IF(OR($A$10=$BG$15,Results!$B$62=Results!$T$63),Table6[[#This Row],[input refined mode]],Table6[[#This Row],[Input normal mode]])</f>
        <v/>
      </c>
      <c r="R435" s="1275" t="str">
        <f>IF(Table6[[#This Row],[Acute RA IESTI new input value]]="","",CONCATENATE(Table6[[#This Row],[label for IESTI new normal mode]],Table6[[#This Row],[label connector IESTI new normal mode]],Table6[[#This Row],[label refinements normal mode]]))</f>
        <v/>
      </c>
      <c r="S435" s="1259">
        <f>IF(OR($A$10=$BG$15,Results!$B$62=Results!$T$63),Table6[[#This Row],[Input for IESTI new refined mode]],Table6[[#This Row],[Input for IESTI new normal mode]])</f>
        <v>0</v>
      </c>
      <c r="T435" s="888"/>
      <c r="U435" s="1283">
        <f t="shared" si="263"/>
        <v>0</v>
      </c>
      <c r="V435" s="1284" t="str">
        <f t="shared" si="273"/>
        <v/>
      </c>
      <c r="W435" s="1285">
        <f>IF($H435&gt;0,$H435,IF(Table6[[#This Row],[CFrisk for residue definition (applicable for unprocessed products)]]&gt;0,Table6[[#This Row],[CFrisk for residue definition (applicable for unprocessed products)]],1))</f>
        <v>1</v>
      </c>
      <c r="X435" s="1285">
        <v>1</v>
      </c>
      <c r="Y435" s="1285">
        <f t="shared" si="264"/>
        <v>1</v>
      </c>
      <c r="Z435" s="1285">
        <f t="shared" si="265"/>
        <v>1</v>
      </c>
      <c r="AA435" s="1285" t="str">
        <f>IF(Table6[[#This Row],[Post-harvest treatment]]="","","Y")</f>
        <v/>
      </c>
      <c r="AB435" s="1285" t="str">
        <f>IF(AND(Table6[[#This Row],[CF used for for calculation]]&lt;&gt;1,Table6[[#This Row],[PF for calculation]]&lt;&gt;1),"CF*PF",IF(Table6[[#This Row],[CF used for for calculation]]&lt;&gt;1,"CF",IF(Table6[[#This Row],[PF for calculation]]&lt;&gt;1,"PF","")))</f>
        <v/>
      </c>
      <c r="AC435" s="1300">
        <f>IF(AND(Table6[[#This Row],[LOQ RAC individual crop]]="Y",Table6[[#This Row],[GAP under assessment]]="N"),Table6[[#This Row],[MRL RAC individual commodity]],Table6[[#This Row],[MRL RAC individual commodity]]*Table6[[#This Row],[CF*PF for calculation]])</f>
        <v>0</v>
      </c>
      <c r="AD435" s="1287">
        <f t="shared" si="266"/>
        <v>0</v>
      </c>
      <c r="AE435" s="1287">
        <f t="shared" si="267"/>
        <v>0</v>
      </c>
      <c r="AF435" s="1288">
        <f>Table6[[#This Row],[IESTI case]]</f>
        <v>3</v>
      </c>
      <c r="AG43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35" s="1302" t="str">
        <f>IF(Table6[[#This Row],[Input value normal mode case 1, 2a/2b,Po]]&gt;0,
              IF(Table6[[#This Row],[Highest residue * CF*PF]]&gt;"","HR-RAC",
                             IF(Table6[[#This Row],[LOQ RAC individual crop]]="Y","LOQ","MRL")),"")</f>
        <v/>
      </c>
      <c r="AI435" s="1302" t="str">
        <f t="shared" si="268"/>
        <v/>
      </c>
      <c r="AJ435" s="1302" t="str">
        <f>IF(Table6[[#This Row],[Input value normal mode case 1, 2a/2b,Po]]&gt;0,IF(Table6[[#This Row],[label description]]&gt;"",Table6[[#This Row],[label description]],""),"")</f>
        <v/>
      </c>
      <c r="AK435" s="1302" t="str">
        <f>CONCATENATE(Table6[[#This Row],[label for IESTI normal mode case 1, 2a/2b,Po]],Table6[[#This Row],[label connector case  normal mode]],Table6[[#This Row],[label refinements normal mode case 1, 2a/2b,Po]])</f>
        <v/>
      </c>
      <c r="AL435" s="1287" t="str">
        <f>IF(AND(Table6[[#This Row],[Case for acute RA children / adults]]=3,Table6[[#This Row],[Post-harvest treatment]]=""),IF(AND(Table6[[#This Row],[LOQ RAC individual crop]]="Y",M434="N"),Table6[[#This Row],[MRL RAC individual commodity]],IF(Table6[[#This Row],[Median residue*CF*PF]]&gt;0,Table6[[#This Row],[Median residue*CF*PF]],IF(Table6[[#This Row],[MRL*CF*PF or LOQ (if not under assessment and LOQ)]]&gt;0,Table6[[#This Row],[MRL*CF*PF or LOQ (if not under assessment and LOQ)]],""))),"")</f>
        <v/>
      </c>
      <c r="AM435" s="1295" t="str">
        <f>IF(Table6[[#This Row],[input for case 3 normal mode]]&gt;0,IF(Table6[[#This Row],[Median residue*CF*PF]]&gt;0,"STMR-RAC",IF(AND($AC435&gt;0,NOT(V435="Y")),"MRL",IF($V435="Y","LOQ",""))),"")</f>
        <v/>
      </c>
      <c r="AN435" s="1295" t="str">
        <f t="shared" si="269"/>
        <v/>
      </c>
      <c r="AO435" s="1287" t="str">
        <f>IF(Table6[[#This Row],[input for case 3 normal mode]]="","",IF(AND(Table6[[#This Row],[label for case 3 calculation normal mode]]="LOQ",Table6[[#This Row],[GAP under assessment]]="N"),"",IF(Table6[[#This Row],[label description]]&gt;"",Table6[[#This Row],[label description]],"")))</f>
        <v/>
      </c>
      <c r="AP435" s="1287" t="str">
        <f>CONCATENATE(Table6[[#This Row],[label for case 3 calculation normal mode]],Table6[[#This Row],[label connector case 3 normal mode]],Table6[[#This Row],[label refinements case 3 normal mode]])</f>
        <v/>
      </c>
      <c r="AQ435" s="1287" t="str">
        <f>IF(Table6[[#This Row],[GAP under assessment]]="Y",Table6[[#This Row],[Input value normal mode case 1, 2a/2b,Po]],"")</f>
        <v/>
      </c>
      <c r="AR435" s="1287" t="str">
        <f>IF(Table6[[#This Row],[Input value refined mode case 1, 2a/2b,Po]]&gt;0,Table6[[#This Row],[concat label normal mode 1,2a/2b,Po ]],"")</f>
        <v/>
      </c>
      <c r="AS435" s="1303" t="str">
        <f>IF(Table6[[#This Row],[GAP under assessment]]="Y",Table6[[#This Row],[input for case 3 normal mode]],"")</f>
        <v/>
      </c>
      <c r="AT435" s="1287" t="str">
        <f>IF(Table6[[#This Row],[input for case 3 refined mode]]&gt;0,Table6[[#This Row],[concat label normal mode  case 3]],"")</f>
        <v/>
      </c>
      <c r="AU435" s="1295" t="str">
        <f>IF(Table6[[#This Row],[Input value normal mode case 1, 2a/2b,Po]]&gt;0,Table6[[#This Row],[Input value normal mode case 1, 2a/2b,Po]],Table6[[#This Row],[input for case 3 normal mode]])</f>
        <v/>
      </c>
      <c r="AV435" s="1295" t="str">
        <f>IF(Table6[[#This Row],[Input value normal mode case 1, 2a/2b,Po]]&gt;0,Table6[[#This Row],[concat label normal mode 1,2a/2b,Po ]],Table6[[#This Row],[concat label normal mode  case 3]])</f>
        <v/>
      </c>
      <c r="AW435" s="1295" t="str">
        <f>IF(Table6[[#This Row],[Input value refined mode case 1, 2a/2b,Po]]&gt;0,Table6[[#This Row],[Input value refined mode case 1, 2a/2b,Po]],Table6[[#This Row],[input for case 3 refined mode]])</f>
        <v/>
      </c>
      <c r="AX435" s="1295" t="str">
        <f>IF(Table6[[#This Row],[Input value refined mode case 1, 2a/2b,Po]]&gt;0,Table6[[#This Row],[concat label refined mode case 1,2a/2b,Po]],Table6[[#This Row],[label for case 3 calculation refined mode]])</f>
        <v/>
      </c>
      <c r="AY435" s="1287">
        <f t="shared" si="274"/>
        <v>0</v>
      </c>
      <c r="AZ435" s="1295" t="str">
        <f t="shared" si="270"/>
        <v/>
      </c>
      <c r="BA435" s="1295" t="str">
        <f t="shared" si="271"/>
        <v/>
      </c>
      <c r="BB435" s="1287" t="str">
        <f>IF(AND(Table6[[#This Row],[label for IESTI new normal mode]]="LOQ",Table6[[#This Row],[GAP under assessment]]="N"),"",IF(AND($H435&gt;0,$Y435&lt;&gt;1),"CF*PF",IF($H435&gt;0,"CF",IF($Y435&lt;&gt;1,"PF",""))))</f>
        <v/>
      </c>
      <c r="BC435" s="1296" t="s">
        <v>369</v>
      </c>
      <c r="BD435" s="1297"/>
      <c r="BE435" s="1304" t="str">
        <f>IF(Table6[[#This Row],[GAP under assessment]]="Y",Table6[[#This Row],[MRL*CF*PF or LOQ (if not under assessment and LOQ)]],"")</f>
        <v/>
      </c>
      <c r="BF435" s="1305" t="str">
        <f>IF(Table6[[#This Row],[Input for IESTI new refined mode]]&lt;&gt;"",CONCATENATE("MRL",Table6[[#This Row],[label connector case 3 normal mode]],Table6[[#This Row],[label refinements case 3 normal mode]]),"")</f>
        <v/>
      </c>
      <c r="BG435" s="1298" t="s">
        <v>514</v>
      </c>
      <c r="BH435" s="1306"/>
    </row>
    <row r="436" spans="1:60" s="11" customFormat="1" ht="12.75" customHeight="1" x14ac:dyDescent="0.2">
      <c r="A436" s="479" t="s">
        <v>503</v>
      </c>
      <c r="B436" s="480">
        <v>162010</v>
      </c>
      <c r="C436" s="547" t="s">
        <v>817</v>
      </c>
      <c r="D436" s="1261">
        <f>VLOOKUP(Table6[[#This Row],[Code no.]],$B$12:$D$390,3,FALSE)</f>
        <v>0</v>
      </c>
      <c r="E436" s="1264">
        <f t="shared" si="258"/>
        <v>0</v>
      </c>
      <c r="F436" s="1262" t="str">
        <f t="shared" si="272"/>
        <v/>
      </c>
      <c r="G436" s="1265">
        <f t="shared" si="259"/>
        <v>1</v>
      </c>
      <c r="H436" s="881"/>
      <c r="I436" s="880"/>
      <c r="J436" s="1269">
        <f t="shared" si="260"/>
        <v>0</v>
      </c>
      <c r="K436" s="1269">
        <f t="shared" si="261"/>
        <v>0</v>
      </c>
      <c r="L436" s="1270"/>
      <c r="M436" s="1271" t="str">
        <f t="shared" si="262"/>
        <v/>
      </c>
      <c r="N436" s="1272"/>
      <c r="O436" s="1273">
        <v>3</v>
      </c>
      <c r="P436" s="1273" t="str">
        <f>IF(OR($A$10=$BG$15,Results!$B$62=Results!$T$63),Table6[[#This Row],[label refine mode]],Table6[[#This Row],[label normal mode]])</f>
        <v/>
      </c>
      <c r="Q436" s="1257" t="str">
        <f>IF(OR($A$10=$BG$15,Results!$B$62=Results!$T$63),Table6[[#This Row],[input refined mode]],Table6[[#This Row],[Input normal mode]])</f>
        <v/>
      </c>
      <c r="R436" s="1275" t="str">
        <f>IF(Table6[[#This Row],[Acute RA IESTI new input value]]="","",CONCATENATE(Table6[[#This Row],[label for IESTI new normal mode]],Table6[[#This Row],[label connector IESTI new normal mode]],Table6[[#This Row],[label refinements normal mode]]))</f>
        <v/>
      </c>
      <c r="S436" s="1259">
        <f>IF(OR($A$10=$BG$15,Results!$B$62=Results!$T$63),Table6[[#This Row],[Input for IESTI new refined mode]],Table6[[#This Row],[Input for IESTI new normal mode]])</f>
        <v>0</v>
      </c>
      <c r="T436" s="888"/>
      <c r="U436" s="1283">
        <f t="shared" si="263"/>
        <v>0</v>
      </c>
      <c r="V436" s="1284" t="str">
        <f t="shared" si="273"/>
        <v/>
      </c>
      <c r="W436" s="1285">
        <f>IF($H436&gt;0,$H436,IF(Table6[[#This Row],[CFrisk for residue definition (applicable for unprocessed products)]]&gt;0,Table6[[#This Row],[CFrisk for residue definition (applicable for unprocessed products)]],1))</f>
        <v>1</v>
      </c>
      <c r="X436" s="1285">
        <v>1</v>
      </c>
      <c r="Y436" s="1285">
        <f t="shared" si="264"/>
        <v>1</v>
      </c>
      <c r="Z436" s="1285">
        <f t="shared" si="265"/>
        <v>1</v>
      </c>
      <c r="AA436" s="1285" t="str">
        <f>IF(Table6[[#This Row],[Post-harvest treatment]]="","","Y")</f>
        <v/>
      </c>
      <c r="AB436" s="1285" t="str">
        <f>IF(AND(Table6[[#This Row],[CF used for for calculation]]&lt;&gt;1,Table6[[#This Row],[PF for calculation]]&lt;&gt;1),"CF*PF",IF(Table6[[#This Row],[CF used for for calculation]]&lt;&gt;1,"CF",IF(Table6[[#This Row],[PF for calculation]]&lt;&gt;1,"PF","")))</f>
        <v/>
      </c>
      <c r="AC436" s="1300">
        <f>IF(AND(Table6[[#This Row],[LOQ RAC individual crop]]="Y",Table6[[#This Row],[GAP under assessment]]="N"),Table6[[#This Row],[MRL RAC individual commodity]],Table6[[#This Row],[MRL RAC individual commodity]]*Table6[[#This Row],[CF*PF for calculation]])</f>
        <v>0</v>
      </c>
      <c r="AD436" s="1287">
        <f t="shared" si="266"/>
        <v>0</v>
      </c>
      <c r="AE436" s="1287">
        <f t="shared" si="267"/>
        <v>0</v>
      </c>
      <c r="AF436" s="1288">
        <f>Table6[[#This Row],[IESTI case]]</f>
        <v>3</v>
      </c>
      <c r="AG43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36" s="1302" t="str">
        <f>IF(Table6[[#This Row],[Input value normal mode case 1, 2a/2b,Po]]&gt;0,
              IF(Table6[[#This Row],[Highest residue * CF*PF]]&gt;"","HR-RAC",
                             IF(Table6[[#This Row],[LOQ RAC individual crop]]="Y","LOQ","MRL")),"")</f>
        <v/>
      </c>
      <c r="AI436" s="1302" t="str">
        <f t="shared" si="268"/>
        <v/>
      </c>
      <c r="AJ436" s="1302" t="str">
        <f>IF(Table6[[#This Row],[Input value normal mode case 1, 2a/2b,Po]]&gt;0,IF(Table6[[#This Row],[label description]]&gt;"",Table6[[#This Row],[label description]],""),"")</f>
        <v/>
      </c>
      <c r="AK436" s="1302" t="str">
        <f>CONCATENATE(Table6[[#This Row],[label for IESTI normal mode case 1, 2a/2b,Po]],Table6[[#This Row],[label connector case  normal mode]],Table6[[#This Row],[label refinements normal mode case 1, 2a/2b,Po]])</f>
        <v/>
      </c>
      <c r="AL436" s="1287" t="str">
        <f>IF(AND(Table6[[#This Row],[Case for acute RA children / adults]]=3,Table6[[#This Row],[Post-harvest treatment]]=""),IF(AND(Table6[[#This Row],[LOQ RAC individual crop]]="Y",M435="N"),Table6[[#This Row],[MRL RAC individual commodity]],IF(Table6[[#This Row],[Median residue*CF*PF]]&gt;0,Table6[[#This Row],[Median residue*CF*PF]],IF(Table6[[#This Row],[MRL*CF*PF or LOQ (if not under assessment and LOQ)]]&gt;0,Table6[[#This Row],[MRL*CF*PF or LOQ (if not under assessment and LOQ)]],""))),"")</f>
        <v/>
      </c>
      <c r="AM436" s="1295" t="str">
        <f>IF(Table6[[#This Row],[input for case 3 normal mode]]&gt;0,IF(Table6[[#This Row],[Median residue*CF*PF]]&gt;0,"STMR-RAC",IF(AND($AC436&gt;0,NOT(V436="Y")),"MRL",IF($V436="Y","LOQ",""))),"")</f>
        <v/>
      </c>
      <c r="AN436" s="1295" t="str">
        <f t="shared" si="269"/>
        <v/>
      </c>
      <c r="AO436" s="1287" t="str">
        <f>IF(Table6[[#This Row],[input for case 3 normal mode]]="","",IF(AND(Table6[[#This Row],[label for case 3 calculation normal mode]]="LOQ",Table6[[#This Row],[GAP under assessment]]="N"),"",IF(Table6[[#This Row],[label description]]&gt;"",Table6[[#This Row],[label description]],"")))</f>
        <v/>
      </c>
      <c r="AP436" s="1287" t="str">
        <f>CONCATENATE(Table6[[#This Row],[label for case 3 calculation normal mode]],Table6[[#This Row],[label connector case 3 normal mode]],Table6[[#This Row],[label refinements case 3 normal mode]])</f>
        <v/>
      </c>
      <c r="AQ436" s="1287" t="str">
        <f>IF(Table6[[#This Row],[GAP under assessment]]="Y",Table6[[#This Row],[Input value normal mode case 1, 2a/2b,Po]],"")</f>
        <v/>
      </c>
      <c r="AR436" s="1287" t="str">
        <f>IF(Table6[[#This Row],[Input value refined mode case 1, 2a/2b,Po]]&gt;0,Table6[[#This Row],[concat label normal mode 1,2a/2b,Po ]],"")</f>
        <v/>
      </c>
      <c r="AS436" s="1303" t="str">
        <f>IF(Table6[[#This Row],[GAP under assessment]]="Y",Table6[[#This Row],[input for case 3 normal mode]],"")</f>
        <v/>
      </c>
      <c r="AT436" s="1287" t="str">
        <f>IF(Table6[[#This Row],[input for case 3 refined mode]]&gt;0,Table6[[#This Row],[concat label normal mode  case 3]],"")</f>
        <v/>
      </c>
      <c r="AU436" s="1295" t="str">
        <f>IF(Table6[[#This Row],[Input value normal mode case 1, 2a/2b,Po]]&gt;0,Table6[[#This Row],[Input value normal mode case 1, 2a/2b,Po]],Table6[[#This Row],[input for case 3 normal mode]])</f>
        <v/>
      </c>
      <c r="AV436" s="1295" t="str">
        <f>IF(Table6[[#This Row],[Input value normal mode case 1, 2a/2b,Po]]&gt;0,Table6[[#This Row],[concat label normal mode 1,2a/2b,Po ]],Table6[[#This Row],[concat label normal mode  case 3]])</f>
        <v/>
      </c>
      <c r="AW436" s="1295" t="str">
        <f>IF(Table6[[#This Row],[Input value refined mode case 1, 2a/2b,Po]]&gt;0,Table6[[#This Row],[Input value refined mode case 1, 2a/2b,Po]],Table6[[#This Row],[input for case 3 refined mode]])</f>
        <v/>
      </c>
      <c r="AX436" s="1295" t="str">
        <f>IF(Table6[[#This Row],[Input value refined mode case 1, 2a/2b,Po]]&gt;0,Table6[[#This Row],[concat label refined mode case 1,2a/2b,Po]],Table6[[#This Row],[label for case 3 calculation refined mode]])</f>
        <v/>
      </c>
      <c r="AY436" s="1287">
        <f t="shared" si="274"/>
        <v>0</v>
      </c>
      <c r="AZ436" s="1295" t="str">
        <f t="shared" si="270"/>
        <v/>
      </c>
      <c r="BA436" s="1295" t="str">
        <f t="shared" si="271"/>
        <v/>
      </c>
      <c r="BB436" s="1287" t="str">
        <f>IF(AND(Table6[[#This Row],[label for IESTI new normal mode]]="LOQ",Table6[[#This Row],[GAP under assessment]]="N"),"",IF(AND($H436&gt;0,$Y436&lt;&gt;1),"CF*PF",IF($H436&gt;0,"CF",IF($Y436&lt;&gt;1,"PF",""))))</f>
        <v/>
      </c>
      <c r="BC436" s="1296" t="s">
        <v>369</v>
      </c>
      <c r="BD436" s="1297"/>
      <c r="BE436" s="1304" t="str">
        <f>IF(Table6[[#This Row],[GAP under assessment]]="Y",Table6[[#This Row],[MRL*CF*PF or LOQ (if not under assessment and LOQ)]],"")</f>
        <v/>
      </c>
      <c r="BF436" s="1305" t="str">
        <f>IF(Table6[[#This Row],[Input for IESTI new refined mode]]&lt;&gt;"",CONCATENATE("MRL",Table6[[#This Row],[label connector case 3 normal mode]],Table6[[#This Row],[label refinements case 3 normal mode]]),"")</f>
        <v/>
      </c>
      <c r="BG436" s="1298" t="s">
        <v>503</v>
      </c>
      <c r="BH436" s="1306"/>
    </row>
    <row r="437" spans="1:60" s="11" customFormat="1" ht="12.75" customHeight="1" x14ac:dyDescent="0.2">
      <c r="A437" s="479" t="s">
        <v>515</v>
      </c>
      <c r="B437" s="480">
        <v>162020</v>
      </c>
      <c r="C437" s="547" t="s">
        <v>845</v>
      </c>
      <c r="D437" s="1261">
        <f>VLOOKUP(Table6[[#This Row],[Code no.]],$B$12:$D$390,3,FALSE)</f>
        <v>0</v>
      </c>
      <c r="E437" s="1264">
        <f t="shared" si="258"/>
        <v>0</v>
      </c>
      <c r="F437" s="1262" t="str">
        <f t="shared" si="272"/>
        <v/>
      </c>
      <c r="G437" s="1265">
        <f t="shared" si="259"/>
        <v>1</v>
      </c>
      <c r="H437" s="881"/>
      <c r="I437" s="880"/>
      <c r="J437" s="1269">
        <f t="shared" si="260"/>
        <v>0</v>
      </c>
      <c r="K437" s="1269">
        <f t="shared" si="261"/>
        <v>0</v>
      </c>
      <c r="L437" s="1270"/>
      <c r="M437" s="1271" t="str">
        <f t="shared" si="262"/>
        <v/>
      </c>
      <c r="N437" s="1272"/>
      <c r="O437" s="1273">
        <v>3</v>
      </c>
      <c r="P437" s="1273" t="str">
        <f>IF(OR($A$10=$BG$15,Results!$B$62=Results!$T$63),Table6[[#This Row],[label refine mode]],Table6[[#This Row],[label normal mode]])</f>
        <v/>
      </c>
      <c r="Q437" s="1257" t="str">
        <f>IF(OR($A$10=$BG$15,Results!$B$62=Results!$T$63),Table6[[#This Row],[input refined mode]],Table6[[#This Row],[Input normal mode]])</f>
        <v/>
      </c>
      <c r="R437" s="1275" t="str">
        <f>IF(Table6[[#This Row],[Acute RA IESTI new input value]]="","",CONCATENATE(Table6[[#This Row],[label for IESTI new normal mode]],Table6[[#This Row],[label connector IESTI new normal mode]],Table6[[#This Row],[label refinements normal mode]]))</f>
        <v/>
      </c>
      <c r="S437" s="1259">
        <f>IF(OR($A$10=$BG$15,Results!$B$62=Results!$T$63),Table6[[#This Row],[Input for IESTI new refined mode]],Table6[[#This Row],[Input for IESTI new normal mode]])</f>
        <v>0</v>
      </c>
      <c r="T437" s="888"/>
      <c r="U437" s="1283">
        <f t="shared" si="263"/>
        <v>0</v>
      </c>
      <c r="V437" s="1284" t="str">
        <f t="shared" si="273"/>
        <v/>
      </c>
      <c r="W437" s="1285">
        <f>IF($H437&gt;0,$H437,IF(Table6[[#This Row],[CFrisk for residue definition (applicable for unprocessed products)]]&gt;0,Table6[[#This Row],[CFrisk for residue definition (applicable for unprocessed products)]],1))</f>
        <v>1</v>
      </c>
      <c r="X437" s="1285">
        <v>1</v>
      </c>
      <c r="Y437" s="1285">
        <f t="shared" si="264"/>
        <v>1</v>
      </c>
      <c r="Z437" s="1285">
        <f t="shared" si="265"/>
        <v>1</v>
      </c>
      <c r="AA437" s="1285" t="str">
        <f>IF(Table6[[#This Row],[Post-harvest treatment]]="","","Y")</f>
        <v/>
      </c>
      <c r="AB437" s="1285" t="str">
        <f>IF(AND(Table6[[#This Row],[CF used for for calculation]]&lt;&gt;1,Table6[[#This Row],[PF for calculation]]&lt;&gt;1),"CF*PF",IF(Table6[[#This Row],[CF used for for calculation]]&lt;&gt;1,"CF",IF(Table6[[#This Row],[PF for calculation]]&lt;&gt;1,"PF","")))</f>
        <v/>
      </c>
      <c r="AC437" s="1300">
        <f>IF(AND(Table6[[#This Row],[LOQ RAC individual crop]]="Y",Table6[[#This Row],[GAP under assessment]]="N"),Table6[[#This Row],[MRL RAC individual commodity]],Table6[[#This Row],[MRL RAC individual commodity]]*Table6[[#This Row],[CF*PF for calculation]])</f>
        <v>0</v>
      </c>
      <c r="AD437" s="1287">
        <f t="shared" si="266"/>
        <v>0</v>
      </c>
      <c r="AE437" s="1287">
        <f t="shared" si="267"/>
        <v>0</v>
      </c>
      <c r="AF437" s="1288">
        <f>Table6[[#This Row],[IESTI case]]</f>
        <v>3</v>
      </c>
      <c r="AG43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37" s="1302" t="str">
        <f>IF(Table6[[#This Row],[Input value normal mode case 1, 2a/2b,Po]]&gt;0,
              IF(Table6[[#This Row],[Highest residue * CF*PF]]&gt;"","HR-RAC",
                             IF(Table6[[#This Row],[LOQ RAC individual crop]]="Y","LOQ","MRL")),"")</f>
        <v/>
      </c>
      <c r="AI437" s="1302" t="str">
        <f t="shared" si="268"/>
        <v/>
      </c>
      <c r="AJ437" s="1302" t="str">
        <f>IF(Table6[[#This Row],[Input value normal mode case 1, 2a/2b,Po]]&gt;0,IF(Table6[[#This Row],[label description]]&gt;"",Table6[[#This Row],[label description]],""),"")</f>
        <v/>
      </c>
      <c r="AK437" s="1302" t="str">
        <f>CONCATENATE(Table6[[#This Row],[label for IESTI normal mode case 1, 2a/2b,Po]],Table6[[#This Row],[label connector case  normal mode]],Table6[[#This Row],[label refinements normal mode case 1, 2a/2b,Po]])</f>
        <v/>
      </c>
      <c r="AL437" s="1287" t="str">
        <f>IF(AND(Table6[[#This Row],[Case for acute RA children / adults]]=3,Table6[[#This Row],[Post-harvest treatment]]=""),IF(AND(Table6[[#This Row],[LOQ RAC individual crop]]="Y",M436="N"),Table6[[#This Row],[MRL RAC individual commodity]],IF(Table6[[#This Row],[Median residue*CF*PF]]&gt;0,Table6[[#This Row],[Median residue*CF*PF]],IF(Table6[[#This Row],[MRL*CF*PF or LOQ (if not under assessment and LOQ)]]&gt;0,Table6[[#This Row],[MRL*CF*PF or LOQ (if not under assessment and LOQ)]],""))),"")</f>
        <v/>
      </c>
      <c r="AM437" s="1295" t="str">
        <f>IF(Table6[[#This Row],[input for case 3 normal mode]]&gt;0,IF(Table6[[#This Row],[Median residue*CF*PF]]&gt;0,"STMR-RAC",IF(AND($AC437&gt;0,NOT(V437="Y")),"MRL",IF($V437="Y","LOQ",""))),"")</f>
        <v/>
      </c>
      <c r="AN437" s="1295" t="str">
        <f t="shared" si="269"/>
        <v/>
      </c>
      <c r="AO437" s="1287" t="str">
        <f>IF(Table6[[#This Row],[input for case 3 normal mode]]="","",IF(AND(Table6[[#This Row],[label for case 3 calculation normal mode]]="LOQ",Table6[[#This Row],[GAP under assessment]]="N"),"",IF(Table6[[#This Row],[label description]]&gt;"",Table6[[#This Row],[label description]],"")))</f>
        <v/>
      </c>
      <c r="AP437" s="1287" t="str">
        <f>CONCATENATE(Table6[[#This Row],[label for case 3 calculation normal mode]],Table6[[#This Row],[label connector case 3 normal mode]],Table6[[#This Row],[label refinements case 3 normal mode]])</f>
        <v/>
      </c>
      <c r="AQ437" s="1287" t="str">
        <f>IF(Table6[[#This Row],[GAP under assessment]]="Y",Table6[[#This Row],[Input value normal mode case 1, 2a/2b,Po]],"")</f>
        <v/>
      </c>
      <c r="AR437" s="1287" t="str">
        <f>IF(Table6[[#This Row],[Input value refined mode case 1, 2a/2b,Po]]&gt;0,Table6[[#This Row],[concat label normal mode 1,2a/2b,Po ]],"")</f>
        <v/>
      </c>
      <c r="AS437" s="1303" t="str">
        <f>IF(Table6[[#This Row],[GAP under assessment]]="Y",Table6[[#This Row],[input for case 3 normal mode]],"")</f>
        <v/>
      </c>
      <c r="AT437" s="1287" t="str">
        <f>IF(Table6[[#This Row],[input for case 3 refined mode]]&gt;0,Table6[[#This Row],[concat label normal mode  case 3]],"")</f>
        <v/>
      </c>
      <c r="AU437" s="1295" t="str">
        <f>IF(Table6[[#This Row],[Input value normal mode case 1, 2a/2b,Po]]&gt;0,Table6[[#This Row],[Input value normal mode case 1, 2a/2b,Po]],Table6[[#This Row],[input for case 3 normal mode]])</f>
        <v/>
      </c>
      <c r="AV437" s="1295" t="str">
        <f>IF(Table6[[#This Row],[Input value normal mode case 1, 2a/2b,Po]]&gt;0,Table6[[#This Row],[concat label normal mode 1,2a/2b,Po ]],Table6[[#This Row],[concat label normal mode  case 3]])</f>
        <v/>
      </c>
      <c r="AW437" s="1295" t="str">
        <f>IF(Table6[[#This Row],[Input value refined mode case 1, 2a/2b,Po]]&gt;0,Table6[[#This Row],[Input value refined mode case 1, 2a/2b,Po]],Table6[[#This Row],[input for case 3 refined mode]])</f>
        <v/>
      </c>
      <c r="AX437" s="1295" t="str">
        <f>IF(Table6[[#This Row],[Input value refined mode case 1, 2a/2b,Po]]&gt;0,Table6[[#This Row],[concat label refined mode case 1,2a/2b,Po]],Table6[[#This Row],[label for case 3 calculation refined mode]])</f>
        <v/>
      </c>
      <c r="AY437" s="1287">
        <f t="shared" si="274"/>
        <v>0</v>
      </c>
      <c r="AZ437" s="1295" t="str">
        <f t="shared" si="270"/>
        <v/>
      </c>
      <c r="BA437" s="1295" t="str">
        <f t="shared" si="271"/>
        <v/>
      </c>
      <c r="BB437" s="1287" t="str">
        <f>IF(AND(Table6[[#This Row],[label for IESTI new normal mode]]="LOQ",Table6[[#This Row],[GAP under assessment]]="N"),"",IF(AND($H437&gt;0,$Y437&lt;&gt;1),"CF*PF",IF($H437&gt;0,"CF",IF($Y437&lt;&gt;1,"PF",""))))</f>
        <v/>
      </c>
      <c r="BC437" s="1296" t="s">
        <v>369</v>
      </c>
      <c r="BD437" s="1297"/>
      <c r="BE437" s="1304" t="str">
        <f>IF(Table6[[#This Row],[GAP under assessment]]="Y",Table6[[#This Row],[MRL*CF*PF or LOQ (if not under assessment and LOQ)]],"")</f>
        <v/>
      </c>
      <c r="BF437" s="1305" t="str">
        <f>IF(Table6[[#This Row],[Input for IESTI new refined mode]]&lt;&gt;"",CONCATENATE("MRL",Table6[[#This Row],[label connector case 3 normal mode]],Table6[[#This Row],[label refinements case 3 normal mode]]),"")</f>
        <v/>
      </c>
      <c r="BG437" s="1298" t="s">
        <v>515</v>
      </c>
      <c r="BH437" s="1306"/>
    </row>
    <row r="438" spans="1:60" s="11" customFormat="1" ht="12.75" customHeight="1" x14ac:dyDescent="0.2">
      <c r="A438" s="479" t="s">
        <v>504</v>
      </c>
      <c r="B438" s="480">
        <v>162030</v>
      </c>
      <c r="C438" s="547" t="s">
        <v>818</v>
      </c>
      <c r="D438" s="1261">
        <f>VLOOKUP(Table6[[#This Row],[Code no.]],$B$12:$D$390,3,FALSE)</f>
        <v>0</v>
      </c>
      <c r="E438" s="1264">
        <f t="shared" si="258"/>
        <v>0</v>
      </c>
      <c r="F438" s="1262" t="str">
        <f t="shared" si="272"/>
        <v/>
      </c>
      <c r="G438" s="1265">
        <f t="shared" si="259"/>
        <v>1</v>
      </c>
      <c r="H438" s="881"/>
      <c r="I438" s="880"/>
      <c r="J438" s="1269">
        <f t="shared" si="260"/>
        <v>0</v>
      </c>
      <c r="K438" s="1269">
        <f t="shared" si="261"/>
        <v>0</v>
      </c>
      <c r="L438" s="1270"/>
      <c r="M438" s="1271" t="str">
        <f t="shared" si="262"/>
        <v/>
      </c>
      <c r="N438" s="1272"/>
      <c r="O438" s="1273">
        <v>3</v>
      </c>
      <c r="P438" s="1273" t="str">
        <f>IF(OR($A$10=$BG$15,Results!$B$62=Results!$T$63),Table6[[#This Row],[label refine mode]],Table6[[#This Row],[label normal mode]])</f>
        <v/>
      </c>
      <c r="Q438" s="1257" t="str">
        <f>IF(OR($A$10=$BG$15,Results!$B$62=Results!$T$63),Table6[[#This Row],[input refined mode]],Table6[[#This Row],[Input normal mode]])</f>
        <v/>
      </c>
      <c r="R438" s="1275" t="str">
        <f>IF(Table6[[#This Row],[Acute RA IESTI new input value]]="","",CONCATENATE(Table6[[#This Row],[label for IESTI new normal mode]],Table6[[#This Row],[label connector IESTI new normal mode]],Table6[[#This Row],[label refinements normal mode]]))</f>
        <v/>
      </c>
      <c r="S438" s="1259">
        <f>IF(OR($A$10=$BG$15,Results!$B$62=Results!$T$63),Table6[[#This Row],[Input for IESTI new refined mode]],Table6[[#This Row],[Input for IESTI new normal mode]])</f>
        <v>0</v>
      </c>
      <c r="T438" s="888"/>
      <c r="U438" s="1283">
        <f t="shared" si="263"/>
        <v>0</v>
      </c>
      <c r="V438" s="1284" t="str">
        <f t="shared" si="273"/>
        <v/>
      </c>
      <c r="W438" s="1285">
        <f>IF($H438&gt;0,$H438,IF(Table6[[#This Row],[CFrisk for residue definition (applicable for unprocessed products)]]&gt;0,Table6[[#This Row],[CFrisk for residue definition (applicable for unprocessed products)]],1))</f>
        <v>1</v>
      </c>
      <c r="X438" s="1285">
        <v>1</v>
      </c>
      <c r="Y438" s="1285">
        <f t="shared" si="264"/>
        <v>1</v>
      </c>
      <c r="Z438" s="1285">
        <f t="shared" si="265"/>
        <v>1</v>
      </c>
      <c r="AA438" s="1285" t="str">
        <f>IF(Table6[[#This Row],[Post-harvest treatment]]="","","Y")</f>
        <v/>
      </c>
      <c r="AB438" s="1285" t="str">
        <f>IF(AND(Table6[[#This Row],[CF used for for calculation]]&lt;&gt;1,Table6[[#This Row],[PF for calculation]]&lt;&gt;1),"CF*PF",IF(Table6[[#This Row],[CF used for for calculation]]&lt;&gt;1,"CF",IF(Table6[[#This Row],[PF for calculation]]&lt;&gt;1,"PF","")))</f>
        <v/>
      </c>
      <c r="AC438" s="1300">
        <f>IF(AND(Table6[[#This Row],[LOQ RAC individual crop]]="Y",Table6[[#This Row],[GAP under assessment]]="N"),Table6[[#This Row],[MRL RAC individual commodity]],Table6[[#This Row],[MRL RAC individual commodity]]*Table6[[#This Row],[CF*PF for calculation]])</f>
        <v>0</v>
      </c>
      <c r="AD438" s="1287">
        <f t="shared" si="266"/>
        <v>0</v>
      </c>
      <c r="AE438" s="1287">
        <f t="shared" si="267"/>
        <v>0</v>
      </c>
      <c r="AF438" s="1288">
        <f>Table6[[#This Row],[IESTI case]]</f>
        <v>3</v>
      </c>
      <c r="AG438"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38" s="1302" t="str">
        <f>IF(Table6[[#This Row],[Input value normal mode case 1, 2a/2b,Po]]&gt;0,
              IF(Table6[[#This Row],[Highest residue * CF*PF]]&gt;"","HR-RAC",
                             IF(Table6[[#This Row],[LOQ RAC individual crop]]="Y","LOQ","MRL")),"")</f>
        <v/>
      </c>
      <c r="AI438" s="1302" t="str">
        <f t="shared" si="268"/>
        <v/>
      </c>
      <c r="AJ438" s="1302" t="str">
        <f>IF(Table6[[#This Row],[Input value normal mode case 1, 2a/2b,Po]]&gt;0,IF(Table6[[#This Row],[label description]]&gt;"",Table6[[#This Row],[label description]],""),"")</f>
        <v/>
      </c>
      <c r="AK438" s="1302" t="str">
        <f>CONCATENATE(Table6[[#This Row],[label for IESTI normal mode case 1, 2a/2b,Po]],Table6[[#This Row],[label connector case  normal mode]],Table6[[#This Row],[label refinements normal mode case 1, 2a/2b,Po]])</f>
        <v/>
      </c>
      <c r="AL438" s="1287" t="str">
        <f>IF(AND(Table6[[#This Row],[Case for acute RA children / adults]]=3,Table6[[#This Row],[Post-harvest treatment]]=""),IF(AND(Table6[[#This Row],[LOQ RAC individual crop]]="Y",M437="N"),Table6[[#This Row],[MRL RAC individual commodity]],IF(Table6[[#This Row],[Median residue*CF*PF]]&gt;0,Table6[[#This Row],[Median residue*CF*PF]],IF(Table6[[#This Row],[MRL*CF*PF or LOQ (if not under assessment and LOQ)]]&gt;0,Table6[[#This Row],[MRL*CF*PF or LOQ (if not under assessment and LOQ)]],""))),"")</f>
        <v/>
      </c>
      <c r="AM438" s="1295" t="str">
        <f>IF(Table6[[#This Row],[input for case 3 normal mode]]&gt;0,IF(Table6[[#This Row],[Median residue*CF*PF]]&gt;0,"STMR-RAC",IF(AND($AC438&gt;0,NOT(V438="Y")),"MRL",IF($V438="Y","LOQ",""))),"")</f>
        <v/>
      </c>
      <c r="AN438" s="1295" t="str">
        <f t="shared" si="269"/>
        <v/>
      </c>
      <c r="AO438" s="1287" t="str">
        <f>IF(Table6[[#This Row],[input for case 3 normal mode]]="","",IF(AND(Table6[[#This Row],[label for case 3 calculation normal mode]]="LOQ",Table6[[#This Row],[GAP under assessment]]="N"),"",IF(Table6[[#This Row],[label description]]&gt;"",Table6[[#This Row],[label description]],"")))</f>
        <v/>
      </c>
      <c r="AP438" s="1287" t="str">
        <f>CONCATENATE(Table6[[#This Row],[label for case 3 calculation normal mode]],Table6[[#This Row],[label connector case 3 normal mode]],Table6[[#This Row],[label refinements case 3 normal mode]])</f>
        <v/>
      </c>
      <c r="AQ438" s="1287" t="str">
        <f>IF(Table6[[#This Row],[GAP under assessment]]="Y",Table6[[#This Row],[Input value normal mode case 1, 2a/2b,Po]],"")</f>
        <v/>
      </c>
      <c r="AR438" s="1287" t="str">
        <f>IF(Table6[[#This Row],[Input value refined mode case 1, 2a/2b,Po]]&gt;0,Table6[[#This Row],[concat label normal mode 1,2a/2b,Po ]],"")</f>
        <v/>
      </c>
      <c r="AS438" s="1303" t="str">
        <f>IF(Table6[[#This Row],[GAP under assessment]]="Y",Table6[[#This Row],[input for case 3 normal mode]],"")</f>
        <v/>
      </c>
      <c r="AT438" s="1287" t="str">
        <f>IF(Table6[[#This Row],[input for case 3 refined mode]]&gt;0,Table6[[#This Row],[concat label normal mode  case 3]],"")</f>
        <v/>
      </c>
      <c r="AU438" s="1295" t="str">
        <f>IF(Table6[[#This Row],[Input value normal mode case 1, 2a/2b,Po]]&gt;0,Table6[[#This Row],[Input value normal mode case 1, 2a/2b,Po]],Table6[[#This Row],[input for case 3 normal mode]])</f>
        <v/>
      </c>
      <c r="AV438" s="1295" t="str">
        <f>IF(Table6[[#This Row],[Input value normal mode case 1, 2a/2b,Po]]&gt;0,Table6[[#This Row],[concat label normal mode 1,2a/2b,Po ]],Table6[[#This Row],[concat label normal mode  case 3]])</f>
        <v/>
      </c>
      <c r="AW438" s="1295" t="str">
        <f>IF(Table6[[#This Row],[Input value refined mode case 1, 2a/2b,Po]]&gt;0,Table6[[#This Row],[Input value refined mode case 1, 2a/2b,Po]],Table6[[#This Row],[input for case 3 refined mode]])</f>
        <v/>
      </c>
      <c r="AX438" s="1295" t="str">
        <f>IF(Table6[[#This Row],[Input value refined mode case 1, 2a/2b,Po]]&gt;0,Table6[[#This Row],[concat label refined mode case 1,2a/2b,Po]],Table6[[#This Row],[label for case 3 calculation refined mode]])</f>
        <v/>
      </c>
      <c r="AY438" s="1287">
        <f t="shared" si="274"/>
        <v>0</v>
      </c>
      <c r="AZ438" s="1295" t="str">
        <f t="shared" si="270"/>
        <v/>
      </c>
      <c r="BA438" s="1295" t="str">
        <f t="shared" si="271"/>
        <v/>
      </c>
      <c r="BB438" s="1287" t="str">
        <f>IF(AND(Table6[[#This Row],[label for IESTI new normal mode]]="LOQ",Table6[[#This Row],[GAP under assessment]]="N"),"",IF(AND($H438&gt;0,$Y438&lt;&gt;1),"CF*PF",IF($H438&gt;0,"CF",IF($Y438&lt;&gt;1,"PF",""))))</f>
        <v/>
      </c>
      <c r="BC438" s="1296" t="s">
        <v>369</v>
      </c>
      <c r="BD438" s="1297"/>
      <c r="BE438" s="1304" t="str">
        <f>IF(Table6[[#This Row],[GAP under assessment]]="Y",Table6[[#This Row],[MRL*CF*PF or LOQ (if not under assessment and LOQ)]],"")</f>
        <v/>
      </c>
      <c r="BF438" s="1305" t="str">
        <f>IF(Table6[[#This Row],[Input for IESTI new refined mode]]&lt;&gt;"",CONCATENATE("MRL",Table6[[#This Row],[label connector case 3 normal mode]],Table6[[#This Row],[label refinements case 3 normal mode]]),"")</f>
        <v/>
      </c>
      <c r="BG438" s="1298" t="s">
        <v>504</v>
      </c>
      <c r="BH438" s="1306"/>
    </row>
    <row r="439" spans="1:60" s="11" customFormat="1" ht="12.75" customHeight="1" x14ac:dyDescent="0.2">
      <c r="A439" s="479" t="s">
        <v>505</v>
      </c>
      <c r="B439" s="480">
        <v>163050</v>
      </c>
      <c r="C439" s="547" t="s">
        <v>819</v>
      </c>
      <c r="D439" s="1261">
        <f>VLOOKUP(Table6[[#This Row],[Code no.]],$B$12:$D$390,3,FALSE)</f>
        <v>0</v>
      </c>
      <c r="E439" s="1264">
        <f t="shared" si="258"/>
        <v>0</v>
      </c>
      <c r="F439" s="1262" t="str">
        <f t="shared" si="272"/>
        <v/>
      </c>
      <c r="G439" s="1265">
        <f t="shared" si="259"/>
        <v>1</v>
      </c>
      <c r="H439" s="881"/>
      <c r="I439" s="880"/>
      <c r="J439" s="1269">
        <f t="shared" si="260"/>
        <v>0</v>
      </c>
      <c r="K439" s="1269">
        <f t="shared" si="261"/>
        <v>0</v>
      </c>
      <c r="L439" s="1270"/>
      <c r="M439" s="1271" t="str">
        <f t="shared" si="262"/>
        <v/>
      </c>
      <c r="N439" s="1272"/>
      <c r="O439" s="1273">
        <v>3</v>
      </c>
      <c r="P439" s="1273" t="str">
        <f>IF(OR($A$10=$BG$15,Results!$B$62=Results!$T$63),Table6[[#This Row],[label refine mode]],Table6[[#This Row],[label normal mode]])</f>
        <v/>
      </c>
      <c r="Q439" s="1257" t="str">
        <f>IF(OR($A$10=$BG$15,Results!$B$62=Results!$T$63),Table6[[#This Row],[input refined mode]],Table6[[#This Row],[Input normal mode]])</f>
        <v/>
      </c>
      <c r="R439" s="1275" t="str">
        <f>IF(Table6[[#This Row],[Acute RA IESTI new input value]]="","",CONCATENATE(Table6[[#This Row],[label for IESTI new normal mode]],Table6[[#This Row],[label connector IESTI new normal mode]],Table6[[#This Row],[label refinements normal mode]]))</f>
        <v/>
      </c>
      <c r="S439" s="1259">
        <f>IF(OR($A$10=$BG$15,Results!$B$62=Results!$T$63),Table6[[#This Row],[Input for IESTI new refined mode]],Table6[[#This Row],[Input for IESTI new normal mode]])</f>
        <v>0</v>
      </c>
      <c r="T439" s="888"/>
      <c r="U439" s="1283">
        <f t="shared" si="263"/>
        <v>0</v>
      </c>
      <c r="V439" s="1284" t="str">
        <f t="shared" si="273"/>
        <v/>
      </c>
      <c r="W439" s="1285">
        <f>IF($H439&gt;0,$H439,IF(Table6[[#This Row],[CFrisk for residue definition (applicable for unprocessed products)]]&gt;0,Table6[[#This Row],[CFrisk for residue definition (applicable for unprocessed products)]],1))</f>
        <v>1</v>
      </c>
      <c r="X439" s="1285">
        <v>1</v>
      </c>
      <c r="Y439" s="1285">
        <f t="shared" si="264"/>
        <v>1</v>
      </c>
      <c r="Z439" s="1285">
        <f t="shared" si="265"/>
        <v>1</v>
      </c>
      <c r="AA439" s="1285" t="str">
        <f>IF(Table6[[#This Row],[Post-harvest treatment]]="","","Y")</f>
        <v/>
      </c>
      <c r="AB439" s="1285" t="str">
        <f>IF(AND(Table6[[#This Row],[CF used for for calculation]]&lt;&gt;1,Table6[[#This Row],[PF for calculation]]&lt;&gt;1),"CF*PF",IF(Table6[[#This Row],[CF used for for calculation]]&lt;&gt;1,"CF",IF(Table6[[#This Row],[PF for calculation]]&lt;&gt;1,"PF","")))</f>
        <v/>
      </c>
      <c r="AC439" s="1300">
        <f>IF(AND(Table6[[#This Row],[LOQ RAC individual crop]]="Y",Table6[[#This Row],[GAP under assessment]]="N"),Table6[[#This Row],[MRL RAC individual commodity]],Table6[[#This Row],[MRL RAC individual commodity]]*Table6[[#This Row],[CF*PF for calculation]])</f>
        <v>0</v>
      </c>
      <c r="AD439" s="1287">
        <f t="shared" si="266"/>
        <v>0</v>
      </c>
      <c r="AE439" s="1287">
        <f t="shared" si="267"/>
        <v>0</v>
      </c>
      <c r="AF439" s="1288">
        <f>Table6[[#This Row],[IESTI case]]</f>
        <v>3</v>
      </c>
      <c r="AG439"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39" s="1302" t="str">
        <f>IF(Table6[[#This Row],[Input value normal mode case 1, 2a/2b,Po]]&gt;0,
              IF(Table6[[#This Row],[Highest residue * CF*PF]]&gt;"","HR-RAC",
                             IF(Table6[[#This Row],[LOQ RAC individual crop]]="Y","LOQ","MRL")),"")</f>
        <v/>
      </c>
      <c r="AI439" s="1302" t="str">
        <f t="shared" si="268"/>
        <v/>
      </c>
      <c r="AJ439" s="1302" t="str">
        <f>IF(Table6[[#This Row],[Input value normal mode case 1, 2a/2b,Po]]&gt;0,IF(Table6[[#This Row],[label description]]&gt;"",Table6[[#This Row],[label description]],""),"")</f>
        <v/>
      </c>
      <c r="AK439" s="1302" t="str">
        <f>CONCATENATE(Table6[[#This Row],[label for IESTI normal mode case 1, 2a/2b,Po]],Table6[[#This Row],[label connector case  normal mode]],Table6[[#This Row],[label refinements normal mode case 1, 2a/2b,Po]])</f>
        <v/>
      </c>
      <c r="AL439" s="1287" t="str">
        <f>IF(AND(Table6[[#This Row],[Case for acute RA children / adults]]=3,Table6[[#This Row],[Post-harvest treatment]]=""),IF(AND(Table6[[#This Row],[LOQ RAC individual crop]]="Y",M438="N"),Table6[[#This Row],[MRL RAC individual commodity]],IF(Table6[[#This Row],[Median residue*CF*PF]]&gt;0,Table6[[#This Row],[Median residue*CF*PF]],IF(Table6[[#This Row],[MRL*CF*PF or LOQ (if not under assessment and LOQ)]]&gt;0,Table6[[#This Row],[MRL*CF*PF or LOQ (if not under assessment and LOQ)]],""))),"")</f>
        <v/>
      </c>
      <c r="AM439" s="1295" t="str">
        <f>IF(Table6[[#This Row],[input for case 3 normal mode]]&gt;0,IF(Table6[[#This Row],[Median residue*CF*PF]]&gt;0,"STMR-RAC",IF(AND($AC439&gt;0,NOT(V439="Y")),"MRL",IF($V439="Y","LOQ",""))),"")</f>
        <v/>
      </c>
      <c r="AN439" s="1295" t="str">
        <f t="shared" si="269"/>
        <v/>
      </c>
      <c r="AO439" s="1287" t="str">
        <f>IF(Table6[[#This Row],[input for case 3 normal mode]]="","",IF(AND(Table6[[#This Row],[label for case 3 calculation normal mode]]="LOQ",Table6[[#This Row],[GAP under assessment]]="N"),"",IF(Table6[[#This Row],[label description]]&gt;"",Table6[[#This Row],[label description]],"")))</f>
        <v/>
      </c>
      <c r="AP439" s="1287" t="str">
        <f>CONCATENATE(Table6[[#This Row],[label for case 3 calculation normal mode]],Table6[[#This Row],[label connector case 3 normal mode]],Table6[[#This Row],[label refinements case 3 normal mode]])</f>
        <v/>
      </c>
      <c r="AQ439" s="1287" t="str">
        <f>IF(Table6[[#This Row],[GAP under assessment]]="Y",Table6[[#This Row],[Input value normal mode case 1, 2a/2b,Po]],"")</f>
        <v/>
      </c>
      <c r="AR439" s="1287" t="str">
        <f>IF(Table6[[#This Row],[Input value refined mode case 1, 2a/2b,Po]]&gt;0,Table6[[#This Row],[concat label normal mode 1,2a/2b,Po ]],"")</f>
        <v/>
      </c>
      <c r="AS439" s="1303" t="str">
        <f>IF(Table6[[#This Row],[GAP under assessment]]="Y",Table6[[#This Row],[input for case 3 normal mode]],"")</f>
        <v/>
      </c>
      <c r="AT439" s="1287" t="str">
        <f>IF(Table6[[#This Row],[input for case 3 refined mode]]&gt;0,Table6[[#This Row],[concat label normal mode  case 3]],"")</f>
        <v/>
      </c>
      <c r="AU439" s="1295" t="str">
        <f>IF(Table6[[#This Row],[Input value normal mode case 1, 2a/2b,Po]]&gt;0,Table6[[#This Row],[Input value normal mode case 1, 2a/2b,Po]],Table6[[#This Row],[input for case 3 normal mode]])</f>
        <v/>
      </c>
      <c r="AV439" s="1295" t="str">
        <f>IF(Table6[[#This Row],[Input value normal mode case 1, 2a/2b,Po]]&gt;0,Table6[[#This Row],[concat label normal mode 1,2a/2b,Po ]],Table6[[#This Row],[concat label normal mode  case 3]])</f>
        <v/>
      </c>
      <c r="AW439" s="1295" t="str">
        <f>IF(Table6[[#This Row],[Input value refined mode case 1, 2a/2b,Po]]&gt;0,Table6[[#This Row],[Input value refined mode case 1, 2a/2b,Po]],Table6[[#This Row],[input for case 3 refined mode]])</f>
        <v/>
      </c>
      <c r="AX439" s="1295" t="str">
        <f>IF(Table6[[#This Row],[Input value refined mode case 1, 2a/2b,Po]]&gt;0,Table6[[#This Row],[concat label refined mode case 1,2a/2b,Po]],Table6[[#This Row],[label for case 3 calculation refined mode]])</f>
        <v/>
      </c>
      <c r="AY439" s="1287">
        <f t="shared" si="274"/>
        <v>0</v>
      </c>
      <c r="AZ439" s="1295" t="str">
        <f t="shared" si="270"/>
        <v/>
      </c>
      <c r="BA439" s="1295" t="str">
        <f t="shared" si="271"/>
        <v/>
      </c>
      <c r="BB439" s="1287" t="str">
        <f>IF(AND(Table6[[#This Row],[label for IESTI new normal mode]]="LOQ",Table6[[#This Row],[GAP under assessment]]="N"),"",IF(AND($H439&gt;0,$Y439&lt;&gt;1),"CF*PF",IF($H439&gt;0,"CF",IF($Y439&lt;&gt;1,"PF",""))))</f>
        <v/>
      </c>
      <c r="BC439" s="1296" t="s">
        <v>369</v>
      </c>
      <c r="BD439" s="1297"/>
      <c r="BE439" s="1304" t="str">
        <f>IF(Table6[[#This Row],[GAP under assessment]]="Y",Table6[[#This Row],[MRL*CF*PF or LOQ (if not under assessment and LOQ)]],"")</f>
        <v/>
      </c>
      <c r="BF439" s="1305" t="str">
        <f>IF(Table6[[#This Row],[Input for IESTI new refined mode]]&lt;&gt;"",CONCATENATE("MRL",Table6[[#This Row],[label connector case 3 normal mode]],Table6[[#This Row],[label refinements case 3 normal mode]]),"")</f>
        <v/>
      </c>
      <c r="BG439" s="1298" t="s">
        <v>505</v>
      </c>
      <c r="BH439" s="1306"/>
    </row>
    <row r="440" spans="1:60" s="11" customFormat="1" ht="12.75" customHeight="1" x14ac:dyDescent="0.2">
      <c r="A440" s="479" t="s">
        <v>506</v>
      </c>
      <c r="B440" s="480">
        <v>163070</v>
      </c>
      <c r="C440" s="547" t="s">
        <v>820</v>
      </c>
      <c r="D440" s="1261">
        <f>VLOOKUP(Table6[[#This Row],[Code no.]],$B$12:$D$390,3,FALSE)</f>
        <v>0</v>
      </c>
      <c r="E440" s="1264">
        <f t="shared" si="258"/>
        <v>0</v>
      </c>
      <c r="F440" s="1262" t="str">
        <f t="shared" si="272"/>
        <v/>
      </c>
      <c r="G440" s="1265">
        <f t="shared" si="259"/>
        <v>1</v>
      </c>
      <c r="H440" s="881"/>
      <c r="I440" s="880"/>
      <c r="J440" s="1269">
        <f t="shared" si="260"/>
        <v>0</v>
      </c>
      <c r="K440" s="1269">
        <f t="shared" si="261"/>
        <v>0</v>
      </c>
      <c r="L440" s="1270"/>
      <c r="M440" s="1271" t="str">
        <f t="shared" si="262"/>
        <v/>
      </c>
      <c r="N440" s="1272"/>
      <c r="O440" s="1273">
        <v>3</v>
      </c>
      <c r="P440" s="1273" t="str">
        <f>IF(OR($A$10=$BG$15,Results!$B$62=Results!$T$63),Table6[[#This Row],[label refine mode]],Table6[[#This Row],[label normal mode]])</f>
        <v/>
      </c>
      <c r="Q440" s="1257" t="str">
        <f>IF(OR($A$10=$BG$15,Results!$B$62=Results!$T$63),Table6[[#This Row],[input refined mode]],Table6[[#This Row],[Input normal mode]])</f>
        <v/>
      </c>
      <c r="R440" s="1275" t="str">
        <f>IF(Table6[[#This Row],[Acute RA IESTI new input value]]="","",CONCATENATE(Table6[[#This Row],[label for IESTI new normal mode]],Table6[[#This Row],[label connector IESTI new normal mode]],Table6[[#This Row],[label refinements normal mode]]))</f>
        <v/>
      </c>
      <c r="S440" s="1259">
        <f>IF(OR($A$10=$BG$15,Results!$B$62=Results!$T$63),Table6[[#This Row],[Input for IESTI new refined mode]],Table6[[#This Row],[Input for IESTI new normal mode]])</f>
        <v>0</v>
      </c>
      <c r="T440" s="888"/>
      <c r="U440" s="1283">
        <f t="shared" si="263"/>
        <v>0</v>
      </c>
      <c r="V440" s="1284" t="str">
        <f t="shared" si="273"/>
        <v/>
      </c>
      <c r="W440" s="1285">
        <f>IF($H440&gt;0,$H440,IF(Table6[[#This Row],[CFrisk for residue definition (applicable for unprocessed products)]]&gt;0,Table6[[#This Row],[CFrisk for residue definition (applicable for unprocessed products)]],1))</f>
        <v>1</v>
      </c>
      <c r="X440" s="1285">
        <v>1</v>
      </c>
      <c r="Y440" s="1285">
        <f t="shared" si="264"/>
        <v>1</v>
      </c>
      <c r="Z440" s="1285">
        <f t="shared" si="265"/>
        <v>1</v>
      </c>
      <c r="AA440" s="1285" t="str">
        <f>IF(Table6[[#This Row],[Post-harvest treatment]]="","","Y")</f>
        <v/>
      </c>
      <c r="AB440" s="1285" t="str">
        <f>IF(AND(Table6[[#This Row],[CF used for for calculation]]&lt;&gt;1,Table6[[#This Row],[PF for calculation]]&lt;&gt;1),"CF*PF",IF(Table6[[#This Row],[CF used for for calculation]]&lt;&gt;1,"CF",IF(Table6[[#This Row],[PF for calculation]]&lt;&gt;1,"PF","")))</f>
        <v/>
      </c>
      <c r="AC440" s="1300">
        <f>IF(AND(Table6[[#This Row],[LOQ RAC individual crop]]="Y",Table6[[#This Row],[GAP under assessment]]="N"),Table6[[#This Row],[MRL RAC individual commodity]],Table6[[#This Row],[MRL RAC individual commodity]]*Table6[[#This Row],[CF*PF for calculation]])</f>
        <v>0</v>
      </c>
      <c r="AD440" s="1287">
        <f t="shared" si="266"/>
        <v>0</v>
      </c>
      <c r="AE440" s="1287">
        <f t="shared" si="267"/>
        <v>0</v>
      </c>
      <c r="AF440" s="1288">
        <f>Table6[[#This Row],[IESTI case]]</f>
        <v>3</v>
      </c>
      <c r="AG440"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40" s="1302" t="str">
        <f>IF(Table6[[#This Row],[Input value normal mode case 1, 2a/2b,Po]]&gt;0,
              IF(Table6[[#This Row],[Highest residue * CF*PF]]&gt;"","HR-RAC",
                             IF(Table6[[#This Row],[LOQ RAC individual crop]]="Y","LOQ","MRL")),"")</f>
        <v/>
      </c>
      <c r="AI440" s="1302" t="str">
        <f t="shared" si="268"/>
        <v/>
      </c>
      <c r="AJ440" s="1302" t="str">
        <f>IF(Table6[[#This Row],[Input value normal mode case 1, 2a/2b,Po]]&gt;0,IF(Table6[[#This Row],[label description]]&gt;"",Table6[[#This Row],[label description]],""),"")</f>
        <v/>
      </c>
      <c r="AK440" s="1302" t="str">
        <f>CONCATENATE(Table6[[#This Row],[label for IESTI normal mode case 1, 2a/2b,Po]],Table6[[#This Row],[label connector case  normal mode]],Table6[[#This Row],[label refinements normal mode case 1, 2a/2b,Po]])</f>
        <v/>
      </c>
      <c r="AL440" s="1287" t="str">
        <f>IF(AND(Table6[[#This Row],[Case for acute RA children / adults]]=3,Table6[[#This Row],[Post-harvest treatment]]=""),IF(AND(Table6[[#This Row],[LOQ RAC individual crop]]="Y",M439="N"),Table6[[#This Row],[MRL RAC individual commodity]],IF(Table6[[#This Row],[Median residue*CF*PF]]&gt;0,Table6[[#This Row],[Median residue*CF*PF]],IF(Table6[[#This Row],[MRL*CF*PF or LOQ (if not under assessment and LOQ)]]&gt;0,Table6[[#This Row],[MRL*CF*PF or LOQ (if not under assessment and LOQ)]],""))),"")</f>
        <v/>
      </c>
      <c r="AM440" s="1295" t="str">
        <f>IF(Table6[[#This Row],[input for case 3 normal mode]]&gt;0,IF(Table6[[#This Row],[Median residue*CF*PF]]&gt;0,"STMR-RAC",IF(AND($AC440&gt;0,NOT(V440="Y")),"MRL",IF($V440="Y","LOQ",""))),"")</f>
        <v/>
      </c>
      <c r="AN440" s="1295" t="str">
        <f t="shared" si="269"/>
        <v/>
      </c>
      <c r="AO440" s="1287" t="str">
        <f>IF(Table6[[#This Row],[input for case 3 normal mode]]="","",IF(AND(Table6[[#This Row],[label for case 3 calculation normal mode]]="LOQ",Table6[[#This Row],[GAP under assessment]]="N"),"",IF(Table6[[#This Row],[label description]]&gt;"",Table6[[#This Row],[label description]],"")))</f>
        <v/>
      </c>
      <c r="AP440" s="1287" t="str">
        <f>CONCATENATE(Table6[[#This Row],[label for case 3 calculation normal mode]],Table6[[#This Row],[label connector case 3 normal mode]],Table6[[#This Row],[label refinements case 3 normal mode]])</f>
        <v/>
      </c>
      <c r="AQ440" s="1287" t="str">
        <f>IF(Table6[[#This Row],[GAP under assessment]]="Y",Table6[[#This Row],[Input value normal mode case 1, 2a/2b,Po]],"")</f>
        <v/>
      </c>
      <c r="AR440" s="1287" t="str">
        <f>IF(Table6[[#This Row],[Input value refined mode case 1, 2a/2b,Po]]&gt;0,Table6[[#This Row],[concat label normal mode 1,2a/2b,Po ]],"")</f>
        <v/>
      </c>
      <c r="AS440" s="1303" t="str">
        <f>IF(Table6[[#This Row],[GAP under assessment]]="Y",Table6[[#This Row],[input for case 3 normal mode]],"")</f>
        <v/>
      </c>
      <c r="AT440" s="1287" t="str">
        <f>IF(Table6[[#This Row],[input for case 3 refined mode]]&gt;0,Table6[[#This Row],[concat label normal mode  case 3]],"")</f>
        <v/>
      </c>
      <c r="AU440" s="1295" t="str">
        <f>IF(Table6[[#This Row],[Input value normal mode case 1, 2a/2b,Po]]&gt;0,Table6[[#This Row],[Input value normal mode case 1, 2a/2b,Po]],Table6[[#This Row],[input for case 3 normal mode]])</f>
        <v/>
      </c>
      <c r="AV440" s="1295" t="str">
        <f>IF(Table6[[#This Row],[Input value normal mode case 1, 2a/2b,Po]]&gt;0,Table6[[#This Row],[concat label normal mode 1,2a/2b,Po ]],Table6[[#This Row],[concat label normal mode  case 3]])</f>
        <v/>
      </c>
      <c r="AW440" s="1295" t="str">
        <f>IF(Table6[[#This Row],[Input value refined mode case 1, 2a/2b,Po]]&gt;0,Table6[[#This Row],[Input value refined mode case 1, 2a/2b,Po]],Table6[[#This Row],[input for case 3 refined mode]])</f>
        <v/>
      </c>
      <c r="AX440" s="1295" t="str">
        <f>IF(Table6[[#This Row],[Input value refined mode case 1, 2a/2b,Po]]&gt;0,Table6[[#This Row],[concat label refined mode case 1,2a/2b,Po]],Table6[[#This Row],[label for case 3 calculation refined mode]])</f>
        <v/>
      </c>
      <c r="AY440" s="1287">
        <f t="shared" si="274"/>
        <v>0</v>
      </c>
      <c r="AZ440" s="1295" t="str">
        <f t="shared" si="270"/>
        <v/>
      </c>
      <c r="BA440" s="1295" t="str">
        <f t="shared" si="271"/>
        <v/>
      </c>
      <c r="BB440" s="1287" t="str">
        <f>IF(AND(Table6[[#This Row],[label for IESTI new normal mode]]="LOQ",Table6[[#This Row],[GAP under assessment]]="N"),"",IF(AND($H440&gt;0,$Y440&lt;&gt;1),"CF*PF",IF($H440&gt;0,"CF",IF($Y440&lt;&gt;1,"PF",""))))</f>
        <v/>
      </c>
      <c r="BC440" s="1296" t="s">
        <v>369</v>
      </c>
      <c r="BD440" s="1297"/>
      <c r="BE440" s="1304" t="str">
        <f>IF(Table6[[#This Row],[GAP under assessment]]="Y",Table6[[#This Row],[MRL*CF*PF or LOQ (if not under assessment and LOQ)]],"")</f>
        <v/>
      </c>
      <c r="BF440" s="1305" t="str">
        <f>IF(Table6[[#This Row],[Input for IESTI new refined mode]]&lt;&gt;"",CONCATENATE("MRL",Table6[[#This Row],[label connector case 3 normal mode]],Table6[[#This Row],[label refinements case 3 normal mode]]),"")</f>
        <v/>
      </c>
      <c r="BG440" s="1298" t="s">
        <v>506</v>
      </c>
      <c r="BH440" s="1306"/>
    </row>
    <row r="441" spans="1:60" s="11" customFormat="1" ht="12.75" customHeight="1" x14ac:dyDescent="0.2">
      <c r="A441" s="479" t="s">
        <v>507</v>
      </c>
      <c r="B441" s="480">
        <v>163080</v>
      </c>
      <c r="C441" s="547" t="s">
        <v>422</v>
      </c>
      <c r="D441" s="1261">
        <f>VLOOKUP(Table6[[#This Row],[Code no.]],$B$12:$D$390,3,FALSE)</f>
        <v>0</v>
      </c>
      <c r="E441" s="1264">
        <f t="shared" si="258"/>
        <v>0</v>
      </c>
      <c r="F441" s="1262" t="str">
        <f t="shared" si="272"/>
        <v/>
      </c>
      <c r="G441" s="1265">
        <f t="shared" si="259"/>
        <v>1</v>
      </c>
      <c r="H441" s="881"/>
      <c r="I441" s="880"/>
      <c r="J441" s="1269">
        <f t="shared" si="260"/>
        <v>0</v>
      </c>
      <c r="K441" s="1269">
        <f t="shared" si="261"/>
        <v>0</v>
      </c>
      <c r="L441" s="1270"/>
      <c r="M441" s="1271" t="str">
        <f t="shared" si="262"/>
        <v/>
      </c>
      <c r="N441" s="1272"/>
      <c r="O441" s="1273">
        <v>3</v>
      </c>
      <c r="P441" s="1273" t="str">
        <f>IF(OR($A$10=$BG$15,Results!$B$62=Results!$T$63),Table6[[#This Row],[label refine mode]],Table6[[#This Row],[label normal mode]])</f>
        <v/>
      </c>
      <c r="Q441" s="1257" t="str">
        <f>IF(OR($A$10=$BG$15,Results!$B$62=Results!$T$63),Table6[[#This Row],[input refined mode]],Table6[[#This Row],[Input normal mode]])</f>
        <v/>
      </c>
      <c r="R441" s="1275" t="str">
        <f>IF(Table6[[#This Row],[Acute RA IESTI new input value]]="","",CONCATENATE(Table6[[#This Row],[label for IESTI new normal mode]],Table6[[#This Row],[label connector IESTI new normal mode]],Table6[[#This Row],[label refinements normal mode]]))</f>
        <v/>
      </c>
      <c r="S441" s="1259">
        <f>IF(OR($A$10=$BG$15,Results!$B$62=Results!$T$63),Table6[[#This Row],[Input for IESTI new refined mode]],Table6[[#This Row],[Input for IESTI new normal mode]])</f>
        <v>0</v>
      </c>
      <c r="T441" s="888"/>
      <c r="U441" s="1283">
        <f t="shared" si="263"/>
        <v>0</v>
      </c>
      <c r="V441" s="1284" t="str">
        <f t="shared" si="273"/>
        <v/>
      </c>
      <c r="W441" s="1285">
        <f>IF($H441&gt;0,$H441,IF(Table6[[#This Row],[CFrisk for residue definition (applicable for unprocessed products)]]&gt;0,Table6[[#This Row],[CFrisk for residue definition (applicable for unprocessed products)]],1))</f>
        <v>1</v>
      </c>
      <c r="X441" s="1285">
        <v>1</v>
      </c>
      <c r="Y441" s="1285">
        <f t="shared" si="264"/>
        <v>1</v>
      </c>
      <c r="Z441" s="1285">
        <f t="shared" si="265"/>
        <v>1</v>
      </c>
      <c r="AA441" s="1285" t="str">
        <f>IF(Table6[[#This Row],[Post-harvest treatment]]="","","Y")</f>
        <v/>
      </c>
      <c r="AB441" s="1285" t="str">
        <f>IF(AND(Table6[[#This Row],[CF used for for calculation]]&lt;&gt;1,Table6[[#This Row],[PF for calculation]]&lt;&gt;1),"CF*PF",IF(Table6[[#This Row],[CF used for for calculation]]&lt;&gt;1,"CF",IF(Table6[[#This Row],[PF for calculation]]&lt;&gt;1,"PF","")))</f>
        <v/>
      </c>
      <c r="AC441" s="1300">
        <f>IF(AND(Table6[[#This Row],[LOQ RAC individual crop]]="Y",Table6[[#This Row],[GAP under assessment]]="N"),Table6[[#This Row],[MRL RAC individual commodity]],Table6[[#This Row],[MRL RAC individual commodity]]*Table6[[#This Row],[CF*PF for calculation]])</f>
        <v>0</v>
      </c>
      <c r="AD441" s="1287">
        <f t="shared" si="266"/>
        <v>0</v>
      </c>
      <c r="AE441" s="1287">
        <f t="shared" si="267"/>
        <v>0</v>
      </c>
      <c r="AF441" s="1288">
        <f>Table6[[#This Row],[IESTI case]]</f>
        <v>3</v>
      </c>
      <c r="AG441"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41" s="1302" t="str">
        <f>IF(Table6[[#This Row],[Input value normal mode case 1, 2a/2b,Po]]&gt;0,
              IF(Table6[[#This Row],[Highest residue * CF*PF]]&gt;"","HR-RAC",
                             IF(Table6[[#This Row],[LOQ RAC individual crop]]="Y","LOQ","MRL")),"")</f>
        <v/>
      </c>
      <c r="AI441" s="1302" t="str">
        <f t="shared" si="268"/>
        <v/>
      </c>
      <c r="AJ441" s="1302" t="str">
        <f>IF(Table6[[#This Row],[Input value normal mode case 1, 2a/2b,Po]]&gt;0,IF(Table6[[#This Row],[label description]]&gt;"",Table6[[#This Row],[label description]],""),"")</f>
        <v/>
      </c>
      <c r="AK441" s="1302" t="str">
        <f>CONCATENATE(Table6[[#This Row],[label for IESTI normal mode case 1, 2a/2b,Po]],Table6[[#This Row],[label connector case  normal mode]],Table6[[#This Row],[label refinements normal mode case 1, 2a/2b,Po]])</f>
        <v/>
      </c>
      <c r="AL441" s="1287" t="str">
        <f>IF(AND(Table6[[#This Row],[Case for acute RA children / adults]]=3,Table6[[#This Row],[Post-harvest treatment]]=""),IF(AND(Table6[[#This Row],[LOQ RAC individual crop]]="Y",M440="N"),Table6[[#This Row],[MRL RAC individual commodity]],IF(Table6[[#This Row],[Median residue*CF*PF]]&gt;0,Table6[[#This Row],[Median residue*CF*PF]],IF(Table6[[#This Row],[MRL*CF*PF or LOQ (if not under assessment and LOQ)]]&gt;0,Table6[[#This Row],[MRL*CF*PF or LOQ (if not under assessment and LOQ)]],""))),"")</f>
        <v/>
      </c>
      <c r="AM441" s="1295" t="str">
        <f>IF(Table6[[#This Row],[input for case 3 normal mode]]&gt;0,IF(Table6[[#This Row],[Median residue*CF*PF]]&gt;0,"STMR-RAC",IF(AND($AC441&gt;0,NOT(V441="Y")),"MRL",IF($V441="Y","LOQ",""))),"")</f>
        <v/>
      </c>
      <c r="AN441" s="1295" t="str">
        <f t="shared" si="269"/>
        <v/>
      </c>
      <c r="AO441" s="1287" t="str">
        <f>IF(Table6[[#This Row],[input for case 3 normal mode]]="","",IF(AND(Table6[[#This Row],[label for case 3 calculation normal mode]]="LOQ",Table6[[#This Row],[GAP under assessment]]="N"),"",IF(Table6[[#This Row],[label description]]&gt;"",Table6[[#This Row],[label description]],"")))</f>
        <v/>
      </c>
      <c r="AP441" s="1287" t="str">
        <f>CONCATENATE(Table6[[#This Row],[label for case 3 calculation normal mode]],Table6[[#This Row],[label connector case 3 normal mode]],Table6[[#This Row],[label refinements case 3 normal mode]])</f>
        <v/>
      </c>
      <c r="AQ441" s="1287" t="str">
        <f>IF(Table6[[#This Row],[GAP under assessment]]="Y",Table6[[#This Row],[Input value normal mode case 1, 2a/2b,Po]],"")</f>
        <v/>
      </c>
      <c r="AR441" s="1287" t="str">
        <f>IF(Table6[[#This Row],[Input value refined mode case 1, 2a/2b,Po]]&gt;0,Table6[[#This Row],[concat label normal mode 1,2a/2b,Po ]],"")</f>
        <v/>
      </c>
      <c r="AS441" s="1303" t="str">
        <f>IF(Table6[[#This Row],[GAP under assessment]]="Y",Table6[[#This Row],[input for case 3 normal mode]],"")</f>
        <v/>
      </c>
      <c r="AT441" s="1287" t="str">
        <f>IF(Table6[[#This Row],[input for case 3 refined mode]]&gt;0,Table6[[#This Row],[concat label normal mode  case 3]],"")</f>
        <v/>
      </c>
      <c r="AU441" s="1295" t="str">
        <f>IF(Table6[[#This Row],[Input value normal mode case 1, 2a/2b,Po]]&gt;0,Table6[[#This Row],[Input value normal mode case 1, 2a/2b,Po]],Table6[[#This Row],[input for case 3 normal mode]])</f>
        <v/>
      </c>
      <c r="AV441" s="1295" t="str">
        <f>IF(Table6[[#This Row],[Input value normal mode case 1, 2a/2b,Po]]&gt;0,Table6[[#This Row],[concat label normal mode 1,2a/2b,Po ]],Table6[[#This Row],[concat label normal mode  case 3]])</f>
        <v/>
      </c>
      <c r="AW441" s="1295" t="str">
        <f>IF(Table6[[#This Row],[Input value refined mode case 1, 2a/2b,Po]]&gt;0,Table6[[#This Row],[Input value refined mode case 1, 2a/2b,Po]],Table6[[#This Row],[input for case 3 refined mode]])</f>
        <v/>
      </c>
      <c r="AX441" s="1295" t="str">
        <f>IF(Table6[[#This Row],[Input value refined mode case 1, 2a/2b,Po]]&gt;0,Table6[[#This Row],[concat label refined mode case 1,2a/2b,Po]],Table6[[#This Row],[label for case 3 calculation refined mode]])</f>
        <v/>
      </c>
      <c r="AY441" s="1287">
        <f t="shared" si="274"/>
        <v>0</v>
      </c>
      <c r="AZ441" s="1295" t="str">
        <f t="shared" si="270"/>
        <v/>
      </c>
      <c r="BA441" s="1295" t="str">
        <f t="shared" si="271"/>
        <v/>
      </c>
      <c r="BB441" s="1287" t="str">
        <f>IF(AND(Table6[[#This Row],[label for IESTI new normal mode]]="LOQ",Table6[[#This Row],[GAP under assessment]]="N"),"",IF(AND($H441&gt;0,$Y441&lt;&gt;1),"CF*PF",IF($H441&gt;0,"CF",IF($Y441&lt;&gt;1,"PF",""))))</f>
        <v/>
      </c>
      <c r="BC441" s="1296" t="s">
        <v>369</v>
      </c>
      <c r="BD441" s="1297"/>
      <c r="BE441" s="1304" t="str">
        <f>IF(Table6[[#This Row],[GAP under assessment]]="Y",Table6[[#This Row],[MRL*CF*PF or LOQ (if not under assessment and LOQ)]],"")</f>
        <v/>
      </c>
      <c r="BF441" s="1305" t="str">
        <f>IF(Table6[[#This Row],[Input for IESTI new refined mode]]&lt;&gt;"",CONCATENATE("MRL",Table6[[#This Row],[label connector case 3 normal mode]],Table6[[#This Row],[label refinements case 3 normal mode]]),"")</f>
        <v/>
      </c>
      <c r="BG441" s="1298" t="s">
        <v>507</v>
      </c>
      <c r="BH441" s="1306"/>
    </row>
    <row r="442" spans="1:60" s="11" customFormat="1" ht="12.75" customHeight="1" x14ac:dyDescent="0.2">
      <c r="A442" s="479" t="s">
        <v>516</v>
      </c>
      <c r="B442" s="480">
        <v>163080</v>
      </c>
      <c r="C442" s="547" t="s">
        <v>391</v>
      </c>
      <c r="D442" s="1261">
        <f>VLOOKUP(Table6[[#This Row],[Code no.]],$B$12:$D$390,3,FALSE)</f>
        <v>0</v>
      </c>
      <c r="E442" s="1264">
        <f t="shared" si="258"/>
        <v>0</v>
      </c>
      <c r="F442" s="1262" t="str">
        <f t="shared" si="272"/>
        <v/>
      </c>
      <c r="G442" s="1265">
        <f t="shared" si="259"/>
        <v>1</v>
      </c>
      <c r="H442" s="881"/>
      <c r="I442" s="880"/>
      <c r="J442" s="1269">
        <f t="shared" si="260"/>
        <v>0</v>
      </c>
      <c r="K442" s="1269">
        <f t="shared" si="261"/>
        <v>0</v>
      </c>
      <c r="L442" s="1276" t="str">
        <f>IF(VLOOKUP($B442,$B$12:$AY$390,$K$2,FALSE)&gt;"",VLOOKUP($B442,$B$12:$AY$390,$K$2,FALSE),"")</f>
        <v/>
      </c>
      <c r="M442" s="1271" t="str">
        <f t="shared" si="262"/>
        <v/>
      </c>
      <c r="N442" s="1272"/>
      <c r="O442" s="1273" t="s">
        <v>654</v>
      </c>
      <c r="P442" s="1273" t="str">
        <f>IF(OR($A$10=$BG$15,Results!$B$62=Results!$T$63),Table6[[#This Row],[label refine mode]],Table6[[#This Row],[label normal mode]])</f>
        <v/>
      </c>
      <c r="Q442" s="1257" t="str">
        <f>IF(OR($A$10=$BG$15,Results!$B$62=Results!$T$63),Table6[[#This Row],[input refined mode]],Table6[[#This Row],[Input normal mode]])</f>
        <v/>
      </c>
      <c r="R442" s="1275" t="str">
        <f>IF(Table6[[#This Row],[Acute RA IESTI new input value]]="","",CONCATENATE(Table6[[#This Row],[label for IESTI new normal mode]],Table6[[#This Row],[label connector IESTI new normal mode]],Table6[[#This Row],[label refinements normal mode]]))</f>
        <v/>
      </c>
      <c r="S442" s="1259">
        <f>IF(OR($A$10=$BG$15,Results!$B$62=Results!$T$63),Table6[[#This Row],[Input for IESTI new refined mode]],Table6[[#This Row],[Input for IESTI new normal mode]])</f>
        <v>0</v>
      </c>
      <c r="T442" s="888"/>
      <c r="U442" s="1283">
        <f t="shared" si="263"/>
        <v>0</v>
      </c>
      <c r="V442" s="1284" t="str">
        <f t="shared" si="273"/>
        <v/>
      </c>
      <c r="W442" s="1285">
        <f>IF($H442&gt;0,$H442,IF(Table6[[#This Row],[CFrisk for residue definition (applicable for unprocessed products)]]&gt;0,Table6[[#This Row],[CFrisk for residue definition (applicable for unprocessed products)]],1))</f>
        <v>1</v>
      </c>
      <c r="X442" s="1285">
        <v>1</v>
      </c>
      <c r="Y442" s="1285">
        <f t="shared" si="264"/>
        <v>1</v>
      </c>
      <c r="Z442" s="1285">
        <f t="shared" si="265"/>
        <v>1</v>
      </c>
      <c r="AA442" s="1285" t="str">
        <f>IF(Table6[[#This Row],[Post-harvest treatment]]="","","Y")</f>
        <v/>
      </c>
      <c r="AB442" s="1285" t="str">
        <f>IF(AND(Table6[[#This Row],[CF used for for calculation]]&lt;&gt;1,Table6[[#This Row],[PF for calculation]]&lt;&gt;1),"CF*PF",IF(Table6[[#This Row],[CF used for for calculation]]&lt;&gt;1,"CF",IF(Table6[[#This Row],[PF for calculation]]&lt;&gt;1,"PF","")))</f>
        <v/>
      </c>
      <c r="AC442" s="1300">
        <f>IF(AND(Table6[[#This Row],[LOQ RAC individual crop]]="Y",Table6[[#This Row],[GAP under assessment]]="N"),Table6[[#This Row],[MRL RAC individual commodity]],Table6[[#This Row],[MRL RAC individual commodity]]*Table6[[#This Row],[CF*PF for calculation]])</f>
        <v>0</v>
      </c>
      <c r="AD442" s="1287">
        <f t="shared" si="266"/>
        <v>0</v>
      </c>
      <c r="AE442" s="1287">
        <f t="shared" si="267"/>
        <v>0</v>
      </c>
      <c r="AF442" s="1307" t="str">
        <f>Table6[[#This Row],[IESTI case]]</f>
        <v>2a/2b</v>
      </c>
      <c r="AG442"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42" s="1302" t="str">
        <f>IF(Table6[[#This Row],[Input value normal mode case 1, 2a/2b,Po]]&gt;0,
              IF(Table6[[#This Row],[Highest residue * CF*PF]]&gt;"","HR-RAC",
                             IF(Table6[[#This Row],[LOQ RAC individual crop]]="Y","LOQ","MRL")),"")</f>
        <v/>
      </c>
      <c r="AI442" s="1302" t="str">
        <f t="shared" si="268"/>
        <v/>
      </c>
      <c r="AJ442" s="1302" t="str">
        <f>IF(Table6[[#This Row],[Input value normal mode case 1, 2a/2b,Po]]&gt;0,IF(Table6[[#This Row],[label description]]&gt;"",Table6[[#This Row],[label description]],""),"")</f>
        <v/>
      </c>
      <c r="AK442" s="1302" t="str">
        <f>CONCATENATE(Table6[[#This Row],[label for IESTI normal mode case 1, 2a/2b,Po]],Table6[[#This Row],[label connector case  normal mode]],Table6[[#This Row],[label refinements normal mode case 1, 2a/2b,Po]])</f>
        <v/>
      </c>
      <c r="AL442" s="1287" t="str">
        <f>IF(AND(Table6[[#This Row],[Case for acute RA children / adults]]=3,Table6[[#This Row],[Post-harvest treatment]]=""),IF(AND(Table6[[#This Row],[LOQ RAC individual crop]]="Y",M441="N"),Table6[[#This Row],[MRL RAC individual commodity]],IF(Table6[[#This Row],[Median residue*CF*PF]]&gt;0,Table6[[#This Row],[Median residue*CF*PF]],IF(Table6[[#This Row],[MRL*CF*PF or LOQ (if not under assessment and LOQ)]]&gt;0,Table6[[#This Row],[MRL*CF*PF or LOQ (if not under assessment and LOQ)]],""))),"")</f>
        <v/>
      </c>
      <c r="AM442" s="1295" t="str">
        <f>IF(Table6[[#This Row],[input for case 3 normal mode]]&gt;0,IF(Table6[[#This Row],[Median residue*CF*PF]]&gt;0,"STMR-RAC",IF(AND($AC442&gt;0,NOT(V442="Y")),"MRL",IF($V442="Y","LOQ",""))),"")</f>
        <v/>
      </c>
      <c r="AN442" s="1295" t="str">
        <f t="shared" si="269"/>
        <v/>
      </c>
      <c r="AO442" s="1287" t="str">
        <f>IF(Table6[[#This Row],[input for case 3 normal mode]]="","",IF(AND(Table6[[#This Row],[label for case 3 calculation normal mode]]="LOQ",Table6[[#This Row],[GAP under assessment]]="N"),"",IF(Table6[[#This Row],[label description]]&gt;"",Table6[[#This Row],[label description]],"")))</f>
        <v/>
      </c>
      <c r="AP442" s="1287" t="str">
        <f>CONCATENATE(Table6[[#This Row],[label for case 3 calculation normal mode]],Table6[[#This Row],[label connector case 3 normal mode]],Table6[[#This Row],[label refinements case 3 normal mode]])</f>
        <v/>
      </c>
      <c r="AQ442" s="1287" t="str">
        <f>IF(Table6[[#This Row],[GAP under assessment]]="Y",Table6[[#This Row],[Input value normal mode case 1, 2a/2b,Po]],"")</f>
        <v/>
      </c>
      <c r="AR442" s="1287" t="str">
        <f>IF(Table6[[#This Row],[Input value refined mode case 1, 2a/2b,Po]]&gt;0,Table6[[#This Row],[concat label normal mode 1,2a/2b,Po ]],"")</f>
        <v/>
      </c>
      <c r="AS442" s="1303" t="str">
        <f>IF(Table6[[#This Row],[GAP under assessment]]="Y",Table6[[#This Row],[input for case 3 normal mode]],"")</f>
        <v/>
      </c>
      <c r="AT442" s="1287" t="str">
        <f>IF(Table6[[#This Row],[input for case 3 refined mode]]&gt;0,Table6[[#This Row],[concat label normal mode  case 3]],"")</f>
        <v/>
      </c>
      <c r="AU442" s="1295" t="str">
        <f>IF(Table6[[#This Row],[Input value normal mode case 1, 2a/2b,Po]]&gt;0,Table6[[#This Row],[Input value normal mode case 1, 2a/2b,Po]],Table6[[#This Row],[input for case 3 normal mode]])</f>
        <v/>
      </c>
      <c r="AV442" s="1295" t="str">
        <f>IF(Table6[[#This Row],[Input value normal mode case 1, 2a/2b,Po]]&gt;0,Table6[[#This Row],[concat label normal mode 1,2a/2b,Po ]],Table6[[#This Row],[concat label normal mode  case 3]])</f>
        <v/>
      </c>
      <c r="AW442" s="1295" t="str">
        <f>IF(Table6[[#This Row],[Input value refined mode case 1, 2a/2b,Po]]&gt;0,Table6[[#This Row],[Input value refined mode case 1, 2a/2b,Po]],Table6[[#This Row],[input for case 3 refined mode]])</f>
        <v/>
      </c>
      <c r="AX442" s="1295" t="str">
        <f>IF(Table6[[#This Row],[Input value refined mode case 1, 2a/2b,Po]]&gt;0,Table6[[#This Row],[concat label refined mode case 1,2a/2b,Po]],Table6[[#This Row],[label for case 3 calculation refined mode]])</f>
        <v/>
      </c>
      <c r="AY442" s="1287">
        <f t="shared" si="274"/>
        <v>0</v>
      </c>
      <c r="AZ442" s="1295" t="str">
        <f t="shared" si="270"/>
        <v/>
      </c>
      <c r="BA442" s="1295" t="str">
        <f t="shared" si="271"/>
        <v/>
      </c>
      <c r="BB442" s="1287" t="str">
        <f>IF(AND(Table6[[#This Row],[label for IESTI new normal mode]]="LOQ",Table6[[#This Row],[GAP under assessment]]="N"),"",IF(AND($H442&gt;0,$Y442&lt;&gt;1),"CF*PF",IF($H442&gt;0,"CF",IF($Y442&lt;&gt;1,"PF",""))))</f>
        <v/>
      </c>
      <c r="BC442" s="1296"/>
      <c r="BD442" s="1297"/>
      <c r="BE442" s="1304" t="str">
        <f>IF(Table6[[#This Row],[GAP under assessment]]="Y",Table6[[#This Row],[MRL*CF*PF or LOQ (if not under assessment and LOQ)]],"")</f>
        <v/>
      </c>
      <c r="BF442" s="1305" t="str">
        <f>IF(Table6[[#This Row],[Input for IESTI new refined mode]]&lt;&gt;"",CONCATENATE("MRL",Table6[[#This Row],[label connector case 3 normal mode]],Table6[[#This Row],[label refinements case 3 normal mode]]),"")</f>
        <v/>
      </c>
      <c r="BG442" s="1298" t="s">
        <v>516</v>
      </c>
      <c r="BH442" s="1306"/>
    </row>
    <row r="443" spans="1:60" s="11" customFormat="1" ht="12.75" customHeight="1" x14ac:dyDescent="0.2">
      <c r="A443" s="479" t="s">
        <v>508</v>
      </c>
      <c r="B443" s="480">
        <v>163110</v>
      </c>
      <c r="C443" s="547" t="s">
        <v>821</v>
      </c>
      <c r="D443" s="1261">
        <f>VLOOKUP(Table6[[#This Row],[Code no.]],$B$12:$D$390,3,FALSE)</f>
        <v>0</v>
      </c>
      <c r="E443" s="1264">
        <f t="shared" ref="E443:E473" si="275">VLOOKUP($B443,$B$12:$AY$390,$U$2,FALSE)</f>
        <v>0</v>
      </c>
      <c r="F443" s="1262" t="str">
        <f t="shared" si="272"/>
        <v/>
      </c>
      <c r="G443" s="1265">
        <f t="shared" ref="G443:G473" si="276">VLOOKUP($B443,$B$12:$AY$390,$W$2,FALSE)</f>
        <v>1</v>
      </c>
      <c r="H443" s="881"/>
      <c r="I443" s="880"/>
      <c r="J443" s="1269">
        <f t="shared" ref="J443:J473" si="277">VLOOKUP($B443,$B$12:$AY$390,$I$2,FALSE)</f>
        <v>0</v>
      </c>
      <c r="K443" s="1269">
        <f t="shared" ref="K443:K473" si="278">VLOOKUP($B443,$B$12:$AY$390,$J$2,FALSE)</f>
        <v>0</v>
      </c>
      <c r="L443" s="1270"/>
      <c r="M443" s="1271" t="str">
        <f t="shared" ref="M443:M473" si="279">IF(VLOOKUP($B443,$B$12:$L$390,$L$2)="","",VLOOKUP($B443,$B$12:$L$390,$L$2))</f>
        <v/>
      </c>
      <c r="N443" s="1272"/>
      <c r="O443" s="1273">
        <v>3</v>
      </c>
      <c r="P443" s="1273" t="str">
        <f>IF(OR($A$10=$BG$15,Results!$B$62=Results!$T$63),Table6[[#This Row],[label refine mode]],Table6[[#This Row],[label normal mode]])</f>
        <v/>
      </c>
      <c r="Q443" s="1257" t="str">
        <f>IF(OR($A$10=$BG$15,Results!$B$62=Results!$T$63),Table6[[#This Row],[input refined mode]],Table6[[#This Row],[Input normal mode]])</f>
        <v/>
      </c>
      <c r="R443" s="1275" t="str">
        <f>IF(Table6[[#This Row],[Acute RA IESTI new input value]]="","",CONCATENATE(Table6[[#This Row],[label for IESTI new normal mode]],Table6[[#This Row],[label connector IESTI new normal mode]],Table6[[#This Row],[label refinements normal mode]]))</f>
        <v/>
      </c>
      <c r="S443" s="1259">
        <f>IF(OR($A$10=$BG$15,Results!$B$62=Results!$T$63),Table6[[#This Row],[Input for IESTI new refined mode]],Table6[[#This Row],[Input for IESTI new normal mode]])</f>
        <v>0</v>
      </c>
      <c r="T443" s="888"/>
      <c r="U443" s="1283">
        <f t="shared" ref="U443:U473" si="280">E443</f>
        <v>0</v>
      </c>
      <c r="V443" s="1284" t="str">
        <f t="shared" ref="V443:V473" si="281">VLOOKUP($B443,$B$12:$AY$390,$V$2,FALSE)</f>
        <v/>
      </c>
      <c r="W443" s="1285">
        <f>IF($H443&gt;0,$H443,IF(Table6[[#This Row],[CFrisk for residue definition (applicable for unprocessed products)]]&gt;0,Table6[[#This Row],[CFrisk for residue definition (applicable for unprocessed products)]],1))</f>
        <v>1</v>
      </c>
      <c r="X443" s="1285">
        <v>1</v>
      </c>
      <c r="Y443" s="1285">
        <f t="shared" ref="Y443:Y473" si="282">IF($I443&gt;0,$I443,X443)</f>
        <v>1</v>
      </c>
      <c r="Z443" s="1285">
        <f t="shared" ref="Z443:Z473" si="283">W443*Y443</f>
        <v>1</v>
      </c>
      <c r="AA443" s="1285" t="str">
        <f>IF(Table6[[#This Row],[Post-harvest treatment]]="","","Y")</f>
        <v/>
      </c>
      <c r="AB443" s="1285" t="str">
        <f>IF(AND(Table6[[#This Row],[CF used for for calculation]]&lt;&gt;1,Table6[[#This Row],[PF for calculation]]&lt;&gt;1),"CF*PF",IF(Table6[[#This Row],[CF used for for calculation]]&lt;&gt;1,"CF",IF(Table6[[#This Row],[PF for calculation]]&lt;&gt;1,"PF","")))</f>
        <v/>
      </c>
      <c r="AC443" s="1300">
        <f>IF(AND(Table6[[#This Row],[LOQ RAC individual crop]]="Y",Table6[[#This Row],[GAP under assessment]]="N"),Table6[[#This Row],[MRL RAC individual commodity]],Table6[[#This Row],[MRL RAC individual commodity]]*Table6[[#This Row],[CF*PF for calculation]])</f>
        <v>0</v>
      </c>
      <c r="AD443" s="1287">
        <f t="shared" ref="AD443:AD473" si="284">$J443*$Z443</f>
        <v>0</v>
      </c>
      <c r="AE443" s="1287">
        <f t="shared" ref="AE443:AE473" si="285">$K443*$Z443</f>
        <v>0</v>
      </c>
      <c r="AF443" s="1288">
        <f>Table6[[#This Row],[IESTI case]]</f>
        <v>3</v>
      </c>
      <c r="AG44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43" s="1302" t="str">
        <f>IF(Table6[[#This Row],[Input value normal mode case 1, 2a/2b,Po]]&gt;0,
              IF(Table6[[#This Row],[Highest residue * CF*PF]]&gt;"","HR-RAC",
                             IF(Table6[[#This Row],[LOQ RAC individual crop]]="Y","LOQ","MRL")),"")</f>
        <v/>
      </c>
      <c r="AI443" s="1302" t="str">
        <f t="shared" ref="AI443:AI473" si="286">IF(AND(AH443&lt;&gt;"",AJ443&lt;&gt;""),"*","")</f>
        <v/>
      </c>
      <c r="AJ443" s="1302" t="str">
        <f>IF(Table6[[#This Row],[Input value normal mode case 1, 2a/2b,Po]]&gt;0,IF(Table6[[#This Row],[label description]]&gt;"",Table6[[#This Row],[label description]],""),"")</f>
        <v/>
      </c>
      <c r="AK443" s="1302" t="str">
        <f>CONCATENATE(Table6[[#This Row],[label for IESTI normal mode case 1, 2a/2b,Po]],Table6[[#This Row],[label connector case  normal mode]],Table6[[#This Row],[label refinements normal mode case 1, 2a/2b,Po]])</f>
        <v/>
      </c>
      <c r="AL443" s="1287" t="str">
        <f>IF(AND(Table6[[#This Row],[Case for acute RA children / adults]]=3,Table6[[#This Row],[Post-harvest treatment]]=""),IF(AND(Table6[[#This Row],[LOQ RAC individual crop]]="Y",M442="N"),Table6[[#This Row],[MRL RAC individual commodity]],IF(Table6[[#This Row],[Median residue*CF*PF]]&gt;0,Table6[[#This Row],[Median residue*CF*PF]],IF(Table6[[#This Row],[MRL*CF*PF or LOQ (if not under assessment and LOQ)]]&gt;0,Table6[[#This Row],[MRL*CF*PF or LOQ (if not under assessment and LOQ)]],""))),"")</f>
        <v/>
      </c>
      <c r="AM443" s="1295" t="str">
        <f>IF(Table6[[#This Row],[input for case 3 normal mode]]&gt;0,IF(Table6[[#This Row],[Median residue*CF*PF]]&gt;0,"STMR-RAC",IF(AND($AC443&gt;0,NOT(V443="Y")),"MRL",IF($V443="Y","LOQ",""))),"")</f>
        <v/>
      </c>
      <c r="AN443" s="1295" t="str">
        <f t="shared" ref="AN443:AN473" si="287">IF(AND(AM443&lt;&gt;"",AO443&lt;&gt;""),"*","")</f>
        <v/>
      </c>
      <c r="AO443" s="1287" t="str">
        <f>IF(Table6[[#This Row],[input for case 3 normal mode]]="","",IF(AND(Table6[[#This Row],[label for case 3 calculation normal mode]]="LOQ",Table6[[#This Row],[GAP under assessment]]="N"),"",IF(Table6[[#This Row],[label description]]&gt;"",Table6[[#This Row],[label description]],"")))</f>
        <v/>
      </c>
      <c r="AP443" s="1287" t="str">
        <f>CONCATENATE(Table6[[#This Row],[label for case 3 calculation normal mode]],Table6[[#This Row],[label connector case 3 normal mode]],Table6[[#This Row],[label refinements case 3 normal mode]])</f>
        <v/>
      </c>
      <c r="AQ443" s="1287" t="str">
        <f>IF(Table6[[#This Row],[GAP under assessment]]="Y",Table6[[#This Row],[Input value normal mode case 1, 2a/2b,Po]],"")</f>
        <v/>
      </c>
      <c r="AR443" s="1287" t="str">
        <f>IF(Table6[[#This Row],[Input value refined mode case 1, 2a/2b,Po]]&gt;0,Table6[[#This Row],[concat label normal mode 1,2a/2b,Po ]],"")</f>
        <v/>
      </c>
      <c r="AS443" s="1303" t="str">
        <f>IF(Table6[[#This Row],[GAP under assessment]]="Y",Table6[[#This Row],[input for case 3 normal mode]],"")</f>
        <v/>
      </c>
      <c r="AT443" s="1287" t="str">
        <f>IF(Table6[[#This Row],[input for case 3 refined mode]]&gt;0,Table6[[#This Row],[concat label normal mode  case 3]],"")</f>
        <v/>
      </c>
      <c r="AU443" s="1295" t="str">
        <f>IF(Table6[[#This Row],[Input value normal mode case 1, 2a/2b,Po]]&gt;0,Table6[[#This Row],[Input value normal mode case 1, 2a/2b,Po]],Table6[[#This Row],[input for case 3 normal mode]])</f>
        <v/>
      </c>
      <c r="AV443" s="1295" t="str">
        <f>IF(Table6[[#This Row],[Input value normal mode case 1, 2a/2b,Po]]&gt;0,Table6[[#This Row],[concat label normal mode 1,2a/2b,Po ]],Table6[[#This Row],[concat label normal mode  case 3]])</f>
        <v/>
      </c>
      <c r="AW443" s="1295" t="str">
        <f>IF(Table6[[#This Row],[Input value refined mode case 1, 2a/2b,Po]]&gt;0,Table6[[#This Row],[Input value refined mode case 1, 2a/2b,Po]],Table6[[#This Row],[input for case 3 refined mode]])</f>
        <v/>
      </c>
      <c r="AX443" s="1295" t="str">
        <f>IF(Table6[[#This Row],[Input value refined mode case 1, 2a/2b,Po]]&gt;0,Table6[[#This Row],[concat label refined mode case 1,2a/2b,Po]],Table6[[#This Row],[label for case 3 calculation refined mode]])</f>
        <v/>
      </c>
      <c r="AY443" s="1287">
        <f t="shared" ref="AY443:AY473" si="288">$AC443</f>
        <v>0</v>
      </c>
      <c r="AZ443" s="1295" t="str">
        <f t="shared" ref="AZ443:AZ473" si="289">IF(AND($AC443&gt;0,NOT($V443="Y")),"MRL",IF($V443="Y","LOQ",""))</f>
        <v/>
      </c>
      <c r="BA443" s="1295" t="str">
        <f t="shared" ref="BA443:BA473" si="290">IF(AND($AZ443&lt;&gt;"",$BB443&lt;&gt;""),"*","")</f>
        <v/>
      </c>
      <c r="BB443" s="1287" t="str">
        <f>IF(AND(Table6[[#This Row],[label for IESTI new normal mode]]="LOQ",Table6[[#This Row],[GAP under assessment]]="N"),"",IF(AND($H443&gt;0,$Y443&lt;&gt;1),"CF*PF",IF($H443&gt;0,"CF",IF($Y443&lt;&gt;1,"PF",""))))</f>
        <v/>
      </c>
      <c r="BC443" s="1296" t="s">
        <v>369</v>
      </c>
      <c r="BD443" s="1297"/>
      <c r="BE443" s="1304" t="str">
        <f>IF(Table6[[#This Row],[GAP under assessment]]="Y",Table6[[#This Row],[MRL*CF*PF or LOQ (if not under assessment and LOQ)]],"")</f>
        <v/>
      </c>
      <c r="BF443" s="1305" t="str">
        <f>IF(Table6[[#This Row],[Input for IESTI new refined mode]]&lt;&gt;"",CONCATENATE("MRL",Table6[[#This Row],[label connector case 3 normal mode]],Table6[[#This Row],[label refinements case 3 normal mode]]),"")</f>
        <v/>
      </c>
      <c r="BG443" s="1298" t="s">
        <v>508</v>
      </c>
      <c r="BH443" s="1306"/>
    </row>
    <row r="444" spans="1:60" s="11" customFormat="1" ht="12.75" customHeight="1" x14ac:dyDescent="0.2">
      <c r="A444" s="479" t="s">
        <v>573</v>
      </c>
      <c r="B444" s="480">
        <v>211000</v>
      </c>
      <c r="C444" s="547" t="s">
        <v>462</v>
      </c>
      <c r="D444" s="1261">
        <f>VLOOKUP(Table6[[#This Row],[Code no.]],$B$12:$D$390,3,FALSE)</f>
        <v>0</v>
      </c>
      <c r="E444" s="1264">
        <f t="shared" si="275"/>
        <v>0</v>
      </c>
      <c r="F444" s="1262" t="str">
        <f t="shared" si="272"/>
        <v/>
      </c>
      <c r="G444" s="1265">
        <f t="shared" si="276"/>
        <v>1</v>
      </c>
      <c r="H444" s="881"/>
      <c r="I444" s="880"/>
      <c r="J444" s="1269">
        <f t="shared" si="277"/>
        <v>0</v>
      </c>
      <c r="K444" s="1269">
        <f t="shared" si="278"/>
        <v>0</v>
      </c>
      <c r="L444" s="1270"/>
      <c r="M444" s="1271" t="str">
        <f t="shared" si="279"/>
        <v/>
      </c>
      <c r="N444" s="1272"/>
      <c r="O444" s="1273">
        <v>3</v>
      </c>
      <c r="P444" s="1273" t="str">
        <f>IF(OR($A$10=$BG$15,Results!$B$62=Results!$T$63),Table6[[#This Row],[label refine mode]],Table6[[#This Row],[label normal mode]])</f>
        <v/>
      </c>
      <c r="Q444" s="1257" t="str">
        <f>IF(OR($A$10=$BG$15,Results!$B$62=Results!$T$63),Table6[[#This Row],[input refined mode]],Table6[[#This Row],[Input normal mode]])</f>
        <v/>
      </c>
      <c r="R444" s="1275" t="str">
        <f>IF(Table6[[#This Row],[Acute RA IESTI new input value]]="","",CONCATENATE(Table6[[#This Row],[label for IESTI new normal mode]],Table6[[#This Row],[label connector IESTI new normal mode]],Table6[[#This Row],[label refinements normal mode]]))</f>
        <v/>
      </c>
      <c r="S444" s="1259">
        <f>IF(OR($A$10=$BG$15,Results!$B$62=Results!$T$63),Table6[[#This Row],[Input for IESTI new refined mode]],Table6[[#This Row],[Input for IESTI new normal mode]])</f>
        <v>0</v>
      </c>
      <c r="T444" s="888"/>
      <c r="U444" s="1283">
        <f t="shared" si="280"/>
        <v>0</v>
      </c>
      <c r="V444" s="1284" t="str">
        <f t="shared" si="281"/>
        <v/>
      </c>
      <c r="W444" s="1285">
        <f>IF($H444&gt;0,$H444,IF(Table6[[#This Row],[CFrisk for residue definition (applicable for unprocessed products)]]&gt;0,Table6[[#This Row],[CFrisk for residue definition (applicable for unprocessed products)]],1))</f>
        <v>1</v>
      </c>
      <c r="X444" s="1285">
        <v>1</v>
      </c>
      <c r="Y444" s="1285">
        <f t="shared" si="282"/>
        <v>1</v>
      </c>
      <c r="Z444" s="1285">
        <f t="shared" si="283"/>
        <v>1</v>
      </c>
      <c r="AA444" s="1285" t="str">
        <f>IF(Table6[[#This Row],[Post-harvest treatment]]="","","Y")</f>
        <v/>
      </c>
      <c r="AB444" s="1285" t="str">
        <f>IF(AND(Table6[[#This Row],[CF used for for calculation]]&lt;&gt;1,Table6[[#This Row],[PF for calculation]]&lt;&gt;1),"CF*PF",IF(Table6[[#This Row],[CF used for for calculation]]&lt;&gt;1,"CF",IF(Table6[[#This Row],[PF for calculation]]&lt;&gt;1,"PF","")))</f>
        <v/>
      </c>
      <c r="AC444" s="1300">
        <f>IF(AND(Table6[[#This Row],[LOQ RAC individual crop]]="Y",Table6[[#This Row],[GAP under assessment]]="N"),Table6[[#This Row],[MRL RAC individual commodity]],Table6[[#This Row],[MRL RAC individual commodity]]*Table6[[#This Row],[CF*PF for calculation]])</f>
        <v>0</v>
      </c>
      <c r="AD444" s="1287">
        <f t="shared" si="284"/>
        <v>0</v>
      </c>
      <c r="AE444" s="1287">
        <f t="shared" si="285"/>
        <v>0</v>
      </c>
      <c r="AF444" s="1288">
        <f>Table6[[#This Row],[IESTI case]]</f>
        <v>3</v>
      </c>
      <c r="AG44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44" s="1302" t="str">
        <f>IF(Table6[[#This Row],[Input value normal mode case 1, 2a/2b,Po]]&gt;0,
              IF(Table6[[#This Row],[Highest residue * CF*PF]]&gt;"","HR-RAC",
                             IF(Table6[[#This Row],[LOQ RAC individual crop]]="Y","LOQ","MRL")),"")</f>
        <v/>
      </c>
      <c r="AI444" s="1302" t="str">
        <f t="shared" si="286"/>
        <v/>
      </c>
      <c r="AJ444" s="1302" t="str">
        <f>IF(Table6[[#This Row],[Input value normal mode case 1, 2a/2b,Po]]&gt;0,IF(Table6[[#This Row],[label description]]&gt;"",Table6[[#This Row],[label description]],""),"")</f>
        <v/>
      </c>
      <c r="AK444" s="1302" t="str">
        <f>CONCATENATE(Table6[[#This Row],[label for IESTI normal mode case 1, 2a/2b,Po]],Table6[[#This Row],[label connector case  normal mode]],Table6[[#This Row],[label refinements normal mode case 1, 2a/2b,Po]])</f>
        <v/>
      </c>
      <c r="AL444" s="1287" t="str">
        <f>IF(AND(Table6[[#This Row],[Case for acute RA children / adults]]=3,Table6[[#This Row],[Post-harvest treatment]]=""),IF(AND(Table6[[#This Row],[LOQ RAC individual crop]]="Y",M443="N"),Table6[[#This Row],[MRL RAC individual commodity]],IF(Table6[[#This Row],[Median residue*CF*PF]]&gt;0,Table6[[#This Row],[Median residue*CF*PF]],IF(Table6[[#This Row],[MRL*CF*PF or LOQ (if not under assessment and LOQ)]]&gt;0,Table6[[#This Row],[MRL*CF*PF or LOQ (if not under assessment and LOQ)]],""))),"")</f>
        <v/>
      </c>
      <c r="AM444" s="1295" t="str">
        <f>IF(Table6[[#This Row],[input for case 3 normal mode]]&gt;0,IF(Table6[[#This Row],[Median residue*CF*PF]]&gt;0,"STMR-RAC",IF(AND($AC444&gt;0,NOT(V444="Y")),"MRL",IF($V444="Y","LOQ",""))),"")</f>
        <v/>
      </c>
      <c r="AN444" s="1295" t="str">
        <f t="shared" si="287"/>
        <v/>
      </c>
      <c r="AO444" s="1287" t="str">
        <f>IF(Table6[[#This Row],[input for case 3 normal mode]]="","",IF(AND(Table6[[#This Row],[label for case 3 calculation normal mode]]="LOQ",Table6[[#This Row],[GAP under assessment]]="N"),"",IF(Table6[[#This Row],[label description]]&gt;"",Table6[[#This Row],[label description]],"")))</f>
        <v/>
      </c>
      <c r="AP444" s="1287" t="str">
        <f>CONCATENATE(Table6[[#This Row],[label for case 3 calculation normal mode]],Table6[[#This Row],[label connector case 3 normal mode]],Table6[[#This Row],[label refinements case 3 normal mode]])</f>
        <v/>
      </c>
      <c r="AQ444" s="1287" t="str">
        <f>IF(Table6[[#This Row],[GAP under assessment]]="Y",Table6[[#This Row],[Input value normal mode case 1, 2a/2b,Po]],"")</f>
        <v/>
      </c>
      <c r="AR444" s="1287" t="str">
        <f>IF(Table6[[#This Row],[Input value refined mode case 1, 2a/2b,Po]]&gt;0,Table6[[#This Row],[concat label normal mode 1,2a/2b,Po ]],"")</f>
        <v/>
      </c>
      <c r="AS444" s="1303" t="str">
        <f>IF(Table6[[#This Row],[GAP under assessment]]="Y",Table6[[#This Row],[input for case 3 normal mode]],"")</f>
        <v/>
      </c>
      <c r="AT444" s="1287" t="str">
        <f>IF(Table6[[#This Row],[input for case 3 refined mode]]&gt;0,Table6[[#This Row],[concat label normal mode  case 3]],"")</f>
        <v/>
      </c>
      <c r="AU444" s="1295" t="str">
        <f>IF(Table6[[#This Row],[Input value normal mode case 1, 2a/2b,Po]]&gt;0,Table6[[#This Row],[Input value normal mode case 1, 2a/2b,Po]],Table6[[#This Row],[input for case 3 normal mode]])</f>
        <v/>
      </c>
      <c r="AV444" s="1295" t="str">
        <f>IF(Table6[[#This Row],[Input value normal mode case 1, 2a/2b,Po]]&gt;0,Table6[[#This Row],[concat label normal mode 1,2a/2b,Po ]],Table6[[#This Row],[concat label normal mode  case 3]])</f>
        <v/>
      </c>
      <c r="AW444" s="1295" t="str">
        <f>IF(Table6[[#This Row],[Input value refined mode case 1, 2a/2b,Po]]&gt;0,Table6[[#This Row],[Input value refined mode case 1, 2a/2b,Po]],Table6[[#This Row],[input for case 3 refined mode]])</f>
        <v/>
      </c>
      <c r="AX444" s="1295" t="str">
        <f>IF(Table6[[#This Row],[Input value refined mode case 1, 2a/2b,Po]]&gt;0,Table6[[#This Row],[concat label refined mode case 1,2a/2b,Po]],Table6[[#This Row],[label for case 3 calculation refined mode]])</f>
        <v/>
      </c>
      <c r="AY444" s="1287">
        <f t="shared" si="288"/>
        <v>0</v>
      </c>
      <c r="AZ444" s="1295" t="str">
        <f t="shared" si="289"/>
        <v/>
      </c>
      <c r="BA444" s="1295" t="str">
        <f t="shared" si="290"/>
        <v/>
      </c>
      <c r="BB444" s="1287" t="str">
        <f>IF(AND(Table6[[#This Row],[label for IESTI new normal mode]]="LOQ",Table6[[#This Row],[GAP under assessment]]="N"),"",IF(AND($H444&gt;0,$Y444&lt;&gt;1),"CF*PF",IF($H444&gt;0,"CF",IF($Y444&lt;&gt;1,"PF",""))))</f>
        <v/>
      </c>
      <c r="BC444" s="1296" t="s">
        <v>369</v>
      </c>
      <c r="BD444" s="1297"/>
      <c r="BE444" s="1304" t="str">
        <f>IF(Table6[[#This Row],[GAP under assessment]]="Y",Table6[[#This Row],[MRL*CF*PF or LOQ (if not under assessment and LOQ)]],"")</f>
        <v/>
      </c>
      <c r="BF444" s="1305" t="str">
        <f>IF(Table6[[#This Row],[Input for IESTI new refined mode]]&lt;&gt;"",CONCATENATE("MRL",Table6[[#This Row],[label connector case 3 normal mode]],Table6[[#This Row],[label refinements case 3 normal mode]]),"")</f>
        <v/>
      </c>
      <c r="BG444" s="1298" t="s">
        <v>573</v>
      </c>
      <c r="BH444" s="1306"/>
    </row>
    <row r="445" spans="1:60" s="11" customFormat="1" ht="12.75" customHeight="1" x14ac:dyDescent="0.2">
      <c r="A445" s="479" t="s">
        <v>586</v>
      </c>
      <c r="B445" s="480">
        <v>211000</v>
      </c>
      <c r="C445" s="547" t="s">
        <v>424</v>
      </c>
      <c r="D445" s="1261">
        <f>VLOOKUP(Table6[[#This Row],[Code no.]],$B$12:$D$390,3,FALSE)</f>
        <v>0</v>
      </c>
      <c r="E445" s="1264">
        <f t="shared" si="275"/>
        <v>0</v>
      </c>
      <c r="F445" s="1262" t="str">
        <f t="shared" si="272"/>
        <v/>
      </c>
      <c r="G445" s="1265">
        <f t="shared" si="276"/>
        <v>1</v>
      </c>
      <c r="H445" s="881"/>
      <c r="I445" s="882"/>
      <c r="J445" s="1269">
        <f t="shared" si="277"/>
        <v>0</v>
      </c>
      <c r="K445" s="1269">
        <f t="shared" si="278"/>
        <v>0</v>
      </c>
      <c r="L445" s="1270"/>
      <c r="M445" s="1271" t="str">
        <f t="shared" si="279"/>
        <v/>
      </c>
      <c r="N445" s="1272"/>
      <c r="O445" s="1273">
        <v>3</v>
      </c>
      <c r="P445" s="1273" t="str">
        <f>IF(OR($A$10=$BG$15,Results!$B$62=Results!$T$63),Table6[[#This Row],[label refine mode]],Table6[[#This Row],[label normal mode]])</f>
        <v/>
      </c>
      <c r="Q445" s="1257" t="str">
        <f>IF(OR($A$10=$BG$15,Results!$B$62=Results!$T$63),Table6[[#This Row],[input refined mode]],Table6[[#This Row],[Input normal mode]])</f>
        <v/>
      </c>
      <c r="R445" s="1275" t="str">
        <f>IF(Table6[[#This Row],[Acute RA IESTI new input value]]="","",CONCATENATE(Table6[[#This Row],[label for IESTI new normal mode]],Table6[[#This Row],[label connector IESTI new normal mode]],Table6[[#This Row],[label refinements normal mode]]))</f>
        <v/>
      </c>
      <c r="S445" s="1259">
        <f>IF(OR($A$10=$BG$15,Results!$B$62=Results!$T$63),Table6[[#This Row],[Input for IESTI new refined mode]],Table6[[#This Row],[Input for IESTI new normal mode]])</f>
        <v>0</v>
      </c>
      <c r="T445" s="888"/>
      <c r="U445" s="1283">
        <f t="shared" si="280"/>
        <v>0</v>
      </c>
      <c r="V445" s="1284" t="str">
        <f t="shared" si="281"/>
        <v/>
      </c>
      <c r="W445" s="1285">
        <f>IF($H445&gt;0,$H445,IF(Table6[[#This Row],[CFrisk for residue definition (applicable for unprocessed products)]]&gt;0,Table6[[#This Row],[CFrisk for residue definition (applicable for unprocessed products)]],1))</f>
        <v>1</v>
      </c>
      <c r="X445" s="1285">
        <v>4.5999999999999996</v>
      </c>
      <c r="Y445" s="1285">
        <f t="shared" si="282"/>
        <v>4.5999999999999996</v>
      </c>
      <c r="Z445" s="1285">
        <f t="shared" si="283"/>
        <v>4.5999999999999996</v>
      </c>
      <c r="AA445" s="1285" t="str">
        <f>IF(Table6[[#This Row],[Post-harvest treatment]]="","","Y")</f>
        <v/>
      </c>
      <c r="AB445" s="1285" t="str">
        <f>IF(AND(Table6[[#This Row],[CF used for for calculation]]&lt;&gt;1,Table6[[#This Row],[PF for calculation]]&lt;&gt;1),"CF*PF",IF(Table6[[#This Row],[CF used for for calculation]]&lt;&gt;1,"CF",IF(Table6[[#This Row],[PF for calculation]]&lt;&gt;1,"PF","")))</f>
        <v>PF</v>
      </c>
      <c r="AC445" s="1300">
        <f>IF(AND(Table6[[#This Row],[LOQ RAC individual crop]]="Y",Table6[[#This Row],[GAP under assessment]]="N"),Table6[[#This Row],[MRL RAC individual commodity]],Table6[[#This Row],[MRL RAC individual commodity]]*Table6[[#This Row],[CF*PF for calculation]])</f>
        <v>0</v>
      </c>
      <c r="AD445" s="1287">
        <f t="shared" si="284"/>
        <v>0</v>
      </c>
      <c r="AE445" s="1287">
        <f t="shared" si="285"/>
        <v>0</v>
      </c>
      <c r="AF445" s="1288">
        <f>Table6[[#This Row],[IESTI case]]</f>
        <v>3</v>
      </c>
      <c r="AG44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45" s="1302" t="str">
        <f>IF(Table6[[#This Row],[Input value normal mode case 1, 2a/2b,Po]]&gt;0,
              IF(Table6[[#This Row],[Highest residue * CF*PF]]&gt;"","HR-RAC",
                             IF(Table6[[#This Row],[LOQ RAC individual crop]]="Y","LOQ","MRL")),"")</f>
        <v/>
      </c>
      <c r="AI445" s="1302" t="str">
        <f t="shared" si="286"/>
        <v/>
      </c>
      <c r="AJ445" s="1302" t="str">
        <f>IF(Table6[[#This Row],[Input value normal mode case 1, 2a/2b,Po]]&gt;0,IF(Table6[[#This Row],[label description]]&gt;"",Table6[[#This Row],[label description]],""),"")</f>
        <v/>
      </c>
      <c r="AK445" s="1302" t="str">
        <f>CONCATENATE(Table6[[#This Row],[label for IESTI normal mode case 1, 2a/2b,Po]],Table6[[#This Row],[label connector case  normal mode]],Table6[[#This Row],[label refinements normal mode case 1, 2a/2b,Po]])</f>
        <v/>
      </c>
      <c r="AL445" s="1287" t="str">
        <f>IF(AND(Table6[[#This Row],[Case for acute RA children / adults]]=3,Table6[[#This Row],[Post-harvest treatment]]=""),IF(AND(Table6[[#This Row],[LOQ RAC individual crop]]="Y",M444="N"),Table6[[#This Row],[MRL RAC individual commodity]],IF(Table6[[#This Row],[Median residue*CF*PF]]&gt;0,Table6[[#This Row],[Median residue*CF*PF]],IF(Table6[[#This Row],[MRL*CF*PF or LOQ (if not under assessment and LOQ)]]&gt;0,Table6[[#This Row],[MRL*CF*PF or LOQ (if not under assessment and LOQ)]],""))),"")</f>
        <v/>
      </c>
      <c r="AM445" s="1295" t="str">
        <f>IF(Table6[[#This Row],[input for case 3 normal mode]]&gt;0,IF(Table6[[#This Row],[Median residue*CF*PF]]&gt;0,"STMR-RAC",IF(AND($AC445&gt;0,NOT(V445="Y")),"MRL",IF($V445="Y","LOQ",""))),"")</f>
        <v/>
      </c>
      <c r="AN445" s="1295" t="str">
        <f t="shared" si="287"/>
        <v/>
      </c>
      <c r="AO445" s="1287" t="str">
        <f>IF(Table6[[#This Row],[input for case 3 normal mode]]="","",IF(AND(Table6[[#This Row],[label for case 3 calculation normal mode]]="LOQ",Table6[[#This Row],[GAP under assessment]]="N"),"",IF(Table6[[#This Row],[label description]]&gt;"",Table6[[#This Row],[label description]],"")))</f>
        <v/>
      </c>
      <c r="AP445" s="1287" t="str">
        <f>CONCATENATE(Table6[[#This Row],[label for case 3 calculation normal mode]],Table6[[#This Row],[label connector case 3 normal mode]],Table6[[#This Row],[label refinements case 3 normal mode]])</f>
        <v/>
      </c>
      <c r="AQ445" s="1287" t="str">
        <f>IF(Table6[[#This Row],[GAP under assessment]]="Y",Table6[[#This Row],[Input value normal mode case 1, 2a/2b,Po]],"")</f>
        <v/>
      </c>
      <c r="AR445" s="1287" t="str">
        <f>IF(Table6[[#This Row],[Input value refined mode case 1, 2a/2b,Po]]&gt;0,Table6[[#This Row],[concat label normal mode 1,2a/2b,Po ]],"")</f>
        <v/>
      </c>
      <c r="AS445" s="1303" t="str">
        <f>IF(Table6[[#This Row],[GAP under assessment]]="Y",Table6[[#This Row],[input for case 3 normal mode]],"")</f>
        <v/>
      </c>
      <c r="AT445" s="1287" t="str">
        <f>IF(Table6[[#This Row],[input for case 3 refined mode]]&gt;0,Table6[[#This Row],[concat label normal mode  case 3]],"")</f>
        <v/>
      </c>
      <c r="AU445" s="1295" t="str">
        <f>IF(Table6[[#This Row],[Input value normal mode case 1, 2a/2b,Po]]&gt;0,Table6[[#This Row],[Input value normal mode case 1, 2a/2b,Po]],Table6[[#This Row],[input for case 3 normal mode]])</f>
        <v/>
      </c>
      <c r="AV445" s="1295" t="str">
        <f>IF(Table6[[#This Row],[Input value normal mode case 1, 2a/2b,Po]]&gt;0,Table6[[#This Row],[concat label normal mode 1,2a/2b,Po ]],Table6[[#This Row],[concat label normal mode  case 3]])</f>
        <v/>
      </c>
      <c r="AW445" s="1295" t="str">
        <f>IF(Table6[[#This Row],[Input value refined mode case 1, 2a/2b,Po]]&gt;0,Table6[[#This Row],[Input value refined mode case 1, 2a/2b,Po]],Table6[[#This Row],[input for case 3 refined mode]])</f>
        <v/>
      </c>
      <c r="AX445" s="1295" t="str">
        <f>IF(Table6[[#This Row],[Input value refined mode case 1, 2a/2b,Po]]&gt;0,Table6[[#This Row],[concat label refined mode case 1,2a/2b,Po]],Table6[[#This Row],[label for case 3 calculation refined mode]])</f>
        <v/>
      </c>
      <c r="AY445" s="1287">
        <f t="shared" si="288"/>
        <v>0</v>
      </c>
      <c r="AZ445" s="1295" t="str">
        <f t="shared" si="289"/>
        <v/>
      </c>
      <c r="BA445" s="1295" t="str">
        <f t="shared" si="290"/>
        <v/>
      </c>
      <c r="BB445" s="1287" t="str">
        <f>IF(AND(Table6[[#This Row],[label for IESTI new normal mode]]="LOQ",Table6[[#This Row],[GAP under assessment]]="N"),"",IF(AND($H445&gt;0,$Y445&lt;&gt;1),"CF*PF",IF($H445&gt;0,"CF",IF($Y445&lt;&gt;1,"PF",""))))</f>
        <v>PF</v>
      </c>
      <c r="BC445" s="1296" t="s">
        <v>369</v>
      </c>
      <c r="BD445" s="1297"/>
      <c r="BE445" s="1304" t="str">
        <f>IF(Table6[[#This Row],[GAP under assessment]]="Y",Table6[[#This Row],[MRL*CF*PF or LOQ (if not under assessment and LOQ)]],"")</f>
        <v/>
      </c>
      <c r="BF445" s="1305" t="str">
        <f>IF(Table6[[#This Row],[Input for IESTI new refined mode]]&lt;&gt;"",CONCATENATE("MRL",Table6[[#This Row],[label connector case 3 normal mode]],Table6[[#This Row],[label refinements case 3 normal mode]]),"")</f>
        <v/>
      </c>
      <c r="BG445" s="1298" t="s">
        <v>586</v>
      </c>
      <c r="BH445" s="1306"/>
    </row>
    <row r="446" spans="1:60" s="11" customFormat="1" ht="12.75" customHeight="1" x14ac:dyDescent="0.2">
      <c r="A446" s="479" t="s">
        <v>575</v>
      </c>
      <c r="B446" s="480">
        <v>211000</v>
      </c>
      <c r="C446" s="547" t="s">
        <v>423</v>
      </c>
      <c r="D446" s="1261">
        <f>VLOOKUP(Table6[[#This Row],[Code no.]],$B$12:$D$390,3,FALSE)</f>
        <v>0</v>
      </c>
      <c r="E446" s="1264">
        <f t="shared" si="275"/>
        <v>0</v>
      </c>
      <c r="F446" s="1262" t="str">
        <f t="shared" si="272"/>
        <v/>
      </c>
      <c r="G446" s="1265">
        <f t="shared" si="276"/>
        <v>1</v>
      </c>
      <c r="H446" s="881"/>
      <c r="I446" s="880"/>
      <c r="J446" s="1269">
        <f t="shared" si="277"/>
        <v>0</v>
      </c>
      <c r="K446" s="1269">
        <f t="shared" si="278"/>
        <v>0</v>
      </c>
      <c r="L446" s="1276" t="str">
        <f>IF(VLOOKUP($B446,$B$12:$AY$390,$K$2,FALSE)&gt;"",VLOOKUP($B446,$B$12:$AY$390,$K$2,FALSE),"")</f>
        <v/>
      </c>
      <c r="M446" s="1271" t="str">
        <f t="shared" si="279"/>
        <v/>
      </c>
      <c r="N446" s="1272"/>
      <c r="O446" s="1273" t="s">
        <v>654</v>
      </c>
      <c r="P446" s="1273" t="str">
        <f>IF(OR($A$10=$BG$15,Results!$B$62=Results!$T$63),Table6[[#This Row],[label refine mode]],Table6[[#This Row],[label normal mode]])</f>
        <v/>
      </c>
      <c r="Q446" s="1257" t="str">
        <f>IF(OR($A$10=$BG$15,Results!$B$62=Results!$T$63),Table6[[#This Row],[input refined mode]],Table6[[#This Row],[Input normal mode]])</f>
        <v/>
      </c>
      <c r="R446" s="1275" t="str">
        <f>IF(Table6[[#This Row],[Acute RA IESTI new input value]]="","",CONCATENATE(Table6[[#This Row],[label for IESTI new normal mode]],Table6[[#This Row],[label connector IESTI new normal mode]],Table6[[#This Row],[label refinements normal mode]]))</f>
        <v/>
      </c>
      <c r="S446" s="1259">
        <f>IF(OR($A$10=$BG$15,Results!$B$62=Results!$T$63),Table6[[#This Row],[Input for IESTI new refined mode]],Table6[[#This Row],[Input for IESTI new normal mode]])</f>
        <v>0</v>
      </c>
      <c r="T446" s="888"/>
      <c r="U446" s="1283">
        <f t="shared" si="280"/>
        <v>0</v>
      </c>
      <c r="V446" s="1284" t="str">
        <f t="shared" si="281"/>
        <v/>
      </c>
      <c r="W446" s="1285">
        <f>IF($H446&gt;0,$H446,IF(Table6[[#This Row],[CFrisk for residue definition (applicable for unprocessed products)]]&gt;0,Table6[[#This Row],[CFrisk for residue definition (applicable for unprocessed products)]],1))</f>
        <v>1</v>
      </c>
      <c r="X446" s="1285">
        <v>1</v>
      </c>
      <c r="Y446" s="1285">
        <f t="shared" si="282"/>
        <v>1</v>
      </c>
      <c r="Z446" s="1285">
        <f t="shared" si="283"/>
        <v>1</v>
      </c>
      <c r="AA446" s="1285" t="str">
        <f>IF(Table6[[#This Row],[Post-harvest treatment]]="","","Y")</f>
        <v/>
      </c>
      <c r="AB446" s="1285" t="str">
        <f>IF(AND(Table6[[#This Row],[CF used for for calculation]]&lt;&gt;1,Table6[[#This Row],[PF for calculation]]&lt;&gt;1),"CF*PF",IF(Table6[[#This Row],[CF used for for calculation]]&lt;&gt;1,"CF",IF(Table6[[#This Row],[PF for calculation]]&lt;&gt;1,"PF","")))</f>
        <v/>
      </c>
      <c r="AC446" s="1300">
        <f>IF(AND(Table6[[#This Row],[LOQ RAC individual crop]]="Y",Table6[[#This Row],[GAP under assessment]]="N"),Table6[[#This Row],[MRL RAC individual commodity]],Table6[[#This Row],[MRL RAC individual commodity]]*Table6[[#This Row],[CF*PF for calculation]])</f>
        <v>0</v>
      </c>
      <c r="AD446" s="1287">
        <f t="shared" si="284"/>
        <v>0</v>
      </c>
      <c r="AE446" s="1287">
        <f t="shared" si="285"/>
        <v>0</v>
      </c>
      <c r="AF446" s="1307" t="str">
        <f>Table6[[#This Row],[IESTI case]]</f>
        <v>2a/2b</v>
      </c>
      <c r="AG44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46" s="1302" t="str">
        <f>IF(Table6[[#This Row],[Input value normal mode case 1, 2a/2b,Po]]&gt;0,
              IF(Table6[[#This Row],[Highest residue * CF*PF]]&gt;"","HR-RAC",
                             IF(Table6[[#This Row],[LOQ RAC individual crop]]="Y","LOQ","MRL")),"")</f>
        <v/>
      </c>
      <c r="AI446" s="1302" t="str">
        <f t="shared" si="286"/>
        <v/>
      </c>
      <c r="AJ446" s="1302" t="str">
        <f>IF(Table6[[#This Row],[Input value normal mode case 1, 2a/2b,Po]]&gt;0,IF(Table6[[#This Row],[label description]]&gt;"",Table6[[#This Row],[label description]],""),"")</f>
        <v/>
      </c>
      <c r="AK446" s="1302" t="str">
        <f>CONCATENATE(Table6[[#This Row],[label for IESTI normal mode case 1, 2a/2b,Po]],Table6[[#This Row],[label connector case  normal mode]],Table6[[#This Row],[label refinements normal mode case 1, 2a/2b,Po]])</f>
        <v/>
      </c>
      <c r="AL446" s="1287" t="str">
        <f>IF(AND(Table6[[#This Row],[Case for acute RA children / adults]]=3,Table6[[#This Row],[Post-harvest treatment]]=""),IF(AND(Table6[[#This Row],[LOQ RAC individual crop]]="Y",M445="N"),Table6[[#This Row],[MRL RAC individual commodity]],IF(Table6[[#This Row],[Median residue*CF*PF]]&gt;0,Table6[[#This Row],[Median residue*CF*PF]],IF(Table6[[#This Row],[MRL*CF*PF or LOQ (if not under assessment and LOQ)]]&gt;0,Table6[[#This Row],[MRL*CF*PF or LOQ (if not under assessment and LOQ)]],""))),"")</f>
        <v/>
      </c>
      <c r="AM446" s="1295" t="str">
        <f>IF(Table6[[#This Row],[input for case 3 normal mode]]&gt;0,IF(Table6[[#This Row],[Median residue*CF*PF]]&gt;0,"STMR-RAC",IF(AND($AC446&gt;0,NOT(V446="Y")),"MRL",IF($V446="Y","LOQ",""))),"")</f>
        <v/>
      </c>
      <c r="AN446" s="1295" t="str">
        <f t="shared" si="287"/>
        <v/>
      </c>
      <c r="AO446" s="1287" t="str">
        <f>IF(Table6[[#This Row],[input for case 3 normal mode]]="","",IF(AND(Table6[[#This Row],[label for case 3 calculation normal mode]]="LOQ",Table6[[#This Row],[GAP under assessment]]="N"),"",IF(Table6[[#This Row],[label description]]&gt;"",Table6[[#This Row],[label description]],"")))</f>
        <v/>
      </c>
      <c r="AP446" s="1287" t="str">
        <f>CONCATENATE(Table6[[#This Row],[label for case 3 calculation normal mode]],Table6[[#This Row],[label connector case 3 normal mode]],Table6[[#This Row],[label refinements case 3 normal mode]])</f>
        <v/>
      </c>
      <c r="AQ446" s="1287" t="str">
        <f>IF(Table6[[#This Row],[GAP under assessment]]="Y",Table6[[#This Row],[Input value normal mode case 1, 2a/2b,Po]],"")</f>
        <v/>
      </c>
      <c r="AR446" s="1287" t="str">
        <f>IF(Table6[[#This Row],[Input value refined mode case 1, 2a/2b,Po]]&gt;0,Table6[[#This Row],[concat label normal mode 1,2a/2b,Po ]],"")</f>
        <v/>
      </c>
      <c r="AS446" s="1303" t="str">
        <f>IF(Table6[[#This Row],[GAP under assessment]]="Y",Table6[[#This Row],[input for case 3 normal mode]],"")</f>
        <v/>
      </c>
      <c r="AT446" s="1287" t="str">
        <f>IF(Table6[[#This Row],[input for case 3 refined mode]]&gt;0,Table6[[#This Row],[concat label normal mode  case 3]],"")</f>
        <v/>
      </c>
      <c r="AU446" s="1295" t="str">
        <f>IF(Table6[[#This Row],[Input value normal mode case 1, 2a/2b,Po]]&gt;0,Table6[[#This Row],[Input value normal mode case 1, 2a/2b,Po]],Table6[[#This Row],[input for case 3 normal mode]])</f>
        <v/>
      </c>
      <c r="AV446" s="1295" t="str">
        <f>IF(Table6[[#This Row],[Input value normal mode case 1, 2a/2b,Po]]&gt;0,Table6[[#This Row],[concat label normal mode 1,2a/2b,Po ]],Table6[[#This Row],[concat label normal mode  case 3]])</f>
        <v/>
      </c>
      <c r="AW446" s="1295" t="str">
        <f>IF(Table6[[#This Row],[Input value refined mode case 1, 2a/2b,Po]]&gt;0,Table6[[#This Row],[Input value refined mode case 1, 2a/2b,Po]],Table6[[#This Row],[input for case 3 refined mode]])</f>
        <v/>
      </c>
      <c r="AX446" s="1295" t="str">
        <f>IF(Table6[[#This Row],[Input value refined mode case 1, 2a/2b,Po]]&gt;0,Table6[[#This Row],[concat label refined mode case 1,2a/2b,Po]],Table6[[#This Row],[label for case 3 calculation refined mode]])</f>
        <v/>
      </c>
      <c r="AY446" s="1287">
        <f t="shared" si="288"/>
        <v>0</v>
      </c>
      <c r="AZ446" s="1295" t="str">
        <f t="shared" si="289"/>
        <v/>
      </c>
      <c r="BA446" s="1295" t="str">
        <f t="shared" si="290"/>
        <v/>
      </c>
      <c r="BB446" s="1287" t="str">
        <f>IF(AND(Table6[[#This Row],[label for IESTI new normal mode]]="LOQ",Table6[[#This Row],[GAP under assessment]]="N"),"",IF(AND($H446&gt;0,$Y446&lt;&gt;1),"CF*PF",IF($H446&gt;0,"CF",IF($Y446&lt;&gt;1,"PF",""))))</f>
        <v/>
      </c>
      <c r="BC446" s="1296"/>
      <c r="BD446" s="1297"/>
      <c r="BE446" s="1304" t="str">
        <f>IF(Table6[[#This Row],[GAP under assessment]]="Y",Table6[[#This Row],[MRL*CF*PF or LOQ (if not under assessment and LOQ)]],"")</f>
        <v/>
      </c>
      <c r="BF446" s="1305" t="str">
        <f>IF(Table6[[#This Row],[Input for IESTI new refined mode]]&lt;&gt;"",CONCATENATE("MRL",Table6[[#This Row],[label connector case 3 normal mode]],Table6[[#This Row],[label refinements case 3 normal mode]]),"")</f>
        <v/>
      </c>
      <c r="BG446" s="1298" t="s">
        <v>575</v>
      </c>
      <c r="BH446" s="1306"/>
    </row>
    <row r="447" spans="1:60" s="11" customFormat="1" ht="12.75" customHeight="1" x14ac:dyDescent="0.2">
      <c r="A447" s="479" t="s">
        <v>535</v>
      </c>
      <c r="B447" s="480">
        <v>212010</v>
      </c>
      <c r="C447" s="547" t="s">
        <v>846</v>
      </c>
      <c r="D447" s="1261">
        <f>VLOOKUP(Table6[[#This Row],[Code no.]],$B$12:$D$390,3,FALSE)</f>
        <v>0</v>
      </c>
      <c r="E447" s="1264">
        <f t="shared" si="275"/>
        <v>0</v>
      </c>
      <c r="F447" s="1262" t="str">
        <f t="shared" si="272"/>
        <v/>
      </c>
      <c r="G447" s="1265">
        <f t="shared" si="276"/>
        <v>1</v>
      </c>
      <c r="H447" s="881"/>
      <c r="I447" s="880"/>
      <c r="J447" s="1269">
        <f t="shared" si="277"/>
        <v>0</v>
      </c>
      <c r="K447" s="1269">
        <f t="shared" si="278"/>
        <v>0</v>
      </c>
      <c r="L447" s="1276" t="str">
        <f>IF(VLOOKUP($B447,$B$12:$AY$390,$K$2,FALSE)&gt;"",VLOOKUP($B447,$B$12:$AY$390,$K$2,FALSE),"")</f>
        <v/>
      </c>
      <c r="M447" s="1271" t="str">
        <f t="shared" si="279"/>
        <v/>
      </c>
      <c r="N447" s="1272"/>
      <c r="O447" s="1273" t="s">
        <v>654</v>
      </c>
      <c r="P447" s="1273" t="str">
        <f>IF(OR($A$10=$BG$15,Results!$B$62=Results!$T$63),Table6[[#This Row],[label refine mode]],Table6[[#This Row],[label normal mode]])</f>
        <v/>
      </c>
      <c r="Q447" s="1257" t="str">
        <f>IF(OR($A$10=$BG$15,Results!$B$62=Results!$T$63),Table6[[#This Row],[input refined mode]],Table6[[#This Row],[Input normal mode]])</f>
        <v/>
      </c>
      <c r="R447" s="1275" t="str">
        <f>IF(Table6[[#This Row],[Acute RA IESTI new input value]]="","",CONCATENATE(Table6[[#This Row],[label for IESTI new normal mode]],Table6[[#This Row],[label connector IESTI new normal mode]],Table6[[#This Row],[label refinements normal mode]]))</f>
        <v/>
      </c>
      <c r="S447" s="1259">
        <f>IF(OR($A$10=$BG$15,Results!$B$62=Results!$T$63),Table6[[#This Row],[Input for IESTI new refined mode]],Table6[[#This Row],[Input for IESTI new normal mode]])</f>
        <v>0</v>
      </c>
      <c r="T447" s="888"/>
      <c r="U447" s="1283">
        <f t="shared" si="280"/>
        <v>0</v>
      </c>
      <c r="V447" s="1284" t="str">
        <f t="shared" si="281"/>
        <v/>
      </c>
      <c r="W447" s="1285">
        <f>IF($H447&gt;0,$H447,IF(Table6[[#This Row],[CFrisk for residue definition (applicable for unprocessed products)]]&gt;0,Table6[[#This Row],[CFrisk for residue definition (applicable for unprocessed products)]],1))</f>
        <v>1</v>
      </c>
      <c r="X447" s="1285">
        <v>1</v>
      </c>
      <c r="Y447" s="1285">
        <f t="shared" si="282"/>
        <v>1</v>
      </c>
      <c r="Z447" s="1285">
        <f t="shared" si="283"/>
        <v>1</v>
      </c>
      <c r="AA447" s="1285" t="str">
        <f>IF(Table6[[#This Row],[Post-harvest treatment]]="","","Y")</f>
        <v/>
      </c>
      <c r="AB447" s="1285" t="str">
        <f>IF(AND(Table6[[#This Row],[CF used for for calculation]]&lt;&gt;1,Table6[[#This Row],[PF for calculation]]&lt;&gt;1),"CF*PF",IF(Table6[[#This Row],[CF used for for calculation]]&lt;&gt;1,"CF",IF(Table6[[#This Row],[PF for calculation]]&lt;&gt;1,"PF","")))</f>
        <v/>
      </c>
      <c r="AC447" s="1300">
        <f>IF(AND(Table6[[#This Row],[LOQ RAC individual crop]]="Y",Table6[[#This Row],[GAP under assessment]]="N"),Table6[[#This Row],[MRL RAC individual commodity]],Table6[[#This Row],[MRL RAC individual commodity]]*Table6[[#This Row],[CF*PF for calculation]])</f>
        <v>0</v>
      </c>
      <c r="AD447" s="1287">
        <f t="shared" si="284"/>
        <v>0</v>
      </c>
      <c r="AE447" s="1287">
        <f t="shared" si="285"/>
        <v>0</v>
      </c>
      <c r="AF447" s="1307" t="str">
        <f>Table6[[#This Row],[IESTI case]]</f>
        <v>2a/2b</v>
      </c>
      <c r="AG44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47" s="1302" t="str">
        <f>IF(Table6[[#This Row],[Input value normal mode case 1, 2a/2b,Po]]&gt;0,
              IF(Table6[[#This Row],[Highest residue * CF*PF]]&gt;"","HR-RAC",
                             IF(Table6[[#This Row],[LOQ RAC individual crop]]="Y","LOQ","MRL")),"")</f>
        <v/>
      </c>
      <c r="AI447" s="1302" t="str">
        <f t="shared" si="286"/>
        <v/>
      </c>
      <c r="AJ447" s="1302" t="str">
        <f>IF(Table6[[#This Row],[Input value normal mode case 1, 2a/2b,Po]]&gt;0,IF(Table6[[#This Row],[label description]]&gt;"",Table6[[#This Row],[label description]],""),"")</f>
        <v/>
      </c>
      <c r="AK447" s="1302" t="str">
        <f>CONCATENATE(Table6[[#This Row],[label for IESTI normal mode case 1, 2a/2b,Po]],Table6[[#This Row],[label connector case  normal mode]],Table6[[#This Row],[label refinements normal mode case 1, 2a/2b,Po]])</f>
        <v/>
      </c>
      <c r="AL447" s="1287" t="str">
        <f>IF(AND(Table6[[#This Row],[Case for acute RA children / adults]]=3,Table6[[#This Row],[Post-harvest treatment]]=""),IF(AND(Table6[[#This Row],[LOQ RAC individual crop]]="Y",M446="N"),Table6[[#This Row],[MRL RAC individual commodity]],IF(Table6[[#This Row],[Median residue*CF*PF]]&gt;0,Table6[[#This Row],[Median residue*CF*PF]],IF(Table6[[#This Row],[MRL*CF*PF or LOQ (if not under assessment and LOQ)]]&gt;0,Table6[[#This Row],[MRL*CF*PF or LOQ (if not under assessment and LOQ)]],""))),"")</f>
        <v/>
      </c>
      <c r="AM447" s="1295" t="str">
        <f>IF(Table6[[#This Row],[input for case 3 normal mode]]&gt;0,IF(Table6[[#This Row],[Median residue*CF*PF]]&gt;0,"STMR-RAC",IF(AND($AC447&gt;0,NOT(V447="Y")),"MRL",IF($V447="Y","LOQ",""))),"")</f>
        <v/>
      </c>
      <c r="AN447" s="1295" t="str">
        <f t="shared" si="287"/>
        <v/>
      </c>
      <c r="AO447" s="1287" t="str">
        <f>IF(Table6[[#This Row],[input for case 3 normal mode]]="","",IF(AND(Table6[[#This Row],[label for case 3 calculation normal mode]]="LOQ",Table6[[#This Row],[GAP under assessment]]="N"),"",IF(Table6[[#This Row],[label description]]&gt;"",Table6[[#This Row],[label description]],"")))</f>
        <v/>
      </c>
      <c r="AP447" s="1287" t="str">
        <f>CONCATENATE(Table6[[#This Row],[label for case 3 calculation normal mode]],Table6[[#This Row],[label connector case 3 normal mode]],Table6[[#This Row],[label refinements case 3 normal mode]])</f>
        <v/>
      </c>
      <c r="AQ447" s="1287" t="str">
        <f>IF(Table6[[#This Row],[GAP under assessment]]="Y",Table6[[#This Row],[Input value normal mode case 1, 2a/2b,Po]],"")</f>
        <v/>
      </c>
      <c r="AR447" s="1287" t="str">
        <f>IF(Table6[[#This Row],[Input value refined mode case 1, 2a/2b,Po]]&gt;0,Table6[[#This Row],[concat label normal mode 1,2a/2b,Po ]],"")</f>
        <v/>
      </c>
      <c r="AS447" s="1303" t="str">
        <f>IF(Table6[[#This Row],[GAP under assessment]]="Y",Table6[[#This Row],[input for case 3 normal mode]],"")</f>
        <v/>
      </c>
      <c r="AT447" s="1287" t="str">
        <f>IF(Table6[[#This Row],[input for case 3 refined mode]]&gt;0,Table6[[#This Row],[concat label normal mode  case 3]],"")</f>
        <v/>
      </c>
      <c r="AU447" s="1295" t="str">
        <f>IF(Table6[[#This Row],[Input value normal mode case 1, 2a/2b,Po]]&gt;0,Table6[[#This Row],[Input value normal mode case 1, 2a/2b,Po]],Table6[[#This Row],[input for case 3 normal mode]])</f>
        <v/>
      </c>
      <c r="AV447" s="1295" t="str">
        <f>IF(Table6[[#This Row],[Input value normal mode case 1, 2a/2b,Po]]&gt;0,Table6[[#This Row],[concat label normal mode 1,2a/2b,Po ]],Table6[[#This Row],[concat label normal mode  case 3]])</f>
        <v/>
      </c>
      <c r="AW447" s="1295" t="str">
        <f>IF(Table6[[#This Row],[Input value refined mode case 1, 2a/2b,Po]]&gt;0,Table6[[#This Row],[Input value refined mode case 1, 2a/2b,Po]],Table6[[#This Row],[input for case 3 refined mode]])</f>
        <v/>
      </c>
      <c r="AX447" s="1295" t="str">
        <f>IF(Table6[[#This Row],[Input value refined mode case 1, 2a/2b,Po]]&gt;0,Table6[[#This Row],[concat label refined mode case 1,2a/2b,Po]],Table6[[#This Row],[label for case 3 calculation refined mode]])</f>
        <v/>
      </c>
      <c r="AY447" s="1287">
        <f t="shared" si="288"/>
        <v>0</v>
      </c>
      <c r="AZ447" s="1295" t="str">
        <f t="shared" si="289"/>
        <v/>
      </c>
      <c r="BA447" s="1295" t="str">
        <f t="shared" si="290"/>
        <v/>
      </c>
      <c r="BB447" s="1287" t="str">
        <f>IF(AND(Table6[[#This Row],[label for IESTI new normal mode]]="LOQ",Table6[[#This Row],[GAP under assessment]]="N"),"",IF(AND($H447&gt;0,$Y447&lt;&gt;1),"CF*PF",IF($H447&gt;0,"CF",IF($Y447&lt;&gt;1,"PF",""))))</f>
        <v/>
      </c>
      <c r="BC447" s="1296"/>
      <c r="BD447" s="1297"/>
      <c r="BE447" s="1304" t="str">
        <f>IF(Table6[[#This Row],[GAP under assessment]]="Y",Table6[[#This Row],[MRL*CF*PF or LOQ (if not under assessment and LOQ)]],"")</f>
        <v/>
      </c>
      <c r="BF447" s="1305" t="str">
        <f>IF(Table6[[#This Row],[Input for IESTI new refined mode]]&lt;&gt;"",CONCATENATE("MRL",Table6[[#This Row],[label connector case 3 normal mode]],Table6[[#This Row],[label refinements case 3 normal mode]]),"")</f>
        <v/>
      </c>
      <c r="BG447" s="1298" t="s">
        <v>535</v>
      </c>
      <c r="BH447" s="1306"/>
    </row>
    <row r="448" spans="1:60" s="11" customFormat="1" ht="12.75" customHeight="1" x14ac:dyDescent="0.2">
      <c r="A448" s="479" t="s">
        <v>536</v>
      </c>
      <c r="B448" s="480">
        <v>212020</v>
      </c>
      <c r="C448" s="547" t="s">
        <v>392</v>
      </c>
      <c r="D448" s="1261">
        <f>VLOOKUP(Table6[[#This Row],[Code no.]],$B$12:$D$390,3,FALSE)</f>
        <v>0</v>
      </c>
      <c r="E448" s="1264">
        <f t="shared" si="275"/>
        <v>0</v>
      </c>
      <c r="F448" s="1262" t="str">
        <f t="shared" si="272"/>
        <v/>
      </c>
      <c r="G448" s="1265">
        <f t="shared" si="276"/>
        <v>1</v>
      </c>
      <c r="H448" s="881"/>
      <c r="I448" s="880"/>
      <c r="J448" s="1269">
        <f t="shared" si="277"/>
        <v>0</v>
      </c>
      <c r="K448" s="1269">
        <f t="shared" si="278"/>
        <v>0</v>
      </c>
      <c r="L448" s="1276" t="str">
        <f>IF(VLOOKUP($B448,$B$12:$AY$390,$K$2,FALSE)&gt;"",VLOOKUP($B448,$B$12:$AY$390,$K$2,FALSE),"")</f>
        <v/>
      </c>
      <c r="M448" s="1271" t="str">
        <f t="shared" si="279"/>
        <v/>
      </c>
      <c r="N448" s="1272"/>
      <c r="O448" s="1273" t="s">
        <v>654</v>
      </c>
      <c r="P448" s="1273" t="str">
        <f>IF(OR($A$10=$BG$15,Results!$B$62=Results!$T$63),Table6[[#This Row],[label refine mode]],Table6[[#This Row],[label normal mode]])</f>
        <v/>
      </c>
      <c r="Q448" s="1257" t="str">
        <f>IF(OR($A$10=$BG$15,Results!$B$62=Results!$T$63),Table6[[#This Row],[input refined mode]],Table6[[#This Row],[Input normal mode]])</f>
        <v/>
      </c>
      <c r="R448" s="1275" t="str">
        <f>IF(Table6[[#This Row],[Acute RA IESTI new input value]]="","",CONCATENATE(Table6[[#This Row],[label for IESTI new normal mode]],Table6[[#This Row],[label connector IESTI new normal mode]],Table6[[#This Row],[label refinements normal mode]]))</f>
        <v/>
      </c>
      <c r="S448" s="1259">
        <f>IF(OR($A$10=$BG$15,Results!$B$62=Results!$T$63),Table6[[#This Row],[Input for IESTI new refined mode]],Table6[[#This Row],[Input for IESTI new normal mode]])</f>
        <v>0</v>
      </c>
      <c r="T448" s="888"/>
      <c r="U448" s="1283">
        <f t="shared" si="280"/>
        <v>0</v>
      </c>
      <c r="V448" s="1284" t="str">
        <f t="shared" si="281"/>
        <v/>
      </c>
      <c r="W448" s="1285">
        <f>IF($H448&gt;0,$H448,IF(Table6[[#This Row],[CFrisk for residue definition (applicable for unprocessed products)]]&gt;0,Table6[[#This Row],[CFrisk for residue definition (applicable for unprocessed products)]],1))</f>
        <v>1</v>
      </c>
      <c r="X448" s="1285">
        <v>1</v>
      </c>
      <c r="Y448" s="1285">
        <f t="shared" si="282"/>
        <v>1</v>
      </c>
      <c r="Z448" s="1285">
        <f t="shared" si="283"/>
        <v>1</v>
      </c>
      <c r="AA448" s="1285" t="str">
        <f>IF(Table6[[#This Row],[Post-harvest treatment]]="","","Y")</f>
        <v/>
      </c>
      <c r="AB448" s="1285" t="str">
        <f>IF(AND(Table6[[#This Row],[CF used for for calculation]]&lt;&gt;1,Table6[[#This Row],[PF for calculation]]&lt;&gt;1),"CF*PF",IF(Table6[[#This Row],[CF used for for calculation]]&lt;&gt;1,"CF",IF(Table6[[#This Row],[PF for calculation]]&lt;&gt;1,"PF","")))</f>
        <v/>
      </c>
      <c r="AC448" s="1300">
        <f>IF(AND(Table6[[#This Row],[LOQ RAC individual crop]]="Y",Table6[[#This Row],[GAP under assessment]]="N"),Table6[[#This Row],[MRL RAC individual commodity]],Table6[[#This Row],[MRL RAC individual commodity]]*Table6[[#This Row],[CF*PF for calculation]])</f>
        <v>0</v>
      </c>
      <c r="AD448" s="1287">
        <f t="shared" si="284"/>
        <v>0</v>
      </c>
      <c r="AE448" s="1287">
        <f t="shared" si="285"/>
        <v>0</v>
      </c>
      <c r="AF448" s="1307" t="str">
        <f>Table6[[#This Row],[IESTI case]]</f>
        <v>2a/2b</v>
      </c>
      <c r="AG448"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48" s="1302" t="str">
        <f>IF(Table6[[#This Row],[Input value normal mode case 1, 2a/2b,Po]]&gt;0,
              IF(Table6[[#This Row],[Highest residue * CF*PF]]&gt;"","HR-RAC",
                             IF(Table6[[#This Row],[LOQ RAC individual crop]]="Y","LOQ","MRL")),"")</f>
        <v/>
      </c>
      <c r="AI448" s="1302" t="str">
        <f t="shared" si="286"/>
        <v/>
      </c>
      <c r="AJ448" s="1302" t="str">
        <f>IF(Table6[[#This Row],[Input value normal mode case 1, 2a/2b,Po]]&gt;0,IF(Table6[[#This Row],[label description]]&gt;"",Table6[[#This Row],[label description]],""),"")</f>
        <v/>
      </c>
      <c r="AK448" s="1302" t="str">
        <f>CONCATENATE(Table6[[#This Row],[label for IESTI normal mode case 1, 2a/2b,Po]],Table6[[#This Row],[label connector case  normal mode]],Table6[[#This Row],[label refinements normal mode case 1, 2a/2b,Po]])</f>
        <v/>
      </c>
      <c r="AL448" s="1287" t="str">
        <f>IF(AND(Table6[[#This Row],[Case for acute RA children / adults]]=3,Table6[[#This Row],[Post-harvest treatment]]=""),IF(AND(Table6[[#This Row],[LOQ RAC individual crop]]="Y",#REF!="N"),Table6[[#This Row],[MRL RAC individual commodity]],IF(Table6[[#This Row],[Median residue*CF*PF]]&gt;0,Table6[[#This Row],[Median residue*CF*PF]],IF(Table6[[#This Row],[MRL*CF*PF or LOQ (if not under assessment and LOQ)]]&gt;0,Table6[[#This Row],[MRL*CF*PF or LOQ (if not under assessment and LOQ)]],""))),"")</f>
        <v/>
      </c>
      <c r="AM448" s="1295" t="str">
        <f>IF(Table6[[#This Row],[input for case 3 normal mode]]&gt;0,IF(Table6[[#This Row],[Median residue*CF*PF]]&gt;0,"STMR-RAC",IF(AND($AC448&gt;0,NOT(V448="Y")),"MRL",IF($V448="Y","LOQ",""))),"")</f>
        <v/>
      </c>
      <c r="AN448" s="1295" t="str">
        <f t="shared" si="287"/>
        <v/>
      </c>
      <c r="AO448" s="1287" t="str">
        <f>IF(Table6[[#This Row],[input for case 3 normal mode]]="","",IF(AND(Table6[[#This Row],[label for case 3 calculation normal mode]]="LOQ",Table6[[#This Row],[GAP under assessment]]="N"),"",IF(Table6[[#This Row],[label description]]&gt;"",Table6[[#This Row],[label description]],"")))</f>
        <v/>
      </c>
      <c r="AP448" s="1287" t="str">
        <f>CONCATENATE(Table6[[#This Row],[label for case 3 calculation normal mode]],Table6[[#This Row],[label connector case 3 normal mode]],Table6[[#This Row],[label refinements case 3 normal mode]])</f>
        <v/>
      </c>
      <c r="AQ448" s="1287" t="str">
        <f>IF(Table6[[#This Row],[GAP under assessment]]="Y",Table6[[#This Row],[Input value normal mode case 1, 2a/2b,Po]],"")</f>
        <v/>
      </c>
      <c r="AR448" s="1287" t="str">
        <f>IF(Table6[[#This Row],[Input value refined mode case 1, 2a/2b,Po]]&gt;0,Table6[[#This Row],[concat label normal mode 1,2a/2b,Po ]],"")</f>
        <v/>
      </c>
      <c r="AS448" s="1303" t="str">
        <f>IF(Table6[[#This Row],[GAP under assessment]]="Y",Table6[[#This Row],[input for case 3 normal mode]],"")</f>
        <v/>
      </c>
      <c r="AT448" s="1287" t="str">
        <f>IF(Table6[[#This Row],[input for case 3 refined mode]]&gt;0,Table6[[#This Row],[concat label normal mode  case 3]],"")</f>
        <v/>
      </c>
      <c r="AU448" s="1295" t="str">
        <f>IF(Table6[[#This Row],[Input value normal mode case 1, 2a/2b,Po]]&gt;0,Table6[[#This Row],[Input value normal mode case 1, 2a/2b,Po]],Table6[[#This Row],[input for case 3 normal mode]])</f>
        <v/>
      </c>
      <c r="AV448" s="1295" t="str">
        <f>IF(Table6[[#This Row],[Input value normal mode case 1, 2a/2b,Po]]&gt;0,Table6[[#This Row],[concat label normal mode 1,2a/2b,Po ]],Table6[[#This Row],[concat label normal mode  case 3]])</f>
        <v/>
      </c>
      <c r="AW448" s="1295" t="str">
        <f>IF(Table6[[#This Row],[Input value refined mode case 1, 2a/2b,Po]]&gt;0,Table6[[#This Row],[Input value refined mode case 1, 2a/2b,Po]],Table6[[#This Row],[input for case 3 refined mode]])</f>
        <v/>
      </c>
      <c r="AX448" s="1295" t="str">
        <f>IF(Table6[[#This Row],[Input value refined mode case 1, 2a/2b,Po]]&gt;0,Table6[[#This Row],[concat label refined mode case 1,2a/2b,Po]],Table6[[#This Row],[label for case 3 calculation refined mode]])</f>
        <v/>
      </c>
      <c r="AY448" s="1287">
        <f t="shared" si="288"/>
        <v>0</v>
      </c>
      <c r="AZ448" s="1295" t="str">
        <f t="shared" si="289"/>
        <v/>
      </c>
      <c r="BA448" s="1295" t="str">
        <f t="shared" si="290"/>
        <v/>
      </c>
      <c r="BB448" s="1287" t="str">
        <f>IF(AND(Table6[[#This Row],[label for IESTI new normal mode]]="LOQ",Table6[[#This Row],[GAP under assessment]]="N"),"",IF(AND($H448&gt;0,$Y448&lt;&gt;1),"CF*PF",IF($H448&gt;0,"CF",IF($Y448&lt;&gt;1,"PF",""))))</f>
        <v/>
      </c>
      <c r="BC448" s="1296"/>
      <c r="BD448" s="1297"/>
      <c r="BE448" s="1304" t="str">
        <f>IF(Table6[[#This Row],[GAP under assessment]]="Y",Table6[[#This Row],[MRL*CF*PF or LOQ (if not under assessment and LOQ)]],"")</f>
        <v/>
      </c>
      <c r="BF448" s="1305" t="str">
        <f>IF(Table6[[#This Row],[Input for IESTI new refined mode]]&lt;&gt;"",CONCATENATE("MRL",Table6[[#This Row],[label connector case 3 normal mode]],Table6[[#This Row],[label refinements case 3 normal mode]]),"")</f>
        <v/>
      </c>
      <c r="BG448" s="1298" t="s">
        <v>536</v>
      </c>
      <c r="BH448" s="1306"/>
    </row>
    <row r="449" spans="1:60" s="11" customFormat="1" ht="12.75" customHeight="1" x14ac:dyDescent="0.2">
      <c r="A449" s="479" t="s">
        <v>577</v>
      </c>
      <c r="B449" s="480">
        <v>212040</v>
      </c>
      <c r="C449" s="547" t="s">
        <v>822</v>
      </c>
      <c r="D449" s="1261">
        <f>VLOOKUP(Table6[[#This Row],[Code no.]],$B$12:$D$390,3,FALSE)</f>
        <v>0</v>
      </c>
      <c r="E449" s="1264">
        <f t="shared" si="275"/>
        <v>0</v>
      </c>
      <c r="F449" s="1262" t="str">
        <f t="shared" si="272"/>
        <v/>
      </c>
      <c r="G449" s="1265">
        <f t="shared" si="276"/>
        <v>1</v>
      </c>
      <c r="H449" s="881"/>
      <c r="I449" s="880"/>
      <c r="J449" s="1269">
        <f t="shared" si="277"/>
        <v>0</v>
      </c>
      <c r="K449" s="1269">
        <f t="shared" si="278"/>
        <v>0</v>
      </c>
      <c r="L449" s="1270"/>
      <c r="M449" s="1271" t="str">
        <f t="shared" si="279"/>
        <v/>
      </c>
      <c r="N449" s="1272"/>
      <c r="O449" s="1273">
        <v>3</v>
      </c>
      <c r="P449" s="1273" t="str">
        <f>IF(OR($A$10=$BG$15,Results!$B$62=Results!$T$63),Table6[[#This Row],[label refine mode]],Table6[[#This Row],[label normal mode]])</f>
        <v/>
      </c>
      <c r="Q449" s="1257" t="str">
        <f>IF(OR($A$10=$BG$15,Results!$B$62=Results!$T$63),Table6[[#This Row],[input refined mode]],Table6[[#This Row],[Input normal mode]])</f>
        <v/>
      </c>
      <c r="R449" s="1275" t="str">
        <f>IF(Table6[[#This Row],[Acute RA IESTI new input value]]="","",CONCATENATE(Table6[[#This Row],[label for IESTI new normal mode]],Table6[[#This Row],[label connector IESTI new normal mode]],Table6[[#This Row],[label refinements normal mode]]))</f>
        <v/>
      </c>
      <c r="S449" s="1259">
        <f>IF(OR($A$10=$BG$15,Results!$B$62=Results!$T$63),Table6[[#This Row],[Input for IESTI new refined mode]],Table6[[#This Row],[Input for IESTI new normal mode]])</f>
        <v>0</v>
      </c>
      <c r="T449" s="888"/>
      <c r="U449" s="1283">
        <f t="shared" si="280"/>
        <v>0</v>
      </c>
      <c r="V449" s="1284" t="str">
        <f t="shared" si="281"/>
        <v/>
      </c>
      <c r="W449" s="1285">
        <f>IF($H449&gt;0,$H449,IF(Table6[[#This Row],[CFrisk for residue definition (applicable for unprocessed products)]]&gt;0,Table6[[#This Row],[CFrisk for residue definition (applicable for unprocessed products)]],1))</f>
        <v>1</v>
      </c>
      <c r="X449" s="1285">
        <v>1</v>
      </c>
      <c r="Y449" s="1285">
        <f t="shared" si="282"/>
        <v>1</v>
      </c>
      <c r="Z449" s="1285">
        <f t="shared" si="283"/>
        <v>1</v>
      </c>
      <c r="AA449" s="1285" t="str">
        <f>IF(Table6[[#This Row],[Post-harvest treatment]]="","","Y")</f>
        <v/>
      </c>
      <c r="AB449" s="1285" t="str">
        <f>IF(AND(Table6[[#This Row],[CF used for for calculation]]&lt;&gt;1,Table6[[#This Row],[PF for calculation]]&lt;&gt;1),"CF*PF",IF(Table6[[#This Row],[CF used for for calculation]]&lt;&gt;1,"CF",IF(Table6[[#This Row],[PF for calculation]]&lt;&gt;1,"PF","")))</f>
        <v/>
      </c>
      <c r="AC449" s="1300">
        <f>IF(AND(Table6[[#This Row],[LOQ RAC individual crop]]="Y",Table6[[#This Row],[GAP under assessment]]="N"),Table6[[#This Row],[MRL RAC individual commodity]],Table6[[#This Row],[MRL RAC individual commodity]]*Table6[[#This Row],[CF*PF for calculation]])</f>
        <v>0</v>
      </c>
      <c r="AD449" s="1287">
        <f t="shared" si="284"/>
        <v>0</v>
      </c>
      <c r="AE449" s="1287">
        <f t="shared" si="285"/>
        <v>0</v>
      </c>
      <c r="AF449" s="1288">
        <f>Table6[[#This Row],[IESTI case]]</f>
        <v>3</v>
      </c>
      <c r="AG449"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49" s="1302" t="str">
        <f>IF(Table6[[#This Row],[Input value normal mode case 1, 2a/2b,Po]]&gt;0,
              IF(Table6[[#This Row],[Highest residue * CF*PF]]&gt;"","HR-RAC",
                             IF(Table6[[#This Row],[LOQ RAC individual crop]]="Y","LOQ","MRL")),"")</f>
        <v/>
      </c>
      <c r="AI449" s="1302" t="str">
        <f t="shared" si="286"/>
        <v/>
      </c>
      <c r="AJ449" s="1302" t="str">
        <f>IF(Table6[[#This Row],[Input value normal mode case 1, 2a/2b,Po]]&gt;0,IF(Table6[[#This Row],[label description]]&gt;"",Table6[[#This Row],[label description]],""),"")</f>
        <v/>
      </c>
      <c r="AK449" s="1302" t="str">
        <f>CONCATENATE(Table6[[#This Row],[label for IESTI normal mode case 1, 2a/2b,Po]],Table6[[#This Row],[label connector case  normal mode]],Table6[[#This Row],[label refinements normal mode case 1, 2a/2b,Po]])</f>
        <v/>
      </c>
      <c r="AL449" s="1287" t="str">
        <f>IF(AND(Table6[[#This Row],[Case for acute RA children / adults]]=3,Table6[[#This Row],[Post-harvest treatment]]=""),IF(AND(Table6[[#This Row],[LOQ RAC individual crop]]="Y",M448="N"),Table6[[#This Row],[MRL RAC individual commodity]],IF(Table6[[#This Row],[Median residue*CF*PF]]&gt;0,Table6[[#This Row],[Median residue*CF*PF]],IF(Table6[[#This Row],[MRL*CF*PF or LOQ (if not under assessment and LOQ)]]&gt;0,Table6[[#This Row],[MRL*CF*PF or LOQ (if not under assessment and LOQ)]],""))),"")</f>
        <v/>
      </c>
      <c r="AM449" s="1295" t="str">
        <f>IF(Table6[[#This Row],[input for case 3 normal mode]]&gt;0,IF(Table6[[#This Row],[Median residue*CF*PF]]&gt;0,"STMR-RAC",IF(AND($AC449&gt;0,NOT(V449="Y")),"MRL",IF($V449="Y","LOQ",""))),"")</f>
        <v/>
      </c>
      <c r="AN449" s="1295" t="str">
        <f t="shared" si="287"/>
        <v/>
      </c>
      <c r="AO449" s="1287" t="str">
        <f>IF(Table6[[#This Row],[input for case 3 normal mode]]="","",IF(AND(Table6[[#This Row],[label for case 3 calculation normal mode]]="LOQ",Table6[[#This Row],[GAP under assessment]]="N"),"",IF(Table6[[#This Row],[label description]]&gt;"",Table6[[#This Row],[label description]],"")))</f>
        <v/>
      </c>
      <c r="AP449" s="1287" t="str">
        <f>CONCATENATE(Table6[[#This Row],[label for case 3 calculation normal mode]],Table6[[#This Row],[label connector case 3 normal mode]],Table6[[#This Row],[label refinements case 3 normal mode]])</f>
        <v/>
      </c>
      <c r="AQ449" s="1287" t="str">
        <f>IF(Table6[[#This Row],[GAP under assessment]]="Y",Table6[[#This Row],[Input value normal mode case 1, 2a/2b,Po]],"")</f>
        <v/>
      </c>
      <c r="AR449" s="1287" t="str">
        <f>IF(Table6[[#This Row],[Input value refined mode case 1, 2a/2b,Po]]&gt;0,Table6[[#This Row],[concat label normal mode 1,2a/2b,Po ]],"")</f>
        <v/>
      </c>
      <c r="AS449" s="1303" t="str">
        <f>IF(Table6[[#This Row],[GAP under assessment]]="Y",Table6[[#This Row],[input for case 3 normal mode]],"")</f>
        <v/>
      </c>
      <c r="AT449" s="1287" t="str">
        <f>IF(Table6[[#This Row],[input for case 3 refined mode]]&gt;0,Table6[[#This Row],[concat label normal mode  case 3]],"")</f>
        <v/>
      </c>
      <c r="AU449" s="1295" t="str">
        <f>IF(Table6[[#This Row],[Input value normal mode case 1, 2a/2b,Po]]&gt;0,Table6[[#This Row],[Input value normal mode case 1, 2a/2b,Po]],Table6[[#This Row],[input for case 3 normal mode]])</f>
        <v/>
      </c>
      <c r="AV449" s="1295" t="str">
        <f>IF(Table6[[#This Row],[Input value normal mode case 1, 2a/2b,Po]]&gt;0,Table6[[#This Row],[concat label normal mode 1,2a/2b,Po ]],Table6[[#This Row],[concat label normal mode  case 3]])</f>
        <v/>
      </c>
      <c r="AW449" s="1295" t="str">
        <f>IF(Table6[[#This Row],[Input value refined mode case 1, 2a/2b,Po]]&gt;0,Table6[[#This Row],[Input value refined mode case 1, 2a/2b,Po]],Table6[[#This Row],[input for case 3 refined mode]])</f>
        <v/>
      </c>
      <c r="AX449" s="1295" t="str">
        <f>IF(Table6[[#This Row],[Input value refined mode case 1, 2a/2b,Po]]&gt;0,Table6[[#This Row],[concat label refined mode case 1,2a/2b,Po]],Table6[[#This Row],[label for case 3 calculation refined mode]])</f>
        <v/>
      </c>
      <c r="AY449" s="1287">
        <f t="shared" si="288"/>
        <v>0</v>
      </c>
      <c r="AZ449" s="1295" t="str">
        <f t="shared" si="289"/>
        <v/>
      </c>
      <c r="BA449" s="1295" t="str">
        <f t="shared" si="290"/>
        <v/>
      </c>
      <c r="BB449" s="1287" t="str">
        <f>IF(AND(Table6[[#This Row],[label for IESTI new normal mode]]="LOQ",Table6[[#This Row],[GAP under assessment]]="N"),"",IF(AND($H449&gt;0,$Y449&lt;&gt;1),"CF*PF",IF($H449&gt;0,"CF",IF($Y449&lt;&gt;1,"PF",""))))</f>
        <v/>
      </c>
      <c r="BC449" s="1296" t="s">
        <v>369</v>
      </c>
      <c r="BD449" s="1297"/>
      <c r="BE449" s="1304" t="str">
        <f>IF(Table6[[#This Row],[GAP under assessment]]="Y",Table6[[#This Row],[MRL*CF*PF or LOQ (if not under assessment and LOQ)]],"")</f>
        <v/>
      </c>
      <c r="BF449" s="1305" t="str">
        <f>IF(Table6[[#This Row],[Input for IESTI new refined mode]]&lt;&gt;"",CONCATENATE("MRL",Table6[[#This Row],[label connector case 3 normal mode]],Table6[[#This Row],[label refinements case 3 normal mode]]),"")</f>
        <v/>
      </c>
      <c r="BG449" s="1298" t="s">
        <v>577</v>
      </c>
      <c r="BH449" s="1306"/>
    </row>
    <row r="450" spans="1:60" s="11" customFormat="1" ht="12.75" customHeight="1" x14ac:dyDescent="0.2">
      <c r="A450" s="479" t="s">
        <v>537</v>
      </c>
      <c r="B450" s="480">
        <v>213010</v>
      </c>
      <c r="C450" s="547" t="s">
        <v>823</v>
      </c>
      <c r="D450" s="1261">
        <f>VLOOKUP(Table6[[#This Row],[Code no.]],$B$12:$D$390,3,FALSE)</f>
        <v>0</v>
      </c>
      <c r="E450" s="1264">
        <f t="shared" si="275"/>
        <v>0</v>
      </c>
      <c r="F450" s="1262" t="str">
        <f t="shared" si="272"/>
        <v/>
      </c>
      <c r="G450" s="1265">
        <f t="shared" si="276"/>
        <v>1</v>
      </c>
      <c r="H450" s="881"/>
      <c r="I450" s="880"/>
      <c r="J450" s="1269">
        <f t="shared" si="277"/>
        <v>0</v>
      </c>
      <c r="K450" s="1269">
        <f t="shared" si="278"/>
        <v>0</v>
      </c>
      <c r="L450" s="1276" t="str">
        <f>IF(VLOOKUP($B450,$B$12:$AY$390,$K$2,FALSE)&gt;"",VLOOKUP($B450,$B$12:$AY$390,$K$2,FALSE),"")</f>
        <v/>
      </c>
      <c r="M450" s="1271" t="str">
        <f t="shared" si="279"/>
        <v/>
      </c>
      <c r="N450" s="1272"/>
      <c r="O450" s="1273" t="s">
        <v>654</v>
      </c>
      <c r="P450" s="1273" t="str">
        <f>IF(OR($A$10=$BG$15,Results!$B$62=Results!$T$63),Table6[[#This Row],[label refine mode]],Table6[[#This Row],[label normal mode]])</f>
        <v/>
      </c>
      <c r="Q450" s="1257" t="str">
        <f>IF(OR($A$10=$BG$15,Results!$B$62=Results!$T$63),Table6[[#This Row],[input refined mode]],Table6[[#This Row],[Input normal mode]])</f>
        <v/>
      </c>
      <c r="R450" s="1275" t="str">
        <f>IF(Table6[[#This Row],[Acute RA IESTI new input value]]="","",CONCATENATE(Table6[[#This Row],[label for IESTI new normal mode]],Table6[[#This Row],[label connector IESTI new normal mode]],Table6[[#This Row],[label refinements normal mode]]))</f>
        <v/>
      </c>
      <c r="S450" s="1259">
        <f>IF(OR($A$10=$BG$15,Results!$B$62=Results!$T$63),Table6[[#This Row],[Input for IESTI new refined mode]],Table6[[#This Row],[Input for IESTI new normal mode]])</f>
        <v>0</v>
      </c>
      <c r="T450" s="888"/>
      <c r="U450" s="1283">
        <f t="shared" si="280"/>
        <v>0</v>
      </c>
      <c r="V450" s="1284" t="str">
        <f t="shared" si="281"/>
        <v/>
      </c>
      <c r="W450" s="1285">
        <f>IF($H450&gt;0,$H450,IF(Table6[[#This Row],[CFrisk for residue definition (applicable for unprocessed products)]]&gt;0,Table6[[#This Row],[CFrisk for residue definition (applicable for unprocessed products)]],1))</f>
        <v>1</v>
      </c>
      <c r="X450" s="1285">
        <v>1</v>
      </c>
      <c r="Y450" s="1285">
        <f t="shared" si="282"/>
        <v>1</v>
      </c>
      <c r="Z450" s="1285">
        <f t="shared" si="283"/>
        <v>1</v>
      </c>
      <c r="AA450" s="1285" t="str">
        <f>IF(Table6[[#This Row],[Post-harvest treatment]]="","","Y")</f>
        <v/>
      </c>
      <c r="AB450" s="1285" t="str">
        <f>IF(AND(Table6[[#This Row],[CF used for for calculation]]&lt;&gt;1,Table6[[#This Row],[PF for calculation]]&lt;&gt;1),"CF*PF",IF(Table6[[#This Row],[CF used for for calculation]]&lt;&gt;1,"CF",IF(Table6[[#This Row],[PF for calculation]]&lt;&gt;1,"PF","")))</f>
        <v/>
      </c>
      <c r="AC450" s="1300">
        <f>IF(AND(Table6[[#This Row],[LOQ RAC individual crop]]="Y",Table6[[#This Row],[GAP under assessment]]="N"),Table6[[#This Row],[MRL RAC individual commodity]],Table6[[#This Row],[MRL RAC individual commodity]]*Table6[[#This Row],[CF*PF for calculation]])</f>
        <v>0</v>
      </c>
      <c r="AD450" s="1287">
        <f t="shared" si="284"/>
        <v>0</v>
      </c>
      <c r="AE450" s="1287">
        <f t="shared" si="285"/>
        <v>0</v>
      </c>
      <c r="AF450" s="1307" t="str">
        <f>Table6[[#This Row],[IESTI case]]</f>
        <v>2a/2b</v>
      </c>
      <c r="AG450"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50" s="1302" t="str">
        <f>IF(Table6[[#This Row],[Input value normal mode case 1, 2a/2b,Po]]&gt;0,
              IF(Table6[[#This Row],[Highest residue * CF*PF]]&gt;"","HR-RAC",
                             IF(Table6[[#This Row],[LOQ RAC individual crop]]="Y","LOQ","MRL")),"")</f>
        <v/>
      </c>
      <c r="AI450" s="1302" t="str">
        <f t="shared" si="286"/>
        <v/>
      </c>
      <c r="AJ450" s="1302" t="str">
        <f>IF(Table6[[#This Row],[Input value normal mode case 1, 2a/2b,Po]]&gt;0,IF(Table6[[#This Row],[label description]]&gt;"",Table6[[#This Row],[label description]],""),"")</f>
        <v/>
      </c>
      <c r="AK450" s="1302" t="str">
        <f>CONCATENATE(Table6[[#This Row],[label for IESTI normal mode case 1, 2a/2b,Po]],Table6[[#This Row],[label connector case  normal mode]],Table6[[#This Row],[label refinements normal mode case 1, 2a/2b,Po]])</f>
        <v/>
      </c>
      <c r="AL450" s="1287" t="str">
        <f>IF(AND(Table6[[#This Row],[Case for acute RA children / adults]]=3,Table6[[#This Row],[Post-harvest treatment]]=""),IF(AND(Table6[[#This Row],[LOQ RAC individual crop]]="Y",M449="N"),Table6[[#This Row],[MRL RAC individual commodity]],IF(Table6[[#This Row],[Median residue*CF*PF]]&gt;0,Table6[[#This Row],[Median residue*CF*PF]],IF(Table6[[#This Row],[MRL*CF*PF or LOQ (if not under assessment and LOQ)]]&gt;0,Table6[[#This Row],[MRL*CF*PF or LOQ (if not under assessment and LOQ)]],""))),"")</f>
        <v/>
      </c>
      <c r="AM450" s="1295" t="str">
        <f>IF(Table6[[#This Row],[input for case 3 normal mode]]&gt;0,IF(Table6[[#This Row],[Median residue*CF*PF]]&gt;0,"STMR-RAC",IF(AND($AC450&gt;0,NOT(V450="Y")),"MRL",IF($V450="Y","LOQ",""))),"")</f>
        <v/>
      </c>
      <c r="AN450" s="1295" t="str">
        <f t="shared" si="287"/>
        <v/>
      </c>
      <c r="AO450" s="1287" t="str">
        <f>IF(Table6[[#This Row],[input for case 3 normal mode]]="","",IF(AND(Table6[[#This Row],[label for case 3 calculation normal mode]]="LOQ",Table6[[#This Row],[GAP under assessment]]="N"),"",IF(Table6[[#This Row],[label description]]&gt;"",Table6[[#This Row],[label description]],"")))</f>
        <v/>
      </c>
      <c r="AP450" s="1287" t="str">
        <f>CONCATENATE(Table6[[#This Row],[label for case 3 calculation normal mode]],Table6[[#This Row],[label connector case 3 normal mode]],Table6[[#This Row],[label refinements case 3 normal mode]])</f>
        <v/>
      </c>
      <c r="AQ450" s="1287" t="str">
        <f>IF(Table6[[#This Row],[GAP under assessment]]="Y",Table6[[#This Row],[Input value normal mode case 1, 2a/2b,Po]],"")</f>
        <v/>
      </c>
      <c r="AR450" s="1287" t="str">
        <f>IF(Table6[[#This Row],[Input value refined mode case 1, 2a/2b,Po]]&gt;0,Table6[[#This Row],[concat label normal mode 1,2a/2b,Po ]],"")</f>
        <v/>
      </c>
      <c r="AS450" s="1303" t="str">
        <f>IF(Table6[[#This Row],[GAP under assessment]]="Y",Table6[[#This Row],[input for case 3 normal mode]],"")</f>
        <v/>
      </c>
      <c r="AT450" s="1287" t="str">
        <f>IF(Table6[[#This Row],[input for case 3 refined mode]]&gt;0,Table6[[#This Row],[concat label normal mode  case 3]],"")</f>
        <v/>
      </c>
      <c r="AU450" s="1295" t="str">
        <f>IF(Table6[[#This Row],[Input value normal mode case 1, 2a/2b,Po]]&gt;0,Table6[[#This Row],[Input value normal mode case 1, 2a/2b,Po]],Table6[[#This Row],[input for case 3 normal mode]])</f>
        <v/>
      </c>
      <c r="AV450" s="1295" t="str">
        <f>IF(Table6[[#This Row],[Input value normal mode case 1, 2a/2b,Po]]&gt;0,Table6[[#This Row],[concat label normal mode 1,2a/2b,Po ]],Table6[[#This Row],[concat label normal mode  case 3]])</f>
        <v/>
      </c>
      <c r="AW450" s="1295" t="str">
        <f>IF(Table6[[#This Row],[Input value refined mode case 1, 2a/2b,Po]]&gt;0,Table6[[#This Row],[Input value refined mode case 1, 2a/2b,Po]],Table6[[#This Row],[input for case 3 refined mode]])</f>
        <v/>
      </c>
      <c r="AX450" s="1295" t="str">
        <f>IF(Table6[[#This Row],[Input value refined mode case 1, 2a/2b,Po]]&gt;0,Table6[[#This Row],[concat label refined mode case 1,2a/2b,Po]],Table6[[#This Row],[label for case 3 calculation refined mode]])</f>
        <v/>
      </c>
      <c r="AY450" s="1287">
        <f t="shared" si="288"/>
        <v>0</v>
      </c>
      <c r="AZ450" s="1295" t="str">
        <f t="shared" si="289"/>
        <v/>
      </c>
      <c r="BA450" s="1295" t="str">
        <f t="shared" si="290"/>
        <v/>
      </c>
      <c r="BB450" s="1287" t="str">
        <f>IF(AND(Table6[[#This Row],[label for IESTI new normal mode]]="LOQ",Table6[[#This Row],[GAP under assessment]]="N"),"",IF(AND($H450&gt;0,$Y450&lt;&gt;1),"CF*PF",IF($H450&gt;0,"CF",IF($Y450&lt;&gt;1,"PF",""))))</f>
        <v/>
      </c>
      <c r="BC450" s="1296"/>
      <c r="BD450" s="1297"/>
      <c r="BE450" s="1304" t="str">
        <f>IF(Table6[[#This Row],[GAP under assessment]]="Y",Table6[[#This Row],[MRL*CF*PF or LOQ (if not under assessment and LOQ)]],"")</f>
        <v/>
      </c>
      <c r="BF450" s="1305" t="str">
        <f>IF(Table6[[#This Row],[Input for IESTI new refined mode]]&lt;&gt;"",CONCATENATE("MRL",Table6[[#This Row],[label connector case 3 normal mode]],Table6[[#This Row],[label refinements case 3 normal mode]]),"")</f>
        <v/>
      </c>
      <c r="BG450" s="1298" t="s">
        <v>537</v>
      </c>
      <c r="BH450" s="1306"/>
    </row>
    <row r="451" spans="1:60" s="11" customFormat="1" ht="12.75" customHeight="1" x14ac:dyDescent="0.2">
      <c r="A451" s="479" t="s">
        <v>517</v>
      </c>
      <c r="B451" s="480">
        <v>213020</v>
      </c>
      <c r="C451" s="547" t="s">
        <v>463</v>
      </c>
      <c r="D451" s="1261">
        <f>VLOOKUP(Table6[[#This Row],[Code no.]],$B$12:$D$390,3,FALSE)</f>
        <v>0</v>
      </c>
      <c r="E451" s="1264">
        <f t="shared" si="275"/>
        <v>0</v>
      </c>
      <c r="F451" s="1262" t="str">
        <f t="shared" si="272"/>
        <v/>
      </c>
      <c r="G451" s="1265">
        <f t="shared" si="276"/>
        <v>1</v>
      </c>
      <c r="H451" s="881"/>
      <c r="I451" s="880"/>
      <c r="J451" s="1269">
        <f t="shared" si="277"/>
        <v>0</v>
      </c>
      <c r="K451" s="1269">
        <f t="shared" si="278"/>
        <v>0</v>
      </c>
      <c r="L451" s="1270"/>
      <c r="M451" s="1271" t="str">
        <f t="shared" si="279"/>
        <v/>
      </c>
      <c r="N451" s="1272"/>
      <c r="O451" s="1273">
        <v>3</v>
      </c>
      <c r="P451" s="1273" t="str">
        <f>IF(OR($A$10=$BG$15,Results!$B$62=Results!$T$63),Table6[[#This Row],[label refine mode]],Table6[[#This Row],[label normal mode]])</f>
        <v/>
      </c>
      <c r="Q451" s="1257" t="str">
        <f>IF(OR($A$10=$BG$15,Results!$B$62=Results!$T$63),Table6[[#This Row],[input refined mode]],Table6[[#This Row],[Input normal mode]])</f>
        <v/>
      </c>
      <c r="R451" s="1275" t="str">
        <f>IF(Table6[[#This Row],[Acute RA IESTI new input value]]="","",CONCATENATE(Table6[[#This Row],[label for IESTI new normal mode]],Table6[[#This Row],[label connector IESTI new normal mode]],Table6[[#This Row],[label refinements normal mode]]))</f>
        <v/>
      </c>
      <c r="S451" s="1259">
        <f>IF(OR($A$10=$BG$15,Results!$B$62=Results!$T$63),Table6[[#This Row],[Input for IESTI new refined mode]],Table6[[#This Row],[Input for IESTI new normal mode]])</f>
        <v>0</v>
      </c>
      <c r="T451" s="888"/>
      <c r="U451" s="1283">
        <f t="shared" si="280"/>
        <v>0</v>
      </c>
      <c r="V451" s="1284" t="str">
        <f t="shared" si="281"/>
        <v/>
      </c>
      <c r="W451" s="1285">
        <f>IF($H451&gt;0,$H451,IF(Table6[[#This Row],[CFrisk for residue definition (applicable for unprocessed products)]]&gt;0,Table6[[#This Row],[CFrisk for residue definition (applicable for unprocessed products)]],1))</f>
        <v>1</v>
      </c>
      <c r="X451" s="1285">
        <v>1</v>
      </c>
      <c r="Y451" s="1285">
        <f t="shared" si="282"/>
        <v>1</v>
      </c>
      <c r="Z451" s="1285">
        <f t="shared" si="283"/>
        <v>1</v>
      </c>
      <c r="AA451" s="1285" t="str">
        <f>IF(Table6[[#This Row],[Post-harvest treatment]]="","","Y")</f>
        <v/>
      </c>
      <c r="AB451" s="1285" t="str">
        <f>IF(AND(Table6[[#This Row],[CF used for for calculation]]&lt;&gt;1,Table6[[#This Row],[PF for calculation]]&lt;&gt;1),"CF*PF",IF(Table6[[#This Row],[CF used for for calculation]]&lt;&gt;1,"CF",IF(Table6[[#This Row],[PF for calculation]]&lt;&gt;1,"PF","")))</f>
        <v/>
      </c>
      <c r="AC451" s="1300">
        <f>IF(AND(Table6[[#This Row],[LOQ RAC individual crop]]="Y",Table6[[#This Row],[GAP under assessment]]="N"),Table6[[#This Row],[MRL RAC individual commodity]],Table6[[#This Row],[MRL RAC individual commodity]]*Table6[[#This Row],[CF*PF for calculation]])</f>
        <v>0</v>
      </c>
      <c r="AD451" s="1287">
        <f t="shared" si="284"/>
        <v>0</v>
      </c>
      <c r="AE451" s="1287">
        <f t="shared" si="285"/>
        <v>0</v>
      </c>
      <c r="AF451" s="1288">
        <f>Table6[[#This Row],[IESTI case]]</f>
        <v>3</v>
      </c>
      <c r="AG451"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51" s="1302" t="str">
        <f>IF(Table6[[#This Row],[Input value normal mode case 1, 2a/2b,Po]]&gt;0,
              IF(Table6[[#This Row],[Highest residue * CF*PF]]&gt;"","HR-RAC",
                             IF(Table6[[#This Row],[LOQ RAC individual crop]]="Y","LOQ","MRL")),"")</f>
        <v/>
      </c>
      <c r="AI451" s="1302" t="str">
        <f t="shared" si="286"/>
        <v/>
      </c>
      <c r="AJ451" s="1302" t="str">
        <f>IF(Table6[[#This Row],[Input value normal mode case 1, 2a/2b,Po]]&gt;0,IF(Table6[[#This Row],[label description]]&gt;"",Table6[[#This Row],[label description]],""),"")</f>
        <v/>
      </c>
      <c r="AK451" s="1302" t="str">
        <f>CONCATENATE(Table6[[#This Row],[label for IESTI normal mode case 1, 2a/2b,Po]],Table6[[#This Row],[label connector case  normal mode]],Table6[[#This Row],[label refinements normal mode case 1, 2a/2b,Po]])</f>
        <v/>
      </c>
      <c r="AL451" s="1287" t="str">
        <f>IF(AND(Table6[[#This Row],[Case for acute RA children / adults]]=3,Table6[[#This Row],[Post-harvest treatment]]=""),IF(AND(Table6[[#This Row],[LOQ RAC individual crop]]="Y",M450="N"),Table6[[#This Row],[MRL RAC individual commodity]],IF(Table6[[#This Row],[Median residue*CF*PF]]&gt;0,Table6[[#This Row],[Median residue*CF*PF]],IF(Table6[[#This Row],[MRL*CF*PF or LOQ (if not under assessment and LOQ)]]&gt;0,Table6[[#This Row],[MRL*CF*PF or LOQ (if not under assessment and LOQ)]],""))),"")</f>
        <v/>
      </c>
      <c r="AM451" s="1295" t="str">
        <f>IF(Table6[[#This Row],[input for case 3 normal mode]]&gt;0,IF(Table6[[#This Row],[Median residue*CF*PF]]&gt;0,"STMR-RAC",IF(AND($AC451&gt;0,NOT(V451="Y")),"MRL",IF($V451="Y","LOQ",""))),"")</f>
        <v/>
      </c>
      <c r="AN451" s="1295" t="str">
        <f t="shared" si="287"/>
        <v/>
      </c>
      <c r="AO451" s="1287" t="str">
        <f>IF(Table6[[#This Row],[input for case 3 normal mode]]="","",IF(AND(Table6[[#This Row],[label for case 3 calculation normal mode]]="LOQ",Table6[[#This Row],[GAP under assessment]]="N"),"",IF(Table6[[#This Row],[label description]]&gt;"",Table6[[#This Row],[label description]],"")))</f>
        <v/>
      </c>
      <c r="AP451" s="1287" t="str">
        <f>CONCATENATE(Table6[[#This Row],[label for case 3 calculation normal mode]],Table6[[#This Row],[label connector case 3 normal mode]],Table6[[#This Row],[label refinements case 3 normal mode]])</f>
        <v/>
      </c>
      <c r="AQ451" s="1287" t="str">
        <f>IF(Table6[[#This Row],[GAP under assessment]]="Y",Table6[[#This Row],[Input value normal mode case 1, 2a/2b,Po]],"")</f>
        <v/>
      </c>
      <c r="AR451" s="1287" t="str">
        <f>IF(Table6[[#This Row],[Input value refined mode case 1, 2a/2b,Po]]&gt;0,Table6[[#This Row],[concat label normal mode 1,2a/2b,Po ]],"")</f>
        <v/>
      </c>
      <c r="AS451" s="1303" t="str">
        <f>IF(Table6[[#This Row],[GAP under assessment]]="Y",Table6[[#This Row],[input for case 3 normal mode]],"")</f>
        <v/>
      </c>
      <c r="AT451" s="1287" t="str">
        <f>IF(Table6[[#This Row],[input for case 3 refined mode]]&gt;0,Table6[[#This Row],[concat label normal mode  case 3]],"")</f>
        <v/>
      </c>
      <c r="AU451" s="1295" t="str">
        <f>IF(Table6[[#This Row],[Input value normal mode case 1, 2a/2b,Po]]&gt;0,Table6[[#This Row],[Input value normal mode case 1, 2a/2b,Po]],Table6[[#This Row],[input for case 3 normal mode]])</f>
        <v/>
      </c>
      <c r="AV451" s="1295" t="str">
        <f>IF(Table6[[#This Row],[Input value normal mode case 1, 2a/2b,Po]]&gt;0,Table6[[#This Row],[concat label normal mode 1,2a/2b,Po ]],Table6[[#This Row],[concat label normal mode  case 3]])</f>
        <v/>
      </c>
      <c r="AW451" s="1295" t="str">
        <f>IF(Table6[[#This Row],[Input value refined mode case 1, 2a/2b,Po]]&gt;0,Table6[[#This Row],[Input value refined mode case 1, 2a/2b,Po]],Table6[[#This Row],[input for case 3 refined mode]])</f>
        <v/>
      </c>
      <c r="AX451" s="1295" t="str">
        <f>IF(Table6[[#This Row],[Input value refined mode case 1, 2a/2b,Po]]&gt;0,Table6[[#This Row],[concat label refined mode case 1,2a/2b,Po]],Table6[[#This Row],[label for case 3 calculation refined mode]])</f>
        <v/>
      </c>
      <c r="AY451" s="1287">
        <f t="shared" si="288"/>
        <v>0</v>
      </c>
      <c r="AZ451" s="1295" t="str">
        <f t="shared" si="289"/>
        <v/>
      </c>
      <c r="BA451" s="1295" t="str">
        <f t="shared" si="290"/>
        <v/>
      </c>
      <c r="BB451" s="1287" t="str">
        <f>IF(AND(Table6[[#This Row],[label for IESTI new normal mode]]="LOQ",Table6[[#This Row],[GAP under assessment]]="N"),"",IF(AND($H451&gt;0,$Y451&lt;&gt;1),"CF*PF",IF($H451&gt;0,"CF",IF($Y451&lt;&gt;1,"PF",""))))</f>
        <v/>
      </c>
      <c r="BC451" s="1296" t="s">
        <v>369</v>
      </c>
      <c r="BD451" s="1297"/>
      <c r="BE451" s="1304" t="str">
        <f>IF(Table6[[#This Row],[GAP under assessment]]="Y",Table6[[#This Row],[MRL*CF*PF or LOQ (if not under assessment and LOQ)]],"")</f>
        <v/>
      </c>
      <c r="BF451" s="1305" t="str">
        <f>IF(Table6[[#This Row],[Input for IESTI new refined mode]]&lt;&gt;"",CONCATENATE("MRL",Table6[[#This Row],[label connector case 3 normal mode]],Table6[[#This Row],[label refinements case 3 normal mode]]),"")</f>
        <v/>
      </c>
      <c r="BG451" s="1298" t="s">
        <v>517</v>
      </c>
      <c r="BH451" s="1306"/>
    </row>
    <row r="452" spans="1:60" s="11" customFormat="1" ht="12.75" customHeight="1" x14ac:dyDescent="0.2">
      <c r="A452" s="479" t="s">
        <v>509</v>
      </c>
      <c r="B452" s="480">
        <v>213020</v>
      </c>
      <c r="C452" s="547" t="s">
        <v>393</v>
      </c>
      <c r="D452" s="1261">
        <f>VLOOKUP(Table6[[#This Row],[Code no.]],$B$12:$D$390,3,FALSE)</f>
        <v>0</v>
      </c>
      <c r="E452" s="1264">
        <f t="shared" si="275"/>
        <v>0</v>
      </c>
      <c r="F452" s="1262" t="str">
        <f t="shared" si="272"/>
        <v/>
      </c>
      <c r="G452" s="1265">
        <f t="shared" si="276"/>
        <v>1</v>
      </c>
      <c r="H452" s="881"/>
      <c r="I452" s="880"/>
      <c r="J452" s="1269">
        <f t="shared" si="277"/>
        <v>0</v>
      </c>
      <c r="K452" s="1269">
        <f t="shared" si="278"/>
        <v>0</v>
      </c>
      <c r="L452" s="1270"/>
      <c r="M452" s="1271" t="str">
        <f t="shared" si="279"/>
        <v/>
      </c>
      <c r="N452" s="1272"/>
      <c r="O452" s="1273">
        <v>3</v>
      </c>
      <c r="P452" s="1273" t="str">
        <f>IF(OR($A$10=$BG$15,Results!$B$62=Results!$T$63),Table6[[#This Row],[label refine mode]],Table6[[#This Row],[label normal mode]])</f>
        <v/>
      </c>
      <c r="Q452" s="1257" t="str">
        <f>IF(OR($A$10=$BG$15,Results!$B$62=Results!$T$63),Table6[[#This Row],[input refined mode]],Table6[[#This Row],[Input normal mode]])</f>
        <v/>
      </c>
      <c r="R452" s="1275" t="str">
        <f>IF(Table6[[#This Row],[Acute RA IESTI new input value]]="","",CONCATENATE(Table6[[#This Row],[label for IESTI new normal mode]],Table6[[#This Row],[label connector IESTI new normal mode]],Table6[[#This Row],[label refinements normal mode]]))</f>
        <v/>
      </c>
      <c r="S452" s="1259">
        <f>IF(OR($A$10=$BG$15,Results!$B$62=Results!$T$63),Table6[[#This Row],[Input for IESTI new refined mode]],Table6[[#This Row],[Input for IESTI new normal mode]])</f>
        <v>0</v>
      </c>
      <c r="T452" s="888"/>
      <c r="U452" s="1283">
        <f t="shared" si="280"/>
        <v>0</v>
      </c>
      <c r="V452" s="1284" t="str">
        <f t="shared" si="281"/>
        <v/>
      </c>
      <c r="W452" s="1285">
        <f>IF($H452&gt;0,$H452,IF(Table6[[#This Row],[CFrisk for residue definition (applicable for unprocessed products)]]&gt;0,Table6[[#This Row],[CFrisk for residue definition (applicable for unprocessed products)]],1))</f>
        <v>1</v>
      </c>
      <c r="X452" s="1285">
        <v>1</v>
      </c>
      <c r="Y452" s="1285">
        <f t="shared" si="282"/>
        <v>1</v>
      </c>
      <c r="Z452" s="1285">
        <f t="shared" si="283"/>
        <v>1</v>
      </c>
      <c r="AA452" s="1285" t="str">
        <f>IF(Table6[[#This Row],[Post-harvest treatment]]="","","Y")</f>
        <v/>
      </c>
      <c r="AB452" s="1285" t="str">
        <f>IF(AND(Table6[[#This Row],[CF used for for calculation]]&lt;&gt;1,Table6[[#This Row],[PF for calculation]]&lt;&gt;1),"CF*PF",IF(Table6[[#This Row],[CF used for for calculation]]&lt;&gt;1,"CF",IF(Table6[[#This Row],[PF for calculation]]&lt;&gt;1,"PF","")))</f>
        <v/>
      </c>
      <c r="AC452" s="1300">
        <f>IF(AND(Table6[[#This Row],[LOQ RAC individual crop]]="Y",Table6[[#This Row],[GAP under assessment]]="N"),Table6[[#This Row],[MRL RAC individual commodity]],Table6[[#This Row],[MRL RAC individual commodity]]*Table6[[#This Row],[CF*PF for calculation]])</f>
        <v>0</v>
      </c>
      <c r="AD452" s="1287">
        <f t="shared" si="284"/>
        <v>0</v>
      </c>
      <c r="AE452" s="1287">
        <f t="shared" si="285"/>
        <v>0</v>
      </c>
      <c r="AF452" s="1288">
        <f>Table6[[#This Row],[IESTI case]]</f>
        <v>3</v>
      </c>
      <c r="AG452"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52" s="1302" t="str">
        <f>IF(Table6[[#This Row],[Input value normal mode case 1, 2a/2b,Po]]&gt;0,
              IF(Table6[[#This Row],[Highest residue * CF*PF]]&gt;"","HR-RAC",
                             IF(Table6[[#This Row],[LOQ RAC individual crop]]="Y","LOQ","MRL")),"")</f>
        <v/>
      </c>
      <c r="AI452" s="1302" t="str">
        <f t="shared" si="286"/>
        <v/>
      </c>
      <c r="AJ452" s="1302" t="str">
        <f>IF(Table6[[#This Row],[Input value normal mode case 1, 2a/2b,Po]]&gt;0,IF(Table6[[#This Row],[label description]]&gt;"",Table6[[#This Row],[label description]],""),"")</f>
        <v/>
      </c>
      <c r="AK452" s="1302" t="str">
        <f>CONCATENATE(Table6[[#This Row],[label for IESTI normal mode case 1, 2a/2b,Po]],Table6[[#This Row],[label connector case  normal mode]],Table6[[#This Row],[label refinements normal mode case 1, 2a/2b,Po]])</f>
        <v/>
      </c>
      <c r="AL452" s="1287" t="str">
        <f>IF(AND(Table6[[#This Row],[Case for acute RA children / adults]]=3,Table6[[#This Row],[Post-harvest treatment]]=""),IF(AND(Table6[[#This Row],[LOQ RAC individual crop]]="Y",M451="N"),Table6[[#This Row],[MRL RAC individual commodity]],IF(Table6[[#This Row],[Median residue*CF*PF]]&gt;0,Table6[[#This Row],[Median residue*CF*PF]],IF(Table6[[#This Row],[MRL*CF*PF or LOQ (if not under assessment and LOQ)]]&gt;0,Table6[[#This Row],[MRL*CF*PF or LOQ (if not under assessment and LOQ)]],""))),"")</f>
        <v/>
      </c>
      <c r="AM452" s="1295" t="str">
        <f>IF(Table6[[#This Row],[input for case 3 normal mode]]&gt;0,IF(Table6[[#This Row],[Median residue*CF*PF]]&gt;0,"STMR-RAC",IF(AND($AC452&gt;0,NOT(V452="Y")),"MRL",IF($V452="Y","LOQ",""))),"")</f>
        <v/>
      </c>
      <c r="AN452" s="1295" t="str">
        <f t="shared" si="287"/>
        <v/>
      </c>
      <c r="AO452" s="1287" t="str">
        <f>IF(Table6[[#This Row],[input for case 3 normal mode]]="","",IF(AND(Table6[[#This Row],[label for case 3 calculation normal mode]]="LOQ",Table6[[#This Row],[GAP under assessment]]="N"),"",IF(Table6[[#This Row],[label description]]&gt;"",Table6[[#This Row],[label description]],"")))</f>
        <v/>
      </c>
      <c r="AP452" s="1287" t="str">
        <f>CONCATENATE(Table6[[#This Row],[label for case 3 calculation normal mode]],Table6[[#This Row],[label connector case 3 normal mode]],Table6[[#This Row],[label refinements case 3 normal mode]])</f>
        <v/>
      </c>
      <c r="AQ452" s="1287" t="str">
        <f>IF(Table6[[#This Row],[GAP under assessment]]="Y",Table6[[#This Row],[Input value normal mode case 1, 2a/2b,Po]],"")</f>
        <v/>
      </c>
      <c r="AR452" s="1287" t="str">
        <f>IF(Table6[[#This Row],[Input value refined mode case 1, 2a/2b,Po]]&gt;0,Table6[[#This Row],[concat label normal mode 1,2a/2b,Po ]],"")</f>
        <v/>
      </c>
      <c r="AS452" s="1303" t="str">
        <f>IF(Table6[[#This Row],[GAP under assessment]]="Y",Table6[[#This Row],[input for case 3 normal mode]],"")</f>
        <v/>
      </c>
      <c r="AT452" s="1287" t="str">
        <f>IF(Table6[[#This Row],[input for case 3 refined mode]]&gt;0,Table6[[#This Row],[concat label normal mode  case 3]],"")</f>
        <v/>
      </c>
      <c r="AU452" s="1295" t="str">
        <f>IF(Table6[[#This Row],[Input value normal mode case 1, 2a/2b,Po]]&gt;0,Table6[[#This Row],[Input value normal mode case 1, 2a/2b,Po]],Table6[[#This Row],[input for case 3 normal mode]])</f>
        <v/>
      </c>
      <c r="AV452" s="1295" t="str">
        <f>IF(Table6[[#This Row],[Input value normal mode case 1, 2a/2b,Po]]&gt;0,Table6[[#This Row],[concat label normal mode 1,2a/2b,Po ]],Table6[[#This Row],[concat label normal mode  case 3]])</f>
        <v/>
      </c>
      <c r="AW452" s="1295" t="str">
        <f>IF(Table6[[#This Row],[Input value refined mode case 1, 2a/2b,Po]]&gt;0,Table6[[#This Row],[Input value refined mode case 1, 2a/2b,Po]],Table6[[#This Row],[input for case 3 refined mode]])</f>
        <v/>
      </c>
      <c r="AX452" s="1295" t="str">
        <f>IF(Table6[[#This Row],[Input value refined mode case 1, 2a/2b,Po]]&gt;0,Table6[[#This Row],[concat label refined mode case 1,2a/2b,Po]],Table6[[#This Row],[label for case 3 calculation refined mode]])</f>
        <v/>
      </c>
      <c r="AY452" s="1287">
        <f t="shared" si="288"/>
        <v>0</v>
      </c>
      <c r="AZ452" s="1295" t="str">
        <f t="shared" si="289"/>
        <v/>
      </c>
      <c r="BA452" s="1295" t="str">
        <f t="shared" si="290"/>
        <v/>
      </c>
      <c r="BB452" s="1287" t="str">
        <f>IF(AND(Table6[[#This Row],[label for IESTI new normal mode]]="LOQ",Table6[[#This Row],[GAP under assessment]]="N"),"",IF(AND($H452&gt;0,$Y452&lt;&gt;1),"CF*PF",IF($H452&gt;0,"CF",IF($Y452&lt;&gt;1,"PF",""))))</f>
        <v/>
      </c>
      <c r="BC452" s="1296"/>
      <c r="BD452" s="1297"/>
      <c r="BE452" s="1304" t="str">
        <f>IF(Table6[[#This Row],[GAP under assessment]]="Y",Table6[[#This Row],[MRL*CF*PF or LOQ (if not under assessment and LOQ)]],"")</f>
        <v/>
      </c>
      <c r="BF452" s="1305" t="str">
        <f>IF(Table6[[#This Row],[Input for IESTI new refined mode]]&lt;&gt;"",CONCATENATE("MRL",Table6[[#This Row],[label connector case 3 normal mode]],Table6[[#This Row],[label refinements case 3 normal mode]]),"")</f>
        <v/>
      </c>
      <c r="BG452" s="1298" t="s">
        <v>509</v>
      </c>
      <c r="BH452" s="1306"/>
    </row>
    <row r="453" spans="1:60" s="11" customFormat="1" ht="12.75" customHeight="1" x14ac:dyDescent="0.2">
      <c r="A453" s="479" t="s">
        <v>538</v>
      </c>
      <c r="B453" s="480">
        <v>213030</v>
      </c>
      <c r="C453" s="547" t="s">
        <v>824</v>
      </c>
      <c r="D453" s="1261">
        <f>VLOOKUP(Table6[[#This Row],[Code no.]],$B$12:$D$390,3,FALSE)</f>
        <v>0</v>
      </c>
      <c r="E453" s="1264">
        <f t="shared" si="275"/>
        <v>0</v>
      </c>
      <c r="F453" s="1262" t="str">
        <f t="shared" si="272"/>
        <v/>
      </c>
      <c r="G453" s="1265">
        <f t="shared" si="276"/>
        <v>1</v>
      </c>
      <c r="H453" s="881"/>
      <c r="I453" s="880"/>
      <c r="J453" s="1269">
        <f t="shared" si="277"/>
        <v>0</v>
      </c>
      <c r="K453" s="1269">
        <f t="shared" si="278"/>
        <v>0</v>
      </c>
      <c r="L453" s="1276" t="str">
        <f>IF(VLOOKUP($B453,$B$12:$AY$390,$K$2,FALSE)&gt;"",VLOOKUP($B453,$B$12:$AY$390,$K$2,FALSE),"")</f>
        <v/>
      </c>
      <c r="M453" s="1271" t="str">
        <f t="shared" si="279"/>
        <v/>
      </c>
      <c r="N453" s="1272"/>
      <c r="O453" s="1273" t="s">
        <v>654</v>
      </c>
      <c r="P453" s="1273" t="str">
        <f>IF(OR($A$10=$BG$15,Results!$B$62=Results!$T$63),Table6[[#This Row],[label refine mode]],Table6[[#This Row],[label normal mode]])</f>
        <v/>
      </c>
      <c r="Q453" s="1257" t="str">
        <f>IF(OR($A$10=$BG$15,Results!$B$62=Results!$T$63),Table6[[#This Row],[input refined mode]],Table6[[#This Row],[Input normal mode]])</f>
        <v/>
      </c>
      <c r="R453" s="1275" t="str">
        <f>IF(Table6[[#This Row],[Acute RA IESTI new input value]]="","",CONCATENATE(Table6[[#This Row],[label for IESTI new normal mode]],Table6[[#This Row],[label connector IESTI new normal mode]],Table6[[#This Row],[label refinements normal mode]]))</f>
        <v/>
      </c>
      <c r="S453" s="1259">
        <f>IF(OR($A$10=$BG$15,Results!$B$62=Results!$T$63),Table6[[#This Row],[Input for IESTI new refined mode]],Table6[[#This Row],[Input for IESTI new normal mode]])</f>
        <v>0</v>
      </c>
      <c r="T453" s="888"/>
      <c r="U453" s="1283">
        <f t="shared" si="280"/>
        <v>0</v>
      </c>
      <c r="V453" s="1284" t="str">
        <f t="shared" si="281"/>
        <v/>
      </c>
      <c r="W453" s="1285">
        <f>IF($H453&gt;0,$H453,IF(Table6[[#This Row],[CFrisk for residue definition (applicable for unprocessed products)]]&gt;0,Table6[[#This Row],[CFrisk for residue definition (applicable for unprocessed products)]],1))</f>
        <v>1</v>
      </c>
      <c r="X453" s="1285">
        <v>1</v>
      </c>
      <c r="Y453" s="1285">
        <f t="shared" si="282"/>
        <v>1</v>
      </c>
      <c r="Z453" s="1285">
        <f t="shared" si="283"/>
        <v>1</v>
      </c>
      <c r="AA453" s="1285" t="str">
        <f>IF(Table6[[#This Row],[Post-harvest treatment]]="","","Y")</f>
        <v/>
      </c>
      <c r="AB453" s="1285" t="str">
        <f>IF(AND(Table6[[#This Row],[CF used for for calculation]]&lt;&gt;1,Table6[[#This Row],[PF for calculation]]&lt;&gt;1),"CF*PF",IF(Table6[[#This Row],[CF used for for calculation]]&lt;&gt;1,"CF",IF(Table6[[#This Row],[PF for calculation]]&lt;&gt;1,"PF","")))</f>
        <v/>
      </c>
      <c r="AC453" s="1300">
        <f>IF(AND(Table6[[#This Row],[LOQ RAC individual crop]]="Y",Table6[[#This Row],[GAP under assessment]]="N"),Table6[[#This Row],[MRL RAC individual commodity]],Table6[[#This Row],[MRL RAC individual commodity]]*Table6[[#This Row],[CF*PF for calculation]])</f>
        <v>0</v>
      </c>
      <c r="AD453" s="1287">
        <f t="shared" si="284"/>
        <v>0</v>
      </c>
      <c r="AE453" s="1287">
        <f t="shared" si="285"/>
        <v>0</v>
      </c>
      <c r="AF453" s="1307" t="str">
        <f>Table6[[#This Row],[IESTI case]]</f>
        <v>2a/2b</v>
      </c>
      <c r="AG45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53" s="1302" t="str">
        <f>IF(Table6[[#This Row],[Input value normal mode case 1, 2a/2b,Po]]&gt;0,
              IF(Table6[[#This Row],[Highest residue * CF*PF]]&gt;"","HR-RAC",
                             IF(Table6[[#This Row],[LOQ RAC individual crop]]="Y","LOQ","MRL")),"")</f>
        <v/>
      </c>
      <c r="AI453" s="1302" t="str">
        <f t="shared" si="286"/>
        <v/>
      </c>
      <c r="AJ453" s="1302" t="str">
        <f>IF(Table6[[#This Row],[Input value normal mode case 1, 2a/2b,Po]]&gt;0,IF(Table6[[#This Row],[label description]]&gt;"",Table6[[#This Row],[label description]],""),"")</f>
        <v/>
      </c>
      <c r="AK453" s="1302" t="str">
        <f>CONCATENATE(Table6[[#This Row],[label for IESTI normal mode case 1, 2a/2b,Po]],Table6[[#This Row],[label connector case  normal mode]],Table6[[#This Row],[label refinements normal mode case 1, 2a/2b,Po]])</f>
        <v/>
      </c>
      <c r="AL453" s="1287" t="str">
        <f>IF(AND(Table6[[#This Row],[Case for acute RA children / adults]]=3,Table6[[#This Row],[Post-harvest treatment]]=""),IF(AND(Table6[[#This Row],[LOQ RAC individual crop]]="Y",M452="N"),Table6[[#This Row],[MRL RAC individual commodity]],IF(Table6[[#This Row],[Median residue*CF*PF]]&gt;0,Table6[[#This Row],[Median residue*CF*PF]],IF(Table6[[#This Row],[MRL*CF*PF or LOQ (if not under assessment and LOQ)]]&gt;0,Table6[[#This Row],[MRL*CF*PF or LOQ (if not under assessment and LOQ)]],""))),"")</f>
        <v/>
      </c>
      <c r="AM453" s="1295" t="str">
        <f>IF(Table6[[#This Row],[input for case 3 normal mode]]&gt;0,IF(Table6[[#This Row],[Median residue*CF*PF]]&gt;0,"STMR-RAC",IF(AND($AC453&gt;0,NOT(V453="Y")),"MRL",IF($V453="Y","LOQ",""))),"")</f>
        <v/>
      </c>
      <c r="AN453" s="1295" t="str">
        <f t="shared" si="287"/>
        <v/>
      </c>
      <c r="AO453" s="1287" t="str">
        <f>IF(Table6[[#This Row],[input for case 3 normal mode]]="","",IF(AND(Table6[[#This Row],[label for case 3 calculation normal mode]]="LOQ",Table6[[#This Row],[GAP under assessment]]="N"),"",IF(Table6[[#This Row],[label description]]&gt;"",Table6[[#This Row],[label description]],"")))</f>
        <v/>
      </c>
      <c r="AP453" s="1287" t="str">
        <f>CONCATENATE(Table6[[#This Row],[label for case 3 calculation normal mode]],Table6[[#This Row],[label connector case 3 normal mode]],Table6[[#This Row],[label refinements case 3 normal mode]])</f>
        <v/>
      </c>
      <c r="AQ453" s="1287" t="str">
        <f>IF(Table6[[#This Row],[GAP under assessment]]="Y",Table6[[#This Row],[Input value normal mode case 1, 2a/2b,Po]],"")</f>
        <v/>
      </c>
      <c r="AR453" s="1287" t="str">
        <f>IF(Table6[[#This Row],[Input value refined mode case 1, 2a/2b,Po]]&gt;0,Table6[[#This Row],[concat label normal mode 1,2a/2b,Po ]],"")</f>
        <v/>
      </c>
      <c r="AS453" s="1303" t="str">
        <f>IF(Table6[[#This Row],[GAP under assessment]]="Y",Table6[[#This Row],[input for case 3 normal mode]],"")</f>
        <v/>
      </c>
      <c r="AT453" s="1287" t="str">
        <f>IF(Table6[[#This Row],[input for case 3 refined mode]]&gt;0,Table6[[#This Row],[concat label normal mode  case 3]],"")</f>
        <v/>
      </c>
      <c r="AU453" s="1295" t="str">
        <f>IF(Table6[[#This Row],[Input value normal mode case 1, 2a/2b,Po]]&gt;0,Table6[[#This Row],[Input value normal mode case 1, 2a/2b,Po]],Table6[[#This Row],[input for case 3 normal mode]])</f>
        <v/>
      </c>
      <c r="AV453" s="1295" t="str">
        <f>IF(Table6[[#This Row],[Input value normal mode case 1, 2a/2b,Po]]&gt;0,Table6[[#This Row],[concat label normal mode 1,2a/2b,Po ]],Table6[[#This Row],[concat label normal mode  case 3]])</f>
        <v/>
      </c>
      <c r="AW453" s="1295" t="str">
        <f>IF(Table6[[#This Row],[Input value refined mode case 1, 2a/2b,Po]]&gt;0,Table6[[#This Row],[Input value refined mode case 1, 2a/2b,Po]],Table6[[#This Row],[input for case 3 refined mode]])</f>
        <v/>
      </c>
      <c r="AX453" s="1295" t="str">
        <f>IF(Table6[[#This Row],[Input value refined mode case 1, 2a/2b,Po]]&gt;0,Table6[[#This Row],[concat label refined mode case 1,2a/2b,Po]],Table6[[#This Row],[label for case 3 calculation refined mode]])</f>
        <v/>
      </c>
      <c r="AY453" s="1287">
        <f t="shared" si="288"/>
        <v>0</v>
      </c>
      <c r="AZ453" s="1295" t="str">
        <f t="shared" si="289"/>
        <v/>
      </c>
      <c r="BA453" s="1295" t="str">
        <f t="shared" si="290"/>
        <v/>
      </c>
      <c r="BB453" s="1287" t="str">
        <f>IF(AND(Table6[[#This Row],[label for IESTI new normal mode]]="LOQ",Table6[[#This Row],[GAP under assessment]]="N"),"",IF(AND($H453&gt;0,$Y453&lt;&gt;1),"CF*PF",IF($H453&gt;0,"CF",IF($Y453&lt;&gt;1,"PF",""))))</f>
        <v/>
      </c>
      <c r="BC453" s="1296"/>
      <c r="BD453" s="1297"/>
      <c r="BE453" s="1304" t="str">
        <f>IF(Table6[[#This Row],[GAP under assessment]]="Y",Table6[[#This Row],[MRL*CF*PF or LOQ (if not under assessment and LOQ)]],"")</f>
        <v/>
      </c>
      <c r="BF453" s="1305" t="str">
        <f>IF(Table6[[#This Row],[Input for IESTI new refined mode]]&lt;&gt;"",CONCATENATE("MRL",Table6[[#This Row],[label connector case 3 normal mode]],Table6[[#This Row],[label refinements case 3 normal mode]]),"")</f>
        <v/>
      </c>
      <c r="BG453" s="1298" t="s">
        <v>538</v>
      </c>
      <c r="BH453" s="1306"/>
    </row>
    <row r="454" spans="1:60" s="11" customFormat="1" ht="12.75" customHeight="1" x14ac:dyDescent="0.2">
      <c r="A454" s="479" t="s">
        <v>510</v>
      </c>
      <c r="B454" s="480">
        <v>213030</v>
      </c>
      <c r="C454" s="547" t="s">
        <v>825</v>
      </c>
      <c r="D454" s="1261">
        <f>VLOOKUP(Table6[[#This Row],[Code no.]],$B$12:$D$390,3,FALSE)</f>
        <v>0</v>
      </c>
      <c r="E454" s="1264">
        <f t="shared" si="275"/>
        <v>0</v>
      </c>
      <c r="F454" s="1262" t="str">
        <f t="shared" si="272"/>
        <v/>
      </c>
      <c r="G454" s="1265">
        <f t="shared" si="276"/>
        <v>1</v>
      </c>
      <c r="H454" s="881"/>
      <c r="I454" s="880"/>
      <c r="J454" s="1269">
        <f t="shared" si="277"/>
        <v>0</v>
      </c>
      <c r="K454" s="1269">
        <f t="shared" si="278"/>
        <v>0</v>
      </c>
      <c r="L454" s="1270"/>
      <c r="M454" s="1271" t="str">
        <f t="shared" si="279"/>
        <v/>
      </c>
      <c r="N454" s="1272"/>
      <c r="O454" s="1273">
        <v>3</v>
      </c>
      <c r="P454" s="1273" t="str">
        <f>IF(OR($A$10=$BG$15,Results!$B$62=Results!$T$63),Table6[[#This Row],[label refine mode]],Table6[[#This Row],[label normal mode]])</f>
        <v/>
      </c>
      <c r="Q454" s="1257" t="str">
        <f>IF(OR($A$10=$BG$15,Results!$B$62=Results!$T$63),Table6[[#This Row],[input refined mode]],Table6[[#This Row],[Input normal mode]])</f>
        <v/>
      </c>
      <c r="R454" s="1275" t="str">
        <f>IF(Table6[[#This Row],[Acute RA IESTI new input value]]="","",CONCATENATE(Table6[[#This Row],[label for IESTI new normal mode]],Table6[[#This Row],[label connector IESTI new normal mode]],Table6[[#This Row],[label refinements normal mode]]))</f>
        <v/>
      </c>
      <c r="S454" s="1259">
        <f>IF(OR($A$10=$BG$15,Results!$B$62=Results!$T$63),Table6[[#This Row],[Input for IESTI new refined mode]],Table6[[#This Row],[Input for IESTI new normal mode]])</f>
        <v>0</v>
      </c>
      <c r="T454" s="888"/>
      <c r="U454" s="1283">
        <f t="shared" si="280"/>
        <v>0</v>
      </c>
      <c r="V454" s="1284" t="str">
        <f t="shared" si="281"/>
        <v/>
      </c>
      <c r="W454" s="1285">
        <f>IF($H454&gt;0,$H454,IF(Table6[[#This Row],[CFrisk for residue definition (applicable for unprocessed products)]]&gt;0,Table6[[#This Row],[CFrisk for residue definition (applicable for unprocessed products)]],1))</f>
        <v>1</v>
      </c>
      <c r="X454" s="1285">
        <v>1</v>
      </c>
      <c r="Y454" s="1285">
        <f t="shared" si="282"/>
        <v>1</v>
      </c>
      <c r="Z454" s="1285">
        <f t="shared" si="283"/>
        <v>1</v>
      </c>
      <c r="AA454" s="1285" t="str">
        <f>IF(Table6[[#This Row],[Post-harvest treatment]]="","","Y")</f>
        <v/>
      </c>
      <c r="AB454" s="1285" t="str">
        <f>IF(AND(Table6[[#This Row],[CF used for for calculation]]&lt;&gt;1,Table6[[#This Row],[PF for calculation]]&lt;&gt;1),"CF*PF",IF(Table6[[#This Row],[CF used for for calculation]]&lt;&gt;1,"CF",IF(Table6[[#This Row],[PF for calculation]]&lt;&gt;1,"PF","")))</f>
        <v/>
      </c>
      <c r="AC454" s="1300">
        <f>IF(AND(Table6[[#This Row],[LOQ RAC individual crop]]="Y",Table6[[#This Row],[GAP under assessment]]="N"),Table6[[#This Row],[MRL RAC individual commodity]],Table6[[#This Row],[MRL RAC individual commodity]]*Table6[[#This Row],[CF*PF for calculation]])</f>
        <v>0</v>
      </c>
      <c r="AD454" s="1287">
        <f t="shared" si="284"/>
        <v>0</v>
      </c>
      <c r="AE454" s="1287">
        <f t="shared" si="285"/>
        <v>0</v>
      </c>
      <c r="AF454" s="1288">
        <f>Table6[[#This Row],[IESTI case]]</f>
        <v>3</v>
      </c>
      <c r="AG45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54" s="1302" t="str">
        <f>IF(Table6[[#This Row],[Input value normal mode case 1, 2a/2b,Po]]&gt;0,
              IF(Table6[[#This Row],[Highest residue * CF*PF]]&gt;"","HR-RAC",
                             IF(Table6[[#This Row],[LOQ RAC individual crop]]="Y","LOQ","MRL")),"")</f>
        <v/>
      </c>
      <c r="AI454" s="1302" t="str">
        <f t="shared" si="286"/>
        <v/>
      </c>
      <c r="AJ454" s="1302" t="str">
        <f>IF(Table6[[#This Row],[Input value normal mode case 1, 2a/2b,Po]]&gt;0,IF(Table6[[#This Row],[label description]]&gt;"",Table6[[#This Row],[label description]],""),"")</f>
        <v/>
      </c>
      <c r="AK454" s="1302" t="str">
        <f>CONCATENATE(Table6[[#This Row],[label for IESTI normal mode case 1, 2a/2b,Po]],Table6[[#This Row],[label connector case  normal mode]],Table6[[#This Row],[label refinements normal mode case 1, 2a/2b,Po]])</f>
        <v/>
      </c>
      <c r="AL454" s="1287" t="str">
        <f>IF(AND(Table6[[#This Row],[Case for acute RA children / adults]]=3,Table6[[#This Row],[Post-harvest treatment]]=""),IF(AND(Table6[[#This Row],[LOQ RAC individual crop]]="Y",M453="N"),Table6[[#This Row],[MRL RAC individual commodity]],IF(Table6[[#This Row],[Median residue*CF*PF]]&gt;0,Table6[[#This Row],[Median residue*CF*PF]],IF(Table6[[#This Row],[MRL*CF*PF or LOQ (if not under assessment and LOQ)]]&gt;0,Table6[[#This Row],[MRL*CF*PF or LOQ (if not under assessment and LOQ)]],""))),"")</f>
        <v/>
      </c>
      <c r="AM454" s="1295" t="str">
        <f>IF(Table6[[#This Row],[input for case 3 normal mode]]&gt;0,IF(Table6[[#This Row],[Median residue*CF*PF]]&gt;0,"STMR-RAC",IF(AND($AC454&gt;0,NOT(V454="Y")),"MRL",IF($V454="Y","LOQ",""))),"")</f>
        <v/>
      </c>
      <c r="AN454" s="1295" t="str">
        <f t="shared" si="287"/>
        <v/>
      </c>
      <c r="AO454" s="1287" t="str">
        <f>IF(Table6[[#This Row],[input for case 3 normal mode]]="","",IF(AND(Table6[[#This Row],[label for case 3 calculation normal mode]]="LOQ",Table6[[#This Row],[GAP under assessment]]="N"),"",IF(Table6[[#This Row],[label description]]&gt;"",Table6[[#This Row],[label description]],"")))</f>
        <v/>
      </c>
      <c r="AP454" s="1287" t="str">
        <f>CONCATENATE(Table6[[#This Row],[label for case 3 calculation normal mode]],Table6[[#This Row],[label connector case 3 normal mode]],Table6[[#This Row],[label refinements case 3 normal mode]])</f>
        <v/>
      </c>
      <c r="AQ454" s="1287" t="str">
        <f>IF(Table6[[#This Row],[GAP under assessment]]="Y",Table6[[#This Row],[Input value normal mode case 1, 2a/2b,Po]],"")</f>
        <v/>
      </c>
      <c r="AR454" s="1287" t="str">
        <f>IF(Table6[[#This Row],[Input value refined mode case 1, 2a/2b,Po]]&gt;0,Table6[[#This Row],[concat label normal mode 1,2a/2b,Po ]],"")</f>
        <v/>
      </c>
      <c r="AS454" s="1303" t="str">
        <f>IF(Table6[[#This Row],[GAP under assessment]]="Y",Table6[[#This Row],[input for case 3 normal mode]],"")</f>
        <v/>
      </c>
      <c r="AT454" s="1287" t="str">
        <f>IF(Table6[[#This Row],[input for case 3 refined mode]]&gt;0,Table6[[#This Row],[concat label normal mode  case 3]],"")</f>
        <v/>
      </c>
      <c r="AU454" s="1295" t="str">
        <f>IF(Table6[[#This Row],[Input value normal mode case 1, 2a/2b,Po]]&gt;0,Table6[[#This Row],[Input value normal mode case 1, 2a/2b,Po]],Table6[[#This Row],[input for case 3 normal mode]])</f>
        <v/>
      </c>
      <c r="AV454" s="1295" t="str">
        <f>IF(Table6[[#This Row],[Input value normal mode case 1, 2a/2b,Po]]&gt;0,Table6[[#This Row],[concat label normal mode 1,2a/2b,Po ]],Table6[[#This Row],[concat label normal mode  case 3]])</f>
        <v/>
      </c>
      <c r="AW454" s="1295" t="str">
        <f>IF(Table6[[#This Row],[Input value refined mode case 1, 2a/2b,Po]]&gt;0,Table6[[#This Row],[Input value refined mode case 1, 2a/2b,Po]],Table6[[#This Row],[input for case 3 refined mode]])</f>
        <v/>
      </c>
      <c r="AX454" s="1295" t="str">
        <f>IF(Table6[[#This Row],[Input value refined mode case 1, 2a/2b,Po]]&gt;0,Table6[[#This Row],[concat label refined mode case 1,2a/2b,Po]],Table6[[#This Row],[label for case 3 calculation refined mode]])</f>
        <v/>
      </c>
      <c r="AY454" s="1287">
        <f t="shared" si="288"/>
        <v>0</v>
      </c>
      <c r="AZ454" s="1295" t="str">
        <f t="shared" si="289"/>
        <v/>
      </c>
      <c r="BA454" s="1295" t="str">
        <f t="shared" si="290"/>
        <v/>
      </c>
      <c r="BB454" s="1287" t="str">
        <f>IF(AND(Table6[[#This Row],[label for IESTI new normal mode]]="LOQ",Table6[[#This Row],[GAP under assessment]]="N"),"",IF(AND($H454&gt;0,$Y454&lt;&gt;1),"CF*PF",IF($H454&gt;0,"CF",IF($Y454&lt;&gt;1,"PF",""))))</f>
        <v/>
      </c>
      <c r="BC454" s="1296"/>
      <c r="BD454" s="1297"/>
      <c r="BE454" s="1304" t="str">
        <f>IF(Table6[[#This Row],[GAP under assessment]]="Y",Table6[[#This Row],[MRL*CF*PF or LOQ (if not under assessment and LOQ)]],"")</f>
        <v/>
      </c>
      <c r="BF454" s="1305" t="str">
        <f>IF(Table6[[#This Row],[Input for IESTI new refined mode]]&lt;&gt;"",CONCATENATE("MRL",Table6[[#This Row],[label connector case 3 normal mode]],Table6[[#This Row],[label refinements case 3 normal mode]]),"")</f>
        <v/>
      </c>
      <c r="BG454" s="1298" t="s">
        <v>510</v>
      </c>
      <c r="BH454" s="1306"/>
    </row>
    <row r="455" spans="1:60" s="11" customFormat="1" ht="12.75" customHeight="1" x14ac:dyDescent="0.2">
      <c r="A455" s="479" t="s">
        <v>539</v>
      </c>
      <c r="B455" s="480">
        <v>213050</v>
      </c>
      <c r="C455" s="547" t="s">
        <v>394</v>
      </c>
      <c r="D455" s="1261">
        <f>VLOOKUP(Table6[[#This Row],[Code no.]],$B$12:$D$390,3,FALSE)</f>
        <v>0</v>
      </c>
      <c r="E455" s="1264">
        <f t="shared" si="275"/>
        <v>0</v>
      </c>
      <c r="F455" s="1262" t="str">
        <f t="shared" si="272"/>
        <v/>
      </c>
      <c r="G455" s="1265">
        <f t="shared" si="276"/>
        <v>1</v>
      </c>
      <c r="H455" s="881"/>
      <c r="I455" s="880"/>
      <c r="J455" s="1269">
        <f t="shared" si="277"/>
        <v>0</v>
      </c>
      <c r="K455" s="1269">
        <f t="shared" si="278"/>
        <v>0</v>
      </c>
      <c r="L455" s="1276" t="str">
        <f t="shared" ref="L455:L460" si="291">IF(VLOOKUP($B455,$B$12:$AY$390,$K$2,FALSE)&gt;"",VLOOKUP($B455,$B$12:$AY$390,$K$2,FALSE),"")</f>
        <v/>
      </c>
      <c r="M455" s="1271" t="str">
        <f t="shared" si="279"/>
        <v/>
      </c>
      <c r="N455" s="1272"/>
      <c r="O455" s="1273" t="s">
        <v>654</v>
      </c>
      <c r="P455" s="1273" t="str">
        <f>IF(OR($A$10=$BG$15,Results!$B$62=Results!$T$63),Table6[[#This Row],[label refine mode]],Table6[[#This Row],[label normal mode]])</f>
        <v/>
      </c>
      <c r="Q455" s="1257" t="str">
        <f>IF(OR($A$10=$BG$15,Results!$B$62=Results!$T$63),Table6[[#This Row],[input refined mode]],Table6[[#This Row],[Input normal mode]])</f>
        <v/>
      </c>
      <c r="R455" s="1275" t="str">
        <f>IF(Table6[[#This Row],[Acute RA IESTI new input value]]="","",CONCATENATE(Table6[[#This Row],[label for IESTI new normal mode]],Table6[[#This Row],[label connector IESTI new normal mode]],Table6[[#This Row],[label refinements normal mode]]))</f>
        <v/>
      </c>
      <c r="S455" s="1259">
        <f>IF(OR($A$10=$BG$15,Results!$B$62=Results!$T$63),Table6[[#This Row],[Input for IESTI new refined mode]],Table6[[#This Row],[Input for IESTI new normal mode]])</f>
        <v>0</v>
      </c>
      <c r="T455" s="888"/>
      <c r="U455" s="1283">
        <f t="shared" si="280"/>
        <v>0</v>
      </c>
      <c r="V455" s="1284" t="str">
        <f t="shared" si="281"/>
        <v/>
      </c>
      <c r="W455" s="1285">
        <f>IF($H455&gt;0,$H455,IF(Table6[[#This Row],[CFrisk for residue definition (applicable for unprocessed products)]]&gt;0,Table6[[#This Row],[CFrisk for residue definition (applicable for unprocessed products)]],1))</f>
        <v>1</v>
      </c>
      <c r="X455" s="1285">
        <v>1</v>
      </c>
      <c r="Y455" s="1285">
        <f t="shared" si="282"/>
        <v>1</v>
      </c>
      <c r="Z455" s="1285">
        <f t="shared" si="283"/>
        <v>1</v>
      </c>
      <c r="AA455" s="1285" t="str">
        <f>IF(Table6[[#This Row],[Post-harvest treatment]]="","","Y")</f>
        <v/>
      </c>
      <c r="AB455" s="1285" t="str">
        <f>IF(AND(Table6[[#This Row],[CF used for for calculation]]&lt;&gt;1,Table6[[#This Row],[PF for calculation]]&lt;&gt;1),"CF*PF",IF(Table6[[#This Row],[CF used for for calculation]]&lt;&gt;1,"CF",IF(Table6[[#This Row],[PF for calculation]]&lt;&gt;1,"PF","")))</f>
        <v/>
      </c>
      <c r="AC455" s="1300">
        <f>IF(AND(Table6[[#This Row],[LOQ RAC individual crop]]="Y",Table6[[#This Row],[GAP under assessment]]="N"),Table6[[#This Row],[MRL RAC individual commodity]],Table6[[#This Row],[MRL RAC individual commodity]]*Table6[[#This Row],[CF*PF for calculation]])</f>
        <v>0</v>
      </c>
      <c r="AD455" s="1287">
        <f t="shared" si="284"/>
        <v>0</v>
      </c>
      <c r="AE455" s="1287">
        <f t="shared" si="285"/>
        <v>0</v>
      </c>
      <c r="AF455" s="1307" t="str">
        <f>Table6[[#This Row],[IESTI case]]</f>
        <v>2a/2b</v>
      </c>
      <c r="AG45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55" s="1302" t="str">
        <f>IF(Table6[[#This Row],[Input value normal mode case 1, 2a/2b,Po]]&gt;0,
              IF(Table6[[#This Row],[Highest residue * CF*PF]]&gt;"","HR-RAC",
                             IF(Table6[[#This Row],[LOQ RAC individual crop]]="Y","LOQ","MRL")),"")</f>
        <v/>
      </c>
      <c r="AI455" s="1302" t="str">
        <f t="shared" si="286"/>
        <v/>
      </c>
      <c r="AJ455" s="1302" t="str">
        <f>IF(Table6[[#This Row],[Input value normal mode case 1, 2a/2b,Po]]&gt;0,IF(Table6[[#This Row],[label description]]&gt;"",Table6[[#This Row],[label description]],""),"")</f>
        <v/>
      </c>
      <c r="AK455" s="1302" t="str">
        <f>CONCATENATE(Table6[[#This Row],[label for IESTI normal mode case 1, 2a/2b,Po]],Table6[[#This Row],[label connector case  normal mode]],Table6[[#This Row],[label refinements normal mode case 1, 2a/2b,Po]])</f>
        <v/>
      </c>
      <c r="AL455" s="1287" t="str">
        <f>IF(AND(Table6[[#This Row],[Case for acute RA children / adults]]=3,Table6[[#This Row],[Post-harvest treatment]]=""),IF(AND(Table6[[#This Row],[LOQ RAC individual crop]]="Y",M454="N"),Table6[[#This Row],[MRL RAC individual commodity]],IF(Table6[[#This Row],[Median residue*CF*PF]]&gt;0,Table6[[#This Row],[Median residue*CF*PF]],IF(Table6[[#This Row],[MRL*CF*PF or LOQ (if not under assessment and LOQ)]]&gt;0,Table6[[#This Row],[MRL*CF*PF or LOQ (if not under assessment and LOQ)]],""))),"")</f>
        <v/>
      </c>
      <c r="AM455" s="1295" t="str">
        <f>IF(Table6[[#This Row],[input for case 3 normal mode]]&gt;0,IF(Table6[[#This Row],[Median residue*CF*PF]]&gt;0,"STMR-RAC",IF(AND($AC455&gt;0,NOT(V455="Y")),"MRL",IF($V455="Y","LOQ",""))),"")</f>
        <v/>
      </c>
      <c r="AN455" s="1295" t="str">
        <f t="shared" si="287"/>
        <v/>
      </c>
      <c r="AO455" s="1287" t="str">
        <f>IF(Table6[[#This Row],[input for case 3 normal mode]]="","",IF(AND(Table6[[#This Row],[label for case 3 calculation normal mode]]="LOQ",Table6[[#This Row],[GAP under assessment]]="N"),"",IF(Table6[[#This Row],[label description]]&gt;"",Table6[[#This Row],[label description]],"")))</f>
        <v/>
      </c>
      <c r="AP455" s="1287" t="str">
        <f>CONCATENATE(Table6[[#This Row],[label for case 3 calculation normal mode]],Table6[[#This Row],[label connector case 3 normal mode]],Table6[[#This Row],[label refinements case 3 normal mode]])</f>
        <v/>
      </c>
      <c r="AQ455" s="1287" t="str">
        <f>IF(Table6[[#This Row],[GAP under assessment]]="Y",Table6[[#This Row],[Input value normal mode case 1, 2a/2b,Po]],"")</f>
        <v/>
      </c>
      <c r="AR455" s="1287" t="str">
        <f>IF(Table6[[#This Row],[Input value refined mode case 1, 2a/2b,Po]]&gt;0,Table6[[#This Row],[concat label normal mode 1,2a/2b,Po ]],"")</f>
        <v/>
      </c>
      <c r="AS455" s="1303" t="str">
        <f>IF(Table6[[#This Row],[GAP under assessment]]="Y",Table6[[#This Row],[input for case 3 normal mode]],"")</f>
        <v/>
      </c>
      <c r="AT455" s="1287" t="str">
        <f>IF(Table6[[#This Row],[input for case 3 refined mode]]&gt;0,Table6[[#This Row],[concat label normal mode  case 3]],"")</f>
        <v/>
      </c>
      <c r="AU455" s="1295" t="str">
        <f>IF(Table6[[#This Row],[Input value normal mode case 1, 2a/2b,Po]]&gt;0,Table6[[#This Row],[Input value normal mode case 1, 2a/2b,Po]],Table6[[#This Row],[input for case 3 normal mode]])</f>
        <v/>
      </c>
      <c r="AV455" s="1295" t="str">
        <f>IF(Table6[[#This Row],[Input value normal mode case 1, 2a/2b,Po]]&gt;0,Table6[[#This Row],[concat label normal mode 1,2a/2b,Po ]],Table6[[#This Row],[concat label normal mode  case 3]])</f>
        <v/>
      </c>
      <c r="AW455" s="1295" t="str">
        <f>IF(Table6[[#This Row],[Input value refined mode case 1, 2a/2b,Po]]&gt;0,Table6[[#This Row],[Input value refined mode case 1, 2a/2b,Po]],Table6[[#This Row],[input for case 3 refined mode]])</f>
        <v/>
      </c>
      <c r="AX455" s="1295" t="str">
        <f>IF(Table6[[#This Row],[Input value refined mode case 1, 2a/2b,Po]]&gt;0,Table6[[#This Row],[concat label refined mode case 1,2a/2b,Po]],Table6[[#This Row],[label for case 3 calculation refined mode]])</f>
        <v/>
      </c>
      <c r="AY455" s="1287">
        <f t="shared" si="288"/>
        <v>0</v>
      </c>
      <c r="AZ455" s="1295" t="str">
        <f t="shared" si="289"/>
        <v/>
      </c>
      <c r="BA455" s="1295" t="str">
        <f t="shared" si="290"/>
        <v/>
      </c>
      <c r="BB455" s="1287" t="str">
        <f>IF(AND(Table6[[#This Row],[label for IESTI new normal mode]]="LOQ",Table6[[#This Row],[GAP under assessment]]="N"),"",IF(AND($H455&gt;0,$Y455&lt;&gt;1),"CF*PF",IF($H455&gt;0,"CF",IF($Y455&lt;&gt;1,"PF",""))))</f>
        <v/>
      </c>
      <c r="BC455" s="1296"/>
      <c r="BD455" s="1297"/>
      <c r="BE455" s="1304" t="str">
        <f>IF(Table6[[#This Row],[GAP under assessment]]="Y",Table6[[#This Row],[MRL*CF*PF or LOQ (if not under assessment and LOQ)]],"")</f>
        <v/>
      </c>
      <c r="BF455" s="1305" t="str">
        <f>IF(Table6[[#This Row],[Input for IESTI new refined mode]]&lt;&gt;"",CONCATENATE("MRL",Table6[[#This Row],[label connector case 3 normal mode]],Table6[[#This Row],[label refinements case 3 normal mode]]),"")</f>
        <v/>
      </c>
      <c r="BG455" s="1298" t="s">
        <v>539</v>
      </c>
      <c r="BH455" s="1306"/>
    </row>
    <row r="456" spans="1:60" s="11" customFormat="1" ht="12.75" customHeight="1" x14ac:dyDescent="0.2">
      <c r="A456" s="479" t="s">
        <v>540</v>
      </c>
      <c r="B456" s="480">
        <v>213060</v>
      </c>
      <c r="C456" s="547" t="s">
        <v>395</v>
      </c>
      <c r="D456" s="1261">
        <f>VLOOKUP(Table6[[#This Row],[Code no.]],$B$12:$D$390,3,FALSE)</f>
        <v>0</v>
      </c>
      <c r="E456" s="1264">
        <f t="shared" si="275"/>
        <v>0</v>
      </c>
      <c r="F456" s="1262" t="str">
        <f t="shared" si="272"/>
        <v/>
      </c>
      <c r="G456" s="1265">
        <f t="shared" si="276"/>
        <v>1</v>
      </c>
      <c r="H456" s="881"/>
      <c r="I456" s="880"/>
      <c r="J456" s="1269">
        <f t="shared" si="277"/>
        <v>0</v>
      </c>
      <c r="K456" s="1269">
        <f t="shared" si="278"/>
        <v>0</v>
      </c>
      <c r="L456" s="1276" t="str">
        <f t="shared" si="291"/>
        <v/>
      </c>
      <c r="M456" s="1271" t="str">
        <f t="shared" si="279"/>
        <v/>
      </c>
      <c r="N456" s="1272"/>
      <c r="O456" s="1273" t="s">
        <v>654</v>
      </c>
      <c r="P456" s="1273" t="str">
        <f>IF(OR($A$10=$BG$15,Results!$B$62=Results!$T$63),Table6[[#This Row],[label refine mode]],Table6[[#This Row],[label normal mode]])</f>
        <v/>
      </c>
      <c r="Q456" s="1257" t="str">
        <f>IF(OR($A$10=$BG$15,Results!$B$62=Results!$T$63),Table6[[#This Row],[input refined mode]],Table6[[#This Row],[Input normal mode]])</f>
        <v/>
      </c>
      <c r="R456" s="1275" t="str">
        <f>IF(Table6[[#This Row],[Acute RA IESTI new input value]]="","",CONCATENATE(Table6[[#This Row],[label for IESTI new normal mode]],Table6[[#This Row],[label connector IESTI new normal mode]],Table6[[#This Row],[label refinements normal mode]]))</f>
        <v/>
      </c>
      <c r="S456" s="1259">
        <f>IF(OR($A$10=$BG$15,Results!$B$62=Results!$T$63),Table6[[#This Row],[Input for IESTI new refined mode]],Table6[[#This Row],[Input for IESTI new normal mode]])</f>
        <v>0</v>
      </c>
      <c r="T456" s="888"/>
      <c r="U456" s="1283">
        <f t="shared" si="280"/>
        <v>0</v>
      </c>
      <c r="V456" s="1284" t="str">
        <f t="shared" si="281"/>
        <v/>
      </c>
      <c r="W456" s="1285">
        <f>IF($H456&gt;0,$H456,IF(Table6[[#This Row],[CFrisk for residue definition (applicable for unprocessed products)]]&gt;0,Table6[[#This Row],[CFrisk for residue definition (applicable for unprocessed products)]],1))</f>
        <v>1</v>
      </c>
      <c r="X456" s="1285">
        <v>1</v>
      </c>
      <c r="Y456" s="1285">
        <f t="shared" si="282"/>
        <v>1</v>
      </c>
      <c r="Z456" s="1285">
        <f t="shared" si="283"/>
        <v>1</v>
      </c>
      <c r="AA456" s="1285" t="str">
        <f>IF(Table6[[#This Row],[Post-harvest treatment]]="","","Y")</f>
        <v/>
      </c>
      <c r="AB456" s="1285" t="str">
        <f>IF(AND(Table6[[#This Row],[CF used for for calculation]]&lt;&gt;1,Table6[[#This Row],[PF for calculation]]&lt;&gt;1),"CF*PF",IF(Table6[[#This Row],[CF used for for calculation]]&lt;&gt;1,"CF",IF(Table6[[#This Row],[PF for calculation]]&lt;&gt;1,"PF","")))</f>
        <v/>
      </c>
      <c r="AC456" s="1300">
        <f>IF(AND(Table6[[#This Row],[LOQ RAC individual crop]]="Y",Table6[[#This Row],[GAP under assessment]]="N"),Table6[[#This Row],[MRL RAC individual commodity]],Table6[[#This Row],[MRL RAC individual commodity]]*Table6[[#This Row],[CF*PF for calculation]])</f>
        <v>0</v>
      </c>
      <c r="AD456" s="1287">
        <f t="shared" si="284"/>
        <v>0</v>
      </c>
      <c r="AE456" s="1287">
        <f t="shared" si="285"/>
        <v>0</v>
      </c>
      <c r="AF456" s="1307" t="str">
        <f>Table6[[#This Row],[IESTI case]]</f>
        <v>2a/2b</v>
      </c>
      <c r="AG45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56" s="1302" t="str">
        <f>IF(Table6[[#This Row],[Input value normal mode case 1, 2a/2b,Po]]&gt;0,
              IF(Table6[[#This Row],[Highest residue * CF*PF]]&gt;"","HR-RAC",
                             IF(Table6[[#This Row],[LOQ RAC individual crop]]="Y","LOQ","MRL")),"")</f>
        <v/>
      </c>
      <c r="AI456" s="1302" t="str">
        <f t="shared" si="286"/>
        <v/>
      </c>
      <c r="AJ456" s="1302" t="str">
        <f>IF(Table6[[#This Row],[Input value normal mode case 1, 2a/2b,Po]]&gt;0,IF(Table6[[#This Row],[label description]]&gt;"",Table6[[#This Row],[label description]],""),"")</f>
        <v/>
      </c>
      <c r="AK456" s="1302" t="str">
        <f>CONCATENATE(Table6[[#This Row],[label for IESTI normal mode case 1, 2a/2b,Po]],Table6[[#This Row],[label connector case  normal mode]],Table6[[#This Row],[label refinements normal mode case 1, 2a/2b,Po]])</f>
        <v/>
      </c>
      <c r="AL456" s="1287" t="str">
        <f>IF(AND(Table6[[#This Row],[Case for acute RA children / adults]]=3,Table6[[#This Row],[Post-harvest treatment]]=""),IF(AND(Table6[[#This Row],[LOQ RAC individual crop]]="Y",M455="N"),Table6[[#This Row],[MRL RAC individual commodity]],IF(Table6[[#This Row],[Median residue*CF*PF]]&gt;0,Table6[[#This Row],[Median residue*CF*PF]],IF(Table6[[#This Row],[MRL*CF*PF or LOQ (if not under assessment and LOQ)]]&gt;0,Table6[[#This Row],[MRL*CF*PF or LOQ (if not under assessment and LOQ)]],""))),"")</f>
        <v/>
      </c>
      <c r="AM456" s="1295" t="str">
        <f>IF(Table6[[#This Row],[input for case 3 normal mode]]&gt;0,IF(Table6[[#This Row],[Median residue*CF*PF]]&gt;0,"STMR-RAC",IF(AND($AC456&gt;0,NOT(V456="Y")),"MRL",IF($V456="Y","LOQ",""))),"")</f>
        <v/>
      </c>
      <c r="AN456" s="1295" t="str">
        <f t="shared" si="287"/>
        <v/>
      </c>
      <c r="AO456" s="1287" t="str">
        <f>IF(Table6[[#This Row],[input for case 3 normal mode]]="","",IF(AND(Table6[[#This Row],[label for case 3 calculation normal mode]]="LOQ",Table6[[#This Row],[GAP under assessment]]="N"),"",IF(Table6[[#This Row],[label description]]&gt;"",Table6[[#This Row],[label description]],"")))</f>
        <v/>
      </c>
      <c r="AP456" s="1287" t="str">
        <f>CONCATENATE(Table6[[#This Row],[label for case 3 calculation normal mode]],Table6[[#This Row],[label connector case 3 normal mode]],Table6[[#This Row],[label refinements case 3 normal mode]])</f>
        <v/>
      </c>
      <c r="AQ456" s="1287" t="str">
        <f>IF(Table6[[#This Row],[GAP under assessment]]="Y",Table6[[#This Row],[Input value normal mode case 1, 2a/2b,Po]],"")</f>
        <v/>
      </c>
      <c r="AR456" s="1287" t="str">
        <f>IF(Table6[[#This Row],[Input value refined mode case 1, 2a/2b,Po]]&gt;0,Table6[[#This Row],[concat label normal mode 1,2a/2b,Po ]],"")</f>
        <v/>
      </c>
      <c r="AS456" s="1303" t="str">
        <f>IF(Table6[[#This Row],[GAP under assessment]]="Y",Table6[[#This Row],[input for case 3 normal mode]],"")</f>
        <v/>
      </c>
      <c r="AT456" s="1287" t="str">
        <f>IF(Table6[[#This Row],[input for case 3 refined mode]]&gt;0,Table6[[#This Row],[concat label normal mode  case 3]],"")</f>
        <v/>
      </c>
      <c r="AU456" s="1295" t="str">
        <f>IF(Table6[[#This Row],[Input value normal mode case 1, 2a/2b,Po]]&gt;0,Table6[[#This Row],[Input value normal mode case 1, 2a/2b,Po]],Table6[[#This Row],[input for case 3 normal mode]])</f>
        <v/>
      </c>
      <c r="AV456" s="1295" t="str">
        <f>IF(Table6[[#This Row],[Input value normal mode case 1, 2a/2b,Po]]&gt;0,Table6[[#This Row],[concat label normal mode 1,2a/2b,Po ]],Table6[[#This Row],[concat label normal mode  case 3]])</f>
        <v/>
      </c>
      <c r="AW456" s="1295" t="str">
        <f>IF(Table6[[#This Row],[Input value refined mode case 1, 2a/2b,Po]]&gt;0,Table6[[#This Row],[Input value refined mode case 1, 2a/2b,Po]],Table6[[#This Row],[input for case 3 refined mode]])</f>
        <v/>
      </c>
      <c r="AX456" s="1295" t="str">
        <f>IF(Table6[[#This Row],[Input value refined mode case 1, 2a/2b,Po]]&gt;0,Table6[[#This Row],[concat label refined mode case 1,2a/2b,Po]],Table6[[#This Row],[label for case 3 calculation refined mode]])</f>
        <v/>
      </c>
      <c r="AY456" s="1287">
        <f t="shared" si="288"/>
        <v>0</v>
      </c>
      <c r="AZ456" s="1295" t="str">
        <f t="shared" si="289"/>
        <v/>
      </c>
      <c r="BA456" s="1295" t="str">
        <f t="shared" si="290"/>
        <v/>
      </c>
      <c r="BB456" s="1287" t="str">
        <f>IF(AND(Table6[[#This Row],[label for IESTI new normal mode]]="LOQ",Table6[[#This Row],[GAP under assessment]]="N"),"",IF(AND($H456&gt;0,$Y456&lt;&gt;1),"CF*PF",IF($H456&gt;0,"CF",IF($Y456&lt;&gt;1,"PF",""))))</f>
        <v/>
      </c>
      <c r="BC456" s="1296"/>
      <c r="BD456" s="1297"/>
      <c r="BE456" s="1304" t="str">
        <f>IF(Table6[[#This Row],[GAP under assessment]]="Y",Table6[[#This Row],[MRL*CF*PF or LOQ (if not under assessment and LOQ)]],"")</f>
        <v/>
      </c>
      <c r="BF456" s="1305" t="str">
        <f>IF(Table6[[#This Row],[Input for IESTI new refined mode]]&lt;&gt;"",CONCATENATE("MRL",Table6[[#This Row],[label connector case 3 normal mode]],Table6[[#This Row],[label refinements case 3 normal mode]]),"")</f>
        <v/>
      </c>
      <c r="BG456" s="1298" t="s">
        <v>540</v>
      </c>
      <c r="BH456" s="1306"/>
    </row>
    <row r="457" spans="1:60" s="11" customFormat="1" ht="12.75" customHeight="1" x14ac:dyDescent="0.2">
      <c r="A457" s="479" t="s">
        <v>541</v>
      </c>
      <c r="B457" s="480">
        <v>213090</v>
      </c>
      <c r="C457" s="547" t="s">
        <v>826</v>
      </c>
      <c r="D457" s="1261">
        <f>VLOOKUP(Table6[[#This Row],[Code no.]],$B$12:$D$390,3,FALSE)</f>
        <v>0</v>
      </c>
      <c r="E457" s="1264">
        <f t="shared" si="275"/>
        <v>0</v>
      </c>
      <c r="F457" s="1262" t="str">
        <f t="shared" si="272"/>
        <v/>
      </c>
      <c r="G457" s="1265">
        <f t="shared" si="276"/>
        <v>1</v>
      </c>
      <c r="H457" s="881"/>
      <c r="I457" s="880"/>
      <c r="J457" s="1269">
        <f t="shared" si="277"/>
        <v>0</v>
      </c>
      <c r="K457" s="1269">
        <f t="shared" si="278"/>
        <v>0</v>
      </c>
      <c r="L457" s="1276" t="str">
        <f t="shared" si="291"/>
        <v/>
      </c>
      <c r="M457" s="1271" t="str">
        <f t="shared" si="279"/>
        <v/>
      </c>
      <c r="N457" s="1272"/>
      <c r="O457" s="1273" t="s">
        <v>654</v>
      </c>
      <c r="P457" s="1273" t="str">
        <f>IF(OR($A$10=$BG$15,Results!$B$62=Results!$T$63),Table6[[#This Row],[label refine mode]],Table6[[#This Row],[label normal mode]])</f>
        <v/>
      </c>
      <c r="Q457" s="1257" t="str">
        <f>IF(OR($A$10=$BG$15,Results!$B$62=Results!$T$63),Table6[[#This Row],[input refined mode]],Table6[[#This Row],[Input normal mode]])</f>
        <v/>
      </c>
      <c r="R457" s="1275" t="str">
        <f>IF(Table6[[#This Row],[Acute RA IESTI new input value]]="","",CONCATENATE(Table6[[#This Row],[label for IESTI new normal mode]],Table6[[#This Row],[label connector IESTI new normal mode]],Table6[[#This Row],[label refinements normal mode]]))</f>
        <v/>
      </c>
      <c r="S457" s="1259">
        <f>IF(OR($A$10=$BG$15,Results!$B$62=Results!$T$63),Table6[[#This Row],[Input for IESTI new refined mode]],Table6[[#This Row],[Input for IESTI new normal mode]])</f>
        <v>0</v>
      </c>
      <c r="T457" s="888"/>
      <c r="U457" s="1283">
        <f t="shared" si="280"/>
        <v>0</v>
      </c>
      <c r="V457" s="1284" t="str">
        <f t="shared" si="281"/>
        <v/>
      </c>
      <c r="W457" s="1285">
        <f>IF($H457&gt;0,$H457,IF(Table6[[#This Row],[CFrisk for residue definition (applicable for unprocessed products)]]&gt;0,Table6[[#This Row],[CFrisk for residue definition (applicable for unprocessed products)]],1))</f>
        <v>1</v>
      </c>
      <c r="X457" s="1285">
        <v>1</v>
      </c>
      <c r="Y457" s="1285">
        <f t="shared" si="282"/>
        <v>1</v>
      </c>
      <c r="Z457" s="1285">
        <f t="shared" si="283"/>
        <v>1</v>
      </c>
      <c r="AA457" s="1285" t="str">
        <f>IF(Table6[[#This Row],[Post-harvest treatment]]="","","Y")</f>
        <v/>
      </c>
      <c r="AB457" s="1285" t="str">
        <f>IF(AND(Table6[[#This Row],[CF used for for calculation]]&lt;&gt;1,Table6[[#This Row],[PF for calculation]]&lt;&gt;1),"CF*PF",IF(Table6[[#This Row],[CF used for for calculation]]&lt;&gt;1,"CF",IF(Table6[[#This Row],[PF for calculation]]&lt;&gt;1,"PF","")))</f>
        <v/>
      </c>
      <c r="AC457" s="1300">
        <f>IF(AND(Table6[[#This Row],[LOQ RAC individual crop]]="Y",Table6[[#This Row],[GAP under assessment]]="N"),Table6[[#This Row],[MRL RAC individual commodity]],Table6[[#This Row],[MRL RAC individual commodity]]*Table6[[#This Row],[CF*PF for calculation]])</f>
        <v>0</v>
      </c>
      <c r="AD457" s="1287">
        <f t="shared" si="284"/>
        <v>0</v>
      </c>
      <c r="AE457" s="1287">
        <f t="shared" si="285"/>
        <v>0</v>
      </c>
      <c r="AF457" s="1307" t="str">
        <f>Table6[[#This Row],[IESTI case]]</f>
        <v>2a/2b</v>
      </c>
      <c r="AG45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57" s="1302" t="str">
        <f>IF(Table6[[#This Row],[Input value normal mode case 1, 2a/2b,Po]]&gt;0,
              IF(Table6[[#This Row],[Highest residue * CF*PF]]&gt;"","HR-RAC",
                             IF(Table6[[#This Row],[LOQ RAC individual crop]]="Y","LOQ","MRL")),"")</f>
        <v/>
      </c>
      <c r="AI457" s="1302" t="str">
        <f t="shared" si="286"/>
        <v/>
      </c>
      <c r="AJ457" s="1302" t="str">
        <f>IF(Table6[[#This Row],[Input value normal mode case 1, 2a/2b,Po]]&gt;0,IF(Table6[[#This Row],[label description]]&gt;"",Table6[[#This Row],[label description]],""),"")</f>
        <v/>
      </c>
      <c r="AK457" s="1302" t="str">
        <f>CONCATENATE(Table6[[#This Row],[label for IESTI normal mode case 1, 2a/2b,Po]],Table6[[#This Row],[label connector case  normal mode]],Table6[[#This Row],[label refinements normal mode case 1, 2a/2b,Po]])</f>
        <v/>
      </c>
      <c r="AL457" s="1287" t="str">
        <f>IF(AND(Table6[[#This Row],[Case for acute RA children / adults]]=3,Table6[[#This Row],[Post-harvest treatment]]=""),IF(AND(Table6[[#This Row],[LOQ RAC individual crop]]="Y",M456="N"),Table6[[#This Row],[MRL RAC individual commodity]],IF(Table6[[#This Row],[Median residue*CF*PF]]&gt;0,Table6[[#This Row],[Median residue*CF*PF]],IF(Table6[[#This Row],[MRL*CF*PF or LOQ (if not under assessment and LOQ)]]&gt;0,Table6[[#This Row],[MRL*CF*PF or LOQ (if not under assessment and LOQ)]],""))),"")</f>
        <v/>
      </c>
      <c r="AM457" s="1295" t="str">
        <f>IF(Table6[[#This Row],[input for case 3 normal mode]]&gt;0,IF(Table6[[#This Row],[Median residue*CF*PF]]&gt;0,"STMR-RAC",IF(AND($AC457&gt;0,NOT(V457="Y")),"MRL",IF($V457="Y","LOQ",""))),"")</f>
        <v/>
      </c>
      <c r="AN457" s="1295" t="str">
        <f t="shared" si="287"/>
        <v/>
      </c>
      <c r="AO457" s="1287" t="str">
        <f>IF(Table6[[#This Row],[input for case 3 normal mode]]="","",IF(AND(Table6[[#This Row],[label for case 3 calculation normal mode]]="LOQ",Table6[[#This Row],[GAP under assessment]]="N"),"",IF(Table6[[#This Row],[label description]]&gt;"",Table6[[#This Row],[label description]],"")))</f>
        <v/>
      </c>
      <c r="AP457" s="1287" t="str">
        <f>CONCATENATE(Table6[[#This Row],[label for case 3 calculation normal mode]],Table6[[#This Row],[label connector case 3 normal mode]],Table6[[#This Row],[label refinements case 3 normal mode]])</f>
        <v/>
      </c>
      <c r="AQ457" s="1287" t="str">
        <f>IF(Table6[[#This Row],[GAP under assessment]]="Y",Table6[[#This Row],[Input value normal mode case 1, 2a/2b,Po]],"")</f>
        <v/>
      </c>
      <c r="AR457" s="1287" t="str">
        <f>IF(Table6[[#This Row],[Input value refined mode case 1, 2a/2b,Po]]&gt;0,Table6[[#This Row],[concat label normal mode 1,2a/2b,Po ]],"")</f>
        <v/>
      </c>
      <c r="AS457" s="1303" t="str">
        <f>IF(Table6[[#This Row],[GAP under assessment]]="Y",Table6[[#This Row],[input for case 3 normal mode]],"")</f>
        <v/>
      </c>
      <c r="AT457" s="1287" t="str">
        <f>IF(Table6[[#This Row],[input for case 3 refined mode]]&gt;0,Table6[[#This Row],[concat label normal mode  case 3]],"")</f>
        <v/>
      </c>
      <c r="AU457" s="1295" t="str">
        <f>IF(Table6[[#This Row],[Input value normal mode case 1, 2a/2b,Po]]&gt;0,Table6[[#This Row],[Input value normal mode case 1, 2a/2b,Po]],Table6[[#This Row],[input for case 3 normal mode]])</f>
        <v/>
      </c>
      <c r="AV457" s="1295" t="str">
        <f>IF(Table6[[#This Row],[Input value normal mode case 1, 2a/2b,Po]]&gt;0,Table6[[#This Row],[concat label normal mode 1,2a/2b,Po ]],Table6[[#This Row],[concat label normal mode  case 3]])</f>
        <v/>
      </c>
      <c r="AW457" s="1295" t="str">
        <f>IF(Table6[[#This Row],[Input value refined mode case 1, 2a/2b,Po]]&gt;0,Table6[[#This Row],[Input value refined mode case 1, 2a/2b,Po]],Table6[[#This Row],[input for case 3 refined mode]])</f>
        <v/>
      </c>
      <c r="AX457" s="1295" t="str">
        <f>IF(Table6[[#This Row],[Input value refined mode case 1, 2a/2b,Po]]&gt;0,Table6[[#This Row],[concat label refined mode case 1,2a/2b,Po]],Table6[[#This Row],[label for case 3 calculation refined mode]])</f>
        <v/>
      </c>
      <c r="AY457" s="1287">
        <f t="shared" si="288"/>
        <v>0</v>
      </c>
      <c r="AZ457" s="1295" t="str">
        <f t="shared" si="289"/>
        <v/>
      </c>
      <c r="BA457" s="1295" t="str">
        <f t="shared" si="290"/>
        <v/>
      </c>
      <c r="BB457" s="1287" t="str">
        <f>IF(AND(Table6[[#This Row],[label for IESTI new normal mode]]="LOQ",Table6[[#This Row],[GAP under assessment]]="N"),"",IF(AND($H457&gt;0,$Y457&lt;&gt;1),"CF*PF",IF($H457&gt;0,"CF",IF($Y457&lt;&gt;1,"PF",""))))</f>
        <v/>
      </c>
      <c r="BC457" s="1296"/>
      <c r="BD457" s="1297"/>
      <c r="BE457" s="1304" t="str">
        <f>IF(Table6[[#This Row],[GAP under assessment]]="Y",Table6[[#This Row],[MRL*CF*PF or LOQ (if not under assessment and LOQ)]],"")</f>
        <v/>
      </c>
      <c r="BF457" s="1305" t="str">
        <f>IF(Table6[[#This Row],[Input for IESTI new refined mode]]&lt;&gt;"",CONCATENATE("MRL",Table6[[#This Row],[label connector case 3 normal mode]],Table6[[#This Row],[label refinements case 3 normal mode]]),"")</f>
        <v/>
      </c>
      <c r="BG457" s="1298" t="s">
        <v>541</v>
      </c>
      <c r="BH457" s="1306"/>
    </row>
    <row r="458" spans="1:60" s="11" customFormat="1" ht="12.75" customHeight="1" x14ac:dyDescent="0.2">
      <c r="A458" s="479" t="s">
        <v>542</v>
      </c>
      <c r="B458" s="480">
        <v>213110</v>
      </c>
      <c r="C458" s="547" t="s">
        <v>464</v>
      </c>
      <c r="D458" s="1261">
        <f>VLOOKUP(Table6[[#This Row],[Code no.]],$B$12:$D$390,3,FALSE)</f>
        <v>0</v>
      </c>
      <c r="E458" s="1264">
        <f t="shared" si="275"/>
        <v>0</v>
      </c>
      <c r="F458" s="1262" t="str">
        <f t="shared" si="272"/>
        <v/>
      </c>
      <c r="G458" s="1265">
        <f t="shared" si="276"/>
        <v>1</v>
      </c>
      <c r="H458" s="881"/>
      <c r="I458" s="880"/>
      <c r="J458" s="1269">
        <f t="shared" si="277"/>
        <v>0</v>
      </c>
      <c r="K458" s="1269">
        <f t="shared" si="278"/>
        <v>0</v>
      </c>
      <c r="L458" s="1276" t="str">
        <f t="shared" si="291"/>
        <v/>
      </c>
      <c r="M458" s="1271" t="str">
        <f t="shared" si="279"/>
        <v/>
      </c>
      <c r="N458" s="1272"/>
      <c r="O458" s="1273" t="s">
        <v>654</v>
      </c>
      <c r="P458" s="1273" t="str">
        <f>IF(OR($A$10=$BG$15,Results!$B$62=Results!$T$63),Table6[[#This Row],[label refine mode]],Table6[[#This Row],[label normal mode]])</f>
        <v/>
      </c>
      <c r="Q458" s="1257" t="str">
        <f>IF(OR($A$10=$BG$15,Results!$B$62=Results!$T$63),Table6[[#This Row],[input refined mode]],Table6[[#This Row],[Input normal mode]])</f>
        <v/>
      </c>
      <c r="R458" s="1275" t="str">
        <f>IF(Table6[[#This Row],[Acute RA IESTI new input value]]="","",CONCATENATE(Table6[[#This Row],[label for IESTI new normal mode]],Table6[[#This Row],[label connector IESTI new normal mode]],Table6[[#This Row],[label refinements normal mode]]))</f>
        <v/>
      </c>
      <c r="S458" s="1259">
        <f>IF(OR($A$10=$BG$15,Results!$B$62=Results!$T$63),Table6[[#This Row],[Input for IESTI new refined mode]],Table6[[#This Row],[Input for IESTI new normal mode]])</f>
        <v>0</v>
      </c>
      <c r="T458" s="888"/>
      <c r="U458" s="1283">
        <f t="shared" si="280"/>
        <v>0</v>
      </c>
      <c r="V458" s="1284" t="str">
        <f t="shared" si="281"/>
        <v/>
      </c>
      <c r="W458" s="1285">
        <f>IF($H458&gt;0,$H458,IF(Table6[[#This Row],[CFrisk for residue definition (applicable for unprocessed products)]]&gt;0,Table6[[#This Row],[CFrisk for residue definition (applicable for unprocessed products)]],1))</f>
        <v>1</v>
      </c>
      <c r="X458" s="1285">
        <v>1</v>
      </c>
      <c r="Y458" s="1285">
        <f t="shared" si="282"/>
        <v>1</v>
      </c>
      <c r="Z458" s="1285">
        <f t="shared" si="283"/>
        <v>1</v>
      </c>
      <c r="AA458" s="1285" t="str">
        <f>IF(Table6[[#This Row],[Post-harvest treatment]]="","","Y")</f>
        <v/>
      </c>
      <c r="AB458" s="1285" t="str">
        <f>IF(AND(Table6[[#This Row],[CF used for for calculation]]&lt;&gt;1,Table6[[#This Row],[PF for calculation]]&lt;&gt;1),"CF*PF",IF(Table6[[#This Row],[CF used for for calculation]]&lt;&gt;1,"CF",IF(Table6[[#This Row],[PF for calculation]]&lt;&gt;1,"PF","")))</f>
        <v/>
      </c>
      <c r="AC458" s="1300">
        <f>IF(AND(Table6[[#This Row],[LOQ RAC individual crop]]="Y",Table6[[#This Row],[GAP under assessment]]="N"),Table6[[#This Row],[MRL RAC individual commodity]],Table6[[#This Row],[MRL RAC individual commodity]]*Table6[[#This Row],[CF*PF for calculation]])</f>
        <v>0</v>
      </c>
      <c r="AD458" s="1287">
        <f t="shared" si="284"/>
        <v>0</v>
      </c>
      <c r="AE458" s="1287">
        <f t="shared" si="285"/>
        <v>0</v>
      </c>
      <c r="AF458" s="1307" t="str">
        <f>Table6[[#This Row],[IESTI case]]</f>
        <v>2a/2b</v>
      </c>
      <c r="AG458"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58" s="1302" t="str">
        <f>IF(Table6[[#This Row],[Input value normal mode case 1, 2a/2b,Po]]&gt;0,
              IF(Table6[[#This Row],[Highest residue * CF*PF]]&gt;"","HR-RAC",
                             IF(Table6[[#This Row],[LOQ RAC individual crop]]="Y","LOQ","MRL")),"")</f>
        <v/>
      </c>
      <c r="AI458" s="1302" t="str">
        <f t="shared" si="286"/>
        <v/>
      </c>
      <c r="AJ458" s="1302" t="str">
        <f>IF(Table6[[#This Row],[Input value normal mode case 1, 2a/2b,Po]]&gt;0,IF(Table6[[#This Row],[label description]]&gt;"",Table6[[#This Row],[label description]],""),"")</f>
        <v/>
      </c>
      <c r="AK458" s="1302" t="str">
        <f>CONCATENATE(Table6[[#This Row],[label for IESTI normal mode case 1, 2a/2b,Po]],Table6[[#This Row],[label connector case  normal mode]],Table6[[#This Row],[label refinements normal mode case 1, 2a/2b,Po]])</f>
        <v/>
      </c>
      <c r="AL458" s="1287" t="str">
        <f>IF(AND(Table6[[#This Row],[Case for acute RA children / adults]]=3,Table6[[#This Row],[Post-harvest treatment]]=""),IF(AND(Table6[[#This Row],[LOQ RAC individual crop]]="Y",M457="N"),Table6[[#This Row],[MRL RAC individual commodity]],IF(Table6[[#This Row],[Median residue*CF*PF]]&gt;0,Table6[[#This Row],[Median residue*CF*PF]],IF(Table6[[#This Row],[MRL*CF*PF or LOQ (if not under assessment and LOQ)]]&gt;0,Table6[[#This Row],[MRL*CF*PF or LOQ (if not under assessment and LOQ)]],""))),"")</f>
        <v/>
      </c>
      <c r="AM458" s="1295" t="str">
        <f>IF(Table6[[#This Row],[input for case 3 normal mode]]&gt;0,IF(Table6[[#This Row],[Median residue*CF*PF]]&gt;0,"STMR-RAC",IF(AND($AC458&gt;0,NOT(V458="Y")),"MRL",IF($V458="Y","LOQ",""))),"")</f>
        <v/>
      </c>
      <c r="AN458" s="1295" t="str">
        <f t="shared" si="287"/>
        <v/>
      </c>
      <c r="AO458" s="1287" t="str">
        <f>IF(Table6[[#This Row],[input for case 3 normal mode]]="","",IF(AND(Table6[[#This Row],[label for case 3 calculation normal mode]]="LOQ",Table6[[#This Row],[GAP under assessment]]="N"),"",IF(Table6[[#This Row],[label description]]&gt;"",Table6[[#This Row],[label description]],"")))</f>
        <v/>
      </c>
      <c r="AP458" s="1287" t="str">
        <f>CONCATENATE(Table6[[#This Row],[label for case 3 calculation normal mode]],Table6[[#This Row],[label connector case 3 normal mode]],Table6[[#This Row],[label refinements case 3 normal mode]])</f>
        <v/>
      </c>
      <c r="AQ458" s="1287" t="str">
        <f>IF(Table6[[#This Row],[GAP under assessment]]="Y",Table6[[#This Row],[Input value normal mode case 1, 2a/2b,Po]],"")</f>
        <v/>
      </c>
      <c r="AR458" s="1287" t="str">
        <f>IF(Table6[[#This Row],[Input value refined mode case 1, 2a/2b,Po]]&gt;0,Table6[[#This Row],[concat label normal mode 1,2a/2b,Po ]],"")</f>
        <v/>
      </c>
      <c r="AS458" s="1303" t="str">
        <f>IF(Table6[[#This Row],[GAP under assessment]]="Y",Table6[[#This Row],[input for case 3 normal mode]],"")</f>
        <v/>
      </c>
      <c r="AT458" s="1287" t="str">
        <f>IF(Table6[[#This Row],[input for case 3 refined mode]]&gt;0,Table6[[#This Row],[concat label normal mode  case 3]],"")</f>
        <v/>
      </c>
      <c r="AU458" s="1295" t="str">
        <f>IF(Table6[[#This Row],[Input value normal mode case 1, 2a/2b,Po]]&gt;0,Table6[[#This Row],[Input value normal mode case 1, 2a/2b,Po]],Table6[[#This Row],[input for case 3 normal mode]])</f>
        <v/>
      </c>
      <c r="AV458" s="1295" t="str">
        <f>IF(Table6[[#This Row],[Input value normal mode case 1, 2a/2b,Po]]&gt;0,Table6[[#This Row],[concat label normal mode 1,2a/2b,Po ]],Table6[[#This Row],[concat label normal mode  case 3]])</f>
        <v/>
      </c>
      <c r="AW458" s="1295" t="str">
        <f>IF(Table6[[#This Row],[Input value refined mode case 1, 2a/2b,Po]]&gt;0,Table6[[#This Row],[Input value refined mode case 1, 2a/2b,Po]],Table6[[#This Row],[input for case 3 refined mode]])</f>
        <v/>
      </c>
      <c r="AX458" s="1295" t="str">
        <f>IF(Table6[[#This Row],[Input value refined mode case 1, 2a/2b,Po]]&gt;0,Table6[[#This Row],[concat label refined mode case 1,2a/2b,Po]],Table6[[#This Row],[label for case 3 calculation refined mode]])</f>
        <v/>
      </c>
      <c r="AY458" s="1287">
        <f t="shared" si="288"/>
        <v>0</v>
      </c>
      <c r="AZ458" s="1295" t="str">
        <f t="shared" si="289"/>
        <v/>
      </c>
      <c r="BA458" s="1295" t="str">
        <f t="shared" si="290"/>
        <v/>
      </c>
      <c r="BB458" s="1287" t="str">
        <f>IF(AND(Table6[[#This Row],[label for IESTI new normal mode]]="LOQ",Table6[[#This Row],[GAP under assessment]]="N"),"",IF(AND($H458&gt;0,$Y458&lt;&gt;1),"CF*PF",IF($H458&gt;0,"CF",IF($Y458&lt;&gt;1,"PF",""))))</f>
        <v/>
      </c>
      <c r="BC458" s="1296"/>
      <c r="BD458" s="1297"/>
      <c r="BE458" s="1304" t="str">
        <f>IF(Table6[[#This Row],[GAP under assessment]]="Y",Table6[[#This Row],[MRL*CF*PF or LOQ (if not under assessment and LOQ)]],"")</f>
        <v/>
      </c>
      <c r="BF458" s="1305" t="str">
        <f>IF(Table6[[#This Row],[Input for IESTI new refined mode]]&lt;&gt;"",CONCATENATE("MRL",Table6[[#This Row],[label connector case 3 normal mode]],Table6[[#This Row],[label refinements case 3 normal mode]]),"")</f>
        <v/>
      </c>
      <c r="BG458" s="1298" t="s">
        <v>542</v>
      </c>
      <c r="BH458" s="1306"/>
    </row>
    <row r="459" spans="1:60" s="11" customFormat="1" ht="12.75" customHeight="1" x14ac:dyDescent="0.2">
      <c r="A459" s="479" t="s">
        <v>543</v>
      </c>
      <c r="B459" s="480">
        <v>220020</v>
      </c>
      <c r="C459" s="547" t="s">
        <v>465</v>
      </c>
      <c r="D459" s="1261">
        <f>VLOOKUP(Table6[[#This Row],[Code no.]],$B$12:$D$390,3,FALSE)</f>
        <v>0</v>
      </c>
      <c r="E459" s="1264">
        <f t="shared" si="275"/>
        <v>0</v>
      </c>
      <c r="F459" s="1262" t="str">
        <f t="shared" si="272"/>
        <v/>
      </c>
      <c r="G459" s="1265">
        <f t="shared" si="276"/>
        <v>1</v>
      </c>
      <c r="H459" s="881"/>
      <c r="I459" s="880"/>
      <c r="J459" s="1269">
        <f t="shared" si="277"/>
        <v>0</v>
      </c>
      <c r="K459" s="1269">
        <f t="shared" si="278"/>
        <v>0</v>
      </c>
      <c r="L459" s="1276" t="str">
        <f t="shared" si="291"/>
        <v/>
      </c>
      <c r="M459" s="1271" t="str">
        <f t="shared" si="279"/>
        <v/>
      </c>
      <c r="N459" s="1272"/>
      <c r="O459" s="1273" t="s">
        <v>654</v>
      </c>
      <c r="P459" s="1273" t="str">
        <f>IF(OR($A$10=$BG$15,Results!$B$62=Results!$T$63),Table6[[#This Row],[label refine mode]],Table6[[#This Row],[label normal mode]])</f>
        <v/>
      </c>
      <c r="Q459" s="1257" t="str">
        <f>IF(OR($A$10=$BG$15,Results!$B$62=Results!$T$63),Table6[[#This Row],[input refined mode]],Table6[[#This Row],[Input normal mode]])</f>
        <v/>
      </c>
      <c r="R459" s="1275" t="str">
        <f>IF(Table6[[#This Row],[Acute RA IESTI new input value]]="","",CONCATENATE(Table6[[#This Row],[label for IESTI new normal mode]],Table6[[#This Row],[label connector IESTI new normal mode]],Table6[[#This Row],[label refinements normal mode]]))</f>
        <v/>
      </c>
      <c r="S459" s="1259">
        <f>IF(OR($A$10=$BG$15,Results!$B$62=Results!$T$63),Table6[[#This Row],[Input for IESTI new refined mode]],Table6[[#This Row],[Input for IESTI new normal mode]])</f>
        <v>0</v>
      </c>
      <c r="T459" s="888"/>
      <c r="U459" s="1283">
        <f t="shared" si="280"/>
        <v>0</v>
      </c>
      <c r="V459" s="1284" t="str">
        <f t="shared" si="281"/>
        <v/>
      </c>
      <c r="W459" s="1285">
        <f>IF($H459&gt;0,$H459,IF(Table6[[#This Row],[CFrisk for residue definition (applicable for unprocessed products)]]&gt;0,Table6[[#This Row],[CFrisk for residue definition (applicable for unprocessed products)]],1))</f>
        <v>1</v>
      </c>
      <c r="X459" s="1285">
        <v>1</v>
      </c>
      <c r="Y459" s="1285">
        <f t="shared" si="282"/>
        <v>1</v>
      </c>
      <c r="Z459" s="1285">
        <f t="shared" si="283"/>
        <v>1</v>
      </c>
      <c r="AA459" s="1285" t="str">
        <f>IF(Table6[[#This Row],[Post-harvest treatment]]="","","Y")</f>
        <v/>
      </c>
      <c r="AB459" s="1285" t="str">
        <f>IF(AND(Table6[[#This Row],[CF used for for calculation]]&lt;&gt;1,Table6[[#This Row],[PF for calculation]]&lt;&gt;1),"CF*PF",IF(Table6[[#This Row],[CF used for for calculation]]&lt;&gt;1,"CF",IF(Table6[[#This Row],[PF for calculation]]&lt;&gt;1,"PF","")))</f>
        <v/>
      </c>
      <c r="AC459" s="1300">
        <f>IF(AND(Table6[[#This Row],[LOQ RAC individual crop]]="Y",Table6[[#This Row],[GAP under assessment]]="N"),Table6[[#This Row],[MRL RAC individual commodity]],Table6[[#This Row],[MRL RAC individual commodity]]*Table6[[#This Row],[CF*PF for calculation]])</f>
        <v>0</v>
      </c>
      <c r="AD459" s="1287">
        <f t="shared" si="284"/>
        <v>0</v>
      </c>
      <c r="AE459" s="1287">
        <f t="shared" si="285"/>
        <v>0</v>
      </c>
      <c r="AF459" s="1307" t="str">
        <f>Table6[[#This Row],[IESTI case]]</f>
        <v>2a/2b</v>
      </c>
      <c r="AG459"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59" s="1302" t="str">
        <f>IF(Table6[[#This Row],[Input value normal mode case 1, 2a/2b,Po]]&gt;0,
              IF(Table6[[#This Row],[Highest residue * CF*PF]]&gt;"","HR-RAC",
                             IF(Table6[[#This Row],[LOQ RAC individual crop]]="Y","LOQ","MRL")),"")</f>
        <v/>
      </c>
      <c r="AI459" s="1302" t="str">
        <f t="shared" si="286"/>
        <v/>
      </c>
      <c r="AJ459" s="1302" t="str">
        <f>IF(Table6[[#This Row],[Input value normal mode case 1, 2a/2b,Po]]&gt;0,IF(Table6[[#This Row],[label description]]&gt;"",Table6[[#This Row],[label description]],""),"")</f>
        <v/>
      </c>
      <c r="AK459" s="1302" t="str">
        <f>CONCATENATE(Table6[[#This Row],[label for IESTI normal mode case 1, 2a/2b,Po]],Table6[[#This Row],[label connector case  normal mode]],Table6[[#This Row],[label refinements normal mode case 1, 2a/2b,Po]])</f>
        <v/>
      </c>
      <c r="AL459" s="1287" t="str">
        <f>IF(AND(Table6[[#This Row],[Case for acute RA children / adults]]=3,Table6[[#This Row],[Post-harvest treatment]]=""),IF(AND(Table6[[#This Row],[LOQ RAC individual crop]]="Y",M458="N"),Table6[[#This Row],[MRL RAC individual commodity]],IF(Table6[[#This Row],[Median residue*CF*PF]]&gt;0,Table6[[#This Row],[Median residue*CF*PF]],IF(Table6[[#This Row],[MRL*CF*PF or LOQ (if not under assessment and LOQ)]]&gt;0,Table6[[#This Row],[MRL*CF*PF or LOQ (if not under assessment and LOQ)]],""))),"")</f>
        <v/>
      </c>
      <c r="AM459" s="1295" t="str">
        <f>IF(Table6[[#This Row],[input for case 3 normal mode]]&gt;0,IF(Table6[[#This Row],[Median residue*CF*PF]]&gt;0,"STMR-RAC",IF(AND($AC459&gt;0,NOT(V459="Y")),"MRL",IF($V459="Y","LOQ",""))),"")</f>
        <v/>
      </c>
      <c r="AN459" s="1295" t="str">
        <f t="shared" si="287"/>
        <v/>
      </c>
      <c r="AO459" s="1287" t="str">
        <f>IF(Table6[[#This Row],[input for case 3 normal mode]]="","",IF(AND(Table6[[#This Row],[label for case 3 calculation normal mode]]="LOQ",Table6[[#This Row],[GAP under assessment]]="N"),"",IF(Table6[[#This Row],[label description]]&gt;"",Table6[[#This Row],[label description]],"")))</f>
        <v/>
      </c>
      <c r="AP459" s="1287" t="str">
        <f>CONCATENATE(Table6[[#This Row],[label for case 3 calculation normal mode]],Table6[[#This Row],[label connector case 3 normal mode]],Table6[[#This Row],[label refinements case 3 normal mode]])</f>
        <v/>
      </c>
      <c r="AQ459" s="1287" t="str">
        <f>IF(Table6[[#This Row],[GAP under assessment]]="Y",Table6[[#This Row],[Input value normal mode case 1, 2a/2b,Po]],"")</f>
        <v/>
      </c>
      <c r="AR459" s="1287" t="str">
        <f>IF(Table6[[#This Row],[Input value refined mode case 1, 2a/2b,Po]]&gt;0,Table6[[#This Row],[concat label normal mode 1,2a/2b,Po ]],"")</f>
        <v/>
      </c>
      <c r="AS459" s="1303" t="str">
        <f>IF(Table6[[#This Row],[GAP under assessment]]="Y",Table6[[#This Row],[input for case 3 normal mode]],"")</f>
        <v/>
      </c>
      <c r="AT459" s="1287" t="str">
        <f>IF(Table6[[#This Row],[input for case 3 refined mode]]&gt;0,Table6[[#This Row],[concat label normal mode  case 3]],"")</f>
        <v/>
      </c>
      <c r="AU459" s="1295" t="str">
        <f>IF(Table6[[#This Row],[Input value normal mode case 1, 2a/2b,Po]]&gt;0,Table6[[#This Row],[Input value normal mode case 1, 2a/2b,Po]],Table6[[#This Row],[input for case 3 normal mode]])</f>
        <v/>
      </c>
      <c r="AV459" s="1295" t="str">
        <f>IF(Table6[[#This Row],[Input value normal mode case 1, 2a/2b,Po]]&gt;0,Table6[[#This Row],[concat label normal mode 1,2a/2b,Po ]],Table6[[#This Row],[concat label normal mode  case 3]])</f>
        <v/>
      </c>
      <c r="AW459" s="1295" t="str">
        <f>IF(Table6[[#This Row],[Input value refined mode case 1, 2a/2b,Po]]&gt;0,Table6[[#This Row],[Input value refined mode case 1, 2a/2b,Po]],Table6[[#This Row],[input for case 3 refined mode]])</f>
        <v/>
      </c>
      <c r="AX459" s="1295" t="str">
        <f>IF(Table6[[#This Row],[Input value refined mode case 1, 2a/2b,Po]]&gt;0,Table6[[#This Row],[concat label refined mode case 1,2a/2b,Po]],Table6[[#This Row],[label for case 3 calculation refined mode]])</f>
        <v/>
      </c>
      <c r="AY459" s="1287">
        <f t="shared" si="288"/>
        <v>0</v>
      </c>
      <c r="AZ459" s="1295" t="str">
        <f t="shared" si="289"/>
        <v/>
      </c>
      <c r="BA459" s="1295" t="str">
        <f t="shared" si="290"/>
        <v/>
      </c>
      <c r="BB459" s="1287" t="str">
        <f>IF(AND(Table6[[#This Row],[label for IESTI new normal mode]]="LOQ",Table6[[#This Row],[GAP under assessment]]="N"),"",IF(AND($H459&gt;0,$Y459&lt;&gt;1),"CF*PF",IF($H459&gt;0,"CF",IF($Y459&lt;&gt;1,"PF",""))))</f>
        <v/>
      </c>
      <c r="BC459" s="1296"/>
      <c r="BD459" s="1297"/>
      <c r="BE459" s="1304" t="str">
        <f>IF(Table6[[#This Row],[GAP under assessment]]="Y",Table6[[#This Row],[MRL*CF*PF or LOQ (if not under assessment and LOQ)]],"")</f>
        <v/>
      </c>
      <c r="BF459" s="1305" t="str">
        <f>IF(Table6[[#This Row],[Input for IESTI new refined mode]]&lt;&gt;"",CONCATENATE("MRL",Table6[[#This Row],[label connector case 3 normal mode]],Table6[[#This Row],[label refinements case 3 normal mode]]),"")</f>
        <v/>
      </c>
      <c r="BG459" s="1298" t="s">
        <v>543</v>
      </c>
      <c r="BH459" s="1306"/>
    </row>
    <row r="460" spans="1:60" s="11" customFormat="1" ht="12.75" customHeight="1" x14ac:dyDescent="0.2">
      <c r="A460" s="479" t="s">
        <v>544</v>
      </c>
      <c r="B460" s="480">
        <v>220030</v>
      </c>
      <c r="C460" s="547" t="s">
        <v>396</v>
      </c>
      <c r="D460" s="1261">
        <f>VLOOKUP(Table6[[#This Row],[Code no.]],$B$12:$D$390,3,FALSE)</f>
        <v>0</v>
      </c>
      <c r="E460" s="1264">
        <f t="shared" si="275"/>
        <v>0</v>
      </c>
      <c r="F460" s="1262" t="str">
        <f t="shared" si="272"/>
        <v/>
      </c>
      <c r="G460" s="1265">
        <f t="shared" si="276"/>
        <v>1</v>
      </c>
      <c r="H460" s="881"/>
      <c r="I460" s="880"/>
      <c r="J460" s="1269">
        <f t="shared" si="277"/>
        <v>0</v>
      </c>
      <c r="K460" s="1269">
        <f t="shared" si="278"/>
        <v>0</v>
      </c>
      <c r="L460" s="1276" t="str">
        <f t="shared" si="291"/>
        <v/>
      </c>
      <c r="M460" s="1271" t="str">
        <f t="shared" si="279"/>
        <v/>
      </c>
      <c r="N460" s="1272"/>
      <c r="O460" s="1273" t="s">
        <v>654</v>
      </c>
      <c r="P460" s="1273" t="str">
        <f>IF(OR($A$10=$BG$15,Results!$B$62=Results!$T$63),Table6[[#This Row],[label refine mode]],Table6[[#This Row],[label normal mode]])</f>
        <v/>
      </c>
      <c r="Q460" s="1257" t="str">
        <f>IF(OR($A$10=$BG$15,Results!$B$62=Results!$T$63),Table6[[#This Row],[input refined mode]],Table6[[#This Row],[Input normal mode]])</f>
        <v/>
      </c>
      <c r="R460" s="1275" t="str">
        <f>IF(Table6[[#This Row],[Acute RA IESTI new input value]]="","",CONCATENATE(Table6[[#This Row],[label for IESTI new normal mode]],Table6[[#This Row],[label connector IESTI new normal mode]],Table6[[#This Row],[label refinements normal mode]]))</f>
        <v/>
      </c>
      <c r="S460" s="1259">
        <f>IF(OR($A$10=$BG$15,Results!$B$62=Results!$T$63),Table6[[#This Row],[Input for IESTI new refined mode]],Table6[[#This Row],[Input for IESTI new normal mode]])</f>
        <v>0</v>
      </c>
      <c r="T460" s="888"/>
      <c r="U460" s="1283">
        <f t="shared" si="280"/>
        <v>0</v>
      </c>
      <c r="V460" s="1284" t="str">
        <f t="shared" si="281"/>
        <v/>
      </c>
      <c r="W460" s="1285">
        <f>IF($H460&gt;0,$H460,IF(Table6[[#This Row],[CFrisk for residue definition (applicable for unprocessed products)]]&gt;0,Table6[[#This Row],[CFrisk for residue definition (applicable for unprocessed products)]],1))</f>
        <v>1</v>
      </c>
      <c r="X460" s="1285">
        <v>1</v>
      </c>
      <c r="Y460" s="1285">
        <f t="shared" si="282"/>
        <v>1</v>
      </c>
      <c r="Z460" s="1285">
        <f t="shared" si="283"/>
        <v>1</v>
      </c>
      <c r="AA460" s="1285" t="str">
        <f>IF(Table6[[#This Row],[Post-harvest treatment]]="","","Y")</f>
        <v/>
      </c>
      <c r="AB460" s="1285" t="str">
        <f>IF(AND(Table6[[#This Row],[CF used for for calculation]]&lt;&gt;1,Table6[[#This Row],[PF for calculation]]&lt;&gt;1),"CF*PF",IF(Table6[[#This Row],[CF used for for calculation]]&lt;&gt;1,"CF",IF(Table6[[#This Row],[PF for calculation]]&lt;&gt;1,"PF","")))</f>
        <v/>
      </c>
      <c r="AC460" s="1300">
        <f>IF(AND(Table6[[#This Row],[LOQ RAC individual crop]]="Y",Table6[[#This Row],[GAP under assessment]]="N"),Table6[[#This Row],[MRL RAC individual commodity]],Table6[[#This Row],[MRL RAC individual commodity]]*Table6[[#This Row],[CF*PF for calculation]])</f>
        <v>0</v>
      </c>
      <c r="AD460" s="1287">
        <f t="shared" si="284"/>
        <v>0</v>
      </c>
      <c r="AE460" s="1287">
        <f t="shared" si="285"/>
        <v>0</v>
      </c>
      <c r="AF460" s="1307" t="str">
        <f>Table6[[#This Row],[IESTI case]]</f>
        <v>2a/2b</v>
      </c>
      <c r="AG460"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60" s="1302" t="str">
        <f>IF(Table6[[#This Row],[Input value normal mode case 1, 2a/2b,Po]]&gt;0,
              IF(Table6[[#This Row],[Highest residue * CF*PF]]&gt;"","HR-RAC",
                             IF(Table6[[#This Row],[LOQ RAC individual crop]]="Y","LOQ","MRL")),"")</f>
        <v/>
      </c>
      <c r="AI460" s="1302" t="str">
        <f t="shared" si="286"/>
        <v/>
      </c>
      <c r="AJ460" s="1302" t="str">
        <f>IF(Table6[[#This Row],[Input value normal mode case 1, 2a/2b,Po]]&gt;0,IF(Table6[[#This Row],[label description]]&gt;"",Table6[[#This Row],[label description]],""),"")</f>
        <v/>
      </c>
      <c r="AK460" s="1302" t="str">
        <f>CONCATENATE(Table6[[#This Row],[label for IESTI normal mode case 1, 2a/2b,Po]],Table6[[#This Row],[label connector case  normal mode]],Table6[[#This Row],[label refinements normal mode case 1, 2a/2b,Po]])</f>
        <v/>
      </c>
      <c r="AL460" s="1287" t="str">
        <f>IF(AND(Table6[[#This Row],[Case for acute RA children / adults]]=3,Table6[[#This Row],[Post-harvest treatment]]=""),IF(AND(Table6[[#This Row],[LOQ RAC individual crop]]="Y",M459="N"),Table6[[#This Row],[MRL RAC individual commodity]],IF(Table6[[#This Row],[Median residue*CF*PF]]&gt;0,Table6[[#This Row],[Median residue*CF*PF]],IF(Table6[[#This Row],[MRL*CF*PF or LOQ (if not under assessment and LOQ)]]&gt;0,Table6[[#This Row],[MRL*CF*PF or LOQ (if not under assessment and LOQ)]],""))),"")</f>
        <v/>
      </c>
      <c r="AM460" s="1295" t="str">
        <f>IF(Table6[[#This Row],[input for case 3 normal mode]]&gt;0,IF(Table6[[#This Row],[Median residue*CF*PF]]&gt;0,"STMR-RAC",IF(AND($AC460&gt;0,NOT(V460="Y")),"MRL",IF($V460="Y","LOQ",""))),"")</f>
        <v/>
      </c>
      <c r="AN460" s="1295" t="str">
        <f t="shared" si="287"/>
        <v/>
      </c>
      <c r="AO460" s="1287" t="str">
        <f>IF(Table6[[#This Row],[input for case 3 normal mode]]="","",IF(AND(Table6[[#This Row],[label for case 3 calculation normal mode]]="LOQ",Table6[[#This Row],[GAP under assessment]]="N"),"",IF(Table6[[#This Row],[label description]]&gt;"",Table6[[#This Row],[label description]],"")))</f>
        <v/>
      </c>
      <c r="AP460" s="1287" t="str">
        <f>CONCATENATE(Table6[[#This Row],[label for case 3 calculation normal mode]],Table6[[#This Row],[label connector case 3 normal mode]],Table6[[#This Row],[label refinements case 3 normal mode]])</f>
        <v/>
      </c>
      <c r="AQ460" s="1287" t="str">
        <f>IF(Table6[[#This Row],[GAP under assessment]]="Y",Table6[[#This Row],[Input value normal mode case 1, 2a/2b,Po]],"")</f>
        <v/>
      </c>
      <c r="AR460" s="1287" t="str">
        <f>IF(Table6[[#This Row],[Input value refined mode case 1, 2a/2b,Po]]&gt;0,Table6[[#This Row],[concat label normal mode 1,2a/2b,Po ]],"")</f>
        <v/>
      </c>
      <c r="AS460" s="1303" t="str">
        <f>IF(Table6[[#This Row],[GAP under assessment]]="Y",Table6[[#This Row],[input for case 3 normal mode]],"")</f>
        <v/>
      </c>
      <c r="AT460" s="1287" t="str">
        <f>IF(Table6[[#This Row],[input for case 3 refined mode]]&gt;0,Table6[[#This Row],[concat label normal mode  case 3]],"")</f>
        <v/>
      </c>
      <c r="AU460" s="1295" t="str">
        <f>IF(Table6[[#This Row],[Input value normal mode case 1, 2a/2b,Po]]&gt;0,Table6[[#This Row],[Input value normal mode case 1, 2a/2b,Po]],Table6[[#This Row],[input for case 3 normal mode]])</f>
        <v/>
      </c>
      <c r="AV460" s="1295" t="str">
        <f>IF(Table6[[#This Row],[Input value normal mode case 1, 2a/2b,Po]]&gt;0,Table6[[#This Row],[concat label normal mode 1,2a/2b,Po ]],Table6[[#This Row],[concat label normal mode  case 3]])</f>
        <v/>
      </c>
      <c r="AW460" s="1295" t="str">
        <f>IF(Table6[[#This Row],[Input value refined mode case 1, 2a/2b,Po]]&gt;0,Table6[[#This Row],[Input value refined mode case 1, 2a/2b,Po]],Table6[[#This Row],[input for case 3 refined mode]])</f>
        <v/>
      </c>
      <c r="AX460" s="1295" t="str">
        <f>IF(Table6[[#This Row],[Input value refined mode case 1, 2a/2b,Po]]&gt;0,Table6[[#This Row],[concat label refined mode case 1,2a/2b,Po]],Table6[[#This Row],[label for case 3 calculation refined mode]])</f>
        <v/>
      </c>
      <c r="AY460" s="1287">
        <f t="shared" si="288"/>
        <v>0</v>
      </c>
      <c r="AZ460" s="1295" t="str">
        <f t="shared" si="289"/>
        <v/>
      </c>
      <c r="BA460" s="1295" t="str">
        <f t="shared" si="290"/>
        <v/>
      </c>
      <c r="BB460" s="1287" t="str">
        <f>IF(AND(Table6[[#This Row],[label for IESTI new normal mode]]="LOQ",Table6[[#This Row],[GAP under assessment]]="N"),"",IF(AND($H460&gt;0,$Y460&lt;&gt;1),"CF*PF",IF($H460&gt;0,"CF",IF($Y460&lt;&gt;1,"PF",""))))</f>
        <v/>
      </c>
      <c r="BC460" s="1296"/>
      <c r="BD460" s="1297"/>
      <c r="BE460" s="1304" t="str">
        <f>IF(Table6[[#This Row],[GAP under assessment]]="Y",Table6[[#This Row],[MRL*CF*PF or LOQ (if not under assessment and LOQ)]],"")</f>
        <v/>
      </c>
      <c r="BF460" s="1305" t="str">
        <f>IF(Table6[[#This Row],[Input for IESTI new refined mode]]&lt;&gt;"",CONCATENATE("MRL",Table6[[#This Row],[label connector case 3 normal mode]],Table6[[#This Row],[label refinements case 3 normal mode]]),"")</f>
        <v/>
      </c>
      <c r="BG460" s="1298" t="s">
        <v>544</v>
      </c>
      <c r="BH460" s="1306"/>
    </row>
    <row r="461" spans="1:60" s="11" customFormat="1" ht="12.75" customHeight="1" x14ac:dyDescent="0.2">
      <c r="A461" s="479" t="s">
        <v>530</v>
      </c>
      <c r="B461" s="480">
        <v>231010</v>
      </c>
      <c r="C461" s="547" t="s">
        <v>466</v>
      </c>
      <c r="D461" s="1261">
        <f>VLOOKUP(Table6[[#This Row],[Code no.]],$B$12:$D$390,3,FALSE)</f>
        <v>0</v>
      </c>
      <c r="E461" s="1264">
        <f t="shared" si="275"/>
        <v>0</v>
      </c>
      <c r="F461" s="1262" t="str">
        <f t="shared" si="272"/>
        <v/>
      </c>
      <c r="G461" s="1265">
        <f t="shared" si="276"/>
        <v>1</v>
      </c>
      <c r="H461" s="881"/>
      <c r="I461" s="880"/>
      <c r="J461" s="1269">
        <f t="shared" si="277"/>
        <v>0</v>
      </c>
      <c r="K461" s="1269">
        <f t="shared" si="278"/>
        <v>0</v>
      </c>
      <c r="L461" s="1270"/>
      <c r="M461" s="1271" t="str">
        <f t="shared" si="279"/>
        <v/>
      </c>
      <c r="N461" s="1272"/>
      <c r="O461" s="1273">
        <v>3</v>
      </c>
      <c r="P461" s="1273" t="str">
        <f>IF(OR($A$10=$BG$15,Results!$B$62=Results!$T$63),Table6[[#This Row],[label refine mode]],Table6[[#This Row],[label normal mode]])</f>
        <v/>
      </c>
      <c r="Q461" s="1257" t="str">
        <f>IF(OR($A$10=$BG$15,Results!$B$62=Results!$T$63),Table6[[#This Row],[input refined mode]],Table6[[#This Row],[Input normal mode]])</f>
        <v/>
      </c>
      <c r="R461" s="1275" t="str">
        <f>IF(Table6[[#This Row],[Acute RA IESTI new input value]]="","",CONCATENATE(Table6[[#This Row],[label for IESTI new normal mode]],Table6[[#This Row],[label connector IESTI new normal mode]],Table6[[#This Row],[label refinements normal mode]]))</f>
        <v/>
      </c>
      <c r="S461" s="1259">
        <f>IF(OR($A$10=$BG$15,Results!$B$62=Results!$T$63),Table6[[#This Row],[Input for IESTI new refined mode]],Table6[[#This Row],[Input for IESTI new normal mode]])</f>
        <v>0</v>
      </c>
      <c r="T461" s="888"/>
      <c r="U461" s="1283">
        <f t="shared" si="280"/>
        <v>0</v>
      </c>
      <c r="V461" s="1284" t="str">
        <f t="shared" si="281"/>
        <v/>
      </c>
      <c r="W461" s="1285">
        <f>IF($H461&gt;0,$H461,IF(Table6[[#This Row],[CFrisk for residue definition (applicable for unprocessed products)]]&gt;0,Table6[[#This Row],[CFrisk for residue definition (applicable for unprocessed products)]],1))</f>
        <v>1</v>
      </c>
      <c r="X461" s="1285">
        <v>1</v>
      </c>
      <c r="Y461" s="1285">
        <f t="shared" si="282"/>
        <v>1</v>
      </c>
      <c r="Z461" s="1285">
        <f t="shared" si="283"/>
        <v>1</v>
      </c>
      <c r="AA461" s="1285" t="str">
        <f>IF(Table6[[#This Row],[Post-harvest treatment]]="","","Y")</f>
        <v/>
      </c>
      <c r="AB461" s="1285" t="str">
        <f>IF(AND(Table6[[#This Row],[CF used for for calculation]]&lt;&gt;1,Table6[[#This Row],[PF for calculation]]&lt;&gt;1),"CF*PF",IF(Table6[[#This Row],[CF used for for calculation]]&lt;&gt;1,"CF",IF(Table6[[#This Row],[PF for calculation]]&lt;&gt;1,"PF","")))</f>
        <v/>
      </c>
      <c r="AC461" s="1300">
        <f>IF(AND(Table6[[#This Row],[LOQ RAC individual crop]]="Y",Table6[[#This Row],[GAP under assessment]]="N"),Table6[[#This Row],[MRL RAC individual commodity]],Table6[[#This Row],[MRL RAC individual commodity]]*Table6[[#This Row],[CF*PF for calculation]])</f>
        <v>0</v>
      </c>
      <c r="AD461" s="1287">
        <f t="shared" si="284"/>
        <v>0</v>
      </c>
      <c r="AE461" s="1287">
        <f t="shared" si="285"/>
        <v>0</v>
      </c>
      <c r="AF461" s="1288">
        <f>Table6[[#This Row],[IESTI case]]</f>
        <v>3</v>
      </c>
      <c r="AG461"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61" s="1302" t="str">
        <f>IF(Table6[[#This Row],[Input value normal mode case 1, 2a/2b,Po]]&gt;0,
              IF(Table6[[#This Row],[Highest residue * CF*PF]]&gt;"","HR-RAC",
                             IF(Table6[[#This Row],[LOQ RAC individual crop]]="Y","LOQ","MRL")),"")</f>
        <v/>
      </c>
      <c r="AI461" s="1302" t="str">
        <f t="shared" si="286"/>
        <v/>
      </c>
      <c r="AJ461" s="1302" t="str">
        <f>IF(Table6[[#This Row],[Input value normal mode case 1, 2a/2b,Po]]&gt;0,IF(Table6[[#This Row],[label description]]&gt;"",Table6[[#This Row],[label description]],""),"")</f>
        <v/>
      </c>
      <c r="AK461" s="1302" t="str">
        <f>CONCATENATE(Table6[[#This Row],[label for IESTI normal mode case 1, 2a/2b,Po]],Table6[[#This Row],[label connector case  normal mode]],Table6[[#This Row],[label refinements normal mode case 1, 2a/2b,Po]])</f>
        <v/>
      </c>
      <c r="AL461" s="1287" t="str">
        <f>IF(AND(Table6[[#This Row],[Case for acute RA children / adults]]=3,Table6[[#This Row],[Post-harvest treatment]]=""),IF(AND(Table6[[#This Row],[LOQ RAC individual crop]]="Y",M460="N"),Table6[[#This Row],[MRL RAC individual commodity]],IF(Table6[[#This Row],[Median residue*CF*PF]]&gt;0,Table6[[#This Row],[Median residue*CF*PF]],IF(Table6[[#This Row],[MRL*CF*PF or LOQ (if not under assessment and LOQ)]]&gt;0,Table6[[#This Row],[MRL*CF*PF or LOQ (if not under assessment and LOQ)]],""))),"")</f>
        <v/>
      </c>
      <c r="AM461" s="1295" t="str">
        <f>IF(Table6[[#This Row],[input for case 3 normal mode]]&gt;0,IF(Table6[[#This Row],[Median residue*CF*PF]]&gt;0,"STMR-RAC",IF(AND($AC461&gt;0,NOT(V461="Y")),"MRL",IF($V461="Y","LOQ",""))),"")</f>
        <v/>
      </c>
      <c r="AN461" s="1295" t="str">
        <f t="shared" si="287"/>
        <v/>
      </c>
      <c r="AO461" s="1287" t="str">
        <f>IF(Table6[[#This Row],[input for case 3 normal mode]]="","",IF(AND(Table6[[#This Row],[label for case 3 calculation normal mode]]="LOQ",Table6[[#This Row],[GAP under assessment]]="N"),"",IF(Table6[[#This Row],[label description]]&gt;"",Table6[[#This Row],[label description]],"")))</f>
        <v/>
      </c>
      <c r="AP461" s="1287" t="str">
        <f>CONCATENATE(Table6[[#This Row],[label for case 3 calculation normal mode]],Table6[[#This Row],[label connector case 3 normal mode]],Table6[[#This Row],[label refinements case 3 normal mode]])</f>
        <v/>
      </c>
      <c r="AQ461" s="1287" t="str">
        <f>IF(Table6[[#This Row],[GAP under assessment]]="Y",Table6[[#This Row],[Input value normal mode case 1, 2a/2b,Po]],"")</f>
        <v/>
      </c>
      <c r="AR461" s="1287" t="str">
        <f>IF(Table6[[#This Row],[Input value refined mode case 1, 2a/2b,Po]]&gt;0,Table6[[#This Row],[concat label normal mode 1,2a/2b,Po ]],"")</f>
        <v/>
      </c>
      <c r="AS461" s="1303" t="str">
        <f>IF(Table6[[#This Row],[GAP under assessment]]="Y",Table6[[#This Row],[input for case 3 normal mode]],"")</f>
        <v/>
      </c>
      <c r="AT461" s="1287" t="str">
        <f>IF(Table6[[#This Row],[input for case 3 refined mode]]&gt;0,Table6[[#This Row],[concat label normal mode  case 3]],"")</f>
        <v/>
      </c>
      <c r="AU461" s="1295" t="str">
        <f>IF(Table6[[#This Row],[Input value normal mode case 1, 2a/2b,Po]]&gt;0,Table6[[#This Row],[Input value normal mode case 1, 2a/2b,Po]],Table6[[#This Row],[input for case 3 normal mode]])</f>
        <v/>
      </c>
      <c r="AV461" s="1295" t="str">
        <f>IF(Table6[[#This Row],[Input value normal mode case 1, 2a/2b,Po]]&gt;0,Table6[[#This Row],[concat label normal mode 1,2a/2b,Po ]],Table6[[#This Row],[concat label normal mode  case 3]])</f>
        <v/>
      </c>
      <c r="AW461" s="1295" t="str">
        <f>IF(Table6[[#This Row],[Input value refined mode case 1, 2a/2b,Po]]&gt;0,Table6[[#This Row],[Input value refined mode case 1, 2a/2b,Po]],Table6[[#This Row],[input for case 3 refined mode]])</f>
        <v/>
      </c>
      <c r="AX461" s="1295" t="str">
        <f>IF(Table6[[#This Row],[Input value refined mode case 1, 2a/2b,Po]]&gt;0,Table6[[#This Row],[concat label refined mode case 1,2a/2b,Po]],Table6[[#This Row],[label for case 3 calculation refined mode]])</f>
        <v/>
      </c>
      <c r="AY461" s="1287">
        <f t="shared" si="288"/>
        <v>0</v>
      </c>
      <c r="AZ461" s="1295" t="str">
        <f t="shared" si="289"/>
        <v/>
      </c>
      <c r="BA461" s="1295" t="str">
        <f t="shared" si="290"/>
        <v/>
      </c>
      <c r="BB461" s="1287" t="str">
        <f>IF(AND(Table6[[#This Row],[label for IESTI new normal mode]]="LOQ",Table6[[#This Row],[GAP under assessment]]="N"),"",IF(AND($H461&gt;0,$Y461&lt;&gt;1),"CF*PF",IF($H461&gt;0,"CF",IF($Y461&lt;&gt;1,"PF",""))))</f>
        <v/>
      </c>
      <c r="BC461" s="1296"/>
      <c r="BD461" s="1297"/>
      <c r="BE461" s="1304" t="str">
        <f>IF(Table6[[#This Row],[GAP under assessment]]="Y",Table6[[#This Row],[MRL*CF*PF or LOQ (if not under assessment and LOQ)]],"")</f>
        <v/>
      </c>
      <c r="BF461" s="1305" t="str">
        <f>IF(Table6[[#This Row],[Input for IESTI new refined mode]]&lt;&gt;"",CONCATENATE("MRL",Table6[[#This Row],[label connector case 3 normal mode]],Table6[[#This Row],[label refinements case 3 normal mode]]),"")</f>
        <v/>
      </c>
      <c r="BG461" s="1298" t="s">
        <v>530</v>
      </c>
      <c r="BH461" s="1306"/>
    </row>
    <row r="462" spans="1:60" s="11" customFormat="1" ht="12.75" customHeight="1" x14ac:dyDescent="0.2">
      <c r="A462" s="479" t="s">
        <v>511</v>
      </c>
      <c r="B462" s="480">
        <v>231010</v>
      </c>
      <c r="C462" s="547" t="s">
        <v>397</v>
      </c>
      <c r="D462" s="1261">
        <f>VLOOKUP(Table6[[#This Row],[Code no.]],$B$12:$D$390,3,FALSE)</f>
        <v>0</v>
      </c>
      <c r="E462" s="1264">
        <f t="shared" si="275"/>
        <v>0</v>
      </c>
      <c r="F462" s="1262" t="str">
        <f t="shared" si="272"/>
        <v/>
      </c>
      <c r="G462" s="1265">
        <f t="shared" si="276"/>
        <v>1</v>
      </c>
      <c r="H462" s="881"/>
      <c r="I462" s="880"/>
      <c r="J462" s="1269">
        <f t="shared" si="277"/>
        <v>0</v>
      </c>
      <c r="K462" s="1269">
        <f t="shared" si="278"/>
        <v>0</v>
      </c>
      <c r="L462" s="1270"/>
      <c r="M462" s="1271" t="str">
        <f t="shared" si="279"/>
        <v/>
      </c>
      <c r="N462" s="1272"/>
      <c r="O462" s="1273">
        <v>3</v>
      </c>
      <c r="P462" s="1273" t="str">
        <f>IF(OR($A$10=$BG$15,Results!$B$62=Results!$T$63),Table6[[#This Row],[label refine mode]],Table6[[#This Row],[label normal mode]])</f>
        <v/>
      </c>
      <c r="Q462" s="1257" t="str">
        <f>IF(OR($A$10=$BG$15,Results!$B$62=Results!$T$63),Table6[[#This Row],[input refined mode]],Table6[[#This Row],[Input normal mode]])</f>
        <v/>
      </c>
      <c r="R462" s="1275" t="str">
        <f>IF(Table6[[#This Row],[Acute RA IESTI new input value]]="","",CONCATENATE(Table6[[#This Row],[label for IESTI new normal mode]],Table6[[#This Row],[label connector IESTI new normal mode]],Table6[[#This Row],[label refinements normal mode]]))</f>
        <v/>
      </c>
      <c r="S462" s="1259">
        <f>IF(OR($A$10=$BG$15,Results!$B$62=Results!$T$63),Table6[[#This Row],[Input for IESTI new refined mode]],Table6[[#This Row],[Input for IESTI new normal mode]])</f>
        <v>0</v>
      </c>
      <c r="T462" s="888"/>
      <c r="U462" s="1283">
        <f t="shared" si="280"/>
        <v>0</v>
      </c>
      <c r="V462" s="1284" t="str">
        <f t="shared" si="281"/>
        <v/>
      </c>
      <c r="W462" s="1285">
        <f>IF($H462&gt;0,$H462,IF(Table6[[#This Row],[CFrisk for residue definition (applicable for unprocessed products)]]&gt;0,Table6[[#This Row],[CFrisk for residue definition (applicable for unprocessed products)]],1))</f>
        <v>1</v>
      </c>
      <c r="X462" s="1285">
        <v>1</v>
      </c>
      <c r="Y462" s="1285">
        <f t="shared" si="282"/>
        <v>1</v>
      </c>
      <c r="Z462" s="1285">
        <f t="shared" si="283"/>
        <v>1</v>
      </c>
      <c r="AA462" s="1285" t="str">
        <f>IF(Table6[[#This Row],[Post-harvest treatment]]="","","Y")</f>
        <v/>
      </c>
      <c r="AB462" s="1285" t="str">
        <f>IF(AND(Table6[[#This Row],[CF used for for calculation]]&lt;&gt;1,Table6[[#This Row],[PF for calculation]]&lt;&gt;1),"CF*PF",IF(Table6[[#This Row],[CF used for for calculation]]&lt;&gt;1,"CF",IF(Table6[[#This Row],[PF for calculation]]&lt;&gt;1,"PF","")))</f>
        <v/>
      </c>
      <c r="AC462" s="1300">
        <f>IF(AND(Table6[[#This Row],[LOQ RAC individual crop]]="Y",Table6[[#This Row],[GAP under assessment]]="N"),Table6[[#This Row],[MRL RAC individual commodity]],Table6[[#This Row],[MRL RAC individual commodity]]*Table6[[#This Row],[CF*PF for calculation]])</f>
        <v>0</v>
      </c>
      <c r="AD462" s="1287">
        <f t="shared" si="284"/>
        <v>0</v>
      </c>
      <c r="AE462" s="1287">
        <f t="shared" si="285"/>
        <v>0</v>
      </c>
      <c r="AF462" s="1288">
        <f>Table6[[#This Row],[IESTI case]]</f>
        <v>3</v>
      </c>
      <c r="AG462"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62" s="1302" t="str">
        <f>IF(Table6[[#This Row],[Input value normal mode case 1, 2a/2b,Po]]&gt;0,
              IF(Table6[[#This Row],[Highest residue * CF*PF]]&gt;"","HR-RAC",
                             IF(Table6[[#This Row],[LOQ RAC individual crop]]="Y","LOQ","MRL")),"")</f>
        <v/>
      </c>
      <c r="AI462" s="1302" t="str">
        <f t="shared" si="286"/>
        <v/>
      </c>
      <c r="AJ462" s="1302" t="str">
        <f>IF(Table6[[#This Row],[Input value normal mode case 1, 2a/2b,Po]]&gt;0,IF(Table6[[#This Row],[label description]]&gt;"",Table6[[#This Row],[label description]],""),"")</f>
        <v/>
      </c>
      <c r="AK462" s="1302" t="str">
        <f>CONCATENATE(Table6[[#This Row],[label for IESTI normal mode case 1, 2a/2b,Po]],Table6[[#This Row],[label connector case  normal mode]],Table6[[#This Row],[label refinements normal mode case 1, 2a/2b,Po]])</f>
        <v/>
      </c>
      <c r="AL462" s="1287" t="str">
        <f>IF(AND(Table6[[#This Row],[Case for acute RA children / adults]]=3,Table6[[#This Row],[Post-harvest treatment]]=""),IF(AND(Table6[[#This Row],[LOQ RAC individual crop]]="Y",M461="N"),Table6[[#This Row],[MRL RAC individual commodity]],IF(Table6[[#This Row],[Median residue*CF*PF]]&gt;0,Table6[[#This Row],[Median residue*CF*PF]],IF(Table6[[#This Row],[MRL*CF*PF or LOQ (if not under assessment and LOQ)]]&gt;0,Table6[[#This Row],[MRL*CF*PF or LOQ (if not under assessment and LOQ)]],""))),"")</f>
        <v/>
      </c>
      <c r="AM462" s="1295" t="str">
        <f>IF(Table6[[#This Row],[input for case 3 normal mode]]&gt;0,IF(Table6[[#This Row],[Median residue*CF*PF]]&gt;0,"STMR-RAC",IF(AND($AC462&gt;0,NOT(V462="Y")),"MRL",IF($V462="Y","LOQ",""))),"")</f>
        <v/>
      </c>
      <c r="AN462" s="1295" t="str">
        <f t="shared" si="287"/>
        <v/>
      </c>
      <c r="AO462" s="1287" t="str">
        <f>IF(Table6[[#This Row],[input for case 3 normal mode]]="","",IF(AND(Table6[[#This Row],[label for case 3 calculation normal mode]]="LOQ",Table6[[#This Row],[GAP under assessment]]="N"),"",IF(Table6[[#This Row],[label description]]&gt;"",Table6[[#This Row],[label description]],"")))</f>
        <v/>
      </c>
      <c r="AP462" s="1287" t="str">
        <f>CONCATENATE(Table6[[#This Row],[label for case 3 calculation normal mode]],Table6[[#This Row],[label connector case 3 normal mode]],Table6[[#This Row],[label refinements case 3 normal mode]])</f>
        <v/>
      </c>
      <c r="AQ462" s="1287" t="str">
        <f>IF(Table6[[#This Row],[GAP under assessment]]="Y",Table6[[#This Row],[Input value normal mode case 1, 2a/2b,Po]],"")</f>
        <v/>
      </c>
      <c r="AR462" s="1287" t="str">
        <f>IF(Table6[[#This Row],[Input value refined mode case 1, 2a/2b,Po]]&gt;0,Table6[[#This Row],[concat label normal mode 1,2a/2b,Po ]],"")</f>
        <v/>
      </c>
      <c r="AS462" s="1303" t="str">
        <f>IF(Table6[[#This Row],[GAP under assessment]]="Y",Table6[[#This Row],[input for case 3 normal mode]],"")</f>
        <v/>
      </c>
      <c r="AT462" s="1287" t="str">
        <f>IF(Table6[[#This Row],[input for case 3 refined mode]]&gt;0,Table6[[#This Row],[concat label normal mode  case 3]],"")</f>
        <v/>
      </c>
      <c r="AU462" s="1295" t="str">
        <f>IF(Table6[[#This Row],[Input value normal mode case 1, 2a/2b,Po]]&gt;0,Table6[[#This Row],[Input value normal mode case 1, 2a/2b,Po]],Table6[[#This Row],[input for case 3 normal mode]])</f>
        <v/>
      </c>
      <c r="AV462" s="1295" t="str">
        <f>IF(Table6[[#This Row],[Input value normal mode case 1, 2a/2b,Po]]&gt;0,Table6[[#This Row],[concat label normal mode 1,2a/2b,Po ]],Table6[[#This Row],[concat label normal mode  case 3]])</f>
        <v/>
      </c>
      <c r="AW462" s="1295" t="str">
        <f>IF(Table6[[#This Row],[Input value refined mode case 1, 2a/2b,Po]]&gt;0,Table6[[#This Row],[Input value refined mode case 1, 2a/2b,Po]],Table6[[#This Row],[input for case 3 refined mode]])</f>
        <v/>
      </c>
      <c r="AX462" s="1295" t="str">
        <f>IF(Table6[[#This Row],[Input value refined mode case 1, 2a/2b,Po]]&gt;0,Table6[[#This Row],[concat label refined mode case 1,2a/2b,Po]],Table6[[#This Row],[label for case 3 calculation refined mode]])</f>
        <v/>
      </c>
      <c r="AY462" s="1287">
        <f t="shared" si="288"/>
        <v>0</v>
      </c>
      <c r="AZ462" s="1295" t="str">
        <f t="shared" si="289"/>
        <v/>
      </c>
      <c r="BA462" s="1295" t="str">
        <f t="shared" si="290"/>
        <v/>
      </c>
      <c r="BB462" s="1287" t="str">
        <f>IF(AND(Table6[[#This Row],[label for IESTI new normal mode]]="LOQ",Table6[[#This Row],[GAP under assessment]]="N"),"",IF(AND($H462&gt;0,$Y462&lt;&gt;1),"CF*PF",IF($H462&gt;0,"CF",IF($Y462&lt;&gt;1,"PF",""))))</f>
        <v/>
      </c>
      <c r="BC462" s="1296" t="s">
        <v>369</v>
      </c>
      <c r="BD462" s="1297"/>
      <c r="BE462" s="1304" t="str">
        <f>IF(Table6[[#This Row],[GAP under assessment]]="Y",Table6[[#This Row],[MRL*CF*PF or LOQ (if not under assessment and LOQ)]],"")</f>
        <v/>
      </c>
      <c r="BF462" s="1305" t="str">
        <f>IF(Table6[[#This Row],[Input for IESTI new refined mode]]&lt;&gt;"",CONCATENATE("MRL",Table6[[#This Row],[label connector case 3 normal mode]],Table6[[#This Row],[label refinements case 3 normal mode]]),"")</f>
        <v/>
      </c>
      <c r="BG462" s="1298" t="s">
        <v>511</v>
      </c>
      <c r="BH462" s="1306"/>
    </row>
    <row r="463" spans="1:60" s="11" customFormat="1" ht="12.75" customHeight="1" x14ac:dyDescent="0.2">
      <c r="A463" s="479" t="s">
        <v>545</v>
      </c>
      <c r="B463" s="480">
        <v>231040</v>
      </c>
      <c r="C463" s="547" t="s">
        <v>467</v>
      </c>
      <c r="D463" s="1261">
        <f>VLOOKUP(Table6[[#This Row],[Code no.]],$B$12:$D$390,3,FALSE)</f>
        <v>0</v>
      </c>
      <c r="E463" s="1264">
        <f t="shared" si="275"/>
        <v>0</v>
      </c>
      <c r="F463" s="1262" t="str">
        <f t="shared" si="272"/>
        <v/>
      </c>
      <c r="G463" s="1265">
        <f t="shared" si="276"/>
        <v>1</v>
      </c>
      <c r="H463" s="881"/>
      <c r="I463" s="880"/>
      <c r="J463" s="1269">
        <f t="shared" si="277"/>
        <v>0</v>
      </c>
      <c r="K463" s="1269">
        <f t="shared" si="278"/>
        <v>0</v>
      </c>
      <c r="L463" s="1270"/>
      <c r="M463" s="1271" t="str">
        <f t="shared" si="279"/>
        <v/>
      </c>
      <c r="N463" s="1272"/>
      <c r="O463" s="1273">
        <v>1</v>
      </c>
      <c r="P463" s="1273" t="str">
        <f>IF(OR($A$10=$BG$15,Results!$B$62=Results!$T$63),Table6[[#This Row],[label refine mode]],Table6[[#This Row],[label normal mode]])</f>
        <v/>
      </c>
      <c r="Q463" s="1257" t="str">
        <f>IF(OR($A$10=$BG$15,Results!$B$62=Results!$T$63),Table6[[#This Row],[input refined mode]],Table6[[#This Row],[Input normal mode]])</f>
        <v/>
      </c>
      <c r="R463" s="1275" t="str">
        <f>IF(Table6[[#This Row],[Acute RA IESTI new input value]]="","",CONCATENATE(Table6[[#This Row],[label for IESTI new normal mode]],Table6[[#This Row],[label connector IESTI new normal mode]],Table6[[#This Row],[label refinements normal mode]]))</f>
        <v/>
      </c>
      <c r="S463" s="1259">
        <f>IF(OR($A$10=$BG$15,Results!$B$62=Results!$T$63),Table6[[#This Row],[Input for IESTI new refined mode]],Table6[[#This Row],[Input for IESTI new normal mode]])</f>
        <v>0</v>
      </c>
      <c r="T463" s="888"/>
      <c r="U463" s="1283">
        <f t="shared" si="280"/>
        <v>0</v>
      </c>
      <c r="V463" s="1284" t="str">
        <f t="shared" si="281"/>
        <v/>
      </c>
      <c r="W463" s="1285">
        <f>IF($H463&gt;0,$H463,IF(Table6[[#This Row],[CFrisk for residue definition (applicable for unprocessed products)]]&gt;0,Table6[[#This Row],[CFrisk for residue definition (applicable for unprocessed products)]],1))</f>
        <v>1</v>
      </c>
      <c r="X463" s="1285">
        <v>1</v>
      </c>
      <c r="Y463" s="1285">
        <f t="shared" si="282"/>
        <v>1</v>
      </c>
      <c r="Z463" s="1285">
        <f t="shared" si="283"/>
        <v>1</v>
      </c>
      <c r="AA463" s="1285" t="str">
        <f>IF(Table6[[#This Row],[Post-harvest treatment]]="","","Y")</f>
        <v/>
      </c>
      <c r="AB463" s="1285" t="str">
        <f>IF(AND(Table6[[#This Row],[CF used for for calculation]]&lt;&gt;1,Table6[[#This Row],[PF for calculation]]&lt;&gt;1),"CF*PF",IF(Table6[[#This Row],[CF used for for calculation]]&lt;&gt;1,"CF",IF(Table6[[#This Row],[PF for calculation]]&lt;&gt;1,"PF","")))</f>
        <v/>
      </c>
      <c r="AC463" s="1300">
        <f>IF(AND(Table6[[#This Row],[LOQ RAC individual crop]]="Y",Table6[[#This Row],[GAP under assessment]]="N"),Table6[[#This Row],[MRL RAC individual commodity]],Table6[[#This Row],[MRL RAC individual commodity]]*Table6[[#This Row],[CF*PF for calculation]])</f>
        <v>0</v>
      </c>
      <c r="AD463" s="1287">
        <f t="shared" si="284"/>
        <v>0</v>
      </c>
      <c r="AE463" s="1287">
        <f t="shared" si="285"/>
        <v>0</v>
      </c>
      <c r="AF463" s="1288">
        <f>Table6[[#This Row],[IESTI case]]</f>
        <v>1</v>
      </c>
      <c r="AG46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63" s="1302" t="str">
        <f>IF(Table6[[#This Row],[Input value normal mode case 1, 2a/2b,Po]]&gt;0,
              IF(Table6[[#This Row],[Highest residue * CF*PF]]&gt;"","HR-RAC",
                             IF(Table6[[#This Row],[LOQ RAC individual crop]]="Y","LOQ","MRL")),"")</f>
        <v/>
      </c>
      <c r="AI463" s="1302" t="str">
        <f t="shared" si="286"/>
        <v/>
      </c>
      <c r="AJ463" s="1302" t="str">
        <f>IF(Table6[[#This Row],[Input value normal mode case 1, 2a/2b,Po]]&gt;0,IF(Table6[[#This Row],[label description]]&gt;"",Table6[[#This Row],[label description]],""),"")</f>
        <v/>
      </c>
      <c r="AK463" s="1302" t="str">
        <f>CONCATENATE(Table6[[#This Row],[label for IESTI normal mode case 1, 2a/2b,Po]],Table6[[#This Row],[label connector case  normal mode]],Table6[[#This Row],[label refinements normal mode case 1, 2a/2b,Po]])</f>
        <v/>
      </c>
      <c r="AL463" s="1287" t="str">
        <f>IF(AND(Table6[[#This Row],[Case for acute RA children / adults]]=3,Table6[[#This Row],[Post-harvest treatment]]=""),IF(AND(Table6[[#This Row],[LOQ RAC individual crop]]="Y",M462="N"),Table6[[#This Row],[MRL RAC individual commodity]],IF(Table6[[#This Row],[Median residue*CF*PF]]&gt;0,Table6[[#This Row],[Median residue*CF*PF]],IF(Table6[[#This Row],[MRL*CF*PF or LOQ (if not under assessment and LOQ)]]&gt;0,Table6[[#This Row],[MRL*CF*PF or LOQ (if not under assessment and LOQ)]],""))),"")</f>
        <v/>
      </c>
      <c r="AM463" s="1295" t="str">
        <f>IF(Table6[[#This Row],[input for case 3 normal mode]]&gt;0,IF(Table6[[#This Row],[Median residue*CF*PF]]&gt;0,"STMR-RAC",IF(AND($AC463&gt;0,NOT(V463="Y")),"MRL",IF($V463="Y","LOQ",""))),"")</f>
        <v/>
      </c>
      <c r="AN463" s="1295" t="str">
        <f t="shared" si="287"/>
        <v/>
      </c>
      <c r="AO463" s="1287" t="str">
        <f>IF(Table6[[#This Row],[input for case 3 normal mode]]="","",IF(AND(Table6[[#This Row],[label for case 3 calculation normal mode]]="LOQ",Table6[[#This Row],[GAP under assessment]]="N"),"",IF(Table6[[#This Row],[label description]]&gt;"",Table6[[#This Row],[label description]],"")))</f>
        <v/>
      </c>
      <c r="AP463" s="1287" t="str">
        <f>CONCATENATE(Table6[[#This Row],[label for case 3 calculation normal mode]],Table6[[#This Row],[label connector case 3 normal mode]],Table6[[#This Row],[label refinements case 3 normal mode]])</f>
        <v/>
      </c>
      <c r="AQ463" s="1287" t="str">
        <f>IF(Table6[[#This Row],[GAP under assessment]]="Y",Table6[[#This Row],[Input value normal mode case 1, 2a/2b,Po]],"")</f>
        <v/>
      </c>
      <c r="AR463" s="1287" t="str">
        <f>IF(Table6[[#This Row],[Input value refined mode case 1, 2a/2b,Po]]&gt;0,Table6[[#This Row],[concat label normal mode 1,2a/2b,Po ]],"")</f>
        <v/>
      </c>
      <c r="AS463" s="1303" t="str">
        <f>IF(Table6[[#This Row],[GAP under assessment]]="Y",Table6[[#This Row],[input for case 3 normal mode]],"")</f>
        <v/>
      </c>
      <c r="AT463" s="1287" t="str">
        <f>IF(Table6[[#This Row],[input for case 3 refined mode]]&gt;0,Table6[[#This Row],[concat label normal mode  case 3]],"")</f>
        <v/>
      </c>
      <c r="AU463" s="1295" t="str">
        <f>IF(Table6[[#This Row],[Input value normal mode case 1, 2a/2b,Po]]&gt;0,Table6[[#This Row],[Input value normal mode case 1, 2a/2b,Po]],Table6[[#This Row],[input for case 3 normal mode]])</f>
        <v/>
      </c>
      <c r="AV463" s="1295" t="str">
        <f>IF(Table6[[#This Row],[Input value normal mode case 1, 2a/2b,Po]]&gt;0,Table6[[#This Row],[concat label normal mode 1,2a/2b,Po ]],Table6[[#This Row],[concat label normal mode  case 3]])</f>
        <v/>
      </c>
      <c r="AW463" s="1295" t="str">
        <f>IF(Table6[[#This Row],[Input value refined mode case 1, 2a/2b,Po]]&gt;0,Table6[[#This Row],[Input value refined mode case 1, 2a/2b,Po]],Table6[[#This Row],[input for case 3 refined mode]])</f>
        <v/>
      </c>
      <c r="AX463" s="1295" t="str">
        <f>IF(Table6[[#This Row],[Input value refined mode case 1, 2a/2b,Po]]&gt;0,Table6[[#This Row],[concat label refined mode case 1,2a/2b,Po]],Table6[[#This Row],[label for case 3 calculation refined mode]])</f>
        <v/>
      </c>
      <c r="AY463" s="1287">
        <f t="shared" si="288"/>
        <v>0</v>
      </c>
      <c r="AZ463" s="1295" t="str">
        <f t="shared" si="289"/>
        <v/>
      </c>
      <c r="BA463" s="1295" t="str">
        <f t="shared" si="290"/>
        <v/>
      </c>
      <c r="BB463" s="1287" t="str">
        <f>IF(AND(Table6[[#This Row],[label for IESTI new normal mode]]="LOQ",Table6[[#This Row],[GAP under assessment]]="N"),"",IF(AND($H463&gt;0,$Y463&lt;&gt;1),"CF*PF",IF($H463&gt;0,"CF",IF($Y463&lt;&gt;1,"PF",""))))</f>
        <v/>
      </c>
      <c r="BC463" s="1296"/>
      <c r="BD463" s="1297"/>
      <c r="BE463" s="1304" t="str">
        <f>IF(Table6[[#This Row],[GAP under assessment]]="Y",Table6[[#This Row],[MRL*CF*PF or LOQ (if not under assessment and LOQ)]],"")</f>
        <v/>
      </c>
      <c r="BF463" s="1305" t="str">
        <f>IF(Table6[[#This Row],[Input for IESTI new refined mode]]&lt;&gt;"",CONCATENATE("MRL",Table6[[#This Row],[label connector case 3 normal mode]],Table6[[#This Row],[label refinements case 3 normal mode]]),"")</f>
        <v/>
      </c>
      <c r="BG463" s="1298" t="s">
        <v>545</v>
      </c>
      <c r="BH463" s="1306"/>
    </row>
    <row r="464" spans="1:60" s="11" customFormat="1" ht="12.75" customHeight="1" x14ac:dyDescent="0.2">
      <c r="A464" s="479" t="s">
        <v>595</v>
      </c>
      <c r="B464" s="480">
        <v>232020</v>
      </c>
      <c r="C464" s="547" t="s">
        <v>398</v>
      </c>
      <c r="D464" s="1261">
        <f>VLOOKUP(Table6[[#This Row],[Code no.]],$B$12:$D$390,3,FALSE)</f>
        <v>0</v>
      </c>
      <c r="E464" s="1264">
        <f t="shared" si="275"/>
        <v>0</v>
      </c>
      <c r="F464" s="1262" t="str">
        <f t="shared" si="272"/>
        <v/>
      </c>
      <c r="G464" s="1265">
        <f t="shared" si="276"/>
        <v>1</v>
      </c>
      <c r="H464" s="881"/>
      <c r="I464" s="880"/>
      <c r="J464" s="1269">
        <f t="shared" si="277"/>
        <v>0</v>
      </c>
      <c r="K464" s="1269">
        <f t="shared" si="278"/>
        <v>0</v>
      </c>
      <c r="L464" s="1276" t="str">
        <f>IF(VLOOKUP($B464,$B$12:$AY$390,$K$2,FALSE)&gt;"",VLOOKUP($B464,$B$12:$AY$390,$K$2,FALSE),"")</f>
        <v/>
      </c>
      <c r="M464" s="1271" t="str">
        <f t="shared" si="279"/>
        <v/>
      </c>
      <c r="N464" s="1272"/>
      <c r="O464" s="1273" t="s">
        <v>654</v>
      </c>
      <c r="P464" s="1273" t="str">
        <f>IF(OR($A$10=$BG$15,Results!$B$62=Results!$T$63),Table6[[#This Row],[label refine mode]],Table6[[#This Row],[label normal mode]])</f>
        <v/>
      </c>
      <c r="Q464" s="1257" t="str">
        <f>IF(OR($A$10=$BG$15,Results!$B$62=Results!$T$63),Table6[[#This Row],[input refined mode]],Table6[[#This Row],[Input normal mode]])</f>
        <v/>
      </c>
      <c r="R464" s="1275" t="str">
        <f>IF(Table6[[#This Row],[Acute RA IESTI new input value]]="","",CONCATENATE(Table6[[#This Row],[label for IESTI new normal mode]],Table6[[#This Row],[label connector IESTI new normal mode]],Table6[[#This Row],[label refinements normal mode]]))</f>
        <v/>
      </c>
      <c r="S464" s="1259">
        <f>IF(OR($A$10=$BG$15,Results!$B$62=Results!$T$63),Table6[[#This Row],[Input for IESTI new refined mode]],Table6[[#This Row],[Input for IESTI new normal mode]])</f>
        <v>0</v>
      </c>
      <c r="T464" s="888"/>
      <c r="U464" s="1283">
        <f t="shared" si="280"/>
        <v>0</v>
      </c>
      <c r="V464" s="1284" t="str">
        <f t="shared" si="281"/>
        <v/>
      </c>
      <c r="W464" s="1285">
        <f>IF($H464&gt;0,$H464,IF(Table6[[#This Row],[CFrisk for residue definition (applicable for unprocessed products)]]&gt;0,Table6[[#This Row],[CFrisk for residue definition (applicable for unprocessed products)]],1))</f>
        <v>1</v>
      </c>
      <c r="X464" s="1285">
        <v>1</v>
      </c>
      <c r="Y464" s="1285">
        <f t="shared" si="282"/>
        <v>1</v>
      </c>
      <c r="Z464" s="1285">
        <f t="shared" si="283"/>
        <v>1</v>
      </c>
      <c r="AA464" s="1285" t="str">
        <f>IF(Table6[[#This Row],[Post-harvest treatment]]="","","Y")</f>
        <v/>
      </c>
      <c r="AB464" s="1285" t="str">
        <f>IF(AND(Table6[[#This Row],[CF used for for calculation]]&lt;&gt;1,Table6[[#This Row],[PF for calculation]]&lt;&gt;1),"CF*PF",IF(Table6[[#This Row],[CF used for for calculation]]&lt;&gt;1,"CF",IF(Table6[[#This Row],[PF for calculation]]&lt;&gt;1,"PF","")))</f>
        <v/>
      </c>
      <c r="AC464" s="1300">
        <f>IF(AND(Table6[[#This Row],[LOQ RAC individual crop]]="Y",Table6[[#This Row],[GAP under assessment]]="N"),Table6[[#This Row],[MRL RAC individual commodity]],Table6[[#This Row],[MRL RAC individual commodity]]*Table6[[#This Row],[CF*PF for calculation]])</f>
        <v>0</v>
      </c>
      <c r="AD464" s="1287">
        <f t="shared" si="284"/>
        <v>0</v>
      </c>
      <c r="AE464" s="1287">
        <f t="shared" si="285"/>
        <v>0</v>
      </c>
      <c r="AF464" s="1307" t="str">
        <f>Table6[[#This Row],[IESTI case]]</f>
        <v>2a/2b</v>
      </c>
      <c r="AG46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64" s="1302" t="str">
        <f>IF(Table6[[#This Row],[Input value normal mode case 1, 2a/2b,Po]]&gt;0,
              IF(Table6[[#This Row],[Highest residue * CF*PF]]&gt;"","HR-RAC",
                             IF(Table6[[#This Row],[LOQ RAC individual crop]]="Y","LOQ","MRL")),"")</f>
        <v/>
      </c>
      <c r="AI464" s="1302" t="str">
        <f t="shared" si="286"/>
        <v/>
      </c>
      <c r="AJ464" s="1302" t="str">
        <f>IF(Table6[[#This Row],[Input value normal mode case 1, 2a/2b,Po]]&gt;0,IF(Table6[[#This Row],[label description]]&gt;"",Table6[[#This Row],[label description]],""),"")</f>
        <v/>
      </c>
      <c r="AK464" s="1302" t="str">
        <f>CONCATENATE(Table6[[#This Row],[label for IESTI normal mode case 1, 2a/2b,Po]],Table6[[#This Row],[label connector case  normal mode]],Table6[[#This Row],[label refinements normal mode case 1, 2a/2b,Po]])</f>
        <v/>
      </c>
      <c r="AL464" s="1287" t="str">
        <f>IF(AND(Table6[[#This Row],[Case for acute RA children / adults]]=3,Table6[[#This Row],[Post-harvest treatment]]=""),IF(AND(Table6[[#This Row],[LOQ RAC individual crop]]="Y",M463="N"),Table6[[#This Row],[MRL RAC individual commodity]],IF(Table6[[#This Row],[Median residue*CF*PF]]&gt;0,Table6[[#This Row],[Median residue*CF*PF]],IF(Table6[[#This Row],[MRL*CF*PF or LOQ (if not under assessment and LOQ)]]&gt;0,Table6[[#This Row],[MRL*CF*PF or LOQ (if not under assessment and LOQ)]],""))),"")</f>
        <v/>
      </c>
      <c r="AM464" s="1295" t="str">
        <f>IF(Table6[[#This Row],[input for case 3 normal mode]]&gt;0,IF(Table6[[#This Row],[Median residue*CF*PF]]&gt;0,"STMR-RAC",IF(AND($AC464&gt;0,NOT(V464="Y")),"MRL",IF($V464="Y","LOQ",""))),"")</f>
        <v/>
      </c>
      <c r="AN464" s="1295" t="str">
        <f t="shared" si="287"/>
        <v/>
      </c>
      <c r="AO464" s="1287" t="str">
        <f>IF(Table6[[#This Row],[input for case 3 normal mode]]="","",IF(AND(Table6[[#This Row],[label for case 3 calculation normal mode]]="LOQ",Table6[[#This Row],[GAP under assessment]]="N"),"",IF(Table6[[#This Row],[label description]]&gt;"",Table6[[#This Row],[label description]],"")))</f>
        <v/>
      </c>
      <c r="AP464" s="1287" t="str">
        <f>CONCATENATE(Table6[[#This Row],[label for case 3 calculation normal mode]],Table6[[#This Row],[label connector case 3 normal mode]],Table6[[#This Row],[label refinements case 3 normal mode]])</f>
        <v/>
      </c>
      <c r="AQ464" s="1287" t="str">
        <f>IF(Table6[[#This Row],[GAP under assessment]]="Y",Table6[[#This Row],[Input value normal mode case 1, 2a/2b,Po]],"")</f>
        <v/>
      </c>
      <c r="AR464" s="1287" t="str">
        <f>IF(Table6[[#This Row],[Input value refined mode case 1, 2a/2b,Po]]&gt;0,Table6[[#This Row],[concat label normal mode 1,2a/2b,Po ]],"")</f>
        <v/>
      </c>
      <c r="AS464" s="1303" t="str">
        <f>IF(Table6[[#This Row],[GAP under assessment]]="Y",Table6[[#This Row],[input for case 3 normal mode]],"")</f>
        <v/>
      </c>
      <c r="AT464" s="1287" t="str">
        <f>IF(Table6[[#This Row],[input for case 3 refined mode]]&gt;0,Table6[[#This Row],[concat label normal mode  case 3]],"")</f>
        <v/>
      </c>
      <c r="AU464" s="1295" t="str">
        <f>IF(Table6[[#This Row],[Input value normal mode case 1, 2a/2b,Po]]&gt;0,Table6[[#This Row],[Input value normal mode case 1, 2a/2b,Po]],Table6[[#This Row],[input for case 3 normal mode]])</f>
        <v/>
      </c>
      <c r="AV464" s="1295" t="str">
        <f>IF(Table6[[#This Row],[Input value normal mode case 1, 2a/2b,Po]]&gt;0,Table6[[#This Row],[concat label normal mode 1,2a/2b,Po ]],Table6[[#This Row],[concat label normal mode  case 3]])</f>
        <v/>
      </c>
      <c r="AW464" s="1295" t="str">
        <f>IF(Table6[[#This Row],[Input value refined mode case 1, 2a/2b,Po]]&gt;0,Table6[[#This Row],[Input value refined mode case 1, 2a/2b,Po]],Table6[[#This Row],[input for case 3 refined mode]])</f>
        <v/>
      </c>
      <c r="AX464" s="1295" t="str">
        <f>IF(Table6[[#This Row],[Input value refined mode case 1, 2a/2b,Po]]&gt;0,Table6[[#This Row],[concat label refined mode case 1,2a/2b,Po]],Table6[[#This Row],[label for case 3 calculation refined mode]])</f>
        <v/>
      </c>
      <c r="AY464" s="1287">
        <f t="shared" si="288"/>
        <v>0</v>
      </c>
      <c r="AZ464" s="1295" t="str">
        <f t="shared" si="289"/>
        <v/>
      </c>
      <c r="BA464" s="1295" t="str">
        <f t="shared" si="290"/>
        <v/>
      </c>
      <c r="BB464" s="1287" t="str">
        <f>IF(AND(Table6[[#This Row],[label for IESTI new normal mode]]="LOQ",Table6[[#This Row],[GAP under assessment]]="N"),"",IF(AND($H464&gt;0,$Y464&lt;&gt;1),"CF*PF",IF($H464&gt;0,"CF",IF($Y464&lt;&gt;1,"PF",""))))</f>
        <v/>
      </c>
      <c r="BC464" s="1296" t="s">
        <v>369</v>
      </c>
      <c r="BD464" s="1297"/>
      <c r="BE464" s="1304" t="str">
        <f>IF(Table6[[#This Row],[GAP under assessment]]="Y",Table6[[#This Row],[MRL*CF*PF or LOQ (if not under assessment and LOQ)]],"")</f>
        <v/>
      </c>
      <c r="BF464" s="1305" t="str">
        <f>IF(Table6[[#This Row],[Input for IESTI new refined mode]]&lt;&gt;"",CONCATENATE("MRL",Table6[[#This Row],[label connector case 3 normal mode]],Table6[[#This Row],[label refinements case 3 normal mode]]),"")</f>
        <v/>
      </c>
      <c r="BG464" s="1298" t="s">
        <v>595</v>
      </c>
      <c r="BH464" s="1306"/>
    </row>
    <row r="465" spans="1:60" s="11" customFormat="1" ht="12.75" customHeight="1" x14ac:dyDescent="0.2">
      <c r="A465" s="479" t="s">
        <v>546</v>
      </c>
      <c r="B465" s="480">
        <v>232030</v>
      </c>
      <c r="C465" s="547" t="s">
        <v>399</v>
      </c>
      <c r="D465" s="1261">
        <f>VLOOKUP(Table6[[#This Row],[Code no.]],$B$12:$D$390,3,FALSE)</f>
        <v>0</v>
      </c>
      <c r="E465" s="1264">
        <f t="shared" si="275"/>
        <v>0</v>
      </c>
      <c r="F465" s="1262" t="str">
        <f t="shared" si="272"/>
        <v/>
      </c>
      <c r="G465" s="1265">
        <f t="shared" si="276"/>
        <v>1</v>
      </c>
      <c r="H465" s="881"/>
      <c r="I465" s="880"/>
      <c r="J465" s="1269">
        <f t="shared" si="277"/>
        <v>0</v>
      </c>
      <c r="K465" s="1269">
        <f t="shared" si="278"/>
        <v>0</v>
      </c>
      <c r="L465" s="1276" t="str">
        <f>IF(VLOOKUP($B465,$B$12:$AY$390,$K$2,FALSE)&gt;"",VLOOKUP($B465,$B$12:$AY$390,$K$2,FALSE),"")</f>
        <v/>
      </c>
      <c r="M465" s="1271" t="str">
        <f t="shared" si="279"/>
        <v/>
      </c>
      <c r="N465" s="1272"/>
      <c r="O465" s="1273" t="s">
        <v>654</v>
      </c>
      <c r="P465" s="1273" t="str">
        <f>IF(OR($A$10=$BG$15,Results!$B$62=Results!$T$63),Table6[[#This Row],[label refine mode]],Table6[[#This Row],[label normal mode]])</f>
        <v/>
      </c>
      <c r="Q465" s="1257" t="str">
        <f>IF(OR($A$10=$BG$15,Results!$B$62=Results!$T$63),Table6[[#This Row],[input refined mode]],Table6[[#This Row],[Input normal mode]])</f>
        <v/>
      </c>
      <c r="R465" s="1275" t="str">
        <f>IF(Table6[[#This Row],[Acute RA IESTI new input value]]="","",CONCATENATE(Table6[[#This Row],[label for IESTI new normal mode]],Table6[[#This Row],[label connector IESTI new normal mode]],Table6[[#This Row],[label refinements normal mode]]))</f>
        <v/>
      </c>
      <c r="S465" s="1259">
        <f>IF(OR($A$10=$BG$15,Results!$B$62=Results!$T$63),Table6[[#This Row],[Input for IESTI new refined mode]],Table6[[#This Row],[Input for IESTI new normal mode]])</f>
        <v>0</v>
      </c>
      <c r="T465" s="888"/>
      <c r="U465" s="1283">
        <f t="shared" si="280"/>
        <v>0</v>
      </c>
      <c r="V465" s="1284" t="str">
        <f t="shared" si="281"/>
        <v/>
      </c>
      <c r="W465" s="1285">
        <f>IF($H465&gt;0,$H465,IF(Table6[[#This Row],[CFrisk for residue definition (applicable for unprocessed products)]]&gt;0,Table6[[#This Row],[CFrisk for residue definition (applicable for unprocessed products)]],1))</f>
        <v>1</v>
      </c>
      <c r="X465" s="1285">
        <v>1</v>
      </c>
      <c r="Y465" s="1285">
        <f t="shared" si="282"/>
        <v>1</v>
      </c>
      <c r="Z465" s="1285">
        <f t="shared" si="283"/>
        <v>1</v>
      </c>
      <c r="AA465" s="1285" t="str">
        <f>IF(Table6[[#This Row],[Post-harvest treatment]]="","","Y")</f>
        <v/>
      </c>
      <c r="AB465" s="1285" t="str">
        <f>IF(AND(Table6[[#This Row],[CF used for for calculation]]&lt;&gt;1,Table6[[#This Row],[PF for calculation]]&lt;&gt;1),"CF*PF",IF(Table6[[#This Row],[CF used for for calculation]]&lt;&gt;1,"CF",IF(Table6[[#This Row],[PF for calculation]]&lt;&gt;1,"PF","")))</f>
        <v/>
      </c>
      <c r="AC465" s="1300">
        <f>IF(AND(Table6[[#This Row],[LOQ RAC individual crop]]="Y",Table6[[#This Row],[GAP under assessment]]="N"),Table6[[#This Row],[MRL RAC individual commodity]],Table6[[#This Row],[MRL RAC individual commodity]]*Table6[[#This Row],[CF*PF for calculation]])</f>
        <v>0</v>
      </c>
      <c r="AD465" s="1287">
        <f t="shared" si="284"/>
        <v>0</v>
      </c>
      <c r="AE465" s="1287">
        <f t="shared" si="285"/>
        <v>0</v>
      </c>
      <c r="AF465" s="1307" t="str">
        <f>Table6[[#This Row],[IESTI case]]</f>
        <v>2a/2b</v>
      </c>
      <c r="AG46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65" s="1302" t="str">
        <f>IF(Table6[[#This Row],[Input value normal mode case 1, 2a/2b,Po]]&gt;0,
              IF(Table6[[#This Row],[Highest residue * CF*PF]]&gt;"","HR-RAC",
                             IF(Table6[[#This Row],[LOQ RAC individual crop]]="Y","LOQ","MRL")),"")</f>
        <v/>
      </c>
      <c r="AI465" s="1302" t="str">
        <f t="shared" si="286"/>
        <v/>
      </c>
      <c r="AJ465" s="1302" t="str">
        <f>IF(Table6[[#This Row],[Input value normal mode case 1, 2a/2b,Po]]&gt;0,IF(Table6[[#This Row],[label description]]&gt;"",Table6[[#This Row],[label description]],""),"")</f>
        <v/>
      </c>
      <c r="AK465" s="1302" t="str">
        <f>CONCATENATE(Table6[[#This Row],[label for IESTI normal mode case 1, 2a/2b,Po]],Table6[[#This Row],[label connector case  normal mode]],Table6[[#This Row],[label refinements normal mode case 1, 2a/2b,Po]])</f>
        <v/>
      </c>
      <c r="AL465" s="1287" t="str">
        <f>IF(AND(Table6[[#This Row],[Case for acute RA children / adults]]=3,Table6[[#This Row],[Post-harvest treatment]]=""),IF(AND(Table6[[#This Row],[LOQ RAC individual crop]]="Y",M464="N"),Table6[[#This Row],[MRL RAC individual commodity]],IF(Table6[[#This Row],[Median residue*CF*PF]]&gt;0,Table6[[#This Row],[Median residue*CF*PF]],IF(Table6[[#This Row],[MRL*CF*PF or LOQ (if not under assessment and LOQ)]]&gt;0,Table6[[#This Row],[MRL*CF*PF or LOQ (if not under assessment and LOQ)]],""))),"")</f>
        <v/>
      </c>
      <c r="AM465" s="1295" t="str">
        <f>IF(Table6[[#This Row],[input for case 3 normal mode]]&gt;0,IF(Table6[[#This Row],[Median residue*CF*PF]]&gt;0,"STMR-RAC",IF(AND($AC465&gt;0,NOT(V465="Y")),"MRL",IF($V465="Y","LOQ",""))),"")</f>
        <v/>
      </c>
      <c r="AN465" s="1295" t="str">
        <f t="shared" si="287"/>
        <v/>
      </c>
      <c r="AO465" s="1287" t="str">
        <f>IF(Table6[[#This Row],[input for case 3 normal mode]]="","",IF(AND(Table6[[#This Row],[label for case 3 calculation normal mode]]="LOQ",Table6[[#This Row],[GAP under assessment]]="N"),"",IF(Table6[[#This Row],[label description]]&gt;"",Table6[[#This Row],[label description]],"")))</f>
        <v/>
      </c>
      <c r="AP465" s="1287" t="str">
        <f>CONCATENATE(Table6[[#This Row],[label for case 3 calculation normal mode]],Table6[[#This Row],[label connector case 3 normal mode]],Table6[[#This Row],[label refinements case 3 normal mode]])</f>
        <v/>
      </c>
      <c r="AQ465" s="1287" t="str">
        <f>IF(Table6[[#This Row],[GAP under assessment]]="Y",Table6[[#This Row],[Input value normal mode case 1, 2a/2b,Po]],"")</f>
        <v/>
      </c>
      <c r="AR465" s="1287" t="str">
        <f>IF(Table6[[#This Row],[Input value refined mode case 1, 2a/2b,Po]]&gt;0,Table6[[#This Row],[concat label normal mode 1,2a/2b,Po ]],"")</f>
        <v/>
      </c>
      <c r="AS465" s="1303" t="str">
        <f>IF(Table6[[#This Row],[GAP under assessment]]="Y",Table6[[#This Row],[input for case 3 normal mode]],"")</f>
        <v/>
      </c>
      <c r="AT465" s="1287" t="str">
        <f>IF(Table6[[#This Row],[input for case 3 refined mode]]&gt;0,Table6[[#This Row],[concat label normal mode  case 3]],"")</f>
        <v/>
      </c>
      <c r="AU465" s="1295" t="str">
        <f>IF(Table6[[#This Row],[Input value normal mode case 1, 2a/2b,Po]]&gt;0,Table6[[#This Row],[Input value normal mode case 1, 2a/2b,Po]],Table6[[#This Row],[input for case 3 normal mode]])</f>
        <v/>
      </c>
      <c r="AV465" s="1295" t="str">
        <f>IF(Table6[[#This Row],[Input value normal mode case 1, 2a/2b,Po]]&gt;0,Table6[[#This Row],[concat label normal mode 1,2a/2b,Po ]],Table6[[#This Row],[concat label normal mode  case 3]])</f>
        <v/>
      </c>
      <c r="AW465" s="1295" t="str">
        <f>IF(Table6[[#This Row],[Input value refined mode case 1, 2a/2b,Po]]&gt;0,Table6[[#This Row],[Input value refined mode case 1, 2a/2b,Po]],Table6[[#This Row],[input for case 3 refined mode]])</f>
        <v/>
      </c>
      <c r="AX465" s="1295" t="str">
        <f>IF(Table6[[#This Row],[Input value refined mode case 1, 2a/2b,Po]]&gt;0,Table6[[#This Row],[concat label refined mode case 1,2a/2b,Po]],Table6[[#This Row],[label for case 3 calculation refined mode]])</f>
        <v/>
      </c>
      <c r="AY465" s="1287">
        <f t="shared" si="288"/>
        <v>0</v>
      </c>
      <c r="AZ465" s="1295" t="str">
        <f t="shared" si="289"/>
        <v/>
      </c>
      <c r="BA465" s="1295" t="str">
        <f t="shared" si="290"/>
        <v/>
      </c>
      <c r="BB465" s="1287" t="str">
        <f>IF(AND(Table6[[#This Row],[label for IESTI new normal mode]]="LOQ",Table6[[#This Row],[GAP under assessment]]="N"),"",IF(AND($H465&gt;0,$Y465&lt;&gt;1),"CF*PF",IF($H465&gt;0,"CF",IF($Y465&lt;&gt;1,"PF",""))))</f>
        <v/>
      </c>
      <c r="BC465" s="1296"/>
      <c r="BD465" s="1297"/>
      <c r="BE465" s="1304" t="str">
        <f>IF(Table6[[#This Row],[GAP under assessment]]="Y",Table6[[#This Row],[MRL*CF*PF or LOQ (if not under assessment and LOQ)]],"")</f>
        <v/>
      </c>
      <c r="BF465" s="1305" t="str">
        <f>IF(Table6[[#This Row],[Input for IESTI new refined mode]]&lt;&gt;"",CONCATENATE("MRL",Table6[[#This Row],[label connector case 3 normal mode]],Table6[[#This Row],[label refinements case 3 normal mode]]),"")</f>
        <v/>
      </c>
      <c r="BG465" s="1298" t="s">
        <v>546</v>
      </c>
      <c r="BH465" s="1306"/>
    </row>
    <row r="466" spans="1:60" s="11" customFormat="1" ht="12.75" customHeight="1" x14ac:dyDescent="0.2">
      <c r="A466" s="479" t="s">
        <v>547</v>
      </c>
      <c r="B466" s="480">
        <v>233020</v>
      </c>
      <c r="C466" s="547" t="s">
        <v>400</v>
      </c>
      <c r="D466" s="1261">
        <f>VLOOKUP(Table6[[#This Row],[Code no.]],$B$12:$D$390,3,FALSE)</f>
        <v>0</v>
      </c>
      <c r="E466" s="1264">
        <f t="shared" si="275"/>
        <v>0</v>
      </c>
      <c r="F466" s="1262" t="str">
        <f t="shared" si="272"/>
        <v/>
      </c>
      <c r="G466" s="1265">
        <f t="shared" si="276"/>
        <v>1</v>
      </c>
      <c r="H466" s="881"/>
      <c r="I466" s="880"/>
      <c r="J466" s="1269">
        <f t="shared" si="277"/>
        <v>0</v>
      </c>
      <c r="K466" s="1269">
        <f t="shared" si="278"/>
        <v>0</v>
      </c>
      <c r="L466" s="1276" t="str">
        <f>IF(VLOOKUP($B466,$B$12:$AY$390,$K$2,FALSE)&gt;"",VLOOKUP($B466,$B$12:$AY$390,$K$2,FALSE),"")</f>
        <v/>
      </c>
      <c r="M466" s="1271" t="str">
        <f t="shared" si="279"/>
        <v/>
      </c>
      <c r="N466" s="1272"/>
      <c r="O466" s="1273" t="s">
        <v>654</v>
      </c>
      <c r="P466" s="1273" t="str">
        <f>IF(OR($A$10=$BG$15,Results!$B$62=Results!$T$63),Table6[[#This Row],[label refine mode]],Table6[[#This Row],[label normal mode]])</f>
        <v/>
      </c>
      <c r="Q466" s="1257" t="str">
        <f>IF(OR($A$10=$BG$15,Results!$B$62=Results!$T$63),Table6[[#This Row],[input refined mode]],Table6[[#This Row],[Input normal mode]])</f>
        <v/>
      </c>
      <c r="R466" s="1275" t="str">
        <f>IF(Table6[[#This Row],[Acute RA IESTI new input value]]="","",CONCATENATE(Table6[[#This Row],[label for IESTI new normal mode]],Table6[[#This Row],[label connector IESTI new normal mode]],Table6[[#This Row],[label refinements normal mode]]))</f>
        <v/>
      </c>
      <c r="S466" s="1259">
        <f>IF(OR($A$10=$BG$15,Results!$B$62=Results!$T$63),Table6[[#This Row],[Input for IESTI new refined mode]],Table6[[#This Row],[Input for IESTI new normal mode]])</f>
        <v>0</v>
      </c>
      <c r="T466" s="888"/>
      <c r="U466" s="1283">
        <f t="shared" si="280"/>
        <v>0</v>
      </c>
      <c r="V466" s="1284" t="str">
        <f t="shared" si="281"/>
        <v/>
      </c>
      <c r="W466" s="1285">
        <f>IF($H466&gt;0,$H466,IF(Table6[[#This Row],[CFrisk for residue definition (applicable for unprocessed products)]]&gt;0,Table6[[#This Row],[CFrisk for residue definition (applicable for unprocessed products)]],1))</f>
        <v>1</v>
      </c>
      <c r="X466" s="1285">
        <v>1</v>
      </c>
      <c r="Y466" s="1285">
        <f t="shared" si="282"/>
        <v>1</v>
      </c>
      <c r="Z466" s="1285">
        <f t="shared" si="283"/>
        <v>1</v>
      </c>
      <c r="AA466" s="1285" t="str">
        <f>IF(Table6[[#This Row],[Post-harvest treatment]]="","","Y")</f>
        <v/>
      </c>
      <c r="AB466" s="1285" t="str">
        <f>IF(AND(Table6[[#This Row],[CF used for for calculation]]&lt;&gt;1,Table6[[#This Row],[PF for calculation]]&lt;&gt;1),"CF*PF",IF(Table6[[#This Row],[CF used for for calculation]]&lt;&gt;1,"CF",IF(Table6[[#This Row],[PF for calculation]]&lt;&gt;1,"PF","")))</f>
        <v/>
      </c>
      <c r="AC466" s="1300">
        <f>IF(AND(Table6[[#This Row],[LOQ RAC individual crop]]="Y",Table6[[#This Row],[GAP under assessment]]="N"),Table6[[#This Row],[MRL RAC individual commodity]],Table6[[#This Row],[MRL RAC individual commodity]]*Table6[[#This Row],[CF*PF for calculation]])</f>
        <v>0</v>
      </c>
      <c r="AD466" s="1287">
        <f t="shared" si="284"/>
        <v>0</v>
      </c>
      <c r="AE466" s="1287">
        <f t="shared" si="285"/>
        <v>0</v>
      </c>
      <c r="AF466" s="1307" t="str">
        <f>Table6[[#This Row],[IESTI case]]</f>
        <v>2a/2b</v>
      </c>
      <c r="AG46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66" s="1302" t="str">
        <f>IF(Table6[[#This Row],[Input value normal mode case 1, 2a/2b,Po]]&gt;0,
              IF(Table6[[#This Row],[Highest residue * CF*PF]]&gt;"","HR-RAC",
                             IF(Table6[[#This Row],[LOQ RAC individual crop]]="Y","LOQ","MRL")),"")</f>
        <v/>
      </c>
      <c r="AI466" s="1302" t="str">
        <f t="shared" si="286"/>
        <v/>
      </c>
      <c r="AJ466" s="1302" t="str">
        <f>IF(Table6[[#This Row],[Input value normal mode case 1, 2a/2b,Po]]&gt;0,IF(Table6[[#This Row],[label description]]&gt;"",Table6[[#This Row],[label description]],""),"")</f>
        <v/>
      </c>
      <c r="AK466" s="1302" t="str">
        <f>CONCATENATE(Table6[[#This Row],[label for IESTI normal mode case 1, 2a/2b,Po]],Table6[[#This Row],[label connector case  normal mode]],Table6[[#This Row],[label refinements normal mode case 1, 2a/2b,Po]])</f>
        <v/>
      </c>
      <c r="AL466" s="1287" t="str">
        <f>IF(AND(Table6[[#This Row],[Case for acute RA children / adults]]=3,Table6[[#This Row],[Post-harvest treatment]]=""),IF(AND(Table6[[#This Row],[LOQ RAC individual crop]]="Y",M465="N"),Table6[[#This Row],[MRL RAC individual commodity]],IF(Table6[[#This Row],[Median residue*CF*PF]]&gt;0,Table6[[#This Row],[Median residue*CF*PF]],IF(Table6[[#This Row],[MRL*CF*PF or LOQ (if not under assessment and LOQ)]]&gt;0,Table6[[#This Row],[MRL*CF*PF or LOQ (if not under assessment and LOQ)]],""))),"")</f>
        <v/>
      </c>
      <c r="AM466" s="1295" t="str">
        <f>IF(Table6[[#This Row],[input for case 3 normal mode]]&gt;0,IF(Table6[[#This Row],[Median residue*CF*PF]]&gt;0,"STMR-RAC",IF(AND($AC466&gt;0,NOT(V466="Y")),"MRL",IF($V466="Y","LOQ",""))),"")</f>
        <v/>
      </c>
      <c r="AN466" s="1295" t="str">
        <f t="shared" si="287"/>
        <v/>
      </c>
      <c r="AO466" s="1287" t="str">
        <f>IF(Table6[[#This Row],[input for case 3 normal mode]]="","",IF(AND(Table6[[#This Row],[label for case 3 calculation normal mode]]="LOQ",Table6[[#This Row],[GAP under assessment]]="N"),"",IF(Table6[[#This Row],[label description]]&gt;"",Table6[[#This Row],[label description]],"")))</f>
        <v/>
      </c>
      <c r="AP466" s="1287" t="str">
        <f>CONCATENATE(Table6[[#This Row],[label for case 3 calculation normal mode]],Table6[[#This Row],[label connector case 3 normal mode]],Table6[[#This Row],[label refinements case 3 normal mode]])</f>
        <v/>
      </c>
      <c r="AQ466" s="1287" t="str">
        <f>IF(Table6[[#This Row],[GAP under assessment]]="Y",Table6[[#This Row],[Input value normal mode case 1, 2a/2b,Po]],"")</f>
        <v/>
      </c>
      <c r="AR466" s="1287" t="str">
        <f>IF(Table6[[#This Row],[Input value refined mode case 1, 2a/2b,Po]]&gt;0,Table6[[#This Row],[concat label normal mode 1,2a/2b,Po ]],"")</f>
        <v/>
      </c>
      <c r="AS466" s="1303" t="str">
        <f>IF(Table6[[#This Row],[GAP under assessment]]="Y",Table6[[#This Row],[input for case 3 normal mode]],"")</f>
        <v/>
      </c>
      <c r="AT466" s="1287" t="str">
        <f>IF(Table6[[#This Row],[input for case 3 refined mode]]&gt;0,Table6[[#This Row],[concat label normal mode  case 3]],"")</f>
        <v/>
      </c>
      <c r="AU466" s="1295" t="str">
        <f>IF(Table6[[#This Row],[Input value normal mode case 1, 2a/2b,Po]]&gt;0,Table6[[#This Row],[Input value normal mode case 1, 2a/2b,Po]],Table6[[#This Row],[input for case 3 normal mode]])</f>
        <v/>
      </c>
      <c r="AV466" s="1295" t="str">
        <f>IF(Table6[[#This Row],[Input value normal mode case 1, 2a/2b,Po]]&gt;0,Table6[[#This Row],[concat label normal mode 1,2a/2b,Po ]],Table6[[#This Row],[concat label normal mode  case 3]])</f>
        <v/>
      </c>
      <c r="AW466" s="1295" t="str">
        <f>IF(Table6[[#This Row],[Input value refined mode case 1, 2a/2b,Po]]&gt;0,Table6[[#This Row],[Input value refined mode case 1, 2a/2b,Po]],Table6[[#This Row],[input for case 3 refined mode]])</f>
        <v/>
      </c>
      <c r="AX466" s="1295" t="str">
        <f>IF(Table6[[#This Row],[Input value refined mode case 1, 2a/2b,Po]]&gt;0,Table6[[#This Row],[concat label refined mode case 1,2a/2b,Po]],Table6[[#This Row],[label for case 3 calculation refined mode]])</f>
        <v/>
      </c>
      <c r="AY466" s="1287">
        <f t="shared" si="288"/>
        <v>0</v>
      </c>
      <c r="AZ466" s="1295" t="str">
        <f t="shared" si="289"/>
        <v/>
      </c>
      <c r="BA466" s="1295" t="str">
        <f t="shared" si="290"/>
        <v/>
      </c>
      <c r="BB466" s="1287" t="str">
        <f>IF(AND(Table6[[#This Row],[label for IESTI new normal mode]]="LOQ",Table6[[#This Row],[GAP under assessment]]="N"),"",IF(AND($H466&gt;0,$Y466&lt;&gt;1),"CF*PF",IF($H466&gt;0,"CF",IF($Y466&lt;&gt;1,"PF",""))))</f>
        <v/>
      </c>
      <c r="BC466" s="1296"/>
      <c r="BD466" s="1297"/>
      <c r="BE466" s="1304" t="str">
        <f>IF(Table6[[#This Row],[GAP under assessment]]="Y",Table6[[#This Row],[MRL*CF*PF or LOQ (if not under assessment and LOQ)]],"")</f>
        <v/>
      </c>
      <c r="BF466" s="1305" t="str">
        <f>IF(Table6[[#This Row],[Input for IESTI new refined mode]]&lt;&gt;"",CONCATENATE("MRL",Table6[[#This Row],[label connector case 3 normal mode]],Table6[[#This Row],[label refinements case 3 normal mode]]),"")</f>
        <v/>
      </c>
      <c r="BG466" s="1298" t="s">
        <v>547</v>
      </c>
      <c r="BH466" s="1306"/>
    </row>
    <row r="467" spans="1:60" s="11" customFormat="1" ht="12.75" customHeight="1" x14ac:dyDescent="0.2">
      <c r="A467" s="479" t="s">
        <v>548</v>
      </c>
      <c r="B467" s="480">
        <v>241010</v>
      </c>
      <c r="C467" s="547" t="s">
        <v>436</v>
      </c>
      <c r="D467" s="1261">
        <f>VLOOKUP(Table6[[#This Row],[Code no.]],$B$12:$D$390,3,FALSE)</f>
        <v>0</v>
      </c>
      <c r="E467" s="1264">
        <f t="shared" si="275"/>
        <v>0</v>
      </c>
      <c r="F467" s="1262" t="str">
        <f t="shared" si="272"/>
        <v/>
      </c>
      <c r="G467" s="1265">
        <f t="shared" si="276"/>
        <v>1</v>
      </c>
      <c r="H467" s="881"/>
      <c r="I467" s="880"/>
      <c r="J467" s="1269">
        <f t="shared" si="277"/>
        <v>0</v>
      </c>
      <c r="K467" s="1269">
        <f t="shared" si="278"/>
        <v>0</v>
      </c>
      <c r="L467" s="1276" t="str">
        <f>IF(VLOOKUP($B467,$B$12:$AY$390,$K$2,FALSE)&gt;"",VLOOKUP($B467,$B$12:$AY$390,$K$2,FALSE),"")</f>
        <v/>
      </c>
      <c r="M467" s="1271" t="str">
        <f t="shared" si="279"/>
        <v/>
      </c>
      <c r="N467" s="1272"/>
      <c r="O467" s="1273" t="s">
        <v>654</v>
      </c>
      <c r="P467" s="1273" t="str">
        <f>IF(OR($A$10=$BG$15,Results!$B$62=Results!$T$63),Table6[[#This Row],[label refine mode]],Table6[[#This Row],[label normal mode]])</f>
        <v/>
      </c>
      <c r="Q467" s="1257" t="str">
        <f>IF(OR($A$10=$BG$15,Results!$B$62=Results!$T$63),Table6[[#This Row],[input refined mode]],Table6[[#This Row],[Input normal mode]])</f>
        <v/>
      </c>
      <c r="R467" s="1275" t="str">
        <f>IF(Table6[[#This Row],[Acute RA IESTI new input value]]="","",CONCATENATE(Table6[[#This Row],[label for IESTI new normal mode]],Table6[[#This Row],[label connector IESTI new normal mode]],Table6[[#This Row],[label refinements normal mode]]))</f>
        <v/>
      </c>
      <c r="S467" s="1259">
        <f>IF(OR($A$10=$BG$15,Results!$B$62=Results!$T$63),Table6[[#This Row],[Input for IESTI new refined mode]],Table6[[#This Row],[Input for IESTI new normal mode]])</f>
        <v>0</v>
      </c>
      <c r="T467" s="888"/>
      <c r="U467" s="1283">
        <f t="shared" si="280"/>
        <v>0</v>
      </c>
      <c r="V467" s="1284" t="str">
        <f t="shared" si="281"/>
        <v/>
      </c>
      <c r="W467" s="1285">
        <f>IF($H467&gt;0,$H467,IF(Table6[[#This Row],[CFrisk for residue definition (applicable for unprocessed products)]]&gt;0,Table6[[#This Row],[CFrisk for residue definition (applicable for unprocessed products)]],1))</f>
        <v>1</v>
      </c>
      <c r="X467" s="1285">
        <v>1</v>
      </c>
      <c r="Y467" s="1285">
        <f t="shared" si="282"/>
        <v>1</v>
      </c>
      <c r="Z467" s="1285">
        <f t="shared" si="283"/>
        <v>1</v>
      </c>
      <c r="AA467" s="1285" t="str">
        <f>IF(Table6[[#This Row],[Post-harvest treatment]]="","","Y")</f>
        <v/>
      </c>
      <c r="AB467" s="1285" t="str">
        <f>IF(AND(Table6[[#This Row],[CF used for for calculation]]&lt;&gt;1,Table6[[#This Row],[PF for calculation]]&lt;&gt;1),"CF*PF",IF(Table6[[#This Row],[CF used for for calculation]]&lt;&gt;1,"CF",IF(Table6[[#This Row],[PF for calculation]]&lt;&gt;1,"PF","")))</f>
        <v/>
      </c>
      <c r="AC467" s="1300">
        <f>IF(AND(Table6[[#This Row],[LOQ RAC individual crop]]="Y",Table6[[#This Row],[GAP under assessment]]="N"),Table6[[#This Row],[MRL RAC individual commodity]],Table6[[#This Row],[MRL RAC individual commodity]]*Table6[[#This Row],[CF*PF for calculation]])</f>
        <v>0</v>
      </c>
      <c r="AD467" s="1287">
        <f t="shared" si="284"/>
        <v>0</v>
      </c>
      <c r="AE467" s="1287">
        <f t="shared" si="285"/>
        <v>0</v>
      </c>
      <c r="AF467" s="1307" t="str">
        <f>Table6[[#This Row],[IESTI case]]</f>
        <v>2a/2b</v>
      </c>
      <c r="AG46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67" s="1302" t="str">
        <f>IF(Table6[[#This Row],[Input value normal mode case 1, 2a/2b,Po]]&gt;0,
              IF(Table6[[#This Row],[Highest residue * CF*PF]]&gt;"","HR-RAC",
                             IF(Table6[[#This Row],[LOQ RAC individual crop]]="Y","LOQ","MRL")),"")</f>
        <v/>
      </c>
      <c r="AI467" s="1302" t="str">
        <f t="shared" si="286"/>
        <v/>
      </c>
      <c r="AJ467" s="1302" t="str">
        <f>IF(Table6[[#This Row],[Input value normal mode case 1, 2a/2b,Po]]&gt;0,IF(Table6[[#This Row],[label description]]&gt;"",Table6[[#This Row],[label description]],""),"")</f>
        <v/>
      </c>
      <c r="AK467" s="1302" t="str">
        <f>CONCATENATE(Table6[[#This Row],[label for IESTI normal mode case 1, 2a/2b,Po]],Table6[[#This Row],[label connector case  normal mode]],Table6[[#This Row],[label refinements normal mode case 1, 2a/2b,Po]])</f>
        <v/>
      </c>
      <c r="AL467" s="1287" t="str">
        <f>IF(AND(Table6[[#This Row],[Case for acute RA children / adults]]=3,Table6[[#This Row],[Post-harvest treatment]]=""),IF(AND(Table6[[#This Row],[LOQ RAC individual crop]]="Y",M466="N"),Table6[[#This Row],[MRL RAC individual commodity]],IF(Table6[[#This Row],[Median residue*CF*PF]]&gt;0,Table6[[#This Row],[Median residue*CF*PF]],IF(Table6[[#This Row],[MRL*CF*PF or LOQ (if not under assessment and LOQ)]]&gt;0,Table6[[#This Row],[MRL*CF*PF or LOQ (if not under assessment and LOQ)]],""))),"")</f>
        <v/>
      </c>
      <c r="AM467" s="1295" t="str">
        <f>IF(Table6[[#This Row],[input for case 3 normal mode]]&gt;0,IF(Table6[[#This Row],[Median residue*CF*PF]]&gt;0,"STMR-RAC",IF(AND($AC467&gt;0,NOT(V467="Y")),"MRL",IF($V467="Y","LOQ",""))),"")</f>
        <v/>
      </c>
      <c r="AN467" s="1295" t="str">
        <f t="shared" si="287"/>
        <v/>
      </c>
      <c r="AO467" s="1287" t="str">
        <f>IF(Table6[[#This Row],[input for case 3 normal mode]]="","",IF(AND(Table6[[#This Row],[label for case 3 calculation normal mode]]="LOQ",Table6[[#This Row],[GAP under assessment]]="N"),"",IF(Table6[[#This Row],[label description]]&gt;"",Table6[[#This Row],[label description]],"")))</f>
        <v/>
      </c>
      <c r="AP467" s="1287" t="str">
        <f>CONCATENATE(Table6[[#This Row],[label for case 3 calculation normal mode]],Table6[[#This Row],[label connector case 3 normal mode]],Table6[[#This Row],[label refinements case 3 normal mode]])</f>
        <v/>
      </c>
      <c r="AQ467" s="1287" t="str">
        <f>IF(Table6[[#This Row],[GAP under assessment]]="Y",Table6[[#This Row],[Input value normal mode case 1, 2a/2b,Po]],"")</f>
        <v/>
      </c>
      <c r="AR467" s="1287" t="str">
        <f>IF(Table6[[#This Row],[Input value refined mode case 1, 2a/2b,Po]]&gt;0,Table6[[#This Row],[concat label normal mode 1,2a/2b,Po ]],"")</f>
        <v/>
      </c>
      <c r="AS467" s="1303" t="str">
        <f>IF(Table6[[#This Row],[GAP under assessment]]="Y",Table6[[#This Row],[input for case 3 normal mode]],"")</f>
        <v/>
      </c>
      <c r="AT467" s="1287" t="str">
        <f>IF(Table6[[#This Row],[input for case 3 refined mode]]&gt;0,Table6[[#This Row],[concat label normal mode  case 3]],"")</f>
        <v/>
      </c>
      <c r="AU467" s="1295" t="str">
        <f>IF(Table6[[#This Row],[Input value normal mode case 1, 2a/2b,Po]]&gt;0,Table6[[#This Row],[Input value normal mode case 1, 2a/2b,Po]],Table6[[#This Row],[input for case 3 normal mode]])</f>
        <v/>
      </c>
      <c r="AV467" s="1295" t="str">
        <f>IF(Table6[[#This Row],[Input value normal mode case 1, 2a/2b,Po]]&gt;0,Table6[[#This Row],[concat label normal mode 1,2a/2b,Po ]],Table6[[#This Row],[concat label normal mode  case 3]])</f>
        <v/>
      </c>
      <c r="AW467" s="1295" t="str">
        <f>IF(Table6[[#This Row],[Input value refined mode case 1, 2a/2b,Po]]&gt;0,Table6[[#This Row],[Input value refined mode case 1, 2a/2b,Po]],Table6[[#This Row],[input for case 3 refined mode]])</f>
        <v/>
      </c>
      <c r="AX467" s="1295" t="str">
        <f>IF(Table6[[#This Row],[Input value refined mode case 1, 2a/2b,Po]]&gt;0,Table6[[#This Row],[concat label refined mode case 1,2a/2b,Po]],Table6[[#This Row],[label for case 3 calculation refined mode]])</f>
        <v/>
      </c>
      <c r="AY467" s="1287">
        <f t="shared" si="288"/>
        <v>0</v>
      </c>
      <c r="AZ467" s="1295" t="str">
        <f t="shared" si="289"/>
        <v/>
      </c>
      <c r="BA467" s="1295" t="str">
        <f t="shared" si="290"/>
        <v/>
      </c>
      <c r="BB467" s="1287" t="str">
        <f>IF(AND(Table6[[#This Row],[label for IESTI new normal mode]]="LOQ",Table6[[#This Row],[GAP under assessment]]="N"),"",IF(AND($H467&gt;0,$Y467&lt;&gt;1),"CF*PF",IF($H467&gt;0,"CF",IF($Y467&lt;&gt;1,"PF",""))))</f>
        <v/>
      </c>
      <c r="BC467" s="1296"/>
      <c r="BD467" s="1297"/>
      <c r="BE467" s="1304" t="str">
        <f>IF(Table6[[#This Row],[GAP under assessment]]="Y",Table6[[#This Row],[MRL*CF*PF or LOQ (if not under assessment and LOQ)]],"")</f>
        <v/>
      </c>
      <c r="BF467" s="1305" t="str">
        <f>IF(Table6[[#This Row],[Input for IESTI new refined mode]]&lt;&gt;"",CONCATENATE("MRL",Table6[[#This Row],[label connector case 3 normal mode]],Table6[[#This Row],[label refinements case 3 normal mode]]),"")</f>
        <v/>
      </c>
      <c r="BG467" s="1298" t="s">
        <v>548</v>
      </c>
      <c r="BH467" s="1306"/>
    </row>
    <row r="468" spans="1:60" s="11" customFormat="1" ht="12.75" customHeight="1" x14ac:dyDescent="0.2">
      <c r="A468" s="479" t="s">
        <v>549</v>
      </c>
      <c r="B468" s="480">
        <v>241020</v>
      </c>
      <c r="C468" s="547" t="s">
        <v>828</v>
      </c>
      <c r="D468" s="1261">
        <f>VLOOKUP(Table6[[#This Row],[Code no.]],$B$12:$D$390,3,FALSE)</f>
        <v>0</v>
      </c>
      <c r="E468" s="1264">
        <f t="shared" si="275"/>
        <v>0</v>
      </c>
      <c r="F468" s="1262" t="str">
        <f t="shared" si="272"/>
        <v/>
      </c>
      <c r="G468" s="1265">
        <f t="shared" si="276"/>
        <v>1</v>
      </c>
      <c r="H468" s="881"/>
      <c r="I468" s="880"/>
      <c r="J468" s="1269">
        <f t="shared" si="277"/>
        <v>0</v>
      </c>
      <c r="K468" s="1269">
        <f t="shared" si="278"/>
        <v>0</v>
      </c>
      <c r="L468" s="1276" t="str">
        <f>IF(VLOOKUP($B468,$B$12:$AY$390,$K$2,FALSE)&gt;"",VLOOKUP($B468,$B$12:$AY$390,$K$2,FALSE),"")</f>
        <v/>
      </c>
      <c r="M468" s="1271" t="str">
        <f t="shared" si="279"/>
        <v/>
      </c>
      <c r="N468" s="1272"/>
      <c r="O468" s="1273" t="s">
        <v>654</v>
      </c>
      <c r="P468" s="1273" t="str">
        <f>IF(OR($A$10=$BG$15,Results!$B$62=Results!$T$63),Table6[[#This Row],[label refine mode]],Table6[[#This Row],[label normal mode]])</f>
        <v/>
      </c>
      <c r="Q468" s="1257" t="str">
        <f>IF(OR($A$10=$BG$15,Results!$B$62=Results!$T$63),Table6[[#This Row],[input refined mode]],Table6[[#This Row],[Input normal mode]])</f>
        <v/>
      </c>
      <c r="R468" s="1275" t="str">
        <f>IF(Table6[[#This Row],[Acute RA IESTI new input value]]="","",CONCATENATE(Table6[[#This Row],[label for IESTI new normal mode]],Table6[[#This Row],[label connector IESTI new normal mode]],Table6[[#This Row],[label refinements normal mode]]))</f>
        <v/>
      </c>
      <c r="S468" s="1259">
        <f>IF(OR($A$10=$BG$15,Results!$B$62=Results!$T$63),Table6[[#This Row],[Input for IESTI new refined mode]],Table6[[#This Row],[Input for IESTI new normal mode]])</f>
        <v>0</v>
      </c>
      <c r="T468" s="888"/>
      <c r="U468" s="1283">
        <f t="shared" si="280"/>
        <v>0</v>
      </c>
      <c r="V468" s="1284" t="str">
        <f t="shared" si="281"/>
        <v/>
      </c>
      <c r="W468" s="1285">
        <f>IF($H468&gt;0,$H468,IF(Table6[[#This Row],[CFrisk for residue definition (applicable for unprocessed products)]]&gt;0,Table6[[#This Row],[CFrisk for residue definition (applicable for unprocessed products)]],1))</f>
        <v>1</v>
      </c>
      <c r="X468" s="1285">
        <v>1</v>
      </c>
      <c r="Y468" s="1285">
        <f t="shared" si="282"/>
        <v>1</v>
      </c>
      <c r="Z468" s="1285">
        <f t="shared" si="283"/>
        <v>1</v>
      </c>
      <c r="AA468" s="1285" t="str">
        <f>IF(Table6[[#This Row],[Post-harvest treatment]]="","","Y")</f>
        <v/>
      </c>
      <c r="AB468" s="1285" t="str">
        <f>IF(AND(Table6[[#This Row],[CF used for for calculation]]&lt;&gt;1,Table6[[#This Row],[PF for calculation]]&lt;&gt;1),"CF*PF",IF(Table6[[#This Row],[CF used for for calculation]]&lt;&gt;1,"CF",IF(Table6[[#This Row],[PF for calculation]]&lt;&gt;1,"PF","")))</f>
        <v/>
      </c>
      <c r="AC468" s="1300">
        <f>IF(AND(Table6[[#This Row],[LOQ RAC individual crop]]="Y",Table6[[#This Row],[GAP under assessment]]="N"),Table6[[#This Row],[MRL RAC individual commodity]],Table6[[#This Row],[MRL RAC individual commodity]]*Table6[[#This Row],[CF*PF for calculation]])</f>
        <v>0</v>
      </c>
      <c r="AD468" s="1287">
        <f t="shared" si="284"/>
        <v>0</v>
      </c>
      <c r="AE468" s="1287">
        <f t="shared" si="285"/>
        <v>0</v>
      </c>
      <c r="AF468" s="1307" t="str">
        <f>Table6[[#This Row],[IESTI case]]</f>
        <v>2a/2b</v>
      </c>
      <c r="AG468"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68" s="1302" t="str">
        <f>IF(Table6[[#This Row],[Input value normal mode case 1, 2a/2b,Po]]&gt;0,
              IF(Table6[[#This Row],[Highest residue * CF*PF]]&gt;"","HR-RAC",
                             IF(Table6[[#This Row],[LOQ RAC individual crop]]="Y","LOQ","MRL")),"")</f>
        <v/>
      </c>
      <c r="AI468" s="1302" t="str">
        <f t="shared" si="286"/>
        <v/>
      </c>
      <c r="AJ468" s="1302" t="str">
        <f>IF(Table6[[#This Row],[Input value normal mode case 1, 2a/2b,Po]]&gt;0,IF(Table6[[#This Row],[label description]]&gt;"",Table6[[#This Row],[label description]],""),"")</f>
        <v/>
      </c>
      <c r="AK468" s="1302" t="str">
        <f>CONCATENATE(Table6[[#This Row],[label for IESTI normal mode case 1, 2a/2b,Po]],Table6[[#This Row],[label connector case  normal mode]],Table6[[#This Row],[label refinements normal mode case 1, 2a/2b,Po]])</f>
        <v/>
      </c>
      <c r="AL468" s="1287" t="str">
        <f>IF(AND(Table6[[#This Row],[Case for acute RA children / adults]]=3,Table6[[#This Row],[Post-harvest treatment]]=""),IF(AND(Table6[[#This Row],[LOQ RAC individual crop]]="Y",M467="N"),Table6[[#This Row],[MRL RAC individual commodity]],IF(Table6[[#This Row],[Median residue*CF*PF]]&gt;0,Table6[[#This Row],[Median residue*CF*PF]],IF(Table6[[#This Row],[MRL*CF*PF or LOQ (if not under assessment and LOQ)]]&gt;0,Table6[[#This Row],[MRL*CF*PF or LOQ (if not under assessment and LOQ)]],""))),"")</f>
        <v/>
      </c>
      <c r="AM468" s="1295" t="str">
        <f>IF(Table6[[#This Row],[input for case 3 normal mode]]&gt;0,IF(Table6[[#This Row],[Median residue*CF*PF]]&gt;0,"STMR-RAC",IF(AND($AC468&gt;0,NOT(V468="Y")),"MRL",IF($V468="Y","LOQ",""))),"")</f>
        <v/>
      </c>
      <c r="AN468" s="1295" t="str">
        <f t="shared" si="287"/>
        <v/>
      </c>
      <c r="AO468" s="1287" t="str">
        <f>IF(Table6[[#This Row],[input for case 3 normal mode]]="","",IF(AND(Table6[[#This Row],[label for case 3 calculation normal mode]]="LOQ",Table6[[#This Row],[GAP under assessment]]="N"),"",IF(Table6[[#This Row],[label description]]&gt;"",Table6[[#This Row],[label description]],"")))</f>
        <v/>
      </c>
      <c r="AP468" s="1287" t="str">
        <f>CONCATENATE(Table6[[#This Row],[label for case 3 calculation normal mode]],Table6[[#This Row],[label connector case 3 normal mode]],Table6[[#This Row],[label refinements case 3 normal mode]])</f>
        <v/>
      </c>
      <c r="AQ468" s="1287" t="str">
        <f>IF(Table6[[#This Row],[GAP under assessment]]="Y",Table6[[#This Row],[Input value normal mode case 1, 2a/2b,Po]],"")</f>
        <v/>
      </c>
      <c r="AR468" s="1287" t="str">
        <f>IF(Table6[[#This Row],[Input value refined mode case 1, 2a/2b,Po]]&gt;0,Table6[[#This Row],[concat label normal mode 1,2a/2b,Po ]],"")</f>
        <v/>
      </c>
      <c r="AS468" s="1303" t="str">
        <f>IF(Table6[[#This Row],[GAP under assessment]]="Y",Table6[[#This Row],[input for case 3 normal mode]],"")</f>
        <v/>
      </c>
      <c r="AT468" s="1287" t="str">
        <f>IF(Table6[[#This Row],[input for case 3 refined mode]]&gt;0,Table6[[#This Row],[concat label normal mode  case 3]],"")</f>
        <v/>
      </c>
      <c r="AU468" s="1295" t="str">
        <f>IF(Table6[[#This Row],[Input value normal mode case 1, 2a/2b,Po]]&gt;0,Table6[[#This Row],[Input value normal mode case 1, 2a/2b,Po]],Table6[[#This Row],[input for case 3 normal mode]])</f>
        <v/>
      </c>
      <c r="AV468" s="1295" t="str">
        <f>IF(Table6[[#This Row],[Input value normal mode case 1, 2a/2b,Po]]&gt;0,Table6[[#This Row],[concat label normal mode 1,2a/2b,Po ]],Table6[[#This Row],[concat label normal mode  case 3]])</f>
        <v/>
      </c>
      <c r="AW468" s="1295" t="str">
        <f>IF(Table6[[#This Row],[Input value refined mode case 1, 2a/2b,Po]]&gt;0,Table6[[#This Row],[Input value refined mode case 1, 2a/2b,Po]],Table6[[#This Row],[input for case 3 refined mode]])</f>
        <v/>
      </c>
      <c r="AX468" s="1295" t="str">
        <f>IF(Table6[[#This Row],[Input value refined mode case 1, 2a/2b,Po]]&gt;0,Table6[[#This Row],[concat label refined mode case 1,2a/2b,Po]],Table6[[#This Row],[label for case 3 calculation refined mode]])</f>
        <v/>
      </c>
      <c r="AY468" s="1287">
        <f t="shared" si="288"/>
        <v>0</v>
      </c>
      <c r="AZ468" s="1295" t="str">
        <f t="shared" si="289"/>
        <v/>
      </c>
      <c r="BA468" s="1295" t="str">
        <f t="shared" si="290"/>
        <v/>
      </c>
      <c r="BB468" s="1287" t="str">
        <f>IF(AND(Table6[[#This Row],[label for IESTI new normal mode]]="LOQ",Table6[[#This Row],[GAP under assessment]]="N"),"",IF(AND($H468&gt;0,$Y468&lt;&gt;1),"CF*PF",IF($H468&gt;0,"CF",IF($Y468&lt;&gt;1,"PF",""))))</f>
        <v/>
      </c>
      <c r="BC468" s="1296"/>
      <c r="BD468" s="1297"/>
      <c r="BE468" s="1304" t="str">
        <f>IF(Table6[[#This Row],[GAP under assessment]]="Y",Table6[[#This Row],[MRL*CF*PF or LOQ (if not under assessment and LOQ)]],"")</f>
        <v/>
      </c>
      <c r="BF468" s="1305" t="str">
        <f>IF(Table6[[#This Row],[Input for IESTI new refined mode]]&lt;&gt;"",CONCATENATE("MRL",Table6[[#This Row],[label connector case 3 normal mode]],Table6[[#This Row],[label refinements case 3 normal mode]]),"")</f>
        <v/>
      </c>
      <c r="BG468" s="1298" t="s">
        <v>549</v>
      </c>
      <c r="BH468" s="1306"/>
    </row>
    <row r="469" spans="1:60" s="11" customFormat="1" ht="12.75" customHeight="1" x14ac:dyDescent="0.2">
      <c r="A469" s="479" t="s">
        <v>550</v>
      </c>
      <c r="B469" s="480">
        <v>242010</v>
      </c>
      <c r="C469" s="547" t="s">
        <v>401</v>
      </c>
      <c r="D469" s="1261">
        <f>VLOOKUP(Table6[[#This Row],[Code no.]],$B$12:$D$390,3,FALSE)</f>
        <v>0</v>
      </c>
      <c r="E469" s="1264">
        <f t="shared" si="275"/>
        <v>0</v>
      </c>
      <c r="F469" s="1262" t="str">
        <f t="shared" si="272"/>
        <v/>
      </c>
      <c r="G469" s="1265">
        <f t="shared" si="276"/>
        <v>1</v>
      </c>
      <c r="H469" s="881"/>
      <c r="I469" s="880"/>
      <c r="J469" s="1269">
        <f t="shared" si="277"/>
        <v>0</v>
      </c>
      <c r="K469" s="1269">
        <f t="shared" si="278"/>
        <v>0</v>
      </c>
      <c r="L469" s="1270"/>
      <c r="M469" s="1271" t="str">
        <f t="shared" si="279"/>
        <v/>
      </c>
      <c r="N469" s="1272"/>
      <c r="O469" s="1273">
        <v>1</v>
      </c>
      <c r="P469" s="1273" t="str">
        <f>IF(OR($A$10=$BG$15,Results!$B$62=Results!$T$63),Table6[[#This Row],[label refine mode]],Table6[[#This Row],[label normal mode]])</f>
        <v/>
      </c>
      <c r="Q469" s="1257" t="str">
        <f>IF(OR($A$10=$BG$15,Results!$B$62=Results!$T$63),Table6[[#This Row],[input refined mode]],Table6[[#This Row],[Input normal mode]])</f>
        <v/>
      </c>
      <c r="R469" s="1275" t="str">
        <f>IF(Table6[[#This Row],[Acute RA IESTI new input value]]="","",CONCATENATE(Table6[[#This Row],[label for IESTI new normal mode]],Table6[[#This Row],[label connector IESTI new normal mode]],Table6[[#This Row],[label refinements normal mode]]))</f>
        <v/>
      </c>
      <c r="S469" s="1259">
        <f>IF(OR($A$10=$BG$15,Results!$B$62=Results!$T$63),Table6[[#This Row],[Input for IESTI new refined mode]],Table6[[#This Row],[Input for IESTI new normal mode]])</f>
        <v>0</v>
      </c>
      <c r="T469" s="888"/>
      <c r="U469" s="1283">
        <f t="shared" si="280"/>
        <v>0</v>
      </c>
      <c r="V469" s="1284" t="str">
        <f t="shared" si="281"/>
        <v/>
      </c>
      <c r="W469" s="1285">
        <f>IF($H469&gt;0,$H469,IF(Table6[[#This Row],[CFrisk for residue definition (applicable for unprocessed products)]]&gt;0,Table6[[#This Row],[CFrisk for residue definition (applicable for unprocessed products)]],1))</f>
        <v>1</v>
      </c>
      <c r="X469" s="1285">
        <v>1</v>
      </c>
      <c r="Y469" s="1285">
        <f t="shared" si="282"/>
        <v>1</v>
      </c>
      <c r="Z469" s="1285">
        <f t="shared" si="283"/>
        <v>1</v>
      </c>
      <c r="AA469" s="1285" t="str">
        <f>IF(Table6[[#This Row],[Post-harvest treatment]]="","","Y")</f>
        <v/>
      </c>
      <c r="AB469" s="1285" t="str">
        <f>IF(AND(Table6[[#This Row],[CF used for for calculation]]&lt;&gt;1,Table6[[#This Row],[PF for calculation]]&lt;&gt;1),"CF*PF",IF(Table6[[#This Row],[CF used for for calculation]]&lt;&gt;1,"CF",IF(Table6[[#This Row],[PF for calculation]]&lt;&gt;1,"PF","")))</f>
        <v/>
      </c>
      <c r="AC469" s="1300">
        <f>IF(AND(Table6[[#This Row],[LOQ RAC individual crop]]="Y",Table6[[#This Row],[GAP under assessment]]="N"),Table6[[#This Row],[MRL RAC individual commodity]],Table6[[#This Row],[MRL RAC individual commodity]]*Table6[[#This Row],[CF*PF for calculation]])</f>
        <v>0</v>
      </c>
      <c r="AD469" s="1287">
        <f t="shared" si="284"/>
        <v>0</v>
      </c>
      <c r="AE469" s="1287">
        <f t="shared" si="285"/>
        <v>0</v>
      </c>
      <c r="AF469" s="1288">
        <f>Table6[[#This Row],[IESTI case]]</f>
        <v>1</v>
      </c>
      <c r="AG469"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69" s="1302" t="str">
        <f>IF(Table6[[#This Row],[Input value normal mode case 1, 2a/2b,Po]]&gt;0,
              IF(Table6[[#This Row],[Highest residue * CF*PF]]&gt;"","HR-RAC",
                             IF(Table6[[#This Row],[LOQ RAC individual crop]]="Y","LOQ","MRL")),"")</f>
        <v/>
      </c>
      <c r="AI469" s="1302" t="str">
        <f t="shared" si="286"/>
        <v/>
      </c>
      <c r="AJ469" s="1302" t="str">
        <f>IF(Table6[[#This Row],[Input value normal mode case 1, 2a/2b,Po]]&gt;0,IF(Table6[[#This Row],[label description]]&gt;"",Table6[[#This Row],[label description]],""),"")</f>
        <v/>
      </c>
      <c r="AK469" s="1302" t="str">
        <f>CONCATENATE(Table6[[#This Row],[label for IESTI normal mode case 1, 2a/2b,Po]],Table6[[#This Row],[label connector case  normal mode]],Table6[[#This Row],[label refinements normal mode case 1, 2a/2b,Po]])</f>
        <v/>
      </c>
      <c r="AL469" s="1287" t="str">
        <f>IF(AND(Table6[[#This Row],[Case for acute RA children / adults]]=3,Table6[[#This Row],[Post-harvest treatment]]=""),IF(AND(Table6[[#This Row],[LOQ RAC individual crop]]="Y",M468="N"),Table6[[#This Row],[MRL RAC individual commodity]],IF(Table6[[#This Row],[Median residue*CF*PF]]&gt;0,Table6[[#This Row],[Median residue*CF*PF]],IF(Table6[[#This Row],[MRL*CF*PF or LOQ (if not under assessment and LOQ)]]&gt;0,Table6[[#This Row],[MRL*CF*PF or LOQ (if not under assessment and LOQ)]],""))),"")</f>
        <v/>
      </c>
      <c r="AM469" s="1295" t="str">
        <f>IF(Table6[[#This Row],[input for case 3 normal mode]]&gt;0,IF(Table6[[#This Row],[Median residue*CF*PF]]&gt;0,"STMR-RAC",IF(AND($AC469&gt;0,NOT(V469="Y")),"MRL",IF($V469="Y","LOQ",""))),"")</f>
        <v/>
      </c>
      <c r="AN469" s="1295" t="str">
        <f t="shared" si="287"/>
        <v/>
      </c>
      <c r="AO469" s="1287" t="str">
        <f>IF(Table6[[#This Row],[input for case 3 normal mode]]="","",IF(AND(Table6[[#This Row],[label for case 3 calculation normal mode]]="LOQ",Table6[[#This Row],[GAP under assessment]]="N"),"",IF(Table6[[#This Row],[label description]]&gt;"",Table6[[#This Row],[label description]],"")))</f>
        <v/>
      </c>
      <c r="AP469" s="1287" t="str">
        <f>CONCATENATE(Table6[[#This Row],[label for case 3 calculation normal mode]],Table6[[#This Row],[label connector case 3 normal mode]],Table6[[#This Row],[label refinements case 3 normal mode]])</f>
        <v/>
      </c>
      <c r="AQ469" s="1287" t="str">
        <f>IF(Table6[[#This Row],[GAP under assessment]]="Y",Table6[[#This Row],[Input value normal mode case 1, 2a/2b,Po]],"")</f>
        <v/>
      </c>
      <c r="AR469" s="1287" t="str">
        <f>IF(Table6[[#This Row],[Input value refined mode case 1, 2a/2b,Po]]&gt;0,Table6[[#This Row],[concat label normal mode 1,2a/2b,Po ]],"")</f>
        <v/>
      </c>
      <c r="AS469" s="1303" t="str">
        <f>IF(Table6[[#This Row],[GAP under assessment]]="Y",Table6[[#This Row],[input for case 3 normal mode]],"")</f>
        <v/>
      </c>
      <c r="AT469" s="1287" t="str">
        <f>IF(Table6[[#This Row],[input for case 3 refined mode]]&gt;0,Table6[[#This Row],[concat label normal mode  case 3]],"")</f>
        <v/>
      </c>
      <c r="AU469" s="1295" t="str">
        <f>IF(Table6[[#This Row],[Input value normal mode case 1, 2a/2b,Po]]&gt;0,Table6[[#This Row],[Input value normal mode case 1, 2a/2b,Po]],Table6[[#This Row],[input for case 3 normal mode]])</f>
        <v/>
      </c>
      <c r="AV469" s="1295" t="str">
        <f>IF(Table6[[#This Row],[Input value normal mode case 1, 2a/2b,Po]]&gt;0,Table6[[#This Row],[concat label normal mode 1,2a/2b,Po ]],Table6[[#This Row],[concat label normal mode  case 3]])</f>
        <v/>
      </c>
      <c r="AW469" s="1295" t="str">
        <f>IF(Table6[[#This Row],[Input value refined mode case 1, 2a/2b,Po]]&gt;0,Table6[[#This Row],[Input value refined mode case 1, 2a/2b,Po]],Table6[[#This Row],[input for case 3 refined mode]])</f>
        <v/>
      </c>
      <c r="AX469" s="1295" t="str">
        <f>IF(Table6[[#This Row],[Input value refined mode case 1, 2a/2b,Po]]&gt;0,Table6[[#This Row],[concat label refined mode case 1,2a/2b,Po]],Table6[[#This Row],[label for case 3 calculation refined mode]])</f>
        <v/>
      </c>
      <c r="AY469" s="1287">
        <f t="shared" si="288"/>
        <v>0</v>
      </c>
      <c r="AZ469" s="1295" t="str">
        <f t="shared" si="289"/>
        <v/>
      </c>
      <c r="BA469" s="1295" t="str">
        <f t="shared" si="290"/>
        <v/>
      </c>
      <c r="BB469" s="1287" t="str">
        <f>IF(AND(Table6[[#This Row],[label for IESTI new normal mode]]="LOQ",Table6[[#This Row],[GAP under assessment]]="N"),"",IF(AND($H469&gt;0,$Y469&lt;&gt;1),"CF*PF",IF($H469&gt;0,"CF",IF($Y469&lt;&gt;1,"PF",""))))</f>
        <v/>
      </c>
      <c r="BC469" s="1296"/>
      <c r="BD469" s="1297"/>
      <c r="BE469" s="1304" t="str">
        <f>IF(Table6[[#This Row],[GAP under assessment]]="Y",Table6[[#This Row],[MRL*CF*PF or LOQ (if not under assessment and LOQ)]],"")</f>
        <v/>
      </c>
      <c r="BF469" s="1305" t="str">
        <f>IF(Table6[[#This Row],[Input for IESTI new refined mode]]&lt;&gt;"",CONCATENATE("MRL",Table6[[#This Row],[label connector case 3 normal mode]],Table6[[#This Row],[label refinements case 3 normal mode]]),"")</f>
        <v/>
      </c>
      <c r="BG469" s="1298" t="s">
        <v>550</v>
      </c>
      <c r="BH469" s="1306"/>
    </row>
    <row r="470" spans="1:60" s="11" customFormat="1" ht="12.75" customHeight="1" x14ac:dyDescent="0.2">
      <c r="A470" s="479" t="s">
        <v>551</v>
      </c>
      <c r="B470" s="480">
        <v>242020</v>
      </c>
      <c r="C470" s="547" t="s">
        <v>829</v>
      </c>
      <c r="D470" s="1261">
        <f>VLOOKUP(Table6[[#This Row],[Code no.]],$B$12:$D$390,3,FALSE)</f>
        <v>0</v>
      </c>
      <c r="E470" s="1264">
        <f t="shared" si="275"/>
        <v>0</v>
      </c>
      <c r="F470" s="1262" t="str">
        <f t="shared" si="272"/>
        <v/>
      </c>
      <c r="G470" s="1265">
        <f t="shared" si="276"/>
        <v>1</v>
      </c>
      <c r="H470" s="881"/>
      <c r="I470" s="880"/>
      <c r="J470" s="1269">
        <f t="shared" si="277"/>
        <v>0</v>
      </c>
      <c r="K470" s="1269">
        <f t="shared" si="278"/>
        <v>0</v>
      </c>
      <c r="L470" s="1276" t="str">
        <f>IF(VLOOKUP($B470,$B$12:$AY$390,$K$2,FALSE)&gt;"",VLOOKUP($B470,$B$12:$AY$390,$K$2,FALSE),"")</f>
        <v/>
      </c>
      <c r="M470" s="1271" t="str">
        <f t="shared" si="279"/>
        <v/>
      </c>
      <c r="N470" s="1272"/>
      <c r="O470" s="1273" t="s">
        <v>654</v>
      </c>
      <c r="P470" s="1273" t="str">
        <f>IF(OR($A$10=$BG$15,Results!$B$62=Results!$T$63),Table6[[#This Row],[label refine mode]],Table6[[#This Row],[label normal mode]])</f>
        <v/>
      </c>
      <c r="Q470" s="1257" t="str">
        <f>IF(OR($A$10=$BG$15,Results!$B$62=Results!$T$63),Table6[[#This Row],[input refined mode]],Table6[[#This Row],[Input normal mode]])</f>
        <v/>
      </c>
      <c r="R470" s="1275" t="str">
        <f>IF(Table6[[#This Row],[Acute RA IESTI new input value]]="","",CONCATENATE(Table6[[#This Row],[label for IESTI new normal mode]],Table6[[#This Row],[label connector IESTI new normal mode]],Table6[[#This Row],[label refinements normal mode]]))</f>
        <v/>
      </c>
      <c r="S470" s="1259">
        <f>IF(OR($A$10=$BG$15,Results!$B$62=Results!$T$63),Table6[[#This Row],[Input for IESTI new refined mode]],Table6[[#This Row],[Input for IESTI new normal mode]])</f>
        <v>0</v>
      </c>
      <c r="T470" s="888"/>
      <c r="U470" s="1283">
        <f t="shared" si="280"/>
        <v>0</v>
      </c>
      <c r="V470" s="1284" t="str">
        <f t="shared" si="281"/>
        <v/>
      </c>
      <c r="W470" s="1285">
        <f>IF($H470&gt;0,$H470,IF(Table6[[#This Row],[CFrisk for residue definition (applicable for unprocessed products)]]&gt;0,Table6[[#This Row],[CFrisk for residue definition (applicable for unprocessed products)]],1))</f>
        <v>1</v>
      </c>
      <c r="X470" s="1285">
        <v>1</v>
      </c>
      <c r="Y470" s="1285">
        <f t="shared" si="282"/>
        <v>1</v>
      </c>
      <c r="Z470" s="1285">
        <f t="shared" si="283"/>
        <v>1</v>
      </c>
      <c r="AA470" s="1285" t="str">
        <f>IF(Table6[[#This Row],[Post-harvest treatment]]="","","Y")</f>
        <v/>
      </c>
      <c r="AB470" s="1285" t="str">
        <f>IF(AND(Table6[[#This Row],[CF used for for calculation]]&lt;&gt;1,Table6[[#This Row],[PF for calculation]]&lt;&gt;1),"CF*PF",IF(Table6[[#This Row],[CF used for for calculation]]&lt;&gt;1,"CF",IF(Table6[[#This Row],[PF for calculation]]&lt;&gt;1,"PF","")))</f>
        <v/>
      </c>
      <c r="AC470" s="1300">
        <f>IF(AND(Table6[[#This Row],[LOQ RAC individual crop]]="Y",Table6[[#This Row],[GAP under assessment]]="N"),Table6[[#This Row],[MRL RAC individual commodity]],Table6[[#This Row],[MRL RAC individual commodity]]*Table6[[#This Row],[CF*PF for calculation]])</f>
        <v>0</v>
      </c>
      <c r="AD470" s="1287">
        <f t="shared" si="284"/>
        <v>0</v>
      </c>
      <c r="AE470" s="1287">
        <f t="shared" si="285"/>
        <v>0</v>
      </c>
      <c r="AF470" s="1307" t="str">
        <f>Table6[[#This Row],[IESTI case]]</f>
        <v>2a/2b</v>
      </c>
      <c r="AG470"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70" s="1302" t="str">
        <f>IF(Table6[[#This Row],[Input value normal mode case 1, 2a/2b,Po]]&gt;0,
              IF(Table6[[#This Row],[Highest residue * CF*PF]]&gt;"","HR-RAC",
                             IF(Table6[[#This Row],[LOQ RAC individual crop]]="Y","LOQ","MRL")),"")</f>
        <v/>
      </c>
      <c r="AI470" s="1302" t="str">
        <f t="shared" si="286"/>
        <v/>
      </c>
      <c r="AJ470" s="1302" t="str">
        <f>IF(Table6[[#This Row],[Input value normal mode case 1, 2a/2b,Po]]&gt;0,IF(Table6[[#This Row],[label description]]&gt;"",Table6[[#This Row],[label description]],""),"")</f>
        <v/>
      </c>
      <c r="AK470" s="1302" t="str">
        <f>CONCATENATE(Table6[[#This Row],[label for IESTI normal mode case 1, 2a/2b,Po]],Table6[[#This Row],[label connector case  normal mode]],Table6[[#This Row],[label refinements normal mode case 1, 2a/2b,Po]])</f>
        <v/>
      </c>
      <c r="AL470" s="1287" t="str">
        <f>IF(AND(Table6[[#This Row],[Case for acute RA children / adults]]=3,Table6[[#This Row],[Post-harvest treatment]]=""),IF(AND(Table6[[#This Row],[LOQ RAC individual crop]]="Y",M469="N"),Table6[[#This Row],[MRL RAC individual commodity]],IF(Table6[[#This Row],[Median residue*CF*PF]]&gt;0,Table6[[#This Row],[Median residue*CF*PF]],IF(Table6[[#This Row],[MRL*CF*PF or LOQ (if not under assessment and LOQ)]]&gt;0,Table6[[#This Row],[MRL*CF*PF or LOQ (if not under assessment and LOQ)]],""))),"")</f>
        <v/>
      </c>
      <c r="AM470" s="1295" t="str">
        <f>IF(Table6[[#This Row],[input for case 3 normal mode]]&gt;0,IF(Table6[[#This Row],[Median residue*CF*PF]]&gt;0,"STMR-RAC",IF(AND($AC470&gt;0,NOT(V470="Y")),"MRL",IF($V470="Y","LOQ",""))),"")</f>
        <v/>
      </c>
      <c r="AN470" s="1295" t="str">
        <f t="shared" si="287"/>
        <v/>
      </c>
      <c r="AO470" s="1287" t="str">
        <f>IF(Table6[[#This Row],[input for case 3 normal mode]]="","",IF(AND(Table6[[#This Row],[label for case 3 calculation normal mode]]="LOQ",Table6[[#This Row],[GAP under assessment]]="N"),"",IF(Table6[[#This Row],[label description]]&gt;"",Table6[[#This Row],[label description]],"")))</f>
        <v/>
      </c>
      <c r="AP470" s="1287" t="str">
        <f>CONCATENATE(Table6[[#This Row],[label for case 3 calculation normal mode]],Table6[[#This Row],[label connector case 3 normal mode]],Table6[[#This Row],[label refinements case 3 normal mode]])</f>
        <v/>
      </c>
      <c r="AQ470" s="1287" t="str">
        <f>IF(Table6[[#This Row],[GAP under assessment]]="Y",Table6[[#This Row],[Input value normal mode case 1, 2a/2b,Po]],"")</f>
        <v/>
      </c>
      <c r="AR470" s="1287" t="str">
        <f>IF(Table6[[#This Row],[Input value refined mode case 1, 2a/2b,Po]]&gt;0,Table6[[#This Row],[concat label normal mode 1,2a/2b,Po ]],"")</f>
        <v/>
      </c>
      <c r="AS470" s="1303" t="str">
        <f>IF(Table6[[#This Row],[GAP under assessment]]="Y",Table6[[#This Row],[input for case 3 normal mode]],"")</f>
        <v/>
      </c>
      <c r="AT470" s="1287" t="str">
        <f>IF(Table6[[#This Row],[input for case 3 refined mode]]&gt;0,Table6[[#This Row],[concat label normal mode  case 3]],"")</f>
        <v/>
      </c>
      <c r="AU470" s="1295" t="str">
        <f>IF(Table6[[#This Row],[Input value normal mode case 1, 2a/2b,Po]]&gt;0,Table6[[#This Row],[Input value normal mode case 1, 2a/2b,Po]],Table6[[#This Row],[input for case 3 normal mode]])</f>
        <v/>
      </c>
      <c r="AV470" s="1295" t="str">
        <f>IF(Table6[[#This Row],[Input value normal mode case 1, 2a/2b,Po]]&gt;0,Table6[[#This Row],[concat label normal mode 1,2a/2b,Po ]],Table6[[#This Row],[concat label normal mode  case 3]])</f>
        <v/>
      </c>
      <c r="AW470" s="1295" t="str">
        <f>IF(Table6[[#This Row],[Input value refined mode case 1, 2a/2b,Po]]&gt;0,Table6[[#This Row],[Input value refined mode case 1, 2a/2b,Po]],Table6[[#This Row],[input for case 3 refined mode]])</f>
        <v/>
      </c>
      <c r="AX470" s="1295" t="str">
        <f>IF(Table6[[#This Row],[Input value refined mode case 1, 2a/2b,Po]]&gt;0,Table6[[#This Row],[concat label refined mode case 1,2a/2b,Po]],Table6[[#This Row],[label for case 3 calculation refined mode]])</f>
        <v/>
      </c>
      <c r="AY470" s="1287">
        <f t="shared" si="288"/>
        <v>0</v>
      </c>
      <c r="AZ470" s="1295" t="str">
        <f t="shared" si="289"/>
        <v/>
      </c>
      <c r="BA470" s="1295" t="str">
        <f t="shared" si="290"/>
        <v/>
      </c>
      <c r="BB470" s="1287" t="str">
        <f>IF(AND(Table6[[#This Row],[label for IESTI new normal mode]]="LOQ",Table6[[#This Row],[GAP under assessment]]="N"),"",IF(AND($H470&gt;0,$Y470&lt;&gt;1),"CF*PF",IF($H470&gt;0,"CF",IF($Y470&lt;&gt;1,"PF",""))))</f>
        <v/>
      </c>
      <c r="BC470" s="1296"/>
      <c r="BD470" s="1297"/>
      <c r="BE470" s="1304" t="str">
        <f>IF(Table6[[#This Row],[GAP under assessment]]="Y",Table6[[#This Row],[MRL*CF*PF or LOQ (if not under assessment and LOQ)]],"")</f>
        <v/>
      </c>
      <c r="BF470" s="1305" t="str">
        <f>IF(Table6[[#This Row],[Input for IESTI new refined mode]]&lt;&gt;"",CONCATENATE("MRL",Table6[[#This Row],[label connector case 3 normal mode]],Table6[[#This Row],[label refinements case 3 normal mode]]),"")</f>
        <v/>
      </c>
      <c r="BG470" s="1298" t="s">
        <v>551</v>
      </c>
      <c r="BH470" s="1306"/>
    </row>
    <row r="471" spans="1:60" s="11" customFormat="1" ht="12.75" customHeight="1" x14ac:dyDescent="0.2">
      <c r="A471" s="479" t="s">
        <v>518</v>
      </c>
      <c r="B471" s="480">
        <v>242020</v>
      </c>
      <c r="C471" s="547" t="s">
        <v>830</v>
      </c>
      <c r="D471" s="1261">
        <f>VLOOKUP(Table6[[#This Row],[Code no.]],$B$12:$D$390,3,FALSE)</f>
        <v>0</v>
      </c>
      <c r="E471" s="1264">
        <f t="shared" si="275"/>
        <v>0</v>
      </c>
      <c r="F471" s="1262" t="str">
        <f t="shared" si="272"/>
        <v/>
      </c>
      <c r="G471" s="1265">
        <f t="shared" si="276"/>
        <v>1</v>
      </c>
      <c r="H471" s="881"/>
      <c r="I471" s="880"/>
      <c r="J471" s="1269">
        <f t="shared" si="277"/>
        <v>0</v>
      </c>
      <c r="K471" s="1269">
        <f t="shared" si="278"/>
        <v>0</v>
      </c>
      <c r="L471" s="1270"/>
      <c r="M471" s="1271" t="str">
        <f t="shared" si="279"/>
        <v/>
      </c>
      <c r="N471" s="1272"/>
      <c r="O471" s="1273">
        <v>3</v>
      </c>
      <c r="P471" s="1273" t="str">
        <f>IF(OR($A$10=$BG$15,Results!$B$62=Results!$T$63),Table6[[#This Row],[label refine mode]],Table6[[#This Row],[label normal mode]])</f>
        <v/>
      </c>
      <c r="Q471" s="1257" t="str">
        <f>IF(OR($A$10=$BG$15,Results!$B$62=Results!$T$63),Table6[[#This Row],[input refined mode]],Table6[[#This Row],[Input normal mode]])</f>
        <v/>
      </c>
      <c r="R471" s="1275" t="str">
        <f>IF(Table6[[#This Row],[Acute RA IESTI new input value]]="","",CONCATENATE(Table6[[#This Row],[label for IESTI new normal mode]],Table6[[#This Row],[label connector IESTI new normal mode]],Table6[[#This Row],[label refinements normal mode]]))</f>
        <v/>
      </c>
      <c r="S471" s="1259">
        <f>IF(OR($A$10=$BG$15,Results!$B$62=Results!$T$63),Table6[[#This Row],[Input for IESTI new refined mode]],Table6[[#This Row],[Input for IESTI new normal mode]])</f>
        <v>0</v>
      </c>
      <c r="T471" s="888"/>
      <c r="U471" s="1283">
        <f t="shared" si="280"/>
        <v>0</v>
      </c>
      <c r="V471" s="1284" t="str">
        <f t="shared" si="281"/>
        <v/>
      </c>
      <c r="W471" s="1285">
        <f>IF($H471&gt;0,$H471,IF(Table6[[#This Row],[CFrisk for residue definition (applicable for unprocessed products)]]&gt;0,Table6[[#This Row],[CFrisk for residue definition (applicable for unprocessed products)]],1))</f>
        <v>1</v>
      </c>
      <c r="X471" s="1285">
        <v>1</v>
      </c>
      <c r="Y471" s="1285">
        <f t="shared" si="282"/>
        <v>1</v>
      </c>
      <c r="Z471" s="1285">
        <f t="shared" si="283"/>
        <v>1</v>
      </c>
      <c r="AA471" s="1285" t="str">
        <f>IF(Table6[[#This Row],[Post-harvest treatment]]="","","Y")</f>
        <v/>
      </c>
      <c r="AB471" s="1285" t="str">
        <f>IF(AND(Table6[[#This Row],[CF used for for calculation]]&lt;&gt;1,Table6[[#This Row],[PF for calculation]]&lt;&gt;1),"CF*PF",IF(Table6[[#This Row],[CF used for for calculation]]&lt;&gt;1,"CF",IF(Table6[[#This Row],[PF for calculation]]&lt;&gt;1,"PF","")))</f>
        <v/>
      </c>
      <c r="AC471" s="1300">
        <f>IF(AND(Table6[[#This Row],[LOQ RAC individual crop]]="Y",Table6[[#This Row],[GAP under assessment]]="N"),Table6[[#This Row],[MRL RAC individual commodity]],Table6[[#This Row],[MRL RAC individual commodity]]*Table6[[#This Row],[CF*PF for calculation]])</f>
        <v>0</v>
      </c>
      <c r="AD471" s="1287">
        <f t="shared" si="284"/>
        <v>0</v>
      </c>
      <c r="AE471" s="1287">
        <f t="shared" si="285"/>
        <v>0</v>
      </c>
      <c r="AF471" s="1288">
        <f>Table6[[#This Row],[IESTI case]]</f>
        <v>3</v>
      </c>
      <c r="AG471"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71" s="1302" t="str">
        <f>IF(Table6[[#This Row],[Input value normal mode case 1, 2a/2b,Po]]&gt;0,
              IF(Table6[[#This Row],[Highest residue * CF*PF]]&gt;"","HR-RAC",
                             IF(Table6[[#This Row],[LOQ RAC individual crop]]="Y","LOQ","MRL")),"")</f>
        <v/>
      </c>
      <c r="AI471" s="1302" t="str">
        <f t="shared" si="286"/>
        <v/>
      </c>
      <c r="AJ471" s="1302" t="str">
        <f>IF(Table6[[#This Row],[Input value normal mode case 1, 2a/2b,Po]]&gt;0,IF(Table6[[#This Row],[label description]]&gt;"",Table6[[#This Row],[label description]],""),"")</f>
        <v/>
      </c>
      <c r="AK471" s="1302" t="str">
        <f>CONCATENATE(Table6[[#This Row],[label for IESTI normal mode case 1, 2a/2b,Po]],Table6[[#This Row],[label connector case  normal mode]],Table6[[#This Row],[label refinements normal mode case 1, 2a/2b,Po]])</f>
        <v/>
      </c>
      <c r="AL471" s="1287" t="str">
        <f>IF(AND(Table6[[#This Row],[Case for acute RA children / adults]]=3,Table6[[#This Row],[Post-harvest treatment]]=""),IF(AND(Table6[[#This Row],[LOQ RAC individual crop]]="Y",M470="N"),Table6[[#This Row],[MRL RAC individual commodity]],IF(Table6[[#This Row],[Median residue*CF*PF]]&gt;0,Table6[[#This Row],[Median residue*CF*PF]],IF(Table6[[#This Row],[MRL*CF*PF or LOQ (if not under assessment and LOQ)]]&gt;0,Table6[[#This Row],[MRL*CF*PF or LOQ (if not under assessment and LOQ)]],""))),"")</f>
        <v/>
      </c>
      <c r="AM471" s="1295" t="str">
        <f>IF(Table6[[#This Row],[input for case 3 normal mode]]&gt;0,IF(Table6[[#This Row],[Median residue*CF*PF]]&gt;0,"STMR-RAC",IF(AND($AC471&gt;0,NOT(V471="Y")),"MRL",IF($V471="Y","LOQ",""))),"")</f>
        <v/>
      </c>
      <c r="AN471" s="1295" t="str">
        <f t="shared" si="287"/>
        <v/>
      </c>
      <c r="AO471" s="1287" t="str">
        <f>IF(Table6[[#This Row],[input for case 3 normal mode]]="","",IF(AND(Table6[[#This Row],[label for case 3 calculation normal mode]]="LOQ",Table6[[#This Row],[GAP under assessment]]="N"),"",IF(Table6[[#This Row],[label description]]&gt;"",Table6[[#This Row],[label description]],"")))</f>
        <v/>
      </c>
      <c r="AP471" s="1287" t="str">
        <f>CONCATENATE(Table6[[#This Row],[label for case 3 calculation normal mode]],Table6[[#This Row],[label connector case 3 normal mode]],Table6[[#This Row],[label refinements case 3 normal mode]])</f>
        <v/>
      </c>
      <c r="AQ471" s="1287" t="str">
        <f>IF(Table6[[#This Row],[GAP under assessment]]="Y",Table6[[#This Row],[Input value normal mode case 1, 2a/2b,Po]],"")</f>
        <v/>
      </c>
      <c r="AR471" s="1287" t="str">
        <f>IF(Table6[[#This Row],[Input value refined mode case 1, 2a/2b,Po]]&gt;0,Table6[[#This Row],[concat label normal mode 1,2a/2b,Po ]],"")</f>
        <v/>
      </c>
      <c r="AS471" s="1303" t="str">
        <f>IF(Table6[[#This Row],[GAP under assessment]]="Y",Table6[[#This Row],[input for case 3 normal mode]],"")</f>
        <v/>
      </c>
      <c r="AT471" s="1287" t="str">
        <f>IF(Table6[[#This Row],[input for case 3 refined mode]]&gt;0,Table6[[#This Row],[concat label normal mode  case 3]],"")</f>
        <v/>
      </c>
      <c r="AU471" s="1295" t="str">
        <f>IF(Table6[[#This Row],[Input value normal mode case 1, 2a/2b,Po]]&gt;0,Table6[[#This Row],[Input value normal mode case 1, 2a/2b,Po]],Table6[[#This Row],[input for case 3 normal mode]])</f>
        <v/>
      </c>
      <c r="AV471" s="1295" t="str">
        <f>IF(Table6[[#This Row],[Input value normal mode case 1, 2a/2b,Po]]&gt;0,Table6[[#This Row],[concat label normal mode 1,2a/2b,Po ]],Table6[[#This Row],[concat label normal mode  case 3]])</f>
        <v/>
      </c>
      <c r="AW471" s="1295" t="str">
        <f>IF(Table6[[#This Row],[Input value refined mode case 1, 2a/2b,Po]]&gt;0,Table6[[#This Row],[Input value refined mode case 1, 2a/2b,Po]],Table6[[#This Row],[input for case 3 refined mode]])</f>
        <v/>
      </c>
      <c r="AX471" s="1295" t="str">
        <f>IF(Table6[[#This Row],[Input value refined mode case 1, 2a/2b,Po]]&gt;0,Table6[[#This Row],[concat label refined mode case 1,2a/2b,Po]],Table6[[#This Row],[label for case 3 calculation refined mode]])</f>
        <v/>
      </c>
      <c r="AY471" s="1287">
        <f t="shared" si="288"/>
        <v>0</v>
      </c>
      <c r="AZ471" s="1295" t="str">
        <f t="shared" si="289"/>
        <v/>
      </c>
      <c r="BA471" s="1295" t="str">
        <f t="shared" si="290"/>
        <v/>
      </c>
      <c r="BB471" s="1287" t="str">
        <f>IF(AND(Table6[[#This Row],[label for IESTI new normal mode]]="LOQ",Table6[[#This Row],[GAP under assessment]]="N"),"",IF(AND($H471&gt;0,$Y471&lt;&gt;1),"CF*PF",IF($H471&gt;0,"CF",IF($Y471&lt;&gt;1,"PF",""))))</f>
        <v/>
      </c>
      <c r="BC471" s="1296" t="s">
        <v>369</v>
      </c>
      <c r="BD471" s="1297"/>
      <c r="BE471" s="1304" t="str">
        <f>IF(Table6[[#This Row],[GAP under assessment]]="Y",Table6[[#This Row],[MRL*CF*PF or LOQ (if not under assessment and LOQ)]],"")</f>
        <v/>
      </c>
      <c r="BF471" s="1305" t="str">
        <f>IF(Table6[[#This Row],[Input for IESTI new refined mode]]&lt;&gt;"",CONCATENATE("MRL",Table6[[#This Row],[label connector case 3 normal mode]],Table6[[#This Row],[label refinements case 3 normal mode]]),"")</f>
        <v/>
      </c>
      <c r="BG471" s="1298" t="s">
        <v>518</v>
      </c>
      <c r="BH471" s="1306"/>
    </row>
    <row r="472" spans="1:60" s="11" customFormat="1" ht="12.75" customHeight="1" x14ac:dyDescent="0.2">
      <c r="A472" s="479" t="s">
        <v>596</v>
      </c>
      <c r="B472" s="480">
        <v>243020</v>
      </c>
      <c r="C472" s="547" t="s">
        <v>1147</v>
      </c>
      <c r="D472" s="1261">
        <f>VLOOKUP(Table6[[#This Row],[Code no.]],$B$12:$D$390,3,FALSE)</f>
        <v>0</v>
      </c>
      <c r="E472" s="1264">
        <f t="shared" si="275"/>
        <v>0</v>
      </c>
      <c r="F472" s="1262" t="str">
        <f t="shared" si="272"/>
        <v/>
      </c>
      <c r="G472" s="1265">
        <f t="shared" si="276"/>
        <v>1</v>
      </c>
      <c r="H472" s="881"/>
      <c r="I472" s="880"/>
      <c r="J472" s="1269">
        <f t="shared" si="277"/>
        <v>0</v>
      </c>
      <c r="K472" s="1269">
        <f t="shared" si="278"/>
        <v>0</v>
      </c>
      <c r="L472" s="1276" t="str">
        <f>IF(VLOOKUP($B472,$B$12:$AY$390,$K$2,FALSE)&gt;"",VLOOKUP($B472,$B$12:$AY$390,$K$2,FALSE),"")</f>
        <v/>
      </c>
      <c r="M472" s="1271" t="str">
        <f t="shared" si="279"/>
        <v/>
      </c>
      <c r="N472" s="1272"/>
      <c r="O472" s="1273" t="s">
        <v>654</v>
      </c>
      <c r="P472" s="1273" t="str">
        <f>IF(OR($A$10=$BG$15,Results!$B$62=Results!$T$63),Table6[[#This Row],[label refine mode]],Table6[[#This Row],[label normal mode]])</f>
        <v/>
      </c>
      <c r="Q472" s="1257" t="str">
        <f>IF(OR($A$10=$BG$15,Results!$B$62=Results!$T$63),Table6[[#This Row],[input refined mode]],Table6[[#This Row],[Input normal mode]])</f>
        <v/>
      </c>
      <c r="R472" s="1275" t="str">
        <f>IF(Table6[[#This Row],[Acute RA IESTI new input value]]="","",CONCATENATE(Table6[[#This Row],[label for IESTI new normal mode]],Table6[[#This Row],[label connector IESTI new normal mode]],Table6[[#This Row],[label refinements normal mode]]))</f>
        <v/>
      </c>
      <c r="S472" s="1259">
        <f>IF(OR($A$10=$BG$15,Results!$B$62=Results!$T$63),Table6[[#This Row],[Input for IESTI new refined mode]],Table6[[#This Row],[Input for IESTI new normal mode]])</f>
        <v>0</v>
      </c>
      <c r="T472" s="888"/>
      <c r="U472" s="1283">
        <f t="shared" si="280"/>
        <v>0</v>
      </c>
      <c r="V472" s="1284" t="str">
        <f t="shared" si="281"/>
        <v/>
      </c>
      <c r="W472" s="1285">
        <f>IF($H472&gt;0,$H472,IF(Table6[[#This Row],[CFrisk for residue definition (applicable for unprocessed products)]]&gt;0,Table6[[#This Row],[CFrisk for residue definition (applicable for unprocessed products)]],1))</f>
        <v>1</v>
      </c>
      <c r="X472" s="1285">
        <v>1</v>
      </c>
      <c r="Y472" s="1285">
        <f t="shared" si="282"/>
        <v>1</v>
      </c>
      <c r="Z472" s="1285">
        <f t="shared" si="283"/>
        <v>1</v>
      </c>
      <c r="AA472" s="1285" t="str">
        <f>IF(Table6[[#This Row],[Post-harvest treatment]]="","","Y")</f>
        <v/>
      </c>
      <c r="AB472" s="1285" t="str">
        <f>IF(AND(Table6[[#This Row],[CF used for for calculation]]&lt;&gt;1,Table6[[#This Row],[PF for calculation]]&lt;&gt;1),"CF*PF",IF(Table6[[#This Row],[CF used for for calculation]]&lt;&gt;1,"CF",IF(Table6[[#This Row],[PF for calculation]]&lt;&gt;1,"PF","")))</f>
        <v/>
      </c>
      <c r="AC472" s="1300">
        <f>IF(AND(Table6[[#This Row],[LOQ RAC individual crop]]="Y",Table6[[#This Row],[GAP under assessment]]="N"),Table6[[#This Row],[MRL RAC individual commodity]],Table6[[#This Row],[MRL RAC individual commodity]]*Table6[[#This Row],[CF*PF for calculation]])</f>
        <v>0</v>
      </c>
      <c r="AD472" s="1287">
        <f t="shared" si="284"/>
        <v>0</v>
      </c>
      <c r="AE472" s="1287">
        <f t="shared" si="285"/>
        <v>0</v>
      </c>
      <c r="AF472" s="1307" t="str">
        <f>Table6[[#This Row],[IESTI case]]</f>
        <v>2a/2b</v>
      </c>
      <c r="AG472"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72" s="1302" t="str">
        <f>IF(Table6[[#This Row],[Input value normal mode case 1, 2a/2b,Po]]&gt;0,
              IF(Table6[[#This Row],[Highest residue * CF*PF]]&gt;"","HR-RAC",
                             IF(Table6[[#This Row],[LOQ RAC individual crop]]="Y","LOQ","MRL")),"")</f>
        <v/>
      </c>
      <c r="AI472" s="1302" t="str">
        <f t="shared" si="286"/>
        <v/>
      </c>
      <c r="AJ472" s="1302" t="str">
        <f>IF(Table6[[#This Row],[Input value normal mode case 1, 2a/2b,Po]]&gt;0,IF(Table6[[#This Row],[label description]]&gt;"",Table6[[#This Row],[label description]],""),"")</f>
        <v/>
      </c>
      <c r="AK472" s="1302" t="str">
        <f>CONCATENATE(Table6[[#This Row],[label for IESTI normal mode case 1, 2a/2b,Po]],Table6[[#This Row],[label connector case  normal mode]],Table6[[#This Row],[label refinements normal mode case 1, 2a/2b,Po]])</f>
        <v/>
      </c>
      <c r="AL472" s="1287" t="str">
        <f>IF(AND(Table6[[#This Row],[Case for acute RA children / adults]]=3,Table6[[#This Row],[Post-harvest treatment]]=""),IF(AND(Table6[[#This Row],[LOQ RAC individual crop]]="Y",M471="N"),Table6[[#This Row],[MRL RAC individual commodity]],IF(Table6[[#This Row],[Median residue*CF*PF]]&gt;0,Table6[[#This Row],[Median residue*CF*PF]],IF(Table6[[#This Row],[MRL*CF*PF or LOQ (if not under assessment and LOQ)]]&gt;0,Table6[[#This Row],[MRL*CF*PF or LOQ (if not under assessment and LOQ)]],""))),"")</f>
        <v/>
      </c>
      <c r="AM472" s="1295" t="str">
        <f>IF(Table6[[#This Row],[input for case 3 normal mode]]&gt;0,IF(Table6[[#This Row],[Median residue*CF*PF]]&gt;0,"STMR-RAC",IF(AND($AC472&gt;0,NOT(V472="Y")),"MRL",IF($V472="Y","LOQ",""))),"")</f>
        <v/>
      </c>
      <c r="AN472" s="1295" t="str">
        <f t="shared" si="287"/>
        <v/>
      </c>
      <c r="AO472" s="1287" t="str">
        <f>IF(Table6[[#This Row],[input for case 3 normal mode]]="","",IF(AND(Table6[[#This Row],[label for case 3 calculation normal mode]]="LOQ",Table6[[#This Row],[GAP under assessment]]="N"),"",IF(Table6[[#This Row],[label description]]&gt;"",Table6[[#This Row],[label description]],"")))</f>
        <v/>
      </c>
      <c r="AP472" s="1287" t="str">
        <f>CONCATENATE(Table6[[#This Row],[label for case 3 calculation normal mode]],Table6[[#This Row],[label connector case 3 normal mode]],Table6[[#This Row],[label refinements case 3 normal mode]])</f>
        <v/>
      </c>
      <c r="AQ472" s="1287" t="str">
        <f>IF(Table6[[#This Row],[GAP under assessment]]="Y",Table6[[#This Row],[Input value normal mode case 1, 2a/2b,Po]],"")</f>
        <v/>
      </c>
      <c r="AR472" s="1287" t="str">
        <f>IF(Table6[[#This Row],[Input value refined mode case 1, 2a/2b,Po]]&gt;0,Table6[[#This Row],[concat label normal mode 1,2a/2b,Po ]],"")</f>
        <v/>
      </c>
      <c r="AS472" s="1303" t="str">
        <f>IF(Table6[[#This Row],[GAP under assessment]]="Y",Table6[[#This Row],[input for case 3 normal mode]],"")</f>
        <v/>
      </c>
      <c r="AT472" s="1287" t="str">
        <f>IF(Table6[[#This Row],[input for case 3 refined mode]]&gt;0,Table6[[#This Row],[concat label normal mode  case 3]],"")</f>
        <v/>
      </c>
      <c r="AU472" s="1295" t="str">
        <f>IF(Table6[[#This Row],[Input value normal mode case 1, 2a/2b,Po]]&gt;0,Table6[[#This Row],[Input value normal mode case 1, 2a/2b,Po]],Table6[[#This Row],[input for case 3 normal mode]])</f>
        <v/>
      </c>
      <c r="AV472" s="1295" t="str">
        <f>IF(Table6[[#This Row],[Input value normal mode case 1, 2a/2b,Po]]&gt;0,Table6[[#This Row],[concat label normal mode 1,2a/2b,Po ]],Table6[[#This Row],[concat label normal mode  case 3]])</f>
        <v/>
      </c>
      <c r="AW472" s="1295" t="str">
        <f>IF(Table6[[#This Row],[Input value refined mode case 1, 2a/2b,Po]]&gt;0,Table6[[#This Row],[Input value refined mode case 1, 2a/2b,Po]],Table6[[#This Row],[input for case 3 refined mode]])</f>
        <v/>
      </c>
      <c r="AX472" s="1295" t="str">
        <f>IF(Table6[[#This Row],[Input value refined mode case 1, 2a/2b,Po]]&gt;0,Table6[[#This Row],[concat label refined mode case 1,2a/2b,Po]],Table6[[#This Row],[label for case 3 calculation refined mode]])</f>
        <v/>
      </c>
      <c r="AY472" s="1287">
        <f t="shared" si="288"/>
        <v>0</v>
      </c>
      <c r="AZ472" s="1295" t="str">
        <f t="shared" si="289"/>
        <v/>
      </c>
      <c r="BA472" s="1295" t="str">
        <f t="shared" si="290"/>
        <v/>
      </c>
      <c r="BB472" s="1287" t="str">
        <f>IF(AND(Table6[[#This Row],[label for IESTI new normal mode]]="LOQ",Table6[[#This Row],[GAP under assessment]]="N"),"",IF(AND($H472&gt;0,$Y472&lt;&gt;1),"CF*PF",IF($H472&gt;0,"CF",IF($Y472&lt;&gt;1,"PF",""))))</f>
        <v/>
      </c>
      <c r="BC472" s="1296"/>
      <c r="BD472" s="1297"/>
      <c r="BE472" s="1304" t="str">
        <f>IF(Table6[[#This Row],[GAP under assessment]]="Y",Table6[[#This Row],[MRL*CF*PF or LOQ (if not under assessment and LOQ)]],"")</f>
        <v/>
      </c>
      <c r="BF472" s="1305" t="str">
        <f>IF(Table6[[#This Row],[Input for IESTI new refined mode]]&lt;&gt;"",CONCATENATE("MRL",Table6[[#This Row],[label connector case 3 normal mode]],Table6[[#This Row],[label refinements case 3 normal mode]]),"")</f>
        <v/>
      </c>
      <c r="BG472" s="1298" t="s">
        <v>596</v>
      </c>
      <c r="BH472" s="1306"/>
    </row>
    <row r="473" spans="1:60" s="11" customFormat="1" ht="12.75" customHeight="1" x14ac:dyDescent="0.2">
      <c r="A473" s="479" t="s">
        <v>552</v>
      </c>
      <c r="B473" s="480">
        <v>244000</v>
      </c>
      <c r="C473" s="547" t="s">
        <v>831</v>
      </c>
      <c r="D473" s="1261">
        <f>VLOOKUP(Table6[[#This Row],[Code no.]],$B$12:$D$390,3,FALSE)</f>
        <v>0</v>
      </c>
      <c r="E473" s="1264">
        <f t="shared" si="275"/>
        <v>0</v>
      </c>
      <c r="F473" s="1262" t="str">
        <f t="shared" si="272"/>
        <v/>
      </c>
      <c r="G473" s="1265">
        <f t="shared" si="276"/>
        <v>1</v>
      </c>
      <c r="H473" s="881"/>
      <c r="I473" s="880"/>
      <c r="J473" s="1269">
        <f t="shared" si="277"/>
        <v>0</v>
      </c>
      <c r="K473" s="1269">
        <f t="shared" si="278"/>
        <v>0</v>
      </c>
      <c r="L473" s="1276" t="str">
        <f>IF(VLOOKUP($B473,$B$12:$AY$390,$K$2,FALSE)&gt;"",VLOOKUP($B473,$B$12:$AY$390,$K$2,FALSE),"")</f>
        <v/>
      </c>
      <c r="M473" s="1271" t="str">
        <f t="shared" si="279"/>
        <v/>
      </c>
      <c r="N473" s="1272"/>
      <c r="O473" s="1273" t="s">
        <v>654</v>
      </c>
      <c r="P473" s="1273" t="str">
        <f>IF(OR($A$10=$BG$15,Results!$B$62=Results!$T$63),Table6[[#This Row],[label refine mode]],Table6[[#This Row],[label normal mode]])</f>
        <v/>
      </c>
      <c r="Q473" s="1257" t="str">
        <f>IF(OR($A$10=$BG$15,Results!$B$62=Results!$T$63),Table6[[#This Row],[input refined mode]],Table6[[#This Row],[Input normal mode]])</f>
        <v/>
      </c>
      <c r="R473" s="1275" t="str">
        <f>IF(Table6[[#This Row],[Acute RA IESTI new input value]]="","",CONCATENATE(Table6[[#This Row],[label for IESTI new normal mode]],Table6[[#This Row],[label connector IESTI new normal mode]],Table6[[#This Row],[label refinements normal mode]]))</f>
        <v/>
      </c>
      <c r="S473" s="1259">
        <f>IF(OR($A$10=$BG$15,Results!$B$62=Results!$T$63),Table6[[#This Row],[Input for IESTI new refined mode]],Table6[[#This Row],[Input for IESTI new normal mode]])</f>
        <v>0</v>
      </c>
      <c r="T473" s="888"/>
      <c r="U473" s="1283">
        <f t="shared" si="280"/>
        <v>0</v>
      </c>
      <c r="V473" s="1284" t="str">
        <f t="shared" si="281"/>
        <v/>
      </c>
      <c r="W473" s="1285">
        <f>IF($H473&gt;0,$H473,IF(Table6[[#This Row],[CFrisk for residue definition (applicable for unprocessed products)]]&gt;0,Table6[[#This Row],[CFrisk for residue definition (applicable for unprocessed products)]],1))</f>
        <v>1</v>
      </c>
      <c r="X473" s="1285">
        <v>1</v>
      </c>
      <c r="Y473" s="1285">
        <f t="shared" si="282"/>
        <v>1</v>
      </c>
      <c r="Z473" s="1285">
        <f t="shared" si="283"/>
        <v>1</v>
      </c>
      <c r="AA473" s="1285" t="str">
        <f>IF(Table6[[#This Row],[Post-harvest treatment]]="","","Y")</f>
        <v/>
      </c>
      <c r="AB473" s="1285" t="str">
        <f>IF(AND(Table6[[#This Row],[CF used for for calculation]]&lt;&gt;1,Table6[[#This Row],[PF for calculation]]&lt;&gt;1),"CF*PF",IF(Table6[[#This Row],[CF used for for calculation]]&lt;&gt;1,"CF",IF(Table6[[#This Row],[PF for calculation]]&lt;&gt;1,"PF","")))</f>
        <v/>
      </c>
      <c r="AC473" s="1300">
        <f>IF(AND(Table6[[#This Row],[LOQ RAC individual crop]]="Y",Table6[[#This Row],[GAP under assessment]]="N"),Table6[[#This Row],[MRL RAC individual commodity]],Table6[[#This Row],[MRL RAC individual commodity]]*Table6[[#This Row],[CF*PF for calculation]])</f>
        <v>0</v>
      </c>
      <c r="AD473" s="1287">
        <f t="shared" si="284"/>
        <v>0</v>
      </c>
      <c r="AE473" s="1287">
        <f t="shared" si="285"/>
        <v>0</v>
      </c>
      <c r="AF473" s="1307" t="str">
        <f>Table6[[#This Row],[IESTI case]]</f>
        <v>2a/2b</v>
      </c>
      <c r="AG47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73" s="1302" t="str">
        <f>IF(Table6[[#This Row],[Input value normal mode case 1, 2a/2b,Po]]&gt;0,
              IF(Table6[[#This Row],[Highest residue * CF*PF]]&gt;"","HR-RAC",
                             IF(Table6[[#This Row],[LOQ RAC individual crop]]="Y","LOQ","MRL")),"")</f>
        <v/>
      </c>
      <c r="AI473" s="1302" t="str">
        <f t="shared" si="286"/>
        <v/>
      </c>
      <c r="AJ473" s="1302" t="str">
        <f>IF(Table6[[#This Row],[Input value normal mode case 1, 2a/2b,Po]]&gt;0,IF(Table6[[#This Row],[label description]]&gt;"",Table6[[#This Row],[label description]],""),"")</f>
        <v/>
      </c>
      <c r="AK473" s="1302" t="str">
        <f>CONCATENATE(Table6[[#This Row],[label for IESTI normal mode case 1, 2a/2b,Po]],Table6[[#This Row],[label connector case  normal mode]],Table6[[#This Row],[label refinements normal mode case 1, 2a/2b,Po]])</f>
        <v/>
      </c>
      <c r="AL473" s="1287" t="str">
        <f>IF(AND(Table6[[#This Row],[Case for acute RA children / adults]]=3,Table6[[#This Row],[Post-harvest treatment]]=""),IF(AND(Table6[[#This Row],[LOQ RAC individual crop]]="Y",M472="N"),Table6[[#This Row],[MRL RAC individual commodity]],IF(Table6[[#This Row],[Median residue*CF*PF]]&gt;0,Table6[[#This Row],[Median residue*CF*PF]],IF(Table6[[#This Row],[MRL*CF*PF or LOQ (if not under assessment and LOQ)]]&gt;0,Table6[[#This Row],[MRL*CF*PF or LOQ (if not under assessment and LOQ)]],""))),"")</f>
        <v/>
      </c>
      <c r="AM473" s="1295" t="str">
        <f>IF(Table6[[#This Row],[input for case 3 normal mode]]&gt;0,IF(Table6[[#This Row],[Median residue*CF*PF]]&gt;0,"STMR-RAC",IF(AND($AC473&gt;0,NOT(V473="Y")),"MRL",IF($V473="Y","LOQ",""))),"")</f>
        <v/>
      </c>
      <c r="AN473" s="1295" t="str">
        <f t="shared" si="287"/>
        <v/>
      </c>
      <c r="AO473" s="1287" t="str">
        <f>IF(Table6[[#This Row],[input for case 3 normal mode]]="","",IF(AND(Table6[[#This Row],[label for case 3 calculation normal mode]]="LOQ",Table6[[#This Row],[GAP under assessment]]="N"),"",IF(Table6[[#This Row],[label description]]&gt;"",Table6[[#This Row],[label description]],"")))</f>
        <v/>
      </c>
      <c r="AP473" s="1287" t="str">
        <f>CONCATENATE(Table6[[#This Row],[label for case 3 calculation normal mode]],Table6[[#This Row],[label connector case 3 normal mode]],Table6[[#This Row],[label refinements case 3 normal mode]])</f>
        <v/>
      </c>
      <c r="AQ473" s="1287" t="str">
        <f>IF(Table6[[#This Row],[GAP under assessment]]="Y",Table6[[#This Row],[Input value normal mode case 1, 2a/2b,Po]],"")</f>
        <v/>
      </c>
      <c r="AR473" s="1287" t="str">
        <f>IF(Table6[[#This Row],[Input value refined mode case 1, 2a/2b,Po]]&gt;0,Table6[[#This Row],[concat label normal mode 1,2a/2b,Po ]],"")</f>
        <v/>
      </c>
      <c r="AS473" s="1303" t="str">
        <f>IF(Table6[[#This Row],[GAP under assessment]]="Y",Table6[[#This Row],[input for case 3 normal mode]],"")</f>
        <v/>
      </c>
      <c r="AT473" s="1287" t="str">
        <f>IF(Table6[[#This Row],[input for case 3 refined mode]]&gt;0,Table6[[#This Row],[concat label normal mode  case 3]],"")</f>
        <v/>
      </c>
      <c r="AU473" s="1295" t="str">
        <f>IF(Table6[[#This Row],[Input value normal mode case 1, 2a/2b,Po]]&gt;0,Table6[[#This Row],[Input value normal mode case 1, 2a/2b,Po]],Table6[[#This Row],[input for case 3 normal mode]])</f>
        <v/>
      </c>
      <c r="AV473" s="1295" t="str">
        <f>IF(Table6[[#This Row],[Input value normal mode case 1, 2a/2b,Po]]&gt;0,Table6[[#This Row],[concat label normal mode 1,2a/2b,Po ]],Table6[[#This Row],[concat label normal mode  case 3]])</f>
        <v/>
      </c>
      <c r="AW473" s="1295" t="str">
        <f>IF(Table6[[#This Row],[Input value refined mode case 1, 2a/2b,Po]]&gt;0,Table6[[#This Row],[Input value refined mode case 1, 2a/2b,Po]],Table6[[#This Row],[input for case 3 refined mode]])</f>
        <v/>
      </c>
      <c r="AX473" s="1295" t="str">
        <f>IF(Table6[[#This Row],[Input value refined mode case 1, 2a/2b,Po]]&gt;0,Table6[[#This Row],[concat label refined mode case 1,2a/2b,Po]],Table6[[#This Row],[label for case 3 calculation refined mode]])</f>
        <v/>
      </c>
      <c r="AY473" s="1287">
        <f t="shared" si="288"/>
        <v>0</v>
      </c>
      <c r="AZ473" s="1295" t="str">
        <f t="shared" si="289"/>
        <v/>
      </c>
      <c r="BA473" s="1295" t="str">
        <f t="shared" si="290"/>
        <v/>
      </c>
      <c r="BB473" s="1287" t="str">
        <f>IF(AND(Table6[[#This Row],[label for IESTI new normal mode]]="LOQ",Table6[[#This Row],[GAP under assessment]]="N"),"",IF(AND($H473&gt;0,$Y473&lt;&gt;1),"CF*PF",IF($H473&gt;0,"CF",IF($Y473&lt;&gt;1,"PF",""))))</f>
        <v/>
      </c>
      <c r="BC473" s="1296"/>
      <c r="BD473" s="1297"/>
      <c r="BE473" s="1304" t="str">
        <f>IF(Table6[[#This Row],[GAP under assessment]]="Y",Table6[[#This Row],[MRL*CF*PF or LOQ (if not under assessment and LOQ)]],"")</f>
        <v/>
      </c>
      <c r="BF473" s="1305" t="str">
        <f>IF(Table6[[#This Row],[Input for IESTI new refined mode]]&lt;&gt;"",CONCATENATE("MRL",Table6[[#This Row],[label connector case 3 normal mode]],Table6[[#This Row],[label refinements case 3 normal mode]]),"")</f>
        <v/>
      </c>
      <c r="BG473" s="1298" t="s">
        <v>552</v>
      </c>
      <c r="BH473" s="1306"/>
    </row>
    <row r="474" spans="1:60" s="11" customFormat="1" ht="12.75" customHeight="1" x14ac:dyDescent="0.2">
      <c r="A474" s="479" t="s">
        <v>553</v>
      </c>
      <c r="B474" s="480">
        <v>251030</v>
      </c>
      <c r="C474" s="547" t="s">
        <v>850</v>
      </c>
      <c r="D474" s="1261">
        <f>VLOOKUP(Table6[[#This Row],[Code no.]],$B$12:$D$390,3,FALSE)</f>
        <v>0</v>
      </c>
      <c r="E474" s="1264">
        <f t="shared" ref="E474:E505" si="292">VLOOKUP($B474,$B$12:$AY$390,$U$2,FALSE)</f>
        <v>0</v>
      </c>
      <c r="F474" s="1262" t="str">
        <f t="shared" si="272"/>
        <v/>
      </c>
      <c r="G474" s="1265">
        <f t="shared" ref="G474:G505" si="293">VLOOKUP($B474,$B$12:$AY$390,$W$2,FALSE)</f>
        <v>1</v>
      </c>
      <c r="H474" s="881"/>
      <c r="I474" s="880"/>
      <c r="J474" s="1269">
        <f t="shared" ref="J474:J505" si="294">VLOOKUP($B474,$B$12:$AY$390,$I$2,FALSE)</f>
        <v>0</v>
      </c>
      <c r="K474" s="1269">
        <f t="shared" ref="K474:K505" si="295">VLOOKUP($B474,$B$12:$AY$390,$J$2,FALSE)</f>
        <v>0</v>
      </c>
      <c r="L474" s="1276" t="str">
        <f>IF(VLOOKUP($B474,$B$12:$AY$390,$K$2,FALSE)&gt;"",VLOOKUP($B474,$B$12:$AY$390,$K$2,FALSE),"")</f>
        <v/>
      </c>
      <c r="M474" s="1271" t="str">
        <f t="shared" ref="M474:M505" si="296">IF(VLOOKUP($B474,$B$12:$L$390,$L$2)="","",VLOOKUP($B474,$B$12:$L$390,$L$2))</f>
        <v/>
      </c>
      <c r="N474" s="1272"/>
      <c r="O474" s="1273" t="s">
        <v>654</v>
      </c>
      <c r="P474" s="1273" t="str">
        <f>IF(OR($A$10=$BG$15,Results!$B$62=Results!$T$63),Table6[[#This Row],[label refine mode]],Table6[[#This Row],[label normal mode]])</f>
        <v/>
      </c>
      <c r="Q474" s="1257" t="str">
        <f>IF(OR($A$10=$BG$15,Results!$B$62=Results!$T$63),Table6[[#This Row],[input refined mode]],Table6[[#This Row],[Input normal mode]])</f>
        <v/>
      </c>
      <c r="R474" s="1275" t="str">
        <f>IF(Table6[[#This Row],[Acute RA IESTI new input value]]="","",CONCATENATE(Table6[[#This Row],[label for IESTI new normal mode]],Table6[[#This Row],[label connector IESTI new normal mode]],Table6[[#This Row],[label refinements normal mode]]))</f>
        <v/>
      </c>
      <c r="S474" s="1259">
        <f>IF(OR($A$10=$BG$15,Results!$B$62=Results!$T$63),Table6[[#This Row],[Input for IESTI new refined mode]],Table6[[#This Row],[Input for IESTI new normal mode]])</f>
        <v>0</v>
      </c>
      <c r="T474" s="888"/>
      <c r="U474" s="1283">
        <f t="shared" ref="U474:U505" si="297">E474</f>
        <v>0</v>
      </c>
      <c r="V474" s="1284" t="str">
        <f t="shared" ref="V474:V505" si="298">VLOOKUP($B474,$B$12:$AY$390,$V$2,FALSE)</f>
        <v/>
      </c>
      <c r="W474" s="1285">
        <f>IF($H474&gt;0,$H474,IF(Table6[[#This Row],[CFrisk for residue definition (applicable for unprocessed products)]]&gt;0,Table6[[#This Row],[CFrisk for residue definition (applicable for unprocessed products)]],1))</f>
        <v>1</v>
      </c>
      <c r="X474" s="1285">
        <v>1</v>
      </c>
      <c r="Y474" s="1285">
        <f t="shared" ref="Y474:Y505" si="299">IF($I474&gt;0,$I474,X474)</f>
        <v>1</v>
      </c>
      <c r="Z474" s="1285">
        <f t="shared" ref="Z474:Z505" si="300">W474*Y474</f>
        <v>1</v>
      </c>
      <c r="AA474" s="1285" t="str">
        <f>IF(Table6[[#This Row],[Post-harvest treatment]]="","","Y")</f>
        <v/>
      </c>
      <c r="AB474" s="1285" t="str">
        <f>IF(AND(Table6[[#This Row],[CF used for for calculation]]&lt;&gt;1,Table6[[#This Row],[PF for calculation]]&lt;&gt;1),"CF*PF",IF(Table6[[#This Row],[CF used for for calculation]]&lt;&gt;1,"CF",IF(Table6[[#This Row],[PF for calculation]]&lt;&gt;1,"PF","")))</f>
        <v/>
      </c>
      <c r="AC474" s="1300">
        <f>IF(AND(Table6[[#This Row],[LOQ RAC individual crop]]="Y",Table6[[#This Row],[GAP under assessment]]="N"),Table6[[#This Row],[MRL RAC individual commodity]],Table6[[#This Row],[MRL RAC individual commodity]]*Table6[[#This Row],[CF*PF for calculation]])</f>
        <v>0</v>
      </c>
      <c r="AD474" s="1287">
        <f t="shared" ref="AD474:AD505" si="301">$J474*$Z474</f>
        <v>0</v>
      </c>
      <c r="AE474" s="1287">
        <f t="shared" ref="AE474:AE505" si="302">$K474*$Z474</f>
        <v>0</v>
      </c>
      <c r="AF474" s="1307" t="str">
        <f>Table6[[#This Row],[IESTI case]]</f>
        <v>2a/2b</v>
      </c>
      <c r="AG47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74" s="1302" t="str">
        <f>IF(Table6[[#This Row],[Input value normal mode case 1, 2a/2b,Po]]&gt;0,
              IF(Table6[[#This Row],[Highest residue * CF*PF]]&gt;"","HR-RAC",
                             IF(Table6[[#This Row],[LOQ RAC individual crop]]="Y","LOQ","MRL")),"")</f>
        <v/>
      </c>
      <c r="AI474" s="1302" t="str">
        <f t="shared" ref="AI474:AI505" si="303">IF(AND(AH474&lt;&gt;"",AJ474&lt;&gt;""),"*","")</f>
        <v/>
      </c>
      <c r="AJ474" s="1302" t="str">
        <f>IF(Table6[[#This Row],[Input value normal mode case 1, 2a/2b,Po]]&gt;0,IF(Table6[[#This Row],[label description]]&gt;"",Table6[[#This Row],[label description]],""),"")</f>
        <v/>
      </c>
      <c r="AK474" s="1302" t="str">
        <f>CONCATENATE(Table6[[#This Row],[label for IESTI normal mode case 1, 2a/2b,Po]],Table6[[#This Row],[label connector case  normal mode]],Table6[[#This Row],[label refinements normal mode case 1, 2a/2b,Po]])</f>
        <v/>
      </c>
      <c r="AL474" s="1287" t="str">
        <f>IF(AND(Table6[[#This Row],[Case for acute RA children / adults]]=3,Table6[[#This Row],[Post-harvest treatment]]=""),IF(AND(Table6[[#This Row],[LOQ RAC individual crop]]="Y",M473="N"),Table6[[#This Row],[MRL RAC individual commodity]],IF(Table6[[#This Row],[Median residue*CF*PF]]&gt;0,Table6[[#This Row],[Median residue*CF*PF]],IF(Table6[[#This Row],[MRL*CF*PF or LOQ (if not under assessment and LOQ)]]&gt;0,Table6[[#This Row],[MRL*CF*PF or LOQ (if not under assessment and LOQ)]],""))),"")</f>
        <v/>
      </c>
      <c r="AM474" s="1295" t="str">
        <f>IF(Table6[[#This Row],[input for case 3 normal mode]]&gt;0,IF(Table6[[#This Row],[Median residue*CF*PF]]&gt;0,"STMR-RAC",IF(AND($AC474&gt;0,NOT(V474="Y")),"MRL",IF($V474="Y","LOQ",""))),"")</f>
        <v/>
      </c>
      <c r="AN474" s="1295" t="str">
        <f t="shared" ref="AN474:AN505" si="304">IF(AND(AM474&lt;&gt;"",AO474&lt;&gt;""),"*","")</f>
        <v/>
      </c>
      <c r="AO474" s="1287" t="str">
        <f>IF(Table6[[#This Row],[input for case 3 normal mode]]="","",IF(AND(Table6[[#This Row],[label for case 3 calculation normal mode]]="LOQ",Table6[[#This Row],[GAP under assessment]]="N"),"",IF(Table6[[#This Row],[label description]]&gt;"",Table6[[#This Row],[label description]],"")))</f>
        <v/>
      </c>
      <c r="AP474" s="1287" t="str">
        <f>CONCATENATE(Table6[[#This Row],[label for case 3 calculation normal mode]],Table6[[#This Row],[label connector case 3 normal mode]],Table6[[#This Row],[label refinements case 3 normal mode]])</f>
        <v/>
      </c>
      <c r="AQ474" s="1287" t="str">
        <f>IF(Table6[[#This Row],[GAP under assessment]]="Y",Table6[[#This Row],[Input value normal mode case 1, 2a/2b,Po]],"")</f>
        <v/>
      </c>
      <c r="AR474" s="1287" t="str">
        <f>IF(Table6[[#This Row],[Input value refined mode case 1, 2a/2b,Po]]&gt;0,Table6[[#This Row],[concat label normal mode 1,2a/2b,Po ]],"")</f>
        <v/>
      </c>
      <c r="AS474" s="1303" t="str">
        <f>IF(Table6[[#This Row],[GAP under assessment]]="Y",Table6[[#This Row],[input for case 3 normal mode]],"")</f>
        <v/>
      </c>
      <c r="AT474" s="1287" t="str">
        <f>IF(Table6[[#This Row],[input for case 3 refined mode]]&gt;0,Table6[[#This Row],[concat label normal mode  case 3]],"")</f>
        <v/>
      </c>
      <c r="AU474" s="1295" t="str">
        <f>IF(Table6[[#This Row],[Input value normal mode case 1, 2a/2b,Po]]&gt;0,Table6[[#This Row],[Input value normal mode case 1, 2a/2b,Po]],Table6[[#This Row],[input for case 3 normal mode]])</f>
        <v/>
      </c>
      <c r="AV474" s="1295" t="str">
        <f>IF(Table6[[#This Row],[Input value normal mode case 1, 2a/2b,Po]]&gt;0,Table6[[#This Row],[concat label normal mode 1,2a/2b,Po ]],Table6[[#This Row],[concat label normal mode  case 3]])</f>
        <v/>
      </c>
      <c r="AW474" s="1295" t="str">
        <f>IF(Table6[[#This Row],[Input value refined mode case 1, 2a/2b,Po]]&gt;0,Table6[[#This Row],[Input value refined mode case 1, 2a/2b,Po]],Table6[[#This Row],[input for case 3 refined mode]])</f>
        <v/>
      </c>
      <c r="AX474" s="1295" t="str">
        <f>IF(Table6[[#This Row],[Input value refined mode case 1, 2a/2b,Po]]&gt;0,Table6[[#This Row],[concat label refined mode case 1,2a/2b,Po]],Table6[[#This Row],[label for case 3 calculation refined mode]])</f>
        <v/>
      </c>
      <c r="AY474" s="1287">
        <f t="shared" ref="AY474:AY505" si="305">$AC474</f>
        <v>0</v>
      </c>
      <c r="AZ474" s="1295" t="str">
        <f t="shared" ref="AZ474:AZ505" si="306">IF(AND($AC474&gt;0,NOT($V474="Y")),"MRL",IF($V474="Y","LOQ",""))</f>
        <v/>
      </c>
      <c r="BA474" s="1295" t="str">
        <f t="shared" ref="BA474:BA505" si="307">IF(AND($AZ474&lt;&gt;"",$BB474&lt;&gt;""),"*","")</f>
        <v/>
      </c>
      <c r="BB474" s="1287" t="str">
        <f>IF(AND(Table6[[#This Row],[label for IESTI new normal mode]]="LOQ",Table6[[#This Row],[GAP under assessment]]="N"),"",IF(AND($H474&gt;0,$Y474&lt;&gt;1),"CF*PF",IF($H474&gt;0,"CF",IF($Y474&lt;&gt;1,"PF",""))))</f>
        <v/>
      </c>
      <c r="BC474" s="1296"/>
      <c r="BD474" s="1297"/>
      <c r="BE474" s="1304" t="str">
        <f>IF(Table6[[#This Row],[GAP under assessment]]="Y",Table6[[#This Row],[MRL*CF*PF or LOQ (if not under assessment and LOQ)]],"")</f>
        <v/>
      </c>
      <c r="BF474" s="1305" t="str">
        <f>IF(Table6[[#This Row],[Input for IESTI new refined mode]]&lt;&gt;"",CONCATENATE("MRL",Table6[[#This Row],[label connector case 3 normal mode]],Table6[[#This Row],[label refinements case 3 normal mode]]),"")</f>
        <v/>
      </c>
      <c r="BG474" s="1298" t="s">
        <v>553</v>
      </c>
      <c r="BH474" s="1306"/>
    </row>
    <row r="475" spans="1:60" s="11" customFormat="1" ht="12.75" customHeight="1" x14ac:dyDescent="0.2">
      <c r="A475" s="479" t="s">
        <v>554</v>
      </c>
      <c r="B475" s="480">
        <v>252010</v>
      </c>
      <c r="C475" s="547" t="s">
        <v>1145</v>
      </c>
      <c r="D475" s="1261">
        <f>VLOOKUP(Table6[[#This Row],[Code no.]],$B$12:$D$390,3,FALSE)</f>
        <v>0</v>
      </c>
      <c r="E475" s="1264">
        <f t="shared" si="292"/>
        <v>0</v>
      </c>
      <c r="F475" s="1262" t="str">
        <f t="shared" ref="F475:F538" si="308">IF(VLOOKUP($B475,$B$12:$AY$390,$V$2,FALSE)="Y","*","")</f>
        <v/>
      </c>
      <c r="G475" s="1265">
        <f t="shared" si="293"/>
        <v>1</v>
      </c>
      <c r="H475" s="881"/>
      <c r="I475" s="880"/>
      <c r="J475" s="1269">
        <f t="shared" si="294"/>
        <v>0</v>
      </c>
      <c r="K475" s="1269">
        <f t="shared" si="295"/>
        <v>0</v>
      </c>
      <c r="L475" s="1270"/>
      <c r="M475" s="1271" t="str">
        <f t="shared" si="296"/>
        <v/>
      </c>
      <c r="N475" s="1272"/>
      <c r="O475" s="1273">
        <v>1</v>
      </c>
      <c r="P475" s="1273" t="str">
        <f>IF(OR($A$10=$BG$15,Results!$B$62=Results!$T$63),Table6[[#This Row],[label refine mode]],Table6[[#This Row],[label normal mode]])</f>
        <v/>
      </c>
      <c r="Q475" s="1257" t="str">
        <f>IF(OR($A$10=$BG$15,Results!$B$62=Results!$T$63),Table6[[#This Row],[input refined mode]],Table6[[#This Row],[Input normal mode]])</f>
        <v/>
      </c>
      <c r="R475" s="1275" t="str">
        <f>IF(Table6[[#This Row],[Acute RA IESTI new input value]]="","",CONCATENATE(Table6[[#This Row],[label for IESTI new normal mode]],Table6[[#This Row],[label connector IESTI new normal mode]],Table6[[#This Row],[label refinements normal mode]]))</f>
        <v/>
      </c>
      <c r="S475" s="1259">
        <f>IF(OR($A$10=$BG$15,Results!$B$62=Results!$T$63),Table6[[#This Row],[Input for IESTI new refined mode]],Table6[[#This Row],[Input for IESTI new normal mode]])</f>
        <v>0</v>
      </c>
      <c r="T475" s="888"/>
      <c r="U475" s="1283">
        <f t="shared" si="297"/>
        <v>0</v>
      </c>
      <c r="V475" s="1284" t="str">
        <f t="shared" si="298"/>
        <v/>
      </c>
      <c r="W475" s="1285">
        <f>IF($H475&gt;0,$H475,IF(Table6[[#This Row],[CFrisk for residue definition (applicable for unprocessed products)]]&gt;0,Table6[[#This Row],[CFrisk for residue definition (applicable for unprocessed products)]],1))</f>
        <v>1</v>
      </c>
      <c r="X475" s="1285">
        <v>1</v>
      </c>
      <c r="Y475" s="1285">
        <f t="shared" si="299"/>
        <v>1</v>
      </c>
      <c r="Z475" s="1285">
        <f t="shared" si="300"/>
        <v>1</v>
      </c>
      <c r="AA475" s="1285" t="str">
        <f>IF(Table6[[#This Row],[Post-harvest treatment]]="","","Y")</f>
        <v/>
      </c>
      <c r="AB475" s="1285" t="str">
        <f>IF(AND(Table6[[#This Row],[CF used for for calculation]]&lt;&gt;1,Table6[[#This Row],[PF for calculation]]&lt;&gt;1),"CF*PF",IF(Table6[[#This Row],[CF used for for calculation]]&lt;&gt;1,"CF",IF(Table6[[#This Row],[PF for calculation]]&lt;&gt;1,"PF","")))</f>
        <v/>
      </c>
      <c r="AC475" s="1300">
        <f>IF(AND(Table6[[#This Row],[LOQ RAC individual crop]]="Y",Table6[[#This Row],[GAP under assessment]]="N"),Table6[[#This Row],[MRL RAC individual commodity]],Table6[[#This Row],[MRL RAC individual commodity]]*Table6[[#This Row],[CF*PF for calculation]])</f>
        <v>0</v>
      </c>
      <c r="AD475" s="1287">
        <f t="shared" si="301"/>
        <v>0</v>
      </c>
      <c r="AE475" s="1287">
        <f t="shared" si="302"/>
        <v>0</v>
      </c>
      <c r="AF475" s="1288">
        <f>Table6[[#This Row],[IESTI case]]</f>
        <v>1</v>
      </c>
      <c r="AG47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75" s="1302" t="str">
        <f>IF(Table6[[#This Row],[Input value normal mode case 1, 2a/2b,Po]]&gt;0,
              IF(Table6[[#This Row],[Highest residue * CF*PF]]&gt;"","HR-RAC",
                             IF(Table6[[#This Row],[LOQ RAC individual crop]]="Y","LOQ","MRL")),"")</f>
        <v/>
      </c>
      <c r="AI475" s="1302" t="str">
        <f t="shared" si="303"/>
        <v/>
      </c>
      <c r="AJ475" s="1302" t="str">
        <f>IF(Table6[[#This Row],[Input value normal mode case 1, 2a/2b,Po]]&gt;0,IF(Table6[[#This Row],[label description]]&gt;"",Table6[[#This Row],[label description]],""),"")</f>
        <v/>
      </c>
      <c r="AK475" s="1302" t="str">
        <f>CONCATENATE(Table6[[#This Row],[label for IESTI normal mode case 1, 2a/2b,Po]],Table6[[#This Row],[label connector case  normal mode]],Table6[[#This Row],[label refinements normal mode case 1, 2a/2b,Po]])</f>
        <v/>
      </c>
      <c r="AL475" s="1287" t="str">
        <f>IF(AND(Table6[[#This Row],[Case for acute RA children / adults]]=3,Table6[[#This Row],[Post-harvest treatment]]=""),IF(AND(Table6[[#This Row],[LOQ RAC individual crop]]="Y",M474="N"),Table6[[#This Row],[MRL RAC individual commodity]],IF(Table6[[#This Row],[Median residue*CF*PF]]&gt;0,Table6[[#This Row],[Median residue*CF*PF]],IF(Table6[[#This Row],[MRL*CF*PF or LOQ (if not under assessment and LOQ)]]&gt;0,Table6[[#This Row],[MRL*CF*PF or LOQ (if not under assessment and LOQ)]],""))),"")</f>
        <v/>
      </c>
      <c r="AM475" s="1295" t="str">
        <f>IF(Table6[[#This Row],[input for case 3 normal mode]]&gt;0,IF(Table6[[#This Row],[Median residue*CF*PF]]&gt;0,"STMR-RAC",IF(AND($AC475&gt;0,NOT(V475="Y")),"MRL",IF($V475="Y","LOQ",""))),"")</f>
        <v/>
      </c>
      <c r="AN475" s="1295" t="str">
        <f t="shared" si="304"/>
        <v/>
      </c>
      <c r="AO475" s="1287" t="str">
        <f>IF(Table6[[#This Row],[input for case 3 normal mode]]="","",IF(AND(Table6[[#This Row],[label for case 3 calculation normal mode]]="LOQ",Table6[[#This Row],[GAP under assessment]]="N"),"",IF(Table6[[#This Row],[label description]]&gt;"",Table6[[#This Row],[label description]],"")))</f>
        <v/>
      </c>
      <c r="AP475" s="1287" t="str">
        <f>CONCATENATE(Table6[[#This Row],[label for case 3 calculation normal mode]],Table6[[#This Row],[label connector case 3 normal mode]],Table6[[#This Row],[label refinements case 3 normal mode]])</f>
        <v/>
      </c>
      <c r="AQ475" s="1287" t="str">
        <f>IF(Table6[[#This Row],[GAP under assessment]]="Y",Table6[[#This Row],[Input value normal mode case 1, 2a/2b,Po]],"")</f>
        <v/>
      </c>
      <c r="AR475" s="1287" t="str">
        <f>IF(Table6[[#This Row],[Input value refined mode case 1, 2a/2b,Po]]&gt;0,Table6[[#This Row],[concat label normal mode 1,2a/2b,Po ]],"")</f>
        <v/>
      </c>
      <c r="AS475" s="1303" t="str">
        <f>IF(Table6[[#This Row],[GAP under assessment]]="Y",Table6[[#This Row],[input for case 3 normal mode]],"")</f>
        <v/>
      </c>
      <c r="AT475" s="1287" t="str">
        <f>IF(Table6[[#This Row],[input for case 3 refined mode]]&gt;0,Table6[[#This Row],[concat label normal mode  case 3]],"")</f>
        <v/>
      </c>
      <c r="AU475" s="1295" t="str">
        <f>IF(Table6[[#This Row],[Input value normal mode case 1, 2a/2b,Po]]&gt;0,Table6[[#This Row],[Input value normal mode case 1, 2a/2b,Po]],Table6[[#This Row],[input for case 3 normal mode]])</f>
        <v/>
      </c>
      <c r="AV475" s="1295" t="str">
        <f>IF(Table6[[#This Row],[Input value normal mode case 1, 2a/2b,Po]]&gt;0,Table6[[#This Row],[concat label normal mode 1,2a/2b,Po ]],Table6[[#This Row],[concat label normal mode  case 3]])</f>
        <v/>
      </c>
      <c r="AW475" s="1295" t="str">
        <f>IF(Table6[[#This Row],[Input value refined mode case 1, 2a/2b,Po]]&gt;0,Table6[[#This Row],[Input value refined mode case 1, 2a/2b,Po]],Table6[[#This Row],[input for case 3 refined mode]])</f>
        <v/>
      </c>
      <c r="AX475" s="1295" t="str">
        <f>IF(Table6[[#This Row],[Input value refined mode case 1, 2a/2b,Po]]&gt;0,Table6[[#This Row],[concat label refined mode case 1,2a/2b,Po]],Table6[[#This Row],[label for case 3 calculation refined mode]])</f>
        <v/>
      </c>
      <c r="AY475" s="1287">
        <f t="shared" si="305"/>
        <v>0</v>
      </c>
      <c r="AZ475" s="1295" t="str">
        <f t="shared" si="306"/>
        <v/>
      </c>
      <c r="BA475" s="1295" t="str">
        <f t="shared" si="307"/>
        <v/>
      </c>
      <c r="BB475" s="1287" t="str">
        <f>IF(AND(Table6[[#This Row],[label for IESTI new normal mode]]="LOQ",Table6[[#This Row],[GAP under assessment]]="N"),"",IF(AND($H475&gt;0,$Y475&lt;&gt;1),"CF*PF",IF($H475&gt;0,"CF",IF($Y475&lt;&gt;1,"PF",""))))</f>
        <v/>
      </c>
      <c r="BC475" s="1296"/>
      <c r="BD475" s="1297"/>
      <c r="BE475" s="1304" t="str">
        <f>IF(Table6[[#This Row],[GAP under assessment]]="Y",Table6[[#This Row],[MRL*CF*PF or LOQ (if not under assessment and LOQ)]],"")</f>
        <v/>
      </c>
      <c r="BF475" s="1305" t="str">
        <f>IF(Table6[[#This Row],[Input for IESTI new refined mode]]&lt;&gt;"",CONCATENATE("MRL",Table6[[#This Row],[label connector case 3 normal mode]],Table6[[#This Row],[label refinements case 3 normal mode]]),"")</f>
        <v/>
      </c>
      <c r="BG475" s="1298" t="s">
        <v>554</v>
      </c>
      <c r="BH475" s="1306"/>
    </row>
    <row r="476" spans="1:60" s="11" customFormat="1" ht="12.75" customHeight="1" x14ac:dyDescent="0.2">
      <c r="A476" s="479" t="s">
        <v>555</v>
      </c>
      <c r="B476" s="480">
        <v>252020</v>
      </c>
      <c r="C476" s="547" t="s">
        <v>832</v>
      </c>
      <c r="D476" s="1261">
        <f>VLOOKUP(Table6[[#This Row],[Code no.]],$B$12:$D$390,3,FALSE)</f>
        <v>0</v>
      </c>
      <c r="E476" s="1264">
        <f t="shared" si="292"/>
        <v>0</v>
      </c>
      <c r="F476" s="1262" t="str">
        <f t="shared" si="308"/>
        <v/>
      </c>
      <c r="G476" s="1265">
        <f t="shared" si="293"/>
        <v>1</v>
      </c>
      <c r="H476" s="881"/>
      <c r="I476" s="880"/>
      <c r="J476" s="1269">
        <f t="shared" si="294"/>
        <v>0</v>
      </c>
      <c r="K476" s="1269">
        <f t="shared" si="295"/>
        <v>0</v>
      </c>
      <c r="L476" s="1270"/>
      <c r="M476" s="1271" t="str">
        <f t="shared" si="296"/>
        <v/>
      </c>
      <c r="N476" s="1272"/>
      <c r="O476" s="1273">
        <v>1</v>
      </c>
      <c r="P476" s="1273" t="str">
        <f>IF(OR($A$10=$BG$15,Results!$B$62=Results!$T$63),Table6[[#This Row],[label refine mode]],Table6[[#This Row],[label normal mode]])</f>
        <v/>
      </c>
      <c r="Q476" s="1257" t="str">
        <f>IF(OR($A$10=$BG$15,Results!$B$62=Results!$T$63),Table6[[#This Row],[input refined mode]],Table6[[#This Row],[Input normal mode]])</f>
        <v/>
      </c>
      <c r="R476" s="1275" t="str">
        <f>IF(Table6[[#This Row],[Acute RA IESTI new input value]]="","",CONCATENATE(Table6[[#This Row],[label for IESTI new normal mode]],Table6[[#This Row],[label connector IESTI new normal mode]],Table6[[#This Row],[label refinements normal mode]]))</f>
        <v/>
      </c>
      <c r="S476" s="1259">
        <f>IF(OR($A$10=$BG$15,Results!$B$62=Results!$T$63),Table6[[#This Row],[Input for IESTI new refined mode]],Table6[[#This Row],[Input for IESTI new normal mode]])</f>
        <v>0</v>
      </c>
      <c r="T476" s="888"/>
      <c r="U476" s="1283">
        <f t="shared" si="297"/>
        <v>0</v>
      </c>
      <c r="V476" s="1284" t="str">
        <f t="shared" si="298"/>
        <v/>
      </c>
      <c r="W476" s="1285">
        <f>IF($H476&gt;0,$H476,IF(Table6[[#This Row],[CFrisk for residue definition (applicable for unprocessed products)]]&gt;0,Table6[[#This Row],[CFrisk for residue definition (applicable for unprocessed products)]],1))</f>
        <v>1</v>
      </c>
      <c r="X476" s="1285">
        <v>1</v>
      </c>
      <c r="Y476" s="1285">
        <f t="shared" si="299"/>
        <v>1</v>
      </c>
      <c r="Z476" s="1285">
        <f t="shared" si="300"/>
        <v>1</v>
      </c>
      <c r="AA476" s="1285" t="str">
        <f>IF(Table6[[#This Row],[Post-harvest treatment]]="","","Y")</f>
        <v/>
      </c>
      <c r="AB476" s="1285" t="str">
        <f>IF(AND(Table6[[#This Row],[CF used for for calculation]]&lt;&gt;1,Table6[[#This Row],[PF for calculation]]&lt;&gt;1),"CF*PF",IF(Table6[[#This Row],[CF used for for calculation]]&lt;&gt;1,"CF",IF(Table6[[#This Row],[PF for calculation]]&lt;&gt;1,"PF","")))</f>
        <v/>
      </c>
      <c r="AC476" s="1300">
        <f>IF(AND(Table6[[#This Row],[LOQ RAC individual crop]]="Y",Table6[[#This Row],[GAP under assessment]]="N"),Table6[[#This Row],[MRL RAC individual commodity]],Table6[[#This Row],[MRL RAC individual commodity]]*Table6[[#This Row],[CF*PF for calculation]])</f>
        <v>0</v>
      </c>
      <c r="AD476" s="1287">
        <f t="shared" si="301"/>
        <v>0</v>
      </c>
      <c r="AE476" s="1287">
        <f t="shared" si="302"/>
        <v>0</v>
      </c>
      <c r="AF476" s="1288">
        <f>Table6[[#This Row],[IESTI case]]</f>
        <v>1</v>
      </c>
      <c r="AG47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76" s="1302" t="str">
        <f>IF(Table6[[#This Row],[Input value normal mode case 1, 2a/2b,Po]]&gt;0,
              IF(Table6[[#This Row],[Highest residue * CF*PF]]&gt;"","HR-RAC",
                             IF(Table6[[#This Row],[LOQ RAC individual crop]]="Y","LOQ","MRL")),"")</f>
        <v/>
      </c>
      <c r="AI476" s="1302" t="str">
        <f t="shared" si="303"/>
        <v/>
      </c>
      <c r="AJ476" s="1302" t="str">
        <f>IF(Table6[[#This Row],[Input value normal mode case 1, 2a/2b,Po]]&gt;0,IF(Table6[[#This Row],[label description]]&gt;"",Table6[[#This Row],[label description]],""),"")</f>
        <v/>
      </c>
      <c r="AK476" s="1302" t="str">
        <f>CONCATENATE(Table6[[#This Row],[label for IESTI normal mode case 1, 2a/2b,Po]],Table6[[#This Row],[label connector case  normal mode]],Table6[[#This Row],[label refinements normal mode case 1, 2a/2b,Po]])</f>
        <v/>
      </c>
      <c r="AL476" s="1287" t="str">
        <f>IF(AND(Table6[[#This Row],[Case for acute RA children / adults]]=3,Table6[[#This Row],[Post-harvest treatment]]=""),IF(AND(Table6[[#This Row],[LOQ RAC individual crop]]="Y",M475="N"),Table6[[#This Row],[MRL RAC individual commodity]],IF(Table6[[#This Row],[Median residue*CF*PF]]&gt;0,Table6[[#This Row],[Median residue*CF*PF]],IF(Table6[[#This Row],[MRL*CF*PF or LOQ (if not under assessment and LOQ)]]&gt;0,Table6[[#This Row],[MRL*CF*PF or LOQ (if not under assessment and LOQ)]],""))),"")</f>
        <v/>
      </c>
      <c r="AM476" s="1295" t="str">
        <f>IF(Table6[[#This Row],[input for case 3 normal mode]]&gt;0,IF(Table6[[#This Row],[Median residue*CF*PF]]&gt;0,"STMR-RAC",IF(AND($AC476&gt;0,NOT(V476="Y")),"MRL",IF($V476="Y","LOQ",""))),"")</f>
        <v/>
      </c>
      <c r="AN476" s="1295" t="str">
        <f t="shared" si="304"/>
        <v/>
      </c>
      <c r="AO476" s="1287" t="str">
        <f>IF(Table6[[#This Row],[input for case 3 normal mode]]="","",IF(AND(Table6[[#This Row],[label for case 3 calculation normal mode]]="LOQ",Table6[[#This Row],[GAP under assessment]]="N"),"",IF(Table6[[#This Row],[label description]]&gt;"",Table6[[#This Row],[label description]],"")))</f>
        <v/>
      </c>
      <c r="AP476" s="1287" t="str">
        <f>CONCATENATE(Table6[[#This Row],[label for case 3 calculation normal mode]],Table6[[#This Row],[label connector case 3 normal mode]],Table6[[#This Row],[label refinements case 3 normal mode]])</f>
        <v/>
      </c>
      <c r="AQ476" s="1287" t="str">
        <f>IF(Table6[[#This Row],[GAP under assessment]]="Y",Table6[[#This Row],[Input value normal mode case 1, 2a/2b,Po]],"")</f>
        <v/>
      </c>
      <c r="AR476" s="1287" t="str">
        <f>IF(Table6[[#This Row],[Input value refined mode case 1, 2a/2b,Po]]&gt;0,Table6[[#This Row],[concat label normal mode 1,2a/2b,Po ]],"")</f>
        <v/>
      </c>
      <c r="AS476" s="1303" t="str">
        <f>IF(Table6[[#This Row],[GAP under assessment]]="Y",Table6[[#This Row],[input for case 3 normal mode]],"")</f>
        <v/>
      </c>
      <c r="AT476" s="1287" t="str">
        <f>IF(Table6[[#This Row],[input for case 3 refined mode]]&gt;0,Table6[[#This Row],[concat label normal mode  case 3]],"")</f>
        <v/>
      </c>
      <c r="AU476" s="1295" t="str">
        <f>IF(Table6[[#This Row],[Input value normal mode case 1, 2a/2b,Po]]&gt;0,Table6[[#This Row],[Input value normal mode case 1, 2a/2b,Po]],Table6[[#This Row],[input for case 3 normal mode]])</f>
        <v/>
      </c>
      <c r="AV476" s="1295" t="str">
        <f>IF(Table6[[#This Row],[Input value normal mode case 1, 2a/2b,Po]]&gt;0,Table6[[#This Row],[concat label normal mode 1,2a/2b,Po ]],Table6[[#This Row],[concat label normal mode  case 3]])</f>
        <v/>
      </c>
      <c r="AW476" s="1295" t="str">
        <f>IF(Table6[[#This Row],[Input value refined mode case 1, 2a/2b,Po]]&gt;0,Table6[[#This Row],[Input value refined mode case 1, 2a/2b,Po]],Table6[[#This Row],[input for case 3 refined mode]])</f>
        <v/>
      </c>
      <c r="AX476" s="1295" t="str">
        <f>IF(Table6[[#This Row],[Input value refined mode case 1, 2a/2b,Po]]&gt;0,Table6[[#This Row],[concat label refined mode case 1,2a/2b,Po]],Table6[[#This Row],[label for case 3 calculation refined mode]])</f>
        <v/>
      </c>
      <c r="AY476" s="1287">
        <f t="shared" si="305"/>
        <v>0</v>
      </c>
      <c r="AZ476" s="1295" t="str">
        <f t="shared" si="306"/>
        <v/>
      </c>
      <c r="BA476" s="1295" t="str">
        <f t="shared" si="307"/>
        <v/>
      </c>
      <c r="BB476" s="1287" t="str">
        <f>IF(AND(Table6[[#This Row],[label for IESTI new normal mode]]="LOQ",Table6[[#This Row],[GAP under assessment]]="N"),"",IF(AND($H476&gt;0,$Y476&lt;&gt;1),"CF*PF",IF($H476&gt;0,"CF",IF($Y476&lt;&gt;1,"PF",""))))</f>
        <v/>
      </c>
      <c r="BC476" s="1296"/>
      <c r="BD476" s="1297"/>
      <c r="BE476" s="1304" t="str">
        <f>IF(Table6[[#This Row],[GAP under assessment]]="Y",Table6[[#This Row],[MRL*CF*PF or LOQ (if not under assessment and LOQ)]],"")</f>
        <v/>
      </c>
      <c r="BF476" s="1305" t="str">
        <f>IF(Table6[[#This Row],[Input for IESTI new refined mode]]&lt;&gt;"",CONCATENATE("MRL",Table6[[#This Row],[label connector case 3 normal mode]],Table6[[#This Row],[label refinements case 3 normal mode]]),"")</f>
        <v/>
      </c>
      <c r="BG476" s="1298" t="s">
        <v>555</v>
      </c>
      <c r="BH476" s="1306"/>
    </row>
    <row r="477" spans="1:60" s="11" customFormat="1" ht="12.75" customHeight="1" x14ac:dyDescent="0.2">
      <c r="A477" s="479" t="s">
        <v>556</v>
      </c>
      <c r="B477" s="480">
        <v>252030</v>
      </c>
      <c r="C477" s="547" t="s">
        <v>847</v>
      </c>
      <c r="D477" s="1261">
        <f>VLOOKUP(Table6[[#This Row],[Code no.]],$B$12:$D$390,3,FALSE)</f>
        <v>0</v>
      </c>
      <c r="E477" s="1264">
        <f t="shared" si="292"/>
        <v>0</v>
      </c>
      <c r="F477" s="1262" t="str">
        <f t="shared" si="308"/>
        <v/>
      </c>
      <c r="G477" s="1265">
        <f t="shared" si="293"/>
        <v>1</v>
      </c>
      <c r="H477" s="881"/>
      <c r="I477" s="880"/>
      <c r="J477" s="1269">
        <f t="shared" si="294"/>
        <v>0</v>
      </c>
      <c r="K477" s="1269">
        <f t="shared" si="295"/>
        <v>0</v>
      </c>
      <c r="L477" s="1276" t="str">
        <f>IF(VLOOKUP($B477,$B$12:$AY$390,$K$2,FALSE)&gt;"",VLOOKUP($B477,$B$12:$AY$390,$K$2,FALSE),"")</f>
        <v/>
      </c>
      <c r="M477" s="1271" t="str">
        <f t="shared" si="296"/>
        <v/>
      </c>
      <c r="N477" s="1272"/>
      <c r="O477" s="1273" t="s">
        <v>654</v>
      </c>
      <c r="P477" s="1273" t="str">
        <f>IF(OR($A$10=$BG$15,Results!$B$62=Results!$T$63),Table6[[#This Row],[label refine mode]],Table6[[#This Row],[label normal mode]])</f>
        <v/>
      </c>
      <c r="Q477" s="1257" t="str">
        <f>IF(OR($A$10=$BG$15,Results!$B$62=Results!$T$63),Table6[[#This Row],[input refined mode]],Table6[[#This Row],[Input normal mode]])</f>
        <v/>
      </c>
      <c r="R477" s="1275" t="str">
        <f>IF(Table6[[#This Row],[Acute RA IESTI new input value]]="","",CONCATENATE(Table6[[#This Row],[label for IESTI new normal mode]],Table6[[#This Row],[label connector IESTI new normal mode]],Table6[[#This Row],[label refinements normal mode]]))</f>
        <v/>
      </c>
      <c r="S477" s="1259">
        <f>IF(OR($A$10=$BG$15,Results!$B$62=Results!$T$63),Table6[[#This Row],[Input for IESTI new refined mode]],Table6[[#This Row],[Input for IESTI new normal mode]])</f>
        <v>0</v>
      </c>
      <c r="T477" s="888"/>
      <c r="U477" s="1283">
        <f t="shared" si="297"/>
        <v>0</v>
      </c>
      <c r="V477" s="1284" t="str">
        <f t="shared" si="298"/>
        <v/>
      </c>
      <c r="W477" s="1285">
        <f>IF($H477&gt;0,$H477,IF(Table6[[#This Row],[CFrisk for residue definition (applicable for unprocessed products)]]&gt;0,Table6[[#This Row],[CFrisk for residue definition (applicable for unprocessed products)]],1))</f>
        <v>1</v>
      </c>
      <c r="X477" s="1285">
        <v>1</v>
      </c>
      <c r="Y477" s="1285">
        <f t="shared" si="299"/>
        <v>1</v>
      </c>
      <c r="Z477" s="1285">
        <f t="shared" si="300"/>
        <v>1</v>
      </c>
      <c r="AA477" s="1285" t="str">
        <f>IF(Table6[[#This Row],[Post-harvest treatment]]="","","Y")</f>
        <v/>
      </c>
      <c r="AB477" s="1285" t="str">
        <f>IF(AND(Table6[[#This Row],[CF used for for calculation]]&lt;&gt;1,Table6[[#This Row],[PF for calculation]]&lt;&gt;1),"CF*PF",IF(Table6[[#This Row],[CF used for for calculation]]&lt;&gt;1,"CF",IF(Table6[[#This Row],[PF for calculation]]&lt;&gt;1,"PF","")))</f>
        <v/>
      </c>
      <c r="AC477" s="1300">
        <f>IF(AND(Table6[[#This Row],[LOQ RAC individual crop]]="Y",Table6[[#This Row],[GAP under assessment]]="N"),Table6[[#This Row],[MRL RAC individual commodity]],Table6[[#This Row],[MRL RAC individual commodity]]*Table6[[#This Row],[CF*PF for calculation]])</f>
        <v>0</v>
      </c>
      <c r="AD477" s="1287">
        <f t="shared" si="301"/>
        <v>0</v>
      </c>
      <c r="AE477" s="1287">
        <f t="shared" si="302"/>
        <v>0</v>
      </c>
      <c r="AF477" s="1307" t="str">
        <f>Table6[[#This Row],[IESTI case]]</f>
        <v>2a/2b</v>
      </c>
      <c r="AG47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77" s="1302" t="str">
        <f>IF(Table6[[#This Row],[Input value normal mode case 1, 2a/2b,Po]]&gt;0,
              IF(Table6[[#This Row],[Highest residue * CF*PF]]&gt;"","HR-RAC",
                             IF(Table6[[#This Row],[LOQ RAC individual crop]]="Y","LOQ","MRL")),"")</f>
        <v/>
      </c>
      <c r="AI477" s="1302" t="str">
        <f t="shared" si="303"/>
        <v/>
      </c>
      <c r="AJ477" s="1302" t="str">
        <f>IF(Table6[[#This Row],[Input value normal mode case 1, 2a/2b,Po]]&gt;0,IF(Table6[[#This Row],[label description]]&gt;"",Table6[[#This Row],[label description]],""),"")</f>
        <v/>
      </c>
      <c r="AK477" s="1302" t="str">
        <f>CONCATENATE(Table6[[#This Row],[label for IESTI normal mode case 1, 2a/2b,Po]],Table6[[#This Row],[label connector case  normal mode]],Table6[[#This Row],[label refinements normal mode case 1, 2a/2b,Po]])</f>
        <v/>
      </c>
      <c r="AL477" s="1287" t="str">
        <f>IF(AND(Table6[[#This Row],[Case for acute RA children / adults]]=3,Table6[[#This Row],[Post-harvest treatment]]=""),IF(AND(Table6[[#This Row],[LOQ RAC individual crop]]="Y",M476="N"),Table6[[#This Row],[MRL RAC individual commodity]],IF(Table6[[#This Row],[Median residue*CF*PF]]&gt;0,Table6[[#This Row],[Median residue*CF*PF]],IF(Table6[[#This Row],[MRL*CF*PF or LOQ (if not under assessment and LOQ)]]&gt;0,Table6[[#This Row],[MRL*CF*PF or LOQ (if not under assessment and LOQ)]],""))),"")</f>
        <v/>
      </c>
      <c r="AM477" s="1295" t="str">
        <f>IF(Table6[[#This Row],[input for case 3 normal mode]]&gt;0,IF(Table6[[#This Row],[Median residue*CF*PF]]&gt;0,"STMR-RAC",IF(AND($AC477&gt;0,NOT(V477="Y")),"MRL",IF($V477="Y","LOQ",""))),"")</f>
        <v/>
      </c>
      <c r="AN477" s="1295" t="str">
        <f t="shared" si="304"/>
        <v/>
      </c>
      <c r="AO477" s="1287" t="str">
        <f>IF(Table6[[#This Row],[input for case 3 normal mode]]="","",IF(AND(Table6[[#This Row],[label for case 3 calculation normal mode]]="LOQ",Table6[[#This Row],[GAP under assessment]]="N"),"",IF(Table6[[#This Row],[label description]]&gt;"",Table6[[#This Row],[label description]],"")))</f>
        <v/>
      </c>
      <c r="AP477" s="1287" t="str">
        <f>CONCATENATE(Table6[[#This Row],[label for case 3 calculation normal mode]],Table6[[#This Row],[label connector case 3 normal mode]],Table6[[#This Row],[label refinements case 3 normal mode]])</f>
        <v/>
      </c>
      <c r="AQ477" s="1287" t="str">
        <f>IF(Table6[[#This Row],[GAP under assessment]]="Y",Table6[[#This Row],[Input value normal mode case 1, 2a/2b,Po]],"")</f>
        <v/>
      </c>
      <c r="AR477" s="1287" t="str">
        <f>IF(Table6[[#This Row],[Input value refined mode case 1, 2a/2b,Po]]&gt;0,Table6[[#This Row],[concat label normal mode 1,2a/2b,Po ]],"")</f>
        <v/>
      </c>
      <c r="AS477" s="1303" t="str">
        <f>IF(Table6[[#This Row],[GAP under assessment]]="Y",Table6[[#This Row],[input for case 3 normal mode]],"")</f>
        <v/>
      </c>
      <c r="AT477" s="1287" t="str">
        <f>IF(Table6[[#This Row],[input for case 3 refined mode]]&gt;0,Table6[[#This Row],[concat label normal mode  case 3]],"")</f>
        <v/>
      </c>
      <c r="AU477" s="1295" t="str">
        <f>IF(Table6[[#This Row],[Input value normal mode case 1, 2a/2b,Po]]&gt;0,Table6[[#This Row],[Input value normal mode case 1, 2a/2b,Po]],Table6[[#This Row],[input for case 3 normal mode]])</f>
        <v/>
      </c>
      <c r="AV477" s="1295" t="str">
        <f>IF(Table6[[#This Row],[Input value normal mode case 1, 2a/2b,Po]]&gt;0,Table6[[#This Row],[concat label normal mode 1,2a/2b,Po ]],Table6[[#This Row],[concat label normal mode  case 3]])</f>
        <v/>
      </c>
      <c r="AW477" s="1295" t="str">
        <f>IF(Table6[[#This Row],[Input value refined mode case 1, 2a/2b,Po]]&gt;0,Table6[[#This Row],[Input value refined mode case 1, 2a/2b,Po]],Table6[[#This Row],[input for case 3 refined mode]])</f>
        <v/>
      </c>
      <c r="AX477" s="1295" t="str">
        <f>IF(Table6[[#This Row],[Input value refined mode case 1, 2a/2b,Po]]&gt;0,Table6[[#This Row],[concat label refined mode case 1,2a/2b,Po]],Table6[[#This Row],[label for case 3 calculation refined mode]])</f>
        <v/>
      </c>
      <c r="AY477" s="1287">
        <f t="shared" si="305"/>
        <v>0</v>
      </c>
      <c r="AZ477" s="1295" t="str">
        <f t="shared" si="306"/>
        <v/>
      </c>
      <c r="BA477" s="1295" t="str">
        <f t="shared" si="307"/>
        <v/>
      </c>
      <c r="BB477" s="1287" t="str">
        <f>IF(AND(Table6[[#This Row],[label for IESTI new normal mode]]="LOQ",Table6[[#This Row],[GAP under assessment]]="N"),"",IF(AND($H477&gt;0,$Y477&lt;&gt;1),"CF*PF",IF($H477&gt;0,"CF",IF($Y477&lt;&gt;1,"PF",""))))</f>
        <v/>
      </c>
      <c r="BC477" s="1296"/>
      <c r="BD477" s="1297"/>
      <c r="BE477" s="1304" t="str">
        <f>IF(Table6[[#This Row],[GAP under assessment]]="Y",Table6[[#This Row],[MRL*CF*PF or LOQ (if not under assessment and LOQ)]],"")</f>
        <v/>
      </c>
      <c r="BF477" s="1305" t="str">
        <f>IF(Table6[[#This Row],[Input for IESTI new refined mode]]&lt;&gt;"",CONCATENATE("MRL",Table6[[#This Row],[label connector case 3 normal mode]],Table6[[#This Row],[label refinements case 3 normal mode]]),"")</f>
        <v/>
      </c>
      <c r="BG477" s="1298" t="s">
        <v>556</v>
      </c>
      <c r="BH477" s="1306"/>
    </row>
    <row r="478" spans="1:60" s="11" customFormat="1" ht="12.75" customHeight="1" x14ac:dyDescent="0.2">
      <c r="A478" s="479" t="s">
        <v>519</v>
      </c>
      <c r="B478" s="480">
        <v>253000</v>
      </c>
      <c r="C478" s="547" t="s">
        <v>833</v>
      </c>
      <c r="D478" s="1261">
        <f>VLOOKUP(Table6[[#This Row],[Code no.]],$B$12:$D$390,3,FALSE)</f>
        <v>0</v>
      </c>
      <c r="E478" s="1264">
        <f t="shared" si="292"/>
        <v>0</v>
      </c>
      <c r="F478" s="1262" t="str">
        <f t="shared" si="308"/>
        <v/>
      </c>
      <c r="G478" s="1265">
        <f t="shared" si="293"/>
        <v>1</v>
      </c>
      <c r="H478" s="881"/>
      <c r="I478" s="880"/>
      <c r="J478" s="1269">
        <f t="shared" si="294"/>
        <v>0</v>
      </c>
      <c r="K478" s="1269">
        <f t="shared" si="295"/>
        <v>0</v>
      </c>
      <c r="L478" s="1270"/>
      <c r="M478" s="1271" t="str">
        <f t="shared" si="296"/>
        <v/>
      </c>
      <c r="N478" s="1272"/>
      <c r="O478" s="1273">
        <v>1</v>
      </c>
      <c r="P478" s="1273" t="str">
        <f>IF(OR($A$10=$BG$15,Results!$B$62=Results!$T$63),Table6[[#This Row],[label refine mode]],Table6[[#This Row],[label normal mode]])</f>
        <v/>
      </c>
      <c r="Q478" s="1257" t="str">
        <f>IF(OR($A$10=$BG$15,Results!$B$62=Results!$T$63),Table6[[#This Row],[input refined mode]],Table6[[#This Row],[Input normal mode]])</f>
        <v/>
      </c>
      <c r="R478" s="1275" t="str">
        <f>IF(Table6[[#This Row],[Acute RA IESTI new input value]]="","",CONCATENATE(Table6[[#This Row],[label for IESTI new normal mode]],Table6[[#This Row],[label connector IESTI new normal mode]],Table6[[#This Row],[label refinements normal mode]]))</f>
        <v/>
      </c>
      <c r="S478" s="1259">
        <f>IF(OR($A$10=$BG$15,Results!$B$62=Results!$T$63),Table6[[#This Row],[Input for IESTI new refined mode]],Table6[[#This Row],[Input for IESTI new normal mode]])</f>
        <v>0</v>
      </c>
      <c r="T478" s="888"/>
      <c r="U478" s="1283">
        <f t="shared" si="297"/>
        <v>0</v>
      </c>
      <c r="V478" s="1284" t="str">
        <f t="shared" si="298"/>
        <v/>
      </c>
      <c r="W478" s="1285">
        <f>IF($H478&gt;0,$H478,IF(Table6[[#This Row],[CFrisk for residue definition (applicable for unprocessed products)]]&gt;0,Table6[[#This Row],[CFrisk for residue definition (applicable for unprocessed products)]],1))</f>
        <v>1</v>
      </c>
      <c r="X478" s="1285">
        <v>1</v>
      </c>
      <c r="Y478" s="1285">
        <f t="shared" si="299"/>
        <v>1</v>
      </c>
      <c r="Z478" s="1285">
        <f t="shared" si="300"/>
        <v>1</v>
      </c>
      <c r="AA478" s="1285" t="str">
        <f>IF(Table6[[#This Row],[Post-harvest treatment]]="","","Y")</f>
        <v/>
      </c>
      <c r="AB478" s="1285" t="str">
        <f>IF(AND(Table6[[#This Row],[CF used for for calculation]]&lt;&gt;1,Table6[[#This Row],[PF for calculation]]&lt;&gt;1),"CF*PF",IF(Table6[[#This Row],[CF used for for calculation]]&lt;&gt;1,"CF",IF(Table6[[#This Row],[PF for calculation]]&lt;&gt;1,"PF","")))</f>
        <v/>
      </c>
      <c r="AC478" s="1300">
        <f>IF(AND(Table6[[#This Row],[LOQ RAC individual crop]]="Y",Table6[[#This Row],[GAP under assessment]]="N"),Table6[[#This Row],[MRL RAC individual commodity]],Table6[[#This Row],[MRL RAC individual commodity]]*Table6[[#This Row],[CF*PF for calculation]])</f>
        <v>0</v>
      </c>
      <c r="AD478" s="1287">
        <f t="shared" si="301"/>
        <v>0</v>
      </c>
      <c r="AE478" s="1287">
        <f t="shared" si="302"/>
        <v>0</v>
      </c>
      <c r="AF478" s="1288">
        <f>Table6[[#This Row],[IESTI case]]</f>
        <v>1</v>
      </c>
      <c r="AG478"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78" s="1302" t="str">
        <f>IF(Table6[[#This Row],[Input value normal mode case 1, 2a/2b,Po]]&gt;0,
              IF(Table6[[#This Row],[Highest residue * CF*PF]]&gt;"","HR-RAC",
                             IF(Table6[[#This Row],[LOQ RAC individual crop]]="Y","LOQ","MRL")),"")</f>
        <v/>
      </c>
      <c r="AI478" s="1302" t="str">
        <f t="shared" si="303"/>
        <v/>
      </c>
      <c r="AJ478" s="1302" t="str">
        <f>IF(Table6[[#This Row],[Input value normal mode case 1, 2a/2b,Po]]&gt;0,IF(Table6[[#This Row],[label description]]&gt;"",Table6[[#This Row],[label description]],""),"")</f>
        <v/>
      </c>
      <c r="AK478" s="1302" t="str">
        <f>CONCATENATE(Table6[[#This Row],[label for IESTI normal mode case 1, 2a/2b,Po]],Table6[[#This Row],[label connector case  normal mode]],Table6[[#This Row],[label refinements normal mode case 1, 2a/2b,Po]])</f>
        <v/>
      </c>
      <c r="AL478" s="1287" t="str">
        <f>IF(AND(Table6[[#This Row],[Case for acute RA children / adults]]=3,Table6[[#This Row],[Post-harvest treatment]]=""),IF(AND(Table6[[#This Row],[LOQ RAC individual crop]]="Y",M477="N"),Table6[[#This Row],[MRL RAC individual commodity]],IF(Table6[[#This Row],[Median residue*CF*PF]]&gt;0,Table6[[#This Row],[Median residue*CF*PF]],IF(Table6[[#This Row],[MRL*CF*PF or LOQ (if not under assessment and LOQ)]]&gt;0,Table6[[#This Row],[MRL*CF*PF or LOQ (if not under assessment and LOQ)]],""))),"")</f>
        <v/>
      </c>
      <c r="AM478" s="1295" t="str">
        <f>IF(Table6[[#This Row],[input for case 3 normal mode]]&gt;0,IF(Table6[[#This Row],[Median residue*CF*PF]]&gt;0,"STMR-RAC",IF(AND($AC478&gt;0,NOT(V478="Y")),"MRL",IF($V478="Y","LOQ",""))),"")</f>
        <v/>
      </c>
      <c r="AN478" s="1295" t="str">
        <f t="shared" si="304"/>
        <v/>
      </c>
      <c r="AO478" s="1287" t="str">
        <f>IF(Table6[[#This Row],[input for case 3 normal mode]]="","",IF(AND(Table6[[#This Row],[label for case 3 calculation normal mode]]="LOQ",Table6[[#This Row],[GAP under assessment]]="N"),"",IF(Table6[[#This Row],[label description]]&gt;"",Table6[[#This Row],[label description]],"")))</f>
        <v/>
      </c>
      <c r="AP478" s="1287" t="str">
        <f>CONCATENATE(Table6[[#This Row],[label for case 3 calculation normal mode]],Table6[[#This Row],[label connector case 3 normal mode]],Table6[[#This Row],[label refinements case 3 normal mode]])</f>
        <v/>
      </c>
      <c r="AQ478" s="1287" t="str">
        <f>IF(Table6[[#This Row],[GAP under assessment]]="Y",Table6[[#This Row],[Input value normal mode case 1, 2a/2b,Po]],"")</f>
        <v/>
      </c>
      <c r="AR478" s="1287" t="str">
        <f>IF(Table6[[#This Row],[Input value refined mode case 1, 2a/2b,Po]]&gt;0,Table6[[#This Row],[concat label normal mode 1,2a/2b,Po ]],"")</f>
        <v/>
      </c>
      <c r="AS478" s="1303" t="str">
        <f>IF(Table6[[#This Row],[GAP under assessment]]="Y",Table6[[#This Row],[input for case 3 normal mode]],"")</f>
        <v/>
      </c>
      <c r="AT478" s="1287" t="str">
        <f>IF(Table6[[#This Row],[input for case 3 refined mode]]&gt;0,Table6[[#This Row],[concat label normal mode  case 3]],"")</f>
        <v/>
      </c>
      <c r="AU478" s="1295" t="str">
        <f>IF(Table6[[#This Row],[Input value normal mode case 1, 2a/2b,Po]]&gt;0,Table6[[#This Row],[Input value normal mode case 1, 2a/2b,Po]],Table6[[#This Row],[input for case 3 normal mode]])</f>
        <v/>
      </c>
      <c r="AV478" s="1295" t="str">
        <f>IF(Table6[[#This Row],[Input value normal mode case 1, 2a/2b,Po]]&gt;0,Table6[[#This Row],[concat label normal mode 1,2a/2b,Po ]],Table6[[#This Row],[concat label normal mode  case 3]])</f>
        <v/>
      </c>
      <c r="AW478" s="1295" t="str">
        <f>IF(Table6[[#This Row],[Input value refined mode case 1, 2a/2b,Po]]&gt;0,Table6[[#This Row],[Input value refined mode case 1, 2a/2b,Po]],Table6[[#This Row],[input for case 3 refined mode]])</f>
        <v/>
      </c>
      <c r="AX478" s="1295" t="str">
        <f>IF(Table6[[#This Row],[Input value refined mode case 1, 2a/2b,Po]]&gt;0,Table6[[#This Row],[concat label refined mode case 1,2a/2b,Po]],Table6[[#This Row],[label for case 3 calculation refined mode]])</f>
        <v/>
      </c>
      <c r="AY478" s="1287">
        <f t="shared" si="305"/>
        <v>0</v>
      </c>
      <c r="AZ478" s="1295" t="str">
        <f t="shared" si="306"/>
        <v/>
      </c>
      <c r="BA478" s="1295" t="str">
        <f t="shared" si="307"/>
        <v/>
      </c>
      <c r="BB478" s="1287" t="str">
        <f>IF(AND(Table6[[#This Row],[label for IESTI new normal mode]]="LOQ",Table6[[#This Row],[GAP under assessment]]="N"),"",IF(AND($H478&gt;0,$Y478&lt;&gt;1),"CF*PF",IF($H478&gt;0,"CF",IF($Y478&lt;&gt;1,"PF",""))))</f>
        <v/>
      </c>
      <c r="BC478" s="1296"/>
      <c r="BD478" s="1297"/>
      <c r="BE478" s="1304" t="str">
        <f>IF(Table6[[#This Row],[GAP under assessment]]="Y",Table6[[#This Row],[MRL*CF*PF or LOQ (if not under assessment and LOQ)]],"")</f>
        <v/>
      </c>
      <c r="BF478" s="1305" t="str">
        <f>IF(Table6[[#This Row],[Input for IESTI new refined mode]]&lt;&gt;"",CONCATENATE("MRL",Table6[[#This Row],[label connector case 3 normal mode]],Table6[[#This Row],[label refinements case 3 normal mode]]),"")</f>
        <v/>
      </c>
      <c r="BG478" s="1298" t="s">
        <v>519</v>
      </c>
      <c r="BH478" s="1306"/>
    </row>
    <row r="479" spans="1:60" s="11" customFormat="1" ht="12.75" customHeight="1" x14ac:dyDescent="0.2">
      <c r="A479" s="479" t="s">
        <v>557</v>
      </c>
      <c r="B479" s="480">
        <v>255000</v>
      </c>
      <c r="C479" s="547" t="s">
        <v>834</v>
      </c>
      <c r="D479" s="1261">
        <f>VLOOKUP(Table6[[#This Row],[Code no.]],$B$12:$D$390,3,FALSE)</f>
        <v>0</v>
      </c>
      <c r="E479" s="1264">
        <f t="shared" si="292"/>
        <v>0</v>
      </c>
      <c r="F479" s="1262" t="str">
        <f t="shared" si="308"/>
        <v/>
      </c>
      <c r="G479" s="1265">
        <f t="shared" si="293"/>
        <v>1</v>
      </c>
      <c r="H479" s="881"/>
      <c r="I479" s="880"/>
      <c r="J479" s="1269">
        <f t="shared" si="294"/>
        <v>0</v>
      </c>
      <c r="K479" s="1269">
        <f t="shared" si="295"/>
        <v>0</v>
      </c>
      <c r="L479" s="1276" t="str">
        <f>IF(VLOOKUP($B479,$B$12:$AY$390,$K$2,FALSE)&gt;"",VLOOKUP($B479,$B$12:$AY$390,$K$2,FALSE),"")</f>
        <v/>
      </c>
      <c r="M479" s="1271" t="str">
        <f t="shared" si="296"/>
        <v/>
      </c>
      <c r="N479" s="1272"/>
      <c r="O479" s="1273" t="s">
        <v>654</v>
      </c>
      <c r="P479" s="1273" t="str">
        <f>IF(OR($A$10=$BG$15,Results!$B$62=Results!$T$63),Table6[[#This Row],[label refine mode]],Table6[[#This Row],[label normal mode]])</f>
        <v/>
      </c>
      <c r="Q479" s="1257" t="str">
        <f>IF(OR($A$10=$BG$15,Results!$B$62=Results!$T$63),Table6[[#This Row],[input refined mode]],Table6[[#This Row],[Input normal mode]])</f>
        <v/>
      </c>
      <c r="R479" s="1275" t="str">
        <f>IF(Table6[[#This Row],[Acute RA IESTI new input value]]="","",CONCATENATE(Table6[[#This Row],[label for IESTI new normal mode]],Table6[[#This Row],[label connector IESTI new normal mode]],Table6[[#This Row],[label refinements normal mode]]))</f>
        <v/>
      </c>
      <c r="S479" s="1259">
        <f>IF(OR($A$10=$BG$15,Results!$B$62=Results!$T$63),Table6[[#This Row],[Input for IESTI new refined mode]],Table6[[#This Row],[Input for IESTI new normal mode]])</f>
        <v>0</v>
      </c>
      <c r="T479" s="888"/>
      <c r="U479" s="1283">
        <f t="shared" si="297"/>
        <v>0</v>
      </c>
      <c r="V479" s="1284" t="str">
        <f t="shared" si="298"/>
        <v/>
      </c>
      <c r="W479" s="1285">
        <f>IF($H479&gt;0,$H479,IF(Table6[[#This Row],[CFrisk for residue definition (applicable for unprocessed products)]]&gt;0,Table6[[#This Row],[CFrisk for residue definition (applicable for unprocessed products)]],1))</f>
        <v>1</v>
      </c>
      <c r="X479" s="1285">
        <v>1</v>
      </c>
      <c r="Y479" s="1285">
        <f t="shared" si="299"/>
        <v>1</v>
      </c>
      <c r="Z479" s="1285">
        <f t="shared" si="300"/>
        <v>1</v>
      </c>
      <c r="AA479" s="1285" t="str">
        <f>IF(Table6[[#This Row],[Post-harvest treatment]]="","","Y")</f>
        <v/>
      </c>
      <c r="AB479" s="1285" t="str">
        <f>IF(AND(Table6[[#This Row],[CF used for for calculation]]&lt;&gt;1,Table6[[#This Row],[PF for calculation]]&lt;&gt;1),"CF*PF",IF(Table6[[#This Row],[CF used for for calculation]]&lt;&gt;1,"CF",IF(Table6[[#This Row],[PF for calculation]]&lt;&gt;1,"PF","")))</f>
        <v/>
      </c>
      <c r="AC479" s="1300">
        <f>IF(AND(Table6[[#This Row],[LOQ RAC individual crop]]="Y",Table6[[#This Row],[GAP under assessment]]="N"),Table6[[#This Row],[MRL RAC individual commodity]],Table6[[#This Row],[MRL RAC individual commodity]]*Table6[[#This Row],[CF*PF for calculation]])</f>
        <v>0</v>
      </c>
      <c r="AD479" s="1287">
        <f t="shared" si="301"/>
        <v>0</v>
      </c>
      <c r="AE479" s="1287">
        <f t="shared" si="302"/>
        <v>0</v>
      </c>
      <c r="AF479" s="1307" t="str">
        <f>Table6[[#This Row],[IESTI case]]</f>
        <v>2a/2b</v>
      </c>
      <c r="AG479"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79" s="1302" t="str">
        <f>IF(Table6[[#This Row],[Input value normal mode case 1, 2a/2b,Po]]&gt;0,
              IF(Table6[[#This Row],[Highest residue * CF*PF]]&gt;"","HR-RAC",
                             IF(Table6[[#This Row],[LOQ RAC individual crop]]="Y","LOQ","MRL")),"")</f>
        <v/>
      </c>
      <c r="AI479" s="1302" t="str">
        <f t="shared" si="303"/>
        <v/>
      </c>
      <c r="AJ479" s="1302" t="str">
        <f>IF(Table6[[#This Row],[Input value normal mode case 1, 2a/2b,Po]]&gt;0,IF(Table6[[#This Row],[label description]]&gt;"",Table6[[#This Row],[label description]],""),"")</f>
        <v/>
      </c>
      <c r="AK479" s="1302" t="str">
        <f>CONCATENATE(Table6[[#This Row],[label for IESTI normal mode case 1, 2a/2b,Po]],Table6[[#This Row],[label connector case  normal mode]],Table6[[#This Row],[label refinements normal mode case 1, 2a/2b,Po]])</f>
        <v/>
      </c>
      <c r="AL479" s="1287" t="str">
        <f>IF(AND(Table6[[#This Row],[Case for acute RA children / adults]]=3,Table6[[#This Row],[Post-harvest treatment]]=""),IF(AND(Table6[[#This Row],[LOQ RAC individual crop]]="Y",M478="N"),Table6[[#This Row],[MRL RAC individual commodity]],IF(Table6[[#This Row],[Median residue*CF*PF]]&gt;0,Table6[[#This Row],[Median residue*CF*PF]],IF(Table6[[#This Row],[MRL*CF*PF or LOQ (if not under assessment and LOQ)]]&gt;0,Table6[[#This Row],[MRL*CF*PF or LOQ (if not under assessment and LOQ)]],""))),"")</f>
        <v/>
      </c>
      <c r="AM479" s="1295" t="str">
        <f>IF(Table6[[#This Row],[input for case 3 normal mode]]&gt;0,IF(Table6[[#This Row],[Median residue*CF*PF]]&gt;0,"STMR-RAC",IF(AND($AC479&gt;0,NOT(V479="Y")),"MRL",IF($V479="Y","LOQ",""))),"")</f>
        <v/>
      </c>
      <c r="AN479" s="1295" t="str">
        <f t="shared" si="304"/>
        <v/>
      </c>
      <c r="AO479" s="1287" t="str">
        <f>IF(Table6[[#This Row],[input for case 3 normal mode]]="","",IF(AND(Table6[[#This Row],[label for case 3 calculation normal mode]]="LOQ",Table6[[#This Row],[GAP under assessment]]="N"),"",IF(Table6[[#This Row],[label description]]&gt;"",Table6[[#This Row],[label description]],"")))</f>
        <v/>
      </c>
      <c r="AP479" s="1287" t="str">
        <f>CONCATENATE(Table6[[#This Row],[label for case 3 calculation normal mode]],Table6[[#This Row],[label connector case 3 normal mode]],Table6[[#This Row],[label refinements case 3 normal mode]])</f>
        <v/>
      </c>
      <c r="AQ479" s="1287" t="str">
        <f>IF(Table6[[#This Row],[GAP under assessment]]="Y",Table6[[#This Row],[Input value normal mode case 1, 2a/2b,Po]],"")</f>
        <v/>
      </c>
      <c r="AR479" s="1287" t="str">
        <f>IF(Table6[[#This Row],[Input value refined mode case 1, 2a/2b,Po]]&gt;0,Table6[[#This Row],[concat label normal mode 1,2a/2b,Po ]],"")</f>
        <v/>
      </c>
      <c r="AS479" s="1303" t="str">
        <f>IF(Table6[[#This Row],[GAP under assessment]]="Y",Table6[[#This Row],[input for case 3 normal mode]],"")</f>
        <v/>
      </c>
      <c r="AT479" s="1287" t="str">
        <f>IF(Table6[[#This Row],[input for case 3 refined mode]]&gt;0,Table6[[#This Row],[concat label normal mode  case 3]],"")</f>
        <v/>
      </c>
      <c r="AU479" s="1295" t="str">
        <f>IF(Table6[[#This Row],[Input value normal mode case 1, 2a/2b,Po]]&gt;0,Table6[[#This Row],[Input value normal mode case 1, 2a/2b,Po]],Table6[[#This Row],[input for case 3 normal mode]])</f>
        <v/>
      </c>
      <c r="AV479" s="1295" t="str">
        <f>IF(Table6[[#This Row],[Input value normal mode case 1, 2a/2b,Po]]&gt;0,Table6[[#This Row],[concat label normal mode 1,2a/2b,Po ]],Table6[[#This Row],[concat label normal mode  case 3]])</f>
        <v/>
      </c>
      <c r="AW479" s="1295" t="str">
        <f>IF(Table6[[#This Row],[Input value refined mode case 1, 2a/2b,Po]]&gt;0,Table6[[#This Row],[Input value refined mode case 1, 2a/2b,Po]],Table6[[#This Row],[input for case 3 refined mode]])</f>
        <v/>
      </c>
      <c r="AX479" s="1295" t="str">
        <f>IF(Table6[[#This Row],[Input value refined mode case 1, 2a/2b,Po]]&gt;0,Table6[[#This Row],[concat label refined mode case 1,2a/2b,Po]],Table6[[#This Row],[label for case 3 calculation refined mode]])</f>
        <v/>
      </c>
      <c r="AY479" s="1287">
        <f t="shared" si="305"/>
        <v>0</v>
      </c>
      <c r="AZ479" s="1295" t="str">
        <f t="shared" si="306"/>
        <v/>
      </c>
      <c r="BA479" s="1295" t="str">
        <f t="shared" si="307"/>
        <v/>
      </c>
      <c r="BB479" s="1287" t="str">
        <f>IF(AND(Table6[[#This Row],[label for IESTI new normal mode]]="LOQ",Table6[[#This Row],[GAP under assessment]]="N"),"",IF(AND($H479&gt;0,$Y479&lt;&gt;1),"CF*PF",IF($H479&gt;0,"CF",IF($Y479&lt;&gt;1,"PF",""))))</f>
        <v/>
      </c>
      <c r="BC479" s="1296"/>
      <c r="BD479" s="1297"/>
      <c r="BE479" s="1304" t="str">
        <f>IF(Table6[[#This Row],[GAP under assessment]]="Y",Table6[[#This Row],[MRL*CF*PF or LOQ (if not under assessment and LOQ)]],"")</f>
        <v/>
      </c>
      <c r="BF479" s="1305" t="str">
        <f>IF(Table6[[#This Row],[Input for IESTI new refined mode]]&lt;&gt;"",CONCATENATE("MRL",Table6[[#This Row],[label connector case 3 normal mode]],Table6[[#This Row],[label refinements case 3 normal mode]]),"")</f>
        <v/>
      </c>
      <c r="BG479" s="1298" t="s">
        <v>557</v>
      </c>
      <c r="BH479" s="1306"/>
    </row>
    <row r="480" spans="1:60" s="11" customFormat="1" ht="12.75" customHeight="1" x14ac:dyDescent="0.2">
      <c r="A480" s="479" t="s">
        <v>558</v>
      </c>
      <c r="B480" s="480">
        <v>260010</v>
      </c>
      <c r="C480" s="547" t="s">
        <v>402</v>
      </c>
      <c r="D480" s="1261">
        <f>VLOOKUP(Table6[[#This Row],[Code no.]],$B$12:$D$390,3,FALSE)</f>
        <v>0</v>
      </c>
      <c r="E480" s="1264">
        <f t="shared" si="292"/>
        <v>0</v>
      </c>
      <c r="F480" s="1262" t="str">
        <f t="shared" si="308"/>
        <v/>
      </c>
      <c r="G480" s="1265">
        <f t="shared" si="293"/>
        <v>1</v>
      </c>
      <c r="H480" s="881"/>
      <c r="I480" s="880"/>
      <c r="J480" s="1269">
        <f t="shared" si="294"/>
        <v>0</v>
      </c>
      <c r="K480" s="1269">
        <f t="shared" si="295"/>
        <v>0</v>
      </c>
      <c r="L480" s="1270"/>
      <c r="M480" s="1271" t="str">
        <f t="shared" si="296"/>
        <v/>
      </c>
      <c r="N480" s="1272"/>
      <c r="O480" s="1273">
        <v>1</v>
      </c>
      <c r="P480" s="1273" t="str">
        <f>IF(OR($A$10=$BG$15,Results!$B$62=Results!$T$63),Table6[[#This Row],[label refine mode]],Table6[[#This Row],[label normal mode]])</f>
        <v/>
      </c>
      <c r="Q480" s="1257" t="str">
        <f>IF(OR($A$10=$BG$15,Results!$B$62=Results!$T$63),Table6[[#This Row],[input refined mode]],Table6[[#This Row],[Input normal mode]])</f>
        <v/>
      </c>
      <c r="R480" s="1275" t="str">
        <f>IF(Table6[[#This Row],[Acute RA IESTI new input value]]="","",CONCATENATE(Table6[[#This Row],[label for IESTI new normal mode]],Table6[[#This Row],[label connector IESTI new normal mode]],Table6[[#This Row],[label refinements normal mode]]))</f>
        <v/>
      </c>
      <c r="S480" s="1259">
        <f>IF(OR($A$10=$BG$15,Results!$B$62=Results!$T$63),Table6[[#This Row],[Input for IESTI new refined mode]],Table6[[#This Row],[Input for IESTI new normal mode]])</f>
        <v>0</v>
      </c>
      <c r="T480" s="888"/>
      <c r="U480" s="1283">
        <f t="shared" si="297"/>
        <v>0</v>
      </c>
      <c r="V480" s="1284" t="str">
        <f t="shared" si="298"/>
        <v/>
      </c>
      <c r="W480" s="1285">
        <f>IF($H480&gt;0,$H480,IF(Table6[[#This Row],[CFrisk for residue definition (applicable for unprocessed products)]]&gt;0,Table6[[#This Row],[CFrisk for residue definition (applicable for unprocessed products)]],1))</f>
        <v>1</v>
      </c>
      <c r="X480" s="1285">
        <v>1</v>
      </c>
      <c r="Y480" s="1285">
        <f t="shared" si="299"/>
        <v>1</v>
      </c>
      <c r="Z480" s="1285">
        <f t="shared" si="300"/>
        <v>1</v>
      </c>
      <c r="AA480" s="1285" t="str">
        <f>IF(Table6[[#This Row],[Post-harvest treatment]]="","","Y")</f>
        <v/>
      </c>
      <c r="AB480" s="1285" t="str">
        <f>IF(AND(Table6[[#This Row],[CF used for for calculation]]&lt;&gt;1,Table6[[#This Row],[PF for calculation]]&lt;&gt;1),"CF*PF",IF(Table6[[#This Row],[CF used for for calculation]]&lt;&gt;1,"CF",IF(Table6[[#This Row],[PF for calculation]]&lt;&gt;1,"PF","")))</f>
        <v/>
      </c>
      <c r="AC480" s="1300">
        <f>IF(AND(Table6[[#This Row],[LOQ RAC individual crop]]="Y",Table6[[#This Row],[GAP under assessment]]="N"),Table6[[#This Row],[MRL RAC individual commodity]],Table6[[#This Row],[MRL RAC individual commodity]]*Table6[[#This Row],[CF*PF for calculation]])</f>
        <v>0</v>
      </c>
      <c r="AD480" s="1287">
        <f t="shared" si="301"/>
        <v>0</v>
      </c>
      <c r="AE480" s="1287">
        <f t="shared" si="302"/>
        <v>0</v>
      </c>
      <c r="AF480" s="1288">
        <f>Table6[[#This Row],[IESTI case]]</f>
        <v>1</v>
      </c>
      <c r="AG480"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80" s="1302" t="str">
        <f>IF(Table6[[#This Row],[Input value normal mode case 1, 2a/2b,Po]]&gt;0,
              IF(Table6[[#This Row],[Highest residue * CF*PF]]&gt;"","HR-RAC",
                             IF(Table6[[#This Row],[LOQ RAC individual crop]]="Y","LOQ","MRL")),"")</f>
        <v/>
      </c>
      <c r="AI480" s="1302" t="str">
        <f t="shared" si="303"/>
        <v/>
      </c>
      <c r="AJ480" s="1302" t="str">
        <f>IF(Table6[[#This Row],[Input value normal mode case 1, 2a/2b,Po]]&gt;0,IF(Table6[[#This Row],[label description]]&gt;"",Table6[[#This Row],[label description]],""),"")</f>
        <v/>
      </c>
      <c r="AK480" s="1302" t="str">
        <f>CONCATENATE(Table6[[#This Row],[label for IESTI normal mode case 1, 2a/2b,Po]],Table6[[#This Row],[label connector case  normal mode]],Table6[[#This Row],[label refinements normal mode case 1, 2a/2b,Po]])</f>
        <v/>
      </c>
      <c r="AL480" s="1287" t="str">
        <f>IF(AND(Table6[[#This Row],[Case for acute RA children / adults]]=3,Table6[[#This Row],[Post-harvest treatment]]=""),IF(AND(Table6[[#This Row],[LOQ RAC individual crop]]="Y",M479="N"),Table6[[#This Row],[MRL RAC individual commodity]],IF(Table6[[#This Row],[Median residue*CF*PF]]&gt;0,Table6[[#This Row],[Median residue*CF*PF]],IF(Table6[[#This Row],[MRL*CF*PF or LOQ (if not under assessment and LOQ)]]&gt;0,Table6[[#This Row],[MRL*CF*PF or LOQ (if not under assessment and LOQ)]],""))),"")</f>
        <v/>
      </c>
      <c r="AM480" s="1295" t="str">
        <f>IF(Table6[[#This Row],[input for case 3 normal mode]]&gt;0,IF(Table6[[#This Row],[Median residue*CF*PF]]&gt;0,"STMR-RAC",IF(AND($AC480&gt;0,NOT(V480="Y")),"MRL",IF($V480="Y","LOQ",""))),"")</f>
        <v/>
      </c>
      <c r="AN480" s="1295" t="str">
        <f t="shared" si="304"/>
        <v/>
      </c>
      <c r="AO480" s="1287" t="str">
        <f>IF(Table6[[#This Row],[input for case 3 normal mode]]="","",IF(AND(Table6[[#This Row],[label for case 3 calculation normal mode]]="LOQ",Table6[[#This Row],[GAP under assessment]]="N"),"",IF(Table6[[#This Row],[label description]]&gt;"",Table6[[#This Row],[label description]],"")))</f>
        <v/>
      </c>
      <c r="AP480" s="1287" t="str">
        <f>CONCATENATE(Table6[[#This Row],[label for case 3 calculation normal mode]],Table6[[#This Row],[label connector case 3 normal mode]],Table6[[#This Row],[label refinements case 3 normal mode]])</f>
        <v/>
      </c>
      <c r="AQ480" s="1287" t="str">
        <f>IF(Table6[[#This Row],[GAP under assessment]]="Y",Table6[[#This Row],[Input value normal mode case 1, 2a/2b,Po]],"")</f>
        <v/>
      </c>
      <c r="AR480" s="1287" t="str">
        <f>IF(Table6[[#This Row],[Input value refined mode case 1, 2a/2b,Po]]&gt;0,Table6[[#This Row],[concat label normal mode 1,2a/2b,Po ]],"")</f>
        <v/>
      </c>
      <c r="AS480" s="1303" t="str">
        <f>IF(Table6[[#This Row],[GAP under assessment]]="Y",Table6[[#This Row],[input for case 3 normal mode]],"")</f>
        <v/>
      </c>
      <c r="AT480" s="1287" t="str">
        <f>IF(Table6[[#This Row],[input for case 3 refined mode]]&gt;0,Table6[[#This Row],[concat label normal mode  case 3]],"")</f>
        <v/>
      </c>
      <c r="AU480" s="1295" t="str">
        <f>IF(Table6[[#This Row],[Input value normal mode case 1, 2a/2b,Po]]&gt;0,Table6[[#This Row],[Input value normal mode case 1, 2a/2b,Po]],Table6[[#This Row],[input for case 3 normal mode]])</f>
        <v/>
      </c>
      <c r="AV480" s="1295" t="str">
        <f>IF(Table6[[#This Row],[Input value normal mode case 1, 2a/2b,Po]]&gt;0,Table6[[#This Row],[concat label normal mode 1,2a/2b,Po ]],Table6[[#This Row],[concat label normal mode  case 3]])</f>
        <v/>
      </c>
      <c r="AW480" s="1295" t="str">
        <f>IF(Table6[[#This Row],[Input value refined mode case 1, 2a/2b,Po]]&gt;0,Table6[[#This Row],[Input value refined mode case 1, 2a/2b,Po]],Table6[[#This Row],[input for case 3 refined mode]])</f>
        <v/>
      </c>
      <c r="AX480" s="1295" t="str">
        <f>IF(Table6[[#This Row],[Input value refined mode case 1, 2a/2b,Po]]&gt;0,Table6[[#This Row],[concat label refined mode case 1,2a/2b,Po]],Table6[[#This Row],[label for case 3 calculation refined mode]])</f>
        <v/>
      </c>
      <c r="AY480" s="1287">
        <f t="shared" si="305"/>
        <v>0</v>
      </c>
      <c r="AZ480" s="1295" t="str">
        <f t="shared" si="306"/>
        <v/>
      </c>
      <c r="BA480" s="1295" t="str">
        <f t="shared" si="307"/>
        <v/>
      </c>
      <c r="BB480" s="1287" t="str">
        <f>IF(AND(Table6[[#This Row],[label for IESTI new normal mode]]="LOQ",Table6[[#This Row],[GAP under assessment]]="N"),"",IF(AND($H480&gt;0,$Y480&lt;&gt;1),"CF*PF",IF($H480&gt;0,"CF",IF($Y480&lt;&gt;1,"PF",""))))</f>
        <v/>
      </c>
      <c r="BC480" s="1296"/>
      <c r="BD480" s="1297"/>
      <c r="BE480" s="1304" t="str">
        <f>IF(Table6[[#This Row],[GAP under assessment]]="Y",Table6[[#This Row],[MRL*CF*PF or LOQ (if not under assessment and LOQ)]],"")</f>
        <v/>
      </c>
      <c r="BF480" s="1305" t="str">
        <f>IF(Table6[[#This Row],[Input for IESTI new refined mode]]&lt;&gt;"",CONCATENATE("MRL",Table6[[#This Row],[label connector case 3 normal mode]],Table6[[#This Row],[label refinements case 3 normal mode]]),"")</f>
        <v/>
      </c>
      <c r="BG480" s="1298" t="s">
        <v>558</v>
      </c>
      <c r="BH480" s="1306"/>
    </row>
    <row r="481" spans="1:60" s="11" customFormat="1" ht="12.75" customHeight="1" x14ac:dyDescent="0.2">
      <c r="A481" s="479" t="s">
        <v>559</v>
      </c>
      <c r="B481" s="480">
        <v>260020</v>
      </c>
      <c r="C481" s="547" t="s">
        <v>468</v>
      </c>
      <c r="D481" s="1261">
        <f>VLOOKUP(Table6[[#This Row],[Code no.]],$B$12:$D$390,3,FALSE)</f>
        <v>0</v>
      </c>
      <c r="E481" s="1264">
        <f t="shared" si="292"/>
        <v>0</v>
      </c>
      <c r="F481" s="1262" t="str">
        <f t="shared" si="308"/>
        <v/>
      </c>
      <c r="G481" s="1265">
        <f t="shared" si="293"/>
        <v>1</v>
      </c>
      <c r="H481" s="881"/>
      <c r="I481" s="880"/>
      <c r="J481" s="1269">
        <f t="shared" si="294"/>
        <v>0</v>
      </c>
      <c r="K481" s="1269">
        <f t="shared" si="295"/>
        <v>0</v>
      </c>
      <c r="L481" s="1270"/>
      <c r="M481" s="1271" t="str">
        <f t="shared" si="296"/>
        <v/>
      </c>
      <c r="N481" s="1272"/>
      <c r="O481" s="1273">
        <v>1</v>
      </c>
      <c r="P481" s="1273" t="str">
        <f>IF(OR($A$10=$BG$15,Results!$B$62=Results!$T$63),Table6[[#This Row],[label refine mode]],Table6[[#This Row],[label normal mode]])</f>
        <v/>
      </c>
      <c r="Q481" s="1257" t="str">
        <f>IF(OR($A$10=$BG$15,Results!$B$62=Results!$T$63),Table6[[#This Row],[input refined mode]],Table6[[#This Row],[Input normal mode]])</f>
        <v/>
      </c>
      <c r="R481" s="1275" t="str">
        <f>IF(Table6[[#This Row],[Acute RA IESTI new input value]]="","",CONCATENATE(Table6[[#This Row],[label for IESTI new normal mode]],Table6[[#This Row],[label connector IESTI new normal mode]],Table6[[#This Row],[label refinements normal mode]]))</f>
        <v/>
      </c>
      <c r="S481" s="1259">
        <f>IF(OR($A$10=$BG$15,Results!$B$62=Results!$T$63),Table6[[#This Row],[Input for IESTI new refined mode]],Table6[[#This Row],[Input for IESTI new normal mode]])</f>
        <v>0</v>
      </c>
      <c r="T481" s="888"/>
      <c r="U481" s="1283">
        <f t="shared" si="297"/>
        <v>0</v>
      </c>
      <c r="V481" s="1284" t="str">
        <f t="shared" si="298"/>
        <v/>
      </c>
      <c r="W481" s="1285">
        <f>IF($H481&gt;0,$H481,IF(Table6[[#This Row],[CFrisk for residue definition (applicable for unprocessed products)]]&gt;0,Table6[[#This Row],[CFrisk for residue definition (applicable for unprocessed products)]],1))</f>
        <v>1</v>
      </c>
      <c r="X481" s="1285">
        <v>1</v>
      </c>
      <c r="Y481" s="1285">
        <f t="shared" si="299"/>
        <v>1</v>
      </c>
      <c r="Z481" s="1285">
        <f t="shared" si="300"/>
        <v>1</v>
      </c>
      <c r="AA481" s="1285" t="str">
        <f>IF(Table6[[#This Row],[Post-harvest treatment]]="","","Y")</f>
        <v/>
      </c>
      <c r="AB481" s="1285" t="str">
        <f>IF(AND(Table6[[#This Row],[CF used for for calculation]]&lt;&gt;1,Table6[[#This Row],[PF for calculation]]&lt;&gt;1),"CF*PF",IF(Table6[[#This Row],[CF used for for calculation]]&lt;&gt;1,"CF",IF(Table6[[#This Row],[PF for calculation]]&lt;&gt;1,"PF","")))</f>
        <v/>
      </c>
      <c r="AC481" s="1300">
        <f>IF(AND(Table6[[#This Row],[LOQ RAC individual crop]]="Y",Table6[[#This Row],[GAP under assessment]]="N"),Table6[[#This Row],[MRL RAC individual commodity]],Table6[[#This Row],[MRL RAC individual commodity]]*Table6[[#This Row],[CF*PF for calculation]])</f>
        <v>0</v>
      </c>
      <c r="AD481" s="1287">
        <f t="shared" si="301"/>
        <v>0</v>
      </c>
      <c r="AE481" s="1287">
        <f t="shared" si="302"/>
        <v>0</v>
      </c>
      <c r="AF481" s="1288">
        <f>Table6[[#This Row],[IESTI case]]</f>
        <v>1</v>
      </c>
      <c r="AG481"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81" s="1302" t="str">
        <f>IF(Table6[[#This Row],[Input value normal mode case 1, 2a/2b,Po]]&gt;0,
              IF(Table6[[#This Row],[Highest residue * CF*PF]]&gt;"","HR-RAC",
                             IF(Table6[[#This Row],[LOQ RAC individual crop]]="Y","LOQ","MRL")),"")</f>
        <v/>
      </c>
      <c r="AI481" s="1302" t="str">
        <f t="shared" si="303"/>
        <v/>
      </c>
      <c r="AJ481" s="1302" t="str">
        <f>IF(Table6[[#This Row],[Input value normal mode case 1, 2a/2b,Po]]&gt;0,IF(Table6[[#This Row],[label description]]&gt;"",Table6[[#This Row],[label description]],""),"")</f>
        <v/>
      </c>
      <c r="AK481" s="1302" t="str">
        <f>CONCATENATE(Table6[[#This Row],[label for IESTI normal mode case 1, 2a/2b,Po]],Table6[[#This Row],[label connector case  normal mode]],Table6[[#This Row],[label refinements normal mode case 1, 2a/2b,Po]])</f>
        <v/>
      </c>
      <c r="AL481" s="1287" t="str">
        <f>IF(AND(Table6[[#This Row],[Case for acute RA children / adults]]=3,Table6[[#This Row],[Post-harvest treatment]]=""),IF(AND(Table6[[#This Row],[LOQ RAC individual crop]]="Y",M480="N"),Table6[[#This Row],[MRL RAC individual commodity]],IF(Table6[[#This Row],[Median residue*CF*PF]]&gt;0,Table6[[#This Row],[Median residue*CF*PF]],IF(Table6[[#This Row],[MRL*CF*PF or LOQ (if not under assessment and LOQ)]]&gt;0,Table6[[#This Row],[MRL*CF*PF or LOQ (if not under assessment and LOQ)]],""))),"")</f>
        <v/>
      </c>
      <c r="AM481" s="1295" t="str">
        <f>IF(Table6[[#This Row],[input for case 3 normal mode]]&gt;0,IF(Table6[[#This Row],[Median residue*CF*PF]]&gt;0,"STMR-RAC",IF(AND($AC481&gt;0,NOT(V481="Y")),"MRL",IF($V481="Y","LOQ",""))),"")</f>
        <v/>
      </c>
      <c r="AN481" s="1295" t="str">
        <f t="shared" si="304"/>
        <v/>
      </c>
      <c r="AO481" s="1287" t="str">
        <f>IF(Table6[[#This Row],[input for case 3 normal mode]]="","",IF(AND(Table6[[#This Row],[label for case 3 calculation normal mode]]="LOQ",Table6[[#This Row],[GAP under assessment]]="N"),"",IF(Table6[[#This Row],[label description]]&gt;"",Table6[[#This Row],[label description]],"")))</f>
        <v/>
      </c>
      <c r="AP481" s="1287" t="str">
        <f>CONCATENATE(Table6[[#This Row],[label for case 3 calculation normal mode]],Table6[[#This Row],[label connector case 3 normal mode]],Table6[[#This Row],[label refinements case 3 normal mode]])</f>
        <v/>
      </c>
      <c r="AQ481" s="1287" t="str">
        <f>IF(Table6[[#This Row],[GAP under assessment]]="Y",Table6[[#This Row],[Input value normal mode case 1, 2a/2b,Po]],"")</f>
        <v/>
      </c>
      <c r="AR481" s="1287" t="str">
        <f>IF(Table6[[#This Row],[Input value refined mode case 1, 2a/2b,Po]]&gt;0,Table6[[#This Row],[concat label normal mode 1,2a/2b,Po ]],"")</f>
        <v/>
      </c>
      <c r="AS481" s="1303" t="str">
        <f>IF(Table6[[#This Row],[GAP under assessment]]="Y",Table6[[#This Row],[input for case 3 normal mode]],"")</f>
        <v/>
      </c>
      <c r="AT481" s="1287" t="str">
        <f>IF(Table6[[#This Row],[input for case 3 refined mode]]&gt;0,Table6[[#This Row],[concat label normal mode  case 3]],"")</f>
        <v/>
      </c>
      <c r="AU481" s="1295" t="str">
        <f>IF(Table6[[#This Row],[Input value normal mode case 1, 2a/2b,Po]]&gt;0,Table6[[#This Row],[Input value normal mode case 1, 2a/2b,Po]],Table6[[#This Row],[input for case 3 normal mode]])</f>
        <v/>
      </c>
      <c r="AV481" s="1295" t="str">
        <f>IF(Table6[[#This Row],[Input value normal mode case 1, 2a/2b,Po]]&gt;0,Table6[[#This Row],[concat label normal mode 1,2a/2b,Po ]],Table6[[#This Row],[concat label normal mode  case 3]])</f>
        <v/>
      </c>
      <c r="AW481" s="1295" t="str">
        <f>IF(Table6[[#This Row],[Input value refined mode case 1, 2a/2b,Po]]&gt;0,Table6[[#This Row],[Input value refined mode case 1, 2a/2b,Po]],Table6[[#This Row],[input for case 3 refined mode]])</f>
        <v/>
      </c>
      <c r="AX481" s="1295" t="str">
        <f>IF(Table6[[#This Row],[Input value refined mode case 1, 2a/2b,Po]]&gt;0,Table6[[#This Row],[concat label refined mode case 1,2a/2b,Po]],Table6[[#This Row],[label for case 3 calculation refined mode]])</f>
        <v/>
      </c>
      <c r="AY481" s="1287">
        <f t="shared" si="305"/>
        <v>0</v>
      </c>
      <c r="AZ481" s="1295" t="str">
        <f t="shared" si="306"/>
        <v/>
      </c>
      <c r="BA481" s="1295" t="str">
        <f t="shared" si="307"/>
        <v/>
      </c>
      <c r="BB481" s="1287" t="str">
        <f>IF(AND(Table6[[#This Row],[label for IESTI new normal mode]]="LOQ",Table6[[#This Row],[GAP under assessment]]="N"),"",IF(AND($H481&gt;0,$Y481&lt;&gt;1),"CF*PF",IF($H481&gt;0,"CF",IF($Y481&lt;&gt;1,"PF",""))))</f>
        <v/>
      </c>
      <c r="BC481" s="1296"/>
      <c r="BD481" s="1297"/>
      <c r="BE481" s="1304" t="str">
        <f>IF(Table6[[#This Row],[GAP under assessment]]="Y",Table6[[#This Row],[MRL*CF*PF or LOQ (if not under assessment and LOQ)]],"")</f>
        <v/>
      </c>
      <c r="BF481" s="1305" t="str">
        <f>IF(Table6[[#This Row],[Input for IESTI new refined mode]]&lt;&gt;"",CONCATENATE("MRL",Table6[[#This Row],[label connector case 3 normal mode]],Table6[[#This Row],[label refinements case 3 normal mode]]),"")</f>
        <v/>
      </c>
      <c r="BG481" s="1298" t="s">
        <v>559</v>
      </c>
      <c r="BH481" s="1306"/>
    </row>
    <row r="482" spans="1:60" s="11" customFormat="1" ht="12.75" customHeight="1" x14ac:dyDescent="0.2">
      <c r="A482" s="479" t="s">
        <v>560</v>
      </c>
      <c r="B482" s="480">
        <v>260030</v>
      </c>
      <c r="C482" s="547" t="s">
        <v>469</v>
      </c>
      <c r="D482" s="1261">
        <f>VLOOKUP(Table6[[#This Row],[Code no.]],$B$12:$D$390,3,FALSE)</f>
        <v>0</v>
      </c>
      <c r="E482" s="1264">
        <f t="shared" si="292"/>
        <v>0</v>
      </c>
      <c r="F482" s="1262" t="str">
        <f t="shared" si="308"/>
        <v/>
      </c>
      <c r="G482" s="1265">
        <f t="shared" si="293"/>
        <v>1</v>
      </c>
      <c r="H482" s="881"/>
      <c r="I482" s="880"/>
      <c r="J482" s="1269">
        <f t="shared" si="294"/>
        <v>0</v>
      </c>
      <c r="K482" s="1269">
        <f t="shared" si="295"/>
        <v>0</v>
      </c>
      <c r="L482" s="1270"/>
      <c r="M482" s="1271" t="str">
        <f t="shared" si="296"/>
        <v/>
      </c>
      <c r="N482" s="1272"/>
      <c r="O482" s="1273">
        <v>1</v>
      </c>
      <c r="P482" s="1273" t="str">
        <f>IF(OR($A$10=$BG$15,Results!$B$62=Results!$T$63),Table6[[#This Row],[label refine mode]],Table6[[#This Row],[label normal mode]])</f>
        <v/>
      </c>
      <c r="Q482" s="1257" t="str">
        <f>IF(OR($A$10=$BG$15,Results!$B$62=Results!$T$63),Table6[[#This Row],[input refined mode]],Table6[[#This Row],[Input normal mode]])</f>
        <v/>
      </c>
      <c r="R482" s="1275" t="str">
        <f>IF(Table6[[#This Row],[Acute RA IESTI new input value]]="","",CONCATENATE(Table6[[#This Row],[label for IESTI new normal mode]],Table6[[#This Row],[label connector IESTI new normal mode]],Table6[[#This Row],[label refinements normal mode]]))</f>
        <v/>
      </c>
      <c r="S482" s="1259">
        <f>IF(OR($A$10=$BG$15,Results!$B$62=Results!$T$63),Table6[[#This Row],[Input for IESTI new refined mode]],Table6[[#This Row],[Input for IESTI new normal mode]])</f>
        <v>0</v>
      </c>
      <c r="T482" s="888"/>
      <c r="U482" s="1283">
        <f t="shared" si="297"/>
        <v>0</v>
      </c>
      <c r="V482" s="1284" t="str">
        <f t="shared" si="298"/>
        <v/>
      </c>
      <c r="W482" s="1285">
        <f>IF($H482&gt;0,$H482,IF(Table6[[#This Row],[CFrisk for residue definition (applicable for unprocessed products)]]&gt;0,Table6[[#This Row],[CFrisk for residue definition (applicable for unprocessed products)]],1))</f>
        <v>1</v>
      </c>
      <c r="X482" s="1285">
        <v>1</v>
      </c>
      <c r="Y482" s="1285">
        <f t="shared" si="299"/>
        <v>1</v>
      </c>
      <c r="Z482" s="1285">
        <f t="shared" si="300"/>
        <v>1</v>
      </c>
      <c r="AA482" s="1285" t="str">
        <f>IF(Table6[[#This Row],[Post-harvest treatment]]="","","Y")</f>
        <v/>
      </c>
      <c r="AB482" s="1285" t="str">
        <f>IF(AND(Table6[[#This Row],[CF used for for calculation]]&lt;&gt;1,Table6[[#This Row],[PF for calculation]]&lt;&gt;1),"CF*PF",IF(Table6[[#This Row],[CF used for for calculation]]&lt;&gt;1,"CF",IF(Table6[[#This Row],[PF for calculation]]&lt;&gt;1,"PF","")))</f>
        <v/>
      </c>
      <c r="AC482" s="1300">
        <f>IF(AND(Table6[[#This Row],[LOQ RAC individual crop]]="Y",Table6[[#This Row],[GAP under assessment]]="N"),Table6[[#This Row],[MRL RAC individual commodity]],Table6[[#This Row],[MRL RAC individual commodity]]*Table6[[#This Row],[CF*PF for calculation]])</f>
        <v>0</v>
      </c>
      <c r="AD482" s="1287">
        <f t="shared" si="301"/>
        <v>0</v>
      </c>
      <c r="AE482" s="1287">
        <f t="shared" si="302"/>
        <v>0</v>
      </c>
      <c r="AF482" s="1288">
        <f>Table6[[#This Row],[IESTI case]]</f>
        <v>1</v>
      </c>
      <c r="AG482"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82" s="1302" t="str">
        <f>IF(Table6[[#This Row],[Input value normal mode case 1, 2a/2b,Po]]&gt;0,
              IF(Table6[[#This Row],[Highest residue * CF*PF]]&gt;"","HR-RAC",
                             IF(Table6[[#This Row],[LOQ RAC individual crop]]="Y","LOQ","MRL")),"")</f>
        <v/>
      </c>
      <c r="AI482" s="1302" t="str">
        <f t="shared" si="303"/>
        <v/>
      </c>
      <c r="AJ482" s="1302" t="str">
        <f>IF(Table6[[#This Row],[Input value normal mode case 1, 2a/2b,Po]]&gt;0,IF(Table6[[#This Row],[label description]]&gt;"",Table6[[#This Row],[label description]],""),"")</f>
        <v/>
      </c>
      <c r="AK482" s="1302" t="str">
        <f>CONCATENATE(Table6[[#This Row],[label for IESTI normal mode case 1, 2a/2b,Po]],Table6[[#This Row],[label connector case  normal mode]],Table6[[#This Row],[label refinements normal mode case 1, 2a/2b,Po]])</f>
        <v/>
      </c>
      <c r="AL482" s="1287" t="str">
        <f>IF(AND(Table6[[#This Row],[Case for acute RA children / adults]]=3,Table6[[#This Row],[Post-harvest treatment]]=""),IF(AND(Table6[[#This Row],[LOQ RAC individual crop]]="Y",M481="N"),Table6[[#This Row],[MRL RAC individual commodity]],IF(Table6[[#This Row],[Median residue*CF*PF]]&gt;0,Table6[[#This Row],[Median residue*CF*PF]],IF(Table6[[#This Row],[MRL*CF*PF or LOQ (if not under assessment and LOQ)]]&gt;0,Table6[[#This Row],[MRL*CF*PF or LOQ (if not under assessment and LOQ)]],""))),"")</f>
        <v/>
      </c>
      <c r="AM482" s="1295" t="str">
        <f>IF(Table6[[#This Row],[input for case 3 normal mode]]&gt;0,IF(Table6[[#This Row],[Median residue*CF*PF]]&gt;0,"STMR-RAC",IF(AND($AC482&gt;0,NOT(V482="Y")),"MRL",IF($V482="Y","LOQ",""))),"")</f>
        <v/>
      </c>
      <c r="AN482" s="1295" t="str">
        <f t="shared" si="304"/>
        <v/>
      </c>
      <c r="AO482" s="1287" t="str">
        <f>IF(Table6[[#This Row],[input for case 3 normal mode]]="","",IF(AND(Table6[[#This Row],[label for case 3 calculation normal mode]]="LOQ",Table6[[#This Row],[GAP under assessment]]="N"),"",IF(Table6[[#This Row],[label description]]&gt;"",Table6[[#This Row],[label description]],"")))</f>
        <v/>
      </c>
      <c r="AP482" s="1287" t="str">
        <f>CONCATENATE(Table6[[#This Row],[label for case 3 calculation normal mode]],Table6[[#This Row],[label connector case 3 normal mode]],Table6[[#This Row],[label refinements case 3 normal mode]])</f>
        <v/>
      </c>
      <c r="AQ482" s="1287" t="str">
        <f>IF(Table6[[#This Row],[GAP under assessment]]="Y",Table6[[#This Row],[Input value normal mode case 1, 2a/2b,Po]],"")</f>
        <v/>
      </c>
      <c r="AR482" s="1287" t="str">
        <f>IF(Table6[[#This Row],[Input value refined mode case 1, 2a/2b,Po]]&gt;0,Table6[[#This Row],[concat label normal mode 1,2a/2b,Po ]],"")</f>
        <v/>
      </c>
      <c r="AS482" s="1303" t="str">
        <f>IF(Table6[[#This Row],[GAP under assessment]]="Y",Table6[[#This Row],[input for case 3 normal mode]],"")</f>
        <v/>
      </c>
      <c r="AT482" s="1287" t="str">
        <f>IF(Table6[[#This Row],[input for case 3 refined mode]]&gt;0,Table6[[#This Row],[concat label normal mode  case 3]],"")</f>
        <v/>
      </c>
      <c r="AU482" s="1295" t="str">
        <f>IF(Table6[[#This Row],[Input value normal mode case 1, 2a/2b,Po]]&gt;0,Table6[[#This Row],[Input value normal mode case 1, 2a/2b,Po]],Table6[[#This Row],[input for case 3 normal mode]])</f>
        <v/>
      </c>
      <c r="AV482" s="1295" t="str">
        <f>IF(Table6[[#This Row],[Input value normal mode case 1, 2a/2b,Po]]&gt;0,Table6[[#This Row],[concat label normal mode 1,2a/2b,Po ]],Table6[[#This Row],[concat label normal mode  case 3]])</f>
        <v/>
      </c>
      <c r="AW482" s="1295" t="str">
        <f>IF(Table6[[#This Row],[Input value refined mode case 1, 2a/2b,Po]]&gt;0,Table6[[#This Row],[Input value refined mode case 1, 2a/2b,Po]],Table6[[#This Row],[input for case 3 refined mode]])</f>
        <v/>
      </c>
      <c r="AX482" s="1295" t="str">
        <f>IF(Table6[[#This Row],[Input value refined mode case 1, 2a/2b,Po]]&gt;0,Table6[[#This Row],[concat label refined mode case 1,2a/2b,Po]],Table6[[#This Row],[label for case 3 calculation refined mode]])</f>
        <v/>
      </c>
      <c r="AY482" s="1287">
        <f t="shared" si="305"/>
        <v>0</v>
      </c>
      <c r="AZ482" s="1295" t="str">
        <f t="shared" si="306"/>
        <v/>
      </c>
      <c r="BA482" s="1295" t="str">
        <f t="shared" si="307"/>
        <v/>
      </c>
      <c r="BB482" s="1287" t="str">
        <f>IF(AND(Table6[[#This Row],[label for IESTI new normal mode]]="LOQ",Table6[[#This Row],[GAP under assessment]]="N"),"",IF(AND($H482&gt;0,$Y482&lt;&gt;1),"CF*PF",IF($H482&gt;0,"CF",IF($Y482&lt;&gt;1,"PF",""))))</f>
        <v/>
      </c>
      <c r="BC482" s="1296"/>
      <c r="BD482" s="1297"/>
      <c r="BE482" s="1304" t="str">
        <f>IF(Table6[[#This Row],[GAP under assessment]]="Y",Table6[[#This Row],[MRL*CF*PF or LOQ (if not under assessment and LOQ)]],"")</f>
        <v/>
      </c>
      <c r="BF482" s="1305" t="str">
        <f>IF(Table6[[#This Row],[Input for IESTI new refined mode]]&lt;&gt;"",CONCATENATE("MRL",Table6[[#This Row],[label connector case 3 normal mode]],Table6[[#This Row],[label refinements case 3 normal mode]]),"")</f>
        <v/>
      </c>
      <c r="BG482" s="1298" t="s">
        <v>560</v>
      </c>
      <c r="BH482" s="1306"/>
    </row>
    <row r="483" spans="1:60" s="11" customFormat="1" ht="12.75" customHeight="1" x14ac:dyDescent="0.2">
      <c r="A483" s="479" t="s">
        <v>561</v>
      </c>
      <c r="B483" s="480">
        <v>260040</v>
      </c>
      <c r="C483" s="547" t="s">
        <v>470</v>
      </c>
      <c r="D483" s="1261">
        <f>VLOOKUP(Table6[[#This Row],[Code no.]],$B$12:$D$390,3,FALSE)</f>
        <v>0</v>
      </c>
      <c r="E483" s="1264">
        <f t="shared" si="292"/>
        <v>0</v>
      </c>
      <c r="F483" s="1262" t="str">
        <f t="shared" si="308"/>
        <v/>
      </c>
      <c r="G483" s="1265">
        <f t="shared" si="293"/>
        <v>1</v>
      </c>
      <c r="H483" s="881"/>
      <c r="I483" s="880"/>
      <c r="J483" s="1269">
        <f t="shared" si="294"/>
        <v>0</v>
      </c>
      <c r="K483" s="1269">
        <f t="shared" si="295"/>
        <v>0</v>
      </c>
      <c r="L483" s="1270"/>
      <c r="M483" s="1271" t="str">
        <f t="shared" si="296"/>
        <v/>
      </c>
      <c r="N483" s="1272"/>
      <c r="O483" s="1273">
        <v>1</v>
      </c>
      <c r="P483" s="1273" t="str">
        <f>IF(OR($A$10=$BG$15,Results!$B$62=Results!$T$63),Table6[[#This Row],[label refine mode]],Table6[[#This Row],[label normal mode]])</f>
        <v/>
      </c>
      <c r="Q483" s="1257" t="str">
        <f>IF(OR($A$10=$BG$15,Results!$B$62=Results!$T$63),Table6[[#This Row],[input refined mode]],Table6[[#This Row],[Input normal mode]])</f>
        <v/>
      </c>
      <c r="R483" s="1275" t="str">
        <f>IF(Table6[[#This Row],[Acute RA IESTI new input value]]="","",CONCATENATE(Table6[[#This Row],[label for IESTI new normal mode]],Table6[[#This Row],[label connector IESTI new normal mode]],Table6[[#This Row],[label refinements normal mode]]))</f>
        <v/>
      </c>
      <c r="S483" s="1259">
        <f>IF(OR($A$10=$BG$15,Results!$B$62=Results!$T$63),Table6[[#This Row],[Input for IESTI new refined mode]],Table6[[#This Row],[Input for IESTI new normal mode]])</f>
        <v>0</v>
      </c>
      <c r="T483" s="888"/>
      <c r="U483" s="1283">
        <f t="shared" si="297"/>
        <v>0</v>
      </c>
      <c r="V483" s="1284" t="str">
        <f t="shared" si="298"/>
        <v/>
      </c>
      <c r="W483" s="1285">
        <f>IF($H483&gt;0,$H483,IF(Table6[[#This Row],[CFrisk for residue definition (applicable for unprocessed products)]]&gt;0,Table6[[#This Row],[CFrisk for residue definition (applicable for unprocessed products)]],1))</f>
        <v>1</v>
      </c>
      <c r="X483" s="1285">
        <v>1</v>
      </c>
      <c r="Y483" s="1285">
        <f t="shared" si="299"/>
        <v>1</v>
      </c>
      <c r="Z483" s="1285">
        <f t="shared" si="300"/>
        <v>1</v>
      </c>
      <c r="AA483" s="1285" t="str">
        <f>IF(Table6[[#This Row],[Post-harvest treatment]]="","","Y")</f>
        <v/>
      </c>
      <c r="AB483" s="1285" t="str">
        <f>IF(AND(Table6[[#This Row],[CF used for for calculation]]&lt;&gt;1,Table6[[#This Row],[PF for calculation]]&lt;&gt;1),"CF*PF",IF(Table6[[#This Row],[CF used for for calculation]]&lt;&gt;1,"CF",IF(Table6[[#This Row],[PF for calculation]]&lt;&gt;1,"PF","")))</f>
        <v/>
      </c>
      <c r="AC483" s="1300">
        <f>IF(AND(Table6[[#This Row],[LOQ RAC individual crop]]="Y",Table6[[#This Row],[GAP under assessment]]="N"),Table6[[#This Row],[MRL RAC individual commodity]],Table6[[#This Row],[MRL RAC individual commodity]]*Table6[[#This Row],[CF*PF for calculation]])</f>
        <v>0</v>
      </c>
      <c r="AD483" s="1287">
        <f t="shared" si="301"/>
        <v>0</v>
      </c>
      <c r="AE483" s="1287">
        <f t="shared" si="302"/>
        <v>0</v>
      </c>
      <c r="AF483" s="1288">
        <f>Table6[[#This Row],[IESTI case]]</f>
        <v>1</v>
      </c>
      <c r="AG48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83" s="1302" t="str">
        <f>IF(Table6[[#This Row],[Input value normal mode case 1, 2a/2b,Po]]&gt;0,
              IF(Table6[[#This Row],[Highest residue * CF*PF]]&gt;"","HR-RAC",
                             IF(Table6[[#This Row],[LOQ RAC individual crop]]="Y","LOQ","MRL")),"")</f>
        <v/>
      </c>
      <c r="AI483" s="1302" t="str">
        <f t="shared" si="303"/>
        <v/>
      </c>
      <c r="AJ483" s="1302" t="str">
        <f>IF(Table6[[#This Row],[Input value normal mode case 1, 2a/2b,Po]]&gt;0,IF(Table6[[#This Row],[label description]]&gt;"",Table6[[#This Row],[label description]],""),"")</f>
        <v/>
      </c>
      <c r="AK483" s="1302" t="str">
        <f>CONCATENATE(Table6[[#This Row],[label for IESTI normal mode case 1, 2a/2b,Po]],Table6[[#This Row],[label connector case  normal mode]],Table6[[#This Row],[label refinements normal mode case 1, 2a/2b,Po]])</f>
        <v/>
      </c>
      <c r="AL483" s="1287" t="str">
        <f>IF(AND(Table6[[#This Row],[Case for acute RA children / adults]]=3,Table6[[#This Row],[Post-harvest treatment]]=""),IF(AND(Table6[[#This Row],[LOQ RAC individual crop]]="Y",M482="N"),Table6[[#This Row],[MRL RAC individual commodity]],IF(Table6[[#This Row],[Median residue*CF*PF]]&gt;0,Table6[[#This Row],[Median residue*CF*PF]],IF(Table6[[#This Row],[MRL*CF*PF or LOQ (if not under assessment and LOQ)]]&gt;0,Table6[[#This Row],[MRL*CF*PF or LOQ (if not under assessment and LOQ)]],""))),"")</f>
        <v/>
      </c>
      <c r="AM483" s="1295" t="str">
        <f>IF(Table6[[#This Row],[input for case 3 normal mode]]&gt;0,IF(Table6[[#This Row],[Median residue*CF*PF]]&gt;0,"STMR-RAC",IF(AND($AC483&gt;0,NOT(V483="Y")),"MRL",IF($V483="Y","LOQ",""))),"")</f>
        <v/>
      </c>
      <c r="AN483" s="1295" t="str">
        <f t="shared" si="304"/>
        <v/>
      </c>
      <c r="AO483" s="1287" t="str">
        <f>IF(Table6[[#This Row],[input for case 3 normal mode]]="","",IF(AND(Table6[[#This Row],[label for case 3 calculation normal mode]]="LOQ",Table6[[#This Row],[GAP under assessment]]="N"),"",IF(Table6[[#This Row],[label description]]&gt;"",Table6[[#This Row],[label description]],"")))</f>
        <v/>
      </c>
      <c r="AP483" s="1287" t="str">
        <f>CONCATENATE(Table6[[#This Row],[label for case 3 calculation normal mode]],Table6[[#This Row],[label connector case 3 normal mode]],Table6[[#This Row],[label refinements case 3 normal mode]])</f>
        <v/>
      </c>
      <c r="AQ483" s="1287" t="str">
        <f>IF(Table6[[#This Row],[GAP under assessment]]="Y",Table6[[#This Row],[Input value normal mode case 1, 2a/2b,Po]],"")</f>
        <v/>
      </c>
      <c r="AR483" s="1287" t="str">
        <f>IF(Table6[[#This Row],[Input value refined mode case 1, 2a/2b,Po]]&gt;0,Table6[[#This Row],[concat label normal mode 1,2a/2b,Po ]],"")</f>
        <v/>
      </c>
      <c r="AS483" s="1303" t="str">
        <f>IF(Table6[[#This Row],[GAP under assessment]]="Y",Table6[[#This Row],[input for case 3 normal mode]],"")</f>
        <v/>
      </c>
      <c r="AT483" s="1287" t="str">
        <f>IF(Table6[[#This Row],[input for case 3 refined mode]]&gt;0,Table6[[#This Row],[concat label normal mode  case 3]],"")</f>
        <v/>
      </c>
      <c r="AU483" s="1295" t="str">
        <f>IF(Table6[[#This Row],[Input value normal mode case 1, 2a/2b,Po]]&gt;0,Table6[[#This Row],[Input value normal mode case 1, 2a/2b,Po]],Table6[[#This Row],[input for case 3 normal mode]])</f>
        <v/>
      </c>
      <c r="AV483" s="1295" t="str">
        <f>IF(Table6[[#This Row],[Input value normal mode case 1, 2a/2b,Po]]&gt;0,Table6[[#This Row],[concat label normal mode 1,2a/2b,Po ]],Table6[[#This Row],[concat label normal mode  case 3]])</f>
        <v/>
      </c>
      <c r="AW483" s="1295" t="str">
        <f>IF(Table6[[#This Row],[Input value refined mode case 1, 2a/2b,Po]]&gt;0,Table6[[#This Row],[Input value refined mode case 1, 2a/2b,Po]],Table6[[#This Row],[input for case 3 refined mode]])</f>
        <v/>
      </c>
      <c r="AX483" s="1295" t="str">
        <f>IF(Table6[[#This Row],[Input value refined mode case 1, 2a/2b,Po]]&gt;0,Table6[[#This Row],[concat label refined mode case 1,2a/2b,Po]],Table6[[#This Row],[label for case 3 calculation refined mode]])</f>
        <v/>
      </c>
      <c r="AY483" s="1287">
        <f t="shared" si="305"/>
        <v>0</v>
      </c>
      <c r="AZ483" s="1295" t="str">
        <f t="shared" si="306"/>
        <v/>
      </c>
      <c r="BA483" s="1295" t="str">
        <f t="shared" si="307"/>
        <v/>
      </c>
      <c r="BB483" s="1287" t="str">
        <f>IF(AND(Table6[[#This Row],[label for IESTI new normal mode]]="LOQ",Table6[[#This Row],[GAP under assessment]]="N"),"",IF(AND($H483&gt;0,$Y483&lt;&gt;1),"CF*PF",IF($H483&gt;0,"CF",IF($Y483&lt;&gt;1,"PF",""))))</f>
        <v/>
      </c>
      <c r="BC483" s="1296"/>
      <c r="BD483" s="1297"/>
      <c r="BE483" s="1304" t="str">
        <f>IF(Table6[[#This Row],[GAP under assessment]]="Y",Table6[[#This Row],[MRL*CF*PF or LOQ (if not under assessment and LOQ)]],"")</f>
        <v/>
      </c>
      <c r="BF483" s="1305" t="str">
        <f>IF(Table6[[#This Row],[Input for IESTI new refined mode]]&lt;&gt;"",CONCATENATE("MRL",Table6[[#This Row],[label connector case 3 normal mode]],Table6[[#This Row],[label refinements case 3 normal mode]]),"")</f>
        <v/>
      </c>
      <c r="BG483" s="1298" t="s">
        <v>561</v>
      </c>
      <c r="BH483" s="1306"/>
    </row>
    <row r="484" spans="1:60" s="11" customFormat="1" ht="12.75" customHeight="1" x14ac:dyDescent="0.2">
      <c r="A484" s="479" t="s">
        <v>520</v>
      </c>
      <c r="B484" s="480">
        <v>260040</v>
      </c>
      <c r="C484" s="547" t="s">
        <v>425</v>
      </c>
      <c r="D484" s="1261">
        <f>VLOOKUP(Table6[[#This Row],[Code no.]],$B$12:$D$390,3,FALSE)</f>
        <v>0</v>
      </c>
      <c r="E484" s="1264">
        <f t="shared" si="292"/>
        <v>0</v>
      </c>
      <c r="F484" s="1262" t="str">
        <f t="shared" si="308"/>
        <v/>
      </c>
      <c r="G484" s="1265">
        <f t="shared" si="293"/>
        <v>1</v>
      </c>
      <c r="H484" s="881"/>
      <c r="I484" s="880"/>
      <c r="J484" s="1269">
        <f t="shared" si="294"/>
        <v>0</v>
      </c>
      <c r="K484" s="1269">
        <f t="shared" si="295"/>
        <v>0</v>
      </c>
      <c r="L484" s="1270"/>
      <c r="M484" s="1271" t="str">
        <f t="shared" si="296"/>
        <v/>
      </c>
      <c r="N484" s="1272"/>
      <c r="O484" s="1273">
        <v>3</v>
      </c>
      <c r="P484" s="1273" t="str">
        <f>IF(OR($A$10=$BG$15,Results!$B$62=Results!$T$63),Table6[[#This Row],[label refine mode]],Table6[[#This Row],[label normal mode]])</f>
        <v/>
      </c>
      <c r="Q484" s="1257" t="str">
        <f>IF(OR($A$10=$BG$15,Results!$B$62=Results!$T$63),Table6[[#This Row],[input refined mode]],Table6[[#This Row],[Input normal mode]])</f>
        <v/>
      </c>
      <c r="R484" s="1275" t="str">
        <f>IF(Table6[[#This Row],[Acute RA IESTI new input value]]="","",CONCATENATE(Table6[[#This Row],[label for IESTI new normal mode]],Table6[[#This Row],[label connector IESTI new normal mode]],Table6[[#This Row],[label refinements normal mode]]))</f>
        <v/>
      </c>
      <c r="S484" s="1259">
        <f>IF(OR($A$10=$BG$15,Results!$B$62=Results!$T$63),Table6[[#This Row],[Input for IESTI new refined mode]],Table6[[#This Row],[Input for IESTI new normal mode]])</f>
        <v>0</v>
      </c>
      <c r="T484" s="888"/>
      <c r="U484" s="1283">
        <f t="shared" si="297"/>
        <v>0</v>
      </c>
      <c r="V484" s="1284" t="str">
        <f t="shared" si="298"/>
        <v/>
      </c>
      <c r="W484" s="1285">
        <f>IF($H484&gt;0,$H484,IF(Table6[[#This Row],[CFrisk for residue definition (applicable for unprocessed products)]]&gt;0,Table6[[#This Row],[CFrisk for residue definition (applicable for unprocessed products)]],1))</f>
        <v>1</v>
      </c>
      <c r="X484" s="1285">
        <v>1</v>
      </c>
      <c r="Y484" s="1285">
        <f t="shared" si="299"/>
        <v>1</v>
      </c>
      <c r="Z484" s="1285">
        <f t="shared" si="300"/>
        <v>1</v>
      </c>
      <c r="AA484" s="1285" t="str">
        <f>IF(Table6[[#This Row],[Post-harvest treatment]]="","","Y")</f>
        <v/>
      </c>
      <c r="AB484" s="1285" t="str">
        <f>IF(AND(Table6[[#This Row],[CF used for for calculation]]&lt;&gt;1,Table6[[#This Row],[PF for calculation]]&lt;&gt;1),"CF*PF",IF(Table6[[#This Row],[CF used for for calculation]]&lt;&gt;1,"CF",IF(Table6[[#This Row],[PF for calculation]]&lt;&gt;1,"PF","")))</f>
        <v/>
      </c>
      <c r="AC484" s="1300">
        <f>IF(AND(Table6[[#This Row],[LOQ RAC individual crop]]="Y",Table6[[#This Row],[GAP under assessment]]="N"),Table6[[#This Row],[MRL RAC individual commodity]],Table6[[#This Row],[MRL RAC individual commodity]]*Table6[[#This Row],[CF*PF for calculation]])</f>
        <v>0</v>
      </c>
      <c r="AD484" s="1287">
        <f t="shared" si="301"/>
        <v>0</v>
      </c>
      <c r="AE484" s="1287">
        <f t="shared" si="302"/>
        <v>0</v>
      </c>
      <c r="AF484" s="1288">
        <f>Table6[[#This Row],[IESTI case]]</f>
        <v>3</v>
      </c>
      <c r="AG48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84" s="1302" t="str">
        <f>IF(Table6[[#This Row],[Input value normal mode case 1, 2a/2b,Po]]&gt;0,
              IF(Table6[[#This Row],[Highest residue * CF*PF]]&gt;"","HR-RAC",
                             IF(Table6[[#This Row],[LOQ RAC individual crop]]="Y","LOQ","MRL")),"")</f>
        <v/>
      </c>
      <c r="AI484" s="1302" t="str">
        <f t="shared" si="303"/>
        <v/>
      </c>
      <c r="AJ484" s="1302" t="str">
        <f>IF(Table6[[#This Row],[Input value normal mode case 1, 2a/2b,Po]]&gt;0,IF(Table6[[#This Row],[label description]]&gt;"",Table6[[#This Row],[label description]],""),"")</f>
        <v/>
      </c>
      <c r="AK484" s="1302" t="str">
        <f>CONCATENATE(Table6[[#This Row],[label for IESTI normal mode case 1, 2a/2b,Po]],Table6[[#This Row],[label connector case  normal mode]],Table6[[#This Row],[label refinements normal mode case 1, 2a/2b,Po]])</f>
        <v/>
      </c>
      <c r="AL484" s="1287" t="str">
        <f>IF(AND(Table6[[#This Row],[Case for acute RA children / adults]]=3,Table6[[#This Row],[Post-harvest treatment]]=""),IF(AND(Table6[[#This Row],[LOQ RAC individual crop]]="Y",M483="N"),Table6[[#This Row],[MRL RAC individual commodity]],IF(Table6[[#This Row],[Median residue*CF*PF]]&gt;0,Table6[[#This Row],[Median residue*CF*PF]],IF(Table6[[#This Row],[MRL*CF*PF or LOQ (if not under assessment and LOQ)]]&gt;0,Table6[[#This Row],[MRL*CF*PF or LOQ (if not under assessment and LOQ)]],""))),"")</f>
        <v/>
      </c>
      <c r="AM484" s="1295" t="str">
        <f>IF(Table6[[#This Row],[input for case 3 normal mode]]&gt;0,IF(Table6[[#This Row],[Median residue*CF*PF]]&gt;0,"STMR-RAC",IF(AND($AC484&gt;0,NOT(V484="Y")),"MRL",IF($V484="Y","LOQ",""))),"")</f>
        <v/>
      </c>
      <c r="AN484" s="1295" t="str">
        <f t="shared" si="304"/>
        <v/>
      </c>
      <c r="AO484" s="1287" t="str">
        <f>IF(Table6[[#This Row],[input for case 3 normal mode]]="","",IF(AND(Table6[[#This Row],[label for case 3 calculation normal mode]]="LOQ",Table6[[#This Row],[GAP under assessment]]="N"),"",IF(Table6[[#This Row],[label description]]&gt;"",Table6[[#This Row],[label description]],"")))</f>
        <v/>
      </c>
      <c r="AP484" s="1287" t="str">
        <f>CONCATENATE(Table6[[#This Row],[label for case 3 calculation normal mode]],Table6[[#This Row],[label connector case 3 normal mode]],Table6[[#This Row],[label refinements case 3 normal mode]])</f>
        <v/>
      </c>
      <c r="AQ484" s="1287" t="str">
        <f>IF(Table6[[#This Row],[GAP under assessment]]="Y",Table6[[#This Row],[Input value normal mode case 1, 2a/2b,Po]],"")</f>
        <v/>
      </c>
      <c r="AR484" s="1287" t="str">
        <f>IF(Table6[[#This Row],[Input value refined mode case 1, 2a/2b,Po]]&gt;0,Table6[[#This Row],[concat label normal mode 1,2a/2b,Po ]],"")</f>
        <v/>
      </c>
      <c r="AS484" s="1303" t="str">
        <f>IF(Table6[[#This Row],[GAP under assessment]]="Y",Table6[[#This Row],[input for case 3 normal mode]],"")</f>
        <v/>
      </c>
      <c r="AT484" s="1287" t="str">
        <f>IF(Table6[[#This Row],[input for case 3 refined mode]]&gt;0,Table6[[#This Row],[concat label normal mode  case 3]],"")</f>
        <v/>
      </c>
      <c r="AU484" s="1295" t="str">
        <f>IF(Table6[[#This Row],[Input value normal mode case 1, 2a/2b,Po]]&gt;0,Table6[[#This Row],[Input value normal mode case 1, 2a/2b,Po]],Table6[[#This Row],[input for case 3 normal mode]])</f>
        <v/>
      </c>
      <c r="AV484" s="1295" t="str">
        <f>IF(Table6[[#This Row],[Input value normal mode case 1, 2a/2b,Po]]&gt;0,Table6[[#This Row],[concat label normal mode 1,2a/2b,Po ]],Table6[[#This Row],[concat label normal mode  case 3]])</f>
        <v/>
      </c>
      <c r="AW484" s="1295" t="str">
        <f>IF(Table6[[#This Row],[Input value refined mode case 1, 2a/2b,Po]]&gt;0,Table6[[#This Row],[Input value refined mode case 1, 2a/2b,Po]],Table6[[#This Row],[input for case 3 refined mode]])</f>
        <v/>
      </c>
      <c r="AX484" s="1295" t="str">
        <f>IF(Table6[[#This Row],[Input value refined mode case 1, 2a/2b,Po]]&gt;0,Table6[[#This Row],[concat label refined mode case 1,2a/2b,Po]],Table6[[#This Row],[label for case 3 calculation refined mode]])</f>
        <v/>
      </c>
      <c r="AY484" s="1287">
        <f t="shared" si="305"/>
        <v>0</v>
      </c>
      <c r="AZ484" s="1295" t="str">
        <f t="shared" si="306"/>
        <v/>
      </c>
      <c r="BA484" s="1295" t="str">
        <f t="shared" si="307"/>
        <v/>
      </c>
      <c r="BB484" s="1287" t="str">
        <f>IF(AND(Table6[[#This Row],[label for IESTI new normal mode]]="LOQ",Table6[[#This Row],[GAP under assessment]]="N"),"",IF(AND($H484&gt;0,$Y484&lt;&gt;1),"CF*PF",IF($H484&gt;0,"CF",IF($Y484&lt;&gt;1,"PF",""))))</f>
        <v/>
      </c>
      <c r="BC484" s="1296" t="s">
        <v>369</v>
      </c>
      <c r="BD484" s="1297"/>
      <c r="BE484" s="1304" t="str">
        <f>IF(Table6[[#This Row],[GAP under assessment]]="Y",Table6[[#This Row],[MRL*CF*PF or LOQ (if not under assessment and LOQ)]],"")</f>
        <v/>
      </c>
      <c r="BF484" s="1305" t="str">
        <f>IF(Table6[[#This Row],[Input for IESTI new refined mode]]&lt;&gt;"",CONCATENATE("MRL",Table6[[#This Row],[label connector case 3 normal mode]],Table6[[#This Row],[label refinements case 3 normal mode]]),"")</f>
        <v/>
      </c>
      <c r="BG484" s="1298" t="s">
        <v>520</v>
      </c>
      <c r="BH484" s="1306"/>
    </row>
    <row r="485" spans="1:60" s="11" customFormat="1" ht="12.75" customHeight="1" x14ac:dyDescent="0.2">
      <c r="A485" s="479" t="s">
        <v>562</v>
      </c>
      <c r="B485" s="480">
        <v>270020</v>
      </c>
      <c r="C485" s="547" t="s">
        <v>471</v>
      </c>
      <c r="D485" s="1261">
        <f>VLOOKUP(Table6[[#This Row],[Code no.]],$B$12:$D$390,3,FALSE)</f>
        <v>0</v>
      </c>
      <c r="E485" s="1264">
        <f t="shared" si="292"/>
        <v>0</v>
      </c>
      <c r="F485" s="1262" t="str">
        <f t="shared" si="308"/>
        <v/>
      </c>
      <c r="G485" s="1265">
        <f t="shared" si="293"/>
        <v>1</v>
      </c>
      <c r="H485" s="881"/>
      <c r="I485" s="880"/>
      <c r="J485" s="1269">
        <f t="shared" si="294"/>
        <v>0</v>
      </c>
      <c r="K485" s="1269">
        <f t="shared" si="295"/>
        <v>0</v>
      </c>
      <c r="L485" s="1276" t="str">
        <f>IF(VLOOKUP($B485,$B$12:$AY$390,$K$2,FALSE)&gt;"",VLOOKUP($B485,$B$12:$AY$390,$K$2,FALSE),"")</f>
        <v/>
      </c>
      <c r="M485" s="1271" t="str">
        <f t="shared" si="296"/>
        <v/>
      </c>
      <c r="N485" s="1272"/>
      <c r="O485" s="1273" t="s">
        <v>654</v>
      </c>
      <c r="P485" s="1273" t="str">
        <f>IF(OR($A$10=$BG$15,Results!$B$62=Results!$T$63),Table6[[#This Row],[label refine mode]],Table6[[#This Row],[label normal mode]])</f>
        <v/>
      </c>
      <c r="Q485" s="1257" t="str">
        <f>IF(OR($A$10=$BG$15,Results!$B$62=Results!$T$63),Table6[[#This Row],[input refined mode]],Table6[[#This Row],[Input normal mode]])</f>
        <v/>
      </c>
      <c r="R485" s="1275" t="str">
        <f>IF(Table6[[#This Row],[Acute RA IESTI new input value]]="","",CONCATENATE(Table6[[#This Row],[label for IESTI new normal mode]],Table6[[#This Row],[label connector IESTI new normal mode]],Table6[[#This Row],[label refinements normal mode]]))</f>
        <v/>
      </c>
      <c r="S485" s="1259">
        <f>IF(OR($A$10=$BG$15,Results!$B$62=Results!$T$63),Table6[[#This Row],[Input for IESTI new refined mode]],Table6[[#This Row],[Input for IESTI new normal mode]])</f>
        <v>0</v>
      </c>
      <c r="T485" s="888"/>
      <c r="U485" s="1283">
        <f t="shared" si="297"/>
        <v>0</v>
      </c>
      <c r="V485" s="1284" t="str">
        <f t="shared" si="298"/>
        <v/>
      </c>
      <c r="W485" s="1285">
        <f>IF($H485&gt;0,$H485,IF(Table6[[#This Row],[CFrisk for residue definition (applicable for unprocessed products)]]&gt;0,Table6[[#This Row],[CFrisk for residue definition (applicable for unprocessed products)]],1))</f>
        <v>1</v>
      </c>
      <c r="X485" s="1285">
        <v>1</v>
      </c>
      <c r="Y485" s="1285">
        <f t="shared" si="299"/>
        <v>1</v>
      </c>
      <c r="Z485" s="1285">
        <f t="shared" si="300"/>
        <v>1</v>
      </c>
      <c r="AA485" s="1285" t="str">
        <f>IF(Table6[[#This Row],[Post-harvest treatment]]="","","Y")</f>
        <v/>
      </c>
      <c r="AB485" s="1285" t="str">
        <f>IF(AND(Table6[[#This Row],[CF used for for calculation]]&lt;&gt;1,Table6[[#This Row],[PF for calculation]]&lt;&gt;1),"CF*PF",IF(Table6[[#This Row],[CF used for for calculation]]&lt;&gt;1,"CF",IF(Table6[[#This Row],[PF for calculation]]&lt;&gt;1,"PF","")))</f>
        <v/>
      </c>
      <c r="AC485" s="1300">
        <f>IF(AND(Table6[[#This Row],[LOQ RAC individual crop]]="Y",Table6[[#This Row],[GAP under assessment]]="N"),Table6[[#This Row],[MRL RAC individual commodity]],Table6[[#This Row],[MRL RAC individual commodity]]*Table6[[#This Row],[CF*PF for calculation]])</f>
        <v>0</v>
      </c>
      <c r="AD485" s="1287">
        <f t="shared" si="301"/>
        <v>0</v>
      </c>
      <c r="AE485" s="1287">
        <f t="shared" si="302"/>
        <v>0</v>
      </c>
      <c r="AF485" s="1307" t="str">
        <f>Table6[[#This Row],[IESTI case]]</f>
        <v>2a/2b</v>
      </c>
      <c r="AG48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85" s="1302" t="str">
        <f>IF(Table6[[#This Row],[Input value normal mode case 1, 2a/2b,Po]]&gt;0,
              IF(Table6[[#This Row],[Highest residue * CF*PF]]&gt;"","HR-RAC",
                             IF(Table6[[#This Row],[LOQ RAC individual crop]]="Y","LOQ","MRL")),"")</f>
        <v/>
      </c>
      <c r="AI485" s="1302" t="str">
        <f t="shared" si="303"/>
        <v/>
      </c>
      <c r="AJ485" s="1302" t="str">
        <f>IF(Table6[[#This Row],[Input value normal mode case 1, 2a/2b,Po]]&gt;0,IF(Table6[[#This Row],[label description]]&gt;"",Table6[[#This Row],[label description]],""),"")</f>
        <v/>
      </c>
      <c r="AK485" s="1302" t="str">
        <f>CONCATENATE(Table6[[#This Row],[label for IESTI normal mode case 1, 2a/2b,Po]],Table6[[#This Row],[label connector case  normal mode]],Table6[[#This Row],[label refinements normal mode case 1, 2a/2b,Po]])</f>
        <v/>
      </c>
      <c r="AL485" s="1287" t="str">
        <f>IF(AND(Table6[[#This Row],[Case for acute RA children / adults]]=3,Table6[[#This Row],[Post-harvest treatment]]=""),IF(AND(Table6[[#This Row],[LOQ RAC individual crop]]="Y",M484="N"),Table6[[#This Row],[MRL RAC individual commodity]],IF(Table6[[#This Row],[Median residue*CF*PF]]&gt;0,Table6[[#This Row],[Median residue*CF*PF]],IF(Table6[[#This Row],[MRL*CF*PF or LOQ (if not under assessment and LOQ)]]&gt;0,Table6[[#This Row],[MRL*CF*PF or LOQ (if not under assessment and LOQ)]],""))),"")</f>
        <v/>
      </c>
      <c r="AM485" s="1295" t="str">
        <f>IF(Table6[[#This Row],[input for case 3 normal mode]]&gt;0,IF(Table6[[#This Row],[Median residue*CF*PF]]&gt;0,"STMR-RAC",IF(AND($AC485&gt;0,NOT(V485="Y")),"MRL",IF($V485="Y","LOQ",""))),"")</f>
        <v/>
      </c>
      <c r="AN485" s="1295" t="str">
        <f t="shared" si="304"/>
        <v/>
      </c>
      <c r="AO485" s="1287" t="str">
        <f>IF(Table6[[#This Row],[input for case 3 normal mode]]="","",IF(AND(Table6[[#This Row],[label for case 3 calculation normal mode]]="LOQ",Table6[[#This Row],[GAP under assessment]]="N"),"",IF(Table6[[#This Row],[label description]]&gt;"",Table6[[#This Row],[label description]],"")))</f>
        <v/>
      </c>
      <c r="AP485" s="1287" t="str">
        <f>CONCATENATE(Table6[[#This Row],[label for case 3 calculation normal mode]],Table6[[#This Row],[label connector case 3 normal mode]],Table6[[#This Row],[label refinements case 3 normal mode]])</f>
        <v/>
      </c>
      <c r="AQ485" s="1287" t="str">
        <f>IF(Table6[[#This Row],[GAP under assessment]]="Y",Table6[[#This Row],[Input value normal mode case 1, 2a/2b,Po]],"")</f>
        <v/>
      </c>
      <c r="AR485" s="1287" t="str">
        <f>IF(Table6[[#This Row],[Input value refined mode case 1, 2a/2b,Po]]&gt;0,Table6[[#This Row],[concat label normal mode 1,2a/2b,Po ]],"")</f>
        <v/>
      </c>
      <c r="AS485" s="1303" t="str">
        <f>IF(Table6[[#This Row],[GAP under assessment]]="Y",Table6[[#This Row],[input for case 3 normal mode]],"")</f>
        <v/>
      </c>
      <c r="AT485" s="1287" t="str">
        <f>IF(Table6[[#This Row],[input for case 3 refined mode]]&gt;0,Table6[[#This Row],[concat label normal mode  case 3]],"")</f>
        <v/>
      </c>
      <c r="AU485" s="1295" t="str">
        <f>IF(Table6[[#This Row],[Input value normal mode case 1, 2a/2b,Po]]&gt;0,Table6[[#This Row],[Input value normal mode case 1, 2a/2b,Po]],Table6[[#This Row],[input for case 3 normal mode]])</f>
        <v/>
      </c>
      <c r="AV485" s="1295" t="str">
        <f>IF(Table6[[#This Row],[Input value normal mode case 1, 2a/2b,Po]]&gt;0,Table6[[#This Row],[concat label normal mode 1,2a/2b,Po ]],Table6[[#This Row],[concat label normal mode  case 3]])</f>
        <v/>
      </c>
      <c r="AW485" s="1295" t="str">
        <f>IF(Table6[[#This Row],[Input value refined mode case 1, 2a/2b,Po]]&gt;0,Table6[[#This Row],[Input value refined mode case 1, 2a/2b,Po]],Table6[[#This Row],[input for case 3 refined mode]])</f>
        <v/>
      </c>
      <c r="AX485" s="1295" t="str">
        <f>IF(Table6[[#This Row],[Input value refined mode case 1, 2a/2b,Po]]&gt;0,Table6[[#This Row],[concat label refined mode case 1,2a/2b,Po]],Table6[[#This Row],[label for case 3 calculation refined mode]])</f>
        <v/>
      </c>
      <c r="AY485" s="1287">
        <f t="shared" si="305"/>
        <v>0</v>
      </c>
      <c r="AZ485" s="1295" t="str">
        <f t="shared" si="306"/>
        <v/>
      </c>
      <c r="BA485" s="1295" t="str">
        <f t="shared" si="307"/>
        <v/>
      </c>
      <c r="BB485" s="1287" t="str">
        <f>IF(AND(Table6[[#This Row],[label for IESTI new normal mode]]="LOQ",Table6[[#This Row],[GAP under assessment]]="N"),"",IF(AND($H485&gt;0,$Y485&lt;&gt;1),"CF*PF",IF($H485&gt;0,"CF",IF($Y485&lt;&gt;1,"PF",""))))</f>
        <v/>
      </c>
      <c r="BC485" s="1296"/>
      <c r="BD485" s="1297"/>
      <c r="BE485" s="1304" t="str">
        <f>IF(Table6[[#This Row],[GAP under assessment]]="Y",Table6[[#This Row],[MRL*CF*PF or LOQ (if not under assessment and LOQ)]],"")</f>
        <v/>
      </c>
      <c r="BF485" s="1305" t="str">
        <f>IF(Table6[[#This Row],[Input for IESTI new refined mode]]&lt;&gt;"",CONCATENATE("MRL",Table6[[#This Row],[label connector case 3 normal mode]],Table6[[#This Row],[label refinements case 3 normal mode]]),"")</f>
        <v/>
      </c>
      <c r="BG485" s="1298" t="s">
        <v>562</v>
      </c>
      <c r="BH485" s="1306"/>
    </row>
    <row r="486" spans="1:60" s="11" customFormat="1" ht="12.75" customHeight="1" x14ac:dyDescent="0.2">
      <c r="A486" s="479" t="s">
        <v>563</v>
      </c>
      <c r="B486" s="480">
        <v>270030</v>
      </c>
      <c r="C486" s="547" t="s">
        <v>851</v>
      </c>
      <c r="D486" s="1261">
        <f>VLOOKUP(Table6[[#This Row],[Code no.]],$B$12:$D$390,3,FALSE)</f>
        <v>0</v>
      </c>
      <c r="E486" s="1264">
        <f t="shared" si="292"/>
        <v>0</v>
      </c>
      <c r="F486" s="1262" t="str">
        <f t="shared" si="308"/>
        <v/>
      </c>
      <c r="G486" s="1265">
        <f t="shared" si="293"/>
        <v>1</v>
      </c>
      <c r="H486" s="881"/>
      <c r="I486" s="880"/>
      <c r="J486" s="1269">
        <f t="shared" si="294"/>
        <v>0</v>
      </c>
      <c r="K486" s="1269">
        <f t="shared" si="295"/>
        <v>0</v>
      </c>
      <c r="L486" s="1276" t="str">
        <f>IF(VLOOKUP($B486,$B$12:$AY$390,$K$2,FALSE)&gt;"",VLOOKUP($B486,$B$12:$AY$390,$K$2,FALSE),"")</f>
        <v/>
      </c>
      <c r="M486" s="1271" t="str">
        <f t="shared" si="296"/>
        <v/>
      </c>
      <c r="N486" s="1272"/>
      <c r="O486" s="1273" t="s">
        <v>654</v>
      </c>
      <c r="P486" s="1273" t="str">
        <f>IF(OR($A$10=$BG$15,Results!$B$62=Results!$T$63),Table6[[#This Row],[label refine mode]],Table6[[#This Row],[label normal mode]])</f>
        <v/>
      </c>
      <c r="Q486" s="1257" t="str">
        <f>IF(OR($A$10=$BG$15,Results!$B$62=Results!$T$63),Table6[[#This Row],[input refined mode]],Table6[[#This Row],[Input normal mode]])</f>
        <v/>
      </c>
      <c r="R486" s="1275" t="str">
        <f>IF(Table6[[#This Row],[Acute RA IESTI new input value]]="","",CONCATENATE(Table6[[#This Row],[label for IESTI new normal mode]],Table6[[#This Row],[label connector IESTI new normal mode]],Table6[[#This Row],[label refinements normal mode]]))</f>
        <v/>
      </c>
      <c r="S486" s="1259">
        <f>IF(OR($A$10=$BG$15,Results!$B$62=Results!$T$63),Table6[[#This Row],[Input for IESTI new refined mode]],Table6[[#This Row],[Input for IESTI new normal mode]])</f>
        <v>0</v>
      </c>
      <c r="T486" s="888"/>
      <c r="U486" s="1283">
        <f t="shared" si="297"/>
        <v>0</v>
      </c>
      <c r="V486" s="1284" t="str">
        <f t="shared" si="298"/>
        <v/>
      </c>
      <c r="W486" s="1285">
        <f>IF($H486&gt;0,$H486,IF(Table6[[#This Row],[CFrisk for residue definition (applicable for unprocessed products)]]&gt;0,Table6[[#This Row],[CFrisk for residue definition (applicable for unprocessed products)]],1))</f>
        <v>1</v>
      </c>
      <c r="X486" s="1285">
        <v>1</v>
      </c>
      <c r="Y486" s="1285">
        <f t="shared" si="299"/>
        <v>1</v>
      </c>
      <c r="Z486" s="1285">
        <f t="shared" si="300"/>
        <v>1</v>
      </c>
      <c r="AA486" s="1285" t="str">
        <f>IF(Table6[[#This Row],[Post-harvest treatment]]="","","Y")</f>
        <v/>
      </c>
      <c r="AB486" s="1285" t="str">
        <f>IF(AND(Table6[[#This Row],[CF used for for calculation]]&lt;&gt;1,Table6[[#This Row],[PF for calculation]]&lt;&gt;1),"CF*PF",IF(Table6[[#This Row],[CF used for for calculation]]&lt;&gt;1,"CF",IF(Table6[[#This Row],[PF for calculation]]&lt;&gt;1,"PF","")))</f>
        <v/>
      </c>
      <c r="AC486" s="1300">
        <f>IF(AND(Table6[[#This Row],[LOQ RAC individual crop]]="Y",Table6[[#This Row],[GAP under assessment]]="N"),Table6[[#This Row],[MRL RAC individual commodity]],Table6[[#This Row],[MRL RAC individual commodity]]*Table6[[#This Row],[CF*PF for calculation]])</f>
        <v>0</v>
      </c>
      <c r="AD486" s="1287">
        <f t="shared" si="301"/>
        <v>0</v>
      </c>
      <c r="AE486" s="1287">
        <f t="shared" si="302"/>
        <v>0</v>
      </c>
      <c r="AF486" s="1307" t="str">
        <f>Table6[[#This Row],[IESTI case]]</f>
        <v>2a/2b</v>
      </c>
      <c r="AG48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86" s="1302" t="str">
        <f>IF(Table6[[#This Row],[Input value normal mode case 1, 2a/2b,Po]]&gt;0,
              IF(Table6[[#This Row],[Highest residue * CF*PF]]&gt;"","HR-RAC",
                             IF(Table6[[#This Row],[LOQ RAC individual crop]]="Y","LOQ","MRL")),"")</f>
        <v/>
      </c>
      <c r="AI486" s="1302" t="str">
        <f t="shared" si="303"/>
        <v/>
      </c>
      <c r="AJ486" s="1302" t="str">
        <f>IF(Table6[[#This Row],[Input value normal mode case 1, 2a/2b,Po]]&gt;0,IF(Table6[[#This Row],[label description]]&gt;"",Table6[[#This Row],[label description]],""),"")</f>
        <v/>
      </c>
      <c r="AK486" s="1302" t="str">
        <f>CONCATENATE(Table6[[#This Row],[label for IESTI normal mode case 1, 2a/2b,Po]],Table6[[#This Row],[label connector case  normal mode]],Table6[[#This Row],[label refinements normal mode case 1, 2a/2b,Po]])</f>
        <v/>
      </c>
      <c r="AL486" s="1287" t="str">
        <f>IF(AND(Table6[[#This Row],[Case for acute RA children / adults]]=3,Table6[[#This Row],[Post-harvest treatment]]=""),IF(AND(Table6[[#This Row],[LOQ RAC individual crop]]="Y",M485="N"),Table6[[#This Row],[MRL RAC individual commodity]],IF(Table6[[#This Row],[Median residue*CF*PF]]&gt;0,Table6[[#This Row],[Median residue*CF*PF]],IF(Table6[[#This Row],[MRL*CF*PF or LOQ (if not under assessment and LOQ)]]&gt;0,Table6[[#This Row],[MRL*CF*PF or LOQ (if not under assessment and LOQ)]],""))),"")</f>
        <v/>
      </c>
      <c r="AM486" s="1295" t="str">
        <f>IF(Table6[[#This Row],[input for case 3 normal mode]]&gt;0,IF(Table6[[#This Row],[Median residue*CF*PF]]&gt;0,"STMR-RAC",IF(AND($AC486&gt;0,NOT(V486="Y")),"MRL",IF($V486="Y","LOQ",""))),"")</f>
        <v/>
      </c>
      <c r="AN486" s="1295" t="str">
        <f t="shared" si="304"/>
        <v/>
      </c>
      <c r="AO486" s="1287" t="str">
        <f>IF(Table6[[#This Row],[input for case 3 normal mode]]="","",IF(AND(Table6[[#This Row],[label for case 3 calculation normal mode]]="LOQ",Table6[[#This Row],[GAP under assessment]]="N"),"",IF(Table6[[#This Row],[label description]]&gt;"",Table6[[#This Row],[label description]],"")))</f>
        <v/>
      </c>
      <c r="AP486" s="1287" t="str">
        <f>CONCATENATE(Table6[[#This Row],[label for case 3 calculation normal mode]],Table6[[#This Row],[label connector case 3 normal mode]],Table6[[#This Row],[label refinements case 3 normal mode]])</f>
        <v/>
      </c>
      <c r="AQ486" s="1287" t="str">
        <f>IF(Table6[[#This Row],[GAP under assessment]]="Y",Table6[[#This Row],[Input value normal mode case 1, 2a/2b,Po]],"")</f>
        <v/>
      </c>
      <c r="AR486" s="1287" t="str">
        <f>IF(Table6[[#This Row],[Input value refined mode case 1, 2a/2b,Po]]&gt;0,Table6[[#This Row],[concat label normal mode 1,2a/2b,Po ]],"")</f>
        <v/>
      </c>
      <c r="AS486" s="1303" t="str">
        <f>IF(Table6[[#This Row],[GAP under assessment]]="Y",Table6[[#This Row],[input for case 3 normal mode]],"")</f>
        <v/>
      </c>
      <c r="AT486" s="1287" t="str">
        <f>IF(Table6[[#This Row],[input for case 3 refined mode]]&gt;0,Table6[[#This Row],[concat label normal mode  case 3]],"")</f>
        <v/>
      </c>
      <c r="AU486" s="1295" t="str">
        <f>IF(Table6[[#This Row],[Input value normal mode case 1, 2a/2b,Po]]&gt;0,Table6[[#This Row],[Input value normal mode case 1, 2a/2b,Po]],Table6[[#This Row],[input for case 3 normal mode]])</f>
        <v/>
      </c>
      <c r="AV486" s="1295" t="str">
        <f>IF(Table6[[#This Row],[Input value normal mode case 1, 2a/2b,Po]]&gt;0,Table6[[#This Row],[concat label normal mode 1,2a/2b,Po ]],Table6[[#This Row],[concat label normal mode  case 3]])</f>
        <v/>
      </c>
      <c r="AW486" s="1295" t="str">
        <f>IF(Table6[[#This Row],[Input value refined mode case 1, 2a/2b,Po]]&gt;0,Table6[[#This Row],[Input value refined mode case 1, 2a/2b,Po]],Table6[[#This Row],[input for case 3 refined mode]])</f>
        <v/>
      </c>
      <c r="AX486" s="1295" t="str">
        <f>IF(Table6[[#This Row],[Input value refined mode case 1, 2a/2b,Po]]&gt;0,Table6[[#This Row],[concat label refined mode case 1,2a/2b,Po]],Table6[[#This Row],[label for case 3 calculation refined mode]])</f>
        <v/>
      </c>
      <c r="AY486" s="1287">
        <f t="shared" si="305"/>
        <v>0</v>
      </c>
      <c r="AZ486" s="1295" t="str">
        <f t="shared" si="306"/>
        <v/>
      </c>
      <c r="BA486" s="1295" t="str">
        <f t="shared" si="307"/>
        <v/>
      </c>
      <c r="BB486" s="1287" t="str">
        <f>IF(AND(Table6[[#This Row],[label for IESTI new normal mode]]="LOQ",Table6[[#This Row],[GAP under assessment]]="N"),"",IF(AND($H486&gt;0,$Y486&lt;&gt;1),"CF*PF",IF($H486&gt;0,"CF",IF($Y486&lt;&gt;1,"PF",""))))</f>
        <v/>
      </c>
      <c r="BC486" s="1296"/>
      <c r="BD486" s="1297"/>
      <c r="BE486" s="1304" t="str">
        <f>IF(Table6[[#This Row],[GAP under assessment]]="Y",Table6[[#This Row],[MRL*CF*PF or LOQ (if not under assessment and LOQ)]],"")</f>
        <v/>
      </c>
      <c r="BF486" s="1305" t="str">
        <f>IF(Table6[[#This Row],[Input for IESTI new refined mode]]&lt;&gt;"",CONCATENATE("MRL",Table6[[#This Row],[label connector case 3 normal mode]],Table6[[#This Row],[label refinements case 3 normal mode]]),"")</f>
        <v/>
      </c>
      <c r="BG486" s="1298" t="s">
        <v>563</v>
      </c>
      <c r="BH486" s="1306"/>
    </row>
    <row r="487" spans="1:60" s="11" customFormat="1" ht="12.75" customHeight="1" x14ac:dyDescent="0.2">
      <c r="A487" s="479" t="s">
        <v>564</v>
      </c>
      <c r="B487" s="480">
        <v>270040</v>
      </c>
      <c r="C487" s="547" t="s">
        <v>835</v>
      </c>
      <c r="D487" s="1261">
        <f>VLOOKUP(Table6[[#This Row],[Code no.]],$B$12:$D$390,3,FALSE)</f>
        <v>0</v>
      </c>
      <c r="E487" s="1264">
        <f t="shared" si="292"/>
        <v>0</v>
      </c>
      <c r="F487" s="1262" t="str">
        <f t="shared" si="308"/>
        <v/>
      </c>
      <c r="G487" s="1265">
        <f t="shared" si="293"/>
        <v>1</v>
      </c>
      <c r="H487" s="881"/>
      <c r="I487" s="880"/>
      <c r="J487" s="1269">
        <f t="shared" si="294"/>
        <v>0</v>
      </c>
      <c r="K487" s="1269">
        <f t="shared" si="295"/>
        <v>0</v>
      </c>
      <c r="L487" s="1276" t="str">
        <f>IF(VLOOKUP($B487,$B$12:$AY$390,$K$2,FALSE)&gt;"",VLOOKUP($B487,$B$12:$AY$390,$K$2,FALSE),"")</f>
        <v/>
      </c>
      <c r="M487" s="1271" t="str">
        <f t="shared" si="296"/>
        <v/>
      </c>
      <c r="N487" s="1272"/>
      <c r="O487" s="1273" t="s">
        <v>654</v>
      </c>
      <c r="P487" s="1273" t="str">
        <f>IF(OR($A$10=$BG$15,Results!$B$62=Results!$T$63),Table6[[#This Row],[label refine mode]],Table6[[#This Row],[label normal mode]])</f>
        <v/>
      </c>
      <c r="Q487" s="1257" t="str">
        <f>IF(OR($A$10=$BG$15,Results!$B$62=Results!$T$63),Table6[[#This Row],[input refined mode]],Table6[[#This Row],[Input normal mode]])</f>
        <v/>
      </c>
      <c r="R487" s="1275" t="str">
        <f>IF(Table6[[#This Row],[Acute RA IESTI new input value]]="","",CONCATENATE(Table6[[#This Row],[label for IESTI new normal mode]],Table6[[#This Row],[label connector IESTI new normal mode]],Table6[[#This Row],[label refinements normal mode]]))</f>
        <v/>
      </c>
      <c r="S487" s="1259">
        <f>IF(OR($A$10=$BG$15,Results!$B$62=Results!$T$63),Table6[[#This Row],[Input for IESTI new refined mode]],Table6[[#This Row],[Input for IESTI new normal mode]])</f>
        <v>0</v>
      </c>
      <c r="T487" s="888"/>
      <c r="U487" s="1283">
        <f t="shared" si="297"/>
        <v>0</v>
      </c>
      <c r="V487" s="1284" t="str">
        <f t="shared" si="298"/>
        <v/>
      </c>
      <c r="W487" s="1285">
        <f>IF($H487&gt;0,$H487,IF(Table6[[#This Row],[CFrisk for residue definition (applicable for unprocessed products)]]&gt;0,Table6[[#This Row],[CFrisk for residue definition (applicable for unprocessed products)]],1))</f>
        <v>1</v>
      </c>
      <c r="X487" s="1285">
        <v>1</v>
      </c>
      <c r="Y487" s="1285">
        <f t="shared" si="299"/>
        <v>1</v>
      </c>
      <c r="Z487" s="1285">
        <f t="shared" si="300"/>
        <v>1</v>
      </c>
      <c r="AA487" s="1285" t="str">
        <f>IF(Table6[[#This Row],[Post-harvest treatment]]="","","Y")</f>
        <v/>
      </c>
      <c r="AB487" s="1285" t="str">
        <f>IF(AND(Table6[[#This Row],[CF used for for calculation]]&lt;&gt;1,Table6[[#This Row],[PF for calculation]]&lt;&gt;1),"CF*PF",IF(Table6[[#This Row],[CF used for for calculation]]&lt;&gt;1,"CF",IF(Table6[[#This Row],[PF for calculation]]&lt;&gt;1,"PF","")))</f>
        <v/>
      </c>
      <c r="AC487" s="1300">
        <f>IF(AND(Table6[[#This Row],[LOQ RAC individual crop]]="Y",Table6[[#This Row],[GAP under assessment]]="N"),Table6[[#This Row],[MRL RAC individual commodity]],Table6[[#This Row],[MRL RAC individual commodity]]*Table6[[#This Row],[CF*PF for calculation]])</f>
        <v>0</v>
      </c>
      <c r="AD487" s="1287">
        <f t="shared" si="301"/>
        <v>0</v>
      </c>
      <c r="AE487" s="1287">
        <f t="shared" si="302"/>
        <v>0</v>
      </c>
      <c r="AF487" s="1307" t="str">
        <f>Table6[[#This Row],[IESTI case]]</f>
        <v>2a/2b</v>
      </c>
      <c r="AG48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87" s="1302" t="str">
        <f>IF(Table6[[#This Row],[Input value normal mode case 1, 2a/2b,Po]]&gt;0,
              IF(Table6[[#This Row],[Highest residue * CF*PF]]&gt;"","HR-RAC",
                             IF(Table6[[#This Row],[LOQ RAC individual crop]]="Y","LOQ","MRL")),"")</f>
        <v/>
      </c>
      <c r="AI487" s="1302" t="str">
        <f t="shared" si="303"/>
        <v/>
      </c>
      <c r="AJ487" s="1302" t="str">
        <f>IF(Table6[[#This Row],[Input value normal mode case 1, 2a/2b,Po]]&gt;0,IF(Table6[[#This Row],[label description]]&gt;"",Table6[[#This Row],[label description]],""),"")</f>
        <v/>
      </c>
      <c r="AK487" s="1302" t="str">
        <f>CONCATENATE(Table6[[#This Row],[label for IESTI normal mode case 1, 2a/2b,Po]],Table6[[#This Row],[label connector case  normal mode]],Table6[[#This Row],[label refinements normal mode case 1, 2a/2b,Po]])</f>
        <v/>
      </c>
      <c r="AL487" s="1287" t="str">
        <f>IF(AND(Table6[[#This Row],[Case for acute RA children / adults]]=3,Table6[[#This Row],[Post-harvest treatment]]=""),IF(AND(Table6[[#This Row],[LOQ RAC individual crop]]="Y",M486="N"),Table6[[#This Row],[MRL RAC individual commodity]],IF(Table6[[#This Row],[Median residue*CF*PF]]&gt;0,Table6[[#This Row],[Median residue*CF*PF]],IF(Table6[[#This Row],[MRL*CF*PF or LOQ (if not under assessment and LOQ)]]&gt;0,Table6[[#This Row],[MRL*CF*PF or LOQ (if not under assessment and LOQ)]],""))),"")</f>
        <v/>
      </c>
      <c r="AM487" s="1295" t="str">
        <f>IF(Table6[[#This Row],[input for case 3 normal mode]]&gt;0,IF(Table6[[#This Row],[Median residue*CF*PF]]&gt;0,"STMR-RAC",IF(AND($AC487&gt;0,NOT(V487="Y")),"MRL",IF($V487="Y","LOQ",""))),"")</f>
        <v/>
      </c>
      <c r="AN487" s="1295" t="str">
        <f t="shared" si="304"/>
        <v/>
      </c>
      <c r="AO487" s="1287" t="str">
        <f>IF(Table6[[#This Row],[input for case 3 normal mode]]="","",IF(AND(Table6[[#This Row],[label for case 3 calculation normal mode]]="LOQ",Table6[[#This Row],[GAP under assessment]]="N"),"",IF(Table6[[#This Row],[label description]]&gt;"",Table6[[#This Row],[label description]],"")))</f>
        <v/>
      </c>
      <c r="AP487" s="1287" t="str">
        <f>CONCATENATE(Table6[[#This Row],[label for case 3 calculation normal mode]],Table6[[#This Row],[label connector case 3 normal mode]],Table6[[#This Row],[label refinements case 3 normal mode]])</f>
        <v/>
      </c>
      <c r="AQ487" s="1287" t="str">
        <f>IF(Table6[[#This Row],[GAP under assessment]]="Y",Table6[[#This Row],[Input value normal mode case 1, 2a/2b,Po]],"")</f>
        <v/>
      </c>
      <c r="AR487" s="1287" t="str">
        <f>IF(Table6[[#This Row],[Input value refined mode case 1, 2a/2b,Po]]&gt;0,Table6[[#This Row],[concat label normal mode 1,2a/2b,Po ]],"")</f>
        <v/>
      </c>
      <c r="AS487" s="1303" t="str">
        <f>IF(Table6[[#This Row],[GAP under assessment]]="Y",Table6[[#This Row],[input for case 3 normal mode]],"")</f>
        <v/>
      </c>
      <c r="AT487" s="1287" t="str">
        <f>IF(Table6[[#This Row],[input for case 3 refined mode]]&gt;0,Table6[[#This Row],[concat label normal mode  case 3]],"")</f>
        <v/>
      </c>
      <c r="AU487" s="1295" t="str">
        <f>IF(Table6[[#This Row],[Input value normal mode case 1, 2a/2b,Po]]&gt;0,Table6[[#This Row],[Input value normal mode case 1, 2a/2b,Po]],Table6[[#This Row],[input for case 3 normal mode]])</f>
        <v/>
      </c>
      <c r="AV487" s="1295" t="str">
        <f>IF(Table6[[#This Row],[Input value normal mode case 1, 2a/2b,Po]]&gt;0,Table6[[#This Row],[concat label normal mode 1,2a/2b,Po ]],Table6[[#This Row],[concat label normal mode  case 3]])</f>
        <v/>
      </c>
      <c r="AW487" s="1295" t="str">
        <f>IF(Table6[[#This Row],[Input value refined mode case 1, 2a/2b,Po]]&gt;0,Table6[[#This Row],[Input value refined mode case 1, 2a/2b,Po]],Table6[[#This Row],[input for case 3 refined mode]])</f>
        <v/>
      </c>
      <c r="AX487" s="1295" t="str">
        <f>IF(Table6[[#This Row],[Input value refined mode case 1, 2a/2b,Po]]&gt;0,Table6[[#This Row],[concat label refined mode case 1,2a/2b,Po]],Table6[[#This Row],[label for case 3 calculation refined mode]])</f>
        <v/>
      </c>
      <c r="AY487" s="1287">
        <f t="shared" si="305"/>
        <v>0</v>
      </c>
      <c r="AZ487" s="1295" t="str">
        <f t="shared" si="306"/>
        <v/>
      </c>
      <c r="BA487" s="1295" t="str">
        <f t="shared" si="307"/>
        <v/>
      </c>
      <c r="BB487" s="1287" t="str">
        <f>IF(AND(Table6[[#This Row],[label for IESTI new normal mode]]="LOQ",Table6[[#This Row],[GAP under assessment]]="N"),"",IF(AND($H487&gt;0,$Y487&lt;&gt;1),"CF*PF",IF($H487&gt;0,"CF",IF($Y487&lt;&gt;1,"PF",""))))</f>
        <v/>
      </c>
      <c r="BC487" s="1296"/>
      <c r="BD487" s="1297"/>
      <c r="BE487" s="1304" t="str">
        <f>IF(Table6[[#This Row],[GAP under assessment]]="Y",Table6[[#This Row],[MRL*CF*PF or LOQ (if not under assessment and LOQ)]],"")</f>
        <v/>
      </c>
      <c r="BF487" s="1305" t="str">
        <f>IF(Table6[[#This Row],[Input for IESTI new refined mode]]&lt;&gt;"",CONCATENATE("MRL",Table6[[#This Row],[label connector case 3 normal mode]],Table6[[#This Row],[label refinements case 3 normal mode]]),"")</f>
        <v/>
      </c>
      <c r="BG487" s="1298" t="s">
        <v>564</v>
      </c>
      <c r="BH487" s="1306"/>
    </row>
    <row r="488" spans="1:60" s="11" customFormat="1" ht="12.75" customHeight="1" x14ac:dyDescent="0.2">
      <c r="A488" s="479" t="s">
        <v>565</v>
      </c>
      <c r="B488" s="480">
        <v>270060</v>
      </c>
      <c r="C488" s="547" t="s">
        <v>836</v>
      </c>
      <c r="D488" s="1261">
        <f>VLOOKUP(Table6[[#This Row],[Code no.]],$B$12:$D$390,3,FALSE)</f>
        <v>0</v>
      </c>
      <c r="E488" s="1264">
        <f t="shared" si="292"/>
        <v>0</v>
      </c>
      <c r="F488" s="1262" t="str">
        <f t="shared" si="308"/>
        <v/>
      </c>
      <c r="G488" s="1265">
        <f t="shared" si="293"/>
        <v>1</v>
      </c>
      <c r="H488" s="881"/>
      <c r="I488" s="880"/>
      <c r="J488" s="1269">
        <f t="shared" si="294"/>
        <v>0</v>
      </c>
      <c r="K488" s="1269">
        <f t="shared" si="295"/>
        <v>0</v>
      </c>
      <c r="L488" s="1276" t="str">
        <f>IF(VLOOKUP($B488,$B$12:$AY$390,$K$2,FALSE)&gt;"",VLOOKUP($B488,$B$12:$AY$390,$K$2,FALSE),"")</f>
        <v/>
      </c>
      <c r="M488" s="1271" t="str">
        <f t="shared" si="296"/>
        <v/>
      </c>
      <c r="N488" s="1272"/>
      <c r="O488" s="1273" t="s">
        <v>654</v>
      </c>
      <c r="P488" s="1273" t="str">
        <f>IF(OR($A$10=$BG$15,Results!$B$62=Results!$T$63),Table6[[#This Row],[label refine mode]],Table6[[#This Row],[label normal mode]])</f>
        <v/>
      </c>
      <c r="Q488" s="1257" t="str">
        <f>IF(OR($A$10=$BG$15,Results!$B$62=Results!$T$63),Table6[[#This Row],[input refined mode]],Table6[[#This Row],[Input normal mode]])</f>
        <v/>
      </c>
      <c r="R488" s="1275" t="str">
        <f>IF(Table6[[#This Row],[Acute RA IESTI new input value]]="","",CONCATENATE(Table6[[#This Row],[label for IESTI new normal mode]],Table6[[#This Row],[label connector IESTI new normal mode]],Table6[[#This Row],[label refinements normal mode]]))</f>
        <v/>
      </c>
      <c r="S488" s="1259">
        <f>IF(OR($A$10=$BG$15,Results!$B$62=Results!$T$63),Table6[[#This Row],[Input for IESTI new refined mode]],Table6[[#This Row],[Input for IESTI new normal mode]])</f>
        <v>0</v>
      </c>
      <c r="T488" s="888"/>
      <c r="U488" s="1283">
        <f t="shared" si="297"/>
        <v>0</v>
      </c>
      <c r="V488" s="1284" t="str">
        <f t="shared" si="298"/>
        <v/>
      </c>
      <c r="W488" s="1285">
        <f>IF($H488&gt;0,$H488,IF(Table6[[#This Row],[CFrisk for residue definition (applicable for unprocessed products)]]&gt;0,Table6[[#This Row],[CFrisk for residue definition (applicable for unprocessed products)]],1))</f>
        <v>1</v>
      </c>
      <c r="X488" s="1285">
        <v>1</v>
      </c>
      <c r="Y488" s="1285">
        <f t="shared" si="299"/>
        <v>1</v>
      </c>
      <c r="Z488" s="1285">
        <f t="shared" si="300"/>
        <v>1</v>
      </c>
      <c r="AA488" s="1285" t="str">
        <f>IF(Table6[[#This Row],[Post-harvest treatment]]="","","Y")</f>
        <v/>
      </c>
      <c r="AB488" s="1285" t="str">
        <f>IF(AND(Table6[[#This Row],[CF used for for calculation]]&lt;&gt;1,Table6[[#This Row],[PF for calculation]]&lt;&gt;1),"CF*PF",IF(Table6[[#This Row],[CF used for for calculation]]&lt;&gt;1,"CF",IF(Table6[[#This Row],[PF for calculation]]&lt;&gt;1,"PF","")))</f>
        <v/>
      </c>
      <c r="AC488" s="1300">
        <f>IF(AND(Table6[[#This Row],[LOQ RAC individual crop]]="Y",Table6[[#This Row],[GAP under assessment]]="N"),Table6[[#This Row],[MRL RAC individual commodity]],Table6[[#This Row],[MRL RAC individual commodity]]*Table6[[#This Row],[CF*PF for calculation]])</f>
        <v>0</v>
      </c>
      <c r="AD488" s="1287">
        <f t="shared" si="301"/>
        <v>0</v>
      </c>
      <c r="AE488" s="1287">
        <f t="shared" si="302"/>
        <v>0</v>
      </c>
      <c r="AF488" s="1307" t="str">
        <f>Table6[[#This Row],[IESTI case]]</f>
        <v>2a/2b</v>
      </c>
      <c r="AG488"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88" s="1302" t="str">
        <f>IF(Table6[[#This Row],[Input value normal mode case 1, 2a/2b,Po]]&gt;0,
              IF(Table6[[#This Row],[Highest residue * CF*PF]]&gt;"","HR-RAC",
                             IF(Table6[[#This Row],[LOQ RAC individual crop]]="Y","LOQ","MRL")),"")</f>
        <v/>
      </c>
      <c r="AI488" s="1302" t="str">
        <f t="shared" si="303"/>
        <v/>
      </c>
      <c r="AJ488" s="1302" t="str">
        <f>IF(Table6[[#This Row],[Input value normal mode case 1, 2a/2b,Po]]&gt;0,IF(Table6[[#This Row],[label description]]&gt;"",Table6[[#This Row],[label description]],""),"")</f>
        <v/>
      </c>
      <c r="AK488" s="1302" t="str">
        <f>CONCATENATE(Table6[[#This Row],[label for IESTI normal mode case 1, 2a/2b,Po]],Table6[[#This Row],[label connector case  normal mode]],Table6[[#This Row],[label refinements normal mode case 1, 2a/2b,Po]])</f>
        <v/>
      </c>
      <c r="AL488" s="1287" t="str">
        <f>IF(AND(Table6[[#This Row],[Case for acute RA children / adults]]=3,Table6[[#This Row],[Post-harvest treatment]]=""),IF(AND(Table6[[#This Row],[LOQ RAC individual crop]]="Y",M487="N"),Table6[[#This Row],[MRL RAC individual commodity]],IF(Table6[[#This Row],[Median residue*CF*PF]]&gt;0,Table6[[#This Row],[Median residue*CF*PF]],IF(Table6[[#This Row],[MRL*CF*PF or LOQ (if not under assessment and LOQ)]]&gt;0,Table6[[#This Row],[MRL*CF*PF or LOQ (if not under assessment and LOQ)]],""))),"")</f>
        <v/>
      </c>
      <c r="AM488" s="1295" t="str">
        <f>IF(Table6[[#This Row],[input for case 3 normal mode]]&gt;0,IF(Table6[[#This Row],[Median residue*CF*PF]]&gt;0,"STMR-RAC",IF(AND($AC488&gt;0,NOT(V488="Y")),"MRL",IF($V488="Y","LOQ",""))),"")</f>
        <v/>
      </c>
      <c r="AN488" s="1295" t="str">
        <f t="shared" si="304"/>
        <v/>
      </c>
      <c r="AO488" s="1287" t="str">
        <f>IF(Table6[[#This Row],[input for case 3 normal mode]]="","",IF(AND(Table6[[#This Row],[label for case 3 calculation normal mode]]="LOQ",Table6[[#This Row],[GAP under assessment]]="N"),"",IF(Table6[[#This Row],[label description]]&gt;"",Table6[[#This Row],[label description]],"")))</f>
        <v/>
      </c>
      <c r="AP488" s="1287" t="str">
        <f>CONCATENATE(Table6[[#This Row],[label for case 3 calculation normal mode]],Table6[[#This Row],[label connector case 3 normal mode]],Table6[[#This Row],[label refinements case 3 normal mode]])</f>
        <v/>
      </c>
      <c r="AQ488" s="1287" t="str">
        <f>IF(Table6[[#This Row],[GAP under assessment]]="Y",Table6[[#This Row],[Input value normal mode case 1, 2a/2b,Po]],"")</f>
        <v/>
      </c>
      <c r="AR488" s="1287" t="str">
        <f>IF(Table6[[#This Row],[Input value refined mode case 1, 2a/2b,Po]]&gt;0,Table6[[#This Row],[concat label normal mode 1,2a/2b,Po ]],"")</f>
        <v/>
      </c>
      <c r="AS488" s="1303" t="str">
        <f>IF(Table6[[#This Row],[GAP under assessment]]="Y",Table6[[#This Row],[input for case 3 normal mode]],"")</f>
        <v/>
      </c>
      <c r="AT488" s="1287" t="str">
        <f>IF(Table6[[#This Row],[input for case 3 refined mode]]&gt;0,Table6[[#This Row],[concat label normal mode  case 3]],"")</f>
        <v/>
      </c>
      <c r="AU488" s="1295" t="str">
        <f>IF(Table6[[#This Row],[Input value normal mode case 1, 2a/2b,Po]]&gt;0,Table6[[#This Row],[Input value normal mode case 1, 2a/2b,Po]],Table6[[#This Row],[input for case 3 normal mode]])</f>
        <v/>
      </c>
      <c r="AV488" s="1295" t="str">
        <f>IF(Table6[[#This Row],[Input value normal mode case 1, 2a/2b,Po]]&gt;0,Table6[[#This Row],[concat label normal mode 1,2a/2b,Po ]],Table6[[#This Row],[concat label normal mode  case 3]])</f>
        <v/>
      </c>
      <c r="AW488" s="1295" t="str">
        <f>IF(Table6[[#This Row],[Input value refined mode case 1, 2a/2b,Po]]&gt;0,Table6[[#This Row],[Input value refined mode case 1, 2a/2b,Po]],Table6[[#This Row],[input for case 3 refined mode]])</f>
        <v/>
      </c>
      <c r="AX488" s="1295" t="str">
        <f>IF(Table6[[#This Row],[Input value refined mode case 1, 2a/2b,Po]]&gt;0,Table6[[#This Row],[concat label refined mode case 1,2a/2b,Po]],Table6[[#This Row],[label for case 3 calculation refined mode]])</f>
        <v/>
      </c>
      <c r="AY488" s="1287">
        <f t="shared" si="305"/>
        <v>0</v>
      </c>
      <c r="AZ488" s="1295" t="str">
        <f t="shared" si="306"/>
        <v/>
      </c>
      <c r="BA488" s="1295" t="str">
        <f t="shared" si="307"/>
        <v/>
      </c>
      <c r="BB488" s="1287" t="str">
        <f>IF(AND(Table6[[#This Row],[label for IESTI new normal mode]]="LOQ",Table6[[#This Row],[GAP under assessment]]="N"),"",IF(AND($H488&gt;0,$Y488&lt;&gt;1),"CF*PF",IF($H488&gt;0,"CF",IF($Y488&lt;&gt;1,"PF",""))))</f>
        <v/>
      </c>
      <c r="BC488" s="1296"/>
      <c r="BD488" s="1297"/>
      <c r="BE488" s="1304" t="str">
        <f>IF(Table6[[#This Row],[GAP under assessment]]="Y",Table6[[#This Row],[MRL*CF*PF or LOQ (if not under assessment and LOQ)]],"")</f>
        <v/>
      </c>
      <c r="BF488" s="1305" t="str">
        <f>IF(Table6[[#This Row],[Input for IESTI new refined mode]]&lt;&gt;"",CONCATENATE("MRL",Table6[[#This Row],[label connector case 3 normal mode]],Table6[[#This Row],[label refinements case 3 normal mode]]),"")</f>
        <v/>
      </c>
      <c r="BG488" s="1298" t="s">
        <v>565</v>
      </c>
      <c r="BH488" s="1306"/>
    </row>
    <row r="489" spans="1:60" s="11" customFormat="1" ht="12.75" customHeight="1" x14ac:dyDescent="0.2">
      <c r="A489" s="479" t="s">
        <v>531</v>
      </c>
      <c r="B489" s="480">
        <v>270070</v>
      </c>
      <c r="C489" s="547" t="s">
        <v>837</v>
      </c>
      <c r="D489" s="1261">
        <f>VLOOKUP(Table6[[#This Row],[Code no.]],$B$12:$D$390,3,FALSE)</f>
        <v>0</v>
      </c>
      <c r="E489" s="1264">
        <f t="shared" si="292"/>
        <v>0</v>
      </c>
      <c r="F489" s="1262" t="str">
        <f t="shared" si="308"/>
        <v/>
      </c>
      <c r="G489" s="1265">
        <f t="shared" si="293"/>
        <v>1</v>
      </c>
      <c r="H489" s="881"/>
      <c r="I489" s="880"/>
      <c r="J489" s="1269">
        <f t="shared" si="294"/>
        <v>0</v>
      </c>
      <c r="K489" s="1269">
        <f t="shared" si="295"/>
        <v>0</v>
      </c>
      <c r="L489" s="1276" t="str">
        <f>IF(VLOOKUP($B489,$B$12:$AY$390,$K$2,FALSE)&gt;"",VLOOKUP($B489,$B$12:$AY$390,$K$2,FALSE),"")</f>
        <v/>
      </c>
      <c r="M489" s="1271" t="str">
        <f t="shared" si="296"/>
        <v/>
      </c>
      <c r="N489" s="1272"/>
      <c r="O489" s="1273" t="s">
        <v>654</v>
      </c>
      <c r="P489" s="1273" t="str">
        <f>IF(OR($A$10=$BG$15,Results!$B$62=Results!$T$63),Table6[[#This Row],[label refine mode]],Table6[[#This Row],[label normal mode]])</f>
        <v/>
      </c>
      <c r="Q489" s="1257" t="str">
        <f>IF(OR($A$10=$BG$15,Results!$B$62=Results!$T$63),Table6[[#This Row],[input refined mode]],Table6[[#This Row],[Input normal mode]])</f>
        <v/>
      </c>
      <c r="R489" s="1275" t="str">
        <f>IF(Table6[[#This Row],[Acute RA IESTI new input value]]="","",CONCATENATE(Table6[[#This Row],[label for IESTI new normal mode]],Table6[[#This Row],[label connector IESTI new normal mode]],Table6[[#This Row],[label refinements normal mode]]))</f>
        <v/>
      </c>
      <c r="S489" s="1259">
        <f>IF(OR($A$10=$BG$15,Results!$B$62=Results!$T$63),Table6[[#This Row],[Input for IESTI new refined mode]],Table6[[#This Row],[Input for IESTI new normal mode]])</f>
        <v>0</v>
      </c>
      <c r="T489" s="888"/>
      <c r="U489" s="1283">
        <f t="shared" si="297"/>
        <v>0</v>
      </c>
      <c r="V489" s="1284" t="str">
        <f t="shared" si="298"/>
        <v/>
      </c>
      <c r="W489" s="1285">
        <f>IF($H489&gt;0,$H489,IF(Table6[[#This Row],[CFrisk for residue definition (applicable for unprocessed products)]]&gt;0,Table6[[#This Row],[CFrisk for residue definition (applicable for unprocessed products)]],1))</f>
        <v>1</v>
      </c>
      <c r="X489" s="1285">
        <v>1</v>
      </c>
      <c r="Y489" s="1285">
        <f t="shared" si="299"/>
        <v>1</v>
      </c>
      <c r="Z489" s="1285">
        <f t="shared" si="300"/>
        <v>1</v>
      </c>
      <c r="AA489" s="1285" t="str">
        <f>IF(Table6[[#This Row],[Post-harvest treatment]]="","","Y")</f>
        <v/>
      </c>
      <c r="AB489" s="1285" t="str">
        <f>IF(AND(Table6[[#This Row],[CF used for for calculation]]&lt;&gt;1,Table6[[#This Row],[PF for calculation]]&lt;&gt;1),"CF*PF",IF(Table6[[#This Row],[CF used for for calculation]]&lt;&gt;1,"CF",IF(Table6[[#This Row],[PF for calculation]]&lt;&gt;1,"PF","")))</f>
        <v/>
      </c>
      <c r="AC489" s="1300">
        <f>IF(AND(Table6[[#This Row],[LOQ RAC individual crop]]="Y",Table6[[#This Row],[GAP under assessment]]="N"),Table6[[#This Row],[MRL RAC individual commodity]],Table6[[#This Row],[MRL RAC individual commodity]]*Table6[[#This Row],[CF*PF for calculation]])</f>
        <v>0</v>
      </c>
      <c r="AD489" s="1287">
        <f t="shared" si="301"/>
        <v>0</v>
      </c>
      <c r="AE489" s="1287">
        <f t="shared" si="302"/>
        <v>0</v>
      </c>
      <c r="AF489" s="1307" t="str">
        <f>Table6[[#This Row],[IESTI case]]</f>
        <v>2a/2b</v>
      </c>
      <c r="AG489"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89" s="1302" t="str">
        <f>IF(Table6[[#This Row],[Input value normal mode case 1, 2a/2b,Po]]&gt;0,
              IF(Table6[[#This Row],[Highest residue * CF*PF]]&gt;"","HR-RAC",
                             IF(Table6[[#This Row],[LOQ RAC individual crop]]="Y","LOQ","MRL")),"")</f>
        <v/>
      </c>
      <c r="AI489" s="1302" t="str">
        <f t="shared" si="303"/>
        <v/>
      </c>
      <c r="AJ489" s="1302" t="str">
        <f>IF(Table6[[#This Row],[Input value normal mode case 1, 2a/2b,Po]]&gt;0,IF(Table6[[#This Row],[label description]]&gt;"",Table6[[#This Row],[label description]],""),"")</f>
        <v/>
      </c>
      <c r="AK489" s="1302" t="str">
        <f>CONCATENATE(Table6[[#This Row],[label for IESTI normal mode case 1, 2a/2b,Po]],Table6[[#This Row],[label connector case  normal mode]],Table6[[#This Row],[label refinements normal mode case 1, 2a/2b,Po]])</f>
        <v/>
      </c>
      <c r="AL489" s="1287" t="str">
        <f>IF(AND(Table6[[#This Row],[Case for acute RA children / adults]]=3,Table6[[#This Row],[Post-harvest treatment]]=""),IF(AND(Table6[[#This Row],[LOQ RAC individual crop]]="Y",M488="N"),Table6[[#This Row],[MRL RAC individual commodity]],IF(Table6[[#This Row],[Median residue*CF*PF]]&gt;0,Table6[[#This Row],[Median residue*CF*PF]],IF(Table6[[#This Row],[MRL*CF*PF or LOQ (if not under assessment and LOQ)]]&gt;0,Table6[[#This Row],[MRL*CF*PF or LOQ (if not under assessment and LOQ)]],""))),"")</f>
        <v/>
      </c>
      <c r="AM489" s="1295" t="str">
        <f>IF(Table6[[#This Row],[input for case 3 normal mode]]&gt;0,IF(Table6[[#This Row],[Median residue*CF*PF]]&gt;0,"STMR-RAC",IF(AND($AC489&gt;0,NOT(V489="Y")),"MRL",IF($V489="Y","LOQ",""))),"")</f>
        <v/>
      </c>
      <c r="AN489" s="1295" t="str">
        <f t="shared" si="304"/>
        <v/>
      </c>
      <c r="AO489" s="1287" t="str">
        <f>IF(Table6[[#This Row],[input for case 3 normal mode]]="","",IF(AND(Table6[[#This Row],[label for case 3 calculation normal mode]]="LOQ",Table6[[#This Row],[GAP under assessment]]="N"),"",IF(Table6[[#This Row],[label description]]&gt;"",Table6[[#This Row],[label description]],"")))</f>
        <v/>
      </c>
      <c r="AP489" s="1287" t="str">
        <f>CONCATENATE(Table6[[#This Row],[label for case 3 calculation normal mode]],Table6[[#This Row],[label connector case 3 normal mode]],Table6[[#This Row],[label refinements case 3 normal mode]])</f>
        <v/>
      </c>
      <c r="AQ489" s="1287" t="str">
        <f>IF(Table6[[#This Row],[GAP under assessment]]="Y",Table6[[#This Row],[Input value normal mode case 1, 2a/2b,Po]],"")</f>
        <v/>
      </c>
      <c r="AR489" s="1287" t="str">
        <f>IF(Table6[[#This Row],[Input value refined mode case 1, 2a/2b,Po]]&gt;0,Table6[[#This Row],[concat label normal mode 1,2a/2b,Po ]],"")</f>
        <v/>
      </c>
      <c r="AS489" s="1303" t="str">
        <f>IF(Table6[[#This Row],[GAP under assessment]]="Y",Table6[[#This Row],[input for case 3 normal mode]],"")</f>
        <v/>
      </c>
      <c r="AT489" s="1287" t="str">
        <f>IF(Table6[[#This Row],[input for case 3 refined mode]]&gt;0,Table6[[#This Row],[concat label normal mode  case 3]],"")</f>
        <v/>
      </c>
      <c r="AU489" s="1295" t="str">
        <f>IF(Table6[[#This Row],[Input value normal mode case 1, 2a/2b,Po]]&gt;0,Table6[[#This Row],[Input value normal mode case 1, 2a/2b,Po]],Table6[[#This Row],[input for case 3 normal mode]])</f>
        <v/>
      </c>
      <c r="AV489" s="1295" t="str">
        <f>IF(Table6[[#This Row],[Input value normal mode case 1, 2a/2b,Po]]&gt;0,Table6[[#This Row],[concat label normal mode 1,2a/2b,Po ]],Table6[[#This Row],[concat label normal mode  case 3]])</f>
        <v/>
      </c>
      <c r="AW489" s="1295" t="str">
        <f>IF(Table6[[#This Row],[Input value refined mode case 1, 2a/2b,Po]]&gt;0,Table6[[#This Row],[Input value refined mode case 1, 2a/2b,Po]],Table6[[#This Row],[input for case 3 refined mode]])</f>
        <v/>
      </c>
      <c r="AX489" s="1295" t="str">
        <f>IF(Table6[[#This Row],[Input value refined mode case 1, 2a/2b,Po]]&gt;0,Table6[[#This Row],[concat label refined mode case 1,2a/2b,Po]],Table6[[#This Row],[label for case 3 calculation refined mode]])</f>
        <v/>
      </c>
      <c r="AY489" s="1287">
        <f t="shared" si="305"/>
        <v>0</v>
      </c>
      <c r="AZ489" s="1295" t="str">
        <f t="shared" si="306"/>
        <v/>
      </c>
      <c r="BA489" s="1295" t="str">
        <f t="shared" si="307"/>
        <v/>
      </c>
      <c r="BB489" s="1287" t="str">
        <f>IF(AND(Table6[[#This Row],[label for IESTI new normal mode]]="LOQ",Table6[[#This Row],[GAP under assessment]]="N"),"",IF(AND($H489&gt;0,$Y489&lt;&gt;1),"CF*PF",IF($H489&gt;0,"CF",IF($Y489&lt;&gt;1,"PF",""))))</f>
        <v/>
      </c>
      <c r="BC489" s="1296"/>
      <c r="BD489" s="1297"/>
      <c r="BE489" s="1304" t="str">
        <f>IF(Table6[[#This Row],[GAP under assessment]]="Y",Table6[[#This Row],[MRL*CF*PF or LOQ (if not under assessment and LOQ)]],"")</f>
        <v/>
      </c>
      <c r="BF489" s="1305" t="str">
        <f>IF(Table6[[#This Row],[Input for IESTI new refined mode]]&lt;&gt;"",CONCATENATE("MRL",Table6[[#This Row],[label connector case 3 normal mode]],Table6[[#This Row],[label refinements case 3 normal mode]]),"")</f>
        <v/>
      </c>
      <c r="BG489" s="1298" t="s">
        <v>531</v>
      </c>
      <c r="BH489" s="1306"/>
    </row>
    <row r="490" spans="1:60" s="11" customFormat="1" ht="12.75" customHeight="1" x14ac:dyDescent="0.2">
      <c r="A490" s="479" t="s">
        <v>521</v>
      </c>
      <c r="B490" s="480">
        <v>270090</v>
      </c>
      <c r="C490" s="547" t="s">
        <v>472</v>
      </c>
      <c r="D490" s="1261">
        <f>VLOOKUP(Table6[[#This Row],[Code no.]],$B$12:$D$390,3,FALSE)</f>
        <v>0</v>
      </c>
      <c r="E490" s="1264">
        <f t="shared" si="292"/>
        <v>0</v>
      </c>
      <c r="F490" s="1262" t="str">
        <f t="shared" si="308"/>
        <v/>
      </c>
      <c r="G490" s="1265">
        <f t="shared" si="293"/>
        <v>1</v>
      </c>
      <c r="H490" s="881"/>
      <c r="I490" s="880"/>
      <c r="J490" s="1269">
        <f t="shared" si="294"/>
        <v>0</v>
      </c>
      <c r="K490" s="1269">
        <f t="shared" si="295"/>
        <v>0</v>
      </c>
      <c r="L490" s="1270"/>
      <c r="M490" s="1271" t="str">
        <f t="shared" si="296"/>
        <v/>
      </c>
      <c r="N490" s="1272"/>
      <c r="O490" s="1273" t="s">
        <v>654</v>
      </c>
      <c r="P490" s="1273" t="str">
        <f>IF(OR($A$10=$BG$15,Results!$B$62=Results!$T$63),Table6[[#This Row],[label refine mode]],Table6[[#This Row],[label normal mode]])</f>
        <v/>
      </c>
      <c r="Q490" s="1257" t="str">
        <f>IF(OR($A$10=$BG$15,Results!$B$62=Results!$T$63),Table6[[#This Row],[input refined mode]],Table6[[#This Row],[Input normal mode]])</f>
        <v/>
      </c>
      <c r="R490" s="1275" t="str">
        <f>IF(Table6[[#This Row],[Acute RA IESTI new input value]]="","",CONCATENATE(Table6[[#This Row],[label for IESTI new normal mode]],Table6[[#This Row],[label connector IESTI new normal mode]],Table6[[#This Row],[label refinements normal mode]]))</f>
        <v/>
      </c>
      <c r="S490" s="1259">
        <f>IF(OR($A$10=$BG$15,Results!$B$62=Results!$T$63),Table6[[#This Row],[Input for IESTI new refined mode]],Table6[[#This Row],[Input for IESTI new normal mode]])</f>
        <v>0</v>
      </c>
      <c r="T490" s="888"/>
      <c r="U490" s="1283">
        <f t="shared" si="297"/>
        <v>0</v>
      </c>
      <c r="V490" s="1284" t="str">
        <f t="shared" si="298"/>
        <v/>
      </c>
      <c r="W490" s="1285">
        <f>IF($H490&gt;0,$H490,IF(Table6[[#This Row],[CFrisk for residue definition (applicable for unprocessed products)]]&gt;0,Table6[[#This Row],[CFrisk for residue definition (applicable for unprocessed products)]],1))</f>
        <v>1</v>
      </c>
      <c r="X490" s="1285">
        <v>1</v>
      </c>
      <c r="Y490" s="1285">
        <f t="shared" si="299"/>
        <v>1</v>
      </c>
      <c r="Z490" s="1285">
        <f t="shared" si="300"/>
        <v>1</v>
      </c>
      <c r="AA490" s="1285" t="str">
        <f>IF(Table6[[#This Row],[Post-harvest treatment]]="","","Y")</f>
        <v/>
      </c>
      <c r="AB490" s="1285" t="str">
        <f>IF(AND(Table6[[#This Row],[CF used for for calculation]]&lt;&gt;1,Table6[[#This Row],[PF for calculation]]&lt;&gt;1),"CF*PF",IF(Table6[[#This Row],[CF used for for calculation]]&lt;&gt;1,"CF",IF(Table6[[#This Row],[PF for calculation]]&lt;&gt;1,"PF","")))</f>
        <v/>
      </c>
      <c r="AC490" s="1300">
        <f>IF(AND(Table6[[#This Row],[LOQ RAC individual crop]]="Y",Table6[[#This Row],[GAP under assessment]]="N"),Table6[[#This Row],[MRL RAC individual commodity]],Table6[[#This Row],[MRL RAC individual commodity]]*Table6[[#This Row],[CF*PF for calculation]])</f>
        <v>0</v>
      </c>
      <c r="AD490" s="1287">
        <f t="shared" si="301"/>
        <v>0</v>
      </c>
      <c r="AE490" s="1287">
        <f t="shared" si="302"/>
        <v>0</v>
      </c>
      <c r="AF490" s="1288" t="str">
        <f>Table6[[#This Row],[IESTI case]]</f>
        <v>2a/2b</v>
      </c>
      <c r="AG490"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90" s="1302" t="str">
        <f>IF(Table6[[#This Row],[Input value normal mode case 1, 2a/2b,Po]]&gt;0,
              IF(Table6[[#This Row],[Highest residue * CF*PF]]&gt;"","HR-RAC",
                             IF(Table6[[#This Row],[LOQ RAC individual crop]]="Y","LOQ","MRL")),"")</f>
        <v/>
      </c>
      <c r="AI490" s="1302" t="str">
        <f t="shared" si="303"/>
        <v/>
      </c>
      <c r="AJ490" s="1302" t="str">
        <f>IF(Table6[[#This Row],[Input value normal mode case 1, 2a/2b,Po]]&gt;0,IF(Table6[[#This Row],[label description]]&gt;"",Table6[[#This Row],[label description]],""),"")</f>
        <v/>
      </c>
      <c r="AK490" s="1302" t="str">
        <f>CONCATENATE(Table6[[#This Row],[label for IESTI normal mode case 1, 2a/2b,Po]],Table6[[#This Row],[label connector case  normal mode]],Table6[[#This Row],[label refinements normal mode case 1, 2a/2b,Po]])</f>
        <v/>
      </c>
      <c r="AL490" s="1287" t="str">
        <f>IF(AND(Table6[[#This Row],[Case for acute RA children / adults]]=3,Table6[[#This Row],[Post-harvest treatment]]=""),IF(AND(Table6[[#This Row],[LOQ RAC individual crop]]="Y",M489="N"),Table6[[#This Row],[MRL RAC individual commodity]],IF(Table6[[#This Row],[Median residue*CF*PF]]&gt;0,Table6[[#This Row],[Median residue*CF*PF]],IF(Table6[[#This Row],[MRL*CF*PF or LOQ (if not under assessment and LOQ)]]&gt;0,Table6[[#This Row],[MRL*CF*PF or LOQ (if not under assessment and LOQ)]],""))),"")</f>
        <v/>
      </c>
      <c r="AM490" s="1295" t="str">
        <f>IF(Table6[[#This Row],[input for case 3 normal mode]]&gt;0,IF(Table6[[#This Row],[Median residue*CF*PF]]&gt;0,"STMR-RAC",IF(AND($AC490&gt;0,NOT(V490="Y")),"MRL",IF($V490="Y","LOQ",""))),"")</f>
        <v/>
      </c>
      <c r="AN490" s="1295" t="str">
        <f t="shared" si="304"/>
        <v/>
      </c>
      <c r="AO490" s="1287" t="str">
        <f>IF(Table6[[#This Row],[input for case 3 normal mode]]="","",IF(AND(Table6[[#This Row],[label for case 3 calculation normal mode]]="LOQ",Table6[[#This Row],[GAP under assessment]]="N"),"",IF(Table6[[#This Row],[label description]]&gt;"",Table6[[#This Row],[label description]],"")))</f>
        <v/>
      </c>
      <c r="AP490" s="1287" t="str">
        <f>CONCATENATE(Table6[[#This Row],[label for case 3 calculation normal mode]],Table6[[#This Row],[label connector case 3 normal mode]],Table6[[#This Row],[label refinements case 3 normal mode]])</f>
        <v/>
      </c>
      <c r="AQ490" s="1287" t="str">
        <f>IF(Table6[[#This Row],[GAP under assessment]]="Y",Table6[[#This Row],[Input value normal mode case 1, 2a/2b,Po]],"")</f>
        <v/>
      </c>
      <c r="AR490" s="1287" t="str">
        <f>IF(Table6[[#This Row],[Input value refined mode case 1, 2a/2b,Po]]&gt;0,Table6[[#This Row],[concat label normal mode 1,2a/2b,Po ]],"")</f>
        <v/>
      </c>
      <c r="AS490" s="1303" t="str">
        <f>IF(Table6[[#This Row],[GAP under assessment]]="Y",Table6[[#This Row],[input for case 3 normal mode]],"")</f>
        <v/>
      </c>
      <c r="AT490" s="1287" t="str">
        <f>IF(Table6[[#This Row],[input for case 3 refined mode]]&gt;0,Table6[[#This Row],[concat label normal mode  case 3]],"")</f>
        <v/>
      </c>
      <c r="AU490" s="1295" t="str">
        <f>IF(Table6[[#This Row],[Input value normal mode case 1, 2a/2b,Po]]&gt;0,Table6[[#This Row],[Input value normal mode case 1, 2a/2b,Po]],Table6[[#This Row],[input for case 3 normal mode]])</f>
        <v/>
      </c>
      <c r="AV490" s="1295" t="str">
        <f>IF(Table6[[#This Row],[Input value normal mode case 1, 2a/2b,Po]]&gt;0,Table6[[#This Row],[concat label normal mode 1,2a/2b,Po ]],Table6[[#This Row],[concat label normal mode  case 3]])</f>
        <v/>
      </c>
      <c r="AW490" s="1295" t="str">
        <f>IF(Table6[[#This Row],[Input value refined mode case 1, 2a/2b,Po]]&gt;0,Table6[[#This Row],[Input value refined mode case 1, 2a/2b,Po]],Table6[[#This Row],[input for case 3 refined mode]])</f>
        <v/>
      </c>
      <c r="AX490" s="1295" t="str">
        <f>IF(Table6[[#This Row],[Input value refined mode case 1, 2a/2b,Po]]&gt;0,Table6[[#This Row],[concat label refined mode case 1,2a/2b,Po]],Table6[[#This Row],[label for case 3 calculation refined mode]])</f>
        <v/>
      </c>
      <c r="AY490" s="1287">
        <f t="shared" si="305"/>
        <v>0</v>
      </c>
      <c r="AZ490" s="1295" t="str">
        <f t="shared" si="306"/>
        <v/>
      </c>
      <c r="BA490" s="1295" t="str">
        <f t="shared" si="307"/>
        <v/>
      </c>
      <c r="BB490" s="1287" t="str">
        <f>IF(AND(Table6[[#This Row],[label for IESTI new normal mode]]="LOQ",Table6[[#This Row],[GAP under assessment]]="N"),"",IF(AND($H490&gt;0,$Y490&lt;&gt;1),"CF*PF",IF($H490&gt;0,"CF",IF($Y490&lt;&gt;1,"PF",""))))</f>
        <v/>
      </c>
      <c r="BC490" s="1296" t="s">
        <v>369</v>
      </c>
      <c r="BD490" s="1297"/>
      <c r="BE490" s="1304" t="str">
        <f>IF(Table6[[#This Row],[GAP under assessment]]="Y",Table6[[#This Row],[MRL*CF*PF or LOQ (if not under assessment and LOQ)]],"")</f>
        <v/>
      </c>
      <c r="BF490" s="1305" t="str">
        <f>IF(Table6[[#This Row],[Input for IESTI new refined mode]]&lt;&gt;"",CONCATENATE("MRL",Table6[[#This Row],[label connector case 3 normal mode]],Table6[[#This Row],[label refinements case 3 normal mode]]),"")</f>
        <v/>
      </c>
      <c r="BG490" s="1298" t="s">
        <v>521</v>
      </c>
      <c r="BH490" s="1306"/>
    </row>
    <row r="491" spans="1:60" s="11" customFormat="1" ht="12.75" customHeight="1" x14ac:dyDescent="0.2">
      <c r="A491" s="479" t="s">
        <v>574</v>
      </c>
      <c r="B491" s="480">
        <v>280010</v>
      </c>
      <c r="C491" s="547" t="s">
        <v>473</v>
      </c>
      <c r="D491" s="1261">
        <f>VLOOKUP(Table6[[#This Row],[Code no.]],$B$12:$D$390,3,FALSE)</f>
        <v>0</v>
      </c>
      <c r="E491" s="1264">
        <f t="shared" si="292"/>
        <v>0</v>
      </c>
      <c r="F491" s="1262" t="str">
        <f t="shared" si="308"/>
        <v/>
      </c>
      <c r="G491" s="1265">
        <f t="shared" si="293"/>
        <v>1</v>
      </c>
      <c r="H491" s="881"/>
      <c r="I491" s="880"/>
      <c r="J491" s="1269">
        <f t="shared" si="294"/>
        <v>0</v>
      </c>
      <c r="K491" s="1269">
        <f t="shared" si="295"/>
        <v>0</v>
      </c>
      <c r="L491" s="1270"/>
      <c r="M491" s="1271" t="str">
        <f t="shared" si="296"/>
        <v/>
      </c>
      <c r="N491" s="1272"/>
      <c r="O491" s="1273">
        <v>1</v>
      </c>
      <c r="P491" s="1273" t="str">
        <f>IF(OR($A$10=$BG$15,Results!$B$62=Results!$T$63),Table6[[#This Row],[label refine mode]],Table6[[#This Row],[label normal mode]])</f>
        <v/>
      </c>
      <c r="Q491" s="1257" t="str">
        <f>IF(OR($A$10=$BG$15,Results!$B$62=Results!$T$63),Table6[[#This Row],[input refined mode]],Table6[[#This Row],[Input normal mode]])</f>
        <v/>
      </c>
      <c r="R491" s="1275" t="str">
        <f>IF(Table6[[#This Row],[Acute RA IESTI new input value]]="","",CONCATENATE(Table6[[#This Row],[label for IESTI new normal mode]],Table6[[#This Row],[label connector IESTI new normal mode]],Table6[[#This Row],[label refinements normal mode]]))</f>
        <v/>
      </c>
      <c r="S491" s="1259">
        <f>IF(OR($A$10=$BG$15,Results!$B$62=Results!$T$63),Table6[[#This Row],[Input for IESTI new refined mode]],Table6[[#This Row],[Input for IESTI new normal mode]])</f>
        <v>0</v>
      </c>
      <c r="T491" s="888"/>
      <c r="U491" s="1283">
        <f t="shared" si="297"/>
        <v>0</v>
      </c>
      <c r="V491" s="1284" t="str">
        <f t="shared" si="298"/>
        <v/>
      </c>
      <c r="W491" s="1285">
        <f>IF($H491&gt;0,$H491,IF(Table6[[#This Row],[CFrisk for residue definition (applicable for unprocessed products)]]&gt;0,Table6[[#This Row],[CFrisk for residue definition (applicable for unprocessed products)]],1))</f>
        <v>1</v>
      </c>
      <c r="X491" s="1285">
        <v>1</v>
      </c>
      <c r="Y491" s="1285">
        <f t="shared" si="299"/>
        <v>1</v>
      </c>
      <c r="Z491" s="1285">
        <f t="shared" si="300"/>
        <v>1</v>
      </c>
      <c r="AA491" s="1285" t="str">
        <f>IF(Table6[[#This Row],[Post-harvest treatment]]="","","Y")</f>
        <v/>
      </c>
      <c r="AB491" s="1285" t="str">
        <f>IF(AND(Table6[[#This Row],[CF used for for calculation]]&lt;&gt;1,Table6[[#This Row],[PF for calculation]]&lt;&gt;1),"CF*PF",IF(Table6[[#This Row],[CF used for for calculation]]&lt;&gt;1,"CF",IF(Table6[[#This Row],[PF for calculation]]&lt;&gt;1,"PF","")))</f>
        <v/>
      </c>
      <c r="AC491" s="1300">
        <f>IF(AND(Table6[[#This Row],[LOQ RAC individual crop]]="Y",Table6[[#This Row],[GAP under assessment]]="N"),Table6[[#This Row],[MRL RAC individual commodity]],Table6[[#This Row],[MRL RAC individual commodity]]*Table6[[#This Row],[CF*PF for calculation]])</f>
        <v>0</v>
      </c>
      <c r="AD491" s="1287">
        <f t="shared" si="301"/>
        <v>0</v>
      </c>
      <c r="AE491" s="1287">
        <f t="shared" si="302"/>
        <v>0</v>
      </c>
      <c r="AF491" s="1288">
        <f>Table6[[#This Row],[IESTI case]]</f>
        <v>1</v>
      </c>
      <c r="AG491"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91" s="1302" t="str">
        <f>IF(Table6[[#This Row],[Input value normal mode case 1, 2a/2b,Po]]&gt;0,
              IF(Table6[[#This Row],[Highest residue * CF*PF]]&gt;"","HR-RAC",
                             IF(Table6[[#This Row],[LOQ RAC individual crop]]="Y","LOQ","MRL")),"")</f>
        <v/>
      </c>
      <c r="AI491" s="1302" t="str">
        <f t="shared" si="303"/>
        <v/>
      </c>
      <c r="AJ491" s="1302" t="str">
        <f>IF(Table6[[#This Row],[Input value normal mode case 1, 2a/2b,Po]]&gt;0,IF(Table6[[#This Row],[label description]]&gt;"",Table6[[#This Row],[label description]],""),"")</f>
        <v/>
      </c>
      <c r="AK491" s="1302" t="str">
        <f>CONCATENATE(Table6[[#This Row],[label for IESTI normal mode case 1, 2a/2b,Po]],Table6[[#This Row],[label connector case  normal mode]],Table6[[#This Row],[label refinements normal mode case 1, 2a/2b,Po]])</f>
        <v/>
      </c>
      <c r="AL491" s="1287" t="str">
        <f>IF(AND(Table6[[#This Row],[Case for acute RA children / adults]]=3,Table6[[#This Row],[Post-harvest treatment]]=""),IF(AND(Table6[[#This Row],[LOQ RAC individual crop]]="Y",M490="N"),Table6[[#This Row],[MRL RAC individual commodity]],IF(Table6[[#This Row],[Median residue*CF*PF]]&gt;0,Table6[[#This Row],[Median residue*CF*PF]],IF(Table6[[#This Row],[MRL*CF*PF or LOQ (if not under assessment and LOQ)]]&gt;0,Table6[[#This Row],[MRL*CF*PF or LOQ (if not under assessment and LOQ)]],""))),"")</f>
        <v/>
      </c>
      <c r="AM491" s="1295" t="str">
        <f>IF(Table6[[#This Row],[input for case 3 normal mode]]&gt;0,IF(Table6[[#This Row],[Median residue*CF*PF]]&gt;0,"STMR-RAC",IF(AND($AC491&gt;0,NOT(V491="Y")),"MRL",IF($V491="Y","LOQ",""))),"")</f>
        <v/>
      </c>
      <c r="AN491" s="1295" t="str">
        <f t="shared" si="304"/>
        <v/>
      </c>
      <c r="AO491" s="1287" t="str">
        <f>IF(Table6[[#This Row],[input for case 3 normal mode]]="","",IF(AND(Table6[[#This Row],[label for case 3 calculation normal mode]]="LOQ",Table6[[#This Row],[GAP under assessment]]="N"),"",IF(Table6[[#This Row],[label description]]&gt;"",Table6[[#This Row],[label description]],"")))</f>
        <v/>
      </c>
      <c r="AP491" s="1287" t="str">
        <f>CONCATENATE(Table6[[#This Row],[label for case 3 calculation normal mode]],Table6[[#This Row],[label connector case 3 normal mode]],Table6[[#This Row],[label refinements case 3 normal mode]])</f>
        <v/>
      </c>
      <c r="AQ491" s="1287" t="str">
        <f>IF(Table6[[#This Row],[GAP under assessment]]="Y",Table6[[#This Row],[Input value normal mode case 1, 2a/2b,Po]],"")</f>
        <v/>
      </c>
      <c r="AR491" s="1287" t="str">
        <f>IF(Table6[[#This Row],[Input value refined mode case 1, 2a/2b,Po]]&gt;0,Table6[[#This Row],[concat label normal mode 1,2a/2b,Po ]],"")</f>
        <v/>
      </c>
      <c r="AS491" s="1303" t="str">
        <f>IF(Table6[[#This Row],[GAP under assessment]]="Y",Table6[[#This Row],[input for case 3 normal mode]],"")</f>
        <v/>
      </c>
      <c r="AT491" s="1287" t="str">
        <f>IF(Table6[[#This Row],[input for case 3 refined mode]]&gt;0,Table6[[#This Row],[concat label normal mode  case 3]],"")</f>
        <v/>
      </c>
      <c r="AU491" s="1295" t="str">
        <f>IF(Table6[[#This Row],[Input value normal mode case 1, 2a/2b,Po]]&gt;0,Table6[[#This Row],[Input value normal mode case 1, 2a/2b,Po]],Table6[[#This Row],[input for case 3 normal mode]])</f>
        <v/>
      </c>
      <c r="AV491" s="1295" t="str">
        <f>IF(Table6[[#This Row],[Input value normal mode case 1, 2a/2b,Po]]&gt;0,Table6[[#This Row],[concat label normal mode 1,2a/2b,Po ]],Table6[[#This Row],[concat label normal mode  case 3]])</f>
        <v/>
      </c>
      <c r="AW491" s="1295" t="str">
        <f>IF(Table6[[#This Row],[Input value refined mode case 1, 2a/2b,Po]]&gt;0,Table6[[#This Row],[Input value refined mode case 1, 2a/2b,Po]],Table6[[#This Row],[input for case 3 refined mode]])</f>
        <v/>
      </c>
      <c r="AX491" s="1295" t="str">
        <f>IF(Table6[[#This Row],[Input value refined mode case 1, 2a/2b,Po]]&gt;0,Table6[[#This Row],[concat label refined mode case 1,2a/2b,Po]],Table6[[#This Row],[label for case 3 calculation refined mode]])</f>
        <v/>
      </c>
      <c r="AY491" s="1287">
        <f t="shared" si="305"/>
        <v>0</v>
      </c>
      <c r="AZ491" s="1295" t="str">
        <f t="shared" si="306"/>
        <v/>
      </c>
      <c r="BA491" s="1295" t="str">
        <f t="shared" si="307"/>
        <v/>
      </c>
      <c r="BB491" s="1287" t="str">
        <f>IF(AND(Table6[[#This Row],[label for IESTI new normal mode]]="LOQ",Table6[[#This Row],[GAP under assessment]]="N"),"",IF(AND($H491&gt;0,$Y491&lt;&gt;1),"CF*PF",IF($H491&gt;0,"CF",IF($Y491&lt;&gt;1,"PF",""))))</f>
        <v/>
      </c>
      <c r="BC491" s="1296"/>
      <c r="BD491" s="1297"/>
      <c r="BE491" s="1304" t="str">
        <f>IF(Table6[[#This Row],[GAP under assessment]]="Y",Table6[[#This Row],[MRL*CF*PF or LOQ (if not under assessment and LOQ)]],"")</f>
        <v/>
      </c>
      <c r="BF491" s="1305" t="str">
        <f>IF(Table6[[#This Row],[Input for IESTI new refined mode]]&lt;&gt;"",CONCATENATE("MRL",Table6[[#This Row],[label connector case 3 normal mode]],Table6[[#This Row],[label refinements case 3 normal mode]]),"")</f>
        <v/>
      </c>
      <c r="BG491" s="1298" t="s">
        <v>574</v>
      </c>
      <c r="BH491" s="1306"/>
    </row>
    <row r="492" spans="1:60" s="11" customFormat="1" ht="12.75" customHeight="1" x14ac:dyDescent="0.2">
      <c r="A492" s="479" t="s">
        <v>522</v>
      </c>
      <c r="B492" s="480">
        <v>280020</v>
      </c>
      <c r="C492" s="547" t="s">
        <v>426</v>
      </c>
      <c r="D492" s="1261">
        <f>VLOOKUP(Table6[[#This Row],[Code no.]],$B$12:$D$390,3,FALSE)</f>
        <v>0</v>
      </c>
      <c r="E492" s="1264">
        <f t="shared" si="292"/>
        <v>0</v>
      </c>
      <c r="F492" s="1262" t="str">
        <f t="shared" si="308"/>
        <v/>
      </c>
      <c r="G492" s="1265">
        <f t="shared" si="293"/>
        <v>1</v>
      </c>
      <c r="H492" s="881"/>
      <c r="I492" s="880"/>
      <c r="J492" s="1269">
        <f t="shared" si="294"/>
        <v>0</v>
      </c>
      <c r="K492" s="1269">
        <f t="shared" si="295"/>
        <v>0</v>
      </c>
      <c r="L492" s="1270"/>
      <c r="M492" s="1271" t="str">
        <f t="shared" si="296"/>
        <v/>
      </c>
      <c r="N492" s="1272"/>
      <c r="O492" s="1273">
        <v>1</v>
      </c>
      <c r="P492" s="1273" t="str">
        <f>IF(OR($A$10=$BG$15,Results!$B$62=Results!$T$63),Table6[[#This Row],[label refine mode]],Table6[[#This Row],[label normal mode]])</f>
        <v/>
      </c>
      <c r="Q492" s="1257" t="str">
        <f>IF(OR($A$10=$BG$15,Results!$B$62=Results!$T$63),Table6[[#This Row],[input refined mode]],Table6[[#This Row],[Input normal mode]])</f>
        <v/>
      </c>
      <c r="R492" s="1275" t="str">
        <f>IF(Table6[[#This Row],[Acute RA IESTI new input value]]="","",CONCATENATE(Table6[[#This Row],[label for IESTI new normal mode]],Table6[[#This Row],[label connector IESTI new normal mode]],Table6[[#This Row],[label refinements normal mode]]))</f>
        <v/>
      </c>
      <c r="S492" s="1259">
        <f>IF(OR($A$10=$BG$15,Results!$B$62=Results!$T$63),Table6[[#This Row],[Input for IESTI new refined mode]],Table6[[#This Row],[Input for IESTI new normal mode]])</f>
        <v>0</v>
      </c>
      <c r="T492" s="888"/>
      <c r="U492" s="1283">
        <f t="shared" si="297"/>
        <v>0</v>
      </c>
      <c r="V492" s="1284" t="str">
        <f t="shared" si="298"/>
        <v/>
      </c>
      <c r="W492" s="1285">
        <f>IF($H492&gt;0,$H492,IF(Table6[[#This Row],[CFrisk for residue definition (applicable for unprocessed products)]]&gt;0,Table6[[#This Row],[CFrisk for residue definition (applicable for unprocessed products)]],1))</f>
        <v>1</v>
      </c>
      <c r="X492" s="1285">
        <v>1</v>
      </c>
      <c r="Y492" s="1285">
        <f t="shared" si="299"/>
        <v>1</v>
      </c>
      <c r="Z492" s="1285">
        <f t="shared" si="300"/>
        <v>1</v>
      </c>
      <c r="AA492" s="1285" t="str">
        <f>IF(Table6[[#This Row],[Post-harvest treatment]]="","","Y")</f>
        <v/>
      </c>
      <c r="AB492" s="1285" t="str">
        <f>IF(AND(Table6[[#This Row],[CF used for for calculation]]&lt;&gt;1,Table6[[#This Row],[PF for calculation]]&lt;&gt;1),"CF*PF",IF(Table6[[#This Row],[CF used for for calculation]]&lt;&gt;1,"CF",IF(Table6[[#This Row],[PF for calculation]]&lt;&gt;1,"PF","")))</f>
        <v/>
      </c>
      <c r="AC492" s="1300">
        <f>IF(AND(Table6[[#This Row],[LOQ RAC individual crop]]="Y",Table6[[#This Row],[GAP under assessment]]="N"),Table6[[#This Row],[MRL RAC individual commodity]],Table6[[#This Row],[MRL RAC individual commodity]]*Table6[[#This Row],[CF*PF for calculation]])</f>
        <v>0</v>
      </c>
      <c r="AD492" s="1287">
        <f t="shared" si="301"/>
        <v>0</v>
      </c>
      <c r="AE492" s="1287">
        <f t="shared" si="302"/>
        <v>0</v>
      </c>
      <c r="AF492" s="1288">
        <f>Table6[[#This Row],[IESTI case]]</f>
        <v>1</v>
      </c>
      <c r="AG492"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92" s="1302" t="str">
        <f>IF(Table6[[#This Row],[Input value normal mode case 1, 2a/2b,Po]]&gt;0,
              IF(Table6[[#This Row],[Highest residue * CF*PF]]&gt;"","HR-RAC",
                             IF(Table6[[#This Row],[LOQ RAC individual crop]]="Y","LOQ","MRL")),"")</f>
        <v/>
      </c>
      <c r="AI492" s="1302" t="str">
        <f t="shared" si="303"/>
        <v/>
      </c>
      <c r="AJ492" s="1302" t="str">
        <f>IF(Table6[[#This Row],[Input value normal mode case 1, 2a/2b,Po]]&gt;0,IF(Table6[[#This Row],[label description]]&gt;"",Table6[[#This Row],[label description]],""),"")</f>
        <v/>
      </c>
      <c r="AK492" s="1302" t="str">
        <f>CONCATENATE(Table6[[#This Row],[label for IESTI normal mode case 1, 2a/2b,Po]],Table6[[#This Row],[label connector case  normal mode]],Table6[[#This Row],[label refinements normal mode case 1, 2a/2b,Po]])</f>
        <v/>
      </c>
      <c r="AL492" s="1287" t="str">
        <f>IF(AND(Table6[[#This Row],[Case for acute RA children / adults]]=3,Table6[[#This Row],[Post-harvest treatment]]=""),IF(AND(Table6[[#This Row],[LOQ RAC individual crop]]="Y",M491="N"),Table6[[#This Row],[MRL RAC individual commodity]],IF(Table6[[#This Row],[Median residue*CF*PF]]&gt;0,Table6[[#This Row],[Median residue*CF*PF]],IF(Table6[[#This Row],[MRL*CF*PF or LOQ (if not under assessment and LOQ)]]&gt;0,Table6[[#This Row],[MRL*CF*PF or LOQ (if not under assessment and LOQ)]],""))),"")</f>
        <v/>
      </c>
      <c r="AM492" s="1295" t="str">
        <f>IF(Table6[[#This Row],[input for case 3 normal mode]]&gt;0,IF(Table6[[#This Row],[Median residue*CF*PF]]&gt;0,"STMR-RAC",IF(AND($AC492&gt;0,NOT(V492="Y")),"MRL",IF($V492="Y","LOQ",""))),"")</f>
        <v/>
      </c>
      <c r="AN492" s="1295" t="str">
        <f t="shared" si="304"/>
        <v/>
      </c>
      <c r="AO492" s="1287" t="str">
        <f>IF(Table6[[#This Row],[input for case 3 normal mode]]="","",IF(AND(Table6[[#This Row],[label for case 3 calculation normal mode]]="LOQ",Table6[[#This Row],[GAP under assessment]]="N"),"",IF(Table6[[#This Row],[label description]]&gt;"",Table6[[#This Row],[label description]],"")))</f>
        <v/>
      </c>
      <c r="AP492" s="1287" t="str">
        <f>CONCATENATE(Table6[[#This Row],[label for case 3 calculation normal mode]],Table6[[#This Row],[label connector case 3 normal mode]],Table6[[#This Row],[label refinements case 3 normal mode]])</f>
        <v/>
      </c>
      <c r="AQ492" s="1287" t="str">
        <f>IF(Table6[[#This Row],[GAP under assessment]]="Y",Table6[[#This Row],[Input value normal mode case 1, 2a/2b,Po]],"")</f>
        <v/>
      </c>
      <c r="AR492" s="1287" t="str">
        <f>IF(Table6[[#This Row],[Input value refined mode case 1, 2a/2b,Po]]&gt;0,Table6[[#This Row],[concat label normal mode 1,2a/2b,Po ]],"")</f>
        <v/>
      </c>
      <c r="AS492" s="1303" t="str">
        <f>IF(Table6[[#This Row],[GAP under assessment]]="Y",Table6[[#This Row],[input for case 3 normal mode]],"")</f>
        <v/>
      </c>
      <c r="AT492" s="1287" t="str">
        <f>IF(Table6[[#This Row],[input for case 3 refined mode]]&gt;0,Table6[[#This Row],[concat label normal mode  case 3]],"")</f>
        <v/>
      </c>
      <c r="AU492" s="1295" t="str">
        <f>IF(Table6[[#This Row],[Input value normal mode case 1, 2a/2b,Po]]&gt;0,Table6[[#This Row],[Input value normal mode case 1, 2a/2b,Po]],Table6[[#This Row],[input for case 3 normal mode]])</f>
        <v/>
      </c>
      <c r="AV492" s="1295" t="str">
        <f>IF(Table6[[#This Row],[Input value normal mode case 1, 2a/2b,Po]]&gt;0,Table6[[#This Row],[concat label normal mode 1,2a/2b,Po ]],Table6[[#This Row],[concat label normal mode  case 3]])</f>
        <v/>
      </c>
      <c r="AW492" s="1295" t="str">
        <f>IF(Table6[[#This Row],[Input value refined mode case 1, 2a/2b,Po]]&gt;0,Table6[[#This Row],[Input value refined mode case 1, 2a/2b,Po]],Table6[[#This Row],[input for case 3 refined mode]])</f>
        <v/>
      </c>
      <c r="AX492" s="1295" t="str">
        <f>IF(Table6[[#This Row],[Input value refined mode case 1, 2a/2b,Po]]&gt;0,Table6[[#This Row],[concat label refined mode case 1,2a/2b,Po]],Table6[[#This Row],[label for case 3 calculation refined mode]])</f>
        <v/>
      </c>
      <c r="AY492" s="1287">
        <f t="shared" si="305"/>
        <v>0</v>
      </c>
      <c r="AZ492" s="1295" t="str">
        <f t="shared" si="306"/>
        <v/>
      </c>
      <c r="BA492" s="1295" t="str">
        <f t="shared" si="307"/>
        <v/>
      </c>
      <c r="BB492" s="1287" t="str">
        <f>IF(AND(Table6[[#This Row],[label for IESTI new normal mode]]="LOQ",Table6[[#This Row],[GAP under assessment]]="N"),"",IF(AND($H492&gt;0,$Y492&lt;&gt;1),"CF*PF",IF($H492&gt;0,"CF",IF($Y492&lt;&gt;1,"PF",""))))</f>
        <v/>
      </c>
      <c r="BC492" s="1296"/>
      <c r="BD492" s="1297"/>
      <c r="BE492" s="1304" t="str">
        <f>IF(Table6[[#This Row],[GAP under assessment]]="Y",Table6[[#This Row],[MRL*CF*PF or LOQ (if not under assessment and LOQ)]],"")</f>
        <v/>
      </c>
      <c r="BF492" s="1305" t="str">
        <f>IF(Table6[[#This Row],[Input for IESTI new refined mode]]&lt;&gt;"",CONCATENATE("MRL",Table6[[#This Row],[label connector case 3 normal mode]],Table6[[#This Row],[label refinements case 3 normal mode]]),"")</f>
        <v/>
      </c>
      <c r="BG492" s="1298" t="s">
        <v>522</v>
      </c>
      <c r="BH492" s="1306"/>
    </row>
    <row r="493" spans="1:60" s="11" customFormat="1" ht="12.75" customHeight="1" x14ac:dyDescent="0.2">
      <c r="A493" s="479" t="s">
        <v>523</v>
      </c>
      <c r="B493" s="480">
        <v>300010</v>
      </c>
      <c r="C493" s="547" t="s">
        <v>403</v>
      </c>
      <c r="D493" s="1261">
        <f>VLOOKUP(Table6[[#This Row],[Code no.]],$B$12:$D$390,3,FALSE)</f>
        <v>0</v>
      </c>
      <c r="E493" s="1264">
        <f t="shared" si="292"/>
        <v>0</v>
      </c>
      <c r="F493" s="1262" t="str">
        <f t="shared" si="308"/>
        <v/>
      </c>
      <c r="G493" s="1265">
        <f t="shared" si="293"/>
        <v>1</v>
      </c>
      <c r="H493" s="881"/>
      <c r="I493" s="880"/>
      <c r="J493" s="1269">
        <f t="shared" si="294"/>
        <v>0</v>
      </c>
      <c r="K493" s="1269">
        <f t="shared" si="295"/>
        <v>0</v>
      </c>
      <c r="L493" s="1270"/>
      <c r="M493" s="1271" t="str">
        <f t="shared" si="296"/>
        <v/>
      </c>
      <c r="N493" s="1273" t="str">
        <f t="shared" ref="N493:N505" si="309">IF(VLOOKUP($B493,$B$12:$M$390,$M$2)="","",VLOOKUP($B493,$B$12:$M$390,$M$2))</f>
        <v/>
      </c>
      <c r="O493" s="1273">
        <v>3</v>
      </c>
      <c r="P493" s="1273" t="str">
        <f>IF(OR($A$10=$BG$15,Results!$B$62=Results!$T$63),Table6[[#This Row],[label refine mode]],Table6[[#This Row],[label normal mode]])</f>
        <v/>
      </c>
      <c r="Q493" s="1257" t="str">
        <f>IF(OR($A$10=$BG$15,Results!$B$62=Results!$T$63),Table6[[#This Row],[input refined mode]],Table6[[#This Row],[Input normal mode]])</f>
        <v/>
      </c>
      <c r="R493" s="1275" t="str">
        <f>IF(Table6[[#This Row],[Acute RA IESTI new input value]]="","",CONCATENATE(Table6[[#This Row],[label for IESTI new normal mode]],Table6[[#This Row],[label connector IESTI new normal mode]],Table6[[#This Row],[label refinements normal mode]]))</f>
        <v/>
      </c>
      <c r="S493" s="1259">
        <f>IF(OR($A$10=$BG$15,Results!$B$62=Results!$T$63),Table6[[#This Row],[Input for IESTI new refined mode]],Table6[[#This Row],[Input for IESTI new normal mode]])</f>
        <v>0</v>
      </c>
      <c r="T493" s="888"/>
      <c r="U493" s="1283">
        <f t="shared" si="297"/>
        <v>0</v>
      </c>
      <c r="V493" s="1284" t="str">
        <f t="shared" si="298"/>
        <v/>
      </c>
      <c r="W493" s="1285">
        <f>IF($H493&gt;0,$H493,IF(Table6[[#This Row],[CFrisk for residue definition (applicable for unprocessed products)]]&gt;0,Table6[[#This Row],[CFrisk for residue definition (applicable for unprocessed products)]],1))</f>
        <v>1</v>
      </c>
      <c r="X493" s="1285">
        <v>1</v>
      </c>
      <c r="Y493" s="1285">
        <f t="shared" si="299"/>
        <v>1</v>
      </c>
      <c r="Z493" s="1285">
        <f t="shared" si="300"/>
        <v>1</v>
      </c>
      <c r="AA493" s="1285" t="str">
        <f>IF(Table6[[#This Row],[Post-harvest treatment]]="","","Y")</f>
        <v/>
      </c>
      <c r="AB493" s="1285" t="str">
        <f>IF(AND(Table6[[#This Row],[CF used for for calculation]]&lt;&gt;1,Table6[[#This Row],[PF for calculation]]&lt;&gt;1),"CF*PF",IF(Table6[[#This Row],[CF used for for calculation]]&lt;&gt;1,"CF",IF(Table6[[#This Row],[PF for calculation]]&lt;&gt;1,"PF","")))</f>
        <v/>
      </c>
      <c r="AC493" s="1300">
        <f>IF(AND(Table6[[#This Row],[LOQ RAC individual crop]]="Y",Table6[[#This Row],[GAP under assessment]]="N"),Table6[[#This Row],[MRL RAC individual commodity]],Table6[[#This Row],[MRL RAC individual commodity]]*Table6[[#This Row],[CF*PF for calculation]])</f>
        <v>0</v>
      </c>
      <c r="AD493" s="1287">
        <f t="shared" si="301"/>
        <v>0</v>
      </c>
      <c r="AE493" s="1287">
        <f t="shared" si="302"/>
        <v>0</v>
      </c>
      <c r="AF493" s="1288">
        <f>Table6[[#This Row],[IESTI case]]</f>
        <v>3</v>
      </c>
      <c r="AG49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93" s="1302" t="str">
        <f>IF(Table6[[#This Row],[Input value normal mode case 1, 2a/2b,Po]]&gt;0,
              IF(Table6[[#This Row],[Highest residue * CF*PF]]&gt;"","HR-RAC",
                             IF(Table6[[#This Row],[LOQ RAC individual crop]]="Y","LOQ","MRL")),"")</f>
        <v/>
      </c>
      <c r="AI493" s="1302" t="str">
        <f t="shared" si="303"/>
        <v/>
      </c>
      <c r="AJ493" s="1302" t="str">
        <f>IF(Table6[[#This Row],[Input value normal mode case 1, 2a/2b,Po]]&gt;0,IF(Table6[[#This Row],[label description]]&gt;"",Table6[[#This Row],[label description]],""),"")</f>
        <v/>
      </c>
      <c r="AK493" s="1302" t="str">
        <f>CONCATENATE(Table6[[#This Row],[label for IESTI normal mode case 1, 2a/2b,Po]],Table6[[#This Row],[label connector case  normal mode]],Table6[[#This Row],[label refinements normal mode case 1, 2a/2b,Po]])</f>
        <v/>
      </c>
      <c r="AL493" s="1287" t="str">
        <f>IF(AND(Table6[[#This Row],[Case for acute RA children / adults]]=3,Table6[[#This Row],[Post-harvest treatment]]=""),IF(AND(Table6[[#This Row],[LOQ RAC individual crop]]="Y",M492="N"),Table6[[#This Row],[MRL RAC individual commodity]],IF(Table6[[#This Row],[Median residue*CF*PF]]&gt;0,Table6[[#This Row],[Median residue*CF*PF]],IF(Table6[[#This Row],[MRL*CF*PF or LOQ (if not under assessment and LOQ)]]&gt;0,Table6[[#This Row],[MRL*CF*PF or LOQ (if not under assessment and LOQ)]],""))),"")</f>
        <v/>
      </c>
      <c r="AM493" s="1295" t="str">
        <f>IF(Table6[[#This Row],[input for case 3 normal mode]]&gt;0,IF(Table6[[#This Row],[Median residue*CF*PF]]&gt;0,"STMR-RAC",IF(AND($AC493&gt;0,NOT(V493="Y")),"MRL",IF($V493="Y","LOQ",""))),"")</f>
        <v/>
      </c>
      <c r="AN493" s="1295" t="str">
        <f t="shared" si="304"/>
        <v/>
      </c>
      <c r="AO493" s="1287" t="str">
        <f>IF(Table6[[#This Row],[input for case 3 normal mode]]="","",IF(AND(Table6[[#This Row],[label for case 3 calculation normal mode]]="LOQ",Table6[[#This Row],[GAP under assessment]]="N"),"",IF(Table6[[#This Row],[label description]]&gt;"",Table6[[#This Row],[label description]],"")))</f>
        <v/>
      </c>
      <c r="AP493" s="1287" t="str">
        <f>CONCATENATE(Table6[[#This Row],[label for case 3 calculation normal mode]],Table6[[#This Row],[label connector case 3 normal mode]],Table6[[#This Row],[label refinements case 3 normal mode]])</f>
        <v/>
      </c>
      <c r="AQ493" s="1287" t="str">
        <f>IF(Table6[[#This Row],[GAP under assessment]]="Y",Table6[[#This Row],[Input value normal mode case 1, 2a/2b,Po]],"")</f>
        <v/>
      </c>
      <c r="AR493" s="1287" t="str">
        <f>IF(Table6[[#This Row],[Input value refined mode case 1, 2a/2b,Po]]&gt;0,Table6[[#This Row],[concat label normal mode 1,2a/2b,Po ]],"")</f>
        <v/>
      </c>
      <c r="AS493" s="1303" t="str">
        <f>IF(Table6[[#This Row],[GAP under assessment]]="Y",Table6[[#This Row],[input for case 3 normal mode]],"")</f>
        <v/>
      </c>
      <c r="AT493" s="1287" t="str">
        <f>IF(Table6[[#This Row],[input for case 3 refined mode]]&gt;0,Table6[[#This Row],[concat label normal mode  case 3]],"")</f>
        <v/>
      </c>
      <c r="AU493" s="1295" t="str">
        <f>IF(Table6[[#This Row],[Input value normal mode case 1, 2a/2b,Po]]&gt;0,Table6[[#This Row],[Input value normal mode case 1, 2a/2b,Po]],Table6[[#This Row],[input for case 3 normal mode]])</f>
        <v/>
      </c>
      <c r="AV493" s="1295" t="str">
        <f>IF(Table6[[#This Row],[Input value normal mode case 1, 2a/2b,Po]]&gt;0,Table6[[#This Row],[concat label normal mode 1,2a/2b,Po ]],Table6[[#This Row],[concat label normal mode  case 3]])</f>
        <v/>
      </c>
      <c r="AW493" s="1295" t="str">
        <f>IF(Table6[[#This Row],[Input value refined mode case 1, 2a/2b,Po]]&gt;0,Table6[[#This Row],[Input value refined mode case 1, 2a/2b,Po]],Table6[[#This Row],[input for case 3 refined mode]])</f>
        <v/>
      </c>
      <c r="AX493" s="1295" t="str">
        <f>IF(Table6[[#This Row],[Input value refined mode case 1, 2a/2b,Po]]&gt;0,Table6[[#This Row],[concat label refined mode case 1,2a/2b,Po]],Table6[[#This Row],[label for case 3 calculation refined mode]])</f>
        <v/>
      </c>
      <c r="AY493" s="1287">
        <f t="shared" si="305"/>
        <v>0</v>
      </c>
      <c r="AZ493" s="1295" t="str">
        <f t="shared" si="306"/>
        <v/>
      </c>
      <c r="BA493" s="1295" t="str">
        <f t="shared" si="307"/>
        <v/>
      </c>
      <c r="BB493" s="1287" t="str">
        <f>IF(AND(Table6[[#This Row],[label for IESTI new normal mode]]="LOQ",Table6[[#This Row],[GAP under assessment]]="N"),"",IF(AND($H493&gt;0,$Y493&lt;&gt;1),"CF*PF",IF($H493&gt;0,"CF",IF($Y493&lt;&gt;1,"PF",""))))</f>
        <v/>
      </c>
      <c r="BC493" s="1296" t="s">
        <v>369</v>
      </c>
      <c r="BD493" s="1297"/>
      <c r="BE493" s="1304" t="str">
        <f>IF(Table6[[#This Row],[GAP under assessment]]="Y",Table6[[#This Row],[MRL*CF*PF or LOQ (if not under assessment and LOQ)]],"")</f>
        <v/>
      </c>
      <c r="BF493" s="1305" t="str">
        <f>IF(Table6[[#This Row],[Input for IESTI new refined mode]]&lt;&gt;"",CONCATENATE("MRL",Table6[[#This Row],[label connector case 3 normal mode]],Table6[[#This Row],[label refinements case 3 normal mode]]),"")</f>
        <v/>
      </c>
      <c r="BG493" s="1298" t="s">
        <v>523</v>
      </c>
      <c r="BH493" s="1306"/>
    </row>
    <row r="494" spans="1:60" s="11" customFormat="1" ht="12.75" customHeight="1" x14ac:dyDescent="0.2">
      <c r="A494" s="479" t="s">
        <v>566</v>
      </c>
      <c r="B494" s="480">
        <v>300020</v>
      </c>
      <c r="C494" s="547" t="s">
        <v>404</v>
      </c>
      <c r="D494" s="1261">
        <f>VLOOKUP(Table6[[#This Row],[Code no.]],$B$12:$D$390,3,FALSE)</f>
        <v>0</v>
      </c>
      <c r="E494" s="1264">
        <f t="shared" si="292"/>
        <v>0</v>
      </c>
      <c r="F494" s="1262" t="str">
        <f t="shared" si="308"/>
        <v/>
      </c>
      <c r="G494" s="1265">
        <f t="shared" si="293"/>
        <v>1</v>
      </c>
      <c r="H494" s="881"/>
      <c r="I494" s="880"/>
      <c r="J494" s="1269">
        <f t="shared" si="294"/>
        <v>0</v>
      </c>
      <c r="K494" s="1269">
        <f t="shared" si="295"/>
        <v>0</v>
      </c>
      <c r="L494" s="1270"/>
      <c r="M494" s="1271" t="str">
        <f t="shared" si="296"/>
        <v/>
      </c>
      <c r="N494" s="1273" t="str">
        <f t="shared" si="309"/>
        <v/>
      </c>
      <c r="O494" s="1273">
        <v>3</v>
      </c>
      <c r="P494" s="1273" t="str">
        <f>IF(OR($A$10=$BG$15,Results!$B$62=Results!$T$63),Table6[[#This Row],[label refine mode]],Table6[[#This Row],[label normal mode]])</f>
        <v/>
      </c>
      <c r="Q494" s="1257" t="str">
        <f>IF(OR($A$10=$BG$15,Results!$B$62=Results!$T$63),Table6[[#This Row],[input refined mode]],Table6[[#This Row],[Input normal mode]])</f>
        <v/>
      </c>
      <c r="R494" s="1275" t="str">
        <f>IF(Table6[[#This Row],[Acute RA IESTI new input value]]="","",CONCATENATE(Table6[[#This Row],[label for IESTI new normal mode]],Table6[[#This Row],[label connector IESTI new normal mode]],Table6[[#This Row],[label refinements normal mode]]))</f>
        <v/>
      </c>
      <c r="S494" s="1259">
        <f>IF(OR($A$10=$BG$15,Results!$B$62=Results!$T$63),Table6[[#This Row],[Input for IESTI new refined mode]],Table6[[#This Row],[Input for IESTI new normal mode]])</f>
        <v>0</v>
      </c>
      <c r="T494" s="888"/>
      <c r="U494" s="1283">
        <f t="shared" si="297"/>
        <v>0</v>
      </c>
      <c r="V494" s="1284" t="str">
        <f t="shared" si="298"/>
        <v/>
      </c>
      <c r="W494" s="1285">
        <f>IF($H494&gt;0,$H494,IF(Table6[[#This Row],[CFrisk for residue definition (applicable for unprocessed products)]]&gt;0,Table6[[#This Row],[CFrisk for residue definition (applicable for unprocessed products)]],1))</f>
        <v>1</v>
      </c>
      <c r="X494" s="1285">
        <v>1</v>
      </c>
      <c r="Y494" s="1285">
        <f t="shared" si="299"/>
        <v>1</v>
      </c>
      <c r="Z494" s="1285">
        <f t="shared" si="300"/>
        <v>1</v>
      </c>
      <c r="AA494" s="1285" t="str">
        <f>IF(Table6[[#This Row],[Post-harvest treatment]]="","","Y")</f>
        <v/>
      </c>
      <c r="AB494" s="1285" t="str">
        <f>IF(AND(Table6[[#This Row],[CF used for for calculation]]&lt;&gt;1,Table6[[#This Row],[PF for calculation]]&lt;&gt;1),"CF*PF",IF(Table6[[#This Row],[CF used for for calculation]]&lt;&gt;1,"CF",IF(Table6[[#This Row],[PF for calculation]]&lt;&gt;1,"PF","")))</f>
        <v/>
      </c>
      <c r="AC494" s="1300">
        <f>IF(AND(Table6[[#This Row],[LOQ RAC individual crop]]="Y",Table6[[#This Row],[GAP under assessment]]="N"),Table6[[#This Row],[MRL RAC individual commodity]],Table6[[#This Row],[MRL RAC individual commodity]]*Table6[[#This Row],[CF*PF for calculation]])</f>
        <v>0</v>
      </c>
      <c r="AD494" s="1287">
        <f t="shared" si="301"/>
        <v>0</v>
      </c>
      <c r="AE494" s="1287">
        <f t="shared" si="302"/>
        <v>0</v>
      </c>
      <c r="AF494" s="1288">
        <f>Table6[[#This Row],[IESTI case]]</f>
        <v>3</v>
      </c>
      <c r="AG49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94" s="1302" t="str">
        <f>IF(Table6[[#This Row],[Input value normal mode case 1, 2a/2b,Po]]&gt;0,
              IF(Table6[[#This Row],[Highest residue * CF*PF]]&gt;"","HR-RAC",
                             IF(Table6[[#This Row],[LOQ RAC individual crop]]="Y","LOQ","MRL")),"")</f>
        <v/>
      </c>
      <c r="AI494" s="1302" t="str">
        <f t="shared" si="303"/>
        <v/>
      </c>
      <c r="AJ494" s="1302" t="str">
        <f>IF(Table6[[#This Row],[Input value normal mode case 1, 2a/2b,Po]]&gt;0,IF(Table6[[#This Row],[label description]]&gt;"",Table6[[#This Row],[label description]],""),"")</f>
        <v/>
      </c>
      <c r="AK494" s="1302" t="str">
        <f>CONCATENATE(Table6[[#This Row],[label for IESTI normal mode case 1, 2a/2b,Po]],Table6[[#This Row],[label connector case  normal mode]],Table6[[#This Row],[label refinements normal mode case 1, 2a/2b,Po]])</f>
        <v/>
      </c>
      <c r="AL494" s="1287" t="str">
        <f>IF(AND(Table6[[#This Row],[Case for acute RA children / adults]]=3,Table6[[#This Row],[Post-harvest treatment]]=""),IF(AND(Table6[[#This Row],[LOQ RAC individual crop]]="Y",M493="N"),Table6[[#This Row],[MRL RAC individual commodity]],IF(Table6[[#This Row],[Median residue*CF*PF]]&gt;0,Table6[[#This Row],[Median residue*CF*PF]],IF(Table6[[#This Row],[MRL*CF*PF or LOQ (if not under assessment and LOQ)]]&gt;0,Table6[[#This Row],[MRL*CF*PF or LOQ (if not under assessment and LOQ)]],""))),"")</f>
        <v/>
      </c>
      <c r="AM494" s="1295" t="str">
        <f>IF(Table6[[#This Row],[input for case 3 normal mode]]&gt;0,IF(Table6[[#This Row],[Median residue*CF*PF]]&gt;0,"STMR-RAC",IF(AND($AC494&gt;0,NOT(V494="Y")),"MRL",IF($V494="Y","LOQ",""))),"")</f>
        <v/>
      </c>
      <c r="AN494" s="1295" t="str">
        <f t="shared" si="304"/>
        <v/>
      </c>
      <c r="AO494" s="1287" t="str">
        <f>IF(Table6[[#This Row],[input for case 3 normal mode]]="","",IF(AND(Table6[[#This Row],[label for case 3 calculation normal mode]]="LOQ",Table6[[#This Row],[GAP under assessment]]="N"),"",IF(Table6[[#This Row],[label description]]&gt;"",Table6[[#This Row],[label description]],"")))</f>
        <v/>
      </c>
      <c r="AP494" s="1287" t="str">
        <f>CONCATENATE(Table6[[#This Row],[label for case 3 calculation normal mode]],Table6[[#This Row],[label connector case 3 normal mode]],Table6[[#This Row],[label refinements case 3 normal mode]])</f>
        <v/>
      </c>
      <c r="AQ494" s="1287" t="str">
        <f>IF(Table6[[#This Row],[GAP under assessment]]="Y",Table6[[#This Row],[Input value normal mode case 1, 2a/2b,Po]],"")</f>
        <v/>
      </c>
      <c r="AR494" s="1287" t="str">
        <f>IF(Table6[[#This Row],[Input value refined mode case 1, 2a/2b,Po]]&gt;0,Table6[[#This Row],[concat label normal mode 1,2a/2b,Po ]],"")</f>
        <v/>
      </c>
      <c r="AS494" s="1303" t="str">
        <f>IF(Table6[[#This Row],[GAP under assessment]]="Y",Table6[[#This Row],[input for case 3 normal mode]],"")</f>
        <v/>
      </c>
      <c r="AT494" s="1287" t="str">
        <f>IF(Table6[[#This Row],[input for case 3 refined mode]]&gt;0,Table6[[#This Row],[concat label normal mode  case 3]],"")</f>
        <v/>
      </c>
      <c r="AU494" s="1295" t="str">
        <f>IF(Table6[[#This Row],[Input value normal mode case 1, 2a/2b,Po]]&gt;0,Table6[[#This Row],[Input value normal mode case 1, 2a/2b,Po]],Table6[[#This Row],[input for case 3 normal mode]])</f>
        <v/>
      </c>
      <c r="AV494" s="1295" t="str">
        <f>IF(Table6[[#This Row],[Input value normal mode case 1, 2a/2b,Po]]&gt;0,Table6[[#This Row],[concat label normal mode 1,2a/2b,Po ]],Table6[[#This Row],[concat label normal mode  case 3]])</f>
        <v/>
      </c>
      <c r="AW494" s="1295" t="str">
        <f>IF(Table6[[#This Row],[Input value refined mode case 1, 2a/2b,Po]]&gt;0,Table6[[#This Row],[Input value refined mode case 1, 2a/2b,Po]],Table6[[#This Row],[input for case 3 refined mode]])</f>
        <v/>
      </c>
      <c r="AX494" s="1295" t="str">
        <f>IF(Table6[[#This Row],[Input value refined mode case 1, 2a/2b,Po]]&gt;0,Table6[[#This Row],[concat label refined mode case 1,2a/2b,Po]],Table6[[#This Row],[label for case 3 calculation refined mode]])</f>
        <v/>
      </c>
      <c r="AY494" s="1287">
        <f t="shared" si="305"/>
        <v>0</v>
      </c>
      <c r="AZ494" s="1295" t="str">
        <f t="shared" si="306"/>
        <v/>
      </c>
      <c r="BA494" s="1295" t="str">
        <f t="shared" si="307"/>
        <v/>
      </c>
      <c r="BB494" s="1287" t="str">
        <f>IF(AND(Table6[[#This Row],[label for IESTI new normal mode]]="LOQ",Table6[[#This Row],[GAP under assessment]]="N"),"",IF(AND($H494&gt;0,$Y494&lt;&gt;1),"CF*PF",IF($H494&gt;0,"CF",IF($Y494&lt;&gt;1,"PF",""))))</f>
        <v/>
      </c>
      <c r="BC494" s="1296"/>
      <c r="BD494" s="1297"/>
      <c r="BE494" s="1304" t="str">
        <f>IF(Table6[[#This Row],[GAP under assessment]]="Y",Table6[[#This Row],[MRL*CF*PF or LOQ (if not under assessment and LOQ)]],"")</f>
        <v/>
      </c>
      <c r="BF494" s="1305" t="str">
        <f>IF(Table6[[#This Row],[Input for IESTI new refined mode]]&lt;&gt;"",CONCATENATE("MRL",Table6[[#This Row],[label connector case 3 normal mode]],Table6[[#This Row],[label refinements case 3 normal mode]]),"")</f>
        <v/>
      </c>
      <c r="BG494" s="1298" t="s">
        <v>566</v>
      </c>
      <c r="BH494" s="1306"/>
    </row>
    <row r="495" spans="1:60" s="11" customFormat="1" ht="12.75" customHeight="1" x14ac:dyDescent="0.2">
      <c r="A495" s="479" t="s">
        <v>524</v>
      </c>
      <c r="B495" s="480">
        <v>300030</v>
      </c>
      <c r="C495" s="547" t="s">
        <v>427</v>
      </c>
      <c r="D495" s="1261">
        <f>VLOOKUP(Table6[[#This Row],[Code no.]],$B$12:$D$390,3,FALSE)</f>
        <v>0</v>
      </c>
      <c r="E495" s="1264">
        <f t="shared" si="292"/>
        <v>0</v>
      </c>
      <c r="F495" s="1262" t="str">
        <f t="shared" si="308"/>
        <v/>
      </c>
      <c r="G495" s="1265">
        <f t="shared" si="293"/>
        <v>1</v>
      </c>
      <c r="H495" s="881"/>
      <c r="I495" s="882"/>
      <c r="J495" s="1269">
        <f t="shared" si="294"/>
        <v>0</v>
      </c>
      <c r="K495" s="1269">
        <f t="shared" si="295"/>
        <v>0</v>
      </c>
      <c r="L495" s="1270"/>
      <c r="M495" s="1271" t="str">
        <f t="shared" si="296"/>
        <v/>
      </c>
      <c r="N495" s="1273" t="str">
        <f t="shared" si="309"/>
        <v/>
      </c>
      <c r="O495" s="1273">
        <v>3</v>
      </c>
      <c r="P495" s="1273" t="str">
        <f>IF(OR($A$10=$BG$15,Results!$B$62=Results!$T$63),Table6[[#This Row],[label refine mode]],Table6[[#This Row],[label normal mode]])</f>
        <v/>
      </c>
      <c r="Q495" s="1257" t="str">
        <f>IF(OR($A$10=$BG$15,Results!$B$62=Results!$T$63),Table6[[#This Row],[input refined mode]],Table6[[#This Row],[Input normal mode]])</f>
        <v/>
      </c>
      <c r="R495" s="1275" t="str">
        <f>IF(Table6[[#This Row],[Acute RA IESTI new input value]]="","",CONCATENATE(Table6[[#This Row],[label for IESTI new normal mode]],Table6[[#This Row],[label connector IESTI new normal mode]],Table6[[#This Row],[label refinements normal mode]]))</f>
        <v/>
      </c>
      <c r="S495" s="1259">
        <f>IF(OR($A$10=$BG$15,Results!$B$62=Results!$T$63),Table6[[#This Row],[Input for IESTI new refined mode]],Table6[[#This Row],[Input for IESTI new normal mode]])</f>
        <v>0</v>
      </c>
      <c r="T495" s="888"/>
      <c r="U495" s="1283">
        <f t="shared" si="297"/>
        <v>0</v>
      </c>
      <c r="V495" s="1284" t="str">
        <f t="shared" si="298"/>
        <v/>
      </c>
      <c r="W495" s="1285">
        <f>IF($H495&gt;0,$H495,IF(Table6[[#This Row],[CFrisk for residue definition (applicable for unprocessed products)]]&gt;0,Table6[[#This Row],[CFrisk for residue definition (applicable for unprocessed products)]],1))</f>
        <v>1</v>
      </c>
      <c r="X495" s="1285">
        <v>0.4</v>
      </c>
      <c r="Y495" s="1285">
        <f t="shared" si="299"/>
        <v>0.4</v>
      </c>
      <c r="Z495" s="1285">
        <f t="shared" si="300"/>
        <v>0.4</v>
      </c>
      <c r="AA495" s="1285" t="str">
        <f>IF(Table6[[#This Row],[Post-harvest treatment]]="","","Y")</f>
        <v/>
      </c>
      <c r="AB495" s="1285" t="str">
        <f>IF(AND(Table6[[#This Row],[CF used for for calculation]]&lt;&gt;1,Table6[[#This Row],[PF for calculation]]&lt;&gt;1),"CF*PF",IF(Table6[[#This Row],[CF used for for calculation]]&lt;&gt;1,"CF",IF(Table6[[#This Row],[PF for calculation]]&lt;&gt;1,"PF","")))</f>
        <v>PF</v>
      </c>
      <c r="AC495" s="1300">
        <f>IF(AND(Table6[[#This Row],[LOQ RAC individual crop]]="Y",Table6[[#This Row],[GAP under assessment]]="N"),Table6[[#This Row],[MRL RAC individual commodity]],Table6[[#This Row],[MRL RAC individual commodity]]*Table6[[#This Row],[CF*PF for calculation]])</f>
        <v>0</v>
      </c>
      <c r="AD495" s="1287">
        <f t="shared" si="301"/>
        <v>0</v>
      </c>
      <c r="AE495" s="1287">
        <f t="shared" si="302"/>
        <v>0</v>
      </c>
      <c r="AF495" s="1288">
        <f>Table6[[#This Row],[IESTI case]]</f>
        <v>3</v>
      </c>
      <c r="AG49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95" s="1302" t="str">
        <f>IF(Table6[[#This Row],[Input value normal mode case 1, 2a/2b,Po]]&gt;0,
              IF(Table6[[#This Row],[Highest residue * CF*PF]]&gt;"","HR-RAC",
                             IF(Table6[[#This Row],[LOQ RAC individual crop]]="Y","LOQ","MRL")),"")</f>
        <v/>
      </c>
      <c r="AI495" s="1302" t="str">
        <f t="shared" si="303"/>
        <v/>
      </c>
      <c r="AJ495" s="1302" t="str">
        <f>IF(Table6[[#This Row],[Input value normal mode case 1, 2a/2b,Po]]&gt;0,IF(Table6[[#This Row],[label description]]&gt;"",Table6[[#This Row],[label description]],""),"")</f>
        <v/>
      </c>
      <c r="AK495" s="1302" t="str">
        <f>CONCATENATE(Table6[[#This Row],[label for IESTI normal mode case 1, 2a/2b,Po]],Table6[[#This Row],[label connector case  normal mode]],Table6[[#This Row],[label refinements normal mode case 1, 2a/2b,Po]])</f>
        <v/>
      </c>
      <c r="AL495" s="1287" t="str">
        <f>IF(AND(Table6[[#This Row],[Case for acute RA children / adults]]=3,Table6[[#This Row],[Post-harvest treatment]]=""),IF(AND(Table6[[#This Row],[LOQ RAC individual crop]]="Y",M494="N"),Table6[[#This Row],[MRL RAC individual commodity]],IF(Table6[[#This Row],[Median residue*CF*PF]]&gt;0,Table6[[#This Row],[Median residue*CF*PF]],IF(Table6[[#This Row],[MRL*CF*PF or LOQ (if not under assessment and LOQ)]]&gt;0,Table6[[#This Row],[MRL*CF*PF or LOQ (if not under assessment and LOQ)]],""))),"")</f>
        <v/>
      </c>
      <c r="AM495" s="1295" t="str">
        <f>IF(Table6[[#This Row],[input for case 3 normal mode]]&gt;0,IF(Table6[[#This Row],[Median residue*CF*PF]]&gt;0,"STMR-RAC",IF(AND($AC495&gt;0,NOT(V495="Y")),"MRL",IF($V495="Y","LOQ",""))),"")</f>
        <v/>
      </c>
      <c r="AN495" s="1295" t="str">
        <f t="shared" si="304"/>
        <v/>
      </c>
      <c r="AO495" s="1287" t="str">
        <f>IF(Table6[[#This Row],[input for case 3 normal mode]]="","",IF(AND(Table6[[#This Row],[label for case 3 calculation normal mode]]="LOQ",Table6[[#This Row],[GAP under assessment]]="N"),"",IF(Table6[[#This Row],[label description]]&gt;"",Table6[[#This Row],[label description]],"")))</f>
        <v/>
      </c>
      <c r="AP495" s="1287" t="str">
        <f>CONCATENATE(Table6[[#This Row],[label for case 3 calculation normal mode]],Table6[[#This Row],[label connector case 3 normal mode]],Table6[[#This Row],[label refinements case 3 normal mode]])</f>
        <v/>
      </c>
      <c r="AQ495" s="1287" t="str">
        <f>IF(Table6[[#This Row],[GAP under assessment]]="Y",Table6[[#This Row],[Input value normal mode case 1, 2a/2b,Po]],"")</f>
        <v/>
      </c>
      <c r="AR495" s="1287" t="str">
        <f>IF(Table6[[#This Row],[Input value refined mode case 1, 2a/2b,Po]]&gt;0,Table6[[#This Row],[concat label normal mode 1,2a/2b,Po ]],"")</f>
        <v/>
      </c>
      <c r="AS495" s="1303" t="str">
        <f>IF(Table6[[#This Row],[GAP under assessment]]="Y",Table6[[#This Row],[input for case 3 normal mode]],"")</f>
        <v/>
      </c>
      <c r="AT495" s="1287" t="str">
        <f>IF(Table6[[#This Row],[input for case 3 refined mode]]&gt;0,Table6[[#This Row],[concat label normal mode  case 3]],"")</f>
        <v/>
      </c>
      <c r="AU495" s="1295" t="str">
        <f>IF(Table6[[#This Row],[Input value normal mode case 1, 2a/2b,Po]]&gt;0,Table6[[#This Row],[Input value normal mode case 1, 2a/2b,Po]],Table6[[#This Row],[input for case 3 normal mode]])</f>
        <v/>
      </c>
      <c r="AV495" s="1295" t="str">
        <f>IF(Table6[[#This Row],[Input value normal mode case 1, 2a/2b,Po]]&gt;0,Table6[[#This Row],[concat label normal mode 1,2a/2b,Po ]],Table6[[#This Row],[concat label normal mode  case 3]])</f>
        <v/>
      </c>
      <c r="AW495" s="1295" t="str">
        <f>IF(Table6[[#This Row],[Input value refined mode case 1, 2a/2b,Po]]&gt;0,Table6[[#This Row],[Input value refined mode case 1, 2a/2b,Po]],Table6[[#This Row],[input for case 3 refined mode]])</f>
        <v/>
      </c>
      <c r="AX495" s="1295" t="str">
        <f>IF(Table6[[#This Row],[Input value refined mode case 1, 2a/2b,Po]]&gt;0,Table6[[#This Row],[concat label refined mode case 1,2a/2b,Po]],Table6[[#This Row],[label for case 3 calculation refined mode]])</f>
        <v/>
      </c>
      <c r="AY495" s="1287">
        <f t="shared" si="305"/>
        <v>0</v>
      </c>
      <c r="AZ495" s="1295" t="str">
        <f t="shared" si="306"/>
        <v/>
      </c>
      <c r="BA495" s="1295" t="str">
        <f t="shared" si="307"/>
        <v/>
      </c>
      <c r="BB495" s="1287" t="str">
        <f>IF(AND(Table6[[#This Row],[label for IESTI new normal mode]]="LOQ",Table6[[#This Row],[GAP under assessment]]="N"),"",IF(AND($H495&gt;0,$Y495&lt;&gt;1),"CF*PF",IF($H495&gt;0,"CF",IF($Y495&lt;&gt;1,"PF",""))))</f>
        <v>PF</v>
      </c>
      <c r="BC495" s="1296" t="s">
        <v>369</v>
      </c>
      <c r="BD495" s="1297"/>
      <c r="BE495" s="1304" t="str">
        <f>IF(Table6[[#This Row],[GAP under assessment]]="Y",Table6[[#This Row],[MRL*CF*PF or LOQ (if not under assessment and LOQ)]],"")</f>
        <v/>
      </c>
      <c r="BF495" s="1305" t="str">
        <f>IF(Table6[[#This Row],[Input for IESTI new refined mode]]&lt;&gt;"",CONCATENATE("MRL",Table6[[#This Row],[label connector case 3 normal mode]],Table6[[#This Row],[label refinements case 3 normal mode]]),"")</f>
        <v/>
      </c>
      <c r="BG495" s="1298" t="s">
        <v>524</v>
      </c>
      <c r="BH495" s="1306"/>
    </row>
    <row r="496" spans="1:60" s="11" customFormat="1" ht="12.75" customHeight="1" x14ac:dyDescent="0.2">
      <c r="A496" s="479" t="s">
        <v>597</v>
      </c>
      <c r="B496" s="480">
        <v>401020</v>
      </c>
      <c r="C496" s="547" t="s">
        <v>405</v>
      </c>
      <c r="D496" s="1261">
        <f>VLOOKUP(Table6[[#This Row],[Code no.]],$B$12:$D$390,3,FALSE)</f>
        <v>0</v>
      </c>
      <c r="E496" s="1264">
        <f t="shared" si="292"/>
        <v>0</v>
      </c>
      <c r="F496" s="1262" t="str">
        <f t="shared" si="308"/>
        <v/>
      </c>
      <c r="G496" s="1265">
        <f t="shared" si="293"/>
        <v>1</v>
      </c>
      <c r="H496" s="881"/>
      <c r="I496" s="880"/>
      <c r="J496" s="1269">
        <f t="shared" si="294"/>
        <v>0</v>
      </c>
      <c r="K496" s="1269">
        <f t="shared" si="295"/>
        <v>0</v>
      </c>
      <c r="L496" s="1270"/>
      <c r="M496" s="1271" t="str">
        <f t="shared" si="296"/>
        <v/>
      </c>
      <c r="N496" s="1273" t="str">
        <f t="shared" si="309"/>
        <v/>
      </c>
      <c r="O496" s="1273">
        <v>3</v>
      </c>
      <c r="P496" s="1273" t="str">
        <f>IF(OR($A$10=$BG$15,Results!$B$62=Results!$T$63),Table6[[#This Row],[label refine mode]],Table6[[#This Row],[label normal mode]])</f>
        <v/>
      </c>
      <c r="Q496" s="1257" t="str">
        <f>IF(OR($A$10=$BG$15,Results!$B$62=Results!$T$63),Table6[[#This Row],[input refined mode]],Table6[[#This Row],[Input normal mode]])</f>
        <v/>
      </c>
      <c r="R496" s="1275" t="str">
        <f>IF(Table6[[#This Row],[Acute RA IESTI new input value]]="","",CONCATENATE(Table6[[#This Row],[label for IESTI new normal mode]],Table6[[#This Row],[label connector IESTI new normal mode]],Table6[[#This Row],[label refinements normal mode]]))</f>
        <v/>
      </c>
      <c r="S496" s="1259">
        <f>IF(OR($A$10=$BG$15,Results!$B$62=Results!$T$63),Table6[[#This Row],[Input for IESTI new refined mode]],Table6[[#This Row],[Input for IESTI new normal mode]])</f>
        <v>0</v>
      </c>
      <c r="T496" s="888"/>
      <c r="U496" s="1283">
        <f t="shared" si="297"/>
        <v>0</v>
      </c>
      <c r="V496" s="1284" t="str">
        <f t="shared" si="298"/>
        <v/>
      </c>
      <c r="W496" s="1285">
        <f>IF($H496&gt;0,$H496,IF(Table6[[#This Row],[CFrisk for residue definition (applicable for unprocessed products)]]&gt;0,Table6[[#This Row],[CFrisk for residue definition (applicable for unprocessed products)]],1))</f>
        <v>1</v>
      </c>
      <c r="X496" s="1285">
        <v>1</v>
      </c>
      <c r="Y496" s="1285">
        <f t="shared" si="299"/>
        <v>1</v>
      </c>
      <c r="Z496" s="1285">
        <f t="shared" si="300"/>
        <v>1</v>
      </c>
      <c r="AA496" s="1285" t="str">
        <f>IF(Table6[[#This Row],[Post-harvest treatment]]="","","Y")</f>
        <v/>
      </c>
      <c r="AB496" s="1285" t="str">
        <f>IF(AND(Table6[[#This Row],[CF used for for calculation]]&lt;&gt;1,Table6[[#This Row],[PF for calculation]]&lt;&gt;1),"CF*PF",IF(Table6[[#This Row],[CF used for for calculation]]&lt;&gt;1,"CF",IF(Table6[[#This Row],[PF for calculation]]&lt;&gt;1,"PF","")))</f>
        <v/>
      </c>
      <c r="AC496" s="1300">
        <f>IF(AND(Table6[[#This Row],[LOQ RAC individual crop]]="Y",Table6[[#This Row],[GAP under assessment]]="N"),Table6[[#This Row],[MRL RAC individual commodity]],Table6[[#This Row],[MRL RAC individual commodity]]*Table6[[#This Row],[CF*PF for calculation]])</f>
        <v>0</v>
      </c>
      <c r="AD496" s="1287">
        <f t="shared" si="301"/>
        <v>0</v>
      </c>
      <c r="AE496" s="1287">
        <f t="shared" si="302"/>
        <v>0</v>
      </c>
      <c r="AF496" s="1288">
        <f>Table6[[#This Row],[IESTI case]]</f>
        <v>3</v>
      </c>
      <c r="AG49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96" s="1302" t="str">
        <f>IF(Table6[[#This Row],[Input value normal mode case 1, 2a/2b,Po]]&gt;0,
              IF(Table6[[#This Row],[Highest residue * CF*PF]]&gt;"","HR-RAC",
                             IF(Table6[[#This Row],[LOQ RAC individual crop]]="Y","LOQ","MRL")),"")</f>
        <v/>
      </c>
      <c r="AI496" s="1302" t="str">
        <f t="shared" si="303"/>
        <v/>
      </c>
      <c r="AJ496" s="1302" t="str">
        <f>IF(Table6[[#This Row],[Input value normal mode case 1, 2a/2b,Po]]&gt;0,IF(Table6[[#This Row],[label description]]&gt;"",Table6[[#This Row],[label description]],""),"")</f>
        <v/>
      </c>
      <c r="AK496" s="1302" t="str">
        <f>CONCATENATE(Table6[[#This Row],[label for IESTI normal mode case 1, 2a/2b,Po]],Table6[[#This Row],[label connector case  normal mode]],Table6[[#This Row],[label refinements normal mode case 1, 2a/2b,Po]])</f>
        <v/>
      </c>
      <c r="AL496" s="1287" t="str">
        <f>IF(AND(Table6[[#This Row],[Case for acute RA children / adults]]=3,Table6[[#This Row],[Post-harvest treatment]]=""),IF(AND(Table6[[#This Row],[LOQ RAC individual crop]]="Y",M495="N"),Table6[[#This Row],[MRL RAC individual commodity]],IF(Table6[[#This Row],[Median residue*CF*PF]]&gt;0,Table6[[#This Row],[Median residue*CF*PF]],IF(Table6[[#This Row],[MRL*CF*PF or LOQ (if not under assessment and LOQ)]]&gt;0,Table6[[#This Row],[MRL*CF*PF or LOQ (if not under assessment and LOQ)]],""))),"")</f>
        <v/>
      </c>
      <c r="AM496" s="1295" t="str">
        <f>IF(Table6[[#This Row],[input for case 3 normal mode]]&gt;0,IF(Table6[[#This Row],[Median residue*CF*PF]]&gt;0,"STMR-RAC",IF(AND($AC496&gt;0,NOT(V496="Y")),"MRL",IF($V496="Y","LOQ",""))),"")</f>
        <v/>
      </c>
      <c r="AN496" s="1295" t="str">
        <f t="shared" si="304"/>
        <v/>
      </c>
      <c r="AO496" s="1287" t="str">
        <f>IF(Table6[[#This Row],[input for case 3 normal mode]]="","",IF(AND(Table6[[#This Row],[label for case 3 calculation normal mode]]="LOQ",Table6[[#This Row],[GAP under assessment]]="N"),"",IF(Table6[[#This Row],[label description]]&gt;"",Table6[[#This Row],[label description]],"")))</f>
        <v/>
      </c>
      <c r="AP496" s="1287" t="str">
        <f>CONCATENATE(Table6[[#This Row],[label for case 3 calculation normal mode]],Table6[[#This Row],[label connector case 3 normal mode]],Table6[[#This Row],[label refinements case 3 normal mode]])</f>
        <v/>
      </c>
      <c r="AQ496" s="1287" t="str">
        <f>IF(Table6[[#This Row],[GAP under assessment]]="Y",Table6[[#This Row],[Input value normal mode case 1, 2a/2b,Po]],"")</f>
        <v/>
      </c>
      <c r="AR496" s="1287" t="str">
        <f>IF(Table6[[#This Row],[Input value refined mode case 1, 2a/2b,Po]]&gt;0,Table6[[#This Row],[concat label normal mode 1,2a/2b,Po ]],"")</f>
        <v/>
      </c>
      <c r="AS496" s="1303" t="str">
        <f>IF(Table6[[#This Row],[GAP under assessment]]="Y",Table6[[#This Row],[input for case 3 normal mode]],"")</f>
        <v/>
      </c>
      <c r="AT496" s="1287" t="str">
        <f>IF(Table6[[#This Row],[input for case 3 refined mode]]&gt;0,Table6[[#This Row],[concat label normal mode  case 3]],"")</f>
        <v/>
      </c>
      <c r="AU496" s="1295" t="str">
        <f>IF(Table6[[#This Row],[Input value normal mode case 1, 2a/2b,Po]]&gt;0,Table6[[#This Row],[Input value normal mode case 1, 2a/2b,Po]],Table6[[#This Row],[input for case 3 normal mode]])</f>
        <v/>
      </c>
      <c r="AV496" s="1295" t="str">
        <f>IF(Table6[[#This Row],[Input value normal mode case 1, 2a/2b,Po]]&gt;0,Table6[[#This Row],[concat label normal mode 1,2a/2b,Po ]],Table6[[#This Row],[concat label normal mode  case 3]])</f>
        <v/>
      </c>
      <c r="AW496" s="1295" t="str">
        <f>IF(Table6[[#This Row],[Input value refined mode case 1, 2a/2b,Po]]&gt;0,Table6[[#This Row],[Input value refined mode case 1, 2a/2b,Po]],Table6[[#This Row],[input for case 3 refined mode]])</f>
        <v/>
      </c>
      <c r="AX496" s="1295" t="str">
        <f>IF(Table6[[#This Row],[Input value refined mode case 1, 2a/2b,Po]]&gt;0,Table6[[#This Row],[concat label refined mode case 1,2a/2b,Po]],Table6[[#This Row],[label for case 3 calculation refined mode]])</f>
        <v/>
      </c>
      <c r="AY496" s="1287">
        <f t="shared" si="305"/>
        <v>0</v>
      </c>
      <c r="AZ496" s="1295" t="str">
        <f t="shared" si="306"/>
        <v/>
      </c>
      <c r="BA496" s="1295" t="str">
        <f t="shared" si="307"/>
        <v/>
      </c>
      <c r="BB496" s="1287" t="str">
        <f>IF(AND(Table6[[#This Row],[label for IESTI new normal mode]]="LOQ",Table6[[#This Row],[GAP under assessment]]="N"),"",IF(AND($H496&gt;0,$Y496&lt;&gt;1),"CF*PF",IF($H496&gt;0,"CF",IF($Y496&lt;&gt;1,"PF",""))))</f>
        <v/>
      </c>
      <c r="BC496" s="1296" t="s">
        <v>369</v>
      </c>
      <c r="BD496" s="1297"/>
      <c r="BE496" s="1304" t="str">
        <f>IF(Table6[[#This Row],[GAP under assessment]]="Y",Table6[[#This Row],[MRL*CF*PF or LOQ (if not under assessment and LOQ)]],"")</f>
        <v/>
      </c>
      <c r="BF496" s="1305" t="str">
        <f>IF(Table6[[#This Row],[Input for IESTI new refined mode]]&lt;&gt;"",CONCATENATE("MRL",Table6[[#This Row],[label connector case 3 normal mode]],Table6[[#This Row],[label refinements case 3 normal mode]]),"")</f>
        <v/>
      </c>
      <c r="BG496" s="1298" t="s">
        <v>597</v>
      </c>
      <c r="BH496" s="1306"/>
    </row>
    <row r="497" spans="1:60" s="11" customFormat="1" ht="12.75" customHeight="1" x14ac:dyDescent="0.2">
      <c r="A497" s="479" t="s">
        <v>485</v>
      </c>
      <c r="B497" s="480">
        <v>401050</v>
      </c>
      <c r="C497" s="547" t="s">
        <v>838</v>
      </c>
      <c r="D497" s="1261">
        <f>VLOOKUP(Table6[[#This Row],[Code no.]],$B$12:$D$390,3,FALSE)</f>
        <v>0</v>
      </c>
      <c r="E497" s="1264">
        <f t="shared" si="292"/>
        <v>0</v>
      </c>
      <c r="F497" s="1262" t="str">
        <f t="shared" si="308"/>
        <v/>
      </c>
      <c r="G497" s="1265">
        <f t="shared" si="293"/>
        <v>1</v>
      </c>
      <c r="H497" s="881"/>
      <c r="I497" s="882"/>
      <c r="J497" s="1269">
        <f t="shared" si="294"/>
        <v>0</v>
      </c>
      <c r="K497" s="1269">
        <f t="shared" si="295"/>
        <v>0</v>
      </c>
      <c r="L497" s="1270"/>
      <c r="M497" s="1271" t="str">
        <f t="shared" si="296"/>
        <v/>
      </c>
      <c r="N497" s="1273" t="str">
        <f t="shared" si="309"/>
        <v/>
      </c>
      <c r="O497" s="1273">
        <v>3</v>
      </c>
      <c r="P497" s="1273" t="str">
        <f>IF(OR($A$10=$BG$15,Results!$B$62=Results!$T$63),Table6[[#This Row],[label refine mode]],Table6[[#This Row],[label normal mode]])</f>
        <v/>
      </c>
      <c r="Q497" s="1257" t="str">
        <f>IF(OR($A$10=$BG$15,Results!$B$62=Results!$T$63),Table6[[#This Row],[input refined mode]],Table6[[#This Row],[Input normal mode]])</f>
        <v/>
      </c>
      <c r="R497" s="1275" t="str">
        <f>IF(Table6[[#This Row],[Acute RA IESTI new input value]]="","",CONCATENATE(Table6[[#This Row],[label for IESTI new normal mode]],Table6[[#This Row],[label connector IESTI new normal mode]],Table6[[#This Row],[label refinements normal mode]]))</f>
        <v/>
      </c>
      <c r="S497" s="1259">
        <f>IF(OR($A$10=$BG$15,Results!$B$62=Results!$T$63),Table6[[#This Row],[Input for IESTI new refined mode]],Table6[[#This Row],[Input for IESTI new normal mode]])</f>
        <v>0</v>
      </c>
      <c r="T497" s="888"/>
      <c r="U497" s="1283">
        <f t="shared" si="297"/>
        <v>0</v>
      </c>
      <c r="V497" s="1284" t="str">
        <f t="shared" si="298"/>
        <v/>
      </c>
      <c r="W497" s="1285">
        <f>IF($H497&gt;0,$H497,IF(Table6[[#This Row],[CFrisk for residue definition (applicable for unprocessed products)]]&gt;0,Table6[[#This Row],[CFrisk for residue definition (applicable for unprocessed products)]],1))</f>
        <v>1</v>
      </c>
      <c r="X497" s="1285">
        <v>2</v>
      </c>
      <c r="Y497" s="1285">
        <f t="shared" si="299"/>
        <v>2</v>
      </c>
      <c r="Z497" s="1285">
        <f t="shared" si="300"/>
        <v>2</v>
      </c>
      <c r="AA497" s="1285" t="str">
        <f>IF(Table6[[#This Row],[Post-harvest treatment]]="","","Y")</f>
        <v/>
      </c>
      <c r="AB497" s="1285" t="str">
        <f>IF(AND(Table6[[#This Row],[CF used for for calculation]]&lt;&gt;1,Table6[[#This Row],[PF for calculation]]&lt;&gt;1),"CF*PF",IF(Table6[[#This Row],[CF used for for calculation]]&lt;&gt;1,"CF",IF(Table6[[#This Row],[PF for calculation]]&lt;&gt;1,"PF","")))</f>
        <v>PF</v>
      </c>
      <c r="AC497" s="1300">
        <f>IF(AND(Table6[[#This Row],[LOQ RAC individual crop]]="Y",Table6[[#This Row],[GAP under assessment]]="N"),Table6[[#This Row],[MRL RAC individual commodity]],Table6[[#This Row],[MRL RAC individual commodity]]*Table6[[#This Row],[CF*PF for calculation]])</f>
        <v>0</v>
      </c>
      <c r="AD497" s="1287">
        <f t="shared" si="301"/>
        <v>0</v>
      </c>
      <c r="AE497" s="1287">
        <f t="shared" si="302"/>
        <v>0</v>
      </c>
      <c r="AF497" s="1288">
        <f>Table6[[#This Row],[IESTI case]]</f>
        <v>3</v>
      </c>
      <c r="AG49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97" s="1302" t="str">
        <f>IF(Table6[[#This Row],[Input value normal mode case 1, 2a/2b,Po]]&gt;0,
              IF(Table6[[#This Row],[Highest residue * CF*PF]]&gt;"","HR-RAC",
                             IF(Table6[[#This Row],[LOQ RAC individual crop]]="Y","LOQ","MRL")),"")</f>
        <v/>
      </c>
      <c r="AI497" s="1302" t="str">
        <f t="shared" si="303"/>
        <v/>
      </c>
      <c r="AJ497" s="1302" t="str">
        <f>IF(Table6[[#This Row],[Input value normal mode case 1, 2a/2b,Po]]&gt;0,IF(Table6[[#This Row],[label description]]&gt;"",Table6[[#This Row],[label description]],""),"")</f>
        <v/>
      </c>
      <c r="AK497" s="1302" t="str">
        <f>CONCATENATE(Table6[[#This Row],[label for IESTI normal mode case 1, 2a/2b,Po]],Table6[[#This Row],[label connector case  normal mode]],Table6[[#This Row],[label refinements normal mode case 1, 2a/2b,Po]])</f>
        <v/>
      </c>
      <c r="AL497" s="1287" t="str">
        <f>IF(AND(Table6[[#This Row],[Case for acute RA children / adults]]=3,Table6[[#This Row],[Post-harvest treatment]]=""),IF(AND(Table6[[#This Row],[LOQ RAC individual crop]]="Y",M496="N"),Table6[[#This Row],[MRL RAC individual commodity]],IF(Table6[[#This Row],[Median residue*CF*PF]]&gt;0,Table6[[#This Row],[Median residue*CF*PF]],IF(Table6[[#This Row],[MRL*CF*PF or LOQ (if not under assessment and LOQ)]]&gt;0,Table6[[#This Row],[MRL*CF*PF or LOQ (if not under assessment and LOQ)]],""))),"")</f>
        <v/>
      </c>
      <c r="AM497" s="1295" t="str">
        <f>IF(Table6[[#This Row],[input for case 3 normal mode]]&gt;0,IF(Table6[[#This Row],[Median residue*CF*PF]]&gt;0,"STMR-RAC",IF(AND($AC497&gt;0,NOT(V497="Y")),"MRL",IF($V497="Y","LOQ",""))),"")</f>
        <v/>
      </c>
      <c r="AN497" s="1295" t="str">
        <f t="shared" si="304"/>
        <v/>
      </c>
      <c r="AO497" s="1287" t="str">
        <f>IF(Table6[[#This Row],[input for case 3 normal mode]]="","",IF(AND(Table6[[#This Row],[label for case 3 calculation normal mode]]="LOQ",Table6[[#This Row],[GAP under assessment]]="N"),"",IF(Table6[[#This Row],[label description]]&gt;"",Table6[[#This Row],[label description]],"")))</f>
        <v/>
      </c>
      <c r="AP497" s="1287" t="str">
        <f>CONCATENATE(Table6[[#This Row],[label for case 3 calculation normal mode]],Table6[[#This Row],[label connector case 3 normal mode]],Table6[[#This Row],[label refinements case 3 normal mode]])</f>
        <v/>
      </c>
      <c r="AQ497" s="1287" t="str">
        <f>IF(Table6[[#This Row],[GAP under assessment]]="Y",Table6[[#This Row],[Input value normal mode case 1, 2a/2b,Po]],"")</f>
        <v/>
      </c>
      <c r="AR497" s="1287" t="str">
        <f>IF(Table6[[#This Row],[Input value refined mode case 1, 2a/2b,Po]]&gt;0,Table6[[#This Row],[concat label normal mode 1,2a/2b,Po ]],"")</f>
        <v/>
      </c>
      <c r="AS497" s="1303" t="str">
        <f>IF(Table6[[#This Row],[GAP under assessment]]="Y",Table6[[#This Row],[input for case 3 normal mode]],"")</f>
        <v/>
      </c>
      <c r="AT497" s="1287" t="str">
        <f>IF(Table6[[#This Row],[input for case 3 refined mode]]&gt;0,Table6[[#This Row],[concat label normal mode  case 3]],"")</f>
        <v/>
      </c>
      <c r="AU497" s="1295" t="str">
        <f>IF(Table6[[#This Row],[Input value normal mode case 1, 2a/2b,Po]]&gt;0,Table6[[#This Row],[Input value normal mode case 1, 2a/2b,Po]],Table6[[#This Row],[input for case 3 normal mode]])</f>
        <v/>
      </c>
      <c r="AV497" s="1295" t="str">
        <f>IF(Table6[[#This Row],[Input value normal mode case 1, 2a/2b,Po]]&gt;0,Table6[[#This Row],[concat label normal mode 1,2a/2b,Po ]],Table6[[#This Row],[concat label normal mode  case 3]])</f>
        <v/>
      </c>
      <c r="AW497" s="1295" t="str">
        <f>IF(Table6[[#This Row],[Input value refined mode case 1, 2a/2b,Po]]&gt;0,Table6[[#This Row],[Input value refined mode case 1, 2a/2b,Po]],Table6[[#This Row],[input for case 3 refined mode]])</f>
        <v/>
      </c>
      <c r="AX497" s="1295" t="str">
        <f>IF(Table6[[#This Row],[Input value refined mode case 1, 2a/2b,Po]]&gt;0,Table6[[#This Row],[concat label refined mode case 1,2a/2b,Po]],Table6[[#This Row],[label for case 3 calculation refined mode]])</f>
        <v/>
      </c>
      <c r="AY497" s="1287">
        <f t="shared" si="305"/>
        <v>0</v>
      </c>
      <c r="AZ497" s="1295" t="str">
        <f t="shared" si="306"/>
        <v/>
      </c>
      <c r="BA497" s="1295" t="str">
        <f t="shared" si="307"/>
        <v/>
      </c>
      <c r="BB497" s="1287" t="str">
        <f>IF(AND(Table6[[#This Row],[label for IESTI new normal mode]]="LOQ",Table6[[#This Row],[GAP under assessment]]="N"),"",IF(AND($H497&gt;0,$Y497&lt;&gt;1),"CF*PF",IF($H497&gt;0,"CF",IF($Y497&lt;&gt;1,"PF",""))))</f>
        <v>PF</v>
      </c>
      <c r="BC497" s="1296" t="s">
        <v>369</v>
      </c>
      <c r="BD497" s="1297"/>
      <c r="BE497" s="1304" t="str">
        <f>IF(Table6[[#This Row],[GAP under assessment]]="Y",Table6[[#This Row],[MRL*CF*PF or LOQ (if not under assessment and LOQ)]],"")</f>
        <v/>
      </c>
      <c r="BF497" s="1305" t="str">
        <f>IF(Table6[[#This Row],[Input for IESTI new refined mode]]&lt;&gt;"",CONCATENATE("MRL",Table6[[#This Row],[label connector case 3 normal mode]],Table6[[#This Row],[label refinements case 3 normal mode]]),"")</f>
        <v/>
      </c>
      <c r="BG497" s="1298" t="s">
        <v>485</v>
      </c>
      <c r="BH497" s="1306"/>
    </row>
    <row r="498" spans="1:60" s="11" customFormat="1" ht="12.75" customHeight="1" x14ac:dyDescent="0.2">
      <c r="A498" s="479" t="s">
        <v>598</v>
      </c>
      <c r="B498" s="480">
        <v>401060</v>
      </c>
      <c r="C498" s="547" t="s">
        <v>1146</v>
      </c>
      <c r="D498" s="1261">
        <f>VLOOKUP(Table6[[#This Row],[Code no.]],$B$12:$D$390,3,FALSE)</f>
        <v>0</v>
      </c>
      <c r="E498" s="1264">
        <f t="shared" si="292"/>
        <v>0</v>
      </c>
      <c r="F498" s="1262" t="str">
        <f t="shared" si="308"/>
        <v/>
      </c>
      <c r="G498" s="1265">
        <f t="shared" si="293"/>
        <v>1</v>
      </c>
      <c r="H498" s="881"/>
      <c r="I498" s="882"/>
      <c r="J498" s="1269">
        <f t="shared" si="294"/>
        <v>0</v>
      </c>
      <c r="K498" s="1269">
        <f t="shared" si="295"/>
        <v>0</v>
      </c>
      <c r="L498" s="1270"/>
      <c r="M498" s="1271" t="str">
        <f t="shared" si="296"/>
        <v/>
      </c>
      <c r="N498" s="1273" t="str">
        <f t="shared" si="309"/>
        <v/>
      </c>
      <c r="O498" s="1273">
        <v>3</v>
      </c>
      <c r="P498" s="1273" t="str">
        <f>IF(OR($A$10=$BG$15,Results!$B$62=Results!$T$63),Table6[[#This Row],[label refine mode]],Table6[[#This Row],[label normal mode]])</f>
        <v/>
      </c>
      <c r="Q498" s="1257" t="str">
        <f>IF(OR($A$10=$BG$15,Results!$B$62=Results!$T$63),Table6[[#This Row],[input refined mode]],Table6[[#This Row],[Input normal mode]])</f>
        <v/>
      </c>
      <c r="R498" s="1275" t="str">
        <f>IF(Table6[[#This Row],[Acute RA IESTI new input value]]="","",CONCATENATE(Table6[[#This Row],[label for IESTI new normal mode]],Table6[[#This Row],[label connector IESTI new normal mode]],Table6[[#This Row],[label refinements normal mode]]))</f>
        <v/>
      </c>
      <c r="S498" s="1259">
        <f>IF(OR($A$10=$BG$15,Results!$B$62=Results!$T$63),Table6[[#This Row],[Input for IESTI new refined mode]],Table6[[#This Row],[Input for IESTI new normal mode]])</f>
        <v>0</v>
      </c>
      <c r="T498" s="888"/>
      <c r="U498" s="1283">
        <f t="shared" si="297"/>
        <v>0</v>
      </c>
      <c r="V498" s="1284" t="str">
        <f t="shared" si="298"/>
        <v/>
      </c>
      <c r="W498" s="1285">
        <f>IF($H498&gt;0,$H498,IF(Table6[[#This Row],[CFrisk for residue definition (applicable for unprocessed products)]]&gt;0,Table6[[#This Row],[CFrisk for residue definition (applicable for unprocessed products)]],1))</f>
        <v>1</v>
      </c>
      <c r="X498" s="1285">
        <v>2</v>
      </c>
      <c r="Y498" s="1285">
        <f t="shared" si="299"/>
        <v>2</v>
      </c>
      <c r="Z498" s="1285">
        <f t="shared" si="300"/>
        <v>2</v>
      </c>
      <c r="AA498" s="1285" t="str">
        <f>IF(Table6[[#This Row],[Post-harvest treatment]]="","","Y")</f>
        <v/>
      </c>
      <c r="AB498" s="1285" t="str">
        <f>IF(AND(Table6[[#This Row],[CF used for for calculation]]&lt;&gt;1,Table6[[#This Row],[PF for calculation]]&lt;&gt;1),"CF*PF",IF(Table6[[#This Row],[CF used for for calculation]]&lt;&gt;1,"CF",IF(Table6[[#This Row],[PF for calculation]]&lt;&gt;1,"PF","")))</f>
        <v>PF</v>
      </c>
      <c r="AC498" s="1300">
        <f>IF(AND(Table6[[#This Row],[LOQ RAC individual crop]]="Y",Table6[[#This Row],[GAP under assessment]]="N"),Table6[[#This Row],[MRL RAC individual commodity]],Table6[[#This Row],[MRL RAC individual commodity]]*Table6[[#This Row],[CF*PF for calculation]])</f>
        <v>0</v>
      </c>
      <c r="AD498" s="1287">
        <f t="shared" si="301"/>
        <v>0</v>
      </c>
      <c r="AE498" s="1287">
        <f t="shared" si="302"/>
        <v>0</v>
      </c>
      <c r="AF498" s="1288">
        <f>Table6[[#This Row],[IESTI case]]</f>
        <v>3</v>
      </c>
      <c r="AG498"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98" s="1302" t="str">
        <f>IF(Table6[[#This Row],[Input value normal mode case 1, 2a/2b,Po]]&gt;0,
              IF(Table6[[#This Row],[Highest residue * CF*PF]]&gt;"","HR-RAC",
                             IF(Table6[[#This Row],[LOQ RAC individual crop]]="Y","LOQ","MRL")),"")</f>
        <v/>
      </c>
      <c r="AI498" s="1302" t="str">
        <f t="shared" si="303"/>
        <v/>
      </c>
      <c r="AJ498" s="1302" t="str">
        <f>IF(Table6[[#This Row],[Input value normal mode case 1, 2a/2b,Po]]&gt;0,IF(Table6[[#This Row],[label description]]&gt;"",Table6[[#This Row],[label description]],""),"")</f>
        <v/>
      </c>
      <c r="AK498" s="1302" t="str">
        <f>CONCATENATE(Table6[[#This Row],[label for IESTI normal mode case 1, 2a/2b,Po]],Table6[[#This Row],[label connector case  normal mode]],Table6[[#This Row],[label refinements normal mode case 1, 2a/2b,Po]])</f>
        <v/>
      </c>
      <c r="AL498" s="1287" t="str">
        <f>IF(AND(Table6[[#This Row],[Case for acute RA children / adults]]=3,Table6[[#This Row],[Post-harvest treatment]]=""),IF(AND(Table6[[#This Row],[LOQ RAC individual crop]]="Y",M497="N"),Table6[[#This Row],[MRL RAC individual commodity]],IF(Table6[[#This Row],[Median residue*CF*PF]]&gt;0,Table6[[#This Row],[Median residue*CF*PF]],IF(Table6[[#This Row],[MRL*CF*PF or LOQ (if not under assessment and LOQ)]]&gt;0,Table6[[#This Row],[MRL*CF*PF or LOQ (if not under assessment and LOQ)]],""))),"")</f>
        <v/>
      </c>
      <c r="AM498" s="1295" t="str">
        <f>IF(Table6[[#This Row],[input for case 3 normal mode]]&gt;0,IF(Table6[[#This Row],[Median residue*CF*PF]]&gt;0,"STMR-RAC",IF(AND($AC498&gt;0,NOT(V498="Y")),"MRL",IF($V498="Y","LOQ",""))),"")</f>
        <v/>
      </c>
      <c r="AN498" s="1295" t="str">
        <f t="shared" si="304"/>
        <v/>
      </c>
      <c r="AO498" s="1287" t="str">
        <f>IF(Table6[[#This Row],[input for case 3 normal mode]]="","",IF(AND(Table6[[#This Row],[label for case 3 calculation normal mode]]="LOQ",Table6[[#This Row],[GAP under assessment]]="N"),"",IF(Table6[[#This Row],[label description]]&gt;"",Table6[[#This Row],[label description]],"")))</f>
        <v/>
      </c>
      <c r="AP498" s="1287" t="str">
        <f>CONCATENATE(Table6[[#This Row],[label for case 3 calculation normal mode]],Table6[[#This Row],[label connector case 3 normal mode]],Table6[[#This Row],[label refinements case 3 normal mode]])</f>
        <v/>
      </c>
      <c r="AQ498" s="1287" t="str">
        <f>IF(Table6[[#This Row],[GAP under assessment]]="Y",Table6[[#This Row],[Input value normal mode case 1, 2a/2b,Po]],"")</f>
        <v/>
      </c>
      <c r="AR498" s="1287" t="str">
        <f>IF(Table6[[#This Row],[Input value refined mode case 1, 2a/2b,Po]]&gt;0,Table6[[#This Row],[concat label normal mode 1,2a/2b,Po ]],"")</f>
        <v/>
      </c>
      <c r="AS498" s="1303" t="str">
        <f>IF(Table6[[#This Row],[GAP under assessment]]="Y",Table6[[#This Row],[input for case 3 normal mode]],"")</f>
        <v/>
      </c>
      <c r="AT498" s="1287" t="str">
        <f>IF(Table6[[#This Row],[input for case 3 refined mode]]&gt;0,Table6[[#This Row],[concat label normal mode  case 3]],"")</f>
        <v/>
      </c>
      <c r="AU498" s="1295" t="str">
        <f>IF(Table6[[#This Row],[Input value normal mode case 1, 2a/2b,Po]]&gt;0,Table6[[#This Row],[Input value normal mode case 1, 2a/2b,Po]],Table6[[#This Row],[input for case 3 normal mode]])</f>
        <v/>
      </c>
      <c r="AV498" s="1295" t="str">
        <f>IF(Table6[[#This Row],[Input value normal mode case 1, 2a/2b,Po]]&gt;0,Table6[[#This Row],[concat label normal mode 1,2a/2b,Po ]],Table6[[#This Row],[concat label normal mode  case 3]])</f>
        <v/>
      </c>
      <c r="AW498" s="1295" t="str">
        <f>IF(Table6[[#This Row],[Input value refined mode case 1, 2a/2b,Po]]&gt;0,Table6[[#This Row],[Input value refined mode case 1, 2a/2b,Po]],Table6[[#This Row],[input for case 3 refined mode]])</f>
        <v/>
      </c>
      <c r="AX498" s="1295" t="str">
        <f>IF(Table6[[#This Row],[Input value refined mode case 1, 2a/2b,Po]]&gt;0,Table6[[#This Row],[concat label refined mode case 1,2a/2b,Po]],Table6[[#This Row],[label for case 3 calculation refined mode]])</f>
        <v/>
      </c>
      <c r="AY498" s="1287">
        <f t="shared" si="305"/>
        <v>0</v>
      </c>
      <c r="AZ498" s="1295" t="str">
        <f t="shared" si="306"/>
        <v/>
      </c>
      <c r="BA498" s="1295" t="str">
        <f t="shared" si="307"/>
        <v/>
      </c>
      <c r="BB498" s="1287" t="str">
        <f>IF(AND(Table6[[#This Row],[label for IESTI new normal mode]]="LOQ",Table6[[#This Row],[GAP under assessment]]="N"),"",IF(AND($H498&gt;0,$Y498&lt;&gt;1),"CF*PF",IF($H498&gt;0,"CF",IF($Y498&lt;&gt;1,"PF",""))))</f>
        <v>PF</v>
      </c>
      <c r="BC498" s="1296" t="s">
        <v>369</v>
      </c>
      <c r="BD498" s="1297"/>
      <c r="BE498" s="1304" t="str">
        <f>IF(Table6[[#This Row],[GAP under assessment]]="Y",Table6[[#This Row],[MRL*CF*PF or LOQ (if not under assessment and LOQ)]],"")</f>
        <v/>
      </c>
      <c r="BF498" s="1305" t="str">
        <f>IF(Table6[[#This Row],[Input for IESTI new refined mode]]&lt;&gt;"",CONCATENATE("MRL",Table6[[#This Row],[label connector case 3 normal mode]],Table6[[#This Row],[label refinements case 3 normal mode]]),"")</f>
        <v/>
      </c>
      <c r="BG498" s="1298" t="s">
        <v>598</v>
      </c>
      <c r="BH498" s="1306"/>
    </row>
    <row r="499" spans="1:60" s="11" customFormat="1" ht="12.75" customHeight="1" x14ac:dyDescent="0.2">
      <c r="A499" s="479" t="s">
        <v>576</v>
      </c>
      <c r="B499" s="480">
        <v>401070</v>
      </c>
      <c r="C499" s="547" t="s">
        <v>1906</v>
      </c>
      <c r="D499" s="1261">
        <f>VLOOKUP(Table6[[#This Row],[Code no.]],$B$12:$D$390,3,FALSE)</f>
        <v>0</v>
      </c>
      <c r="E499" s="1264">
        <f t="shared" si="292"/>
        <v>0</v>
      </c>
      <c r="F499" s="1262" t="str">
        <f t="shared" si="308"/>
        <v/>
      </c>
      <c r="G499" s="1265">
        <f t="shared" si="293"/>
        <v>1</v>
      </c>
      <c r="H499" s="881"/>
      <c r="I499" s="880"/>
      <c r="J499" s="1269">
        <f t="shared" si="294"/>
        <v>0</v>
      </c>
      <c r="K499" s="1269">
        <f t="shared" si="295"/>
        <v>0</v>
      </c>
      <c r="L499" s="1270"/>
      <c r="M499" s="1271" t="str">
        <f t="shared" si="296"/>
        <v/>
      </c>
      <c r="N499" s="1273" t="str">
        <f t="shared" si="309"/>
        <v/>
      </c>
      <c r="O499" s="1273">
        <v>3</v>
      </c>
      <c r="P499" s="1273" t="str">
        <f>IF(OR($A$10=$BG$15,Results!$B$62=Results!$T$63),Table6[[#This Row],[label refine mode]],Table6[[#This Row],[label normal mode]])</f>
        <v/>
      </c>
      <c r="Q499" s="1257" t="str">
        <f>IF(OR($A$10=$BG$15,Results!$B$62=Results!$T$63),Table6[[#This Row],[input refined mode]],Table6[[#This Row],[Input normal mode]])</f>
        <v/>
      </c>
      <c r="R499" s="1275" t="str">
        <f>IF(Table6[[#This Row],[Acute RA IESTI new input value]]="","",CONCATENATE(Table6[[#This Row],[label for IESTI new normal mode]],Table6[[#This Row],[label connector IESTI new normal mode]],Table6[[#This Row],[label refinements normal mode]]))</f>
        <v/>
      </c>
      <c r="S499" s="1259">
        <f>IF(OR($A$10=$BG$15,Results!$B$62=Results!$T$63),Table6[[#This Row],[Input for IESTI new refined mode]],Table6[[#This Row],[Input for IESTI new normal mode]])</f>
        <v>0</v>
      </c>
      <c r="T499" s="888"/>
      <c r="U499" s="1283">
        <f t="shared" si="297"/>
        <v>0</v>
      </c>
      <c r="V499" s="1284" t="str">
        <f t="shared" si="298"/>
        <v/>
      </c>
      <c r="W499" s="1285">
        <f>IF($H499&gt;0,$H499,IF(Table6[[#This Row],[CFrisk for residue definition (applicable for unprocessed products)]]&gt;0,Table6[[#This Row],[CFrisk for residue definition (applicable for unprocessed products)]],1))</f>
        <v>1</v>
      </c>
      <c r="X499" s="1285">
        <v>1</v>
      </c>
      <c r="Y499" s="1285">
        <f t="shared" si="299"/>
        <v>1</v>
      </c>
      <c r="Z499" s="1285">
        <f t="shared" si="300"/>
        <v>1</v>
      </c>
      <c r="AA499" s="1285" t="str">
        <f>IF(Table6[[#This Row],[Post-harvest treatment]]="","","Y")</f>
        <v/>
      </c>
      <c r="AB499" s="1285" t="str">
        <f>IF(AND(Table6[[#This Row],[CF used for for calculation]]&lt;&gt;1,Table6[[#This Row],[PF for calculation]]&lt;&gt;1),"CF*PF",IF(Table6[[#This Row],[CF used for for calculation]]&lt;&gt;1,"CF",IF(Table6[[#This Row],[PF for calculation]]&lt;&gt;1,"PF","")))</f>
        <v/>
      </c>
      <c r="AC499" s="1300">
        <f>IF(AND(Table6[[#This Row],[LOQ RAC individual crop]]="Y",Table6[[#This Row],[GAP under assessment]]="N"),Table6[[#This Row],[MRL RAC individual commodity]],Table6[[#This Row],[MRL RAC individual commodity]]*Table6[[#This Row],[CF*PF for calculation]])</f>
        <v>0</v>
      </c>
      <c r="AD499" s="1287">
        <f t="shared" si="301"/>
        <v>0</v>
      </c>
      <c r="AE499" s="1287">
        <f t="shared" si="302"/>
        <v>0</v>
      </c>
      <c r="AF499" s="1288">
        <f>Table6[[#This Row],[IESTI case]]</f>
        <v>3</v>
      </c>
      <c r="AG499"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499" s="1302" t="str">
        <f>IF(Table6[[#This Row],[Input value normal mode case 1, 2a/2b,Po]]&gt;0,
              IF(Table6[[#This Row],[Highest residue * CF*PF]]&gt;"","HR-RAC",
                             IF(Table6[[#This Row],[LOQ RAC individual crop]]="Y","LOQ","MRL")),"")</f>
        <v/>
      </c>
      <c r="AI499" s="1302" t="str">
        <f t="shared" si="303"/>
        <v/>
      </c>
      <c r="AJ499" s="1302" t="str">
        <f>IF(Table6[[#This Row],[Input value normal mode case 1, 2a/2b,Po]]&gt;0,IF(Table6[[#This Row],[label description]]&gt;"",Table6[[#This Row],[label description]],""),"")</f>
        <v/>
      </c>
      <c r="AK499" s="1302" t="str">
        <f>CONCATENATE(Table6[[#This Row],[label for IESTI normal mode case 1, 2a/2b,Po]],Table6[[#This Row],[label connector case  normal mode]],Table6[[#This Row],[label refinements normal mode case 1, 2a/2b,Po]])</f>
        <v/>
      </c>
      <c r="AL499" s="1287" t="str">
        <f>IF(AND(Table6[[#This Row],[Case for acute RA children / adults]]=3,Table6[[#This Row],[Post-harvest treatment]]=""),IF(AND(Table6[[#This Row],[LOQ RAC individual crop]]="Y",M498="N"),Table6[[#This Row],[MRL RAC individual commodity]],IF(Table6[[#This Row],[Median residue*CF*PF]]&gt;0,Table6[[#This Row],[Median residue*CF*PF]],IF(Table6[[#This Row],[MRL*CF*PF or LOQ (if not under assessment and LOQ)]]&gt;0,Table6[[#This Row],[MRL*CF*PF or LOQ (if not under assessment and LOQ)]],""))),"")</f>
        <v/>
      </c>
      <c r="AM499" s="1295" t="str">
        <f>IF(Table6[[#This Row],[input for case 3 normal mode]]&gt;0,IF(Table6[[#This Row],[Median residue*CF*PF]]&gt;0,"STMR-RAC",IF(AND($AC499&gt;0,NOT(V499="Y")),"MRL",IF($V499="Y","LOQ",""))),"")</f>
        <v/>
      </c>
      <c r="AN499" s="1295" t="str">
        <f t="shared" si="304"/>
        <v/>
      </c>
      <c r="AO499" s="1287" t="str">
        <f>IF(Table6[[#This Row],[input for case 3 normal mode]]="","",IF(AND(Table6[[#This Row],[label for case 3 calculation normal mode]]="LOQ",Table6[[#This Row],[GAP under assessment]]="N"),"",IF(Table6[[#This Row],[label description]]&gt;"",Table6[[#This Row],[label description]],"")))</f>
        <v/>
      </c>
      <c r="AP499" s="1287" t="str">
        <f>CONCATENATE(Table6[[#This Row],[label for case 3 calculation normal mode]],Table6[[#This Row],[label connector case 3 normal mode]],Table6[[#This Row],[label refinements case 3 normal mode]])</f>
        <v/>
      </c>
      <c r="AQ499" s="1287" t="str">
        <f>IF(Table6[[#This Row],[GAP under assessment]]="Y",Table6[[#This Row],[Input value normal mode case 1, 2a/2b,Po]],"")</f>
        <v/>
      </c>
      <c r="AR499" s="1287" t="str">
        <f>IF(Table6[[#This Row],[Input value refined mode case 1, 2a/2b,Po]]&gt;0,Table6[[#This Row],[concat label normal mode 1,2a/2b,Po ]],"")</f>
        <v/>
      </c>
      <c r="AS499" s="1303" t="str">
        <f>IF(Table6[[#This Row],[GAP under assessment]]="Y",Table6[[#This Row],[input for case 3 normal mode]],"")</f>
        <v/>
      </c>
      <c r="AT499" s="1287" t="str">
        <f>IF(Table6[[#This Row],[input for case 3 refined mode]]&gt;0,Table6[[#This Row],[concat label normal mode  case 3]],"")</f>
        <v/>
      </c>
      <c r="AU499" s="1295" t="str">
        <f>IF(Table6[[#This Row],[Input value normal mode case 1, 2a/2b,Po]]&gt;0,Table6[[#This Row],[Input value normal mode case 1, 2a/2b,Po]],Table6[[#This Row],[input for case 3 normal mode]])</f>
        <v/>
      </c>
      <c r="AV499" s="1295" t="str">
        <f>IF(Table6[[#This Row],[Input value normal mode case 1, 2a/2b,Po]]&gt;0,Table6[[#This Row],[concat label normal mode 1,2a/2b,Po ]],Table6[[#This Row],[concat label normal mode  case 3]])</f>
        <v/>
      </c>
      <c r="AW499" s="1295" t="str">
        <f>IF(Table6[[#This Row],[Input value refined mode case 1, 2a/2b,Po]]&gt;0,Table6[[#This Row],[Input value refined mode case 1, 2a/2b,Po]],Table6[[#This Row],[input for case 3 refined mode]])</f>
        <v/>
      </c>
      <c r="AX499" s="1295" t="str">
        <f>IF(Table6[[#This Row],[Input value refined mode case 1, 2a/2b,Po]]&gt;0,Table6[[#This Row],[concat label refined mode case 1,2a/2b,Po]],Table6[[#This Row],[label for case 3 calculation refined mode]])</f>
        <v/>
      </c>
      <c r="AY499" s="1287">
        <f t="shared" si="305"/>
        <v>0</v>
      </c>
      <c r="AZ499" s="1295" t="str">
        <f t="shared" si="306"/>
        <v/>
      </c>
      <c r="BA499" s="1295" t="str">
        <f t="shared" si="307"/>
        <v/>
      </c>
      <c r="BB499" s="1287" t="str">
        <f>IF(AND(Table6[[#This Row],[label for IESTI new normal mode]]="LOQ",Table6[[#This Row],[GAP under assessment]]="N"),"",IF(AND($H499&gt;0,$Y499&lt;&gt;1),"CF*PF",IF($H499&gt;0,"CF",IF($Y499&lt;&gt;1,"PF",""))))</f>
        <v/>
      </c>
      <c r="BC499" s="1296" t="s">
        <v>369</v>
      </c>
      <c r="BD499" s="1297"/>
      <c r="BE499" s="1304" t="str">
        <f>IF(Table6[[#This Row],[GAP under assessment]]="Y",Table6[[#This Row],[MRL*CF*PF or LOQ (if not under assessment and LOQ)]],"")</f>
        <v/>
      </c>
      <c r="BF499" s="1305" t="str">
        <f>IF(Table6[[#This Row],[Input for IESTI new refined mode]]&lt;&gt;"",CONCATENATE("MRL",Table6[[#This Row],[label connector case 3 normal mode]],Table6[[#This Row],[label refinements case 3 normal mode]]),"")</f>
        <v/>
      </c>
      <c r="BG499" s="1298" t="s">
        <v>576</v>
      </c>
      <c r="BH499" s="1306"/>
    </row>
    <row r="500" spans="1:60" s="11" customFormat="1" ht="12.75" customHeight="1" x14ac:dyDescent="0.2">
      <c r="A500" s="479" t="s">
        <v>567</v>
      </c>
      <c r="B500" s="480">
        <v>401070</v>
      </c>
      <c r="C500" s="547" t="s">
        <v>839</v>
      </c>
      <c r="D500" s="1261">
        <f>VLOOKUP(Table6[[#This Row],[Code no.]],$B$12:$D$390,3,FALSE)</f>
        <v>0</v>
      </c>
      <c r="E500" s="1264">
        <f t="shared" si="292"/>
        <v>0</v>
      </c>
      <c r="F500" s="1262" t="str">
        <f t="shared" si="308"/>
        <v/>
      </c>
      <c r="G500" s="1265">
        <f t="shared" si="293"/>
        <v>1</v>
      </c>
      <c r="H500" s="881"/>
      <c r="I500" s="882"/>
      <c r="J500" s="1269">
        <f t="shared" si="294"/>
        <v>0</v>
      </c>
      <c r="K500" s="1269">
        <f t="shared" si="295"/>
        <v>0</v>
      </c>
      <c r="L500" s="1270"/>
      <c r="M500" s="1271" t="str">
        <f t="shared" si="296"/>
        <v/>
      </c>
      <c r="N500" s="1273" t="str">
        <f t="shared" si="309"/>
        <v/>
      </c>
      <c r="O500" s="1273">
        <v>3</v>
      </c>
      <c r="P500" s="1273" t="str">
        <f>IF(OR($A$10=$BG$15,Results!$B$62=Results!$T$63),Table6[[#This Row],[label refine mode]],Table6[[#This Row],[label normal mode]])</f>
        <v/>
      </c>
      <c r="Q500" s="1257" t="str">
        <f>IF(OR($A$10=$BG$15,Results!$B$62=Results!$T$63),Table6[[#This Row],[input refined mode]],Table6[[#This Row],[Input normal mode]])</f>
        <v/>
      </c>
      <c r="R500" s="1275" t="str">
        <f>IF(Table6[[#This Row],[Acute RA IESTI new input value]]="","",CONCATENATE(Table6[[#This Row],[label for IESTI new normal mode]],Table6[[#This Row],[label connector IESTI new normal mode]],Table6[[#This Row],[label refinements normal mode]]))</f>
        <v/>
      </c>
      <c r="S500" s="1259">
        <f>IF(OR($A$10=$BG$15,Results!$B$62=Results!$T$63),Table6[[#This Row],[Input for IESTI new refined mode]],Table6[[#This Row],[Input for IESTI new normal mode]])</f>
        <v>0</v>
      </c>
      <c r="T500" s="888"/>
      <c r="U500" s="1283">
        <f t="shared" si="297"/>
        <v>0</v>
      </c>
      <c r="V500" s="1284" t="str">
        <f t="shared" si="298"/>
        <v/>
      </c>
      <c r="W500" s="1285">
        <f>IF($H500&gt;0,$H500,IF(Table6[[#This Row],[CFrisk for residue definition (applicable for unprocessed products)]]&gt;0,Table6[[#This Row],[CFrisk for residue definition (applicable for unprocessed products)]],1))</f>
        <v>1</v>
      </c>
      <c r="X500" s="1285">
        <v>0.4</v>
      </c>
      <c r="Y500" s="1285">
        <f t="shared" si="299"/>
        <v>0.4</v>
      </c>
      <c r="Z500" s="1285">
        <f t="shared" si="300"/>
        <v>0.4</v>
      </c>
      <c r="AA500" s="1285" t="str">
        <f>IF(Table6[[#This Row],[Post-harvest treatment]]="","","Y")</f>
        <v/>
      </c>
      <c r="AB500" s="1285" t="str">
        <f>IF(AND(Table6[[#This Row],[CF used for for calculation]]&lt;&gt;1,Table6[[#This Row],[PF for calculation]]&lt;&gt;1),"CF*PF",IF(Table6[[#This Row],[CF used for for calculation]]&lt;&gt;1,"CF",IF(Table6[[#This Row],[PF for calculation]]&lt;&gt;1,"PF","")))</f>
        <v>PF</v>
      </c>
      <c r="AC500" s="1300">
        <f>IF(AND(Table6[[#This Row],[LOQ RAC individual crop]]="Y",Table6[[#This Row],[GAP under assessment]]="N"),Table6[[#This Row],[MRL RAC individual commodity]],Table6[[#This Row],[MRL RAC individual commodity]]*Table6[[#This Row],[CF*PF for calculation]])</f>
        <v>0</v>
      </c>
      <c r="AD500" s="1287">
        <f t="shared" si="301"/>
        <v>0</v>
      </c>
      <c r="AE500" s="1287">
        <f t="shared" si="302"/>
        <v>0</v>
      </c>
      <c r="AF500" s="1288">
        <f>Table6[[#This Row],[IESTI case]]</f>
        <v>3</v>
      </c>
      <c r="AG500"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00" s="1302" t="str">
        <f>IF(Table6[[#This Row],[Input value normal mode case 1, 2a/2b,Po]]&gt;0,
              IF(Table6[[#This Row],[Highest residue * CF*PF]]&gt;"","HR-RAC",
                             IF(Table6[[#This Row],[LOQ RAC individual crop]]="Y","LOQ","MRL")),"")</f>
        <v/>
      </c>
      <c r="AI500" s="1302" t="str">
        <f t="shared" si="303"/>
        <v/>
      </c>
      <c r="AJ500" s="1302" t="str">
        <f>IF(Table6[[#This Row],[Input value normal mode case 1, 2a/2b,Po]]&gt;0,IF(Table6[[#This Row],[label description]]&gt;"",Table6[[#This Row],[label description]],""),"")</f>
        <v/>
      </c>
      <c r="AK500" s="1302" t="str">
        <f>CONCATENATE(Table6[[#This Row],[label for IESTI normal mode case 1, 2a/2b,Po]],Table6[[#This Row],[label connector case  normal mode]],Table6[[#This Row],[label refinements normal mode case 1, 2a/2b,Po]])</f>
        <v/>
      </c>
      <c r="AL500" s="1287" t="str">
        <f>IF(AND(Table6[[#This Row],[Case for acute RA children / adults]]=3,Table6[[#This Row],[Post-harvest treatment]]=""),IF(AND(Table6[[#This Row],[LOQ RAC individual crop]]="Y",M499="N"),Table6[[#This Row],[MRL RAC individual commodity]],IF(Table6[[#This Row],[Median residue*CF*PF]]&gt;0,Table6[[#This Row],[Median residue*CF*PF]],IF(Table6[[#This Row],[MRL*CF*PF or LOQ (if not under assessment and LOQ)]]&gt;0,Table6[[#This Row],[MRL*CF*PF or LOQ (if not under assessment and LOQ)]],""))),"")</f>
        <v/>
      </c>
      <c r="AM500" s="1295" t="str">
        <f>IF(Table6[[#This Row],[input for case 3 normal mode]]&gt;0,IF(Table6[[#This Row],[Median residue*CF*PF]]&gt;0,"STMR-RAC",IF(AND($AC500&gt;0,NOT(V500="Y")),"MRL",IF($V500="Y","LOQ",""))),"")</f>
        <v/>
      </c>
      <c r="AN500" s="1295" t="str">
        <f t="shared" si="304"/>
        <v/>
      </c>
      <c r="AO500" s="1287" t="str">
        <f>IF(Table6[[#This Row],[input for case 3 normal mode]]="","",IF(AND(Table6[[#This Row],[label for case 3 calculation normal mode]]="LOQ",Table6[[#This Row],[GAP under assessment]]="N"),"",IF(Table6[[#This Row],[label description]]&gt;"",Table6[[#This Row],[label description]],"")))</f>
        <v/>
      </c>
      <c r="AP500" s="1287" t="str">
        <f>CONCATENATE(Table6[[#This Row],[label for case 3 calculation normal mode]],Table6[[#This Row],[label connector case 3 normal mode]],Table6[[#This Row],[label refinements case 3 normal mode]])</f>
        <v/>
      </c>
      <c r="AQ500" s="1287" t="str">
        <f>IF(Table6[[#This Row],[GAP under assessment]]="Y",Table6[[#This Row],[Input value normal mode case 1, 2a/2b,Po]],"")</f>
        <v/>
      </c>
      <c r="AR500" s="1287" t="str">
        <f>IF(Table6[[#This Row],[Input value refined mode case 1, 2a/2b,Po]]&gt;0,Table6[[#This Row],[concat label normal mode 1,2a/2b,Po ]],"")</f>
        <v/>
      </c>
      <c r="AS500" s="1303" t="str">
        <f>IF(Table6[[#This Row],[GAP under assessment]]="Y",Table6[[#This Row],[input for case 3 normal mode]],"")</f>
        <v/>
      </c>
      <c r="AT500" s="1287" t="str">
        <f>IF(Table6[[#This Row],[input for case 3 refined mode]]&gt;0,Table6[[#This Row],[concat label normal mode  case 3]],"")</f>
        <v/>
      </c>
      <c r="AU500" s="1295" t="str">
        <f>IF(Table6[[#This Row],[Input value normal mode case 1, 2a/2b,Po]]&gt;0,Table6[[#This Row],[Input value normal mode case 1, 2a/2b,Po]],Table6[[#This Row],[input for case 3 normal mode]])</f>
        <v/>
      </c>
      <c r="AV500" s="1295" t="str">
        <f>IF(Table6[[#This Row],[Input value normal mode case 1, 2a/2b,Po]]&gt;0,Table6[[#This Row],[concat label normal mode 1,2a/2b,Po ]],Table6[[#This Row],[concat label normal mode  case 3]])</f>
        <v/>
      </c>
      <c r="AW500" s="1295" t="str">
        <f>IF(Table6[[#This Row],[Input value refined mode case 1, 2a/2b,Po]]&gt;0,Table6[[#This Row],[Input value refined mode case 1, 2a/2b,Po]],Table6[[#This Row],[input for case 3 refined mode]])</f>
        <v/>
      </c>
      <c r="AX500" s="1295" t="str">
        <f>IF(Table6[[#This Row],[Input value refined mode case 1, 2a/2b,Po]]&gt;0,Table6[[#This Row],[concat label refined mode case 1,2a/2b,Po]],Table6[[#This Row],[label for case 3 calculation refined mode]])</f>
        <v/>
      </c>
      <c r="AY500" s="1287">
        <f t="shared" si="305"/>
        <v>0</v>
      </c>
      <c r="AZ500" s="1295" t="str">
        <f t="shared" si="306"/>
        <v/>
      </c>
      <c r="BA500" s="1295" t="str">
        <f t="shared" si="307"/>
        <v/>
      </c>
      <c r="BB500" s="1287" t="str">
        <f>IF(AND(Table6[[#This Row],[label for IESTI new normal mode]]="LOQ",Table6[[#This Row],[GAP under assessment]]="N"),"",IF(AND($H500&gt;0,$Y500&lt;&gt;1),"CF*PF",IF($H500&gt;0,"CF",IF($Y500&lt;&gt;1,"PF",""))))</f>
        <v>PF</v>
      </c>
      <c r="BC500" s="1296"/>
      <c r="BD500" s="1297"/>
      <c r="BE500" s="1304" t="str">
        <f>IF(Table6[[#This Row],[GAP under assessment]]="Y",Table6[[#This Row],[MRL*CF*PF or LOQ (if not under assessment and LOQ)]],"")</f>
        <v/>
      </c>
      <c r="BF500" s="1305" t="str">
        <f>IF(Table6[[#This Row],[Input for IESTI new refined mode]]&lt;&gt;"",CONCATENATE("MRL",Table6[[#This Row],[label connector case 3 normal mode]],Table6[[#This Row],[label refinements case 3 normal mode]]),"")</f>
        <v/>
      </c>
      <c r="BG500" s="1298" t="s">
        <v>567</v>
      </c>
      <c r="BH500" s="1306"/>
    </row>
    <row r="501" spans="1:60" s="11" customFormat="1" ht="12.75" customHeight="1" x14ac:dyDescent="0.2">
      <c r="A501" s="479" t="s">
        <v>599</v>
      </c>
      <c r="B501" s="480">
        <v>402010</v>
      </c>
      <c r="C501" s="547" t="s">
        <v>428</v>
      </c>
      <c r="D501" s="1261">
        <f>VLOOKUP(Table6[[#This Row],[Code no.]],$B$12:$D$390,3,FALSE)</f>
        <v>0</v>
      </c>
      <c r="E501" s="1264">
        <f t="shared" si="292"/>
        <v>0</v>
      </c>
      <c r="F501" s="1262" t="str">
        <f t="shared" si="308"/>
        <v/>
      </c>
      <c r="G501" s="1265">
        <f t="shared" si="293"/>
        <v>1</v>
      </c>
      <c r="H501" s="881"/>
      <c r="I501" s="882"/>
      <c r="J501" s="1269">
        <f t="shared" si="294"/>
        <v>0</v>
      </c>
      <c r="K501" s="1269">
        <f t="shared" si="295"/>
        <v>0</v>
      </c>
      <c r="L501" s="1270"/>
      <c r="M501" s="1271" t="str">
        <f t="shared" si="296"/>
        <v/>
      </c>
      <c r="N501" s="1273" t="str">
        <f t="shared" si="309"/>
        <v/>
      </c>
      <c r="O501" s="1273">
        <v>3</v>
      </c>
      <c r="P501" s="1273" t="str">
        <f>IF(OR($A$10=$BG$15,Results!$B$62=Results!$T$63),Table6[[#This Row],[label refine mode]],Table6[[#This Row],[label normal mode]])</f>
        <v/>
      </c>
      <c r="Q501" s="1257" t="str">
        <f>IF(OR($A$10=$BG$15,Results!$B$62=Results!$T$63),Table6[[#This Row],[input refined mode]],Table6[[#This Row],[Input normal mode]])</f>
        <v/>
      </c>
      <c r="R501" s="1275" t="str">
        <f>IF(Table6[[#This Row],[Acute RA IESTI new input value]]="","",CONCATENATE(Table6[[#This Row],[label for IESTI new normal mode]],Table6[[#This Row],[label connector IESTI new normal mode]],Table6[[#This Row],[label refinements normal mode]]))</f>
        <v/>
      </c>
      <c r="S501" s="1259">
        <f>IF(OR($A$10=$BG$15,Results!$B$62=Results!$T$63),Table6[[#This Row],[Input for IESTI new refined mode]],Table6[[#This Row],[Input for IESTI new normal mode]])</f>
        <v>0</v>
      </c>
      <c r="T501" s="888"/>
      <c r="U501" s="1283">
        <f t="shared" si="297"/>
        <v>0</v>
      </c>
      <c r="V501" s="1284" t="str">
        <f t="shared" si="298"/>
        <v/>
      </c>
      <c r="W501" s="1285">
        <f>IF($H501&gt;0,$H501,IF(Table6[[#This Row],[CFrisk for residue definition (applicable for unprocessed products)]]&gt;0,Table6[[#This Row],[CFrisk for residue definition (applicable for unprocessed products)]],1))</f>
        <v>1</v>
      </c>
      <c r="X501" s="1285">
        <v>2</v>
      </c>
      <c r="Y501" s="1285">
        <f t="shared" si="299"/>
        <v>2</v>
      </c>
      <c r="Z501" s="1285">
        <f t="shared" si="300"/>
        <v>2</v>
      </c>
      <c r="AA501" s="1285" t="str">
        <f>IF(Table6[[#This Row],[Post-harvest treatment]]="","","Y")</f>
        <v/>
      </c>
      <c r="AB501" s="1285" t="str">
        <f>IF(AND(Table6[[#This Row],[CF used for for calculation]]&lt;&gt;1,Table6[[#This Row],[PF for calculation]]&lt;&gt;1),"CF*PF",IF(Table6[[#This Row],[CF used for for calculation]]&lt;&gt;1,"CF",IF(Table6[[#This Row],[PF for calculation]]&lt;&gt;1,"PF","")))</f>
        <v>PF</v>
      </c>
      <c r="AC501" s="1300">
        <f>IF(AND(Table6[[#This Row],[LOQ RAC individual crop]]="Y",Table6[[#This Row],[GAP under assessment]]="N"),Table6[[#This Row],[MRL RAC individual commodity]],Table6[[#This Row],[MRL RAC individual commodity]]*Table6[[#This Row],[CF*PF for calculation]])</f>
        <v>0</v>
      </c>
      <c r="AD501" s="1287">
        <f t="shared" si="301"/>
        <v>0</v>
      </c>
      <c r="AE501" s="1287">
        <f t="shared" si="302"/>
        <v>0</v>
      </c>
      <c r="AF501" s="1288">
        <f>Table6[[#This Row],[IESTI case]]</f>
        <v>3</v>
      </c>
      <c r="AG501"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01" s="1302" t="str">
        <f>IF(Table6[[#This Row],[Input value normal mode case 1, 2a/2b,Po]]&gt;0,
              IF(Table6[[#This Row],[Highest residue * CF*PF]]&gt;"","HR-RAC",
                             IF(Table6[[#This Row],[LOQ RAC individual crop]]="Y","LOQ","MRL")),"")</f>
        <v/>
      </c>
      <c r="AI501" s="1302" t="str">
        <f t="shared" si="303"/>
        <v/>
      </c>
      <c r="AJ501" s="1302" t="str">
        <f>IF(Table6[[#This Row],[Input value normal mode case 1, 2a/2b,Po]]&gt;0,IF(Table6[[#This Row],[label description]]&gt;"",Table6[[#This Row],[label description]],""),"")</f>
        <v/>
      </c>
      <c r="AK501" s="1302" t="str">
        <f>CONCATENATE(Table6[[#This Row],[label for IESTI normal mode case 1, 2a/2b,Po]],Table6[[#This Row],[label connector case  normal mode]],Table6[[#This Row],[label refinements normal mode case 1, 2a/2b,Po]])</f>
        <v/>
      </c>
      <c r="AL501" s="1287" t="str">
        <f>IF(AND(Table6[[#This Row],[Case for acute RA children / adults]]=3,Table6[[#This Row],[Post-harvest treatment]]=""),IF(AND(Table6[[#This Row],[LOQ RAC individual crop]]="Y",M500="N"),Table6[[#This Row],[MRL RAC individual commodity]],IF(Table6[[#This Row],[Median residue*CF*PF]]&gt;0,Table6[[#This Row],[Median residue*CF*PF]],IF(Table6[[#This Row],[MRL*CF*PF or LOQ (if not under assessment and LOQ)]]&gt;0,Table6[[#This Row],[MRL*CF*PF or LOQ (if not under assessment and LOQ)]],""))),"")</f>
        <v/>
      </c>
      <c r="AM501" s="1295" t="str">
        <f>IF(Table6[[#This Row],[input for case 3 normal mode]]&gt;0,IF(Table6[[#This Row],[Median residue*CF*PF]]&gt;0,"STMR-RAC",IF(AND($AC501&gt;0,NOT(V501="Y")),"MRL",IF($V501="Y","LOQ",""))),"")</f>
        <v/>
      </c>
      <c r="AN501" s="1295" t="str">
        <f t="shared" si="304"/>
        <v/>
      </c>
      <c r="AO501" s="1287" t="str">
        <f>IF(Table6[[#This Row],[input for case 3 normal mode]]="","",IF(AND(Table6[[#This Row],[label for case 3 calculation normal mode]]="LOQ",Table6[[#This Row],[GAP under assessment]]="N"),"",IF(Table6[[#This Row],[label description]]&gt;"",Table6[[#This Row],[label description]],"")))</f>
        <v/>
      </c>
      <c r="AP501" s="1287" t="str">
        <f>CONCATENATE(Table6[[#This Row],[label for case 3 calculation normal mode]],Table6[[#This Row],[label connector case 3 normal mode]],Table6[[#This Row],[label refinements case 3 normal mode]])</f>
        <v/>
      </c>
      <c r="AQ501" s="1287" t="str">
        <f>IF(Table6[[#This Row],[GAP under assessment]]="Y",Table6[[#This Row],[Input value normal mode case 1, 2a/2b,Po]],"")</f>
        <v/>
      </c>
      <c r="AR501" s="1287" t="str">
        <f>IF(Table6[[#This Row],[Input value refined mode case 1, 2a/2b,Po]]&gt;0,Table6[[#This Row],[concat label normal mode 1,2a/2b,Po ]],"")</f>
        <v/>
      </c>
      <c r="AS501" s="1303" t="str">
        <f>IF(Table6[[#This Row],[GAP under assessment]]="Y",Table6[[#This Row],[input for case 3 normal mode]],"")</f>
        <v/>
      </c>
      <c r="AT501" s="1287" t="str">
        <f>IF(Table6[[#This Row],[input for case 3 refined mode]]&gt;0,Table6[[#This Row],[concat label normal mode  case 3]],"")</f>
        <v/>
      </c>
      <c r="AU501" s="1295" t="str">
        <f>IF(Table6[[#This Row],[Input value normal mode case 1, 2a/2b,Po]]&gt;0,Table6[[#This Row],[Input value normal mode case 1, 2a/2b,Po]],Table6[[#This Row],[input for case 3 normal mode]])</f>
        <v/>
      </c>
      <c r="AV501" s="1295" t="str">
        <f>IF(Table6[[#This Row],[Input value normal mode case 1, 2a/2b,Po]]&gt;0,Table6[[#This Row],[concat label normal mode 1,2a/2b,Po ]],Table6[[#This Row],[concat label normal mode  case 3]])</f>
        <v/>
      </c>
      <c r="AW501" s="1295" t="str">
        <f>IF(Table6[[#This Row],[Input value refined mode case 1, 2a/2b,Po]]&gt;0,Table6[[#This Row],[Input value refined mode case 1, 2a/2b,Po]],Table6[[#This Row],[input for case 3 refined mode]])</f>
        <v/>
      </c>
      <c r="AX501" s="1295" t="str">
        <f>IF(Table6[[#This Row],[Input value refined mode case 1, 2a/2b,Po]]&gt;0,Table6[[#This Row],[concat label refined mode case 1,2a/2b,Po]],Table6[[#This Row],[label for case 3 calculation refined mode]])</f>
        <v/>
      </c>
      <c r="AY501" s="1287">
        <f t="shared" si="305"/>
        <v>0</v>
      </c>
      <c r="AZ501" s="1295" t="str">
        <f t="shared" si="306"/>
        <v/>
      </c>
      <c r="BA501" s="1295" t="str">
        <f t="shared" si="307"/>
        <v/>
      </c>
      <c r="BB501" s="1287" t="str">
        <f>IF(AND(Table6[[#This Row],[label for IESTI new normal mode]]="LOQ",Table6[[#This Row],[GAP under assessment]]="N"),"",IF(AND($H501&gt;0,$Y501&lt;&gt;1),"CF*PF",IF($H501&gt;0,"CF",IF($Y501&lt;&gt;1,"PF",""))))</f>
        <v>PF</v>
      </c>
      <c r="BC501" s="1296" t="s">
        <v>369</v>
      </c>
      <c r="BD501" s="1297"/>
      <c r="BE501" s="1304" t="str">
        <f>IF(Table6[[#This Row],[GAP under assessment]]="Y",Table6[[#This Row],[MRL*CF*PF or LOQ (if not under assessment and LOQ)]],"")</f>
        <v/>
      </c>
      <c r="BF501" s="1305" t="str">
        <f>IF(Table6[[#This Row],[Input for IESTI new refined mode]]&lt;&gt;"",CONCATENATE("MRL",Table6[[#This Row],[label connector case 3 normal mode]],Table6[[#This Row],[label refinements case 3 normal mode]]),"")</f>
        <v/>
      </c>
      <c r="BG501" s="1298" t="s">
        <v>599</v>
      </c>
      <c r="BH501" s="1306"/>
    </row>
    <row r="502" spans="1:60" s="11" customFormat="1" ht="12.75" customHeight="1" x14ac:dyDescent="0.2">
      <c r="A502" s="479" t="s">
        <v>600</v>
      </c>
      <c r="B502" s="480">
        <v>402020</v>
      </c>
      <c r="C502" s="547" t="s">
        <v>840</v>
      </c>
      <c r="D502" s="1261">
        <f>VLOOKUP(Table6[[#This Row],[Code no.]],$B$12:$D$390,3,FALSE)</f>
        <v>0</v>
      </c>
      <c r="E502" s="1264">
        <f t="shared" si="292"/>
        <v>0</v>
      </c>
      <c r="F502" s="1262" t="str">
        <f t="shared" si="308"/>
        <v/>
      </c>
      <c r="G502" s="1265">
        <f t="shared" si="293"/>
        <v>1</v>
      </c>
      <c r="H502" s="881"/>
      <c r="I502" s="880"/>
      <c r="J502" s="1269">
        <f t="shared" si="294"/>
        <v>0</v>
      </c>
      <c r="K502" s="1269">
        <f t="shared" si="295"/>
        <v>0</v>
      </c>
      <c r="L502" s="1270"/>
      <c r="M502" s="1271" t="str">
        <f t="shared" si="296"/>
        <v/>
      </c>
      <c r="N502" s="1273" t="str">
        <f t="shared" si="309"/>
        <v/>
      </c>
      <c r="O502" s="1273">
        <v>3</v>
      </c>
      <c r="P502" s="1273" t="str">
        <f>IF(OR($A$10=$BG$15,Results!$B$62=Results!$T$63),Table6[[#This Row],[label refine mode]],Table6[[#This Row],[label normal mode]])</f>
        <v/>
      </c>
      <c r="Q502" s="1257" t="str">
        <f>IF(OR($A$10=$BG$15,Results!$B$62=Results!$T$63),Table6[[#This Row],[input refined mode]],Table6[[#This Row],[Input normal mode]])</f>
        <v/>
      </c>
      <c r="R502" s="1275" t="str">
        <f>IF(Table6[[#This Row],[Acute RA IESTI new input value]]="","",CONCATENATE(Table6[[#This Row],[label for IESTI new normal mode]],Table6[[#This Row],[label connector IESTI new normal mode]],Table6[[#This Row],[label refinements normal mode]]))</f>
        <v/>
      </c>
      <c r="S502" s="1259">
        <f>IF(OR($A$10=$BG$15,Results!$B$62=Results!$T$63),Table6[[#This Row],[Input for IESTI new refined mode]],Table6[[#This Row],[Input for IESTI new normal mode]])</f>
        <v>0</v>
      </c>
      <c r="T502" s="888"/>
      <c r="U502" s="1283">
        <f t="shared" si="297"/>
        <v>0</v>
      </c>
      <c r="V502" s="1284" t="str">
        <f t="shared" si="298"/>
        <v/>
      </c>
      <c r="W502" s="1285">
        <f>IF($H502&gt;0,$H502,IF(Table6[[#This Row],[CFrisk for residue definition (applicable for unprocessed products)]]&gt;0,Table6[[#This Row],[CFrisk for residue definition (applicable for unprocessed products)]],1))</f>
        <v>1</v>
      </c>
      <c r="X502" s="1285">
        <v>1</v>
      </c>
      <c r="Y502" s="1285">
        <f t="shared" si="299"/>
        <v>1</v>
      </c>
      <c r="Z502" s="1285">
        <f t="shared" si="300"/>
        <v>1</v>
      </c>
      <c r="AA502" s="1285" t="str">
        <f>IF(Table6[[#This Row],[Post-harvest treatment]]="","","Y")</f>
        <v/>
      </c>
      <c r="AB502" s="1285" t="str">
        <f>IF(AND(Table6[[#This Row],[CF used for for calculation]]&lt;&gt;1,Table6[[#This Row],[PF for calculation]]&lt;&gt;1),"CF*PF",IF(Table6[[#This Row],[CF used for for calculation]]&lt;&gt;1,"CF",IF(Table6[[#This Row],[PF for calculation]]&lt;&gt;1,"PF","")))</f>
        <v/>
      </c>
      <c r="AC502" s="1300">
        <f>IF(AND(Table6[[#This Row],[LOQ RAC individual crop]]="Y",Table6[[#This Row],[GAP under assessment]]="N"),Table6[[#This Row],[MRL RAC individual commodity]],Table6[[#This Row],[MRL RAC individual commodity]]*Table6[[#This Row],[CF*PF for calculation]])</f>
        <v>0</v>
      </c>
      <c r="AD502" s="1287">
        <f t="shared" si="301"/>
        <v>0</v>
      </c>
      <c r="AE502" s="1287">
        <f t="shared" si="302"/>
        <v>0</v>
      </c>
      <c r="AF502" s="1288">
        <f>Table6[[#This Row],[IESTI case]]</f>
        <v>3</v>
      </c>
      <c r="AG502"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02" s="1302" t="str">
        <f>IF(Table6[[#This Row],[Input value normal mode case 1, 2a/2b,Po]]&gt;0,
              IF(Table6[[#This Row],[Highest residue * CF*PF]]&gt;"","HR-RAC",
                             IF(Table6[[#This Row],[LOQ RAC individual crop]]="Y","LOQ","MRL")),"")</f>
        <v/>
      </c>
      <c r="AI502" s="1302" t="str">
        <f t="shared" si="303"/>
        <v/>
      </c>
      <c r="AJ502" s="1302" t="str">
        <f>IF(Table6[[#This Row],[Input value normal mode case 1, 2a/2b,Po]]&gt;0,IF(Table6[[#This Row],[label description]]&gt;"",Table6[[#This Row],[label description]],""),"")</f>
        <v/>
      </c>
      <c r="AK502" s="1302" t="str">
        <f>CONCATENATE(Table6[[#This Row],[label for IESTI normal mode case 1, 2a/2b,Po]],Table6[[#This Row],[label connector case  normal mode]],Table6[[#This Row],[label refinements normal mode case 1, 2a/2b,Po]])</f>
        <v/>
      </c>
      <c r="AL502" s="1287" t="str">
        <f>IF(AND(Table6[[#This Row],[Case for acute RA children / adults]]=3,Table6[[#This Row],[Post-harvest treatment]]=""),IF(AND(Table6[[#This Row],[LOQ RAC individual crop]]="Y",M501="N"),Table6[[#This Row],[MRL RAC individual commodity]],IF(Table6[[#This Row],[Median residue*CF*PF]]&gt;0,Table6[[#This Row],[Median residue*CF*PF]],IF(Table6[[#This Row],[MRL*CF*PF or LOQ (if not under assessment and LOQ)]]&gt;0,Table6[[#This Row],[MRL*CF*PF or LOQ (if not under assessment and LOQ)]],""))),"")</f>
        <v/>
      </c>
      <c r="AM502" s="1295" t="str">
        <f>IF(Table6[[#This Row],[input for case 3 normal mode]]&gt;0,IF(Table6[[#This Row],[Median residue*CF*PF]]&gt;0,"STMR-RAC",IF(AND($AC502&gt;0,NOT(V502="Y")),"MRL",IF($V502="Y","LOQ",""))),"")</f>
        <v/>
      </c>
      <c r="AN502" s="1295" t="str">
        <f t="shared" si="304"/>
        <v/>
      </c>
      <c r="AO502" s="1287" t="str">
        <f>IF(Table6[[#This Row],[input for case 3 normal mode]]="","",IF(AND(Table6[[#This Row],[label for case 3 calculation normal mode]]="LOQ",Table6[[#This Row],[GAP under assessment]]="N"),"",IF(Table6[[#This Row],[label description]]&gt;"",Table6[[#This Row],[label description]],"")))</f>
        <v/>
      </c>
      <c r="AP502" s="1287" t="str">
        <f>CONCATENATE(Table6[[#This Row],[label for case 3 calculation normal mode]],Table6[[#This Row],[label connector case 3 normal mode]],Table6[[#This Row],[label refinements case 3 normal mode]])</f>
        <v/>
      </c>
      <c r="AQ502" s="1287" t="str">
        <f>IF(Table6[[#This Row],[GAP under assessment]]="Y",Table6[[#This Row],[Input value normal mode case 1, 2a/2b,Po]],"")</f>
        <v/>
      </c>
      <c r="AR502" s="1287" t="str">
        <f>IF(Table6[[#This Row],[Input value refined mode case 1, 2a/2b,Po]]&gt;0,Table6[[#This Row],[concat label normal mode 1,2a/2b,Po ]],"")</f>
        <v/>
      </c>
      <c r="AS502" s="1303" t="str">
        <f>IF(Table6[[#This Row],[GAP under assessment]]="Y",Table6[[#This Row],[input for case 3 normal mode]],"")</f>
        <v/>
      </c>
      <c r="AT502" s="1287" t="str">
        <f>IF(Table6[[#This Row],[input for case 3 refined mode]]&gt;0,Table6[[#This Row],[concat label normal mode  case 3]],"")</f>
        <v/>
      </c>
      <c r="AU502" s="1295" t="str">
        <f>IF(Table6[[#This Row],[Input value normal mode case 1, 2a/2b,Po]]&gt;0,Table6[[#This Row],[Input value normal mode case 1, 2a/2b,Po]],Table6[[#This Row],[input for case 3 normal mode]])</f>
        <v/>
      </c>
      <c r="AV502" s="1295" t="str">
        <f>IF(Table6[[#This Row],[Input value normal mode case 1, 2a/2b,Po]]&gt;0,Table6[[#This Row],[concat label normal mode 1,2a/2b,Po ]],Table6[[#This Row],[concat label normal mode  case 3]])</f>
        <v/>
      </c>
      <c r="AW502" s="1295" t="str">
        <f>IF(Table6[[#This Row],[Input value refined mode case 1, 2a/2b,Po]]&gt;0,Table6[[#This Row],[Input value refined mode case 1, 2a/2b,Po]],Table6[[#This Row],[input for case 3 refined mode]])</f>
        <v/>
      </c>
      <c r="AX502" s="1295" t="str">
        <f>IF(Table6[[#This Row],[Input value refined mode case 1, 2a/2b,Po]]&gt;0,Table6[[#This Row],[concat label refined mode case 1,2a/2b,Po]],Table6[[#This Row],[label for case 3 calculation refined mode]])</f>
        <v/>
      </c>
      <c r="AY502" s="1287">
        <f t="shared" si="305"/>
        <v>0</v>
      </c>
      <c r="AZ502" s="1295" t="str">
        <f t="shared" si="306"/>
        <v/>
      </c>
      <c r="BA502" s="1295" t="str">
        <f t="shared" si="307"/>
        <v/>
      </c>
      <c r="BB502" s="1287" t="str">
        <f>IF(AND(Table6[[#This Row],[label for IESTI new normal mode]]="LOQ",Table6[[#This Row],[GAP under assessment]]="N"),"",IF(AND($H502&gt;0,$Y502&lt;&gt;1),"CF*PF",IF($H502&gt;0,"CF",IF($Y502&lt;&gt;1,"PF",""))))</f>
        <v/>
      </c>
      <c r="BC502" s="1296" t="s">
        <v>369</v>
      </c>
      <c r="BD502" s="1297"/>
      <c r="BE502" s="1304" t="str">
        <f>IF(Table6[[#This Row],[GAP under assessment]]="Y",Table6[[#This Row],[MRL*CF*PF or LOQ (if not under assessment and LOQ)]],"")</f>
        <v/>
      </c>
      <c r="BF502" s="1305" t="str">
        <f>IF(Table6[[#This Row],[Input for IESTI new refined mode]]&lt;&gt;"",CONCATENATE("MRL",Table6[[#This Row],[label connector case 3 normal mode]],Table6[[#This Row],[label refinements case 3 normal mode]]),"")</f>
        <v/>
      </c>
      <c r="BG502" s="1298" t="s">
        <v>600</v>
      </c>
      <c r="BH502" s="1306"/>
    </row>
    <row r="503" spans="1:60" s="11" customFormat="1" ht="12.75" customHeight="1" x14ac:dyDescent="0.2">
      <c r="A503" s="479" t="s">
        <v>601</v>
      </c>
      <c r="B503" s="480">
        <v>402030</v>
      </c>
      <c r="C503" s="547" t="s">
        <v>841</v>
      </c>
      <c r="D503" s="1261">
        <f>VLOOKUP(Table6[[#This Row],[Code no.]],$B$12:$D$390,3,FALSE)</f>
        <v>0</v>
      </c>
      <c r="E503" s="1264">
        <f t="shared" si="292"/>
        <v>0</v>
      </c>
      <c r="F503" s="1262" t="str">
        <f t="shared" si="308"/>
        <v/>
      </c>
      <c r="G503" s="1265">
        <f t="shared" si="293"/>
        <v>1</v>
      </c>
      <c r="H503" s="881"/>
      <c r="I503" s="880"/>
      <c r="J503" s="1269">
        <f t="shared" si="294"/>
        <v>0</v>
      </c>
      <c r="K503" s="1269">
        <f t="shared" si="295"/>
        <v>0</v>
      </c>
      <c r="L503" s="1270"/>
      <c r="M503" s="1271" t="str">
        <f t="shared" si="296"/>
        <v/>
      </c>
      <c r="N503" s="1273" t="str">
        <f t="shared" si="309"/>
        <v/>
      </c>
      <c r="O503" s="1273">
        <v>3</v>
      </c>
      <c r="P503" s="1273" t="str">
        <f>IF(OR($A$10=$BG$15,Results!$B$62=Results!$T$63),Table6[[#This Row],[label refine mode]],Table6[[#This Row],[label normal mode]])</f>
        <v/>
      </c>
      <c r="Q503" s="1257" t="str">
        <f>IF(OR($A$10=$BG$15,Results!$B$62=Results!$T$63),Table6[[#This Row],[input refined mode]],Table6[[#This Row],[Input normal mode]])</f>
        <v/>
      </c>
      <c r="R503" s="1275" t="str">
        <f>IF(Table6[[#This Row],[Acute RA IESTI new input value]]="","",CONCATENATE(Table6[[#This Row],[label for IESTI new normal mode]],Table6[[#This Row],[label connector IESTI new normal mode]],Table6[[#This Row],[label refinements normal mode]]))</f>
        <v/>
      </c>
      <c r="S503" s="1259">
        <f>IF(OR($A$10=$BG$15,Results!$B$62=Results!$T$63),Table6[[#This Row],[Input for IESTI new refined mode]],Table6[[#This Row],[Input for IESTI new normal mode]])</f>
        <v>0</v>
      </c>
      <c r="T503" s="888"/>
      <c r="U503" s="1283">
        <f t="shared" si="297"/>
        <v>0</v>
      </c>
      <c r="V503" s="1284" t="str">
        <f t="shared" si="298"/>
        <v/>
      </c>
      <c r="W503" s="1285">
        <f>IF($H503&gt;0,$H503,IF(Table6[[#This Row],[CFrisk for residue definition (applicable for unprocessed products)]]&gt;0,Table6[[#This Row],[CFrisk for residue definition (applicable for unprocessed products)]],1))</f>
        <v>1</v>
      </c>
      <c r="X503" s="1285">
        <v>1</v>
      </c>
      <c r="Y503" s="1285">
        <f t="shared" si="299"/>
        <v>1</v>
      </c>
      <c r="Z503" s="1285">
        <f t="shared" si="300"/>
        <v>1</v>
      </c>
      <c r="AA503" s="1285" t="str">
        <f>IF(Table6[[#This Row],[Post-harvest treatment]]="","","Y")</f>
        <v/>
      </c>
      <c r="AB503" s="1285" t="str">
        <f>IF(AND(Table6[[#This Row],[CF used for for calculation]]&lt;&gt;1,Table6[[#This Row],[PF for calculation]]&lt;&gt;1),"CF*PF",IF(Table6[[#This Row],[CF used for for calculation]]&lt;&gt;1,"CF",IF(Table6[[#This Row],[PF for calculation]]&lt;&gt;1,"PF","")))</f>
        <v/>
      </c>
      <c r="AC503" s="1300">
        <f>IF(AND(Table6[[#This Row],[LOQ RAC individual crop]]="Y",Table6[[#This Row],[GAP under assessment]]="N"),Table6[[#This Row],[MRL RAC individual commodity]],Table6[[#This Row],[MRL RAC individual commodity]]*Table6[[#This Row],[CF*PF for calculation]])</f>
        <v>0</v>
      </c>
      <c r="AD503" s="1287">
        <f t="shared" si="301"/>
        <v>0</v>
      </c>
      <c r="AE503" s="1287">
        <f t="shared" si="302"/>
        <v>0</v>
      </c>
      <c r="AF503" s="1288">
        <f>Table6[[#This Row],[IESTI case]]</f>
        <v>3</v>
      </c>
      <c r="AG50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03" s="1302" t="str">
        <f>IF(Table6[[#This Row],[Input value normal mode case 1, 2a/2b,Po]]&gt;0,
              IF(Table6[[#This Row],[Highest residue * CF*PF]]&gt;"","HR-RAC",
                             IF(Table6[[#This Row],[LOQ RAC individual crop]]="Y","LOQ","MRL")),"")</f>
        <v/>
      </c>
      <c r="AI503" s="1302" t="str">
        <f t="shared" si="303"/>
        <v/>
      </c>
      <c r="AJ503" s="1302" t="str">
        <f>IF(Table6[[#This Row],[Input value normal mode case 1, 2a/2b,Po]]&gt;0,IF(Table6[[#This Row],[label description]]&gt;"",Table6[[#This Row],[label description]],""),"")</f>
        <v/>
      </c>
      <c r="AK503" s="1302" t="str">
        <f>CONCATENATE(Table6[[#This Row],[label for IESTI normal mode case 1, 2a/2b,Po]],Table6[[#This Row],[label connector case  normal mode]],Table6[[#This Row],[label refinements normal mode case 1, 2a/2b,Po]])</f>
        <v/>
      </c>
      <c r="AL503" s="1287" t="str">
        <f>IF(AND(Table6[[#This Row],[Case for acute RA children / adults]]=3,Table6[[#This Row],[Post-harvest treatment]]=""),IF(AND(Table6[[#This Row],[LOQ RAC individual crop]]="Y",M502="N"),Table6[[#This Row],[MRL RAC individual commodity]],IF(Table6[[#This Row],[Median residue*CF*PF]]&gt;0,Table6[[#This Row],[Median residue*CF*PF]],IF(Table6[[#This Row],[MRL*CF*PF or LOQ (if not under assessment and LOQ)]]&gt;0,Table6[[#This Row],[MRL*CF*PF or LOQ (if not under assessment and LOQ)]],""))),"")</f>
        <v/>
      </c>
      <c r="AM503" s="1295" t="str">
        <f>IF(Table6[[#This Row],[input for case 3 normal mode]]&gt;0,IF(Table6[[#This Row],[Median residue*CF*PF]]&gt;0,"STMR-RAC",IF(AND($AC503&gt;0,NOT(V503="Y")),"MRL",IF($V503="Y","LOQ",""))),"")</f>
        <v/>
      </c>
      <c r="AN503" s="1295" t="str">
        <f t="shared" si="304"/>
        <v/>
      </c>
      <c r="AO503" s="1287" t="str">
        <f>IF(Table6[[#This Row],[input for case 3 normal mode]]="","",IF(AND(Table6[[#This Row],[label for case 3 calculation normal mode]]="LOQ",Table6[[#This Row],[GAP under assessment]]="N"),"",IF(Table6[[#This Row],[label description]]&gt;"",Table6[[#This Row],[label description]],"")))</f>
        <v/>
      </c>
      <c r="AP503" s="1287" t="str">
        <f>CONCATENATE(Table6[[#This Row],[label for case 3 calculation normal mode]],Table6[[#This Row],[label connector case 3 normal mode]],Table6[[#This Row],[label refinements case 3 normal mode]])</f>
        <v/>
      </c>
      <c r="AQ503" s="1287" t="str">
        <f>IF(Table6[[#This Row],[GAP under assessment]]="Y",Table6[[#This Row],[Input value normal mode case 1, 2a/2b,Po]],"")</f>
        <v/>
      </c>
      <c r="AR503" s="1287" t="str">
        <f>IF(Table6[[#This Row],[Input value refined mode case 1, 2a/2b,Po]]&gt;0,Table6[[#This Row],[concat label normal mode 1,2a/2b,Po ]],"")</f>
        <v/>
      </c>
      <c r="AS503" s="1303" t="str">
        <f>IF(Table6[[#This Row],[GAP under assessment]]="Y",Table6[[#This Row],[input for case 3 normal mode]],"")</f>
        <v/>
      </c>
      <c r="AT503" s="1287" t="str">
        <f>IF(Table6[[#This Row],[input for case 3 refined mode]]&gt;0,Table6[[#This Row],[concat label normal mode  case 3]],"")</f>
        <v/>
      </c>
      <c r="AU503" s="1295" t="str">
        <f>IF(Table6[[#This Row],[Input value normal mode case 1, 2a/2b,Po]]&gt;0,Table6[[#This Row],[Input value normal mode case 1, 2a/2b,Po]],Table6[[#This Row],[input for case 3 normal mode]])</f>
        <v/>
      </c>
      <c r="AV503" s="1295" t="str">
        <f>IF(Table6[[#This Row],[Input value normal mode case 1, 2a/2b,Po]]&gt;0,Table6[[#This Row],[concat label normal mode 1,2a/2b,Po ]],Table6[[#This Row],[concat label normal mode  case 3]])</f>
        <v/>
      </c>
      <c r="AW503" s="1295" t="str">
        <f>IF(Table6[[#This Row],[Input value refined mode case 1, 2a/2b,Po]]&gt;0,Table6[[#This Row],[Input value refined mode case 1, 2a/2b,Po]],Table6[[#This Row],[input for case 3 refined mode]])</f>
        <v/>
      </c>
      <c r="AX503" s="1295" t="str">
        <f>IF(Table6[[#This Row],[Input value refined mode case 1, 2a/2b,Po]]&gt;0,Table6[[#This Row],[concat label refined mode case 1,2a/2b,Po]],Table6[[#This Row],[label for case 3 calculation refined mode]])</f>
        <v/>
      </c>
      <c r="AY503" s="1287">
        <f t="shared" si="305"/>
        <v>0</v>
      </c>
      <c r="AZ503" s="1295" t="str">
        <f t="shared" si="306"/>
        <v/>
      </c>
      <c r="BA503" s="1295" t="str">
        <f t="shared" si="307"/>
        <v/>
      </c>
      <c r="BB503" s="1287" t="str">
        <f>IF(AND(Table6[[#This Row],[label for IESTI new normal mode]]="LOQ",Table6[[#This Row],[GAP under assessment]]="N"),"",IF(AND($H503&gt;0,$Y503&lt;&gt;1),"CF*PF",IF($H503&gt;0,"CF",IF($Y503&lt;&gt;1,"PF",""))))</f>
        <v/>
      </c>
      <c r="BC503" s="1296" t="s">
        <v>369</v>
      </c>
      <c r="BD503" s="1297"/>
      <c r="BE503" s="1304" t="str">
        <f>IF(Table6[[#This Row],[GAP under assessment]]="Y",Table6[[#This Row],[MRL*CF*PF or LOQ (if not under assessment and LOQ)]],"")</f>
        <v/>
      </c>
      <c r="BF503" s="1305" t="str">
        <f>IF(Table6[[#This Row],[Input for IESTI new refined mode]]&lt;&gt;"",CONCATENATE("MRL",Table6[[#This Row],[label connector case 3 normal mode]],Table6[[#This Row],[label refinements case 3 normal mode]]),"")</f>
        <v/>
      </c>
      <c r="BG503" s="1298" t="s">
        <v>601</v>
      </c>
      <c r="BH503" s="1306"/>
    </row>
    <row r="504" spans="1:60" s="11" customFormat="1" ht="12.75" customHeight="1" x14ac:dyDescent="0.2">
      <c r="A504" s="479" t="s">
        <v>533</v>
      </c>
      <c r="B504" s="480">
        <v>500010</v>
      </c>
      <c r="C504" s="547" t="s">
        <v>437</v>
      </c>
      <c r="D504" s="1261">
        <f>VLOOKUP(Table6[[#This Row],[Code no.]],$B$12:$D$390,3,FALSE)</f>
        <v>0</v>
      </c>
      <c r="E504" s="1264">
        <f t="shared" si="292"/>
        <v>0</v>
      </c>
      <c r="F504" s="1262" t="str">
        <f t="shared" si="308"/>
        <v/>
      </c>
      <c r="G504" s="1265">
        <f t="shared" si="293"/>
        <v>1</v>
      </c>
      <c r="H504" s="881"/>
      <c r="I504" s="882"/>
      <c r="J504" s="1269">
        <f t="shared" si="294"/>
        <v>0</v>
      </c>
      <c r="K504" s="1269">
        <f t="shared" si="295"/>
        <v>0</v>
      </c>
      <c r="L504" s="1270"/>
      <c r="M504" s="1271" t="str">
        <f t="shared" si="296"/>
        <v/>
      </c>
      <c r="N504" s="1273" t="str">
        <f t="shared" si="309"/>
        <v/>
      </c>
      <c r="O504" s="1273">
        <v>3</v>
      </c>
      <c r="P504" s="1273" t="str">
        <f>IF(OR($A$10=$BG$15,Results!$B$62=Results!$T$63),Table6[[#This Row],[label refine mode]],Table6[[#This Row],[label normal mode]])</f>
        <v/>
      </c>
      <c r="Q504" s="1257" t="str">
        <f>IF(OR($A$10=$BG$15,Results!$B$62=Results!$T$63),Table6[[#This Row],[input refined mode]],Table6[[#This Row],[Input normal mode]])</f>
        <v/>
      </c>
      <c r="R504" s="1275" t="str">
        <f>IF(Table6[[#This Row],[Acute RA IESTI new input value]]="","",CONCATENATE(Table6[[#This Row],[label for IESTI new normal mode]],Table6[[#This Row],[label connector IESTI new normal mode]],Table6[[#This Row],[label refinements normal mode]]))</f>
        <v/>
      </c>
      <c r="S504" s="1259">
        <f>IF(OR($A$10=$BG$15,Results!$B$62=Results!$T$63),Table6[[#This Row],[Input for IESTI new refined mode]],Table6[[#This Row],[Input for IESTI new normal mode]])</f>
        <v>0</v>
      </c>
      <c r="T504" s="888"/>
      <c r="U504" s="1283">
        <f t="shared" si="297"/>
        <v>0</v>
      </c>
      <c r="V504" s="1284" t="str">
        <f t="shared" si="298"/>
        <v/>
      </c>
      <c r="W504" s="1285">
        <f>IF($H504&gt;0,$H504,IF(Table6[[#This Row],[CFrisk for residue definition (applicable for unprocessed products)]]&gt;0,Table6[[#This Row],[CFrisk for residue definition (applicable for unprocessed products)]],1))</f>
        <v>1</v>
      </c>
      <c r="X504" s="1285">
        <v>0.2</v>
      </c>
      <c r="Y504" s="1285">
        <f t="shared" si="299"/>
        <v>0.2</v>
      </c>
      <c r="Z504" s="1285">
        <f t="shared" si="300"/>
        <v>0.2</v>
      </c>
      <c r="AA504" s="1285" t="str">
        <f>IF(Table6[[#This Row],[Post-harvest treatment]]="","","Y")</f>
        <v/>
      </c>
      <c r="AB504" s="1285" t="str">
        <f>IF(AND(Table6[[#This Row],[CF used for for calculation]]&lt;&gt;1,Table6[[#This Row],[PF for calculation]]&lt;&gt;1),"CF*PF",IF(Table6[[#This Row],[CF used for for calculation]]&lt;&gt;1,"CF",IF(Table6[[#This Row],[PF for calculation]]&lt;&gt;1,"PF","")))</f>
        <v>PF</v>
      </c>
      <c r="AC504" s="1300">
        <f>IF(AND(Table6[[#This Row],[LOQ RAC individual crop]]="Y",Table6[[#This Row],[GAP under assessment]]="N"),Table6[[#This Row],[MRL RAC individual commodity]],Table6[[#This Row],[MRL RAC individual commodity]]*Table6[[#This Row],[CF*PF for calculation]])</f>
        <v>0</v>
      </c>
      <c r="AD504" s="1287">
        <f t="shared" si="301"/>
        <v>0</v>
      </c>
      <c r="AE504" s="1287">
        <f t="shared" si="302"/>
        <v>0</v>
      </c>
      <c r="AF504" s="1288">
        <f>Table6[[#This Row],[IESTI case]]</f>
        <v>3</v>
      </c>
      <c r="AG50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04" s="1302" t="str">
        <f>IF(Table6[[#This Row],[Input value normal mode case 1, 2a/2b,Po]]&gt;0,
              IF(Table6[[#This Row],[Highest residue * CF*PF]]&gt;"","HR-RAC",
                             IF(Table6[[#This Row],[LOQ RAC individual crop]]="Y","LOQ","MRL")),"")</f>
        <v/>
      </c>
      <c r="AI504" s="1302" t="str">
        <f t="shared" si="303"/>
        <v/>
      </c>
      <c r="AJ504" s="1302" t="str">
        <f>IF(Table6[[#This Row],[Input value normal mode case 1, 2a/2b,Po]]&gt;0,IF(Table6[[#This Row],[label description]]&gt;"",Table6[[#This Row],[label description]],""),"")</f>
        <v/>
      </c>
      <c r="AK504" s="1302" t="str">
        <f>CONCATENATE(Table6[[#This Row],[label for IESTI normal mode case 1, 2a/2b,Po]],Table6[[#This Row],[label connector case  normal mode]],Table6[[#This Row],[label refinements normal mode case 1, 2a/2b,Po]])</f>
        <v/>
      </c>
      <c r="AL504" s="1287" t="str">
        <f>IF(AND(Table6[[#This Row],[Case for acute RA children / adults]]=3,Table6[[#This Row],[Post-harvest treatment]]=""),IF(AND(Table6[[#This Row],[LOQ RAC individual crop]]="Y",M503="N"),Table6[[#This Row],[MRL RAC individual commodity]],IF(Table6[[#This Row],[Median residue*CF*PF]]&gt;0,Table6[[#This Row],[Median residue*CF*PF]],IF(Table6[[#This Row],[MRL*CF*PF or LOQ (if not under assessment and LOQ)]]&gt;0,Table6[[#This Row],[MRL*CF*PF or LOQ (if not under assessment and LOQ)]],""))),"")</f>
        <v/>
      </c>
      <c r="AM504" s="1295" t="str">
        <f>IF(Table6[[#This Row],[input for case 3 normal mode]]&gt;0,IF(Table6[[#This Row],[Median residue*CF*PF]]&gt;0,"STMR-RAC",IF(AND($AC504&gt;0,NOT(V504="Y")),"MRL",IF($V504="Y","LOQ",""))),"")</f>
        <v/>
      </c>
      <c r="AN504" s="1295" t="str">
        <f t="shared" si="304"/>
        <v/>
      </c>
      <c r="AO504" s="1287" t="str">
        <f>IF(Table6[[#This Row],[input for case 3 normal mode]]="","",IF(AND(Table6[[#This Row],[label for case 3 calculation normal mode]]="LOQ",Table6[[#This Row],[GAP under assessment]]="N"),"",IF(Table6[[#This Row],[label description]]&gt;"",Table6[[#This Row],[label description]],"")))</f>
        <v/>
      </c>
      <c r="AP504" s="1287" t="str">
        <f>CONCATENATE(Table6[[#This Row],[label for case 3 calculation normal mode]],Table6[[#This Row],[label connector case 3 normal mode]],Table6[[#This Row],[label refinements case 3 normal mode]])</f>
        <v/>
      </c>
      <c r="AQ504" s="1287" t="str">
        <f>IF(Table6[[#This Row],[GAP under assessment]]="Y",Table6[[#This Row],[Input value normal mode case 1, 2a/2b,Po]],"")</f>
        <v/>
      </c>
      <c r="AR504" s="1287" t="str">
        <f>IF(Table6[[#This Row],[Input value refined mode case 1, 2a/2b,Po]]&gt;0,Table6[[#This Row],[concat label normal mode 1,2a/2b,Po ]],"")</f>
        <v/>
      </c>
      <c r="AS504" s="1303" t="str">
        <f>IF(Table6[[#This Row],[GAP under assessment]]="Y",Table6[[#This Row],[input for case 3 normal mode]],"")</f>
        <v/>
      </c>
      <c r="AT504" s="1287" t="str">
        <f>IF(Table6[[#This Row],[input for case 3 refined mode]]&gt;0,Table6[[#This Row],[concat label normal mode  case 3]],"")</f>
        <v/>
      </c>
      <c r="AU504" s="1295" t="str">
        <f>IF(Table6[[#This Row],[Input value normal mode case 1, 2a/2b,Po]]&gt;0,Table6[[#This Row],[Input value normal mode case 1, 2a/2b,Po]],Table6[[#This Row],[input for case 3 normal mode]])</f>
        <v/>
      </c>
      <c r="AV504" s="1295" t="str">
        <f>IF(Table6[[#This Row],[Input value normal mode case 1, 2a/2b,Po]]&gt;0,Table6[[#This Row],[concat label normal mode 1,2a/2b,Po ]],Table6[[#This Row],[concat label normal mode  case 3]])</f>
        <v/>
      </c>
      <c r="AW504" s="1295" t="str">
        <f>IF(Table6[[#This Row],[Input value refined mode case 1, 2a/2b,Po]]&gt;0,Table6[[#This Row],[Input value refined mode case 1, 2a/2b,Po]],Table6[[#This Row],[input for case 3 refined mode]])</f>
        <v/>
      </c>
      <c r="AX504" s="1295" t="str">
        <f>IF(Table6[[#This Row],[Input value refined mode case 1, 2a/2b,Po]]&gt;0,Table6[[#This Row],[concat label refined mode case 1,2a/2b,Po]],Table6[[#This Row],[label for case 3 calculation refined mode]])</f>
        <v/>
      </c>
      <c r="AY504" s="1287">
        <f t="shared" si="305"/>
        <v>0</v>
      </c>
      <c r="AZ504" s="1295" t="str">
        <f t="shared" si="306"/>
        <v/>
      </c>
      <c r="BA504" s="1295" t="str">
        <f t="shared" si="307"/>
        <v/>
      </c>
      <c r="BB504" s="1287" t="str">
        <f>IF(AND(Table6[[#This Row],[label for IESTI new normal mode]]="LOQ",Table6[[#This Row],[GAP under assessment]]="N"),"",IF(AND($H504&gt;0,$Y504&lt;&gt;1),"CF*PF",IF($H504&gt;0,"CF",IF($Y504&lt;&gt;1,"PF",""))))</f>
        <v>PF</v>
      </c>
      <c r="BC504" s="1296" t="s">
        <v>369</v>
      </c>
      <c r="BD504" s="1297"/>
      <c r="BE504" s="1304" t="str">
        <f>IF(Table6[[#This Row],[GAP under assessment]]="Y",Table6[[#This Row],[MRL*CF*PF or LOQ (if not under assessment and LOQ)]],"")</f>
        <v/>
      </c>
      <c r="BF504" s="1305" t="str">
        <f>IF(Table6[[#This Row],[Input for IESTI new refined mode]]&lt;&gt;"",CONCATENATE("MRL",Table6[[#This Row],[label connector case 3 normal mode]],Table6[[#This Row],[label refinements case 3 normal mode]]),"")</f>
        <v/>
      </c>
      <c r="BG504" s="1298" t="s">
        <v>533</v>
      </c>
      <c r="BH504" s="1306"/>
    </row>
    <row r="505" spans="1:60" s="11" customFormat="1" ht="12.75" customHeight="1" x14ac:dyDescent="0.2">
      <c r="A505" s="479" t="s">
        <v>578</v>
      </c>
      <c r="B505" s="480">
        <v>500010</v>
      </c>
      <c r="C505" s="547" t="s">
        <v>449</v>
      </c>
      <c r="D505" s="1261">
        <f>VLOOKUP(Table6[[#This Row],[Code no.]],$B$12:$D$390,3,FALSE)</f>
        <v>0</v>
      </c>
      <c r="E505" s="1264">
        <f t="shared" si="292"/>
        <v>0</v>
      </c>
      <c r="F505" s="1262" t="str">
        <f t="shared" si="308"/>
        <v/>
      </c>
      <c r="G505" s="1265">
        <f t="shared" si="293"/>
        <v>1</v>
      </c>
      <c r="H505" s="881"/>
      <c r="I505" s="880"/>
      <c r="J505" s="1269">
        <f t="shared" si="294"/>
        <v>0</v>
      </c>
      <c r="K505" s="1269">
        <f t="shared" si="295"/>
        <v>0</v>
      </c>
      <c r="L505" s="1270"/>
      <c r="M505" s="1271" t="str">
        <f t="shared" si="296"/>
        <v/>
      </c>
      <c r="N505" s="1273" t="str">
        <f t="shared" si="309"/>
        <v/>
      </c>
      <c r="O505" s="1273">
        <v>3</v>
      </c>
      <c r="P505" s="1273" t="str">
        <f>IF(OR($A$10=$BG$15,Results!$B$62=Results!$T$63),Table6[[#This Row],[label refine mode]],Table6[[#This Row],[label normal mode]])</f>
        <v/>
      </c>
      <c r="Q505" s="1257" t="str">
        <f>IF(OR($A$10=$BG$15,Results!$B$62=Results!$T$63),Table6[[#This Row],[input refined mode]],Table6[[#This Row],[Input normal mode]])</f>
        <v/>
      </c>
      <c r="R505" s="1275" t="str">
        <f>IF(Table6[[#This Row],[Acute RA IESTI new input value]]="","",CONCATENATE(Table6[[#This Row],[label for IESTI new normal mode]],Table6[[#This Row],[label connector IESTI new normal mode]],Table6[[#This Row],[label refinements normal mode]]))</f>
        <v/>
      </c>
      <c r="S505" s="1259">
        <f>IF(OR($A$10=$BG$15,Results!$B$62=Results!$T$63),Table6[[#This Row],[Input for IESTI new refined mode]],Table6[[#This Row],[Input for IESTI new normal mode]])</f>
        <v>0</v>
      </c>
      <c r="T505" s="888"/>
      <c r="U505" s="1283">
        <f t="shared" si="297"/>
        <v>0</v>
      </c>
      <c r="V505" s="1284" t="str">
        <f t="shared" si="298"/>
        <v/>
      </c>
      <c r="W505" s="1285">
        <f>IF($H505&gt;0,$H505,IF(Table6[[#This Row],[CFrisk for residue definition (applicable for unprocessed products)]]&gt;0,Table6[[#This Row],[CFrisk for residue definition (applicable for unprocessed products)]],1))</f>
        <v>1</v>
      </c>
      <c r="X505" s="1285">
        <v>1</v>
      </c>
      <c r="Y505" s="1285">
        <f t="shared" si="299"/>
        <v>1</v>
      </c>
      <c r="Z505" s="1285">
        <f t="shared" si="300"/>
        <v>1</v>
      </c>
      <c r="AA505" s="1285" t="str">
        <f>IF(Table6[[#This Row],[Post-harvest treatment]]="","","Y")</f>
        <v/>
      </c>
      <c r="AB505" s="1285" t="str">
        <f>IF(AND(Table6[[#This Row],[CF used for for calculation]]&lt;&gt;1,Table6[[#This Row],[PF for calculation]]&lt;&gt;1),"CF*PF",IF(Table6[[#This Row],[CF used for for calculation]]&lt;&gt;1,"CF",IF(Table6[[#This Row],[PF for calculation]]&lt;&gt;1,"PF","")))</f>
        <v/>
      </c>
      <c r="AC505" s="1300">
        <f>IF(AND(Table6[[#This Row],[LOQ RAC individual crop]]="Y",Table6[[#This Row],[GAP under assessment]]="N"),Table6[[#This Row],[MRL RAC individual commodity]],Table6[[#This Row],[MRL RAC individual commodity]]*Table6[[#This Row],[CF*PF for calculation]])</f>
        <v>0</v>
      </c>
      <c r="AD505" s="1287">
        <f t="shared" si="301"/>
        <v>0</v>
      </c>
      <c r="AE505" s="1287">
        <f t="shared" si="302"/>
        <v>0</v>
      </c>
      <c r="AF505" s="1288">
        <f>Table6[[#This Row],[IESTI case]]</f>
        <v>3</v>
      </c>
      <c r="AG50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05" s="1302" t="str">
        <f>IF(Table6[[#This Row],[Input value normal mode case 1, 2a/2b,Po]]&gt;0,
              IF(Table6[[#This Row],[Highest residue * CF*PF]]&gt;"","HR-RAC",
                             IF(Table6[[#This Row],[LOQ RAC individual crop]]="Y","LOQ","MRL")),"")</f>
        <v/>
      </c>
      <c r="AI505" s="1302" t="str">
        <f t="shared" si="303"/>
        <v/>
      </c>
      <c r="AJ505" s="1302" t="str">
        <f>IF(Table6[[#This Row],[Input value normal mode case 1, 2a/2b,Po]]&gt;0,IF(Table6[[#This Row],[label description]]&gt;"",Table6[[#This Row],[label description]],""),"")</f>
        <v/>
      </c>
      <c r="AK505" s="1302" t="str">
        <f>CONCATENATE(Table6[[#This Row],[label for IESTI normal mode case 1, 2a/2b,Po]],Table6[[#This Row],[label connector case  normal mode]],Table6[[#This Row],[label refinements normal mode case 1, 2a/2b,Po]])</f>
        <v/>
      </c>
      <c r="AL505" s="1287" t="str">
        <f>IF(AND(Table6[[#This Row],[Case for acute RA children / adults]]=3,Table6[[#This Row],[Post-harvest treatment]]=""),IF(AND(Table6[[#This Row],[LOQ RAC individual crop]]="Y",M504="N"),Table6[[#This Row],[MRL RAC individual commodity]],IF(Table6[[#This Row],[Median residue*CF*PF]]&gt;0,Table6[[#This Row],[Median residue*CF*PF]],IF(Table6[[#This Row],[MRL*CF*PF or LOQ (if not under assessment and LOQ)]]&gt;0,Table6[[#This Row],[MRL*CF*PF or LOQ (if not under assessment and LOQ)]],""))),"")</f>
        <v/>
      </c>
      <c r="AM505" s="1295" t="str">
        <f>IF(Table6[[#This Row],[input for case 3 normal mode]]&gt;0,IF(Table6[[#This Row],[Median residue*CF*PF]]&gt;0,"STMR-RAC",IF(AND($AC505&gt;0,NOT(V505="Y")),"MRL",IF($V505="Y","LOQ",""))),"")</f>
        <v/>
      </c>
      <c r="AN505" s="1295" t="str">
        <f t="shared" si="304"/>
        <v/>
      </c>
      <c r="AO505" s="1287" t="str">
        <f>IF(Table6[[#This Row],[input for case 3 normal mode]]="","",IF(AND(Table6[[#This Row],[label for case 3 calculation normal mode]]="LOQ",Table6[[#This Row],[GAP under assessment]]="N"),"",IF(Table6[[#This Row],[label description]]&gt;"",Table6[[#This Row],[label description]],"")))</f>
        <v/>
      </c>
      <c r="AP505" s="1287" t="str">
        <f>CONCATENATE(Table6[[#This Row],[label for case 3 calculation normal mode]],Table6[[#This Row],[label connector case 3 normal mode]],Table6[[#This Row],[label refinements case 3 normal mode]])</f>
        <v/>
      </c>
      <c r="AQ505" s="1287" t="str">
        <f>IF(Table6[[#This Row],[GAP under assessment]]="Y",Table6[[#This Row],[Input value normal mode case 1, 2a/2b,Po]],"")</f>
        <v/>
      </c>
      <c r="AR505" s="1287" t="str">
        <f>IF(Table6[[#This Row],[Input value refined mode case 1, 2a/2b,Po]]&gt;0,Table6[[#This Row],[concat label normal mode 1,2a/2b,Po ]],"")</f>
        <v/>
      </c>
      <c r="AS505" s="1303" t="str">
        <f>IF(Table6[[#This Row],[GAP under assessment]]="Y",Table6[[#This Row],[input for case 3 normal mode]],"")</f>
        <v/>
      </c>
      <c r="AT505" s="1287" t="str">
        <f>IF(Table6[[#This Row],[input for case 3 refined mode]]&gt;0,Table6[[#This Row],[concat label normal mode  case 3]],"")</f>
        <v/>
      </c>
      <c r="AU505" s="1295" t="str">
        <f>IF(Table6[[#This Row],[Input value normal mode case 1, 2a/2b,Po]]&gt;0,Table6[[#This Row],[Input value normal mode case 1, 2a/2b,Po]],Table6[[#This Row],[input for case 3 normal mode]])</f>
        <v/>
      </c>
      <c r="AV505" s="1295" t="str">
        <f>IF(Table6[[#This Row],[Input value normal mode case 1, 2a/2b,Po]]&gt;0,Table6[[#This Row],[concat label normal mode 1,2a/2b,Po ]],Table6[[#This Row],[concat label normal mode  case 3]])</f>
        <v/>
      </c>
      <c r="AW505" s="1295" t="str">
        <f>IF(Table6[[#This Row],[Input value refined mode case 1, 2a/2b,Po]]&gt;0,Table6[[#This Row],[Input value refined mode case 1, 2a/2b,Po]],Table6[[#This Row],[input for case 3 refined mode]])</f>
        <v/>
      </c>
      <c r="AX505" s="1295" t="str">
        <f>IF(Table6[[#This Row],[Input value refined mode case 1, 2a/2b,Po]]&gt;0,Table6[[#This Row],[concat label refined mode case 1,2a/2b,Po]],Table6[[#This Row],[label for case 3 calculation refined mode]])</f>
        <v/>
      </c>
      <c r="AY505" s="1287">
        <f t="shared" si="305"/>
        <v>0</v>
      </c>
      <c r="AZ505" s="1295" t="str">
        <f t="shared" si="306"/>
        <v/>
      </c>
      <c r="BA505" s="1295" t="str">
        <f t="shared" si="307"/>
        <v/>
      </c>
      <c r="BB505" s="1287" t="str">
        <f>IF(AND(Table6[[#This Row],[label for IESTI new normal mode]]="LOQ",Table6[[#This Row],[GAP under assessment]]="N"),"",IF(AND($H505&gt;0,$Y505&lt;&gt;1),"CF*PF",IF($H505&gt;0,"CF",IF($Y505&lt;&gt;1,"PF",""))))</f>
        <v/>
      </c>
      <c r="BC505" s="1296" t="s">
        <v>369</v>
      </c>
      <c r="BD505" s="1297"/>
      <c r="BE505" s="1304" t="str">
        <f>IF(Table6[[#This Row],[GAP under assessment]]="Y",Table6[[#This Row],[MRL*CF*PF or LOQ (if not under assessment and LOQ)]],"")</f>
        <v/>
      </c>
      <c r="BF505" s="1305" t="str">
        <f>IF(Table6[[#This Row],[Input for IESTI new refined mode]]&lt;&gt;"",CONCATENATE("MRL",Table6[[#This Row],[label connector case 3 normal mode]],Table6[[#This Row],[label refinements case 3 normal mode]]),"")</f>
        <v/>
      </c>
      <c r="BG505" s="1298" t="s">
        <v>578</v>
      </c>
      <c r="BH505" s="1306"/>
    </row>
    <row r="506" spans="1:60" s="11" customFormat="1" ht="12.75" customHeight="1" x14ac:dyDescent="0.2">
      <c r="A506" s="479" t="s">
        <v>486</v>
      </c>
      <c r="B506" s="480">
        <v>500010</v>
      </c>
      <c r="C506" s="547" t="s">
        <v>450</v>
      </c>
      <c r="D506" s="1261">
        <f>VLOOKUP(Table6[[#This Row],[Code no.]],$B$12:$D$390,3,FALSE)</f>
        <v>0</v>
      </c>
      <c r="E506" s="1264">
        <f t="shared" ref="E506:E538" si="310">VLOOKUP($B506,$B$12:$AY$390,$U$2,FALSE)</f>
        <v>0</v>
      </c>
      <c r="F506" s="1262" t="str">
        <f t="shared" si="308"/>
        <v/>
      </c>
      <c r="G506" s="1265">
        <f t="shared" ref="G506:G538" si="311">VLOOKUP($B506,$B$12:$AY$390,$W$2,FALSE)</f>
        <v>1</v>
      </c>
      <c r="H506" s="881"/>
      <c r="I506" s="880"/>
      <c r="J506" s="1269">
        <f t="shared" ref="J506:J538" si="312">VLOOKUP($B506,$B$12:$AY$390,$I$2,FALSE)</f>
        <v>0</v>
      </c>
      <c r="K506" s="1269">
        <f t="shared" ref="K506:K538" si="313">VLOOKUP($B506,$B$12:$AY$390,$J$2,FALSE)</f>
        <v>0</v>
      </c>
      <c r="L506" s="1270"/>
      <c r="M506" s="1271" t="str">
        <f t="shared" ref="M506:M538" si="314">IF(VLOOKUP($B506,$B$12:$L$390,$L$2)="","",VLOOKUP($B506,$B$12:$L$390,$L$2))</f>
        <v/>
      </c>
      <c r="N506" s="1273" t="str">
        <f t="shared" ref="N506:N521" si="315">IF(VLOOKUP($B506,$B$12:$M$390,$M$2)="","",VLOOKUP($B506,$B$12:$M$390,$M$2))</f>
        <v/>
      </c>
      <c r="O506" s="1273">
        <v>3</v>
      </c>
      <c r="P506" s="1273" t="str">
        <f>IF(OR($A$10=$BG$15,Results!$B$62=Results!$T$63),Table6[[#This Row],[label refine mode]],Table6[[#This Row],[label normal mode]])</f>
        <v/>
      </c>
      <c r="Q506" s="1257" t="str">
        <f>IF(OR($A$10=$BG$15,Results!$B$62=Results!$T$63),Table6[[#This Row],[input refined mode]],Table6[[#This Row],[Input normal mode]])</f>
        <v/>
      </c>
      <c r="R506" s="1275" t="str">
        <f>IF(Table6[[#This Row],[Acute RA IESTI new input value]]="","",CONCATENATE(Table6[[#This Row],[label for IESTI new normal mode]],Table6[[#This Row],[label connector IESTI new normal mode]],Table6[[#This Row],[label refinements normal mode]]))</f>
        <v/>
      </c>
      <c r="S506" s="1259">
        <f>IF(OR($A$10=$BG$15,Results!$B$62=Results!$T$63),Table6[[#This Row],[Input for IESTI new refined mode]],Table6[[#This Row],[Input for IESTI new normal mode]])</f>
        <v>0</v>
      </c>
      <c r="T506" s="888"/>
      <c r="U506" s="1283">
        <f t="shared" ref="U506:U538" si="316">E506</f>
        <v>0</v>
      </c>
      <c r="V506" s="1284" t="str">
        <f t="shared" ref="V506:V538" si="317">VLOOKUP($B506,$B$12:$AY$390,$V$2,FALSE)</f>
        <v/>
      </c>
      <c r="W506" s="1285">
        <f>IF($H506&gt;0,$H506,IF(Table6[[#This Row],[CFrisk for residue definition (applicable for unprocessed products)]]&gt;0,Table6[[#This Row],[CFrisk for residue definition (applicable for unprocessed products)]],1))</f>
        <v>1</v>
      </c>
      <c r="X506" s="1285">
        <v>1</v>
      </c>
      <c r="Y506" s="1285">
        <f t="shared" ref="Y506:Y537" si="318">IF($I506&gt;0,$I506,X506)</f>
        <v>1</v>
      </c>
      <c r="Z506" s="1285">
        <f t="shared" ref="Z506:Z537" si="319">W506*Y506</f>
        <v>1</v>
      </c>
      <c r="AA506" s="1285" t="str">
        <f>IF(Table6[[#This Row],[Post-harvest treatment]]="","","Y")</f>
        <v/>
      </c>
      <c r="AB506" s="1285" t="str">
        <f>IF(AND(Table6[[#This Row],[CF used for for calculation]]&lt;&gt;1,Table6[[#This Row],[PF for calculation]]&lt;&gt;1),"CF*PF",IF(Table6[[#This Row],[CF used for for calculation]]&lt;&gt;1,"CF",IF(Table6[[#This Row],[PF for calculation]]&lt;&gt;1,"PF","")))</f>
        <v/>
      </c>
      <c r="AC506" s="1300">
        <f>IF(AND(Table6[[#This Row],[LOQ RAC individual crop]]="Y",Table6[[#This Row],[GAP under assessment]]="N"),Table6[[#This Row],[MRL RAC individual commodity]],Table6[[#This Row],[MRL RAC individual commodity]]*Table6[[#This Row],[CF*PF for calculation]])</f>
        <v>0</v>
      </c>
      <c r="AD506" s="1287">
        <f t="shared" ref="AD506:AD538" si="320">$J506*$Z506</f>
        <v>0</v>
      </c>
      <c r="AE506" s="1287">
        <f t="shared" ref="AE506:AE538" si="321">$K506*$Z506</f>
        <v>0</v>
      </c>
      <c r="AF506" s="1288">
        <f>Table6[[#This Row],[IESTI case]]</f>
        <v>3</v>
      </c>
      <c r="AG50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06" s="1302" t="str">
        <f>IF(Table6[[#This Row],[Input value normal mode case 1, 2a/2b,Po]]&gt;0,
              IF(Table6[[#This Row],[Highest residue * CF*PF]]&gt;"","HR-RAC",
                             IF(Table6[[#This Row],[LOQ RAC individual crop]]="Y","LOQ","MRL")),"")</f>
        <v/>
      </c>
      <c r="AI506" s="1302" t="str">
        <f t="shared" ref="AI506:AI537" si="322">IF(AND(AH506&lt;&gt;"",AJ506&lt;&gt;""),"*","")</f>
        <v/>
      </c>
      <c r="AJ506" s="1302" t="str">
        <f>IF(Table6[[#This Row],[Input value normal mode case 1, 2a/2b,Po]]&gt;0,IF(Table6[[#This Row],[label description]]&gt;"",Table6[[#This Row],[label description]],""),"")</f>
        <v/>
      </c>
      <c r="AK506" s="1302" t="str">
        <f>CONCATENATE(Table6[[#This Row],[label for IESTI normal mode case 1, 2a/2b,Po]],Table6[[#This Row],[label connector case  normal mode]],Table6[[#This Row],[label refinements normal mode case 1, 2a/2b,Po]])</f>
        <v/>
      </c>
      <c r="AL506" s="1287" t="str">
        <f>IF(AND(Table6[[#This Row],[Case for acute RA children / adults]]=3,Table6[[#This Row],[Post-harvest treatment]]=""),IF(AND(Table6[[#This Row],[LOQ RAC individual crop]]="Y",M505="N"),Table6[[#This Row],[MRL RAC individual commodity]],IF(Table6[[#This Row],[Median residue*CF*PF]]&gt;0,Table6[[#This Row],[Median residue*CF*PF]],IF(Table6[[#This Row],[MRL*CF*PF or LOQ (if not under assessment and LOQ)]]&gt;0,Table6[[#This Row],[MRL*CF*PF or LOQ (if not under assessment and LOQ)]],""))),"")</f>
        <v/>
      </c>
      <c r="AM506" s="1295" t="str">
        <f>IF(Table6[[#This Row],[input for case 3 normal mode]]&gt;0,IF(Table6[[#This Row],[Median residue*CF*PF]]&gt;0,"STMR-RAC",IF(AND($AC506&gt;0,NOT(V506="Y")),"MRL",IF($V506="Y","LOQ",""))),"")</f>
        <v/>
      </c>
      <c r="AN506" s="1295" t="str">
        <f t="shared" ref="AN506:AN537" si="323">IF(AND(AM506&lt;&gt;"",AO506&lt;&gt;""),"*","")</f>
        <v/>
      </c>
      <c r="AO506" s="1287" t="str">
        <f>IF(Table6[[#This Row],[input for case 3 normal mode]]="","",IF(AND(Table6[[#This Row],[label for case 3 calculation normal mode]]="LOQ",Table6[[#This Row],[GAP under assessment]]="N"),"",IF(Table6[[#This Row],[label description]]&gt;"",Table6[[#This Row],[label description]],"")))</f>
        <v/>
      </c>
      <c r="AP506" s="1287" t="str">
        <f>CONCATENATE(Table6[[#This Row],[label for case 3 calculation normal mode]],Table6[[#This Row],[label connector case 3 normal mode]],Table6[[#This Row],[label refinements case 3 normal mode]])</f>
        <v/>
      </c>
      <c r="AQ506" s="1287" t="str">
        <f>IF(Table6[[#This Row],[GAP under assessment]]="Y",Table6[[#This Row],[Input value normal mode case 1, 2a/2b,Po]],"")</f>
        <v/>
      </c>
      <c r="AR506" s="1287" t="str">
        <f>IF(Table6[[#This Row],[Input value refined mode case 1, 2a/2b,Po]]&gt;0,Table6[[#This Row],[concat label normal mode 1,2a/2b,Po ]],"")</f>
        <v/>
      </c>
      <c r="AS506" s="1303" t="str">
        <f>IF(Table6[[#This Row],[GAP under assessment]]="Y",Table6[[#This Row],[input for case 3 normal mode]],"")</f>
        <v/>
      </c>
      <c r="AT506" s="1287" t="str">
        <f>IF(Table6[[#This Row],[input for case 3 refined mode]]&gt;0,Table6[[#This Row],[concat label normal mode  case 3]],"")</f>
        <v/>
      </c>
      <c r="AU506" s="1295" t="str">
        <f>IF(Table6[[#This Row],[Input value normal mode case 1, 2a/2b,Po]]&gt;0,Table6[[#This Row],[Input value normal mode case 1, 2a/2b,Po]],Table6[[#This Row],[input for case 3 normal mode]])</f>
        <v/>
      </c>
      <c r="AV506" s="1295" t="str">
        <f>IF(Table6[[#This Row],[Input value normal mode case 1, 2a/2b,Po]]&gt;0,Table6[[#This Row],[concat label normal mode 1,2a/2b,Po ]],Table6[[#This Row],[concat label normal mode  case 3]])</f>
        <v/>
      </c>
      <c r="AW506" s="1295" t="str">
        <f>IF(Table6[[#This Row],[Input value refined mode case 1, 2a/2b,Po]]&gt;0,Table6[[#This Row],[Input value refined mode case 1, 2a/2b,Po]],Table6[[#This Row],[input for case 3 refined mode]])</f>
        <v/>
      </c>
      <c r="AX506" s="1295" t="str">
        <f>IF(Table6[[#This Row],[Input value refined mode case 1, 2a/2b,Po]]&gt;0,Table6[[#This Row],[concat label refined mode case 1,2a/2b,Po]],Table6[[#This Row],[label for case 3 calculation refined mode]])</f>
        <v/>
      </c>
      <c r="AY506" s="1287">
        <f t="shared" ref="AY506:AY538" si="324">$AC506</f>
        <v>0</v>
      </c>
      <c r="AZ506" s="1295" t="str">
        <f t="shared" ref="AZ506:AZ538" si="325">IF(AND($AC506&gt;0,NOT($V506="Y")),"MRL",IF($V506="Y","LOQ",""))</f>
        <v/>
      </c>
      <c r="BA506" s="1295" t="str">
        <f t="shared" ref="BA506:BA538" si="326">IF(AND($AZ506&lt;&gt;"",$BB506&lt;&gt;""),"*","")</f>
        <v/>
      </c>
      <c r="BB506" s="1287" t="str">
        <f>IF(AND(Table6[[#This Row],[label for IESTI new normal mode]]="LOQ",Table6[[#This Row],[GAP under assessment]]="N"),"",IF(AND($H506&gt;0,$Y506&lt;&gt;1),"CF*PF",IF($H506&gt;0,"CF",IF($Y506&lt;&gt;1,"PF",""))))</f>
        <v/>
      </c>
      <c r="BC506" s="1296"/>
      <c r="BD506" s="1297"/>
      <c r="BE506" s="1304" t="str">
        <f>IF(Table6[[#This Row],[GAP under assessment]]="Y",Table6[[#This Row],[MRL*CF*PF or LOQ (if not under assessment and LOQ)]],"")</f>
        <v/>
      </c>
      <c r="BF506" s="1305" t="str">
        <f>IF(Table6[[#This Row],[Input for IESTI new refined mode]]&lt;&gt;"",CONCATENATE("MRL",Table6[[#This Row],[label connector case 3 normal mode]],Table6[[#This Row],[label refinements case 3 normal mode]]),"")</f>
        <v/>
      </c>
      <c r="BG506" s="1298" t="s">
        <v>486</v>
      </c>
      <c r="BH506" s="1306"/>
    </row>
    <row r="507" spans="1:60" s="11" customFormat="1" ht="12.75" customHeight="1" x14ac:dyDescent="0.2">
      <c r="A507" s="479" t="s">
        <v>579</v>
      </c>
      <c r="B507" s="480">
        <v>500020</v>
      </c>
      <c r="C507" s="547" t="s">
        <v>1007</v>
      </c>
      <c r="D507" s="1261">
        <f>VLOOKUP(Table6[[#This Row],[Code no.]],$B$12:$D$390,3,FALSE)</f>
        <v>0</v>
      </c>
      <c r="E507" s="1264">
        <f t="shared" si="310"/>
        <v>0</v>
      </c>
      <c r="F507" s="1262" t="str">
        <f t="shared" si="308"/>
        <v/>
      </c>
      <c r="G507" s="1265">
        <f t="shared" si="311"/>
        <v>1</v>
      </c>
      <c r="H507" s="881"/>
      <c r="I507" s="880"/>
      <c r="J507" s="1269">
        <f t="shared" si="312"/>
        <v>0</v>
      </c>
      <c r="K507" s="1269">
        <f t="shared" si="313"/>
        <v>0</v>
      </c>
      <c r="L507" s="1270"/>
      <c r="M507" s="1271" t="str">
        <f t="shared" si="314"/>
        <v/>
      </c>
      <c r="N507" s="1273" t="str">
        <f t="shared" si="315"/>
        <v/>
      </c>
      <c r="O507" s="1273">
        <v>3</v>
      </c>
      <c r="P507" s="1273" t="str">
        <f>IF(OR($A$10=$BG$15,Results!$B$62=Results!$T$63),Table6[[#This Row],[label refine mode]],Table6[[#This Row],[label normal mode]])</f>
        <v/>
      </c>
      <c r="Q507" s="1257" t="str">
        <f>IF(OR($A$10=$BG$15,Results!$B$62=Results!$T$63),Table6[[#This Row],[input refined mode]],Table6[[#This Row],[Input normal mode]])</f>
        <v/>
      </c>
      <c r="R507" s="1275" t="str">
        <f>IF(Table6[[#This Row],[Acute RA IESTI new input value]]="","",CONCATENATE(Table6[[#This Row],[label for IESTI new normal mode]],Table6[[#This Row],[label connector IESTI new normal mode]],Table6[[#This Row],[label refinements normal mode]]))</f>
        <v/>
      </c>
      <c r="S507" s="1259">
        <f>IF(OR($A$10=$BG$15,Results!$B$62=Results!$T$63),Table6[[#This Row],[Input for IESTI new refined mode]],Table6[[#This Row],[Input for IESTI new normal mode]])</f>
        <v>0</v>
      </c>
      <c r="T507" s="888"/>
      <c r="U507" s="1283">
        <f t="shared" si="316"/>
        <v>0</v>
      </c>
      <c r="V507" s="1284" t="str">
        <f t="shared" si="317"/>
        <v/>
      </c>
      <c r="W507" s="1285">
        <f>IF($H507&gt;0,$H507,IF(Table6[[#This Row],[CFrisk for residue definition (applicable for unprocessed products)]]&gt;0,Table6[[#This Row],[CFrisk for residue definition (applicable for unprocessed products)]],1))</f>
        <v>1</v>
      </c>
      <c r="X507" s="1285">
        <v>1</v>
      </c>
      <c r="Y507" s="1285">
        <f t="shared" si="318"/>
        <v>1</v>
      </c>
      <c r="Z507" s="1285">
        <f t="shared" si="319"/>
        <v>1</v>
      </c>
      <c r="AA507" s="1285" t="str">
        <f>IF(Table6[[#This Row],[Post-harvest treatment]]="","","Y")</f>
        <v/>
      </c>
      <c r="AB507" s="1285" t="str">
        <f>IF(AND(Table6[[#This Row],[CF used for for calculation]]&lt;&gt;1,Table6[[#This Row],[PF for calculation]]&lt;&gt;1),"CF*PF",IF(Table6[[#This Row],[CF used for for calculation]]&lt;&gt;1,"CF",IF(Table6[[#This Row],[PF for calculation]]&lt;&gt;1,"PF","")))</f>
        <v/>
      </c>
      <c r="AC507" s="1300">
        <f>IF(AND(Table6[[#This Row],[LOQ RAC individual crop]]="Y",Table6[[#This Row],[GAP under assessment]]="N"),Table6[[#This Row],[MRL RAC individual commodity]],Table6[[#This Row],[MRL RAC individual commodity]]*Table6[[#This Row],[CF*PF for calculation]])</f>
        <v>0</v>
      </c>
      <c r="AD507" s="1287">
        <f t="shared" si="320"/>
        <v>0</v>
      </c>
      <c r="AE507" s="1287">
        <f t="shared" si="321"/>
        <v>0</v>
      </c>
      <c r="AF507" s="1288">
        <f>Table6[[#This Row],[IESTI case]]</f>
        <v>3</v>
      </c>
      <c r="AG50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07" s="1302" t="str">
        <f>IF(Table6[[#This Row],[Input value normal mode case 1, 2a/2b,Po]]&gt;0,
              IF(Table6[[#This Row],[Highest residue * CF*PF]]&gt;"","HR-RAC",
                             IF(Table6[[#This Row],[LOQ RAC individual crop]]="Y","LOQ","MRL")),"")</f>
        <v/>
      </c>
      <c r="AI507" s="1302" t="str">
        <f t="shared" si="322"/>
        <v/>
      </c>
      <c r="AJ507" s="1302" t="str">
        <f>IF(Table6[[#This Row],[Input value normal mode case 1, 2a/2b,Po]]&gt;0,IF(Table6[[#This Row],[label description]]&gt;"",Table6[[#This Row],[label description]],""),"")</f>
        <v/>
      </c>
      <c r="AK507" s="1302" t="str">
        <f>CONCATENATE(Table6[[#This Row],[label for IESTI normal mode case 1, 2a/2b,Po]],Table6[[#This Row],[label connector case  normal mode]],Table6[[#This Row],[label refinements normal mode case 1, 2a/2b,Po]])</f>
        <v/>
      </c>
      <c r="AL507" s="1287" t="str">
        <f>IF(AND(Table6[[#This Row],[Case for acute RA children / adults]]=3,Table6[[#This Row],[Post-harvest treatment]]=""),IF(AND(Table6[[#This Row],[LOQ RAC individual crop]]="Y",M506="N"),Table6[[#This Row],[MRL RAC individual commodity]],IF(Table6[[#This Row],[Median residue*CF*PF]]&gt;0,Table6[[#This Row],[Median residue*CF*PF]],IF(Table6[[#This Row],[MRL*CF*PF or LOQ (if not under assessment and LOQ)]]&gt;0,Table6[[#This Row],[MRL*CF*PF or LOQ (if not under assessment and LOQ)]],""))),"")</f>
        <v/>
      </c>
      <c r="AM507" s="1295" t="str">
        <f>IF(Table6[[#This Row],[input for case 3 normal mode]]&gt;0,IF(Table6[[#This Row],[Median residue*CF*PF]]&gt;0,"STMR-RAC",IF(AND($AC507&gt;0,NOT(V507="Y")),"MRL",IF($V507="Y","LOQ",""))),"")</f>
        <v/>
      </c>
      <c r="AN507" s="1295" t="str">
        <f t="shared" si="323"/>
        <v/>
      </c>
      <c r="AO507" s="1287" t="str">
        <f>IF(Table6[[#This Row],[input for case 3 normal mode]]="","",IF(AND(Table6[[#This Row],[label for case 3 calculation normal mode]]="LOQ",Table6[[#This Row],[GAP under assessment]]="N"),"",IF(Table6[[#This Row],[label description]]&gt;"",Table6[[#This Row],[label description]],"")))</f>
        <v/>
      </c>
      <c r="AP507" s="1287" t="str">
        <f>CONCATENATE(Table6[[#This Row],[label for case 3 calculation normal mode]],Table6[[#This Row],[label connector case 3 normal mode]],Table6[[#This Row],[label refinements case 3 normal mode]])</f>
        <v/>
      </c>
      <c r="AQ507" s="1287" t="str">
        <f>IF(Table6[[#This Row],[GAP under assessment]]="Y",Table6[[#This Row],[Input value normal mode case 1, 2a/2b,Po]],"")</f>
        <v/>
      </c>
      <c r="AR507" s="1287" t="str">
        <f>IF(Table6[[#This Row],[Input value refined mode case 1, 2a/2b,Po]]&gt;0,Table6[[#This Row],[concat label normal mode 1,2a/2b,Po ]],"")</f>
        <v/>
      </c>
      <c r="AS507" s="1303" t="str">
        <f>IF(Table6[[#This Row],[GAP under assessment]]="Y",Table6[[#This Row],[input for case 3 normal mode]],"")</f>
        <v/>
      </c>
      <c r="AT507" s="1287" t="str">
        <f>IF(Table6[[#This Row],[input for case 3 refined mode]]&gt;0,Table6[[#This Row],[concat label normal mode  case 3]],"")</f>
        <v/>
      </c>
      <c r="AU507" s="1295" t="str">
        <f>IF(Table6[[#This Row],[Input value normal mode case 1, 2a/2b,Po]]&gt;0,Table6[[#This Row],[Input value normal mode case 1, 2a/2b,Po]],Table6[[#This Row],[input for case 3 normal mode]])</f>
        <v/>
      </c>
      <c r="AV507" s="1295" t="str">
        <f>IF(Table6[[#This Row],[Input value normal mode case 1, 2a/2b,Po]]&gt;0,Table6[[#This Row],[concat label normal mode 1,2a/2b,Po ]],Table6[[#This Row],[concat label normal mode  case 3]])</f>
        <v/>
      </c>
      <c r="AW507" s="1295" t="str">
        <f>IF(Table6[[#This Row],[Input value refined mode case 1, 2a/2b,Po]]&gt;0,Table6[[#This Row],[Input value refined mode case 1, 2a/2b,Po]],Table6[[#This Row],[input for case 3 refined mode]])</f>
        <v/>
      </c>
      <c r="AX507" s="1295" t="str">
        <f>IF(Table6[[#This Row],[Input value refined mode case 1, 2a/2b,Po]]&gt;0,Table6[[#This Row],[concat label refined mode case 1,2a/2b,Po]],Table6[[#This Row],[label for case 3 calculation refined mode]])</f>
        <v/>
      </c>
      <c r="AY507" s="1287">
        <f t="shared" si="324"/>
        <v>0</v>
      </c>
      <c r="AZ507" s="1295" t="str">
        <f t="shared" si="325"/>
        <v/>
      </c>
      <c r="BA507" s="1295" t="str">
        <f t="shared" si="326"/>
        <v/>
      </c>
      <c r="BB507" s="1287" t="str">
        <f>IF(AND(Table6[[#This Row],[label for IESTI new normal mode]]="LOQ",Table6[[#This Row],[GAP under assessment]]="N"),"",IF(AND($H507&gt;0,$Y507&lt;&gt;1),"CF*PF",IF($H507&gt;0,"CF",IF($Y507&lt;&gt;1,"PF",""))))</f>
        <v/>
      </c>
      <c r="BC507" s="1296" t="s">
        <v>369</v>
      </c>
      <c r="BD507" s="1297"/>
      <c r="BE507" s="1304" t="str">
        <f>IF(Table6[[#This Row],[GAP under assessment]]="Y",Table6[[#This Row],[MRL*CF*PF or LOQ (if not under assessment and LOQ)]],"")</f>
        <v/>
      </c>
      <c r="BF507" s="1305" t="str">
        <f>IF(Table6[[#This Row],[Input for IESTI new refined mode]]&lt;&gt;"",CONCATENATE("MRL",Table6[[#This Row],[label connector case 3 normal mode]],Table6[[#This Row],[label refinements case 3 normal mode]]),"")</f>
        <v/>
      </c>
      <c r="BG507" s="1298" t="s">
        <v>579</v>
      </c>
      <c r="BH507" s="1306"/>
    </row>
    <row r="508" spans="1:60" s="11" customFormat="1" ht="12.75" customHeight="1" x14ac:dyDescent="0.2">
      <c r="A508" s="479" t="s">
        <v>568</v>
      </c>
      <c r="B508" s="480">
        <v>500020</v>
      </c>
      <c r="C508" s="547" t="s">
        <v>406</v>
      </c>
      <c r="D508" s="1261">
        <f>VLOOKUP(Table6[[#This Row],[Code no.]],$B$12:$D$390,3,FALSE)</f>
        <v>0</v>
      </c>
      <c r="E508" s="1264">
        <f t="shared" si="310"/>
        <v>0</v>
      </c>
      <c r="F508" s="1262" t="str">
        <f t="shared" si="308"/>
        <v/>
      </c>
      <c r="G508" s="1265">
        <f t="shared" si="311"/>
        <v>1</v>
      </c>
      <c r="H508" s="881"/>
      <c r="I508" s="880"/>
      <c r="J508" s="1269">
        <f t="shared" si="312"/>
        <v>0</v>
      </c>
      <c r="K508" s="1269">
        <f t="shared" si="313"/>
        <v>0</v>
      </c>
      <c r="L508" s="1270"/>
      <c r="M508" s="1271" t="str">
        <f t="shared" si="314"/>
        <v/>
      </c>
      <c r="N508" s="1273" t="str">
        <f t="shared" si="315"/>
        <v/>
      </c>
      <c r="O508" s="1273">
        <v>3</v>
      </c>
      <c r="P508" s="1273" t="str">
        <f>IF(OR($A$10=$BG$15,Results!$B$62=Results!$T$63),Table6[[#This Row],[label refine mode]],Table6[[#This Row],[label normal mode]])</f>
        <v/>
      </c>
      <c r="Q508" s="1257" t="str">
        <f>IF(OR($A$10=$BG$15,Results!$B$62=Results!$T$63),Table6[[#This Row],[input refined mode]],Table6[[#This Row],[Input normal mode]])</f>
        <v/>
      </c>
      <c r="R508" s="1275" t="str">
        <f>IF(Table6[[#This Row],[Acute RA IESTI new input value]]="","",CONCATENATE(Table6[[#This Row],[label for IESTI new normal mode]],Table6[[#This Row],[label connector IESTI new normal mode]],Table6[[#This Row],[label refinements normal mode]]))</f>
        <v/>
      </c>
      <c r="S508" s="1259">
        <f>IF(OR($A$10=$BG$15,Results!$B$62=Results!$T$63),Table6[[#This Row],[Input for IESTI new refined mode]],Table6[[#This Row],[Input for IESTI new normal mode]])</f>
        <v>0</v>
      </c>
      <c r="T508" s="888"/>
      <c r="U508" s="1283">
        <f t="shared" si="316"/>
        <v>0</v>
      </c>
      <c r="V508" s="1284" t="str">
        <f t="shared" si="317"/>
        <v/>
      </c>
      <c r="W508" s="1285">
        <f>IF($H508&gt;0,$H508,IF(Table6[[#This Row],[CFrisk for residue definition (applicable for unprocessed products)]]&gt;0,Table6[[#This Row],[CFrisk for residue definition (applicable for unprocessed products)]],1))</f>
        <v>1</v>
      </c>
      <c r="X508" s="1285">
        <v>1</v>
      </c>
      <c r="Y508" s="1285">
        <f t="shared" si="318"/>
        <v>1</v>
      </c>
      <c r="Z508" s="1285">
        <f t="shared" si="319"/>
        <v>1</v>
      </c>
      <c r="AA508" s="1285" t="str">
        <f>IF(Table6[[#This Row],[Post-harvest treatment]]="","","Y")</f>
        <v/>
      </c>
      <c r="AB508" s="1285" t="str">
        <f>IF(AND(Table6[[#This Row],[CF used for for calculation]]&lt;&gt;1,Table6[[#This Row],[PF for calculation]]&lt;&gt;1),"CF*PF",IF(Table6[[#This Row],[CF used for for calculation]]&lt;&gt;1,"CF",IF(Table6[[#This Row],[PF for calculation]]&lt;&gt;1,"PF","")))</f>
        <v/>
      </c>
      <c r="AC508" s="1300">
        <f>IF(AND(Table6[[#This Row],[LOQ RAC individual crop]]="Y",Table6[[#This Row],[GAP under assessment]]="N"),Table6[[#This Row],[MRL RAC individual commodity]],Table6[[#This Row],[MRL RAC individual commodity]]*Table6[[#This Row],[CF*PF for calculation]])</f>
        <v>0</v>
      </c>
      <c r="AD508" s="1287">
        <f t="shared" si="320"/>
        <v>0</v>
      </c>
      <c r="AE508" s="1287">
        <f t="shared" si="321"/>
        <v>0</v>
      </c>
      <c r="AF508" s="1288">
        <f>Table6[[#This Row],[IESTI case]]</f>
        <v>3</v>
      </c>
      <c r="AG508"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08" s="1302" t="str">
        <f>IF(Table6[[#This Row],[Input value normal mode case 1, 2a/2b,Po]]&gt;0,
              IF(Table6[[#This Row],[Highest residue * CF*PF]]&gt;"","HR-RAC",
                             IF(Table6[[#This Row],[LOQ RAC individual crop]]="Y","LOQ","MRL")),"")</f>
        <v/>
      </c>
      <c r="AI508" s="1302" t="str">
        <f t="shared" si="322"/>
        <v/>
      </c>
      <c r="AJ508" s="1302" t="str">
        <f>IF(Table6[[#This Row],[Input value normal mode case 1, 2a/2b,Po]]&gt;0,IF(Table6[[#This Row],[label description]]&gt;"",Table6[[#This Row],[label description]],""),"")</f>
        <v/>
      </c>
      <c r="AK508" s="1302" t="str">
        <f>CONCATENATE(Table6[[#This Row],[label for IESTI normal mode case 1, 2a/2b,Po]],Table6[[#This Row],[label connector case  normal mode]],Table6[[#This Row],[label refinements normal mode case 1, 2a/2b,Po]])</f>
        <v/>
      </c>
      <c r="AL508" s="1287" t="str">
        <f>IF(AND(Table6[[#This Row],[Case for acute RA children / adults]]=3,Table6[[#This Row],[Post-harvest treatment]]=""),IF(AND(Table6[[#This Row],[LOQ RAC individual crop]]="Y",M507="N"),Table6[[#This Row],[MRL RAC individual commodity]],IF(Table6[[#This Row],[Median residue*CF*PF]]&gt;0,Table6[[#This Row],[Median residue*CF*PF]],IF(Table6[[#This Row],[MRL*CF*PF or LOQ (if not under assessment and LOQ)]]&gt;0,Table6[[#This Row],[MRL*CF*PF or LOQ (if not under assessment and LOQ)]],""))),"")</f>
        <v/>
      </c>
      <c r="AM508" s="1295" t="str">
        <f>IF(Table6[[#This Row],[input for case 3 normal mode]]&gt;0,IF(Table6[[#This Row],[Median residue*CF*PF]]&gt;0,"STMR-RAC",IF(AND($AC508&gt;0,NOT(V508="Y")),"MRL",IF($V508="Y","LOQ",""))),"")</f>
        <v/>
      </c>
      <c r="AN508" s="1295" t="str">
        <f t="shared" si="323"/>
        <v/>
      </c>
      <c r="AO508" s="1287" t="str">
        <f>IF(Table6[[#This Row],[input for case 3 normal mode]]="","",IF(AND(Table6[[#This Row],[label for case 3 calculation normal mode]]="LOQ",Table6[[#This Row],[GAP under assessment]]="N"),"",IF(Table6[[#This Row],[label description]]&gt;"",Table6[[#This Row],[label description]],"")))</f>
        <v/>
      </c>
      <c r="AP508" s="1287" t="str">
        <f>CONCATENATE(Table6[[#This Row],[label for case 3 calculation normal mode]],Table6[[#This Row],[label connector case 3 normal mode]],Table6[[#This Row],[label refinements case 3 normal mode]])</f>
        <v/>
      </c>
      <c r="AQ508" s="1287" t="str">
        <f>IF(Table6[[#This Row],[GAP under assessment]]="Y",Table6[[#This Row],[Input value normal mode case 1, 2a/2b,Po]],"")</f>
        <v/>
      </c>
      <c r="AR508" s="1287" t="str">
        <f>IF(Table6[[#This Row],[Input value refined mode case 1, 2a/2b,Po]]&gt;0,Table6[[#This Row],[concat label normal mode 1,2a/2b,Po ]],"")</f>
        <v/>
      </c>
      <c r="AS508" s="1303" t="str">
        <f>IF(Table6[[#This Row],[GAP under assessment]]="Y",Table6[[#This Row],[input for case 3 normal mode]],"")</f>
        <v/>
      </c>
      <c r="AT508" s="1287" t="str">
        <f>IF(Table6[[#This Row],[input for case 3 refined mode]]&gt;0,Table6[[#This Row],[concat label normal mode  case 3]],"")</f>
        <v/>
      </c>
      <c r="AU508" s="1295" t="str">
        <f>IF(Table6[[#This Row],[Input value normal mode case 1, 2a/2b,Po]]&gt;0,Table6[[#This Row],[Input value normal mode case 1, 2a/2b,Po]],Table6[[#This Row],[input for case 3 normal mode]])</f>
        <v/>
      </c>
      <c r="AV508" s="1295" t="str">
        <f>IF(Table6[[#This Row],[Input value normal mode case 1, 2a/2b,Po]]&gt;0,Table6[[#This Row],[concat label normal mode 1,2a/2b,Po ]],Table6[[#This Row],[concat label normal mode  case 3]])</f>
        <v/>
      </c>
      <c r="AW508" s="1295" t="str">
        <f>IF(Table6[[#This Row],[Input value refined mode case 1, 2a/2b,Po]]&gt;0,Table6[[#This Row],[Input value refined mode case 1, 2a/2b,Po]],Table6[[#This Row],[input for case 3 refined mode]])</f>
        <v/>
      </c>
      <c r="AX508" s="1295" t="str">
        <f>IF(Table6[[#This Row],[Input value refined mode case 1, 2a/2b,Po]]&gt;0,Table6[[#This Row],[concat label refined mode case 1,2a/2b,Po]],Table6[[#This Row],[label for case 3 calculation refined mode]])</f>
        <v/>
      </c>
      <c r="AY508" s="1287">
        <f t="shared" si="324"/>
        <v>0</v>
      </c>
      <c r="AZ508" s="1295" t="str">
        <f t="shared" si="325"/>
        <v/>
      </c>
      <c r="BA508" s="1295" t="str">
        <f t="shared" si="326"/>
        <v/>
      </c>
      <c r="BB508" s="1287" t="str">
        <f>IF(AND(Table6[[#This Row],[label for IESTI new normal mode]]="LOQ",Table6[[#This Row],[GAP under assessment]]="N"),"",IF(AND($H508&gt;0,$Y508&lt;&gt;1),"CF*PF",IF($H508&gt;0,"CF",IF($Y508&lt;&gt;1,"PF",""))))</f>
        <v/>
      </c>
      <c r="BC508" s="1296"/>
      <c r="BD508" s="1297"/>
      <c r="BE508" s="1304" t="str">
        <f>IF(Table6[[#This Row],[GAP under assessment]]="Y",Table6[[#This Row],[MRL*CF*PF or LOQ (if not under assessment and LOQ)]],"")</f>
        <v/>
      </c>
      <c r="BF508" s="1305" t="str">
        <f>IF(Table6[[#This Row],[Input for IESTI new refined mode]]&lt;&gt;"",CONCATENATE("MRL",Table6[[#This Row],[label connector case 3 normal mode]],Table6[[#This Row],[label refinements case 3 normal mode]]),"")</f>
        <v/>
      </c>
      <c r="BG508" s="1298" t="s">
        <v>568</v>
      </c>
      <c r="BH508" s="1306"/>
    </row>
    <row r="509" spans="1:60" s="11" customFormat="1" ht="12.75" customHeight="1" x14ac:dyDescent="0.2">
      <c r="A509" s="479" t="s">
        <v>602</v>
      </c>
      <c r="B509" s="480">
        <v>500030</v>
      </c>
      <c r="C509" s="547" t="s">
        <v>474</v>
      </c>
      <c r="D509" s="1261">
        <f>VLOOKUP(Table6[[#This Row],[Code no.]],$B$12:$D$390,3,FALSE)</f>
        <v>0</v>
      </c>
      <c r="E509" s="1264">
        <f t="shared" si="310"/>
        <v>0</v>
      </c>
      <c r="F509" s="1262" t="str">
        <f t="shared" si="308"/>
        <v/>
      </c>
      <c r="G509" s="1265">
        <f t="shared" si="311"/>
        <v>1</v>
      </c>
      <c r="H509" s="881"/>
      <c r="I509" s="882"/>
      <c r="J509" s="1269">
        <f t="shared" si="312"/>
        <v>0</v>
      </c>
      <c r="K509" s="1269">
        <f t="shared" si="313"/>
        <v>0</v>
      </c>
      <c r="L509" s="1270"/>
      <c r="M509" s="1271" t="str">
        <f t="shared" si="314"/>
        <v/>
      </c>
      <c r="N509" s="1273" t="str">
        <f t="shared" si="315"/>
        <v/>
      </c>
      <c r="O509" s="1273">
        <v>3</v>
      </c>
      <c r="P509" s="1273" t="str">
        <f>IF(OR($A$10=$BG$15,Results!$B$62=Results!$T$63),Table6[[#This Row],[label refine mode]],Table6[[#This Row],[label normal mode]])</f>
        <v/>
      </c>
      <c r="Q509" s="1257" t="str">
        <f>IF(OR($A$10=$BG$15,Results!$B$62=Results!$T$63),Table6[[#This Row],[input refined mode]],Table6[[#This Row],[Input normal mode]])</f>
        <v/>
      </c>
      <c r="R509" s="1275" t="str">
        <f>IF(Table6[[#This Row],[Acute RA IESTI new input value]]="","",CONCATENATE(Table6[[#This Row],[label for IESTI new normal mode]],Table6[[#This Row],[label connector IESTI new normal mode]],Table6[[#This Row],[label refinements normal mode]]))</f>
        <v/>
      </c>
      <c r="S509" s="1259">
        <f>IF(OR($A$10=$BG$15,Results!$B$62=Results!$T$63),Table6[[#This Row],[Input for IESTI new refined mode]],Table6[[#This Row],[Input for IESTI new normal mode]])</f>
        <v>0</v>
      </c>
      <c r="T509" s="888"/>
      <c r="U509" s="1283">
        <f t="shared" si="316"/>
        <v>0</v>
      </c>
      <c r="V509" s="1284" t="str">
        <f t="shared" si="317"/>
        <v/>
      </c>
      <c r="W509" s="1285">
        <f>IF($H509&gt;0,$H509,IF(Table6[[#This Row],[CFrisk for residue definition (applicable for unprocessed products)]]&gt;0,Table6[[#This Row],[CFrisk for residue definition (applicable for unprocessed products)]],1))</f>
        <v>1</v>
      </c>
      <c r="X509" s="1285">
        <v>25</v>
      </c>
      <c r="Y509" s="1285">
        <f t="shared" si="318"/>
        <v>25</v>
      </c>
      <c r="Z509" s="1285">
        <f t="shared" si="319"/>
        <v>25</v>
      </c>
      <c r="AA509" s="1285" t="str">
        <f>IF(Table6[[#This Row],[Post-harvest treatment]]="","","Y")</f>
        <v/>
      </c>
      <c r="AB509" s="1285" t="str">
        <f>IF(AND(Table6[[#This Row],[CF used for for calculation]]&lt;&gt;1,Table6[[#This Row],[PF for calculation]]&lt;&gt;1),"CF*PF",IF(Table6[[#This Row],[CF used for for calculation]]&lt;&gt;1,"CF",IF(Table6[[#This Row],[PF for calculation]]&lt;&gt;1,"PF","")))</f>
        <v>PF</v>
      </c>
      <c r="AC509" s="1300">
        <f>IF(AND(Table6[[#This Row],[LOQ RAC individual crop]]="Y",Table6[[#This Row],[GAP under assessment]]="N"),Table6[[#This Row],[MRL RAC individual commodity]],Table6[[#This Row],[MRL RAC individual commodity]]*Table6[[#This Row],[CF*PF for calculation]])</f>
        <v>0</v>
      </c>
      <c r="AD509" s="1287">
        <f t="shared" si="320"/>
        <v>0</v>
      </c>
      <c r="AE509" s="1287">
        <f t="shared" si="321"/>
        <v>0</v>
      </c>
      <c r="AF509" s="1288">
        <f>Table6[[#This Row],[IESTI case]]</f>
        <v>3</v>
      </c>
      <c r="AG509"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09" s="1302" t="str">
        <f>IF(Table6[[#This Row],[Input value normal mode case 1, 2a/2b,Po]]&gt;0,
              IF(Table6[[#This Row],[Highest residue * CF*PF]]&gt;"","HR-RAC",
                             IF(Table6[[#This Row],[LOQ RAC individual crop]]="Y","LOQ","MRL")),"")</f>
        <v/>
      </c>
      <c r="AI509" s="1302" t="str">
        <f t="shared" si="322"/>
        <v/>
      </c>
      <c r="AJ509" s="1302" t="str">
        <f>IF(Table6[[#This Row],[Input value normal mode case 1, 2a/2b,Po]]&gt;0,IF(Table6[[#This Row],[label description]]&gt;"",Table6[[#This Row],[label description]],""),"")</f>
        <v/>
      </c>
      <c r="AK509" s="1302" t="str">
        <f>CONCATENATE(Table6[[#This Row],[label for IESTI normal mode case 1, 2a/2b,Po]],Table6[[#This Row],[label connector case  normal mode]],Table6[[#This Row],[label refinements normal mode case 1, 2a/2b,Po]])</f>
        <v/>
      </c>
      <c r="AL509" s="1287" t="str">
        <f>IF(AND(Table6[[#This Row],[Case for acute RA children / adults]]=3,Table6[[#This Row],[Post-harvest treatment]]=""),IF(AND(Table6[[#This Row],[LOQ RAC individual crop]]="Y",M508="N"),Table6[[#This Row],[MRL RAC individual commodity]],IF(Table6[[#This Row],[Median residue*CF*PF]]&gt;0,Table6[[#This Row],[Median residue*CF*PF]],IF(Table6[[#This Row],[MRL*CF*PF or LOQ (if not under assessment and LOQ)]]&gt;0,Table6[[#This Row],[MRL*CF*PF or LOQ (if not under assessment and LOQ)]],""))),"")</f>
        <v/>
      </c>
      <c r="AM509" s="1295" t="str">
        <f>IF(Table6[[#This Row],[input for case 3 normal mode]]&gt;0,IF(Table6[[#This Row],[Median residue*CF*PF]]&gt;0,"STMR-RAC",IF(AND($AC509&gt;0,NOT(V509="Y")),"MRL",IF($V509="Y","LOQ",""))),"")</f>
        <v/>
      </c>
      <c r="AN509" s="1295" t="str">
        <f t="shared" si="323"/>
        <v/>
      </c>
      <c r="AO509" s="1287" t="str">
        <f>IF(Table6[[#This Row],[input for case 3 normal mode]]="","",IF(AND(Table6[[#This Row],[label for case 3 calculation normal mode]]="LOQ",Table6[[#This Row],[GAP under assessment]]="N"),"",IF(Table6[[#This Row],[label description]]&gt;"",Table6[[#This Row],[label description]],"")))</f>
        <v/>
      </c>
      <c r="AP509" s="1287" t="str">
        <f>CONCATENATE(Table6[[#This Row],[label for case 3 calculation normal mode]],Table6[[#This Row],[label connector case 3 normal mode]],Table6[[#This Row],[label refinements case 3 normal mode]])</f>
        <v/>
      </c>
      <c r="AQ509" s="1287" t="str">
        <f>IF(Table6[[#This Row],[GAP under assessment]]="Y",Table6[[#This Row],[Input value normal mode case 1, 2a/2b,Po]],"")</f>
        <v/>
      </c>
      <c r="AR509" s="1287" t="str">
        <f>IF(Table6[[#This Row],[Input value refined mode case 1, 2a/2b,Po]]&gt;0,Table6[[#This Row],[concat label normal mode 1,2a/2b,Po ]],"")</f>
        <v/>
      </c>
      <c r="AS509" s="1303" t="str">
        <f>IF(Table6[[#This Row],[GAP under assessment]]="Y",Table6[[#This Row],[input for case 3 normal mode]],"")</f>
        <v/>
      </c>
      <c r="AT509" s="1287" t="str">
        <f>IF(Table6[[#This Row],[input for case 3 refined mode]]&gt;0,Table6[[#This Row],[concat label normal mode  case 3]],"")</f>
        <v/>
      </c>
      <c r="AU509" s="1295" t="str">
        <f>IF(Table6[[#This Row],[Input value normal mode case 1, 2a/2b,Po]]&gt;0,Table6[[#This Row],[Input value normal mode case 1, 2a/2b,Po]],Table6[[#This Row],[input for case 3 normal mode]])</f>
        <v/>
      </c>
      <c r="AV509" s="1295" t="str">
        <f>IF(Table6[[#This Row],[Input value normal mode case 1, 2a/2b,Po]]&gt;0,Table6[[#This Row],[concat label normal mode 1,2a/2b,Po ]],Table6[[#This Row],[concat label normal mode  case 3]])</f>
        <v/>
      </c>
      <c r="AW509" s="1295" t="str">
        <f>IF(Table6[[#This Row],[Input value refined mode case 1, 2a/2b,Po]]&gt;0,Table6[[#This Row],[Input value refined mode case 1, 2a/2b,Po]],Table6[[#This Row],[input for case 3 refined mode]])</f>
        <v/>
      </c>
      <c r="AX509" s="1295" t="str">
        <f>IF(Table6[[#This Row],[Input value refined mode case 1, 2a/2b,Po]]&gt;0,Table6[[#This Row],[concat label refined mode case 1,2a/2b,Po]],Table6[[#This Row],[label for case 3 calculation refined mode]])</f>
        <v/>
      </c>
      <c r="AY509" s="1287">
        <f t="shared" si="324"/>
        <v>0</v>
      </c>
      <c r="AZ509" s="1295" t="str">
        <f t="shared" si="325"/>
        <v/>
      </c>
      <c r="BA509" s="1295" t="str">
        <f t="shared" si="326"/>
        <v/>
      </c>
      <c r="BB509" s="1287" t="str">
        <f>IF(AND(Table6[[#This Row],[label for IESTI new normal mode]]="LOQ",Table6[[#This Row],[GAP under assessment]]="N"),"",IF(AND($H509&gt;0,$Y509&lt;&gt;1),"CF*PF",IF($H509&gt;0,"CF",IF($Y509&lt;&gt;1,"PF",""))))</f>
        <v>PF</v>
      </c>
      <c r="BC509" s="1296" t="s">
        <v>369</v>
      </c>
      <c r="BD509" s="1297"/>
      <c r="BE509" s="1304" t="str">
        <f>IF(Table6[[#This Row],[GAP under assessment]]="Y",Table6[[#This Row],[MRL*CF*PF or LOQ (if not under assessment and LOQ)]],"")</f>
        <v/>
      </c>
      <c r="BF509" s="1305" t="str">
        <f>IF(Table6[[#This Row],[Input for IESTI new refined mode]]&lt;&gt;"",CONCATENATE("MRL",Table6[[#This Row],[label connector case 3 normal mode]],Table6[[#This Row],[label refinements case 3 normal mode]]),"")</f>
        <v/>
      </c>
      <c r="BG509" s="1298" t="s">
        <v>602</v>
      </c>
      <c r="BH509" s="1306"/>
    </row>
    <row r="510" spans="1:60" s="11" customFormat="1" ht="12.75" customHeight="1" x14ac:dyDescent="0.2">
      <c r="A510" s="479" t="s">
        <v>603</v>
      </c>
      <c r="B510" s="480">
        <v>500030</v>
      </c>
      <c r="C510" s="547" t="s">
        <v>407</v>
      </c>
      <c r="D510" s="1261">
        <f>VLOOKUP(Table6[[#This Row],[Code no.]],$B$12:$D$390,3,FALSE)</f>
        <v>0</v>
      </c>
      <c r="E510" s="1264">
        <f t="shared" si="310"/>
        <v>0</v>
      </c>
      <c r="F510" s="1262" t="str">
        <f t="shared" si="308"/>
        <v/>
      </c>
      <c r="G510" s="1265">
        <f t="shared" si="311"/>
        <v>1</v>
      </c>
      <c r="H510" s="881"/>
      <c r="I510" s="880"/>
      <c r="J510" s="1269">
        <f t="shared" si="312"/>
        <v>0</v>
      </c>
      <c r="K510" s="1269">
        <f t="shared" si="313"/>
        <v>0</v>
      </c>
      <c r="L510" s="1270"/>
      <c r="M510" s="1271" t="str">
        <f t="shared" si="314"/>
        <v/>
      </c>
      <c r="N510" s="1273" t="str">
        <f t="shared" si="315"/>
        <v/>
      </c>
      <c r="O510" s="1273">
        <v>3</v>
      </c>
      <c r="P510" s="1273" t="str">
        <f>IF(OR($A$10=$BG$15,Results!$B$62=Results!$T$63),Table6[[#This Row],[label refine mode]],Table6[[#This Row],[label normal mode]])</f>
        <v/>
      </c>
      <c r="Q510" s="1257" t="str">
        <f>IF(OR($A$10=$BG$15,Results!$B$62=Results!$T$63),Table6[[#This Row],[input refined mode]],Table6[[#This Row],[Input normal mode]])</f>
        <v/>
      </c>
      <c r="R510" s="1275" t="str">
        <f>IF(Table6[[#This Row],[Acute RA IESTI new input value]]="","",CONCATENATE(Table6[[#This Row],[label for IESTI new normal mode]],Table6[[#This Row],[label connector IESTI new normal mode]],Table6[[#This Row],[label refinements normal mode]]))</f>
        <v/>
      </c>
      <c r="S510" s="1259">
        <f>IF(OR($A$10=$BG$15,Results!$B$62=Results!$T$63),Table6[[#This Row],[Input for IESTI new refined mode]],Table6[[#This Row],[Input for IESTI new normal mode]])</f>
        <v>0</v>
      </c>
      <c r="T510" s="888"/>
      <c r="U510" s="1283">
        <f t="shared" si="316"/>
        <v>0</v>
      </c>
      <c r="V510" s="1284" t="str">
        <f t="shared" si="317"/>
        <v/>
      </c>
      <c r="W510" s="1285">
        <f>IF($H510&gt;0,$H510,IF(Table6[[#This Row],[CFrisk for residue definition (applicable for unprocessed products)]]&gt;0,Table6[[#This Row],[CFrisk for residue definition (applicable for unprocessed products)]],1))</f>
        <v>1</v>
      </c>
      <c r="X510" s="1285">
        <v>1</v>
      </c>
      <c r="Y510" s="1285">
        <f t="shared" si="318"/>
        <v>1</v>
      </c>
      <c r="Z510" s="1285">
        <f t="shared" si="319"/>
        <v>1</v>
      </c>
      <c r="AA510" s="1285" t="str">
        <f>IF(Table6[[#This Row],[Post-harvest treatment]]="","","Y")</f>
        <v/>
      </c>
      <c r="AB510" s="1285" t="str">
        <f>IF(AND(Table6[[#This Row],[CF used for for calculation]]&lt;&gt;1,Table6[[#This Row],[PF for calculation]]&lt;&gt;1),"CF*PF",IF(Table6[[#This Row],[CF used for for calculation]]&lt;&gt;1,"CF",IF(Table6[[#This Row],[PF for calculation]]&lt;&gt;1,"PF","")))</f>
        <v/>
      </c>
      <c r="AC510" s="1300">
        <f>IF(AND(Table6[[#This Row],[LOQ RAC individual crop]]="Y",Table6[[#This Row],[GAP under assessment]]="N"),Table6[[#This Row],[MRL RAC individual commodity]],Table6[[#This Row],[MRL RAC individual commodity]]*Table6[[#This Row],[CF*PF for calculation]])</f>
        <v>0</v>
      </c>
      <c r="AD510" s="1287">
        <f t="shared" si="320"/>
        <v>0</v>
      </c>
      <c r="AE510" s="1287">
        <f t="shared" si="321"/>
        <v>0</v>
      </c>
      <c r="AF510" s="1288">
        <f>Table6[[#This Row],[IESTI case]]</f>
        <v>3</v>
      </c>
      <c r="AG510"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10" s="1302" t="str">
        <f>IF(Table6[[#This Row],[Input value normal mode case 1, 2a/2b,Po]]&gt;0,
              IF(Table6[[#This Row],[Highest residue * CF*PF]]&gt;"","HR-RAC",
                             IF(Table6[[#This Row],[LOQ RAC individual crop]]="Y","LOQ","MRL")),"")</f>
        <v/>
      </c>
      <c r="AI510" s="1302" t="str">
        <f t="shared" si="322"/>
        <v/>
      </c>
      <c r="AJ510" s="1302" t="str">
        <f>IF(Table6[[#This Row],[Input value normal mode case 1, 2a/2b,Po]]&gt;0,IF(Table6[[#This Row],[label description]]&gt;"",Table6[[#This Row],[label description]],""),"")</f>
        <v/>
      </c>
      <c r="AK510" s="1302" t="str">
        <f>CONCATENATE(Table6[[#This Row],[label for IESTI normal mode case 1, 2a/2b,Po]],Table6[[#This Row],[label connector case  normal mode]],Table6[[#This Row],[label refinements normal mode case 1, 2a/2b,Po]])</f>
        <v/>
      </c>
      <c r="AL510" s="1287" t="str">
        <f>IF(AND(Table6[[#This Row],[Case for acute RA children / adults]]=3,Table6[[#This Row],[Post-harvest treatment]]=""),IF(AND(Table6[[#This Row],[LOQ RAC individual crop]]="Y",M509="N"),Table6[[#This Row],[MRL RAC individual commodity]],IF(Table6[[#This Row],[Median residue*CF*PF]]&gt;0,Table6[[#This Row],[Median residue*CF*PF]],IF(Table6[[#This Row],[MRL*CF*PF or LOQ (if not under assessment and LOQ)]]&gt;0,Table6[[#This Row],[MRL*CF*PF or LOQ (if not under assessment and LOQ)]],""))),"")</f>
        <v/>
      </c>
      <c r="AM510" s="1295" t="str">
        <f>IF(Table6[[#This Row],[input for case 3 normal mode]]&gt;0,IF(Table6[[#This Row],[Median residue*CF*PF]]&gt;0,"STMR-RAC",IF(AND($AC510&gt;0,NOT(V510="Y")),"MRL",IF($V510="Y","LOQ",""))),"")</f>
        <v/>
      </c>
      <c r="AN510" s="1295" t="str">
        <f t="shared" si="323"/>
        <v/>
      </c>
      <c r="AO510" s="1287" t="str">
        <f>IF(Table6[[#This Row],[input for case 3 normal mode]]="","",IF(AND(Table6[[#This Row],[label for case 3 calculation normal mode]]="LOQ",Table6[[#This Row],[GAP under assessment]]="N"),"",IF(Table6[[#This Row],[label description]]&gt;"",Table6[[#This Row],[label description]],"")))</f>
        <v/>
      </c>
      <c r="AP510" s="1287" t="str">
        <f>CONCATENATE(Table6[[#This Row],[label for case 3 calculation normal mode]],Table6[[#This Row],[label connector case 3 normal mode]],Table6[[#This Row],[label refinements case 3 normal mode]])</f>
        <v/>
      </c>
      <c r="AQ510" s="1287" t="str">
        <f>IF(Table6[[#This Row],[GAP under assessment]]="Y",Table6[[#This Row],[Input value normal mode case 1, 2a/2b,Po]],"")</f>
        <v/>
      </c>
      <c r="AR510" s="1287" t="str">
        <f>IF(Table6[[#This Row],[Input value refined mode case 1, 2a/2b,Po]]&gt;0,Table6[[#This Row],[concat label normal mode 1,2a/2b,Po ]],"")</f>
        <v/>
      </c>
      <c r="AS510" s="1303" t="str">
        <f>IF(Table6[[#This Row],[GAP under assessment]]="Y",Table6[[#This Row],[input for case 3 normal mode]],"")</f>
        <v/>
      </c>
      <c r="AT510" s="1287" t="str">
        <f>IF(Table6[[#This Row],[input for case 3 refined mode]]&gt;0,Table6[[#This Row],[concat label normal mode  case 3]],"")</f>
        <v/>
      </c>
      <c r="AU510" s="1295" t="str">
        <f>IF(Table6[[#This Row],[Input value normal mode case 1, 2a/2b,Po]]&gt;0,Table6[[#This Row],[Input value normal mode case 1, 2a/2b,Po]],Table6[[#This Row],[input for case 3 normal mode]])</f>
        <v/>
      </c>
      <c r="AV510" s="1295" t="str">
        <f>IF(Table6[[#This Row],[Input value normal mode case 1, 2a/2b,Po]]&gt;0,Table6[[#This Row],[concat label normal mode 1,2a/2b,Po ]],Table6[[#This Row],[concat label normal mode  case 3]])</f>
        <v/>
      </c>
      <c r="AW510" s="1295" t="str">
        <f>IF(Table6[[#This Row],[Input value refined mode case 1, 2a/2b,Po]]&gt;0,Table6[[#This Row],[Input value refined mode case 1, 2a/2b,Po]],Table6[[#This Row],[input for case 3 refined mode]])</f>
        <v/>
      </c>
      <c r="AX510" s="1295" t="str">
        <f>IF(Table6[[#This Row],[Input value refined mode case 1, 2a/2b,Po]]&gt;0,Table6[[#This Row],[concat label refined mode case 1,2a/2b,Po]],Table6[[#This Row],[label for case 3 calculation refined mode]])</f>
        <v/>
      </c>
      <c r="AY510" s="1287">
        <f t="shared" si="324"/>
        <v>0</v>
      </c>
      <c r="AZ510" s="1295" t="str">
        <f t="shared" si="325"/>
        <v/>
      </c>
      <c r="BA510" s="1295" t="str">
        <f t="shared" si="326"/>
        <v/>
      </c>
      <c r="BB510" s="1287" t="str">
        <f>IF(AND(Table6[[#This Row],[label for IESTI new normal mode]]="LOQ",Table6[[#This Row],[GAP under assessment]]="N"),"",IF(AND($H510&gt;0,$Y510&lt;&gt;1),"CF*PF",IF($H510&gt;0,"CF",IF($Y510&lt;&gt;1,"PF",""))))</f>
        <v/>
      </c>
      <c r="BC510" s="1296"/>
      <c r="BD510" s="1297"/>
      <c r="BE510" s="1304" t="str">
        <f>IF(Table6[[#This Row],[GAP under assessment]]="Y",Table6[[#This Row],[MRL*CF*PF or LOQ (if not under assessment and LOQ)]],"")</f>
        <v/>
      </c>
      <c r="BF510" s="1305" t="str">
        <f>IF(Table6[[#This Row],[Input for IESTI new refined mode]]&lt;&gt;"",CONCATENATE("MRL",Table6[[#This Row],[label connector case 3 normal mode]],Table6[[#This Row],[label refinements case 3 normal mode]]),"")</f>
        <v/>
      </c>
      <c r="BG510" s="1298" t="s">
        <v>603</v>
      </c>
      <c r="BH510" s="1306"/>
    </row>
    <row r="511" spans="1:60" s="11" customFormat="1" ht="12.75" customHeight="1" x14ac:dyDescent="0.2">
      <c r="A511" s="479" t="s">
        <v>569</v>
      </c>
      <c r="B511" s="480">
        <v>500040</v>
      </c>
      <c r="C511" s="547" t="s">
        <v>429</v>
      </c>
      <c r="D511" s="1261">
        <f>VLOOKUP(Table6[[#This Row],[Code no.]],$B$12:$D$390,3,FALSE)</f>
        <v>0</v>
      </c>
      <c r="E511" s="1264">
        <f t="shared" si="310"/>
        <v>0</v>
      </c>
      <c r="F511" s="1262" t="str">
        <f t="shared" si="308"/>
        <v/>
      </c>
      <c r="G511" s="1265">
        <f t="shared" si="311"/>
        <v>1</v>
      </c>
      <c r="H511" s="881"/>
      <c r="I511" s="882"/>
      <c r="J511" s="1269">
        <f t="shared" si="312"/>
        <v>0</v>
      </c>
      <c r="K511" s="1269">
        <f t="shared" si="313"/>
        <v>0</v>
      </c>
      <c r="L511" s="1270"/>
      <c r="M511" s="1271" t="str">
        <f t="shared" si="314"/>
        <v/>
      </c>
      <c r="N511" s="1273" t="str">
        <f t="shared" si="315"/>
        <v/>
      </c>
      <c r="O511" s="1273">
        <v>3</v>
      </c>
      <c r="P511" s="1273" t="str">
        <f>IF(OR($A$10=$BG$15,Results!$B$62=Results!$T$63),Table6[[#This Row],[label refine mode]],Table6[[#This Row],[label normal mode]])</f>
        <v/>
      </c>
      <c r="Q511" s="1257" t="str">
        <f>IF(OR($A$10=$BG$15,Results!$B$62=Results!$T$63),Table6[[#This Row],[input refined mode]],Table6[[#This Row],[Input normal mode]])</f>
        <v/>
      </c>
      <c r="R511" s="1275" t="str">
        <f>IF(Table6[[#This Row],[Acute RA IESTI new input value]]="","",CONCATENATE(Table6[[#This Row],[label for IESTI new normal mode]],Table6[[#This Row],[label connector IESTI new normal mode]],Table6[[#This Row],[label refinements normal mode]]))</f>
        <v/>
      </c>
      <c r="S511" s="1259">
        <f>IF(OR($A$10=$BG$15,Results!$B$62=Results!$T$63),Table6[[#This Row],[Input for IESTI new refined mode]],Table6[[#This Row],[Input for IESTI new normal mode]])</f>
        <v>0</v>
      </c>
      <c r="T511" s="888"/>
      <c r="U511" s="1283">
        <f t="shared" si="316"/>
        <v>0</v>
      </c>
      <c r="V511" s="1284" t="str">
        <f t="shared" si="317"/>
        <v/>
      </c>
      <c r="W511" s="1285">
        <f>IF($H511&gt;0,$H511,IF(Table6[[#This Row],[CFrisk for residue definition (applicable for unprocessed products)]]&gt;0,Table6[[#This Row],[CFrisk for residue definition (applicable for unprocessed products)]],1))</f>
        <v>1</v>
      </c>
      <c r="X511" s="1285">
        <v>1</v>
      </c>
      <c r="Y511" s="1285">
        <v>0.4</v>
      </c>
      <c r="Z511" s="1285">
        <f t="shared" si="319"/>
        <v>0.4</v>
      </c>
      <c r="AA511" s="1285" t="str">
        <f>IF(Table6[[#This Row],[Post-harvest treatment]]="","","Y")</f>
        <v/>
      </c>
      <c r="AB511" s="1285" t="str">
        <f>IF(AND(Table6[[#This Row],[CF used for for calculation]]&lt;&gt;1,Table6[[#This Row],[PF for calculation]]&lt;&gt;1),"CF*PF",IF(Table6[[#This Row],[CF used for for calculation]]&lt;&gt;1,"CF",IF(Table6[[#This Row],[PF for calculation]]&lt;&gt;1,"PF","")))</f>
        <v>PF</v>
      </c>
      <c r="AC511" s="1300">
        <f>IF(AND(Table6[[#This Row],[LOQ RAC individual crop]]="Y",Table6[[#This Row],[GAP under assessment]]="N"),Table6[[#This Row],[MRL RAC individual commodity]],Table6[[#This Row],[MRL RAC individual commodity]]*Table6[[#This Row],[CF*PF for calculation]])</f>
        <v>0</v>
      </c>
      <c r="AD511" s="1287">
        <f t="shared" si="320"/>
        <v>0</v>
      </c>
      <c r="AE511" s="1287">
        <f t="shared" si="321"/>
        <v>0</v>
      </c>
      <c r="AF511" s="1288">
        <f>Table6[[#This Row],[IESTI case]]</f>
        <v>3</v>
      </c>
      <c r="AG511"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11" s="1302" t="str">
        <f>IF(Table6[[#This Row],[Input value normal mode case 1, 2a/2b,Po]]&gt;0,
              IF(Table6[[#This Row],[Highest residue * CF*PF]]&gt;"","HR-RAC",
                             IF(Table6[[#This Row],[LOQ RAC individual crop]]="Y","LOQ","MRL")),"")</f>
        <v/>
      </c>
      <c r="AI511" s="1302" t="str">
        <f t="shared" si="322"/>
        <v/>
      </c>
      <c r="AJ511" s="1302" t="str">
        <f>IF(Table6[[#This Row],[Input value normal mode case 1, 2a/2b,Po]]&gt;0,IF(Table6[[#This Row],[label description]]&gt;"",Table6[[#This Row],[label description]],""),"")</f>
        <v/>
      </c>
      <c r="AK511" s="1302" t="str">
        <f>CONCATENATE(Table6[[#This Row],[label for IESTI normal mode case 1, 2a/2b,Po]],Table6[[#This Row],[label connector case  normal mode]],Table6[[#This Row],[label refinements normal mode case 1, 2a/2b,Po]])</f>
        <v/>
      </c>
      <c r="AL511" s="1287" t="str">
        <f>IF(AND(Table6[[#This Row],[Case for acute RA children / adults]]=3,Table6[[#This Row],[Post-harvest treatment]]=""),IF(AND(Table6[[#This Row],[LOQ RAC individual crop]]="Y",M510="N"),Table6[[#This Row],[MRL RAC individual commodity]],IF(Table6[[#This Row],[Median residue*CF*PF]]&gt;0,Table6[[#This Row],[Median residue*CF*PF]],IF(Table6[[#This Row],[MRL*CF*PF or LOQ (if not under assessment and LOQ)]]&gt;0,Table6[[#This Row],[MRL*CF*PF or LOQ (if not under assessment and LOQ)]],""))),"")</f>
        <v/>
      </c>
      <c r="AM511" s="1295" t="str">
        <f>IF(Table6[[#This Row],[input for case 3 normal mode]]&gt;0,IF(Table6[[#This Row],[Median residue*CF*PF]]&gt;0,"STMR-RAC",IF(AND($AC511&gt;0,NOT(V511="Y")),"MRL",IF($V511="Y","LOQ",""))),"")</f>
        <v/>
      </c>
      <c r="AN511" s="1295" t="str">
        <f t="shared" si="323"/>
        <v/>
      </c>
      <c r="AO511" s="1287" t="str">
        <f>IF(Table6[[#This Row],[input for case 3 normal mode]]="","",IF(AND(Table6[[#This Row],[label for case 3 calculation normal mode]]="LOQ",Table6[[#This Row],[GAP under assessment]]="N"),"",IF(Table6[[#This Row],[label description]]&gt;"",Table6[[#This Row],[label description]],"")))</f>
        <v/>
      </c>
      <c r="AP511" s="1287" t="str">
        <f>CONCATENATE(Table6[[#This Row],[label for case 3 calculation normal mode]],Table6[[#This Row],[label connector case 3 normal mode]],Table6[[#This Row],[label refinements case 3 normal mode]])</f>
        <v/>
      </c>
      <c r="AQ511" s="1287" t="str">
        <f>IF(Table6[[#This Row],[GAP under assessment]]="Y",Table6[[#This Row],[Input value normal mode case 1, 2a/2b,Po]],"")</f>
        <v/>
      </c>
      <c r="AR511" s="1287" t="str">
        <f>IF(Table6[[#This Row],[Input value refined mode case 1, 2a/2b,Po]]&gt;0,Table6[[#This Row],[concat label normal mode 1,2a/2b,Po ]],"")</f>
        <v/>
      </c>
      <c r="AS511" s="1303" t="str">
        <f>IF(Table6[[#This Row],[GAP under assessment]]="Y",Table6[[#This Row],[input for case 3 normal mode]],"")</f>
        <v/>
      </c>
      <c r="AT511" s="1287" t="str">
        <f>IF(Table6[[#This Row],[input for case 3 refined mode]]&gt;0,Table6[[#This Row],[concat label normal mode  case 3]],"")</f>
        <v/>
      </c>
      <c r="AU511" s="1295" t="str">
        <f>IF(Table6[[#This Row],[Input value normal mode case 1, 2a/2b,Po]]&gt;0,Table6[[#This Row],[Input value normal mode case 1, 2a/2b,Po]],Table6[[#This Row],[input for case 3 normal mode]])</f>
        <v/>
      </c>
      <c r="AV511" s="1295" t="str">
        <f>IF(Table6[[#This Row],[Input value normal mode case 1, 2a/2b,Po]]&gt;0,Table6[[#This Row],[concat label normal mode 1,2a/2b,Po ]],Table6[[#This Row],[concat label normal mode  case 3]])</f>
        <v/>
      </c>
      <c r="AW511" s="1295" t="str">
        <f>IF(Table6[[#This Row],[Input value refined mode case 1, 2a/2b,Po]]&gt;0,Table6[[#This Row],[Input value refined mode case 1, 2a/2b,Po]],Table6[[#This Row],[input for case 3 refined mode]])</f>
        <v/>
      </c>
      <c r="AX511" s="1295" t="str">
        <f>IF(Table6[[#This Row],[Input value refined mode case 1, 2a/2b,Po]]&gt;0,Table6[[#This Row],[concat label refined mode case 1,2a/2b,Po]],Table6[[#This Row],[label for case 3 calculation refined mode]])</f>
        <v/>
      </c>
      <c r="AY511" s="1287">
        <f t="shared" si="324"/>
        <v>0</v>
      </c>
      <c r="AZ511" s="1295" t="str">
        <f t="shared" si="325"/>
        <v/>
      </c>
      <c r="BA511" s="1295" t="str">
        <f t="shared" si="326"/>
        <v/>
      </c>
      <c r="BB511" s="1287" t="str">
        <f>IF(AND(Table6[[#This Row],[label for IESTI new normal mode]]="LOQ",Table6[[#This Row],[GAP under assessment]]="N"),"",IF(AND($H511&gt;0,$Y511&lt;&gt;1),"CF*PF",IF($H511&gt;0,"CF",IF($Y511&lt;&gt;1,"PF",""))))</f>
        <v>PF</v>
      </c>
      <c r="BC511" s="1296"/>
      <c r="BD511" s="1297"/>
      <c r="BE511" s="1304" t="str">
        <f>IF(Table6[[#This Row],[GAP under assessment]]="Y",Table6[[#This Row],[MRL*CF*PF or LOQ (if not under assessment and LOQ)]],"")</f>
        <v/>
      </c>
      <c r="BF511" s="1305" t="str">
        <f>IF(Table6[[#This Row],[Input for IESTI new refined mode]]&lt;&gt;"",CONCATENATE("MRL",Table6[[#This Row],[label connector case 3 normal mode]],Table6[[#This Row],[label refinements case 3 normal mode]]),"")</f>
        <v/>
      </c>
      <c r="BG511" s="1298" t="s">
        <v>569</v>
      </c>
      <c r="BH511" s="1306"/>
    </row>
    <row r="512" spans="1:60" s="11" customFormat="1" ht="12.75" customHeight="1" x14ac:dyDescent="0.2">
      <c r="A512" s="479" t="s">
        <v>585</v>
      </c>
      <c r="B512" s="480">
        <v>500050</v>
      </c>
      <c r="C512" s="547" t="s">
        <v>843</v>
      </c>
      <c r="D512" s="1261">
        <f>VLOOKUP(Table6[[#This Row],[Code no.]],$B$12:$D$390,3,FALSE)</f>
        <v>0</v>
      </c>
      <c r="E512" s="1264">
        <f t="shared" si="310"/>
        <v>0</v>
      </c>
      <c r="F512" s="1262" t="str">
        <f t="shared" si="308"/>
        <v/>
      </c>
      <c r="G512" s="1265">
        <f t="shared" si="311"/>
        <v>1</v>
      </c>
      <c r="H512" s="881"/>
      <c r="I512" s="880"/>
      <c r="J512" s="1269">
        <f t="shared" si="312"/>
        <v>0</v>
      </c>
      <c r="K512" s="1269">
        <f t="shared" si="313"/>
        <v>0</v>
      </c>
      <c r="L512" s="1270"/>
      <c r="M512" s="1271" t="str">
        <f t="shared" si="314"/>
        <v/>
      </c>
      <c r="N512" s="1273" t="str">
        <f t="shared" si="315"/>
        <v/>
      </c>
      <c r="O512" s="1273">
        <v>3</v>
      </c>
      <c r="P512" s="1273" t="str">
        <f>IF(OR($A$10=$BG$15,Results!$B$62=Results!$T$63),Table6[[#This Row],[label refine mode]],Table6[[#This Row],[label normal mode]])</f>
        <v/>
      </c>
      <c r="Q512" s="1257" t="str">
        <f>IF(OR($A$10=$BG$15,Results!$B$62=Results!$T$63),Table6[[#This Row],[input refined mode]],Table6[[#This Row],[Input normal mode]])</f>
        <v/>
      </c>
      <c r="R512" s="1275" t="str">
        <f>IF(Table6[[#This Row],[Acute RA IESTI new input value]]="","",CONCATENATE(Table6[[#This Row],[label for IESTI new normal mode]],Table6[[#This Row],[label connector IESTI new normal mode]],Table6[[#This Row],[label refinements normal mode]]))</f>
        <v/>
      </c>
      <c r="S512" s="1259">
        <f>IF(OR($A$10=$BG$15,Results!$B$62=Results!$T$63),Table6[[#This Row],[Input for IESTI new refined mode]],Table6[[#This Row],[Input for IESTI new normal mode]])</f>
        <v>0</v>
      </c>
      <c r="T512" s="888"/>
      <c r="U512" s="1283">
        <f t="shared" si="316"/>
        <v>0</v>
      </c>
      <c r="V512" s="1284" t="str">
        <f t="shared" si="317"/>
        <v/>
      </c>
      <c r="W512" s="1285">
        <f>IF($H512&gt;0,$H512,IF(Table6[[#This Row],[CFrisk for residue definition (applicable for unprocessed products)]]&gt;0,Table6[[#This Row],[CFrisk for residue definition (applicable for unprocessed products)]],1))</f>
        <v>1</v>
      </c>
      <c r="X512" s="1285">
        <v>1</v>
      </c>
      <c r="Y512" s="1285">
        <f t="shared" si="318"/>
        <v>1</v>
      </c>
      <c r="Z512" s="1285">
        <f t="shared" si="319"/>
        <v>1</v>
      </c>
      <c r="AA512" s="1285" t="str">
        <f>IF(Table6[[#This Row],[Post-harvest treatment]]="","","Y")</f>
        <v/>
      </c>
      <c r="AB512" s="1285" t="str">
        <f>IF(AND(Table6[[#This Row],[CF used for for calculation]]&lt;&gt;1,Table6[[#This Row],[PF for calculation]]&lt;&gt;1),"CF*PF",IF(Table6[[#This Row],[CF used for for calculation]]&lt;&gt;1,"CF",IF(Table6[[#This Row],[PF for calculation]]&lt;&gt;1,"PF","")))</f>
        <v/>
      </c>
      <c r="AC512" s="1300">
        <f>IF(AND(Table6[[#This Row],[LOQ RAC individual crop]]="Y",Table6[[#This Row],[GAP under assessment]]="N"),Table6[[#This Row],[MRL RAC individual commodity]],Table6[[#This Row],[MRL RAC individual commodity]]*Table6[[#This Row],[CF*PF for calculation]])</f>
        <v>0</v>
      </c>
      <c r="AD512" s="1287">
        <f t="shared" si="320"/>
        <v>0</v>
      </c>
      <c r="AE512" s="1287">
        <f t="shared" si="321"/>
        <v>0</v>
      </c>
      <c r="AF512" s="1288">
        <f>Table6[[#This Row],[IESTI case]]</f>
        <v>3</v>
      </c>
      <c r="AG512"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12" s="1302" t="str">
        <f>IF(Table6[[#This Row],[Input value normal mode case 1, 2a/2b,Po]]&gt;0,
              IF(Table6[[#This Row],[Highest residue * CF*PF]]&gt;"","HR-RAC",
                             IF(Table6[[#This Row],[LOQ RAC individual crop]]="Y","LOQ","MRL")),"")</f>
        <v/>
      </c>
      <c r="AI512" s="1302" t="str">
        <f t="shared" si="322"/>
        <v/>
      </c>
      <c r="AJ512" s="1302" t="str">
        <f>IF(Table6[[#This Row],[Input value normal mode case 1, 2a/2b,Po]]&gt;0,IF(Table6[[#This Row],[label description]]&gt;"",Table6[[#This Row],[label description]],""),"")</f>
        <v/>
      </c>
      <c r="AK512" s="1302" t="str">
        <f>CONCATENATE(Table6[[#This Row],[label for IESTI normal mode case 1, 2a/2b,Po]],Table6[[#This Row],[label connector case  normal mode]],Table6[[#This Row],[label refinements normal mode case 1, 2a/2b,Po]])</f>
        <v/>
      </c>
      <c r="AL512" s="1287" t="str">
        <f>IF(AND(Table6[[#This Row],[Case for acute RA children / adults]]=3,Table6[[#This Row],[Post-harvest treatment]]=""),IF(AND(Table6[[#This Row],[LOQ RAC individual crop]]="Y",M511="N"),Table6[[#This Row],[MRL RAC individual commodity]],IF(Table6[[#This Row],[Median residue*CF*PF]]&gt;0,Table6[[#This Row],[Median residue*CF*PF]],IF(Table6[[#This Row],[MRL*CF*PF or LOQ (if not under assessment and LOQ)]]&gt;0,Table6[[#This Row],[MRL*CF*PF or LOQ (if not under assessment and LOQ)]],""))),"")</f>
        <v/>
      </c>
      <c r="AM512" s="1295" t="str">
        <f>IF(Table6[[#This Row],[input for case 3 normal mode]]&gt;0,IF(Table6[[#This Row],[Median residue*CF*PF]]&gt;0,"STMR-RAC",IF(AND($AC512&gt;0,NOT(V512="Y")),"MRL",IF($V512="Y","LOQ",""))),"")</f>
        <v/>
      </c>
      <c r="AN512" s="1295" t="str">
        <f t="shared" si="323"/>
        <v/>
      </c>
      <c r="AO512" s="1287" t="str">
        <f>IF(Table6[[#This Row],[input for case 3 normal mode]]="","",IF(AND(Table6[[#This Row],[label for case 3 calculation normal mode]]="LOQ",Table6[[#This Row],[GAP under assessment]]="N"),"",IF(Table6[[#This Row],[label description]]&gt;"",Table6[[#This Row],[label description]],"")))</f>
        <v/>
      </c>
      <c r="AP512" s="1287" t="str">
        <f>CONCATENATE(Table6[[#This Row],[label for case 3 calculation normal mode]],Table6[[#This Row],[label connector case 3 normal mode]],Table6[[#This Row],[label refinements case 3 normal mode]])</f>
        <v/>
      </c>
      <c r="AQ512" s="1287" t="str">
        <f>IF(Table6[[#This Row],[GAP under assessment]]="Y",Table6[[#This Row],[Input value normal mode case 1, 2a/2b,Po]],"")</f>
        <v/>
      </c>
      <c r="AR512" s="1287" t="str">
        <f>IF(Table6[[#This Row],[Input value refined mode case 1, 2a/2b,Po]]&gt;0,Table6[[#This Row],[concat label normal mode 1,2a/2b,Po ]],"")</f>
        <v/>
      </c>
      <c r="AS512" s="1303" t="str">
        <f>IF(Table6[[#This Row],[GAP under assessment]]="Y",Table6[[#This Row],[input for case 3 normal mode]],"")</f>
        <v/>
      </c>
      <c r="AT512" s="1287" t="str">
        <f>IF(Table6[[#This Row],[input for case 3 refined mode]]&gt;0,Table6[[#This Row],[concat label normal mode  case 3]],"")</f>
        <v/>
      </c>
      <c r="AU512" s="1295" t="str">
        <f>IF(Table6[[#This Row],[Input value normal mode case 1, 2a/2b,Po]]&gt;0,Table6[[#This Row],[Input value normal mode case 1, 2a/2b,Po]],Table6[[#This Row],[input for case 3 normal mode]])</f>
        <v/>
      </c>
      <c r="AV512" s="1295" t="str">
        <f>IF(Table6[[#This Row],[Input value normal mode case 1, 2a/2b,Po]]&gt;0,Table6[[#This Row],[concat label normal mode 1,2a/2b,Po ]],Table6[[#This Row],[concat label normal mode  case 3]])</f>
        <v/>
      </c>
      <c r="AW512" s="1295" t="str">
        <f>IF(Table6[[#This Row],[Input value refined mode case 1, 2a/2b,Po]]&gt;0,Table6[[#This Row],[Input value refined mode case 1, 2a/2b,Po]],Table6[[#This Row],[input for case 3 refined mode]])</f>
        <v/>
      </c>
      <c r="AX512" s="1295" t="str">
        <f>IF(Table6[[#This Row],[Input value refined mode case 1, 2a/2b,Po]]&gt;0,Table6[[#This Row],[concat label refined mode case 1,2a/2b,Po]],Table6[[#This Row],[label for case 3 calculation refined mode]])</f>
        <v/>
      </c>
      <c r="AY512" s="1287">
        <f t="shared" si="324"/>
        <v>0</v>
      </c>
      <c r="AZ512" s="1295" t="str">
        <f t="shared" si="325"/>
        <v/>
      </c>
      <c r="BA512" s="1295" t="str">
        <f t="shared" si="326"/>
        <v/>
      </c>
      <c r="BB512" s="1287" t="str">
        <f>IF(AND(Table6[[#This Row],[label for IESTI new normal mode]]="LOQ",Table6[[#This Row],[GAP under assessment]]="N"),"",IF(AND($H512&gt;0,$Y512&lt;&gt;1),"CF*PF",IF($H512&gt;0,"CF",IF($Y512&lt;&gt;1,"PF",""))))</f>
        <v/>
      </c>
      <c r="BC512" s="1296" t="s">
        <v>369</v>
      </c>
      <c r="BD512" s="1297"/>
      <c r="BE512" s="1304" t="str">
        <f>IF(Table6[[#This Row],[GAP under assessment]]="Y",Table6[[#This Row],[MRL*CF*PF or LOQ (if not under assessment and LOQ)]],"")</f>
        <v/>
      </c>
      <c r="BF512" s="1305" t="str">
        <f>IF(Table6[[#This Row],[Input for IESTI new refined mode]]&lt;&gt;"",CONCATENATE("MRL",Table6[[#This Row],[label connector case 3 normal mode]],Table6[[#This Row],[label refinements case 3 normal mode]]),"")</f>
        <v/>
      </c>
      <c r="BG512" s="1298" t="s">
        <v>585</v>
      </c>
      <c r="BH512" s="1306"/>
    </row>
    <row r="513" spans="1:60" s="11" customFormat="1" ht="12.75" customHeight="1" x14ac:dyDescent="0.2">
      <c r="A513" s="479" t="s">
        <v>570</v>
      </c>
      <c r="B513" s="480">
        <v>500050</v>
      </c>
      <c r="C513" s="547" t="s">
        <v>842</v>
      </c>
      <c r="D513" s="1261">
        <f>VLOOKUP(Table6[[#This Row],[Code no.]],$B$12:$D$390,3,FALSE)</f>
        <v>0</v>
      </c>
      <c r="E513" s="1264">
        <f t="shared" si="310"/>
        <v>0</v>
      </c>
      <c r="F513" s="1262" t="str">
        <f t="shared" si="308"/>
        <v/>
      </c>
      <c r="G513" s="1265">
        <f t="shared" si="311"/>
        <v>1</v>
      </c>
      <c r="H513" s="881"/>
      <c r="I513" s="880"/>
      <c r="J513" s="1269">
        <f t="shared" si="312"/>
        <v>0</v>
      </c>
      <c r="K513" s="1269">
        <f t="shared" si="313"/>
        <v>0</v>
      </c>
      <c r="L513" s="1270"/>
      <c r="M513" s="1271" t="str">
        <f t="shared" si="314"/>
        <v/>
      </c>
      <c r="N513" s="1273" t="str">
        <f t="shared" si="315"/>
        <v/>
      </c>
      <c r="O513" s="1273">
        <v>3</v>
      </c>
      <c r="P513" s="1273" t="str">
        <f>IF(OR($A$10=$BG$15,Results!$B$62=Results!$T$63),Table6[[#This Row],[label refine mode]],Table6[[#This Row],[label normal mode]])</f>
        <v/>
      </c>
      <c r="Q513" s="1257" t="str">
        <f>IF(OR($A$10=$BG$15,Results!$B$62=Results!$T$63),Table6[[#This Row],[input refined mode]],Table6[[#This Row],[Input normal mode]])</f>
        <v/>
      </c>
      <c r="R513" s="1275" t="str">
        <f>IF(Table6[[#This Row],[Acute RA IESTI new input value]]="","",CONCATENATE(Table6[[#This Row],[label for IESTI new normal mode]],Table6[[#This Row],[label connector IESTI new normal mode]],Table6[[#This Row],[label refinements normal mode]]))</f>
        <v/>
      </c>
      <c r="S513" s="1259">
        <f>IF(OR($A$10=$BG$15,Results!$B$62=Results!$T$63),Table6[[#This Row],[Input for IESTI new refined mode]],Table6[[#This Row],[Input for IESTI new normal mode]])</f>
        <v>0</v>
      </c>
      <c r="T513" s="888"/>
      <c r="U513" s="1283">
        <f t="shared" si="316"/>
        <v>0</v>
      </c>
      <c r="V513" s="1284" t="str">
        <f t="shared" si="317"/>
        <v/>
      </c>
      <c r="W513" s="1285">
        <f>IF($H513&gt;0,$H513,IF(Table6[[#This Row],[CFrisk for residue definition (applicable for unprocessed products)]]&gt;0,Table6[[#This Row],[CFrisk for residue definition (applicable for unprocessed products)]],1))</f>
        <v>1</v>
      </c>
      <c r="X513" s="1285">
        <v>1</v>
      </c>
      <c r="Y513" s="1285">
        <f t="shared" si="318"/>
        <v>1</v>
      </c>
      <c r="Z513" s="1285">
        <f t="shared" si="319"/>
        <v>1</v>
      </c>
      <c r="AA513" s="1285" t="str">
        <f>IF(Table6[[#This Row],[Post-harvest treatment]]="","","Y")</f>
        <v/>
      </c>
      <c r="AB513" s="1285" t="str">
        <f>IF(AND(Table6[[#This Row],[CF used for for calculation]]&lt;&gt;1,Table6[[#This Row],[PF for calculation]]&lt;&gt;1),"CF*PF",IF(Table6[[#This Row],[CF used for for calculation]]&lt;&gt;1,"CF",IF(Table6[[#This Row],[PF for calculation]]&lt;&gt;1,"PF","")))</f>
        <v/>
      </c>
      <c r="AC513" s="1300">
        <f>IF(AND(Table6[[#This Row],[LOQ RAC individual crop]]="Y",Table6[[#This Row],[GAP under assessment]]="N"),Table6[[#This Row],[MRL RAC individual commodity]],Table6[[#This Row],[MRL RAC individual commodity]]*Table6[[#This Row],[CF*PF for calculation]])</f>
        <v>0</v>
      </c>
      <c r="AD513" s="1287">
        <f t="shared" si="320"/>
        <v>0</v>
      </c>
      <c r="AE513" s="1287">
        <f t="shared" si="321"/>
        <v>0</v>
      </c>
      <c r="AF513" s="1288">
        <f>Table6[[#This Row],[IESTI case]]</f>
        <v>3</v>
      </c>
      <c r="AG51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13" s="1302" t="str">
        <f>IF(Table6[[#This Row],[Input value normal mode case 1, 2a/2b,Po]]&gt;0,
              IF(Table6[[#This Row],[Highest residue * CF*PF]]&gt;"","HR-RAC",
                             IF(Table6[[#This Row],[LOQ RAC individual crop]]="Y","LOQ","MRL")),"")</f>
        <v/>
      </c>
      <c r="AI513" s="1302" t="str">
        <f t="shared" si="322"/>
        <v/>
      </c>
      <c r="AJ513" s="1302" t="str">
        <f>IF(Table6[[#This Row],[Input value normal mode case 1, 2a/2b,Po]]&gt;0,IF(Table6[[#This Row],[label description]]&gt;"",Table6[[#This Row],[label description]],""),"")</f>
        <v/>
      </c>
      <c r="AK513" s="1302" t="str">
        <f>CONCATENATE(Table6[[#This Row],[label for IESTI normal mode case 1, 2a/2b,Po]],Table6[[#This Row],[label connector case  normal mode]],Table6[[#This Row],[label refinements normal mode case 1, 2a/2b,Po]])</f>
        <v/>
      </c>
      <c r="AL513" s="1287" t="str">
        <f>IF(AND(Table6[[#This Row],[Case for acute RA children / adults]]=3,Table6[[#This Row],[Post-harvest treatment]]=""),IF(AND(Table6[[#This Row],[LOQ RAC individual crop]]="Y",M512="N"),Table6[[#This Row],[MRL RAC individual commodity]],IF(Table6[[#This Row],[Median residue*CF*PF]]&gt;0,Table6[[#This Row],[Median residue*CF*PF]],IF(Table6[[#This Row],[MRL*CF*PF or LOQ (if not under assessment and LOQ)]]&gt;0,Table6[[#This Row],[MRL*CF*PF or LOQ (if not under assessment and LOQ)]],""))),"")</f>
        <v/>
      </c>
      <c r="AM513" s="1295" t="str">
        <f>IF(Table6[[#This Row],[input for case 3 normal mode]]&gt;0,IF(Table6[[#This Row],[Median residue*CF*PF]]&gt;0,"STMR-RAC",IF(AND($AC513&gt;0,NOT(V513="Y")),"MRL",IF($V513="Y","LOQ",""))),"")</f>
        <v/>
      </c>
      <c r="AN513" s="1295" t="str">
        <f t="shared" si="323"/>
        <v/>
      </c>
      <c r="AO513" s="1287" t="str">
        <f>IF(Table6[[#This Row],[input for case 3 normal mode]]="","",IF(AND(Table6[[#This Row],[label for case 3 calculation normal mode]]="LOQ",Table6[[#This Row],[GAP under assessment]]="N"),"",IF(Table6[[#This Row],[label description]]&gt;"",Table6[[#This Row],[label description]],"")))</f>
        <v/>
      </c>
      <c r="AP513" s="1287" t="str">
        <f>CONCATENATE(Table6[[#This Row],[label for case 3 calculation normal mode]],Table6[[#This Row],[label connector case 3 normal mode]],Table6[[#This Row],[label refinements case 3 normal mode]])</f>
        <v/>
      </c>
      <c r="AQ513" s="1287" t="str">
        <f>IF(Table6[[#This Row],[GAP under assessment]]="Y",Table6[[#This Row],[Input value normal mode case 1, 2a/2b,Po]],"")</f>
        <v/>
      </c>
      <c r="AR513" s="1287" t="str">
        <f>IF(Table6[[#This Row],[Input value refined mode case 1, 2a/2b,Po]]&gt;0,Table6[[#This Row],[concat label normal mode 1,2a/2b,Po ]],"")</f>
        <v/>
      </c>
      <c r="AS513" s="1303" t="str">
        <f>IF(Table6[[#This Row],[GAP under assessment]]="Y",Table6[[#This Row],[input for case 3 normal mode]],"")</f>
        <v/>
      </c>
      <c r="AT513" s="1287" t="str">
        <f>IF(Table6[[#This Row],[input for case 3 refined mode]]&gt;0,Table6[[#This Row],[concat label normal mode  case 3]],"")</f>
        <v/>
      </c>
      <c r="AU513" s="1295" t="str">
        <f>IF(Table6[[#This Row],[Input value normal mode case 1, 2a/2b,Po]]&gt;0,Table6[[#This Row],[Input value normal mode case 1, 2a/2b,Po]],Table6[[#This Row],[input for case 3 normal mode]])</f>
        <v/>
      </c>
      <c r="AV513" s="1295" t="str">
        <f>IF(Table6[[#This Row],[Input value normal mode case 1, 2a/2b,Po]]&gt;0,Table6[[#This Row],[concat label normal mode 1,2a/2b,Po ]],Table6[[#This Row],[concat label normal mode  case 3]])</f>
        <v/>
      </c>
      <c r="AW513" s="1295" t="str">
        <f>IF(Table6[[#This Row],[Input value refined mode case 1, 2a/2b,Po]]&gt;0,Table6[[#This Row],[Input value refined mode case 1, 2a/2b,Po]],Table6[[#This Row],[input for case 3 refined mode]])</f>
        <v/>
      </c>
      <c r="AX513" s="1295" t="str">
        <f>IF(Table6[[#This Row],[Input value refined mode case 1, 2a/2b,Po]]&gt;0,Table6[[#This Row],[concat label refined mode case 1,2a/2b,Po]],Table6[[#This Row],[label for case 3 calculation refined mode]])</f>
        <v/>
      </c>
      <c r="AY513" s="1287">
        <f t="shared" si="324"/>
        <v>0</v>
      </c>
      <c r="AZ513" s="1295" t="str">
        <f t="shared" si="325"/>
        <v/>
      </c>
      <c r="BA513" s="1295" t="str">
        <f t="shared" si="326"/>
        <v/>
      </c>
      <c r="BB513" s="1287" t="str">
        <f>IF(AND(Table6[[#This Row],[label for IESTI new normal mode]]="LOQ",Table6[[#This Row],[GAP under assessment]]="N"),"",IF(AND($H513&gt;0,$Y513&lt;&gt;1),"CF*PF",IF($H513&gt;0,"CF",IF($Y513&lt;&gt;1,"PF",""))))</f>
        <v/>
      </c>
      <c r="BC513" s="1296"/>
      <c r="BD513" s="1297"/>
      <c r="BE513" s="1304" t="str">
        <f>IF(Table6[[#This Row],[GAP under assessment]]="Y",Table6[[#This Row],[MRL*CF*PF or LOQ (if not under assessment and LOQ)]],"")</f>
        <v/>
      </c>
      <c r="BF513" s="1305" t="str">
        <f>IF(Table6[[#This Row],[Input for IESTI new refined mode]]&lt;&gt;"",CONCATENATE("MRL",Table6[[#This Row],[label connector case 3 normal mode]],Table6[[#This Row],[label refinements case 3 normal mode]]),"")</f>
        <v/>
      </c>
      <c r="BG513" s="1298" t="s">
        <v>570</v>
      </c>
      <c r="BH513" s="1306"/>
    </row>
    <row r="514" spans="1:60" s="11" customFormat="1" ht="12.75" customHeight="1" x14ac:dyDescent="0.2">
      <c r="A514" s="479" t="s">
        <v>587</v>
      </c>
      <c r="B514" s="480">
        <v>500060</v>
      </c>
      <c r="C514" s="547" t="s">
        <v>430</v>
      </c>
      <c r="D514" s="1261">
        <f>VLOOKUP(Table6[[#This Row],[Code no.]],$B$12:$D$390,3,FALSE)</f>
        <v>0</v>
      </c>
      <c r="E514" s="1264">
        <f t="shared" si="310"/>
        <v>0</v>
      </c>
      <c r="F514" s="1262" t="str">
        <f t="shared" si="308"/>
        <v/>
      </c>
      <c r="G514" s="1265">
        <f t="shared" si="311"/>
        <v>1</v>
      </c>
      <c r="H514" s="881"/>
      <c r="I514" s="882"/>
      <c r="J514" s="1269">
        <f t="shared" si="312"/>
        <v>0</v>
      </c>
      <c r="K514" s="1269">
        <f t="shared" si="313"/>
        <v>0</v>
      </c>
      <c r="L514" s="1270"/>
      <c r="M514" s="1271" t="str">
        <f t="shared" si="314"/>
        <v/>
      </c>
      <c r="N514" s="1273" t="str">
        <f t="shared" si="315"/>
        <v/>
      </c>
      <c r="O514" s="1273">
        <v>3</v>
      </c>
      <c r="P514" s="1273" t="str">
        <f>IF(OR($A$10=$BG$15,Results!$B$62=Results!$T$63),Table6[[#This Row],[label refine mode]],Table6[[#This Row],[label normal mode]])</f>
        <v/>
      </c>
      <c r="Q514" s="1257" t="str">
        <f>IF(OR($A$10=$BG$15,Results!$B$62=Results!$T$63),Table6[[#This Row],[input refined mode]],Table6[[#This Row],[Input normal mode]])</f>
        <v/>
      </c>
      <c r="R514" s="1275" t="str">
        <f>IF(Table6[[#This Row],[Acute RA IESTI new input value]]="","",CONCATENATE(Table6[[#This Row],[label for IESTI new normal mode]],Table6[[#This Row],[label connector IESTI new normal mode]],Table6[[#This Row],[label refinements normal mode]]))</f>
        <v/>
      </c>
      <c r="S514" s="1259">
        <f>IF(OR($A$10=$BG$15,Results!$B$62=Results!$T$63),Table6[[#This Row],[Input for IESTI new refined mode]],Table6[[#This Row],[Input for IESTI new normal mode]])</f>
        <v>0</v>
      </c>
      <c r="T514" s="888"/>
      <c r="U514" s="1283">
        <f t="shared" si="316"/>
        <v>0</v>
      </c>
      <c r="V514" s="1284" t="str">
        <f t="shared" si="317"/>
        <v/>
      </c>
      <c r="W514" s="1285">
        <f>IF($H514&gt;0,$H514,IF(Table6[[#This Row],[CFrisk for residue definition (applicable for unprocessed products)]]&gt;0,Table6[[#This Row],[CFrisk for residue definition (applicable for unprocessed products)]],1))</f>
        <v>1</v>
      </c>
      <c r="X514" s="1285">
        <v>1</v>
      </c>
      <c r="Y514" s="1285">
        <v>0.4</v>
      </c>
      <c r="Z514" s="1285">
        <f t="shared" si="319"/>
        <v>0.4</v>
      </c>
      <c r="AA514" s="1285" t="str">
        <f>IF(Table6[[#This Row],[Post-harvest treatment]]="","","Y")</f>
        <v/>
      </c>
      <c r="AB514" s="1285" t="str">
        <f>IF(AND(Table6[[#This Row],[CF used for for calculation]]&lt;&gt;1,Table6[[#This Row],[PF for calculation]]&lt;&gt;1),"CF*PF",IF(Table6[[#This Row],[CF used for for calculation]]&lt;&gt;1,"CF",IF(Table6[[#This Row],[PF for calculation]]&lt;&gt;1,"PF","")))</f>
        <v>PF</v>
      </c>
      <c r="AC514" s="1300">
        <f>IF(AND(Table6[[#This Row],[LOQ RAC individual crop]]="Y",Table6[[#This Row],[GAP under assessment]]="N"),Table6[[#This Row],[MRL RAC individual commodity]],Table6[[#This Row],[MRL RAC individual commodity]]*Table6[[#This Row],[CF*PF for calculation]])</f>
        <v>0</v>
      </c>
      <c r="AD514" s="1287">
        <f t="shared" si="320"/>
        <v>0</v>
      </c>
      <c r="AE514" s="1287">
        <f t="shared" si="321"/>
        <v>0</v>
      </c>
      <c r="AF514" s="1288">
        <f>Table6[[#This Row],[IESTI case]]</f>
        <v>3</v>
      </c>
      <c r="AG51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14" s="1302" t="str">
        <f>IF(Table6[[#This Row],[Input value normal mode case 1, 2a/2b,Po]]&gt;0,
              IF(Table6[[#This Row],[Highest residue * CF*PF]]&gt;"","HR-RAC",
                             IF(Table6[[#This Row],[LOQ RAC individual crop]]="Y","LOQ","MRL")),"")</f>
        <v/>
      </c>
      <c r="AI514" s="1302" t="str">
        <f t="shared" si="322"/>
        <v/>
      </c>
      <c r="AJ514" s="1302" t="str">
        <f>IF(Table6[[#This Row],[Input value normal mode case 1, 2a/2b,Po]]&gt;0,IF(Table6[[#This Row],[label description]]&gt;"",Table6[[#This Row],[label description]],""),"")</f>
        <v/>
      </c>
      <c r="AK514" s="1302" t="str">
        <f>CONCATENATE(Table6[[#This Row],[label for IESTI normal mode case 1, 2a/2b,Po]],Table6[[#This Row],[label connector case  normal mode]],Table6[[#This Row],[label refinements normal mode case 1, 2a/2b,Po]])</f>
        <v/>
      </c>
      <c r="AL514" s="1287" t="str">
        <f>IF(AND(Table6[[#This Row],[Case for acute RA children / adults]]=3,Table6[[#This Row],[Post-harvest treatment]]=""),IF(AND(Table6[[#This Row],[LOQ RAC individual crop]]="Y",M513="N"),Table6[[#This Row],[MRL RAC individual commodity]],IF(Table6[[#This Row],[Median residue*CF*PF]]&gt;0,Table6[[#This Row],[Median residue*CF*PF]],IF(Table6[[#This Row],[MRL*CF*PF or LOQ (if not under assessment and LOQ)]]&gt;0,Table6[[#This Row],[MRL*CF*PF or LOQ (if not under assessment and LOQ)]],""))),"")</f>
        <v/>
      </c>
      <c r="AM514" s="1295" t="str">
        <f>IF(Table6[[#This Row],[input for case 3 normal mode]]&gt;0,IF(Table6[[#This Row],[Median residue*CF*PF]]&gt;0,"STMR-RAC",IF(AND($AC514&gt;0,NOT(V514="Y")),"MRL",IF($V514="Y","LOQ",""))),"")</f>
        <v/>
      </c>
      <c r="AN514" s="1295" t="str">
        <f t="shared" si="323"/>
        <v/>
      </c>
      <c r="AO514" s="1287" t="str">
        <f>IF(Table6[[#This Row],[input for case 3 normal mode]]="","",IF(AND(Table6[[#This Row],[label for case 3 calculation normal mode]]="LOQ",Table6[[#This Row],[GAP under assessment]]="N"),"",IF(Table6[[#This Row],[label description]]&gt;"",Table6[[#This Row],[label description]],"")))</f>
        <v/>
      </c>
      <c r="AP514" s="1287" t="str">
        <f>CONCATENATE(Table6[[#This Row],[label for case 3 calculation normal mode]],Table6[[#This Row],[label connector case 3 normal mode]],Table6[[#This Row],[label refinements case 3 normal mode]])</f>
        <v/>
      </c>
      <c r="AQ514" s="1287" t="str">
        <f>IF(Table6[[#This Row],[GAP under assessment]]="Y",Table6[[#This Row],[Input value normal mode case 1, 2a/2b,Po]],"")</f>
        <v/>
      </c>
      <c r="AR514" s="1287" t="str">
        <f>IF(Table6[[#This Row],[Input value refined mode case 1, 2a/2b,Po]]&gt;0,Table6[[#This Row],[concat label normal mode 1,2a/2b,Po ]],"")</f>
        <v/>
      </c>
      <c r="AS514" s="1303" t="str">
        <f>IF(Table6[[#This Row],[GAP under assessment]]="Y",Table6[[#This Row],[input for case 3 normal mode]],"")</f>
        <v/>
      </c>
      <c r="AT514" s="1287" t="str">
        <f>IF(Table6[[#This Row],[input for case 3 refined mode]]&gt;0,Table6[[#This Row],[concat label normal mode  case 3]],"")</f>
        <v/>
      </c>
      <c r="AU514" s="1295" t="str">
        <f>IF(Table6[[#This Row],[Input value normal mode case 1, 2a/2b,Po]]&gt;0,Table6[[#This Row],[Input value normal mode case 1, 2a/2b,Po]],Table6[[#This Row],[input for case 3 normal mode]])</f>
        <v/>
      </c>
      <c r="AV514" s="1295" t="str">
        <f>IF(Table6[[#This Row],[Input value normal mode case 1, 2a/2b,Po]]&gt;0,Table6[[#This Row],[concat label normal mode 1,2a/2b,Po ]],Table6[[#This Row],[concat label normal mode  case 3]])</f>
        <v/>
      </c>
      <c r="AW514" s="1295" t="str">
        <f>IF(Table6[[#This Row],[Input value refined mode case 1, 2a/2b,Po]]&gt;0,Table6[[#This Row],[Input value refined mode case 1, 2a/2b,Po]],Table6[[#This Row],[input for case 3 refined mode]])</f>
        <v/>
      </c>
      <c r="AX514" s="1295" t="str">
        <f>IF(Table6[[#This Row],[Input value refined mode case 1, 2a/2b,Po]]&gt;0,Table6[[#This Row],[concat label refined mode case 1,2a/2b,Po]],Table6[[#This Row],[label for case 3 calculation refined mode]])</f>
        <v/>
      </c>
      <c r="AY514" s="1287">
        <f t="shared" si="324"/>
        <v>0</v>
      </c>
      <c r="AZ514" s="1295" t="str">
        <f t="shared" si="325"/>
        <v/>
      </c>
      <c r="BA514" s="1295" t="str">
        <f t="shared" si="326"/>
        <v/>
      </c>
      <c r="BB514" s="1287" t="str">
        <f>IF(AND(Table6[[#This Row],[label for IESTI new normal mode]]="LOQ",Table6[[#This Row],[GAP under assessment]]="N"),"",IF(AND($H514&gt;0,$Y514&lt;&gt;1),"CF*PF",IF($H514&gt;0,"CF",IF($Y514&lt;&gt;1,"PF",""))))</f>
        <v>PF</v>
      </c>
      <c r="BC514" s="1296" t="s">
        <v>369</v>
      </c>
      <c r="BD514" s="1297"/>
      <c r="BE514" s="1304" t="str">
        <f>IF(Table6[[#This Row],[GAP under assessment]]="Y",Table6[[#This Row],[MRL*CF*PF or LOQ (if not under assessment and LOQ)]],"")</f>
        <v/>
      </c>
      <c r="BF514" s="1305" t="str">
        <f>IF(Table6[[#This Row],[Input for IESTI new refined mode]]&lt;&gt;"",CONCATENATE("MRL",Table6[[#This Row],[label connector case 3 normal mode]],Table6[[#This Row],[label refinements case 3 normal mode]]),"")</f>
        <v/>
      </c>
      <c r="BG514" s="1298" t="s">
        <v>587</v>
      </c>
      <c r="BH514" s="1306"/>
    </row>
    <row r="515" spans="1:60" s="11" customFormat="1" ht="12.75" customHeight="1" x14ac:dyDescent="0.2">
      <c r="A515" s="479" t="s">
        <v>487</v>
      </c>
      <c r="B515" s="480">
        <v>500070</v>
      </c>
      <c r="C515" s="547" t="s">
        <v>431</v>
      </c>
      <c r="D515" s="1261">
        <f>VLOOKUP(Table6[[#This Row],[Code no.]],$B$12:$D$390,3,FALSE)</f>
        <v>0</v>
      </c>
      <c r="E515" s="1264">
        <f t="shared" si="310"/>
        <v>0</v>
      </c>
      <c r="F515" s="1262" t="str">
        <f t="shared" si="308"/>
        <v/>
      </c>
      <c r="G515" s="1265">
        <f t="shared" si="311"/>
        <v>1</v>
      </c>
      <c r="H515" s="881"/>
      <c r="I515" s="880"/>
      <c r="J515" s="1269">
        <f t="shared" si="312"/>
        <v>0</v>
      </c>
      <c r="K515" s="1269">
        <f t="shared" si="313"/>
        <v>0</v>
      </c>
      <c r="L515" s="1270"/>
      <c r="M515" s="1271" t="str">
        <f t="shared" si="314"/>
        <v/>
      </c>
      <c r="N515" s="1273" t="str">
        <f t="shared" si="315"/>
        <v/>
      </c>
      <c r="O515" s="1273">
        <v>3</v>
      </c>
      <c r="P515" s="1273" t="str">
        <f>IF(OR($A$10=$BG$15,Results!$B$62=Results!$T$63),Table6[[#This Row],[label refine mode]],Table6[[#This Row],[label normal mode]])</f>
        <v/>
      </c>
      <c r="Q515" s="1257" t="str">
        <f>IF(OR($A$10=$BG$15,Results!$B$62=Results!$T$63),Table6[[#This Row],[input refined mode]],Table6[[#This Row],[Input normal mode]])</f>
        <v/>
      </c>
      <c r="R515" s="1275" t="str">
        <f>IF(Table6[[#This Row],[Acute RA IESTI new input value]]="","",CONCATENATE(Table6[[#This Row],[label for IESTI new normal mode]],Table6[[#This Row],[label connector IESTI new normal mode]],Table6[[#This Row],[label refinements normal mode]]))</f>
        <v/>
      </c>
      <c r="S515" s="1259">
        <f>IF(OR($A$10=$BG$15,Results!$B$62=Results!$T$63),Table6[[#This Row],[Input for IESTI new refined mode]],Table6[[#This Row],[Input for IESTI new normal mode]])</f>
        <v>0</v>
      </c>
      <c r="T515" s="888"/>
      <c r="U515" s="1283">
        <f t="shared" si="316"/>
        <v>0</v>
      </c>
      <c r="V515" s="1284" t="str">
        <f t="shared" si="317"/>
        <v/>
      </c>
      <c r="W515" s="1285">
        <f>IF($H515&gt;0,$H515,IF(Table6[[#This Row],[CFrisk for residue definition (applicable for unprocessed products)]]&gt;0,Table6[[#This Row],[CFrisk for residue definition (applicable for unprocessed products)]],1))</f>
        <v>1</v>
      </c>
      <c r="X515" s="1285">
        <v>1</v>
      </c>
      <c r="Y515" s="1285">
        <f t="shared" si="318"/>
        <v>1</v>
      </c>
      <c r="Z515" s="1285">
        <f t="shared" si="319"/>
        <v>1</v>
      </c>
      <c r="AA515" s="1285" t="str">
        <f>IF(Table6[[#This Row],[Post-harvest treatment]]="","","Y")</f>
        <v/>
      </c>
      <c r="AB515" s="1285" t="str">
        <f>IF(AND(Table6[[#This Row],[CF used for for calculation]]&lt;&gt;1,Table6[[#This Row],[PF for calculation]]&lt;&gt;1),"CF*PF",IF(Table6[[#This Row],[CF used for for calculation]]&lt;&gt;1,"CF",IF(Table6[[#This Row],[PF for calculation]]&lt;&gt;1,"PF","")))</f>
        <v/>
      </c>
      <c r="AC515" s="1300">
        <f>IF(AND(Table6[[#This Row],[LOQ RAC individual crop]]="Y",Table6[[#This Row],[GAP under assessment]]="N"),Table6[[#This Row],[MRL RAC individual commodity]],Table6[[#This Row],[MRL RAC individual commodity]]*Table6[[#This Row],[CF*PF for calculation]])</f>
        <v>0</v>
      </c>
      <c r="AD515" s="1287">
        <f t="shared" si="320"/>
        <v>0</v>
      </c>
      <c r="AE515" s="1287">
        <f t="shared" si="321"/>
        <v>0</v>
      </c>
      <c r="AF515" s="1288">
        <f>Table6[[#This Row],[IESTI case]]</f>
        <v>3</v>
      </c>
      <c r="AG51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15" s="1302" t="str">
        <f>IF(Table6[[#This Row],[Input value normal mode case 1, 2a/2b,Po]]&gt;0,
              IF(Table6[[#This Row],[Highest residue * CF*PF]]&gt;"","HR-RAC",
                             IF(Table6[[#This Row],[LOQ RAC individual crop]]="Y","LOQ","MRL")),"")</f>
        <v/>
      </c>
      <c r="AI515" s="1302" t="str">
        <f t="shared" si="322"/>
        <v/>
      </c>
      <c r="AJ515" s="1302" t="str">
        <f>IF(Table6[[#This Row],[Input value normal mode case 1, 2a/2b,Po]]&gt;0,IF(Table6[[#This Row],[label description]]&gt;"",Table6[[#This Row],[label description]],""),"")</f>
        <v/>
      </c>
      <c r="AK515" s="1302" t="str">
        <f>CONCATENATE(Table6[[#This Row],[label for IESTI normal mode case 1, 2a/2b,Po]],Table6[[#This Row],[label connector case  normal mode]],Table6[[#This Row],[label refinements normal mode case 1, 2a/2b,Po]])</f>
        <v/>
      </c>
      <c r="AL515" s="1287" t="str">
        <f>IF(AND(Table6[[#This Row],[Case for acute RA children / adults]]=3,Table6[[#This Row],[Post-harvest treatment]]=""),IF(AND(Table6[[#This Row],[LOQ RAC individual crop]]="Y",M514="N"),Table6[[#This Row],[MRL RAC individual commodity]],IF(Table6[[#This Row],[Median residue*CF*PF]]&gt;0,Table6[[#This Row],[Median residue*CF*PF]],IF(Table6[[#This Row],[MRL*CF*PF or LOQ (if not under assessment and LOQ)]]&gt;0,Table6[[#This Row],[MRL*CF*PF or LOQ (if not under assessment and LOQ)]],""))),"")</f>
        <v/>
      </c>
      <c r="AM515" s="1295" t="str">
        <f>IF(Table6[[#This Row],[input for case 3 normal mode]]&gt;0,IF(Table6[[#This Row],[Median residue*CF*PF]]&gt;0,"STMR-RAC",IF(AND($AC515&gt;0,NOT(V515="Y")),"MRL",IF($V515="Y","LOQ",""))),"")</f>
        <v/>
      </c>
      <c r="AN515" s="1295" t="str">
        <f t="shared" si="323"/>
        <v/>
      </c>
      <c r="AO515" s="1287" t="str">
        <f>IF(Table6[[#This Row],[input for case 3 normal mode]]="","",IF(AND(Table6[[#This Row],[label for case 3 calculation normal mode]]="LOQ",Table6[[#This Row],[GAP under assessment]]="N"),"",IF(Table6[[#This Row],[label description]]&gt;"",Table6[[#This Row],[label description]],"")))</f>
        <v/>
      </c>
      <c r="AP515" s="1287" t="str">
        <f>CONCATENATE(Table6[[#This Row],[label for case 3 calculation normal mode]],Table6[[#This Row],[label connector case 3 normal mode]],Table6[[#This Row],[label refinements case 3 normal mode]])</f>
        <v/>
      </c>
      <c r="AQ515" s="1287" t="str">
        <f>IF(Table6[[#This Row],[GAP under assessment]]="Y",Table6[[#This Row],[Input value normal mode case 1, 2a/2b,Po]],"")</f>
        <v/>
      </c>
      <c r="AR515" s="1287" t="str">
        <f>IF(Table6[[#This Row],[Input value refined mode case 1, 2a/2b,Po]]&gt;0,Table6[[#This Row],[concat label normal mode 1,2a/2b,Po ]],"")</f>
        <v/>
      </c>
      <c r="AS515" s="1303" t="str">
        <f>IF(Table6[[#This Row],[GAP under assessment]]="Y",Table6[[#This Row],[input for case 3 normal mode]],"")</f>
        <v/>
      </c>
      <c r="AT515" s="1287" t="str">
        <f>IF(Table6[[#This Row],[input for case 3 refined mode]]&gt;0,Table6[[#This Row],[concat label normal mode  case 3]],"")</f>
        <v/>
      </c>
      <c r="AU515" s="1295" t="str">
        <f>IF(Table6[[#This Row],[Input value normal mode case 1, 2a/2b,Po]]&gt;0,Table6[[#This Row],[Input value normal mode case 1, 2a/2b,Po]],Table6[[#This Row],[input for case 3 normal mode]])</f>
        <v/>
      </c>
      <c r="AV515" s="1295" t="str">
        <f>IF(Table6[[#This Row],[Input value normal mode case 1, 2a/2b,Po]]&gt;0,Table6[[#This Row],[concat label normal mode 1,2a/2b,Po ]],Table6[[#This Row],[concat label normal mode  case 3]])</f>
        <v/>
      </c>
      <c r="AW515" s="1295" t="str">
        <f>IF(Table6[[#This Row],[Input value refined mode case 1, 2a/2b,Po]]&gt;0,Table6[[#This Row],[Input value refined mode case 1, 2a/2b,Po]],Table6[[#This Row],[input for case 3 refined mode]])</f>
        <v/>
      </c>
      <c r="AX515" s="1295" t="str">
        <f>IF(Table6[[#This Row],[Input value refined mode case 1, 2a/2b,Po]]&gt;0,Table6[[#This Row],[concat label refined mode case 1,2a/2b,Po]],Table6[[#This Row],[label for case 3 calculation refined mode]])</f>
        <v/>
      </c>
      <c r="AY515" s="1287">
        <f t="shared" si="324"/>
        <v>0</v>
      </c>
      <c r="AZ515" s="1295" t="str">
        <f t="shared" si="325"/>
        <v/>
      </c>
      <c r="BA515" s="1295" t="str">
        <f t="shared" si="326"/>
        <v/>
      </c>
      <c r="BB515" s="1287" t="str">
        <f>IF(AND(Table6[[#This Row],[label for IESTI new normal mode]]="LOQ",Table6[[#This Row],[GAP under assessment]]="N"),"",IF(AND($H515&gt;0,$Y515&lt;&gt;1),"CF*PF",IF($H515&gt;0,"CF",IF($Y515&lt;&gt;1,"PF",""))))</f>
        <v/>
      </c>
      <c r="BC515" s="1296" t="s">
        <v>369</v>
      </c>
      <c r="BD515" s="1297"/>
      <c r="BE515" s="1304" t="str">
        <f>IF(Table6[[#This Row],[GAP under assessment]]="Y",Table6[[#This Row],[MRL*CF*PF or LOQ (if not under assessment and LOQ)]],"")</f>
        <v/>
      </c>
      <c r="BF515" s="1305" t="str">
        <f>IF(Table6[[#This Row],[Input for IESTI new refined mode]]&lt;&gt;"",CONCATENATE("MRL",Table6[[#This Row],[label connector case 3 normal mode]],Table6[[#This Row],[label refinements case 3 normal mode]]),"")</f>
        <v/>
      </c>
      <c r="BG515" s="1298" t="s">
        <v>487</v>
      </c>
      <c r="BH515" s="1306"/>
    </row>
    <row r="516" spans="1:60" s="11" customFormat="1" ht="12.75" customHeight="1" x14ac:dyDescent="0.2">
      <c r="A516" s="479" t="s">
        <v>571</v>
      </c>
      <c r="B516" s="480">
        <v>500070</v>
      </c>
      <c r="C516" s="547" t="s">
        <v>408</v>
      </c>
      <c r="D516" s="1261">
        <f>VLOOKUP(Table6[[#This Row],[Code no.]],$B$12:$D$390,3,FALSE)</f>
        <v>0</v>
      </c>
      <c r="E516" s="1264">
        <f t="shared" si="310"/>
        <v>0</v>
      </c>
      <c r="F516" s="1262" t="str">
        <f t="shared" si="308"/>
        <v/>
      </c>
      <c r="G516" s="1265">
        <f t="shared" si="311"/>
        <v>1</v>
      </c>
      <c r="H516" s="881"/>
      <c r="I516" s="880"/>
      <c r="J516" s="1269">
        <f t="shared" si="312"/>
        <v>0</v>
      </c>
      <c r="K516" s="1269">
        <f t="shared" si="313"/>
        <v>0</v>
      </c>
      <c r="L516" s="1270"/>
      <c r="M516" s="1271" t="str">
        <f t="shared" si="314"/>
        <v/>
      </c>
      <c r="N516" s="1273" t="str">
        <f t="shared" si="315"/>
        <v/>
      </c>
      <c r="O516" s="1273">
        <v>3</v>
      </c>
      <c r="P516" s="1273" t="str">
        <f>IF(OR($A$10=$BG$15,Results!$B$62=Results!$T$63),Table6[[#This Row],[label refine mode]],Table6[[#This Row],[label normal mode]])</f>
        <v/>
      </c>
      <c r="Q516" s="1257" t="str">
        <f>IF(OR($A$10=$BG$15,Results!$B$62=Results!$T$63),Table6[[#This Row],[input refined mode]],Table6[[#This Row],[Input normal mode]])</f>
        <v/>
      </c>
      <c r="R516" s="1275" t="str">
        <f>IF(Table6[[#This Row],[Acute RA IESTI new input value]]="","",CONCATENATE(Table6[[#This Row],[label for IESTI new normal mode]],Table6[[#This Row],[label connector IESTI new normal mode]],Table6[[#This Row],[label refinements normal mode]]))</f>
        <v/>
      </c>
      <c r="S516" s="1259">
        <f>IF(OR($A$10=$BG$15,Results!$B$62=Results!$T$63),Table6[[#This Row],[Input for IESTI new refined mode]],Table6[[#This Row],[Input for IESTI new normal mode]])</f>
        <v>0</v>
      </c>
      <c r="T516" s="888"/>
      <c r="U516" s="1283">
        <f t="shared" si="316"/>
        <v>0</v>
      </c>
      <c r="V516" s="1284" t="str">
        <f t="shared" si="317"/>
        <v/>
      </c>
      <c r="W516" s="1285">
        <f>IF($H516&gt;0,$H516,IF(Table6[[#This Row],[CFrisk for residue definition (applicable for unprocessed products)]]&gt;0,Table6[[#This Row],[CFrisk for residue definition (applicable for unprocessed products)]],1))</f>
        <v>1</v>
      </c>
      <c r="X516" s="1285">
        <v>1</v>
      </c>
      <c r="Y516" s="1285">
        <f t="shared" si="318"/>
        <v>1</v>
      </c>
      <c r="Z516" s="1285">
        <f t="shared" si="319"/>
        <v>1</v>
      </c>
      <c r="AA516" s="1285" t="str">
        <f>IF(Table6[[#This Row],[Post-harvest treatment]]="","","Y")</f>
        <v/>
      </c>
      <c r="AB516" s="1285" t="str">
        <f>IF(AND(Table6[[#This Row],[CF used for for calculation]]&lt;&gt;1,Table6[[#This Row],[PF for calculation]]&lt;&gt;1),"CF*PF",IF(Table6[[#This Row],[CF used for for calculation]]&lt;&gt;1,"CF",IF(Table6[[#This Row],[PF for calculation]]&lt;&gt;1,"PF","")))</f>
        <v/>
      </c>
      <c r="AC516" s="1300">
        <f>IF(AND(Table6[[#This Row],[LOQ RAC individual crop]]="Y",Table6[[#This Row],[GAP under assessment]]="N"),Table6[[#This Row],[MRL RAC individual commodity]],Table6[[#This Row],[MRL RAC individual commodity]]*Table6[[#This Row],[CF*PF for calculation]])</f>
        <v>0</v>
      </c>
      <c r="AD516" s="1287">
        <f t="shared" si="320"/>
        <v>0</v>
      </c>
      <c r="AE516" s="1287">
        <f t="shared" si="321"/>
        <v>0</v>
      </c>
      <c r="AF516" s="1288">
        <f>Table6[[#This Row],[IESTI case]]</f>
        <v>3</v>
      </c>
      <c r="AG51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16" s="1302" t="str">
        <f>IF(Table6[[#This Row],[Input value normal mode case 1, 2a/2b,Po]]&gt;0,
              IF(Table6[[#This Row],[Highest residue * CF*PF]]&gt;"","HR-RAC",
                             IF(Table6[[#This Row],[LOQ RAC individual crop]]="Y","LOQ","MRL")),"")</f>
        <v/>
      </c>
      <c r="AI516" s="1302" t="str">
        <f t="shared" si="322"/>
        <v/>
      </c>
      <c r="AJ516" s="1302" t="str">
        <f>IF(Table6[[#This Row],[Input value normal mode case 1, 2a/2b,Po]]&gt;0,IF(Table6[[#This Row],[label description]]&gt;"",Table6[[#This Row],[label description]],""),"")</f>
        <v/>
      </c>
      <c r="AK516" s="1302" t="str">
        <f>CONCATENATE(Table6[[#This Row],[label for IESTI normal mode case 1, 2a/2b,Po]],Table6[[#This Row],[label connector case  normal mode]],Table6[[#This Row],[label refinements normal mode case 1, 2a/2b,Po]])</f>
        <v/>
      </c>
      <c r="AL516" s="1287" t="str">
        <f>IF(AND(Table6[[#This Row],[Case for acute RA children / adults]]=3,Table6[[#This Row],[Post-harvest treatment]]=""),IF(AND(Table6[[#This Row],[LOQ RAC individual crop]]="Y",M515="N"),Table6[[#This Row],[MRL RAC individual commodity]],IF(Table6[[#This Row],[Median residue*CF*PF]]&gt;0,Table6[[#This Row],[Median residue*CF*PF]],IF(Table6[[#This Row],[MRL*CF*PF or LOQ (if not under assessment and LOQ)]]&gt;0,Table6[[#This Row],[MRL*CF*PF or LOQ (if not under assessment and LOQ)]],""))),"")</f>
        <v/>
      </c>
      <c r="AM516" s="1295" t="str">
        <f>IF(Table6[[#This Row],[input for case 3 normal mode]]&gt;0,IF(Table6[[#This Row],[Median residue*CF*PF]]&gt;0,"STMR-RAC",IF(AND($AC516&gt;0,NOT(V516="Y")),"MRL",IF($V516="Y","LOQ",""))),"")</f>
        <v/>
      </c>
      <c r="AN516" s="1295" t="str">
        <f t="shared" si="323"/>
        <v/>
      </c>
      <c r="AO516" s="1287" t="str">
        <f>IF(Table6[[#This Row],[input for case 3 normal mode]]="","",IF(AND(Table6[[#This Row],[label for case 3 calculation normal mode]]="LOQ",Table6[[#This Row],[GAP under assessment]]="N"),"",IF(Table6[[#This Row],[label description]]&gt;"",Table6[[#This Row],[label description]],"")))</f>
        <v/>
      </c>
      <c r="AP516" s="1287" t="str">
        <f>CONCATENATE(Table6[[#This Row],[label for case 3 calculation normal mode]],Table6[[#This Row],[label connector case 3 normal mode]],Table6[[#This Row],[label refinements case 3 normal mode]])</f>
        <v/>
      </c>
      <c r="AQ516" s="1287" t="str">
        <f>IF(Table6[[#This Row],[GAP under assessment]]="Y",Table6[[#This Row],[Input value normal mode case 1, 2a/2b,Po]],"")</f>
        <v/>
      </c>
      <c r="AR516" s="1287" t="str">
        <f>IF(Table6[[#This Row],[Input value refined mode case 1, 2a/2b,Po]]&gt;0,Table6[[#This Row],[concat label normal mode 1,2a/2b,Po ]],"")</f>
        <v/>
      </c>
      <c r="AS516" s="1303" t="str">
        <f>IF(Table6[[#This Row],[GAP under assessment]]="Y",Table6[[#This Row],[input for case 3 normal mode]],"")</f>
        <v/>
      </c>
      <c r="AT516" s="1287" t="str">
        <f>IF(Table6[[#This Row],[input for case 3 refined mode]]&gt;0,Table6[[#This Row],[concat label normal mode  case 3]],"")</f>
        <v/>
      </c>
      <c r="AU516" s="1295" t="str">
        <f>IF(Table6[[#This Row],[Input value normal mode case 1, 2a/2b,Po]]&gt;0,Table6[[#This Row],[Input value normal mode case 1, 2a/2b,Po]],Table6[[#This Row],[input for case 3 normal mode]])</f>
        <v/>
      </c>
      <c r="AV516" s="1295" t="str">
        <f>IF(Table6[[#This Row],[Input value normal mode case 1, 2a/2b,Po]]&gt;0,Table6[[#This Row],[concat label normal mode 1,2a/2b,Po ]],Table6[[#This Row],[concat label normal mode  case 3]])</f>
        <v/>
      </c>
      <c r="AW516" s="1295" t="str">
        <f>IF(Table6[[#This Row],[Input value refined mode case 1, 2a/2b,Po]]&gt;0,Table6[[#This Row],[Input value refined mode case 1, 2a/2b,Po]],Table6[[#This Row],[input for case 3 refined mode]])</f>
        <v/>
      </c>
      <c r="AX516" s="1295" t="str">
        <f>IF(Table6[[#This Row],[Input value refined mode case 1, 2a/2b,Po]]&gt;0,Table6[[#This Row],[concat label refined mode case 1,2a/2b,Po]],Table6[[#This Row],[label for case 3 calculation refined mode]])</f>
        <v/>
      </c>
      <c r="AY516" s="1287">
        <f t="shared" si="324"/>
        <v>0</v>
      </c>
      <c r="AZ516" s="1295" t="str">
        <f t="shared" si="325"/>
        <v/>
      </c>
      <c r="BA516" s="1295" t="str">
        <f t="shared" si="326"/>
        <v/>
      </c>
      <c r="BB516" s="1287" t="str">
        <f>IF(AND(Table6[[#This Row],[label for IESTI new normal mode]]="LOQ",Table6[[#This Row],[GAP under assessment]]="N"),"",IF(AND($H516&gt;0,$Y516&lt;&gt;1),"CF*PF",IF($H516&gt;0,"CF",IF($Y516&lt;&gt;1,"PF",""))))</f>
        <v/>
      </c>
      <c r="BC516" s="1296" t="s">
        <v>369</v>
      </c>
      <c r="BD516" s="1297"/>
      <c r="BE516" s="1304" t="str">
        <f>IF(Table6[[#This Row],[GAP under assessment]]="Y",Table6[[#This Row],[MRL*CF*PF or LOQ (if not under assessment and LOQ)]],"")</f>
        <v/>
      </c>
      <c r="BF516" s="1305" t="str">
        <f>IF(Table6[[#This Row],[Input for IESTI new refined mode]]&lt;&gt;"",CONCATENATE("MRL",Table6[[#This Row],[label connector case 3 normal mode]],Table6[[#This Row],[label refinements case 3 normal mode]]),"")</f>
        <v/>
      </c>
      <c r="BG516" s="1298" t="s">
        <v>571</v>
      </c>
      <c r="BH516" s="1306"/>
    </row>
    <row r="517" spans="1:60" s="11" customFormat="1" ht="12.75" customHeight="1" x14ac:dyDescent="0.2">
      <c r="A517" s="479" t="s">
        <v>583</v>
      </c>
      <c r="B517" s="480">
        <v>500090</v>
      </c>
      <c r="C517" s="547" t="s">
        <v>475</v>
      </c>
      <c r="D517" s="1261">
        <f>VLOOKUP(Table6[[#This Row],[Code no.]],$B$12:$D$390,3,FALSE)</f>
        <v>0</v>
      </c>
      <c r="E517" s="1264">
        <f t="shared" si="310"/>
        <v>0</v>
      </c>
      <c r="F517" s="1262" t="str">
        <f t="shared" si="308"/>
        <v/>
      </c>
      <c r="G517" s="1265">
        <f t="shared" si="311"/>
        <v>1</v>
      </c>
      <c r="H517" s="881"/>
      <c r="I517" s="880"/>
      <c r="J517" s="1269">
        <f t="shared" si="312"/>
        <v>0</v>
      </c>
      <c r="K517" s="1269">
        <f t="shared" si="313"/>
        <v>0</v>
      </c>
      <c r="L517" s="1270"/>
      <c r="M517" s="1271" t="str">
        <f t="shared" si="314"/>
        <v/>
      </c>
      <c r="N517" s="1273" t="str">
        <f t="shared" si="315"/>
        <v/>
      </c>
      <c r="O517" s="1273">
        <v>3</v>
      </c>
      <c r="P517" s="1273" t="str">
        <f>IF(OR($A$10=$BG$15,Results!$B$62=Results!$T$63),Table6[[#This Row],[label refine mode]],Table6[[#This Row],[label normal mode]])</f>
        <v/>
      </c>
      <c r="Q517" s="1257" t="str">
        <f>IF(OR($A$10=$BG$15,Results!$B$62=Results!$T$63),Table6[[#This Row],[input refined mode]],Table6[[#This Row],[Input normal mode]])</f>
        <v/>
      </c>
      <c r="R517" s="1275" t="str">
        <f>IF(Table6[[#This Row],[Acute RA IESTI new input value]]="","",CONCATENATE(Table6[[#This Row],[label for IESTI new normal mode]],Table6[[#This Row],[label connector IESTI new normal mode]],Table6[[#This Row],[label refinements normal mode]]))</f>
        <v/>
      </c>
      <c r="S517" s="1259">
        <f>IF(OR($A$10=$BG$15,Results!$B$62=Results!$T$63),Table6[[#This Row],[Input for IESTI new refined mode]],Table6[[#This Row],[Input for IESTI new normal mode]])</f>
        <v>0</v>
      </c>
      <c r="T517" s="888"/>
      <c r="U517" s="1283">
        <f t="shared" si="316"/>
        <v>0</v>
      </c>
      <c r="V517" s="1284" t="str">
        <f t="shared" si="317"/>
        <v/>
      </c>
      <c r="W517" s="1285">
        <f>IF($H517&gt;0,$H517,IF(Table6[[#This Row],[CFrisk for residue definition (applicable for unprocessed products)]]&gt;0,Table6[[#This Row],[CFrisk for residue definition (applicable for unprocessed products)]],1))</f>
        <v>1</v>
      </c>
      <c r="X517" s="1285">
        <v>1</v>
      </c>
      <c r="Y517" s="1285">
        <f t="shared" si="318"/>
        <v>1</v>
      </c>
      <c r="Z517" s="1285">
        <f t="shared" si="319"/>
        <v>1</v>
      </c>
      <c r="AA517" s="1285" t="str">
        <f>IF(Table6[[#This Row],[Post-harvest treatment]]="","","Y")</f>
        <v/>
      </c>
      <c r="AB517" s="1285" t="str">
        <f>IF(AND(Table6[[#This Row],[CF used for for calculation]]&lt;&gt;1,Table6[[#This Row],[PF for calculation]]&lt;&gt;1),"CF*PF",IF(Table6[[#This Row],[CF used for for calculation]]&lt;&gt;1,"CF",IF(Table6[[#This Row],[PF for calculation]]&lt;&gt;1,"PF","")))</f>
        <v/>
      </c>
      <c r="AC517" s="1300">
        <f>IF(AND(Table6[[#This Row],[LOQ RAC individual crop]]="Y",Table6[[#This Row],[GAP under assessment]]="N"),Table6[[#This Row],[MRL RAC individual commodity]],Table6[[#This Row],[MRL RAC individual commodity]]*Table6[[#This Row],[CF*PF for calculation]])</f>
        <v>0</v>
      </c>
      <c r="AD517" s="1287">
        <f t="shared" si="320"/>
        <v>0</v>
      </c>
      <c r="AE517" s="1287">
        <f t="shared" si="321"/>
        <v>0</v>
      </c>
      <c r="AF517" s="1288">
        <f>Table6[[#This Row],[IESTI case]]</f>
        <v>3</v>
      </c>
      <c r="AG51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17" s="1302" t="str">
        <f>IF(Table6[[#This Row],[Input value normal mode case 1, 2a/2b,Po]]&gt;0,
              IF(Table6[[#This Row],[Highest residue * CF*PF]]&gt;"","HR-RAC",
                             IF(Table6[[#This Row],[LOQ RAC individual crop]]="Y","LOQ","MRL")),"")</f>
        <v/>
      </c>
      <c r="AI517" s="1302" t="str">
        <f t="shared" si="322"/>
        <v/>
      </c>
      <c r="AJ517" s="1302" t="str">
        <f>IF(Table6[[#This Row],[Input value normal mode case 1, 2a/2b,Po]]&gt;0,IF(Table6[[#This Row],[label description]]&gt;"",Table6[[#This Row],[label description]],""),"")</f>
        <v/>
      </c>
      <c r="AK517" s="1302" t="str">
        <f>CONCATENATE(Table6[[#This Row],[label for IESTI normal mode case 1, 2a/2b,Po]],Table6[[#This Row],[label connector case  normal mode]],Table6[[#This Row],[label refinements normal mode case 1, 2a/2b,Po]])</f>
        <v/>
      </c>
      <c r="AL517" s="1287" t="str">
        <f>IF(AND(Table6[[#This Row],[Case for acute RA children / adults]]=3,Table6[[#This Row],[Post-harvest treatment]]=""),IF(AND(Table6[[#This Row],[LOQ RAC individual crop]]="Y",M516="N"),Table6[[#This Row],[MRL RAC individual commodity]],IF(Table6[[#This Row],[Median residue*CF*PF]]&gt;0,Table6[[#This Row],[Median residue*CF*PF]],IF(Table6[[#This Row],[MRL*CF*PF or LOQ (if not under assessment and LOQ)]]&gt;0,Table6[[#This Row],[MRL*CF*PF or LOQ (if not under assessment and LOQ)]],""))),"")</f>
        <v/>
      </c>
      <c r="AM517" s="1295" t="str">
        <f>IF(Table6[[#This Row],[input for case 3 normal mode]]&gt;0,IF(Table6[[#This Row],[Median residue*CF*PF]]&gt;0,"STMR-RAC",IF(AND($AC517&gt;0,NOT(V517="Y")),"MRL",IF($V517="Y","LOQ",""))),"")</f>
        <v/>
      </c>
      <c r="AN517" s="1295" t="str">
        <f t="shared" si="323"/>
        <v/>
      </c>
      <c r="AO517" s="1287" t="str">
        <f>IF(Table6[[#This Row],[input for case 3 normal mode]]="","",IF(AND(Table6[[#This Row],[label for case 3 calculation normal mode]]="LOQ",Table6[[#This Row],[GAP under assessment]]="N"),"",IF(Table6[[#This Row],[label description]]&gt;"",Table6[[#This Row],[label description]],"")))</f>
        <v/>
      </c>
      <c r="AP517" s="1287" t="str">
        <f>CONCATENATE(Table6[[#This Row],[label for case 3 calculation normal mode]],Table6[[#This Row],[label connector case 3 normal mode]],Table6[[#This Row],[label refinements case 3 normal mode]])</f>
        <v/>
      </c>
      <c r="AQ517" s="1287" t="str">
        <f>IF(Table6[[#This Row],[GAP under assessment]]="Y",Table6[[#This Row],[Input value normal mode case 1, 2a/2b,Po]],"")</f>
        <v/>
      </c>
      <c r="AR517" s="1287" t="str">
        <f>IF(Table6[[#This Row],[Input value refined mode case 1, 2a/2b,Po]]&gt;0,Table6[[#This Row],[concat label normal mode 1,2a/2b,Po ]],"")</f>
        <v/>
      </c>
      <c r="AS517" s="1303" t="str">
        <f>IF(Table6[[#This Row],[GAP under assessment]]="Y",Table6[[#This Row],[input for case 3 normal mode]],"")</f>
        <v/>
      </c>
      <c r="AT517" s="1287" t="str">
        <f>IF(Table6[[#This Row],[input for case 3 refined mode]]&gt;0,Table6[[#This Row],[concat label normal mode  case 3]],"")</f>
        <v/>
      </c>
      <c r="AU517" s="1295" t="str">
        <f>IF(Table6[[#This Row],[Input value normal mode case 1, 2a/2b,Po]]&gt;0,Table6[[#This Row],[Input value normal mode case 1, 2a/2b,Po]],Table6[[#This Row],[input for case 3 normal mode]])</f>
        <v/>
      </c>
      <c r="AV517" s="1295" t="str">
        <f>IF(Table6[[#This Row],[Input value normal mode case 1, 2a/2b,Po]]&gt;0,Table6[[#This Row],[concat label normal mode 1,2a/2b,Po ]],Table6[[#This Row],[concat label normal mode  case 3]])</f>
        <v/>
      </c>
      <c r="AW517" s="1295" t="str">
        <f>IF(Table6[[#This Row],[Input value refined mode case 1, 2a/2b,Po]]&gt;0,Table6[[#This Row],[Input value refined mode case 1, 2a/2b,Po]],Table6[[#This Row],[input for case 3 refined mode]])</f>
        <v/>
      </c>
      <c r="AX517" s="1295" t="str">
        <f>IF(Table6[[#This Row],[Input value refined mode case 1, 2a/2b,Po]]&gt;0,Table6[[#This Row],[concat label refined mode case 1,2a/2b,Po]],Table6[[#This Row],[label for case 3 calculation refined mode]])</f>
        <v/>
      </c>
      <c r="AY517" s="1287">
        <f t="shared" si="324"/>
        <v>0</v>
      </c>
      <c r="AZ517" s="1295" t="str">
        <f t="shared" si="325"/>
        <v/>
      </c>
      <c r="BA517" s="1295" t="str">
        <f t="shared" si="326"/>
        <v/>
      </c>
      <c r="BB517" s="1287" t="str">
        <f>IF(AND(Table6[[#This Row],[label for IESTI new normal mode]]="LOQ",Table6[[#This Row],[GAP under assessment]]="N"),"",IF(AND($H517&gt;0,$Y517&lt;&gt;1),"CF*PF",IF($H517&gt;0,"CF",IF($Y517&lt;&gt;1,"PF",""))))</f>
        <v/>
      </c>
      <c r="BC517" s="1296" t="s">
        <v>369</v>
      </c>
      <c r="BD517" s="1297"/>
      <c r="BE517" s="1304" t="str">
        <f>IF(Table6[[#This Row],[GAP under assessment]]="Y",Table6[[#This Row],[MRL*CF*PF or LOQ (if not under assessment and LOQ)]],"")</f>
        <v/>
      </c>
      <c r="BF517" s="1305" t="str">
        <f>IF(Table6[[#This Row],[Input for IESTI new refined mode]]&lt;&gt;"",CONCATENATE("MRL",Table6[[#This Row],[label connector case 3 normal mode]],Table6[[#This Row],[label refinements case 3 normal mode]]),"")</f>
        <v/>
      </c>
      <c r="BG517" s="1298" t="s">
        <v>583</v>
      </c>
      <c r="BH517" s="1306"/>
    </row>
    <row r="518" spans="1:60" s="11" customFormat="1" ht="12.75" customHeight="1" x14ac:dyDescent="0.2">
      <c r="A518" s="479" t="s">
        <v>584</v>
      </c>
      <c r="B518" s="480">
        <v>500090</v>
      </c>
      <c r="C518" s="547" t="s">
        <v>476</v>
      </c>
      <c r="D518" s="1261">
        <f>VLOOKUP(Table6[[#This Row],[Code no.]],$B$12:$D$390,3,FALSE)</f>
        <v>0</v>
      </c>
      <c r="E518" s="1264">
        <f t="shared" si="310"/>
        <v>0</v>
      </c>
      <c r="F518" s="1262" t="str">
        <f t="shared" si="308"/>
        <v/>
      </c>
      <c r="G518" s="1265">
        <f t="shared" si="311"/>
        <v>1</v>
      </c>
      <c r="H518" s="881"/>
      <c r="I518" s="880"/>
      <c r="J518" s="1269">
        <f t="shared" si="312"/>
        <v>0</v>
      </c>
      <c r="K518" s="1269">
        <f t="shared" si="313"/>
        <v>0</v>
      </c>
      <c r="L518" s="1270"/>
      <c r="M518" s="1271" t="str">
        <f t="shared" si="314"/>
        <v/>
      </c>
      <c r="N518" s="1273" t="str">
        <f t="shared" si="315"/>
        <v/>
      </c>
      <c r="O518" s="1273">
        <v>3</v>
      </c>
      <c r="P518" s="1273" t="str">
        <f>IF(OR($A$10=$BG$15,Results!$B$62=Results!$T$63),Table6[[#This Row],[label refine mode]],Table6[[#This Row],[label normal mode]])</f>
        <v/>
      </c>
      <c r="Q518" s="1257" t="str">
        <f>IF(OR($A$10=$BG$15,Results!$B$62=Results!$T$63),Table6[[#This Row],[input refined mode]],Table6[[#This Row],[Input normal mode]])</f>
        <v/>
      </c>
      <c r="R518" s="1275" t="str">
        <f>IF(Table6[[#This Row],[Acute RA IESTI new input value]]="","",CONCATENATE(Table6[[#This Row],[label for IESTI new normal mode]],Table6[[#This Row],[label connector IESTI new normal mode]],Table6[[#This Row],[label refinements normal mode]]))</f>
        <v/>
      </c>
      <c r="S518" s="1259">
        <f>IF(OR($A$10=$BG$15,Results!$B$62=Results!$T$63),Table6[[#This Row],[Input for IESTI new refined mode]],Table6[[#This Row],[Input for IESTI new normal mode]])</f>
        <v>0</v>
      </c>
      <c r="T518" s="888"/>
      <c r="U518" s="1283">
        <f t="shared" si="316"/>
        <v>0</v>
      </c>
      <c r="V518" s="1284" t="str">
        <f t="shared" si="317"/>
        <v/>
      </c>
      <c r="W518" s="1285">
        <f>IF($H518&gt;0,$H518,IF(Table6[[#This Row],[CFrisk for residue definition (applicable for unprocessed products)]]&gt;0,Table6[[#This Row],[CFrisk for residue definition (applicable for unprocessed products)]],1))</f>
        <v>1</v>
      </c>
      <c r="X518" s="1285">
        <v>1</v>
      </c>
      <c r="Y518" s="1285">
        <f t="shared" si="318"/>
        <v>1</v>
      </c>
      <c r="Z518" s="1285">
        <f t="shared" si="319"/>
        <v>1</v>
      </c>
      <c r="AA518" s="1285" t="str">
        <f>IF(Table6[[#This Row],[Post-harvest treatment]]="","","Y")</f>
        <v/>
      </c>
      <c r="AB518" s="1285" t="str">
        <f>IF(AND(Table6[[#This Row],[CF used for for calculation]]&lt;&gt;1,Table6[[#This Row],[PF for calculation]]&lt;&gt;1),"CF*PF",IF(Table6[[#This Row],[CF used for for calculation]]&lt;&gt;1,"CF",IF(Table6[[#This Row],[PF for calculation]]&lt;&gt;1,"PF","")))</f>
        <v/>
      </c>
      <c r="AC518" s="1300">
        <f>IF(AND(Table6[[#This Row],[LOQ RAC individual crop]]="Y",Table6[[#This Row],[GAP under assessment]]="N"),Table6[[#This Row],[MRL RAC individual commodity]],Table6[[#This Row],[MRL RAC individual commodity]]*Table6[[#This Row],[CF*PF for calculation]])</f>
        <v>0</v>
      </c>
      <c r="AD518" s="1287">
        <f t="shared" si="320"/>
        <v>0</v>
      </c>
      <c r="AE518" s="1287">
        <f t="shared" si="321"/>
        <v>0</v>
      </c>
      <c r="AF518" s="1288">
        <f>Table6[[#This Row],[IESTI case]]</f>
        <v>3</v>
      </c>
      <c r="AG518"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18" s="1302" t="str">
        <f>IF(Table6[[#This Row],[Input value normal mode case 1, 2a/2b,Po]]&gt;0,
              IF(Table6[[#This Row],[Highest residue * CF*PF]]&gt;"","HR-RAC",
                             IF(Table6[[#This Row],[LOQ RAC individual crop]]="Y","LOQ","MRL")),"")</f>
        <v/>
      </c>
      <c r="AI518" s="1302" t="str">
        <f t="shared" si="322"/>
        <v/>
      </c>
      <c r="AJ518" s="1302" t="str">
        <f>IF(Table6[[#This Row],[Input value normal mode case 1, 2a/2b,Po]]&gt;0,IF(Table6[[#This Row],[label description]]&gt;"",Table6[[#This Row],[label description]],""),"")</f>
        <v/>
      </c>
      <c r="AK518" s="1302" t="str">
        <f>CONCATENATE(Table6[[#This Row],[label for IESTI normal mode case 1, 2a/2b,Po]],Table6[[#This Row],[label connector case  normal mode]],Table6[[#This Row],[label refinements normal mode case 1, 2a/2b,Po]])</f>
        <v/>
      </c>
      <c r="AL518" s="1287" t="str">
        <f>IF(AND(Table6[[#This Row],[Case for acute RA children / adults]]=3,Table6[[#This Row],[Post-harvest treatment]]=""),IF(AND(Table6[[#This Row],[LOQ RAC individual crop]]="Y",M517="N"),Table6[[#This Row],[MRL RAC individual commodity]],IF(Table6[[#This Row],[Median residue*CF*PF]]&gt;0,Table6[[#This Row],[Median residue*CF*PF]],IF(Table6[[#This Row],[MRL*CF*PF or LOQ (if not under assessment and LOQ)]]&gt;0,Table6[[#This Row],[MRL*CF*PF or LOQ (if not under assessment and LOQ)]],""))),"")</f>
        <v/>
      </c>
      <c r="AM518" s="1295" t="str">
        <f>IF(Table6[[#This Row],[input for case 3 normal mode]]&gt;0,IF(Table6[[#This Row],[Median residue*CF*PF]]&gt;0,"STMR-RAC",IF(AND($AC518&gt;0,NOT(V518="Y")),"MRL",IF($V518="Y","LOQ",""))),"")</f>
        <v/>
      </c>
      <c r="AN518" s="1295" t="str">
        <f t="shared" si="323"/>
        <v/>
      </c>
      <c r="AO518" s="1287" t="str">
        <f>IF(Table6[[#This Row],[input for case 3 normal mode]]="","",IF(AND(Table6[[#This Row],[label for case 3 calculation normal mode]]="LOQ",Table6[[#This Row],[GAP under assessment]]="N"),"",IF(Table6[[#This Row],[label description]]&gt;"",Table6[[#This Row],[label description]],"")))</f>
        <v/>
      </c>
      <c r="AP518" s="1287" t="str">
        <f>CONCATENATE(Table6[[#This Row],[label for case 3 calculation normal mode]],Table6[[#This Row],[label connector case 3 normal mode]],Table6[[#This Row],[label refinements case 3 normal mode]])</f>
        <v/>
      </c>
      <c r="AQ518" s="1287" t="str">
        <f>IF(Table6[[#This Row],[GAP under assessment]]="Y",Table6[[#This Row],[Input value normal mode case 1, 2a/2b,Po]],"")</f>
        <v/>
      </c>
      <c r="AR518" s="1287" t="str">
        <f>IF(Table6[[#This Row],[Input value refined mode case 1, 2a/2b,Po]]&gt;0,Table6[[#This Row],[concat label normal mode 1,2a/2b,Po ]],"")</f>
        <v/>
      </c>
      <c r="AS518" s="1303" t="str">
        <f>IF(Table6[[#This Row],[GAP under assessment]]="Y",Table6[[#This Row],[input for case 3 normal mode]],"")</f>
        <v/>
      </c>
      <c r="AT518" s="1287" t="str">
        <f>IF(Table6[[#This Row],[input for case 3 refined mode]]&gt;0,Table6[[#This Row],[concat label normal mode  case 3]],"")</f>
        <v/>
      </c>
      <c r="AU518" s="1295" t="str">
        <f>IF(Table6[[#This Row],[Input value normal mode case 1, 2a/2b,Po]]&gt;0,Table6[[#This Row],[Input value normal mode case 1, 2a/2b,Po]],Table6[[#This Row],[input for case 3 normal mode]])</f>
        <v/>
      </c>
      <c r="AV518" s="1295" t="str">
        <f>IF(Table6[[#This Row],[Input value normal mode case 1, 2a/2b,Po]]&gt;0,Table6[[#This Row],[concat label normal mode 1,2a/2b,Po ]],Table6[[#This Row],[concat label normal mode  case 3]])</f>
        <v/>
      </c>
      <c r="AW518" s="1295" t="str">
        <f>IF(Table6[[#This Row],[Input value refined mode case 1, 2a/2b,Po]]&gt;0,Table6[[#This Row],[Input value refined mode case 1, 2a/2b,Po]],Table6[[#This Row],[input for case 3 refined mode]])</f>
        <v/>
      </c>
      <c r="AX518" s="1295" t="str">
        <f>IF(Table6[[#This Row],[Input value refined mode case 1, 2a/2b,Po]]&gt;0,Table6[[#This Row],[concat label refined mode case 1,2a/2b,Po]],Table6[[#This Row],[label for case 3 calculation refined mode]])</f>
        <v/>
      </c>
      <c r="AY518" s="1287">
        <f t="shared" si="324"/>
        <v>0</v>
      </c>
      <c r="AZ518" s="1295" t="str">
        <f t="shared" si="325"/>
        <v/>
      </c>
      <c r="BA518" s="1295" t="str">
        <f t="shared" si="326"/>
        <v/>
      </c>
      <c r="BB518" s="1287" t="str">
        <f>IF(AND(Table6[[#This Row],[label for IESTI new normal mode]]="LOQ",Table6[[#This Row],[GAP under assessment]]="N"),"",IF(AND($H518&gt;0,$Y518&lt;&gt;1),"CF*PF",IF($H518&gt;0,"CF",IF($Y518&lt;&gt;1,"PF",""))))</f>
        <v/>
      </c>
      <c r="BC518" s="1296" t="s">
        <v>369</v>
      </c>
      <c r="BD518" s="1297"/>
      <c r="BE518" s="1304" t="str">
        <f>IF(Table6[[#This Row],[GAP under assessment]]="Y",Table6[[#This Row],[MRL*CF*PF or LOQ (if not under assessment and LOQ)]],"")</f>
        <v/>
      </c>
      <c r="BF518" s="1305" t="str">
        <f>IF(Table6[[#This Row],[Input for IESTI new refined mode]]&lt;&gt;"",CONCATENATE("MRL",Table6[[#This Row],[label connector case 3 normal mode]],Table6[[#This Row],[label refinements case 3 normal mode]]),"")</f>
        <v/>
      </c>
      <c r="BG518" s="1298" t="s">
        <v>584</v>
      </c>
      <c r="BH518" s="1306"/>
    </row>
    <row r="519" spans="1:60" s="11" customFormat="1" ht="12.75" customHeight="1" x14ac:dyDescent="0.2">
      <c r="A519" s="479" t="s">
        <v>582</v>
      </c>
      <c r="B519" s="480">
        <v>500090</v>
      </c>
      <c r="C519" s="547" t="s">
        <v>477</v>
      </c>
      <c r="D519" s="1261">
        <f>VLOOKUP(Table6[[#This Row],[Code no.]],$B$12:$D$390,3,FALSE)</f>
        <v>0</v>
      </c>
      <c r="E519" s="1264">
        <f t="shared" si="310"/>
        <v>0</v>
      </c>
      <c r="F519" s="1262" t="str">
        <f t="shared" si="308"/>
        <v/>
      </c>
      <c r="G519" s="1265">
        <f t="shared" si="311"/>
        <v>1</v>
      </c>
      <c r="H519" s="881"/>
      <c r="I519" s="880"/>
      <c r="J519" s="1269">
        <f t="shared" si="312"/>
        <v>0</v>
      </c>
      <c r="K519" s="1269">
        <f t="shared" si="313"/>
        <v>0</v>
      </c>
      <c r="L519" s="1270"/>
      <c r="M519" s="1271" t="str">
        <f t="shared" si="314"/>
        <v/>
      </c>
      <c r="N519" s="1273" t="str">
        <f t="shared" si="315"/>
        <v/>
      </c>
      <c r="O519" s="1273">
        <v>3</v>
      </c>
      <c r="P519" s="1273" t="str">
        <f>IF(OR($A$10=$BG$15,Results!$B$62=Results!$T$63),Table6[[#This Row],[label refine mode]],Table6[[#This Row],[label normal mode]])</f>
        <v/>
      </c>
      <c r="Q519" s="1257" t="str">
        <f>IF(OR($A$10=$BG$15,Results!$B$62=Results!$T$63),Table6[[#This Row],[input refined mode]],Table6[[#This Row],[Input normal mode]])</f>
        <v/>
      </c>
      <c r="R519" s="1275" t="str">
        <f>IF(Table6[[#This Row],[Acute RA IESTI new input value]]="","",CONCATENATE(Table6[[#This Row],[label for IESTI new normal mode]],Table6[[#This Row],[label connector IESTI new normal mode]],Table6[[#This Row],[label refinements normal mode]]))</f>
        <v/>
      </c>
      <c r="S519" s="1259">
        <f>IF(OR($A$10=$BG$15,Results!$B$62=Results!$T$63),Table6[[#This Row],[Input for IESTI new refined mode]],Table6[[#This Row],[Input for IESTI new normal mode]])</f>
        <v>0</v>
      </c>
      <c r="T519" s="888"/>
      <c r="U519" s="1283">
        <f t="shared" si="316"/>
        <v>0</v>
      </c>
      <c r="V519" s="1284" t="str">
        <f t="shared" si="317"/>
        <v/>
      </c>
      <c r="W519" s="1285">
        <f>IF($H519&gt;0,$H519,IF(Table6[[#This Row],[CFrisk for residue definition (applicable for unprocessed products)]]&gt;0,Table6[[#This Row],[CFrisk for residue definition (applicable for unprocessed products)]],1))</f>
        <v>1</v>
      </c>
      <c r="X519" s="1285">
        <v>1</v>
      </c>
      <c r="Y519" s="1285">
        <f t="shared" si="318"/>
        <v>1</v>
      </c>
      <c r="Z519" s="1285">
        <f t="shared" si="319"/>
        <v>1</v>
      </c>
      <c r="AA519" s="1285" t="str">
        <f>IF(Table6[[#This Row],[Post-harvest treatment]]="","","Y")</f>
        <v/>
      </c>
      <c r="AB519" s="1285" t="str">
        <f>IF(AND(Table6[[#This Row],[CF used for for calculation]]&lt;&gt;1,Table6[[#This Row],[PF for calculation]]&lt;&gt;1),"CF*PF",IF(Table6[[#This Row],[CF used for for calculation]]&lt;&gt;1,"CF",IF(Table6[[#This Row],[PF for calculation]]&lt;&gt;1,"PF","")))</f>
        <v/>
      </c>
      <c r="AC519" s="1300">
        <f>IF(AND(Table6[[#This Row],[LOQ RAC individual crop]]="Y",Table6[[#This Row],[GAP under assessment]]="N"),Table6[[#This Row],[MRL RAC individual commodity]],Table6[[#This Row],[MRL RAC individual commodity]]*Table6[[#This Row],[CF*PF for calculation]])</f>
        <v>0</v>
      </c>
      <c r="AD519" s="1287">
        <f t="shared" si="320"/>
        <v>0</v>
      </c>
      <c r="AE519" s="1287">
        <f t="shared" si="321"/>
        <v>0</v>
      </c>
      <c r="AF519" s="1288">
        <f>Table6[[#This Row],[IESTI case]]</f>
        <v>3</v>
      </c>
      <c r="AG519"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19" s="1302" t="str">
        <f>IF(Table6[[#This Row],[Input value normal mode case 1, 2a/2b,Po]]&gt;0,
              IF(Table6[[#This Row],[Highest residue * CF*PF]]&gt;"","HR-RAC",
                             IF(Table6[[#This Row],[LOQ RAC individual crop]]="Y","LOQ","MRL")),"")</f>
        <v/>
      </c>
      <c r="AI519" s="1302" t="str">
        <f t="shared" si="322"/>
        <v/>
      </c>
      <c r="AJ519" s="1302" t="str">
        <f>IF(Table6[[#This Row],[Input value normal mode case 1, 2a/2b,Po]]&gt;0,IF(Table6[[#This Row],[label description]]&gt;"",Table6[[#This Row],[label description]],""),"")</f>
        <v/>
      </c>
      <c r="AK519" s="1302" t="str">
        <f>CONCATENATE(Table6[[#This Row],[label for IESTI normal mode case 1, 2a/2b,Po]],Table6[[#This Row],[label connector case  normal mode]],Table6[[#This Row],[label refinements normal mode case 1, 2a/2b,Po]])</f>
        <v/>
      </c>
      <c r="AL519" s="1287" t="str">
        <f>IF(AND(Table6[[#This Row],[Case for acute RA children / adults]]=3,Table6[[#This Row],[Post-harvest treatment]]=""),IF(AND(Table6[[#This Row],[LOQ RAC individual crop]]="Y",M518="N"),Table6[[#This Row],[MRL RAC individual commodity]],IF(Table6[[#This Row],[Median residue*CF*PF]]&gt;0,Table6[[#This Row],[Median residue*CF*PF]],IF(Table6[[#This Row],[MRL*CF*PF or LOQ (if not under assessment and LOQ)]]&gt;0,Table6[[#This Row],[MRL*CF*PF or LOQ (if not under assessment and LOQ)]],""))),"")</f>
        <v/>
      </c>
      <c r="AM519" s="1295" t="str">
        <f>IF(Table6[[#This Row],[input for case 3 normal mode]]&gt;0,IF(Table6[[#This Row],[Median residue*CF*PF]]&gt;0,"STMR-RAC",IF(AND($AC519&gt;0,NOT(V519="Y")),"MRL",IF($V519="Y","LOQ",""))),"")</f>
        <v/>
      </c>
      <c r="AN519" s="1295" t="str">
        <f t="shared" si="323"/>
        <v/>
      </c>
      <c r="AO519" s="1287" t="str">
        <f>IF(Table6[[#This Row],[input for case 3 normal mode]]="","",IF(AND(Table6[[#This Row],[label for case 3 calculation normal mode]]="LOQ",Table6[[#This Row],[GAP under assessment]]="N"),"",IF(Table6[[#This Row],[label description]]&gt;"",Table6[[#This Row],[label description]],"")))</f>
        <v/>
      </c>
      <c r="AP519" s="1287" t="str">
        <f>CONCATENATE(Table6[[#This Row],[label for case 3 calculation normal mode]],Table6[[#This Row],[label connector case 3 normal mode]],Table6[[#This Row],[label refinements case 3 normal mode]])</f>
        <v/>
      </c>
      <c r="AQ519" s="1287" t="str">
        <f>IF(Table6[[#This Row],[GAP under assessment]]="Y",Table6[[#This Row],[Input value normal mode case 1, 2a/2b,Po]],"")</f>
        <v/>
      </c>
      <c r="AR519" s="1287" t="str">
        <f>IF(Table6[[#This Row],[Input value refined mode case 1, 2a/2b,Po]]&gt;0,Table6[[#This Row],[concat label normal mode 1,2a/2b,Po ]],"")</f>
        <v/>
      </c>
      <c r="AS519" s="1303" t="str">
        <f>IF(Table6[[#This Row],[GAP under assessment]]="Y",Table6[[#This Row],[input for case 3 normal mode]],"")</f>
        <v/>
      </c>
      <c r="AT519" s="1287" t="str">
        <f>IF(Table6[[#This Row],[input for case 3 refined mode]]&gt;0,Table6[[#This Row],[concat label normal mode  case 3]],"")</f>
        <v/>
      </c>
      <c r="AU519" s="1295" t="str">
        <f>IF(Table6[[#This Row],[Input value normal mode case 1, 2a/2b,Po]]&gt;0,Table6[[#This Row],[Input value normal mode case 1, 2a/2b,Po]],Table6[[#This Row],[input for case 3 normal mode]])</f>
        <v/>
      </c>
      <c r="AV519" s="1295" t="str">
        <f>IF(Table6[[#This Row],[Input value normal mode case 1, 2a/2b,Po]]&gt;0,Table6[[#This Row],[concat label normal mode 1,2a/2b,Po ]],Table6[[#This Row],[concat label normal mode  case 3]])</f>
        <v/>
      </c>
      <c r="AW519" s="1295" t="str">
        <f>IF(Table6[[#This Row],[Input value refined mode case 1, 2a/2b,Po]]&gt;0,Table6[[#This Row],[Input value refined mode case 1, 2a/2b,Po]],Table6[[#This Row],[input for case 3 refined mode]])</f>
        <v/>
      </c>
      <c r="AX519" s="1295" t="str">
        <f>IF(Table6[[#This Row],[Input value refined mode case 1, 2a/2b,Po]]&gt;0,Table6[[#This Row],[concat label refined mode case 1,2a/2b,Po]],Table6[[#This Row],[label for case 3 calculation refined mode]])</f>
        <v/>
      </c>
      <c r="AY519" s="1287">
        <f t="shared" si="324"/>
        <v>0</v>
      </c>
      <c r="AZ519" s="1295" t="str">
        <f t="shared" si="325"/>
        <v/>
      </c>
      <c r="BA519" s="1295" t="str">
        <f t="shared" si="326"/>
        <v/>
      </c>
      <c r="BB519" s="1287" t="str">
        <f>IF(AND(Table6[[#This Row],[label for IESTI new normal mode]]="LOQ",Table6[[#This Row],[GAP under assessment]]="N"),"",IF(AND($H519&gt;0,$Y519&lt;&gt;1),"CF*PF",IF($H519&gt;0,"CF",IF($Y519&lt;&gt;1,"PF",""))))</f>
        <v/>
      </c>
      <c r="BC519" s="1296" t="s">
        <v>369</v>
      </c>
      <c r="BD519" s="1297"/>
      <c r="BE519" s="1304" t="str">
        <f>IF(Table6[[#This Row],[GAP under assessment]]="Y",Table6[[#This Row],[MRL*CF*PF or LOQ (if not under assessment and LOQ)]],"")</f>
        <v/>
      </c>
      <c r="BF519" s="1305" t="str">
        <f>IF(Table6[[#This Row],[Input for IESTI new refined mode]]&lt;&gt;"",CONCATENATE("MRL",Table6[[#This Row],[label connector case 3 normal mode]],Table6[[#This Row],[label refinements case 3 normal mode]]),"")</f>
        <v/>
      </c>
      <c r="BG519" s="1298" t="s">
        <v>582</v>
      </c>
      <c r="BH519" s="1306"/>
    </row>
    <row r="520" spans="1:60" s="11" customFormat="1" ht="12.75" customHeight="1" x14ac:dyDescent="0.2">
      <c r="A520" s="479" t="s">
        <v>583</v>
      </c>
      <c r="B520" s="480">
        <v>500090</v>
      </c>
      <c r="C520" s="547" t="s">
        <v>432</v>
      </c>
      <c r="D520" s="1261">
        <f>VLOOKUP(Table6[[#This Row],[Code no.]],$B$12:$D$390,3,FALSE)</f>
        <v>0</v>
      </c>
      <c r="E520" s="1264">
        <f t="shared" si="310"/>
        <v>0</v>
      </c>
      <c r="F520" s="1262" t="str">
        <f t="shared" si="308"/>
        <v/>
      </c>
      <c r="G520" s="1265">
        <f t="shared" si="311"/>
        <v>1</v>
      </c>
      <c r="H520" s="881"/>
      <c r="I520" s="880"/>
      <c r="J520" s="1269">
        <f t="shared" si="312"/>
        <v>0</v>
      </c>
      <c r="K520" s="1269">
        <f t="shared" si="313"/>
        <v>0</v>
      </c>
      <c r="L520" s="1270"/>
      <c r="M520" s="1271" t="str">
        <f t="shared" si="314"/>
        <v/>
      </c>
      <c r="N520" s="1273" t="str">
        <f t="shared" si="315"/>
        <v/>
      </c>
      <c r="O520" s="1273">
        <v>3</v>
      </c>
      <c r="P520" s="1273" t="str">
        <f>IF(OR($A$10=$BG$15,Results!$B$62=Results!$T$63),Table6[[#This Row],[label refine mode]],Table6[[#This Row],[label normal mode]])</f>
        <v/>
      </c>
      <c r="Q520" s="1257" t="str">
        <f>IF(OR($A$10=$BG$15,Results!$B$62=Results!$T$63),Table6[[#This Row],[input refined mode]],Table6[[#This Row],[Input normal mode]])</f>
        <v/>
      </c>
      <c r="R520" s="1275" t="str">
        <f>IF(Table6[[#This Row],[Acute RA IESTI new input value]]="","",CONCATENATE(Table6[[#This Row],[label for IESTI new normal mode]],Table6[[#This Row],[label connector IESTI new normal mode]],Table6[[#This Row],[label refinements normal mode]]))</f>
        <v/>
      </c>
      <c r="S520" s="1259">
        <f>IF(OR($A$10=$BG$15,Results!$B$62=Results!$T$63),Table6[[#This Row],[Input for IESTI new refined mode]],Table6[[#This Row],[Input for IESTI new normal mode]])</f>
        <v>0</v>
      </c>
      <c r="T520" s="888"/>
      <c r="U520" s="1283">
        <f t="shared" si="316"/>
        <v>0</v>
      </c>
      <c r="V520" s="1284" t="str">
        <f t="shared" si="317"/>
        <v/>
      </c>
      <c r="W520" s="1285">
        <f>IF($H520&gt;0,$H520,IF(Table6[[#This Row],[CFrisk for residue definition (applicable for unprocessed products)]]&gt;0,Table6[[#This Row],[CFrisk for residue definition (applicable for unprocessed products)]],1))</f>
        <v>1</v>
      </c>
      <c r="X520" s="1285">
        <v>1</v>
      </c>
      <c r="Y520" s="1285">
        <f t="shared" si="318"/>
        <v>1</v>
      </c>
      <c r="Z520" s="1285">
        <f t="shared" si="319"/>
        <v>1</v>
      </c>
      <c r="AA520" s="1285" t="str">
        <f>IF(Table6[[#This Row],[Post-harvest treatment]]="","","Y")</f>
        <v/>
      </c>
      <c r="AB520" s="1285" t="str">
        <f>IF(AND(Table6[[#This Row],[CF used for for calculation]]&lt;&gt;1,Table6[[#This Row],[PF for calculation]]&lt;&gt;1),"CF*PF",IF(Table6[[#This Row],[CF used for for calculation]]&lt;&gt;1,"CF",IF(Table6[[#This Row],[PF for calculation]]&lt;&gt;1,"PF","")))</f>
        <v/>
      </c>
      <c r="AC520" s="1300">
        <f>IF(AND(Table6[[#This Row],[LOQ RAC individual crop]]="Y",Table6[[#This Row],[GAP under assessment]]="N"),Table6[[#This Row],[MRL RAC individual commodity]],Table6[[#This Row],[MRL RAC individual commodity]]*Table6[[#This Row],[CF*PF for calculation]])</f>
        <v>0</v>
      </c>
      <c r="AD520" s="1287">
        <f t="shared" si="320"/>
        <v>0</v>
      </c>
      <c r="AE520" s="1287">
        <f t="shared" si="321"/>
        <v>0</v>
      </c>
      <c r="AF520" s="1288">
        <f>Table6[[#This Row],[IESTI case]]</f>
        <v>3</v>
      </c>
      <c r="AG520"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20" s="1302" t="str">
        <f>IF(Table6[[#This Row],[Input value normal mode case 1, 2a/2b,Po]]&gt;0,
              IF(Table6[[#This Row],[Highest residue * CF*PF]]&gt;"","HR-RAC",
                             IF(Table6[[#This Row],[LOQ RAC individual crop]]="Y","LOQ","MRL")),"")</f>
        <v/>
      </c>
      <c r="AI520" s="1302" t="str">
        <f t="shared" si="322"/>
        <v/>
      </c>
      <c r="AJ520" s="1302" t="str">
        <f>IF(Table6[[#This Row],[Input value normal mode case 1, 2a/2b,Po]]&gt;0,IF(Table6[[#This Row],[label description]]&gt;"",Table6[[#This Row],[label description]],""),"")</f>
        <v/>
      </c>
      <c r="AK520" s="1302" t="str">
        <f>CONCATENATE(Table6[[#This Row],[label for IESTI normal mode case 1, 2a/2b,Po]],Table6[[#This Row],[label connector case  normal mode]],Table6[[#This Row],[label refinements normal mode case 1, 2a/2b,Po]])</f>
        <v/>
      </c>
      <c r="AL520" s="1287" t="str">
        <f>IF(AND(Table6[[#This Row],[Case for acute RA children / adults]]=3,Table6[[#This Row],[Post-harvest treatment]]=""),IF(AND(Table6[[#This Row],[LOQ RAC individual crop]]="Y",M519="N"),Table6[[#This Row],[MRL RAC individual commodity]],IF(Table6[[#This Row],[Median residue*CF*PF]]&gt;0,Table6[[#This Row],[Median residue*CF*PF]],IF(Table6[[#This Row],[MRL*CF*PF or LOQ (if not under assessment and LOQ)]]&gt;0,Table6[[#This Row],[MRL*CF*PF or LOQ (if not under assessment and LOQ)]],""))),"")</f>
        <v/>
      </c>
      <c r="AM520" s="1295" t="str">
        <f>IF(Table6[[#This Row],[input for case 3 normal mode]]&gt;0,IF(Table6[[#This Row],[Median residue*CF*PF]]&gt;0,"STMR-RAC",IF(AND($AC520&gt;0,NOT(V520="Y")),"MRL",IF($V520="Y","LOQ",""))),"")</f>
        <v/>
      </c>
      <c r="AN520" s="1295" t="str">
        <f t="shared" si="323"/>
        <v/>
      </c>
      <c r="AO520" s="1287" t="str">
        <f>IF(Table6[[#This Row],[input for case 3 normal mode]]="","",IF(AND(Table6[[#This Row],[label for case 3 calculation normal mode]]="LOQ",Table6[[#This Row],[GAP under assessment]]="N"),"",IF(Table6[[#This Row],[label description]]&gt;"",Table6[[#This Row],[label description]],"")))</f>
        <v/>
      </c>
      <c r="AP520" s="1287" t="str">
        <f>CONCATENATE(Table6[[#This Row],[label for case 3 calculation normal mode]],Table6[[#This Row],[label connector case 3 normal mode]],Table6[[#This Row],[label refinements case 3 normal mode]])</f>
        <v/>
      </c>
      <c r="AQ520" s="1287" t="str">
        <f>IF(Table6[[#This Row],[GAP under assessment]]="Y",Table6[[#This Row],[Input value normal mode case 1, 2a/2b,Po]],"")</f>
        <v/>
      </c>
      <c r="AR520" s="1287" t="str">
        <f>IF(Table6[[#This Row],[Input value refined mode case 1, 2a/2b,Po]]&gt;0,Table6[[#This Row],[concat label normal mode 1,2a/2b,Po ]],"")</f>
        <v/>
      </c>
      <c r="AS520" s="1303" t="str">
        <f>IF(Table6[[#This Row],[GAP under assessment]]="Y",Table6[[#This Row],[input for case 3 normal mode]],"")</f>
        <v/>
      </c>
      <c r="AT520" s="1287" t="str">
        <f>IF(Table6[[#This Row],[input for case 3 refined mode]]&gt;0,Table6[[#This Row],[concat label normal mode  case 3]],"")</f>
        <v/>
      </c>
      <c r="AU520" s="1295" t="str">
        <f>IF(Table6[[#This Row],[Input value normal mode case 1, 2a/2b,Po]]&gt;0,Table6[[#This Row],[Input value normal mode case 1, 2a/2b,Po]],Table6[[#This Row],[input for case 3 normal mode]])</f>
        <v/>
      </c>
      <c r="AV520" s="1295" t="str">
        <f>IF(Table6[[#This Row],[Input value normal mode case 1, 2a/2b,Po]]&gt;0,Table6[[#This Row],[concat label normal mode 1,2a/2b,Po ]],Table6[[#This Row],[concat label normal mode  case 3]])</f>
        <v/>
      </c>
      <c r="AW520" s="1295" t="str">
        <f>IF(Table6[[#This Row],[Input value refined mode case 1, 2a/2b,Po]]&gt;0,Table6[[#This Row],[Input value refined mode case 1, 2a/2b,Po]],Table6[[#This Row],[input for case 3 refined mode]])</f>
        <v/>
      </c>
      <c r="AX520" s="1295" t="str">
        <f>IF(Table6[[#This Row],[Input value refined mode case 1, 2a/2b,Po]]&gt;0,Table6[[#This Row],[concat label refined mode case 1,2a/2b,Po]],Table6[[#This Row],[label for case 3 calculation refined mode]])</f>
        <v/>
      </c>
      <c r="AY520" s="1287">
        <f t="shared" si="324"/>
        <v>0</v>
      </c>
      <c r="AZ520" s="1295" t="str">
        <f t="shared" si="325"/>
        <v/>
      </c>
      <c r="BA520" s="1295" t="str">
        <f t="shared" si="326"/>
        <v/>
      </c>
      <c r="BB520" s="1287" t="str">
        <f>IF(AND(Table6[[#This Row],[label for IESTI new normal mode]]="LOQ",Table6[[#This Row],[GAP under assessment]]="N"),"",IF(AND($H520&gt;0,$Y520&lt;&gt;1),"CF*PF",IF($H520&gt;0,"CF",IF($Y520&lt;&gt;1,"PF",""))))</f>
        <v/>
      </c>
      <c r="BC520" s="1296" t="s">
        <v>369</v>
      </c>
      <c r="BD520" s="1297"/>
      <c r="BE520" s="1304" t="str">
        <f>IF(Table6[[#This Row],[GAP under assessment]]="Y",Table6[[#This Row],[MRL*CF*PF or LOQ (if not under assessment and LOQ)]],"")</f>
        <v/>
      </c>
      <c r="BF520" s="1305" t="str">
        <f>IF(Table6[[#This Row],[Input for IESTI new refined mode]]&lt;&gt;"",CONCATENATE("MRL",Table6[[#This Row],[label connector case 3 normal mode]],Table6[[#This Row],[label refinements case 3 normal mode]]),"")</f>
        <v/>
      </c>
      <c r="BG520" s="1298" t="s">
        <v>583</v>
      </c>
      <c r="BH520" s="1306"/>
    </row>
    <row r="521" spans="1:60" s="11" customFormat="1" ht="12.75" customHeight="1" x14ac:dyDescent="0.2">
      <c r="A521" s="479" t="s">
        <v>580</v>
      </c>
      <c r="B521" s="480">
        <v>500090</v>
      </c>
      <c r="C521" s="547" t="s">
        <v>409</v>
      </c>
      <c r="D521" s="1261">
        <f>VLOOKUP(Table6[[#This Row],[Code no.]],$B$12:$D$390,3,FALSE)</f>
        <v>0</v>
      </c>
      <c r="E521" s="1264">
        <f t="shared" si="310"/>
        <v>0</v>
      </c>
      <c r="F521" s="1262" t="str">
        <f t="shared" si="308"/>
        <v/>
      </c>
      <c r="G521" s="1265">
        <f t="shared" si="311"/>
        <v>1</v>
      </c>
      <c r="H521" s="881"/>
      <c r="I521" s="880"/>
      <c r="J521" s="1269">
        <f t="shared" si="312"/>
        <v>0</v>
      </c>
      <c r="K521" s="1269">
        <f t="shared" si="313"/>
        <v>0</v>
      </c>
      <c r="L521" s="1270"/>
      <c r="M521" s="1271" t="str">
        <f t="shared" si="314"/>
        <v/>
      </c>
      <c r="N521" s="1273" t="str">
        <f t="shared" si="315"/>
        <v/>
      </c>
      <c r="O521" s="1273">
        <v>3</v>
      </c>
      <c r="P521" s="1273" t="str">
        <f>IF(OR($A$10=$BG$15,Results!$B$62=Results!$T$63),Table6[[#This Row],[label refine mode]],Table6[[#This Row],[label normal mode]])</f>
        <v/>
      </c>
      <c r="Q521" s="1257" t="str">
        <f>IF(OR($A$10=$BG$15,Results!$B$62=Results!$T$63),Table6[[#This Row],[input refined mode]],Table6[[#This Row],[Input normal mode]])</f>
        <v/>
      </c>
      <c r="R521" s="1275" t="str">
        <f>IF(Table6[[#This Row],[Acute RA IESTI new input value]]="","",CONCATENATE(Table6[[#This Row],[label for IESTI new normal mode]],Table6[[#This Row],[label connector IESTI new normal mode]],Table6[[#This Row],[label refinements normal mode]]))</f>
        <v/>
      </c>
      <c r="S521" s="1259">
        <f>IF(OR($A$10=$BG$15,Results!$B$62=Results!$T$63),Table6[[#This Row],[Input for IESTI new refined mode]],Table6[[#This Row],[Input for IESTI new normal mode]])</f>
        <v>0</v>
      </c>
      <c r="T521" s="888"/>
      <c r="U521" s="1283">
        <f t="shared" si="316"/>
        <v>0</v>
      </c>
      <c r="V521" s="1284" t="str">
        <f t="shared" si="317"/>
        <v/>
      </c>
      <c r="W521" s="1285">
        <f>IF($H521&gt;0,$H521,IF(Table6[[#This Row],[CFrisk for residue definition (applicable for unprocessed products)]]&gt;0,Table6[[#This Row],[CFrisk for residue definition (applicable for unprocessed products)]],1))</f>
        <v>1</v>
      </c>
      <c r="X521" s="1285">
        <v>1</v>
      </c>
      <c r="Y521" s="1285">
        <f t="shared" si="318"/>
        <v>1</v>
      </c>
      <c r="Z521" s="1285">
        <f t="shared" si="319"/>
        <v>1</v>
      </c>
      <c r="AA521" s="1285" t="str">
        <f>IF(Table6[[#This Row],[Post-harvest treatment]]="","","Y")</f>
        <v/>
      </c>
      <c r="AB521" s="1285" t="str">
        <f>IF(AND(Table6[[#This Row],[CF used for for calculation]]&lt;&gt;1,Table6[[#This Row],[PF for calculation]]&lt;&gt;1),"CF*PF",IF(Table6[[#This Row],[CF used for for calculation]]&lt;&gt;1,"CF",IF(Table6[[#This Row],[PF for calculation]]&lt;&gt;1,"PF","")))</f>
        <v/>
      </c>
      <c r="AC521" s="1300">
        <f>IF(AND(Table6[[#This Row],[LOQ RAC individual crop]]="Y",Table6[[#This Row],[GAP under assessment]]="N"),Table6[[#This Row],[MRL RAC individual commodity]],Table6[[#This Row],[MRL RAC individual commodity]]*Table6[[#This Row],[CF*PF for calculation]])</f>
        <v>0</v>
      </c>
      <c r="AD521" s="1287">
        <f t="shared" si="320"/>
        <v>0</v>
      </c>
      <c r="AE521" s="1287">
        <f t="shared" si="321"/>
        <v>0</v>
      </c>
      <c r="AF521" s="1288">
        <f>Table6[[#This Row],[IESTI case]]</f>
        <v>3</v>
      </c>
      <c r="AG521"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21" s="1302" t="str">
        <f>IF(Table6[[#This Row],[Input value normal mode case 1, 2a/2b,Po]]&gt;0,
              IF(Table6[[#This Row],[Highest residue * CF*PF]]&gt;"","HR-RAC",
                             IF(Table6[[#This Row],[LOQ RAC individual crop]]="Y","LOQ","MRL")),"")</f>
        <v/>
      </c>
      <c r="AI521" s="1302" t="str">
        <f t="shared" si="322"/>
        <v/>
      </c>
      <c r="AJ521" s="1302" t="str">
        <f>IF(Table6[[#This Row],[Input value normal mode case 1, 2a/2b,Po]]&gt;0,IF(Table6[[#This Row],[label description]]&gt;"",Table6[[#This Row],[label description]],""),"")</f>
        <v/>
      </c>
      <c r="AK521" s="1302" t="str">
        <f>CONCATENATE(Table6[[#This Row],[label for IESTI normal mode case 1, 2a/2b,Po]],Table6[[#This Row],[label connector case  normal mode]],Table6[[#This Row],[label refinements normal mode case 1, 2a/2b,Po]])</f>
        <v/>
      </c>
      <c r="AL521" s="1287" t="str">
        <f>IF(AND(Table6[[#This Row],[Case for acute RA children / adults]]=3,Table6[[#This Row],[Post-harvest treatment]]=""),IF(AND(Table6[[#This Row],[LOQ RAC individual crop]]="Y",M520="N"),Table6[[#This Row],[MRL RAC individual commodity]],IF(Table6[[#This Row],[Median residue*CF*PF]]&gt;0,Table6[[#This Row],[Median residue*CF*PF]],IF(Table6[[#This Row],[MRL*CF*PF or LOQ (if not under assessment and LOQ)]]&gt;0,Table6[[#This Row],[MRL*CF*PF or LOQ (if not under assessment and LOQ)]],""))),"")</f>
        <v/>
      </c>
      <c r="AM521" s="1295" t="str">
        <f>IF(Table6[[#This Row],[input for case 3 normal mode]]&gt;0,IF(Table6[[#This Row],[Median residue*CF*PF]]&gt;0,"STMR-RAC",IF(AND($AC521&gt;0,NOT(V521="Y")),"MRL",IF($V521="Y","LOQ",""))),"")</f>
        <v/>
      </c>
      <c r="AN521" s="1295" t="str">
        <f t="shared" si="323"/>
        <v/>
      </c>
      <c r="AO521" s="1287" t="str">
        <f>IF(Table6[[#This Row],[input for case 3 normal mode]]="","",IF(AND(Table6[[#This Row],[label for case 3 calculation normal mode]]="LOQ",Table6[[#This Row],[GAP under assessment]]="N"),"",IF(Table6[[#This Row],[label description]]&gt;"",Table6[[#This Row],[label description]],"")))</f>
        <v/>
      </c>
      <c r="AP521" s="1287" t="str">
        <f>CONCATENATE(Table6[[#This Row],[label for case 3 calculation normal mode]],Table6[[#This Row],[label connector case 3 normal mode]],Table6[[#This Row],[label refinements case 3 normal mode]])</f>
        <v/>
      </c>
      <c r="AQ521" s="1287" t="str">
        <f>IF(Table6[[#This Row],[GAP under assessment]]="Y",Table6[[#This Row],[Input value normal mode case 1, 2a/2b,Po]],"")</f>
        <v/>
      </c>
      <c r="AR521" s="1287" t="str">
        <f>IF(Table6[[#This Row],[Input value refined mode case 1, 2a/2b,Po]]&gt;0,Table6[[#This Row],[concat label normal mode 1,2a/2b,Po ]],"")</f>
        <v/>
      </c>
      <c r="AS521" s="1303" t="str">
        <f>IF(Table6[[#This Row],[GAP under assessment]]="Y",Table6[[#This Row],[input for case 3 normal mode]],"")</f>
        <v/>
      </c>
      <c r="AT521" s="1287" t="str">
        <f>IF(Table6[[#This Row],[input for case 3 refined mode]]&gt;0,Table6[[#This Row],[concat label normal mode  case 3]],"")</f>
        <v/>
      </c>
      <c r="AU521" s="1295" t="str">
        <f>IF(Table6[[#This Row],[Input value normal mode case 1, 2a/2b,Po]]&gt;0,Table6[[#This Row],[Input value normal mode case 1, 2a/2b,Po]],Table6[[#This Row],[input for case 3 normal mode]])</f>
        <v/>
      </c>
      <c r="AV521" s="1295" t="str">
        <f>IF(Table6[[#This Row],[Input value normal mode case 1, 2a/2b,Po]]&gt;0,Table6[[#This Row],[concat label normal mode 1,2a/2b,Po ]],Table6[[#This Row],[concat label normal mode  case 3]])</f>
        <v/>
      </c>
      <c r="AW521" s="1295" t="str">
        <f>IF(Table6[[#This Row],[Input value refined mode case 1, 2a/2b,Po]]&gt;0,Table6[[#This Row],[Input value refined mode case 1, 2a/2b,Po]],Table6[[#This Row],[input for case 3 refined mode]])</f>
        <v/>
      </c>
      <c r="AX521" s="1295" t="str">
        <f>IF(Table6[[#This Row],[Input value refined mode case 1, 2a/2b,Po]]&gt;0,Table6[[#This Row],[concat label refined mode case 1,2a/2b,Po]],Table6[[#This Row],[label for case 3 calculation refined mode]])</f>
        <v/>
      </c>
      <c r="AY521" s="1287">
        <f t="shared" si="324"/>
        <v>0</v>
      </c>
      <c r="AZ521" s="1295" t="str">
        <f t="shared" si="325"/>
        <v/>
      </c>
      <c r="BA521" s="1295" t="str">
        <f t="shared" si="326"/>
        <v/>
      </c>
      <c r="BB521" s="1287" t="str">
        <f>IF(AND(Table6[[#This Row],[label for IESTI new normal mode]]="LOQ",Table6[[#This Row],[GAP under assessment]]="N"),"",IF(AND($H521&gt;0,$Y521&lt;&gt;1),"CF*PF",IF($H521&gt;0,"CF",IF($Y521&lt;&gt;1,"PF",""))))</f>
        <v/>
      </c>
      <c r="BC521" s="1296" t="s">
        <v>369</v>
      </c>
      <c r="BD521" s="1297"/>
      <c r="BE521" s="1304" t="str">
        <f>IF(Table6[[#This Row],[GAP under assessment]]="Y",Table6[[#This Row],[MRL*CF*PF or LOQ (if not under assessment and LOQ)]],"")</f>
        <v/>
      </c>
      <c r="BF521" s="1305" t="str">
        <f>IF(Table6[[#This Row],[Input for IESTI new refined mode]]&lt;&gt;"",CONCATENATE("MRL",Table6[[#This Row],[label connector case 3 normal mode]],Table6[[#This Row],[label refinements case 3 normal mode]]),"")</f>
        <v/>
      </c>
      <c r="BG521" s="1298" t="s">
        <v>580</v>
      </c>
      <c r="BH521" s="1306"/>
    </row>
    <row r="522" spans="1:60" s="11" customFormat="1" ht="12.75" customHeight="1" x14ac:dyDescent="0.2">
      <c r="A522" s="479" t="s">
        <v>593</v>
      </c>
      <c r="B522" s="480">
        <v>610000</v>
      </c>
      <c r="C522" s="547" t="s">
        <v>679</v>
      </c>
      <c r="D522" s="1261">
        <f>VLOOKUP(Table6[[#This Row],[Code no.]],$B$12:$D$390,3,FALSE)</f>
        <v>0</v>
      </c>
      <c r="E522" s="1264">
        <f t="shared" si="310"/>
        <v>0</v>
      </c>
      <c r="F522" s="1262" t="str">
        <f t="shared" si="308"/>
        <v/>
      </c>
      <c r="G522" s="1265">
        <f t="shared" si="311"/>
        <v>1</v>
      </c>
      <c r="H522" s="881"/>
      <c r="I522" s="882"/>
      <c r="J522" s="1269">
        <f t="shared" si="312"/>
        <v>0</v>
      </c>
      <c r="K522" s="1269">
        <f t="shared" si="313"/>
        <v>0</v>
      </c>
      <c r="L522" s="1270"/>
      <c r="M522" s="1271" t="str">
        <f t="shared" si="314"/>
        <v/>
      </c>
      <c r="N522" s="1272"/>
      <c r="O522" s="1273">
        <v>3</v>
      </c>
      <c r="P522" s="1273" t="str">
        <f>IF(OR($A$10=$BG$15,Results!$B$62=Results!$T$63),Table6[[#This Row],[label refine mode]],Table6[[#This Row],[label normal mode]])</f>
        <v/>
      </c>
      <c r="Q522" s="1257" t="str">
        <f>IF(OR($A$10=$BG$15,Results!$B$62=Results!$T$63),Table6[[#This Row],[input refined mode]],Table6[[#This Row],[Input normal mode]])</f>
        <v/>
      </c>
      <c r="R522" s="1275" t="str">
        <f>IF(Table6[[#This Row],[Acute RA IESTI new input value]]="","",CONCATENATE(Table6[[#This Row],[label for IESTI new normal mode]],Table6[[#This Row],[label connector IESTI new normal mode]],Table6[[#This Row],[label refinements normal mode]]))</f>
        <v/>
      </c>
      <c r="S522" s="1259">
        <f>IF(OR($A$10=$BG$15,Results!$B$62=Results!$T$63),Table6[[#This Row],[Input for IESTI new refined mode]],Table6[[#This Row],[Input for IESTI new normal mode]])</f>
        <v>0</v>
      </c>
      <c r="T522" s="888"/>
      <c r="U522" s="1283">
        <f t="shared" si="316"/>
        <v>0</v>
      </c>
      <c r="V522" s="1284" t="str">
        <f t="shared" si="317"/>
        <v/>
      </c>
      <c r="W522" s="1285">
        <f>IF($H522&gt;0,$H522,IF(Table6[[#This Row],[CFrisk for residue definition (applicable for unprocessed products)]]&gt;0,Table6[[#This Row],[CFrisk for residue definition (applicable for unprocessed products)]],1))</f>
        <v>1</v>
      </c>
      <c r="X522" s="1285">
        <v>0.01</v>
      </c>
      <c r="Y522" s="1285">
        <f t="shared" si="318"/>
        <v>0.01</v>
      </c>
      <c r="Z522" s="1285">
        <f t="shared" si="319"/>
        <v>0.01</v>
      </c>
      <c r="AA522" s="1285" t="str">
        <f>IF(Table6[[#This Row],[Post-harvest treatment]]="","","Y")</f>
        <v/>
      </c>
      <c r="AB522" s="1285" t="str">
        <f>IF(AND(Table6[[#This Row],[CF used for for calculation]]&lt;&gt;1,Table6[[#This Row],[PF for calculation]]&lt;&gt;1),"CF*PF",IF(Table6[[#This Row],[CF used for for calculation]]&lt;&gt;1,"CF",IF(Table6[[#This Row],[PF for calculation]]&lt;&gt;1,"PF","")))</f>
        <v>PF</v>
      </c>
      <c r="AC522" s="1300">
        <f>IF(AND(Table6[[#This Row],[LOQ RAC individual crop]]="Y",Table6[[#This Row],[GAP under assessment]]="N"),Table6[[#This Row],[MRL RAC individual commodity]],Table6[[#This Row],[MRL RAC individual commodity]]*Table6[[#This Row],[CF*PF for calculation]])</f>
        <v>0</v>
      </c>
      <c r="AD522" s="1287">
        <f t="shared" si="320"/>
        <v>0</v>
      </c>
      <c r="AE522" s="1287">
        <f t="shared" si="321"/>
        <v>0</v>
      </c>
      <c r="AF522" s="1288">
        <f>Table6[[#This Row],[IESTI case]]</f>
        <v>3</v>
      </c>
      <c r="AG522"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22" s="1302" t="str">
        <f>IF(Table6[[#This Row],[Input value normal mode case 1, 2a/2b,Po]]&gt;0,
              IF(Table6[[#This Row],[Highest residue * CF*PF]]&gt;"","HR-RAC",
                             IF(Table6[[#This Row],[LOQ RAC individual crop]]="Y","LOQ","MRL")),"")</f>
        <v/>
      </c>
      <c r="AI522" s="1302" t="str">
        <f t="shared" si="322"/>
        <v/>
      </c>
      <c r="AJ522" s="1302" t="str">
        <f>IF(Table6[[#This Row],[Input value normal mode case 1, 2a/2b,Po]]&gt;0,IF(Table6[[#This Row],[label description]]&gt;"",Table6[[#This Row],[label description]],""),"")</f>
        <v/>
      </c>
      <c r="AK522" s="1302" t="str">
        <f>CONCATENATE(Table6[[#This Row],[label for IESTI normal mode case 1, 2a/2b,Po]],Table6[[#This Row],[label connector case  normal mode]],Table6[[#This Row],[label refinements normal mode case 1, 2a/2b,Po]])</f>
        <v/>
      </c>
      <c r="AL522" s="1287" t="str">
        <f>IF(AND(Table6[[#This Row],[Case for acute RA children / adults]]=3,Table6[[#This Row],[Post-harvest treatment]]=""),IF(AND(Table6[[#This Row],[LOQ RAC individual crop]]="Y",M521="N"),Table6[[#This Row],[MRL RAC individual commodity]],IF(Table6[[#This Row],[Median residue*CF*PF]]&gt;0,Table6[[#This Row],[Median residue*CF*PF]],IF(Table6[[#This Row],[MRL*CF*PF or LOQ (if not under assessment and LOQ)]]&gt;0,Table6[[#This Row],[MRL*CF*PF or LOQ (if not under assessment and LOQ)]],""))),"")</f>
        <v/>
      </c>
      <c r="AM522" s="1295" t="str">
        <f>IF(Table6[[#This Row],[input for case 3 normal mode]]&gt;0,IF(Table6[[#This Row],[Median residue*CF*PF]]&gt;0,"STMR-RAC",IF(AND($AC522&gt;0,NOT(V522="Y")),"MRL",IF($V522="Y","LOQ",""))),"")</f>
        <v/>
      </c>
      <c r="AN522" s="1295" t="str">
        <f t="shared" si="323"/>
        <v/>
      </c>
      <c r="AO522" s="1287" t="str">
        <f>IF(Table6[[#This Row],[input for case 3 normal mode]]="","",IF(AND(Table6[[#This Row],[label for case 3 calculation normal mode]]="LOQ",Table6[[#This Row],[GAP under assessment]]="N"),"",IF(Table6[[#This Row],[label description]]&gt;"",Table6[[#This Row],[label description]],"")))</f>
        <v/>
      </c>
      <c r="AP522" s="1287" t="str">
        <f>CONCATENATE(Table6[[#This Row],[label for case 3 calculation normal mode]],Table6[[#This Row],[label connector case 3 normal mode]],Table6[[#This Row],[label refinements case 3 normal mode]])</f>
        <v/>
      </c>
      <c r="AQ522" s="1287" t="str">
        <f>IF(Table6[[#This Row],[GAP under assessment]]="Y",Table6[[#This Row],[Input value normal mode case 1, 2a/2b,Po]],"")</f>
        <v/>
      </c>
      <c r="AR522" s="1287" t="str">
        <f>IF(Table6[[#This Row],[Input value refined mode case 1, 2a/2b,Po]]&gt;0,Table6[[#This Row],[concat label normal mode 1,2a/2b,Po ]],"")</f>
        <v/>
      </c>
      <c r="AS522" s="1303" t="str">
        <f>IF(Table6[[#This Row],[GAP under assessment]]="Y",Table6[[#This Row],[input for case 3 normal mode]],"")</f>
        <v/>
      </c>
      <c r="AT522" s="1287" t="str">
        <f>IF(Table6[[#This Row],[input for case 3 refined mode]]&gt;0,Table6[[#This Row],[concat label normal mode  case 3]],"")</f>
        <v/>
      </c>
      <c r="AU522" s="1295" t="str">
        <f>IF(Table6[[#This Row],[Input value normal mode case 1, 2a/2b,Po]]&gt;0,Table6[[#This Row],[Input value normal mode case 1, 2a/2b,Po]],Table6[[#This Row],[input for case 3 normal mode]])</f>
        <v/>
      </c>
      <c r="AV522" s="1295" t="str">
        <f>IF(Table6[[#This Row],[Input value normal mode case 1, 2a/2b,Po]]&gt;0,Table6[[#This Row],[concat label normal mode 1,2a/2b,Po ]],Table6[[#This Row],[concat label normal mode  case 3]])</f>
        <v/>
      </c>
      <c r="AW522" s="1295" t="str">
        <f>IF(Table6[[#This Row],[Input value refined mode case 1, 2a/2b,Po]]&gt;0,Table6[[#This Row],[Input value refined mode case 1, 2a/2b,Po]],Table6[[#This Row],[input for case 3 refined mode]])</f>
        <v/>
      </c>
      <c r="AX522" s="1295" t="str">
        <f>IF(Table6[[#This Row],[Input value refined mode case 1, 2a/2b,Po]]&gt;0,Table6[[#This Row],[concat label refined mode case 1,2a/2b,Po]],Table6[[#This Row],[label for case 3 calculation refined mode]])</f>
        <v/>
      </c>
      <c r="AY522" s="1287">
        <f t="shared" si="324"/>
        <v>0</v>
      </c>
      <c r="AZ522" s="1295" t="str">
        <f t="shared" si="325"/>
        <v/>
      </c>
      <c r="BA522" s="1295" t="str">
        <f t="shared" si="326"/>
        <v/>
      </c>
      <c r="BB522" s="1287" t="str">
        <f>IF(AND(Table6[[#This Row],[label for IESTI new normal mode]]="LOQ",Table6[[#This Row],[GAP under assessment]]="N"),"",IF(AND($H522&gt;0,$Y522&lt;&gt;1),"CF*PF",IF($H522&gt;0,"CF",IF($Y522&lt;&gt;1,"PF",""))))</f>
        <v>PF</v>
      </c>
      <c r="BC522" s="1296" t="s">
        <v>369</v>
      </c>
      <c r="BD522" s="1297"/>
      <c r="BE522" s="1304" t="str">
        <f>IF(Table6[[#This Row],[GAP under assessment]]="Y",Table6[[#This Row],[MRL*CF*PF or LOQ (if not under assessment and LOQ)]],"")</f>
        <v/>
      </c>
      <c r="BF522" s="1305" t="str">
        <f>IF(Table6[[#This Row],[Input for IESTI new refined mode]]&lt;&gt;"",CONCATENATE("MRL",Table6[[#This Row],[label connector case 3 normal mode]],Table6[[#This Row],[label refinements case 3 normal mode]]),"")</f>
        <v/>
      </c>
      <c r="BG522" s="1298" t="s">
        <v>593</v>
      </c>
      <c r="BH522" s="1306"/>
    </row>
    <row r="523" spans="1:60" s="11" customFormat="1" ht="12.75" customHeight="1" x14ac:dyDescent="0.2">
      <c r="A523" s="479" t="s">
        <v>591</v>
      </c>
      <c r="B523" s="480">
        <v>620000</v>
      </c>
      <c r="C523" s="547" t="s">
        <v>410</v>
      </c>
      <c r="D523" s="1261">
        <f>VLOOKUP(Table6[[#This Row],[Code no.]],$B$12:$D$390,3,FALSE)</f>
        <v>0</v>
      </c>
      <c r="E523" s="1264">
        <f t="shared" si="310"/>
        <v>0</v>
      </c>
      <c r="F523" s="1262" t="str">
        <f t="shared" si="308"/>
        <v/>
      </c>
      <c r="G523" s="1265">
        <f t="shared" si="311"/>
        <v>1</v>
      </c>
      <c r="H523" s="881"/>
      <c r="I523" s="882"/>
      <c r="J523" s="1269">
        <f t="shared" si="312"/>
        <v>0</v>
      </c>
      <c r="K523" s="1269">
        <f t="shared" si="313"/>
        <v>0</v>
      </c>
      <c r="L523" s="1270"/>
      <c r="M523" s="1271" t="str">
        <f t="shared" si="314"/>
        <v/>
      </c>
      <c r="N523" s="1272"/>
      <c r="O523" s="1273">
        <v>3</v>
      </c>
      <c r="P523" s="1273" t="str">
        <f>IF(OR($A$10=$BG$15,Results!$B$62=Results!$T$63),Table6[[#This Row],[label refine mode]],Table6[[#This Row],[label normal mode]])</f>
        <v/>
      </c>
      <c r="Q523" s="1257" t="str">
        <f>IF(OR($A$10=$BG$15,Results!$B$62=Results!$T$63),Table6[[#This Row],[input refined mode]],Table6[[#This Row],[Input normal mode]])</f>
        <v/>
      </c>
      <c r="R523" s="1275" t="str">
        <f>IF(Table6[[#This Row],[Acute RA IESTI new input value]]="","",CONCATENATE(Table6[[#This Row],[label for IESTI new normal mode]],Table6[[#This Row],[label connector IESTI new normal mode]],Table6[[#This Row],[label refinements normal mode]]))</f>
        <v/>
      </c>
      <c r="S523" s="1259">
        <f>IF(OR($A$10=$BG$15,Results!$B$62=Results!$T$63),Table6[[#This Row],[Input for IESTI new refined mode]],Table6[[#This Row],[Input for IESTI new normal mode]])</f>
        <v>0</v>
      </c>
      <c r="T523" s="888"/>
      <c r="U523" s="1283">
        <f t="shared" si="316"/>
        <v>0</v>
      </c>
      <c r="V523" s="1284" t="str">
        <f t="shared" si="317"/>
        <v/>
      </c>
      <c r="W523" s="1285">
        <f>IF($H523&gt;0,$H523,IF(Table6[[#This Row],[CFrisk for residue definition (applicable for unprocessed products)]]&gt;0,Table6[[#This Row],[CFrisk for residue definition (applicable for unprocessed products)]],1))</f>
        <v>1</v>
      </c>
      <c r="X523" s="1295">
        <v>0.2</v>
      </c>
      <c r="Y523" s="1285">
        <f t="shared" si="318"/>
        <v>0.2</v>
      </c>
      <c r="Z523" s="1285">
        <f t="shared" si="319"/>
        <v>0.2</v>
      </c>
      <c r="AA523" s="1285" t="str">
        <f>IF(Table6[[#This Row],[Post-harvest treatment]]="","","Y")</f>
        <v/>
      </c>
      <c r="AB523" s="1285" t="str">
        <f>IF(AND(Table6[[#This Row],[CF used for for calculation]]&lt;&gt;1,Table6[[#This Row],[PF for calculation]]&lt;&gt;1),"CF*PF",IF(Table6[[#This Row],[CF used for for calculation]]&lt;&gt;1,"CF",IF(Table6[[#This Row],[PF for calculation]]&lt;&gt;1,"PF","")))</f>
        <v>PF</v>
      </c>
      <c r="AC523" s="1300">
        <f>IF(AND(Table6[[#This Row],[LOQ RAC individual crop]]="Y",Table6[[#This Row],[GAP under assessment]]="N"),Table6[[#This Row],[MRL RAC individual commodity]],Table6[[#This Row],[MRL RAC individual commodity]]*Table6[[#This Row],[CF*PF for calculation]])</f>
        <v>0</v>
      </c>
      <c r="AD523" s="1287">
        <f t="shared" si="320"/>
        <v>0</v>
      </c>
      <c r="AE523" s="1287">
        <f t="shared" si="321"/>
        <v>0</v>
      </c>
      <c r="AF523" s="1288">
        <f>Table6[[#This Row],[IESTI case]]</f>
        <v>3</v>
      </c>
      <c r="AG52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23" s="1302" t="str">
        <f>IF(Table6[[#This Row],[Input value normal mode case 1, 2a/2b,Po]]&gt;0,
              IF(Table6[[#This Row],[Highest residue * CF*PF]]&gt;"","HR-RAC",
                             IF(Table6[[#This Row],[LOQ RAC individual crop]]="Y","LOQ","MRL")),"")</f>
        <v/>
      </c>
      <c r="AI523" s="1302" t="str">
        <f t="shared" si="322"/>
        <v/>
      </c>
      <c r="AJ523" s="1302" t="str">
        <f>IF(Table6[[#This Row],[Input value normal mode case 1, 2a/2b,Po]]&gt;0,IF(Table6[[#This Row],[label description]]&gt;"",Table6[[#This Row],[label description]],""),"")</f>
        <v/>
      </c>
      <c r="AK523" s="1302" t="str">
        <f>CONCATENATE(Table6[[#This Row],[label for IESTI normal mode case 1, 2a/2b,Po]],Table6[[#This Row],[label connector case  normal mode]],Table6[[#This Row],[label refinements normal mode case 1, 2a/2b,Po]])</f>
        <v/>
      </c>
      <c r="AL523" s="1287" t="str">
        <f>IF(AND(Table6[[#This Row],[Case for acute RA children / adults]]=3,Table6[[#This Row],[Post-harvest treatment]]=""),IF(AND(Table6[[#This Row],[LOQ RAC individual crop]]="Y",M522="N"),Table6[[#This Row],[MRL RAC individual commodity]],IF(Table6[[#This Row],[Median residue*CF*PF]]&gt;0,Table6[[#This Row],[Median residue*CF*PF]],IF(Table6[[#This Row],[MRL*CF*PF or LOQ (if not under assessment and LOQ)]]&gt;0,Table6[[#This Row],[MRL*CF*PF or LOQ (if not under assessment and LOQ)]],""))),"")</f>
        <v/>
      </c>
      <c r="AM523" s="1295" t="str">
        <f>IF(Table6[[#This Row],[input for case 3 normal mode]]&gt;0,IF(Table6[[#This Row],[Median residue*CF*PF]]&gt;0,"STMR-RAC",IF(AND($AC523&gt;0,NOT(V523="Y")),"MRL",IF($V523="Y","LOQ",""))),"")</f>
        <v/>
      </c>
      <c r="AN523" s="1295" t="str">
        <f t="shared" si="323"/>
        <v/>
      </c>
      <c r="AO523" s="1287" t="str">
        <f>IF(Table6[[#This Row],[input for case 3 normal mode]]="","",IF(AND(Table6[[#This Row],[label for case 3 calculation normal mode]]="LOQ",Table6[[#This Row],[GAP under assessment]]="N"),"",IF(Table6[[#This Row],[label description]]&gt;"",Table6[[#This Row],[label description]],"")))</f>
        <v/>
      </c>
      <c r="AP523" s="1287" t="str">
        <f>CONCATENATE(Table6[[#This Row],[label for case 3 calculation normal mode]],Table6[[#This Row],[label connector case 3 normal mode]],Table6[[#This Row],[label refinements case 3 normal mode]])</f>
        <v/>
      </c>
      <c r="AQ523" s="1287" t="str">
        <f>IF(Table6[[#This Row],[GAP under assessment]]="Y",Table6[[#This Row],[Input value normal mode case 1, 2a/2b,Po]],"")</f>
        <v/>
      </c>
      <c r="AR523" s="1287" t="str">
        <f>IF(Table6[[#This Row],[Input value refined mode case 1, 2a/2b,Po]]&gt;0,Table6[[#This Row],[concat label normal mode 1,2a/2b,Po ]],"")</f>
        <v/>
      </c>
      <c r="AS523" s="1303" t="str">
        <f>IF(Table6[[#This Row],[GAP under assessment]]="Y",Table6[[#This Row],[input for case 3 normal mode]],"")</f>
        <v/>
      </c>
      <c r="AT523" s="1287" t="str">
        <f>IF(Table6[[#This Row],[input for case 3 refined mode]]&gt;0,Table6[[#This Row],[concat label normal mode  case 3]],"")</f>
        <v/>
      </c>
      <c r="AU523" s="1295" t="str">
        <f>IF(Table6[[#This Row],[Input value normal mode case 1, 2a/2b,Po]]&gt;0,Table6[[#This Row],[Input value normal mode case 1, 2a/2b,Po]],Table6[[#This Row],[input for case 3 normal mode]])</f>
        <v/>
      </c>
      <c r="AV523" s="1295" t="str">
        <f>IF(Table6[[#This Row],[Input value normal mode case 1, 2a/2b,Po]]&gt;0,Table6[[#This Row],[concat label normal mode 1,2a/2b,Po ]],Table6[[#This Row],[concat label normal mode  case 3]])</f>
        <v/>
      </c>
      <c r="AW523" s="1295" t="str">
        <f>IF(Table6[[#This Row],[Input value refined mode case 1, 2a/2b,Po]]&gt;0,Table6[[#This Row],[Input value refined mode case 1, 2a/2b,Po]],Table6[[#This Row],[input for case 3 refined mode]])</f>
        <v/>
      </c>
      <c r="AX523" s="1295" t="str">
        <f>IF(Table6[[#This Row],[Input value refined mode case 1, 2a/2b,Po]]&gt;0,Table6[[#This Row],[concat label refined mode case 1,2a/2b,Po]],Table6[[#This Row],[label for case 3 calculation refined mode]])</f>
        <v/>
      </c>
      <c r="AY523" s="1287">
        <f t="shared" si="324"/>
        <v>0</v>
      </c>
      <c r="AZ523" s="1295" t="str">
        <f t="shared" si="325"/>
        <v/>
      </c>
      <c r="BA523" s="1295" t="str">
        <f t="shared" si="326"/>
        <v/>
      </c>
      <c r="BB523" s="1287" t="str">
        <f>IF(AND(Table6[[#This Row],[label for IESTI new normal mode]]="LOQ",Table6[[#This Row],[GAP under assessment]]="N"),"",IF(AND($H523&gt;0,$Y523&lt;&gt;1),"CF*PF",IF($H523&gt;0,"CF",IF($Y523&lt;&gt;1,"PF",""))))</f>
        <v>PF</v>
      </c>
      <c r="BC523" s="1296" t="s">
        <v>369</v>
      </c>
      <c r="BD523" s="1297"/>
      <c r="BE523" s="1304" t="str">
        <f>IF(Table6[[#This Row],[GAP under assessment]]="Y",Table6[[#This Row],[MRL*CF*PF or LOQ (if not under assessment and LOQ)]],"")</f>
        <v/>
      </c>
      <c r="BF523" s="1305" t="str">
        <f>IF(Table6[[#This Row],[Input for IESTI new refined mode]]&lt;&gt;"",CONCATENATE("MRL",Table6[[#This Row],[label connector case 3 normal mode]],Table6[[#This Row],[label refinements case 3 normal mode]]),"")</f>
        <v/>
      </c>
      <c r="BG523" s="1298" t="s">
        <v>591</v>
      </c>
      <c r="BH523" s="1306"/>
    </row>
    <row r="524" spans="1:60" s="11" customFormat="1" ht="12.75" customHeight="1" x14ac:dyDescent="0.2">
      <c r="A524" s="479" t="s">
        <v>604</v>
      </c>
      <c r="B524" s="480">
        <v>631010</v>
      </c>
      <c r="C524" s="547" t="s">
        <v>411</v>
      </c>
      <c r="D524" s="1261">
        <f>VLOOKUP(Table6[[#This Row],[Code no.]],$B$12:$D$390,3,FALSE)</f>
        <v>0</v>
      </c>
      <c r="E524" s="1264">
        <f t="shared" si="310"/>
        <v>0</v>
      </c>
      <c r="F524" s="1262" t="str">
        <f t="shared" si="308"/>
        <v/>
      </c>
      <c r="G524" s="1265">
        <f t="shared" si="311"/>
        <v>1</v>
      </c>
      <c r="H524" s="881"/>
      <c r="I524" s="882"/>
      <c r="J524" s="1269">
        <f t="shared" si="312"/>
        <v>0</v>
      </c>
      <c r="K524" s="1269">
        <f t="shared" si="313"/>
        <v>0</v>
      </c>
      <c r="L524" s="1270"/>
      <c r="M524" s="1271" t="str">
        <f t="shared" si="314"/>
        <v/>
      </c>
      <c r="N524" s="1272"/>
      <c r="O524" s="1273">
        <v>3</v>
      </c>
      <c r="P524" s="1273" t="str">
        <f>IF(OR($A$10=$BG$15,Results!$B$62=Results!$T$63),Table6[[#This Row],[label refine mode]],Table6[[#This Row],[label normal mode]])</f>
        <v/>
      </c>
      <c r="Q524" s="1257" t="str">
        <f>IF(OR($A$10=$BG$15,Results!$B$62=Results!$T$63),Table6[[#This Row],[input refined mode]],Table6[[#This Row],[Input normal mode]])</f>
        <v/>
      </c>
      <c r="R524" s="1275" t="str">
        <f>IF(Table6[[#This Row],[Acute RA IESTI new input value]]="","",CONCATENATE(Table6[[#This Row],[label for IESTI new normal mode]],Table6[[#This Row],[label connector IESTI new normal mode]],Table6[[#This Row],[label refinements normal mode]]))</f>
        <v/>
      </c>
      <c r="S524" s="1259">
        <f>IF(OR($A$10=$BG$15,Results!$B$62=Results!$T$63),Table6[[#This Row],[Input for IESTI new refined mode]],Table6[[#This Row],[Input for IESTI new normal mode]])</f>
        <v>0</v>
      </c>
      <c r="T524" s="888"/>
      <c r="U524" s="1283">
        <f t="shared" si="316"/>
        <v>0</v>
      </c>
      <c r="V524" s="1284" t="str">
        <f t="shared" si="317"/>
        <v/>
      </c>
      <c r="W524" s="1285">
        <f>IF($H524&gt;0,$H524,IF(Table6[[#This Row],[CFrisk for residue definition (applicable for unprocessed products)]]&gt;0,Table6[[#This Row],[CFrisk for residue definition (applicable for unprocessed products)]],1))</f>
        <v>1</v>
      </c>
      <c r="X524" s="1295">
        <v>0.01</v>
      </c>
      <c r="Y524" s="1285">
        <f t="shared" si="318"/>
        <v>0.01</v>
      </c>
      <c r="Z524" s="1285">
        <f t="shared" si="319"/>
        <v>0.01</v>
      </c>
      <c r="AA524" s="1285" t="str">
        <f>IF(Table6[[#This Row],[Post-harvest treatment]]="","","Y")</f>
        <v/>
      </c>
      <c r="AB524" s="1285" t="str">
        <f>IF(AND(Table6[[#This Row],[CF used for for calculation]]&lt;&gt;1,Table6[[#This Row],[PF for calculation]]&lt;&gt;1),"CF*PF",IF(Table6[[#This Row],[CF used for for calculation]]&lt;&gt;1,"CF",IF(Table6[[#This Row],[PF for calculation]]&lt;&gt;1,"PF","")))</f>
        <v>PF</v>
      </c>
      <c r="AC524" s="1300">
        <f>IF(AND(Table6[[#This Row],[LOQ RAC individual crop]]="Y",Table6[[#This Row],[GAP under assessment]]="N"),Table6[[#This Row],[MRL RAC individual commodity]],Table6[[#This Row],[MRL RAC individual commodity]]*Table6[[#This Row],[CF*PF for calculation]])</f>
        <v>0</v>
      </c>
      <c r="AD524" s="1287">
        <f t="shared" si="320"/>
        <v>0</v>
      </c>
      <c r="AE524" s="1287">
        <f t="shared" si="321"/>
        <v>0</v>
      </c>
      <c r="AF524" s="1288">
        <f>Table6[[#This Row],[IESTI case]]</f>
        <v>3</v>
      </c>
      <c r="AG52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24" s="1302" t="str">
        <f>IF(Table6[[#This Row],[Input value normal mode case 1, 2a/2b,Po]]&gt;0,
              IF(Table6[[#This Row],[Highest residue * CF*PF]]&gt;"","HR-RAC",
                             IF(Table6[[#This Row],[LOQ RAC individual crop]]="Y","LOQ","MRL")),"")</f>
        <v/>
      </c>
      <c r="AI524" s="1302" t="str">
        <f t="shared" si="322"/>
        <v/>
      </c>
      <c r="AJ524" s="1302" t="str">
        <f>IF(Table6[[#This Row],[Input value normal mode case 1, 2a/2b,Po]]&gt;0,IF(Table6[[#This Row],[label description]]&gt;"",Table6[[#This Row],[label description]],""),"")</f>
        <v/>
      </c>
      <c r="AK524" s="1302" t="str">
        <f>CONCATENATE(Table6[[#This Row],[label for IESTI normal mode case 1, 2a/2b,Po]],Table6[[#This Row],[label connector case  normal mode]],Table6[[#This Row],[label refinements normal mode case 1, 2a/2b,Po]])</f>
        <v/>
      </c>
      <c r="AL524" s="1287" t="str">
        <f>IF(AND(Table6[[#This Row],[Case for acute RA children / adults]]=3,Table6[[#This Row],[Post-harvest treatment]]=""),IF(AND(Table6[[#This Row],[LOQ RAC individual crop]]="Y",M523="N"),Table6[[#This Row],[MRL RAC individual commodity]],IF(Table6[[#This Row],[Median residue*CF*PF]]&gt;0,Table6[[#This Row],[Median residue*CF*PF]],IF(Table6[[#This Row],[MRL*CF*PF or LOQ (if not under assessment and LOQ)]]&gt;0,Table6[[#This Row],[MRL*CF*PF or LOQ (if not under assessment and LOQ)]],""))),"")</f>
        <v/>
      </c>
      <c r="AM524" s="1295" t="str">
        <f>IF(Table6[[#This Row],[input for case 3 normal mode]]&gt;0,IF(Table6[[#This Row],[Median residue*CF*PF]]&gt;0,"STMR-RAC",IF(AND($AC524&gt;0,NOT(V524="Y")),"MRL",IF($V524="Y","LOQ",""))),"")</f>
        <v/>
      </c>
      <c r="AN524" s="1295" t="str">
        <f t="shared" si="323"/>
        <v/>
      </c>
      <c r="AO524" s="1287" t="str">
        <f>IF(Table6[[#This Row],[input for case 3 normal mode]]="","",IF(AND(Table6[[#This Row],[label for case 3 calculation normal mode]]="LOQ",Table6[[#This Row],[GAP under assessment]]="N"),"",IF(Table6[[#This Row],[label description]]&gt;"",Table6[[#This Row],[label description]],"")))</f>
        <v/>
      </c>
      <c r="AP524" s="1287" t="str">
        <f>CONCATENATE(Table6[[#This Row],[label for case 3 calculation normal mode]],Table6[[#This Row],[label connector case 3 normal mode]],Table6[[#This Row],[label refinements case 3 normal mode]])</f>
        <v/>
      </c>
      <c r="AQ524" s="1287" t="str">
        <f>IF(Table6[[#This Row],[GAP under assessment]]="Y",Table6[[#This Row],[Input value normal mode case 1, 2a/2b,Po]],"")</f>
        <v/>
      </c>
      <c r="AR524" s="1287" t="str">
        <f>IF(Table6[[#This Row],[Input value refined mode case 1, 2a/2b,Po]]&gt;0,Table6[[#This Row],[concat label normal mode 1,2a/2b,Po ]],"")</f>
        <v/>
      </c>
      <c r="AS524" s="1303" t="str">
        <f>IF(Table6[[#This Row],[GAP under assessment]]="Y",Table6[[#This Row],[input for case 3 normal mode]],"")</f>
        <v/>
      </c>
      <c r="AT524" s="1287" t="str">
        <f>IF(Table6[[#This Row],[input for case 3 refined mode]]&gt;0,Table6[[#This Row],[concat label normal mode  case 3]],"")</f>
        <v/>
      </c>
      <c r="AU524" s="1295" t="str">
        <f>IF(Table6[[#This Row],[Input value normal mode case 1, 2a/2b,Po]]&gt;0,Table6[[#This Row],[Input value normal mode case 1, 2a/2b,Po]],Table6[[#This Row],[input for case 3 normal mode]])</f>
        <v/>
      </c>
      <c r="AV524" s="1295" t="str">
        <f>IF(Table6[[#This Row],[Input value normal mode case 1, 2a/2b,Po]]&gt;0,Table6[[#This Row],[concat label normal mode 1,2a/2b,Po ]],Table6[[#This Row],[concat label normal mode  case 3]])</f>
        <v/>
      </c>
      <c r="AW524" s="1295" t="str">
        <f>IF(Table6[[#This Row],[Input value refined mode case 1, 2a/2b,Po]]&gt;0,Table6[[#This Row],[Input value refined mode case 1, 2a/2b,Po]],Table6[[#This Row],[input for case 3 refined mode]])</f>
        <v/>
      </c>
      <c r="AX524" s="1295" t="str">
        <f>IF(Table6[[#This Row],[Input value refined mode case 1, 2a/2b,Po]]&gt;0,Table6[[#This Row],[concat label refined mode case 1,2a/2b,Po]],Table6[[#This Row],[label for case 3 calculation refined mode]])</f>
        <v/>
      </c>
      <c r="AY524" s="1287">
        <f t="shared" si="324"/>
        <v>0</v>
      </c>
      <c r="AZ524" s="1295" t="str">
        <f t="shared" si="325"/>
        <v/>
      </c>
      <c r="BA524" s="1295" t="str">
        <f t="shared" si="326"/>
        <v/>
      </c>
      <c r="BB524" s="1287" t="str">
        <f>IF(AND(Table6[[#This Row],[label for IESTI new normal mode]]="LOQ",Table6[[#This Row],[GAP under assessment]]="N"),"",IF(AND($H524&gt;0,$Y524&lt;&gt;1),"CF*PF",IF($H524&gt;0,"CF",IF($Y524&lt;&gt;1,"PF",""))))</f>
        <v>PF</v>
      </c>
      <c r="BC524" s="1296" t="s">
        <v>369</v>
      </c>
      <c r="BD524" s="1297"/>
      <c r="BE524" s="1304" t="str">
        <f>IF(Table6[[#This Row],[GAP under assessment]]="Y",Table6[[#This Row],[MRL*CF*PF or LOQ (if not under assessment and LOQ)]],"")</f>
        <v/>
      </c>
      <c r="BF524" s="1305" t="str">
        <f>IF(Table6[[#This Row],[Input for IESTI new refined mode]]&lt;&gt;"",CONCATENATE("MRL",Table6[[#This Row],[label connector case 3 normal mode]],Table6[[#This Row],[label refinements case 3 normal mode]]),"")</f>
        <v/>
      </c>
      <c r="BG524" s="1298" t="s">
        <v>604</v>
      </c>
      <c r="BH524" s="1306"/>
    </row>
    <row r="525" spans="1:60" s="11" customFormat="1" ht="12.75" customHeight="1" x14ac:dyDescent="0.2">
      <c r="A525" s="479" t="s">
        <v>605</v>
      </c>
      <c r="B525" s="480">
        <v>631020</v>
      </c>
      <c r="C525" s="547" t="s">
        <v>412</v>
      </c>
      <c r="D525" s="1261">
        <f>VLOOKUP(Table6[[#This Row],[Code no.]],$B$12:$D$390,3,FALSE)</f>
        <v>0</v>
      </c>
      <c r="E525" s="1264">
        <f t="shared" si="310"/>
        <v>0</v>
      </c>
      <c r="F525" s="1262" t="str">
        <f t="shared" si="308"/>
        <v/>
      </c>
      <c r="G525" s="1265">
        <f t="shared" si="311"/>
        <v>1</v>
      </c>
      <c r="H525" s="881"/>
      <c r="I525" s="882"/>
      <c r="J525" s="1269">
        <f t="shared" si="312"/>
        <v>0</v>
      </c>
      <c r="K525" s="1269">
        <f t="shared" si="313"/>
        <v>0</v>
      </c>
      <c r="L525" s="1270"/>
      <c r="M525" s="1271" t="str">
        <f t="shared" si="314"/>
        <v/>
      </c>
      <c r="N525" s="1272"/>
      <c r="O525" s="1273">
        <v>3</v>
      </c>
      <c r="P525" s="1273" t="str">
        <f>IF(OR($A$10=$BG$15,Results!$B$62=Results!$T$63),Table6[[#This Row],[label refine mode]],Table6[[#This Row],[label normal mode]])</f>
        <v/>
      </c>
      <c r="Q525" s="1257" t="str">
        <f>IF(OR($A$10=$BG$15,Results!$B$62=Results!$T$63),Table6[[#This Row],[input refined mode]],Table6[[#This Row],[Input normal mode]])</f>
        <v/>
      </c>
      <c r="R525" s="1275" t="str">
        <f>IF(Table6[[#This Row],[Acute RA IESTI new input value]]="","",CONCATENATE(Table6[[#This Row],[label for IESTI new normal mode]],Table6[[#This Row],[label connector IESTI new normal mode]],Table6[[#This Row],[label refinements normal mode]]))</f>
        <v/>
      </c>
      <c r="S525" s="1259">
        <f>IF(OR($A$10=$BG$15,Results!$B$62=Results!$T$63),Table6[[#This Row],[Input for IESTI new refined mode]],Table6[[#This Row],[Input for IESTI new normal mode]])</f>
        <v>0</v>
      </c>
      <c r="T525" s="888"/>
      <c r="U525" s="1283">
        <f t="shared" si="316"/>
        <v>0</v>
      </c>
      <c r="V525" s="1284" t="str">
        <f t="shared" si="317"/>
        <v/>
      </c>
      <c r="W525" s="1285">
        <f>IF($H525&gt;0,$H525,IF(Table6[[#This Row],[CFrisk for residue definition (applicable for unprocessed products)]]&gt;0,Table6[[#This Row],[CFrisk for residue definition (applicable for unprocessed products)]],1))</f>
        <v>1</v>
      </c>
      <c r="X525" s="1295">
        <v>0.01</v>
      </c>
      <c r="Y525" s="1285">
        <f t="shared" si="318"/>
        <v>0.01</v>
      </c>
      <c r="Z525" s="1285">
        <f t="shared" si="319"/>
        <v>0.01</v>
      </c>
      <c r="AA525" s="1285" t="str">
        <f>IF(Table6[[#This Row],[Post-harvest treatment]]="","","Y")</f>
        <v/>
      </c>
      <c r="AB525" s="1285" t="str">
        <f>IF(AND(Table6[[#This Row],[CF used for for calculation]]&lt;&gt;1,Table6[[#This Row],[PF for calculation]]&lt;&gt;1),"CF*PF",IF(Table6[[#This Row],[CF used for for calculation]]&lt;&gt;1,"CF",IF(Table6[[#This Row],[PF for calculation]]&lt;&gt;1,"PF","")))</f>
        <v>PF</v>
      </c>
      <c r="AC525" s="1300">
        <f>IF(AND(Table6[[#This Row],[LOQ RAC individual crop]]="Y",Table6[[#This Row],[GAP under assessment]]="N"),Table6[[#This Row],[MRL RAC individual commodity]],Table6[[#This Row],[MRL RAC individual commodity]]*Table6[[#This Row],[CF*PF for calculation]])</f>
        <v>0</v>
      </c>
      <c r="AD525" s="1287">
        <f t="shared" si="320"/>
        <v>0</v>
      </c>
      <c r="AE525" s="1287">
        <f t="shared" si="321"/>
        <v>0</v>
      </c>
      <c r="AF525" s="1288">
        <f>Table6[[#This Row],[IESTI case]]</f>
        <v>3</v>
      </c>
      <c r="AG52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25" s="1302" t="str">
        <f>IF(Table6[[#This Row],[Input value normal mode case 1, 2a/2b,Po]]&gt;0,
              IF(Table6[[#This Row],[Highest residue * CF*PF]]&gt;"","HR-RAC",
                             IF(Table6[[#This Row],[LOQ RAC individual crop]]="Y","LOQ","MRL")),"")</f>
        <v/>
      </c>
      <c r="AI525" s="1302" t="str">
        <f t="shared" si="322"/>
        <v/>
      </c>
      <c r="AJ525" s="1302" t="str">
        <f>IF(Table6[[#This Row],[Input value normal mode case 1, 2a/2b,Po]]&gt;0,IF(Table6[[#This Row],[label description]]&gt;"",Table6[[#This Row],[label description]],""),"")</f>
        <v/>
      </c>
      <c r="AK525" s="1302" t="str">
        <f>CONCATENATE(Table6[[#This Row],[label for IESTI normal mode case 1, 2a/2b,Po]],Table6[[#This Row],[label connector case  normal mode]],Table6[[#This Row],[label refinements normal mode case 1, 2a/2b,Po]])</f>
        <v/>
      </c>
      <c r="AL525" s="1287" t="str">
        <f>IF(AND(Table6[[#This Row],[Case for acute RA children / adults]]=3,Table6[[#This Row],[Post-harvest treatment]]=""),IF(AND(Table6[[#This Row],[LOQ RAC individual crop]]="Y",M524="N"),Table6[[#This Row],[MRL RAC individual commodity]],IF(Table6[[#This Row],[Median residue*CF*PF]]&gt;0,Table6[[#This Row],[Median residue*CF*PF]],IF(Table6[[#This Row],[MRL*CF*PF or LOQ (if not under assessment and LOQ)]]&gt;0,Table6[[#This Row],[MRL*CF*PF or LOQ (if not under assessment and LOQ)]],""))),"")</f>
        <v/>
      </c>
      <c r="AM525" s="1295" t="str">
        <f>IF(Table6[[#This Row],[input for case 3 normal mode]]&gt;0,IF(Table6[[#This Row],[Median residue*CF*PF]]&gt;0,"STMR-RAC",IF(AND($AC525&gt;0,NOT(V525="Y")),"MRL",IF($V525="Y","LOQ",""))),"")</f>
        <v/>
      </c>
      <c r="AN525" s="1295" t="str">
        <f t="shared" si="323"/>
        <v/>
      </c>
      <c r="AO525" s="1287" t="str">
        <f>IF(Table6[[#This Row],[input for case 3 normal mode]]="","",IF(AND(Table6[[#This Row],[label for case 3 calculation normal mode]]="LOQ",Table6[[#This Row],[GAP under assessment]]="N"),"",IF(Table6[[#This Row],[label description]]&gt;"",Table6[[#This Row],[label description]],"")))</f>
        <v/>
      </c>
      <c r="AP525" s="1287" t="str">
        <f>CONCATENATE(Table6[[#This Row],[label for case 3 calculation normal mode]],Table6[[#This Row],[label connector case 3 normal mode]],Table6[[#This Row],[label refinements case 3 normal mode]])</f>
        <v/>
      </c>
      <c r="AQ525" s="1287" t="str">
        <f>IF(Table6[[#This Row],[GAP under assessment]]="Y",Table6[[#This Row],[Input value normal mode case 1, 2a/2b,Po]],"")</f>
        <v/>
      </c>
      <c r="AR525" s="1287" t="str">
        <f>IF(Table6[[#This Row],[Input value refined mode case 1, 2a/2b,Po]]&gt;0,Table6[[#This Row],[concat label normal mode 1,2a/2b,Po ]],"")</f>
        <v/>
      </c>
      <c r="AS525" s="1303" t="str">
        <f>IF(Table6[[#This Row],[GAP under assessment]]="Y",Table6[[#This Row],[input for case 3 normal mode]],"")</f>
        <v/>
      </c>
      <c r="AT525" s="1287" t="str">
        <f>IF(Table6[[#This Row],[input for case 3 refined mode]]&gt;0,Table6[[#This Row],[concat label normal mode  case 3]],"")</f>
        <v/>
      </c>
      <c r="AU525" s="1295" t="str">
        <f>IF(Table6[[#This Row],[Input value normal mode case 1, 2a/2b,Po]]&gt;0,Table6[[#This Row],[Input value normal mode case 1, 2a/2b,Po]],Table6[[#This Row],[input for case 3 normal mode]])</f>
        <v/>
      </c>
      <c r="AV525" s="1295" t="str">
        <f>IF(Table6[[#This Row],[Input value normal mode case 1, 2a/2b,Po]]&gt;0,Table6[[#This Row],[concat label normal mode 1,2a/2b,Po ]],Table6[[#This Row],[concat label normal mode  case 3]])</f>
        <v/>
      </c>
      <c r="AW525" s="1295" t="str">
        <f>IF(Table6[[#This Row],[Input value refined mode case 1, 2a/2b,Po]]&gt;0,Table6[[#This Row],[Input value refined mode case 1, 2a/2b,Po]],Table6[[#This Row],[input for case 3 refined mode]])</f>
        <v/>
      </c>
      <c r="AX525" s="1295" t="str">
        <f>IF(Table6[[#This Row],[Input value refined mode case 1, 2a/2b,Po]]&gt;0,Table6[[#This Row],[concat label refined mode case 1,2a/2b,Po]],Table6[[#This Row],[label for case 3 calculation refined mode]])</f>
        <v/>
      </c>
      <c r="AY525" s="1287">
        <f t="shared" si="324"/>
        <v>0</v>
      </c>
      <c r="AZ525" s="1295" t="str">
        <f t="shared" si="325"/>
        <v/>
      </c>
      <c r="BA525" s="1295" t="str">
        <f t="shared" si="326"/>
        <v/>
      </c>
      <c r="BB525" s="1287" t="str">
        <f>IF(AND(Table6[[#This Row],[label for IESTI new normal mode]]="LOQ",Table6[[#This Row],[GAP under assessment]]="N"),"",IF(AND($H525&gt;0,$Y525&lt;&gt;1),"CF*PF",IF($H525&gt;0,"CF",IF($Y525&lt;&gt;1,"PF",""))))</f>
        <v>PF</v>
      </c>
      <c r="BC525" s="1296" t="s">
        <v>369</v>
      </c>
      <c r="BD525" s="1297"/>
      <c r="BE525" s="1304" t="str">
        <f>IF(Table6[[#This Row],[GAP under assessment]]="Y",Table6[[#This Row],[MRL*CF*PF or LOQ (if not under assessment and LOQ)]],"")</f>
        <v/>
      </c>
      <c r="BF525" s="1305" t="str">
        <f>IF(Table6[[#This Row],[Input for IESTI new refined mode]]&lt;&gt;"",CONCATENATE("MRL",Table6[[#This Row],[label connector case 3 normal mode]],Table6[[#This Row],[label refinements case 3 normal mode]]),"")</f>
        <v/>
      </c>
      <c r="BG525" s="1298" t="s">
        <v>605</v>
      </c>
      <c r="BH525" s="1306"/>
    </row>
    <row r="526" spans="1:60" s="11" customFormat="1" ht="12.75" customHeight="1" x14ac:dyDescent="0.2">
      <c r="A526" s="479" t="s">
        <v>488</v>
      </c>
      <c r="B526" s="480">
        <v>632020</v>
      </c>
      <c r="C526" s="547" t="s">
        <v>413</v>
      </c>
      <c r="D526" s="1261">
        <f>VLOOKUP(Table6[[#This Row],[Code no.]],$B$12:$D$390,3,FALSE)</f>
        <v>0</v>
      </c>
      <c r="E526" s="1264">
        <f t="shared" si="310"/>
        <v>0</v>
      </c>
      <c r="F526" s="1262" t="str">
        <f t="shared" si="308"/>
        <v/>
      </c>
      <c r="G526" s="1265">
        <f t="shared" si="311"/>
        <v>1</v>
      </c>
      <c r="H526" s="881"/>
      <c r="I526" s="882"/>
      <c r="J526" s="1269">
        <f t="shared" si="312"/>
        <v>0</v>
      </c>
      <c r="K526" s="1269">
        <f t="shared" si="313"/>
        <v>0</v>
      </c>
      <c r="L526" s="1270"/>
      <c r="M526" s="1271" t="str">
        <f t="shared" si="314"/>
        <v/>
      </c>
      <c r="N526" s="1272"/>
      <c r="O526" s="1273">
        <v>3</v>
      </c>
      <c r="P526" s="1273" t="str">
        <f>IF(OR($A$10=$BG$15,Results!$B$62=Results!$T$63),Table6[[#This Row],[label refine mode]],Table6[[#This Row],[label normal mode]])</f>
        <v/>
      </c>
      <c r="Q526" s="1257" t="str">
        <f>IF(OR($A$10=$BG$15,Results!$B$62=Results!$T$63),Table6[[#This Row],[input refined mode]],Table6[[#This Row],[Input normal mode]])</f>
        <v/>
      </c>
      <c r="R526" s="1275" t="str">
        <f>IF(Table6[[#This Row],[Acute RA IESTI new input value]]="","",CONCATENATE(Table6[[#This Row],[label for IESTI new normal mode]],Table6[[#This Row],[label connector IESTI new normal mode]],Table6[[#This Row],[label refinements normal mode]]))</f>
        <v/>
      </c>
      <c r="S526" s="1259">
        <f>IF(OR($A$10=$BG$15,Results!$B$62=Results!$T$63),Table6[[#This Row],[Input for IESTI new refined mode]],Table6[[#This Row],[Input for IESTI new normal mode]])</f>
        <v>0</v>
      </c>
      <c r="T526" s="888"/>
      <c r="U526" s="1283">
        <f t="shared" si="316"/>
        <v>0</v>
      </c>
      <c r="V526" s="1284" t="str">
        <f t="shared" si="317"/>
        <v/>
      </c>
      <c r="W526" s="1285">
        <f>IF($H526&gt;0,$H526,IF(Table6[[#This Row],[CFrisk for residue definition (applicable for unprocessed products)]]&gt;0,Table6[[#This Row],[CFrisk for residue definition (applicable for unprocessed products)]],1))</f>
        <v>1</v>
      </c>
      <c r="X526" s="1295">
        <v>0.01</v>
      </c>
      <c r="Y526" s="1285">
        <f t="shared" si="318"/>
        <v>0.01</v>
      </c>
      <c r="Z526" s="1285">
        <f t="shared" si="319"/>
        <v>0.01</v>
      </c>
      <c r="AA526" s="1285" t="str">
        <f>IF(Table6[[#This Row],[Post-harvest treatment]]="","","Y")</f>
        <v/>
      </c>
      <c r="AB526" s="1285" t="str">
        <f>IF(AND(Table6[[#This Row],[CF used for for calculation]]&lt;&gt;1,Table6[[#This Row],[PF for calculation]]&lt;&gt;1),"CF*PF",IF(Table6[[#This Row],[CF used for for calculation]]&lt;&gt;1,"CF",IF(Table6[[#This Row],[PF for calculation]]&lt;&gt;1,"PF","")))</f>
        <v>PF</v>
      </c>
      <c r="AC526" s="1300">
        <f>IF(AND(Table6[[#This Row],[LOQ RAC individual crop]]="Y",Table6[[#This Row],[GAP under assessment]]="N"),Table6[[#This Row],[MRL RAC individual commodity]],Table6[[#This Row],[MRL RAC individual commodity]]*Table6[[#This Row],[CF*PF for calculation]])</f>
        <v>0</v>
      </c>
      <c r="AD526" s="1287">
        <f t="shared" si="320"/>
        <v>0</v>
      </c>
      <c r="AE526" s="1287">
        <f t="shared" si="321"/>
        <v>0</v>
      </c>
      <c r="AF526" s="1288">
        <f>Table6[[#This Row],[IESTI case]]</f>
        <v>3</v>
      </c>
      <c r="AG52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26" s="1302" t="str">
        <f>IF(Table6[[#This Row],[Input value normal mode case 1, 2a/2b,Po]]&gt;0,
              IF(Table6[[#This Row],[Highest residue * CF*PF]]&gt;"","HR-RAC",
                             IF(Table6[[#This Row],[LOQ RAC individual crop]]="Y","LOQ","MRL")),"")</f>
        <v/>
      </c>
      <c r="AI526" s="1302" t="str">
        <f t="shared" si="322"/>
        <v/>
      </c>
      <c r="AJ526" s="1302" t="str">
        <f>IF(Table6[[#This Row],[Input value normal mode case 1, 2a/2b,Po]]&gt;0,IF(Table6[[#This Row],[label description]]&gt;"",Table6[[#This Row],[label description]],""),"")</f>
        <v/>
      </c>
      <c r="AK526" s="1302" t="str">
        <f>CONCATENATE(Table6[[#This Row],[label for IESTI normal mode case 1, 2a/2b,Po]],Table6[[#This Row],[label connector case  normal mode]],Table6[[#This Row],[label refinements normal mode case 1, 2a/2b,Po]])</f>
        <v/>
      </c>
      <c r="AL526" s="1287" t="str">
        <f>IF(AND(Table6[[#This Row],[Case for acute RA children / adults]]=3,Table6[[#This Row],[Post-harvest treatment]]=""),IF(AND(Table6[[#This Row],[LOQ RAC individual crop]]="Y",M525="N"),Table6[[#This Row],[MRL RAC individual commodity]],IF(Table6[[#This Row],[Median residue*CF*PF]]&gt;0,Table6[[#This Row],[Median residue*CF*PF]],IF(Table6[[#This Row],[MRL*CF*PF or LOQ (if not under assessment and LOQ)]]&gt;0,Table6[[#This Row],[MRL*CF*PF or LOQ (if not under assessment and LOQ)]],""))),"")</f>
        <v/>
      </c>
      <c r="AM526" s="1295" t="str">
        <f>IF(Table6[[#This Row],[input for case 3 normal mode]]&gt;0,IF(Table6[[#This Row],[Median residue*CF*PF]]&gt;0,"STMR-RAC",IF(AND($AC526&gt;0,NOT(V526="Y")),"MRL",IF($V526="Y","LOQ",""))),"")</f>
        <v/>
      </c>
      <c r="AN526" s="1295" t="str">
        <f t="shared" si="323"/>
        <v/>
      </c>
      <c r="AO526" s="1287" t="str">
        <f>IF(Table6[[#This Row],[input for case 3 normal mode]]="","",IF(AND(Table6[[#This Row],[label for case 3 calculation normal mode]]="LOQ",Table6[[#This Row],[GAP under assessment]]="N"),"",IF(Table6[[#This Row],[label description]]&gt;"",Table6[[#This Row],[label description]],"")))</f>
        <v/>
      </c>
      <c r="AP526" s="1287" t="str">
        <f>CONCATENATE(Table6[[#This Row],[label for case 3 calculation normal mode]],Table6[[#This Row],[label connector case 3 normal mode]],Table6[[#This Row],[label refinements case 3 normal mode]])</f>
        <v/>
      </c>
      <c r="AQ526" s="1287" t="str">
        <f>IF(Table6[[#This Row],[GAP under assessment]]="Y",Table6[[#This Row],[Input value normal mode case 1, 2a/2b,Po]],"")</f>
        <v/>
      </c>
      <c r="AR526" s="1287" t="str">
        <f>IF(Table6[[#This Row],[Input value refined mode case 1, 2a/2b,Po]]&gt;0,Table6[[#This Row],[concat label normal mode 1,2a/2b,Po ]],"")</f>
        <v/>
      </c>
      <c r="AS526" s="1303" t="str">
        <f>IF(Table6[[#This Row],[GAP under assessment]]="Y",Table6[[#This Row],[input for case 3 normal mode]],"")</f>
        <v/>
      </c>
      <c r="AT526" s="1287" t="str">
        <f>IF(Table6[[#This Row],[input for case 3 refined mode]]&gt;0,Table6[[#This Row],[concat label normal mode  case 3]],"")</f>
        <v/>
      </c>
      <c r="AU526" s="1295" t="str">
        <f>IF(Table6[[#This Row],[Input value normal mode case 1, 2a/2b,Po]]&gt;0,Table6[[#This Row],[Input value normal mode case 1, 2a/2b,Po]],Table6[[#This Row],[input for case 3 normal mode]])</f>
        <v/>
      </c>
      <c r="AV526" s="1295" t="str">
        <f>IF(Table6[[#This Row],[Input value normal mode case 1, 2a/2b,Po]]&gt;0,Table6[[#This Row],[concat label normal mode 1,2a/2b,Po ]],Table6[[#This Row],[concat label normal mode  case 3]])</f>
        <v/>
      </c>
      <c r="AW526" s="1295" t="str">
        <f>IF(Table6[[#This Row],[Input value refined mode case 1, 2a/2b,Po]]&gt;0,Table6[[#This Row],[Input value refined mode case 1, 2a/2b,Po]],Table6[[#This Row],[input for case 3 refined mode]])</f>
        <v/>
      </c>
      <c r="AX526" s="1295" t="str">
        <f>IF(Table6[[#This Row],[Input value refined mode case 1, 2a/2b,Po]]&gt;0,Table6[[#This Row],[concat label refined mode case 1,2a/2b,Po]],Table6[[#This Row],[label for case 3 calculation refined mode]])</f>
        <v/>
      </c>
      <c r="AY526" s="1287">
        <f t="shared" si="324"/>
        <v>0</v>
      </c>
      <c r="AZ526" s="1295" t="str">
        <f t="shared" si="325"/>
        <v/>
      </c>
      <c r="BA526" s="1295" t="str">
        <f t="shared" si="326"/>
        <v/>
      </c>
      <c r="BB526" s="1287" t="str">
        <f>IF(AND(Table6[[#This Row],[label for IESTI new normal mode]]="LOQ",Table6[[#This Row],[GAP under assessment]]="N"),"",IF(AND($H526&gt;0,$Y526&lt;&gt;1),"CF*PF",IF($H526&gt;0,"CF",IF($Y526&lt;&gt;1,"PF",""))))</f>
        <v>PF</v>
      </c>
      <c r="BC526" s="1296" t="s">
        <v>369</v>
      </c>
      <c r="BD526" s="1297"/>
      <c r="BE526" s="1304" t="str">
        <f>IF(Table6[[#This Row],[GAP under assessment]]="Y",Table6[[#This Row],[MRL*CF*PF or LOQ (if not under assessment and LOQ)]],"")</f>
        <v/>
      </c>
      <c r="BF526" s="1305" t="str">
        <f>IF(Table6[[#This Row],[Input for IESTI new refined mode]]&lt;&gt;"",CONCATENATE("MRL",Table6[[#This Row],[label connector case 3 normal mode]],Table6[[#This Row],[label refinements case 3 normal mode]]),"")</f>
        <v/>
      </c>
      <c r="BG526" s="1298" t="s">
        <v>488</v>
      </c>
      <c r="BH526" s="1306"/>
    </row>
    <row r="527" spans="1:60" s="11" customFormat="1" ht="12.75" customHeight="1" x14ac:dyDescent="0.2">
      <c r="A527" s="479" t="s">
        <v>606</v>
      </c>
      <c r="B527" s="480">
        <v>633010</v>
      </c>
      <c r="C527" s="547" t="s">
        <v>438</v>
      </c>
      <c r="D527" s="1261">
        <f>VLOOKUP(Table6[[#This Row],[Code no.]],$B$12:$D$390,3,FALSE)</f>
        <v>0</v>
      </c>
      <c r="E527" s="1264">
        <f t="shared" si="310"/>
        <v>0</v>
      </c>
      <c r="F527" s="1262" t="str">
        <f t="shared" si="308"/>
        <v/>
      </c>
      <c r="G527" s="1265">
        <f t="shared" si="311"/>
        <v>1</v>
      </c>
      <c r="H527" s="881"/>
      <c r="I527" s="882"/>
      <c r="J527" s="1269">
        <f t="shared" si="312"/>
        <v>0</v>
      </c>
      <c r="K527" s="1269">
        <f t="shared" si="313"/>
        <v>0</v>
      </c>
      <c r="L527" s="1270"/>
      <c r="M527" s="1271" t="str">
        <f t="shared" si="314"/>
        <v/>
      </c>
      <c r="N527" s="1272"/>
      <c r="O527" s="1273">
        <v>3</v>
      </c>
      <c r="P527" s="1273" t="str">
        <f>IF(OR($A$10=$BG$15,Results!$B$62=Results!$T$63),Table6[[#This Row],[label refine mode]],Table6[[#This Row],[label normal mode]])</f>
        <v/>
      </c>
      <c r="Q527" s="1257" t="str">
        <f>IF(OR($A$10=$BG$15,Results!$B$62=Results!$T$63),Table6[[#This Row],[input refined mode]],Table6[[#This Row],[Input normal mode]])</f>
        <v/>
      </c>
      <c r="R527" s="1275" t="str">
        <f>IF(Table6[[#This Row],[Acute RA IESTI new input value]]="","",CONCATENATE(Table6[[#This Row],[label for IESTI new normal mode]],Table6[[#This Row],[label connector IESTI new normal mode]],Table6[[#This Row],[label refinements normal mode]]))</f>
        <v/>
      </c>
      <c r="S527" s="1259">
        <f>IF(OR($A$10=$BG$15,Results!$B$62=Results!$T$63),Table6[[#This Row],[Input for IESTI new refined mode]],Table6[[#This Row],[Input for IESTI new normal mode]])</f>
        <v>0</v>
      </c>
      <c r="T527" s="888"/>
      <c r="U527" s="1283">
        <f t="shared" si="316"/>
        <v>0</v>
      </c>
      <c r="V527" s="1284" t="str">
        <f t="shared" si="317"/>
        <v/>
      </c>
      <c r="W527" s="1285">
        <f>IF($H527&gt;0,$H527,IF(Table6[[#This Row],[CFrisk for residue definition (applicable for unprocessed products)]]&gt;0,Table6[[#This Row],[CFrisk for residue definition (applicable for unprocessed products)]],1))</f>
        <v>1</v>
      </c>
      <c r="X527" s="1295">
        <v>0.01</v>
      </c>
      <c r="Y527" s="1285">
        <f t="shared" si="318"/>
        <v>0.01</v>
      </c>
      <c r="Z527" s="1285">
        <f t="shared" si="319"/>
        <v>0.01</v>
      </c>
      <c r="AA527" s="1285" t="str">
        <f>IF(Table6[[#This Row],[Post-harvest treatment]]="","","Y")</f>
        <v/>
      </c>
      <c r="AB527" s="1285" t="str">
        <f>IF(AND(Table6[[#This Row],[CF used for for calculation]]&lt;&gt;1,Table6[[#This Row],[PF for calculation]]&lt;&gt;1),"CF*PF",IF(Table6[[#This Row],[CF used for for calculation]]&lt;&gt;1,"CF",IF(Table6[[#This Row],[PF for calculation]]&lt;&gt;1,"PF","")))</f>
        <v>PF</v>
      </c>
      <c r="AC527" s="1300">
        <f>IF(AND(Table6[[#This Row],[LOQ RAC individual crop]]="Y",Table6[[#This Row],[GAP under assessment]]="N"),Table6[[#This Row],[MRL RAC individual commodity]],Table6[[#This Row],[MRL RAC individual commodity]]*Table6[[#This Row],[CF*PF for calculation]])</f>
        <v>0</v>
      </c>
      <c r="AD527" s="1287">
        <f t="shared" si="320"/>
        <v>0</v>
      </c>
      <c r="AE527" s="1287">
        <f t="shared" si="321"/>
        <v>0</v>
      </c>
      <c r="AF527" s="1288">
        <f>Table6[[#This Row],[IESTI case]]</f>
        <v>3</v>
      </c>
      <c r="AG52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27" s="1302" t="str">
        <f>IF(Table6[[#This Row],[Input value normal mode case 1, 2a/2b,Po]]&gt;0,
              IF(Table6[[#This Row],[Highest residue * CF*PF]]&gt;"","HR-RAC",
                             IF(Table6[[#This Row],[LOQ RAC individual crop]]="Y","LOQ","MRL")),"")</f>
        <v/>
      </c>
      <c r="AI527" s="1302" t="str">
        <f t="shared" si="322"/>
        <v/>
      </c>
      <c r="AJ527" s="1302" t="str">
        <f>IF(Table6[[#This Row],[Input value normal mode case 1, 2a/2b,Po]]&gt;0,IF(Table6[[#This Row],[label description]]&gt;"",Table6[[#This Row],[label description]],""),"")</f>
        <v/>
      </c>
      <c r="AK527" s="1302" t="str">
        <f>CONCATENATE(Table6[[#This Row],[label for IESTI normal mode case 1, 2a/2b,Po]],Table6[[#This Row],[label connector case  normal mode]],Table6[[#This Row],[label refinements normal mode case 1, 2a/2b,Po]])</f>
        <v/>
      </c>
      <c r="AL527" s="1287" t="str">
        <f>IF(AND(Table6[[#This Row],[Case for acute RA children / adults]]=3,Table6[[#This Row],[Post-harvest treatment]]=""),IF(AND(Table6[[#This Row],[LOQ RAC individual crop]]="Y",M526="N"),Table6[[#This Row],[MRL RAC individual commodity]],IF(Table6[[#This Row],[Median residue*CF*PF]]&gt;0,Table6[[#This Row],[Median residue*CF*PF]],IF(Table6[[#This Row],[MRL*CF*PF or LOQ (if not under assessment and LOQ)]]&gt;0,Table6[[#This Row],[MRL*CF*PF or LOQ (if not under assessment and LOQ)]],""))),"")</f>
        <v/>
      </c>
      <c r="AM527" s="1295" t="str">
        <f>IF(Table6[[#This Row],[input for case 3 normal mode]]&gt;0,IF(Table6[[#This Row],[Median residue*CF*PF]]&gt;0,"STMR-RAC",IF(AND($AC527&gt;0,NOT(V527="Y")),"MRL",IF($V527="Y","LOQ",""))),"")</f>
        <v/>
      </c>
      <c r="AN527" s="1295" t="str">
        <f t="shared" si="323"/>
        <v/>
      </c>
      <c r="AO527" s="1287" t="str">
        <f>IF(Table6[[#This Row],[input for case 3 normal mode]]="","",IF(AND(Table6[[#This Row],[label for case 3 calculation normal mode]]="LOQ",Table6[[#This Row],[GAP under assessment]]="N"),"",IF(Table6[[#This Row],[label description]]&gt;"",Table6[[#This Row],[label description]],"")))</f>
        <v/>
      </c>
      <c r="AP527" s="1287" t="str">
        <f>CONCATENATE(Table6[[#This Row],[label for case 3 calculation normal mode]],Table6[[#This Row],[label connector case 3 normal mode]],Table6[[#This Row],[label refinements case 3 normal mode]])</f>
        <v/>
      </c>
      <c r="AQ527" s="1287" t="str">
        <f>IF(Table6[[#This Row],[GAP under assessment]]="Y",Table6[[#This Row],[Input value normal mode case 1, 2a/2b,Po]],"")</f>
        <v/>
      </c>
      <c r="AR527" s="1287" t="str">
        <f>IF(Table6[[#This Row],[Input value refined mode case 1, 2a/2b,Po]]&gt;0,Table6[[#This Row],[concat label normal mode 1,2a/2b,Po ]],"")</f>
        <v/>
      </c>
      <c r="AS527" s="1303" t="str">
        <f>IF(Table6[[#This Row],[GAP under assessment]]="Y",Table6[[#This Row],[input for case 3 normal mode]],"")</f>
        <v/>
      </c>
      <c r="AT527" s="1287" t="str">
        <f>IF(Table6[[#This Row],[input for case 3 refined mode]]&gt;0,Table6[[#This Row],[concat label normal mode  case 3]],"")</f>
        <v/>
      </c>
      <c r="AU527" s="1295" t="str">
        <f>IF(Table6[[#This Row],[Input value normal mode case 1, 2a/2b,Po]]&gt;0,Table6[[#This Row],[Input value normal mode case 1, 2a/2b,Po]],Table6[[#This Row],[input for case 3 normal mode]])</f>
        <v/>
      </c>
      <c r="AV527" s="1295" t="str">
        <f>IF(Table6[[#This Row],[Input value normal mode case 1, 2a/2b,Po]]&gt;0,Table6[[#This Row],[concat label normal mode 1,2a/2b,Po ]],Table6[[#This Row],[concat label normal mode  case 3]])</f>
        <v/>
      </c>
      <c r="AW527" s="1295" t="str">
        <f>IF(Table6[[#This Row],[Input value refined mode case 1, 2a/2b,Po]]&gt;0,Table6[[#This Row],[Input value refined mode case 1, 2a/2b,Po]],Table6[[#This Row],[input for case 3 refined mode]])</f>
        <v/>
      </c>
      <c r="AX527" s="1295" t="str">
        <f>IF(Table6[[#This Row],[Input value refined mode case 1, 2a/2b,Po]]&gt;0,Table6[[#This Row],[concat label refined mode case 1,2a/2b,Po]],Table6[[#This Row],[label for case 3 calculation refined mode]])</f>
        <v/>
      </c>
      <c r="AY527" s="1287">
        <f t="shared" si="324"/>
        <v>0</v>
      </c>
      <c r="AZ527" s="1295" t="str">
        <f t="shared" si="325"/>
        <v/>
      </c>
      <c r="BA527" s="1295" t="str">
        <f t="shared" si="326"/>
        <v/>
      </c>
      <c r="BB527" s="1287" t="str">
        <f>IF(AND(Table6[[#This Row],[label for IESTI new normal mode]]="LOQ",Table6[[#This Row],[GAP under assessment]]="N"),"",IF(AND($H527&gt;0,$Y527&lt;&gt;1),"CF*PF",IF($H527&gt;0,"CF",IF($Y527&lt;&gt;1,"PF",""))))</f>
        <v>PF</v>
      </c>
      <c r="BC527" s="1296" t="s">
        <v>369</v>
      </c>
      <c r="BD527" s="1297"/>
      <c r="BE527" s="1304" t="str">
        <f>IF(Table6[[#This Row],[GAP under assessment]]="Y",Table6[[#This Row],[MRL*CF*PF or LOQ (if not under assessment and LOQ)]],"")</f>
        <v/>
      </c>
      <c r="BF527" s="1305" t="str">
        <f>IF(Table6[[#This Row],[Input for IESTI new refined mode]]&lt;&gt;"",CONCATENATE("MRL",Table6[[#This Row],[label connector case 3 normal mode]],Table6[[#This Row],[label refinements case 3 normal mode]]),"")</f>
        <v/>
      </c>
      <c r="BG527" s="1298" t="s">
        <v>606</v>
      </c>
      <c r="BH527" s="1306"/>
    </row>
    <row r="528" spans="1:60" s="11" customFormat="1" ht="12.75" customHeight="1" x14ac:dyDescent="0.2">
      <c r="A528" s="479" t="s">
        <v>588</v>
      </c>
      <c r="B528" s="480">
        <v>640000</v>
      </c>
      <c r="C528" s="547" t="s">
        <v>433</v>
      </c>
      <c r="D528" s="1261">
        <f>VLOOKUP(Table6[[#This Row],[Code no.]],$B$12:$D$390,3,FALSE)</f>
        <v>0</v>
      </c>
      <c r="E528" s="1264">
        <f t="shared" si="310"/>
        <v>0</v>
      </c>
      <c r="F528" s="1262" t="str">
        <f t="shared" si="308"/>
        <v/>
      </c>
      <c r="G528" s="1265">
        <f t="shared" si="311"/>
        <v>1</v>
      </c>
      <c r="H528" s="881"/>
      <c r="I528" s="882"/>
      <c r="J528" s="1269">
        <f t="shared" si="312"/>
        <v>0</v>
      </c>
      <c r="K528" s="1269">
        <f t="shared" si="313"/>
        <v>0</v>
      </c>
      <c r="L528" s="1270"/>
      <c r="M528" s="1271" t="str">
        <f t="shared" si="314"/>
        <v/>
      </c>
      <c r="N528" s="1272"/>
      <c r="O528" s="1273">
        <v>3</v>
      </c>
      <c r="P528" s="1273" t="str">
        <f>IF(OR($A$10=$BG$15,Results!$B$62=Results!$T$63),Table6[[#This Row],[label refine mode]],Table6[[#This Row],[label normal mode]])</f>
        <v/>
      </c>
      <c r="Q528" s="1257" t="str">
        <f>IF(OR($A$10=$BG$15,Results!$B$62=Results!$T$63),Table6[[#This Row],[input refined mode]],Table6[[#This Row],[Input normal mode]])</f>
        <v/>
      </c>
      <c r="R528" s="1275" t="str">
        <f>IF(Table6[[#This Row],[Acute RA IESTI new input value]]="","",CONCATENATE(Table6[[#This Row],[label for IESTI new normal mode]],Table6[[#This Row],[label connector IESTI new normal mode]],Table6[[#This Row],[label refinements normal mode]]))</f>
        <v/>
      </c>
      <c r="S528" s="1259">
        <f>IF(OR($A$10=$BG$15,Results!$B$62=Results!$T$63),Table6[[#This Row],[Input for IESTI new refined mode]],Table6[[#This Row],[Input for IESTI new normal mode]])</f>
        <v>0</v>
      </c>
      <c r="T528" s="888"/>
      <c r="U528" s="1283">
        <f t="shared" si="316"/>
        <v>0</v>
      </c>
      <c r="V528" s="1284" t="str">
        <f t="shared" si="317"/>
        <v/>
      </c>
      <c r="W528" s="1285">
        <f>IF($H528&gt;0,$H528,IF(Table6[[#This Row],[CFrisk for residue definition (applicable for unprocessed products)]]&gt;0,Table6[[#This Row],[CFrisk for residue definition (applicable for unprocessed products)]],1))</f>
        <v>1</v>
      </c>
      <c r="X528" s="1285">
        <v>0.03</v>
      </c>
      <c r="Y528" s="1285">
        <f t="shared" si="318"/>
        <v>0.03</v>
      </c>
      <c r="Z528" s="1285">
        <f t="shared" si="319"/>
        <v>0.03</v>
      </c>
      <c r="AA528" s="1285" t="str">
        <f>IF(Table6[[#This Row],[Post-harvest treatment]]="","","Y")</f>
        <v/>
      </c>
      <c r="AB528" s="1285" t="str">
        <f>IF(AND(Table6[[#This Row],[CF used for for calculation]]&lt;&gt;1,Table6[[#This Row],[PF for calculation]]&lt;&gt;1),"CF*PF",IF(Table6[[#This Row],[CF used for for calculation]]&lt;&gt;1,"CF",IF(Table6[[#This Row],[PF for calculation]]&lt;&gt;1,"PF","")))</f>
        <v>PF</v>
      </c>
      <c r="AC528" s="1300">
        <f>IF(AND(Table6[[#This Row],[LOQ RAC individual crop]]="Y",Table6[[#This Row],[GAP under assessment]]="N"),Table6[[#This Row],[MRL RAC individual commodity]],Table6[[#This Row],[MRL RAC individual commodity]]*Table6[[#This Row],[CF*PF for calculation]])</f>
        <v>0</v>
      </c>
      <c r="AD528" s="1287">
        <f t="shared" si="320"/>
        <v>0</v>
      </c>
      <c r="AE528" s="1287">
        <f t="shared" si="321"/>
        <v>0</v>
      </c>
      <c r="AF528" s="1288">
        <f>Table6[[#This Row],[IESTI case]]</f>
        <v>3</v>
      </c>
      <c r="AG528"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28" s="1302" t="str">
        <f>IF(Table6[[#This Row],[Input value normal mode case 1, 2a/2b,Po]]&gt;0,
              IF(Table6[[#This Row],[Highest residue * CF*PF]]&gt;"","HR-RAC",
                             IF(Table6[[#This Row],[LOQ RAC individual crop]]="Y","LOQ","MRL")),"")</f>
        <v/>
      </c>
      <c r="AI528" s="1302" t="str">
        <f t="shared" si="322"/>
        <v/>
      </c>
      <c r="AJ528" s="1302" t="str">
        <f>IF(Table6[[#This Row],[Input value normal mode case 1, 2a/2b,Po]]&gt;0,IF(Table6[[#This Row],[label description]]&gt;"",Table6[[#This Row],[label description]],""),"")</f>
        <v/>
      </c>
      <c r="AK528" s="1302" t="str">
        <f>CONCATENATE(Table6[[#This Row],[label for IESTI normal mode case 1, 2a/2b,Po]],Table6[[#This Row],[label connector case  normal mode]],Table6[[#This Row],[label refinements normal mode case 1, 2a/2b,Po]])</f>
        <v/>
      </c>
      <c r="AL528" s="1287" t="str">
        <f>IF(AND(Table6[[#This Row],[Case for acute RA children / adults]]=3,Table6[[#This Row],[Post-harvest treatment]]=""),IF(AND(Table6[[#This Row],[LOQ RAC individual crop]]="Y",M527="N"),Table6[[#This Row],[MRL RAC individual commodity]],IF(Table6[[#This Row],[Median residue*CF*PF]]&gt;0,Table6[[#This Row],[Median residue*CF*PF]],IF(Table6[[#This Row],[MRL*CF*PF or LOQ (if not under assessment and LOQ)]]&gt;0,Table6[[#This Row],[MRL*CF*PF or LOQ (if not under assessment and LOQ)]],""))),"")</f>
        <v/>
      </c>
      <c r="AM528" s="1295" t="str">
        <f>IF(Table6[[#This Row],[input for case 3 normal mode]]&gt;0,IF(Table6[[#This Row],[Median residue*CF*PF]]&gt;0,"STMR-RAC",IF(AND($AC528&gt;0,NOT(V528="Y")),"MRL",IF($V528="Y","LOQ",""))),"")</f>
        <v/>
      </c>
      <c r="AN528" s="1295" t="str">
        <f t="shared" si="323"/>
        <v/>
      </c>
      <c r="AO528" s="1287" t="str">
        <f>IF(Table6[[#This Row],[input for case 3 normal mode]]="","",IF(AND(Table6[[#This Row],[label for case 3 calculation normal mode]]="LOQ",Table6[[#This Row],[GAP under assessment]]="N"),"",IF(Table6[[#This Row],[label description]]&gt;"",Table6[[#This Row],[label description]],"")))</f>
        <v/>
      </c>
      <c r="AP528" s="1287" t="str">
        <f>CONCATENATE(Table6[[#This Row],[label for case 3 calculation normal mode]],Table6[[#This Row],[label connector case 3 normal mode]],Table6[[#This Row],[label refinements case 3 normal mode]])</f>
        <v/>
      </c>
      <c r="AQ528" s="1287" t="str">
        <f>IF(Table6[[#This Row],[GAP under assessment]]="Y",Table6[[#This Row],[Input value normal mode case 1, 2a/2b,Po]],"")</f>
        <v/>
      </c>
      <c r="AR528" s="1287" t="str">
        <f>IF(Table6[[#This Row],[Input value refined mode case 1, 2a/2b,Po]]&gt;0,Table6[[#This Row],[concat label normal mode 1,2a/2b,Po ]],"")</f>
        <v/>
      </c>
      <c r="AS528" s="1303" t="str">
        <f>IF(Table6[[#This Row],[GAP under assessment]]="Y",Table6[[#This Row],[input for case 3 normal mode]],"")</f>
        <v/>
      </c>
      <c r="AT528" s="1287" t="str">
        <f>IF(Table6[[#This Row],[input for case 3 refined mode]]&gt;0,Table6[[#This Row],[concat label normal mode  case 3]],"")</f>
        <v/>
      </c>
      <c r="AU528" s="1295" t="str">
        <f>IF(Table6[[#This Row],[Input value normal mode case 1, 2a/2b,Po]]&gt;0,Table6[[#This Row],[Input value normal mode case 1, 2a/2b,Po]],Table6[[#This Row],[input for case 3 normal mode]])</f>
        <v/>
      </c>
      <c r="AV528" s="1295" t="str">
        <f>IF(Table6[[#This Row],[Input value normal mode case 1, 2a/2b,Po]]&gt;0,Table6[[#This Row],[concat label normal mode 1,2a/2b,Po ]],Table6[[#This Row],[concat label normal mode  case 3]])</f>
        <v/>
      </c>
      <c r="AW528" s="1295" t="str">
        <f>IF(Table6[[#This Row],[Input value refined mode case 1, 2a/2b,Po]]&gt;0,Table6[[#This Row],[Input value refined mode case 1, 2a/2b,Po]],Table6[[#This Row],[input for case 3 refined mode]])</f>
        <v/>
      </c>
      <c r="AX528" s="1295" t="str">
        <f>IF(Table6[[#This Row],[Input value refined mode case 1, 2a/2b,Po]]&gt;0,Table6[[#This Row],[concat label refined mode case 1,2a/2b,Po]],Table6[[#This Row],[label for case 3 calculation refined mode]])</f>
        <v/>
      </c>
      <c r="AY528" s="1287">
        <f t="shared" si="324"/>
        <v>0</v>
      </c>
      <c r="AZ528" s="1295" t="str">
        <f t="shared" si="325"/>
        <v/>
      </c>
      <c r="BA528" s="1295" t="str">
        <f t="shared" si="326"/>
        <v/>
      </c>
      <c r="BB528" s="1287" t="str">
        <f>IF(AND(Table6[[#This Row],[label for IESTI new normal mode]]="LOQ",Table6[[#This Row],[GAP under assessment]]="N"),"",IF(AND($H528&gt;0,$Y528&lt;&gt;1),"CF*PF",IF($H528&gt;0,"CF",IF($Y528&lt;&gt;1,"PF",""))))</f>
        <v>PF</v>
      </c>
      <c r="BC528" s="1296" t="s">
        <v>369</v>
      </c>
      <c r="BD528" s="1297"/>
      <c r="BE528" s="1304" t="str">
        <f>IF(Table6[[#This Row],[GAP under assessment]]="Y",Table6[[#This Row],[MRL*CF*PF or LOQ (if not under assessment and LOQ)]],"")</f>
        <v/>
      </c>
      <c r="BF528" s="1305" t="str">
        <f>IF(Table6[[#This Row],[Input for IESTI new refined mode]]&lt;&gt;"",CONCATENATE("MRL",Table6[[#This Row],[label connector case 3 normal mode]],Table6[[#This Row],[label refinements case 3 normal mode]]),"")</f>
        <v/>
      </c>
      <c r="BG528" s="1298" t="s">
        <v>588</v>
      </c>
      <c r="BH528" s="1306"/>
    </row>
    <row r="529" spans="1:60" s="11" customFormat="1" ht="12.75" customHeight="1" x14ac:dyDescent="0.2">
      <c r="A529" s="479" t="s">
        <v>581</v>
      </c>
      <c r="B529" s="480">
        <v>650000</v>
      </c>
      <c r="C529" s="547" t="s">
        <v>478</v>
      </c>
      <c r="D529" s="1261">
        <f>VLOOKUP(Table6[[#This Row],[Code no.]],$B$12:$D$390,3,FALSE)</f>
        <v>0</v>
      </c>
      <c r="E529" s="1264">
        <f t="shared" si="310"/>
        <v>0</v>
      </c>
      <c r="F529" s="1262" t="str">
        <f t="shared" si="308"/>
        <v/>
      </c>
      <c r="G529" s="1265">
        <f t="shared" si="311"/>
        <v>1</v>
      </c>
      <c r="H529" s="881"/>
      <c r="I529" s="880"/>
      <c r="J529" s="1269">
        <f t="shared" si="312"/>
        <v>0</v>
      </c>
      <c r="K529" s="1269">
        <f t="shared" si="313"/>
        <v>0</v>
      </c>
      <c r="L529" s="1270"/>
      <c r="M529" s="1271" t="str">
        <f t="shared" si="314"/>
        <v/>
      </c>
      <c r="N529" s="1272"/>
      <c r="O529" s="1273">
        <v>3</v>
      </c>
      <c r="P529" s="1273" t="str">
        <f>IF(OR($A$10=$BG$15,Results!$B$62=Results!$T$63),Table6[[#This Row],[label refine mode]],Table6[[#This Row],[label normal mode]])</f>
        <v/>
      </c>
      <c r="Q529" s="1257" t="str">
        <f>IF(OR($A$10=$BG$15,Results!$B$62=Results!$T$63),Table6[[#This Row],[input refined mode]],Table6[[#This Row],[Input normal mode]])</f>
        <v/>
      </c>
      <c r="R529" s="1275" t="str">
        <f>IF(Table6[[#This Row],[Acute RA IESTI new input value]]="","",CONCATENATE(Table6[[#This Row],[label for IESTI new normal mode]],Table6[[#This Row],[label connector IESTI new normal mode]],Table6[[#This Row],[label refinements normal mode]]))</f>
        <v/>
      </c>
      <c r="S529" s="1259">
        <f>IF(OR($A$10=$BG$15,Results!$B$62=Results!$T$63),Table6[[#This Row],[Input for IESTI new refined mode]],Table6[[#This Row],[Input for IESTI new normal mode]])</f>
        <v>0</v>
      </c>
      <c r="T529" s="888"/>
      <c r="U529" s="1283">
        <f t="shared" si="316"/>
        <v>0</v>
      </c>
      <c r="V529" s="1284" t="str">
        <f t="shared" si="317"/>
        <v/>
      </c>
      <c r="W529" s="1285">
        <f>IF($H529&gt;0,$H529,IF(Table6[[#This Row],[CFrisk for residue definition (applicable for unprocessed products)]]&gt;0,Table6[[#This Row],[CFrisk for residue definition (applicable for unprocessed products)]],1))</f>
        <v>1</v>
      </c>
      <c r="X529" s="1285">
        <v>1</v>
      </c>
      <c r="Y529" s="1285">
        <f t="shared" si="318"/>
        <v>1</v>
      </c>
      <c r="Z529" s="1285">
        <f t="shared" si="319"/>
        <v>1</v>
      </c>
      <c r="AA529" s="1285" t="str">
        <f>IF(Table6[[#This Row],[Post-harvest treatment]]="","","Y")</f>
        <v/>
      </c>
      <c r="AB529" s="1285" t="str">
        <f>IF(AND(Table6[[#This Row],[CF used for for calculation]]&lt;&gt;1,Table6[[#This Row],[PF for calculation]]&lt;&gt;1),"CF*PF",IF(Table6[[#This Row],[CF used for for calculation]]&lt;&gt;1,"CF",IF(Table6[[#This Row],[PF for calculation]]&lt;&gt;1,"PF","")))</f>
        <v/>
      </c>
      <c r="AC529" s="1300">
        <f>IF(AND(Table6[[#This Row],[LOQ RAC individual crop]]="Y",Table6[[#This Row],[GAP under assessment]]="N"),Table6[[#This Row],[MRL RAC individual commodity]],Table6[[#This Row],[MRL RAC individual commodity]]*Table6[[#This Row],[CF*PF for calculation]])</f>
        <v>0</v>
      </c>
      <c r="AD529" s="1287">
        <f t="shared" si="320"/>
        <v>0</v>
      </c>
      <c r="AE529" s="1287">
        <f t="shared" si="321"/>
        <v>0</v>
      </c>
      <c r="AF529" s="1288">
        <f>Table6[[#This Row],[IESTI case]]</f>
        <v>3</v>
      </c>
      <c r="AG529"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29" s="1302" t="str">
        <f>IF(Table6[[#This Row],[Input value normal mode case 1, 2a/2b,Po]]&gt;0,
              IF(Table6[[#This Row],[Highest residue * CF*PF]]&gt;"","HR-RAC",
                             IF(Table6[[#This Row],[LOQ RAC individual crop]]="Y","LOQ","MRL")),"")</f>
        <v/>
      </c>
      <c r="AI529" s="1302" t="str">
        <f t="shared" si="322"/>
        <v/>
      </c>
      <c r="AJ529" s="1302" t="str">
        <f>IF(Table6[[#This Row],[Input value normal mode case 1, 2a/2b,Po]]&gt;0,IF(Table6[[#This Row],[label description]]&gt;"",Table6[[#This Row],[label description]],""),"")</f>
        <v/>
      </c>
      <c r="AK529" s="1302" t="str">
        <f>CONCATENATE(Table6[[#This Row],[label for IESTI normal mode case 1, 2a/2b,Po]],Table6[[#This Row],[label connector case  normal mode]],Table6[[#This Row],[label refinements normal mode case 1, 2a/2b,Po]])</f>
        <v/>
      </c>
      <c r="AL529" s="1287" t="str">
        <f>IF(AND(Table6[[#This Row],[Case for acute RA children / adults]]=3,Table6[[#This Row],[Post-harvest treatment]]=""),IF(AND(Table6[[#This Row],[LOQ RAC individual crop]]="Y",M528="N"),Table6[[#This Row],[MRL RAC individual commodity]],IF(Table6[[#This Row],[Median residue*CF*PF]]&gt;0,Table6[[#This Row],[Median residue*CF*PF]],IF(Table6[[#This Row],[MRL*CF*PF or LOQ (if not under assessment and LOQ)]]&gt;0,Table6[[#This Row],[MRL*CF*PF or LOQ (if not under assessment and LOQ)]],""))),"")</f>
        <v/>
      </c>
      <c r="AM529" s="1295" t="str">
        <f>IF(Table6[[#This Row],[input for case 3 normal mode]]&gt;0,IF(Table6[[#This Row],[Median residue*CF*PF]]&gt;0,"STMR-RAC",IF(AND($AC529&gt;0,NOT(V529="Y")),"MRL",IF($V529="Y","LOQ",""))),"")</f>
        <v/>
      </c>
      <c r="AN529" s="1295" t="str">
        <f t="shared" si="323"/>
        <v/>
      </c>
      <c r="AO529" s="1287" t="str">
        <f>IF(Table6[[#This Row],[input for case 3 normal mode]]="","",IF(AND(Table6[[#This Row],[label for case 3 calculation normal mode]]="LOQ",Table6[[#This Row],[GAP under assessment]]="N"),"",IF(Table6[[#This Row],[label description]]&gt;"",Table6[[#This Row],[label description]],"")))</f>
        <v/>
      </c>
      <c r="AP529" s="1287" t="str">
        <f>CONCATENATE(Table6[[#This Row],[label for case 3 calculation normal mode]],Table6[[#This Row],[label connector case 3 normal mode]],Table6[[#This Row],[label refinements case 3 normal mode]])</f>
        <v/>
      </c>
      <c r="AQ529" s="1287" t="str">
        <f>IF(Table6[[#This Row],[GAP under assessment]]="Y",Table6[[#This Row],[Input value normal mode case 1, 2a/2b,Po]],"")</f>
        <v/>
      </c>
      <c r="AR529" s="1287" t="str">
        <f>IF(Table6[[#This Row],[Input value refined mode case 1, 2a/2b,Po]]&gt;0,Table6[[#This Row],[concat label normal mode 1,2a/2b,Po ]],"")</f>
        <v/>
      </c>
      <c r="AS529" s="1303" t="str">
        <f>IF(Table6[[#This Row],[GAP under assessment]]="Y",Table6[[#This Row],[input for case 3 normal mode]],"")</f>
        <v/>
      </c>
      <c r="AT529" s="1287" t="str">
        <f>IF(Table6[[#This Row],[input for case 3 refined mode]]&gt;0,Table6[[#This Row],[concat label normal mode  case 3]],"")</f>
        <v/>
      </c>
      <c r="AU529" s="1295" t="str">
        <f>IF(Table6[[#This Row],[Input value normal mode case 1, 2a/2b,Po]]&gt;0,Table6[[#This Row],[Input value normal mode case 1, 2a/2b,Po]],Table6[[#This Row],[input for case 3 normal mode]])</f>
        <v/>
      </c>
      <c r="AV529" s="1295" t="str">
        <f>IF(Table6[[#This Row],[Input value normal mode case 1, 2a/2b,Po]]&gt;0,Table6[[#This Row],[concat label normal mode 1,2a/2b,Po ]],Table6[[#This Row],[concat label normal mode  case 3]])</f>
        <v/>
      </c>
      <c r="AW529" s="1295" t="str">
        <f>IF(Table6[[#This Row],[Input value refined mode case 1, 2a/2b,Po]]&gt;0,Table6[[#This Row],[Input value refined mode case 1, 2a/2b,Po]],Table6[[#This Row],[input for case 3 refined mode]])</f>
        <v/>
      </c>
      <c r="AX529" s="1295" t="str">
        <f>IF(Table6[[#This Row],[Input value refined mode case 1, 2a/2b,Po]]&gt;0,Table6[[#This Row],[concat label refined mode case 1,2a/2b,Po]],Table6[[#This Row],[label for case 3 calculation refined mode]])</f>
        <v/>
      </c>
      <c r="AY529" s="1287">
        <f t="shared" si="324"/>
        <v>0</v>
      </c>
      <c r="AZ529" s="1295" t="str">
        <f t="shared" si="325"/>
        <v/>
      </c>
      <c r="BA529" s="1295" t="str">
        <f t="shared" si="326"/>
        <v/>
      </c>
      <c r="BB529" s="1287" t="str">
        <f>IF(AND(Table6[[#This Row],[label for IESTI new normal mode]]="LOQ",Table6[[#This Row],[GAP under assessment]]="N"),"",IF(AND($H529&gt;0,$Y529&lt;&gt;1),"CF*PF",IF($H529&gt;0,"CF",IF($Y529&lt;&gt;1,"PF",""))))</f>
        <v/>
      </c>
      <c r="BC529" s="1296" t="s">
        <v>369</v>
      </c>
      <c r="BD529" s="1297"/>
      <c r="BE529" s="1304" t="str">
        <f>IF(Table6[[#This Row],[GAP under assessment]]="Y",Table6[[#This Row],[MRL*CF*PF or LOQ (if not under assessment and LOQ)]],"")</f>
        <v/>
      </c>
      <c r="BF529" s="1305" t="str">
        <f>IF(Table6[[#This Row],[Input for IESTI new refined mode]]&lt;&gt;"",CONCATENATE("MRL",Table6[[#This Row],[label connector case 3 normal mode]],Table6[[#This Row],[label refinements case 3 normal mode]]),"")</f>
        <v/>
      </c>
      <c r="BG529" s="1298" t="s">
        <v>581</v>
      </c>
      <c r="BH529" s="1306"/>
    </row>
    <row r="530" spans="1:60" s="11" customFormat="1" ht="12.75" customHeight="1" x14ac:dyDescent="0.2">
      <c r="A530" s="479" t="s">
        <v>534</v>
      </c>
      <c r="B530" s="480">
        <v>700000</v>
      </c>
      <c r="C530" s="547" t="s">
        <v>459</v>
      </c>
      <c r="D530" s="1261">
        <f>VLOOKUP(Table6[[#This Row],[Code no.]],$B$12:$D$390,3,FALSE)</f>
        <v>0</v>
      </c>
      <c r="E530" s="1264">
        <f t="shared" si="310"/>
        <v>0</v>
      </c>
      <c r="F530" s="1262" t="str">
        <f t="shared" si="308"/>
        <v/>
      </c>
      <c r="G530" s="1265">
        <f t="shared" si="311"/>
        <v>1</v>
      </c>
      <c r="H530" s="881"/>
      <c r="I530" s="882"/>
      <c r="J530" s="1269">
        <f t="shared" si="312"/>
        <v>0</v>
      </c>
      <c r="K530" s="1269">
        <f t="shared" si="313"/>
        <v>0</v>
      </c>
      <c r="L530" s="1270"/>
      <c r="M530" s="1271" t="str">
        <f t="shared" si="314"/>
        <v/>
      </c>
      <c r="N530" s="1272"/>
      <c r="O530" s="1273">
        <v>3</v>
      </c>
      <c r="P530" s="1273" t="str">
        <f>IF(OR($A$10=$BG$15,Results!$B$62=Results!$T$63),Table6[[#This Row],[label refine mode]],Table6[[#This Row],[label normal mode]])</f>
        <v/>
      </c>
      <c r="Q530" s="1257" t="str">
        <f>IF(OR($A$10=$BG$15,Results!$B$62=Results!$T$63),Table6[[#This Row],[input refined mode]],Table6[[#This Row],[Input normal mode]])</f>
        <v/>
      </c>
      <c r="R530" s="1275" t="str">
        <f>IF(Table6[[#This Row],[Acute RA IESTI new input value]]="","",CONCATENATE(Table6[[#This Row],[label for IESTI new normal mode]],Table6[[#This Row],[label connector IESTI new normal mode]],Table6[[#This Row],[label refinements normal mode]]))</f>
        <v/>
      </c>
      <c r="S530" s="1259">
        <f>IF(OR($A$10=$BG$15,Results!$B$62=Results!$T$63),Table6[[#This Row],[Input for IESTI new refined mode]],Table6[[#This Row],[Input for IESTI new normal mode]])</f>
        <v>0</v>
      </c>
      <c r="T530" s="888"/>
      <c r="U530" s="1283">
        <f t="shared" si="316"/>
        <v>0</v>
      </c>
      <c r="V530" s="1284" t="str">
        <f t="shared" si="317"/>
        <v/>
      </c>
      <c r="W530" s="1285">
        <f>IF($H530&gt;0,$H530,IF(Table6[[#This Row],[CFrisk for residue definition (applicable for unprocessed products)]]&gt;0,Table6[[#This Row],[CFrisk for residue definition (applicable for unprocessed products)]],1))</f>
        <v>1</v>
      </c>
      <c r="X530" s="1295">
        <v>4.0000000000000001E-3</v>
      </c>
      <c r="Y530" s="1285">
        <f t="shared" si="318"/>
        <v>4.0000000000000001E-3</v>
      </c>
      <c r="Z530" s="1285">
        <f t="shared" si="319"/>
        <v>4.0000000000000001E-3</v>
      </c>
      <c r="AA530" s="1285" t="str">
        <f>IF(Table6[[#This Row],[Post-harvest treatment]]="","","Y")</f>
        <v/>
      </c>
      <c r="AB530" s="1285" t="str">
        <f>IF(AND(Table6[[#This Row],[CF used for for calculation]]&lt;&gt;1,Table6[[#This Row],[PF for calculation]]&lt;&gt;1),"CF*PF",IF(Table6[[#This Row],[CF used for for calculation]]&lt;&gt;1,"CF",IF(Table6[[#This Row],[PF for calculation]]&lt;&gt;1,"PF","")))</f>
        <v>PF</v>
      </c>
      <c r="AC530" s="1300">
        <f>IF(AND(Table6[[#This Row],[LOQ RAC individual crop]]="Y",Table6[[#This Row],[GAP under assessment]]="N"),Table6[[#This Row],[MRL RAC individual commodity]],Table6[[#This Row],[MRL RAC individual commodity]]*Table6[[#This Row],[CF*PF for calculation]])</f>
        <v>0</v>
      </c>
      <c r="AD530" s="1287">
        <f t="shared" si="320"/>
        <v>0</v>
      </c>
      <c r="AE530" s="1287">
        <f t="shared" si="321"/>
        <v>0</v>
      </c>
      <c r="AF530" s="1288">
        <f>Table6[[#This Row],[IESTI case]]</f>
        <v>3</v>
      </c>
      <c r="AG530"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30" s="1302" t="str">
        <f>IF(Table6[[#This Row],[Input value normal mode case 1, 2a/2b,Po]]&gt;0,
              IF(Table6[[#This Row],[Highest residue * CF*PF]]&gt;"","HR-RAC",
                             IF(Table6[[#This Row],[LOQ RAC individual crop]]="Y","LOQ","MRL")),"")</f>
        <v/>
      </c>
      <c r="AI530" s="1302" t="str">
        <f t="shared" si="322"/>
        <v/>
      </c>
      <c r="AJ530" s="1302" t="str">
        <f>IF(Table6[[#This Row],[Input value normal mode case 1, 2a/2b,Po]]&gt;0,IF(Table6[[#This Row],[label description]]&gt;"",Table6[[#This Row],[label description]],""),"")</f>
        <v/>
      </c>
      <c r="AK530" s="1302" t="str">
        <f>CONCATENATE(Table6[[#This Row],[label for IESTI normal mode case 1, 2a/2b,Po]],Table6[[#This Row],[label connector case  normal mode]],Table6[[#This Row],[label refinements normal mode case 1, 2a/2b,Po]])</f>
        <v/>
      </c>
      <c r="AL530" s="1287" t="str">
        <f>IF(AND(Table6[[#This Row],[Case for acute RA children / adults]]=3,Table6[[#This Row],[Post-harvest treatment]]=""),IF(AND(Table6[[#This Row],[LOQ RAC individual crop]]="Y",M529="N"),Table6[[#This Row],[MRL RAC individual commodity]],IF(Table6[[#This Row],[Median residue*CF*PF]]&gt;0,Table6[[#This Row],[Median residue*CF*PF]],IF(Table6[[#This Row],[MRL*CF*PF or LOQ (if not under assessment and LOQ)]]&gt;0,Table6[[#This Row],[MRL*CF*PF or LOQ (if not under assessment and LOQ)]],""))),"")</f>
        <v/>
      </c>
      <c r="AM530" s="1295" t="str">
        <f>IF(Table6[[#This Row],[input for case 3 normal mode]]&gt;0,IF(Table6[[#This Row],[Median residue*CF*PF]]&gt;0,"STMR-RAC",IF(AND($AC530&gt;0,NOT(V530="Y")),"MRL",IF($V530="Y","LOQ",""))),"")</f>
        <v/>
      </c>
      <c r="AN530" s="1295" t="str">
        <f t="shared" si="323"/>
        <v/>
      </c>
      <c r="AO530" s="1287" t="str">
        <f>IF(Table6[[#This Row],[input for case 3 normal mode]]="","",IF(AND(Table6[[#This Row],[label for case 3 calculation normal mode]]="LOQ",Table6[[#This Row],[GAP under assessment]]="N"),"",IF(Table6[[#This Row],[label description]]&gt;"",Table6[[#This Row],[label description]],"")))</f>
        <v/>
      </c>
      <c r="AP530" s="1287" t="str">
        <f>CONCATENATE(Table6[[#This Row],[label for case 3 calculation normal mode]],Table6[[#This Row],[label connector case 3 normal mode]],Table6[[#This Row],[label refinements case 3 normal mode]])</f>
        <v/>
      </c>
      <c r="AQ530" s="1287" t="str">
        <f>IF(Table6[[#This Row],[GAP under assessment]]="Y",Table6[[#This Row],[Input value normal mode case 1, 2a/2b,Po]],"")</f>
        <v/>
      </c>
      <c r="AR530" s="1287" t="str">
        <f>IF(Table6[[#This Row],[Input value refined mode case 1, 2a/2b,Po]]&gt;0,Table6[[#This Row],[concat label normal mode 1,2a/2b,Po ]],"")</f>
        <v/>
      </c>
      <c r="AS530" s="1303" t="str">
        <f>IF(Table6[[#This Row],[GAP under assessment]]="Y",Table6[[#This Row],[input for case 3 normal mode]],"")</f>
        <v/>
      </c>
      <c r="AT530" s="1287" t="str">
        <f>IF(Table6[[#This Row],[input for case 3 refined mode]]&gt;0,Table6[[#This Row],[concat label normal mode  case 3]],"")</f>
        <v/>
      </c>
      <c r="AU530" s="1295" t="str">
        <f>IF(Table6[[#This Row],[Input value normal mode case 1, 2a/2b,Po]]&gt;0,Table6[[#This Row],[Input value normal mode case 1, 2a/2b,Po]],Table6[[#This Row],[input for case 3 normal mode]])</f>
        <v/>
      </c>
      <c r="AV530" s="1295" t="str">
        <f>IF(Table6[[#This Row],[Input value normal mode case 1, 2a/2b,Po]]&gt;0,Table6[[#This Row],[concat label normal mode 1,2a/2b,Po ]],Table6[[#This Row],[concat label normal mode  case 3]])</f>
        <v/>
      </c>
      <c r="AW530" s="1295" t="str">
        <f>IF(Table6[[#This Row],[Input value refined mode case 1, 2a/2b,Po]]&gt;0,Table6[[#This Row],[Input value refined mode case 1, 2a/2b,Po]],Table6[[#This Row],[input for case 3 refined mode]])</f>
        <v/>
      </c>
      <c r="AX530" s="1295" t="str">
        <f>IF(Table6[[#This Row],[Input value refined mode case 1, 2a/2b,Po]]&gt;0,Table6[[#This Row],[concat label refined mode case 1,2a/2b,Po]],Table6[[#This Row],[label for case 3 calculation refined mode]])</f>
        <v/>
      </c>
      <c r="AY530" s="1287">
        <f t="shared" si="324"/>
        <v>0</v>
      </c>
      <c r="AZ530" s="1295" t="str">
        <f t="shared" si="325"/>
        <v/>
      </c>
      <c r="BA530" s="1295" t="str">
        <f t="shared" si="326"/>
        <v/>
      </c>
      <c r="BB530" s="1287" t="str">
        <f>IF(AND(Table6[[#This Row],[label for IESTI new normal mode]]="LOQ",Table6[[#This Row],[GAP under assessment]]="N"),"",IF(AND($H530&gt;0,$Y530&lt;&gt;1),"CF*PF",IF($H530&gt;0,"CF",IF($Y530&lt;&gt;1,"PF",""))))</f>
        <v>PF</v>
      </c>
      <c r="BC530" s="1296" t="s">
        <v>369</v>
      </c>
      <c r="BD530" s="1297"/>
      <c r="BE530" s="1304" t="str">
        <f>IF(Table6[[#This Row],[GAP under assessment]]="Y",Table6[[#This Row],[MRL*CF*PF or LOQ (if not under assessment and LOQ)]],"")</f>
        <v/>
      </c>
      <c r="BF530" s="1305" t="str">
        <f>IF(Table6[[#This Row],[Input for IESTI new refined mode]]&lt;&gt;"",CONCATENATE("MRL",Table6[[#This Row],[label connector case 3 normal mode]],Table6[[#This Row],[label refinements case 3 normal mode]]),"")</f>
        <v/>
      </c>
      <c r="BG530" s="1298" t="s">
        <v>534</v>
      </c>
      <c r="BH530" s="1306"/>
    </row>
    <row r="531" spans="1:60" s="11" customFormat="1" ht="12.75" customHeight="1" x14ac:dyDescent="0.2">
      <c r="A531" s="479" t="s">
        <v>607</v>
      </c>
      <c r="B531" s="480">
        <v>810040</v>
      </c>
      <c r="C531" s="547" t="s">
        <v>479</v>
      </c>
      <c r="D531" s="1261">
        <f>VLOOKUP(Table6[[#This Row],[Code no.]],$B$12:$D$390,3,FALSE)</f>
        <v>0</v>
      </c>
      <c r="E531" s="1264">
        <f t="shared" si="310"/>
        <v>0</v>
      </c>
      <c r="F531" s="1262" t="str">
        <f t="shared" si="308"/>
        <v/>
      </c>
      <c r="G531" s="1265">
        <f t="shared" si="311"/>
        <v>1</v>
      </c>
      <c r="H531" s="881"/>
      <c r="I531" s="880"/>
      <c r="J531" s="1269">
        <f t="shared" si="312"/>
        <v>0</v>
      </c>
      <c r="K531" s="1269">
        <f t="shared" si="313"/>
        <v>0</v>
      </c>
      <c r="L531" s="1270"/>
      <c r="M531" s="1271" t="str">
        <f t="shared" si="314"/>
        <v/>
      </c>
      <c r="N531" s="1272"/>
      <c r="O531" s="1273">
        <v>3</v>
      </c>
      <c r="P531" s="1273" t="str">
        <f>IF(OR($A$10=$BG$15,Results!$B$62=Results!$T$63),Table6[[#This Row],[label refine mode]],Table6[[#This Row],[label normal mode]])</f>
        <v/>
      </c>
      <c r="Q531" s="1257" t="str">
        <f>IF(OR($A$10=$BG$15,Results!$B$62=Results!$T$63),Table6[[#This Row],[input refined mode]],Table6[[#This Row],[Input normal mode]])</f>
        <v/>
      </c>
      <c r="R531" s="1275" t="str">
        <f>IF(Table6[[#This Row],[Acute RA IESTI new input value]]="","",CONCATENATE(Table6[[#This Row],[label for IESTI new normal mode]],Table6[[#This Row],[label connector IESTI new normal mode]],Table6[[#This Row],[label refinements normal mode]]))</f>
        <v/>
      </c>
      <c r="S531" s="1259">
        <f>IF(OR($A$10=$BG$15,Results!$B$62=Results!$T$63),Table6[[#This Row],[Input for IESTI new refined mode]],Table6[[#This Row],[Input for IESTI new normal mode]])</f>
        <v>0</v>
      </c>
      <c r="T531" s="888"/>
      <c r="U531" s="1283">
        <f t="shared" si="316"/>
        <v>0</v>
      </c>
      <c r="V531" s="1284" t="str">
        <f t="shared" si="317"/>
        <v/>
      </c>
      <c r="W531" s="1285">
        <f>IF($H531&gt;0,$H531,IF(Table6[[#This Row],[CFrisk for residue definition (applicable for unprocessed products)]]&gt;0,Table6[[#This Row],[CFrisk for residue definition (applicable for unprocessed products)]],1))</f>
        <v>1</v>
      </c>
      <c r="X531" s="1285">
        <v>1</v>
      </c>
      <c r="Y531" s="1285">
        <f t="shared" si="318"/>
        <v>1</v>
      </c>
      <c r="Z531" s="1285">
        <f t="shared" si="319"/>
        <v>1</v>
      </c>
      <c r="AA531" s="1285" t="str">
        <f>IF(Table6[[#This Row],[Post-harvest treatment]]="","","Y")</f>
        <v/>
      </c>
      <c r="AB531" s="1285" t="str">
        <f>IF(AND(Table6[[#This Row],[CF used for for calculation]]&lt;&gt;1,Table6[[#This Row],[PF for calculation]]&lt;&gt;1),"CF*PF",IF(Table6[[#This Row],[CF used for for calculation]]&lt;&gt;1,"CF",IF(Table6[[#This Row],[PF for calculation]]&lt;&gt;1,"PF","")))</f>
        <v/>
      </c>
      <c r="AC531" s="1300">
        <f>IF(AND(Table6[[#This Row],[LOQ RAC individual crop]]="Y",Table6[[#This Row],[GAP under assessment]]="N"),Table6[[#This Row],[MRL RAC individual commodity]],Table6[[#This Row],[MRL RAC individual commodity]]*Table6[[#This Row],[CF*PF for calculation]])</f>
        <v>0</v>
      </c>
      <c r="AD531" s="1287">
        <f t="shared" si="320"/>
        <v>0</v>
      </c>
      <c r="AE531" s="1287">
        <f t="shared" si="321"/>
        <v>0</v>
      </c>
      <c r="AF531" s="1288">
        <f>Table6[[#This Row],[IESTI case]]</f>
        <v>3</v>
      </c>
      <c r="AG531"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31" s="1302" t="str">
        <f>IF(Table6[[#This Row],[Input value normal mode case 1, 2a/2b,Po]]&gt;0,
              IF(Table6[[#This Row],[Highest residue * CF*PF]]&gt;"","HR-RAC",
                             IF(Table6[[#This Row],[LOQ RAC individual crop]]="Y","LOQ","MRL")),"")</f>
        <v/>
      </c>
      <c r="AI531" s="1302" t="str">
        <f t="shared" si="322"/>
        <v/>
      </c>
      <c r="AJ531" s="1302" t="str">
        <f>IF(Table6[[#This Row],[Input value normal mode case 1, 2a/2b,Po]]&gt;0,IF(Table6[[#This Row],[label description]]&gt;"",Table6[[#This Row],[label description]],""),"")</f>
        <v/>
      </c>
      <c r="AK531" s="1302" t="str">
        <f>CONCATENATE(Table6[[#This Row],[label for IESTI normal mode case 1, 2a/2b,Po]],Table6[[#This Row],[label connector case  normal mode]],Table6[[#This Row],[label refinements normal mode case 1, 2a/2b,Po]])</f>
        <v/>
      </c>
      <c r="AL531" s="1287" t="str">
        <f>IF(AND(Table6[[#This Row],[Case for acute RA children / adults]]=3,Table6[[#This Row],[Post-harvest treatment]]=""),IF(AND(Table6[[#This Row],[LOQ RAC individual crop]]="Y",M530="N"),Table6[[#This Row],[MRL RAC individual commodity]],IF(Table6[[#This Row],[Median residue*CF*PF]]&gt;0,Table6[[#This Row],[Median residue*CF*PF]],IF(Table6[[#This Row],[MRL*CF*PF or LOQ (if not under assessment and LOQ)]]&gt;0,Table6[[#This Row],[MRL*CF*PF or LOQ (if not under assessment and LOQ)]],""))),"")</f>
        <v/>
      </c>
      <c r="AM531" s="1295" t="str">
        <f>IF(Table6[[#This Row],[input for case 3 normal mode]]&gt;0,IF(Table6[[#This Row],[Median residue*CF*PF]]&gt;0,"STMR-RAC",IF(AND($AC531&gt;0,NOT(V531="Y")),"MRL",IF($V531="Y","LOQ",""))),"")</f>
        <v/>
      </c>
      <c r="AN531" s="1295" t="str">
        <f t="shared" si="323"/>
        <v/>
      </c>
      <c r="AO531" s="1287" t="str">
        <f>IF(Table6[[#This Row],[input for case 3 normal mode]]="","",IF(AND(Table6[[#This Row],[label for case 3 calculation normal mode]]="LOQ",Table6[[#This Row],[GAP under assessment]]="N"),"",IF(Table6[[#This Row],[label description]]&gt;"",Table6[[#This Row],[label description]],"")))</f>
        <v/>
      </c>
      <c r="AP531" s="1287" t="str">
        <f>CONCATENATE(Table6[[#This Row],[label for case 3 calculation normal mode]],Table6[[#This Row],[label connector case 3 normal mode]],Table6[[#This Row],[label refinements case 3 normal mode]])</f>
        <v/>
      </c>
      <c r="AQ531" s="1287" t="str">
        <f>IF(Table6[[#This Row],[GAP under assessment]]="Y",Table6[[#This Row],[Input value normal mode case 1, 2a/2b,Po]],"")</f>
        <v/>
      </c>
      <c r="AR531" s="1287" t="str">
        <f>IF(Table6[[#This Row],[Input value refined mode case 1, 2a/2b,Po]]&gt;0,Table6[[#This Row],[concat label normal mode 1,2a/2b,Po ]],"")</f>
        <v/>
      </c>
      <c r="AS531" s="1303" t="str">
        <f>IF(Table6[[#This Row],[GAP under assessment]]="Y",Table6[[#This Row],[input for case 3 normal mode]],"")</f>
        <v/>
      </c>
      <c r="AT531" s="1287" t="str">
        <f>IF(Table6[[#This Row],[input for case 3 refined mode]]&gt;0,Table6[[#This Row],[concat label normal mode  case 3]],"")</f>
        <v/>
      </c>
      <c r="AU531" s="1295" t="str">
        <f>IF(Table6[[#This Row],[Input value normal mode case 1, 2a/2b,Po]]&gt;0,Table6[[#This Row],[Input value normal mode case 1, 2a/2b,Po]],Table6[[#This Row],[input for case 3 normal mode]])</f>
        <v/>
      </c>
      <c r="AV531" s="1295" t="str">
        <f>IF(Table6[[#This Row],[Input value normal mode case 1, 2a/2b,Po]]&gt;0,Table6[[#This Row],[concat label normal mode 1,2a/2b,Po ]],Table6[[#This Row],[concat label normal mode  case 3]])</f>
        <v/>
      </c>
      <c r="AW531" s="1295" t="str">
        <f>IF(Table6[[#This Row],[Input value refined mode case 1, 2a/2b,Po]]&gt;0,Table6[[#This Row],[Input value refined mode case 1, 2a/2b,Po]],Table6[[#This Row],[input for case 3 refined mode]])</f>
        <v/>
      </c>
      <c r="AX531" s="1295" t="str">
        <f>IF(Table6[[#This Row],[Input value refined mode case 1, 2a/2b,Po]]&gt;0,Table6[[#This Row],[concat label refined mode case 1,2a/2b,Po]],Table6[[#This Row],[label for case 3 calculation refined mode]])</f>
        <v/>
      </c>
      <c r="AY531" s="1287">
        <f t="shared" si="324"/>
        <v>0</v>
      </c>
      <c r="AZ531" s="1295" t="str">
        <f t="shared" si="325"/>
        <v/>
      </c>
      <c r="BA531" s="1295" t="str">
        <f t="shared" si="326"/>
        <v/>
      </c>
      <c r="BB531" s="1287" t="str">
        <f>IF(AND(Table6[[#This Row],[label for IESTI new normal mode]]="LOQ",Table6[[#This Row],[GAP under assessment]]="N"),"",IF(AND($H531&gt;0,$Y531&lt;&gt;1),"CF*PF",IF($H531&gt;0,"CF",IF($Y531&lt;&gt;1,"PF",""))))</f>
        <v/>
      </c>
      <c r="BC531" s="1296" t="s">
        <v>369</v>
      </c>
      <c r="BD531" s="1297"/>
      <c r="BE531" s="1304" t="str">
        <f>IF(Table6[[#This Row],[GAP under assessment]]="Y",Table6[[#This Row],[MRL*CF*PF or LOQ (if not under assessment and LOQ)]],"")</f>
        <v/>
      </c>
      <c r="BF531" s="1305" t="str">
        <f>IF(Table6[[#This Row],[Input for IESTI new refined mode]]&lt;&gt;"",CONCATENATE("MRL",Table6[[#This Row],[label connector case 3 normal mode]],Table6[[#This Row],[label refinements case 3 normal mode]]),"")</f>
        <v/>
      </c>
      <c r="BG531" s="1298" t="s">
        <v>607</v>
      </c>
      <c r="BH531" s="1306"/>
    </row>
    <row r="532" spans="1:60" s="11" customFormat="1" ht="12.75" customHeight="1" x14ac:dyDescent="0.2">
      <c r="A532" s="479" t="s">
        <v>608</v>
      </c>
      <c r="B532" s="480">
        <v>830010</v>
      </c>
      <c r="C532" s="547" t="s">
        <v>480</v>
      </c>
      <c r="D532" s="1261">
        <f>VLOOKUP(Table6[[#This Row],[Code no.]],$B$12:$D$390,3,FALSE)</f>
        <v>0</v>
      </c>
      <c r="E532" s="1264">
        <f t="shared" si="310"/>
        <v>0</v>
      </c>
      <c r="F532" s="1262" t="str">
        <f t="shared" si="308"/>
        <v/>
      </c>
      <c r="G532" s="1265">
        <f t="shared" si="311"/>
        <v>1</v>
      </c>
      <c r="H532" s="881"/>
      <c r="I532" s="880"/>
      <c r="J532" s="1269">
        <f t="shared" si="312"/>
        <v>0</v>
      </c>
      <c r="K532" s="1269">
        <f t="shared" si="313"/>
        <v>0</v>
      </c>
      <c r="L532" s="1270"/>
      <c r="M532" s="1271" t="str">
        <f t="shared" si="314"/>
        <v/>
      </c>
      <c r="N532" s="1272"/>
      <c r="O532" s="1273">
        <v>3</v>
      </c>
      <c r="P532" s="1273" t="str">
        <f>IF(OR($A$10=$BG$15,Results!$B$62=Results!$T$63),Table6[[#This Row],[label refine mode]],Table6[[#This Row],[label normal mode]])</f>
        <v/>
      </c>
      <c r="Q532" s="1257" t="str">
        <f>IF(OR($A$10=$BG$15,Results!$B$62=Results!$T$63),Table6[[#This Row],[input refined mode]],Table6[[#This Row],[Input normal mode]])</f>
        <v/>
      </c>
      <c r="R532" s="1275" t="str">
        <f>IF(Table6[[#This Row],[Acute RA IESTI new input value]]="","",CONCATENATE(Table6[[#This Row],[label for IESTI new normal mode]],Table6[[#This Row],[label connector IESTI new normal mode]],Table6[[#This Row],[label refinements normal mode]]))</f>
        <v/>
      </c>
      <c r="S532" s="1259">
        <f>IF(OR($A$10=$BG$15,Results!$B$62=Results!$T$63),Table6[[#This Row],[Input for IESTI new refined mode]],Table6[[#This Row],[Input for IESTI new normal mode]])</f>
        <v>0</v>
      </c>
      <c r="T532" s="888"/>
      <c r="U532" s="1283">
        <f t="shared" si="316"/>
        <v>0</v>
      </c>
      <c r="V532" s="1284" t="str">
        <f t="shared" si="317"/>
        <v/>
      </c>
      <c r="W532" s="1285">
        <f>IF($H532&gt;0,$H532,IF(Table6[[#This Row],[CFrisk for residue definition (applicable for unprocessed products)]]&gt;0,Table6[[#This Row],[CFrisk for residue definition (applicable for unprocessed products)]],1))</f>
        <v>1</v>
      </c>
      <c r="X532" s="1285">
        <v>1</v>
      </c>
      <c r="Y532" s="1285">
        <f t="shared" si="318"/>
        <v>1</v>
      </c>
      <c r="Z532" s="1285">
        <f t="shared" si="319"/>
        <v>1</v>
      </c>
      <c r="AA532" s="1285" t="str">
        <f>IF(Table6[[#This Row],[Post-harvest treatment]]="","","Y")</f>
        <v/>
      </c>
      <c r="AB532" s="1285" t="str">
        <f>IF(AND(Table6[[#This Row],[CF used for for calculation]]&lt;&gt;1,Table6[[#This Row],[PF for calculation]]&lt;&gt;1),"CF*PF",IF(Table6[[#This Row],[CF used for for calculation]]&lt;&gt;1,"CF",IF(Table6[[#This Row],[PF for calculation]]&lt;&gt;1,"PF","")))</f>
        <v/>
      </c>
      <c r="AC532" s="1300">
        <f>IF(AND(Table6[[#This Row],[LOQ RAC individual crop]]="Y",Table6[[#This Row],[GAP under assessment]]="N"),Table6[[#This Row],[MRL RAC individual commodity]],Table6[[#This Row],[MRL RAC individual commodity]]*Table6[[#This Row],[CF*PF for calculation]])</f>
        <v>0</v>
      </c>
      <c r="AD532" s="1287">
        <f t="shared" si="320"/>
        <v>0</v>
      </c>
      <c r="AE532" s="1287">
        <f t="shared" si="321"/>
        <v>0</v>
      </c>
      <c r="AF532" s="1288">
        <f>Table6[[#This Row],[IESTI case]]</f>
        <v>3</v>
      </c>
      <c r="AG532"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32" s="1302" t="str">
        <f>IF(Table6[[#This Row],[Input value normal mode case 1, 2a/2b,Po]]&gt;0,
              IF(Table6[[#This Row],[Highest residue * CF*PF]]&gt;"","HR-RAC",
                             IF(Table6[[#This Row],[LOQ RAC individual crop]]="Y","LOQ","MRL")),"")</f>
        <v/>
      </c>
      <c r="AI532" s="1302" t="str">
        <f t="shared" si="322"/>
        <v/>
      </c>
      <c r="AJ532" s="1302" t="str">
        <f>IF(Table6[[#This Row],[Input value normal mode case 1, 2a/2b,Po]]&gt;0,IF(Table6[[#This Row],[label description]]&gt;"",Table6[[#This Row],[label description]],""),"")</f>
        <v/>
      </c>
      <c r="AK532" s="1302" t="str">
        <f>CONCATENATE(Table6[[#This Row],[label for IESTI normal mode case 1, 2a/2b,Po]],Table6[[#This Row],[label connector case  normal mode]],Table6[[#This Row],[label refinements normal mode case 1, 2a/2b,Po]])</f>
        <v/>
      </c>
      <c r="AL532" s="1287" t="str">
        <f>IF(AND(Table6[[#This Row],[Case for acute RA children / adults]]=3,Table6[[#This Row],[Post-harvest treatment]]=""),IF(AND(Table6[[#This Row],[LOQ RAC individual crop]]="Y",M531="N"),Table6[[#This Row],[MRL RAC individual commodity]],IF(Table6[[#This Row],[Median residue*CF*PF]]&gt;0,Table6[[#This Row],[Median residue*CF*PF]],IF(Table6[[#This Row],[MRL*CF*PF or LOQ (if not under assessment and LOQ)]]&gt;0,Table6[[#This Row],[MRL*CF*PF or LOQ (if not under assessment and LOQ)]],""))),"")</f>
        <v/>
      </c>
      <c r="AM532" s="1295" t="str">
        <f>IF(Table6[[#This Row],[input for case 3 normal mode]]&gt;0,IF(Table6[[#This Row],[Median residue*CF*PF]]&gt;0,"STMR-RAC",IF(AND($AC532&gt;0,NOT(V532="Y")),"MRL",IF($V532="Y","LOQ",""))),"")</f>
        <v/>
      </c>
      <c r="AN532" s="1295" t="str">
        <f t="shared" si="323"/>
        <v/>
      </c>
      <c r="AO532" s="1287" t="str">
        <f>IF(Table6[[#This Row],[input for case 3 normal mode]]="","",IF(AND(Table6[[#This Row],[label for case 3 calculation normal mode]]="LOQ",Table6[[#This Row],[GAP under assessment]]="N"),"",IF(Table6[[#This Row],[label description]]&gt;"",Table6[[#This Row],[label description]],"")))</f>
        <v/>
      </c>
      <c r="AP532" s="1287" t="str">
        <f>CONCATENATE(Table6[[#This Row],[label for case 3 calculation normal mode]],Table6[[#This Row],[label connector case 3 normal mode]],Table6[[#This Row],[label refinements case 3 normal mode]])</f>
        <v/>
      </c>
      <c r="AQ532" s="1287" t="str">
        <f>IF(Table6[[#This Row],[GAP under assessment]]="Y",Table6[[#This Row],[Input value normal mode case 1, 2a/2b,Po]],"")</f>
        <v/>
      </c>
      <c r="AR532" s="1287" t="str">
        <f>IF(Table6[[#This Row],[Input value refined mode case 1, 2a/2b,Po]]&gt;0,Table6[[#This Row],[concat label normal mode 1,2a/2b,Po ]],"")</f>
        <v/>
      </c>
      <c r="AS532" s="1303" t="str">
        <f>IF(Table6[[#This Row],[GAP under assessment]]="Y",Table6[[#This Row],[input for case 3 normal mode]],"")</f>
        <v/>
      </c>
      <c r="AT532" s="1287" t="str">
        <f>IF(Table6[[#This Row],[input for case 3 refined mode]]&gt;0,Table6[[#This Row],[concat label normal mode  case 3]],"")</f>
        <v/>
      </c>
      <c r="AU532" s="1295" t="str">
        <f>IF(Table6[[#This Row],[Input value normal mode case 1, 2a/2b,Po]]&gt;0,Table6[[#This Row],[Input value normal mode case 1, 2a/2b,Po]],Table6[[#This Row],[input for case 3 normal mode]])</f>
        <v/>
      </c>
      <c r="AV532" s="1295" t="str">
        <f>IF(Table6[[#This Row],[Input value normal mode case 1, 2a/2b,Po]]&gt;0,Table6[[#This Row],[concat label normal mode 1,2a/2b,Po ]],Table6[[#This Row],[concat label normal mode  case 3]])</f>
        <v/>
      </c>
      <c r="AW532" s="1295" t="str">
        <f>IF(Table6[[#This Row],[Input value refined mode case 1, 2a/2b,Po]]&gt;0,Table6[[#This Row],[Input value refined mode case 1, 2a/2b,Po]],Table6[[#This Row],[input for case 3 refined mode]])</f>
        <v/>
      </c>
      <c r="AX532" s="1295" t="str">
        <f>IF(Table6[[#This Row],[Input value refined mode case 1, 2a/2b,Po]]&gt;0,Table6[[#This Row],[concat label refined mode case 1,2a/2b,Po]],Table6[[#This Row],[label for case 3 calculation refined mode]])</f>
        <v/>
      </c>
      <c r="AY532" s="1287">
        <f t="shared" si="324"/>
        <v>0</v>
      </c>
      <c r="AZ532" s="1295" t="str">
        <f t="shared" si="325"/>
        <v/>
      </c>
      <c r="BA532" s="1295" t="str">
        <f t="shared" si="326"/>
        <v/>
      </c>
      <c r="BB532" s="1287" t="str">
        <f>IF(AND(Table6[[#This Row],[label for IESTI new normal mode]]="LOQ",Table6[[#This Row],[GAP under assessment]]="N"),"",IF(AND($H532&gt;0,$Y532&lt;&gt;1),"CF*PF",IF($H532&gt;0,"CF",IF($Y532&lt;&gt;1,"PF",""))))</f>
        <v/>
      </c>
      <c r="BC532" s="1296" t="s">
        <v>369</v>
      </c>
      <c r="BD532" s="1297"/>
      <c r="BE532" s="1304" t="str">
        <f>IF(Table6[[#This Row],[GAP under assessment]]="Y",Table6[[#This Row],[MRL*CF*PF or LOQ (if not under assessment and LOQ)]],"")</f>
        <v/>
      </c>
      <c r="BF532" s="1305" t="str">
        <f>IF(Table6[[#This Row],[Input for IESTI new refined mode]]&lt;&gt;"",CONCATENATE("MRL",Table6[[#This Row],[label connector case 3 normal mode]],Table6[[#This Row],[label refinements case 3 normal mode]]),"")</f>
        <v/>
      </c>
      <c r="BG532" s="1298" t="s">
        <v>608</v>
      </c>
      <c r="BH532" s="1306"/>
    </row>
    <row r="533" spans="1:60" s="11" customFormat="1" ht="12.75" customHeight="1" x14ac:dyDescent="0.2">
      <c r="A533" s="479" t="s">
        <v>529</v>
      </c>
      <c r="B533" s="480">
        <v>840020</v>
      </c>
      <c r="C533" s="547" t="s">
        <v>439</v>
      </c>
      <c r="D533" s="1261">
        <f>VLOOKUP(Table6[[#This Row],[Code no.]],$B$12:$D$390,3,FALSE)</f>
        <v>0</v>
      </c>
      <c r="E533" s="1264">
        <f t="shared" si="310"/>
        <v>0</v>
      </c>
      <c r="F533" s="1262" t="str">
        <f t="shared" si="308"/>
        <v/>
      </c>
      <c r="G533" s="1265">
        <f t="shared" si="311"/>
        <v>1</v>
      </c>
      <c r="H533" s="881"/>
      <c r="I533" s="880"/>
      <c r="J533" s="1269">
        <f t="shared" si="312"/>
        <v>0</v>
      </c>
      <c r="K533" s="1269">
        <f t="shared" si="313"/>
        <v>0</v>
      </c>
      <c r="L533" s="1270"/>
      <c r="M533" s="1271" t="str">
        <f t="shared" si="314"/>
        <v/>
      </c>
      <c r="N533" s="1272"/>
      <c r="O533" s="1273">
        <v>3</v>
      </c>
      <c r="P533" s="1273" t="str">
        <f>IF(OR($A$10=$BG$15,Results!$B$62=Results!$T$63),Table6[[#This Row],[label refine mode]],Table6[[#This Row],[label normal mode]])</f>
        <v/>
      </c>
      <c r="Q533" s="1257" t="str">
        <f>IF(OR($A$10=$BG$15,Results!$B$62=Results!$T$63),Table6[[#This Row],[input refined mode]],Table6[[#This Row],[Input normal mode]])</f>
        <v/>
      </c>
      <c r="R533" s="1275" t="str">
        <f>IF(Table6[[#This Row],[Acute RA IESTI new input value]]="","",CONCATENATE(Table6[[#This Row],[label for IESTI new normal mode]],Table6[[#This Row],[label connector IESTI new normal mode]],Table6[[#This Row],[label refinements normal mode]]))</f>
        <v/>
      </c>
      <c r="S533" s="1259">
        <f>IF(OR($A$10=$BG$15,Results!$B$62=Results!$T$63),Table6[[#This Row],[Input for IESTI new refined mode]],Table6[[#This Row],[Input for IESTI new normal mode]])</f>
        <v>0</v>
      </c>
      <c r="T533" s="888"/>
      <c r="U533" s="1283">
        <f t="shared" si="316"/>
        <v>0</v>
      </c>
      <c r="V533" s="1284" t="str">
        <f t="shared" si="317"/>
        <v/>
      </c>
      <c r="W533" s="1285">
        <f>IF($H533&gt;0,$H533,IF(Table6[[#This Row],[CFrisk for residue definition (applicable for unprocessed products)]]&gt;0,Table6[[#This Row],[CFrisk for residue definition (applicable for unprocessed products)]],1))</f>
        <v>1</v>
      </c>
      <c r="X533" s="1285">
        <v>1</v>
      </c>
      <c r="Y533" s="1285">
        <f t="shared" si="318"/>
        <v>1</v>
      </c>
      <c r="Z533" s="1285">
        <f t="shared" si="319"/>
        <v>1</v>
      </c>
      <c r="AA533" s="1285" t="str">
        <f>IF(Table6[[#This Row],[Post-harvest treatment]]="","","Y")</f>
        <v/>
      </c>
      <c r="AB533" s="1285" t="str">
        <f>IF(AND(Table6[[#This Row],[CF used for for calculation]]&lt;&gt;1,Table6[[#This Row],[PF for calculation]]&lt;&gt;1),"CF*PF",IF(Table6[[#This Row],[CF used for for calculation]]&lt;&gt;1,"CF",IF(Table6[[#This Row],[PF for calculation]]&lt;&gt;1,"PF","")))</f>
        <v/>
      </c>
      <c r="AC533" s="1300">
        <f>IF(AND(Table6[[#This Row],[LOQ RAC individual crop]]="Y",Table6[[#This Row],[GAP under assessment]]="N"),Table6[[#This Row],[MRL RAC individual commodity]],Table6[[#This Row],[MRL RAC individual commodity]]*Table6[[#This Row],[CF*PF for calculation]])</f>
        <v>0</v>
      </c>
      <c r="AD533" s="1287">
        <f t="shared" si="320"/>
        <v>0</v>
      </c>
      <c r="AE533" s="1287">
        <f t="shared" si="321"/>
        <v>0</v>
      </c>
      <c r="AF533" s="1288">
        <f>Table6[[#This Row],[IESTI case]]</f>
        <v>3</v>
      </c>
      <c r="AG533"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33" s="1302" t="str">
        <f>IF(Table6[[#This Row],[Input value normal mode case 1, 2a/2b,Po]]&gt;0,
              IF(Table6[[#This Row],[Highest residue * CF*PF]]&gt;"","HR-RAC",
                             IF(Table6[[#This Row],[LOQ RAC individual crop]]="Y","LOQ","MRL")),"")</f>
        <v/>
      </c>
      <c r="AI533" s="1302" t="str">
        <f t="shared" si="322"/>
        <v/>
      </c>
      <c r="AJ533" s="1302" t="str">
        <f>IF(Table6[[#This Row],[Input value normal mode case 1, 2a/2b,Po]]&gt;0,IF(Table6[[#This Row],[label description]]&gt;"",Table6[[#This Row],[label description]],""),"")</f>
        <v/>
      </c>
      <c r="AK533" s="1302" t="str">
        <f>CONCATENATE(Table6[[#This Row],[label for IESTI normal mode case 1, 2a/2b,Po]],Table6[[#This Row],[label connector case  normal mode]],Table6[[#This Row],[label refinements normal mode case 1, 2a/2b,Po]])</f>
        <v/>
      </c>
      <c r="AL533" s="1287" t="str">
        <f>IF(AND(Table6[[#This Row],[Case for acute RA children / adults]]=3,Table6[[#This Row],[Post-harvest treatment]]=""),IF(AND(Table6[[#This Row],[LOQ RAC individual crop]]="Y",M532="N"),Table6[[#This Row],[MRL RAC individual commodity]],IF(Table6[[#This Row],[Median residue*CF*PF]]&gt;0,Table6[[#This Row],[Median residue*CF*PF]],IF(Table6[[#This Row],[MRL*CF*PF or LOQ (if not under assessment and LOQ)]]&gt;0,Table6[[#This Row],[MRL*CF*PF or LOQ (if not under assessment and LOQ)]],""))),"")</f>
        <v/>
      </c>
      <c r="AM533" s="1295" t="str">
        <f>IF(Table6[[#This Row],[input for case 3 normal mode]]&gt;0,IF(Table6[[#This Row],[Median residue*CF*PF]]&gt;0,"STMR-RAC",IF(AND($AC533&gt;0,NOT(V533="Y")),"MRL",IF($V533="Y","LOQ",""))),"")</f>
        <v/>
      </c>
      <c r="AN533" s="1295" t="str">
        <f t="shared" si="323"/>
        <v/>
      </c>
      <c r="AO533" s="1287" t="str">
        <f>IF(Table6[[#This Row],[input for case 3 normal mode]]="","",IF(AND(Table6[[#This Row],[label for case 3 calculation normal mode]]="LOQ",Table6[[#This Row],[GAP under assessment]]="N"),"",IF(Table6[[#This Row],[label description]]&gt;"",Table6[[#This Row],[label description]],"")))</f>
        <v/>
      </c>
      <c r="AP533" s="1287" t="str">
        <f>CONCATENATE(Table6[[#This Row],[label for case 3 calculation normal mode]],Table6[[#This Row],[label connector case 3 normal mode]],Table6[[#This Row],[label refinements case 3 normal mode]])</f>
        <v/>
      </c>
      <c r="AQ533" s="1287" t="str">
        <f>IF(Table6[[#This Row],[GAP under assessment]]="Y",Table6[[#This Row],[Input value normal mode case 1, 2a/2b,Po]],"")</f>
        <v/>
      </c>
      <c r="AR533" s="1287" t="str">
        <f>IF(Table6[[#This Row],[Input value refined mode case 1, 2a/2b,Po]]&gt;0,Table6[[#This Row],[concat label normal mode 1,2a/2b,Po ]],"")</f>
        <v/>
      </c>
      <c r="AS533" s="1303" t="str">
        <f>IF(Table6[[#This Row],[GAP under assessment]]="Y",Table6[[#This Row],[input for case 3 normal mode]],"")</f>
        <v/>
      </c>
      <c r="AT533" s="1287" t="str">
        <f>IF(Table6[[#This Row],[input for case 3 refined mode]]&gt;0,Table6[[#This Row],[concat label normal mode  case 3]],"")</f>
        <v/>
      </c>
      <c r="AU533" s="1295" t="str">
        <f>IF(Table6[[#This Row],[Input value normal mode case 1, 2a/2b,Po]]&gt;0,Table6[[#This Row],[Input value normal mode case 1, 2a/2b,Po]],Table6[[#This Row],[input for case 3 normal mode]])</f>
        <v/>
      </c>
      <c r="AV533" s="1295" t="str">
        <f>IF(Table6[[#This Row],[Input value normal mode case 1, 2a/2b,Po]]&gt;0,Table6[[#This Row],[concat label normal mode 1,2a/2b,Po ]],Table6[[#This Row],[concat label normal mode  case 3]])</f>
        <v/>
      </c>
      <c r="AW533" s="1295" t="str">
        <f>IF(Table6[[#This Row],[Input value refined mode case 1, 2a/2b,Po]]&gt;0,Table6[[#This Row],[Input value refined mode case 1, 2a/2b,Po]],Table6[[#This Row],[input for case 3 refined mode]])</f>
        <v/>
      </c>
      <c r="AX533" s="1295" t="str">
        <f>IF(Table6[[#This Row],[Input value refined mode case 1, 2a/2b,Po]]&gt;0,Table6[[#This Row],[concat label refined mode case 1,2a/2b,Po]],Table6[[#This Row],[label for case 3 calculation refined mode]])</f>
        <v/>
      </c>
      <c r="AY533" s="1287">
        <f t="shared" si="324"/>
        <v>0</v>
      </c>
      <c r="AZ533" s="1295" t="str">
        <f t="shared" si="325"/>
        <v/>
      </c>
      <c r="BA533" s="1295" t="str">
        <f t="shared" si="326"/>
        <v/>
      </c>
      <c r="BB533" s="1287" t="str">
        <f>IF(AND(Table6[[#This Row],[label for IESTI new normal mode]]="LOQ",Table6[[#This Row],[GAP under assessment]]="N"),"",IF(AND($H533&gt;0,$Y533&lt;&gt;1),"CF*PF",IF($H533&gt;0,"CF",IF($Y533&lt;&gt;1,"PF",""))))</f>
        <v/>
      </c>
      <c r="BC533" s="1296" t="s">
        <v>369</v>
      </c>
      <c r="BD533" s="1297"/>
      <c r="BE533" s="1304" t="str">
        <f>IF(Table6[[#This Row],[GAP under assessment]]="Y",Table6[[#This Row],[MRL*CF*PF or LOQ (if not under assessment and LOQ)]],"")</f>
        <v/>
      </c>
      <c r="BF533" s="1305" t="str">
        <f>IF(Table6[[#This Row],[Input for IESTI new refined mode]]&lt;&gt;"",CONCATENATE("MRL",Table6[[#This Row],[label connector case 3 normal mode]],Table6[[#This Row],[label refinements case 3 normal mode]]),"")</f>
        <v/>
      </c>
      <c r="BG533" s="1298" t="s">
        <v>529</v>
      </c>
      <c r="BH533" s="1306"/>
    </row>
    <row r="534" spans="1:60" s="11" customFormat="1" ht="12.75" customHeight="1" x14ac:dyDescent="0.2">
      <c r="A534" s="479" t="s">
        <v>572</v>
      </c>
      <c r="B534" s="480">
        <v>840030</v>
      </c>
      <c r="C534" s="547" t="s">
        <v>481</v>
      </c>
      <c r="D534" s="1261">
        <f>VLOOKUP(Table6[[#This Row],[Code no.]],$B$12:$D$390,3,FALSE)</f>
        <v>0</v>
      </c>
      <c r="E534" s="1264">
        <f t="shared" si="310"/>
        <v>0</v>
      </c>
      <c r="F534" s="1262" t="str">
        <f t="shared" si="308"/>
        <v/>
      </c>
      <c r="G534" s="1265">
        <f t="shared" si="311"/>
        <v>1</v>
      </c>
      <c r="H534" s="881"/>
      <c r="I534" s="880"/>
      <c r="J534" s="1269">
        <f t="shared" si="312"/>
        <v>0</v>
      </c>
      <c r="K534" s="1269">
        <f t="shared" si="313"/>
        <v>0</v>
      </c>
      <c r="L534" s="1270"/>
      <c r="M534" s="1271" t="str">
        <f t="shared" si="314"/>
        <v/>
      </c>
      <c r="N534" s="1272"/>
      <c r="O534" s="1273">
        <v>1</v>
      </c>
      <c r="P534" s="1273" t="str">
        <f>IF(OR($A$10=$BG$15,Results!$B$62=Results!$T$63),Table6[[#This Row],[label refine mode]],Table6[[#This Row],[label normal mode]])</f>
        <v/>
      </c>
      <c r="Q534" s="1257" t="str">
        <f>IF(OR($A$10=$BG$15,Results!$B$62=Results!$T$63),Table6[[#This Row],[input refined mode]],Table6[[#This Row],[Input normal mode]])</f>
        <v/>
      </c>
      <c r="R534" s="1275" t="str">
        <f>IF(Table6[[#This Row],[Acute RA IESTI new input value]]="","",CONCATENATE(Table6[[#This Row],[label for IESTI new normal mode]],Table6[[#This Row],[label connector IESTI new normal mode]],Table6[[#This Row],[label refinements normal mode]]))</f>
        <v/>
      </c>
      <c r="S534" s="1259">
        <f>IF(OR($A$10=$BG$15,Results!$B$62=Results!$T$63),Table6[[#This Row],[Input for IESTI new refined mode]],Table6[[#This Row],[Input for IESTI new normal mode]])</f>
        <v>0</v>
      </c>
      <c r="T534" s="888"/>
      <c r="U534" s="1283">
        <f t="shared" si="316"/>
        <v>0</v>
      </c>
      <c r="V534" s="1284" t="str">
        <f t="shared" si="317"/>
        <v/>
      </c>
      <c r="W534" s="1285">
        <f>IF($H534&gt;0,$H534,IF(Table6[[#This Row],[CFrisk for residue definition (applicable for unprocessed products)]]&gt;0,Table6[[#This Row],[CFrisk for residue definition (applicable for unprocessed products)]],1))</f>
        <v>1</v>
      </c>
      <c r="X534" s="1285">
        <v>1</v>
      </c>
      <c r="Y534" s="1285">
        <f t="shared" si="318"/>
        <v>1</v>
      </c>
      <c r="Z534" s="1285">
        <f t="shared" si="319"/>
        <v>1</v>
      </c>
      <c r="AA534" s="1285" t="str">
        <f>IF(Table6[[#This Row],[Post-harvest treatment]]="","","Y")</f>
        <v/>
      </c>
      <c r="AB534" s="1285" t="str">
        <f>IF(AND(Table6[[#This Row],[CF used for for calculation]]&lt;&gt;1,Table6[[#This Row],[PF for calculation]]&lt;&gt;1),"CF*PF",IF(Table6[[#This Row],[CF used for for calculation]]&lt;&gt;1,"CF",IF(Table6[[#This Row],[PF for calculation]]&lt;&gt;1,"PF","")))</f>
        <v/>
      </c>
      <c r="AC534" s="1300">
        <f>IF(AND(Table6[[#This Row],[LOQ RAC individual crop]]="Y",Table6[[#This Row],[GAP under assessment]]="N"),Table6[[#This Row],[MRL RAC individual commodity]],Table6[[#This Row],[MRL RAC individual commodity]]*Table6[[#This Row],[CF*PF for calculation]])</f>
        <v>0</v>
      </c>
      <c r="AD534" s="1287">
        <f t="shared" si="320"/>
        <v>0</v>
      </c>
      <c r="AE534" s="1287">
        <f t="shared" si="321"/>
        <v>0</v>
      </c>
      <c r="AF534" s="1288">
        <f>Table6[[#This Row],[IESTI case]]</f>
        <v>1</v>
      </c>
      <c r="AG534"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34" s="1302" t="str">
        <f>IF(Table6[[#This Row],[Input value normal mode case 1, 2a/2b,Po]]&gt;0,
              IF(Table6[[#This Row],[Highest residue * CF*PF]]&gt;"","HR-RAC",
                             IF(Table6[[#This Row],[LOQ RAC individual crop]]="Y","LOQ","MRL")),"")</f>
        <v/>
      </c>
      <c r="AI534" s="1302" t="str">
        <f t="shared" si="322"/>
        <v/>
      </c>
      <c r="AJ534" s="1302" t="str">
        <f>IF(Table6[[#This Row],[Input value normal mode case 1, 2a/2b,Po]]&gt;0,IF(Table6[[#This Row],[label description]]&gt;"",Table6[[#This Row],[label description]],""),"")</f>
        <v/>
      </c>
      <c r="AK534" s="1302" t="str">
        <f>CONCATENATE(Table6[[#This Row],[label for IESTI normal mode case 1, 2a/2b,Po]],Table6[[#This Row],[label connector case  normal mode]],Table6[[#This Row],[label refinements normal mode case 1, 2a/2b,Po]])</f>
        <v/>
      </c>
      <c r="AL534" s="1287" t="str">
        <f>IF(AND(Table6[[#This Row],[Case for acute RA children / adults]]=3,Table6[[#This Row],[Post-harvest treatment]]=""),IF(AND(Table6[[#This Row],[LOQ RAC individual crop]]="Y",M533="N"),Table6[[#This Row],[MRL RAC individual commodity]],IF(Table6[[#This Row],[Median residue*CF*PF]]&gt;0,Table6[[#This Row],[Median residue*CF*PF]],IF(Table6[[#This Row],[MRL*CF*PF or LOQ (if not under assessment and LOQ)]]&gt;0,Table6[[#This Row],[MRL*CF*PF or LOQ (if not under assessment and LOQ)]],""))),"")</f>
        <v/>
      </c>
      <c r="AM534" s="1295" t="str">
        <f>IF(Table6[[#This Row],[input for case 3 normal mode]]&gt;0,IF(Table6[[#This Row],[Median residue*CF*PF]]&gt;0,"STMR-RAC",IF(AND($AC534&gt;0,NOT(V534="Y")),"MRL",IF($V534="Y","LOQ",""))),"")</f>
        <v/>
      </c>
      <c r="AN534" s="1295" t="str">
        <f t="shared" si="323"/>
        <v/>
      </c>
      <c r="AO534" s="1287" t="str">
        <f>IF(Table6[[#This Row],[input for case 3 normal mode]]="","",IF(AND(Table6[[#This Row],[label for case 3 calculation normal mode]]="LOQ",Table6[[#This Row],[GAP under assessment]]="N"),"",IF(Table6[[#This Row],[label description]]&gt;"",Table6[[#This Row],[label description]],"")))</f>
        <v/>
      </c>
      <c r="AP534" s="1287" t="str">
        <f>CONCATENATE(Table6[[#This Row],[label for case 3 calculation normal mode]],Table6[[#This Row],[label connector case 3 normal mode]],Table6[[#This Row],[label refinements case 3 normal mode]])</f>
        <v/>
      </c>
      <c r="AQ534" s="1287" t="str">
        <f>IF(Table6[[#This Row],[GAP under assessment]]="Y",Table6[[#This Row],[Input value normal mode case 1, 2a/2b,Po]],"")</f>
        <v/>
      </c>
      <c r="AR534" s="1287" t="str">
        <f>IF(Table6[[#This Row],[Input value refined mode case 1, 2a/2b,Po]]&gt;0,Table6[[#This Row],[concat label normal mode 1,2a/2b,Po ]],"")</f>
        <v/>
      </c>
      <c r="AS534" s="1303" t="str">
        <f>IF(Table6[[#This Row],[GAP under assessment]]="Y",Table6[[#This Row],[input for case 3 normal mode]],"")</f>
        <v/>
      </c>
      <c r="AT534" s="1287" t="str">
        <f>IF(Table6[[#This Row],[input for case 3 refined mode]]&gt;0,Table6[[#This Row],[concat label normal mode  case 3]],"")</f>
        <v/>
      </c>
      <c r="AU534" s="1295" t="str">
        <f>IF(Table6[[#This Row],[Input value normal mode case 1, 2a/2b,Po]]&gt;0,Table6[[#This Row],[Input value normal mode case 1, 2a/2b,Po]],Table6[[#This Row],[input for case 3 normal mode]])</f>
        <v/>
      </c>
      <c r="AV534" s="1295" t="str">
        <f>IF(Table6[[#This Row],[Input value normal mode case 1, 2a/2b,Po]]&gt;0,Table6[[#This Row],[concat label normal mode 1,2a/2b,Po ]],Table6[[#This Row],[concat label normal mode  case 3]])</f>
        <v/>
      </c>
      <c r="AW534" s="1295" t="str">
        <f>IF(Table6[[#This Row],[Input value refined mode case 1, 2a/2b,Po]]&gt;0,Table6[[#This Row],[Input value refined mode case 1, 2a/2b,Po]],Table6[[#This Row],[input for case 3 refined mode]])</f>
        <v/>
      </c>
      <c r="AX534" s="1295" t="str">
        <f>IF(Table6[[#This Row],[Input value refined mode case 1, 2a/2b,Po]]&gt;0,Table6[[#This Row],[concat label refined mode case 1,2a/2b,Po]],Table6[[#This Row],[label for case 3 calculation refined mode]])</f>
        <v/>
      </c>
      <c r="AY534" s="1287">
        <f t="shared" si="324"/>
        <v>0</v>
      </c>
      <c r="AZ534" s="1295" t="str">
        <f t="shared" si="325"/>
        <v/>
      </c>
      <c r="BA534" s="1295" t="str">
        <f t="shared" si="326"/>
        <v/>
      </c>
      <c r="BB534" s="1287" t="str">
        <f>IF(AND(Table6[[#This Row],[label for IESTI new normal mode]]="LOQ",Table6[[#This Row],[GAP under assessment]]="N"),"",IF(AND($H534&gt;0,$Y534&lt;&gt;1),"CF*PF",IF($H534&gt;0,"CF",IF($Y534&lt;&gt;1,"PF",""))))</f>
        <v/>
      </c>
      <c r="BC534" s="1296" t="s">
        <v>369</v>
      </c>
      <c r="BD534" s="1297"/>
      <c r="BE534" s="1304" t="str">
        <f>IF(Table6[[#This Row],[GAP under assessment]]="Y",Table6[[#This Row],[MRL*CF*PF or LOQ (if not under assessment and LOQ)]],"")</f>
        <v/>
      </c>
      <c r="BF534" s="1305" t="str">
        <f>IF(Table6[[#This Row],[Input for IESTI new refined mode]]&lt;&gt;"",CONCATENATE("MRL",Table6[[#This Row],[label connector case 3 normal mode]],Table6[[#This Row],[label refinements case 3 normal mode]]),"")</f>
        <v/>
      </c>
      <c r="BG534" s="1298" t="s">
        <v>572</v>
      </c>
      <c r="BH534" s="1306"/>
    </row>
    <row r="535" spans="1:60" s="11" customFormat="1" ht="12.75" customHeight="1" x14ac:dyDescent="0.2">
      <c r="A535" s="479" t="s">
        <v>609</v>
      </c>
      <c r="B535" s="480">
        <v>850020</v>
      </c>
      <c r="C535" s="547" t="s">
        <v>414</v>
      </c>
      <c r="D535" s="1261">
        <f>VLOOKUP(Table6[[#This Row],[Code no.]],$B$12:$D$390,3,FALSE)</f>
        <v>0</v>
      </c>
      <c r="E535" s="1264">
        <f t="shared" si="310"/>
        <v>0</v>
      </c>
      <c r="F535" s="1262" t="str">
        <f t="shared" si="308"/>
        <v/>
      </c>
      <c r="G535" s="1265">
        <f t="shared" si="311"/>
        <v>1</v>
      </c>
      <c r="H535" s="881"/>
      <c r="I535" s="880"/>
      <c r="J535" s="1269">
        <f t="shared" si="312"/>
        <v>0</v>
      </c>
      <c r="K535" s="1269">
        <f t="shared" si="313"/>
        <v>0</v>
      </c>
      <c r="L535" s="1270"/>
      <c r="M535" s="1271" t="str">
        <f t="shared" si="314"/>
        <v/>
      </c>
      <c r="N535" s="1272"/>
      <c r="O535" s="1273">
        <v>1</v>
      </c>
      <c r="P535" s="1273" t="str">
        <f>IF(OR($A$10=$BG$15,Results!$B$62=Results!$T$63),Table6[[#This Row],[label refine mode]],Table6[[#This Row],[label normal mode]])</f>
        <v/>
      </c>
      <c r="Q535" s="1257" t="str">
        <f>IF(OR($A$10=$BG$15,Results!$B$62=Results!$T$63),Table6[[#This Row],[input refined mode]],Table6[[#This Row],[Input normal mode]])</f>
        <v/>
      </c>
      <c r="R535" s="1275" t="str">
        <f>IF(Table6[[#This Row],[Acute RA IESTI new input value]]="","",CONCATENATE(Table6[[#This Row],[label for IESTI new normal mode]],Table6[[#This Row],[label connector IESTI new normal mode]],Table6[[#This Row],[label refinements normal mode]]))</f>
        <v/>
      </c>
      <c r="S535" s="1259">
        <f>IF(OR($A$10=$BG$15,Results!$B$62=Results!$T$63),Table6[[#This Row],[Input for IESTI new refined mode]],Table6[[#This Row],[Input for IESTI new normal mode]])</f>
        <v>0</v>
      </c>
      <c r="T535" s="888"/>
      <c r="U535" s="1283">
        <f t="shared" si="316"/>
        <v>0</v>
      </c>
      <c r="V535" s="1284" t="str">
        <f t="shared" si="317"/>
        <v/>
      </c>
      <c r="W535" s="1285">
        <f>IF($H535&gt;0,$H535,IF(Table6[[#This Row],[CFrisk for residue definition (applicable for unprocessed products)]]&gt;0,Table6[[#This Row],[CFrisk for residue definition (applicable for unprocessed products)]],1))</f>
        <v>1</v>
      </c>
      <c r="X535" s="1285">
        <v>1</v>
      </c>
      <c r="Y535" s="1285">
        <f t="shared" si="318"/>
        <v>1</v>
      </c>
      <c r="Z535" s="1285">
        <f t="shared" si="319"/>
        <v>1</v>
      </c>
      <c r="AA535" s="1285" t="str">
        <f>IF(Table6[[#This Row],[Post-harvest treatment]]="","","Y")</f>
        <v/>
      </c>
      <c r="AB535" s="1285" t="str">
        <f>IF(AND(Table6[[#This Row],[CF used for for calculation]]&lt;&gt;1,Table6[[#This Row],[PF for calculation]]&lt;&gt;1),"CF*PF",IF(Table6[[#This Row],[CF used for for calculation]]&lt;&gt;1,"CF",IF(Table6[[#This Row],[PF for calculation]]&lt;&gt;1,"PF","")))</f>
        <v/>
      </c>
      <c r="AC535" s="1300">
        <f>IF(AND(Table6[[#This Row],[LOQ RAC individual crop]]="Y",Table6[[#This Row],[GAP under assessment]]="N"),Table6[[#This Row],[MRL RAC individual commodity]],Table6[[#This Row],[MRL RAC individual commodity]]*Table6[[#This Row],[CF*PF for calculation]])</f>
        <v>0</v>
      </c>
      <c r="AD535" s="1287">
        <f t="shared" si="320"/>
        <v>0</v>
      </c>
      <c r="AE535" s="1287">
        <f t="shared" si="321"/>
        <v>0</v>
      </c>
      <c r="AF535" s="1288">
        <f>Table6[[#This Row],[IESTI case]]</f>
        <v>1</v>
      </c>
      <c r="AG535"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35" s="1302" t="str">
        <f>IF(Table6[[#This Row],[Input value normal mode case 1, 2a/2b,Po]]&gt;0,
              IF(Table6[[#This Row],[Highest residue * CF*PF]]&gt;"","HR-RAC",
                             IF(Table6[[#This Row],[LOQ RAC individual crop]]="Y","LOQ","MRL")),"")</f>
        <v/>
      </c>
      <c r="AI535" s="1302" t="str">
        <f t="shared" si="322"/>
        <v/>
      </c>
      <c r="AJ535" s="1302" t="str">
        <f>IF(Table6[[#This Row],[Input value normal mode case 1, 2a/2b,Po]]&gt;0,IF(Table6[[#This Row],[label description]]&gt;"",Table6[[#This Row],[label description]],""),"")</f>
        <v/>
      </c>
      <c r="AK535" s="1302" t="str">
        <f>CONCATENATE(Table6[[#This Row],[label for IESTI normal mode case 1, 2a/2b,Po]],Table6[[#This Row],[label connector case  normal mode]],Table6[[#This Row],[label refinements normal mode case 1, 2a/2b,Po]])</f>
        <v/>
      </c>
      <c r="AL535" s="1287" t="str">
        <f>IF(AND(Table6[[#This Row],[Case for acute RA children / adults]]=3,Table6[[#This Row],[Post-harvest treatment]]=""),IF(AND(Table6[[#This Row],[LOQ RAC individual crop]]="Y",M534="N"),Table6[[#This Row],[MRL RAC individual commodity]],IF(Table6[[#This Row],[Median residue*CF*PF]]&gt;0,Table6[[#This Row],[Median residue*CF*PF]],IF(Table6[[#This Row],[MRL*CF*PF or LOQ (if not under assessment and LOQ)]]&gt;0,Table6[[#This Row],[MRL*CF*PF or LOQ (if not under assessment and LOQ)]],""))),"")</f>
        <v/>
      </c>
      <c r="AM535" s="1295" t="str">
        <f>IF(Table6[[#This Row],[input for case 3 normal mode]]&gt;0,IF(Table6[[#This Row],[Median residue*CF*PF]]&gt;0,"STMR-RAC",IF(AND($AC535&gt;0,NOT(V535="Y")),"MRL",IF($V535="Y","LOQ",""))),"")</f>
        <v/>
      </c>
      <c r="AN535" s="1295" t="str">
        <f t="shared" si="323"/>
        <v/>
      </c>
      <c r="AO535" s="1287" t="str">
        <f>IF(Table6[[#This Row],[input for case 3 normal mode]]="","",IF(AND(Table6[[#This Row],[label for case 3 calculation normal mode]]="LOQ",Table6[[#This Row],[GAP under assessment]]="N"),"",IF(Table6[[#This Row],[label description]]&gt;"",Table6[[#This Row],[label description]],"")))</f>
        <v/>
      </c>
      <c r="AP535" s="1287" t="str">
        <f>CONCATENATE(Table6[[#This Row],[label for case 3 calculation normal mode]],Table6[[#This Row],[label connector case 3 normal mode]],Table6[[#This Row],[label refinements case 3 normal mode]])</f>
        <v/>
      </c>
      <c r="AQ535" s="1287" t="str">
        <f>IF(Table6[[#This Row],[GAP under assessment]]="Y",Table6[[#This Row],[Input value normal mode case 1, 2a/2b,Po]],"")</f>
        <v/>
      </c>
      <c r="AR535" s="1287" t="str">
        <f>IF(Table6[[#This Row],[Input value refined mode case 1, 2a/2b,Po]]&gt;0,Table6[[#This Row],[concat label normal mode 1,2a/2b,Po ]],"")</f>
        <v/>
      </c>
      <c r="AS535" s="1303" t="str">
        <f>IF(Table6[[#This Row],[GAP under assessment]]="Y",Table6[[#This Row],[input for case 3 normal mode]],"")</f>
        <v/>
      </c>
      <c r="AT535" s="1287" t="str">
        <f>IF(Table6[[#This Row],[input for case 3 refined mode]]&gt;0,Table6[[#This Row],[concat label normal mode  case 3]],"")</f>
        <v/>
      </c>
      <c r="AU535" s="1295" t="str">
        <f>IF(Table6[[#This Row],[Input value normal mode case 1, 2a/2b,Po]]&gt;0,Table6[[#This Row],[Input value normal mode case 1, 2a/2b,Po]],Table6[[#This Row],[input for case 3 normal mode]])</f>
        <v/>
      </c>
      <c r="AV535" s="1295" t="str">
        <f>IF(Table6[[#This Row],[Input value normal mode case 1, 2a/2b,Po]]&gt;0,Table6[[#This Row],[concat label normal mode 1,2a/2b,Po ]],Table6[[#This Row],[concat label normal mode  case 3]])</f>
        <v/>
      </c>
      <c r="AW535" s="1295" t="str">
        <f>IF(Table6[[#This Row],[Input value refined mode case 1, 2a/2b,Po]]&gt;0,Table6[[#This Row],[Input value refined mode case 1, 2a/2b,Po]],Table6[[#This Row],[input for case 3 refined mode]])</f>
        <v/>
      </c>
      <c r="AX535" s="1295" t="str">
        <f>IF(Table6[[#This Row],[Input value refined mode case 1, 2a/2b,Po]]&gt;0,Table6[[#This Row],[concat label refined mode case 1,2a/2b,Po]],Table6[[#This Row],[label for case 3 calculation refined mode]])</f>
        <v/>
      </c>
      <c r="AY535" s="1287">
        <f t="shared" si="324"/>
        <v>0</v>
      </c>
      <c r="AZ535" s="1295" t="str">
        <f t="shared" si="325"/>
        <v/>
      </c>
      <c r="BA535" s="1295" t="str">
        <f t="shared" si="326"/>
        <v/>
      </c>
      <c r="BB535" s="1287" t="str">
        <f>IF(AND(Table6[[#This Row],[label for IESTI new normal mode]]="LOQ",Table6[[#This Row],[GAP under assessment]]="N"),"",IF(AND($H535&gt;0,$Y535&lt;&gt;1),"CF*PF",IF($H535&gt;0,"CF",IF($Y535&lt;&gt;1,"PF",""))))</f>
        <v/>
      </c>
      <c r="BC535" s="1296" t="s">
        <v>369</v>
      </c>
      <c r="BD535" s="1297"/>
      <c r="BE535" s="1304" t="str">
        <f>IF(Table6[[#This Row],[GAP under assessment]]="Y",Table6[[#This Row],[MRL*CF*PF or LOQ (if not under assessment and LOQ)]],"")</f>
        <v/>
      </c>
      <c r="BF535" s="1305" t="str">
        <f>IF(Table6[[#This Row],[Input for IESTI new refined mode]]&lt;&gt;"",CONCATENATE("MRL",Table6[[#This Row],[label connector case 3 normal mode]],Table6[[#This Row],[label refinements case 3 normal mode]]),"")</f>
        <v/>
      </c>
      <c r="BG535" s="1298" t="s">
        <v>609</v>
      </c>
      <c r="BH535" s="1306"/>
    </row>
    <row r="536" spans="1:60" s="11" customFormat="1" ht="12.75" customHeight="1" x14ac:dyDescent="0.2">
      <c r="A536" s="479" t="s">
        <v>589</v>
      </c>
      <c r="B536" s="480">
        <v>900010</v>
      </c>
      <c r="C536" s="547" t="s">
        <v>848</v>
      </c>
      <c r="D536" s="1261">
        <f>VLOOKUP(Table6[[#This Row],[Code no.]],$B$12:$D$390,3,FALSE)</f>
        <v>0</v>
      </c>
      <c r="E536" s="1264">
        <f t="shared" si="310"/>
        <v>0</v>
      </c>
      <c r="F536" s="1262" t="str">
        <f t="shared" si="308"/>
        <v/>
      </c>
      <c r="G536" s="1265">
        <f t="shared" si="311"/>
        <v>1</v>
      </c>
      <c r="H536" s="881"/>
      <c r="I536" s="882"/>
      <c r="J536" s="1269">
        <f t="shared" si="312"/>
        <v>0</v>
      </c>
      <c r="K536" s="1269">
        <f t="shared" si="313"/>
        <v>0</v>
      </c>
      <c r="L536" s="1270"/>
      <c r="M536" s="1271" t="str">
        <f t="shared" si="314"/>
        <v/>
      </c>
      <c r="N536" s="1272"/>
      <c r="O536" s="1273">
        <v>3</v>
      </c>
      <c r="P536" s="1273" t="str">
        <f>IF(OR($A$10=$BG$15,Results!$B$62=Results!$T$63),Table6[[#This Row],[label refine mode]],Table6[[#This Row],[label normal mode]])</f>
        <v/>
      </c>
      <c r="Q536" s="1257" t="str">
        <f>IF(OR($A$10=$BG$15,Results!$B$62=Results!$T$63),Table6[[#This Row],[input refined mode]],Table6[[#This Row],[Input normal mode]])</f>
        <v/>
      </c>
      <c r="R536" s="1275" t="str">
        <f>IF(Table6[[#This Row],[Acute RA IESTI new input value]]="","",CONCATENATE(Table6[[#This Row],[label for IESTI new normal mode]],Table6[[#This Row],[label connector IESTI new normal mode]],Table6[[#This Row],[label refinements normal mode]]))</f>
        <v/>
      </c>
      <c r="S536" s="1259">
        <f>IF(OR($A$10=$BG$15,Results!$B$62=Results!$T$63),Table6[[#This Row],[Input for IESTI new refined mode]],Table6[[#This Row],[Input for IESTI new normal mode]])</f>
        <v>0</v>
      </c>
      <c r="T536" s="888"/>
      <c r="U536" s="1283">
        <f t="shared" si="316"/>
        <v>0</v>
      </c>
      <c r="V536" s="1284" t="str">
        <f t="shared" si="317"/>
        <v/>
      </c>
      <c r="W536" s="1285">
        <f>IF($H536&gt;0,$H536,IF(Table6[[#This Row],[CFrisk for residue definition (applicable for unprocessed products)]]&gt;0,Table6[[#This Row],[CFrisk for residue definition (applicable for unprocessed products)]],1))</f>
        <v>1</v>
      </c>
      <c r="X536" s="1285">
        <v>12</v>
      </c>
      <c r="Y536" s="1285">
        <f t="shared" si="318"/>
        <v>12</v>
      </c>
      <c r="Z536" s="1285">
        <f t="shared" si="319"/>
        <v>12</v>
      </c>
      <c r="AA536" s="1285" t="str">
        <f>IF(Table6[[#This Row],[Post-harvest treatment]]="","","Y")</f>
        <v/>
      </c>
      <c r="AB536" s="1285" t="str">
        <f>IF(AND(Table6[[#This Row],[CF used for for calculation]]&lt;&gt;1,Table6[[#This Row],[PF for calculation]]&lt;&gt;1),"CF*PF",IF(Table6[[#This Row],[CF used for for calculation]]&lt;&gt;1,"CF",IF(Table6[[#This Row],[PF for calculation]]&lt;&gt;1,"PF","")))</f>
        <v>PF</v>
      </c>
      <c r="AC536" s="1300">
        <f>IF(AND(Table6[[#This Row],[LOQ RAC individual crop]]="Y",Table6[[#This Row],[GAP under assessment]]="N"),Table6[[#This Row],[MRL RAC individual commodity]],Table6[[#This Row],[MRL RAC individual commodity]]*Table6[[#This Row],[CF*PF for calculation]])</f>
        <v>0</v>
      </c>
      <c r="AD536" s="1287">
        <f t="shared" si="320"/>
        <v>0</v>
      </c>
      <c r="AE536" s="1287">
        <f t="shared" si="321"/>
        <v>0</v>
      </c>
      <c r="AF536" s="1288">
        <f>Table6[[#This Row],[IESTI case]]</f>
        <v>3</v>
      </c>
      <c r="AG536"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36" s="1302" t="str">
        <f>IF(Table6[[#This Row],[Input value normal mode case 1, 2a/2b,Po]]&gt;0,
              IF(Table6[[#This Row],[Highest residue * CF*PF]]&gt;"","HR-RAC",
                             IF(Table6[[#This Row],[LOQ RAC individual crop]]="Y","LOQ","MRL")),"")</f>
        <v/>
      </c>
      <c r="AI536" s="1302" t="str">
        <f t="shared" si="322"/>
        <v/>
      </c>
      <c r="AJ536" s="1302" t="str">
        <f>IF(Table6[[#This Row],[Input value normal mode case 1, 2a/2b,Po]]&gt;0,IF(Table6[[#This Row],[label description]]&gt;"",Table6[[#This Row],[label description]],""),"")</f>
        <v/>
      </c>
      <c r="AK536" s="1302" t="str">
        <f>CONCATENATE(Table6[[#This Row],[label for IESTI normal mode case 1, 2a/2b,Po]],Table6[[#This Row],[label connector case  normal mode]],Table6[[#This Row],[label refinements normal mode case 1, 2a/2b,Po]])</f>
        <v/>
      </c>
      <c r="AL536" s="1287" t="str">
        <f>IF(AND(Table6[[#This Row],[Case for acute RA children / adults]]=3,Table6[[#This Row],[Post-harvest treatment]]=""),IF(AND(Table6[[#This Row],[LOQ RAC individual crop]]="Y",M535="N"),Table6[[#This Row],[MRL RAC individual commodity]],IF(Table6[[#This Row],[Median residue*CF*PF]]&gt;0,Table6[[#This Row],[Median residue*CF*PF]],IF(Table6[[#This Row],[MRL*CF*PF or LOQ (if not under assessment and LOQ)]]&gt;0,Table6[[#This Row],[MRL*CF*PF or LOQ (if not under assessment and LOQ)]],""))),"")</f>
        <v/>
      </c>
      <c r="AM536" s="1295" t="str">
        <f>IF(Table6[[#This Row],[input for case 3 normal mode]]&gt;0,IF(Table6[[#This Row],[Median residue*CF*PF]]&gt;0,"STMR-RAC",IF(AND($AC536&gt;0,NOT(V536="Y")),"MRL",IF($V536="Y","LOQ",""))),"")</f>
        <v/>
      </c>
      <c r="AN536" s="1295" t="str">
        <f t="shared" si="323"/>
        <v/>
      </c>
      <c r="AO536" s="1287" t="str">
        <f>IF(Table6[[#This Row],[input for case 3 normal mode]]="","",IF(AND(Table6[[#This Row],[label for case 3 calculation normal mode]]="LOQ",Table6[[#This Row],[GAP under assessment]]="N"),"",IF(Table6[[#This Row],[label description]]&gt;"",Table6[[#This Row],[label description]],"")))</f>
        <v/>
      </c>
      <c r="AP536" s="1287" t="str">
        <f>CONCATENATE(Table6[[#This Row],[label for case 3 calculation normal mode]],Table6[[#This Row],[label connector case 3 normal mode]],Table6[[#This Row],[label refinements case 3 normal mode]])</f>
        <v/>
      </c>
      <c r="AQ536" s="1287" t="str">
        <f>IF(Table6[[#This Row],[GAP under assessment]]="Y",Table6[[#This Row],[Input value normal mode case 1, 2a/2b,Po]],"")</f>
        <v/>
      </c>
      <c r="AR536" s="1287" t="str">
        <f>IF(Table6[[#This Row],[Input value refined mode case 1, 2a/2b,Po]]&gt;0,Table6[[#This Row],[concat label normal mode 1,2a/2b,Po ]],"")</f>
        <v/>
      </c>
      <c r="AS536" s="1303" t="str">
        <f>IF(Table6[[#This Row],[GAP under assessment]]="Y",Table6[[#This Row],[input for case 3 normal mode]],"")</f>
        <v/>
      </c>
      <c r="AT536" s="1287" t="str">
        <f>IF(Table6[[#This Row],[input for case 3 refined mode]]&gt;0,Table6[[#This Row],[concat label normal mode  case 3]],"")</f>
        <v/>
      </c>
      <c r="AU536" s="1295" t="str">
        <f>IF(Table6[[#This Row],[Input value normal mode case 1, 2a/2b,Po]]&gt;0,Table6[[#This Row],[Input value normal mode case 1, 2a/2b,Po]],Table6[[#This Row],[input for case 3 normal mode]])</f>
        <v/>
      </c>
      <c r="AV536" s="1295" t="str">
        <f>IF(Table6[[#This Row],[Input value normal mode case 1, 2a/2b,Po]]&gt;0,Table6[[#This Row],[concat label normal mode 1,2a/2b,Po ]],Table6[[#This Row],[concat label normal mode  case 3]])</f>
        <v/>
      </c>
      <c r="AW536" s="1295" t="str">
        <f>IF(Table6[[#This Row],[Input value refined mode case 1, 2a/2b,Po]]&gt;0,Table6[[#This Row],[Input value refined mode case 1, 2a/2b,Po]],Table6[[#This Row],[input for case 3 refined mode]])</f>
        <v/>
      </c>
      <c r="AX536" s="1295" t="str">
        <f>IF(Table6[[#This Row],[Input value refined mode case 1, 2a/2b,Po]]&gt;0,Table6[[#This Row],[concat label refined mode case 1,2a/2b,Po]],Table6[[#This Row],[label for case 3 calculation refined mode]])</f>
        <v/>
      </c>
      <c r="AY536" s="1287">
        <f t="shared" si="324"/>
        <v>0</v>
      </c>
      <c r="AZ536" s="1295" t="str">
        <f t="shared" si="325"/>
        <v/>
      </c>
      <c r="BA536" s="1295" t="str">
        <f t="shared" si="326"/>
        <v/>
      </c>
      <c r="BB536" s="1287" t="str">
        <f>IF(AND(Table6[[#This Row],[label for IESTI new normal mode]]="LOQ",Table6[[#This Row],[GAP under assessment]]="N"),"",IF(AND($H536&gt;0,$Y536&lt;&gt;1),"CF*PF",IF($H536&gt;0,"CF",IF($Y536&lt;&gt;1,"PF",""))))</f>
        <v>PF</v>
      </c>
      <c r="BC536" s="1296" t="s">
        <v>369</v>
      </c>
      <c r="BD536" s="1297"/>
      <c r="BE536" s="1304" t="str">
        <f>IF(Table6[[#This Row],[GAP under assessment]]="Y",Table6[[#This Row],[MRL*CF*PF or LOQ (if not under assessment and LOQ)]],"")</f>
        <v/>
      </c>
      <c r="BF536" s="1305" t="str">
        <f>IF(Table6[[#This Row],[Input for IESTI new refined mode]]&lt;&gt;"",CONCATENATE("MRL",Table6[[#This Row],[label connector case 3 normal mode]],Table6[[#This Row],[label refinements case 3 normal mode]]),"")</f>
        <v/>
      </c>
      <c r="BG536" s="1298" t="s">
        <v>589</v>
      </c>
      <c r="BH536" s="1306"/>
    </row>
    <row r="537" spans="1:60" s="11" customFormat="1" ht="12.75" customHeight="1" x14ac:dyDescent="0.2">
      <c r="A537" s="479" t="s">
        <v>590</v>
      </c>
      <c r="B537" s="480">
        <v>900020</v>
      </c>
      <c r="C537" s="547" t="s">
        <v>849</v>
      </c>
      <c r="D537" s="1261">
        <f>VLOOKUP(Table6[[#This Row],[Code no.]],$B$12:$D$390,3,FALSE)</f>
        <v>0</v>
      </c>
      <c r="E537" s="1264">
        <f t="shared" si="310"/>
        <v>0</v>
      </c>
      <c r="F537" s="1262" t="str">
        <f t="shared" si="308"/>
        <v/>
      </c>
      <c r="G537" s="1265">
        <f t="shared" si="311"/>
        <v>1</v>
      </c>
      <c r="H537" s="881"/>
      <c r="I537" s="880"/>
      <c r="J537" s="1269">
        <f t="shared" si="312"/>
        <v>0</v>
      </c>
      <c r="K537" s="1269">
        <f t="shared" si="313"/>
        <v>0</v>
      </c>
      <c r="L537" s="1270"/>
      <c r="M537" s="1271" t="str">
        <f t="shared" si="314"/>
        <v/>
      </c>
      <c r="N537" s="1272"/>
      <c r="O537" s="1273">
        <v>3</v>
      </c>
      <c r="P537" s="1273" t="str">
        <f>IF(OR($A$10=$BG$15,Results!$B$62=Results!$T$63),Table6[[#This Row],[label refine mode]],Table6[[#This Row],[label normal mode]])</f>
        <v/>
      </c>
      <c r="Q537" s="1257" t="str">
        <f>IF(OR($A$10=$BG$15,Results!$B$62=Results!$T$63),Table6[[#This Row],[input refined mode]],Table6[[#This Row],[Input normal mode]])</f>
        <v/>
      </c>
      <c r="R537" s="1275" t="str">
        <f>IF(Table6[[#This Row],[Acute RA IESTI new input value]]="","",CONCATENATE(Table6[[#This Row],[label for IESTI new normal mode]],Table6[[#This Row],[label connector IESTI new normal mode]],Table6[[#This Row],[label refinements normal mode]]))</f>
        <v/>
      </c>
      <c r="S537" s="1259">
        <f>IF(OR($A$10=$BG$15,Results!$B$62=Results!$T$63),Table6[[#This Row],[Input for IESTI new refined mode]],Table6[[#This Row],[Input for IESTI new normal mode]])</f>
        <v>0</v>
      </c>
      <c r="T537" s="888"/>
      <c r="U537" s="1283">
        <f t="shared" si="316"/>
        <v>0</v>
      </c>
      <c r="V537" s="1284" t="str">
        <f t="shared" si="317"/>
        <v/>
      </c>
      <c r="W537" s="1285">
        <f>IF($H537&gt;0,$H537,IF(Table6[[#This Row],[CFrisk for residue definition (applicable for unprocessed products)]]&gt;0,Table6[[#This Row],[CFrisk for residue definition (applicable for unprocessed products)]],1))</f>
        <v>1</v>
      </c>
      <c r="X537" s="1285">
        <v>1</v>
      </c>
      <c r="Y537" s="1285">
        <f t="shared" si="318"/>
        <v>1</v>
      </c>
      <c r="Z537" s="1285">
        <f t="shared" si="319"/>
        <v>1</v>
      </c>
      <c r="AA537" s="1285" t="str">
        <f>IF(Table6[[#This Row],[Post-harvest treatment]]="","","Y")</f>
        <v/>
      </c>
      <c r="AB537" s="1285" t="str">
        <f>IF(AND(Table6[[#This Row],[CF used for for calculation]]&lt;&gt;1,Table6[[#This Row],[PF for calculation]]&lt;&gt;1),"CF*PF",IF(Table6[[#This Row],[CF used for for calculation]]&lt;&gt;1,"CF",IF(Table6[[#This Row],[PF for calculation]]&lt;&gt;1,"PF","")))</f>
        <v/>
      </c>
      <c r="AC537" s="1300">
        <f>IF(AND(Table6[[#This Row],[LOQ RAC individual crop]]="Y",Table6[[#This Row],[GAP under assessment]]="N"),Table6[[#This Row],[MRL RAC individual commodity]],Table6[[#This Row],[MRL RAC individual commodity]]*Table6[[#This Row],[CF*PF for calculation]])</f>
        <v>0</v>
      </c>
      <c r="AD537" s="1287">
        <f t="shared" si="320"/>
        <v>0</v>
      </c>
      <c r="AE537" s="1287">
        <f t="shared" si="321"/>
        <v>0</v>
      </c>
      <c r="AF537" s="1288">
        <f>Table6[[#This Row],[IESTI case]]</f>
        <v>3</v>
      </c>
      <c r="AG537" s="1301"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37" s="1302" t="str">
        <f>IF(Table6[[#This Row],[Input value normal mode case 1, 2a/2b,Po]]&gt;0,
              IF(Table6[[#This Row],[Highest residue * CF*PF]]&gt;"","HR-RAC",
                             IF(Table6[[#This Row],[LOQ RAC individual crop]]="Y","LOQ","MRL")),"")</f>
        <v/>
      </c>
      <c r="AI537" s="1302" t="str">
        <f t="shared" si="322"/>
        <v/>
      </c>
      <c r="AJ537" s="1302" t="str">
        <f>IF(Table6[[#This Row],[Input value normal mode case 1, 2a/2b,Po]]&gt;0,IF(Table6[[#This Row],[label description]]&gt;"",Table6[[#This Row],[label description]],""),"")</f>
        <v/>
      </c>
      <c r="AK537" s="1302" t="str">
        <f>CONCATENATE(Table6[[#This Row],[label for IESTI normal mode case 1, 2a/2b,Po]],Table6[[#This Row],[label connector case  normal mode]],Table6[[#This Row],[label refinements normal mode case 1, 2a/2b,Po]])</f>
        <v/>
      </c>
      <c r="AL537" s="1287" t="str">
        <f>IF(AND(Table6[[#This Row],[Case for acute RA children / adults]]=3,Table6[[#This Row],[Post-harvest treatment]]=""),IF(AND(Table6[[#This Row],[LOQ RAC individual crop]]="Y",M536="N"),Table6[[#This Row],[MRL RAC individual commodity]],IF(Table6[[#This Row],[Median residue*CF*PF]]&gt;0,Table6[[#This Row],[Median residue*CF*PF]],IF(Table6[[#This Row],[MRL*CF*PF or LOQ (if not under assessment and LOQ)]]&gt;0,Table6[[#This Row],[MRL*CF*PF or LOQ (if not under assessment and LOQ)]],""))),"")</f>
        <v/>
      </c>
      <c r="AM537" s="1295" t="str">
        <f>IF(Table6[[#This Row],[input for case 3 normal mode]]&gt;0,IF(Table6[[#This Row],[Median residue*CF*PF]]&gt;0,"STMR-RAC",IF(AND($AC537&gt;0,NOT(V537="Y")),"MRL",IF($V537="Y","LOQ",""))),"")</f>
        <v/>
      </c>
      <c r="AN537" s="1295" t="str">
        <f t="shared" si="323"/>
        <v/>
      </c>
      <c r="AO537" s="1287" t="str">
        <f>IF(Table6[[#This Row],[input for case 3 normal mode]]="","",IF(AND(Table6[[#This Row],[label for case 3 calculation normal mode]]="LOQ",Table6[[#This Row],[GAP under assessment]]="N"),"",IF(Table6[[#This Row],[label description]]&gt;"",Table6[[#This Row],[label description]],"")))</f>
        <v/>
      </c>
      <c r="AP537" s="1287" t="str">
        <f>CONCATENATE(Table6[[#This Row],[label for case 3 calculation normal mode]],Table6[[#This Row],[label connector case 3 normal mode]],Table6[[#This Row],[label refinements case 3 normal mode]])</f>
        <v/>
      </c>
      <c r="AQ537" s="1287" t="str">
        <f>IF(Table6[[#This Row],[GAP under assessment]]="Y",Table6[[#This Row],[Input value normal mode case 1, 2a/2b,Po]],"")</f>
        <v/>
      </c>
      <c r="AR537" s="1287" t="str">
        <f>IF(Table6[[#This Row],[Input value refined mode case 1, 2a/2b,Po]]&gt;0,Table6[[#This Row],[concat label normal mode 1,2a/2b,Po ]],"")</f>
        <v/>
      </c>
      <c r="AS537" s="1303" t="str">
        <f>IF(Table6[[#This Row],[GAP under assessment]]="Y",Table6[[#This Row],[input for case 3 normal mode]],"")</f>
        <v/>
      </c>
      <c r="AT537" s="1287" t="str">
        <f>IF(Table6[[#This Row],[input for case 3 refined mode]]&gt;0,Table6[[#This Row],[concat label normal mode  case 3]],"")</f>
        <v/>
      </c>
      <c r="AU537" s="1295" t="str">
        <f>IF(Table6[[#This Row],[Input value normal mode case 1, 2a/2b,Po]]&gt;0,Table6[[#This Row],[Input value normal mode case 1, 2a/2b,Po]],Table6[[#This Row],[input for case 3 normal mode]])</f>
        <v/>
      </c>
      <c r="AV537" s="1295" t="str">
        <f>IF(Table6[[#This Row],[Input value normal mode case 1, 2a/2b,Po]]&gt;0,Table6[[#This Row],[concat label normal mode 1,2a/2b,Po ]],Table6[[#This Row],[concat label normal mode  case 3]])</f>
        <v/>
      </c>
      <c r="AW537" s="1295" t="str">
        <f>IF(Table6[[#This Row],[Input value refined mode case 1, 2a/2b,Po]]&gt;0,Table6[[#This Row],[Input value refined mode case 1, 2a/2b,Po]],Table6[[#This Row],[input for case 3 refined mode]])</f>
        <v/>
      </c>
      <c r="AX537" s="1295" t="str">
        <f>IF(Table6[[#This Row],[Input value refined mode case 1, 2a/2b,Po]]&gt;0,Table6[[#This Row],[concat label refined mode case 1,2a/2b,Po]],Table6[[#This Row],[label for case 3 calculation refined mode]])</f>
        <v/>
      </c>
      <c r="AY537" s="1287">
        <f t="shared" si="324"/>
        <v>0</v>
      </c>
      <c r="AZ537" s="1295" t="str">
        <f t="shared" si="325"/>
        <v/>
      </c>
      <c r="BA537" s="1295" t="str">
        <f t="shared" si="326"/>
        <v/>
      </c>
      <c r="BB537" s="1287" t="str">
        <f>IF(AND(Table6[[#This Row],[label for IESTI new normal mode]]="LOQ",Table6[[#This Row],[GAP under assessment]]="N"),"",IF(AND($H537&gt;0,$Y537&lt;&gt;1),"CF*PF",IF($H537&gt;0,"CF",IF($Y537&lt;&gt;1,"PF",""))))</f>
        <v/>
      </c>
      <c r="BC537" s="1296" t="s">
        <v>369</v>
      </c>
      <c r="BD537" s="1297"/>
      <c r="BE537" s="1304" t="str">
        <f>IF(Table6[[#This Row],[GAP under assessment]]="Y",Table6[[#This Row],[MRL*CF*PF or LOQ (if not under assessment and LOQ)]],"")</f>
        <v/>
      </c>
      <c r="BF537" s="1305" t="str">
        <f>IF(Table6[[#This Row],[Input for IESTI new refined mode]]&lt;&gt;"",CONCATENATE("MRL",Table6[[#This Row],[label connector case 3 normal mode]],Table6[[#This Row],[label refinements case 3 normal mode]]),"")</f>
        <v/>
      </c>
      <c r="BG537" s="1298" t="s">
        <v>590</v>
      </c>
      <c r="BH537" s="1306"/>
    </row>
    <row r="538" spans="1:60" s="11" customFormat="1" ht="12.75" customHeight="1" x14ac:dyDescent="0.2">
      <c r="A538" s="481" t="s">
        <v>610</v>
      </c>
      <c r="B538" s="482">
        <v>900030</v>
      </c>
      <c r="C538" s="548" t="s">
        <v>415</v>
      </c>
      <c r="D538" s="1266">
        <f>VLOOKUP(Table6[[#This Row],[Code no.]],$B$12:$D$390,3,FALSE)</f>
        <v>0</v>
      </c>
      <c r="E538" s="1267">
        <f t="shared" si="310"/>
        <v>0</v>
      </c>
      <c r="F538" s="1262" t="str">
        <f t="shared" si="308"/>
        <v/>
      </c>
      <c r="G538" s="1268">
        <f t="shared" si="311"/>
        <v>1</v>
      </c>
      <c r="H538" s="883"/>
      <c r="I538" s="884"/>
      <c r="J538" s="1277">
        <f t="shared" si="312"/>
        <v>0</v>
      </c>
      <c r="K538" s="1277">
        <f t="shared" si="313"/>
        <v>0</v>
      </c>
      <c r="L538" s="1270"/>
      <c r="M538" s="1278" t="str">
        <f t="shared" si="314"/>
        <v/>
      </c>
      <c r="N538" s="1279"/>
      <c r="O538" s="1280">
        <v>3</v>
      </c>
      <c r="P538" s="1280" t="str">
        <f>IF(OR($A$10=$BG$15,Results!$B$62=Results!$T$63),Table6[[#This Row],[label refine mode]],Table6[[#This Row],[label normal mode]])</f>
        <v/>
      </c>
      <c r="Q538" s="1281" t="str">
        <f>IF(OR($A$10=$BG$15,Results!$B$62=Results!$T$63),Table6[[#This Row],[input refined mode]],Table6[[#This Row],[Input normal mode]])</f>
        <v/>
      </c>
      <c r="R538" s="1282" t="str">
        <f>IF(Table6[[#This Row],[Acute RA IESTI new input value]]="","",CONCATENATE(Table6[[#This Row],[label for IESTI new normal mode]],Table6[[#This Row],[label connector IESTI new normal mode]],Table6[[#This Row],[label refinements normal mode]]))</f>
        <v/>
      </c>
      <c r="S538" s="1259">
        <f>IF(OR($A$10=$BG$15,Results!$B$62=Results!$T$63),Table6[[#This Row],[Input for IESTI new refined mode]],Table6[[#This Row],[Input for IESTI new normal mode]])</f>
        <v>0</v>
      </c>
      <c r="T538" s="889"/>
      <c r="U538" s="1308">
        <f t="shared" si="316"/>
        <v>0</v>
      </c>
      <c r="V538" s="1309" t="str">
        <f t="shared" si="317"/>
        <v/>
      </c>
      <c r="W538" s="1310">
        <f>IF($H538&gt;0,$H538,IF(Table6[[#This Row],[CFrisk for residue definition (applicable for unprocessed products)]]&gt;0,Table6[[#This Row],[CFrisk for residue definition (applicable for unprocessed products)]],1))</f>
        <v>1</v>
      </c>
      <c r="X538" s="1310">
        <v>1</v>
      </c>
      <c r="Y538" s="1310">
        <f>IF($I538&gt;0,$I538,X538)</f>
        <v>1</v>
      </c>
      <c r="Z538" s="1310">
        <f>W538*Y538</f>
        <v>1</v>
      </c>
      <c r="AA538" s="1310" t="str">
        <f>IF(Table6[[#This Row],[Post-harvest treatment]]="","","Y")</f>
        <v/>
      </c>
      <c r="AB538" s="1310" t="str">
        <f>IF(AND(Table6[[#This Row],[CF used for for calculation]]&lt;&gt;1,Table6[[#This Row],[PF for calculation]]&lt;&gt;1),"CF*PF",IF(Table6[[#This Row],[CF used for for calculation]]&lt;&gt;1,"CF",IF(Table6[[#This Row],[PF for calculation]]&lt;&gt;1,"PF","")))</f>
        <v/>
      </c>
      <c r="AC538" s="1311">
        <f>IF(AND(Table6[[#This Row],[LOQ RAC individual crop]]="Y",Table6[[#This Row],[GAP under assessment]]="N"),Table6[[#This Row],[MRL RAC individual commodity]],Table6[[#This Row],[MRL RAC individual commodity]]*Table6[[#This Row],[CF*PF for calculation]])</f>
        <v>0</v>
      </c>
      <c r="AD538" s="1312">
        <f t="shared" si="320"/>
        <v>0</v>
      </c>
      <c r="AE538" s="1312">
        <f t="shared" si="321"/>
        <v>0</v>
      </c>
      <c r="AF538" s="1313">
        <f>Table6[[#This Row],[IESTI case]]</f>
        <v>3</v>
      </c>
      <c r="AG538" s="1314" t="str">
        <f>IF(OR(Table6[[#This Row],[Case for acute RA children / adults]]="2a/2b",Table6[[#This Row],[Case for acute RA children / adults]]=1,Table6[[#This Row],[Post-harvest ]]="Y"),IF(Table6[[#This Row],[Highest residue * CF*PF]]&gt;0,Table6[[#This Row],[Highest residue * CF*PF]],IF(Table6[[#This Row],[MRL*CF*PF or LOQ (if not under assessment and LOQ)]]&gt;0,Table6[[#This Row],[MRL*CF*PF or LOQ (if not under assessment and LOQ)]],"")),"")</f>
        <v/>
      </c>
      <c r="AH538" s="1315" t="str">
        <f>IF(Table6[[#This Row],[Input value normal mode case 1, 2a/2b,Po]]&gt;0,
              IF(Table6[[#This Row],[Highest residue * CF*PF]]&gt;"","HR-RAC",
                             IF(Table6[[#This Row],[LOQ RAC individual crop]]="Y","LOQ","MRL")),"")</f>
        <v/>
      </c>
      <c r="AI538" s="1315" t="str">
        <f>IF(AND(AH538&lt;&gt;"",AJ538&lt;&gt;""),"*","")</f>
        <v/>
      </c>
      <c r="AJ538" s="1315" t="str">
        <f>IF(Table6[[#This Row],[Input value normal mode case 1, 2a/2b,Po]]&gt;0,IF(Table6[[#This Row],[label description]]&gt;"",Table6[[#This Row],[label description]],""),"")</f>
        <v/>
      </c>
      <c r="AK538" s="1315" t="str">
        <f>CONCATENATE(Table6[[#This Row],[label for IESTI normal mode case 1, 2a/2b,Po]],Table6[[#This Row],[label connector case  normal mode]],Table6[[#This Row],[label refinements normal mode case 1, 2a/2b,Po]])</f>
        <v/>
      </c>
      <c r="AL538" s="1312" t="str">
        <f>IF(AND(Table6[[#This Row],[Case for acute RA children / adults]]=3,Table6[[#This Row],[Post-harvest treatment]]=""),IF(AND(Table6[[#This Row],[LOQ RAC individual crop]]="Y",M537="N"),Table6[[#This Row],[MRL RAC individual commodity]],IF(Table6[[#This Row],[Median residue*CF*PF]]&gt;0,Table6[[#This Row],[Median residue*CF*PF]],IF(Table6[[#This Row],[MRL*CF*PF or LOQ (if not under assessment and LOQ)]]&gt;0,Table6[[#This Row],[MRL*CF*PF or LOQ (if not under assessment and LOQ)]],""))),"")</f>
        <v/>
      </c>
      <c r="AM538" s="1316" t="str">
        <f>IF(Table6[[#This Row],[input for case 3 normal mode]]&gt;0,IF(Table6[[#This Row],[Median residue*CF*PF]]&gt;0,"STMR-RAC",IF(AND($AC538&gt;0,NOT(V538="Y")),"MRL",IF($V538="Y","LOQ",""))),"")</f>
        <v/>
      </c>
      <c r="AN538" s="1316" t="str">
        <f>IF(AND(AM538&lt;&gt;"",AO538&lt;&gt;""),"*","")</f>
        <v/>
      </c>
      <c r="AO538" s="1312" t="str">
        <f>IF(Table6[[#This Row],[input for case 3 normal mode]]="","",IF(AND(Table6[[#This Row],[label for case 3 calculation normal mode]]="LOQ",Table6[[#This Row],[GAP under assessment]]="N"),"",IF(Table6[[#This Row],[label description]]&gt;"",Table6[[#This Row],[label description]],"")))</f>
        <v/>
      </c>
      <c r="AP538" s="1312" t="str">
        <f>CONCATENATE(Table6[[#This Row],[label for case 3 calculation normal mode]],Table6[[#This Row],[label connector case 3 normal mode]],Table6[[#This Row],[label refinements case 3 normal mode]])</f>
        <v/>
      </c>
      <c r="AQ538" s="1312" t="str">
        <f>IF(Table6[[#This Row],[GAP under assessment]]="Y",Table6[[#This Row],[Input value normal mode case 1, 2a/2b,Po]],"")</f>
        <v/>
      </c>
      <c r="AR538" s="1312" t="str">
        <f>IF(Table6[[#This Row],[Input value refined mode case 1, 2a/2b,Po]]&gt;0,Table6[[#This Row],[concat label normal mode 1,2a/2b,Po ]],"")</f>
        <v/>
      </c>
      <c r="AS538" s="1317" t="str">
        <f>IF(Table6[[#This Row],[GAP under assessment]]="Y",Table6[[#This Row],[input for case 3 normal mode]],"")</f>
        <v/>
      </c>
      <c r="AT538" s="1312" t="str">
        <f>IF(Table6[[#This Row],[input for case 3 refined mode]]&gt;0,Table6[[#This Row],[concat label normal mode  case 3]],"")</f>
        <v/>
      </c>
      <c r="AU538" s="1316" t="str">
        <f>IF(Table6[[#This Row],[Input value normal mode case 1, 2a/2b,Po]]&gt;0,Table6[[#This Row],[Input value normal mode case 1, 2a/2b,Po]],Table6[[#This Row],[input for case 3 normal mode]])</f>
        <v/>
      </c>
      <c r="AV538" s="1316" t="str">
        <f>IF(Table6[[#This Row],[Input value normal mode case 1, 2a/2b,Po]]&gt;0,Table6[[#This Row],[concat label normal mode 1,2a/2b,Po ]],Table6[[#This Row],[concat label normal mode  case 3]])</f>
        <v/>
      </c>
      <c r="AW538" s="1316" t="str">
        <f>IF(Table6[[#This Row],[Input value refined mode case 1, 2a/2b,Po]]&gt;0,Table6[[#This Row],[Input value refined mode case 1, 2a/2b,Po]],Table6[[#This Row],[input for case 3 refined mode]])</f>
        <v/>
      </c>
      <c r="AX538" s="1316" t="str">
        <f>IF(Table6[[#This Row],[Input value refined mode case 1, 2a/2b,Po]]&gt;0,Table6[[#This Row],[concat label refined mode case 1,2a/2b,Po]],Table6[[#This Row],[label for case 3 calculation refined mode]])</f>
        <v/>
      </c>
      <c r="AY538" s="1312">
        <f t="shared" si="324"/>
        <v>0</v>
      </c>
      <c r="AZ538" s="1316" t="str">
        <f t="shared" si="325"/>
        <v/>
      </c>
      <c r="BA538" s="1316" t="str">
        <f t="shared" si="326"/>
        <v/>
      </c>
      <c r="BB538" s="1312" t="str">
        <f>IF(AND(Table6[[#This Row],[label for IESTI new normal mode]]="LOQ",Table6[[#This Row],[GAP under assessment]]="N"),"",IF(AND($H538&gt;0,$Y538&lt;&gt;1),"CF*PF",IF($H538&gt;0,"CF",IF($Y538&lt;&gt;1,"PF",""))))</f>
        <v/>
      </c>
      <c r="BC538" s="1318" t="s">
        <v>369</v>
      </c>
      <c r="BD538" s="1319"/>
      <c r="BE538" s="1320" t="str">
        <f>IF(Table6[[#This Row],[GAP under assessment]]="Y",Table6[[#This Row],[MRL*CF*PF or LOQ (if not under assessment and LOQ)]],"")</f>
        <v/>
      </c>
      <c r="BF538" s="1321" t="str">
        <f>IF(Table6[[#This Row],[Input for IESTI new refined mode]]&lt;&gt;"",CONCATENATE("MRL",Table6[[#This Row],[label connector case 3 normal mode]],Table6[[#This Row],[label refinements case 3 normal mode]]),"")</f>
        <v/>
      </c>
      <c r="BG538" s="1322" t="s">
        <v>610</v>
      </c>
      <c r="BH538" s="1306"/>
    </row>
    <row r="539" spans="1:60" x14ac:dyDescent="0.2">
      <c r="AY539" s="104"/>
    </row>
    <row r="540" spans="1:60" x14ac:dyDescent="0.2">
      <c r="AY540" s="104"/>
    </row>
    <row r="541" spans="1:60" x14ac:dyDescent="0.2">
      <c r="AY541" s="104"/>
    </row>
    <row r="542" spans="1:60" x14ac:dyDescent="0.2">
      <c r="AY542" s="104"/>
    </row>
  </sheetData>
  <sheetProtection sheet="1" objects="1" scenarios="1" formatCells="0" formatColumns="0" formatRows="0" autoFilter="0"/>
  <protectedRanges>
    <protectedRange sqref="H412:I538 T412:T538" name="Input_Processed"/>
    <protectedRange sqref="D6:G9 I6:K9" name="Residue_definitions"/>
    <protectedRange sqref="D4:D5 F4:G5" name="Toxicological_data"/>
    <protectedRange sqref="D3" name="as"/>
    <protectedRange sqref="A10" name="Calculation_mode"/>
    <protectedRange sqref="L7" name="Fat_soluble"/>
    <protectedRange sqref="D10:K10" name="Comment"/>
    <protectedRange sqref="T12:T389 D12:M389" name="Input_RAC"/>
  </protectedRanges>
  <dataConsolidate/>
  <mergeCells count="15">
    <mergeCell ref="AI10:AY10"/>
    <mergeCell ref="Z10:AH10"/>
    <mergeCell ref="L10:N10"/>
    <mergeCell ref="A3:B3"/>
    <mergeCell ref="A10:B10"/>
    <mergeCell ref="D3:G3"/>
    <mergeCell ref="D6:G6"/>
    <mergeCell ref="D7:G7"/>
    <mergeCell ref="D8:G8"/>
    <mergeCell ref="D9:G9"/>
    <mergeCell ref="I6:K6"/>
    <mergeCell ref="I7:K7"/>
    <mergeCell ref="I8:K8"/>
    <mergeCell ref="I9:K9"/>
    <mergeCell ref="D10:K10"/>
  </mergeCells>
  <conditionalFormatting sqref="L14:L19">
    <cfRule type="expression" dxfId="130" priority="27" stopIfTrue="1">
      <formula>$A$10="Refined calculation mode"</formula>
    </cfRule>
  </conditionalFormatting>
  <conditionalFormatting sqref="L214 L216">
    <cfRule type="expression" dxfId="129" priority="26" stopIfTrue="1">
      <formula>$A$10="Refined calculation mode"</formula>
    </cfRule>
  </conditionalFormatting>
  <conditionalFormatting sqref="M213:M217">
    <cfRule type="expression" dxfId="128" priority="18">
      <formula>$D$5="not necessary"</formula>
    </cfRule>
  </conditionalFormatting>
  <conditionalFormatting sqref="M213:M217">
    <cfRule type="expression" dxfId="127" priority="19">
      <formula>$D$5&gt;""</formula>
    </cfRule>
  </conditionalFormatting>
  <conditionalFormatting sqref="L244 L237 L220 L222 L224 L226 L228 L230 L232 L234 L239 L241 L246 L248 L250 L252">
    <cfRule type="expression" dxfId="126" priority="17" stopIfTrue="1">
      <formula>$A$10="Refined calculation mode"</formula>
    </cfRule>
  </conditionalFormatting>
  <conditionalFormatting sqref="L160:L168 L154:L157 L150:L152 L146:L148 L138:L142 L133:L136 L127:L131 L120:L124 L107:L118 L101:L105 L99 L85:L96 L77:L83 L68:L75 L57:L65 L52:L55 L48:L50 L41:L45 L34:L39 L21:L32 L170:L176 L178:L188 L190:L195 L197:L206 L208:L211 L254:L255 L258:L263 L265:L268 L270:L272 L274:L276 L279:L288 L290:L298 L300:L301 L303:L307 L309:L311 L313:L314 L316:L317 L319:L322 L326:L331 L333:L338 L340:L345 L347:L352 L354:L359 L361:L366 L368:L373 L375:L379 L381:L389">
    <cfRule type="expression" dxfId="125" priority="16" stopIfTrue="1">
      <formula>$A$10="Refined calculation mode"</formula>
    </cfRule>
  </conditionalFormatting>
  <conditionalFormatting sqref="M220:M235">
    <cfRule type="expression" dxfId="124" priority="11">
      <formula>$D$5="not necessary"</formula>
    </cfRule>
  </conditionalFormatting>
  <conditionalFormatting sqref="M220:M235">
    <cfRule type="expression" dxfId="123" priority="12">
      <formula>$D$5&gt;""</formula>
    </cfRule>
  </conditionalFormatting>
  <conditionalFormatting sqref="M237:M241">
    <cfRule type="expression" dxfId="122" priority="9">
      <formula>$D$5="not necessary"</formula>
    </cfRule>
  </conditionalFormatting>
  <conditionalFormatting sqref="M237:M241">
    <cfRule type="expression" dxfId="121" priority="10">
      <formula>$D$5&gt;""</formula>
    </cfRule>
  </conditionalFormatting>
  <conditionalFormatting sqref="M243:M252">
    <cfRule type="expression" dxfId="120" priority="7">
      <formula>$D$5="not necessary"</formula>
    </cfRule>
  </conditionalFormatting>
  <conditionalFormatting sqref="M243:M252">
    <cfRule type="expression" dxfId="119" priority="8">
      <formula>$D$5&gt;""</formula>
    </cfRule>
  </conditionalFormatting>
  <conditionalFormatting sqref="E12:F389">
    <cfRule type="containsErrors" dxfId="118" priority="6">
      <formula>ISERROR(E12)</formula>
    </cfRule>
  </conditionalFormatting>
  <conditionalFormatting sqref="M254:M255">
    <cfRule type="expression" dxfId="117" priority="4">
      <formula>$D$5="not necessary"</formula>
    </cfRule>
  </conditionalFormatting>
  <conditionalFormatting sqref="M254:M255">
    <cfRule type="expression" dxfId="116" priority="5">
      <formula>$D$5&gt;""</formula>
    </cfRule>
  </conditionalFormatting>
  <conditionalFormatting sqref="L251 L249 L247 L245 L243 L240 L238 L235 L233 L231 L229 L227 L225 L223 L221 L217 L215 L213">
    <cfRule type="expression" dxfId="115" priority="1" stopIfTrue="1">
      <formula>$A$10="Refined calculation mode"</formula>
    </cfRule>
  </conditionalFormatting>
  <dataValidations xWindow="457" yWindow="528" count="44">
    <dataValidation type="list" allowBlank="1" showInputMessage="1" showErrorMessage="1" sqref="AH3:AI3 V3:AA3" xr:uid="{00000000-0002-0000-0200-000000000000}">
      <formula1>active_substance</formula1>
    </dataValidation>
    <dataValidation errorStyle="information" showInputMessage="1" showErrorMessage="1" sqref="D3:G3" xr:uid="{00000000-0002-0000-0200-000001000000}"/>
    <dataValidation allowBlank="1" showInputMessage="1" showErrorMessage="1" promptTitle="ADI" prompt="Enter the ADI value to be used for the risk assessment in mg/kg body weight per day." sqref="D4" xr:uid="{00000000-0002-0000-0200-000002000000}"/>
    <dataValidation allowBlank="1" showInputMessage="1" showErrorMessage="1" promptTitle="ADI year" prompt="Report the year of the assessment._x000a_" sqref="G4" xr:uid="{00000000-0002-0000-0200-000003000000}"/>
    <dataValidation allowBlank="1" showInputMessage="1" showErrorMessage="1" promptTitle="ARfD year" prompt="Report year of assessment." sqref="G5" xr:uid="{00000000-0002-0000-0200-000004000000}"/>
    <dataValidation type="list" allowBlank="1" showInputMessage="1" showErrorMessage="1" errorTitle="Invalid data entered" error="Please use drop down list to select valid entries for this field._x000a_" promptTitle="Select calculation mode:" prompt=" The exposure calculation can be performed in two ways: _x000a_Normal mode- including all food commodities for which MRLs or proposed MRLs are included_x000a_Refined calculation mode- including only those food commodities for which a GAP is authorised._x000a_  " sqref="A10:B10" xr:uid="{00000000-0002-0000-0200-000005000000}">
      <formula1>$BG$14:$BG$15</formula1>
    </dataValidation>
    <dataValidation allowBlank="1" showInputMessage="1" showErrorMessage="1" promptTitle="Limit of Quantification" prompt="If the MRL reported in column D is equivalent to the limit of quantification (LOQ), please inserting an asterisk (*) in this column. _x000a_Valid entries: _x000a_blank-  for MRLs &gt;LOQ_x000a_* - for MRLs equal to LOQ" sqref="F11" xr:uid="{00000000-0002-0000-0200-000006000000}"/>
    <dataValidation allowBlank="1" showInputMessage="1" showErrorMessage="1" promptTitle="Source of the ADI" prompt="Indicate source of the ADI (e.g. EC, JMPR, EFSA)_x000a_" sqref="F4" xr:uid="{00000000-0002-0000-0200-000007000000}"/>
    <dataValidation allowBlank="1" showInputMessage="1" showErrorMessage="1" promptTitle="Attention: fat soluble substaces" prompt="The median residue value for whole milk (fat content 4%)  needs to be entered in this field. _x000a_" sqref="I375:I379" xr:uid="{00000000-0002-0000-0200-000008000000}"/>
    <dataValidation allowBlank="1" showInputMessage="1" showErrorMessage="1" promptTitle="MRL/proposed MRL" prompt="Insert existing or proposed MRL corresponding to the STMR-RAC and HR-RAC for which the risk assessment should be performed. " sqref="E11" xr:uid="{00000000-0002-0000-0200-000009000000}"/>
    <dataValidation allowBlank="1" showInputMessage="1" showErrorMessage="1" promptTitle="Conv. factor risk assessment" prompt="Converion factor for the residue definition for risk assessment. _x000a_This value is used for the calculation, unless a specific conversion factor is inserted in column H &quot;CFrisk for residue definition for processed products&quot;._x000a__x000a_" sqref="G411" xr:uid="{00000000-0002-0000-0200-00000A000000}"/>
    <dataValidation allowBlank="1" showInputMessage="1" showErrorMessage="1" promptTitle="Peeling factor" prompt="The appropriate peeling factor has to be inserted for each relevant crop separately. For crops highlighted in grey, peeling factors are not considered  in exposure assessment. " sqref="H11" xr:uid="{00000000-0002-0000-0200-00000B000000}"/>
    <dataValidation allowBlank="1" showInputMessage="1" showErrorMessage="1" promptTitle="GAP under assessment" prompt="This column is intended to label the crops that shall be included in the risk assessment. _x000a_Valid entries: _x000a_-Y: to be used for labelling authorised uses _x000a_-N: confirmation that the use is not authorised; crop not used for exposure calculation_x000a_-blank cell_x000a_" sqref="L11" xr:uid="{00000000-0002-0000-0200-00000C000000}"/>
    <dataValidation allowBlank="1" showInputMessage="1" showErrorMessage="1" promptTitle="Alternative variability factor" prompt="Please insert a variablity factor in this column, if the calculation should be performed with a variability factor different to the default variability factor (e.g. empirical VF, VF of 10 for granular uses). " sqref="K11" xr:uid="{00000000-0002-0000-0200-00000D000000}"/>
    <dataValidation allowBlank="1" showInputMessage="1" showErrorMessage="1" promptTitle="Highest residue (HR-RAC)" prompt="The HR-RAC is derived for theRD enforcment. _x000a_In case the RD for risk assessment is different, a CF for residue definition needs to be entered in column F._x000a_Alternatively, the HR-RAC for the RD risk assessment can be entered in this column (CF =1)._x000a_" sqref="J11" xr:uid="{00000000-0002-0000-0200-00000E000000}"/>
    <dataValidation allowBlank="1" showInputMessage="1" showErrorMessage="1" promptTitle="Median residue (STMR-RAC)" prompt="The STMR-RAC is derived for the residue definition enforcment. In case the RD for risk assessment is different, a CF for residue definition needs to be entered in column F._x000a_Alternatively, the STMR for the risk assessment RD can be entered (CF=1). " sqref="I11" xr:uid="{00000000-0002-0000-0200-00000F000000}"/>
    <dataValidation type="list" showDropDown="1" showInputMessage="1" showErrorMessage="1" sqref="F12:F391" xr:uid="{00000000-0002-0000-0200-000010000000}">
      <formula1>$BG$16</formula1>
    </dataValidation>
    <dataValidation allowBlank="1" showInputMessage="1" showErrorMessage="1" promptTitle="Attention" prompt="The PF for the residue definition for enforcement should be inserted._x000a_In the cells highlighted in dark green, a default processing factor is used, if no specific processing factor is inserted. " sqref="I411" xr:uid="{00000000-0002-0000-0200-000011000000}"/>
    <dataValidation allowBlank="1" showInputMessage="1" showErrorMessage="1" promptTitle="Default processing factor" prompt="If no specific PF is entered, the default processing factor of 0.004 is used for the acute intake calculation (Personal communication)." sqref="I530" xr:uid="{00000000-0002-0000-0200-000012000000}"/>
    <dataValidation allowBlank="1" showInputMessage="1" showErrorMessage="1" promptTitle="Default processing factor" prompt="If no specific PF is entered, the default processing factor of 4.7 is used for the acute intake calculation (OECD, 2008)." sqref="I424" xr:uid="{00000000-0002-0000-0200-000013000000}"/>
    <dataValidation allowBlank="1" showInputMessage="1" showErrorMessage="1" promptTitle="Default processing factor" prompt="If no specific PF is entered, the default processing factor of 12 is used for the acute intake calculation (OECD, 2008)_x000a_." sqref="I536" xr:uid="{00000000-0002-0000-0200-000014000000}"/>
    <dataValidation allowBlank="1" showInputMessage="1" showErrorMessage="1" promptTitle="Default processing factor" prompt="If no specific PF is entered, the default processing factor of 4.6 is used for the acute intake calculation (OECD, 2008)." sqref="I445" xr:uid="{00000000-0002-0000-0200-000015000000}"/>
    <dataValidation allowBlank="1" showInputMessage="1" showErrorMessage="1" promptTitle="Default processing factor" prompt="If no specific PF is entered, the default processing factor of 2  is used for the acute intake calculation (OECD, 2008)_x000a_." sqref="I497:I498" xr:uid="{00000000-0002-0000-0200-000016000000}"/>
    <dataValidation allowBlank="1" showInputMessage="1" showErrorMessage="1" promptTitle="Default processing factor" prompt="If no specific PF is entered, the default processing factor of 2 is used for the acute intake calculation. (OECD, 2008)_x000a_" sqref="I501" xr:uid="{00000000-0002-0000-0200-000017000000}"/>
    <dataValidation allowBlank="1" showInputMessage="1" showErrorMessage="1" promptTitle="Default processing factor" prompt="If no specific PF is entered, the default processing factor of 25 is used for the acute intake calculation." sqref="I509" xr:uid="{00000000-0002-0000-0200-000018000000}"/>
    <dataValidation allowBlank="1" showInputMessage="1" showErrorMessage="1" promptTitle="Default processing factor" prompt="If no specific PF is entered, the default processing factor of 0.2 is used for the acute intake calculation (Personal communication)." sqref="I504" xr:uid="{00000000-0002-0000-0200-000019000000}"/>
    <dataValidation allowBlank="1" showInputMessage="1" showErrorMessage="1" promptTitle="Default processing factor" prompt="If no specific PF is entered, the default processing factor of 0.01 is used for the acute intake calculation (ca. 2.5 g product used for 250 g infusion)." sqref="I522 I524:I527" xr:uid="{00000000-0002-0000-0200-00001A000000}"/>
    <dataValidation allowBlank="1" showInputMessage="1" showErrorMessage="1" promptTitle="Default processing factor" prompt="If no specific PF is entered, the default processing factor of 0.2  is used for the acute intake calculation (ca 10 g of coffee to produce 50 g of espresso)." sqref="I523" xr:uid="{00000000-0002-0000-0200-00001B000000}"/>
    <dataValidation showInputMessage="1" showErrorMessage="1" sqref="K3:S3" xr:uid="{00000000-0002-0000-0200-00001C000000}"/>
    <dataValidation allowBlank="1" showInputMessage="1" showErrorMessage="1" promptTitle="Post-harvest treatment" prompt="Valid entries _x000a_-Y,_x000a_-N,_x000a_-blank_x000a_Information relevant for the acute exposure assesssment for pulses, cereals and oilseeds. _x000a_For other crops: optional information _x000a_For other crops, this information is not used for the calculation." sqref="M11" xr:uid="{00000000-0002-0000-0200-00001D000000}"/>
    <dataValidation showDropDown="1" showInputMessage="1" showErrorMessage="1" sqref="D12:D391" xr:uid="{00000000-0002-0000-0200-00001E000000}"/>
    <dataValidation allowBlank="1" showInputMessage="1" showErrorMessage="1" prompt="Calculation is performed with specific CF for processed products; if not available, the CF from unprocessed product is used. Lacking both, the default value of 1 is used. _x000a_" sqref="W411" xr:uid="{00000000-0002-0000-0200-00001F000000}"/>
    <dataValidation allowBlank="1" showInputMessage="1" showErrorMessage="1" promptTitle="Not mandatory" prompt="Possible entries for labelling the MRL: _x000a_Codex MRL, _x000a_proposed MRL, _x000a_existing EU MRL, _x000a_import tolerance_x000a_etc. _x000a__x000a_" sqref="D11" xr:uid="{00000000-0002-0000-0200-000020000000}"/>
    <dataValidation allowBlank="1" showInputMessage="1" showErrorMessage="1" sqref="O11" xr:uid="{00000000-0002-0000-0200-000021000000}"/>
    <dataValidation type="list" allowBlank="1" showInputMessage="1" showErrorMessage="1" error="Please use drop down list to select valid entries for this field._x000a__x000a_" promptTitle="Select as appropriate" prompt="Specify if residue is fat soluble " sqref="L7" xr:uid="{00000000-0002-0000-0200-000022000000}">
      <formula1>$BG$12:$BG$13</formula1>
    </dataValidation>
    <dataValidation showDropDown="1" showInputMessage="1" showErrorMessage="1" promptTitle="ARfD" prompt="Enter ARfD (in mg/kg bw) _x000a_Other valid entries: _x000a_- not necessary_x000a_- not assessed (calculations are performed with ADI)" sqref="D5" xr:uid="{00000000-0002-0000-0200-000023000000}"/>
    <dataValidation allowBlank="1" showInputMessage="1" showErrorMessage="1" promptTitle="Conversion factor riskassessment" prompt="Insert the respective conversion factor for the residue definition for risk assessment. " sqref="G11" xr:uid="{00000000-0002-0000-0200-000024000000}"/>
    <dataValidation type="list" allowBlank="1" showInputMessage="1" showErrorMessage="1" sqref="L99:M99 L14:M19 L21:M32 L34:M39 L41:M45 L48:M50 L52:M55 L57:M65 L68:M75 L77:M83 L85:M96 L101:M105 L107:M118 L120:M124 L127:M131 L133:M136 L138:M142 L146:M148 L150:M152 L154:M157 L160:M168 L170:M176 L178:M188 L190:M195 L197:M206 L208:M211 L254:M255 L258:M263 L265:M268 L270:M272 L274:M276 L279:M288 L290:M298 L300:M301 L303:M307 L309:M311 L313:M314 L316:M317 L319:M322 L326:M331 L333:M338 L340:M345 L347:M352 L354:M359 L361:M366 L368:M373 L375:M379 L381:M389 L213:M217 L220:M235 L237:M241 L243:M252" xr:uid="{00000000-0002-0000-0200-000025000000}">
      <formula1>$BG$19:$BG$21</formula1>
    </dataValidation>
    <dataValidation allowBlank="1" showInputMessage="1" showErrorMessage="1" promptTitle="CFrisk for RD processed product" prompt="If the RD for enforcement and for RA for processed products differ, a conversion factor has to be inserted. _x000a_If the field is empty, the CF of colum G is used. " sqref="H411" xr:uid="{00000000-0002-0000-0200-000026000000}"/>
    <dataValidation allowBlank="1" showInputMessage="1" showErrorMessage="1" promptTitle="Default processing factor" prompt="If no specific processing factor is entered, a default processing factor of 0.4 is applied; this factor is used to recalculate the LP (expressed as processed product) to the unprocessed RAC (Dutch NESTI model)._x000a_" sqref="I495" xr:uid="{00000000-0002-0000-0200-000027000000}"/>
    <dataValidation allowBlank="1" showInputMessage="1" showErrorMessage="1" promptTitle="Default processing factor" prompt="If no specific processing factor is entered, a default processing factor of 0.4 is applied; this factor is used to recalculate the LP (expressed as processed product) to the unprocessed RAC (Dutch NESTI model)." sqref="I500 I511 I514" xr:uid="{00000000-0002-0000-0200-000028000000}"/>
    <dataValidation allowBlank="1" showInputMessage="1" showErrorMessage="1" promptTitle="Default processing factor" prompt="If no specific processing factor is entered, a default processing factor of 0.03 is applied; this factor is used to recalculate the LP (expressed as processed product) to the unprocessed RAC (Dutch NESTI model)." sqref="I528" xr:uid="{00000000-0002-0000-0200-000029000000}"/>
    <dataValidation allowBlank="1" showInputMessage="1" showErrorMessage="1" promptTitle="Source of the ARfD" prompt="Indicate source of the ARfD (e.g. EC, JMPR, EFSA)_x000a_" sqref="F5" xr:uid="{00000000-0002-0000-0200-00002A000000}"/>
    <dataValidation allowBlank="1" showErrorMessage="1" prompt="_x000a_" sqref="J375:J379" xr:uid="{00000000-0002-0000-0200-00002B000000}"/>
  </dataValidations>
  <hyperlinks>
    <hyperlink ref="L10:M10" location="Results" display="Results" xr:uid="{00000000-0004-0000-0200-000000000000}"/>
  </hyperlinks>
  <pageMargins left="0.74803149606299213" right="0.35433070866141736" top="0.55118110236220474" bottom="0.47244094488188981" header="0.51181102362204722" footer="0.31496062992125984"/>
  <pageSetup paperSize="9" scale="50" fitToHeight="0" orientation="portrait" r:id="rId1"/>
  <headerFooter alignWithMargins="0">
    <oddFooter>Prepared by reichhe &amp;D&amp;RPage &amp;P</oddFooter>
  </headerFooter>
  <drawing r:id="rId2"/>
  <legacyDrawing r:id="rId3"/>
  <tableParts count="2">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Z338"/>
  <sheetViews>
    <sheetView showGridLines="0" showZeros="0" showRuler="0" zoomScale="80" zoomScaleNormal="80" zoomScaleSheetLayoutView="50" zoomScalePageLayoutView="60" workbookViewId="0">
      <selection activeCell="F2" sqref="F2:K2"/>
    </sheetView>
  </sheetViews>
  <sheetFormatPr defaultColWidth="9.140625" defaultRowHeight="12" outlineLevelRow="1" x14ac:dyDescent="0.2"/>
  <cols>
    <col min="1" max="1" width="6.85546875" style="29" customWidth="1"/>
    <col min="2" max="2" width="16.5703125" style="29" customWidth="1"/>
    <col min="3" max="3" width="21" style="29" customWidth="1"/>
    <col min="4" max="4" width="10.28515625" style="29" customWidth="1"/>
    <col min="5" max="5" width="11.28515625" style="29" customWidth="1"/>
    <col min="6" max="6" width="16.5703125" style="29" customWidth="1"/>
    <col min="7" max="7" width="21.5703125" style="29" customWidth="1"/>
    <col min="8" max="8" width="10.28515625" style="29" customWidth="1"/>
    <col min="9" max="9" width="11.140625" style="29" customWidth="1"/>
    <col min="10" max="10" width="16.140625" style="29" customWidth="1"/>
    <col min="11" max="11" width="20.85546875" style="29" customWidth="1"/>
    <col min="12" max="12" width="10.28515625" style="29" customWidth="1"/>
    <col min="13" max="13" width="11.140625" style="29" customWidth="1"/>
    <col min="14" max="14" width="16.140625" style="29" customWidth="1"/>
    <col min="15" max="15" width="27" style="29" customWidth="1"/>
    <col min="16" max="16" width="10.140625" style="29" customWidth="1"/>
    <col min="17" max="17" width="12.7109375" style="29" customWidth="1"/>
    <col min="18" max="18" width="11.7109375" style="29" customWidth="1"/>
    <col min="19" max="19" width="9.140625" style="181" hidden="1" customWidth="1"/>
    <col min="20" max="21" width="9.140625" style="29" hidden="1" customWidth="1"/>
    <col min="22" max="22" width="8.28515625" style="29" hidden="1" customWidth="1"/>
    <col min="23" max="26" width="9.140625" style="29" hidden="1" customWidth="1"/>
    <col min="27" max="16384" width="9.140625" style="29"/>
  </cols>
  <sheetData>
    <row r="1" spans="1:20" ht="7.5" customHeight="1" x14ac:dyDescent="0.2"/>
    <row r="2" spans="1:20" ht="33.75" customHeight="1" x14ac:dyDescent="0.4">
      <c r="F2" s="1547" t="str">
        <f>CONCATENATE(input_values!$D$3,input_values!$M$7)</f>
        <v/>
      </c>
      <c r="G2" s="1548"/>
      <c r="H2" s="1548"/>
      <c r="I2" s="1548"/>
      <c r="J2" s="1548"/>
      <c r="K2" s="1549"/>
      <c r="L2"/>
      <c r="M2" s="182"/>
    </row>
    <row r="3" spans="1:20" ht="5.25" hidden="1" customHeight="1" x14ac:dyDescent="0.2">
      <c r="F3" s="183"/>
      <c r="G3" s="184"/>
      <c r="H3" s="184"/>
      <c r="I3" s="185"/>
      <c r="J3" s="186"/>
      <c r="K3" s="185"/>
      <c r="L3" s="187"/>
      <c r="M3" s="84"/>
      <c r="N3" s="188"/>
    </row>
    <row r="4" spans="1:20" ht="13.5" customHeight="1" x14ac:dyDescent="0.2">
      <c r="F4" s="427" t="s">
        <v>321</v>
      </c>
      <c r="G4" s="428"/>
      <c r="H4" s="428"/>
      <c r="I4" s="429">
        <f>input_values!BB12</f>
        <v>0</v>
      </c>
      <c r="J4" s="430" t="s">
        <v>322</v>
      </c>
      <c r="K4" s="477">
        <f>input_values!BB13</f>
        <v>0</v>
      </c>
      <c r="L4" s="156"/>
      <c r="M4" s="84"/>
      <c r="S4" s="189"/>
      <c r="T4" s="190"/>
    </row>
    <row r="5" spans="1:20" ht="23.25" customHeight="1" x14ac:dyDescent="0.2">
      <c r="F5" s="1550" t="s">
        <v>350</v>
      </c>
      <c r="G5" s="1551"/>
      <c r="H5" s="1551"/>
      <c r="I5" s="1551"/>
      <c r="J5" s="1551"/>
      <c r="K5" s="1552"/>
      <c r="L5" s="191"/>
      <c r="M5" s="182"/>
    </row>
    <row r="6" spans="1:20" ht="26.45" customHeight="1" x14ac:dyDescent="0.2">
      <c r="F6" s="194" t="s">
        <v>238</v>
      </c>
      <c r="G6" s="43"/>
      <c r="H6" s="43"/>
      <c r="I6" s="195">
        <f>input_values!D4</f>
        <v>0</v>
      </c>
      <c r="J6" s="194" t="s">
        <v>34</v>
      </c>
      <c r="K6" s="192" t="str">
        <f>IF(input_values!D5="", "calculation with ADI (no ARfD was inserted)",input_values!D5)</f>
        <v>insert valid entry</v>
      </c>
      <c r="L6" s="187"/>
      <c r="M6" s="193"/>
    </row>
    <row r="7" spans="1:20" ht="15" customHeight="1" x14ac:dyDescent="0.2">
      <c r="D7" s="431"/>
      <c r="F7" s="194" t="s">
        <v>239</v>
      </c>
      <c r="G7" s="43"/>
      <c r="H7" s="43"/>
      <c r="I7" s="195">
        <f>input_values!F4</f>
        <v>0</v>
      </c>
      <c r="J7" s="194" t="s">
        <v>35</v>
      </c>
      <c r="K7" s="195">
        <f>input_values!F5</f>
        <v>0</v>
      </c>
      <c r="L7" s="187"/>
      <c r="M7" s="193"/>
    </row>
    <row r="8" spans="1:20" ht="16.899999999999999" customHeight="1" x14ac:dyDescent="0.2">
      <c r="B8" s="478" t="s">
        <v>1908</v>
      </c>
      <c r="D8" s="432"/>
      <c r="F8" s="194" t="s">
        <v>260</v>
      </c>
      <c r="G8" s="43"/>
      <c r="H8" s="43"/>
      <c r="I8" s="195">
        <f>input_values!G4</f>
        <v>0</v>
      </c>
      <c r="J8" s="194" t="s">
        <v>260</v>
      </c>
      <c r="K8" s="195">
        <f>input_values!G5</f>
        <v>0</v>
      </c>
      <c r="L8" s="187"/>
      <c r="M8" s="182"/>
    </row>
    <row r="9" spans="1:20" ht="38.25" customHeight="1" x14ac:dyDescent="0.2">
      <c r="A9" s="1592" t="s">
        <v>22</v>
      </c>
      <c r="B9" s="1593"/>
      <c r="C9" s="1594"/>
      <c r="D9" s="1595"/>
      <c r="E9" s="1595"/>
      <c r="F9" s="1595"/>
      <c r="G9" s="1595"/>
      <c r="H9" s="1595"/>
      <c r="I9" s="1595"/>
      <c r="J9" s="1595"/>
      <c r="K9" s="1595"/>
      <c r="L9" s="1595"/>
      <c r="M9" s="1595"/>
      <c r="N9" s="1595"/>
      <c r="O9" s="1595"/>
      <c r="P9" s="1595"/>
      <c r="Q9" s="1596"/>
    </row>
    <row r="10" spans="1:20" ht="25.5" customHeight="1" x14ac:dyDescent="0.2">
      <c r="A10" s="1555" t="str">
        <f>input_values!A10</f>
        <v>Normal mode</v>
      </c>
      <c r="B10" s="1556"/>
      <c r="C10" s="1556"/>
      <c r="D10" s="1556"/>
      <c r="E10" s="1556"/>
      <c r="F10" s="1556"/>
      <c r="G10" s="1556"/>
      <c r="H10" s="1556"/>
      <c r="I10" s="1556"/>
      <c r="J10" s="1556"/>
      <c r="K10" s="1556"/>
      <c r="L10" s="1556"/>
      <c r="M10" s="1556"/>
      <c r="N10" s="1556"/>
      <c r="O10" s="1556"/>
      <c r="P10" s="1556"/>
      <c r="Q10" s="1557"/>
    </row>
    <row r="11" spans="1:20" ht="24.75" customHeight="1" x14ac:dyDescent="0.2">
      <c r="A11" s="493"/>
      <c r="B11" s="1525" t="s">
        <v>1060</v>
      </c>
      <c r="C11" s="1525"/>
      <c r="D11" s="1525"/>
      <c r="E11" s="1525"/>
      <c r="F11" s="1525"/>
      <c r="G11" s="1525"/>
      <c r="H11" s="1525"/>
      <c r="I11" s="1525"/>
      <c r="J11" s="1525"/>
      <c r="K11" s="1525"/>
      <c r="L11" s="1525"/>
      <c r="M11" s="1525"/>
      <c r="N11" s="1525"/>
      <c r="O11" s="1525"/>
      <c r="P11" s="1525"/>
      <c r="Q11" s="1526"/>
    </row>
    <row r="12" spans="1:20" ht="13.5" hidden="1" customHeight="1" x14ac:dyDescent="0.2">
      <c r="A12" s="196"/>
      <c r="B12" s="197"/>
      <c r="C12" s="198"/>
      <c r="D12" s="197"/>
      <c r="E12" s="199"/>
      <c r="F12" s="1553" t="s">
        <v>872</v>
      </c>
      <c r="G12" s="1553"/>
      <c r="H12" s="1553"/>
      <c r="I12" s="1553"/>
      <c r="J12" s="1553"/>
      <c r="K12" s="1554"/>
      <c r="L12" s="200"/>
      <c r="M12" s="200"/>
    </row>
    <row r="13" spans="1:20" ht="13.5" hidden="1" customHeight="1" x14ac:dyDescent="0.2">
      <c r="A13" s="201"/>
      <c r="E13" s="202"/>
      <c r="F13" s="203"/>
      <c r="G13" s="72"/>
      <c r="H13" s="72"/>
      <c r="I13" s="204" t="e">
        <f>ROUND(MIN(chronic_intake_assessment!J393:AR393),3)</f>
        <v>#DIV/0!</v>
      </c>
      <c r="J13" s="204" t="e">
        <f>ROUND(MAX(chronic_intake_assessment!J393:AR393),3)</f>
        <v>#DIV/0!</v>
      </c>
      <c r="K13" s="205"/>
      <c r="Q13" s="206"/>
    </row>
    <row r="14" spans="1:20" ht="19.5" customHeight="1" x14ac:dyDescent="0.2">
      <c r="A14" s="207"/>
      <c r="B14" s="72"/>
      <c r="C14" s="208"/>
      <c r="D14" s="72"/>
      <c r="E14" s="205"/>
      <c r="F14" s="443" t="s">
        <v>320</v>
      </c>
      <c r="G14" s="72"/>
      <c r="H14" s="72"/>
      <c r="I14" s="209" t="str">
        <f>IF(J14=0,"---","")</f>
        <v>---</v>
      </c>
      <c r="J14" s="210">
        <f>COUNTIF(chronic_intake_assessment!J393:AR393,"&gt;1")</f>
        <v>0</v>
      </c>
      <c r="K14" s="205"/>
      <c r="P14" s="1588" t="s">
        <v>662</v>
      </c>
      <c r="Q14" s="1589"/>
      <c r="S14" s="29"/>
    </row>
    <row r="15" spans="1:20" ht="52.5" customHeight="1" x14ac:dyDescent="0.2">
      <c r="A15" s="201"/>
      <c r="B15" s="599" t="s">
        <v>871</v>
      </c>
      <c r="C15" s="601" t="s">
        <v>85</v>
      </c>
      <c r="D15" s="84"/>
      <c r="E15" s="602" t="s">
        <v>876</v>
      </c>
      <c r="F15" s="624" t="s">
        <v>12</v>
      </c>
      <c r="G15" s="1527" t="s">
        <v>11</v>
      </c>
      <c r="H15" s="1527"/>
      <c r="I15" s="1528"/>
      <c r="J15" s="624" t="s">
        <v>13</v>
      </c>
      <c r="K15" s="1533" t="s">
        <v>11</v>
      </c>
      <c r="L15" s="1533"/>
      <c r="M15" s="1534"/>
      <c r="N15" s="624" t="s">
        <v>14</v>
      </c>
      <c r="O15" s="1134" t="s">
        <v>11</v>
      </c>
      <c r="P15" s="128" t="s">
        <v>669</v>
      </c>
      <c r="Q15" s="469" t="s">
        <v>933</v>
      </c>
    </row>
    <row r="16" spans="1:20" ht="12.75" customHeight="1" x14ac:dyDescent="0.2">
      <c r="A16" s="1597" t="s">
        <v>852</v>
      </c>
      <c r="B16" s="612" t="e">
        <f>LARGE(chronic_intake_assessment!$J$2:$AY$2,ROW()-ROW($B$15))</f>
        <v>#DIV/0!</v>
      </c>
      <c r="C16" s="1558" t="e">
        <f ca="1">OFFSET(chronic_intake_assessment!$I$1,0,MATCH(B16,chronic_intake_assessment!$J$2:$AY$2,0))</f>
        <v>#DIV/0!</v>
      </c>
      <c r="D16" s="1559"/>
      <c r="E16" s="615" t="e">
        <f ca="1">HLOOKUP(C16,chronic_intake_assessment!$J$1:$AY$4,4,FALSE)</f>
        <v>#DIV/0!</v>
      </c>
      <c r="F16" s="618" t="e">
        <f ca="1">LARGE(OFFSET(chronic_intake_assessment!$B$11,1,MATCH($C16,chronic_intake_assessment!$C$11:$AY$11,0),(390-12+1),1),1)</f>
        <v>#DIV/0!</v>
      </c>
      <c r="G16" s="1591" t="e">
        <f ca="1">IF(F16=0,"",INDEX(chronic_intake_assessment!$C$11:$C$390,MATCH($F16,OFFSET(chronic_intake_assessment!$B$11,0,MATCH($C16,chronic_intake_assessment!$C$11:$AY$11,0),(390-11+1),1),0)))</f>
        <v>#DIV/0!</v>
      </c>
      <c r="H16" s="1563"/>
      <c r="I16" s="621"/>
      <c r="J16" s="618" t="e">
        <f ca="1">LARGE(OFFSET(chronic_intake_assessment!$B$11,1,MATCH($C16,chronic_intake_assessment!$C$11:$AY$11,0),(390-12+1),1),2)</f>
        <v>#DIV/0!</v>
      </c>
      <c r="K16" s="1562" t="e">
        <f ca="1">IF(J16=0,"",INDEX(chronic_intake_assessment!$C$11:$C$390,MATCH($J16,OFFSET(chronic_intake_assessment!$B$11,0,MATCH($C16,chronic_intake_assessment!$C$11:$AY$11,0),(390-11+1),1),0)))</f>
        <v>#DIV/0!</v>
      </c>
      <c r="L16" s="1563"/>
      <c r="M16" s="621"/>
      <c r="N16" s="212" t="e">
        <f ca="1">LARGE(OFFSET(chronic_intake_assessment!$B$11,1,MATCH($C16,chronic_intake_assessment!$C$11:$AY$11,0),(390-12+1),1),3)</f>
        <v>#DIV/0!</v>
      </c>
      <c r="O16" s="625" t="e">
        <f ca="1">IF(N16=0,"",INDEX(chronic_intake_assessment!$C$11:$C$390,MATCH($N16,OFFSET(chronic_intake_assessment!$B$11,0,MATCH($C16,chronic_intake_assessment!$C$11:$AY$11,0),(390-11+1),1),0)))</f>
        <v>#DIV/0!</v>
      </c>
      <c r="P16" s="600" t="e">
        <f>INDEX(chronic_intake_assessment!$A$393:$AY$394,2,MATCH(Results!$B16,chronic_intake_assessment!$A$393:$AY$393,0))</f>
        <v>#DIV/0!</v>
      </c>
      <c r="Q16" s="778" t="e">
        <f>INDEX(chronic_intake_assessment!$J$393:$AY$395,3,MATCH(Results!B16,chronic_intake_assessment!$J$393:$AY$393,0))</f>
        <v>#DIV/0!</v>
      </c>
    </row>
    <row r="17" spans="1:17" ht="12.75" customHeight="1" x14ac:dyDescent="0.2">
      <c r="A17" s="1598"/>
      <c r="B17" s="613" t="e">
        <f>LARGE(chronic_intake_assessment!$J$2:$AY$2,ROW()-ROW($B$15))</f>
        <v>#DIV/0!</v>
      </c>
      <c r="C17" s="1542" t="e">
        <f ca="1">OFFSET(chronic_intake_assessment!$I$1,0,MATCH(B17,chronic_intake_assessment!$J$2:$AY$2,0))</f>
        <v>#DIV/0!</v>
      </c>
      <c r="D17" s="1543"/>
      <c r="E17" s="616" t="e">
        <f ca="1">HLOOKUP(C17,chronic_intake_assessment!$J$1:$AY$4,4,FALSE)</f>
        <v>#DIV/0!</v>
      </c>
      <c r="F17" s="619" t="e">
        <f ca="1">LARGE(OFFSET(chronic_intake_assessment!$B$11,1,MATCH($C17,chronic_intake_assessment!$C$11:$AY$11,0),(390-12+1),1),1)</f>
        <v>#DIV/0!</v>
      </c>
      <c r="G17" s="1546" t="e">
        <f ca="1">INDEX(chronic_intake_assessment!$C$11:$C$390,MATCH($F17,OFFSET(chronic_intake_assessment!$B$11,0,MATCH($C17,chronic_intake_assessment!$C$11:$AY$11,0),(390-11+1),1),0))</f>
        <v>#DIV/0!</v>
      </c>
      <c r="H17" s="1545"/>
      <c r="I17" s="211"/>
      <c r="J17" s="619" t="e">
        <f ca="1">LARGE(OFFSET(chronic_intake_assessment!$B$11,1,MATCH($C17,chronic_intake_assessment!$C$11:$AY$11,0),(390-12+1),1),2)</f>
        <v>#DIV/0!</v>
      </c>
      <c r="K17" s="1544" t="e">
        <f ca="1">INDEX(chronic_intake_assessment!$C$11:$C$390,MATCH($J17,OFFSET(chronic_intake_assessment!$B$11,0,MATCH($C17,chronic_intake_assessment!$C$11:$AY$11,0),(390-11+1),1),0))</f>
        <v>#DIV/0!</v>
      </c>
      <c r="L17" s="1545"/>
      <c r="M17" s="211"/>
      <c r="N17" s="622" t="e">
        <f ca="1">LARGE(OFFSET(chronic_intake_assessment!$B$11,1,MATCH($C17,chronic_intake_assessment!$C$11:$AY$11,0),(390-12+1),1),3)</f>
        <v>#DIV/0!</v>
      </c>
      <c r="O17" s="625" t="e">
        <f ca="1">IF(N17=0,"",INDEX(chronic_intake_assessment!$C$11:$C$390,MATCH($N17,OFFSET(chronic_intake_assessment!$B$11,0,MATCH($C17,chronic_intake_assessment!$C$11:$AY$11,0),(390-11+1),1),0)))</f>
        <v>#DIV/0!</v>
      </c>
      <c r="P17" s="600" t="e">
        <f>INDEX(chronic_intake_assessment!$A$393:$AY$394,2,MATCH(Results!$B17,chronic_intake_assessment!$A$393:$AY$393,0))</f>
        <v>#DIV/0!</v>
      </c>
      <c r="Q17" s="619" t="e">
        <f>INDEX(chronic_intake_assessment!$J$393:$AY$395,3,MATCH(Results!B17,chronic_intake_assessment!$J$393:$AY$393,0))</f>
        <v>#DIV/0!</v>
      </c>
    </row>
    <row r="18" spans="1:17" ht="12.75" customHeight="1" x14ac:dyDescent="0.2">
      <c r="A18" s="1598"/>
      <c r="B18" s="613" t="e">
        <f>LARGE(chronic_intake_assessment!$J$2:$AY$2,ROW()-ROW($B$15))</f>
        <v>#DIV/0!</v>
      </c>
      <c r="C18" s="1542" t="e">
        <f ca="1">OFFSET(chronic_intake_assessment!$I$1,0,MATCH(B18,chronic_intake_assessment!$J$2:$AY$2,0))</f>
        <v>#DIV/0!</v>
      </c>
      <c r="D18" s="1543"/>
      <c r="E18" s="616" t="e">
        <f ca="1">HLOOKUP(C18,chronic_intake_assessment!$J$1:$AY$4,4,FALSE)</f>
        <v>#DIV/0!</v>
      </c>
      <c r="F18" s="619" t="e">
        <f ca="1">LARGE(OFFSET(chronic_intake_assessment!$B$11,1,MATCH($C18,chronic_intake_assessment!$C$11:$AY$11,0),(390-12+1),1),1)</f>
        <v>#DIV/0!</v>
      </c>
      <c r="G18" s="1546" t="e">
        <f ca="1">INDEX(chronic_intake_assessment!$C$11:$C$390,MATCH($F18,OFFSET(chronic_intake_assessment!$B$11,0,MATCH($C18,chronic_intake_assessment!$C$11:$AY$11,0),(390-11+1),1),0))</f>
        <v>#DIV/0!</v>
      </c>
      <c r="H18" s="1545"/>
      <c r="I18" s="211"/>
      <c r="J18" s="619" t="e">
        <f ca="1">LARGE(OFFSET(chronic_intake_assessment!$B$11,1,MATCH($C18,chronic_intake_assessment!$C$11:$AY$11,0),(390-12+1),1),2)</f>
        <v>#DIV/0!</v>
      </c>
      <c r="K18" s="1544" t="e">
        <f ca="1">INDEX(chronic_intake_assessment!$C$11:$C$390,MATCH($J18,OFFSET(chronic_intake_assessment!$B$11,0,MATCH($C18,chronic_intake_assessment!$C$11:$AY$11,0),(390-11+1),1),0))</f>
        <v>#DIV/0!</v>
      </c>
      <c r="L18" s="1545"/>
      <c r="M18" s="211"/>
      <c r="N18" s="622" t="e">
        <f ca="1">LARGE(OFFSET(chronic_intake_assessment!$B$11,1,MATCH($C18,chronic_intake_assessment!$C$11:$AY$11,0),(390-12+1),1),3)</f>
        <v>#DIV/0!</v>
      </c>
      <c r="O18" s="625" t="e">
        <f ca="1">IF(N18=0,"",INDEX(chronic_intake_assessment!$C$11:$C$390,MATCH($N18,OFFSET(chronic_intake_assessment!$B$11,0,MATCH($C18,chronic_intake_assessment!$C$11:$AY$11,0),(390-11+1),1),0)))</f>
        <v>#DIV/0!</v>
      </c>
      <c r="P18" s="600" t="e">
        <f>INDEX(chronic_intake_assessment!$A$393:$AY$394,2,MATCH(Results!$B18,chronic_intake_assessment!$A$393:$AY$393,0))</f>
        <v>#DIV/0!</v>
      </c>
      <c r="Q18" s="619" t="e">
        <f>INDEX(chronic_intake_assessment!$J$393:$AY$395,3,MATCH(Results!B18,chronic_intake_assessment!$J$393:$AY$393,0))</f>
        <v>#DIV/0!</v>
      </c>
    </row>
    <row r="19" spans="1:17" ht="12.75" customHeight="1" x14ac:dyDescent="0.2">
      <c r="A19" s="1598"/>
      <c r="B19" s="613" t="e">
        <f>LARGE(chronic_intake_assessment!$J$2:$AY$2,ROW()-ROW($B$15))</f>
        <v>#DIV/0!</v>
      </c>
      <c r="C19" s="1542" t="e">
        <f ca="1">OFFSET(chronic_intake_assessment!$I$1,0,MATCH(B19,chronic_intake_assessment!$J$2:$AY$2,0))</f>
        <v>#DIV/0!</v>
      </c>
      <c r="D19" s="1543"/>
      <c r="E19" s="616" t="e">
        <f ca="1">HLOOKUP(C19,chronic_intake_assessment!$J$1:$AY$4,4,FALSE)</f>
        <v>#DIV/0!</v>
      </c>
      <c r="F19" s="619" t="e">
        <f ca="1">LARGE(OFFSET(chronic_intake_assessment!$B$11,1,MATCH($C19,chronic_intake_assessment!$C$11:$AY$11,0),(390-12+1),1),1)</f>
        <v>#DIV/0!</v>
      </c>
      <c r="G19" s="1546" t="e">
        <f ca="1">INDEX(chronic_intake_assessment!$C$11:$C$390,MATCH($F19,OFFSET(chronic_intake_assessment!$B$11,0,MATCH($C19,chronic_intake_assessment!$C$11:$AY$11,0),(390-11+1),1),0))</f>
        <v>#DIV/0!</v>
      </c>
      <c r="H19" s="1545"/>
      <c r="I19" s="211"/>
      <c r="J19" s="619" t="e">
        <f ca="1">LARGE(OFFSET(chronic_intake_assessment!$B$11,1,MATCH($C19,chronic_intake_assessment!$C$11:$AY$11,0),(390-12+1),1),2)</f>
        <v>#DIV/0!</v>
      </c>
      <c r="K19" s="1544" t="e">
        <f ca="1">INDEX(chronic_intake_assessment!$C$11:$C$390,MATCH($J19,OFFSET(chronic_intake_assessment!$B$11,0,MATCH($C19,chronic_intake_assessment!$C$11:$AY$11,0),(390-11+1),1),0))</f>
        <v>#DIV/0!</v>
      </c>
      <c r="L19" s="1545"/>
      <c r="M19" s="211"/>
      <c r="N19" s="622" t="e">
        <f ca="1">LARGE(OFFSET(chronic_intake_assessment!$B$11,1,MATCH($C19,chronic_intake_assessment!$C$11:$AY$11,0),(390-12+1),1),3)</f>
        <v>#DIV/0!</v>
      </c>
      <c r="O19" s="625" t="e">
        <f ca="1">IF(N19=0,"",INDEX(chronic_intake_assessment!$C$11:$C$390,MATCH($N19,OFFSET(chronic_intake_assessment!$B$11,0,MATCH($C19,chronic_intake_assessment!$C$11:$AY$11,0),(390-11+1),1),0)))</f>
        <v>#DIV/0!</v>
      </c>
      <c r="P19" s="600" t="e">
        <f>INDEX(chronic_intake_assessment!$A$393:$AY$394,2,MATCH(Results!$B19,chronic_intake_assessment!$A$393:$AY$393,0))</f>
        <v>#DIV/0!</v>
      </c>
      <c r="Q19" s="619" t="e">
        <f>INDEX(chronic_intake_assessment!$J$393:$AY$395,3,MATCH(Results!B19,chronic_intake_assessment!$J$393:$AY$393,0))</f>
        <v>#DIV/0!</v>
      </c>
    </row>
    <row r="20" spans="1:17" ht="12.75" customHeight="1" x14ac:dyDescent="0.2">
      <c r="A20" s="1598"/>
      <c r="B20" s="613" t="e">
        <f>LARGE(chronic_intake_assessment!$J$2:$AY$2,ROW()-ROW($B$15))</f>
        <v>#DIV/0!</v>
      </c>
      <c r="C20" s="1542" t="e">
        <f ca="1">OFFSET(chronic_intake_assessment!$I$1,0,MATCH(B20,chronic_intake_assessment!$J$2:$AY$2,0))</f>
        <v>#DIV/0!</v>
      </c>
      <c r="D20" s="1543"/>
      <c r="E20" s="616" t="e">
        <f ca="1">HLOOKUP(C20,chronic_intake_assessment!$J$1:$AY$4,4,FALSE)</f>
        <v>#DIV/0!</v>
      </c>
      <c r="F20" s="619" t="e">
        <f ca="1">LARGE(OFFSET(chronic_intake_assessment!$B$11,1,MATCH($C20,chronic_intake_assessment!$C$11:$AY$11,0),(390-12+1),1),1)</f>
        <v>#DIV/0!</v>
      </c>
      <c r="G20" s="1546" t="e">
        <f ca="1">INDEX(chronic_intake_assessment!$C$11:$C$390,MATCH($F20,OFFSET(chronic_intake_assessment!$B$11,0,MATCH($C20,chronic_intake_assessment!$C$11:$AY$11,0),(390-11+1),1),0))</f>
        <v>#DIV/0!</v>
      </c>
      <c r="H20" s="1545"/>
      <c r="I20" s="211"/>
      <c r="J20" s="619" t="e">
        <f ca="1">LARGE(OFFSET(chronic_intake_assessment!$B$11,1,MATCH($C20,chronic_intake_assessment!$C$11:$AY$11,0),(390-12+1),1),2)</f>
        <v>#DIV/0!</v>
      </c>
      <c r="K20" s="1544" t="e">
        <f ca="1">INDEX(chronic_intake_assessment!$C$11:$C$390,MATCH($J20,OFFSET(chronic_intake_assessment!$B$11,0,MATCH($C20,chronic_intake_assessment!$C$11:$AY$11,0),(390-11+1),1),0))</f>
        <v>#DIV/0!</v>
      </c>
      <c r="L20" s="1545"/>
      <c r="M20" s="211"/>
      <c r="N20" s="622" t="e">
        <f ca="1">LARGE(OFFSET(chronic_intake_assessment!$B$11,1,MATCH($C20,chronic_intake_assessment!$C$11:$AY$11,0),(390-12+1),1),3)</f>
        <v>#DIV/0!</v>
      </c>
      <c r="O20" s="625" t="e">
        <f ca="1">IF(N20=0,"",INDEX(chronic_intake_assessment!$C$11:$C$390,MATCH($N20,OFFSET(chronic_intake_assessment!$B$11,0,MATCH($C20,chronic_intake_assessment!$C$11:$AY$11,0),(390-11+1),1),0)))</f>
        <v>#DIV/0!</v>
      </c>
      <c r="P20" s="600" t="e">
        <f>INDEX(chronic_intake_assessment!$A$393:$AY$394,2,MATCH(Results!$B20,chronic_intake_assessment!$A$393:$AY$393,0))</f>
        <v>#DIV/0!</v>
      </c>
      <c r="Q20" s="619" t="e">
        <f>INDEX(chronic_intake_assessment!$J$393:$AY$395,3,MATCH(Results!B20,chronic_intake_assessment!$J$393:$AY$393,0))</f>
        <v>#DIV/0!</v>
      </c>
    </row>
    <row r="21" spans="1:17" ht="12.75" customHeight="1" x14ac:dyDescent="0.2">
      <c r="A21" s="1598"/>
      <c r="B21" s="613" t="e">
        <f>LARGE(chronic_intake_assessment!$J$2:$AY$2,ROW()-ROW($B$15))</f>
        <v>#DIV/0!</v>
      </c>
      <c r="C21" s="1542" t="e">
        <f ca="1">OFFSET(chronic_intake_assessment!$I$1,0,MATCH(B21,chronic_intake_assessment!$J$2:$AY$2,0))</f>
        <v>#DIV/0!</v>
      </c>
      <c r="D21" s="1543"/>
      <c r="E21" s="616" t="e">
        <f ca="1">HLOOKUP(C21,chronic_intake_assessment!$J$1:$AY$4,4,FALSE)</f>
        <v>#DIV/0!</v>
      </c>
      <c r="F21" s="619" t="e">
        <f ca="1">LARGE(OFFSET(chronic_intake_assessment!$B$11,1,MATCH($C21,chronic_intake_assessment!$C$11:$AY$11,0),(390-12+1),1),1)</f>
        <v>#DIV/0!</v>
      </c>
      <c r="G21" s="1546" t="e">
        <f ca="1">INDEX(chronic_intake_assessment!$C$11:$C$390,MATCH($F21,OFFSET(chronic_intake_assessment!$B$11,0,MATCH($C21,chronic_intake_assessment!$C$11:$AY$11,0),(390-11+1),1),0))</f>
        <v>#DIV/0!</v>
      </c>
      <c r="H21" s="1545"/>
      <c r="I21" s="211"/>
      <c r="J21" s="619" t="e">
        <f ca="1">LARGE(OFFSET(chronic_intake_assessment!$B$11,1,MATCH($C21,chronic_intake_assessment!$C$11:$AY$11,0),(390-12+1),1),2)</f>
        <v>#DIV/0!</v>
      </c>
      <c r="K21" s="1544" t="e">
        <f ca="1">INDEX(chronic_intake_assessment!$C$11:$C$390,MATCH($J21,OFFSET(chronic_intake_assessment!$B$11,0,MATCH($C21,chronic_intake_assessment!$C$11:$AY$11,0),(390-11+1),1),0))</f>
        <v>#DIV/0!</v>
      </c>
      <c r="L21" s="1545"/>
      <c r="M21" s="211"/>
      <c r="N21" s="622" t="e">
        <f ca="1">LARGE(OFFSET(chronic_intake_assessment!$B$11,1,MATCH($C21,chronic_intake_assessment!$C$11:$AY$11,0),(390-12+1),1),3)</f>
        <v>#DIV/0!</v>
      </c>
      <c r="O21" s="625" t="e">
        <f ca="1">IF(N21=0,"",INDEX(chronic_intake_assessment!$C$11:$C$390,MATCH($N21,OFFSET(chronic_intake_assessment!$B$11,0,MATCH($C21,chronic_intake_assessment!$C$11:$AY$11,0),(390-11+1),1),0)))</f>
        <v>#DIV/0!</v>
      </c>
      <c r="P21" s="600" t="e">
        <f>INDEX(chronic_intake_assessment!$A$393:$AY$394,2,MATCH(Results!$B21,chronic_intake_assessment!$A$393:$AY$393,0))</f>
        <v>#DIV/0!</v>
      </c>
      <c r="Q21" s="619" t="e">
        <f>INDEX(chronic_intake_assessment!$J$393:$AY$395,3,MATCH(Results!B21,chronic_intake_assessment!$J$393:$AY$393,0))</f>
        <v>#DIV/0!</v>
      </c>
    </row>
    <row r="22" spans="1:17" ht="12.75" customHeight="1" x14ac:dyDescent="0.2">
      <c r="A22" s="1598"/>
      <c r="B22" s="613" t="e">
        <f>LARGE(chronic_intake_assessment!$J$2:$AY$2,ROW()-ROW($B$15))</f>
        <v>#DIV/0!</v>
      </c>
      <c r="C22" s="1542" t="e">
        <f ca="1">OFFSET(chronic_intake_assessment!$I$1,0,MATCH(B22,chronic_intake_assessment!$J$2:$AY$2,0))</f>
        <v>#DIV/0!</v>
      </c>
      <c r="D22" s="1543"/>
      <c r="E22" s="616" t="e">
        <f ca="1">HLOOKUP(C22,chronic_intake_assessment!$J$1:$AY$4,4,FALSE)</f>
        <v>#DIV/0!</v>
      </c>
      <c r="F22" s="619" t="e">
        <f ca="1">LARGE(OFFSET(chronic_intake_assessment!$B$11,1,MATCH($C22,chronic_intake_assessment!$C$11:$AY$11,0),(390-12+1),1),1)</f>
        <v>#DIV/0!</v>
      </c>
      <c r="G22" s="1546" t="e">
        <f ca="1">INDEX(chronic_intake_assessment!$C$11:$C$390,MATCH($F22,OFFSET(chronic_intake_assessment!$B$11,0,MATCH($C22,chronic_intake_assessment!$C$11:$AY$11,0),(390-11+1),1),0))</f>
        <v>#DIV/0!</v>
      </c>
      <c r="H22" s="1545"/>
      <c r="I22" s="211"/>
      <c r="J22" s="619" t="e">
        <f ca="1">LARGE(OFFSET(chronic_intake_assessment!$B$11,1,MATCH($C22,chronic_intake_assessment!$C$11:$AY$11,0),(390-12+1),1),2)</f>
        <v>#DIV/0!</v>
      </c>
      <c r="K22" s="1544" t="e">
        <f ca="1">INDEX(chronic_intake_assessment!$C$11:$C$390,MATCH($J22,OFFSET(chronic_intake_assessment!$B$11,0,MATCH($C22,chronic_intake_assessment!$C$11:$AY$11,0),(390-11+1),1),0))</f>
        <v>#DIV/0!</v>
      </c>
      <c r="L22" s="1545"/>
      <c r="M22" s="211"/>
      <c r="N22" s="622" t="e">
        <f ca="1">LARGE(OFFSET(chronic_intake_assessment!$B$11,1,MATCH($C22,chronic_intake_assessment!$C$11:$AY$11,0),(390-12+1),1),3)</f>
        <v>#DIV/0!</v>
      </c>
      <c r="O22" s="625" t="e">
        <f ca="1">IF(N22=0,"",INDEX(chronic_intake_assessment!$C$11:$C$390,MATCH($N22,OFFSET(chronic_intake_assessment!$B$11,0,MATCH($C22,chronic_intake_assessment!$C$11:$AY$11,0),(390-11+1),1),0)))</f>
        <v>#DIV/0!</v>
      </c>
      <c r="P22" s="600" t="e">
        <f>INDEX(chronic_intake_assessment!$A$393:$AY$394,2,MATCH(Results!$B22,chronic_intake_assessment!$A$393:$AY$393,0))</f>
        <v>#DIV/0!</v>
      </c>
      <c r="Q22" s="619" t="e">
        <f>INDEX(chronic_intake_assessment!$J$393:$AY$395,3,MATCH(Results!B22,chronic_intake_assessment!$J$393:$AY$393,0))</f>
        <v>#DIV/0!</v>
      </c>
    </row>
    <row r="23" spans="1:17" ht="12.75" customHeight="1" x14ac:dyDescent="0.2">
      <c r="A23" s="1598"/>
      <c r="B23" s="613" t="e">
        <f>LARGE(chronic_intake_assessment!$J$2:$AY$2,ROW()-ROW($B$15))</f>
        <v>#DIV/0!</v>
      </c>
      <c r="C23" s="1542" t="e">
        <f ca="1">OFFSET(chronic_intake_assessment!$I$1,0,MATCH(B23,chronic_intake_assessment!$J$2:$AY$2,0))</f>
        <v>#DIV/0!</v>
      </c>
      <c r="D23" s="1543"/>
      <c r="E23" s="616" t="e">
        <f ca="1">HLOOKUP(C23,chronic_intake_assessment!$J$1:$AY$4,4,FALSE)</f>
        <v>#DIV/0!</v>
      </c>
      <c r="F23" s="619" t="e">
        <f ca="1">LARGE(OFFSET(chronic_intake_assessment!$B$11,1,MATCH($C23,chronic_intake_assessment!$C$11:$AY$11,0),(390-12+1),1),1)</f>
        <v>#DIV/0!</v>
      </c>
      <c r="G23" s="1546" t="e">
        <f ca="1">INDEX(chronic_intake_assessment!$C$11:$C$390,MATCH($F23,OFFSET(chronic_intake_assessment!$B$11,0,MATCH($C23,chronic_intake_assessment!$C$11:$AY$11,0),(390-11+1),1),0))</f>
        <v>#DIV/0!</v>
      </c>
      <c r="H23" s="1545"/>
      <c r="I23" s="211"/>
      <c r="J23" s="619" t="e">
        <f ca="1">LARGE(OFFSET(chronic_intake_assessment!$B$11,1,MATCH($C23,chronic_intake_assessment!$C$11:$AY$11,0),(390-12+1),1),2)</f>
        <v>#DIV/0!</v>
      </c>
      <c r="K23" s="1544" t="e">
        <f ca="1">INDEX(chronic_intake_assessment!$C$11:$C$390,MATCH($J23,OFFSET(chronic_intake_assessment!$B$11,0,MATCH($C23,chronic_intake_assessment!$C$11:$AY$11,0),(390-11+1),1),0))</f>
        <v>#DIV/0!</v>
      </c>
      <c r="L23" s="1545"/>
      <c r="M23" s="211"/>
      <c r="N23" s="622" t="e">
        <f ca="1">LARGE(OFFSET(chronic_intake_assessment!$B$11,1,MATCH($C23,chronic_intake_assessment!$C$11:$AY$11,0),(390-12+1),1),3)</f>
        <v>#DIV/0!</v>
      </c>
      <c r="O23" s="625" t="e">
        <f ca="1">IF(N23=0,"",INDEX(chronic_intake_assessment!$C$11:$C$390,MATCH($N23,OFFSET(chronic_intake_assessment!$B$11,0,MATCH($C23,chronic_intake_assessment!$C$11:$AY$11,0),(390-11+1),1),0)))</f>
        <v>#DIV/0!</v>
      </c>
      <c r="P23" s="600" t="e">
        <f>INDEX(chronic_intake_assessment!$A$393:$AY$394,2,MATCH(Results!$B23,chronic_intake_assessment!$A$393:$AY$393,0))</f>
        <v>#DIV/0!</v>
      </c>
      <c r="Q23" s="619" t="e">
        <f>INDEX(chronic_intake_assessment!$J$393:$AY$395,3,MATCH(Results!B23,chronic_intake_assessment!$J$393:$AY$393,0))</f>
        <v>#DIV/0!</v>
      </c>
    </row>
    <row r="24" spans="1:17" ht="12.75" customHeight="1" x14ac:dyDescent="0.2">
      <c r="A24" s="1598"/>
      <c r="B24" s="613" t="e">
        <f>LARGE(chronic_intake_assessment!$J$2:$AY$2,ROW()-ROW($B$15))</f>
        <v>#DIV/0!</v>
      </c>
      <c r="C24" s="1542" t="e">
        <f ca="1">OFFSET(chronic_intake_assessment!$I$1,0,MATCH(B24,chronic_intake_assessment!$J$2:$AY$2,0))</f>
        <v>#DIV/0!</v>
      </c>
      <c r="D24" s="1543"/>
      <c r="E24" s="616" t="e">
        <f ca="1">HLOOKUP(C24,chronic_intake_assessment!$J$1:$AY$4,4,FALSE)</f>
        <v>#DIV/0!</v>
      </c>
      <c r="F24" s="619" t="e">
        <f ca="1">LARGE(OFFSET(chronic_intake_assessment!$B$11,1,MATCH($C24,chronic_intake_assessment!$C$11:$AY$11,0),(390-12+1),1),1)</f>
        <v>#DIV/0!</v>
      </c>
      <c r="G24" s="1546" t="e">
        <f ca="1">INDEX(chronic_intake_assessment!$C$11:$C$390,MATCH($F24,OFFSET(chronic_intake_assessment!$B$11,0,MATCH($C24,chronic_intake_assessment!$C$11:$AY$11,0),(390-11+1),1),0))</f>
        <v>#DIV/0!</v>
      </c>
      <c r="H24" s="1545"/>
      <c r="I24" s="211"/>
      <c r="J24" s="619" t="e">
        <f ca="1">LARGE(OFFSET(chronic_intake_assessment!$B$11,1,MATCH($C24,chronic_intake_assessment!$C$11:$AY$11,0),(390-12+1),1),2)</f>
        <v>#DIV/0!</v>
      </c>
      <c r="K24" s="1544" t="e">
        <f ca="1">INDEX(chronic_intake_assessment!$C$11:$C$390,MATCH($J24,OFFSET(chronic_intake_assessment!$B$11,0,MATCH($C24,chronic_intake_assessment!$C$11:$AY$11,0),(390-11+1),1),0))</f>
        <v>#DIV/0!</v>
      </c>
      <c r="L24" s="1545"/>
      <c r="M24" s="211"/>
      <c r="N24" s="622" t="e">
        <f ca="1">LARGE(OFFSET(chronic_intake_assessment!$B$11,1,MATCH($C24,chronic_intake_assessment!$C$11:$AY$11,0),(390-12+1),1),3)</f>
        <v>#DIV/0!</v>
      </c>
      <c r="O24" s="625" t="e">
        <f ca="1">IF(N24=0,"",INDEX(chronic_intake_assessment!$C$11:$C$390,MATCH($N24,OFFSET(chronic_intake_assessment!$B$11,0,MATCH($C24,chronic_intake_assessment!$C$11:$AY$11,0),(390-11+1),1),0)))</f>
        <v>#DIV/0!</v>
      </c>
      <c r="P24" s="600" t="e">
        <f>INDEX(chronic_intake_assessment!$A$393:$AY$394,2,MATCH(Results!$B24,chronic_intake_assessment!$A$393:$AY$393,0))</f>
        <v>#DIV/0!</v>
      </c>
      <c r="Q24" s="619" t="e">
        <f>INDEX(chronic_intake_assessment!$J$393:$AY$395,3,MATCH(Results!B24,chronic_intake_assessment!$J$393:$AY$393,0))</f>
        <v>#DIV/0!</v>
      </c>
    </row>
    <row r="25" spans="1:17" ht="12.75" customHeight="1" x14ac:dyDescent="0.2">
      <c r="A25" s="1598"/>
      <c r="B25" s="613" t="e">
        <f>LARGE(chronic_intake_assessment!$J$2:$AY$2,ROW()-ROW($B$15))</f>
        <v>#DIV/0!</v>
      </c>
      <c r="C25" s="1542" t="e">
        <f ca="1">OFFSET(chronic_intake_assessment!$I$1,0,MATCH(B25,chronic_intake_assessment!$J$2:$AY$2,0))</f>
        <v>#DIV/0!</v>
      </c>
      <c r="D25" s="1543"/>
      <c r="E25" s="616" t="e">
        <f ca="1">HLOOKUP(C25,chronic_intake_assessment!$J$1:$AY$4,4,FALSE)</f>
        <v>#DIV/0!</v>
      </c>
      <c r="F25" s="619" t="e">
        <f ca="1">LARGE(OFFSET(chronic_intake_assessment!$B$11,1,MATCH($C25,chronic_intake_assessment!$C$11:$AY$11,0),(390-12+1),1),1)</f>
        <v>#DIV/0!</v>
      </c>
      <c r="G25" s="1546" t="e">
        <f ca="1">INDEX(chronic_intake_assessment!$C$11:$C$390,MATCH($F25,OFFSET(chronic_intake_assessment!$B$11,0,MATCH($C25,chronic_intake_assessment!$C$11:$AY$11,0),(390-11+1),1),0))</f>
        <v>#DIV/0!</v>
      </c>
      <c r="H25" s="1545"/>
      <c r="I25" s="211"/>
      <c r="J25" s="619" t="e">
        <f ca="1">LARGE(OFFSET(chronic_intake_assessment!$B$11,1,MATCH($C25,chronic_intake_assessment!$C$11:$AY$11,0),(390-12+1),1),2)</f>
        <v>#DIV/0!</v>
      </c>
      <c r="K25" s="1544" t="e">
        <f ca="1">INDEX(chronic_intake_assessment!$C$11:$C$390,MATCH($J25,OFFSET(chronic_intake_assessment!$B$11,0,MATCH($C25,chronic_intake_assessment!$C$11:$AY$11,0),(390-11+1),1),0))</f>
        <v>#DIV/0!</v>
      </c>
      <c r="L25" s="1545"/>
      <c r="M25" s="211"/>
      <c r="N25" s="622" t="e">
        <f ca="1">LARGE(OFFSET(chronic_intake_assessment!$B$11,1,MATCH($C25,chronic_intake_assessment!$C$11:$AY$11,0),(390-12+1),1),3)</f>
        <v>#DIV/0!</v>
      </c>
      <c r="O25" s="625" t="e">
        <f ca="1">IF(N25=0,"",INDEX(chronic_intake_assessment!$C$11:$C$390,MATCH($N25,OFFSET(chronic_intake_assessment!$B$11,0,MATCH($C25,chronic_intake_assessment!$C$11:$AY$11,0),(390-11+1),1),0)))</f>
        <v>#DIV/0!</v>
      </c>
      <c r="P25" s="600" t="e">
        <f>INDEX(chronic_intake_assessment!$A$393:$AY$394,2,MATCH(Results!$B25,chronic_intake_assessment!$A$393:$AY$393,0))</f>
        <v>#DIV/0!</v>
      </c>
      <c r="Q25" s="619" t="e">
        <f>INDEX(chronic_intake_assessment!$J$393:$AY$395,3,MATCH(Results!B25,chronic_intake_assessment!$J$393:$AY$393,0))</f>
        <v>#DIV/0!</v>
      </c>
    </row>
    <row r="26" spans="1:17" ht="12.75" customHeight="1" x14ac:dyDescent="0.2">
      <c r="A26" s="1598"/>
      <c r="B26" s="613" t="e">
        <f>LARGE(chronic_intake_assessment!$J$2:$AY$2,ROW()-ROW($B$15))</f>
        <v>#DIV/0!</v>
      </c>
      <c r="C26" s="1542" t="e">
        <f ca="1">OFFSET(chronic_intake_assessment!$I$1,0,MATCH(B26,chronic_intake_assessment!$J$2:$AY$2,0))</f>
        <v>#DIV/0!</v>
      </c>
      <c r="D26" s="1543"/>
      <c r="E26" s="616" t="e">
        <f ca="1">HLOOKUP(C26,chronic_intake_assessment!$J$1:$AY$4,4,FALSE)</f>
        <v>#DIV/0!</v>
      </c>
      <c r="F26" s="619" t="e">
        <f ca="1">LARGE(OFFSET(chronic_intake_assessment!$B$11,1,MATCH($C26,chronic_intake_assessment!$C$11:$AY$11,0),(390-12+1),1),1)</f>
        <v>#DIV/0!</v>
      </c>
      <c r="G26" s="1546" t="e">
        <f ca="1">INDEX(chronic_intake_assessment!$C$11:$C$390,MATCH($F26,OFFSET(chronic_intake_assessment!$B$11,0,MATCH($C26,chronic_intake_assessment!$C$11:$AY$11,0),(390-11+1),1),0))</f>
        <v>#DIV/0!</v>
      </c>
      <c r="H26" s="1545"/>
      <c r="I26" s="211"/>
      <c r="J26" s="619" t="e">
        <f ca="1">LARGE(OFFSET(chronic_intake_assessment!$B$11,1,MATCH($C26,chronic_intake_assessment!$C$11:$AY$11,0),(390-12+1),1),2)</f>
        <v>#DIV/0!</v>
      </c>
      <c r="K26" s="1544" t="e">
        <f ca="1">INDEX(chronic_intake_assessment!$C$11:$C$390,MATCH($J26,OFFSET(chronic_intake_assessment!$B$11,0,MATCH($C26,chronic_intake_assessment!$C$11:$AY$11,0),(390-11+1),1),0))</f>
        <v>#DIV/0!</v>
      </c>
      <c r="L26" s="1545"/>
      <c r="M26" s="211"/>
      <c r="N26" s="622" t="e">
        <f ca="1">LARGE(OFFSET(chronic_intake_assessment!$B$11,1,MATCH($C26,chronic_intake_assessment!$C$11:$AY$11,0),(390-12+1),1),3)</f>
        <v>#DIV/0!</v>
      </c>
      <c r="O26" s="625" t="e">
        <f ca="1">IF(N26=0,"",INDEX(chronic_intake_assessment!$C$11:$C$390,MATCH($N26,OFFSET(chronic_intake_assessment!$B$11,0,MATCH($C26,chronic_intake_assessment!$C$11:$AY$11,0),(390-11+1),1),0)))</f>
        <v>#DIV/0!</v>
      </c>
      <c r="P26" s="600" t="e">
        <f>INDEX(chronic_intake_assessment!$A$393:$AY$394,2,MATCH(Results!$B26,chronic_intake_assessment!$A$393:$AY$393,0))</f>
        <v>#DIV/0!</v>
      </c>
      <c r="Q26" s="619" t="e">
        <f>INDEX(chronic_intake_assessment!$J$393:$AY$395,3,MATCH(Results!B26,chronic_intake_assessment!$J$393:$AY$393,0))</f>
        <v>#DIV/0!</v>
      </c>
    </row>
    <row r="27" spans="1:17" ht="12.75" customHeight="1" x14ac:dyDescent="0.2">
      <c r="A27" s="1598"/>
      <c r="B27" s="613" t="e">
        <f>LARGE(chronic_intake_assessment!$J$2:$AY$2,ROW()-ROW($B$15))</f>
        <v>#DIV/0!</v>
      </c>
      <c r="C27" s="1542" t="e">
        <f ca="1">OFFSET(chronic_intake_assessment!$I$1,0,MATCH(B27,chronic_intake_assessment!$J$2:$AY$2,0))</f>
        <v>#DIV/0!</v>
      </c>
      <c r="D27" s="1543"/>
      <c r="E27" s="616" t="e">
        <f ca="1">HLOOKUP(C27,chronic_intake_assessment!$J$1:$AY$4,4,FALSE)</f>
        <v>#DIV/0!</v>
      </c>
      <c r="F27" s="619" t="e">
        <f ca="1">LARGE(OFFSET(chronic_intake_assessment!$B$11,1,MATCH($C27,chronic_intake_assessment!$C$11:$AY$11,0),(390-12+1),1),1)</f>
        <v>#DIV/0!</v>
      </c>
      <c r="G27" s="1546" t="e">
        <f ca="1">INDEX(chronic_intake_assessment!$C$11:$C$390,MATCH($F27,OFFSET(chronic_intake_assessment!$B$11,0,MATCH($C27,chronic_intake_assessment!$C$11:$AY$11,0),(390-11+1),1),0))</f>
        <v>#DIV/0!</v>
      </c>
      <c r="H27" s="1545"/>
      <c r="I27" s="211"/>
      <c r="J27" s="619" t="e">
        <f ca="1">LARGE(OFFSET(chronic_intake_assessment!$B$11,1,MATCH($C27,chronic_intake_assessment!$C$11:$AY$11,0),(390-12+1),1),2)</f>
        <v>#DIV/0!</v>
      </c>
      <c r="K27" s="1544" t="e">
        <f ca="1">INDEX(chronic_intake_assessment!$C$11:$C$390,MATCH($J27,OFFSET(chronic_intake_assessment!$B$11,0,MATCH($C27,chronic_intake_assessment!$C$11:$AY$11,0),(390-11+1),1),0))</f>
        <v>#DIV/0!</v>
      </c>
      <c r="L27" s="1545"/>
      <c r="M27" s="211"/>
      <c r="N27" s="622" t="e">
        <f ca="1">LARGE(OFFSET(chronic_intake_assessment!$B$11,1,MATCH($C27,chronic_intake_assessment!$C$11:$AY$11,0),(390-12+1),1),3)</f>
        <v>#DIV/0!</v>
      </c>
      <c r="O27" s="625" t="e">
        <f ca="1">IF(N27=0,"",INDEX(chronic_intake_assessment!$C$11:$C$390,MATCH($N27,OFFSET(chronic_intake_assessment!$B$11,0,MATCH($C27,chronic_intake_assessment!$C$11:$AY$11,0),(390-11+1),1),0)))</f>
        <v>#DIV/0!</v>
      </c>
      <c r="P27" s="600" t="e">
        <f>INDEX(chronic_intake_assessment!$A$393:$AY$394,2,MATCH(Results!$B27,chronic_intake_assessment!$A$393:$AY$393,0))</f>
        <v>#DIV/0!</v>
      </c>
      <c r="Q27" s="619" t="e">
        <f>INDEX(chronic_intake_assessment!$J$393:$AY$395,3,MATCH(Results!B27,chronic_intake_assessment!$J$393:$AY$393,0))</f>
        <v>#DIV/0!</v>
      </c>
    </row>
    <row r="28" spans="1:17" ht="12.75" customHeight="1" x14ac:dyDescent="0.2">
      <c r="A28" s="1598"/>
      <c r="B28" s="613" t="e">
        <f>LARGE(chronic_intake_assessment!$J$2:$AY$2,ROW()-ROW($B$15))</f>
        <v>#DIV/0!</v>
      </c>
      <c r="C28" s="1542" t="e">
        <f ca="1">OFFSET(chronic_intake_assessment!$I$1,0,MATCH(B28,chronic_intake_assessment!$J$2:$AY$2,0))</f>
        <v>#DIV/0!</v>
      </c>
      <c r="D28" s="1543"/>
      <c r="E28" s="616" t="e">
        <f ca="1">HLOOKUP(C28,chronic_intake_assessment!$J$1:$AY$4,4,FALSE)</f>
        <v>#DIV/0!</v>
      </c>
      <c r="F28" s="619" t="e">
        <f ca="1">LARGE(OFFSET(chronic_intake_assessment!$B$11,1,MATCH($C28,chronic_intake_assessment!$C$11:$AY$11,0),(390-12+1),1),1)</f>
        <v>#DIV/0!</v>
      </c>
      <c r="G28" s="1546" t="e">
        <f ca="1">INDEX(chronic_intake_assessment!$C$11:$C$390,MATCH($F28,OFFSET(chronic_intake_assessment!$B$11,0,MATCH($C28,chronic_intake_assessment!$C$11:$AY$11,0),(390-11+1),1),0))</f>
        <v>#DIV/0!</v>
      </c>
      <c r="H28" s="1545"/>
      <c r="I28" s="211"/>
      <c r="J28" s="619" t="e">
        <f ca="1">LARGE(OFFSET(chronic_intake_assessment!$B$11,1,MATCH($C28,chronic_intake_assessment!$C$11:$AY$11,0),(390-12+1),1),2)</f>
        <v>#DIV/0!</v>
      </c>
      <c r="K28" s="1544" t="e">
        <f ca="1">INDEX(chronic_intake_assessment!$C$11:$C$390,MATCH($J28,OFFSET(chronic_intake_assessment!$B$11,0,MATCH($C28,chronic_intake_assessment!$C$11:$AY$11,0),(390-11+1),1),0))</f>
        <v>#DIV/0!</v>
      </c>
      <c r="L28" s="1545"/>
      <c r="M28" s="211"/>
      <c r="N28" s="622" t="e">
        <f ca="1">LARGE(OFFSET(chronic_intake_assessment!$B$11,1,MATCH($C28,chronic_intake_assessment!$C$11:$AY$11,0),(390-12+1),1),3)</f>
        <v>#DIV/0!</v>
      </c>
      <c r="O28" s="625" t="e">
        <f ca="1">IF(N28=0,"",INDEX(chronic_intake_assessment!$C$11:$C$390,MATCH($N28,OFFSET(chronic_intake_assessment!$B$11,0,MATCH($C28,chronic_intake_assessment!$C$11:$AY$11,0),(390-11+1),1),0)))</f>
        <v>#DIV/0!</v>
      </c>
      <c r="P28" s="600" t="e">
        <f>INDEX(chronic_intake_assessment!$A$393:$AY$394,2,MATCH(Results!$B28,chronic_intake_assessment!$A$393:$AY$393,0))</f>
        <v>#DIV/0!</v>
      </c>
      <c r="Q28" s="619" t="e">
        <f>INDEX(chronic_intake_assessment!$J$393:$AY$395,3,MATCH(Results!B28,chronic_intake_assessment!$J$393:$AY$393,0))</f>
        <v>#DIV/0!</v>
      </c>
    </row>
    <row r="29" spans="1:17" ht="12.75" customHeight="1" x14ac:dyDescent="0.2">
      <c r="A29" s="1598"/>
      <c r="B29" s="613" t="e">
        <f>LARGE(chronic_intake_assessment!$J$2:$AY$2,ROW()-ROW($B$15))</f>
        <v>#DIV/0!</v>
      </c>
      <c r="C29" s="1542" t="e">
        <f ca="1">OFFSET(chronic_intake_assessment!$I$1,0,MATCH(B29,chronic_intake_assessment!$J$2:$AY$2,0))</f>
        <v>#DIV/0!</v>
      </c>
      <c r="D29" s="1543"/>
      <c r="E29" s="616" t="e">
        <f ca="1">HLOOKUP(C29,chronic_intake_assessment!$J$1:$AY$4,4,FALSE)</f>
        <v>#DIV/0!</v>
      </c>
      <c r="F29" s="619" t="e">
        <f ca="1">LARGE(OFFSET(chronic_intake_assessment!$B$11,1,MATCH($C29,chronic_intake_assessment!$C$11:$AY$11,0),(390-12+1),1),1)</f>
        <v>#DIV/0!</v>
      </c>
      <c r="G29" s="1546" t="e">
        <f ca="1">INDEX(chronic_intake_assessment!$C$11:$C$390,MATCH($F29,OFFSET(chronic_intake_assessment!$B$11,0,MATCH($C29,chronic_intake_assessment!$C$11:$AY$11,0),(390-11+1),1),0))</f>
        <v>#DIV/0!</v>
      </c>
      <c r="H29" s="1545"/>
      <c r="I29" s="211"/>
      <c r="J29" s="619" t="e">
        <f ca="1">LARGE(OFFSET(chronic_intake_assessment!$B$11,1,MATCH($C29,chronic_intake_assessment!$C$11:$AY$11,0),(390-12+1),1),2)</f>
        <v>#DIV/0!</v>
      </c>
      <c r="K29" s="1544" t="e">
        <f ca="1">INDEX(chronic_intake_assessment!$C$11:$C$390,MATCH($J29,OFFSET(chronic_intake_assessment!$B$11,0,MATCH($C29,chronic_intake_assessment!$C$11:$AY$11,0),(390-11+1),1),0))</f>
        <v>#DIV/0!</v>
      </c>
      <c r="L29" s="1545"/>
      <c r="M29" s="211"/>
      <c r="N29" s="622" t="e">
        <f ca="1">LARGE(OFFSET(chronic_intake_assessment!$B$11,1,MATCH($C29,chronic_intake_assessment!$C$11:$AY$11,0),(390-12+1),1),3)</f>
        <v>#DIV/0!</v>
      </c>
      <c r="O29" s="625" t="e">
        <f ca="1">IF(N29=0,"",INDEX(chronic_intake_assessment!$C$11:$C$390,MATCH($N29,OFFSET(chronic_intake_assessment!$B$11,0,MATCH($C29,chronic_intake_assessment!$C$11:$AY$11,0),(390-11+1),1),0)))</f>
        <v>#DIV/0!</v>
      </c>
      <c r="P29" s="600" t="e">
        <f>INDEX(chronic_intake_assessment!$A$393:$AY$394,2,MATCH(Results!$B29,chronic_intake_assessment!$A$393:$AY$393,0))</f>
        <v>#DIV/0!</v>
      </c>
      <c r="Q29" s="619" t="e">
        <f>INDEX(chronic_intake_assessment!$J$393:$AY$395,3,MATCH(Results!B29,chronic_intake_assessment!$J$393:$AY$393,0))</f>
        <v>#DIV/0!</v>
      </c>
    </row>
    <row r="30" spans="1:17" ht="12.75" customHeight="1" x14ac:dyDescent="0.2">
      <c r="A30" s="1598"/>
      <c r="B30" s="613" t="e">
        <f>LARGE(chronic_intake_assessment!$J$2:$AY$2,ROW()-ROW($B$15))</f>
        <v>#DIV/0!</v>
      </c>
      <c r="C30" s="1542" t="e">
        <f ca="1">OFFSET(chronic_intake_assessment!$I$1,0,MATCH(B30,chronic_intake_assessment!$J$2:$AY$2,0))</f>
        <v>#DIV/0!</v>
      </c>
      <c r="D30" s="1543"/>
      <c r="E30" s="616" t="e">
        <f ca="1">HLOOKUP(C30,chronic_intake_assessment!$J$1:$AY$4,4,FALSE)</f>
        <v>#DIV/0!</v>
      </c>
      <c r="F30" s="619" t="e">
        <f ca="1">LARGE(OFFSET(chronic_intake_assessment!$B$11,1,MATCH($C30,chronic_intake_assessment!$C$11:$AY$11,0),(390-12+1),1),1)</f>
        <v>#DIV/0!</v>
      </c>
      <c r="G30" s="1546" t="e">
        <f ca="1">INDEX(chronic_intake_assessment!$C$11:$C$390,MATCH($F30,OFFSET(chronic_intake_assessment!$B$11,0,MATCH($C30,chronic_intake_assessment!$C$11:$AY$11,0),(390-11+1),1),0))</f>
        <v>#DIV/0!</v>
      </c>
      <c r="H30" s="1545"/>
      <c r="I30" s="211"/>
      <c r="J30" s="619" t="e">
        <f ca="1">LARGE(OFFSET(chronic_intake_assessment!$B$11,1,MATCH($C30,chronic_intake_assessment!$C$11:$AY$11,0),(390-12+1),1),2)</f>
        <v>#DIV/0!</v>
      </c>
      <c r="K30" s="1544" t="e">
        <f ca="1">INDEX(chronic_intake_assessment!$C$11:$C$390,MATCH($J30,OFFSET(chronic_intake_assessment!$B$11,0,MATCH($C30,chronic_intake_assessment!$C$11:$AY$11,0),(390-11+1),1),0))</f>
        <v>#DIV/0!</v>
      </c>
      <c r="L30" s="1545"/>
      <c r="M30" s="211"/>
      <c r="N30" s="622" t="e">
        <f ca="1">LARGE(OFFSET(chronic_intake_assessment!$B$11,1,MATCH($C30,chronic_intake_assessment!$C$11:$AY$11,0),(390-12+1),1),3)</f>
        <v>#DIV/0!</v>
      </c>
      <c r="O30" s="625" t="e">
        <f ca="1">IF(N30=0,"",INDEX(chronic_intake_assessment!$C$11:$C$390,MATCH($N30,OFFSET(chronic_intake_assessment!$B$11,0,MATCH($C30,chronic_intake_assessment!$C$11:$AY$11,0),(390-11+1),1),0)))</f>
        <v>#DIV/0!</v>
      </c>
      <c r="P30" s="600" t="e">
        <f>INDEX(chronic_intake_assessment!$A$393:$AY$394,2,MATCH(Results!$B30,chronic_intake_assessment!$A$393:$AY$393,0))</f>
        <v>#DIV/0!</v>
      </c>
      <c r="Q30" s="619" t="e">
        <f>INDEX(chronic_intake_assessment!$J$393:$AY$395,3,MATCH(Results!B30,chronic_intake_assessment!$J$393:$AY$393,0))</f>
        <v>#DIV/0!</v>
      </c>
    </row>
    <row r="31" spans="1:17" ht="12.75" customHeight="1" x14ac:dyDescent="0.2">
      <c r="A31" s="1598"/>
      <c r="B31" s="613" t="e">
        <f>LARGE(chronic_intake_assessment!$J$2:$AY$2,ROW()-ROW($B$15))</f>
        <v>#DIV/0!</v>
      </c>
      <c r="C31" s="1542" t="e">
        <f ca="1">OFFSET(chronic_intake_assessment!$I$1,0,MATCH(B31,chronic_intake_assessment!$J$2:$AY$2,0))</f>
        <v>#DIV/0!</v>
      </c>
      <c r="D31" s="1543"/>
      <c r="E31" s="616" t="e">
        <f ca="1">HLOOKUP(C31,chronic_intake_assessment!$J$1:$AY$4,4,FALSE)</f>
        <v>#DIV/0!</v>
      </c>
      <c r="F31" s="619" t="e">
        <f ca="1">LARGE(OFFSET(chronic_intake_assessment!$B$11,1,MATCH($C31,chronic_intake_assessment!$C$11:$AY$11,0),(390-12+1),1),1)</f>
        <v>#DIV/0!</v>
      </c>
      <c r="G31" s="1546" t="e">
        <f ca="1">INDEX(chronic_intake_assessment!$C$11:$C$390,MATCH($F31,OFFSET(chronic_intake_assessment!$B$11,0,MATCH($C31,chronic_intake_assessment!$C$11:$AY$11,0),(390-11+1),1),0))</f>
        <v>#DIV/0!</v>
      </c>
      <c r="H31" s="1545"/>
      <c r="I31" s="211"/>
      <c r="J31" s="619" t="e">
        <f ca="1">LARGE(OFFSET(chronic_intake_assessment!$B$11,1,MATCH($C31,chronic_intake_assessment!$C$11:$AY$11,0),(390-12+1),1),2)</f>
        <v>#DIV/0!</v>
      </c>
      <c r="K31" s="1544" t="e">
        <f ca="1">INDEX(chronic_intake_assessment!$C$11:$C$390,MATCH($J31,OFFSET(chronic_intake_assessment!$B$11,0,MATCH($C31,chronic_intake_assessment!$C$11:$AY$11,0),(390-11+1),1),0))</f>
        <v>#DIV/0!</v>
      </c>
      <c r="L31" s="1545"/>
      <c r="M31" s="211"/>
      <c r="N31" s="622" t="e">
        <f ca="1">LARGE(OFFSET(chronic_intake_assessment!$B$11,1,MATCH($C31,chronic_intake_assessment!$C$11:$AY$11,0),(390-12+1),1),3)</f>
        <v>#DIV/0!</v>
      </c>
      <c r="O31" s="625" t="e">
        <f ca="1">IF(N31=0,"",INDEX(chronic_intake_assessment!$C$11:$C$390,MATCH($N31,OFFSET(chronic_intake_assessment!$B$11,0,MATCH($C31,chronic_intake_assessment!$C$11:$AY$11,0),(390-11+1),1),0)))</f>
        <v>#DIV/0!</v>
      </c>
      <c r="P31" s="600" t="e">
        <f>INDEX(chronic_intake_assessment!$A$393:$AY$394,2,MATCH(Results!$B31,chronic_intake_assessment!$A$393:$AY$393,0))</f>
        <v>#DIV/0!</v>
      </c>
      <c r="Q31" s="619" t="e">
        <f>INDEX(chronic_intake_assessment!$J$393:$AY$395,3,MATCH(Results!B31,chronic_intake_assessment!$J$393:$AY$393,0))</f>
        <v>#DIV/0!</v>
      </c>
    </row>
    <row r="32" spans="1:17" ht="12.75" customHeight="1" x14ac:dyDescent="0.2">
      <c r="A32" s="1598"/>
      <c r="B32" s="613" t="e">
        <f>LARGE(chronic_intake_assessment!$J$2:$AY$2,ROW()-ROW($B$15))</f>
        <v>#DIV/0!</v>
      </c>
      <c r="C32" s="1542" t="e">
        <f ca="1">OFFSET(chronic_intake_assessment!$I$1,0,MATCH(B32,chronic_intake_assessment!$J$2:$AY$2,0))</f>
        <v>#DIV/0!</v>
      </c>
      <c r="D32" s="1543"/>
      <c r="E32" s="616" t="e">
        <f ca="1">HLOOKUP(C32,chronic_intake_assessment!$J$1:$AY$4,4,FALSE)</f>
        <v>#DIV/0!</v>
      </c>
      <c r="F32" s="619" t="e">
        <f ca="1">LARGE(OFFSET(chronic_intake_assessment!$B$11,1,MATCH($C32,chronic_intake_assessment!$C$11:$AY$11,0),(390-12+1),1),1)</f>
        <v>#DIV/0!</v>
      </c>
      <c r="G32" s="1546" t="e">
        <f ca="1">INDEX(chronic_intake_assessment!$C$11:$C$390,MATCH($F32,OFFSET(chronic_intake_assessment!$B$11,0,MATCH($C32,chronic_intake_assessment!$C$11:$AY$11,0),(390-11+1),1),0))</f>
        <v>#DIV/0!</v>
      </c>
      <c r="H32" s="1545"/>
      <c r="I32" s="211"/>
      <c r="J32" s="619" t="e">
        <f ca="1">LARGE(OFFSET(chronic_intake_assessment!$B$11,1,MATCH($C32,chronic_intake_assessment!$C$11:$AY$11,0),(390-12+1),1),2)</f>
        <v>#DIV/0!</v>
      </c>
      <c r="K32" s="1544" t="e">
        <f ca="1">INDEX(chronic_intake_assessment!$C$11:$C$390,MATCH($J32,OFFSET(chronic_intake_assessment!$B$11,0,MATCH($C32,chronic_intake_assessment!$C$11:$AY$11,0),(390-11+1),1),0))</f>
        <v>#DIV/0!</v>
      </c>
      <c r="L32" s="1545"/>
      <c r="M32" s="211"/>
      <c r="N32" s="622" t="e">
        <f ca="1">LARGE(OFFSET(chronic_intake_assessment!$B$11,1,MATCH($C32,chronic_intake_assessment!$C$11:$AY$11,0),(390-12+1),1),3)</f>
        <v>#DIV/0!</v>
      </c>
      <c r="O32" s="625" t="e">
        <f ca="1">IF(N32=0,"",INDEX(chronic_intake_assessment!$C$11:$C$390,MATCH($N32,OFFSET(chronic_intake_assessment!$B$11,0,MATCH($C32,chronic_intake_assessment!$C$11:$AY$11,0),(390-11+1),1),0)))</f>
        <v>#DIV/0!</v>
      </c>
      <c r="P32" s="600" t="e">
        <f>INDEX(chronic_intake_assessment!$A$393:$AY$394,2,MATCH(Results!$B32,chronic_intake_assessment!$A$393:$AY$393,0))</f>
        <v>#DIV/0!</v>
      </c>
      <c r="Q32" s="619" t="e">
        <f>INDEX(chronic_intake_assessment!$J$393:$AY$395,3,MATCH(Results!B32,chronic_intake_assessment!$J$393:$AY$393,0))</f>
        <v>#DIV/0!</v>
      </c>
    </row>
    <row r="33" spans="1:17" ht="12.75" customHeight="1" x14ac:dyDescent="0.2">
      <c r="A33" s="1598"/>
      <c r="B33" s="613" t="e">
        <f>LARGE(chronic_intake_assessment!$J$2:$AY$2,ROW()-ROW($B$15))</f>
        <v>#DIV/0!</v>
      </c>
      <c r="C33" s="1542" t="e">
        <f ca="1">OFFSET(chronic_intake_assessment!$I$1,0,MATCH(B33,chronic_intake_assessment!$J$2:$AY$2,0))</f>
        <v>#DIV/0!</v>
      </c>
      <c r="D33" s="1543"/>
      <c r="E33" s="616" t="e">
        <f ca="1">HLOOKUP(C33,chronic_intake_assessment!$J$1:$AY$4,4,FALSE)</f>
        <v>#DIV/0!</v>
      </c>
      <c r="F33" s="619" t="e">
        <f ca="1">LARGE(OFFSET(chronic_intake_assessment!$B$11,1,MATCH($C33,chronic_intake_assessment!$C$11:$AY$11,0),(390-12+1),1),1)</f>
        <v>#DIV/0!</v>
      </c>
      <c r="G33" s="1546" t="e">
        <f ca="1">INDEX(chronic_intake_assessment!$C$11:$C$390,MATCH($F33,OFFSET(chronic_intake_assessment!$B$11,0,MATCH($C33,chronic_intake_assessment!$C$11:$AY$11,0),(390-11+1),1),0))</f>
        <v>#DIV/0!</v>
      </c>
      <c r="H33" s="1545"/>
      <c r="I33" s="211"/>
      <c r="J33" s="619" t="e">
        <f ca="1">LARGE(OFFSET(chronic_intake_assessment!$B$11,1,MATCH($C33,chronic_intake_assessment!$C$11:$AY$11,0),(390-12+1),1),2)</f>
        <v>#DIV/0!</v>
      </c>
      <c r="K33" s="1544" t="e">
        <f ca="1">INDEX(chronic_intake_assessment!$C$11:$C$390,MATCH($J33,OFFSET(chronic_intake_assessment!$B$11,0,MATCH($C33,chronic_intake_assessment!$C$11:$AY$11,0),(390-11+1),1),0))</f>
        <v>#DIV/0!</v>
      </c>
      <c r="L33" s="1545"/>
      <c r="M33" s="211"/>
      <c r="N33" s="622" t="e">
        <f ca="1">LARGE(OFFSET(chronic_intake_assessment!$B$11,1,MATCH($C33,chronic_intake_assessment!$C$11:$AY$11,0),(390-12+1),1),3)</f>
        <v>#DIV/0!</v>
      </c>
      <c r="O33" s="625" t="e">
        <f ca="1">IF(N33=0,"",INDEX(chronic_intake_assessment!$C$11:$C$390,MATCH($N33,OFFSET(chronic_intake_assessment!$B$11,0,MATCH($C33,chronic_intake_assessment!$C$11:$AY$11,0),(390-11+1),1),0)))</f>
        <v>#DIV/0!</v>
      </c>
      <c r="P33" s="600" t="e">
        <f>INDEX(chronic_intake_assessment!$A$393:$AY$394,2,MATCH(Results!$B33,chronic_intake_assessment!$A$393:$AY$393,0))</f>
        <v>#DIV/0!</v>
      </c>
      <c r="Q33" s="619" t="e">
        <f>INDEX(chronic_intake_assessment!$J$393:$AY$395,3,MATCH(Results!B33,chronic_intake_assessment!$J$393:$AY$393,0))</f>
        <v>#DIV/0!</v>
      </c>
    </row>
    <row r="34" spans="1:17" ht="12.75" customHeight="1" x14ac:dyDescent="0.2">
      <c r="A34" s="1598"/>
      <c r="B34" s="613" t="e">
        <f>LARGE(chronic_intake_assessment!$J$2:$AY$2,ROW()-ROW($B$15))</f>
        <v>#DIV/0!</v>
      </c>
      <c r="C34" s="1542" t="e">
        <f ca="1">OFFSET(chronic_intake_assessment!$I$1,0,MATCH(B34,chronic_intake_assessment!$J$2:$AY$2,0))</f>
        <v>#DIV/0!</v>
      </c>
      <c r="D34" s="1543"/>
      <c r="E34" s="616" t="e">
        <f ca="1">HLOOKUP(C34,chronic_intake_assessment!$J$1:$AY$4,4,FALSE)</f>
        <v>#DIV/0!</v>
      </c>
      <c r="F34" s="619" t="e">
        <f ca="1">LARGE(OFFSET(chronic_intake_assessment!$B$11,1,MATCH($C34,chronic_intake_assessment!$C$11:$AY$11,0),(390-12+1),1),1)</f>
        <v>#DIV/0!</v>
      </c>
      <c r="G34" s="1546" t="e">
        <f ca="1">INDEX(chronic_intake_assessment!$C$11:$C$390,MATCH($F34,OFFSET(chronic_intake_assessment!$B$11,0,MATCH($C34,chronic_intake_assessment!$C$11:$AY$11,0),(390-11+1),1),0))</f>
        <v>#DIV/0!</v>
      </c>
      <c r="H34" s="1545"/>
      <c r="I34" s="211"/>
      <c r="J34" s="619" t="e">
        <f ca="1">LARGE(OFFSET(chronic_intake_assessment!$B$11,1,MATCH($C34,chronic_intake_assessment!$C$11:$AY$11,0),(390-12+1),1),2)</f>
        <v>#DIV/0!</v>
      </c>
      <c r="K34" s="1544" t="e">
        <f ca="1">INDEX(chronic_intake_assessment!$C$11:$C$390,MATCH($J34,OFFSET(chronic_intake_assessment!$B$11,0,MATCH($C34,chronic_intake_assessment!$C$11:$AY$11,0),(390-11+1),1),0))</f>
        <v>#DIV/0!</v>
      </c>
      <c r="L34" s="1545"/>
      <c r="M34" s="211"/>
      <c r="N34" s="622" t="e">
        <f ca="1">LARGE(OFFSET(chronic_intake_assessment!$B$11,1,MATCH($C34,chronic_intake_assessment!$C$11:$AY$11,0),(390-12+1),1),3)</f>
        <v>#DIV/0!</v>
      </c>
      <c r="O34" s="625" t="e">
        <f ca="1">IF(N34=0,"",INDEX(chronic_intake_assessment!$C$11:$C$390,MATCH($N34,OFFSET(chronic_intake_assessment!$B$11,0,MATCH($C34,chronic_intake_assessment!$C$11:$AY$11,0),(390-11+1),1),0)))</f>
        <v>#DIV/0!</v>
      </c>
      <c r="P34" s="600" t="e">
        <f>INDEX(chronic_intake_assessment!$A$393:$AY$394,2,MATCH(Results!$B34,chronic_intake_assessment!$A$393:$AY$393,0))</f>
        <v>#DIV/0!</v>
      </c>
      <c r="Q34" s="619" t="e">
        <f>INDEX(chronic_intake_assessment!$J$393:$AY$395,3,MATCH(Results!B34,chronic_intake_assessment!$J$393:$AY$393,0))</f>
        <v>#DIV/0!</v>
      </c>
    </row>
    <row r="35" spans="1:17" ht="12.75" customHeight="1" x14ac:dyDescent="0.2">
      <c r="A35" s="1598"/>
      <c r="B35" s="613" t="e">
        <f>LARGE(chronic_intake_assessment!$J$2:$AY$2,ROW()-ROW($B$15))</f>
        <v>#DIV/0!</v>
      </c>
      <c r="C35" s="1542" t="e">
        <f ca="1">OFFSET(chronic_intake_assessment!$I$1,0,MATCH(B35,chronic_intake_assessment!$J$2:$AY$2,0))</f>
        <v>#DIV/0!</v>
      </c>
      <c r="D35" s="1543"/>
      <c r="E35" s="616" t="e">
        <f ca="1">HLOOKUP(C35,chronic_intake_assessment!$J$1:$AY$4,4,FALSE)</f>
        <v>#DIV/0!</v>
      </c>
      <c r="F35" s="619" t="e">
        <f ca="1">LARGE(OFFSET(chronic_intake_assessment!$B$11,1,MATCH($C35,chronic_intake_assessment!$C$11:$AY$11,0),(390-12+1),1),1)</f>
        <v>#DIV/0!</v>
      </c>
      <c r="G35" s="1546" t="e">
        <f ca="1">INDEX(chronic_intake_assessment!$C$11:$C$390,MATCH($F35,OFFSET(chronic_intake_assessment!$B$11,0,MATCH($C35,chronic_intake_assessment!$C$11:$AY$11,0),(390-11+1),1),0))</f>
        <v>#DIV/0!</v>
      </c>
      <c r="H35" s="1545"/>
      <c r="I35" s="211"/>
      <c r="J35" s="619" t="e">
        <f ca="1">LARGE(OFFSET(chronic_intake_assessment!$B$11,1,MATCH($C35,chronic_intake_assessment!$C$11:$AY$11,0),(390-12+1),1),2)</f>
        <v>#DIV/0!</v>
      </c>
      <c r="K35" s="1544" t="e">
        <f ca="1">INDEX(chronic_intake_assessment!$C$11:$C$390,MATCH($J35,OFFSET(chronic_intake_assessment!$B$11,0,MATCH($C35,chronic_intake_assessment!$C$11:$AY$11,0),(390-11+1),1),0))</f>
        <v>#DIV/0!</v>
      </c>
      <c r="L35" s="1545"/>
      <c r="M35" s="211"/>
      <c r="N35" s="622" t="e">
        <f ca="1">LARGE(OFFSET(chronic_intake_assessment!$B$11,1,MATCH($C35,chronic_intake_assessment!$C$11:$AY$11,0),(390-12+1),1),3)</f>
        <v>#DIV/0!</v>
      </c>
      <c r="O35" s="625" t="e">
        <f ca="1">IF(N35=0,"",INDEX(chronic_intake_assessment!$C$11:$C$390,MATCH($N35,OFFSET(chronic_intake_assessment!$B$11,0,MATCH($C35,chronic_intake_assessment!$C$11:$AY$11,0),(390-11+1),1),0)))</f>
        <v>#DIV/0!</v>
      </c>
      <c r="P35" s="600" t="e">
        <f>INDEX(chronic_intake_assessment!$A$393:$AY$394,2,MATCH(Results!$B35,chronic_intake_assessment!$A$393:$AY$393,0))</f>
        <v>#DIV/0!</v>
      </c>
      <c r="Q35" s="619" t="e">
        <f>INDEX(chronic_intake_assessment!$J$393:$AY$395,3,MATCH(Results!B35,chronic_intake_assessment!$J$393:$AY$393,0))</f>
        <v>#DIV/0!</v>
      </c>
    </row>
    <row r="36" spans="1:17" ht="12.75" customHeight="1" x14ac:dyDescent="0.2">
      <c r="A36" s="1598"/>
      <c r="B36" s="613" t="e">
        <f>LARGE(chronic_intake_assessment!$J$2:$AY$2,ROW()-ROW($B$15))</f>
        <v>#DIV/0!</v>
      </c>
      <c r="C36" s="1542" t="e">
        <f ca="1">OFFSET(chronic_intake_assessment!$I$1,0,MATCH(B36,chronic_intake_assessment!$J$2:$AY$2,0))</f>
        <v>#DIV/0!</v>
      </c>
      <c r="D36" s="1543"/>
      <c r="E36" s="616" t="e">
        <f ca="1">HLOOKUP(C36,chronic_intake_assessment!$J$1:$AY$4,4,FALSE)</f>
        <v>#DIV/0!</v>
      </c>
      <c r="F36" s="619" t="e">
        <f ca="1">LARGE(OFFSET(chronic_intake_assessment!$B$11,1,MATCH($C36,chronic_intake_assessment!$C$11:$AY$11,0),(390-12+1),1),1)</f>
        <v>#DIV/0!</v>
      </c>
      <c r="G36" s="1546" t="e">
        <f ca="1">INDEX(chronic_intake_assessment!$C$11:$C$390,MATCH($F36,OFFSET(chronic_intake_assessment!$B$11,0,MATCH($C36,chronic_intake_assessment!$C$11:$AY$11,0),(390-11+1),1),0))</f>
        <v>#DIV/0!</v>
      </c>
      <c r="H36" s="1545"/>
      <c r="I36" s="211"/>
      <c r="J36" s="619" t="e">
        <f ca="1">LARGE(OFFSET(chronic_intake_assessment!$B$11,1,MATCH($C36,chronic_intake_assessment!$C$11:$AY$11,0),(390-12+1),1),2)</f>
        <v>#DIV/0!</v>
      </c>
      <c r="K36" s="1544" t="e">
        <f ca="1">INDEX(chronic_intake_assessment!$C$11:$C$390,MATCH($J36,OFFSET(chronic_intake_assessment!$B$11,0,MATCH($C36,chronic_intake_assessment!$C$11:$AY$11,0),(390-11+1),1),0))</f>
        <v>#DIV/0!</v>
      </c>
      <c r="L36" s="1545"/>
      <c r="M36" s="211"/>
      <c r="N36" s="622" t="e">
        <f ca="1">LARGE(OFFSET(chronic_intake_assessment!$B$11,1,MATCH($C36,chronic_intake_assessment!$C$11:$AY$11,0),(390-12+1),1),3)</f>
        <v>#DIV/0!</v>
      </c>
      <c r="O36" s="625" t="e">
        <f ca="1">IF(N36=0,"",INDEX(chronic_intake_assessment!$C$11:$C$390,MATCH($N36,OFFSET(chronic_intake_assessment!$B$11,0,MATCH($C36,chronic_intake_assessment!$C$11:$AY$11,0),(390-11+1),1),0)))</f>
        <v>#DIV/0!</v>
      </c>
      <c r="P36" s="600" t="e">
        <f>INDEX(chronic_intake_assessment!$A$393:$AY$394,2,MATCH(Results!$B36,chronic_intake_assessment!$A$393:$AY$393,0))</f>
        <v>#DIV/0!</v>
      </c>
      <c r="Q36" s="619" t="e">
        <f>INDEX(chronic_intake_assessment!$J$393:$AY$395,3,MATCH(Results!B36,chronic_intake_assessment!$J$393:$AY$393,0))</f>
        <v>#DIV/0!</v>
      </c>
    </row>
    <row r="37" spans="1:17" ht="12.75" customHeight="1" x14ac:dyDescent="0.2">
      <c r="A37" s="1598"/>
      <c r="B37" s="613" t="e">
        <f>LARGE(chronic_intake_assessment!$J$2:$AY$2,ROW()-ROW($B$15))</f>
        <v>#DIV/0!</v>
      </c>
      <c r="C37" s="1542" t="e">
        <f ca="1">OFFSET(chronic_intake_assessment!$I$1,0,MATCH(B37,chronic_intake_assessment!$J$2:$AY$2,0))</f>
        <v>#DIV/0!</v>
      </c>
      <c r="D37" s="1543"/>
      <c r="E37" s="616" t="e">
        <f ca="1">HLOOKUP(C37,chronic_intake_assessment!$J$1:$AY$4,4,FALSE)</f>
        <v>#DIV/0!</v>
      </c>
      <c r="F37" s="619" t="e">
        <f ca="1">LARGE(OFFSET(chronic_intake_assessment!$B$11,1,MATCH($C37,chronic_intake_assessment!$C$11:$AY$11,0),(390-12+1),1),1)</f>
        <v>#DIV/0!</v>
      </c>
      <c r="G37" s="1546" t="e">
        <f ca="1">INDEX(chronic_intake_assessment!$C$11:$C$390,MATCH($F37,OFFSET(chronic_intake_assessment!$B$11,0,MATCH($C37,chronic_intake_assessment!$C$11:$AY$11,0),(390-11+1),1),0))</f>
        <v>#DIV/0!</v>
      </c>
      <c r="H37" s="1545"/>
      <c r="I37" s="211"/>
      <c r="J37" s="619" t="e">
        <f ca="1">LARGE(OFFSET(chronic_intake_assessment!$B$11,1,MATCH($C37,chronic_intake_assessment!$C$11:$AY$11,0),(390-12+1),1),2)</f>
        <v>#DIV/0!</v>
      </c>
      <c r="K37" s="1544" t="e">
        <f ca="1">INDEX(chronic_intake_assessment!$C$11:$C$390,MATCH($J37,OFFSET(chronic_intake_assessment!$B$11,0,MATCH($C37,chronic_intake_assessment!$C$11:$AY$11,0),(390-11+1),1),0))</f>
        <v>#DIV/0!</v>
      </c>
      <c r="L37" s="1545"/>
      <c r="M37" s="211"/>
      <c r="N37" s="622" t="e">
        <f ca="1">LARGE(OFFSET(chronic_intake_assessment!$B$11,1,MATCH($C37,chronic_intake_assessment!$C$11:$AY$11,0),(390-12+1),1),3)</f>
        <v>#DIV/0!</v>
      </c>
      <c r="O37" s="625" t="e">
        <f ca="1">IF(N37=0,"",INDEX(chronic_intake_assessment!$C$11:$C$390,MATCH($N37,OFFSET(chronic_intake_assessment!$B$11,0,MATCH($C37,chronic_intake_assessment!$C$11:$AY$11,0),(390-11+1),1),0)))</f>
        <v>#DIV/0!</v>
      </c>
      <c r="P37" s="600" t="e">
        <f>INDEX(chronic_intake_assessment!$A$393:$AY$394,2,MATCH(Results!$B37,chronic_intake_assessment!$A$393:$AY$393,0))</f>
        <v>#DIV/0!</v>
      </c>
      <c r="Q37" s="619" t="e">
        <f>INDEX(chronic_intake_assessment!$J$393:$AY$395,3,MATCH(Results!B37,chronic_intake_assessment!$J$393:$AY$393,0))</f>
        <v>#DIV/0!</v>
      </c>
    </row>
    <row r="38" spans="1:17" ht="12.75" customHeight="1" x14ac:dyDescent="0.2">
      <c r="A38" s="1598"/>
      <c r="B38" s="613" t="e">
        <f>LARGE(chronic_intake_assessment!$J$2:$AY$2,ROW()-ROW($B$15))</f>
        <v>#DIV/0!</v>
      </c>
      <c r="C38" s="1542" t="e">
        <f ca="1">OFFSET(chronic_intake_assessment!$I$1,0,MATCH(B38,chronic_intake_assessment!$J$2:$AY$2,0))</f>
        <v>#DIV/0!</v>
      </c>
      <c r="D38" s="1543"/>
      <c r="E38" s="616" t="e">
        <f ca="1">HLOOKUP(C38,chronic_intake_assessment!$J$1:$AY$4,4,FALSE)</f>
        <v>#DIV/0!</v>
      </c>
      <c r="F38" s="619" t="e">
        <f ca="1">LARGE(OFFSET(chronic_intake_assessment!$B$11,1,MATCH($C38,chronic_intake_assessment!$C$11:$AY$11,0),(390-12+1),1),1)</f>
        <v>#DIV/0!</v>
      </c>
      <c r="G38" s="1546" t="e">
        <f ca="1">INDEX(chronic_intake_assessment!$C$11:$C$390,MATCH($F38,OFFSET(chronic_intake_assessment!$B$11,0,MATCH($C38,chronic_intake_assessment!$C$11:$AY$11,0),(390-11+1),1),0))</f>
        <v>#DIV/0!</v>
      </c>
      <c r="H38" s="1545"/>
      <c r="I38" s="211"/>
      <c r="J38" s="619" t="e">
        <f ca="1">LARGE(OFFSET(chronic_intake_assessment!$B$11,1,MATCH($C38,chronic_intake_assessment!$C$11:$AY$11,0),(390-12+1),1),2)</f>
        <v>#DIV/0!</v>
      </c>
      <c r="K38" s="1544" t="e">
        <f ca="1">INDEX(chronic_intake_assessment!$C$11:$C$390,MATCH($J38,OFFSET(chronic_intake_assessment!$B$11,0,MATCH($C38,chronic_intake_assessment!$C$11:$AY$11,0),(390-11+1),1),0))</f>
        <v>#DIV/0!</v>
      </c>
      <c r="L38" s="1545"/>
      <c r="M38" s="211"/>
      <c r="N38" s="622" t="e">
        <f ca="1">LARGE(OFFSET(chronic_intake_assessment!$B$11,1,MATCH($C38,chronic_intake_assessment!$C$11:$AY$11,0),(390-12+1),1),3)</f>
        <v>#DIV/0!</v>
      </c>
      <c r="O38" s="625" t="e">
        <f ca="1">IF(N38=0,"",INDEX(chronic_intake_assessment!$C$11:$C$390,MATCH($N38,OFFSET(chronic_intake_assessment!$B$11,0,MATCH($C38,chronic_intake_assessment!$C$11:$AY$11,0),(390-11+1),1),0)))</f>
        <v>#DIV/0!</v>
      </c>
      <c r="P38" s="600" t="e">
        <f>INDEX(chronic_intake_assessment!$A$393:$AY$394,2,MATCH(Results!$B38,chronic_intake_assessment!$A$393:$AY$393,0))</f>
        <v>#DIV/0!</v>
      </c>
      <c r="Q38" s="619" t="e">
        <f>INDEX(chronic_intake_assessment!$J$393:$AY$395,3,MATCH(Results!B38,chronic_intake_assessment!$J$393:$AY$393,0))</f>
        <v>#DIV/0!</v>
      </c>
    </row>
    <row r="39" spans="1:17" ht="12.75" customHeight="1" x14ac:dyDescent="0.2">
      <c r="A39" s="1598"/>
      <c r="B39" s="613" t="e">
        <f>LARGE(chronic_intake_assessment!$J$2:$AY$2,ROW()-ROW($B$15))</f>
        <v>#DIV/0!</v>
      </c>
      <c r="C39" s="1542" t="e">
        <f ca="1">OFFSET(chronic_intake_assessment!$I$1,0,MATCH(B39,chronic_intake_assessment!$J$2:$AY$2,0))</f>
        <v>#DIV/0!</v>
      </c>
      <c r="D39" s="1543"/>
      <c r="E39" s="616" t="e">
        <f ca="1">HLOOKUP(C39,chronic_intake_assessment!$J$1:$AY$4,4,FALSE)</f>
        <v>#DIV/0!</v>
      </c>
      <c r="F39" s="619" t="e">
        <f ca="1">LARGE(OFFSET(chronic_intake_assessment!$B$11,1,MATCH($C39,chronic_intake_assessment!$C$11:$AY$11,0),(390-12+1),1),1)</f>
        <v>#DIV/0!</v>
      </c>
      <c r="G39" s="1546" t="e">
        <f ca="1">INDEX(chronic_intake_assessment!$C$11:$C$390,MATCH($F39,OFFSET(chronic_intake_assessment!$B$11,0,MATCH($C39,chronic_intake_assessment!$C$11:$AY$11,0),(390-11+1),1),0))</f>
        <v>#DIV/0!</v>
      </c>
      <c r="H39" s="1545"/>
      <c r="I39" s="211"/>
      <c r="J39" s="619" t="e">
        <f ca="1">LARGE(OFFSET(chronic_intake_assessment!$B$11,1,MATCH($C39,chronic_intake_assessment!$C$11:$AY$11,0),(390-12+1),1),2)</f>
        <v>#DIV/0!</v>
      </c>
      <c r="K39" s="1544" t="e">
        <f ca="1">INDEX(chronic_intake_assessment!$C$11:$C$390,MATCH($J39,OFFSET(chronic_intake_assessment!$B$11,0,MATCH($C39,chronic_intake_assessment!$C$11:$AY$11,0),(390-11+1),1),0))</f>
        <v>#DIV/0!</v>
      </c>
      <c r="L39" s="1545"/>
      <c r="M39" s="211"/>
      <c r="N39" s="622" t="e">
        <f ca="1">LARGE(OFFSET(chronic_intake_assessment!$B$11,1,MATCH($C39,chronic_intake_assessment!$C$11:$AY$11,0),(390-12+1),1),3)</f>
        <v>#DIV/0!</v>
      </c>
      <c r="O39" s="625" t="e">
        <f ca="1">IF(N39=0,"",INDEX(chronic_intake_assessment!$C$11:$C$390,MATCH($N39,OFFSET(chronic_intake_assessment!$B$11,0,MATCH($C39,chronic_intake_assessment!$C$11:$AY$11,0),(390-11+1),1),0)))</f>
        <v>#DIV/0!</v>
      </c>
      <c r="P39" s="600" t="e">
        <f>INDEX(chronic_intake_assessment!$A$393:$AY$394,2,MATCH(Results!$B39,chronic_intake_assessment!$A$393:$AY$393,0))</f>
        <v>#DIV/0!</v>
      </c>
      <c r="Q39" s="619" t="e">
        <f>INDEX(chronic_intake_assessment!$J$393:$AY$395,3,MATCH(Results!B39,chronic_intake_assessment!$J$393:$AY$393,0))</f>
        <v>#DIV/0!</v>
      </c>
    </row>
    <row r="40" spans="1:17" ht="12.75" customHeight="1" x14ac:dyDescent="0.2">
      <c r="A40" s="1598"/>
      <c r="B40" s="613" t="e">
        <f>LARGE(chronic_intake_assessment!$J$2:$AY$2,ROW()-ROW($B$15))</f>
        <v>#DIV/0!</v>
      </c>
      <c r="C40" s="1542" t="e">
        <f ca="1">OFFSET(chronic_intake_assessment!$I$1,0,MATCH(B40,chronic_intake_assessment!$J$2:$AY$2,0))</f>
        <v>#DIV/0!</v>
      </c>
      <c r="D40" s="1543"/>
      <c r="E40" s="616" t="e">
        <f ca="1">HLOOKUP(C40,chronic_intake_assessment!$J$1:$AY$4,4,FALSE)</f>
        <v>#DIV/0!</v>
      </c>
      <c r="F40" s="619" t="e">
        <f ca="1">LARGE(OFFSET(chronic_intake_assessment!$B$11,1,MATCH($C40,chronic_intake_assessment!$C$11:$AY$11,0),(390-12+1),1),1)</f>
        <v>#DIV/0!</v>
      </c>
      <c r="G40" s="1546" t="e">
        <f ca="1">INDEX(chronic_intake_assessment!$C$11:$C$390,MATCH($F40,OFFSET(chronic_intake_assessment!$B$11,0,MATCH($C40,chronic_intake_assessment!$C$11:$AY$11,0),(390-11+1),1),0))</f>
        <v>#DIV/0!</v>
      </c>
      <c r="H40" s="1545"/>
      <c r="I40" s="211"/>
      <c r="J40" s="619" t="e">
        <f ca="1">LARGE(OFFSET(chronic_intake_assessment!$B$11,1,MATCH($C40,chronic_intake_assessment!$C$11:$AY$11,0),(390-12+1),1),2)</f>
        <v>#DIV/0!</v>
      </c>
      <c r="K40" s="1544" t="e">
        <f ca="1">INDEX(chronic_intake_assessment!$C$11:$C$390,MATCH($J40,OFFSET(chronic_intake_assessment!$B$11,0,MATCH($C40,chronic_intake_assessment!$C$11:$AY$11,0),(390-11+1),1),0))</f>
        <v>#DIV/0!</v>
      </c>
      <c r="L40" s="1545"/>
      <c r="M40" s="211"/>
      <c r="N40" s="622" t="e">
        <f ca="1">LARGE(OFFSET(chronic_intake_assessment!$B$11,1,MATCH($C40,chronic_intake_assessment!$C$11:$AY$11,0),(390-12+1),1),3)</f>
        <v>#DIV/0!</v>
      </c>
      <c r="O40" s="625" t="e">
        <f ca="1">IF(N40=0,"",INDEX(chronic_intake_assessment!$C$11:$C$390,MATCH($N40,OFFSET(chronic_intake_assessment!$B$11,0,MATCH($C40,chronic_intake_assessment!$C$11:$AY$11,0),(390-11+1),1),0)))</f>
        <v>#DIV/0!</v>
      </c>
      <c r="P40" s="600" t="e">
        <f>INDEX(chronic_intake_assessment!$A$393:$AY$394,2,MATCH(Results!$B40,chronic_intake_assessment!$A$393:$AY$393,0))</f>
        <v>#DIV/0!</v>
      </c>
      <c r="Q40" s="619" t="e">
        <f>INDEX(chronic_intake_assessment!$J$393:$AY$395,3,MATCH(Results!B40,chronic_intake_assessment!$J$393:$AY$393,0))</f>
        <v>#DIV/0!</v>
      </c>
    </row>
    <row r="41" spans="1:17" ht="12.75" customHeight="1" x14ac:dyDescent="0.2">
      <c r="A41" s="1598"/>
      <c r="B41" s="613" t="e">
        <f>LARGE(chronic_intake_assessment!$J$2:$AY$2,ROW()-ROW($B$15))</f>
        <v>#DIV/0!</v>
      </c>
      <c r="C41" s="1542" t="e">
        <f ca="1">OFFSET(chronic_intake_assessment!$I$1,0,MATCH(B41,chronic_intake_assessment!$J$2:$AY$2,0))</f>
        <v>#DIV/0!</v>
      </c>
      <c r="D41" s="1543"/>
      <c r="E41" s="616" t="e">
        <f ca="1">HLOOKUP(C41,chronic_intake_assessment!$J$1:$AY$4,4,FALSE)</f>
        <v>#DIV/0!</v>
      </c>
      <c r="F41" s="619" t="e">
        <f ca="1">LARGE(OFFSET(chronic_intake_assessment!$B$11,1,MATCH($C41,chronic_intake_assessment!$C$11:$AY$11,0),(390-12+1),1),1)</f>
        <v>#DIV/0!</v>
      </c>
      <c r="G41" s="1546" t="e">
        <f ca="1">INDEX(chronic_intake_assessment!$C$11:$C$390,MATCH($F41,OFFSET(chronic_intake_assessment!$B$11,0,MATCH($C41,chronic_intake_assessment!$C$11:$AY$11,0),(390-11+1),1),0))</f>
        <v>#DIV/0!</v>
      </c>
      <c r="H41" s="1545"/>
      <c r="I41" s="211"/>
      <c r="J41" s="619" t="e">
        <f ca="1">LARGE(OFFSET(chronic_intake_assessment!$B$11,1,MATCH($C41,chronic_intake_assessment!$C$11:$AY$11,0),(390-12+1),1),2)</f>
        <v>#DIV/0!</v>
      </c>
      <c r="K41" s="1544" t="e">
        <f ca="1">INDEX(chronic_intake_assessment!$C$11:$C$390,MATCH($J41,OFFSET(chronic_intake_assessment!$B$11,0,MATCH($C41,chronic_intake_assessment!$C$11:$AY$11,0),(390-11+1),1),0))</f>
        <v>#DIV/0!</v>
      </c>
      <c r="L41" s="1545"/>
      <c r="M41" s="211"/>
      <c r="N41" s="622" t="e">
        <f ca="1">LARGE(OFFSET(chronic_intake_assessment!$B$11,1,MATCH($C41,chronic_intake_assessment!$C$11:$AY$11,0),(390-12+1),1),3)</f>
        <v>#DIV/0!</v>
      </c>
      <c r="O41" s="625" t="e">
        <f ca="1">IF(N41=0,"",INDEX(chronic_intake_assessment!$C$11:$C$390,MATCH($N41,OFFSET(chronic_intake_assessment!$B$11,0,MATCH($C41,chronic_intake_assessment!$C$11:$AY$11,0),(390-11+1),1),0)))</f>
        <v>#DIV/0!</v>
      </c>
      <c r="P41" s="600" t="e">
        <f>INDEX(chronic_intake_assessment!$A$393:$AY$394,2,MATCH(Results!$B41,chronic_intake_assessment!$A$393:$AY$393,0))</f>
        <v>#DIV/0!</v>
      </c>
      <c r="Q41" s="619" t="e">
        <f>INDEX(chronic_intake_assessment!$J$393:$AY$395,3,MATCH(Results!B41,chronic_intake_assessment!$J$393:$AY$393,0))</f>
        <v>#DIV/0!</v>
      </c>
    </row>
    <row r="42" spans="1:17" ht="12.75" customHeight="1" x14ac:dyDescent="0.2">
      <c r="A42" s="1598"/>
      <c r="B42" s="613" t="e">
        <f>LARGE(chronic_intake_assessment!$J$2:$AY$2,ROW()-ROW($B$15))</f>
        <v>#DIV/0!</v>
      </c>
      <c r="C42" s="1542" t="e">
        <f ca="1">OFFSET(chronic_intake_assessment!$I$1,0,MATCH(B42,chronic_intake_assessment!$J$2:$AY$2,0))</f>
        <v>#DIV/0!</v>
      </c>
      <c r="D42" s="1543"/>
      <c r="E42" s="616" t="e">
        <f ca="1">HLOOKUP(C42,chronic_intake_assessment!$J$1:$AY$4,4,FALSE)</f>
        <v>#DIV/0!</v>
      </c>
      <c r="F42" s="619" t="e">
        <f ca="1">LARGE(OFFSET(chronic_intake_assessment!$B$11,1,MATCH($C42,chronic_intake_assessment!$C$11:$AY$11,0),(390-12+1),1),1)</f>
        <v>#DIV/0!</v>
      </c>
      <c r="G42" s="1546" t="e">
        <f ca="1">INDEX(chronic_intake_assessment!$C$11:$C$390,MATCH($F42,OFFSET(chronic_intake_assessment!$B$11,0,MATCH($C42,chronic_intake_assessment!$C$11:$AY$11,0),(390-11+1),1),0))</f>
        <v>#DIV/0!</v>
      </c>
      <c r="H42" s="1545"/>
      <c r="I42" s="211"/>
      <c r="J42" s="619" t="e">
        <f ca="1">LARGE(OFFSET(chronic_intake_assessment!$B$11,1,MATCH($C42,chronic_intake_assessment!$C$11:$AY$11,0),(390-12+1),1),2)</f>
        <v>#DIV/0!</v>
      </c>
      <c r="K42" s="1544" t="e">
        <f ca="1">INDEX(chronic_intake_assessment!$C$11:$C$390,MATCH($J42,OFFSET(chronic_intake_assessment!$B$11,0,MATCH($C42,chronic_intake_assessment!$C$11:$AY$11,0),(390-11+1),1),0))</f>
        <v>#DIV/0!</v>
      </c>
      <c r="L42" s="1545"/>
      <c r="M42" s="211"/>
      <c r="N42" s="622" t="e">
        <f ca="1">LARGE(OFFSET(chronic_intake_assessment!$B$11,1,MATCH($C42,chronic_intake_assessment!$C$11:$AY$11,0),(390-12+1),1),3)</f>
        <v>#DIV/0!</v>
      </c>
      <c r="O42" s="625" t="e">
        <f ca="1">IF(N42=0,"",INDEX(chronic_intake_assessment!$C$11:$C$390,MATCH($N42,OFFSET(chronic_intake_assessment!$B$11,0,MATCH($C42,chronic_intake_assessment!$C$11:$AY$11,0),(390-11+1),1),0)))</f>
        <v>#DIV/0!</v>
      </c>
      <c r="P42" s="600" t="e">
        <f>INDEX(chronic_intake_assessment!$A$393:$AY$394,2,MATCH(Results!$B42,chronic_intake_assessment!$A$393:$AY$393,0))</f>
        <v>#DIV/0!</v>
      </c>
      <c r="Q42" s="619" t="e">
        <f>INDEX(chronic_intake_assessment!$J$393:$AY$395,3,MATCH(Results!B42,chronic_intake_assessment!$J$393:$AY$393,0))</f>
        <v>#DIV/0!</v>
      </c>
    </row>
    <row r="43" spans="1:17" ht="12.75" customHeight="1" x14ac:dyDescent="0.2">
      <c r="A43" s="1598"/>
      <c r="B43" s="613" t="e">
        <f>LARGE(chronic_intake_assessment!$J$2:$AY$2,ROW()-ROW($B$15))</f>
        <v>#DIV/0!</v>
      </c>
      <c r="C43" s="1542" t="e">
        <f ca="1">OFFSET(chronic_intake_assessment!$I$1,0,MATCH(B43,chronic_intake_assessment!$J$2:$AY$2,0))</f>
        <v>#DIV/0!</v>
      </c>
      <c r="D43" s="1543"/>
      <c r="E43" s="616" t="e">
        <f ca="1">HLOOKUP(C43,chronic_intake_assessment!$J$1:$AY$4,4,FALSE)</f>
        <v>#DIV/0!</v>
      </c>
      <c r="F43" s="619" t="e">
        <f ca="1">LARGE(OFFSET(chronic_intake_assessment!$B$11,1,MATCH($C43,chronic_intake_assessment!$C$11:$AY$11,0),(390-12+1),1),1)</f>
        <v>#DIV/0!</v>
      </c>
      <c r="G43" s="1546" t="e">
        <f ca="1">INDEX(chronic_intake_assessment!$C$11:$C$390,MATCH($F43,OFFSET(chronic_intake_assessment!$B$11,0,MATCH($C43,chronic_intake_assessment!$C$11:$AY$11,0),(390-11+1),1),0))</f>
        <v>#DIV/0!</v>
      </c>
      <c r="H43" s="1545"/>
      <c r="I43" s="211"/>
      <c r="J43" s="619" t="e">
        <f ca="1">LARGE(OFFSET(chronic_intake_assessment!$B$11,1,MATCH($C43,chronic_intake_assessment!$C$11:$AY$11,0),(390-12+1),1),2)</f>
        <v>#DIV/0!</v>
      </c>
      <c r="K43" s="1544" t="e">
        <f ca="1">INDEX(chronic_intake_assessment!$C$11:$C$390,MATCH($J43,OFFSET(chronic_intake_assessment!$B$11,0,MATCH($C43,chronic_intake_assessment!$C$11:$AY$11,0),(390-11+1),1),0))</f>
        <v>#DIV/0!</v>
      </c>
      <c r="L43" s="1545"/>
      <c r="M43" s="211"/>
      <c r="N43" s="622" t="e">
        <f ca="1">LARGE(OFFSET(chronic_intake_assessment!$B$11,1,MATCH($C43,chronic_intake_assessment!$C$11:$AY$11,0),(390-12+1),1),3)</f>
        <v>#DIV/0!</v>
      </c>
      <c r="O43" s="625" t="e">
        <f ca="1">IF(N43=0,"",INDEX(chronic_intake_assessment!$C$11:$C$390,MATCH($N43,OFFSET(chronic_intake_assessment!$B$11,0,MATCH($C43,chronic_intake_assessment!$C$11:$AY$11,0),(390-11+1),1),0)))</f>
        <v>#DIV/0!</v>
      </c>
      <c r="P43" s="600" t="e">
        <f>INDEX(chronic_intake_assessment!$A$393:$AY$394,2,MATCH(Results!$B43,chronic_intake_assessment!$A$393:$AY$393,0))</f>
        <v>#DIV/0!</v>
      </c>
      <c r="Q43" s="619" t="e">
        <f>INDEX(chronic_intake_assessment!$J$393:$AY$395,3,MATCH(Results!B43,chronic_intake_assessment!$J$393:$AY$393,0))</f>
        <v>#DIV/0!</v>
      </c>
    </row>
    <row r="44" spans="1:17" ht="12.75" customHeight="1" x14ac:dyDescent="0.2">
      <c r="A44" s="1598"/>
      <c r="B44" s="613" t="e">
        <f>LARGE(chronic_intake_assessment!$J$2:$AY$2,ROW()-ROW($B$15))</f>
        <v>#DIV/0!</v>
      </c>
      <c r="C44" s="1542" t="e">
        <f ca="1">OFFSET(chronic_intake_assessment!$I$1,0,MATCH(B44,chronic_intake_assessment!$J$2:$AY$2,0))</f>
        <v>#DIV/0!</v>
      </c>
      <c r="D44" s="1543"/>
      <c r="E44" s="616" t="e">
        <f ca="1">HLOOKUP(C44,chronic_intake_assessment!$J$1:$AY$4,4,FALSE)</f>
        <v>#DIV/0!</v>
      </c>
      <c r="F44" s="619" t="e">
        <f ca="1">LARGE(OFFSET(chronic_intake_assessment!$B$11,1,MATCH($C44,chronic_intake_assessment!$C$11:$AY$11,0),(390-12+1),1),1)</f>
        <v>#DIV/0!</v>
      </c>
      <c r="G44" s="1546" t="e">
        <f ca="1">INDEX(chronic_intake_assessment!$C$11:$C$390,MATCH($F44,OFFSET(chronic_intake_assessment!$B$11,0,MATCH($C44,chronic_intake_assessment!$C$11:$AY$11,0),(390-11+1),1),0))</f>
        <v>#DIV/0!</v>
      </c>
      <c r="H44" s="1545"/>
      <c r="I44" s="211"/>
      <c r="J44" s="619" t="e">
        <f ca="1">LARGE(OFFSET(chronic_intake_assessment!$B$11,1,MATCH($C44,chronic_intake_assessment!$C$11:$AY$11,0),(390-12+1),1),2)</f>
        <v>#DIV/0!</v>
      </c>
      <c r="K44" s="1544" t="e">
        <f ca="1">INDEX(chronic_intake_assessment!$C$11:$C$390,MATCH($J44,OFFSET(chronic_intake_assessment!$B$11,0,MATCH($C44,chronic_intake_assessment!$C$11:$AY$11,0),(390-11+1),1),0))</f>
        <v>#DIV/0!</v>
      </c>
      <c r="L44" s="1545"/>
      <c r="M44" s="211"/>
      <c r="N44" s="622" t="e">
        <f ca="1">LARGE(OFFSET(chronic_intake_assessment!$B$11,1,MATCH($C44,chronic_intake_assessment!$C$11:$AY$11,0),(390-12+1),1),3)</f>
        <v>#DIV/0!</v>
      </c>
      <c r="O44" s="625" t="e">
        <f ca="1">IF(N44=0,"",INDEX(chronic_intake_assessment!$C$11:$C$390,MATCH($N44,OFFSET(chronic_intake_assessment!$B$11,0,MATCH($C44,chronic_intake_assessment!$C$11:$AY$11,0),(390-11+1),1),0)))</f>
        <v>#DIV/0!</v>
      </c>
      <c r="P44" s="600" t="e">
        <f>INDEX(chronic_intake_assessment!$A$393:$AY$394,2,MATCH(Results!$B44,chronic_intake_assessment!$A$393:$AY$393,0))</f>
        <v>#DIV/0!</v>
      </c>
      <c r="Q44" s="619" t="e">
        <f>INDEX(chronic_intake_assessment!$J$393:$AY$395,3,MATCH(Results!B44,chronic_intake_assessment!$J$393:$AY$393,0))</f>
        <v>#DIV/0!</v>
      </c>
    </row>
    <row r="45" spans="1:17" ht="12.75" customHeight="1" x14ac:dyDescent="0.2">
      <c r="A45" s="1598"/>
      <c r="B45" s="613" t="e">
        <f>LARGE(chronic_intake_assessment!$J$2:$AY$2,ROW()-ROW($B$15))</f>
        <v>#DIV/0!</v>
      </c>
      <c r="C45" s="1542" t="e">
        <f ca="1">OFFSET(chronic_intake_assessment!$I$1,0,MATCH(B45,chronic_intake_assessment!$J$2:$AY$2,0))</f>
        <v>#DIV/0!</v>
      </c>
      <c r="D45" s="1543"/>
      <c r="E45" s="616" t="e">
        <f ca="1">HLOOKUP(C45,chronic_intake_assessment!$J$1:$AY$4,4,FALSE)</f>
        <v>#DIV/0!</v>
      </c>
      <c r="F45" s="619" t="e">
        <f ca="1">LARGE(OFFSET(chronic_intake_assessment!$B$11,1,MATCH($C45,chronic_intake_assessment!$C$11:$AY$11,0),(390-12+1),1),1)</f>
        <v>#DIV/0!</v>
      </c>
      <c r="G45" s="1546" t="e">
        <f ca="1">INDEX(chronic_intake_assessment!$C$11:$C$390,MATCH($F45,OFFSET(chronic_intake_assessment!$B$11,0,MATCH($C45,chronic_intake_assessment!$C$11:$AY$11,0),(390-11+1),1),0))</f>
        <v>#DIV/0!</v>
      </c>
      <c r="H45" s="1545"/>
      <c r="I45" s="211"/>
      <c r="J45" s="619" t="e">
        <f ca="1">LARGE(OFFSET(chronic_intake_assessment!$B$11,1,MATCH($C45,chronic_intake_assessment!$C$11:$AY$11,0),(390-12+1),1),2)</f>
        <v>#DIV/0!</v>
      </c>
      <c r="K45" s="1544" t="e">
        <f ca="1">INDEX(chronic_intake_assessment!$C$11:$C$390,MATCH($J45,OFFSET(chronic_intake_assessment!$B$11,0,MATCH($C45,chronic_intake_assessment!$C$11:$AY$11,0),(390-11+1),1),0))</f>
        <v>#DIV/0!</v>
      </c>
      <c r="L45" s="1545"/>
      <c r="M45" s="211"/>
      <c r="N45" s="622" t="e">
        <f ca="1">LARGE(OFFSET(chronic_intake_assessment!$B$11,1,MATCH($C45,chronic_intake_assessment!$C$11:$AY$11,0),(390-12+1),1),3)</f>
        <v>#DIV/0!</v>
      </c>
      <c r="O45" s="625" t="e">
        <f ca="1">IF(N45=0,"",INDEX(chronic_intake_assessment!$C$11:$C$390,MATCH($N45,OFFSET(chronic_intake_assessment!$B$11,0,MATCH($C45,chronic_intake_assessment!$C$11:$AY$11,0),(390-11+1),1),0)))</f>
        <v>#DIV/0!</v>
      </c>
      <c r="P45" s="600" t="e">
        <f>INDEX(chronic_intake_assessment!$A$393:$AY$394,2,MATCH(Results!$B45,chronic_intake_assessment!$A$393:$AY$393,0))</f>
        <v>#DIV/0!</v>
      </c>
      <c r="Q45" s="619" t="e">
        <f>INDEX(chronic_intake_assessment!$J$393:$AY$395,3,MATCH(Results!B45,chronic_intake_assessment!$J$393:$AY$393,0))</f>
        <v>#DIV/0!</v>
      </c>
    </row>
    <row r="46" spans="1:17" ht="12.75" customHeight="1" x14ac:dyDescent="0.2">
      <c r="A46" s="1598"/>
      <c r="B46" s="613" t="e">
        <f>LARGE(chronic_intake_assessment!$J$2:$AY$2,ROW()-ROW($B$15))</f>
        <v>#DIV/0!</v>
      </c>
      <c r="C46" s="1542" t="e">
        <f ca="1">OFFSET(chronic_intake_assessment!$I$1,0,MATCH(B46,chronic_intake_assessment!$J$2:$AY$2,0))</f>
        <v>#DIV/0!</v>
      </c>
      <c r="D46" s="1543"/>
      <c r="E46" s="616" t="e">
        <f ca="1">HLOOKUP(C46,chronic_intake_assessment!$J$1:$AY$4,4,FALSE)</f>
        <v>#DIV/0!</v>
      </c>
      <c r="F46" s="619" t="e">
        <f ca="1">LARGE(OFFSET(chronic_intake_assessment!$B$11,1,MATCH($C46,chronic_intake_assessment!$C$11:$AY$11,0),(390-12+1),1),1)</f>
        <v>#DIV/0!</v>
      </c>
      <c r="G46" s="1546" t="e">
        <f ca="1">INDEX(chronic_intake_assessment!$C$11:$C$390,MATCH($F46,OFFSET(chronic_intake_assessment!$B$11,0,MATCH($C46,chronic_intake_assessment!$C$11:$AY$11,0),(390-11+1),1),0))</f>
        <v>#DIV/0!</v>
      </c>
      <c r="H46" s="1545"/>
      <c r="I46" s="211"/>
      <c r="J46" s="619" t="e">
        <f ca="1">LARGE(OFFSET(chronic_intake_assessment!$B$11,1,MATCH($C46,chronic_intake_assessment!$C$11:$AY$11,0),(390-12+1),1),2)</f>
        <v>#DIV/0!</v>
      </c>
      <c r="K46" s="1544" t="e">
        <f ca="1">INDEX(chronic_intake_assessment!$C$11:$C$390,MATCH($J46,OFFSET(chronic_intake_assessment!$B$11,0,MATCH($C46,chronic_intake_assessment!$C$11:$AY$11,0),(390-11+1),1),0))</f>
        <v>#DIV/0!</v>
      </c>
      <c r="L46" s="1545"/>
      <c r="M46" s="211"/>
      <c r="N46" s="622" t="e">
        <f ca="1">LARGE(OFFSET(chronic_intake_assessment!$B$11,1,MATCH($C46,chronic_intake_assessment!$C$11:$AY$11,0),(390-12+1),1),3)</f>
        <v>#DIV/0!</v>
      </c>
      <c r="O46" s="625" t="e">
        <f ca="1">IF(N46=0,"",INDEX(chronic_intake_assessment!$C$11:$C$390,MATCH($N46,OFFSET(chronic_intake_assessment!$B$11,0,MATCH($C46,chronic_intake_assessment!$C$11:$AY$11,0),(390-11+1),1),0)))</f>
        <v>#DIV/0!</v>
      </c>
      <c r="P46" s="600" t="e">
        <f>INDEX(chronic_intake_assessment!$A$393:$AY$394,2,MATCH(Results!$B46,chronic_intake_assessment!$A$393:$AY$393,0))</f>
        <v>#DIV/0!</v>
      </c>
      <c r="Q46" s="619" t="e">
        <f>INDEX(chronic_intake_assessment!$J$393:$AY$395,3,MATCH(Results!B46,chronic_intake_assessment!$J$393:$AY$393,0))</f>
        <v>#DIV/0!</v>
      </c>
    </row>
    <row r="47" spans="1:17" ht="12.75" customHeight="1" x14ac:dyDescent="0.2">
      <c r="A47" s="1598"/>
      <c r="B47" s="613" t="e">
        <f>LARGE(chronic_intake_assessment!$J$2:$AY$2,ROW()-ROW($B$15))</f>
        <v>#DIV/0!</v>
      </c>
      <c r="C47" s="1542" t="e">
        <f ca="1">OFFSET(chronic_intake_assessment!$I$1,0,MATCH(B47,chronic_intake_assessment!$J$2:$AY$2,0))</f>
        <v>#DIV/0!</v>
      </c>
      <c r="D47" s="1543"/>
      <c r="E47" s="616" t="e">
        <f ca="1">HLOOKUP(C47,chronic_intake_assessment!$J$1:$AY$4,4,FALSE)</f>
        <v>#DIV/0!</v>
      </c>
      <c r="F47" s="619" t="e">
        <f ca="1">LARGE(OFFSET(chronic_intake_assessment!$B$11,1,MATCH($C47,chronic_intake_assessment!$C$11:$AY$11,0),(390-12+1),1),1)</f>
        <v>#DIV/0!</v>
      </c>
      <c r="G47" s="1546" t="e">
        <f ca="1">INDEX(chronic_intake_assessment!$C$11:$C$390,MATCH($F47,OFFSET(chronic_intake_assessment!$B$11,0,MATCH($C47,chronic_intake_assessment!$C$11:$AY$11,0),(390-11+1),1),0))</f>
        <v>#DIV/0!</v>
      </c>
      <c r="H47" s="1545"/>
      <c r="I47" s="211"/>
      <c r="J47" s="619" t="e">
        <f ca="1">LARGE(OFFSET(chronic_intake_assessment!$B$11,1,MATCH($C47,chronic_intake_assessment!$C$11:$AY$11,0),(390-12+1),1),2)</f>
        <v>#DIV/0!</v>
      </c>
      <c r="K47" s="1544" t="e">
        <f ca="1">INDEX(chronic_intake_assessment!$C$11:$C$390,MATCH($J47,OFFSET(chronic_intake_assessment!$B$11,0,MATCH($C47,chronic_intake_assessment!$C$11:$AY$11,0),(390-11+1),1),0))</f>
        <v>#DIV/0!</v>
      </c>
      <c r="L47" s="1545"/>
      <c r="M47" s="211"/>
      <c r="N47" s="622" t="e">
        <f ca="1">LARGE(OFFSET(chronic_intake_assessment!$B$11,1,MATCH($C47,chronic_intake_assessment!$C$11:$AY$11,0),(390-12+1),1),3)</f>
        <v>#DIV/0!</v>
      </c>
      <c r="O47" s="625" t="e">
        <f ca="1">IF(N47=0,"",INDEX(chronic_intake_assessment!$C$11:$C$390,MATCH($N47,OFFSET(chronic_intake_assessment!$B$11,0,MATCH($C47,chronic_intake_assessment!$C$11:$AY$11,0),(390-11+1),1),0)))</f>
        <v>#DIV/0!</v>
      </c>
      <c r="P47" s="600" t="e">
        <f>INDEX(chronic_intake_assessment!$A$393:$AY$394,2,MATCH(Results!$B47,chronic_intake_assessment!$A$393:$AY$393,0))</f>
        <v>#DIV/0!</v>
      </c>
      <c r="Q47" s="619" t="e">
        <f>INDEX(chronic_intake_assessment!$J$393:$AY$395,3,MATCH(Results!B47,chronic_intake_assessment!$J$393:$AY$393,0))</f>
        <v>#DIV/0!</v>
      </c>
    </row>
    <row r="48" spans="1:17" ht="12" customHeight="1" x14ac:dyDescent="0.2">
      <c r="A48" s="1598"/>
      <c r="B48" s="613" t="e">
        <f>LARGE(chronic_intake_assessment!$J$2:$AY$2,ROW()-ROW($B$15))</f>
        <v>#DIV/0!</v>
      </c>
      <c r="C48" s="1542" t="e">
        <f ca="1">OFFSET(chronic_intake_assessment!$I$1,0,MATCH(B48,chronic_intake_assessment!$J$2:$AY$2,0))</f>
        <v>#DIV/0!</v>
      </c>
      <c r="D48" s="1543"/>
      <c r="E48" s="616" t="e">
        <f ca="1">HLOOKUP(C48,chronic_intake_assessment!$J$1:$AY$4,4,FALSE)</f>
        <v>#DIV/0!</v>
      </c>
      <c r="F48" s="619" t="e">
        <f ca="1">LARGE(OFFSET(chronic_intake_assessment!$B$11,1,MATCH($C48,chronic_intake_assessment!$C$11:$AY$11,0),(390-12+1),1),1)</f>
        <v>#DIV/0!</v>
      </c>
      <c r="G48" s="1546" t="e">
        <f ca="1">INDEX(chronic_intake_assessment!$C$11:$C$390,MATCH($F48,OFFSET(chronic_intake_assessment!$B$11,0,MATCH($C48,chronic_intake_assessment!$C$11:$AY$11,0),(390-11+1),1),0))</f>
        <v>#DIV/0!</v>
      </c>
      <c r="H48" s="1545"/>
      <c r="I48" s="211"/>
      <c r="J48" s="619" t="e">
        <f ca="1">LARGE(OFFSET(chronic_intake_assessment!$B$11,1,MATCH($C48,chronic_intake_assessment!$C$11:$AY$11,0),(390-12+1),1),2)</f>
        <v>#DIV/0!</v>
      </c>
      <c r="K48" s="1544" t="e">
        <f ca="1">INDEX(chronic_intake_assessment!$C$11:$C$390,MATCH($J48,OFFSET(chronic_intake_assessment!$B$11,0,MATCH($C48,chronic_intake_assessment!$C$11:$AY$11,0),(390-11+1),1),0))</f>
        <v>#DIV/0!</v>
      </c>
      <c r="L48" s="1545"/>
      <c r="M48" s="211"/>
      <c r="N48" s="622" t="e">
        <f ca="1">LARGE(OFFSET(chronic_intake_assessment!$B$11,1,MATCH($C48,chronic_intake_assessment!$C$11:$AY$11,0),(390-12+1),1),3)</f>
        <v>#DIV/0!</v>
      </c>
      <c r="O48" s="625" t="e">
        <f ca="1">IF(N48=0,"",INDEX(chronic_intake_assessment!$C$11:$C$390,MATCH($N48,OFFSET(chronic_intake_assessment!$B$11,0,MATCH($C48,chronic_intake_assessment!$C$11:$AY$11,0),(390-11+1),1),0)))</f>
        <v>#DIV/0!</v>
      </c>
      <c r="P48" s="600" t="e">
        <f>INDEX(chronic_intake_assessment!$A$393:$AY$394,2,MATCH(Results!$B48,chronic_intake_assessment!$A$393:$AY$393,0))</f>
        <v>#DIV/0!</v>
      </c>
      <c r="Q48" s="619" t="e">
        <f>INDEX(chronic_intake_assessment!$J$393:$AY$395,3,MATCH(Results!B48,chronic_intake_assessment!$J$393:$AY$393,0))</f>
        <v>#DIV/0!</v>
      </c>
    </row>
    <row r="49" spans="1:20" ht="12" customHeight="1" x14ac:dyDescent="0.2">
      <c r="A49" s="1598"/>
      <c r="B49" s="613" t="e">
        <f>LARGE(chronic_intake_assessment!$J$2:$AY$2,ROW()-ROW($B$15))</f>
        <v>#DIV/0!</v>
      </c>
      <c r="C49" s="1542" t="e">
        <f ca="1">OFFSET(chronic_intake_assessment!$I$1,0,MATCH(B49,chronic_intake_assessment!$J$2:$AY$2,0))</f>
        <v>#DIV/0!</v>
      </c>
      <c r="D49" s="1543"/>
      <c r="E49" s="616" t="e">
        <f ca="1">HLOOKUP(C49,chronic_intake_assessment!$J$1:$AY$4,4,FALSE)</f>
        <v>#DIV/0!</v>
      </c>
      <c r="F49" s="619" t="e">
        <f ca="1">LARGE(OFFSET(chronic_intake_assessment!$B$11,1,MATCH($C49,chronic_intake_assessment!$C$11:$AY$11,0),(390-12+1),1),1)</f>
        <v>#DIV/0!</v>
      </c>
      <c r="G49" s="1546" t="e">
        <f ca="1">INDEX(chronic_intake_assessment!$C$11:$C$390,MATCH($F49,OFFSET(chronic_intake_assessment!$B$11,0,MATCH($C49,chronic_intake_assessment!$C$11:$AY$11,0),(390-11+1),1),0))</f>
        <v>#DIV/0!</v>
      </c>
      <c r="H49" s="1545"/>
      <c r="I49" s="211"/>
      <c r="J49" s="619" t="e">
        <f ca="1">LARGE(OFFSET(chronic_intake_assessment!$B$11,1,MATCH($C49,chronic_intake_assessment!$C$11:$AY$11,0),(390-12+1),1),2)</f>
        <v>#DIV/0!</v>
      </c>
      <c r="K49" s="1544" t="e">
        <f ca="1">INDEX(chronic_intake_assessment!$C$11:$C$390,MATCH($J49,OFFSET(chronic_intake_assessment!$B$11,0,MATCH($C49,chronic_intake_assessment!$C$11:$AY$11,0),(390-11+1),1),0))</f>
        <v>#DIV/0!</v>
      </c>
      <c r="L49" s="1545"/>
      <c r="M49" s="211"/>
      <c r="N49" s="622" t="e">
        <f ca="1">LARGE(OFFSET(chronic_intake_assessment!$B$11,1,MATCH($C49,chronic_intake_assessment!$C$11:$AY$11,0),(390-12+1),1),3)</f>
        <v>#DIV/0!</v>
      </c>
      <c r="O49" s="625" t="e">
        <f ca="1">IF(N49=0,"",INDEX(chronic_intake_assessment!$C$11:$C$390,MATCH($N49,OFFSET(chronic_intake_assessment!$B$11,0,MATCH($C49,chronic_intake_assessment!$C$11:$AY$11,0),(390-11+1),1),0)))</f>
        <v>#DIV/0!</v>
      </c>
      <c r="P49" s="600" t="e">
        <f>INDEX(chronic_intake_assessment!$A$393:$AY$394,2,MATCH(Results!$B49,chronic_intake_assessment!$A$393:$AY$393,0))</f>
        <v>#DIV/0!</v>
      </c>
      <c r="Q49" s="619" t="e">
        <f>INDEX(chronic_intake_assessment!$J$393:$AY$395,3,MATCH(Results!B49,chronic_intake_assessment!$J$393:$AY$393,0))</f>
        <v>#DIV/0!</v>
      </c>
    </row>
    <row r="50" spans="1:20" ht="12" customHeight="1" x14ac:dyDescent="0.2">
      <c r="A50" s="1598"/>
      <c r="B50" s="613" t="e">
        <f>LARGE(chronic_intake_assessment!$J$2:$AY$2,ROW()-ROW($B$15))</f>
        <v>#DIV/0!</v>
      </c>
      <c r="C50" s="1542" t="e">
        <f ca="1">OFFSET(chronic_intake_assessment!$I$1,0,MATCH(B50,chronic_intake_assessment!$J$2:$AY$2,0))</f>
        <v>#DIV/0!</v>
      </c>
      <c r="D50" s="1543"/>
      <c r="E50" s="616" t="e">
        <f ca="1">HLOOKUP(C50,chronic_intake_assessment!$J$1:$AY$4,4,FALSE)</f>
        <v>#DIV/0!</v>
      </c>
      <c r="F50" s="619" t="e">
        <f ca="1">LARGE(OFFSET(chronic_intake_assessment!$B$11,1,MATCH($C50,chronic_intake_assessment!$C$11:$AY$11,0),(390-12+1),1),1)</f>
        <v>#DIV/0!</v>
      </c>
      <c r="G50" s="1546" t="e">
        <f ca="1">INDEX(chronic_intake_assessment!$C$11:$C$390,MATCH($F50,OFFSET(chronic_intake_assessment!$B$11,0,MATCH($C50,chronic_intake_assessment!$C$11:$AY$11,0),(390-11+1),1),0))</f>
        <v>#DIV/0!</v>
      </c>
      <c r="H50" s="1545"/>
      <c r="I50" s="211"/>
      <c r="J50" s="619" t="e">
        <f ca="1">LARGE(OFFSET(chronic_intake_assessment!$B$11,1,MATCH($C50,chronic_intake_assessment!$C$11:$AY$11,0),(390-12+1),1),2)</f>
        <v>#DIV/0!</v>
      </c>
      <c r="K50" s="1544" t="e">
        <f ca="1">INDEX(chronic_intake_assessment!$C$11:$C$390,MATCH($J50,OFFSET(chronic_intake_assessment!$B$11,0,MATCH($C50,chronic_intake_assessment!$C$11:$AY$11,0),(390-11+1),1),0))</f>
        <v>#DIV/0!</v>
      </c>
      <c r="L50" s="1545"/>
      <c r="M50" s="211"/>
      <c r="N50" s="622" t="e">
        <f ca="1">LARGE(OFFSET(chronic_intake_assessment!$B$11,1,MATCH($C50,chronic_intake_assessment!$C$11:$AY$11,0),(390-12+1),1),3)</f>
        <v>#DIV/0!</v>
      </c>
      <c r="O50" s="625" t="e">
        <f ca="1">IF(N50=0,"",INDEX(chronic_intake_assessment!$C$11:$C$390,MATCH($N50,OFFSET(chronic_intake_assessment!$B$11,0,MATCH($C50,chronic_intake_assessment!$C$11:$AY$11,0),(390-11+1),1),0)))</f>
        <v>#DIV/0!</v>
      </c>
      <c r="P50" s="600" t="e">
        <f>INDEX(chronic_intake_assessment!$A$393:$AY$394,2,MATCH(Results!$B50,chronic_intake_assessment!$A$393:$AY$393,0))</f>
        <v>#DIV/0!</v>
      </c>
      <c r="Q50" s="619" t="e">
        <f>INDEX(chronic_intake_assessment!$J$393:$AY$395,3,MATCH(Results!B50,chronic_intake_assessment!$J$393:$AY$393,0))</f>
        <v>#DIV/0!</v>
      </c>
    </row>
    <row r="51" spans="1:20" ht="12" customHeight="1" x14ac:dyDescent="0.2">
      <c r="A51" s="1598"/>
      <c r="B51" s="613" t="e">
        <f>LARGE(chronic_intake_assessment!$J$2:$AY$2,ROW()-ROW($B$15))</f>
        <v>#DIV/0!</v>
      </c>
      <c r="C51" s="1542" t="e">
        <f ca="1">OFFSET(chronic_intake_assessment!$I$1,0,MATCH(B51,chronic_intake_assessment!$J$2:$AY$2,0))</f>
        <v>#DIV/0!</v>
      </c>
      <c r="D51" s="1543"/>
      <c r="E51" s="616" t="e">
        <f ca="1">HLOOKUP(C51,chronic_intake_assessment!$J$1:$AY$4,4,FALSE)</f>
        <v>#DIV/0!</v>
      </c>
      <c r="F51" s="619" t="e">
        <f ca="1">LARGE(OFFSET(chronic_intake_assessment!$B$11,1,MATCH($C51,chronic_intake_assessment!$C$11:$AY$11,0),(390-12+1),1),1)</f>
        <v>#DIV/0!</v>
      </c>
      <c r="G51" s="1546" t="e">
        <f ca="1">INDEX(chronic_intake_assessment!$C$11:$C$390,MATCH($F51,OFFSET(chronic_intake_assessment!$B$11,0,MATCH($C51,chronic_intake_assessment!$C$11:$AY$11,0),(390-11+1),1),0))</f>
        <v>#DIV/0!</v>
      </c>
      <c r="H51" s="1545"/>
      <c r="I51" s="211"/>
      <c r="J51" s="619" t="e">
        <f ca="1">LARGE(OFFSET(chronic_intake_assessment!$B$11,1,MATCH($C51,chronic_intake_assessment!$C$11:$AY$11,0),(390-12+1),1),2)</f>
        <v>#DIV/0!</v>
      </c>
      <c r="K51" s="1544" t="e">
        <f ca="1">INDEX(chronic_intake_assessment!$C$11:$C$390,MATCH($J51,OFFSET(chronic_intake_assessment!$B$11,0,MATCH($C51,chronic_intake_assessment!$C$11:$AY$11,0),(390-11+1),1),0))</f>
        <v>#DIV/0!</v>
      </c>
      <c r="L51" s="1545"/>
      <c r="M51" s="211"/>
      <c r="N51" s="622" t="e">
        <f ca="1">LARGE(OFFSET(chronic_intake_assessment!$B$11,1,MATCH($C51,chronic_intake_assessment!$C$11:$AY$11,0),(390-12+1),1),3)</f>
        <v>#DIV/0!</v>
      </c>
      <c r="O51" s="625" t="e">
        <f ca="1">IF(N51=0,"",INDEX(chronic_intake_assessment!$C$11:$C$390,MATCH($N51,OFFSET(chronic_intake_assessment!$B$11,0,MATCH($C51,chronic_intake_assessment!$C$11:$AY$11,0),(390-11+1),1),0)))</f>
        <v>#DIV/0!</v>
      </c>
      <c r="P51" s="600" t="e">
        <f>INDEX(chronic_intake_assessment!$A$393:$AY$394,2,MATCH(Results!$B51,chronic_intake_assessment!$A$393:$AY$393,0))</f>
        <v>#DIV/0!</v>
      </c>
      <c r="Q51" s="619" t="e">
        <f>INDEX(chronic_intake_assessment!$J$393:$AY$395,3,MATCH(Results!B51,chronic_intake_assessment!$J$393:$AY$393,0))</f>
        <v>#DIV/0!</v>
      </c>
    </row>
    <row r="52" spans="1:20" x14ac:dyDescent="0.2">
      <c r="A52" s="1599"/>
      <c r="B52" s="614"/>
      <c r="C52" s="1538"/>
      <c r="D52" s="1539"/>
      <c r="E52" s="617"/>
      <c r="F52" s="620"/>
      <c r="G52" s="1564"/>
      <c r="H52" s="1565"/>
      <c r="I52" s="439"/>
      <c r="J52" s="620"/>
      <c r="K52" s="1587"/>
      <c r="L52" s="1565"/>
      <c r="M52" s="439"/>
      <c r="N52" s="623"/>
      <c r="O52" s="626"/>
      <c r="P52" s="600"/>
      <c r="Q52" s="620"/>
    </row>
    <row r="53" spans="1:20" x14ac:dyDescent="0.2">
      <c r="A53" s="213"/>
      <c r="B53" s="1540" t="s">
        <v>39</v>
      </c>
      <c r="C53" s="1541"/>
      <c r="D53" s="1541"/>
      <c r="E53" s="1541"/>
      <c r="F53" s="1541"/>
      <c r="G53" s="1541"/>
      <c r="H53" s="214"/>
      <c r="I53" s="215"/>
      <c r="J53" s="216"/>
      <c r="K53" s="217"/>
      <c r="L53" s="214"/>
      <c r="M53" s="215"/>
      <c r="N53" s="216"/>
      <c r="O53" s="214"/>
      <c r="P53" s="214"/>
      <c r="Q53" s="218"/>
    </row>
    <row r="54" spans="1:20" ht="40.5" customHeight="1" x14ac:dyDescent="0.2">
      <c r="A54" s="219"/>
      <c r="B54" s="1569" t="str">
        <f>IF($J$14=0,CONCATENATE("The estimated long-term dietary intake (TMDI/NEDI/IEDI) was below the ADI. 
The long-term intake of residues of  ",$F$2," is unlikely to present a public health concern."),CONCATENATE("The estimated TMDI/NEDI/IEDI was in the range of ",$I$13*100," % to ",$J$13*100," % of the ADI. 
For ",$J$14," diet(s) the ADI is exceeded. "))</f>
        <v>The estimated long-term dietary intake (TMDI/NEDI/IEDI) was below the ADI. 
The long-term intake of residues of   is unlikely to present a public health concern.</v>
      </c>
      <c r="C54" s="1570"/>
      <c r="D54" s="1570"/>
      <c r="E54" s="1570"/>
      <c r="F54" s="1570"/>
      <c r="G54" s="1570"/>
      <c r="H54" s="1570"/>
      <c r="I54" s="1570"/>
      <c r="J54" s="1570"/>
      <c r="K54" s="1570"/>
      <c r="L54" s="1570"/>
      <c r="M54" s="1570"/>
      <c r="N54" s="1570"/>
      <c r="O54" s="1570"/>
      <c r="P54" s="1570"/>
      <c r="Q54" s="1571"/>
    </row>
    <row r="55" spans="1:20" ht="13.5" customHeight="1" x14ac:dyDescent="0.2">
      <c r="A55" s="220"/>
      <c r="B55" s="206"/>
      <c r="C55" s="1566"/>
      <c r="D55" s="1566"/>
      <c r="E55" s="221"/>
      <c r="F55" s="222"/>
      <c r="G55" s="1560"/>
      <c r="H55" s="1560"/>
      <c r="I55" s="1561"/>
      <c r="J55" s="222"/>
      <c r="K55" s="1560"/>
      <c r="L55" s="1560"/>
      <c r="M55" s="1560"/>
      <c r="N55" s="222"/>
      <c r="O55" s="1572"/>
      <c r="P55" s="1572"/>
      <c r="Q55" s="222"/>
    </row>
    <row r="56" spans="1:20" ht="12.75" hidden="1" customHeight="1" x14ac:dyDescent="0.2">
      <c r="A56" s="207"/>
      <c r="D56" s="72"/>
      <c r="E56" s="72"/>
      <c r="F56" s="223"/>
      <c r="G56" s="72"/>
      <c r="H56" s="72"/>
      <c r="I56" s="72"/>
      <c r="J56" s="222"/>
      <c r="N56" s="222"/>
      <c r="Q56" s="202"/>
    </row>
    <row r="57" spans="1:20" s="227" customFormat="1" ht="69" customHeight="1" x14ac:dyDescent="0.2">
      <c r="A57" s="224"/>
      <c r="B57" s="1585" t="s">
        <v>87</v>
      </c>
      <c r="C57" s="1585"/>
      <c r="D57" s="1585"/>
      <c r="E57" s="1585"/>
      <c r="F57" s="1585" t="s">
        <v>88</v>
      </c>
      <c r="G57" s="1585"/>
      <c r="H57" s="1585"/>
      <c r="I57" s="1586"/>
      <c r="J57" s="1573" t="s">
        <v>87</v>
      </c>
      <c r="K57" s="1574"/>
      <c r="L57" s="1574"/>
      <c r="M57" s="1574"/>
      <c r="N57" s="1573" t="s">
        <v>88</v>
      </c>
      <c r="O57" s="1574"/>
      <c r="P57" s="1574"/>
      <c r="Q57" s="1575"/>
      <c r="R57" s="225"/>
      <c r="S57" s="226"/>
    </row>
    <row r="58" spans="1:20" x14ac:dyDescent="0.2">
      <c r="B58" s="228"/>
      <c r="C58" s="228"/>
      <c r="D58" s="228"/>
      <c r="E58" s="228"/>
      <c r="F58" s="228"/>
      <c r="G58" s="228"/>
      <c r="J58" s="740"/>
      <c r="K58" s="741"/>
      <c r="L58" s="741"/>
      <c r="M58" s="741"/>
      <c r="N58" s="741"/>
      <c r="O58" s="741"/>
      <c r="P58" s="741"/>
      <c r="Q58" s="742"/>
    </row>
    <row r="59" spans="1:20" x14ac:dyDescent="0.2">
      <c r="B59" s="228" t="str">
        <f>IF(K6="not necessary","As an ARfD is not necessary/not applicable, no acute risk assessment is performed.",IF(K6="not assessed", "The acute risk assessment is based on the ADI, since acute effects have not been assessed.","The acute risk assessment is based on the ARfD."))</f>
        <v>The acute risk assessment is based on the ARfD.</v>
      </c>
      <c r="C59" s="228"/>
      <c r="D59" s="228"/>
      <c r="E59" s="228"/>
      <c r="F59" s="228"/>
      <c r="G59" s="228"/>
      <c r="J59" s="842" t="s">
        <v>1061</v>
      </c>
      <c r="K59" s="743"/>
      <c r="L59" s="743"/>
      <c r="M59" s="743"/>
      <c r="N59" s="743"/>
      <c r="O59" s="743"/>
      <c r="P59" s="743"/>
      <c r="Q59" s="744"/>
    </row>
    <row r="60" spans="1:20" ht="51.6" customHeight="1" x14ac:dyDescent="0.2">
      <c r="B60" s="1590" t="str">
        <f>IF(K6&lt;&gt;"not necessary",CONCATENATE("The calculation is based on the large portion of the most critical consumer group."),"")</f>
        <v>The calculation is based on the large portion of the most critical consumer group.</v>
      </c>
      <c r="C60" s="1590"/>
      <c r="D60" s="1590"/>
      <c r="E60" s="1590"/>
      <c r="F60" s="1590"/>
      <c r="G60" s="1590"/>
      <c r="H60" s="1590"/>
      <c r="I60" s="1590"/>
      <c r="J60" s="1582" t="s">
        <v>1062</v>
      </c>
      <c r="K60" s="1583"/>
      <c r="L60" s="1583"/>
      <c r="M60" s="1583"/>
      <c r="N60" s="1583"/>
      <c r="O60" s="1583"/>
      <c r="P60" s="1583"/>
      <c r="Q60" s="1584"/>
    </row>
    <row r="61" spans="1:20" ht="16.899999999999999" hidden="1" customHeight="1" x14ac:dyDescent="0.2">
      <c r="B61" s="1581" t="s">
        <v>1059</v>
      </c>
      <c r="C61" s="1581"/>
      <c r="D61" s="1581"/>
      <c r="E61" s="1581"/>
      <c r="F61" s="1581"/>
      <c r="G61" s="1581"/>
      <c r="H61" s="1581"/>
      <c r="I61" s="1581"/>
      <c r="J61" s="1582"/>
      <c r="K61" s="1583"/>
      <c r="L61" s="1583"/>
      <c r="M61" s="1583"/>
      <c r="N61" s="1583"/>
      <c r="O61" s="1583"/>
      <c r="P61" s="1583"/>
      <c r="Q61" s="1584"/>
    </row>
    <row r="62" spans="1:20" ht="33.6" customHeight="1" x14ac:dyDescent="0.2">
      <c r="B62" s="1567" t="s">
        <v>1890</v>
      </c>
      <c r="C62" s="1568"/>
      <c r="D62" s="1568"/>
      <c r="E62" s="1568"/>
      <c r="F62" s="1568"/>
      <c r="G62" s="1568"/>
      <c r="H62" s="1568"/>
      <c r="I62" s="1568"/>
      <c r="J62" s="928"/>
      <c r="K62" s="929"/>
      <c r="L62" s="929"/>
      <c r="M62" s="929"/>
      <c r="N62" s="929"/>
      <c r="O62" s="929"/>
      <c r="P62" s="929"/>
      <c r="Q62" s="930"/>
      <c r="T62" s="29" t="s">
        <v>1056</v>
      </c>
    </row>
    <row r="63" spans="1:20" ht="47.45" customHeight="1" x14ac:dyDescent="0.2">
      <c r="A63" s="1522" t="s">
        <v>37</v>
      </c>
      <c r="B63" s="1535" t="s">
        <v>978</v>
      </c>
      <c r="C63" s="1533"/>
      <c r="D63" s="851"/>
      <c r="E63" s="229" t="str">
        <f>IF(COUNTIF(acute_overview_children!$AA$12:$AA$390,"&gt;1")&gt;0,COUNTIF(acute_overview_children!$AA$12:$AA$390,"&gt;1"),"---")</f>
        <v>---</v>
      </c>
      <c r="F63" s="1536" t="s">
        <v>979</v>
      </c>
      <c r="G63" s="1537"/>
      <c r="H63" s="852"/>
      <c r="I63" s="229" t="str">
        <f>IF(COUNTIF(acute_overview_adults!$AA$12:$AA$390,"&gt;1")&gt;0,COUNTIF(acute_overview_adults!$AA$12:$AA$390,"&gt;1"),"---")</f>
        <v>---</v>
      </c>
      <c r="J63" s="1529" t="s">
        <v>1033</v>
      </c>
      <c r="K63" s="1530"/>
      <c r="L63" s="1239"/>
      <c r="M63" s="746" t="str">
        <f>IF(COUNTIF(acute_overview_children!$AD$12:$AD$390,"&gt;1")&gt;0,COUNTIF(acute_overview_children!$AD$12:$AD$390,"&gt;1"),"---")</f>
        <v>---</v>
      </c>
      <c r="N63" s="1529" t="s">
        <v>1034</v>
      </c>
      <c r="O63" s="1530"/>
      <c r="P63" s="1240"/>
      <c r="Q63" s="747" t="str">
        <f>IF(COUNTIF(acute_overview_adults!$AD$12:$AD$390,"&gt;1")&gt;0,COUNTIF(acute_overview_adults!$AD$12:$AD$390,"&gt;1"),"---")</f>
        <v>---</v>
      </c>
      <c r="T63" s="29" t="s">
        <v>1057</v>
      </c>
    </row>
    <row r="64" spans="1:20" ht="22.5" customHeight="1" x14ac:dyDescent="0.2">
      <c r="A64" s="1523"/>
      <c r="B64" s="230" t="s">
        <v>304</v>
      </c>
      <c r="C64" s="231"/>
      <c r="D64" s="231"/>
      <c r="E64" s="231"/>
      <c r="F64" s="230" t="s">
        <v>304</v>
      </c>
      <c r="G64" s="231"/>
      <c r="H64" s="231"/>
      <c r="I64" s="232"/>
      <c r="J64" s="748" t="s">
        <v>302</v>
      </c>
      <c r="K64" s="749"/>
      <c r="L64" s="749"/>
      <c r="M64" s="750"/>
      <c r="N64" s="748" t="s">
        <v>302</v>
      </c>
      <c r="O64" s="749"/>
      <c r="P64" s="751"/>
      <c r="Q64" s="751"/>
    </row>
    <row r="65" spans="1:26" ht="36" customHeight="1" x14ac:dyDescent="0.2">
      <c r="A65" s="1523"/>
      <c r="B65" s="249" t="s">
        <v>16</v>
      </c>
      <c r="C65" s="197" t="s">
        <v>15</v>
      </c>
      <c r="D65" s="251" t="s">
        <v>336</v>
      </c>
      <c r="E65" s="849" t="s">
        <v>875</v>
      </c>
      <c r="F65" s="694" t="s">
        <v>16</v>
      </c>
      <c r="G65" s="688" t="s">
        <v>15</v>
      </c>
      <c r="H65" s="721" t="s">
        <v>336</v>
      </c>
      <c r="I65" s="232" t="s">
        <v>875</v>
      </c>
      <c r="J65" s="752" t="s">
        <v>16</v>
      </c>
      <c r="K65" s="753" t="s">
        <v>15</v>
      </c>
      <c r="L65" s="749" t="s">
        <v>615</v>
      </c>
      <c r="M65" s="750" t="s">
        <v>875</v>
      </c>
      <c r="N65" s="749" t="s">
        <v>16</v>
      </c>
      <c r="O65" s="754" t="s">
        <v>15</v>
      </c>
      <c r="P65" s="749" t="s">
        <v>336</v>
      </c>
      <c r="Q65" s="750" t="s">
        <v>875</v>
      </c>
      <c r="S65" s="1175" t="s">
        <v>1149</v>
      </c>
      <c r="T65" s="1175" t="s">
        <v>1148</v>
      </c>
      <c r="U65" s="1175" t="s">
        <v>1153</v>
      </c>
      <c r="V65" s="1175" t="s">
        <v>1154</v>
      </c>
      <c r="W65" s="1175" t="s">
        <v>1149</v>
      </c>
      <c r="X65" s="1175" t="s">
        <v>1148</v>
      </c>
      <c r="Y65" s="1175" t="s">
        <v>1153</v>
      </c>
      <c r="Z65" s="1175" t="s">
        <v>1154</v>
      </c>
    </row>
    <row r="66" spans="1:26" s="43" customFormat="1" ht="12" customHeight="1" x14ac:dyDescent="0.2">
      <c r="A66" s="1523"/>
      <c r="B66" s="578">
        <f>IF($K$6="not necessary",0,LARGE(acute_overview_children!$AA$14:$AA$391,ROW()-(ROW($B$65))))</f>
        <v>0</v>
      </c>
      <c r="C66" s="233" t="str">
        <f>IF(Results!B66&gt;0,INDEX(acute_overview_children!$A$12:$AH$391,MATCH(Results!B66,acute_overview_children!$AA$12:$AA$391,0),3),"")</f>
        <v/>
      </c>
      <c r="D66" s="234">
        <f>IF(B66=0,0,CONCATENATE(ROUND(VLOOKUP(C66,acute_overview_children!$C$12:$AH$391,3,FALSE),2)," / ",ROUND(VLOOKUP(C66,acute_overview_children!$C$12:$AH$391,4,FALSE),2)))</f>
        <v>0</v>
      </c>
      <c r="E66" s="234" t="str">
        <f>IF(B66&gt;0,VLOOKUP(C66,acute_overview_children!$C$12:$AH$391,24,FALSE)*1000,"")</f>
        <v/>
      </c>
      <c r="F66" s="723">
        <f>IF($K$6="not necessary",0,LARGE(acute_overview_adults!$AA$14:$AA$391,ROW()-(ROW($B$65))))</f>
        <v>0</v>
      </c>
      <c r="G66" s="233" t="str">
        <f>IF(F66&gt;0,INDEX(acute_overview_adults!$A$12:$AH$391,MATCH(F66,acute_overview_adults!$AA$12:$AA$391,0),3),"")</f>
        <v/>
      </c>
      <c r="H66" s="234">
        <f>IF(F66=0,0,CONCATENATE(ROUND(VLOOKUP(G66,acute_overview_adults!$C$12:$AH$391,3,FALSE),2)," / ",ROUND(VLOOKUP(G66,acute_overview_adults!$C$12:$AH$391,4,FALSE),2)))</f>
        <v>0</v>
      </c>
      <c r="I66" s="235" t="str">
        <f>IF(F66&gt;0,VLOOKUP(G66,acute_overview_adults!$C$12:$AH$391,24,FALSE)*1000,"")</f>
        <v/>
      </c>
      <c r="J66" s="766">
        <f>IF($K$6="not necessary",0,LARGE(acute_overview_children!$AD$14:$AD$391,ROW()-ROW($B$65)))</f>
        <v>0</v>
      </c>
      <c r="K66" s="745" t="str">
        <f>IF(J66&gt;0,INDEX(acute_overview_children!$A$12:$AH$391,MATCH(J66,acute_overview_children!$AD$12:$AD$391,0),3),"")</f>
        <v/>
      </c>
      <c r="L66" s="755">
        <f>IF(J66=0,0,CONCATENATE(ROUND(VLOOKUP(K66,acute_overview_children!$C$12:$AH$391,3,FALSE),2)," / ",ROUND(VLOOKUP(K66,acute_overview_children!$C$12:$AH$391,6,FALSE),2)))</f>
        <v>0</v>
      </c>
      <c r="M66" s="755" t="str">
        <f>IF(J66&gt;0,VLOOKUP(K66,acute_overview_children!$C$12:$AH$391,27,FALSE)*1000,"")</f>
        <v/>
      </c>
      <c r="N66" s="766">
        <f>IF($K$6="not necessary",0,LARGE(acute_overview_adults!$AD$14:$AD$391,ROW()-ROW($F$65)))</f>
        <v>0</v>
      </c>
      <c r="O66" s="756" t="str">
        <f>IF(Results!N66&gt;0,INDEX(acute_overview_adults!$A$12:$AH$391,MATCH(Results!N66,acute_overview_adults!$AD$12:$AD$391,0),3),"")</f>
        <v/>
      </c>
      <c r="P66" s="757">
        <f>IF(N66=0,0,CONCATENATE(ROUND(VLOOKUP(O66,acute_overview_adults!$C$12:$AH$391,3,FALSE),2)," / ",ROUND(VLOOKUP(O66,acute_overview_adults!$C$12:$AH$391,6,FALSE),2)))</f>
        <v>0</v>
      </c>
      <c r="Q66" s="755" t="str">
        <f>IF(N66&gt;0,VLOOKUP(O66,acute_overview_adults!$C$12:$AH$391,27,FALSE)*1000,"")</f>
        <v/>
      </c>
      <c r="S66" s="1161">
        <f>IF(B66&lt;=1,0,MATCH(C66,$G$66:$G$224,0))</f>
        <v>0</v>
      </c>
      <c r="T66" s="1161">
        <f>IF(S66=0,0,IF(S66&lt;=$V$226,1,0))</f>
        <v>0</v>
      </c>
      <c r="U66" s="1161">
        <f>IF(B66&lt;=1,0,1)</f>
        <v>0</v>
      </c>
      <c r="V66" s="1161">
        <f>IF(F66&lt;=1,0,1)</f>
        <v>0</v>
      </c>
      <c r="W66" s="1163">
        <f>IF(J66&lt;=1,0,MATCH(K66,$O$66:$O$224,0))</f>
        <v>0</v>
      </c>
      <c r="X66" s="1163">
        <f>IF(W66=0,0,IF(W66&lt;=$Z$226,1,0))</f>
        <v>0</v>
      </c>
      <c r="Y66" s="1163">
        <f>IF(J66&lt;=1,0,1)</f>
        <v>0</v>
      </c>
      <c r="Z66" s="1163">
        <f>IF(N66&lt;=1,0,1)</f>
        <v>0</v>
      </c>
    </row>
    <row r="67" spans="1:26" s="43" customFormat="1" ht="12" customHeight="1" x14ac:dyDescent="0.2">
      <c r="A67" s="1523"/>
      <c r="B67" s="546">
        <f>IF($K$6="not necessary",0,LARGE(acute_overview_children!$AA$14:$AA$391,ROW()-(ROW($B$65))))</f>
        <v>0</v>
      </c>
      <c r="C67" s="237" t="str">
        <f>IF(Results!B67&gt;0,INDEX(acute_overview_children!$A$12:$AH$391,MATCH(Results!B67,acute_overview_children!$AA$12:$AA$391,0),3),"")</f>
        <v/>
      </c>
      <c r="D67" s="238">
        <f>IF(B67=0,0,CONCATENATE(ROUND(VLOOKUP(C67,acute_overview_children!$C$12:$AH$391,3,FALSE),2)," / ",ROUND(VLOOKUP(C67,acute_overview_children!$C$12:$AH$391,4,FALSE),2)))</f>
        <v>0</v>
      </c>
      <c r="E67" s="238" t="str">
        <f>IF(B67&gt;0,VLOOKUP(C67,acute_overview_children!$C$12:$AH$391,24,FALSE)*1000,"")</f>
        <v/>
      </c>
      <c r="F67" s="546">
        <f>IF($K$6="not necessary",0,LARGE(acute_overview_adults!$AA$14:$AA$391,ROW()-(ROW($B$65))))</f>
        <v>0</v>
      </c>
      <c r="G67" s="237" t="str">
        <f>IF(F67&gt;0,INDEX(acute_overview_adults!$A$12:$AH$391,MATCH(F67,acute_overview_adults!$AA$12:$AA$391,0),3),"")</f>
        <v/>
      </c>
      <c r="H67" s="238">
        <f>IF(F67=0,0,CONCATENATE(ROUND(VLOOKUP(G67,acute_overview_adults!$C$12:$AH$391,3,FALSE),2)," / ",ROUND(VLOOKUP(G67,acute_overview_adults!$C$12:$AH$391,4,FALSE),2)))</f>
        <v>0</v>
      </c>
      <c r="I67" s="239" t="str">
        <f>IF(F67&gt;0,VLOOKUP(G67,acute_overview_adults!$C$12:$AH$391,24,FALSE)*1000,"")</f>
        <v/>
      </c>
      <c r="J67" s="766">
        <f>IF($K$6="not necessary",0,LARGE(acute_overview_children!$AD$14:$AD$391,ROW()-ROW($B$65)))</f>
        <v>0</v>
      </c>
      <c r="K67" s="745" t="str">
        <f>IF(J67&gt;0,INDEX(acute_overview_children!$A$12:$AH$391,MATCH(J67,acute_overview_children!$AD$12:$AD$391,0),3),"")</f>
        <v/>
      </c>
      <c r="L67" s="755">
        <f>IF(J67=0,0,CONCATENATE(ROUND(VLOOKUP(K67,acute_overview_children!$C$12:$AH$391,3,FALSE),2)," / ",ROUND(VLOOKUP(K67,acute_overview_children!$C$12:$AH$391,6,FALSE),2)))</f>
        <v>0</v>
      </c>
      <c r="M67" s="755" t="str">
        <f>IF(J67&gt;0,VLOOKUP(K67,acute_overview_children!$C$12:$AH$391,27,FALSE)*1000,"")</f>
        <v/>
      </c>
      <c r="N67" s="766">
        <f>IF($K$6="not necessary",0,LARGE(acute_overview_adults!$AD$14:$AD$391,ROW()-ROW($F$65)))</f>
        <v>0</v>
      </c>
      <c r="O67" s="745" t="str">
        <f>IF(Results!N67&gt;0,INDEX(acute_overview_adults!$A$12:$AH$391,MATCH(Results!N67,acute_overview_adults!$AD$12:$AD$391,0),3),"")</f>
        <v/>
      </c>
      <c r="P67" s="755">
        <f>IF(N67=0,0,CONCATENATE(ROUND(VLOOKUP(O67,acute_overview_adults!$C$12:$AH$391,3,FALSE),2)," / ",ROUND(VLOOKUP(O67,acute_overview_adults!$C$12:$AH$391,6,FALSE),2)))</f>
        <v>0</v>
      </c>
      <c r="Q67" s="755" t="str">
        <f>IF(N67&gt;0,VLOOKUP(O67,acute_overview_adults!$C$12:$AH$391,27,FALSE)*1000,"")</f>
        <v/>
      </c>
      <c r="S67" s="1161">
        <f t="shared" ref="S67:S130" si="0">IF(B67&lt;=1,0,MATCH(C67,$G$66:$G$224,0))</f>
        <v>0</v>
      </c>
      <c r="T67" s="1161">
        <f t="shared" ref="T67:T130" si="1">IF(S67=0,0,IF(S67&lt;=$V$226,1,0))</f>
        <v>0</v>
      </c>
      <c r="U67" s="1161">
        <f t="shared" ref="U67:U130" si="2">IF(B67&lt;=1,0,1)</f>
        <v>0</v>
      </c>
      <c r="V67" s="1161">
        <f t="shared" ref="V67:V130" si="3">IF(F67&lt;=1,0,1)</f>
        <v>0</v>
      </c>
      <c r="W67" s="1163">
        <f t="shared" ref="W67:W130" si="4">IF(J67&lt;=1,0,MATCH(K67,$O$66:$O$224,0))</f>
        <v>0</v>
      </c>
      <c r="X67" s="1163">
        <f t="shared" ref="X67:X130" si="5">IF(W67=0,0,IF(W67&lt;=$Z$226,1,0))</f>
        <v>0</v>
      </c>
      <c r="Y67" s="1163">
        <f t="shared" ref="Y67:Y130" si="6">IF(J67&lt;=1,0,1)</f>
        <v>0</v>
      </c>
      <c r="Z67" s="1163">
        <f t="shared" ref="Z67:Z130" si="7">IF(N67&lt;=1,0,1)</f>
        <v>0</v>
      </c>
    </row>
    <row r="68" spans="1:26" s="43" customFormat="1" ht="12" customHeight="1" x14ac:dyDescent="0.2">
      <c r="A68" s="1523"/>
      <c r="B68" s="546">
        <f>IF($K$6="not necessary",0,LARGE(acute_overview_children!$AA$14:$AA$391,ROW()-(ROW($B$65))))</f>
        <v>0</v>
      </c>
      <c r="C68" s="237" t="str">
        <f>IF(Results!B68&gt;0,INDEX(acute_overview_children!$A$12:$AH$391,MATCH(Results!B68,acute_overview_children!$AA$12:$AA$391,0),3),"")</f>
        <v/>
      </c>
      <c r="D68" s="238">
        <f>IF(B68=0,0,CONCATENATE(ROUND(VLOOKUP(C68,acute_overview_children!$C$12:$AH$391,3,FALSE),2)," / ",ROUND(VLOOKUP(C68,acute_overview_children!$C$12:$AH$391,4,FALSE),2)))</f>
        <v>0</v>
      </c>
      <c r="E68" s="238" t="str">
        <f>IF(B68&gt;0,VLOOKUP(C68,acute_overview_children!$C$12:$AH$391,24,FALSE)*1000,"")</f>
        <v/>
      </c>
      <c r="F68" s="546">
        <f>IF($K$6="not necessary",0,LARGE(acute_overview_adults!$AA$14:$AA$391,ROW()-(ROW($B$65))))</f>
        <v>0</v>
      </c>
      <c r="G68" s="237" t="str">
        <f>IF(F68&gt;0,INDEX(acute_overview_adults!$A$12:$AH$391,MATCH(F68,acute_overview_adults!$AA$12:$AA$391,0),3),"")</f>
        <v/>
      </c>
      <c r="H68" s="238">
        <f>IF(F68=0,0,CONCATENATE(ROUND(VLOOKUP(G68,acute_overview_adults!$C$12:$AH$391,3,FALSE),2)," / ",ROUND(VLOOKUP(G68,acute_overview_adults!$C$12:$AH$391,4,FALSE),2)))</f>
        <v>0</v>
      </c>
      <c r="I68" s="239" t="str">
        <f>IF(F68&gt;0,VLOOKUP(G68,acute_overview_adults!$C$12:$AH$391,24,FALSE)*1000,"")</f>
        <v/>
      </c>
      <c r="J68" s="766">
        <f>IF($K$6="not necessary",0,LARGE(acute_overview_children!$AD$14:$AD$391,ROW()-ROW($B$65)))</f>
        <v>0</v>
      </c>
      <c r="K68" s="745" t="str">
        <f>IF(J68&gt;0,INDEX(acute_overview_children!$A$12:$AH$391,MATCH(J68,acute_overview_children!$AD$12:$AD$391,0),3),"")</f>
        <v/>
      </c>
      <c r="L68" s="755">
        <f>IF(J68=0,0,CONCATENATE(ROUND(VLOOKUP(K68,acute_overview_children!$C$12:$AH$391,3,FALSE),2)," / ",ROUND(VLOOKUP(K68,acute_overview_children!$C$12:$AH$391,6,FALSE),2)))</f>
        <v>0</v>
      </c>
      <c r="M68" s="755" t="str">
        <f>IF(J68&gt;0,VLOOKUP(K68,acute_overview_children!$C$12:$AH$391,27,FALSE)*1000,"")</f>
        <v/>
      </c>
      <c r="N68" s="766">
        <f>IF($K$6="not necessary",0,LARGE(acute_overview_adults!$AD$14:$AD$391,ROW()-ROW($F$65)))</f>
        <v>0</v>
      </c>
      <c r="O68" s="745" t="str">
        <f>IF(Results!N68&gt;0,INDEX(acute_overview_adults!$A$12:$AH$391,MATCH(Results!N68,acute_overview_adults!$AD$12:$AD$391,0),3),"")</f>
        <v/>
      </c>
      <c r="P68" s="755">
        <f>IF(N68=0,0,CONCATENATE(ROUND(VLOOKUP(O68,acute_overview_adults!$C$12:$AH$391,3,FALSE),2)," / ",ROUND(VLOOKUP(O68,acute_overview_adults!$C$12:$AH$391,6,FALSE),2)))</f>
        <v>0</v>
      </c>
      <c r="Q68" s="755" t="str">
        <f>IF(N68&gt;0,VLOOKUP(O68,acute_overview_adults!$C$12:$AH$391,27,FALSE)*1000,"")</f>
        <v/>
      </c>
      <c r="S68" s="1161">
        <f t="shared" si="0"/>
        <v>0</v>
      </c>
      <c r="T68" s="1161">
        <f t="shared" si="1"/>
        <v>0</v>
      </c>
      <c r="U68" s="1161">
        <f t="shared" si="2"/>
        <v>0</v>
      </c>
      <c r="V68" s="1161">
        <f t="shared" si="3"/>
        <v>0</v>
      </c>
      <c r="W68" s="1163">
        <f t="shared" si="4"/>
        <v>0</v>
      </c>
      <c r="X68" s="1163">
        <f t="shared" si="5"/>
        <v>0</v>
      </c>
      <c r="Y68" s="1163">
        <f t="shared" si="6"/>
        <v>0</v>
      </c>
      <c r="Z68" s="1163">
        <f t="shared" si="7"/>
        <v>0</v>
      </c>
    </row>
    <row r="69" spans="1:26" s="43" customFormat="1" ht="12" customHeight="1" x14ac:dyDescent="0.2">
      <c r="A69" s="1523"/>
      <c r="B69" s="546">
        <f>IF($K$6="not necessary",0,LARGE(acute_overview_children!$AA$14:$AA$391,ROW()-(ROW($B$65))))</f>
        <v>0</v>
      </c>
      <c r="C69" s="237" t="str">
        <f>IF(Results!B69&gt;0,INDEX(acute_overview_children!$A$12:$AH$391,MATCH(Results!B69,acute_overview_children!$AA$12:$AA$391,0),3),"")</f>
        <v/>
      </c>
      <c r="D69" s="238">
        <f>IF(B69=0,0,CONCATENATE(ROUND(VLOOKUP(C69,acute_overview_children!$C$12:$AH$391,3,FALSE),2)," / ",ROUND(VLOOKUP(C69,acute_overview_children!$C$12:$AH$391,4,FALSE),2)))</f>
        <v>0</v>
      </c>
      <c r="E69" s="238" t="str">
        <f>IF(B69&gt;0,VLOOKUP(C69,acute_overview_children!$C$12:$AH$391,24,FALSE)*1000,"")</f>
        <v/>
      </c>
      <c r="F69" s="546">
        <f>IF($K$6="not necessary",0,LARGE(acute_overview_adults!$AA$14:$AA$391,ROW()-(ROW($B$65))))</f>
        <v>0</v>
      </c>
      <c r="G69" s="237" t="str">
        <f>IF(F69&gt;0,INDEX(acute_overview_adults!$A$12:$AH$391,MATCH(F69,acute_overview_adults!$AA$12:$AA$391,0),3),"")</f>
        <v/>
      </c>
      <c r="H69" s="238">
        <f>IF(F69=0,0,CONCATENATE(ROUND(VLOOKUP(G69,acute_overview_adults!$C$12:$AH$391,3,FALSE),2)," / ",ROUND(VLOOKUP(G69,acute_overview_adults!$C$12:$AH$391,4,FALSE),2)))</f>
        <v>0</v>
      </c>
      <c r="I69" s="239" t="str">
        <f>IF(F69&gt;0,VLOOKUP(G69,acute_overview_adults!$C$12:$AH$391,24,FALSE)*1000,"")</f>
        <v/>
      </c>
      <c r="J69" s="766">
        <f>IF($K$6="not necessary",0,LARGE(acute_overview_children!$AD$14:$AD$391,ROW()-ROW($B$65)))</f>
        <v>0</v>
      </c>
      <c r="K69" s="745" t="str">
        <f>IF(J69&gt;0,INDEX(acute_overview_children!$A$12:$AH$391,MATCH(J69,acute_overview_children!$AD$12:$AD$391,0),3),"")</f>
        <v/>
      </c>
      <c r="L69" s="755">
        <f>IF(J69=0,0,CONCATENATE(ROUND(VLOOKUP(K69,acute_overview_children!$C$12:$AH$391,3,FALSE),2)," / ",ROUND(VLOOKUP(K69,acute_overview_children!$C$12:$AH$391,6,FALSE),2)))</f>
        <v>0</v>
      </c>
      <c r="M69" s="755" t="str">
        <f>IF(J69&gt;0,VLOOKUP(K69,acute_overview_children!$C$12:$AH$391,27,FALSE)*1000,"")</f>
        <v/>
      </c>
      <c r="N69" s="766">
        <f>IF($K$6="not necessary",0,LARGE(acute_overview_adults!$AD$14:$AD$391,ROW()-ROW($F$65)))</f>
        <v>0</v>
      </c>
      <c r="O69" s="745" t="str">
        <f>IF(Results!N69&gt;0,INDEX(acute_overview_adults!$A$12:$AH$391,MATCH(Results!N69,acute_overview_adults!$AD$12:$AD$391,0),3),"")</f>
        <v/>
      </c>
      <c r="P69" s="755">
        <f>IF(N69=0,0,CONCATENATE(ROUND(VLOOKUP(O69,acute_overview_adults!$C$12:$AH$391,3,FALSE),2)," / ",ROUND(VLOOKUP(O69,acute_overview_adults!$C$12:$AH$391,6,FALSE),2)))</f>
        <v>0</v>
      </c>
      <c r="Q69" s="755" t="str">
        <f>IF(N69&gt;0,VLOOKUP(O69,acute_overview_adults!$C$12:$AH$391,27,FALSE)*1000,"")</f>
        <v/>
      </c>
      <c r="S69" s="1161">
        <f t="shared" si="0"/>
        <v>0</v>
      </c>
      <c r="T69" s="1161">
        <f t="shared" si="1"/>
        <v>0</v>
      </c>
      <c r="U69" s="1161">
        <f t="shared" si="2"/>
        <v>0</v>
      </c>
      <c r="V69" s="1161">
        <f t="shared" si="3"/>
        <v>0</v>
      </c>
      <c r="W69" s="1163">
        <f t="shared" si="4"/>
        <v>0</v>
      </c>
      <c r="X69" s="1163">
        <f t="shared" si="5"/>
        <v>0</v>
      </c>
      <c r="Y69" s="1163">
        <f t="shared" si="6"/>
        <v>0</v>
      </c>
      <c r="Z69" s="1163">
        <f t="shared" si="7"/>
        <v>0</v>
      </c>
    </row>
    <row r="70" spans="1:26" s="43" customFormat="1" ht="12" customHeight="1" x14ac:dyDescent="0.2">
      <c r="A70" s="1523"/>
      <c r="B70" s="546">
        <f>IF($K$6="not necessary",0,LARGE(acute_overview_children!$AA$14:$AA$391,ROW()-(ROW($B$65))))</f>
        <v>0</v>
      </c>
      <c r="C70" s="237" t="str">
        <f>IF(Results!B70&gt;0,INDEX(acute_overview_children!$A$12:$AH$391,MATCH(Results!B70,acute_overview_children!$AA$12:$AA$391,0),3),"")</f>
        <v/>
      </c>
      <c r="D70" s="238">
        <f>IF(B70=0,0,CONCATENATE(ROUND(VLOOKUP(C70,acute_overview_children!$C$12:$AH$391,3,FALSE),2)," / ",ROUND(VLOOKUP(C70,acute_overview_children!$C$12:$AH$391,4,FALSE),2)))</f>
        <v>0</v>
      </c>
      <c r="E70" s="238" t="str">
        <f>IF(B70&gt;0,VLOOKUP(C70,acute_overview_children!$C$12:$AH$391,24,FALSE)*1000,"")</f>
        <v/>
      </c>
      <c r="F70" s="546">
        <f>IF($K$6="not necessary",0,LARGE(acute_overview_adults!$AA$14:$AA$391,ROW()-(ROW($B$65))))</f>
        <v>0</v>
      </c>
      <c r="G70" s="237" t="str">
        <f>IF(F70&gt;0,INDEX(acute_overview_adults!$A$12:$AH$391,MATCH(F70,acute_overview_adults!$AA$12:$AA$391,0),3),"")</f>
        <v/>
      </c>
      <c r="H70" s="238">
        <f>IF(F70=0,0,CONCATENATE(ROUND(VLOOKUP(G70,acute_overview_adults!$C$12:$AH$391,3,FALSE),2)," / ",ROUND(VLOOKUP(G70,acute_overview_adults!$C$12:$AH$391,4,FALSE),2)))</f>
        <v>0</v>
      </c>
      <c r="I70" s="239" t="str">
        <f>IF(F70&gt;0,VLOOKUP(G70,acute_overview_adults!$C$12:$AH$391,24,FALSE)*1000,"")</f>
        <v/>
      </c>
      <c r="J70" s="766">
        <f>IF($K$6="not necessary",0,LARGE(acute_overview_children!$AD$14:$AD$391,ROW()-ROW($B$65)))</f>
        <v>0</v>
      </c>
      <c r="K70" s="745" t="str">
        <f>IF(J70&gt;0,INDEX(acute_overview_children!$A$12:$AH$391,MATCH(J70,acute_overview_children!$AD$12:$AD$391,0),3),"")</f>
        <v/>
      </c>
      <c r="L70" s="755">
        <f>IF(J70=0,0,CONCATENATE(ROUND(VLOOKUP(K70,acute_overview_children!$C$12:$AH$391,3,FALSE),2)," / ",ROUND(VLOOKUP(K70,acute_overview_children!$C$12:$AH$391,6,FALSE),2)))</f>
        <v>0</v>
      </c>
      <c r="M70" s="755" t="str">
        <f>IF(J70&gt;0,VLOOKUP(K70,acute_overview_children!$C$12:$AH$391,27,FALSE)*1000,"")</f>
        <v/>
      </c>
      <c r="N70" s="766">
        <f>IF($K$6="not necessary",0,LARGE(acute_overview_adults!$AD$14:$AD$391,ROW()-ROW($F$65)))</f>
        <v>0</v>
      </c>
      <c r="O70" s="745" t="str">
        <f>IF(Results!N70&gt;0,INDEX(acute_overview_adults!$A$12:$AH$391,MATCH(Results!N70,acute_overview_adults!$AD$12:$AD$391,0),3),"")</f>
        <v/>
      </c>
      <c r="P70" s="755">
        <f>IF(N70=0,0,CONCATENATE(ROUND(VLOOKUP(O70,acute_overview_adults!$C$12:$AH$391,3,FALSE),2)," / ",ROUND(VLOOKUP(O70,acute_overview_adults!$C$12:$AH$391,6,FALSE),2)))</f>
        <v>0</v>
      </c>
      <c r="Q70" s="755" t="str">
        <f>IF(N70&gt;0,VLOOKUP(O70,acute_overview_adults!$C$12:$AH$391,27,FALSE)*1000,"")</f>
        <v/>
      </c>
      <c r="S70" s="1161">
        <f t="shared" si="0"/>
        <v>0</v>
      </c>
      <c r="T70" s="1161">
        <f t="shared" si="1"/>
        <v>0</v>
      </c>
      <c r="U70" s="1161">
        <f t="shared" si="2"/>
        <v>0</v>
      </c>
      <c r="V70" s="1161">
        <f t="shared" si="3"/>
        <v>0</v>
      </c>
      <c r="W70" s="1163">
        <f t="shared" si="4"/>
        <v>0</v>
      </c>
      <c r="X70" s="1163">
        <f t="shared" si="5"/>
        <v>0</v>
      </c>
      <c r="Y70" s="1163">
        <f t="shared" si="6"/>
        <v>0</v>
      </c>
      <c r="Z70" s="1163">
        <f t="shared" si="7"/>
        <v>0</v>
      </c>
    </row>
    <row r="71" spans="1:26" s="43" customFormat="1" ht="12" customHeight="1" x14ac:dyDescent="0.2">
      <c r="A71" s="1523"/>
      <c r="B71" s="546">
        <f>IF($K$6="not necessary",0,LARGE(acute_overview_children!$AA$14:$AA$391,ROW()-(ROW($B$65))))</f>
        <v>0</v>
      </c>
      <c r="C71" s="237" t="str">
        <f>IF(Results!B71&gt;0,INDEX(acute_overview_children!$A$12:$AH$391,MATCH(Results!B71,acute_overview_children!$AA$12:$AA$391,0),3),"")</f>
        <v/>
      </c>
      <c r="D71" s="238">
        <f>IF(B71=0,0,CONCATENATE(ROUND(VLOOKUP(C71,acute_overview_children!$C$12:$AH$391,3,FALSE),2)," / ",ROUND(VLOOKUP(C71,acute_overview_children!$C$12:$AH$391,4,FALSE),2)))</f>
        <v>0</v>
      </c>
      <c r="E71" s="238" t="str">
        <f>IF(B71&gt;0,VLOOKUP(C71,acute_overview_children!$C$12:$AH$391,24,FALSE)*1000,"")</f>
        <v/>
      </c>
      <c r="F71" s="546">
        <f>IF($K$6="not necessary",0,LARGE(acute_overview_adults!$AA$14:$AA$391,ROW()-(ROW($B$65))))</f>
        <v>0</v>
      </c>
      <c r="G71" s="237" t="str">
        <f>IF(F71&gt;0,INDEX(acute_overview_adults!$A$12:$AH$391,MATCH(F71,acute_overview_adults!$AA$12:$AA$391,0),3),"")</f>
        <v/>
      </c>
      <c r="H71" s="238">
        <f>IF(F71=0,0,CONCATENATE(ROUND(VLOOKUP(G71,acute_overview_adults!$C$12:$AH$391,3,FALSE),2)," / ",ROUND(VLOOKUP(G71,acute_overview_adults!$C$12:$AH$391,4,FALSE),2)))</f>
        <v>0</v>
      </c>
      <c r="I71" s="239" t="str">
        <f>IF(F71&gt;0,VLOOKUP(G71,acute_overview_adults!$C$12:$AH$391,24,FALSE)*1000,"")</f>
        <v/>
      </c>
      <c r="J71" s="766">
        <f>IF($K$6="not necessary",0,LARGE(acute_overview_children!$AD$14:$AD$391,ROW()-ROW($B$65)))</f>
        <v>0</v>
      </c>
      <c r="K71" s="745" t="str">
        <f>IF(J71&gt;0,INDEX(acute_overview_children!$A$12:$AH$391,MATCH(J71,acute_overview_children!$AD$12:$AD$391,0),3),"")</f>
        <v/>
      </c>
      <c r="L71" s="755">
        <f>IF(J71=0,0,CONCATENATE(ROUND(VLOOKUP(K71,acute_overview_children!$C$12:$AH$391,3,FALSE),2)," / ",ROUND(VLOOKUP(K71,acute_overview_children!$C$12:$AH$391,6,FALSE),2)))</f>
        <v>0</v>
      </c>
      <c r="M71" s="755" t="str">
        <f>IF(J71&gt;0,VLOOKUP(K71,acute_overview_children!$C$12:$AH$391,27,FALSE)*1000,"")</f>
        <v/>
      </c>
      <c r="N71" s="766">
        <f>IF($K$6="not necessary",0,LARGE(acute_overview_adults!$AD$14:$AD$391,ROW()-ROW($F$65)))</f>
        <v>0</v>
      </c>
      <c r="O71" s="745" t="str">
        <f>IF(Results!N71&gt;0,INDEX(acute_overview_adults!$A$12:$AH$391,MATCH(Results!N71,acute_overview_adults!$AD$12:$AD$391,0),3),"")</f>
        <v/>
      </c>
      <c r="P71" s="755">
        <f>IF(N71=0,0,CONCATENATE(ROUND(VLOOKUP(O71,acute_overview_adults!$C$12:$AH$391,3,FALSE),2)," / ",ROUND(VLOOKUP(O71,acute_overview_adults!$C$12:$AH$391,6,FALSE),2)))</f>
        <v>0</v>
      </c>
      <c r="Q71" s="755" t="str">
        <f>IF(N71&gt;0,VLOOKUP(O71,acute_overview_adults!$C$12:$AH$391,27,FALSE)*1000,"")</f>
        <v/>
      </c>
      <c r="S71" s="1161">
        <f t="shared" si="0"/>
        <v>0</v>
      </c>
      <c r="T71" s="1161">
        <f t="shared" si="1"/>
        <v>0</v>
      </c>
      <c r="U71" s="1161">
        <f t="shared" si="2"/>
        <v>0</v>
      </c>
      <c r="V71" s="1161">
        <f t="shared" si="3"/>
        <v>0</v>
      </c>
      <c r="W71" s="1163">
        <f t="shared" si="4"/>
        <v>0</v>
      </c>
      <c r="X71" s="1163">
        <f t="shared" si="5"/>
        <v>0</v>
      </c>
      <c r="Y71" s="1163">
        <f t="shared" si="6"/>
        <v>0</v>
      </c>
      <c r="Z71" s="1163">
        <f t="shared" si="7"/>
        <v>0</v>
      </c>
    </row>
    <row r="72" spans="1:26" s="43" customFormat="1" ht="12" customHeight="1" x14ac:dyDescent="0.2">
      <c r="A72" s="178"/>
      <c r="B72" s="546">
        <f>IF($K$6="not necessary",0,LARGE(acute_overview_children!$AA$14:$AA$391,ROW()-(ROW($B$65))))</f>
        <v>0</v>
      </c>
      <c r="C72" s="237" t="str">
        <f>IF(Results!B72&gt;0,INDEX(acute_overview_children!$A$12:$AH$391,MATCH(Results!B72,acute_overview_children!$AA$12:$AA$391,0),3),"")</f>
        <v/>
      </c>
      <c r="D72" s="238">
        <f>IF(B72=0,0,CONCATENATE(ROUND(VLOOKUP(C72,acute_overview_children!$C$12:$AH$391,3,FALSE),2)," / ",ROUND(VLOOKUP(C72,acute_overview_children!$C$12:$AH$391,4,FALSE),2)))</f>
        <v>0</v>
      </c>
      <c r="E72" s="238" t="str">
        <f>IF(B72&gt;0,VLOOKUP(C72,acute_overview_children!$C$12:$AH$391,24,FALSE)*1000,"")</f>
        <v/>
      </c>
      <c r="F72" s="546">
        <f>IF($K$6="not necessary",0,LARGE(acute_overview_adults!$AA$14:$AA$391,ROW()-(ROW($B$65))))</f>
        <v>0</v>
      </c>
      <c r="G72" s="237" t="str">
        <f>IF(F72&gt;0,INDEX(acute_overview_adults!$A$12:$AH$391,MATCH(F72,acute_overview_adults!$AA$12:$AA$391,0),3),"")</f>
        <v/>
      </c>
      <c r="H72" s="238">
        <f>IF(F72=0,0,CONCATENATE(ROUND(VLOOKUP(G72,acute_overview_adults!$C$12:$AH$391,3,FALSE),2)," / ",ROUND(VLOOKUP(G72,acute_overview_adults!$C$12:$AH$391,4,FALSE),2)))</f>
        <v>0</v>
      </c>
      <c r="I72" s="239" t="str">
        <f>IF(F72&gt;0,VLOOKUP(G72,acute_overview_adults!$C$12:$AH$391,24,FALSE)*1000,"")</f>
        <v/>
      </c>
      <c r="J72" s="766">
        <f>IF($K$6="not necessary",0,LARGE(acute_overview_children!$AD$14:$AD$391,ROW()-ROW($B$65)))</f>
        <v>0</v>
      </c>
      <c r="K72" s="745" t="str">
        <f>IF(J72&gt;0,INDEX(acute_overview_children!$A$12:$AH$391,MATCH(J72,acute_overview_children!$AD$12:$AD$391,0),3),"")</f>
        <v/>
      </c>
      <c r="L72" s="755">
        <f>IF(J72=0,0,CONCATENATE(ROUND(VLOOKUP(K72,acute_overview_children!$C$12:$AH$391,3,FALSE),2)," / ",ROUND(VLOOKUP(K72,acute_overview_children!$C$12:$AH$391,6,FALSE),2)))</f>
        <v>0</v>
      </c>
      <c r="M72" s="755" t="str">
        <f>IF(J72&gt;0,VLOOKUP(K72,acute_overview_children!$C$12:$AH$391,27,FALSE)*1000,"")</f>
        <v/>
      </c>
      <c r="N72" s="766">
        <f>IF($K$6="not necessary",0,LARGE(acute_overview_adults!$AD$14:$AD$391,ROW()-ROW($F$65)))</f>
        <v>0</v>
      </c>
      <c r="O72" s="745" t="str">
        <f>IF(Results!N72&gt;0,INDEX(acute_overview_adults!$A$12:$AH$391,MATCH(Results!N72,acute_overview_adults!$AD$12:$AD$391,0),3),"")</f>
        <v/>
      </c>
      <c r="P72" s="755">
        <f>IF(N72=0,0,CONCATENATE(ROUND(VLOOKUP(O72,acute_overview_adults!$C$12:$AH$391,3,FALSE),2)," / ",ROUND(VLOOKUP(O72,acute_overview_adults!$C$12:$AH$391,6,FALSE),2)))</f>
        <v>0</v>
      </c>
      <c r="Q72" s="755" t="str">
        <f>IF(N72&gt;0,VLOOKUP(O72,acute_overview_adults!$C$12:$AH$391,27,FALSE)*1000,"")</f>
        <v/>
      </c>
      <c r="S72" s="1161">
        <f t="shared" si="0"/>
        <v>0</v>
      </c>
      <c r="T72" s="1161">
        <f t="shared" si="1"/>
        <v>0</v>
      </c>
      <c r="U72" s="1161">
        <f t="shared" si="2"/>
        <v>0</v>
      </c>
      <c r="V72" s="1161">
        <f t="shared" si="3"/>
        <v>0</v>
      </c>
      <c r="W72" s="1163">
        <f t="shared" si="4"/>
        <v>0</v>
      </c>
      <c r="X72" s="1163">
        <f t="shared" si="5"/>
        <v>0</v>
      </c>
      <c r="Y72" s="1163">
        <f t="shared" si="6"/>
        <v>0</v>
      </c>
      <c r="Z72" s="1163">
        <f t="shared" si="7"/>
        <v>0</v>
      </c>
    </row>
    <row r="73" spans="1:26" s="43" customFormat="1" ht="12" customHeight="1" x14ac:dyDescent="0.2">
      <c r="A73" s="178"/>
      <c r="B73" s="546">
        <f>IF($K$6="not necessary",0,LARGE(acute_overview_children!$AA$14:$AA$391,ROW()-(ROW($B$65))))</f>
        <v>0</v>
      </c>
      <c r="C73" s="237" t="str">
        <f>IF(Results!B73&gt;0,INDEX(acute_overview_children!$A$12:$AH$391,MATCH(Results!B73,acute_overview_children!$AA$12:$AA$391,0),3),"")</f>
        <v/>
      </c>
      <c r="D73" s="238">
        <f>IF(B73=0,0,CONCATENATE(ROUND(VLOOKUP(C73,acute_overview_children!$C$12:$AH$391,3,FALSE),2)," / ",ROUND(VLOOKUP(C73,acute_overview_children!$C$12:$AH$391,4,FALSE),2)))</f>
        <v>0</v>
      </c>
      <c r="E73" s="238" t="str">
        <f>IF(B73&gt;0,VLOOKUP(C73,acute_overview_children!$C$12:$AH$391,24,FALSE)*1000,"")</f>
        <v/>
      </c>
      <c r="F73" s="546">
        <f>IF($K$6="not necessary",0,LARGE(acute_overview_adults!$AA$14:$AA$391,ROW()-(ROW($B$65))))</f>
        <v>0</v>
      </c>
      <c r="G73" s="237" t="str">
        <f>IF(F73&gt;0,INDEX(acute_overview_adults!$A$12:$AH$391,MATCH(F73,acute_overview_adults!$AA$12:$AA$391,0),3),"")</f>
        <v/>
      </c>
      <c r="H73" s="238">
        <f>IF(F73=0,0,CONCATENATE(ROUND(VLOOKUP(G73,acute_overview_adults!$C$12:$AH$391,3,FALSE),2)," / ",ROUND(VLOOKUP(G73,acute_overview_adults!$C$12:$AH$391,4,FALSE),2)))</f>
        <v>0</v>
      </c>
      <c r="I73" s="239" t="str">
        <f>IF(F73&gt;0,VLOOKUP(G73,acute_overview_adults!$C$12:$AH$391,24,FALSE)*1000,"")</f>
        <v/>
      </c>
      <c r="J73" s="766">
        <f>IF($K$6="not necessary",0,LARGE(acute_overview_children!$AD$14:$AD$391,ROW()-ROW($B$65)))</f>
        <v>0</v>
      </c>
      <c r="K73" s="745" t="str">
        <f>IF(J73&gt;0,INDEX(acute_overview_children!$A$12:$AH$391,MATCH(J73,acute_overview_children!$AD$12:$AD$391,0),3),"")</f>
        <v/>
      </c>
      <c r="L73" s="755">
        <f>IF(J73=0,0,CONCATENATE(ROUND(VLOOKUP(K73,acute_overview_children!$C$12:$AH$391,3,FALSE),2)," / ",ROUND(VLOOKUP(K73,acute_overview_children!$C$12:$AH$391,6,FALSE),2)))</f>
        <v>0</v>
      </c>
      <c r="M73" s="755" t="str">
        <f>IF(J73&gt;0,VLOOKUP(K73,acute_overview_children!$C$12:$AH$391,27,FALSE)*1000,"")</f>
        <v/>
      </c>
      <c r="N73" s="766">
        <f>IF($K$6="not necessary",0,LARGE(acute_overview_adults!$AD$14:$AD$391,ROW()-ROW($F$65)))</f>
        <v>0</v>
      </c>
      <c r="O73" s="745" t="str">
        <f>IF(Results!N73&gt;0,INDEX(acute_overview_adults!$A$12:$AH$391,MATCH(Results!N73,acute_overview_adults!$AD$12:$AD$391,0),3),"")</f>
        <v/>
      </c>
      <c r="P73" s="755">
        <f>IF(N73=0,0,CONCATENATE(ROUND(VLOOKUP(O73,acute_overview_adults!$C$12:$AH$391,3,FALSE),2)," / ",ROUND(VLOOKUP(O73,acute_overview_adults!$C$12:$AH$391,6,FALSE),2)))</f>
        <v>0</v>
      </c>
      <c r="Q73" s="755" t="str">
        <f>IF(N73&gt;0,VLOOKUP(O73,acute_overview_adults!$C$12:$AH$391,27,FALSE)*1000,"")</f>
        <v/>
      </c>
      <c r="S73" s="1161">
        <f t="shared" si="0"/>
        <v>0</v>
      </c>
      <c r="T73" s="1161">
        <f t="shared" si="1"/>
        <v>0</v>
      </c>
      <c r="U73" s="1161">
        <f t="shared" si="2"/>
        <v>0</v>
      </c>
      <c r="V73" s="1161">
        <f t="shared" si="3"/>
        <v>0</v>
      </c>
      <c r="W73" s="1163">
        <f t="shared" si="4"/>
        <v>0</v>
      </c>
      <c r="X73" s="1163">
        <f t="shared" si="5"/>
        <v>0</v>
      </c>
      <c r="Y73" s="1163">
        <f t="shared" si="6"/>
        <v>0</v>
      </c>
      <c r="Z73" s="1163">
        <f t="shared" si="7"/>
        <v>0</v>
      </c>
    </row>
    <row r="74" spans="1:26" s="43" customFormat="1" ht="12" customHeight="1" x14ac:dyDescent="0.2">
      <c r="A74" s="178"/>
      <c r="B74" s="546">
        <f>IF($K$6="not necessary",0,LARGE(acute_overview_children!$AA$14:$AA$391,ROW()-(ROW($B$65))))</f>
        <v>0</v>
      </c>
      <c r="C74" s="237" t="str">
        <f>IF(Results!B74&gt;0,INDEX(acute_overview_children!$A$12:$AH$391,MATCH(Results!B74,acute_overview_children!$AA$12:$AA$391,0),3),"")</f>
        <v/>
      </c>
      <c r="D74" s="238">
        <f>IF(B74=0,0,CONCATENATE(ROUND(VLOOKUP(C74,acute_overview_children!$C$12:$AH$391,3,FALSE),2)," / ",ROUND(VLOOKUP(C74,acute_overview_children!$C$12:$AH$391,4,FALSE),2)))</f>
        <v>0</v>
      </c>
      <c r="E74" s="238" t="str">
        <f>IF(B74&gt;0,VLOOKUP(C74,acute_overview_children!$C$12:$AH$391,24,FALSE)*1000,"")</f>
        <v/>
      </c>
      <c r="F74" s="546">
        <f>IF($K$6="not necessary",0,LARGE(acute_overview_adults!$AA$14:$AA$391,ROW()-(ROW($B$65))))</f>
        <v>0</v>
      </c>
      <c r="G74" s="237" t="str">
        <f>IF(F74&gt;0,INDEX(acute_overview_adults!$A$12:$AH$391,MATCH(F74,acute_overview_adults!$AA$12:$AA$391,0),3),"")</f>
        <v/>
      </c>
      <c r="H74" s="238">
        <f>IF(F74=0,0,CONCATENATE(ROUND(VLOOKUP(G74,acute_overview_adults!$C$12:$AH$391,3,FALSE),2)," / ",ROUND(VLOOKUP(G74,acute_overview_adults!$C$12:$AH$391,4,FALSE),2)))</f>
        <v>0</v>
      </c>
      <c r="I74" s="239" t="str">
        <f>IF(F74&gt;0,VLOOKUP(G74,acute_overview_adults!$C$12:$AH$391,24,FALSE)*1000,"")</f>
        <v/>
      </c>
      <c r="J74" s="766">
        <f>IF($K$6="not necessary",0,LARGE(acute_overview_children!$AD$14:$AD$391,ROW()-ROW($B$65)))</f>
        <v>0</v>
      </c>
      <c r="K74" s="745" t="str">
        <f>IF(J74&gt;0,INDEX(acute_overview_children!$A$12:$AH$391,MATCH(J74,acute_overview_children!$AD$12:$AD$391,0),3),"")</f>
        <v/>
      </c>
      <c r="L74" s="755">
        <f>IF(J74=0,0,CONCATENATE(ROUND(VLOOKUP(K74,acute_overview_children!$C$12:$AH$391,3,FALSE),2)," / ",ROUND(VLOOKUP(K74,acute_overview_children!$C$12:$AH$391,6,FALSE),2)))</f>
        <v>0</v>
      </c>
      <c r="M74" s="755" t="str">
        <f>IF(J74&gt;0,VLOOKUP(K74,acute_overview_children!$C$12:$AH$391,27,FALSE)*1000,"")</f>
        <v/>
      </c>
      <c r="N74" s="766">
        <f>IF($K$6="not necessary",0,LARGE(acute_overview_adults!$AD$14:$AD$391,ROW()-ROW($F$65)))</f>
        <v>0</v>
      </c>
      <c r="O74" s="745" t="str">
        <f>IF(Results!N74&gt;0,INDEX(acute_overview_adults!$A$12:$AH$391,MATCH(Results!N74,acute_overview_adults!$AD$12:$AD$391,0),3),"")</f>
        <v/>
      </c>
      <c r="P74" s="755">
        <f>IF(N74=0,0,CONCATENATE(ROUND(VLOOKUP(O74,acute_overview_adults!$C$12:$AH$391,3,FALSE),2)," / ",ROUND(VLOOKUP(O74,acute_overview_adults!$C$12:$AH$391,6,FALSE),2)))</f>
        <v>0</v>
      </c>
      <c r="Q74" s="755" t="str">
        <f>IF(N74&gt;0,VLOOKUP(O74,acute_overview_adults!$C$12:$AH$391,27,FALSE)*1000,"")</f>
        <v/>
      </c>
      <c r="S74" s="1161">
        <f t="shared" si="0"/>
        <v>0</v>
      </c>
      <c r="T74" s="1161">
        <f t="shared" si="1"/>
        <v>0</v>
      </c>
      <c r="U74" s="1161">
        <f t="shared" si="2"/>
        <v>0</v>
      </c>
      <c r="V74" s="1161">
        <f t="shared" si="3"/>
        <v>0</v>
      </c>
      <c r="W74" s="1163">
        <f t="shared" si="4"/>
        <v>0</v>
      </c>
      <c r="X74" s="1163">
        <f t="shared" si="5"/>
        <v>0</v>
      </c>
      <c r="Y74" s="1163">
        <f t="shared" si="6"/>
        <v>0</v>
      </c>
      <c r="Z74" s="1163">
        <f t="shared" si="7"/>
        <v>0</v>
      </c>
    </row>
    <row r="75" spans="1:26" s="43" customFormat="1" ht="12" customHeight="1" x14ac:dyDescent="0.2">
      <c r="A75" s="178"/>
      <c r="B75" s="546">
        <f>IF($K$6="not necessary",0,LARGE(acute_overview_children!$AA$14:$AA$391,ROW()-(ROW($B$65))))</f>
        <v>0</v>
      </c>
      <c r="C75" s="237" t="str">
        <f>IF(Results!B75&gt;0,INDEX(acute_overview_children!$A$12:$AH$391,MATCH(Results!B75,acute_overview_children!$AA$12:$AA$391,0),3),"")</f>
        <v/>
      </c>
      <c r="D75" s="238">
        <f>IF(B75=0,0,CONCATENATE(ROUND(VLOOKUP(C75,acute_overview_children!$C$12:$AH$391,3,FALSE),2)," / ",ROUND(VLOOKUP(C75,acute_overview_children!$C$12:$AH$391,4,FALSE),2)))</f>
        <v>0</v>
      </c>
      <c r="E75" s="238" t="str">
        <f>IF(B75&gt;0,VLOOKUP(C75,acute_overview_children!$C$12:$AH$391,24,FALSE)*1000,"")</f>
        <v/>
      </c>
      <c r="F75" s="546">
        <f>IF($K$6="not necessary",0,LARGE(acute_overview_adults!$AA$14:$AA$391,ROW()-(ROW($B$65))))</f>
        <v>0</v>
      </c>
      <c r="G75" s="237" t="str">
        <f>IF(F75&gt;0,INDEX(acute_overview_adults!$A$12:$AH$391,MATCH(F75,acute_overview_adults!$AA$12:$AA$391,0),3),"")</f>
        <v/>
      </c>
      <c r="H75" s="238">
        <f>IF(F75=0,0,CONCATENATE(ROUND(VLOOKUP(G75,acute_overview_adults!$C$12:$AH$391,3,FALSE),2)," / ",ROUND(VLOOKUP(G75,acute_overview_adults!$C$12:$AH$391,4,FALSE),2)))</f>
        <v>0</v>
      </c>
      <c r="I75" s="239" t="str">
        <f>IF(F75&gt;0,VLOOKUP(G75,acute_overview_adults!$C$12:$AH$391,24,FALSE)*1000,"")</f>
        <v/>
      </c>
      <c r="J75" s="766">
        <f>IF($K$6="not necessary",0,LARGE(acute_overview_children!$AD$14:$AD$391,ROW()-ROW($B$65)))</f>
        <v>0</v>
      </c>
      <c r="K75" s="745" t="str">
        <f>IF(J75&gt;0,INDEX(acute_overview_children!$A$12:$AH$391,MATCH(J75,acute_overview_children!$AD$12:$AD$391,0),3),"")</f>
        <v/>
      </c>
      <c r="L75" s="755">
        <f>IF(J75=0,0,CONCATENATE(ROUND(VLOOKUP(K75,acute_overview_children!$C$12:$AH$391,3,FALSE),2)," / ",ROUND(VLOOKUP(K75,acute_overview_children!$C$12:$AH$391,6,FALSE),2)))</f>
        <v>0</v>
      </c>
      <c r="M75" s="755" t="str">
        <f>IF(J75&gt;0,VLOOKUP(K75,acute_overview_children!$C$12:$AH$391,27,FALSE)*1000,"")</f>
        <v/>
      </c>
      <c r="N75" s="766">
        <f>IF($K$6="not necessary",0,LARGE(acute_overview_adults!$AD$14:$AD$391,ROW()-ROW($F$65)))</f>
        <v>0</v>
      </c>
      <c r="O75" s="745" t="str">
        <f>IF(Results!N75&gt;0,INDEX(acute_overview_adults!$A$12:$AH$391,MATCH(Results!N75,acute_overview_adults!$AD$12:$AD$391,0),3),"")</f>
        <v/>
      </c>
      <c r="P75" s="755">
        <f>IF(N75=0,0,CONCATENATE(ROUND(VLOOKUP(O75,acute_overview_adults!$C$12:$AH$391,3,FALSE),2)," / ",ROUND(VLOOKUP(O75,acute_overview_adults!$C$12:$AH$391,6,FALSE),2)))</f>
        <v>0</v>
      </c>
      <c r="Q75" s="755" t="str">
        <f>IF(N75&gt;0,VLOOKUP(O75,acute_overview_adults!$C$12:$AH$391,27,FALSE)*1000,"")</f>
        <v/>
      </c>
      <c r="S75" s="1161">
        <f t="shared" si="0"/>
        <v>0</v>
      </c>
      <c r="T75" s="1161">
        <f t="shared" si="1"/>
        <v>0</v>
      </c>
      <c r="U75" s="1161">
        <f t="shared" si="2"/>
        <v>0</v>
      </c>
      <c r="V75" s="1161">
        <f t="shared" si="3"/>
        <v>0</v>
      </c>
      <c r="W75" s="1163">
        <f t="shared" si="4"/>
        <v>0</v>
      </c>
      <c r="X75" s="1163">
        <f t="shared" si="5"/>
        <v>0</v>
      </c>
      <c r="Y75" s="1163">
        <f t="shared" si="6"/>
        <v>0</v>
      </c>
      <c r="Z75" s="1163">
        <f t="shared" si="7"/>
        <v>0</v>
      </c>
    </row>
    <row r="76" spans="1:26" s="43" customFormat="1" ht="12" customHeight="1" x14ac:dyDescent="0.2">
      <c r="A76" s="178"/>
      <c r="B76" s="546">
        <f>IF($K$6="not necessary",0,LARGE(acute_overview_children!$AA$14:$AA$391,ROW()-(ROW($B$65))))</f>
        <v>0</v>
      </c>
      <c r="C76" s="237" t="str">
        <f>IF(Results!B76&gt;0,INDEX(acute_overview_children!$A$12:$AH$391,MATCH(Results!B76,acute_overview_children!$AA$12:$AA$391,0),3),"")</f>
        <v/>
      </c>
      <c r="D76" s="238">
        <f>IF(B76=0,0,CONCATENATE(ROUND(VLOOKUP(C76,acute_overview_children!$C$12:$AH$391,3,FALSE),2)," / ",ROUND(VLOOKUP(C76,acute_overview_children!$C$12:$AH$391,4,FALSE),2)))</f>
        <v>0</v>
      </c>
      <c r="E76" s="238" t="str">
        <f>IF(B76&gt;0,VLOOKUP(C76,acute_overview_children!$C$12:$AH$391,24,FALSE)*1000,"")</f>
        <v/>
      </c>
      <c r="F76" s="546">
        <f>IF($K$6="not necessary",0,LARGE(acute_overview_adults!$AA$14:$AA$391,ROW()-(ROW($B$65))))</f>
        <v>0</v>
      </c>
      <c r="G76" s="237" t="str">
        <f>IF(F76&gt;0,INDEX(acute_overview_adults!$A$12:$AH$391,MATCH(F76,acute_overview_adults!$AA$12:$AA$391,0),3),"")</f>
        <v/>
      </c>
      <c r="H76" s="238">
        <f>IF(F76=0,0,CONCATENATE(ROUND(VLOOKUP(G76,acute_overview_adults!$C$12:$AH$391,3,FALSE),2)," / ",ROUND(VLOOKUP(G76,acute_overview_adults!$C$12:$AH$391,4,FALSE),2)))</f>
        <v>0</v>
      </c>
      <c r="I76" s="239" t="str">
        <f>IF(F76&gt;0,VLOOKUP(G76,acute_overview_adults!$C$12:$AH$391,24,FALSE)*1000,"")</f>
        <v/>
      </c>
      <c r="J76" s="766">
        <f>IF($K$6="not necessary",0,LARGE(acute_overview_children!$AD$14:$AD$391,ROW()-ROW($B$65)))</f>
        <v>0</v>
      </c>
      <c r="K76" s="745" t="str">
        <f>IF(J76&gt;0,INDEX(acute_overview_children!$A$12:$AH$391,MATCH(J76,acute_overview_children!$AD$12:$AD$391,0),3),"")</f>
        <v/>
      </c>
      <c r="L76" s="755">
        <f>IF(J76=0,0,CONCATENATE(ROUND(VLOOKUP(K76,acute_overview_children!$C$12:$AH$391,3,FALSE),2)," / ",ROUND(VLOOKUP(K76,acute_overview_children!$C$12:$AH$391,6,FALSE),2)))</f>
        <v>0</v>
      </c>
      <c r="M76" s="755" t="str">
        <f>IF(J76&gt;0,VLOOKUP(K76,acute_overview_children!$C$12:$AH$391,27,FALSE)*1000,"")</f>
        <v/>
      </c>
      <c r="N76" s="766">
        <f>IF($K$6="not necessary",0,LARGE(acute_overview_adults!$AD$14:$AD$391,ROW()-ROW($F$65)))</f>
        <v>0</v>
      </c>
      <c r="O76" s="745" t="str">
        <f>IF(Results!N76&gt;0,INDEX(acute_overview_adults!$A$12:$AH$391,MATCH(Results!N76,acute_overview_adults!$AD$12:$AD$391,0),3),"")</f>
        <v/>
      </c>
      <c r="P76" s="755">
        <f>IF(N76=0,0,CONCATENATE(ROUND(VLOOKUP(O76,acute_overview_adults!$C$12:$AH$391,3,FALSE),2)," / ",ROUND(VLOOKUP(O76,acute_overview_adults!$C$12:$AH$391,6,FALSE),2)))</f>
        <v>0</v>
      </c>
      <c r="Q76" s="755" t="str">
        <f>IF(N76&gt;0,VLOOKUP(O76,acute_overview_adults!$C$12:$AH$391,27,FALSE)*1000,"")</f>
        <v/>
      </c>
      <c r="S76" s="1161">
        <f t="shared" si="0"/>
        <v>0</v>
      </c>
      <c r="T76" s="1161">
        <f t="shared" si="1"/>
        <v>0</v>
      </c>
      <c r="U76" s="1161">
        <f t="shared" si="2"/>
        <v>0</v>
      </c>
      <c r="V76" s="1161">
        <f t="shared" si="3"/>
        <v>0</v>
      </c>
      <c r="W76" s="1163">
        <f t="shared" si="4"/>
        <v>0</v>
      </c>
      <c r="X76" s="1163">
        <f t="shared" si="5"/>
        <v>0</v>
      </c>
      <c r="Y76" s="1163">
        <f t="shared" si="6"/>
        <v>0</v>
      </c>
      <c r="Z76" s="1163">
        <f t="shared" si="7"/>
        <v>0</v>
      </c>
    </row>
    <row r="77" spans="1:26" s="43" customFormat="1" ht="12" customHeight="1" x14ac:dyDescent="0.2">
      <c r="A77" s="178"/>
      <c r="B77" s="546">
        <f>IF($K$6="not necessary",0,LARGE(acute_overview_children!$AA$14:$AA$391,ROW()-(ROW($B$65))))</f>
        <v>0</v>
      </c>
      <c r="C77" s="237" t="str">
        <f>IF(Results!B77&gt;0,INDEX(acute_overview_children!$A$12:$AH$391,MATCH(Results!B77,acute_overview_children!$AA$12:$AA$391,0),3),"")</f>
        <v/>
      </c>
      <c r="D77" s="238">
        <f>IF(B77=0,0,CONCATENATE(ROUND(VLOOKUP(C77,acute_overview_children!$C$12:$AH$391,3,FALSE),2)," / ",ROUND(VLOOKUP(C77,acute_overview_children!$C$12:$AH$391,4,FALSE),2)))</f>
        <v>0</v>
      </c>
      <c r="E77" s="238" t="str">
        <f>IF(B77&gt;0,VLOOKUP(C77,acute_overview_children!$C$12:$AH$391,24,FALSE)*1000,"")</f>
        <v/>
      </c>
      <c r="F77" s="546">
        <f>IF($K$6="not necessary",0,LARGE(acute_overview_adults!$AA$14:$AA$391,ROW()-(ROW($B$65))))</f>
        <v>0</v>
      </c>
      <c r="G77" s="237" t="str">
        <f>IF(F77&gt;0,INDEX(acute_overview_adults!$A$12:$AH$391,MATCH(F77,acute_overview_adults!$AA$12:$AA$391,0),3),"")</f>
        <v/>
      </c>
      <c r="H77" s="238">
        <f>IF(F77=0,0,CONCATENATE(ROUND(VLOOKUP(G77,acute_overview_adults!$C$12:$AH$391,3,FALSE),2)," / ",ROUND(VLOOKUP(G77,acute_overview_adults!$C$12:$AH$391,4,FALSE),2)))</f>
        <v>0</v>
      </c>
      <c r="I77" s="239" t="str">
        <f>IF(F77&gt;0,VLOOKUP(G77,acute_overview_adults!$C$12:$AH$391,24,FALSE)*1000,"")</f>
        <v/>
      </c>
      <c r="J77" s="766">
        <f>IF($K$6="not necessary",0,LARGE(acute_overview_children!$AD$14:$AD$391,ROW()-ROW($B$65)))</f>
        <v>0</v>
      </c>
      <c r="K77" s="745" t="str">
        <f>IF(J77&gt;0,INDEX(acute_overview_children!$A$12:$AH$391,MATCH(J77,acute_overview_children!$AD$12:$AD$391,0),3),"")</f>
        <v/>
      </c>
      <c r="L77" s="755">
        <f>IF(J77=0,0,CONCATENATE(ROUND(VLOOKUP(K77,acute_overview_children!$C$12:$AH$391,3,FALSE),2)," / ",ROUND(VLOOKUP(K77,acute_overview_children!$C$12:$AH$391,6,FALSE),2)))</f>
        <v>0</v>
      </c>
      <c r="M77" s="755" t="str">
        <f>IF(J77&gt;0,VLOOKUP(K77,acute_overview_children!$C$12:$AH$391,27,FALSE)*1000,"")</f>
        <v/>
      </c>
      <c r="N77" s="766">
        <f>IF($K$6="not necessary",0,LARGE(acute_overview_adults!$AD$14:$AD$391,ROW()-ROW($F$65)))</f>
        <v>0</v>
      </c>
      <c r="O77" s="745" t="str">
        <f>IF(Results!N77&gt;0,INDEX(acute_overview_adults!$A$12:$AH$391,MATCH(Results!N77,acute_overview_adults!$AD$12:$AD$391,0),3),"")</f>
        <v/>
      </c>
      <c r="P77" s="755">
        <f>IF(N77=0,0,CONCATENATE(ROUND(VLOOKUP(O77,acute_overview_adults!$C$12:$AH$391,3,FALSE),2)," / ",ROUND(VLOOKUP(O77,acute_overview_adults!$C$12:$AH$391,6,FALSE),2)))</f>
        <v>0</v>
      </c>
      <c r="Q77" s="755" t="str">
        <f>IF(N77&gt;0,VLOOKUP(O77,acute_overview_adults!$C$12:$AH$391,27,FALSE)*1000,"")</f>
        <v/>
      </c>
      <c r="S77" s="1161">
        <f t="shared" si="0"/>
        <v>0</v>
      </c>
      <c r="T77" s="1161">
        <f t="shared" si="1"/>
        <v>0</v>
      </c>
      <c r="U77" s="1161">
        <f t="shared" si="2"/>
        <v>0</v>
      </c>
      <c r="V77" s="1161">
        <f t="shared" si="3"/>
        <v>0</v>
      </c>
      <c r="W77" s="1163">
        <f t="shared" si="4"/>
        <v>0</v>
      </c>
      <c r="X77" s="1163">
        <f t="shared" si="5"/>
        <v>0</v>
      </c>
      <c r="Y77" s="1163">
        <f t="shared" si="6"/>
        <v>0</v>
      </c>
      <c r="Z77" s="1163">
        <f t="shared" si="7"/>
        <v>0</v>
      </c>
    </row>
    <row r="78" spans="1:26" s="43" customFormat="1" ht="12" customHeight="1" x14ac:dyDescent="0.2">
      <c r="A78" s="178"/>
      <c r="B78" s="546">
        <f>IF($K$6="not necessary",0,LARGE(acute_overview_children!$AA$14:$AA$391,ROW()-(ROW($B$65))))</f>
        <v>0</v>
      </c>
      <c r="C78" s="237" t="str">
        <f>IF(Results!B78&gt;0,INDEX(acute_overview_children!$A$12:$AH$391,MATCH(Results!B78,acute_overview_children!$AA$12:$AA$391,0),3),"")</f>
        <v/>
      </c>
      <c r="D78" s="238">
        <f>IF(B78=0,0,CONCATENATE(ROUND(VLOOKUP(C78,acute_overview_children!$C$12:$AH$391,3,FALSE),2)," / ",ROUND(VLOOKUP(C78,acute_overview_children!$C$12:$AH$391,4,FALSE),2)))</f>
        <v>0</v>
      </c>
      <c r="E78" s="238" t="str">
        <f>IF(B78&gt;0,VLOOKUP(C78,acute_overview_children!$C$12:$AH$391,24,FALSE)*1000,"")</f>
        <v/>
      </c>
      <c r="F78" s="546">
        <f>IF($K$6="not necessary",0,LARGE(acute_overview_adults!$AA$14:$AA$391,ROW()-(ROW($B$65))))</f>
        <v>0</v>
      </c>
      <c r="G78" s="237" t="str">
        <f>IF(F78&gt;0,INDEX(acute_overview_adults!$A$12:$AH$391,MATCH(F78,acute_overview_adults!$AA$12:$AA$391,0),3),"")</f>
        <v/>
      </c>
      <c r="H78" s="238">
        <f>IF(F78=0,0,CONCATENATE(ROUND(VLOOKUP(G78,acute_overview_adults!$C$12:$AH$391,3,FALSE),2)," / ",ROUND(VLOOKUP(G78,acute_overview_adults!$C$12:$AH$391,4,FALSE),2)))</f>
        <v>0</v>
      </c>
      <c r="I78" s="239" t="str">
        <f>IF(F78&gt;0,VLOOKUP(G78,acute_overview_adults!$C$12:$AH$391,24,FALSE)*1000,"")</f>
        <v/>
      </c>
      <c r="J78" s="766">
        <f>IF($K$6="not necessary",0,LARGE(acute_overview_children!$AD$14:$AD$391,ROW()-ROW($B$65)))</f>
        <v>0</v>
      </c>
      <c r="K78" s="745" t="str">
        <f>IF(J78&gt;0,INDEX(acute_overview_children!$A$12:$AH$391,MATCH(J78,acute_overview_children!$AD$12:$AD$391,0),3),"")</f>
        <v/>
      </c>
      <c r="L78" s="755">
        <f>IF(J78=0,0,CONCATENATE(ROUND(VLOOKUP(K78,acute_overview_children!$C$12:$AH$391,3,FALSE),2)," / ",ROUND(VLOOKUP(K78,acute_overview_children!$C$12:$AH$391,6,FALSE),2)))</f>
        <v>0</v>
      </c>
      <c r="M78" s="755" t="str">
        <f>IF(J78&gt;0,VLOOKUP(K78,acute_overview_children!$C$12:$AH$391,27,FALSE)*1000,"")</f>
        <v/>
      </c>
      <c r="N78" s="766">
        <f>IF($K$6="not necessary",0,LARGE(acute_overview_adults!$AD$14:$AD$391,ROW()-ROW($F$65)))</f>
        <v>0</v>
      </c>
      <c r="O78" s="745" t="str">
        <f>IF(Results!N78&gt;0,INDEX(acute_overview_adults!$A$12:$AH$391,MATCH(Results!N78,acute_overview_adults!$AD$12:$AD$391,0),3),"")</f>
        <v/>
      </c>
      <c r="P78" s="755">
        <f>IF(N78=0,0,CONCATENATE(ROUND(VLOOKUP(O78,acute_overview_adults!$C$12:$AH$391,3,FALSE),2)," / ",ROUND(VLOOKUP(O78,acute_overview_adults!$C$12:$AH$391,6,FALSE),2)))</f>
        <v>0</v>
      </c>
      <c r="Q78" s="755" t="str">
        <f>IF(N78&gt;0,VLOOKUP(O78,acute_overview_adults!$C$12:$AH$391,27,FALSE)*1000,"")</f>
        <v/>
      </c>
      <c r="S78" s="1161">
        <f t="shared" si="0"/>
        <v>0</v>
      </c>
      <c r="T78" s="1161">
        <f t="shared" si="1"/>
        <v>0</v>
      </c>
      <c r="U78" s="1161">
        <f t="shared" si="2"/>
        <v>0</v>
      </c>
      <c r="V78" s="1161">
        <f t="shared" si="3"/>
        <v>0</v>
      </c>
      <c r="W78" s="1163">
        <f t="shared" si="4"/>
        <v>0</v>
      </c>
      <c r="X78" s="1163">
        <f t="shared" si="5"/>
        <v>0</v>
      </c>
      <c r="Y78" s="1163">
        <f t="shared" si="6"/>
        <v>0</v>
      </c>
      <c r="Z78" s="1163">
        <f t="shared" si="7"/>
        <v>0</v>
      </c>
    </row>
    <row r="79" spans="1:26" s="43" customFormat="1" ht="12" customHeight="1" x14ac:dyDescent="0.2">
      <c r="A79" s="178"/>
      <c r="B79" s="546">
        <f>IF($K$6="not necessary",0,LARGE(acute_overview_children!$AA$14:$AA$391,ROW()-(ROW($B$65))))</f>
        <v>0</v>
      </c>
      <c r="C79" s="237" t="str">
        <f>IF(Results!B79&gt;0,INDEX(acute_overview_children!$A$12:$AH$391,MATCH(Results!B79,acute_overview_children!$AA$12:$AA$391,0),3),"")</f>
        <v/>
      </c>
      <c r="D79" s="238">
        <f>IF(B79=0,0,CONCATENATE(ROUND(VLOOKUP(C79,acute_overview_children!$C$12:$AH$391,3,FALSE),2)," / ",ROUND(VLOOKUP(C79,acute_overview_children!$C$12:$AH$391,4,FALSE),2)))</f>
        <v>0</v>
      </c>
      <c r="E79" s="238" t="str">
        <f>IF(B79&gt;0,VLOOKUP(C79,acute_overview_children!$C$12:$AH$391,24,FALSE)*1000,"")</f>
        <v/>
      </c>
      <c r="F79" s="546">
        <f>IF($K$6="not necessary",0,LARGE(acute_overview_adults!$AA$14:$AA$391,ROW()-(ROW($B$65))))</f>
        <v>0</v>
      </c>
      <c r="G79" s="237" t="str">
        <f>IF(F79&gt;0,INDEX(acute_overview_adults!$A$12:$AH$391,MATCH(F79,acute_overview_adults!$AA$12:$AA$391,0),3),"")</f>
        <v/>
      </c>
      <c r="H79" s="238">
        <f>IF(F79=0,0,CONCATENATE(ROUND(VLOOKUP(G79,acute_overview_adults!$C$12:$AH$391,3,FALSE),2)," / ",ROUND(VLOOKUP(G79,acute_overview_adults!$C$12:$AH$391,4,FALSE),2)))</f>
        <v>0</v>
      </c>
      <c r="I79" s="239" t="str">
        <f>IF(F79&gt;0,VLOOKUP(G79,acute_overview_adults!$C$12:$AH$391,24,FALSE)*1000,"")</f>
        <v/>
      </c>
      <c r="J79" s="766">
        <f>IF($K$6="not necessary",0,LARGE(acute_overview_children!$AD$14:$AD$391,ROW()-ROW($B$65)))</f>
        <v>0</v>
      </c>
      <c r="K79" s="745" t="str">
        <f>IF(J79&gt;0,INDEX(acute_overview_children!$A$12:$AH$391,MATCH(J79,acute_overview_children!$AD$12:$AD$391,0),3),"")</f>
        <v/>
      </c>
      <c r="L79" s="755">
        <f>IF(J79=0,0,CONCATENATE(ROUND(VLOOKUP(K79,acute_overview_children!$C$12:$AH$391,3,FALSE),2)," / ",ROUND(VLOOKUP(K79,acute_overview_children!$C$12:$AH$391,6,FALSE),2)))</f>
        <v>0</v>
      </c>
      <c r="M79" s="755" t="str">
        <f>IF(J79&gt;0,VLOOKUP(K79,acute_overview_children!$C$12:$AH$391,27,FALSE)*1000,"")</f>
        <v/>
      </c>
      <c r="N79" s="766">
        <f>IF($K$6="not necessary",0,LARGE(acute_overview_adults!$AD$14:$AD$391,ROW()-ROW($F$65)))</f>
        <v>0</v>
      </c>
      <c r="O79" s="745" t="str">
        <f>IF(Results!N79&gt;0,INDEX(acute_overview_adults!$A$12:$AH$391,MATCH(Results!N79,acute_overview_adults!$AD$12:$AD$391,0),3),"")</f>
        <v/>
      </c>
      <c r="P79" s="755">
        <f>IF(N79=0,0,CONCATENATE(ROUND(VLOOKUP(O79,acute_overview_adults!$C$12:$AH$391,3,FALSE),2)," / ",ROUND(VLOOKUP(O79,acute_overview_adults!$C$12:$AH$391,6,FALSE),2)))</f>
        <v>0</v>
      </c>
      <c r="Q79" s="755" t="str">
        <f>IF(N79&gt;0,VLOOKUP(O79,acute_overview_adults!$C$12:$AH$391,27,FALSE)*1000,"")</f>
        <v/>
      </c>
      <c r="S79" s="1161">
        <f t="shared" si="0"/>
        <v>0</v>
      </c>
      <c r="T79" s="1161">
        <f t="shared" si="1"/>
        <v>0</v>
      </c>
      <c r="U79" s="1161">
        <f t="shared" si="2"/>
        <v>0</v>
      </c>
      <c r="V79" s="1161">
        <f t="shared" si="3"/>
        <v>0</v>
      </c>
      <c r="W79" s="1163">
        <f t="shared" si="4"/>
        <v>0</v>
      </c>
      <c r="X79" s="1163">
        <f t="shared" si="5"/>
        <v>0</v>
      </c>
      <c r="Y79" s="1163">
        <f t="shared" si="6"/>
        <v>0</v>
      </c>
      <c r="Z79" s="1163">
        <f t="shared" si="7"/>
        <v>0</v>
      </c>
    </row>
    <row r="80" spans="1:26" s="43" customFormat="1" ht="12" customHeight="1" x14ac:dyDescent="0.2">
      <c r="A80" s="178"/>
      <c r="B80" s="546">
        <f>IF($K$6="not necessary",0,LARGE(acute_overview_children!$AA$14:$AA$391,ROW()-(ROW($B$65))))</f>
        <v>0</v>
      </c>
      <c r="C80" s="237" t="str">
        <f>IF(Results!B80&gt;0,INDEX(acute_overview_children!$A$12:$AH$391,MATCH(Results!B80,acute_overview_children!$AA$12:$AA$391,0),3),"")</f>
        <v/>
      </c>
      <c r="D80" s="238">
        <f>IF(B80=0,0,CONCATENATE(ROUND(VLOOKUP(C80,acute_overview_children!$C$12:$AH$391,3,FALSE),2)," / ",ROUND(VLOOKUP(C80,acute_overview_children!$C$12:$AH$391,4,FALSE),2)))</f>
        <v>0</v>
      </c>
      <c r="E80" s="238" t="str">
        <f>IF(B80&gt;0,VLOOKUP(C80,acute_overview_children!$C$12:$AH$391,24,FALSE)*1000,"")</f>
        <v/>
      </c>
      <c r="F80" s="546">
        <f>IF($K$6="not necessary",0,LARGE(acute_overview_adults!$AA$14:$AA$391,ROW()-(ROW($B$65))))</f>
        <v>0</v>
      </c>
      <c r="G80" s="237" t="str">
        <f>IF(F80&gt;0,INDEX(acute_overview_adults!$A$12:$AH$391,MATCH(F80,acute_overview_adults!$AA$12:$AA$391,0),3),"")</f>
        <v/>
      </c>
      <c r="H80" s="238">
        <f>IF(F80=0,0,CONCATENATE(ROUND(VLOOKUP(G80,acute_overview_adults!$C$12:$AH$391,3,FALSE),2)," / ",ROUND(VLOOKUP(G80,acute_overview_adults!$C$12:$AH$391,4,FALSE),2)))</f>
        <v>0</v>
      </c>
      <c r="I80" s="239" t="str">
        <f>IF(F80&gt;0,VLOOKUP(G80,acute_overview_adults!$C$12:$AH$391,24,FALSE)*1000,"")</f>
        <v/>
      </c>
      <c r="J80" s="766">
        <f>IF($K$6="not necessary",0,LARGE(acute_overview_children!$AD$14:$AD$391,ROW()-ROW($B$65)))</f>
        <v>0</v>
      </c>
      <c r="K80" s="745" t="str">
        <f>IF(J80&gt;0,INDEX(acute_overview_children!$A$12:$AH$391,MATCH(J80,acute_overview_children!$AD$12:$AD$391,0),3),"")</f>
        <v/>
      </c>
      <c r="L80" s="755">
        <f>IF(J80=0,0,CONCATENATE(ROUND(VLOOKUP(K80,acute_overview_children!$C$12:$AH$391,3,FALSE),2)," / ",ROUND(VLOOKUP(K80,acute_overview_children!$C$12:$AH$391,6,FALSE),2)))</f>
        <v>0</v>
      </c>
      <c r="M80" s="755" t="str">
        <f>IF(J80&gt;0,VLOOKUP(K80,acute_overview_children!$C$12:$AH$391,27,FALSE)*1000,"")</f>
        <v/>
      </c>
      <c r="N80" s="766">
        <f>IF($K$6="not necessary",0,LARGE(acute_overview_adults!$AD$14:$AD$391,ROW()-ROW($F$65)))</f>
        <v>0</v>
      </c>
      <c r="O80" s="745" t="str">
        <f>IF(Results!N80&gt;0,INDEX(acute_overview_adults!$A$12:$AH$391,MATCH(Results!N80,acute_overview_adults!$AD$12:$AD$391,0),3),"")</f>
        <v/>
      </c>
      <c r="P80" s="755">
        <f>IF(N80=0,0,CONCATENATE(ROUND(VLOOKUP(O80,acute_overview_adults!$C$12:$AH$391,3,FALSE),2)," / ",ROUND(VLOOKUP(O80,acute_overview_adults!$C$12:$AH$391,6,FALSE),2)))</f>
        <v>0</v>
      </c>
      <c r="Q80" s="755" t="str">
        <f>IF(N80&gt;0,VLOOKUP(O80,acute_overview_adults!$C$12:$AH$391,27,FALSE)*1000,"")</f>
        <v/>
      </c>
      <c r="S80" s="1161">
        <f t="shared" si="0"/>
        <v>0</v>
      </c>
      <c r="T80" s="1161">
        <f t="shared" si="1"/>
        <v>0</v>
      </c>
      <c r="U80" s="1161">
        <f t="shared" si="2"/>
        <v>0</v>
      </c>
      <c r="V80" s="1161">
        <f t="shared" si="3"/>
        <v>0</v>
      </c>
      <c r="W80" s="1163">
        <f t="shared" si="4"/>
        <v>0</v>
      </c>
      <c r="X80" s="1163">
        <f t="shared" si="5"/>
        <v>0</v>
      </c>
      <c r="Y80" s="1163">
        <f t="shared" si="6"/>
        <v>0</v>
      </c>
      <c r="Z80" s="1163">
        <f t="shared" si="7"/>
        <v>0</v>
      </c>
    </row>
    <row r="81" spans="1:26" s="43" customFormat="1" ht="12" hidden="1" customHeight="1" outlineLevel="1" x14ac:dyDescent="0.2">
      <c r="A81" s="178"/>
      <c r="B81" s="546">
        <f>IF($K$6="not necessary",0,LARGE(acute_overview_children!$AA$14:$AA$391,ROW()-(ROW($B$65))))</f>
        <v>0</v>
      </c>
      <c r="C81" s="237" t="str">
        <f>IF(Results!B81&gt;0,INDEX(acute_overview_children!$A$12:$AH$391,MATCH(Results!B81,acute_overview_children!$AA$12:$AA$391,0),3),"")</f>
        <v/>
      </c>
      <c r="D81" s="238">
        <f>IF(B81=0,0,CONCATENATE(ROUND(VLOOKUP(C81,acute_overview_children!$C$12:$AH$391,3,FALSE),2)," / ",ROUND(VLOOKUP(C81,acute_overview_children!$C$12:$AH$391,4,FALSE),2)))</f>
        <v>0</v>
      </c>
      <c r="E81" s="238" t="str">
        <f>IF(B81&gt;0,VLOOKUP(C81,acute_overview_children!$C$12:$AH$391,24,FALSE)*1000,"")</f>
        <v/>
      </c>
      <c r="F81" s="546">
        <f>IF($K$6="not necessary",0,LARGE(acute_overview_adults!$AA$14:$AA$391,ROW()-(ROW($B$65))))</f>
        <v>0</v>
      </c>
      <c r="G81" s="237" t="str">
        <f>IF(F81&gt;0,INDEX(acute_overview_adults!$A$12:$AH$391,MATCH(F81,acute_overview_adults!$AA$12:$AA$391,0),3),"")</f>
        <v/>
      </c>
      <c r="H81" s="238">
        <f>IF(F81=0,0,CONCATENATE(ROUND(VLOOKUP(G81,acute_overview_adults!$C$12:$AH$391,3,FALSE),2)," / ",ROUND(VLOOKUP(G81,acute_overview_adults!$C$12:$AH$391,4,FALSE),2)))</f>
        <v>0</v>
      </c>
      <c r="I81" s="239" t="str">
        <f>IF(F81&gt;0,VLOOKUP(G81,acute_overview_adults!$C$12:$AH$391,24,FALSE)*1000,"")</f>
        <v/>
      </c>
      <c r="J81" s="766">
        <f>IF($K$6="not necessary",0,LARGE(acute_overview_children!$AD$14:$AD$391,ROW()-ROW($B$65)))</f>
        <v>0</v>
      </c>
      <c r="K81" s="745" t="str">
        <f>IF(J81&gt;0,INDEX(acute_overview_children!$A$12:$AH$391,MATCH(J81,acute_overview_children!$AD$12:$AD$391,0),3),"")</f>
        <v/>
      </c>
      <c r="L81" s="755">
        <f>IF(J81=0,0,CONCATENATE(ROUND(VLOOKUP(K81,acute_overview_children!$C$12:$AH$391,3,FALSE),2)," / ",ROUND(VLOOKUP(K81,acute_overview_children!$C$12:$AH$391,6,FALSE),2)))</f>
        <v>0</v>
      </c>
      <c r="M81" s="755" t="str">
        <f>IF(J81&gt;0,VLOOKUP(K81,acute_overview_children!$C$12:$AH$391,27,FALSE)*1000,"")</f>
        <v/>
      </c>
      <c r="N81" s="766">
        <f>IF($K$6="not necessary",0,LARGE(acute_overview_adults!$AD$14:$AD$391,ROW()-ROW($F$65)))</f>
        <v>0</v>
      </c>
      <c r="O81" s="745" t="str">
        <f>IF(Results!N81&gt;0,INDEX(acute_overview_adults!$A$12:$AH$391,MATCH(Results!N81,acute_overview_adults!$AD$12:$AD$391,0),3),"")</f>
        <v/>
      </c>
      <c r="P81" s="755">
        <f>IF(N81=0,0,CONCATENATE(ROUND(VLOOKUP(O81,acute_overview_adults!$C$12:$AH$391,3,FALSE),2)," / ",ROUND(VLOOKUP(O81,acute_overview_adults!$C$12:$AH$391,6,FALSE),2)))</f>
        <v>0</v>
      </c>
      <c r="Q81" s="755" t="str">
        <f>IF(N81&gt;0,VLOOKUP(O81,acute_overview_adults!$C$12:$AH$391,27,FALSE)*1000,"")</f>
        <v/>
      </c>
      <c r="S81" s="1161">
        <f t="shared" si="0"/>
        <v>0</v>
      </c>
      <c r="T81" s="1161">
        <f t="shared" si="1"/>
        <v>0</v>
      </c>
      <c r="U81" s="1161">
        <f t="shared" si="2"/>
        <v>0</v>
      </c>
      <c r="V81" s="1161">
        <f t="shared" si="3"/>
        <v>0</v>
      </c>
      <c r="W81" s="1163">
        <f t="shared" si="4"/>
        <v>0</v>
      </c>
      <c r="X81" s="1163">
        <f t="shared" si="5"/>
        <v>0</v>
      </c>
      <c r="Y81" s="1163">
        <f t="shared" si="6"/>
        <v>0</v>
      </c>
      <c r="Z81" s="1163">
        <f t="shared" si="7"/>
        <v>0</v>
      </c>
    </row>
    <row r="82" spans="1:26" s="43" customFormat="1" ht="12" hidden="1" customHeight="1" outlineLevel="1" x14ac:dyDescent="0.2">
      <c r="A82" s="178"/>
      <c r="B82" s="546">
        <f>IF($K$6="not necessary",0,LARGE(acute_overview_children!$AA$14:$AA$391,ROW()-(ROW($B$65))))</f>
        <v>0</v>
      </c>
      <c r="C82" s="237" t="str">
        <f>IF(Results!B82&gt;0,INDEX(acute_overview_children!$A$12:$AH$391,MATCH(Results!B82,acute_overview_children!$AA$12:$AA$391,0),3),"")</f>
        <v/>
      </c>
      <c r="D82" s="238">
        <f>IF(B82=0,0,CONCATENATE(ROUND(VLOOKUP(C82,acute_overview_children!$C$12:$AH$391,3,FALSE),2)," / ",ROUND(VLOOKUP(C82,acute_overview_children!$C$12:$AH$391,4,FALSE),2)))</f>
        <v>0</v>
      </c>
      <c r="E82" s="238" t="str">
        <f>IF(B82&gt;0,VLOOKUP(C82,acute_overview_children!$C$12:$AH$391,24,FALSE)*1000,"")</f>
        <v/>
      </c>
      <c r="F82" s="546">
        <f>IF($K$6="not necessary",0,LARGE(acute_overview_adults!$AA$14:$AA$391,ROW()-(ROW($B$65))))</f>
        <v>0</v>
      </c>
      <c r="G82" s="237" t="str">
        <f>IF(F82&gt;0,INDEX(acute_overview_adults!$A$12:$AH$391,MATCH(F82,acute_overview_adults!$AA$12:$AA$391,0),3),"")</f>
        <v/>
      </c>
      <c r="H82" s="238">
        <f>IF(F82=0,0,CONCATENATE(ROUND(VLOOKUP(G82,acute_overview_adults!$C$12:$AH$391,3,FALSE),2)," / ",ROUND(VLOOKUP(G82,acute_overview_adults!$C$12:$AH$391,4,FALSE),2)))</f>
        <v>0</v>
      </c>
      <c r="I82" s="239" t="str">
        <f>IF(F82&gt;0,VLOOKUP(G82,acute_overview_adults!$C$12:$AH$391,24,FALSE)*1000,"")</f>
        <v/>
      </c>
      <c r="J82" s="766">
        <f>IF($K$6="not necessary",0,LARGE(acute_overview_children!$AD$14:$AD$391,ROW()-ROW($B$65)))</f>
        <v>0</v>
      </c>
      <c r="K82" s="745" t="str">
        <f>IF(J82&gt;0,INDEX(acute_overview_children!$A$12:$AH$391,MATCH(J82,acute_overview_children!$AD$12:$AD$391,0),3),"")</f>
        <v/>
      </c>
      <c r="L82" s="755">
        <f>IF(J82=0,0,CONCATENATE(ROUND(VLOOKUP(K82,acute_overview_children!$C$12:$AH$391,3,FALSE),2)," / ",ROUND(VLOOKUP(K82,acute_overview_children!$C$12:$AH$391,6,FALSE),2)))</f>
        <v>0</v>
      </c>
      <c r="M82" s="755" t="str">
        <f>IF(J82&gt;0,VLOOKUP(K82,acute_overview_children!$C$12:$AH$391,27,FALSE)*1000,"")</f>
        <v/>
      </c>
      <c r="N82" s="766">
        <f>IF($K$6="not necessary",0,LARGE(acute_overview_adults!$AD$14:$AD$391,ROW()-ROW($F$65)))</f>
        <v>0</v>
      </c>
      <c r="O82" s="745" t="str">
        <f>IF(Results!N82&gt;0,INDEX(acute_overview_adults!$A$12:$AH$391,MATCH(Results!N82,acute_overview_adults!$AD$12:$AD$391,0),3),"")</f>
        <v/>
      </c>
      <c r="P82" s="755">
        <f>IF(N82=0,0,CONCATENATE(ROUND(VLOOKUP(O82,acute_overview_adults!$C$12:$AH$391,3,FALSE),2)," / ",ROUND(VLOOKUP(O82,acute_overview_adults!$C$12:$AH$391,6,FALSE),2)))</f>
        <v>0</v>
      </c>
      <c r="Q82" s="755" t="str">
        <f>IF(N82&gt;0,VLOOKUP(O82,acute_overview_adults!$C$12:$AH$391,27,FALSE)*1000,"")</f>
        <v/>
      </c>
      <c r="S82" s="1161">
        <f t="shared" si="0"/>
        <v>0</v>
      </c>
      <c r="T82" s="1161">
        <f t="shared" si="1"/>
        <v>0</v>
      </c>
      <c r="U82" s="1161">
        <f t="shared" si="2"/>
        <v>0</v>
      </c>
      <c r="V82" s="1161">
        <f t="shared" si="3"/>
        <v>0</v>
      </c>
      <c r="W82" s="1163">
        <f t="shared" si="4"/>
        <v>0</v>
      </c>
      <c r="X82" s="1163">
        <f t="shared" si="5"/>
        <v>0</v>
      </c>
      <c r="Y82" s="1163">
        <f t="shared" si="6"/>
        <v>0</v>
      </c>
      <c r="Z82" s="1163">
        <f t="shared" si="7"/>
        <v>0</v>
      </c>
    </row>
    <row r="83" spans="1:26" s="43" customFormat="1" ht="12" hidden="1" customHeight="1" outlineLevel="1" x14ac:dyDescent="0.2">
      <c r="A83" s="178"/>
      <c r="B83" s="546">
        <f>IF($K$6="not necessary",0,LARGE(acute_overview_children!$AA$14:$AA$391,ROW()-(ROW($B$65))))</f>
        <v>0</v>
      </c>
      <c r="C83" s="237" t="str">
        <f>IF(Results!B83&gt;0,INDEX(acute_overview_children!$A$12:$AH$391,MATCH(Results!B83,acute_overview_children!$AA$12:$AA$391,0),3),"")</f>
        <v/>
      </c>
      <c r="D83" s="238">
        <f>IF(B83=0,0,CONCATENATE(ROUND(VLOOKUP(C83,acute_overview_children!$C$12:$AH$391,3,FALSE),2)," / ",ROUND(VLOOKUP(C83,acute_overview_children!$C$12:$AH$391,4,FALSE),2)))</f>
        <v>0</v>
      </c>
      <c r="E83" s="238" t="str">
        <f>IF(B83&gt;0,VLOOKUP(C83,acute_overview_children!$C$12:$AH$391,24,FALSE)*1000,"")</f>
        <v/>
      </c>
      <c r="F83" s="546">
        <f>IF($K$6="not necessary",0,LARGE(acute_overview_adults!$AA$14:$AA$391,ROW()-(ROW($B$65))))</f>
        <v>0</v>
      </c>
      <c r="G83" s="237" t="str">
        <f>IF(F83&gt;0,INDEX(acute_overview_adults!$A$12:$AH$391,MATCH(F83,acute_overview_adults!$AA$12:$AA$391,0),3),"")</f>
        <v/>
      </c>
      <c r="H83" s="238">
        <f>IF(F83=0,0,CONCATENATE(ROUND(VLOOKUP(G83,acute_overview_adults!$C$12:$AH$391,3,FALSE),2)," / ",ROUND(VLOOKUP(G83,acute_overview_adults!$C$12:$AH$391,4,FALSE),2)))</f>
        <v>0</v>
      </c>
      <c r="I83" s="239" t="str">
        <f>IF(F83&gt;0,VLOOKUP(G83,acute_overview_adults!$C$12:$AH$391,24,FALSE)*1000,"")</f>
        <v/>
      </c>
      <c r="J83" s="766">
        <f>IF($K$6="not necessary",0,LARGE(acute_overview_children!$AD$14:$AD$391,ROW()-ROW($B$65)))</f>
        <v>0</v>
      </c>
      <c r="K83" s="745" t="str">
        <f>IF(J83&gt;0,INDEX(acute_overview_children!$A$12:$AH$391,MATCH(J83,acute_overview_children!$AD$12:$AD$391,0),3),"")</f>
        <v/>
      </c>
      <c r="L83" s="755">
        <f>IF(J83=0,0,CONCATENATE(ROUND(VLOOKUP(K83,acute_overview_children!$C$12:$AH$391,3,FALSE),2)," / ",ROUND(VLOOKUP(K83,acute_overview_children!$C$12:$AH$391,6,FALSE),2)))</f>
        <v>0</v>
      </c>
      <c r="M83" s="755" t="str">
        <f>IF(J83&gt;0,VLOOKUP(K83,acute_overview_children!$C$12:$AH$391,27,FALSE)*1000,"")</f>
        <v/>
      </c>
      <c r="N83" s="766">
        <f>IF($K$6="not necessary",0,LARGE(acute_overview_adults!$AD$14:$AD$391,ROW()-ROW($F$65)))</f>
        <v>0</v>
      </c>
      <c r="O83" s="745" t="str">
        <f>IF(Results!N83&gt;0,INDEX(acute_overview_adults!$A$12:$AH$391,MATCH(Results!N83,acute_overview_adults!$AD$12:$AD$391,0),3),"")</f>
        <v/>
      </c>
      <c r="P83" s="755">
        <f>IF(N83=0,0,CONCATENATE(ROUND(VLOOKUP(O83,acute_overview_adults!$C$12:$AH$391,3,FALSE),2)," / ",ROUND(VLOOKUP(O83,acute_overview_adults!$C$12:$AH$391,6,FALSE),2)))</f>
        <v>0</v>
      </c>
      <c r="Q83" s="755" t="str">
        <f>IF(N83&gt;0,VLOOKUP(O83,acute_overview_adults!$C$12:$AH$391,27,FALSE)*1000,"")</f>
        <v/>
      </c>
      <c r="S83" s="1161">
        <f t="shared" si="0"/>
        <v>0</v>
      </c>
      <c r="T83" s="1161">
        <f t="shared" si="1"/>
        <v>0</v>
      </c>
      <c r="U83" s="1161">
        <f t="shared" si="2"/>
        <v>0</v>
      </c>
      <c r="V83" s="1161">
        <f t="shared" si="3"/>
        <v>0</v>
      </c>
      <c r="W83" s="1163">
        <f t="shared" si="4"/>
        <v>0</v>
      </c>
      <c r="X83" s="1163">
        <f t="shared" si="5"/>
        <v>0</v>
      </c>
      <c r="Y83" s="1163">
        <f t="shared" si="6"/>
        <v>0</v>
      </c>
      <c r="Z83" s="1163">
        <f t="shared" si="7"/>
        <v>0</v>
      </c>
    </row>
    <row r="84" spans="1:26" s="43" customFormat="1" ht="12" hidden="1" customHeight="1" outlineLevel="1" x14ac:dyDescent="0.2">
      <c r="A84" s="178"/>
      <c r="B84" s="546">
        <f>IF($K$6="not necessary",0,LARGE(acute_overview_children!$AA$14:$AA$391,ROW()-(ROW($B$65))))</f>
        <v>0</v>
      </c>
      <c r="C84" s="237" t="str">
        <f>IF(Results!B84&gt;0,INDEX(acute_overview_children!$A$12:$AH$391,MATCH(Results!B84,acute_overview_children!$AA$12:$AA$391,0),3),"")</f>
        <v/>
      </c>
      <c r="D84" s="238">
        <f>IF(B84=0,0,CONCATENATE(ROUND(VLOOKUP(C84,acute_overview_children!$C$12:$AH$391,3,FALSE),2)," / ",ROUND(VLOOKUP(C84,acute_overview_children!$C$12:$AH$391,4,FALSE),2)))</f>
        <v>0</v>
      </c>
      <c r="E84" s="238" t="str">
        <f>IF(B84&gt;0,VLOOKUP(C84,acute_overview_children!$C$12:$AH$391,24,FALSE)*1000,"")</f>
        <v/>
      </c>
      <c r="F84" s="546">
        <f>IF($K$6="not necessary",0,LARGE(acute_overview_adults!$AA$14:$AA$391,ROW()-(ROW($B$65))))</f>
        <v>0</v>
      </c>
      <c r="G84" s="237" t="str">
        <f>IF(F84&gt;0,INDEX(acute_overview_adults!$A$12:$AH$391,MATCH(F84,acute_overview_adults!$AA$12:$AA$391,0),3),"")</f>
        <v/>
      </c>
      <c r="H84" s="238">
        <f>IF(F84=0,0,CONCATENATE(ROUND(VLOOKUP(G84,acute_overview_adults!$C$12:$AH$391,3,FALSE),2)," / ",ROUND(VLOOKUP(G84,acute_overview_adults!$C$12:$AH$391,4,FALSE),2)))</f>
        <v>0</v>
      </c>
      <c r="I84" s="239" t="str">
        <f>IF(F84&gt;0,VLOOKUP(G84,acute_overview_adults!$C$12:$AH$391,24,FALSE)*1000,"")</f>
        <v/>
      </c>
      <c r="J84" s="766">
        <f>IF($K$6="not necessary",0,LARGE(acute_overview_children!$AD$14:$AD$391,ROW()-ROW($B$65)))</f>
        <v>0</v>
      </c>
      <c r="K84" s="745" t="str">
        <f>IF(J84&gt;0,INDEX(acute_overview_children!$A$12:$AH$391,MATCH(J84,acute_overview_children!$AD$12:$AD$391,0),3),"")</f>
        <v/>
      </c>
      <c r="L84" s="755">
        <f>IF(J84=0,0,CONCATENATE(ROUND(VLOOKUP(K84,acute_overview_children!$C$12:$AH$391,3,FALSE),2)," / ",ROUND(VLOOKUP(K84,acute_overview_children!$C$12:$AH$391,6,FALSE),2)))</f>
        <v>0</v>
      </c>
      <c r="M84" s="755" t="str">
        <f>IF(J84&gt;0,VLOOKUP(K84,acute_overview_children!$C$12:$AH$391,27,FALSE)*1000,"")</f>
        <v/>
      </c>
      <c r="N84" s="766">
        <f>IF($K$6="not necessary",0,LARGE(acute_overview_adults!$AD$14:$AD$391,ROW()-ROW($F$65)))</f>
        <v>0</v>
      </c>
      <c r="O84" s="745" t="str">
        <f>IF(Results!N84&gt;0,INDEX(acute_overview_adults!$A$12:$AH$391,MATCH(Results!N84,acute_overview_adults!$AD$12:$AD$391,0),3),"")</f>
        <v/>
      </c>
      <c r="P84" s="755">
        <f>IF(N84=0,0,CONCATENATE(ROUND(VLOOKUP(O84,acute_overview_adults!$C$12:$AH$391,3,FALSE),2)," / ",ROUND(VLOOKUP(O84,acute_overview_adults!$C$12:$AH$391,6,FALSE),2)))</f>
        <v>0</v>
      </c>
      <c r="Q84" s="755" t="str">
        <f>IF(N84&gt;0,VLOOKUP(O84,acute_overview_adults!$C$12:$AH$391,27,FALSE)*1000,"")</f>
        <v/>
      </c>
      <c r="S84" s="1161">
        <f t="shared" si="0"/>
        <v>0</v>
      </c>
      <c r="T84" s="1161">
        <f t="shared" si="1"/>
        <v>0</v>
      </c>
      <c r="U84" s="1161">
        <f t="shared" si="2"/>
        <v>0</v>
      </c>
      <c r="V84" s="1161">
        <f t="shared" si="3"/>
        <v>0</v>
      </c>
      <c r="W84" s="1163">
        <f t="shared" si="4"/>
        <v>0</v>
      </c>
      <c r="X84" s="1163">
        <f t="shared" si="5"/>
        <v>0</v>
      </c>
      <c r="Y84" s="1163">
        <f t="shared" si="6"/>
        <v>0</v>
      </c>
      <c r="Z84" s="1163">
        <f t="shared" si="7"/>
        <v>0</v>
      </c>
    </row>
    <row r="85" spans="1:26" s="43" customFormat="1" ht="12" hidden="1" customHeight="1" outlineLevel="1" x14ac:dyDescent="0.2">
      <c r="A85" s="178"/>
      <c r="B85" s="546">
        <f>IF($K$6="not necessary",0,LARGE(acute_overview_children!$AA$14:$AA$391,ROW()-(ROW($B$65))))</f>
        <v>0</v>
      </c>
      <c r="C85" s="237" t="str">
        <f>IF(Results!B85&gt;0,INDEX(acute_overview_children!$A$12:$AH$391,MATCH(Results!B85,acute_overview_children!$AA$12:$AA$391,0),3),"")</f>
        <v/>
      </c>
      <c r="D85" s="238">
        <f>IF(B85=0,0,CONCATENATE(ROUND(VLOOKUP(C85,acute_overview_children!$C$12:$AH$391,3,FALSE),2)," / ",ROUND(VLOOKUP(C85,acute_overview_children!$C$12:$AH$391,4,FALSE),2)))</f>
        <v>0</v>
      </c>
      <c r="E85" s="238" t="str">
        <f>IF(B85&gt;0,VLOOKUP(C85,acute_overview_children!$C$12:$AH$391,24,FALSE)*1000,"")</f>
        <v/>
      </c>
      <c r="F85" s="546">
        <f>IF($K$6="not necessary",0,LARGE(acute_overview_adults!$AA$14:$AA$391,ROW()-(ROW($B$65))))</f>
        <v>0</v>
      </c>
      <c r="G85" s="237" t="str">
        <f>IF(F85&gt;0,INDEX(acute_overview_adults!$A$12:$AH$391,MATCH(F85,acute_overview_adults!$AA$12:$AA$391,0),3),"")</f>
        <v/>
      </c>
      <c r="H85" s="238">
        <f>IF(F85=0,0,CONCATENATE(ROUND(VLOOKUP(G85,acute_overview_adults!$C$12:$AH$391,3,FALSE),2)," / ",ROUND(VLOOKUP(G85,acute_overview_adults!$C$12:$AH$391,4,FALSE),2)))</f>
        <v>0</v>
      </c>
      <c r="I85" s="239" t="str">
        <f>IF(F85&gt;0,VLOOKUP(G85,acute_overview_adults!$C$12:$AH$391,24,FALSE)*1000,"")</f>
        <v/>
      </c>
      <c r="J85" s="766">
        <f>IF($K$6="not necessary",0,LARGE(acute_overview_children!$AD$14:$AD$391,ROW()-ROW($B$65)))</f>
        <v>0</v>
      </c>
      <c r="K85" s="745" t="str">
        <f>IF(J85&gt;0,INDEX(acute_overview_children!$A$12:$AH$391,MATCH(J85,acute_overview_children!$AD$12:$AD$391,0),3),"")</f>
        <v/>
      </c>
      <c r="L85" s="755">
        <f>IF(J85=0,0,CONCATENATE(ROUND(VLOOKUP(K85,acute_overview_children!$C$12:$AH$391,3,FALSE),2)," / ",ROUND(VLOOKUP(K85,acute_overview_children!$C$12:$AH$391,6,FALSE),2)))</f>
        <v>0</v>
      </c>
      <c r="M85" s="755" t="str">
        <f>IF(J85&gt;0,VLOOKUP(K85,acute_overview_children!$C$12:$AH$391,27,FALSE)*1000,"")</f>
        <v/>
      </c>
      <c r="N85" s="766">
        <f>IF($K$6="not necessary",0,LARGE(acute_overview_adults!$AD$14:$AD$391,ROW()-ROW($F$65)))</f>
        <v>0</v>
      </c>
      <c r="O85" s="745" t="str">
        <f>IF(Results!N85&gt;0,INDEX(acute_overview_adults!$A$12:$AH$391,MATCH(Results!N85,acute_overview_adults!$AD$12:$AD$391,0),3),"")</f>
        <v/>
      </c>
      <c r="P85" s="755">
        <f>IF(N85=0,0,CONCATENATE(ROUND(VLOOKUP(O85,acute_overview_adults!$C$12:$AH$391,3,FALSE),2)," / ",ROUND(VLOOKUP(O85,acute_overview_adults!$C$12:$AH$391,6,FALSE),2)))</f>
        <v>0</v>
      </c>
      <c r="Q85" s="755" t="str">
        <f>IF(N85&gt;0,VLOOKUP(O85,acute_overview_adults!$C$12:$AH$391,27,FALSE)*1000,"")</f>
        <v/>
      </c>
      <c r="S85" s="1161">
        <f t="shared" si="0"/>
        <v>0</v>
      </c>
      <c r="T85" s="1161">
        <f t="shared" si="1"/>
        <v>0</v>
      </c>
      <c r="U85" s="1161">
        <f t="shared" si="2"/>
        <v>0</v>
      </c>
      <c r="V85" s="1161">
        <f t="shared" si="3"/>
        <v>0</v>
      </c>
      <c r="W85" s="1163">
        <f t="shared" si="4"/>
        <v>0</v>
      </c>
      <c r="X85" s="1163">
        <f t="shared" si="5"/>
        <v>0</v>
      </c>
      <c r="Y85" s="1163">
        <f t="shared" si="6"/>
        <v>0</v>
      </c>
      <c r="Z85" s="1163">
        <f t="shared" si="7"/>
        <v>0</v>
      </c>
    </row>
    <row r="86" spans="1:26" s="43" customFormat="1" ht="12" hidden="1" customHeight="1" outlineLevel="1" x14ac:dyDescent="0.2">
      <c r="A86" s="178"/>
      <c r="B86" s="546">
        <f>IF($K$6="not necessary",0,LARGE(acute_overview_children!$AA$14:$AA$391,ROW()-(ROW($B$65))))</f>
        <v>0</v>
      </c>
      <c r="C86" s="237" t="str">
        <f>IF(Results!B86&gt;0,INDEX(acute_overview_children!$A$12:$AH$391,MATCH(Results!B86,acute_overview_children!$AA$12:$AA$391,0),3),"")</f>
        <v/>
      </c>
      <c r="D86" s="238">
        <f>IF(B86=0,0,CONCATENATE(ROUND(VLOOKUP(C86,acute_overview_children!$C$12:$AH$391,3,FALSE),2)," / ",ROUND(VLOOKUP(C86,acute_overview_children!$C$12:$AH$391,4,FALSE),2)))</f>
        <v>0</v>
      </c>
      <c r="E86" s="238" t="str">
        <f>IF(B86&gt;0,VLOOKUP(C86,acute_overview_children!$C$12:$AH$391,24,FALSE)*1000,"")</f>
        <v/>
      </c>
      <c r="F86" s="546">
        <f>IF($K$6="not necessary",0,LARGE(acute_overview_adults!$AA$14:$AA$391,ROW()-(ROW($B$65))))</f>
        <v>0</v>
      </c>
      <c r="G86" s="237" t="str">
        <f>IF(F86&gt;0,INDEX(acute_overview_adults!$A$12:$AH$391,MATCH(F86,acute_overview_adults!$AA$12:$AA$391,0),3),"")</f>
        <v/>
      </c>
      <c r="H86" s="238">
        <f>IF(F86=0,0,CONCATENATE(ROUND(VLOOKUP(G86,acute_overview_adults!$C$12:$AH$391,3,FALSE),2)," / ",ROUND(VLOOKUP(G86,acute_overview_adults!$C$12:$AH$391,4,FALSE),2)))</f>
        <v>0</v>
      </c>
      <c r="I86" s="239" t="str">
        <f>IF(F86&gt;0,VLOOKUP(G86,acute_overview_adults!$C$12:$AH$391,24,FALSE)*1000,"")</f>
        <v/>
      </c>
      <c r="J86" s="766">
        <f>IF($K$6="not necessary",0,LARGE(acute_overview_children!$AD$14:$AD$391,ROW()-ROW($B$65)))</f>
        <v>0</v>
      </c>
      <c r="K86" s="745" t="str">
        <f>IF(J86&gt;0,INDEX(acute_overview_children!$A$12:$AH$391,MATCH(J86,acute_overview_children!$AD$12:$AD$391,0),3),"")</f>
        <v/>
      </c>
      <c r="L86" s="755">
        <f>IF(J86=0,0,CONCATENATE(ROUND(VLOOKUP(K86,acute_overview_children!$C$12:$AH$391,3,FALSE),2)," / ",ROUND(VLOOKUP(K86,acute_overview_children!$C$12:$AH$391,6,FALSE),2)))</f>
        <v>0</v>
      </c>
      <c r="M86" s="755" t="str">
        <f>IF(J86&gt;0,VLOOKUP(K86,acute_overview_children!$C$12:$AH$391,27,FALSE)*1000,"")</f>
        <v/>
      </c>
      <c r="N86" s="766">
        <f>IF($K$6="not necessary",0,LARGE(acute_overview_adults!$AD$14:$AD$391,ROW()-ROW($F$65)))</f>
        <v>0</v>
      </c>
      <c r="O86" s="745" t="str">
        <f>IF(Results!N86&gt;0,INDEX(acute_overview_adults!$A$12:$AH$391,MATCH(Results!N86,acute_overview_adults!$AD$12:$AD$391,0),3),"")</f>
        <v/>
      </c>
      <c r="P86" s="755">
        <f>IF(N86=0,0,CONCATENATE(ROUND(VLOOKUP(O86,acute_overview_adults!$C$12:$AH$391,3,FALSE),2)," / ",ROUND(VLOOKUP(O86,acute_overview_adults!$C$12:$AH$391,6,FALSE),2)))</f>
        <v>0</v>
      </c>
      <c r="Q86" s="755" t="str">
        <f>IF(N86&gt;0,VLOOKUP(O86,acute_overview_adults!$C$12:$AH$391,27,FALSE)*1000,"")</f>
        <v/>
      </c>
      <c r="S86" s="1161">
        <f t="shared" si="0"/>
        <v>0</v>
      </c>
      <c r="T86" s="1161">
        <f t="shared" si="1"/>
        <v>0</v>
      </c>
      <c r="U86" s="1161">
        <f t="shared" si="2"/>
        <v>0</v>
      </c>
      <c r="V86" s="1161">
        <f t="shared" si="3"/>
        <v>0</v>
      </c>
      <c r="W86" s="1163">
        <f t="shared" si="4"/>
        <v>0</v>
      </c>
      <c r="X86" s="1163">
        <f t="shared" si="5"/>
        <v>0</v>
      </c>
      <c r="Y86" s="1163">
        <f t="shared" si="6"/>
        <v>0</v>
      </c>
      <c r="Z86" s="1163">
        <f t="shared" si="7"/>
        <v>0</v>
      </c>
    </row>
    <row r="87" spans="1:26" s="43" customFormat="1" ht="12" hidden="1" customHeight="1" outlineLevel="1" x14ac:dyDescent="0.2">
      <c r="A87" s="178"/>
      <c r="B87" s="546">
        <f>IF($K$6="not necessary",0,LARGE(acute_overview_children!$AA$14:$AA$391,ROW()-(ROW($B$65))))</f>
        <v>0</v>
      </c>
      <c r="C87" s="237" t="str">
        <f>IF(Results!B87&gt;0,INDEX(acute_overview_children!$A$12:$AH$391,MATCH(Results!B87,acute_overview_children!$AA$12:$AA$391,0),3),"")</f>
        <v/>
      </c>
      <c r="D87" s="238">
        <f>IF(B87=0,0,CONCATENATE(ROUND(VLOOKUP(C87,acute_overview_children!$C$12:$AH$391,3,FALSE),2)," / ",ROUND(VLOOKUP(C87,acute_overview_children!$C$12:$AH$391,4,FALSE),2)))</f>
        <v>0</v>
      </c>
      <c r="E87" s="238" t="str">
        <f>IF(B87&gt;0,VLOOKUP(C87,acute_overview_children!$C$12:$AH$391,24,FALSE)*1000,"")</f>
        <v/>
      </c>
      <c r="F87" s="546">
        <f>IF($K$6="not necessary",0,LARGE(acute_overview_adults!$AA$14:$AA$391,ROW()-(ROW($B$65))))</f>
        <v>0</v>
      </c>
      <c r="G87" s="237" t="str">
        <f>IF(F87&gt;0,INDEX(acute_overview_adults!$A$12:$AH$391,MATCH(F87,acute_overview_adults!$AA$12:$AA$391,0),3),"")</f>
        <v/>
      </c>
      <c r="H87" s="238">
        <f>IF(F87=0,0,CONCATENATE(ROUND(VLOOKUP(G87,acute_overview_adults!$C$12:$AH$391,3,FALSE),2)," / ",ROUND(VLOOKUP(G87,acute_overview_adults!$C$12:$AH$391,4,FALSE),2)))</f>
        <v>0</v>
      </c>
      <c r="I87" s="239" t="str">
        <f>IF(F87&gt;0,VLOOKUP(G87,acute_overview_adults!$C$12:$AH$391,24,FALSE)*1000,"")</f>
        <v/>
      </c>
      <c r="J87" s="766">
        <f>IF($K$6="not necessary",0,LARGE(acute_overview_children!$AD$14:$AD$391,ROW()-ROW($B$65)))</f>
        <v>0</v>
      </c>
      <c r="K87" s="745" t="str">
        <f>IF(J87&gt;0,INDEX(acute_overview_children!$A$12:$AH$391,MATCH(J87,acute_overview_children!$AD$12:$AD$391,0),3),"")</f>
        <v/>
      </c>
      <c r="L87" s="755">
        <f>IF(J87=0,0,CONCATENATE(ROUND(VLOOKUP(K87,acute_overview_children!$C$12:$AH$391,3,FALSE),2)," / ",ROUND(VLOOKUP(K87,acute_overview_children!$C$12:$AH$391,6,FALSE),2)))</f>
        <v>0</v>
      </c>
      <c r="M87" s="755" t="str">
        <f>IF(J87&gt;0,VLOOKUP(K87,acute_overview_children!$C$12:$AH$391,27,FALSE)*1000,"")</f>
        <v/>
      </c>
      <c r="N87" s="766">
        <f>IF($K$6="not necessary",0,LARGE(acute_overview_adults!$AD$14:$AD$391,ROW()-ROW($F$65)))</f>
        <v>0</v>
      </c>
      <c r="O87" s="745" t="str">
        <f>IF(Results!N87&gt;0,INDEX(acute_overview_adults!$A$12:$AH$391,MATCH(Results!N87,acute_overview_adults!$AD$12:$AD$391,0),3),"")</f>
        <v/>
      </c>
      <c r="P87" s="755">
        <f>IF(N87=0,0,CONCATENATE(ROUND(VLOOKUP(O87,acute_overview_adults!$C$12:$AH$391,3,FALSE),2)," / ",ROUND(VLOOKUP(O87,acute_overview_adults!$C$12:$AH$391,6,FALSE),2)))</f>
        <v>0</v>
      </c>
      <c r="Q87" s="755" t="str">
        <f>IF(N87&gt;0,VLOOKUP(O87,acute_overview_adults!$C$12:$AH$391,27,FALSE)*1000,"")</f>
        <v/>
      </c>
      <c r="S87" s="1161">
        <f t="shared" si="0"/>
        <v>0</v>
      </c>
      <c r="T87" s="1161">
        <f t="shared" si="1"/>
        <v>0</v>
      </c>
      <c r="U87" s="1161">
        <f t="shared" si="2"/>
        <v>0</v>
      </c>
      <c r="V87" s="1161">
        <f t="shared" si="3"/>
        <v>0</v>
      </c>
      <c r="W87" s="1163">
        <f t="shared" si="4"/>
        <v>0</v>
      </c>
      <c r="X87" s="1163">
        <f t="shared" si="5"/>
        <v>0</v>
      </c>
      <c r="Y87" s="1163">
        <f t="shared" si="6"/>
        <v>0</v>
      </c>
      <c r="Z87" s="1163">
        <f t="shared" si="7"/>
        <v>0</v>
      </c>
    </row>
    <row r="88" spans="1:26" s="43" customFormat="1" ht="12" hidden="1" customHeight="1" outlineLevel="1" x14ac:dyDescent="0.2">
      <c r="A88" s="178"/>
      <c r="B88" s="546">
        <f>IF($K$6="not necessary",0,LARGE(acute_overview_children!$AA$14:$AA$391,ROW()-(ROW($B$65))))</f>
        <v>0</v>
      </c>
      <c r="C88" s="237" t="str">
        <f>IF(Results!B88&gt;0,INDEX(acute_overview_children!$A$12:$AH$391,MATCH(Results!B88,acute_overview_children!$AA$12:$AA$391,0),3),"")</f>
        <v/>
      </c>
      <c r="D88" s="238">
        <f>IF(B88=0,0,CONCATENATE(ROUND(VLOOKUP(C88,acute_overview_children!$C$12:$AH$391,3,FALSE),2)," / ",ROUND(VLOOKUP(C88,acute_overview_children!$C$12:$AH$391,4,FALSE),2)))</f>
        <v>0</v>
      </c>
      <c r="E88" s="238" t="str">
        <f>IF(B88&gt;0,VLOOKUP(C88,acute_overview_children!$C$12:$AH$391,24,FALSE)*1000,"")</f>
        <v/>
      </c>
      <c r="F88" s="546">
        <f>IF($K$6="not necessary",0,LARGE(acute_overview_adults!$AA$14:$AA$391,ROW()-(ROW($B$65))))</f>
        <v>0</v>
      </c>
      <c r="G88" s="237" t="str">
        <f>IF(F88&gt;0,INDEX(acute_overview_adults!$A$12:$AH$391,MATCH(F88,acute_overview_adults!$AA$12:$AA$391,0),3),"")</f>
        <v/>
      </c>
      <c r="H88" s="238">
        <f>IF(F88=0,0,CONCATENATE(ROUND(VLOOKUP(G88,acute_overview_adults!$C$12:$AH$391,3,FALSE),2)," / ",ROUND(VLOOKUP(G88,acute_overview_adults!$C$12:$AH$391,4,FALSE),2)))</f>
        <v>0</v>
      </c>
      <c r="I88" s="239" t="str">
        <f>IF(F88&gt;0,VLOOKUP(G88,acute_overview_adults!$C$12:$AH$391,24,FALSE)*1000,"")</f>
        <v/>
      </c>
      <c r="J88" s="766">
        <f>IF($K$6="not necessary",0,LARGE(acute_overview_children!$AD$14:$AD$391,ROW()-ROW($B$65)))</f>
        <v>0</v>
      </c>
      <c r="K88" s="745" t="str">
        <f>IF(J88&gt;0,INDEX(acute_overview_children!$A$12:$AH$391,MATCH(J88,acute_overview_children!$AD$12:$AD$391,0),3),"")</f>
        <v/>
      </c>
      <c r="L88" s="755">
        <f>IF(J88=0,0,CONCATENATE(ROUND(VLOOKUP(K88,acute_overview_children!$C$12:$AH$391,3,FALSE),2)," / ",ROUND(VLOOKUP(K88,acute_overview_children!$C$12:$AH$391,6,FALSE),2)))</f>
        <v>0</v>
      </c>
      <c r="M88" s="755" t="str">
        <f>IF(J88&gt;0,VLOOKUP(K88,acute_overview_children!$C$12:$AH$391,27,FALSE)*1000,"")</f>
        <v/>
      </c>
      <c r="N88" s="766">
        <f>IF($K$6="not necessary",0,LARGE(acute_overview_adults!$AD$14:$AD$391,ROW()-ROW($F$65)))</f>
        <v>0</v>
      </c>
      <c r="O88" s="745" t="str">
        <f>IF(Results!N88&gt;0,INDEX(acute_overview_adults!$A$12:$AH$391,MATCH(Results!N88,acute_overview_adults!$AD$12:$AD$391,0),3),"")</f>
        <v/>
      </c>
      <c r="P88" s="755">
        <f>IF(N88=0,0,CONCATENATE(ROUND(VLOOKUP(O88,acute_overview_adults!$C$12:$AH$391,3,FALSE),2)," / ",ROUND(VLOOKUP(O88,acute_overview_adults!$C$12:$AH$391,6,FALSE),2)))</f>
        <v>0</v>
      </c>
      <c r="Q88" s="755" t="str">
        <f>IF(N88&gt;0,VLOOKUP(O88,acute_overview_adults!$C$12:$AH$391,27,FALSE)*1000,"")</f>
        <v/>
      </c>
      <c r="S88" s="1161">
        <f t="shared" si="0"/>
        <v>0</v>
      </c>
      <c r="T88" s="1161">
        <f t="shared" si="1"/>
        <v>0</v>
      </c>
      <c r="U88" s="1161">
        <f t="shared" si="2"/>
        <v>0</v>
      </c>
      <c r="V88" s="1161">
        <f t="shared" si="3"/>
        <v>0</v>
      </c>
      <c r="W88" s="1163">
        <f t="shared" si="4"/>
        <v>0</v>
      </c>
      <c r="X88" s="1163">
        <f t="shared" si="5"/>
        <v>0</v>
      </c>
      <c r="Y88" s="1163">
        <f t="shared" si="6"/>
        <v>0</v>
      </c>
      <c r="Z88" s="1163">
        <f t="shared" si="7"/>
        <v>0</v>
      </c>
    </row>
    <row r="89" spans="1:26" s="43" customFormat="1" ht="12" hidden="1" customHeight="1" outlineLevel="1" x14ac:dyDescent="0.2">
      <c r="A89" s="178"/>
      <c r="B89" s="546">
        <f>IF($K$6="not necessary",0,LARGE(acute_overview_children!$AA$14:$AA$391,ROW()-(ROW($B$65))))</f>
        <v>0</v>
      </c>
      <c r="C89" s="237" t="str">
        <f>IF(Results!B89&gt;0,INDEX(acute_overview_children!$A$12:$AH$391,MATCH(Results!B89,acute_overview_children!$AA$12:$AA$391,0),3),"")</f>
        <v/>
      </c>
      <c r="D89" s="238">
        <f>IF(B89=0,0,CONCATENATE(ROUND(VLOOKUP(C89,acute_overview_children!$C$12:$AH$391,3,FALSE),2)," / ",ROUND(VLOOKUP(C89,acute_overview_children!$C$12:$AH$391,4,FALSE),2)))</f>
        <v>0</v>
      </c>
      <c r="E89" s="238" t="str">
        <f>IF(B89&gt;0,VLOOKUP(C89,acute_overview_children!$C$12:$AH$391,24,FALSE)*1000,"")</f>
        <v/>
      </c>
      <c r="F89" s="546">
        <f>IF($K$6="not necessary",0,LARGE(acute_overview_adults!$AA$14:$AA$391,ROW()-(ROW($B$65))))</f>
        <v>0</v>
      </c>
      <c r="G89" s="237" t="str">
        <f>IF(F89&gt;0,INDEX(acute_overview_adults!$A$12:$AH$391,MATCH(F89,acute_overview_adults!$AA$12:$AA$391,0),3),"")</f>
        <v/>
      </c>
      <c r="H89" s="238">
        <f>IF(F89=0,0,CONCATENATE(ROUND(VLOOKUP(G89,acute_overview_adults!$C$12:$AH$391,3,FALSE),2)," / ",ROUND(VLOOKUP(G89,acute_overview_adults!$C$12:$AH$391,4,FALSE),2)))</f>
        <v>0</v>
      </c>
      <c r="I89" s="239" t="str">
        <f>IF(F89&gt;0,VLOOKUP(G89,acute_overview_adults!$C$12:$AH$391,24,FALSE)*1000,"")</f>
        <v/>
      </c>
      <c r="J89" s="766">
        <f>IF($K$6="not necessary",0,LARGE(acute_overview_children!$AD$14:$AD$391,ROW()-ROW($B$65)))</f>
        <v>0</v>
      </c>
      <c r="K89" s="745" t="str">
        <f>IF(J89&gt;0,INDEX(acute_overview_children!$A$12:$AH$391,MATCH(J89,acute_overview_children!$AD$12:$AD$391,0),3),"")</f>
        <v/>
      </c>
      <c r="L89" s="755">
        <f>IF(J89=0,0,CONCATENATE(ROUND(VLOOKUP(K89,acute_overview_children!$C$12:$AH$391,3,FALSE),2)," / ",ROUND(VLOOKUP(K89,acute_overview_children!$C$12:$AH$391,6,FALSE),2)))</f>
        <v>0</v>
      </c>
      <c r="M89" s="755" t="str">
        <f>IF(J89&gt;0,VLOOKUP(K89,acute_overview_children!$C$12:$AH$391,27,FALSE)*1000,"")</f>
        <v/>
      </c>
      <c r="N89" s="766">
        <f>IF($K$6="not necessary",0,LARGE(acute_overview_adults!$AD$14:$AD$391,ROW()-ROW($F$65)))</f>
        <v>0</v>
      </c>
      <c r="O89" s="745" t="str">
        <f>IF(Results!N89&gt;0,INDEX(acute_overview_adults!$A$12:$AH$391,MATCH(Results!N89,acute_overview_adults!$AD$12:$AD$391,0),3),"")</f>
        <v/>
      </c>
      <c r="P89" s="755">
        <f>IF(N89=0,0,CONCATENATE(ROUND(VLOOKUP(O89,acute_overview_adults!$C$12:$AH$391,3,FALSE),2)," / ",ROUND(VLOOKUP(O89,acute_overview_adults!$C$12:$AH$391,6,FALSE),2)))</f>
        <v>0</v>
      </c>
      <c r="Q89" s="755" t="str">
        <f>IF(N89&gt;0,VLOOKUP(O89,acute_overview_adults!$C$12:$AH$391,27,FALSE)*1000,"")</f>
        <v/>
      </c>
      <c r="S89" s="1161">
        <f t="shared" si="0"/>
        <v>0</v>
      </c>
      <c r="T89" s="1161">
        <f t="shared" si="1"/>
        <v>0</v>
      </c>
      <c r="U89" s="1161">
        <f t="shared" si="2"/>
        <v>0</v>
      </c>
      <c r="V89" s="1161">
        <f t="shared" si="3"/>
        <v>0</v>
      </c>
      <c r="W89" s="1163">
        <f t="shared" si="4"/>
        <v>0</v>
      </c>
      <c r="X89" s="1163">
        <f t="shared" si="5"/>
        <v>0</v>
      </c>
      <c r="Y89" s="1163">
        <f t="shared" si="6"/>
        <v>0</v>
      </c>
      <c r="Z89" s="1163">
        <f t="shared" si="7"/>
        <v>0</v>
      </c>
    </row>
    <row r="90" spans="1:26" s="43" customFormat="1" ht="12" hidden="1" customHeight="1" outlineLevel="1" x14ac:dyDescent="0.2">
      <c r="A90" s="178"/>
      <c r="B90" s="546">
        <f>IF($K$6="not necessary",0,LARGE(acute_overview_children!$AA$14:$AA$391,ROW()-(ROW($B$65))))</f>
        <v>0</v>
      </c>
      <c r="C90" s="237" t="str">
        <f>IF(Results!B90&gt;0,INDEX(acute_overview_children!$A$12:$AH$391,MATCH(Results!B90,acute_overview_children!$AA$12:$AA$391,0),3),"")</f>
        <v/>
      </c>
      <c r="D90" s="238">
        <f>IF(B90=0,0,CONCATENATE(ROUND(VLOOKUP(C90,acute_overview_children!$C$12:$AH$391,3,FALSE),2)," / ",ROUND(VLOOKUP(C90,acute_overview_children!$C$12:$AH$391,4,FALSE),2)))</f>
        <v>0</v>
      </c>
      <c r="E90" s="238" t="str">
        <f>IF(B90&gt;0,VLOOKUP(C90,acute_overview_children!$C$12:$AH$391,24,FALSE)*1000,"")</f>
        <v/>
      </c>
      <c r="F90" s="546">
        <f>IF($K$6="not necessary",0,LARGE(acute_overview_adults!$AA$14:$AA$391,ROW()-(ROW($B$65))))</f>
        <v>0</v>
      </c>
      <c r="G90" s="237" t="str">
        <f>IF(F90&gt;0,INDEX(acute_overview_adults!$A$12:$AH$391,MATCH(F90,acute_overview_adults!$AA$12:$AA$391,0),3),"")</f>
        <v/>
      </c>
      <c r="H90" s="238">
        <f>IF(F90=0,0,CONCATENATE(ROUND(VLOOKUP(G90,acute_overview_adults!$C$12:$AH$391,3,FALSE),2)," / ",ROUND(VLOOKUP(G90,acute_overview_adults!$C$12:$AH$391,4,FALSE),2)))</f>
        <v>0</v>
      </c>
      <c r="I90" s="239" t="str">
        <f>IF(F90&gt;0,VLOOKUP(G90,acute_overview_adults!$C$12:$AH$391,24,FALSE)*1000,"")</f>
        <v/>
      </c>
      <c r="J90" s="766">
        <f>IF($K$6="not necessary",0,LARGE(acute_overview_children!$AD$14:$AD$391,ROW()-ROW($B$65)))</f>
        <v>0</v>
      </c>
      <c r="K90" s="745" t="str">
        <f>IF(J90&gt;0,INDEX(acute_overview_children!$A$12:$AH$391,MATCH(J90,acute_overview_children!$AD$12:$AD$391,0),3),"")</f>
        <v/>
      </c>
      <c r="L90" s="755">
        <f>IF(J90=0,0,CONCATENATE(ROUND(VLOOKUP(K90,acute_overview_children!$C$12:$AH$391,3,FALSE),2)," / ",ROUND(VLOOKUP(K90,acute_overview_children!$C$12:$AH$391,6,FALSE),2)))</f>
        <v>0</v>
      </c>
      <c r="M90" s="755" t="str">
        <f>IF(J90&gt;0,VLOOKUP(K90,acute_overview_children!$C$12:$AH$391,27,FALSE)*1000,"")</f>
        <v/>
      </c>
      <c r="N90" s="766">
        <f>IF($K$6="not necessary",0,LARGE(acute_overview_adults!$AD$14:$AD$391,ROW()-ROW($F$65)))</f>
        <v>0</v>
      </c>
      <c r="O90" s="745" t="str">
        <f>IF(Results!N90&gt;0,INDEX(acute_overview_adults!$A$12:$AH$391,MATCH(Results!N90,acute_overview_adults!$AD$12:$AD$391,0),3),"")</f>
        <v/>
      </c>
      <c r="P90" s="755">
        <f>IF(N90=0,0,CONCATENATE(ROUND(VLOOKUP(O90,acute_overview_adults!$C$12:$AH$391,3,FALSE),2)," / ",ROUND(VLOOKUP(O90,acute_overview_adults!$C$12:$AH$391,6,FALSE),2)))</f>
        <v>0</v>
      </c>
      <c r="Q90" s="755" t="str">
        <f>IF(N90&gt;0,VLOOKUP(O90,acute_overview_adults!$C$12:$AH$391,27,FALSE)*1000,"")</f>
        <v/>
      </c>
      <c r="S90" s="1161">
        <f t="shared" si="0"/>
        <v>0</v>
      </c>
      <c r="T90" s="1161">
        <f t="shared" si="1"/>
        <v>0</v>
      </c>
      <c r="U90" s="1161">
        <f t="shared" si="2"/>
        <v>0</v>
      </c>
      <c r="V90" s="1161">
        <f t="shared" si="3"/>
        <v>0</v>
      </c>
      <c r="W90" s="1163">
        <f t="shared" si="4"/>
        <v>0</v>
      </c>
      <c r="X90" s="1163">
        <f t="shared" si="5"/>
        <v>0</v>
      </c>
      <c r="Y90" s="1163">
        <f t="shared" si="6"/>
        <v>0</v>
      </c>
      <c r="Z90" s="1163">
        <f t="shared" si="7"/>
        <v>0</v>
      </c>
    </row>
    <row r="91" spans="1:26" s="43" customFormat="1" ht="12" hidden="1" customHeight="1" outlineLevel="1" x14ac:dyDescent="0.2">
      <c r="A91" s="178"/>
      <c r="B91" s="546">
        <f>IF($K$6="not necessary",0,LARGE(acute_overview_children!$AA$14:$AA$391,ROW()-(ROW($B$65))))</f>
        <v>0</v>
      </c>
      <c r="C91" s="237" t="str">
        <f>IF(Results!B91&gt;0,INDEX(acute_overview_children!$A$12:$AH$391,MATCH(Results!B91,acute_overview_children!$AA$12:$AA$391,0),3),"")</f>
        <v/>
      </c>
      <c r="D91" s="238">
        <f>IF(B91=0,0,CONCATENATE(ROUND(VLOOKUP(C91,acute_overview_children!$C$12:$AH$391,3,FALSE),2)," / ",ROUND(VLOOKUP(C91,acute_overview_children!$C$12:$AH$391,4,FALSE),2)))</f>
        <v>0</v>
      </c>
      <c r="E91" s="238" t="str">
        <f>IF(B91&gt;0,VLOOKUP(C91,acute_overview_children!$C$12:$AH$391,24,FALSE)*1000,"")</f>
        <v/>
      </c>
      <c r="F91" s="546">
        <f>IF($K$6="not necessary",0,LARGE(acute_overview_adults!$AA$14:$AA$391,ROW()-(ROW($B$65))))</f>
        <v>0</v>
      </c>
      <c r="G91" s="237" t="str">
        <f>IF(F91&gt;0,INDEX(acute_overview_adults!$A$12:$AH$391,MATCH(F91,acute_overview_adults!$AA$12:$AA$391,0),3),"")</f>
        <v/>
      </c>
      <c r="H91" s="238">
        <f>IF(F91=0,0,CONCATENATE(ROUND(VLOOKUP(G91,acute_overview_adults!$C$12:$AH$391,3,FALSE),2)," / ",ROUND(VLOOKUP(G91,acute_overview_adults!$C$12:$AH$391,4,FALSE),2)))</f>
        <v>0</v>
      </c>
      <c r="I91" s="239" t="str">
        <f>IF(F91&gt;0,VLOOKUP(G91,acute_overview_adults!$C$12:$AH$391,24,FALSE)*1000,"")</f>
        <v/>
      </c>
      <c r="J91" s="766">
        <f>IF($K$6="not necessary",0,LARGE(acute_overview_children!$AD$14:$AD$391,ROW()-ROW($B$65)))</f>
        <v>0</v>
      </c>
      <c r="K91" s="745" t="str">
        <f>IF(J91&gt;0,INDEX(acute_overview_children!$A$12:$AH$391,MATCH(J91,acute_overview_children!$AD$12:$AD$391,0),3),"")</f>
        <v/>
      </c>
      <c r="L91" s="755">
        <f>IF(J91=0,0,CONCATENATE(ROUND(VLOOKUP(K91,acute_overview_children!$C$12:$AH$391,3,FALSE),2)," / ",ROUND(VLOOKUP(K91,acute_overview_children!$C$12:$AH$391,6,FALSE),2)))</f>
        <v>0</v>
      </c>
      <c r="M91" s="755" t="str">
        <f>IF(J91&gt;0,VLOOKUP(K91,acute_overview_children!$C$12:$AH$391,27,FALSE)*1000,"")</f>
        <v/>
      </c>
      <c r="N91" s="766">
        <f>IF($K$6="not necessary",0,LARGE(acute_overview_adults!$AD$14:$AD$391,ROW()-ROW($F$65)))</f>
        <v>0</v>
      </c>
      <c r="O91" s="745" t="str">
        <f>IF(Results!N91&gt;0,INDEX(acute_overview_adults!$A$12:$AH$391,MATCH(Results!N91,acute_overview_adults!$AD$12:$AD$391,0),3),"")</f>
        <v/>
      </c>
      <c r="P91" s="755">
        <f>IF(N91=0,0,CONCATENATE(ROUND(VLOOKUP(O91,acute_overview_adults!$C$12:$AH$391,3,FALSE),2)," / ",ROUND(VLOOKUP(O91,acute_overview_adults!$C$12:$AH$391,6,FALSE),2)))</f>
        <v>0</v>
      </c>
      <c r="Q91" s="755" t="str">
        <f>IF(N91&gt;0,VLOOKUP(O91,acute_overview_adults!$C$12:$AH$391,27,FALSE)*1000,"")</f>
        <v/>
      </c>
      <c r="S91" s="1161">
        <f t="shared" si="0"/>
        <v>0</v>
      </c>
      <c r="T91" s="1161">
        <f t="shared" si="1"/>
        <v>0</v>
      </c>
      <c r="U91" s="1161">
        <f t="shared" si="2"/>
        <v>0</v>
      </c>
      <c r="V91" s="1161">
        <f t="shared" si="3"/>
        <v>0</v>
      </c>
      <c r="W91" s="1163">
        <f t="shared" si="4"/>
        <v>0</v>
      </c>
      <c r="X91" s="1163">
        <f t="shared" si="5"/>
        <v>0</v>
      </c>
      <c r="Y91" s="1163">
        <f t="shared" si="6"/>
        <v>0</v>
      </c>
      <c r="Z91" s="1163">
        <f t="shared" si="7"/>
        <v>0</v>
      </c>
    </row>
    <row r="92" spans="1:26" s="43" customFormat="1" ht="12" hidden="1" customHeight="1" outlineLevel="1" x14ac:dyDescent="0.2">
      <c r="A92" s="178"/>
      <c r="B92" s="546">
        <f>IF($K$6="not necessary",0,LARGE(acute_overview_children!$AA$14:$AA$391,ROW()-(ROW($B$65))))</f>
        <v>0</v>
      </c>
      <c r="C92" s="237" t="str">
        <f>IF(Results!B92&gt;0,INDEX(acute_overview_children!$A$12:$AH$391,MATCH(Results!B92,acute_overview_children!$AA$12:$AA$391,0),3),"")</f>
        <v/>
      </c>
      <c r="D92" s="238">
        <f>IF(B92=0,0,CONCATENATE(ROUND(VLOOKUP(C92,acute_overview_children!$C$12:$AH$391,3,FALSE),2)," / ",ROUND(VLOOKUP(C92,acute_overview_children!$C$12:$AH$391,4,FALSE),2)))</f>
        <v>0</v>
      </c>
      <c r="E92" s="238" t="str">
        <f>IF(B92&gt;0,VLOOKUP(C92,acute_overview_children!$C$12:$AH$391,24,FALSE)*1000,"")</f>
        <v/>
      </c>
      <c r="F92" s="546">
        <f>IF($K$6="not necessary",0,LARGE(acute_overview_adults!$AA$14:$AA$391,ROW()-(ROW($B$65))))</f>
        <v>0</v>
      </c>
      <c r="G92" s="237" t="str">
        <f>IF(F92&gt;0,INDEX(acute_overview_adults!$A$12:$AH$391,MATCH(F92,acute_overview_adults!$AA$12:$AA$391,0),3),"")</f>
        <v/>
      </c>
      <c r="H92" s="238">
        <f>IF(F92=0,0,CONCATENATE(ROUND(VLOOKUP(G92,acute_overview_adults!$C$12:$AH$391,3,FALSE),2)," / ",ROUND(VLOOKUP(G92,acute_overview_adults!$C$12:$AH$391,4,FALSE),2)))</f>
        <v>0</v>
      </c>
      <c r="I92" s="239" t="str">
        <f>IF(F92&gt;0,VLOOKUP(G92,acute_overview_adults!$C$12:$AH$391,24,FALSE)*1000,"")</f>
        <v/>
      </c>
      <c r="J92" s="766">
        <f>IF($K$6="not necessary",0,LARGE(acute_overview_children!$AD$14:$AD$391,ROW()-ROW($B$65)))</f>
        <v>0</v>
      </c>
      <c r="K92" s="745" t="str">
        <f>IF(J92&gt;0,INDEX(acute_overview_children!$A$12:$AH$391,MATCH(J92,acute_overview_children!$AD$12:$AD$391,0),3),"")</f>
        <v/>
      </c>
      <c r="L92" s="755">
        <f>IF(J92=0,0,CONCATENATE(ROUND(VLOOKUP(K92,acute_overview_children!$C$12:$AH$391,3,FALSE),2)," / ",ROUND(VLOOKUP(K92,acute_overview_children!$C$12:$AH$391,6,FALSE),2)))</f>
        <v>0</v>
      </c>
      <c r="M92" s="755" t="str">
        <f>IF(J92&gt;0,VLOOKUP(K92,acute_overview_children!$C$12:$AH$391,27,FALSE)*1000,"")</f>
        <v/>
      </c>
      <c r="N92" s="766">
        <f>IF($K$6="not necessary",0,LARGE(acute_overview_adults!$AD$14:$AD$391,ROW()-ROW($F$65)))</f>
        <v>0</v>
      </c>
      <c r="O92" s="745" t="str">
        <f>IF(Results!N92&gt;0,INDEX(acute_overview_adults!$A$12:$AH$391,MATCH(Results!N92,acute_overview_adults!$AD$12:$AD$391,0),3),"")</f>
        <v/>
      </c>
      <c r="P92" s="755">
        <f>IF(N92=0,0,CONCATENATE(ROUND(VLOOKUP(O92,acute_overview_adults!$C$12:$AH$391,3,FALSE),2)," / ",ROUND(VLOOKUP(O92,acute_overview_adults!$C$12:$AH$391,6,FALSE),2)))</f>
        <v>0</v>
      </c>
      <c r="Q92" s="755" t="str">
        <f>IF(N92&gt;0,VLOOKUP(O92,acute_overview_adults!$C$12:$AH$391,27,FALSE)*1000,"")</f>
        <v/>
      </c>
      <c r="S92" s="1161">
        <f t="shared" si="0"/>
        <v>0</v>
      </c>
      <c r="T92" s="1161">
        <f t="shared" si="1"/>
        <v>0</v>
      </c>
      <c r="U92" s="1161">
        <f t="shared" si="2"/>
        <v>0</v>
      </c>
      <c r="V92" s="1161">
        <f t="shared" si="3"/>
        <v>0</v>
      </c>
      <c r="W92" s="1163">
        <f t="shared" si="4"/>
        <v>0</v>
      </c>
      <c r="X92" s="1163">
        <f t="shared" si="5"/>
        <v>0</v>
      </c>
      <c r="Y92" s="1163">
        <f t="shared" si="6"/>
        <v>0</v>
      </c>
      <c r="Z92" s="1163">
        <f t="shared" si="7"/>
        <v>0</v>
      </c>
    </row>
    <row r="93" spans="1:26" s="43" customFormat="1" ht="12" hidden="1" customHeight="1" outlineLevel="1" x14ac:dyDescent="0.2">
      <c r="A93" s="178"/>
      <c r="B93" s="546">
        <f>IF($K$6="not necessary",0,LARGE(acute_overview_children!$AA$14:$AA$391,ROW()-(ROW($B$65))))</f>
        <v>0</v>
      </c>
      <c r="C93" s="237" t="str">
        <f>IF(Results!B93&gt;0,INDEX(acute_overview_children!$A$12:$AH$391,MATCH(Results!B93,acute_overview_children!$AA$12:$AA$391,0),3),"")</f>
        <v/>
      </c>
      <c r="D93" s="238">
        <f>IF(B93=0,0,CONCATENATE(ROUND(VLOOKUP(C93,acute_overview_children!$C$12:$AH$391,3,FALSE),2)," / ",ROUND(VLOOKUP(C93,acute_overview_children!$C$12:$AH$391,4,FALSE),2)))</f>
        <v>0</v>
      </c>
      <c r="E93" s="238" t="str">
        <f>IF(B93&gt;0,VLOOKUP(C93,acute_overview_children!$C$12:$AH$391,24,FALSE)*1000,"")</f>
        <v/>
      </c>
      <c r="F93" s="546">
        <f>IF($K$6="not necessary",0,LARGE(acute_overview_adults!$AA$14:$AA$391,ROW()-(ROW($B$65))))</f>
        <v>0</v>
      </c>
      <c r="G93" s="237" t="str">
        <f>IF(F93&gt;0,INDEX(acute_overview_adults!$A$12:$AH$391,MATCH(F93,acute_overview_adults!$AA$12:$AA$391,0),3),"")</f>
        <v/>
      </c>
      <c r="H93" s="238">
        <f>IF(F93=0,0,CONCATENATE(ROUND(VLOOKUP(G93,acute_overview_adults!$C$12:$AH$391,3,FALSE),2)," / ",ROUND(VLOOKUP(G93,acute_overview_adults!$C$12:$AH$391,4,FALSE),2)))</f>
        <v>0</v>
      </c>
      <c r="I93" s="239" t="str">
        <f>IF(F93&gt;0,VLOOKUP(G93,acute_overview_adults!$C$12:$AH$391,24,FALSE)*1000,"")</f>
        <v/>
      </c>
      <c r="J93" s="766">
        <f>IF($K$6="not necessary",0,LARGE(acute_overview_children!$AD$14:$AD$391,ROW()-ROW($B$65)))</f>
        <v>0</v>
      </c>
      <c r="K93" s="745" t="str">
        <f>IF(J93&gt;0,INDEX(acute_overview_children!$A$12:$AH$391,MATCH(J93,acute_overview_children!$AD$12:$AD$391,0),3),"")</f>
        <v/>
      </c>
      <c r="L93" s="755">
        <f>IF(J93=0,0,CONCATENATE(ROUND(VLOOKUP(K93,acute_overview_children!$C$12:$AH$391,3,FALSE),2)," / ",ROUND(VLOOKUP(K93,acute_overview_children!$C$12:$AH$391,6,FALSE),2)))</f>
        <v>0</v>
      </c>
      <c r="M93" s="755" t="str">
        <f>IF(J93&gt;0,VLOOKUP(K93,acute_overview_children!$C$12:$AH$391,27,FALSE)*1000,"")</f>
        <v/>
      </c>
      <c r="N93" s="766">
        <f>IF($K$6="not necessary",0,LARGE(acute_overview_adults!$AD$14:$AD$391,ROW()-ROW($F$65)))</f>
        <v>0</v>
      </c>
      <c r="O93" s="745" t="str">
        <f>IF(Results!N93&gt;0,INDEX(acute_overview_adults!$A$12:$AH$391,MATCH(Results!N93,acute_overview_adults!$AD$12:$AD$391,0),3),"")</f>
        <v/>
      </c>
      <c r="P93" s="755">
        <f>IF(N93=0,0,CONCATENATE(ROUND(VLOOKUP(O93,acute_overview_adults!$C$12:$AH$391,3,FALSE),2)," / ",ROUND(VLOOKUP(O93,acute_overview_adults!$C$12:$AH$391,6,FALSE),2)))</f>
        <v>0</v>
      </c>
      <c r="Q93" s="755" t="str">
        <f>IF(N93&gt;0,VLOOKUP(O93,acute_overview_adults!$C$12:$AH$391,27,FALSE)*1000,"")</f>
        <v/>
      </c>
      <c r="S93" s="1161">
        <f t="shared" si="0"/>
        <v>0</v>
      </c>
      <c r="T93" s="1161">
        <f t="shared" si="1"/>
        <v>0</v>
      </c>
      <c r="U93" s="1161">
        <f t="shared" si="2"/>
        <v>0</v>
      </c>
      <c r="V93" s="1161">
        <f t="shared" si="3"/>
        <v>0</v>
      </c>
      <c r="W93" s="1163">
        <f t="shared" si="4"/>
        <v>0</v>
      </c>
      <c r="X93" s="1163">
        <f t="shared" si="5"/>
        <v>0</v>
      </c>
      <c r="Y93" s="1163">
        <f t="shared" si="6"/>
        <v>0</v>
      </c>
      <c r="Z93" s="1163">
        <f t="shared" si="7"/>
        <v>0</v>
      </c>
    </row>
    <row r="94" spans="1:26" s="43" customFormat="1" ht="12" hidden="1" customHeight="1" outlineLevel="1" x14ac:dyDescent="0.2">
      <c r="A94" s="178"/>
      <c r="B94" s="546">
        <f>IF($K$6="not necessary",0,LARGE(acute_overview_children!$AA$14:$AA$391,ROW()-(ROW($B$65))))</f>
        <v>0</v>
      </c>
      <c r="C94" s="237" t="str">
        <f>IF(Results!B94&gt;0,INDEX(acute_overview_children!$A$12:$AH$391,MATCH(Results!B94,acute_overview_children!$AA$12:$AA$391,0),3),"")</f>
        <v/>
      </c>
      <c r="D94" s="238">
        <f>IF(B94=0,0,CONCATENATE(ROUND(VLOOKUP(C94,acute_overview_children!$C$12:$AH$391,3,FALSE),2)," / ",ROUND(VLOOKUP(C94,acute_overview_children!$C$12:$AH$391,4,FALSE),2)))</f>
        <v>0</v>
      </c>
      <c r="E94" s="238" t="str">
        <f>IF(B94&gt;0,VLOOKUP(C94,acute_overview_children!$C$12:$AH$391,24,FALSE)*1000,"")</f>
        <v/>
      </c>
      <c r="F94" s="546">
        <f>IF($K$6="not necessary",0,LARGE(acute_overview_adults!$AA$14:$AA$391,ROW()-(ROW($B$65))))</f>
        <v>0</v>
      </c>
      <c r="G94" s="237" t="str">
        <f>IF(F94&gt;0,INDEX(acute_overview_adults!$A$12:$AH$391,MATCH(F94,acute_overview_adults!$AA$12:$AA$391,0),3),"")</f>
        <v/>
      </c>
      <c r="H94" s="238">
        <f>IF(F94=0,0,CONCATENATE(ROUND(VLOOKUP(G94,acute_overview_adults!$C$12:$AH$391,3,FALSE),2)," / ",ROUND(VLOOKUP(G94,acute_overview_adults!$C$12:$AH$391,4,FALSE),2)))</f>
        <v>0</v>
      </c>
      <c r="I94" s="239" t="str">
        <f>IF(F94&gt;0,VLOOKUP(G94,acute_overview_adults!$C$12:$AH$391,24,FALSE)*1000,"")</f>
        <v/>
      </c>
      <c r="J94" s="766">
        <f>IF($K$6="not necessary",0,LARGE(acute_overview_children!$AD$14:$AD$391,ROW()-ROW($B$65)))</f>
        <v>0</v>
      </c>
      <c r="K94" s="745" t="str">
        <f>IF(J94&gt;0,INDEX(acute_overview_children!$A$12:$AH$391,MATCH(J94,acute_overview_children!$AD$12:$AD$391,0),3),"")</f>
        <v/>
      </c>
      <c r="L94" s="755">
        <f>IF(J94=0,0,CONCATENATE(ROUND(VLOOKUP(K94,acute_overview_children!$C$12:$AH$391,3,FALSE),2)," / ",ROUND(VLOOKUP(K94,acute_overview_children!$C$12:$AH$391,6,FALSE),2)))</f>
        <v>0</v>
      </c>
      <c r="M94" s="755" t="str">
        <f>IF(J94&gt;0,VLOOKUP(K94,acute_overview_children!$C$12:$AH$391,27,FALSE)*1000,"")</f>
        <v/>
      </c>
      <c r="N94" s="766">
        <f>IF($K$6="not necessary",0,LARGE(acute_overview_adults!$AD$14:$AD$391,ROW()-ROW($F$65)))</f>
        <v>0</v>
      </c>
      <c r="O94" s="745" t="str">
        <f>IF(Results!N94&gt;0,INDEX(acute_overview_adults!$A$12:$AH$391,MATCH(Results!N94,acute_overview_adults!$AD$12:$AD$391,0),3),"")</f>
        <v/>
      </c>
      <c r="P94" s="755">
        <f>IF(N94=0,0,CONCATENATE(ROUND(VLOOKUP(O94,acute_overview_adults!$C$12:$AH$391,3,FALSE),2)," / ",ROUND(VLOOKUP(O94,acute_overview_adults!$C$12:$AH$391,6,FALSE),2)))</f>
        <v>0</v>
      </c>
      <c r="Q94" s="755" t="str">
        <f>IF(N94&gt;0,VLOOKUP(O94,acute_overview_adults!$C$12:$AH$391,27,FALSE)*1000,"")</f>
        <v/>
      </c>
      <c r="S94" s="1161">
        <f t="shared" si="0"/>
        <v>0</v>
      </c>
      <c r="T94" s="1161">
        <f t="shared" si="1"/>
        <v>0</v>
      </c>
      <c r="U94" s="1161">
        <f t="shared" si="2"/>
        <v>0</v>
      </c>
      <c r="V94" s="1161">
        <f t="shared" si="3"/>
        <v>0</v>
      </c>
      <c r="W94" s="1163">
        <f t="shared" si="4"/>
        <v>0</v>
      </c>
      <c r="X94" s="1163">
        <f t="shared" si="5"/>
        <v>0</v>
      </c>
      <c r="Y94" s="1163">
        <f t="shared" si="6"/>
        <v>0</v>
      </c>
      <c r="Z94" s="1163">
        <f t="shared" si="7"/>
        <v>0</v>
      </c>
    </row>
    <row r="95" spans="1:26" s="43" customFormat="1" ht="12" hidden="1" customHeight="1" outlineLevel="1" x14ac:dyDescent="0.2">
      <c r="A95" s="178"/>
      <c r="B95" s="546">
        <f>IF($K$6="not necessary",0,LARGE(acute_overview_children!$AA$14:$AA$391,ROW()-(ROW($B$65))))</f>
        <v>0</v>
      </c>
      <c r="C95" s="237" t="str">
        <f>IF(Results!B95&gt;0,INDEX(acute_overview_children!$A$12:$AH$391,MATCH(Results!B95,acute_overview_children!$AA$12:$AA$391,0),3),"")</f>
        <v/>
      </c>
      <c r="D95" s="238">
        <f>IF(B95=0,0,CONCATENATE(ROUND(VLOOKUP(C95,acute_overview_children!$C$12:$AH$391,3,FALSE),2)," / ",ROUND(VLOOKUP(C95,acute_overview_children!$C$12:$AH$391,4,FALSE),2)))</f>
        <v>0</v>
      </c>
      <c r="E95" s="238" t="str">
        <f>IF(B95&gt;0,VLOOKUP(C95,acute_overview_children!$C$12:$AH$391,24,FALSE)*1000,"")</f>
        <v/>
      </c>
      <c r="F95" s="546">
        <f>IF($K$6="not necessary",0,LARGE(acute_overview_adults!$AA$14:$AA$391,ROW()-(ROW($B$65))))</f>
        <v>0</v>
      </c>
      <c r="G95" s="237" t="str">
        <f>IF(F95&gt;0,INDEX(acute_overview_adults!$A$12:$AH$391,MATCH(F95,acute_overview_adults!$AA$12:$AA$391,0),3),"")</f>
        <v/>
      </c>
      <c r="H95" s="238">
        <f>IF(F95=0,0,CONCATENATE(ROUND(VLOOKUP(G95,acute_overview_adults!$C$12:$AH$391,3,FALSE),2)," / ",ROUND(VLOOKUP(G95,acute_overview_adults!$C$12:$AH$391,4,FALSE),2)))</f>
        <v>0</v>
      </c>
      <c r="I95" s="239" t="str">
        <f>IF(F95&gt;0,VLOOKUP(G95,acute_overview_adults!$C$12:$AH$391,24,FALSE)*1000,"")</f>
        <v/>
      </c>
      <c r="J95" s="766">
        <f>IF($K$6="not necessary",0,LARGE(acute_overview_children!$AD$14:$AD$391,ROW()-ROW($B$65)))</f>
        <v>0</v>
      </c>
      <c r="K95" s="745" t="str">
        <f>IF(J95&gt;0,INDEX(acute_overview_children!$A$12:$AH$391,MATCH(J95,acute_overview_children!$AD$12:$AD$391,0),3),"")</f>
        <v/>
      </c>
      <c r="L95" s="755">
        <f>IF(J95=0,0,CONCATENATE(ROUND(VLOOKUP(K95,acute_overview_children!$C$12:$AH$391,3,FALSE),2)," / ",ROUND(VLOOKUP(K95,acute_overview_children!$C$12:$AH$391,6,FALSE),2)))</f>
        <v>0</v>
      </c>
      <c r="M95" s="755" t="str">
        <f>IF(J95&gt;0,VLOOKUP(K95,acute_overview_children!$C$12:$AH$391,27,FALSE)*1000,"")</f>
        <v/>
      </c>
      <c r="N95" s="766">
        <f>IF($K$6="not necessary",0,LARGE(acute_overview_adults!$AD$14:$AD$391,ROW()-ROW($F$65)))</f>
        <v>0</v>
      </c>
      <c r="O95" s="745" t="str">
        <f>IF(Results!N95&gt;0,INDEX(acute_overview_adults!$A$12:$AH$391,MATCH(Results!N95,acute_overview_adults!$AD$12:$AD$391,0),3),"")</f>
        <v/>
      </c>
      <c r="P95" s="755">
        <f>IF(N95=0,0,CONCATENATE(ROUND(VLOOKUP(O95,acute_overview_adults!$C$12:$AH$391,3,FALSE),2)," / ",ROUND(VLOOKUP(O95,acute_overview_adults!$C$12:$AH$391,6,FALSE),2)))</f>
        <v>0</v>
      </c>
      <c r="Q95" s="755" t="str">
        <f>IF(N95&gt;0,VLOOKUP(O95,acute_overview_adults!$C$12:$AH$391,27,FALSE)*1000,"")</f>
        <v/>
      </c>
      <c r="S95" s="1161">
        <f t="shared" si="0"/>
        <v>0</v>
      </c>
      <c r="T95" s="1161">
        <f t="shared" si="1"/>
        <v>0</v>
      </c>
      <c r="U95" s="1161">
        <f t="shared" si="2"/>
        <v>0</v>
      </c>
      <c r="V95" s="1161">
        <f t="shared" si="3"/>
        <v>0</v>
      </c>
      <c r="W95" s="1163">
        <f t="shared" si="4"/>
        <v>0</v>
      </c>
      <c r="X95" s="1163">
        <f t="shared" si="5"/>
        <v>0</v>
      </c>
      <c r="Y95" s="1163">
        <f t="shared" si="6"/>
        <v>0</v>
      </c>
      <c r="Z95" s="1163">
        <f t="shared" si="7"/>
        <v>0</v>
      </c>
    </row>
    <row r="96" spans="1:26" s="43" customFormat="1" ht="12" hidden="1" customHeight="1" outlineLevel="1" x14ac:dyDescent="0.2">
      <c r="A96" s="178"/>
      <c r="B96" s="546">
        <f>IF($K$6="not necessary",0,LARGE(acute_overview_children!$AA$14:$AA$391,ROW()-(ROW($B$65))))</f>
        <v>0</v>
      </c>
      <c r="C96" s="237" t="str">
        <f>IF(Results!B96&gt;0,INDEX(acute_overview_children!$A$12:$AH$391,MATCH(Results!B96,acute_overview_children!$AA$12:$AA$391,0),3),"")</f>
        <v/>
      </c>
      <c r="D96" s="238">
        <f>IF(B96=0,0,CONCATENATE(ROUND(VLOOKUP(C96,acute_overview_children!$C$12:$AH$391,3,FALSE),2)," / ",ROUND(VLOOKUP(C96,acute_overview_children!$C$12:$AH$391,4,FALSE),2)))</f>
        <v>0</v>
      </c>
      <c r="E96" s="238" t="str">
        <f>IF(B96&gt;0,VLOOKUP(C96,acute_overview_children!$C$12:$AH$391,24,FALSE)*1000,"")</f>
        <v/>
      </c>
      <c r="F96" s="546">
        <f>IF($K$6="not necessary",0,LARGE(acute_overview_adults!$AA$14:$AA$391,ROW()-(ROW($B$65))))</f>
        <v>0</v>
      </c>
      <c r="G96" s="237" t="str">
        <f>IF(F96&gt;0,INDEX(acute_overview_adults!$A$12:$AH$391,MATCH(F96,acute_overview_adults!$AA$12:$AA$391,0),3),"")</f>
        <v/>
      </c>
      <c r="H96" s="238">
        <f>IF(F96=0,0,CONCATENATE(ROUND(VLOOKUP(G96,acute_overview_adults!$C$12:$AH$391,3,FALSE),2)," / ",ROUND(VLOOKUP(G96,acute_overview_adults!$C$12:$AH$391,4,FALSE),2)))</f>
        <v>0</v>
      </c>
      <c r="I96" s="239" t="str">
        <f>IF(F96&gt;0,VLOOKUP(G96,acute_overview_adults!$C$12:$AH$391,24,FALSE)*1000,"")</f>
        <v/>
      </c>
      <c r="J96" s="766">
        <f>IF($K$6="not necessary",0,LARGE(acute_overview_children!$AD$14:$AD$391,ROW()-ROW($B$65)))</f>
        <v>0</v>
      </c>
      <c r="K96" s="745" t="str">
        <f>IF(J96&gt;0,INDEX(acute_overview_children!$A$12:$AH$391,MATCH(J96,acute_overview_children!$AD$12:$AD$391,0),3),"")</f>
        <v/>
      </c>
      <c r="L96" s="755">
        <f>IF(J96=0,0,CONCATENATE(ROUND(VLOOKUP(K96,acute_overview_children!$C$12:$AH$391,3,FALSE),2)," / ",ROUND(VLOOKUP(K96,acute_overview_children!$C$12:$AH$391,6,FALSE),2)))</f>
        <v>0</v>
      </c>
      <c r="M96" s="755" t="str">
        <f>IF(J96&gt;0,VLOOKUP(K96,acute_overview_children!$C$12:$AH$391,27,FALSE)*1000,"")</f>
        <v/>
      </c>
      <c r="N96" s="766">
        <f>IF($K$6="not necessary",0,LARGE(acute_overview_adults!$AD$14:$AD$391,ROW()-ROW($F$65)))</f>
        <v>0</v>
      </c>
      <c r="O96" s="745" t="str">
        <f>IF(Results!N96&gt;0,INDEX(acute_overview_adults!$A$12:$AH$391,MATCH(Results!N96,acute_overview_adults!$AD$12:$AD$391,0),3),"")</f>
        <v/>
      </c>
      <c r="P96" s="755">
        <f>IF(N96=0,0,CONCATENATE(ROUND(VLOOKUP(O96,acute_overview_adults!$C$12:$AH$391,3,FALSE),2)," / ",ROUND(VLOOKUP(O96,acute_overview_adults!$C$12:$AH$391,6,FALSE),2)))</f>
        <v>0</v>
      </c>
      <c r="Q96" s="755" t="str">
        <f>IF(N96&gt;0,VLOOKUP(O96,acute_overview_adults!$C$12:$AH$391,27,FALSE)*1000,"")</f>
        <v/>
      </c>
      <c r="S96" s="1161">
        <f t="shared" si="0"/>
        <v>0</v>
      </c>
      <c r="T96" s="1161">
        <f t="shared" si="1"/>
        <v>0</v>
      </c>
      <c r="U96" s="1161">
        <f t="shared" si="2"/>
        <v>0</v>
      </c>
      <c r="V96" s="1161">
        <f t="shared" si="3"/>
        <v>0</v>
      </c>
      <c r="W96" s="1163">
        <f t="shared" si="4"/>
        <v>0</v>
      </c>
      <c r="X96" s="1163">
        <f t="shared" si="5"/>
        <v>0</v>
      </c>
      <c r="Y96" s="1163">
        <f t="shared" si="6"/>
        <v>0</v>
      </c>
      <c r="Z96" s="1163">
        <f t="shared" si="7"/>
        <v>0</v>
      </c>
    </row>
    <row r="97" spans="1:26" s="43" customFormat="1" ht="12" hidden="1" customHeight="1" outlineLevel="1" x14ac:dyDescent="0.2">
      <c r="A97" s="178"/>
      <c r="B97" s="546">
        <f>IF($K$6="not necessary",0,LARGE(acute_overview_children!$AA$14:$AA$391,ROW()-(ROW($B$65))))</f>
        <v>0</v>
      </c>
      <c r="C97" s="237" t="str">
        <f>IF(Results!B97&gt;0,INDEX(acute_overview_children!$A$12:$AH$391,MATCH(Results!B97,acute_overview_children!$AA$12:$AA$391,0),3),"")</f>
        <v/>
      </c>
      <c r="D97" s="238">
        <f>IF(B97=0,0,CONCATENATE(ROUND(VLOOKUP(C97,acute_overview_children!$C$12:$AH$391,3,FALSE),2)," / ",ROUND(VLOOKUP(C97,acute_overview_children!$C$12:$AH$391,4,FALSE),2)))</f>
        <v>0</v>
      </c>
      <c r="E97" s="238" t="str">
        <f>IF(B97&gt;0,VLOOKUP(C97,acute_overview_children!$C$12:$AH$391,24,FALSE)*1000,"")</f>
        <v/>
      </c>
      <c r="F97" s="546">
        <f>IF($K$6="not necessary",0,LARGE(acute_overview_adults!$AA$14:$AA$391,ROW()-(ROW($B$65))))</f>
        <v>0</v>
      </c>
      <c r="G97" s="237" t="str">
        <f>IF(F97&gt;0,INDEX(acute_overview_adults!$A$12:$AH$391,MATCH(F97,acute_overview_adults!$AA$12:$AA$391,0),3),"")</f>
        <v/>
      </c>
      <c r="H97" s="238">
        <f>IF(F97=0,0,CONCATENATE(ROUND(VLOOKUP(G97,acute_overview_adults!$C$12:$AH$391,3,FALSE),2)," / ",ROUND(VLOOKUP(G97,acute_overview_adults!$C$12:$AH$391,4,FALSE),2)))</f>
        <v>0</v>
      </c>
      <c r="I97" s="239" t="str">
        <f>IF(F97&gt;0,VLOOKUP(G97,acute_overview_adults!$C$12:$AH$391,24,FALSE)*1000,"")</f>
        <v/>
      </c>
      <c r="J97" s="766">
        <f>IF($K$6="not necessary",0,LARGE(acute_overview_children!$AD$14:$AD$391,ROW()-ROW($B$65)))</f>
        <v>0</v>
      </c>
      <c r="K97" s="745" t="str">
        <f>IF(J97&gt;0,INDEX(acute_overview_children!$A$12:$AH$391,MATCH(J97,acute_overview_children!$AD$12:$AD$391,0),3),"")</f>
        <v/>
      </c>
      <c r="L97" s="755">
        <f>IF(J97=0,0,CONCATENATE(ROUND(VLOOKUP(K97,acute_overview_children!$C$12:$AH$391,3,FALSE),2)," / ",ROUND(VLOOKUP(K97,acute_overview_children!$C$12:$AH$391,6,FALSE),2)))</f>
        <v>0</v>
      </c>
      <c r="M97" s="755" t="str">
        <f>IF(J97&gt;0,VLOOKUP(K97,acute_overview_children!$C$12:$AH$391,27,FALSE)*1000,"")</f>
        <v/>
      </c>
      <c r="N97" s="766">
        <f>IF($K$6="not necessary",0,LARGE(acute_overview_adults!$AD$14:$AD$391,ROW()-ROW($F$65)))</f>
        <v>0</v>
      </c>
      <c r="O97" s="745" t="str">
        <f>IF(Results!N97&gt;0,INDEX(acute_overview_adults!$A$12:$AH$391,MATCH(Results!N97,acute_overview_adults!$AD$12:$AD$391,0),3),"")</f>
        <v/>
      </c>
      <c r="P97" s="755">
        <f>IF(N97=0,0,CONCATENATE(ROUND(VLOOKUP(O97,acute_overview_adults!$C$12:$AH$391,3,FALSE),2)," / ",ROUND(VLOOKUP(O97,acute_overview_adults!$C$12:$AH$391,6,FALSE),2)))</f>
        <v>0</v>
      </c>
      <c r="Q97" s="755" t="str">
        <f>IF(N97&gt;0,VLOOKUP(O97,acute_overview_adults!$C$12:$AH$391,27,FALSE)*1000,"")</f>
        <v/>
      </c>
      <c r="S97" s="1161">
        <f t="shared" si="0"/>
        <v>0</v>
      </c>
      <c r="T97" s="1161">
        <f t="shared" si="1"/>
        <v>0</v>
      </c>
      <c r="U97" s="1161">
        <f t="shared" si="2"/>
        <v>0</v>
      </c>
      <c r="V97" s="1161">
        <f t="shared" si="3"/>
        <v>0</v>
      </c>
      <c r="W97" s="1163">
        <f t="shared" si="4"/>
        <v>0</v>
      </c>
      <c r="X97" s="1163">
        <f t="shared" si="5"/>
        <v>0</v>
      </c>
      <c r="Y97" s="1163">
        <f t="shared" si="6"/>
        <v>0</v>
      </c>
      <c r="Z97" s="1163">
        <f t="shared" si="7"/>
        <v>0</v>
      </c>
    </row>
    <row r="98" spans="1:26" s="43" customFormat="1" ht="12" hidden="1" customHeight="1" outlineLevel="1" x14ac:dyDescent="0.2">
      <c r="A98" s="178"/>
      <c r="B98" s="546">
        <f>IF($K$6="not necessary",0,LARGE(acute_overview_children!$AA$14:$AA$391,ROW()-(ROW($B$65))))</f>
        <v>0</v>
      </c>
      <c r="C98" s="237" t="str">
        <f>IF(Results!B98&gt;0,INDEX(acute_overview_children!$A$12:$AH$391,MATCH(Results!B98,acute_overview_children!$AA$12:$AA$391,0),3),"")</f>
        <v/>
      </c>
      <c r="D98" s="238">
        <f>IF(B98=0,0,CONCATENATE(ROUND(VLOOKUP(C98,acute_overview_children!$C$12:$AH$391,3,FALSE),2)," / ",ROUND(VLOOKUP(C98,acute_overview_children!$C$12:$AH$391,4,FALSE),2)))</f>
        <v>0</v>
      </c>
      <c r="E98" s="238" t="str">
        <f>IF(B98&gt;0,VLOOKUP(C98,acute_overview_children!$C$12:$AH$391,24,FALSE)*1000,"")</f>
        <v/>
      </c>
      <c r="F98" s="546">
        <f>IF($K$6="not necessary",0,LARGE(acute_overview_adults!$AA$14:$AA$391,ROW()-(ROW($B$65))))</f>
        <v>0</v>
      </c>
      <c r="G98" s="237" t="str">
        <f>IF(F98&gt;0,INDEX(acute_overview_adults!$A$12:$AH$391,MATCH(F98,acute_overview_adults!$AA$12:$AA$391,0),3),"")</f>
        <v/>
      </c>
      <c r="H98" s="238">
        <f>IF(F98=0,0,CONCATENATE(ROUND(VLOOKUP(G98,acute_overview_adults!$C$12:$AH$391,3,FALSE),2)," / ",ROUND(VLOOKUP(G98,acute_overview_adults!$C$12:$AH$391,4,FALSE),2)))</f>
        <v>0</v>
      </c>
      <c r="I98" s="239" t="str">
        <f>IF(F98&gt;0,VLOOKUP(G98,acute_overview_adults!$C$12:$AH$391,24,FALSE)*1000,"")</f>
        <v/>
      </c>
      <c r="J98" s="766">
        <f>IF($K$6="not necessary",0,LARGE(acute_overview_children!$AD$14:$AD$391,ROW()-ROW($B$65)))</f>
        <v>0</v>
      </c>
      <c r="K98" s="745" t="str">
        <f>IF(J98&gt;0,INDEX(acute_overview_children!$A$12:$AH$391,MATCH(J98,acute_overview_children!$AD$12:$AD$391,0),3),"")</f>
        <v/>
      </c>
      <c r="L98" s="755">
        <f>IF(J98=0,0,CONCATENATE(ROUND(VLOOKUP(K98,acute_overview_children!$C$12:$AH$391,3,FALSE),2)," / ",ROUND(VLOOKUP(K98,acute_overview_children!$C$12:$AH$391,6,FALSE),2)))</f>
        <v>0</v>
      </c>
      <c r="M98" s="755" t="str">
        <f>IF(J98&gt;0,VLOOKUP(K98,acute_overview_children!$C$12:$AH$391,27,FALSE)*1000,"")</f>
        <v/>
      </c>
      <c r="N98" s="766">
        <f>IF($K$6="not necessary",0,LARGE(acute_overview_adults!$AD$14:$AD$391,ROW()-ROW($F$65)))</f>
        <v>0</v>
      </c>
      <c r="O98" s="745" t="str">
        <f>IF(Results!N98&gt;0,INDEX(acute_overview_adults!$A$12:$AH$391,MATCH(Results!N98,acute_overview_adults!$AD$12:$AD$391,0),3),"")</f>
        <v/>
      </c>
      <c r="P98" s="755">
        <f>IF(N98=0,0,CONCATENATE(ROUND(VLOOKUP(O98,acute_overview_adults!$C$12:$AH$391,3,FALSE),2)," / ",ROUND(VLOOKUP(O98,acute_overview_adults!$C$12:$AH$391,6,FALSE),2)))</f>
        <v>0</v>
      </c>
      <c r="Q98" s="755" t="str">
        <f>IF(N98&gt;0,VLOOKUP(O98,acute_overview_adults!$C$12:$AH$391,27,FALSE)*1000,"")</f>
        <v/>
      </c>
      <c r="S98" s="1161">
        <f t="shared" si="0"/>
        <v>0</v>
      </c>
      <c r="T98" s="1161">
        <f t="shared" si="1"/>
        <v>0</v>
      </c>
      <c r="U98" s="1161">
        <f t="shared" si="2"/>
        <v>0</v>
      </c>
      <c r="V98" s="1161">
        <f t="shared" si="3"/>
        <v>0</v>
      </c>
      <c r="W98" s="1163">
        <f t="shared" si="4"/>
        <v>0</v>
      </c>
      <c r="X98" s="1163">
        <f t="shared" si="5"/>
        <v>0</v>
      </c>
      <c r="Y98" s="1163">
        <f t="shared" si="6"/>
        <v>0</v>
      </c>
      <c r="Z98" s="1163">
        <f t="shared" si="7"/>
        <v>0</v>
      </c>
    </row>
    <row r="99" spans="1:26" s="43" customFormat="1" ht="12" hidden="1" customHeight="1" outlineLevel="1" x14ac:dyDescent="0.2">
      <c r="A99" s="178"/>
      <c r="B99" s="546">
        <f>IF($K$6="not necessary",0,LARGE(acute_overview_children!$AA$14:$AA$391,ROW()-(ROW($B$65))))</f>
        <v>0</v>
      </c>
      <c r="C99" s="237" t="str">
        <f>IF(Results!B99&gt;0,INDEX(acute_overview_children!$A$12:$AH$391,MATCH(Results!B99,acute_overview_children!$AA$12:$AA$391,0),3),"")</f>
        <v/>
      </c>
      <c r="D99" s="238">
        <f>IF(B99=0,0,CONCATENATE(ROUND(VLOOKUP(C99,acute_overview_children!$C$12:$AH$391,3,FALSE),2)," / ",ROUND(VLOOKUP(C99,acute_overview_children!$C$12:$AH$391,4,FALSE),2)))</f>
        <v>0</v>
      </c>
      <c r="E99" s="238" t="str">
        <f>IF(B99&gt;0,VLOOKUP(C99,acute_overview_children!$C$12:$AH$391,24,FALSE)*1000,"")</f>
        <v/>
      </c>
      <c r="F99" s="546">
        <f>IF($K$6="not necessary",0,LARGE(acute_overview_adults!$AA$14:$AA$391,ROW()-(ROW($B$65))))</f>
        <v>0</v>
      </c>
      <c r="G99" s="237" t="str">
        <f>IF(F99&gt;0,INDEX(acute_overview_adults!$A$12:$AH$391,MATCH(F99,acute_overview_adults!$AA$12:$AA$391,0),3),"")</f>
        <v/>
      </c>
      <c r="H99" s="238">
        <f>IF(F99=0,0,CONCATENATE(ROUND(VLOOKUP(G99,acute_overview_adults!$C$12:$AH$391,3,FALSE),2)," / ",ROUND(VLOOKUP(G99,acute_overview_adults!$C$12:$AH$391,4,FALSE),2)))</f>
        <v>0</v>
      </c>
      <c r="I99" s="239" t="str">
        <f>IF(F99&gt;0,VLOOKUP(G99,acute_overview_adults!$C$12:$AH$391,24,FALSE)*1000,"")</f>
        <v/>
      </c>
      <c r="J99" s="766">
        <f>IF($K$6="not necessary",0,LARGE(acute_overview_children!$AD$14:$AD$391,ROW()-ROW($B$65)))</f>
        <v>0</v>
      </c>
      <c r="K99" s="745" t="str">
        <f>IF(J99&gt;0,INDEX(acute_overview_children!$A$12:$AH$391,MATCH(J99,acute_overview_children!$AD$12:$AD$391,0),3),"")</f>
        <v/>
      </c>
      <c r="L99" s="755">
        <f>IF(J99=0,0,CONCATENATE(ROUND(VLOOKUP(K99,acute_overview_children!$C$12:$AH$391,3,FALSE),2)," / ",ROUND(VLOOKUP(K99,acute_overview_children!$C$12:$AH$391,6,FALSE),2)))</f>
        <v>0</v>
      </c>
      <c r="M99" s="755" t="str">
        <f>IF(J99&gt;0,VLOOKUP(K99,acute_overview_children!$C$12:$AH$391,27,FALSE)*1000,"")</f>
        <v/>
      </c>
      <c r="N99" s="766">
        <f>IF($K$6="not necessary",0,LARGE(acute_overview_adults!$AD$14:$AD$391,ROW()-ROW($F$65)))</f>
        <v>0</v>
      </c>
      <c r="O99" s="745" t="str">
        <f>IF(Results!N99&gt;0,INDEX(acute_overview_adults!$A$12:$AH$391,MATCH(Results!N99,acute_overview_adults!$AD$12:$AD$391,0),3),"")</f>
        <v/>
      </c>
      <c r="P99" s="755">
        <f>IF(N99=0,0,CONCATENATE(ROUND(VLOOKUP(O99,acute_overview_adults!$C$12:$AH$391,3,FALSE),2)," / ",ROUND(VLOOKUP(O99,acute_overview_adults!$C$12:$AH$391,6,FALSE),2)))</f>
        <v>0</v>
      </c>
      <c r="Q99" s="755" t="str">
        <f>IF(N99&gt;0,VLOOKUP(O99,acute_overview_adults!$C$12:$AH$391,27,FALSE)*1000,"")</f>
        <v/>
      </c>
      <c r="S99" s="1161">
        <f t="shared" si="0"/>
        <v>0</v>
      </c>
      <c r="T99" s="1161">
        <f t="shared" si="1"/>
        <v>0</v>
      </c>
      <c r="U99" s="1161">
        <f t="shared" si="2"/>
        <v>0</v>
      </c>
      <c r="V99" s="1161">
        <f t="shared" si="3"/>
        <v>0</v>
      </c>
      <c r="W99" s="1163">
        <f t="shared" si="4"/>
        <v>0</v>
      </c>
      <c r="X99" s="1163">
        <f t="shared" si="5"/>
        <v>0</v>
      </c>
      <c r="Y99" s="1163">
        <f t="shared" si="6"/>
        <v>0</v>
      </c>
      <c r="Z99" s="1163">
        <f t="shared" si="7"/>
        <v>0</v>
      </c>
    </row>
    <row r="100" spans="1:26" s="43" customFormat="1" ht="12" hidden="1" customHeight="1" outlineLevel="1" x14ac:dyDescent="0.2">
      <c r="A100" s="178"/>
      <c r="B100" s="546">
        <f>IF($K$6="not necessary",0,LARGE(acute_overview_children!$AA$14:$AA$391,ROW()-(ROW($B$65))))</f>
        <v>0</v>
      </c>
      <c r="C100" s="237" t="str">
        <f>IF(Results!B100&gt;0,INDEX(acute_overview_children!$A$12:$AH$391,MATCH(Results!B100,acute_overview_children!$AA$12:$AA$391,0),3),"")</f>
        <v/>
      </c>
      <c r="D100" s="238">
        <f>IF(B100=0,0,CONCATENATE(ROUND(VLOOKUP(C100,acute_overview_children!$C$12:$AH$391,3,FALSE),2)," / ",ROUND(VLOOKUP(C100,acute_overview_children!$C$12:$AH$391,4,FALSE),2)))</f>
        <v>0</v>
      </c>
      <c r="E100" s="238" t="str">
        <f>IF(B100&gt;0,VLOOKUP(C100,acute_overview_children!$C$12:$AH$391,24,FALSE)*1000,"")</f>
        <v/>
      </c>
      <c r="F100" s="546">
        <f>IF($K$6="not necessary",0,LARGE(acute_overview_adults!$AA$14:$AA$391,ROW()-(ROW($B$65))))</f>
        <v>0</v>
      </c>
      <c r="G100" s="237" t="str">
        <f>IF(F100&gt;0,INDEX(acute_overview_adults!$A$12:$AH$391,MATCH(F100,acute_overview_adults!$AA$12:$AA$391,0),3),"")</f>
        <v/>
      </c>
      <c r="H100" s="238">
        <f>IF(F100=0,0,CONCATENATE(ROUND(VLOOKUP(G100,acute_overview_adults!$C$12:$AH$391,3,FALSE),2)," / ",ROUND(VLOOKUP(G100,acute_overview_adults!$C$12:$AH$391,4,FALSE),2)))</f>
        <v>0</v>
      </c>
      <c r="I100" s="239" t="str">
        <f>IF(F100&gt;0,VLOOKUP(G100,acute_overview_adults!$C$12:$AH$391,24,FALSE)*1000,"")</f>
        <v/>
      </c>
      <c r="J100" s="766">
        <f>IF($K$6="not necessary",0,LARGE(acute_overview_children!$AD$14:$AD$391,ROW()-ROW($B$65)))</f>
        <v>0</v>
      </c>
      <c r="K100" s="745" t="str">
        <f>IF(J100&gt;0,INDEX(acute_overview_children!$A$12:$AH$391,MATCH(J100,acute_overview_children!$AD$12:$AD$391,0),3),"")</f>
        <v/>
      </c>
      <c r="L100" s="755">
        <f>IF(J100=0,0,CONCATENATE(ROUND(VLOOKUP(K100,acute_overview_children!$C$12:$AH$391,3,FALSE),2)," / ",ROUND(VLOOKUP(K100,acute_overview_children!$C$12:$AH$391,6,FALSE),2)))</f>
        <v>0</v>
      </c>
      <c r="M100" s="755" t="str">
        <f>IF(J100&gt;0,VLOOKUP(K100,acute_overview_children!$C$12:$AH$391,27,FALSE)*1000,"")</f>
        <v/>
      </c>
      <c r="N100" s="766">
        <f>IF($K$6="not necessary",0,LARGE(acute_overview_adults!$AD$14:$AD$391,ROW()-ROW($F$65)))</f>
        <v>0</v>
      </c>
      <c r="O100" s="745" t="str">
        <f>IF(Results!N100&gt;0,INDEX(acute_overview_adults!$A$12:$AH$391,MATCH(Results!N100,acute_overview_adults!$AD$12:$AD$391,0),3),"")</f>
        <v/>
      </c>
      <c r="P100" s="755">
        <f>IF(N100=0,0,CONCATENATE(ROUND(VLOOKUP(O100,acute_overview_adults!$C$12:$AH$391,3,FALSE),2)," / ",ROUND(VLOOKUP(O100,acute_overview_adults!$C$12:$AH$391,6,FALSE),2)))</f>
        <v>0</v>
      </c>
      <c r="Q100" s="755" t="str">
        <f>IF(N100&gt;0,VLOOKUP(O100,acute_overview_adults!$C$12:$AH$391,27,FALSE)*1000,"")</f>
        <v/>
      </c>
      <c r="S100" s="1161">
        <f t="shared" si="0"/>
        <v>0</v>
      </c>
      <c r="T100" s="1161">
        <f t="shared" si="1"/>
        <v>0</v>
      </c>
      <c r="U100" s="1161">
        <f t="shared" si="2"/>
        <v>0</v>
      </c>
      <c r="V100" s="1161">
        <f t="shared" si="3"/>
        <v>0</v>
      </c>
      <c r="W100" s="1163">
        <f t="shared" si="4"/>
        <v>0</v>
      </c>
      <c r="X100" s="1163">
        <f t="shared" si="5"/>
        <v>0</v>
      </c>
      <c r="Y100" s="1163">
        <f t="shared" si="6"/>
        <v>0</v>
      </c>
      <c r="Z100" s="1163">
        <f t="shared" si="7"/>
        <v>0</v>
      </c>
    </row>
    <row r="101" spans="1:26" s="43" customFormat="1" ht="12" hidden="1" customHeight="1" outlineLevel="1" x14ac:dyDescent="0.2">
      <c r="A101" s="178"/>
      <c r="B101" s="546">
        <f>IF($K$6="not necessary",0,LARGE(acute_overview_children!$AA$14:$AA$391,ROW()-(ROW($B$65))))</f>
        <v>0</v>
      </c>
      <c r="C101" s="237" t="str">
        <f>IF(Results!B101&gt;0,INDEX(acute_overview_children!$A$12:$AH$391,MATCH(Results!B101,acute_overview_children!$AA$12:$AA$391,0),3),"")</f>
        <v/>
      </c>
      <c r="D101" s="238">
        <f>IF(B101=0,0,CONCATENATE(ROUND(VLOOKUP(C101,acute_overview_children!$C$12:$AH$391,3,FALSE),2)," / ",ROUND(VLOOKUP(C101,acute_overview_children!$C$12:$AH$391,4,FALSE),2)))</f>
        <v>0</v>
      </c>
      <c r="E101" s="238" t="str">
        <f>IF(B101&gt;0,VLOOKUP(C101,acute_overview_children!$C$12:$AH$391,24,FALSE)*1000,"")</f>
        <v/>
      </c>
      <c r="F101" s="546">
        <f>IF($K$6="not necessary",0,LARGE(acute_overview_adults!$AA$14:$AA$391,ROW()-(ROW($B$65))))</f>
        <v>0</v>
      </c>
      <c r="G101" s="237" t="str">
        <f>IF(F101&gt;0,INDEX(acute_overview_adults!$A$12:$AH$391,MATCH(F101,acute_overview_adults!$AA$12:$AA$391,0),3),"")</f>
        <v/>
      </c>
      <c r="H101" s="238">
        <f>IF(F101=0,0,CONCATENATE(ROUND(VLOOKUP(G101,acute_overview_adults!$C$12:$AH$391,3,FALSE),2)," / ",ROUND(VLOOKUP(G101,acute_overview_adults!$C$12:$AH$391,4,FALSE),2)))</f>
        <v>0</v>
      </c>
      <c r="I101" s="239" t="str">
        <f>IF(F101&gt;0,VLOOKUP(G101,acute_overview_adults!$C$12:$AH$391,24,FALSE)*1000,"")</f>
        <v/>
      </c>
      <c r="J101" s="766">
        <f>IF($K$6="not necessary",0,LARGE(acute_overview_children!$AD$14:$AD$391,ROW()-ROW($B$65)))</f>
        <v>0</v>
      </c>
      <c r="K101" s="745" t="str">
        <f>IF(J101&gt;0,INDEX(acute_overview_children!$A$12:$AH$391,MATCH(J101,acute_overview_children!$AD$12:$AD$391,0),3),"")</f>
        <v/>
      </c>
      <c r="L101" s="755">
        <f>IF(J101=0,0,CONCATENATE(ROUND(VLOOKUP(K101,acute_overview_children!$C$12:$AH$391,3,FALSE),2)," / ",ROUND(VLOOKUP(K101,acute_overview_children!$C$12:$AH$391,6,FALSE),2)))</f>
        <v>0</v>
      </c>
      <c r="M101" s="755" t="str">
        <f>IF(J101&gt;0,VLOOKUP(K101,acute_overview_children!$C$12:$AH$391,27,FALSE)*1000,"")</f>
        <v/>
      </c>
      <c r="N101" s="766">
        <f>IF($K$6="not necessary",0,LARGE(acute_overview_adults!$AD$14:$AD$391,ROW()-ROW($F$65)))</f>
        <v>0</v>
      </c>
      <c r="O101" s="745" t="str">
        <f>IF(Results!N101&gt;0,INDEX(acute_overview_adults!$A$12:$AH$391,MATCH(Results!N101,acute_overview_adults!$AD$12:$AD$391,0),3),"")</f>
        <v/>
      </c>
      <c r="P101" s="755">
        <f>IF(N101=0,0,CONCATENATE(ROUND(VLOOKUP(O101,acute_overview_adults!$C$12:$AH$391,3,FALSE),2)," / ",ROUND(VLOOKUP(O101,acute_overview_adults!$C$12:$AH$391,6,FALSE),2)))</f>
        <v>0</v>
      </c>
      <c r="Q101" s="755" t="str">
        <f>IF(N101&gt;0,VLOOKUP(O101,acute_overview_adults!$C$12:$AH$391,27,FALSE)*1000,"")</f>
        <v/>
      </c>
      <c r="S101" s="1161">
        <f t="shared" si="0"/>
        <v>0</v>
      </c>
      <c r="T101" s="1161">
        <f t="shared" si="1"/>
        <v>0</v>
      </c>
      <c r="U101" s="1161">
        <f t="shared" si="2"/>
        <v>0</v>
      </c>
      <c r="V101" s="1161">
        <f t="shared" si="3"/>
        <v>0</v>
      </c>
      <c r="W101" s="1163">
        <f t="shared" si="4"/>
        <v>0</v>
      </c>
      <c r="X101" s="1163">
        <f t="shared" si="5"/>
        <v>0</v>
      </c>
      <c r="Y101" s="1163">
        <f t="shared" si="6"/>
        <v>0</v>
      </c>
      <c r="Z101" s="1163">
        <f t="shared" si="7"/>
        <v>0</v>
      </c>
    </row>
    <row r="102" spans="1:26" s="43" customFormat="1" ht="12" hidden="1" customHeight="1" outlineLevel="1" x14ac:dyDescent="0.2">
      <c r="A102" s="178"/>
      <c r="B102" s="546">
        <f>IF($K$6="not necessary",0,LARGE(acute_overview_children!$AA$14:$AA$391,ROW()-(ROW($B$65))))</f>
        <v>0</v>
      </c>
      <c r="C102" s="237" t="str">
        <f>IF(Results!B102&gt;0,INDEX(acute_overview_children!$A$12:$AH$391,MATCH(Results!B102,acute_overview_children!$AA$12:$AA$391,0),3),"")</f>
        <v/>
      </c>
      <c r="D102" s="238">
        <f>IF(B102=0,0,CONCATENATE(ROUND(VLOOKUP(C102,acute_overview_children!$C$12:$AH$391,3,FALSE),2)," / ",ROUND(VLOOKUP(C102,acute_overview_children!$C$12:$AH$391,4,FALSE),2)))</f>
        <v>0</v>
      </c>
      <c r="E102" s="238" t="str">
        <f>IF(B102&gt;0,VLOOKUP(C102,acute_overview_children!$C$12:$AH$391,24,FALSE)*1000,"")</f>
        <v/>
      </c>
      <c r="F102" s="546">
        <f>IF($K$6="not necessary",0,LARGE(acute_overview_adults!$AA$14:$AA$391,ROW()-(ROW($B$65))))</f>
        <v>0</v>
      </c>
      <c r="G102" s="237" t="str">
        <f>IF(F102&gt;0,INDEX(acute_overview_adults!$A$12:$AH$391,MATCH(F102,acute_overview_adults!$AA$12:$AA$391,0),3),"")</f>
        <v/>
      </c>
      <c r="H102" s="238">
        <f>IF(F102=0,0,CONCATENATE(ROUND(VLOOKUP(G102,acute_overview_adults!$C$12:$AH$391,3,FALSE),2)," / ",ROUND(VLOOKUP(G102,acute_overview_adults!$C$12:$AH$391,4,FALSE),2)))</f>
        <v>0</v>
      </c>
      <c r="I102" s="239" t="str">
        <f>IF(F102&gt;0,VLOOKUP(G102,acute_overview_adults!$C$12:$AH$391,24,FALSE)*1000,"")</f>
        <v/>
      </c>
      <c r="J102" s="766">
        <f>IF($K$6="not necessary",0,LARGE(acute_overview_children!$AD$14:$AD$391,ROW()-ROW($B$65)))</f>
        <v>0</v>
      </c>
      <c r="K102" s="745" t="str">
        <f>IF(J102&gt;0,INDEX(acute_overview_children!$A$12:$AH$391,MATCH(J102,acute_overview_children!$AD$12:$AD$391,0),3),"")</f>
        <v/>
      </c>
      <c r="L102" s="755">
        <f>IF(J102=0,0,CONCATENATE(ROUND(VLOOKUP(K102,acute_overview_children!$C$12:$AH$391,3,FALSE),2)," / ",ROUND(VLOOKUP(K102,acute_overview_children!$C$12:$AH$391,6,FALSE),2)))</f>
        <v>0</v>
      </c>
      <c r="M102" s="755" t="str">
        <f>IF(J102&gt;0,VLOOKUP(K102,acute_overview_children!$C$12:$AH$391,27,FALSE)*1000,"")</f>
        <v/>
      </c>
      <c r="N102" s="766">
        <f>IF($K$6="not necessary",0,LARGE(acute_overview_adults!$AD$14:$AD$391,ROW()-ROW($F$65)))</f>
        <v>0</v>
      </c>
      <c r="O102" s="745" t="str">
        <f>IF(Results!N102&gt;0,INDEX(acute_overview_adults!$A$12:$AH$391,MATCH(Results!N102,acute_overview_adults!$AD$12:$AD$391,0),3),"")</f>
        <v/>
      </c>
      <c r="P102" s="755">
        <f>IF(N102=0,0,CONCATENATE(ROUND(VLOOKUP(O102,acute_overview_adults!$C$12:$AH$391,3,FALSE),2)," / ",ROUND(VLOOKUP(O102,acute_overview_adults!$C$12:$AH$391,6,FALSE),2)))</f>
        <v>0</v>
      </c>
      <c r="Q102" s="755" t="str">
        <f>IF(N102&gt;0,VLOOKUP(O102,acute_overview_adults!$C$12:$AH$391,27,FALSE)*1000,"")</f>
        <v/>
      </c>
      <c r="S102" s="1161">
        <f t="shared" si="0"/>
        <v>0</v>
      </c>
      <c r="T102" s="1161">
        <f t="shared" si="1"/>
        <v>0</v>
      </c>
      <c r="U102" s="1161">
        <f t="shared" si="2"/>
        <v>0</v>
      </c>
      <c r="V102" s="1161">
        <f t="shared" si="3"/>
        <v>0</v>
      </c>
      <c r="W102" s="1163">
        <f t="shared" si="4"/>
        <v>0</v>
      </c>
      <c r="X102" s="1163">
        <f t="shared" si="5"/>
        <v>0</v>
      </c>
      <c r="Y102" s="1163">
        <f t="shared" si="6"/>
        <v>0</v>
      </c>
      <c r="Z102" s="1163">
        <f t="shared" si="7"/>
        <v>0</v>
      </c>
    </row>
    <row r="103" spans="1:26" s="43" customFormat="1" ht="12" hidden="1" customHeight="1" outlineLevel="1" x14ac:dyDescent="0.2">
      <c r="A103" s="178"/>
      <c r="B103" s="546">
        <f>IF($K$6="not necessary",0,LARGE(acute_overview_children!$AA$14:$AA$391,ROW()-(ROW($B$65))))</f>
        <v>0</v>
      </c>
      <c r="C103" s="237" t="str">
        <f>IF(Results!B103&gt;0,INDEX(acute_overview_children!$A$12:$AH$391,MATCH(Results!B103,acute_overview_children!$AA$12:$AA$391,0),3),"")</f>
        <v/>
      </c>
      <c r="D103" s="238">
        <f>IF(B103=0,0,CONCATENATE(ROUND(VLOOKUP(C103,acute_overview_children!$C$12:$AH$391,3,FALSE),2)," / ",ROUND(VLOOKUP(C103,acute_overview_children!$C$12:$AH$391,4,FALSE),2)))</f>
        <v>0</v>
      </c>
      <c r="E103" s="238" t="str">
        <f>IF(B103&gt;0,VLOOKUP(C103,acute_overview_children!$C$12:$AH$391,24,FALSE)*1000,"")</f>
        <v/>
      </c>
      <c r="F103" s="546">
        <f>IF($K$6="not necessary",0,LARGE(acute_overview_adults!$AA$14:$AA$391,ROW()-(ROW($B$65))))</f>
        <v>0</v>
      </c>
      <c r="G103" s="237" t="str">
        <f>IF(F103&gt;0,INDEX(acute_overview_adults!$A$12:$AH$391,MATCH(F103,acute_overview_adults!$AA$12:$AA$391,0),3),"")</f>
        <v/>
      </c>
      <c r="H103" s="238">
        <f>IF(F103=0,0,CONCATENATE(ROUND(VLOOKUP(G103,acute_overview_adults!$C$12:$AH$391,3,FALSE),2)," / ",ROUND(VLOOKUP(G103,acute_overview_adults!$C$12:$AH$391,4,FALSE),2)))</f>
        <v>0</v>
      </c>
      <c r="I103" s="239" t="str">
        <f>IF(F103&gt;0,VLOOKUP(G103,acute_overview_adults!$C$12:$AH$391,24,FALSE)*1000,"")</f>
        <v/>
      </c>
      <c r="J103" s="766">
        <f>IF($K$6="not necessary",0,LARGE(acute_overview_children!$AD$14:$AD$391,ROW()-ROW($B$65)))</f>
        <v>0</v>
      </c>
      <c r="K103" s="745" t="str">
        <f>IF(J103&gt;0,INDEX(acute_overview_children!$A$12:$AH$391,MATCH(J103,acute_overview_children!$AD$12:$AD$391,0),3),"")</f>
        <v/>
      </c>
      <c r="L103" s="755">
        <f>IF(J103=0,0,CONCATENATE(ROUND(VLOOKUP(K103,acute_overview_children!$C$12:$AH$391,3,FALSE),2)," / ",ROUND(VLOOKUP(K103,acute_overview_children!$C$12:$AH$391,6,FALSE),2)))</f>
        <v>0</v>
      </c>
      <c r="M103" s="755" t="str">
        <f>IF(J103&gt;0,VLOOKUP(K103,acute_overview_children!$C$12:$AH$391,27,FALSE)*1000,"")</f>
        <v/>
      </c>
      <c r="N103" s="766">
        <f>IF($K$6="not necessary",0,LARGE(acute_overview_adults!$AD$14:$AD$391,ROW()-ROW($F$65)))</f>
        <v>0</v>
      </c>
      <c r="O103" s="745" t="str">
        <f>IF(Results!N103&gt;0,INDEX(acute_overview_adults!$A$12:$AH$391,MATCH(Results!N103,acute_overview_adults!$AD$12:$AD$391,0),3),"")</f>
        <v/>
      </c>
      <c r="P103" s="755">
        <f>IF(N103=0,0,CONCATENATE(ROUND(VLOOKUP(O103,acute_overview_adults!$C$12:$AH$391,3,FALSE),2)," / ",ROUND(VLOOKUP(O103,acute_overview_adults!$C$12:$AH$391,6,FALSE),2)))</f>
        <v>0</v>
      </c>
      <c r="Q103" s="755" t="str">
        <f>IF(N103&gt;0,VLOOKUP(O103,acute_overview_adults!$C$12:$AH$391,27,FALSE)*1000,"")</f>
        <v/>
      </c>
      <c r="S103" s="1161">
        <f t="shared" si="0"/>
        <v>0</v>
      </c>
      <c r="T103" s="1161">
        <f t="shared" si="1"/>
        <v>0</v>
      </c>
      <c r="U103" s="1161">
        <f t="shared" si="2"/>
        <v>0</v>
      </c>
      <c r="V103" s="1161">
        <f t="shared" si="3"/>
        <v>0</v>
      </c>
      <c r="W103" s="1163">
        <f t="shared" si="4"/>
        <v>0</v>
      </c>
      <c r="X103" s="1163">
        <f t="shared" si="5"/>
        <v>0</v>
      </c>
      <c r="Y103" s="1163">
        <f t="shared" si="6"/>
        <v>0</v>
      </c>
      <c r="Z103" s="1163">
        <f t="shared" si="7"/>
        <v>0</v>
      </c>
    </row>
    <row r="104" spans="1:26" s="43" customFormat="1" ht="12" hidden="1" customHeight="1" outlineLevel="1" x14ac:dyDescent="0.2">
      <c r="A104" s="178"/>
      <c r="B104" s="546">
        <f>IF($K$6="not necessary",0,LARGE(acute_overview_children!$AA$14:$AA$391,ROW()-(ROW($B$65))))</f>
        <v>0</v>
      </c>
      <c r="C104" s="237" t="str">
        <f>IF(Results!B104&gt;0,INDEX(acute_overview_children!$A$12:$AH$391,MATCH(Results!B104,acute_overview_children!$AA$12:$AA$391,0),3),"")</f>
        <v/>
      </c>
      <c r="D104" s="238">
        <f>IF(B104=0,0,CONCATENATE(ROUND(VLOOKUP(C104,acute_overview_children!$C$12:$AH$391,3,FALSE),2)," / ",ROUND(VLOOKUP(C104,acute_overview_children!$C$12:$AH$391,4,FALSE),2)))</f>
        <v>0</v>
      </c>
      <c r="E104" s="238" t="str">
        <f>IF(B104&gt;0,VLOOKUP(C104,acute_overview_children!$C$12:$AH$391,24,FALSE)*1000,"")</f>
        <v/>
      </c>
      <c r="F104" s="546">
        <f>IF($K$6="not necessary",0,LARGE(acute_overview_adults!$AA$14:$AA$391,ROW()-(ROW($B$65))))</f>
        <v>0</v>
      </c>
      <c r="G104" s="237" t="str">
        <f>IF(F104&gt;0,INDEX(acute_overview_adults!$A$12:$AH$391,MATCH(F104,acute_overview_adults!$AA$12:$AA$391,0),3),"")</f>
        <v/>
      </c>
      <c r="H104" s="238">
        <f>IF(F104=0,0,CONCATENATE(ROUND(VLOOKUP(G104,acute_overview_adults!$C$12:$AH$391,3,FALSE),2)," / ",ROUND(VLOOKUP(G104,acute_overview_adults!$C$12:$AH$391,4,FALSE),2)))</f>
        <v>0</v>
      </c>
      <c r="I104" s="239" t="str">
        <f>IF(F104&gt;0,VLOOKUP(G104,acute_overview_adults!$C$12:$AH$391,24,FALSE)*1000,"")</f>
        <v/>
      </c>
      <c r="J104" s="766">
        <f>IF($K$6="not necessary",0,LARGE(acute_overview_children!$AD$14:$AD$391,ROW()-ROW($B$65)))</f>
        <v>0</v>
      </c>
      <c r="K104" s="745" t="str">
        <f>IF(J104&gt;0,INDEX(acute_overview_children!$A$12:$AH$391,MATCH(J104,acute_overview_children!$AD$12:$AD$391,0),3),"")</f>
        <v/>
      </c>
      <c r="L104" s="755">
        <f>IF(J104=0,0,CONCATENATE(ROUND(VLOOKUP(K104,acute_overview_children!$C$12:$AH$391,3,FALSE),2)," / ",ROUND(VLOOKUP(K104,acute_overview_children!$C$12:$AH$391,6,FALSE),2)))</f>
        <v>0</v>
      </c>
      <c r="M104" s="755" t="str">
        <f>IF(J104&gt;0,VLOOKUP(K104,acute_overview_children!$C$12:$AH$391,27,FALSE)*1000,"")</f>
        <v/>
      </c>
      <c r="N104" s="766">
        <f>IF($K$6="not necessary",0,LARGE(acute_overview_adults!$AD$14:$AD$391,ROW()-ROW($F$65)))</f>
        <v>0</v>
      </c>
      <c r="O104" s="745" t="str">
        <f>IF(Results!N104&gt;0,INDEX(acute_overview_adults!$A$12:$AH$391,MATCH(Results!N104,acute_overview_adults!$AD$12:$AD$391,0),3),"")</f>
        <v/>
      </c>
      <c r="P104" s="755">
        <f>IF(N104=0,0,CONCATENATE(ROUND(VLOOKUP(O104,acute_overview_adults!$C$12:$AH$391,3,FALSE),2)," / ",ROUND(VLOOKUP(O104,acute_overview_adults!$C$12:$AH$391,6,FALSE),2)))</f>
        <v>0</v>
      </c>
      <c r="Q104" s="755" t="str">
        <f>IF(N104&gt;0,VLOOKUP(O104,acute_overview_adults!$C$12:$AH$391,27,FALSE)*1000,"")</f>
        <v/>
      </c>
      <c r="S104" s="1161">
        <f t="shared" si="0"/>
        <v>0</v>
      </c>
      <c r="T104" s="1161">
        <f t="shared" si="1"/>
        <v>0</v>
      </c>
      <c r="U104" s="1161">
        <f t="shared" si="2"/>
        <v>0</v>
      </c>
      <c r="V104" s="1161">
        <f t="shared" si="3"/>
        <v>0</v>
      </c>
      <c r="W104" s="1163">
        <f t="shared" si="4"/>
        <v>0</v>
      </c>
      <c r="X104" s="1163">
        <f t="shared" si="5"/>
        <v>0</v>
      </c>
      <c r="Y104" s="1163">
        <f t="shared" si="6"/>
        <v>0</v>
      </c>
      <c r="Z104" s="1163">
        <f t="shared" si="7"/>
        <v>0</v>
      </c>
    </row>
    <row r="105" spans="1:26" s="43" customFormat="1" ht="12" hidden="1" customHeight="1" outlineLevel="1" x14ac:dyDescent="0.2">
      <c r="A105" s="178"/>
      <c r="B105" s="546">
        <f>IF($K$6="not necessary",0,LARGE(acute_overview_children!$AA$14:$AA$391,ROW()-(ROW($B$65))))</f>
        <v>0</v>
      </c>
      <c r="C105" s="237" t="str">
        <f>IF(Results!B105&gt;0,INDEX(acute_overview_children!$A$12:$AH$391,MATCH(Results!B105,acute_overview_children!$AA$12:$AA$391,0),3),"")</f>
        <v/>
      </c>
      <c r="D105" s="238">
        <f>IF(B105=0,0,CONCATENATE(ROUND(VLOOKUP(C105,acute_overview_children!$C$12:$AH$391,3,FALSE),2)," / ",ROUND(VLOOKUP(C105,acute_overview_children!$C$12:$AH$391,4,FALSE),2)))</f>
        <v>0</v>
      </c>
      <c r="E105" s="238" t="str">
        <f>IF(B105&gt;0,VLOOKUP(C105,acute_overview_children!$C$12:$AH$391,24,FALSE)*1000,"")</f>
        <v/>
      </c>
      <c r="F105" s="546">
        <f>IF($K$6="not necessary",0,LARGE(acute_overview_adults!$AA$14:$AA$391,ROW()-(ROW($B$65))))</f>
        <v>0</v>
      </c>
      <c r="G105" s="237" t="str">
        <f>IF(F105&gt;0,INDEX(acute_overview_adults!$A$12:$AH$391,MATCH(F105,acute_overview_adults!$AA$12:$AA$391,0),3),"")</f>
        <v/>
      </c>
      <c r="H105" s="238">
        <f>IF(F105=0,0,CONCATENATE(ROUND(VLOOKUP(G105,acute_overview_adults!$C$12:$AH$391,3,FALSE),2)," / ",ROUND(VLOOKUP(G105,acute_overview_adults!$C$12:$AH$391,4,FALSE),2)))</f>
        <v>0</v>
      </c>
      <c r="I105" s="239" t="str">
        <f>IF(F105&gt;0,VLOOKUP(G105,acute_overview_adults!$C$12:$AH$391,24,FALSE)*1000,"")</f>
        <v/>
      </c>
      <c r="J105" s="766">
        <f>IF($K$6="not necessary",0,LARGE(acute_overview_children!$AD$14:$AD$391,ROW()-ROW($B$65)))</f>
        <v>0</v>
      </c>
      <c r="K105" s="745" t="str">
        <f>IF(J105&gt;0,INDEX(acute_overview_children!$A$12:$AH$391,MATCH(J105,acute_overview_children!$AD$12:$AD$391,0),3),"")</f>
        <v/>
      </c>
      <c r="L105" s="755">
        <f>IF(J105=0,0,CONCATENATE(ROUND(VLOOKUP(K105,acute_overview_children!$C$12:$AH$391,3,FALSE),2)," / ",ROUND(VLOOKUP(K105,acute_overview_children!$C$12:$AH$391,6,FALSE),2)))</f>
        <v>0</v>
      </c>
      <c r="M105" s="755" t="str">
        <f>IF(J105&gt;0,VLOOKUP(K105,acute_overview_children!$C$12:$AH$391,27,FALSE)*1000,"")</f>
        <v/>
      </c>
      <c r="N105" s="766">
        <f>IF($K$6="not necessary",0,LARGE(acute_overview_adults!$AD$14:$AD$391,ROW()-ROW($F$65)))</f>
        <v>0</v>
      </c>
      <c r="O105" s="745" t="str">
        <f>IF(Results!N105&gt;0,INDEX(acute_overview_adults!$A$12:$AH$391,MATCH(Results!N105,acute_overview_adults!$AD$12:$AD$391,0),3),"")</f>
        <v/>
      </c>
      <c r="P105" s="755">
        <f>IF(N105=0,0,CONCATENATE(ROUND(VLOOKUP(O105,acute_overview_adults!$C$12:$AH$391,3,FALSE),2)," / ",ROUND(VLOOKUP(O105,acute_overview_adults!$C$12:$AH$391,6,FALSE),2)))</f>
        <v>0</v>
      </c>
      <c r="Q105" s="755" t="str">
        <f>IF(N105&gt;0,VLOOKUP(O105,acute_overview_adults!$C$12:$AH$391,27,FALSE)*1000,"")</f>
        <v/>
      </c>
      <c r="S105" s="1161">
        <f t="shared" si="0"/>
        <v>0</v>
      </c>
      <c r="T105" s="1161">
        <f t="shared" si="1"/>
        <v>0</v>
      </c>
      <c r="U105" s="1161">
        <f t="shared" si="2"/>
        <v>0</v>
      </c>
      <c r="V105" s="1161">
        <f t="shared" si="3"/>
        <v>0</v>
      </c>
      <c r="W105" s="1163">
        <f t="shared" si="4"/>
        <v>0</v>
      </c>
      <c r="X105" s="1163">
        <f t="shared" si="5"/>
        <v>0</v>
      </c>
      <c r="Y105" s="1163">
        <f t="shared" si="6"/>
        <v>0</v>
      </c>
      <c r="Z105" s="1163">
        <f t="shared" si="7"/>
        <v>0</v>
      </c>
    </row>
    <row r="106" spans="1:26" s="43" customFormat="1" ht="12" hidden="1" customHeight="1" outlineLevel="1" x14ac:dyDescent="0.2">
      <c r="A106" s="178"/>
      <c r="B106" s="546">
        <f>IF($K$6="not necessary",0,LARGE(acute_overview_children!$AA$14:$AA$391,ROW()-(ROW($B$65))))</f>
        <v>0</v>
      </c>
      <c r="C106" s="237" t="str">
        <f>IF(Results!B106&gt;0,INDEX(acute_overview_children!$A$12:$AH$391,MATCH(Results!B106,acute_overview_children!$AA$12:$AA$391,0),3),"")</f>
        <v/>
      </c>
      <c r="D106" s="238">
        <f>IF(B106=0,0,CONCATENATE(ROUND(VLOOKUP(C106,acute_overview_children!$C$12:$AH$391,3,FALSE),2)," / ",ROUND(VLOOKUP(C106,acute_overview_children!$C$12:$AH$391,4,FALSE),2)))</f>
        <v>0</v>
      </c>
      <c r="E106" s="238" t="str">
        <f>IF(B106&gt;0,VLOOKUP(C106,acute_overview_children!$C$12:$AH$391,24,FALSE)*1000,"")</f>
        <v/>
      </c>
      <c r="F106" s="546">
        <f>IF($K$6="not necessary",0,LARGE(acute_overview_adults!$AA$14:$AA$391,ROW()-(ROW($B$65))))</f>
        <v>0</v>
      </c>
      <c r="G106" s="237" t="str">
        <f>IF(F106&gt;0,INDEX(acute_overview_adults!$A$12:$AH$391,MATCH(F106,acute_overview_adults!$AA$12:$AA$391,0),3),"")</f>
        <v/>
      </c>
      <c r="H106" s="238">
        <f>IF(F106=0,0,CONCATENATE(ROUND(VLOOKUP(G106,acute_overview_adults!$C$12:$AH$391,3,FALSE),2)," / ",ROUND(VLOOKUP(G106,acute_overview_adults!$C$12:$AH$391,4,FALSE),2)))</f>
        <v>0</v>
      </c>
      <c r="I106" s="239" t="str">
        <f>IF(F106&gt;0,VLOOKUP(G106,acute_overview_adults!$C$12:$AH$391,24,FALSE)*1000,"")</f>
        <v/>
      </c>
      <c r="J106" s="766">
        <f>IF($K$6="not necessary",0,LARGE(acute_overview_children!$AD$14:$AD$391,ROW()-ROW($B$65)))</f>
        <v>0</v>
      </c>
      <c r="K106" s="745" t="str">
        <f>IF(J106&gt;0,INDEX(acute_overview_children!$A$12:$AH$391,MATCH(J106,acute_overview_children!$AD$12:$AD$391,0),3),"")</f>
        <v/>
      </c>
      <c r="L106" s="755">
        <f>IF(J106=0,0,CONCATENATE(ROUND(VLOOKUP(K106,acute_overview_children!$C$12:$AH$391,3,FALSE),2)," / ",ROUND(VLOOKUP(K106,acute_overview_children!$C$12:$AH$391,6,FALSE),2)))</f>
        <v>0</v>
      </c>
      <c r="M106" s="755" t="str">
        <f>IF(J106&gt;0,VLOOKUP(K106,acute_overview_children!$C$12:$AH$391,27,FALSE)*1000,"")</f>
        <v/>
      </c>
      <c r="N106" s="766">
        <f>IF($K$6="not necessary",0,LARGE(acute_overview_adults!$AD$14:$AD$391,ROW()-ROW($F$65)))</f>
        <v>0</v>
      </c>
      <c r="O106" s="745" t="str">
        <f>IF(Results!N106&gt;0,INDEX(acute_overview_adults!$A$12:$AH$391,MATCH(Results!N106,acute_overview_adults!$AD$12:$AD$391,0),3),"")</f>
        <v/>
      </c>
      <c r="P106" s="755">
        <f>IF(N106=0,0,CONCATENATE(ROUND(VLOOKUP(O106,acute_overview_adults!$C$12:$AH$391,3,FALSE),2)," / ",ROUND(VLOOKUP(O106,acute_overview_adults!$C$12:$AH$391,6,FALSE),2)))</f>
        <v>0</v>
      </c>
      <c r="Q106" s="755" t="str">
        <f>IF(N106&gt;0,VLOOKUP(O106,acute_overview_adults!$C$12:$AH$391,27,FALSE)*1000,"")</f>
        <v/>
      </c>
      <c r="S106" s="1161">
        <f t="shared" si="0"/>
        <v>0</v>
      </c>
      <c r="T106" s="1161">
        <f t="shared" si="1"/>
        <v>0</v>
      </c>
      <c r="U106" s="1161">
        <f t="shared" si="2"/>
        <v>0</v>
      </c>
      <c r="V106" s="1161">
        <f t="shared" si="3"/>
        <v>0</v>
      </c>
      <c r="W106" s="1163">
        <f t="shared" si="4"/>
        <v>0</v>
      </c>
      <c r="X106" s="1163">
        <f t="shared" si="5"/>
        <v>0</v>
      </c>
      <c r="Y106" s="1163">
        <f t="shared" si="6"/>
        <v>0</v>
      </c>
      <c r="Z106" s="1163">
        <f t="shared" si="7"/>
        <v>0</v>
      </c>
    </row>
    <row r="107" spans="1:26" s="43" customFormat="1" ht="12" hidden="1" customHeight="1" outlineLevel="1" x14ac:dyDescent="0.2">
      <c r="A107" s="178"/>
      <c r="B107" s="546">
        <f>IF($K$6="not necessary",0,LARGE(acute_overview_children!$AA$14:$AA$391,ROW()-(ROW($B$65))))</f>
        <v>0</v>
      </c>
      <c r="C107" s="237" t="str">
        <f>IF(Results!B107&gt;0,INDEX(acute_overview_children!$A$12:$AH$391,MATCH(Results!B107,acute_overview_children!$AA$12:$AA$391,0),3),"")</f>
        <v/>
      </c>
      <c r="D107" s="238">
        <f>IF(B107=0,0,CONCATENATE(ROUND(VLOOKUP(C107,acute_overview_children!$C$12:$AH$391,3,FALSE),2)," / ",ROUND(VLOOKUP(C107,acute_overview_children!$C$12:$AH$391,4,FALSE),2)))</f>
        <v>0</v>
      </c>
      <c r="E107" s="238" t="str">
        <f>IF(B107&gt;0,VLOOKUP(C107,acute_overview_children!$C$12:$AH$391,24,FALSE)*1000,"")</f>
        <v/>
      </c>
      <c r="F107" s="546">
        <f>IF($K$6="not necessary",0,LARGE(acute_overview_adults!$AA$14:$AA$391,ROW()-(ROW($B$65))))</f>
        <v>0</v>
      </c>
      <c r="G107" s="237" t="str">
        <f>IF(F107&gt;0,INDEX(acute_overview_adults!$A$12:$AH$391,MATCH(F107,acute_overview_adults!$AA$12:$AA$391,0),3),"")</f>
        <v/>
      </c>
      <c r="H107" s="238">
        <f>IF(F107=0,0,CONCATENATE(ROUND(VLOOKUP(G107,acute_overview_adults!$C$12:$AH$391,3,FALSE),2)," / ",ROUND(VLOOKUP(G107,acute_overview_adults!$C$12:$AH$391,4,FALSE),2)))</f>
        <v>0</v>
      </c>
      <c r="I107" s="239" t="str">
        <f>IF(F107&gt;0,VLOOKUP(G107,acute_overview_adults!$C$12:$AH$391,24,FALSE)*1000,"")</f>
        <v/>
      </c>
      <c r="J107" s="766">
        <f>IF($K$6="not necessary",0,LARGE(acute_overview_children!$AD$14:$AD$391,ROW()-ROW($B$65)))</f>
        <v>0</v>
      </c>
      <c r="K107" s="745" t="str">
        <f>IF(J107&gt;0,INDEX(acute_overview_children!$A$12:$AH$391,MATCH(J107,acute_overview_children!$AD$12:$AD$391,0),3),"")</f>
        <v/>
      </c>
      <c r="L107" s="755">
        <f>IF(J107=0,0,CONCATENATE(ROUND(VLOOKUP(K107,acute_overview_children!$C$12:$AH$391,3,FALSE),2)," / ",ROUND(VLOOKUP(K107,acute_overview_children!$C$12:$AH$391,6,FALSE),2)))</f>
        <v>0</v>
      </c>
      <c r="M107" s="755" t="str">
        <f>IF(J107&gt;0,VLOOKUP(K107,acute_overview_children!$C$12:$AH$391,27,FALSE)*1000,"")</f>
        <v/>
      </c>
      <c r="N107" s="766">
        <f>IF($K$6="not necessary",0,LARGE(acute_overview_adults!$AD$14:$AD$391,ROW()-ROW($F$65)))</f>
        <v>0</v>
      </c>
      <c r="O107" s="745" t="str">
        <f>IF(Results!N107&gt;0,INDEX(acute_overview_adults!$A$12:$AH$391,MATCH(Results!N107,acute_overview_adults!$AD$12:$AD$391,0),3),"")</f>
        <v/>
      </c>
      <c r="P107" s="755">
        <f>IF(N107=0,0,CONCATENATE(ROUND(VLOOKUP(O107,acute_overview_adults!$C$12:$AH$391,3,FALSE),2)," / ",ROUND(VLOOKUP(O107,acute_overview_adults!$C$12:$AH$391,6,FALSE),2)))</f>
        <v>0</v>
      </c>
      <c r="Q107" s="755" t="str">
        <f>IF(N107&gt;0,VLOOKUP(O107,acute_overview_adults!$C$12:$AH$391,27,FALSE)*1000,"")</f>
        <v/>
      </c>
      <c r="S107" s="1161">
        <f t="shared" si="0"/>
        <v>0</v>
      </c>
      <c r="T107" s="1161">
        <f t="shared" si="1"/>
        <v>0</v>
      </c>
      <c r="U107" s="1161">
        <f t="shared" si="2"/>
        <v>0</v>
      </c>
      <c r="V107" s="1161">
        <f t="shared" si="3"/>
        <v>0</v>
      </c>
      <c r="W107" s="1163">
        <f t="shared" si="4"/>
        <v>0</v>
      </c>
      <c r="X107" s="1163">
        <f t="shared" si="5"/>
        <v>0</v>
      </c>
      <c r="Y107" s="1163">
        <f t="shared" si="6"/>
        <v>0</v>
      </c>
      <c r="Z107" s="1163">
        <f t="shared" si="7"/>
        <v>0</v>
      </c>
    </row>
    <row r="108" spans="1:26" s="43" customFormat="1" ht="12" hidden="1" customHeight="1" outlineLevel="1" x14ac:dyDescent="0.2">
      <c r="A108" s="178"/>
      <c r="B108" s="546">
        <f>IF($K$6="not necessary",0,LARGE(acute_overview_children!$AA$14:$AA$391,ROW()-(ROW($B$65))))</f>
        <v>0</v>
      </c>
      <c r="C108" s="237" t="str">
        <f>IF(Results!B108&gt;0,INDEX(acute_overview_children!$A$12:$AH$391,MATCH(Results!B108,acute_overview_children!$AA$12:$AA$391,0),3),"")</f>
        <v/>
      </c>
      <c r="D108" s="238">
        <f>IF(B108=0,0,CONCATENATE(ROUND(VLOOKUP(C108,acute_overview_children!$C$12:$AH$391,3,FALSE),2)," / ",ROUND(VLOOKUP(C108,acute_overview_children!$C$12:$AH$391,4,FALSE),2)))</f>
        <v>0</v>
      </c>
      <c r="E108" s="238" t="str">
        <f>IF(B108&gt;0,VLOOKUP(C108,acute_overview_children!$C$12:$AH$391,24,FALSE)*1000,"")</f>
        <v/>
      </c>
      <c r="F108" s="546">
        <f>IF($K$6="not necessary",0,LARGE(acute_overview_adults!$AA$14:$AA$391,ROW()-(ROW($B$65))))</f>
        <v>0</v>
      </c>
      <c r="G108" s="237" t="str">
        <f>IF(F108&gt;0,INDEX(acute_overview_adults!$A$12:$AH$391,MATCH(F108,acute_overview_adults!$AA$12:$AA$391,0),3),"")</f>
        <v/>
      </c>
      <c r="H108" s="238">
        <f>IF(F108=0,0,CONCATENATE(ROUND(VLOOKUP(G108,acute_overview_adults!$C$12:$AH$391,3,FALSE),2)," / ",ROUND(VLOOKUP(G108,acute_overview_adults!$C$12:$AH$391,4,FALSE),2)))</f>
        <v>0</v>
      </c>
      <c r="I108" s="239" t="str">
        <f>IF(F108&gt;0,VLOOKUP(G108,acute_overview_adults!$C$12:$AH$391,24,FALSE)*1000,"")</f>
        <v/>
      </c>
      <c r="J108" s="766">
        <f>IF($K$6="not necessary",0,LARGE(acute_overview_children!$AD$14:$AD$391,ROW()-ROW($B$65)))</f>
        <v>0</v>
      </c>
      <c r="K108" s="745" t="str">
        <f>IF(J108&gt;0,INDEX(acute_overview_children!$A$12:$AH$391,MATCH(J108,acute_overview_children!$AD$12:$AD$391,0),3),"")</f>
        <v/>
      </c>
      <c r="L108" s="755">
        <f>IF(J108=0,0,CONCATENATE(ROUND(VLOOKUP(K108,acute_overview_children!$C$12:$AH$391,3,FALSE),2)," / ",ROUND(VLOOKUP(K108,acute_overview_children!$C$12:$AH$391,6,FALSE),2)))</f>
        <v>0</v>
      </c>
      <c r="M108" s="755" t="str">
        <f>IF(J108&gt;0,VLOOKUP(K108,acute_overview_children!$C$12:$AH$391,27,FALSE)*1000,"")</f>
        <v/>
      </c>
      <c r="N108" s="766">
        <f>IF($K$6="not necessary",0,LARGE(acute_overview_adults!$AD$14:$AD$391,ROW()-ROW($F$65)))</f>
        <v>0</v>
      </c>
      <c r="O108" s="745" t="str">
        <f>IF(Results!N108&gt;0,INDEX(acute_overview_adults!$A$12:$AH$391,MATCH(Results!N108,acute_overview_adults!$AD$12:$AD$391,0),3),"")</f>
        <v/>
      </c>
      <c r="P108" s="755">
        <f>IF(N108=0,0,CONCATENATE(ROUND(VLOOKUP(O108,acute_overview_adults!$C$12:$AH$391,3,FALSE),2)," / ",ROUND(VLOOKUP(O108,acute_overview_adults!$C$12:$AH$391,6,FALSE),2)))</f>
        <v>0</v>
      </c>
      <c r="Q108" s="755" t="str">
        <f>IF(N108&gt;0,VLOOKUP(O108,acute_overview_adults!$C$12:$AH$391,27,FALSE)*1000,"")</f>
        <v/>
      </c>
      <c r="S108" s="1161">
        <f t="shared" si="0"/>
        <v>0</v>
      </c>
      <c r="T108" s="1161">
        <f t="shared" si="1"/>
        <v>0</v>
      </c>
      <c r="U108" s="1161">
        <f t="shared" si="2"/>
        <v>0</v>
      </c>
      <c r="V108" s="1161">
        <f t="shared" si="3"/>
        <v>0</v>
      </c>
      <c r="W108" s="1163">
        <f t="shared" si="4"/>
        <v>0</v>
      </c>
      <c r="X108" s="1163">
        <f t="shared" si="5"/>
        <v>0</v>
      </c>
      <c r="Y108" s="1163">
        <f t="shared" si="6"/>
        <v>0</v>
      </c>
      <c r="Z108" s="1163">
        <f t="shared" si="7"/>
        <v>0</v>
      </c>
    </row>
    <row r="109" spans="1:26" s="43" customFormat="1" ht="12" hidden="1" customHeight="1" outlineLevel="1" x14ac:dyDescent="0.2">
      <c r="A109" s="178"/>
      <c r="B109" s="546">
        <f>IF($K$6="not necessary",0,LARGE(acute_overview_children!$AA$14:$AA$391,ROW()-(ROW($B$65))))</f>
        <v>0</v>
      </c>
      <c r="C109" s="237" t="str">
        <f>IF(Results!B109&gt;0,INDEX(acute_overview_children!$A$12:$AH$391,MATCH(Results!B109,acute_overview_children!$AA$12:$AA$391,0),3),"")</f>
        <v/>
      </c>
      <c r="D109" s="238">
        <f>IF(B109=0,0,CONCATENATE(ROUND(VLOOKUP(C109,acute_overview_children!$C$12:$AH$391,3,FALSE),2)," / ",ROUND(VLOOKUP(C109,acute_overview_children!$C$12:$AH$391,4,FALSE),2)))</f>
        <v>0</v>
      </c>
      <c r="E109" s="238" t="str">
        <f>IF(B109&gt;0,VLOOKUP(C109,acute_overview_children!$C$12:$AH$391,24,FALSE)*1000,"")</f>
        <v/>
      </c>
      <c r="F109" s="546">
        <f>IF($K$6="not necessary",0,LARGE(acute_overview_adults!$AA$14:$AA$391,ROW()-(ROW($B$65))))</f>
        <v>0</v>
      </c>
      <c r="G109" s="237" t="str">
        <f>IF(F109&gt;0,INDEX(acute_overview_adults!$A$12:$AH$391,MATCH(F109,acute_overview_adults!$AA$12:$AA$391,0),3),"")</f>
        <v/>
      </c>
      <c r="H109" s="238">
        <f>IF(F109=0,0,CONCATENATE(ROUND(VLOOKUP(G109,acute_overview_adults!$C$12:$AH$391,3,FALSE),2)," / ",ROUND(VLOOKUP(G109,acute_overview_adults!$C$12:$AH$391,4,FALSE),2)))</f>
        <v>0</v>
      </c>
      <c r="I109" s="239" t="str">
        <f>IF(F109&gt;0,VLOOKUP(G109,acute_overview_adults!$C$12:$AH$391,24,FALSE)*1000,"")</f>
        <v/>
      </c>
      <c r="J109" s="766">
        <f>IF($K$6="not necessary",0,LARGE(acute_overview_children!$AD$14:$AD$391,ROW()-ROW($B$65)))</f>
        <v>0</v>
      </c>
      <c r="K109" s="745" t="str">
        <f>IF(J109&gt;0,INDEX(acute_overview_children!$A$12:$AH$391,MATCH(J109,acute_overview_children!$AD$12:$AD$391,0),3),"")</f>
        <v/>
      </c>
      <c r="L109" s="755">
        <f>IF(J109=0,0,CONCATENATE(ROUND(VLOOKUP(K109,acute_overview_children!$C$12:$AH$391,3,FALSE),2)," / ",ROUND(VLOOKUP(K109,acute_overview_children!$C$12:$AH$391,6,FALSE),2)))</f>
        <v>0</v>
      </c>
      <c r="M109" s="755" t="str">
        <f>IF(J109&gt;0,VLOOKUP(K109,acute_overview_children!$C$12:$AH$391,27,FALSE)*1000,"")</f>
        <v/>
      </c>
      <c r="N109" s="766">
        <f>IF($K$6="not necessary",0,LARGE(acute_overview_adults!$AD$14:$AD$391,ROW()-ROW($F$65)))</f>
        <v>0</v>
      </c>
      <c r="O109" s="745" t="str">
        <f>IF(Results!N109&gt;0,INDEX(acute_overview_adults!$A$12:$AH$391,MATCH(Results!N109,acute_overview_adults!$AD$12:$AD$391,0),3),"")</f>
        <v/>
      </c>
      <c r="P109" s="755">
        <f>IF(N109=0,0,CONCATENATE(ROUND(VLOOKUP(O109,acute_overview_adults!$C$12:$AH$391,3,FALSE),2)," / ",ROUND(VLOOKUP(O109,acute_overview_adults!$C$12:$AH$391,6,FALSE),2)))</f>
        <v>0</v>
      </c>
      <c r="Q109" s="755" t="str">
        <f>IF(N109&gt;0,VLOOKUP(O109,acute_overview_adults!$C$12:$AH$391,27,FALSE)*1000,"")</f>
        <v/>
      </c>
      <c r="S109" s="1161">
        <f t="shared" si="0"/>
        <v>0</v>
      </c>
      <c r="T109" s="1161">
        <f t="shared" si="1"/>
        <v>0</v>
      </c>
      <c r="U109" s="1161">
        <f t="shared" si="2"/>
        <v>0</v>
      </c>
      <c r="V109" s="1161">
        <f t="shared" si="3"/>
        <v>0</v>
      </c>
      <c r="W109" s="1163">
        <f t="shared" si="4"/>
        <v>0</v>
      </c>
      <c r="X109" s="1163">
        <f t="shared" si="5"/>
        <v>0</v>
      </c>
      <c r="Y109" s="1163">
        <f t="shared" si="6"/>
        <v>0</v>
      </c>
      <c r="Z109" s="1163">
        <f t="shared" si="7"/>
        <v>0</v>
      </c>
    </row>
    <row r="110" spans="1:26" s="43" customFormat="1" ht="12" hidden="1" customHeight="1" outlineLevel="1" x14ac:dyDescent="0.2">
      <c r="A110" s="178"/>
      <c r="B110" s="546">
        <f>IF($K$6="not necessary",0,LARGE(acute_overview_children!$AA$14:$AA$391,ROW()-(ROW($B$65))))</f>
        <v>0</v>
      </c>
      <c r="C110" s="237" t="str">
        <f>IF(Results!B110&gt;0,INDEX(acute_overview_children!$A$12:$AH$391,MATCH(Results!B110,acute_overview_children!$AA$12:$AA$391,0),3),"")</f>
        <v/>
      </c>
      <c r="D110" s="238">
        <f>IF(B110=0,0,CONCATENATE(ROUND(VLOOKUP(C110,acute_overview_children!$C$12:$AH$391,3,FALSE),2)," / ",ROUND(VLOOKUP(C110,acute_overview_children!$C$12:$AH$391,4,FALSE),2)))</f>
        <v>0</v>
      </c>
      <c r="E110" s="238" t="str">
        <f>IF(B110&gt;0,VLOOKUP(C110,acute_overview_children!$C$12:$AH$391,24,FALSE)*1000,"")</f>
        <v/>
      </c>
      <c r="F110" s="546">
        <f>IF($K$6="not necessary",0,LARGE(acute_overview_adults!$AA$14:$AA$391,ROW()-(ROW($B$65))))</f>
        <v>0</v>
      </c>
      <c r="G110" s="237" t="str">
        <f>IF(F110&gt;0,INDEX(acute_overview_adults!$A$12:$AH$391,MATCH(F110,acute_overview_adults!$AA$12:$AA$391,0),3),"")</f>
        <v/>
      </c>
      <c r="H110" s="238">
        <f>IF(F110=0,0,CONCATENATE(ROUND(VLOOKUP(G110,acute_overview_adults!$C$12:$AH$391,3,FALSE),2)," / ",ROUND(VLOOKUP(G110,acute_overview_adults!$C$12:$AH$391,4,FALSE),2)))</f>
        <v>0</v>
      </c>
      <c r="I110" s="239" t="str">
        <f>IF(F110&gt;0,VLOOKUP(G110,acute_overview_adults!$C$12:$AH$391,24,FALSE)*1000,"")</f>
        <v/>
      </c>
      <c r="J110" s="766">
        <f>IF($K$6="not necessary",0,LARGE(acute_overview_children!$AD$14:$AD$391,ROW()-ROW($B$65)))</f>
        <v>0</v>
      </c>
      <c r="K110" s="745" t="str">
        <f>IF(J110&gt;0,INDEX(acute_overview_children!$A$12:$AH$391,MATCH(J110,acute_overview_children!$AD$12:$AD$391,0),3),"")</f>
        <v/>
      </c>
      <c r="L110" s="755">
        <f>IF(J110=0,0,CONCATENATE(ROUND(VLOOKUP(K110,acute_overview_children!$C$12:$AH$391,3,FALSE),2)," / ",ROUND(VLOOKUP(K110,acute_overview_children!$C$12:$AH$391,6,FALSE),2)))</f>
        <v>0</v>
      </c>
      <c r="M110" s="755" t="str">
        <f>IF(J110&gt;0,VLOOKUP(K110,acute_overview_children!$C$12:$AH$391,27,FALSE)*1000,"")</f>
        <v/>
      </c>
      <c r="N110" s="766">
        <f>IF($K$6="not necessary",0,LARGE(acute_overview_adults!$AD$14:$AD$391,ROW()-ROW($F$65)))</f>
        <v>0</v>
      </c>
      <c r="O110" s="745" t="str">
        <f>IF(Results!N110&gt;0,INDEX(acute_overview_adults!$A$12:$AH$391,MATCH(Results!N110,acute_overview_adults!$AD$12:$AD$391,0),3),"")</f>
        <v/>
      </c>
      <c r="P110" s="755">
        <f>IF(N110=0,0,CONCATENATE(ROUND(VLOOKUP(O110,acute_overview_adults!$C$12:$AH$391,3,FALSE),2)," / ",ROUND(VLOOKUP(O110,acute_overview_adults!$C$12:$AH$391,6,FALSE),2)))</f>
        <v>0</v>
      </c>
      <c r="Q110" s="755" t="str">
        <f>IF(N110&gt;0,VLOOKUP(O110,acute_overview_adults!$C$12:$AH$391,27,FALSE)*1000,"")</f>
        <v/>
      </c>
      <c r="S110" s="1161">
        <f t="shared" si="0"/>
        <v>0</v>
      </c>
      <c r="T110" s="1161">
        <f t="shared" si="1"/>
        <v>0</v>
      </c>
      <c r="U110" s="1161">
        <f t="shared" si="2"/>
        <v>0</v>
      </c>
      <c r="V110" s="1161">
        <f t="shared" si="3"/>
        <v>0</v>
      </c>
      <c r="W110" s="1163">
        <f t="shared" si="4"/>
        <v>0</v>
      </c>
      <c r="X110" s="1163">
        <f t="shared" si="5"/>
        <v>0</v>
      </c>
      <c r="Y110" s="1163">
        <f t="shared" si="6"/>
        <v>0</v>
      </c>
      <c r="Z110" s="1163">
        <f t="shared" si="7"/>
        <v>0</v>
      </c>
    </row>
    <row r="111" spans="1:26" s="43" customFormat="1" ht="12" hidden="1" customHeight="1" outlineLevel="1" x14ac:dyDescent="0.2">
      <c r="A111" s="178"/>
      <c r="B111" s="546">
        <f>IF($K$6="not necessary",0,LARGE(acute_overview_children!$AA$14:$AA$391,ROW()-(ROW($B$65))))</f>
        <v>0</v>
      </c>
      <c r="C111" s="237" t="str">
        <f>IF(Results!B111&gt;0,INDEX(acute_overview_children!$A$12:$AH$391,MATCH(Results!B111,acute_overview_children!$AA$12:$AA$391,0),3),"")</f>
        <v/>
      </c>
      <c r="D111" s="238">
        <f>IF(B111=0,0,CONCATENATE(ROUND(VLOOKUP(C111,acute_overview_children!$C$12:$AH$391,3,FALSE),2)," / ",ROUND(VLOOKUP(C111,acute_overview_children!$C$12:$AH$391,4,FALSE),2)))</f>
        <v>0</v>
      </c>
      <c r="E111" s="238" t="str">
        <f>IF(B111&gt;0,VLOOKUP(C111,acute_overview_children!$C$12:$AH$391,24,FALSE)*1000,"")</f>
        <v/>
      </c>
      <c r="F111" s="546">
        <f>IF($K$6="not necessary",0,LARGE(acute_overview_adults!$AA$14:$AA$391,ROW()-(ROW($B$65))))</f>
        <v>0</v>
      </c>
      <c r="G111" s="237" t="str">
        <f>IF(F111&gt;0,INDEX(acute_overview_adults!$A$12:$AH$391,MATCH(F111,acute_overview_adults!$AA$12:$AA$391,0),3),"")</f>
        <v/>
      </c>
      <c r="H111" s="238">
        <f>IF(F111=0,0,CONCATENATE(ROUND(VLOOKUP(G111,acute_overview_adults!$C$12:$AH$391,3,FALSE),2)," / ",ROUND(VLOOKUP(G111,acute_overview_adults!$C$12:$AH$391,4,FALSE),2)))</f>
        <v>0</v>
      </c>
      <c r="I111" s="239" t="str">
        <f>IF(F111&gt;0,VLOOKUP(G111,acute_overview_adults!$C$12:$AH$391,24,FALSE)*1000,"")</f>
        <v/>
      </c>
      <c r="J111" s="766">
        <f>IF($K$6="not necessary",0,LARGE(acute_overview_children!$AD$14:$AD$391,ROW()-ROW($B$65)))</f>
        <v>0</v>
      </c>
      <c r="K111" s="745" t="str">
        <f>IF(J111&gt;0,INDEX(acute_overview_children!$A$12:$AH$391,MATCH(J111,acute_overview_children!$AD$12:$AD$391,0),3),"")</f>
        <v/>
      </c>
      <c r="L111" s="755">
        <f>IF(J111=0,0,CONCATENATE(ROUND(VLOOKUP(K111,acute_overview_children!$C$12:$AH$391,3,FALSE),2)," / ",ROUND(VLOOKUP(K111,acute_overview_children!$C$12:$AH$391,6,FALSE),2)))</f>
        <v>0</v>
      </c>
      <c r="M111" s="755" t="str">
        <f>IF(J111&gt;0,VLOOKUP(K111,acute_overview_children!$C$12:$AH$391,27,FALSE)*1000,"")</f>
        <v/>
      </c>
      <c r="N111" s="766">
        <f>IF($K$6="not necessary",0,LARGE(acute_overview_adults!$AD$14:$AD$391,ROW()-ROW($F$65)))</f>
        <v>0</v>
      </c>
      <c r="O111" s="745" t="str">
        <f>IF(Results!N111&gt;0,INDEX(acute_overview_adults!$A$12:$AH$391,MATCH(Results!N111,acute_overview_adults!$AD$12:$AD$391,0),3),"")</f>
        <v/>
      </c>
      <c r="P111" s="755">
        <f>IF(N111=0,0,CONCATENATE(ROUND(VLOOKUP(O111,acute_overview_adults!$C$12:$AH$391,3,FALSE),2)," / ",ROUND(VLOOKUP(O111,acute_overview_adults!$C$12:$AH$391,6,FALSE),2)))</f>
        <v>0</v>
      </c>
      <c r="Q111" s="755" t="str">
        <f>IF(N111&gt;0,VLOOKUP(O111,acute_overview_adults!$C$12:$AH$391,27,FALSE)*1000,"")</f>
        <v/>
      </c>
      <c r="S111" s="1161">
        <f t="shared" si="0"/>
        <v>0</v>
      </c>
      <c r="T111" s="1161">
        <f t="shared" si="1"/>
        <v>0</v>
      </c>
      <c r="U111" s="1161">
        <f t="shared" si="2"/>
        <v>0</v>
      </c>
      <c r="V111" s="1161">
        <f t="shared" si="3"/>
        <v>0</v>
      </c>
      <c r="W111" s="1163">
        <f t="shared" si="4"/>
        <v>0</v>
      </c>
      <c r="X111" s="1163">
        <f t="shared" si="5"/>
        <v>0</v>
      </c>
      <c r="Y111" s="1163">
        <f t="shared" si="6"/>
        <v>0</v>
      </c>
      <c r="Z111" s="1163">
        <f t="shared" si="7"/>
        <v>0</v>
      </c>
    </row>
    <row r="112" spans="1:26" s="43" customFormat="1" ht="12" hidden="1" customHeight="1" outlineLevel="1" x14ac:dyDescent="0.2">
      <c r="A112" s="178"/>
      <c r="B112" s="546">
        <f>IF($K$6="not necessary",0,LARGE(acute_overview_children!$AA$14:$AA$391,ROW()-(ROW($B$65))))</f>
        <v>0</v>
      </c>
      <c r="C112" s="237" t="str">
        <f>IF(Results!B112&gt;0,INDEX(acute_overview_children!$A$12:$AH$391,MATCH(Results!B112,acute_overview_children!$AA$12:$AA$391,0),3),"")</f>
        <v/>
      </c>
      <c r="D112" s="238">
        <f>IF(B112=0,0,CONCATENATE(ROUND(VLOOKUP(C112,acute_overview_children!$C$12:$AH$391,3,FALSE),2)," / ",ROUND(VLOOKUP(C112,acute_overview_children!$C$12:$AH$391,4,FALSE),2)))</f>
        <v>0</v>
      </c>
      <c r="E112" s="238" t="str">
        <f>IF(B112&gt;0,VLOOKUP(C112,acute_overview_children!$C$12:$AH$391,24,FALSE)*1000,"")</f>
        <v/>
      </c>
      <c r="F112" s="546">
        <f>IF($K$6="not necessary",0,LARGE(acute_overview_adults!$AA$14:$AA$391,ROW()-(ROW($B$65))))</f>
        <v>0</v>
      </c>
      <c r="G112" s="237" t="str">
        <f>IF(F112&gt;0,INDEX(acute_overview_adults!$A$12:$AH$391,MATCH(F112,acute_overview_adults!$AA$12:$AA$391,0),3),"")</f>
        <v/>
      </c>
      <c r="H112" s="238">
        <f>IF(F112=0,0,CONCATENATE(ROUND(VLOOKUP(G112,acute_overview_adults!$C$12:$AH$391,3,FALSE),2)," / ",ROUND(VLOOKUP(G112,acute_overview_adults!$C$12:$AH$391,4,FALSE),2)))</f>
        <v>0</v>
      </c>
      <c r="I112" s="239" t="str">
        <f>IF(F112&gt;0,VLOOKUP(G112,acute_overview_adults!$C$12:$AH$391,24,FALSE)*1000,"")</f>
        <v/>
      </c>
      <c r="J112" s="766">
        <f>IF($K$6="not necessary",0,LARGE(acute_overview_children!$AD$14:$AD$391,ROW()-ROW($B$65)))</f>
        <v>0</v>
      </c>
      <c r="K112" s="745" t="str">
        <f>IF(J112&gt;0,INDEX(acute_overview_children!$A$12:$AH$391,MATCH(J112,acute_overview_children!$AD$12:$AD$391,0),3),"")</f>
        <v/>
      </c>
      <c r="L112" s="755">
        <f>IF(J112=0,0,CONCATENATE(ROUND(VLOOKUP(K112,acute_overview_children!$C$12:$AH$391,3,FALSE),2)," / ",ROUND(VLOOKUP(K112,acute_overview_children!$C$12:$AH$391,6,FALSE),2)))</f>
        <v>0</v>
      </c>
      <c r="M112" s="755" t="str">
        <f>IF(J112&gt;0,VLOOKUP(K112,acute_overview_children!$C$12:$AH$391,27,FALSE)*1000,"")</f>
        <v/>
      </c>
      <c r="N112" s="766">
        <f>IF($K$6="not necessary",0,LARGE(acute_overview_adults!$AD$14:$AD$391,ROW()-ROW($F$65)))</f>
        <v>0</v>
      </c>
      <c r="O112" s="745" t="str">
        <f>IF(Results!N112&gt;0,INDEX(acute_overview_adults!$A$12:$AH$391,MATCH(Results!N112,acute_overview_adults!$AD$12:$AD$391,0),3),"")</f>
        <v/>
      </c>
      <c r="P112" s="755">
        <f>IF(N112=0,0,CONCATENATE(ROUND(VLOOKUP(O112,acute_overview_adults!$C$12:$AH$391,3,FALSE),2)," / ",ROUND(VLOOKUP(O112,acute_overview_adults!$C$12:$AH$391,6,FALSE),2)))</f>
        <v>0</v>
      </c>
      <c r="Q112" s="755" t="str">
        <f>IF(N112&gt;0,VLOOKUP(O112,acute_overview_adults!$C$12:$AH$391,27,FALSE)*1000,"")</f>
        <v/>
      </c>
      <c r="S112" s="1161">
        <f t="shared" si="0"/>
        <v>0</v>
      </c>
      <c r="T112" s="1161">
        <f t="shared" si="1"/>
        <v>0</v>
      </c>
      <c r="U112" s="1161">
        <f t="shared" si="2"/>
        <v>0</v>
      </c>
      <c r="V112" s="1161">
        <f t="shared" si="3"/>
        <v>0</v>
      </c>
      <c r="W112" s="1163">
        <f t="shared" si="4"/>
        <v>0</v>
      </c>
      <c r="X112" s="1163">
        <f t="shared" si="5"/>
        <v>0</v>
      </c>
      <c r="Y112" s="1163">
        <f t="shared" si="6"/>
        <v>0</v>
      </c>
      <c r="Z112" s="1163">
        <f t="shared" si="7"/>
        <v>0</v>
      </c>
    </row>
    <row r="113" spans="1:26" s="43" customFormat="1" ht="12" hidden="1" customHeight="1" outlineLevel="1" x14ac:dyDescent="0.2">
      <c r="A113" s="178"/>
      <c r="B113" s="546">
        <f>IF($K$6="not necessary",0,LARGE(acute_overview_children!$AA$14:$AA$391,ROW()-(ROW($B$65))))</f>
        <v>0</v>
      </c>
      <c r="C113" s="237" t="str">
        <f>IF(Results!B113&gt;0,INDEX(acute_overview_children!$A$12:$AH$391,MATCH(Results!B113,acute_overview_children!$AA$12:$AA$391,0),3),"")</f>
        <v/>
      </c>
      <c r="D113" s="238">
        <f>IF(B113=0,0,CONCATENATE(ROUND(VLOOKUP(C113,acute_overview_children!$C$12:$AH$391,3,FALSE),2)," / ",ROUND(VLOOKUP(C113,acute_overview_children!$C$12:$AH$391,4,FALSE),2)))</f>
        <v>0</v>
      </c>
      <c r="E113" s="238" t="str">
        <f>IF(B113&gt;0,VLOOKUP(C113,acute_overview_children!$C$12:$AH$391,24,FALSE)*1000,"")</f>
        <v/>
      </c>
      <c r="F113" s="546">
        <f>IF($K$6="not necessary",0,LARGE(acute_overview_adults!$AA$14:$AA$391,ROW()-(ROW($B$65))))</f>
        <v>0</v>
      </c>
      <c r="G113" s="237" t="str">
        <f>IF(F113&gt;0,INDEX(acute_overview_adults!$A$12:$AH$391,MATCH(F113,acute_overview_adults!$AA$12:$AA$391,0),3),"")</f>
        <v/>
      </c>
      <c r="H113" s="238">
        <f>IF(F113=0,0,CONCATENATE(ROUND(VLOOKUP(G113,acute_overview_adults!$C$12:$AH$391,3,FALSE),2)," / ",ROUND(VLOOKUP(G113,acute_overview_adults!$C$12:$AH$391,4,FALSE),2)))</f>
        <v>0</v>
      </c>
      <c r="I113" s="239" t="str">
        <f>IF(F113&gt;0,VLOOKUP(G113,acute_overview_adults!$C$12:$AH$391,24,FALSE)*1000,"")</f>
        <v/>
      </c>
      <c r="J113" s="766">
        <f>IF($K$6="not necessary",0,LARGE(acute_overview_children!$AD$14:$AD$391,ROW()-ROW($B$65)))</f>
        <v>0</v>
      </c>
      <c r="K113" s="745" t="str">
        <f>IF(J113&gt;0,INDEX(acute_overview_children!$A$12:$AH$391,MATCH(J113,acute_overview_children!$AD$12:$AD$391,0),3),"")</f>
        <v/>
      </c>
      <c r="L113" s="755">
        <f>IF(J113=0,0,CONCATENATE(ROUND(VLOOKUP(K113,acute_overview_children!$C$12:$AH$391,3,FALSE),2)," / ",ROUND(VLOOKUP(K113,acute_overview_children!$C$12:$AH$391,6,FALSE),2)))</f>
        <v>0</v>
      </c>
      <c r="M113" s="755" t="str">
        <f>IF(J113&gt;0,VLOOKUP(K113,acute_overview_children!$C$12:$AH$391,27,FALSE)*1000,"")</f>
        <v/>
      </c>
      <c r="N113" s="766">
        <f>IF($K$6="not necessary",0,LARGE(acute_overview_adults!$AD$14:$AD$391,ROW()-ROW($F$65)))</f>
        <v>0</v>
      </c>
      <c r="O113" s="745" t="str">
        <f>IF(Results!N113&gt;0,INDEX(acute_overview_adults!$A$12:$AH$391,MATCH(Results!N113,acute_overview_adults!$AD$12:$AD$391,0),3),"")</f>
        <v/>
      </c>
      <c r="P113" s="755">
        <f>IF(N113=0,0,CONCATENATE(ROUND(VLOOKUP(O113,acute_overview_adults!$C$12:$AH$391,3,FALSE),2)," / ",ROUND(VLOOKUP(O113,acute_overview_adults!$C$12:$AH$391,6,FALSE),2)))</f>
        <v>0</v>
      </c>
      <c r="Q113" s="755" t="str">
        <f>IF(N113&gt;0,VLOOKUP(O113,acute_overview_adults!$C$12:$AH$391,27,FALSE)*1000,"")</f>
        <v/>
      </c>
      <c r="S113" s="1161">
        <f t="shared" si="0"/>
        <v>0</v>
      </c>
      <c r="T113" s="1161">
        <f t="shared" si="1"/>
        <v>0</v>
      </c>
      <c r="U113" s="1161">
        <f t="shared" si="2"/>
        <v>0</v>
      </c>
      <c r="V113" s="1161">
        <f t="shared" si="3"/>
        <v>0</v>
      </c>
      <c r="W113" s="1163">
        <f t="shared" si="4"/>
        <v>0</v>
      </c>
      <c r="X113" s="1163">
        <f t="shared" si="5"/>
        <v>0</v>
      </c>
      <c r="Y113" s="1163">
        <f t="shared" si="6"/>
        <v>0</v>
      </c>
      <c r="Z113" s="1163">
        <f t="shared" si="7"/>
        <v>0</v>
      </c>
    </row>
    <row r="114" spans="1:26" s="43" customFormat="1" ht="12" hidden="1" customHeight="1" outlineLevel="1" x14ac:dyDescent="0.2">
      <c r="A114" s="178"/>
      <c r="B114" s="546">
        <f>IF($K$6="not necessary",0,LARGE(acute_overview_children!$AA$14:$AA$391,ROW()-(ROW($B$65))))</f>
        <v>0</v>
      </c>
      <c r="C114" s="237" t="str">
        <f>IF(Results!B114&gt;0,INDEX(acute_overview_children!$A$12:$AH$391,MATCH(Results!B114,acute_overview_children!$AA$12:$AA$391,0),3),"")</f>
        <v/>
      </c>
      <c r="D114" s="238">
        <f>IF(B114=0,0,CONCATENATE(ROUND(VLOOKUP(C114,acute_overview_children!$C$12:$AH$391,3,FALSE),2)," / ",ROUND(VLOOKUP(C114,acute_overview_children!$C$12:$AH$391,4,FALSE),2)))</f>
        <v>0</v>
      </c>
      <c r="E114" s="238" t="str">
        <f>IF(B114&gt;0,VLOOKUP(C114,acute_overview_children!$C$12:$AH$391,24,FALSE)*1000,"")</f>
        <v/>
      </c>
      <c r="F114" s="546">
        <f>IF($K$6="not necessary",0,LARGE(acute_overview_adults!$AA$14:$AA$391,ROW()-(ROW($B$65))))</f>
        <v>0</v>
      </c>
      <c r="G114" s="237" t="str">
        <f>IF(F114&gt;0,INDEX(acute_overview_adults!$A$12:$AH$391,MATCH(F114,acute_overview_adults!$AA$12:$AA$391,0),3),"")</f>
        <v/>
      </c>
      <c r="H114" s="238">
        <f>IF(F114=0,0,CONCATENATE(ROUND(VLOOKUP(G114,acute_overview_adults!$C$12:$AH$391,3,FALSE),2)," / ",ROUND(VLOOKUP(G114,acute_overview_adults!$C$12:$AH$391,4,FALSE),2)))</f>
        <v>0</v>
      </c>
      <c r="I114" s="239" t="str">
        <f>IF(F114&gt;0,VLOOKUP(G114,acute_overview_adults!$C$12:$AH$391,24,FALSE)*1000,"")</f>
        <v/>
      </c>
      <c r="J114" s="766">
        <f>IF($K$6="not necessary",0,LARGE(acute_overview_children!$AD$14:$AD$391,ROW()-ROW($B$65)))</f>
        <v>0</v>
      </c>
      <c r="K114" s="745" t="str">
        <f>IF(J114&gt;0,INDEX(acute_overview_children!$A$12:$AH$391,MATCH(J114,acute_overview_children!$AD$12:$AD$391,0),3),"")</f>
        <v/>
      </c>
      <c r="L114" s="755">
        <f>IF(J114=0,0,CONCATENATE(ROUND(VLOOKUP(K114,acute_overview_children!$C$12:$AH$391,3,FALSE),2)," / ",ROUND(VLOOKUP(K114,acute_overview_children!$C$12:$AH$391,6,FALSE),2)))</f>
        <v>0</v>
      </c>
      <c r="M114" s="755" t="str">
        <f>IF(J114&gt;0,VLOOKUP(K114,acute_overview_children!$C$12:$AH$391,27,FALSE)*1000,"")</f>
        <v/>
      </c>
      <c r="N114" s="766">
        <f>IF($K$6="not necessary",0,LARGE(acute_overview_adults!$AD$14:$AD$391,ROW()-ROW($F$65)))</f>
        <v>0</v>
      </c>
      <c r="O114" s="745" t="str">
        <f>IF(Results!N114&gt;0,INDEX(acute_overview_adults!$A$12:$AH$391,MATCH(Results!N114,acute_overview_adults!$AD$12:$AD$391,0),3),"")</f>
        <v/>
      </c>
      <c r="P114" s="755">
        <f>IF(N114=0,0,CONCATENATE(ROUND(VLOOKUP(O114,acute_overview_adults!$C$12:$AH$391,3,FALSE),2)," / ",ROUND(VLOOKUP(O114,acute_overview_adults!$C$12:$AH$391,6,FALSE),2)))</f>
        <v>0</v>
      </c>
      <c r="Q114" s="755" t="str">
        <f>IF(N114&gt;0,VLOOKUP(O114,acute_overview_adults!$C$12:$AH$391,27,FALSE)*1000,"")</f>
        <v/>
      </c>
      <c r="S114" s="1161">
        <f t="shared" si="0"/>
        <v>0</v>
      </c>
      <c r="T114" s="1161">
        <f t="shared" si="1"/>
        <v>0</v>
      </c>
      <c r="U114" s="1161">
        <f t="shared" si="2"/>
        <v>0</v>
      </c>
      <c r="V114" s="1161">
        <f t="shared" si="3"/>
        <v>0</v>
      </c>
      <c r="W114" s="1163">
        <f t="shared" si="4"/>
        <v>0</v>
      </c>
      <c r="X114" s="1163">
        <f t="shared" si="5"/>
        <v>0</v>
      </c>
      <c r="Y114" s="1163">
        <f t="shared" si="6"/>
        <v>0</v>
      </c>
      <c r="Z114" s="1163">
        <f t="shared" si="7"/>
        <v>0</v>
      </c>
    </row>
    <row r="115" spans="1:26" s="43" customFormat="1" ht="12" hidden="1" customHeight="1" outlineLevel="1" x14ac:dyDescent="0.2">
      <c r="A115" s="178"/>
      <c r="B115" s="546">
        <f>IF($K$6="not necessary",0,LARGE(acute_overview_children!$AA$14:$AA$391,ROW()-(ROW($B$65))))</f>
        <v>0</v>
      </c>
      <c r="C115" s="237" t="str">
        <f>IF(Results!B115&gt;0,INDEX(acute_overview_children!$A$12:$AH$391,MATCH(Results!B115,acute_overview_children!$AA$12:$AA$391,0),3),"")</f>
        <v/>
      </c>
      <c r="D115" s="238">
        <f>IF(B115=0,0,CONCATENATE(ROUND(VLOOKUP(C115,acute_overview_children!$C$12:$AH$391,3,FALSE),2)," / ",ROUND(VLOOKUP(C115,acute_overview_children!$C$12:$AH$391,4,FALSE),2)))</f>
        <v>0</v>
      </c>
      <c r="E115" s="238" t="str">
        <f>IF(B115&gt;0,VLOOKUP(C115,acute_overview_children!$C$12:$AH$391,24,FALSE)*1000,"")</f>
        <v/>
      </c>
      <c r="F115" s="546">
        <f>IF($K$6="not necessary",0,LARGE(acute_overview_adults!$AA$14:$AA$391,ROW()-(ROW($B$65))))</f>
        <v>0</v>
      </c>
      <c r="G115" s="237" t="str">
        <f>IF(F115&gt;0,INDEX(acute_overview_adults!$A$12:$AH$391,MATCH(F115,acute_overview_adults!$AA$12:$AA$391,0),3),"")</f>
        <v/>
      </c>
      <c r="H115" s="238">
        <f>IF(F115=0,0,CONCATENATE(ROUND(VLOOKUP(G115,acute_overview_adults!$C$12:$AH$391,3,FALSE),2)," / ",ROUND(VLOOKUP(G115,acute_overview_adults!$C$12:$AH$391,4,FALSE),2)))</f>
        <v>0</v>
      </c>
      <c r="I115" s="239" t="str">
        <f>IF(F115&gt;0,VLOOKUP(G115,acute_overview_adults!$C$12:$AH$391,24,FALSE)*1000,"")</f>
        <v/>
      </c>
      <c r="J115" s="766">
        <f>IF($K$6="not necessary",0,LARGE(acute_overview_children!$AD$14:$AD$391,ROW()-ROW($B$65)))</f>
        <v>0</v>
      </c>
      <c r="K115" s="745" t="str">
        <f>IF(J115&gt;0,INDEX(acute_overview_children!$A$12:$AH$391,MATCH(J115,acute_overview_children!$AD$12:$AD$391,0),3),"")</f>
        <v/>
      </c>
      <c r="L115" s="755">
        <f>IF(J115=0,0,CONCATENATE(ROUND(VLOOKUP(K115,acute_overview_children!$C$12:$AH$391,3,FALSE),2)," / ",ROUND(VLOOKUP(K115,acute_overview_children!$C$12:$AH$391,6,FALSE),2)))</f>
        <v>0</v>
      </c>
      <c r="M115" s="755" t="str">
        <f>IF(J115&gt;0,VLOOKUP(K115,acute_overview_children!$C$12:$AH$391,27,FALSE)*1000,"")</f>
        <v/>
      </c>
      <c r="N115" s="766">
        <f>IF($K$6="not necessary",0,LARGE(acute_overview_adults!$AD$14:$AD$391,ROW()-ROW($F$65)))</f>
        <v>0</v>
      </c>
      <c r="O115" s="745" t="str">
        <f>IF(Results!N115&gt;0,INDEX(acute_overview_adults!$A$12:$AH$391,MATCH(Results!N115,acute_overview_adults!$AD$12:$AD$391,0),3),"")</f>
        <v/>
      </c>
      <c r="P115" s="755">
        <f>IF(N115=0,0,CONCATENATE(ROUND(VLOOKUP(O115,acute_overview_adults!$C$12:$AH$391,3,FALSE),2)," / ",ROUND(VLOOKUP(O115,acute_overview_adults!$C$12:$AH$391,6,FALSE),2)))</f>
        <v>0</v>
      </c>
      <c r="Q115" s="755" t="str">
        <f>IF(N115&gt;0,VLOOKUP(O115,acute_overview_adults!$C$12:$AH$391,27,FALSE)*1000,"")</f>
        <v/>
      </c>
      <c r="S115" s="1161">
        <f t="shared" si="0"/>
        <v>0</v>
      </c>
      <c r="T115" s="1161">
        <f t="shared" si="1"/>
        <v>0</v>
      </c>
      <c r="U115" s="1161">
        <f t="shared" si="2"/>
        <v>0</v>
      </c>
      <c r="V115" s="1161">
        <f t="shared" si="3"/>
        <v>0</v>
      </c>
      <c r="W115" s="1163">
        <f t="shared" si="4"/>
        <v>0</v>
      </c>
      <c r="X115" s="1163">
        <f t="shared" si="5"/>
        <v>0</v>
      </c>
      <c r="Y115" s="1163">
        <f t="shared" si="6"/>
        <v>0</v>
      </c>
      <c r="Z115" s="1163">
        <f t="shared" si="7"/>
        <v>0</v>
      </c>
    </row>
    <row r="116" spans="1:26" s="43" customFormat="1" ht="12" hidden="1" customHeight="1" outlineLevel="1" x14ac:dyDescent="0.2">
      <c r="A116" s="178"/>
      <c r="B116" s="546">
        <f>IF($K$6="not necessary",0,LARGE(acute_overview_children!$AA$14:$AA$391,ROW()-(ROW($B$65))))</f>
        <v>0</v>
      </c>
      <c r="C116" s="237" t="str">
        <f>IF(Results!B116&gt;0,INDEX(acute_overview_children!$A$12:$AH$391,MATCH(Results!B116,acute_overview_children!$AA$12:$AA$391,0),3),"")</f>
        <v/>
      </c>
      <c r="D116" s="238">
        <f>IF(B116=0,0,CONCATENATE(ROUND(VLOOKUP(C116,acute_overview_children!$C$12:$AH$391,3,FALSE),2)," / ",ROUND(VLOOKUP(C116,acute_overview_children!$C$12:$AH$391,4,FALSE),2)))</f>
        <v>0</v>
      </c>
      <c r="E116" s="238" t="str">
        <f>IF(B116&gt;0,VLOOKUP(C116,acute_overview_children!$C$12:$AH$391,24,FALSE)*1000,"")</f>
        <v/>
      </c>
      <c r="F116" s="546">
        <f>IF($K$6="not necessary",0,LARGE(acute_overview_adults!$AA$14:$AA$391,ROW()-(ROW($B$65))))</f>
        <v>0</v>
      </c>
      <c r="G116" s="237" t="str">
        <f>IF(F116&gt;0,INDEX(acute_overview_adults!$A$12:$AH$391,MATCH(F116,acute_overview_adults!$AA$12:$AA$391,0),3),"")</f>
        <v/>
      </c>
      <c r="H116" s="238">
        <f>IF(F116=0,0,CONCATENATE(ROUND(VLOOKUP(G116,acute_overview_adults!$C$12:$AH$391,3,FALSE),2)," / ",ROUND(VLOOKUP(G116,acute_overview_adults!$C$12:$AH$391,4,FALSE),2)))</f>
        <v>0</v>
      </c>
      <c r="I116" s="239" t="str">
        <f>IF(F116&gt;0,VLOOKUP(G116,acute_overview_adults!$C$12:$AH$391,24,FALSE)*1000,"")</f>
        <v/>
      </c>
      <c r="J116" s="766">
        <f>IF($K$6="not necessary",0,LARGE(acute_overview_children!$AD$14:$AD$391,ROW()-ROW($B$65)))</f>
        <v>0</v>
      </c>
      <c r="K116" s="745" t="str">
        <f>IF(J116&gt;0,INDEX(acute_overview_children!$A$12:$AH$391,MATCH(J116,acute_overview_children!$AD$12:$AD$391,0),3),"")</f>
        <v/>
      </c>
      <c r="L116" s="755">
        <f>IF(J116=0,0,CONCATENATE(ROUND(VLOOKUP(K116,acute_overview_children!$C$12:$AH$391,3,FALSE),2)," / ",ROUND(VLOOKUP(K116,acute_overview_children!$C$12:$AH$391,6,FALSE),2)))</f>
        <v>0</v>
      </c>
      <c r="M116" s="755" t="str">
        <f>IF(J116&gt;0,VLOOKUP(K116,acute_overview_children!$C$12:$AH$391,27,FALSE)*1000,"")</f>
        <v/>
      </c>
      <c r="N116" s="766">
        <f>IF($K$6="not necessary",0,LARGE(acute_overview_adults!$AD$14:$AD$391,ROW()-ROW($F$65)))</f>
        <v>0</v>
      </c>
      <c r="O116" s="745" t="str">
        <f>IF(Results!N116&gt;0,INDEX(acute_overview_adults!$A$12:$AH$391,MATCH(Results!N116,acute_overview_adults!$AD$12:$AD$391,0),3),"")</f>
        <v/>
      </c>
      <c r="P116" s="755">
        <f>IF(N116=0,0,CONCATENATE(ROUND(VLOOKUP(O116,acute_overview_adults!$C$12:$AH$391,3,FALSE),2)," / ",ROUND(VLOOKUP(O116,acute_overview_adults!$C$12:$AH$391,6,FALSE),2)))</f>
        <v>0</v>
      </c>
      <c r="Q116" s="755" t="str">
        <f>IF(N116&gt;0,VLOOKUP(O116,acute_overview_adults!$C$12:$AH$391,27,FALSE)*1000,"")</f>
        <v/>
      </c>
      <c r="S116" s="1161">
        <f t="shared" si="0"/>
        <v>0</v>
      </c>
      <c r="T116" s="1161">
        <f t="shared" si="1"/>
        <v>0</v>
      </c>
      <c r="U116" s="1161">
        <f t="shared" si="2"/>
        <v>0</v>
      </c>
      <c r="V116" s="1161">
        <f t="shared" si="3"/>
        <v>0</v>
      </c>
      <c r="W116" s="1163">
        <f t="shared" si="4"/>
        <v>0</v>
      </c>
      <c r="X116" s="1163">
        <f t="shared" si="5"/>
        <v>0</v>
      </c>
      <c r="Y116" s="1163">
        <f t="shared" si="6"/>
        <v>0</v>
      </c>
      <c r="Z116" s="1163">
        <f t="shared" si="7"/>
        <v>0</v>
      </c>
    </row>
    <row r="117" spans="1:26" s="43" customFormat="1" ht="12" hidden="1" customHeight="1" outlineLevel="1" x14ac:dyDescent="0.2">
      <c r="A117" s="178"/>
      <c r="B117" s="546">
        <f>IF($K$6="not necessary",0,LARGE(acute_overview_children!$AA$14:$AA$391,ROW()-(ROW($B$65))))</f>
        <v>0</v>
      </c>
      <c r="C117" s="237" t="str">
        <f>IF(Results!B117&gt;0,INDEX(acute_overview_children!$A$12:$AH$391,MATCH(Results!B117,acute_overview_children!$AA$12:$AA$391,0),3),"")</f>
        <v/>
      </c>
      <c r="D117" s="238">
        <f>IF(B117=0,0,CONCATENATE(ROUND(VLOOKUP(C117,acute_overview_children!$C$12:$AH$391,3,FALSE),2)," / ",ROUND(VLOOKUP(C117,acute_overview_children!$C$12:$AH$391,4,FALSE),2)))</f>
        <v>0</v>
      </c>
      <c r="E117" s="238" t="str">
        <f>IF(B117&gt;0,VLOOKUP(C117,acute_overview_children!$C$12:$AH$391,24,FALSE)*1000,"")</f>
        <v/>
      </c>
      <c r="F117" s="546">
        <f>IF($K$6="not necessary",0,LARGE(acute_overview_adults!$AA$14:$AA$391,ROW()-(ROW($B$65))))</f>
        <v>0</v>
      </c>
      <c r="G117" s="237" t="str">
        <f>IF(F117&gt;0,INDEX(acute_overview_adults!$A$12:$AH$391,MATCH(F117,acute_overview_adults!$AA$12:$AA$391,0),3),"")</f>
        <v/>
      </c>
      <c r="H117" s="238">
        <f>IF(F117=0,0,CONCATENATE(ROUND(VLOOKUP(G117,acute_overview_adults!$C$12:$AH$391,3,FALSE),2)," / ",ROUND(VLOOKUP(G117,acute_overview_adults!$C$12:$AH$391,4,FALSE),2)))</f>
        <v>0</v>
      </c>
      <c r="I117" s="239" t="str">
        <f>IF(F117&gt;0,VLOOKUP(G117,acute_overview_adults!$C$12:$AH$391,24,FALSE)*1000,"")</f>
        <v/>
      </c>
      <c r="J117" s="766">
        <f>IF($K$6="not necessary",0,LARGE(acute_overview_children!$AD$14:$AD$391,ROW()-ROW($B$65)))</f>
        <v>0</v>
      </c>
      <c r="K117" s="745" t="str">
        <f>IF(J117&gt;0,INDEX(acute_overview_children!$A$12:$AH$391,MATCH(J117,acute_overview_children!$AD$12:$AD$391,0),3),"")</f>
        <v/>
      </c>
      <c r="L117" s="755">
        <f>IF(J117=0,0,CONCATENATE(ROUND(VLOOKUP(K117,acute_overview_children!$C$12:$AH$391,3,FALSE),2)," / ",ROUND(VLOOKUP(K117,acute_overview_children!$C$12:$AH$391,6,FALSE),2)))</f>
        <v>0</v>
      </c>
      <c r="M117" s="755" t="str">
        <f>IF(J117&gt;0,VLOOKUP(K117,acute_overview_children!$C$12:$AH$391,27,FALSE)*1000,"")</f>
        <v/>
      </c>
      <c r="N117" s="766">
        <f>IF($K$6="not necessary",0,LARGE(acute_overview_adults!$AD$14:$AD$391,ROW()-ROW($F$65)))</f>
        <v>0</v>
      </c>
      <c r="O117" s="745" t="str">
        <f>IF(Results!N117&gt;0,INDEX(acute_overview_adults!$A$12:$AH$391,MATCH(Results!N117,acute_overview_adults!$AD$12:$AD$391,0),3),"")</f>
        <v/>
      </c>
      <c r="P117" s="755">
        <f>IF(N117=0,0,CONCATENATE(ROUND(VLOOKUP(O117,acute_overview_adults!$C$12:$AH$391,3,FALSE),2)," / ",ROUND(VLOOKUP(O117,acute_overview_adults!$C$12:$AH$391,6,FALSE),2)))</f>
        <v>0</v>
      </c>
      <c r="Q117" s="755" t="str">
        <f>IF(N117&gt;0,VLOOKUP(O117,acute_overview_adults!$C$12:$AH$391,27,FALSE)*1000,"")</f>
        <v/>
      </c>
      <c r="S117" s="1161">
        <f t="shared" si="0"/>
        <v>0</v>
      </c>
      <c r="T117" s="1161">
        <f t="shared" si="1"/>
        <v>0</v>
      </c>
      <c r="U117" s="1161">
        <f t="shared" si="2"/>
        <v>0</v>
      </c>
      <c r="V117" s="1161">
        <f t="shared" si="3"/>
        <v>0</v>
      </c>
      <c r="W117" s="1163">
        <f t="shared" si="4"/>
        <v>0</v>
      </c>
      <c r="X117" s="1163">
        <f t="shared" si="5"/>
        <v>0</v>
      </c>
      <c r="Y117" s="1163">
        <f t="shared" si="6"/>
        <v>0</v>
      </c>
      <c r="Z117" s="1163">
        <f t="shared" si="7"/>
        <v>0</v>
      </c>
    </row>
    <row r="118" spans="1:26" s="43" customFormat="1" ht="12" hidden="1" customHeight="1" outlineLevel="1" x14ac:dyDescent="0.2">
      <c r="A118" s="178"/>
      <c r="B118" s="546">
        <f>IF($K$6="not necessary",0,LARGE(acute_overview_children!$AA$14:$AA$391,ROW()-(ROW($B$65))))</f>
        <v>0</v>
      </c>
      <c r="C118" s="237" t="str">
        <f>IF(Results!B118&gt;0,INDEX(acute_overview_children!$A$12:$AH$391,MATCH(Results!B118,acute_overview_children!$AA$12:$AA$391,0),3),"")</f>
        <v/>
      </c>
      <c r="D118" s="238">
        <f>IF(B118=0,0,CONCATENATE(ROUND(VLOOKUP(C118,acute_overview_children!$C$12:$AH$391,3,FALSE),2)," / ",ROUND(VLOOKUP(C118,acute_overview_children!$C$12:$AH$391,4,FALSE),2)))</f>
        <v>0</v>
      </c>
      <c r="E118" s="238" t="str">
        <f>IF(B118&gt;0,VLOOKUP(C118,acute_overview_children!$C$12:$AH$391,24,FALSE)*1000,"")</f>
        <v/>
      </c>
      <c r="F118" s="546">
        <f>IF($K$6="not necessary",0,LARGE(acute_overview_adults!$AA$14:$AA$391,ROW()-(ROW($B$65))))</f>
        <v>0</v>
      </c>
      <c r="G118" s="237" t="str">
        <f>IF(F118&gt;0,INDEX(acute_overview_adults!$A$12:$AH$391,MATCH(F118,acute_overview_adults!$AA$12:$AA$391,0),3),"")</f>
        <v/>
      </c>
      <c r="H118" s="238">
        <f>IF(F118=0,0,CONCATENATE(ROUND(VLOOKUP(G118,acute_overview_adults!$C$12:$AH$391,3,FALSE),2)," / ",ROUND(VLOOKUP(G118,acute_overview_adults!$C$12:$AH$391,4,FALSE),2)))</f>
        <v>0</v>
      </c>
      <c r="I118" s="239" t="str">
        <f>IF(F118&gt;0,VLOOKUP(G118,acute_overview_adults!$C$12:$AH$391,24,FALSE)*1000,"")</f>
        <v/>
      </c>
      <c r="J118" s="766">
        <f>IF($K$6="not necessary",0,LARGE(acute_overview_children!$AD$14:$AD$391,ROW()-ROW($B$65)))</f>
        <v>0</v>
      </c>
      <c r="K118" s="745" t="str">
        <f>IF(J118&gt;0,INDEX(acute_overview_children!$A$12:$AH$391,MATCH(J118,acute_overview_children!$AD$12:$AD$391,0),3),"")</f>
        <v/>
      </c>
      <c r="L118" s="755">
        <f>IF(J118=0,0,CONCATENATE(ROUND(VLOOKUP(K118,acute_overview_children!$C$12:$AH$391,3,FALSE),2)," / ",ROUND(VLOOKUP(K118,acute_overview_children!$C$12:$AH$391,6,FALSE),2)))</f>
        <v>0</v>
      </c>
      <c r="M118" s="755" t="str">
        <f>IF(J118&gt;0,VLOOKUP(K118,acute_overview_children!$C$12:$AH$391,27,FALSE)*1000,"")</f>
        <v/>
      </c>
      <c r="N118" s="766">
        <f>IF($K$6="not necessary",0,LARGE(acute_overview_adults!$AD$14:$AD$391,ROW()-ROW($F$65)))</f>
        <v>0</v>
      </c>
      <c r="O118" s="745" t="str">
        <f>IF(Results!N118&gt;0,INDEX(acute_overview_adults!$A$12:$AH$391,MATCH(Results!N118,acute_overview_adults!$AD$12:$AD$391,0),3),"")</f>
        <v/>
      </c>
      <c r="P118" s="755">
        <f>IF(N118=0,0,CONCATENATE(ROUND(VLOOKUP(O118,acute_overview_adults!$C$12:$AH$391,3,FALSE),2)," / ",ROUND(VLOOKUP(O118,acute_overview_adults!$C$12:$AH$391,6,FALSE),2)))</f>
        <v>0</v>
      </c>
      <c r="Q118" s="755" t="str">
        <f>IF(N118&gt;0,VLOOKUP(O118,acute_overview_adults!$C$12:$AH$391,27,FALSE)*1000,"")</f>
        <v/>
      </c>
      <c r="S118" s="1161">
        <f t="shared" si="0"/>
        <v>0</v>
      </c>
      <c r="T118" s="1161">
        <f t="shared" si="1"/>
        <v>0</v>
      </c>
      <c r="U118" s="1161">
        <f t="shared" si="2"/>
        <v>0</v>
      </c>
      <c r="V118" s="1161">
        <f t="shared" si="3"/>
        <v>0</v>
      </c>
      <c r="W118" s="1163">
        <f t="shared" si="4"/>
        <v>0</v>
      </c>
      <c r="X118" s="1163">
        <f t="shared" si="5"/>
        <v>0</v>
      </c>
      <c r="Y118" s="1163">
        <f t="shared" si="6"/>
        <v>0</v>
      </c>
      <c r="Z118" s="1163">
        <f t="shared" si="7"/>
        <v>0</v>
      </c>
    </row>
    <row r="119" spans="1:26" s="43" customFormat="1" ht="12" hidden="1" customHeight="1" outlineLevel="1" x14ac:dyDescent="0.2">
      <c r="A119" s="178"/>
      <c r="B119" s="546">
        <f>IF($K$6="not necessary",0,LARGE(acute_overview_children!$AA$14:$AA$391,ROW()-(ROW($B$65))))</f>
        <v>0</v>
      </c>
      <c r="C119" s="237" t="str">
        <f>IF(Results!B119&gt;0,INDEX(acute_overview_children!$A$12:$AH$391,MATCH(Results!B119,acute_overview_children!$AA$12:$AA$391,0),3),"")</f>
        <v/>
      </c>
      <c r="D119" s="238">
        <f>IF(B119=0,0,CONCATENATE(ROUND(VLOOKUP(C119,acute_overview_children!$C$12:$AH$391,3,FALSE),2)," / ",ROUND(VLOOKUP(C119,acute_overview_children!$C$12:$AH$391,4,FALSE),2)))</f>
        <v>0</v>
      </c>
      <c r="E119" s="238" t="str">
        <f>IF(B119&gt;0,VLOOKUP(C119,acute_overview_children!$C$12:$AH$391,24,FALSE)*1000,"")</f>
        <v/>
      </c>
      <c r="F119" s="546">
        <f>IF($K$6="not necessary",0,LARGE(acute_overview_adults!$AA$14:$AA$391,ROW()-(ROW($B$65))))</f>
        <v>0</v>
      </c>
      <c r="G119" s="237" t="str">
        <f>IF(F119&gt;0,INDEX(acute_overview_adults!$A$12:$AH$391,MATCH(F119,acute_overview_adults!$AA$12:$AA$391,0),3),"")</f>
        <v/>
      </c>
      <c r="H119" s="238">
        <f>IF(F119=0,0,CONCATENATE(ROUND(VLOOKUP(G119,acute_overview_adults!$C$12:$AH$391,3,FALSE),2)," / ",ROUND(VLOOKUP(G119,acute_overview_adults!$C$12:$AH$391,4,FALSE),2)))</f>
        <v>0</v>
      </c>
      <c r="I119" s="239" t="str">
        <f>IF(F119&gt;0,VLOOKUP(G119,acute_overview_adults!$C$12:$AH$391,24,FALSE)*1000,"")</f>
        <v/>
      </c>
      <c r="J119" s="766">
        <f>IF($K$6="not necessary",0,LARGE(acute_overview_children!$AD$14:$AD$391,ROW()-ROW($B$65)))</f>
        <v>0</v>
      </c>
      <c r="K119" s="745" t="str">
        <f>IF(J119&gt;0,INDEX(acute_overview_children!$A$12:$AH$391,MATCH(J119,acute_overview_children!$AD$12:$AD$391,0),3),"")</f>
        <v/>
      </c>
      <c r="L119" s="755">
        <f>IF(J119=0,0,CONCATENATE(ROUND(VLOOKUP(K119,acute_overview_children!$C$12:$AH$391,3,FALSE),2)," / ",ROUND(VLOOKUP(K119,acute_overview_children!$C$12:$AH$391,6,FALSE),2)))</f>
        <v>0</v>
      </c>
      <c r="M119" s="755" t="str">
        <f>IF(J119&gt;0,VLOOKUP(K119,acute_overview_children!$C$12:$AH$391,27,FALSE)*1000,"")</f>
        <v/>
      </c>
      <c r="N119" s="766">
        <f>IF($K$6="not necessary",0,LARGE(acute_overview_adults!$AD$14:$AD$391,ROW()-ROW($F$65)))</f>
        <v>0</v>
      </c>
      <c r="O119" s="745" t="str">
        <f>IF(Results!N119&gt;0,INDEX(acute_overview_adults!$A$12:$AH$391,MATCH(Results!N119,acute_overview_adults!$AD$12:$AD$391,0),3),"")</f>
        <v/>
      </c>
      <c r="P119" s="755">
        <f>IF(N119=0,0,CONCATENATE(ROUND(VLOOKUP(O119,acute_overview_adults!$C$12:$AH$391,3,FALSE),2)," / ",ROUND(VLOOKUP(O119,acute_overview_adults!$C$12:$AH$391,6,FALSE),2)))</f>
        <v>0</v>
      </c>
      <c r="Q119" s="755" t="str">
        <f>IF(N119&gt;0,VLOOKUP(O119,acute_overview_adults!$C$12:$AH$391,27,FALSE)*1000,"")</f>
        <v/>
      </c>
      <c r="S119" s="1161">
        <f t="shared" si="0"/>
        <v>0</v>
      </c>
      <c r="T119" s="1161">
        <f t="shared" si="1"/>
        <v>0</v>
      </c>
      <c r="U119" s="1161">
        <f t="shared" si="2"/>
        <v>0</v>
      </c>
      <c r="V119" s="1161">
        <f t="shared" si="3"/>
        <v>0</v>
      </c>
      <c r="W119" s="1163">
        <f t="shared" si="4"/>
        <v>0</v>
      </c>
      <c r="X119" s="1163">
        <f t="shared" si="5"/>
        <v>0</v>
      </c>
      <c r="Y119" s="1163">
        <f t="shared" si="6"/>
        <v>0</v>
      </c>
      <c r="Z119" s="1163">
        <f t="shared" si="7"/>
        <v>0</v>
      </c>
    </row>
    <row r="120" spans="1:26" s="43" customFormat="1" ht="12" hidden="1" customHeight="1" outlineLevel="1" x14ac:dyDescent="0.2">
      <c r="A120" s="178"/>
      <c r="B120" s="546">
        <f>IF($K$6="not necessary",0,LARGE(acute_overview_children!$AA$14:$AA$391,ROW()-(ROW($B$65))))</f>
        <v>0</v>
      </c>
      <c r="C120" s="237" t="str">
        <f>IF(Results!B120&gt;0,INDEX(acute_overview_children!$A$12:$AH$391,MATCH(Results!B120,acute_overview_children!$AA$12:$AA$391,0),3),"")</f>
        <v/>
      </c>
      <c r="D120" s="238">
        <f>IF(B120=0,0,CONCATENATE(ROUND(VLOOKUP(C120,acute_overview_children!$C$12:$AH$391,3,FALSE),2)," / ",ROUND(VLOOKUP(C120,acute_overview_children!$C$12:$AH$391,4,FALSE),2)))</f>
        <v>0</v>
      </c>
      <c r="E120" s="238" t="str">
        <f>IF(B120&gt;0,VLOOKUP(C120,acute_overview_children!$C$12:$AH$391,24,FALSE)*1000,"")</f>
        <v/>
      </c>
      <c r="F120" s="546">
        <f>IF($K$6="not necessary",0,LARGE(acute_overview_adults!$AA$14:$AA$391,ROW()-(ROW($B$65))))</f>
        <v>0</v>
      </c>
      <c r="G120" s="237" t="str">
        <f>IF(F120&gt;0,INDEX(acute_overview_adults!$A$12:$AH$391,MATCH(F120,acute_overview_adults!$AA$12:$AA$391,0),3),"")</f>
        <v/>
      </c>
      <c r="H120" s="238">
        <f>IF(F120=0,0,CONCATENATE(ROUND(VLOOKUP(G120,acute_overview_adults!$C$12:$AH$391,3,FALSE),2)," / ",ROUND(VLOOKUP(G120,acute_overview_adults!$C$12:$AH$391,4,FALSE),2)))</f>
        <v>0</v>
      </c>
      <c r="I120" s="239" t="str">
        <f>IF(F120&gt;0,VLOOKUP(G120,acute_overview_adults!$C$12:$AH$391,24,FALSE)*1000,"")</f>
        <v/>
      </c>
      <c r="J120" s="766">
        <f>IF($K$6="not necessary",0,LARGE(acute_overview_children!$AD$14:$AD$391,ROW()-ROW($B$65)))</f>
        <v>0</v>
      </c>
      <c r="K120" s="745" t="str">
        <f>IF(J120&gt;0,INDEX(acute_overview_children!$A$12:$AH$391,MATCH(J120,acute_overview_children!$AD$12:$AD$391,0),3),"")</f>
        <v/>
      </c>
      <c r="L120" s="755">
        <f>IF(J120=0,0,CONCATENATE(ROUND(VLOOKUP(K120,acute_overview_children!$C$12:$AH$391,3,FALSE),2)," / ",ROUND(VLOOKUP(K120,acute_overview_children!$C$12:$AH$391,6,FALSE),2)))</f>
        <v>0</v>
      </c>
      <c r="M120" s="755" t="str">
        <f>IF(J120&gt;0,VLOOKUP(K120,acute_overview_children!$C$12:$AH$391,27,FALSE)*1000,"")</f>
        <v/>
      </c>
      <c r="N120" s="766">
        <f>IF($K$6="not necessary",0,LARGE(acute_overview_adults!$AD$14:$AD$391,ROW()-ROW($F$65)))</f>
        <v>0</v>
      </c>
      <c r="O120" s="745" t="str">
        <f>IF(Results!N120&gt;0,INDEX(acute_overview_adults!$A$12:$AH$391,MATCH(Results!N120,acute_overview_adults!$AD$12:$AD$391,0),3),"")</f>
        <v/>
      </c>
      <c r="P120" s="755">
        <f>IF(N120=0,0,CONCATENATE(ROUND(VLOOKUP(O120,acute_overview_adults!$C$12:$AH$391,3,FALSE),2)," / ",ROUND(VLOOKUP(O120,acute_overview_adults!$C$12:$AH$391,6,FALSE),2)))</f>
        <v>0</v>
      </c>
      <c r="Q120" s="755" t="str">
        <f>IF(N120&gt;0,VLOOKUP(O120,acute_overview_adults!$C$12:$AH$391,27,FALSE)*1000,"")</f>
        <v/>
      </c>
      <c r="S120" s="1161">
        <f t="shared" si="0"/>
        <v>0</v>
      </c>
      <c r="T120" s="1161">
        <f t="shared" si="1"/>
        <v>0</v>
      </c>
      <c r="U120" s="1161">
        <f t="shared" si="2"/>
        <v>0</v>
      </c>
      <c r="V120" s="1161">
        <f t="shared" si="3"/>
        <v>0</v>
      </c>
      <c r="W120" s="1163">
        <f t="shared" si="4"/>
        <v>0</v>
      </c>
      <c r="X120" s="1163">
        <f t="shared" si="5"/>
        <v>0</v>
      </c>
      <c r="Y120" s="1163">
        <f t="shared" si="6"/>
        <v>0</v>
      </c>
      <c r="Z120" s="1163">
        <f t="shared" si="7"/>
        <v>0</v>
      </c>
    </row>
    <row r="121" spans="1:26" s="43" customFormat="1" ht="12" hidden="1" customHeight="1" outlineLevel="1" x14ac:dyDescent="0.2">
      <c r="A121" s="178"/>
      <c r="B121" s="546">
        <f>IF($K$6="not necessary",0,LARGE(acute_overview_children!$AA$14:$AA$391,ROW()-(ROW($B$65))))</f>
        <v>0</v>
      </c>
      <c r="C121" s="237" t="str">
        <f>IF(Results!B121&gt;0,INDEX(acute_overview_children!$A$12:$AH$391,MATCH(Results!B121,acute_overview_children!$AA$12:$AA$391,0),3),"")</f>
        <v/>
      </c>
      <c r="D121" s="238">
        <f>IF(B121=0,0,CONCATENATE(ROUND(VLOOKUP(C121,acute_overview_children!$C$12:$AH$391,3,FALSE),2)," / ",ROUND(VLOOKUP(C121,acute_overview_children!$C$12:$AH$391,4,FALSE),2)))</f>
        <v>0</v>
      </c>
      <c r="E121" s="238" t="str">
        <f>IF(B121&gt;0,VLOOKUP(C121,acute_overview_children!$C$12:$AH$391,24,FALSE)*1000,"")</f>
        <v/>
      </c>
      <c r="F121" s="546">
        <f>IF($K$6="not necessary",0,LARGE(acute_overview_adults!$AA$14:$AA$391,ROW()-(ROW($B$65))))</f>
        <v>0</v>
      </c>
      <c r="G121" s="237" t="str">
        <f>IF(F121&gt;0,INDEX(acute_overview_adults!$A$12:$AH$391,MATCH(F121,acute_overview_adults!$AA$12:$AA$391,0),3),"")</f>
        <v/>
      </c>
      <c r="H121" s="238">
        <f>IF(F121=0,0,CONCATENATE(ROUND(VLOOKUP(G121,acute_overview_adults!$C$12:$AH$391,3,FALSE),2)," / ",ROUND(VLOOKUP(G121,acute_overview_adults!$C$12:$AH$391,4,FALSE),2)))</f>
        <v>0</v>
      </c>
      <c r="I121" s="239" t="str">
        <f>IF(F121&gt;0,VLOOKUP(G121,acute_overview_adults!$C$12:$AH$391,24,FALSE)*1000,"")</f>
        <v/>
      </c>
      <c r="J121" s="766">
        <f>IF($K$6="not necessary",0,LARGE(acute_overview_children!$AD$14:$AD$391,ROW()-ROW($B$65)))</f>
        <v>0</v>
      </c>
      <c r="K121" s="745" t="str">
        <f>IF(J121&gt;0,INDEX(acute_overview_children!$A$12:$AH$391,MATCH(J121,acute_overview_children!$AD$12:$AD$391,0),3),"")</f>
        <v/>
      </c>
      <c r="L121" s="755">
        <f>IF(J121=0,0,CONCATENATE(ROUND(VLOOKUP(K121,acute_overview_children!$C$12:$AH$391,3,FALSE),2)," / ",ROUND(VLOOKUP(K121,acute_overview_children!$C$12:$AH$391,6,FALSE),2)))</f>
        <v>0</v>
      </c>
      <c r="M121" s="755" t="str">
        <f>IF(J121&gt;0,VLOOKUP(K121,acute_overview_children!$C$12:$AH$391,27,FALSE)*1000,"")</f>
        <v/>
      </c>
      <c r="N121" s="766">
        <f>IF($K$6="not necessary",0,LARGE(acute_overview_adults!$AD$14:$AD$391,ROW()-ROW($F$65)))</f>
        <v>0</v>
      </c>
      <c r="O121" s="745" t="str">
        <f>IF(Results!N121&gt;0,INDEX(acute_overview_adults!$A$12:$AH$391,MATCH(Results!N121,acute_overview_adults!$AD$12:$AD$391,0),3),"")</f>
        <v/>
      </c>
      <c r="P121" s="755">
        <f>IF(N121=0,0,CONCATENATE(ROUND(VLOOKUP(O121,acute_overview_adults!$C$12:$AH$391,3,FALSE),2)," / ",ROUND(VLOOKUP(O121,acute_overview_adults!$C$12:$AH$391,6,FALSE),2)))</f>
        <v>0</v>
      </c>
      <c r="Q121" s="755" t="str">
        <f>IF(N121&gt;0,VLOOKUP(O121,acute_overview_adults!$C$12:$AH$391,27,FALSE)*1000,"")</f>
        <v/>
      </c>
      <c r="S121" s="1161">
        <f t="shared" si="0"/>
        <v>0</v>
      </c>
      <c r="T121" s="1161">
        <f t="shared" si="1"/>
        <v>0</v>
      </c>
      <c r="U121" s="1161">
        <f t="shared" si="2"/>
        <v>0</v>
      </c>
      <c r="V121" s="1161">
        <f t="shared" si="3"/>
        <v>0</v>
      </c>
      <c r="W121" s="1163">
        <f t="shared" si="4"/>
        <v>0</v>
      </c>
      <c r="X121" s="1163">
        <f t="shared" si="5"/>
        <v>0</v>
      </c>
      <c r="Y121" s="1163">
        <f t="shared" si="6"/>
        <v>0</v>
      </c>
      <c r="Z121" s="1163">
        <f t="shared" si="7"/>
        <v>0</v>
      </c>
    </row>
    <row r="122" spans="1:26" s="43" customFormat="1" ht="12" hidden="1" customHeight="1" outlineLevel="1" x14ac:dyDescent="0.2">
      <c r="A122" s="178"/>
      <c r="B122" s="546">
        <f>IF($K$6="not necessary",0,LARGE(acute_overview_children!$AA$14:$AA$391,ROW()-(ROW($B$65))))</f>
        <v>0</v>
      </c>
      <c r="C122" s="237" t="str">
        <f>IF(Results!B122&gt;0,INDEX(acute_overview_children!$A$12:$AH$391,MATCH(Results!B122,acute_overview_children!$AA$12:$AA$391,0),3),"")</f>
        <v/>
      </c>
      <c r="D122" s="238">
        <f>IF(B122=0,0,CONCATENATE(ROUND(VLOOKUP(C122,acute_overview_children!$C$12:$AH$391,3,FALSE),2)," / ",ROUND(VLOOKUP(C122,acute_overview_children!$C$12:$AH$391,4,FALSE),2)))</f>
        <v>0</v>
      </c>
      <c r="E122" s="238" t="str">
        <f>IF(B122&gt;0,VLOOKUP(C122,acute_overview_children!$C$12:$AH$391,24,FALSE)*1000,"")</f>
        <v/>
      </c>
      <c r="F122" s="546">
        <f>IF($K$6="not necessary",0,LARGE(acute_overview_adults!$AA$14:$AA$391,ROW()-(ROW($B$65))))</f>
        <v>0</v>
      </c>
      <c r="G122" s="237" t="str">
        <f>IF(F122&gt;0,INDEX(acute_overview_adults!$A$12:$AH$391,MATCH(F122,acute_overview_adults!$AA$12:$AA$391,0),3),"")</f>
        <v/>
      </c>
      <c r="H122" s="238">
        <f>IF(F122=0,0,CONCATENATE(ROUND(VLOOKUP(G122,acute_overview_adults!$C$12:$AH$391,3,FALSE),2)," / ",ROUND(VLOOKUP(G122,acute_overview_adults!$C$12:$AH$391,4,FALSE),2)))</f>
        <v>0</v>
      </c>
      <c r="I122" s="239" t="str">
        <f>IF(F122&gt;0,VLOOKUP(G122,acute_overview_adults!$C$12:$AH$391,24,FALSE)*1000,"")</f>
        <v/>
      </c>
      <c r="J122" s="766">
        <f>IF($K$6="not necessary",0,LARGE(acute_overview_children!$AD$14:$AD$391,ROW()-ROW($B$65)))</f>
        <v>0</v>
      </c>
      <c r="K122" s="745" t="str">
        <f>IF(J122&gt;0,INDEX(acute_overview_children!$A$12:$AH$391,MATCH(J122,acute_overview_children!$AD$12:$AD$391,0),3),"")</f>
        <v/>
      </c>
      <c r="L122" s="755">
        <f>IF(J122=0,0,CONCATENATE(ROUND(VLOOKUP(K122,acute_overview_children!$C$12:$AH$391,3,FALSE),2)," / ",ROUND(VLOOKUP(K122,acute_overview_children!$C$12:$AH$391,6,FALSE),2)))</f>
        <v>0</v>
      </c>
      <c r="M122" s="755" t="str">
        <f>IF(J122&gt;0,VLOOKUP(K122,acute_overview_children!$C$12:$AH$391,27,FALSE)*1000,"")</f>
        <v/>
      </c>
      <c r="N122" s="766">
        <f>IF($K$6="not necessary",0,LARGE(acute_overview_adults!$AD$14:$AD$391,ROW()-ROW($F$65)))</f>
        <v>0</v>
      </c>
      <c r="O122" s="745" t="str">
        <f>IF(Results!N122&gt;0,INDEX(acute_overview_adults!$A$12:$AH$391,MATCH(Results!N122,acute_overview_adults!$AD$12:$AD$391,0),3),"")</f>
        <v/>
      </c>
      <c r="P122" s="755">
        <f>IF(N122=0,0,CONCATENATE(ROUND(VLOOKUP(O122,acute_overview_adults!$C$12:$AH$391,3,FALSE),2)," / ",ROUND(VLOOKUP(O122,acute_overview_adults!$C$12:$AH$391,6,FALSE),2)))</f>
        <v>0</v>
      </c>
      <c r="Q122" s="755" t="str">
        <f>IF(N122&gt;0,VLOOKUP(O122,acute_overview_adults!$C$12:$AH$391,27,FALSE)*1000,"")</f>
        <v/>
      </c>
      <c r="S122" s="1161">
        <f t="shared" si="0"/>
        <v>0</v>
      </c>
      <c r="T122" s="1161">
        <f t="shared" si="1"/>
        <v>0</v>
      </c>
      <c r="U122" s="1161">
        <f t="shared" si="2"/>
        <v>0</v>
      </c>
      <c r="V122" s="1161">
        <f t="shared" si="3"/>
        <v>0</v>
      </c>
      <c r="W122" s="1163">
        <f t="shared" si="4"/>
        <v>0</v>
      </c>
      <c r="X122" s="1163">
        <f t="shared" si="5"/>
        <v>0</v>
      </c>
      <c r="Y122" s="1163">
        <f t="shared" si="6"/>
        <v>0</v>
      </c>
      <c r="Z122" s="1163">
        <f t="shared" si="7"/>
        <v>0</v>
      </c>
    </row>
    <row r="123" spans="1:26" s="43" customFormat="1" ht="12" hidden="1" customHeight="1" outlineLevel="1" x14ac:dyDescent="0.2">
      <c r="A123" s="178"/>
      <c r="B123" s="546">
        <f>IF($K$6="not necessary",0,LARGE(acute_overview_children!$AA$14:$AA$391,ROW()-(ROW($B$65))))</f>
        <v>0</v>
      </c>
      <c r="C123" s="237" t="str">
        <f>IF(Results!B123&gt;0,INDEX(acute_overview_children!$A$12:$AH$391,MATCH(Results!B123,acute_overview_children!$AA$12:$AA$391,0),3),"")</f>
        <v/>
      </c>
      <c r="D123" s="238">
        <f>IF(B123=0,0,CONCATENATE(ROUND(VLOOKUP(C123,acute_overview_children!$C$12:$AH$391,3,FALSE),2)," / ",ROUND(VLOOKUP(C123,acute_overview_children!$C$12:$AH$391,4,FALSE),2)))</f>
        <v>0</v>
      </c>
      <c r="E123" s="238" t="str">
        <f>IF(B123&gt;0,VLOOKUP(C123,acute_overview_children!$C$12:$AH$391,24,FALSE)*1000,"")</f>
        <v/>
      </c>
      <c r="F123" s="546">
        <f>IF($K$6="not necessary",0,LARGE(acute_overview_adults!$AA$14:$AA$391,ROW()-(ROW($B$65))))</f>
        <v>0</v>
      </c>
      <c r="G123" s="237" t="str">
        <f>IF(F123&gt;0,INDEX(acute_overview_adults!$A$12:$AH$391,MATCH(F123,acute_overview_adults!$AA$12:$AA$391,0),3),"")</f>
        <v/>
      </c>
      <c r="H123" s="238">
        <f>IF(F123=0,0,CONCATENATE(ROUND(VLOOKUP(G123,acute_overview_adults!$C$12:$AH$391,3,FALSE),2)," / ",ROUND(VLOOKUP(G123,acute_overview_adults!$C$12:$AH$391,4,FALSE),2)))</f>
        <v>0</v>
      </c>
      <c r="I123" s="239" t="str">
        <f>IF(F123&gt;0,VLOOKUP(G123,acute_overview_adults!$C$12:$AH$391,24,FALSE)*1000,"")</f>
        <v/>
      </c>
      <c r="J123" s="766">
        <f>IF($K$6="not necessary",0,LARGE(acute_overview_children!$AD$14:$AD$391,ROW()-ROW($B$65)))</f>
        <v>0</v>
      </c>
      <c r="K123" s="745" t="str">
        <f>IF(J123&gt;0,INDEX(acute_overview_children!$A$12:$AH$391,MATCH(J123,acute_overview_children!$AD$12:$AD$391,0),3),"")</f>
        <v/>
      </c>
      <c r="L123" s="755">
        <f>IF(J123=0,0,CONCATENATE(ROUND(VLOOKUP(K123,acute_overview_children!$C$12:$AH$391,3,FALSE),2)," / ",ROUND(VLOOKUP(K123,acute_overview_children!$C$12:$AH$391,6,FALSE),2)))</f>
        <v>0</v>
      </c>
      <c r="M123" s="755" t="str">
        <f>IF(J123&gt;0,VLOOKUP(K123,acute_overview_children!$C$12:$AH$391,27,FALSE)*1000,"")</f>
        <v/>
      </c>
      <c r="N123" s="766">
        <f>IF($K$6="not necessary",0,LARGE(acute_overview_adults!$AD$14:$AD$391,ROW()-ROW($F$65)))</f>
        <v>0</v>
      </c>
      <c r="O123" s="745" t="str">
        <f>IF(Results!N123&gt;0,INDEX(acute_overview_adults!$A$12:$AH$391,MATCH(Results!N123,acute_overview_adults!$AD$12:$AD$391,0),3),"")</f>
        <v/>
      </c>
      <c r="P123" s="755">
        <f>IF(N123=0,0,CONCATENATE(ROUND(VLOOKUP(O123,acute_overview_adults!$C$12:$AH$391,3,FALSE),2)," / ",ROUND(VLOOKUP(O123,acute_overview_adults!$C$12:$AH$391,6,FALSE),2)))</f>
        <v>0</v>
      </c>
      <c r="Q123" s="755" t="str">
        <f>IF(N123&gt;0,VLOOKUP(O123,acute_overview_adults!$C$12:$AH$391,27,FALSE)*1000,"")</f>
        <v/>
      </c>
      <c r="S123" s="1161">
        <f t="shared" si="0"/>
        <v>0</v>
      </c>
      <c r="T123" s="1161">
        <f t="shared" si="1"/>
        <v>0</v>
      </c>
      <c r="U123" s="1161">
        <f t="shared" si="2"/>
        <v>0</v>
      </c>
      <c r="V123" s="1161">
        <f t="shared" si="3"/>
        <v>0</v>
      </c>
      <c r="W123" s="1163">
        <f t="shared" si="4"/>
        <v>0</v>
      </c>
      <c r="X123" s="1163">
        <f t="shared" si="5"/>
        <v>0</v>
      </c>
      <c r="Y123" s="1163">
        <f t="shared" si="6"/>
        <v>0</v>
      </c>
      <c r="Z123" s="1163">
        <f t="shared" si="7"/>
        <v>0</v>
      </c>
    </row>
    <row r="124" spans="1:26" s="43" customFormat="1" ht="12" hidden="1" customHeight="1" outlineLevel="1" x14ac:dyDescent="0.2">
      <c r="A124" s="178"/>
      <c r="B124" s="546">
        <f>IF($K$6="not necessary",0,LARGE(acute_overview_children!$AA$14:$AA$391,ROW()-(ROW($B$65))))</f>
        <v>0</v>
      </c>
      <c r="C124" s="237" t="str">
        <f>IF(Results!B124&gt;0,INDEX(acute_overview_children!$A$12:$AH$391,MATCH(Results!B124,acute_overview_children!$AA$12:$AA$391,0),3),"")</f>
        <v/>
      </c>
      <c r="D124" s="238">
        <f>IF(B124=0,0,CONCATENATE(ROUND(VLOOKUP(C124,acute_overview_children!$C$12:$AH$391,3,FALSE),2)," / ",ROUND(VLOOKUP(C124,acute_overview_children!$C$12:$AH$391,4,FALSE),2)))</f>
        <v>0</v>
      </c>
      <c r="E124" s="238" t="str">
        <f>IF(B124&gt;0,VLOOKUP(C124,acute_overview_children!$C$12:$AH$391,24,FALSE)*1000,"")</f>
        <v/>
      </c>
      <c r="F124" s="546">
        <f>IF($K$6="not necessary",0,LARGE(acute_overview_adults!$AA$14:$AA$391,ROW()-(ROW($B$65))))</f>
        <v>0</v>
      </c>
      <c r="G124" s="237" t="str">
        <f>IF(F124&gt;0,INDEX(acute_overview_adults!$A$12:$AH$391,MATCH(F124,acute_overview_adults!$AA$12:$AA$391,0),3),"")</f>
        <v/>
      </c>
      <c r="H124" s="238">
        <f>IF(F124=0,0,CONCATENATE(ROUND(VLOOKUP(G124,acute_overview_adults!$C$12:$AH$391,3,FALSE),2)," / ",ROUND(VLOOKUP(G124,acute_overview_adults!$C$12:$AH$391,4,FALSE),2)))</f>
        <v>0</v>
      </c>
      <c r="I124" s="239" t="str">
        <f>IF(F124&gt;0,VLOOKUP(G124,acute_overview_adults!$C$12:$AH$391,24,FALSE)*1000,"")</f>
        <v/>
      </c>
      <c r="J124" s="766">
        <f>IF($K$6="not necessary",0,LARGE(acute_overview_children!$AD$14:$AD$391,ROW()-ROW($B$65)))</f>
        <v>0</v>
      </c>
      <c r="K124" s="745" t="str">
        <f>IF(J124&gt;0,INDEX(acute_overview_children!$A$12:$AH$391,MATCH(J124,acute_overview_children!$AD$12:$AD$391,0),3),"")</f>
        <v/>
      </c>
      <c r="L124" s="755">
        <f>IF(J124=0,0,CONCATENATE(ROUND(VLOOKUP(K124,acute_overview_children!$C$12:$AH$391,3,FALSE),2)," / ",ROUND(VLOOKUP(K124,acute_overview_children!$C$12:$AH$391,6,FALSE),2)))</f>
        <v>0</v>
      </c>
      <c r="M124" s="755" t="str">
        <f>IF(J124&gt;0,VLOOKUP(K124,acute_overview_children!$C$12:$AH$391,27,FALSE)*1000,"")</f>
        <v/>
      </c>
      <c r="N124" s="766">
        <f>IF($K$6="not necessary",0,LARGE(acute_overview_adults!$AD$14:$AD$391,ROW()-ROW($F$65)))</f>
        <v>0</v>
      </c>
      <c r="O124" s="745" t="str">
        <f>IF(Results!N124&gt;0,INDEX(acute_overview_adults!$A$12:$AH$391,MATCH(Results!N124,acute_overview_adults!$AD$12:$AD$391,0),3),"")</f>
        <v/>
      </c>
      <c r="P124" s="755">
        <f>IF(N124=0,0,CONCATENATE(ROUND(VLOOKUP(O124,acute_overview_adults!$C$12:$AH$391,3,FALSE),2)," / ",ROUND(VLOOKUP(O124,acute_overview_adults!$C$12:$AH$391,6,FALSE),2)))</f>
        <v>0</v>
      </c>
      <c r="Q124" s="755" t="str">
        <f>IF(N124&gt;0,VLOOKUP(O124,acute_overview_adults!$C$12:$AH$391,27,FALSE)*1000,"")</f>
        <v/>
      </c>
      <c r="S124" s="1161">
        <f t="shared" si="0"/>
        <v>0</v>
      </c>
      <c r="T124" s="1161">
        <f t="shared" si="1"/>
        <v>0</v>
      </c>
      <c r="U124" s="1161">
        <f t="shared" si="2"/>
        <v>0</v>
      </c>
      <c r="V124" s="1161">
        <f t="shared" si="3"/>
        <v>0</v>
      </c>
      <c r="W124" s="1163">
        <f t="shared" si="4"/>
        <v>0</v>
      </c>
      <c r="X124" s="1163">
        <f t="shared" si="5"/>
        <v>0</v>
      </c>
      <c r="Y124" s="1163">
        <f t="shared" si="6"/>
        <v>0</v>
      </c>
      <c r="Z124" s="1163">
        <f t="shared" si="7"/>
        <v>0</v>
      </c>
    </row>
    <row r="125" spans="1:26" s="43" customFormat="1" ht="12" hidden="1" customHeight="1" outlineLevel="1" x14ac:dyDescent="0.2">
      <c r="A125" s="178"/>
      <c r="B125" s="546">
        <f>IF($K$6="not necessary",0,LARGE(acute_overview_children!$AA$14:$AA$391,ROW()-(ROW($B$65))))</f>
        <v>0</v>
      </c>
      <c r="C125" s="237" t="str">
        <f>IF(Results!B125&gt;0,INDEX(acute_overview_children!$A$12:$AH$391,MATCH(Results!B125,acute_overview_children!$AA$12:$AA$391,0),3),"")</f>
        <v/>
      </c>
      <c r="D125" s="238">
        <f>IF(B125=0,0,CONCATENATE(ROUND(VLOOKUP(C125,acute_overview_children!$C$12:$AH$391,3,FALSE),2)," / ",ROUND(VLOOKUP(C125,acute_overview_children!$C$12:$AH$391,4,FALSE),2)))</f>
        <v>0</v>
      </c>
      <c r="E125" s="238" t="str">
        <f>IF(B125&gt;0,VLOOKUP(C125,acute_overview_children!$C$12:$AH$391,24,FALSE)*1000,"")</f>
        <v/>
      </c>
      <c r="F125" s="546">
        <f>IF($K$6="not necessary",0,LARGE(acute_overview_adults!$AA$14:$AA$391,ROW()-(ROW($B$65))))</f>
        <v>0</v>
      </c>
      <c r="G125" s="237" t="str">
        <f>IF(F125&gt;0,INDEX(acute_overview_adults!$A$12:$AH$391,MATCH(F125,acute_overview_adults!$AA$12:$AA$391,0),3),"")</f>
        <v/>
      </c>
      <c r="H125" s="238">
        <f>IF(F125=0,0,CONCATENATE(ROUND(VLOOKUP(G125,acute_overview_adults!$C$12:$AH$391,3,FALSE),2)," / ",ROUND(VLOOKUP(G125,acute_overview_adults!$C$12:$AH$391,4,FALSE),2)))</f>
        <v>0</v>
      </c>
      <c r="I125" s="239" t="str">
        <f>IF(F125&gt;0,VLOOKUP(G125,acute_overview_adults!$C$12:$AH$391,24,FALSE)*1000,"")</f>
        <v/>
      </c>
      <c r="J125" s="766">
        <f>IF($K$6="not necessary",0,LARGE(acute_overview_children!$AD$14:$AD$391,ROW()-ROW($B$65)))</f>
        <v>0</v>
      </c>
      <c r="K125" s="745" t="str">
        <f>IF(J125&gt;0,INDEX(acute_overview_children!$A$12:$AH$391,MATCH(J125,acute_overview_children!$AD$12:$AD$391,0),3),"")</f>
        <v/>
      </c>
      <c r="L125" s="755">
        <f>IF(J125=0,0,CONCATENATE(ROUND(VLOOKUP(K125,acute_overview_children!$C$12:$AH$391,3,FALSE),2)," / ",ROUND(VLOOKUP(K125,acute_overview_children!$C$12:$AH$391,6,FALSE),2)))</f>
        <v>0</v>
      </c>
      <c r="M125" s="755" t="str">
        <f>IF(J125&gt;0,VLOOKUP(K125,acute_overview_children!$C$12:$AH$391,27,FALSE)*1000,"")</f>
        <v/>
      </c>
      <c r="N125" s="766">
        <f>IF($K$6="not necessary",0,LARGE(acute_overview_adults!$AD$14:$AD$391,ROW()-ROW($F$65)))</f>
        <v>0</v>
      </c>
      <c r="O125" s="745" t="str">
        <f>IF(Results!N125&gt;0,INDEX(acute_overview_adults!$A$12:$AH$391,MATCH(Results!N125,acute_overview_adults!$AD$12:$AD$391,0),3),"")</f>
        <v/>
      </c>
      <c r="P125" s="755">
        <f>IF(N125=0,0,CONCATENATE(ROUND(VLOOKUP(O125,acute_overview_adults!$C$12:$AH$391,3,FALSE),2)," / ",ROUND(VLOOKUP(O125,acute_overview_adults!$C$12:$AH$391,6,FALSE),2)))</f>
        <v>0</v>
      </c>
      <c r="Q125" s="755" t="str">
        <f>IF(N125&gt;0,VLOOKUP(O125,acute_overview_adults!$C$12:$AH$391,27,FALSE)*1000,"")</f>
        <v/>
      </c>
      <c r="S125" s="1161">
        <f t="shared" si="0"/>
        <v>0</v>
      </c>
      <c r="T125" s="1161">
        <f t="shared" si="1"/>
        <v>0</v>
      </c>
      <c r="U125" s="1161">
        <f t="shared" si="2"/>
        <v>0</v>
      </c>
      <c r="V125" s="1161">
        <f t="shared" si="3"/>
        <v>0</v>
      </c>
      <c r="W125" s="1163">
        <f t="shared" si="4"/>
        <v>0</v>
      </c>
      <c r="X125" s="1163">
        <f t="shared" si="5"/>
        <v>0</v>
      </c>
      <c r="Y125" s="1163">
        <f t="shared" si="6"/>
        <v>0</v>
      </c>
      <c r="Z125" s="1163">
        <f t="shared" si="7"/>
        <v>0</v>
      </c>
    </row>
    <row r="126" spans="1:26" s="43" customFormat="1" ht="12" hidden="1" customHeight="1" outlineLevel="1" x14ac:dyDescent="0.2">
      <c r="A126" s="178"/>
      <c r="B126" s="546">
        <f>IF($K$6="not necessary",0,LARGE(acute_overview_children!$AA$14:$AA$391,ROW()-(ROW($B$65))))</f>
        <v>0</v>
      </c>
      <c r="C126" s="237" t="str">
        <f>IF(Results!B126&gt;0,INDEX(acute_overview_children!$A$12:$AH$391,MATCH(Results!B126,acute_overview_children!$AA$12:$AA$391,0),3),"")</f>
        <v/>
      </c>
      <c r="D126" s="238">
        <f>IF(B126=0,0,CONCATENATE(ROUND(VLOOKUP(C126,acute_overview_children!$C$12:$AH$391,3,FALSE),2)," / ",ROUND(VLOOKUP(C126,acute_overview_children!$C$12:$AH$391,4,FALSE),2)))</f>
        <v>0</v>
      </c>
      <c r="E126" s="238" t="str">
        <f>IF(B126&gt;0,VLOOKUP(C126,acute_overview_children!$C$12:$AH$391,24,FALSE)*1000,"")</f>
        <v/>
      </c>
      <c r="F126" s="546">
        <f>IF($K$6="not necessary",0,LARGE(acute_overview_adults!$AA$14:$AA$391,ROW()-(ROW($B$65))))</f>
        <v>0</v>
      </c>
      <c r="G126" s="237" t="str">
        <f>IF(F126&gt;0,INDEX(acute_overview_adults!$A$12:$AH$391,MATCH(F126,acute_overview_adults!$AA$12:$AA$391,0),3),"")</f>
        <v/>
      </c>
      <c r="H126" s="238">
        <f>IF(F126=0,0,CONCATENATE(ROUND(VLOOKUP(G126,acute_overview_adults!$C$12:$AH$391,3,FALSE),2)," / ",ROUND(VLOOKUP(G126,acute_overview_adults!$C$12:$AH$391,4,FALSE),2)))</f>
        <v>0</v>
      </c>
      <c r="I126" s="239" t="str">
        <f>IF(F126&gt;0,VLOOKUP(G126,acute_overview_adults!$C$12:$AH$391,24,FALSE)*1000,"")</f>
        <v/>
      </c>
      <c r="J126" s="766">
        <f>IF($K$6="not necessary",0,LARGE(acute_overview_children!$AD$14:$AD$391,ROW()-ROW($B$65)))</f>
        <v>0</v>
      </c>
      <c r="K126" s="745" t="str">
        <f>IF(J126&gt;0,INDEX(acute_overview_children!$A$12:$AH$391,MATCH(J126,acute_overview_children!$AD$12:$AD$391,0),3),"")</f>
        <v/>
      </c>
      <c r="L126" s="755">
        <f>IF(J126=0,0,CONCATENATE(ROUND(VLOOKUP(K126,acute_overview_children!$C$12:$AH$391,3,FALSE),2)," / ",ROUND(VLOOKUP(K126,acute_overview_children!$C$12:$AH$391,6,FALSE),2)))</f>
        <v>0</v>
      </c>
      <c r="M126" s="755" t="str">
        <f>IF(J126&gt;0,VLOOKUP(K126,acute_overview_children!$C$12:$AH$391,27,FALSE)*1000,"")</f>
        <v/>
      </c>
      <c r="N126" s="766">
        <f>IF($K$6="not necessary",0,LARGE(acute_overview_adults!$AD$14:$AD$391,ROW()-ROW($F$65)))</f>
        <v>0</v>
      </c>
      <c r="O126" s="745" t="str">
        <f>IF(Results!N126&gt;0,INDEX(acute_overview_adults!$A$12:$AH$391,MATCH(Results!N126,acute_overview_adults!$AD$12:$AD$391,0),3),"")</f>
        <v/>
      </c>
      <c r="P126" s="755">
        <f>IF(N126=0,0,CONCATENATE(ROUND(VLOOKUP(O126,acute_overview_adults!$C$12:$AH$391,3,FALSE),2)," / ",ROUND(VLOOKUP(O126,acute_overview_adults!$C$12:$AH$391,6,FALSE),2)))</f>
        <v>0</v>
      </c>
      <c r="Q126" s="755" t="str">
        <f>IF(N126&gt;0,VLOOKUP(O126,acute_overview_adults!$C$12:$AH$391,27,FALSE)*1000,"")</f>
        <v/>
      </c>
      <c r="S126" s="1161">
        <f t="shared" si="0"/>
        <v>0</v>
      </c>
      <c r="T126" s="1161">
        <f t="shared" si="1"/>
        <v>0</v>
      </c>
      <c r="U126" s="1161">
        <f t="shared" si="2"/>
        <v>0</v>
      </c>
      <c r="V126" s="1161">
        <f t="shared" si="3"/>
        <v>0</v>
      </c>
      <c r="W126" s="1163">
        <f t="shared" si="4"/>
        <v>0</v>
      </c>
      <c r="X126" s="1163">
        <f t="shared" si="5"/>
        <v>0</v>
      </c>
      <c r="Y126" s="1163">
        <f t="shared" si="6"/>
        <v>0</v>
      </c>
      <c r="Z126" s="1163">
        <f t="shared" si="7"/>
        <v>0</v>
      </c>
    </row>
    <row r="127" spans="1:26" s="43" customFormat="1" ht="12" hidden="1" customHeight="1" outlineLevel="1" x14ac:dyDescent="0.2">
      <c r="A127" s="178"/>
      <c r="B127" s="546">
        <f>IF($K$6="not necessary",0,LARGE(acute_overview_children!$AA$14:$AA$391,ROW()-(ROW($B$65))))</f>
        <v>0</v>
      </c>
      <c r="C127" s="237" t="str">
        <f>IF(Results!B127&gt;0,INDEX(acute_overview_children!$A$12:$AH$391,MATCH(Results!B127,acute_overview_children!$AA$12:$AA$391,0),3),"")</f>
        <v/>
      </c>
      <c r="D127" s="238">
        <f>IF(B127=0,0,CONCATENATE(ROUND(VLOOKUP(C127,acute_overview_children!$C$12:$AH$391,3,FALSE),2)," / ",ROUND(VLOOKUP(C127,acute_overview_children!$C$12:$AH$391,4,FALSE),2)))</f>
        <v>0</v>
      </c>
      <c r="E127" s="238" t="str">
        <f>IF(B127&gt;0,VLOOKUP(C127,acute_overview_children!$C$12:$AH$391,24,FALSE)*1000,"")</f>
        <v/>
      </c>
      <c r="F127" s="546">
        <f>IF($K$6="not necessary",0,LARGE(acute_overview_adults!$AA$14:$AA$391,ROW()-(ROW($B$65))))</f>
        <v>0</v>
      </c>
      <c r="G127" s="237" t="str">
        <f>IF(F127&gt;0,INDEX(acute_overview_adults!$A$12:$AH$391,MATCH(F127,acute_overview_adults!$AA$12:$AA$391,0),3),"")</f>
        <v/>
      </c>
      <c r="H127" s="238">
        <f>IF(F127=0,0,CONCATENATE(ROUND(VLOOKUP(G127,acute_overview_adults!$C$12:$AH$391,3,FALSE),2)," / ",ROUND(VLOOKUP(G127,acute_overview_adults!$C$12:$AH$391,4,FALSE),2)))</f>
        <v>0</v>
      </c>
      <c r="I127" s="239" t="str">
        <f>IF(F127&gt;0,VLOOKUP(G127,acute_overview_adults!$C$12:$AH$391,24,FALSE)*1000,"")</f>
        <v/>
      </c>
      <c r="J127" s="766">
        <f>IF($K$6="not necessary",0,LARGE(acute_overview_children!$AD$14:$AD$391,ROW()-ROW($B$65)))</f>
        <v>0</v>
      </c>
      <c r="K127" s="745" t="str">
        <f>IF(J127&gt;0,INDEX(acute_overview_children!$A$12:$AH$391,MATCH(J127,acute_overview_children!$AD$12:$AD$391,0),3),"")</f>
        <v/>
      </c>
      <c r="L127" s="755">
        <f>IF(J127=0,0,CONCATENATE(ROUND(VLOOKUP(K127,acute_overview_children!$C$12:$AH$391,3,FALSE),2)," / ",ROUND(VLOOKUP(K127,acute_overview_children!$C$12:$AH$391,6,FALSE),2)))</f>
        <v>0</v>
      </c>
      <c r="M127" s="755" t="str">
        <f>IF(J127&gt;0,VLOOKUP(K127,acute_overview_children!$C$12:$AH$391,27,FALSE)*1000,"")</f>
        <v/>
      </c>
      <c r="N127" s="766">
        <f>IF($K$6="not necessary",0,LARGE(acute_overview_adults!$AD$14:$AD$391,ROW()-ROW($F$65)))</f>
        <v>0</v>
      </c>
      <c r="O127" s="745" t="str">
        <f>IF(Results!N127&gt;0,INDEX(acute_overview_adults!$A$12:$AH$391,MATCH(Results!N127,acute_overview_adults!$AD$12:$AD$391,0),3),"")</f>
        <v/>
      </c>
      <c r="P127" s="755">
        <f>IF(N127=0,0,CONCATENATE(ROUND(VLOOKUP(O127,acute_overview_adults!$C$12:$AH$391,3,FALSE),2)," / ",ROUND(VLOOKUP(O127,acute_overview_adults!$C$12:$AH$391,6,FALSE),2)))</f>
        <v>0</v>
      </c>
      <c r="Q127" s="755" t="str">
        <f>IF(N127&gt;0,VLOOKUP(O127,acute_overview_adults!$C$12:$AH$391,27,FALSE)*1000,"")</f>
        <v/>
      </c>
      <c r="S127" s="1161">
        <f t="shared" si="0"/>
        <v>0</v>
      </c>
      <c r="T127" s="1161">
        <f t="shared" si="1"/>
        <v>0</v>
      </c>
      <c r="U127" s="1161">
        <f t="shared" si="2"/>
        <v>0</v>
      </c>
      <c r="V127" s="1161">
        <f t="shared" si="3"/>
        <v>0</v>
      </c>
      <c r="W127" s="1163">
        <f t="shared" si="4"/>
        <v>0</v>
      </c>
      <c r="X127" s="1163">
        <f t="shared" si="5"/>
        <v>0</v>
      </c>
      <c r="Y127" s="1163">
        <f t="shared" si="6"/>
        <v>0</v>
      </c>
      <c r="Z127" s="1163">
        <f t="shared" si="7"/>
        <v>0</v>
      </c>
    </row>
    <row r="128" spans="1:26" s="43" customFormat="1" ht="12" hidden="1" customHeight="1" outlineLevel="1" x14ac:dyDescent="0.2">
      <c r="A128" s="178"/>
      <c r="B128" s="546">
        <f>IF($K$6="not necessary",0,LARGE(acute_overview_children!$AA$14:$AA$391,ROW()-(ROW($B$65))))</f>
        <v>0</v>
      </c>
      <c r="C128" s="237" t="str">
        <f>IF(Results!B128&gt;0,INDEX(acute_overview_children!$A$12:$AH$391,MATCH(Results!B128,acute_overview_children!$AA$12:$AA$391,0),3),"")</f>
        <v/>
      </c>
      <c r="D128" s="238">
        <f>IF(B128=0,0,CONCATENATE(ROUND(VLOOKUP(C128,acute_overview_children!$C$12:$AH$391,3,FALSE),2)," / ",ROUND(VLOOKUP(C128,acute_overview_children!$C$12:$AH$391,4,FALSE),2)))</f>
        <v>0</v>
      </c>
      <c r="E128" s="238" t="str">
        <f>IF(B128&gt;0,VLOOKUP(C128,acute_overview_children!$C$12:$AH$391,24,FALSE)*1000,"")</f>
        <v/>
      </c>
      <c r="F128" s="546">
        <f>IF($K$6="not necessary",0,LARGE(acute_overview_adults!$AA$14:$AA$391,ROW()-(ROW($B$65))))</f>
        <v>0</v>
      </c>
      <c r="G128" s="237" t="str">
        <f>IF(F128&gt;0,INDEX(acute_overview_adults!$A$12:$AH$391,MATCH(F128,acute_overview_adults!$AA$12:$AA$391,0),3),"")</f>
        <v/>
      </c>
      <c r="H128" s="238">
        <f>IF(F128=0,0,CONCATENATE(ROUND(VLOOKUP(G128,acute_overview_adults!$C$12:$AH$391,3,FALSE),2)," / ",ROUND(VLOOKUP(G128,acute_overview_adults!$C$12:$AH$391,4,FALSE),2)))</f>
        <v>0</v>
      </c>
      <c r="I128" s="239" t="str">
        <f>IF(F128&gt;0,VLOOKUP(G128,acute_overview_adults!$C$12:$AH$391,24,FALSE)*1000,"")</f>
        <v/>
      </c>
      <c r="J128" s="766">
        <f>IF($K$6="not necessary",0,LARGE(acute_overview_children!$AD$14:$AD$391,ROW()-ROW($B$65)))</f>
        <v>0</v>
      </c>
      <c r="K128" s="745" t="str">
        <f>IF(J128&gt;0,INDEX(acute_overview_children!$A$12:$AH$391,MATCH(J128,acute_overview_children!$AD$12:$AD$391,0),3),"")</f>
        <v/>
      </c>
      <c r="L128" s="755">
        <f>IF(J128=0,0,CONCATENATE(ROUND(VLOOKUP(K128,acute_overview_children!$C$12:$AH$391,3,FALSE),2)," / ",ROUND(VLOOKUP(K128,acute_overview_children!$C$12:$AH$391,6,FALSE),2)))</f>
        <v>0</v>
      </c>
      <c r="M128" s="755" t="str">
        <f>IF(J128&gt;0,VLOOKUP(K128,acute_overview_children!$C$12:$AH$391,27,FALSE)*1000,"")</f>
        <v/>
      </c>
      <c r="N128" s="766">
        <f>IF($K$6="not necessary",0,LARGE(acute_overview_adults!$AD$14:$AD$391,ROW()-ROW($F$65)))</f>
        <v>0</v>
      </c>
      <c r="O128" s="745" t="str">
        <f>IF(Results!N128&gt;0,INDEX(acute_overview_adults!$A$12:$AH$391,MATCH(Results!N128,acute_overview_adults!$AD$12:$AD$391,0),3),"")</f>
        <v/>
      </c>
      <c r="P128" s="755">
        <f>IF(N128=0,0,CONCATENATE(ROUND(VLOOKUP(O128,acute_overview_adults!$C$12:$AH$391,3,FALSE),2)," / ",ROUND(VLOOKUP(O128,acute_overview_adults!$C$12:$AH$391,6,FALSE),2)))</f>
        <v>0</v>
      </c>
      <c r="Q128" s="755" t="str">
        <f>IF(N128&gt;0,VLOOKUP(O128,acute_overview_adults!$C$12:$AH$391,27,FALSE)*1000,"")</f>
        <v/>
      </c>
      <c r="S128" s="1161">
        <f t="shared" si="0"/>
        <v>0</v>
      </c>
      <c r="T128" s="1161">
        <f t="shared" si="1"/>
        <v>0</v>
      </c>
      <c r="U128" s="1161">
        <f t="shared" si="2"/>
        <v>0</v>
      </c>
      <c r="V128" s="1161">
        <f t="shared" si="3"/>
        <v>0</v>
      </c>
      <c r="W128" s="1163">
        <f t="shared" si="4"/>
        <v>0</v>
      </c>
      <c r="X128" s="1163">
        <f t="shared" si="5"/>
        <v>0</v>
      </c>
      <c r="Y128" s="1163">
        <f t="shared" si="6"/>
        <v>0</v>
      </c>
      <c r="Z128" s="1163">
        <f t="shared" si="7"/>
        <v>0</v>
      </c>
    </row>
    <row r="129" spans="1:26" s="43" customFormat="1" ht="12" hidden="1" customHeight="1" outlineLevel="1" x14ac:dyDescent="0.2">
      <c r="A129" s="178"/>
      <c r="B129" s="546">
        <f>IF($K$6="not necessary",0,LARGE(acute_overview_children!$AA$14:$AA$391,ROW()-(ROW($B$65))))</f>
        <v>0</v>
      </c>
      <c r="C129" s="237" t="str">
        <f>IF(Results!B129&gt;0,INDEX(acute_overview_children!$A$12:$AH$391,MATCH(Results!B129,acute_overview_children!$AA$12:$AA$391,0),3),"")</f>
        <v/>
      </c>
      <c r="D129" s="238">
        <f>IF(B129=0,0,CONCATENATE(ROUND(VLOOKUP(C129,acute_overview_children!$C$12:$AH$391,3,FALSE),2)," / ",ROUND(VLOOKUP(C129,acute_overview_children!$C$12:$AH$391,4,FALSE),2)))</f>
        <v>0</v>
      </c>
      <c r="E129" s="238" t="str">
        <f>IF(B129&gt;0,VLOOKUP(C129,acute_overview_children!$C$12:$AH$391,24,FALSE)*1000,"")</f>
        <v/>
      </c>
      <c r="F129" s="546">
        <f>IF($K$6="not necessary",0,LARGE(acute_overview_adults!$AA$14:$AA$391,ROW()-(ROW($B$65))))</f>
        <v>0</v>
      </c>
      <c r="G129" s="237" t="str">
        <f>IF(F129&gt;0,INDEX(acute_overview_adults!$A$12:$AH$391,MATCH(F129,acute_overview_adults!$AA$12:$AA$391,0),3),"")</f>
        <v/>
      </c>
      <c r="H129" s="238">
        <f>IF(F129=0,0,CONCATENATE(ROUND(VLOOKUP(G129,acute_overview_adults!$C$12:$AH$391,3,FALSE),2)," / ",ROUND(VLOOKUP(G129,acute_overview_adults!$C$12:$AH$391,4,FALSE),2)))</f>
        <v>0</v>
      </c>
      <c r="I129" s="239" t="str">
        <f>IF(F129&gt;0,VLOOKUP(G129,acute_overview_adults!$C$12:$AH$391,24,FALSE)*1000,"")</f>
        <v/>
      </c>
      <c r="J129" s="766">
        <f>IF($K$6="not necessary",0,LARGE(acute_overview_children!$AD$14:$AD$391,ROW()-ROW($B$65)))</f>
        <v>0</v>
      </c>
      <c r="K129" s="745" t="str">
        <f>IF(J129&gt;0,INDEX(acute_overview_children!$A$12:$AH$391,MATCH(J129,acute_overview_children!$AD$12:$AD$391,0),3),"")</f>
        <v/>
      </c>
      <c r="L129" s="755">
        <f>IF(J129=0,0,CONCATENATE(ROUND(VLOOKUP(K129,acute_overview_children!$C$12:$AH$391,3,FALSE),2)," / ",ROUND(VLOOKUP(K129,acute_overview_children!$C$12:$AH$391,6,FALSE),2)))</f>
        <v>0</v>
      </c>
      <c r="M129" s="755" t="str">
        <f>IF(J129&gt;0,VLOOKUP(K129,acute_overview_children!$C$12:$AH$391,27,FALSE)*1000,"")</f>
        <v/>
      </c>
      <c r="N129" s="766">
        <f>IF($K$6="not necessary",0,LARGE(acute_overview_adults!$AD$14:$AD$391,ROW()-ROW($F$65)))</f>
        <v>0</v>
      </c>
      <c r="O129" s="745" t="str">
        <f>IF(Results!N129&gt;0,INDEX(acute_overview_adults!$A$12:$AH$391,MATCH(Results!N129,acute_overview_adults!$AD$12:$AD$391,0),3),"")</f>
        <v/>
      </c>
      <c r="P129" s="755">
        <f>IF(N129=0,0,CONCATENATE(ROUND(VLOOKUP(O129,acute_overview_adults!$C$12:$AH$391,3,FALSE),2)," / ",ROUND(VLOOKUP(O129,acute_overview_adults!$C$12:$AH$391,6,FALSE),2)))</f>
        <v>0</v>
      </c>
      <c r="Q129" s="755" t="str">
        <f>IF(N129&gt;0,VLOOKUP(O129,acute_overview_adults!$C$12:$AH$391,27,FALSE)*1000,"")</f>
        <v/>
      </c>
      <c r="S129" s="1161">
        <f t="shared" si="0"/>
        <v>0</v>
      </c>
      <c r="T129" s="1161">
        <f t="shared" si="1"/>
        <v>0</v>
      </c>
      <c r="U129" s="1161">
        <f t="shared" si="2"/>
        <v>0</v>
      </c>
      <c r="V129" s="1161">
        <f t="shared" si="3"/>
        <v>0</v>
      </c>
      <c r="W129" s="1163">
        <f t="shared" si="4"/>
        <v>0</v>
      </c>
      <c r="X129" s="1163">
        <f t="shared" si="5"/>
        <v>0</v>
      </c>
      <c r="Y129" s="1163">
        <f t="shared" si="6"/>
        <v>0</v>
      </c>
      <c r="Z129" s="1163">
        <f t="shared" si="7"/>
        <v>0</v>
      </c>
    </row>
    <row r="130" spans="1:26" s="43" customFormat="1" ht="12" hidden="1" customHeight="1" outlineLevel="1" x14ac:dyDescent="0.2">
      <c r="A130" s="178"/>
      <c r="B130" s="546">
        <f>IF($K$6="not necessary",0,LARGE(acute_overview_children!$AA$14:$AA$391,ROW()-(ROW($B$65))))</f>
        <v>0</v>
      </c>
      <c r="C130" s="237" t="str">
        <f>IF(Results!B130&gt;0,INDEX(acute_overview_children!$A$12:$AH$391,MATCH(Results!B130,acute_overview_children!$AA$12:$AA$391,0),3),"")</f>
        <v/>
      </c>
      <c r="D130" s="238">
        <f>IF(B130=0,0,CONCATENATE(ROUND(VLOOKUP(C130,acute_overview_children!$C$12:$AH$391,3,FALSE),2)," / ",ROUND(VLOOKUP(C130,acute_overview_children!$C$12:$AH$391,4,FALSE),2)))</f>
        <v>0</v>
      </c>
      <c r="E130" s="238" t="str">
        <f>IF(B130&gt;0,VLOOKUP(C130,acute_overview_children!$C$12:$AH$391,24,FALSE)*1000,"")</f>
        <v/>
      </c>
      <c r="F130" s="546">
        <f>IF($K$6="not necessary",0,LARGE(acute_overview_adults!$AA$14:$AA$391,ROW()-(ROW($B$65))))</f>
        <v>0</v>
      </c>
      <c r="G130" s="237" t="str">
        <f>IF(F130&gt;0,INDEX(acute_overview_adults!$A$12:$AH$391,MATCH(F130,acute_overview_adults!$AA$12:$AA$391,0),3),"")</f>
        <v/>
      </c>
      <c r="H130" s="238">
        <f>IF(F130=0,0,CONCATENATE(ROUND(VLOOKUP(G130,acute_overview_adults!$C$12:$AH$391,3,FALSE),2)," / ",ROUND(VLOOKUP(G130,acute_overview_adults!$C$12:$AH$391,4,FALSE),2)))</f>
        <v>0</v>
      </c>
      <c r="I130" s="239" t="str">
        <f>IF(F130&gt;0,VLOOKUP(G130,acute_overview_adults!$C$12:$AH$391,24,FALSE)*1000,"")</f>
        <v/>
      </c>
      <c r="J130" s="766">
        <f>IF($K$6="not necessary",0,LARGE(acute_overview_children!$AD$14:$AD$391,ROW()-ROW($B$65)))</f>
        <v>0</v>
      </c>
      <c r="K130" s="745" t="str">
        <f>IF(J130&gt;0,INDEX(acute_overview_children!$A$12:$AH$391,MATCH(J130,acute_overview_children!$AD$12:$AD$391,0),3),"")</f>
        <v/>
      </c>
      <c r="L130" s="755">
        <f>IF(J130=0,0,CONCATENATE(ROUND(VLOOKUP(K130,acute_overview_children!$C$12:$AH$391,3,FALSE),2)," / ",ROUND(VLOOKUP(K130,acute_overview_children!$C$12:$AH$391,6,FALSE),2)))</f>
        <v>0</v>
      </c>
      <c r="M130" s="755" t="str">
        <f>IF(J130&gt;0,VLOOKUP(K130,acute_overview_children!$C$12:$AH$391,27,FALSE)*1000,"")</f>
        <v/>
      </c>
      <c r="N130" s="766">
        <f>IF($K$6="not necessary",0,LARGE(acute_overview_adults!$AD$14:$AD$391,ROW()-ROW($F$65)))</f>
        <v>0</v>
      </c>
      <c r="O130" s="745" t="str">
        <f>IF(Results!N130&gt;0,INDEX(acute_overview_adults!$A$12:$AH$391,MATCH(Results!N130,acute_overview_adults!$AD$12:$AD$391,0),3),"")</f>
        <v/>
      </c>
      <c r="P130" s="755">
        <f>IF(N130=0,0,CONCATENATE(ROUND(VLOOKUP(O130,acute_overview_adults!$C$12:$AH$391,3,FALSE),2)," / ",ROUND(VLOOKUP(O130,acute_overview_adults!$C$12:$AH$391,6,FALSE),2)))</f>
        <v>0</v>
      </c>
      <c r="Q130" s="755" t="str">
        <f>IF(N130&gt;0,VLOOKUP(O130,acute_overview_adults!$C$12:$AH$391,27,FALSE)*1000,"")</f>
        <v/>
      </c>
      <c r="S130" s="1161">
        <f t="shared" si="0"/>
        <v>0</v>
      </c>
      <c r="T130" s="1161">
        <f t="shared" si="1"/>
        <v>0</v>
      </c>
      <c r="U130" s="1161">
        <f t="shared" si="2"/>
        <v>0</v>
      </c>
      <c r="V130" s="1161">
        <f t="shared" si="3"/>
        <v>0</v>
      </c>
      <c r="W130" s="1163">
        <f t="shared" si="4"/>
        <v>0</v>
      </c>
      <c r="X130" s="1163">
        <f t="shared" si="5"/>
        <v>0</v>
      </c>
      <c r="Y130" s="1163">
        <f t="shared" si="6"/>
        <v>0</v>
      </c>
      <c r="Z130" s="1163">
        <f t="shared" si="7"/>
        <v>0</v>
      </c>
    </row>
    <row r="131" spans="1:26" s="43" customFormat="1" ht="12" hidden="1" customHeight="1" outlineLevel="1" x14ac:dyDescent="0.2">
      <c r="A131" s="178"/>
      <c r="B131" s="546">
        <f>IF($K$6="not necessary",0,LARGE(acute_overview_children!$AA$14:$AA$391,ROW()-(ROW($B$65))))</f>
        <v>0</v>
      </c>
      <c r="C131" s="237" t="str">
        <f>IF(Results!B131&gt;0,INDEX(acute_overview_children!$A$12:$AH$391,MATCH(Results!B131,acute_overview_children!$AA$12:$AA$391,0),3),"")</f>
        <v/>
      </c>
      <c r="D131" s="238">
        <f>IF(B131=0,0,CONCATENATE(ROUND(VLOOKUP(C131,acute_overview_children!$C$12:$AH$391,3,FALSE),2)," / ",ROUND(VLOOKUP(C131,acute_overview_children!$C$12:$AH$391,4,FALSE),2)))</f>
        <v>0</v>
      </c>
      <c r="E131" s="238" t="str">
        <f>IF(B131&gt;0,VLOOKUP(C131,acute_overview_children!$C$12:$AH$391,24,FALSE)*1000,"")</f>
        <v/>
      </c>
      <c r="F131" s="546">
        <f>IF($K$6="not necessary",0,LARGE(acute_overview_adults!$AA$14:$AA$391,ROW()-(ROW($B$65))))</f>
        <v>0</v>
      </c>
      <c r="G131" s="237" t="str">
        <f>IF(F131&gt;0,INDEX(acute_overview_adults!$A$12:$AH$391,MATCH(F131,acute_overview_adults!$AA$12:$AA$391,0),3),"")</f>
        <v/>
      </c>
      <c r="H131" s="238">
        <f>IF(F131=0,0,CONCATENATE(ROUND(VLOOKUP(G131,acute_overview_adults!$C$12:$AH$391,3,FALSE),2)," / ",ROUND(VLOOKUP(G131,acute_overview_adults!$C$12:$AH$391,4,FALSE),2)))</f>
        <v>0</v>
      </c>
      <c r="I131" s="239" t="str">
        <f>IF(F131&gt;0,VLOOKUP(G131,acute_overview_adults!$C$12:$AH$391,24,FALSE)*1000,"")</f>
        <v/>
      </c>
      <c r="J131" s="766">
        <f>IF($K$6="not necessary",0,LARGE(acute_overview_children!$AD$14:$AD$391,ROW()-ROW($B$65)))</f>
        <v>0</v>
      </c>
      <c r="K131" s="745" t="str">
        <f>IF(J131&gt;0,INDEX(acute_overview_children!$A$12:$AH$391,MATCH(J131,acute_overview_children!$AD$12:$AD$391,0),3),"")</f>
        <v/>
      </c>
      <c r="L131" s="755">
        <f>IF(J131=0,0,CONCATENATE(ROUND(VLOOKUP(K131,acute_overview_children!$C$12:$AH$391,3,FALSE),2)," / ",ROUND(VLOOKUP(K131,acute_overview_children!$C$12:$AH$391,6,FALSE),2)))</f>
        <v>0</v>
      </c>
      <c r="M131" s="755" t="str">
        <f>IF(J131&gt;0,VLOOKUP(K131,acute_overview_children!$C$12:$AH$391,27,FALSE)*1000,"")</f>
        <v/>
      </c>
      <c r="N131" s="766">
        <f>IF($K$6="not necessary",0,LARGE(acute_overview_adults!$AD$14:$AD$391,ROW()-ROW($F$65)))</f>
        <v>0</v>
      </c>
      <c r="O131" s="745" t="str">
        <f>IF(Results!N131&gt;0,INDEX(acute_overview_adults!$A$12:$AH$391,MATCH(Results!N131,acute_overview_adults!$AD$12:$AD$391,0),3),"")</f>
        <v/>
      </c>
      <c r="P131" s="755">
        <f>IF(N131=0,0,CONCATENATE(ROUND(VLOOKUP(O131,acute_overview_adults!$C$12:$AH$391,3,FALSE),2)," / ",ROUND(VLOOKUP(O131,acute_overview_adults!$C$12:$AH$391,6,FALSE),2)))</f>
        <v>0</v>
      </c>
      <c r="Q131" s="755" t="str">
        <f>IF(N131&gt;0,VLOOKUP(O131,acute_overview_adults!$C$12:$AH$391,27,FALSE)*1000,"")</f>
        <v/>
      </c>
      <c r="S131" s="1161">
        <f t="shared" ref="S131:S194" si="8">IF(B131&lt;=1,0,MATCH(C131,$G$66:$G$224,0))</f>
        <v>0</v>
      </c>
      <c r="T131" s="1161">
        <f t="shared" ref="T131:T194" si="9">IF(S131=0,0,IF(S131&lt;=$V$226,1,0))</f>
        <v>0</v>
      </c>
      <c r="U131" s="1161">
        <f t="shared" ref="U131:U194" si="10">IF(B131&lt;=1,0,1)</f>
        <v>0</v>
      </c>
      <c r="V131" s="1161">
        <f t="shared" ref="V131:V194" si="11">IF(F131&lt;=1,0,1)</f>
        <v>0</v>
      </c>
      <c r="W131" s="1163">
        <f t="shared" ref="W131:W194" si="12">IF(J131&lt;=1,0,MATCH(K131,$O$66:$O$224,0))</f>
        <v>0</v>
      </c>
      <c r="X131" s="1163">
        <f t="shared" ref="X131:X194" si="13">IF(W131=0,0,IF(W131&lt;=$Z$226,1,0))</f>
        <v>0</v>
      </c>
      <c r="Y131" s="1163">
        <f t="shared" ref="Y131:Y194" si="14">IF(J131&lt;=1,0,1)</f>
        <v>0</v>
      </c>
      <c r="Z131" s="1163">
        <f t="shared" ref="Z131:Z194" si="15">IF(N131&lt;=1,0,1)</f>
        <v>0</v>
      </c>
    </row>
    <row r="132" spans="1:26" s="43" customFormat="1" ht="12" hidden="1" customHeight="1" outlineLevel="1" x14ac:dyDescent="0.2">
      <c r="A132" s="178"/>
      <c r="B132" s="546">
        <f>IF($K$6="not necessary",0,LARGE(acute_overview_children!$AA$14:$AA$391,ROW()-(ROW($B$65))))</f>
        <v>0</v>
      </c>
      <c r="C132" s="237" t="str">
        <f>IF(Results!B132&gt;0,INDEX(acute_overview_children!$A$12:$AH$391,MATCH(Results!B132,acute_overview_children!$AA$12:$AA$391,0),3),"")</f>
        <v/>
      </c>
      <c r="D132" s="238">
        <f>IF(B132=0,0,CONCATENATE(ROUND(VLOOKUP(C132,acute_overview_children!$C$12:$AH$391,3,FALSE),2)," / ",ROUND(VLOOKUP(C132,acute_overview_children!$C$12:$AH$391,4,FALSE),2)))</f>
        <v>0</v>
      </c>
      <c r="E132" s="238" t="str">
        <f>IF(B132&gt;0,VLOOKUP(C132,acute_overview_children!$C$12:$AH$391,24,FALSE)*1000,"")</f>
        <v/>
      </c>
      <c r="F132" s="546">
        <f>IF($K$6="not necessary",0,LARGE(acute_overview_adults!$AA$14:$AA$391,ROW()-(ROW($B$65))))</f>
        <v>0</v>
      </c>
      <c r="G132" s="237" t="str">
        <f>IF(F132&gt;0,INDEX(acute_overview_adults!$A$12:$AH$391,MATCH(F132,acute_overview_adults!$AA$12:$AA$391,0),3),"")</f>
        <v/>
      </c>
      <c r="H132" s="238">
        <f>IF(F132=0,0,CONCATENATE(ROUND(VLOOKUP(G132,acute_overview_adults!$C$12:$AH$391,3,FALSE),2)," / ",ROUND(VLOOKUP(G132,acute_overview_adults!$C$12:$AH$391,4,FALSE),2)))</f>
        <v>0</v>
      </c>
      <c r="I132" s="239" t="str">
        <f>IF(F132&gt;0,VLOOKUP(G132,acute_overview_adults!$C$12:$AH$391,24,FALSE)*1000,"")</f>
        <v/>
      </c>
      <c r="J132" s="766">
        <f>IF($K$6="not necessary",0,LARGE(acute_overview_children!$AD$14:$AD$391,ROW()-ROW($B$65)))</f>
        <v>0</v>
      </c>
      <c r="K132" s="745" t="str">
        <f>IF(J132&gt;0,INDEX(acute_overview_children!$A$12:$AH$391,MATCH(J132,acute_overview_children!$AD$12:$AD$391,0),3),"")</f>
        <v/>
      </c>
      <c r="L132" s="755">
        <f>IF(J132=0,0,CONCATENATE(ROUND(VLOOKUP(K132,acute_overview_children!$C$12:$AH$391,3,FALSE),2)," / ",ROUND(VLOOKUP(K132,acute_overview_children!$C$12:$AH$391,6,FALSE),2)))</f>
        <v>0</v>
      </c>
      <c r="M132" s="755" t="str">
        <f>IF(J132&gt;0,VLOOKUP(K132,acute_overview_children!$C$12:$AH$391,27,FALSE)*1000,"")</f>
        <v/>
      </c>
      <c r="N132" s="766">
        <f>IF($K$6="not necessary",0,LARGE(acute_overview_adults!$AD$14:$AD$391,ROW()-ROW($F$65)))</f>
        <v>0</v>
      </c>
      <c r="O132" s="745" t="str">
        <f>IF(Results!N132&gt;0,INDEX(acute_overview_adults!$A$12:$AH$391,MATCH(Results!N132,acute_overview_adults!$AD$12:$AD$391,0),3),"")</f>
        <v/>
      </c>
      <c r="P132" s="755">
        <f>IF(N132=0,0,CONCATENATE(ROUND(VLOOKUP(O132,acute_overview_adults!$C$12:$AH$391,3,FALSE),2)," / ",ROUND(VLOOKUP(O132,acute_overview_adults!$C$12:$AH$391,6,FALSE),2)))</f>
        <v>0</v>
      </c>
      <c r="Q132" s="755" t="str">
        <f>IF(N132&gt;0,VLOOKUP(O132,acute_overview_adults!$C$12:$AH$391,27,FALSE)*1000,"")</f>
        <v/>
      </c>
      <c r="S132" s="1161">
        <f t="shared" si="8"/>
        <v>0</v>
      </c>
      <c r="T132" s="1161">
        <f t="shared" si="9"/>
        <v>0</v>
      </c>
      <c r="U132" s="1161">
        <f t="shared" si="10"/>
        <v>0</v>
      </c>
      <c r="V132" s="1161">
        <f t="shared" si="11"/>
        <v>0</v>
      </c>
      <c r="W132" s="1163">
        <f t="shared" si="12"/>
        <v>0</v>
      </c>
      <c r="X132" s="1163">
        <f t="shared" si="13"/>
        <v>0</v>
      </c>
      <c r="Y132" s="1163">
        <f t="shared" si="14"/>
        <v>0</v>
      </c>
      <c r="Z132" s="1163">
        <f t="shared" si="15"/>
        <v>0</v>
      </c>
    </row>
    <row r="133" spans="1:26" s="43" customFormat="1" ht="12" hidden="1" customHeight="1" outlineLevel="1" x14ac:dyDescent="0.2">
      <c r="A133" s="178"/>
      <c r="B133" s="546">
        <f>IF($K$6="not necessary",0,LARGE(acute_overview_children!$AA$14:$AA$391,ROW()-(ROW($B$65))))</f>
        <v>0</v>
      </c>
      <c r="C133" s="237" t="str">
        <f>IF(Results!B133&gt;0,INDEX(acute_overview_children!$A$12:$AH$391,MATCH(Results!B133,acute_overview_children!$AA$12:$AA$391,0),3),"")</f>
        <v/>
      </c>
      <c r="D133" s="238">
        <f>IF(B133=0,0,CONCATENATE(ROUND(VLOOKUP(C133,acute_overview_children!$C$12:$AH$391,3,FALSE),2)," / ",ROUND(VLOOKUP(C133,acute_overview_children!$C$12:$AH$391,4,FALSE),2)))</f>
        <v>0</v>
      </c>
      <c r="E133" s="238" t="str">
        <f>IF(B133&gt;0,VLOOKUP(C133,acute_overview_children!$C$12:$AH$391,24,FALSE)*1000,"")</f>
        <v/>
      </c>
      <c r="F133" s="546">
        <f>IF($K$6="not necessary",0,LARGE(acute_overview_adults!$AA$14:$AA$391,ROW()-(ROW($B$65))))</f>
        <v>0</v>
      </c>
      <c r="G133" s="237" t="str">
        <f>IF(F133&gt;0,INDEX(acute_overview_adults!$A$12:$AH$391,MATCH(F133,acute_overview_adults!$AA$12:$AA$391,0),3),"")</f>
        <v/>
      </c>
      <c r="H133" s="238">
        <f>IF(F133=0,0,CONCATENATE(ROUND(VLOOKUP(G133,acute_overview_adults!$C$12:$AH$391,3,FALSE),2)," / ",ROUND(VLOOKUP(G133,acute_overview_adults!$C$12:$AH$391,4,FALSE),2)))</f>
        <v>0</v>
      </c>
      <c r="I133" s="239" t="str">
        <f>IF(F133&gt;0,VLOOKUP(G133,acute_overview_adults!$C$12:$AH$391,24,FALSE)*1000,"")</f>
        <v/>
      </c>
      <c r="J133" s="766">
        <f>IF($K$6="not necessary",0,LARGE(acute_overview_children!$AD$14:$AD$391,ROW()-ROW($B$65)))</f>
        <v>0</v>
      </c>
      <c r="K133" s="745" t="str">
        <f>IF(J133&gt;0,INDEX(acute_overview_children!$A$12:$AH$391,MATCH(J133,acute_overview_children!$AD$12:$AD$391,0),3),"")</f>
        <v/>
      </c>
      <c r="L133" s="755">
        <f>IF(J133=0,0,CONCATENATE(ROUND(VLOOKUP(K133,acute_overview_children!$C$12:$AH$391,3,FALSE),2)," / ",ROUND(VLOOKUP(K133,acute_overview_children!$C$12:$AH$391,6,FALSE),2)))</f>
        <v>0</v>
      </c>
      <c r="M133" s="755" t="str">
        <f>IF(J133&gt;0,VLOOKUP(K133,acute_overview_children!$C$12:$AH$391,27,FALSE)*1000,"")</f>
        <v/>
      </c>
      <c r="N133" s="766">
        <f>IF($K$6="not necessary",0,LARGE(acute_overview_adults!$AD$14:$AD$391,ROW()-ROW($F$65)))</f>
        <v>0</v>
      </c>
      <c r="O133" s="745" t="str">
        <f>IF(Results!N133&gt;0,INDEX(acute_overview_adults!$A$12:$AH$391,MATCH(Results!N133,acute_overview_adults!$AD$12:$AD$391,0),3),"")</f>
        <v/>
      </c>
      <c r="P133" s="755">
        <f>IF(N133=0,0,CONCATENATE(ROUND(VLOOKUP(O133,acute_overview_adults!$C$12:$AH$391,3,FALSE),2)," / ",ROUND(VLOOKUP(O133,acute_overview_adults!$C$12:$AH$391,6,FALSE),2)))</f>
        <v>0</v>
      </c>
      <c r="Q133" s="755" t="str">
        <f>IF(N133&gt;0,VLOOKUP(O133,acute_overview_adults!$C$12:$AH$391,27,FALSE)*1000,"")</f>
        <v/>
      </c>
      <c r="S133" s="1161">
        <f t="shared" si="8"/>
        <v>0</v>
      </c>
      <c r="T133" s="1161">
        <f t="shared" si="9"/>
        <v>0</v>
      </c>
      <c r="U133" s="1161">
        <f t="shared" si="10"/>
        <v>0</v>
      </c>
      <c r="V133" s="1161">
        <f t="shared" si="11"/>
        <v>0</v>
      </c>
      <c r="W133" s="1163">
        <f t="shared" si="12"/>
        <v>0</v>
      </c>
      <c r="X133" s="1163">
        <f t="shared" si="13"/>
        <v>0</v>
      </c>
      <c r="Y133" s="1163">
        <f t="shared" si="14"/>
        <v>0</v>
      </c>
      <c r="Z133" s="1163">
        <f t="shared" si="15"/>
        <v>0</v>
      </c>
    </row>
    <row r="134" spans="1:26" s="43" customFormat="1" ht="12" hidden="1" customHeight="1" outlineLevel="1" x14ac:dyDescent="0.2">
      <c r="A134" s="178"/>
      <c r="B134" s="546">
        <f>IF($K$6="not necessary",0,LARGE(acute_overview_children!$AA$14:$AA$391,ROW()-(ROW($B$65))))</f>
        <v>0</v>
      </c>
      <c r="C134" s="237" t="str">
        <f>IF(Results!B134&gt;0,INDEX(acute_overview_children!$A$12:$AH$391,MATCH(Results!B134,acute_overview_children!$AA$12:$AA$391,0),3),"")</f>
        <v/>
      </c>
      <c r="D134" s="238">
        <f>IF(B134=0,0,CONCATENATE(ROUND(VLOOKUP(C134,acute_overview_children!$C$12:$AH$391,3,FALSE),2)," / ",ROUND(VLOOKUP(C134,acute_overview_children!$C$12:$AH$391,4,FALSE),2)))</f>
        <v>0</v>
      </c>
      <c r="E134" s="238" t="str">
        <f>IF(B134&gt;0,VLOOKUP(C134,acute_overview_children!$C$12:$AH$391,24,FALSE)*1000,"")</f>
        <v/>
      </c>
      <c r="F134" s="546">
        <f>IF($K$6="not necessary",0,LARGE(acute_overview_adults!$AA$14:$AA$391,ROW()-(ROW($B$65))))</f>
        <v>0</v>
      </c>
      <c r="G134" s="237" t="str">
        <f>IF(F134&gt;0,INDEX(acute_overview_adults!$A$12:$AH$391,MATCH(F134,acute_overview_adults!$AA$12:$AA$391,0),3),"")</f>
        <v/>
      </c>
      <c r="H134" s="238">
        <f>IF(F134=0,0,CONCATENATE(ROUND(VLOOKUP(G134,acute_overview_adults!$C$12:$AH$391,3,FALSE),2)," / ",ROUND(VLOOKUP(G134,acute_overview_adults!$C$12:$AH$391,4,FALSE),2)))</f>
        <v>0</v>
      </c>
      <c r="I134" s="239" t="str">
        <f>IF(F134&gt;0,VLOOKUP(G134,acute_overview_adults!$C$12:$AH$391,24,FALSE)*1000,"")</f>
        <v/>
      </c>
      <c r="J134" s="766">
        <f>IF($K$6="not necessary",0,LARGE(acute_overview_children!$AD$14:$AD$391,ROW()-ROW($B$65)))</f>
        <v>0</v>
      </c>
      <c r="K134" s="745" t="str">
        <f>IF(J134&gt;0,INDEX(acute_overview_children!$A$12:$AH$391,MATCH(J134,acute_overview_children!$AD$12:$AD$391,0),3),"")</f>
        <v/>
      </c>
      <c r="L134" s="755">
        <f>IF(J134=0,0,CONCATENATE(ROUND(VLOOKUP(K134,acute_overview_children!$C$12:$AH$391,3,FALSE),2)," / ",ROUND(VLOOKUP(K134,acute_overview_children!$C$12:$AH$391,6,FALSE),2)))</f>
        <v>0</v>
      </c>
      <c r="M134" s="755" t="str">
        <f>IF(J134&gt;0,VLOOKUP(K134,acute_overview_children!$C$12:$AH$391,27,FALSE)*1000,"")</f>
        <v/>
      </c>
      <c r="N134" s="766">
        <f>IF($K$6="not necessary",0,LARGE(acute_overview_adults!$AD$14:$AD$391,ROW()-ROW($F$65)))</f>
        <v>0</v>
      </c>
      <c r="O134" s="745" t="str">
        <f>IF(Results!N134&gt;0,INDEX(acute_overview_adults!$A$12:$AH$391,MATCH(Results!N134,acute_overview_adults!$AD$12:$AD$391,0),3),"")</f>
        <v/>
      </c>
      <c r="P134" s="755">
        <f>IF(N134=0,0,CONCATENATE(ROUND(VLOOKUP(O134,acute_overview_adults!$C$12:$AH$391,3,FALSE),2)," / ",ROUND(VLOOKUP(O134,acute_overview_adults!$C$12:$AH$391,6,FALSE),2)))</f>
        <v>0</v>
      </c>
      <c r="Q134" s="755" t="str">
        <f>IF(N134&gt;0,VLOOKUP(O134,acute_overview_adults!$C$12:$AH$391,27,FALSE)*1000,"")</f>
        <v/>
      </c>
      <c r="S134" s="1161">
        <f t="shared" si="8"/>
        <v>0</v>
      </c>
      <c r="T134" s="1161">
        <f t="shared" si="9"/>
        <v>0</v>
      </c>
      <c r="U134" s="1161">
        <f t="shared" si="10"/>
        <v>0</v>
      </c>
      <c r="V134" s="1161">
        <f t="shared" si="11"/>
        <v>0</v>
      </c>
      <c r="W134" s="1163">
        <f t="shared" si="12"/>
        <v>0</v>
      </c>
      <c r="X134" s="1163">
        <f t="shared" si="13"/>
        <v>0</v>
      </c>
      <c r="Y134" s="1163">
        <f t="shared" si="14"/>
        <v>0</v>
      </c>
      <c r="Z134" s="1163">
        <f t="shared" si="15"/>
        <v>0</v>
      </c>
    </row>
    <row r="135" spans="1:26" s="43" customFormat="1" ht="12" hidden="1" customHeight="1" outlineLevel="1" x14ac:dyDescent="0.2">
      <c r="A135" s="178"/>
      <c r="B135" s="546">
        <f>IF($K$6="not necessary",0,LARGE(acute_overview_children!$AA$14:$AA$391,ROW()-(ROW($B$65))))</f>
        <v>0</v>
      </c>
      <c r="C135" s="237" t="str">
        <f>IF(Results!B135&gt;0,INDEX(acute_overview_children!$A$12:$AH$391,MATCH(Results!B135,acute_overview_children!$AA$12:$AA$391,0),3),"")</f>
        <v/>
      </c>
      <c r="D135" s="238">
        <f>IF(B135=0,0,CONCATENATE(ROUND(VLOOKUP(C135,acute_overview_children!$C$12:$AH$391,3,FALSE),2)," / ",ROUND(VLOOKUP(C135,acute_overview_children!$C$12:$AH$391,4,FALSE),2)))</f>
        <v>0</v>
      </c>
      <c r="E135" s="238" t="str">
        <f>IF(B135&gt;0,VLOOKUP(C135,acute_overview_children!$C$12:$AH$391,24,FALSE)*1000,"")</f>
        <v/>
      </c>
      <c r="F135" s="546">
        <f>IF($K$6="not necessary",0,LARGE(acute_overview_adults!$AA$14:$AA$391,ROW()-(ROW($B$65))))</f>
        <v>0</v>
      </c>
      <c r="G135" s="237" t="str">
        <f>IF(F135&gt;0,INDEX(acute_overview_adults!$A$12:$AH$391,MATCH(F135,acute_overview_adults!$AA$12:$AA$391,0),3),"")</f>
        <v/>
      </c>
      <c r="H135" s="238">
        <f>IF(F135=0,0,CONCATENATE(ROUND(VLOOKUP(G135,acute_overview_adults!$C$12:$AH$391,3,FALSE),2)," / ",ROUND(VLOOKUP(G135,acute_overview_adults!$C$12:$AH$391,4,FALSE),2)))</f>
        <v>0</v>
      </c>
      <c r="I135" s="239" t="str">
        <f>IF(F135&gt;0,VLOOKUP(G135,acute_overview_adults!$C$12:$AH$391,24,FALSE)*1000,"")</f>
        <v/>
      </c>
      <c r="J135" s="766">
        <f>IF($K$6="not necessary",0,LARGE(acute_overview_children!$AD$14:$AD$391,ROW()-ROW($B$65)))</f>
        <v>0</v>
      </c>
      <c r="K135" s="745" t="str">
        <f>IF(J135&gt;0,INDEX(acute_overview_children!$A$12:$AH$391,MATCH(J135,acute_overview_children!$AD$12:$AD$391,0),3),"")</f>
        <v/>
      </c>
      <c r="L135" s="755">
        <f>IF(J135=0,0,CONCATENATE(ROUND(VLOOKUP(K135,acute_overview_children!$C$12:$AH$391,3,FALSE),2)," / ",ROUND(VLOOKUP(K135,acute_overview_children!$C$12:$AH$391,6,FALSE),2)))</f>
        <v>0</v>
      </c>
      <c r="M135" s="755" t="str">
        <f>IF(J135&gt;0,VLOOKUP(K135,acute_overview_children!$C$12:$AH$391,27,FALSE)*1000,"")</f>
        <v/>
      </c>
      <c r="N135" s="766">
        <f>IF($K$6="not necessary",0,LARGE(acute_overview_adults!$AD$14:$AD$391,ROW()-ROW($F$65)))</f>
        <v>0</v>
      </c>
      <c r="O135" s="745" t="str">
        <f>IF(Results!N135&gt;0,INDEX(acute_overview_adults!$A$12:$AH$391,MATCH(Results!N135,acute_overview_adults!$AD$12:$AD$391,0),3),"")</f>
        <v/>
      </c>
      <c r="P135" s="755">
        <f>IF(N135=0,0,CONCATENATE(ROUND(VLOOKUP(O135,acute_overview_adults!$C$12:$AH$391,3,FALSE),2)," / ",ROUND(VLOOKUP(O135,acute_overview_adults!$C$12:$AH$391,6,FALSE),2)))</f>
        <v>0</v>
      </c>
      <c r="Q135" s="755" t="str">
        <f>IF(N135&gt;0,VLOOKUP(O135,acute_overview_adults!$C$12:$AH$391,27,FALSE)*1000,"")</f>
        <v/>
      </c>
      <c r="S135" s="1161">
        <f t="shared" si="8"/>
        <v>0</v>
      </c>
      <c r="T135" s="1161">
        <f t="shared" si="9"/>
        <v>0</v>
      </c>
      <c r="U135" s="1161">
        <f t="shared" si="10"/>
        <v>0</v>
      </c>
      <c r="V135" s="1161">
        <f t="shared" si="11"/>
        <v>0</v>
      </c>
      <c r="W135" s="1163">
        <f t="shared" si="12"/>
        <v>0</v>
      </c>
      <c r="X135" s="1163">
        <f t="shared" si="13"/>
        <v>0</v>
      </c>
      <c r="Y135" s="1163">
        <f t="shared" si="14"/>
        <v>0</v>
      </c>
      <c r="Z135" s="1163">
        <f t="shared" si="15"/>
        <v>0</v>
      </c>
    </row>
    <row r="136" spans="1:26" s="43" customFormat="1" ht="12" hidden="1" customHeight="1" outlineLevel="1" x14ac:dyDescent="0.2">
      <c r="A136" s="178"/>
      <c r="B136" s="546">
        <f>IF($K$6="not necessary",0,LARGE(acute_overview_children!$AA$14:$AA$391,ROW()-(ROW($B$65))))</f>
        <v>0</v>
      </c>
      <c r="C136" s="237" t="str">
        <f>IF(Results!B136&gt;0,INDEX(acute_overview_children!$A$12:$AH$391,MATCH(Results!B136,acute_overview_children!$AA$12:$AA$391,0),3),"")</f>
        <v/>
      </c>
      <c r="D136" s="238">
        <f>IF(B136=0,0,CONCATENATE(ROUND(VLOOKUP(C136,acute_overview_children!$C$12:$AH$391,3,FALSE),2)," / ",ROUND(VLOOKUP(C136,acute_overview_children!$C$12:$AH$391,4,FALSE),2)))</f>
        <v>0</v>
      </c>
      <c r="E136" s="238" t="str">
        <f>IF(B136&gt;0,VLOOKUP(C136,acute_overview_children!$C$12:$AH$391,24,FALSE)*1000,"")</f>
        <v/>
      </c>
      <c r="F136" s="546">
        <f>IF($K$6="not necessary",0,LARGE(acute_overview_adults!$AA$14:$AA$391,ROW()-(ROW($B$65))))</f>
        <v>0</v>
      </c>
      <c r="G136" s="237" t="str">
        <f>IF(F136&gt;0,INDEX(acute_overview_adults!$A$12:$AH$391,MATCH(F136,acute_overview_adults!$AA$12:$AA$391,0),3),"")</f>
        <v/>
      </c>
      <c r="H136" s="238">
        <f>IF(F136=0,0,CONCATENATE(ROUND(VLOOKUP(G136,acute_overview_adults!$C$12:$AH$391,3,FALSE),2)," / ",ROUND(VLOOKUP(G136,acute_overview_adults!$C$12:$AH$391,4,FALSE),2)))</f>
        <v>0</v>
      </c>
      <c r="I136" s="239" t="str">
        <f>IF(F136&gt;0,VLOOKUP(G136,acute_overview_adults!$C$12:$AH$391,24,FALSE)*1000,"")</f>
        <v/>
      </c>
      <c r="J136" s="766">
        <f>IF($K$6="not necessary",0,LARGE(acute_overview_children!$AD$14:$AD$391,ROW()-ROW($B$65)))</f>
        <v>0</v>
      </c>
      <c r="K136" s="745" t="str">
        <f>IF(J136&gt;0,INDEX(acute_overview_children!$A$12:$AH$391,MATCH(J136,acute_overview_children!$AD$12:$AD$391,0),3),"")</f>
        <v/>
      </c>
      <c r="L136" s="755">
        <f>IF(J136=0,0,CONCATENATE(ROUND(VLOOKUP(K136,acute_overview_children!$C$12:$AH$391,3,FALSE),2)," / ",ROUND(VLOOKUP(K136,acute_overview_children!$C$12:$AH$391,6,FALSE),2)))</f>
        <v>0</v>
      </c>
      <c r="M136" s="755" t="str">
        <f>IF(J136&gt;0,VLOOKUP(K136,acute_overview_children!$C$12:$AH$391,27,FALSE)*1000,"")</f>
        <v/>
      </c>
      <c r="N136" s="766">
        <f>IF($K$6="not necessary",0,LARGE(acute_overview_adults!$AD$14:$AD$391,ROW()-ROW($F$65)))</f>
        <v>0</v>
      </c>
      <c r="O136" s="745" t="str">
        <f>IF(Results!N136&gt;0,INDEX(acute_overview_adults!$A$12:$AH$391,MATCH(Results!N136,acute_overview_adults!$AD$12:$AD$391,0),3),"")</f>
        <v/>
      </c>
      <c r="P136" s="755">
        <f>IF(N136=0,0,CONCATENATE(ROUND(VLOOKUP(O136,acute_overview_adults!$C$12:$AH$391,3,FALSE),2)," / ",ROUND(VLOOKUP(O136,acute_overview_adults!$C$12:$AH$391,6,FALSE),2)))</f>
        <v>0</v>
      </c>
      <c r="Q136" s="755" t="str">
        <f>IF(N136&gt;0,VLOOKUP(O136,acute_overview_adults!$C$12:$AH$391,27,FALSE)*1000,"")</f>
        <v/>
      </c>
      <c r="S136" s="1161">
        <f t="shared" si="8"/>
        <v>0</v>
      </c>
      <c r="T136" s="1161">
        <f t="shared" si="9"/>
        <v>0</v>
      </c>
      <c r="U136" s="1161">
        <f t="shared" si="10"/>
        <v>0</v>
      </c>
      <c r="V136" s="1161">
        <f t="shared" si="11"/>
        <v>0</v>
      </c>
      <c r="W136" s="1163">
        <f t="shared" si="12"/>
        <v>0</v>
      </c>
      <c r="X136" s="1163">
        <f t="shared" si="13"/>
        <v>0</v>
      </c>
      <c r="Y136" s="1163">
        <f t="shared" si="14"/>
        <v>0</v>
      </c>
      <c r="Z136" s="1163">
        <f t="shared" si="15"/>
        <v>0</v>
      </c>
    </row>
    <row r="137" spans="1:26" s="43" customFormat="1" ht="12" hidden="1" customHeight="1" outlineLevel="1" x14ac:dyDescent="0.2">
      <c r="A137" s="178"/>
      <c r="B137" s="546">
        <f>IF($K$6="not necessary",0,LARGE(acute_overview_children!$AA$14:$AA$391,ROW()-(ROW($B$65))))</f>
        <v>0</v>
      </c>
      <c r="C137" s="237" t="str">
        <f>IF(Results!B137&gt;0,INDEX(acute_overview_children!$A$12:$AH$391,MATCH(Results!B137,acute_overview_children!$AA$12:$AA$391,0),3),"")</f>
        <v/>
      </c>
      <c r="D137" s="238">
        <f>IF(B137=0,0,CONCATENATE(ROUND(VLOOKUP(C137,acute_overview_children!$C$12:$AH$391,3,FALSE),2)," / ",ROUND(VLOOKUP(C137,acute_overview_children!$C$12:$AH$391,4,FALSE),2)))</f>
        <v>0</v>
      </c>
      <c r="E137" s="238" t="str">
        <f>IF(B137&gt;0,VLOOKUP(C137,acute_overview_children!$C$12:$AH$391,24,FALSE)*1000,"")</f>
        <v/>
      </c>
      <c r="F137" s="546">
        <f>IF($K$6="not necessary",0,LARGE(acute_overview_adults!$AA$14:$AA$391,ROW()-(ROW($B$65))))</f>
        <v>0</v>
      </c>
      <c r="G137" s="237" t="str">
        <f>IF(F137&gt;0,INDEX(acute_overview_adults!$A$12:$AH$391,MATCH(F137,acute_overview_adults!$AA$12:$AA$391,0),3),"")</f>
        <v/>
      </c>
      <c r="H137" s="238">
        <f>IF(F137=0,0,CONCATENATE(ROUND(VLOOKUP(G137,acute_overview_adults!$C$12:$AH$391,3,FALSE),2)," / ",ROUND(VLOOKUP(G137,acute_overview_adults!$C$12:$AH$391,4,FALSE),2)))</f>
        <v>0</v>
      </c>
      <c r="I137" s="239" t="str">
        <f>IF(F137&gt;0,VLOOKUP(G137,acute_overview_adults!$C$12:$AH$391,24,FALSE)*1000,"")</f>
        <v/>
      </c>
      <c r="J137" s="766">
        <f>IF($K$6="not necessary",0,LARGE(acute_overview_children!$AD$14:$AD$391,ROW()-ROW($B$65)))</f>
        <v>0</v>
      </c>
      <c r="K137" s="745" t="str">
        <f>IF(J137&gt;0,INDEX(acute_overview_children!$A$12:$AH$391,MATCH(J137,acute_overview_children!$AD$12:$AD$391,0),3),"")</f>
        <v/>
      </c>
      <c r="L137" s="755">
        <f>IF(J137=0,0,CONCATENATE(ROUND(VLOOKUP(K137,acute_overview_children!$C$12:$AH$391,3,FALSE),2)," / ",ROUND(VLOOKUP(K137,acute_overview_children!$C$12:$AH$391,6,FALSE),2)))</f>
        <v>0</v>
      </c>
      <c r="M137" s="755" t="str">
        <f>IF(J137&gt;0,VLOOKUP(K137,acute_overview_children!$C$12:$AH$391,27,FALSE)*1000,"")</f>
        <v/>
      </c>
      <c r="N137" s="766">
        <f>IF($K$6="not necessary",0,LARGE(acute_overview_adults!$AD$14:$AD$391,ROW()-ROW($F$65)))</f>
        <v>0</v>
      </c>
      <c r="O137" s="745" t="str">
        <f>IF(Results!N137&gt;0,INDEX(acute_overview_adults!$A$12:$AH$391,MATCH(Results!N137,acute_overview_adults!$AD$12:$AD$391,0),3),"")</f>
        <v/>
      </c>
      <c r="P137" s="755">
        <f>IF(N137=0,0,CONCATENATE(ROUND(VLOOKUP(O137,acute_overview_adults!$C$12:$AH$391,3,FALSE),2)," / ",ROUND(VLOOKUP(O137,acute_overview_adults!$C$12:$AH$391,6,FALSE),2)))</f>
        <v>0</v>
      </c>
      <c r="Q137" s="755" t="str">
        <f>IF(N137&gt;0,VLOOKUP(O137,acute_overview_adults!$C$12:$AH$391,27,FALSE)*1000,"")</f>
        <v/>
      </c>
      <c r="S137" s="1161">
        <f t="shared" si="8"/>
        <v>0</v>
      </c>
      <c r="T137" s="1161">
        <f t="shared" si="9"/>
        <v>0</v>
      </c>
      <c r="U137" s="1161">
        <f t="shared" si="10"/>
        <v>0</v>
      </c>
      <c r="V137" s="1161">
        <f t="shared" si="11"/>
        <v>0</v>
      </c>
      <c r="W137" s="1163">
        <f t="shared" si="12"/>
        <v>0</v>
      </c>
      <c r="X137" s="1163">
        <f t="shared" si="13"/>
        <v>0</v>
      </c>
      <c r="Y137" s="1163">
        <f t="shared" si="14"/>
        <v>0</v>
      </c>
      <c r="Z137" s="1163">
        <f t="shared" si="15"/>
        <v>0</v>
      </c>
    </row>
    <row r="138" spans="1:26" s="43" customFormat="1" ht="12" hidden="1" customHeight="1" outlineLevel="1" x14ac:dyDescent="0.2">
      <c r="A138" s="178"/>
      <c r="B138" s="546">
        <f>IF($K$6="not necessary",0,LARGE(acute_overview_children!$AA$14:$AA$391,ROW()-(ROW($B$65))))</f>
        <v>0</v>
      </c>
      <c r="C138" s="237" t="str">
        <f>IF(Results!B138&gt;0,INDEX(acute_overview_children!$A$12:$AH$391,MATCH(Results!B138,acute_overview_children!$AA$12:$AA$391,0),3),"")</f>
        <v/>
      </c>
      <c r="D138" s="238">
        <f>IF(B138=0,0,CONCATENATE(ROUND(VLOOKUP(C138,acute_overview_children!$C$12:$AH$391,3,FALSE),2)," / ",ROUND(VLOOKUP(C138,acute_overview_children!$C$12:$AH$391,4,FALSE),2)))</f>
        <v>0</v>
      </c>
      <c r="E138" s="238" t="str">
        <f>IF(B138&gt;0,VLOOKUP(C138,acute_overview_children!$C$12:$AH$391,24,FALSE)*1000,"")</f>
        <v/>
      </c>
      <c r="F138" s="546">
        <f>IF($K$6="not necessary",0,LARGE(acute_overview_adults!$AA$14:$AA$391,ROW()-(ROW($B$65))))</f>
        <v>0</v>
      </c>
      <c r="G138" s="237" t="str">
        <f>IF(F138&gt;0,INDEX(acute_overview_adults!$A$12:$AH$391,MATCH(F138,acute_overview_adults!$AA$12:$AA$391,0),3),"")</f>
        <v/>
      </c>
      <c r="H138" s="238">
        <f>IF(F138=0,0,CONCATENATE(ROUND(VLOOKUP(G138,acute_overview_adults!$C$12:$AH$391,3,FALSE),2)," / ",ROUND(VLOOKUP(G138,acute_overview_adults!$C$12:$AH$391,4,FALSE),2)))</f>
        <v>0</v>
      </c>
      <c r="I138" s="239" t="str">
        <f>IF(F138&gt;0,VLOOKUP(G138,acute_overview_adults!$C$12:$AH$391,24,FALSE)*1000,"")</f>
        <v/>
      </c>
      <c r="J138" s="766">
        <f>IF($K$6="not necessary",0,LARGE(acute_overview_children!$AD$14:$AD$391,ROW()-ROW($B$65)))</f>
        <v>0</v>
      </c>
      <c r="K138" s="745" t="str">
        <f>IF(J138&gt;0,INDEX(acute_overview_children!$A$12:$AH$391,MATCH(J138,acute_overview_children!$AD$12:$AD$391,0),3),"")</f>
        <v/>
      </c>
      <c r="L138" s="755">
        <f>IF(J138=0,0,CONCATENATE(ROUND(VLOOKUP(K138,acute_overview_children!$C$12:$AH$391,3,FALSE),2)," / ",ROUND(VLOOKUP(K138,acute_overview_children!$C$12:$AH$391,6,FALSE),2)))</f>
        <v>0</v>
      </c>
      <c r="M138" s="755" t="str">
        <f>IF(J138&gt;0,VLOOKUP(K138,acute_overview_children!$C$12:$AH$391,27,FALSE)*1000,"")</f>
        <v/>
      </c>
      <c r="N138" s="766">
        <f>IF($K$6="not necessary",0,LARGE(acute_overview_adults!$AD$14:$AD$391,ROW()-ROW($F$65)))</f>
        <v>0</v>
      </c>
      <c r="O138" s="745" t="str">
        <f>IF(Results!N138&gt;0,INDEX(acute_overview_adults!$A$12:$AH$391,MATCH(Results!N138,acute_overview_adults!$AD$12:$AD$391,0),3),"")</f>
        <v/>
      </c>
      <c r="P138" s="755">
        <f>IF(N138=0,0,CONCATENATE(ROUND(VLOOKUP(O138,acute_overview_adults!$C$12:$AH$391,3,FALSE),2)," / ",ROUND(VLOOKUP(O138,acute_overview_adults!$C$12:$AH$391,6,FALSE),2)))</f>
        <v>0</v>
      </c>
      <c r="Q138" s="755" t="str">
        <f>IF(N138&gt;0,VLOOKUP(O138,acute_overview_adults!$C$12:$AH$391,27,FALSE)*1000,"")</f>
        <v/>
      </c>
      <c r="S138" s="1161">
        <f t="shared" si="8"/>
        <v>0</v>
      </c>
      <c r="T138" s="1161">
        <f t="shared" si="9"/>
        <v>0</v>
      </c>
      <c r="U138" s="1161">
        <f t="shared" si="10"/>
        <v>0</v>
      </c>
      <c r="V138" s="1161">
        <f t="shared" si="11"/>
        <v>0</v>
      </c>
      <c r="W138" s="1163">
        <f t="shared" si="12"/>
        <v>0</v>
      </c>
      <c r="X138" s="1163">
        <f t="shared" si="13"/>
        <v>0</v>
      </c>
      <c r="Y138" s="1163">
        <f t="shared" si="14"/>
        <v>0</v>
      </c>
      <c r="Z138" s="1163">
        <f t="shared" si="15"/>
        <v>0</v>
      </c>
    </row>
    <row r="139" spans="1:26" s="43" customFormat="1" ht="12" hidden="1" customHeight="1" outlineLevel="1" x14ac:dyDescent="0.2">
      <c r="A139" s="178"/>
      <c r="B139" s="546">
        <f>IF($K$6="not necessary",0,LARGE(acute_overview_children!$AA$14:$AA$391,ROW()-(ROW($B$65))))</f>
        <v>0</v>
      </c>
      <c r="C139" s="237" t="str">
        <f>IF(Results!B139&gt;0,INDEX(acute_overview_children!$A$12:$AH$391,MATCH(Results!B139,acute_overview_children!$AA$12:$AA$391,0),3),"")</f>
        <v/>
      </c>
      <c r="D139" s="238">
        <f>IF(B139=0,0,CONCATENATE(ROUND(VLOOKUP(C139,acute_overview_children!$C$12:$AH$391,3,FALSE),2)," / ",ROUND(VLOOKUP(C139,acute_overview_children!$C$12:$AH$391,4,FALSE),2)))</f>
        <v>0</v>
      </c>
      <c r="E139" s="238" t="str">
        <f>IF(B139&gt;0,VLOOKUP(C139,acute_overview_children!$C$12:$AH$391,24,FALSE)*1000,"")</f>
        <v/>
      </c>
      <c r="F139" s="546">
        <f>IF($K$6="not necessary",0,LARGE(acute_overview_adults!$AA$14:$AA$391,ROW()-(ROW($B$65))))</f>
        <v>0</v>
      </c>
      <c r="G139" s="237" t="str">
        <f>IF(F139&gt;0,INDEX(acute_overview_adults!$A$12:$AH$391,MATCH(F139,acute_overview_adults!$AA$12:$AA$391,0),3),"")</f>
        <v/>
      </c>
      <c r="H139" s="238">
        <f>IF(F139=0,0,CONCATENATE(ROUND(VLOOKUP(G139,acute_overview_adults!$C$12:$AH$391,3,FALSE),2)," / ",ROUND(VLOOKUP(G139,acute_overview_adults!$C$12:$AH$391,4,FALSE),2)))</f>
        <v>0</v>
      </c>
      <c r="I139" s="239" t="str">
        <f>IF(F139&gt;0,VLOOKUP(G139,acute_overview_adults!$C$12:$AH$391,24,FALSE)*1000,"")</f>
        <v/>
      </c>
      <c r="J139" s="766">
        <f>IF($K$6="not necessary",0,LARGE(acute_overview_children!$AD$14:$AD$391,ROW()-ROW($B$65)))</f>
        <v>0</v>
      </c>
      <c r="K139" s="745" t="str">
        <f>IF(J139&gt;0,INDEX(acute_overview_children!$A$12:$AH$391,MATCH(J139,acute_overview_children!$AD$12:$AD$391,0),3),"")</f>
        <v/>
      </c>
      <c r="L139" s="755">
        <f>IF(J139=0,0,CONCATENATE(ROUND(VLOOKUP(K139,acute_overview_children!$C$12:$AH$391,3,FALSE),2)," / ",ROUND(VLOOKUP(K139,acute_overview_children!$C$12:$AH$391,6,FALSE),2)))</f>
        <v>0</v>
      </c>
      <c r="M139" s="755" t="str">
        <f>IF(J139&gt;0,VLOOKUP(K139,acute_overview_children!$C$12:$AH$391,27,FALSE)*1000,"")</f>
        <v/>
      </c>
      <c r="N139" s="766">
        <f>IF($K$6="not necessary",0,LARGE(acute_overview_adults!$AD$14:$AD$391,ROW()-ROW($F$65)))</f>
        <v>0</v>
      </c>
      <c r="O139" s="745" t="str">
        <f>IF(Results!N139&gt;0,INDEX(acute_overview_adults!$A$12:$AH$391,MATCH(Results!N139,acute_overview_adults!$AD$12:$AD$391,0),3),"")</f>
        <v/>
      </c>
      <c r="P139" s="755">
        <f>IF(N139=0,0,CONCATENATE(ROUND(VLOOKUP(O139,acute_overview_adults!$C$12:$AH$391,3,FALSE),2)," / ",ROUND(VLOOKUP(O139,acute_overview_adults!$C$12:$AH$391,6,FALSE),2)))</f>
        <v>0</v>
      </c>
      <c r="Q139" s="755" t="str">
        <f>IF(N139&gt;0,VLOOKUP(O139,acute_overview_adults!$C$12:$AH$391,27,FALSE)*1000,"")</f>
        <v/>
      </c>
      <c r="S139" s="1161">
        <f t="shared" si="8"/>
        <v>0</v>
      </c>
      <c r="T139" s="1161">
        <f t="shared" si="9"/>
        <v>0</v>
      </c>
      <c r="U139" s="1161">
        <f t="shared" si="10"/>
        <v>0</v>
      </c>
      <c r="V139" s="1161">
        <f t="shared" si="11"/>
        <v>0</v>
      </c>
      <c r="W139" s="1163">
        <f t="shared" si="12"/>
        <v>0</v>
      </c>
      <c r="X139" s="1163">
        <f t="shared" si="13"/>
        <v>0</v>
      </c>
      <c r="Y139" s="1163">
        <f t="shared" si="14"/>
        <v>0</v>
      </c>
      <c r="Z139" s="1163">
        <f t="shared" si="15"/>
        <v>0</v>
      </c>
    </row>
    <row r="140" spans="1:26" s="43" customFormat="1" ht="12" hidden="1" customHeight="1" outlineLevel="1" x14ac:dyDescent="0.2">
      <c r="A140" s="178"/>
      <c r="B140" s="546">
        <f>IF($K$6="not necessary",0,LARGE(acute_overview_children!$AA$14:$AA$391,ROW()-(ROW($B$65))))</f>
        <v>0</v>
      </c>
      <c r="C140" s="237" t="str">
        <f>IF(Results!B140&gt;0,INDEX(acute_overview_children!$A$12:$AH$391,MATCH(Results!B140,acute_overview_children!$AA$12:$AA$391,0),3),"")</f>
        <v/>
      </c>
      <c r="D140" s="238">
        <f>IF(B140=0,0,CONCATENATE(ROUND(VLOOKUP(C140,acute_overview_children!$C$12:$AH$391,3,FALSE),2)," / ",ROUND(VLOOKUP(C140,acute_overview_children!$C$12:$AH$391,4,FALSE),2)))</f>
        <v>0</v>
      </c>
      <c r="E140" s="238" t="str">
        <f>IF(B140&gt;0,VLOOKUP(C140,acute_overview_children!$C$12:$AH$391,24,FALSE)*1000,"")</f>
        <v/>
      </c>
      <c r="F140" s="546">
        <f>IF($K$6="not necessary",0,LARGE(acute_overview_adults!$AA$14:$AA$391,ROW()-(ROW($B$65))))</f>
        <v>0</v>
      </c>
      <c r="G140" s="237" t="str">
        <f>IF(F140&gt;0,INDEX(acute_overview_adults!$A$12:$AH$391,MATCH(F140,acute_overview_adults!$AA$12:$AA$391,0),3),"")</f>
        <v/>
      </c>
      <c r="H140" s="238">
        <f>IF(F140=0,0,CONCATENATE(ROUND(VLOOKUP(G140,acute_overview_adults!$C$12:$AH$391,3,FALSE),2)," / ",ROUND(VLOOKUP(G140,acute_overview_adults!$C$12:$AH$391,4,FALSE),2)))</f>
        <v>0</v>
      </c>
      <c r="I140" s="239" t="str">
        <f>IF(F140&gt;0,VLOOKUP(G140,acute_overview_adults!$C$12:$AH$391,24,FALSE)*1000,"")</f>
        <v/>
      </c>
      <c r="J140" s="766">
        <f>IF($K$6="not necessary",0,LARGE(acute_overview_children!$AD$14:$AD$391,ROW()-ROW($B$65)))</f>
        <v>0</v>
      </c>
      <c r="K140" s="745" t="str">
        <f>IF(J140&gt;0,INDEX(acute_overview_children!$A$12:$AH$391,MATCH(J140,acute_overview_children!$AD$12:$AD$391,0),3),"")</f>
        <v/>
      </c>
      <c r="L140" s="755">
        <f>IF(J140=0,0,CONCATENATE(ROUND(VLOOKUP(K140,acute_overview_children!$C$12:$AH$391,3,FALSE),2)," / ",ROUND(VLOOKUP(K140,acute_overview_children!$C$12:$AH$391,6,FALSE),2)))</f>
        <v>0</v>
      </c>
      <c r="M140" s="755" t="str">
        <f>IF(J140&gt;0,VLOOKUP(K140,acute_overview_children!$C$12:$AH$391,27,FALSE)*1000,"")</f>
        <v/>
      </c>
      <c r="N140" s="766">
        <f>IF($K$6="not necessary",0,LARGE(acute_overview_adults!$AD$14:$AD$391,ROW()-ROW($F$65)))</f>
        <v>0</v>
      </c>
      <c r="O140" s="745" t="str">
        <f>IF(Results!N140&gt;0,INDEX(acute_overview_adults!$A$12:$AH$391,MATCH(Results!N140,acute_overview_adults!$AD$12:$AD$391,0),3),"")</f>
        <v/>
      </c>
      <c r="P140" s="755">
        <f>IF(N140=0,0,CONCATENATE(ROUND(VLOOKUP(O140,acute_overview_adults!$C$12:$AH$391,3,FALSE),2)," / ",ROUND(VLOOKUP(O140,acute_overview_adults!$C$12:$AH$391,6,FALSE),2)))</f>
        <v>0</v>
      </c>
      <c r="Q140" s="755" t="str">
        <f>IF(N140&gt;0,VLOOKUP(O140,acute_overview_adults!$C$12:$AH$391,27,FALSE)*1000,"")</f>
        <v/>
      </c>
      <c r="S140" s="1161">
        <f t="shared" si="8"/>
        <v>0</v>
      </c>
      <c r="T140" s="1161">
        <f t="shared" si="9"/>
        <v>0</v>
      </c>
      <c r="U140" s="1161">
        <f t="shared" si="10"/>
        <v>0</v>
      </c>
      <c r="V140" s="1161">
        <f t="shared" si="11"/>
        <v>0</v>
      </c>
      <c r="W140" s="1163">
        <f t="shared" si="12"/>
        <v>0</v>
      </c>
      <c r="X140" s="1163">
        <f t="shared" si="13"/>
        <v>0</v>
      </c>
      <c r="Y140" s="1163">
        <f t="shared" si="14"/>
        <v>0</v>
      </c>
      <c r="Z140" s="1163">
        <f t="shared" si="15"/>
        <v>0</v>
      </c>
    </row>
    <row r="141" spans="1:26" s="43" customFormat="1" ht="12" hidden="1" customHeight="1" outlineLevel="1" x14ac:dyDescent="0.2">
      <c r="A141" s="178"/>
      <c r="B141" s="546">
        <f>IF($K$6="not necessary",0,LARGE(acute_overview_children!$AA$14:$AA$391,ROW()-(ROW($B$65))))</f>
        <v>0</v>
      </c>
      <c r="C141" s="237" t="str">
        <f>IF(Results!B141&gt;0,INDEX(acute_overview_children!$A$12:$AH$391,MATCH(Results!B141,acute_overview_children!$AA$12:$AA$391,0),3),"")</f>
        <v/>
      </c>
      <c r="D141" s="238">
        <f>IF(B141=0,0,CONCATENATE(ROUND(VLOOKUP(C141,acute_overview_children!$C$12:$AH$391,3,FALSE),2)," / ",ROUND(VLOOKUP(C141,acute_overview_children!$C$12:$AH$391,4,FALSE),2)))</f>
        <v>0</v>
      </c>
      <c r="E141" s="238" t="str">
        <f>IF(B141&gt;0,VLOOKUP(C141,acute_overview_children!$C$12:$AH$391,24,FALSE)*1000,"")</f>
        <v/>
      </c>
      <c r="F141" s="546">
        <f>IF($K$6="not necessary",0,LARGE(acute_overview_adults!$AA$14:$AA$391,ROW()-(ROW($B$65))))</f>
        <v>0</v>
      </c>
      <c r="G141" s="237" t="str">
        <f>IF(F141&gt;0,INDEX(acute_overview_adults!$A$12:$AH$391,MATCH(F141,acute_overview_adults!$AA$12:$AA$391,0),3),"")</f>
        <v/>
      </c>
      <c r="H141" s="238">
        <f>IF(F141=0,0,CONCATENATE(ROUND(VLOOKUP(G141,acute_overview_adults!$C$12:$AH$391,3,FALSE),2)," / ",ROUND(VLOOKUP(G141,acute_overview_adults!$C$12:$AH$391,4,FALSE),2)))</f>
        <v>0</v>
      </c>
      <c r="I141" s="239" t="str">
        <f>IF(F141&gt;0,VLOOKUP(G141,acute_overview_adults!$C$12:$AH$391,24,FALSE)*1000,"")</f>
        <v/>
      </c>
      <c r="J141" s="766">
        <f>IF($K$6="not necessary",0,LARGE(acute_overview_children!$AD$14:$AD$391,ROW()-ROW($B$65)))</f>
        <v>0</v>
      </c>
      <c r="K141" s="745" t="str">
        <f>IF(J141&gt;0,INDEX(acute_overview_children!$A$12:$AH$391,MATCH(J141,acute_overview_children!$AD$12:$AD$391,0),3),"")</f>
        <v/>
      </c>
      <c r="L141" s="755">
        <f>IF(J141=0,0,CONCATENATE(ROUND(VLOOKUP(K141,acute_overview_children!$C$12:$AH$391,3,FALSE),2)," / ",ROUND(VLOOKUP(K141,acute_overview_children!$C$12:$AH$391,6,FALSE),2)))</f>
        <v>0</v>
      </c>
      <c r="M141" s="755" t="str">
        <f>IF(J141&gt;0,VLOOKUP(K141,acute_overview_children!$C$12:$AH$391,27,FALSE)*1000,"")</f>
        <v/>
      </c>
      <c r="N141" s="766">
        <f>IF($K$6="not necessary",0,LARGE(acute_overview_adults!$AD$14:$AD$391,ROW()-ROW($F$65)))</f>
        <v>0</v>
      </c>
      <c r="O141" s="745" t="str">
        <f>IF(Results!N141&gt;0,INDEX(acute_overview_adults!$A$12:$AH$391,MATCH(Results!N141,acute_overview_adults!$AD$12:$AD$391,0),3),"")</f>
        <v/>
      </c>
      <c r="P141" s="755">
        <f>IF(N141=0,0,CONCATENATE(ROUND(VLOOKUP(O141,acute_overview_adults!$C$12:$AH$391,3,FALSE),2)," / ",ROUND(VLOOKUP(O141,acute_overview_adults!$C$12:$AH$391,6,FALSE),2)))</f>
        <v>0</v>
      </c>
      <c r="Q141" s="755" t="str">
        <f>IF(N141&gt;0,VLOOKUP(O141,acute_overview_adults!$C$12:$AH$391,27,FALSE)*1000,"")</f>
        <v/>
      </c>
      <c r="S141" s="1161">
        <f t="shared" si="8"/>
        <v>0</v>
      </c>
      <c r="T141" s="1161">
        <f t="shared" si="9"/>
        <v>0</v>
      </c>
      <c r="U141" s="1161">
        <f t="shared" si="10"/>
        <v>0</v>
      </c>
      <c r="V141" s="1161">
        <f t="shared" si="11"/>
        <v>0</v>
      </c>
      <c r="W141" s="1163">
        <f t="shared" si="12"/>
        <v>0</v>
      </c>
      <c r="X141" s="1163">
        <f t="shared" si="13"/>
        <v>0</v>
      </c>
      <c r="Y141" s="1163">
        <f t="shared" si="14"/>
        <v>0</v>
      </c>
      <c r="Z141" s="1163">
        <f t="shared" si="15"/>
        <v>0</v>
      </c>
    </row>
    <row r="142" spans="1:26" s="43" customFormat="1" ht="12" hidden="1" customHeight="1" outlineLevel="1" x14ac:dyDescent="0.2">
      <c r="A142" s="178"/>
      <c r="B142" s="546">
        <f>IF($K$6="not necessary",0,LARGE(acute_overview_children!$AA$14:$AA$391,ROW()-(ROW($B$65))))</f>
        <v>0</v>
      </c>
      <c r="C142" s="237" t="str">
        <f>IF(Results!B142&gt;0,INDEX(acute_overview_children!$A$12:$AH$391,MATCH(Results!B142,acute_overview_children!$AA$12:$AA$391,0),3),"")</f>
        <v/>
      </c>
      <c r="D142" s="238">
        <f>IF(B142=0,0,CONCATENATE(ROUND(VLOOKUP(C142,acute_overview_children!$C$12:$AH$391,3,FALSE),2)," / ",ROUND(VLOOKUP(C142,acute_overview_children!$C$12:$AH$391,4,FALSE),2)))</f>
        <v>0</v>
      </c>
      <c r="E142" s="238" t="str">
        <f>IF(B142&gt;0,VLOOKUP(C142,acute_overview_children!$C$12:$AH$391,24,FALSE)*1000,"")</f>
        <v/>
      </c>
      <c r="F142" s="546">
        <f>IF($K$6="not necessary",0,LARGE(acute_overview_adults!$AA$14:$AA$391,ROW()-(ROW($B$65))))</f>
        <v>0</v>
      </c>
      <c r="G142" s="237" t="str">
        <f>IF(F142&gt;0,INDEX(acute_overview_adults!$A$12:$AH$391,MATCH(F142,acute_overview_adults!$AA$12:$AA$391,0),3),"")</f>
        <v/>
      </c>
      <c r="H142" s="238">
        <f>IF(F142=0,0,CONCATENATE(ROUND(VLOOKUP(G142,acute_overview_adults!$C$12:$AH$391,3,FALSE),2)," / ",ROUND(VLOOKUP(G142,acute_overview_adults!$C$12:$AH$391,4,FALSE),2)))</f>
        <v>0</v>
      </c>
      <c r="I142" s="239" t="str">
        <f>IF(F142&gt;0,VLOOKUP(G142,acute_overview_adults!$C$12:$AH$391,24,FALSE)*1000,"")</f>
        <v/>
      </c>
      <c r="J142" s="766">
        <f>IF($K$6="not necessary",0,LARGE(acute_overview_children!$AD$14:$AD$391,ROW()-ROW($B$65)))</f>
        <v>0</v>
      </c>
      <c r="K142" s="745" t="str">
        <f>IF(J142&gt;0,INDEX(acute_overview_children!$A$12:$AH$391,MATCH(J142,acute_overview_children!$AD$12:$AD$391,0),3),"")</f>
        <v/>
      </c>
      <c r="L142" s="755">
        <f>IF(J142=0,0,CONCATENATE(ROUND(VLOOKUP(K142,acute_overview_children!$C$12:$AH$391,3,FALSE),2)," / ",ROUND(VLOOKUP(K142,acute_overview_children!$C$12:$AH$391,6,FALSE),2)))</f>
        <v>0</v>
      </c>
      <c r="M142" s="755" t="str">
        <f>IF(J142&gt;0,VLOOKUP(K142,acute_overview_children!$C$12:$AH$391,27,FALSE)*1000,"")</f>
        <v/>
      </c>
      <c r="N142" s="766">
        <f>IF($K$6="not necessary",0,LARGE(acute_overview_adults!$AD$14:$AD$391,ROW()-ROW($F$65)))</f>
        <v>0</v>
      </c>
      <c r="O142" s="745" t="str">
        <f>IF(Results!N142&gt;0,INDEX(acute_overview_adults!$A$12:$AH$391,MATCH(Results!N142,acute_overview_adults!$AD$12:$AD$391,0),3),"")</f>
        <v/>
      </c>
      <c r="P142" s="755">
        <f>IF(N142=0,0,CONCATENATE(ROUND(VLOOKUP(O142,acute_overview_adults!$C$12:$AH$391,3,FALSE),2)," / ",ROUND(VLOOKUP(O142,acute_overview_adults!$C$12:$AH$391,6,FALSE),2)))</f>
        <v>0</v>
      </c>
      <c r="Q142" s="755" t="str">
        <f>IF(N142&gt;0,VLOOKUP(O142,acute_overview_adults!$C$12:$AH$391,27,FALSE)*1000,"")</f>
        <v/>
      </c>
      <c r="S142" s="1161">
        <f t="shared" si="8"/>
        <v>0</v>
      </c>
      <c r="T142" s="1161">
        <f t="shared" si="9"/>
        <v>0</v>
      </c>
      <c r="U142" s="1161">
        <f t="shared" si="10"/>
        <v>0</v>
      </c>
      <c r="V142" s="1161">
        <f t="shared" si="11"/>
        <v>0</v>
      </c>
      <c r="W142" s="1163">
        <f t="shared" si="12"/>
        <v>0</v>
      </c>
      <c r="X142" s="1163">
        <f t="shared" si="13"/>
        <v>0</v>
      </c>
      <c r="Y142" s="1163">
        <f t="shared" si="14"/>
        <v>0</v>
      </c>
      <c r="Z142" s="1163">
        <f t="shared" si="15"/>
        <v>0</v>
      </c>
    </row>
    <row r="143" spans="1:26" s="43" customFormat="1" ht="12" hidden="1" customHeight="1" outlineLevel="1" x14ac:dyDescent="0.2">
      <c r="A143" s="178"/>
      <c r="B143" s="546">
        <f>IF($K$6="not necessary",0,LARGE(acute_overview_children!$AA$14:$AA$391,ROW()-(ROW($B$65))))</f>
        <v>0</v>
      </c>
      <c r="C143" s="237" t="str">
        <f>IF(Results!B143&gt;0,INDEX(acute_overview_children!$A$12:$AH$391,MATCH(Results!B143,acute_overview_children!$AA$12:$AA$391,0),3),"")</f>
        <v/>
      </c>
      <c r="D143" s="238">
        <f>IF(B143=0,0,CONCATENATE(ROUND(VLOOKUP(C143,acute_overview_children!$C$12:$AH$391,3,FALSE),2)," / ",ROUND(VLOOKUP(C143,acute_overview_children!$C$12:$AH$391,4,FALSE),2)))</f>
        <v>0</v>
      </c>
      <c r="E143" s="238" t="str">
        <f>IF(B143&gt;0,VLOOKUP(C143,acute_overview_children!$C$12:$AH$391,24,FALSE)*1000,"")</f>
        <v/>
      </c>
      <c r="F143" s="546">
        <f>IF($K$6="not necessary",0,LARGE(acute_overview_adults!$AA$14:$AA$391,ROW()-(ROW($B$65))))</f>
        <v>0</v>
      </c>
      <c r="G143" s="237" t="str">
        <f>IF(F143&gt;0,INDEX(acute_overview_adults!$A$12:$AH$391,MATCH(F143,acute_overview_adults!$AA$12:$AA$391,0),3),"")</f>
        <v/>
      </c>
      <c r="H143" s="238">
        <f>IF(F143=0,0,CONCATENATE(ROUND(VLOOKUP(G143,acute_overview_adults!$C$12:$AH$391,3,FALSE),2)," / ",ROUND(VLOOKUP(G143,acute_overview_adults!$C$12:$AH$391,4,FALSE),2)))</f>
        <v>0</v>
      </c>
      <c r="I143" s="239" t="str">
        <f>IF(F143&gt;0,VLOOKUP(G143,acute_overview_adults!$C$12:$AH$391,24,FALSE)*1000,"")</f>
        <v/>
      </c>
      <c r="J143" s="766">
        <f>IF($K$6="not necessary",0,LARGE(acute_overview_children!$AD$14:$AD$391,ROW()-ROW($B$65)))</f>
        <v>0</v>
      </c>
      <c r="K143" s="745" t="str">
        <f>IF(J143&gt;0,INDEX(acute_overview_children!$A$12:$AH$391,MATCH(J143,acute_overview_children!$AD$12:$AD$391,0),3),"")</f>
        <v/>
      </c>
      <c r="L143" s="755">
        <f>IF(J143=0,0,CONCATENATE(ROUND(VLOOKUP(K143,acute_overview_children!$C$12:$AH$391,3,FALSE),2)," / ",ROUND(VLOOKUP(K143,acute_overview_children!$C$12:$AH$391,6,FALSE),2)))</f>
        <v>0</v>
      </c>
      <c r="M143" s="755" t="str">
        <f>IF(J143&gt;0,VLOOKUP(K143,acute_overview_children!$C$12:$AH$391,27,FALSE)*1000,"")</f>
        <v/>
      </c>
      <c r="N143" s="766">
        <f>IF($K$6="not necessary",0,LARGE(acute_overview_adults!$AD$14:$AD$391,ROW()-ROW($F$65)))</f>
        <v>0</v>
      </c>
      <c r="O143" s="745" t="str">
        <f>IF(Results!N143&gt;0,INDEX(acute_overview_adults!$A$12:$AH$391,MATCH(Results!N143,acute_overview_adults!$AD$12:$AD$391,0),3),"")</f>
        <v/>
      </c>
      <c r="P143" s="755">
        <f>IF(N143=0,0,CONCATENATE(ROUND(VLOOKUP(O143,acute_overview_adults!$C$12:$AH$391,3,FALSE),2)," / ",ROUND(VLOOKUP(O143,acute_overview_adults!$C$12:$AH$391,6,FALSE),2)))</f>
        <v>0</v>
      </c>
      <c r="Q143" s="755" t="str">
        <f>IF(N143&gt;0,VLOOKUP(O143,acute_overview_adults!$C$12:$AH$391,27,FALSE)*1000,"")</f>
        <v/>
      </c>
      <c r="S143" s="1161">
        <f t="shared" si="8"/>
        <v>0</v>
      </c>
      <c r="T143" s="1161">
        <f t="shared" si="9"/>
        <v>0</v>
      </c>
      <c r="U143" s="1161">
        <f t="shared" si="10"/>
        <v>0</v>
      </c>
      <c r="V143" s="1161">
        <f t="shared" si="11"/>
        <v>0</v>
      </c>
      <c r="W143" s="1163">
        <f t="shared" si="12"/>
        <v>0</v>
      </c>
      <c r="X143" s="1163">
        <f t="shared" si="13"/>
        <v>0</v>
      </c>
      <c r="Y143" s="1163">
        <f t="shared" si="14"/>
        <v>0</v>
      </c>
      <c r="Z143" s="1163">
        <f t="shared" si="15"/>
        <v>0</v>
      </c>
    </row>
    <row r="144" spans="1:26" s="43" customFormat="1" ht="12" hidden="1" customHeight="1" outlineLevel="1" x14ac:dyDescent="0.2">
      <c r="A144" s="178"/>
      <c r="B144" s="546">
        <f>IF($K$6="not necessary",0,LARGE(acute_overview_children!$AA$14:$AA$391,ROW()-(ROW($B$65))))</f>
        <v>0</v>
      </c>
      <c r="C144" s="237" t="str">
        <f>IF(Results!B144&gt;0,INDEX(acute_overview_children!$A$12:$AH$391,MATCH(Results!B144,acute_overview_children!$AA$12:$AA$391,0),3),"")</f>
        <v/>
      </c>
      <c r="D144" s="238">
        <f>IF(B144=0,0,CONCATENATE(ROUND(VLOOKUP(C144,acute_overview_children!$C$12:$AH$391,3,FALSE),2)," / ",ROUND(VLOOKUP(C144,acute_overview_children!$C$12:$AH$391,4,FALSE),2)))</f>
        <v>0</v>
      </c>
      <c r="E144" s="238" t="str">
        <f>IF(B144&gt;0,VLOOKUP(C144,acute_overview_children!$C$12:$AH$391,24,FALSE)*1000,"")</f>
        <v/>
      </c>
      <c r="F144" s="546">
        <f>IF($K$6="not necessary",0,LARGE(acute_overview_adults!$AA$14:$AA$391,ROW()-(ROW($B$65))))</f>
        <v>0</v>
      </c>
      <c r="G144" s="237" t="str">
        <f>IF(F144&gt;0,INDEX(acute_overview_adults!$A$12:$AH$391,MATCH(F144,acute_overview_adults!$AA$12:$AA$391,0),3),"")</f>
        <v/>
      </c>
      <c r="H144" s="238">
        <f>IF(F144=0,0,CONCATENATE(ROUND(VLOOKUP(G144,acute_overview_adults!$C$12:$AH$391,3,FALSE),2)," / ",ROUND(VLOOKUP(G144,acute_overview_adults!$C$12:$AH$391,4,FALSE),2)))</f>
        <v>0</v>
      </c>
      <c r="I144" s="239" t="str">
        <f>IF(F144&gt;0,VLOOKUP(G144,acute_overview_adults!$C$12:$AH$391,24,FALSE)*1000,"")</f>
        <v/>
      </c>
      <c r="J144" s="766">
        <f>IF($K$6="not necessary",0,LARGE(acute_overview_children!$AD$14:$AD$391,ROW()-ROW($B$65)))</f>
        <v>0</v>
      </c>
      <c r="K144" s="745" t="str">
        <f>IF(J144&gt;0,INDEX(acute_overview_children!$A$12:$AH$391,MATCH(J144,acute_overview_children!$AD$12:$AD$391,0),3),"")</f>
        <v/>
      </c>
      <c r="L144" s="755">
        <f>IF(J144=0,0,CONCATENATE(ROUND(VLOOKUP(K144,acute_overview_children!$C$12:$AH$391,3,FALSE),2)," / ",ROUND(VLOOKUP(K144,acute_overview_children!$C$12:$AH$391,6,FALSE),2)))</f>
        <v>0</v>
      </c>
      <c r="M144" s="755" t="str">
        <f>IF(J144&gt;0,VLOOKUP(K144,acute_overview_children!$C$12:$AH$391,27,FALSE)*1000,"")</f>
        <v/>
      </c>
      <c r="N144" s="766">
        <f>IF($K$6="not necessary",0,LARGE(acute_overview_adults!$AD$14:$AD$391,ROW()-ROW($F$65)))</f>
        <v>0</v>
      </c>
      <c r="O144" s="745" t="str">
        <f>IF(Results!N144&gt;0,INDEX(acute_overview_adults!$A$12:$AH$391,MATCH(Results!N144,acute_overview_adults!$AD$12:$AD$391,0),3),"")</f>
        <v/>
      </c>
      <c r="P144" s="755">
        <f>IF(N144=0,0,CONCATENATE(ROUND(VLOOKUP(O144,acute_overview_adults!$C$12:$AH$391,3,FALSE),2)," / ",ROUND(VLOOKUP(O144,acute_overview_adults!$C$12:$AH$391,6,FALSE),2)))</f>
        <v>0</v>
      </c>
      <c r="Q144" s="755" t="str">
        <f>IF(N144&gt;0,VLOOKUP(O144,acute_overview_adults!$C$12:$AH$391,27,FALSE)*1000,"")</f>
        <v/>
      </c>
      <c r="S144" s="1161">
        <f t="shared" si="8"/>
        <v>0</v>
      </c>
      <c r="T144" s="1161">
        <f t="shared" si="9"/>
        <v>0</v>
      </c>
      <c r="U144" s="1161">
        <f t="shared" si="10"/>
        <v>0</v>
      </c>
      <c r="V144" s="1161">
        <f t="shared" si="11"/>
        <v>0</v>
      </c>
      <c r="W144" s="1163">
        <f t="shared" si="12"/>
        <v>0</v>
      </c>
      <c r="X144" s="1163">
        <f t="shared" si="13"/>
        <v>0</v>
      </c>
      <c r="Y144" s="1163">
        <f t="shared" si="14"/>
        <v>0</v>
      </c>
      <c r="Z144" s="1163">
        <f t="shared" si="15"/>
        <v>0</v>
      </c>
    </row>
    <row r="145" spans="1:26" s="43" customFormat="1" ht="12" hidden="1" customHeight="1" outlineLevel="1" x14ac:dyDescent="0.2">
      <c r="A145" s="178"/>
      <c r="B145" s="546">
        <f>IF($K$6="not necessary",0,LARGE(acute_overview_children!$AA$14:$AA$391,ROW()-(ROW($B$65))))</f>
        <v>0</v>
      </c>
      <c r="C145" s="237" t="str">
        <f>IF(Results!B145&gt;0,INDEX(acute_overview_children!$A$12:$AH$391,MATCH(Results!B145,acute_overview_children!$AA$12:$AA$391,0),3),"")</f>
        <v/>
      </c>
      <c r="D145" s="238">
        <f>IF(B145=0,0,CONCATENATE(ROUND(VLOOKUP(C145,acute_overview_children!$C$12:$AH$391,3,FALSE),2)," / ",ROUND(VLOOKUP(C145,acute_overview_children!$C$12:$AH$391,4,FALSE),2)))</f>
        <v>0</v>
      </c>
      <c r="E145" s="238" t="str">
        <f>IF(B145&gt;0,VLOOKUP(C145,acute_overview_children!$C$12:$AH$391,24,FALSE)*1000,"")</f>
        <v/>
      </c>
      <c r="F145" s="546">
        <f>IF($K$6="not necessary",0,LARGE(acute_overview_adults!$AA$14:$AA$391,ROW()-(ROW($B$65))))</f>
        <v>0</v>
      </c>
      <c r="G145" s="237" t="str">
        <f>IF(F145&gt;0,INDEX(acute_overview_adults!$A$12:$AH$391,MATCH(F145,acute_overview_adults!$AA$12:$AA$391,0),3),"")</f>
        <v/>
      </c>
      <c r="H145" s="238">
        <f>IF(F145=0,0,CONCATENATE(ROUND(VLOOKUP(G145,acute_overview_adults!$C$12:$AH$391,3,FALSE),2)," / ",ROUND(VLOOKUP(G145,acute_overview_adults!$C$12:$AH$391,4,FALSE),2)))</f>
        <v>0</v>
      </c>
      <c r="I145" s="239" t="str">
        <f>IF(F145&gt;0,VLOOKUP(G145,acute_overview_adults!$C$12:$AH$391,24,FALSE)*1000,"")</f>
        <v/>
      </c>
      <c r="J145" s="766">
        <f>IF($K$6="not necessary",0,LARGE(acute_overview_children!$AD$14:$AD$391,ROW()-ROW($B$65)))</f>
        <v>0</v>
      </c>
      <c r="K145" s="745" t="str">
        <f>IF(J145&gt;0,INDEX(acute_overview_children!$A$12:$AH$391,MATCH(J145,acute_overview_children!$AD$12:$AD$391,0),3),"")</f>
        <v/>
      </c>
      <c r="L145" s="755">
        <f>IF(J145=0,0,CONCATENATE(ROUND(VLOOKUP(K145,acute_overview_children!$C$12:$AH$391,3,FALSE),2)," / ",ROUND(VLOOKUP(K145,acute_overview_children!$C$12:$AH$391,6,FALSE),2)))</f>
        <v>0</v>
      </c>
      <c r="M145" s="755" t="str">
        <f>IF(J145&gt;0,VLOOKUP(K145,acute_overview_children!$C$12:$AH$391,27,FALSE)*1000,"")</f>
        <v/>
      </c>
      <c r="N145" s="766">
        <f>IF($K$6="not necessary",0,LARGE(acute_overview_adults!$AD$14:$AD$391,ROW()-ROW($F$65)))</f>
        <v>0</v>
      </c>
      <c r="O145" s="745" t="str">
        <f>IF(Results!N145&gt;0,INDEX(acute_overview_adults!$A$12:$AH$391,MATCH(Results!N145,acute_overview_adults!$AD$12:$AD$391,0),3),"")</f>
        <v/>
      </c>
      <c r="P145" s="755">
        <f>IF(N145=0,0,CONCATENATE(ROUND(VLOOKUP(O145,acute_overview_adults!$C$12:$AH$391,3,FALSE),2)," / ",ROUND(VLOOKUP(O145,acute_overview_adults!$C$12:$AH$391,6,FALSE),2)))</f>
        <v>0</v>
      </c>
      <c r="Q145" s="755" t="str">
        <f>IF(N145&gt;0,VLOOKUP(O145,acute_overview_adults!$C$12:$AH$391,27,FALSE)*1000,"")</f>
        <v/>
      </c>
      <c r="S145" s="1161">
        <f t="shared" si="8"/>
        <v>0</v>
      </c>
      <c r="T145" s="1161">
        <f t="shared" si="9"/>
        <v>0</v>
      </c>
      <c r="U145" s="1161">
        <f t="shared" si="10"/>
        <v>0</v>
      </c>
      <c r="V145" s="1161">
        <f t="shared" si="11"/>
        <v>0</v>
      </c>
      <c r="W145" s="1163">
        <f t="shared" si="12"/>
        <v>0</v>
      </c>
      <c r="X145" s="1163">
        <f t="shared" si="13"/>
        <v>0</v>
      </c>
      <c r="Y145" s="1163">
        <f t="shared" si="14"/>
        <v>0</v>
      </c>
      <c r="Z145" s="1163">
        <f t="shared" si="15"/>
        <v>0</v>
      </c>
    </row>
    <row r="146" spans="1:26" s="43" customFormat="1" ht="12" hidden="1" customHeight="1" outlineLevel="1" x14ac:dyDescent="0.2">
      <c r="A146" s="178"/>
      <c r="B146" s="546">
        <f>IF($K$6="not necessary",0,LARGE(acute_overview_children!$AA$14:$AA$391,ROW()-(ROW($B$65))))</f>
        <v>0</v>
      </c>
      <c r="C146" s="237" t="str">
        <f>IF(Results!B146&gt;0,INDEX(acute_overview_children!$A$12:$AH$391,MATCH(Results!B146,acute_overview_children!$AA$12:$AA$391,0),3),"")</f>
        <v/>
      </c>
      <c r="D146" s="238">
        <f>IF(B146=0,0,CONCATENATE(ROUND(VLOOKUP(C146,acute_overview_children!$C$12:$AH$391,3,FALSE),2)," / ",ROUND(VLOOKUP(C146,acute_overview_children!$C$12:$AH$391,4,FALSE),2)))</f>
        <v>0</v>
      </c>
      <c r="E146" s="238" t="str">
        <f>IF(B146&gt;0,VLOOKUP(C146,acute_overview_children!$C$12:$AH$391,24,FALSE)*1000,"")</f>
        <v/>
      </c>
      <c r="F146" s="546">
        <f>IF($K$6="not necessary",0,LARGE(acute_overview_adults!$AA$14:$AA$391,ROW()-(ROW($B$65))))</f>
        <v>0</v>
      </c>
      <c r="G146" s="237" t="str">
        <f>IF(F146&gt;0,INDEX(acute_overview_adults!$A$12:$AH$391,MATCH(F146,acute_overview_adults!$AA$12:$AA$391,0),3),"")</f>
        <v/>
      </c>
      <c r="H146" s="238">
        <f>IF(F146=0,0,CONCATENATE(ROUND(VLOOKUP(G146,acute_overview_adults!$C$12:$AH$391,3,FALSE),2)," / ",ROUND(VLOOKUP(G146,acute_overview_adults!$C$12:$AH$391,4,FALSE),2)))</f>
        <v>0</v>
      </c>
      <c r="I146" s="239" t="str">
        <f>IF(F146&gt;0,VLOOKUP(G146,acute_overview_adults!$C$12:$AH$391,24,FALSE)*1000,"")</f>
        <v/>
      </c>
      <c r="J146" s="766">
        <f>IF($K$6="not necessary",0,LARGE(acute_overview_children!$AD$14:$AD$391,ROW()-ROW($B$65)))</f>
        <v>0</v>
      </c>
      <c r="K146" s="745" t="str">
        <f>IF(J146&gt;0,INDEX(acute_overview_children!$A$12:$AH$391,MATCH(J146,acute_overview_children!$AD$12:$AD$391,0),3),"")</f>
        <v/>
      </c>
      <c r="L146" s="755">
        <f>IF(J146=0,0,CONCATENATE(ROUND(VLOOKUP(K146,acute_overview_children!$C$12:$AH$391,3,FALSE),2)," / ",ROUND(VLOOKUP(K146,acute_overview_children!$C$12:$AH$391,6,FALSE),2)))</f>
        <v>0</v>
      </c>
      <c r="M146" s="755" t="str">
        <f>IF(J146&gt;0,VLOOKUP(K146,acute_overview_children!$C$12:$AH$391,27,FALSE)*1000,"")</f>
        <v/>
      </c>
      <c r="N146" s="766">
        <f>IF($K$6="not necessary",0,LARGE(acute_overview_adults!$AD$14:$AD$391,ROW()-ROW($F$65)))</f>
        <v>0</v>
      </c>
      <c r="O146" s="745" t="str">
        <f>IF(Results!N146&gt;0,INDEX(acute_overview_adults!$A$12:$AH$391,MATCH(Results!N146,acute_overview_adults!$AD$12:$AD$391,0),3),"")</f>
        <v/>
      </c>
      <c r="P146" s="755">
        <f>IF(N146=0,0,CONCATENATE(ROUND(VLOOKUP(O146,acute_overview_adults!$C$12:$AH$391,3,FALSE),2)," / ",ROUND(VLOOKUP(O146,acute_overview_adults!$C$12:$AH$391,6,FALSE),2)))</f>
        <v>0</v>
      </c>
      <c r="Q146" s="755" t="str">
        <f>IF(N146&gt;0,VLOOKUP(O146,acute_overview_adults!$C$12:$AH$391,27,FALSE)*1000,"")</f>
        <v/>
      </c>
      <c r="S146" s="1161">
        <f t="shared" si="8"/>
        <v>0</v>
      </c>
      <c r="T146" s="1161">
        <f t="shared" si="9"/>
        <v>0</v>
      </c>
      <c r="U146" s="1161">
        <f t="shared" si="10"/>
        <v>0</v>
      </c>
      <c r="V146" s="1161">
        <f t="shared" si="11"/>
        <v>0</v>
      </c>
      <c r="W146" s="1163">
        <f t="shared" si="12"/>
        <v>0</v>
      </c>
      <c r="X146" s="1163">
        <f t="shared" si="13"/>
        <v>0</v>
      </c>
      <c r="Y146" s="1163">
        <f t="shared" si="14"/>
        <v>0</v>
      </c>
      <c r="Z146" s="1163">
        <f t="shared" si="15"/>
        <v>0</v>
      </c>
    </row>
    <row r="147" spans="1:26" s="43" customFormat="1" ht="12" hidden="1" customHeight="1" outlineLevel="1" x14ac:dyDescent="0.2">
      <c r="A147" s="178"/>
      <c r="B147" s="546">
        <f>IF($K$6="not necessary",0,LARGE(acute_overview_children!$AA$14:$AA$391,ROW()-(ROW($B$65))))</f>
        <v>0</v>
      </c>
      <c r="C147" s="237" t="str">
        <f>IF(Results!B147&gt;0,INDEX(acute_overview_children!$A$12:$AH$391,MATCH(Results!B147,acute_overview_children!$AA$12:$AA$391,0),3),"")</f>
        <v/>
      </c>
      <c r="D147" s="238">
        <f>IF(B147=0,0,CONCATENATE(ROUND(VLOOKUP(C147,acute_overview_children!$C$12:$AH$391,3,FALSE),2)," / ",ROUND(VLOOKUP(C147,acute_overview_children!$C$12:$AH$391,4,FALSE),2)))</f>
        <v>0</v>
      </c>
      <c r="E147" s="238" t="str">
        <f>IF(B147&gt;0,VLOOKUP(C147,acute_overview_children!$C$12:$AH$391,24,FALSE)*1000,"")</f>
        <v/>
      </c>
      <c r="F147" s="546">
        <f>IF($K$6="not necessary",0,LARGE(acute_overview_adults!$AA$14:$AA$391,ROW()-(ROW($B$65))))</f>
        <v>0</v>
      </c>
      <c r="G147" s="237" t="str">
        <f>IF(F147&gt;0,INDEX(acute_overview_adults!$A$12:$AH$391,MATCH(F147,acute_overview_adults!$AA$12:$AA$391,0),3),"")</f>
        <v/>
      </c>
      <c r="H147" s="238">
        <f>IF(F147=0,0,CONCATENATE(ROUND(VLOOKUP(G147,acute_overview_adults!$C$12:$AH$391,3,FALSE),2)," / ",ROUND(VLOOKUP(G147,acute_overview_adults!$C$12:$AH$391,4,FALSE),2)))</f>
        <v>0</v>
      </c>
      <c r="I147" s="239" t="str">
        <f>IF(F147&gt;0,VLOOKUP(G147,acute_overview_adults!$C$12:$AH$391,24,FALSE)*1000,"")</f>
        <v/>
      </c>
      <c r="J147" s="766">
        <f>IF($K$6="not necessary",0,LARGE(acute_overview_children!$AD$14:$AD$391,ROW()-ROW($B$65)))</f>
        <v>0</v>
      </c>
      <c r="K147" s="745" t="str">
        <f>IF(J147&gt;0,INDEX(acute_overview_children!$A$12:$AH$391,MATCH(J147,acute_overview_children!$AD$12:$AD$391,0),3),"")</f>
        <v/>
      </c>
      <c r="L147" s="755">
        <f>IF(J147=0,0,CONCATENATE(ROUND(VLOOKUP(K147,acute_overview_children!$C$12:$AH$391,3,FALSE),2)," / ",ROUND(VLOOKUP(K147,acute_overview_children!$C$12:$AH$391,6,FALSE),2)))</f>
        <v>0</v>
      </c>
      <c r="M147" s="755" t="str">
        <f>IF(J147&gt;0,VLOOKUP(K147,acute_overview_children!$C$12:$AH$391,27,FALSE)*1000,"")</f>
        <v/>
      </c>
      <c r="N147" s="766">
        <f>IF($K$6="not necessary",0,LARGE(acute_overview_adults!$AD$14:$AD$391,ROW()-ROW($F$65)))</f>
        <v>0</v>
      </c>
      <c r="O147" s="745" t="str">
        <f>IF(Results!N147&gt;0,INDEX(acute_overview_adults!$A$12:$AH$391,MATCH(Results!N147,acute_overview_adults!$AD$12:$AD$391,0),3),"")</f>
        <v/>
      </c>
      <c r="P147" s="755">
        <f>IF(N147=0,0,CONCATENATE(ROUND(VLOOKUP(O147,acute_overview_adults!$C$12:$AH$391,3,FALSE),2)," / ",ROUND(VLOOKUP(O147,acute_overview_adults!$C$12:$AH$391,6,FALSE),2)))</f>
        <v>0</v>
      </c>
      <c r="Q147" s="755" t="str">
        <f>IF(N147&gt;0,VLOOKUP(O147,acute_overview_adults!$C$12:$AH$391,27,FALSE)*1000,"")</f>
        <v/>
      </c>
      <c r="S147" s="1161">
        <f t="shared" si="8"/>
        <v>0</v>
      </c>
      <c r="T147" s="1161">
        <f t="shared" si="9"/>
        <v>0</v>
      </c>
      <c r="U147" s="1161">
        <f t="shared" si="10"/>
        <v>0</v>
      </c>
      <c r="V147" s="1161">
        <f t="shared" si="11"/>
        <v>0</v>
      </c>
      <c r="W147" s="1163">
        <f t="shared" si="12"/>
        <v>0</v>
      </c>
      <c r="X147" s="1163">
        <f t="shared" si="13"/>
        <v>0</v>
      </c>
      <c r="Y147" s="1163">
        <f t="shared" si="14"/>
        <v>0</v>
      </c>
      <c r="Z147" s="1163">
        <f t="shared" si="15"/>
        <v>0</v>
      </c>
    </row>
    <row r="148" spans="1:26" s="43" customFormat="1" ht="12" hidden="1" customHeight="1" outlineLevel="1" x14ac:dyDescent="0.2">
      <c r="A148" s="178"/>
      <c r="B148" s="546">
        <f>IF($K$6="not necessary",0,LARGE(acute_overview_children!$AA$14:$AA$391,ROW()-(ROW($B$65))))</f>
        <v>0</v>
      </c>
      <c r="C148" s="237" t="str">
        <f>IF(Results!B148&gt;0,INDEX(acute_overview_children!$A$12:$AH$391,MATCH(Results!B148,acute_overview_children!$AA$12:$AA$391,0),3),"")</f>
        <v/>
      </c>
      <c r="D148" s="238">
        <f>IF(B148=0,0,CONCATENATE(ROUND(VLOOKUP(C148,acute_overview_children!$C$12:$AH$391,3,FALSE),2)," / ",ROUND(VLOOKUP(C148,acute_overview_children!$C$12:$AH$391,4,FALSE),2)))</f>
        <v>0</v>
      </c>
      <c r="E148" s="238" t="str">
        <f>IF(B148&gt;0,VLOOKUP(C148,acute_overview_children!$C$12:$AH$391,24,FALSE)*1000,"")</f>
        <v/>
      </c>
      <c r="F148" s="546">
        <f>IF($K$6="not necessary",0,LARGE(acute_overview_adults!$AA$14:$AA$391,ROW()-(ROW($B$65))))</f>
        <v>0</v>
      </c>
      <c r="G148" s="237" t="str">
        <f>IF(F148&gt;0,INDEX(acute_overview_adults!$A$12:$AH$391,MATCH(F148,acute_overview_adults!$AA$12:$AA$391,0),3),"")</f>
        <v/>
      </c>
      <c r="H148" s="238">
        <f>IF(F148=0,0,CONCATENATE(ROUND(VLOOKUP(G148,acute_overview_adults!$C$12:$AH$391,3,FALSE),2)," / ",ROUND(VLOOKUP(G148,acute_overview_adults!$C$12:$AH$391,4,FALSE),2)))</f>
        <v>0</v>
      </c>
      <c r="I148" s="239" t="str">
        <f>IF(F148&gt;0,VLOOKUP(G148,acute_overview_adults!$C$12:$AH$391,24,FALSE)*1000,"")</f>
        <v/>
      </c>
      <c r="J148" s="766">
        <f>IF($K$6="not necessary",0,LARGE(acute_overview_children!$AD$14:$AD$391,ROW()-ROW($B$65)))</f>
        <v>0</v>
      </c>
      <c r="K148" s="745" t="str">
        <f>IF(J148&gt;0,INDEX(acute_overview_children!$A$12:$AH$391,MATCH(J148,acute_overview_children!$AD$12:$AD$391,0),3),"")</f>
        <v/>
      </c>
      <c r="L148" s="755">
        <f>IF(J148=0,0,CONCATENATE(ROUND(VLOOKUP(K148,acute_overview_children!$C$12:$AH$391,3,FALSE),2)," / ",ROUND(VLOOKUP(K148,acute_overview_children!$C$12:$AH$391,6,FALSE),2)))</f>
        <v>0</v>
      </c>
      <c r="M148" s="755" t="str">
        <f>IF(J148&gt;0,VLOOKUP(K148,acute_overview_children!$C$12:$AH$391,27,FALSE)*1000,"")</f>
        <v/>
      </c>
      <c r="N148" s="766">
        <f>IF($K$6="not necessary",0,LARGE(acute_overview_adults!$AD$14:$AD$391,ROW()-ROW($F$65)))</f>
        <v>0</v>
      </c>
      <c r="O148" s="745" t="str">
        <f>IF(Results!N148&gt;0,INDEX(acute_overview_adults!$A$12:$AH$391,MATCH(Results!N148,acute_overview_adults!$AD$12:$AD$391,0),3),"")</f>
        <v/>
      </c>
      <c r="P148" s="755">
        <f>IF(N148=0,0,CONCATENATE(ROUND(VLOOKUP(O148,acute_overview_adults!$C$12:$AH$391,3,FALSE),2)," / ",ROUND(VLOOKUP(O148,acute_overview_adults!$C$12:$AH$391,6,FALSE),2)))</f>
        <v>0</v>
      </c>
      <c r="Q148" s="755" t="str">
        <f>IF(N148&gt;0,VLOOKUP(O148,acute_overview_adults!$C$12:$AH$391,27,FALSE)*1000,"")</f>
        <v/>
      </c>
      <c r="S148" s="1161">
        <f t="shared" si="8"/>
        <v>0</v>
      </c>
      <c r="T148" s="1161">
        <f t="shared" si="9"/>
        <v>0</v>
      </c>
      <c r="U148" s="1161">
        <f t="shared" si="10"/>
        <v>0</v>
      </c>
      <c r="V148" s="1161">
        <f t="shared" si="11"/>
        <v>0</v>
      </c>
      <c r="W148" s="1163">
        <f t="shared" si="12"/>
        <v>0</v>
      </c>
      <c r="X148" s="1163">
        <f t="shared" si="13"/>
        <v>0</v>
      </c>
      <c r="Y148" s="1163">
        <f t="shared" si="14"/>
        <v>0</v>
      </c>
      <c r="Z148" s="1163">
        <f t="shared" si="15"/>
        <v>0</v>
      </c>
    </row>
    <row r="149" spans="1:26" s="43" customFormat="1" ht="12" hidden="1" customHeight="1" outlineLevel="1" x14ac:dyDescent="0.2">
      <c r="A149" s="178"/>
      <c r="B149" s="546">
        <f>IF($K$6="not necessary",0,LARGE(acute_overview_children!$AA$14:$AA$391,ROW()-(ROW($B$65))))</f>
        <v>0</v>
      </c>
      <c r="C149" s="237" t="str">
        <f>IF(Results!B149&gt;0,INDEX(acute_overview_children!$A$12:$AH$391,MATCH(Results!B149,acute_overview_children!$AA$12:$AA$391,0),3),"")</f>
        <v/>
      </c>
      <c r="D149" s="238">
        <f>IF(B149=0,0,CONCATENATE(ROUND(VLOOKUP(C149,acute_overview_children!$C$12:$AH$391,3,FALSE),2)," / ",ROUND(VLOOKUP(C149,acute_overview_children!$C$12:$AH$391,4,FALSE),2)))</f>
        <v>0</v>
      </c>
      <c r="E149" s="238" t="str">
        <f>IF(B149&gt;0,VLOOKUP(C149,acute_overview_children!$C$12:$AH$391,24,FALSE)*1000,"")</f>
        <v/>
      </c>
      <c r="F149" s="546">
        <f>IF($K$6="not necessary",0,LARGE(acute_overview_adults!$AA$14:$AA$391,ROW()-(ROW($B$65))))</f>
        <v>0</v>
      </c>
      <c r="G149" s="237" t="str">
        <f>IF(F149&gt;0,INDEX(acute_overview_adults!$A$12:$AH$391,MATCH(F149,acute_overview_adults!$AA$12:$AA$391,0),3),"")</f>
        <v/>
      </c>
      <c r="H149" s="238">
        <f>IF(F149=0,0,CONCATENATE(ROUND(VLOOKUP(G149,acute_overview_adults!$C$12:$AH$391,3,FALSE),2)," / ",ROUND(VLOOKUP(G149,acute_overview_adults!$C$12:$AH$391,4,FALSE),2)))</f>
        <v>0</v>
      </c>
      <c r="I149" s="239" t="str">
        <f>IF(F149&gt;0,VLOOKUP(G149,acute_overview_adults!$C$12:$AH$391,24,FALSE)*1000,"")</f>
        <v/>
      </c>
      <c r="J149" s="766">
        <f>IF($K$6="not necessary",0,LARGE(acute_overview_children!$AD$14:$AD$391,ROW()-ROW($B$65)))</f>
        <v>0</v>
      </c>
      <c r="K149" s="745" t="str">
        <f>IF(J149&gt;0,INDEX(acute_overview_children!$A$12:$AH$391,MATCH(J149,acute_overview_children!$AD$12:$AD$391,0),3),"")</f>
        <v/>
      </c>
      <c r="L149" s="755">
        <f>IF(J149=0,0,CONCATENATE(ROUND(VLOOKUP(K149,acute_overview_children!$C$12:$AH$391,3,FALSE),2)," / ",ROUND(VLOOKUP(K149,acute_overview_children!$C$12:$AH$391,6,FALSE),2)))</f>
        <v>0</v>
      </c>
      <c r="M149" s="755" t="str">
        <f>IF(J149&gt;0,VLOOKUP(K149,acute_overview_children!$C$12:$AH$391,27,FALSE)*1000,"")</f>
        <v/>
      </c>
      <c r="N149" s="766">
        <f>IF($K$6="not necessary",0,LARGE(acute_overview_adults!$AD$14:$AD$391,ROW()-ROW($F$65)))</f>
        <v>0</v>
      </c>
      <c r="O149" s="745" t="str">
        <f>IF(Results!N149&gt;0,INDEX(acute_overview_adults!$A$12:$AH$391,MATCH(Results!N149,acute_overview_adults!$AD$12:$AD$391,0),3),"")</f>
        <v/>
      </c>
      <c r="P149" s="755">
        <f>IF(N149=0,0,CONCATENATE(ROUND(VLOOKUP(O149,acute_overview_adults!$C$12:$AH$391,3,FALSE),2)," / ",ROUND(VLOOKUP(O149,acute_overview_adults!$C$12:$AH$391,6,FALSE),2)))</f>
        <v>0</v>
      </c>
      <c r="Q149" s="755" t="str">
        <f>IF(N149&gt;0,VLOOKUP(O149,acute_overview_adults!$C$12:$AH$391,27,FALSE)*1000,"")</f>
        <v/>
      </c>
      <c r="S149" s="1161">
        <f t="shared" si="8"/>
        <v>0</v>
      </c>
      <c r="T149" s="1161">
        <f t="shared" si="9"/>
        <v>0</v>
      </c>
      <c r="U149" s="1161">
        <f t="shared" si="10"/>
        <v>0</v>
      </c>
      <c r="V149" s="1161">
        <f t="shared" si="11"/>
        <v>0</v>
      </c>
      <c r="W149" s="1163">
        <f t="shared" si="12"/>
        <v>0</v>
      </c>
      <c r="X149" s="1163">
        <f t="shared" si="13"/>
        <v>0</v>
      </c>
      <c r="Y149" s="1163">
        <f t="shared" si="14"/>
        <v>0</v>
      </c>
      <c r="Z149" s="1163">
        <f t="shared" si="15"/>
        <v>0</v>
      </c>
    </row>
    <row r="150" spans="1:26" s="43" customFormat="1" ht="12" hidden="1" customHeight="1" outlineLevel="1" x14ac:dyDescent="0.2">
      <c r="A150" s="178"/>
      <c r="B150" s="546">
        <f>IF($K$6="not necessary",0,LARGE(acute_overview_children!$AA$14:$AA$391,ROW()-(ROW($B$65))))</f>
        <v>0</v>
      </c>
      <c r="C150" s="237" t="str">
        <f>IF(Results!B150&gt;0,INDEX(acute_overview_children!$A$12:$AH$391,MATCH(Results!B150,acute_overview_children!$AA$12:$AA$391,0),3),"")</f>
        <v/>
      </c>
      <c r="D150" s="238">
        <f>IF(B150=0,0,CONCATENATE(ROUND(VLOOKUP(C150,acute_overview_children!$C$12:$AH$391,3,FALSE),2)," / ",ROUND(VLOOKUP(C150,acute_overview_children!$C$12:$AH$391,4,FALSE),2)))</f>
        <v>0</v>
      </c>
      <c r="E150" s="238" t="str">
        <f>IF(B150&gt;0,VLOOKUP(C150,acute_overview_children!$C$12:$AH$391,24,FALSE)*1000,"")</f>
        <v/>
      </c>
      <c r="F150" s="546">
        <f>IF($K$6="not necessary",0,LARGE(acute_overview_adults!$AA$14:$AA$391,ROW()-(ROW($B$65))))</f>
        <v>0</v>
      </c>
      <c r="G150" s="237" t="str">
        <f>IF(F150&gt;0,INDEX(acute_overview_adults!$A$12:$AH$391,MATCH(F150,acute_overview_adults!$AA$12:$AA$391,0),3),"")</f>
        <v/>
      </c>
      <c r="H150" s="238">
        <f>IF(F150=0,0,CONCATENATE(ROUND(VLOOKUP(G150,acute_overview_adults!$C$12:$AH$391,3,FALSE),2)," / ",ROUND(VLOOKUP(G150,acute_overview_adults!$C$12:$AH$391,4,FALSE),2)))</f>
        <v>0</v>
      </c>
      <c r="I150" s="239" t="str">
        <f>IF(F150&gt;0,VLOOKUP(G150,acute_overview_adults!$C$12:$AH$391,24,FALSE)*1000,"")</f>
        <v/>
      </c>
      <c r="J150" s="766">
        <f>IF($K$6="not necessary",0,LARGE(acute_overview_children!$AD$14:$AD$391,ROW()-ROW($B$65)))</f>
        <v>0</v>
      </c>
      <c r="K150" s="745" t="str">
        <f>IF(J150&gt;0,INDEX(acute_overview_children!$A$12:$AH$391,MATCH(J150,acute_overview_children!$AD$12:$AD$391,0),3),"")</f>
        <v/>
      </c>
      <c r="L150" s="755">
        <f>IF(J150=0,0,CONCATENATE(ROUND(VLOOKUP(K150,acute_overview_children!$C$12:$AH$391,3,FALSE),2)," / ",ROUND(VLOOKUP(K150,acute_overview_children!$C$12:$AH$391,6,FALSE),2)))</f>
        <v>0</v>
      </c>
      <c r="M150" s="755" t="str">
        <f>IF(J150&gt;0,VLOOKUP(K150,acute_overview_children!$C$12:$AH$391,27,FALSE)*1000,"")</f>
        <v/>
      </c>
      <c r="N150" s="766">
        <f>IF($K$6="not necessary",0,LARGE(acute_overview_adults!$AD$14:$AD$391,ROW()-ROW($F$65)))</f>
        <v>0</v>
      </c>
      <c r="O150" s="745" t="str">
        <f>IF(Results!N150&gt;0,INDEX(acute_overview_adults!$A$12:$AH$391,MATCH(Results!N150,acute_overview_adults!$AD$12:$AD$391,0),3),"")</f>
        <v/>
      </c>
      <c r="P150" s="755">
        <f>IF(N150=0,0,CONCATENATE(ROUND(VLOOKUP(O150,acute_overview_adults!$C$12:$AH$391,3,FALSE),2)," / ",ROUND(VLOOKUP(O150,acute_overview_adults!$C$12:$AH$391,6,FALSE),2)))</f>
        <v>0</v>
      </c>
      <c r="Q150" s="755" t="str">
        <f>IF(N150&gt;0,VLOOKUP(O150,acute_overview_adults!$C$12:$AH$391,27,FALSE)*1000,"")</f>
        <v/>
      </c>
      <c r="S150" s="1161">
        <f t="shared" si="8"/>
        <v>0</v>
      </c>
      <c r="T150" s="1161">
        <f t="shared" si="9"/>
        <v>0</v>
      </c>
      <c r="U150" s="1161">
        <f t="shared" si="10"/>
        <v>0</v>
      </c>
      <c r="V150" s="1161">
        <f t="shared" si="11"/>
        <v>0</v>
      </c>
      <c r="W150" s="1163">
        <f t="shared" si="12"/>
        <v>0</v>
      </c>
      <c r="X150" s="1163">
        <f t="shared" si="13"/>
        <v>0</v>
      </c>
      <c r="Y150" s="1163">
        <f t="shared" si="14"/>
        <v>0</v>
      </c>
      <c r="Z150" s="1163">
        <f t="shared" si="15"/>
        <v>0</v>
      </c>
    </row>
    <row r="151" spans="1:26" s="43" customFormat="1" ht="12" hidden="1" customHeight="1" outlineLevel="1" x14ac:dyDescent="0.2">
      <c r="A151" s="178"/>
      <c r="B151" s="546">
        <f>IF($K$6="not necessary",0,LARGE(acute_overview_children!$AA$14:$AA$391,ROW()-(ROW($B$65))))</f>
        <v>0</v>
      </c>
      <c r="C151" s="237" t="str">
        <f>IF(Results!B151&gt;0,INDEX(acute_overview_children!$A$12:$AH$391,MATCH(Results!B151,acute_overview_children!$AA$12:$AA$391,0),3),"")</f>
        <v/>
      </c>
      <c r="D151" s="238">
        <f>IF(B151=0,0,CONCATENATE(ROUND(VLOOKUP(C151,acute_overview_children!$C$12:$AH$391,3,FALSE),2)," / ",ROUND(VLOOKUP(C151,acute_overview_children!$C$12:$AH$391,4,FALSE),2)))</f>
        <v>0</v>
      </c>
      <c r="E151" s="238" t="str">
        <f>IF(B151&gt;0,VLOOKUP(C151,acute_overview_children!$C$12:$AH$391,24,FALSE)*1000,"")</f>
        <v/>
      </c>
      <c r="F151" s="546">
        <f>IF($K$6="not necessary",0,LARGE(acute_overview_adults!$AA$14:$AA$391,ROW()-(ROW($B$65))))</f>
        <v>0</v>
      </c>
      <c r="G151" s="237" t="str">
        <f>IF(F151&gt;0,INDEX(acute_overview_adults!$A$12:$AH$391,MATCH(F151,acute_overview_adults!$AA$12:$AA$391,0),3),"")</f>
        <v/>
      </c>
      <c r="H151" s="238">
        <f>IF(F151=0,0,CONCATENATE(ROUND(VLOOKUP(G151,acute_overview_adults!$C$12:$AH$391,3,FALSE),2)," / ",ROUND(VLOOKUP(G151,acute_overview_adults!$C$12:$AH$391,4,FALSE),2)))</f>
        <v>0</v>
      </c>
      <c r="I151" s="239" t="str">
        <f>IF(F151&gt;0,VLOOKUP(G151,acute_overview_adults!$C$12:$AH$391,24,FALSE)*1000,"")</f>
        <v/>
      </c>
      <c r="J151" s="766">
        <f>IF($K$6="not necessary",0,LARGE(acute_overview_children!$AD$14:$AD$391,ROW()-ROW($B$65)))</f>
        <v>0</v>
      </c>
      <c r="K151" s="745" t="str">
        <f>IF(J151&gt;0,INDEX(acute_overview_children!$A$12:$AH$391,MATCH(J151,acute_overview_children!$AD$12:$AD$391,0),3),"")</f>
        <v/>
      </c>
      <c r="L151" s="755">
        <f>IF(J151=0,0,CONCATENATE(ROUND(VLOOKUP(K151,acute_overview_children!$C$12:$AH$391,3,FALSE),2)," / ",ROUND(VLOOKUP(K151,acute_overview_children!$C$12:$AH$391,6,FALSE),2)))</f>
        <v>0</v>
      </c>
      <c r="M151" s="755" t="str">
        <f>IF(J151&gt;0,VLOOKUP(K151,acute_overview_children!$C$12:$AH$391,27,FALSE)*1000,"")</f>
        <v/>
      </c>
      <c r="N151" s="766">
        <f>IF($K$6="not necessary",0,LARGE(acute_overview_adults!$AD$14:$AD$391,ROW()-ROW($F$65)))</f>
        <v>0</v>
      </c>
      <c r="O151" s="745" t="str">
        <f>IF(Results!N151&gt;0,INDEX(acute_overview_adults!$A$12:$AH$391,MATCH(Results!N151,acute_overview_adults!$AD$12:$AD$391,0),3),"")</f>
        <v/>
      </c>
      <c r="P151" s="755">
        <f>IF(N151=0,0,CONCATENATE(ROUND(VLOOKUP(O151,acute_overview_adults!$C$12:$AH$391,3,FALSE),2)," / ",ROUND(VLOOKUP(O151,acute_overview_adults!$C$12:$AH$391,6,FALSE),2)))</f>
        <v>0</v>
      </c>
      <c r="Q151" s="755" t="str">
        <f>IF(N151&gt;0,VLOOKUP(O151,acute_overview_adults!$C$12:$AH$391,27,FALSE)*1000,"")</f>
        <v/>
      </c>
      <c r="S151" s="1161">
        <f t="shared" si="8"/>
        <v>0</v>
      </c>
      <c r="T151" s="1161">
        <f t="shared" si="9"/>
        <v>0</v>
      </c>
      <c r="U151" s="1161">
        <f t="shared" si="10"/>
        <v>0</v>
      </c>
      <c r="V151" s="1161">
        <f t="shared" si="11"/>
        <v>0</v>
      </c>
      <c r="W151" s="1163">
        <f t="shared" si="12"/>
        <v>0</v>
      </c>
      <c r="X151" s="1163">
        <f t="shared" si="13"/>
        <v>0</v>
      </c>
      <c r="Y151" s="1163">
        <f t="shared" si="14"/>
        <v>0</v>
      </c>
      <c r="Z151" s="1163">
        <f t="shared" si="15"/>
        <v>0</v>
      </c>
    </row>
    <row r="152" spans="1:26" s="43" customFormat="1" ht="12" hidden="1" customHeight="1" outlineLevel="1" x14ac:dyDescent="0.2">
      <c r="A152" s="178"/>
      <c r="B152" s="546">
        <f>IF($K$6="not necessary",0,LARGE(acute_overview_children!$AA$14:$AA$391,ROW()-(ROW($B$65))))</f>
        <v>0</v>
      </c>
      <c r="C152" s="237" t="str">
        <f>IF(Results!B152&gt;0,INDEX(acute_overview_children!$A$12:$AH$391,MATCH(Results!B152,acute_overview_children!$AA$12:$AA$391,0),3),"")</f>
        <v/>
      </c>
      <c r="D152" s="238">
        <f>IF(B152=0,0,CONCATENATE(ROUND(VLOOKUP(C152,acute_overview_children!$C$12:$AH$391,3,FALSE),2)," / ",ROUND(VLOOKUP(C152,acute_overview_children!$C$12:$AH$391,4,FALSE),2)))</f>
        <v>0</v>
      </c>
      <c r="E152" s="238" t="str">
        <f>IF(B152&gt;0,VLOOKUP(C152,acute_overview_children!$C$12:$AH$391,24,FALSE)*1000,"")</f>
        <v/>
      </c>
      <c r="F152" s="546">
        <f>IF($K$6="not necessary",0,LARGE(acute_overview_adults!$AA$14:$AA$391,ROW()-(ROW($B$65))))</f>
        <v>0</v>
      </c>
      <c r="G152" s="237" t="str">
        <f>IF(F152&gt;0,INDEX(acute_overview_adults!$A$12:$AH$391,MATCH(F152,acute_overview_adults!$AA$12:$AA$391,0),3),"")</f>
        <v/>
      </c>
      <c r="H152" s="238">
        <f>IF(F152=0,0,CONCATENATE(ROUND(VLOOKUP(G152,acute_overview_adults!$C$12:$AH$391,3,FALSE),2)," / ",ROUND(VLOOKUP(G152,acute_overview_adults!$C$12:$AH$391,4,FALSE),2)))</f>
        <v>0</v>
      </c>
      <c r="I152" s="239" t="str">
        <f>IF(F152&gt;0,VLOOKUP(G152,acute_overview_adults!$C$12:$AH$391,24,FALSE)*1000,"")</f>
        <v/>
      </c>
      <c r="J152" s="766">
        <f>IF($K$6="not necessary",0,LARGE(acute_overview_children!$AD$14:$AD$391,ROW()-ROW($B$65)))</f>
        <v>0</v>
      </c>
      <c r="K152" s="745" t="str">
        <f>IF(J152&gt;0,INDEX(acute_overview_children!$A$12:$AH$391,MATCH(J152,acute_overview_children!$AD$12:$AD$391,0),3),"")</f>
        <v/>
      </c>
      <c r="L152" s="755">
        <f>IF(J152=0,0,CONCATENATE(ROUND(VLOOKUP(K152,acute_overview_children!$C$12:$AH$391,3,FALSE),2)," / ",ROUND(VLOOKUP(K152,acute_overview_children!$C$12:$AH$391,6,FALSE),2)))</f>
        <v>0</v>
      </c>
      <c r="M152" s="755" t="str">
        <f>IF(J152&gt;0,VLOOKUP(K152,acute_overview_children!$C$12:$AH$391,27,FALSE)*1000,"")</f>
        <v/>
      </c>
      <c r="N152" s="766">
        <f>IF($K$6="not necessary",0,LARGE(acute_overview_adults!$AD$14:$AD$391,ROW()-ROW($F$65)))</f>
        <v>0</v>
      </c>
      <c r="O152" s="745" t="str">
        <f>IF(Results!N152&gt;0,INDEX(acute_overview_adults!$A$12:$AH$391,MATCH(Results!N152,acute_overview_adults!$AD$12:$AD$391,0),3),"")</f>
        <v/>
      </c>
      <c r="P152" s="755">
        <f>IF(N152=0,0,CONCATENATE(ROUND(VLOOKUP(O152,acute_overview_adults!$C$12:$AH$391,3,FALSE),2)," / ",ROUND(VLOOKUP(O152,acute_overview_adults!$C$12:$AH$391,6,FALSE),2)))</f>
        <v>0</v>
      </c>
      <c r="Q152" s="755" t="str">
        <f>IF(N152&gt;0,VLOOKUP(O152,acute_overview_adults!$C$12:$AH$391,27,FALSE)*1000,"")</f>
        <v/>
      </c>
      <c r="S152" s="1161">
        <f t="shared" si="8"/>
        <v>0</v>
      </c>
      <c r="T152" s="1161">
        <f t="shared" si="9"/>
        <v>0</v>
      </c>
      <c r="U152" s="1161">
        <f t="shared" si="10"/>
        <v>0</v>
      </c>
      <c r="V152" s="1161">
        <f t="shared" si="11"/>
        <v>0</v>
      </c>
      <c r="W152" s="1163">
        <f t="shared" si="12"/>
        <v>0</v>
      </c>
      <c r="X152" s="1163">
        <f t="shared" si="13"/>
        <v>0</v>
      </c>
      <c r="Y152" s="1163">
        <f t="shared" si="14"/>
        <v>0</v>
      </c>
      <c r="Z152" s="1163">
        <f t="shared" si="15"/>
        <v>0</v>
      </c>
    </row>
    <row r="153" spans="1:26" s="43" customFormat="1" ht="12" hidden="1" customHeight="1" outlineLevel="1" x14ac:dyDescent="0.2">
      <c r="A153" s="178"/>
      <c r="B153" s="546">
        <f>IF($K$6="not necessary",0,LARGE(acute_overview_children!$AA$14:$AA$391,ROW()-(ROW($B$65))))</f>
        <v>0</v>
      </c>
      <c r="C153" s="237" t="str">
        <f>IF(Results!B153&gt;0,INDEX(acute_overview_children!$A$12:$AH$391,MATCH(Results!B153,acute_overview_children!$AA$12:$AA$391,0),3),"")</f>
        <v/>
      </c>
      <c r="D153" s="238">
        <f>IF(B153=0,0,CONCATENATE(ROUND(VLOOKUP(C153,acute_overview_children!$C$12:$AH$391,3,FALSE),2)," / ",ROUND(VLOOKUP(C153,acute_overview_children!$C$12:$AH$391,4,FALSE),2)))</f>
        <v>0</v>
      </c>
      <c r="E153" s="238" t="str">
        <f>IF(B153&gt;0,VLOOKUP(C153,acute_overview_children!$C$12:$AH$391,24,FALSE)*1000,"")</f>
        <v/>
      </c>
      <c r="F153" s="546">
        <f>IF($K$6="not necessary",0,LARGE(acute_overview_adults!$AA$14:$AA$391,ROW()-(ROW($B$65))))</f>
        <v>0</v>
      </c>
      <c r="G153" s="237" t="str">
        <f>IF(F153&gt;0,INDEX(acute_overview_adults!$A$12:$AH$391,MATCH(F153,acute_overview_adults!$AA$12:$AA$391,0),3),"")</f>
        <v/>
      </c>
      <c r="H153" s="238">
        <f>IF(F153=0,0,CONCATENATE(ROUND(VLOOKUP(G153,acute_overview_adults!$C$12:$AH$391,3,FALSE),2)," / ",ROUND(VLOOKUP(G153,acute_overview_adults!$C$12:$AH$391,4,FALSE),2)))</f>
        <v>0</v>
      </c>
      <c r="I153" s="239" t="str">
        <f>IF(F153&gt;0,VLOOKUP(G153,acute_overview_adults!$C$12:$AH$391,24,FALSE)*1000,"")</f>
        <v/>
      </c>
      <c r="J153" s="766">
        <f>IF($K$6="not necessary",0,LARGE(acute_overview_children!$AD$14:$AD$391,ROW()-ROW($B$65)))</f>
        <v>0</v>
      </c>
      <c r="K153" s="745" t="str">
        <f>IF(J153&gt;0,INDEX(acute_overview_children!$A$12:$AH$391,MATCH(J153,acute_overview_children!$AD$12:$AD$391,0),3),"")</f>
        <v/>
      </c>
      <c r="L153" s="755">
        <f>IF(J153=0,0,CONCATENATE(ROUND(VLOOKUP(K153,acute_overview_children!$C$12:$AH$391,3,FALSE),2)," / ",ROUND(VLOOKUP(K153,acute_overview_children!$C$12:$AH$391,6,FALSE),2)))</f>
        <v>0</v>
      </c>
      <c r="M153" s="755" t="str">
        <f>IF(J153&gt;0,VLOOKUP(K153,acute_overview_children!$C$12:$AH$391,27,FALSE)*1000,"")</f>
        <v/>
      </c>
      <c r="N153" s="766">
        <f>IF($K$6="not necessary",0,LARGE(acute_overview_adults!$AD$14:$AD$391,ROW()-ROW($F$65)))</f>
        <v>0</v>
      </c>
      <c r="O153" s="745" t="str">
        <f>IF(Results!N153&gt;0,INDEX(acute_overview_adults!$A$12:$AH$391,MATCH(Results!N153,acute_overview_adults!$AD$12:$AD$391,0),3),"")</f>
        <v/>
      </c>
      <c r="P153" s="755">
        <f>IF(N153=0,0,CONCATENATE(ROUND(VLOOKUP(O153,acute_overview_adults!$C$12:$AH$391,3,FALSE),2)," / ",ROUND(VLOOKUP(O153,acute_overview_adults!$C$12:$AH$391,6,FALSE),2)))</f>
        <v>0</v>
      </c>
      <c r="Q153" s="755" t="str">
        <f>IF(N153&gt;0,VLOOKUP(O153,acute_overview_adults!$C$12:$AH$391,27,FALSE)*1000,"")</f>
        <v/>
      </c>
      <c r="S153" s="1161">
        <f t="shared" si="8"/>
        <v>0</v>
      </c>
      <c r="T153" s="1161">
        <f t="shared" si="9"/>
        <v>0</v>
      </c>
      <c r="U153" s="1161">
        <f t="shared" si="10"/>
        <v>0</v>
      </c>
      <c r="V153" s="1161">
        <f t="shared" si="11"/>
        <v>0</v>
      </c>
      <c r="W153" s="1163">
        <f t="shared" si="12"/>
        <v>0</v>
      </c>
      <c r="X153" s="1163">
        <f t="shared" si="13"/>
        <v>0</v>
      </c>
      <c r="Y153" s="1163">
        <f t="shared" si="14"/>
        <v>0</v>
      </c>
      <c r="Z153" s="1163">
        <f t="shared" si="15"/>
        <v>0</v>
      </c>
    </row>
    <row r="154" spans="1:26" s="43" customFormat="1" ht="12" hidden="1" customHeight="1" outlineLevel="1" x14ac:dyDescent="0.2">
      <c r="A154" s="178"/>
      <c r="B154" s="546">
        <f>IF($K$6="not necessary",0,LARGE(acute_overview_children!$AA$14:$AA$391,ROW()-(ROW($B$65))))</f>
        <v>0</v>
      </c>
      <c r="C154" s="237" t="str">
        <f>IF(Results!B154&gt;0,INDEX(acute_overview_children!$A$12:$AH$391,MATCH(Results!B154,acute_overview_children!$AA$12:$AA$391,0),3),"")</f>
        <v/>
      </c>
      <c r="D154" s="238">
        <f>IF(B154=0,0,CONCATENATE(ROUND(VLOOKUP(C154,acute_overview_children!$C$12:$AH$391,3,FALSE),2)," / ",ROUND(VLOOKUP(C154,acute_overview_children!$C$12:$AH$391,4,FALSE),2)))</f>
        <v>0</v>
      </c>
      <c r="E154" s="238" t="str">
        <f>IF(B154&gt;0,VLOOKUP(C154,acute_overview_children!$C$12:$AH$391,24,FALSE)*1000,"")</f>
        <v/>
      </c>
      <c r="F154" s="546">
        <f>IF($K$6="not necessary",0,LARGE(acute_overview_adults!$AA$14:$AA$391,ROW()-(ROW($B$65))))</f>
        <v>0</v>
      </c>
      <c r="G154" s="237" t="str">
        <f>IF(F154&gt;0,INDEX(acute_overview_adults!$A$12:$AH$391,MATCH(F154,acute_overview_adults!$AA$12:$AA$391,0),3),"")</f>
        <v/>
      </c>
      <c r="H154" s="238">
        <f>IF(F154=0,0,CONCATENATE(ROUND(VLOOKUP(G154,acute_overview_adults!$C$12:$AH$391,3,FALSE),2)," / ",ROUND(VLOOKUP(G154,acute_overview_adults!$C$12:$AH$391,4,FALSE),2)))</f>
        <v>0</v>
      </c>
      <c r="I154" s="239" t="str">
        <f>IF(F154&gt;0,VLOOKUP(G154,acute_overview_adults!$C$12:$AH$391,24,FALSE)*1000,"")</f>
        <v/>
      </c>
      <c r="J154" s="766">
        <f>IF($K$6="not necessary",0,LARGE(acute_overview_children!$AD$14:$AD$391,ROW()-ROW($B$65)))</f>
        <v>0</v>
      </c>
      <c r="K154" s="745" t="str">
        <f>IF(J154&gt;0,INDEX(acute_overview_children!$A$12:$AH$391,MATCH(J154,acute_overview_children!$AD$12:$AD$391,0),3),"")</f>
        <v/>
      </c>
      <c r="L154" s="755">
        <f>IF(J154=0,0,CONCATENATE(ROUND(VLOOKUP(K154,acute_overview_children!$C$12:$AH$391,3,FALSE),2)," / ",ROUND(VLOOKUP(K154,acute_overview_children!$C$12:$AH$391,6,FALSE),2)))</f>
        <v>0</v>
      </c>
      <c r="M154" s="755" t="str">
        <f>IF(J154&gt;0,VLOOKUP(K154,acute_overview_children!$C$12:$AH$391,27,FALSE)*1000,"")</f>
        <v/>
      </c>
      <c r="N154" s="766">
        <f>IF($K$6="not necessary",0,LARGE(acute_overview_adults!$AD$14:$AD$391,ROW()-ROW($F$65)))</f>
        <v>0</v>
      </c>
      <c r="O154" s="745" t="str">
        <f>IF(Results!N154&gt;0,INDEX(acute_overview_adults!$A$12:$AH$391,MATCH(Results!N154,acute_overview_adults!$AD$12:$AD$391,0),3),"")</f>
        <v/>
      </c>
      <c r="P154" s="755">
        <f>IF(N154=0,0,CONCATENATE(ROUND(VLOOKUP(O154,acute_overview_adults!$C$12:$AH$391,3,FALSE),2)," / ",ROUND(VLOOKUP(O154,acute_overview_adults!$C$12:$AH$391,6,FALSE),2)))</f>
        <v>0</v>
      </c>
      <c r="Q154" s="755" t="str">
        <f>IF(N154&gt;0,VLOOKUP(O154,acute_overview_adults!$C$12:$AH$391,27,FALSE)*1000,"")</f>
        <v/>
      </c>
      <c r="S154" s="1161">
        <f t="shared" si="8"/>
        <v>0</v>
      </c>
      <c r="T154" s="1161">
        <f t="shared" si="9"/>
        <v>0</v>
      </c>
      <c r="U154" s="1161">
        <f t="shared" si="10"/>
        <v>0</v>
      </c>
      <c r="V154" s="1161">
        <f t="shared" si="11"/>
        <v>0</v>
      </c>
      <c r="W154" s="1163">
        <f t="shared" si="12"/>
        <v>0</v>
      </c>
      <c r="X154" s="1163">
        <f t="shared" si="13"/>
        <v>0</v>
      </c>
      <c r="Y154" s="1163">
        <f t="shared" si="14"/>
        <v>0</v>
      </c>
      <c r="Z154" s="1163">
        <f t="shared" si="15"/>
        <v>0</v>
      </c>
    </row>
    <row r="155" spans="1:26" s="43" customFormat="1" ht="12" hidden="1" customHeight="1" outlineLevel="1" x14ac:dyDescent="0.2">
      <c r="A155" s="178"/>
      <c r="B155" s="546">
        <f>IF($K$6="not necessary",0,LARGE(acute_overview_children!$AA$14:$AA$391,ROW()-(ROW($B$65))))</f>
        <v>0</v>
      </c>
      <c r="C155" s="237" t="str">
        <f>IF(Results!B155&gt;0,INDEX(acute_overview_children!$A$12:$AH$391,MATCH(Results!B155,acute_overview_children!$AA$12:$AA$391,0),3),"")</f>
        <v/>
      </c>
      <c r="D155" s="238">
        <f>IF(B155=0,0,CONCATENATE(ROUND(VLOOKUP(C155,acute_overview_children!$C$12:$AH$391,3,FALSE),2)," / ",ROUND(VLOOKUP(C155,acute_overview_children!$C$12:$AH$391,4,FALSE),2)))</f>
        <v>0</v>
      </c>
      <c r="E155" s="238" t="str">
        <f>IF(B155&gt;0,VLOOKUP(C155,acute_overview_children!$C$12:$AH$391,24,FALSE)*1000,"")</f>
        <v/>
      </c>
      <c r="F155" s="546">
        <f>IF($K$6="not necessary",0,LARGE(acute_overview_adults!$AA$14:$AA$391,ROW()-(ROW($B$65))))</f>
        <v>0</v>
      </c>
      <c r="G155" s="237" t="str">
        <f>IF(F155&gt;0,INDEX(acute_overview_adults!$A$12:$AH$391,MATCH(F155,acute_overview_adults!$AA$12:$AA$391,0),3),"")</f>
        <v/>
      </c>
      <c r="H155" s="238">
        <f>IF(F155=0,0,CONCATENATE(ROUND(VLOOKUP(G155,acute_overview_adults!$C$12:$AH$391,3,FALSE),2)," / ",ROUND(VLOOKUP(G155,acute_overview_adults!$C$12:$AH$391,4,FALSE),2)))</f>
        <v>0</v>
      </c>
      <c r="I155" s="239" t="str">
        <f>IF(F155&gt;0,VLOOKUP(G155,acute_overview_adults!$C$12:$AH$391,24,FALSE)*1000,"")</f>
        <v/>
      </c>
      <c r="J155" s="766">
        <f>IF($K$6="not necessary",0,LARGE(acute_overview_children!$AD$14:$AD$391,ROW()-ROW($B$65)))</f>
        <v>0</v>
      </c>
      <c r="K155" s="745" t="str">
        <f>IF(J155&gt;0,INDEX(acute_overview_children!$A$12:$AH$391,MATCH(J155,acute_overview_children!$AD$12:$AD$391,0),3),"")</f>
        <v/>
      </c>
      <c r="L155" s="755">
        <f>IF(J155=0,0,CONCATENATE(ROUND(VLOOKUP(K155,acute_overview_children!$C$12:$AH$391,3,FALSE),2)," / ",ROUND(VLOOKUP(K155,acute_overview_children!$C$12:$AH$391,6,FALSE),2)))</f>
        <v>0</v>
      </c>
      <c r="M155" s="755" t="str">
        <f>IF(J155&gt;0,VLOOKUP(K155,acute_overview_children!$C$12:$AH$391,27,FALSE)*1000,"")</f>
        <v/>
      </c>
      <c r="N155" s="766">
        <f>IF($K$6="not necessary",0,LARGE(acute_overview_adults!$AD$14:$AD$391,ROW()-ROW($F$65)))</f>
        <v>0</v>
      </c>
      <c r="O155" s="745" t="str">
        <f>IF(Results!N155&gt;0,INDEX(acute_overview_adults!$A$12:$AH$391,MATCH(Results!N155,acute_overview_adults!$AD$12:$AD$391,0),3),"")</f>
        <v/>
      </c>
      <c r="P155" s="755">
        <f>IF(N155=0,0,CONCATENATE(ROUND(VLOOKUP(O155,acute_overview_adults!$C$12:$AH$391,3,FALSE),2)," / ",ROUND(VLOOKUP(O155,acute_overview_adults!$C$12:$AH$391,6,FALSE),2)))</f>
        <v>0</v>
      </c>
      <c r="Q155" s="755" t="str">
        <f>IF(N155&gt;0,VLOOKUP(O155,acute_overview_adults!$C$12:$AH$391,27,FALSE)*1000,"")</f>
        <v/>
      </c>
      <c r="S155" s="1161">
        <f t="shared" si="8"/>
        <v>0</v>
      </c>
      <c r="T155" s="1161">
        <f t="shared" si="9"/>
        <v>0</v>
      </c>
      <c r="U155" s="1161">
        <f t="shared" si="10"/>
        <v>0</v>
      </c>
      <c r="V155" s="1161">
        <f t="shared" si="11"/>
        <v>0</v>
      </c>
      <c r="W155" s="1163">
        <f t="shared" si="12"/>
        <v>0</v>
      </c>
      <c r="X155" s="1163">
        <f t="shared" si="13"/>
        <v>0</v>
      </c>
      <c r="Y155" s="1163">
        <f t="shared" si="14"/>
        <v>0</v>
      </c>
      <c r="Z155" s="1163">
        <f t="shared" si="15"/>
        <v>0</v>
      </c>
    </row>
    <row r="156" spans="1:26" s="43" customFormat="1" ht="12" hidden="1" customHeight="1" outlineLevel="1" x14ac:dyDescent="0.2">
      <c r="A156" s="178"/>
      <c r="B156" s="546">
        <f>IF($K$6="not necessary",0,LARGE(acute_overview_children!$AA$14:$AA$391,ROW()-(ROW($B$65))))</f>
        <v>0</v>
      </c>
      <c r="C156" s="237" t="str">
        <f>IF(Results!B156&gt;0,INDEX(acute_overview_children!$A$12:$AH$391,MATCH(Results!B156,acute_overview_children!$AA$12:$AA$391,0),3),"")</f>
        <v/>
      </c>
      <c r="D156" s="238">
        <f>IF(B156=0,0,CONCATENATE(ROUND(VLOOKUP(C156,acute_overview_children!$C$12:$AH$391,3,FALSE),2)," / ",ROUND(VLOOKUP(C156,acute_overview_children!$C$12:$AH$391,4,FALSE),2)))</f>
        <v>0</v>
      </c>
      <c r="E156" s="238" t="str">
        <f>IF(B156&gt;0,VLOOKUP(C156,acute_overview_children!$C$12:$AH$391,24,FALSE)*1000,"")</f>
        <v/>
      </c>
      <c r="F156" s="546">
        <f>IF($K$6="not necessary",0,LARGE(acute_overview_adults!$AA$14:$AA$391,ROW()-(ROW($B$65))))</f>
        <v>0</v>
      </c>
      <c r="G156" s="237" t="str">
        <f>IF(F156&gt;0,INDEX(acute_overview_adults!$A$12:$AH$391,MATCH(F156,acute_overview_adults!$AA$12:$AA$391,0),3),"")</f>
        <v/>
      </c>
      <c r="H156" s="238">
        <f>IF(F156=0,0,CONCATENATE(ROUND(VLOOKUP(G156,acute_overview_adults!$C$12:$AH$391,3,FALSE),2)," / ",ROUND(VLOOKUP(G156,acute_overview_adults!$C$12:$AH$391,4,FALSE),2)))</f>
        <v>0</v>
      </c>
      <c r="I156" s="239" t="str">
        <f>IF(F156&gt;0,VLOOKUP(G156,acute_overview_adults!$C$12:$AH$391,24,FALSE)*1000,"")</f>
        <v/>
      </c>
      <c r="J156" s="766">
        <f>IF($K$6="not necessary",0,LARGE(acute_overview_children!$AD$14:$AD$391,ROW()-ROW($B$65)))</f>
        <v>0</v>
      </c>
      <c r="K156" s="745" t="str">
        <f>IF(J156&gt;0,INDEX(acute_overview_children!$A$12:$AH$391,MATCH(J156,acute_overview_children!$AD$12:$AD$391,0),3),"")</f>
        <v/>
      </c>
      <c r="L156" s="755">
        <f>IF(J156=0,0,CONCATENATE(ROUND(VLOOKUP(K156,acute_overview_children!$C$12:$AH$391,3,FALSE),2)," / ",ROUND(VLOOKUP(K156,acute_overview_children!$C$12:$AH$391,6,FALSE),2)))</f>
        <v>0</v>
      </c>
      <c r="M156" s="755" t="str">
        <f>IF(J156&gt;0,VLOOKUP(K156,acute_overview_children!$C$12:$AH$391,27,FALSE)*1000,"")</f>
        <v/>
      </c>
      <c r="N156" s="766">
        <f>IF($K$6="not necessary",0,LARGE(acute_overview_adults!$AD$14:$AD$391,ROW()-ROW($F$65)))</f>
        <v>0</v>
      </c>
      <c r="O156" s="745" t="str">
        <f>IF(Results!N156&gt;0,INDEX(acute_overview_adults!$A$12:$AH$391,MATCH(Results!N156,acute_overview_adults!$AD$12:$AD$391,0),3),"")</f>
        <v/>
      </c>
      <c r="P156" s="755">
        <f>IF(N156=0,0,CONCATENATE(ROUND(VLOOKUP(O156,acute_overview_adults!$C$12:$AH$391,3,FALSE),2)," / ",ROUND(VLOOKUP(O156,acute_overview_adults!$C$12:$AH$391,6,FALSE),2)))</f>
        <v>0</v>
      </c>
      <c r="Q156" s="755" t="str">
        <f>IF(N156&gt;0,VLOOKUP(O156,acute_overview_adults!$C$12:$AH$391,27,FALSE)*1000,"")</f>
        <v/>
      </c>
      <c r="S156" s="1161">
        <f t="shared" si="8"/>
        <v>0</v>
      </c>
      <c r="T156" s="1161">
        <f t="shared" si="9"/>
        <v>0</v>
      </c>
      <c r="U156" s="1161">
        <f t="shared" si="10"/>
        <v>0</v>
      </c>
      <c r="V156" s="1161">
        <f t="shared" si="11"/>
        <v>0</v>
      </c>
      <c r="W156" s="1163">
        <f t="shared" si="12"/>
        <v>0</v>
      </c>
      <c r="X156" s="1163">
        <f t="shared" si="13"/>
        <v>0</v>
      </c>
      <c r="Y156" s="1163">
        <f t="shared" si="14"/>
        <v>0</v>
      </c>
      <c r="Z156" s="1163">
        <f t="shared" si="15"/>
        <v>0</v>
      </c>
    </row>
    <row r="157" spans="1:26" s="43" customFormat="1" ht="12" hidden="1" customHeight="1" outlineLevel="1" x14ac:dyDescent="0.2">
      <c r="A157" s="178"/>
      <c r="B157" s="546">
        <f>IF($K$6="not necessary",0,LARGE(acute_overview_children!$AA$14:$AA$391,ROW()-(ROW($B$65))))</f>
        <v>0</v>
      </c>
      <c r="C157" s="237" t="str">
        <f>IF(Results!B157&gt;0,INDEX(acute_overview_children!$A$12:$AH$391,MATCH(Results!B157,acute_overview_children!$AA$12:$AA$391,0),3),"")</f>
        <v/>
      </c>
      <c r="D157" s="238">
        <f>IF(B157=0,0,CONCATENATE(ROUND(VLOOKUP(C157,acute_overview_children!$C$12:$AH$391,3,FALSE),2)," / ",ROUND(VLOOKUP(C157,acute_overview_children!$C$12:$AH$391,4,FALSE),2)))</f>
        <v>0</v>
      </c>
      <c r="E157" s="238" t="str">
        <f>IF(B157&gt;0,VLOOKUP(C157,acute_overview_children!$C$12:$AH$391,24,FALSE)*1000,"")</f>
        <v/>
      </c>
      <c r="F157" s="546">
        <f>IF($K$6="not necessary",0,LARGE(acute_overview_adults!$AA$14:$AA$391,ROW()-(ROW($B$65))))</f>
        <v>0</v>
      </c>
      <c r="G157" s="237" t="str">
        <f>IF(F157&gt;0,INDEX(acute_overview_adults!$A$12:$AH$391,MATCH(F157,acute_overview_adults!$AA$12:$AA$391,0),3),"")</f>
        <v/>
      </c>
      <c r="H157" s="238">
        <f>IF(F157=0,0,CONCATENATE(ROUND(VLOOKUP(G157,acute_overview_adults!$C$12:$AH$391,3,FALSE),2)," / ",ROUND(VLOOKUP(G157,acute_overview_adults!$C$12:$AH$391,4,FALSE),2)))</f>
        <v>0</v>
      </c>
      <c r="I157" s="239" t="str">
        <f>IF(F157&gt;0,VLOOKUP(G157,acute_overview_adults!$C$12:$AH$391,24,FALSE)*1000,"")</f>
        <v/>
      </c>
      <c r="J157" s="766">
        <f>IF($K$6="not necessary",0,LARGE(acute_overview_children!$AD$14:$AD$391,ROW()-ROW($B$65)))</f>
        <v>0</v>
      </c>
      <c r="K157" s="745" t="str">
        <f>IF(J157&gt;0,INDEX(acute_overview_children!$A$12:$AH$391,MATCH(J157,acute_overview_children!$AD$12:$AD$391,0),3),"")</f>
        <v/>
      </c>
      <c r="L157" s="755">
        <f>IF(J157=0,0,CONCATENATE(ROUND(VLOOKUP(K157,acute_overview_children!$C$12:$AH$391,3,FALSE),2)," / ",ROUND(VLOOKUP(K157,acute_overview_children!$C$12:$AH$391,6,FALSE),2)))</f>
        <v>0</v>
      </c>
      <c r="M157" s="755" t="str">
        <f>IF(J157&gt;0,VLOOKUP(K157,acute_overview_children!$C$12:$AH$391,27,FALSE)*1000,"")</f>
        <v/>
      </c>
      <c r="N157" s="766">
        <f>IF($K$6="not necessary",0,LARGE(acute_overview_adults!$AD$14:$AD$391,ROW()-ROW($F$65)))</f>
        <v>0</v>
      </c>
      <c r="O157" s="745" t="str">
        <f>IF(Results!N157&gt;0,INDEX(acute_overview_adults!$A$12:$AH$391,MATCH(Results!N157,acute_overview_adults!$AD$12:$AD$391,0),3),"")</f>
        <v/>
      </c>
      <c r="P157" s="755">
        <f>IF(N157=0,0,CONCATENATE(ROUND(VLOOKUP(O157,acute_overview_adults!$C$12:$AH$391,3,FALSE),2)," / ",ROUND(VLOOKUP(O157,acute_overview_adults!$C$12:$AH$391,6,FALSE),2)))</f>
        <v>0</v>
      </c>
      <c r="Q157" s="755" t="str">
        <f>IF(N157&gt;0,VLOOKUP(O157,acute_overview_adults!$C$12:$AH$391,27,FALSE)*1000,"")</f>
        <v/>
      </c>
      <c r="S157" s="1161">
        <f t="shared" si="8"/>
        <v>0</v>
      </c>
      <c r="T157" s="1161">
        <f t="shared" si="9"/>
        <v>0</v>
      </c>
      <c r="U157" s="1161">
        <f t="shared" si="10"/>
        <v>0</v>
      </c>
      <c r="V157" s="1161">
        <f t="shared" si="11"/>
        <v>0</v>
      </c>
      <c r="W157" s="1163">
        <f t="shared" si="12"/>
        <v>0</v>
      </c>
      <c r="X157" s="1163">
        <f t="shared" si="13"/>
        <v>0</v>
      </c>
      <c r="Y157" s="1163">
        <f t="shared" si="14"/>
        <v>0</v>
      </c>
      <c r="Z157" s="1163">
        <f t="shared" si="15"/>
        <v>0</v>
      </c>
    </row>
    <row r="158" spans="1:26" s="43" customFormat="1" ht="12" hidden="1" customHeight="1" outlineLevel="1" x14ac:dyDescent="0.2">
      <c r="A158" s="178"/>
      <c r="B158" s="546">
        <f>IF($K$6="not necessary",0,LARGE(acute_overview_children!$AA$14:$AA$391,ROW()-(ROW($B$65))))</f>
        <v>0</v>
      </c>
      <c r="C158" s="237" t="str">
        <f>IF(Results!B158&gt;0,INDEX(acute_overview_children!$A$12:$AH$391,MATCH(Results!B158,acute_overview_children!$AA$12:$AA$391,0),3),"")</f>
        <v/>
      </c>
      <c r="D158" s="238">
        <f>IF(B158=0,0,CONCATENATE(ROUND(VLOOKUP(C158,acute_overview_children!$C$12:$AH$391,3,FALSE),2)," / ",ROUND(VLOOKUP(C158,acute_overview_children!$C$12:$AH$391,4,FALSE),2)))</f>
        <v>0</v>
      </c>
      <c r="E158" s="238" t="str">
        <f>IF(B158&gt;0,VLOOKUP(C158,acute_overview_children!$C$12:$AH$391,24,FALSE)*1000,"")</f>
        <v/>
      </c>
      <c r="F158" s="546">
        <f>IF($K$6="not necessary",0,LARGE(acute_overview_adults!$AA$14:$AA$391,ROW()-(ROW($B$65))))</f>
        <v>0</v>
      </c>
      <c r="G158" s="237" t="str">
        <f>IF(F158&gt;0,INDEX(acute_overview_adults!$A$12:$AH$391,MATCH(F158,acute_overview_adults!$AA$12:$AA$391,0),3),"")</f>
        <v/>
      </c>
      <c r="H158" s="238">
        <f>IF(F158=0,0,CONCATENATE(ROUND(VLOOKUP(G158,acute_overview_adults!$C$12:$AH$391,3,FALSE),2)," / ",ROUND(VLOOKUP(G158,acute_overview_adults!$C$12:$AH$391,4,FALSE),2)))</f>
        <v>0</v>
      </c>
      <c r="I158" s="239" t="str">
        <f>IF(F158&gt;0,VLOOKUP(G158,acute_overview_adults!$C$12:$AH$391,24,FALSE)*1000,"")</f>
        <v/>
      </c>
      <c r="J158" s="766">
        <f>IF($K$6="not necessary",0,LARGE(acute_overview_children!$AD$14:$AD$391,ROW()-ROW($B$65)))</f>
        <v>0</v>
      </c>
      <c r="K158" s="745" t="str">
        <f>IF(J158&gt;0,INDEX(acute_overview_children!$A$12:$AH$391,MATCH(J158,acute_overview_children!$AD$12:$AD$391,0),3),"")</f>
        <v/>
      </c>
      <c r="L158" s="755">
        <f>IF(J158=0,0,CONCATENATE(ROUND(VLOOKUP(K158,acute_overview_children!$C$12:$AH$391,3,FALSE),2)," / ",ROUND(VLOOKUP(K158,acute_overview_children!$C$12:$AH$391,6,FALSE),2)))</f>
        <v>0</v>
      </c>
      <c r="M158" s="755" t="str">
        <f>IF(J158&gt;0,VLOOKUP(K158,acute_overview_children!$C$12:$AH$391,27,FALSE)*1000,"")</f>
        <v/>
      </c>
      <c r="N158" s="766">
        <f>IF($K$6="not necessary",0,LARGE(acute_overview_adults!$AD$14:$AD$391,ROW()-ROW($F$65)))</f>
        <v>0</v>
      </c>
      <c r="O158" s="745" t="str">
        <f>IF(Results!N158&gt;0,INDEX(acute_overview_adults!$A$12:$AH$391,MATCH(Results!N158,acute_overview_adults!$AD$12:$AD$391,0),3),"")</f>
        <v/>
      </c>
      <c r="P158" s="755">
        <f>IF(N158=0,0,CONCATENATE(ROUND(VLOOKUP(O158,acute_overview_adults!$C$12:$AH$391,3,FALSE),2)," / ",ROUND(VLOOKUP(O158,acute_overview_adults!$C$12:$AH$391,6,FALSE),2)))</f>
        <v>0</v>
      </c>
      <c r="Q158" s="755" t="str">
        <f>IF(N158&gt;0,VLOOKUP(O158,acute_overview_adults!$C$12:$AH$391,27,FALSE)*1000,"")</f>
        <v/>
      </c>
      <c r="S158" s="1161">
        <f t="shared" si="8"/>
        <v>0</v>
      </c>
      <c r="T158" s="1161">
        <f t="shared" si="9"/>
        <v>0</v>
      </c>
      <c r="U158" s="1161">
        <f t="shared" si="10"/>
        <v>0</v>
      </c>
      <c r="V158" s="1161">
        <f t="shared" si="11"/>
        <v>0</v>
      </c>
      <c r="W158" s="1163">
        <f t="shared" si="12"/>
        <v>0</v>
      </c>
      <c r="X158" s="1163">
        <f t="shared" si="13"/>
        <v>0</v>
      </c>
      <c r="Y158" s="1163">
        <f t="shared" si="14"/>
        <v>0</v>
      </c>
      <c r="Z158" s="1163">
        <f t="shared" si="15"/>
        <v>0</v>
      </c>
    </row>
    <row r="159" spans="1:26" s="43" customFormat="1" ht="12" hidden="1" customHeight="1" outlineLevel="1" x14ac:dyDescent="0.2">
      <c r="A159" s="178"/>
      <c r="B159" s="546">
        <f>IF($K$6="not necessary",0,LARGE(acute_overview_children!$AA$14:$AA$391,ROW()-(ROW($B$65))))</f>
        <v>0</v>
      </c>
      <c r="C159" s="237" t="str">
        <f>IF(Results!B159&gt;0,INDEX(acute_overview_children!$A$12:$AH$391,MATCH(Results!B159,acute_overview_children!$AA$12:$AA$391,0),3),"")</f>
        <v/>
      </c>
      <c r="D159" s="238">
        <f>IF(B159=0,0,CONCATENATE(ROUND(VLOOKUP(C159,acute_overview_children!$C$12:$AH$391,3,FALSE),2)," / ",ROUND(VLOOKUP(C159,acute_overview_children!$C$12:$AH$391,4,FALSE),2)))</f>
        <v>0</v>
      </c>
      <c r="E159" s="238" t="str">
        <f>IF(B159&gt;0,VLOOKUP(C159,acute_overview_children!$C$12:$AH$391,24,FALSE)*1000,"")</f>
        <v/>
      </c>
      <c r="F159" s="546">
        <f>IF($K$6="not necessary",0,LARGE(acute_overview_adults!$AA$14:$AA$391,ROW()-(ROW($B$65))))</f>
        <v>0</v>
      </c>
      <c r="G159" s="237" t="str">
        <f>IF(F159&gt;0,INDEX(acute_overview_adults!$A$12:$AH$391,MATCH(F159,acute_overview_adults!$AA$12:$AA$391,0),3),"")</f>
        <v/>
      </c>
      <c r="H159" s="238">
        <f>IF(F159=0,0,CONCATENATE(ROUND(VLOOKUP(G159,acute_overview_adults!$C$12:$AH$391,3,FALSE),2)," / ",ROUND(VLOOKUP(G159,acute_overview_adults!$C$12:$AH$391,4,FALSE),2)))</f>
        <v>0</v>
      </c>
      <c r="I159" s="239" t="str">
        <f>IF(F159&gt;0,VLOOKUP(G159,acute_overview_adults!$C$12:$AH$391,24,FALSE)*1000,"")</f>
        <v/>
      </c>
      <c r="J159" s="766">
        <f>IF($K$6="not necessary",0,LARGE(acute_overview_children!$AD$14:$AD$391,ROW()-ROW($B$65)))</f>
        <v>0</v>
      </c>
      <c r="K159" s="745" t="str">
        <f>IF(J159&gt;0,INDEX(acute_overview_children!$A$12:$AH$391,MATCH(J159,acute_overview_children!$AD$12:$AD$391,0),3),"")</f>
        <v/>
      </c>
      <c r="L159" s="755">
        <f>IF(J159=0,0,CONCATENATE(ROUND(VLOOKUP(K159,acute_overview_children!$C$12:$AH$391,3,FALSE),2)," / ",ROUND(VLOOKUP(K159,acute_overview_children!$C$12:$AH$391,6,FALSE),2)))</f>
        <v>0</v>
      </c>
      <c r="M159" s="755" t="str">
        <f>IF(J159&gt;0,VLOOKUP(K159,acute_overview_children!$C$12:$AH$391,27,FALSE)*1000,"")</f>
        <v/>
      </c>
      <c r="N159" s="766">
        <f>IF($K$6="not necessary",0,LARGE(acute_overview_adults!$AD$14:$AD$391,ROW()-ROW($F$65)))</f>
        <v>0</v>
      </c>
      <c r="O159" s="745" t="str">
        <f>IF(Results!N159&gt;0,INDEX(acute_overview_adults!$A$12:$AH$391,MATCH(Results!N159,acute_overview_adults!$AD$12:$AD$391,0),3),"")</f>
        <v/>
      </c>
      <c r="P159" s="755">
        <f>IF(N159=0,0,CONCATENATE(ROUND(VLOOKUP(O159,acute_overview_adults!$C$12:$AH$391,3,FALSE),2)," / ",ROUND(VLOOKUP(O159,acute_overview_adults!$C$12:$AH$391,6,FALSE),2)))</f>
        <v>0</v>
      </c>
      <c r="Q159" s="755" t="str">
        <f>IF(N159&gt;0,VLOOKUP(O159,acute_overview_adults!$C$12:$AH$391,27,FALSE)*1000,"")</f>
        <v/>
      </c>
      <c r="S159" s="1161">
        <f t="shared" si="8"/>
        <v>0</v>
      </c>
      <c r="T159" s="1161">
        <f t="shared" si="9"/>
        <v>0</v>
      </c>
      <c r="U159" s="1161">
        <f t="shared" si="10"/>
        <v>0</v>
      </c>
      <c r="V159" s="1161">
        <f t="shared" si="11"/>
        <v>0</v>
      </c>
      <c r="W159" s="1163">
        <f t="shared" si="12"/>
        <v>0</v>
      </c>
      <c r="X159" s="1163">
        <f t="shared" si="13"/>
        <v>0</v>
      </c>
      <c r="Y159" s="1163">
        <f t="shared" si="14"/>
        <v>0</v>
      </c>
      <c r="Z159" s="1163">
        <f t="shared" si="15"/>
        <v>0</v>
      </c>
    </row>
    <row r="160" spans="1:26" s="43" customFormat="1" ht="12" hidden="1" customHeight="1" outlineLevel="1" x14ac:dyDescent="0.2">
      <c r="A160" s="178"/>
      <c r="B160" s="546">
        <f>IF($K$6="not necessary",0,LARGE(acute_overview_children!$AA$14:$AA$391,ROW()-(ROW($B$65))))</f>
        <v>0</v>
      </c>
      <c r="C160" s="237" t="str">
        <f>IF(Results!B160&gt;0,INDEX(acute_overview_children!$A$12:$AH$391,MATCH(Results!B160,acute_overview_children!$AA$12:$AA$391,0),3),"")</f>
        <v/>
      </c>
      <c r="D160" s="238">
        <f>IF(B160=0,0,CONCATENATE(ROUND(VLOOKUP(C160,acute_overview_children!$C$12:$AH$391,3,FALSE),2)," / ",ROUND(VLOOKUP(C160,acute_overview_children!$C$12:$AH$391,4,FALSE),2)))</f>
        <v>0</v>
      </c>
      <c r="E160" s="238" t="str">
        <f>IF(B160&gt;0,VLOOKUP(C160,acute_overview_children!$C$12:$AH$391,24,FALSE)*1000,"")</f>
        <v/>
      </c>
      <c r="F160" s="546">
        <f>IF($K$6="not necessary",0,LARGE(acute_overview_adults!$AA$14:$AA$391,ROW()-(ROW($B$65))))</f>
        <v>0</v>
      </c>
      <c r="G160" s="237" t="str">
        <f>IF(F160&gt;0,INDEX(acute_overview_adults!$A$12:$AH$391,MATCH(F160,acute_overview_adults!$AA$12:$AA$391,0),3),"")</f>
        <v/>
      </c>
      <c r="H160" s="238">
        <f>IF(F160=0,0,CONCATENATE(ROUND(VLOOKUP(G160,acute_overview_adults!$C$12:$AH$391,3,FALSE),2)," / ",ROUND(VLOOKUP(G160,acute_overview_adults!$C$12:$AH$391,4,FALSE),2)))</f>
        <v>0</v>
      </c>
      <c r="I160" s="239" t="str">
        <f>IF(F160&gt;0,VLOOKUP(G160,acute_overview_adults!$C$12:$AH$391,24,FALSE)*1000,"")</f>
        <v/>
      </c>
      <c r="J160" s="766">
        <f>IF($K$6="not necessary",0,LARGE(acute_overview_children!$AD$14:$AD$391,ROW()-ROW($B$65)))</f>
        <v>0</v>
      </c>
      <c r="K160" s="745" t="str">
        <f>IF(J160&gt;0,INDEX(acute_overview_children!$A$12:$AH$391,MATCH(J160,acute_overview_children!$AD$12:$AD$391,0),3),"")</f>
        <v/>
      </c>
      <c r="L160" s="755">
        <f>IF(J160=0,0,CONCATENATE(ROUND(VLOOKUP(K160,acute_overview_children!$C$12:$AH$391,3,FALSE),2)," / ",ROUND(VLOOKUP(K160,acute_overview_children!$C$12:$AH$391,6,FALSE),2)))</f>
        <v>0</v>
      </c>
      <c r="M160" s="755" t="str">
        <f>IF(J160&gt;0,VLOOKUP(K160,acute_overview_children!$C$12:$AH$391,27,FALSE)*1000,"")</f>
        <v/>
      </c>
      <c r="N160" s="766">
        <f>IF($K$6="not necessary",0,LARGE(acute_overview_adults!$AD$14:$AD$391,ROW()-ROW($F$65)))</f>
        <v>0</v>
      </c>
      <c r="O160" s="745" t="str">
        <f>IF(Results!N160&gt;0,INDEX(acute_overview_adults!$A$12:$AH$391,MATCH(Results!N160,acute_overview_adults!$AD$12:$AD$391,0),3),"")</f>
        <v/>
      </c>
      <c r="P160" s="755">
        <f>IF(N160=0,0,CONCATENATE(ROUND(VLOOKUP(O160,acute_overview_adults!$C$12:$AH$391,3,FALSE),2)," / ",ROUND(VLOOKUP(O160,acute_overview_adults!$C$12:$AH$391,6,FALSE),2)))</f>
        <v>0</v>
      </c>
      <c r="Q160" s="755" t="str">
        <f>IF(N160&gt;0,VLOOKUP(O160,acute_overview_adults!$C$12:$AH$391,27,FALSE)*1000,"")</f>
        <v/>
      </c>
      <c r="S160" s="1161">
        <f t="shared" si="8"/>
        <v>0</v>
      </c>
      <c r="T160" s="1161">
        <f t="shared" si="9"/>
        <v>0</v>
      </c>
      <c r="U160" s="1161">
        <f t="shared" si="10"/>
        <v>0</v>
      </c>
      <c r="V160" s="1161">
        <f t="shared" si="11"/>
        <v>0</v>
      </c>
      <c r="W160" s="1163">
        <f t="shared" si="12"/>
        <v>0</v>
      </c>
      <c r="X160" s="1163">
        <f t="shared" si="13"/>
        <v>0</v>
      </c>
      <c r="Y160" s="1163">
        <f t="shared" si="14"/>
        <v>0</v>
      </c>
      <c r="Z160" s="1163">
        <f t="shared" si="15"/>
        <v>0</v>
      </c>
    </row>
    <row r="161" spans="1:26" s="43" customFormat="1" ht="12" hidden="1" customHeight="1" outlineLevel="1" x14ac:dyDescent="0.2">
      <c r="A161" s="178"/>
      <c r="B161" s="546">
        <f>IF($K$6="not necessary",0,LARGE(acute_overview_children!$AA$14:$AA$391,ROW()-(ROW($B$65))))</f>
        <v>0</v>
      </c>
      <c r="C161" s="237" t="str">
        <f>IF(Results!B161&gt;0,INDEX(acute_overview_children!$A$12:$AH$391,MATCH(Results!B161,acute_overview_children!$AA$12:$AA$391,0),3),"")</f>
        <v/>
      </c>
      <c r="D161" s="238">
        <f>IF(B161=0,0,CONCATENATE(ROUND(VLOOKUP(C161,acute_overview_children!$C$12:$AH$391,3,FALSE),2)," / ",ROUND(VLOOKUP(C161,acute_overview_children!$C$12:$AH$391,4,FALSE),2)))</f>
        <v>0</v>
      </c>
      <c r="E161" s="238" t="str">
        <f>IF(B161&gt;0,VLOOKUP(C161,acute_overview_children!$C$12:$AH$391,24,FALSE)*1000,"")</f>
        <v/>
      </c>
      <c r="F161" s="546">
        <f>IF($K$6="not necessary",0,LARGE(acute_overview_adults!$AA$14:$AA$391,ROW()-(ROW($B$65))))</f>
        <v>0</v>
      </c>
      <c r="G161" s="237" t="str">
        <f>IF(F161&gt;0,INDEX(acute_overview_adults!$A$12:$AH$391,MATCH(F161,acute_overview_adults!$AA$12:$AA$391,0),3),"")</f>
        <v/>
      </c>
      <c r="H161" s="238">
        <f>IF(F161=0,0,CONCATENATE(ROUND(VLOOKUP(G161,acute_overview_adults!$C$12:$AH$391,3,FALSE),2)," / ",ROUND(VLOOKUP(G161,acute_overview_adults!$C$12:$AH$391,4,FALSE),2)))</f>
        <v>0</v>
      </c>
      <c r="I161" s="239" t="str">
        <f>IF(F161&gt;0,VLOOKUP(G161,acute_overview_adults!$C$12:$AH$391,24,FALSE)*1000,"")</f>
        <v/>
      </c>
      <c r="J161" s="766">
        <f>IF($K$6="not necessary",0,LARGE(acute_overview_children!$AD$14:$AD$391,ROW()-ROW($B$65)))</f>
        <v>0</v>
      </c>
      <c r="K161" s="745" t="str">
        <f>IF(J161&gt;0,INDEX(acute_overview_children!$A$12:$AH$391,MATCH(J161,acute_overview_children!$AD$12:$AD$391,0),3),"")</f>
        <v/>
      </c>
      <c r="L161" s="755">
        <f>IF(J161=0,0,CONCATENATE(ROUND(VLOOKUP(K161,acute_overview_children!$C$12:$AH$391,3,FALSE),2)," / ",ROUND(VLOOKUP(K161,acute_overview_children!$C$12:$AH$391,6,FALSE),2)))</f>
        <v>0</v>
      </c>
      <c r="M161" s="755" t="str">
        <f>IF(J161&gt;0,VLOOKUP(K161,acute_overview_children!$C$12:$AH$391,27,FALSE)*1000,"")</f>
        <v/>
      </c>
      <c r="N161" s="766">
        <f>IF($K$6="not necessary",0,LARGE(acute_overview_adults!$AD$14:$AD$391,ROW()-ROW($F$65)))</f>
        <v>0</v>
      </c>
      <c r="O161" s="745" t="str">
        <f>IF(Results!N161&gt;0,INDEX(acute_overview_adults!$A$12:$AH$391,MATCH(Results!N161,acute_overview_adults!$AD$12:$AD$391,0),3),"")</f>
        <v/>
      </c>
      <c r="P161" s="755">
        <f>IF(N161=0,0,CONCATENATE(ROUND(VLOOKUP(O161,acute_overview_adults!$C$12:$AH$391,3,FALSE),2)," / ",ROUND(VLOOKUP(O161,acute_overview_adults!$C$12:$AH$391,6,FALSE),2)))</f>
        <v>0</v>
      </c>
      <c r="Q161" s="755" t="str">
        <f>IF(N161&gt;0,VLOOKUP(O161,acute_overview_adults!$C$12:$AH$391,27,FALSE)*1000,"")</f>
        <v/>
      </c>
      <c r="S161" s="1161">
        <f t="shared" si="8"/>
        <v>0</v>
      </c>
      <c r="T161" s="1161">
        <f t="shared" si="9"/>
        <v>0</v>
      </c>
      <c r="U161" s="1161">
        <f t="shared" si="10"/>
        <v>0</v>
      </c>
      <c r="V161" s="1161">
        <f t="shared" si="11"/>
        <v>0</v>
      </c>
      <c r="W161" s="1163">
        <f t="shared" si="12"/>
        <v>0</v>
      </c>
      <c r="X161" s="1163">
        <f t="shared" si="13"/>
        <v>0</v>
      </c>
      <c r="Y161" s="1163">
        <f t="shared" si="14"/>
        <v>0</v>
      </c>
      <c r="Z161" s="1163">
        <f t="shared" si="15"/>
        <v>0</v>
      </c>
    </row>
    <row r="162" spans="1:26" s="43" customFormat="1" ht="12" hidden="1" customHeight="1" outlineLevel="1" x14ac:dyDescent="0.2">
      <c r="A162" s="178"/>
      <c r="B162" s="546">
        <f>IF($K$6="not necessary",0,LARGE(acute_overview_children!$AA$14:$AA$391,ROW()-(ROW($B$65))))</f>
        <v>0</v>
      </c>
      <c r="C162" s="237" t="str">
        <f>IF(Results!B162&gt;0,INDEX(acute_overview_children!$A$12:$AH$391,MATCH(Results!B162,acute_overview_children!$AA$12:$AA$391,0),3),"")</f>
        <v/>
      </c>
      <c r="D162" s="238">
        <f>IF(B162=0,0,CONCATENATE(ROUND(VLOOKUP(C162,acute_overview_children!$C$12:$AH$391,3,FALSE),2)," / ",ROUND(VLOOKUP(C162,acute_overview_children!$C$12:$AH$391,4,FALSE),2)))</f>
        <v>0</v>
      </c>
      <c r="E162" s="238" t="str">
        <f>IF(B162&gt;0,VLOOKUP(C162,acute_overview_children!$C$12:$AH$391,24,FALSE)*1000,"")</f>
        <v/>
      </c>
      <c r="F162" s="546">
        <f>IF($K$6="not necessary",0,LARGE(acute_overview_adults!$AA$14:$AA$391,ROW()-(ROW($B$65))))</f>
        <v>0</v>
      </c>
      <c r="G162" s="237" t="str">
        <f>IF(F162&gt;0,INDEX(acute_overview_adults!$A$12:$AH$391,MATCH(F162,acute_overview_adults!$AA$12:$AA$391,0),3),"")</f>
        <v/>
      </c>
      <c r="H162" s="238">
        <f>IF(F162=0,0,CONCATENATE(ROUND(VLOOKUP(G162,acute_overview_adults!$C$12:$AH$391,3,FALSE),2)," / ",ROUND(VLOOKUP(G162,acute_overview_adults!$C$12:$AH$391,4,FALSE),2)))</f>
        <v>0</v>
      </c>
      <c r="I162" s="239" t="str">
        <f>IF(F162&gt;0,VLOOKUP(G162,acute_overview_adults!$C$12:$AH$391,24,FALSE)*1000,"")</f>
        <v/>
      </c>
      <c r="J162" s="766">
        <f>IF($K$6="not necessary",0,LARGE(acute_overview_children!$AD$14:$AD$391,ROW()-ROW($B$65)))</f>
        <v>0</v>
      </c>
      <c r="K162" s="745" t="str">
        <f>IF(J162&gt;0,INDEX(acute_overview_children!$A$12:$AH$391,MATCH(J162,acute_overview_children!$AD$12:$AD$391,0),3),"")</f>
        <v/>
      </c>
      <c r="L162" s="755">
        <f>IF(J162=0,0,CONCATENATE(ROUND(VLOOKUP(K162,acute_overview_children!$C$12:$AH$391,3,FALSE),2)," / ",ROUND(VLOOKUP(K162,acute_overview_children!$C$12:$AH$391,6,FALSE),2)))</f>
        <v>0</v>
      </c>
      <c r="M162" s="755" t="str">
        <f>IF(J162&gt;0,VLOOKUP(K162,acute_overview_children!$C$12:$AH$391,27,FALSE)*1000,"")</f>
        <v/>
      </c>
      <c r="N162" s="766">
        <f>IF($K$6="not necessary",0,LARGE(acute_overview_adults!$AD$14:$AD$391,ROW()-ROW($F$65)))</f>
        <v>0</v>
      </c>
      <c r="O162" s="745" t="str">
        <f>IF(Results!N162&gt;0,INDEX(acute_overview_adults!$A$12:$AH$391,MATCH(Results!N162,acute_overview_adults!$AD$12:$AD$391,0),3),"")</f>
        <v/>
      </c>
      <c r="P162" s="755">
        <f>IF(N162=0,0,CONCATENATE(ROUND(VLOOKUP(O162,acute_overview_adults!$C$12:$AH$391,3,FALSE),2)," / ",ROUND(VLOOKUP(O162,acute_overview_adults!$C$12:$AH$391,6,FALSE),2)))</f>
        <v>0</v>
      </c>
      <c r="Q162" s="755" t="str">
        <f>IF(N162&gt;0,VLOOKUP(O162,acute_overview_adults!$C$12:$AH$391,27,FALSE)*1000,"")</f>
        <v/>
      </c>
      <c r="S162" s="1161">
        <f t="shared" si="8"/>
        <v>0</v>
      </c>
      <c r="T162" s="1161">
        <f t="shared" si="9"/>
        <v>0</v>
      </c>
      <c r="U162" s="1161">
        <f t="shared" si="10"/>
        <v>0</v>
      </c>
      <c r="V162" s="1161">
        <f t="shared" si="11"/>
        <v>0</v>
      </c>
      <c r="W162" s="1163">
        <f t="shared" si="12"/>
        <v>0</v>
      </c>
      <c r="X162" s="1163">
        <f t="shared" si="13"/>
        <v>0</v>
      </c>
      <c r="Y162" s="1163">
        <f t="shared" si="14"/>
        <v>0</v>
      </c>
      <c r="Z162" s="1163">
        <f t="shared" si="15"/>
        <v>0</v>
      </c>
    </row>
    <row r="163" spans="1:26" s="43" customFormat="1" ht="12" hidden="1" customHeight="1" outlineLevel="1" x14ac:dyDescent="0.2">
      <c r="A163" s="178"/>
      <c r="B163" s="546">
        <f>IF($K$6="not necessary",0,LARGE(acute_overview_children!$AA$14:$AA$391,ROW()-(ROW($B$65))))</f>
        <v>0</v>
      </c>
      <c r="C163" s="237" t="str">
        <f>IF(Results!B163&gt;0,INDEX(acute_overview_children!$A$12:$AH$391,MATCH(Results!B163,acute_overview_children!$AA$12:$AA$391,0),3),"")</f>
        <v/>
      </c>
      <c r="D163" s="238">
        <f>IF(B163=0,0,CONCATENATE(ROUND(VLOOKUP(C163,acute_overview_children!$C$12:$AH$391,3,FALSE),2)," / ",ROUND(VLOOKUP(C163,acute_overview_children!$C$12:$AH$391,4,FALSE),2)))</f>
        <v>0</v>
      </c>
      <c r="E163" s="238" t="str">
        <f>IF(B163&gt;0,VLOOKUP(C163,acute_overview_children!$C$12:$AH$391,24,FALSE)*1000,"")</f>
        <v/>
      </c>
      <c r="F163" s="546">
        <f>IF($K$6="not necessary",0,LARGE(acute_overview_adults!$AA$14:$AA$391,ROW()-(ROW($B$65))))</f>
        <v>0</v>
      </c>
      <c r="G163" s="237" t="str">
        <f>IF(F163&gt;0,INDEX(acute_overview_adults!$A$12:$AH$391,MATCH(F163,acute_overview_adults!$AA$12:$AA$391,0),3),"")</f>
        <v/>
      </c>
      <c r="H163" s="238">
        <f>IF(F163=0,0,CONCATENATE(ROUND(VLOOKUP(G163,acute_overview_adults!$C$12:$AH$391,3,FALSE),2)," / ",ROUND(VLOOKUP(G163,acute_overview_adults!$C$12:$AH$391,4,FALSE),2)))</f>
        <v>0</v>
      </c>
      <c r="I163" s="239" t="str">
        <f>IF(F163&gt;0,VLOOKUP(G163,acute_overview_adults!$C$12:$AH$391,24,FALSE)*1000,"")</f>
        <v/>
      </c>
      <c r="J163" s="766">
        <f>IF($K$6="not necessary",0,LARGE(acute_overview_children!$AD$14:$AD$391,ROW()-ROW($B$65)))</f>
        <v>0</v>
      </c>
      <c r="K163" s="745" t="str">
        <f>IF(J163&gt;0,INDEX(acute_overview_children!$A$12:$AH$391,MATCH(J163,acute_overview_children!$AD$12:$AD$391,0),3),"")</f>
        <v/>
      </c>
      <c r="L163" s="755">
        <f>IF(J163=0,0,CONCATENATE(ROUND(VLOOKUP(K163,acute_overview_children!$C$12:$AH$391,3,FALSE),2)," / ",ROUND(VLOOKUP(K163,acute_overview_children!$C$12:$AH$391,6,FALSE),2)))</f>
        <v>0</v>
      </c>
      <c r="M163" s="755" t="str">
        <f>IF(J163&gt;0,VLOOKUP(K163,acute_overview_children!$C$12:$AH$391,27,FALSE)*1000,"")</f>
        <v/>
      </c>
      <c r="N163" s="766">
        <f>IF($K$6="not necessary",0,LARGE(acute_overview_adults!$AD$14:$AD$391,ROW()-ROW($F$65)))</f>
        <v>0</v>
      </c>
      <c r="O163" s="745" t="str">
        <f>IF(Results!N163&gt;0,INDEX(acute_overview_adults!$A$12:$AH$391,MATCH(Results!N163,acute_overview_adults!$AD$12:$AD$391,0),3),"")</f>
        <v/>
      </c>
      <c r="P163" s="755">
        <f>IF(N163=0,0,CONCATENATE(ROUND(VLOOKUP(O163,acute_overview_adults!$C$12:$AH$391,3,FALSE),2)," / ",ROUND(VLOOKUP(O163,acute_overview_adults!$C$12:$AH$391,6,FALSE),2)))</f>
        <v>0</v>
      </c>
      <c r="Q163" s="755" t="str">
        <f>IF(N163&gt;0,VLOOKUP(O163,acute_overview_adults!$C$12:$AH$391,27,FALSE)*1000,"")</f>
        <v/>
      </c>
      <c r="S163" s="1161">
        <f t="shared" si="8"/>
        <v>0</v>
      </c>
      <c r="T163" s="1161">
        <f t="shared" si="9"/>
        <v>0</v>
      </c>
      <c r="U163" s="1161">
        <f t="shared" si="10"/>
        <v>0</v>
      </c>
      <c r="V163" s="1161">
        <f t="shared" si="11"/>
        <v>0</v>
      </c>
      <c r="W163" s="1163">
        <f t="shared" si="12"/>
        <v>0</v>
      </c>
      <c r="X163" s="1163">
        <f t="shared" si="13"/>
        <v>0</v>
      </c>
      <c r="Y163" s="1163">
        <f t="shared" si="14"/>
        <v>0</v>
      </c>
      <c r="Z163" s="1163">
        <f t="shared" si="15"/>
        <v>0</v>
      </c>
    </row>
    <row r="164" spans="1:26" s="43" customFormat="1" ht="12" hidden="1" customHeight="1" outlineLevel="1" x14ac:dyDescent="0.2">
      <c r="A164" s="178"/>
      <c r="B164" s="546">
        <f>IF($K$6="not necessary",0,LARGE(acute_overview_children!$AA$14:$AA$391,ROW()-(ROW($B$65))))</f>
        <v>0</v>
      </c>
      <c r="C164" s="237" t="str">
        <f>IF(Results!B164&gt;0,INDEX(acute_overview_children!$A$12:$AH$391,MATCH(Results!B164,acute_overview_children!$AA$12:$AA$391,0),3),"")</f>
        <v/>
      </c>
      <c r="D164" s="238">
        <f>IF(B164=0,0,CONCATENATE(ROUND(VLOOKUP(C164,acute_overview_children!$C$12:$AH$391,3,FALSE),2)," / ",ROUND(VLOOKUP(C164,acute_overview_children!$C$12:$AH$391,4,FALSE),2)))</f>
        <v>0</v>
      </c>
      <c r="E164" s="238" t="str">
        <f>IF(B164&gt;0,VLOOKUP(C164,acute_overview_children!$C$12:$AH$391,24,FALSE)*1000,"")</f>
        <v/>
      </c>
      <c r="F164" s="546">
        <f>IF($K$6="not necessary",0,LARGE(acute_overview_adults!$AA$14:$AA$391,ROW()-(ROW($B$65))))</f>
        <v>0</v>
      </c>
      <c r="G164" s="237" t="str">
        <f>IF(F164&gt;0,INDEX(acute_overview_adults!$A$12:$AH$391,MATCH(F164,acute_overview_adults!$AA$12:$AA$391,0),3),"")</f>
        <v/>
      </c>
      <c r="H164" s="238">
        <f>IF(F164=0,0,CONCATENATE(ROUND(VLOOKUP(G164,acute_overview_adults!$C$12:$AH$391,3,FALSE),2)," / ",ROUND(VLOOKUP(G164,acute_overview_adults!$C$12:$AH$391,4,FALSE),2)))</f>
        <v>0</v>
      </c>
      <c r="I164" s="239" t="str">
        <f>IF(F164&gt;0,VLOOKUP(G164,acute_overview_adults!$C$12:$AH$391,24,FALSE)*1000,"")</f>
        <v/>
      </c>
      <c r="J164" s="766">
        <f>IF($K$6="not necessary",0,LARGE(acute_overview_children!$AD$14:$AD$391,ROW()-ROW($B$65)))</f>
        <v>0</v>
      </c>
      <c r="K164" s="745" t="str">
        <f>IF(J164&gt;0,INDEX(acute_overview_children!$A$12:$AH$391,MATCH(J164,acute_overview_children!$AD$12:$AD$391,0),3),"")</f>
        <v/>
      </c>
      <c r="L164" s="755">
        <f>IF(J164=0,0,CONCATENATE(ROUND(VLOOKUP(K164,acute_overview_children!$C$12:$AH$391,3,FALSE),2)," / ",ROUND(VLOOKUP(K164,acute_overview_children!$C$12:$AH$391,6,FALSE),2)))</f>
        <v>0</v>
      </c>
      <c r="M164" s="755" t="str">
        <f>IF(J164&gt;0,VLOOKUP(K164,acute_overview_children!$C$12:$AH$391,27,FALSE)*1000,"")</f>
        <v/>
      </c>
      <c r="N164" s="766">
        <f>IF($K$6="not necessary",0,LARGE(acute_overview_adults!$AD$14:$AD$391,ROW()-ROW($F$65)))</f>
        <v>0</v>
      </c>
      <c r="O164" s="745" t="str">
        <f>IF(Results!N164&gt;0,INDEX(acute_overview_adults!$A$12:$AH$391,MATCH(Results!N164,acute_overview_adults!$AD$12:$AD$391,0),3),"")</f>
        <v/>
      </c>
      <c r="P164" s="755">
        <f>IF(N164=0,0,CONCATENATE(ROUND(VLOOKUP(O164,acute_overview_adults!$C$12:$AH$391,3,FALSE),2)," / ",ROUND(VLOOKUP(O164,acute_overview_adults!$C$12:$AH$391,6,FALSE),2)))</f>
        <v>0</v>
      </c>
      <c r="Q164" s="755" t="str">
        <f>IF(N164&gt;0,VLOOKUP(O164,acute_overview_adults!$C$12:$AH$391,27,FALSE)*1000,"")</f>
        <v/>
      </c>
      <c r="S164" s="1161">
        <f t="shared" si="8"/>
        <v>0</v>
      </c>
      <c r="T164" s="1161">
        <f t="shared" si="9"/>
        <v>0</v>
      </c>
      <c r="U164" s="1161">
        <f t="shared" si="10"/>
        <v>0</v>
      </c>
      <c r="V164" s="1161">
        <f t="shared" si="11"/>
        <v>0</v>
      </c>
      <c r="W164" s="1163">
        <f t="shared" si="12"/>
        <v>0</v>
      </c>
      <c r="X164" s="1163">
        <f t="shared" si="13"/>
        <v>0</v>
      </c>
      <c r="Y164" s="1163">
        <f t="shared" si="14"/>
        <v>0</v>
      </c>
      <c r="Z164" s="1163">
        <f t="shared" si="15"/>
        <v>0</v>
      </c>
    </row>
    <row r="165" spans="1:26" s="43" customFormat="1" ht="12" hidden="1" customHeight="1" outlineLevel="1" x14ac:dyDescent="0.2">
      <c r="A165" s="178"/>
      <c r="B165" s="546">
        <f>IF($K$6="not necessary",0,LARGE(acute_overview_children!$AA$14:$AA$391,ROW()-(ROW($B$65))))</f>
        <v>0</v>
      </c>
      <c r="C165" s="237" t="str">
        <f>IF(Results!B165&gt;0,INDEX(acute_overview_children!$A$12:$AH$391,MATCH(Results!B165,acute_overview_children!$AA$12:$AA$391,0),3),"")</f>
        <v/>
      </c>
      <c r="D165" s="238">
        <f>IF(B165=0,0,CONCATENATE(ROUND(VLOOKUP(C165,acute_overview_children!$C$12:$AH$391,3,FALSE),2)," / ",ROUND(VLOOKUP(C165,acute_overview_children!$C$12:$AH$391,4,FALSE),2)))</f>
        <v>0</v>
      </c>
      <c r="E165" s="238" t="str">
        <f>IF(B165&gt;0,VLOOKUP(C165,acute_overview_children!$C$12:$AH$391,24,FALSE)*1000,"")</f>
        <v/>
      </c>
      <c r="F165" s="546">
        <f>IF($K$6="not necessary",0,LARGE(acute_overview_adults!$AA$14:$AA$391,ROW()-(ROW($B$65))))</f>
        <v>0</v>
      </c>
      <c r="G165" s="237" t="str">
        <f>IF(F165&gt;0,INDEX(acute_overview_adults!$A$12:$AH$391,MATCH(F165,acute_overview_adults!$AA$12:$AA$391,0),3),"")</f>
        <v/>
      </c>
      <c r="H165" s="238">
        <f>IF(F165=0,0,CONCATENATE(ROUND(VLOOKUP(G165,acute_overview_adults!$C$12:$AH$391,3,FALSE),2)," / ",ROUND(VLOOKUP(G165,acute_overview_adults!$C$12:$AH$391,4,FALSE),2)))</f>
        <v>0</v>
      </c>
      <c r="I165" s="239" t="str">
        <f>IF(F165&gt;0,VLOOKUP(G165,acute_overview_adults!$C$12:$AH$391,24,FALSE)*1000,"")</f>
        <v/>
      </c>
      <c r="J165" s="766">
        <f>IF($K$6="not necessary",0,LARGE(acute_overview_children!$AD$14:$AD$391,ROW()-ROW($B$65)))</f>
        <v>0</v>
      </c>
      <c r="K165" s="745" t="str">
        <f>IF(J165&gt;0,INDEX(acute_overview_children!$A$12:$AH$391,MATCH(J165,acute_overview_children!$AD$12:$AD$391,0),3),"")</f>
        <v/>
      </c>
      <c r="L165" s="755">
        <f>IF(J165=0,0,CONCATENATE(ROUND(VLOOKUP(K165,acute_overview_children!$C$12:$AH$391,3,FALSE),2)," / ",ROUND(VLOOKUP(K165,acute_overview_children!$C$12:$AH$391,6,FALSE),2)))</f>
        <v>0</v>
      </c>
      <c r="M165" s="755" t="str">
        <f>IF(J165&gt;0,VLOOKUP(K165,acute_overview_children!$C$12:$AH$391,27,FALSE)*1000,"")</f>
        <v/>
      </c>
      <c r="N165" s="766">
        <f>IF($K$6="not necessary",0,LARGE(acute_overview_adults!$AD$14:$AD$391,ROW()-ROW($F$65)))</f>
        <v>0</v>
      </c>
      <c r="O165" s="745" t="str">
        <f>IF(Results!N165&gt;0,INDEX(acute_overview_adults!$A$12:$AH$391,MATCH(Results!N165,acute_overview_adults!$AD$12:$AD$391,0),3),"")</f>
        <v/>
      </c>
      <c r="P165" s="755">
        <f>IF(N165=0,0,CONCATENATE(ROUND(VLOOKUP(O165,acute_overview_adults!$C$12:$AH$391,3,FALSE),2)," / ",ROUND(VLOOKUP(O165,acute_overview_adults!$C$12:$AH$391,6,FALSE),2)))</f>
        <v>0</v>
      </c>
      <c r="Q165" s="755" t="str">
        <f>IF(N165&gt;0,VLOOKUP(O165,acute_overview_adults!$C$12:$AH$391,27,FALSE)*1000,"")</f>
        <v/>
      </c>
      <c r="S165" s="1161">
        <f t="shared" si="8"/>
        <v>0</v>
      </c>
      <c r="T165" s="1161">
        <f t="shared" si="9"/>
        <v>0</v>
      </c>
      <c r="U165" s="1161">
        <f t="shared" si="10"/>
        <v>0</v>
      </c>
      <c r="V165" s="1161">
        <f t="shared" si="11"/>
        <v>0</v>
      </c>
      <c r="W165" s="1163">
        <f t="shared" si="12"/>
        <v>0</v>
      </c>
      <c r="X165" s="1163">
        <f t="shared" si="13"/>
        <v>0</v>
      </c>
      <c r="Y165" s="1163">
        <f t="shared" si="14"/>
        <v>0</v>
      </c>
      <c r="Z165" s="1163">
        <f t="shared" si="15"/>
        <v>0</v>
      </c>
    </row>
    <row r="166" spans="1:26" s="43" customFormat="1" ht="12" hidden="1" customHeight="1" outlineLevel="1" x14ac:dyDescent="0.2">
      <c r="A166" s="178"/>
      <c r="B166" s="546">
        <f>IF($K$6="not necessary",0,LARGE(acute_overview_children!$AA$14:$AA$391,ROW()-(ROW($B$65))))</f>
        <v>0</v>
      </c>
      <c r="C166" s="237" t="str">
        <f>IF(Results!B166&gt;0,INDEX(acute_overview_children!$A$12:$AH$391,MATCH(Results!B166,acute_overview_children!$AA$12:$AA$391,0),3),"")</f>
        <v/>
      </c>
      <c r="D166" s="238">
        <f>IF(B166=0,0,CONCATENATE(ROUND(VLOOKUP(C166,acute_overview_children!$C$12:$AH$391,3,FALSE),2)," / ",ROUND(VLOOKUP(C166,acute_overview_children!$C$12:$AH$391,4,FALSE),2)))</f>
        <v>0</v>
      </c>
      <c r="E166" s="238" t="str">
        <f>IF(B166&gt;0,VLOOKUP(C166,acute_overview_children!$C$12:$AH$391,24,FALSE)*1000,"")</f>
        <v/>
      </c>
      <c r="F166" s="546">
        <f>IF($K$6="not necessary",0,LARGE(acute_overview_adults!$AA$14:$AA$391,ROW()-(ROW($B$65))))</f>
        <v>0</v>
      </c>
      <c r="G166" s="237" t="str">
        <f>IF(F166&gt;0,INDEX(acute_overview_adults!$A$12:$AH$391,MATCH(F166,acute_overview_adults!$AA$12:$AA$391,0),3),"")</f>
        <v/>
      </c>
      <c r="H166" s="238">
        <f>IF(F166=0,0,CONCATENATE(ROUND(VLOOKUP(G166,acute_overview_adults!$C$12:$AH$391,3,FALSE),2)," / ",ROUND(VLOOKUP(G166,acute_overview_adults!$C$12:$AH$391,4,FALSE),2)))</f>
        <v>0</v>
      </c>
      <c r="I166" s="239" t="str">
        <f>IF(F166&gt;0,VLOOKUP(G166,acute_overview_adults!$C$12:$AH$391,24,FALSE)*1000,"")</f>
        <v/>
      </c>
      <c r="J166" s="766">
        <f>IF($K$6="not necessary",0,LARGE(acute_overview_children!$AD$14:$AD$391,ROW()-ROW($B$65)))</f>
        <v>0</v>
      </c>
      <c r="K166" s="745" t="str">
        <f>IF(J166&gt;0,INDEX(acute_overview_children!$A$12:$AH$391,MATCH(J166,acute_overview_children!$AD$12:$AD$391,0),3),"")</f>
        <v/>
      </c>
      <c r="L166" s="755">
        <f>IF(J166=0,0,CONCATENATE(ROUND(VLOOKUP(K166,acute_overview_children!$C$12:$AH$391,3,FALSE),2)," / ",ROUND(VLOOKUP(K166,acute_overview_children!$C$12:$AH$391,6,FALSE),2)))</f>
        <v>0</v>
      </c>
      <c r="M166" s="755" t="str">
        <f>IF(J166&gt;0,VLOOKUP(K166,acute_overview_children!$C$12:$AH$391,27,FALSE)*1000,"")</f>
        <v/>
      </c>
      <c r="N166" s="766">
        <f>IF($K$6="not necessary",0,LARGE(acute_overview_adults!$AD$14:$AD$391,ROW()-ROW($F$65)))</f>
        <v>0</v>
      </c>
      <c r="O166" s="745" t="str">
        <f>IF(Results!N166&gt;0,INDEX(acute_overview_adults!$A$12:$AH$391,MATCH(Results!N166,acute_overview_adults!$AD$12:$AD$391,0),3),"")</f>
        <v/>
      </c>
      <c r="P166" s="755">
        <f>IF(N166=0,0,CONCATENATE(ROUND(VLOOKUP(O166,acute_overview_adults!$C$12:$AH$391,3,FALSE),2)," / ",ROUND(VLOOKUP(O166,acute_overview_adults!$C$12:$AH$391,6,FALSE),2)))</f>
        <v>0</v>
      </c>
      <c r="Q166" s="755" t="str">
        <f>IF(N166&gt;0,VLOOKUP(O166,acute_overview_adults!$C$12:$AH$391,27,FALSE)*1000,"")</f>
        <v/>
      </c>
      <c r="S166" s="1161">
        <f t="shared" si="8"/>
        <v>0</v>
      </c>
      <c r="T166" s="1161">
        <f t="shared" si="9"/>
        <v>0</v>
      </c>
      <c r="U166" s="1161">
        <f t="shared" si="10"/>
        <v>0</v>
      </c>
      <c r="V166" s="1161">
        <f t="shared" si="11"/>
        <v>0</v>
      </c>
      <c r="W166" s="1163">
        <f t="shared" si="12"/>
        <v>0</v>
      </c>
      <c r="X166" s="1163">
        <f t="shared" si="13"/>
        <v>0</v>
      </c>
      <c r="Y166" s="1163">
        <f t="shared" si="14"/>
        <v>0</v>
      </c>
      <c r="Z166" s="1163">
        <f t="shared" si="15"/>
        <v>0</v>
      </c>
    </row>
    <row r="167" spans="1:26" s="43" customFormat="1" ht="12" hidden="1" customHeight="1" outlineLevel="1" x14ac:dyDescent="0.2">
      <c r="A167" s="178"/>
      <c r="B167" s="546">
        <f>IF($K$6="not necessary",0,LARGE(acute_overview_children!$AA$14:$AA$391,ROW()-(ROW($B$65))))</f>
        <v>0</v>
      </c>
      <c r="C167" s="237" t="str">
        <f>IF(Results!B167&gt;0,INDEX(acute_overview_children!$A$12:$AH$391,MATCH(Results!B167,acute_overview_children!$AA$12:$AA$391,0),3),"")</f>
        <v/>
      </c>
      <c r="D167" s="238">
        <f>IF(B167=0,0,CONCATENATE(ROUND(VLOOKUP(C167,acute_overview_children!$C$12:$AH$391,3,FALSE),2)," / ",ROUND(VLOOKUP(C167,acute_overview_children!$C$12:$AH$391,4,FALSE),2)))</f>
        <v>0</v>
      </c>
      <c r="E167" s="238" t="str">
        <f>IF(B167&gt;0,VLOOKUP(C167,acute_overview_children!$C$12:$AH$391,24,FALSE)*1000,"")</f>
        <v/>
      </c>
      <c r="F167" s="546">
        <f>IF($K$6="not necessary",0,LARGE(acute_overview_adults!$AA$14:$AA$391,ROW()-(ROW($B$65))))</f>
        <v>0</v>
      </c>
      <c r="G167" s="237" t="str">
        <f>IF(F167&gt;0,INDEX(acute_overview_adults!$A$12:$AH$391,MATCH(F167,acute_overview_adults!$AA$12:$AA$391,0),3),"")</f>
        <v/>
      </c>
      <c r="H167" s="238">
        <f>IF(F167=0,0,CONCATENATE(ROUND(VLOOKUP(G167,acute_overview_adults!$C$12:$AH$391,3,FALSE),2)," / ",ROUND(VLOOKUP(G167,acute_overview_adults!$C$12:$AH$391,4,FALSE),2)))</f>
        <v>0</v>
      </c>
      <c r="I167" s="239" t="str">
        <f>IF(F167&gt;0,VLOOKUP(G167,acute_overview_adults!$C$12:$AH$391,24,FALSE)*1000,"")</f>
        <v/>
      </c>
      <c r="J167" s="766">
        <f>IF($K$6="not necessary",0,LARGE(acute_overview_children!$AD$14:$AD$391,ROW()-ROW($B$65)))</f>
        <v>0</v>
      </c>
      <c r="K167" s="745" t="str">
        <f>IF(J167&gt;0,INDEX(acute_overview_children!$A$12:$AH$391,MATCH(J167,acute_overview_children!$AD$12:$AD$391,0),3),"")</f>
        <v/>
      </c>
      <c r="L167" s="755">
        <f>IF(J167=0,0,CONCATENATE(ROUND(VLOOKUP(K167,acute_overview_children!$C$12:$AH$391,3,FALSE),2)," / ",ROUND(VLOOKUP(K167,acute_overview_children!$C$12:$AH$391,6,FALSE),2)))</f>
        <v>0</v>
      </c>
      <c r="M167" s="755" t="str">
        <f>IF(J167&gt;0,VLOOKUP(K167,acute_overview_children!$C$12:$AH$391,27,FALSE)*1000,"")</f>
        <v/>
      </c>
      <c r="N167" s="766">
        <f>IF($K$6="not necessary",0,LARGE(acute_overview_adults!$AD$14:$AD$391,ROW()-ROW($F$65)))</f>
        <v>0</v>
      </c>
      <c r="O167" s="745" t="str">
        <f>IF(Results!N167&gt;0,INDEX(acute_overview_adults!$A$12:$AH$391,MATCH(Results!N167,acute_overview_adults!$AD$12:$AD$391,0),3),"")</f>
        <v/>
      </c>
      <c r="P167" s="755">
        <f>IF(N167=0,0,CONCATENATE(ROUND(VLOOKUP(O167,acute_overview_adults!$C$12:$AH$391,3,FALSE),2)," / ",ROUND(VLOOKUP(O167,acute_overview_adults!$C$12:$AH$391,6,FALSE),2)))</f>
        <v>0</v>
      </c>
      <c r="Q167" s="755" t="str">
        <f>IF(N167&gt;0,VLOOKUP(O167,acute_overview_adults!$C$12:$AH$391,27,FALSE)*1000,"")</f>
        <v/>
      </c>
      <c r="S167" s="1161">
        <f t="shared" si="8"/>
        <v>0</v>
      </c>
      <c r="T167" s="1161">
        <f t="shared" si="9"/>
        <v>0</v>
      </c>
      <c r="U167" s="1161">
        <f t="shared" si="10"/>
        <v>0</v>
      </c>
      <c r="V167" s="1161">
        <f t="shared" si="11"/>
        <v>0</v>
      </c>
      <c r="W167" s="1163">
        <f t="shared" si="12"/>
        <v>0</v>
      </c>
      <c r="X167" s="1163">
        <f t="shared" si="13"/>
        <v>0</v>
      </c>
      <c r="Y167" s="1163">
        <f t="shared" si="14"/>
        <v>0</v>
      </c>
      <c r="Z167" s="1163">
        <f t="shared" si="15"/>
        <v>0</v>
      </c>
    </row>
    <row r="168" spans="1:26" s="43" customFormat="1" ht="12" hidden="1" customHeight="1" outlineLevel="1" x14ac:dyDescent="0.2">
      <c r="A168" s="178"/>
      <c r="B168" s="546">
        <f>IF($K$6="not necessary",0,LARGE(acute_overview_children!$AA$14:$AA$391,ROW()-(ROW($B$65))))</f>
        <v>0</v>
      </c>
      <c r="C168" s="237" t="str">
        <f>IF(Results!B168&gt;0,INDEX(acute_overview_children!$A$12:$AH$391,MATCH(Results!B168,acute_overview_children!$AA$12:$AA$391,0),3),"")</f>
        <v/>
      </c>
      <c r="D168" s="238">
        <f>IF(B168=0,0,CONCATENATE(ROUND(VLOOKUP(C168,acute_overview_children!$C$12:$AH$391,3,FALSE),2)," / ",ROUND(VLOOKUP(C168,acute_overview_children!$C$12:$AH$391,4,FALSE),2)))</f>
        <v>0</v>
      </c>
      <c r="E168" s="238" t="str">
        <f>IF(B168&gt;0,VLOOKUP(C168,acute_overview_children!$C$12:$AH$391,24,FALSE)*1000,"")</f>
        <v/>
      </c>
      <c r="F168" s="546">
        <f>IF($K$6="not necessary",0,LARGE(acute_overview_adults!$AA$14:$AA$391,ROW()-(ROW($B$65))))</f>
        <v>0</v>
      </c>
      <c r="G168" s="237" t="str">
        <f>IF(F168&gt;0,INDEX(acute_overview_adults!$A$12:$AH$391,MATCH(F168,acute_overview_adults!$AA$12:$AA$391,0),3),"")</f>
        <v/>
      </c>
      <c r="H168" s="238">
        <f>IF(F168=0,0,CONCATENATE(ROUND(VLOOKUP(G168,acute_overview_adults!$C$12:$AH$391,3,FALSE),2)," / ",ROUND(VLOOKUP(G168,acute_overview_adults!$C$12:$AH$391,4,FALSE),2)))</f>
        <v>0</v>
      </c>
      <c r="I168" s="239" t="str">
        <f>IF(F168&gt;0,VLOOKUP(G168,acute_overview_adults!$C$12:$AH$391,24,FALSE)*1000,"")</f>
        <v/>
      </c>
      <c r="J168" s="766">
        <f>IF($K$6="not necessary",0,LARGE(acute_overview_children!$AD$14:$AD$391,ROW()-ROW($B$65)))</f>
        <v>0</v>
      </c>
      <c r="K168" s="745" t="str">
        <f>IF(J168&gt;0,INDEX(acute_overview_children!$A$12:$AH$391,MATCH(J168,acute_overview_children!$AD$12:$AD$391,0),3),"")</f>
        <v/>
      </c>
      <c r="L168" s="755">
        <f>IF(J168=0,0,CONCATENATE(ROUND(VLOOKUP(K168,acute_overview_children!$C$12:$AH$391,3,FALSE),2)," / ",ROUND(VLOOKUP(K168,acute_overview_children!$C$12:$AH$391,6,FALSE),2)))</f>
        <v>0</v>
      </c>
      <c r="M168" s="755" t="str">
        <f>IF(J168&gt;0,VLOOKUP(K168,acute_overview_children!$C$12:$AH$391,27,FALSE)*1000,"")</f>
        <v/>
      </c>
      <c r="N168" s="766">
        <f>IF($K$6="not necessary",0,LARGE(acute_overview_adults!$AD$14:$AD$391,ROW()-ROW($F$65)))</f>
        <v>0</v>
      </c>
      <c r="O168" s="745" t="str">
        <f>IF(Results!N168&gt;0,INDEX(acute_overview_adults!$A$12:$AH$391,MATCH(Results!N168,acute_overview_adults!$AD$12:$AD$391,0),3),"")</f>
        <v/>
      </c>
      <c r="P168" s="755">
        <f>IF(N168=0,0,CONCATENATE(ROUND(VLOOKUP(O168,acute_overview_adults!$C$12:$AH$391,3,FALSE),2)," / ",ROUND(VLOOKUP(O168,acute_overview_adults!$C$12:$AH$391,6,FALSE),2)))</f>
        <v>0</v>
      </c>
      <c r="Q168" s="755" t="str">
        <f>IF(N168&gt;0,VLOOKUP(O168,acute_overview_adults!$C$12:$AH$391,27,FALSE)*1000,"")</f>
        <v/>
      </c>
      <c r="S168" s="1161">
        <f t="shared" si="8"/>
        <v>0</v>
      </c>
      <c r="T168" s="1161">
        <f t="shared" si="9"/>
        <v>0</v>
      </c>
      <c r="U168" s="1161">
        <f t="shared" si="10"/>
        <v>0</v>
      </c>
      <c r="V168" s="1161">
        <f t="shared" si="11"/>
        <v>0</v>
      </c>
      <c r="W168" s="1163">
        <f t="shared" si="12"/>
        <v>0</v>
      </c>
      <c r="X168" s="1163">
        <f t="shared" si="13"/>
        <v>0</v>
      </c>
      <c r="Y168" s="1163">
        <f t="shared" si="14"/>
        <v>0</v>
      </c>
      <c r="Z168" s="1163">
        <f t="shared" si="15"/>
        <v>0</v>
      </c>
    </row>
    <row r="169" spans="1:26" s="43" customFormat="1" ht="12" hidden="1" customHeight="1" outlineLevel="1" x14ac:dyDescent="0.2">
      <c r="A169" s="178"/>
      <c r="B169" s="546">
        <f>IF($K$6="not necessary",0,LARGE(acute_overview_children!$AA$14:$AA$391,ROW()-(ROW($B$65))))</f>
        <v>0</v>
      </c>
      <c r="C169" s="237" t="str">
        <f>IF(Results!B169&gt;0,INDEX(acute_overview_children!$A$12:$AH$391,MATCH(Results!B169,acute_overview_children!$AA$12:$AA$391,0),3),"")</f>
        <v/>
      </c>
      <c r="D169" s="238">
        <f>IF(B169=0,0,CONCATENATE(ROUND(VLOOKUP(C169,acute_overview_children!$C$12:$AH$391,3,FALSE),2)," / ",ROUND(VLOOKUP(C169,acute_overview_children!$C$12:$AH$391,4,FALSE),2)))</f>
        <v>0</v>
      </c>
      <c r="E169" s="238" t="str">
        <f>IF(B169&gt;0,VLOOKUP(C169,acute_overview_children!$C$12:$AH$391,24,FALSE)*1000,"")</f>
        <v/>
      </c>
      <c r="F169" s="546">
        <f>IF($K$6="not necessary",0,LARGE(acute_overview_adults!$AA$14:$AA$391,ROW()-(ROW($B$65))))</f>
        <v>0</v>
      </c>
      <c r="G169" s="237" t="str">
        <f>IF(F169&gt;0,INDEX(acute_overview_adults!$A$12:$AH$391,MATCH(F169,acute_overview_adults!$AA$12:$AA$391,0),3),"")</f>
        <v/>
      </c>
      <c r="H169" s="238">
        <f>IF(F169=0,0,CONCATENATE(ROUND(VLOOKUP(G169,acute_overview_adults!$C$12:$AH$391,3,FALSE),2)," / ",ROUND(VLOOKUP(G169,acute_overview_adults!$C$12:$AH$391,4,FALSE),2)))</f>
        <v>0</v>
      </c>
      <c r="I169" s="239" t="str">
        <f>IF(F169&gt;0,VLOOKUP(G169,acute_overview_adults!$C$12:$AH$391,24,FALSE)*1000,"")</f>
        <v/>
      </c>
      <c r="J169" s="766">
        <f>IF($K$6="not necessary",0,LARGE(acute_overview_children!$AD$14:$AD$391,ROW()-ROW($B$65)))</f>
        <v>0</v>
      </c>
      <c r="K169" s="745" t="str">
        <f>IF(J169&gt;0,INDEX(acute_overview_children!$A$12:$AH$391,MATCH(J169,acute_overview_children!$AD$12:$AD$391,0),3),"")</f>
        <v/>
      </c>
      <c r="L169" s="755">
        <f>IF(J169=0,0,CONCATENATE(ROUND(VLOOKUP(K169,acute_overview_children!$C$12:$AH$391,3,FALSE),2)," / ",ROUND(VLOOKUP(K169,acute_overview_children!$C$12:$AH$391,6,FALSE),2)))</f>
        <v>0</v>
      </c>
      <c r="M169" s="755" t="str">
        <f>IF(J169&gt;0,VLOOKUP(K169,acute_overview_children!$C$12:$AH$391,27,FALSE)*1000,"")</f>
        <v/>
      </c>
      <c r="N169" s="766">
        <f>IF($K$6="not necessary",0,LARGE(acute_overview_adults!$AD$14:$AD$391,ROW()-ROW($F$65)))</f>
        <v>0</v>
      </c>
      <c r="O169" s="745" t="str">
        <f>IF(Results!N169&gt;0,INDEX(acute_overview_adults!$A$12:$AH$391,MATCH(Results!N169,acute_overview_adults!$AD$12:$AD$391,0),3),"")</f>
        <v/>
      </c>
      <c r="P169" s="755">
        <f>IF(N169=0,0,CONCATENATE(ROUND(VLOOKUP(O169,acute_overview_adults!$C$12:$AH$391,3,FALSE),2)," / ",ROUND(VLOOKUP(O169,acute_overview_adults!$C$12:$AH$391,6,FALSE),2)))</f>
        <v>0</v>
      </c>
      <c r="Q169" s="755" t="str">
        <f>IF(N169&gt;0,VLOOKUP(O169,acute_overview_adults!$C$12:$AH$391,27,FALSE)*1000,"")</f>
        <v/>
      </c>
      <c r="S169" s="1161">
        <f t="shared" si="8"/>
        <v>0</v>
      </c>
      <c r="T169" s="1161">
        <f t="shared" si="9"/>
        <v>0</v>
      </c>
      <c r="U169" s="1161">
        <f t="shared" si="10"/>
        <v>0</v>
      </c>
      <c r="V169" s="1161">
        <f t="shared" si="11"/>
        <v>0</v>
      </c>
      <c r="W169" s="1163">
        <f t="shared" si="12"/>
        <v>0</v>
      </c>
      <c r="X169" s="1163">
        <f t="shared" si="13"/>
        <v>0</v>
      </c>
      <c r="Y169" s="1163">
        <f t="shared" si="14"/>
        <v>0</v>
      </c>
      <c r="Z169" s="1163">
        <f t="shared" si="15"/>
        <v>0</v>
      </c>
    </row>
    <row r="170" spans="1:26" s="43" customFormat="1" ht="12" hidden="1" customHeight="1" outlineLevel="1" x14ac:dyDescent="0.2">
      <c r="A170" s="178"/>
      <c r="B170" s="546">
        <f>IF($K$6="not necessary",0,LARGE(acute_overview_children!$AA$14:$AA$391,ROW()-(ROW($B$65))))</f>
        <v>0</v>
      </c>
      <c r="C170" s="237" t="str">
        <f>IF(Results!B170&gt;0,INDEX(acute_overview_children!$A$12:$AH$391,MATCH(Results!B170,acute_overview_children!$AA$12:$AA$391,0),3),"")</f>
        <v/>
      </c>
      <c r="D170" s="238">
        <f>IF(B170=0,0,CONCATENATE(ROUND(VLOOKUP(C170,acute_overview_children!$C$12:$AH$391,3,FALSE),2)," / ",ROUND(VLOOKUP(C170,acute_overview_children!$C$12:$AH$391,4,FALSE),2)))</f>
        <v>0</v>
      </c>
      <c r="E170" s="238" t="str">
        <f>IF(B170&gt;0,VLOOKUP(C170,acute_overview_children!$C$12:$AH$391,24,FALSE)*1000,"")</f>
        <v/>
      </c>
      <c r="F170" s="546">
        <f>IF($K$6="not necessary",0,LARGE(acute_overview_adults!$AA$14:$AA$391,ROW()-(ROW($B$65))))</f>
        <v>0</v>
      </c>
      <c r="G170" s="237" t="str">
        <f>IF(F170&gt;0,INDEX(acute_overview_adults!$A$12:$AH$391,MATCH(F170,acute_overview_adults!$AA$12:$AA$391,0),3),"")</f>
        <v/>
      </c>
      <c r="H170" s="238">
        <f>IF(F170=0,0,CONCATENATE(ROUND(VLOOKUP(G170,acute_overview_adults!$C$12:$AH$391,3,FALSE),2)," / ",ROUND(VLOOKUP(G170,acute_overview_adults!$C$12:$AH$391,4,FALSE),2)))</f>
        <v>0</v>
      </c>
      <c r="I170" s="239" t="str">
        <f>IF(F170&gt;0,VLOOKUP(G170,acute_overview_adults!$C$12:$AH$391,24,FALSE)*1000,"")</f>
        <v/>
      </c>
      <c r="J170" s="766">
        <f>IF($K$6="not necessary",0,LARGE(acute_overview_children!$AD$14:$AD$391,ROW()-ROW($B$65)))</f>
        <v>0</v>
      </c>
      <c r="K170" s="745" t="str">
        <f>IF(J170&gt;0,INDEX(acute_overview_children!$A$12:$AH$391,MATCH(J170,acute_overview_children!$AD$12:$AD$391,0),3),"")</f>
        <v/>
      </c>
      <c r="L170" s="755">
        <f>IF(J170=0,0,CONCATENATE(ROUND(VLOOKUP(K170,acute_overview_children!$C$12:$AH$391,3,FALSE),2)," / ",ROUND(VLOOKUP(K170,acute_overview_children!$C$12:$AH$391,6,FALSE),2)))</f>
        <v>0</v>
      </c>
      <c r="M170" s="755" t="str">
        <f>IF(J170&gt;0,VLOOKUP(K170,acute_overview_children!$C$12:$AH$391,27,FALSE)*1000,"")</f>
        <v/>
      </c>
      <c r="N170" s="766">
        <f>IF($K$6="not necessary",0,LARGE(acute_overview_adults!$AD$14:$AD$391,ROW()-ROW($F$65)))</f>
        <v>0</v>
      </c>
      <c r="O170" s="745" t="str">
        <f>IF(Results!N170&gt;0,INDEX(acute_overview_adults!$A$12:$AH$391,MATCH(Results!N170,acute_overview_adults!$AD$12:$AD$391,0),3),"")</f>
        <v/>
      </c>
      <c r="P170" s="755">
        <f>IF(N170=0,0,CONCATENATE(ROUND(VLOOKUP(O170,acute_overview_adults!$C$12:$AH$391,3,FALSE),2)," / ",ROUND(VLOOKUP(O170,acute_overview_adults!$C$12:$AH$391,6,FALSE),2)))</f>
        <v>0</v>
      </c>
      <c r="Q170" s="755" t="str">
        <f>IF(N170&gt;0,VLOOKUP(O170,acute_overview_adults!$C$12:$AH$391,27,FALSE)*1000,"")</f>
        <v/>
      </c>
      <c r="S170" s="1161">
        <f t="shared" si="8"/>
        <v>0</v>
      </c>
      <c r="T170" s="1161">
        <f t="shared" si="9"/>
        <v>0</v>
      </c>
      <c r="U170" s="1161">
        <f t="shared" si="10"/>
        <v>0</v>
      </c>
      <c r="V170" s="1161">
        <f t="shared" si="11"/>
        <v>0</v>
      </c>
      <c r="W170" s="1163">
        <f t="shared" si="12"/>
        <v>0</v>
      </c>
      <c r="X170" s="1163">
        <f t="shared" si="13"/>
        <v>0</v>
      </c>
      <c r="Y170" s="1163">
        <f t="shared" si="14"/>
        <v>0</v>
      </c>
      <c r="Z170" s="1163">
        <f t="shared" si="15"/>
        <v>0</v>
      </c>
    </row>
    <row r="171" spans="1:26" s="43" customFormat="1" ht="12" hidden="1" customHeight="1" outlineLevel="1" x14ac:dyDescent="0.2">
      <c r="A171" s="178"/>
      <c r="B171" s="546">
        <f>IF($K$6="not necessary",0,LARGE(acute_overview_children!$AA$14:$AA$391,ROW()-(ROW($B$65))))</f>
        <v>0</v>
      </c>
      <c r="C171" s="237" t="str">
        <f>IF(Results!B171&gt;0,INDEX(acute_overview_children!$A$12:$AH$391,MATCH(Results!B171,acute_overview_children!$AA$12:$AA$391,0),3),"")</f>
        <v/>
      </c>
      <c r="D171" s="238">
        <f>IF(B171=0,0,CONCATENATE(ROUND(VLOOKUP(C171,acute_overview_children!$C$12:$AH$391,3,FALSE),2)," / ",ROUND(VLOOKUP(C171,acute_overview_children!$C$12:$AH$391,4,FALSE),2)))</f>
        <v>0</v>
      </c>
      <c r="E171" s="238" t="str">
        <f>IF(B171&gt;0,VLOOKUP(C171,acute_overview_children!$C$12:$AH$391,24,FALSE)*1000,"")</f>
        <v/>
      </c>
      <c r="F171" s="546">
        <f>IF($K$6="not necessary",0,LARGE(acute_overview_adults!$AA$14:$AA$391,ROW()-(ROW($B$65))))</f>
        <v>0</v>
      </c>
      <c r="G171" s="237" t="str">
        <f>IF(F171&gt;0,INDEX(acute_overview_adults!$A$12:$AH$391,MATCH(F171,acute_overview_adults!$AA$12:$AA$391,0),3),"")</f>
        <v/>
      </c>
      <c r="H171" s="238">
        <f>IF(F171=0,0,CONCATENATE(ROUND(VLOOKUP(G171,acute_overview_adults!$C$12:$AH$391,3,FALSE),2)," / ",ROUND(VLOOKUP(G171,acute_overview_adults!$C$12:$AH$391,4,FALSE),2)))</f>
        <v>0</v>
      </c>
      <c r="I171" s="239" t="str">
        <f>IF(F171&gt;0,VLOOKUP(G171,acute_overview_adults!$C$12:$AH$391,24,FALSE)*1000,"")</f>
        <v/>
      </c>
      <c r="J171" s="766">
        <f>IF($K$6="not necessary",0,LARGE(acute_overview_children!$AD$14:$AD$391,ROW()-ROW($B$65)))</f>
        <v>0</v>
      </c>
      <c r="K171" s="745" t="str">
        <f>IF(J171&gt;0,INDEX(acute_overview_children!$A$12:$AH$391,MATCH(J171,acute_overview_children!$AD$12:$AD$391,0),3),"")</f>
        <v/>
      </c>
      <c r="L171" s="755">
        <f>IF(J171=0,0,CONCATENATE(ROUND(VLOOKUP(K171,acute_overview_children!$C$12:$AH$391,3,FALSE),2)," / ",ROUND(VLOOKUP(K171,acute_overview_children!$C$12:$AH$391,6,FALSE),2)))</f>
        <v>0</v>
      </c>
      <c r="M171" s="755" t="str">
        <f>IF(J171&gt;0,VLOOKUP(K171,acute_overview_children!$C$12:$AH$391,27,FALSE)*1000,"")</f>
        <v/>
      </c>
      <c r="N171" s="766">
        <f>IF($K$6="not necessary",0,LARGE(acute_overview_adults!$AD$14:$AD$391,ROW()-ROW($F$65)))</f>
        <v>0</v>
      </c>
      <c r="O171" s="745" t="str">
        <f>IF(Results!N171&gt;0,INDEX(acute_overview_adults!$A$12:$AH$391,MATCH(Results!N171,acute_overview_adults!$AD$12:$AD$391,0),3),"")</f>
        <v/>
      </c>
      <c r="P171" s="755">
        <f>IF(N171=0,0,CONCATENATE(ROUND(VLOOKUP(O171,acute_overview_adults!$C$12:$AH$391,3,FALSE),2)," / ",ROUND(VLOOKUP(O171,acute_overview_adults!$C$12:$AH$391,6,FALSE),2)))</f>
        <v>0</v>
      </c>
      <c r="Q171" s="755" t="str">
        <f>IF(N171&gt;0,VLOOKUP(O171,acute_overview_adults!$C$12:$AH$391,27,FALSE)*1000,"")</f>
        <v/>
      </c>
      <c r="S171" s="1161">
        <f t="shared" si="8"/>
        <v>0</v>
      </c>
      <c r="T171" s="1161">
        <f t="shared" si="9"/>
        <v>0</v>
      </c>
      <c r="U171" s="1161">
        <f t="shared" si="10"/>
        <v>0</v>
      </c>
      <c r="V171" s="1161">
        <f t="shared" si="11"/>
        <v>0</v>
      </c>
      <c r="W171" s="1163">
        <f t="shared" si="12"/>
        <v>0</v>
      </c>
      <c r="X171" s="1163">
        <f t="shared" si="13"/>
        <v>0</v>
      </c>
      <c r="Y171" s="1163">
        <f t="shared" si="14"/>
        <v>0</v>
      </c>
      <c r="Z171" s="1163">
        <f t="shared" si="15"/>
        <v>0</v>
      </c>
    </row>
    <row r="172" spans="1:26" s="43" customFormat="1" ht="12" hidden="1" customHeight="1" outlineLevel="1" x14ac:dyDescent="0.2">
      <c r="A172" s="178"/>
      <c r="B172" s="546">
        <f>IF($K$6="not necessary",0,LARGE(acute_overview_children!$AA$14:$AA$391,ROW()-(ROW($B$65))))</f>
        <v>0</v>
      </c>
      <c r="C172" s="237" t="str">
        <f>IF(Results!B172&gt;0,INDEX(acute_overview_children!$A$12:$AH$391,MATCH(Results!B172,acute_overview_children!$AA$12:$AA$391,0),3),"")</f>
        <v/>
      </c>
      <c r="D172" s="238">
        <f>IF(B172=0,0,CONCATENATE(ROUND(VLOOKUP(C172,acute_overview_children!$C$12:$AH$391,3,FALSE),2)," / ",ROUND(VLOOKUP(C172,acute_overview_children!$C$12:$AH$391,4,FALSE),2)))</f>
        <v>0</v>
      </c>
      <c r="E172" s="238" t="str">
        <f>IF(B172&gt;0,VLOOKUP(C172,acute_overview_children!$C$12:$AH$391,24,FALSE)*1000,"")</f>
        <v/>
      </c>
      <c r="F172" s="546">
        <f>IF($K$6="not necessary",0,LARGE(acute_overview_adults!$AA$14:$AA$391,ROW()-(ROW($B$65))))</f>
        <v>0</v>
      </c>
      <c r="G172" s="237" t="str">
        <f>IF(F172&gt;0,INDEX(acute_overview_adults!$A$12:$AH$391,MATCH(F172,acute_overview_adults!$AA$12:$AA$391,0),3),"")</f>
        <v/>
      </c>
      <c r="H172" s="238">
        <f>IF(F172=0,0,CONCATENATE(ROUND(VLOOKUP(G172,acute_overview_adults!$C$12:$AH$391,3,FALSE),2)," / ",ROUND(VLOOKUP(G172,acute_overview_adults!$C$12:$AH$391,4,FALSE),2)))</f>
        <v>0</v>
      </c>
      <c r="I172" s="239" t="str">
        <f>IF(F172&gt;0,VLOOKUP(G172,acute_overview_adults!$C$12:$AH$391,24,FALSE)*1000,"")</f>
        <v/>
      </c>
      <c r="J172" s="766">
        <f>IF($K$6="not necessary",0,LARGE(acute_overview_children!$AD$14:$AD$391,ROW()-ROW($B$65)))</f>
        <v>0</v>
      </c>
      <c r="K172" s="745" t="str">
        <f>IF(J172&gt;0,INDEX(acute_overview_children!$A$12:$AH$391,MATCH(J172,acute_overview_children!$AD$12:$AD$391,0),3),"")</f>
        <v/>
      </c>
      <c r="L172" s="755">
        <f>IF(J172=0,0,CONCATENATE(ROUND(VLOOKUP(K172,acute_overview_children!$C$12:$AH$391,3,FALSE),2)," / ",ROUND(VLOOKUP(K172,acute_overview_children!$C$12:$AH$391,6,FALSE),2)))</f>
        <v>0</v>
      </c>
      <c r="M172" s="755" t="str">
        <f>IF(J172&gt;0,VLOOKUP(K172,acute_overview_children!$C$12:$AH$391,27,FALSE)*1000,"")</f>
        <v/>
      </c>
      <c r="N172" s="766">
        <f>IF($K$6="not necessary",0,LARGE(acute_overview_adults!$AD$14:$AD$391,ROW()-ROW($F$65)))</f>
        <v>0</v>
      </c>
      <c r="O172" s="745" t="str">
        <f>IF(Results!N172&gt;0,INDEX(acute_overview_adults!$A$12:$AH$391,MATCH(Results!N172,acute_overview_adults!$AD$12:$AD$391,0),3),"")</f>
        <v/>
      </c>
      <c r="P172" s="755">
        <f>IF(N172=0,0,CONCATENATE(ROUND(VLOOKUP(O172,acute_overview_adults!$C$12:$AH$391,3,FALSE),2)," / ",ROUND(VLOOKUP(O172,acute_overview_adults!$C$12:$AH$391,6,FALSE),2)))</f>
        <v>0</v>
      </c>
      <c r="Q172" s="755" t="str">
        <f>IF(N172&gt;0,VLOOKUP(O172,acute_overview_adults!$C$12:$AH$391,27,FALSE)*1000,"")</f>
        <v/>
      </c>
      <c r="S172" s="1161">
        <f t="shared" si="8"/>
        <v>0</v>
      </c>
      <c r="T172" s="1161">
        <f t="shared" si="9"/>
        <v>0</v>
      </c>
      <c r="U172" s="1161">
        <f t="shared" si="10"/>
        <v>0</v>
      </c>
      <c r="V172" s="1161">
        <f t="shared" si="11"/>
        <v>0</v>
      </c>
      <c r="W172" s="1163">
        <f t="shared" si="12"/>
        <v>0</v>
      </c>
      <c r="X172" s="1163">
        <f t="shared" si="13"/>
        <v>0</v>
      </c>
      <c r="Y172" s="1163">
        <f t="shared" si="14"/>
        <v>0</v>
      </c>
      <c r="Z172" s="1163">
        <f t="shared" si="15"/>
        <v>0</v>
      </c>
    </row>
    <row r="173" spans="1:26" s="43" customFormat="1" ht="12" hidden="1" customHeight="1" outlineLevel="1" x14ac:dyDescent="0.2">
      <c r="A173" s="178"/>
      <c r="B173" s="546">
        <f>IF($K$6="not necessary",0,LARGE(acute_overview_children!$AA$14:$AA$391,ROW()-(ROW($B$65))))</f>
        <v>0</v>
      </c>
      <c r="C173" s="237" t="str">
        <f>IF(Results!B173&gt;0,INDEX(acute_overview_children!$A$12:$AH$391,MATCH(Results!B173,acute_overview_children!$AA$12:$AA$391,0),3),"")</f>
        <v/>
      </c>
      <c r="D173" s="238">
        <f>IF(B173=0,0,CONCATENATE(ROUND(VLOOKUP(C173,acute_overview_children!$C$12:$AH$391,3,FALSE),2)," / ",ROUND(VLOOKUP(C173,acute_overview_children!$C$12:$AH$391,4,FALSE),2)))</f>
        <v>0</v>
      </c>
      <c r="E173" s="238" t="str">
        <f>IF(B173&gt;0,VLOOKUP(C173,acute_overview_children!$C$12:$AH$391,24,FALSE)*1000,"")</f>
        <v/>
      </c>
      <c r="F173" s="546">
        <f>IF($K$6="not necessary",0,LARGE(acute_overview_adults!$AA$14:$AA$391,ROW()-(ROW($B$65))))</f>
        <v>0</v>
      </c>
      <c r="G173" s="237" t="str">
        <f>IF(F173&gt;0,INDEX(acute_overview_adults!$A$12:$AH$391,MATCH(F173,acute_overview_adults!$AA$12:$AA$391,0),3),"")</f>
        <v/>
      </c>
      <c r="H173" s="238">
        <f>IF(F173=0,0,CONCATENATE(ROUND(VLOOKUP(G173,acute_overview_adults!$C$12:$AH$391,3,FALSE),2)," / ",ROUND(VLOOKUP(G173,acute_overview_adults!$C$12:$AH$391,4,FALSE),2)))</f>
        <v>0</v>
      </c>
      <c r="I173" s="239" t="str">
        <f>IF(F173&gt;0,VLOOKUP(G173,acute_overview_adults!$C$12:$AH$391,24,FALSE)*1000,"")</f>
        <v/>
      </c>
      <c r="J173" s="766">
        <f>IF($K$6="not necessary",0,LARGE(acute_overview_children!$AD$14:$AD$391,ROW()-ROW($B$65)))</f>
        <v>0</v>
      </c>
      <c r="K173" s="745" t="str">
        <f>IF(J173&gt;0,INDEX(acute_overview_children!$A$12:$AH$391,MATCH(J173,acute_overview_children!$AD$12:$AD$391,0),3),"")</f>
        <v/>
      </c>
      <c r="L173" s="755">
        <f>IF(J173=0,0,CONCATENATE(ROUND(VLOOKUP(K173,acute_overview_children!$C$12:$AH$391,3,FALSE),2)," / ",ROUND(VLOOKUP(K173,acute_overview_children!$C$12:$AH$391,6,FALSE),2)))</f>
        <v>0</v>
      </c>
      <c r="M173" s="755" t="str">
        <f>IF(J173&gt;0,VLOOKUP(K173,acute_overview_children!$C$12:$AH$391,27,FALSE)*1000,"")</f>
        <v/>
      </c>
      <c r="N173" s="766">
        <f>IF($K$6="not necessary",0,LARGE(acute_overview_adults!$AD$14:$AD$391,ROW()-ROW($F$65)))</f>
        <v>0</v>
      </c>
      <c r="O173" s="745" t="str">
        <f>IF(Results!N173&gt;0,INDEX(acute_overview_adults!$A$12:$AH$391,MATCH(Results!N173,acute_overview_adults!$AD$12:$AD$391,0),3),"")</f>
        <v/>
      </c>
      <c r="P173" s="755">
        <f>IF(N173=0,0,CONCATENATE(ROUND(VLOOKUP(O173,acute_overview_adults!$C$12:$AH$391,3,FALSE),2)," / ",ROUND(VLOOKUP(O173,acute_overview_adults!$C$12:$AH$391,6,FALSE),2)))</f>
        <v>0</v>
      </c>
      <c r="Q173" s="755" t="str">
        <f>IF(N173&gt;0,VLOOKUP(O173,acute_overview_adults!$C$12:$AH$391,27,FALSE)*1000,"")</f>
        <v/>
      </c>
      <c r="S173" s="1161">
        <f t="shared" si="8"/>
        <v>0</v>
      </c>
      <c r="T173" s="1161">
        <f t="shared" si="9"/>
        <v>0</v>
      </c>
      <c r="U173" s="1161">
        <f t="shared" si="10"/>
        <v>0</v>
      </c>
      <c r="V173" s="1161">
        <f t="shared" si="11"/>
        <v>0</v>
      </c>
      <c r="W173" s="1163">
        <f t="shared" si="12"/>
        <v>0</v>
      </c>
      <c r="X173" s="1163">
        <f t="shared" si="13"/>
        <v>0</v>
      </c>
      <c r="Y173" s="1163">
        <f t="shared" si="14"/>
        <v>0</v>
      </c>
      <c r="Z173" s="1163">
        <f t="shared" si="15"/>
        <v>0</v>
      </c>
    </row>
    <row r="174" spans="1:26" s="43" customFormat="1" ht="12" hidden="1" customHeight="1" outlineLevel="1" x14ac:dyDescent="0.2">
      <c r="A174" s="178"/>
      <c r="B174" s="546">
        <f>IF($K$6="not necessary",0,LARGE(acute_overview_children!$AA$14:$AA$391,ROW()-(ROW($B$65))))</f>
        <v>0</v>
      </c>
      <c r="C174" s="237" t="str">
        <f>IF(Results!B174&gt;0,INDEX(acute_overview_children!$A$12:$AH$391,MATCH(Results!B174,acute_overview_children!$AA$12:$AA$391,0),3),"")</f>
        <v/>
      </c>
      <c r="D174" s="238">
        <f>IF(B174=0,0,CONCATENATE(ROUND(VLOOKUP(C174,acute_overview_children!$C$12:$AH$391,3,FALSE),2)," / ",ROUND(VLOOKUP(C174,acute_overview_children!$C$12:$AH$391,4,FALSE),2)))</f>
        <v>0</v>
      </c>
      <c r="E174" s="238" t="str">
        <f>IF(B174&gt;0,VLOOKUP(C174,acute_overview_children!$C$12:$AH$391,24,FALSE)*1000,"")</f>
        <v/>
      </c>
      <c r="F174" s="546">
        <f>IF($K$6="not necessary",0,LARGE(acute_overview_adults!$AA$14:$AA$391,ROW()-(ROW($B$65))))</f>
        <v>0</v>
      </c>
      <c r="G174" s="237" t="str">
        <f>IF(F174&gt;0,INDEX(acute_overview_adults!$A$12:$AH$391,MATCH(F174,acute_overview_adults!$AA$12:$AA$391,0),3),"")</f>
        <v/>
      </c>
      <c r="H174" s="238">
        <f>IF(F174=0,0,CONCATENATE(ROUND(VLOOKUP(G174,acute_overview_adults!$C$12:$AH$391,3,FALSE),2)," / ",ROUND(VLOOKUP(G174,acute_overview_adults!$C$12:$AH$391,4,FALSE),2)))</f>
        <v>0</v>
      </c>
      <c r="I174" s="239" t="str">
        <f>IF(F174&gt;0,VLOOKUP(G174,acute_overview_adults!$C$12:$AH$391,24,FALSE)*1000,"")</f>
        <v/>
      </c>
      <c r="J174" s="766">
        <f>IF($K$6="not necessary",0,LARGE(acute_overview_children!$AD$14:$AD$391,ROW()-ROW($B$65)))</f>
        <v>0</v>
      </c>
      <c r="K174" s="745" t="str">
        <f>IF(J174&gt;0,INDEX(acute_overview_children!$A$12:$AH$391,MATCH(J174,acute_overview_children!$AD$12:$AD$391,0),3),"")</f>
        <v/>
      </c>
      <c r="L174" s="755">
        <f>IF(J174=0,0,CONCATENATE(ROUND(VLOOKUP(K174,acute_overview_children!$C$12:$AH$391,3,FALSE),2)," / ",ROUND(VLOOKUP(K174,acute_overview_children!$C$12:$AH$391,6,FALSE),2)))</f>
        <v>0</v>
      </c>
      <c r="M174" s="755" t="str">
        <f>IF(J174&gt;0,VLOOKUP(K174,acute_overview_children!$C$12:$AH$391,27,FALSE)*1000,"")</f>
        <v/>
      </c>
      <c r="N174" s="766">
        <f>IF($K$6="not necessary",0,LARGE(acute_overview_adults!$AD$14:$AD$391,ROW()-ROW($F$65)))</f>
        <v>0</v>
      </c>
      <c r="O174" s="745" t="str">
        <f>IF(Results!N174&gt;0,INDEX(acute_overview_adults!$A$12:$AH$391,MATCH(Results!N174,acute_overview_adults!$AD$12:$AD$391,0),3),"")</f>
        <v/>
      </c>
      <c r="P174" s="755">
        <f>IF(N174=0,0,CONCATENATE(ROUND(VLOOKUP(O174,acute_overview_adults!$C$12:$AH$391,3,FALSE),2)," / ",ROUND(VLOOKUP(O174,acute_overview_adults!$C$12:$AH$391,6,FALSE),2)))</f>
        <v>0</v>
      </c>
      <c r="Q174" s="755" t="str">
        <f>IF(N174&gt;0,VLOOKUP(O174,acute_overview_adults!$C$12:$AH$391,27,FALSE)*1000,"")</f>
        <v/>
      </c>
      <c r="S174" s="1161">
        <f t="shared" si="8"/>
        <v>0</v>
      </c>
      <c r="T174" s="1161">
        <f t="shared" si="9"/>
        <v>0</v>
      </c>
      <c r="U174" s="1161">
        <f t="shared" si="10"/>
        <v>0</v>
      </c>
      <c r="V174" s="1161">
        <f t="shared" si="11"/>
        <v>0</v>
      </c>
      <c r="W174" s="1163">
        <f t="shared" si="12"/>
        <v>0</v>
      </c>
      <c r="X174" s="1163">
        <f t="shared" si="13"/>
        <v>0</v>
      </c>
      <c r="Y174" s="1163">
        <f t="shared" si="14"/>
        <v>0</v>
      </c>
      <c r="Z174" s="1163">
        <f t="shared" si="15"/>
        <v>0</v>
      </c>
    </row>
    <row r="175" spans="1:26" s="43" customFormat="1" ht="12" hidden="1" customHeight="1" outlineLevel="1" x14ac:dyDescent="0.2">
      <c r="A175" s="178"/>
      <c r="B175" s="546">
        <f>IF($K$6="not necessary",0,LARGE(acute_overview_children!$AA$14:$AA$391,ROW()-(ROW($B$65))))</f>
        <v>0</v>
      </c>
      <c r="C175" s="237" t="str">
        <f>IF(Results!B175&gt;0,INDEX(acute_overview_children!$A$12:$AH$391,MATCH(Results!B175,acute_overview_children!$AA$12:$AA$391,0),3),"")</f>
        <v/>
      </c>
      <c r="D175" s="238">
        <f>IF(B175=0,0,CONCATENATE(ROUND(VLOOKUP(C175,acute_overview_children!$C$12:$AH$391,3,FALSE),2)," / ",ROUND(VLOOKUP(C175,acute_overview_children!$C$12:$AH$391,4,FALSE),2)))</f>
        <v>0</v>
      </c>
      <c r="E175" s="238" t="str">
        <f>IF(B175&gt;0,VLOOKUP(C175,acute_overview_children!$C$12:$AH$391,24,FALSE)*1000,"")</f>
        <v/>
      </c>
      <c r="F175" s="546">
        <f>IF($K$6="not necessary",0,LARGE(acute_overview_adults!$AA$14:$AA$391,ROW()-(ROW($B$65))))</f>
        <v>0</v>
      </c>
      <c r="G175" s="237" t="str">
        <f>IF(F175&gt;0,INDEX(acute_overview_adults!$A$12:$AH$391,MATCH(F175,acute_overview_adults!$AA$12:$AA$391,0),3),"")</f>
        <v/>
      </c>
      <c r="H175" s="238">
        <f>IF(F175=0,0,CONCATENATE(ROUND(VLOOKUP(G175,acute_overview_adults!$C$12:$AH$391,3,FALSE),2)," / ",ROUND(VLOOKUP(G175,acute_overview_adults!$C$12:$AH$391,4,FALSE),2)))</f>
        <v>0</v>
      </c>
      <c r="I175" s="239" t="str">
        <f>IF(F175&gt;0,VLOOKUP(G175,acute_overview_adults!$C$12:$AH$391,24,FALSE)*1000,"")</f>
        <v/>
      </c>
      <c r="J175" s="766">
        <f>IF($K$6="not necessary",0,LARGE(acute_overview_children!$AD$14:$AD$391,ROW()-ROW($B$65)))</f>
        <v>0</v>
      </c>
      <c r="K175" s="745" t="str">
        <f>IF(J175&gt;0,INDEX(acute_overview_children!$A$12:$AH$391,MATCH(J175,acute_overview_children!$AD$12:$AD$391,0),3),"")</f>
        <v/>
      </c>
      <c r="L175" s="755">
        <f>IF(J175=0,0,CONCATENATE(ROUND(VLOOKUP(K175,acute_overview_children!$C$12:$AH$391,3,FALSE),2)," / ",ROUND(VLOOKUP(K175,acute_overview_children!$C$12:$AH$391,6,FALSE),2)))</f>
        <v>0</v>
      </c>
      <c r="M175" s="755" t="str">
        <f>IF(J175&gt;0,VLOOKUP(K175,acute_overview_children!$C$12:$AH$391,27,FALSE)*1000,"")</f>
        <v/>
      </c>
      <c r="N175" s="766">
        <f>IF($K$6="not necessary",0,LARGE(acute_overview_adults!$AD$14:$AD$391,ROW()-ROW($F$65)))</f>
        <v>0</v>
      </c>
      <c r="O175" s="745" t="str">
        <f>IF(Results!N175&gt;0,INDEX(acute_overview_adults!$A$12:$AH$391,MATCH(Results!N175,acute_overview_adults!$AD$12:$AD$391,0),3),"")</f>
        <v/>
      </c>
      <c r="P175" s="755">
        <f>IF(N175=0,0,CONCATENATE(ROUND(VLOOKUP(O175,acute_overview_adults!$C$12:$AH$391,3,FALSE),2)," / ",ROUND(VLOOKUP(O175,acute_overview_adults!$C$12:$AH$391,6,FALSE),2)))</f>
        <v>0</v>
      </c>
      <c r="Q175" s="755" t="str">
        <f>IF(N175&gt;0,VLOOKUP(O175,acute_overview_adults!$C$12:$AH$391,27,FALSE)*1000,"")</f>
        <v/>
      </c>
      <c r="S175" s="1161">
        <f t="shared" si="8"/>
        <v>0</v>
      </c>
      <c r="T175" s="1161">
        <f t="shared" si="9"/>
        <v>0</v>
      </c>
      <c r="U175" s="1161">
        <f t="shared" si="10"/>
        <v>0</v>
      </c>
      <c r="V175" s="1161">
        <f t="shared" si="11"/>
        <v>0</v>
      </c>
      <c r="W175" s="1163">
        <f t="shared" si="12"/>
        <v>0</v>
      </c>
      <c r="X175" s="1163">
        <f t="shared" si="13"/>
        <v>0</v>
      </c>
      <c r="Y175" s="1163">
        <f t="shared" si="14"/>
        <v>0</v>
      </c>
      <c r="Z175" s="1163">
        <f t="shared" si="15"/>
        <v>0</v>
      </c>
    </row>
    <row r="176" spans="1:26" s="43" customFormat="1" ht="12" hidden="1" customHeight="1" outlineLevel="1" x14ac:dyDescent="0.2">
      <c r="A176" s="178"/>
      <c r="B176" s="546">
        <f>IF($K$6="not necessary",0,LARGE(acute_overview_children!$AA$14:$AA$391,ROW()-(ROW($B$65))))</f>
        <v>0</v>
      </c>
      <c r="C176" s="237" t="str">
        <f>IF(Results!B176&gt;0,INDEX(acute_overview_children!$A$12:$AH$391,MATCH(Results!B176,acute_overview_children!$AA$12:$AA$391,0),3),"")</f>
        <v/>
      </c>
      <c r="D176" s="238">
        <f>IF(B176=0,0,CONCATENATE(ROUND(VLOOKUP(C176,acute_overview_children!$C$12:$AH$391,3,FALSE),2)," / ",ROUND(VLOOKUP(C176,acute_overview_children!$C$12:$AH$391,4,FALSE),2)))</f>
        <v>0</v>
      </c>
      <c r="E176" s="238" t="str">
        <f>IF(B176&gt;0,VLOOKUP(C176,acute_overview_children!$C$12:$AH$391,24,FALSE)*1000,"")</f>
        <v/>
      </c>
      <c r="F176" s="546">
        <f>IF($K$6="not necessary",0,LARGE(acute_overview_adults!$AA$14:$AA$391,ROW()-(ROW($B$65))))</f>
        <v>0</v>
      </c>
      <c r="G176" s="237" t="str">
        <f>IF(F176&gt;0,INDEX(acute_overview_adults!$A$12:$AH$391,MATCH(F176,acute_overview_adults!$AA$12:$AA$391,0),3),"")</f>
        <v/>
      </c>
      <c r="H176" s="238">
        <f>IF(F176=0,0,CONCATENATE(ROUND(VLOOKUP(G176,acute_overview_adults!$C$12:$AH$391,3,FALSE),2)," / ",ROUND(VLOOKUP(G176,acute_overview_adults!$C$12:$AH$391,4,FALSE),2)))</f>
        <v>0</v>
      </c>
      <c r="I176" s="239" t="str">
        <f>IF(F176&gt;0,VLOOKUP(G176,acute_overview_adults!$C$12:$AH$391,24,FALSE)*1000,"")</f>
        <v/>
      </c>
      <c r="J176" s="766">
        <f>IF($K$6="not necessary",0,LARGE(acute_overview_children!$AD$14:$AD$391,ROW()-ROW($B$65)))</f>
        <v>0</v>
      </c>
      <c r="K176" s="745" t="str">
        <f>IF(J176&gt;0,INDEX(acute_overview_children!$A$12:$AH$391,MATCH(J176,acute_overview_children!$AD$12:$AD$391,0),3),"")</f>
        <v/>
      </c>
      <c r="L176" s="755">
        <f>IF(J176=0,0,CONCATENATE(ROUND(VLOOKUP(K176,acute_overview_children!$C$12:$AH$391,3,FALSE),2)," / ",ROUND(VLOOKUP(K176,acute_overview_children!$C$12:$AH$391,6,FALSE),2)))</f>
        <v>0</v>
      </c>
      <c r="M176" s="755" t="str">
        <f>IF(J176&gt;0,VLOOKUP(K176,acute_overview_children!$C$12:$AH$391,27,FALSE)*1000,"")</f>
        <v/>
      </c>
      <c r="N176" s="766">
        <f>IF($K$6="not necessary",0,LARGE(acute_overview_adults!$AD$14:$AD$391,ROW()-ROW($F$65)))</f>
        <v>0</v>
      </c>
      <c r="O176" s="745" t="str">
        <f>IF(Results!N176&gt;0,INDEX(acute_overview_adults!$A$12:$AH$391,MATCH(Results!N176,acute_overview_adults!$AD$12:$AD$391,0),3),"")</f>
        <v/>
      </c>
      <c r="P176" s="755">
        <f>IF(N176=0,0,CONCATENATE(ROUND(VLOOKUP(O176,acute_overview_adults!$C$12:$AH$391,3,FALSE),2)," / ",ROUND(VLOOKUP(O176,acute_overview_adults!$C$12:$AH$391,6,FALSE),2)))</f>
        <v>0</v>
      </c>
      <c r="Q176" s="755" t="str">
        <f>IF(N176&gt;0,VLOOKUP(O176,acute_overview_adults!$C$12:$AH$391,27,FALSE)*1000,"")</f>
        <v/>
      </c>
      <c r="S176" s="1161">
        <f t="shared" si="8"/>
        <v>0</v>
      </c>
      <c r="T176" s="1161">
        <f t="shared" si="9"/>
        <v>0</v>
      </c>
      <c r="U176" s="1161">
        <f t="shared" si="10"/>
        <v>0</v>
      </c>
      <c r="V176" s="1161">
        <f t="shared" si="11"/>
        <v>0</v>
      </c>
      <c r="W176" s="1163">
        <f t="shared" si="12"/>
        <v>0</v>
      </c>
      <c r="X176" s="1163">
        <f t="shared" si="13"/>
        <v>0</v>
      </c>
      <c r="Y176" s="1163">
        <f t="shared" si="14"/>
        <v>0</v>
      </c>
      <c r="Z176" s="1163">
        <f t="shared" si="15"/>
        <v>0</v>
      </c>
    </row>
    <row r="177" spans="1:26" s="43" customFormat="1" ht="12" hidden="1" customHeight="1" outlineLevel="1" x14ac:dyDescent="0.2">
      <c r="A177" s="178"/>
      <c r="B177" s="546">
        <f>IF($K$6="not necessary",0,LARGE(acute_overview_children!$AA$14:$AA$391,ROW()-(ROW($B$65))))</f>
        <v>0</v>
      </c>
      <c r="C177" s="237" t="str">
        <f>IF(Results!B177&gt;0,INDEX(acute_overview_children!$A$12:$AH$391,MATCH(Results!B177,acute_overview_children!$AA$12:$AA$391,0),3),"")</f>
        <v/>
      </c>
      <c r="D177" s="238">
        <f>IF(B177=0,0,CONCATENATE(ROUND(VLOOKUP(C177,acute_overview_children!$C$12:$AH$391,3,FALSE),2)," / ",ROUND(VLOOKUP(C177,acute_overview_children!$C$12:$AH$391,4,FALSE),2)))</f>
        <v>0</v>
      </c>
      <c r="E177" s="238" t="str">
        <f>IF(B177&gt;0,VLOOKUP(C177,acute_overview_children!$C$12:$AH$391,24,FALSE)*1000,"")</f>
        <v/>
      </c>
      <c r="F177" s="546">
        <f>IF($K$6="not necessary",0,LARGE(acute_overview_adults!$AA$14:$AA$391,ROW()-(ROW($B$65))))</f>
        <v>0</v>
      </c>
      <c r="G177" s="237" t="str">
        <f>IF(F177&gt;0,INDEX(acute_overview_adults!$A$12:$AH$391,MATCH(F177,acute_overview_adults!$AA$12:$AA$391,0),3),"")</f>
        <v/>
      </c>
      <c r="H177" s="238">
        <f>IF(F177=0,0,CONCATENATE(ROUND(VLOOKUP(G177,acute_overview_adults!$C$12:$AH$391,3,FALSE),2)," / ",ROUND(VLOOKUP(G177,acute_overview_adults!$C$12:$AH$391,4,FALSE),2)))</f>
        <v>0</v>
      </c>
      <c r="I177" s="239" t="str">
        <f>IF(F177&gt;0,VLOOKUP(G177,acute_overview_adults!$C$12:$AH$391,24,FALSE)*1000,"")</f>
        <v/>
      </c>
      <c r="J177" s="766">
        <f>IF($K$6="not necessary",0,LARGE(acute_overview_children!$AD$14:$AD$391,ROW()-ROW($B$65)))</f>
        <v>0</v>
      </c>
      <c r="K177" s="745" t="str">
        <f>IF(J177&gt;0,INDEX(acute_overview_children!$A$12:$AH$391,MATCH(J177,acute_overview_children!$AD$12:$AD$391,0),3),"")</f>
        <v/>
      </c>
      <c r="L177" s="755">
        <f>IF(J177=0,0,CONCATENATE(ROUND(VLOOKUP(K177,acute_overview_children!$C$12:$AH$391,3,FALSE),2)," / ",ROUND(VLOOKUP(K177,acute_overview_children!$C$12:$AH$391,6,FALSE),2)))</f>
        <v>0</v>
      </c>
      <c r="M177" s="755" t="str">
        <f>IF(J177&gt;0,VLOOKUP(K177,acute_overview_children!$C$12:$AH$391,27,FALSE)*1000,"")</f>
        <v/>
      </c>
      <c r="N177" s="766">
        <f>IF($K$6="not necessary",0,LARGE(acute_overview_adults!$AD$14:$AD$391,ROW()-ROW($F$65)))</f>
        <v>0</v>
      </c>
      <c r="O177" s="745" t="str">
        <f>IF(Results!N177&gt;0,INDEX(acute_overview_adults!$A$12:$AH$391,MATCH(Results!N177,acute_overview_adults!$AD$12:$AD$391,0),3),"")</f>
        <v/>
      </c>
      <c r="P177" s="755">
        <f>IF(N177=0,0,CONCATENATE(ROUND(VLOOKUP(O177,acute_overview_adults!$C$12:$AH$391,3,FALSE),2)," / ",ROUND(VLOOKUP(O177,acute_overview_adults!$C$12:$AH$391,6,FALSE),2)))</f>
        <v>0</v>
      </c>
      <c r="Q177" s="755" t="str">
        <f>IF(N177&gt;0,VLOOKUP(O177,acute_overview_adults!$C$12:$AH$391,27,FALSE)*1000,"")</f>
        <v/>
      </c>
      <c r="S177" s="1161">
        <f t="shared" si="8"/>
        <v>0</v>
      </c>
      <c r="T177" s="1161">
        <f t="shared" si="9"/>
        <v>0</v>
      </c>
      <c r="U177" s="1161">
        <f t="shared" si="10"/>
        <v>0</v>
      </c>
      <c r="V177" s="1161">
        <f t="shared" si="11"/>
        <v>0</v>
      </c>
      <c r="W177" s="1163">
        <f t="shared" si="12"/>
        <v>0</v>
      </c>
      <c r="X177" s="1163">
        <f t="shared" si="13"/>
        <v>0</v>
      </c>
      <c r="Y177" s="1163">
        <f t="shared" si="14"/>
        <v>0</v>
      </c>
      <c r="Z177" s="1163">
        <f t="shared" si="15"/>
        <v>0</v>
      </c>
    </row>
    <row r="178" spans="1:26" s="43" customFormat="1" ht="12" hidden="1" customHeight="1" outlineLevel="1" x14ac:dyDescent="0.2">
      <c r="A178" s="178"/>
      <c r="B178" s="546">
        <f>IF($K$6="not necessary",0,LARGE(acute_overview_children!$AA$14:$AA$391,ROW()-(ROW($B$65))))</f>
        <v>0</v>
      </c>
      <c r="C178" s="237" t="str">
        <f>IF(Results!B178&gt;0,INDEX(acute_overview_children!$A$12:$AH$391,MATCH(Results!B178,acute_overview_children!$AA$12:$AA$391,0),3),"")</f>
        <v/>
      </c>
      <c r="D178" s="238">
        <f>IF(B178=0,0,CONCATENATE(ROUND(VLOOKUP(C178,acute_overview_children!$C$12:$AH$391,3,FALSE),2)," / ",ROUND(VLOOKUP(C178,acute_overview_children!$C$12:$AH$391,4,FALSE),2)))</f>
        <v>0</v>
      </c>
      <c r="E178" s="238" t="str">
        <f>IF(B178&gt;0,VLOOKUP(C178,acute_overview_children!$C$12:$AH$391,24,FALSE)*1000,"")</f>
        <v/>
      </c>
      <c r="F178" s="546">
        <f>IF($K$6="not necessary",0,LARGE(acute_overview_adults!$AA$14:$AA$391,ROW()-(ROW($B$65))))</f>
        <v>0</v>
      </c>
      <c r="G178" s="237" t="str">
        <f>IF(F178&gt;0,INDEX(acute_overview_adults!$A$12:$AH$391,MATCH(F178,acute_overview_adults!$AA$12:$AA$391,0),3),"")</f>
        <v/>
      </c>
      <c r="H178" s="238">
        <f>IF(F178=0,0,CONCATENATE(ROUND(VLOOKUP(G178,acute_overview_adults!$C$12:$AH$391,3,FALSE),2)," / ",ROUND(VLOOKUP(G178,acute_overview_adults!$C$12:$AH$391,4,FALSE),2)))</f>
        <v>0</v>
      </c>
      <c r="I178" s="239" t="str">
        <f>IF(F178&gt;0,VLOOKUP(G178,acute_overview_adults!$C$12:$AH$391,24,FALSE)*1000,"")</f>
        <v/>
      </c>
      <c r="J178" s="766">
        <f>IF($K$6="not necessary",0,LARGE(acute_overview_children!$AD$14:$AD$391,ROW()-ROW($B$65)))</f>
        <v>0</v>
      </c>
      <c r="K178" s="745" t="str">
        <f>IF(J178&gt;0,INDEX(acute_overview_children!$A$12:$AH$391,MATCH(J178,acute_overview_children!$AD$12:$AD$391,0),3),"")</f>
        <v/>
      </c>
      <c r="L178" s="755">
        <f>IF(J178=0,0,CONCATENATE(ROUND(VLOOKUP(K178,acute_overview_children!$C$12:$AH$391,3,FALSE),2)," / ",ROUND(VLOOKUP(K178,acute_overview_children!$C$12:$AH$391,6,FALSE),2)))</f>
        <v>0</v>
      </c>
      <c r="M178" s="755" t="str">
        <f>IF(J178&gt;0,VLOOKUP(K178,acute_overview_children!$C$12:$AH$391,27,FALSE)*1000,"")</f>
        <v/>
      </c>
      <c r="N178" s="766">
        <f>IF($K$6="not necessary",0,LARGE(acute_overview_adults!$AD$14:$AD$391,ROW()-ROW($F$65)))</f>
        <v>0</v>
      </c>
      <c r="O178" s="745" t="str">
        <f>IF(Results!N178&gt;0,INDEX(acute_overview_adults!$A$12:$AH$391,MATCH(Results!N178,acute_overview_adults!$AD$12:$AD$391,0),3),"")</f>
        <v/>
      </c>
      <c r="P178" s="755">
        <f>IF(N178=0,0,CONCATENATE(ROUND(VLOOKUP(O178,acute_overview_adults!$C$12:$AH$391,3,FALSE),2)," / ",ROUND(VLOOKUP(O178,acute_overview_adults!$C$12:$AH$391,6,FALSE),2)))</f>
        <v>0</v>
      </c>
      <c r="Q178" s="755" t="str">
        <f>IF(N178&gt;0,VLOOKUP(O178,acute_overview_adults!$C$12:$AH$391,27,FALSE)*1000,"")</f>
        <v/>
      </c>
      <c r="S178" s="1161">
        <f t="shared" si="8"/>
        <v>0</v>
      </c>
      <c r="T178" s="1161">
        <f t="shared" si="9"/>
        <v>0</v>
      </c>
      <c r="U178" s="1161">
        <f t="shared" si="10"/>
        <v>0</v>
      </c>
      <c r="V178" s="1161">
        <f t="shared" si="11"/>
        <v>0</v>
      </c>
      <c r="W178" s="1163">
        <f t="shared" si="12"/>
        <v>0</v>
      </c>
      <c r="X178" s="1163">
        <f t="shared" si="13"/>
        <v>0</v>
      </c>
      <c r="Y178" s="1163">
        <f t="shared" si="14"/>
        <v>0</v>
      </c>
      <c r="Z178" s="1163">
        <f t="shared" si="15"/>
        <v>0</v>
      </c>
    </row>
    <row r="179" spans="1:26" s="43" customFormat="1" ht="12" hidden="1" customHeight="1" outlineLevel="1" x14ac:dyDescent="0.2">
      <c r="A179" s="178"/>
      <c r="B179" s="546">
        <f>IF($K$6="not necessary",0,LARGE(acute_overview_children!$AA$14:$AA$391,ROW()-(ROW($B$65))))</f>
        <v>0</v>
      </c>
      <c r="C179" s="237" t="str">
        <f>IF(Results!B179&gt;0,INDEX(acute_overview_children!$A$12:$AH$391,MATCH(Results!B179,acute_overview_children!$AA$12:$AA$391,0),3),"")</f>
        <v/>
      </c>
      <c r="D179" s="238">
        <f>IF(B179=0,0,CONCATENATE(ROUND(VLOOKUP(C179,acute_overview_children!$C$12:$AH$391,3,FALSE),2)," / ",ROUND(VLOOKUP(C179,acute_overview_children!$C$12:$AH$391,4,FALSE),2)))</f>
        <v>0</v>
      </c>
      <c r="E179" s="238" t="str">
        <f>IF(B179&gt;0,VLOOKUP(C179,acute_overview_children!$C$12:$AH$391,24,FALSE)*1000,"")</f>
        <v/>
      </c>
      <c r="F179" s="546">
        <f>IF($K$6="not necessary",0,LARGE(acute_overview_adults!$AA$14:$AA$391,ROW()-(ROW($B$65))))</f>
        <v>0</v>
      </c>
      <c r="G179" s="237" t="str">
        <f>IF(F179&gt;0,INDEX(acute_overview_adults!$A$12:$AH$391,MATCH(F179,acute_overview_adults!$AA$12:$AA$391,0),3),"")</f>
        <v/>
      </c>
      <c r="H179" s="238">
        <f>IF(F179=0,0,CONCATENATE(ROUND(VLOOKUP(G179,acute_overview_adults!$C$12:$AH$391,3,FALSE),2)," / ",ROUND(VLOOKUP(G179,acute_overview_adults!$C$12:$AH$391,4,FALSE),2)))</f>
        <v>0</v>
      </c>
      <c r="I179" s="239" t="str">
        <f>IF(F179&gt;0,VLOOKUP(G179,acute_overview_adults!$C$12:$AH$391,24,FALSE)*1000,"")</f>
        <v/>
      </c>
      <c r="J179" s="766">
        <f>IF($K$6="not necessary",0,LARGE(acute_overview_children!$AD$14:$AD$391,ROW()-ROW($B$65)))</f>
        <v>0</v>
      </c>
      <c r="K179" s="745" t="str">
        <f>IF(J179&gt;0,INDEX(acute_overview_children!$A$12:$AH$391,MATCH(J179,acute_overview_children!$AD$12:$AD$391,0),3),"")</f>
        <v/>
      </c>
      <c r="L179" s="755">
        <f>IF(J179=0,0,CONCATENATE(ROUND(VLOOKUP(K179,acute_overview_children!$C$12:$AH$391,3,FALSE),2)," / ",ROUND(VLOOKUP(K179,acute_overview_children!$C$12:$AH$391,6,FALSE),2)))</f>
        <v>0</v>
      </c>
      <c r="M179" s="755" t="str">
        <f>IF(J179&gt;0,VLOOKUP(K179,acute_overview_children!$C$12:$AH$391,27,FALSE)*1000,"")</f>
        <v/>
      </c>
      <c r="N179" s="766">
        <f>IF($K$6="not necessary",0,LARGE(acute_overview_adults!$AD$14:$AD$391,ROW()-ROW($F$65)))</f>
        <v>0</v>
      </c>
      <c r="O179" s="745" t="str">
        <f>IF(Results!N179&gt;0,INDEX(acute_overview_adults!$A$12:$AH$391,MATCH(Results!N179,acute_overview_adults!$AD$12:$AD$391,0),3),"")</f>
        <v/>
      </c>
      <c r="P179" s="755">
        <f>IF(N179=0,0,CONCATENATE(ROUND(VLOOKUP(O179,acute_overview_adults!$C$12:$AH$391,3,FALSE),2)," / ",ROUND(VLOOKUP(O179,acute_overview_adults!$C$12:$AH$391,6,FALSE),2)))</f>
        <v>0</v>
      </c>
      <c r="Q179" s="755" t="str">
        <f>IF(N179&gt;0,VLOOKUP(O179,acute_overview_adults!$C$12:$AH$391,27,FALSE)*1000,"")</f>
        <v/>
      </c>
      <c r="S179" s="1161">
        <f t="shared" si="8"/>
        <v>0</v>
      </c>
      <c r="T179" s="1161">
        <f t="shared" si="9"/>
        <v>0</v>
      </c>
      <c r="U179" s="1161">
        <f t="shared" si="10"/>
        <v>0</v>
      </c>
      <c r="V179" s="1161">
        <f t="shared" si="11"/>
        <v>0</v>
      </c>
      <c r="W179" s="1163">
        <f t="shared" si="12"/>
        <v>0</v>
      </c>
      <c r="X179" s="1163">
        <f t="shared" si="13"/>
        <v>0</v>
      </c>
      <c r="Y179" s="1163">
        <f t="shared" si="14"/>
        <v>0</v>
      </c>
      <c r="Z179" s="1163">
        <f t="shared" si="15"/>
        <v>0</v>
      </c>
    </row>
    <row r="180" spans="1:26" s="43" customFormat="1" ht="12" hidden="1" customHeight="1" outlineLevel="1" x14ac:dyDescent="0.2">
      <c r="A180" s="178"/>
      <c r="B180" s="546">
        <f>IF($K$6="not necessary",0,LARGE(acute_overview_children!$AA$14:$AA$391,ROW()-(ROW($B$65))))</f>
        <v>0</v>
      </c>
      <c r="C180" s="237" t="str">
        <f>IF(Results!B180&gt;0,INDEX(acute_overview_children!$A$12:$AH$391,MATCH(Results!B180,acute_overview_children!$AA$12:$AA$391,0),3),"")</f>
        <v/>
      </c>
      <c r="D180" s="238">
        <f>IF(B180=0,0,CONCATENATE(ROUND(VLOOKUP(C180,acute_overview_children!$C$12:$AH$391,3,FALSE),2)," / ",ROUND(VLOOKUP(C180,acute_overview_children!$C$12:$AH$391,4,FALSE),2)))</f>
        <v>0</v>
      </c>
      <c r="E180" s="238" t="str">
        <f>IF(B180&gt;0,VLOOKUP(C180,acute_overview_children!$C$12:$AH$391,24,FALSE)*1000,"")</f>
        <v/>
      </c>
      <c r="F180" s="546">
        <f>IF($K$6="not necessary",0,LARGE(acute_overview_adults!$AA$14:$AA$391,ROW()-(ROW($B$65))))</f>
        <v>0</v>
      </c>
      <c r="G180" s="237" t="str">
        <f>IF(F180&gt;0,INDEX(acute_overview_adults!$A$12:$AH$391,MATCH(F180,acute_overview_adults!$AA$12:$AA$391,0),3),"")</f>
        <v/>
      </c>
      <c r="H180" s="238">
        <f>IF(F180=0,0,CONCATENATE(ROUND(VLOOKUP(G180,acute_overview_adults!$C$12:$AH$391,3,FALSE),2)," / ",ROUND(VLOOKUP(G180,acute_overview_adults!$C$12:$AH$391,4,FALSE),2)))</f>
        <v>0</v>
      </c>
      <c r="I180" s="239" t="str">
        <f>IF(F180&gt;0,VLOOKUP(G180,acute_overview_adults!$C$12:$AH$391,24,FALSE)*1000,"")</f>
        <v/>
      </c>
      <c r="J180" s="766">
        <f>IF($K$6="not necessary",0,LARGE(acute_overview_children!$AD$14:$AD$391,ROW()-ROW($B$65)))</f>
        <v>0</v>
      </c>
      <c r="K180" s="745" t="str">
        <f>IF(J180&gt;0,INDEX(acute_overview_children!$A$12:$AH$391,MATCH(J180,acute_overview_children!$AD$12:$AD$391,0),3),"")</f>
        <v/>
      </c>
      <c r="L180" s="755">
        <f>IF(J180=0,0,CONCATENATE(ROUND(VLOOKUP(K180,acute_overview_children!$C$12:$AH$391,3,FALSE),2)," / ",ROUND(VLOOKUP(K180,acute_overview_children!$C$12:$AH$391,6,FALSE),2)))</f>
        <v>0</v>
      </c>
      <c r="M180" s="755" t="str">
        <f>IF(J180&gt;0,VLOOKUP(K180,acute_overview_children!$C$12:$AH$391,27,FALSE)*1000,"")</f>
        <v/>
      </c>
      <c r="N180" s="766">
        <f>IF($K$6="not necessary",0,LARGE(acute_overview_adults!$AD$14:$AD$391,ROW()-ROW($F$65)))</f>
        <v>0</v>
      </c>
      <c r="O180" s="745" t="str">
        <f>IF(Results!N180&gt;0,INDEX(acute_overview_adults!$A$12:$AH$391,MATCH(Results!N180,acute_overview_adults!$AD$12:$AD$391,0),3),"")</f>
        <v/>
      </c>
      <c r="P180" s="755">
        <f>IF(N180=0,0,CONCATENATE(ROUND(VLOOKUP(O180,acute_overview_adults!$C$12:$AH$391,3,FALSE),2)," / ",ROUND(VLOOKUP(O180,acute_overview_adults!$C$12:$AH$391,6,FALSE),2)))</f>
        <v>0</v>
      </c>
      <c r="Q180" s="755" t="str">
        <f>IF(N180&gt;0,VLOOKUP(O180,acute_overview_adults!$C$12:$AH$391,27,FALSE)*1000,"")</f>
        <v/>
      </c>
      <c r="S180" s="1161">
        <f t="shared" si="8"/>
        <v>0</v>
      </c>
      <c r="T180" s="1161">
        <f t="shared" si="9"/>
        <v>0</v>
      </c>
      <c r="U180" s="1161">
        <f t="shared" si="10"/>
        <v>0</v>
      </c>
      <c r="V180" s="1161">
        <f t="shared" si="11"/>
        <v>0</v>
      </c>
      <c r="W180" s="1163">
        <f t="shared" si="12"/>
        <v>0</v>
      </c>
      <c r="X180" s="1163">
        <f t="shared" si="13"/>
        <v>0</v>
      </c>
      <c r="Y180" s="1163">
        <f t="shared" si="14"/>
        <v>0</v>
      </c>
      <c r="Z180" s="1163">
        <f t="shared" si="15"/>
        <v>0</v>
      </c>
    </row>
    <row r="181" spans="1:26" s="43" customFormat="1" ht="12" hidden="1" customHeight="1" outlineLevel="1" x14ac:dyDescent="0.2">
      <c r="A181" s="178"/>
      <c r="B181" s="546">
        <f>IF($K$6="not necessary",0,LARGE(acute_overview_children!$AA$14:$AA$391,ROW()-(ROW($B$65))))</f>
        <v>0</v>
      </c>
      <c r="C181" s="237" t="str">
        <f>IF(Results!B181&gt;0,INDEX(acute_overview_children!$A$12:$AH$391,MATCH(Results!B181,acute_overview_children!$AA$12:$AA$391,0),3),"")</f>
        <v/>
      </c>
      <c r="D181" s="238">
        <f>IF(B181=0,0,CONCATENATE(ROUND(VLOOKUP(C181,acute_overview_children!$C$12:$AH$391,3,FALSE),2)," / ",ROUND(VLOOKUP(C181,acute_overview_children!$C$12:$AH$391,4,FALSE),2)))</f>
        <v>0</v>
      </c>
      <c r="E181" s="238" t="str">
        <f>IF(B181&gt;0,VLOOKUP(C181,acute_overview_children!$C$12:$AH$391,24,FALSE)*1000,"")</f>
        <v/>
      </c>
      <c r="F181" s="546">
        <f>IF($K$6="not necessary",0,LARGE(acute_overview_adults!$AA$14:$AA$391,ROW()-(ROW($B$65))))</f>
        <v>0</v>
      </c>
      <c r="G181" s="237" t="str">
        <f>IF(F181&gt;0,INDEX(acute_overview_adults!$A$12:$AH$391,MATCH(F181,acute_overview_adults!$AA$12:$AA$391,0),3),"")</f>
        <v/>
      </c>
      <c r="H181" s="238">
        <f>IF(F181=0,0,CONCATENATE(ROUND(VLOOKUP(G181,acute_overview_adults!$C$12:$AH$391,3,FALSE),2)," / ",ROUND(VLOOKUP(G181,acute_overview_adults!$C$12:$AH$391,4,FALSE),2)))</f>
        <v>0</v>
      </c>
      <c r="I181" s="239" t="str">
        <f>IF(F181&gt;0,VLOOKUP(G181,acute_overview_adults!$C$12:$AH$391,24,FALSE)*1000,"")</f>
        <v/>
      </c>
      <c r="J181" s="766">
        <f>IF($K$6="not necessary",0,LARGE(acute_overview_children!$AD$14:$AD$391,ROW()-ROW($B$65)))</f>
        <v>0</v>
      </c>
      <c r="K181" s="745" t="str">
        <f>IF(J181&gt;0,INDEX(acute_overview_children!$A$12:$AH$391,MATCH(J181,acute_overview_children!$AD$12:$AD$391,0),3),"")</f>
        <v/>
      </c>
      <c r="L181" s="755">
        <f>IF(J181=0,0,CONCATENATE(ROUND(VLOOKUP(K181,acute_overview_children!$C$12:$AH$391,3,FALSE),2)," / ",ROUND(VLOOKUP(K181,acute_overview_children!$C$12:$AH$391,6,FALSE),2)))</f>
        <v>0</v>
      </c>
      <c r="M181" s="755" t="str">
        <f>IF(J181&gt;0,VLOOKUP(K181,acute_overview_children!$C$12:$AH$391,27,FALSE)*1000,"")</f>
        <v/>
      </c>
      <c r="N181" s="766">
        <f>IF($K$6="not necessary",0,LARGE(acute_overview_adults!$AD$14:$AD$391,ROW()-ROW($F$65)))</f>
        <v>0</v>
      </c>
      <c r="O181" s="745" t="str">
        <f>IF(Results!N181&gt;0,INDEX(acute_overview_adults!$A$12:$AH$391,MATCH(Results!N181,acute_overview_adults!$AD$12:$AD$391,0),3),"")</f>
        <v/>
      </c>
      <c r="P181" s="755">
        <f>IF(N181=0,0,CONCATENATE(ROUND(VLOOKUP(O181,acute_overview_adults!$C$12:$AH$391,3,FALSE),2)," / ",ROUND(VLOOKUP(O181,acute_overview_adults!$C$12:$AH$391,6,FALSE),2)))</f>
        <v>0</v>
      </c>
      <c r="Q181" s="755" t="str">
        <f>IF(N181&gt;0,VLOOKUP(O181,acute_overview_adults!$C$12:$AH$391,27,FALSE)*1000,"")</f>
        <v/>
      </c>
      <c r="S181" s="1161">
        <f t="shared" si="8"/>
        <v>0</v>
      </c>
      <c r="T181" s="1161">
        <f t="shared" si="9"/>
        <v>0</v>
      </c>
      <c r="U181" s="1161">
        <f t="shared" si="10"/>
        <v>0</v>
      </c>
      <c r="V181" s="1161">
        <f t="shared" si="11"/>
        <v>0</v>
      </c>
      <c r="W181" s="1163">
        <f t="shared" si="12"/>
        <v>0</v>
      </c>
      <c r="X181" s="1163">
        <f t="shared" si="13"/>
        <v>0</v>
      </c>
      <c r="Y181" s="1163">
        <f t="shared" si="14"/>
        <v>0</v>
      </c>
      <c r="Z181" s="1163">
        <f t="shared" si="15"/>
        <v>0</v>
      </c>
    </row>
    <row r="182" spans="1:26" s="43" customFormat="1" ht="12" hidden="1" customHeight="1" outlineLevel="1" x14ac:dyDescent="0.2">
      <c r="A182" s="178"/>
      <c r="B182" s="546">
        <f>IF($K$6="not necessary",0,LARGE(acute_overview_children!$AA$14:$AA$391,ROW()-(ROW($B$65))))</f>
        <v>0</v>
      </c>
      <c r="C182" s="237" t="str">
        <f>IF(Results!B182&gt;0,INDEX(acute_overview_children!$A$12:$AH$391,MATCH(Results!B182,acute_overview_children!$AA$12:$AA$391,0),3),"")</f>
        <v/>
      </c>
      <c r="D182" s="238">
        <f>IF(B182=0,0,CONCATENATE(ROUND(VLOOKUP(C182,acute_overview_children!$C$12:$AH$391,3,FALSE),2)," / ",ROUND(VLOOKUP(C182,acute_overview_children!$C$12:$AH$391,4,FALSE),2)))</f>
        <v>0</v>
      </c>
      <c r="E182" s="238" t="str">
        <f>IF(B182&gt;0,VLOOKUP(C182,acute_overview_children!$C$12:$AH$391,24,FALSE)*1000,"")</f>
        <v/>
      </c>
      <c r="F182" s="546">
        <f>IF($K$6="not necessary",0,LARGE(acute_overview_adults!$AA$14:$AA$391,ROW()-(ROW($B$65))))</f>
        <v>0</v>
      </c>
      <c r="G182" s="237" t="str">
        <f>IF(F182&gt;0,INDEX(acute_overview_adults!$A$12:$AH$391,MATCH(F182,acute_overview_adults!$AA$12:$AA$391,0),3),"")</f>
        <v/>
      </c>
      <c r="H182" s="238">
        <f>IF(F182=0,0,CONCATENATE(ROUND(VLOOKUP(G182,acute_overview_adults!$C$12:$AH$391,3,FALSE),2)," / ",ROUND(VLOOKUP(G182,acute_overview_adults!$C$12:$AH$391,4,FALSE),2)))</f>
        <v>0</v>
      </c>
      <c r="I182" s="239" t="str">
        <f>IF(F182&gt;0,VLOOKUP(G182,acute_overview_adults!$C$12:$AH$391,24,FALSE)*1000,"")</f>
        <v/>
      </c>
      <c r="J182" s="766">
        <f>IF($K$6="not necessary",0,LARGE(acute_overview_children!$AD$14:$AD$391,ROW()-ROW($B$65)))</f>
        <v>0</v>
      </c>
      <c r="K182" s="745" t="str">
        <f>IF(J182&gt;0,INDEX(acute_overview_children!$A$12:$AH$391,MATCH(J182,acute_overview_children!$AD$12:$AD$391,0),3),"")</f>
        <v/>
      </c>
      <c r="L182" s="755">
        <f>IF(J182=0,0,CONCATENATE(ROUND(VLOOKUP(K182,acute_overview_children!$C$12:$AH$391,3,FALSE),2)," / ",ROUND(VLOOKUP(K182,acute_overview_children!$C$12:$AH$391,6,FALSE),2)))</f>
        <v>0</v>
      </c>
      <c r="M182" s="755" t="str">
        <f>IF(J182&gt;0,VLOOKUP(K182,acute_overview_children!$C$12:$AH$391,27,FALSE)*1000,"")</f>
        <v/>
      </c>
      <c r="N182" s="766">
        <f>IF($K$6="not necessary",0,LARGE(acute_overview_adults!$AD$14:$AD$391,ROW()-ROW($F$65)))</f>
        <v>0</v>
      </c>
      <c r="O182" s="745" t="str">
        <f>IF(Results!N182&gt;0,INDEX(acute_overview_adults!$A$12:$AH$391,MATCH(Results!N182,acute_overview_adults!$AD$12:$AD$391,0),3),"")</f>
        <v/>
      </c>
      <c r="P182" s="755">
        <f>IF(N182=0,0,CONCATENATE(ROUND(VLOOKUP(O182,acute_overview_adults!$C$12:$AH$391,3,FALSE),2)," / ",ROUND(VLOOKUP(O182,acute_overview_adults!$C$12:$AH$391,6,FALSE),2)))</f>
        <v>0</v>
      </c>
      <c r="Q182" s="755" t="str">
        <f>IF(N182&gt;0,VLOOKUP(O182,acute_overview_adults!$C$12:$AH$391,27,FALSE)*1000,"")</f>
        <v/>
      </c>
      <c r="S182" s="1161">
        <f t="shared" si="8"/>
        <v>0</v>
      </c>
      <c r="T182" s="1161">
        <f t="shared" si="9"/>
        <v>0</v>
      </c>
      <c r="U182" s="1161">
        <f t="shared" si="10"/>
        <v>0</v>
      </c>
      <c r="V182" s="1161">
        <f t="shared" si="11"/>
        <v>0</v>
      </c>
      <c r="W182" s="1163">
        <f t="shared" si="12"/>
        <v>0</v>
      </c>
      <c r="X182" s="1163">
        <f t="shared" si="13"/>
        <v>0</v>
      </c>
      <c r="Y182" s="1163">
        <f t="shared" si="14"/>
        <v>0</v>
      </c>
      <c r="Z182" s="1163">
        <f t="shared" si="15"/>
        <v>0</v>
      </c>
    </row>
    <row r="183" spans="1:26" s="43" customFormat="1" ht="12" hidden="1" customHeight="1" outlineLevel="1" x14ac:dyDescent="0.2">
      <c r="A183" s="178"/>
      <c r="B183" s="546">
        <f>IF($K$6="not necessary",0,LARGE(acute_overview_children!$AA$14:$AA$391,ROW()-(ROW($B$65))))</f>
        <v>0</v>
      </c>
      <c r="C183" s="237" t="str">
        <f>IF(Results!B183&gt;0,INDEX(acute_overview_children!$A$12:$AH$391,MATCH(Results!B183,acute_overview_children!$AA$12:$AA$391,0),3),"")</f>
        <v/>
      </c>
      <c r="D183" s="238">
        <f>IF(B183=0,0,CONCATENATE(ROUND(VLOOKUP(C183,acute_overview_children!$C$12:$AH$391,3,FALSE),2)," / ",ROUND(VLOOKUP(C183,acute_overview_children!$C$12:$AH$391,4,FALSE),2)))</f>
        <v>0</v>
      </c>
      <c r="E183" s="238" t="str">
        <f>IF(B183&gt;0,VLOOKUP(C183,acute_overview_children!$C$12:$AH$391,24,FALSE)*1000,"")</f>
        <v/>
      </c>
      <c r="F183" s="546">
        <f>IF($K$6="not necessary",0,LARGE(acute_overview_adults!$AA$14:$AA$391,ROW()-(ROW($B$65))))</f>
        <v>0</v>
      </c>
      <c r="G183" s="237" t="str">
        <f>IF(F183&gt;0,INDEX(acute_overview_adults!$A$12:$AH$391,MATCH(F183,acute_overview_adults!$AA$12:$AA$391,0),3),"")</f>
        <v/>
      </c>
      <c r="H183" s="238">
        <f>IF(F183=0,0,CONCATENATE(ROUND(VLOOKUP(G183,acute_overview_adults!$C$12:$AH$391,3,FALSE),2)," / ",ROUND(VLOOKUP(G183,acute_overview_adults!$C$12:$AH$391,4,FALSE),2)))</f>
        <v>0</v>
      </c>
      <c r="I183" s="239" t="str">
        <f>IF(F183&gt;0,VLOOKUP(G183,acute_overview_adults!$C$12:$AH$391,24,FALSE)*1000,"")</f>
        <v/>
      </c>
      <c r="J183" s="766">
        <f>IF($K$6="not necessary",0,LARGE(acute_overview_children!$AD$14:$AD$391,ROW()-ROW($B$65)))</f>
        <v>0</v>
      </c>
      <c r="K183" s="745" t="str">
        <f>IF(J183&gt;0,INDEX(acute_overview_children!$A$12:$AH$391,MATCH(J183,acute_overview_children!$AD$12:$AD$391,0),3),"")</f>
        <v/>
      </c>
      <c r="L183" s="755">
        <f>IF(J183=0,0,CONCATENATE(ROUND(VLOOKUP(K183,acute_overview_children!$C$12:$AH$391,3,FALSE),2)," / ",ROUND(VLOOKUP(K183,acute_overview_children!$C$12:$AH$391,6,FALSE),2)))</f>
        <v>0</v>
      </c>
      <c r="M183" s="755" t="str">
        <f>IF(J183&gt;0,VLOOKUP(K183,acute_overview_children!$C$12:$AH$391,27,FALSE)*1000,"")</f>
        <v/>
      </c>
      <c r="N183" s="766">
        <f>IF($K$6="not necessary",0,LARGE(acute_overview_adults!$AD$14:$AD$391,ROW()-ROW($F$65)))</f>
        <v>0</v>
      </c>
      <c r="O183" s="745" t="str">
        <f>IF(Results!N183&gt;0,INDEX(acute_overview_adults!$A$12:$AH$391,MATCH(Results!N183,acute_overview_adults!$AD$12:$AD$391,0),3),"")</f>
        <v/>
      </c>
      <c r="P183" s="755">
        <f>IF(N183=0,0,CONCATENATE(ROUND(VLOOKUP(O183,acute_overview_adults!$C$12:$AH$391,3,FALSE),2)," / ",ROUND(VLOOKUP(O183,acute_overview_adults!$C$12:$AH$391,6,FALSE),2)))</f>
        <v>0</v>
      </c>
      <c r="Q183" s="755" t="str">
        <f>IF(N183&gt;0,VLOOKUP(O183,acute_overview_adults!$C$12:$AH$391,27,FALSE)*1000,"")</f>
        <v/>
      </c>
      <c r="S183" s="1161">
        <f t="shared" si="8"/>
        <v>0</v>
      </c>
      <c r="T183" s="1161">
        <f t="shared" si="9"/>
        <v>0</v>
      </c>
      <c r="U183" s="1161">
        <f t="shared" si="10"/>
        <v>0</v>
      </c>
      <c r="V183" s="1161">
        <f t="shared" si="11"/>
        <v>0</v>
      </c>
      <c r="W183" s="1163">
        <f t="shared" si="12"/>
        <v>0</v>
      </c>
      <c r="X183" s="1163">
        <f t="shared" si="13"/>
        <v>0</v>
      </c>
      <c r="Y183" s="1163">
        <f t="shared" si="14"/>
        <v>0</v>
      </c>
      <c r="Z183" s="1163">
        <f t="shared" si="15"/>
        <v>0</v>
      </c>
    </row>
    <row r="184" spans="1:26" s="43" customFormat="1" ht="12" hidden="1" customHeight="1" outlineLevel="1" x14ac:dyDescent="0.2">
      <c r="A184" s="178"/>
      <c r="B184" s="546">
        <f>IF($K$6="not necessary",0,LARGE(acute_overview_children!$AA$14:$AA$391,ROW()-(ROW($B$65))))</f>
        <v>0</v>
      </c>
      <c r="C184" s="237" t="str">
        <f>IF(Results!B184&gt;0,INDEX(acute_overview_children!$A$12:$AH$391,MATCH(Results!B184,acute_overview_children!$AA$12:$AA$391,0),3),"")</f>
        <v/>
      </c>
      <c r="D184" s="238">
        <f>IF(B184=0,0,CONCATENATE(ROUND(VLOOKUP(C184,acute_overview_children!$C$12:$AH$391,3,FALSE),2)," / ",ROUND(VLOOKUP(C184,acute_overview_children!$C$12:$AH$391,4,FALSE),2)))</f>
        <v>0</v>
      </c>
      <c r="E184" s="238" t="str">
        <f>IF(B184&gt;0,VLOOKUP(C184,acute_overview_children!$C$12:$AH$391,24,FALSE)*1000,"")</f>
        <v/>
      </c>
      <c r="F184" s="546">
        <f>IF($K$6="not necessary",0,LARGE(acute_overview_adults!$AA$14:$AA$391,ROW()-(ROW($B$65))))</f>
        <v>0</v>
      </c>
      <c r="G184" s="237" t="str">
        <f>IF(F184&gt;0,INDEX(acute_overview_adults!$A$12:$AH$391,MATCH(F184,acute_overview_adults!$AA$12:$AA$391,0),3),"")</f>
        <v/>
      </c>
      <c r="H184" s="238">
        <f>IF(F184=0,0,CONCATENATE(ROUND(VLOOKUP(G184,acute_overview_adults!$C$12:$AH$391,3,FALSE),2)," / ",ROUND(VLOOKUP(G184,acute_overview_adults!$C$12:$AH$391,4,FALSE),2)))</f>
        <v>0</v>
      </c>
      <c r="I184" s="239" t="str">
        <f>IF(F184&gt;0,VLOOKUP(G184,acute_overview_adults!$C$12:$AH$391,24,FALSE)*1000,"")</f>
        <v/>
      </c>
      <c r="J184" s="766">
        <f>IF($K$6="not necessary",0,LARGE(acute_overview_children!$AD$14:$AD$391,ROW()-ROW($B$65)))</f>
        <v>0</v>
      </c>
      <c r="K184" s="745" t="str">
        <f>IF(J184&gt;0,INDEX(acute_overview_children!$A$12:$AH$391,MATCH(J184,acute_overview_children!$AD$12:$AD$391,0),3),"")</f>
        <v/>
      </c>
      <c r="L184" s="755">
        <f>IF(J184=0,0,CONCATENATE(ROUND(VLOOKUP(K184,acute_overview_children!$C$12:$AH$391,3,FALSE),2)," / ",ROUND(VLOOKUP(K184,acute_overview_children!$C$12:$AH$391,6,FALSE),2)))</f>
        <v>0</v>
      </c>
      <c r="M184" s="755" t="str">
        <f>IF(J184&gt;0,VLOOKUP(K184,acute_overview_children!$C$12:$AH$391,27,FALSE)*1000,"")</f>
        <v/>
      </c>
      <c r="N184" s="766">
        <f>IF($K$6="not necessary",0,LARGE(acute_overview_adults!$AD$14:$AD$391,ROW()-ROW($F$65)))</f>
        <v>0</v>
      </c>
      <c r="O184" s="745" t="str">
        <f>IF(Results!N184&gt;0,INDEX(acute_overview_adults!$A$12:$AH$391,MATCH(Results!N184,acute_overview_adults!$AD$12:$AD$391,0),3),"")</f>
        <v/>
      </c>
      <c r="P184" s="755">
        <f>IF(N184=0,0,CONCATENATE(ROUND(VLOOKUP(O184,acute_overview_adults!$C$12:$AH$391,3,FALSE),2)," / ",ROUND(VLOOKUP(O184,acute_overview_adults!$C$12:$AH$391,6,FALSE),2)))</f>
        <v>0</v>
      </c>
      <c r="Q184" s="755" t="str">
        <f>IF(N184&gt;0,VLOOKUP(O184,acute_overview_adults!$C$12:$AH$391,27,FALSE)*1000,"")</f>
        <v/>
      </c>
      <c r="S184" s="1161">
        <f t="shared" si="8"/>
        <v>0</v>
      </c>
      <c r="T184" s="1161">
        <f t="shared" si="9"/>
        <v>0</v>
      </c>
      <c r="U184" s="1161">
        <f t="shared" si="10"/>
        <v>0</v>
      </c>
      <c r="V184" s="1161">
        <f t="shared" si="11"/>
        <v>0</v>
      </c>
      <c r="W184" s="1163">
        <f t="shared" si="12"/>
        <v>0</v>
      </c>
      <c r="X184" s="1163">
        <f t="shared" si="13"/>
        <v>0</v>
      </c>
      <c r="Y184" s="1163">
        <f t="shared" si="14"/>
        <v>0</v>
      </c>
      <c r="Z184" s="1163">
        <f t="shared" si="15"/>
        <v>0</v>
      </c>
    </row>
    <row r="185" spans="1:26" s="43" customFormat="1" ht="12" hidden="1" customHeight="1" outlineLevel="1" x14ac:dyDescent="0.2">
      <c r="A185" s="178"/>
      <c r="B185" s="546">
        <f>IF($K$6="not necessary",0,LARGE(acute_overview_children!$AA$14:$AA$391,ROW()-(ROW($B$65))))</f>
        <v>0</v>
      </c>
      <c r="C185" s="237" t="str">
        <f>IF(Results!B185&gt;0,INDEX(acute_overview_children!$A$12:$AH$391,MATCH(Results!B185,acute_overview_children!$AA$12:$AA$391,0),3),"")</f>
        <v/>
      </c>
      <c r="D185" s="238">
        <f>IF(B185=0,0,CONCATENATE(ROUND(VLOOKUP(C185,acute_overview_children!$C$12:$AH$391,3,FALSE),2)," / ",ROUND(VLOOKUP(C185,acute_overview_children!$C$12:$AH$391,4,FALSE),2)))</f>
        <v>0</v>
      </c>
      <c r="E185" s="238" t="str">
        <f>IF(B185&gt;0,VLOOKUP(C185,acute_overview_children!$C$12:$AH$391,24,FALSE)*1000,"")</f>
        <v/>
      </c>
      <c r="F185" s="546">
        <f>IF($K$6="not necessary",0,LARGE(acute_overview_adults!$AA$14:$AA$391,ROW()-(ROW($B$65))))</f>
        <v>0</v>
      </c>
      <c r="G185" s="237" t="str">
        <f>IF(F185&gt;0,INDEX(acute_overview_adults!$A$12:$AH$391,MATCH(F185,acute_overview_adults!$AA$12:$AA$391,0),3),"")</f>
        <v/>
      </c>
      <c r="H185" s="238">
        <f>IF(F185=0,0,CONCATENATE(ROUND(VLOOKUP(G185,acute_overview_adults!$C$12:$AH$391,3,FALSE),2)," / ",ROUND(VLOOKUP(G185,acute_overview_adults!$C$12:$AH$391,4,FALSE),2)))</f>
        <v>0</v>
      </c>
      <c r="I185" s="239" t="str">
        <f>IF(F185&gt;0,VLOOKUP(G185,acute_overview_adults!$C$12:$AH$391,24,FALSE)*1000,"")</f>
        <v/>
      </c>
      <c r="J185" s="766">
        <f>IF($K$6="not necessary",0,LARGE(acute_overview_children!$AD$14:$AD$391,ROW()-ROW($B$65)))</f>
        <v>0</v>
      </c>
      <c r="K185" s="745" t="str">
        <f>IF(J185&gt;0,INDEX(acute_overview_children!$A$12:$AH$391,MATCH(J185,acute_overview_children!$AD$12:$AD$391,0),3),"")</f>
        <v/>
      </c>
      <c r="L185" s="755">
        <f>IF(J185=0,0,CONCATENATE(ROUND(VLOOKUP(K185,acute_overview_children!$C$12:$AH$391,3,FALSE),2)," / ",ROUND(VLOOKUP(K185,acute_overview_children!$C$12:$AH$391,6,FALSE),2)))</f>
        <v>0</v>
      </c>
      <c r="M185" s="755" t="str">
        <f>IF(J185&gt;0,VLOOKUP(K185,acute_overview_children!$C$12:$AH$391,27,FALSE)*1000,"")</f>
        <v/>
      </c>
      <c r="N185" s="766">
        <f>IF($K$6="not necessary",0,LARGE(acute_overview_adults!$AD$14:$AD$391,ROW()-ROW($F$65)))</f>
        <v>0</v>
      </c>
      <c r="O185" s="745" t="str">
        <f>IF(Results!N185&gt;0,INDEX(acute_overview_adults!$A$12:$AH$391,MATCH(Results!N185,acute_overview_adults!$AD$12:$AD$391,0),3),"")</f>
        <v/>
      </c>
      <c r="P185" s="755">
        <f>IF(N185=0,0,CONCATENATE(ROUND(VLOOKUP(O185,acute_overview_adults!$C$12:$AH$391,3,FALSE),2)," / ",ROUND(VLOOKUP(O185,acute_overview_adults!$C$12:$AH$391,6,FALSE),2)))</f>
        <v>0</v>
      </c>
      <c r="Q185" s="755" t="str">
        <f>IF(N185&gt;0,VLOOKUP(O185,acute_overview_adults!$C$12:$AH$391,27,FALSE)*1000,"")</f>
        <v/>
      </c>
      <c r="S185" s="1161">
        <f t="shared" si="8"/>
        <v>0</v>
      </c>
      <c r="T185" s="1161">
        <f t="shared" si="9"/>
        <v>0</v>
      </c>
      <c r="U185" s="1161">
        <f t="shared" si="10"/>
        <v>0</v>
      </c>
      <c r="V185" s="1161">
        <f t="shared" si="11"/>
        <v>0</v>
      </c>
      <c r="W185" s="1163">
        <f t="shared" si="12"/>
        <v>0</v>
      </c>
      <c r="X185" s="1163">
        <f t="shared" si="13"/>
        <v>0</v>
      </c>
      <c r="Y185" s="1163">
        <f t="shared" si="14"/>
        <v>0</v>
      </c>
      <c r="Z185" s="1163">
        <f t="shared" si="15"/>
        <v>0</v>
      </c>
    </row>
    <row r="186" spans="1:26" s="43" customFormat="1" ht="12" hidden="1" customHeight="1" outlineLevel="1" x14ac:dyDescent="0.2">
      <c r="A186" s="178"/>
      <c r="B186" s="546">
        <f>IF($K$6="not necessary",0,LARGE(acute_overview_children!$AA$14:$AA$391,ROW()-(ROW($B$65))))</f>
        <v>0</v>
      </c>
      <c r="C186" s="237" t="str">
        <f>IF(Results!B186&gt;0,INDEX(acute_overview_children!$A$12:$AH$391,MATCH(Results!B186,acute_overview_children!$AA$12:$AA$391,0),3),"")</f>
        <v/>
      </c>
      <c r="D186" s="238">
        <f>IF(B186=0,0,CONCATENATE(ROUND(VLOOKUP(C186,acute_overview_children!$C$12:$AH$391,3,FALSE),2)," / ",ROUND(VLOOKUP(C186,acute_overview_children!$C$12:$AH$391,4,FALSE),2)))</f>
        <v>0</v>
      </c>
      <c r="E186" s="238" t="str">
        <f>IF(B186&gt;0,VLOOKUP(C186,acute_overview_children!$C$12:$AH$391,24,FALSE)*1000,"")</f>
        <v/>
      </c>
      <c r="F186" s="546">
        <f>IF($K$6="not necessary",0,LARGE(acute_overview_adults!$AA$14:$AA$391,ROW()-(ROW($B$65))))</f>
        <v>0</v>
      </c>
      <c r="G186" s="237" t="str">
        <f>IF(F186&gt;0,INDEX(acute_overview_adults!$A$12:$AH$391,MATCH(F186,acute_overview_adults!$AA$12:$AA$391,0),3),"")</f>
        <v/>
      </c>
      <c r="H186" s="238">
        <f>IF(F186=0,0,CONCATENATE(ROUND(VLOOKUP(G186,acute_overview_adults!$C$12:$AH$391,3,FALSE),2)," / ",ROUND(VLOOKUP(G186,acute_overview_adults!$C$12:$AH$391,4,FALSE),2)))</f>
        <v>0</v>
      </c>
      <c r="I186" s="239" t="str">
        <f>IF(F186&gt;0,VLOOKUP(G186,acute_overview_adults!$C$12:$AH$391,24,FALSE)*1000,"")</f>
        <v/>
      </c>
      <c r="J186" s="766">
        <f>IF($K$6="not necessary",0,LARGE(acute_overview_children!$AD$14:$AD$391,ROW()-ROW($B$65)))</f>
        <v>0</v>
      </c>
      <c r="K186" s="745" t="str">
        <f>IF(J186&gt;0,INDEX(acute_overview_children!$A$12:$AH$391,MATCH(J186,acute_overview_children!$AD$12:$AD$391,0),3),"")</f>
        <v/>
      </c>
      <c r="L186" s="755">
        <f>IF(J186=0,0,CONCATENATE(ROUND(VLOOKUP(K186,acute_overview_children!$C$12:$AH$391,3,FALSE),2)," / ",ROUND(VLOOKUP(K186,acute_overview_children!$C$12:$AH$391,6,FALSE),2)))</f>
        <v>0</v>
      </c>
      <c r="M186" s="755" t="str">
        <f>IF(J186&gt;0,VLOOKUP(K186,acute_overview_children!$C$12:$AH$391,27,FALSE)*1000,"")</f>
        <v/>
      </c>
      <c r="N186" s="766">
        <f>IF($K$6="not necessary",0,LARGE(acute_overview_adults!$AD$14:$AD$391,ROW()-ROW($F$65)))</f>
        <v>0</v>
      </c>
      <c r="O186" s="745" t="str">
        <f>IF(Results!N186&gt;0,INDEX(acute_overview_adults!$A$12:$AH$391,MATCH(Results!N186,acute_overview_adults!$AD$12:$AD$391,0),3),"")</f>
        <v/>
      </c>
      <c r="P186" s="755">
        <f>IF(N186=0,0,CONCATENATE(ROUND(VLOOKUP(O186,acute_overview_adults!$C$12:$AH$391,3,FALSE),2)," / ",ROUND(VLOOKUP(O186,acute_overview_adults!$C$12:$AH$391,6,FALSE),2)))</f>
        <v>0</v>
      </c>
      <c r="Q186" s="755" t="str">
        <f>IF(N186&gt;0,VLOOKUP(O186,acute_overview_adults!$C$12:$AH$391,27,FALSE)*1000,"")</f>
        <v/>
      </c>
      <c r="S186" s="1161">
        <f t="shared" si="8"/>
        <v>0</v>
      </c>
      <c r="T186" s="1161">
        <f t="shared" si="9"/>
        <v>0</v>
      </c>
      <c r="U186" s="1161">
        <f t="shared" si="10"/>
        <v>0</v>
      </c>
      <c r="V186" s="1161">
        <f t="shared" si="11"/>
        <v>0</v>
      </c>
      <c r="W186" s="1163">
        <f t="shared" si="12"/>
        <v>0</v>
      </c>
      <c r="X186" s="1163">
        <f t="shared" si="13"/>
        <v>0</v>
      </c>
      <c r="Y186" s="1163">
        <f t="shared" si="14"/>
        <v>0</v>
      </c>
      <c r="Z186" s="1163">
        <f t="shared" si="15"/>
        <v>0</v>
      </c>
    </row>
    <row r="187" spans="1:26" s="43" customFormat="1" ht="12" hidden="1" customHeight="1" outlineLevel="1" x14ac:dyDescent="0.2">
      <c r="A187" s="178"/>
      <c r="B187" s="546">
        <f>IF($K$6="not necessary",0,LARGE(acute_overview_children!$AA$14:$AA$391,ROW()-(ROW($B$65))))</f>
        <v>0</v>
      </c>
      <c r="C187" s="237" t="str">
        <f>IF(Results!B187&gt;0,INDEX(acute_overview_children!$A$12:$AH$391,MATCH(Results!B187,acute_overview_children!$AA$12:$AA$391,0),3),"")</f>
        <v/>
      </c>
      <c r="D187" s="238">
        <f>IF(B187=0,0,CONCATENATE(ROUND(VLOOKUP(C187,acute_overview_children!$C$12:$AH$391,3,FALSE),2)," / ",ROUND(VLOOKUP(C187,acute_overview_children!$C$12:$AH$391,4,FALSE),2)))</f>
        <v>0</v>
      </c>
      <c r="E187" s="238" t="str">
        <f>IF(B187&gt;0,VLOOKUP(C187,acute_overview_children!$C$12:$AH$391,24,FALSE)*1000,"")</f>
        <v/>
      </c>
      <c r="F187" s="546">
        <f>IF($K$6="not necessary",0,LARGE(acute_overview_adults!$AA$14:$AA$391,ROW()-(ROW($B$65))))</f>
        <v>0</v>
      </c>
      <c r="G187" s="237" t="str">
        <f>IF(F187&gt;0,INDEX(acute_overview_adults!$A$12:$AH$391,MATCH(F187,acute_overview_adults!$AA$12:$AA$391,0),3),"")</f>
        <v/>
      </c>
      <c r="H187" s="238">
        <f>IF(F187=0,0,CONCATENATE(ROUND(VLOOKUP(G187,acute_overview_adults!$C$12:$AH$391,3,FALSE),2)," / ",ROUND(VLOOKUP(G187,acute_overview_adults!$C$12:$AH$391,4,FALSE),2)))</f>
        <v>0</v>
      </c>
      <c r="I187" s="239" t="str">
        <f>IF(F187&gt;0,VLOOKUP(G187,acute_overview_adults!$C$12:$AH$391,24,FALSE)*1000,"")</f>
        <v/>
      </c>
      <c r="J187" s="766">
        <f>IF($K$6="not necessary",0,LARGE(acute_overview_children!$AD$14:$AD$391,ROW()-ROW($B$65)))</f>
        <v>0</v>
      </c>
      <c r="K187" s="745" t="str">
        <f>IF(J187&gt;0,INDEX(acute_overview_children!$A$12:$AH$391,MATCH(J187,acute_overview_children!$AD$12:$AD$391,0),3),"")</f>
        <v/>
      </c>
      <c r="L187" s="755">
        <f>IF(J187=0,0,CONCATENATE(ROUND(VLOOKUP(K187,acute_overview_children!$C$12:$AH$391,3,FALSE),2)," / ",ROUND(VLOOKUP(K187,acute_overview_children!$C$12:$AH$391,6,FALSE),2)))</f>
        <v>0</v>
      </c>
      <c r="M187" s="755" t="str">
        <f>IF(J187&gt;0,VLOOKUP(K187,acute_overview_children!$C$12:$AH$391,27,FALSE)*1000,"")</f>
        <v/>
      </c>
      <c r="N187" s="766">
        <f>IF($K$6="not necessary",0,LARGE(acute_overview_adults!$AD$14:$AD$391,ROW()-ROW($F$65)))</f>
        <v>0</v>
      </c>
      <c r="O187" s="745" t="str">
        <f>IF(Results!N187&gt;0,INDEX(acute_overview_adults!$A$12:$AH$391,MATCH(Results!N187,acute_overview_adults!$AD$12:$AD$391,0),3),"")</f>
        <v/>
      </c>
      <c r="P187" s="755">
        <f>IF(N187=0,0,CONCATENATE(ROUND(VLOOKUP(O187,acute_overview_adults!$C$12:$AH$391,3,FALSE),2)," / ",ROUND(VLOOKUP(O187,acute_overview_adults!$C$12:$AH$391,6,FALSE),2)))</f>
        <v>0</v>
      </c>
      <c r="Q187" s="755" t="str">
        <f>IF(N187&gt;0,VLOOKUP(O187,acute_overview_adults!$C$12:$AH$391,27,FALSE)*1000,"")</f>
        <v/>
      </c>
      <c r="S187" s="1161">
        <f t="shared" si="8"/>
        <v>0</v>
      </c>
      <c r="T187" s="1161">
        <f t="shared" si="9"/>
        <v>0</v>
      </c>
      <c r="U187" s="1161">
        <f t="shared" si="10"/>
        <v>0</v>
      </c>
      <c r="V187" s="1161">
        <f t="shared" si="11"/>
        <v>0</v>
      </c>
      <c r="W187" s="1163">
        <f t="shared" si="12"/>
        <v>0</v>
      </c>
      <c r="X187" s="1163">
        <f t="shared" si="13"/>
        <v>0</v>
      </c>
      <c r="Y187" s="1163">
        <f t="shared" si="14"/>
        <v>0</v>
      </c>
      <c r="Z187" s="1163">
        <f t="shared" si="15"/>
        <v>0</v>
      </c>
    </row>
    <row r="188" spans="1:26" s="43" customFormat="1" ht="12" hidden="1" customHeight="1" outlineLevel="1" x14ac:dyDescent="0.2">
      <c r="A188" s="178"/>
      <c r="B188" s="546">
        <f>IF($K$6="not necessary",0,LARGE(acute_overview_children!$AA$14:$AA$391,ROW()-(ROW($B$65))))</f>
        <v>0</v>
      </c>
      <c r="C188" s="237" t="str">
        <f>IF(Results!B188&gt;0,INDEX(acute_overview_children!$A$12:$AH$391,MATCH(Results!B188,acute_overview_children!$AA$12:$AA$391,0),3),"")</f>
        <v/>
      </c>
      <c r="D188" s="238">
        <f>IF(B188=0,0,CONCATENATE(ROUND(VLOOKUP(C188,acute_overview_children!$C$12:$AH$391,3,FALSE),2)," / ",ROUND(VLOOKUP(C188,acute_overview_children!$C$12:$AH$391,4,FALSE),2)))</f>
        <v>0</v>
      </c>
      <c r="E188" s="238" t="str">
        <f>IF(B188&gt;0,VLOOKUP(C188,acute_overview_children!$C$12:$AH$391,24,FALSE)*1000,"")</f>
        <v/>
      </c>
      <c r="F188" s="546">
        <f>IF($K$6="not necessary",0,LARGE(acute_overview_adults!$AA$14:$AA$391,ROW()-(ROW($B$65))))</f>
        <v>0</v>
      </c>
      <c r="G188" s="237" t="str">
        <f>IF(F188&gt;0,INDEX(acute_overview_adults!$A$12:$AH$391,MATCH(F188,acute_overview_adults!$AA$12:$AA$391,0),3),"")</f>
        <v/>
      </c>
      <c r="H188" s="238">
        <f>IF(F188=0,0,CONCATENATE(ROUND(VLOOKUP(G188,acute_overview_adults!$C$12:$AH$391,3,FALSE),2)," / ",ROUND(VLOOKUP(G188,acute_overview_adults!$C$12:$AH$391,4,FALSE),2)))</f>
        <v>0</v>
      </c>
      <c r="I188" s="239" t="str">
        <f>IF(F188&gt;0,VLOOKUP(G188,acute_overview_adults!$C$12:$AH$391,24,FALSE)*1000,"")</f>
        <v/>
      </c>
      <c r="J188" s="766">
        <f>IF($K$6="not necessary",0,LARGE(acute_overview_children!$AD$14:$AD$391,ROW()-ROW($B$65)))</f>
        <v>0</v>
      </c>
      <c r="K188" s="745" t="str">
        <f>IF(J188&gt;0,INDEX(acute_overview_children!$A$12:$AH$391,MATCH(J188,acute_overview_children!$AD$12:$AD$391,0),3),"")</f>
        <v/>
      </c>
      <c r="L188" s="755">
        <f>IF(J188=0,0,CONCATENATE(ROUND(VLOOKUP(K188,acute_overview_children!$C$12:$AH$391,3,FALSE),2)," / ",ROUND(VLOOKUP(K188,acute_overview_children!$C$12:$AH$391,6,FALSE),2)))</f>
        <v>0</v>
      </c>
      <c r="M188" s="755" t="str">
        <f>IF(J188&gt;0,VLOOKUP(K188,acute_overview_children!$C$12:$AH$391,27,FALSE)*1000,"")</f>
        <v/>
      </c>
      <c r="N188" s="766">
        <f>IF($K$6="not necessary",0,LARGE(acute_overview_adults!$AD$14:$AD$391,ROW()-ROW($F$65)))</f>
        <v>0</v>
      </c>
      <c r="O188" s="745" t="str">
        <f>IF(Results!N188&gt;0,INDEX(acute_overview_adults!$A$12:$AH$391,MATCH(Results!N188,acute_overview_adults!$AD$12:$AD$391,0),3),"")</f>
        <v/>
      </c>
      <c r="P188" s="755">
        <f>IF(N188=0,0,CONCATENATE(ROUND(VLOOKUP(O188,acute_overview_adults!$C$12:$AH$391,3,FALSE),2)," / ",ROUND(VLOOKUP(O188,acute_overview_adults!$C$12:$AH$391,6,FALSE),2)))</f>
        <v>0</v>
      </c>
      <c r="Q188" s="755" t="str">
        <f>IF(N188&gt;0,VLOOKUP(O188,acute_overview_adults!$C$12:$AH$391,27,FALSE)*1000,"")</f>
        <v/>
      </c>
      <c r="S188" s="1161">
        <f t="shared" si="8"/>
        <v>0</v>
      </c>
      <c r="T188" s="1161">
        <f t="shared" si="9"/>
        <v>0</v>
      </c>
      <c r="U188" s="1161">
        <f t="shared" si="10"/>
        <v>0</v>
      </c>
      <c r="V188" s="1161">
        <f t="shared" si="11"/>
        <v>0</v>
      </c>
      <c r="W188" s="1163">
        <f t="shared" si="12"/>
        <v>0</v>
      </c>
      <c r="X188" s="1163">
        <f t="shared" si="13"/>
        <v>0</v>
      </c>
      <c r="Y188" s="1163">
        <f t="shared" si="14"/>
        <v>0</v>
      </c>
      <c r="Z188" s="1163">
        <f t="shared" si="15"/>
        <v>0</v>
      </c>
    </row>
    <row r="189" spans="1:26" s="43" customFormat="1" ht="12" hidden="1" customHeight="1" outlineLevel="1" x14ac:dyDescent="0.2">
      <c r="A189" s="178"/>
      <c r="B189" s="546">
        <f>IF($K$6="not necessary",0,LARGE(acute_overview_children!$AA$14:$AA$391,ROW()-(ROW($B$65))))</f>
        <v>0</v>
      </c>
      <c r="C189" s="237" t="str">
        <f>IF(Results!B189&gt;0,INDEX(acute_overview_children!$A$12:$AH$391,MATCH(Results!B189,acute_overview_children!$AA$12:$AA$391,0),3),"")</f>
        <v/>
      </c>
      <c r="D189" s="238">
        <f>IF(B189=0,0,CONCATENATE(ROUND(VLOOKUP(C189,acute_overview_children!$C$12:$AH$391,3,FALSE),2)," / ",ROUND(VLOOKUP(C189,acute_overview_children!$C$12:$AH$391,4,FALSE),2)))</f>
        <v>0</v>
      </c>
      <c r="E189" s="238" t="str">
        <f>IF(B189&gt;0,VLOOKUP(C189,acute_overview_children!$C$12:$AH$391,24,FALSE)*1000,"")</f>
        <v/>
      </c>
      <c r="F189" s="546">
        <f>IF($K$6="not necessary",0,LARGE(acute_overview_adults!$AA$14:$AA$391,ROW()-(ROW($B$65))))</f>
        <v>0</v>
      </c>
      <c r="G189" s="237" t="str">
        <f>IF(F189&gt;0,INDEX(acute_overview_adults!$A$12:$AH$391,MATCH(F189,acute_overview_adults!$AA$12:$AA$391,0),3),"")</f>
        <v/>
      </c>
      <c r="H189" s="238">
        <f>IF(F189=0,0,CONCATENATE(ROUND(VLOOKUP(G189,acute_overview_adults!$C$12:$AH$391,3,FALSE),2)," / ",ROUND(VLOOKUP(G189,acute_overview_adults!$C$12:$AH$391,4,FALSE),2)))</f>
        <v>0</v>
      </c>
      <c r="I189" s="239" t="str">
        <f>IF(F189&gt;0,VLOOKUP(G189,acute_overview_adults!$C$12:$AH$391,24,FALSE)*1000,"")</f>
        <v/>
      </c>
      <c r="J189" s="766">
        <f>IF($K$6="not necessary",0,LARGE(acute_overview_children!$AD$14:$AD$391,ROW()-ROW($B$65)))</f>
        <v>0</v>
      </c>
      <c r="K189" s="745" t="str">
        <f>IF(J189&gt;0,INDEX(acute_overview_children!$A$12:$AH$391,MATCH(J189,acute_overview_children!$AD$12:$AD$391,0),3),"")</f>
        <v/>
      </c>
      <c r="L189" s="755">
        <f>IF(J189=0,0,CONCATENATE(ROUND(VLOOKUP(K189,acute_overview_children!$C$12:$AH$391,3,FALSE),2)," / ",ROUND(VLOOKUP(K189,acute_overview_children!$C$12:$AH$391,6,FALSE),2)))</f>
        <v>0</v>
      </c>
      <c r="M189" s="755" t="str">
        <f>IF(J189&gt;0,VLOOKUP(K189,acute_overview_children!$C$12:$AH$391,27,FALSE)*1000,"")</f>
        <v/>
      </c>
      <c r="N189" s="766">
        <f>IF($K$6="not necessary",0,LARGE(acute_overview_adults!$AD$14:$AD$391,ROW()-ROW($F$65)))</f>
        <v>0</v>
      </c>
      <c r="O189" s="745" t="str">
        <f>IF(Results!N189&gt;0,INDEX(acute_overview_adults!$A$12:$AH$391,MATCH(Results!N189,acute_overview_adults!$AD$12:$AD$391,0),3),"")</f>
        <v/>
      </c>
      <c r="P189" s="755">
        <f>IF(N189=0,0,CONCATENATE(ROUND(VLOOKUP(O189,acute_overview_adults!$C$12:$AH$391,3,FALSE),2)," / ",ROUND(VLOOKUP(O189,acute_overview_adults!$C$12:$AH$391,6,FALSE),2)))</f>
        <v>0</v>
      </c>
      <c r="Q189" s="755" t="str">
        <f>IF(N189&gt;0,VLOOKUP(O189,acute_overview_adults!$C$12:$AH$391,27,FALSE)*1000,"")</f>
        <v/>
      </c>
      <c r="S189" s="1161">
        <f t="shared" si="8"/>
        <v>0</v>
      </c>
      <c r="T189" s="1161">
        <f t="shared" si="9"/>
        <v>0</v>
      </c>
      <c r="U189" s="1161">
        <f t="shared" si="10"/>
        <v>0</v>
      </c>
      <c r="V189" s="1161">
        <f t="shared" si="11"/>
        <v>0</v>
      </c>
      <c r="W189" s="1163">
        <f t="shared" si="12"/>
        <v>0</v>
      </c>
      <c r="X189" s="1163">
        <f t="shared" si="13"/>
        <v>0</v>
      </c>
      <c r="Y189" s="1163">
        <f t="shared" si="14"/>
        <v>0</v>
      </c>
      <c r="Z189" s="1163">
        <f t="shared" si="15"/>
        <v>0</v>
      </c>
    </row>
    <row r="190" spans="1:26" s="43" customFormat="1" ht="12" hidden="1" customHeight="1" outlineLevel="1" x14ac:dyDescent="0.2">
      <c r="A190" s="178"/>
      <c r="B190" s="546">
        <f>IF($K$6="not necessary",0,LARGE(acute_overview_children!$AA$14:$AA$391,ROW()-(ROW($B$65))))</f>
        <v>0</v>
      </c>
      <c r="C190" s="237" t="str">
        <f>IF(Results!B190&gt;0,INDEX(acute_overview_children!$A$12:$AH$391,MATCH(Results!B190,acute_overview_children!$AA$12:$AA$391,0),3),"")</f>
        <v/>
      </c>
      <c r="D190" s="238">
        <f>IF(B190=0,0,CONCATENATE(ROUND(VLOOKUP(C190,acute_overview_children!$C$12:$AH$391,3,FALSE),2)," / ",ROUND(VLOOKUP(C190,acute_overview_children!$C$12:$AH$391,4,FALSE),2)))</f>
        <v>0</v>
      </c>
      <c r="E190" s="238" t="str">
        <f>IF(B190&gt;0,VLOOKUP(C190,acute_overview_children!$C$12:$AH$391,24,FALSE)*1000,"")</f>
        <v/>
      </c>
      <c r="F190" s="546">
        <f>IF($K$6="not necessary",0,LARGE(acute_overview_adults!$AA$14:$AA$391,ROW()-(ROW($B$65))))</f>
        <v>0</v>
      </c>
      <c r="G190" s="237" t="str">
        <f>IF(F190&gt;0,INDEX(acute_overview_adults!$A$12:$AH$391,MATCH(F190,acute_overview_adults!$AA$12:$AA$391,0),3),"")</f>
        <v/>
      </c>
      <c r="H190" s="238">
        <f>IF(F190=0,0,CONCATENATE(ROUND(VLOOKUP(G190,acute_overview_adults!$C$12:$AH$391,3,FALSE),2)," / ",ROUND(VLOOKUP(G190,acute_overview_adults!$C$12:$AH$391,4,FALSE),2)))</f>
        <v>0</v>
      </c>
      <c r="I190" s="239" t="str">
        <f>IF(F190&gt;0,VLOOKUP(G190,acute_overview_adults!$C$12:$AH$391,24,FALSE)*1000,"")</f>
        <v/>
      </c>
      <c r="J190" s="766">
        <f>IF($K$6="not necessary",0,LARGE(acute_overview_children!$AD$14:$AD$391,ROW()-ROW($B$65)))</f>
        <v>0</v>
      </c>
      <c r="K190" s="745" t="str">
        <f>IF(J190&gt;0,INDEX(acute_overview_children!$A$12:$AH$391,MATCH(J190,acute_overview_children!$AD$12:$AD$391,0),3),"")</f>
        <v/>
      </c>
      <c r="L190" s="755">
        <f>IF(J190=0,0,CONCATENATE(ROUND(VLOOKUP(K190,acute_overview_children!$C$12:$AH$391,3,FALSE),2)," / ",ROUND(VLOOKUP(K190,acute_overview_children!$C$12:$AH$391,6,FALSE),2)))</f>
        <v>0</v>
      </c>
      <c r="M190" s="755" t="str">
        <f>IF(J190&gt;0,VLOOKUP(K190,acute_overview_children!$C$12:$AH$391,27,FALSE)*1000,"")</f>
        <v/>
      </c>
      <c r="N190" s="766">
        <f>IF($K$6="not necessary",0,LARGE(acute_overview_adults!$AD$14:$AD$391,ROW()-ROW($F$65)))</f>
        <v>0</v>
      </c>
      <c r="O190" s="745" t="str">
        <f>IF(Results!N190&gt;0,INDEX(acute_overview_adults!$A$12:$AH$391,MATCH(Results!N190,acute_overview_adults!$AD$12:$AD$391,0),3),"")</f>
        <v/>
      </c>
      <c r="P190" s="755">
        <f>IF(N190=0,0,CONCATENATE(ROUND(VLOOKUP(O190,acute_overview_adults!$C$12:$AH$391,3,FALSE),2)," / ",ROUND(VLOOKUP(O190,acute_overview_adults!$C$12:$AH$391,6,FALSE),2)))</f>
        <v>0</v>
      </c>
      <c r="Q190" s="755" t="str">
        <f>IF(N190&gt;0,VLOOKUP(O190,acute_overview_adults!$C$12:$AH$391,27,FALSE)*1000,"")</f>
        <v/>
      </c>
      <c r="S190" s="1161">
        <f t="shared" si="8"/>
        <v>0</v>
      </c>
      <c r="T190" s="1161">
        <f t="shared" si="9"/>
        <v>0</v>
      </c>
      <c r="U190" s="1161">
        <f t="shared" si="10"/>
        <v>0</v>
      </c>
      <c r="V190" s="1161">
        <f t="shared" si="11"/>
        <v>0</v>
      </c>
      <c r="W190" s="1163">
        <f t="shared" si="12"/>
        <v>0</v>
      </c>
      <c r="X190" s="1163">
        <f t="shared" si="13"/>
        <v>0</v>
      </c>
      <c r="Y190" s="1163">
        <f t="shared" si="14"/>
        <v>0</v>
      </c>
      <c r="Z190" s="1163">
        <f t="shared" si="15"/>
        <v>0</v>
      </c>
    </row>
    <row r="191" spans="1:26" s="43" customFormat="1" ht="12" hidden="1" customHeight="1" outlineLevel="1" x14ac:dyDescent="0.2">
      <c r="A191" s="178"/>
      <c r="B191" s="546">
        <f>IF($K$6="not necessary",0,LARGE(acute_overview_children!$AA$14:$AA$391,ROW()-(ROW($B$65))))</f>
        <v>0</v>
      </c>
      <c r="C191" s="237" t="str">
        <f>IF(Results!B191&gt;0,INDEX(acute_overview_children!$A$12:$AH$391,MATCH(Results!B191,acute_overview_children!$AA$12:$AA$391,0),3),"")</f>
        <v/>
      </c>
      <c r="D191" s="238">
        <f>IF(B191=0,0,CONCATENATE(ROUND(VLOOKUP(C191,acute_overview_children!$C$12:$AH$391,3,FALSE),2)," / ",ROUND(VLOOKUP(C191,acute_overview_children!$C$12:$AH$391,4,FALSE),2)))</f>
        <v>0</v>
      </c>
      <c r="E191" s="238" t="str">
        <f>IF(B191&gt;0,VLOOKUP(C191,acute_overview_children!$C$12:$AH$391,24,FALSE)*1000,"")</f>
        <v/>
      </c>
      <c r="F191" s="546">
        <f>IF($K$6="not necessary",0,LARGE(acute_overview_adults!$AA$14:$AA$391,ROW()-(ROW($B$65))))</f>
        <v>0</v>
      </c>
      <c r="G191" s="237" t="str">
        <f>IF(F191&gt;0,INDEX(acute_overview_adults!$A$12:$AH$391,MATCH(F191,acute_overview_adults!$AA$12:$AA$391,0),3),"")</f>
        <v/>
      </c>
      <c r="H191" s="238">
        <f>IF(F191=0,0,CONCATENATE(ROUND(VLOOKUP(G191,acute_overview_adults!$C$12:$AH$391,3,FALSE),2)," / ",ROUND(VLOOKUP(G191,acute_overview_adults!$C$12:$AH$391,4,FALSE),2)))</f>
        <v>0</v>
      </c>
      <c r="I191" s="239" t="str">
        <f>IF(F191&gt;0,VLOOKUP(G191,acute_overview_adults!$C$12:$AH$391,24,FALSE)*1000,"")</f>
        <v/>
      </c>
      <c r="J191" s="766">
        <f>IF($K$6="not necessary",0,LARGE(acute_overview_children!$AD$14:$AD$391,ROW()-ROW($B$65)))</f>
        <v>0</v>
      </c>
      <c r="K191" s="745" t="str">
        <f>IF(J191&gt;0,INDEX(acute_overview_children!$A$12:$AH$391,MATCH(J191,acute_overview_children!$AD$12:$AD$391,0),3),"")</f>
        <v/>
      </c>
      <c r="L191" s="755">
        <f>IF(J191=0,0,CONCATENATE(ROUND(VLOOKUP(K191,acute_overview_children!$C$12:$AH$391,3,FALSE),2)," / ",ROUND(VLOOKUP(K191,acute_overview_children!$C$12:$AH$391,6,FALSE),2)))</f>
        <v>0</v>
      </c>
      <c r="M191" s="755" t="str">
        <f>IF(J191&gt;0,VLOOKUP(K191,acute_overview_children!$C$12:$AH$391,27,FALSE)*1000,"")</f>
        <v/>
      </c>
      <c r="N191" s="766">
        <f>IF($K$6="not necessary",0,LARGE(acute_overview_adults!$AD$14:$AD$391,ROW()-ROW($F$65)))</f>
        <v>0</v>
      </c>
      <c r="O191" s="745" t="str">
        <f>IF(Results!N191&gt;0,INDEX(acute_overview_adults!$A$12:$AH$391,MATCH(Results!N191,acute_overview_adults!$AD$12:$AD$391,0),3),"")</f>
        <v/>
      </c>
      <c r="P191" s="755">
        <f>IF(N191=0,0,CONCATENATE(ROUND(VLOOKUP(O191,acute_overview_adults!$C$12:$AH$391,3,FALSE),2)," / ",ROUND(VLOOKUP(O191,acute_overview_adults!$C$12:$AH$391,6,FALSE),2)))</f>
        <v>0</v>
      </c>
      <c r="Q191" s="755" t="str">
        <f>IF(N191&gt;0,VLOOKUP(O191,acute_overview_adults!$C$12:$AH$391,27,FALSE)*1000,"")</f>
        <v/>
      </c>
      <c r="S191" s="1161">
        <f t="shared" si="8"/>
        <v>0</v>
      </c>
      <c r="T191" s="1161">
        <f t="shared" si="9"/>
        <v>0</v>
      </c>
      <c r="U191" s="1161">
        <f t="shared" si="10"/>
        <v>0</v>
      </c>
      <c r="V191" s="1161">
        <f t="shared" si="11"/>
        <v>0</v>
      </c>
      <c r="W191" s="1163">
        <f t="shared" si="12"/>
        <v>0</v>
      </c>
      <c r="X191" s="1163">
        <f t="shared" si="13"/>
        <v>0</v>
      </c>
      <c r="Y191" s="1163">
        <f t="shared" si="14"/>
        <v>0</v>
      </c>
      <c r="Z191" s="1163">
        <f t="shared" si="15"/>
        <v>0</v>
      </c>
    </row>
    <row r="192" spans="1:26" s="43" customFormat="1" ht="12" hidden="1" customHeight="1" outlineLevel="1" x14ac:dyDescent="0.2">
      <c r="A192" s="178"/>
      <c r="B192" s="546">
        <f>IF($K$6="not necessary",0,LARGE(acute_overview_children!$AA$14:$AA$391,ROW()-(ROW($B$65))))</f>
        <v>0</v>
      </c>
      <c r="C192" s="237" t="str">
        <f>IF(Results!B192&gt;0,INDEX(acute_overview_children!$A$12:$AH$391,MATCH(Results!B192,acute_overview_children!$AA$12:$AA$391,0),3),"")</f>
        <v/>
      </c>
      <c r="D192" s="238">
        <f>IF(B192=0,0,CONCATENATE(ROUND(VLOOKUP(C192,acute_overview_children!$C$12:$AH$391,3,FALSE),2)," / ",ROUND(VLOOKUP(C192,acute_overview_children!$C$12:$AH$391,4,FALSE),2)))</f>
        <v>0</v>
      </c>
      <c r="E192" s="238" t="str">
        <f>IF(B192&gt;0,VLOOKUP(C192,acute_overview_children!$C$12:$AH$391,24,FALSE)*1000,"")</f>
        <v/>
      </c>
      <c r="F192" s="546">
        <f>IF($K$6="not necessary",0,LARGE(acute_overview_adults!$AA$14:$AA$391,ROW()-(ROW($B$65))))</f>
        <v>0</v>
      </c>
      <c r="G192" s="237" t="str">
        <f>IF(F192&gt;0,INDEX(acute_overview_adults!$A$12:$AH$391,MATCH(F192,acute_overview_adults!$AA$12:$AA$391,0),3),"")</f>
        <v/>
      </c>
      <c r="H192" s="238">
        <f>IF(F192=0,0,CONCATENATE(ROUND(VLOOKUP(G192,acute_overview_adults!$C$12:$AH$391,3,FALSE),2)," / ",ROUND(VLOOKUP(G192,acute_overview_adults!$C$12:$AH$391,4,FALSE),2)))</f>
        <v>0</v>
      </c>
      <c r="I192" s="239" t="str">
        <f>IF(F192&gt;0,VLOOKUP(G192,acute_overview_adults!$C$12:$AH$391,24,FALSE)*1000,"")</f>
        <v/>
      </c>
      <c r="J192" s="766">
        <f>IF($K$6="not necessary",0,LARGE(acute_overview_children!$AD$14:$AD$391,ROW()-ROW($B$65)))</f>
        <v>0</v>
      </c>
      <c r="K192" s="745" t="str">
        <f>IF(J192&gt;0,INDEX(acute_overview_children!$A$12:$AH$391,MATCH(J192,acute_overview_children!$AD$12:$AD$391,0),3),"")</f>
        <v/>
      </c>
      <c r="L192" s="755">
        <f>IF(J192=0,0,CONCATENATE(ROUND(VLOOKUP(K192,acute_overview_children!$C$12:$AH$391,3,FALSE),2)," / ",ROUND(VLOOKUP(K192,acute_overview_children!$C$12:$AH$391,6,FALSE),2)))</f>
        <v>0</v>
      </c>
      <c r="M192" s="755" t="str">
        <f>IF(J192&gt;0,VLOOKUP(K192,acute_overview_children!$C$12:$AH$391,27,FALSE)*1000,"")</f>
        <v/>
      </c>
      <c r="N192" s="766">
        <f>IF($K$6="not necessary",0,LARGE(acute_overview_adults!$AD$14:$AD$391,ROW()-ROW($F$65)))</f>
        <v>0</v>
      </c>
      <c r="O192" s="745" t="str">
        <f>IF(Results!N192&gt;0,INDEX(acute_overview_adults!$A$12:$AH$391,MATCH(Results!N192,acute_overview_adults!$AD$12:$AD$391,0),3),"")</f>
        <v/>
      </c>
      <c r="P192" s="755">
        <f>IF(N192=0,0,CONCATENATE(ROUND(VLOOKUP(O192,acute_overview_adults!$C$12:$AH$391,3,FALSE),2)," / ",ROUND(VLOOKUP(O192,acute_overview_adults!$C$12:$AH$391,6,FALSE),2)))</f>
        <v>0</v>
      </c>
      <c r="Q192" s="755" t="str">
        <f>IF(N192&gt;0,VLOOKUP(O192,acute_overview_adults!$C$12:$AH$391,27,FALSE)*1000,"")</f>
        <v/>
      </c>
      <c r="S192" s="1161">
        <f t="shared" si="8"/>
        <v>0</v>
      </c>
      <c r="T192" s="1161">
        <f t="shared" si="9"/>
        <v>0</v>
      </c>
      <c r="U192" s="1161">
        <f t="shared" si="10"/>
        <v>0</v>
      </c>
      <c r="V192" s="1161">
        <f t="shared" si="11"/>
        <v>0</v>
      </c>
      <c r="W192" s="1163">
        <f t="shared" si="12"/>
        <v>0</v>
      </c>
      <c r="X192" s="1163">
        <f t="shared" si="13"/>
        <v>0</v>
      </c>
      <c r="Y192" s="1163">
        <f t="shared" si="14"/>
        <v>0</v>
      </c>
      <c r="Z192" s="1163">
        <f t="shared" si="15"/>
        <v>0</v>
      </c>
    </row>
    <row r="193" spans="1:26" s="43" customFormat="1" ht="12" hidden="1" customHeight="1" outlineLevel="1" x14ac:dyDescent="0.2">
      <c r="A193" s="178"/>
      <c r="B193" s="546">
        <f>IF($K$6="not necessary",0,LARGE(acute_overview_children!$AA$14:$AA$391,ROW()-(ROW($B$65))))</f>
        <v>0</v>
      </c>
      <c r="C193" s="237" t="str">
        <f>IF(Results!B193&gt;0,INDEX(acute_overview_children!$A$12:$AH$391,MATCH(Results!B193,acute_overview_children!$AA$12:$AA$391,0),3),"")</f>
        <v/>
      </c>
      <c r="D193" s="238">
        <f>IF(B193=0,0,CONCATENATE(ROUND(VLOOKUP(C193,acute_overview_children!$C$12:$AH$391,3,FALSE),2)," / ",ROUND(VLOOKUP(C193,acute_overview_children!$C$12:$AH$391,4,FALSE),2)))</f>
        <v>0</v>
      </c>
      <c r="E193" s="238" t="str">
        <f>IF(B193&gt;0,VLOOKUP(C193,acute_overview_children!$C$12:$AH$391,24,FALSE)*1000,"")</f>
        <v/>
      </c>
      <c r="F193" s="546">
        <f>IF($K$6="not necessary",0,LARGE(acute_overview_adults!$AA$14:$AA$391,ROW()-(ROW($B$65))))</f>
        <v>0</v>
      </c>
      <c r="G193" s="237" t="str">
        <f>IF(F193&gt;0,INDEX(acute_overview_adults!$A$12:$AH$391,MATCH(F193,acute_overview_adults!$AA$12:$AA$391,0),3),"")</f>
        <v/>
      </c>
      <c r="H193" s="238">
        <f>IF(F193=0,0,CONCATENATE(ROUND(VLOOKUP(G193,acute_overview_adults!$C$12:$AH$391,3,FALSE),2)," / ",ROUND(VLOOKUP(G193,acute_overview_adults!$C$12:$AH$391,4,FALSE),2)))</f>
        <v>0</v>
      </c>
      <c r="I193" s="239" t="str">
        <f>IF(F193&gt;0,VLOOKUP(G193,acute_overview_adults!$C$12:$AH$391,24,FALSE)*1000,"")</f>
        <v/>
      </c>
      <c r="J193" s="766">
        <f>IF($K$6="not necessary",0,LARGE(acute_overview_children!$AD$14:$AD$391,ROW()-ROW($B$65)))</f>
        <v>0</v>
      </c>
      <c r="K193" s="745" t="str">
        <f>IF(J193&gt;0,INDEX(acute_overview_children!$A$12:$AH$391,MATCH(J193,acute_overview_children!$AD$12:$AD$391,0),3),"")</f>
        <v/>
      </c>
      <c r="L193" s="755">
        <f>IF(J193=0,0,CONCATENATE(ROUND(VLOOKUP(K193,acute_overview_children!$C$12:$AH$391,3,FALSE),2)," / ",ROUND(VLOOKUP(K193,acute_overview_children!$C$12:$AH$391,6,FALSE),2)))</f>
        <v>0</v>
      </c>
      <c r="M193" s="755" t="str">
        <f>IF(J193&gt;0,VLOOKUP(K193,acute_overview_children!$C$12:$AH$391,27,FALSE)*1000,"")</f>
        <v/>
      </c>
      <c r="N193" s="766">
        <f>IF($K$6="not necessary",0,LARGE(acute_overview_adults!$AD$14:$AD$391,ROW()-ROW($F$65)))</f>
        <v>0</v>
      </c>
      <c r="O193" s="745" t="str">
        <f>IF(Results!N193&gt;0,INDEX(acute_overview_adults!$A$12:$AH$391,MATCH(Results!N193,acute_overview_adults!$AD$12:$AD$391,0),3),"")</f>
        <v/>
      </c>
      <c r="P193" s="755">
        <f>IF(N193=0,0,CONCATENATE(ROUND(VLOOKUP(O193,acute_overview_adults!$C$12:$AH$391,3,FALSE),2)," / ",ROUND(VLOOKUP(O193,acute_overview_adults!$C$12:$AH$391,6,FALSE),2)))</f>
        <v>0</v>
      </c>
      <c r="Q193" s="755" t="str">
        <f>IF(N193&gt;0,VLOOKUP(O193,acute_overview_adults!$C$12:$AH$391,27,FALSE)*1000,"")</f>
        <v/>
      </c>
      <c r="S193" s="1161">
        <f t="shared" si="8"/>
        <v>0</v>
      </c>
      <c r="T193" s="1161">
        <f t="shared" si="9"/>
        <v>0</v>
      </c>
      <c r="U193" s="1161">
        <f t="shared" si="10"/>
        <v>0</v>
      </c>
      <c r="V193" s="1161">
        <f t="shared" si="11"/>
        <v>0</v>
      </c>
      <c r="W193" s="1163">
        <f t="shared" si="12"/>
        <v>0</v>
      </c>
      <c r="X193" s="1163">
        <f t="shared" si="13"/>
        <v>0</v>
      </c>
      <c r="Y193" s="1163">
        <f t="shared" si="14"/>
        <v>0</v>
      </c>
      <c r="Z193" s="1163">
        <f t="shared" si="15"/>
        <v>0</v>
      </c>
    </row>
    <row r="194" spans="1:26" s="43" customFormat="1" ht="12" hidden="1" customHeight="1" outlineLevel="1" x14ac:dyDescent="0.2">
      <c r="A194" s="178"/>
      <c r="B194" s="546">
        <f>IF($K$6="not necessary",0,LARGE(acute_overview_children!$AA$14:$AA$391,ROW()-(ROW($B$65))))</f>
        <v>0</v>
      </c>
      <c r="C194" s="237" t="str">
        <f>IF(Results!B194&gt;0,INDEX(acute_overview_children!$A$12:$AH$391,MATCH(Results!B194,acute_overview_children!$AA$12:$AA$391,0),3),"")</f>
        <v/>
      </c>
      <c r="D194" s="238">
        <f>IF(B194=0,0,CONCATENATE(ROUND(VLOOKUP(C194,acute_overview_children!$C$12:$AH$391,3,FALSE),2)," / ",ROUND(VLOOKUP(C194,acute_overview_children!$C$12:$AH$391,4,FALSE),2)))</f>
        <v>0</v>
      </c>
      <c r="E194" s="238" t="str">
        <f>IF(B194&gt;0,VLOOKUP(C194,acute_overview_children!$C$12:$AH$391,24,FALSE)*1000,"")</f>
        <v/>
      </c>
      <c r="F194" s="546">
        <f>IF($K$6="not necessary",0,LARGE(acute_overview_adults!$AA$14:$AA$391,ROW()-(ROW($B$65))))</f>
        <v>0</v>
      </c>
      <c r="G194" s="237" t="str">
        <f>IF(F194&gt;0,INDEX(acute_overview_adults!$A$12:$AH$391,MATCH(F194,acute_overview_adults!$AA$12:$AA$391,0),3),"")</f>
        <v/>
      </c>
      <c r="H194" s="238">
        <f>IF(F194=0,0,CONCATENATE(ROUND(VLOOKUP(G194,acute_overview_adults!$C$12:$AH$391,3,FALSE),2)," / ",ROUND(VLOOKUP(G194,acute_overview_adults!$C$12:$AH$391,4,FALSE),2)))</f>
        <v>0</v>
      </c>
      <c r="I194" s="239" t="str">
        <f>IF(F194&gt;0,VLOOKUP(G194,acute_overview_adults!$C$12:$AH$391,24,FALSE)*1000,"")</f>
        <v/>
      </c>
      <c r="J194" s="766">
        <f>IF($K$6="not necessary",0,LARGE(acute_overview_children!$AD$14:$AD$391,ROW()-ROW($B$65)))</f>
        <v>0</v>
      </c>
      <c r="K194" s="745" t="str">
        <f>IF(J194&gt;0,INDEX(acute_overview_children!$A$12:$AH$391,MATCH(J194,acute_overview_children!$AD$12:$AD$391,0),3),"")</f>
        <v/>
      </c>
      <c r="L194" s="755">
        <f>IF(J194=0,0,CONCATENATE(ROUND(VLOOKUP(K194,acute_overview_children!$C$12:$AH$391,3,FALSE),2)," / ",ROUND(VLOOKUP(K194,acute_overview_children!$C$12:$AH$391,6,FALSE),2)))</f>
        <v>0</v>
      </c>
      <c r="M194" s="755" t="str">
        <f>IF(J194&gt;0,VLOOKUP(K194,acute_overview_children!$C$12:$AH$391,27,FALSE)*1000,"")</f>
        <v/>
      </c>
      <c r="N194" s="766">
        <f>IF($K$6="not necessary",0,LARGE(acute_overview_adults!$AD$14:$AD$391,ROW()-ROW($F$65)))</f>
        <v>0</v>
      </c>
      <c r="O194" s="745" t="str">
        <f>IF(Results!N194&gt;0,INDEX(acute_overview_adults!$A$12:$AH$391,MATCH(Results!N194,acute_overview_adults!$AD$12:$AD$391,0),3),"")</f>
        <v/>
      </c>
      <c r="P194" s="755">
        <f>IF(N194=0,0,CONCATENATE(ROUND(VLOOKUP(O194,acute_overview_adults!$C$12:$AH$391,3,FALSE),2)," / ",ROUND(VLOOKUP(O194,acute_overview_adults!$C$12:$AH$391,6,FALSE),2)))</f>
        <v>0</v>
      </c>
      <c r="Q194" s="755" t="str">
        <f>IF(N194&gt;0,VLOOKUP(O194,acute_overview_adults!$C$12:$AH$391,27,FALSE)*1000,"")</f>
        <v/>
      </c>
      <c r="S194" s="1161">
        <f t="shared" si="8"/>
        <v>0</v>
      </c>
      <c r="T194" s="1161">
        <f t="shared" si="9"/>
        <v>0</v>
      </c>
      <c r="U194" s="1161">
        <f t="shared" si="10"/>
        <v>0</v>
      </c>
      <c r="V194" s="1161">
        <f t="shared" si="11"/>
        <v>0</v>
      </c>
      <c r="W194" s="1163">
        <f t="shared" si="12"/>
        <v>0</v>
      </c>
      <c r="X194" s="1163">
        <f t="shared" si="13"/>
        <v>0</v>
      </c>
      <c r="Y194" s="1163">
        <f t="shared" si="14"/>
        <v>0</v>
      </c>
      <c r="Z194" s="1163">
        <f t="shared" si="15"/>
        <v>0</v>
      </c>
    </row>
    <row r="195" spans="1:26" s="43" customFormat="1" ht="12" hidden="1" customHeight="1" outlineLevel="1" x14ac:dyDescent="0.2">
      <c r="A195" s="178"/>
      <c r="B195" s="546">
        <f>IF($K$6="not necessary",0,LARGE(acute_overview_children!$AA$14:$AA$391,ROW()-(ROW($B$65))))</f>
        <v>0</v>
      </c>
      <c r="C195" s="237" t="str">
        <f>IF(Results!B195&gt;0,INDEX(acute_overview_children!$A$12:$AH$391,MATCH(Results!B195,acute_overview_children!$AA$12:$AA$391,0),3),"")</f>
        <v/>
      </c>
      <c r="D195" s="238">
        <f>IF(B195=0,0,CONCATENATE(ROUND(VLOOKUP(C195,acute_overview_children!$C$12:$AH$391,3,FALSE),2)," / ",ROUND(VLOOKUP(C195,acute_overview_children!$C$12:$AH$391,4,FALSE),2)))</f>
        <v>0</v>
      </c>
      <c r="E195" s="238" t="str">
        <f>IF(B195&gt;0,VLOOKUP(C195,acute_overview_children!$C$12:$AH$391,24,FALSE)*1000,"")</f>
        <v/>
      </c>
      <c r="F195" s="546">
        <f>IF($K$6="not necessary",0,LARGE(acute_overview_adults!$AA$14:$AA$391,ROW()-(ROW($B$65))))</f>
        <v>0</v>
      </c>
      <c r="G195" s="237" t="str">
        <f>IF(F195&gt;0,INDEX(acute_overview_adults!$A$12:$AH$391,MATCH(F195,acute_overview_adults!$AA$12:$AA$391,0),3),"")</f>
        <v/>
      </c>
      <c r="H195" s="238">
        <f>IF(F195=0,0,CONCATENATE(ROUND(VLOOKUP(G195,acute_overview_adults!$C$12:$AH$391,3,FALSE),2)," / ",ROUND(VLOOKUP(G195,acute_overview_adults!$C$12:$AH$391,4,FALSE),2)))</f>
        <v>0</v>
      </c>
      <c r="I195" s="239" t="str">
        <f>IF(F195&gt;0,VLOOKUP(G195,acute_overview_adults!$C$12:$AH$391,24,FALSE)*1000,"")</f>
        <v/>
      </c>
      <c r="J195" s="766">
        <f>IF($K$6="not necessary",0,LARGE(acute_overview_children!$AD$14:$AD$391,ROW()-ROW($B$65)))</f>
        <v>0</v>
      </c>
      <c r="K195" s="745" t="str">
        <f>IF(J195&gt;0,INDEX(acute_overview_children!$A$12:$AH$391,MATCH(J195,acute_overview_children!$AD$12:$AD$391,0),3),"")</f>
        <v/>
      </c>
      <c r="L195" s="755">
        <f>IF(J195=0,0,CONCATENATE(ROUND(VLOOKUP(K195,acute_overview_children!$C$12:$AH$391,3,FALSE),2)," / ",ROUND(VLOOKUP(K195,acute_overview_children!$C$12:$AH$391,6,FALSE),2)))</f>
        <v>0</v>
      </c>
      <c r="M195" s="755" t="str">
        <f>IF(J195&gt;0,VLOOKUP(K195,acute_overview_children!$C$12:$AH$391,27,FALSE)*1000,"")</f>
        <v/>
      </c>
      <c r="N195" s="766">
        <f>IF($K$6="not necessary",0,LARGE(acute_overview_adults!$AD$14:$AD$391,ROW()-ROW($F$65)))</f>
        <v>0</v>
      </c>
      <c r="O195" s="745" t="str">
        <f>IF(Results!N195&gt;0,INDEX(acute_overview_adults!$A$12:$AH$391,MATCH(Results!N195,acute_overview_adults!$AD$12:$AD$391,0),3),"")</f>
        <v/>
      </c>
      <c r="P195" s="755">
        <f>IF(N195=0,0,CONCATENATE(ROUND(VLOOKUP(O195,acute_overview_adults!$C$12:$AH$391,3,FALSE),2)," / ",ROUND(VLOOKUP(O195,acute_overview_adults!$C$12:$AH$391,6,FALSE),2)))</f>
        <v>0</v>
      </c>
      <c r="Q195" s="755" t="str">
        <f>IF(N195&gt;0,VLOOKUP(O195,acute_overview_adults!$C$12:$AH$391,27,FALSE)*1000,"")</f>
        <v/>
      </c>
      <c r="S195" s="1161">
        <f t="shared" ref="S195:S224" si="16">IF(B195&lt;=1,0,MATCH(C195,$G$66:$G$224,0))</f>
        <v>0</v>
      </c>
      <c r="T195" s="1161">
        <f t="shared" ref="T195:T224" si="17">IF(S195=0,0,IF(S195&lt;=$V$226,1,0))</f>
        <v>0</v>
      </c>
      <c r="U195" s="1161">
        <f t="shared" ref="U195:U224" si="18">IF(B195&lt;=1,0,1)</f>
        <v>0</v>
      </c>
      <c r="V195" s="1161">
        <f t="shared" ref="V195:V224" si="19">IF(F195&lt;=1,0,1)</f>
        <v>0</v>
      </c>
      <c r="W195" s="1163">
        <f t="shared" ref="W195:W224" si="20">IF(J195&lt;=1,0,MATCH(K195,$O$66:$O$224,0))</f>
        <v>0</v>
      </c>
      <c r="X195" s="1163">
        <f t="shared" ref="X195:X224" si="21">IF(W195=0,0,IF(W195&lt;=$Z$226,1,0))</f>
        <v>0</v>
      </c>
      <c r="Y195" s="1163">
        <f t="shared" ref="Y195:Y224" si="22">IF(J195&lt;=1,0,1)</f>
        <v>0</v>
      </c>
      <c r="Z195" s="1163">
        <f t="shared" ref="Z195:Z224" si="23">IF(N195&lt;=1,0,1)</f>
        <v>0</v>
      </c>
    </row>
    <row r="196" spans="1:26" s="43" customFormat="1" ht="12" hidden="1" customHeight="1" outlineLevel="1" x14ac:dyDescent="0.2">
      <c r="A196" s="178"/>
      <c r="B196" s="546">
        <f>IF($K$6="not necessary",0,LARGE(acute_overview_children!$AA$14:$AA$391,ROW()-(ROW($B$65))))</f>
        <v>0</v>
      </c>
      <c r="C196" s="237" t="str">
        <f>IF(Results!B196&gt;0,INDEX(acute_overview_children!$A$12:$AH$391,MATCH(Results!B196,acute_overview_children!$AA$12:$AA$391,0),3),"")</f>
        <v/>
      </c>
      <c r="D196" s="238">
        <f>IF(B196=0,0,CONCATENATE(ROUND(VLOOKUP(C196,acute_overview_children!$C$12:$AH$391,3,FALSE),2)," / ",ROUND(VLOOKUP(C196,acute_overview_children!$C$12:$AH$391,4,FALSE),2)))</f>
        <v>0</v>
      </c>
      <c r="E196" s="238" t="str">
        <f>IF(B196&gt;0,VLOOKUP(C196,acute_overview_children!$C$12:$AH$391,24,FALSE)*1000,"")</f>
        <v/>
      </c>
      <c r="F196" s="546">
        <f>IF($K$6="not necessary",0,LARGE(acute_overview_adults!$AA$14:$AA$391,ROW()-(ROW($B$65))))</f>
        <v>0</v>
      </c>
      <c r="G196" s="237" t="str">
        <f>IF(F196&gt;0,INDEX(acute_overview_adults!$A$12:$AH$391,MATCH(F196,acute_overview_adults!$AA$12:$AA$391,0),3),"")</f>
        <v/>
      </c>
      <c r="H196" s="238">
        <f>IF(F196=0,0,CONCATENATE(ROUND(VLOOKUP(G196,acute_overview_adults!$C$12:$AH$391,3,FALSE),2)," / ",ROUND(VLOOKUP(G196,acute_overview_adults!$C$12:$AH$391,4,FALSE),2)))</f>
        <v>0</v>
      </c>
      <c r="I196" s="239" t="str">
        <f>IF(F196&gt;0,VLOOKUP(G196,acute_overview_adults!$C$12:$AH$391,24,FALSE)*1000,"")</f>
        <v/>
      </c>
      <c r="J196" s="766">
        <f>IF($K$6="not necessary",0,LARGE(acute_overview_children!$AD$14:$AD$391,ROW()-ROW($B$65)))</f>
        <v>0</v>
      </c>
      <c r="K196" s="745" t="str">
        <f>IF(J196&gt;0,INDEX(acute_overview_children!$A$12:$AH$391,MATCH(J196,acute_overview_children!$AD$12:$AD$391,0),3),"")</f>
        <v/>
      </c>
      <c r="L196" s="755">
        <f>IF(J196=0,0,CONCATENATE(ROUND(VLOOKUP(K196,acute_overview_children!$C$12:$AH$391,3,FALSE),2)," / ",ROUND(VLOOKUP(K196,acute_overview_children!$C$12:$AH$391,6,FALSE),2)))</f>
        <v>0</v>
      </c>
      <c r="M196" s="755" t="str">
        <f>IF(J196&gt;0,VLOOKUP(K196,acute_overview_children!$C$12:$AH$391,27,FALSE)*1000,"")</f>
        <v/>
      </c>
      <c r="N196" s="766">
        <f>IF($K$6="not necessary",0,LARGE(acute_overview_adults!$AD$14:$AD$391,ROW()-ROW($F$65)))</f>
        <v>0</v>
      </c>
      <c r="O196" s="745" t="str">
        <f>IF(Results!N196&gt;0,INDEX(acute_overview_adults!$A$12:$AH$391,MATCH(Results!N196,acute_overview_adults!$AD$12:$AD$391,0),3),"")</f>
        <v/>
      </c>
      <c r="P196" s="755">
        <f>IF(N196=0,0,CONCATENATE(ROUND(VLOOKUP(O196,acute_overview_adults!$C$12:$AH$391,3,FALSE),2)," / ",ROUND(VLOOKUP(O196,acute_overview_adults!$C$12:$AH$391,6,FALSE),2)))</f>
        <v>0</v>
      </c>
      <c r="Q196" s="755" t="str">
        <f>IF(N196&gt;0,VLOOKUP(O196,acute_overview_adults!$C$12:$AH$391,27,FALSE)*1000,"")</f>
        <v/>
      </c>
      <c r="S196" s="1161">
        <f t="shared" si="16"/>
        <v>0</v>
      </c>
      <c r="T196" s="1161">
        <f t="shared" si="17"/>
        <v>0</v>
      </c>
      <c r="U196" s="1161">
        <f t="shared" si="18"/>
        <v>0</v>
      </c>
      <c r="V196" s="1161">
        <f t="shared" si="19"/>
        <v>0</v>
      </c>
      <c r="W196" s="1163">
        <f t="shared" si="20"/>
        <v>0</v>
      </c>
      <c r="X196" s="1163">
        <f t="shared" si="21"/>
        <v>0</v>
      </c>
      <c r="Y196" s="1163">
        <f t="shared" si="22"/>
        <v>0</v>
      </c>
      <c r="Z196" s="1163">
        <f t="shared" si="23"/>
        <v>0</v>
      </c>
    </row>
    <row r="197" spans="1:26" s="43" customFormat="1" ht="12" hidden="1" customHeight="1" outlineLevel="1" x14ac:dyDescent="0.2">
      <c r="A197" s="178"/>
      <c r="B197" s="546">
        <f>IF($K$6="not necessary",0,LARGE(acute_overview_children!$AA$14:$AA$391,ROW()-(ROW($B$65))))</f>
        <v>0</v>
      </c>
      <c r="C197" s="237" t="str">
        <f>IF(Results!B197&gt;0,INDEX(acute_overview_children!$A$12:$AH$391,MATCH(Results!B197,acute_overview_children!$AA$12:$AA$391,0),3),"")</f>
        <v/>
      </c>
      <c r="D197" s="238">
        <f>IF(B197=0,0,CONCATENATE(ROUND(VLOOKUP(C197,acute_overview_children!$C$12:$AH$391,3,FALSE),2)," / ",ROUND(VLOOKUP(C197,acute_overview_children!$C$12:$AH$391,4,FALSE),2)))</f>
        <v>0</v>
      </c>
      <c r="E197" s="238" t="str">
        <f>IF(B197&gt;0,VLOOKUP(C197,acute_overview_children!$C$12:$AH$391,24,FALSE)*1000,"")</f>
        <v/>
      </c>
      <c r="F197" s="546">
        <f>IF($K$6="not necessary",0,LARGE(acute_overview_adults!$AA$14:$AA$391,ROW()-(ROW($B$65))))</f>
        <v>0</v>
      </c>
      <c r="G197" s="237" t="str">
        <f>IF(F197&gt;0,INDEX(acute_overview_adults!$A$12:$AH$391,MATCH(F197,acute_overview_adults!$AA$12:$AA$391,0),3),"")</f>
        <v/>
      </c>
      <c r="H197" s="238">
        <f>IF(F197=0,0,CONCATENATE(ROUND(VLOOKUP(G197,acute_overview_adults!$C$12:$AH$391,3,FALSE),2)," / ",ROUND(VLOOKUP(G197,acute_overview_adults!$C$12:$AH$391,4,FALSE),2)))</f>
        <v>0</v>
      </c>
      <c r="I197" s="239" t="str">
        <f>IF(F197&gt;0,VLOOKUP(G197,acute_overview_adults!$C$12:$AH$391,24,FALSE)*1000,"")</f>
        <v/>
      </c>
      <c r="J197" s="766">
        <f>IF($K$6="not necessary",0,LARGE(acute_overview_children!$AD$14:$AD$391,ROW()-ROW($B$65)))</f>
        <v>0</v>
      </c>
      <c r="K197" s="745" t="str">
        <f>IF(J197&gt;0,INDEX(acute_overview_children!$A$12:$AH$391,MATCH(J197,acute_overview_children!$AD$12:$AD$391,0),3),"")</f>
        <v/>
      </c>
      <c r="L197" s="755">
        <f>IF(J197=0,0,CONCATENATE(ROUND(VLOOKUP(K197,acute_overview_children!$C$12:$AH$391,3,FALSE),2)," / ",ROUND(VLOOKUP(K197,acute_overview_children!$C$12:$AH$391,6,FALSE),2)))</f>
        <v>0</v>
      </c>
      <c r="M197" s="755" t="str">
        <f>IF(J197&gt;0,VLOOKUP(K197,acute_overview_children!$C$12:$AH$391,27,FALSE)*1000,"")</f>
        <v/>
      </c>
      <c r="N197" s="766">
        <f>IF($K$6="not necessary",0,LARGE(acute_overview_adults!$AD$14:$AD$391,ROW()-ROW($F$65)))</f>
        <v>0</v>
      </c>
      <c r="O197" s="745" t="str">
        <f>IF(Results!N197&gt;0,INDEX(acute_overview_adults!$A$12:$AH$391,MATCH(Results!N197,acute_overview_adults!$AD$12:$AD$391,0),3),"")</f>
        <v/>
      </c>
      <c r="P197" s="755">
        <f>IF(N197=0,0,CONCATENATE(ROUND(VLOOKUP(O197,acute_overview_adults!$C$12:$AH$391,3,FALSE),2)," / ",ROUND(VLOOKUP(O197,acute_overview_adults!$C$12:$AH$391,6,FALSE),2)))</f>
        <v>0</v>
      </c>
      <c r="Q197" s="755" t="str">
        <f>IF(N197&gt;0,VLOOKUP(O197,acute_overview_adults!$C$12:$AH$391,27,FALSE)*1000,"")</f>
        <v/>
      </c>
      <c r="S197" s="1161">
        <f t="shared" si="16"/>
        <v>0</v>
      </c>
      <c r="T197" s="1161">
        <f t="shared" si="17"/>
        <v>0</v>
      </c>
      <c r="U197" s="1161">
        <f t="shared" si="18"/>
        <v>0</v>
      </c>
      <c r="V197" s="1161">
        <f t="shared" si="19"/>
        <v>0</v>
      </c>
      <c r="W197" s="1163">
        <f t="shared" si="20"/>
        <v>0</v>
      </c>
      <c r="X197" s="1163">
        <f t="shared" si="21"/>
        <v>0</v>
      </c>
      <c r="Y197" s="1163">
        <f t="shared" si="22"/>
        <v>0</v>
      </c>
      <c r="Z197" s="1163">
        <f t="shared" si="23"/>
        <v>0</v>
      </c>
    </row>
    <row r="198" spans="1:26" s="43" customFormat="1" ht="12" hidden="1" customHeight="1" outlineLevel="1" x14ac:dyDescent="0.2">
      <c r="A198" s="178"/>
      <c r="B198" s="546">
        <f>IF($K$6="not necessary",0,LARGE(acute_overview_children!$AA$14:$AA$391,ROW()-(ROW($B$65))))</f>
        <v>0</v>
      </c>
      <c r="C198" s="237" t="str">
        <f>IF(Results!B198&gt;0,INDEX(acute_overview_children!$A$12:$AH$391,MATCH(Results!B198,acute_overview_children!$AA$12:$AA$391,0),3),"")</f>
        <v/>
      </c>
      <c r="D198" s="238">
        <f>IF(B198=0,0,CONCATENATE(ROUND(VLOOKUP(C198,acute_overview_children!$C$12:$AH$391,3,FALSE),2)," / ",ROUND(VLOOKUP(C198,acute_overview_children!$C$12:$AH$391,4,FALSE),2)))</f>
        <v>0</v>
      </c>
      <c r="E198" s="238" t="str">
        <f>IF(B198&gt;0,VLOOKUP(C198,acute_overview_children!$C$12:$AH$391,24,FALSE)*1000,"")</f>
        <v/>
      </c>
      <c r="F198" s="546">
        <f>IF($K$6="not necessary",0,LARGE(acute_overview_adults!$AA$14:$AA$391,ROW()-(ROW($B$65))))</f>
        <v>0</v>
      </c>
      <c r="G198" s="237" t="str">
        <f>IF(F198&gt;0,INDEX(acute_overview_adults!$A$12:$AH$391,MATCH(F198,acute_overview_adults!$AA$12:$AA$391,0),3),"")</f>
        <v/>
      </c>
      <c r="H198" s="238">
        <f>IF(F198=0,0,CONCATENATE(ROUND(VLOOKUP(G198,acute_overview_adults!$C$12:$AH$391,3,FALSE),2)," / ",ROUND(VLOOKUP(G198,acute_overview_adults!$C$12:$AH$391,4,FALSE),2)))</f>
        <v>0</v>
      </c>
      <c r="I198" s="239" t="str">
        <f>IF(F198&gt;0,VLOOKUP(G198,acute_overview_adults!$C$12:$AH$391,24,FALSE)*1000,"")</f>
        <v/>
      </c>
      <c r="J198" s="766">
        <f>IF($K$6="not necessary",0,LARGE(acute_overview_children!$AD$14:$AD$391,ROW()-ROW($B$65)))</f>
        <v>0</v>
      </c>
      <c r="K198" s="745" t="str">
        <f>IF(J198&gt;0,INDEX(acute_overview_children!$A$12:$AH$391,MATCH(J198,acute_overview_children!$AD$12:$AD$391,0),3),"")</f>
        <v/>
      </c>
      <c r="L198" s="755">
        <f>IF(J198=0,0,CONCATENATE(ROUND(VLOOKUP(K198,acute_overview_children!$C$12:$AH$391,3,FALSE),2)," / ",ROUND(VLOOKUP(K198,acute_overview_children!$C$12:$AH$391,6,FALSE),2)))</f>
        <v>0</v>
      </c>
      <c r="M198" s="755" t="str">
        <f>IF(J198&gt;0,VLOOKUP(K198,acute_overview_children!$C$12:$AH$391,27,FALSE)*1000,"")</f>
        <v/>
      </c>
      <c r="N198" s="766">
        <f>IF($K$6="not necessary",0,LARGE(acute_overview_adults!$AD$14:$AD$391,ROW()-ROW($F$65)))</f>
        <v>0</v>
      </c>
      <c r="O198" s="745" t="str">
        <f>IF(Results!N198&gt;0,INDEX(acute_overview_adults!$A$12:$AH$391,MATCH(Results!N198,acute_overview_adults!$AD$12:$AD$391,0),3),"")</f>
        <v/>
      </c>
      <c r="P198" s="755">
        <f>IF(N198=0,0,CONCATENATE(ROUND(VLOOKUP(O198,acute_overview_adults!$C$12:$AH$391,3,FALSE),2)," / ",ROUND(VLOOKUP(O198,acute_overview_adults!$C$12:$AH$391,6,FALSE),2)))</f>
        <v>0</v>
      </c>
      <c r="Q198" s="755" t="str">
        <f>IF(N198&gt;0,VLOOKUP(O198,acute_overview_adults!$C$12:$AH$391,27,FALSE)*1000,"")</f>
        <v/>
      </c>
      <c r="S198" s="1161">
        <f t="shared" si="16"/>
        <v>0</v>
      </c>
      <c r="T198" s="1161">
        <f t="shared" si="17"/>
        <v>0</v>
      </c>
      <c r="U198" s="1161">
        <f t="shared" si="18"/>
        <v>0</v>
      </c>
      <c r="V198" s="1161">
        <f t="shared" si="19"/>
        <v>0</v>
      </c>
      <c r="W198" s="1163">
        <f t="shared" si="20"/>
        <v>0</v>
      </c>
      <c r="X198" s="1163">
        <f t="shared" si="21"/>
        <v>0</v>
      </c>
      <c r="Y198" s="1163">
        <f t="shared" si="22"/>
        <v>0</v>
      </c>
      <c r="Z198" s="1163">
        <f t="shared" si="23"/>
        <v>0</v>
      </c>
    </row>
    <row r="199" spans="1:26" s="43" customFormat="1" ht="12" hidden="1" customHeight="1" outlineLevel="1" x14ac:dyDescent="0.2">
      <c r="A199" s="178"/>
      <c r="B199" s="546">
        <f>IF($K$6="not necessary",0,LARGE(acute_overview_children!$AA$14:$AA$391,ROW()-(ROW($B$65))))</f>
        <v>0</v>
      </c>
      <c r="C199" s="237" t="str">
        <f>IF(Results!B199&gt;0,INDEX(acute_overview_children!$A$12:$AH$391,MATCH(Results!B199,acute_overview_children!$AA$12:$AA$391,0),3),"")</f>
        <v/>
      </c>
      <c r="D199" s="238">
        <f>IF(B199=0,0,CONCATENATE(ROUND(VLOOKUP(C199,acute_overview_children!$C$12:$AH$391,3,FALSE),2)," / ",ROUND(VLOOKUP(C199,acute_overview_children!$C$12:$AH$391,4,FALSE),2)))</f>
        <v>0</v>
      </c>
      <c r="E199" s="238" t="str">
        <f>IF(B199&gt;0,VLOOKUP(C199,acute_overview_children!$C$12:$AH$391,24,FALSE)*1000,"")</f>
        <v/>
      </c>
      <c r="F199" s="546">
        <f>IF($K$6="not necessary",0,LARGE(acute_overview_adults!$AA$14:$AA$391,ROW()-(ROW($B$65))))</f>
        <v>0</v>
      </c>
      <c r="G199" s="237" t="str">
        <f>IF(F199&gt;0,INDEX(acute_overview_adults!$A$12:$AH$391,MATCH(F199,acute_overview_adults!$AA$12:$AA$391,0),3),"")</f>
        <v/>
      </c>
      <c r="H199" s="238">
        <f>IF(F199=0,0,CONCATENATE(ROUND(VLOOKUP(G199,acute_overview_adults!$C$12:$AH$391,3,FALSE),2)," / ",ROUND(VLOOKUP(G199,acute_overview_adults!$C$12:$AH$391,4,FALSE),2)))</f>
        <v>0</v>
      </c>
      <c r="I199" s="239" t="str">
        <f>IF(F199&gt;0,VLOOKUP(G199,acute_overview_adults!$C$12:$AH$391,24,FALSE)*1000,"")</f>
        <v/>
      </c>
      <c r="J199" s="766">
        <f>IF($K$6="not necessary",0,LARGE(acute_overview_children!$AD$14:$AD$391,ROW()-ROW($B$65)))</f>
        <v>0</v>
      </c>
      <c r="K199" s="745" t="str">
        <f>IF(J199&gt;0,INDEX(acute_overview_children!$A$12:$AH$391,MATCH(J199,acute_overview_children!$AD$12:$AD$391,0),3),"")</f>
        <v/>
      </c>
      <c r="L199" s="755">
        <f>IF(J199=0,0,CONCATENATE(ROUND(VLOOKUP(K199,acute_overview_children!$C$12:$AH$391,3,FALSE),2)," / ",ROUND(VLOOKUP(K199,acute_overview_children!$C$12:$AH$391,6,FALSE),2)))</f>
        <v>0</v>
      </c>
      <c r="M199" s="755" t="str">
        <f>IF(J199&gt;0,VLOOKUP(K199,acute_overview_children!$C$12:$AH$391,27,FALSE)*1000,"")</f>
        <v/>
      </c>
      <c r="N199" s="766">
        <f>IF($K$6="not necessary",0,LARGE(acute_overview_adults!$AD$14:$AD$391,ROW()-ROW($F$65)))</f>
        <v>0</v>
      </c>
      <c r="O199" s="745" t="str">
        <f>IF(Results!N199&gt;0,INDEX(acute_overview_adults!$A$12:$AH$391,MATCH(Results!N199,acute_overview_adults!$AD$12:$AD$391,0),3),"")</f>
        <v/>
      </c>
      <c r="P199" s="755">
        <f>IF(N199=0,0,CONCATENATE(ROUND(VLOOKUP(O199,acute_overview_adults!$C$12:$AH$391,3,FALSE),2)," / ",ROUND(VLOOKUP(O199,acute_overview_adults!$C$12:$AH$391,6,FALSE),2)))</f>
        <v>0</v>
      </c>
      <c r="Q199" s="755" t="str">
        <f>IF(N199&gt;0,VLOOKUP(O199,acute_overview_adults!$C$12:$AH$391,27,FALSE)*1000,"")</f>
        <v/>
      </c>
      <c r="S199" s="1161">
        <f t="shared" si="16"/>
        <v>0</v>
      </c>
      <c r="T199" s="1161">
        <f t="shared" si="17"/>
        <v>0</v>
      </c>
      <c r="U199" s="1161">
        <f t="shared" si="18"/>
        <v>0</v>
      </c>
      <c r="V199" s="1161">
        <f t="shared" si="19"/>
        <v>0</v>
      </c>
      <c r="W199" s="1163">
        <f t="shared" si="20"/>
        <v>0</v>
      </c>
      <c r="X199" s="1163">
        <f t="shared" si="21"/>
        <v>0</v>
      </c>
      <c r="Y199" s="1163">
        <f t="shared" si="22"/>
        <v>0</v>
      </c>
      <c r="Z199" s="1163">
        <f t="shared" si="23"/>
        <v>0</v>
      </c>
    </row>
    <row r="200" spans="1:26" s="43" customFormat="1" ht="12" hidden="1" customHeight="1" outlineLevel="1" x14ac:dyDescent="0.2">
      <c r="A200" s="178"/>
      <c r="B200" s="546">
        <f>IF($K$6="not necessary",0,LARGE(acute_overview_children!$AA$14:$AA$391,ROW()-(ROW($B$65))))</f>
        <v>0</v>
      </c>
      <c r="C200" s="237" t="str">
        <f>IF(Results!B200&gt;0,INDEX(acute_overview_children!$A$12:$AH$391,MATCH(Results!B200,acute_overview_children!$AA$12:$AA$391,0),3),"")</f>
        <v/>
      </c>
      <c r="D200" s="238">
        <f>IF(B200=0,0,CONCATENATE(ROUND(VLOOKUP(C200,acute_overview_children!$C$12:$AH$391,3,FALSE),2)," / ",ROUND(VLOOKUP(C200,acute_overview_children!$C$12:$AH$391,4,FALSE),2)))</f>
        <v>0</v>
      </c>
      <c r="E200" s="238" t="str">
        <f>IF(B200&gt;0,VLOOKUP(C200,acute_overview_children!$C$12:$AH$391,24,FALSE)*1000,"")</f>
        <v/>
      </c>
      <c r="F200" s="546">
        <f>IF($K$6="not necessary",0,LARGE(acute_overview_adults!$AA$14:$AA$391,ROW()-(ROW($B$65))))</f>
        <v>0</v>
      </c>
      <c r="G200" s="237" t="str">
        <f>IF(F200&gt;0,INDEX(acute_overview_adults!$A$12:$AH$391,MATCH(F200,acute_overview_adults!$AA$12:$AA$391,0),3),"")</f>
        <v/>
      </c>
      <c r="H200" s="238">
        <f>IF(F200=0,0,CONCATENATE(ROUND(VLOOKUP(G200,acute_overview_adults!$C$12:$AH$391,3,FALSE),2)," / ",ROUND(VLOOKUP(G200,acute_overview_adults!$C$12:$AH$391,4,FALSE),2)))</f>
        <v>0</v>
      </c>
      <c r="I200" s="239" t="str">
        <f>IF(F200&gt;0,VLOOKUP(G200,acute_overview_adults!$C$12:$AH$391,24,FALSE)*1000,"")</f>
        <v/>
      </c>
      <c r="J200" s="766">
        <f>IF($K$6="not necessary",0,LARGE(acute_overview_children!$AD$14:$AD$391,ROW()-ROW($B$65)))</f>
        <v>0</v>
      </c>
      <c r="K200" s="745" t="str">
        <f>IF(J200&gt;0,INDEX(acute_overview_children!$A$12:$AH$391,MATCH(J200,acute_overview_children!$AD$12:$AD$391,0),3),"")</f>
        <v/>
      </c>
      <c r="L200" s="755">
        <f>IF(J200=0,0,CONCATENATE(ROUND(VLOOKUP(K200,acute_overview_children!$C$12:$AH$391,3,FALSE),2)," / ",ROUND(VLOOKUP(K200,acute_overview_children!$C$12:$AH$391,6,FALSE),2)))</f>
        <v>0</v>
      </c>
      <c r="M200" s="755" t="str">
        <f>IF(J200&gt;0,VLOOKUP(K200,acute_overview_children!$C$12:$AH$391,27,FALSE)*1000,"")</f>
        <v/>
      </c>
      <c r="N200" s="766">
        <f>IF($K$6="not necessary",0,LARGE(acute_overview_adults!$AD$14:$AD$391,ROW()-ROW($F$65)))</f>
        <v>0</v>
      </c>
      <c r="O200" s="745" t="str">
        <f>IF(Results!N200&gt;0,INDEX(acute_overview_adults!$A$12:$AH$391,MATCH(Results!N200,acute_overview_adults!$AD$12:$AD$391,0),3),"")</f>
        <v/>
      </c>
      <c r="P200" s="755">
        <f>IF(N200=0,0,CONCATENATE(ROUND(VLOOKUP(O200,acute_overview_adults!$C$12:$AH$391,3,FALSE),2)," / ",ROUND(VLOOKUP(O200,acute_overview_adults!$C$12:$AH$391,6,FALSE),2)))</f>
        <v>0</v>
      </c>
      <c r="Q200" s="755" t="str">
        <f>IF(N200&gt;0,VLOOKUP(O200,acute_overview_adults!$C$12:$AH$391,27,FALSE)*1000,"")</f>
        <v/>
      </c>
      <c r="S200" s="1161">
        <f t="shared" si="16"/>
        <v>0</v>
      </c>
      <c r="T200" s="1161">
        <f t="shared" si="17"/>
        <v>0</v>
      </c>
      <c r="U200" s="1161">
        <f t="shared" si="18"/>
        <v>0</v>
      </c>
      <c r="V200" s="1161">
        <f t="shared" si="19"/>
        <v>0</v>
      </c>
      <c r="W200" s="1163">
        <f t="shared" si="20"/>
        <v>0</v>
      </c>
      <c r="X200" s="1163">
        <f t="shared" si="21"/>
        <v>0</v>
      </c>
      <c r="Y200" s="1163">
        <f t="shared" si="22"/>
        <v>0</v>
      </c>
      <c r="Z200" s="1163">
        <f t="shared" si="23"/>
        <v>0</v>
      </c>
    </row>
    <row r="201" spans="1:26" s="43" customFormat="1" ht="12" hidden="1" customHeight="1" outlineLevel="1" x14ac:dyDescent="0.2">
      <c r="A201" s="178"/>
      <c r="B201" s="546">
        <f>IF($K$6="not necessary",0,LARGE(acute_overview_children!$AA$14:$AA$391,ROW()-(ROW($B$65))))</f>
        <v>0</v>
      </c>
      <c r="C201" s="237" t="str">
        <f>IF(Results!B201&gt;0,INDEX(acute_overview_children!$A$12:$AH$391,MATCH(Results!B201,acute_overview_children!$AA$12:$AA$391,0),3),"")</f>
        <v/>
      </c>
      <c r="D201" s="238">
        <f>IF(B201=0,0,CONCATENATE(ROUND(VLOOKUP(C201,acute_overview_children!$C$12:$AH$391,3,FALSE),2)," / ",ROUND(VLOOKUP(C201,acute_overview_children!$C$12:$AH$391,4,FALSE),2)))</f>
        <v>0</v>
      </c>
      <c r="E201" s="238" t="str">
        <f>IF(B201&gt;0,VLOOKUP(C201,acute_overview_children!$C$12:$AH$391,24,FALSE)*1000,"")</f>
        <v/>
      </c>
      <c r="F201" s="546">
        <f>IF($K$6="not necessary",0,LARGE(acute_overview_adults!$AA$14:$AA$391,ROW()-(ROW($B$65))))</f>
        <v>0</v>
      </c>
      <c r="G201" s="237" t="str">
        <f>IF(F201&gt;0,INDEX(acute_overview_adults!$A$12:$AH$391,MATCH(F201,acute_overview_adults!$AA$12:$AA$391,0),3),"")</f>
        <v/>
      </c>
      <c r="H201" s="238">
        <f>IF(F201=0,0,CONCATENATE(ROUND(VLOOKUP(G201,acute_overview_adults!$C$12:$AH$391,3,FALSE),2)," / ",ROUND(VLOOKUP(G201,acute_overview_adults!$C$12:$AH$391,4,FALSE),2)))</f>
        <v>0</v>
      </c>
      <c r="I201" s="239" t="str">
        <f>IF(F201&gt;0,VLOOKUP(G201,acute_overview_adults!$C$12:$AH$391,24,FALSE)*1000,"")</f>
        <v/>
      </c>
      <c r="J201" s="766">
        <f>IF($K$6="not necessary",0,LARGE(acute_overview_children!$AD$14:$AD$391,ROW()-ROW($B$65)))</f>
        <v>0</v>
      </c>
      <c r="K201" s="745" t="str">
        <f>IF(J201&gt;0,INDEX(acute_overview_children!$A$12:$AH$391,MATCH(J201,acute_overview_children!$AD$12:$AD$391,0),3),"")</f>
        <v/>
      </c>
      <c r="L201" s="755">
        <f>IF(J201=0,0,CONCATENATE(ROUND(VLOOKUP(K201,acute_overview_children!$C$12:$AH$391,3,FALSE),2)," / ",ROUND(VLOOKUP(K201,acute_overview_children!$C$12:$AH$391,6,FALSE),2)))</f>
        <v>0</v>
      </c>
      <c r="M201" s="755" t="str">
        <f>IF(J201&gt;0,VLOOKUP(K201,acute_overview_children!$C$12:$AH$391,27,FALSE)*1000,"")</f>
        <v/>
      </c>
      <c r="N201" s="766">
        <f>IF($K$6="not necessary",0,LARGE(acute_overview_adults!$AD$14:$AD$391,ROW()-ROW($F$65)))</f>
        <v>0</v>
      </c>
      <c r="O201" s="745" t="str">
        <f>IF(Results!N201&gt;0,INDEX(acute_overview_adults!$A$12:$AH$391,MATCH(Results!N201,acute_overview_adults!$AD$12:$AD$391,0),3),"")</f>
        <v/>
      </c>
      <c r="P201" s="755">
        <f>IF(N201=0,0,CONCATENATE(ROUND(VLOOKUP(O201,acute_overview_adults!$C$12:$AH$391,3,FALSE),2)," / ",ROUND(VLOOKUP(O201,acute_overview_adults!$C$12:$AH$391,6,FALSE),2)))</f>
        <v>0</v>
      </c>
      <c r="Q201" s="755" t="str">
        <f>IF(N201&gt;0,VLOOKUP(O201,acute_overview_adults!$C$12:$AH$391,27,FALSE)*1000,"")</f>
        <v/>
      </c>
      <c r="S201" s="1161">
        <f t="shared" si="16"/>
        <v>0</v>
      </c>
      <c r="T201" s="1161">
        <f t="shared" si="17"/>
        <v>0</v>
      </c>
      <c r="U201" s="1161">
        <f t="shared" si="18"/>
        <v>0</v>
      </c>
      <c r="V201" s="1161">
        <f t="shared" si="19"/>
        <v>0</v>
      </c>
      <c r="W201" s="1163">
        <f t="shared" si="20"/>
        <v>0</v>
      </c>
      <c r="X201" s="1163">
        <f t="shared" si="21"/>
        <v>0</v>
      </c>
      <c r="Y201" s="1163">
        <f t="shared" si="22"/>
        <v>0</v>
      </c>
      <c r="Z201" s="1163">
        <f t="shared" si="23"/>
        <v>0</v>
      </c>
    </row>
    <row r="202" spans="1:26" s="43" customFormat="1" ht="12" hidden="1" customHeight="1" outlineLevel="1" x14ac:dyDescent="0.2">
      <c r="A202" s="178"/>
      <c r="B202" s="546">
        <f>IF($K$6="not necessary",0,LARGE(acute_overview_children!$AA$14:$AA$391,ROW()-(ROW($B$65))))</f>
        <v>0</v>
      </c>
      <c r="C202" s="237" t="str">
        <f>IF(Results!B202&gt;0,INDEX(acute_overview_children!$A$12:$AH$391,MATCH(Results!B202,acute_overview_children!$AA$12:$AA$391,0),3),"")</f>
        <v/>
      </c>
      <c r="D202" s="238">
        <f>IF(B202=0,0,CONCATENATE(ROUND(VLOOKUP(C202,acute_overview_children!$C$12:$AH$391,3,FALSE),2)," / ",ROUND(VLOOKUP(C202,acute_overview_children!$C$12:$AH$391,4,FALSE),2)))</f>
        <v>0</v>
      </c>
      <c r="E202" s="238" t="str">
        <f>IF(B202&gt;0,VLOOKUP(C202,acute_overview_children!$C$12:$AH$391,24,FALSE)*1000,"")</f>
        <v/>
      </c>
      <c r="F202" s="546">
        <f>IF($K$6="not necessary",0,LARGE(acute_overview_adults!$AA$14:$AA$391,ROW()-(ROW($B$65))))</f>
        <v>0</v>
      </c>
      <c r="G202" s="237" t="str">
        <f>IF(F202&gt;0,INDEX(acute_overview_adults!$A$12:$AH$391,MATCH(F202,acute_overview_adults!$AA$12:$AA$391,0),3),"")</f>
        <v/>
      </c>
      <c r="H202" s="238">
        <f>IF(F202=0,0,CONCATENATE(ROUND(VLOOKUP(G202,acute_overview_adults!$C$12:$AH$391,3,FALSE),2)," / ",ROUND(VLOOKUP(G202,acute_overview_adults!$C$12:$AH$391,4,FALSE),2)))</f>
        <v>0</v>
      </c>
      <c r="I202" s="239" t="str">
        <f>IF(F202&gt;0,VLOOKUP(G202,acute_overview_adults!$C$12:$AH$391,24,FALSE)*1000,"")</f>
        <v/>
      </c>
      <c r="J202" s="766">
        <f>IF($K$6="not necessary",0,LARGE(acute_overview_children!$AD$14:$AD$391,ROW()-ROW($B$65)))</f>
        <v>0</v>
      </c>
      <c r="K202" s="745" t="str">
        <f>IF(J202&gt;0,INDEX(acute_overview_children!$A$12:$AH$391,MATCH(J202,acute_overview_children!$AD$12:$AD$391,0),3),"")</f>
        <v/>
      </c>
      <c r="L202" s="755">
        <f>IF(J202=0,0,CONCATENATE(ROUND(VLOOKUP(K202,acute_overview_children!$C$12:$AH$391,3,FALSE),2)," / ",ROUND(VLOOKUP(K202,acute_overview_children!$C$12:$AH$391,6,FALSE),2)))</f>
        <v>0</v>
      </c>
      <c r="M202" s="755" t="str">
        <f>IF(J202&gt;0,VLOOKUP(K202,acute_overview_children!$C$12:$AH$391,27,FALSE)*1000,"")</f>
        <v/>
      </c>
      <c r="N202" s="766">
        <f>IF($K$6="not necessary",0,LARGE(acute_overview_adults!$AD$14:$AD$391,ROW()-ROW($F$65)))</f>
        <v>0</v>
      </c>
      <c r="O202" s="745" t="str">
        <f>IF(Results!N202&gt;0,INDEX(acute_overview_adults!$A$12:$AH$391,MATCH(Results!N202,acute_overview_adults!$AD$12:$AD$391,0),3),"")</f>
        <v/>
      </c>
      <c r="P202" s="755">
        <f>IF(N202=0,0,CONCATENATE(ROUND(VLOOKUP(O202,acute_overview_adults!$C$12:$AH$391,3,FALSE),2)," / ",ROUND(VLOOKUP(O202,acute_overview_adults!$C$12:$AH$391,6,FALSE),2)))</f>
        <v>0</v>
      </c>
      <c r="Q202" s="755" t="str">
        <f>IF(N202&gt;0,VLOOKUP(O202,acute_overview_adults!$C$12:$AH$391,27,FALSE)*1000,"")</f>
        <v/>
      </c>
      <c r="S202" s="1161">
        <f t="shared" si="16"/>
        <v>0</v>
      </c>
      <c r="T202" s="1161">
        <f t="shared" si="17"/>
        <v>0</v>
      </c>
      <c r="U202" s="1161">
        <f t="shared" si="18"/>
        <v>0</v>
      </c>
      <c r="V202" s="1161">
        <f t="shared" si="19"/>
        <v>0</v>
      </c>
      <c r="W202" s="1163">
        <f t="shared" si="20"/>
        <v>0</v>
      </c>
      <c r="X202" s="1163">
        <f t="shared" si="21"/>
        <v>0</v>
      </c>
      <c r="Y202" s="1163">
        <f t="shared" si="22"/>
        <v>0</v>
      </c>
      <c r="Z202" s="1163">
        <f t="shared" si="23"/>
        <v>0</v>
      </c>
    </row>
    <row r="203" spans="1:26" s="43" customFormat="1" ht="12" hidden="1" customHeight="1" outlineLevel="1" x14ac:dyDescent="0.2">
      <c r="A203" s="178"/>
      <c r="B203" s="546">
        <f>IF($K$6="not necessary",0,LARGE(acute_overview_children!$AA$14:$AA$391,ROW()-(ROW($B$65))))</f>
        <v>0</v>
      </c>
      <c r="C203" s="237" t="str">
        <f>IF(Results!B203&gt;0,INDEX(acute_overview_children!$A$12:$AH$391,MATCH(Results!B203,acute_overview_children!$AA$12:$AA$391,0),3),"")</f>
        <v/>
      </c>
      <c r="D203" s="238">
        <f>IF(B203=0,0,CONCATENATE(ROUND(VLOOKUP(C203,acute_overview_children!$C$12:$AH$391,3,FALSE),2)," / ",ROUND(VLOOKUP(C203,acute_overview_children!$C$12:$AH$391,4,FALSE),2)))</f>
        <v>0</v>
      </c>
      <c r="E203" s="238" t="str">
        <f>IF(B203&gt;0,VLOOKUP(C203,acute_overview_children!$C$12:$AH$391,24,FALSE)*1000,"")</f>
        <v/>
      </c>
      <c r="F203" s="546">
        <f>IF($K$6="not necessary",0,LARGE(acute_overview_adults!$AA$14:$AA$391,ROW()-(ROW($B$65))))</f>
        <v>0</v>
      </c>
      <c r="G203" s="237" t="str">
        <f>IF(F203&gt;0,INDEX(acute_overview_adults!$A$12:$AH$391,MATCH(F203,acute_overview_adults!$AA$12:$AA$391,0),3),"")</f>
        <v/>
      </c>
      <c r="H203" s="238">
        <f>IF(F203=0,0,CONCATENATE(ROUND(VLOOKUP(G203,acute_overview_adults!$C$12:$AH$391,3,FALSE),2)," / ",ROUND(VLOOKUP(G203,acute_overview_adults!$C$12:$AH$391,4,FALSE),2)))</f>
        <v>0</v>
      </c>
      <c r="I203" s="239" t="str">
        <f>IF(F203&gt;0,VLOOKUP(G203,acute_overview_adults!$C$12:$AH$391,24,FALSE)*1000,"")</f>
        <v/>
      </c>
      <c r="J203" s="766">
        <f>IF($K$6="not necessary",0,LARGE(acute_overview_children!$AD$14:$AD$391,ROW()-ROW($B$65)))</f>
        <v>0</v>
      </c>
      <c r="K203" s="745" t="str">
        <f>IF(J203&gt;0,INDEX(acute_overview_children!$A$12:$AH$391,MATCH(J203,acute_overview_children!$AD$12:$AD$391,0),3),"")</f>
        <v/>
      </c>
      <c r="L203" s="755">
        <f>IF(J203=0,0,CONCATENATE(ROUND(VLOOKUP(K203,acute_overview_children!$C$12:$AH$391,3,FALSE),2)," / ",ROUND(VLOOKUP(K203,acute_overview_children!$C$12:$AH$391,6,FALSE),2)))</f>
        <v>0</v>
      </c>
      <c r="M203" s="755" t="str">
        <f>IF(J203&gt;0,VLOOKUP(K203,acute_overview_children!$C$12:$AH$391,27,FALSE)*1000,"")</f>
        <v/>
      </c>
      <c r="N203" s="766">
        <f>IF($K$6="not necessary",0,LARGE(acute_overview_adults!$AD$14:$AD$391,ROW()-ROW($F$65)))</f>
        <v>0</v>
      </c>
      <c r="O203" s="745" t="str">
        <f>IF(Results!N203&gt;0,INDEX(acute_overview_adults!$A$12:$AH$391,MATCH(Results!N203,acute_overview_adults!$AD$12:$AD$391,0),3),"")</f>
        <v/>
      </c>
      <c r="P203" s="755">
        <f>IF(N203=0,0,CONCATENATE(ROUND(VLOOKUP(O203,acute_overview_adults!$C$12:$AH$391,3,FALSE),2)," / ",ROUND(VLOOKUP(O203,acute_overview_adults!$C$12:$AH$391,6,FALSE),2)))</f>
        <v>0</v>
      </c>
      <c r="Q203" s="755" t="str">
        <f>IF(N203&gt;0,VLOOKUP(O203,acute_overview_adults!$C$12:$AH$391,27,FALSE)*1000,"")</f>
        <v/>
      </c>
      <c r="S203" s="1161">
        <f t="shared" si="16"/>
        <v>0</v>
      </c>
      <c r="T203" s="1161">
        <f t="shared" si="17"/>
        <v>0</v>
      </c>
      <c r="U203" s="1161">
        <f t="shared" si="18"/>
        <v>0</v>
      </c>
      <c r="V203" s="1161">
        <f t="shared" si="19"/>
        <v>0</v>
      </c>
      <c r="W203" s="1163">
        <f t="shared" si="20"/>
        <v>0</v>
      </c>
      <c r="X203" s="1163">
        <f t="shared" si="21"/>
        <v>0</v>
      </c>
      <c r="Y203" s="1163">
        <f t="shared" si="22"/>
        <v>0</v>
      </c>
      <c r="Z203" s="1163">
        <f t="shared" si="23"/>
        <v>0</v>
      </c>
    </row>
    <row r="204" spans="1:26" s="43" customFormat="1" ht="12" hidden="1" customHeight="1" outlineLevel="1" x14ac:dyDescent="0.2">
      <c r="A204" s="178"/>
      <c r="B204" s="546">
        <f>IF($K$6="not necessary",0,LARGE(acute_overview_children!$AA$14:$AA$391,ROW()-(ROW($B$65))))</f>
        <v>0</v>
      </c>
      <c r="C204" s="237" t="str">
        <f>IF(Results!B204&gt;0,INDEX(acute_overview_children!$A$12:$AH$391,MATCH(Results!B204,acute_overview_children!$AA$12:$AA$391,0),3),"")</f>
        <v/>
      </c>
      <c r="D204" s="238">
        <f>IF(B204=0,0,CONCATENATE(ROUND(VLOOKUP(C204,acute_overview_children!$C$12:$AH$391,3,FALSE),2)," / ",ROUND(VLOOKUP(C204,acute_overview_children!$C$12:$AH$391,4,FALSE),2)))</f>
        <v>0</v>
      </c>
      <c r="E204" s="238" t="str">
        <f>IF(B204&gt;0,VLOOKUP(C204,acute_overview_children!$C$12:$AH$391,24,FALSE)*1000,"")</f>
        <v/>
      </c>
      <c r="F204" s="546">
        <f>IF($K$6="not necessary",0,LARGE(acute_overview_adults!$AA$14:$AA$391,ROW()-(ROW($B$65))))</f>
        <v>0</v>
      </c>
      <c r="G204" s="237" t="str">
        <f>IF(F204&gt;0,INDEX(acute_overview_adults!$A$12:$AH$391,MATCH(F204,acute_overview_adults!$AA$12:$AA$391,0),3),"")</f>
        <v/>
      </c>
      <c r="H204" s="238">
        <f>IF(F204=0,0,CONCATENATE(ROUND(VLOOKUP(G204,acute_overview_adults!$C$12:$AH$391,3,FALSE),2)," / ",ROUND(VLOOKUP(G204,acute_overview_adults!$C$12:$AH$391,4,FALSE),2)))</f>
        <v>0</v>
      </c>
      <c r="I204" s="239" t="str">
        <f>IF(F204&gt;0,VLOOKUP(G204,acute_overview_adults!$C$12:$AH$391,24,FALSE)*1000,"")</f>
        <v/>
      </c>
      <c r="J204" s="766">
        <f>IF($K$6="not necessary",0,LARGE(acute_overview_children!$AD$14:$AD$391,ROW()-ROW($B$65)))</f>
        <v>0</v>
      </c>
      <c r="K204" s="745" t="str">
        <f>IF(J204&gt;0,INDEX(acute_overview_children!$A$12:$AH$391,MATCH(J204,acute_overview_children!$AD$12:$AD$391,0),3),"")</f>
        <v/>
      </c>
      <c r="L204" s="755">
        <f>IF(J204=0,0,CONCATENATE(ROUND(VLOOKUP(K204,acute_overview_children!$C$12:$AH$391,3,FALSE),2)," / ",ROUND(VLOOKUP(K204,acute_overview_children!$C$12:$AH$391,6,FALSE),2)))</f>
        <v>0</v>
      </c>
      <c r="M204" s="755" t="str">
        <f>IF(J204&gt;0,VLOOKUP(K204,acute_overview_children!$C$12:$AH$391,27,FALSE)*1000,"")</f>
        <v/>
      </c>
      <c r="N204" s="766">
        <f>IF($K$6="not necessary",0,LARGE(acute_overview_adults!$AD$14:$AD$391,ROW()-ROW($F$65)))</f>
        <v>0</v>
      </c>
      <c r="O204" s="745" t="str">
        <f>IF(Results!N204&gt;0,INDEX(acute_overview_adults!$A$12:$AH$391,MATCH(Results!N204,acute_overview_adults!$AD$12:$AD$391,0),3),"")</f>
        <v/>
      </c>
      <c r="P204" s="755">
        <f>IF(N204=0,0,CONCATENATE(ROUND(VLOOKUP(O204,acute_overview_adults!$C$12:$AH$391,3,FALSE),2)," / ",ROUND(VLOOKUP(O204,acute_overview_adults!$C$12:$AH$391,6,FALSE),2)))</f>
        <v>0</v>
      </c>
      <c r="Q204" s="755" t="str">
        <f>IF(N204&gt;0,VLOOKUP(O204,acute_overview_adults!$C$12:$AH$391,27,FALSE)*1000,"")</f>
        <v/>
      </c>
      <c r="S204" s="1161">
        <f t="shared" si="16"/>
        <v>0</v>
      </c>
      <c r="T204" s="1161">
        <f t="shared" si="17"/>
        <v>0</v>
      </c>
      <c r="U204" s="1161">
        <f t="shared" si="18"/>
        <v>0</v>
      </c>
      <c r="V204" s="1161">
        <f t="shared" si="19"/>
        <v>0</v>
      </c>
      <c r="W204" s="1163">
        <f t="shared" si="20"/>
        <v>0</v>
      </c>
      <c r="X204" s="1163">
        <f t="shared" si="21"/>
        <v>0</v>
      </c>
      <c r="Y204" s="1163">
        <f t="shared" si="22"/>
        <v>0</v>
      </c>
      <c r="Z204" s="1163">
        <f t="shared" si="23"/>
        <v>0</v>
      </c>
    </row>
    <row r="205" spans="1:26" s="43" customFormat="1" ht="12" hidden="1" customHeight="1" outlineLevel="1" x14ac:dyDescent="0.2">
      <c r="A205" s="178"/>
      <c r="B205" s="546">
        <f>IF($K$6="not necessary",0,LARGE(acute_overview_children!$AA$14:$AA$391,ROW()-(ROW($B$65))))</f>
        <v>0</v>
      </c>
      <c r="C205" s="237" t="str">
        <f>IF(Results!B205&gt;0,INDEX(acute_overview_children!$A$12:$AH$391,MATCH(Results!B205,acute_overview_children!$AA$12:$AA$391,0),3),"")</f>
        <v/>
      </c>
      <c r="D205" s="238">
        <f>IF(B205=0,0,CONCATENATE(ROUND(VLOOKUP(C205,acute_overview_children!$C$12:$AH$391,3,FALSE),2)," / ",ROUND(VLOOKUP(C205,acute_overview_children!$C$12:$AH$391,4,FALSE),2)))</f>
        <v>0</v>
      </c>
      <c r="E205" s="238" t="str">
        <f>IF(B205&gt;0,VLOOKUP(C205,acute_overview_children!$C$12:$AH$391,24,FALSE)*1000,"")</f>
        <v/>
      </c>
      <c r="F205" s="546">
        <f>IF($K$6="not necessary",0,LARGE(acute_overview_adults!$AA$14:$AA$391,ROW()-(ROW($B$65))))</f>
        <v>0</v>
      </c>
      <c r="G205" s="237" t="str">
        <f>IF(F205&gt;0,INDEX(acute_overview_adults!$A$12:$AH$391,MATCH(F205,acute_overview_adults!$AA$12:$AA$391,0),3),"")</f>
        <v/>
      </c>
      <c r="H205" s="238">
        <f>IF(F205=0,0,CONCATENATE(ROUND(VLOOKUP(G205,acute_overview_adults!$C$12:$AH$391,3,FALSE),2)," / ",ROUND(VLOOKUP(G205,acute_overview_adults!$C$12:$AH$391,4,FALSE),2)))</f>
        <v>0</v>
      </c>
      <c r="I205" s="239" t="str">
        <f>IF(F205&gt;0,VLOOKUP(G205,acute_overview_adults!$C$12:$AH$391,24,FALSE)*1000,"")</f>
        <v/>
      </c>
      <c r="J205" s="766">
        <f>IF($K$6="not necessary",0,LARGE(acute_overview_children!$AD$14:$AD$391,ROW()-ROW($B$65)))</f>
        <v>0</v>
      </c>
      <c r="K205" s="745" t="str">
        <f>IF(J205&gt;0,INDEX(acute_overview_children!$A$12:$AH$391,MATCH(J205,acute_overview_children!$AD$12:$AD$391,0),3),"")</f>
        <v/>
      </c>
      <c r="L205" s="755">
        <f>IF(J205=0,0,CONCATENATE(ROUND(VLOOKUP(K205,acute_overview_children!$C$12:$AH$391,3,FALSE),2)," / ",ROUND(VLOOKUP(K205,acute_overview_children!$C$12:$AH$391,6,FALSE),2)))</f>
        <v>0</v>
      </c>
      <c r="M205" s="755" t="str">
        <f>IF(J205&gt;0,VLOOKUP(K205,acute_overview_children!$C$12:$AH$391,27,FALSE)*1000,"")</f>
        <v/>
      </c>
      <c r="N205" s="766">
        <f>IF($K$6="not necessary",0,LARGE(acute_overview_adults!$AD$14:$AD$391,ROW()-ROW($F$65)))</f>
        <v>0</v>
      </c>
      <c r="O205" s="745" t="str">
        <f>IF(Results!N205&gt;0,INDEX(acute_overview_adults!$A$12:$AH$391,MATCH(Results!N205,acute_overview_adults!$AD$12:$AD$391,0),3),"")</f>
        <v/>
      </c>
      <c r="P205" s="755">
        <f>IF(N205=0,0,CONCATENATE(ROUND(VLOOKUP(O205,acute_overview_adults!$C$12:$AH$391,3,FALSE),2)," / ",ROUND(VLOOKUP(O205,acute_overview_adults!$C$12:$AH$391,6,FALSE),2)))</f>
        <v>0</v>
      </c>
      <c r="Q205" s="755" t="str">
        <f>IF(N205&gt;0,VLOOKUP(O205,acute_overview_adults!$C$12:$AH$391,27,FALSE)*1000,"")</f>
        <v/>
      </c>
      <c r="S205" s="1161">
        <f t="shared" si="16"/>
        <v>0</v>
      </c>
      <c r="T205" s="1161">
        <f t="shared" si="17"/>
        <v>0</v>
      </c>
      <c r="U205" s="1161">
        <f t="shared" si="18"/>
        <v>0</v>
      </c>
      <c r="V205" s="1161">
        <f t="shared" si="19"/>
        <v>0</v>
      </c>
      <c r="W205" s="1163">
        <f t="shared" si="20"/>
        <v>0</v>
      </c>
      <c r="X205" s="1163">
        <f t="shared" si="21"/>
        <v>0</v>
      </c>
      <c r="Y205" s="1163">
        <f t="shared" si="22"/>
        <v>0</v>
      </c>
      <c r="Z205" s="1163">
        <f t="shared" si="23"/>
        <v>0</v>
      </c>
    </row>
    <row r="206" spans="1:26" s="43" customFormat="1" ht="12" hidden="1" customHeight="1" outlineLevel="1" x14ac:dyDescent="0.2">
      <c r="A206" s="178"/>
      <c r="B206" s="546">
        <f>IF($K$6="not necessary",0,LARGE(acute_overview_children!$AA$14:$AA$391,ROW()-(ROW($B$65))))</f>
        <v>0</v>
      </c>
      <c r="C206" s="237" t="str">
        <f>IF(Results!B206&gt;0,INDEX(acute_overview_children!$A$12:$AH$391,MATCH(Results!B206,acute_overview_children!$AA$12:$AA$391,0),3),"")</f>
        <v/>
      </c>
      <c r="D206" s="238">
        <f>IF(B206=0,0,CONCATENATE(ROUND(VLOOKUP(C206,acute_overview_children!$C$12:$AH$391,3,FALSE),2)," / ",ROUND(VLOOKUP(C206,acute_overview_children!$C$12:$AH$391,4,FALSE),2)))</f>
        <v>0</v>
      </c>
      <c r="E206" s="238" t="str">
        <f>IF(B206&gt;0,VLOOKUP(C206,acute_overview_children!$C$12:$AH$391,24,FALSE)*1000,"")</f>
        <v/>
      </c>
      <c r="F206" s="546">
        <f>IF($K$6="not necessary",0,LARGE(acute_overview_adults!$AA$14:$AA$391,ROW()-(ROW($B$65))))</f>
        <v>0</v>
      </c>
      <c r="G206" s="237" t="str">
        <f>IF(F206&gt;0,INDEX(acute_overview_adults!$A$12:$AH$391,MATCH(F206,acute_overview_adults!$AA$12:$AA$391,0),3),"")</f>
        <v/>
      </c>
      <c r="H206" s="238">
        <f>IF(F206=0,0,CONCATENATE(ROUND(VLOOKUP(G206,acute_overview_adults!$C$12:$AH$391,3,FALSE),2)," / ",ROUND(VLOOKUP(G206,acute_overview_adults!$C$12:$AH$391,4,FALSE),2)))</f>
        <v>0</v>
      </c>
      <c r="I206" s="239" t="str">
        <f>IF(F206&gt;0,VLOOKUP(G206,acute_overview_adults!$C$12:$AH$391,24,FALSE)*1000,"")</f>
        <v/>
      </c>
      <c r="J206" s="766">
        <f>IF($K$6="not necessary",0,LARGE(acute_overview_children!$AD$14:$AD$391,ROW()-ROW($B$65)))</f>
        <v>0</v>
      </c>
      <c r="K206" s="745" t="str">
        <f>IF(J206&gt;0,INDEX(acute_overview_children!$A$12:$AH$391,MATCH(J206,acute_overview_children!$AD$12:$AD$391,0),3),"")</f>
        <v/>
      </c>
      <c r="L206" s="755">
        <f>IF(J206=0,0,CONCATENATE(ROUND(VLOOKUP(K206,acute_overview_children!$C$12:$AH$391,3,FALSE),2)," / ",ROUND(VLOOKUP(K206,acute_overview_children!$C$12:$AH$391,6,FALSE),2)))</f>
        <v>0</v>
      </c>
      <c r="M206" s="755" t="str">
        <f>IF(J206&gt;0,VLOOKUP(K206,acute_overview_children!$C$12:$AH$391,27,FALSE)*1000,"")</f>
        <v/>
      </c>
      <c r="N206" s="766">
        <f>IF($K$6="not necessary",0,LARGE(acute_overview_adults!$AD$14:$AD$391,ROW()-ROW($F$65)))</f>
        <v>0</v>
      </c>
      <c r="O206" s="745" t="str">
        <f>IF(Results!N206&gt;0,INDEX(acute_overview_adults!$A$12:$AH$391,MATCH(Results!N206,acute_overview_adults!$AD$12:$AD$391,0),3),"")</f>
        <v/>
      </c>
      <c r="P206" s="755">
        <f>IF(N206=0,0,CONCATENATE(ROUND(VLOOKUP(O206,acute_overview_adults!$C$12:$AH$391,3,FALSE),2)," / ",ROUND(VLOOKUP(O206,acute_overview_adults!$C$12:$AH$391,6,FALSE),2)))</f>
        <v>0</v>
      </c>
      <c r="Q206" s="755" t="str">
        <f>IF(N206&gt;0,VLOOKUP(O206,acute_overview_adults!$C$12:$AH$391,27,FALSE)*1000,"")</f>
        <v/>
      </c>
      <c r="S206" s="1161">
        <f t="shared" si="16"/>
        <v>0</v>
      </c>
      <c r="T206" s="1161">
        <f t="shared" si="17"/>
        <v>0</v>
      </c>
      <c r="U206" s="1161">
        <f t="shared" si="18"/>
        <v>0</v>
      </c>
      <c r="V206" s="1161">
        <f t="shared" si="19"/>
        <v>0</v>
      </c>
      <c r="W206" s="1163">
        <f t="shared" si="20"/>
        <v>0</v>
      </c>
      <c r="X206" s="1163">
        <f t="shared" si="21"/>
        <v>0</v>
      </c>
      <c r="Y206" s="1163">
        <f t="shared" si="22"/>
        <v>0</v>
      </c>
      <c r="Z206" s="1163">
        <f t="shared" si="23"/>
        <v>0</v>
      </c>
    </row>
    <row r="207" spans="1:26" s="43" customFormat="1" ht="12" hidden="1" customHeight="1" outlineLevel="1" x14ac:dyDescent="0.2">
      <c r="A207" s="178"/>
      <c r="B207" s="546">
        <f>IF($K$6="not necessary",0,LARGE(acute_overview_children!$AA$14:$AA$391,ROW()-(ROW($B$65))))</f>
        <v>0</v>
      </c>
      <c r="C207" s="237" t="str">
        <f>IF(Results!B207&gt;0,INDEX(acute_overview_children!$A$12:$AH$391,MATCH(Results!B207,acute_overview_children!$AA$12:$AA$391,0),3),"")</f>
        <v/>
      </c>
      <c r="D207" s="238">
        <f>IF(B207=0,0,CONCATENATE(ROUND(VLOOKUP(C207,acute_overview_children!$C$12:$AH$391,3,FALSE),2)," / ",ROUND(VLOOKUP(C207,acute_overview_children!$C$12:$AH$391,4,FALSE),2)))</f>
        <v>0</v>
      </c>
      <c r="E207" s="238" t="str">
        <f>IF(B207&gt;0,VLOOKUP(C207,acute_overview_children!$C$12:$AH$391,24,FALSE)*1000,"")</f>
        <v/>
      </c>
      <c r="F207" s="546">
        <f>IF($K$6="not necessary",0,LARGE(acute_overview_adults!$AA$14:$AA$391,ROW()-(ROW($B$65))))</f>
        <v>0</v>
      </c>
      <c r="G207" s="237" t="str">
        <f>IF(F207&gt;0,INDEX(acute_overview_adults!$A$12:$AH$391,MATCH(F207,acute_overview_adults!$AA$12:$AA$391,0),3),"")</f>
        <v/>
      </c>
      <c r="H207" s="238">
        <f>IF(F207=0,0,CONCATENATE(ROUND(VLOOKUP(G207,acute_overview_adults!$C$12:$AH$391,3,FALSE),2)," / ",ROUND(VLOOKUP(G207,acute_overview_adults!$C$12:$AH$391,4,FALSE),2)))</f>
        <v>0</v>
      </c>
      <c r="I207" s="239" t="str">
        <f>IF(F207&gt;0,VLOOKUP(G207,acute_overview_adults!$C$12:$AH$391,24,FALSE)*1000,"")</f>
        <v/>
      </c>
      <c r="J207" s="766">
        <f>IF($K$6="not necessary",0,LARGE(acute_overview_children!$AD$14:$AD$391,ROW()-ROW($B$65)))</f>
        <v>0</v>
      </c>
      <c r="K207" s="745" t="str">
        <f>IF(J207&gt;0,INDEX(acute_overview_children!$A$12:$AH$391,MATCH(J207,acute_overview_children!$AD$12:$AD$391,0),3),"")</f>
        <v/>
      </c>
      <c r="L207" s="755">
        <f>IF(J207=0,0,CONCATENATE(ROUND(VLOOKUP(K207,acute_overview_children!$C$12:$AH$391,3,FALSE),2)," / ",ROUND(VLOOKUP(K207,acute_overview_children!$C$12:$AH$391,6,FALSE),2)))</f>
        <v>0</v>
      </c>
      <c r="M207" s="755" t="str">
        <f>IF(J207&gt;0,VLOOKUP(K207,acute_overview_children!$C$12:$AH$391,27,FALSE)*1000,"")</f>
        <v/>
      </c>
      <c r="N207" s="766">
        <f>IF($K$6="not necessary",0,LARGE(acute_overview_adults!$AD$14:$AD$391,ROW()-ROW($F$65)))</f>
        <v>0</v>
      </c>
      <c r="O207" s="745" t="str">
        <f>IF(Results!N207&gt;0,INDEX(acute_overview_adults!$A$12:$AH$391,MATCH(Results!N207,acute_overview_adults!$AD$12:$AD$391,0),3),"")</f>
        <v/>
      </c>
      <c r="P207" s="755">
        <f>IF(N207=0,0,CONCATENATE(ROUND(VLOOKUP(O207,acute_overview_adults!$C$12:$AH$391,3,FALSE),2)," / ",ROUND(VLOOKUP(O207,acute_overview_adults!$C$12:$AH$391,6,FALSE),2)))</f>
        <v>0</v>
      </c>
      <c r="Q207" s="755" t="str">
        <f>IF(N207&gt;0,VLOOKUP(O207,acute_overview_adults!$C$12:$AH$391,27,FALSE)*1000,"")</f>
        <v/>
      </c>
      <c r="S207" s="1161">
        <f t="shared" si="16"/>
        <v>0</v>
      </c>
      <c r="T207" s="1161">
        <f t="shared" si="17"/>
        <v>0</v>
      </c>
      <c r="U207" s="1161">
        <f t="shared" si="18"/>
        <v>0</v>
      </c>
      <c r="V207" s="1161">
        <f t="shared" si="19"/>
        <v>0</v>
      </c>
      <c r="W207" s="1163">
        <f t="shared" si="20"/>
        <v>0</v>
      </c>
      <c r="X207" s="1163">
        <f t="shared" si="21"/>
        <v>0</v>
      </c>
      <c r="Y207" s="1163">
        <f t="shared" si="22"/>
        <v>0</v>
      </c>
      <c r="Z207" s="1163">
        <f t="shared" si="23"/>
        <v>0</v>
      </c>
    </row>
    <row r="208" spans="1:26" s="43" customFormat="1" ht="12" hidden="1" customHeight="1" outlineLevel="1" x14ac:dyDescent="0.2">
      <c r="A208" s="178"/>
      <c r="B208" s="546">
        <f>IF($K$6="not necessary",0,LARGE(acute_overview_children!$AA$14:$AA$391,ROW()-(ROW($B$65))))</f>
        <v>0</v>
      </c>
      <c r="C208" s="237" t="str">
        <f>IF(Results!B208&gt;0,INDEX(acute_overview_children!$A$12:$AH$391,MATCH(Results!B208,acute_overview_children!$AA$12:$AA$391,0),3),"")</f>
        <v/>
      </c>
      <c r="D208" s="238">
        <f>IF(B208=0,0,CONCATENATE(ROUND(VLOOKUP(C208,acute_overview_children!$C$12:$AH$391,3,FALSE),2)," / ",ROUND(VLOOKUP(C208,acute_overview_children!$C$12:$AH$391,4,FALSE),2)))</f>
        <v>0</v>
      </c>
      <c r="E208" s="238" t="str">
        <f>IF(B208&gt;0,VLOOKUP(C208,acute_overview_children!$C$12:$AH$391,24,FALSE)*1000,"")</f>
        <v/>
      </c>
      <c r="F208" s="546">
        <f>IF($K$6="not necessary",0,LARGE(acute_overview_adults!$AA$14:$AA$391,ROW()-(ROW($B$65))))</f>
        <v>0</v>
      </c>
      <c r="G208" s="237" t="str">
        <f>IF(F208&gt;0,INDEX(acute_overview_adults!$A$12:$AH$391,MATCH(F208,acute_overview_adults!$AA$12:$AA$391,0),3),"")</f>
        <v/>
      </c>
      <c r="H208" s="238">
        <f>IF(F208=0,0,CONCATENATE(ROUND(VLOOKUP(G208,acute_overview_adults!$C$12:$AH$391,3,FALSE),2)," / ",ROUND(VLOOKUP(G208,acute_overview_adults!$C$12:$AH$391,4,FALSE),2)))</f>
        <v>0</v>
      </c>
      <c r="I208" s="239" t="str">
        <f>IF(F208&gt;0,VLOOKUP(G208,acute_overview_adults!$C$12:$AH$391,24,FALSE)*1000,"")</f>
        <v/>
      </c>
      <c r="J208" s="766">
        <f>IF($K$6="not necessary",0,LARGE(acute_overview_children!$AD$14:$AD$391,ROW()-ROW($B$65)))</f>
        <v>0</v>
      </c>
      <c r="K208" s="745" t="str">
        <f>IF(J208&gt;0,INDEX(acute_overview_children!$A$12:$AH$391,MATCH(J208,acute_overview_children!$AD$12:$AD$391,0),3),"")</f>
        <v/>
      </c>
      <c r="L208" s="755">
        <f>IF(J208=0,0,CONCATENATE(ROUND(VLOOKUP(K208,acute_overview_children!$C$12:$AH$391,3,FALSE),2)," / ",ROUND(VLOOKUP(K208,acute_overview_children!$C$12:$AH$391,6,FALSE),2)))</f>
        <v>0</v>
      </c>
      <c r="M208" s="755" t="str">
        <f>IF(J208&gt;0,VLOOKUP(K208,acute_overview_children!$C$12:$AH$391,27,FALSE)*1000,"")</f>
        <v/>
      </c>
      <c r="N208" s="766">
        <f>IF($K$6="not necessary",0,LARGE(acute_overview_adults!$AD$14:$AD$391,ROW()-ROW($F$65)))</f>
        <v>0</v>
      </c>
      <c r="O208" s="745" t="str">
        <f>IF(Results!N208&gt;0,INDEX(acute_overview_adults!$A$12:$AH$391,MATCH(Results!N208,acute_overview_adults!$AD$12:$AD$391,0),3),"")</f>
        <v/>
      </c>
      <c r="P208" s="755">
        <f>IF(N208=0,0,CONCATENATE(ROUND(VLOOKUP(O208,acute_overview_adults!$C$12:$AH$391,3,FALSE),2)," / ",ROUND(VLOOKUP(O208,acute_overview_adults!$C$12:$AH$391,6,FALSE),2)))</f>
        <v>0</v>
      </c>
      <c r="Q208" s="755" t="str">
        <f>IF(N208&gt;0,VLOOKUP(O208,acute_overview_adults!$C$12:$AH$391,27,FALSE)*1000,"")</f>
        <v/>
      </c>
      <c r="S208" s="1161">
        <f t="shared" si="16"/>
        <v>0</v>
      </c>
      <c r="T208" s="1161">
        <f t="shared" si="17"/>
        <v>0</v>
      </c>
      <c r="U208" s="1161">
        <f t="shared" si="18"/>
        <v>0</v>
      </c>
      <c r="V208" s="1161">
        <f t="shared" si="19"/>
        <v>0</v>
      </c>
      <c r="W208" s="1163">
        <f t="shared" si="20"/>
        <v>0</v>
      </c>
      <c r="X208" s="1163">
        <f t="shared" si="21"/>
        <v>0</v>
      </c>
      <c r="Y208" s="1163">
        <f t="shared" si="22"/>
        <v>0</v>
      </c>
      <c r="Z208" s="1163">
        <f t="shared" si="23"/>
        <v>0</v>
      </c>
    </row>
    <row r="209" spans="1:26" s="43" customFormat="1" ht="12" hidden="1" customHeight="1" outlineLevel="1" x14ac:dyDescent="0.2">
      <c r="A209" s="178"/>
      <c r="B209" s="546">
        <f>IF($K$6="not necessary",0,LARGE(acute_overview_children!$AA$14:$AA$391,ROW()-(ROW($B$65))))</f>
        <v>0</v>
      </c>
      <c r="C209" s="237" t="str">
        <f>IF(Results!B209&gt;0,INDEX(acute_overview_children!$A$12:$AH$391,MATCH(Results!B209,acute_overview_children!$AA$12:$AA$391,0),3),"")</f>
        <v/>
      </c>
      <c r="D209" s="238">
        <f>IF(B209=0,0,CONCATENATE(ROUND(VLOOKUP(C209,acute_overview_children!$C$12:$AH$391,3,FALSE),2)," / ",ROUND(VLOOKUP(C209,acute_overview_children!$C$12:$AH$391,4,FALSE),2)))</f>
        <v>0</v>
      </c>
      <c r="E209" s="238" t="str">
        <f>IF(B209&gt;0,VLOOKUP(C209,acute_overview_children!$C$12:$AH$391,24,FALSE)*1000,"")</f>
        <v/>
      </c>
      <c r="F209" s="546">
        <f>IF($K$6="not necessary",0,LARGE(acute_overview_adults!$AA$14:$AA$391,ROW()-(ROW($B$65))))</f>
        <v>0</v>
      </c>
      <c r="G209" s="237" t="str">
        <f>IF(F209&gt;0,INDEX(acute_overview_adults!$A$12:$AH$391,MATCH(F209,acute_overview_adults!$AA$12:$AA$391,0),3),"")</f>
        <v/>
      </c>
      <c r="H209" s="238">
        <f>IF(F209=0,0,CONCATENATE(ROUND(VLOOKUP(G209,acute_overview_adults!$C$12:$AH$391,3,FALSE),2)," / ",ROUND(VLOOKUP(G209,acute_overview_adults!$C$12:$AH$391,4,FALSE),2)))</f>
        <v>0</v>
      </c>
      <c r="I209" s="239" t="str">
        <f>IF(F209&gt;0,VLOOKUP(G209,acute_overview_adults!$C$12:$AH$391,24,FALSE)*1000,"")</f>
        <v/>
      </c>
      <c r="J209" s="766">
        <f>IF($K$6="not necessary",0,LARGE(acute_overview_children!$AD$14:$AD$391,ROW()-ROW($B$65)))</f>
        <v>0</v>
      </c>
      <c r="K209" s="745" t="str">
        <f>IF(J209&gt;0,INDEX(acute_overview_children!$A$12:$AH$391,MATCH(J209,acute_overview_children!$AD$12:$AD$391,0),3),"")</f>
        <v/>
      </c>
      <c r="L209" s="755">
        <f>IF(J209=0,0,CONCATENATE(ROUND(VLOOKUP(K209,acute_overview_children!$C$12:$AH$391,3,FALSE),2)," / ",ROUND(VLOOKUP(K209,acute_overview_children!$C$12:$AH$391,6,FALSE),2)))</f>
        <v>0</v>
      </c>
      <c r="M209" s="755" t="str">
        <f>IF(J209&gt;0,VLOOKUP(K209,acute_overview_children!$C$12:$AH$391,27,FALSE)*1000,"")</f>
        <v/>
      </c>
      <c r="N209" s="766">
        <f>IF($K$6="not necessary",0,LARGE(acute_overview_adults!$AD$14:$AD$391,ROW()-ROW($F$65)))</f>
        <v>0</v>
      </c>
      <c r="O209" s="745" t="str">
        <f>IF(Results!N209&gt;0,INDEX(acute_overview_adults!$A$12:$AH$391,MATCH(Results!N209,acute_overview_adults!$AD$12:$AD$391,0),3),"")</f>
        <v/>
      </c>
      <c r="P209" s="755">
        <f>IF(N209=0,0,CONCATENATE(ROUND(VLOOKUP(O209,acute_overview_adults!$C$12:$AH$391,3,FALSE),2)," / ",ROUND(VLOOKUP(O209,acute_overview_adults!$C$12:$AH$391,6,FALSE),2)))</f>
        <v>0</v>
      </c>
      <c r="Q209" s="755" t="str">
        <f>IF(N209&gt;0,VLOOKUP(O209,acute_overview_adults!$C$12:$AH$391,27,FALSE)*1000,"")</f>
        <v/>
      </c>
      <c r="S209" s="1161">
        <f t="shared" si="16"/>
        <v>0</v>
      </c>
      <c r="T209" s="1161">
        <f t="shared" si="17"/>
        <v>0</v>
      </c>
      <c r="U209" s="1161">
        <f t="shared" si="18"/>
        <v>0</v>
      </c>
      <c r="V209" s="1161">
        <f t="shared" si="19"/>
        <v>0</v>
      </c>
      <c r="W209" s="1163">
        <f t="shared" si="20"/>
        <v>0</v>
      </c>
      <c r="X209" s="1163">
        <f t="shared" si="21"/>
        <v>0</v>
      </c>
      <c r="Y209" s="1163">
        <f t="shared" si="22"/>
        <v>0</v>
      </c>
      <c r="Z209" s="1163">
        <f t="shared" si="23"/>
        <v>0</v>
      </c>
    </row>
    <row r="210" spans="1:26" s="43" customFormat="1" ht="12" hidden="1" customHeight="1" outlineLevel="1" x14ac:dyDescent="0.2">
      <c r="A210" s="178"/>
      <c r="B210" s="546">
        <f>IF($K$6="not necessary",0,LARGE(acute_overview_children!$AA$14:$AA$391,ROW()-(ROW($B$65))))</f>
        <v>0</v>
      </c>
      <c r="C210" s="237" t="str">
        <f>IF(Results!B210&gt;0,INDEX(acute_overview_children!$A$12:$AH$391,MATCH(Results!B210,acute_overview_children!$AA$12:$AA$391,0),3),"")</f>
        <v/>
      </c>
      <c r="D210" s="238">
        <f>IF(B210=0,0,CONCATENATE(ROUND(VLOOKUP(C210,acute_overview_children!$C$12:$AH$391,3,FALSE),2)," / ",ROUND(VLOOKUP(C210,acute_overview_children!$C$12:$AH$391,4,FALSE),2)))</f>
        <v>0</v>
      </c>
      <c r="E210" s="238" t="str">
        <f>IF(B210&gt;0,VLOOKUP(C210,acute_overview_children!$C$12:$AH$391,24,FALSE)*1000,"")</f>
        <v/>
      </c>
      <c r="F210" s="546">
        <f>IF($K$6="not necessary",0,LARGE(acute_overview_adults!$AA$14:$AA$391,ROW()-(ROW($B$65))))</f>
        <v>0</v>
      </c>
      <c r="G210" s="237" t="str">
        <f>IF(F210&gt;0,INDEX(acute_overview_adults!$A$12:$AH$391,MATCH(F210,acute_overview_adults!$AA$12:$AA$391,0),3),"")</f>
        <v/>
      </c>
      <c r="H210" s="238">
        <f>IF(F210=0,0,CONCATENATE(ROUND(VLOOKUP(G210,acute_overview_adults!$C$12:$AH$391,3,FALSE),2)," / ",ROUND(VLOOKUP(G210,acute_overview_adults!$C$12:$AH$391,4,FALSE),2)))</f>
        <v>0</v>
      </c>
      <c r="I210" s="239" t="str">
        <f>IF(F210&gt;0,VLOOKUP(G210,acute_overview_adults!$C$12:$AH$391,24,FALSE)*1000,"")</f>
        <v/>
      </c>
      <c r="J210" s="766">
        <f>IF($K$6="not necessary",0,LARGE(acute_overview_children!$AD$14:$AD$391,ROW()-ROW($B$65)))</f>
        <v>0</v>
      </c>
      <c r="K210" s="745" t="str">
        <f>IF(J210&gt;0,INDEX(acute_overview_children!$A$12:$AH$391,MATCH(J210,acute_overview_children!$AD$12:$AD$391,0),3),"")</f>
        <v/>
      </c>
      <c r="L210" s="755">
        <f>IF(J210=0,0,CONCATENATE(ROUND(VLOOKUP(K210,acute_overview_children!$C$12:$AH$391,3,FALSE),2)," / ",ROUND(VLOOKUP(K210,acute_overview_children!$C$12:$AH$391,6,FALSE),2)))</f>
        <v>0</v>
      </c>
      <c r="M210" s="755" t="str">
        <f>IF(J210&gt;0,VLOOKUP(K210,acute_overview_children!$C$12:$AH$391,27,FALSE)*1000,"")</f>
        <v/>
      </c>
      <c r="N210" s="766">
        <f>IF($K$6="not necessary",0,LARGE(acute_overview_adults!$AD$14:$AD$391,ROW()-ROW($F$65)))</f>
        <v>0</v>
      </c>
      <c r="O210" s="745" t="str">
        <f>IF(Results!N210&gt;0,INDEX(acute_overview_adults!$A$12:$AH$391,MATCH(Results!N210,acute_overview_adults!$AD$12:$AD$391,0),3),"")</f>
        <v/>
      </c>
      <c r="P210" s="755">
        <f>IF(N210=0,0,CONCATENATE(ROUND(VLOOKUP(O210,acute_overview_adults!$C$12:$AH$391,3,FALSE),2)," / ",ROUND(VLOOKUP(O210,acute_overview_adults!$C$12:$AH$391,6,FALSE),2)))</f>
        <v>0</v>
      </c>
      <c r="Q210" s="755" t="str">
        <f>IF(N210&gt;0,VLOOKUP(O210,acute_overview_adults!$C$12:$AH$391,27,FALSE)*1000,"")</f>
        <v/>
      </c>
      <c r="S210" s="1161">
        <f t="shared" si="16"/>
        <v>0</v>
      </c>
      <c r="T210" s="1161">
        <f t="shared" si="17"/>
        <v>0</v>
      </c>
      <c r="U210" s="1161">
        <f t="shared" si="18"/>
        <v>0</v>
      </c>
      <c r="V210" s="1161">
        <f t="shared" si="19"/>
        <v>0</v>
      </c>
      <c r="W210" s="1163">
        <f t="shared" si="20"/>
        <v>0</v>
      </c>
      <c r="X210" s="1163">
        <f t="shared" si="21"/>
        <v>0</v>
      </c>
      <c r="Y210" s="1163">
        <f t="shared" si="22"/>
        <v>0</v>
      </c>
      <c r="Z210" s="1163">
        <f t="shared" si="23"/>
        <v>0</v>
      </c>
    </row>
    <row r="211" spans="1:26" s="43" customFormat="1" ht="12" hidden="1" customHeight="1" outlineLevel="1" x14ac:dyDescent="0.2">
      <c r="A211" s="178"/>
      <c r="B211" s="546">
        <f>IF($K$6="not necessary",0,LARGE(acute_overview_children!$AA$14:$AA$391,ROW()-(ROW($B$65))))</f>
        <v>0</v>
      </c>
      <c r="C211" s="237" t="str">
        <f>IF(Results!B211&gt;0,INDEX(acute_overview_children!$A$12:$AH$391,MATCH(Results!B211,acute_overview_children!$AA$12:$AA$391,0),3),"")</f>
        <v/>
      </c>
      <c r="D211" s="238">
        <f>IF(B211=0,0,CONCATENATE(ROUND(VLOOKUP(C211,acute_overview_children!$C$12:$AH$391,3,FALSE),2)," / ",ROUND(VLOOKUP(C211,acute_overview_children!$C$12:$AH$391,4,FALSE),2)))</f>
        <v>0</v>
      </c>
      <c r="E211" s="238" t="str">
        <f>IF(B211&gt;0,VLOOKUP(C211,acute_overview_children!$C$12:$AH$391,24,FALSE)*1000,"")</f>
        <v/>
      </c>
      <c r="F211" s="546">
        <f>IF($K$6="not necessary",0,LARGE(acute_overview_adults!$AA$14:$AA$391,ROW()-(ROW($B$65))))</f>
        <v>0</v>
      </c>
      <c r="G211" s="237" t="str">
        <f>IF(F211&gt;0,INDEX(acute_overview_adults!$A$12:$AH$391,MATCH(F211,acute_overview_adults!$AA$12:$AA$391,0),3),"")</f>
        <v/>
      </c>
      <c r="H211" s="238">
        <f>IF(F211=0,0,CONCATENATE(ROUND(VLOOKUP(G211,acute_overview_adults!$C$12:$AH$391,3,FALSE),2)," / ",ROUND(VLOOKUP(G211,acute_overview_adults!$C$12:$AH$391,4,FALSE),2)))</f>
        <v>0</v>
      </c>
      <c r="I211" s="239" t="str">
        <f>IF(F211&gt;0,VLOOKUP(G211,acute_overview_adults!$C$12:$AH$391,24,FALSE)*1000,"")</f>
        <v/>
      </c>
      <c r="J211" s="766">
        <f>IF($K$6="not necessary",0,LARGE(acute_overview_children!$AD$14:$AD$391,ROW()-ROW($B$65)))</f>
        <v>0</v>
      </c>
      <c r="K211" s="745" t="str">
        <f>IF(J211&gt;0,INDEX(acute_overview_children!$A$12:$AH$391,MATCH(J211,acute_overview_children!$AD$12:$AD$391,0),3),"")</f>
        <v/>
      </c>
      <c r="L211" s="755">
        <f>IF(J211=0,0,CONCATENATE(ROUND(VLOOKUP(K211,acute_overview_children!$C$12:$AH$391,3,FALSE),2)," / ",ROUND(VLOOKUP(K211,acute_overview_children!$C$12:$AH$391,6,FALSE),2)))</f>
        <v>0</v>
      </c>
      <c r="M211" s="755" t="str">
        <f>IF(J211&gt;0,VLOOKUP(K211,acute_overview_children!$C$12:$AH$391,27,FALSE)*1000,"")</f>
        <v/>
      </c>
      <c r="N211" s="766">
        <f>IF($K$6="not necessary",0,LARGE(acute_overview_adults!$AD$14:$AD$391,ROW()-ROW($F$65)))</f>
        <v>0</v>
      </c>
      <c r="O211" s="745" t="str">
        <f>IF(Results!N211&gt;0,INDEX(acute_overview_adults!$A$12:$AH$391,MATCH(Results!N211,acute_overview_adults!$AD$12:$AD$391,0),3),"")</f>
        <v/>
      </c>
      <c r="P211" s="755">
        <f>IF(N211=0,0,CONCATENATE(ROUND(VLOOKUP(O211,acute_overview_adults!$C$12:$AH$391,3,FALSE),2)," / ",ROUND(VLOOKUP(O211,acute_overview_adults!$C$12:$AH$391,6,FALSE),2)))</f>
        <v>0</v>
      </c>
      <c r="Q211" s="755" t="str">
        <f>IF(N211&gt;0,VLOOKUP(O211,acute_overview_adults!$C$12:$AH$391,27,FALSE)*1000,"")</f>
        <v/>
      </c>
      <c r="S211" s="1161">
        <f t="shared" si="16"/>
        <v>0</v>
      </c>
      <c r="T211" s="1161">
        <f t="shared" si="17"/>
        <v>0</v>
      </c>
      <c r="U211" s="1161">
        <f t="shared" si="18"/>
        <v>0</v>
      </c>
      <c r="V211" s="1161">
        <f t="shared" si="19"/>
        <v>0</v>
      </c>
      <c r="W211" s="1163">
        <f t="shared" si="20"/>
        <v>0</v>
      </c>
      <c r="X211" s="1163">
        <f t="shared" si="21"/>
        <v>0</v>
      </c>
      <c r="Y211" s="1163">
        <f t="shared" si="22"/>
        <v>0</v>
      </c>
      <c r="Z211" s="1163">
        <f t="shared" si="23"/>
        <v>0</v>
      </c>
    </row>
    <row r="212" spans="1:26" s="43" customFormat="1" ht="12" hidden="1" customHeight="1" outlineLevel="1" x14ac:dyDescent="0.2">
      <c r="A212" s="178"/>
      <c r="B212" s="546">
        <f>IF($K$6="not necessary",0,LARGE(acute_overview_children!$AA$14:$AA$391,ROW()-(ROW($B$65))))</f>
        <v>0</v>
      </c>
      <c r="C212" s="237" t="str">
        <f>IF(Results!B212&gt;0,INDEX(acute_overview_children!$A$12:$AH$391,MATCH(Results!B212,acute_overview_children!$AA$12:$AA$391,0),3),"")</f>
        <v/>
      </c>
      <c r="D212" s="238">
        <f>IF(B212=0,0,CONCATENATE(ROUND(VLOOKUP(C212,acute_overview_children!$C$12:$AH$391,3,FALSE),2)," / ",ROUND(VLOOKUP(C212,acute_overview_children!$C$12:$AH$391,4,FALSE),2)))</f>
        <v>0</v>
      </c>
      <c r="E212" s="238" t="str">
        <f>IF(B212&gt;0,VLOOKUP(C212,acute_overview_children!$C$12:$AH$391,24,FALSE)*1000,"")</f>
        <v/>
      </c>
      <c r="F212" s="546">
        <f>IF($K$6="not necessary",0,LARGE(acute_overview_adults!$AA$14:$AA$391,ROW()-(ROW($B$65))))</f>
        <v>0</v>
      </c>
      <c r="G212" s="237" t="str">
        <f>IF(F212&gt;0,INDEX(acute_overview_adults!$A$12:$AH$391,MATCH(F212,acute_overview_adults!$AA$12:$AA$391,0),3),"")</f>
        <v/>
      </c>
      <c r="H212" s="238">
        <f>IF(F212=0,0,CONCATENATE(ROUND(VLOOKUP(G212,acute_overview_adults!$C$12:$AH$391,3,FALSE),2)," / ",ROUND(VLOOKUP(G212,acute_overview_adults!$C$12:$AH$391,4,FALSE),2)))</f>
        <v>0</v>
      </c>
      <c r="I212" s="239" t="str">
        <f>IF(F212&gt;0,VLOOKUP(G212,acute_overview_adults!$C$12:$AH$391,24,FALSE)*1000,"")</f>
        <v/>
      </c>
      <c r="J212" s="766">
        <f>IF($K$6="not necessary",0,LARGE(acute_overview_children!$AD$14:$AD$391,ROW()-ROW($B$65)))</f>
        <v>0</v>
      </c>
      <c r="K212" s="745" t="str">
        <f>IF(J212&gt;0,INDEX(acute_overview_children!$A$12:$AH$391,MATCH(J212,acute_overview_children!$AD$12:$AD$391,0),3),"")</f>
        <v/>
      </c>
      <c r="L212" s="755">
        <f>IF(J212=0,0,CONCATENATE(ROUND(VLOOKUP(K212,acute_overview_children!$C$12:$AH$391,3,FALSE),2)," / ",ROUND(VLOOKUP(K212,acute_overview_children!$C$12:$AH$391,6,FALSE),2)))</f>
        <v>0</v>
      </c>
      <c r="M212" s="755" t="str">
        <f>IF(J212&gt;0,VLOOKUP(K212,acute_overview_children!$C$12:$AH$391,27,FALSE)*1000,"")</f>
        <v/>
      </c>
      <c r="N212" s="766">
        <f>IF($K$6="not necessary",0,LARGE(acute_overview_adults!$AD$14:$AD$391,ROW()-ROW($F$65)))</f>
        <v>0</v>
      </c>
      <c r="O212" s="745" t="str">
        <f>IF(Results!N212&gt;0,INDEX(acute_overview_adults!$A$12:$AH$391,MATCH(Results!N212,acute_overview_adults!$AD$12:$AD$391,0),3),"")</f>
        <v/>
      </c>
      <c r="P212" s="755">
        <f>IF(N212=0,0,CONCATENATE(ROUND(VLOOKUP(O212,acute_overview_adults!$C$12:$AH$391,3,FALSE),2)," / ",ROUND(VLOOKUP(O212,acute_overview_adults!$C$12:$AH$391,6,FALSE),2)))</f>
        <v>0</v>
      </c>
      <c r="Q212" s="755" t="str">
        <f>IF(N212&gt;0,VLOOKUP(O212,acute_overview_adults!$C$12:$AH$391,27,FALSE)*1000,"")</f>
        <v/>
      </c>
      <c r="S212" s="1161">
        <f t="shared" si="16"/>
        <v>0</v>
      </c>
      <c r="T212" s="1161">
        <f t="shared" si="17"/>
        <v>0</v>
      </c>
      <c r="U212" s="1161">
        <f t="shared" si="18"/>
        <v>0</v>
      </c>
      <c r="V212" s="1161">
        <f t="shared" si="19"/>
        <v>0</v>
      </c>
      <c r="W212" s="1163">
        <f t="shared" si="20"/>
        <v>0</v>
      </c>
      <c r="X212" s="1163">
        <f t="shared" si="21"/>
        <v>0</v>
      </c>
      <c r="Y212" s="1163">
        <f t="shared" si="22"/>
        <v>0</v>
      </c>
      <c r="Z212" s="1163">
        <f t="shared" si="23"/>
        <v>0</v>
      </c>
    </row>
    <row r="213" spans="1:26" s="43" customFormat="1" ht="12" hidden="1" customHeight="1" outlineLevel="1" x14ac:dyDescent="0.2">
      <c r="A213" s="178"/>
      <c r="B213" s="546">
        <f>IF($K$6="not necessary",0,LARGE(acute_overview_children!$AA$14:$AA$391,ROW()-(ROW($B$65))))</f>
        <v>0</v>
      </c>
      <c r="C213" s="237" t="str">
        <f>IF(Results!B213&gt;0,INDEX(acute_overview_children!$A$12:$AH$391,MATCH(Results!B213,acute_overview_children!$AA$12:$AA$391,0),3),"")</f>
        <v/>
      </c>
      <c r="D213" s="238">
        <f>IF(B213=0,0,CONCATENATE(ROUND(VLOOKUP(C213,acute_overview_children!$C$12:$AH$391,3,FALSE),2)," / ",ROUND(VLOOKUP(C213,acute_overview_children!$C$12:$AH$391,4,FALSE),2)))</f>
        <v>0</v>
      </c>
      <c r="E213" s="238" t="str">
        <f>IF(B213&gt;0,VLOOKUP(C213,acute_overview_children!$C$12:$AH$391,24,FALSE)*1000,"")</f>
        <v/>
      </c>
      <c r="F213" s="546">
        <f>IF($K$6="not necessary",0,LARGE(acute_overview_adults!$AA$14:$AA$391,ROW()-(ROW($B$65))))</f>
        <v>0</v>
      </c>
      <c r="G213" s="237" t="str">
        <f>IF(F213&gt;0,INDEX(acute_overview_adults!$A$12:$AH$391,MATCH(F213,acute_overview_adults!$AA$12:$AA$391,0),3),"")</f>
        <v/>
      </c>
      <c r="H213" s="238">
        <f>IF(F213=0,0,CONCATENATE(ROUND(VLOOKUP(G213,acute_overview_adults!$C$12:$AH$391,3,FALSE),2)," / ",ROUND(VLOOKUP(G213,acute_overview_adults!$C$12:$AH$391,4,FALSE),2)))</f>
        <v>0</v>
      </c>
      <c r="I213" s="239" t="str">
        <f>IF(F213&gt;0,VLOOKUP(G213,acute_overview_adults!$C$12:$AH$391,24,FALSE)*1000,"")</f>
        <v/>
      </c>
      <c r="J213" s="766">
        <f>IF($K$6="not necessary",0,LARGE(acute_overview_children!$AD$14:$AD$391,ROW()-ROW($B$65)))</f>
        <v>0</v>
      </c>
      <c r="K213" s="745" t="str">
        <f>IF(J213&gt;0,INDEX(acute_overview_children!$A$12:$AH$391,MATCH(J213,acute_overview_children!$AD$12:$AD$391,0),3),"")</f>
        <v/>
      </c>
      <c r="L213" s="755">
        <f>IF(J213=0,0,CONCATENATE(ROUND(VLOOKUP(K213,acute_overview_children!$C$12:$AH$391,3,FALSE),2)," / ",ROUND(VLOOKUP(K213,acute_overview_children!$C$12:$AH$391,6,FALSE),2)))</f>
        <v>0</v>
      </c>
      <c r="M213" s="755" t="str">
        <f>IF(J213&gt;0,VLOOKUP(K213,acute_overview_children!$C$12:$AH$391,27,FALSE)*1000,"")</f>
        <v/>
      </c>
      <c r="N213" s="766">
        <f>IF($K$6="not necessary",0,LARGE(acute_overview_adults!$AD$14:$AD$391,ROW()-ROW($F$65)))</f>
        <v>0</v>
      </c>
      <c r="O213" s="745" t="str">
        <f>IF(Results!N213&gt;0,INDEX(acute_overview_adults!$A$12:$AH$391,MATCH(Results!N213,acute_overview_adults!$AD$12:$AD$391,0),3),"")</f>
        <v/>
      </c>
      <c r="P213" s="755">
        <f>IF(N213=0,0,CONCATENATE(ROUND(VLOOKUP(O213,acute_overview_adults!$C$12:$AH$391,3,FALSE),2)," / ",ROUND(VLOOKUP(O213,acute_overview_adults!$C$12:$AH$391,6,FALSE),2)))</f>
        <v>0</v>
      </c>
      <c r="Q213" s="755" t="str">
        <f>IF(N213&gt;0,VLOOKUP(O213,acute_overview_adults!$C$12:$AH$391,27,FALSE)*1000,"")</f>
        <v/>
      </c>
      <c r="S213" s="1161">
        <f t="shared" si="16"/>
        <v>0</v>
      </c>
      <c r="T213" s="1161">
        <f t="shared" si="17"/>
        <v>0</v>
      </c>
      <c r="U213" s="1161">
        <f t="shared" si="18"/>
        <v>0</v>
      </c>
      <c r="V213" s="1161">
        <f t="shared" si="19"/>
        <v>0</v>
      </c>
      <c r="W213" s="1163">
        <f t="shared" si="20"/>
        <v>0</v>
      </c>
      <c r="X213" s="1163">
        <f t="shared" si="21"/>
        <v>0</v>
      </c>
      <c r="Y213" s="1163">
        <f t="shared" si="22"/>
        <v>0</v>
      </c>
      <c r="Z213" s="1163">
        <f t="shared" si="23"/>
        <v>0</v>
      </c>
    </row>
    <row r="214" spans="1:26" s="43" customFormat="1" ht="12" hidden="1" customHeight="1" outlineLevel="1" x14ac:dyDescent="0.2">
      <c r="A214" s="178"/>
      <c r="B214" s="546">
        <f>IF($K$6="not necessary",0,LARGE(acute_overview_children!$AA$14:$AA$391,ROW()-(ROW($B$65))))</f>
        <v>0</v>
      </c>
      <c r="C214" s="237" t="str">
        <f>IF(Results!B214&gt;0,INDEX(acute_overview_children!$A$12:$AH$391,MATCH(Results!B214,acute_overview_children!$AA$12:$AA$391,0),3),"")</f>
        <v/>
      </c>
      <c r="D214" s="238">
        <f>IF(B214=0,0,CONCATENATE(ROUND(VLOOKUP(C214,acute_overview_children!$C$12:$AH$391,3,FALSE),2)," / ",ROUND(VLOOKUP(C214,acute_overview_children!$C$12:$AH$391,4,FALSE),2)))</f>
        <v>0</v>
      </c>
      <c r="E214" s="238" t="str">
        <f>IF(B214&gt;0,VLOOKUP(C214,acute_overview_children!$C$12:$AH$391,24,FALSE)*1000,"")</f>
        <v/>
      </c>
      <c r="F214" s="546">
        <f>IF($K$6="not necessary",0,LARGE(acute_overview_adults!$AA$14:$AA$391,ROW()-(ROW($B$65))))</f>
        <v>0</v>
      </c>
      <c r="G214" s="237" t="str">
        <f>IF(F214&gt;0,INDEX(acute_overview_adults!$A$12:$AH$391,MATCH(F214,acute_overview_adults!$AA$12:$AA$391,0),3),"")</f>
        <v/>
      </c>
      <c r="H214" s="238">
        <f>IF(F214=0,0,CONCATENATE(ROUND(VLOOKUP(G214,acute_overview_adults!$C$12:$AH$391,3,FALSE),2)," / ",ROUND(VLOOKUP(G214,acute_overview_adults!$C$12:$AH$391,4,FALSE),2)))</f>
        <v>0</v>
      </c>
      <c r="I214" s="239" t="str">
        <f>IF(F214&gt;0,VLOOKUP(G214,acute_overview_adults!$C$12:$AH$391,24,FALSE)*1000,"")</f>
        <v/>
      </c>
      <c r="J214" s="766">
        <f>IF($K$6="not necessary",0,LARGE(acute_overview_children!$AD$14:$AD$391,ROW()-ROW($B$65)))</f>
        <v>0</v>
      </c>
      <c r="K214" s="745" t="str">
        <f>IF(J214&gt;0,INDEX(acute_overview_children!$A$12:$AH$391,MATCH(J214,acute_overview_children!$AD$12:$AD$391,0),3),"")</f>
        <v/>
      </c>
      <c r="L214" s="755">
        <f>IF(J214=0,0,CONCATENATE(ROUND(VLOOKUP(K214,acute_overview_children!$C$12:$AH$391,3,FALSE),2)," / ",ROUND(VLOOKUP(K214,acute_overview_children!$C$12:$AH$391,6,FALSE),2)))</f>
        <v>0</v>
      </c>
      <c r="M214" s="755" t="str">
        <f>IF(J214&gt;0,VLOOKUP(K214,acute_overview_children!$C$12:$AH$391,27,FALSE)*1000,"")</f>
        <v/>
      </c>
      <c r="N214" s="766">
        <f>IF($K$6="not necessary",0,LARGE(acute_overview_adults!$AD$14:$AD$391,ROW()-ROW($F$65)))</f>
        <v>0</v>
      </c>
      <c r="O214" s="745" t="str">
        <f>IF(Results!N214&gt;0,INDEX(acute_overview_adults!$A$12:$AH$391,MATCH(Results!N214,acute_overview_adults!$AD$12:$AD$391,0),3),"")</f>
        <v/>
      </c>
      <c r="P214" s="755">
        <f>IF(N214=0,0,CONCATENATE(ROUND(VLOOKUP(O214,acute_overview_adults!$C$12:$AH$391,3,FALSE),2)," / ",ROUND(VLOOKUP(O214,acute_overview_adults!$C$12:$AH$391,6,FALSE),2)))</f>
        <v>0</v>
      </c>
      <c r="Q214" s="755" t="str">
        <f>IF(N214&gt;0,VLOOKUP(O214,acute_overview_adults!$C$12:$AH$391,27,FALSE)*1000,"")</f>
        <v/>
      </c>
      <c r="S214" s="1161">
        <f t="shared" si="16"/>
        <v>0</v>
      </c>
      <c r="T214" s="1161">
        <f t="shared" si="17"/>
        <v>0</v>
      </c>
      <c r="U214" s="1161">
        <f t="shared" si="18"/>
        <v>0</v>
      </c>
      <c r="V214" s="1161">
        <f t="shared" si="19"/>
        <v>0</v>
      </c>
      <c r="W214" s="1163">
        <f t="shared" si="20"/>
        <v>0</v>
      </c>
      <c r="X214" s="1163">
        <f t="shared" si="21"/>
        <v>0</v>
      </c>
      <c r="Y214" s="1163">
        <f t="shared" si="22"/>
        <v>0</v>
      </c>
      <c r="Z214" s="1163">
        <f t="shared" si="23"/>
        <v>0</v>
      </c>
    </row>
    <row r="215" spans="1:26" s="43" customFormat="1" ht="12" hidden="1" customHeight="1" outlineLevel="1" x14ac:dyDescent="0.2">
      <c r="A215" s="178"/>
      <c r="B215" s="546">
        <f>IF($K$6="not necessary",0,LARGE(acute_overview_children!$AA$14:$AA$391,ROW()-(ROW($B$65))))</f>
        <v>0</v>
      </c>
      <c r="C215" s="237" t="str">
        <f>IF(Results!B215&gt;0,INDEX(acute_overview_children!$A$12:$AH$391,MATCH(Results!B215,acute_overview_children!$AA$12:$AA$391,0),3),"")</f>
        <v/>
      </c>
      <c r="D215" s="238">
        <f>IF(B215=0,0,CONCATENATE(ROUND(VLOOKUP(C215,acute_overview_children!$C$12:$AH$391,3,FALSE),2)," / ",ROUND(VLOOKUP(C215,acute_overview_children!$C$12:$AH$391,4,FALSE),2)))</f>
        <v>0</v>
      </c>
      <c r="E215" s="238" t="str">
        <f>IF(B215&gt;0,VLOOKUP(C215,acute_overview_children!$C$12:$AH$391,24,FALSE)*1000,"")</f>
        <v/>
      </c>
      <c r="F215" s="546">
        <f>IF($K$6="not necessary",0,LARGE(acute_overview_adults!$AA$14:$AA$391,ROW()-(ROW($B$65))))</f>
        <v>0</v>
      </c>
      <c r="G215" s="237" t="str">
        <f>IF(F215&gt;0,INDEX(acute_overview_adults!$A$12:$AH$391,MATCH(F215,acute_overview_adults!$AA$12:$AA$391,0),3),"")</f>
        <v/>
      </c>
      <c r="H215" s="238">
        <f>IF(F215=0,0,CONCATENATE(ROUND(VLOOKUP(G215,acute_overview_adults!$C$12:$AH$391,3,FALSE),2)," / ",ROUND(VLOOKUP(G215,acute_overview_adults!$C$12:$AH$391,4,FALSE),2)))</f>
        <v>0</v>
      </c>
      <c r="I215" s="239" t="str">
        <f>IF(F215&gt;0,VLOOKUP(G215,acute_overview_adults!$C$12:$AH$391,24,FALSE)*1000,"")</f>
        <v/>
      </c>
      <c r="J215" s="766">
        <f>IF($K$6="not necessary",0,LARGE(acute_overview_children!$AD$14:$AD$391,ROW()-ROW($B$65)))</f>
        <v>0</v>
      </c>
      <c r="K215" s="745" t="str">
        <f>IF(J215&gt;0,INDEX(acute_overview_children!$A$12:$AH$391,MATCH(J215,acute_overview_children!$AD$12:$AD$391,0),3),"")</f>
        <v/>
      </c>
      <c r="L215" s="755">
        <f>IF(J215=0,0,CONCATENATE(ROUND(VLOOKUP(K215,acute_overview_children!$C$12:$AH$391,3,FALSE),2)," / ",ROUND(VLOOKUP(K215,acute_overview_children!$C$12:$AH$391,6,FALSE),2)))</f>
        <v>0</v>
      </c>
      <c r="M215" s="755" t="str">
        <f>IF(J215&gt;0,VLOOKUP(K215,acute_overview_children!$C$12:$AH$391,27,FALSE)*1000,"")</f>
        <v/>
      </c>
      <c r="N215" s="766">
        <f>IF($K$6="not necessary",0,LARGE(acute_overview_adults!$AD$14:$AD$391,ROW()-ROW($F$65)))</f>
        <v>0</v>
      </c>
      <c r="O215" s="745" t="str">
        <f>IF(Results!N215&gt;0,INDEX(acute_overview_adults!$A$12:$AH$391,MATCH(Results!N215,acute_overview_adults!$AD$12:$AD$391,0),3),"")</f>
        <v/>
      </c>
      <c r="P215" s="755">
        <f>IF(N215=0,0,CONCATENATE(ROUND(VLOOKUP(O215,acute_overview_adults!$C$12:$AH$391,3,FALSE),2)," / ",ROUND(VLOOKUP(O215,acute_overview_adults!$C$12:$AH$391,6,FALSE),2)))</f>
        <v>0</v>
      </c>
      <c r="Q215" s="755" t="str">
        <f>IF(N215&gt;0,VLOOKUP(O215,acute_overview_adults!$C$12:$AH$391,27,FALSE)*1000,"")</f>
        <v/>
      </c>
      <c r="S215" s="1161">
        <f t="shared" si="16"/>
        <v>0</v>
      </c>
      <c r="T215" s="1161">
        <f t="shared" si="17"/>
        <v>0</v>
      </c>
      <c r="U215" s="1161">
        <f t="shared" si="18"/>
        <v>0</v>
      </c>
      <c r="V215" s="1161">
        <f t="shared" si="19"/>
        <v>0</v>
      </c>
      <c r="W215" s="1163">
        <f t="shared" si="20"/>
        <v>0</v>
      </c>
      <c r="X215" s="1163">
        <f t="shared" si="21"/>
        <v>0</v>
      </c>
      <c r="Y215" s="1163">
        <f t="shared" si="22"/>
        <v>0</v>
      </c>
      <c r="Z215" s="1163">
        <f t="shared" si="23"/>
        <v>0</v>
      </c>
    </row>
    <row r="216" spans="1:26" s="43" customFormat="1" ht="12" hidden="1" customHeight="1" outlineLevel="1" x14ac:dyDescent="0.2">
      <c r="A216" s="178"/>
      <c r="B216" s="546">
        <f>IF($K$6="not necessary",0,LARGE(acute_overview_children!$AA$14:$AA$391,ROW()-(ROW($B$65))))</f>
        <v>0</v>
      </c>
      <c r="C216" s="237" t="str">
        <f>IF(Results!B216&gt;0,INDEX(acute_overview_children!$A$12:$AH$391,MATCH(Results!B216,acute_overview_children!$AA$12:$AA$391,0),3),"")</f>
        <v/>
      </c>
      <c r="D216" s="238">
        <f>IF(B216=0,0,CONCATENATE(ROUND(VLOOKUP(C216,acute_overview_children!$C$12:$AH$391,3,FALSE),2)," / ",ROUND(VLOOKUP(C216,acute_overview_children!$C$12:$AH$391,4,FALSE),2)))</f>
        <v>0</v>
      </c>
      <c r="E216" s="238" t="str">
        <f>IF(B216&gt;0,VLOOKUP(C216,acute_overview_children!$C$12:$AH$391,24,FALSE)*1000,"")</f>
        <v/>
      </c>
      <c r="F216" s="546">
        <f>IF($K$6="not necessary",0,LARGE(acute_overview_adults!$AA$14:$AA$391,ROW()-(ROW($B$65))))</f>
        <v>0</v>
      </c>
      <c r="G216" s="237" t="str">
        <f>IF(F216&gt;0,INDEX(acute_overview_adults!$A$12:$AH$391,MATCH(F216,acute_overview_adults!$AA$12:$AA$391,0),3),"")</f>
        <v/>
      </c>
      <c r="H216" s="238">
        <f>IF(F216=0,0,CONCATENATE(ROUND(VLOOKUP(G216,acute_overview_adults!$C$12:$AH$391,3,FALSE),2)," / ",ROUND(VLOOKUP(G216,acute_overview_adults!$C$12:$AH$391,4,FALSE),2)))</f>
        <v>0</v>
      </c>
      <c r="I216" s="239" t="str">
        <f>IF(F216&gt;0,VLOOKUP(G216,acute_overview_adults!$C$12:$AH$391,24,FALSE)*1000,"")</f>
        <v/>
      </c>
      <c r="J216" s="766">
        <f>IF($K$6="not necessary",0,LARGE(acute_overview_children!$AD$14:$AD$391,ROW()-ROW($B$65)))</f>
        <v>0</v>
      </c>
      <c r="K216" s="745" t="str">
        <f>IF(J216&gt;0,INDEX(acute_overview_children!$A$12:$AH$391,MATCH(J216,acute_overview_children!$AD$12:$AD$391,0),3),"")</f>
        <v/>
      </c>
      <c r="L216" s="755">
        <f>IF(J216=0,0,CONCATENATE(ROUND(VLOOKUP(K216,acute_overview_children!$C$12:$AH$391,3,FALSE),2)," / ",ROUND(VLOOKUP(K216,acute_overview_children!$C$12:$AH$391,6,FALSE),2)))</f>
        <v>0</v>
      </c>
      <c r="M216" s="755" t="str">
        <f>IF(J216&gt;0,VLOOKUP(K216,acute_overview_children!$C$12:$AH$391,27,FALSE)*1000,"")</f>
        <v/>
      </c>
      <c r="N216" s="766">
        <f>IF($K$6="not necessary",0,LARGE(acute_overview_adults!$AD$14:$AD$391,ROW()-ROW($F$65)))</f>
        <v>0</v>
      </c>
      <c r="O216" s="745" t="str">
        <f>IF(Results!N216&gt;0,INDEX(acute_overview_adults!$A$12:$AH$391,MATCH(Results!N216,acute_overview_adults!$AD$12:$AD$391,0),3),"")</f>
        <v/>
      </c>
      <c r="P216" s="755">
        <f>IF(N216=0,0,CONCATENATE(ROUND(VLOOKUP(O216,acute_overview_adults!$C$12:$AH$391,3,FALSE),2)," / ",ROUND(VLOOKUP(O216,acute_overview_adults!$C$12:$AH$391,6,FALSE),2)))</f>
        <v>0</v>
      </c>
      <c r="Q216" s="755" t="str">
        <f>IF(N216&gt;0,VLOOKUP(O216,acute_overview_adults!$C$12:$AH$391,27,FALSE)*1000,"")</f>
        <v/>
      </c>
      <c r="S216" s="1161">
        <f t="shared" si="16"/>
        <v>0</v>
      </c>
      <c r="T216" s="1161">
        <f t="shared" si="17"/>
        <v>0</v>
      </c>
      <c r="U216" s="1161">
        <f t="shared" si="18"/>
        <v>0</v>
      </c>
      <c r="V216" s="1161">
        <f t="shared" si="19"/>
        <v>0</v>
      </c>
      <c r="W216" s="1163">
        <f t="shared" si="20"/>
        <v>0</v>
      </c>
      <c r="X216" s="1163">
        <f t="shared" si="21"/>
        <v>0</v>
      </c>
      <c r="Y216" s="1163">
        <f t="shared" si="22"/>
        <v>0</v>
      </c>
      <c r="Z216" s="1163">
        <f t="shared" si="23"/>
        <v>0</v>
      </c>
    </row>
    <row r="217" spans="1:26" s="43" customFormat="1" ht="12" hidden="1" customHeight="1" outlineLevel="1" x14ac:dyDescent="0.2">
      <c r="A217" s="178"/>
      <c r="B217" s="546">
        <f>IF($K$6="not necessary",0,LARGE(acute_overview_children!$AA$14:$AA$391,ROW()-(ROW($B$65))))</f>
        <v>0</v>
      </c>
      <c r="C217" s="237" t="str">
        <f>IF(Results!B217&gt;0,INDEX(acute_overview_children!$A$12:$AH$391,MATCH(Results!B217,acute_overview_children!$AA$12:$AA$391,0),3),"")</f>
        <v/>
      </c>
      <c r="D217" s="238">
        <f>IF(B217=0,0,CONCATENATE(ROUND(VLOOKUP(C217,acute_overview_children!$C$12:$AH$391,3,FALSE),2)," / ",ROUND(VLOOKUP(C217,acute_overview_children!$C$12:$AH$391,4,FALSE),2)))</f>
        <v>0</v>
      </c>
      <c r="E217" s="238" t="str">
        <f>IF(B217&gt;0,VLOOKUP(C217,acute_overview_children!$C$12:$AH$391,24,FALSE)*1000,"")</f>
        <v/>
      </c>
      <c r="F217" s="546">
        <f>IF($K$6="not necessary",0,LARGE(acute_overview_adults!$AA$14:$AA$391,ROW()-(ROW($B$65))))</f>
        <v>0</v>
      </c>
      <c r="G217" s="237" t="str">
        <f>IF(F217&gt;0,INDEX(acute_overview_adults!$A$12:$AH$391,MATCH(F217,acute_overview_adults!$AA$12:$AA$391,0),3),"")</f>
        <v/>
      </c>
      <c r="H217" s="238">
        <f>IF(F217=0,0,CONCATENATE(ROUND(VLOOKUP(G217,acute_overview_adults!$C$12:$AH$391,3,FALSE),2)," / ",ROUND(VLOOKUP(G217,acute_overview_adults!$C$12:$AH$391,4,FALSE),2)))</f>
        <v>0</v>
      </c>
      <c r="I217" s="239" t="str">
        <f>IF(F217&gt;0,VLOOKUP(G217,acute_overview_adults!$C$12:$AH$391,24,FALSE)*1000,"")</f>
        <v/>
      </c>
      <c r="J217" s="766">
        <f>IF($K$6="not necessary",0,LARGE(acute_overview_children!$AD$14:$AD$391,ROW()-ROW($B$65)))</f>
        <v>0</v>
      </c>
      <c r="K217" s="745" t="str">
        <f>IF(J217&gt;0,INDEX(acute_overview_children!$A$12:$AH$391,MATCH(J217,acute_overview_children!$AD$12:$AD$391,0),3),"")</f>
        <v/>
      </c>
      <c r="L217" s="755">
        <f>IF(J217=0,0,CONCATENATE(ROUND(VLOOKUP(K217,acute_overview_children!$C$12:$AH$391,3,FALSE),2)," / ",ROUND(VLOOKUP(K217,acute_overview_children!$C$12:$AH$391,6,FALSE),2)))</f>
        <v>0</v>
      </c>
      <c r="M217" s="755" t="str">
        <f>IF(J217&gt;0,VLOOKUP(K217,acute_overview_children!$C$12:$AH$391,27,FALSE)*1000,"")</f>
        <v/>
      </c>
      <c r="N217" s="766">
        <f>IF($K$6="not necessary",0,LARGE(acute_overview_adults!$AD$14:$AD$391,ROW()-ROW($F$65)))</f>
        <v>0</v>
      </c>
      <c r="O217" s="745" t="str">
        <f>IF(Results!N217&gt;0,INDEX(acute_overview_adults!$A$12:$AH$391,MATCH(Results!N217,acute_overview_adults!$AD$12:$AD$391,0),3),"")</f>
        <v/>
      </c>
      <c r="P217" s="755">
        <f>IF(N217=0,0,CONCATENATE(ROUND(VLOOKUP(O217,acute_overview_adults!$C$12:$AH$391,3,FALSE),2)," / ",ROUND(VLOOKUP(O217,acute_overview_adults!$C$12:$AH$391,6,FALSE),2)))</f>
        <v>0</v>
      </c>
      <c r="Q217" s="755" t="str">
        <f>IF(N217&gt;0,VLOOKUP(O217,acute_overview_adults!$C$12:$AH$391,27,FALSE)*1000,"")</f>
        <v/>
      </c>
      <c r="S217" s="1161">
        <f t="shared" si="16"/>
        <v>0</v>
      </c>
      <c r="T217" s="1161">
        <f t="shared" si="17"/>
        <v>0</v>
      </c>
      <c r="U217" s="1161">
        <f t="shared" si="18"/>
        <v>0</v>
      </c>
      <c r="V217" s="1161">
        <f t="shared" si="19"/>
        <v>0</v>
      </c>
      <c r="W217" s="1163">
        <f t="shared" si="20"/>
        <v>0</v>
      </c>
      <c r="X217" s="1163">
        <f t="shared" si="21"/>
        <v>0</v>
      </c>
      <c r="Y217" s="1163">
        <f t="shared" si="22"/>
        <v>0</v>
      </c>
      <c r="Z217" s="1163">
        <f t="shared" si="23"/>
        <v>0</v>
      </c>
    </row>
    <row r="218" spans="1:26" s="43" customFormat="1" ht="12" hidden="1" customHeight="1" outlineLevel="1" x14ac:dyDescent="0.2">
      <c r="A218" s="178"/>
      <c r="B218" s="546">
        <f>IF($K$6="not necessary",0,LARGE(acute_overview_children!$AA$14:$AA$391,ROW()-(ROW($B$65))))</f>
        <v>0</v>
      </c>
      <c r="C218" s="237" t="str">
        <f>IF(Results!B218&gt;0,INDEX(acute_overview_children!$A$12:$AH$391,MATCH(Results!B218,acute_overview_children!$AA$12:$AA$391,0),3),"")</f>
        <v/>
      </c>
      <c r="D218" s="238">
        <f>IF(B218=0,0,CONCATENATE(ROUND(VLOOKUP(C218,acute_overview_children!$C$12:$AH$391,3,FALSE),2)," / ",ROUND(VLOOKUP(C218,acute_overview_children!$C$12:$AH$391,4,FALSE),2)))</f>
        <v>0</v>
      </c>
      <c r="E218" s="238" t="str">
        <f>IF(B218&gt;0,VLOOKUP(C218,acute_overview_children!$C$12:$AH$391,24,FALSE)*1000,"")</f>
        <v/>
      </c>
      <c r="F218" s="546">
        <f>IF($K$6="not necessary",0,LARGE(acute_overview_adults!$AA$14:$AA$391,ROW()-(ROW($B$65))))</f>
        <v>0</v>
      </c>
      <c r="G218" s="237" t="str">
        <f>IF(F218&gt;0,INDEX(acute_overview_adults!$A$12:$AH$391,MATCH(F218,acute_overview_adults!$AA$12:$AA$391,0),3),"")</f>
        <v/>
      </c>
      <c r="H218" s="238">
        <f>IF(F218=0,0,CONCATENATE(ROUND(VLOOKUP(G218,acute_overview_adults!$C$12:$AH$391,3,FALSE),2)," / ",ROUND(VLOOKUP(G218,acute_overview_adults!$C$12:$AH$391,4,FALSE),2)))</f>
        <v>0</v>
      </c>
      <c r="I218" s="239" t="str">
        <f>IF(F218&gt;0,VLOOKUP(G218,acute_overview_adults!$C$12:$AH$391,24,FALSE)*1000,"")</f>
        <v/>
      </c>
      <c r="J218" s="766">
        <f>IF($K$6="not necessary",0,LARGE(acute_overview_children!$AD$14:$AD$391,ROW()-ROW($B$65)))</f>
        <v>0</v>
      </c>
      <c r="K218" s="745" t="str">
        <f>IF(J218&gt;0,INDEX(acute_overview_children!$A$12:$AH$391,MATCH(J218,acute_overview_children!$AD$12:$AD$391,0),3),"")</f>
        <v/>
      </c>
      <c r="L218" s="755">
        <f>IF(J218=0,0,CONCATENATE(ROUND(VLOOKUP(K218,acute_overview_children!$C$12:$AH$391,3,FALSE),2)," / ",ROUND(VLOOKUP(K218,acute_overview_children!$C$12:$AH$391,6,FALSE),2)))</f>
        <v>0</v>
      </c>
      <c r="M218" s="755" t="str">
        <f>IF(J218&gt;0,VLOOKUP(K218,acute_overview_children!$C$12:$AH$391,27,FALSE)*1000,"")</f>
        <v/>
      </c>
      <c r="N218" s="766">
        <f>IF($K$6="not necessary",0,LARGE(acute_overview_adults!$AD$14:$AD$391,ROW()-ROW($F$65)))</f>
        <v>0</v>
      </c>
      <c r="O218" s="745" t="str">
        <f>IF(Results!N218&gt;0,INDEX(acute_overview_adults!$A$12:$AH$391,MATCH(Results!N218,acute_overview_adults!$AD$12:$AD$391,0),3),"")</f>
        <v/>
      </c>
      <c r="P218" s="755">
        <f>IF(N218=0,0,CONCATENATE(ROUND(VLOOKUP(O218,acute_overview_adults!$C$12:$AH$391,3,FALSE),2)," / ",ROUND(VLOOKUP(O218,acute_overview_adults!$C$12:$AH$391,6,FALSE),2)))</f>
        <v>0</v>
      </c>
      <c r="Q218" s="755" t="str">
        <f>IF(N218&gt;0,VLOOKUP(O218,acute_overview_adults!$C$12:$AH$391,27,FALSE)*1000,"")</f>
        <v/>
      </c>
      <c r="S218" s="1161">
        <f t="shared" si="16"/>
        <v>0</v>
      </c>
      <c r="T218" s="1161">
        <f t="shared" si="17"/>
        <v>0</v>
      </c>
      <c r="U218" s="1161">
        <f t="shared" si="18"/>
        <v>0</v>
      </c>
      <c r="V218" s="1161">
        <f t="shared" si="19"/>
        <v>0</v>
      </c>
      <c r="W218" s="1163">
        <f t="shared" si="20"/>
        <v>0</v>
      </c>
      <c r="X218" s="1163">
        <f t="shared" si="21"/>
        <v>0</v>
      </c>
      <c r="Y218" s="1163">
        <f t="shared" si="22"/>
        <v>0</v>
      </c>
      <c r="Z218" s="1163">
        <f t="shared" si="23"/>
        <v>0</v>
      </c>
    </row>
    <row r="219" spans="1:26" s="43" customFormat="1" ht="12" hidden="1" customHeight="1" outlineLevel="1" x14ac:dyDescent="0.2">
      <c r="A219" s="178"/>
      <c r="B219" s="546">
        <f>IF($K$6="not necessary",0,LARGE(acute_overview_children!$AA$14:$AA$391,ROW()-(ROW($B$65))))</f>
        <v>0</v>
      </c>
      <c r="C219" s="237" t="str">
        <f>IF(Results!B219&gt;0,INDEX(acute_overview_children!$A$12:$AH$391,MATCH(Results!B219,acute_overview_children!$AA$12:$AA$391,0),3),"")</f>
        <v/>
      </c>
      <c r="D219" s="238">
        <f>IF(B219=0,0,CONCATENATE(ROUND(VLOOKUP(C219,acute_overview_children!$C$12:$AH$391,3,FALSE),2)," / ",ROUND(VLOOKUP(C219,acute_overview_children!$C$12:$AH$391,4,FALSE),2)))</f>
        <v>0</v>
      </c>
      <c r="E219" s="238" t="str">
        <f>IF(B219&gt;0,VLOOKUP(C219,acute_overview_children!$C$12:$AH$391,24,FALSE)*1000,"")</f>
        <v/>
      </c>
      <c r="F219" s="546">
        <f>IF($K$6="not necessary",0,LARGE(acute_overview_adults!$AA$14:$AA$391,ROW()-(ROW($B$65))))</f>
        <v>0</v>
      </c>
      <c r="G219" s="237" t="str">
        <f>IF(F219&gt;0,INDEX(acute_overview_adults!$A$12:$AH$391,MATCH(F219,acute_overview_adults!$AA$12:$AA$391,0),3),"")</f>
        <v/>
      </c>
      <c r="H219" s="238">
        <f>IF(F219=0,0,CONCATENATE(ROUND(VLOOKUP(G219,acute_overview_adults!$C$12:$AH$391,3,FALSE),2)," / ",ROUND(VLOOKUP(G219,acute_overview_adults!$C$12:$AH$391,4,FALSE),2)))</f>
        <v>0</v>
      </c>
      <c r="I219" s="239" t="str">
        <f>IF(F219&gt;0,VLOOKUP(G219,acute_overview_adults!$C$12:$AH$391,24,FALSE)*1000,"")</f>
        <v/>
      </c>
      <c r="J219" s="766">
        <f>IF($K$6="not necessary",0,LARGE(acute_overview_children!$AD$14:$AD$391,ROW()-ROW($B$65)))</f>
        <v>0</v>
      </c>
      <c r="K219" s="745" t="str">
        <f>IF(J219&gt;0,INDEX(acute_overview_children!$A$12:$AH$391,MATCH(J219,acute_overview_children!$AD$12:$AD$391,0),3),"")</f>
        <v/>
      </c>
      <c r="L219" s="755">
        <f>IF(J219=0,0,CONCATENATE(ROUND(VLOOKUP(K219,acute_overview_children!$C$12:$AH$391,3,FALSE),2)," / ",ROUND(VLOOKUP(K219,acute_overview_children!$C$12:$AH$391,6,FALSE),2)))</f>
        <v>0</v>
      </c>
      <c r="M219" s="755" t="str">
        <f>IF(J219&gt;0,VLOOKUP(K219,acute_overview_children!$C$12:$AH$391,27,FALSE)*1000,"")</f>
        <v/>
      </c>
      <c r="N219" s="766">
        <f>IF($K$6="not necessary",0,LARGE(acute_overview_adults!$AD$14:$AD$391,ROW()-ROW($F$65)))</f>
        <v>0</v>
      </c>
      <c r="O219" s="745" t="str">
        <f>IF(Results!N219&gt;0,INDEX(acute_overview_adults!$A$12:$AH$391,MATCH(Results!N219,acute_overview_adults!$AD$12:$AD$391,0),3),"")</f>
        <v/>
      </c>
      <c r="P219" s="755">
        <f>IF(N219=0,0,CONCATENATE(ROUND(VLOOKUP(O219,acute_overview_adults!$C$12:$AH$391,3,FALSE),2)," / ",ROUND(VLOOKUP(O219,acute_overview_adults!$C$12:$AH$391,6,FALSE),2)))</f>
        <v>0</v>
      </c>
      <c r="Q219" s="755" t="str">
        <f>IF(N219&gt;0,VLOOKUP(O219,acute_overview_adults!$C$12:$AH$391,27,FALSE)*1000,"")</f>
        <v/>
      </c>
      <c r="S219" s="1161">
        <f t="shared" si="16"/>
        <v>0</v>
      </c>
      <c r="T219" s="1161">
        <f t="shared" si="17"/>
        <v>0</v>
      </c>
      <c r="U219" s="1161">
        <f t="shared" si="18"/>
        <v>0</v>
      </c>
      <c r="V219" s="1161">
        <f t="shared" si="19"/>
        <v>0</v>
      </c>
      <c r="W219" s="1163">
        <f t="shared" si="20"/>
        <v>0</v>
      </c>
      <c r="X219" s="1163">
        <f t="shared" si="21"/>
        <v>0</v>
      </c>
      <c r="Y219" s="1163">
        <f t="shared" si="22"/>
        <v>0</v>
      </c>
      <c r="Z219" s="1163">
        <f t="shared" si="23"/>
        <v>0</v>
      </c>
    </row>
    <row r="220" spans="1:26" s="43" customFormat="1" ht="12" hidden="1" customHeight="1" outlineLevel="1" x14ac:dyDescent="0.2">
      <c r="A220" s="178"/>
      <c r="B220" s="546">
        <f>IF($K$6="not necessary",0,LARGE(acute_overview_children!$AA$14:$AA$391,ROW()-(ROW($B$65))))</f>
        <v>0</v>
      </c>
      <c r="C220" s="237" t="str">
        <f>IF(Results!B220&gt;0,INDEX(acute_overview_children!$A$12:$AH$391,MATCH(Results!B220,acute_overview_children!$AA$12:$AA$391,0),3),"")</f>
        <v/>
      </c>
      <c r="D220" s="238">
        <f>IF(B220=0,0,CONCATENATE(ROUND(VLOOKUP(C220,acute_overview_children!$C$12:$AH$391,3,FALSE),2)," / ",ROUND(VLOOKUP(C220,acute_overview_children!$C$12:$AH$391,4,FALSE),2)))</f>
        <v>0</v>
      </c>
      <c r="E220" s="238" t="str">
        <f>IF(B220&gt;0,VLOOKUP(C220,acute_overview_children!$C$12:$AH$391,24,FALSE)*1000,"")</f>
        <v/>
      </c>
      <c r="F220" s="546">
        <f>IF($K$6="not necessary",0,LARGE(acute_overview_adults!$AA$14:$AA$391,ROW()-(ROW($B$65))))</f>
        <v>0</v>
      </c>
      <c r="G220" s="237" t="str">
        <f>IF(F220&gt;0,INDEX(acute_overview_adults!$A$12:$AH$391,MATCH(F220,acute_overview_adults!$AA$12:$AA$391,0),3),"")</f>
        <v/>
      </c>
      <c r="H220" s="238">
        <f>IF(F220=0,0,CONCATENATE(ROUND(VLOOKUP(G220,acute_overview_adults!$C$12:$AH$391,3,FALSE),2)," / ",ROUND(VLOOKUP(G220,acute_overview_adults!$C$12:$AH$391,4,FALSE),2)))</f>
        <v>0</v>
      </c>
      <c r="I220" s="239" t="str">
        <f>IF(F220&gt;0,VLOOKUP(G220,acute_overview_adults!$C$12:$AH$391,24,FALSE)*1000,"")</f>
        <v/>
      </c>
      <c r="J220" s="766">
        <f>IF($K$6="not necessary",0,LARGE(acute_overview_children!$AD$14:$AD$391,ROW()-ROW($B$65)))</f>
        <v>0</v>
      </c>
      <c r="K220" s="745" t="str">
        <f>IF(J220&gt;0,INDEX(acute_overview_children!$A$12:$AH$391,MATCH(J220,acute_overview_children!$AD$12:$AD$391,0),3),"")</f>
        <v/>
      </c>
      <c r="L220" s="755">
        <f>IF(J220=0,0,CONCATENATE(ROUND(VLOOKUP(K220,acute_overview_children!$C$12:$AH$391,3,FALSE),2)," / ",ROUND(VLOOKUP(K220,acute_overview_children!$C$12:$AH$391,6,FALSE),2)))</f>
        <v>0</v>
      </c>
      <c r="M220" s="755" t="str">
        <f>IF(J220&gt;0,VLOOKUP(K220,acute_overview_children!$C$12:$AH$391,27,FALSE)*1000,"")</f>
        <v/>
      </c>
      <c r="N220" s="766">
        <f>IF($K$6="not necessary",0,LARGE(acute_overview_adults!$AD$14:$AD$391,ROW()-ROW($F$65)))</f>
        <v>0</v>
      </c>
      <c r="O220" s="745" t="str">
        <f>IF(Results!N220&gt;0,INDEX(acute_overview_adults!$A$12:$AH$391,MATCH(Results!N220,acute_overview_adults!$AD$12:$AD$391,0),3),"")</f>
        <v/>
      </c>
      <c r="P220" s="755">
        <f>IF(N220=0,0,CONCATENATE(ROUND(VLOOKUP(O220,acute_overview_adults!$C$12:$AH$391,3,FALSE),2)," / ",ROUND(VLOOKUP(O220,acute_overview_adults!$C$12:$AH$391,6,FALSE),2)))</f>
        <v>0</v>
      </c>
      <c r="Q220" s="755" t="str">
        <f>IF(N220&gt;0,VLOOKUP(O220,acute_overview_adults!$C$12:$AH$391,27,FALSE)*1000,"")</f>
        <v/>
      </c>
      <c r="S220" s="1161">
        <f t="shared" si="16"/>
        <v>0</v>
      </c>
      <c r="T220" s="1161">
        <f t="shared" si="17"/>
        <v>0</v>
      </c>
      <c r="U220" s="1161">
        <f t="shared" si="18"/>
        <v>0</v>
      </c>
      <c r="V220" s="1161">
        <f t="shared" si="19"/>
        <v>0</v>
      </c>
      <c r="W220" s="1163">
        <f t="shared" si="20"/>
        <v>0</v>
      </c>
      <c r="X220" s="1163">
        <f t="shared" si="21"/>
        <v>0</v>
      </c>
      <c r="Y220" s="1163">
        <f t="shared" si="22"/>
        <v>0</v>
      </c>
      <c r="Z220" s="1163">
        <f t="shared" si="23"/>
        <v>0</v>
      </c>
    </row>
    <row r="221" spans="1:26" s="43" customFormat="1" ht="12" hidden="1" customHeight="1" outlineLevel="1" x14ac:dyDescent="0.2">
      <c r="A221" s="178"/>
      <c r="B221" s="546">
        <f>IF($K$6="not necessary",0,LARGE(acute_overview_children!$AA$14:$AA$391,ROW()-(ROW($B$65))))</f>
        <v>0</v>
      </c>
      <c r="C221" s="237" t="str">
        <f>IF(Results!B221&gt;0,INDEX(acute_overview_children!$A$12:$AH$391,MATCH(Results!B221,acute_overview_children!$AA$12:$AA$391,0),3),"")</f>
        <v/>
      </c>
      <c r="D221" s="238">
        <f>IF(B221=0,0,CONCATENATE(ROUND(VLOOKUP(C221,acute_overview_children!$C$12:$AH$391,3,FALSE),2)," / ",ROUND(VLOOKUP(C221,acute_overview_children!$C$12:$AH$391,4,FALSE),2)))</f>
        <v>0</v>
      </c>
      <c r="E221" s="238" t="str">
        <f>IF(B221&gt;0,VLOOKUP(C221,acute_overview_children!$C$12:$AH$391,24,FALSE)*1000,"")</f>
        <v/>
      </c>
      <c r="F221" s="546">
        <f>IF($K$6="not necessary",0,LARGE(acute_overview_adults!$AA$14:$AA$391,ROW()-(ROW($B$65))))</f>
        <v>0</v>
      </c>
      <c r="G221" s="237" t="str">
        <f>IF(F221&gt;0,INDEX(acute_overview_adults!$A$12:$AH$391,MATCH(F221,acute_overview_adults!$AA$12:$AA$391,0),3),"")</f>
        <v/>
      </c>
      <c r="H221" s="238">
        <f>IF(F221=0,0,CONCATENATE(ROUND(VLOOKUP(G221,acute_overview_adults!$C$12:$AH$391,3,FALSE),2)," / ",ROUND(VLOOKUP(G221,acute_overview_adults!$C$12:$AH$391,4,FALSE),2)))</f>
        <v>0</v>
      </c>
      <c r="I221" s="239" t="str">
        <f>IF(F221&gt;0,VLOOKUP(G221,acute_overview_adults!$C$12:$AH$391,24,FALSE)*1000,"")</f>
        <v/>
      </c>
      <c r="J221" s="766">
        <f>IF($K$6="not necessary",0,LARGE(acute_overview_children!$AD$14:$AD$391,ROW()-ROW($B$65)))</f>
        <v>0</v>
      </c>
      <c r="K221" s="745" t="str">
        <f>IF(J221&gt;0,INDEX(acute_overview_children!$A$12:$AH$391,MATCH(J221,acute_overview_children!$AD$12:$AD$391,0),3),"")</f>
        <v/>
      </c>
      <c r="L221" s="755">
        <f>IF(J221=0,0,CONCATENATE(ROUND(VLOOKUP(K221,acute_overview_children!$C$12:$AH$391,3,FALSE),2)," / ",ROUND(VLOOKUP(K221,acute_overview_children!$C$12:$AH$391,6,FALSE),2)))</f>
        <v>0</v>
      </c>
      <c r="M221" s="755" t="str">
        <f>IF(J221&gt;0,VLOOKUP(K221,acute_overview_children!$C$12:$AH$391,27,FALSE)*1000,"")</f>
        <v/>
      </c>
      <c r="N221" s="766">
        <f>IF($K$6="not necessary",0,LARGE(acute_overview_adults!$AD$14:$AD$391,ROW()-ROW($F$65)))</f>
        <v>0</v>
      </c>
      <c r="O221" s="745" t="str">
        <f>IF(Results!N221&gt;0,INDEX(acute_overview_adults!$A$12:$AH$391,MATCH(Results!N221,acute_overview_adults!$AD$12:$AD$391,0),3),"")</f>
        <v/>
      </c>
      <c r="P221" s="755">
        <f>IF(N221=0,0,CONCATENATE(ROUND(VLOOKUP(O221,acute_overview_adults!$C$12:$AH$391,3,FALSE),2)," / ",ROUND(VLOOKUP(O221,acute_overview_adults!$C$12:$AH$391,6,FALSE),2)))</f>
        <v>0</v>
      </c>
      <c r="Q221" s="755" t="str">
        <f>IF(N221&gt;0,VLOOKUP(O221,acute_overview_adults!$C$12:$AH$391,27,FALSE)*1000,"")</f>
        <v/>
      </c>
      <c r="S221" s="1161">
        <f t="shared" si="16"/>
        <v>0</v>
      </c>
      <c r="T221" s="1161">
        <f t="shared" si="17"/>
        <v>0</v>
      </c>
      <c r="U221" s="1161">
        <f t="shared" si="18"/>
        <v>0</v>
      </c>
      <c r="V221" s="1161">
        <f t="shared" si="19"/>
        <v>0</v>
      </c>
      <c r="W221" s="1163">
        <f t="shared" si="20"/>
        <v>0</v>
      </c>
      <c r="X221" s="1163">
        <f t="shared" si="21"/>
        <v>0</v>
      </c>
      <c r="Y221" s="1163">
        <f t="shared" si="22"/>
        <v>0</v>
      </c>
      <c r="Z221" s="1163">
        <f t="shared" si="23"/>
        <v>0</v>
      </c>
    </row>
    <row r="222" spans="1:26" s="43" customFormat="1" ht="12" hidden="1" customHeight="1" outlineLevel="1" x14ac:dyDescent="0.2">
      <c r="A222" s="178"/>
      <c r="B222" s="546">
        <f>IF($K$6="not necessary",0,LARGE(acute_overview_children!$AA$14:$AA$391,ROW()-(ROW($B$65))))</f>
        <v>0</v>
      </c>
      <c r="C222" s="237" t="str">
        <f>IF(Results!B222&gt;0,INDEX(acute_overview_children!$A$12:$AH$391,MATCH(Results!B222,acute_overview_children!$AA$12:$AA$391,0),3),"")</f>
        <v/>
      </c>
      <c r="D222" s="238">
        <f>IF(B222=0,0,CONCATENATE(ROUND(VLOOKUP(C222,acute_overview_children!$C$12:$AH$391,3,FALSE),2)," / ",ROUND(VLOOKUP(C222,acute_overview_children!$C$12:$AH$391,4,FALSE),2)))</f>
        <v>0</v>
      </c>
      <c r="E222" s="238" t="str">
        <f>IF(B222&gt;0,VLOOKUP(C222,acute_overview_children!$C$12:$AH$391,24,FALSE)*1000,"")</f>
        <v/>
      </c>
      <c r="F222" s="546">
        <f>IF($K$6="not necessary",0,LARGE(acute_overview_adults!$AA$14:$AA$391,ROW()-(ROW($B$65))))</f>
        <v>0</v>
      </c>
      <c r="G222" s="237" t="str">
        <f>IF(F222&gt;0,INDEX(acute_overview_adults!$A$12:$AH$391,MATCH(F222,acute_overview_adults!$AA$12:$AA$391,0),3),"")</f>
        <v/>
      </c>
      <c r="H222" s="238">
        <f>IF(F222=0,0,CONCATENATE(ROUND(VLOOKUP(G222,acute_overview_adults!$C$12:$AH$391,3,FALSE),2)," / ",ROUND(VLOOKUP(G222,acute_overview_adults!$C$12:$AH$391,4,FALSE),2)))</f>
        <v>0</v>
      </c>
      <c r="I222" s="239" t="str">
        <f>IF(F222&gt;0,VLOOKUP(G222,acute_overview_adults!$C$12:$AH$391,24,FALSE)*1000,"")</f>
        <v/>
      </c>
      <c r="J222" s="766">
        <f>IF($K$6="not necessary",0,LARGE(acute_overview_children!$AD$14:$AD$391,ROW()-ROW($B$65)))</f>
        <v>0</v>
      </c>
      <c r="K222" s="745" t="str">
        <f>IF(J222&gt;0,INDEX(acute_overview_children!$A$12:$AH$391,MATCH(J222,acute_overview_children!$AD$12:$AD$391,0),3),"")</f>
        <v/>
      </c>
      <c r="L222" s="755">
        <f>IF(J222=0,0,CONCATENATE(ROUND(VLOOKUP(K222,acute_overview_children!$C$12:$AH$391,3,FALSE),2)," / ",ROUND(VLOOKUP(K222,acute_overview_children!$C$12:$AH$391,6,FALSE),2)))</f>
        <v>0</v>
      </c>
      <c r="M222" s="755" t="str">
        <f>IF(J222&gt;0,VLOOKUP(K222,acute_overview_children!$C$12:$AH$391,27,FALSE)*1000,"")</f>
        <v/>
      </c>
      <c r="N222" s="766">
        <f>IF($K$6="not necessary",0,LARGE(acute_overview_adults!$AD$14:$AD$391,ROW()-ROW($F$65)))</f>
        <v>0</v>
      </c>
      <c r="O222" s="745" t="str">
        <f>IF(Results!N222&gt;0,INDEX(acute_overview_adults!$A$12:$AH$391,MATCH(Results!N222,acute_overview_adults!$AD$12:$AD$391,0),3),"")</f>
        <v/>
      </c>
      <c r="P222" s="755">
        <f>IF(N222=0,0,CONCATENATE(ROUND(VLOOKUP(O222,acute_overview_adults!$C$12:$AH$391,3,FALSE),2)," / ",ROUND(VLOOKUP(O222,acute_overview_adults!$C$12:$AH$391,6,FALSE),2)))</f>
        <v>0</v>
      </c>
      <c r="Q222" s="755" t="str">
        <f>IF(N222&gt;0,VLOOKUP(O222,acute_overview_adults!$C$12:$AH$391,27,FALSE)*1000,"")</f>
        <v/>
      </c>
      <c r="S222" s="1161">
        <f t="shared" si="16"/>
        <v>0</v>
      </c>
      <c r="T222" s="1161">
        <f t="shared" si="17"/>
        <v>0</v>
      </c>
      <c r="U222" s="1161">
        <f t="shared" si="18"/>
        <v>0</v>
      </c>
      <c r="V222" s="1161">
        <f t="shared" si="19"/>
        <v>0</v>
      </c>
      <c r="W222" s="1163">
        <f t="shared" si="20"/>
        <v>0</v>
      </c>
      <c r="X222" s="1163">
        <f t="shared" si="21"/>
        <v>0</v>
      </c>
      <c r="Y222" s="1163">
        <f t="shared" si="22"/>
        <v>0</v>
      </c>
      <c r="Z222" s="1163">
        <f t="shared" si="23"/>
        <v>0</v>
      </c>
    </row>
    <row r="223" spans="1:26" s="43" customFormat="1" ht="12" hidden="1" customHeight="1" outlineLevel="1" x14ac:dyDescent="0.2">
      <c r="A223" s="178"/>
      <c r="B223" s="546">
        <f>IF($K$6="not necessary",0,LARGE(acute_overview_children!$AA$14:$AA$391,ROW()-(ROW($B$65))))</f>
        <v>0</v>
      </c>
      <c r="C223" s="237" t="str">
        <f>IF(Results!B223&gt;0,INDEX(acute_overview_children!$A$12:$AH$391,MATCH(Results!B223,acute_overview_children!$AA$12:$AA$391,0),3),"")</f>
        <v/>
      </c>
      <c r="D223" s="238">
        <f>IF(B223=0,0,CONCATENATE(ROUND(VLOOKUP(C223,acute_overview_children!$C$12:$AH$391,3,FALSE),2)," / ",ROUND(VLOOKUP(C223,acute_overview_children!$C$12:$AH$391,4,FALSE),2)))</f>
        <v>0</v>
      </c>
      <c r="E223" s="238" t="str">
        <f>IF(B223&gt;0,VLOOKUP(C223,acute_overview_children!$C$12:$AH$391,24,FALSE)*1000,"")</f>
        <v/>
      </c>
      <c r="F223" s="546">
        <f>IF($K$6="not necessary",0,LARGE(acute_overview_adults!$AA$14:$AA$391,ROW()-(ROW($B$65))))</f>
        <v>0</v>
      </c>
      <c r="G223" s="237" t="str">
        <f>IF(F223&gt;0,INDEX(acute_overview_adults!$A$12:$AH$391,MATCH(F223,acute_overview_adults!$AA$12:$AA$391,0),3),"")</f>
        <v/>
      </c>
      <c r="H223" s="238">
        <f>IF(F223=0,0,CONCATENATE(ROUND(VLOOKUP(G223,acute_overview_adults!$C$12:$AH$391,3,FALSE),2)," / ",ROUND(VLOOKUP(G223,acute_overview_adults!$C$12:$AH$391,4,FALSE),2)))</f>
        <v>0</v>
      </c>
      <c r="I223" s="239" t="str">
        <f>IF(F223&gt;0,VLOOKUP(G223,acute_overview_adults!$C$12:$AH$391,24,FALSE)*1000,"")</f>
        <v/>
      </c>
      <c r="J223" s="766">
        <f>IF($K$6="not necessary",0,LARGE(acute_overview_children!$AD$14:$AD$391,ROW()-ROW($B$65)))</f>
        <v>0</v>
      </c>
      <c r="K223" s="745" t="str">
        <f>IF(J223&gt;0,INDEX(acute_overview_children!$A$12:$AH$391,MATCH(J223,acute_overview_children!$AD$12:$AD$391,0),3),"")</f>
        <v/>
      </c>
      <c r="L223" s="755">
        <f>IF(J223=0,0,CONCATENATE(ROUND(VLOOKUP(K223,acute_overview_children!$C$12:$AH$391,3,FALSE),2)," / ",ROUND(VLOOKUP(K223,acute_overview_children!$C$12:$AH$391,6,FALSE),2)))</f>
        <v>0</v>
      </c>
      <c r="M223" s="755" t="str">
        <f>IF(J223&gt;0,VLOOKUP(K223,acute_overview_children!$C$12:$AH$391,27,FALSE)*1000,"")</f>
        <v/>
      </c>
      <c r="N223" s="766">
        <f>IF($K$6="not necessary",0,LARGE(acute_overview_adults!$AD$14:$AD$391,ROW()-ROW($F$65)))</f>
        <v>0</v>
      </c>
      <c r="O223" s="745" t="str">
        <f>IF(Results!N223&gt;0,INDEX(acute_overview_adults!$A$12:$AH$391,MATCH(Results!N223,acute_overview_adults!$AD$12:$AD$391,0),3),"")</f>
        <v/>
      </c>
      <c r="P223" s="755">
        <f>IF(N223=0,0,CONCATENATE(ROUND(VLOOKUP(O223,acute_overview_adults!$C$12:$AH$391,3,FALSE),2)," / ",ROUND(VLOOKUP(O223,acute_overview_adults!$C$12:$AH$391,6,FALSE),2)))</f>
        <v>0</v>
      </c>
      <c r="Q223" s="755" t="str">
        <f>IF(N223&gt;0,VLOOKUP(O223,acute_overview_adults!$C$12:$AH$391,27,FALSE)*1000,"")</f>
        <v/>
      </c>
      <c r="S223" s="1161">
        <f t="shared" si="16"/>
        <v>0</v>
      </c>
      <c r="T223" s="1161">
        <f t="shared" si="17"/>
        <v>0</v>
      </c>
      <c r="U223" s="1161">
        <f t="shared" si="18"/>
        <v>0</v>
      </c>
      <c r="V223" s="1161">
        <f t="shared" si="19"/>
        <v>0</v>
      </c>
      <c r="W223" s="1163">
        <f t="shared" si="20"/>
        <v>0</v>
      </c>
      <c r="X223" s="1163">
        <f t="shared" si="21"/>
        <v>0</v>
      </c>
      <c r="Y223" s="1163">
        <f t="shared" si="22"/>
        <v>0</v>
      </c>
      <c r="Z223" s="1163">
        <f t="shared" si="23"/>
        <v>0</v>
      </c>
    </row>
    <row r="224" spans="1:26" s="43" customFormat="1" ht="12" hidden="1" customHeight="1" outlineLevel="1" x14ac:dyDescent="0.2">
      <c r="A224" s="178"/>
      <c r="B224" s="546">
        <f>IF($K$6="not necessary",0,LARGE(acute_overview_children!$AA$14:$AA$391,ROW()-(ROW($B$65))))</f>
        <v>0</v>
      </c>
      <c r="C224" s="237" t="str">
        <f>IF(Results!B224&gt;0,INDEX(acute_overview_children!$A$12:$AH$391,MATCH(Results!B224,acute_overview_children!$AA$12:$AA$391,0),3),"")</f>
        <v/>
      </c>
      <c r="D224" s="238">
        <f>IF(B224=0,0,CONCATENATE(ROUND(VLOOKUP(C224,acute_overview_children!$C$12:$AH$391,3,FALSE),2)," / ",ROUND(VLOOKUP(C224,acute_overview_children!$C$12:$AH$391,4,FALSE),2)))</f>
        <v>0</v>
      </c>
      <c r="E224" s="238" t="str">
        <f>IF(B224&gt;0,VLOOKUP(C224,acute_overview_children!$C$12:$AH$391,24,FALSE)*1000,"")</f>
        <v/>
      </c>
      <c r="F224" s="546">
        <f>IF($K$6="not necessary",0,LARGE(acute_overview_adults!$AA$14:$AA$391,ROW()-(ROW($B$65))))</f>
        <v>0</v>
      </c>
      <c r="G224" s="237" t="str">
        <f>IF(F224&gt;0,INDEX(acute_overview_adults!$A$12:$AH$391,MATCH(F224,acute_overview_adults!$AA$12:$AA$391,0),3),"")</f>
        <v/>
      </c>
      <c r="H224" s="238">
        <f>IF(F224=0,0,CONCATENATE(ROUND(VLOOKUP(G224,acute_overview_adults!$C$12:$AH$391,3,FALSE),2)," / ",ROUND(VLOOKUP(G224,acute_overview_adults!$C$12:$AH$391,4,FALSE),2)))</f>
        <v>0</v>
      </c>
      <c r="I224" s="239" t="str">
        <f>IF(F224&gt;0,VLOOKUP(G224,acute_overview_adults!$C$12:$AH$391,24,FALSE)*1000,"")</f>
        <v/>
      </c>
      <c r="J224" s="766">
        <f>IF($K$6="not necessary",0,LARGE(acute_overview_children!$AD$14:$AD$391,ROW()-ROW($B$65)))</f>
        <v>0</v>
      </c>
      <c r="K224" s="745" t="str">
        <f>IF(J224&gt;0,INDEX(acute_overview_children!$A$12:$AH$391,MATCH(J224,acute_overview_children!$AD$12:$AD$391,0),3),"")</f>
        <v/>
      </c>
      <c r="L224" s="755">
        <f>IF(J224=0,0,CONCATENATE(ROUND(VLOOKUP(K224,acute_overview_children!$C$12:$AH$391,3,FALSE),2)," / ",ROUND(VLOOKUP(K224,acute_overview_children!$C$12:$AH$391,6,FALSE),2)))</f>
        <v>0</v>
      </c>
      <c r="M224" s="755" t="str">
        <f>IF(J224&gt;0,VLOOKUP(K224,acute_overview_children!$C$12:$AH$391,27,FALSE)*1000,"")</f>
        <v/>
      </c>
      <c r="N224" s="766">
        <f>IF($K$6="not necessary",0,LARGE(acute_overview_adults!$AD$14:$AD$391,ROW()-ROW($F$65)))</f>
        <v>0</v>
      </c>
      <c r="O224" s="745" t="str">
        <f>IF(Results!N224&gt;0,INDEX(acute_overview_adults!$A$12:$AH$391,MATCH(Results!N224,acute_overview_adults!$AD$12:$AD$391,0),3),"")</f>
        <v/>
      </c>
      <c r="P224" s="755">
        <f>IF(N224=0,0,CONCATENATE(ROUND(VLOOKUP(O224,acute_overview_adults!$C$12:$AH$391,3,FALSE),2)," / ",ROUND(VLOOKUP(O224,acute_overview_adults!$C$12:$AH$391,6,FALSE),2)))</f>
        <v>0</v>
      </c>
      <c r="Q224" s="755" t="str">
        <f>IF(N224&gt;0,VLOOKUP(O224,acute_overview_adults!$C$12:$AH$391,27,FALSE)*1000,"")</f>
        <v/>
      </c>
      <c r="S224" s="1161">
        <f t="shared" si="16"/>
        <v>0</v>
      </c>
      <c r="T224" s="1161">
        <f t="shared" si="17"/>
        <v>0</v>
      </c>
      <c r="U224" s="1161">
        <f t="shared" si="18"/>
        <v>0</v>
      </c>
      <c r="V224" s="1161">
        <f t="shared" si="19"/>
        <v>0</v>
      </c>
      <c r="W224" s="1163">
        <f t="shared" si="20"/>
        <v>0</v>
      </c>
      <c r="X224" s="1163">
        <f t="shared" si="21"/>
        <v>0</v>
      </c>
      <c r="Y224" s="1163">
        <f t="shared" si="22"/>
        <v>0</v>
      </c>
      <c r="Z224" s="1163">
        <f t="shared" si="23"/>
        <v>0</v>
      </c>
    </row>
    <row r="225" spans="1:26" s="43" customFormat="1" ht="12" customHeight="1" collapsed="1" x14ac:dyDescent="0.2">
      <c r="A225" s="178"/>
      <c r="B225" s="240" t="s">
        <v>337</v>
      </c>
      <c r="C225" s="241"/>
      <c r="D225" s="242"/>
      <c r="E225" s="722"/>
      <c r="F225" s="243"/>
      <c r="G225" s="241"/>
      <c r="H225" s="242"/>
      <c r="I225" s="256" t="str">
        <f>IF(F225&gt;0,VLOOKUP(G225,acute_overview_adults!$C$12:$AH$391,24,FALSE)*1000,"")</f>
        <v/>
      </c>
      <c r="J225" s="766"/>
      <c r="K225" s="745"/>
      <c r="L225" s="767"/>
      <c r="M225" s="755" t="str">
        <f>IF(J225&gt;0,VLOOKUP(K225,acute_overview_children!$C$12:$AH$391,27,FALSE)*1000,"")</f>
        <v/>
      </c>
      <c r="N225" s="766"/>
      <c r="O225" s="767"/>
      <c r="P225" s="767"/>
      <c r="Q225" s="755" t="str">
        <f>IF(N225&gt;0,VLOOKUP(O225,acute_overview_adults!$C$12:$AH$391,27,FALSE)*1000,"")</f>
        <v/>
      </c>
      <c r="W225" s="382"/>
    </row>
    <row r="226" spans="1:26" s="71" customFormat="1" ht="39.75" customHeight="1" x14ac:dyDescent="0.2">
      <c r="A226" s="179"/>
      <c r="B226" s="1577" t="s">
        <v>660</v>
      </c>
      <c r="C226" s="1578"/>
      <c r="D226" s="1578"/>
      <c r="E226" s="838">
        <f>U226+V226-T226</f>
        <v>0</v>
      </c>
      <c r="F226" s="73"/>
      <c r="G226" s="72"/>
      <c r="H226" s="72"/>
      <c r="I226" s="74"/>
      <c r="J226" s="1579" t="s">
        <v>661</v>
      </c>
      <c r="K226" s="1580"/>
      <c r="L226" s="1580"/>
      <c r="M226" s="839">
        <f>Y226+Z226-X226</f>
        <v>0</v>
      </c>
      <c r="N226" s="768"/>
      <c r="O226" s="753"/>
      <c r="P226" s="753"/>
      <c r="Q226" s="769"/>
      <c r="T226" s="1162">
        <f>SUM(T66:T224)</f>
        <v>0</v>
      </c>
      <c r="U226" s="1162">
        <f>SUM(U66:U224)</f>
        <v>0</v>
      </c>
      <c r="V226" s="1162">
        <f>SUM(V66:V224)</f>
        <v>0</v>
      </c>
      <c r="W226" s="228"/>
      <c r="X226" s="1164">
        <f>SUM(X66:X224)</f>
        <v>0</v>
      </c>
      <c r="Y226" s="1164">
        <f>SUM(Y66:Y224)</f>
        <v>0</v>
      </c>
      <c r="Z226" s="1164">
        <f>SUM(Z66:Z224)</f>
        <v>0</v>
      </c>
    </row>
    <row r="227" spans="1:26" x14ac:dyDescent="0.2">
      <c r="B227" s="244"/>
      <c r="C227" s="72"/>
      <c r="D227" s="72"/>
      <c r="E227" s="245"/>
      <c r="F227" s="244"/>
      <c r="G227" s="72"/>
      <c r="H227" s="72"/>
      <c r="I227" s="245"/>
      <c r="J227" s="72"/>
      <c r="K227" s="72"/>
      <c r="L227" s="72"/>
      <c r="M227" s="72"/>
      <c r="N227" s="72"/>
      <c r="O227" s="72"/>
      <c r="P227" s="72"/>
      <c r="Q227" s="72"/>
    </row>
    <row r="228" spans="1:26" ht="36.75" customHeight="1" x14ac:dyDescent="0.2">
      <c r="A228" s="1522" t="s">
        <v>46</v>
      </c>
      <c r="B228" s="1531" t="s">
        <v>980</v>
      </c>
      <c r="C228" s="1532"/>
      <c r="D228" s="246"/>
      <c r="E228" s="247" t="str">
        <f>IF(COUNTIF(acute_overview_children!$AA$412:$AA$514,"&gt;1")&gt;0,COUNTIF(acute_overview_children!$AA$412:$AA$514,"&gt;1"),"---")</f>
        <v>---</v>
      </c>
      <c r="F228" s="1531" t="s">
        <v>982</v>
      </c>
      <c r="G228" s="1532"/>
      <c r="H228" s="246"/>
      <c r="I228" s="247" t="str">
        <f>IF(COUNTIF(acute_overview_adults!$AA$412:$AA$517,"&gt;1")&gt;0,COUNTIF(acute_overview_adults!$AA$412:$AA$517,"&gt;1"),"---")</f>
        <v>---</v>
      </c>
      <c r="J228" s="1529" t="s">
        <v>981</v>
      </c>
      <c r="K228" s="1530"/>
      <c r="L228" s="758"/>
      <c r="M228" s="759" t="str">
        <f>IF(COUNTIF(acute_overview_children!$AD$412:$AD$514,"&gt;1")&gt;0,COUNTIF(acute_overview_children!$AD$412:$AD$514,"&gt;1"),"---")</f>
        <v>---</v>
      </c>
      <c r="N228" s="1529" t="s">
        <v>983</v>
      </c>
      <c r="O228" s="1530"/>
      <c r="P228" s="753"/>
      <c r="Q228" s="760" t="str">
        <f>IF(COUNTIF(acute_overview_adults!$AD$412:$AD$517,"&gt;1")&gt;0,COUNTIF(acute_overview_adults!$AD$412:$AD$517,"&gt;1"),"---")</f>
        <v>---</v>
      </c>
    </row>
    <row r="229" spans="1:26" ht="18" customHeight="1" x14ac:dyDescent="0.2">
      <c r="A229" s="1523"/>
      <c r="B229" s="230" t="s">
        <v>304</v>
      </c>
      <c r="C229" s="248"/>
      <c r="D229" s="231"/>
      <c r="E229" s="231"/>
      <c r="F229" s="1133" t="s">
        <v>304</v>
      </c>
      <c r="G229" s="1128"/>
      <c r="H229" s="1128"/>
      <c r="I229" s="849"/>
      <c r="J229" s="761" t="s">
        <v>302</v>
      </c>
      <c r="K229" s="762"/>
      <c r="L229" s="762"/>
      <c r="M229" s="763"/>
      <c r="N229" s="761" t="s">
        <v>302</v>
      </c>
      <c r="O229" s="764"/>
      <c r="P229" s="764"/>
      <c r="Q229" s="765"/>
    </row>
    <row r="230" spans="1:26" ht="36" x14ac:dyDescent="0.2">
      <c r="A230" s="1523"/>
      <c r="B230" s="249" t="s">
        <v>84</v>
      </c>
      <c r="C230" s="250" t="s">
        <v>46</v>
      </c>
      <c r="D230" s="251" t="s">
        <v>336</v>
      </c>
      <c r="E230" s="1128" t="s">
        <v>875</v>
      </c>
      <c r="F230" s="694" t="s">
        <v>84</v>
      </c>
      <c r="G230" s="840" t="s">
        <v>46</v>
      </c>
      <c r="H230" s="721" t="s">
        <v>336</v>
      </c>
      <c r="I230" s="232" t="s">
        <v>875</v>
      </c>
      <c r="J230" s="749" t="s">
        <v>84</v>
      </c>
      <c r="K230" s="758" t="s">
        <v>46</v>
      </c>
      <c r="L230" s="749" t="s">
        <v>336</v>
      </c>
      <c r="M230" s="750" t="s">
        <v>875</v>
      </c>
      <c r="N230" s="752" t="s">
        <v>84</v>
      </c>
      <c r="O230" s="758" t="s">
        <v>46</v>
      </c>
      <c r="P230" s="749" t="s">
        <v>336</v>
      </c>
      <c r="Q230" s="750" t="s">
        <v>875</v>
      </c>
    </row>
    <row r="231" spans="1:26" ht="13.15" customHeight="1" x14ac:dyDescent="0.2">
      <c r="A231" s="1524"/>
      <c r="B231" s="212" t="e">
        <f>IF($K$6="not necessary",0,LARGE(acute_overview_children!$AA$412:$AA$514,ROW()-(ROW(Results!$B$230))))</f>
        <v>#NUM!</v>
      </c>
      <c r="C231" s="542" t="e">
        <f>IF(Results!B231&gt;0,INDEX(acute_overview_children!$A$412:$AH$514,MATCH(Results!B231,acute_overview_children!$AA$412:$AA$514,0),3),"")</f>
        <v>#NUM!</v>
      </c>
      <c r="D231" s="252" t="e">
        <f>IF(B231=0,0,CONCATENATE(ROUND(VLOOKUP(C231,acute_overview_children!$C$412:$E$514,3,FALSE),2)," / ",(ROUND(VLOOKUP(C231,acute_overview_children!$C$412:$F$514,4,FALSE),2))))</f>
        <v>#NUM!</v>
      </c>
      <c r="E231" s="234" t="e">
        <f>IF(B231&gt;0,VLOOKUP(C231,acute_overview_children!$C$412:$AH$507,24,FALSE)*1000,"")</f>
        <v>#NUM!</v>
      </c>
      <c r="F231" s="212" t="e">
        <f>IF($K$6="not necessary",0,LARGE(acute_overview_adults!$AA$412:$AA$504,ROW()-(ROW(Results!$B$230))))</f>
        <v>#NUM!</v>
      </c>
      <c r="G231" s="237" t="e">
        <f>IF(F231&gt;0,INDEX(acute_overview_adults!$A$412:$AH$517,MATCH(F231,acute_overview_adults!$AA$412:$AA$517,0),3),"")</f>
        <v>#NUM!</v>
      </c>
      <c r="H231" s="252" t="e">
        <f>IF(F231=0,0,CONCATENATE(ROUND(VLOOKUP(G231,acute_overview_adults!$C$412:$E$514,3,FALSE),2)," / ",(ROUND(VLOOKUP(G231,acute_overview_adults!$C$412:$F$514,4,FALSE),2))))</f>
        <v>#NUM!</v>
      </c>
      <c r="I231" s="234" t="e">
        <f>IF(F231&gt;0,VLOOKUP(G231,acute_overview_adults!$C$412:$AH$507,24,FALSE)*1000,"")</f>
        <v>#NUM!</v>
      </c>
      <c r="J231" s="1177" t="e">
        <f>IF($K$6="not necessary",0,LARGE(acute_overview_children!$AD$412:$AD$514,ROW()-(ROW($B$230))))</f>
        <v>#NUM!</v>
      </c>
      <c r="K231" s="745" t="e">
        <f>IF(J231&gt;0,INDEX(acute_overview_children!$A$412:$AH$514,MATCH(J231,acute_overview_children!$AD$412:$AD$514,0),3),"")</f>
        <v>#NUM!</v>
      </c>
      <c r="L231" s="755" t="e">
        <f>IF(J231=0,0,CONCATENATE(ROUND(VLOOKUP(K231,acute_overview_children!$C$412:$AH$514,3,FALSE),2)," / ",(ROUND(VLOOKUP(K231,acute_overview_children!$C$412:$AH$514,6,FALSE),2))))</f>
        <v>#NUM!</v>
      </c>
      <c r="M231" s="755" t="e">
        <f>IF(J231&gt;0,VLOOKUP(K231,acute_overview_children!$C$412:$AH$507,27,FALSE)*1000,"")</f>
        <v>#NUM!</v>
      </c>
      <c r="N231" s="766" t="e">
        <f>IF($K$6="not necessary",0,LARGE(acute_overview_adults!$AD$412:$AD$517,ROW()-(ROW(Results!$B$230))))</f>
        <v>#NUM!</v>
      </c>
      <c r="O231" s="756" t="e">
        <f>IF(Results!N231&gt;0,INDEX(acute_overview_adults!$A$412:$AH$517,MATCH(Results!N231,acute_overview_adults!$AD$412:$AD$517,0),3),"")</f>
        <v>#NUM!</v>
      </c>
      <c r="P231" s="757" t="e">
        <f>IF(N231=0,0,CONCATENATE(ROUND(VLOOKUP(O231,acute_overview_adults!$C$412:$AH$517,3,FALSE),2)," / ",(ROUND(VLOOKUP(O231,acute_overview_adults!$C$412:$AH$517,6,FALSE),2))))</f>
        <v>#NUM!</v>
      </c>
      <c r="Q231" s="755" t="e">
        <f>IF(N231&gt;0,VLOOKUP(O231,acute_overview_adults!$C$412:$AH$510,27,FALSE)*1000,"")</f>
        <v>#NUM!</v>
      </c>
    </row>
    <row r="232" spans="1:26" ht="12" customHeight="1" x14ac:dyDescent="0.2">
      <c r="A232" s="1524"/>
      <c r="B232" s="236" t="e">
        <f>IF($K$6="not necessary",0,LARGE(acute_overview_children!$AA$412:$AA$514,ROW()-(ROW(Results!$B$230))))</f>
        <v>#NUM!</v>
      </c>
      <c r="C232" s="543" t="e">
        <f>IF(Results!B232&gt;0,INDEX(acute_overview_children!$A$412:$AH$514,MATCH(Results!B232,acute_overview_children!$AA$412:$AA$514,0),3),"")</f>
        <v>#NUM!</v>
      </c>
      <c r="D232" s="253" t="e">
        <f>IF(B232=0,0,CONCATENATE(ROUND(VLOOKUP(C232,acute_overview_children!$C$412:$E$514,3,FALSE),2)," / ",(ROUND(VLOOKUP(C232,acute_overview_children!$C$412:$F$514,4,FALSE),2))))</f>
        <v>#NUM!</v>
      </c>
      <c r="E232" s="238" t="e">
        <f>IF(B232&gt;0,VLOOKUP(C232,acute_overview_children!$C$412:$AH$507,24,FALSE)*1000,"")</f>
        <v>#NUM!</v>
      </c>
      <c r="F232" s="546" t="e">
        <f>IF($K$6="not necessary",0,LARGE(acute_overview_adults!$AA$412:$AA$493,ROW()-(ROW($B$230))))</f>
        <v>#NUM!</v>
      </c>
      <c r="G232" s="237" t="e">
        <f>IF(F232&gt;0,INDEX(acute_overview_adults!$A$412:$AH$517,MATCH(F232,acute_overview_adults!$AA$412:$AA$517,0),3),"")</f>
        <v>#NUM!</v>
      </c>
      <c r="H232" s="259" t="e">
        <f>IF(F232=0,0,CONCATENATE(ROUND(VLOOKUP(G232,acute_overview_adults!$C$412:$E$517,3,FALSE),2)," / ",(ROUND(VLOOKUP(G232,acute_overview_adults!$C$412:$F$517,4,FALSE),2))))</f>
        <v>#NUM!</v>
      </c>
      <c r="I232" s="1160" t="e">
        <f>IF(F232&gt;0,VLOOKUP(G232,acute_overview_adults!$C$412:$AH$510,24,FALSE)*1000,"")</f>
        <v>#NUM!</v>
      </c>
      <c r="J232" s="1131" t="e">
        <f>IF($K$6="not necessary",0,LARGE(acute_overview_children!$AD$412:$AD$514,ROW()-(ROW($B$230))))</f>
        <v>#NUM!</v>
      </c>
      <c r="K232" s="745" t="e">
        <f>IF(J232&gt;0,INDEX(acute_overview_children!$A$412:$AH$514,MATCH(J232,acute_overview_children!$AD$412:$AD$514,0),3),"")</f>
        <v>#NUM!</v>
      </c>
      <c r="L232" s="755" t="e">
        <f>IF(J232=0,0,CONCATENATE(ROUND(VLOOKUP(K232,acute_overview_children!$C$412:$AH$514,3,FALSE),2)," / ",(ROUND(VLOOKUP(K232,acute_overview_children!$C$412:$AH$514,6,FALSE),2))))</f>
        <v>#NUM!</v>
      </c>
      <c r="M232" s="755" t="e">
        <f>IF(J232&gt;0,VLOOKUP(K232,acute_overview_children!$C$412:$AH$507,27,FALSE)*1000,"")</f>
        <v>#NUM!</v>
      </c>
      <c r="N232" s="766" t="e">
        <f>IF($K$6="not necessary",0,LARGE(acute_overview_adults!$AD$412:$AD$517,ROW()-(ROW(Results!$B$230))))</f>
        <v>#NUM!</v>
      </c>
      <c r="O232" s="745" t="e">
        <f>IF(Results!N232&gt;0,INDEX(acute_overview_adults!$A$412:$AH$517,MATCH(Results!N232,acute_overview_adults!$AD$412:$AD$517,0),3),"")</f>
        <v>#NUM!</v>
      </c>
      <c r="P232" s="755" t="e">
        <f>IF(N232=0,0,CONCATENATE(ROUND(VLOOKUP(O232,acute_overview_adults!$C$412:$AH$517,3,FALSE),2)," / ",(ROUND(VLOOKUP(O232,acute_overview_adults!$C$412:$AH$517,6,FALSE),2))))</f>
        <v>#NUM!</v>
      </c>
      <c r="Q232" s="755" t="e">
        <f>IF(N232&gt;0,VLOOKUP(O232,acute_overview_adults!$C$412:$AH$510,27,FALSE)*1000,"")</f>
        <v>#NUM!</v>
      </c>
    </row>
    <row r="233" spans="1:26" ht="12" customHeight="1" x14ac:dyDescent="0.2">
      <c r="A233" s="1524"/>
      <c r="B233" s="236" t="e">
        <f>IF($K$6="not necessary",0,LARGE(acute_overview_children!$AA$412:$AA$514,ROW()-(ROW(Results!$B$230))))</f>
        <v>#NUM!</v>
      </c>
      <c r="C233" s="543" t="e">
        <f>IF(Results!B233&gt;0,INDEX(acute_overview_children!$A$412:$AH$514,MATCH(Results!B233,acute_overview_children!$AA$412:$AA$514,0),3),"")</f>
        <v>#NUM!</v>
      </c>
      <c r="D233" s="253" t="e">
        <f>IF(B233=0,0,CONCATENATE(ROUND(VLOOKUP(C233,acute_overview_children!$C$412:$E$514,3,FALSE),2)," / ",(ROUND(VLOOKUP(C233,acute_overview_children!$C$412:$F$514,4,FALSE),2))))</f>
        <v>#NUM!</v>
      </c>
      <c r="E233" s="238" t="e">
        <f>IF(B233&gt;0,VLOOKUP(C233,acute_overview_children!$C$412:$AH$507,24,FALSE)*1000,"")</f>
        <v>#NUM!</v>
      </c>
      <c r="F233" s="546" t="e">
        <f>IF($K$6="not necessary",0,LARGE(acute_overview_adults!$AA$412:$AA$493,ROW()-(ROW($B$230))))</f>
        <v>#NUM!</v>
      </c>
      <c r="G233" s="237" t="e">
        <f>IF(F233&gt;0,INDEX(acute_overview_adults!$A$412:$AH$517,MATCH(F233,acute_overview_adults!$AA$412:$AA$517,0),3),"")</f>
        <v>#NUM!</v>
      </c>
      <c r="H233" s="259" t="e">
        <f>IF(F233=0,0,CONCATENATE(ROUND(VLOOKUP(G233,acute_overview_adults!$C$412:$E$517,3,FALSE),2)," / ",(ROUND(VLOOKUP(G233,acute_overview_adults!$C$412:$F$517,4,FALSE),2))))</f>
        <v>#NUM!</v>
      </c>
      <c r="I233" s="1160" t="e">
        <f>IF(F233&gt;0,VLOOKUP(G233,acute_overview_adults!$C$412:$AH$510,24,FALSE)*1000,"")</f>
        <v>#NUM!</v>
      </c>
      <c r="J233" s="1131" t="e">
        <f>IF($K$6="not necessary",0,LARGE(acute_overview_children!$AD$412:$AD$514,ROW()-(ROW($B$230))))</f>
        <v>#NUM!</v>
      </c>
      <c r="K233" s="745" t="e">
        <f>IF(J233&gt;0,INDEX(acute_overview_children!$A$412:$AH$514,MATCH(J233,acute_overview_children!$AD$412:$AD$514,0),3),"")</f>
        <v>#NUM!</v>
      </c>
      <c r="L233" s="755" t="e">
        <f>IF(J233=0,0,CONCATENATE(ROUND(VLOOKUP(K233,acute_overview_children!$C$412:$AH$514,3,FALSE),2)," / ",(ROUND(VLOOKUP(K233,acute_overview_children!$C$412:$AH$514,6,FALSE),2))))</f>
        <v>#NUM!</v>
      </c>
      <c r="M233" s="755" t="e">
        <f>IF(J233&gt;0,VLOOKUP(K233,acute_overview_children!$C$412:$AH$507,27,FALSE)*1000,"")</f>
        <v>#NUM!</v>
      </c>
      <c r="N233" s="766" t="e">
        <f>IF($K$6="not necessary",0,LARGE(acute_overview_adults!$AD$412:$AD$517,ROW()-(ROW(Results!$B$230))))</f>
        <v>#NUM!</v>
      </c>
      <c r="O233" s="745" t="e">
        <f>IF(Results!N233&gt;0,INDEX(acute_overview_adults!$A$412:$AH$517,MATCH(Results!N233,acute_overview_adults!$AD$412:$AD$517,0),3),"")</f>
        <v>#NUM!</v>
      </c>
      <c r="P233" s="755" t="e">
        <f>IF(N233=0,0,CONCATENATE(ROUND(VLOOKUP(O233,acute_overview_adults!$C$412:$AH$517,3,FALSE),2)," / ",(ROUND(VLOOKUP(O233,acute_overview_adults!$C$412:$AH$517,6,FALSE),2))))</f>
        <v>#NUM!</v>
      </c>
      <c r="Q233" s="755" t="e">
        <f>IF(N233&gt;0,VLOOKUP(O233,acute_overview_adults!$C$412:$AH$510,27,FALSE)*1000,"")</f>
        <v>#NUM!</v>
      </c>
    </row>
    <row r="234" spans="1:26" ht="12" customHeight="1" x14ac:dyDescent="0.2">
      <c r="A234" s="1524"/>
      <c r="B234" s="236" t="e">
        <f>IF($K$6="not necessary",0,LARGE(acute_overview_children!$AA$412:$AA$514,ROW()-(ROW(Results!$B$230))))</f>
        <v>#NUM!</v>
      </c>
      <c r="C234" s="543" t="e">
        <f>IF(Results!B234&gt;0,INDEX(acute_overview_children!$A$412:$AH$514,MATCH(Results!B234,acute_overview_children!$AA$412:$AA$514,0),3),"")</f>
        <v>#NUM!</v>
      </c>
      <c r="D234" s="253" t="e">
        <f>IF(B234=0,0,CONCATENATE(ROUND(VLOOKUP(C234,acute_overview_children!$C$412:$E$514,3,FALSE),2)," / ",(ROUND(VLOOKUP(C234,acute_overview_children!$C$412:$F$514,4,FALSE),2))))</f>
        <v>#NUM!</v>
      </c>
      <c r="E234" s="238" t="e">
        <f>IF(B234&gt;0,VLOOKUP(C234,acute_overview_children!$C$412:$AH$507,24,FALSE)*1000,"")</f>
        <v>#NUM!</v>
      </c>
      <c r="F234" s="546" t="e">
        <f>IF($K$6="not necessary",0,LARGE(acute_overview_adults!$AA$412:$AA$493,ROW()-(ROW($B$230))))</f>
        <v>#NUM!</v>
      </c>
      <c r="G234" s="237" t="e">
        <f>IF(F234&gt;0,INDEX(acute_overview_adults!$A$412:$AH$517,MATCH(F234,acute_overview_adults!$AA$412:$AA$517,0),3),"")</f>
        <v>#NUM!</v>
      </c>
      <c r="H234" s="259" t="e">
        <f>IF(F234=0,0,CONCATENATE(ROUND(VLOOKUP(G234,acute_overview_adults!$C$412:$E$517,3,FALSE),2)," / ",(ROUND(VLOOKUP(G234,acute_overview_adults!$C$412:$F$517,4,FALSE),2))))</f>
        <v>#NUM!</v>
      </c>
      <c r="I234" s="1160" t="e">
        <f>IF(F234&gt;0,VLOOKUP(G234,acute_overview_adults!$C$412:$AH$510,24,FALSE)*1000,"")</f>
        <v>#NUM!</v>
      </c>
      <c r="J234" s="1131" t="e">
        <f>IF($K$6="not necessary",0,LARGE(acute_overview_children!$AD$412:$AD$514,ROW()-(ROW($B$230))))</f>
        <v>#NUM!</v>
      </c>
      <c r="K234" s="745" t="e">
        <f>IF(J234&gt;0,INDEX(acute_overview_children!$A$412:$AH$514,MATCH(J234,acute_overview_children!$AD$412:$AD$514,0),3),"")</f>
        <v>#NUM!</v>
      </c>
      <c r="L234" s="755" t="e">
        <f>IF(J234=0,0,CONCATENATE(ROUND(VLOOKUP(K234,acute_overview_children!$C$412:$AH$514,3,FALSE),2)," / ",(ROUND(VLOOKUP(K234,acute_overview_children!$C$412:$AH$514,6,FALSE),2))))</f>
        <v>#NUM!</v>
      </c>
      <c r="M234" s="755" t="e">
        <f>IF(J234&gt;0,VLOOKUP(K234,acute_overview_children!$C$412:$AH$507,27,FALSE)*1000,"")</f>
        <v>#NUM!</v>
      </c>
      <c r="N234" s="766" t="e">
        <f>IF($K$6="not necessary",0,LARGE(acute_overview_adults!$AD$412:$AD$517,ROW()-(ROW(Results!$B$230))))</f>
        <v>#NUM!</v>
      </c>
      <c r="O234" s="745" t="e">
        <f>IF(Results!N234&gt;0,INDEX(acute_overview_adults!$A$412:$AH$517,MATCH(Results!N234,acute_overview_adults!$AD$412:$AD$517,0),3),"")</f>
        <v>#NUM!</v>
      </c>
      <c r="P234" s="755" t="e">
        <f>IF(N234=0,0,CONCATENATE(ROUND(VLOOKUP(O234,acute_overview_adults!$C$412:$AH$517,3,FALSE),2)," / ",(ROUND(VLOOKUP(O234,acute_overview_adults!$C$412:$AH$517,6,FALSE),2))))</f>
        <v>#NUM!</v>
      </c>
      <c r="Q234" s="755" t="e">
        <f>IF(N234&gt;0,VLOOKUP(O234,acute_overview_adults!$C$412:$AH$510,27,FALSE)*1000,"")</f>
        <v>#NUM!</v>
      </c>
    </row>
    <row r="235" spans="1:26" ht="12" customHeight="1" x14ac:dyDescent="0.2">
      <c r="A235" s="1524"/>
      <c r="B235" s="236" t="e">
        <f>IF($K$6="not necessary",0,LARGE(acute_overview_children!$AA$412:$AA$514,ROW()-(ROW(Results!$B$230))))</f>
        <v>#NUM!</v>
      </c>
      <c r="C235" s="543" t="e">
        <f>IF(Results!B235&gt;0,INDEX(acute_overview_children!$A$412:$AH$514,MATCH(Results!B235,acute_overview_children!$AA$412:$AA$514,0),3),"")</f>
        <v>#NUM!</v>
      </c>
      <c r="D235" s="253" t="e">
        <f>IF(B235=0,0,CONCATENATE(ROUND(VLOOKUP(C235,acute_overview_children!$C$412:$E$514,3,FALSE),2)," / ",(ROUND(VLOOKUP(C235,acute_overview_children!$C$412:$F$514,4,FALSE),2))))</f>
        <v>#NUM!</v>
      </c>
      <c r="E235" s="238" t="e">
        <f>IF(B235&gt;0,VLOOKUP(C235,acute_overview_children!$C$412:$AH$507,24,FALSE)*1000,"")</f>
        <v>#NUM!</v>
      </c>
      <c r="F235" s="546" t="e">
        <f>IF($K$6="not necessary",0,LARGE(acute_overview_adults!$AA$412:$AA$493,ROW()-(ROW($B$230))))</f>
        <v>#NUM!</v>
      </c>
      <c r="G235" s="237" t="e">
        <f>IF(F235&gt;0,INDEX(acute_overview_adults!$A$412:$AH$517,MATCH(F235,acute_overview_adults!$AA$412:$AA$517,0),3),"")</f>
        <v>#NUM!</v>
      </c>
      <c r="H235" s="259" t="e">
        <f>IF(F235=0,0,CONCATENATE(ROUND(VLOOKUP(G235,acute_overview_adults!$C$412:$E$517,3,FALSE),2)," / ",(ROUND(VLOOKUP(G235,acute_overview_adults!$C$412:$F$517,4,FALSE),2))))</f>
        <v>#NUM!</v>
      </c>
      <c r="I235" s="1160" t="e">
        <f>IF(F235&gt;0,VLOOKUP(G235,acute_overview_adults!$C$412:$AH$510,24,FALSE)*1000,"")</f>
        <v>#NUM!</v>
      </c>
      <c r="J235" s="1131" t="e">
        <f>IF($K$6="not necessary",0,LARGE(acute_overview_children!$AD$412:$AD$514,ROW()-(ROW($B$230))))</f>
        <v>#NUM!</v>
      </c>
      <c r="K235" s="745" t="e">
        <f>IF(J235&gt;0,INDEX(acute_overview_children!$A$412:$AH$514,MATCH(J235,acute_overview_children!$AD$412:$AD$514,0),3),"")</f>
        <v>#NUM!</v>
      </c>
      <c r="L235" s="755" t="e">
        <f>IF(J235=0,0,CONCATENATE(ROUND(VLOOKUP(K235,acute_overview_children!$C$412:$AH$514,3,FALSE),2)," / ",(ROUND(VLOOKUP(K235,acute_overview_children!$C$412:$AH$514,6,FALSE),2))))</f>
        <v>#NUM!</v>
      </c>
      <c r="M235" s="755" t="e">
        <f>IF(J235&gt;0,VLOOKUP(K235,acute_overview_children!$C$412:$AH$507,27,FALSE)*1000,"")</f>
        <v>#NUM!</v>
      </c>
      <c r="N235" s="766" t="e">
        <f>IF($K$6="not necessary",0,LARGE(acute_overview_adults!$AD$412:$AD$517,ROW()-(ROW(Results!$B$230))))</f>
        <v>#NUM!</v>
      </c>
      <c r="O235" s="745" t="e">
        <f>IF(Results!N235&gt;0,INDEX(acute_overview_adults!$A$412:$AH$517,MATCH(Results!N235,acute_overview_adults!$AD$412:$AD$517,0),3),"")</f>
        <v>#NUM!</v>
      </c>
      <c r="P235" s="755" t="e">
        <f>IF(N235=0,0,CONCATENATE(ROUND(VLOOKUP(O235,acute_overview_adults!$C$412:$AH$517,3,FALSE),2)," / ",(ROUND(VLOOKUP(O235,acute_overview_adults!$C$412:$AH$517,6,FALSE),2))))</f>
        <v>#NUM!</v>
      </c>
      <c r="Q235" s="755" t="e">
        <f>IF(N235&gt;0,VLOOKUP(O235,acute_overview_adults!$C$412:$AH$510,27,FALSE)*1000,"")</f>
        <v>#NUM!</v>
      </c>
    </row>
    <row r="236" spans="1:26" ht="12" customHeight="1" x14ac:dyDescent="0.2">
      <c r="A236" s="1524"/>
      <c r="B236" s="236" t="e">
        <f>IF($K$6="not necessary",0,LARGE(acute_overview_children!$AA$412:$AA$514,ROW()-(ROW(Results!$B$230))))</f>
        <v>#NUM!</v>
      </c>
      <c r="C236" s="543" t="e">
        <f>IF(Results!B236&gt;0,INDEX(acute_overview_children!$A$412:$AH$514,MATCH(Results!B236,acute_overview_children!$AA$412:$AA$514,0),3),"")</f>
        <v>#NUM!</v>
      </c>
      <c r="D236" s="253" t="e">
        <f>IF(B236=0,0,CONCATENATE(ROUND(VLOOKUP(C236,acute_overview_children!$C$412:$E$514,3,FALSE),2)," / ",(ROUND(VLOOKUP(C236,acute_overview_children!$C$412:$F$514,4,FALSE),2))))</f>
        <v>#NUM!</v>
      </c>
      <c r="E236" s="238" t="e">
        <f>IF(B236&gt;0,VLOOKUP(C236,acute_overview_children!$C$412:$AH$507,24,FALSE)*1000,"")</f>
        <v>#NUM!</v>
      </c>
      <c r="F236" s="546" t="e">
        <f>IF($K$6="not necessary",0,LARGE(acute_overview_adults!$AA$412:$AA$493,ROW()-(ROW($B$230))))</f>
        <v>#NUM!</v>
      </c>
      <c r="G236" s="237" t="e">
        <f>IF(F236&gt;0,INDEX(acute_overview_adults!$A$412:$AH$517,MATCH(F236,acute_overview_adults!$AA$412:$AA$517,0),3),"")</f>
        <v>#NUM!</v>
      </c>
      <c r="H236" s="259" t="e">
        <f>IF(F236=0,0,CONCATENATE(ROUND(VLOOKUP(G236,acute_overview_adults!$C$412:$E$517,3,FALSE),2)," / ",(ROUND(VLOOKUP(G236,acute_overview_adults!$C$412:$F$517,4,FALSE),2))))</f>
        <v>#NUM!</v>
      </c>
      <c r="I236" s="1160" t="e">
        <f>IF(F236&gt;0,VLOOKUP(G236,acute_overview_adults!$C$412:$AH$510,24,FALSE)*1000,"")</f>
        <v>#NUM!</v>
      </c>
      <c r="J236" s="1131" t="e">
        <f>IF($K$6="not necessary",0,LARGE(acute_overview_children!$AD$412:$AD$514,ROW()-(ROW($B$230))))</f>
        <v>#NUM!</v>
      </c>
      <c r="K236" s="745" t="e">
        <f>IF(J236&gt;0,INDEX(acute_overview_children!$A$412:$AH$514,MATCH(J236,acute_overview_children!$AD$412:$AD$514,0),3),"")</f>
        <v>#NUM!</v>
      </c>
      <c r="L236" s="755" t="e">
        <f>IF(J236=0,0,CONCATENATE(ROUND(VLOOKUP(K236,acute_overview_children!$C$412:$AH$514,3,FALSE),2)," / ",(ROUND(VLOOKUP(K236,acute_overview_children!$C$412:$AH$514,6,FALSE),2))))</f>
        <v>#NUM!</v>
      </c>
      <c r="M236" s="755" t="e">
        <f>IF(J236&gt;0,VLOOKUP(K236,acute_overview_children!$C$412:$AH$507,27,FALSE)*1000,"")</f>
        <v>#NUM!</v>
      </c>
      <c r="N236" s="766" t="e">
        <f>IF($K$6="not necessary",0,LARGE(acute_overview_adults!$AD$412:$AD$517,ROW()-(ROW(Results!$B$230))))</f>
        <v>#NUM!</v>
      </c>
      <c r="O236" s="745" t="e">
        <f>IF(Results!N236&gt;0,INDEX(acute_overview_adults!$A$412:$AH$517,MATCH(Results!N236,acute_overview_adults!$AD$412:$AD$517,0),3),"")</f>
        <v>#NUM!</v>
      </c>
      <c r="P236" s="755" t="e">
        <f>IF(N236=0,0,CONCATENATE(ROUND(VLOOKUP(O236,acute_overview_adults!$C$412:$AH$517,3,FALSE),2)," / ",(ROUND(VLOOKUP(O236,acute_overview_adults!$C$412:$AH$517,6,FALSE),2))))</f>
        <v>#NUM!</v>
      </c>
      <c r="Q236" s="755" t="e">
        <f>IF(N236&gt;0,VLOOKUP(O236,acute_overview_adults!$C$412:$AH$510,27,FALSE)*1000,"")</f>
        <v>#NUM!</v>
      </c>
    </row>
    <row r="237" spans="1:26" ht="12" customHeight="1" x14ac:dyDescent="0.2">
      <c r="A237" s="850"/>
      <c r="B237" s="236" t="e">
        <f>IF($K$6="not necessary",0,LARGE(acute_overview_children!$AA$412:$AA$514,ROW()-(ROW(Results!$B$230))))</f>
        <v>#NUM!</v>
      </c>
      <c r="C237" s="543" t="e">
        <f>IF(Results!B237&gt;0,INDEX(acute_overview_children!$A$412:$AH$514,MATCH(Results!B237,acute_overview_children!$AA$412:$AA$514,0),3),"")</f>
        <v>#NUM!</v>
      </c>
      <c r="D237" s="253" t="e">
        <f>IF(B237=0,0,CONCATENATE(ROUND(VLOOKUP(C237,acute_overview_children!$C$412:$E$514,3,FALSE),2)," / ",(ROUND(VLOOKUP(C237,acute_overview_children!$C$412:$F$514,4,FALSE),2))))</f>
        <v>#NUM!</v>
      </c>
      <c r="E237" s="238" t="e">
        <f>IF(B237&gt;0,VLOOKUP(C237,acute_overview_children!$C$412:$AH$507,24,FALSE)*1000,"")</f>
        <v>#NUM!</v>
      </c>
      <c r="F237" s="546" t="e">
        <f>IF($K$6="not necessary",0,LARGE(acute_overview_adults!$AA$412:$AA$493,ROW()-(ROW($B$230))))</f>
        <v>#NUM!</v>
      </c>
      <c r="G237" s="237" t="e">
        <f>IF(F237&gt;0,INDEX(acute_overview_adults!$A$412:$AH$517,MATCH(F237,acute_overview_adults!$AA$412:$AA$517,0),3),"")</f>
        <v>#NUM!</v>
      </c>
      <c r="H237" s="259" t="e">
        <f>IF(F237=0,0,CONCATENATE(ROUND(VLOOKUP(G237,acute_overview_adults!$C$412:$E$517,3,FALSE),2)," / ",(ROUND(VLOOKUP(G237,acute_overview_adults!$C$412:$F$517,4,FALSE),2))))</f>
        <v>#NUM!</v>
      </c>
      <c r="I237" s="1160" t="e">
        <f>IF(F237&gt;0,VLOOKUP(G237,acute_overview_adults!$C$412:$AH$510,24,FALSE)*1000,"")</f>
        <v>#NUM!</v>
      </c>
      <c r="J237" s="1131" t="e">
        <f>IF($K$6="not necessary",0,LARGE(acute_overview_children!$AD$412:$AD$514,ROW()-(ROW($B$230))))</f>
        <v>#NUM!</v>
      </c>
      <c r="K237" s="745" t="e">
        <f>IF(J237&gt;0,INDEX(acute_overview_children!$A$412:$AH$514,MATCH(J237,acute_overview_children!$AD$412:$AD$514,0),3),"")</f>
        <v>#NUM!</v>
      </c>
      <c r="L237" s="755" t="e">
        <f>IF(J237=0,0,CONCATENATE(ROUND(VLOOKUP(K237,acute_overview_children!$C$412:$AH$514,3,FALSE),2)," / ",(ROUND(VLOOKUP(K237,acute_overview_children!$C$412:$AH$514,6,FALSE),2))))</f>
        <v>#NUM!</v>
      </c>
      <c r="M237" s="755" t="e">
        <f>IF(J237&gt;0,VLOOKUP(K237,acute_overview_children!$C$412:$AH$507,27,FALSE)*1000,"")</f>
        <v>#NUM!</v>
      </c>
      <c r="N237" s="766" t="e">
        <f>IF($K$6="not necessary",0,LARGE(acute_overview_adults!$AD$412:$AD$517,ROW()-(ROW(Results!$B$230))))</f>
        <v>#NUM!</v>
      </c>
      <c r="O237" s="745" t="e">
        <f>IF(Results!N237&gt;0,INDEX(acute_overview_adults!$A$412:$AH$517,MATCH(Results!N237,acute_overview_adults!$AD$412:$AD$517,0),3),"")</f>
        <v>#NUM!</v>
      </c>
      <c r="P237" s="755" t="e">
        <f>IF(N237=0,0,CONCATENATE(ROUND(VLOOKUP(O237,acute_overview_adults!$C$412:$AH$517,3,FALSE),2)," / ",(ROUND(VLOOKUP(O237,acute_overview_adults!$C$412:$AH$517,6,FALSE),2))))</f>
        <v>#NUM!</v>
      </c>
      <c r="Q237" s="755" t="e">
        <f>IF(N237&gt;0,VLOOKUP(O237,acute_overview_adults!$C$412:$AH$510,27,FALSE)*1000,"")</f>
        <v>#NUM!</v>
      </c>
    </row>
    <row r="238" spans="1:26" ht="12" customHeight="1" x14ac:dyDescent="0.2">
      <c r="A238" s="850"/>
      <c r="B238" s="236" t="e">
        <f>IF($K$6="not necessary",0,LARGE(acute_overview_children!$AA$412:$AA$514,ROW()-(ROW(Results!$B$230))))</f>
        <v>#NUM!</v>
      </c>
      <c r="C238" s="1166" t="e">
        <f>IF(Results!B238&gt;0,INDEX(acute_overview_children!$A$412:$AH$514,MATCH(Results!B238,acute_overview_children!$AA$412:$AA$514,0),3),"")</f>
        <v>#NUM!</v>
      </c>
      <c r="D238" s="253" t="e">
        <f>IF(B238=0,0,CONCATENATE(ROUND(VLOOKUP(C238,acute_overview_children!$C$412:$E$514,3,FALSE),2)," / ",(ROUND(VLOOKUP(C238,acute_overview_children!$C$412:$F$514,4,FALSE),2))))</f>
        <v>#NUM!</v>
      </c>
      <c r="E238" s="238" t="e">
        <f>IF(B238&gt;0,VLOOKUP(C238,acute_overview_children!$C$412:$AH$507,24,FALSE)*1000,"")</f>
        <v>#NUM!</v>
      </c>
      <c r="F238" s="546" t="e">
        <f>IF($K$6="not necessary",0,LARGE(acute_overview_adults!$AA$412:$AA$493,ROW()-(ROW($B$230))))</f>
        <v>#NUM!</v>
      </c>
      <c r="G238" s="237" t="e">
        <f>IF(F238&gt;0,INDEX(acute_overview_adults!$A$412:$AH$517,MATCH(F238,acute_overview_adults!$AA$412:$AA$517,0),3),"")</f>
        <v>#NUM!</v>
      </c>
      <c r="H238" s="259" t="e">
        <f>IF(F238=0,0,CONCATENATE(ROUND(VLOOKUP(G238,acute_overview_adults!$C$412:$E$517,3,FALSE),2)," / ",(ROUND(VLOOKUP(G238,acute_overview_adults!$C$412:$F$517,4,FALSE),2))))</f>
        <v>#NUM!</v>
      </c>
      <c r="I238" s="1160" t="e">
        <f>IF(F238&gt;0,VLOOKUP(G238,acute_overview_adults!$C$412:$AH$510,24,FALSE)*1000,"")</f>
        <v>#NUM!</v>
      </c>
      <c r="J238" s="1131" t="e">
        <f>IF($K$6="not necessary",0,LARGE(acute_overview_children!$AD$412:$AD$514,ROW()-(ROW($B$230))))</f>
        <v>#NUM!</v>
      </c>
      <c r="K238" s="745" t="e">
        <f>IF(J238&gt;0,INDEX(acute_overview_children!$A$412:$AH$514,MATCH(J238,acute_overview_children!$AD$412:$AD$514,0),3),"")</f>
        <v>#NUM!</v>
      </c>
      <c r="L238" s="755" t="e">
        <f>IF(J238=0,0,CONCATENATE(ROUND(VLOOKUP(K238,acute_overview_children!$C$412:$AH$514,3,FALSE),2)," / ",(ROUND(VLOOKUP(K238,acute_overview_children!$C$412:$AH$514,6,FALSE),2))))</f>
        <v>#NUM!</v>
      </c>
      <c r="M238" s="755" t="e">
        <f>IF(J238&gt;0,VLOOKUP(K238,acute_overview_children!$C$412:$AH$507,27,FALSE)*1000,"")</f>
        <v>#NUM!</v>
      </c>
      <c r="N238" s="766" t="e">
        <f>IF($K$6="not necessary",0,LARGE(acute_overview_adults!$AD$412:$AD$517,ROW()-(ROW(Results!$B$230))))</f>
        <v>#NUM!</v>
      </c>
      <c r="O238" s="745" t="e">
        <f>IF(Results!N238&gt;0,INDEX(acute_overview_adults!$A$412:$AH$517,MATCH(Results!N238,acute_overview_adults!$AD$412:$AD$517,0),3),"")</f>
        <v>#NUM!</v>
      </c>
      <c r="P238" s="755" t="e">
        <f>IF(N238=0,0,CONCATENATE(ROUND(VLOOKUP(O238,acute_overview_adults!$C$412:$AH$517,3,FALSE),2)," / ",(ROUND(VLOOKUP(O238,acute_overview_adults!$C$412:$AH$517,6,FALSE),2))))</f>
        <v>#NUM!</v>
      </c>
      <c r="Q238" s="755" t="e">
        <f>IF(N238&gt;0,VLOOKUP(O238,acute_overview_adults!$C$412:$AH$510,27,FALSE)*1000,"")</f>
        <v>#NUM!</v>
      </c>
    </row>
    <row r="239" spans="1:26" ht="12" customHeight="1" x14ac:dyDescent="0.2">
      <c r="A239" s="850"/>
      <c r="B239" s="236" t="e">
        <f>IF($K$6="not necessary",0,LARGE(acute_overview_children!$AA$412:$AA$514,ROW()-(ROW(Results!$B$230))))</f>
        <v>#NUM!</v>
      </c>
      <c r="C239" s="543" t="e">
        <f>IF(Results!B239&gt;0,INDEX(acute_overview_children!$A$412:$AH$514,MATCH(Results!B239,acute_overview_children!$AA$412:$AA$514,0),3),"")</f>
        <v>#NUM!</v>
      </c>
      <c r="D239" s="253" t="e">
        <f>IF(B239=0,0,CONCATENATE(ROUND(VLOOKUP(C239,acute_overview_children!$C$412:$E$514,3,FALSE),2)," / ",(ROUND(VLOOKUP(C239,acute_overview_children!$C$412:$F$514,4,FALSE),2))))</f>
        <v>#NUM!</v>
      </c>
      <c r="E239" s="238" t="e">
        <f>IF(B239&gt;0,VLOOKUP(C239,acute_overview_children!$C$412:$AH$507,24,FALSE)*1000,"")</f>
        <v>#NUM!</v>
      </c>
      <c r="F239" s="546" t="e">
        <f>IF($K$6="not necessary",0,LARGE(acute_overview_adults!$AA$412:$AA$493,ROW()-(ROW($B$230))))</f>
        <v>#NUM!</v>
      </c>
      <c r="G239" s="237" t="e">
        <f>IF(F239&gt;0,INDEX(acute_overview_adults!$A$412:$AH$517,MATCH(F239,acute_overview_adults!$AA$412:$AA$517,0),3),"")</f>
        <v>#NUM!</v>
      </c>
      <c r="H239" s="259" t="e">
        <f>IF(F239=0,0,CONCATENATE(ROUND(VLOOKUP(G239,acute_overview_adults!$C$412:$E$517,3,FALSE),2)," / ",(ROUND(VLOOKUP(G239,acute_overview_adults!$C$412:$F$517,4,FALSE),2))))</f>
        <v>#NUM!</v>
      </c>
      <c r="I239" s="1160" t="e">
        <f>IF(F239&gt;0,VLOOKUP(G239,acute_overview_adults!$C$412:$AH$510,24,FALSE)*1000,"")</f>
        <v>#NUM!</v>
      </c>
      <c r="J239" s="1131" t="e">
        <f>IF($K$6="not necessary",0,LARGE(acute_overview_children!$AD$412:$AD$514,ROW()-(ROW($B$230))))</f>
        <v>#NUM!</v>
      </c>
      <c r="K239" s="745" t="e">
        <f>IF(J239&gt;0,INDEX(acute_overview_children!$A$412:$AH$514,MATCH(J239,acute_overview_children!$AD$412:$AD$514,0),3),"")</f>
        <v>#NUM!</v>
      </c>
      <c r="L239" s="755" t="e">
        <f>IF(J239=0,0,CONCATENATE(ROUND(VLOOKUP(K239,acute_overview_children!$C$412:$AH$514,3,FALSE),2)," / ",(ROUND(VLOOKUP(K239,acute_overview_children!$C$412:$AH$514,6,FALSE),2))))</f>
        <v>#NUM!</v>
      </c>
      <c r="M239" s="755" t="e">
        <f>IF(J239&gt;0,VLOOKUP(K239,acute_overview_children!$C$412:$AH$507,27,FALSE)*1000,"")</f>
        <v>#NUM!</v>
      </c>
      <c r="N239" s="766" t="e">
        <f>IF($K$6="not necessary",0,LARGE(acute_overview_adults!$AD$412:$AD$517,ROW()-(ROW(Results!$B$230))))</f>
        <v>#NUM!</v>
      </c>
      <c r="O239" s="745" t="e">
        <f>IF(Results!N239&gt;0,INDEX(acute_overview_adults!$A$412:$AH$517,MATCH(Results!N239,acute_overview_adults!$AD$412:$AD$517,0),3),"")</f>
        <v>#NUM!</v>
      </c>
      <c r="P239" s="755" t="e">
        <f>IF(N239=0,0,CONCATENATE(ROUND(VLOOKUP(O239,acute_overview_adults!$C$412:$AH$517,3,FALSE),2)," / ",(ROUND(VLOOKUP(O239,acute_overview_adults!$C$412:$AH$517,6,FALSE),2))))</f>
        <v>#NUM!</v>
      </c>
      <c r="Q239" s="755" t="e">
        <f>IF(N239&gt;0,VLOOKUP(O239,acute_overview_adults!$C$412:$AH$510,27,FALSE)*1000,"")</f>
        <v>#NUM!</v>
      </c>
    </row>
    <row r="240" spans="1:26" ht="12" customHeight="1" x14ac:dyDescent="0.2">
      <c r="A240" s="850"/>
      <c r="B240" s="236" t="e">
        <f>IF($K$6="not necessary",0,LARGE(acute_overview_children!$AA$412:$AA$514,ROW()-(ROW(Results!$B$230))))</f>
        <v>#NUM!</v>
      </c>
      <c r="C240" s="543" t="e">
        <f>IF(Results!B240&gt;0,INDEX(acute_overview_children!$A$412:$AH$514,MATCH(Results!B240,acute_overview_children!$AA$412:$AA$514,0),3),"")</f>
        <v>#NUM!</v>
      </c>
      <c r="D240" s="253" t="e">
        <f>IF(B240=0,0,CONCATENATE(ROUND(VLOOKUP(C240,acute_overview_children!$C$412:$E$514,3,FALSE),2)," / ",(ROUND(VLOOKUP(C240,acute_overview_children!$C$412:$F$514,4,FALSE),2))))</f>
        <v>#NUM!</v>
      </c>
      <c r="E240" s="238" t="e">
        <f>IF(B240&gt;0,VLOOKUP(C240,acute_overview_children!$C$412:$AH$507,24,FALSE)*1000,"")</f>
        <v>#NUM!</v>
      </c>
      <c r="F240" s="546" t="e">
        <f>IF($K$6="not necessary",0,LARGE(acute_overview_adults!$AA$412:$AA$493,ROW()-(ROW($B$230))))</f>
        <v>#NUM!</v>
      </c>
      <c r="G240" s="237" t="e">
        <f>IF(F240&gt;0,INDEX(acute_overview_adults!$A$412:$AH$517,MATCH(F240,acute_overview_adults!$AA$412:$AA$517,0),3),"")</f>
        <v>#NUM!</v>
      </c>
      <c r="H240" s="259" t="e">
        <f>IF(F240=0,0,CONCATENATE(ROUND(VLOOKUP(G240,acute_overview_adults!$C$412:$E$517,3,FALSE),2)," / ",(ROUND(VLOOKUP(G240,acute_overview_adults!$C$412:$F$517,4,FALSE),2))))</f>
        <v>#NUM!</v>
      </c>
      <c r="I240" s="1160" t="e">
        <f>IF(F240&gt;0,VLOOKUP(G240,acute_overview_adults!$C$412:$AH$510,24,FALSE)*1000,"")</f>
        <v>#NUM!</v>
      </c>
      <c r="J240" s="1131" t="e">
        <f>IF($K$6="not necessary",0,LARGE(acute_overview_children!$AD$412:$AD$514,ROW()-(ROW($B$230))))</f>
        <v>#NUM!</v>
      </c>
      <c r="K240" s="745" t="e">
        <f>IF(J240&gt;0,INDEX(acute_overview_children!$A$412:$AH$514,MATCH(J240,acute_overview_children!$AD$412:$AD$514,0),3),"")</f>
        <v>#NUM!</v>
      </c>
      <c r="L240" s="755" t="e">
        <f>IF(J240=0,0,CONCATENATE(ROUND(VLOOKUP(K240,acute_overview_children!$C$412:$AH$514,3,FALSE),2)," / ",(ROUND(VLOOKUP(K240,acute_overview_children!$C$412:$AH$514,6,FALSE),2))))</f>
        <v>#NUM!</v>
      </c>
      <c r="M240" s="755" t="e">
        <f>IF(J240&gt;0,VLOOKUP(K240,acute_overview_children!$C$412:$AH$507,27,FALSE)*1000,"")</f>
        <v>#NUM!</v>
      </c>
      <c r="N240" s="766" t="e">
        <f>IF($K$6="not necessary",0,LARGE(acute_overview_adults!$AD$412:$AD$517,ROW()-(ROW(Results!$B$230))))</f>
        <v>#NUM!</v>
      </c>
      <c r="O240" s="745" t="e">
        <f>IF(Results!N240&gt;0,INDEX(acute_overview_adults!$A$412:$AH$517,MATCH(Results!N240,acute_overview_adults!$AD$412:$AD$517,0),3),"")</f>
        <v>#NUM!</v>
      </c>
      <c r="P240" s="755" t="e">
        <f>IF(N240=0,0,CONCATENATE(ROUND(VLOOKUP(O240,acute_overview_adults!$C$412:$AH$517,3,FALSE),2)," / ",(ROUND(VLOOKUP(O240,acute_overview_adults!$C$412:$AH$517,6,FALSE),2))))</f>
        <v>#NUM!</v>
      </c>
      <c r="Q240" s="755" t="e">
        <f>IF(N240&gt;0,VLOOKUP(O240,acute_overview_adults!$C$412:$AH$510,27,FALSE)*1000,"")</f>
        <v>#NUM!</v>
      </c>
    </row>
    <row r="241" spans="1:17" ht="12" customHeight="1" x14ac:dyDescent="0.2">
      <c r="A241" s="850"/>
      <c r="B241" s="236" t="e">
        <f>IF($K$6="not necessary",0,LARGE(acute_overview_children!$AA$412:$AA$514,ROW()-(ROW(Results!$B$230))))</f>
        <v>#NUM!</v>
      </c>
      <c r="C241" s="543" t="e">
        <f>IF(Results!B241&gt;0,INDEX(acute_overview_children!$A$412:$AH$514,MATCH(Results!B241,acute_overview_children!$AA$412:$AA$514,0),3),"")</f>
        <v>#NUM!</v>
      </c>
      <c r="D241" s="253" t="e">
        <f>IF(B241=0,0,CONCATENATE(ROUND(VLOOKUP(C241,acute_overview_children!$C$412:$E$514,3,FALSE),2)," / ",(ROUND(VLOOKUP(C241,acute_overview_children!$C$412:$F$514,4,FALSE),2))))</f>
        <v>#NUM!</v>
      </c>
      <c r="E241" s="238" t="e">
        <f>IF(B241&gt;0,VLOOKUP(C241,acute_overview_children!$C$412:$AH$507,24,FALSE)*1000,"")</f>
        <v>#NUM!</v>
      </c>
      <c r="F241" s="546" t="e">
        <f>IF($K$6="not necessary",0,LARGE(acute_overview_adults!$AA$412:$AA$493,ROW()-(ROW($B$230))))</f>
        <v>#NUM!</v>
      </c>
      <c r="G241" s="237" t="e">
        <f>IF(F241&gt;0,INDEX(acute_overview_adults!$A$412:$AH$517,MATCH(F241,acute_overview_adults!$AA$412:$AA$517,0),3),"")</f>
        <v>#NUM!</v>
      </c>
      <c r="H241" s="259" t="e">
        <f>IF(F241=0,0,CONCATENATE(ROUND(VLOOKUP(G241,acute_overview_adults!$C$412:$E$517,3,FALSE),2)," / ",(ROUND(VLOOKUP(G241,acute_overview_adults!$C$412:$F$517,4,FALSE),2))))</f>
        <v>#NUM!</v>
      </c>
      <c r="I241" s="1160" t="e">
        <f>IF(F241&gt;0,VLOOKUP(G241,acute_overview_adults!$C$412:$AH$510,24,FALSE)*1000,"")</f>
        <v>#NUM!</v>
      </c>
      <c r="J241" s="1131" t="e">
        <f>IF($K$6="not necessary",0,LARGE(acute_overview_children!$AD$412:$AD$514,ROW()-(ROW($B$230))))</f>
        <v>#NUM!</v>
      </c>
      <c r="K241" s="745" t="e">
        <f>IF(J241&gt;0,INDEX(acute_overview_children!$A$412:$AH$514,MATCH(J241,acute_overview_children!$AD$412:$AD$514,0),3),"")</f>
        <v>#NUM!</v>
      </c>
      <c r="L241" s="755" t="e">
        <f>IF(J241=0,0,CONCATENATE(ROUND(VLOOKUP(K241,acute_overview_children!$C$412:$AH$514,3,FALSE),2)," / ",(ROUND(VLOOKUP(K241,acute_overview_children!$C$412:$AH$514,6,FALSE),2))))</f>
        <v>#NUM!</v>
      </c>
      <c r="M241" s="755" t="e">
        <f>IF(J241&gt;0,VLOOKUP(K241,acute_overview_children!$C$412:$AH$507,27,FALSE)*1000,"")</f>
        <v>#NUM!</v>
      </c>
      <c r="N241" s="766" t="e">
        <f>IF($K$6="not necessary",0,LARGE(acute_overview_adults!$AD$412:$AD$517,ROW()-(ROW(Results!$B$230))))</f>
        <v>#NUM!</v>
      </c>
      <c r="O241" s="745" t="e">
        <f>IF(Results!N241&gt;0,INDEX(acute_overview_adults!$A$412:$AH$517,MATCH(Results!N241,acute_overview_adults!$AD$412:$AD$517,0),3),"")</f>
        <v>#NUM!</v>
      </c>
      <c r="P241" s="755" t="e">
        <f>IF(N241=0,0,CONCATENATE(ROUND(VLOOKUP(O241,acute_overview_adults!$C$412:$AH$517,3,FALSE),2)," / ",(ROUND(VLOOKUP(O241,acute_overview_adults!$C$412:$AH$517,6,FALSE),2))))</f>
        <v>#NUM!</v>
      </c>
      <c r="Q241" s="755" t="e">
        <f>IF(N241&gt;0,VLOOKUP(O241,acute_overview_adults!$C$412:$AH$510,27,FALSE)*1000,"")</f>
        <v>#NUM!</v>
      </c>
    </row>
    <row r="242" spans="1:17" ht="12" customHeight="1" x14ac:dyDescent="0.2">
      <c r="A242" s="850"/>
      <c r="B242" s="236" t="e">
        <f>IF($K$6="not necessary",0,LARGE(acute_overview_children!$AA$412:$AA$514,ROW()-(ROW(Results!$B$230))))</f>
        <v>#NUM!</v>
      </c>
      <c r="C242" s="543" t="e">
        <f>IF(Results!B242&gt;0,INDEX(acute_overview_children!$A$412:$AH$514,MATCH(Results!B242,acute_overview_children!$AA$412:$AA$514,0),3),"")</f>
        <v>#NUM!</v>
      </c>
      <c r="D242" s="253" t="e">
        <f>IF(B242=0,0,CONCATENATE(ROUND(VLOOKUP(C242,acute_overview_children!$C$412:$E$514,3,FALSE),2)," / ",(ROUND(VLOOKUP(C242,acute_overview_children!$C$412:$F$514,4,FALSE),2))))</f>
        <v>#NUM!</v>
      </c>
      <c r="E242" s="238" t="e">
        <f>IF(B242&gt;0,VLOOKUP(C242,acute_overview_children!$C$412:$AH$507,24,FALSE)*1000,"")</f>
        <v>#NUM!</v>
      </c>
      <c r="F242" s="546" t="e">
        <f>IF($K$6="not necessary",0,LARGE(acute_overview_adults!$AA$412:$AA$493,ROW()-(ROW($B$230))))</f>
        <v>#NUM!</v>
      </c>
      <c r="G242" s="237" t="e">
        <f>IF(F242&gt;0,INDEX(acute_overview_adults!$A$412:$AH$517,MATCH(F242,acute_overview_adults!$AA$412:$AA$517,0),3),"")</f>
        <v>#NUM!</v>
      </c>
      <c r="H242" s="259" t="e">
        <f>IF(F242=0,0,CONCATENATE(ROUND(VLOOKUP(G242,acute_overview_adults!$C$412:$E$517,3,FALSE),2)," / ",(ROUND(VLOOKUP(G242,acute_overview_adults!$C$412:$F$517,4,FALSE),2))))</f>
        <v>#NUM!</v>
      </c>
      <c r="I242" s="1160" t="e">
        <f>IF(F242&gt;0,VLOOKUP(G242,acute_overview_adults!$C$412:$AH$510,24,FALSE)*1000,"")</f>
        <v>#NUM!</v>
      </c>
      <c r="J242" s="1131" t="e">
        <f>IF($K$6="not necessary",0,LARGE(acute_overview_children!$AD$412:$AD$514,ROW()-(ROW($B$230))))</f>
        <v>#NUM!</v>
      </c>
      <c r="K242" s="745" t="e">
        <f>IF(J242&gt;0,INDEX(acute_overview_children!$A$412:$AH$514,MATCH(J242,acute_overview_children!$AD$412:$AD$514,0),3),"")</f>
        <v>#NUM!</v>
      </c>
      <c r="L242" s="755" t="e">
        <f>IF(J242=0,0,CONCATENATE(ROUND(VLOOKUP(K242,acute_overview_children!$C$412:$AH$514,3,FALSE),2)," / ",(ROUND(VLOOKUP(K242,acute_overview_children!$C$412:$AH$514,6,FALSE),2))))</f>
        <v>#NUM!</v>
      </c>
      <c r="M242" s="755" t="e">
        <f>IF(J242&gt;0,VLOOKUP(K242,acute_overview_children!$C$412:$AH$507,27,FALSE)*1000,"")</f>
        <v>#NUM!</v>
      </c>
      <c r="N242" s="766" t="e">
        <f>IF($K$6="not necessary",0,LARGE(acute_overview_adults!$AD$412:$AD$517,ROW()-(ROW(Results!$B$230))))</f>
        <v>#NUM!</v>
      </c>
      <c r="O242" s="745" t="e">
        <f>IF(Results!N242&gt;0,INDEX(acute_overview_adults!$A$412:$AH$517,MATCH(Results!N242,acute_overview_adults!$AD$412:$AD$517,0),3),"")</f>
        <v>#NUM!</v>
      </c>
      <c r="P242" s="755" t="e">
        <f>IF(N242=0,0,CONCATENATE(ROUND(VLOOKUP(O242,acute_overview_adults!$C$412:$AH$517,3,FALSE),2)," / ",(ROUND(VLOOKUP(O242,acute_overview_adults!$C$412:$AH$517,6,FALSE),2))))</f>
        <v>#NUM!</v>
      </c>
      <c r="Q242" s="755" t="e">
        <f>IF(N242&gt;0,VLOOKUP(O242,acute_overview_adults!$C$412:$AH$510,27,FALSE)*1000,"")</f>
        <v>#NUM!</v>
      </c>
    </row>
    <row r="243" spans="1:17" ht="12" customHeight="1" x14ac:dyDescent="0.2">
      <c r="A243" s="850"/>
      <c r="B243" s="236" t="e">
        <f>IF($K$6="not necessary",0,LARGE(acute_overview_children!$AA$412:$AA$514,ROW()-(ROW(Results!$B$230))))</f>
        <v>#NUM!</v>
      </c>
      <c r="C243" s="543" t="e">
        <f>IF(Results!B243&gt;0,INDEX(acute_overview_children!$A$412:$AH$514,MATCH(Results!B243,acute_overview_children!$AA$412:$AA$514,0),3),"")</f>
        <v>#NUM!</v>
      </c>
      <c r="D243" s="253" t="e">
        <f>IF(B243=0,0,CONCATENATE(ROUND(VLOOKUP(C243,acute_overview_children!$C$412:$E$514,3,FALSE),2)," / ",(ROUND(VLOOKUP(C243,acute_overview_children!$C$412:$F$514,4,FALSE),2))))</f>
        <v>#NUM!</v>
      </c>
      <c r="E243" s="238" t="e">
        <f>IF(B243&gt;0,VLOOKUP(C243,acute_overview_children!$C$412:$AH$507,24,FALSE)*1000,"")</f>
        <v>#NUM!</v>
      </c>
      <c r="F243" s="546" t="e">
        <f>IF($K$6="not necessary",0,LARGE(acute_overview_adults!$AA$412:$AA$493,ROW()-(ROW($B$230))))</f>
        <v>#NUM!</v>
      </c>
      <c r="G243" s="237" t="e">
        <f>IF(F243&gt;0,INDEX(acute_overview_adults!$A$412:$AH$517,MATCH(F243,acute_overview_adults!$AA$412:$AA$517,0),3),"")</f>
        <v>#NUM!</v>
      </c>
      <c r="H243" s="259" t="e">
        <f>IF(F243=0,0,CONCATENATE(ROUND(VLOOKUP(G243,acute_overview_adults!$C$412:$E$517,3,FALSE),2)," / ",(ROUND(VLOOKUP(G243,acute_overview_adults!$C$412:$F$517,4,FALSE),2))))</f>
        <v>#NUM!</v>
      </c>
      <c r="I243" s="1160" t="e">
        <f>IF(F243&gt;0,VLOOKUP(G243,acute_overview_adults!$C$412:$AH$510,24,FALSE)*1000,"")</f>
        <v>#NUM!</v>
      </c>
      <c r="J243" s="1131" t="e">
        <f>IF($K$6="not necessary",0,LARGE(acute_overview_children!$AD$412:$AD$514,ROW()-(ROW($B$230))))</f>
        <v>#NUM!</v>
      </c>
      <c r="K243" s="745" t="e">
        <f>IF(J243&gt;0,INDEX(acute_overview_children!$A$412:$AH$514,MATCH(J243,acute_overview_children!$AD$412:$AD$514,0),3),"")</f>
        <v>#NUM!</v>
      </c>
      <c r="L243" s="755" t="e">
        <f>IF(J243=0,0,CONCATENATE(ROUND(VLOOKUP(K243,acute_overview_children!$C$412:$AH$514,3,FALSE),2)," / ",(ROUND(VLOOKUP(K243,acute_overview_children!$C$412:$AH$514,6,FALSE),2))))</f>
        <v>#NUM!</v>
      </c>
      <c r="M243" s="755" t="e">
        <f>IF(J243&gt;0,VLOOKUP(K243,acute_overview_children!$C$412:$AH$507,27,FALSE)*1000,"")</f>
        <v>#NUM!</v>
      </c>
      <c r="N243" s="766" t="e">
        <f>IF($K$6="not necessary",0,LARGE(acute_overview_adults!$AD$412:$AD$517,ROW()-(ROW(Results!$B$230))))</f>
        <v>#NUM!</v>
      </c>
      <c r="O243" s="745" t="e">
        <f>IF(Results!N243&gt;0,INDEX(acute_overview_adults!$A$412:$AH$517,MATCH(Results!N243,acute_overview_adults!$AD$412:$AD$517,0),3),"")</f>
        <v>#NUM!</v>
      </c>
      <c r="P243" s="755" t="e">
        <f>IF(N243=0,0,CONCATENATE(ROUND(VLOOKUP(O243,acute_overview_adults!$C$412:$AH$517,3,FALSE),2)," / ",(ROUND(VLOOKUP(O243,acute_overview_adults!$C$412:$AH$517,6,FALSE),2))))</f>
        <v>#NUM!</v>
      </c>
      <c r="Q243" s="755" t="e">
        <f>IF(N243&gt;0,VLOOKUP(O243,acute_overview_adults!$C$412:$AH$510,27,FALSE)*1000,"")</f>
        <v>#NUM!</v>
      </c>
    </row>
    <row r="244" spans="1:17" ht="12" customHeight="1" x14ac:dyDescent="0.2">
      <c r="A244" s="850"/>
      <c r="B244" s="236" t="e">
        <f>IF($K$6="not necessary",0,LARGE(acute_overview_children!$AA$412:$AA$514,ROW()-(ROW(Results!$B$230))))</f>
        <v>#NUM!</v>
      </c>
      <c r="C244" s="543" t="e">
        <f>IF(Results!B244&gt;0,INDEX(acute_overview_children!$A$412:$AH$514,MATCH(Results!B244,acute_overview_children!$AA$412:$AA$514,0),3),"")</f>
        <v>#NUM!</v>
      </c>
      <c r="D244" s="253" t="e">
        <f>IF(B244=0,0,CONCATENATE(ROUND(VLOOKUP(C244,acute_overview_children!$C$412:$E$514,3,FALSE),2)," / ",(ROUND(VLOOKUP(C244,acute_overview_children!$C$412:$F$514,4,FALSE),2))))</f>
        <v>#NUM!</v>
      </c>
      <c r="E244" s="238" t="e">
        <f>IF(B244&gt;0,VLOOKUP(C244,acute_overview_children!$C$412:$AH$507,24,FALSE)*1000,"")</f>
        <v>#NUM!</v>
      </c>
      <c r="F244" s="546" t="e">
        <f>IF($K$6="not necessary",0,LARGE(acute_overview_adults!$AA$412:$AA$493,ROW()-(ROW($B$230))))</f>
        <v>#NUM!</v>
      </c>
      <c r="G244" s="237" t="e">
        <f>IF(F244&gt;0,INDEX(acute_overview_adults!$A$412:$AH$517,MATCH(F244,acute_overview_adults!$AA$412:$AA$517,0),3),"")</f>
        <v>#NUM!</v>
      </c>
      <c r="H244" s="259" t="e">
        <f>IF(F244=0,0,CONCATENATE(ROUND(VLOOKUP(G244,acute_overview_adults!$C$412:$E$517,3,FALSE),2)," / ",(ROUND(VLOOKUP(G244,acute_overview_adults!$C$412:$F$517,4,FALSE),2))))</f>
        <v>#NUM!</v>
      </c>
      <c r="I244" s="1160" t="e">
        <f>IF(F244&gt;0,VLOOKUP(G244,acute_overview_adults!$C$412:$AH$510,24,FALSE)*1000,"")</f>
        <v>#NUM!</v>
      </c>
      <c r="J244" s="1131" t="e">
        <f>IF($K$6="not necessary",0,LARGE(acute_overview_children!$AD$412:$AD$514,ROW()-(ROW($B$230))))</f>
        <v>#NUM!</v>
      </c>
      <c r="K244" s="745" t="e">
        <f>IF(J244&gt;0,INDEX(acute_overview_children!$A$412:$AH$514,MATCH(J244,acute_overview_children!$AD$412:$AD$514,0),3),"")</f>
        <v>#NUM!</v>
      </c>
      <c r="L244" s="755" t="e">
        <f>IF(J244=0,0,CONCATENATE(ROUND(VLOOKUP(K244,acute_overview_children!$C$412:$AH$514,3,FALSE),2)," / ",(ROUND(VLOOKUP(K244,acute_overview_children!$C$412:$AH$514,6,FALSE),2))))</f>
        <v>#NUM!</v>
      </c>
      <c r="M244" s="755" t="e">
        <f>IF(J244&gt;0,VLOOKUP(K244,acute_overview_children!$C$412:$AH$507,27,FALSE)*1000,"")</f>
        <v>#NUM!</v>
      </c>
      <c r="N244" s="766" t="e">
        <f>IF($K$6="not necessary",0,LARGE(acute_overview_adults!$AD$412:$AD$517,ROW()-(ROW(Results!$B$230))))</f>
        <v>#NUM!</v>
      </c>
      <c r="O244" s="745" t="e">
        <f>IF(Results!N244&gt;0,INDEX(acute_overview_adults!$A$412:$AH$517,MATCH(Results!N244,acute_overview_adults!$AD$412:$AD$517,0),3),"")</f>
        <v>#NUM!</v>
      </c>
      <c r="P244" s="755" t="e">
        <f>IF(N244=0,0,CONCATENATE(ROUND(VLOOKUP(O244,acute_overview_adults!$C$412:$AH$517,3,FALSE),2)," / ",(ROUND(VLOOKUP(O244,acute_overview_adults!$C$412:$AH$517,6,FALSE),2))))</f>
        <v>#NUM!</v>
      </c>
      <c r="Q244" s="755" t="e">
        <f>IF(N244&gt;0,VLOOKUP(O244,acute_overview_adults!$C$412:$AH$510,27,FALSE)*1000,"")</f>
        <v>#NUM!</v>
      </c>
    </row>
    <row r="245" spans="1:17" ht="12" customHeight="1" x14ac:dyDescent="0.2">
      <c r="A245" s="850"/>
      <c r="B245" s="236" t="e">
        <f>IF($K$6="not necessary",0,LARGE(acute_overview_children!$AA$412:$AA$514,ROW()-(ROW(Results!$B$230))))</f>
        <v>#NUM!</v>
      </c>
      <c r="C245" s="543" t="e">
        <f>IF(Results!B245&gt;0,INDEX(acute_overview_children!$A$412:$AH$514,MATCH(Results!B245,acute_overview_children!$AA$412:$AA$514,0),3),"")</f>
        <v>#NUM!</v>
      </c>
      <c r="D245" s="253" t="e">
        <f>IF(B245=0,0,CONCATENATE(ROUND(VLOOKUP(C245,acute_overview_children!$C$412:$E$514,3,FALSE),2)," / ",(ROUND(VLOOKUP(C245,acute_overview_children!$C$412:$F$514,4,FALSE),2))))</f>
        <v>#NUM!</v>
      </c>
      <c r="E245" s="238" t="e">
        <f>IF(B245&gt;0,VLOOKUP(C245,acute_overview_children!$C$412:$AH$507,24,FALSE)*1000,"")</f>
        <v>#NUM!</v>
      </c>
      <c r="F245" s="546" t="e">
        <f>IF($K$6="not necessary",0,LARGE(acute_overview_adults!$AA$412:$AA$493,ROW()-(ROW($B$230))))</f>
        <v>#NUM!</v>
      </c>
      <c r="G245" s="237" t="e">
        <f>IF(F245&gt;0,INDEX(acute_overview_adults!$A$412:$AH$517,MATCH(F245,acute_overview_adults!$AA$412:$AA$517,0),3),"")</f>
        <v>#NUM!</v>
      </c>
      <c r="H245" s="259" t="e">
        <f>IF(F245=0,0,CONCATENATE(ROUND(VLOOKUP(G245,acute_overview_adults!$C$412:$E$517,3,FALSE),2)," / ",(ROUND(VLOOKUP(G245,acute_overview_adults!$C$412:$F$517,4,FALSE),2))))</f>
        <v>#NUM!</v>
      </c>
      <c r="I245" s="1160" t="e">
        <f>IF(F245&gt;0,VLOOKUP(G245,acute_overview_adults!$C$412:$AH$510,24,FALSE)*1000,"")</f>
        <v>#NUM!</v>
      </c>
      <c r="J245" s="1131" t="e">
        <f>IF($K$6="not necessary",0,LARGE(acute_overview_children!$AD$412:$AD$514,ROW()-(ROW($B$230))))</f>
        <v>#NUM!</v>
      </c>
      <c r="K245" s="745" t="e">
        <f>IF(J245&gt;0,INDEX(acute_overview_children!$A$412:$AH$514,MATCH(J245,acute_overview_children!$AD$412:$AD$514,0),3),"")</f>
        <v>#NUM!</v>
      </c>
      <c r="L245" s="755" t="e">
        <f>IF(J245=0,0,CONCATENATE(ROUND(VLOOKUP(K245,acute_overview_children!$C$412:$AH$514,3,FALSE),2)," / ",(ROUND(VLOOKUP(K245,acute_overview_children!$C$412:$AH$514,6,FALSE),2))))</f>
        <v>#NUM!</v>
      </c>
      <c r="M245" s="755" t="e">
        <f>IF(J245&gt;0,VLOOKUP(K245,acute_overview_children!$C$412:$AH$507,27,FALSE)*1000,"")</f>
        <v>#NUM!</v>
      </c>
      <c r="N245" s="766" t="e">
        <f>IF($K$6="not necessary",0,LARGE(acute_overview_adults!$AD$412:$AD$517,ROW()-(ROW(Results!$B$230))))</f>
        <v>#NUM!</v>
      </c>
      <c r="O245" s="745" t="e">
        <f>IF(Results!N245&gt;0,INDEX(acute_overview_adults!$A$412:$AH$517,MATCH(Results!N245,acute_overview_adults!$AD$412:$AD$517,0),3),"")</f>
        <v>#NUM!</v>
      </c>
      <c r="P245" s="755" t="e">
        <f>IF(N245=0,0,CONCATENATE(ROUND(VLOOKUP(O245,acute_overview_adults!$C$412:$AH$517,3,FALSE),2)," / ",(ROUND(VLOOKUP(O245,acute_overview_adults!$C$412:$AH$517,6,FALSE),2))))</f>
        <v>#NUM!</v>
      </c>
      <c r="Q245" s="755" t="e">
        <f>IF(N245&gt;0,VLOOKUP(O245,acute_overview_adults!$C$412:$AH$510,27,FALSE)*1000,"")</f>
        <v>#NUM!</v>
      </c>
    </row>
    <row r="246" spans="1:17" ht="12" hidden="1" customHeight="1" outlineLevel="1" x14ac:dyDescent="0.2">
      <c r="A246" s="850"/>
      <c r="B246" s="236" t="e">
        <f>IF($K$6="not necessary",0,LARGE(acute_overview_children!$AA$412:$AA$514,ROW()-(ROW(Results!$B$230))))</f>
        <v>#NUM!</v>
      </c>
      <c r="C246" s="543" t="e">
        <f>IF(Results!B246&gt;0,INDEX(acute_overview_children!$A$412:$AH$514,MATCH(Results!B246,acute_overview_children!$AA$412:$AA$514,0),3),"")</f>
        <v>#NUM!</v>
      </c>
      <c r="D246" s="253" t="e">
        <f>IF(B246=0,0,CONCATENATE(ROUND(VLOOKUP(C246,acute_overview_children!$C$412:$E$514,3,FALSE),2)," / ",(ROUND(VLOOKUP(C246,acute_overview_children!$C$412:$F$514,4,FALSE),2))))</f>
        <v>#NUM!</v>
      </c>
      <c r="E246" s="238" t="e">
        <f>IF(B246&gt;0,VLOOKUP(C246,acute_overview_children!$C$412:$AH$507,24,FALSE)*1000,"")</f>
        <v>#NUM!</v>
      </c>
      <c r="F246" s="546" t="e">
        <f>IF($K$6="not necessary",0,LARGE(acute_overview_adults!$AA$412:$AA$493,ROW()-(ROW($B$230))))</f>
        <v>#NUM!</v>
      </c>
      <c r="G246" s="237" t="e">
        <f>IF(F246&gt;0,INDEX(acute_overview_adults!$A$412:$AH$517,MATCH(F246,acute_overview_adults!$AA$412:$AA$517,0),3),"")</f>
        <v>#NUM!</v>
      </c>
      <c r="H246" s="259" t="e">
        <f>IF(F246=0,0,CONCATENATE(ROUND(VLOOKUP(G246,acute_overview_adults!$C$412:$E$517,3,FALSE),2)," / ",(ROUND(VLOOKUP(G246,acute_overview_adults!$C$412:$F$517,4,FALSE),2))))</f>
        <v>#NUM!</v>
      </c>
      <c r="I246" s="1160" t="e">
        <f>IF(F246&gt;0,VLOOKUP(G246,acute_overview_adults!$C$412:$AH$510,24,FALSE)*1000,"")</f>
        <v>#NUM!</v>
      </c>
      <c r="J246" s="1131" t="e">
        <f>IF($K$6="not necessary",0,LARGE(acute_overview_children!$AD$412:$AD$514,ROW()-(ROW($B$230))))</f>
        <v>#NUM!</v>
      </c>
      <c r="K246" s="745" t="e">
        <f>IF(J246&gt;0,INDEX(acute_overview_children!$A$412:$AH$514,MATCH(J246,acute_overview_children!$AD$412:$AD$514,0),3),"")</f>
        <v>#NUM!</v>
      </c>
      <c r="L246" s="755" t="e">
        <f>IF(J246=0,0,CONCATENATE(ROUND(VLOOKUP(K246,acute_overview_children!$C$412:$AH$514,3,FALSE),2)," / ",(ROUND(VLOOKUP(K246,acute_overview_children!$C$412:$AH$514,6,FALSE),2))))</f>
        <v>#NUM!</v>
      </c>
      <c r="M246" s="755" t="e">
        <f>IF(J246&gt;0,VLOOKUP(K246,acute_overview_children!$C$412:$AH$507,27,FALSE)*1000,"")</f>
        <v>#NUM!</v>
      </c>
      <c r="N246" s="766" t="e">
        <f>IF($K$6="not necessary",0,LARGE(acute_overview_adults!$AD$412:$AD$517,ROW()-(ROW(Results!$B$230))))</f>
        <v>#NUM!</v>
      </c>
      <c r="O246" s="745" t="e">
        <f>IF(Results!N246&gt;0,INDEX(acute_overview_adults!$A$412:$AH$517,MATCH(Results!N246,acute_overview_adults!$AD$412:$AD$517,0),3),"")</f>
        <v>#NUM!</v>
      </c>
      <c r="P246" s="755" t="e">
        <f>IF(N246=0,0,CONCATENATE(ROUND(VLOOKUP(O246,acute_overview_adults!$C$412:$AH$517,3,FALSE),2)," / ",(ROUND(VLOOKUP(O246,acute_overview_adults!$C$412:$AH$517,6,FALSE),2))))</f>
        <v>#NUM!</v>
      </c>
      <c r="Q246" s="755" t="e">
        <f>IF(N246&gt;0,VLOOKUP(O246,acute_overview_adults!$C$412:$AH$510,27,FALSE)*1000,"")</f>
        <v>#NUM!</v>
      </c>
    </row>
    <row r="247" spans="1:17" ht="12" hidden="1" customHeight="1" outlineLevel="1" x14ac:dyDescent="0.2">
      <c r="A247" s="850"/>
      <c r="B247" s="236" t="e">
        <f>IF($K$6="not necessary",0,LARGE(acute_overview_children!$AA$412:$AA$514,ROW()-(ROW(Results!$B$230))))</f>
        <v>#NUM!</v>
      </c>
      <c r="C247" s="543" t="e">
        <f>IF(Results!B247&gt;0,INDEX(acute_overview_children!$A$412:$AH$514,MATCH(Results!B247,acute_overview_children!$AA$412:$AA$514,0),3),"")</f>
        <v>#NUM!</v>
      </c>
      <c r="D247" s="253" t="e">
        <f>IF(B247=0,0,CONCATENATE(ROUND(VLOOKUP(C247,acute_overview_children!$C$412:$E$514,3,FALSE),2)," / ",(ROUND(VLOOKUP(C247,acute_overview_children!$C$412:$F$514,4,FALSE),2))))</f>
        <v>#NUM!</v>
      </c>
      <c r="E247" s="238" t="e">
        <f>IF(B247&gt;0,VLOOKUP(C247,acute_overview_children!$C$412:$AH$507,24,FALSE)*1000,"")</f>
        <v>#NUM!</v>
      </c>
      <c r="F247" s="546" t="e">
        <f>IF($K$6="not necessary",0,LARGE(acute_overview_adults!$AA$412:$AA$493,ROW()-(ROW($B$230))))</f>
        <v>#NUM!</v>
      </c>
      <c r="G247" s="237" t="e">
        <f>IF(F247&gt;0,INDEX(acute_overview_adults!$A$412:$AH$517,MATCH(F247,acute_overview_adults!$AA$412:$AA$517,0),3),"")</f>
        <v>#NUM!</v>
      </c>
      <c r="H247" s="259" t="e">
        <f>IF(F247=0,0,CONCATENATE(ROUND(VLOOKUP(G247,acute_overview_adults!$C$412:$E$517,3,FALSE),2)," / ",(ROUND(VLOOKUP(G247,acute_overview_adults!$C$412:$F$517,4,FALSE),2))))</f>
        <v>#NUM!</v>
      </c>
      <c r="I247" s="1160" t="e">
        <f>IF(F247&gt;0,VLOOKUP(G247,acute_overview_adults!$C$412:$AH$510,24,FALSE)*1000,"")</f>
        <v>#NUM!</v>
      </c>
      <c r="J247" s="1131" t="e">
        <f>IF($K$6="not necessary",0,LARGE(acute_overview_children!$AD$412:$AD$514,ROW()-(ROW($B$230))))</f>
        <v>#NUM!</v>
      </c>
      <c r="K247" s="745" t="e">
        <f>IF(J247&gt;0,INDEX(acute_overview_children!$A$412:$AH$514,MATCH(J247,acute_overview_children!$AD$412:$AD$514,0),3),"")</f>
        <v>#NUM!</v>
      </c>
      <c r="L247" s="755" t="e">
        <f>IF(J247=0,0,CONCATENATE(ROUND(VLOOKUP(K247,acute_overview_children!$C$412:$AH$514,3,FALSE),2)," / ",(ROUND(VLOOKUP(K247,acute_overview_children!$C$412:$AH$514,6,FALSE),2))))</f>
        <v>#NUM!</v>
      </c>
      <c r="M247" s="755" t="e">
        <f>IF(J247&gt;0,VLOOKUP(K247,acute_overview_children!$C$412:$AH$507,27,FALSE)*1000,"")</f>
        <v>#NUM!</v>
      </c>
      <c r="N247" s="766" t="e">
        <f>IF($K$6="not necessary",0,LARGE(acute_overview_adults!$AD$412:$AD$517,ROW()-(ROW(Results!$B$230))))</f>
        <v>#NUM!</v>
      </c>
      <c r="O247" s="745" t="e">
        <f>IF(Results!N247&gt;0,INDEX(acute_overview_adults!$A$412:$AH$517,MATCH(Results!N247,acute_overview_adults!$AD$412:$AD$517,0),3),"")</f>
        <v>#NUM!</v>
      </c>
      <c r="P247" s="755" t="e">
        <f>IF(N247=0,0,CONCATENATE(ROUND(VLOOKUP(O247,acute_overview_adults!$C$412:$AH$517,3,FALSE),2)," / ",(ROUND(VLOOKUP(O247,acute_overview_adults!$C$412:$AH$517,6,FALSE),2))))</f>
        <v>#NUM!</v>
      </c>
      <c r="Q247" s="755" t="e">
        <f>IF(N247&gt;0,VLOOKUP(O247,acute_overview_adults!$C$412:$AH$510,27,FALSE)*1000,"")</f>
        <v>#NUM!</v>
      </c>
    </row>
    <row r="248" spans="1:17" ht="12" hidden="1" customHeight="1" outlineLevel="1" x14ac:dyDescent="0.2">
      <c r="A248" s="850"/>
      <c r="B248" s="236" t="e">
        <f>IF($K$6="not necessary",0,LARGE(acute_overview_children!$AA$412:$AA$514,ROW()-(ROW(Results!$B$230))))</f>
        <v>#NUM!</v>
      </c>
      <c r="C248" s="543" t="e">
        <f>IF(Results!B248&gt;0,INDEX(acute_overview_children!$A$412:$AH$514,MATCH(Results!B248,acute_overview_children!$AA$412:$AA$514,0),3),"")</f>
        <v>#NUM!</v>
      </c>
      <c r="D248" s="253" t="e">
        <f>IF(B248=0,0,CONCATENATE(ROUND(VLOOKUP(C248,acute_overview_children!$C$412:$E$514,3,FALSE),2)," / ",(ROUND(VLOOKUP(C248,acute_overview_children!$C$412:$F$514,4,FALSE),2))))</f>
        <v>#NUM!</v>
      </c>
      <c r="E248" s="238" t="e">
        <f>IF(B248&gt;0,VLOOKUP(C248,acute_overview_children!$C$412:$AH$507,24,FALSE)*1000,"")</f>
        <v>#NUM!</v>
      </c>
      <c r="F248" s="546" t="e">
        <f>IF($K$6="not necessary",0,LARGE(acute_overview_adults!$AA$412:$AA$493,ROW()-(ROW($B$230))))</f>
        <v>#NUM!</v>
      </c>
      <c r="G248" s="237" t="e">
        <f>IF(F248&gt;0,INDEX(acute_overview_adults!$A$412:$AH$517,MATCH(F248,acute_overview_adults!$AA$412:$AA$517,0),3),"")</f>
        <v>#NUM!</v>
      </c>
      <c r="H248" s="259" t="e">
        <f>IF(F248=0,0,CONCATENATE(ROUND(VLOOKUP(G248,acute_overview_adults!$C$412:$E$517,3,FALSE),2)," / ",(ROUND(VLOOKUP(G248,acute_overview_adults!$C$412:$F$517,4,FALSE),2))))</f>
        <v>#NUM!</v>
      </c>
      <c r="I248" s="1160" t="e">
        <f>IF(F248&gt;0,VLOOKUP(G248,acute_overview_adults!$C$412:$AH$510,24,FALSE)*1000,"")</f>
        <v>#NUM!</v>
      </c>
      <c r="J248" s="1131" t="e">
        <f>IF($K$6="not necessary",0,LARGE(acute_overview_children!$AD$412:$AD$514,ROW()-(ROW($B$230))))</f>
        <v>#NUM!</v>
      </c>
      <c r="K248" s="745" t="e">
        <f>IF(J248&gt;0,INDEX(acute_overview_children!$A$412:$AH$514,MATCH(J248,acute_overview_children!$AD$412:$AD$514,0),3),"")</f>
        <v>#NUM!</v>
      </c>
      <c r="L248" s="755" t="e">
        <f>IF(J248=0,0,CONCATENATE(ROUND(VLOOKUP(K248,acute_overview_children!$C$412:$AH$514,3,FALSE),2)," / ",(ROUND(VLOOKUP(K248,acute_overview_children!$C$412:$AH$514,6,FALSE),2))))</f>
        <v>#NUM!</v>
      </c>
      <c r="M248" s="755" t="e">
        <f>IF(J248&gt;0,VLOOKUP(K248,acute_overview_children!$C$412:$AH$507,27,FALSE)*1000,"")</f>
        <v>#NUM!</v>
      </c>
      <c r="N248" s="766" t="e">
        <f>IF($K$6="not necessary",0,LARGE(acute_overview_adults!$AD$412:$AD$517,ROW()-(ROW(Results!$B$230))))</f>
        <v>#NUM!</v>
      </c>
      <c r="O248" s="745" t="e">
        <f>IF(Results!N248&gt;0,INDEX(acute_overview_adults!$A$412:$AH$517,MATCH(Results!N248,acute_overview_adults!$AD$412:$AD$517,0),3),"")</f>
        <v>#NUM!</v>
      </c>
      <c r="P248" s="755" t="e">
        <f>IF(N248=0,0,CONCATENATE(ROUND(VLOOKUP(O248,acute_overview_adults!$C$412:$AH$517,3,FALSE),2)," / ",(ROUND(VLOOKUP(O248,acute_overview_adults!$C$412:$AH$517,6,FALSE),2))))</f>
        <v>#NUM!</v>
      </c>
      <c r="Q248" s="755" t="e">
        <f>IF(N248&gt;0,VLOOKUP(O248,acute_overview_adults!$C$412:$AH$510,27,FALSE)*1000,"")</f>
        <v>#NUM!</v>
      </c>
    </row>
    <row r="249" spans="1:17" ht="12" hidden="1" customHeight="1" outlineLevel="1" x14ac:dyDescent="0.2">
      <c r="A249" s="850"/>
      <c r="B249" s="236" t="e">
        <f>IF($K$6="not necessary",0,LARGE(acute_overview_children!$AA$412:$AA$514,ROW()-(ROW(Results!$B$230))))</f>
        <v>#NUM!</v>
      </c>
      <c r="C249" s="543" t="e">
        <f>IF(Results!B249&gt;0,INDEX(acute_overview_children!$A$412:$AH$514,MATCH(Results!B249,acute_overview_children!$AA$412:$AA$514,0),3),"")</f>
        <v>#NUM!</v>
      </c>
      <c r="D249" s="253" t="e">
        <f>IF(B249=0,0,CONCATENATE(ROUND(VLOOKUP(C249,acute_overview_children!$C$412:$E$514,3,FALSE),2)," / ",(ROUND(VLOOKUP(C249,acute_overview_children!$C$412:$F$514,4,FALSE),2))))</f>
        <v>#NUM!</v>
      </c>
      <c r="E249" s="238" t="e">
        <f>IF(B249&gt;0,VLOOKUP(C249,acute_overview_children!$C$412:$AH$507,24,FALSE)*1000,"")</f>
        <v>#NUM!</v>
      </c>
      <c r="F249" s="546" t="e">
        <f>IF($K$6="not necessary",0,LARGE(acute_overview_adults!$AA$412:$AA$493,ROW()-(ROW($B$230))))</f>
        <v>#NUM!</v>
      </c>
      <c r="G249" s="237" t="e">
        <f>IF(F249&gt;0,INDEX(acute_overview_adults!$A$412:$AH$517,MATCH(F249,acute_overview_adults!$AA$412:$AA$517,0),3),"")</f>
        <v>#NUM!</v>
      </c>
      <c r="H249" s="259" t="e">
        <f>IF(F249=0,0,CONCATENATE(ROUND(VLOOKUP(G249,acute_overview_adults!$C$412:$E$517,3,FALSE),2)," / ",(ROUND(VLOOKUP(G249,acute_overview_adults!$C$412:$F$517,4,FALSE),2))))</f>
        <v>#NUM!</v>
      </c>
      <c r="I249" s="1160" t="e">
        <f>IF(F249&gt;0,VLOOKUP(G249,acute_overview_adults!$C$412:$AH$510,24,FALSE)*1000,"")</f>
        <v>#NUM!</v>
      </c>
      <c r="J249" s="1131" t="e">
        <f>IF($K$6="not necessary",0,LARGE(acute_overview_children!$AD$412:$AD$514,ROW()-(ROW($B$230))))</f>
        <v>#NUM!</v>
      </c>
      <c r="K249" s="745" t="e">
        <f>IF(J249&gt;0,INDEX(acute_overview_children!$A$412:$AH$514,MATCH(J249,acute_overview_children!$AD$412:$AD$514,0),3),"")</f>
        <v>#NUM!</v>
      </c>
      <c r="L249" s="755" t="e">
        <f>IF(J249=0,0,CONCATENATE(ROUND(VLOOKUP(K249,acute_overview_children!$C$412:$AH$514,3,FALSE),2)," / ",(ROUND(VLOOKUP(K249,acute_overview_children!$C$412:$AH$514,6,FALSE),2))))</f>
        <v>#NUM!</v>
      </c>
      <c r="M249" s="755" t="e">
        <f>IF(J249&gt;0,VLOOKUP(K249,acute_overview_children!$C$412:$AH$507,27,FALSE)*1000,"")</f>
        <v>#NUM!</v>
      </c>
      <c r="N249" s="766" t="e">
        <f>IF($K$6="not necessary",0,LARGE(acute_overview_adults!$AD$412:$AD$517,ROW()-(ROW(Results!$B$230))))</f>
        <v>#NUM!</v>
      </c>
      <c r="O249" s="745" t="e">
        <f>IF(Results!N249&gt;0,INDEX(acute_overview_adults!$A$412:$AH$517,MATCH(Results!N249,acute_overview_adults!$AD$412:$AD$517,0),3),"")</f>
        <v>#NUM!</v>
      </c>
      <c r="P249" s="755" t="e">
        <f>IF(N249=0,0,CONCATENATE(ROUND(VLOOKUP(O249,acute_overview_adults!$C$412:$AH$517,3,FALSE),2)," / ",(ROUND(VLOOKUP(O249,acute_overview_adults!$C$412:$AH$517,6,FALSE),2))))</f>
        <v>#NUM!</v>
      </c>
      <c r="Q249" s="755" t="e">
        <f>IF(N249&gt;0,VLOOKUP(O249,acute_overview_adults!$C$412:$AH$510,27,FALSE)*1000,"")</f>
        <v>#NUM!</v>
      </c>
    </row>
    <row r="250" spans="1:17" ht="12" hidden="1" customHeight="1" outlineLevel="1" x14ac:dyDescent="0.2">
      <c r="A250" s="850"/>
      <c r="B250" s="236" t="e">
        <f>IF($K$6="not necessary",0,LARGE(acute_overview_children!$AA$412:$AA$514,ROW()-(ROW(Results!$B$230))))</f>
        <v>#NUM!</v>
      </c>
      <c r="C250" s="543" t="e">
        <f>IF(Results!B250&gt;0,INDEX(acute_overview_children!$A$412:$AH$514,MATCH(Results!B250,acute_overview_children!$AA$412:$AA$514,0),3),"")</f>
        <v>#NUM!</v>
      </c>
      <c r="D250" s="253" t="e">
        <f>IF(B250=0,0,CONCATENATE(ROUND(VLOOKUP(C250,acute_overview_children!$C$412:$E$514,3,FALSE),2)," / ",(ROUND(VLOOKUP(C250,acute_overview_children!$C$412:$F$514,4,FALSE),2))))</f>
        <v>#NUM!</v>
      </c>
      <c r="E250" s="238" t="e">
        <f>IF(B250&gt;0,VLOOKUP(C250,acute_overview_children!$C$412:$AH$507,24,FALSE)*1000,"")</f>
        <v>#NUM!</v>
      </c>
      <c r="F250" s="546" t="e">
        <f>IF($K$6="not necessary",0,LARGE(acute_overview_adults!$AA$412:$AA$493,ROW()-(ROW($B$230))))</f>
        <v>#NUM!</v>
      </c>
      <c r="G250" s="237" t="e">
        <f>IF(F250&gt;0,INDEX(acute_overview_adults!$A$412:$AH$517,MATCH(F250,acute_overview_adults!$AA$412:$AA$517,0),3),"")</f>
        <v>#NUM!</v>
      </c>
      <c r="H250" s="259" t="e">
        <f>IF(F250=0,0,CONCATENATE(ROUND(VLOOKUP(G250,acute_overview_adults!$C$412:$E$517,3,FALSE),2)," / ",(ROUND(VLOOKUP(G250,acute_overview_adults!$C$412:$F$517,4,FALSE),2))))</f>
        <v>#NUM!</v>
      </c>
      <c r="I250" s="1160" t="e">
        <f>IF(F250&gt;0,VLOOKUP(G250,acute_overview_adults!$C$412:$AH$510,24,FALSE)*1000,"")</f>
        <v>#NUM!</v>
      </c>
      <c r="J250" s="1131" t="e">
        <f>IF($K$6="not necessary",0,LARGE(acute_overview_children!$AD$412:$AD$514,ROW()-(ROW($B$230))))</f>
        <v>#NUM!</v>
      </c>
      <c r="K250" s="745" t="e">
        <f>IF(J250&gt;0,INDEX(acute_overview_children!$A$412:$AH$514,MATCH(J250,acute_overview_children!$AD$412:$AD$514,0),3),"")</f>
        <v>#NUM!</v>
      </c>
      <c r="L250" s="755" t="e">
        <f>IF(J250=0,0,CONCATENATE(ROUND(VLOOKUP(K250,acute_overview_children!$C$412:$AH$514,3,FALSE),2)," / ",(ROUND(VLOOKUP(K250,acute_overview_children!$C$412:$AH$514,6,FALSE),2))))</f>
        <v>#NUM!</v>
      </c>
      <c r="M250" s="755" t="e">
        <f>IF(J250&gt;0,VLOOKUP(K250,acute_overview_children!$C$412:$AH$507,27,FALSE)*1000,"")</f>
        <v>#NUM!</v>
      </c>
      <c r="N250" s="766" t="e">
        <f>IF($K$6="not necessary",0,LARGE(acute_overview_adults!$AD$412:$AD$517,ROW()-(ROW(Results!$B$230))))</f>
        <v>#NUM!</v>
      </c>
      <c r="O250" s="745" t="e">
        <f>IF(Results!N250&gt;0,INDEX(acute_overview_adults!$A$412:$AH$517,MATCH(Results!N250,acute_overview_adults!$AD$412:$AD$517,0),3),"")</f>
        <v>#NUM!</v>
      </c>
      <c r="P250" s="755" t="e">
        <f>IF(N250=0,0,CONCATENATE(ROUND(VLOOKUP(O250,acute_overview_adults!$C$412:$AH$517,3,FALSE),2)," / ",(ROUND(VLOOKUP(O250,acute_overview_adults!$C$412:$AH$517,6,FALSE),2))))</f>
        <v>#NUM!</v>
      </c>
      <c r="Q250" s="755" t="e">
        <f>IF(N250&gt;0,VLOOKUP(O250,acute_overview_adults!$C$412:$AH$510,27,FALSE)*1000,"")</f>
        <v>#NUM!</v>
      </c>
    </row>
    <row r="251" spans="1:17" ht="12" hidden="1" customHeight="1" outlineLevel="1" x14ac:dyDescent="0.2">
      <c r="A251" s="850"/>
      <c r="B251" s="236" t="e">
        <f>IF($K$6="not necessary",0,LARGE(acute_overview_children!$AA$412:$AA$514,ROW()-(ROW(Results!$B$230))))</f>
        <v>#NUM!</v>
      </c>
      <c r="C251" s="543" t="e">
        <f>IF(Results!B251&gt;0,INDEX(acute_overview_children!$A$412:$AH$514,MATCH(Results!B251,acute_overview_children!$AA$412:$AA$514,0),3),"")</f>
        <v>#NUM!</v>
      </c>
      <c r="D251" s="253" t="e">
        <f>IF(B251=0,0,CONCATENATE(ROUND(VLOOKUP(C251,acute_overview_children!$C$412:$E$514,3,FALSE),2)," / ",(ROUND(VLOOKUP(C251,acute_overview_children!$C$412:$F$514,4,FALSE),2))))</f>
        <v>#NUM!</v>
      </c>
      <c r="E251" s="238" t="e">
        <f>IF(B251&gt;0,VLOOKUP(C251,acute_overview_children!$C$412:$AH$507,24,FALSE)*1000,"")</f>
        <v>#NUM!</v>
      </c>
      <c r="F251" s="546" t="e">
        <f>IF($K$6="not necessary",0,LARGE(acute_overview_adults!$AA$412:$AA$493,ROW()-(ROW($B$230))))</f>
        <v>#NUM!</v>
      </c>
      <c r="G251" s="237" t="e">
        <f>IF(F251&gt;0,INDEX(acute_overview_adults!$A$412:$AH$517,MATCH(F251,acute_overview_adults!$AA$412:$AA$517,0),3),"")</f>
        <v>#NUM!</v>
      </c>
      <c r="H251" s="259" t="e">
        <f>IF(F251=0,0,CONCATENATE(ROUND(VLOOKUP(G251,acute_overview_adults!$C$412:$E$517,3,FALSE),2)," / ",(ROUND(VLOOKUP(G251,acute_overview_adults!$C$412:$F$517,4,FALSE),2))))</f>
        <v>#NUM!</v>
      </c>
      <c r="I251" s="1160" t="e">
        <f>IF(F251&gt;0,VLOOKUP(G251,acute_overview_adults!$C$412:$AH$510,24,FALSE)*1000,"")</f>
        <v>#NUM!</v>
      </c>
      <c r="J251" s="1131" t="e">
        <f>IF($K$6="not necessary",0,LARGE(acute_overview_children!$AD$412:$AD$514,ROW()-(ROW($B$230))))</f>
        <v>#NUM!</v>
      </c>
      <c r="K251" s="745" t="e">
        <f>IF(J251&gt;0,INDEX(acute_overview_children!$A$412:$AH$514,MATCH(J251,acute_overview_children!$AD$412:$AD$514,0),3),"")</f>
        <v>#NUM!</v>
      </c>
      <c r="L251" s="755" t="e">
        <f>IF(J251=0,0,CONCATENATE(ROUND(VLOOKUP(K251,acute_overview_children!$C$412:$AH$514,3,FALSE),2)," / ",(ROUND(VLOOKUP(K251,acute_overview_children!$C$412:$AH$514,6,FALSE),2))))</f>
        <v>#NUM!</v>
      </c>
      <c r="M251" s="755" t="e">
        <f>IF(J251&gt;0,VLOOKUP(K251,acute_overview_children!$C$412:$AH$507,27,FALSE)*1000,"")</f>
        <v>#NUM!</v>
      </c>
      <c r="N251" s="766" t="e">
        <f>IF($K$6="not necessary",0,LARGE(acute_overview_adults!$AD$412:$AD$517,ROW()-(ROW(Results!$B$230))))</f>
        <v>#NUM!</v>
      </c>
      <c r="O251" s="745" t="e">
        <f>IF(Results!N251&gt;0,INDEX(acute_overview_adults!$A$412:$AH$517,MATCH(Results!N251,acute_overview_adults!$AD$412:$AD$517,0),3),"")</f>
        <v>#NUM!</v>
      </c>
      <c r="P251" s="755" t="e">
        <f>IF(N251=0,0,CONCATENATE(ROUND(VLOOKUP(O251,acute_overview_adults!$C$412:$AH$517,3,FALSE),2)," / ",(ROUND(VLOOKUP(O251,acute_overview_adults!$C$412:$AH$517,6,FALSE),2))))</f>
        <v>#NUM!</v>
      </c>
      <c r="Q251" s="755" t="e">
        <f>IF(N251&gt;0,VLOOKUP(O251,acute_overview_adults!$C$412:$AH$510,27,FALSE)*1000,"")</f>
        <v>#NUM!</v>
      </c>
    </row>
    <row r="252" spans="1:17" ht="12" hidden="1" customHeight="1" outlineLevel="1" x14ac:dyDescent="0.2">
      <c r="A252" s="850"/>
      <c r="B252" s="236" t="e">
        <f>IF($K$6="not necessary",0,LARGE(acute_overview_children!$AA$412:$AA$514,ROW()-(ROW(Results!$B$230))))</f>
        <v>#NUM!</v>
      </c>
      <c r="C252" s="543" t="e">
        <f>IF(Results!B252&gt;0,INDEX(acute_overview_children!$A$412:$AH$514,MATCH(Results!B252,acute_overview_children!$AA$412:$AA$514,0),3),"")</f>
        <v>#NUM!</v>
      </c>
      <c r="D252" s="253" t="e">
        <f>IF(B252=0,0,CONCATENATE(ROUND(VLOOKUP(C252,acute_overview_children!$C$412:$E$514,3,FALSE),2)," / ",(ROUND(VLOOKUP(C252,acute_overview_children!$C$412:$F$514,4,FALSE),2))))</f>
        <v>#NUM!</v>
      </c>
      <c r="E252" s="238" t="e">
        <f>IF(B252&gt;0,VLOOKUP(C252,acute_overview_children!$C$412:$AH$507,24,FALSE)*1000,"")</f>
        <v>#NUM!</v>
      </c>
      <c r="F252" s="546" t="e">
        <f>IF($K$6="not necessary",0,LARGE(acute_overview_adults!$AA$412:$AA$493,ROW()-(ROW($B$230))))</f>
        <v>#NUM!</v>
      </c>
      <c r="G252" s="237" t="e">
        <f>IF(F252&gt;0,INDEX(acute_overview_adults!$A$412:$AH$517,MATCH(F252,acute_overview_adults!$AA$412:$AA$517,0),3),"")</f>
        <v>#NUM!</v>
      </c>
      <c r="H252" s="259" t="e">
        <f>IF(F252=0,0,CONCATENATE(ROUND(VLOOKUP(G252,acute_overview_adults!$C$412:$E$517,3,FALSE),2)," / ",(ROUND(VLOOKUP(G252,acute_overview_adults!$C$412:$F$517,4,FALSE),2))))</f>
        <v>#NUM!</v>
      </c>
      <c r="I252" s="1160" t="e">
        <f>IF(F252&gt;0,VLOOKUP(G252,acute_overview_adults!$C$412:$AH$510,24,FALSE)*1000,"")</f>
        <v>#NUM!</v>
      </c>
      <c r="J252" s="1131" t="e">
        <f>IF($K$6="not necessary",0,LARGE(acute_overview_children!$AD$412:$AD$514,ROW()-(ROW($B$230))))</f>
        <v>#NUM!</v>
      </c>
      <c r="K252" s="745" t="e">
        <f>IF(J252&gt;0,INDEX(acute_overview_children!$A$412:$AH$514,MATCH(J252,acute_overview_children!$AD$412:$AD$514,0),3),"")</f>
        <v>#NUM!</v>
      </c>
      <c r="L252" s="755" t="e">
        <f>IF(J252=0,0,CONCATENATE(ROUND(VLOOKUP(K252,acute_overview_children!$C$412:$AH$514,3,FALSE),2)," / ",(ROUND(VLOOKUP(K252,acute_overview_children!$C$412:$AH$514,6,FALSE),2))))</f>
        <v>#NUM!</v>
      </c>
      <c r="M252" s="755" t="e">
        <f>IF(J252&gt;0,VLOOKUP(K252,acute_overview_children!$C$412:$AH$507,27,FALSE)*1000,"")</f>
        <v>#NUM!</v>
      </c>
      <c r="N252" s="766" t="e">
        <f>IF($K$6="not necessary",0,LARGE(acute_overview_adults!$AD$412:$AD$517,ROW()-(ROW(Results!$B$230))))</f>
        <v>#NUM!</v>
      </c>
      <c r="O252" s="745" t="e">
        <f>IF(Results!N252&gt;0,INDEX(acute_overview_adults!$A$412:$AH$517,MATCH(Results!N252,acute_overview_adults!$AD$412:$AD$517,0),3),"")</f>
        <v>#NUM!</v>
      </c>
      <c r="P252" s="755" t="e">
        <f>IF(N252=0,0,CONCATENATE(ROUND(VLOOKUP(O252,acute_overview_adults!$C$412:$AH$517,3,FALSE),2)," / ",(ROUND(VLOOKUP(O252,acute_overview_adults!$C$412:$AH$517,6,FALSE),2))))</f>
        <v>#NUM!</v>
      </c>
      <c r="Q252" s="755" t="e">
        <f>IF(N252&gt;0,VLOOKUP(O252,acute_overview_adults!$C$412:$AH$510,27,FALSE)*1000,"")</f>
        <v>#NUM!</v>
      </c>
    </row>
    <row r="253" spans="1:17" ht="12" hidden="1" customHeight="1" outlineLevel="1" x14ac:dyDescent="0.2">
      <c r="A253" s="850"/>
      <c r="B253" s="236" t="e">
        <f>IF($K$6="not necessary",0,LARGE(acute_overview_children!$AA$412:$AA$514,ROW()-(ROW(Results!$B$230))))</f>
        <v>#NUM!</v>
      </c>
      <c r="C253" s="543" t="e">
        <f>IF(Results!B253&gt;0,INDEX(acute_overview_children!$A$412:$AH$514,MATCH(Results!B253,acute_overview_children!$AA$412:$AA$514,0),3),"")</f>
        <v>#NUM!</v>
      </c>
      <c r="D253" s="253" t="e">
        <f>IF(B253=0,0,CONCATENATE(ROUND(VLOOKUP(C253,acute_overview_children!$C$412:$E$514,3,FALSE),2)," / ",(ROUND(VLOOKUP(C253,acute_overview_children!$C$412:$F$514,4,FALSE),2))))</f>
        <v>#NUM!</v>
      </c>
      <c r="E253" s="238" t="e">
        <f>IF(B253&gt;0,VLOOKUP(C253,acute_overview_children!$C$412:$AH$507,24,FALSE)*1000,"")</f>
        <v>#NUM!</v>
      </c>
      <c r="F253" s="546" t="e">
        <f>IF($K$6="not necessary",0,LARGE(acute_overview_adults!$AA$412:$AA$493,ROW()-(ROW($B$230))))</f>
        <v>#NUM!</v>
      </c>
      <c r="G253" s="237" t="e">
        <f>IF(F253&gt;0,INDEX(acute_overview_adults!$A$412:$AH$517,MATCH(F253,acute_overview_adults!$AA$412:$AA$517,0),3),"")</f>
        <v>#NUM!</v>
      </c>
      <c r="H253" s="259" t="e">
        <f>IF(F253=0,0,CONCATENATE(ROUND(VLOOKUP(G253,acute_overview_adults!$C$412:$E$517,3,FALSE),2)," / ",(ROUND(VLOOKUP(G253,acute_overview_adults!$C$412:$F$517,4,FALSE),2))))</f>
        <v>#NUM!</v>
      </c>
      <c r="I253" s="1160" t="e">
        <f>IF(F253&gt;0,VLOOKUP(G253,acute_overview_adults!$C$412:$AH$510,24,FALSE)*1000,"")</f>
        <v>#NUM!</v>
      </c>
      <c r="J253" s="1131" t="e">
        <f>IF($K$6="not necessary",0,LARGE(acute_overview_children!$AD$412:$AD$514,ROW()-(ROW($B$230))))</f>
        <v>#NUM!</v>
      </c>
      <c r="K253" s="745" t="e">
        <f>IF(J253&gt;0,INDEX(acute_overview_children!$A$412:$AH$514,MATCH(J253,acute_overview_children!$AD$412:$AD$514,0),3),"")</f>
        <v>#NUM!</v>
      </c>
      <c r="L253" s="755" t="e">
        <f>IF(J253=0,0,CONCATENATE(ROUND(VLOOKUP(K253,acute_overview_children!$C$412:$AH$514,3,FALSE),2)," / ",(ROUND(VLOOKUP(K253,acute_overview_children!$C$412:$AH$514,6,FALSE),2))))</f>
        <v>#NUM!</v>
      </c>
      <c r="M253" s="755" t="e">
        <f>IF(J253&gt;0,VLOOKUP(K253,acute_overview_children!$C$412:$AH$507,27,FALSE)*1000,"")</f>
        <v>#NUM!</v>
      </c>
      <c r="N253" s="766" t="e">
        <f>IF($K$6="not necessary",0,LARGE(acute_overview_adults!$AD$412:$AD$517,ROW()-(ROW(Results!$B$230))))</f>
        <v>#NUM!</v>
      </c>
      <c r="O253" s="745" t="e">
        <f>IF(Results!N253&gt;0,INDEX(acute_overview_adults!$A$412:$AH$517,MATCH(Results!N253,acute_overview_adults!$AD$412:$AD$517,0),3),"")</f>
        <v>#NUM!</v>
      </c>
      <c r="P253" s="755" t="e">
        <f>IF(N253=0,0,CONCATENATE(ROUND(VLOOKUP(O253,acute_overview_adults!$C$412:$AH$517,3,FALSE),2)," / ",(ROUND(VLOOKUP(O253,acute_overview_adults!$C$412:$AH$517,6,FALSE),2))))</f>
        <v>#NUM!</v>
      </c>
      <c r="Q253" s="755" t="e">
        <f>IF(N253&gt;0,VLOOKUP(O253,acute_overview_adults!$C$412:$AH$510,27,FALSE)*1000,"")</f>
        <v>#NUM!</v>
      </c>
    </row>
    <row r="254" spans="1:17" ht="12" hidden="1" customHeight="1" outlineLevel="1" x14ac:dyDescent="0.2">
      <c r="A254" s="850"/>
      <c r="B254" s="236" t="e">
        <f>IF($K$6="not necessary",0,LARGE(acute_overview_children!$AA$412:$AA$514,ROW()-(ROW(Results!$B$230))))</f>
        <v>#NUM!</v>
      </c>
      <c r="C254" s="543" t="e">
        <f>IF(Results!B254&gt;0,INDEX(acute_overview_children!$A$412:$AH$514,MATCH(Results!B254,acute_overview_children!$AA$412:$AA$514,0),3),"")</f>
        <v>#NUM!</v>
      </c>
      <c r="D254" s="253" t="e">
        <f>IF(B254=0,0,CONCATENATE(ROUND(VLOOKUP(C254,acute_overview_children!$C$412:$E$514,3,FALSE),2)," / ",(ROUND(VLOOKUP(C254,acute_overview_children!$C$412:$F$514,4,FALSE),2))))</f>
        <v>#NUM!</v>
      </c>
      <c r="E254" s="238" t="e">
        <f>IF(B254&gt;0,VLOOKUP(C254,acute_overview_children!$C$412:$AH$507,24,FALSE)*1000,"")</f>
        <v>#NUM!</v>
      </c>
      <c r="F254" s="546" t="e">
        <f>IF($K$6="not necessary",0,LARGE(acute_overview_adults!$AA$412:$AA$493,ROW()-(ROW($B$230))))</f>
        <v>#NUM!</v>
      </c>
      <c r="G254" s="237" t="e">
        <f>IF(F254&gt;0,INDEX(acute_overview_adults!$A$412:$AH$517,MATCH(F254,acute_overview_adults!$AA$412:$AA$517,0),3),"")</f>
        <v>#NUM!</v>
      </c>
      <c r="H254" s="259" t="e">
        <f>IF(F254=0,0,CONCATENATE(ROUND(VLOOKUP(G254,acute_overview_adults!$C$412:$E$517,3,FALSE),2)," / ",(ROUND(VLOOKUP(G254,acute_overview_adults!$C$412:$F$517,4,FALSE),2))))</f>
        <v>#NUM!</v>
      </c>
      <c r="I254" s="1160" t="e">
        <f>IF(F254&gt;0,VLOOKUP(G254,acute_overview_adults!$C$412:$AH$510,24,FALSE)*1000,"")</f>
        <v>#NUM!</v>
      </c>
      <c r="J254" s="1131" t="e">
        <f>IF($K$6="not necessary",0,LARGE(acute_overview_children!$AD$412:$AD$514,ROW()-(ROW($B$230))))</f>
        <v>#NUM!</v>
      </c>
      <c r="K254" s="745" t="e">
        <f>IF(J254&gt;0,INDEX(acute_overview_children!$A$412:$AH$514,MATCH(J254,acute_overview_children!$AD$412:$AD$514,0),3),"")</f>
        <v>#NUM!</v>
      </c>
      <c r="L254" s="755" t="e">
        <f>IF(J254=0,0,CONCATENATE(ROUND(VLOOKUP(K254,acute_overview_children!$C$412:$AH$514,3,FALSE),2)," / ",(ROUND(VLOOKUP(K254,acute_overview_children!$C$412:$AH$514,6,FALSE),2))))</f>
        <v>#NUM!</v>
      </c>
      <c r="M254" s="755" t="e">
        <f>IF(J254&gt;0,VLOOKUP(K254,acute_overview_children!$C$412:$AH$507,27,FALSE)*1000,"")</f>
        <v>#NUM!</v>
      </c>
      <c r="N254" s="766" t="e">
        <f>IF($K$6="not necessary",0,LARGE(acute_overview_adults!$AD$412:$AD$517,ROW()-(ROW(Results!$B$230))))</f>
        <v>#NUM!</v>
      </c>
      <c r="O254" s="745" t="e">
        <f>IF(Results!N254&gt;0,INDEX(acute_overview_adults!$A$412:$AH$517,MATCH(Results!N254,acute_overview_adults!$AD$412:$AD$517,0),3),"")</f>
        <v>#NUM!</v>
      </c>
      <c r="P254" s="755" t="e">
        <f>IF(N254=0,0,CONCATENATE(ROUND(VLOOKUP(O254,acute_overview_adults!$C$412:$AH$517,3,FALSE),2)," / ",(ROUND(VLOOKUP(O254,acute_overview_adults!$C$412:$AH$517,6,FALSE),2))))</f>
        <v>#NUM!</v>
      </c>
      <c r="Q254" s="755" t="e">
        <f>IF(N254&gt;0,VLOOKUP(O254,acute_overview_adults!$C$412:$AH$510,27,FALSE)*1000,"")</f>
        <v>#NUM!</v>
      </c>
    </row>
    <row r="255" spans="1:17" ht="12" hidden="1" customHeight="1" outlineLevel="1" x14ac:dyDescent="0.2">
      <c r="A255" s="850"/>
      <c r="B255" s="236" t="e">
        <f>IF($K$6="not necessary",0,LARGE(acute_overview_children!$AA$412:$AA$514,ROW()-(ROW(Results!$B$230))))</f>
        <v>#NUM!</v>
      </c>
      <c r="C255" s="543" t="e">
        <f>IF(Results!B255&gt;0,INDEX(acute_overview_children!$A$412:$AH$514,MATCH(Results!B255,acute_overview_children!$AA$412:$AA$514,0),3),"")</f>
        <v>#NUM!</v>
      </c>
      <c r="D255" s="253" t="e">
        <f>IF(B255=0,0,CONCATENATE(ROUND(VLOOKUP(C255,acute_overview_children!$C$412:$E$514,3,FALSE),2)," / ",(ROUND(VLOOKUP(C255,acute_overview_children!$C$412:$F$514,4,FALSE),2))))</f>
        <v>#NUM!</v>
      </c>
      <c r="E255" s="238" t="e">
        <f>IF(B255&gt;0,VLOOKUP(C255,acute_overview_children!$C$412:$AH$507,24,FALSE)*1000,"")</f>
        <v>#NUM!</v>
      </c>
      <c r="F255" s="546" t="e">
        <f>IF($K$6="not necessary",0,LARGE(acute_overview_adults!$AA$412:$AA$493,ROW()-(ROW($B$230))))</f>
        <v>#NUM!</v>
      </c>
      <c r="G255" s="237" t="e">
        <f>IF(F255&gt;0,INDEX(acute_overview_adults!$A$412:$AH$517,MATCH(F255,acute_overview_adults!$AA$412:$AA$517,0),3),"")</f>
        <v>#NUM!</v>
      </c>
      <c r="H255" s="259" t="e">
        <f>IF(F255=0,0,CONCATENATE(ROUND(VLOOKUP(G255,acute_overview_adults!$C$412:$E$517,3,FALSE),2)," / ",(ROUND(VLOOKUP(G255,acute_overview_adults!$C$412:$F$517,4,FALSE),2))))</f>
        <v>#NUM!</v>
      </c>
      <c r="I255" s="1160" t="e">
        <f>IF(F255&gt;0,VLOOKUP(G255,acute_overview_adults!$C$412:$AH$510,24,FALSE)*1000,"")</f>
        <v>#NUM!</v>
      </c>
      <c r="J255" s="1131" t="e">
        <f>IF($K$6="not necessary",0,LARGE(acute_overview_children!$AD$412:$AD$514,ROW()-(ROW($B$230))))</f>
        <v>#NUM!</v>
      </c>
      <c r="K255" s="745" t="e">
        <f>IF(J255&gt;0,INDEX(acute_overview_children!$A$412:$AH$514,MATCH(J255,acute_overview_children!$AD$412:$AD$514,0),3),"")</f>
        <v>#NUM!</v>
      </c>
      <c r="L255" s="755" t="e">
        <f>IF(J255=0,0,CONCATENATE(ROUND(VLOOKUP(K255,acute_overview_children!$C$412:$AH$514,3,FALSE),2)," / ",(ROUND(VLOOKUP(K255,acute_overview_children!$C$412:$AH$514,6,FALSE),2))))</f>
        <v>#NUM!</v>
      </c>
      <c r="M255" s="755" t="e">
        <f>IF(J255&gt;0,VLOOKUP(K255,acute_overview_children!$C$412:$AH$507,27,FALSE)*1000,"")</f>
        <v>#NUM!</v>
      </c>
      <c r="N255" s="766" t="e">
        <f>IF($K$6="not necessary",0,LARGE(acute_overview_adults!$AD$412:$AD$517,ROW()-(ROW(Results!$B$230))))</f>
        <v>#NUM!</v>
      </c>
      <c r="O255" s="745" t="e">
        <f>IF(Results!N255&gt;0,INDEX(acute_overview_adults!$A$412:$AH$517,MATCH(Results!N255,acute_overview_adults!$AD$412:$AD$517,0),3),"")</f>
        <v>#NUM!</v>
      </c>
      <c r="P255" s="755" t="e">
        <f>IF(N255=0,0,CONCATENATE(ROUND(VLOOKUP(O255,acute_overview_adults!$C$412:$AH$517,3,FALSE),2)," / ",(ROUND(VLOOKUP(O255,acute_overview_adults!$C$412:$AH$517,6,FALSE),2))))</f>
        <v>#NUM!</v>
      </c>
      <c r="Q255" s="755" t="e">
        <f>IF(N255&gt;0,VLOOKUP(O255,acute_overview_adults!$C$412:$AH$510,27,FALSE)*1000,"")</f>
        <v>#NUM!</v>
      </c>
    </row>
    <row r="256" spans="1:17" ht="12" hidden="1" customHeight="1" outlineLevel="1" x14ac:dyDescent="0.2">
      <c r="A256" s="850"/>
      <c r="B256" s="236" t="e">
        <f>IF($K$6="not necessary",0,LARGE(acute_overview_children!$AA$412:$AA$514,ROW()-(ROW(Results!$B$230))))</f>
        <v>#NUM!</v>
      </c>
      <c r="C256" s="543" t="e">
        <f>IF(Results!B256&gt;0,INDEX(acute_overview_children!$A$412:$AH$514,MATCH(Results!B256,acute_overview_children!$AA$412:$AA$514,0),3),"")</f>
        <v>#NUM!</v>
      </c>
      <c r="D256" s="253" t="e">
        <f>IF(B256=0,0,CONCATENATE(ROUND(VLOOKUP(C256,acute_overview_children!$C$412:$E$514,3,FALSE),2)," / ",(ROUND(VLOOKUP(C256,acute_overview_children!$C$412:$F$514,4,FALSE),2))))</f>
        <v>#NUM!</v>
      </c>
      <c r="E256" s="238" t="e">
        <f>IF(B256&gt;0,VLOOKUP(C256,acute_overview_children!$C$412:$AH$507,24,FALSE)*1000,"")</f>
        <v>#NUM!</v>
      </c>
      <c r="F256" s="546" t="e">
        <f>IF($K$6="not necessary",0,LARGE(acute_overview_adults!$AA$412:$AA$493,ROW()-(ROW($B$230))))</f>
        <v>#NUM!</v>
      </c>
      <c r="G256" s="237" t="e">
        <f>IF(F256&gt;0,INDEX(acute_overview_adults!$A$412:$AH$517,MATCH(F256,acute_overview_adults!$AA$412:$AA$517,0),3),"")</f>
        <v>#NUM!</v>
      </c>
      <c r="H256" s="259" t="e">
        <f>IF(F256=0,0,CONCATENATE(ROUND(VLOOKUP(G256,acute_overview_adults!$C$412:$E$517,3,FALSE),2)," / ",(ROUND(VLOOKUP(G256,acute_overview_adults!$C$412:$F$517,4,FALSE),2))))</f>
        <v>#NUM!</v>
      </c>
      <c r="I256" s="1160" t="e">
        <f>IF(F256&gt;0,VLOOKUP(G256,acute_overview_adults!$C$412:$AH$510,24,FALSE)*1000,"")</f>
        <v>#NUM!</v>
      </c>
      <c r="J256" s="1131" t="e">
        <f>IF($K$6="not necessary",0,LARGE(acute_overview_children!$AD$412:$AD$514,ROW()-(ROW($B$230))))</f>
        <v>#NUM!</v>
      </c>
      <c r="K256" s="745" t="e">
        <f>IF(J256&gt;0,INDEX(acute_overview_children!$A$412:$AH$514,MATCH(J256,acute_overview_children!$AD$412:$AD$514,0),3),"")</f>
        <v>#NUM!</v>
      </c>
      <c r="L256" s="755" t="e">
        <f>IF(J256=0,0,CONCATENATE(ROUND(VLOOKUP(K256,acute_overview_children!$C$412:$AH$514,3,FALSE),2)," / ",(ROUND(VLOOKUP(K256,acute_overview_children!$C$412:$AH$514,6,FALSE),2))))</f>
        <v>#NUM!</v>
      </c>
      <c r="M256" s="755" t="e">
        <f>IF(J256&gt;0,VLOOKUP(K256,acute_overview_children!$C$412:$AH$507,27,FALSE)*1000,"")</f>
        <v>#NUM!</v>
      </c>
      <c r="N256" s="766" t="e">
        <f>IF($K$6="not necessary",0,LARGE(acute_overview_adults!$AD$412:$AD$517,ROW()-(ROW(Results!$B$230))))</f>
        <v>#NUM!</v>
      </c>
      <c r="O256" s="745" t="e">
        <f>IF(Results!N256&gt;0,INDEX(acute_overview_adults!$A$412:$AH$517,MATCH(Results!N256,acute_overview_adults!$AD$412:$AD$517,0),3),"")</f>
        <v>#NUM!</v>
      </c>
      <c r="P256" s="755" t="e">
        <f>IF(N256=0,0,CONCATENATE(ROUND(VLOOKUP(O256,acute_overview_adults!$C$412:$AH$517,3,FALSE),2)," / ",(ROUND(VLOOKUP(O256,acute_overview_adults!$C$412:$AH$517,6,FALSE),2))))</f>
        <v>#NUM!</v>
      </c>
      <c r="Q256" s="755" t="e">
        <f>IF(N256&gt;0,VLOOKUP(O256,acute_overview_adults!$C$412:$AH$510,27,FALSE)*1000,"")</f>
        <v>#NUM!</v>
      </c>
    </row>
    <row r="257" spans="1:17" ht="12" hidden="1" customHeight="1" outlineLevel="1" x14ac:dyDescent="0.2">
      <c r="A257" s="850"/>
      <c r="B257" s="236" t="e">
        <f>IF($K$6="not necessary",0,LARGE(acute_overview_children!$AA$412:$AA$514,ROW()-(ROW(Results!$B$230))))</f>
        <v>#NUM!</v>
      </c>
      <c r="C257" s="543" t="e">
        <f>IF(Results!B257&gt;0,INDEX(acute_overview_children!$A$412:$AH$514,MATCH(Results!B257,acute_overview_children!$AA$412:$AA$514,0),3),"")</f>
        <v>#NUM!</v>
      </c>
      <c r="D257" s="253" t="e">
        <f>IF(B257=0,0,CONCATENATE(ROUND(VLOOKUP(C257,acute_overview_children!$C$412:$E$514,3,FALSE),2)," / ",(ROUND(VLOOKUP(C257,acute_overview_children!$C$412:$F$514,4,FALSE),2))))</f>
        <v>#NUM!</v>
      </c>
      <c r="E257" s="238" t="e">
        <f>IF(B257&gt;0,VLOOKUP(C257,acute_overview_children!$C$412:$AH$507,24,FALSE)*1000,"")</f>
        <v>#NUM!</v>
      </c>
      <c r="F257" s="546" t="e">
        <f>IF($K$6="not necessary",0,LARGE(acute_overview_adults!$AA$412:$AA$493,ROW()-(ROW($B$230))))</f>
        <v>#NUM!</v>
      </c>
      <c r="G257" s="237" t="e">
        <f>IF(F257&gt;0,INDEX(acute_overview_adults!$A$412:$AH$517,MATCH(F257,acute_overview_adults!$AA$412:$AA$517,0),3),"")</f>
        <v>#NUM!</v>
      </c>
      <c r="H257" s="259" t="e">
        <f>IF(F257=0,0,CONCATENATE(ROUND(VLOOKUP(G257,acute_overview_adults!$C$412:$E$517,3,FALSE),2)," / ",(ROUND(VLOOKUP(G257,acute_overview_adults!$C$412:$F$517,4,FALSE),2))))</f>
        <v>#NUM!</v>
      </c>
      <c r="I257" s="1160" t="e">
        <f>IF(F257&gt;0,VLOOKUP(G257,acute_overview_adults!$C$412:$AH$510,24,FALSE)*1000,"")</f>
        <v>#NUM!</v>
      </c>
      <c r="J257" s="1131" t="e">
        <f>IF($K$6="not necessary",0,LARGE(acute_overview_children!$AD$412:$AD$514,ROW()-(ROW($B$230))))</f>
        <v>#NUM!</v>
      </c>
      <c r="K257" s="745" t="e">
        <f>IF(J257&gt;0,INDEX(acute_overview_children!$A$412:$AH$514,MATCH(J257,acute_overview_children!$AD$412:$AD$514,0),3),"")</f>
        <v>#NUM!</v>
      </c>
      <c r="L257" s="755" t="e">
        <f>IF(J257=0,0,CONCATENATE(ROUND(VLOOKUP(K257,acute_overview_children!$C$412:$AH$514,3,FALSE),2)," / ",(ROUND(VLOOKUP(K257,acute_overview_children!$C$412:$AH$514,6,FALSE),2))))</f>
        <v>#NUM!</v>
      </c>
      <c r="M257" s="755" t="e">
        <f>IF(J257&gt;0,VLOOKUP(K257,acute_overview_children!$C$412:$AH$507,27,FALSE)*1000,"")</f>
        <v>#NUM!</v>
      </c>
      <c r="N257" s="766" t="e">
        <f>IF($K$6="not necessary",0,LARGE(acute_overview_adults!$AD$412:$AD$517,ROW()-(ROW(Results!$B$230))))</f>
        <v>#NUM!</v>
      </c>
      <c r="O257" s="745" t="e">
        <f>IF(Results!N257&gt;0,INDEX(acute_overview_adults!$A$412:$AH$517,MATCH(Results!N257,acute_overview_adults!$AD$412:$AD$517,0),3),"")</f>
        <v>#NUM!</v>
      </c>
      <c r="P257" s="755" t="e">
        <f>IF(N257=0,0,CONCATENATE(ROUND(VLOOKUP(O257,acute_overview_adults!$C$412:$AH$517,3,FALSE),2)," / ",(ROUND(VLOOKUP(O257,acute_overview_adults!$C$412:$AH$517,6,FALSE),2))))</f>
        <v>#NUM!</v>
      </c>
      <c r="Q257" s="755" t="e">
        <f>IF(N257&gt;0,VLOOKUP(O257,acute_overview_adults!$C$412:$AH$510,27,FALSE)*1000,"")</f>
        <v>#NUM!</v>
      </c>
    </row>
    <row r="258" spans="1:17" ht="12" hidden="1" customHeight="1" outlineLevel="1" x14ac:dyDescent="0.2">
      <c r="A258" s="850"/>
      <c r="B258" s="236" t="e">
        <f>IF($K$6="not necessary",0,LARGE(acute_overview_children!$AA$412:$AA$514,ROW()-(ROW(Results!$B$230))))</f>
        <v>#NUM!</v>
      </c>
      <c r="C258" s="543" t="e">
        <f>IF(Results!B258&gt;0,INDEX(acute_overview_children!$A$412:$AH$514,MATCH(Results!B258,acute_overview_children!$AA$412:$AA$514,0),3),"")</f>
        <v>#NUM!</v>
      </c>
      <c r="D258" s="253" t="e">
        <f>IF(B258=0,0,CONCATENATE(ROUND(VLOOKUP(C258,acute_overview_children!$C$412:$E$514,3,FALSE),2)," / ",(ROUND(VLOOKUP(C258,acute_overview_children!$C$412:$F$514,4,FALSE),2))))</f>
        <v>#NUM!</v>
      </c>
      <c r="E258" s="238" t="e">
        <f>IF(B258&gt;0,VLOOKUP(C258,acute_overview_children!$C$412:$AH$507,24,FALSE)*1000,"")</f>
        <v>#NUM!</v>
      </c>
      <c r="F258" s="546" t="e">
        <f>IF($K$6="not necessary",0,LARGE(acute_overview_adults!$AA$412:$AA$493,ROW()-(ROW($B$230))))</f>
        <v>#NUM!</v>
      </c>
      <c r="G258" s="237" t="e">
        <f>IF(F258&gt;0,INDEX(acute_overview_adults!$A$412:$AH$517,MATCH(F258,acute_overview_adults!$AA$412:$AA$517,0),3),"")</f>
        <v>#NUM!</v>
      </c>
      <c r="H258" s="259" t="e">
        <f>IF(F258=0,0,CONCATENATE(ROUND(VLOOKUP(G258,acute_overview_adults!$C$412:$E$517,3,FALSE),2)," / ",(ROUND(VLOOKUP(G258,acute_overview_adults!$C$412:$F$517,4,FALSE),2))))</f>
        <v>#NUM!</v>
      </c>
      <c r="I258" s="1160" t="e">
        <f>IF(F258&gt;0,VLOOKUP(G258,acute_overview_adults!$C$412:$AH$510,24,FALSE)*1000,"")</f>
        <v>#NUM!</v>
      </c>
      <c r="J258" s="1131" t="e">
        <f>IF($K$6="not necessary",0,LARGE(acute_overview_children!$AD$412:$AD$514,ROW()-(ROW($B$230))))</f>
        <v>#NUM!</v>
      </c>
      <c r="K258" s="745" t="e">
        <f>IF(J258&gt;0,INDEX(acute_overview_children!$A$412:$AH$514,MATCH(J258,acute_overview_children!$AD$412:$AD$514,0),3),"")</f>
        <v>#NUM!</v>
      </c>
      <c r="L258" s="755" t="e">
        <f>IF(J258=0,0,CONCATENATE(ROUND(VLOOKUP(K258,acute_overview_children!$C$412:$AH$514,3,FALSE),2)," / ",(ROUND(VLOOKUP(K258,acute_overview_children!$C$412:$AH$514,6,FALSE),2))))</f>
        <v>#NUM!</v>
      </c>
      <c r="M258" s="755" t="e">
        <f>IF(J258&gt;0,VLOOKUP(K258,acute_overview_children!$C$412:$AH$507,27,FALSE)*1000,"")</f>
        <v>#NUM!</v>
      </c>
      <c r="N258" s="766" t="e">
        <f>IF($K$6="not necessary",0,LARGE(acute_overview_adults!$AD$412:$AD$517,ROW()-(ROW(Results!$B$230))))</f>
        <v>#NUM!</v>
      </c>
      <c r="O258" s="745" t="e">
        <f>IF(Results!N258&gt;0,INDEX(acute_overview_adults!$A$412:$AH$517,MATCH(Results!N258,acute_overview_adults!$AD$412:$AD$517,0),3),"")</f>
        <v>#NUM!</v>
      </c>
      <c r="P258" s="755" t="e">
        <f>IF(N258=0,0,CONCATENATE(ROUND(VLOOKUP(O258,acute_overview_adults!$C$412:$AH$517,3,FALSE),2)," / ",(ROUND(VLOOKUP(O258,acute_overview_adults!$C$412:$AH$517,6,FALSE),2))))</f>
        <v>#NUM!</v>
      </c>
      <c r="Q258" s="755" t="e">
        <f>IF(N258&gt;0,VLOOKUP(O258,acute_overview_adults!$C$412:$AH$510,27,FALSE)*1000,"")</f>
        <v>#NUM!</v>
      </c>
    </row>
    <row r="259" spans="1:17" ht="12" hidden="1" customHeight="1" outlineLevel="1" x14ac:dyDescent="0.2">
      <c r="A259" s="850"/>
      <c r="B259" s="236" t="e">
        <f>IF($K$6="not necessary",0,LARGE(acute_overview_children!$AA$412:$AA$514,ROW()-(ROW(Results!$B$230))))</f>
        <v>#NUM!</v>
      </c>
      <c r="C259" s="543" t="e">
        <f>IF(Results!B259&gt;0,INDEX(acute_overview_children!$A$412:$AH$514,MATCH(Results!B259,acute_overview_children!$AA$412:$AA$514,0),3),"")</f>
        <v>#NUM!</v>
      </c>
      <c r="D259" s="253" t="e">
        <f>IF(B259=0,0,CONCATENATE(ROUND(VLOOKUP(C259,acute_overview_children!$C$412:$E$514,3,FALSE),2)," / ",(ROUND(VLOOKUP(C259,acute_overview_children!$C$412:$F$514,4,FALSE),2))))</f>
        <v>#NUM!</v>
      </c>
      <c r="E259" s="238" t="e">
        <f>IF(B259&gt;0,VLOOKUP(C259,acute_overview_children!$C$412:$AH$507,24,FALSE)*1000,"")</f>
        <v>#NUM!</v>
      </c>
      <c r="F259" s="546" t="e">
        <f>IF($K$6="not necessary",0,LARGE(acute_overview_adults!$AA$412:$AA$493,ROW()-(ROW($B$230))))</f>
        <v>#NUM!</v>
      </c>
      <c r="G259" s="237" t="e">
        <f>IF(F259&gt;0,INDEX(acute_overview_adults!$A$412:$AH$517,MATCH(F259,acute_overview_adults!$AA$412:$AA$517,0),3),"")</f>
        <v>#NUM!</v>
      </c>
      <c r="H259" s="259" t="e">
        <f>IF(F259=0,0,CONCATENATE(ROUND(VLOOKUP(G259,acute_overview_adults!$C$412:$E$517,3,FALSE),2)," / ",(ROUND(VLOOKUP(G259,acute_overview_adults!$C$412:$F$517,4,FALSE),2))))</f>
        <v>#NUM!</v>
      </c>
      <c r="I259" s="1160" t="e">
        <f>IF(F259&gt;0,VLOOKUP(G259,acute_overview_adults!$C$412:$AH$510,24,FALSE)*1000,"")</f>
        <v>#NUM!</v>
      </c>
      <c r="J259" s="1131" t="e">
        <f>IF($K$6="not necessary",0,LARGE(acute_overview_children!$AD$412:$AD$514,ROW()-(ROW($B$230))))</f>
        <v>#NUM!</v>
      </c>
      <c r="K259" s="745" t="e">
        <f>IF(J259&gt;0,INDEX(acute_overview_children!$A$412:$AH$514,MATCH(J259,acute_overview_children!$AD$412:$AD$514,0),3),"")</f>
        <v>#NUM!</v>
      </c>
      <c r="L259" s="755" t="e">
        <f>IF(J259=0,0,CONCATENATE(ROUND(VLOOKUP(K259,acute_overview_children!$C$412:$AH$514,3,FALSE),2)," / ",(ROUND(VLOOKUP(K259,acute_overview_children!$C$412:$AH$514,6,FALSE),2))))</f>
        <v>#NUM!</v>
      </c>
      <c r="M259" s="755" t="e">
        <f>IF(J259&gt;0,VLOOKUP(K259,acute_overview_children!$C$412:$AH$507,27,FALSE)*1000,"")</f>
        <v>#NUM!</v>
      </c>
      <c r="N259" s="766" t="e">
        <f>IF($K$6="not necessary",0,LARGE(acute_overview_adults!$AD$412:$AD$517,ROW()-(ROW(Results!$B$230))))</f>
        <v>#NUM!</v>
      </c>
      <c r="O259" s="745" t="e">
        <f>IF(Results!N259&gt;0,INDEX(acute_overview_adults!$A$412:$AH$517,MATCH(Results!N259,acute_overview_adults!$AD$412:$AD$517,0),3),"")</f>
        <v>#NUM!</v>
      </c>
      <c r="P259" s="755" t="e">
        <f>IF(N259=0,0,CONCATENATE(ROUND(VLOOKUP(O259,acute_overview_adults!$C$412:$AH$517,3,FALSE),2)," / ",(ROUND(VLOOKUP(O259,acute_overview_adults!$C$412:$AH$517,6,FALSE),2))))</f>
        <v>#NUM!</v>
      </c>
      <c r="Q259" s="755" t="e">
        <f>IF(N259&gt;0,VLOOKUP(O259,acute_overview_adults!$C$412:$AH$510,27,FALSE)*1000,"")</f>
        <v>#NUM!</v>
      </c>
    </row>
    <row r="260" spans="1:17" ht="12" hidden="1" customHeight="1" outlineLevel="1" x14ac:dyDescent="0.2">
      <c r="A260" s="850"/>
      <c r="B260" s="236" t="e">
        <f>IF($K$6="not necessary",0,LARGE(acute_overview_children!$AA$412:$AA$514,ROW()-(ROW(Results!$B$230))))</f>
        <v>#NUM!</v>
      </c>
      <c r="C260" s="543" t="e">
        <f>IF(Results!B260&gt;0,INDEX(acute_overview_children!$A$412:$AH$514,MATCH(Results!B260,acute_overview_children!$AA$412:$AA$514,0),3),"")</f>
        <v>#NUM!</v>
      </c>
      <c r="D260" s="253" t="e">
        <f>IF(B260=0,0,CONCATENATE(ROUND(VLOOKUP(C260,acute_overview_children!$C$412:$E$514,3,FALSE),2)," / ",(ROUND(VLOOKUP(C260,acute_overview_children!$C$412:$F$514,4,FALSE),2))))</f>
        <v>#NUM!</v>
      </c>
      <c r="E260" s="238" t="e">
        <f>IF(B260&gt;0,VLOOKUP(C260,acute_overview_children!$C$412:$AH$507,24,FALSE)*1000,"")</f>
        <v>#NUM!</v>
      </c>
      <c r="F260" s="546" t="e">
        <f>IF($K$6="not necessary",0,LARGE(acute_overview_adults!$AA$412:$AA$493,ROW()-(ROW($B$230))))</f>
        <v>#NUM!</v>
      </c>
      <c r="G260" s="237" t="e">
        <f>IF(F260&gt;0,INDEX(acute_overview_adults!$A$412:$AH$517,MATCH(F260,acute_overview_adults!$AA$412:$AA$517,0),3),"")</f>
        <v>#NUM!</v>
      </c>
      <c r="H260" s="259" t="e">
        <f>IF(F260=0,0,CONCATENATE(ROUND(VLOOKUP(G260,acute_overview_adults!$C$412:$E$517,3,FALSE),2)," / ",(ROUND(VLOOKUP(G260,acute_overview_adults!$C$412:$F$517,4,FALSE),2))))</f>
        <v>#NUM!</v>
      </c>
      <c r="I260" s="1160" t="e">
        <f>IF(F260&gt;0,VLOOKUP(G260,acute_overview_adults!$C$412:$AH$510,24,FALSE)*1000,"")</f>
        <v>#NUM!</v>
      </c>
      <c r="J260" s="1131" t="e">
        <f>IF($K$6="not necessary",0,LARGE(acute_overview_children!$AD$412:$AD$514,ROW()-(ROW($B$230))))</f>
        <v>#NUM!</v>
      </c>
      <c r="K260" s="745" t="e">
        <f>IF(J260&gt;0,INDEX(acute_overview_children!$A$412:$AH$514,MATCH(J260,acute_overview_children!$AD$412:$AD$514,0),3),"")</f>
        <v>#NUM!</v>
      </c>
      <c r="L260" s="755" t="e">
        <f>IF(J260=0,0,CONCATENATE(ROUND(VLOOKUP(K260,acute_overview_children!$C$412:$AH$514,3,FALSE),2)," / ",(ROUND(VLOOKUP(K260,acute_overview_children!$C$412:$AH$514,6,FALSE),2))))</f>
        <v>#NUM!</v>
      </c>
      <c r="M260" s="755" t="e">
        <f>IF(J260&gt;0,VLOOKUP(K260,acute_overview_children!$C$412:$AH$507,27,FALSE)*1000,"")</f>
        <v>#NUM!</v>
      </c>
      <c r="N260" s="766" t="e">
        <f>IF($K$6="not necessary",0,LARGE(acute_overview_adults!$AD$412:$AD$517,ROW()-(ROW(Results!$B$230))))</f>
        <v>#NUM!</v>
      </c>
      <c r="O260" s="745" t="e">
        <f>IF(Results!N260&gt;0,INDEX(acute_overview_adults!$A$412:$AH$517,MATCH(Results!N260,acute_overview_adults!$AD$412:$AD$517,0),3),"")</f>
        <v>#NUM!</v>
      </c>
      <c r="P260" s="755" t="e">
        <f>IF(N260=0,0,CONCATENATE(ROUND(VLOOKUP(O260,acute_overview_adults!$C$412:$AH$517,3,FALSE),2)," / ",(ROUND(VLOOKUP(O260,acute_overview_adults!$C$412:$AH$517,6,FALSE),2))))</f>
        <v>#NUM!</v>
      </c>
      <c r="Q260" s="755" t="e">
        <f>IF(N260&gt;0,VLOOKUP(O260,acute_overview_adults!$C$412:$AH$510,27,FALSE)*1000,"")</f>
        <v>#NUM!</v>
      </c>
    </row>
    <row r="261" spans="1:17" ht="12" hidden="1" customHeight="1" outlineLevel="1" x14ac:dyDescent="0.2">
      <c r="A261" s="850"/>
      <c r="B261" s="236" t="e">
        <f>IF($K$6="not necessary",0,LARGE(acute_overview_children!$AA$412:$AA$514,ROW()-(ROW(Results!$B$230))))</f>
        <v>#NUM!</v>
      </c>
      <c r="C261" s="543" t="e">
        <f>IF(Results!B261&gt;0,INDEX(acute_overview_children!$A$412:$AH$514,MATCH(Results!B261,acute_overview_children!$AA$412:$AA$514,0),3),"")</f>
        <v>#NUM!</v>
      </c>
      <c r="D261" s="253" t="e">
        <f>IF(B261=0,0,CONCATENATE(ROUND(VLOOKUP(C261,acute_overview_children!$C$412:$E$514,3,FALSE),2)," / ",(ROUND(VLOOKUP(C261,acute_overview_children!$C$412:$F$514,4,FALSE),2))))</f>
        <v>#NUM!</v>
      </c>
      <c r="E261" s="238" t="e">
        <f>IF(B261&gt;0,VLOOKUP(C261,acute_overview_children!$C$412:$AH$507,24,FALSE)*1000,"")</f>
        <v>#NUM!</v>
      </c>
      <c r="F261" s="546" t="e">
        <f>IF($K$6="not necessary",0,LARGE(acute_overview_adults!$AA$412:$AA$493,ROW()-(ROW($B$230))))</f>
        <v>#NUM!</v>
      </c>
      <c r="G261" s="237" t="e">
        <f>IF(F261&gt;0,INDEX(acute_overview_adults!$A$412:$AH$517,MATCH(F261,acute_overview_adults!$AA$412:$AA$517,0),3),"")</f>
        <v>#NUM!</v>
      </c>
      <c r="H261" s="259" t="e">
        <f>IF(F261=0,0,CONCATENATE(ROUND(VLOOKUP(G261,acute_overview_adults!$C$412:$E$517,3,FALSE),2)," / ",(ROUND(VLOOKUP(G261,acute_overview_adults!$C$412:$F$517,4,FALSE),2))))</f>
        <v>#NUM!</v>
      </c>
      <c r="I261" s="1160" t="e">
        <f>IF(F261&gt;0,VLOOKUP(G261,acute_overview_adults!$C$412:$AH$510,24,FALSE)*1000,"")</f>
        <v>#NUM!</v>
      </c>
      <c r="J261" s="1131" t="e">
        <f>IF($K$6="not necessary",0,LARGE(acute_overview_children!$AD$412:$AD$514,ROW()-(ROW($B$230))))</f>
        <v>#NUM!</v>
      </c>
      <c r="K261" s="745" t="e">
        <f>IF(J261&gt;0,INDEX(acute_overview_children!$A$412:$AH$514,MATCH(J261,acute_overview_children!$AD$412:$AD$514,0),3),"")</f>
        <v>#NUM!</v>
      </c>
      <c r="L261" s="755" t="e">
        <f>IF(J261=0,0,CONCATENATE(ROUND(VLOOKUP(K261,acute_overview_children!$C$412:$AH$514,3,FALSE),2)," / ",(ROUND(VLOOKUP(K261,acute_overview_children!$C$412:$AH$514,6,FALSE),2))))</f>
        <v>#NUM!</v>
      </c>
      <c r="M261" s="755" t="e">
        <f>IF(J261&gt;0,VLOOKUP(K261,acute_overview_children!$C$412:$AH$507,27,FALSE)*1000,"")</f>
        <v>#NUM!</v>
      </c>
      <c r="N261" s="766" t="e">
        <f>IF($K$6="not necessary",0,LARGE(acute_overview_adults!$AD$412:$AD$517,ROW()-(ROW(Results!$B$230))))</f>
        <v>#NUM!</v>
      </c>
      <c r="O261" s="745" t="e">
        <f>IF(Results!N261&gt;0,INDEX(acute_overview_adults!$A$412:$AH$517,MATCH(Results!N261,acute_overview_adults!$AD$412:$AD$517,0),3),"")</f>
        <v>#NUM!</v>
      </c>
      <c r="P261" s="755" t="e">
        <f>IF(N261=0,0,CONCATENATE(ROUND(VLOOKUP(O261,acute_overview_adults!$C$412:$AH$517,3,FALSE),2)," / ",(ROUND(VLOOKUP(O261,acute_overview_adults!$C$412:$AH$517,6,FALSE),2))))</f>
        <v>#NUM!</v>
      </c>
      <c r="Q261" s="755" t="e">
        <f>IF(N261&gt;0,VLOOKUP(O261,acute_overview_adults!$C$412:$AH$510,27,FALSE)*1000,"")</f>
        <v>#NUM!</v>
      </c>
    </row>
    <row r="262" spans="1:17" ht="12" hidden="1" customHeight="1" outlineLevel="1" x14ac:dyDescent="0.2">
      <c r="A262" s="850"/>
      <c r="B262" s="236" t="e">
        <f>IF($K$6="not necessary",0,LARGE(acute_overview_children!$AA$412:$AA$514,ROW()-(ROW(Results!$B$230))))</f>
        <v>#NUM!</v>
      </c>
      <c r="C262" s="543" t="e">
        <f>IF(Results!B262&gt;0,INDEX(acute_overview_children!$A$412:$AH$514,MATCH(Results!B262,acute_overview_children!$AA$412:$AA$514,0),3),"")</f>
        <v>#NUM!</v>
      </c>
      <c r="D262" s="253" t="e">
        <f>IF(B262=0,0,CONCATENATE(ROUND(VLOOKUP(C262,acute_overview_children!$C$412:$E$514,3,FALSE),2)," / ",(ROUND(VLOOKUP(C262,acute_overview_children!$C$412:$F$514,4,FALSE),2))))</f>
        <v>#NUM!</v>
      </c>
      <c r="E262" s="238" t="e">
        <f>IF(B262&gt;0,VLOOKUP(C262,acute_overview_children!$C$412:$AH$507,24,FALSE)*1000,"")</f>
        <v>#NUM!</v>
      </c>
      <c r="F262" s="546" t="e">
        <f>IF($K$6="not necessary",0,LARGE(acute_overview_adults!$AA$412:$AA$493,ROW()-(ROW($B$230))))</f>
        <v>#NUM!</v>
      </c>
      <c r="G262" s="237" t="e">
        <f>IF(F262&gt;0,INDEX(acute_overview_adults!$A$412:$AH$517,MATCH(F262,acute_overview_adults!$AA$412:$AA$517,0),3),"")</f>
        <v>#NUM!</v>
      </c>
      <c r="H262" s="259" t="e">
        <f>IF(F262=0,0,CONCATENATE(ROUND(VLOOKUP(G262,acute_overview_adults!$C$412:$E$517,3,FALSE),2)," / ",(ROUND(VLOOKUP(G262,acute_overview_adults!$C$412:$F$517,4,FALSE),2))))</f>
        <v>#NUM!</v>
      </c>
      <c r="I262" s="1160" t="e">
        <f>IF(F262&gt;0,VLOOKUP(G262,acute_overview_adults!$C$412:$AH$510,24,FALSE)*1000,"")</f>
        <v>#NUM!</v>
      </c>
      <c r="J262" s="1131" t="e">
        <f>IF($K$6="not necessary",0,LARGE(acute_overview_children!$AD$412:$AD$514,ROW()-(ROW($B$230))))</f>
        <v>#NUM!</v>
      </c>
      <c r="K262" s="745" t="e">
        <f>IF(J262&gt;0,INDEX(acute_overview_children!$A$412:$AH$514,MATCH(J262,acute_overview_children!$AD$412:$AD$514,0),3),"")</f>
        <v>#NUM!</v>
      </c>
      <c r="L262" s="755" t="e">
        <f>IF(J262=0,0,CONCATENATE(ROUND(VLOOKUP(K262,acute_overview_children!$C$412:$AH$514,3,FALSE),2)," / ",(ROUND(VLOOKUP(K262,acute_overview_children!$C$412:$AH$514,6,FALSE),2))))</f>
        <v>#NUM!</v>
      </c>
      <c r="M262" s="755" t="e">
        <f>IF(J262&gt;0,VLOOKUP(K262,acute_overview_children!$C$412:$AH$507,27,FALSE)*1000,"")</f>
        <v>#NUM!</v>
      </c>
      <c r="N262" s="766" t="e">
        <f>IF($K$6="not necessary",0,LARGE(acute_overview_adults!$AD$412:$AD$517,ROW()-(ROW(Results!$B$230))))</f>
        <v>#NUM!</v>
      </c>
      <c r="O262" s="745" t="e">
        <f>IF(Results!N262&gt;0,INDEX(acute_overview_adults!$A$412:$AH$517,MATCH(Results!N262,acute_overview_adults!$AD$412:$AD$517,0),3),"")</f>
        <v>#NUM!</v>
      </c>
      <c r="P262" s="755" t="e">
        <f>IF(N262=0,0,CONCATENATE(ROUND(VLOOKUP(O262,acute_overview_adults!$C$412:$AH$517,3,FALSE),2)," / ",(ROUND(VLOOKUP(O262,acute_overview_adults!$C$412:$AH$517,6,FALSE),2))))</f>
        <v>#NUM!</v>
      </c>
      <c r="Q262" s="755" t="e">
        <f>IF(N262&gt;0,VLOOKUP(O262,acute_overview_adults!$C$412:$AH$510,27,FALSE)*1000,"")</f>
        <v>#NUM!</v>
      </c>
    </row>
    <row r="263" spans="1:17" ht="12" hidden="1" customHeight="1" outlineLevel="1" x14ac:dyDescent="0.2">
      <c r="A263" s="850"/>
      <c r="B263" s="236" t="e">
        <f>IF($K$6="not necessary",0,LARGE(acute_overview_children!$AA$412:$AA$514,ROW()-(ROW(Results!$B$230))))</f>
        <v>#NUM!</v>
      </c>
      <c r="C263" s="543" t="e">
        <f>IF(Results!B263&gt;0,INDEX(acute_overview_children!$A$412:$AH$514,MATCH(Results!B263,acute_overview_children!$AA$412:$AA$514,0),3),"")</f>
        <v>#NUM!</v>
      </c>
      <c r="D263" s="253" t="e">
        <f>IF(B263=0,0,CONCATENATE(ROUND(VLOOKUP(C263,acute_overview_children!$C$412:$E$514,3,FALSE),2)," / ",(ROUND(VLOOKUP(C263,acute_overview_children!$C$412:$F$514,4,FALSE),2))))</f>
        <v>#NUM!</v>
      </c>
      <c r="E263" s="238" t="e">
        <f>IF(B263&gt;0,VLOOKUP(C263,acute_overview_children!$C$412:$AH$507,24,FALSE)*1000,"")</f>
        <v>#NUM!</v>
      </c>
      <c r="F263" s="546" t="e">
        <f>IF($K$6="not necessary",0,LARGE(acute_overview_adults!$AA$412:$AA$493,ROW()-(ROW($B$230))))</f>
        <v>#NUM!</v>
      </c>
      <c r="G263" s="237" t="e">
        <f>IF(F263&gt;0,INDEX(acute_overview_adults!$A$412:$AH$517,MATCH(F263,acute_overview_adults!$AA$412:$AA$517,0),3),"")</f>
        <v>#NUM!</v>
      </c>
      <c r="H263" s="259" t="e">
        <f>IF(F263=0,0,CONCATENATE(ROUND(VLOOKUP(G263,acute_overview_adults!$C$412:$E$517,3,FALSE),2)," / ",(ROUND(VLOOKUP(G263,acute_overview_adults!$C$412:$F$517,4,FALSE),2))))</f>
        <v>#NUM!</v>
      </c>
      <c r="I263" s="1160" t="e">
        <f>IF(F263&gt;0,VLOOKUP(G263,acute_overview_adults!$C$412:$AH$510,24,FALSE)*1000,"")</f>
        <v>#NUM!</v>
      </c>
      <c r="J263" s="1131" t="e">
        <f>IF($K$6="not necessary",0,LARGE(acute_overview_children!$AD$412:$AD$514,ROW()-(ROW($B$230))))</f>
        <v>#NUM!</v>
      </c>
      <c r="K263" s="745" t="e">
        <f>IF(J263&gt;0,INDEX(acute_overview_children!$A$412:$AH$514,MATCH(J263,acute_overview_children!$AD$412:$AD$514,0),3),"")</f>
        <v>#NUM!</v>
      </c>
      <c r="L263" s="755" t="e">
        <f>IF(J263=0,0,CONCATENATE(ROUND(VLOOKUP(K263,acute_overview_children!$C$412:$AH$514,3,FALSE),2)," / ",(ROUND(VLOOKUP(K263,acute_overview_children!$C$412:$AH$514,6,FALSE),2))))</f>
        <v>#NUM!</v>
      </c>
      <c r="M263" s="755" t="e">
        <f>IF(J263&gt;0,VLOOKUP(K263,acute_overview_children!$C$412:$AH$507,27,FALSE)*1000,"")</f>
        <v>#NUM!</v>
      </c>
      <c r="N263" s="766" t="e">
        <f>IF($K$6="not necessary",0,LARGE(acute_overview_adults!$AD$412:$AD$517,ROW()-(ROW(Results!$B$230))))</f>
        <v>#NUM!</v>
      </c>
      <c r="O263" s="745" t="e">
        <f>IF(Results!N263&gt;0,INDEX(acute_overview_adults!$A$412:$AH$517,MATCH(Results!N263,acute_overview_adults!$AD$412:$AD$517,0),3),"")</f>
        <v>#NUM!</v>
      </c>
      <c r="P263" s="755" t="e">
        <f>IF(N263=0,0,CONCATENATE(ROUND(VLOOKUP(O263,acute_overview_adults!$C$412:$AH$517,3,FALSE),2)," / ",(ROUND(VLOOKUP(O263,acute_overview_adults!$C$412:$AH$517,6,FALSE),2))))</f>
        <v>#NUM!</v>
      </c>
      <c r="Q263" s="755" t="e">
        <f>IF(N263&gt;0,VLOOKUP(O263,acute_overview_adults!$C$412:$AH$510,27,FALSE)*1000,"")</f>
        <v>#NUM!</v>
      </c>
    </row>
    <row r="264" spans="1:17" ht="12" hidden="1" customHeight="1" outlineLevel="1" x14ac:dyDescent="0.2">
      <c r="A264" s="850"/>
      <c r="B264" s="236" t="e">
        <f>IF($K$6="not necessary",0,LARGE(acute_overview_children!$AA$412:$AA$514,ROW()-(ROW(Results!$B$230))))</f>
        <v>#NUM!</v>
      </c>
      <c r="C264" s="543" t="e">
        <f>IF(Results!B264&gt;0,INDEX(acute_overview_children!$A$412:$AH$514,MATCH(Results!B264,acute_overview_children!$AA$412:$AA$514,0),3),"")</f>
        <v>#NUM!</v>
      </c>
      <c r="D264" s="253" t="e">
        <f>IF(B264=0,0,CONCATENATE(ROUND(VLOOKUP(C264,acute_overview_children!$C$412:$E$514,3,FALSE),2)," / ",(ROUND(VLOOKUP(C264,acute_overview_children!$C$412:$F$514,4,FALSE),2))))</f>
        <v>#NUM!</v>
      </c>
      <c r="E264" s="238" t="e">
        <f>IF(B264&gt;0,VLOOKUP(C264,acute_overview_children!$C$412:$AH$507,24,FALSE)*1000,"")</f>
        <v>#NUM!</v>
      </c>
      <c r="F264" s="546" t="e">
        <f>IF($K$6="not necessary",0,LARGE(acute_overview_adults!$AA$412:$AA$493,ROW()-(ROW($B$230))))</f>
        <v>#NUM!</v>
      </c>
      <c r="G264" s="237" t="e">
        <f>IF(F264&gt;0,INDEX(acute_overview_adults!$A$412:$AH$517,MATCH(F264,acute_overview_adults!$AA$412:$AA$517,0),3),"")</f>
        <v>#NUM!</v>
      </c>
      <c r="H264" s="259" t="e">
        <f>IF(F264=0,0,CONCATENATE(ROUND(VLOOKUP(G264,acute_overview_adults!$C$412:$E$517,3,FALSE),2)," / ",(ROUND(VLOOKUP(G264,acute_overview_adults!$C$412:$F$517,4,FALSE),2))))</f>
        <v>#NUM!</v>
      </c>
      <c r="I264" s="1160" t="e">
        <f>IF(F264&gt;0,VLOOKUP(G264,acute_overview_adults!$C$412:$AH$510,24,FALSE)*1000,"")</f>
        <v>#NUM!</v>
      </c>
      <c r="J264" s="1131" t="e">
        <f>IF($K$6="not necessary",0,LARGE(acute_overview_children!$AD$412:$AD$514,ROW()-(ROW($B$230))))</f>
        <v>#NUM!</v>
      </c>
      <c r="K264" s="745" t="e">
        <f>IF(J264&gt;0,INDEX(acute_overview_children!$A$412:$AH$514,MATCH(J264,acute_overview_children!$AD$412:$AD$514,0),3),"")</f>
        <v>#NUM!</v>
      </c>
      <c r="L264" s="755" t="e">
        <f>IF(J264=0,0,CONCATENATE(ROUND(VLOOKUP(K264,acute_overview_children!$C$412:$AH$514,3,FALSE),2)," / ",(ROUND(VLOOKUP(K264,acute_overview_children!$C$412:$AH$514,6,FALSE),2))))</f>
        <v>#NUM!</v>
      </c>
      <c r="M264" s="755" t="e">
        <f>IF(J264&gt;0,VLOOKUP(K264,acute_overview_children!$C$412:$AH$507,27,FALSE)*1000,"")</f>
        <v>#NUM!</v>
      </c>
      <c r="N264" s="766" t="e">
        <f>IF($K$6="not necessary",0,LARGE(acute_overview_adults!$AD$412:$AD$517,ROW()-(ROW(Results!$B$230))))</f>
        <v>#NUM!</v>
      </c>
      <c r="O264" s="745" t="e">
        <f>IF(Results!N264&gt;0,INDEX(acute_overview_adults!$A$412:$AH$517,MATCH(Results!N264,acute_overview_adults!$AD$412:$AD$517,0),3),"")</f>
        <v>#NUM!</v>
      </c>
      <c r="P264" s="755" t="e">
        <f>IF(N264=0,0,CONCATENATE(ROUND(VLOOKUP(O264,acute_overview_adults!$C$412:$AH$517,3,FALSE),2)," / ",(ROUND(VLOOKUP(O264,acute_overview_adults!$C$412:$AH$517,6,FALSE),2))))</f>
        <v>#NUM!</v>
      </c>
      <c r="Q264" s="755" t="e">
        <f>IF(N264&gt;0,VLOOKUP(O264,acute_overview_adults!$C$412:$AH$510,27,FALSE)*1000,"")</f>
        <v>#NUM!</v>
      </c>
    </row>
    <row r="265" spans="1:17" ht="12" hidden="1" customHeight="1" outlineLevel="1" x14ac:dyDescent="0.2">
      <c r="A265" s="850"/>
      <c r="B265" s="236" t="e">
        <f>IF($K$6="not necessary",0,LARGE(acute_overview_children!$AA$412:$AA$514,ROW()-(ROW(Results!$B$230))))</f>
        <v>#NUM!</v>
      </c>
      <c r="C265" s="543" t="e">
        <f>IF(Results!B265&gt;0,INDEX(acute_overview_children!$A$412:$AH$514,MATCH(Results!B265,acute_overview_children!$AA$412:$AA$514,0),3),"")</f>
        <v>#NUM!</v>
      </c>
      <c r="D265" s="253" t="e">
        <f>IF(B265=0,0,CONCATENATE(ROUND(VLOOKUP(C265,acute_overview_children!$C$412:$E$514,3,FALSE),2)," / ",(ROUND(VLOOKUP(C265,acute_overview_children!$C$412:$F$514,4,FALSE),2))))</f>
        <v>#NUM!</v>
      </c>
      <c r="E265" s="238" t="e">
        <f>IF(B265&gt;0,VLOOKUP(C265,acute_overview_children!$C$412:$AH$507,24,FALSE)*1000,"")</f>
        <v>#NUM!</v>
      </c>
      <c r="F265" s="546" t="e">
        <f>IF($K$6="not necessary",0,LARGE(acute_overview_adults!$AA$412:$AA$493,ROW()-(ROW($B$230))))</f>
        <v>#NUM!</v>
      </c>
      <c r="G265" s="237" t="e">
        <f>IF(F265&gt;0,INDEX(acute_overview_adults!$A$412:$AH$517,MATCH(F265,acute_overview_adults!$AA$412:$AA$517,0),3),"")</f>
        <v>#NUM!</v>
      </c>
      <c r="H265" s="259" t="e">
        <f>IF(F265=0,0,CONCATENATE(ROUND(VLOOKUP(G265,acute_overview_adults!$C$412:$E$517,3,FALSE),2)," / ",(ROUND(VLOOKUP(G265,acute_overview_adults!$C$412:$F$517,4,FALSE),2))))</f>
        <v>#NUM!</v>
      </c>
      <c r="I265" s="1160" t="e">
        <f>IF(F265&gt;0,VLOOKUP(G265,acute_overview_adults!$C$412:$AH$510,24,FALSE)*1000,"")</f>
        <v>#NUM!</v>
      </c>
      <c r="J265" s="1131" t="e">
        <f>IF($K$6="not necessary",0,LARGE(acute_overview_children!$AD$412:$AD$514,ROW()-(ROW($B$230))))</f>
        <v>#NUM!</v>
      </c>
      <c r="K265" s="745" t="e">
        <f>IF(J265&gt;0,INDEX(acute_overview_children!$A$412:$AH$514,MATCH(J265,acute_overview_children!$AD$412:$AD$514,0),3),"")</f>
        <v>#NUM!</v>
      </c>
      <c r="L265" s="755" t="e">
        <f>IF(J265=0,0,CONCATENATE(ROUND(VLOOKUP(K265,acute_overview_children!$C$412:$AH$514,3,FALSE),2)," / ",(ROUND(VLOOKUP(K265,acute_overview_children!$C$412:$AH$514,6,FALSE),2))))</f>
        <v>#NUM!</v>
      </c>
      <c r="M265" s="755" t="e">
        <f>IF(J265&gt;0,VLOOKUP(K265,acute_overview_children!$C$412:$AH$507,27,FALSE)*1000,"")</f>
        <v>#NUM!</v>
      </c>
      <c r="N265" s="766" t="e">
        <f>IF($K$6="not necessary",0,LARGE(acute_overview_adults!$AD$412:$AD$517,ROW()-(ROW(Results!$B$230))))</f>
        <v>#NUM!</v>
      </c>
      <c r="O265" s="745" t="e">
        <f>IF(Results!N265&gt;0,INDEX(acute_overview_adults!$A$412:$AH$517,MATCH(Results!N265,acute_overview_adults!$AD$412:$AD$517,0),3),"")</f>
        <v>#NUM!</v>
      </c>
      <c r="P265" s="755" t="e">
        <f>IF(N265=0,0,CONCATENATE(ROUND(VLOOKUP(O265,acute_overview_adults!$C$412:$AH$517,3,FALSE),2)," / ",(ROUND(VLOOKUP(O265,acute_overview_adults!$C$412:$AH$517,6,FALSE),2))))</f>
        <v>#NUM!</v>
      </c>
      <c r="Q265" s="755" t="e">
        <f>IF(N265&gt;0,VLOOKUP(O265,acute_overview_adults!$C$412:$AH$510,27,FALSE)*1000,"")</f>
        <v>#NUM!</v>
      </c>
    </row>
    <row r="266" spans="1:17" ht="12" hidden="1" customHeight="1" outlineLevel="1" x14ac:dyDescent="0.2">
      <c r="A266" s="850"/>
      <c r="B266" s="236" t="e">
        <f>IF($K$6="not necessary",0,LARGE(acute_overview_children!$AA$412:$AA$514,ROW()-(ROW(Results!$B$230))))</f>
        <v>#NUM!</v>
      </c>
      <c r="C266" s="543" t="e">
        <f>IF(Results!B266&gt;0,INDEX(acute_overview_children!$A$412:$AH$514,MATCH(Results!B266,acute_overview_children!$AA$412:$AA$514,0),3),"")</f>
        <v>#NUM!</v>
      </c>
      <c r="D266" s="253" t="e">
        <f>IF(B266=0,0,CONCATENATE(ROUND(VLOOKUP(C266,acute_overview_children!$C$412:$E$514,3,FALSE),2)," / ",(ROUND(VLOOKUP(C266,acute_overview_children!$C$412:$F$514,4,FALSE),2))))</f>
        <v>#NUM!</v>
      </c>
      <c r="E266" s="238" t="e">
        <f>IF(B266&gt;0,VLOOKUP(C266,acute_overview_children!$C$412:$AH$507,24,FALSE)*1000,"")</f>
        <v>#NUM!</v>
      </c>
      <c r="F266" s="546" t="e">
        <f>IF($K$6="not necessary",0,LARGE(acute_overview_adults!$AA$412:$AA$493,ROW()-(ROW($B$230))))</f>
        <v>#NUM!</v>
      </c>
      <c r="G266" s="237" t="e">
        <f>IF(F266&gt;0,INDEX(acute_overview_adults!$A$412:$AH$517,MATCH(F266,acute_overview_adults!$AA$412:$AA$517,0),3),"")</f>
        <v>#NUM!</v>
      </c>
      <c r="H266" s="259" t="e">
        <f>IF(F266=0,0,CONCATENATE(ROUND(VLOOKUP(G266,acute_overview_adults!$C$412:$E$517,3,FALSE),2)," / ",(ROUND(VLOOKUP(G266,acute_overview_adults!$C$412:$F$517,4,FALSE),2))))</f>
        <v>#NUM!</v>
      </c>
      <c r="I266" s="1160" t="e">
        <f>IF(F266&gt;0,VLOOKUP(G266,acute_overview_adults!$C$412:$AH$510,24,FALSE)*1000,"")</f>
        <v>#NUM!</v>
      </c>
      <c r="J266" s="1131" t="e">
        <f>IF($K$6="not necessary",0,LARGE(acute_overview_children!$AD$412:$AD$514,ROW()-(ROW($B$230))))</f>
        <v>#NUM!</v>
      </c>
      <c r="K266" s="745" t="e">
        <f>IF(J266&gt;0,INDEX(acute_overview_children!$A$412:$AH$514,MATCH(J266,acute_overview_children!$AD$412:$AD$514,0),3),"")</f>
        <v>#NUM!</v>
      </c>
      <c r="L266" s="755" t="e">
        <f>IF(J266=0,0,CONCATENATE(ROUND(VLOOKUP(K266,acute_overview_children!$C$412:$AH$514,3,FALSE),2)," / ",(ROUND(VLOOKUP(K266,acute_overview_children!$C$412:$AH$514,6,FALSE),2))))</f>
        <v>#NUM!</v>
      </c>
      <c r="M266" s="755" t="e">
        <f>IF(J266&gt;0,VLOOKUP(K266,acute_overview_children!$C$412:$AH$507,27,FALSE)*1000,"")</f>
        <v>#NUM!</v>
      </c>
      <c r="N266" s="766" t="e">
        <f>IF($K$6="not necessary",0,LARGE(acute_overview_adults!$AD$412:$AD$517,ROW()-(ROW(Results!$B$230))))</f>
        <v>#NUM!</v>
      </c>
      <c r="O266" s="745" t="e">
        <f>IF(Results!N266&gt;0,INDEX(acute_overview_adults!$A$412:$AH$517,MATCH(Results!N266,acute_overview_adults!$AD$412:$AD$517,0),3),"")</f>
        <v>#NUM!</v>
      </c>
      <c r="P266" s="755" t="e">
        <f>IF(N266=0,0,CONCATENATE(ROUND(VLOOKUP(O266,acute_overview_adults!$C$412:$AH$517,3,FALSE),2)," / ",(ROUND(VLOOKUP(O266,acute_overview_adults!$C$412:$AH$517,6,FALSE),2))))</f>
        <v>#NUM!</v>
      </c>
      <c r="Q266" s="755" t="e">
        <f>IF(N266&gt;0,VLOOKUP(O266,acute_overview_adults!$C$412:$AH$510,27,FALSE)*1000,"")</f>
        <v>#NUM!</v>
      </c>
    </row>
    <row r="267" spans="1:17" ht="12" hidden="1" customHeight="1" outlineLevel="1" x14ac:dyDescent="0.2">
      <c r="A267" s="850"/>
      <c r="B267" s="236" t="e">
        <f>IF($K$6="not necessary",0,LARGE(acute_overview_children!$AA$412:$AA$514,ROW()-(ROW(Results!$B$230))))</f>
        <v>#NUM!</v>
      </c>
      <c r="C267" s="543" t="e">
        <f>IF(Results!B267&gt;0,INDEX(acute_overview_children!$A$412:$AH$514,MATCH(Results!B267,acute_overview_children!$AA$412:$AA$514,0),3),"")</f>
        <v>#NUM!</v>
      </c>
      <c r="D267" s="253" t="e">
        <f>IF(B267=0,0,CONCATENATE(ROUND(VLOOKUP(C267,acute_overview_children!$C$412:$E$514,3,FALSE),2)," / ",(ROUND(VLOOKUP(C267,acute_overview_children!$C$412:$F$514,4,FALSE),2))))</f>
        <v>#NUM!</v>
      </c>
      <c r="E267" s="238" t="e">
        <f>IF(B267&gt;0,VLOOKUP(C267,acute_overview_children!$C$412:$AH$507,24,FALSE)*1000,"")</f>
        <v>#NUM!</v>
      </c>
      <c r="F267" s="546" t="e">
        <f>IF($K$6="not necessary",0,LARGE(acute_overview_adults!$AA$412:$AA$493,ROW()-(ROW($B$230))))</f>
        <v>#NUM!</v>
      </c>
      <c r="G267" s="237" t="e">
        <f>IF(F267&gt;0,INDEX(acute_overview_adults!$A$412:$AH$517,MATCH(F267,acute_overview_adults!$AA$412:$AA$517,0),3),"")</f>
        <v>#NUM!</v>
      </c>
      <c r="H267" s="259" t="e">
        <f>IF(F267=0,0,CONCATENATE(ROUND(VLOOKUP(G267,acute_overview_adults!$C$412:$E$517,3,FALSE),2)," / ",(ROUND(VLOOKUP(G267,acute_overview_adults!$C$412:$F$517,4,FALSE),2))))</f>
        <v>#NUM!</v>
      </c>
      <c r="I267" s="1160" t="e">
        <f>IF(F267&gt;0,VLOOKUP(G267,acute_overview_adults!$C$412:$AH$510,24,FALSE)*1000,"")</f>
        <v>#NUM!</v>
      </c>
      <c r="J267" s="1131" t="e">
        <f>IF($K$6="not necessary",0,LARGE(acute_overview_children!$AD$412:$AD$514,ROW()-(ROW($B$230))))</f>
        <v>#NUM!</v>
      </c>
      <c r="K267" s="745" t="e">
        <f>IF(J267&gt;0,INDEX(acute_overview_children!$A$412:$AH$514,MATCH(J267,acute_overview_children!$AD$412:$AD$514,0),3),"")</f>
        <v>#NUM!</v>
      </c>
      <c r="L267" s="755" t="e">
        <f>IF(J267=0,0,CONCATENATE(ROUND(VLOOKUP(K267,acute_overview_children!$C$412:$AH$514,3,FALSE),2)," / ",(ROUND(VLOOKUP(K267,acute_overview_children!$C$412:$AH$514,6,FALSE),2))))</f>
        <v>#NUM!</v>
      </c>
      <c r="M267" s="755" t="e">
        <f>IF(J267&gt;0,VLOOKUP(K267,acute_overview_children!$C$412:$AH$507,27,FALSE)*1000,"")</f>
        <v>#NUM!</v>
      </c>
      <c r="N267" s="766" t="e">
        <f>IF($K$6="not necessary",0,LARGE(acute_overview_adults!$AD$412:$AD$517,ROW()-(ROW(Results!$B$230))))</f>
        <v>#NUM!</v>
      </c>
      <c r="O267" s="745" t="e">
        <f>IF(Results!N267&gt;0,INDEX(acute_overview_adults!$A$412:$AH$517,MATCH(Results!N267,acute_overview_adults!$AD$412:$AD$517,0),3),"")</f>
        <v>#NUM!</v>
      </c>
      <c r="P267" s="755" t="e">
        <f>IF(N267=0,0,CONCATENATE(ROUND(VLOOKUP(O267,acute_overview_adults!$C$412:$AH$517,3,FALSE),2)," / ",(ROUND(VLOOKUP(O267,acute_overview_adults!$C$412:$AH$517,6,FALSE),2))))</f>
        <v>#NUM!</v>
      </c>
      <c r="Q267" s="755" t="e">
        <f>IF(N267&gt;0,VLOOKUP(O267,acute_overview_adults!$C$412:$AH$510,27,FALSE)*1000,"")</f>
        <v>#NUM!</v>
      </c>
    </row>
    <row r="268" spans="1:17" ht="12" hidden="1" customHeight="1" outlineLevel="1" x14ac:dyDescent="0.2">
      <c r="A268" s="850"/>
      <c r="B268" s="236" t="e">
        <f>IF($K$6="not necessary",0,LARGE(acute_overview_children!$AA$412:$AA$514,ROW()-(ROW(Results!$B$230))))</f>
        <v>#NUM!</v>
      </c>
      <c r="C268" s="543" t="e">
        <f>IF(Results!B268&gt;0,INDEX(acute_overview_children!$A$412:$AH$514,MATCH(Results!B268,acute_overview_children!$AA$412:$AA$514,0),3),"")</f>
        <v>#NUM!</v>
      </c>
      <c r="D268" s="253" t="e">
        <f>IF(B268=0,0,CONCATENATE(ROUND(VLOOKUP(C268,acute_overview_children!$C$412:$E$514,3,FALSE),2)," / ",(ROUND(VLOOKUP(C268,acute_overview_children!$C$412:$F$514,4,FALSE),2))))</f>
        <v>#NUM!</v>
      </c>
      <c r="E268" s="238" t="e">
        <f>IF(B268&gt;0,VLOOKUP(C268,acute_overview_children!$C$412:$AH$507,24,FALSE)*1000,"")</f>
        <v>#NUM!</v>
      </c>
      <c r="F268" s="546" t="e">
        <f>IF($K$6="not necessary",0,LARGE(acute_overview_adults!$AA$412:$AA$493,ROW()-(ROW($B$230))))</f>
        <v>#NUM!</v>
      </c>
      <c r="G268" s="237" t="e">
        <f>IF(F268&gt;0,INDEX(acute_overview_adults!$A$412:$AH$517,MATCH(F268,acute_overview_adults!$AA$412:$AA$517,0),3),"")</f>
        <v>#NUM!</v>
      </c>
      <c r="H268" s="259" t="e">
        <f>IF(F268=0,0,CONCATENATE(ROUND(VLOOKUP(G268,acute_overview_adults!$C$412:$E$517,3,FALSE),2)," / ",(ROUND(VLOOKUP(G268,acute_overview_adults!$C$412:$F$517,4,FALSE),2))))</f>
        <v>#NUM!</v>
      </c>
      <c r="I268" s="1160" t="e">
        <f>IF(F268&gt;0,VLOOKUP(G268,acute_overview_adults!$C$412:$AH$510,24,FALSE)*1000,"")</f>
        <v>#NUM!</v>
      </c>
      <c r="J268" s="1131" t="e">
        <f>IF($K$6="not necessary",0,LARGE(acute_overview_children!$AD$412:$AD$514,ROW()-(ROW($B$230))))</f>
        <v>#NUM!</v>
      </c>
      <c r="K268" s="745" t="e">
        <f>IF(J268&gt;0,INDEX(acute_overview_children!$A$412:$AH$514,MATCH(J268,acute_overview_children!$AD$412:$AD$514,0),3),"")</f>
        <v>#NUM!</v>
      </c>
      <c r="L268" s="755" t="e">
        <f>IF(J268=0,0,CONCATENATE(ROUND(VLOOKUP(K268,acute_overview_children!$C$412:$AH$514,3,FALSE),2)," / ",(ROUND(VLOOKUP(K268,acute_overview_children!$C$412:$AH$514,6,FALSE),2))))</f>
        <v>#NUM!</v>
      </c>
      <c r="M268" s="755" t="e">
        <f>IF(J268&gt;0,VLOOKUP(K268,acute_overview_children!$C$412:$AH$507,27,FALSE)*1000,"")</f>
        <v>#NUM!</v>
      </c>
      <c r="N268" s="766" t="e">
        <f>IF($K$6="not necessary",0,LARGE(acute_overview_adults!$AD$412:$AD$517,ROW()-(ROW(Results!$B$230))))</f>
        <v>#NUM!</v>
      </c>
      <c r="O268" s="745" t="e">
        <f>IF(Results!N268&gt;0,INDEX(acute_overview_adults!$A$412:$AH$517,MATCH(Results!N268,acute_overview_adults!$AD$412:$AD$517,0),3),"")</f>
        <v>#NUM!</v>
      </c>
      <c r="P268" s="755" t="e">
        <f>IF(N268=0,0,CONCATENATE(ROUND(VLOOKUP(O268,acute_overview_adults!$C$412:$AH$517,3,FALSE),2)," / ",(ROUND(VLOOKUP(O268,acute_overview_adults!$C$412:$AH$517,6,FALSE),2))))</f>
        <v>#NUM!</v>
      </c>
      <c r="Q268" s="755" t="e">
        <f>IF(N268&gt;0,VLOOKUP(O268,acute_overview_adults!$C$412:$AH$510,27,FALSE)*1000,"")</f>
        <v>#NUM!</v>
      </c>
    </row>
    <row r="269" spans="1:17" ht="12" hidden="1" customHeight="1" outlineLevel="1" x14ac:dyDescent="0.2">
      <c r="A269" s="850"/>
      <c r="B269" s="236" t="e">
        <f>IF($K$6="not necessary",0,LARGE(acute_overview_children!$AA$412:$AA$514,ROW()-(ROW(Results!$B$230))))</f>
        <v>#NUM!</v>
      </c>
      <c r="C269" s="543" t="e">
        <f>IF(Results!B269&gt;0,INDEX(acute_overview_children!$A$412:$AH$514,MATCH(Results!B269,acute_overview_children!$AA$412:$AA$514,0),3),"")</f>
        <v>#NUM!</v>
      </c>
      <c r="D269" s="253" t="e">
        <f>IF(B269=0,0,CONCATENATE(ROUND(VLOOKUP(C269,acute_overview_children!$C$412:$E$514,3,FALSE),2)," / ",(ROUND(VLOOKUP(C269,acute_overview_children!$C$412:$F$514,4,FALSE),2))))</f>
        <v>#NUM!</v>
      </c>
      <c r="E269" s="238" t="e">
        <f>IF(B269&gt;0,VLOOKUP(C269,acute_overview_children!$C$412:$AH$507,24,FALSE)*1000,"")</f>
        <v>#NUM!</v>
      </c>
      <c r="F269" s="546" t="e">
        <f>IF($K$6="not necessary",0,LARGE(acute_overview_adults!$AA$412:$AA$493,ROW()-(ROW($B$230))))</f>
        <v>#NUM!</v>
      </c>
      <c r="G269" s="237" t="e">
        <f>IF(F269&gt;0,INDEX(acute_overview_adults!$A$412:$AH$517,MATCH(F269,acute_overview_adults!$AA$412:$AA$517,0),3),"")</f>
        <v>#NUM!</v>
      </c>
      <c r="H269" s="259" t="e">
        <f>IF(F269=0,0,CONCATENATE(ROUND(VLOOKUP(G269,acute_overview_adults!$C$412:$E$517,3,FALSE),2)," / ",(ROUND(VLOOKUP(G269,acute_overview_adults!$C$412:$F$517,4,FALSE),2))))</f>
        <v>#NUM!</v>
      </c>
      <c r="I269" s="1160" t="e">
        <f>IF(F269&gt;0,VLOOKUP(G269,acute_overview_adults!$C$412:$AH$510,24,FALSE)*1000,"")</f>
        <v>#NUM!</v>
      </c>
      <c r="J269" s="1131" t="e">
        <f>IF($K$6="not necessary",0,LARGE(acute_overview_children!$AD$412:$AD$514,ROW()-(ROW($B$230))))</f>
        <v>#NUM!</v>
      </c>
      <c r="K269" s="745" t="e">
        <f>IF(J269&gt;0,INDEX(acute_overview_children!$A$412:$AH$514,MATCH(J269,acute_overview_children!$AD$412:$AD$514,0),3),"")</f>
        <v>#NUM!</v>
      </c>
      <c r="L269" s="755" t="e">
        <f>IF(J269=0,0,CONCATENATE(ROUND(VLOOKUP(K269,acute_overview_children!$C$412:$AH$514,3,FALSE),2)," / ",(ROUND(VLOOKUP(K269,acute_overview_children!$C$412:$AH$514,6,FALSE),2))))</f>
        <v>#NUM!</v>
      </c>
      <c r="M269" s="755" t="e">
        <f>IF(J269&gt;0,VLOOKUP(K269,acute_overview_children!$C$412:$AH$507,27,FALSE)*1000,"")</f>
        <v>#NUM!</v>
      </c>
      <c r="N269" s="766" t="e">
        <f>IF($K$6="not necessary",0,LARGE(acute_overview_adults!$AD$412:$AD$517,ROW()-(ROW(Results!$B$230))))</f>
        <v>#NUM!</v>
      </c>
      <c r="O269" s="745" t="e">
        <f>IF(Results!N269&gt;0,INDEX(acute_overview_adults!$A$412:$AH$517,MATCH(Results!N269,acute_overview_adults!$AD$412:$AD$517,0),3),"")</f>
        <v>#NUM!</v>
      </c>
      <c r="P269" s="755" t="e">
        <f>IF(N269=0,0,CONCATENATE(ROUND(VLOOKUP(O269,acute_overview_adults!$C$412:$AH$517,3,FALSE),2)," / ",(ROUND(VLOOKUP(O269,acute_overview_adults!$C$412:$AH$517,6,FALSE),2))))</f>
        <v>#NUM!</v>
      </c>
      <c r="Q269" s="755" t="e">
        <f>IF(N269&gt;0,VLOOKUP(O269,acute_overview_adults!$C$412:$AH$510,27,FALSE)*1000,"")</f>
        <v>#NUM!</v>
      </c>
    </row>
    <row r="270" spans="1:17" ht="12" hidden="1" customHeight="1" outlineLevel="1" x14ac:dyDescent="0.2">
      <c r="A270" s="850"/>
      <c r="B270" s="236" t="e">
        <f>IF($K$6="not necessary",0,LARGE(acute_overview_children!$AA$412:$AA$514,ROW()-(ROW(Results!$B$230))))</f>
        <v>#NUM!</v>
      </c>
      <c r="C270" s="543" t="e">
        <f>IF(Results!B270&gt;0,INDEX(acute_overview_children!$A$412:$AH$514,MATCH(Results!B270,acute_overview_children!$AA$412:$AA$514,0),3),"")</f>
        <v>#NUM!</v>
      </c>
      <c r="D270" s="253" t="e">
        <f>IF(B270=0,0,CONCATENATE(ROUND(VLOOKUP(C270,acute_overview_children!$C$412:$E$514,3,FALSE),2)," / ",(ROUND(VLOOKUP(C270,acute_overview_children!$C$412:$F$514,4,FALSE),2))))</f>
        <v>#NUM!</v>
      </c>
      <c r="E270" s="238" t="e">
        <f>IF(B270&gt;0,VLOOKUP(C270,acute_overview_children!$C$412:$AH$507,24,FALSE)*1000,"")</f>
        <v>#NUM!</v>
      </c>
      <c r="F270" s="546" t="e">
        <f>IF($K$6="not necessary",0,LARGE(acute_overview_adults!$AA$412:$AA$493,ROW()-(ROW($B$230))))</f>
        <v>#NUM!</v>
      </c>
      <c r="G270" s="237" t="e">
        <f>IF(F270&gt;0,INDEX(acute_overview_adults!$A$412:$AH$517,MATCH(F270,acute_overview_adults!$AA$412:$AA$517,0),3),"")</f>
        <v>#NUM!</v>
      </c>
      <c r="H270" s="259" t="e">
        <f>IF(F270=0,0,CONCATENATE(ROUND(VLOOKUP(G270,acute_overview_adults!$C$412:$E$517,3,FALSE),2)," / ",(ROUND(VLOOKUP(G270,acute_overview_adults!$C$412:$F$517,4,FALSE),2))))</f>
        <v>#NUM!</v>
      </c>
      <c r="I270" s="1160" t="e">
        <f>IF(F270&gt;0,VLOOKUP(G270,acute_overview_adults!$C$412:$AH$510,24,FALSE)*1000,"")</f>
        <v>#NUM!</v>
      </c>
      <c r="J270" s="1131" t="e">
        <f>IF($K$6="not necessary",0,LARGE(acute_overview_children!$AD$412:$AD$514,ROW()-(ROW($B$230))))</f>
        <v>#NUM!</v>
      </c>
      <c r="K270" s="745" t="e">
        <f>IF(J270&gt;0,INDEX(acute_overview_children!$A$412:$AH$514,MATCH(J270,acute_overview_children!$AD$412:$AD$514,0),3),"")</f>
        <v>#NUM!</v>
      </c>
      <c r="L270" s="755" t="e">
        <f>IF(J270=0,0,CONCATENATE(ROUND(VLOOKUP(K270,acute_overview_children!$C$412:$AH$514,3,FALSE),2)," / ",(ROUND(VLOOKUP(K270,acute_overview_children!$C$412:$AH$514,6,FALSE),2))))</f>
        <v>#NUM!</v>
      </c>
      <c r="M270" s="755" t="e">
        <f>IF(J270&gt;0,VLOOKUP(K270,acute_overview_children!$C$412:$AH$507,27,FALSE)*1000,"")</f>
        <v>#NUM!</v>
      </c>
      <c r="N270" s="766" t="e">
        <f>IF($K$6="not necessary",0,LARGE(acute_overview_adults!$AD$412:$AD$517,ROW()-(ROW(Results!$B$230))))</f>
        <v>#NUM!</v>
      </c>
      <c r="O270" s="745" t="e">
        <f>IF(Results!N270&gt;0,INDEX(acute_overview_adults!$A$412:$AH$517,MATCH(Results!N270,acute_overview_adults!$AD$412:$AD$517,0),3),"")</f>
        <v>#NUM!</v>
      </c>
      <c r="P270" s="755" t="e">
        <f>IF(N270=0,0,CONCATENATE(ROUND(VLOOKUP(O270,acute_overview_adults!$C$412:$AH$517,3,FALSE),2)," / ",(ROUND(VLOOKUP(O270,acute_overview_adults!$C$412:$AH$517,6,FALSE),2))))</f>
        <v>#NUM!</v>
      </c>
      <c r="Q270" s="755" t="e">
        <f>IF(N270&gt;0,VLOOKUP(O270,acute_overview_adults!$C$412:$AH$510,27,FALSE)*1000,"")</f>
        <v>#NUM!</v>
      </c>
    </row>
    <row r="271" spans="1:17" ht="12" hidden="1" customHeight="1" outlineLevel="1" x14ac:dyDescent="0.2">
      <c r="A271" s="850"/>
      <c r="B271" s="236" t="e">
        <f>IF($K$6="not necessary",0,LARGE(acute_overview_children!$AA$412:$AA$514,ROW()-(ROW(Results!$B$230))))</f>
        <v>#NUM!</v>
      </c>
      <c r="C271" s="543" t="e">
        <f>IF(Results!B271&gt;0,INDEX(acute_overview_children!$A$412:$AH$514,MATCH(Results!B271,acute_overview_children!$AA$412:$AA$514,0),3),"")</f>
        <v>#NUM!</v>
      </c>
      <c r="D271" s="253" t="e">
        <f>IF(B271=0,0,CONCATENATE(ROUND(VLOOKUP(C271,acute_overview_children!$C$412:$E$514,3,FALSE),2)," / ",(ROUND(VLOOKUP(C271,acute_overview_children!$C$412:$F$514,4,FALSE),2))))</f>
        <v>#NUM!</v>
      </c>
      <c r="E271" s="238" t="e">
        <f>IF(B271&gt;0,VLOOKUP(C271,acute_overview_children!$C$412:$AH$507,24,FALSE)*1000,"")</f>
        <v>#NUM!</v>
      </c>
      <c r="F271" s="546" t="e">
        <f>IF($K$6="not necessary",0,LARGE(acute_overview_adults!$AA$412:$AA$493,ROW()-(ROW($B$230))))</f>
        <v>#NUM!</v>
      </c>
      <c r="G271" s="237" t="e">
        <f>IF(F271&gt;0,INDEX(acute_overview_adults!$A$412:$AH$517,MATCH(F271,acute_overview_adults!$AA$412:$AA$517,0),3),"")</f>
        <v>#NUM!</v>
      </c>
      <c r="H271" s="259" t="e">
        <f>IF(F271=0,0,CONCATENATE(ROUND(VLOOKUP(G271,acute_overview_adults!$C$412:$E$517,3,FALSE),2)," / ",(ROUND(VLOOKUP(G271,acute_overview_adults!$C$412:$F$517,4,FALSE),2))))</f>
        <v>#NUM!</v>
      </c>
      <c r="I271" s="1160" t="e">
        <f>IF(F271&gt;0,VLOOKUP(G271,acute_overview_adults!$C$412:$AH$510,24,FALSE)*1000,"")</f>
        <v>#NUM!</v>
      </c>
      <c r="J271" s="1131" t="e">
        <f>IF($K$6="not necessary",0,LARGE(acute_overview_children!$AD$412:$AD$514,ROW()-(ROW($B$230))))</f>
        <v>#NUM!</v>
      </c>
      <c r="K271" s="745" t="e">
        <f>IF(J271&gt;0,INDEX(acute_overview_children!$A$412:$AH$514,MATCH(J271,acute_overview_children!$AD$412:$AD$514,0),3),"")</f>
        <v>#NUM!</v>
      </c>
      <c r="L271" s="755" t="e">
        <f>IF(J271=0,0,CONCATENATE(ROUND(VLOOKUP(K271,acute_overview_children!$C$412:$AH$514,3,FALSE),2)," / ",(ROUND(VLOOKUP(K271,acute_overview_children!$C$412:$AH$514,6,FALSE),2))))</f>
        <v>#NUM!</v>
      </c>
      <c r="M271" s="755" t="e">
        <f>IF(J271&gt;0,VLOOKUP(K271,acute_overview_children!$C$412:$AH$507,27,FALSE)*1000,"")</f>
        <v>#NUM!</v>
      </c>
      <c r="N271" s="766" t="e">
        <f>IF($K$6="not necessary",0,LARGE(acute_overview_adults!$AD$412:$AD$517,ROW()-(ROW(Results!$B$230))))</f>
        <v>#NUM!</v>
      </c>
      <c r="O271" s="745" t="e">
        <f>IF(Results!N271&gt;0,INDEX(acute_overview_adults!$A$412:$AH$517,MATCH(Results!N271,acute_overview_adults!$AD$412:$AD$517,0),3),"")</f>
        <v>#NUM!</v>
      </c>
      <c r="P271" s="755" t="e">
        <f>IF(N271=0,0,CONCATENATE(ROUND(VLOOKUP(O271,acute_overview_adults!$C$412:$AH$517,3,FALSE),2)," / ",(ROUND(VLOOKUP(O271,acute_overview_adults!$C$412:$AH$517,6,FALSE),2))))</f>
        <v>#NUM!</v>
      </c>
      <c r="Q271" s="755" t="e">
        <f>IF(N271&gt;0,VLOOKUP(O271,acute_overview_adults!$C$412:$AH$510,27,FALSE)*1000,"")</f>
        <v>#NUM!</v>
      </c>
    </row>
    <row r="272" spans="1:17" ht="12" hidden="1" customHeight="1" outlineLevel="1" x14ac:dyDescent="0.2">
      <c r="A272" s="850"/>
      <c r="B272" s="236" t="e">
        <f>IF($K$6="not necessary",0,LARGE(acute_overview_children!$AA$412:$AA$514,ROW()-(ROW(Results!$B$230))))</f>
        <v>#NUM!</v>
      </c>
      <c r="C272" s="543" t="e">
        <f>IF(Results!B272&gt;0,INDEX(acute_overview_children!$A$412:$AH$514,MATCH(Results!B272,acute_overview_children!$AA$412:$AA$514,0),3),"")</f>
        <v>#NUM!</v>
      </c>
      <c r="D272" s="253" t="e">
        <f>IF(B272=0,0,CONCATENATE(ROUND(VLOOKUP(C272,acute_overview_children!$C$412:$E$514,3,FALSE),2)," / ",(ROUND(VLOOKUP(C272,acute_overview_children!$C$412:$F$514,4,FALSE),2))))</f>
        <v>#NUM!</v>
      </c>
      <c r="E272" s="238" t="e">
        <f>IF(B272&gt;0,VLOOKUP(C272,acute_overview_children!$C$412:$AH$507,24,FALSE)*1000,"")</f>
        <v>#NUM!</v>
      </c>
      <c r="F272" s="546" t="e">
        <f>IF($K$6="not necessary",0,LARGE(acute_overview_adults!$AA$412:$AA$493,ROW()-(ROW($B$230))))</f>
        <v>#NUM!</v>
      </c>
      <c r="G272" s="237" t="e">
        <f>IF(F272&gt;0,INDEX(acute_overview_adults!$A$412:$AH$517,MATCH(F272,acute_overview_adults!$AA$412:$AA$517,0),3),"")</f>
        <v>#NUM!</v>
      </c>
      <c r="H272" s="259" t="e">
        <f>IF(F272=0,0,CONCATENATE(ROUND(VLOOKUP(G272,acute_overview_adults!$C$412:$E$517,3,FALSE),2)," / ",(ROUND(VLOOKUP(G272,acute_overview_adults!$C$412:$F$517,4,FALSE),2))))</f>
        <v>#NUM!</v>
      </c>
      <c r="I272" s="1160" t="e">
        <f>IF(F272&gt;0,VLOOKUP(G272,acute_overview_adults!$C$412:$AH$510,24,FALSE)*1000,"")</f>
        <v>#NUM!</v>
      </c>
      <c r="J272" s="1131" t="e">
        <f>IF($K$6="not necessary",0,LARGE(acute_overview_children!$AD$412:$AD$514,ROW()-(ROW($B$230))))</f>
        <v>#NUM!</v>
      </c>
      <c r="K272" s="745" t="e">
        <f>IF(J272&gt;0,INDEX(acute_overview_children!$A$412:$AH$514,MATCH(J272,acute_overview_children!$AD$412:$AD$514,0),3),"")</f>
        <v>#NUM!</v>
      </c>
      <c r="L272" s="755" t="e">
        <f>IF(J272=0,0,CONCATENATE(ROUND(VLOOKUP(K272,acute_overview_children!$C$412:$AH$514,3,FALSE),2)," / ",(ROUND(VLOOKUP(K272,acute_overview_children!$C$412:$AH$514,6,FALSE),2))))</f>
        <v>#NUM!</v>
      </c>
      <c r="M272" s="755" t="e">
        <f>IF(J272&gt;0,VLOOKUP(K272,acute_overview_children!$C$412:$AH$507,27,FALSE)*1000,"")</f>
        <v>#NUM!</v>
      </c>
      <c r="N272" s="766" t="e">
        <f>IF($K$6="not necessary",0,LARGE(acute_overview_adults!$AD$412:$AD$517,ROW()-(ROW(Results!$B$230))))</f>
        <v>#NUM!</v>
      </c>
      <c r="O272" s="745" t="e">
        <f>IF(Results!N272&gt;0,INDEX(acute_overview_adults!$A$412:$AH$517,MATCH(Results!N272,acute_overview_adults!$AD$412:$AD$517,0),3),"")</f>
        <v>#NUM!</v>
      </c>
      <c r="P272" s="755" t="e">
        <f>IF(N272=0,0,CONCATENATE(ROUND(VLOOKUP(O272,acute_overview_adults!$C$412:$AH$517,3,FALSE),2)," / ",(ROUND(VLOOKUP(O272,acute_overview_adults!$C$412:$AH$517,6,FALSE),2))))</f>
        <v>#NUM!</v>
      </c>
      <c r="Q272" s="755" t="e">
        <f>IF(N272&gt;0,VLOOKUP(O272,acute_overview_adults!$C$412:$AH$510,27,FALSE)*1000,"")</f>
        <v>#NUM!</v>
      </c>
    </row>
    <row r="273" spans="1:17" ht="12" hidden="1" customHeight="1" outlineLevel="1" x14ac:dyDescent="0.2">
      <c r="A273" s="850"/>
      <c r="B273" s="236" t="e">
        <f>IF($K$6="not necessary",0,LARGE(acute_overview_children!$AA$412:$AA$514,ROW()-(ROW(Results!$B$230))))</f>
        <v>#NUM!</v>
      </c>
      <c r="C273" s="543" t="e">
        <f>IF(Results!B273&gt;0,INDEX(acute_overview_children!$A$412:$AH$514,MATCH(Results!B273,acute_overview_children!$AA$412:$AA$514,0),3),"")</f>
        <v>#NUM!</v>
      </c>
      <c r="D273" s="253" t="e">
        <f>IF(B273=0,0,CONCATENATE(ROUND(VLOOKUP(C273,acute_overview_children!$C$412:$E$514,3,FALSE),2)," / ",(ROUND(VLOOKUP(C273,acute_overview_children!$C$412:$F$514,4,FALSE),2))))</f>
        <v>#NUM!</v>
      </c>
      <c r="E273" s="238" t="e">
        <f>IF(B273&gt;0,VLOOKUP(C273,acute_overview_children!$C$412:$AH$507,24,FALSE)*1000,"")</f>
        <v>#NUM!</v>
      </c>
      <c r="F273" s="546" t="e">
        <f>IF($K$6="not necessary",0,LARGE(acute_overview_adults!$AA$412:$AA$493,ROW()-(ROW($B$230))))</f>
        <v>#NUM!</v>
      </c>
      <c r="G273" s="237" t="e">
        <f>IF(F273&gt;0,INDEX(acute_overview_adults!$A$412:$AH$517,MATCH(F273,acute_overview_adults!$AA$412:$AA$517,0),3),"")</f>
        <v>#NUM!</v>
      </c>
      <c r="H273" s="259" t="e">
        <f>IF(F273=0,0,CONCATENATE(ROUND(VLOOKUP(G273,acute_overview_adults!$C$412:$E$517,3,FALSE),2)," / ",(ROUND(VLOOKUP(G273,acute_overview_adults!$C$412:$F$517,4,FALSE),2))))</f>
        <v>#NUM!</v>
      </c>
      <c r="I273" s="1160" t="e">
        <f>IF(F273&gt;0,VLOOKUP(G273,acute_overview_adults!$C$412:$AH$510,24,FALSE)*1000,"")</f>
        <v>#NUM!</v>
      </c>
      <c r="J273" s="1131" t="e">
        <f>IF($K$6="not necessary",0,LARGE(acute_overview_children!$AD$412:$AD$514,ROW()-(ROW($B$230))))</f>
        <v>#NUM!</v>
      </c>
      <c r="K273" s="745" t="e">
        <f>IF(J273&gt;0,INDEX(acute_overview_children!$A$412:$AH$514,MATCH(J273,acute_overview_children!$AD$412:$AD$514,0),3),"")</f>
        <v>#NUM!</v>
      </c>
      <c r="L273" s="755" t="e">
        <f>IF(J273=0,0,CONCATENATE(ROUND(VLOOKUP(K273,acute_overview_children!$C$412:$AH$514,3,FALSE),2)," / ",(ROUND(VLOOKUP(K273,acute_overview_children!$C$412:$AH$514,6,FALSE),2))))</f>
        <v>#NUM!</v>
      </c>
      <c r="M273" s="755" t="e">
        <f>IF(J273&gt;0,VLOOKUP(K273,acute_overview_children!$C$412:$AH$507,27,FALSE)*1000,"")</f>
        <v>#NUM!</v>
      </c>
      <c r="N273" s="766" t="e">
        <f>IF($K$6="not necessary",0,LARGE(acute_overview_adults!$AD$412:$AD$517,ROW()-(ROW(Results!$B$230))))</f>
        <v>#NUM!</v>
      </c>
      <c r="O273" s="745" t="e">
        <f>IF(Results!N273&gt;0,INDEX(acute_overview_adults!$A$412:$AH$517,MATCH(Results!N273,acute_overview_adults!$AD$412:$AD$517,0),3),"")</f>
        <v>#NUM!</v>
      </c>
      <c r="P273" s="755" t="e">
        <f>IF(N273=0,0,CONCATENATE(ROUND(VLOOKUP(O273,acute_overview_adults!$C$412:$AH$517,3,FALSE),2)," / ",(ROUND(VLOOKUP(O273,acute_overview_adults!$C$412:$AH$517,6,FALSE),2))))</f>
        <v>#NUM!</v>
      </c>
      <c r="Q273" s="755" t="e">
        <f>IF(N273&gt;0,VLOOKUP(O273,acute_overview_adults!$C$412:$AH$510,27,FALSE)*1000,"")</f>
        <v>#NUM!</v>
      </c>
    </row>
    <row r="274" spans="1:17" ht="12" hidden="1" customHeight="1" outlineLevel="1" x14ac:dyDescent="0.2">
      <c r="A274" s="850"/>
      <c r="B274" s="236" t="e">
        <f>IF($K$6="not necessary",0,LARGE(acute_overview_children!$AA$412:$AA$514,ROW()-(ROW(Results!$B$230))))</f>
        <v>#NUM!</v>
      </c>
      <c r="C274" s="543" t="e">
        <f>IF(Results!B274&gt;0,INDEX(acute_overview_children!$A$412:$AH$514,MATCH(Results!B274,acute_overview_children!$AA$412:$AA$514,0),3),"")</f>
        <v>#NUM!</v>
      </c>
      <c r="D274" s="253" t="e">
        <f>IF(B274=0,0,CONCATENATE(ROUND(VLOOKUP(C274,acute_overview_children!$C$412:$E$514,3,FALSE),2)," / ",(ROUND(VLOOKUP(C274,acute_overview_children!$C$412:$F$514,4,FALSE),2))))</f>
        <v>#NUM!</v>
      </c>
      <c r="E274" s="238" t="e">
        <f>IF(B274&gt;0,VLOOKUP(C274,acute_overview_children!$C$412:$AH$507,24,FALSE)*1000,"")</f>
        <v>#NUM!</v>
      </c>
      <c r="F274" s="546" t="e">
        <f>IF($K$6="not necessary",0,LARGE(acute_overview_adults!$AA$412:$AA$493,ROW()-(ROW($B$230))))</f>
        <v>#NUM!</v>
      </c>
      <c r="G274" s="237" t="e">
        <f>IF(F274&gt;0,INDEX(acute_overview_adults!$A$412:$AH$517,MATCH(F274,acute_overview_adults!$AA$412:$AA$517,0),3),"")</f>
        <v>#NUM!</v>
      </c>
      <c r="H274" s="259" t="e">
        <f>IF(F274=0,0,CONCATENATE(ROUND(VLOOKUP(G274,acute_overview_adults!$C$412:$E$517,3,FALSE),2)," / ",(ROUND(VLOOKUP(G274,acute_overview_adults!$C$412:$F$517,4,FALSE),2))))</f>
        <v>#NUM!</v>
      </c>
      <c r="I274" s="1160" t="e">
        <f>IF(F274&gt;0,VLOOKUP(G274,acute_overview_adults!$C$412:$AH$510,24,FALSE)*1000,"")</f>
        <v>#NUM!</v>
      </c>
      <c r="J274" s="1131" t="e">
        <f>IF($K$6="not necessary",0,LARGE(acute_overview_children!$AD$412:$AD$514,ROW()-(ROW($B$230))))</f>
        <v>#NUM!</v>
      </c>
      <c r="K274" s="745" t="e">
        <f>IF(J274&gt;0,INDEX(acute_overview_children!$A$412:$AH$514,MATCH(J274,acute_overview_children!$AD$412:$AD$514,0),3),"")</f>
        <v>#NUM!</v>
      </c>
      <c r="L274" s="755" t="e">
        <f>IF(J274=0,0,CONCATENATE(ROUND(VLOOKUP(K274,acute_overview_children!$C$412:$AH$514,3,FALSE),2)," / ",(ROUND(VLOOKUP(K274,acute_overview_children!$C$412:$AH$514,6,FALSE),2))))</f>
        <v>#NUM!</v>
      </c>
      <c r="M274" s="755" t="e">
        <f>IF(J274&gt;0,VLOOKUP(K274,acute_overview_children!$C$412:$AH$507,27,FALSE)*1000,"")</f>
        <v>#NUM!</v>
      </c>
      <c r="N274" s="766" t="e">
        <f>IF($K$6="not necessary",0,LARGE(acute_overview_adults!$AD$412:$AD$517,ROW()-(ROW(Results!$B$230))))</f>
        <v>#NUM!</v>
      </c>
      <c r="O274" s="745" t="e">
        <f>IF(Results!N274&gt;0,INDEX(acute_overview_adults!$A$412:$AH$517,MATCH(Results!N274,acute_overview_adults!$AD$412:$AD$517,0),3),"")</f>
        <v>#NUM!</v>
      </c>
      <c r="P274" s="755" t="e">
        <f>IF(N274=0,0,CONCATENATE(ROUND(VLOOKUP(O274,acute_overview_adults!$C$412:$AH$517,3,FALSE),2)," / ",(ROUND(VLOOKUP(O274,acute_overview_adults!$C$412:$AH$517,6,FALSE),2))))</f>
        <v>#NUM!</v>
      </c>
      <c r="Q274" s="755" t="e">
        <f>IF(N274&gt;0,VLOOKUP(O274,acute_overview_adults!$C$412:$AH$510,27,FALSE)*1000,"")</f>
        <v>#NUM!</v>
      </c>
    </row>
    <row r="275" spans="1:17" ht="12" hidden="1" customHeight="1" outlineLevel="1" x14ac:dyDescent="0.2">
      <c r="A275" s="850"/>
      <c r="B275" s="236" t="e">
        <f>IF($K$6="not necessary",0,LARGE(acute_overview_children!$AA$412:$AA$514,ROW()-(ROW(Results!$B$230))))</f>
        <v>#NUM!</v>
      </c>
      <c r="C275" s="543" t="e">
        <f>IF(Results!B275&gt;0,INDEX(acute_overview_children!$A$412:$AH$514,MATCH(Results!B275,acute_overview_children!$AA$412:$AA$514,0),3),"")</f>
        <v>#NUM!</v>
      </c>
      <c r="D275" s="253" t="e">
        <f>IF(B275=0,0,CONCATENATE(ROUND(VLOOKUP(C275,acute_overview_children!$C$412:$E$514,3,FALSE),2)," / ",(ROUND(VLOOKUP(C275,acute_overview_children!$C$412:$F$514,4,FALSE),2))))</f>
        <v>#NUM!</v>
      </c>
      <c r="E275" s="238" t="e">
        <f>IF(B275&gt;0,VLOOKUP(C275,acute_overview_children!$C$412:$AH$507,24,FALSE)*1000,"")</f>
        <v>#NUM!</v>
      </c>
      <c r="F275" s="546" t="e">
        <f>IF($K$6="not necessary",0,LARGE(acute_overview_adults!$AA$412:$AA$493,ROW()-(ROW($B$230))))</f>
        <v>#NUM!</v>
      </c>
      <c r="G275" s="237" t="e">
        <f>IF(F275&gt;0,INDEX(acute_overview_adults!$A$412:$AH$517,MATCH(F275,acute_overview_adults!$AA$412:$AA$517,0),3),"")</f>
        <v>#NUM!</v>
      </c>
      <c r="H275" s="259" t="e">
        <f>IF(F275=0,0,CONCATENATE(ROUND(VLOOKUP(G275,acute_overview_adults!$C$412:$E$517,3,FALSE),2)," / ",(ROUND(VLOOKUP(G275,acute_overview_adults!$C$412:$F$517,4,FALSE),2))))</f>
        <v>#NUM!</v>
      </c>
      <c r="I275" s="1160" t="e">
        <f>IF(F275&gt;0,VLOOKUP(G275,acute_overview_adults!$C$412:$AH$510,24,FALSE)*1000,"")</f>
        <v>#NUM!</v>
      </c>
      <c r="J275" s="1131" t="e">
        <f>IF($K$6="not necessary",0,LARGE(acute_overview_children!$AD$412:$AD$514,ROW()-(ROW($B$230))))</f>
        <v>#NUM!</v>
      </c>
      <c r="K275" s="745" t="e">
        <f>IF(J275&gt;0,INDEX(acute_overview_children!$A$412:$AH$514,MATCH(J275,acute_overview_children!$AD$412:$AD$514,0),3),"")</f>
        <v>#NUM!</v>
      </c>
      <c r="L275" s="755" t="e">
        <f>IF(J275=0,0,CONCATENATE(ROUND(VLOOKUP(K275,acute_overview_children!$C$412:$AH$514,3,FALSE),2)," / ",(ROUND(VLOOKUP(K275,acute_overview_children!$C$412:$AH$514,6,FALSE),2))))</f>
        <v>#NUM!</v>
      </c>
      <c r="M275" s="755" t="e">
        <f>IF(J275&gt;0,VLOOKUP(K275,acute_overview_children!$C$412:$AH$507,27,FALSE)*1000,"")</f>
        <v>#NUM!</v>
      </c>
      <c r="N275" s="766" t="e">
        <f>IF($K$6="not necessary",0,LARGE(acute_overview_adults!$AD$412:$AD$517,ROW()-(ROW(Results!$B$230))))</f>
        <v>#NUM!</v>
      </c>
      <c r="O275" s="745" t="e">
        <f>IF(Results!N275&gt;0,INDEX(acute_overview_adults!$A$412:$AH$517,MATCH(Results!N275,acute_overview_adults!$AD$412:$AD$517,0),3),"")</f>
        <v>#NUM!</v>
      </c>
      <c r="P275" s="755" t="e">
        <f>IF(N275=0,0,CONCATENATE(ROUND(VLOOKUP(O275,acute_overview_adults!$C$412:$AH$517,3,FALSE),2)," / ",(ROUND(VLOOKUP(O275,acute_overview_adults!$C$412:$AH$517,6,FALSE),2))))</f>
        <v>#NUM!</v>
      </c>
      <c r="Q275" s="755" t="e">
        <f>IF(N275&gt;0,VLOOKUP(O275,acute_overview_adults!$C$412:$AH$510,27,FALSE)*1000,"")</f>
        <v>#NUM!</v>
      </c>
    </row>
    <row r="276" spans="1:17" ht="12" hidden="1" customHeight="1" outlineLevel="1" x14ac:dyDescent="0.2">
      <c r="A276" s="850"/>
      <c r="B276" s="236" t="e">
        <f>IF($K$6="not necessary",0,LARGE(acute_overview_children!$AA$412:$AA$514,ROW()-(ROW(Results!$B$230))))</f>
        <v>#NUM!</v>
      </c>
      <c r="C276" s="543" t="e">
        <f>IF(Results!B276&gt;0,INDEX(acute_overview_children!$A$412:$AH$514,MATCH(Results!B276,acute_overview_children!$AA$412:$AA$514,0),3),"")</f>
        <v>#NUM!</v>
      </c>
      <c r="D276" s="253" t="e">
        <f>IF(B276=0,0,CONCATENATE(ROUND(VLOOKUP(C276,acute_overview_children!$C$412:$E$514,3,FALSE),2)," / ",(ROUND(VLOOKUP(C276,acute_overview_children!$C$412:$F$514,4,FALSE),2))))</f>
        <v>#NUM!</v>
      </c>
      <c r="E276" s="238" t="e">
        <f>IF(B276&gt;0,VLOOKUP(C276,acute_overview_children!$C$412:$AH$507,24,FALSE)*1000,"")</f>
        <v>#NUM!</v>
      </c>
      <c r="F276" s="546" t="e">
        <f>IF($K$6="not necessary",0,LARGE(acute_overview_adults!$AA$412:$AA$493,ROW()-(ROW($B$230))))</f>
        <v>#NUM!</v>
      </c>
      <c r="G276" s="237" t="e">
        <f>IF(F276&gt;0,INDEX(acute_overview_adults!$A$412:$AH$517,MATCH(F276,acute_overview_adults!$AA$412:$AA$517,0),3),"")</f>
        <v>#NUM!</v>
      </c>
      <c r="H276" s="259" t="e">
        <f>IF(F276=0,0,CONCATENATE(ROUND(VLOOKUP(G276,acute_overview_adults!$C$412:$E$517,3,FALSE),2)," / ",(ROUND(VLOOKUP(G276,acute_overview_adults!$C$412:$F$517,4,FALSE),2))))</f>
        <v>#NUM!</v>
      </c>
      <c r="I276" s="1160" t="e">
        <f>IF(F276&gt;0,VLOOKUP(G276,acute_overview_adults!$C$412:$AH$510,24,FALSE)*1000,"")</f>
        <v>#NUM!</v>
      </c>
      <c r="J276" s="1131" t="e">
        <f>IF($K$6="not necessary",0,LARGE(acute_overview_children!$AD$412:$AD$514,ROW()-(ROW($B$230))))</f>
        <v>#NUM!</v>
      </c>
      <c r="K276" s="745" t="e">
        <f>IF(J276&gt;0,INDEX(acute_overview_children!$A$412:$AH$514,MATCH(J276,acute_overview_children!$AD$412:$AD$514,0),3),"")</f>
        <v>#NUM!</v>
      </c>
      <c r="L276" s="755" t="e">
        <f>IF(J276=0,0,CONCATENATE(ROUND(VLOOKUP(K276,acute_overview_children!$C$412:$AH$514,3,FALSE),2)," / ",(ROUND(VLOOKUP(K276,acute_overview_children!$C$412:$AH$514,6,FALSE),2))))</f>
        <v>#NUM!</v>
      </c>
      <c r="M276" s="755" t="e">
        <f>IF(J276&gt;0,VLOOKUP(K276,acute_overview_children!$C$412:$AH$507,27,FALSE)*1000,"")</f>
        <v>#NUM!</v>
      </c>
      <c r="N276" s="766" t="e">
        <f>IF($K$6="not necessary",0,LARGE(acute_overview_adults!$AD$412:$AD$517,ROW()-(ROW(Results!$B$230))))</f>
        <v>#NUM!</v>
      </c>
      <c r="O276" s="745" t="e">
        <f>IF(Results!N276&gt;0,INDEX(acute_overview_adults!$A$412:$AH$517,MATCH(Results!N276,acute_overview_adults!$AD$412:$AD$517,0),3),"")</f>
        <v>#NUM!</v>
      </c>
      <c r="P276" s="755" t="e">
        <f>IF(N276=0,0,CONCATENATE(ROUND(VLOOKUP(O276,acute_overview_adults!$C$412:$AH$517,3,FALSE),2)," / ",(ROUND(VLOOKUP(O276,acute_overview_adults!$C$412:$AH$517,6,FALSE),2))))</f>
        <v>#NUM!</v>
      </c>
      <c r="Q276" s="755" t="e">
        <f>IF(N276&gt;0,VLOOKUP(O276,acute_overview_adults!$C$412:$AH$510,27,FALSE)*1000,"")</f>
        <v>#NUM!</v>
      </c>
    </row>
    <row r="277" spans="1:17" ht="12" hidden="1" customHeight="1" outlineLevel="1" x14ac:dyDescent="0.2">
      <c r="A277" s="850"/>
      <c r="B277" s="236" t="e">
        <f>IF($K$6="not necessary",0,LARGE(acute_overview_children!$AA$412:$AA$514,ROW()-(ROW(Results!$B$230))))</f>
        <v>#NUM!</v>
      </c>
      <c r="C277" s="543" t="e">
        <f>IF(Results!B277&gt;0,INDEX(acute_overview_children!$A$412:$AH$514,MATCH(Results!B277,acute_overview_children!$AA$412:$AA$514,0),3),"")</f>
        <v>#NUM!</v>
      </c>
      <c r="D277" s="253" t="e">
        <f>IF(B277=0,0,CONCATENATE(ROUND(VLOOKUP(C277,acute_overview_children!$C$412:$E$514,3,FALSE),2)," / ",(ROUND(VLOOKUP(C277,acute_overview_children!$C$412:$F$514,4,FALSE),2))))</f>
        <v>#NUM!</v>
      </c>
      <c r="E277" s="238" t="e">
        <f>IF(B277&gt;0,VLOOKUP(C277,acute_overview_children!$C$412:$AH$507,24,FALSE)*1000,"")</f>
        <v>#NUM!</v>
      </c>
      <c r="F277" s="546" t="e">
        <f>IF($K$6="not necessary",0,LARGE(acute_overview_adults!$AA$412:$AA$493,ROW()-(ROW($B$230))))</f>
        <v>#NUM!</v>
      </c>
      <c r="G277" s="237" t="e">
        <f>IF(F277&gt;0,INDEX(acute_overview_adults!$A$412:$AH$517,MATCH(F277,acute_overview_adults!$AA$412:$AA$517,0),3),"")</f>
        <v>#NUM!</v>
      </c>
      <c r="H277" s="259" t="e">
        <f>IF(F277=0,0,CONCATENATE(ROUND(VLOOKUP(G277,acute_overview_adults!$C$412:$E$517,3,FALSE),2)," / ",(ROUND(VLOOKUP(G277,acute_overview_adults!$C$412:$F$517,4,FALSE),2))))</f>
        <v>#NUM!</v>
      </c>
      <c r="I277" s="1160" t="e">
        <f>IF(F277&gt;0,VLOOKUP(G277,acute_overview_adults!$C$412:$AH$510,24,FALSE)*1000,"")</f>
        <v>#NUM!</v>
      </c>
      <c r="J277" s="1131" t="e">
        <f>IF($K$6="not necessary",0,LARGE(acute_overview_children!$AD$412:$AD$514,ROW()-(ROW($B$230))))</f>
        <v>#NUM!</v>
      </c>
      <c r="K277" s="745" t="e">
        <f>IF(J277&gt;0,INDEX(acute_overview_children!$A$412:$AH$514,MATCH(J277,acute_overview_children!$AD$412:$AD$514,0),3),"")</f>
        <v>#NUM!</v>
      </c>
      <c r="L277" s="755" t="e">
        <f>IF(J277=0,0,CONCATENATE(ROUND(VLOOKUP(K277,acute_overview_children!$C$412:$AH$514,3,FALSE),2)," / ",(ROUND(VLOOKUP(K277,acute_overview_children!$C$412:$AH$514,6,FALSE),2))))</f>
        <v>#NUM!</v>
      </c>
      <c r="M277" s="755" t="e">
        <f>IF(J277&gt;0,VLOOKUP(K277,acute_overview_children!$C$412:$AH$507,27,FALSE)*1000,"")</f>
        <v>#NUM!</v>
      </c>
      <c r="N277" s="766" t="e">
        <f>IF($K$6="not necessary",0,LARGE(acute_overview_adults!$AD$412:$AD$517,ROW()-(ROW(Results!$B$230))))</f>
        <v>#NUM!</v>
      </c>
      <c r="O277" s="745" t="e">
        <f>IF(Results!N277&gt;0,INDEX(acute_overview_adults!$A$412:$AH$517,MATCH(Results!N277,acute_overview_adults!$AD$412:$AD$517,0),3),"")</f>
        <v>#NUM!</v>
      </c>
      <c r="P277" s="755" t="e">
        <f>IF(N277=0,0,CONCATENATE(ROUND(VLOOKUP(O277,acute_overview_adults!$C$412:$AH$517,3,FALSE),2)," / ",(ROUND(VLOOKUP(O277,acute_overview_adults!$C$412:$AH$517,6,FALSE),2))))</f>
        <v>#NUM!</v>
      </c>
      <c r="Q277" s="755" t="e">
        <f>IF(N277&gt;0,VLOOKUP(O277,acute_overview_adults!$C$412:$AH$510,27,FALSE)*1000,"")</f>
        <v>#NUM!</v>
      </c>
    </row>
    <row r="278" spans="1:17" ht="12" hidden="1" customHeight="1" outlineLevel="1" x14ac:dyDescent="0.2">
      <c r="A278" s="850"/>
      <c r="B278" s="236" t="e">
        <f>IF($K$6="not necessary",0,LARGE(acute_overview_children!$AA$412:$AA$514,ROW()-(ROW(Results!$B$230))))</f>
        <v>#NUM!</v>
      </c>
      <c r="C278" s="543" t="e">
        <f>IF(Results!B278&gt;0,INDEX(acute_overview_children!$A$412:$AH$514,MATCH(Results!B278,acute_overview_children!$AA$412:$AA$514,0),3),"")</f>
        <v>#NUM!</v>
      </c>
      <c r="D278" s="253" t="e">
        <f>IF(B278=0,0,CONCATENATE(ROUND(VLOOKUP(C278,acute_overview_children!$C$412:$E$514,3,FALSE),2)," / ",(ROUND(VLOOKUP(C278,acute_overview_children!$C$412:$F$514,4,FALSE),2))))</f>
        <v>#NUM!</v>
      </c>
      <c r="E278" s="238" t="e">
        <f>IF(B278&gt;0,VLOOKUP(C278,acute_overview_children!$C$412:$AH$507,24,FALSE)*1000,"")</f>
        <v>#NUM!</v>
      </c>
      <c r="F278" s="546" t="e">
        <f>IF($K$6="not necessary",0,LARGE(acute_overview_adults!$AA$412:$AA$493,ROW()-(ROW($B$230))))</f>
        <v>#NUM!</v>
      </c>
      <c r="G278" s="237" t="e">
        <f>IF(F278&gt;0,INDEX(acute_overview_adults!$A$412:$AH$517,MATCH(F278,acute_overview_adults!$AA$412:$AA$517,0),3),"")</f>
        <v>#NUM!</v>
      </c>
      <c r="H278" s="259" t="e">
        <f>IF(F278=0,0,CONCATENATE(ROUND(VLOOKUP(G278,acute_overview_adults!$C$412:$E$517,3,FALSE),2)," / ",(ROUND(VLOOKUP(G278,acute_overview_adults!$C$412:$F$517,4,FALSE),2))))</f>
        <v>#NUM!</v>
      </c>
      <c r="I278" s="1160" t="e">
        <f>IF(F278&gt;0,VLOOKUP(G278,acute_overview_adults!$C$412:$AH$510,24,FALSE)*1000,"")</f>
        <v>#NUM!</v>
      </c>
      <c r="J278" s="1131" t="e">
        <f>IF($K$6="not necessary",0,LARGE(acute_overview_children!$AD$412:$AD$514,ROW()-(ROW($B$230))))</f>
        <v>#NUM!</v>
      </c>
      <c r="K278" s="745" t="e">
        <f>IF(J278&gt;0,INDEX(acute_overview_children!$A$412:$AH$514,MATCH(J278,acute_overview_children!$AD$412:$AD$514,0),3),"")</f>
        <v>#NUM!</v>
      </c>
      <c r="L278" s="755" t="e">
        <f>IF(J278=0,0,CONCATENATE(ROUND(VLOOKUP(K278,acute_overview_children!$C$412:$AH$514,3,FALSE),2)," / ",(ROUND(VLOOKUP(K278,acute_overview_children!$C$412:$AH$514,6,FALSE),2))))</f>
        <v>#NUM!</v>
      </c>
      <c r="M278" s="755" t="e">
        <f>IF(J278&gt;0,VLOOKUP(K278,acute_overview_children!$C$412:$AH$507,27,FALSE)*1000,"")</f>
        <v>#NUM!</v>
      </c>
      <c r="N278" s="766" t="e">
        <f>IF($K$6="not necessary",0,LARGE(acute_overview_adults!$AD$412:$AD$517,ROW()-(ROW(Results!$B$230))))</f>
        <v>#NUM!</v>
      </c>
      <c r="O278" s="745" t="e">
        <f>IF(Results!N278&gt;0,INDEX(acute_overview_adults!$A$412:$AH$517,MATCH(Results!N278,acute_overview_adults!$AD$412:$AD$517,0),3),"")</f>
        <v>#NUM!</v>
      </c>
      <c r="P278" s="755" t="e">
        <f>IF(N278=0,0,CONCATENATE(ROUND(VLOOKUP(O278,acute_overview_adults!$C$412:$AH$517,3,FALSE),2)," / ",(ROUND(VLOOKUP(O278,acute_overview_adults!$C$412:$AH$517,6,FALSE),2))))</f>
        <v>#NUM!</v>
      </c>
      <c r="Q278" s="755" t="e">
        <f>IF(N278&gt;0,VLOOKUP(O278,acute_overview_adults!$C$412:$AH$510,27,FALSE)*1000,"")</f>
        <v>#NUM!</v>
      </c>
    </row>
    <row r="279" spans="1:17" ht="12" hidden="1" customHeight="1" outlineLevel="1" x14ac:dyDescent="0.2">
      <c r="A279" s="850"/>
      <c r="B279" s="236" t="e">
        <f>IF($K$6="not necessary",0,LARGE(acute_overview_children!$AA$412:$AA$514,ROW()-(ROW(Results!$B$230))))</f>
        <v>#NUM!</v>
      </c>
      <c r="C279" s="543" t="e">
        <f>IF(Results!B279&gt;0,INDEX(acute_overview_children!$A$412:$AH$514,MATCH(Results!B279,acute_overview_children!$AA$412:$AA$514,0),3),"")</f>
        <v>#NUM!</v>
      </c>
      <c r="D279" s="253" t="e">
        <f>IF(B279=0,0,CONCATENATE(ROUND(VLOOKUP(C279,acute_overview_children!$C$412:$E$514,3,FALSE),2)," / ",(ROUND(VLOOKUP(C279,acute_overview_children!$C$412:$F$514,4,FALSE),2))))</f>
        <v>#NUM!</v>
      </c>
      <c r="E279" s="238" t="e">
        <f>IF(B279&gt;0,VLOOKUP(C279,acute_overview_children!$C$412:$AH$507,24,FALSE)*1000,"")</f>
        <v>#NUM!</v>
      </c>
      <c r="F279" s="546" t="e">
        <f>IF($K$6="not necessary",0,LARGE(acute_overview_adults!$AA$412:$AA$493,ROW()-(ROW($B$230))))</f>
        <v>#NUM!</v>
      </c>
      <c r="G279" s="237" t="e">
        <f>IF(F279&gt;0,INDEX(acute_overview_adults!$A$412:$AH$517,MATCH(F279,acute_overview_adults!$AA$412:$AA$517,0),3),"")</f>
        <v>#NUM!</v>
      </c>
      <c r="H279" s="259" t="e">
        <f>IF(F279=0,0,CONCATENATE(ROUND(VLOOKUP(G279,acute_overview_adults!$C$412:$E$517,3,FALSE),2)," / ",(ROUND(VLOOKUP(G279,acute_overview_adults!$C$412:$F$517,4,FALSE),2))))</f>
        <v>#NUM!</v>
      </c>
      <c r="I279" s="1160" t="e">
        <f>IF(F279&gt;0,VLOOKUP(G279,acute_overview_adults!$C$412:$AH$510,24,FALSE)*1000,"")</f>
        <v>#NUM!</v>
      </c>
      <c r="J279" s="1131" t="e">
        <f>IF($K$6="not necessary",0,LARGE(acute_overview_children!$AD$412:$AD$514,ROW()-(ROW($B$230))))</f>
        <v>#NUM!</v>
      </c>
      <c r="K279" s="745" t="e">
        <f>IF(J279&gt;0,INDEX(acute_overview_children!$A$412:$AH$514,MATCH(J279,acute_overview_children!$AD$412:$AD$514,0),3),"")</f>
        <v>#NUM!</v>
      </c>
      <c r="L279" s="755" t="e">
        <f>IF(J279=0,0,CONCATENATE(ROUND(VLOOKUP(K279,acute_overview_children!$C$412:$AH$514,3,FALSE),2)," / ",(ROUND(VLOOKUP(K279,acute_overview_children!$C$412:$AH$514,6,FALSE),2))))</f>
        <v>#NUM!</v>
      </c>
      <c r="M279" s="755" t="e">
        <f>IF(J279&gt;0,VLOOKUP(K279,acute_overview_children!$C$412:$AH$507,27,FALSE)*1000,"")</f>
        <v>#NUM!</v>
      </c>
      <c r="N279" s="766" t="e">
        <f>IF($K$6="not necessary",0,LARGE(acute_overview_adults!$AD$412:$AD$517,ROW()-(ROW(Results!$B$230))))</f>
        <v>#NUM!</v>
      </c>
      <c r="O279" s="745" t="e">
        <f>IF(Results!N279&gt;0,INDEX(acute_overview_adults!$A$412:$AH$517,MATCH(Results!N279,acute_overview_adults!$AD$412:$AD$517,0),3),"")</f>
        <v>#NUM!</v>
      </c>
      <c r="P279" s="755" t="e">
        <f>IF(N279=0,0,CONCATENATE(ROUND(VLOOKUP(O279,acute_overview_adults!$C$412:$AH$517,3,FALSE),2)," / ",(ROUND(VLOOKUP(O279,acute_overview_adults!$C$412:$AH$517,6,FALSE),2))))</f>
        <v>#NUM!</v>
      </c>
      <c r="Q279" s="755" t="e">
        <f>IF(N279&gt;0,VLOOKUP(O279,acute_overview_adults!$C$412:$AH$510,27,FALSE)*1000,"")</f>
        <v>#NUM!</v>
      </c>
    </row>
    <row r="280" spans="1:17" ht="12" hidden="1" customHeight="1" outlineLevel="1" x14ac:dyDescent="0.2">
      <c r="A280" s="850"/>
      <c r="B280" s="236" t="e">
        <f>IF($K$6="not necessary",0,LARGE(acute_overview_children!$AA$412:$AA$514,ROW()-(ROW(Results!$B$230))))</f>
        <v>#NUM!</v>
      </c>
      <c r="C280" s="543" t="e">
        <f>IF(Results!B280&gt;0,INDEX(acute_overview_children!$A$412:$AH$514,MATCH(Results!B280,acute_overview_children!$AA$412:$AA$514,0),3),"")</f>
        <v>#NUM!</v>
      </c>
      <c r="D280" s="253" t="e">
        <f>IF(B280=0,0,CONCATENATE(ROUND(VLOOKUP(C280,acute_overview_children!$C$412:$E$514,3,FALSE),2)," / ",(ROUND(VLOOKUP(C280,acute_overview_children!$C$412:$F$514,4,FALSE),2))))</f>
        <v>#NUM!</v>
      </c>
      <c r="E280" s="238" t="e">
        <f>IF(B280&gt;0,VLOOKUP(C280,acute_overview_children!$C$412:$AH$507,24,FALSE)*1000,"")</f>
        <v>#NUM!</v>
      </c>
      <c r="F280" s="546" t="e">
        <f>IF($K$6="not necessary",0,LARGE(acute_overview_adults!$AA$412:$AA$493,ROW()-(ROW($B$230))))</f>
        <v>#NUM!</v>
      </c>
      <c r="G280" s="237" t="e">
        <f>IF(F280&gt;0,INDEX(acute_overview_adults!$A$412:$AH$517,MATCH(F280,acute_overview_adults!$AA$412:$AA$517,0),3),"")</f>
        <v>#NUM!</v>
      </c>
      <c r="H280" s="259" t="e">
        <f>IF(F280=0,0,CONCATENATE(ROUND(VLOOKUP(G280,acute_overview_adults!$C$412:$E$517,3,FALSE),2)," / ",(ROUND(VLOOKUP(G280,acute_overview_adults!$C$412:$F$517,4,FALSE),2))))</f>
        <v>#NUM!</v>
      </c>
      <c r="I280" s="1160" t="e">
        <f>IF(F280&gt;0,VLOOKUP(G280,acute_overview_adults!$C$412:$AH$510,24,FALSE)*1000,"")</f>
        <v>#NUM!</v>
      </c>
      <c r="J280" s="1131" t="e">
        <f>IF($K$6="not necessary",0,LARGE(acute_overview_children!$AD$412:$AD$514,ROW()-(ROW($B$230))))</f>
        <v>#NUM!</v>
      </c>
      <c r="K280" s="745" t="e">
        <f>IF(J280&gt;0,INDEX(acute_overview_children!$A$412:$AH$514,MATCH(J280,acute_overview_children!$AD$412:$AD$514,0),3),"")</f>
        <v>#NUM!</v>
      </c>
      <c r="L280" s="755" t="e">
        <f>IF(J280=0,0,CONCATENATE(ROUND(VLOOKUP(K280,acute_overview_children!$C$412:$AH$514,3,FALSE),2)," / ",(ROUND(VLOOKUP(K280,acute_overview_children!$C$412:$AH$514,6,FALSE),2))))</f>
        <v>#NUM!</v>
      </c>
      <c r="M280" s="755" t="e">
        <f>IF(J280&gt;0,VLOOKUP(K280,acute_overview_children!$C$412:$AH$507,27,FALSE)*1000,"")</f>
        <v>#NUM!</v>
      </c>
      <c r="N280" s="766" t="e">
        <f>IF($K$6="not necessary",0,LARGE(acute_overview_adults!$AD$412:$AD$517,ROW()-(ROW(Results!$B$230))))</f>
        <v>#NUM!</v>
      </c>
      <c r="O280" s="745" t="e">
        <f>IF(Results!N280&gt;0,INDEX(acute_overview_adults!$A$412:$AH$517,MATCH(Results!N280,acute_overview_adults!$AD$412:$AD$517,0),3),"")</f>
        <v>#NUM!</v>
      </c>
      <c r="P280" s="755" t="e">
        <f>IF(N280=0,0,CONCATENATE(ROUND(VLOOKUP(O280,acute_overview_adults!$C$412:$AH$517,3,FALSE),2)," / ",(ROUND(VLOOKUP(O280,acute_overview_adults!$C$412:$AH$517,6,FALSE),2))))</f>
        <v>#NUM!</v>
      </c>
      <c r="Q280" s="755" t="e">
        <f>IF(N280&gt;0,VLOOKUP(O280,acute_overview_adults!$C$412:$AH$510,27,FALSE)*1000,"")</f>
        <v>#NUM!</v>
      </c>
    </row>
    <row r="281" spans="1:17" ht="12" hidden="1" customHeight="1" outlineLevel="1" x14ac:dyDescent="0.2">
      <c r="A281" s="850"/>
      <c r="B281" s="236" t="e">
        <f>IF($K$6="not necessary",0,LARGE(acute_overview_children!$AA$412:$AA$514,ROW()-(ROW(Results!$B$230))))</f>
        <v>#NUM!</v>
      </c>
      <c r="C281" s="543" t="e">
        <f>IF(Results!B281&gt;0,INDEX(acute_overview_children!$A$412:$AH$514,MATCH(Results!B281,acute_overview_children!$AA$412:$AA$514,0),3),"")</f>
        <v>#NUM!</v>
      </c>
      <c r="D281" s="253" t="e">
        <f>IF(B281=0,0,CONCATENATE(ROUND(VLOOKUP(C281,acute_overview_children!$C$412:$E$514,3,FALSE),2)," / ",(ROUND(VLOOKUP(C281,acute_overview_children!$C$412:$F$514,4,FALSE),2))))</f>
        <v>#NUM!</v>
      </c>
      <c r="E281" s="238" t="e">
        <f>IF(B281&gt;0,VLOOKUP(C281,acute_overview_children!$C$412:$AH$507,24,FALSE)*1000,"")</f>
        <v>#NUM!</v>
      </c>
      <c r="F281" s="546" t="e">
        <f>IF($K$6="not necessary",0,LARGE(acute_overview_adults!$AA$412:$AA$493,ROW()-(ROW($B$230))))</f>
        <v>#NUM!</v>
      </c>
      <c r="G281" s="237" t="e">
        <f>IF(F281&gt;0,INDEX(acute_overview_adults!$A$412:$AH$517,MATCH(F281,acute_overview_adults!$AA$412:$AA$517,0),3),"")</f>
        <v>#NUM!</v>
      </c>
      <c r="H281" s="259" t="e">
        <f>IF(F281=0,0,CONCATENATE(ROUND(VLOOKUP(G281,acute_overview_adults!$C$412:$E$517,3,FALSE),2)," / ",(ROUND(VLOOKUP(G281,acute_overview_adults!$C$412:$F$517,4,FALSE),2))))</f>
        <v>#NUM!</v>
      </c>
      <c r="I281" s="1160" t="e">
        <f>IF(F281&gt;0,VLOOKUP(G281,acute_overview_adults!$C$412:$AH$510,24,FALSE)*1000,"")</f>
        <v>#NUM!</v>
      </c>
      <c r="J281" s="1131" t="e">
        <f>IF($K$6="not necessary",0,LARGE(acute_overview_children!$AD$412:$AD$514,ROW()-(ROW($B$230))))</f>
        <v>#NUM!</v>
      </c>
      <c r="K281" s="745" t="e">
        <f>IF(J281&gt;0,INDEX(acute_overview_children!$A$412:$AH$514,MATCH(J281,acute_overview_children!$AD$412:$AD$514,0),3),"")</f>
        <v>#NUM!</v>
      </c>
      <c r="L281" s="755" t="e">
        <f>IF(J281=0,0,CONCATENATE(ROUND(VLOOKUP(K281,acute_overview_children!$C$412:$AH$514,3,FALSE),2)," / ",(ROUND(VLOOKUP(K281,acute_overview_children!$C$412:$AH$514,6,FALSE),2))))</f>
        <v>#NUM!</v>
      </c>
      <c r="M281" s="755" t="e">
        <f>IF(J281&gt;0,VLOOKUP(K281,acute_overview_children!$C$412:$AH$507,27,FALSE)*1000,"")</f>
        <v>#NUM!</v>
      </c>
      <c r="N281" s="766" t="e">
        <f>IF($K$6="not necessary",0,LARGE(acute_overview_adults!$AD$412:$AD$517,ROW()-(ROW(Results!$B$230))))</f>
        <v>#NUM!</v>
      </c>
      <c r="O281" s="745" t="e">
        <f>IF(Results!N281&gt;0,INDEX(acute_overview_adults!$A$412:$AH$517,MATCH(Results!N281,acute_overview_adults!$AD$412:$AD$517,0),3),"")</f>
        <v>#NUM!</v>
      </c>
      <c r="P281" s="755" t="e">
        <f>IF(N281=0,0,CONCATENATE(ROUND(VLOOKUP(O281,acute_overview_adults!$C$412:$AH$517,3,FALSE),2)," / ",(ROUND(VLOOKUP(O281,acute_overview_adults!$C$412:$AH$517,6,FALSE),2))))</f>
        <v>#NUM!</v>
      </c>
      <c r="Q281" s="755" t="e">
        <f>IF(N281&gt;0,VLOOKUP(O281,acute_overview_adults!$C$412:$AH$510,27,FALSE)*1000,"")</f>
        <v>#NUM!</v>
      </c>
    </row>
    <row r="282" spans="1:17" ht="12" hidden="1" customHeight="1" outlineLevel="1" x14ac:dyDescent="0.2">
      <c r="A282" s="850"/>
      <c r="B282" s="236" t="e">
        <f>IF($K$6="not necessary",0,LARGE(acute_overview_children!$AA$412:$AA$514,ROW()-(ROW(Results!$B$230))))</f>
        <v>#NUM!</v>
      </c>
      <c r="C282" s="543" t="e">
        <f>IF(Results!B282&gt;0,INDEX(acute_overview_children!$A$412:$AH$514,MATCH(Results!B282,acute_overview_children!$AA$412:$AA$514,0),3),"")</f>
        <v>#NUM!</v>
      </c>
      <c r="D282" s="253" t="e">
        <f>IF(B282=0,0,CONCATENATE(ROUND(VLOOKUP(C282,acute_overview_children!$C$412:$E$514,3,FALSE),2)," / ",(ROUND(VLOOKUP(C282,acute_overview_children!$C$412:$F$514,4,FALSE),2))))</f>
        <v>#NUM!</v>
      </c>
      <c r="E282" s="238" t="e">
        <f>IF(B282&gt;0,VLOOKUP(C282,acute_overview_children!$C$412:$AH$507,24,FALSE)*1000,"")</f>
        <v>#NUM!</v>
      </c>
      <c r="F282" s="546" t="e">
        <f>IF($K$6="not necessary",0,LARGE(acute_overview_adults!$AA$412:$AA$493,ROW()-(ROW($B$230))))</f>
        <v>#NUM!</v>
      </c>
      <c r="G282" s="237" t="e">
        <f>IF(F282&gt;0,INDEX(acute_overview_adults!$A$412:$AH$517,MATCH(F282,acute_overview_adults!$AA$412:$AA$517,0),3),"")</f>
        <v>#NUM!</v>
      </c>
      <c r="H282" s="259" t="e">
        <f>IF(F282=0,0,CONCATENATE(ROUND(VLOOKUP(G282,acute_overview_adults!$C$412:$E$517,3,FALSE),2)," / ",(ROUND(VLOOKUP(G282,acute_overview_adults!$C$412:$F$517,4,FALSE),2))))</f>
        <v>#NUM!</v>
      </c>
      <c r="I282" s="1160" t="e">
        <f>IF(F282&gt;0,VLOOKUP(G282,acute_overview_adults!$C$412:$AH$510,24,FALSE)*1000,"")</f>
        <v>#NUM!</v>
      </c>
      <c r="J282" s="1131" t="e">
        <f>IF($K$6="not necessary",0,LARGE(acute_overview_children!$AD$412:$AD$514,ROW()-(ROW($B$230))))</f>
        <v>#NUM!</v>
      </c>
      <c r="K282" s="745" t="e">
        <f>IF(J282&gt;0,INDEX(acute_overview_children!$A$412:$AH$514,MATCH(J282,acute_overview_children!$AD$412:$AD$514,0),3),"")</f>
        <v>#NUM!</v>
      </c>
      <c r="L282" s="755" t="e">
        <f>IF(J282=0,0,CONCATENATE(ROUND(VLOOKUP(K282,acute_overview_children!$C$412:$AH$514,3,FALSE),2)," / ",(ROUND(VLOOKUP(K282,acute_overview_children!$C$412:$AH$514,6,FALSE),2))))</f>
        <v>#NUM!</v>
      </c>
      <c r="M282" s="755" t="e">
        <f>IF(J282&gt;0,VLOOKUP(K282,acute_overview_children!$C$412:$AH$507,27,FALSE)*1000,"")</f>
        <v>#NUM!</v>
      </c>
      <c r="N282" s="766" t="e">
        <f>IF($K$6="not necessary",0,LARGE(acute_overview_adults!$AD$412:$AD$517,ROW()-(ROW(Results!$B$230))))</f>
        <v>#NUM!</v>
      </c>
      <c r="O282" s="745" t="e">
        <f>IF(Results!N282&gt;0,INDEX(acute_overview_adults!$A$412:$AH$517,MATCH(Results!N282,acute_overview_adults!$AD$412:$AD$517,0),3),"")</f>
        <v>#NUM!</v>
      </c>
      <c r="P282" s="755" t="e">
        <f>IF(N282=0,0,CONCATENATE(ROUND(VLOOKUP(O282,acute_overview_adults!$C$412:$AH$517,3,FALSE),2)," / ",(ROUND(VLOOKUP(O282,acute_overview_adults!$C$412:$AH$517,6,FALSE),2))))</f>
        <v>#NUM!</v>
      </c>
      <c r="Q282" s="755" t="e">
        <f>IF(N282&gt;0,VLOOKUP(O282,acute_overview_adults!$C$412:$AH$510,27,FALSE)*1000,"")</f>
        <v>#NUM!</v>
      </c>
    </row>
    <row r="283" spans="1:17" ht="12" hidden="1" customHeight="1" outlineLevel="1" x14ac:dyDescent="0.2">
      <c r="A283" s="850"/>
      <c r="B283" s="236" t="e">
        <f>IF($K$6="not necessary",0,LARGE(acute_overview_children!$AA$412:$AA$514,ROW()-(ROW(Results!$B$230))))</f>
        <v>#NUM!</v>
      </c>
      <c r="C283" s="543" t="e">
        <f>IF(Results!B283&gt;0,INDEX(acute_overview_children!$A$412:$AH$514,MATCH(Results!B283,acute_overview_children!$AA$412:$AA$514,0),3),"")</f>
        <v>#NUM!</v>
      </c>
      <c r="D283" s="253" t="e">
        <f>IF(B283=0,0,CONCATENATE(ROUND(VLOOKUP(C283,acute_overview_children!$C$412:$E$514,3,FALSE),2)," / ",(ROUND(VLOOKUP(C283,acute_overview_children!$C$412:$F$514,4,FALSE),2))))</f>
        <v>#NUM!</v>
      </c>
      <c r="E283" s="238" t="e">
        <f>IF(B283&gt;0,VLOOKUP(C283,acute_overview_children!$C$412:$AH$507,24,FALSE)*1000,"")</f>
        <v>#NUM!</v>
      </c>
      <c r="F283" s="546" t="e">
        <f>IF($K$6="not necessary",0,LARGE(acute_overview_adults!$AA$412:$AA$493,ROW()-(ROW($B$230))))</f>
        <v>#NUM!</v>
      </c>
      <c r="G283" s="237" t="e">
        <f>IF(F283&gt;0,INDEX(acute_overview_adults!$A$412:$AH$517,MATCH(F283,acute_overview_adults!$AA$412:$AA$517,0),3),"")</f>
        <v>#NUM!</v>
      </c>
      <c r="H283" s="259" t="e">
        <f>IF(F283=0,0,CONCATENATE(ROUND(VLOOKUP(G283,acute_overview_adults!$C$412:$E$517,3,FALSE),2)," / ",(ROUND(VLOOKUP(G283,acute_overview_adults!$C$412:$F$517,4,FALSE),2))))</f>
        <v>#NUM!</v>
      </c>
      <c r="I283" s="1160" t="e">
        <f>IF(F283&gt;0,VLOOKUP(G283,acute_overview_adults!$C$412:$AH$510,24,FALSE)*1000,"")</f>
        <v>#NUM!</v>
      </c>
      <c r="J283" s="1131" t="e">
        <f>IF($K$6="not necessary",0,LARGE(acute_overview_children!$AD$412:$AD$514,ROW()-(ROW($B$230))))</f>
        <v>#NUM!</v>
      </c>
      <c r="K283" s="745" t="e">
        <f>IF(J283&gt;0,INDEX(acute_overview_children!$A$412:$AH$514,MATCH(J283,acute_overview_children!$AD$412:$AD$514,0),3),"")</f>
        <v>#NUM!</v>
      </c>
      <c r="L283" s="755" t="e">
        <f>IF(J283=0,0,CONCATENATE(ROUND(VLOOKUP(K283,acute_overview_children!$C$412:$AH$514,3,FALSE),2)," / ",(ROUND(VLOOKUP(K283,acute_overview_children!$C$412:$AH$514,6,FALSE),2))))</f>
        <v>#NUM!</v>
      </c>
      <c r="M283" s="755" t="e">
        <f>IF(J283&gt;0,VLOOKUP(K283,acute_overview_children!$C$412:$AH$507,27,FALSE)*1000,"")</f>
        <v>#NUM!</v>
      </c>
      <c r="N283" s="766" t="e">
        <f>IF($K$6="not necessary",0,LARGE(acute_overview_adults!$AD$412:$AD$517,ROW()-(ROW(Results!$B$230))))</f>
        <v>#NUM!</v>
      </c>
      <c r="O283" s="745" t="e">
        <f>IF(Results!N283&gt;0,INDEX(acute_overview_adults!$A$412:$AH$517,MATCH(Results!N283,acute_overview_adults!$AD$412:$AD$517,0),3),"")</f>
        <v>#NUM!</v>
      </c>
      <c r="P283" s="755" t="e">
        <f>IF(N283=0,0,CONCATENATE(ROUND(VLOOKUP(O283,acute_overview_adults!$C$412:$AH$517,3,FALSE),2)," / ",(ROUND(VLOOKUP(O283,acute_overview_adults!$C$412:$AH$517,6,FALSE),2))))</f>
        <v>#NUM!</v>
      </c>
      <c r="Q283" s="755" t="e">
        <f>IF(N283&gt;0,VLOOKUP(O283,acute_overview_adults!$C$412:$AH$510,27,FALSE)*1000,"")</f>
        <v>#NUM!</v>
      </c>
    </row>
    <row r="284" spans="1:17" ht="12" hidden="1" customHeight="1" outlineLevel="1" x14ac:dyDescent="0.2">
      <c r="A284" s="850"/>
      <c r="B284" s="236" t="e">
        <f>IF($K$6="not necessary",0,LARGE(acute_overview_children!$AA$412:$AA$514,ROW()-(ROW(Results!$B$230))))</f>
        <v>#NUM!</v>
      </c>
      <c r="C284" s="543" t="e">
        <f>IF(Results!B284&gt;0,INDEX(acute_overview_children!$A$412:$AH$514,MATCH(Results!B284,acute_overview_children!$AA$412:$AA$514,0),3),"")</f>
        <v>#NUM!</v>
      </c>
      <c r="D284" s="253" t="e">
        <f>IF(B284=0,0,CONCATENATE(ROUND(VLOOKUP(C284,acute_overview_children!$C$412:$E$514,3,FALSE),2)," / ",(ROUND(VLOOKUP(C284,acute_overview_children!$C$412:$F$514,4,FALSE),2))))</f>
        <v>#NUM!</v>
      </c>
      <c r="E284" s="238" t="e">
        <f>IF(B284&gt;0,VLOOKUP(C284,acute_overview_children!$C$412:$AH$507,24,FALSE)*1000,"")</f>
        <v>#NUM!</v>
      </c>
      <c r="F284" s="546" t="e">
        <f>IF($K$6="not necessary",0,LARGE(acute_overview_adults!$AA$412:$AA$493,ROW()-(ROW($B$230))))</f>
        <v>#NUM!</v>
      </c>
      <c r="G284" s="237" t="e">
        <f>IF(F284&gt;0,INDEX(acute_overview_adults!$A$412:$AH$517,MATCH(F284,acute_overview_adults!$AA$412:$AA$517,0),3),"")</f>
        <v>#NUM!</v>
      </c>
      <c r="H284" s="259" t="e">
        <f>IF(F284=0,0,CONCATENATE(ROUND(VLOOKUP(G284,acute_overview_adults!$C$412:$E$517,3,FALSE),2)," / ",(ROUND(VLOOKUP(G284,acute_overview_adults!$C$412:$F$517,4,FALSE),2))))</f>
        <v>#NUM!</v>
      </c>
      <c r="I284" s="1160" t="e">
        <f>IF(F284&gt;0,VLOOKUP(G284,acute_overview_adults!$C$412:$AH$510,24,FALSE)*1000,"")</f>
        <v>#NUM!</v>
      </c>
      <c r="J284" s="1131" t="e">
        <f>IF($K$6="not necessary",0,LARGE(acute_overview_children!$AD$412:$AD$514,ROW()-(ROW($B$230))))</f>
        <v>#NUM!</v>
      </c>
      <c r="K284" s="745" t="e">
        <f>IF(J284&gt;0,INDEX(acute_overview_children!$A$412:$AH$514,MATCH(J284,acute_overview_children!$AD$412:$AD$514,0),3),"")</f>
        <v>#NUM!</v>
      </c>
      <c r="L284" s="755" t="e">
        <f>IF(J284=0,0,CONCATENATE(ROUND(VLOOKUP(K284,acute_overview_children!$C$412:$AH$514,3,FALSE),2)," / ",(ROUND(VLOOKUP(K284,acute_overview_children!$C$412:$AH$514,6,FALSE),2))))</f>
        <v>#NUM!</v>
      </c>
      <c r="M284" s="755" t="e">
        <f>IF(J284&gt;0,VLOOKUP(K284,acute_overview_children!$C$412:$AH$507,27,FALSE)*1000,"")</f>
        <v>#NUM!</v>
      </c>
      <c r="N284" s="766" t="e">
        <f>IF($K$6="not necessary",0,LARGE(acute_overview_adults!$AD$412:$AD$517,ROW()-(ROW(Results!$B$230))))</f>
        <v>#NUM!</v>
      </c>
      <c r="O284" s="1238" t="e">
        <f>IF(Results!N284&gt;0,INDEX(acute_overview_adults!$A$412:$AH$517,MATCH(Results!N284,acute_overview_adults!$AD$412:$AD$517,0),3),"")</f>
        <v>#NUM!</v>
      </c>
      <c r="P284" s="755" t="e">
        <f>IF(N284=0,0,CONCATENATE(ROUND(VLOOKUP(O284,acute_overview_adults!$C$412:$AH$517,3,FALSE),2)," / ",(ROUND(VLOOKUP(O284,acute_overview_adults!$C$412:$AH$517,6,FALSE),2))))</f>
        <v>#NUM!</v>
      </c>
      <c r="Q284" s="755" t="e">
        <f>IF(N284&gt;0,VLOOKUP(O284,acute_overview_adults!$C$412:$AH$510,27,FALSE)*1000,"")</f>
        <v>#NUM!</v>
      </c>
    </row>
    <row r="285" spans="1:17" ht="12" hidden="1" customHeight="1" outlineLevel="1" x14ac:dyDescent="0.2">
      <c r="A285" s="850"/>
      <c r="B285" s="236" t="e">
        <f>IF($K$6="not necessary",0,LARGE(acute_overview_children!$AA$412:$AA$514,ROW()-(ROW(Results!$B$230))))</f>
        <v>#NUM!</v>
      </c>
      <c r="C285" s="543" t="e">
        <f>IF(Results!B285&gt;0,INDEX(acute_overview_children!$A$412:$AH$514,MATCH(Results!B285,acute_overview_children!$AA$412:$AA$514,0),3),"")</f>
        <v>#NUM!</v>
      </c>
      <c r="D285" s="253" t="e">
        <f>IF(B285=0,0,CONCATENATE(ROUND(VLOOKUP(C285,acute_overview_children!$C$412:$E$514,3,FALSE),2)," / ",(ROUND(VLOOKUP(C285,acute_overview_children!$C$412:$F$514,4,FALSE),2))))</f>
        <v>#NUM!</v>
      </c>
      <c r="E285" s="238" t="e">
        <f>IF(B285&gt;0,VLOOKUP(C285,acute_overview_children!$C$412:$AH$507,24,FALSE)*1000,"")</f>
        <v>#NUM!</v>
      </c>
      <c r="F285" s="546" t="e">
        <f>IF($K$6="not necessary",0,LARGE(acute_overview_adults!$AA$412:$AA$493,ROW()-(ROW($B$230))))</f>
        <v>#NUM!</v>
      </c>
      <c r="G285" s="237" t="e">
        <f>IF(F285&gt;0,INDEX(acute_overview_adults!$A$412:$AH$517,MATCH(F285,acute_overview_adults!$AA$412:$AA$517,0),3),"")</f>
        <v>#NUM!</v>
      </c>
      <c r="H285" s="259" t="e">
        <f>IF(F285=0,0,CONCATENATE(ROUND(VLOOKUP(G285,acute_overview_adults!$C$412:$E$517,3,FALSE),2)," / ",(ROUND(VLOOKUP(G285,acute_overview_adults!$C$412:$F$517,4,FALSE),2))))</f>
        <v>#NUM!</v>
      </c>
      <c r="I285" s="1160" t="e">
        <f>IF(F285&gt;0,VLOOKUP(G285,acute_overview_adults!$C$412:$AH$510,24,FALSE)*1000,"")</f>
        <v>#NUM!</v>
      </c>
      <c r="J285" s="1131" t="e">
        <f>IF($K$6="not necessary",0,LARGE(acute_overview_children!$AD$412:$AD$514,ROW()-(ROW($B$230))))</f>
        <v>#NUM!</v>
      </c>
      <c r="K285" s="745" t="e">
        <f>IF(J285&gt;0,INDEX(acute_overview_children!$A$412:$AH$514,MATCH(J285,acute_overview_children!$AD$412:$AD$514,0),3),"")</f>
        <v>#NUM!</v>
      </c>
      <c r="L285" s="755" t="e">
        <f>IF(J285=0,0,CONCATENATE(ROUND(VLOOKUP(K285,acute_overview_children!$C$412:$AH$514,3,FALSE),2)," / ",(ROUND(VLOOKUP(K285,acute_overview_children!$C$412:$AH$514,6,FALSE),2))))</f>
        <v>#NUM!</v>
      </c>
      <c r="M285" s="755" t="e">
        <f>IF(J285&gt;0,VLOOKUP(K285,acute_overview_children!$C$412:$AH$507,27,FALSE)*1000,"")</f>
        <v>#NUM!</v>
      </c>
      <c r="N285" s="766" t="e">
        <f>IF($K$6="not necessary",0,LARGE(acute_overview_adults!$AD$412:$AD$517,ROW()-(ROW(Results!$B$230))))</f>
        <v>#NUM!</v>
      </c>
      <c r="O285" s="745" t="e">
        <f>IF(Results!N285&gt;0,INDEX(acute_overview_adults!$A$412:$AH$517,MATCH(Results!N285,acute_overview_adults!$AD$412:$AD$517,0),3),"")</f>
        <v>#NUM!</v>
      </c>
      <c r="P285" s="755" t="e">
        <f>IF(N285=0,0,CONCATENATE(ROUND(VLOOKUP(O285,acute_overview_adults!$C$412:$AH$517,3,FALSE),2)," / ",(ROUND(VLOOKUP(O285,acute_overview_adults!$C$412:$AH$517,6,FALSE),2))))</f>
        <v>#NUM!</v>
      </c>
      <c r="Q285" s="755" t="e">
        <f>IF(N285&gt;0,VLOOKUP(O285,acute_overview_adults!$C$412:$AH$510,27,FALSE)*1000,"")</f>
        <v>#NUM!</v>
      </c>
    </row>
    <row r="286" spans="1:17" ht="12" hidden="1" customHeight="1" outlineLevel="1" x14ac:dyDescent="0.2">
      <c r="A286" s="850"/>
      <c r="B286" s="236" t="e">
        <f>IF($K$6="not necessary",0,LARGE(acute_overview_children!$AA$412:$AA$514,ROW()-(ROW(Results!$B$230))))</f>
        <v>#NUM!</v>
      </c>
      <c r="C286" s="543" t="e">
        <f>IF(Results!B286&gt;0,INDEX(acute_overview_children!$A$412:$AH$514,MATCH(Results!B286,acute_overview_children!$AA$412:$AA$514,0),3),"")</f>
        <v>#NUM!</v>
      </c>
      <c r="D286" s="253" t="e">
        <f>IF(B286=0,0,CONCATENATE(ROUND(VLOOKUP(C286,acute_overview_children!$C$412:$E$514,3,FALSE),2)," / ",(ROUND(VLOOKUP(C286,acute_overview_children!$C$412:$F$514,4,FALSE),2))))</f>
        <v>#NUM!</v>
      </c>
      <c r="E286" s="238" t="e">
        <f>IF(B286&gt;0,VLOOKUP(C286,acute_overview_children!$C$412:$AH$507,24,FALSE)*1000,"")</f>
        <v>#NUM!</v>
      </c>
      <c r="F286" s="546" t="e">
        <f>IF($K$6="not necessary",0,LARGE(acute_overview_adults!$AA$412:$AA$493,ROW()-(ROW($B$230))))</f>
        <v>#NUM!</v>
      </c>
      <c r="G286" s="237" t="e">
        <f>IF(F286&gt;0,INDEX(acute_overview_adults!$A$412:$AH$517,MATCH(F286,acute_overview_adults!$AA$412:$AA$517,0),3),"")</f>
        <v>#NUM!</v>
      </c>
      <c r="H286" s="259" t="e">
        <f>IF(F286=0,0,CONCATENATE(ROUND(VLOOKUP(G286,acute_overview_adults!$C$412:$E$517,3,FALSE),2)," / ",(ROUND(VLOOKUP(G286,acute_overview_adults!$C$412:$F$517,4,FALSE),2))))</f>
        <v>#NUM!</v>
      </c>
      <c r="I286" s="1160" t="e">
        <f>IF(F286&gt;0,VLOOKUP(G286,acute_overview_adults!$C$412:$AH$510,24,FALSE)*1000,"")</f>
        <v>#NUM!</v>
      </c>
      <c r="J286" s="1131" t="e">
        <f>IF($K$6="not necessary",0,LARGE(acute_overview_children!$AD$412:$AD$514,ROW()-(ROW($B$230))))</f>
        <v>#NUM!</v>
      </c>
      <c r="K286" s="745" t="e">
        <f>IF(J286&gt;0,INDEX(acute_overview_children!$A$412:$AH$514,MATCH(J286,acute_overview_children!$AD$412:$AD$514,0),3),"")</f>
        <v>#NUM!</v>
      </c>
      <c r="L286" s="755" t="e">
        <f>IF(J286=0,0,CONCATENATE(ROUND(VLOOKUP(K286,acute_overview_children!$C$412:$AH$514,3,FALSE),2)," / ",(ROUND(VLOOKUP(K286,acute_overview_children!$C$412:$AH$514,6,FALSE),2))))</f>
        <v>#NUM!</v>
      </c>
      <c r="M286" s="755" t="e">
        <f>IF(J286&gt;0,VLOOKUP(K286,acute_overview_children!$C$412:$AH$507,27,FALSE)*1000,"")</f>
        <v>#NUM!</v>
      </c>
      <c r="N286" s="766" t="e">
        <f>IF($K$6="not necessary",0,LARGE(acute_overview_adults!$AD$412:$AD$517,ROW()-(ROW(Results!$B$230))))</f>
        <v>#NUM!</v>
      </c>
      <c r="O286" s="745" t="e">
        <f>IF(Results!N286&gt;0,INDEX(acute_overview_adults!$A$412:$AH$517,MATCH(Results!N286,acute_overview_adults!$AD$412:$AD$517,0),3),"")</f>
        <v>#NUM!</v>
      </c>
      <c r="P286" s="755" t="e">
        <f>IF(N286=0,0,CONCATENATE(ROUND(VLOOKUP(O286,acute_overview_adults!$C$412:$AH$517,3,FALSE),2)," / ",(ROUND(VLOOKUP(O286,acute_overview_adults!$C$412:$AH$517,6,FALSE),2))))</f>
        <v>#NUM!</v>
      </c>
      <c r="Q286" s="755" t="e">
        <f>IF(N286&gt;0,VLOOKUP(O286,acute_overview_adults!$C$412:$AH$510,27,FALSE)*1000,"")</f>
        <v>#NUM!</v>
      </c>
    </row>
    <row r="287" spans="1:17" ht="12" hidden="1" customHeight="1" outlineLevel="1" x14ac:dyDescent="0.2">
      <c r="A287" s="850"/>
      <c r="B287" s="236" t="e">
        <f>IF($K$6="not necessary",0,LARGE(acute_overview_children!$AA$412:$AA$514,ROW()-(ROW(Results!$B$230))))</f>
        <v>#NUM!</v>
      </c>
      <c r="C287" s="543" t="e">
        <f>IF(Results!B287&gt;0,INDEX(acute_overview_children!$A$412:$AH$514,MATCH(Results!B287,acute_overview_children!$AA$412:$AA$514,0),3),"")</f>
        <v>#NUM!</v>
      </c>
      <c r="D287" s="253" t="e">
        <f>IF(B287=0,0,CONCATENATE(ROUND(VLOOKUP(C287,acute_overview_children!$C$412:$E$514,3,FALSE),2)," / ",(ROUND(VLOOKUP(C287,acute_overview_children!$C$412:$F$514,4,FALSE),2))))</f>
        <v>#NUM!</v>
      </c>
      <c r="E287" s="238" t="e">
        <f>IF(B287&gt;0,VLOOKUP(C287,acute_overview_children!$C$412:$AH$507,24,FALSE)*1000,"")</f>
        <v>#NUM!</v>
      </c>
      <c r="F287" s="546" t="e">
        <f>IF($K$6="not necessary",0,LARGE(acute_overview_adults!$AA$412:$AA$493,ROW()-(ROW($B$230))))</f>
        <v>#NUM!</v>
      </c>
      <c r="G287" s="237" t="e">
        <f>IF(F287&gt;0,INDEX(acute_overview_adults!$A$412:$AH$517,MATCH(F287,acute_overview_adults!$AA$412:$AA$517,0),3),"")</f>
        <v>#NUM!</v>
      </c>
      <c r="H287" s="259" t="e">
        <f>IF(F287=0,0,CONCATENATE(ROUND(VLOOKUP(G287,acute_overview_adults!$C$412:$E$517,3,FALSE),2)," / ",(ROUND(VLOOKUP(G287,acute_overview_adults!$C$412:$F$517,4,FALSE),2))))</f>
        <v>#NUM!</v>
      </c>
      <c r="I287" s="1160" t="e">
        <f>IF(F287&gt;0,VLOOKUP(G287,acute_overview_adults!$C$412:$AH$510,24,FALSE)*1000,"")</f>
        <v>#NUM!</v>
      </c>
      <c r="J287" s="1131" t="e">
        <f>IF($K$6="not necessary",0,LARGE(acute_overview_children!$AD$412:$AD$514,ROW()-(ROW($B$230))))</f>
        <v>#NUM!</v>
      </c>
      <c r="K287" s="745" t="e">
        <f>IF(J287&gt;0,INDEX(acute_overview_children!$A$412:$AH$514,MATCH(J287,acute_overview_children!$AD$412:$AD$514,0),3),"")</f>
        <v>#NUM!</v>
      </c>
      <c r="L287" s="755" t="e">
        <f>IF(J287=0,0,CONCATENATE(ROUND(VLOOKUP(K287,acute_overview_children!$C$412:$AH$514,3,FALSE),2)," / ",(ROUND(VLOOKUP(K287,acute_overview_children!$C$412:$AH$514,6,FALSE),2))))</f>
        <v>#NUM!</v>
      </c>
      <c r="M287" s="755" t="e">
        <f>IF(J287&gt;0,VLOOKUP(K287,acute_overview_children!$C$412:$AH$507,27,FALSE)*1000,"")</f>
        <v>#NUM!</v>
      </c>
      <c r="N287" s="766" t="e">
        <f>IF($K$6="not necessary",0,LARGE(acute_overview_adults!$AD$412:$AD$517,ROW()-(ROW(Results!$B$230))))</f>
        <v>#NUM!</v>
      </c>
      <c r="O287" s="745" t="e">
        <f>IF(Results!N287&gt;0,INDEX(acute_overview_adults!$A$412:$AH$517,MATCH(Results!N287,acute_overview_adults!$AD$412:$AD$517,0),3),"")</f>
        <v>#NUM!</v>
      </c>
      <c r="P287" s="755" t="e">
        <f>IF(N287=0,0,CONCATENATE(ROUND(VLOOKUP(O287,acute_overview_adults!$C$412:$AH$517,3,FALSE),2)," / ",(ROUND(VLOOKUP(O287,acute_overview_adults!$C$412:$AH$517,6,FALSE),2))))</f>
        <v>#NUM!</v>
      </c>
      <c r="Q287" s="755" t="e">
        <f>IF(N287&gt;0,VLOOKUP(O287,acute_overview_adults!$C$412:$AH$510,27,FALSE)*1000,"")</f>
        <v>#NUM!</v>
      </c>
    </row>
    <row r="288" spans="1:17" ht="12" hidden="1" customHeight="1" outlineLevel="1" x14ac:dyDescent="0.2">
      <c r="A288" s="850"/>
      <c r="B288" s="236" t="e">
        <f>IF($K$6="not necessary",0,LARGE(acute_overview_children!$AA$412:$AA$514,ROW()-(ROW(Results!$B$230))))</f>
        <v>#NUM!</v>
      </c>
      <c r="C288" s="543" t="e">
        <f>IF(Results!B288&gt;0,INDEX(acute_overview_children!$A$412:$AH$514,MATCH(Results!B288,acute_overview_children!$AA$412:$AA$514,0),3),"")</f>
        <v>#NUM!</v>
      </c>
      <c r="D288" s="253" t="e">
        <f>IF(B288=0,0,CONCATENATE(ROUND(VLOOKUP(C288,acute_overview_children!$C$412:$E$514,3,FALSE),2)," / ",(ROUND(VLOOKUP(C288,acute_overview_children!$C$412:$F$514,4,FALSE),2))))</f>
        <v>#NUM!</v>
      </c>
      <c r="E288" s="238" t="e">
        <f>IF(B288&gt;0,VLOOKUP(C288,acute_overview_children!$C$412:$AH$507,24,FALSE)*1000,"")</f>
        <v>#NUM!</v>
      </c>
      <c r="F288" s="546" t="e">
        <f>IF($K$6="not necessary",0,LARGE(acute_overview_adults!$AA$412:$AA$493,ROW()-(ROW($B$230))))</f>
        <v>#NUM!</v>
      </c>
      <c r="G288" s="237" t="e">
        <f>IF(F288&gt;0,INDEX(acute_overview_adults!$A$412:$AH$517,MATCH(F288,acute_overview_adults!$AA$412:$AA$517,0),3),"")</f>
        <v>#NUM!</v>
      </c>
      <c r="H288" s="259" t="e">
        <f>IF(F288=0,0,CONCATENATE(ROUND(VLOOKUP(G288,acute_overview_adults!$C$412:$E$517,3,FALSE),2)," / ",(ROUND(VLOOKUP(G288,acute_overview_adults!$C$412:$F$517,4,FALSE),2))))</f>
        <v>#NUM!</v>
      </c>
      <c r="I288" s="1160" t="e">
        <f>IF(F288&gt;0,VLOOKUP(G288,acute_overview_adults!$C$412:$AH$510,24,FALSE)*1000,"")</f>
        <v>#NUM!</v>
      </c>
      <c r="J288" s="1131" t="e">
        <f>IF($K$6="not necessary",0,LARGE(acute_overview_children!$AD$412:$AD$514,ROW()-(ROW($B$230))))</f>
        <v>#NUM!</v>
      </c>
      <c r="K288" s="745" t="e">
        <f>IF(J288&gt;0,INDEX(acute_overview_children!$A$412:$AH$514,MATCH(J288,acute_overview_children!$AD$412:$AD$514,0),3),"")</f>
        <v>#NUM!</v>
      </c>
      <c r="L288" s="755" t="e">
        <f>IF(J288=0,0,CONCATENATE(ROUND(VLOOKUP(K288,acute_overview_children!$C$412:$AH$514,3,FALSE),2)," / ",(ROUND(VLOOKUP(K288,acute_overview_children!$C$412:$AH$514,6,FALSE),2))))</f>
        <v>#NUM!</v>
      </c>
      <c r="M288" s="755" t="e">
        <f>IF(J288&gt;0,VLOOKUP(K288,acute_overview_children!$C$412:$AH$507,27,FALSE)*1000,"")</f>
        <v>#NUM!</v>
      </c>
      <c r="N288" s="766" t="e">
        <f>IF($K$6="not necessary",0,LARGE(acute_overview_adults!$AD$412:$AD$517,ROW()-(ROW(Results!$B$230))))</f>
        <v>#NUM!</v>
      </c>
      <c r="O288" s="745" t="e">
        <f>IF(Results!N288&gt;0,INDEX(acute_overview_adults!$A$412:$AH$517,MATCH(Results!N288,acute_overview_adults!$AD$412:$AD$517,0),3),"")</f>
        <v>#NUM!</v>
      </c>
      <c r="P288" s="755" t="e">
        <f>IF(N288=0,0,CONCATENATE(ROUND(VLOOKUP(O288,acute_overview_adults!$C$412:$AH$517,3,FALSE),2)," / ",(ROUND(VLOOKUP(O288,acute_overview_adults!$C$412:$AH$517,6,FALSE),2))))</f>
        <v>#NUM!</v>
      </c>
      <c r="Q288" s="755" t="e">
        <f>IF(N288&gt;0,VLOOKUP(O288,acute_overview_adults!$C$412:$AH$510,27,FALSE)*1000,"")</f>
        <v>#NUM!</v>
      </c>
    </row>
    <row r="289" spans="1:17" ht="12" hidden="1" customHeight="1" outlineLevel="1" x14ac:dyDescent="0.2">
      <c r="A289" s="850"/>
      <c r="B289" s="236" t="e">
        <f>IF($K$6="not necessary",0,LARGE(acute_overview_children!$AA$412:$AA$514,ROW()-(ROW(Results!$B$230))))</f>
        <v>#NUM!</v>
      </c>
      <c r="C289" s="543" t="e">
        <f>IF(Results!B289&gt;0,INDEX(acute_overview_children!$A$412:$AH$514,MATCH(Results!B289,acute_overview_children!$AA$412:$AA$514,0),3),"")</f>
        <v>#NUM!</v>
      </c>
      <c r="D289" s="253" t="e">
        <f>IF(B289=0,0,CONCATENATE(ROUND(VLOOKUP(C289,acute_overview_children!$C$412:$E$514,3,FALSE),2)," / ",(ROUND(VLOOKUP(C289,acute_overview_children!$C$412:$F$514,4,FALSE),2))))</f>
        <v>#NUM!</v>
      </c>
      <c r="E289" s="238" t="e">
        <f>IF(B289&gt;0,VLOOKUP(C289,acute_overview_children!$C$412:$AH$507,24,FALSE)*1000,"")</f>
        <v>#NUM!</v>
      </c>
      <c r="F289" s="546" t="e">
        <f>IF($K$6="not necessary",0,LARGE(acute_overview_adults!$AA$412:$AA$493,ROW()-(ROW($B$230))))</f>
        <v>#NUM!</v>
      </c>
      <c r="G289" s="237" t="e">
        <f>IF(F289&gt;0,INDEX(acute_overview_adults!$A$412:$AH$517,MATCH(F289,acute_overview_adults!$AA$412:$AA$517,0),3),"")</f>
        <v>#NUM!</v>
      </c>
      <c r="H289" s="259" t="e">
        <f>IF(F289=0,0,CONCATENATE(ROUND(VLOOKUP(G289,acute_overview_adults!$C$412:$E$517,3,FALSE),2)," / ",(ROUND(VLOOKUP(G289,acute_overview_adults!$C$412:$F$517,4,FALSE),2))))</f>
        <v>#NUM!</v>
      </c>
      <c r="I289" s="1160" t="e">
        <f>IF(F289&gt;0,VLOOKUP(G289,acute_overview_adults!$C$412:$AH$510,24,FALSE)*1000,"")</f>
        <v>#NUM!</v>
      </c>
      <c r="J289" s="1131" t="e">
        <f>IF($K$6="not necessary",0,LARGE(acute_overview_children!$AD$412:$AD$514,ROW()-(ROW($B$230))))</f>
        <v>#NUM!</v>
      </c>
      <c r="K289" s="745" t="e">
        <f>IF(J289&gt;0,INDEX(acute_overview_children!$A$412:$AH$514,MATCH(J289,acute_overview_children!$AD$412:$AD$514,0),3),"")</f>
        <v>#NUM!</v>
      </c>
      <c r="L289" s="755" t="e">
        <f>IF(J289=0,0,CONCATENATE(ROUND(VLOOKUP(K289,acute_overview_children!$C$412:$AH$514,3,FALSE),2)," / ",(ROUND(VLOOKUP(K289,acute_overview_children!$C$412:$AH$514,6,FALSE),2))))</f>
        <v>#NUM!</v>
      </c>
      <c r="M289" s="755" t="e">
        <f>IF(J289&gt;0,VLOOKUP(K289,acute_overview_children!$C$412:$AH$507,27,FALSE)*1000,"")</f>
        <v>#NUM!</v>
      </c>
      <c r="N289" s="766" t="e">
        <f>IF($K$6="not necessary",0,LARGE(acute_overview_adults!$AD$412:$AD$517,ROW()-(ROW(Results!$B$230))))</f>
        <v>#NUM!</v>
      </c>
      <c r="O289" s="745" t="e">
        <f>IF(Results!N289&gt;0,INDEX(acute_overview_adults!$A$412:$AH$517,MATCH(Results!N289,acute_overview_adults!$AD$412:$AD$517,0),3),"")</f>
        <v>#NUM!</v>
      </c>
      <c r="P289" s="755" t="e">
        <f>IF(N289=0,0,CONCATENATE(ROUND(VLOOKUP(O289,acute_overview_adults!$C$412:$AH$517,3,FALSE),2)," / ",(ROUND(VLOOKUP(O289,acute_overview_adults!$C$412:$AH$517,6,FALSE),2))))</f>
        <v>#NUM!</v>
      </c>
      <c r="Q289" s="755" t="e">
        <f>IF(N289&gt;0,VLOOKUP(O289,acute_overview_adults!$C$412:$AH$510,27,FALSE)*1000,"")</f>
        <v>#NUM!</v>
      </c>
    </row>
    <row r="290" spans="1:17" ht="12" hidden="1" customHeight="1" outlineLevel="1" x14ac:dyDescent="0.2">
      <c r="A290" s="850"/>
      <c r="B290" s="236" t="e">
        <f>IF($K$6="not necessary",0,LARGE(acute_overview_children!$AA$412:$AA$514,ROW()-(ROW(Results!$B$230))))</f>
        <v>#NUM!</v>
      </c>
      <c r="C290" s="543" t="e">
        <f>IF(Results!B290&gt;0,INDEX(acute_overview_children!$A$412:$AH$514,MATCH(Results!B290,acute_overview_children!$AA$412:$AA$514,0),3),"")</f>
        <v>#NUM!</v>
      </c>
      <c r="D290" s="253" t="e">
        <f>IF(B290=0,0,CONCATENATE(ROUND(VLOOKUP(C290,acute_overview_children!$C$412:$E$514,3,FALSE),2)," / ",(ROUND(VLOOKUP(C290,acute_overview_children!$C$412:$F$514,4,FALSE),2))))</f>
        <v>#NUM!</v>
      </c>
      <c r="E290" s="238" t="e">
        <f>IF(B290&gt;0,VLOOKUP(C290,acute_overview_children!$C$412:$AH$507,24,FALSE)*1000,"")</f>
        <v>#NUM!</v>
      </c>
      <c r="F290" s="546" t="e">
        <f>IF($K$6="not necessary",0,LARGE(acute_overview_adults!$AA$412:$AA$493,ROW()-(ROW($B$230))))</f>
        <v>#NUM!</v>
      </c>
      <c r="G290" s="237" t="e">
        <f>IF(F290&gt;0,INDEX(acute_overview_adults!$A$412:$AH$517,MATCH(F290,acute_overview_adults!$AA$412:$AA$517,0),3),"")</f>
        <v>#NUM!</v>
      </c>
      <c r="H290" s="259" t="e">
        <f>IF(F290=0,0,CONCATENATE(ROUND(VLOOKUP(G290,acute_overview_adults!$C$412:$E$517,3,FALSE),2)," / ",(ROUND(VLOOKUP(G290,acute_overview_adults!$C$412:$F$517,4,FALSE),2))))</f>
        <v>#NUM!</v>
      </c>
      <c r="I290" s="1160" t="e">
        <f>IF(F290&gt;0,VLOOKUP(G290,acute_overview_adults!$C$412:$AH$510,24,FALSE)*1000,"")</f>
        <v>#NUM!</v>
      </c>
      <c r="J290" s="1131" t="e">
        <f>IF($K$6="not necessary",0,LARGE(acute_overview_children!$AD$412:$AD$514,ROW()-(ROW($B$230))))</f>
        <v>#NUM!</v>
      </c>
      <c r="K290" s="745" t="e">
        <f>IF(J290&gt;0,INDEX(acute_overview_children!$A$412:$AH$514,MATCH(J290,acute_overview_children!$AD$412:$AD$514,0),3),"")</f>
        <v>#NUM!</v>
      </c>
      <c r="L290" s="755" t="e">
        <f>IF(J290=0,0,CONCATENATE(ROUND(VLOOKUP(K290,acute_overview_children!$C$412:$AH$514,3,FALSE),2)," / ",(ROUND(VLOOKUP(K290,acute_overview_children!$C$412:$AH$514,6,FALSE),2))))</f>
        <v>#NUM!</v>
      </c>
      <c r="M290" s="755" t="e">
        <f>IF(J290&gt;0,VLOOKUP(K290,acute_overview_children!$C$412:$AH$507,27,FALSE)*1000,"")</f>
        <v>#NUM!</v>
      </c>
      <c r="N290" s="766" t="e">
        <f>IF($K$6="not necessary",0,LARGE(acute_overview_adults!$AD$412:$AD$517,ROW()-(ROW(Results!$B$230))))</f>
        <v>#NUM!</v>
      </c>
      <c r="O290" s="745" t="e">
        <f>IF(Results!N290&gt;0,INDEX(acute_overview_adults!$A$412:$AH$517,MATCH(Results!N290,acute_overview_adults!$AD$412:$AD$517,0),3),"")</f>
        <v>#NUM!</v>
      </c>
      <c r="P290" s="755" t="e">
        <f>IF(N290=0,0,CONCATENATE(ROUND(VLOOKUP(O290,acute_overview_adults!$C$412:$AH$517,3,FALSE),2)," / ",(ROUND(VLOOKUP(O290,acute_overview_adults!$C$412:$AH$517,6,FALSE),2))))</f>
        <v>#NUM!</v>
      </c>
      <c r="Q290" s="755" t="e">
        <f>IF(N290&gt;0,VLOOKUP(O290,acute_overview_adults!$C$412:$AH$510,27,FALSE)*1000,"")</f>
        <v>#NUM!</v>
      </c>
    </row>
    <row r="291" spans="1:17" ht="12" hidden="1" customHeight="1" outlineLevel="1" x14ac:dyDescent="0.2">
      <c r="A291" s="850"/>
      <c r="B291" s="236" t="e">
        <f>IF($K$6="not necessary",0,LARGE(acute_overview_children!$AA$412:$AA$514,ROW()-(ROW(Results!$B$230))))</f>
        <v>#NUM!</v>
      </c>
      <c r="C291" s="543" t="e">
        <f>IF(Results!B291&gt;0,INDEX(acute_overview_children!$A$412:$AH$514,MATCH(Results!B291,acute_overview_children!$AA$412:$AA$514,0),3),"")</f>
        <v>#NUM!</v>
      </c>
      <c r="D291" s="253" t="e">
        <f>IF(B291=0,0,CONCATENATE(ROUND(VLOOKUP(C291,acute_overview_children!$C$412:$E$514,3,FALSE),2)," / ",(ROUND(VLOOKUP(C291,acute_overview_children!$C$412:$F$514,4,FALSE),2))))</f>
        <v>#NUM!</v>
      </c>
      <c r="E291" s="238" t="e">
        <f>IF(B291&gt;0,VLOOKUP(C291,acute_overview_children!$C$412:$AH$507,24,FALSE)*1000,"")</f>
        <v>#NUM!</v>
      </c>
      <c r="F291" s="546" t="e">
        <f>IF($K$6="not necessary",0,LARGE(acute_overview_adults!$AA$412:$AA$493,ROW()-(ROW($B$230))))</f>
        <v>#NUM!</v>
      </c>
      <c r="G291" s="237" t="e">
        <f>IF(F291&gt;0,INDEX(acute_overview_adults!$A$412:$AH$517,MATCH(F291,acute_overview_adults!$AA$412:$AA$517,0),3),"")</f>
        <v>#NUM!</v>
      </c>
      <c r="H291" s="259" t="e">
        <f>IF(F291=0,0,CONCATENATE(ROUND(VLOOKUP(G291,acute_overview_adults!$C$412:$E$517,3,FALSE),2)," / ",(ROUND(VLOOKUP(G291,acute_overview_adults!$C$412:$F$517,4,FALSE),2))))</f>
        <v>#NUM!</v>
      </c>
      <c r="I291" s="1160" t="e">
        <f>IF(F291&gt;0,VLOOKUP(G291,acute_overview_adults!$C$412:$AH$510,24,FALSE)*1000,"")</f>
        <v>#NUM!</v>
      </c>
      <c r="J291" s="1131" t="e">
        <f>IF($K$6="not necessary",0,LARGE(acute_overview_children!$AD$412:$AD$514,ROW()-(ROW($B$230))))</f>
        <v>#NUM!</v>
      </c>
      <c r="K291" s="745" t="e">
        <f>IF(J291&gt;0,INDEX(acute_overview_children!$A$412:$AH$514,MATCH(J291,acute_overview_children!$AD$412:$AD$514,0),3),"")</f>
        <v>#NUM!</v>
      </c>
      <c r="L291" s="755" t="e">
        <f>IF(J291=0,0,CONCATENATE(ROUND(VLOOKUP(K291,acute_overview_children!$C$412:$AH$514,3,FALSE),2)," / ",(ROUND(VLOOKUP(K291,acute_overview_children!$C$412:$AH$514,6,FALSE),2))))</f>
        <v>#NUM!</v>
      </c>
      <c r="M291" s="755" t="e">
        <f>IF(J291&gt;0,VLOOKUP(K291,acute_overview_children!$C$412:$AH$507,27,FALSE)*1000,"")</f>
        <v>#NUM!</v>
      </c>
      <c r="N291" s="766" t="e">
        <f>IF($K$6="not necessary",0,LARGE(acute_overview_adults!$AD$412:$AD$517,ROW()-(ROW(Results!$B$230))))</f>
        <v>#NUM!</v>
      </c>
      <c r="O291" s="745" t="e">
        <f>IF(Results!N291&gt;0,INDEX(acute_overview_adults!$A$412:$AH$517,MATCH(Results!N291,acute_overview_adults!$AD$412:$AD$517,0),3),"")</f>
        <v>#NUM!</v>
      </c>
      <c r="P291" s="755" t="e">
        <f>IF(N291=0,0,CONCATENATE(ROUND(VLOOKUP(O291,acute_overview_adults!$C$412:$AH$517,3,FALSE),2)," / ",(ROUND(VLOOKUP(O291,acute_overview_adults!$C$412:$AH$517,6,FALSE),2))))</f>
        <v>#NUM!</v>
      </c>
      <c r="Q291" s="755" t="e">
        <f>IF(N291&gt;0,VLOOKUP(O291,acute_overview_adults!$C$412:$AH$510,27,FALSE)*1000,"")</f>
        <v>#NUM!</v>
      </c>
    </row>
    <row r="292" spans="1:17" ht="12" hidden="1" customHeight="1" outlineLevel="1" x14ac:dyDescent="0.2">
      <c r="A292" s="850"/>
      <c r="B292" s="236" t="e">
        <f>IF($K$6="not necessary",0,LARGE(acute_overview_children!$AA$412:$AA$514,ROW()-(ROW(Results!$B$230))))</f>
        <v>#NUM!</v>
      </c>
      <c r="C292" s="543" t="e">
        <f>IF(Results!B292&gt;0,INDEX(acute_overview_children!$A$412:$AH$514,MATCH(Results!B292,acute_overview_children!$AA$412:$AA$514,0),3),"")</f>
        <v>#NUM!</v>
      </c>
      <c r="D292" s="253" t="e">
        <f>IF(B292=0,0,CONCATENATE(ROUND(VLOOKUP(C292,acute_overview_children!$C$412:$E$514,3,FALSE),2)," / ",(ROUND(VLOOKUP(C292,acute_overview_children!$C$412:$F$514,4,FALSE),2))))</f>
        <v>#NUM!</v>
      </c>
      <c r="E292" s="238" t="e">
        <f>IF(B292&gt;0,VLOOKUP(C292,acute_overview_children!$C$412:$AH$507,24,FALSE)*1000,"")</f>
        <v>#NUM!</v>
      </c>
      <c r="F292" s="546" t="e">
        <f>IF($K$6="not necessary",0,LARGE(acute_overview_adults!$AA$412:$AA$493,ROW()-(ROW($B$230))))</f>
        <v>#NUM!</v>
      </c>
      <c r="G292" s="237" t="e">
        <f>IF(F292&gt;0,INDEX(acute_overview_adults!$A$412:$AH$517,MATCH(F292,acute_overview_adults!$AA$412:$AA$517,0),3),"")</f>
        <v>#NUM!</v>
      </c>
      <c r="H292" s="259" t="e">
        <f>IF(F292=0,0,CONCATENATE(ROUND(VLOOKUP(G292,acute_overview_adults!$C$412:$E$517,3,FALSE),2)," / ",(ROUND(VLOOKUP(G292,acute_overview_adults!$C$412:$F$517,4,FALSE),2))))</f>
        <v>#NUM!</v>
      </c>
      <c r="I292" s="1160" t="e">
        <f>IF(F292&gt;0,VLOOKUP(G292,acute_overview_adults!$C$412:$AH$510,24,FALSE)*1000,"")</f>
        <v>#NUM!</v>
      </c>
      <c r="J292" s="1131" t="e">
        <f>IF($K$6="not necessary",0,LARGE(acute_overview_children!$AD$412:$AD$514,ROW()-(ROW($B$230))))</f>
        <v>#NUM!</v>
      </c>
      <c r="K292" s="745" t="e">
        <f>IF(J292&gt;0,INDEX(acute_overview_children!$A$412:$AH$514,MATCH(J292,acute_overview_children!$AD$412:$AD$514,0),3),"")</f>
        <v>#NUM!</v>
      </c>
      <c r="L292" s="755" t="e">
        <f>IF(J292=0,0,CONCATENATE(ROUND(VLOOKUP(K292,acute_overview_children!$C$412:$AH$514,3,FALSE),2)," / ",(ROUND(VLOOKUP(K292,acute_overview_children!$C$412:$AH$514,6,FALSE),2))))</f>
        <v>#NUM!</v>
      </c>
      <c r="M292" s="755" t="e">
        <f>IF(J292&gt;0,VLOOKUP(K292,acute_overview_children!$C$412:$AH$507,27,FALSE)*1000,"")</f>
        <v>#NUM!</v>
      </c>
      <c r="N292" s="766" t="e">
        <f>IF($K$6="not necessary",0,LARGE(acute_overview_adults!$AD$412:$AD$517,ROW()-(ROW(Results!$B$230))))</f>
        <v>#NUM!</v>
      </c>
      <c r="O292" s="745" t="e">
        <f>IF(Results!N292&gt;0,INDEX(acute_overview_adults!$A$412:$AH$517,MATCH(Results!N292,acute_overview_adults!$AD$412:$AD$517,0),3),"")</f>
        <v>#NUM!</v>
      </c>
      <c r="P292" s="755" t="e">
        <f>IF(N292=0,0,CONCATENATE(ROUND(VLOOKUP(O292,acute_overview_adults!$C$412:$AH$517,3,FALSE),2)," / ",(ROUND(VLOOKUP(O292,acute_overview_adults!$C$412:$AH$517,6,FALSE),2))))</f>
        <v>#NUM!</v>
      </c>
      <c r="Q292" s="755" t="e">
        <f>IF(N292&gt;0,VLOOKUP(O292,acute_overview_adults!$C$412:$AH$510,27,FALSE)*1000,"")</f>
        <v>#NUM!</v>
      </c>
    </row>
    <row r="293" spans="1:17" ht="12" hidden="1" customHeight="1" outlineLevel="1" x14ac:dyDescent="0.2">
      <c r="A293" s="850"/>
      <c r="B293" s="236" t="e">
        <f>IF($K$6="not necessary",0,LARGE(acute_overview_children!$AA$412:$AA$514,ROW()-(ROW(Results!$B$230))))</f>
        <v>#NUM!</v>
      </c>
      <c r="C293" s="543" t="e">
        <f>IF(Results!B293&gt;0,INDEX(acute_overview_children!$A$412:$AH$514,MATCH(Results!B293,acute_overview_children!$AA$412:$AA$514,0),3),"")</f>
        <v>#NUM!</v>
      </c>
      <c r="D293" s="253" t="e">
        <f>IF(B293=0,0,CONCATENATE(ROUND(VLOOKUP(C293,acute_overview_children!$C$412:$E$514,3,FALSE),2)," / ",(ROUND(VLOOKUP(C293,acute_overview_children!$C$412:$F$514,4,FALSE),2))))</f>
        <v>#NUM!</v>
      </c>
      <c r="E293" s="238" t="e">
        <f>IF(B293&gt;0,VLOOKUP(C293,acute_overview_children!$C$412:$AH$507,24,FALSE)*1000,"")</f>
        <v>#NUM!</v>
      </c>
      <c r="F293" s="546" t="e">
        <f>IF($K$6="not necessary",0,LARGE(acute_overview_adults!$AA$412:$AA$493,ROW()-(ROW($B$230))))</f>
        <v>#NUM!</v>
      </c>
      <c r="G293" s="237" t="e">
        <f>IF(F293&gt;0,INDEX(acute_overview_adults!$A$412:$AH$517,MATCH(F293,acute_overview_adults!$AA$412:$AA$517,0),3),"")</f>
        <v>#NUM!</v>
      </c>
      <c r="H293" s="259" t="e">
        <f>IF(F293=0,0,CONCATENATE(ROUND(VLOOKUP(G293,acute_overview_adults!$C$412:$E$517,3,FALSE),2)," / ",(ROUND(VLOOKUP(G293,acute_overview_adults!$C$412:$F$517,4,FALSE),2))))</f>
        <v>#NUM!</v>
      </c>
      <c r="I293" s="1160" t="e">
        <f>IF(F293&gt;0,VLOOKUP(G293,acute_overview_adults!$C$412:$AH$510,24,FALSE)*1000,"")</f>
        <v>#NUM!</v>
      </c>
      <c r="J293" s="1131" t="e">
        <f>IF($K$6="not necessary",0,LARGE(acute_overview_children!$AD$412:$AD$514,ROW()-(ROW($B$230))))</f>
        <v>#NUM!</v>
      </c>
      <c r="K293" s="745" t="e">
        <f>IF(J293&gt;0,INDEX(acute_overview_children!$A$412:$AH$514,MATCH(J293,acute_overview_children!$AD$412:$AD$514,0),3),"")</f>
        <v>#NUM!</v>
      </c>
      <c r="L293" s="755" t="e">
        <f>IF(J293=0,0,CONCATENATE(ROUND(VLOOKUP(K293,acute_overview_children!$C$412:$AH$514,3,FALSE),2)," / ",(ROUND(VLOOKUP(K293,acute_overview_children!$C$412:$AH$514,6,FALSE),2))))</f>
        <v>#NUM!</v>
      </c>
      <c r="M293" s="755" t="e">
        <f>IF(J293&gt;0,VLOOKUP(K293,acute_overview_children!$C$412:$AH$507,27,FALSE)*1000,"")</f>
        <v>#NUM!</v>
      </c>
      <c r="N293" s="766" t="e">
        <f>IF($K$6="not necessary",0,LARGE(acute_overview_adults!$AD$412:$AD$517,ROW()-(ROW(Results!$B$230))))</f>
        <v>#NUM!</v>
      </c>
      <c r="O293" s="745" t="e">
        <f>IF(Results!N293&gt;0,INDEX(acute_overview_adults!$A$412:$AH$517,MATCH(Results!N293,acute_overview_adults!$AD$412:$AD$517,0),3),"")</f>
        <v>#NUM!</v>
      </c>
      <c r="P293" s="755" t="e">
        <f>IF(N293=0,0,CONCATENATE(ROUND(VLOOKUP(O293,acute_overview_adults!$C$412:$AH$517,3,FALSE),2)," / ",(ROUND(VLOOKUP(O293,acute_overview_adults!$C$412:$AH$517,6,FALSE),2))))</f>
        <v>#NUM!</v>
      </c>
      <c r="Q293" s="755" t="e">
        <f>IF(N293&gt;0,VLOOKUP(O293,acute_overview_adults!$C$412:$AH$510,27,FALSE)*1000,"")</f>
        <v>#NUM!</v>
      </c>
    </row>
    <row r="294" spans="1:17" ht="12" hidden="1" customHeight="1" outlineLevel="1" x14ac:dyDescent="0.2">
      <c r="A294" s="850"/>
      <c r="B294" s="236" t="e">
        <f>IF($K$6="not necessary",0,LARGE(acute_overview_children!$AA$412:$AA$514,ROW()-(ROW(Results!$B$230))))</f>
        <v>#NUM!</v>
      </c>
      <c r="C294" s="543" t="e">
        <f>IF(Results!B294&gt;0,INDEX(acute_overview_children!$A$412:$AH$514,MATCH(Results!B294,acute_overview_children!$AA$412:$AA$514,0),3),"")</f>
        <v>#NUM!</v>
      </c>
      <c r="D294" s="253" t="e">
        <f>IF(B294=0,0,CONCATENATE(ROUND(VLOOKUP(C294,acute_overview_children!$C$412:$E$514,3,FALSE),2)," / ",(ROUND(VLOOKUP(C294,acute_overview_children!$C$412:$F$514,4,FALSE),2))))</f>
        <v>#NUM!</v>
      </c>
      <c r="E294" s="238" t="e">
        <f>IF(B294&gt;0,VLOOKUP(C294,acute_overview_children!$C$412:$AH$507,24,FALSE)*1000,"")</f>
        <v>#NUM!</v>
      </c>
      <c r="F294" s="546" t="e">
        <f>IF($K$6="not necessary",0,LARGE(acute_overview_adults!$AA$412:$AA$493,ROW()-(ROW($B$230))))</f>
        <v>#NUM!</v>
      </c>
      <c r="G294" s="237" t="e">
        <f>IF(F294&gt;0,INDEX(acute_overview_adults!$A$412:$AH$517,MATCH(F294,acute_overview_adults!$AA$412:$AA$517,0),3),"")</f>
        <v>#NUM!</v>
      </c>
      <c r="H294" s="259" t="e">
        <f>IF(F294=0,0,CONCATENATE(ROUND(VLOOKUP(G294,acute_overview_adults!$C$412:$E$517,3,FALSE),2)," / ",(ROUND(VLOOKUP(G294,acute_overview_adults!$C$412:$F$517,4,FALSE),2))))</f>
        <v>#NUM!</v>
      </c>
      <c r="I294" s="1160" t="e">
        <f>IF(F294&gt;0,VLOOKUP(G294,acute_overview_adults!$C$412:$AH$510,24,FALSE)*1000,"")</f>
        <v>#NUM!</v>
      </c>
      <c r="J294" s="1131" t="e">
        <f>IF($K$6="not necessary",0,LARGE(acute_overview_children!$AD$412:$AD$514,ROW()-(ROW($B$230))))</f>
        <v>#NUM!</v>
      </c>
      <c r="K294" s="745" t="e">
        <f>IF(J294&gt;0,INDEX(acute_overview_children!$A$412:$AH$514,MATCH(J294,acute_overview_children!$AD$412:$AD$514,0),3),"")</f>
        <v>#NUM!</v>
      </c>
      <c r="L294" s="755" t="e">
        <f>IF(J294=0,0,CONCATENATE(ROUND(VLOOKUP(K294,acute_overview_children!$C$412:$AH$514,3,FALSE),2)," / ",(ROUND(VLOOKUP(K294,acute_overview_children!$C$412:$AH$514,6,FALSE),2))))</f>
        <v>#NUM!</v>
      </c>
      <c r="M294" s="755" t="e">
        <f>IF(J294&gt;0,VLOOKUP(K294,acute_overview_children!$C$412:$AH$507,27,FALSE)*1000,"")</f>
        <v>#NUM!</v>
      </c>
      <c r="N294" s="766" t="e">
        <f>IF($K$6="not necessary",0,LARGE(acute_overview_adults!$AD$412:$AD$517,ROW()-(ROW(Results!$B$230))))</f>
        <v>#NUM!</v>
      </c>
      <c r="O294" s="745" t="e">
        <f>IF(Results!N294&gt;0,INDEX(acute_overview_adults!$A$412:$AH$517,MATCH(Results!N294,acute_overview_adults!$AD$412:$AD$517,0),3),"")</f>
        <v>#NUM!</v>
      </c>
      <c r="P294" s="755" t="e">
        <f>IF(N294=0,0,CONCATENATE(ROUND(VLOOKUP(O294,acute_overview_adults!$C$412:$AH$517,3,FALSE),2)," / ",(ROUND(VLOOKUP(O294,acute_overview_adults!$C$412:$AH$517,6,FALSE),2))))</f>
        <v>#NUM!</v>
      </c>
      <c r="Q294" s="755" t="e">
        <f>IF(N294&gt;0,VLOOKUP(O294,acute_overview_adults!$C$412:$AH$510,27,FALSE)*1000,"")</f>
        <v>#NUM!</v>
      </c>
    </row>
    <row r="295" spans="1:17" ht="12" hidden="1" customHeight="1" outlineLevel="1" x14ac:dyDescent="0.2">
      <c r="A295" s="850"/>
      <c r="B295" s="236" t="e">
        <f>IF($K$6="not necessary",0,LARGE(acute_overview_children!$AA$412:$AA$514,ROW()-(ROW(Results!$B$230))))</f>
        <v>#NUM!</v>
      </c>
      <c r="C295" s="543" t="e">
        <f>IF(Results!B295&gt;0,INDEX(acute_overview_children!$A$412:$AH$514,MATCH(Results!B295,acute_overview_children!$AA$412:$AA$514,0),3),"")</f>
        <v>#NUM!</v>
      </c>
      <c r="D295" s="253" t="e">
        <f>IF(B295=0,0,CONCATENATE(ROUND(VLOOKUP(C295,acute_overview_children!$C$412:$E$514,3,FALSE),2)," / ",(ROUND(VLOOKUP(C295,acute_overview_children!$C$412:$F$514,4,FALSE),2))))</f>
        <v>#NUM!</v>
      </c>
      <c r="E295" s="238" t="e">
        <f>IF(B295&gt;0,VLOOKUP(C295,acute_overview_children!$C$412:$AH$507,24,FALSE)*1000,"")</f>
        <v>#NUM!</v>
      </c>
      <c r="F295" s="546" t="e">
        <f>IF($K$6="not necessary",0,LARGE(acute_overview_adults!$AA$412:$AA$493,ROW()-(ROW($B$230))))</f>
        <v>#NUM!</v>
      </c>
      <c r="G295" s="237" t="e">
        <f>IF(F295&gt;0,INDEX(acute_overview_adults!$A$412:$AH$517,MATCH(F295,acute_overview_adults!$AA$412:$AA$517,0),3),"")</f>
        <v>#NUM!</v>
      </c>
      <c r="H295" s="259" t="e">
        <f>IF(F295=0,0,CONCATENATE(ROUND(VLOOKUP(G295,acute_overview_adults!$C$412:$E$517,3,FALSE),2)," / ",(ROUND(VLOOKUP(G295,acute_overview_adults!$C$412:$F$517,4,FALSE),2))))</f>
        <v>#NUM!</v>
      </c>
      <c r="I295" s="1160" t="e">
        <f>IF(F295&gt;0,VLOOKUP(G295,acute_overview_adults!$C$412:$AH$510,24,FALSE)*1000,"")</f>
        <v>#NUM!</v>
      </c>
      <c r="J295" s="1131" t="e">
        <f>IF($K$6="not necessary",0,LARGE(acute_overview_children!$AD$412:$AD$514,ROW()-(ROW($B$230))))</f>
        <v>#NUM!</v>
      </c>
      <c r="K295" s="745" t="e">
        <f>IF(J295&gt;0,INDEX(acute_overview_children!$A$412:$AH$514,MATCH(J295,acute_overview_children!$AD$412:$AD$514,0),3),"")</f>
        <v>#NUM!</v>
      </c>
      <c r="L295" s="755" t="e">
        <f>IF(J295=0,0,CONCATENATE(ROUND(VLOOKUP(K295,acute_overview_children!$C$412:$AH$514,3,FALSE),2)," / ",(ROUND(VLOOKUP(K295,acute_overview_children!$C$412:$AH$514,6,FALSE),2))))</f>
        <v>#NUM!</v>
      </c>
      <c r="M295" s="755" t="e">
        <f>IF(J295&gt;0,VLOOKUP(K295,acute_overview_children!$C$412:$AH$507,27,FALSE)*1000,"")</f>
        <v>#NUM!</v>
      </c>
      <c r="N295" s="766" t="e">
        <f>IF($K$6="not necessary",0,LARGE(acute_overview_adults!$AD$412:$AD$517,ROW()-(ROW(Results!$B$230))))</f>
        <v>#NUM!</v>
      </c>
      <c r="O295" s="745" t="e">
        <f>IF(Results!N295&gt;0,INDEX(acute_overview_adults!$A$412:$AH$517,MATCH(Results!N295,acute_overview_adults!$AD$412:$AD$517,0),3),"")</f>
        <v>#NUM!</v>
      </c>
      <c r="P295" s="755" t="e">
        <f>IF(N295=0,0,CONCATENATE(ROUND(VLOOKUP(O295,acute_overview_adults!$C$412:$AH$517,3,FALSE),2)," / ",(ROUND(VLOOKUP(O295,acute_overview_adults!$C$412:$AH$517,6,FALSE),2))))</f>
        <v>#NUM!</v>
      </c>
      <c r="Q295" s="755" t="e">
        <f>IF(N295&gt;0,VLOOKUP(O295,acute_overview_adults!$C$412:$AH$510,27,FALSE)*1000,"")</f>
        <v>#NUM!</v>
      </c>
    </row>
    <row r="296" spans="1:17" ht="12" hidden="1" customHeight="1" outlineLevel="1" x14ac:dyDescent="0.2">
      <c r="A296" s="850"/>
      <c r="B296" s="236" t="e">
        <f>IF($K$6="not necessary",0,LARGE(acute_overview_children!$AA$412:$AA$514,ROW()-(ROW(Results!$B$230))))</f>
        <v>#NUM!</v>
      </c>
      <c r="C296" s="543" t="e">
        <f>IF(Results!B296&gt;0,INDEX(acute_overview_children!$A$412:$AH$514,MATCH(Results!B296,acute_overview_children!$AA$412:$AA$514,0),3),"")</f>
        <v>#NUM!</v>
      </c>
      <c r="D296" s="253" t="e">
        <f>IF(B296=0,0,CONCATENATE(ROUND(VLOOKUP(C296,acute_overview_children!$C$412:$E$514,3,FALSE),2)," / ",(ROUND(VLOOKUP(C296,acute_overview_children!$C$412:$F$514,4,FALSE),2))))</f>
        <v>#NUM!</v>
      </c>
      <c r="E296" s="238" t="e">
        <f>IF(B296&gt;0,VLOOKUP(C296,acute_overview_children!$C$412:$AH$507,24,FALSE)*1000,"")</f>
        <v>#NUM!</v>
      </c>
      <c r="F296" s="546" t="e">
        <f>IF($K$6="not necessary",0,LARGE(acute_overview_adults!$AA$412:$AA$493,ROW()-(ROW($B$230))))</f>
        <v>#NUM!</v>
      </c>
      <c r="G296" s="237" t="e">
        <f>IF(F296&gt;0,INDEX(acute_overview_adults!$A$412:$AH$517,MATCH(F296,acute_overview_adults!$AA$412:$AA$517,0),3),"")</f>
        <v>#NUM!</v>
      </c>
      <c r="H296" s="259" t="e">
        <f>IF(F296=0,0,CONCATENATE(ROUND(VLOOKUP(G296,acute_overview_adults!$C$412:$E$517,3,FALSE),2)," / ",(ROUND(VLOOKUP(G296,acute_overview_adults!$C$412:$F$517,4,FALSE),2))))</f>
        <v>#NUM!</v>
      </c>
      <c r="I296" s="1160" t="e">
        <f>IF(F296&gt;0,VLOOKUP(G296,acute_overview_adults!$C$412:$AH$510,24,FALSE)*1000,"")</f>
        <v>#NUM!</v>
      </c>
      <c r="J296" s="1131" t="e">
        <f>IF($K$6="not necessary",0,LARGE(acute_overview_children!$AD$412:$AD$514,ROW()-(ROW($B$230))))</f>
        <v>#NUM!</v>
      </c>
      <c r="K296" s="745" t="e">
        <f>IF(J296&gt;0,INDEX(acute_overview_children!$A$412:$AH$514,MATCH(J296,acute_overview_children!$AD$412:$AD$514,0),3),"")</f>
        <v>#NUM!</v>
      </c>
      <c r="L296" s="755" t="e">
        <f>IF(J296=0,0,CONCATENATE(ROUND(VLOOKUP(K296,acute_overview_children!$C$412:$AH$514,3,FALSE),2)," / ",(ROUND(VLOOKUP(K296,acute_overview_children!$C$412:$AH$514,6,FALSE),2))))</f>
        <v>#NUM!</v>
      </c>
      <c r="M296" s="755" t="e">
        <f>IF(J296&gt;0,VLOOKUP(K296,acute_overview_children!$C$412:$AH$507,27,FALSE)*1000,"")</f>
        <v>#NUM!</v>
      </c>
      <c r="N296" s="766" t="e">
        <f>IF($K$6="not necessary",0,LARGE(acute_overview_adults!$AD$412:$AD$517,ROW()-(ROW(Results!$B$230))))</f>
        <v>#NUM!</v>
      </c>
      <c r="O296" s="745" t="e">
        <f>IF(Results!N296&gt;0,INDEX(acute_overview_adults!$A$412:$AH$517,MATCH(Results!N296,acute_overview_adults!$AD$412:$AD$517,0),3),"")</f>
        <v>#NUM!</v>
      </c>
      <c r="P296" s="755" t="e">
        <f>IF(N296=0,0,CONCATENATE(ROUND(VLOOKUP(O296,acute_overview_adults!$C$412:$AH$517,3,FALSE),2)," / ",(ROUND(VLOOKUP(O296,acute_overview_adults!$C$412:$AH$517,6,FALSE),2))))</f>
        <v>#NUM!</v>
      </c>
      <c r="Q296" s="755" t="e">
        <f>IF(N296&gt;0,VLOOKUP(O296,acute_overview_adults!$C$412:$AH$510,27,FALSE)*1000,"")</f>
        <v>#NUM!</v>
      </c>
    </row>
    <row r="297" spans="1:17" ht="12" hidden="1" customHeight="1" outlineLevel="1" x14ac:dyDescent="0.2">
      <c r="A297" s="850"/>
      <c r="B297" s="236" t="e">
        <f>IF($K$6="not necessary",0,LARGE(acute_overview_children!$AA$412:$AA$514,ROW()-(ROW(Results!$B$230))))</f>
        <v>#NUM!</v>
      </c>
      <c r="C297" s="543" t="e">
        <f>IF(Results!B297&gt;0,INDEX(acute_overview_children!$A$412:$AH$514,MATCH(Results!B297,acute_overview_children!$AA$412:$AA$514,0),3),"")</f>
        <v>#NUM!</v>
      </c>
      <c r="D297" s="253" t="e">
        <f>IF(B297=0,0,CONCATENATE(ROUND(VLOOKUP(C297,acute_overview_children!$C$412:$E$514,3,FALSE),2)," / ",(ROUND(VLOOKUP(C297,acute_overview_children!$C$412:$F$514,4,FALSE),2))))</f>
        <v>#NUM!</v>
      </c>
      <c r="E297" s="238" t="e">
        <f>IF(B297&gt;0,VLOOKUP(C297,acute_overview_children!$C$412:$AH$507,24,FALSE)*1000,"")</f>
        <v>#NUM!</v>
      </c>
      <c r="F297" s="546" t="e">
        <f>IF($K$6="not necessary",0,LARGE(acute_overview_adults!$AA$412:$AA$493,ROW()-(ROW($B$230))))</f>
        <v>#NUM!</v>
      </c>
      <c r="G297" s="237" t="e">
        <f>IF(F297&gt;0,INDEX(acute_overview_adults!$A$412:$AH$517,MATCH(F297,acute_overview_adults!$AA$412:$AA$517,0),3),"")</f>
        <v>#NUM!</v>
      </c>
      <c r="H297" s="259" t="e">
        <f>IF(F297=0,0,CONCATENATE(ROUND(VLOOKUP(G297,acute_overview_adults!$C$412:$E$517,3,FALSE),2)," / ",(ROUND(VLOOKUP(G297,acute_overview_adults!$C$412:$F$517,4,FALSE),2))))</f>
        <v>#NUM!</v>
      </c>
      <c r="I297" s="1160" t="e">
        <f>IF(F297&gt;0,VLOOKUP(G297,acute_overview_adults!$C$412:$AH$510,24,FALSE)*1000,"")</f>
        <v>#NUM!</v>
      </c>
      <c r="J297" s="1131" t="e">
        <f>IF($K$6="not necessary",0,LARGE(acute_overview_children!$AD$412:$AD$514,ROW()-(ROW($B$230))))</f>
        <v>#NUM!</v>
      </c>
      <c r="K297" s="745" t="e">
        <f>IF(J297&gt;0,INDEX(acute_overview_children!$A$412:$AH$514,MATCH(J297,acute_overview_children!$AD$412:$AD$514,0),3),"")</f>
        <v>#NUM!</v>
      </c>
      <c r="L297" s="755" t="e">
        <f>IF(J297=0,0,CONCATENATE(ROUND(VLOOKUP(K297,acute_overview_children!$C$412:$AH$514,3,FALSE),2)," / ",(ROUND(VLOOKUP(K297,acute_overview_children!$C$412:$AH$514,6,FALSE),2))))</f>
        <v>#NUM!</v>
      </c>
      <c r="M297" s="755" t="e">
        <f>IF(J297&gt;0,VLOOKUP(K297,acute_overview_children!$C$412:$AH$507,27,FALSE)*1000,"")</f>
        <v>#NUM!</v>
      </c>
      <c r="N297" s="766" t="e">
        <f>IF($K$6="not necessary",0,LARGE(acute_overview_adults!$AD$412:$AD$517,ROW()-(ROW(Results!$B$230))))</f>
        <v>#NUM!</v>
      </c>
      <c r="O297" s="745" t="e">
        <f>IF(Results!N297&gt;0,INDEX(acute_overview_adults!$A$412:$AH$517,MATCH(Results!N297,acute_overview_adults!$AD$412:$AD$517,0),3),"")</f>
        <v>#NUM!</v>
      </c>
      <c r="P297" s="755" t="e">
        <f>IF(N297=0,0,CONCATENATE(ROUND(VLOOKUP(O297,acute_overview_adults!$C$412:$AH$517,3,FALSE),2)," / ",(ROUND(VLOOKUP(O297,acute_overview_adults!$C$412:$AH$517,6,FALSE),2))))</f>
        <v>#NUM!</v>
      </c>
      <c r="Q297" s="755" t="e">
        <f>IF(N297&gt;0,VLOOKUP(O297,acute_overview_adults!$C$412:$AH$510,27,FALSE)*1000,"")</f>
        <v>#NUM!</v>
      </c>
    </row>
    <row r="298" spans="1:17" ht="12" hidden="1" customHeight="1" outlineLevel="1" x14ac:dyDescent="0.2">
      <c r="A298" s="850"/>
      <c r="B298" s="236" t="e">
        <f>IF($K$6="not necessary",0,LARGE(acute_overview_children!$AA$412:$AA$514,ROW()-(ROW(Results!$B$230))))</f>
        <v>#NUM!</v>
      </c>
      <c r="C298" s="543" t="e">
        <f>IF(Results!B298&gt;0,INDEX(acute_overview_children!$A$412:$AH$514,MATCH(Results!B298,acute_overview_children!$AA$412:$AA$514,0),3),"")</f>
        <v>#NUM!</v>
      </c>
      <c r="D298" s="253" t="e">
        <f>IF(B298=0,0,CONCATENATE(ROUND(VLOOKUP(C298,acute_overview_children!$C$412:$E$514,3,FALSE),2)," / ",(ROUND(VLOOKUP(C298,acute_overview_children!$C$412:$F$514,4,FALSE),2))))</f>
        <v>#NUM!</v>
      </c>
      <c r="E298" s="238" t="e">
        <f>IF(B298&gt;0,VLOOKUP(C298,acute_overview_children!$C$412:$AH$507,24,FALSE)*1000,"")</f>
        <v>#NUM!</v>
      </c>
      <c r="F298" s="546" t="e">
        <f>IF($K$6="not necessary",0,LARGE(acute_overview_adults!$AA$412:$AA$493,ROW()-(ROW($B$230))))</f>
        <v>#NUM!</v>
      </c>
      <c r="G298" s="237" t="e">
        <f>IF(F298&gt;0,INDEX(acute_overview_adults!$A$412:$AH$517,MATCH(F298,acute_overview_adults!$AA$412:$AA$517,0),3),"")</f>
        <v>#NUM!</v>
      </c>
      <c r="H298" s="259" t="e">
        <f>IF(F298=0,0,CONCATENATE(ROUND(VLOOKUP(G298,acute_overview_adults!$C$412:$E$517,3,FALSE),2)," / ",(ROUND(VLOOKUP(G298,acute_overview_adults!$C$412:$F$517,4,FALSE),2))))</f>
        <v>#NUM!</v>
      </c>
      <c r="I298" s="1160" t="e">
        <f>IF(F298&gt;0,VLOOKUP(G298,acute_overview_adults!$C$412:$AH$510,24,FALSE)*1000,"")</f>
        <v>#NUM!</v>
      </c>
      <c r="J298" s="1131" t="e">
        <f>IF($K$6="not necessary",0,LARGE(acute_overview_children!$AD$412:$AD$514,ROW()-(ROW($B$230))))</f>
        <v>#NUM!</v>
      </c>
      <c r="K298" s="745" t="e">
        <f>IF(J298&gt;0,INDEX(acute_overview_children!$A$412:$AH$514,MATCH(J298,acute_overview_children!$AD$412:$AD$514,0),3),"")</f>
        <v>#NUM!</v>
      </c>
      <c r="L298" s="755" t="e">
        <f>IF(J298=0,0,CONCATENATE(ROUND(VLOOKUP(K298,acute_overview_children!$C$412:$AH$514,3,FALSE),2)," / ",(ROUND(VLOOKUP(K298,acute_overview_children!$C$412:$AH$514,6,FALSE),2))))</f>
        <v>#NUM!</v>
      </c>
      <c r="M298" s="755" t="e">
        <f>IF(J298&gt;0,VLOOKUP(K298,acute_overview_children!$C$412:$AH$507,27,FALSE)*1000,"")</f>
        <v>#NUM!</v>
      </c>
      <c r="N298" s="766" t="e">
        <f>IF($K$6="not necessary",0,LARGE(acute_overview_adults!$AD$412:$AD$517,ROW()-(ROW(Results!$B$230))))</f>
        <v>#NUM!</v>
      </c>
      <c r="O298" s="745" t="e">
        <f>IF(Results!N298&gt;0,INDEX(acute_overview_adults!$A$412:$AH$517,MATCH(Results!N298,acute_overview_adults!$AD$412:$AD$517,0),3),"")</f>
        <v>#NUM!</v>
      </c>
      <c r="P298" s="755" t="e">
        <f>IF(N298=0,0,CONCATENATE(ROUND(VLOOKUP(O298,acute_overview_adults!$C$412:$AH$517,3,FALSE),2)," / ",(ROUND(VLOOKUP(O298,acute_overview_adults!$C$412:$AH$517,6,FALSE),2))))</f>
        <v>#NUM!</v>
      </c>
      <c r="Q298" s="755" t="e">
        <f>IF(N298&gt;0,VLOOKUP(O298,acute_overview_adults!$C$412:$AH$510,27,FALSE)*1000,"")</f>
        <v>#NUM!</v>
      </c>
    </row>
    <row r="299" spans="1:17" ht="12" hidden="1" customHeight="1" outlineLevel="1" x14ac:dyDescent="0.2">
      <c r="A299" s="850"/>
      <c r="B299" s="236" t="e">
        <f>IF($K$6="not necessary",0,LARGE(acute_overview_children!$AA$412:$AA$514,ROW()-(ROW(Results!$B$230))))</f>
        <v>#NUM!</v>
      </c>
      <c r="C299" s="543" t="e">
        <f>IF(Results!B299&gt;0,INDEX(acute_overview_children!$A$412:$AH$514,MATCH(Results!B299,acute_overview_children!$AA$412:$AA$514,0),3),"")</f>
        <v>#NUM!</v>
      </c>
      <c r="D299" s="253" t="e">
        <f>IF(B299=0,0,CONCATENATE(ROUND(VLOOKUP(C299,acute_overview_children!$C$412:$E$514,3,FALSE),2)," / ",(ROUND(VLOOKUP(C299,acute_overview_children!$C$412:$F$514,4,FALSE),2))))</f>
        <v>#NUM!</v>
      </c>
      <c r="E299" s="238" t="e">
        <f>IF(B299&gt;0,VLOOKUP(C299,acute_overview_children!$C$412:$AH$507,24,FALSE)*1000,"")</f>
        <v>#NUM!</v>
      </c>
      <c r="F299" s="546" t="e">
        <f>IF($K$6="not necessary",0,LARGE(acute_overview_adults!$AA$412:$AA$493,ROW()-(ROW($B$230))))</f>
        <v>#NUM!</v>
      </c>
      <c r="G299" s="237" t="e">
        <f>IF(F299&gt;0,INDEX(acute_overview_adults!$A$412:$AH$517,MATCH(F299,acute_overview_adults!$AA$412:$AA$517,0),3),"")</f>
        <v>#NUM!</v>
      </c>
      <c r="H299" s="259" t="e">
        <f>IF(F299=0,0,CONCATENATE(ROUND(VLOOKUP(G299,acute_overview_adults!$C$412:$E$517,3,FALSE),2)," / ",(ROUND(VLOOKUP(G299,acute_overview_adults!$C$412:$F$517,4,FALSE),2))))</f>
        <v>#NUM!</v>
      </c>
      <c r="I299" s="1160" t="e">
        <f>IF(F299&gt;0,VLOOKUP(G299,acute_overview_adults!$C$412:$AH$510,24,FALSE)*1000,"")</f>
        <v>#NUM!</v>
      </c>
      <c r="J299" s="1131" t="e">
        <f>IF($K$6="not necessary",0,LARGE(acute_overview_children!$AD$412:$AD$514,ROW()-(ROW($B$230))))</f>
        <v>#NUM!</v>
      </c>
      <c r="K299" s="745" t="e">
        <f>IF(J299&gt;0,INDEX(acute_overview_children!$A$412:$AH$514,MATCH(J299,acute_overview_children!$AD$412:$AD$514,0),3),"")</f>
        <v>#NUM!</v>
      </c>
      <c r="L299" s="755" t="e">
        <f>IF(J299=0,0,CONCATENATE(ROUND(VLOOKUP(K299,acute_overview_children!$C$412:$AH$514,3,FALSE),2)," / ",(ROUND(VLOOKUP(K299,acute_overview_children!$C$412:$AH$514,6,FALSE),2))))</f>
        <v>#NUM!</v>
      </c>
      <c r="M299" s="755" t="e">
        <f>IF(J299&gt;0,VLOOKUP(K299,acute_overview_children!$C$412:$AH$507,27,FALSE)*1000,"")</f>
        <v>#NUM!</v>
      </c>
      <c r="N299" s="766" t="e">
        <f>IF($K$6="not necessary",0,LARGE(acute_overview_adults!$AD$412:$AD$517,ROW()-(ROW(Results!$B$230))))</f>
        <v>#NUM!</v>
      </c>
      <c r="O299" s="745" t="e">
        <f>IF(Results!N299&gt;0,INDEX(acute_overview_adults!$A$412:$AH$517,MATCH(Results!N299,acute_overview_adults!$AD$412:$AD$517,0),3),"")</f>
        <v>#NUM!</v>
      </c>
      <c r="P299" s="755" t="e">
        <f>IF(N299=0,0,CONCATENATE(ROUND(VLOOKUP(O299,acute_overview_adults!$C$412:$AH$517,3,FALSE),2)," / ",(ROUND(VLOOKUP(O299,acute_overview_adults!$C$412:$AH$517,6,FALSE),2))))</f>
        <v>#NUM!</v>
      </c>
      <c r="Q299" s="755" t="e">
        <f>IF(N299&gt;0,VLOOKUP(O299,acute_overview_adults!$C$412:$AH$510,27,FALSE)*1000,"")</f>
        <v>#NUM!</v>
      </c>
    </row>
    <row r="300" spans="1:17" ht="12" hidden="1" customHeight="1" outlineLevel="1" x14ac:dyDescent="0.2">
      <c r="A300" s="850"/>
      <c r="B300" s="236" t="e">
        <f>IF($K$6="not necessary",0,LARGE(acute_overview_children!$AA$412:$AA$514,ROW()-(ROW(Results!$B$230))))</f>
        <v>#NUM!</v>
      </c>
      <c r="C300" s="543" t="e">
        <f>IF(Results!B300&gt;0,INDEX(acute_overview_children!$A$412:$AH$514,MATCH(Results!B300,acute_overview_children!$AA$412:$AA$514,0),3),"")</f>
        <v>#NUM!</v>
      </c>
      <c r="D300" s="253" t="e">
        <f>IF(B300=0,0,CONCATENATE(ROUND(VLOOKUP(C300,acute_overview_children!$C$412:$E$514,3,FALSE),2)," / ",(ROUND(VLOOKUP(C300,acute_overview_children!$C$412:$F$514,4,FALSE),2))))</f>
        <v>#NUM!</v>
      </c>
      <c r="E300" s="238" t="e">
        <f>IF(B300&gt;0,VLOOKUP(C300,acute_overview_children!$C$412:$AH$507,24,FALSE)*1000,"")</f>
        <v>#NUM!</v>
      </c>
      <c r="F300" s="546" t="e">
        <f>IF($K$6="not necessary",0,LARGE(acute_overview_adults!$AA$412:$AA$493,ROW()-(ROW($B$230))))</f>
        <v>#NUM!</v>
      </c>
      <c r="G300" s="237" t="e">
        <f>IF(F300&gt;0,INDEX(acute_overview_adults!$A$412:$AH$517,MATCH(F300,acute_overview_adults!$AA$412:$AA$517,0),3),"")</f>
        <v>#NUM!</v>
      </c>
      <c r="H300" s="259" t="e">
        <f>IF(F300=0,0,CONCATENATE(ROUND(VLOOKUP(G300,acute_overview_adults!$C$412:$E$517,3,FALSE),2)," / ",(ROUND(VLOOKUP(G300,acute_overview_adults!$C$412:$F$517,4,FALSE),2))))</f>
        <v>#NUM!</v>
      </c>
      <c r="I300" s="1160" t="e">
        <f>IF(F300&gt;0,VLOOKUP(G300,acute_overview_adults!$C$412:$AH$510,24,FALSE)*1000,"")</f>
        <v>#NUM!</v>
      </c>
      <c r="J300" s="1131" t="e">
        <f>IF($K$6="not necessary",0,LARGE(acute_overview_children!$AD$412:$AD$514,ROW()-(ROW($B$230))))</f>
        <v>#NUM!</v>
      </c>
      <c r="K300" s="745" t="e">
        <f>IF(J300&gt;0,INDEX(acute_overview_children!$A$412:$AH$514,MATCH(J300,acute_overview_children!$AD$412:$AD$514,0),3),"")</f>
        <v>#NUM!</v>
      </c>
      <c r="L300" s="755" t="e">
        <f>IF(J300=0,0,CONCATENATE(ROUND(VLOOKUP(K300,acute_overview_children!$C$412:$AH$514,3,FALSE),2)," / ",(ROUND(VLOOKUP(K300,acute_overview_children!$C$412:$AH$514,6,FALSE),2))))</f>
        <v>#NUM!</v>
      </c>
      <c r="M300" s="755" t="e">
        <f>IF(J300&gt;0,VLOOKUP(K300,acute_overview_children!$C$412:$AH$507,27,FALSE)*1000,"")</f>
        <v>#NUM!</v>
      </c>
      <c r="N300" s="766" t="e">
        <f>IF($K$6="not necessary",0,LARGE(acute_overview_adults!$AD$412:$AD$517,ROW()-(ROW(Results!$B$230))))</f>
        <v>#NUM!</v>
      </c>
      <c r="O300" s="745" t="e">
        <f>IF(Results!N300&gt;0,INDEX(acute_overview_adults!$A$412:$AH$517,MATCH(Results!N300,acute_overview_adults!$AD$412:$AD$517,0),3),"")</f>
        <v>#NUM!</v>
      </c>
      <c r="P300" s="755" t="e">
        <f>IF(N300=0,0,CONCATENATE(ROUND(VLOOKUP(O300,acute_overview_adults!$C$412:$AH$517,3,FALSE),2)," / ",(ROUND(VLOOKUP(O300,acute_overview_adults!$C$412:$AH$517,6,FALSE),2))))</f>
        <v>#NUM!</v>
      </c>
      <c r="Q300" s="755" t="e">
        <f>IF(N300&gt;0,VLOOKUP(O300,acute_overview_adults!$C$412:$AH$510,27,FALSE)*1000,"")</f>
        <v>#NUM!</v>
      </c>
    </row>
    <row r="301" spans="1:17" ht="12" hidden="1" customHeight="1" outlineLevel="1" x14ac:dyDescent="0.2">
      <c r="A301" s="850"/>
      <c r="B301" s="236" t="e">
        <f>IF($K$6="not necessary",0,LARGE(acute_overview_children!$AA$412:$AA$514,ROW()-(ROW(Results!$B$230))))</f>
        <v>#NUM!</v>
      </c>
      <c r="C301" s="543" t="e">
        <f>IF(Results!B301&gt;0,INDEX(acute_overview_children!$A$412:$AH$514,MATCH(Results!B301,acute_overview_children!$AA$412:$AA$514,0),3),"")</f>
        <v>#NUM!</v>
      </c>
      <c r="D301" s="253" t="e">
        <f>IF(B301=0,0,CONCATENATE(ROUND(VLOOKUP(C301,acute_overview_children!$C$412:$E$514,3,FALSE),2)," / ",(ROUND(VLOOKUP(C301,acute_overview_children!$C$412:$F$514,4,FALSE),2))))</f>
        <v>#NUM!</v>
      </c>
      <c r="E301" s="238" t="e">
        <f>IF(B301&gt;0,VLOOKUP(C301,acute_overview_children!$C$412:$AH$507,24,FALSE)*1000,"")</f>
        <v>#NUM!</v>
      </c>
      <c r="F301" s="546" t="e">
        <f>IF($K$6="not necessary",0,LARGE(acute_overview_adults!$AA$412:$AA$493,ROW()-(ROW($B$230))))</f>
        <v>#NUM!</v>
      </c>
      <c r="G301" s="237" t="e">
        <f>IF(F301&gt;0,INDEX(acute_overview_adults!$A$412:$AH$517,MATCH(F301,acute_overview_adults!$AA$412:$AA$517,0),3),"")</f>
        <v>#NUM!</v>
      </c>
      <c r="H301" s="259" t="e">
        <f>IF(F301=0,0,CONCATENATE(ROUND(VLOOKUP(G301,acute_overview_adults!$C$412:$E$517,3,FALSE),2)," / ",(ROUND(VLOOKUP(G301,acute_overview_adults!$C$412:$F$517,4,FALSE),2))))</f>
        <v>#NUM!</v>
      </c>
      <c r="I301" s="1160" t="e">
        <f>IF(F301&gt;0,VLOOKUP(G301,acute_overview_adults!$C$412:$AH$510,24,FALSE)*1000,"")</f>
        <v>#NUM!</v>
      </c>
      <c r="J301" s="1131" t="e">
        <f>IF($K$6="not necessary",0,LARGE(acute_overview_children!$AD$412:$AD$514,ROW()-(ROW($B$230))))</f>
        <v>#NUM!</v>
      </c>
      <c r="K301" s="745" t="e">
        <f>IF(J301&gt;0,INDEX(acute_overview_children!$A$412:$AH$514,MATCH(J301,acute_overview_children!$AD$412:$AD$514,0),3),"")</f>
        <v>#NUM!</v>
      </c>
      <c r="L301" s="755" t="e">
        <f>IF(J301=0,0,CONCATENATE(ROUND(VLOOKUP(K301,acute_overview_children!$C$412:$AH$514,3,FALSE),2)," / ",(ROUND(VLOOKUP(K301,acute_overview_children!$C$412:$AH$514,6,FALSE),2))))</f>
        <v>#NUM!</v>
      </c>
      <c r="M301" s="755" t="e">
        <f>IF(J301&gt;0,VLOOKUP(K301,acute_overview_children!$C$412:$AH$507,27,FALSE)*1000,"")</f>
        <v>#NUM!</v>
      </c>
      <c r="N301" s="766" t="e">
        <f>IF($K$6="not necessary",0,LARGE(acute_overview_adults!$AD$412:$AD$517,ROW()-(ROW(Results!$B$230))))</f>
        <v>#NUM!</v>
      </c>
      <c r="O301" s="745" t="e">
        <f>IF(Results!N301&gt;0,INDEX(acute_overview_adults!$A$412:$AH$517,MATCH(Results!N301,acute_overview_adults!$AD$412:$AD$517,0),3),"")</f>
        <v>#NUM!</v>
      </c>
      <c r="P301" s="755" t="e">
        <f>IF(N301=0,0,CONCATENATE(ROUND(VLOOKUP(O301,acute_overview_adults!$C$412:$AH$517,3,FALSE),2)," / ",(ROUND(VLOOKUP(O301,acute_overview_adults!$C$412:$AH$517,6,FALSE),2))))</f>
        <v>#NUM!</v>
      </c>
      <c r="Q301" s="755" t="e">
        <f>IF(N301&gt;0,VLOOKUP(O301,acute_overview_adults!$C$412:$AH$510,27,FALSE)*1000,"")</f>
        <v>#NUM!</v>
      </c>
    </row>
    <row r="302" spans="1:17" ht="12" hidden="1" customHeight="1" outlineLevel="1" x14ac:dyDescent="0.2">
      <c r="A302" s="850"/>
      <c r="B302" s="236" t="e">
        <f>IF($K$6="not necessary",0,LARGE(acute_overview_children!$AA$412:$AA$514,ROW()-(ROW(Results!$B$230))))</f>
        <v>#NUM!</v>
      </c>
      <c r="C302" s="543" t="e">
        <f>IF(Results!B302&gt;0,INDEX(acute_overview_children!$A$412:$AH$514,MATCH(Results!B302,acute_overview_children!$AA$412:$AA$514,0),3),"")</f>
        <v>#NUM!</v>
      </c>
      <c r="D302" s="253" t="e">
        <f>IF(B302=0,0,CONCATENATE(ROUND(VLOOKUP(C302,acute_overview_children!$C$412:$E$514,3,FALSE),2)," / ",(ROUND(VLOOKUP(C302,acute_overview_children!$C$412:$F$514,4,FALSE),2))))</f>
        <v>#NUM!</v>
      </c>
      <c r="E302" s="238" t="e">
        <f>IF(B302&gt;0,VLOOKUP(C302,acute_overview_children!$C$412:$AH$507,24,FALSE)*1000,"")</f>
        <v>#NUM!</v>
      </c>
      <c r="F302" s="546" t="e">
        <f>IF($K$6="not necessary",0,LARGE(acute_overview_adults!$AA$412:$AA$493,ROW()-(ROW($B$230))))</f>
        <v>#NUM!</v>
      </c>
      <c r="G302" s="237" t="e">
        <f>IF(F302&gt;0,INDEX(acute_overview_adults!$A$412:$AH$517,MATCH(F302,acute_overview_adults!$AA$412:$AA$517,0),3),"")</f>
        <v>#NUM!</v>
      </c>
      <c r="H302" s="259" t="e">
        <f>IF(F302=0,0,CONCATENATE(ROUND(VLOOKUP(G302,acute_overview_adults!$C$412:$E$517,3,FALSE),2)," / ",(ROUND(VLOOKUP(G302,acute_overview_adults!$C$412:$F$517,4,FALSE),2))))</f>
        <v>#NUM!</v>
      </c>
      <c r="I302" s="1160" t="e">
        <f>IF(F302&gt;0,VLOOKUP(G302,acute_overview_adults!$C$412:$AH$510,24,FALSE)*1000,"")</f>
        <v>#NUM!</v>
      </c>
      <c r="J302" s="1131" t="e">
        <f>IF($K$6="not necessary",0,LARGE(acute_overview_children!$AD$412:$AD$514,ROW()-(ROW($B$230))))</f>
        <v>#NUM!</v>
      </c>
      <c r="K302" s="745" t="e">
        <f>IF(J302&gt;0,INDEX(acute_overview_children!$A$412:$AH$514,MATCH(J302,acute_overview_children!$AD$412:$AD$514,0),3),"")</f>
        <v>#NUM!</v>
      </c>
      <c r="L302" s="755" t="e">
        <f>IF(J302=0,0,CONCATENATE(ROUND(VLOOKUP(K302,acute_overview_children!$C$412:$AH$514,3,FALSE),2)," / ",(ROUND(VLOOKUP(K302,acute_overview_children!$C$412:$AH$514,6,FALSE),2))))</f>
        <v>#NUM!</v>
      </c>
      <c r="M302" s="755" t="e">
        <f>IF(J302&gt;0,VLOOKUP(K302,acute_overview_children!$C$412:$AH$507,27,FALSE)*1000,"")</f>
        <v>#NUM!</v>
      </c>
      <c r="N302" s="766" t="e">
        <f>IF($K$6="not necessary",0,LARGE(acute_overview_adults!$AD$412:$AD$517,ROW()-(ROW(Results!$B$230))))</f>
        <v>#NUM!</v>
      </c>
      <c r="O302" s="745" t="e">
        <f>IF(Results!N302&gt;0,INDEX(acute_overview_adults!$A$412:$AH$517,MATCH(Results!N302,acute_overview_adults!$AD$412:$AD$517,0),3),"")</f>
        <v>#NUM!</v>
      </c>
      <c r="P302" s="755" t="e">
        <f>IF(N302=0,0,CONCATENATE(ROUND(VLOOKUP(O302,acute_overview_adults!$C$412:$AH$517,3,FALSE),2)," / ",(ROUND(VLOOKUP(O302,acute_overview_adults!$C$412:$AH$517,6,FALSE),2))))</f>
        <v>#NUM!</v>
      </c>
      <c r="Q302" s="755" t="e">
        <f>IF(N302&gt;0,VLOOKUP(O302,acute_overview_adults!$C$412:$AH$510,27,FALSE)*1000,"")</f>
        <v>#NUM!</v>
      </c>
    </row>
    <row r="303" spans="1:17" ht="12" hidden="1" customHeight="1" outlineLevel="1" x14ac:dyDescent="0.2">
      <c r="A303" s="850"/>
      <c r="B303" s="236" t="e">
        <f>IF($K$6="not necessary",0,LARGE(acute_overview_children!$AA$412:$AA$514,ROW()-(ROW(Results!$B$230))))</f>
        <v>#NUM!</v>
      </c>
      <c r="C303" s="543" t="e">
        <f>IF(Results!B303&gt;0,INDEX(acute_overview_children!$A$412:$AH$514,MATCH(Results!B303,acute_overview_children!$AA$412:$AA$514,0),3),"")</f>
        <v>#NUM!</v>
      </c>
      <c r="D303" s="253" t="e">
        <f>IF(B303=0,0,CONCATENATE(ROUND(VLOOKUP(C303,acute_overview_children!$C$412:$E$514,3,FALSE),2)," / ",(ROUND(VLOOKUP(C303,acute_overview_children!$C$412:$F$514,4,FALSE),2))))</f>
        <v>#NUM!</v>
      </c>
      <c r="E303" s="238" t="e">
        <f>IF(B303&gt;0,VLOOKUP(C303,acute_overview_children!$C$412:$AH$507,24,FALSE)*1000,"")</f>
        <v>#NUM!</v>
      </c>
      <c r="F303" s="546" t="e">
        <f>IF($K$6="not necessary",0,LARGE(acute_overview_adults!$AA$412:$AA$493,ROW()-(ROW($B$230))))</f>
        <v>#NUM!</v>
      </c>
      <c r="G303" s="237" t="e">
        <f>IF(F303&gt;0,INDEX(acute_overview_adults!$A$412:$AH$517,MATCH(F303,acute_overview_adults!$AA$412:$AA$517,0),3),"")</f>
        <v>#NUM!</v>
      </c>
      <c r="H303" s="259" t="e">
        <f>IF(F303=0,0,CONCATENATE(ROUND(VLOOKUP(G303,acute_overview_adults!$C$412:$E$517,3,FALSE),2)," / ",(ROUND(VLOOKUP(G303,acute_overview_adults!$C$412:$F$517,4,FALSE),2))))</f>
        <v>#NUM!</v>
      </c>
      <c r="I303" s="1160" t="e">
        <f>IF(F303&gt;0,VLOOKUP(G303,acute_overview_adults!$C$412:$AH$510,24,FALSE)*1000,"")</f>
        <v>#NUM!</v>
      </c>
      <c r="J303" s="1131" t="e">
        <f>IF($K$6="not necessary",0,LARGE(acute_overview_children!$AD$412:$AD$514,ROW()-(ROW($B$230))))</f>
        <v>#NUM!</v>
      </c>
      <c r="K303" s="745" t="e">
        <f>IF(J303&gt;0,INDEX(acute_overview_children!$A$412:$AH$514,MATCH(J303,acute_overview_children!$AD$412:$AD$514,0),3),"")</f>
        <v>#NUM!</v>
      </c>
      <c r="L303" s="755" t="e">
        <f>IF(J303=0,0,CONCATENATE(ROUND(VLOOKUP(K303,acute_overview_children!$C$412:$AH$514,3,FALSE),2)," / ",(ROUND(VLOOKUP(K303,acute_overview_children!$C$412:$AH$514,6,FALSE),2))))</f>
        <v>#NUM!</v>
      </c>
      <c r="M303" s="755" t="e">
        <f>IF(J303&gt;0,VLOOKUP(K303,acute_overview_children!$C$412:$AH$507,27,FALSE)*1000,"")</f>
        <v>#NUM!</v>
      </c>
      <c r="N303" s="766" t="e">
        <f>IF($K$6="not necessary",0,LARGE(acute_overview_adults!$AD$412:$AD$517,ROW()-(ROW(Results!$B$230))))</f>
        <v>#NUM!</v>
      </c>
      <c r="O303" s="745" t="e">
        <f>IF(Results!N303&gt;0,INDEX(acute_overview_adults!$A$412:$AH$517,MATCH(Results!N303,acute_overview_adults!$AD$412:$AD$517,0),3),"")</f>
        <v>#NUM!</v>
      </c>
      <c r="P303" s="755" t="e">
        <f>IF(N303=0,0,CONCATENATE(ROUND(VLOOKUP(O303,acute_overview_adults!$C$412:$AH$517,3,FALSE),2)," / ",(ROUND(VLOOKUP(O303,acute_overview_adults!$C$412:$AH$517,6,FALSE),2))))</f>
        <v>#NUM!</v>
      </c>
      <c r="Q303" s="755" t="e">
        <f>IF(N303&gt;0,VLOOKUP(O303,acute_overview_adults!$C$412:$AH$510,27,FALSE)*1000,"")</f>
        <v>#NUM!</v>
      </c>
    </row>
    <row r="304" spans="1:17" ht="12" hidden="1" customHeight="1" outlineLevel="1" x14ac:dyDescent="0.2">
      <c r="A304" s="850"/>
      <c r="B304" s="236" t="e">
        <f>IF($K$6="not necessary",0,LARGE(acute_overview_children!$AA$412:$AA$514,ROW()-(ROW(Results!$B$230))))</f>
        <v>#NUM!</v>
      </c>
      <c r="C304" s="543" t="e">
        <f>IF(Results!B304&gt;0,INDEX(acute_overview_children!$A$412:$AH$514,MATCH(Results!B304,acute_overview_children!$AA$412:$AA$514,0),3),"")</f>
        <v>#NUM!</v>
      </c>
      <c r="D304" s="253" t="e">
        <f>IF(B304=0,0,CONCATENATE(ROUND(VLOOKUP(C304,acute_overview_children!$C$412:$E$514,3,FALSE),2)," / ",(ROUND(VLOOKUP(C304,acute_overview_children!$C$412:$F$514,4,FALSE),2))))</f>
        <v>#NUM!</v>
      </c>
      <c r="E304" s="238" t="e">
        <f>IF(B304&gt;0,VLOOKUP(C304,acute_overview_children!$C$412:$AH$507,24,FALSE)*1000,"")</f>
        <v>#NUM!</v>
      </c>
      <c r="F304" s="546" t="e">
        <f>IF($K$6="not necessary",0,LARGE(acute_overview_adults!$AA$412:$AA$493,ROW()-(ROW($B$230))))</f>
        <v>#NUM!</v>
      </c>
      <c r="G304" s="237" t="e">
        <f>IF(F304&gt;0,INDEX(acute_overview_adults!$A$412:$AH$517,MATCH(F304,acute_overview_adults!$AA$412:$AA$517,0),3),"")</f>
        <v>#NUM!</v>
      </c>
      <c r="H304" s="259" t="e">
        <f>IF(F304=0,0,CONCATENATE(ROUND(VLOOKUP(G304,acute_overview_adults!$C$412:$E$517,3,FALSE),2)," / ",(ROUND(VLOOKUP(G304,acute_overview_adults!$C$412:$F$517,4,FALSE),2))))</f>
        <v>#NUM!</v>
      </c>
      <c r="I304" s="1160" t="e">
        <f>IF(F304&gt;0,VLOOKUP(G304,acute_overview_adults!$C$412:$AH$510,24,FALSE)*1000,"")</f>
        <v>#NUM!</v>
      </c>
      <c r="J304" s="1131" t="e">
        <f>IF($K$6="not necessary",0,LARGE(acute_overview_children!$AD$412:$AD$514,ROW()-(ROW($B$230))))</f>
        <v>#NUM!</v>
      </c>
      <c r="K304" s="745" t="e">
        <f>IF(J304&gt;0,INDEX(acute_overview_children!$A$412:$AH$514,MATCH(J304,acute_overview_children!$AD$412:$AD$514,0),3),"")</f>
        <v>#NUM!</v>
      </c>
      <c r="L304" s="755" t="e">
        <f>IF(J304=0,0,CONCATENATE(ROUND(VLOOKUP(K304,acute_overview_children!$C$412:$AH$514,3,FALSE),2)," / ",(ROUND(VLOOKUP(K304,acute_overview_children!$C$412:$AH$514,6,FALSE),2))))</f>
        <v>#NUM!</v>
      </c>
      <c r="M304" s="755" t="e">
        <f>IF(J304&gt;0,VLOOKUP(K304,acute_overview_children!$C$412:$AH$507,27,FALSE)*1000,"")</f>
        <v>#NUM!</v>
      </c>
      <c r="N304" s="766" t="e">
        <f>IF($K$6="not necessary",0,LARGE(acute_overview_adults!$AD$412:$AD$517,ROW()-(ROW(Results!$B$230))))</f>
        <v>#NUM!</v>
      </c>
      <c r="O304" s="745" t="e">
        <f>IF(Results!N304&gt;0,INDEX(acute_overview_adults!$A$412:$AH$517,MATCH(Results!N304,acute_overview_adults!$AD$412:$AD$517,0),3),"")</f>
        <v>#NUM!</v>
      </c>
      <c r="P304" s="755" t="e">
        <f>IF(N304=0,0,CONCATENATE(ROUND(VLOOKUP(O304,acute_overview_adults!$C$412:$AH$517,3,FALSE),2)," / ",(ROUND(VLOOKUP(O304,acute_overview_adults!$C$412:$AH$517,6,FALSE),2))))</f>
        <v>#NUM!</v>
      </c>
      <c r="Q304" s="755" t="e">
        <f>IF(N304&gt;0,VLOOKUP(O304,acute_overview_adults!$C$412:$AH$510,27,FALSE)*1000,"")</f>
        <v>#NUM!</v>
      </c>
    </row>
    <row r="305" spans="1:17" ht="12" hidden="1" customHeight="1" outlineLevel="1" x14ac:dyDescent="0.2">
      <c r="A305" s="850"/>
      <c r="B305" s="236" t="e">
        <f>IF($K$6="not necessary",0,LARGE(acute_overview_children!$AA$412:$AA$514,ROW()-(ROW(Results!$B$230))))</f>
        <v>#NUM!</v>
      </c>
      <c r="C305" s="543" t="e">
        <f>IF(Results!B305&gt;0,INDEX(acute_overview_children!$A$412:$AH$514,MATCH(Results!B305,acute_overview_children!$AA$412:$AA$514,0),3),"")</f>
        <v>#NUM!</v>
      </c>
      <c r="D305" s="253" t="e">
        <f>IF(B305=0,0,CONCATENATE(ROUND(VLOOKUP(C305,acute_overview_children!$C$412:$E$514,3,FALSE),2)," / ",(ROUND(VLOOKUP(C305,acute_overview_children!$C$412:$F$514,4,FALSE),2))))</f>
        <v>#NUM!</v>
      </c>
      <c r="E305" s="238" t="e">
        <f>IF(B305&gt;0,VLOOKUP(C305,acute_overview_children!$C$412:$AH$507,24,FALSE)*1000,"")</f>
        <v>#NUM!</v>
      </c>
      <c r="F305" s="546" t="e">
        <f>IF($K$6="not necessary",0,LARGE(acute_overview_adults!$AA$412:$AA$493,ROW()-(ROW($B$230))))</f>
        <v>#NUM!</v>
      </c>
      <c r="G305" s="237" t="e">
        <f>IF(F305&gt;0,INDEX(acute_overview_adults!$A$412:$AH$517,MATCH(F305,acute_overview_adults!$AA$412:$AA$517,0),3),"")</f>
        <v>#NUM!</v>
      </c>
      <c r="H305" s="259" t="e">
        <f>IF(F305=0,0,CONCATENATE(ROUND(VLOOKUP(G305,acute_overview_adults!$C$412:$E$517,3,FALSE),2)," / ",(ROUND(VLOOKUP(G305,acute_overview_adults!$C$412:$F$517,4,FALSE),2))))</f>
        <v>#NUM!</v>
      </c>
      <c r="I305" s="1160" t="e">
        <f>IF(F305&gt;0,VLOOKUP(G305,acute_overview_adults!$C$412:$AH$510,24,FALSE)*1000,"")</f>
        <v>#NUM!</v>
      </c>
      <c r="J305" s="1131" t="e">
        <f>IF($K$6="not necessary",0,LARGE(acute_overview_children!$AD$412:$AD$514,ROW()-(ROW($B$230))))</f>
        <v>#NUM!</v>
      </c>
      <c r="K305" s="745" t="e">
        <f>IF(J305&gt;0,INDEX(acute_overview_children!$A$412:$AH$514,MATCH(J305,acute_overview_children!$AD$412:$AD$514,0),3),"")</f>
        <v>#NUM!</v>
      </c>
      <c r="L305" s="755" t="e">
        <f>IF(J305=0,0,CONCATENATE(ROUND(VLOOKUP(K305,acute_overview_children!$C$412:$AH$514,3,FALSE),2)," / ",(ROUND(VLOOKUP(K305,acute_overview_children!$C$412:$AH$514,6,FALSE),2))))</f>
        <v>#NUM!</v>
      </c>
      <c r="M305" s="755" t="e">
        <f>IF(J305&gt;0,VLOOKUP(K305,acute_overview_children!$C$412:$AH$507,27,FALSE)*1000,"")</f>
        <v>#NUM!</v>
      </c>
      <c r="N305" s="766" t="e">
        <f>IF($K$6="not necessary",0,LARGE(acute_overview_adults!$AD$412:$AD$517,ROW()-(ROW(Results!$B$230))))</f>
        <v>#NUM!</v>
      </c>
      <c r="O305" s="745" t="e">
        <f>IF(Results!N305&gt;0,INDEX(acute_overview_adults!$A$412:$AH$517,MATCH(Results!N305,acute_overview_adults!$AD$412:$AD$517,0),3),"")</f>
        <v>#NUM!</v>
      </c>
      <c r="P305" s="755" t="e">
        <f>IF(N305=0,0,CONCATENATE(ROUND(VLOOKUP(O305,acute_overview_adults!$C$412:$AH$517,3,FALSE),2)," / ",(ROUND(VLOOKUP(O305,acute_overview_adults!$C$412:$AH$517,6,FALSE),2))))</f>
        <v>#NUM!</v>
      </c>
      <c r="Q305" s="755" t="e">
        <f>IF(N305&gt;0,VLOOKUP(O305,acute_overview_adults!$C$412:$AH$510,27,FALSE)*1000,"")</f>
        <v>#NUM!</v>
      </c>
    </row>
    <row r="306" spans="1:17" ht="12" hidden="1" customHeight="1" outlineLevel="1" x14ac:dyDescent="0.2">
      <c r="A306" s="850"/>
      <c r="B306" s="236" t="e">
        <f>IF($K$6="not necessary",0,LARGE(acute_overview_children!$AA$412:$AA$514,ROW()-(ROW(Results!$B$230))))</f>
        <v>#NUM!</v>
      </c>
      <c r="C306" s="543" t="e">
        <f>IF(Results!B306&gt;0,INDEX(acute_overview_children!$A$412:$AH$514,MATCH(Results!B306,acute_overview_children!$AA$412:$AA$514,0),3),"")</f>
        <v>#NUM!</v>
      </c>
      <c r="D306" s="253" t="e">
        <f>IF(B306=0,0,CONCATENATE(ROUND(VLOOKUP(C306,acute_overview_children!$C$412:$E$514,3,FALSE),2)," / ",(ROUND(VLOOKUP(C306,acute_overview_children!$C$412:$F$514,4,FALSE),2))))</f>
        <v>#NUM!</v>
      </c>
      <c r="E306" s="238" t="e">
        <f>IF(B306&gt;0,VLOOKUP(C306,acute_overview_children!$C$412:$AH$507,24,FALSE)*1000,"")</f>
        <v>#NUM!</v>
      </c>
      <c r="F306" s="546" t="e">
        <f>IF($K$6="not necessary",0,LARGE(acute_overview_adults!$AA$412:$AA$493,ROW()-(ROW($B$230))))</f>
        <v>#NUM!</v>
      </c>
      <c r="G306" s="237" t="e">
        <f>IF(F306&gt;0,INDEX(acute_overview_adults!$A$412:$AH$517,MATCH(F306,acute_overview_adults!$AA$412:$AA$517,0),3),"")</f>
        <v>#NUM!</v>
      </c>
      <c r="H306" s="259" t="e">
        <f>IF(F306=0,0,CONCATENATE(ROUND(VLOOKUP(G306,acute_overview_adults!$C$412:$E$517,3,FALSE),2)," / ",(ROUND(VLOOKUP(G306,acute_overview_adults!$C$412:$F$517,4,FALSE),2))))</f>
        <v>#NUM!</v>
      </c>
      <c r="I306" s="1160" t="e">
        <f>IF(F306&gt;0,VLOOKUP(G306,acute_overview_adults!$C$412:$AH$510,24,FALSE)*1000,"")</f>
        <v>#NUM!</v>
      </c>
      <c r="J306" s="1131" t="e">
        <f>IF($K$6="not necessary",0,LARGE(acute_overview_children!$AD$412:$AD$514,ROW()-(ROW($B$230))))</f>
        <v>#NUM!</v>
      </c>
      <c r="K306" s="745" t="e">
        <f>IF(J306&gt;0,INDEX(acute_overview_children!$A$412:$AH$514,MATCH(J306,acute_overview_children!$AD$412:$AD$514,0),3),"")</f>
        <v>#NUM!</v>
      </c>
      <c r="L306" s="755" t="e">
        <f>IF(J306=0,0,CONCATENATE(ROUND(VLOOKUP(K306,acute_overview_children!$C$412:$AH$514,3,FALSE),2)," / ",(ROUND(VLOOKUP(K306,acute_overview_children!$C$412:$AH$514,6,FALSE),2))))</f>
        <v>#NUM!</v>
      </c>
      <c r="M306" s="755" t="e">
        <f>IF(J306&gt;0,VLOOKUP(K306,acute_overview_children!$C$412:$AH$507,27,FALSE)*1000,"")</f>
        <v>#NUM!</v>
      </c>
      <c r="N306" s="766" t="e">
        <f>IF($K$6="not necessary",0,LARGE(acute_overview_adults!$AD$412:$AD$517,ROW()-(ROW(Results!$B$230))))</f>
        <v>#NUM!</v>
      </c>
      <c r="O306" s="745" t="e">
        <f>IF(Results!N306&gt;0,INDEX(acute_overview_adults!$A$412:$AH$517,MATCH(Results!N306,acute_overview_adults!$AD$412:$AD$517,0),3),"")</f>
        <v>#NUM!</v>
      </c>
      <c r="P306" s="755" t="e">
        <f>IF(N306=0,0,CONCATENATE(ROUND(VLOOKUP(O306,acute_overview_adults!$C$412:$AH$517,3,FALSE),2)," / ",(ROUND(VLOOKUP(O306,acute_overview_adults!$C$412:$AH$517,6,FALSE),2))))</f>
        <v>#NUM!</v>
      </c>
      <c r="Q306" s="755" t="e">
        <f>IF(N306&gt;0,VLOOKUP(O306,acute_overview_adults!$C$412:$AH$510,27,FALSE)*1000,"")</f>
        <v>#NUM!</v>
      </c>
    </row>
    <row r="307" spans="1:17" ht="12" hidden="1" customHeight="1" outlineLevel="1" x14ac:dyDescent="0.2">
      <c r="A307" s="850"/>
      <c r="B307" s="254" t="e">
        <f>IF($K$6="not necessary",0,LARGE(acute_overview_children!$AA$412:$AA$514,ROW()-(ROW(Results!$B$230))))</f>
        <v>#NUM!</v>
      </c>
      <c r="C307" s="1176" t="e">
        <f>IF(Results!B307&gt;0,INDEX(acute_overview_children!$A$412:$AH$514,MATCH(Results!B307,acute_overview_children!$AA$412:$AA$514,0),3),"")</f>
        <v>#NUM!</v>
      </c>
      <c r="D307" s="255" t="e">
        <f>IF(B307=0,0,CONCATENATE(ROUND(VLOOKUP(C307,acute_overview_children!$C$412:$E$514,3,FALSE),2)," / ",(ROUND(VLOOKUP(C307,acute_overview_children!$C$412:$F$514,4,FALSE),2))))</f>
        <v>#NUM!</v>
      </c>
      <c r="E307" s="242" t="e">
        <f>IF(B307&gt;0,VLOOKUP(C307,acute_overview_children!$C$412:$AH$507,24,FALSE)*1000,"")</f>
        <v>#NUM!</v>
      </c>
      <c r="F307" s="1132" t="e">
        <f>IF($K$6="not necessary",0,LARGE(acute_overview_adults!$AA$412:$AA$493,ROW()-(ROW($B$230))))</f>
        <v>#NUM!</v>
      </c>
      <c r="G307" s="241" t="e">
        <f>IF(F307&gt;0,INDEX(acute_overview_adults!$A$412:$AH$517,MATCH(F307,acute_overview_adults!$AA$412:$AA$517,0),3),"")</f>
        <v>#NUM!</v>
      </c>
      <c r="H307" s="1159" t="e">
        <f>IF(F307=0,0,CONCATENATE(ROUND(VLOOKUP(G307,acute_overview_adults!$C$412:$E$517,3,FALSE),2)," / ",(ROUND(VLOOKUP(G307,acute_overview_adults!$C$412:$F$517,4,FALSE),2))))</f>
        <v>#NUM!</v>
      </c>
      <c r="I307" s="1174" t="e">
        <f>IF(F307&gt;0,VLOOKUP(G307,acute_overview_adults!$C$412:$AH$510,24,FALSE)*1000,"")</f>
        <v>#NUM!</v>
      </c>
      <c r="J307" s="1131" t="e">
        <f>IF($K$6="not necessary",0,LARGE(acute_overview_children!$AD$412:$AD$514,ROW()-(ROW($B$230))))</f>
        <v>#NUM!</v>
      </c>
      <c r="K307" s="745" t="e">
        <f>IF(J307&gt;0,INDEX(acute_overview_children!$A$412:$AH$514,MATCH(J307,acute_overview_children!$AD$412:$AD$514,0),3),"")</f>
        <v>#NUM!</v>
      </c>
      <c r="L307" s="755" t="e">
        <f>IF(J307=0,0,CONCATENATE(ROUND(VLOOKUP(K307,acute_overview_children!$C$412:$AH$514,3,FALSE),2)," / ",(ROUND(VLOOKUP(K307,acute_overview_children!$C$412:$AH$514,6,FALSE),2))))</f>
        <v>#NUM!</v>
      </c>
      <c r="M307" s="755" t="e">
        <f>IF(J307&gt;0,VLOOKUP(K307,acute_overview_children!$C$412:$AH$507,27,FALSE)*1000,"")</f>
        <v>#NUM!</v>
      </c>
      <c r="N307" s="766" t="e">
        <f>IF($K$6="not necessary",0,LARGE(acute_overview_adults!$AD$412:$AD$517,ROW()-(ROW(Results!$B$230))))</f>
        <v>#NUM!</v>
      </c>
      <c r="O307" s="745" t="e">
        <f>IF(Results!N307&gt;0,INDEX(acute_overview_adults!$A$412:$AH$517,MATCH(Results!N307,acute_overview_adults!$AD$412:$AD$517,0),3),"")</f>
        <v>#NUM!</v>
      </c>
      <c r="P307" s="755" t="e">
        <f>IF(N307=0,0,CONCATENATE(ROUND(VLOOKUP(O307,acute_overview_adults!$C$412:$AH$517,3,FALSE),2)," / ",(ROUND(VLOOKUP(O307,acute_overview_adults!$C$412:$AH$517,6,FALSE),2))))</f>
        <v>#NUM!</v>
      </c>
      <c r="Q307" s="755" t="e">
        <f>IF(N307&gt;0,VLOOKUP(O307,acute_overview_adults!$C$412:$AH$510,27,FALSE)*1000,"")</f>
        <v>#NUM!</v>
      </c>
    </row>
    <row r="308" spans="1:17" ht="12" customHeight="1" collapsed="1" x14ac:dyDescent="0.2">
      <c r="A308" s="207"/>
      <c r="B308" s="779" t="s">
        <v>337</v>
      </c>
      <c r="C308" s="771"/>
      <c r="D308" s="772"/>
      <c r="E308" s="773"/>
      <c r="F308" s="770"/>
      <c r="G308" s="771"/>
      <c r="H308" s="772"/>
      <c r="I308" s="773" t="str">
        <f>IF(F308&gt;0,VLOOKUP(G308,acute_overview_adults!$C$412:$AH$510,24,FALSE)*1000,"")</f>
        <v/>
      </c>
      <c r="J308" s="770"/>
      <c r="K308" s="771"/>
      <c r="L308" s="772"/>
      <c r="M308" s="773" t="str">
        <f>IF(J308&gt;0,VLOOKUP(K308,acute_overview_adults!$C$412:$AH$510,24,FALSE)*1000,"")</f>
        <v/>
      </c>
      <c r="N308" s="774"/>
      <c r="O308" s="775"/>
      <c r="P308" s="775"/>
      <c r="Q308" s="776" t="str">
        <f>IF(N308=0,"",ROUNDDOWN(IF(J308&gt;100,VLOOKUP(O308,acute_overview_adults!$C$12:$AH$390,34,FALSE)),2))</f>
        <v/>
      </c>
    </row>
    <row r="309" spans="1:17" ht="14.25" customHeight="1" x14ac:dyDescent="0.2">
      <c r="A309" s="201"/>
      <c r="B309" s="840"/>
      <c r="C309" s="840"/>
      <c r="D309" s="840"/>
      <c r="E309" s="840"/>
      <c r="F309" s="840"/>
      <c r="G309" s="840"/>
      <c r="H309" s="840"/>
      <c r="I309" s="840"/>
      <c r="J309" s="840"/>
      <c r="K309" s="840"/>
      <c r="L309" s="840"/>
      <c r="M309" s="840"/>
      <c r="N309" s="840"/>
      <c r="O309" s="840"/>
      <c r="P309" s="840"/>
      <c r="Q309" s="841"/>
    </row>
    <row r="310" spans="1:17" ht="18.75" customHeight="1" x14ac:dyDescent="0.2">
      <c r="A310" s="196"/>
      <c r="B310" s="1576" t="s">
        <v>39</v>
      </c>
      <c r="C310" s="1576"/>
      <c r="D310" s="1576"/>
      <c r="E310" s="1576"/>
      <c r="F310" s="1576"/>
      <c r="G310" s="1576"/>
      <c r="H310" s="848"/>
      <c r="I310" s="848"/>
      <c r="J310" s="197"/>
      <c r="K310" s="197"/>
      <c r="L310" s="197"/>
      <c r="M310" s="197"/>
      <c r="N310" s="197"/>
      <c r="O310" s="197"/>
      <c r="P310" s="197"/>
      <c r="Q310" s="199"/>
    </row>
    <row r="311" spans="1:17" ht="21.6" customHeight="1" x14ac:dyDescent="0.2">
      <c r="A311" s="201"/>
      <c r="B311" s="1560" t="str">
        <f>IF($K$6="not necessary",0,IF(AND(E63="---",I63="---"),CONCATENATE("No exceedance of the toxicological reference value was identified for any unprocessed commodity. 
A short term intake of residues of ",F2,"  is unlikely to present a public health risk."),CONCATENATE("The estimated short term intake (IESTI) exceeded the toxicological reference value for ",E226," commodities.")))</f>
        <v>No exceedance of the toxicological reference value was identified for any unprocessed commodity. 
A short term intake of residues of   is unlikely to present a public health risk.</v>
      </c>
      <c r="C311" s="1560"/>
      <c r="D311" s="1560"/>
      <c r="E311" s="1560"/>
      <c r="F311" s="1560"/>
      <c r="G311" s="1560"/>
      <c r="H311" s="1560"/>
      <c r="I311" s="1560"/>
      <c r="J311" s="697"/>
      <c r="K311" s="697"/>
      <c r="L311" s="697"/>
      <c r="M311" s="697"/>
      <c r="N311" s="697"/>
      <c r="O311" s="697"/>
      <c r="P311" s="257"/>
      <c r="Q311" s="202"/>
    </row>
    <row r="312" spans="1:17" x14ac:dyDescent="0.2">
      <c r="A312" s="207"/>
      <c r="B312" s="1581" t="str">
        <f>IF($K$6="not necessary",0,IF(AND(E228="---",I228="---"),"For processed commodities, no exceedance of the ARfD/ADI was identified.","For processed commodities, the toxicological reference value was exceeded in one or several cases."))</f>
        <v>For processed commodities, no exceedance of the ARfD/ADI was identified.</v>
      </c>
      <c r="C312" s="1581"/>
      <c r="D312" s="1581"/>
      <c r="E312" s="1581"/>
      <c r="F312" s="1581"/>
      <c r="G312" s="1581"/>
      <c r="H312" s="1581"/>
      <c r="I312" s="1581"/>
      <c r="J312" s="72"/>
      <c r="K312" s="72"/>
      <c r="L312" s="72"/>
      <c r="M312" s="72"/>
      <c r="N312" s="72"/>
      <c r="O312" s="72"/>
      <c r="P312" s="72"/>
      <c r="Q312" s="205"/>
    </row>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sheetData>
  <sheetProtection sheet="1" objects="1" scenarios="1" formatCells="0" formatColumns="0" formatRows="0" autoFilter="0"/>
  <protectedRanges>
    <protectedRange sqref="A9" name="Comment"/>
  </protectedRanges>
  <mergeCells count="152">
    <mergeCell ref="A9:B9"/>
    <mergeCell ref="C9:Q9"/>
    <mergeCell ref="C49:D49"/>
    <mergeCell ref="G49:H49"/>
    <mergeCell ref="C31:D31"/>
    <mergeCell ref="G44:H44"/>
    <mergeCell ref="K27:L27"/>
    <mergeCell ref="K28:L28"/>
    <mergeCell ref="K29:L29"/>
    <mergeCell ref="K30:L30"/>
    <mergeCell ref="C27:D27"/>
    <mergeCell ref="C28:D28"/>
    <mergeCell ref="C29:D29"/>
    <mergeCell ref="C30:D30"/>
    <mergeCell ref="K39:L39"/>
    <mergeCell ref="K31:L31"/>
    <mergeCell ref="K32:L32"/>
    <mergeCell ref="K33:L33"/>
    <mergeCell ref="K34:L34"/>
    <mergeCell ref="K35:L35"/>
    <mergeCell ref="K36:L36"/>
    <mergeCell ref="A16:A52"/>
    <mergeCell ref="G17:H17"/>
    <mergeCell ref="C17:D17"/>
    <mergeCell ref="C26:D26"/>
    <mergeCell ref="C50:D50"/>
    <mergeCell ref="C51:D51"/>
    <mergeCell ref="G50:H50"/>
    <mergeCell ref="G35:H35"/>
    <mergeCell ref="G36:H36"/>
    <mergeCell ref="G37:H37"/>
    <mergeCell ref="G32:H32"/>
    <mergeCell ref="G23:H23"/>
    <mergeCell ref="G24:H24"/>
    <mergeCell ref="G45:H45"/>
    <mergeCell ref="G31:H31"/>
    <mergeCell ref="G27:H27"/>
    <mergeCell ref="G28:H28"/>
    <mergeCell ref="G29:H29"/>
    <mergeCell ref="G40:H40"/>
    <mergeCell ref="G41:H41"/>
    <mergeCell ref="G30:H30"/>
    <mergeCell ref="B311:I311"/>
    <mergeCell ref="B312:I312"/>
    <mergeCell ref="K52:L52"/>
    <mergeCell ref="P14:Q14"/>
    <mergeCell ref="K50:L50"/>
    <mergeCell ref="J60:Q60"/>
    <mergeCell ref="B60:I60"/>
    <mergeCell ref="K19:L19"/>
    <mergeCell ref="K20:L20"/>
    <mergeCell ref="K21:L21"/>
    <mergeCell ref="K22:L22"/>
    <mergeCell ref="K23:L23"/>
    <mergeCell ref="K24:L24"/>
    <mergeCell ref="G22:H22"/>
    <mergeCell ref="G26:H26"/>
    <mergeCell ref="G51:H51"/>
    <mergeCell ref="K51:L51"/>
    <mergeCell ref="G33:H33"/>
    <mergeCell ref="G34:H34"/>
    <mergeCell ref="G16:H16"/>
    <mergeCell ref="C22:D22"/>
    <mergeCell ref="C23:D23"/>
    <mergeCell ref="C24:D24"/>
    <mergeCell ref="C25:D25"/>
    <mergeCell ref="B310:G310"/>
    <mergeCell ref="B226:D226"/>
    <mergeCell ref="F228:G228"/>
    <mergeCell ref="N228:O228"/>
    <mergeCell ref="J226:L226"/>
    <mergeCell ref="K43:L43"/>
    <mergeCell ref="K44:L44"/>
    <mergeCell ref="G47:H47"/>
    <mergeCell ref="G48:H48"/>
    <mergeCell ref="K45:L45"/>
    <mergeCell ref="B61:I61"/>
    <mergeCell ref="J61:Q61"/>
    <mergeCell ref="B57:E57"/>
    <mergeCell ref="F57:I57"/>
    <mergeCell ref="A63:A71"/>
    <mergeCell ref="C32:D32"/>
    <mergeCell ref="C33:D33"/>
    <mergeCell ref="C34:D34"/>
    <mergeCell ref="C35:D35"/>
    <mergeCell ref="C36:D36"/>
    <mergeCell ref="C37:D37"/>
    <mergeCell ref="C38:D38"/>
    <mergeCell ref="C39:D39"/>
    <mergeCell ref="C40:D40"/>
    <mergeCell ref="C41:D41"/>
    <mergeCell ref="C42:D42"/>
    <mergeCell ref="C47:D47"/>
    <mergeCell ref="C55:D55"/>
    <mergeCell ref="C43:D43"/>
    <mergeCell ref="C44:D44"/>
    <mergeCell ref="B62:I62"/>
    <mergeCell ref="B54:Q54"/>
    <mergeCell ref="K46:L46"/>
    <mergeCell ref="O55:P55"/>
    <mergeCell ref="K42:L42"/>
    <mergeCell ref="G43:H43"/>
    <mergeCell ref="J57:M57"/>
    <mergeCell ref="N57:Q57"/>
    <mergeCell ref="F2:K2"/>
    <mergeCell ref="F5:K5"/>
    <mergeCell ref="F12:K12"/>
    <mergeCell ref="A10:Q10"/>
    <mergeCell ref="C16:D16"/>
    <mergeCell ref="G55:I55"/>
    <mergeCell ref="K55:M55"/>
    <mergeCell ref="C18:D18"/>
    <mergeCell ref="C19:D19"/>
    <mergeCell ref="C20:D20"/>
    <mergeCell ref="C21:D21"/>
    <mergeCell ref="G39:H39"/>
    <mergeCell ref="G38:H38"/>
    <mergeCell ref="G25:H25"/>
    <mergeCell ref="G42:H42"/>
    <mergeCell ref="K16:L16"/>
    <mergeCell ref="G18:H18"/>
    <mergeCell ref="K47:L47"/>
    <mergeCell ref="K25:L25"/>
    <mergeCell ref="K26:L26"/>
    <mergeCell ref="G20:H20"/>
    <mergeCell ref="G21:H21"/>
    <mergeCell ref="G52:H52"/>
    <mergeCell ref="K49:L49"/>
    <mergeCell ref="A228:A236"/>
    <mergeCell ref="B11:Q11"/>
    <mergeCell ref="G15:I15"/>
    <mergeCell ref="J228:K228"/>
    <mergeCell ref="B228:C228"/>
    <mergeCell ref="K15:M15"/>
    <mergeCell ref="B63:C63"/>
    <mergeCell ref="F63:G63"/>
    <mergeCell ref="J63:K63"/>
    <mergeCell ref="N63:O63"/>
    <mergeCell ref="C52:D52"/>
    <mergeCell ref="B53:G53"/>
    <mergeCell ref="C45:D45"/>
    <mergeCell ref="C46:D46"/>
    <mergeCell ref="C48:D48"/>
    <mergeCell ref="K48:L48"/>
    <mergeCell ref="G46:H46"/>
    <mergeCell ref="G19:H19"/>
    <mergeCell ref="K17:L17"/>
    <mergeCell ref="K18:L18"/>
    <mergeCell ref="K37:L37"/>
    <mergeCell ref="K38:L38"/>
    <mergeCell ref="K40:L40"/>
    <mergeCell ref="K41:L41"/>
  </mergeCells>
  <phoneticPr fontId="2" type="noConversion"/>
  <conditionalFormatting sqref="C66:E66 B67:E224 B16:O52">
    <cfRule type="expression" dxfId="114" priority="236" stopIfTrue="1">
      <formula>$B16&gt;1</formula>
    </cfRule>
  </conditionalFormatting>
  <conditionalFormatting sqref="B231:D307">
    <cfRule type="expression" dxfId="113" priority="151" stopIfTrue="1">
      <formula>$B231&gt;1</formula>
    </cfRule>
  </conditionalFormatting>
  <conditionalFormatting sqref="A10">
    <cfRule type="expression" dxfId="112" priority="131" stopIfTrue="1">
      <formula>$A$10="Screening mode: include all commodities in exposure calculations"</formula>
    </cfRule>
  </conditionalFormatting>
  <conditionalFormatting sqref="E66:E224">
    <cfRule type="cellIs" dxfId="111" priority="128" operator="greaterThan">
      <formula>10</formula>
    </cfRule>
    <cfRule type="cellIs" dxfId="110" priority="129" operator="greaterThan">
      <formula>1</formula>
    </cfRule>
  </conditionalFormatting>
  <conditionalFormatting sqref="B16:B52 F16:F52 J16:J52 N16:N52 P16:Q52">
    <cfRule type="cellIs" dxfId="109" priority="127" operator="greaterThan">
      <formula>0.01</formula>
    </cfRule>
  </conditionalFormatting>
  <conditionalFormatting sqref="I4">
    <cfRule type="cellIs" dxfId="108" priority="125" operator="lessThan">
      <formula>0.01</formula>
    </cfRule>
  </conditionalFormatting>
  <conditionalFormatting sqref="K4">
    <cfRule type="cellIs" dxfId="107" priority="124" operator="greaterThan">
      <formula>1</formula>
    </cfRule>
  </conditionalFormatting>
  <conditionalFormatting sqref="E232">
    <cfRule type="expression" dxfId="106" priority="111" stopIfTrue="1">
      <formula>$B232&gt;1</formula>
    </cfRule>
  </conditionalFormatting>
  <conditionalFormatting sqref="E232">
    <cfRule type="cellIs" dxfId="105" priority="109" operator="greaterThan">
      <formula>10</formula>
    </cfRule>
    <cfRule type="cellIs" dxfId="104" priority="110" operator="greaterThan">
      <formula>1</formula>
    </cfRule>
  </conditionalFormatting>
  <conditionalFormatting sqref="E231">
    <cfRule type="expression" dxfId="103" priority="108" stopIfTrue="1">
      <formula>$B231&gt;1</formula>
    </cfRule>
  </conditionalFormatting>
  <conditionalFormatting sqref="E231">
    <cfRule type="cellIs" dxfId="102" priority="106" operator="greaterThan">
      <formula>10</formula>
    </cfRule>
    <cfRule type="cellIs" dxfId="101" priority="107" operator="greaterThan">
      <formula>1</formula>
    </cfRule>
  </conditionalFormatting>
  <conditionalFormatting sqref="E246:E308">
    <cfRule type="cellIs" dxfId="100" priority="103" operator="greaterThan">
      <formula>10</formula>
    </cfRule>
    <cfRule type="cellIs" dxfId="99" priority="104" operator="greaterThan">
      <formula>1</formula>
    </cfRule>
  </conditionalFormatting>
  <conditionalFormatting sqref="M308">
    <cfRule type="expression" dxfId="98" priority="102" stopIfTrue="1">
      <formula>$J308&gt;1</formula>
    </cfRule>
  </conditionalFormatting>
  <conditionalFormatting sqref="M308">
    <cfRule type="cellIs" dxfId="97" priority="100" operator="greaterThan">
      <formula>10</formula>
    </cfRule>
    <cfRule type="cellIs" dxfId="96" priority="101" operator="greaterThan">
      <formula>1</formula>
    </cfRule>
  </conditionalFormatting>
  <conditionalFormatting sqref="E233:E245">
    <cfRule type="expression" dxfId="95" priority="92" stopIfTrue="1">
      <formula>$B233&gt;1</formula>
    </cfRule>
  </conditionalFormatting>
  <conditionalFormatting sqref="E233:E245">
    <cfRule type="cellIs" dxfId="94" priority="90" operator="greaterThan">
      <formula>10</formula>
    </cfRule>
    <cfRule type="cellIs" dxfId="93" priority="91" operator="greaterThan">
      <formula>1</formula>
    </cfRule>
  </conditionalFormatting>
  <conditionalFormatting sqref="B66:B224">
    <cfRule type="cellIs" dxfId="92" priority="81" operator="greaterThanOrEqual">
      <formula>0.01</formula>
    </cfRule>
    <cfRule type="cellIs" dxfId="91" priority="82" operator="greaterThan">
      <formula>0.001</formula>
    </cfRule>
    <cfRule type="expression" dxfId="90" priority="83" stopIfTrue="1">
      <formula>$B66&gt;1</formula>
    </cfRule>
  </conditionalFormatting>
  <conditionalFormatting sqref="B231:B307">
    <cfRule type="cellIs" dxfId="89" priority="78" operator="greaterThan">
      <formula>0.01</formula>
    </cfRule>
  </conditionalFormatting>
  <conditionalFormatting sqref="I308">
    <cfRule type="expression" dxfId="88" priority="68" stopIfTrue="1">
      <formula>$J308&gt;1</formula>
    </cfRule>
  </conditionalFormatting>
  <conditionalFormatting sqref="I308">
    <cfRule type="cellIs" dxfId="87" priority="66" operator="greaterThan">
      <formula>10</formula>
    </cfRule>
    <cfRule type="cellIs" dxfId="86" priority="67" operator="greaterThan">
      <formula>1</formula>
    </cfRule>
  </conditionalFormatting>
  <conditionalFormatting sqref="M231:M307">
    <cfRule type="cellIs" dxfId="85" priority="47" operator="greaterThan">
      <formula>10</formula>
    </cfRule>
    <cfRule type="cellIs" dxfId="84" priority="48" operator="greaterThan">
      <formula>1</formula>
    </cfRule>
  </conditionalFormatting>
  <conditionalFormatting sqref="Q231:Q307">
    <cfRule type="cellIs" dxfId="83" priority="45" operator="greaterThan">
      <formula>10</formula>
    </cfRule>
    <cfRule type="cellIs" dxfId="82" priority="46" operator="greaterThan">
      <formula>1</formula>
    </cfRule>
  </conditionalFormatting>
  <conditionalFormatting sqref="M66:M225">
    <cfRule type="cellIs" dxfId="81" priority="43" operator="greaterThan">
      <formula>10</formula>
    </cfRule>
    <cfRule type="cellIs" dxfId="80" priority="44" operator="greaterThan">
      <formula>1</formula>
    </cfRule>
  </conditionalFormatting>
  <conditionalFormatting sqref="Q66:Q225">
    <cfRule type="cellIs" dxfId="79" priority="41" operator="greaterThan">
      <formula>10</formula>
    </cfRule>
    <cfRule type="cellIs" dxfId="78" priority="42" operator="greaterThan">
      <formula>1</formula>
    </cfRule>
  </conditionalFormatting>
  <conditionalFormatting sqref="J66:J224">
    <cfRule type="cellIs" dxfId="77" priority="38" operator="greaterThanOrEqual">
      <formula>0.01</formula>
    </cfRule>
    <cfRule type="cellIs" dxfId="76" priority="39" operator="greaterThan">
      <formula>0.001</formula>
    </cfRule>
  </conditionalFormatting>
  <conditionalFormatting sqref="J225">
    <cfRule type="expression" dxfId="75" priority="37" stopIfTrue="1">
      <formula>$J225&gt;1</formula>
    </cfRule>
  </conditionalFormatting>
  <conditionalFormatting sqref="J225">
    <cfRule type="cellIs" dxfId="74" priority="35" operator="greaterThanOrEqual">
      <formula>0.01</formula>
    </cfRule>
    <cfRule type="cellIs" dxfId="73" priority="36" operator="greaterThan">
      <formula>0.001</formula>
    </cfRule>
  </conditionalFormatting>
  <conditionalFormatting sqref="N66:N225">
    <cfRule type="cellIs" dxfId="72" priority="33" operator="greaterThanOrEqual">
      <formula>0.01</formula>
    </cfRule>
    <cfRule type="cellIs" dxfId="71" priority="34" operator="greaterThan">
      <formula>0.001</formula>
    </cfRule>
  </conditionalFormatting>
  <conditionalFormatting sqref="N231:N307">
    <cfRule type="cellIs" dxfId="70" priority="31" operator="greaterThanOrEqual">
      <formula>0.01</formula>
    </cfRule>
    <cfRule type="cellIs" dxfId="69" priority="32" operator="greaterThan">
      <formula>0.001</formula>
    </cfRule>
  </conditionalFormatting>
  <conditionalFormatting sqref="J231:J307">
    <cfRule type="cellIs" dxfId="68" priority="29" operator="greaterThanOrEqual">
      <formula>0.01</formula>
    </cfRule>
    <cfRule type="cellIs" dxfId="67" priority="30" operator="greaterThan">
      <formula>0.001</formula>
    </cfRule>
  </conditionalFormatting>
  <conditionalFormatting sqref="F66:F224">
    <cfRule type="cellIs" dxfId="66" priority="26" operator="greaterThanOrEqual">
      <formula>0.01</formula>
    </cfRule>
    <cfRule type="cellIs" dxfId="65" priority="27" operator="greaterThanOrEqual">
      <formula>0.001</formula>
    </cfRule>
    <cfRule type="expression" dxfId="64" priority="28">
      <formula>$F66&gt;1</formula>
    </cfRule>
  </conditionalFormatting>
  <conditionalFormatting sqref="G66:I224">
    <cfRule type="expression" dxfId="63" priority="25">
      <formula>$F66&gt;1</formula>
    </cfRule>
  </conditionalFormatting>
  <conditionalFormatting sqref="F232:F235">
    <cfRule type="cellIs" dxfId="62" priority="19" operator="greaterThanOrEqual">
      <formula>0.01</formula>
    </cfRule>
    <cfRule type="cellIs" dxfId="61" priority="20" operator="greaterThanOrEqual">
      <formula>0.001</formula>
    </cfRule>
    <cfRule type="expression" dxfId="60" priority="21">
      <formula>$F232&gt;1</formula>
    </cfRule>
  </conditionalFormatting>
  <conditionalFormatting sqref="G232:H244">
    <cfRule type="expression" dxfId="59" priority="18">
      <formula>$F232&gt;1</formula>
    </cfRule>
  </conditionalFormatting>
  <conditionalFormatting sqref="F236:F307">
    <cfRule type="cellIs" dxfId="58" priority="15" operator="greaterThanOrEqual">
      <formula>0.01</formula>
    </cfRule>
    <cfRule type="cellIs" dxfId="57" priority="16" operator="greaterThanOrEqual">
      <formula>0.001</formula>
    </cfRule>
    <cfRule type="expression" dxfId="56" priority="17">
      <formula>$F236&gt;1</formula>
    </cfRule>
  </conditionalFormatting>
  <conditionalFormatting sqref="G245:H307">
    <cfRule type="expression" dxfId="55" priority="14">
      <formula>$F245&gt;1</formula>
    </cfRule>
  </conditionalFormatting>
  <conditionalFormatting sqref="I232:I307">
    <cfRule type="expression" dxfId="54" priority="11">
      <formula>$F232&gt;1</formula>
    </cfRule>
  </conditionalFormatting>
  <conditionalFormatting sqref="I232:I307">
    <cfRule type="cellIs" dxfId="53" priority="9" operator="greaterThan">
      <formula>10</formula>
    </cfRule>
    <cfRule type="cellIs" dxfId="52" priority="10" operator="greaterThan">
      <formula>1</formula>
    </cfRule>
  </conditionalFormatting>
  <conditionalFormatting sqref="I66:I224">
    <cfRule type="cellIs" dxfId="51" priority="7" operator="greaterThan">
      <formula>10</formula>
    </cfRule>
    <cfRule type="cellIs" dxfId="50" priority="8" operator="greaterThan">
      <formula>1</formula>
    </cfRule>
  </conditionalFormatting>
  <conditionalFormatting sqref="F231 H231">
    <cfRule type="expression" dxfId="49" priority="6" stopIfTrue="1">
      <formula>$F231&gt;1</formula>
    </cfRule>
  </conditionalFormatting>
  <conditionalFormatting sqref="I231">
    <cfRule type="expression" dxfId="48" priority="5" stopIfTrue="1">
      <formula>$F231&gt;1</formula>
    </cfRule>
  </conditionalFormatting>
  <conditionalFormatting sqref="I231">
    <cfRule type="cellIs" dxfId="47" priority="3" operator="greaterThan">
      <formula>10</formula>
    </cfRule>
    <cfRule type="cellIs" dxfId="46" priority="4" operator="greaterThan">
      <formula>1</formula>
    </cfRule>
  </conditionalFormatting>
  <conditionalFormatting sqref="F231">
    <cfRule type="cellIs" dxfId="45" priority="2" operator="greaterThan">
      <formula>0.01</formula>
    </cfRule>
  </conditionalFormatting>
  <conditionalFormatting sqref="G231">
    <cfRule type="expression" dxfId="44" priority="1">
      <formula>$F231&gt;1</formula>
    </cfRule>
  </conditionalFormatting>
  <dataValidations count="1">
    <dataValidation type="list" allowBlank="1" showInputMessage="1" showErrorMessage="1" sqref="B62" xr:uid="{00000000-0002-0000-0300-000000000000}">
      <formula1>$T$62:$T$63</formula1>
    </dataValidation>
  </dataValidations>
  <hyperlinks>
    <hyperlink ref="A10:Q10" location="Calculation_mode" display="Calculation_mode" xr:uid="{00000000-0004-0000-0300-000000000000}"/>
  </hyperlinks>
  <pageMargins left="0.74803149606299213" right="0.47244094488188981" top="0.51181102362204722" bottom="0.59055118110236227" header="0.51181102362204722" footer="0.39370078740157483"/>
  <pageSetup paperSize="9" scale="54" fitToHeight="0" orientation="landscape" r:id="rId1"/>
  <headerFooter alignWithMargins="0">
    <oddFooter>&amp;LEFSA PRIMo revision 3&amp;C&amp;D&amp;R&amp;P/&amp;N</oddFooter>
  </headerFooter>
  <rowBreaks count="1" manualBreakCount="1">
    <brk id="56" max="1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B394"/>
  <sheetViews>
    <sheetView showZeros="0" zoomScale="80" zoomScaleNormal="80" zoomScalePageLayoutView="120" workbookViewId="0">
      <selection activeCell="A5" sqref="A5"/>
    </sheetView>
  </sheetViews>
  <sheetFormatPr defaultColWidth="8.85546875" defaultRowHeight="12.75" x14ac:dyDescent="0.2"/>
  <cols>
    <col min="1" max="1" width="7.85546875" style="104" customWidth="1"/>
    <col min="2" max="2" width="15.28515625" style="104" customWidth="1"/>
    <col min="3" max="3" width="10.42578125" style="105" customWidth="1"/>
    <col min="4" max="4" width="10.7109375" style="104" customWidth="1"/>
    <col min="5" max="5" width="9.28515625" style="105" customWidth="1"/>
    <col min="6" max="6" width="16.85546875" style="104" customWidth="1"/>
    <col min="7" max="7" width="8.85546875" style="105" customWidth="1"/>
    <col min="8" max="8" width="16" style="104" customWidth="1"/>
    <col min="9" max="9" width="8.85546875" style="104" customWidth="1"/>
    <col min="10" max="26" width="7.28515625" style="104" hidden="1" customWidth="1"/>
    <col min="27" max="28" width="8.85546875" style="104" hidden="1" customWidth="1"/>
    <col min="29" max="29" width="8.85546875" style="104" customWidth="1"/>
    <col min="30" max="16384" width="8.85546875" style="104"/>
  </cols>
  <sheetData>
    <row r="1" spans="1:28" x14ac:dyDescent="0.2">
      <c r="A1" s="780"/>
      <c r="B1" s="780"/>
      <c r="C1" s="782"/>
      <c r="D1" s="781"/>
      <c r="E1" s="784"/>
      <c r="F1" s="780"/>
      <c r="G1" s="784"/>
      <c r="H1" s="780"/>
    </row>
    <row r="2" spans="1:28" x14ac:dyDescent="0.2">
      <c r="A2" s="780"/>
      <c r="B2" s="781"/>
      <c r="C2" s="782"/>
      <c r="D2" s="781"/>
      <c r="E2" s="782"/>
      <c r="F2" s="780"/>
      <c r="G2" s="782"/>
      <c r="H2" s="781"/>
    </row>
    <row r="4" spans="1:28" x14ac:dyDescent="0.2">
      <c r="J4" s="724"/>
      <c r="K4" s="725"/>
      <c r="L4" s="726"/>
      <c r="M4" s="726"/>
      <c r="N4" s="726"/>
      <c r="O4" s="726"/>
      <c r="P4" s="726"/>
      <c r="Q4" s="726"/>
      <c r="R4" s="727"/>
      <c r="S4" s="727"/>
      <c r="T4" s="728"/>
      <c r="U4" s="726"/>
      <c r="V4" s="726"/>
      <c r="W4" s="726"/>
      <c r="X4" s="462"/>
      <c r="Y4" s="462"/>
      <c r="Z4" s="462"/>
    </row>
    <row r="5" spans="1:28" ht="45" customHeight="1" x14ac:dyDescent="0.2">
      <c r="A5" s="789" t="s">
        <v>874</v>
      </c>
      <c r="C5" s="788"/>
      <c r="D5" s="788"/>
      <c r="F5" s="790" t="str">
        <f>Calculation_mode</f>
        <v>Normal mode</v>
      </c>
      <c r="H5" s="790" t="str">
        <f>IF(J5="Show results of acute risk assessment only for crops with GAPs under assessment","Assessment of crops under assessment","Assessment of all crops")</f>
        <v>Assessment of all crops</v>
      </c>
      <c r="J5" s="104" t="str">
        <f>Results</f>
        <v>Show results for all crops</v>
      </c>
    </row>
    <row r="6" spans="1:28" hidden="1" x14ac:dyDescent="0.2"/>
    <row r="7" spans="1:28" hidden="1" x14ac:dyDescent="0.2"/>
    <row r="8" spans="1:28" hidden="1" x14ac:dyDescent="0.2"/>
    <row r="9" spans="1:28" hidden="1" x14ac:dyDescent="0.2"/>
    <row r="11" spans="1:28" ht="13.5" thickBot="1" x14ac:dyDescent="0.25">
      <c r="A11" s="104" t="s">
        <v>1038</v>
      </c>
      <c r="B11" s="104" t="s">
        <v>1039</v>
      </c>
      <c r="C11" s="105" t="s">
        <v>1040</v>
      </c>
      <c r="D11" s="104" t="s">
        <v>1045</v>
      </c>
      <c r="E11" s="105" t="s">
        <v>1041</v>
      </c>
      <c r="F11" s="104" t="s">
        <v>1042</v>
      </c>
      <c r="G11" s="105" t="s">
        <v>1043</v>
      </c>
      <c r="H11" s="104" t="s">
        <v>1044</v>
      </c>
      <c r="J11" s="783" t="s">
        <v>942</v>
      </c>
    </row>
    <row r="12" spans="1:28" ht="13.5" thickTop="1" x14ac:dyDescent="0.2">
      <c r="A12" s="817"/>
      <c r="B12" s="819"/>
      <c r="C12" s="822"/>
      <c r="D12" s="823"/>
      <c r="E12" s="825" t="s">
        <v>1053</v>
      </c>
      <c r="F12" s="826"/>
      <c r="G12" s="827" t="s">
        <v>1054</v>
      </c>
      <c r="H12" s="828"/>
      <c r="I12" s="829"/>
    </row>
    <row r="13" spans="1:28" ht="32.25" thickBot="1" x14ac:dyDescent="0.25">
      <c r="A13" s="818" t="s">
        <v>941</v>
      </c>
      <c r="B13" s="820" t="s">
        <v>934</v>
      </c>
      <c r="C13" s="821" t="s">
        <v>1046</v>
      </c>
      <c r="D13" s="820" t="s">
        <v>1158</v>
      </c>
      <c r="E13" s="830" t="s">
        <v>935</v>
      </c>
      <c r="F13" s="824" t="s">
        <v>344</v>
      </c>
      <c r="G13" s="830" t="s">
        <v>1036</v>
      </c>
      <c r="H13" s="802" t="s">
        <v>1052</v>
      </c>
      <c r="J13" s="553" t="s">
        <v>212</v>
      </c>
      <c r="K13" s="553" t="s">
        <v>282</v>
      </c>
      <c r="L13" s="553" t="s">
        <v>972</v>
      </c>
      <c r="M13" s="553" t="s">
        <v>888</v>
      </c>
      <c r="N13" s="553" t="s">
        <v>303</v>
      </c>
      <c r="O13" s="553" t="s">
        <v>940</v>
      </c>
      <c r="P13" s="553" t="s">
        <v>1004</v>
      </c>
      <c r="Q13" s="553" t="s">
        <v>968</v>
      </c>
      <c r="R13" s="553" t="s">
        <v>969</v>
      </c>
      <c r="S13" s="553" t="s">
        <v>965</v>
      </c>
      <c r="T13" s="553" t="s">
        <v>922</v>
      </c>
      <c r="U13" s="553" t="s">
        <v>643</v>
      </c>
      <c r="V13" s="553" t="s">
        <v>999</v>
      </c>
      <c r="W13" s="553" t="s">
        <v>1000</v>
      </c>
      <c r="X13" s="553" t="s">
        <v>995</v>
      </c>
      <c r="Y13" s="553" t="s">
        <v>996</v>
      </c>
      <c r="Z13" s="553" t="s">
        <v>1047</v>
      </c>
      <c r="AA13" s="553" t="s">
        <v>1049</v>
      </c>
      <c r="AB13" s="553" t="s">
        <v>1048</v>
      </c>
    </row>
    <row r="14" spans="1:28" ht="13.5" hidden="1" thickTop="1" x14ac:dyDescent="0.2">
      <c r="A14" s="814">
        <f>Table1[[#This Row],[Code no.]]</f>
        <v>110010</v>
      </c>
      <c r="B14" s="798" t="str">
        <f>Table1[[#This Row],[Commodity or group of commodities to which the MRLs apply]]</f>
        <v>Grapefruits</v>
      </c>
      <c r="C14" s="799">
        <f>Table1[[#This Row],[MRL/ proposed MRL /CXL
(mg/kg)]]</f>
        <v>0</v>
      </c>
      <c r="D14" s="800">
        <f>Table1[[#This Row],[Source of MRL]]</f>
        <v>0</v>
      </c>
      <c r="E14" s="801">
        <f>Table1[[#This Row],[Chronic RA input value]]</f>
        <v>0</v>
      </c>
      <c r="F14" s="831" t="str">
        <f>Table1[[#This Row],[Chronic RA label]]</f>
        <v/>
      </c>
      <c r="G14" s="801">
        <f>Table1[[#This Row],[Acute RA input value]]</f>
        <v>0</v>
      </c>
      <c r="H14" s="834" t="str">
        <f>Table1[[#This Row],[Acute RA label]]</f>
        <v/>
      </c>
      <c r="J14" s="553">
        <f>Table22[[#This Row],[Code no.]]</f>
        <v>110010</v>
      </c>
      <c r="K14" s="553" t="str">
        <f>Table22[[#This Row],[Commodity or group of commodities to which the MRLs apply]]</f>
        <v>Grapefruits</v>
      </c>
      <c r="L14" s="553">
        <f>Table22[[#This Row],[Source / type of MRL]]</f>
        <v>0</v>
      </c>
      <c r="M14" s="553">
        <f>Table22[[#This Row],[MRL/ proposed MRL /CXL
(mg/kg)]]</f>
        <v>0</v>
      </c>
      <c r="N14" s="553">
        <f>Table22[[#This Row],[LOQ]]</f>
        <v>0</v>
      </c>
      <c r="O14" s="553">
        <f>Table22[[#This Row],[CFrisk for residue definition]]</f>
        <v>0</v>
      </c>
      <c r="P14" s="553">
        <f>Table22[[#This Row],[PeF (peeling factor RD enforcemen)]]</f>
        <v>0</v>
      </c>
      <c r="Q14" s="553">
        <f>Table22[[#This Row],[STMR-RAC (median residue)]]</f>
        <v>0</v>
      </c>
      <c r="R14" s="553">
        <f>Table22[[#This Row],[HR-RAC (highest residue)]]</f>
        <v>0</v>
      </c>
      <c r="S14" s="553">
        <f>Table22[[#This Row],[VF (alternative variability factor)]]</f>
        <v>0</v>
      </c>
      <c r="T14" s="553">
        <f>Table22[[#This Row],[GAP under assessment]]</f>
        <v>0</v>
      </c>
      <c r="U14" s="553">
        <f>Table22[[#This Row],[Post-harvest treatment]]</f>
        <v>0</v>
      </c>
      <c r="V14" s="553" t="str">
        <f>Table22[[#This Row],[Chronic RA label]]</f>
        <v/>
      </c>
      <c r="W14" s="553">
        <f>Table22[[#This Row],[Chronic RA input value]]</f>
        <v>0</v>
      </c>
      <c r="X14" s="1684" t="str">
        <f>Table22[[#This Row],[Acute RA label]]</f>
        <v/>
      </c>
      <c r="Y14" s="553">
        <f>Table22[[#This Row],[Acute RA input value]]</f>
        <v>0</v>
      </c>
      <c r="Z14" s="786">
        <f>SUM(Table1[[#This Row],[chronic value &lt;&gt;MRL/LOQ]:[acute vlue&lt;&gt;MRL/LOQ]])</f>
        <v>0</v>
      </c>
      <c r="AA14" s="787">
        <f>IF(AND($F$5="Refined calculation mode",Table1[[#This Row],[GAP under assessment]]="Y"),1,IF(OR(Table1[[#This Row],[Chronic RA label]]="LOQ",Table1[[#This Row],[Chronic RA label]]="",Table1[[#This Row],[Chronic RA label]]="MRL"),0,1))</f>
        <v>0</v>
      </c>
      <c r="AB14" s="787">
        <f>IF(OR(Table1[[#This Row],[Acute RA label]]="LOQ",Table1[[#This Row],[Acute RA label]]="",Table1[[#This Row],[Acute RA label]]="MRL"),0,1)</f>
        <v>0</v>
      </c>
    </row>
    <row r="15" spans="1:28" ht="13.5" hidden="1" thickTop="1" x14ac:dyDescent="0.2">
      <c r="A15" s="815">
        <f>Table1[[#This Row],[Code no.]]</f>
        <v>110020</v>
      </c>
      <c r="B15" s="793" t="str">
        <f>Table1[[#This Row],[Commodity or group of commodities to which the MRLs apply]]</f>
        <v>Oranges</v>
      </c>
      <c r="C15" s="794">
        <f>Table1[[#This Row],[MRL/ proposed MRL /CXL
(mg/kg)]]</f>
        <v>0</v>
      </c>
      <c r="D15" s="795">
        <f>Table1[[#This Row],[Source of MRL]]</f>
        <v>0</v>
      </c>
      <c r="E15" s="796">
        <f>Table1[[#This Row],[Chronic RA input value]]</f>
        <v>0</v>
      </c>
      <c r="F15" s="832" t="str">
        <f>Table1[[#This Row],[Chronic RA label]]</f>
        <v/>
      </c>
      <c r="G15" s="796">
        <f>Table1[[#This Row],[Acute RA input value]]</f>
        <v>0</v>
      </c>
      <c r="H15" s="835" t="str">
        <f>Table1[[#This Row],[Acute RA label]]</f>
        <v/>
      </c>
      <c r="J15" s="553">
        <f>Table22[[#This Row],[Code no.]]</f>
        <v>110020</v>
      </c>
      <c r="K15" s="553" t="str">
        <f>Table22[[#This Row],[Commodity or group of commodities to which the MRLs apply]]</f>
        <v>Oranges</v>
      </c>
      <c r="L15" s="553">
        <f>Table22[[#This Row],[Source / type of MRL]]</f>
        <v>0</v>
      </c>
      <c r="M15" s="553">
        <f>Table22[[#This Row],[MRL/ proposed MRL /CXL
(mg/kg)]]</f>
        <v>0</v>
      </c>
      <c r="N15" s="553">
        <f>Table22[[#This Row],[LOQ]]</f>
        <v>0</v>
      </c>
      <c r="O15" s="553">
        <f>Table22[[#This Row],[CFrisk for residue definition]]</f>
        <v>0</v>
      </c>
      <c r="P15" s="553">
        <f>Table22[[#This Row],[PeF (peeling factor RD enforcemen)]]</f>
        <v>0</v>
      </c>
      <c r="Q15" s="553">
        <f>Table22[[#This Row],[STMR-RAC (median residue)]]</f>
        <v>0</v>
      </c>
      <c r="R15" s="553">
        <f>Table22[[#This Row],[HR-RAC (highest residue)]]</f>
        <v>0</v>
      </c>
      <c r="S15" s="553">
        <f>Table22[[#This Row],[VF (alternative variability factor)]]</f>
        <v>0</v>
      </c>
      <c r="T15" s="553">
        <f>Table22[[#This Row],[GAP under assessment]]</f>
        <v>0</v>
      </c>
      <c r="U15" s="553">
        <f>Table22[[#This Row],[Post-harvest treatment]]</f>
        <v>0</v>
      </c>
      <c r="V15" s="553" t="str">
        <f>Table22[[#This Row],[Chronic RA label]]</f>
        <v/>
      </c>
      <c r="W15" s="553">
        <f>Table22[[#This Row],[Chronic RA input value]]</f>
        <v>0</v>
      </c>
      <c r="X15" s="1684" t="str">
        <f>Table22[[#This Row],[Acute RA label]]</f>
        <v/>
      </c>
      <c r="Y15" s="553">
        <f>Table22[[#This Row],[Acute RA input value]]</f>
        <v>0</v>
      </c>
      <c r="Z15" s="786">
        <f>SUM(Table1[[#This Row],[chronic value &lt;&gt;MRL/LOQ]:[acute vlue&lt;&gt;MRL/LOQ]])</f>
        <v>0</v>
      </c>
      <c r="AA15" s="786">
        <f>IF(AND($F$5="Refined calculation mode",Table1[[#This Row],[GAP under assessment]]="Y"),1,IF(OR(Table1[[#This Row],[Chronic RA label]]="LOQ",Table1[[#This Row],[Chronic RA label]]="",Table1[[#This Row],[Chronic RA label]]="MRL"),0,1))</f>
        <v>0</v>
      </c>
      <c r="AB15" s="787">
        <f>IF(OR(Table1[[#This Row],[Acute RA label]]="LOQ",Table1[[#This Row],[Acute RA label]]="",Table1[[#This Row],[Acute RA label]]="MRL"),0,1)</f>
        <v>0</v>
      </c>
    </row>
    <row r="16" spans="1:28" ht="13.5" hidden="1" thickTop="1" x14ac:dyDescent="0.2">
      <c r="A16" s="815">
        <f>Table1[[#This Row],[Code no.]]</f>
        <v>110030</v>
      </c>
      <c r="B16" s="793" t="str">
        <f>Table1[[#This Row],[Commodity or group of commodities to which the MRLs apply]]</f>
        <v>Lemons</v>
      </c>
      <c r="C16" s="794">
        <f>Table1[[#This Row],[MRL/ proposed MRL /CXL
(mg/kg)]]</f>
        <v>0</v>
      </c>
      <c r="D16" s="795">
        <f>Table1[[#This Row],[Source of MRL]]</f>
        <v>0</v>
      </c>
      <c r="E16" s="796">
        <f>Table1[[#This Row],[Chronic RA input value]]</f>
        <v>0</v>
      </c>
      <c r="F16" s="832" t="str">
        <f>Table1[[#This Row],[Chronic RA label]]</f>
        <v/>
      </c>
      <c r="G16" s="796">
        <f>Table1[[#This Row],[Acute RA input value]]</f>
        <v>0</v>
      </c>
      <c r="H16" s="835" t="str">
        <f>Table1[[#This Row],[Acute RA label]]</f>
        <v/>
      </c>
      <c r="J16" s="553">
        <f>Table22[[#This Row],[Code no.]]</f>
        <v>110030</v>
      </c>
      <c r="K16" s="553" t="str">
        <f>Table22[[#This Row],[Commodity or group of commodities to which the MRLs apply]]</f>
        <v>Lemons</v>
      </c>
      <c r="L16" s="553">
        <f>Table22[[#This Row],[Source / type of MRL]]</f>
        <v>0</v>
      </c>
      <c r="M16" s="553">
        <f>Table22[[#This Row],[MRL/ proposed MRL /CXL
(mg/kg)]]</f>
        <v>0</v>
      </c>
      <c r="N16" s="553">
        <f>Table22[[#This Row],[LOQ]]</f>
        <v>0</v>
      </c>
      <c r="O16" s="553">
        <f>Table22[[#This Row],[CFrisk for residue definition]]</f>
        <v>0</v>
      </c>
      <c r="P16" s="553">
        <f>Table22[[#This Row],[PeF (peeling factor RD enforcemen)]]</f>
        <v>0</v>
      </c>
      <c r="Q16" s="553">
        <f>Table22[[#This Row],[STMR-RAC (median residue)]]</f>
        <v>0</v>
      </c>
      <c r="R16" s="553">
        <f>Table22[[#This Row],[HR-RAC (highest residue)]]</f>
        <v>0</v>
      </c>
      <c r="S16" s="553">
        <f>Table22[[#This Row],[VF (alternative variability factor)]]</f>
        <v>0</v>
      </c>
      <c r="T16" s="553">
        <f>Table22[[#This Row],[GAP under assessment]]</f>
        <v>0</v>
      </c>
      <c r="U16" s="553">
        <f>Table22[[#This Row],[Post-harvest treatment]]</f>
        <v>0</v>
      </c>
      <c r="V16" s="553" t="str">
        <f>Table22[[#This Row],[Chronic RA label]]</f>
        <v/>
      </c>
      <c r="W16" s="553">
        <f>Table22[[#This Row],[Chronic RA input value]]</f>
        <v>0</v>
      </c>
      <c r="X16" s="1684" t="str">
        <f>Table22[[#This Row],[Acute RA label]]</f>
        <v/>
      </c>
      <c r="Y16" s="553">
        <f>Table22[[#This Row],[Acute RA input value]]</f>
        <v>0</v>
      </c>
      <c r="Z16" s="786">
        <f>SUM(Table1[[#This Row],[chronic value &lt;&gt;MRL/LOQ]:[acute vlue&lt;&gt;MRL/LOQ]])</f>
        <v>0</v>
      </c>
      <c r="AA16" s="786">
        <f>IF(AND($F$5="Refined calculation mode",Table1[[#This Row],[GAP under assessment]]="Y"),1,IF(OR(Table1[[#This Row],[Chronic RA label]]="LOQ",Table1[[#This Row],[Chronic RA label]]="",Table1[[#This Row],[Chronic RA label]]="MRL"),0,1))</f>
        <v>0</v>
      </c>
      <c r="AB16" s="787">
        <f>IF(OR(Table1[[#This Row],[Acute RA label]]="LOQ",Table1[[#This Row],[Acute RA label]]="",Table1[[#This Row],[Acute RA label]]="MRL"),0,1)</f>
        <v>0</v>
      </c>
    </row>
    <row r="17" spans="1:28" ht="13.5" hidden="1" thickTop="1" x14ac:dyDescent="0.2">
      <c r="A17" s="815">
        <f>Table1[[#This Row],[Code no.]]</f>
        <v>110040</v>
      </c>
      <c r="B17" s="793" t="str">
        <f>Table1[[#This Row],[Commodity or group of commodities to which the MRLs apply]]</f>
        <v>Limes</v>
      </c>
      <c r="C17" s="794">
        <f>Table1[[#This Row],[MRL/ proposed MRL /CXL
(mg/kg)]]</f>
        <v>0</v>
      </c>
      <c r="D17" s="795">
        <f>Table1[[#This Row],[Source of MRL]]</f>
        <v>0</v>
      </c>
      <c r="E17" s="796">
        <f>Table1[[#This Row],[Chronic RA input value]]</f>
        <v>0</v>
      </c>
      <c r="F17" s="832" t="str">
        <f>Table1[[#This Row],[Chronic RA label]]</f>
        <v/>
      </c>
      <c r="G17" s="796">
        <f>Table1[[#This Row],[Acute RA input value]]</f>
        <v>0</v>
      </c>
      <c r="H17" s="835" t="str">
        <f>Table1[[#This Row],[Acute RA label]]</f>
        <v/>
      </c>
      <c r="J17" s="553">
        <f>Table22[[#This Row],[Code no.]]</f>
        <v>110040</v>
      </c>
      <c r="K17" s="553" t="str">
        <f>Table22[[#This Row],[Commodity or group of commodities to which the MRLs apply]]</f>
        <v>Limes</v>
      </c>
      <c r="L17" s="553">
        <f>Table22[[#This Row],[Source / type of MRL]]</f>
        <v>0</v>
      </c>
      <c r="M17" s="553">
        <f>Table22[[#This Row],[MRL/ proposed MRL /CXL
(mg/kg)]]</f>
        <v>0</v>
      </c>
      <c r="N17" s="553">
        <f>Table22[[#This Row],[LOQ]]</f>
        <v>0</v>
      </c>
      <c r="O17" s="553">
        <f>Table22[[#This Row],[CFrisk for residue definition]]</f>
        <v>0</v>
      </c>
      <c r="P17" s="553">
        <f>Table22[[#This Row],[PeF (peeling factor RD enforcemen)]]</f>
        <v>0</v>
      </c>
      <c r="Q17" s="553">
        <f>Table22[[#This Row],[STMR-RAC (median residue)]]</f>
        <v>0</v>
      </c>
      <c r="R17" s="553">
        <f>Table22[[#This Row],[HR-RAC (highest residue)]]</f>
        <v>0</v>
      </c>
      <c r="S17" s="553">
        <f>Table22[[#This Row],[VF (alternative variability factor)]]</f>
        <v>0</v>
      </c>
      <c r="T17" s="553">
        <f>Table22[[#This Row],[GAP under assessment]]</f>
        <v>0</v>
      </c>
      <c r="U17" s="553">
        <f>Table22[[#This Row],[Post-harvest treatment]]</f>
        <v>0</v>
      </c>
      <c r="V17" s="553" t="str">
        <f>Table22[[#This Row],[Chronic RA label]]</f>
        <v/>
      </c>
      <c r="W17" s="553">
        <f>Table22[[#This Row],[Chronic RA input value]]</f>
        <v>0</v>
      </c>
      <c r="X17" s="1684" t="str">
        <f>Table22[[#This Row],[Acute RA label]]</f>
        <v/>
      </c>
      <c r="Y17" s="553">
        <f>Table22[[#This Row],[Acute RA input value]]</f>
        <v>0</v>
      </c>
      <c r="Z17" s="786">
        <f>SUM(Table1[[#This Row],[chronic value &lt;&gt;MRL/LOQ]:[acute vlue&lt;&gt;MRL/LOQ]])</f>
        <v>0</v>
      </c>
      <c r="AA17" s="786">
        <f>IF(AND($F$5="Refined calculation mode",Table1[[#This Row],[GAP under assessment]]="Y"),1,IF(OR(Table1[[#This Row],[Chronic RA label]]="LOQ",Table1[[#This Row],[Chronic RA label]]="",Table1[[#This Row],[Chronic RA label]]="MRL"),0,1))</f>
        <v>0</v>
      </c>
      <c r="AB17" s="787">
        <f>IF(OR(Table1[[#This Row],[Acute RA label]]="LOQ",Table1[[#This Row],[Acute RA label]]="",Table1[[#This Row],[Acute RA label]]="MRL"),0,1)</f>
        <v>0</v>
      </c>
    </row>
    <row r="18" spans="1:28" ht="13.5" hidden="1" thickTop="1" x14ac:dyDescent="0.2">
      <c r="A18" s="815">
        <f>Table1[[#This Row],[Code no.]]</f>
        <v>110050</v>
      </c>
      <c r="B18" s="793" t="str">
        <f>Table1[[#This Row],[Commodity or group of commodities to which the MRLs apply]]</f>
        <v xml:space="preserve">Mandarins </v>
      </c>
      <c r="C18" s="794">
        <f>Table1[[#This Row],[MRL/ proposed MRL /CXL
(mg/kg)]]</f>
        <v>0</v>
      </c>
      <c r="D18" s="795">
        <f>Table1[[#This Row],[Source of MRL]]</f>
        <v>0</v>
      </c>
      <c r="E18" s="796">
        <f>Table1[[#This Row],[Chronic RA input value]]</f>
        <v>0</v>
      </c>
      <c r="F18" s="832" t="str">
        <f>Table1[[#This Row],[Chronic RA label]]</f>
        <v/>
      </c>
      <c r="G18" s="796">
        <f>Table1[[#This Row],[Acute RA input value]]</f>
        <v>0</v>
      </c>
      <c r="H18" s="835" t="str">
        <f>Table1[[#This Row],[Acute RA label]]</f>
        <v/>
      </c>
      <c r="J18" s="553">
        <f>Table22[[#This Row],[Code no.]]</f>
        <v>110050</v>
      </c>
      <c r="K18" s="553" t="str">
        <f>Table22[[#This Row],[Commodity or group of commodities to which the MRLs apply]]</f>
        <v xml:space="preserve">Mandarins </v>
      </c>
      <c r="L18" s="553">
        <f>Table22[[#This Row],[Source / type of MRL]]</f>
        <v>0</v>
      </c>
      <c r="M18" s="553">
        <f>Table22[[#This Row],[MRL/ proposed MRL /CXL
(mg/kg)]]</f>
        <v>0</v>
      </c>
      <c r="N18" s="553">
        <f>Table22[[#This Row],[LOQ]]</f>
        <v>0</v>
      </c>
      <c r="O18" s="553">
        <f>Table22[[#This Row],[CFrisk for residue definition]]</f>
        <v>0</v>
      </c>
      <c r="P18" s="553">
        <f>Table22[[#This Row],[PeF (peeling factor RD enforcemen)]]</f>
        <v>0</v>
      </c>
      <c r="Q18" s="553">
        <f>Table22[[#This Row],[STMR-RAC (median residue)]]</f>
        <v>0</v>
      </c>
      <c r="R18" s="553">
        <f>Table22[[#This Row],[HR-RAC (highest residue)]]</f>
        <v>0</v>
      </c>
      <c r="S18" s="553">
        <f>Table22[[#This Row],[VF (alternative variability factor)]]</f>
        <v>0</v>
      </c>
      <c r="T18" s="553">
        <f>Table22[[#This Row],[GAP under assessment]]</f>
        <v>0</v>
      </c>
      <c r="U18" s="553">
        <f>Table22[[#This Row],[Post-harvest treatment]]</f>
        <v>0</v>
      </c>
      <c r="V18" s="553" t="str">
        <f>Table22[[#This Row],[Chronic RA label]]</f>
        <v/>
      </c>
      <c r="W18" s="553">
        <f>Table22[[#This Row],[Chronic RA input value]]</f>
        <v>0</v>
      </c>
      <c r="X18" s="1684" t="str">
        <f>Table22[[#This Row],[Acute RA label]]</f>
        <v/>
      </c>
      <c r="Y18" s="553">
        <f>Table22[[#This Row],[Acute RA input value]]</f>
        <v>0</v>
      </c>
      <c r="Z18" s="786">
        <f>SUM(Table1[[#This Row],[chronic value &lt;&gt;MRL/LOQ]:[acute vlue&lt;&gt;MRL/LOQ]])</f>
        <v>0</v>
      </c>
      <c r="AA18" s="786">
        <f>IF(AND($F$5="Refined calculation mode",Table1[[#This Row],[GAP under assessment]]="Y"),1,IF(OR(Table1[[#This Row],[Chronic RA label]]="LOQ",Table1[[#This Row],[Chronic RA label]]="",Table1[[#This Row],[Chronic RA label]]="MRL"),0,1))</f>
        <v>0</v>
      </c>
      <c r="AB18" s="787">
        <f>IF(OR(Table1[[#This Row],[Acute RA label]]="LOQ",Table1[[#This Row],[Acute RA label]]="",Table1[[#This Row],[Acute RA label]]="MRL"),0,1)</f>
        <v>0</v>
      </c>
    </row>
    <row r="19" spans="1:28" ht="13.5" hidden="1" thickTop="1" x14ac:dyDescent="0.2">
      <c r="A19" s="815">
        <f>Table1[[#This Row],[Code no.]]</f>
        <v>110990</v>
      </c>
      <c r="B19" s="793" t="str">
        <f>Table1[[#This Row],[Commodity or group of commodities to which the MRLs apply]]</f>
        <v>Other citrus fruit</v>
      </c>
      <c r="C19" s="794">
        <f>Table1[[#This Row],[MRL/ proposed MRL /CXL
(mg/kg)]]</f>
        <v>0</v>
      </c>
      <c r="D19" s="795">
        <f>Table1[[#This Row],[Source of MRL]]</f>
        <v>0</v>
      </c>
      <c r="E19" s="796">
        <f>Table1[[#This Row],[Chronic RA input value]]</f>
        <v>0</v>
      </c>
      <c r="F19" s="832" t="str">
        <f>Table1[[#This Row],[Chronic RA label]]</f>
        <v/>
      </c>
      <c r="G19" s="796">
        <f>Table1[[#This Row],[Acute RA input value]]</f>
        <v>0</v>
      </c>
      <c r="H19" s="835">
        <f>Table1[[#This Row],[Acute RA label]]</f>
        <v>0</v>
      </c>
      <c r="J19" s="553">
        <f>Table22[[#This Row],[Code no.]]</f>
        <v>110990</v>
      </c>
      <c r="K19" s="553" t="str">
        <f>Table22[[#This Row],[Commodity or group of commodities to which the MRLs apply]]</f>
        <v>Other citrus fruit</v>
      </c>
      <c r="L19" s="553">
        <f>Table22[[#This Row],[Source / type of MRL]]</f>
        <v>0</v>
      </c>
      <c r="M19" s="553">
        <f>Table22[[#This Row],[MRL/ proposed MRL /CXL
(mg/kg)]]</f>
        <v>0</v>
      </c>
      <c r="N19" s="553">
        <f>Table22[[#This Row],[LOQ]]</f>
        <v>0</v>
      </c>
      <c r="O19" s="553">
        <f>Table22[[#This Row],[CFrisk for residue definition]]</f>
        <v>0</v>
      </c>
      <c r="P19" s="553">
        <f>Table22[[#This Row],[PeF (peeling factor RD enforcemen)]]</f>
        <v>0</v>
      </c>
      <c r="Q19" s="553">
        <f>Table22[[#This Row],[STMR-RAC (median residue)]]</f>
        <v>0</v>
      </c>
      <c r="R19" s="553">
        <f>Table22[[#This Row],[HR-RAC (highest residue)]]</f>
        <v>0</v>
      </c>
      <c r="S19" s="553">
        <f>Table22[[#This Row],[VF (alternative variability factor)]]</f>
        <v>0</v>
      </c>
      <c r="T19" s="553">
        <f>Table22[[#This Row],[GAP under assessment]]</f>
        <v>0</v>
      </c>
      <c r="U19" s="553">
        <f>Table22[[#This Row],[Post-harvest treatment]]</f>
        <v>0</v>
      </c>
      <c r="V19" s="553" t="str">
        <f>Table22[[#This Row],[Chronic RA label]]</f>
        <v/>
      </c>
      <c r="W19" s="553">
        <f>Table22[[#This Row],[Chronic RA input value]]</f>
        <v>0</v>
      </c>
      <c r="X19" s="1684"/>
      <c r="Y19" s="553">
        <f>Table22[[#This Row],[Acute RA input value]]</f>
        <v>0</v>
      </c>
      <c r="Z19" s="786">
        <f>SUM(Table1[[#This Row],[chronic value &lt;&gt;MRL/LOQ]:[acute vlue&lt;&gt;MRL/LOQ]])</f>
        <v>0</v>
      </c>
      <c r="AA19" s="786">
        <f>IF(AND($F$5="Refined calculation mode",Table1[[#This Row],[GAP under assessment]]="Y"),1,IF(OR(Table1[[#This Row],[Chronic RA label]]="LOQ",Table1[[#This Row],[Chronic RA label]]="",Table1[[#This Row],[Chronic RA label]]="MRL"),0,1))</f>
        <v>0</v>
      </c>
      <c r="AB19" s="787">
        <f>IF(OR(Table1[[#This Row],[Acute RA label]]="LOQ",Table1[[#This Row],[Acute RA label]]="",Table1[[#This Row],[Acute RA label]]="MRL"),0,1)</f>
        <v>0</v>
      </c>
    </row>
    <row r="20" spans="1:28" ht="13.5" hidden="1" thickTop="1" x14ac:dyDescent="0.2">
      <c r="A20" s="815">
        <f>Table1[[#This Row],[Code no.]]</f>
        <v>120000</v>
      </c>
      <c r="B20" s="793" t="str">
        <f>Table1[[#This Row],[Commodity or group of commodities to which the MRLs apply]]</f>
        <v xml:space="preserve">Tree nuts </v>
      </c>
      <c r="C20" s="794">
        <f>Table1[[#This Row],[MRL/ proposed MRL /CXL
(mg/kg)]]</f>
        <v>0</v>
      </c>
      <c r="D20" s="795">
        <f>Table1[[#This Row],[Source of MRL]]</f>
        <v>0</v>
      </c>
      <c r="E20" s="796">
        <f>Table1[[#This Row],[Chronic RA input value]]</f>
        <v>0</v>
      </c>
      <c r="F20" s="832">
        <f>Table1[[#This Row],[Chronic RA label]]</f>
        <v>0</v>
      </c>
      <c r="G20" s="796">
        <f>Table1[[#This Row],[Acute RA input value]]</f>
        <v>0</v>
      </c>
      <c r="H20" s="835">
        <f>Table1[[#This Row],[Acute RA label]]</f>
        <v>0</v>
      </c>
      <c r="J20" s="553">
        <f>Table22[[#This Row],[Code no.]]</f>
        <v>120000</v>
      </c>
      <c r="K20" s="553" t="str">
        <f>Table22[[#This Row],[Commodity or group of commodities to which the MRLs apply]]</f>
        <v xml:space="preserve">Tree nuts </v>
      </c>
      <c r="L20" s="553">
        <f>Table22[[#This Row],[Source / type of MRL]]</f>
        <v>0</v>
      </c>
      <c r="M20" s="553">
        <f>Table22[[#This Row],[MRL/ proposed MRL /CXL
(mg/kg)]]</f>
        <v>0</v>
      </c>
      <c r="N20" s="553">
        <f>Table22[[#This Row],[LOQ]]</f>
        <v>0</v>
      </c>
      <c r="O20" s="553">
        <f>Table22[[#This Row],[CFrisk for residue definition]]</f>
        <v>0</v>
      </c>
      <c r="P20" s="553">
        <f>Table22[[#This Row],[PeF (peeling factor RD enforcemen)]]</f>
        <v>0</v>
      </c>
      <c r="Q20" s="553">
        <f>Table22[[#This Row],[STMR-RAC (median residue)]]</f>
        <v>0</v>
      </c>
      <c r="R20" s="553">
        <f>Table22[[#This Row],[HR-RAC (highest residue)]]</f>
        <v>0</v>
      </c>
      <c r="S20" s="553">
        <f>Table22[[#This Row],[VF (alternative variability factor)]]</f>
        <v>0</v>
      </c>
      <c r="T20" s="553">
        <f>Table22[[#This Row],[GAP under assessment]]</f>
        <v>0</v>
      </c>
      <c r="U20" s="553">
        <f>Table22[[#This Row],[Post-harvest treatment]]</f>
        <v>0</v>
      </c>
      <c r="V20" s="553"/>
      <c r="W20" s="553">
        <f>Table22[[#This Row],[Chronic RA input value]]</f>
        <v>0</v>
      </c>
      <c r="X20" s="1684"/>
      <c r="Y20" s="553">
        <f>Table22[[#This Row],[Acute RA input value]]</f>
        <v>0</v>
      </c>
      <c r="Z20" s="786">
        <f>SUM(Table1[[#This Row],[chronic value &lt;&gt;MRL/LOQ]:[acute vlue&lt;&gt;MRL/LOQ]])</f>
        <v>0</v>
      </c>
      <c r="AA20" s="786">
        <f>IF(AND($F$5="Refined calculation mode",Table1[[#This Row],[GAP under assessment]]="Y"),1,IF(OR(Table1[[#This Row],[Chronic RA label]]="LOQ",Table1[[#This Row],[Chronic RA label]]="",Table1[[#This Row],[Chronic RA label]]="MRL"),0,1))</f>
        <v>0</v>
      </c>
      <c r="AB20" s="787">
        <f>IF(OR(Table1[[#This Row],[Acute RA label]]="LOQ",Table1[[#This Row],[Acute RA label]]="",Table1[[#This Row],[Acute RA label]]="MRL"),0,1)</f>
        <v>0</v>
      </c>
    </row>
    <row r="21" spans="1:28" ht="13.5" hidden="1" thickTop="1" x14ac:dyDescent="0.2">
      <c r="A21" s="815">
        <f>Table1[[#This Row],[Code no.]]</f>
        <v>120010</v>
      </c>
      <c r="B21" s="793" t="str">
        <f>Table1[[#This Row],[Commodity or group of commodities to which the MRLs apply]]</f>
        <v>Almonds</v>
      </c>
      <c r="C21" s="794">
        <f>Table1[[#This Row],[MRL/ proposed MRL /CXL
(mg/kg)]]</f>
        <v>0</v>
      </c>
      <c r="D21" s="795">
        <f>Table1[[#This Row],[Source of MRL]]</f>
        <v>0</v>
      </c>
      <c r="E21" s="796">
        <f>Table1[[#This Row],[Chronic RA input value]]</f>
        <v>0</v>
      </c>
      <c r="F21" s="832" t="str">
        <f>Table1[[#This Row],[Chronic RA label]]</f>
        <v/>
      </c>
      <c r="G21" s="796">
        <f>Table1[[#This Row],[Acute RA input value]]</f>
        <v>0</v>
      </c>
      <c r="H21" s="835" t="str">
        <f>Table1[[#This Row],[Acute RA label]]</f>
        <v/>
      </c>
      <c r="J21" s="553">
        <f>Table22[[#This Row],[Code no.]]</f>
        <v>120010</v>
      </c>
      <c r="K21" s="553" t="str">
        <f>Table22[[#This Row],[Commodity or group of commodities to which the MRLs apply]]</f>
        <v>Almonds</v>
      </c>
      <c r="L21" s="553">
        <f>Table22[[#This Row],[Source / type of MRL]]</f>
        <v>0</v>
      </c>
      <c r="M21" s="553">
        <f>Table22[[#This Row],[MRL/ proposed MRL /CXL
(mg/kg)]]</f>
        <v>0</v>
      </c>
      <c r="N21" s="553">
        <f>Table22[[#This Row],[LOQ]]</f>
        <v>0</v>
      </c>
      <c r="O21" s="553">
        <f>Table22[[#This Row],[CFrisk for residue definition]]</f>
        <v>0</v>
      </c>
      <c r="P21" s="553">
        <f>Table22[[#This Row],[PeF (peeling factor RD enforcemen)]]</f>
        <v>0</v>
      </c>
      <c r="Q21" s="553">
        <f>Table22[[#This Row],[STMR-RAC (median residue)]]</f>
        <v>0</v>
      </c>
      <c r="R21" s="553">
        <f>Table22[[#This Row],[HR-RAC (highest residue)]]</f>
        <v>0</v>
      </c>
      <c r="S21" s="553">
        <f>Table22[[#This Row],[VF (alternative variability factor)]]</f>
        <v>0</v>
      </c>
      <c r="T21" s="553">
        <f>Table22[[#This Row],[GAP under assessment]]</f>
        <v>0</v>
      </c>
      <c r="U21" s="553">
        <f>Table22[[#This Row],[Post-harvest treatment]]</f>
        <v>0</v>
      </c>
      <c r="V21" s="553" t="str">
        <f>Table22[[#This Row],[Chronic RA label]]</f>
        <v/>
      </c>
      <c r="W21" s="553">
        <f>Table22[[#This Row],[Chronic RA input value]]</f>
        <v>0</v>
      </c>
      <c r="X21" s="1684" t="str">
        <f>Table22[[#This Row],[Acute RA label]]</f>
        <v/>
      </c>
      <c r="Y21" s="553">
        <f>Table22[[#This Row],[Acute RA input value]]</f>
        <v>0</v>
      </c>
      <c r="Z21" s="786">
        <f>SUM(Table1[[#This Row],[chronic value &lt;&gt;MRL/LOQ]:[acute vlue&lt;&gt;MRL/LOQ]])</f>
        <v>0</v>
      </c>
      <c r="AA21" s="786">
        <f>IF(AND($F$5="Refined calculation mode",Table1[[#This Row],[GAP under assessment]]="Y"),1,IF(OR(Table1[[#This Row],[Chronic RA label]]="LOQ",Table1[[#This Row],[Chronic RA label]]="",Table1[[#This Row],[Chronic RA label]]="MRL"),0,1))</f>
        <v>0</v>
      </c>
      <c r="AB21" s="787">
        <f>IF(OR(Table1[[#This Row],[Acute RA label]]="LOQ",Table1[[#This Row],[Acute RA label]]="",Table1[[#This Row],[Acute RA label]]="MRL"),0,1)</f>
        <v>0</v>
      </c>
    </row>
    <row r="22" spans="1:28" ht="13.5" hidden="1" thickTop="1" x14ac:dyDescent="0.2">
      <c r="A22" s="815">
        <f>Table1[[#This Row],[Code no.]]</f>
        <v>120020</v>
      </c>
      <c r="B22" s="793" t="str">
        <f>Table1[[#This Row],[Commodity or group of commodities to which the MRLs apply]]</f>
        <v>Brazil nuts</v>
      </c>
      <c r="C22" s="794">
        <f>Table1[[#This Row],[MRL/ proposed MRL /CXL
(mg/kg)]]</f>
        <v>0</v>
      </c>
      <c r="D22" s="795">
        <f>Table1[[#This Row],[Source of MRL]]</f>
        <v>0</v>
      </c>
      <c r="E22" s="796">
        <f>Table1[[#This Row],[Chronic RA input value]]</f>
        <v>0</v>
      </c>
      <c r="F22" s="832" t="str">
        <f>Table1[[#This Row],[Chronic RA label]]</f>
        <v/>
      </c>
      <c r="G22" s="796">
        <f>Table1[[#This Row],[Acute RA input value]]</f>
        <v>0</v>
      </c>
      <c r="H22" s="835" t="str">
        <f>Table1[[#This Row],[Acute RA label]]</f>
        <v/>
      </c>
      <c r="J22" s="553">
        <f>Table22[[#This Row],[Code no.]]</f>
        <v>120020</v>
      </c>
      <c r="K22" s="553" t="str">
        <f>Table22[[#This Row],[Commodity or group of commodities to which the MRLs apply]]</f>
        <v>Brazil nuts</v>
      </c>
      <c r="L22" s="553">
        <f>Table22[[#This Row],[Source / type of MRL]]</f>
        <v>0</v>
      </c>
      <c r="M22" s="553">
        <f>Table22[[#This Row],[MRL/ proposed MRL /CXL
(mg/kg)]]</f>
        <v>0</v>
      </c>
      <c r="N22" s="553">
        <f>Table22[[#This Row],[LOQ]]</f>
        <v>0</v>
      </c>
      <c r="O22" s="553">
        <f>Table22[[#This Row],[CFrisk for residue definition]]</f>
        <v>0</v>
      </c>
      <c r="P22" s="553">
        <f>Table22[[#This Row],[PeF (peeling factor RD enforcemen)]]</f>
        <v>0</v>
      </c>
      <c r="Q22" s="553">
        <f>Table22[[#This Row],[STMR-RAC (median residue)]]</f>
        <v>0</v>
      </c>
      <c r="R22" s="553">
        <f>Table22[[#This Row],[HR-RAC (highest residue)]]</f>
        <v>0</v>
      </c>
      <c r="S22" s="553">
        <f>Table22[[#This Row],[VF (alternative variability factor)]]</f>
        <v>0</v>
      </c>
      <c r="T22" s="553">
        <f>Table22[[#This Row],[GAP under assessment]]</f>
        <v>0</v>
      </c>
      <c r="U22" s="553">
        <f>Table22[[#This Row],[Post-harvest treatment]]</f>
        <v>0</v>
      </c>
      <c r="V22" s="553" t="str">
        <f>Table22[[#This Row],[Chronic RA label]]</f>
        <v/>
      </c>
      <c r="W22" s="553">
        <f>Table22[[#This Row],[Chronic RA input value]]</f>
        <v>0</v>
      </c>
      <c r="X22" s="1684" t="str">
        <f>Table22[[#This Row],[Acute RA label]]</f>
        <v/>
      </c>
      <c r="Y22" s="553">
        <f>Table22[[#This Row],[Acute RA input value]]</f>
        <v>0</v>
      </c>
      <c r="Z22" s="786">
        <f>SUM(Table1[[#This Row],[chronic value &lt;&gt;MRL/LOQ]:[acute vlue&lt;&gt;MRL/LOQ]])</f>
        <v>0</v>
      </c>
      <c r="AA22" s="786">
        <f>IF(AND($F$5="Refined calculation mode",Table1[[#This Row],[GAP under assessment]]="Y"),1,IF(OR(Table1[[#This Row],[Chronic RA label]]="LOQ",Table1[[#This Row],[Chronic RA label]]="",Table1[[#This Row],[Chronic RA label]]="MRL"),0,1))</f>
        <v>0</v>
      </c>
      <c r="AB22" s="787">
        <f>IF(OR(Table1[[#This Row],[Acute RA label]]="LOQ",Table1[[#This Row],[Acute RA label]]="",Table1[[#This Row],[Acute RA label]]="MRL"),0,1)</f>
        <v>0</v>
      </c>
    </row>
    <row r="23" spans="1:28" ht="13.5" hidden="1" thickTop="1" x14ac:dyDescent="0.2">
      <c r="A23" s="815">
        <f>Table1[[#This Row],[Code no.]]</f>
        <v>120030</v>
      </c>
      <c r="B23" s="793" t="str">
        <f>Table1[[#This Row],[Commodity or group of commodities to which the MRLs apply]]</f>
        <v>Cashew nuts</v>
      </c>
      <c r="C23" s="794">
        <f>Table1[[#This Row],[MRL/ proposed MRL /CXL
(mg/kg)]]</f>
        <v>0</v>
      </c>
      <c r="D23" s="795">
        <f>Table1[[#This Row],[Source of MRL]]</f>
        <v>0</v>
      </c>
      <c r="E23" s="796">
        <f>Table1[[#This Row],[Chronic RA input value]]</f>
        <v>0</v>
      </c>
      <c r="F23" s="832" t="str">
        <f>Table1[[#This Row],[Chronic RA label]]</f>
        <v/>
      </c>
      <c r="G23" s="796">
        <f>Table1[[#This Row],[Acute RA input value]]</f>
        <v>0</v>
      </c>
      <c r="H23" s="835" t="str">
        <f>Table1[[#This Row],[Acute RA label]]</f>
        <v/>
      </c>
      <c r="J23" s="553">
        <f>Table22[[#This Row],[Code no.]]</f>
        <v>120030</v>
      </c>
      <c r="K23" s="553" t="str">
        <f>Table22[[#This Row],[Commodity or group of commodities to which the MRLs apply]]</f>
        <v>Cashew nuts</v>
      </c>
      <c r="L23" s="553">
        <f>Table22[[#This Row],[Source / type of MRL]]</f>
        <v>0</v>
      </c>
      <c r="M23" s="553">
        <f>Table22[[#This Row],[MRL/ proposed MRL /CXL
(mg/kg)]]</f>
        <v>0</v>
      </c>
      <c r="N23" s="553">
        <f>Table22[[#This Row],[LOQ]]</f>
        <v>0</v>
      </c>
      <c r="O23" s="553">
        <f>Table22[[#This Row],[CFrisk for residue definition]]</f>
        <v>0</v>
      </c>
      <c r="P23" s="553">
        <f>Table22[[#This Row],[PeF (peeling factor RD enforcemen)]]</f>
        <v>0</v>
      </c>
      <c r="Q23" s="553">
        <f>Table22[[#This Row],[STMR-RAC (median residue)]]</f>
        <v>0</v>
      </c>
      <c r="R23" s="553">
        <f>Table22[[#This Row],[HR-RAC (highest residue)]]</f>
        <v>0</v>
      </c>
      <c r="S23" s="553">
        <f>Table22[[#This Row],[VF (alternative variability factor)]]</f>
        <v>0</v>
      </c>
      <c r="T23" s="553">
        <f>Table22[[#This Row],[GAP under assessment]]</f>
        <v>0</v>
      </c>
      <c r="U23" s="553">
        <f>Table22[[#This Row],[Post-harvest treatment]]</f>
        <v>0</v>
      </c>
      <c r="V23" s="553" t="str">
        <f>Table22[[#This Row],[Chronic RA label]]</f>
        <v/>
      </c>
      <c r="W23" s="553">
        <f>Table22[[#This Row],[Chronic RA input value]]</f>
        <v>0</v>
      </c>
      <c r="X23" s="1684" t="str">
        <f>Table22[[#This Row],[Acute RA label]]</f>
        <v/>
      </c>
      <c r="Y23" s="553">
        <f>Table22[[#This Row],[Acute RA input value]]</f>
        <v>0</v>
      </c>
      <c r="Z23" s="786">
        <f>SUM(Table1[[#This Row],[chronic value &lt;&gt;MRL/LOQ]:[acute vlue&lt;&gt;MRL/LOQ]])</f>
        <v>0</v>
      </c>
      <c r="AA23" s="786">
        <f>IF(AND($F$5="Refined calculation mode",Table1[[#This Row],[GAP under assessment]]="Y"),1,IF(OR(Table1[[#This Row],[Chronic RA label]]="LOQ",Table1[[#This Row],[Chronic RA label]]="",Table1[[#This Row],[Chronic RA label]]="MRL"),0,1))</f>
        <v>0</v>
      </c>
      <c r="AB23" s="787">
        <f>IF(OR(Table1[[#This Row],[Acute RA label]]="LOQ",Table1[[#This Row],[Acute RA label]]="",Table1[[#This Row],[Acute RA label]]="MRL"),0,1)</f>
        <v>0</v>
      </c>
    </row>
    <row r="24" spans="1:28" ht="13.5" hidden="1" thickTop="1" x14ac:dyDescent="0.2">
      <c r="A24" s="815">
        <f>Table1[[#This Row],[Code no.]]</f>
        <v>120040</v>
      </c>
      <c r="B24" s="793" t="str">
        <f>Table1[[#This Row],[Commodity or group of commodities to which the MRLs apply]]</f>
        <v>Chestnuts</v>
      </c>
      <c r="C24" s="794">
        <f>Table1[[#This Row],[MRL/ proposed MRL /CXL
(mg/kg)]]</f>
        <v>0</v>
      </c>
      <c r="D24" s="795">
        <f>Table1[[#This Row],[Source of MRL]]</f>
        <v>0</v>
      </c>
      <c r="E24" s="796">
        <f>Table1[[#This Row],[Chronic RA input value]]</f>
        <v>0</v>
      </c>
      <c r="F24" s="832" t="str">
        <f>Table1[[#This Row],[Chronic RA label]]</f>
        <v/>
      </c>
      <c r="G24" s="796">
        <f>Table1[[#This Row],[Acute RA input value]]</f>
        <v>0</v>
      </c>
      <c r="H24" s="835" t="str">
        <f>Table1[[#This Row],[Acute RA label]]</f>
        <v/>
      </c>
      <c r="J24" s="553">
        <f>Table22[[#This Row],[Code no.]]</f>
        <v>120040</v>
      </c>
      <c r="K24" s="553" t="str">
        <f>Table22[[#This Row],[Commodity or group of commodities to which the MRLs apply]]</f>
        <v>Chestnuts</v>
      </c>
      <c r="L24" s="553">
        <f>Table22[[#This Row],[Source / type of MRL]]</f>
        <v>0</v>
      </c>
      <c r="M24" s="553">
        <f>Table22[[#This Row],[MRL/ proposed MRL /CXL
(mg/kg)]]</f>
        <v>0</v>
      </c>
      <c r="N24" s="553">
        <f>Table22[[#This Row],[LOQ]]</f>
        <v>0</v>
      </c>
      <c r="O24" s="553">
        <f>Table22[[#This Row],[CFrisk for residue definition]]</f>
        <v>0</v>
      </c>
      <c r="P24" s="553">
        <f>Table22[[#This Row],[PeF (peeling factor RD enforcemen)]]</f>
        <v>0</v>
      </c>
      <c r="Q24" s="553">
        <f>Table22[[#This Row],[STMR-RAC (median residue)]]</f>
        <v>0</v>
      </c>
      <c r="R24" s="553">
        <f>Table22[[#This Row],[HR-RAC (highest residue)]]</f>
        <v>0</v>
      </c>
      <c r="S24" s="553">
        <f>Table22[[#This Row],[VF (alternative variability factor)]]</f>
        <v>0</v>
      </c>
      <c r="T24" s="553">
        <f>Table22[[#This Row],[GAP under assessment]]</f>
        <v>0</v>
      </c>
      <c r="U24" s="553">
        <f>Table22[[#This Row],[Post-harvest treatment]]</f>
        <v>0</v>
      </c>
      <c r="V24" s="553" t="str">
        <f>Table22[[#This Row],[Chronic RA label]]</f>
        <v/>
      </c>
      <c r="W24" s="553">
        <f>Table22[[#This Row],[Chronic RA input value]]</f>
        <v>0</v>
      </c>
      <c r="X24" s="1684" t="str">
        <f>Table22[[#This Row],[Acute RA label]]</f>
        <v/>
      </c>
      <c r="Y24" s="553">
        <f>Table22[[#This Row],[Acute RA input value]]</f>
        <v>0</v>
      </c>
      <c r="Z24" s="786">
        <f>SUM(Table1[[#This Row],[chronic value &lt;&gt;MRL/LOQ]:[acute vlue&lt;&gt;MRL/LOQ]])</f>
        <v>0</v>
      </c>
      <c r="AA24" s="786">
        <f>IF(AND($F$5="Refined calculation mode",Table1[[#This Row],[GAP under assessment]]="Y"),1,IF(OR(Table1[[#This Row],[Chronic RA label]]="LOQ",Table1[[#This Row],[Chronic RA label]]="",Table1[[#This Row],[Chronic RA label]]="MRL"),0,1))</f>
        <v>0</v>
      </c>
      <c r="AB24" s="787">
        <f>IF(OR(Table1[[#This Row],[Acute RA label]]="LOQ",Table1[[#This Row],[Acute RA label]]="",Table1[[#This Row],[Acute RA label]]="MRL"),0,1)</f>
        <v>0</v>
      </c>
    </row>
    <row r="25" spans="1:28" ht="13.5" hidden="1" thickTop="1" x14ac:dyDescent="0.2">
      <c r="A25" s="815">
        <f>Table1[[#This Row],[Code no.]]</f>
        <v>120050</v>
      </c>
      <c r="B25" s="793" t="str">
        <f>Table1[[#This Row],[Commodity or group of commodities to which the MRLs apply]]</f>
        <v>Coconuts</v>
      </c>
      <c r="C25" s="794">
        <f>Table1[[#This Row],[MRL/ proposed MRL /CXL
(mg/kg)]]</f>
        <v>0</v>
      </c>
      <c r="D25" s="795">
        <f>Table1[[#This Row],[Source of MRL]]</f>
        <v>0</v>
      </c>
      <c r="E25" s="796">
        <f>Table1[[#This Row],[Chronic RA input value]]</f>
        <v>0</v>
      </c>
      <c r="F25" s="832" t="str">
        <f>Table1[[#This Row],[Chronic RA label]]</f>
        <v/>
      </c>
      <c r="G25" s="796">
        <f>Table1[[#This Row],[Acute RA input value]]</f>
        <v>0</v>
      </c>
      <c r="H25" s="835" t="str">
        <f>Table1[[#This Row],[Acute RA label]]</f>
        <v/>
      </c>
      <c r="J25" s="553">
        <f>Table22[[#This Row],[Code no.]]</f>
        <v>120050</v>
      </c>
      <c r="K25" s="553" t="str">
        <f>Table22[[#This Row],[Commodity or group of commodities to which the MRLs apply]]</f>
        <v>Coconuts</v>
      </c>
      <c r="L25" s="553">
        <f>Table22[[#This Row],[Source / type of MRL]]</f>
        <v>0</v>
      </c>
      <c r="M25" s="553">
        <f>Table22[[#This Row],[MRL/ proposed MRL /CXL
(mg/kg)]]</f>
        <v>0</v>
      </c>
      <c r="N25" s="553">
        <f>Table22[[#This Row],[LOQ]]</f>
        <v>0</v>
      </c>
      <c r="O25" s="553">
        <f>Table22[[#This Row],[CFrisk for residue definition]]</f>
        <v>0</v>
      </c>
      <c r="P25" s="553">
        <f>Table22[[#This Row],[PeF (peeling factor RD enforcemen)]]</f>
        <v>0</v>
      </c>
      <c r="Q25" s="553">
        <f>Table22[[#This Row],[STMR-RAC (median residue)]]</f>
        <v>0</v>
      </c>
      <c r="R25" s="553">
        <f>Table22[[#This Row],[HR-RAC (highest residue)]]</f>
        <v>0</v>
      </c>
      <c r="S25" s="553">
        <f>Table22[[#This Row],[VF (alternative variability factor)]]</f>
        <v>0</v>
      </c>
      <c r="T25" s="553">
        <f>Table22[[#This Row],[GAP under assessment]]</f>
        <v>0</v>
      </c>
      <c r="U25" s="553">
        <f>Table22[[#This Row],[Post-harvest treatment]]</f>
        <v>0</v>
      </c>
      <c r="V25" s="553" t="str">
        <f>Table22[[#This Row],[Chronic RA label]]</f>
        <v/>
      </c>
      <c r="W25" s="553">
        <f>Table22[[#This Row],[Chronic RA input value]]</f>
        <v>0</v>
      </c>
      <c r="X25" s="1684" t="str">
        <f>Table22[[#This Row],[Acute RA label]]</f>
        <v/>
      </c>
      <c r="Y25" s="553">
        <f>Table22[[#This Row],[Acute RA input value]]</f>
        <v>0</v>
      </c>
      <c r="Z25" s="786">
        <f>SUM(Table1[[#This Row],[chronic value &lt;&gt;MRL/LOQ]:[acute vlue&lt;&gt;MRL/LOQ]])</f>
        <v>0</v>
      </c>
      <c r="AA25" s="786">
        <f>IF(AND($F$5="Refined calculation mode",Table1[[#This Row],[GAP under assessment]]="Y"),1,IF(OR(Table1[[#This Row],[Chronic RA label]]="LOQ",Table1[[#This Row],[Chronic RA label]]="",Table1[[#This Row],[Chronic RA label]]="MRL"),0,1))</f>
        <v>0</v>
      </c>
      <c r="AB25" s="787">
        <f>IF(OR(Table1[[#This Row],[Acute RA label]]="LOQ",Table1[[#This Row],[Acute RA label]]="",Table1[[#This Row],[Acute RA label]]="MRL"),0,1)</f>
        <v>0</v>
      </c>
    </row>
    <row r="26" spans="1:28" ht="13.5" hidden="1" thickTop="1" x14ac:dyDescent="0.2">
      <c r="A26" s="815">
        <f>Table1[[#This Row],[Code no.]]</f>
        <v>120060</v>
      </c>
      <c r="B26" s="793" t="str">
        <f>Table1[[#This Row],[Commodity or group of commodities to which the MRLs apply]]</f>
        <v>Hazelnuts/cobnuts</v>
      </c>
      <c r="C26" s="794">
        <f>Table1[[#This Row],[MRL/ proposed MRL /CXL
(mg/kg)]]</f>
        <v>0</v>
      </c>
      <c r="D26" s="795">
        <f>Table1[[#This Row],[Source of MRL]]</f>
        <v>0</v>
      </c>
      <c r="E26" s="796">
        <f>Table1[[#This Row],[Chronic RA input value]]</f>
        <v>0</v>
      </c>
      <c r="F26" s="832" t="str">
        <f>Table1[[#This Row],[Chronic RA label]]</f>
        <v/>
      </c>
      <c r="G26" s="796">
        <f>Table1[[#This Row],[Acute RA input value]]</f>
        <v>0</v>
      </c>
      <c r="H26" s="835" t="str">
        <f>Table1[[#This Row],[Acute RA label]]</f>
        <v/>
      </c>
      <c r="J26" s="553">
        <f>Table22[[#This Row],[Code no.]]</f>
        <v>120060</v>
      </c>
      <c r="K26" s="553" t="str">
        <f>Table22[[#This Row],[Commodity or group of commodities to which the MRLs apply]]</f>
        <v>Hazelnuts/cobnuts</v>
      </c>
      <c r="L26" s="553">
        <f>Table22[[#This Row],[Source / type of MRL]]</f>
        <v>0</v>
      </c>
      <c r="M26" s="553">
        <f>Table22[[#This Row],[MRL/ proposed MRL /CXL
(mg/kg)]]</f>
        <v>0</v>
      </c>
      <c r="N26" s="553">
        <f>Table22[[#This Row],[LOQ]]</f>
        <v>0</v>
      </c>
      <c r="O26" s="553">
        <f>Table22[[#This Row],[CFrisk for residue definition]]</f>
        <v>0</v>
      </c>
      <c r="P26" s="553">
        <f>Table22[[#This Row],[PeF (peeling factor RD enforcemen)]]</f>
        <v>0</v>
      </c>
      <c r="Q26" s="553">
        <f>Table22[[#This Row],[STMR-RAC (median residue)]]</f>
        <v>0</v>
      </c>
      <c r="R26" s="553">
        <f>Table22[[#This Row],[HR-RAC (highest residue)]]</f>
        <v>0</v>
      </c>
      <c r="S26" s="553">
        <f>Table22[[#This Row],[VF (alternative variability factor)]]</f>
        <v>0</v>
      </c>
      <c r="T26" s="553">
        <f>Table22[[#This Row],[GAP under assessment]]</f>
        <v>0</v>
      </c>
      <c r="U26" s="553">
        <f>Table22[[#This Row],[Post-harvest treatment]]</f>
        <v>0</v>
      </c>
      <c r="V26" s="553" t="str">
        <f>Table22[[#This Row],[Chronic RA label]]</f>
        <v/>
      </c>
      <c r="W26" s="553">
        <f>Table22[[#This Row],[Chronic RA input value]]</f>
        <v>0</v>
      </c>
      <c r="X26" s="1684" t="str">
        <f>Table22[[#This Row],[Acute RA label]]</f>
        <v/>
      </c>
      <c r="Y26" s="553">
        <f>Table22[[#This Row],[Acute RA input value]]</f>
        <v>0</v>
      </c>
      <c r="Z26" s="786">
        <f>SUM(Table1[[#This Row],[chronic value &lt;&gt;MRL/LOQ]:[acute vlue&lt;&gt;MRL/LOQ]])</f>
        <v>0</v>
      </c>
      <c r="AA26" s="786">
        <f>IF(AND($F$5="Refined calculation mode",Table1[[#This Row],[GAP under assessment]]="Y"),1,IF(OR(Table1[[#This Row],[Chronic RA label]]="LOQ",Table1[[#This Row],[Chronic RA label]]="",Table1[[#This Row],[Chronic RA label]]="MRL"),0,1))</f>
        <v>0</v>
      </c>
      <c r="AB26" s="787">
        <f>IF(OR(Table1[[#This Row],[Acute RA label]]="LOQ",Table1[[#This Row],[Acute RA label]]="",Table1[[#This Row],[Acute RA label]]="MRL"),0,1)</f>
        <v>0</v>
      </c>
    </row>
    <row r="27" spans="1:28" ht="13.5" hidden="1" thickTop="1" x14ac:dyDescent="0.2">
      <c r="A27" s="815">
        <f>Table1[[#This Row],[Code no.]]</f>
        <v>120070</v>
      </c>
      <c r="B27" s="793" t="str">
        <f>Table1[[#This Row],[Commodity or group of commodities to which the MRLs apply]]</f>
        <v>Macadamia</v>
      </c>
      <c r="C27" s="794">
        <f>Table1[[#This Row],[MRL/ proposed MRL /CXL
(mg/kg)]]</f>
        <v>0</v>
      </c>
      <c r="D27" s="795">
        <f>Table1[[#This Row],[Source of MRL]]</f>
        <v>0</v>
      </c>
      <c r="E27" s="796">
        <f>Table1[[#This Row],[Chronic RA input value]]</f>
        <v>0</v>
      </c>
      <c r="F27" s="832" t="str">
        <f>Table1[[#This Row],[Chronic RA label]]</f>
        <v/>
      </c>
      <c r="G27" s="796">
        <f>Table1[[#This Row],[Acute RA input value]]</f>
        <v>0</v>
      </c>
      <c r="H27" s="835" t="str">
        <f>Table1[[#This Row],[Acute RA label]]</f>
        <v/>
      </c>
      <c r="J27" s="553">
        <f>Table22[[#This Row],[Code no.]]</f>
        <v>120070</v>
      </c>
      <c r="K27" s="553" t="str">
        <f>Table22[[#This Row],[Commodity or group of commodities to which the MRLs apply]]</f>
        <v>Macadamia</v>
      </c>
      <c r="L27" s="553">
        <f>Table22[[#This Row],[Source / type of MRL]]</f>
        <v>0</v>
      </c>
      <c r="M27" s="553">
        <f>Table22[[#This Row],[MRL/ proposed MRL /CXL
(mg/kg)]]</f>
        <v>0</v>
      </c>
      <c r="N27" s="553">
        <f>Table22[[#This Row],[LOQ]]</f>
        <v>0</v>
      </c>
      <c r="O27" s="553">
        <f>Table22[[#This Row],[CFrisk for residue definition]]</f>
        <v>0</v>
      </c>
      <c r="P27" s="553">
        <f>Table22[[#This Row],[PeF (peeling factor RD enforcemen)]]</f>
        <v>0</v>
      </c>
      <c r="Q27" s="553">
        <f>Table22[[#This Row],[STMR-RAC (median residue)]]</f>
        <v>0</v>
      </c>
      <c r="R27" s="553">
        <f>Table22[[#This Row],[HR-RAC (highest residue)]]</f>
        <v>0</v>
      </c>
      <c r="S27" s="553">
        <f>Table22[[#This Row],[VF (alternative variability factor)]]</f>
        <v>0</v>
      </c>
      <c r="T27" s="553">
        <f>Table22[[#This Row],[GAP under assessment]]</f>
        <v>0</v>
      </c>
      <c r="U27" s="553">
        <f>Table22[[#This Row],[Post-harvest treatment]]</f>
        <v>0</v>
      </c>
      <c r="V27" s="553" t="str">
        <f>Table22[[#This Row],[Chronic RA label]]</f>
        <v/>
      </c>
      <c r="W27" s="553">
        <f>Table22[[#This Row],[Chronic RA input value]]</f>
        <v>0</v>
      </c>
      <c r="X27" s="1684" t="str">
        <f>Table22[[#This Row],[Acute RA label]]</f>
        <v/>
      </c>
      <c r="Y27" s="553">
        <f>Table22[[#This Row],[Acute RA input value]]</f>
        <v>0</v>
      </c>
      <c r="Z27" s="786">
        <f>SUM(Table1[[#This Row],[chronic value &lt;&gt;MRL/LOQ]:[acute vlue&lt;&gt;MRL/LOQ]])</f>
        <v>0</v>
      </c>
      <c r="AA27" s="786">
        <f>IF(AND($F$5="Refined calculation mode",Table1[[#This Row],[GAP under assessment]]="Y"),1,IF(OR(Table1[[#This Row],[Chronic RA label]]="LOQ",Table1[[#This Row],[Chronic RA label]]="",Table1[[#This Row],[Chronic RA label]]="MRL"),0,1))</f>
        <v>0</v>
      </c>
      <c r="AB27" s="787">
        <f>IF(OR(Table1[[#This Row],[Acute RA label]]="LOQ",Table1[[#This Row],[Acute RA label]]="",Table1[[#This Row],[Acute RA label]]="MRL"),0,1)</f>
        <v>0</v>
      </c>
    </row>
    <row r="28" spans="1:28" ht="13.5" hidden="1" thickTop="1" x14ac:dyDescent="0.2">
      <c r="A28" s="815">
        <f>Table1[[#This Row],[Code no.]]</f>
        <v>120080</v>
      </c>
      <c r="B28" s="793" t="str">
        <f>Table1[[#This Row],[Commodity or group of commodities to which the MRLs apply]]</f>
        <v>Pecans</v>
      </c>
      <c r="C28" s="794">
        <f>Table1[[#This Row],[MRL/ proposed MRL /CXL
(mg/kg)]]</f>
        <v>0</v>
      </c>
      <c r="D28" s="795">
        <f>Table1[[#This Row],[Source of MRL]]</f>
        <v>0</v>
      </c>
      <c r="E28" s="796">
        <f>Table1[[#This Row],[Chronic RA input value]]</f>
        <v>0</v>
      </c>
      <c r="F28" s="832" t="str">
        <f>Table1[[#This Row],[Chronic RA label]]</f>
        <v/>
      </c>
      <c r="G28" s="796">
        <f>Table1[[#This Row],[Acute RA input value]]</f>
        <v>0</v>
      </c>
      <c r="H28" s="835" t="str">
        <f>Table1[[#This Row],[Acute RA label]]</f>
        <v/>
      </c>
      <c r="J28" s="553">
        <f>Table22[[#This Row],[Code no.]]</f>
        <v>120080</v>
      </c>
      <c r="K28" s="553" t="str">
        <f>Table22[[#This Row],[Commodity or group of commodities to which the MRLs apply]]</f>
        <v>Pecans</v>
      </c>
      <c r="L28" s="553">
        <f>Table22[[#This Row],[Source / type of MRL]]</f>
        <v>0</v>
      </c>
      <c r="M28" s="553">
        <f>Table22[[#This Row],[MRL/ proposed MRL /CXL
(mg/kg)]]</f>
        <v>0</v>
      </c>
      <c r="N28" s="553">
        <f>Table22[[#This Row],[LOQ]]</f>
        <v>0</v>
      </c>
      <c r="O28" s="553">
        <f>Table22[[#This Row],[CFrisk for residue definition]]</f>
        <v>0</v>
      </c>
      <c r="P28" s="553">
        <f>Table22[[#This Row],[PeF (peeling factor RD enforcemen)]]</f>
        <v>0</v>
      </c>
      <c r="Q28" s="553">
        <f>Table22[[#This Row],[STMR-RAC (median residue)]]</f>
        <v>0</v>
      </c>
      <c r="R28" s="553">
        <f>Table22[[#This Row],[HR-RAC (highest residue)]]</f>
        <v>0</v>
      </c>
      <c r="S28" s="553">
        <f>Table22[[#This Row],[VF (alternative variability factor)]]</f>
        <v>0</v>
      </c>
      <c r="T28" s="553">
        <f>Table22[[#This Row],[GAP under assessment]]</f>
        <v>0</v>
      </c>
      <c r="U28" s="553">
        <f>Table22[[#This Row],[Post-harvest treatment]]</f>
        <v>0</v>
      </c>
      <c r="V28" s="553" t="str">
        <f>Table22[[#This Row],[Chronic RA label]]</f>
        <v/>
      </c>
      <c r="W28" s="553">
        <f>Table22[[#This Row],[Chronic RA input value]]</f>
        <v>0</v>
      </c>
      <c r="X28" s="1684" t="str">
        <f>Table22[[#This Row],[Acute RA label]]</f>
        <v/>
      </c>
      <c r="Y28" s="553">
        <f>Table22[[#This Row],[Acute RA input value]]</f>
        <v>0</v>
      </c>
      <c r="Z28" s="786">
        <f>SUM(Table1[[#This Row],[chronic value &lt;&gt;MRL/LOQ]:[acute vlue&lt;&gt;MRL/LOQ]])</f>
        <v>0</v>
      </c>
      <c r="AA28" s="786">
        <f>IF(AND($F$5="Refined calculation mode",Table1[[#This Row],[GAP under assessment]]="Y"),1,IF(OR(Table1[[#This Row],[Chronic RA label]]="LOQ",Table1[[#This Row],[Chronic RA label]]="",Table1[[#This Row],[Chronic RA label]]="MRL"),0,1))</f>
        <v>0</v>
      </c>
      <c r="AB28" s="787">
        <f>IF(OR(Table1[[#This Row],[Acute RA label]]="LOQ",Table1[[#This Row],[Acute RA label]]="",Table1[[#This Row],[Acute RA label]]="MRL"),0,1)</f>
        <v>0</v>
      </c>
    </row>
    <row r="29" spans="1:28" ht="13.5" hidden="1" thickTop="1" x14ac:dyDescent="0.2">
      <c r="A29" s="815">
        <f>Table1[[#This Row],[Code no.]]</f>
        <v>120090</v>
      </c>
      <c r="B29" s="793" t="str">
        <f>Table1[[#This Row],[Commodity or group of commodities to which the MRLs apply]]</f>
        <v>Pine nut kernels</v>
      </c>
      <c r="C29" s="794">
        <f>Table1[[#This Row],[MRL/ proposed MRL /CXL
(mg/kg)]]</f>
        <v>0</v>
      </c>
      <c r="D29" s="795">
        <f>Table1[[#This Row],[Source of MRL]]</f>
        <v>0</v>
      </c>
      <c r="E29" s="796">
        <f>Table1[[#This Row],[Chronic RA input value]]</f>
        <v>0</v>
      </c>
      <c r="F29" s="832" t="str">
        <f>Table1[[#This Row],[Chronic RA label]]</f>
        <v/>
      </c>
      <c r="G29" s="796">
        <f>Table1[[#This Row],[Acute RA input value]]</f>
        <v>0</v>
      </c>
      <c r="H29" s="835" t="str">
        <f>Table1[[#This Row],[Acute RA label]]</f>
        <v/>
      </c>
      <c r="J29" s="553">
        <f>Table22[[#This Row],[Code no.]]</f>
        <v>120090</v>
      </c>
      <c r="K29" s="553" t="str">
        <f>Table22[[#This Row],[Commodity or group of commodities to which the MRLs apply]]</f>
        <v>Pine nut kernels</v>
      </c>
      <c r="L29" s="553">
        <f>Table22[[#This Row],[Source / type of MRL]]</f>
        <v>0</v>
      </c>
      <c r="M29" s="553">
        <f>Table22[[#This Row],[MRL/ proposed MRL /CXL
(mg/kg)]]</f>
        <v>0</v>
      </c>
      <c r="N29" s="553">
        <f>Table22[[#This Row],[LOQ]]</f>
        <v>0</v>
      </c>
      <c r="O29" s="553">
        <f>Table22[[#This Row],[CFrisk for residue definition]]</f>
        <v>0</v>
      </c>
      <c r="P29" s="553">
        <f>Table22[[#This Row],[PeF (peeling factor RD enforcemen)]]</f>
        <v>0</v>
      </c>
      <c r="Q29" s="553">
        <f>Table22[[#This Row],[STMR-RAC (median residue)]]</f>
        <v>0</v>
      </c>
      <c r="R29" s="553">
        <f>Table22[[#This Row],[HR-RAC (highest residue)]]</f>
        <v>0</v>
      </c>
      <c r="S29" s="553">
        <f>Table22[[#This Row],[VF (alternative variability factor)]]</f>
        <v>0</v>
      </c>
      <c r="T29" s="553">
        <f>Table22[[#This Row],[GAP under assessment]]</f>
        <v>0</v>
      </c>
      <c r="U29" s="553">
        <f>Table22[[#This Row],[Post-harvest treatment]]</f>
        <v>0</v>
      </c>
      <c r="V29" s="553" t="str">
        <f>Table22[[#This Row],[Chronic RA label]]</f>
        <v/>
      </c>
      <c r="W29" s="553">
        <f>Table22[[#This Row],[Chronic RA input value]]</f>
        <v>0</v>
      </c>
      <c r="X29" s="1684" t="str">
        <f>Table22[[#This Row],[Acute RA label]]</f>
        <v/>
      </c>
      <c r="Y29" s="553">
        <f>Table22[[#This Row],[Acute RA input value]]</f>
        <v>0</v>
      </c>
      <c r="Z29" s="786">
        <f>SUM(Table1[[#This Row],[chronic value &lt;&gt;MRL/LOQ]:[acute vlue&lt;&gt;MRL/LOQ]])</f>
        <v>0</v>
      </c>
      <c r="AA29" s="786">
        <f>IF(AND($F$5="Refined calculation mode",Table1[[#This Row],[GAP under assessment]]="Y"),1,IF(OR(Table1[[#This Row],[Chronic RA label]]="LOQ",Table1[[#This Row],[Chronic RA label]]="",Table1[[#This Row],[Chronic RA label]]="MRL"),0,1))</f>
        <v>0</v>
      </c>
      <c r="AB29" s="787">
        <f>IF(OR(Table1[[#This Row],[Acute RA label]]="LOQ",Table1[[#This Row],[Acute RA label]]="",Table1[[#This Row],[Acute RA label]]="MRL"),0,1)</f>
        <v>0</v>
      </c>
    </row>
    <row r="30" spans="1:28" ht="13.5" hidden="1" thickTop="1" x14ac:dyDescent="0.2">
      <c r="A30" s="815">
        <f>Table1[[#This Row],[Code no.]]</f>
        <v>120100</v>
      </c>
      <c r="B30" s="793" t="str">
        <f>Table1[[#This Row],[Commodity or group of commodities to which the MRLs apply]]</f>
        <v>Pistachios</v>
      </c>
      <c r="C30" s="794">
        <f>Table1[[#This Row],[MRL/ proposed MRL /CXL
(mg/kg)]]</f>
        <v>0</v>
      </c>
      <c r="D30" s="795">
        <f>Table1[[#This Row],[Source of MRL]]</f>
        <v>0</v>
      </c>
      <c r="E30" s="796">
        <f>Table1[[#This Row],[Chronic RA input value]]</f>
        <v>0</v>
      </c>
      <c r="F30" s="832" t="str">
        <f>Table1[[#This Row],[Chronic RA label]]</f>
        <v/>
      </c>
      <c r="G30" s="796">
        <f>Table1[[#This Row],[Acute RA input value]]</f>
        <v>0</v>
      </c>
      <c r="H30" s="835" t="str">
        <f>Table1[[#This Row],[Acute RA label]]</f>
        <v/>
      </c>
      <c r="J30" s="553">
        <f>Table22[[#This Row],[Code no.]]</f>
        <v>120100</v>
      </c>
      <c r="K30" s="553" t="str">
        <f>Table22[[#This Row],[Commodity or group of commodities to which the MRLs apply]]</f>
        <v>Pistachios</v>
      </c>
      <c r="L30" s="553">
        <f>Table22[[#This Row],[Source / type of MRL]]</f>
        <v>0</v>
      </c>
      <c r="M30" s="553">
        <f>Table22[[#This Row],[MRL/ proposed MRL /CXL
(mg/kg)]]</f>
        <v>0</v>
      </c>
      <c r="N30" s="553">
        <f>Table22[[#This Row],[LOQ]]</f>
        <v>0</v>
      </c>
      <c r="O30" s="553">
        <f>Table22[[#This Row],[CFrisk for residue definition]]</f>
        <v>0</v>
      </c>
      <c r="P30" s="553">
        <f>Table22[[#This Row],[PeF (peeling factor RD enforcemen)]]</f>
        <v>0</v>
      </c>
      <c r="Q30" s="553">
        <f>Table22[[#This Row],[STMR-RAC (median residue)]]</f>
        <v>0</v>
      </c>
      <c r="R30" s="553">
        <f>Table22[[#This Row],[HR-RAC (highest residue)]]</f>
        <v>0</v>
      </c>
      <c r="S30" s="553">
        <f>Table22[[#This Row],[VF (alternative variability factor)]]</f>
        <v>0</v>
      </c>
      <c r="T30" s="553">
        <f>Table22[[#This Row],[GAP under assessment]]</f>
        <v>0</v>
      </c>
      <c r="U30" s="553">
        <f>Table22[[#This Row],[Post-harvest treatment]]</f>
        <v>0</v>
      </c>
      <c r="V30" s="553" t="str">
        <f>Table22[[#This Row],[Chronic RA label]]</f>
        <v/>
      </c>
      <c r="W30" s="553">
        <f>Table22[[#This Row],[Chronic RA input value]]</f>
        <v>0</v>
      </c>
      <c r="X30" s="1684" t="str">
        <f>Table22[[#This Row],[Acute RA label]]</f>
        <v/>
      </c>
      <c r="Y30" s="553">
        <f>Table22[[#This Row],[Acute RA input value]]</f>
        <v>0</v>
      </c>
      <c r="Z30" s="786">
        <f>SUM(Table1[[#This Row],[chronic value &lt;&gt;MRL/LOQ]:[acute vlue&lt;&gt;MRL/LOQ]])</f>
        <v>0</v>
      </c>
      <c r="AA30" s="786">
        <f>IF(AND($F$5="Refined calculation mode",Table1[[#This Row],[GAP under assessment]]="Y"),1,IF(OR(Table1[[#This Row],[Chronic RA label]]="LOQ",Table1[[#This Row],[Chronic RA label]]="",Table1[[#This Row],[Chronic RA label]]="MRL"),0,1))</f>
        <v>0</v>
      </c>
      <c r="AB30" s="787">
        <f>IF(OR(Table1[[#This Row],[Acute RA label]]="LOQ",Table1[[#This Row],[Acute RA label]]="",Table1[[#This Row],[Acute RA label]]="MRL"),0,1)</f>
        <v>0</v>
      </c>
    </row>
    <row r="31" spans="1:28" ht="13.5" hidden="1" thickTop="1" x14ac:dyDescent="0.2">
      <c r="A31" s="815">
        <f>Table1[[#This Row],[Code no.]]</f>
        <v>120110</v>
      </c>
      <c r="B31" s="793" t="str">
        <f>Table1[[#This Row],[Commodity or group of commodities to which the MRLs apply]]</f>
        <v>Walnuts</v>
      </c>
      <c r="C31" s="794">
        <f>Table1[[#This Row],[MRL/ proposed MRL /CXL
(mg/kg)]]</f>
        <v>0</v>
      </c>
      <c r="D31" s="795">
        <f>Table1[[#This Row],[Source of MRL]]</f>
        <v>0</v>
      </c>
      <c r="E31" s="796">
        <f>Table1[[#This Row],[Chronic RA input value]]</f>
        <v>0</v>
      </c>
      <c r="F31" s="832" t="str">
        <f>Table1[[#This Row],[Chronic RA label]]</f>
        <v/>
      </c>
      <c r="G31" s="796">
        <f>Table1[[#This Row],[Acute RA input value]]</f>
        <v>0</v>
      </c>
      <c r="H31" s="835" t="str">
        <f>Table1[[#This Row],[Acute RA label]]</f>
        <v/>
      </c>
      <c r="J31" s="553">
        <f>Table22[[#This Row],[Code no.]]</f>
        <v>120110</v>
      </c>
      <c r="K31" s="553" t="str">
        <f>Table22[[#This Row],[Commodity or group of commodities to which the MRLs apply]]</f>
        <v>Walnuts</v>
      </c>
      <c r="L31" s="553">
        <f>Table22[[#This Row],[Source / type of MRL]]</f>
        <v>0</v>
      </c>
      <c r="M31" s="553">
        <f>Table22[[#This Row],[MRL/ proposed MRL /CXL
(mg/kg)]]</f>
        <v>0</v>
      </c>
      <c r="N31" s="553">
        <f>Table22[[#This Row],[LOQ]]</f>
        <v>0</v>
      </c>
      <c r="O31" s="553">
        <f>Table22[[#This Row],[CFrisk for residue definition]]</f>
        <v>0</v>
      </c>
      <c r="P31" s="553">
        <f>Table22[[#This Row],[PeF (peeling factor RD enforcemen)]]</f>
        <v>0</v>
      </c>
      <c r="Q31" s="553">
        <f>Table22[[#This Row],[STMR-RAC (median residue)]]</f>
        <v>0</v>
      </c>
      <c r="R31" s="553">
        <f>Table22[[#This Row],[HR-RAC (highest residue)]]</f>
        <v>0</v>
      </c>
      <c r="S31" s="553">
        <f>Table22[[#This Row],[VF (alternative variability factor)]]</f>
        <v>0</v>
      </c>
      <c r="T31" s="553">
        <f>Table22[[#This Row],[GAP under assessment]]</f>
        <v>0</v>
      </c>
      <c r="U31" s="553">
        <f>Table22[[#This Row],[Post-harvest treatment]]</f>
        <v>0</v>
      </c>
      <c r="V31" s="553" t="str">
        <f>Table22[[#This Row],[Chronic RA label]]</f>
        <v/>
      </c>
      <c r="W31" s="553">
        <f>Table22[[#This Row],[Chronic RA input value]]</f>
        <v>0</v>
      </c>
      <c r="X31" s="1684" t="str">
        <f>Table22[[#This Row],[Acute RA label]]</f>
        <v/>
      </c>
      <c r="Y31" s="553">
        <f>Table22[[#This Row],[Acute RA input value]]</f>
        <v>0</v>
      </c>
      <c r="Z31" s="786">
        <f>SUM(Table1[[#This Row],[chronic value &lt;&gt;MRL/LOQ]:[acute vlue&lt;&gt;MRL/LOQ]])</f>
        <v>0</v>
      </c>
      <c r="AA31" s="786">
        <f>IF(AND($F$5="Refined calculation mode",Table1[[#This Row],[GAP under assessment]]="Y"),1,IF(OR(Table1[[#This Row],[Chronic RA label]]="LOQ",Table1[[#This Row],[Chronic RA label]]="",Table1[[#This Row],[Chronic RA label]]="MRL"),0,1))</f>
        <v>0</v>
      </c>
      <c r="AB31" s="787">
        <f>IF(OR(Table1[[#This Row],[Acute RA label]]="LOQ",Table1[[#This Row],[Acute RA label]]="",Table1[[#This Row],[Acute RA label]]="MRL"),0,1)</f>
        <v>0</v>
      </c>
    </row>
    <row r="32" spans="1:28" ht="13.5" hidden="1" thickTop="1" x14ac:dyDescent="0.2">
      <c r="A32" s="815">
        <f>Table1[[#This Row],[Code no.]]</f>
        <v>120990</v>
      </c>
      <c r="B32" s="793" t="str">
        <f>Table1[[#This Row],[Commodity or group of commodities to which the MRLs apply]]</f>
        <v>Other tree nuts</v>
      </c>
      <c r="C32" s="794">
        <f>Table1[[#This Row],[MRL/ proposed MRL /CXL
(mg/kg)]]</f>
        <v>0</v>
      </c>
      <c r="D32" s="795">
        <f>Table1[[#This Row],[Source of MRL]]</f>
        <v>0</v>
      </c>
      <c r="E32" s="797">
        <f>Table1[[#This Row],[Chronic RA input value]]</f>
        <v>0</v>
      </c>
      <c r="F32" s="795" t="str">
        <f>Table1[[#This Row],[Chronic RA label]]</f>
        <v/>
      </c>
      <c r="G32" s="797">
        <f>Table1[[#This Row],[Acute RA input value]]</f>
        <v>0</v>
      </c>
      <c r="H32" s="836">
        <f>Table1[[#This Row],[Acute RA label]]</f>
        <v>0</v>
      </c>
      <c r="J32" s="553">
        <f>Table22[[#This Row],[Code no.]]</f>
        <v>120990</v>
      </c>
      <c r="K32" s="553" t="str">
        <f>Table22[[#This Row],[Commodity or group of commodities to which the MRLs apply]]</f>
        <v>Other tree nuts</v>
      </c>
      <c r="L32" s="553">
        <f>Table22[[#This Row],[Source / type of MRL]]</f>
        <v>0</v>
      </c>
      <c r="M32" s="553">
        <f>Table22[[#This Row],[MRL/ proposed MRL /CXL
(mg/kg)]]</f>
        <v>0</v>
      </c>
      <c r="N32" s="553">
        <f>Table22[[#This Row],[LOQ]]</f>
        <v>0</v>
      </c>
      <c r="O32" s="553">
        <f>Table22[[#This Row],[CFrisk for residue definition]]</f>
        <v>0</v>
      </c>
      <c r="P32" s="553">
        <f>Table22[[#This Row],[PeF (peeling factor RD enforcemen)]]</f>
        <v>0</v>
      </c>
      <c r="Q32" s="553">
        <f>Table22[[#This Row],[STMR-RAC (median residue)]]</f>
        <v>0</v>
      </c>
      <c r="R32" s="553">
        <f>Table22[[#This Row],[HR-RAC (highest residue)]]</f>
        <v>0</v>
      </c>
      <c r="S32" s="553">
        <f>Table22[[#This Row],[VF (alternative variability factor)]]</f>
        <v>0</v>
      </c>
      <c r="T32" s="553">
        <f>Table22[[#This Row],[GAP under assessment]]</f>
        <v>0</v>
      </c>
      <c r="U32" s="553">
        <f>Table22[[#This Row],[Post-harvest treatment]]</f>
        <v>0</v>
      </c>
      <c r="V32" s="553" t="str">
        <f>Table22[[#This Row],[Chronic RA label]]</f>
        <v/>
      </c>
      <c r="W32" s="553">
        <f>Table22[[#This Row],[Chronic RA input value]]</f>
        <v>0</v>
      </c>
      <c r="X32" s="1684"/>
      <c r="Y32" s="553">
        <f>Table22[[#This Row],[Acute RA input value]]</f>
        <v>0</v>
      </c>
      <c r="Z32" s="786">
        <f>SUM(Table1[[#This Row],[chronic value &lt;&gt;MRL/LOQ]:[acute vlue&lt;&gt;MRL/LOQ]])</f>
        <v>0</v>
      </c>
      <c r="AA32" s="786">
        <f>IF(AND($F$5="Refined calculation mode",Table1[[#This Row],[GAP under assessment]]="Y"),1,IF(OR(Table1[[#This Row],[Chronic RA label]]="LOQ",Table1[[#This Row],[Chronic RA label]]="",Table1[[#This Row],[Chronic RA label]]="MRL"),0,1))</f>
        <v>0</v>
      </c>
      <c r="AB32" s="787">
        <f>IF(OR(Table1[[#This Row],[Acute RA label]]="LOQ",Table1[[#This Row],[Acute RA label]]="",Table1[[#This Row],[Acute RA label]]="MRL"),0,1)</f>
        <v>0</v>
      </c>
    </row>
    <row r="33" spans="1:28" ht="13.5" hidden="1" thickTop="1" x14ac:dyDescent="0.2">
      <c r="A33" s="815">
        <f>Table1[[#This Row],[Code no.]]</f>
        <v>130000</v>
      </c>
      <c r="B33" s="793" t="str">
        <f>Table1[[#This Row],[Commodity or group of commodities to which the MRLs apply]]</f>
        <v xml:space="preserve"> Pome fruit</v>
      </c>
      <c r="C33" s="794">
        <f>Table1[[#This Row],[MRL/ proposed MRL /CXL
(mg/kg)]]</f>
        <v>0</v>
      </c>
      <c r="D33" s="795">
        <f>Table1[[#This Row],[Source of MRL]]</f>
        <v>0</v>
      </c>
      <c r="E33" s="797">
        <f>Table1[[#This Row],[Chronic RA input value]]</f>
        <v>0</v>
      </c>
      <c r="F33" s="795">
        <f>Table1[[#This Row],[Chronic RA label]]</f>
        <v>0</v>
      </c>
      <c r="G33" s="797">
        <f>Table1[[#This Row],[Acute RA input value]]</f>
        <v>0</v>
      </c>
      <c r="H33" s="836">
        <f>Table1[[#This Row],[Acute RA label]]</f>
        <v>0</v>
      </c>
      <c r="J33" s="553">
        <f>Table22[[#This Row],[Code no.]]</f>
        <v>130000</v>
      </c>
      <c r="K33" s="553" t="str">
        <f>Table22[[#This Row],[Commodity or group of commodities to which the MRLs apply]]</f>
        <v xml:space="preserve"> Pome fruit</v>
      </c>
      <c r="L33" s="553">
        <f>Table22[[#This Row],[Source / type of MRL]]</f>
        <v>0</v>
      </c>
      <c r="M33" s="553">
        <f>Table22[[#This Row],[MRL/ proposed MRL /CXL
(mg/kg)]]</f>
        <v>0</v>
      </c>
      <c r="N33" s="553">
        <f>Table22[[#This Row],[LOQ]]</f>
        <v>0</v>
      </c>
      <c r="O33" s="553">
        <f>Table22[[#This Row],[CFrisk for residue definition]]</f>
        <v>0</v>
      </c>
      <c r="P33" s="553">
        <f>Table22[[#This Row],[PeF (peeling factor RD enforcemen)]]</f>
        <v>0</v>
      </c>
      <c r="Q33" s="553">
        <f>Table22[[#This Row],[STMR-RAC (median residue)]]</f>
        <v>0</v>
      </c>
      <c r="R33" s="553">
        <f>Table22[[#This Row],[HR-RAC (highest residue)]]</f>
        <v>0</v>
      </c>
      <c r="S33" s="553">
        <f>Table22[[#This Row],[VF (alternative variability factor)]]</f>
        <v>0</v>
      </c>
      <c r="T33" s="553">
        <f>Table22[[#This Row],[GAP under assessment]]</f>
        <v>0</v>
      </c>
      <c r="U33" s="553">
        <f>Table22[[#This Row],[Post-harvest treatment]]</f>
        <v>0</v>
      </c>
      <c r="V33" s="553"/>
      <c r="W33" s="553">
        <f>Table22[[#This Row],[Chronic RA input value]]</f>
        <v>0</v>
      </c>
      <c r="X33" s="1684"/>
      <c r="Y33" s="553">
        <f>Table22[[#This Row],[Acute RA input value]]</f>
        <v>0</v>
      </c>
      <c r="Z33" s="786">
        <f>SUM(Table1[[#This Row],[chronic value &lt;&gt;MRL/LOQ]:[acute vlue&lt;&gt;MRL/LOQ]])</f>
        <v>0</v>
      </c>
      <c r="AA33" s="786">
        <f>IF(AND($F$5="Refined calculation mode",Table1[[#This Row],[GAP under assessment]]="Y"),1,IF(OR(Table1[[#This Row],[Chronic RA label]]="LOQ",Table1[[#This Row],[Chronic RA label]]="",Table1[[#This Row],[Chronic RA label]]="MRL"),0,1))</f>
        <v>0</v>
      </c>
      <c r="AB33" s="787">
        <f>IF(OR(Table1[[#This Row],[Acute RA label]]="LOQ",Table1[[#This Row],[Acute RA label]]="",Table1[[#This Row],[Acute RA label]]="MRL"),0,1)</f>
        <v>0</v>
      </c>
    </row>
    <row r="34" spans="1:28" ht="13.5" hidden="1" thickTop="1" x14ac:dyDescent="0.2">
      <c r="A34" s="815">
        <f>Table1[[#This Row],[Code no.]]</f>
        <v>130010</v>
      </c>
      <c r="B34" s="793" t="str">
        <f>Table1[[#This Row],[Commodity or group of commodities to which the MRLs apply]]</f>
        <v>Apples</v>
      </c>
      <c r="C34" s="794">
        <f>Table1[[#This Row],[MRL/ proposed MRL /CXL
(mg/kg)]]</f>
        <v>0</v>
      </c>
      <c r="D34" s="795">
        <f>Table1[[#This Row],[Source of MRL]]</f>
        <v>0</v>
      </c>
      <c r="E34" s="797">
        <f>Table1[[#This Row],[Chronic RA input value]]</f>
        <v>0</v>
      </c>
      <c r="F34" s="795" t="str">
        <f>Table1[[#This Row],[Chronic RA label]]</f>
        <v/>
      </c>
      <c r="G34" s="797">
        <f>Table1[[#This Row],[Acute RA input value]]</f>
        <v>0</v>
      </c>
      <c r="H34" s="836" t="str">
        <f>Table1[[#This Row],[Acute RA label]]</f>
        <v/>
      </c>
      <c r="J34" s="553">
        <f>Table22[[#This Row],[Code no.]]</f>
        <v>130010</v>
      </c>
      <c r="K34" s="553" t="str">
        <f>Table22[[#This Row],[Commodity or group of commodities to which the MRLs apply]]</f>
        <v>Apples</v>
      </c>
      <c r="L34" s="553">
        <f>Table22[[#This Row],[Source / type of MRL]]</f>
        <v>0</v>
      </c>
      <c r="M34" s="553">
        <f>Table22[[#This Row],[MRL/ proposed MRL /CXL
(mg/kg)]]</f>
        <v>0</v>
      </c>
      <c r="N34" s="553">
        <f>Table22[[#This Row],[LOQ]]</f>
        <v>0</v>
      </c>
      <c r="O34" s="553">
        <f>Table22[[#This Row],[CFrisk for residue definition]]</f>
        <v>0</v>
      </c>
      <c r="P34" s="553">
        <f>Table22[[#This Row],[PeF (peeling factor RD enforcemen)]]</f>
        <v>0</v>
      </c>
      <c r="Q34" s="553">
        <f>Table22[[#This Row],[STMR-RAC (median residue)]]</f>
        <v>0</v>
      </c>
      <c r="R34" s="553">
        <f>Table22[[#This Row],[HR-RAC (highest residue)]]</f>
        <v>0</v>
      </c>
      <c r="S34" s="553">
        <f>Table22[[#This Row],[VF (alternative variability factor)]]</f>
        <v>0</v>
      </c>
      <c r="T34" s="553">
        <f>Table22[[#This Row],[GAP under assessment]]</f>
        <v>0</v>
      </c>
      <c r="U34" s="553">
        <f>Table22[[#This Row],[Post-harvest treatment]]</f>
        <v>0</v>
      </c>
      <c r="V34" s="553" t="str">
        <f>Table22[[#This Row],[Chronic RA label]]</f>
        <v/>
      </c>
      <c r="W34" s="553">
        <f>Table22[[#This Row],[Chronic RA input value]]</f>
        <v>0</v>
      </c>
      <c r="X34" s="1684" t="str">
        <f>Table22[[#This Row],[Acute RA label]]</f>
        <v/>
      </c>
      <c r="Y34" s="553">
        <f>Table22[[#This Row],[Acute RA input value]]</f>
        <v>0</v>
      </c>
      <c r="Z34" s="786">
        <f>SUM(Table1[[#This Row],[chronic value &lt;&gt;MRL/LOQ]:[acute vlue&lt;&gt;MRL/LOQ]])</f>
        <v>0</v>
      </c>
      <c r="AA34" s="786">
        <f>IF(AND($F$5="Refined calculation mode",Table1[[#This Row],[GAP under assessment]]="Y"),1,IF(OR(Table1[[#This Row],[Chronic RA label]]="LOQ",Table1[[#This Row],[Chronic RA label]]="",Table1[[#This Row],[Chronic RA label]]="MRL"),0,1))</f>
        <v>0</v>
      </c>
      <c r="AB34" s="787">
        <f>IF(OR(Table1[[#This Row],[Acute RA label]]="LOQ",Table1[[#This Row],[Acute RA label]]="",Table1[[#This Row],[Acute RA label]]="MRL"),0,1)</f>
        <v>0</v>
      </c>
    </row>
    <row r="35" spans="1:28" ht="13.5" hidden="1" thickTop="1" x14ac:dyDescent="0.2">
      <c r="A35" s="815">
        <f>Table1[[#This Row],[Code no.]]</f>
        <v>130020</v>
      </c>
      <c r="B35" s="793" t="str">
        <f>Table1[[#This Row],[Commodity or group of commodities to which the MRLs apply]]</f>
        <v>Pears</v>
      </c>
      <c r="C35" s="794">
        <f>Table1[[#This Row],[MRL/ proposed MRL /CXL
(mg/kg)]]</f>
        <v>0</v>
      </c>
      <c r="D35" s="795">
        <f>Table1[[#This Row],[Source of MRL]]</f>
        <v>0</v>
      </c>
      <c r="E35" s="797">
        <f>Table1[[#This Row],[Chronic RA input value]]</f>
        <v>0</v>
      </c>
      <c r="F35" s="795" t="str">
        <f>Table1[[#This Row],[Chronic RA label]]</f>
        <v/>
      </c>
      <c r="G35" s="797">
        <f>Table1[[#This Row],[Acute RA input value]]</f>
        <v>0</v>
      </c>
      <c r="H35" s="836" t="str">
        <f>Table1[[#This Row],[Acute RA label]]</f>
        <v/>
      </c>
      <c r="J35" s="553">
        <f>Table22[[#This Row],[Code no.]]</f>
        <v>130020</v>
      </c>
      <c r="K35" s="553" t="str">
        <f>Table22[[#This Row],[Commodity or group of commodities to which the MRLs apply]]</f>
        <v>Pears</v>
      </c>
      <c r="L35" s="553">
        <f>Table22[[#This Row],[Source / type of MRL]]</f>
        <v>0</v>
      </c>
      <c r="M35" s="553">
        <f>Table22[[#This Row],[MRL/ proposed MRL /CXL
(mg/kg)]]</f>
        <v>0</v>
      </c>
      <c r="N35" s="553">
        <f>Table22[[#This Row],[LOQ]]</f>
        <v>0</v>
      </c>
      <c r="O35" s="553">
        <f>Table22[[#This Row],[CFrisk for residue definition]]</f>
        <v>0</v>
      </c>
      <c r="P35" s="553">
        <f>Table22[[#This Row],[PeF (peeling factor RD enforcemen)]]</f>
        <v>0</v>
      </c>
      <c r="Q35" s="553">
        <f>Table22[[#This Row],[STMR-RAC (median residue)]]</f>
        <v>0</v>
      </c>
      <c r="R35" s="553">
        <f>Table22[[#This Row],[HR-RAC (highest residue)]]</f>
        <v>0</v>
      </c>
      <c r="S35" s="553">
        <f>Table22[[#This Row],[VF (alternative variability factor)]]</f>
        <v>0</v>
      </c>
      <c r="T35" s="553">
        <f>Table22[[#This Row],[GAP under assessment]]</f>
        <v>0</v>
      </c>
      <c r="U35" s="553">
        <f>Table22[[#This Row],[Post-harvest treatment]]</f>
        <v>0</v>
      </c>
      <c r="V35" s="553" t="str">
        <f>Table22[[#This Row],[Chronic RA label]]</f>
        <v/>
      </c>
      <c r="W35" s="553">
        <f>Table22[[#This Row],[Chronic RA input value]]</f>
        <v>0</v>
      </c>
      <c r="X35" s="1684" t="str">
        <f>Table22[[#This Row],[Acute RA label]]</f>
        <v/>
      </c>
      <c r="Y35" s="553">
        <f>Table22[[#This Row],[Acute RA input value]]</f>
        <v>0</v>
      </c>
      <c r="Z35" s="786">
        <f>SUM(Table1[[#This Row],[chronic value &lt;&gt;MRL/LOQ]:[acute vlue&lt;&gt;MRL/LOQ]])</f>
        <v>0</v>
      </c>
      <c r="AA35" s="786">
        <f>IF(AND($F$5="Refined calculation mode",Table1[[#This Row],[GAP under assessment]]="Y"),1,IF(OR(Table1[[#This Row],[Chronic RA label]]="LOQ",Table1[[#This Row],[Chronic RA label]]="",Table1[[#This Row],[Chronic RA label]]="MRL"),0,1))</f>
        <v>0</v>
      </c>
      <c r="AB35" s="787">
        <f>IF(OR(Table1[[#This Row],[Acute RA label]]="LOQ",Table1[[#This Row],[Acute RA label]]="",Table1[[#This Row],[Acute RA label]]="MRL"),0,1)</f>
        <v>0</v>
      </c>
    </row>
    <row r="36" spans="1:28" ht="13.5" hidden="1" thickTop="1" x14ac:dyDescent="0.2">
      <c r="A36" s="815">
        <f>Table1[[#This Row],[Code no.]]</f>
        <v>130030</v>
      </c>
      <c r="B36" s="793" t="str">
        <f>Table1[[#This Row],[Commodity or group of commodities to which the MRLs apply]]</f>
        <v>Quinces</v>
      </c>
      <c r="C36" s="794">
        <f>Table1[[#This Row],[MRL/ proposed MRL /CXL
(mg/kg)]]</f>
        <v>0</v>
      </c>
      <c r="D36" s="795">
        <f>Table1[[#This Row],[Source of MRL]]</f>
        <v>0</v>
      </c>
      <c r="E36" s="797">
        <f>Table1[[#This Row],[Chronic RA input value]]</f>
        <v>0</v>
      </c>
      <c r="F36" s="795" t="str">
        <f>Table1[[#This Row],[Chronic RA label]]</f>
        <v/>
      </c>
      <c r="G36" s="797">
        <f>Table1[[#This Row],[Acute RA input value]]</f>
        <v>0</v>
      </c>
      <c r="H36" s="836" t="str">
        <f>Table1[[#This Row],[Acute RA label]]</f>
        <v/>
      </c>
      <c r="J36" s="553">
        <f>Table22[[#This Row],[Code no.]]</f>
        <v>130030</v>
      </c>
      <c r="K36" s="553" t="str">
        <f>Table22[[#This Row],[Commodity or group of commodities to which the MRLs apply]]</f>
        <v>Quinces</v>
      </c>
      <c r="L36" s="553">
        <f>Table22[[#This Row],[Source / type of MRL]]</f>
        <v>0</v>
      </c>
      <c r="M36" s="553">
        <f>Table22[[#This Row],[MRL/ proposed MRL /CXL
(mg/kg)]]</f>
        <v>0</v>
      </c>
      <c r="N36" s="553">
        <f>Table22[[#This Row],[LOQ]]</f>
        <v>0</v>
      </c>
      <c r="O36" s="553">
        <f>Table22[[#This Row],[CFrisk for residue definition]]</f>
        <v>0</v>
      </c>
      <c r="P36" s="553">
        <f>Table22[[#This Row],[PeF (peeling factor RD enforcemen)]]</f>
        <v>0</v>
      </c>
      <c r="Q36" s="553">
        <f>Table22[[#This Row],[STMR-RAC (median residue)]]</f>
        <v>0</v>
      </c>
      <c r="R36" s="553">
        <f>Table22[[#This Row],[HR-RAC (highest residue)]]</f>
        <v>0</v>
      </c>
      <c r="S36" s="553">
        <f>Table22[[#This Row],[VF (alternative variability factor)]]</f>
        <v>0</v>
      </c>
      <c r="T36" s="553">
        <f>Table22[[#This Row],[GAP under assessment]]</f>
        <v>0</v>
      </c>
      <c r="U36" s="553">
        <f>Table22[[#This Row],[Post-harvest treatment]]</f>
        <v>0</v>
      </c>
      <c r="V36" s="553" t="str">
        <f>Table22[[#This Row],[Chronic RA label]]</f>
        <v/>
      </c>
      <c r="W36" s="553">
        <f>Table22[[#This Row],[Chronic RA input value]]</f>
        <v>0</v>
      </c>
      <c r="X36" s="1684" t="str">
        <f>Table22[[#This Row],[Acute RA label]]</f>
        <v/>
      </c>
      <c r="Y36" s="553">
        <f>Table22[[#This Row],[Acute RA input value]]</f>
        <v>0</v>
      </c>
      <c r="Z36" s="786">
        <f>SUM(Table1[[#This Row],[chronic value &lt;&gt;MRL/LOQ]:[acute vlue&lt;&gt;MRL/LOQ]])</f>
        <v>0</v>
      </c>
      <c r="AA36" s="786">
        <f>IF(AND($F$5="Refined calculation mode",Table1[[#This Row],[GAP under assessment]]="Y"),1,IF(OR(Table1[[#This Row],[Chronic RA label]]="LOQ",Table1[[#This Row],[Chronic RA label]]="",Table1[[#This Row],[Chronic RA label]]="MRL"),0,1))</f>
        <v>0</v>
      </c>
      <c r="AB36" s="787">
        <f>IF(OR(Table1[[#This Row],[Acute RA label]]="LOQ",Table1[[#This Row],[Acute RA label]]="",Table1[[#This Row],[Acute RA label]]="MRL"),0,1)</f>
        <v>0</v>
      </c>
    </row>
    <row r="37" spans="1:28" ht="13.5" hidden="1" thickTop="1" x14ac:dyDescent="0.2">
      <c r="A37" s="815">
        <f>Table1[[#This Row],[Code no.]]</f>
        <v>130040</v>
      </c>
      <c r="B37" s="793" t="str">
        <f>Table1[[#This Row],[Commodity or group of commodities to which the MRLs apply]]</f>
        <v xml:space="preserve">Medlar </v>
      </c>
      <c r="C37" s="794">
        <f>Table1[[#This Row],[MRL/ proposed MRL /CXL
(mg/kg)]]</f>
        <v>0</v>
      </c>
      <c r="D37" s="795">
        <f>Table1[[#This Row],[Source of MRL]]</f>
        <v>0</v>
      </c>
      <c r="E37" s="797">
        <f>Table1[[#This Row],[Chronic RA input value]]</f>
        <v>0</v>
      </c>
      <c r="F37" s="795" t="str">
        <f>Table1[[#This Row],[Chronic RA label]]</f>
        <v/>
      </c>
      <c r="G37" s="797">
        <f>Table1[[#This Row],[Acute RA input value]]</f>
        <v>0</v>
      </c>
      <c r="H37" s="836" t="str">
        <f>Table1[[#This Row],[Acute RA label]]</f>
        <v/>
      </c>
      <c r="J37" s="553">
        <f>Table22[[#This Row],[Code no.]]</f>
        <v>130040</v>
      </c>
      <c r="K37" s="553" t="str">
        <f>Table22[[#This Row],[Commodity or group of commodities to which the MRLs apply]]</f>
        <v xml:space="preserve">Medlar </v>
      </c>
      <c r="L37" s="553">
        <f>Table22[[#This Row],[Source / type of MRL]]</f>
        <v>0</v>
      </c>
      <c r="M37" s="553">
        <f>Table22[[#This Row],[MRL/ proposed MRL /CXL
(mg/kg)]]</f>
        <v>0</v>
      </c>
      <c r="N37" s="553">
        <f>Table22[[#This Row],[LOQ]]</f>
        <v>0</v>
      </c>
      <c r="O37" s="553">
        <f>Table22[[#This Row],[CFrisk for residue definition]]</f>
        <v>0</v>
      </c>
      <c r="P37" s="553">
        <f>Table22[[#This Row],[PeF (peeling factor RD enforcemen)]]</f>
        <v>0</v>
      </c>
      <c r="Q37" s="553">
        <f>Table22[[#This Row],[STMR-RAC (median residue)]]</f>
        <v>0</v>
      </c>
      <c r="R37" s="553">
        <f>Table22[[#This Row],[HR-RAC (highest residue)]]</f>
        <v>0</v>
      </c>
      <c r="S37" s="553">
        <f>Table22[[#This Row],[VF (alternative variability factor)]]</f>
        <v>0</v>
      </c>
      <c r="T37" s="553">
        <f>Table22[[#This Row],[GAP under assessment]]</f>
        <v>0</v>
      </c>
      <c r="U37" s="553">
        <f>Table22[[#This Row],[Post-harvest treatment]]</f>
        <v>0</v>
      </c>
      <c r="V37" s="553" t="str">
        <f>Table22[[#This Row],[Chronic RA label]]</f>
        <v/>
      </c>
      <c r="W37" s="553">
        <f>Table22[[#This Row],[Chronic RA input value]]</f>
        <v>0</v>
      </c>
      <c r="X37" s="1684" t="str">
        <f>Table22[[#This Row],[Acute RA label]]</f>
        <v/>
      </c>
      <c r="Y37" s="553">
        <f>Table22[[#This Row],[Acute RA input value]]</f>
        <v>0</v>
      </c>
      <c r="Z37" s="786">
        <f>SUM(Table1[[#This Row],[chronic value &lt;&gt;MRL/LOQ]:[acute vlue&lt;&gt;MRL/LOQ]])</f>
        <v>0</v>
      </c>
      <c r="AA37" s="786">
        <f>IF(AND($F$5="Refined calculation mode",Table1[[#This Row],[GAP under assessment]]="Y"),1,IF(OR(Table1[[#This Row],[Chronic RA label]]="LOQ",Table1[[#This Row],[Chronic RA label]]="",Table1[[#This Row],[Chronic RA label]]="MRL"),0,1))</f>
        <v>0</v>
      </c>
      <c r="AB37" s="787">
        <f>IF(OR(Table1[[#This Row],[Acute RA label]]="LOQ",Table1[[#This Row],[Acute RA label]]="",Table1[[#This Row],[Acute RA label]]="MRL"),0,1)</f>
        <v>0</v>
      </c>
    </row>
    <row r="38" spans="1:28" ht="21.75" hidden="1" thickTop="1" x14ac:dyDescent="0.2">
      <c r="A38" s="815">
        <f>Table1[[#This Row],[Code no.]]</f>
        <v>130050</v>
      </c>
      <c r="B38" s="793" t="str">
        <f>Table1[[#This Row],[Commodity or group of commodities to which the MRLs apply]]</f>
        <v>Loquats/Japanese medlars</v>
      </c>
      <c r="C38" s="794">
        <f>Table1[[#This Row],[MRL/ proposed MRL /CXL
(mg/kg)]]</f>
        <v>0</v>
      </c>
      <c r="D38" s="795">
        <f>Table1[[#This Row],[Source of MRL]]</f>
        <v>0</v>
      </c>
      <c r="E38" s="797">
        <f>Table1[[#This Row],[Chronic RA input value]]</f>
        <v>0</v>
      </c>
      <c r="F38" s="795" t="str">
        <f>Table1[[#This Row],[Chronic RA label]]</f>
        <v/>
      </c>
      <c r="G38" s="797">
        <f>Table1[[#This Row],[Acute RA input value]]</f>
        <v>0</v>
      </c>
      <c r="H38" s="836" t="str">
        <f>Table1[[#This Row],[Acute RA label]]</f>
        <v/>
      </c>
      <c r="J38" s="553">
        <f>Table22[[#This Row],[Code no.]]</f>
        <v>130050</v>
      </c>
      <c r="K38" s="553" t="str">
        <f>Table22[[#This Row],[Commodity or group of commodities to which the MRLs apply]]</f>
        <v>Loquats/Japanese medlars</v>
      </c>
      <c r="L38" s="553">
        <f>Table22[[#This Row],[Source / type of MRL]]</f>
        <v>0</v>
      </c>
      <c r="M38" s="553">
        <f>Table22[[#This Row],[MRL/ proposed MRL /CXL
(mg/kg)]]</f>
        <v>0</v>
      </c>
      <c r="N38" s="553">
        <f>Table22[[#This Row],[LOQ]]</f>
        <v>0</v>
      </c>
      <c r="O38" s="553">
        <f>Table22[[#This Row],[CFrisk for residue definition]]</f>
        <v>0</v>
      </c>
      <c r="P38" s="553">
        <f>Table22[[#This Row],[PeF (peeling factor RD enforcemen)]]</f>
        <v>0</v>
      </c>
      <c r="Q38" s="553">
        <f>Table22[[#This Row],[STMR-RAC (median residue)]]</f>
        <v>0</v>
      </c>
      <c r="R38" s="553">
        <f>Table22[[#This Row],[HR-RAC (highest residue)]]</f>
        <v>0</v>
      </c>
      <c r="S38" s="553">
        <f>Table22[[#This Row],[VF (alternative variability factor)]]</f>
        <v>0</v>
      </c>
      <c r="T38" s="553">
        <f>Table22[[#This Row],[GAP under assessment]]</f>
        <v>0</v>
      </c>
      <c r="U38" s="553">
        <f>Table22[[#This Row],[Post-harvest treatment]]</f>
        <v>0</v>
      </c>
      <c r="V38" s="553" t="str">
        <f>Table22[[#This Row],[Chronic RA label]]</f>
        <v/>
      </c>
      <c r="W38" s="553">
        <f>Table22[[#This Row],[Chronic RA input value]]</f>
        <v>0</v>
      </c>
      <c r="X38" s="1684" t="str">
        <f>Table22[[#This Row],[Acute RA label]]</f>
        <v/>
      </c>
      <c r="Y38" s="553">
        <f>Table22[[#This Row],[Acute RA input value]]</f>
        <v>0</v>
      </c>
      <c r="Z38" s="786">
        <f>SUM(Table1[[#This Row],[chronic value &lt;&gt;MRL/LOQ]:[acute vlue&lt;&gt;MRL/LOQ]])</f>
        <v>0</v>
      </c>
      <c r="AA38" s="786">
        <f>IF(AND($F$5="Refined calculation mode",Table1[[#This Row],[GAP under assessment]]="Y"),1,IF(OR(Table1[[#This Row],[Chronic RA label]]="LOQ",Table1[[#This Row],[Chronic RA label]]="",Table1[[#This Row],[Chronic RA label]]="MRL"),0,1))</f>
        <v>0</v>
      </c>
      <c r="AB38" s="787">
        <f>IF(OR(Table1[[#This Row],[Acute RA label]]="LOQ",Table1[[#This Row],[Acute RA label]]="",Table1[[#This Row],[Acute RA label]]="MRL"),0,1)</f>
        <v>0</v>
      </c>
    </row>
    <row r="39" spans="1:28" ht="13.5" hidden="1" thickTop="1" x14ac:dyDescent="0.2">
      <c r="A39" s="815">
        <f>Table1[[#This Row],[Code no.]]</f>
        <v>130990</v>
      </c>
      <c r="B39" s="793" t="str">
        <f>Table1[[#This Row],[Commodity or group of commodities to which the MRLs apply]]</f>
        <v>Other pome fruit</v>
      </c>
      <c r="C39" s="794">
        <f>Table1[[#This Row],[MRL/ proposed MRL /CXL
(mg/kg)]]</f>
        <v>0</v>
      </c>
      <c r="D39" s="795">
        <f>Table1[[#This Row],[Source of MRL]]</f>
        <v>0</v>
      </c>
      <c r="E39" s="797">
        <f>Table1[[#This Row],[Chronic RA input value]]</f>
        <v>0</v>
      </c>
      <c r="F39" s="795" t="str">
        <f>Table1[[#This Row],[Chronic RA label]]</f>
        <v/>
      </c>
      <c r="G39" s="797">
        <f>Table1[[#This Row],[Acute RA input value]]</f>
        <v>0</v>
      </c>
      <c r="H39" s="836">
        <f>Table1[[#This Row],[Acute RA label]]</f>
        <v>0</v>
      </c>
      <c r="J39" s="553">
        <f>Table22[[#This Row],[Code no.]]</f>
        <v>130990</v>
      </c>
      <c r="K39" s="553" t="str">
        <f>Table22[[#This Row],[Commodity or group of commodities to which the MRLs apply]]</f>
        <v>Other pome fruit</v>
      </c>
      <c r="L39" s="553">
        <f>Table22[[#This Row],[Source / type of MRL]]</f>
        <v>0</v>
      </c>
      <c r="M39" s="553">
        <f>Table22[[#This Row],[MRL/ proposed MRL /CXL
(mg/kg)]]</f>
        <v>0</v>
      </c>
      <c r="N39" s="553">
        <f>Table22[[#This Row],[LOQ]]</f>
        <v>0</v>
      </c>
      <c r="O39" s="553">
        <f>Table22[[#This Row],[CFrisk for residue definition]]</f>
        <v>0</v>
      </c>
      <c r="P39" s="553">
        <f>Table22[[#This Row],[PeF (peeling factor RD enforcemen)]]</f>
        <v>0</v>
      </c>
      <c r="Q39" s="553">
        <f>Table22[[#This Row],[STMR-RAC (median residue)]]</f>
        <v>0</v>
      </c>
      <c r="R39" s="553">
        <f>Table22[[#This Row],[HR-RAC (highest residue)]]</f>
        <v>0</v>
      </c>
      <c r="S39" s="553">
        <f>Table22[[#This Row],[VF (alternative variability factor)]]</f>
        <v>0</v>
      </c>
      <c r="T39" s="553">
        <f>Table22[[#This Row],[GAP under assessment]]</f>
        <v>0</v>
      </c>
      <c r="U39" s="553">
        <f>Table22[[#This Row],[Post-harvest treatment]]</f>
        <v>0</v>
      </c>
      <c r="V39" s="553" t="str">
        <f>Table22[[#This Row],[Chronic RA label]]</f>
        <v/>
      </c>
      <c r="W39" s="553">
        <f>Table22[[#This Row],[Chronic RA input value]]</f>
        <v>0</v>
      </c>
      <c r="X39" s="1684"/>
      <c r="Y39" s="553">
        <f>Table22[[#This Row],[Acute RA input value]]</f>
        <v>0</v>
      </c>
      <c r="Z39" s="786">
        <f>SUM(Table1[[#This Row],[chronic value &lt;&gt;MRL/LOQ]:[acute vlue&lt;&gt;MRL/LOQ]])</f>
        <v>0</v>
      </c>
      <c r="AA39" s="786">
        <f>IF(AND($F$5="Refined calculation mode",Table1[[#This Row],[GAP under assessment]]="Y"),1,IF(OR(Table1[[#This Row],[Chronic RA label]]="LOQ",Table1[[#This Row],[Chronic RA label]]="",Table1[[#This Row],[Chronic RA label]]="MRL"),0,1))</f>
        <v>0</v>
      </c>
      <c r="AB39" s="787">
        <f>IF(OR(Table1[[#This Row],[Acute RA label]]="LOQ",Table1[[#This Row],[Acute RA label]]="",Table1[[#This Row],[Acute RA label]]="MRL"),0,1)</f>
        <v>0</v>
      </c>
    </row>
    <row r="40" spans="1:28" ht="13.5" hidden="1" thickTop="1" x14ac:dyDescent="0.2">
      <c r="A40" s="815">
        <f>Table1[[#This Row],[Code no.]]</f>
        <v>140000</v>
      </c>
      <c r="B40" s="793" t="str">
        <f>Table1[[#This Row],[Commodity or group of commodities to which the MRLs apply]]</f>
        <v>Stone fruit</v>
      </c>
      <c r="C40" s="794">
        <f>Table1[[#This Row],[MRL/ proposed MRL /CXL
(mg/kg)]]</f>
        <v>0</v>
      </c>
      <c r="D40" s="795">
        <f>Table1[[#This Row],[Source of MRL]]</f>
        <v>0</v>
      </c>
      <c r="E40" s="797">
        <f>Table1[[#This Row],[Chronic RA input value]]</f>
        <v>0</v>
      </c>
      <c r="F40" s="795">
        <f>Table1[[#This Row],[Chronic RA label]]</f>
        <v>0</v>
      </c>
      <c r="G40" s="797">
        <f>Table1[[#This Row],[Acute RA input value]]</f>
        <v>0</v>
      </c>
      <c r="H40" s="836">
        <f>Table1[[#This Row],[Acute RA label]]</f>
        <v>0</v>
      </c>
      <c r="J40" s="553">
        <f>Table22[[#This Row],[Code no.]]</f>
        <v>140000</v>
      </c>
      <c r="K40" s="553" t="str">
        <f>Table22[[#This Row],[Commodity or group of commodities to which the MRLs apply]]</f>
        <v>Stone fruit</v>
      </c>
      <c r="L40" s="553">
        <f>Table22[[#This Row],[Source / type of MRL]]</f>
        <v>0</v>
      </c>
      <c r="M40" s="553">
        <f>Table22[[#This Row],[MRL/ proposed MRL /CXL
(mg/kg)]]</f>
        <v>0</v>
      </c>
      <c r="N40" s="553">
        <f>Table22[[#This Row],[LOQ]]</f>
        <v>0</v>
      </c>
      <c r="O40" s="553">
        <f>Table22[[#This Row],[CFrisk for residue definition]]</f>
        <v>0</v>
      </c>
      <c r="P40" s="553">
        <f>Table22[[#This Row],[PeF (peeling factor RD enforcemen)]]</f>
        <v>0</v>
      </c>
      <c r="Q40" s="553">
        <f>Table22[[#This Row],[STMR-RAC (median residue)]]</f>
        <v>0</v>
      </c>
      <c r="R40" s="553">
        <f>Table22[[#This Row],[HR-RAC (highest residue)]]</f>
        <v>0</v>
      </c>
      <c r="S40" s="553">
        <f>Table22[[#This Row],[VF (alternative variability factor)]]</f>
        <v>0</v>
      </c>
      <c r="T40" s="553">
        <f>Table22[[#This Row],[GAP under assessment]]</f>
        <v>0</v>
      </c>
      <c r="U40" s="553">
        <f>Table22[[#This Row],[Post-harvest treatment]]</f>
        <v>0</v>
      </c>
      <c r="V40" s="553"/>
      <c r="W40" s="553">
        <f>Table22[[#This Row],[Chronic RA input value]]</f>
        <v>0</v>
      </c>
      <c r="X40" s="1684"/>
      <c r="Y40" s="553">
        <f>Table22[[#This Row],[Acute RA input value]]</f>
        <v>0</v>
      </c>
      <c r="Z40" s="786">
        <f>SUM(Table1[[#This Row],[chronic value &lt;&gt;MRL/LOQ]:[acute vlue&lt;&gt;MRL/LOQ]])</f>
        <v>0</v>
      </c>
      <c r="AA40" s="786">
        <f>IF(AND($F$5="Refined calculation mode",Table1[[#This Row],[GAP under assessment]]="Y"),1,IF(OR(Table1[[#This Row],[Chronic RA label]]="LOQ",Table1[[#This Row],[Chronic RA label]]="",Table1[[#This Row],[Chronic RA label]]="MRL"),0,1))</f>
        <v>0</v>
      </c>
      <c r="AB40" s="787">
        <f>IF(OR(Table1[[#This Row],[Acute RA label]]="LOQ",Table1[[#This Row],[Acute RA label]]="",Table1[[#This Row],[Acute RA label]]="MRL"),0,1)</f>
        <v>0</v>
      </c>
    </row>
    <row r="41" spans="1:28" ht="13.5" hidden="1" thickTop="1" x14ac:dyDescent="0.2">
      <c r="A41" s="815">
        <f>Table1[[#This Row],[Code no.]]</f>
        <v>140010</v>
      </c>
      <c r="B41" s="793" t="str">
        <f>Table1[[#This Row],[Commodity or group of commodities to which the MRLs apply]]</f>
        <v>Apricots</v>
      </c>
      <c r="C41" s="794">
        <f>Table1[[#This Row],[MRL/ proposed MRL /CXL
(mg/kg)]]</f>
        <v>0</v>
      </c>
      <c r="D41" s="795">
        <f>Table1[[#This Row],[Source of MRL]]</f>
        <v>0</v>
      </c>
      <c r="E41" s="797">
        <f>Table1[[#This Row],[Chronic RA input value]]</f>
        <v>0</v>
      </c>
      <c r="F41" s="795" t="str">
        <f>Table1[[#This Row],[Chronic RA label]]</f>
        <v/>
      </c>
      <c r="G41" s="797">
        <f>Table1[[#This Row],[Acute RA input value]]</f>
        <v>0</v>
      </c>
      <c r="H41" s="836" t="str">
        <f>Table1[[#This Row],[Acute RA label]]</f>
        <v/>
      </c>
      <c r="J41" s="553">
        <f>Table22[[#This Row],[Code no.]]</f>
        <v>140010</v>
      </c>
      <c r="K41" s="553" t="str">
        <f>Table22[[#This Row],[Commodity or group of commodities to which the MRLs apply]]</f>
        <v>Apricots</v>
      </c>
      <c r="L41" s="553">
        <f>Table22[[#This Row],[Source / type of MRL]]</f>
        <v>0</v>
      </c>
      <c r="M41" s="553">
        <f>Table22[[#This Row],[MRL/ proposed MRL /CXL
(mg/kg)]]</f>
        <v>0</v>
      </c>
      <c r="N41" s="553">
        <f>Table22[[#This Row],[LOQ]]</f>
        <v>0</v>
      </c>
      <c r="O41" s="553">
        <f>Table22[[#This Row],[CFrisk for residue definition]]</f>
        <v>0</v>
      </c>
      <c r="P41" s="553">
        <f>Table22[[#This Row],[PeF (peeling factor RD enforcemen)]]</f>
        <v>0</v>
      </c>
      <c r="Q41" s="553">
        <f>Table22[[#This Row],[STMR-RAC (median residue)]]</f>
        <v>0</v>
      </c>
      <c r="R41" s="553">
        <f>Table22[[#This Row],[HR-RAC (highest residue)]]</f>
        <v>0</v>
      </c>
      <c r="S41" s="553">
        <f>Table22[[#This Row],[VF (alternative variability factor)]]</f>
        <v>0</v>
      </c>
      <c r="T41" s="553">
        <f>Table22[[#This Row],[GAP under assessment]]</f>
        <v>0</v>
      </c>
      <c r="U41" s="553">
        <f>Table22[[#This Row],[Post-harvest treatment]]</f>
        <v>0</v>
      </c>
      <c r="V41" s="553" t="str">
        <f>Table22[[#This Row],[Chronic RA label]]</f>
        <v/>
      </c>
      <c r="W41" s="553">
        <f>Table22[[#This Row],[Chronic RA input value]]</f>
        <v>0</v>
      </c>
      <c r="X41" s="1684" t="str">
        <f>Table22[[#This Row],[Acute RA label]]</f>
        <v/>
      </c>
      <c r="Y41" s="553">
        <f>Table22[[#This Row],[Acute RA input value]]</f>
        <v>0</v>
      </c>
      <c r="Z41" s="786">
        <f>SUM(Table1[[#This Row],[chronic value &lt;&gt;MRL/LOQ]:[acute vlue&lt;&gt;MRL/LOQ]])</f>
        <v>0</v>
      </c>
      <c r="AA41" s="786">
        <f>IF(AND($F$5="Refined calculation mode",Table1[[#This Row],[GAP under assessment]]="Y"),1,IF(OR(Table1[[#This Row],[Chronic RA label]]="LOQ",Table1[[#This Row],[Chronic RA label]]="",Table1[[#This Row],[Chronic RA label]]="MRL"),0,1))</f>
        <v>0</v>
      </c>
      <c r="AB41" s="787">
        <f>IF(OR(Table1[[#This Row],[Acute RA label]]="LOQ",Table1[[#This Row],[Acute RA label]]="",Table1[[#This Row],[Acute RA label]]="MRL"),0,1)</f>
        <v>0</v>
      </c>
    </row>
    <row r="42" spans="1:28" ht="13.5" hidden="1" thickTop="1" x14ac:dyDescent="0.2">
      <c r="A42" s="815">
        <f>Table1[[#This Row],[Code no.]]</f>
        <v>140020</v>
      </c>
      <c r="B42" s="793" t="str">
        <f>Table1[[#This Row],[Commodity or group of commodities to which the MRLs apply]]</f>
        <v>Cherries (sweet)</v>
      </c>
      <c r="C42" s="794">
        <f>Table1[[#This Row],[MRL/ proposed MRL /CXL
(mg/kg)]]</f>
        <v>0</v>
      </c>
      <c r="D42" s="795">
        <f>Table1[[#This Row],[Source of MRL]]</f>
        <v>0</v>
      </c>
      <c r="E42" s="797">
        <f>Table1[[#This Row],[Chronic RA input value]]</f>
        <v>0</v>
      </c>
      <c r="F42" s="795" t="str">
        <f>Table1[[#This Row],[Chronic RA label]]</f>
        <v/>
      </c>
      <c r="G42" s="797">
        <f>Table1[[#This Row],[Acute RA input value]]</f>
        <v>0</v>
      </c>
      <c r="H42" s="836" t="str">
        <f>Table1[[#This Row],[Acute RA label]]</f>
        <v/>
      </c>
      <c r="J42" s="553">
        <f>Table22[[#This Row],[Code no.]]</f>
        <v>140020</v>
      </c>
      <c r="K42" s="553" t="str">
        <f>Table22[[#This Row],[Commodity or group of commodities to which the MRLs apply]]</f>
        <v>Cherries (sweet)</v>
      </c>
      <c r="L42" s="553">
        <f>Table22[[#This Row],[Source / type of MRL]]</f>
        <v>0</v>
      </c>
      <c r="M42" s="553">
        <f>Table22[[#This Row],[MRL/ proposed MRL /CXL
(mg/kg)]]</f>
        <v>0</v>
      </c>
      <c r="N42" s="553">
        <f>Table22[[#This Row],[LOQ]]</f>
        <v>0</v>
      </c>
      <c r="O42" s="553">
        <f>Table22[[#This Row],[CFrisk for residue definition]]</f>
        <v>0</v>
      </c>
      <c r="P42" s="553">
        <f>Table22[[#This Row],[PeF (peeling factor RD enforcemen)]]</f>
        <v>0</v>
      </c>
      <c r="Q42" s="553">
        <f>Table22[[#This Row],[STMR-RAC (median residue)]]</f>
        <v>0</v>
      </c>
      <c r="R42" s="553">
        <f>Table22[[#This Row],[HR-RAC (highest residue)]]</f>
        <v>0</v>
      </c>
      <c r="S42" s="553">
        <f>Table22[[#This Row],[VF (alternative variability factor)]]</f>
        <v>0</v>
      </c>
      <c r="T42" s="553">
        <f>Table22[[#This Row],[GAP under assessment]]</f>
        <v>0</v>
      </c>
      <c r="U42" s="553">
        <f>Table22[[#This Row],[Post-harvest treatment]]</f>
        <v>0</v>
      </c>
      <c r="V42" s="553" t="str">
        <f>Table22[[#This Row],[Chronic RA label]]</f>
        <v/>
      </c>
      <c r="W42" s="553">
        <f>Table22[[#This Row],[Chronic RA input value]]</f>
        <v>0</v>
      </c>
      <c r="X42" s="1684" t="str">
        <f>Table22[[#This Row],[Acute RA label]]</f>
        <v/>
      </c>
      <c r="Y42" s="553">
        <f>Table22[[#This Row],[Acute RA input value]]</f>
        <v>0</v>
      </c>
      <c r="Z42" s="786">
        <f>SUM(Table1[[#This Row],[chronic value &lt;&gt;MRL/LOQ]:[acute vlue&lt;&gt;MRL/LOQ]])</f>
        <v>0</v>
      </c>
      <c r="AA42" s="786">
        <f>IF(AND($F$5="Refined calculation mode",Table1[[#This Row],[GAP under assessment]]="Y"),1,IF(OR(Table1[[#This Row],[Chronic RA label]]="LOQ",Table1[[#This Row],[Chronic RA label]]="",Table1[[#This Row],[Chronic RA label]]="MRL"),0,1))</f>
        <v>0</v>
      </c>
      <c r="AB42" s="787">
        <f>IF(OR(Table1[[#This Row],[Acute RA label]]="LOQ",Table1[[#This Row],[Acute RA label]]="",Table1[[#This Row],[Acute RA label]]="MRL"),0,1)</f>
        <v>0</v>
      </c>
    </row>
    <row r="43" spans="1:28" ht="13.5" hidden="1" thickTop="1" x14ac:dyDescent="0.2">
      <c r="A43" s="815">
        <f>Table1[[#This Row],[Code no.]]</f>
        <v>140030</v>
      </c>
      <c r="B43" s="793" t="str">
        <f>Table1[[#This Row],[Commodity or group of commodities to which the MRLs apply]]</f>
        <v>Peaches</v>
      </c>
      <c r="C43" s="794">
        <f>Table1[[#This Row],[MRL/ proposed MRL /CXL
(mg/kg)]]</f>
        <v>0</v>
      </c>
      <c r="D43" s="795">
        <f>Table1[[#This Row],[Source of MRL]]</f>
        <v>0</v>
      </c>
      <c r="E43" s="797">
        <f>Table1[[#This Row],[Chronic RA input value]]</f>
        <v>0</v>
      </c>
      <c r="F43" s="795" t="str">
        <f>Table1[[#This Row],[Chronic RA label]]</f>
        <v/>
      </c>
      <c r="G43" s="797">
        <f>Table1[[#This Row],[Acute RA input value]]</f>
        <v>0</v>
      </c>
      <c r="H43" s="836" t="str">
        <f>Table1[[#This Row],[Acute RA label]]</f>
        <v/>
      </c>
      <c r="J43" s="553">
        <f>Table22[[#This Row],[Code no.]]</f>
        <v>140030</v>
      </c>
      <c r="K43" s="553" t="str">
        <f>Table22[[#This Row],[Commodity or group of commodities to which the MRLs apply]]</f>
        <v>Peaches</v>
      </c>
      <c r="L43" s="553">
        <f>Table22[[#This Row],[Source / type of MRL]]</f>
        <v>0</v>
      </c>
      <c r="M43" s="553">
        <f>Table22[[#This Row],[MRL/ proposed MRL /CXL
(mg/kg)]]</f>
        <v>0</v>
      </c>
      <c r="N43" s="553">
        <f>Table22[[#This Row],[LOQ]]</f>
        <v>0</v>
      </c>
      <c r="O43" s="553">
        <f>Table22[[#This Row],[CFrisk for residue definition]]</f>
        <v>0</v>
      </c>
      <c r="P43" s="553">
        <f>Table22[[#This Row],[PeF (peeling factor RD enforcemen)]]</f>
        <v>0</v>
      </c>
      <c r="Q43" s="553">
        <f>Table22[[#This Row],[STMR-RAC (median residue)]]</f>
        <v>0</v>
      </c>
      <c r="R43" s="553">
        <f>Table22[[#This Row],[HR-RAC (highest residue)]]</f>
        <v>0</v>
      </c>
      <c r="S43" s="553">
        <f>Table22[[#This Row],[VF (alternative variability factor)]]</f>
        <v>0</v>
      </c>
      <c r="T43" s="553">
        <f>Table22[[#This Row],[GAP under assessment]]</f>
        <v>0</v>
      </c>
      <c r="U43" s="553">
        <f>Table22[[#This Row],[Post-harvest treatment]]</f>
        <v>0</v>
      </c>
      <c r="V43" s="553" t="str">
        <f>Table22[[#This Row],[Chronic RA label]]</f>
        <v/>
      </c>
      <c r="W43" s="553">
        <f>Table22[[#This Row],[Chronic RA input value]]</f>
        <v>0</v>
      </c>
      <c r="X43" s="1684" t="str">
        <f>Table22[[#This Row],[Acute RA label]]</f>
        <v/>
      </c>
      <c r="Y43" s="553">
        <f>Table22[[#This Row],[Acute RA input value]]</f>
        <v>0</v>
      </c>
      <c r="Z43" s="786">
        <f>SUM(Table1[[#This Row],[chronic value &lt;&gt;MRL/LOQ]:[acute vlue&lt;&gt;MRL/LOQ]])</f>
        <v>0</v>
      </c>
      <c r="AA43" s="786">
        <f>IF(AND($F$5="Refined calculation mode",Table1[[#This Row],[GAP under assessment]]="Y"),1,IF(OR(Table1[[#This Row],[Chronic RA label]]="LOQ",Table1[[#This Row],[Chronic RA label]]="",Table1[[#This Row],[Chronic RA label]]="MRL"),0,1))</f>
        <v>0</v>
      </c>
      <c r="AB43" s="787">
        <f>IF(OR(Table1[[#This Row],[Acute RA label]]="LOQ",Table1[[#This Row],[Acute RA label]]="",Table1[[#This Row],[Acute RA label]]="MRL"),0,1)</f>
        <v>0</v>
      </c>
    </row>
    <row r="44" spans="1:28" ht="13.5" hidden="1" thickTop="1" x14ac:dyDescent="0.2">
      <c r="A44" s="815">
        <f>Table1[[#This Row],[Code no.]]</f>
        <v>140040</v>
      </c>
      <c r="B44" s="793" t="str">
        <f>Table1[[#This Row],[Commodity or group of commodities to which the MRLs apply]]</f>
        <v>Plums</v>
      </c>
      <c r="C44" s="794">
        <f>Table1[[#This Row],[MRL/ proposed MRL /CXL
(mg/kg)]]</f>
        <v>0</v>
      </c>
      <c r="D44" s="795">
        <f>Table1[[#This Row],[Source of MRL]]</f>
        <v>0</v>
      </c>
      <c r="E44" s="797">
        <f>Table1[[#This Row],[Chronic RA input value]]</f>
        <v>0</v>
      </c>
      <c r="F44" s="795" t="str">
        <f>Table1[[#This Row],[Chronic RA label]]</f>
        <v/>
      </c>
      <c r="G44" s="797">
        <f>Table1[[#This Row],[Acute RA input value]]</f>
        <v>0</v>
      </c>
      <c r="H44" s="836" t="str">
        <f>Table1[[#This Row],[Acute RA label]]</f>
        <v/>
      </c>
      <c r="J44" s="553">
        <f>Table22[[#This Row],[Code no.]]</f>
        <v>140040</v>
      </c>
      <c r="K44" s="553" t="str">
        <f>Table22[[#This Row],[Commodity or group of commodities to which the MRLs apply]]</f>
        <v>Plums</v>
      </c>
      <c r="L44" s="553">
        <f>Table22[[#This Row],[Source / type of MRL]]</f>
        <v>0</v>
      </c>
      <c r="M44" s="553">
        <f>Table22[[#This Row],[MRL/ proposed MRL /CXL
(mg/kg)]]</f>
        <v>0</v>
      </c>
      <c r="N44" s="553">
        <f>Table22[[#This Row],[LOQ]]</f>
        <v>0</v>
      </c>
      <c r="O44" s="553">
        <f>Table22[[#This Row],[CFrisk for residue definition]]</f>
        <v>0</v>
      </c>
      <c r="P44" s="553">
        <f>Table22[[#This Row],[PeF (peeling factor RD enforcemen)]]</f>
        <v>0</v>
      </c>
      <c r="Q44" s="553">
        <f>Table22[[#This Row],[STMR-RAC (median residue)]]</f>
        <v>0</v>
      </c>
      <c r="R44" s="553">
        <f>Table22[[#This Row],[HR-RAC (highest residue)]]</f>
        <v>0</v>
      </c>
      <c r="S44" s="553">
        <f>Table22[[#This Row],[VF (alternative variability factor)]]</f>
        <v>0</v>
      </c>
      <c r="T44" s="553">
        <f>Table22[[#This Row],[GAP under assessment]]</f>
        <v>0</v>
      </c>
      <c r="U44" s="553">
        <f>Table22[[#This Row],[Post-harvest treatment]]</f>
        <v>0</v>
      </c>
      <c r="V44" s="553" t="str">
        <f>Table22[[#This Row],[Chronic RA label]]</f>
        <v/>
      </c>
      <c r="W44" s="553">
        <f>Table22[[#This Row],[Chronic RA input value]]</f>
        <v>0</v>
      </c>
      <c r="X44" s="1684" t="str">
        <f>Table22[[#This Row],[Acute RA label]]</f>
        <v/>
      </c>
      <c r="Y44" s="553">
        <f>Table22[[#This Row],[Acute RA input value]]</f>
        <v>0</v>
      </c>
      <c r="Z44" s="786">
        <f>SUM(Table1[[#This Row],[chronic value &lt;&gt;MRL/LOQ]:[acute vlue&lt;&gt;MRL/LOQ]])</f>
        <v>0</v>
      </c>
      <c r="AA44" s="786">
        <f>IF(AND($F$5="Refined calculation mode",Table1[[#This Row],[GAP under assessment]]="Y"),1,IF(OR(Table1[[#This Row],[Chronic RA label]]="LOQ",Table1[[#This Row],[Chronic RA label]]="",Table1[[#This Row],[Chronic RA label]]="MRL"),0,1))</f>
        <v>0</v>
      </c>
      <c r="AB44" s="787">
        <f>IF(OR(Table1[[#This Row],[Acute RA label]]="LOQ",Table1[[#This Row],[Acute RA label]]="",Table1[[#This Row],[Acute RA label]]="MRL"),0,1)</f>
        <v>0</v>
      </c>
    </row>
    <row r="45" spans="1:28" ht="13.5" hidden="1" thickTop="1" x14ac:dyDescent="0.2">
      <c r="A45" s="815">
        <f>Table1[[#This Row],[Code no.]]</f>
        <v>140990</v>
      </c>
      <c r="B45" s="793" t="str">
        <f>Table1[[#This Row],[Commodity or group of commodities to which the MRLs apply]]</f>
        <v>Other stone fruit</v>
      </c>
      <c r="C45" s="794">
        <f>Table1[[#This Row],[MRL/ proposed MRL /CXL
(mg/kg)]]</f>
        <v>0</v>
      </c>
      <c r="D45" s="795">
        <f>Table1[[#This Row],[Source of MRL]]</f>
        <v>0</v>
      </c>
      <c r="E45" s="797">
        <f>Table1[[#This Row],[Chronic RA input value]]</f>
        <v>0</v>
      </c>
      <c r="F45" s="795" t="str">
        <f>Table1[[#This Row],[Chronic RA label]]</f>
        <v/>
      </c>
      <c r="G45" s="797">
        <f>Table1[[#This Row],[Acute RA input value]]</f>
        <v>0</v>
      </c>
      <c r="H45" s="836">
        <f>Table1[[#This Row],[Acute RA label]]</f>
        <v>0</v>
      </c>
      <c r="J45" s="553">
        <f>Table22[[#This Row],[Code no.]]</f>
        <v>140990</v>
      </c>
      <c r="K45" s="553" t="str">
        <f>Table22[[#This Row],[Commodity or group of commodities to which the MRLs apply]]</f>
        <v>Other stone fruit</v>
      </c>
      <c r="L45" s="553">
        <f>Table22[[#This Row],[Source / type of MRL]]</f>
        <v>0</v>
      </c>
      <c r="M45" s="553">
        <f>Table22[[#This Row],[MRL/ proposed MRL /CXL
(mg/kg)]]</f>
        <v>0</v>
      </c>
      <c r="N45" s="553">
        <f>Table22[[#This Row],[LOQ]]</f>
        <v>0</v>
      </c>
      <c r="O45" s="553">
        <f>Table22[[#This Row],[CFrisk for residue definition]]</f>
        <v>0</v>
      </c>
      <c r="P45" s="553">
        <f>Table22[[#This Row],[PeF (peeling factor RD enforcemen)]]</f>
        <v>0</v>
      </c>
      <c r="Q45" s="553">
        <f>Table22[[#This Row],[STMR-RAC (median residue)]]</f>
        <v>0</v>
      </c>
      <c r="R45" s="553">
        <f>Table22[[#This Row],[HR-RAC (highest residue)]]</f>
        <v>0</v>
      </c>
      <c r="S45" s="553">
        <f>Table22[[#This Row],[VF (alternative variability factor)]]</f>
        <v>0</v>
      </c>
      <c r="T45" s="553">
        <f>Table22[[#This Row],[GAP under assessment]]</f>
        <v>0</v>
      </c>
      <c r="U45" s="553">
        <f>Table22[[#This Row],[Post-harvest treatment]]</f>
        <v>0</v>
      </c>
      <c r="V45" s="553" t="str">
        <f>Table22[[#This Row],[Chronic RA label]]</f>
        <v/>
      </c>
      <c r="W45" s="553">
        <f>Table22[[#This Row],[Chronic RA input value]]</f>
        <v>0</v>
      </c>
      <c r="X45" s="1684"/>
      <c r="Y45" s="553">
        <f>Table22[[#This Row],[Acute RA input value]]</f>
        <v>0</v>
      </c>
      <c r="Z45" s="786">
        <f>SUM(Table1[[#This Row],[chronic value &lt;&gt;MRL/LOQ]:[acute vlue&lt;&gt;MRL/LOQ]])</f>
        <v>0</v>
      </c>
      <c r="AA45" s="786">
        <f>IF(AND($F$5="Refined calculation mode",Table1[[#This Row],[GAP under assessment]]="Y"),1,IF(OR(Table1[[#This Row],[Chronic RA label]]="LOQ",Table1[[#This Row],[Chronic RA label]]="",Table1[[#This Row],[Chronic RA label]]="MRL"),0,1))</f>
        <v>0</v>
      </c>
      <c r="AB45" s="787">
        <f>IF(OR(Table1[[#This Row],[Acute RA label]]="LOQ",Table1[[#This Row],[Acute RA label]]="",Table1[[#This Row],[Acute RA label]]="MRL"),0,1)</f>
        <v>0</v>
      </c>
    </row>
    <row r="46" spans="1:28" ht="13.5" hidden="1" thickTop="1" x14ac:dyDescent="0.2">
      <c r="A46" s="815">
        <f>Table1[[#This Row],[Code no.]]</f>
        <v>150000</v>
      </c>
      <c r="B46" s="793" t="str">
        <f>Table1[[#This Row],[Commodity or group of commodities to which the MRLs apply]]</f>
        <v>Berries &amp; small fruit</v>
      </c>
      <c r="C46" s="794">
        <f>Table1[[#This Row],[MRL/ proposed MRL /CXL
(mg/kg)]]</f>
        <v>0</v>
      </c>
      <c r="D46" s="795">
        <f>Table1[[#This Row],[Source of MRL]]</f>
        <v>0</v>
      </c>
      <c r="E46" s="797">
        <f>Table1[[#This Row],[Chronic RA input value]]</f>
        <v>0</v>
      </c>
      <c r="F46" s="795">
        <f>Table1[[#This Row],[Chronic RA label]]</f>
        <v>0</v>
      </c>
      <c r="G46" s="797">
        <f>Table1[[#This Row],[Acute RA input value]]</f>
        <v>0</v>
      </c>
      <c r="H46" s="836">
        <f>Table1[[#This Row],[Acute RA label]]</f>
        <v>0</v>
      </c>
      <c r="J46" s="553">
        <f>Table22[[#This Row],[Code no.]]</f>
        <v>150000</v>
      </c>
      <c r="K46" s="553" t="str">
        <f>Table22[[#This Row],[Commodity or group of commodities to which the MRLs apply]]</f>
        <v>Berries &amp; small fruit</v>
      </c>
      <c r="L46" s="553">
        <f>Table22[[#This Row],[Source / type of MRL]]</f>
        <v>0</v>
      </c>
      <c r="M46" s="553">
        <f>Table22[[#This Row],[MRL/ proposed MRL /CXL
(mg/kg)]]</f>
        <v>0</v>
      </c>
      <c r="N46" s="553">
        <f>Table22[[#This Row],[LOQ]]</f>
        <v>0</v>
      </c>
      <c r="O46" s="553">
        <f>Table22[[#This Row],[CFrisk for residue definition]]</f>
        <v>0</v>
      </c>
      <c r="P46" s="553">
        <f>Table22[[#This Row],[PeF (peeling factor RD enforcemen)]]</f>
        <v>0</v>
      </c>
      <c r="Q46" s="553">
        <f>Table22[[#This Row],[STMR-RAC (median residue)]]</f>
        <v>0</v>
      </c>
      <c r="R46" s="553">
        <f>Table22[[#This Row],[HR-RAC (highest residue)]]</f>
        <v>0</v>
      </c>
      <c r="S46" s="553">
        <f>Table22[[#This Row],[VF (alternative variability factor)]]</f>
        <v>0</v>
      </c>
      <c r="T46" s="553">
        <f>Table22[[#This Row],[GAP under assessment]]</f>
        <v>0</v>
      </c>
      <c r="U46" s="553">
        <f>Table22[[#This Row],[Post-harvest treatment]]</f>
        <v>0</v>
      </c>
      <c r="V46" s="553"/>
      <c r="W46" s="553">
        <f>Table22[[#This Row],[Chronic RA input value]]</f>
        <v>0</v>
      </c>
      <c r="X46" s="1684"/>
      <c r="Y46" s="553">
        <f>Table22[[#This Row],[Acute RA input value]]</f>
        <v>0</v>
      </c>
      <c r="Z46" s="786">
        <f>SUM(Table1[[#This Row],[chronic value &lt;&gt;MRL/LOQ]:[acute vlue&lt;&gt;MRL/LOQ]])</f>
        <v>0</v>
      </c>
      <c r="AA46" s="786">
        <f>IF(AND($F$5="Refined calculation mode",Table1[[#This Row],[GAP under assessment]]="Y"),1,IF(OR(Table1[[#This Row],[Chronic RA label]]="LOQ",Table1[[#This Row],[Chronic RA label]]="",Table1[[#This Row],[Chronic RA label]]="MRL"),0,1))</f>
        <v>0</v>
      </c>
      <c r="AB46" s="787">
        <f>IF(OR(Table1[[#This Row],[Acute RA label]]="LOQ",Table1[[#This Row],[Acute RA label]]="",Table1[[#This Row],[Acute RA label]]="MRL"),0,1)</f>
        <v>0</v>
      </c>
    </row>
    <row r="47" spans="1:28" ht="21.75" hidden="1" thickTop="1" x14ac:dyDescent="0.2">
      <c r="A47" s="815">
        <f>Table1[[#This Row],[Code no.]]</f>
        <v>151000</v>
      </c>
      <c r="B47" s="793" t="str">
        <f>Table1[[#This Row],[Commodity or group of commodities to which the MRLs apply]]</f>
        <v xml:space="preserve">Table and wine grapes </v>
      </c>
      <c r="C47" s="794">
        <f>Table1[[#This Row],[MRL/ proposed MRL /CXL
(mg/kg)]]</f>
        <v>0</v>
      </c>
      <c r="D47" s="795">
        <f>Table1[[#This Row],[Source of MRL]]</f>
        <v>0</v>
      </c>
      <c r="E47" s="797">
        <f>Table1[[#This Row],[Chronic RA input value]]</f>
        <v>0</v>
      </c>
      <c r="F47" s="795">
        <f>Table1[[#This Row],[Chronic RA label]]</f>
        <v>0</v>
      </c>
      <c r="G47" s="797">
        <f>Table1[[#This Row],[Acute RA input value]]</f>
        <v>0</v>
      </c>
      <c r="H47" s="836">
        <f>Table1[[#This Row],[Acute RA label]]</f>
        <v>0</v>
      </c>
      <c r="J47" s="553">
        <f>Table22[[#This Row],[Code no.]]</f>
        <v>151000</v>
      </c>
      <c r="K47" s="553" t="str">
        <f>Table22[[#This Row],[Commodity or group of commodities to which the MRLs apply]]</f>
        <v xml:space="preserve">Table and wine grapes </v>
      </c>
      <c r="L47" s="553">
        <f>Table22[[#This Row],[Source / type of MRL]]</f>
        <v>0</v>
      </c>
      <c r="M47" s="553">
        <f>Table22[[#This Row],[MRL/ proposed MRL /CXL
(mg/kg)]]</f>
        <v>0</v>
      </c>
      <c r="N47" s="553">
        <f>Table22[[#This Row],[LOQ]]</f>
        <v>0</v>
      </c>
      <c r="O47" s="553">
        <f>Table22[[#This Row],[CFrisk for residue definition]]</f>
        <v>0</v>
      </c>
      <c r="P47" s="553">
        <f>Table22[[#This Row],[PeF (peeling factor RD enforcemen)]]</f>
        <v>0</v>
      </c>
      <c r="Q47" s="553">
        <f>Table22[[#This Row],[STMR-RAC (median residue)]]</f>
        <v>0</v>
      </c>
      <c r="R47" s="553">
        <f>Table22[[#This Row],[HR-RAC (highest residue)]]</f>
        <v>0</v>
      </c>
      <c r="S47" s="553">
        <f>Table22[[#This Row],[VF (alternative variability factor)]]</f>
        <v>0</v>
      </c>
      <c r="T47" s="553">
        <f>Table22[[#This Row],[GAP under assessment]]</f>
        <v>0</v>
      </c>
      <c r="U47" s="553">
        <f>Table22[[#This Row],[Post-harvest treatment]]</f>
        <v>0</v>
      </c>
      <c r="V47" s="553"/>
      <c r="W47" s="553">
        <f>Table22[[#This Row],[Chronic RA input value]]</f>
        <v>0</v>
      </c>
      <c r="X47" s="1684"/>
      <c r="Y47" s="553">
        <f>Table22[[#This Row],[Acute RA input value]]</f>
        <v>0</v>
      </c>
      <c r="Z47" s="786">
        <f>SUM(Table1[[#This Row],[chronic value &lt;&gt;MRL/LOQ]:[acute vlue&lt;&gt;MRL/LOQ]])</f>
        <v>0</v>
      </c>
      <c r="AA47" s="786">
        <f>IF(AND($F$5="Refined calculation mode",Table1[[#This Row],[GAP under assessment]]="Y"),1,IF(OR(Table1[[#This Row],[Chronic RA label]]="LOQ",Table1[[#This Row],[Chronic RA label]]="",Table1[[#This Row],[Chronic RA label]]="MRL"),0,1))</f>
        <v>0</v>
      </c>
      <c r="AB47" s="787">
        <f>IF(OR(Table1[[#This Row],[Acute RA label]]="LOQ",Table1[[#This Row],[Acute RA label]]="",Table1[[#This Row],[Acute RA label]]="MRL"),0,1)</f>
        <v>0</v>
      </c>
    </row>
    <row r="48" spans="1:28" ht="13.5" hidden="1" thickTop="1" x14ac:dyDescent="0.2">
      <c r="A48" s="815">
        <f>Table1[[#This Row],[Code no.]]</f>
        <v>151010</v>
      </c>
      <c r="B48" s="793" t="str">
        <f>Table1[[#This Row],[Commodity or group of commodities to which the MRLs apply]]</f>
        <v>Table grapes</v>
      </c>
      <c r="C48" s="794">
        <f>Table1[[#This Row],[MRL/ proposed MRL /CXL
(mg/kg)]]</f>
        <v>0</v>
      </c>
      <c r="D48" s="795">
        <f>Table1[[#This Row],[Source of MRL]]</f>
        <v>0</v>
      </c>
      <c r="E48" s="797">
        <f>Table1[[#This Row],[Chronic RA input value]]</f>
        <v>0</v>
      </c>
      <c r="F48" s="795" t="str">
        <f>Table1[[#This Row],[Chronic RA label]]</f>
        <v/>
      </c>
      <c r="G48" s="797">
        <f>Table1[[#This Row],[Acute RA input value]]</f>
        <v>0</v>
      </c>
      <c r="H48" s="836" t="str">
        <f>Table1[[#This Row],[Acute RA label]]</f>
        <v/>
      </c>
      <c r="J48" s="553">
        <f>Table22[[#This Row],[Code no.]]</f>
        <v>151010</v>
      </c>
      <c r="K48" s="553" t="str">
        <f>Table22[[#This Row],[Commodity or group of commodities to which the MRLs apply]]</f>
        <v>Table grapes</v>
      </c>
      <c r="L48" s="553">
        <f>Table22[[#This Row],[Source / type of MRL]]</f>
        <v>0</v>
      </c>
      <c r="M48" s="553">
        <f>Table22[[#This Row],[MRL/ proposed MRL /CXL
(mg/kg)]]</f>
        <v>0</v>
      </c>
      <c r="N48" s="553">
        <f>Table22[[#This Row],[LOQ]]</f>
        <v>0</v>
      </c>
      <c r="O48" s="553">
        <f>Table22[[#This Row],[CFrisk for residue definition]]</f>
        <v>0</v>
      </c>
      <c r="P48" s="553">
        <f>Table22[[#This Row],[PeF (peeling factor RD enforcemen)]]</f>
        <v>0</v>
      </c>
      <c r="Q48" s="553">
        <f>Table22[[#This Row],[STMR-RAC (median residue)]]</f>
        <v>0</v>
      </c>
      <c r="R48" s="553">
        <f>Table22[[#This Row],[HR-RAC (highest residue)]]</f>
        <v>0</v>
      </c>
      <c r="S48" s="553">
        <f>Table22[[#This Row],[VF (alternative variability factor)]]</f>
        <v>0</v>
      </c>
      <c r="T48" s="553">
        <f>Table22[[#This Row],[GAP under assessment]]</f>
        <v>0</v>
      </c>
      <c r="U48" s="553">
        <f>Table22[[#This Row],[Post-harvest treatment]]</f>
        <v>0</v>
      </c>
      <c r="V48" s="553" t="str">
        <f>Table22[[#This Row],[Chronic RA label]]</f>
        <v/>
      </c>
      <c r="W48" s="553">
        <f>Table22[[#This Row],[Chronic RA input value]]</f>
        <v>0</v>
      </c>
      <c r="X48" s="1684" t="str">
        <f>Table22[[#This Row],[Acute RA label]]</f>
        <v/>
      </c>
      <c r="Y48" s="553">
        <f>Table22[[#This Row],[Acute RA input value]]</f>
        <v>0</v>
      </c>
      <c r="Z48" s="786">
        <f>SUM(Table1[[#This Row],[chronic value &lt;&gt;MRL/LOQ]:[acute vlue&lt;&gt;MRL/LOQ]])</f>
        <v>0</v>
      </c>
      <c r="AA48" s="786">
        <f>IF(AND($F$5="Refined calculation mode",Table1[[#This Row],[GAP under assessment]]="Y"),1,IF(OR(Table1[[#This Row],[Chronic RA label]]="LOQ",Table1[[#This Row],[Chronic RA label]]="",Table1[[#This Row],[Chronic RA label]]="MRL"),0,1))</f>
        <v>0</v>
      </c>
      <c r="AB48" s="787">
        <f>IF(OR(Table1[[#This Row],[Acute RA label]]="LOQ",Table1[[#This Row],[Acute RA label]]="",Table1[[#This Row],[Acute RA label]]="MRL"),0,1)</f>
        <v>0</v>
      </c>
    </row>
    <row r="49" spans="1:28" ht="13.5" hidden="1" thickTop="1" x14ac:dyDescent="0.2">
      <c r="A49" s="815">
        <f>Table1[[#This Row],[Code no.]]</f>
        <v>151020</v>
      </c>
      <c r="B49" s="793" t="str">
        <f>Table1[[#This Row],[Commodity or group of commodities to which the MRLs apply]]</f>
        <v>Wine grapes</v>
      </c>
      <c r="C49" s="794">
        <f>Table1[[#This Row],[MRL/ proposed MRL /CXL
(mg/kg)]]</f>
        <v>0</v>
      </c>
      <c r="D49" s="795">
        <f>Table1[[#This Row],[Source of MRL]]</f>
        <v>0</v>
      </c>
      <c r="E49" s="797">
        <f>Table1[[#This Row],[Chronic RA input value]]</f>
        <v>0</v>
      </c>
      <c r="F49" s="795" t="str">
        <f>Table1[[#This Row],[Chronic RA label]]</f>
        <v/>
      </c>
      <c r="G49" s="797">
        <f>Table1[[#This Row],[Acute RA input value]]</f>
        <v>0</v>
      </c>
      <c r="H49" s="836" t="str">
        <f>Table1[[#This Row],[Acute RA label]]</f>
        <v/>
      </c>
      <c r="J49" s="553">
        <f>Table22[[#This Row],[Code no.]]</f>
        <v>151020</v>
      </c>
      <c r="K49" s="553" t="str">
        <f>Table22[[#This Row],[Commodity or group of commodities to which the MRLs apply]]</f>
        <v>Wine grapes</v>
      </c>
      <c r="L49" s="553">
        <f>Table22[[#This Row],[Source / type of MRL]]</f>
        <v>0</v>
      </c>
      <c r="M49" s="553">
        <f>Table22[[#This Row],[MRL/ proposed MRL /CXL
(mg/kg)]]</f>
        <v>0</v>
      </c>
      <c r="N49" s="553">
        <f>Table22[[#This Row],[LOQ]]</f>
        <v>0</v>
      </c>
      <c r="O49" s="553">
        <f>Table22[[#This Row],[CFrisk for residue definition]]</f>
        <v>0</v>
      </c>
      <c r="P49" s="553">
        <f>Table22[[#This Row],[PeF (peeling factor RD enforcemen)]]</f>
        <v>0</v>
      </c>
      <c r="Q49" s="553">
        <f>Table22[[#This Row],[STMR-RAC (median residue)]]</f>
        <v>0</v>
      </c>
      <c r="R49" s="553">
        <f>Table22[[#This Row],[HR-RAC (highest residue)]]</f>
        <v>0</v>
      </c>
      <c r="S49" s="553">
        <f>Table22[[#This Row],[VF (alternative variability factor)]]</f>
        <v>0</v>
      </c>
      <c r="T49" s="553">
        <f>Table22[[#This Row],[GAP under assessment]]</f>
        <v>0</v>
      </c>
      <c r="U49" s="553">
        <f>Table22[[#This Row],[Post-harvest treatment]]</f>
        <v>0</v>
      </c>
      <c r="V49" s="553" t="str">
        <f>Table22[[#This Row],[Chronic RA label]]</f>
        <v/>
      </c>
      <c r="W49" s="553">
        <f>Table22[[#This Row],[Chronic RA input value]]</f>
        <v>0</v>
      </c>
      <c r="X49" s="1684" t="str">
        <f>Table22[[#This Row],[Acute RA label]]</f>
        <v/>
      </c>
      <c r="Y49" s="553">
        <f>Table22[[#This Row],[Acute RA input value]]</f>
        <v>0</v>
      </c>
      <c r="Z49" s="786">
        <f>SUM(Table1[[#This Row],[chronic value &lt;&gt;MRL/LOQ]:[acute vlue&lt;&gt;MRL/LOQ]])</f>
        <v>0</v>
      </c>
      <c r="AA49" s="786">
        <f>IF(AND($F$5="Refined calculation mode",Table1[[#This Row],[GAP under assessment]]="Y"),1,IF(OR(Table1[[#This Row],[Chronic RA label]]="LOQ",Table1[[#This Row],[Chronic RA label]]="",Table1[[#This Row],[Chronic RA label]]="MRL"),0,1))</f>
        <v>0</v>
      </c>
      <c r="AB49" s="787">
        <f>IF(OR(Table1[[#This Row],[Acute RA label]]="LOQ",Table1[[#This Row],[Acute RA label]]="",Table1[[#This Row],[Acute RA label]]="MRL"),0,1)</f>
        <v>0</v>
      </c>
    </row>
    <row r="50" spans="1:28" ht="13.5" hidden="1" thickTop="1" x14ac:dyDescent="0.2">
      <c r="A50" s="815">
        <f>Table1[[#This Row],[Code no.]]</f>
        <v>152000</v>
      </c>
      <c r="B50" s="793" t="str">
        <f>Table1[[#This Row],[Commodity or group of commodities to which the MRLs apply]]</f>
        <v xml:space="preserve">Strawberries </v>
      </c>
      <c r="C50" s="794">
        <f>Table1[[#This Row],[MRL/ proposed MRL /CXL
(mg/kg)]]</f>
        <v>0</v>
      </c>
      <c r="D50" s="795">
        <f>Table1[[#This Row],[Source of MRL]]</f>
        <v>0</v>
      </c>
      <c r="E50" s="797">
        <f>Table1[[#This Row],[Chronic RA input value]]</f>
        <v>0</v>
      </c>
      <c r="F50" s="795" t="str">
        <f>Table1[[#This Row],[Chronic RA label]]</f>
        <v/>
      </c>
      <c r="G50" s="797">
        <f>Table1[[#This Row],[Acute RA input value]]</f>
        <v>0</v>
      </c>
      <c r="H50" s="836" t="str">
        <f>Table1[[#This Row],[Acute RA label]]</f>
        <v/>
      </c>
      <c r="J50" s="553">
        <f>Table22[[#This Row],[Code no.]]</f>
        <v>152000</v>
      </c>
      <c r="K50" s="553" t="str">
        <f>Table22[[#This Row],[Commodity or group of commodities to which the MRLs apply]]</f>
        <v xml:space="preserve">Strawberries </v>
      </c>
      <c r="L50" s="553">
        <f>Table22[[#This Row],[Source / type of MRL]]</f>
        <v>0</v>
      </c>
      <c r="M50" s="553">
        <f>Table22[[#This Row],[MRL/ proposed MRL /CXL
(mg/kg)]]</f>
        <v>0</v>
      </c>
      <c r="N50" s="553">
        <f>Table22[[#This Row],[LOQ]]</f>
        <v>0</v>
      </c>
      <c r="O50" s="553">
        <f>Table22[[#This Row],[CFrisk for residue definition]]</f>
        <v>0</v>
      </c>
      <c r="P50" s="553">
        <f>Table22[[#This Row],[PeF (peeling factor RD enforcemen)]]</f>
        <v>0</v>
      </c>
      <c r="Q50" s="553">
        <f>Table22[[#This Row],[STMR-RAC (median residue)]]</f>
        <v>0</v>
      </c>
      <c r="R50" s="553">
        <f>Table22[[#This Row],[HR-RAC (highest residue)]]</f>
        <v>0</v>
      </c>
      <c r="S50" s="553">
        <f>Table22[[#This Row],[VF (alternative variability factor)]]</f>
        <v>0</v>
      </c>
      <c r="T50" s="553">
        <f>Table22[[#This Row],[GAP under assessment]]</f>
        <v>0</v>
      </c>
      <c r="U50" s="553">
        <f>Table22[[#This Row],[Post-harvest treatment]]</f>
        <v>0</v>
      </c>
      <c r="V50" s="553" t="str">
        <f>Table22[[#This Row],[Chronic RA label]]</f>
        <v/>
      </c>
      <c r="W50" s="553">
        <f>Table22[[#This Row],[Chronic RA input value]]</f>
        <v>0</v>
      </c>
      <c r="X50" s="1684" t="str">
        <f>Table22[[#This Row],[Acute RA label]]</f>
        <v/>
      </c>
      <c r="Y50" s="553">
        <f>Table22[[#This Row],[Acute RA input value]]</f>
        <v>0</v>
      </c>
      <c r="Z50" s="786">
        <f>SUM(Table1[[#This Row],[chronic value &lt;&gt;MRL/LOQ]:[acute vlue&lt;&gt;MRL/LOQ]])</f>
        <v>0</v>
      </c>
      <c r="AA50" s="786">
        <f>IF(AND($F$5="Refined calculation mode",Table1[[#This Row],[GAP under assessment]]="Y"),1,IF(OR(Table1[[#This Row],[Chronic RA label]]="LOQ",Table1[[#This Row],[Chronic RA label]]="",Table1[[#This Row],[Chronic RA label]]="MRL"),0,1))</f>
        <v>0</v>
      </c>
      <c r="AB50" s="787">
        <f>IF(OR(Table1[[#This Row],[Acute RA label]]="LOQ",Table1[[#This Row],[Acute RA label]]="",Table1[[#This Row],[Acute RA label]]="MRL"),0,1)</f>
        <v>0</v>
      </c>
    </row>
    <row r="51" spans="1:28" ht="13.5" hidden="1" thickTop="1" x14ac:dyDescent="0.2">
      <c r="A51" s="815">
        <f>Table1[[#This Row],[Code no.]]</f>
        <v>153000</v>
      </c>
      <c r="B51" s="793" t="str">
        <f>Table1[[#This Row],[Commodity or group of commodities to which the MRLs apply]]</f>
        <v xml:space="preserve">Cane fruit </v>
      </c>
      <c r="C51" s="794">
        <f>Table1[[#This Row],[MRL/ proposed MRL /CXL
(mg/kg)]]</f>
        <v>0</v>
      </c>
      <c r="D51" s="795">
        <f>Table1[[#This Row],[Source of MRL]]</f>
        <v>0</v>
      </c>
      <c r="E51" s="797">
        <f>Table1[[#This Row],[Chronic RA input value]]</f>
        <v>0</v>
      </c>
      <c r="F51" s="795">
        <f>Table1[[#This Row],[Chronic RA label]]</f>
        <v>0</v>
      </c>
      <c r="G51" s="797">
        <f>Table1[[#This Row],[Acute RA input value]]</f>
        <v>0</v>
      </c>
      <c r="H51" s="836">
        <f>Table1[[#This Row],[Acute RA label]]</f>
        <v>0</v>
      </c>
      <c r="J51" s="553">
        <f>Table22[[#This Row],[Code no.]]</f>
        <v>153000</v>
      </c>
      <c r="K51" s="553" t="str">
        <f>Table22[[#This Row],[Commodity or group of commodities to which the MRLs apply]]</f>
        <v xml:space="preserve">Cane fruit </v>
      </c>
      <c r="L51" s="553">
        <f>Table22[[#This Row],[Source / type of MRL]]</f>
        <v>0</v>
      </c>
      <c r="M51" s="553">
        <f>Table22[[#This Row],[MRL/ proposed MRL /CXL
(mg/kg)]]</f>
        <v>0</v>
      </c>
      <c r="N51" s="553">
        <f>Table22[[#This Row],[LOQ]]</f>
        <v>0</v>
      </c>
      <c r="O51" s="553">
        <f>Table22[[#This Row],[CFrisk for residue definition]]</f>
        <v>0</v>
      </c>
      <c r="P51" s="553">
        <f>Table22[[#This Row],[PeF (peeling factor RD enforcemen)]]</f>
        <v>0</v>
      </c>
      <c r="Q51" s="553">
        <f>Table22[[#This Row],[STMR-RAC (median residue)]]</f>
        <v>0</v>
      </c>
      <c r="R51" s="553">
        <f>Table22[[#This Row],[HR-RAC (highest residue)]]</f>
        <v>0</v>
      </c>
      <c r="S51" s="553">
        <f>Table22[[#This Row],[VF (alternative variability factor)]]</f>
        <v>0</v>
      </c>
      <c r="T51" s="553">
        <f>Table22[[#This Row],[GAP under assessment]]</f>
        <v>0</v>
      </c>
      <c r="U51" s="553">
        <f>Table22[[#This Row],[Post-harvest treatment]]</f>
        <v>0</v>
      </c>
      <c r="V51" s="553"/>
      <c r="W51" s="553">
        <f>Table22[[#This Row],[Chronic RA input value]]</f>
        <v>0</v>
      </c>
      <c r="X51" s="1684"/>
      <c r="Y51" s="553">
        <f>Table22[[#This Row],[Acute RA input value]]</f>
        <v>0</v>
      </c>
      <c r="Z51" s="786">
        <f>SUM(Table1[[#This Row],[chronic value &lt;&gt;MRL/LOQ]:[acute vlue&lt;&gt;MRL/LOQ]])</f>
        <v>0</v>
      </c>
      <c r="AA51" s="786">
        <f>IF(AND($F$5="Refined calculation mode",Table1[[#This Row],[GAP under assessment]]="Y"),1,IF(OR(Table1[[#This Row],[Chronic RA label]]="LOQ",Table1[[#This Row],[Chronic RA label]]="",Table1[[#This Row],[Chronic RA label]]="MRL"),0,1))</f>
        <v>0</v>
      </c>
      <c r="AB51" s="787">
        <f>IF(OR(Table1[[#This Row],[Acute RA label]]="LOQ",Table1[[#This Row],[Acute RA label]]="",Table1[[#This Row],[Acute RA label]]="MRL"),0,1)</f>
        <v>0</v>
      </c>
    </row>
    <row r="52" spans="1:28" ht="13.5" hidden="1" thickTop="1" x14ac:dyDescent="0.2">
      <c r="A52" s="815">
        <f>Table1[[#This Row],[Code no.]]</f>
        <v>153010</v>
      </c>
      <c r="B52" s="793" t="str">
        <f>Table1[[#This Row],[Commodity or group of commodities to which the MRLs apply]]</f>
        <v>Blackberries</v>
      </c>
      <c r="C52" s="794">
        <f>Table1[[#This Row],[MRL/ proposed MRL /CXL
(mg/kg)]]</f>
        <v>0</v>
      </c>
      <c r="D52" s="795">
        <f>Table1[[#This Row],[Source of MRL]]</f>
        <v>0</v>
      </c>
      <c r="E52" s="797">
        <f>Table1[[#This Row],[Chronic RA input value]]</f>
        <v>0</v>
      </c>
      <c r="F52" s="795" t="str">
        <f>Table1[[#This Row],[Chronic RA label]]</f>
        <v/>
      </c>
      <c r="G52" s="797">
        <f>Table1[[#This Row],[Acute RA input value]]</f>
        <v>0</v>
      </c>
      <c r="H52" s="836" t="str">
        <f>Table1[[#This Row],[Acute RA label]]</f>
        <v/>
      </c>
      <c r="J52" s="553">
        <f>Table22[[#This Row],[Code no.]]</f>
        <v>153010</v>
      </c>
      <c r="K52" s="553" t="str">
        <f>Table22[[#This Row],[Commodity or group of commodities to which the MRLs apply]]</f>
        <v>Blackberries</v>
      </c>
      <c r="L52" s="553">
        <f>Table22[[#This Row],[Source / type of MRL]]</f>
        <v>0</v>
      </c>
      <c r="M52" s="553">
        <f>Table22[[#This Row],[MRL/ proposed MRL /CXL
(mg/kg)]]</f>
        <v>0</v>
      </c>
      <c r="N52" s="553">
        <f>Table22[[#This Row],[LOQ]]</f>
        <v>0</v>
      </c>
      <c r="O52" s="553">
        <f>Table22[[#This Row],[CFrisk for residue definition]]</f>
        <v>0</v>
      </c>
      <c r="P52" s="553">
        <f>Table22[[#This Row],[PeF (peeling factor RD enforcemen)]]</f>
        <v>0</v>
      </c>
      <c r="Q52" s="553">
        <f>Table22[[#This Row],[STMR-RAC (median residue)]]</f>
        <v>0</v>
      </c>
      <c r="R52" s="553">
        <f>Table22[[#This Row],[HR-RAC (highest residue)]]</f>
        <v>0</v>
      </c>
      <c r="S52" s="553">
        <f>Table22[[#This Row],[VF (alternative variability factor)]]</f>
        <v>0</v>
      </c>
      <c r="T52" s="553">
        <f>Table22[[#This Row],[GAP under assessment]]</f>
        <v>0</v>
      </c>
      <c r="U52" s="553">
        <f>Table22[[#This Row],[Post-harvest treatment]]</f>
        <v>0</v>
      </c>
      <c r="V52" s="553" t="str">
        <f>Table22[[#This Row],[Chronic RA label]]</f>
        <v/>
      </c>
      <c r="W52" s="553">
        <f>Table22[[#This Row],[Chronic RA input value]]</f>
        <v>0</v>
      </c>
      <c r="X52" s="1684" t="str">
        <f>Table22[[#This Row],[Acute RA label]]</f>
        <v/>
      </c>
      <c r="Y52" s="553">
        <f>Table22[[#This Row],[Acute RA input value]]</f>
        <v>0</v>
      </c>
      <c r="Z52" s="786">
        <f>SUM(Table1[[#This Row],[chronic value &lt;&gt;MRL/LOQ]:[acute vlue&lt;&gt;MRL/LOQ]])</f>
        <v>0</v>
      </c>
      <c r="AA52" s="786">
        <f>IF(AND($F$5="Refined calculation mode",Table1[[#This Row],[GAP under assessment]]="Y"),1,IF(OR(Table1[[#This Row],[Chronic RA label]]="LOQ",Table1[[#This Row],[Chronic RA label]]="",Table1[[#This Row],[Chronic RA label]]="MRL"),0,1))</f>
        <v>0</v>
      </c>
      <c r="AB52" s="787">
        <f>IF(OR(Table1[[#This Row],[Acute RA label]]="LOQ",Table1[[#This Row],[Acute RA label]]="",Table1[[#This Row],[Acute RA label]]="MRL"),0,1)</f>
        <v>0</v>
      </c>
    </row>
    <row r="53" spans="1:28" ht="13.5" hidden="1" thickTop="1" x14ac:dyDescent="0.2">
      <c r="A53" s="815">
        <f>Table1[[#This Row],[Code no.]]</f>
        <v>153020</v>
      </c>
      <c r="B53" s="793" t="str">
        <f>Table1[[#This Row],[Commodity or group of commodities to which the MRLs apply]]</f>
        <v>Dewberries</v>
      </c>
      <c r="C53" s="794">
        <f>Table1[[#This Row],[MRL/ proposed MRL /CXL
(mg/kg)]]</f>
        <v>0</v>
      </c>
      <c r="D53" s="795">
        <f>Table1[[#This Row],[Source of MRL]]</f>
        <v>0</v>
      </c>
      <c r="E53" s="797">
        <f>Table1[[#This Row],[Chronic RA input value]]</f>
        <v>0</v>
      </c>
      <c r="F53" s="795" t="str">
        <f>Table1[[#This Row],[Chronic RA label]]</f>
        <v/>
      </c>
      <c r="G53" s="797">
        <f>Table1[[#This Row],[Acute RA input value]]</f>
        <v>0</v>
      </c>
      <c r="H53" s="836" t="str">
        <f>Table1[[#This Row],[Acute RA label]]</f>
        <v/>
      </c>
      <c r="J53" s="553">
        <f>Table22[[#This Row],[Code no.]]</f>
        <v>153020</v>
      </c>
      <c r="K53" s="553" t="str">
        <f>Table22[[#This Row],[Commodity or group of commodities to which the MRLs apply]]</f>
        <v>Dewberries</v>
      </c>
      <c r="L53" s="553">
        <f>Table22[[#This Row],[Source / type of MRL]]</f>
        <v>0</v>
      </c>
      <c r="M53" s="553">
        <f>Table22[[#This Row],[MRL/ proposed MRL /CXL
(mg/kg)]]</f>
        <v>0</v>
      </c>
      <c r="N53" s="553">
        <f>Table22[[#This Row],[LOQ]]</f>
        <v>0</v>
      </c>
      <c r="O53" s="553">
        <f>Table22[[#This Row],[CFrisk for residue definition]]</f>
        <v>0</v>
      </c>
      <c r="P53" s="553">
        <f>Table22[[#This Row],[PeF (peeling factor RD enforcemen)]]</f>
        <v>0</v>
      </c>
      <c r="Q53" s="553">
        <f>Table22[[#This Row],[STMR-RAC (median residue)]]</f>
        <v>0</v>
      </c>
      <c r="R53" s="553">
        <f>Table22[[#This Row],[HR-RAC (highest residue)]]</f>
        <v>0</v>
      </c>
      <c r="S53" s="553">
        <f>Table22[[#This Row],[VF (alternative variability factor)]]</f>
        <v>0</v>
      </c>
      <c r="T53" s="553">
        <f>Table22[[#This Row],[GAP under assessment]]</f>
        <v>0</v>
      </c>
      <c r="U53" s="553">
        <f>Table22[[#This Row],[Post-harvest treatment]]</f>
        <v>0</v>
      </c>
      <c r="V53" s="553" t="str">
        <f>Table22[[#This Row],[Chronic RA label]]</f>
        <v/>
      </c>
      <c r="W53" s="553">
        <f>Table22[[#This Row],[Chronic RA input value]]</f>
        <v>0</v>
      </c>
      <c r="X53" s="1684" t="str">
        <f>Table22[[#This Row],[Acute RA label]]</f>
        <v/>
      </c>
      <c r="Y53" s="553">
        <f>Table22[[#This Row],[Acute RA input value]]</f>
        <v>0</v>
      </c>
      <c r="Z53" s="786">
        <f>SUM(Table1[[#This Row],[chronic value &lt;&gt;MRL/LOQ]:[acute vlue&lt;&gt;MRL/LOQ]])</f>
        <v>0</v>
      </c>
      <c r="AA53" s="786">
        <f>IF(AND($F$5="Refined calculation mode",Table1[[#This Row],[GAP under assessment]]="Y"),1,IF(OR(Table1[[#This Row],[Chronic RA label]]="LOQ",Table1[[#This Row],[Chronic RA label]]="",Table1[[#This Row],[Chronic RA label]]="MRL"),0,1))</f>
        <v>0</v>
      </c>
      <c r="AB53" s="787">
        <f>IF(OR(Table1[[#This Row],[Acute RA label]]="LOQ",Table1[[#This Row],[Acute RA label]]="",Table1[[#This Row],[Acute RA label]]="MRL"),0,1)</f>
        <v>0</v>
      </c>
    </row>
    <row r="54" spans="1:28" ht="21.75" hidden="1" thickTop="1" x14ac:dyDescent="0.2">
      <c r="A54" s="815">
        <f>Table1[[#This Row],[Code no.]]</f>
        <v>153030</v>
      </c>
      <c r="B54" s="793" t="str">
        <f>Table1[[#This Row],[Commodity or group of commodities to which the MRLs apply]]</f>
        <v>Raspberries (red and yellow)</v>
      </c>
      <c r="C54" s="794">
        <f>Table1[[#This Row],[MRL/ proposed MRL /CXL
(mg/kg)]]</f>
        <v>0</v>
      </c>
      <c r="D54" s="795">
        <f>Table1[[#This Row],[Source of MRL]]</f>
        <v>0</v>
      </c>
      <c r="E54" s="797">
        <f>Table1[[#This Row],[Chronic RA input value]]</f>
        <v>0</v>
      </c>
      <c r="F54" s="795" t="str">
        <f>Table1[[#This Row],[Chronic RA label]]</f>
        <v/>
      </c>
      <c r="G54" s="797">
        <f>Table1[[#This Row],[Acute RA input value]]</f>
        <v>0</v>
      </c>
      <c r="H54" s="836" t="str">
        <f>Table1[[#This Row],[Acute RA label]]</f>
        <v/>
      </c>
      <c r="J54" s="553">
        <f>Table22[[#This Row],[Code no.]]</f>
        <v>153030</v>
      </c>
      <c r="K54" s="553" t="str">
        <f>Table22[[#This Row],[Commodity or group of commodities to which the MRLs apply]]</f>
        <v>Raspberries (red and yellow)</v>
      </c>
      <c r="L54" s="553">
        <f>Table22[[#This Row],[Source / type of MRL]]</f>
        <v>0</v>
      </c>
      <c r="M54" s="553">
        <f>Table22[[#This Row],[MRL/ proposed MRL /CXL
(mg/kg)]]</f>
        <v>0</v>
      </c>
      <c r="N54" s="553">
        <f>Table22[[#This Row],[LOQ]]</f>
        <v>0</v>
      </c>
      <c r="O54" s="553">
        <f>Table22[[#This Row],[CFrisk for residue definition]]</f>
        <v>0</v>
      </c>
      <c r="P54" s="553">
        <f>Table22[[#This Row],[PeF (peeling factor RD enforcemen)]]</f>
        <v>0</v>
      </c>
      <c r="Q54" s="553">
        <f>Table22[[#This Row],[STMR-RAC (median residue)]]</f>
        <v>0</v>
      </c>
      <c r="R54" s="553">
        <f>Table22[[#This Row],[HR-RAC (highest residue)]]</f>
        <v>0</v>
      </c>
      <c r="S54" s="553">
        <f>Table22[[#This Row],[VF (alternative variability factor)]]</f>
        <v>0</v>
      </c>
      <c r="T54" s="553">
        <f>Table22[[#This Row],[GAP under assessment]]</f>
        <v>0</v>
      </c>
      <c r="U54" s="553">
        <f>Table22[[#This Row],[Post-harvest treatment]]</f>
        <v>0</v>
      </c>
      <c r="V54" s="553" t="str">
        <f>Table22[[#This Row],[Chronic RA label]]</f>
        <v/>
      </c>
      <c r="W54" s="553">
        <f>Table22[[#This Row],[Chronic RA input value]]</f>
        <v>0</v>
      </c>
      <c r="X54" s="1684" t="str">
        <f>Table22[[#This Row],[Acute RA label]]</f>
        <v/>
      </c>
      <c r="Y54" s="553">
        <f>Table22[[#This Row],[Acute RA input value]]</f>
        <v>0</v>
      </c>
      <c r="Z54" s="786">
        <f>SUM(Table1[[#This Row],[chronic value &lt;&gt;MRL/LOQ]:[acute vlue&lt;&gt;MRL/LOQ]])</f>
        <v>0</v>
      </c>
      <c r="AA54" s="786">
        <f>IF(AND($F$5="Refined calculation mode",Table1[[#This Row],[GAP under assessment]]="Y"),1,IF(OR(Table1[[#This Row],[Chronic RA label]]="LOQ",Table1[[#This Row],[Chronic RA label]]="",Table1[[#This Row],[Chronic RA label]]="MRL"),0,1))</f>
        <v>0</v>
      </c>
      <c r="AB54" s="787">
        <f>IF(OR(Table1[[#This Row],[Acute RA label]]="LOQ",Table1[[#This Row],[Acute RA label]]="",Table1[[#This Row],[Acute RA label]]="MRL"),0,1)</f>
        <v>0</v>
      </c>
    </row>
    <row r="55" spans="1:28" ht="13.5" hidden="1" thickTop="1" x14ac:dyDescent="0.2">
      <c r="A55" s="815">
        <f>Table1[[#This Row],[Code no.]]</f>
        <v>153990</v>
      </c>
      <c r="B55" s="793" t="str">
        <f>Table1[[#This Row],[Commodity or group of commodities to which the MRLs apply]]</f>
        <v>Other cane fruit</v>
      </c>
      <c r="C55" s="794">
        <f>Table1[[#This Row],[MRL/ proposed MRL /CXL
(mg/kg)]]</f>
        <v>0</v>
      </c>
      <c r="D55" s="795">
        <f>Table1[[#This Row],[Source of MRL]]</f>
        <v>0</v>
      </c>
      <c r="E55" s="797">
        <f>Table1[[#This Row],[Chronic RA input value]]</f>
        <v>0</v>
      </c>
      <c r="F55" s="795" t="str">
        <f>Table1[[#This Row],[Chronic RA label]]</f>
        <v/>
      </c>
      <c r="G55" s="797">
        <f>Table1[[#This Row],[Acute RA input value]]</f>
        <v>0</v>
      </c>
      <c r="H55" s="836">
        <f>Table1[[#This Row],[Acute RA label]]</f>
        <v>0</v>
      </c>
      <c r="J55" s="553">
        <f>Table22[[#This Row],[Code no.]]</f>
        <v>153990</v>
      </c>
      <c r="K55" s="553" t="str">
        <f>Table22[[#This Row],[Commodity or group of commodities to which the MRLs apply]]</f>
        <v>Other cane fruit</v>
      </c>
      <c r="L55" s="553">
        <f>Table22[[#This Row],[Source / type of MRL]]</f>
        <v>0</v>
      </c>
      <c r="M55" s="553">
        <f>Table22[[#This Row],[MRL/ proposed MRL /CXL
(mg/kg)]]</f>
        <v>0</v>
      </c>
      <c r="N55" s="553">
        <f>Table22[[#This Row],[LOQ]]</f>
        <v>0</v>
      </c>
      <c r="O55" s="553">
        <f>Table22[[#This Row],[CFrisk for residue definition]]</f>
        <v>0</v>
      </c>
      <c r="P55" s="553">
        <f>Table22[[#This Row],[PeF (peeling factor RD enforcemen)]]</f>
        <v>0</v>
      </c>
      <c r="Q55" s="553">
        <f>Table22[[#This Row],[STMR-RAC (median residue)]]</f>
        <v>0</v>
      </c>
      <c r="R55" s="553">
        <f>Table22[[#This Row],[HR-RAC (highest residue)]]</f>
        <v>0</v>
      </c>
      <c r="S55" s="553">
        <f>Table22[[#This Row],[VF (alternative variability factor)]]</f>
        <v>0</v>
      </c>
      <c r="T55" s="553">
        <f>Table22[[#This Row],[GAP under assessment]]</f>
        <v>0</v>
      </c>
      <c r="U55" s="553">
        <f>Table22[[#This Row],[Post-harvest treatment]]</f>
        <v>0</v>
      </c>
      <c r="V55" s="553" t="str">
        <f>Table22[[#This Row],[Chronic RA label]]</f>
        <v/>
      </c>
      <c r="W55" s="553">
        <f>Table22[[#This Row],[Chronic RA input value]]</f>
        <v>0</v>
      </c>
      <c r="X55" s="1684"/>
      <c r="Y55" s="553">
        <f>Table22[[#This Row],[Acute RA input value]]</f>
        <v>0</v>
      </c>
      <c r="Z55" s="786">
        <f>SUM(Table1[[#This Row],[chronic value &lt;&gt;MRL/LOQ]:[acute vlue&lt;&gt;MRL/LOQ]])</f>
        <v>0</v>
      </c>
      <c r="AA55" s="786">
        <f>IF(AND($F$5="Refined calculation mode",Table1[[#This Row],[GAP under assessment]]="Y"),1,IF(OR(Table1[[#This Row],[Chronic RA label]]="LOQ",Table1[[#This Row],[Chronic RA label]]="",Table1[[#This Row],[Chronic RA label]]="MRL"),0,1))</f>
        <v>0</v>
      </c>
      <c r="AB55" s="787">
        <f>IF(OR(Table1[[#This Row],[Acute RA label]]="LOQ",Table1[[#This Row],[Acute RA label]]="",Table1[[#This Row],[Acute RA label]]="MRL"),0,1)</f>
        <v>0</v>
      </c>
    </row>
    <row r="56" spans="1:28" ht="21.75" hidden="1" thickTop="1" x14ac:dyDescent="0.2">
      <c r="A56" s="815">
        <f>Table1[[#This Row],[Code no.]]</f>
        <v>154000</v>
      </c>
      <c r="B56" s="793" t="str">
        <f>Table1[[#This Row],[Commodity or group of commodities to which the MRLs apply]]</f>
        <v xml:space="preserve">Other small fruit &amp; berries </v>
      </c>
      <c r="C56" s="794">
        <f>Table1[[#This Row],[MRL/ proposed MRL /CXL
(mg/kg)]]</f>
        <v>0</v>
      </c>
      <c r="D56" s="795">
        <f>Table1[[#This Row],[Source of MRL]]</f>
        <v>0</v>
      </c>
      <c r="E56" s="797">
        <f>Table1[[#This Row],[Chronic RA input value]]</f>
        <v>0</v>
      </c>
      <c r="F56" s="795">
        <f>Table1[[#This Row],[Chronic RA label]]</f>
        <v>0</v>
      </c>
      <c r="G56" s="797">
        <f>Table1[[#This Row],[Acute RA input value]]</f>
        <v>0</v>
      </c>
      <c r="H56" s="836">
        <f>Table1[[#This Row],[Acute RA label]]</f>
        <v>0</v>
      </c>
      <c r="J56" s="553">
        <f>Table22[[#This Row],[Code no.]]</f>
        <v>154000</v>
      </c>
      <c r="K56" s="553" t="str">
        <f>Table22[[#This Row],[Commodity or group of commodities to which the MRLs apply]]</f>
        <v xml:space="preserve">Other small fruit &amp; berries </v>
      </c>
      <c r="L56" s="553">
        <f>Table22[[#This Row],[Source / type of MRL]]</f>
        <v>0</v>
      </c>
      <c r="M56" s="553">
        <f>Table22[[#This Row],[MRL/ proposed MRL /CXL
(mg/kg)]]</f>
        <v>0</v>
      </c>
      <c r="N56" s="553">
        <f>Table22[[#This Row],[LOQ]]</f>
        <v>0</v>
      </c>
      <c r="O56" s="553">
        <f>Table22[[#This Row],[CFrisk for residue definition]]</f>
        <v>0</v>
      </c>
      <c r="P56" s="553">
        <f>Table22[[#This Row],[PeF (peeling factor RD enforcemen)]]</f>
        <v>0</v>
      </c>
      <c r="Q56" s="553">
        <f>Table22[[#This Row],[STMR-RAC (median residue)]]</f>
        <v>0</v>
      </c>
      <c r="R56" s="553">
        <f>Table22[[#This Row],[HR-RAC (highest residue)]]</f>
        <v>0</v>
      </c>
      <c r="S56" s="553">
        <f>Table22[[#This Row],[VF (alternative variability factor)]]</f>
        <v>0</v>
      </c>
      <c r="T56" s="553">
        <f>Table22[[#This Row],[GAP under assessment]]</f>
        <v>0</v>
      </c>
      <c r="U56" s="553">
        <f>Table22[[#This Row],[Post-harvest treatment]]</f>
        <v>0</v>
      </c>
      <c r="V56" s="553"/>
      <c r="W56" s="553">
        <f>Table22[[#This Row],[Chronic RA input value]]</f>
        <v>0</v>
      </c>
      <c r="X56" s="1684"/>
      <c r="Y56" s="553">
        <f>Table22[[#This Row],[Acute RA input value]]</f>
        <v>0</v>
      </c>
      <c r="Z56" s="786">
        <f>SUM(Table1[[#This Row],[chronic value &lt;&gt;MRL/LOQ]:[acute vlue&lt;&gt;MRL/LOQ]])</f>
        <v>0</v>
      </c>
      <c r="AA56" s="786">
        <f>IF(AND($F$5="Refined calculation mode",Table1[[#This Row],[GAP under assessment]]="Y"),1,IF(OR(Table1[[#This Row],[Chronic RA label]]="LOQ",Table1[[#This Row],[Chronic RA label]]="",Table1[[#This Row],[Chronic RA label]]="MRL"),0,1))</f>
        <v>0</v>
      </c>
      <c r="AB56" s="787">
        <f>IF(OR(Table1[[#This Row],[Acute RA label]]="LOQ",Table1[[#This Row],[Acute RA label]]="",Table1[[#This Row],[Acute RA label]]="MRL"),0,1)</f>
        <v>0</v>
      </c>
    </row>
    <row r="57" spans="1:28" ht="13.5" hidden="1" thickTop="1" x14ac:dyDescent="0.2">
      <c r="A57" s="815">
        <f>Table1[[#This Row],[Code no.]]</f>
        <v>154010</v>
      </c>
      <c r="B57" s="793" t="str">
        <f>Table1[[#This Row],[Commodity or group of commodities to which the MRLs apply]]</f>
        <v>Blueberries</v>
      </c>
      <c r="C57" s="794">
        <f>Table1[[#This Row],[MRL/ proposed MRL /CXL
(mg/kg)]]</f>
        <v>0</v>
      </c>
      <c r="D57" s="795">
        <f>Table1[[#This Row],[Source of MRL]]</f>
        <v>0</v>
      </c>
      <c r="E57" s="797">
        <f>Table1[[#This Row],[Chronic RA input value]]</f>
        <v>0</v>
      </c>
      <c r="F57" s="795" t="str">
        <f>Table1[[#This Row],[Chronic RA label]]</f>
        <v/>
      </c>
      <c r="G57" s="797">
        <f>Table1[[#This Row],[Acute RA input value]]</f>
        <v>0</v>
      </c>
      <c r="H57" s="836" t="str">
        <f>Table1[[#This Row],[Acute RA label]]</f>
        <v/>
      </c>
      <c r="J57" s="553">
        <f>Table22[[#This Row],[Code no.]]</f>
        <v>154010</v>
      </c>
      <c r="K57" s="553" t="str">
        <f>Table22[[#This Row],[Commodity or group of commodities to which the MRLs apply]]</f>
        <v>Blueberries</v>
      </c>
      <c r="L57" s="553">
        <f>Table22[[#This Row],[Source / type of MRL]]</f>
        <v>0</v>
      </c>
      <c r="M57" s="553">
        <f>Table22[[#This Row],[MRL/ proposed MRL /CXL
(mg/kg)]]</f>
        <v>0</v>
      </c>
      <c r="N57" s="553">
        <f>Table22[[#This Row],[LOQ]]</f>
        <v>0</v>
      </c>
      <c r="O57" s="553">
        <f>Table22[[#This Row],[CFrisk for residue definition]]</f>
        <v>0</v>
      </c>
      <c r="P57" s="553">
        <f>Table22[[#This Row],[PeF (peeling factor RD enforcemen)]]</f>
        <v>0</v>
      </c>
      <c r="Q57" s="553">
        <f>Table22[[#This Row],[STMR-RAC (median residue)]]</f>
        <v>0</v>
      </c>
      <c r="R57" s="553">
        <f>Table22[[#This Row],[HR-RAC (highest residue)]]</f>
        <v>0</v>
      </c>
      <c r="S57" s="553">
        <f>Table22[[#This Row],[VF (alternative variability factor)]]</f>
        <v>0</v>
      </c>
      <c r="T57" s="553">
        <f>Table22[[#This Row],[GAP under assessment]]</f>
        <v>0</v>
      </c>
      <c r="U57" s="553">
        <f>Table22[[#This Row],[Post-harvest treatment]]</f>
        <v>0</v>
      </c>
      <c r="V57" s="553" t="str">
        <f>Table22[[#This Row],[Chronic RA label]]</f>
        <v/>
      </c>
      <c r="W57" s="553">
        <f>Table22[[#This Row],[Chronic RA input value]]</f>
        <v>0</v>
      </c>
      <c r="X57" s="1684" t="str">
        <f>Table22[[#This Row],[Acute RA label]]</f>
        <v/>
      </c>
      <c r="Y57" s="553">
        <f>Table22[[#This Row],[Acute RA input value]]</f>
        <v>0</v>
      </c>
      <c r="Z57" s="786">
        <f>SUM(Table1[[#This Row],[chronic value &lt;&gt;MRL/LOQ]:[acute vlue&lt;&gt;MRL/LOQ]])</f>
        <v>0</v>
      </c>
      <c r="AA57" s="786">
        <f>IF(AND($F$5="Refined calculation mode",Table1[[#This Row],[GAP under assessment]]="Y"),1,IF(OR(Table1[[#This Row],[Chronic RA label]]="LOQ",Table1[[#This Row],[Chronic RA label]]="",Table1[[#This Row],[Chronic RA label]]="MRL"),0,1))</f>
        <v>0</v>
      </c>
      <c r="AB57" s="787">
        <f>IF(OR(Table1[[#This Row],[Acute RA label]]="LOQ",Table1[[#This Row],[Acute RA label]]="",Table1[[#This Row],[Acute RA label]]="MRL"),0,1)</f>
        <v>0</v>
      </c>
    </row>
    <row r="58" spans="1:28" ht="13.5" hidden="1" thickTop="1" x14ac:dyDescent="0.2">
      <c r="A58" s="815">
        <f>Table1[[#This Row],[Code no.]]</f>
        <v>154020</v>
      </c>
      <c r="B58" s="793" t="str">
        <f>Table1[[#This Row],[Commodity or group of commodities to which the MRLs apply]]</f>
        <v>Cranberries</v>
      </c>
      <c r="C58" s="794">
        <f>Table1[[#This Row],[MRL/ proposed MRL /CXL
(mg/kg)]]</f>
        <v>0</v>
      </c>
      <c r="D58" s="795">
        <f>Table1[[#This Row],[Source of MRL]]</f>
        <v>0</v>
      </c>
      <c r="E58" s="797">
        <f>Table1[[#This Row],[Chronic RA input value]]</f>
        <v>0</v>
      </c>
      <c r="F58" s="795" t="str">
        <f>Table1[[#This Row],[Chronic RA label]]</f>
        <v/>
      </c>
      <c r="G58" s="797">
        <f>Table1[[#This Row],[Acute RA input value]]</f>
        <v>0</v>
      </c>
      <c r="H58" s="836" t="str">
        <f>Table1[[#This Row],[Acute RA label]]</f>
        <v/>
      </c>
      <c r="J58" s="553">
        <f>Table22[[#This Row],[Code no.]]</f>
        <v>154020</v>
      </c>
      <c r="K58" s="553" t="str">
        <f>Table22[[#This Row],[Commodity or group of commodities to which the MRLs apply]]</f>
        <v>Cranberries</v>
      </c>
      <c r="L58" s="553">
        <f>Table22[[#This Row],[Source / type of MRL]]</f>
        <v>0</v>
      </c>
      <c r="M58" s="553">
        <f>Table22[[#This Row],[MRL/ proposed MRL /CXL
(mg/kg)]]</f>
        <v>0</v>
      </c>
      <c r="N58" s="553">
        <f>Table22[[#This Row],[LOQ]]</f>
        <v>0</v>
      </c>
      <c r="O58" s="553">
        <f>Table22[[#This Row],[CFrisk for residue definition]]</f>
        <v>0</v>
      </c>
      <c r="P58" s="553">
        <f>Table22[[#This Row],[PeF (peeling factor RD enforcemen)]]</f>
        <v>0</v>
      </c>
      <c r="Q58" s="553">
        <f>Table22[[#This Row],[STMR-RAC (median residue)]]</f>
        <v>0</v>
      </c>
      <c r="R58" s="553">
        <f>Table22[[#This Row],[HR-RAC (highest residue)]]</f>
        <v>0</v>
      </c>
      <c r="S58" s="553">
        <f>Table22[[#This Row],[VF (alternative variability factor)]]</f>
        <v>0</v>
      </c>
      <c r="T58" s="553">
        <f>Table22[[#This Row],[GAP under assessment]]</f>
        <v>0</v>
      </c>
      <c r="U58" s="553">
        <f>Table22[[#This Row],[Post-harvest treatment]]</f>
        <v>0</v>
      </c>
      <c r="V58" s="553" t="str">
        <f>Table22[[#This Row],[Chronic RA label]]</f>
        <v/>
      </c>
      <c r="W58" s="553">
        <f>Table22[[#This Row],[Chronic RA input value]]</f>
        <v>0</v>
      </c>
      <c r="X58" s="1684" t="str">
        <f>Table22[[#This Row],[Acute RA label]]</f>
        <v/>
      </c>
      <c r="Y58" s="553">
        <f>Table22[[#This Row],[Acute RA input value]]</f>
        <v>0</v>
      </c>
      <c r="Z58" s="786">
        <f>SUM(Table1[[#This Row],[chronic value &lt;&gt;MRL/LOQ]:[acute vlue&lt;&gt;MRL/LOQ]])</f>
        <v>0</v>
      </c>
      <c r="AA58" s="786">
        <f>IF(AND($F$5="Refined calculation mode",Table1[[#This Row],[GAP under assessment]]="Y"),1,IF(OR(Table1[[#This Row],[Chronic RA label]]="LOQ",Table1[[#This Row],[Chronic RA label]]="",Table1[[#This Row],[Chronic RA label]]="MRL"),0,1))</f>
        <v>0</v>
      </c>
      <c r="AB58" s="787">
        <f>IF(OR(Table1[[#This Row],[Acute RA label]]="LOQ",Table1[[#This Row],[Acute RA label]]="",Table1[[#This Row],[Acute RA label]]="MRL"),0,1)</f>
        <v>0</v>
      </c>
    </row>
    <row r="59" spans="1:28" ht="21.75" hidden="1" thickTop="1" x14ac:dyDescent="0.2">
      <c r="A59" s="815">
        <f>Table1[[#This Row],[Code no.]]</f>
        <v>154030</v>
      </c>
      <c r="B59" s="793" t="str">
        <f>Table1[[#This Row],[Commodity or group of commodities to which the MRLs apply]]</f>
        <v>Currants (red, black and white)</v>
      </c>
      <c r="C59" s="794">
        <f>Table1[[#This Row],[MRL/ proposed MRL /CXL
(mg/kg)]]</f>
        <v>0</v>
      </c>
      <c r="D59" s="795">
        <f>Table1[[#This Row],[Source of MRL]]</f>
        <v>0</v>
      </c>
      <c r="E59" s="797">
        <f>Table1[[#This Row],[Chronic RA input value]]</f>
        <v>0</v>
      </c>
      <c r="F59" s="795" t="str">
        <f>Table1[[#This Row],[Chronic RA label]]</f>
        <v/>
      </c>
      <c r="G59" s="797">
        <f>Table1[[#This Row],[Acute RA input value]]</f>
        <v>0</v>
      </c>
      <c r="H59" s="836" t="str">
        <f>Table1[[#This Row],[Acute RA label]]</f>
        <v/>
      </c>
      <c r="J59" s="553">
        <f>Table22[[#This Row],[Code no.]]</f>
        <v>154030</v>
      </c>
      <c r="K59" s="553" t="str">
        <f>Table22[[#This Row],[Commodity or group of commodities to which the MRLs apply]]</f>
        <v>Currants (red, black and white)</v>
      </c>
      <c r="L59" s="553">
        <f>Table22[[#This Row],[Source / type of MRL]]</f>
        <v>0</v>
      </c>
      <c r="M59" s="553">
        <f>Table22[[#This Row],[MRL/ proposed MRL /CXL
(mg/kg)]]</f>
        <v>0</v>
      </c>
      <c r="N59" s="553">
        <f>Table22[[#This Row],[LOQ]]</f>
        <v>0</v>
      </c>
      <c r="O59" s="553">
        <f>Table22[[#This Row],[CFrisk for residue definition]]</f>
        <v>0</v>
      </c>
      <c r="P59" s="553">
        <f>Table22[[#This Row],[PeF (peeling factor RD enforcemen)]]</f>
        <v>0</v>
      </c>
      <c r="Q59" s="553">
        <f>Table22[[#This Row],[STMR-RAC (median residue)]]</f>
        <v>0</v>
      </c>
      <c r="R59" s="553">
        <f>Table22[[#This Row],[HR-RAC (highest residue)]]</f>
        <v>0</v>
      </c>
      <c r="S59" s="553">
        <f>Table22[[#This Row],[VF (alternative variability factor)]]</f>
        <v>0</v>
      </c>
      <c r="T59" s="553">
        <f>Table22[[#This Row],[GAP under assessment]]</f>
        <v>0</v>
      </c>
      <c r="U59" s="553">
        <f>Table22[[#This Row],[Post-harvest treatment]]</f>
        <v>0</v>
      </c>
      <c r="V59" s="553" t="str">
        <f>Table22[[#This Row],[Chronic RA label]]</f>
        <v/>
      </c>
      <c r="W59" s="553">
        <f>Table22[[#This Row],[Chronic RA input value]]</f>
        <v>0</v>
      </c>
      <c r="X59" s="1684" t="str">
        <f>Table22[[#This Row],[Acute RA label]]</f>
        <v/>
      </c>
      <c r="Y59" s="553">
        <f>Table22[[#This Row],[Acute RA input value]]</f>
        <v>0</v>
      </c>
      <c r="Z59" s="786">
        <f>SUM(Table1[[#This Row],[chronic value &lt;&gt;MRL/LOQ]:[acute vlue&lt;&gt;MRL/LOQ]])</f>
        <v>0</v>
      </c>
      <c r="AA59" s="786">
        <f>IF(AND($F$5="Refined calculation mode",Table1[[#This Row],[GAP under assessment]]="Y"),1,IF(OR(Table1[[#This Row],[Chronic RA label]]="LOQ",Table1[[#This Row],[Chronic RA label]]="",Table1[[#This Row],[Chronic RA label]]="MRL"),0,1))</f>
        <v>0</v>
      </c>
      <c r="AB59" s="787">
        <f>IF(OR(Table1[[#This Row],[Acute RA label]]="LOQ",Table1[[#This Row],[Acute RA label]]="",Table1[[#This Row],[Acute RA label]]="MRL"),0,1)</f>
        <v>0</v>
      </c>
    </row>
    <row r="60" spans="1:28" ht="32.25" hidden="1" thickTop="1" x14ac:dyDescent="0.2">
      <c r="A60" s="815">
        <f>Table1[[#This Row],[Code no.]]</f>
        <v>154040</v>
      </c>
      <c r="B60" s="793" t="str">
        <f>Table1[[#This Row],[Commodity or group of commodities to which the MRLs apply]]</f>
        <v>Gooseberries (green, red and yellow)</v>
      </c>
      <c r="C60" s="794">
        <f>Table1[[#This Row],[MRL/ proposed MRL /CXL
(mg/kg)]]</f>
        <v>0</v>
      </c>
      <c r="D60" s="795">
        <f>Table1[[#This Row],[Source of MRL]]</f>
        <v>0</v>
      </c>
      <c r="E60" s="797">
        <f>Table1[[#This Row],[Chronic RA input value]]</f>
        <v>0</v>
      </c>
      <c r="F60" s="795" t="str">
        <f>Table1[[#This Row],[Chronic RA label]]</f>
        <v/>
      </c>
      <c r="G60" s="797">
        <f>Table1[[#This Row],[Acute RA input value]]</f>
        <v>0</v>
      </c>
      <c r="H60" s="836" t="str">
        <f>Table1[[#This Row],[Acute RA label]]</f>
        <v/>
      </c>
      <c r="J60" s="553">
        <f>Table22[[#This Row],[Code no.]]</f>
        <v>154040</v>
      </c>
      <c r="K60" s="553" t="str">
        <f>Table22[[#This Row],[Commodity or group of commodities to which the MRLs apply]]</f>
        <v>Gooseberries (green, red and yellow)</v>
      </c>
      <c r="L60" s="553">
        <f>Table22[[#This Row],[Source / type of MRL]]</f>
        <v>0</v>
      </c>
      <c r="M60" s="553">
        <f>Table22[[#This Row],[MRL/ proposed MRL /CXL
(mg/kg)]]</f>
        <v>0</v>
      </c>
      <c r="N60" s="553">
        <f>Table22[[#This Row],[LOQ]]</f>
        <v>0</v>
      </c>
      <c r="O60" s="553">
        <f>Table22[[#This Row],[CFrisk for residue definition]]</f>
        <v>0</v>
      </c>
      <c r="P60" s="553">
        <f>Table22[[#This Row],[PeF (peeling factor RD enforcemen)]]</f>
        <v>0</v>
      </c>
      <c r="Q60" s="553">
        <f>Table22[[#This Row],[STMR-RAC (median residue)]]</f>
        <v>0</v>
      </c>
      <c r="R60" s="553">
        <f>Table22[[#This Row],[HR-RAC (highest residue)]]</f>
        <v>0</v>
      </c>
      <c r="S60" s="553">
        <f>Table22[[#This Row],[VF (alternative variability factor)]]</f>
        <v>0</v>
      </c>
      <c r="T60" s="553">
        <f>Table22[[#This Row],[GAP under assessment]]</f>
        <v>0</v>
      </c>
      <c r="U60" s="553">
        <f>Table22[[#This Row],[Post-harvest treatment]]</f>
        <v>0</v>
      </c>
      <c r="V60" s="553" t="str">
        <f>Table22[[#This Row],[Chronic RA label]]</f>
        <v/>
      </c>
      <c r="W60" s="553">
        <f>Table22[[#This Row],[Chronic RA input value]]</f>
        <v>0</v>
      </c>
      <c r="X60" s="1684" t="str">
        <f>Table22[[#This Row],[Acute RA label]]</f>
        <v/>
      </c>
      <c r="Y60" s="553">
        <f>Table22[[#This Row],[Acute RA input value]]</f>
        <v>0</v>
      </c>
      <c r="Z60" s="786">
        <f>SUM(Table1[[#This Row],[chronic value &lt;&gt;MRL/LOQ]:[acute vlue&lt;&gt;MRL/LOQ]])</f>
        <v>0</v>
      </c>
      <c r="AA60" s="786">
        <f>IF(AND($F$5="Refined calculation mode",Table1[[#This Row],[GAP under assessment]]="Y"),1,IF(OR(Table1[[#This Row],[Chronic RA label]]="LOQ",Table1[[#This Row],[Chronic RA label]]="",Table1[[#This Row],[Chronic RA label]]="MRL"),0,1))</f>
        <v>0</v>
      </c>
      <c r="AB60" s="787">
        <f>IF(OR(Table1[[#This Row],[Acute RA label]]="LOQ",Table1[[#This Row],[Acute RA label]]="",Table1[[#This Row],[Acute RA label]]="MRL"),0,1)</f>
        <v>0</v>
      </c>
    </row>
    <row r="61" spans="1:28" ht="13.5" hidden="1" thickTop="1" x14ac:dyDescent="0.2">
      <c r="A61" s="815">
        <f>Table1[[#This Row],[Code no.]]</f>
        <v>154050</v>
      </c>
      <c r="B61" s="793" t="str">
        <f>Table1[[#This Row],[Commodity or group of commodities to which the MRLs apply]]</f>
        <v>Rose hips</v>
      </c>
      <c r="C61" s="794">
        <f>Table1[[#This Row],[MRL/ proposed MRL /CXL
(mg/kg)]]</f>
        <v>0</v>
      </c>
      <c r="D61" s="795">
        <f>Table1[[#This Row],[Source of MRL]]</f>
        <v>0</v>
      </c>
      <c r="E61" s="797">
        <f>Table1[[#This Row],[Chronic RA input value]]</f>
        <v>0</v>
      </c>
      <c r="F61" s="795" t="str">
        <f>Table1[[#This Row],[Chronic RA label]]</f>
        <v/>
      </c>
      <c r="G61" s="797">
        <f>Table1[[#This Row],[Acute RA input value]]</f>
        <v>0</v>
      </c>
      <c r="H61" s="836" t="str">
        <f>Table1[[#This Row],[Acute RA label]]</f>
        <v/>
      </c>
      <c r="J61" s="553">
        <f>Table22[[#This Row],[Code no.]]</f>
        <v>154050</v>
      </c>
      <c r="K61" s="553" t="str">
        <f>Table22[[#This Row],[Commodity or group of commodities to which the MRLs apply]]</f>
        <v>Rose hips</v>
      </c>
      <c r="L61" s="553">
        <f>Table22[[#This Row],[Source / type of MRL]]</f>
        <v>0</v>
      </c>
      <c r="M61" s="553">
        <f>Table22[[#This Row],[MRL/ proposed MRL /CXL
(mg/kg)]]</f>
        <v>0</v>
      </c>
      <c r="N61" s="553">
        <f>Table22[[#This Row],[LOQ]]</f>
        <v>0</v>
      </c>
      <c r="O61" s="553">
        <f>Table22[[#This Row],[CFrisk for residue definition]]</f>
        <v>0</v>
      </c>
      <c r="P61" s="553">
        <f>Table22[[#This Row],[PeF (peeling factor RD enforcemen)]]</f>
        <v>0</v>
      </c>
      <c r="Q61" s="553">
        <f>Table22[[#This Row],[STMR-RAC (median residue)]]</f>
        <v>0</v>
      </c>
      <c r="R61" s="553">
        <f>Table22[[#This Row],[HR-RAC (highest residue)]]</f>
        <v>0</v>
      </c>
      <c r="S61" s="553">
        <f>Table22[[#This Row],[VF (alternative variability factor)]]</f>
        <v>0</v>
      </c>
      <c r="T61" s="553">
        <f>Table22[[#This Row],[GAP under assessment]]</f>
        <v>0</v>
      </c>
      <c r="U61" s="553">
        <f>Table22[[#This Row],[Post-harvest treatment]]</f>
        <v>0</v>
      </c>
      <c r="V61" s="553" t="str">
        <f>Table22[[#This Row],[Chronic RA label]]</f>
        <v/>
      </c>
      <c r="W61" s="553">
        <f>Table22[[#This Row],[Chronic RA input value]]</f>
        <v>0</v>
      </c>
      <c r="X61" s="1684" t="str">
        <f>Table22[[#This Row],[Acute RA label]]</f>
        <v/>
      </c>
      <c r="Y61" s="553">
        <f>Table22[[#This Row],[Acute RA input value]]</f>
        <v>0</v>
      </c>
      <c r="Z61" s="786">
        <f>SUM(Table1[[#This Row],[chronic value &lt;&gt;MRL/LOQ]:[acute vlue&lt;&gt;MRL/LOQ]])</f>
        <v>0</v>
      </c>
      <c r="AA61" s="786">
        <f>IF(AND($F$5="Refined calculation mode",Table1[[#This Row],[GAP under assessment]]="Y"),1,IF(OR(Table1[[#This Row],[Chronic RA label]]="LOQ",Table1[[#This Row],[Chronic RA label]]="",Table1[[#This Row],[Chronic RA label]]="MRL"),0,1))</f>
        <v>0</v>
      </c>
      <c r="AB61" s="787">
        <f>IF(OR(Table1[[#This Row],[Acute RA label]]="LOQ",Table1[[#This Row],[Acute RA label]]="",Table1[[#This Row],[Acute RA label]]="MRL"),0,1)</f>
        <v>0</v>
      </c>
    </row>
    <row r="62" spans="1:28" ht="21.75" hidden="1" thickTop="1" x14ac:dyDescent="0.2">
      <c r="A62" s="815">
        <f>Table1[[#This Row],[Code no.]]</f>
        <v>154060</v>
      </c>
      <c r="B62" s="793" t="str">
        <f>Table1[[#This Row],[Commodity or group of commodities to which the MRLs apply]]</f>
        <v>Mulberries (black and white)</v>
      </c>
      <c r="C62" s="794">
        <f>Table1[[#This Row],[MRL/ proposed MRL /CXL
(mg/kg)]]</f>
        <v>0</v>
      </c>
      <c r="D62" s="795">
        <f>Table1[[#This Row],[Source of MRL]]</f>
        <v>0</v>
      </c>
      <c r="E62" s="797">
        <f>Table1[[#This Row],[Chronic RA input value]]</f>
        <v>0</v>
      </c>
      <c r="F62" s="795" t="str">
        <f>Table1[[#This Row],[Chronic RA label]]</f>
        <v/>
      </c>
      <c r="G62" s="797">
        <f>Table1[[#This Row],[Acute RA input value]]</f>
        <v>0</v>
      </c>
      <c r="H62" s="836" t="str">
        <f>Table1[[#This Row],[Acute RA label]]</f>
        <v/>
      </c>
      <c r="J62" s="553">
        <f>Table22[[#This Row],[Code no.]]</f>
        <v>154060</v>
      </c>
      <c r="K62" s="553" t="str">
        <f>Table22[[#This Row],[Commodity or group of commodities to which the MRLs apply]]</f>
        <v>Mulberries (black and white)</v>
      </c>
      <c r="L62" s="553">
        <f>Table22[[#This Row],[Source / type of MRL]]</f>
        <v>0</v>
      </c>
      <c r="M62" s="553">
        <f>Table22[[#This Row],[MRL/ proposed MRL /CXL
(mg/kg)]]</f>
        <v>0</v>
      </c>
      <c r="N62" s="553">
        <f>Table22[[#This Row],[LOQ]]</f>
        <v>0</v>
      </c>
      <c r="O62" s="553">
        <f>Table22[[#This Row],[CFrisk for residue definition]]</f>
        <v>0</v>
      </c>
      <c r="P62" s="553">
        <f>Table22[[#This Row],[PeF (peeling factor RD enforcemen)]]</f>
        <v>0</v>
      </c>
      <c r="Q62" s="553">
        <f>Table22[[#This Row],[STMR-RAC (median residue)]]</f>
        <v>0</v>
      </c>
      <c r="R62" s="553">
        <f>Table22[[#This Row],[HR-RAC (highest residue)]]</f>
        <v>0</v>
      </c>
      <c r="S62" s="553">
        <f>Table22[[#This Row],[VF (alternative variability factor)]]</f>
        <v>0</v>
      </c>
      <c r="T62" s="553">
        <f>Table22[[#This Row],[GAP under assessment]]</f>
        <v>0</v>
      </c>
      <c r="U62" s="553">
        <f>Table22[[#This Row],[Post-harvest treatment]]</f>
        <v>0</v>
      </c>
      <c r="V62" s="553" t="str">
        <f>Table22[[#This Row],[Chronic RA label]]</f>
        <v/>
      </c>
      <c r="W62" s="553">
        <f>Table22[[#This Row],[Chronic RA input value]]</f>
        <v>0</v>
      </c>
      <c r="X62" s="1684" t="str">
        <f>Table22[[#This Row],[Acute RA label]]</f>
        <v/>
      </c>
      <c r="Y62" s="553">
        <f>Table22[[#This Row],[Acute RA input value]]</f>
        <v>0</v>
      </c>
      <c r="Z62" s="786">
        <f>SUM(Table1[[#This Row],[chronic value &lt;&gt;MRL/LOQ]:[acute vlue&lt;&gt;MRL/LOQ]])</f>
        <v>0</v>
      </c>
      <c r="AA62" s="786">
        <f>IF(AND($F$5="Refined calculation mode",Table1[[#This Row],[GAP under assessment]]="Y"),1,IF(OR(Table1[[#This Row],[Chronic RA label]]="LOQ",Table1[[#This Row],[Chronic RA label]]="",Table1[[#This Row],[Chronic RA label]]="MRL"),0,1))</f>
        <v>0</v>
      </c>
      <c r="AB62" s="787">
        <f>IF(OR(Table1[[#This Row],[Acute RA label]]="LOQ",Table1[[#This Row],[Acute RA label]]="",Table1[[#This Row],[Acute RA label]]="MRL"),0,1)</f>
        <v>0</v>
      </c>
    </row>
    <row r="63" spans="1:28" ht="21.75" hidden="1" thickTop="1" x14ac:dyDescent="0.2">
      <c r="A63" s="815">
        <f>Table1[[#This Row],[Code no.]]</f>
        <v>154070</v>
      </c>
      <c r="B63" s="793" t="str">
        <f>Table1[[#This Row],[Commodity or group of commodities to which the MRLs apply]]</f>
        <v>Azarole/Mediteranean medlar</v>
      </c>
      <c r="C63" s="794">
        <f>Table1[[#This Row],[MRL/ proposed MRL /CXL
(mg/kg)]]</f>
        <v>0</v>
      </c>
      <c r="D63" s="795">
        <f>Table1[[#This Row],[Source of MRL]]</f>
        <v>0</v>
      </c>
      <c r="E63" s="797">
        <f>Table1[[#This Row],[Chronic RA input value]]</f>
        <v>0</v>
      </c>
      <c r="F63" s="795" t="str">
        <f>Table1[[#This Row],[Chronic RA label]]</f>
        <v/>
      </c>
      <c r="G63" s="797">
        <f>Table1[[#This Row],[Acute RA input value]]</f>
        <v>0</v>
      </c>
      <c r="H63" s="836" t="str">
        <f>Table1[[#This Row],[Acute RA label]]</f>
        <v/>
      </c>
      <c r="J63" s="553">
        <f>Table22[[#This Row],[Code no.]]</f>
        <v>154070</v>
      </c>
      <c r="K63" s="553" t="str">
        <f>Table22[[#This Row],[Commodity or group of commodities to which the MRLs apply]]</f>
        <v>Azarole/Mediteranean medlar</v>
      </c>
      <c r="L63" s="553">
        <f>Table22[[#This Row],[Source / type of MRL]]</f>
        <v>0</v>
      </c>
      <c r="M63" s="553">
        <f>Table22[[#This Row],[MRL/ proposed MRL /CXL
(mg/kg)]]</f>
        <v>0</v>
      </c>
      <c r="N63" s="553">
        <f>Table22[[#This Row],[LOQ]]</f>
        <v>0</v>
      </c>
      <c r="O63" s="553">
        <f>Table22[[#This Row],[CFrisk for residue definition]]</f>
        <v>0</v>
      </c>
      <c r="P63" s="553">
        <f>Table22[[#This Row],[PeF (peeling factor RD enforcemen)]]</f>
        <v>0</v>
      </c>
      <c r="Q63" s="553">
        <f>Table22[[#This Row],[STMR-RAC (median residue)]]</f>
        <v>0</v>
      </c>
      <c r="R63" s="553">
        <f>Table22[[#This Row],[HR-RAC (highest residue)]]</f>
        <v>0</v>
      </c>
      <c r="S63" s="553">
        <f>Table22[[#This Row],[VF (alternative variability factor)]]</f>
        <v>0</v>
      </c>
      <c r="T63" s="553">
        <f>Table22[[#This Row],[GAP under assessment]]</f>
        <v>0</v>
      </c>
      <c r="U63" s="553">
        <f>Table22[[#This Row],[Post-harvest treatment]]</f>
        <v>0</v>
      </c>
      <c r="V63" s="553" t="str">
        <f>Table22[[#This Row],[Chronic RA label]]</f>
        <v/>
      </c>
      <c r="W63" s="553">
        <f>Table22[[#This Row],[Chronic RA input value]]</f>
        <v>0</v>
      </c>
      <c r="X63" s="1684" t="str">
        <f>Table22[[#This Row],[Acute RA label]]</f>
        <v/>
      </c>
      <c r="Y63" s="553">
        <f>Table22[[#This Row],[Acute RA input value]]</f>
        <v>0</v>
      </c>
      <c r="Z63" s="786">
        <f>SUM(Table1[[#This Row],[chronic value &lt;&gt;MRL/LOQ]:[acute vlue&lt;&gt;MRL/LOQ]])</f>
        <v>0</v>
      </c>
      <c r="AA63" s="786">
        <f>IF(AND($F$5="Refined calculation mode",Table1[[#This Row],[GAP under assessment]]="Y"),1,IF(OR(Table1[[#This Row],[Chronic RA label]]="LOQ",Table1[[#This Row],[Chronic RA label]]="",Table1[[#This Row],[Chronic RA label]]="MRL"),0,1))</f>
        <v>0</v>
      </c>
      <c r="AB63" s="787">
        <f>IF(OR(Table1[[#This Row],[Acute RA label]]="LOQ",Table1[[#This Row],[Acute RA label]]="",Table1[[#This Row],[Acute RA label]]="MRL"),0,1)</f>
        <v>0</v>
      </c>
    </row>
    <row r="64" spans="1:28" ht="13.5" hidden="1" thickTop="1" x14ac:dyDescent="0.2">
      <c r="A64" s="815">
        <f>Table1[[#This Row],[Code no.]]</f>
        <v>154080</v>
      </c>
      <c r="B64" s="793" t="str">
        <f>Table1[[#This Row],[Commodity or group of commodities to which the MRLs apply]]</f>
        <v>Elderberries</v>
      </c>
      <c r="C64" s="794">
        <f>Table1[[#This Row],[MRL/ proposed MRL /CXL
(mg/kg)]]</f>
        <v>0</v>
      </c>
      <c r="D64" s="795">
        <f>Table1[[#This Row],[Source of MRL]]</f>
        <v>0</v>
      </c>
      <c r="E64" s="797">
        <f>Table1[[#This Row],[Chronic RA input value]]</f>
        <v>0</v>
      </c>
      <c r="F64" s="795" t="str">
        <f>Table1[[#This Row],[Chronic RA label]]</f>
        <v/>
      </c>
      <c r="G64" s="797">
        <f>Table1[[#This Row],[Acute RA input value]]</f>
        <v>0</v>
      </c>
      <c r="H64" s="836" t="str">
        <f>Table1[[#This Row],[Acute RA label]]</f>
        <v/>
      </c>
      <c r="J64" s="553">
        <f>Table22[[#This Row],[Code no.]]</f>
        <v>154080</v>
      </c>
      <c r="K64" s="553" t="str">
        <f>Table22[[#This Row],[Commodity or group of commodities to which the MRLs apply]]</f>
        <v>Elderberries</v>
      </c>
      <c r="L64" s="553">
        <f>Table22[[#This Row],[Source / type of MRL]]</f>
        <v>0</v>
      </c>
      <c r="M64" s="553">
        <f>Table22[[#This Row],[MRL/ proposed MRL /CXL
(mg/kg)]]</f>
        <v>0</v>
      </c>
      <c r="N64" s="553">
        <f>Table22[[#This Row],[LOQ]]</f>
        <v>0</v>
      </c>
      <c r="O64" s="553">
        <f>Table22[[#This Row],[CFrisk for residue definition]]</f>
        <v>0</v>
      </c>
      <c r="P64" s="553">
        <f>Table22[[#This Row],[PeF (peeling factor RD enforcemen)]]</f>
        <v>0</v>
      </c>
      <c r="Q64" s="553">
        <f>Table22[[#This Row],[STMR-RAC (median residue)]]</f>
        <v>0</v>
      </c>
      <c r="R64" s="553">
        <f>Table22[[#This Row],[HR-RAC (highest residue)]]</f>
        <v>0</v>
      </c>
      <c r="S64" s="553">
        <f>Table22[[#This Row],[VF (alternative variability factor)]]</f>
        <v>0</v>
      </c>
      <c r="T64" s="553">
        <f>Table22[[#This Row],[GAP under assessment]]</f>
        <v>0</v>
      </c>
      <c r="U64" s="553">
        <f>Table22[[#This Row],[Post-harvest treatment]]</f>
        <v>0</v>
      </c>
      <c r="V64" s="553" t="str">
        <f>Table22[[#This Row],[Chronic RA label]]</f>
        <v/>
      </c>
      <c r="W64" s="553">
        <f>Table22[[#This Row],[Chronic RA input value]]</f>
        <v>0</v>
      </c>
      <c r="X64" s="1684" t="str">
        <f>Table22[[#This Row],[Acute RA label]]</f>
        <v/>
      </c>
      <c r="Y64" s="553">
        <f>Table22[[#This Row],[Acute RA input value]]</f>
        <v>0</v>
      </c>
      <c r="Z64" s="786">
        <f>SUM(Table1[[#This Row],[chronic value &lt;&gt;MRL/LOQ]:[acute vlue&lt;&gt;MRL/LOQ]])</f>
        <v>0</v>
      </c>
      <c r="AA64" s="786">
        <f>IF(AND($F$5="Refined calculation mode",Table1[[#This Row],[GAP under assessment]]="Y"),1,IF(OR(Table1[[#This Row],[Chronic RA label]]="LOQ",Table1[[#This Row],[Chronic RA label]]="",Table1[[#This Row],[Chronic RA label]]="MRL"),0,1))</f>
        <v>0</v>
      </c>
      <c r="AB64" s="787">
        <f>IF(OR(Table1[[#This Row],[Acute RA label]]="LOQ",Table1[[#This Row],[Acute RA label]]="",Table1[[#This Row],[Acute RA label]]="MRL"),0,1)</f>
        <v>0</v>
      </c>
    </row>
    <row r="65" spans="1:28" ht="21.75" hidden="1" thickTop="1" x14ac:dyDescent="0.2">
      <c r="A65" s="815">
        <f>Table1[[#This Row],[Code no.]]</f>
        <v>154990</v>
      </c>
      <c r="B65" s="793" t="str">
        <f>Table1[[#This Row],[Commodity or group of commodities to which the MRLs apply]]</f>
        <v xml:space="preserve">Other other small fruit &amp; berries </v>
      </c>
      <c r="C65" s="794">
        <f>Table1[[#This Row],[MRL/ proposed MRL /CXL
(mg/kg)]]</f>
        <v>0</v>
      </c>
      <c r="D65" s="795">
        <f>Table1[[#This Row],[Source of MRL]]</f>
        <v>0</v>
      </c>
      <c r="E65" s="797">
        <f>Table1[[#This Row],[Chronic RA input value]]</f>
        <v>0</v>
      </c>
      <c r="F65" s="795" t="str">
        <f>Table1[[#This Row],[Chronic RA label]]</f>
        <v/>
      </c>
      <c r="G65" s="797">
        <f>Table1[[#This Row],[Acute RA input value]]</f>
        <v>0</v>
      </c>
      <c r="H65" s="836">
        <f>Table1[[#This Row],[Acute RA label]]</f>
        <v>0</v>
      </c>
      <c r="J65" s="553">
        <f>Table22[[#This Row],[Code no.]]</f>
        <v>154990</v>
      </c>
      <c r="K65" s="553" t="str">
        <f>Table22[[#This Row],[Commodity or group of commodities to which the MRLs apply]]</f>
        <v xml:space="preserve">Other other small fruit &amp; berries </v>
      </c>
      <c r="L65" s="553">
        <f>Table22[[#This Row],[Source / type of MRL]]</f>
        <v>0</v>
      </c>
      <c r="M65" s="553">
        <f>Table22[[#This Row],[MRL/ proposed MRL /CXL
(mg/kg)]]</f>
        <v>0</v>
      </c>
      <c r="N65" s="553">
        <f>Table22[[#This Row],[LOQ]]</f>
        <v>0</v>
      </c>
      <c r="O65" s="553">
        <f>Table22[[#This Row],[CFrisk for residue definition]]</f>
        <v>0</v>
      </c>
      <c r="P65" s="553">
        <f>Table22[[#This Row],[PeF (peeling factor RD enforcemen)]]</f>
        <v>0</v>
      </c>
      <c r="Q65" s="553">
        <f>Table22[[#This Row],[STMR-RAC (median residue)]]</f>
        <v>0</v>
      </c>
      <c r="R65" s="553">
        <f>Table22[[#This Row],[HR-RAC (highest residue)]]</f>
        <v>0</v>
      </c>
      <c r="S65" s="553">
        <f>Table22[[#This Row],[VF (alternative variability factor)]]</f>
        <v>0</v>
      </c>
      <c r="T65" s="553">
        <f>Table22[[#This Row],[GAP under assessment]]</f>
        <v>0</v>
      </c>
      <c r="U65" s="553">
        <f>Table22[[#This Row],[Post-harvest treatment]]</f>
        <v>0</v>
      </c>
      <c r="V65" s="553" t="str">
        <f>Table22[[#This Row],[Chronic RA label]]</f>
        <v/>
      </c>
      <c r="W65" s="553">
        <f>Table22[[#This Row],[Chronic RA input value]]</f>
        <v>0</v>
      </c>
      <c r="X65" s="1684"/>
      <c r="Y65" s="553">
        <f>Table22[[#This Row],[Acute RA input value]]</f>
        <v>0</v>
      </c>
      <c r="Z65" s="786">
        <f>SUM(Table1[[#This Row],[chronic value &lt;&gt;MRL/LOQ]:[acute vlue&lt;&gt;MRL/LOQ]])</f>
        <v>0</v>
      </c>
      <c r="AA65" s="786">
        <f>IF(AND($F$5="Refined calculation mode",Table1[[#This Row],[GAP under assessment]]="Y"),1,IF(OR(Table1[[#This Row],[Chronic RA label]]="LOQ",Table1[[#This Row],[Chronic RA label]]="",Table1[[#This Row],[Chronic RA label]]="MRL"),0,1))</f>
        <v>0</v>
      </c>
      <c r="AB65" s="787">
        <f>IF(OR(Table1[[#This Row],[Acute RA label]]="LOQ",Table1[[#This Row],[Acute RA label]]="",Table1[[#This Row],[Acute RA label]]="MRL"),0,1)</f>
        <v>0</v>
      </c>
    </row>
    <row r="66" spans="1:28" ht="13.5" hidden="1" thickTop="1" x14ac:dyDescent="0.2">
      <c r="A66" s="815">
        <f>Table1[[#This Row],[Code no.]]</f>
        <v>160000</v>
      </c>
      <c r="B66" s="793" t="str">
        <f>Table1[[#This Row],[Commodity or group of commodities to which the MRLs apply]]</f>
        <v>Miscellaneous fruit</v>
      </c>
      <c r="C66" s="794">
        <f>Table1[[#This Row],[MRL/ proposed MRL /CXL
(mg/kg)]]</f>
        <v>0</v>
      </c>
      <c r="D66" s="795">
        <f>Table1[[#This Row],[Source of MRL]]</f>
        <v>0</v>
      </c>
      <c r="E66" s="797">
        <f>Table1[[#This Row],[Chronic RA input value]]</f>
        <v>0</v>
      </c>
      <c r="F66" s="795">
        <f>Table1[[#This Row],[Chronic RA label]]</f>
        <v>0</v>
      </c>
      <c r="G66" s="797">
        <f>Table1[[#This Row],[Acute RA input value]]</f>
        <v>0</v>
      </c>
      <c r="H66" s="836">
        <f>Table1[[#This Row],[Acute RA label]]</f>
        <v>0</v>
      </c>
      <c r="J66" s="553">
        <f>Table22[[#This Row],[Code no.]]</f>
        <v>160000</v>
      </c>
      <c r="K66" s="553" t="str">
        <f>Table22[[#This Row],[Commodity or group of commodities to which the MRLs apply]]</f>
        <v>Miscellaneous fruit</v>
      </c>
      <c r="L66" s="553">
        <f>Table22[[#This Row],[Source / type of MRL]]</f>
        <v>0</v>
      </c>
      <c r="M66" s="553">
        <f>Table22[[#This Row],[MRL/ proposed MRL /CXL
(mg/kg)]]</f>
        <v>0</v>
      </c>
      <c r="N66" s="553">
        <f>Table22[[#This Row],[LOQ]]</f>
        <v>0</v>
      </c>
      <c r="O66" s="553">
        <f>Table22[[#This Row],[CFrisk for residue definition]]</f>
        <v>0</v>
      </c>
      <c r="P66" s="553">
        <f>Table22[[#This Row],[PeF (peeling factor RD enforcemen)]]</f>
        <v>0</v>
      </c>
      <c r="Q66" s="553">
        <f>Table22[[#This Row],[STMR-RAC (median residue)]]</f>
        <v>0</v>
      </c>
      <c r="R66" s="553">
        <f>Table22[[#This Row],[HR-RAC (highest residue)]]</f>
        <v>0</v>
      </c>
      <c r="S66" s="553">
        <f>Table22[[#This Row],[VF (alternative variability factor)]]</f>
        <v>0</v>
      </c>
      <c r="T66" s="553">
        <f>Table22[[#This Row],[GAP under assessment]]</f>
        <v>0</v>
      </c>
      <c r="U66" s="553">
        <f>Table22[[#This Row],[Post-harvest treatment]]</f>
        <v>0</v>
      </c>
      <c r="V66" s="553"/>
      <c r="W66" s="553">
        <f>Table22[[#This Row],[Chronic RA input value]]</f>
        <v>0</v>
      </c>
      <c r="X66" s="1684"/>
      <c r="Y66" s="553">
        <f>Table22[[#This Row],[Acute RA input value]]</f>
        <v>0</v>
      </c>
      <c r="Z66" s="786">
        <f>SUM(Table1[[#This Row],[chronic value &lt;&gt;MRL/LOQ]:[acute vlue&lt;&gt;MRL/LOQ]])</f>
        <v>0</v>
      </c>
      <c r="AA66" s="786">
        <f>IF(AND($F$5="Refined calculation mode",Table1[[#This Row],[GAP under assessment]]="Y"),1,IF(OR(Table1[[#This Row],[Chronic RA label]]="LOQ",Table1[[#This Row],[Chronic RA label]]="",Table1[[#This Row],[Chronic RA label]]="MRL"),0,1))</f>
        <v>0</v>
      </c>
      <c r="AB66" s="787">
        <f>IF(OR(Table1[[#This Row],[Acute RA label]]="LOQ",Table1[[#This Row],[Acute RA label]]="",Table1[[#This Row],[Acute RA label]]="MRL"),0,1)</f>
        <v>0</v>
      </c>
    </row>
    <row r="67" spans="1:28" ht="21.75" hidden="1" thickTop="1" x14ac:dyDescent="0.2">
      <c r="A67" s="815">
        <f>Table1[[#This Row],[Code no.]]</f>
        <v>161000</v>
      </c>
      <c r="B67" s="793" t="str">
        <f>Table1[[#This Row],[Commodity or group of commodities to which the MRLs apply]]</f>
        <v>Miscellaneous fruit (edible peel)</v>
      </c>
      <c r="C67" s="794">
        <f>Table1[[#This Row],[MRL/ proposed MRL /CXL
(mg/kg)]]</f>
        <v>0</v>
      </c>
      <c r="D67" s="795">
        <f>Table1[[#This Row],[Source of MRL]]</f>
        <v>0</v>
      </c>
      <c r="E67" s="797">
        <f>Table1[[#This Row],[Chronic RA input value]]</f>
        <v>0</v>
      </c>
      <c r="F67" s="795">
        <f>Table1[[#This Row],[Chronic RA label]]</f>
        <v>0</v>
      </c>
      <c r="G67" s="797">
        <f>Table1[[#This Row],[Acute RA input value]]</f>
        <v>0</v>
      </c>
      <c r="H67" s="836">
        <f>Table1[[#This Row],[Acute RA label]]</f>
        <v>0</v>
      </c>
      <c r="J67" s="553">
        <f>Table22[[#This Row],[Code no.]]</f>
        <v>161000</v>
      </c>
      <c r="K67" s="553" t="str">
        <f>Table22[[#This Row],[Commodity or group of commodities to which the MRLs apply]]</f>
        <v>Miscellaneous fruit (edible peel)</v>
      </c>
      <c r="L67" s="553">
        <f>Table22[[#This Row],[Source / type of MRL]]</f>
        <v>0</v>
      </c>
      <c r="M67" s="553">
        <f>Table22[[#This Row],[MRL/ proposed MRL /CXL
(mg/kg)]]</f>
        <v>0</v>
      </c>
      <c r="N67" s="553">
        <f>Table22[[#This Row],[LOQ]]</f>
        <v>0</v>
      </c>
      <c r="O67" s="553">
        <f>Table22[[#This Row],[CFrisk for residue definition]]</f>
        <v>0</v>
      </c>
      <c r="P67" s="553">
        <f>Table22[[#This Row],[PeF (peeling factor RD enforcemen)]]</f>
        <v>0</v>
      </c>
      <c r="Q67" s="553">
        <f>Table22[[#This Row],[STMR-RAC (median residue)]]</f>
        <v>0</v>
      </c>
      <c r="R67" s="553">
        <f>Table22[[#This Row],[HR-RAC (highest residue)]]</f>
        <v>0</v>
      </c>
      <c r="S67" s="553">
        <f>Table22[[#This Row],[VF (alternative variability factor)]]</f>
        <v>0</v>
      </c>
      <c r="T67" s="553">
        <f>Table22[[#This Row],[GAP under assessment]]</f>
        <v>0</v>
      </c>
      <c r="U67" s="553">
        <f>Table22[[#This Row],[Post-harvest treatment]]</f>
        <v>0</v>
      </c>
      <c r="V67" s="553"/>
      <c r="W67" s="553">
        <f>Table22[[#This Row],[Chronic RA input value]]</f>
        <v>0</v>
      </c>
      <c r="X67" s="1684"/>
      <c r="Y67" s="553">
        <f>Table22[[#This Row],[Acute RA input value]]</f>
        <v>0</v>
      </c>
      <c r="Z67" s="786">
        <f>SUM(Table1[[#This Row],[chronic value &lt;&gt;MRL/LOQ]:[acute vlue&lt;&gt;MRL/LOQ]])</f>
        <v>0</v>
      </c>
      <c r="AA67" s="786">
        <f>IF(AND($F$5="Refined calculation mode",Table1[[#This Row],[GAP under assessment]]="Y"),1,IF(OR(Table1[[#This Row],[Chronic RA label]]="LOQ",Table1[[#This Row],[Chronic RA label]]="",Table1[[#This Row],[Chronic RA label]]="MRL"),0,1))</f>
        <v>0</v>
      </c>
      <c r="AB67" s="787">
        <f>IF(OR(Table1[[#This Row],[Acute RA label]]="LOQ",Table1[[#This Row],[Acute RA label]]="",Table1[[#This Row],[Acute RA label]]="MRL"),0,1)</f>
        <v>0</v>
      </c>
    </row>
    <row r="68" spans="1:28" ht="13.5" hidden="1" thickTop="1" x14ac:dyDescent="0.2">
      <c r="A68" s="815">
        <f>Table1[[#This Row],[Code no.]]</f>
        <v>161010</v>
      </c>
      <c r="B68" s="793" t="str">
        <f>Table1[[#This Row],[Commodity or group of commodities to which the MRLs apply]]</f>
        <v>Dates</v>
      </c>
      <c r="C68" s="794">
        <f>Table1[[#This Row],[MRL/ proposed MRL /CXL
(mg/kg)]]</f>
        <v>0</v>
      </c>
      <c r="D68" s="795">
        <f>Table1[[#This Row],[Source of MRL]]</f>
        <v>0</v>
      </c>
      <c r="E68" s="797">
        <f>Table1[[#This Row],[Chronic RA input value]]</f>
        <v>0</v>
      </c>
      <c r="F68" s="795" t="str">
        <f>Table1[[#This Row],[Chronic RA label]]</f>
        <v/>
      </c>
      <c r="G68" s="797">
        <f>Table1[[#This Row],[Acute RA input value]]</f>
        <v>0</v>
      </c>
      <c r="H68" s="836" t="str">
        <f>Table1[[#This Row],[Acute RA label]]</f>
        <v/>
      </c>
      <c r="J68" s="553">
        <f>Table22[[#This Row],[Code no.]]</f>
        <v>161010</v>
      </c>
      <c r="K68" s="553" t="str">
        <f>Table22[[#This Row],[Commodity or group of commodities to which the MRLs apply]]</f>
        <v>Dates</v>
      </c>
      <c r="L68" s="553">
        <f>Table22[[#This Row],[Source / type of MRL]]</f>
        <v>0</v>
      </c>
      <c r="M68" s="553">
        <f>Table22[[#This Row],[MRL/ proposed MRL /CXL
(mg/kg)]]</f>
        <v>0</v>
      </c>
      <c r="N68" s="553">
        <f>Table22[[#This Row],[LOQ]]</f>
        <v>0</v>
      </c>
      <c r="O68" s="553">
        <f>Table22[[#This Row],[CFrisk for residue definition]]</f>
        <v>0</v>
      </c>
      <c r="P68" s="553">
        <f>Table22[[#This Row],[PeF (peeling factor RD enforcemen)]]</f>
        <v>0</v>
      </c>
      <c r="Q68" s="553">
        <f>Table22[[#This Row],[STMR-RAC (median residue)]]</f>
        <v>0</v>
      </c>
      <c r="R68" s="553">
        <f>Table22[[#This Row],[HR-RAC (highest residue)]]</f>
        <v>0</v>
      </c>
      <c r="S68" s="553">
        <f>Table22[[#This Row],[VF (alternative variability factor)]]</f>
        <v>0</v>
      </c>
      <c r="T68" s="553">
        <f>Table22[[#This Row],[GAP under assessment]]</f>
        <v>0</v>
      </c>
      <c r="U68" s="553">
        <f>Table22[[#This Row],[Post-harvest treatment]]</f>
        <v>0</v>
      </c>
      <c r="V68" s="553" t="str">
        <f>Table22[[#This Row],[Chronic RA label]]</f>
        <v/>
      </c>
      <c r="W68" s="553">
        <f>Table22[[#This Row],[Chronic RA input value]]</f>
        <v>0</v>
      </c>
      <c r="X68" s="1684" t="str">
        <f>Table22[[#This Row],[Acute RA label]]</f>
        <v/>
      </c>
      <c r="Y68" s="553">
        <f>Table22[[#This Row],[Acute RA input value]]</f>
        <v>0</v>
      </c>
      <c r="Z68" s="786">
        <f>SUM(Table1[[#This Row],[chronic value &lt;&gt;MRL/LOQ]:[acute vlue&lt;&gt;MRL/LOQ]])</f>
        <v>0</v>
      </c>
      <c r="AA68" s="786">
        <f>IF(AND($F$5="Refined calculation mode",Table1[[#This Row],[GAP under assessment]]="Y"),1,IF(OR(Table1[[#This Row],[Chronic RA label]]="LOQ",Table1[[#This Row],[Chronic RA label]]="",Table1[[#This Row],[Chronic RA label]]="MRL"),0,1))</f>
        <v>0</v>
      </c>
      <c r="AB68" s="787">
        <f>IF(OR(Table1[[#This Row],[Acute RA label]]="LOQ",Table1[[#This Row],[Acute RA label]]="",Table1[[#This Row],[Acute RA label]]="MRL"),0,1)</f>
        <v>0</v>
      </c>
    </row>
    <row r="69" spans="1:28" ht="13.5" hidden="1" thickTop="1" x14ac:dyDescent="0.2">
      <c r="A69" s="815">
        <f>Table1[[#This Row],[Code no.]]</f>
        <v>161020</v>
      </c>
      <c r="B69" s="793" t="str">
        <f>Table1[[#This Row],[Commodity or group of commodities to which the MRLs apply]]</f>
        <v>Figs</v>
      </c>
      <c r="C69" s="794">
        <f>Table1[[#This Row],[MRL/ proposed MRL /CXL
(mg/kg)]]</f>
        <v>0</v>
      </c>
      <c r="D69" s="795">
        <f>Table1[[#This Row],[Source of MRL]]</f>
        <v>0</v>
      </c>
      <c r="E69" s="797">
        <f>Table1[[#This Row],[Chronic RA input value]]</f>
        <v>0</v>
      </c>
      <c r="F69" s="795" t="str">
        <f>Table1[[#This Row],[Chronic RA label]]</f>
        <v/>
      </c>
      <c r="G69" s="797">
        <f>Table1[[#This Row],[Acute RA input value]]</f>
        <v>0</v>
      </c>
      <c r="H69" s="836" t="str">
        <f>Table1[[#This Row],[Acute RA label]]</f>
        <v/>
      </c>
      <c r="J69" s="553">
        <f>Table22[[#This Row],[Code no.]]</f>
        <v>161020</v>
      </c>
      <c r="K69" s="553" t="str">
        <f>Table22[[#This Row],[Commodity or group of commodities to which the MRLs apply]]</f>
        <v>Figs</v>
      </c>
      <c r="L69" s="553">
        <f>Table22[[#This Row],[Source / type of MRL]]</f>
        <v>0</v>
      </c>
      <c r="M69" s="553">
        <f>Table22[[#This Row],[MRL/ proposed MRL /CXL
(mg/kg)]]</f>
        <v>0</v>
      </c>
      <c r="N69" s="553">
        <f>Table22[[#This Row],[LOQ]]</f>
        <v>0</v>
      </c>
      <c r="O69" s="553">
        <f>Table22[[#This Row],[CFrisk for residue definition]]</f>
        <v>0</v>
      </c>
      <c r="P69" s="553">
        <f>Table22[[#This Row],[PeF (peeling factor RD enforcemen)]]</f>
        <v>0</v>
      </c>
      <c r="Q69" s="553">
        <f>Table22[[#This Row],[STMR-RAC (median residue)]]</f>
        <v>0</v>
      </c>
      <c r="R69" s="553">
        <f>Table22[[#This Row],[HR-RAC (highest residue)]]</f>
        <v>0</v>
      </c>
      <c r="S69" s="553">
        <f>Table22[[#This Row],[VF (alternative variability factor)]]</f>
        <v>0</v>
      </c>
      <c r="T69" s="553">
        <f>Table22[[#This Row],[GAP under assessment]]</f>
        <v>0</v>
      </c>
      <c r="U69" s="553">
        <f>Table22[[#This Row],[Post-harvest treatment]]</f>
        <v>0</v>
      </c>
      <c r="V69" s="553" t="str">
        <f>Table22[[#This Row],[Chronic RA label]]</f>
        <v/>
      </c>
      <c r="W69" s="553">
        <f>Table22[[#This Row],[Chronic RA input value]]</f>
        <v>0</v>
      </c>
      <c r="X69" s="1684" t="str">
        <f>Table22[[#This Row],[Acute RA label]]</f>
        <v/>
      </c>
      <c r="Y69" s="553">
        <f>Table22[[#This Row],[Acute RA input value]]</f>
        <v>0</v>
      </c>
      <c r="Z69" s="786">
        <f>SUM(Table1[[#This Row],[chronic value &lt;&gt;MRL/LOQ]:[acute vlue&lt;&gt;MRL/LOQ]])</f>
        <v>0</v>
      </c>
      <c r="AA69" s="786">
        <f>IF(AND($F$5="Refined calculation mode",Table1[[#This Row],[GAP under assessment]]="Y"),1,IF(OR(Table1[[#This Row],[Chronic RA label]]="LOQ",Table1[[#This Row],[Chronic RA label]]="",Table1[[#This Row],[Chronic RA label]]="MRL"),0,1))</f>
        <v>0</v>
      </c>
      <c r="AB69" s="787">
        <f>IF(OR(Table1[[#This Row],[Acute RA label]]="LOQ",Table1[[#This Row],[Acute RA label]]="",Table1[[#This Row],[Acute RA label]]="MRL"),0,1)</f>
        <v>0</v>
      </c>
    </row>
    <row r="70" spans="1:28" ht="13.5" hidden="1" thickTop="1" x14ac:dyDescent="0.2">
      <c r="A70" s="815">
        <f>Table1[[#This Row],[Code no.]]</f>
        <v>161030</v>
      </c>
      <c r="B70" s="793" t="str">
        <f>Table1[[#This Row],[Commodity or group of commodities to which the MRLs apply]]</f>
        <v xml:space="preserve">Table olives </v>
      </c>
      <c r="C70" s="794">
        <f>Table1[[#This Row],[MRL/ proposed MRL /CXL
(mg/kg)]]</f>
        <v>0</v>
      </c>
      <c r="D70" s="795">
        <f>Table1[[#This Row],[Source of MRL]]</f>
        <v>0</v>
      </c>
      <c r="E70" s="797">
        <f>Table1[[#This Row],[Chronic RA input value]]</f>
        <v>0</v>
      </c>
      <c r="F70" s="795" t="str">
        <f>Table1[[#This Row],[Chronic RA label]]</f>
        <v/>
      </c>
      <c r="G70" s="797">
        <f>Table1[[#This Row],[Acute RA input value]]</f>
        <v>0</v>
      </c>
      <c r="H70" s="836" t="str">
        <f>Table1[[#This Row],[Acute RA label]]</f>
        <v/>
      </c>
      <c r="J70" s="553">
        <f>Table22[[#This Row],[Code no.]]</f>
        <v>161030</v>
      </c>
      <c r="K70" s="553" t="str">
        <f>Table22[[#This Row],[Commodity or group of commodities to which the MRLs apply]]</f>
        <v xml:space="preserve">Table olives </v>
      </c>
      <c r="L70" s="553">
        <f>Table22[[#This Row],[Source / type of MRL]]</f>
        <v>0</v>
      </c>
      <c r="M70" s="553">
        <f>Table22[[#This Row],[MRL/ proposed MRL /CXL
(mg/kg)]]</f>
        <v>0</v>
      </c>
      <c r="N70" s="553">
        <f>Table22[[#This Row],[LOQ]]</f>
        <v>0</v>
      </c>
      <c r="O70" s="553">
        <f>Table22[[#This Row],[CFrisk for residue definition]]</f>
        <v>0</v>
      </c>
      <c r="P70" s="553">
        <f>Table22[[#This Row],[PeF (peeling factor RD enforcemen)]]</f>
        <v>0</v>
      </c>
      <c r="Q70" s="553">
        <f>Table22[[#This Row],[STMR-RAC (median residue)]]</f>
        <v>0</v>
      </c>
      <c r="R70" s="553">
        <f>Table22[[#This Row],[HR-RAC (highest residue)]]</f>
        <v>0</v>
      </c>
      <c r="S70" s="553">
        <f>Table22[[#This Row],[VF (alternative variability factor)]]</f>
        <v>0</v>
      </c>
      <c r="T70" s="553">
        <f>Table22[[#This Row],[GAP under assessment]]</f>
        <v>0</v>
      </c>
      <c r="U70" s="553">
        <f>Table22[[#This Row],[Post-harvest treatment]]</f>
        <v>0</v>
      </c>
      <c r="V70" s="553" t="str">
        <f>Table22[[#This Row],[Chronic RA label]]</f>
        <v/>
      </c>
      <c r="W70" s="553">
        <f>Table22[[#This Row],[Chronic RA input value]]</f>
        <v>0</v>
      </c>
      <c r="X70" s="1684" t="str">
        <f>Table22[[#This Row],[Acute RA label]]</f>
        <v/>
      </c>
      <c r="Y70" s="553">
        <f>Table22[[#This Row],[Acute RA input value]]</f>
        <v>0</v>
      </c>
      <c r="Z70" s="786">
        <f>SUM(Table1[[#This Row],[chronic value &lt;&gt;MRL/LOQ]:[acute vlue&lt;&gt;MRL/LOQ]])</f>
        <v>0</v>
      </c>
      <c r="AA70" s="786">
        <f>IF(AND($F$5="Refined calculation mode",Table1[[#This Row],[GAP under assessment]]="Y"),1,IF(OR(Table1[[#This Row],[Chronic RA label]]="LOQ",Table1[[#This Row],[Chronic RA label]]="",Table1[[#This Row],[Chronic RA label]]="MRL"),0,1))</f>
        <v>0</v>
      </c>
      <c r="AB70" s="787">
        <f>IF(OR(Table1[[#This Row],[Acute RA label]]="LOQ",Table1[[#This Row],[Acute RA label]]="",Table1[[#This Row],[Acute RA label]]="MRL"),0,1)</f>
        <v>0</v>
      </c>
    </row>
    <row r="71" spans="1:28" ht="13.5" hidden="1" thickTop="1" x14ac:dyDescent="0.2">
      <c r="A71" s="815">
        <f>Table1[[#This Row],[Code no.]]</f>
        <v>161040</v>
      </c>
      <c r="B71" s="793" t="str">
        <f>Table1[[#This Row],[Commodity or group of commodities to which the MRLs apply]]</f>
        <v>Kumquats</v>
      </c>
      <c r="C71" s="794">
        <f>Table1[[#This Row],[MRL/ proposed MRL /CXL
(mg/kg)]]</f>
        <v>0</v>
      </c>
      <c r="D71" s="795">
        <f>Table1[[#This Row],[Source of MRL]]</f>
        <v>0</v>
      </c>
      <c r="E71" s="797">
        <f>Table1[[#This Row],[Chronic RA input value]]</f>
        <v>0</v>
      </c>
      <c r="F71" s="795" t="str">
        <f>Table1[[#This Row],[Chronic RA label]]</f>
        <v/>
      </c>
      <c r="G71" s="797">
        <f>Table1[[#This Row],[Acute RA input value]]</f>
        <v>0</v>
      </c>
      <c r="H71" s="836" t="str">
        <f>Table1[[#This Row],[Acute RA label]]</f>
        <v/>
      </c>
      <c r="J71" s="553">
        <f>Table22[[#This Row],[Code no.]]</f>
        <v>161040</v>
      </c>
      <c r="K71" s="553" t="str">
        <f>Table22[[#This Row],[Commodity or group of commodities to which the MRLs apply]]</f>
        <v>Kumquats</v>
      </c>
      <c r="L71" s="553">
        <f>Table22[[#This Row],[Source / type of MRL]]</f>
        <v>0</v>
      </c>
      <c r="M71" s="553">
        <f>Table22[[#This Row],[MRL/ proposed MRL /CXL
(mg/kg)]]</f>
        <v>0</v>
      </c>
      <c r="N71" s="553">
        <f>Table22[[#This Row],[LOQ]]</f>
        <v>0</v>
      </c>
      <c r="O71" s="553">
        <f>Table22[[#This Row],[CFrisk for residue definition]]</f>
        <v>0</v>
      </c>
      <c r="P71" s="553">
        <f>Table22[[#This Row],[PeF (peeling factor RD enforcemen)]]</f>
        <v>0</v>
      </c>
      <c r="Q71" s="553">
        <f>Table22[[#This Row],[STMR-RAC (median residue)]]</f>
        <v>0</v>
      </c>
      <c r="R71" s="553">
        <f>Table22[[#This Row],[HR-RAC (highest residue)]]</f>
        <v>0</v>
      </c>
      <c r="S71" s="553">
        <f>Table22[[#This Row],[VF (alternative variability factor)]]</f>
        <v>0</v>
      </c>
      <c r="T71" s="553">
        <f>Table22[[#This Row],[GAP under assessment]]</f>
        <v>0</v>
      </c>
      <c r="U71" s="553">
        <f>Table22[[#This Row],[Post-harvest treatment]]</f>
        <v>0</v>
      </c>
      <c r="V71" s="553" t="str">
        <f>Table22[[#This Row],[Chronic RA label]]</f>
        <v/>
      </c>
      <c r="W71" s="553">
        <f>Table22[[#This Row],[Chronic RA input value]]</f>
        <v>0</v>
      </c>
      <c r="X71" s="1684" t="str">
        <f>Table22[[#This Row],[Acute RA label]]</f>
        <v/>
      </c>
      <c r="Y71" s="553">
        <f>Table22[[#This Row],[Acute RA input value]]</f>
        <v>0</v>
      </c>
      <c r="Z71" s="786">
        <f>SUM(Table1[[#This Row],[chronic value &lt;&gt;MRL/LOQ]:[acute vlue&lt;&gt;MRL/LOQ]])</f>
        <v>0</v>
      </c>
      <c r="AA71" s="786">
        <f>IF(AND($F$5="Refined calculation mode",Table1[[#This Row],[GAP under assessment]]="Y"),1,IF(OR(Table1[[#This Row],[Chronic RA label]]="LOQ",Table1[[#This Row],[Chronic RA label]]="",Table1[[#This Row],[Chronic RA label]]="MRL"),0,1))</f>
        <v>0</v>
      </c>
      <c r="AB71" s="787">
        <f>IF(OR(Table1[[#This Row],[Acute RA label]]="LOQ",Table1[[#This Row],[Acute RA label]]="",Table1[[#This Row],[Acute RA label]]="MRL"),0,1)</f>
        <v>0</v>
      </c>
    </row>
    <row r="72" spans="1:28" ht="13.5" hidden="1" thickTop="1" x14ac:dyDescent="0.2">
      <c r="A72" s="815">
        <f>Table1[[#This Row],[Code no.]]</f>
        <v>161050</v>
      </c>
      <c r="B72" s="793" t="str">
        <f>Table1[[#This Row],[Commodity or group of commodities to which the MRLs apply]]</f>
        <v>Carambolas</v>
      </c>
      <c r="C72" s="794">
        <f>Table1[[#This Row],[MRL/ proposed MRL /CXL
(mg/kg)]]</f>
        <v>0</v>
      </c>
      <c r="D72" s="795">
        <f>Table1[[#This Row],[Source of MRL]]</f>
        <v>0</v>
      </c>
      <c r="E72" s="797">
        <f>Table1[[#This Row],[Chronic RA input value]]</f>
        <v>0</v>
      </c>
      <c r="F72" s="795" t="str">
        <f>Table1[[#This Row],[Chronic RA label]]</f>
        <v/>
      </c>
      <c r="G72" s="797">
        <f>Table1[[#This Row],[Acute RA input value]]</f>
        <v>0</v>
      </c>
      <c r="H72" s="836" t="str">
        <f>Table1[[#This Row],[Acute RA label]]</f>
        <v/>
      </c>
      <c r="J72" s="553">
        <f>Table22[[#This Row],[Code no.]]</f>
        <v>161050</v>
      </c>
      <c r="K72" s="553" t="str">
        <f>Table22[[#This Row],[Commodity or group of commodities to which the MRLs apply]]</f>
        <v>Carambolas</v>
      </c>
      <c r="L72" s="553">
        <f>Table22[[#This Row],[Source / type of MRL]]</f>
        <v>0</v>
      </c>
      <c r="M72" s="553">
        <f>Table22[[#This Row],[MRL/ proposed MRL /CXL
(mg/kg)]]</f>
        <v>0</v>
      </c>
      <c r="N72" s="553">
        <f>Table22[[#This Row],[LOQ]]</f>
        <v>0</v>
      </c>
      <c r="O72" s="553">
        <f>Table22[[#This Row],[CFrisk for residue definition]]</f>
        <v>0</v>
      </c>
      <c r="P72" s="553">
        <f>Table22[[#This Row],[PeF (peeling factor RD enforcemen)]]</f>
        <v>0</v>
      </c>
      <c r="Q72" s="553">
        <f>Table22[[#This Row],[STMR-RAC (median residue)]]</f>
        <v>0</v>
      </c>
      <c r="R72" s="553">
        <f>Table22[[#This Row],[HR-RAC (highest residue)]]</f>
        <v>0</v>
      </c>
      <c r="S72" s="553">
        <f>Table22[[#This Row],[VF (alternative variability factor)]]</f>
        <v>0</v>
      </c>
      <c r="T72" s="553">
        <f>Table22[[#This Row],[GAP under assessment]]</f>
        <v>0</v>
      </c>
      <c r="U72" s="553">
        <f>Table22[[#This Row],[Post-harvest treatment]]</f>
        <v>0</v>
      </c>
      <c r="V72" s="553" t="str">
        <f>Table22[[#This Row],[Chronic RA label]]</f>
        <v/>
      </c>
      <c r="W72" s="553">
        <f>Table22[[#This Row],[Chronic RA input value]]</f>
        <v>0</v>
      </c>
      <c r="X72" s="1684" t="str">
        <f>Table22[[#This Row],[Acute RA label]]</f>
        <v/>
      </c>
      <c r="Y72" s="553">
        <f>Table22[[#This Row],[Acute RA input value]]</f>
        <v>0</v>
      </c>
      <c r="Z72" s="786">
        <f>SUM(Table1[[#This Row],[chronic value &lt;&gt;MRL/LOQ]:[acute vlue&lt;&gt;MRL/LOQ]])</f>
        <v>0</v>
      </c>
      <c r="AA72" s="786">
        <f>IF(AND($F$5="Refined calculation mode",Table1[[#This Row],[GAP under assessment]]="Y"),1,IF(OR(Table1[[#This Row],[Chronic RA label]]="LOQ",Table1[[#This Row],[Chronic RA label]]="",Table1[[#This Row],[Chronic RA label]]="MRL"),0,1))</f>
        <v>0</v>
      </c>
      <c r="AB72" s="787">
        <f>IF(OR(Table1[[#This Row],[Acute RA label]]="LOQ",Table1[[#This Row],[Acute RA label]]="",Table1[[#This Row],[Acute RA label]]="MRL"),0,1)</f>
        <v>0</v>
      </c>
    </row>
    <row r="73" spans="1:28" ht="21.75" hidden="1" thickTop="1" x14ac:dyDescent="0.2">
      <c r="A73" s="815">
        <f>Table1[[#This Row],[Code no.]]</f>
        <v>161060</v>
      </c>
      <c r="B73" s="793" t="str">
        <f>Table1[[#This Row],[Commodity or group of commodities to which the MRLs apply]]</f>
        <v xml:space="preserve">Kaki/Japanese persimmons </v>
      </c>
      <c r="C73" s="794">
        <f>Table1[[#This Row],[MRL/ proposed MRL /CXL
(mg/kg)]]</f>
        <v>0</v>
      </c>
      <c r="D73" s="795">
        <f>Table1[[#This Row],[Source of MRL]]</f>
        <v>0</v>
      </c>
      <c r="E73" s="797">
        <f>Table1[[#This Row],[Chronic RA input value]]</f>
        <v>0</v>
      </c>
      <c r="F73" s="795" t="str">
        <f>Table1[[#This Row],[Chronic RA label]]</f>
        <v/>
      </c>
      <c r="G73" s="797">
        <f>Table1[[#This Row],[Acute RA input value]]</f>
        <v>0</v>
      </c>
      <c r="H73" s="836" t="str">
        <f>Table1[[#This Row],[Acute RA label]]</f>
        <v/>
      </c>
      <c r="J73" s="553">
        <f>Table22[[#This Row],[Code no.]]</f>
        <v>161060</v>
      </c>
      <c r="K73" s="553" t="str">
        <f>Table22[[#This Row],[Commodity or group of commodities to which the MRLs apply]]</f>
        <v xml:space="preserve">Kaki/Japanese persimmons </v>
      </c>
      <c r="L73" s="553">
        <f>Table22[[#This Row],[Source / type of MRL]]</f>
        <v>0</v>
      </c>
      <c r="M73" s="553">
        <f>Table22[[#This Row],[MRL/ proposed MRL /CXL
(mg/kg)]]</f>
        <v>0</v>
      </c>
      <c r="N73" s="553">
        <f>Table22[[#This Row],[LOQ]]</f>
        <v>0</v>
      </c>
      <c r="O73" s="553">
        <f>Table22[[#This Row],[CFrisk for residue definition]]</f>
        <v>0</v>
      </c>
      <c r="P73" s="553">
        <f>Table22[[#This Row],[PeF (peeling factor RD enforcemen)]]</f>
        <v>0</v>
      </c>
      <c r="Q73" s="553">
        <f>Table22[[#This Row],[STMR-RAC (median residue)]]</f>
        <v>0</v>
      </c>
      <c r="R73" s="553">
        <f>Table22[[#This Row],[HR-RAC (highest residue)]]</f>
        <v>0</v>
      </c>
      <c r="S73" s="553">
        <f>Table22[[#This Row],[VF (alternative variability factor)]]</f>
        <v>0</v>
      </c>
      <c r="T73" s="553">
        <f>Table22[[#This Row],[GAP under assessment]]</f>
        <v>0</v>
      </c>
      <c r="U73" s="553">
        <f>Table22[[#This Row],[Post-harvest treatment]]</f>
        <v>0</v>
      </c>
      <c r="V73" s="553" t="str">
        <f>Table22[[#This Row],[Chronic RA label]]</f>
        <v/>
      </c>
      <c r="W73" s="553">
        <f>Table22[[#This Row],[Chronic RA input value]]</f>
        <v>0</v>
      </c>
      <c r="X73" s="1684" t="str">
        <f>Table22[[#This Row],[Acute RA label]]</f>
        <v/>
      </c>
      <c r="Y73" s="553">
        <f>Table22[[#This Row],[Acute RA input value]]</f>
        <v>0</v>
      </c>
      <c r="Z73" s="786">
        <f>SUM(Table1[[#This Row],[chronic value &lt;&gt;MRL/LOQ]:[acute vlue&lt;&gt;MRL/LOQ]])</f>
        <v>0</v>
      </c>
      <c r="AA73" s="786">
        <f>IF(AND($F$5="Refined calculation mode",Table1[[#This Row],[GAP under assessment]]="Y"),1,IF(OR(Table1[[#This Row],[Chronic RA label]]="LOQ",Table1[[#This Row],[Chronic RA label]]="",Table1[[#This Row],[Chronic RA label]]="MRL"),0,1))</f>
        <v>0</v>
      </c>
      <c r="AB73" s="787">
        <f>IF(OR(Table1[[#This Row],[Acute RA label]]="LOQ",Table1[[#This Row],[Acute RA label]]="",Table1[[#This Row],[Acute RA label]]="MRL"),0,1)</f>
        <v>0</v>
      </c>
    </row>
    <row r="74" spans="1:28" ht="13.5" hidden="1" thickTop="1" x14ac:dyDescent="0.2">
      <c r="A74" s="815">
        <f>Table1[[#This Row],[Code no.]]</f>
        <v>161070</v>
      </c>
      <c r="B74" s="793" t="str">
        <f>Table1[[#This Row],[Commodity or group of commodities to which the MRLs apply]]</f>
        <v>Jambuls/jambolans</v>
      </c>
      <c r="C74" s="794">
        <f>Table1[[#This Row],[MRL/ proposed MRL /CXL
(mg/kg)]]</f>
        <v>0</v>
      </c>
      <c r="D74" s="795">
        <f>Table1[[#This Row],[Source of MRL]]</f>
        <v>0</v>
      </c>
      <c r="E74" s="797">
        <f>Table1[[#This Row],[Chronic RA input value]]</f>
        <v>0</v>
      </c>
      <c r="F74" s="795" t="str">
        <f>Table1[[#This Row],[Chronic RA label]]</f>
        <v/>
      </c>
      <c r="G74" s="797">
        <f>Table1[[#This Row],[Acute RA input value]]</f>
        <v>0</v>
      </c>
      <c r="H74" s="836" t="str">
        <f>Table1[[#This Row],[Acute RA label]]</f>
        <v/>
      </c>
      <c r="J74" s="553">
        <f>Table22[[#This Row],[Code no.]]</f>
        <v>161070</v>
      </c>
      <c r="K74" s="553" t="str">
        <f>Table22[[#This Row],[Commodity or group of commodities to which the MRLs apply]]</f>
        <v>Jambuls/jambolans</v>
      </c>
      <c r="L74" s="553">
        <f>Table22[[#This Row],[Source / type of MRL]]</f>
        <v>0</v>
      </c>
      <c r="M74" s="553">
        <f>Table22[[#This Row],[MRL/ proposed MRL /CXL
(mg/kg)]]</f>
        <v>0</v>
      </c>
      <c r="N74" s="553">
        <f>Table22[[#This Row],[LOQ]]</f>
        <v>0</v>
      </c>
      <c r="O74" s="553">
        <f>Table22[[#This Row],[CFrisk for residue definition]]</f>
        <v>0</v>
      </c>
      <c r="P74" s="553">
        <f>Table22[[#This Row],[PeF (peeling factor RD enforcemen)]]</f>
        <v>0</v>
      </c>
      <c r="Q74" s="553">
        <f>Table22[[#This Row],[STMR-RAC (median residue)]]</f>
        <v>0</v>
      </c>
      <c r="R74" s="553">
        <f>Table22[[#This Row],[HR-RAC (highest residue)]]</f>
        <v>0</v>
      </c>
      <c r="S74" s="553">
        <f>Table22[[#This Row],[VF (alternative variability factor)]]</f>
        <v>0</v>
      </c>
      <c r="T74" s="553">
        <f>Table22[[#This Row],[GAP under assessment]]</f>
        <v>0</v>
      </c>
      <c r="U74" s="553">
        <f>Table22[[#This Row],[Post-harvest treatment]]</f>
        <v>0</v>
      </c>
      <c r="V74" s="553" t="str">
        <f>Table22[[#This Row],[Chronic RA label]]</f>
        <v/>
      </c>
      <c r="W74" s="553">
        <f>Table22[[#This Row],[Chronic RA input value]]</f>
        <v>0</v>
      </c>
      <c r="X74" s="1684" t="str">
        <f>Table22[[#This Row],[Acute RA label]]</f>
        <v/>
      </c>
      <c r="Y74" s="553">
        <f>Table22[[#This Row],[Acute RA input value]]</f>
        <v>0</v>
      </c>
      <c r="Z74" s="786">
        <f>SUM(Table1[[#This Row],[chronic value &lt;&gt;MRL/LOQ]:[acute vlue&lt;&gt;MRL/LOQ]])</f>
        <v>0</v>
      </c>
      <c r="AA74" s="786">
        <f>IF(AND($F$5="Refined calculation mode",Table1[[#This Row],[GAP under assessment]]="Y"),1,IF(OR(Table1[[#This Row],[Chronic RA label]]="LOQ",Table1[[#This Row],[Chronic RA label]]="",Table1[[#This Row],[Chronic RA label]]="MRL"),0,1))</f>
        <v>0</v>
      </c>
      <c r="AB74" s="787">
        <f>IF(OR(Table1[[#This Row],[Acute RA label]]="LOQ",Table1[[#This Row],[Acute RA label]]="",Table1[[#This Row],[Acute RA label]]="MRL"),0,1)</f>
        <v>0</v>
      </c>
    </row>
    <row r="75" spans="1:28" ht="21.75" hidden="1" thickTop="1" x14ac:dyDescent="0.2">
      <c r="A75" s="815">
        <f>Table1[[#This Row],[Code no.]]</f>
        <v>161990</v>
      </c>
      <c r="B75" s="793" t="str">
        <f>Table1[[#This Row],[Commodity or group of commodities to which the MRLs apply]]</f>
        <v>Other miscellaneous fruit (edible peel)</v>
      </c>
      <c r="C75" s="794">
        <f>Table1[[#This Row],[MRL/ proposed MRL /CXL
(mg/kg)]]</f>
        <v>0</v>
      </c>
      <c r="D75" s="795">
        <f>Table1[[#This Row],[Source of MRL]]</f>
        <v>0</v>
      </c>
      <c r="E75" s="797">
        <f>Table1[[#This Row],[Chronic RA input value]]</f>
        <v>0</v>
      </c>
      <c r="F75" s="795" t="str">
        <f>Table1[[#This Row],[Chronic RA label]]</f>
        <v/>
      </c>
      <c r="G75" s="797">
        <f>Table1[[#This Row],[Acute RA input value]]</f>
        <v>0</v>
      </c>
      <c r="H75" s="836">
        <f>Table1[[#This Row],[Acute RA label]]</f>
        <v>0</v>
      </c>
      <c r="J75" s="553">
        <f>Table22[[#This Row],[Code no.]]</f>
        <v>161990</v>
      </c>
      <c r="K75" s="553" t="str">
        <f>Table22[[#This Row],[Commodity or group of commodities to which the MRLs apply]]</f>
        <v>Other miscellaneous fruit (edible peel)</v>
      </c>
      <c r="L75" s="553">
        <f>Table22[[#This Row],[Source / type of MRL]]</f>
        <v>0</v>
      </c>
      <c r="M75" s="553">
        <f>Table22[[#This Row],[MRL/ proposed MRL /CXL
(mg/kg)]]</f>
        <v>0</v>
      </c>
      <c r="N75" s="553">
        <f>Table22[[#This Row],[LOQ]]</f>
        <v>0</v>
      </c>
      <c r="O75" s="553">
        <f>Table22[[#This Row],[CFrisk for residue definition]]</f>
        <v>0</v>
      </c>
      <c r="P75" s="553">
        <f>Table22[[#This Row],[PeF (peeling factor RD enforcemen)]]</f>
        <v>0</v>
      </c>
      <c r="Q75" s="553">
        <f>Table22[[#This Row],[STMR-RAC (median residue)]]</f>
        <v>0</v>
      </c>
      <c r="R75" s="553">
        <f>Table22[[#This Row],[HR-RAC (highest residue)]]</f>
        <v>0</v>
      </c>
      <c r="S75" s="553">
        <f>Table22[[#This Row],[VF (alternative variability factor)]]</f>
        <v>0</v>
      </c>
      <c r="T75" s="553">
        <f>Table22[[#This Row],[GAP under assessment]]</f>
        <v>0</v>
      </c>
      <c r="U75" s="553">
        <f>Table22[[#This Row],[Post-harvest treatment]]</f>
        <v>0</v>
      </c>
      <c r="V75" s="553" t="str">
        <f>Table22[[#This Row],[Chronic RA label]]</f>
        <v/>
      </c>
      <c r="W75" s="553">
        <f>Table22[[#This Row],[Chronic RA input value]]</f>
        <v>0</v>
      </c>
      <c r="X75" s="1684"/>
      <c r="Y75" s="553">
        <f>Table22[[#This Row],[Acute RA input value]]</f>
        <v>0</v>
      </c>
      <c r="Z75" s="786">
        <f>SUM(Table1[[#This Row],[chronic value &lt;&gt;MRL/LOQ]:[acute vlue&lt;&gt;MRL/LOQ]])</f>
        <v>0</v>
      </c>
      <c r="AA75" s="786">
        <f>IF(AND($F$5="Refined calculation mode",Table1[[#This Row],[GAP under assessment]]="Y"),1,IF(OR(Table1[[#This Row],[Chronic RA label]]="LOQ",Table1[[#This Row],[Chronic RA label]]="",Table1[[#This Row],[Chronic RA label]]="MRL"),0,1))</f>
        <v>0</v>
      </c>
      <c r="AB75" s="787">
        <f>IF(OR(Table1[[#This Row],[Acute RA label]]="LOQ",Table1[[#This Row],[Acute RA label]]="",Table1[[#This Row],[Acute RA label]]="MRL"),0,1)</f>
        <v>0</v>
      </c>
    </row>
    <row r="76" spans="1:28" ht="32.25" hidden="1" thickTop="1" x14ac:dyDescent="0.2">
      <c r="A76" s="815">
        <f>Table1[[#This Row],[Code no.]]</f>
        <v>162000</v>
      </c>
      <c r="B76" s="793" t="str">
        <f>Table1[[#This Row],[Commodity or group of commodities to which the MRLs apply]]</f>
        <v>Miscellaneous fruit (inedible peel,
small)</v>
      </c>
      <c r="C76" s="794">
        <f>Table1[[#This Row],[MRL/ proposed MRL /CXL
(mg/kg)]]</f>
        <v>0</v>
      </c>
      <c r="D76" s="795">
        <f>Table1[[#This Row],[Source of MRL]]</f>
        <v>0</v>
      </c>
      <c r="E76" s="797">
        <f>Table1[[#This Row],[Chronic RA input value]]</f>
        <v>0</v>
      </c>
      <c r="F76" s="795">
        <f>Table1[[#This Row],[Chronic RA label]]</f>
        <v>0</v>
      </c>
      <c r="G76" s="797">
        <f>Table1[[#This Row],[Acute RA input value]]</f>
        <v>0</v>
      </c>
      <c r="H76" s="836">
        <f>Table1[[#This Row],[Acute RA label]]</f>
        <v>0</v>
      </c>
      <c r="J76" s="553">
        <f>Table22[[#This Row],[Code no.]]</f>
        <v>162000</v>
      </c>
      <c r="K76" s="553" t="str">
        <f>Table22[[#This Row],[Commodity or group of commodities to which the MRLs apply]]</f>
        <v>Miscellaneous fruit (inedible peel,
small)</v>
      </c>
      <c r="L76" s="553">
        <f>Table22[[#This Row],[Source / type of MRL]]</f>
        <v>0</v>
      </c>
      <c r="M76" s="553">
        <f>Table22[[#This Row],[MRL/ proposed MRL /CXL
(mg/kg)]]</f>
        <v>0</v>
      </c>
      <c r="N76" s="553">
        <f>Table22[[#This Row],[LOQ]]</f>
        <v>0</v>
      </c>
      <c r="O76" s="553">
        <f>Table22[[#This Row],[CFrisk for residue definition]]</f>
        <v>0</v>
      </c>
      <c r="P76" s="553">
        <f>Table22[[#This Row],[PeF (peeling factor RD enforcemen)]]</f>
        <v>0</v>
      </c>
      <c r="Q76" s="553">
        <f>Table22[[#This Row],[STMR-RAC (median residue)]]</f>
        <v>0</v>
      </c>
      <c r="R76" s="553">
        <f>Table22[[#This Row],[HR-RAC (highest residue)]]</f>
        <v>0</v>
      </c>
      <c r="S76" s="553">
        <f>Table22[[#This Row],[VF (alternative variability factor)]]</f>
        <v>0</v>
      </c>
      <c r="T76" s="553">
        <f>Table22[[#This Row],[GAP under assessment]]</f>
        <v>0</v>
      </c>
      <c r="U76" s="553">
        <f>Table22[[#This Row],[Post-harvest treatment]]</f>
        <v>0</v>
      </c>
      <c r="V76" s="553"/>
      <c r="W76" s="553">
        <f>Table22[[#This Row],[Chronic RA input value]]</f>
        <v>0</v>
      </c>
      <c r="X76" s="1684"/>
      <c r="Y76" s="553">
        <f>Table22[[#This Row],[Acute RA input value]]</f>
        <v>0</v>
      </c>
      <c r="Z76" s="786">
        <f>SUM(Table1[[#This Row],[chronic value &lt;&gt;MRL/LOQ]:[acute vlue&lt;&gt;MRL/LOQ]])</f>
        <v>0</v>
      </c>
      <c r="AA76" s="786">
        <f>IF(AND($F$5="Refined calculation mode",Table1[[#This Row],[GAP under assessment]]="Y"),1,IF(OR(Table1[[#This Row],[Chronic RA label]]="LOQ",Table1[[#This Row],[Chronic RA label]]="",Table1[[#This Row],[Chronic RA label]]="MRL"),0,1))</f>
        <v>0</v>
      </c>
      <c r="AB76" s="787">
        <f>IF(OR(Table1[[#This Row],[Acute RA label]]="LOQ",Table1[[#This Row],[Acute RA label]]="",Table1[[#This Row],[Acute RA label]]="MRL"),0,1)</f>
        <v>0</v>
      </c>
    </row>
    <row r="77" spans="1:28" ht="21.75" hidden="1" thickTop="1" x14ac:dyDescent="0.2">
      <c r="A77" s="815">
        <f>Table1[[#This Row],[Code no.]]</f>
        <v>162010</v>
      </c>
      <c r="B77" s="793" t="str">
        <f>Table1[[#This Row],[Commodity or group of commodities to which the MRLs apply]]</f>
        <v>Kiwi fruits (green, red, yellow)</v>
      </c>
      <c r="C77" s="794">
        <f>Table1[[#This Row],[MRL/ proposed MRL /CXL
(mg/kg)]]</f>
        <v>0</v>
      </c>
      <c r="D77" s="795">
        <f>Table1[[#This Row],[Source of MRL]]</f>
        <v>0</v>
      </c>
      <c r="E77" s="797">
        <f>Table1[[#This Row],[Chronic RA input value]]</f>
        <v>0</v>
      </c>
      <c r="F77" s="795" t="str">
        <f>Table1[[#This Row],[Chronic RA label]]</f>
        <v/>
      </c>
      <c r="G77" s="797">
        <f>Table1[[#This Row],[Acute RA input value]]</f>
        <v>0</v>
      </c>
      <c r="H77" s="836" t="str">
        <f>Table1[[#This Row],[Acute RA label]]</f>
        <v/>
      </c>
      <c r="J77" s="553">
        <f>Table22[[#This Row],[Code no.]]</f>
        <v>162010</v>
      </c>
      <c r="K77" s="553" t="str">
        <f>Table22[[#This Row],[Commodity or group of commodities to which the MRLs apply]]</f>
        <v>Kiwi fruits (green, red, yellow)</v>
      </c>
      <c r="L77" s="553">
        <f>Table22[[#This Row],[Source / type of MRL]]</f>
        <v>0</v>
      </c>
      <c r="M77" s="553">
        <f>Table22[[#This Row],[MRL/ proposed MRL /CXL
(mg/kg)]]</f>
        <v>0</v>
      </c>
      <c r="N77" s="553">
        <f>Table22[[#This Row],[LOQ]]</f>
        <v>0</v>
      </c>
      <c r="O77" s="553">
        <f>Table22[[#This Row],[CFrisk for residue definition]]</f>
        <v>0</v>
      </c>
      <c r="P77" s="553">
        <f>Table22[[#This Row],[PeF (peeling factor RD enforcemen)]]</f>
        <v>0</v>
      </c>
      <c r="Q77" s="553">
        <f>Table22[[#This Row],[STMR-RAC (median residue)]]</f>
        <v>0</v>
      </c>
      <c r="R77" s="553">
        <f>Table22[[#This Row],[HR-RAC (highest residue)]]</f>
        <v>0</v>
      </c>
      <c r="S77" s="553">
        <f>Table22[[#This Row],[VF (alternative variability factor)]]</f>
        <v>0</v>
      </c>
      <c r="T77" s="553">
        <f>Table22[[#This Row],[GAP under assessment]]</f>
        <v>0</v>
      </c>
      <c r="U77" s="553">
        <f>Table22[[#This Row],[Post-harvest treatment]]</f>
        <v>0</v>
      </c>
      <c r="V77" s="553" t="str">
        <f>Table22[[#This Row],[Chronic RA label]]</f>
        <v/>
      </c>
      <c r="W77" s="553">
        <f>Table22[[#This Row],[Chronic RA input value]]</f>
        <v>0</v>
      </c>
      <c r="X77" s="1684" t="str">
        <f>Table22[[#This Row],[Acute RA label]]</f>
        <v/>
      </c>
      <c r="Y77" s="553">
        <f>Table22[[#This Row],[Acute RA input value]]</f>
        <v>0</v>
      </c>
      <c r="Z77" s="786">
        <f>SUM(Table1[[#This Row],[chronic value &lt;&gt;MRL/LOQ]:[acute vlue&lt;&gt;MRL/LOQ]])</f>
        <v>0</v>
      </c>
      <c r="AA77" s="786">
        <f>IF(AND($F$5="Refined calculation mode",Table1[[#This Row],[GAP under assessment]]="Y"),1,IF(OR(Table1[[#This Row],[Chronic RA label]]="LOQ",Table1[[#This Row],[Chronic RA label]]="",Table1[[#This Row],[Chronic RA label]]="MRL"),0,1))</f>
        <v>0</v>
      </c>
      <c r="AB77" s="787">
        <f>IF(OR(Table1[[#This Row],[Acute RA label]]="LOQ",Table1[[#This Row],[Acute RA label]]="",Table1[[#This Row],[Acute RA label]]="MRL"),0,1)</f>
        <v>0</v>
      </c>
    </row>
    <row r="78" spans="1:28" ht="13.5" hidden="1" thickTop="1" x14ac:dyDescent="0.2">
      <c r="A78" s="815">
        <f>Table1[[#This Row],[Code no.]]</f>
        <v>162020</v>
      </c>
      <c r="B78" s="793" t="str">
        <f>Table1[[#This Row],[Commodity or group of commodities to which the MRLs apply]]</f>
        <v>Litchis/lychees</v>
      </c>
      <c r="C78" s="794">
        <f>Table1[[#This Row],[MRL/ proposed MRL /CXL
(mg/kg)]]</f>
        <v>0</v>
      </c>
      <c r="D78" s="795">
        <f>Table1[[#This Row],[Source of MRL]]</f>
        <v>0</v>
      </c>
      <c r="E78" s="797">
        <f>Table1[[#This Row],[Chronic RA input value]]</f>
        <v>0</v>
      </c>
      <c r="F78" s="795" t="str">
        <f>Table1[[#This Row],[Chronic RA label]]</f>
        <v/>
      </c>
      <c r="G78" s="797">
        <f>Table1[[#This Row],[Acute RA input value]]</f>
        <v>0</v>
      </c>
      <c r="H78" s="836" t="str">
        <f>Table1[[#This Row],[Acute RA label]]</f>
        <v/>
      </c>
      <c r="J78" s="553">
        <f>Table22[[#This Row],[Code no.]]</f>
        <v>162020</v>
      </c>
      <c r="K78" s="553" t="str">
        <f>Table22[[#This Row],[Commodity or group of commodities to which the MRLs apply]]</f>
        <v>Litchis/lychees</v>
      </c>
      <c r="L78" s="553">
        <f>Table22[[#This Row],[Source / type of MRL]]</f>
        <v>0</v>
      </c>
      <c r="M78" s="553">
        <f>Table22[[#This Row],[MRL/ proposed MRL /CXL
(mg/kg)]]</f>
        <v>0</v>
      </c>
      <c r="N78" s="553">
        <f>Table22[[#This Row],[LOQ]]</f>
        <v>0</v>
      </c>
      <c r="O78" s="553">
        <f>Table22[[#This Row],[CFrisk for residue definition]]</f>
        <v>0</v>
      </c>
      <c r="P78" s="553">
        <f>Table22[[#This Row],[PeF (peeling factor RD enforcemen)]]</f>
        <v>0</v>
      </c>
      <c r="Q78" s="553">
        <f>Table22[[#This Row],[STMR-RAC (median residue)]]</f>
        <v>0</v>
      </c>
      <c r="R78" s="553">
        <f>Table22[[#This Row],[HR-RAC (highest residue)]]</f>
        <v>0</v>
      </c>
      <c r="S78" s="553">
        <f>Table22[[#This Row],[VF (alternative variability factor)]]</f>
        <v>0</v>
      </c>
      <c r="T78" s="553">
        <f>Table22[[#This Row],[GAP under assessment]]</f>
        <v>0</v>
      </c>
      <c r="U78" s="553">
        <f>Table22[[#This Row],[Post-harvest treatment]]</f>
        <v>0</v>
      </c>
      <c r="V78" s="553" t="str">
        <f>Table22[[#This Row],[Chronic RA label]]</f>
        <v/>
      </c>
      <c r="W78" s="553">
        <f>Table22[[#This Row],[Chronic RA input value]]</f>
        <v>0</v>
      </c>
      <c r="X78" s="1684" t="str">
        <f>Table22[[#This Row],[Acute RA label]]</f>
        <v/>
      </c>
      <c r="Y78" s="553">
        <f>Table22[[#This Row],[Acute RA input value]]</f>
        <v>0</v>
      </c>
      <c r="Z78" s="786">
        <f>SUM(Table1[[#This Row],[chronic value &lt;&gt;MRL/LOQ]:[acute vlue&lt;&gt;MRL/LOQ]])</f>
        <v>0</v>
      </c>
      <c r="AA78" s="786">
        <f>IF(AND($F$5="Refined calculation mode",Table1[[#This Row],[GAP under assessment]]="Y"),1,IF(OR(Table1[[#This Row],[Chronic RA label]]="LOQ",Table1[[#This Row],[Chronic RA label]]="",Table1[[#This Row],[Chronic RA label]]="MRL"),0,1))</f>
        <v>0</v>
      </c>
      <c r="AB78" s="787">
        <f>IF(OR(Table1[[#This Row],[Acute RA label]]="LOQ",Table1[[#This Row],[Acute RA label]]="",Table1[[#This Row],[Acute RA label]]="MRL"),0,1)</f>
        <v>0</v>
      </c>
    </row>
    <row r="79" spans="1:28" ht="21.75" hidden="1" thickTop="1" x14ac:dyDescent="0.2">
      <c r="A79" s="815">
        <f>Table1[[#This Row],[Code no.]]</f>
        <v>162030</v>
      </c>
      <c r="B79" s="793" t="str">
        <f>Table1[[#This Row],[Commodity or group of commodities to which the MRLs apply]]</f>
        <v>Passionfruits/maracujas</v>
      </c>
      <c r="C79" s="794">
        <f>Table1[[#This Row],[MRL/ proposed MRL /CXL
(mg/kg)]]</f>
        <v>0</v>
      </c>
      <c r="D79" s="795">
        <f>Table1[[#This Row],[Source of MRL]]</f>
        <v>0</v>
      </c>
      <c r="E79" s="797">
        <f>Table1[[#This Row],[Chronic RA input value]]</f>
        <v>0</v>
      </c>
      <c r="F79" s="795" t="str">
        <f>Table1[[#This Row],[Chronic RA label]]</f>
        <v/>
      </c>
      <c r="G79" s="797">
        <f>Table1[[#This Row],[Acute RA input value]]</f>
        <v>0</v>
      </c>
      <c r="H79" s="836" t="str">
        <f>Table1[[#This Row],[Acute RA label]]</f>
        <v/>
      </c>
      <c r="J79" s="553">
        <f>Table22[[#This Row],[Code no.]]</f>
        <v>162030</v>
      </c>
      <c r="K79" s="553" t="str">
        <f>Table22[[#This Row],[Commodity or group of commodities to which the MRLs apply]]</f>
        <v>Passionfruits/maracujas</v>
      </c>
      <c r="L79" s="553">
        <f>Table22[[#This Row],[Source / type of MRL]]</f>
        <v>0</v>
      </c>
      <c r="M79" s="553">
        <f>Table22[[#This Row],[MRL/ proposed MRL /CXL
(mg/kg)]]</f>
        <v>0</v>
      </c>
      <c r="N79" s="553">
        <f>Table22[[#This Row],[LOQ]]</f>
        <v>0</v>
      </c>
      <c r="O79" s="553">
        <f>Table22[[#This Row],[CFrisk for residue definition]]</f>
        <v>0</v>
      </c>
      <c r="P79" s="553">
        <f>Table22[[#This Row],[PeF (peeling factor RD enforcemen)]]</f>
        <v>0</v>
      </c>
      <c r="Q79" s="553">
        <f>Table22[[#This Row],[STMR-RAC (median residue)]]</f>
        <v>0</v>
      </c>
      <c r="R79" s="553">
        <f>Table22[[#This Row],[HR-RAC (highest residue)]]</f>
        <v>0</v>
      </c>
      <c r="S79" s="553">
        <f>Table22[[#This Row],[VF (alternative variability factor)]]</f>
        <v>0</v>
      </c>
      <c r="T79" s="553">
        <f>Table22[[#This Row],[GAP under assessment]]</f>
        <v>0</v>
      </c>
      <c r="U79" s="553">
        <f>Table22[[#This Row],[Post-harvest treatment]]</f>
        <v>0</v>
      </c>
      <c r="V79" s="553" t="str">
        <f>Table22[[#This Row],[Chronic RA label]]</f>
        <v/>
      </c>
      <c r="W79" s="553">
        <f>Table22[[#This Row],[Chronic RA input value]]</f>
        <v>0</v>
      </c>
      <c r="X79" s="1684" t="str">
        <f>Table22[[#This Row],[Acute RA label]]</f>
        <v/>
      </c>
      <c r="Y79" s="553">
        <f>Table22[[#This Row],[Acute RA input value]]</f>
        <v>0</v>
      </c>
      <c r="Z79" s="786">
        <f>SUM(Table1[[#This Row],[chronic value &lt;&gt;MRL/LOQ]:[acute vlue&lt;&gt;MRL/LOQ]])</f>
        <v>0</v>
      </c>
      <c r="AA79" s="786">
        <f>IF(AND($F$5="Refined calculation mode",Table1[[#This Row],[GAP under assessment]]="Y"),1,IF(OR(Table1[[#This Row],[Chronic RA label]]="LOQ",Table1[[#This Row],[Chronic RA label]]="",Table1[[#This Row],[Chronic RA label]]="MRL"),0,1))</f>
        <v>0</v>
      </c>
      <c r="AB79" s="787">
        <f>IF(OR(Table1[[#This Row],[Acute RA label]]="LOQ",Table1[[#This Row],[Acute RA label]]="",Table1[[#This Row],[Acute RA label]]="MRL"),0,1)</f>
        <v>0</v>
      </c>
    </row>
    <row r="80" spans="1:28" ht="21.75" hidden="1" thickTop="1" x14ac:dyDescent="0.2">
      <c r="A80" s="815">
        <f>Table1[[#This Row],[Code no.]]</f>
        <v>162040</v>
      </c>
      <c r="B80" s="793" t="str">
        <f>Table1[[#This Row],[Commodity or group of commodities to which the MRLs apply]]</f>
        <v>Prickly pears/cactus fruits</v>
      </c>
      <c r="C80" s="794">
        <f>Table1[[#This Row],[MRL/ proposed MRL /CXL
(mg/kg)]]</f>
        <v>0</v>
      </c>
      <c r="D80" s="795">
        <f>Table1[[#This Row],[Source of MRL]]</f>
        <v>0</v>
      </c>
      <c r="E80" s="797">
        <f>Table1[[#This Row],[Chronic RA input value]]</f>
        <v>0</v>
      </c>
      <c r="F80" s="795" t="str">
        <f>Table1[[#This Row],[Chronic RA label]]</f>
        <v/>
      </c>
      <c r="G80" s="797">
        <f>Table1[[#This Row],[Acute RA input value]]</f>
        <v>0</v>
      </c>
      <c r="H80" s="836" t="str">
        <f>Table1[[#This Row],[Acute RA label]]</f>
        <v/>
      </c>
      <c r="J80" s="553">
        <f>Table22[[#This Row],[Code no.]]</f>
        <v>162040</v>
      </c>
      <c r="K80" s="553" t="str">
        <f>Table22[[#This Row],[Commodity or group of commodities to which the MRLs apply]]</f>
        <v>Prickly pears/cactus fruits</v>
      </c>
      <c r="L80" s="553">
        <f>Table22[[#This Row],[Source / type of MRL]]</f>
        <v>0</v>
      </c>
      <c r="M80" s="553">
        <f>Table22[[#This Row],[MRL/ proposed MRL /CXL
(mg/kg)]]</f>
        <v>0</v>
      </c>
      <c r="N80" s="553">
        <f>Table22[[#This Row],[LOQ]]</f>
        <v>0</v>
      </c>
      <c r="O80" s="553">
        <f>Table22[[#This Row],[CFrisk for residue definition]]</f>
        <v>0</v>
      </c>
      <c r="P80" s="553">
        <f>Table22[[#This Row],[PeF (peeling factor RD enforcemen)]]</f>
        <v>0</v>
      </c>
      <c r="Q80" s="553">
        <f>Table22[[#This Row],[STMR-RAC (median residue)]]</f>
        <v>0</v>
      </c>
      <c r="R80" s="553">
        <f>Table22[[#This Row],[HR-RAC (highest residue)]]</f>
        <v>0</v>
      </c>
      <c r="S80" s="553">
        <f>Table22[[#This Row],[VF (alternative variability factor)]]</f>
        <v>0</v>
      </c>
      <c r="T80" s="553">
        <f>Table22[[#This Row],[GAP under assessment]]</f>
        <v>0</v>
      </c>
      <c r="U80" s="553">
        <f>Table22[[#This Row],[Post-harvest treatment]]</f>
        <v>0</v>
      </c>
      <c r="V80" s="553" t="str">
        <f>Table22[[#This Row],[Chronic RA label]]</f>
        <v/>
      </c>
      <c r="W80" s="553">
        <f>Table22[[#This Row],[Chronic RA input value]]</f>
        <v>0</v>
      </c>
      <c r="X80" s="1684" t="str">
        <f>Table22[[#This Row],[Acute RA label]]</f>
        <v/>
      </c>
      <c r="Y80" s="553">
        <f>Table22[[#This Row],[Acute RA input value]]</f>
        <v>0</v>
      </c>
      <c r="Z80" s="786">
        <f>SUM(Table1[[#This Row],[chronic value &lt;&gt;MRL/LOQ]:[acute vlue&lt;&gt;MRL/LOQ]])</f>
        <v>0</v>
      </c>
      <c r="AA80" s="786">
        <f>IF(AND($F$5="Refined calculation mode",Table1[[#This Row],[GAP under assessment]]="Y"),1,IF(OR(Table1[[#This Row],[Chronic RA label]]="LOQ",Table1[[#This Row],[Chronic RA label]]="",Table1[[#This Row],[Chronic RA label]]="MRL"),0,1))</f>
        <v>0</v>
      </c>
      <c r="AB80" s="787">
        <f>IF(OR(Table1[[#This Row],[Acute RA label]]="LOQ",Table1[[#This Row],[Acute RA label]]="",Table1[[#This Row],[Acute RA label]]="MRL"),0,1)</f>
        <v>0</v>
      </c>
    </row>
    <row r="81" spans="1:28" ht="13.5" hidden="1" thickTop="1" x14ac:dyDescent="0.2">
      <c r="A81" s="815">
        <f>Table1[[#This Row],[Code no.]]</f>
        <v>162050</v>
      </c>
      <c r="B81" s="793" t="str">
        <f>Table1[[#This Row],[Commodity or group of commodities to which the MRLs apply]]</f>
        <v>Star apples/cainitos</v>
      </c>
      <c r="C81" s="794">
        <f>Table1[[#This Row],[MRL/ proposed MRL /CXL
(mg/kg)]]</f>
        <v>0</v>
      </c>
      <c r="D81" s="795">
        <f>Table1[[#This Row],[Source of MRL]]</f>
        <v>0</v>
      </c>
      <c r="E81" s="797">
        <f>Table1[[#This Row],[Chronic RA input value]]</f>
        <v>0</v>
      </c>
      <c r="F81" s="795" t="str">
        <f>Table1[[#This Row],[Chronic RA label]]</f>
        <v/>
      </c>
      <c r="G81" s="797">
        <f>Table1[[#This Row],[Acute RA input value]]</f>
        <v>0</v>
      </c>
      <c r="H81" s="836" t="str">
        <f>Table1[[#This Row],[Acute RA label]]</f>
        <v/>
      </c>
      <c r="J81" s="553">
        <f>Table22[[#This Row],[Code no.]]</f>
        <v>162050</v>
      </c>
      <c r="K81" s="553" t="str">
        <f>Table22[[#This Row],[Commodity or group of commodities to which the MRLs apply]]</f>
        <v>Star apples/cainitos</v>
      </c>
      <c r="L81" s="553">
        <f>Table22[[#This Row],[Source / type of MRL]]</f>
        <v>0</v>
      </c>
      <c r="M81" s="553">
        <f>Table22[[#This Row],[MRL/ proposed MRL /CXL
(mg/kg)]]</f>
        <v>0</v>
      </c>
      <c r="N81" s="553">
        <f>Table22[[#This Row],[LOQ]]</f>
        <v>0</v>
      </c>
      <c r="O81" s="553">
        <f>Table22[[#This Row],[CFrisk for residue definition]]</f>
        <v>0</v>
      </c>
      <c r="P81" s="553">
        <f>Table22[[#This Row],[PeF (peeling factor RD enforcemen)]]</f>
        <v>0</v>
      </c>
      <c r="Q81" s="553">
        <f>Table22[[#This Row],[STMR-RAC (median residue)]]</f>
        <v>0</v>
      </c>
      <c r="R81" s="553">
        <f>Table22[[#This Row],[HR-RAC (highest residue)]]</f>
        <v>0</v>
      </c>
      <c r="S81" s="553">
        <f>Table22[[#This Row],[VF (alternative variability factor)]]</f>
        <v>0</v>
      </c>
      <c r="T81" s="553">
        <f>Table22[[#This Row],[GAP under assessment]]</f>
        <v>0</v>
      </c>
      <c r="U81" s="553">
        <f>Table22[[#This Row],[Post-harvest treatment]]</f>
        <v>0</v>
      </c>
      <c r="V81" s="553" t="str">
        <f>Table22[[#This Row],[Chronic RA label]]</f>
        <v/>
      </c>
      <c r="W81" s="553">
        <f>Table22[[#This Row],[Chronic RA input value]]</f>
        <v>0</v>
      </c>
      <c r="X81" s="1684" t="str">
        <f>Table22[[#This Row],[Acute RA label]]</f>
        <v/>
      </c>
      <c r="Y81" s="553">
        <f>Table22[[#This Row],[Acute RA input value]]</f>
        <v>0</v>
      </c>
      <c r="Z81" s="786">
        <f>SUM(Table1[[#This Row],[chronic value &lt;&gt;MRL/LOQ]:[acute vlue&lt;&gt;MRL/LOQ]])</f>
        <v>0</v>
      </c>
      <c r="AA81" s="786">
        <f>IF(AND($F$5="Refined calculation mode",Table1[[#This Row],[GAP under assessment]]="Y"),1,IF(OR(Table1[[#This Row],[Chronic RA label]]="LOQ",Table1[[#This Row],[Chronic RA label]]="",Table1[[#This Row],[Chronic RA label]]="MRL"),0,1))</f>
        <v>0</v>
      </c>
      <c r="AB81" s="787">
        <f>IF(OR(Table1[[#This Row],[Acute RA label]]="LOQ",Table1[[#This Row],[Acute RA label]]="",Table1[[#This Row],[Acute RA label]]="MRL"),0,1)</f>
        <v>0</v>
      </c>
    </row>
    <row r="82" spans="1:28" ht="32.25" hidden="1" thickTop="1" x14ac:dyDescent="0.2">
      <c r="A82" s="815">
        <f>Table1[[#This Row],[Code no.]]</f>
        <v>162060</v>
      </c>
      <c r="B82" s="793" t="str">
        <f>Table1[[#This Row],[Commodity or group of commodities to which the MRLs apply]]</f>
        <v>American persimmon/Virginia kaki</v>
      </c>
      <c r="C82" s="794">
        <f>Table1[[#This Row],[MRL/ proposed MRL /CXL
(mg/kg)]]</f>
        <v>0</v>
      </c>
      <c r="D82" s="795">
        <f>Table1[[#This Row],[Source of MRL]]</f>
        <v>0</v>
      </c>
      <c r="E82" s="797">
        <f>Table1[[#This Row],[Chronic RA input value]]</f>
        <v>0</v>
      </c>
      <c r="F82" s="795" t="str">
        <f>Table1[[#This Row],[Chronic RA label]]</f>
        <v/>
      </c>
      <c r="G82" s="797">
        <f>Table1[[#This Row],[Acute RA input value]]</f>
        <v>0</v>
      </c>
      <c r="H82" s="836" t="str">
        <f>Table1[[#This Row],[Acute RA label]]</f>
        <v/>
      </c>
      <c r="J82" s="553">
        <f>Table22[[#This Row],[Code no.]]</f>
        <v>162060</v>
      </c>
      <c r="K82" s="553" t="str">
        <f>Table22[[#This Row],[Commodity or group of commodities to which the MRLs apply]]</f>
        <v>American persimmon/Virginia kaki</v>
      </c>
      <c r="L82" s="553">
        <f>Table22[[#This Row],[Source / type of MRL]]</f>
        <v>0</v>
      </c>
      <c r="M82" s="553">
        <f>Table22[[#This Row],[MRL/ proposed MRL /CXL
(mg/kg)]]</f>
        <v>0</v>
      </c>
      <c r="N82" s="553">
        <f>Table22[[#This Row],[LOQ]]</f>
        <v>0</v>
      </c>
      <c r="O82" s="553">
        <f>Table22[[#This Row],[CFrisk for residue definition]]</f>
        <v>0</v>
      </c>
      <c r="P82" s="553">
        <f>Table22[[#This Row],[PeF (peeling factor RD enforcemen)]]</f>
        <v>0</v>
      </c>
      <c r="Q82" s="553">
        <f>Table22[[#This Row],[STMR-RAC (median residue)]]</f>
        <v>0</v>
      </c>
      <c r="R82" s="553">
        <f>Table22[[#This Row],[HR-RAC (highest residue)]]</f>
        <v>0</v>
      </c>
      <c r="S82" s="553">
        <f>Table22[[#This Row],[VF (alternative variability factor)]]</f>
        <v>0</v>
      </c>
      <c r="T82" s="553">
        <f>Table22[[#This Row],[GAP under assessment]]</f>
        <v>0</v>
      </c>
      <c r="U82" s="553">
        <f>Table22[[#This Row],[Post-harvest treatment]]</f>
        <v>0</v>
      </c>
      <c r="V82" s="553" t="str">
        <f>Table22[[#This Row],[Chronic RA label]]</f>
        <v/>
      </c>
      <c r="W82" s="553">
        <f>Table22[[#This Row],[Chronic RA input value]]</f>
        <v>0</v>
      </c>
      <c r="X82" s="1684" t="str">
        <f>Table22[[#This Row],[Acute RA label]]</f>
        <v/>
      </c>
      <c r="Y82" s="553">
        <f>Table22[[#This Row],[Acute RA input value]]</f>
        <v>0</v>
      </c>
      <c r="Z82" s="786">
        <f>SUM(Table1[[#This Row],[chronic value &lt;&gt;MRL/LOQ]:[acute vlue&lt;&gt;MRL/LOQ]])</f>
        <v>0</v>
      </c>
      <c r="AA82" s="786">
        <f>IF(AND($F$5="Refined calculation mode",Table1[[#This Row],[GAP under assessment]]="Y"),1,IF(OR(Table1[[#This Row],[Chronic RA label]]="LOQ",Table1[[#This Row],[Chronic RA label]]="",Table1[[#This Row],[Chronic RA label]]="MRL"),0,1))</f>
        <v>0</v>
      </c>
      <c r="AB82" s="787">
        <f>IF(OR(Table1[[#This Row],[Acute RA label]]="LOQ",Table1[[#This Row],[Acute RA label]]="",Table1[[#This Row],[Acute RA label]]="MRL"),0,1)</f>
        <v>0</v>
      </c>
    </row>
    <row r="83" spans="1:28" ht="32.25" hidden="1" thickTop="1" x14ac:dyDescent="0.2">
      <c r="A83" s="815">
        <f>Table1[[#This Row],[Code no.]]</f>
        <v>162990</v>
      </c>
      <c r="B83" s="793" t="str">
        <f>Table1[[#This Row],[Commodity or group of commodities to which the MRLs apply]]</f>
        <v>Other miscellaneous fruit (inedible peel, small)</v>
      </c>
      <c r="C83" s="794">
        <f>Table1[[#This Row],[MRL/ proposed MRL /CXL
(mg/kg)]]</f>
        <v>0</v>
      </c>
      <c r="D83" s="795">
        <f>Table1[[#This Row],[Source of MRL]]</f>
        <v>0</v>
      </c>
      <c r="E83" s="797">
        <f>Table1[[#This Row],[Chronic RA input value]]</f>
        <v>0</v>
      </c>
      <c r="F83" s="795" t="str">
        <f>Table1[[#This Row],[Chronic RA label]]</f>
        <v/>
      </c>
      <c r="G83" s="797">
        <f>Table1[[#This Row],[Acute RA input value]]</f>
        <v>0</v>
      </c>
      <c r="H83" s="836">
        <f>Table1[[#This Row],[Acute RA label]]</f>
        <v>0</v>
      </c>
      <c r="J83" s="553">
        <f>Table22[[#This Row],[Code no.]]</f>
        <v>162990</v>
      </c>
      <c r="K83" s="553" t="str">
        <f>Table22[[#This Row],[Commodity or group of commodities to which the MRLs apply]]</f>
        <v>Other miscellaneous fruit (inedible peel, small)</v>
      </c>
      <c r="L83" s="553">
        <f>Table22[[#This Row],[Source / type of MRL]]</f>
        <v>0</v>
      </c>
      <c r="M83" s="553">
        <f>Table22[[#This Row],[MRL/ proposed MRL /CXL
(mg/kg)]]</f>
        <v>0</v>
      </c>
      <c r="N83" s="553">
        <f>Table22[[#This Row],[LOQ]]</f>
        <v>0</v>
      </c>
      <c r="O83" s="553">
        <f>Table22[[#This Row],[CFrisk for residue definition]]</f>
        <v>0</v>
      </c>
      <c r="P83" s="553">
        <f>Table22[[#This Row],[PeF (peeling factor RD enforcemen)]]</f>
        <v>0</v>
      </c>
      <c r="Q83" s="553">
        <f>Table22[[#This Row],[STMR-RAC (median residue)]]</f>
        <v>0</v>
      </c>
      <c r="R83" s="553">
        <f>Table22[[#This Row],[HR-RAC (highest residue)]]</f>
        <v>0</v>
      </c>
      <c r="S83" s="553">
        <f>Table22[[#This Row],[VF (alternative variability factor)]]</f>
        <v>0</v>
      </c>
      <c r="T83" s="553">
        <f>Table22[[#This Row],[GAP under assessment]]</f>
        <v>0</v>
      </c>
      <c r="U83" s="553">
        <f>Table22[[#This Row],[Post-harvest treatment]]</f>
        <v>0</v>
      </c>
      <c r="V83" s="553" t="str">
        <f>Table22[[#This Row],[Chronic RA label]]</f>
        <v/>
      </c>
      <c r="W83" s="553">
        <f>Table22[[#This Row],[Chronic RA input value]]</f>
        <v>0</v>
      </c>
      <c r="X83" s="1684"/>
      <c r="Y83" s="553">
        <f>Table22[[#This Row],[Acute RA input value]]</f>
        <v>0</v>
      </c>
      <c r="Z83" s="786">
        <f>SUM(Table1[[#This Row],[chronic value &lt;&gt;MRL/LOQ]:[acute vlue&lt;&gt;MRL/LOQ]])</f>
        <v>0</v>
      </c>
      <c r="AA83" s="786">
        <f>IF(AND($F$5="Refined calculation mode",Table1[[#This Row],[GAP under assessment]]="Y"),1,IF(OR(Table1[[#This Row],[Chronic RA label]]="LOQ",Table1[[#This Row],[Chronic RA label]]="",Table1[[#This Row],[Chronic RA label]]="MRL"),0,1))</f>
        <v>0</v>
      </c>
      <c r="AB83" s="787">
        <f>IF(OR(Table1[[#This Row],[Acute RA label]]="LOQ",Table1[[#This Row],[Acute RA label]]="",Table1[[#This Row],[Acute RA label]]="MRL"),0,1)</f>
        <v>0</v>
      </c>
    </row>
    <row r="84" spans="1:28" ht="32.25" hidden="1" thickTop="1" x14ac:dyDescent="0.2">
      <c r="A84" s="815">
        <f>Table1[[#This Row],[Code no.]]</f>
        <v>163000</v>
      </c>
      <c r="B84" s="793" t="str">
        <f>Table1[[#This Row],[Commodity or group of commodities to which the MRLs apply]]</f>
        <v>Miscellaneous fruit (inedible peel,
large)</v>
      </c>
      <c r="C84" s="794">
        <f>Table1[[#This Row],[MRL/ proposed MRL /CXL
(mg/kg)]]</f>
        <v>0</v>
      </c>
      <c r="D84" s="795">
        <f>Table1[[#This Row],[Source of MRL]]</f>
        <v>0</v>
      </c>
      <c r="E84" s="797">
        <f>Table1[[#This Row],[Chronic RA input value]]</f>
        <v>0</v>
      </c>
      <c r="F84" s="795">
        <f>Table1[[#This Row],[Chronic RA label]]</f>
        <v>0</v>
      </c>
      <c r="G84" s="797">
        <f>Table1[[#This Row],[Acute RA input value]]</f>
        <v>0</v>
      </c>
      <c r="H84" s="836">
        <f>Table1[[#This Row],[Acute RA label]]</f>
        <v>0</v>
      </c>
      <c r="J84" s="553">
        <f>Table22[[#This Row],[Code no.]]</f>
        <v>163000</v>
      </c>
      <c r="K84" s="553" t="str">
        <f>Table22[[#This Row],[Commodity or group of commodities to which the MRLs apply]]</f>
        <v>Miscellaneous fruit (inedible peel,
large)</v>
      </c>
      <c r="L84" s="553">
        <f>Table22[[#This Row],[Source / type of MRL]]</f>
        <v>0</v>
      </c>
      <c r="M84" s="553">
        <f>Table22[[#This Row],[MRL/ proposed MRL /CXL
(mg/kg)]]</f>
        <v>0</v>
      </c>
      <c r="N84" s="553">
        <f>Table22[[#This Row],[LOQ]]</f>
        <v>0</v>
      </c>
      <c r="O84" s="553">
        <f>Table22[[#This Row],[CFrisk for residue definition]]</f>
        <v>0</v>
      </c>
      <c r="P84" s="553">
        <f>Table22[[#This Row],[PeF (peeling factor RD enforcemen)]]</f>
        <v>0</v>
      </c>
      <c r="Q84" s="553">
        <f>Table22[[#This Row],[STMR-RAC (median residue)]]</f>
        <v>0</v>
      </c>
      <c r="R84" s="553">
        <f>Table22[[#This Row],[HR-RAC (highest residue)]]</f>
        <v>0</v>
      </c>
      <c r="S84" s="553">
        <f>Table22[[#This Row],[VF (alternative variability factor)]]</f>
        <v>0</v>
      </c>
      <c r="T84" s="553">
        <f>Table22[[#This Row],[GAP under assessment]]</f>
        <v>0</v>
      </c>
      <c r="U84" s="553">
        <f>Table22[[#This Row],[Post-harvest treatment]]</f>
        <v>0</v>
      </c>
      <c r="V84" s="553"/>
      <c r="W84" s="553">
        <f>Table22[[#This Row],[Chronic RA input value]]</f>
        <v>0</v>
      </c>
      <c r="X84" s="1684"/>
      <c r="Y84" s="553">
        <f>Table22[[#This Row],[Acute RA input value]]</f>
        <v>0</v>
      </c>
      <c r="Z84" s="786">
        <f>SUM(Table1[[#This Row],[chronic value &lt;&gt;MRL/LOQ]:[acute vlue&lt;&gt;MRL/LOQ]])</f>
        <v>0</v>
      </c>
      <c r="AA84" s="786">
        <f>IF(AND($F$5="Refined calculation mode",Table1[[#This Row],[GAP under assessment]]="Y"),1,IF(OR(Table1[[#This Row],[Chronic RA label]]="LOQ",Table1[[#This Row],[Chronic RA label]]="",Table1[[#This Row],[Chronic RA label]]="MRL"),0,1))</f>
        <v>0</v>
      </c>
      <c r="AB84" s="787">
        <f>IF(OR(Table1[[#This Row],[Acute RA label]]="LOQ",Table1[[#This Row],[Acute RA label]]="",Table1[[#This Row],[Acute RA label]]="MRL"),0,1)</f>
        <v>0</v>
      </c>
    </row>
    <row r="85" spans="1:28" ht="13.5" hidden="1" thickTop="1" x14ac:dyDescent="0.2">
      <c r="A85" s="815">
        <f>Table1[[#This Row],[Code no.]]</f>
        <v>163010</v>
      </c>
      <c r="B85" s="793" t="str">
        <f>Table1[[#This Row],[Commodity or group of commodities to which the MRLs apply]]</f>
        <v>Avocados</v>
      </c>
      <c r="C85" s="794">
        <f>Table1[[#This Row],[MRL/ proposed MRL /CXL
(mg/kg)]]</f>
        <v>0</v>
      </c>
      <c r="D85" s="795">
        <f>Table1[[#This Row],[Source of MRL]]</f>
        <v>0</v>
      </c>
      <c r="E85" s="797">
        <f>Table1[[#This Row],[Chronic RA input value]]</f>
        <v>0</v>
      </c>
      <c r="F85" s="795" t="str">
        <f>Table1[[#This Row],[Chronic RA label]]</f>
        <v/>
      </c>
      <c r="G85" s="797">
        <f>Table1[[#This Row],[Acute RA input value]]</f>
        <v>0</v>
      </c>
      <c r="H85" s="836" t="str">
        <f>Table1[[#This Row],[Acute RA label]]</f>
        <v/>
      </c>
      <c r="J85" s="553">
        <f>Table22[[#This Row],[Code no.]]</f>
        <v>163010</v>
      </c>
      <c r="K85" s="553" t="str">
        <f>Table22[[#This Row],[Commodity or group of commodities to which the MRLs apply]]</f>
        <v>Avocados</v>
      </c>
      <c r="L85" s="553">
        <f>Table22[[#This Row],[Source / type of MRL]]</f>
        <v>0</v>
      </c>
      <c r="M85" s="553">
        <f>Table22[[#This Row],[MRL/ proposed MRL /CXL
(mg/kg)]]</f>
        <v>0</v>
      </c>
      <c r="N85" s="553">
        <f>Table22[[#This Row],[LOQ]]</f>
        <v>0</v>
      </c>
      <c r="O85" s="553">
        <f>Table22[[#This Row],[CFrisk for residue definition]]</f>
        <v>0</v>
      </c>
      <c r="P85" s="553">
        <f>Table22[[#This Row],[PeF (peeling factor RD enforcemen)]]</f>
        <v>0</v>
      </c>
      <c r="Q85" s="553">
        <f>Table22[[#This Row],[STMR-RAC (median residue)]]</f>
        <v>0</v>
      </c>
      <c r="R85" s="553">
        <f>Table22[[#This Row],[HR-RAC (highest residue)]]</f>
        <v>0</v>
      </c>
      <c r="S85" s="553">
        <f>Table22[[#This Row],[VF (alternative variability factor)]]</f>
        <v>0</v>
      </c>
      <c r="T85" s="553">
        <f>Table22[[#This Row],[GAP under assessment]]</f>
        <v>0</v>
      </c>
      <c r="U85" s="553">
        <f>Table22[[#This Row],[Post-harvest treatment]]</f>
        <v>0</v>
      </c>
      <c r="V85" s="553" t="str">
        <f>Table22[[#This Row],[Chronic RA label]]</f>
        <v/>
      </c>
      <c r="W85" s="553">
        <f>Table22[[#This Row],[Chronic RA input value]]</f>
        <v>0</v>
      </c>
      <c r="X85" s="1684" t="str">
        <f>Table22[[#This Row],[Acute RA label]]</f>
        <v/>
      </c>
      <c r="Y85" s="553">
        <f>Table22[[#This Row],[Acute RA input value]]</f>
        <v>0</v>
      </c>
      <c r="Z85" s="786">
        <f>SUM(Table1[[#This Row],[chronic value &lt;&gt;MRL/LOQ]:[acute vlue&lt;&gt;MRL/LOQ]])</f>
        <v>0</v>
      </c>
      <c r="AA85" s="786">
        <f>IF(AND($F$5="Refined calculation mode",Table1[[#This Row],[GAP under assessment]]="Y"),1,IF(OR(Table1[[#This Row],[Chronic RA label]]="LOQ",Table1[[#This Row],[Chronic RA label]]="",Table1[[#This Row],[Chronic RA label]]="MRL"),0,1))</f>
        <v>0</v>
      </c>
      <c r="AB85" s="787">
        <f>IF(OR(Table1[[#This Row],[Acute RA label]]="LOQ",Table1[[#This Row],[Acute RA label]]="",Table1[[#This Row],[Acute RA label]]="MRL"),0,1)</f>
        <v>0</v>
      </c>
    </row>
    <row r="86" spans="1:28" ht="13.5" hidden="1" thickTop="1" x14ac:dyDescent="0.2">
      <c r="A86" s="815">
        <f>Table1[[#This Row],[Code no.]]</f>
        <v>163020</v>
      </c>
      <c r="B86" s="793" t="str">
        <f>Table1[[#This Row],[Commodity or group of commodities to which the MRLs apply]]</f>
        <v>Bananas</v>
      </c>
      <c r="C86" s="794">
        <f>Table1[[#This Row],[MRL/ proposed MRL /CXL
(mg/kg)]]</f>
        <v>0</v>
      </c>
      <c r="D86" s="795">
        <f>Table1[[#This Row],[Source of MRL]]</f>
        <v>0</v>
      </c>
      <c r="E86" s="797">
        <f>Table1[[#This Row],[Chronic RA input value]]</f>
        <v>0</v>
      </c>
      <c r="F86" s="795" t="str">
        <f>Table1[[#This Row],[Chronic RA label]]</f>
        <v/>
      </c>
      <c r="G86" s="797">
        <f>Table1[[#This Row],[Acute RA input value]]</f>
        <v>0</v>
      </c>
      <c r="H86" s="836" t="str">
        <f>Table1[[#This Row],[Acute RA label]]</f>
        <v/>
      </c>
      <c r="J86" s="553">
        <f>Table22[[#This Row],[Code no.]]</f>
        <v>163020</v>
      </c>
      <c r="K86" s="553" t="str">
        <f>Table22[[#This Row],[Commodity or group of commodities to which the MRLs apply]]</f>
        <v>Bananas</v>
      </c>
      <c r="L86" s="553">
        <f>Table22[[#This Row],[Source / type of MRL]]</f>
        <v>0</v>
      </c>
      <c r="M86" s="553">
        <f>Table22[[#This Row],[MRL/ proposed MRL /CXL
(mg/kg)]]</f>
        <v>0</v>
      </c>
      <c r="N86" s="553">
        <f>Table22[[#This Row],[LOQ]]</f>
        <v>0</v>
      </c>
      <c r="O86" s="553">
        <f>Table22[[#This Row],[CFrisk for residue definition]]</f>
        <v>0</v>
      </c>
      <c r="P86" s="553">
        <f>Table22[[#This Row],[PeF (peeling factor RD enforcemen)]]</f>
        <v>0</v>
      </c>
      <c r="Q86" s="553">
        <f>Table22[[#This Row],[STMR-RAC (median residue)]]</f>
        <v>0</v>
      </c>
      <c r="R86" s="553">
        <f>Table22[[#This Row],[HR-RAC (highest residue)]]</f>
        <v>0</v>
      </c>
      <c r="S86" s="553">
        <f>Table22[[#This Row],[VF (alternative variability factor)]]</f>
        <v>0</v>
      </c>
      <c r="T86" s="553">
        <f>Table22[[#This Row],[GAP under assessment]]</f>
        <v>0</v>
      </c>
      <c r="U86" s="553">
        <f>Table22[[#This Row],[Post-harvest treatment]]</f>
        <v>0</v>
      </c>
      <c r="V86" s="553" t="str">
        <f>Table22[[#This Row],[Chronic RA label]]</f>
        <v/>
      </c>
      <c r="W86" s="553">
        <f>Table22[[#This Row],[Chronic RA input value]]</f>
        <v>0</v>
      </c>
      <c r="X86" s="1684" t="str">
        <f>Table22[[#This Row],[Acute RA label]]</f>
        <v/>
      </c>
      <c r="Y86" s="553">
        <f>Table22[[#This Row],[Acute RA input value]]</f>
        <v>0</v>
      </c>
      <c r="Z86" s="786">
        <f>SUM(Table1[[#This Row],[chronic value &lt;&gt;MRL/LOQ]:[acute vlue&lt;&gt;MRL/LOQ]])</f>
        <v>0</v>
      </c>
      <c r="AA86" s="786">
        <f>IF(AND($F$5="Refined calculation mode",Table1[[#This Row],[GAP under assessment]]="Y"),1,IF(OR(Table1[[#This Row],[Chronic RA label]]="LOQ",Table1[[#This Row],[Chronic RA label]]="",Table1[[#This Row],[Chronic RA label]]="MRL"),0,1))</f>
        <v>0</v>
      </c>
      <c r="AB86" s="787">
        <f>IF(OR(Table1[[#This Row],[Acute RA label]]="LOQ",Table1[[#This Row],[Acute RA label]]="",Table1[[#This Row],[Acute RA label]]="MRL"),0,1)</f>
        <v>0</v>
      </c>
    </row>
    <row r="87" spans="1:28" ht="13.5" hidden="1" thickTop="1" x14ac:dyDescent="0.2">
      <c r="A87" s="815">
        <f>Table1[[#This Row],[Code no.]]</f>
        <v>163030</v>
      </c>
      <c r="B87" s="793" t="str">
        <f>Table1[[#This Row],[Commodity or group of commodities to which the MRLs apply]]</f>
        <v>Mangoes</v>
      </c>
      <c r="C87" s="794">
        <f>Table1[[#This Row],[MRL/ proposed MRL /CXL
(mg/kg)]]</f>
        <v>0</v>
      </c>
      <c r="D87" s="795">
        <f>Table1[[#This Row],[Source of MRL]]</f>
        <v>0</v>
      </c>
      <c r="E87" s="797">
        <f>Table1[[#This Row],[Chronic RA input value]]</f>
        <v>0</v>
      </c>
      <c r="F87" s="795" t="str">
        <f>Table1[[#This Row],[Chronic RA label]]</f>
        <v/>
      </c>
      <c r="G87" s="797">
        <f>Table1[[#This Row],[Acute RA input value]]</f>
        <v>0</v>
      </c>
      <c r="H87" s="836" t="str">
        <f>Table1[[#This Row],[Acute RA label]]</f>
        <v/>
      </c>
      <c r="J87" s="553">
        <f>Table22[[#This Row],[Code no.]]</f>
        <v>163030</v>
      </c>
      <c r="K87" s="553" t="str">
        <f>Table22[[#This Row],[Commodity or group of commodities to which the MRLs apply]]</f>
        <v>Mangoes</v>
      </c>
      <c r="L87" s="553">
        <f>Table22[[#This Row],[Source / type of MRL]]</f>
        <v>0</v>
      </c>
      <c r="M87" s="553">
        <f>Table22[[#This Row],[MRL/ proposed MRL /CXL
(mg/kg)]]</f>
        <v>0</v>
      </c>
      <c r="N87" s="553">
        <f>Table22[[#This Row],[LOQ]]</f>
        <v>0</v>
      </c>
      <c r="O87" s="553">
        <f>Table22[[#This Row],[CFrisk for residue definition]]</f>
        <v>0</v>
      </c>
      <c r="P87" s="553">
        <f>Table22[[#This Row],[PeF (peeling factor RD enforcemen)]]</f>
        <v>0</v>
      </c>
      <c r="Q87" s="553">
        <f>Table22[[#This Row],[STMR-RAC (median residue)]]</f>
        <v>0</v>
      </c>
      <c r="R87" s="553">
        <f>Table22[[#This Row],[HR-RAC (highest residue)]]</f>
        <v>0</v>
      </c>
      <c r="S87" s="553">
        <f>Table22[[#This Row],[VF (alternative variability factor)]]</f>
        <v>0</v>
      </c>
      <c r="T87" s="553">
        <f>Table22[[#This Row],[GAP under assessment]]</f>
        <v>0</v>
      </c>
      <c r="U87" s="553">
        <f>Table22[[#This Row],[Post-harvest treatment]]</f>
        <v>0</v>
      </c>
      <c r="V87" s="553" t="str">
        <f>Table22[[#This Row],[Chronic RA label]]</f>
        <v/>
      </c>
      <c r="W87" s="553">
        <f>Table22[[#This Row],[Chronic RA input value]]</f>
        <v>0</v>
      </c>
      <c r="X87" s="1684" t="str">
        <f>Table22[[#This Row],[Acute RA label]]</f>
        <v/>
      </c>
      <c r="Y87" s="553">
        <f>Table22[[#This Row],[Acute RA input value]]</f>
        <v>0</v>
      </c>
      <c r="Z87" s="786">
        <f>SUM(Table1[[#This Row],[chronic value &lt;&gt;MRL/LOQ]:[acute vlue&lt;&gt;MRL/LOQ]])</f>
        <v>0</v>
      </c>
      <c r="AA87" s="786">
        <f>IF(AND($F$5="Refined calculation mode",Table1[[#This Row],[GAP under assessment]]="Y"),1,IF(OR(Table1[[#This Row],[Chronic RA label]]="LOQ",Table1[[#This Row],[Chronic RA label]]="",Table1[[#This Row],[Chronic RA label]]="MRL"),0,1))</f>
        <v>0</v>
      </c>
      <c r="AB87" s="787">
        <f>IF(OR(Table1[[#This Row],[Acute RA label]]="LOQ",Table1[[#This Row],[Acute RA label]]="",Table1[[#This Row],[Acute RA label]]="MRL"),0,1)</f>
        <v>0</v>
      </c>
    </row>
    <row r="88" spans="1:28" ht="13.5" hidden="1" thickTop="1" x14ac:dyDescent="0.2">
      <c r="A88" s="815">
        <f>Table1[[#This Row],[Code no.]]</f>
        <v>163040</v>
      </c>
      <c r="B88" s="793" t="str">
        <f>Table1[[#This Row],[Commodity or group of commodities to which the MRLs apply]]</f>
        <v>Papayas</v>
      </c>
      <c r="C88" s="794">
        <f>Table1[[#This Row],[MRL/ proposed MRL /CXL
(mg/kg)]]</f>
        <v>0</v>
      </c>
      <c r="D88" s="795">
        <f>Table1[[#This Row],[Source of MRL]]</f>
        <v>0</v>
      </c>
      <c r="E88" s="797">
        <f>Table1[[#This Row],[Chronic RA input value]]</f>
        <v>0</v>
      </c>
      <c r="F88" s="795" t="str">
        <f>Table1[[#This Row],[Chronic RA label]]</f>
        <v/>
      </c>
      <c r="G88" s="797">
        <f>Table1[[#This Row],[Acute RA input value]]</f>
        <v>0</v>
      </c>
      <c r="H88" s="836" t="str">
        <f>Table1[[#This Row],[Acute RA label]]</f>
        <v/>
      </c>
      <c r="J88" s="553">
        <f>Table22[[#This Row],[Code no.]]</f>
        <v>163040</v>
      </c>
      <c r="K88" s="553" t="str">
        <f>Table22[[#This Row],[Commodity or group of commodities to which the MRLs apply]]</f>
        <v>Papayas</v>
      </c>
      <c r="L88" s="553">
        <f>Table22[[#This Row],[Source / type of MRL]]</f>
        <v>0</v>
      </c>
      <c r="M88" s="553">
        <f>Table22[[#This Row],[MRL/ proposed MRL /CXL
(mg/kg)]]</f>
        <v>0</v>
      </c>
      <c r="N88" s="553">
        <f>Table22[[#This Row],[LOQ]]</f>
        <v>0</v>
      </c>
      <c r="O88" s="553">
        <f>Table22[[#This Row],[CFrisk for residue definition]]</f>
        <v>0</v>
      </c>
      <c r="P88" s="553">
        <f>Table22[[#This Row],[PeF (peeling factor RD enforcemen)]]</f>
        <v>0</v>
      </c>
      <c r="Q88" s="553">
        <f>Table22[[#This Row],[STMR-RAC (median residue)]]</f>
        <v>0</v>
      </c>
      <c r="R88" s="553">
        <f>Table22[[#This Row],[HR-RAC (highest residue)]]</f>
        <v>0</v>
      </c>
      <c r="S88" s="553">
        <f>Table22[[#This Row],[VF (alternative variability factor)]]</f>
        <v>0</v>
      </c>
      <c r="T88" s="553">
        <f>Table22[[#This Row],[GAP under assessment]]</f>
        <v>0</v>
      </c>
      <c r="U88" s="553">
        <f>Table22[[#This Row],[Post-harvest treatment]]</f>
        <v>0</v>
      </c>
      <c r="V88" s="553" t="str">
        <f>Table22[[#This Row],[Chronic RA label]]</f>
        <v/>
      </c>
      <c r="W88" s="553">
        <f>Table22[[#This Row],[Chronic RA input value]]</f>
        <v>0</v>
      </c>
      <c r="X88" s="1684" t="str">
        <f>Table22[[#This Row],[Acute RA label]]</f>
        <v/>
      </c>
      <c r="Y88" s="553">
        <f>Table22[[#This Row],[Acute RA input value]]</f>
        <v>0</v>
      </c>
      <c r="Z88" s="786">
        <f>SUM(Table1[[#This Row],[chronic value &lt;&gt;MRL/LOQ]:[acute vlue&lt;&gt;MRL/LOQ]])</f>
        <v>0</v>
      </c>
      <c r="AA88" s="786">
        <f>IF(AND($F$5="Refined calculation mode",Table1[[#This Row],[GAP under assessment]]="Y"),1,IF(OR(Table1[[#This Row],[Chronic RA label]]="LOQ",Table1[[#This Row],[Chronic RA label]]="",Table1[[#This Row],[Chronic RA label]]="MRL"),0,1))</f>
        <v>0</v>
      </c>
      <c r="AB88" s="787">
        <f>IF(OR(Table1[[#This Row],[Acute RA label]]="LOQ",Table1[[#This Row],[Acute RA label]]="",Table1[[#This Row],[Acute RA label]]="MRL"),0,1)</f>
        <v>0</v>
      </c>
    </row>
    <row r="89" spans="1:28" ht="32.25" hidden="1" thickTop="1" x14ac:dyDescent="0.2">
      <c r="A89" s="815">
        <f>Table1[[#This Row],[Code no.]]</f>
        <v>163050</v>
      </c>
      <c r="B89" s="793" t="str">
        <f>Table1[[#This Row],[Commodity or group of commodities to which the MRLs apply]]</f>
        <v>Granate apples/pomegranates</v>
      </c>
      <c r="C89" s="794">
        <f>Table1[[#This Row],[MRL/ proposed MRL /CXL
(mg/kg)]]</f>
        <v>0</v>
      </c>
      <c r="D89" s="795">
        <f>Table1[[#This Row],[Source of MRL]]</f>
        <v>0</v>
      </c>
      <c r="E89" s="797">
        <f>Table1[[#This Row],[Chronic RA input value]]</f>
        <v>0</v>
      </c>
      <c r="F89" s="795" t="str">
        <f>Table1[[#This Row],[Chronic RA label]]</f>
        <v/>
      </c>
      <c r="G89" s="797">
        <f>Table1[[#This Row],[Acute RA input value]]</f>
        <v>0</v>
      </c>
      <c r="H89" s="836" t="str">
        <f>Table1[[#This Row],[Acute RA label]]</f>
        <v/>
      </c>
      <c r="J89" s="553">
        <f>Table22[[#This Row],[Code no.]]</f>
        <v>163050</v>
      </c>
      <c r="K89" s="553" t="str">
        <f>Table22[[#This Row],[Commodity or group of commodities to which the MRLs apply]]</f>
        <v>Granate apples/pomegranates</v>
      </c>
      <c r="L89" s="553">
        <f>Table22[[#This Row],[Source / type of MRL]]</f>
        <v>0</v>
      </c>
      <c r="M89" s="553">
        <f>Table22[[#This Row],[MRL/ proposed MRL /CXL
(mg/kg)]]</f>
        <v>0</v>
      </c>
      <c r="N89" s="553">
        <f>Table22[[#This Row],[LOQ]]</f>
        <v>0</v>
      </c>
      <c r="O89" s="553">
        <f>Table22[[#This Row],[CFrisk for residue definition]]</f>
        <v>0</v>
      </c>
      <c r="P89" s="553">
        <f>Table22[[#This Row],[PeF (peeling factor RD enforcemen)]]</f>
        <v>0</v>
      </c>
      <c r="Q89" s="553">
        <f>Table22[[#This Row],[STMR-RAC (median residue)]]</f>
        <v>0</v>
      </c>
      <c r="R89" s="553">
        <f>Table22[[#This Row],[HR-RAC (highest residue)]]</f>
        <v>0</v>
      </c>
      <c r="S89" s="553">
        <f>Table22[[#This Row],[VF (alternative variability factor)]]</f>
        <v>0</v>
      </c>
      <c r="T89" s="553">
        <f>Table22[[#This Row],[GAP under assessment]]</f>
        <v>0</v>
      </c>
      <c r="U89" s="553">
        <f>Table22[[#This Row],[Post-harvest treatment]]</f>
        <v>0</v>
      </c>
      <c r="V89" s="553" t="str">
        <f>Table22[[#This Row],[Chronic RA label]]</f>
        <v/>
      </c>
      <c r="W89" s="553">
        <f>Table22[[#This Row],[Chronic RA input value]]</f>
        <v>0</v>
      </c>
      <c r="X89" s="1684" t="str">
        <f>Table22[[#This Row],[Acute RA label]]</f>
        <v/>
      </c>
      <c r="Y89" s="553">
        <f>Table22[[#This Row],[Acute RA input value]]</f>
        <v>0</v>
      </c>
      <c r="Z89" s="786">
        <f>SUM(Table1[[#This Row],[chronic value &lt;&gt;MRL/LOQ]:[acute vlue&lt;&gt;MRL/LOQ]])</f>
        <v>0</v>
      </c>
      <c r="AA89" s="786">
        <f>IF(AND($F$5="Refined calculation mode",Table1[[#This Row],[GAP under assessment]]="Y"),1,IF(OR(Table1[[#This Row],[Chronic RA label]]="LOQ",Table1[[#This Row],[Chronic RA label]]="",Table1[[#This Row],[Chronic RA label]]="MRL"),0,1))</f>
        <v>0</v>
      </c>
      <c r="AB89" s="787">
        <f>IF(OR(Table1[[#This Row],[Acute RA label]]="LOQ",Table1[[#This Row],[Acute RA label]]="",Table1[[#This Row],[Acute RA label]]="MRL"),0,1)</f>
        <v>0</v>
      </c>
    </row>
    <row r="90" spans="1:28" ht="13.5" hidden="1" thickTop="1" x14ac:dyDescent="0.2">
      <c r="A90" s="815">
        <f>Table1[[#This Row],[Code no.]]</f>
        <v>163060</v>
      </c>
      <c r="B90" s="793" t="str">
        <f>Table1[[#This Row],[Commodity or group of commodities to which the MRLs apply]]</f>
        <v>Cherimoyas</v>
      </c>
      <c r="C90" s="794">
        <f>Table1[[#This Row],[MRL/ proposed MRL /CXL
(mg/kg)]]</f>
        <v>0</v>
      </c>
      <c r="D90" s="795">
        <f>Table1[[#This Row],[Source of MRL]]</f>
        <v>0</v>
      </c>
      <c r="E90" s="797">
        <f>Table1[[#This Row],[Chronic RA input value]]</f>
        <v>0</v>
      </c>
      <c r="F90" s="795" t="str">
        <f>Table1[[#This Row],[Chronic RA label]]</f>
        <v/>
      </c>
      <c r="G90" s="797">
        <f>Table1[[#This Row],[Acute RA input value]]</f>
        <v>0</v>
      </c>
      <c r="H90" s="836" t="str">
        <f>Table1[[#This Row],[Acute RA label]]</f>
        <v/>
      </c>
      <c r="J90" s="553">
        <f>Table22[[#This Row],[Code no.]]</f>
        <v>163060</v>
      </c>
      <c r="K90" s="553" t="str">
        <f>Table22[[#This Row],[Commodity or group of commodities to which the MRLs apply]]</f>
        <v>Cherimoyas</v>
      </c>
      <c r="L90" s="553">
        <f>Table22[[#This Row],[Source / type of MRL]]</f>
        <v>0</v>
      </c>
      <c r="M90" s="553">
        <f>Table22[[#This Row],[MRL/ proposed MRL /CXL
(mg/kg)]]</f>
        <v>0</v>
      </c>
      <c r="N90" s="553">
        <f>Table22[[#This Row],[LOQ]]</f>
        <v>0</v>
      </c>
      <c r="O90" s="553">
        <f>Table22[[#This Row],[CFrisk for residue definition]]</f>
        <v>0</v>
      </c>
      <c r="P90" s="553">
        <f>Table22[[#This Row],[PeF (peeling factor RD enforcemen)]]</f>
        <v>0</v>
      </c>
      <c r="Q90" s="553">
        <f>Table22[[#This Row],[STMR-RAC (median residue)]]</f>
        <v>0</v>
      </c>
      <c r="R90" s="553">
        <f>Table22[[#This Row],[HR-RAC (highest residue)]]</f>
        <v>0</v>
      </c>
      <c r="S90" s="553">
        <f>Table22[[#This Row],[VF (alternative variability factor)]]</f>
        <v>0</v>
      </c>
      <c r="T90" s="553">
        <f>Table22[[#This Row],[GAP under assessment]]</f>
        <v>0</v>
      </c>
      <c r="U90" s="553">
        <f>Table22[[#This Row],[Post-harvest treatment]]</f>
        <v>0</v>
      </c>
      <c r="V90" s="553" t="str">
        <f>Table22[[#This Row],[Chronic RA label]]</f>
        <v/>
      </c>
      <c r="W90" s="553">
        <f>Table22[[#This Row],[Chronic RA input value]]</f>
        <v>0</v>
      </c>
      <c r="X90" s="1684" t="str">
        <f>Table22[[#This Row],[Acute RA label]]</f>
        <v/>
      </c>
      <c r="Y90" s="553">
        <f>Table22[[#This Row],[Acute RA input value]]</f>
        <v>0</v>
      </c>
      <c r="Z90" s="786">
        <f>SUM(Table1[[#This Row],[chronic value &lt;&gt;MRL/LOQ]:[acute vlue&lt;&gt;MRL/LOQ]])</f>
        <v>0</v>
      </c>
      <c r="AA90" s="786">
        <f>IF(AND($F$5="Refined calculation mode",Table1[[#This Row],[GAP under assessment]]="Y"),1,IF(OR(Table1[[#This Row],[Chronic RA label]]="LOQ",Table1[[#This Row],[Chronic RA label]]="",Table1[[#This Row],[Chronic RA label]]="MRL"),0,1))</f>
        <v>0</v>
      </c>
      <c r="AB90" s="787">
        <f>IF(OR(Table1[[#This Row],[Acute RA label]]="LOQ",Table1[[#This Row],[Acute RA label]]="",Table1[[#This Row],[Acute RA label]]="MRL"),0,1)</f>
        <v>0</v>
      </c>
    </row>
    <row r="91" spans="1:28" ht="13.5" hidden="1" thickTop="1" x14ac:dyDescent="0.2">
      <c r="A91" s="815">
        <f>Table1[[#This Row],[Code no.]]</f>
        <v>163070</v>
      </c>
      <c r="B91" s="793" t="str">
        <f>Table1[[#This Row],[Commodity or group of commodities to which the MRLs apply]]</f>
        <v>Guavas</v>
      </c>
      <c r="C91" s="794">
        <f>Table1[[#This Row],[MRL/ proposed MRL /CXL
(mg/kg)]]</f>
        <v>0</v>
      </c>
      <c r="D91" s="795">
        <f>Table1[[#This Row],[Source of MRL]]</f>
        <v>0</v>
      </c>
      <c r="E91" s="797">
        <f>Table1[[#This Row],[Chronic RA input value]]</f>
        <v>0</v>
      </c>
      <c r="F91" s="795" t="str">
        <f>Table1[[#This Row],[Chronic RA label]]</f>
        <v/>
      </c>
      <c r="G91" s="797">
        <f>Table1[[#This Row],[Acute RA input value]]</f>
        <v>0</v>
      </c>
      <c r="H91" s="836" t="str">
        <f>Table1[[#This Row],[Acute RA label]]</f>
        <v/>
      </c>
      <c r="J91" s="553">
        <f>Table22[[#This Row],[Code no.]]</f>
        <v>163070</v>
      </c>
      <c r="K91" s="553" t="str">
        <f>Table22[[#This Row],[Commodity or group of commodities to which the MRLs apply]]</f>
        <v>Guavas</v>
      </c>
      <c r="L91" s="553">
        <f>Table22[[#This Row],[Source / type of MRL]]</f>
        <v>0</v>
      </c>
      <c r="M91" s="553">
        <f>Table22[[#This Row],[MRL/ proposed MRL /CXL
(mg/kg)]]</f>
        <v>0</v>
      </c>
      <c r="N91" s="553">
        <f>Table22[[#This Row],[LOQ]]</f>
        <v>0</v>
      </c>
      <c r="O91" s="553">
        <f>Table22[[#This Row],[CFrisk for residue definition]]</f>
        <v>0</v>
      </c>
      <c r="P91" s="553">
        <f>Table22[[#This Row],[PeF (peeling factor RD enforcemen)]]</f>
        <v>0</v>
      </c>
      <c r="Q91" s="553">
        <f>Table22[[#This Row],[STMR-RAC (median residue)]]</f>
        <v>0</v>
      </c>
      <c r="R91" s="553">
        <f>Table22[[#This Row],[HR-RAC (highest residue)]]</f>
        <v>0</v>
      </c>
      <c r="S91" s="553">
        <f>Table22[[#This Row],[VF (alternative variability factor)]]</f>
        <v>0</v>
      </c>
      <c r="T91" s="553">
        <f>Table22[[#This Row],[GAP under assessment]]</f>
        <v>0</v>
      </c>
      <c r="U91" s="553">
        <f>Table22[[#This Row],[Post-harvest treatment]]</f>
        <v>0</v>
      </c>
      <c r="V91" s="553" t="str">
        <f>Table22[[#This Row],[Chronic RA label]]</f>
        <v/>
      </c>
      <c r="W91" s="553">
        <f>Table22[[#This Row],[Chronic RA input value]]</f>
        <v>0</v>
      </c>
      <c r="X91" s="1684" t="str">
        <f>Table22[[#This Row],[Acute RA label]]</f>
        <v/>
      </c>
      <c r="Y91" s="553">
        <f>Table22[[#This Row],[Acute RA input value]]</f>
        <v>0</v>
      </c>
      <c r="Z91" s="786">
        <f>SUM(Table1[[#This Row],[chronic value &lt;&gt;MRL/LOQ]:[acute vlue&lt;&gt;MRL/LOQ]])</f>
        <v>0</v>
      </c>
      <c r="AA91" s="786">
        <f>IF(AND($F$5="Refined calculation mode",Table1[[#This Row],[GAP under assessment]]="Y"),1,IF(OR(Table1[[#This Row],[Chronic RA label]]="LOQ",Table1[[#This Row],[Chronic RA label]]="",Table1[[#This Row],[Chronic RA label]]="MRL"),0,1))</f>
        <v>0</v>
      </c>
      <c r="AB91" s="787">
        <f>IF(OR(Table1[[#This Row],[Acute RA label]]="LOQ",Table1[[#This Row],[Acute RA label]]="",Table1[[#This Row],[Acute RA label]]="MRL"),0,1)</f>
        <v>0</v>
      </c>
    </row>
    <row r="92" spans="1:28" ht="13.5" hidden="1" thickTop="1" x14ac:dyDescent="0.2">
      <c r="A92" s="815">
        <f>Table1[[#This Row],[Code no.]]</f>
        <v>163080</v>
      </c>
      <c r="B92" s="793" t="str">
        <f>Table1[[#This Row],[Commodity or group of commodities to which the MRLs apply]]</f>
        <v>Pineapples</v>
      </c>
      <c r="C92" s="794">
        <f>Table1[[#This Row],[MRL/ proposed MRL /CXL
(mg/kg)]]</f>
        <v>0</v>
      </c>
      <c r="D92" s="795">
        <f>Table1[[#This Row],[Source of MRL]]</f>
        <v>0</v>
      </c>
      <c r="E92" s="797">
        <f>Table1[[#This Row],[Chronic RA input value]]</f>
        <v>0</v>
      </c>
      <c r="F92" s="795" t="str">
        <f>Table1[[#This Row],[Chronic RA label]]</f>
        <v/>
      </c>
      <c r="G92" s="797">
        <f>Table1[[#This Row],[Acute RA input value]]</f>
        <v>0</v>
      </c>
      <c r="H92" s="836" t="str">
        <f>Table1[[#This Row],[Acute RA label]]</f>
        <v/>
      </c>
      <c r="J92" s="553">
        <f>Table22[[#This Row],[Code no.]]</f>
        <v>163080</v>
      </c>
      <c r="K92" s="553" t="str">
        <f>Table22[[#This Row],[Commodity or group of commodities to which the MRLs apply]]</f>
        <v>Pineapples</v>
      </c>
      <c r="L92" s="553">
        <f>Table22[[#This Row],[Source / type of MRL]]</f>
        <v>0</v>
      </c>
      <c r="M92" s="553">
        <f>Table22[[#This Row],[MRL/ proposed MRL /CXL
(mg/kg)]]</f>
        <v>0</v>
      </c>
      <c r="N92" s="553">
        <f>Table22[[#This Row],[LOQ]]</f>
        <v>0</v>
      </c>
      <c r="O92" s="553">
        <f>Table22[[#This Row],[CFrisk for residue definition]]</f>
        <v>0</v>
      </c>
      <c r="P92" s="553">
        <f>Table22[[#This Row],[PeF (peeling factor RD enforcemen)]]</f>
        <v>0</v>
      </c>
      <c r="Q92" s="553">
        <f>Table22[[#This Row],[STMR-RAC (median residue)]]</f>
        <v>0</v>
      </c>
      <c r="R92" s="553">
        <f>Table22[[#This Row],[HR-RAC (highest residue)]]</f>
        <v>0</v>
      </c>
      <c r="S92" s="553">
        <f>Table22[[#This Row],[VF (alternative variability factor)]]</f>
        <v>0</v>
      </c>
      <c r="T92" s="553">
        <f>Table22[[#This Row],[GAP under assessment]]</f>
        <v>0</v>
      </c>
      <c r="U92" s="553">
        <f>Table22[[#This Row],[Post-harvest treatment]]</f>
        <v>0</v>
      </c>
      <c r="V92" s="553" t="str">
        <f>Table22[[#This Row],[Chronic RA label]]</f>
        <v/>
      </c>
      <c r="W92" s="553">
        <f>Table22[[#This Row],[Chronic RA input value]]</f>
        <v>0</v>
      </c>
      <c r="X92" s="1684" t="str">
        <f>Table22[[#This Row],[Acute RA label]]</f>
        <v/>
      </c>
      <c r="Y92" s="553">
        <f>Table22[[#This Row],[Acute RA input value]]</f>
        <v>0</v>
      </c>
      <c r="Z92" s="786">
        <f>SUM(Table1[[#This Row],[chronic value &lt;&gt;MRL/LOQ]:[acute vlue&lt;&gt;MRL/LOQ]])</f>
        <v>0</v>
      </c>
      <c r="AA92" s="786">
        <f>IF(AND($F$5="Refined calculation mode",Table1[[#This Row],[GAP under assessment]]="Y"),1,IF(OR(Table1[[#This Row],[Chronic RA label]]="LOQ",Table1[[#This Row],[Chronic RA label]]="",Table1[[#This Row],[Chronic RA label]]="MRL"),0,1))</f>
        <v>0</v>
      </c>
      <c r="AB92" s="787">
        <f>IF(OR(Table1[[#This Row],[Acute RA label]]="LOQ",Table1[[#This Row],[Acute RA label]]="",Table1[[#This Row],[Acute RA label]]="MRL"),0,1)</f>
        <v>0</v>
      </c>
    </row>
    <row r="93" spans="1:28" ht="13.5" hidden="1" thickTop="1" x14ac:dyDescent="0.2">
      <c r="A93" s="815">
        <f>Table1[[#This Row],[Code no.]]</f>
        <v>163090</v>
      </c>
      <c r="B93" s="793" t="str">
        <f>Table1[[#This Row],[Commodity or group of commodities to which the MRLs apply]]</f>
        <v>Breadfruits</v>
      </c>
      <c r="C93" s="794">
        <f>Table1[[#This Row],[MRL/ proposed MRL /CXL
(mg/kg)]]</f>
        <v>0</v>
      </c>
      <c r="D93" s="795">
        <f>Table1[[#This Row],[Source of MRL]]</f>
        <v>0</v>
      </c>
      <c r="E93" s="797">
        <f>Table1[[#This Row],[Chronic RA input value]]</f>
        <v>0</v>
      </c>
      <c r="F93" s="795" t="str">
        <f>Table1[[#This Row],[Chronic RA label]]</f>
        <v/>
      </c>
      <c r="G93" s="797">
        <f>Table1[[#This Row],[Acute RA input value]]</f>
        <v>0</v>
      </c>
      <c r="H93" s="836" t="str">
        <f>Table1[[#This Row],[Acute RA label]]</f>
        <v/>
      </c>
      <c r="J93" s="553">
        <f>Table22[[#This Row],[Code no.]]</f>
        <v>163090</v>
      </c>
      <c r="K93" s="553" t="str">
        <f>Table22[[#This Row],[Commodity or group of commodities to which the MRLs apply]]</f>
        <v>Breadfruits</v>
      </c>
      <c r="L93" s="553">
        <f>Table22[[#This Row],[Source / type of MRL]]</f>
        <v>0</v>
      </c>
      <c r="M93" s="553">
        <f>Table22[[#This Row],[MRL/ proposed MRL /CXL
(mg/kg)]]</f>
        <v>0</v>
      </c>
      <c r="N93" s="553">
        <f>Table22[[#This Row],[LOQ]]</f>
        <v>0</v>
      </c>
      <c r="O93" s="553">
        <f>Table22[[#This Row],[CFrisk for residue definition]]</f>
        <v>0</v>
      </c>
      <c r="P93" s="553">
        <f>Table22[[#This Row],[PeF (peeling factor RD enforcemen)]]</f>
        <v>0</v>
      </c>
      <c r="Q93" s="553">
        <f>Table22[[#This Row],[STMR-RAC (median residue)]]</f>
        <v>0</v>
      </c>
      <c r="R93" s="553">
        <f>Table22[[#This Row],[HR-RAC (highest residue)]]</f>
        <v>0</v>
      </c>
      <c r="S93" s="553">
        <f>Table22[[#This Row],[VF (alternative variability factor)]]</f>
        <v>0</v>
      </c>
      <c r="T93" s="553">
        <f>Table22[[#This Row],[GAP under assessment]]</f>
        <v>0</v>
      </c>
      <c r="U93" s="553">
        <f>Table22[[#This Row],[Post-harvest treatment]]</f>
        <v>0</v>
      </c>
      <c r="V93" s="553" t="str">
        <f>Table22[[#This Row],[Chronic RA label]]</f>
        <v/>
      </c>
      <c r="W93" s="553">
        <f>Table22[[#This Row],[Chronic RA input value]]</f>
        <v>0</v>
      </c>
      <c r="X93" s="1684" t="str">
        <f>Table22[[#This Row],[Acute RA label]]</f>
        <v/>
      </c>
      <c r="Y93" s="553">
        <f>Table22[[#This Row],[Acute RA input value]]</f>
        <v>0</v>
      </c>
      <c r="Z93" s="786">
        <f>SUM(Table1[[#This Row],[chronic value &lt;&gt;MRL/LOQ]:[acute vlue&lt;&gt;MRL/LOQ]])</f>
        <v>0</v>
      </c>
      <c r="AA93" s="786">
        <f>IF(AND($F$5="Refined calculation mode",Table1[[#This Row],[GAP under assessment]]="Y"),1,IF(OR(Table1[[#This Row],[Chronic RA label]]="LOQ",Table1[[#This Row],[Chronic RA label]]="",Table1[[#This Row],[Chronic RA label]]="MRL"),0,1))</f>
        <v>0</v>
      </c>
      <c r="AB93" s="787">
        <f>IF(OR(Table1[[#This Row],[Acute RA label]]="LOQ",Table1[[#This Row],[Acute RA label]]="",Table1[[#This Row],[Acute RA label]]="MRL"),0,1)</f>
        <v>0</v>
      </c>
    </row>
    <row r="94" spans="1:28" ht="13.5" hidden="1" thickTop="1" x14ac:dyDescent="0.2">
      <c r="A94" s="815">
        <f>Table1[[#This Row],[Code no.]]</f>
        <v>163100</v>
      </c>
      <c r="B94" s="793" t="str">
        <f>Table1[[#This Row],[Commodity or group of commodities to which the MRLs apply]]</f>
        <v>Durians</v>
      </c>
      <c r="C94" s="794">
        <f>Table1[[#This Row],[MRL/ proposed MRL /CXL
(mg/kg)]]</f>
        <v>0</v>
      </c>
      <c r="D94" s="795">
        <f>Table1[[#This Row],[Source of MRL]]</f>
        <v>0</v>
      </c>
      <c r="E94" s="797">
        <f>Table1[[#This Row],[Chronic RA input value]]</f>
        <v>0</v>
      </c>
      <c r="F94" s="795" t="str">
        <f>Table1[[#This Row],[Chronic RA label]]</f>
        <v/>
      </c>
      <c r="G94" s="797">
        <f>Table1[[#This Row],[Acute RA input value]]</f>
        <v>0</v>
      </c>
      <c r="H94" s="836" t="str">
        <f>Table1[[#This Row],[Acute RA label]]</f>
        <v/>
      </c>
      <c r="J94" s="553">
        <f>Table22[[#This Row],[Code no.]]</f>
        <v>163100</v>
      </c>
      <c r="K94" s="553" t="str">
        <f>Table22[[#This Row],[Commodity or group of commodities to which the MRLs apply]]</f>
        <v>Durians</v>
      </c>
      <c r="L94" s="553">
        <f>Table22[[#This Row],[Source / type of MRL]]</f>
        <v>0</v>
      </c>
      <c r="M94" s="553">
        <f>Table22[[#This Row],[MRL/ proposed MRL /CXL
(mg/kg)]]</f>
        <v>0</v>
      </c>
      <c r="N94" s="553">
        <f>Table22[[#This Row],[LOQ]]</f>
        <v>0</v>
      </c>
      <c r="O94" s="553">
        <f>Table22[[#This Row],[CFrisk for residue definition]]</f>
        <v>0</v>
      </c>
      <c r="P94" s="553">
        <f>Table22[[#This Row],[PeF (peeling factor RD enforcemen)]]</f>
        <v>0</v>
      </c>
      <c r="Q94" s="553">
        <f>Table22[[#This Row],[STMR-RAC (median residue)]]</f>
        <v>0</v>
      </c>
      <c r="R94" s="553">
        <f>Table22[[#This Row],[HR-RAC (highest residue)]]</f>
        <v>0</v>
      </c>
      <c r="S94" s="553">
        <f>Table22[[#This Row],[VF (alternative variability factor)]]</f>
        <v>0</v>
      </c>
      <c r="T94" s="553">
        <f>Table22[[#This Row],[GAP under assessment]]</f>
        <v>0</v>
      </c>
      <c r="U94" s="553">
        <f>Table22[[#This Row],[Post-harvest treatment]]</f>
        <v>0</v>
      </c>
      <c r="V94" s="553" t="str">
        <f>Table22[[#This Row],[Chronic RA label]]</f>
        <v/>
      </c>
      <c r="W94" s="553">
        <f>Table22[[#This Row],[Chronic RA input value]]</f>
        <v>0</v>
      </c>
      <c r="X94" s="1684" t="str">
        <f>Table22[[#This Row],[Acute RA label]]</f>
        <v/>
      </c>
      <c r="Y94" s="553">
        <f>Table22[[#This Row],[Acute RA input value]]</f>
        <v>0</v>
      </c>
      <c r="Z94" s="786">
        <f>SUM(Table1[[#This Row],[chronic value &lt;&gt;MRL/LOQ]:[acute vlue&lt;&gt;MRL/LOQ]])</f>
        <v>0</v>
      </c>
      <c r="AA94" s="786">
        <f>IF(AND($F$5="Refined calculation mode",Table1[[#This Row],[GAP under assessment]]="Y"),1,IF(OR(Table1[[#This Row],[Chronic RA label]]="LOQ",Table1[[#This Row],[Chronic RA label]]="",Table1[[#This Row],[Chronic RA label]]="MRL"),0,1))</f>
        <v>0</v>
      </c>
      <c r="AB94" s="787">
        <f>IF(OR(Table1[[#This Row],[Acute RA label]]="LOQ",Table1[[#This Row],[Acute RA label]]="",Table1[[#This Row],[Acute RA label]]="MRL"),0,1)</f>
        <v>0</v>
      </c>
    </row>
    <row r="95" spans="1:28" ht="21.75" hidden="1" thickTop="1" x14ac:dyDescent="0.2">
      <c r="A95" s="815">
        <f>Table1[[#This Row],[Code no.]]</f>
        <v>163110</v>
      </c>
      <c r="B95" s="793" t="str">
        <f>Table1[[#This Row],[Commodity or group of commodities to which the MRLs apply]]</f>
        <v>Soursops/guanabanas</v>
      </c>
      <c r="C95" s="794">
        <f>Table1[[#This Row],[MRL/ proposed MRL /CXL
(mg/kg)]]</f>
        <v>0</v>
      </c>
      <c r="D95" s="795">
        <f>Table1[[#This Row],[Source of MRL]]</f>
        <v>0</v>
      </c>
      <c r="E95" s="797">
        <f>Table1[[#This Row],[Chronic RA input value]]</f>
        <v>0</v>
      </c>
      <c r="F95" s="795" t="str">
        <f>Table1[[#This Row],[Chronic RA label]]</f>
        <v/>
      </c>
      <c r="G95" s="797">
        <f>Table1[[#This Row],[Acute RA input value]]</f>
        <v>0</v>
      </c>
      <c r="H95" s="836" t="str">
        <f>Table1[[#This Row],[Acute RA label]]</f>
        <v/>
      </c>
      <c r="J95" s="553">
        <f>Table22[[#This Row],[Code no.]]</f>
        <v>163110</v>
      </c>
      <c r="K95" s="553" t="str">
        <f>Table22[[#This Row],[Commodity or group of commodities to which the MRLs apply]]</f>
        <v>Soursops/guanabanas</v>
      </c>
      <c r="L95" s="553">
        <f>Table22[[#This Row],[Source / type of MRL]]</f>
        <v>0</v>
      </c>
      <c r="M95" s="553">
        <f>Table22[[#This Row],[MRL/ proposed MRL /CXL
(mg/kg)]]</f>
        <v>0</v>
      </c>
      <c r="N95" s="553">
        <f>Table22[[#This Row],[LOQ]]</f>
        <v>0</v>
      </c>
      <c r="O95" s="553">
        <f>Table22[[#This Row],[CFrisk for residue definition]]</f>
        <v>0</v>
      </c>
      <c r="P95" s="553">
        <f>Table22[[#This Row],[PeF (peeling factor RD enforcemen)]]</f>
        <v>0</v>
      </c>
      <c r="Q95" s="553">
        <f>Table22[[#This Row],[STMR-RAC (median residue)]]</f>
        <v>0</v>
      </c>
      <c r="R95" s="553">
        <f>Table22[[#This Row],[HR-RAC (highest residue)]]</f>
        <v>0</v>
      </c>
      <c r="S95" s="553">
        <f>Table22[[#This Row],[VF (alternative variability factor)]]</f>
        <v>0</v>
      </c>
      <c r="T95" s="553">
        <f>Table22[[#This Row],[GAP under assessment]]</f>
        <v>0</v>
      </c>
      <c r="U95" s="553">
        <f>Table22[[#This Row],[Post-harvest treatment]]</f>
        <v>0</v>
      </c>
      <c r="V95" s="553" t="str">
        <f>Table22[[#This Row],[Chronic RA label]]</f>
        <v/>
      </c>
      <c r="W95" s="553">
        <f>Table22[[#This Row],[Chronic RA input value]]</f>
        <v>0</v>
      </c>
      <c r="X95" s="1684" t="str">
        <f>Table22[[#This Row],[Acute RA label]]</f>
        <v/>
      </c>
      <c r="Y95" s="553">
        <f>Table22[[#This Row],[Acute RA input value]]</f>
        <v>0</v>
      </c>
      <c r="Z95" s="786">
        <f>SUM(Table1[[#This Row],[chronic value &lt;&gt;MRL/LOQ]:[acute vlue&lt;&gt;MRL/LOQ]])</f>
        <v>0</v>
      </c>
      <c r="AA95" s="786">
        <f>IF(AND($F$5="Refined calculation mode",Table1[[#This Row],[GAP under assessment]]="Y"),1,IF(OR(Table1[[#This Row],[Chronic RA label]]="LOQ",Table1[[#This Row],[Chronic RA label]]="",Table1[[#This Row],[Chronic RA label]]="MRL"),0,1))</f>
        <v>0</v>
      </c>
      <c r="AB95" s="787">
        <f>IF(OR(Table1[[#This Row],[Acute RA label]]="LOQ",Table1[[#This Row],[Acute RA label]]="",Table1[[#This Row],[Acute RA label]]="MRL"),0,1)</f>
        <v>0</v>
      </c>
    </row>
    <row r="96" spans="1:28" ht="32.25" hidden="1" thickTop="1" x14ac:dyDescent="0.2">
      <c r="A96" s="815">
        <f>Table1[[#This Row],[Code no.]]</f>
        <v>163990</v>
      </c>
      <c r="B96" s="793" t="str">
        <f>Table1[[#This Row],[Commodity or group of commodities to which the MRLs apply]]</f>
        <v>Other miscallaneous fruit (inedible peel, large)</v>
      </c>
      <c r="C96" s="794">
        <f>Table1[[#This Row],[MRL/ proposed MRL /CXL
(mg/kg)]]</f>
        <v>0</v>
      </c>
      <c r="D96" s="795">
        <f>Table1[[#This Row],[Source of MRL]]</f>
        <v>0</v>
      </c>
      <c r="E96" s="797">
        <f>Table1[[#This Row],[Chronic RA input value]]</f>
        <v>0</v>
      </c>
      <c r="F96" s="795" t="str">
        <f>Table1[[#This Row],[Chronic RA label]]</f>
        <v/>
      </c>
      <c r="G96" s="797">
        <f>Table1[[#This Row],[Acute RA input value]]</f>
        <v>0</v>
      </c>
      <c r="H96" s="836">
        <f>Table1[[#This Row],[Acute RA label]]</f>
        <v>0</v>
      </c>
      <c r="J96" s="553">
        <f>Table22[[#This Row],[Code no.]]</f>
        <v>163990</v>
      </c>
      <c r="K96" s="553" t="str">
        <f>Table22[[#This Row],[Commodity or group of commodities to which the MRLs apply]]</f>
        <v>Other miscallaneous fruit (inedible peel, large)</v>
      </c>
      <c r="L96" s="553">
        <f>Table22[[#This Row],[Source / type of MRL]]</f>
        <v>0</v>
      </c>
      <c r="M96" s="553">
        <f>Table22[[#This Row],[MRL/ proposed MRL /CXL
(mg/kg)]]</f>
        <v>0</v>
      </c>
      <c r="N96" s="553">
        <f>Table22[[#This Row],[LOQ]]</f>
        <v>0</v>
      </c>
      <c r="O96" s="553">
        <f>Table22[[#This Row],[CFrisk for residue definition]]</f>
        <v>0</v>
      </c>
      <c r="P96" s="553">
        <f>Table22[[#This Row],[PeF (peeling factor RD enforcemen)]]</f>
        <v>0</v>
      </c>
      <c r="Q96" s="553">
        <f>Table22[[#This Row],[STMR-RAC (median residue)]]</f>
        <v>0</v>
      </c>
      <c r="R96" s="553">
        <f>Table22[[#This Row],[HR-RAC (highest residue)]]</f>
        <v>0</v>
      </c>
      <c r="S96" s="553">
        <f>Table22[[#This Row],[VF (alternative variability factor)]]</f>
        <v>0</v>
      </c>
      <c r="T96" s="553">
        <f>Table22[[#This Row],[GAP under assessment]]</f>
        <v>0</v>
      </c>
      <c r="U96" s="553">
        <f>Table22[[#This Row],[Post-harvest treatment]]</f>
        <v>0</v>
      </c>
      <c r="V96" s="553" t="str">
        <f>Table22[[#This Row],[Chronic RA label]]</f>
        <v/>
      </c>
      <c r="W96" s="553">
        <f>Table22[[#This Row],[Chronic RA input value]]</f>
        <v>0</v>
      </c>
      <c r="X96" s="1684"/>
      <c r="Y96" s="553">
        <f>Table22[[#This Row],[Acute RA input value]]</f>
        <v>0</v>
      </c>
      <c r="Z96" s="786">
        <f>SUM(Table1[[#This Row],[chronic value &lt;&gt;MRL/LOQ]:[acute vlue&lt;&gt;MRL/LOQ]])</f>
        <v>0</v>
      </c>
      <c r="AA96" s="786">
        <f>IF(AND($F$5="Refined calculation mode",Table1[[#This Row],[GAP under assessment]]="Y"),1,IF(OR(Table1[[#This Row],[Chronic RA label]]="LOQ",Table1[[#This Row],[Chronic RA label]]="",Table1[[#This Row],[Chronic RA label]]="MRL"),0,1))</f>
        <v>0</v>
      </c>
      <c r="AB96" s="787">
        <f>IF(OR(Table1[[#This Row],[Acute RA label]]="LOQ",Table1[[#This Row],[Acute RA label]]="",Table1[[#This Row],[Acute RA label]]="MRL"),0,1)</f>
        <v>0</v>
      </c>
    </row>
    <row r="97" spans="1:28" ht="21.75" hidden="1" thickTop="1" x14ac:dyDescent="0.2">
      <c r="A97" s="815">
        <f>Table1[[#This Row],[Code no.]]</f>
        <v>200000</v>
      </c>
      <c r="B97" s="793" t="str">
        <f>Table1[[#This Row],[Commodity or group of commodities to which the MRLs apply]]</f>
        <v xml:space="preserve">VEGETABLES 
FRESH OR FROZEN </v>
      </c>
      <c r="C97" s="794">
        <f>Table1[[#This Row],[MRL/ proposed MRL /CXL
(mg/kg)]]</f>
        <v>0</v>
      </c>
      <c r="D97" s="795">
        <f>Table1[[#This Row],[Source of MRL]]</f>
        <v>0</v>
      </c>
      <c r="E97" s="797">
        <f>Table1[[#This Row],[Chronic RA input value]]</f>
        <v>0</v>
      </c>
      <c r="F97" s="795">
        <f>Table1[[#This Row],[Chronic RA label]]</f>
        <v>0</v>
      </c>
      <c r="G97" s="797">
        <f>Table1[[#This Row],[Acute RA input value]]</f>
        <v>0</v>
      </c>
      <c r="H97" s="836">
        <f>Table1[[#This Row],[Acute RA label]]</f>
        <v>0</v>
      </c>
      <c r="J97" s="553">
        <f>Table22[[#This Row],[Code no.]]</f>
        <v>200000</v>
      </c>
      <c r="K97" s="553" t="str">
        <f>Table22[[#This Row],[Commodity or group of commodities to which the MRLs apply]]</f>
        <v xml:space="preserve">VEGETABLES 
FRESH OR FROZEN </v>
      </c>
      <c r="L97" s="553">
        <f>Table22[[#This Row],[Source / type of MRL]]</f>
        <v>0</v>
      </c>
      <c r="M97" s="553">
        <f>Table22[[#This Row],[MRL/ proposed MRL /CXL
(mg/kg)]]</f>
        <v>0</v>
      </c>
      <c r="N97" s="553">
        <f>Table22[[#This Row],[LOQ]]</f>
        <v>0</v>
      </c>
      <c r="O97" s="553">
        <f>Table22[[#This Row],[CFrisk for residue definition]]</f>
        <v>0</v>
      </c>
      <c r="P97" s="553">
        <f>Table22[[#This Row],[PeF (peeling factor RD enforcemen)]]</f>
        <v>0</v>
      </c>
      <c r="Q97" s="553">
        <f>Table22[[#This Row],[STMR-RAC (median residue)]]</f>
        <v>0</v>
      </c>
      <c r="R97" s="553">
        <f>Table22[[#This Row],[HR-RAC (highest residue)]]</f>
        <v>0</v>
      </c>
      <c r="S97" s="553">
        <f>Table22[[#This Row],[VF (alternative variability factor)]]</f>
        <v>0</v>
      </c>
      <c r="T97" s="553">
        <f>Table22[[#This Row],[GAP under assessment]]</f>
        <v>0</v>
      </c>
      <c r="U97" s="553">
        <f>Table22[[#This Row],[Post-harvest treatment]]</f>
        <v>0</v>
      </c>
      <c r="V97" s="553"/>
      <c r="W97" s="553">
        <f>Table22[[#This Row],[Chronic RA input value]]</f>
        <v>0</v>
      </c>
      <c r="X97" s="1684"/>
      <c r="Y97" s="553">
        <f>Table22[[#This Row],[Acute RA input value]]</f>
        <v>0</v>
      </c>
      <c r="Z97" s="786">
        <f>SUM(Table1[[#This Row],[chronic value &lt;&gt;MRL/LOQ]:[acute vlue&lt;&gt;MRL/LOQ]])</f>
        <v>0</v>
      </c>
      <c r="AA97" s="786">
        <f>IF(AND($F$5="Refined calculation mode",Table1[[#This Row],[GAP under assessment]]="Y"),1,IF(OR(Table1[[#This Row],[Chronic RA label]]="LOQ",Table1[[#This Row],[Chronic RA label]]="",Table1[[#This Row],[Chronic RA label]]="MRL"),0,1))</f>
        <v>0</v>
      </c>
      <c r="AB97" s="787">
        <f>IF(OR(Table1[[#This Row],[Acute RA label]]="LOQ",Table1[[#This Row],[Acute RA label]]="",Table1[[#This Row],[Acute RA label]]="MRL"),0,1)</f>
        <v>0</v>
      </c>
    </row>
    <row r="98" spans="1:28" ht="32.25" hidden="1" thickTop="1" x14ac:dyDescent="0.2">
      <c r="A98" s="815">
        <f>Table1[[#This Row],[Code no.]]</f>
        <v>210000</v>
      </c>
      <c r="B98" s="793" t="str">
        <f>Table1[[#This Row],[Commodity or group of commodities to which the MRLs apply]]</f>
        <v>Root and tuber vegetables
incl. potaotes)</v>
      </c>
      <c r="C98" s="794">
        <f>Table1[[#This Row],[MRL/ proposed MRL /CXL
(mg/kg)]]</f>
        <v>0</v>
      </c>
      <c r="D98" s="795">
        <f>Table1[[#This Row],[Source of MRL]]</f>
        <v>0</v>
      </c>
      <c r="E98" s="797">
        <f>Table1[[#This Row],[Chronic RA input value]]</f>
        <v>0</v>
      </c>
      <c r="F98" s="795">
        <f>Table1[[#This Row],[Chronic RA label]]</f>
        <v>0</v>
      </c>
      <c r="G98" s="797">
        <f>Table1[[#This Row],[Acute RA input value]]</f>
        <v>0</v>
      </c>
      <c r="H98" s="836">
        <f>Table1[[#This Row],[Acute RA label]]</f>
        <v>0</v>
      </c>
      <c r="J98" s="553">
        <f>Table22[[#This Row],[Code no.]]</f>
        <v>210000</v>
      </c>
      <c r="K98" s="553" t="str">
        <f>Table22[[#This Row],[Commodity or group of commodities to which the MRLs apply]]</f>
        <v>Root and tuber vegetables
incl. potaotes)</v>
      </c>
      <c r="L98" s="553">
        <f>Table22[[#This Row],[Source / type of MRL]]</f>
        <v>0</v>
      </c>
      <c r="M98" s="553">
        <f>Table22[[#This Row],[MRL/ proposed MRL /CXL
(mg/kg)]]</f>
        <v>0</v>
      </c>
      <c r="N98" s="553">
        <f>Table22[[#This Row],[LOQ]]</f>
        <v>0</v>
      </c>
      <c r="O98" s="553">
        <f>Table22[[#This Row],[CFrisk for residue definition]]</f>
        <v>0</v>
      </c>
      <c r="P98" s="553">
        <f>Table22[[#This Row],[PeF (peeling factor RD enforcemen)]]</f>
        <v>0</v>
      </c>
      <c r="Q98" s="553">
        <f>Table22[[#This Row],[STMR-RAC (median residue)]]</f>
        <v>0</v>
      </c>
      <c r="R98" s="553">
        <f>Table22[[#This Row],[HR-RAC (highest residue)]]</f>
        <v>0</v>
      </c>
      <c r="S98" s="553">
        <f>Table22[[#This Row],[VF (alternative variability factor)]]</f>
        <v>0</v>
      </c>
      <c r="T98" s="553">
        <f>Table22[[#This Row],[GAP under assessment]]</f>
        <v>0</v>
      </c>
      <c r="U98" s="553">
        <f>Table22[[#This Row],[Post-harvest treatment]]</f>
        <v>0</v>
      </c>
      <c r="V98" s="553"/>
      <c r="W98" s="553">
        <f>Table22[[#This Row],[Chronic RA input value]]</f>
        <v>0</v>
      </c>
      <c r="X98" s="1684"/>
      <c r="Y98" s="553">
        <f>Table22[[#This Row],[Acute RA input value]]</f>
        <v>0</v>
      </c>
      <c r="Z98" s="786">
        <f>SUM(Table1[[#This Row],[chronic value &lt;&gt;MRL/LOQ]:[acute vlue&lt;&gt;MRL/LOQ]])</f>
        <v>0</v>
      </c>
      <c r="AA98" s="786">
        <f>IF(AND($F$5="Refined calculation mode",Table1[[#This Row],[GAP under assessment]]="Y"),1,IF(OR(Table1[[#This Row],[Chronic RA label]]="LOQ",Table1[[#This Row],[Chronic RA label]]="",Table1[[#This Row],[Chronic RA label]]="MRL"),0,1))</f>
        <v>0</v>
      </c>
      <c r="AB98" s="787">
        <f>IF(OR(Table1[[#This Row],[Acute RA label]]="LOQ",Table1[[#This Row],[Acute RA label]]="",Table1[[#This Row],[Acute RA label]]="MRL"),0,1)</f>
        <v>0</v>
      </c>
    </row>
    <row r="99" spans="1:28" ht="13.5" hidden="1" thickTop="1" x14ac:dyDescent="0.2">
      <c r="A99" s="815">
        <f>Table1[[#This Row],[Code no.]]</f>
        <v>211000</v>
      </c>
      <c r="B99" s="793" t="str">
        <f>Table1[[#This Row],[Commodity or group of commodities to which the MRLs apply]]</f>
        <v>Potatoes</v>
      </c>
      <c r="C99" s="794">
        <f>Table1[[#This Row],[MRL/ proposed MRL /CXL
(mg/kg)]]</f>
        <v>0</v>
      </c>
      <c r="D99" s="795">
        <f>Table1[[#This Row],[Source of MRL]]</f>
        <v>0</v>
      </c>
      <c r="E99" s="797">
        <f>Table1[[#This Row],[Chronic RA input value]]</f>
        <v>0</v>
      </c>
      <c r="F99" s="795" t="str">
        <f>Table1[[#This Row],[Chronic RA label]]</f>
        <v/>
      </c>
      <c r="G99" s="797">
        <f>Table1[[#This Row],[Acute RA input value]]</f>
        <v>0</v>
      </c>
      <c r="H99" s="836" t="str">
        <f>Table1[[#This Row],[Acute RA label]]</f>
        <v/>
      </c>
      <c r="J99" s="553">
        <f>Table22[[#This Row],[Code no.]]</f>
        <v>211000</v>
      </c>
      <c r="K99" s="553" t="str">
        <f>Table22[[#This Row],[Commodity or group of commodities to which the MRLs apply]]</f>
        <v>Potatoes</v>
      </c>
      <c r="L99" s="553">
        <f>Table22[[#This Row],[Source / type of MRL]]</f>
        <v>0</v>
      </c>
      <c r="M99" s="553">
        <f>Table22[[#This Row],[MRL/ proposed MRL /CXL
(mg/kg)]]</f>
        <v>0</v>
      </c>
      <c r="N99" s="553">
        <f>Table22[[#This Row],[LOQ]]</f>
        <v>0</v>
      </c>
      <c r="O99" s="553">
        <f>Table22[[#This Row],[CFrisk for residue definition]]</f>
        <v>0</v>
      </c>
      <c r="P99" s="553">
        <f>Table22[[#This Row],[PeF (peeling factor RD enforcemen)]]</f>
        <v>0</v>
      </c>
      <c r="Q99" s="553">
        <f>Table22[[#This Row],[STMR-RAC (median residue)]]</f>
        <v>0</v>
      </c>
      <c r="R99" s="553">
        <f>Table22[[#This Row],[HR-RAC (highest residue)]]</f>
        <v>0</v>
      </c>
      <c r="S99" s="553">
        <f>Table22[[#This Row],[VF (alternative variability factor)]]</f>
        <v>0</v>
      </c>
      <c r="T99" s="553">
        <f>Table22[[#This Row],[GAP under assessment]]</f>
        <v>0</v>
      </c>
      <c r="U99" s="553">
        <f>Table22[[#This Row],[Post-harvest treatment]]</f>
        <v>0</v>
      </c>
      <c r="V99" s="553" t="str">
        <f>Table22[[#This Row],[Chronic RA label]]</f>
        <v/>
      </c>
      <c r="W99" s="553">
        <f>Table22[[#This Row],[Chronic RA input value]]</f>
        <v>0</v>
      </c>
      <c r="X99" s="1684" t="str">
        <f>Table22[[#This Row],[Acute RA label]]</f>
        <v/>
      </c>
      <c r="Y99" s="553">
        <f>Table22[[#This Row],[Acute RA input value]]</f>
        <v>0</v>
      </c>
      <c r="Z99" s="786">
        <f>SUM(Table1[[#This Row],[chronic value &lt;&gt;MRL/LOQ]:[acute vlue&lt;&gt;MRL/LOQ]])</f>
        <v>0</v>
      </c>
      <c r="AA99" s="786">
        <f>IF(AND($F$5="Refined calculation mode",Table1[[#This Row],[GAP under assessment]]="Y"),1,IF(OR(Table1[[#This Row],[Chronic RA label]]="LOQ",Table1[[#This Row],[Chronic RA label]]="",Table1[[#This Row],[Chronic RA label]]="MRL"),0,1))</f>
        <v>0</v>
      </c>
      <c r="AB99" s="787">
        <f>IF(OR(Table1[[#This Row],[Acute RA label]]="LOQ",Table1[[#This Row],[Acute RA label]]="",Table1[[#This Row],[Acute RA label]]="MRL"),0,1)</f>
        <v>0</v>
      </c>
    </row>
    <row r="100" spans="1:28" ht="21.75" hidden="1" thickTop="1" x14ac:dyDescent="0.2">
      <c r="A100" s="815">
        <f>Table1[[#This Row],[Code no.]]</f>
        <v>212000</v>
      </c>
      <c r="B100" s="793" t="str">
        <f>Table1[[#This Row],[Commodity or group of commodities to which the MRLs apply]]</f>
        <v>Tropical root and tuber vegetables</v>
      </c>
      <c r="C100" s="794">
        <f>Table1[[#This Row],[MRL/ proposed MRL /CXL
(mg/kg)]]</f>
        <v>0</v>
      </c>
      <c r="D100" s="795">
        <f>Table1[[#This Row],[Source of MRL]]</f>
        <v>0</v>
      </c>
      <c r="E100" s="797">
        <f>Table1[[#This Row],[Chronic RA input value]]</f>
        <v>0</v>
      </c>
      <c r="F100" s="795">
        <f>Table1[[#This Row],[Chronic RA label]]</f>
        <v>0</v>
      </c>
      <c r="G100" s="797">
        <f>Table1[[#This Row],[Acute RA input value]]</f>
        <v>0</v>
      </c>
      <c r="H100" s="836">
        <f>Table1[[#This Row],[Acute RA label]]</f>
        <v>0</v>
      </c>
      <c r="J100" s="553">
        <f>Table22[[#This Row],[Code no.]]</f>
        <v>212000</v>
      </c>
      <c r="K100" s="553" t="str">
        <f>Table22[[#This Row],[Commodity or group of commodities to which the MRLs apply]]</f>
        <v>Tropical root and tuber vegetables</v>
      </c>
      <c r="L100" s="553">
        <f>Table22[[#This Row],[Source / type of MRL]]</f>
        <v>0</v>
      </c>
      <c r="M100" s="553">
        <f>Table22[[#This Row],[MRL/ proposed MRL /CXL
(mg/kg)]]</f>
        <v>0</v>
      </c>
      <c r="N100" s="553">
        <f>Table22[[#This Row],[LOQ]]</f>
        <v>0</v>
      </c>
      <c r="O100" s="553">
        <f>Table22[[#This Row],[CFrisk for residue definition]]</f>
        <v>0</v>
      </c>
      <c r="P100" s="553">
        <f>Table22[[#This Row],[PeF (peeling factor RD enforcemen)]]</f>
        <v>0</v>
      </c>
      <c r="Q100" s="553">
        <f>Table22[[#This Row],[STMR-RAC (median residue)]]</f>
        <v>0</v>
      </c>
      <c r="R100" s="553">
        <f>Table22[[#This Row],[HR-RAC (highest residue)]]</f>
        <v>0</v>
      </c>
      <c r="S100" s="553">
        <f>Table22[[#This Row],[VF (alternative variability factor)]]</f>
        <v>0</v>
      </c>
      <c r="T100" s="553">
        <f>Table22[[#This Row],[GAP under assessment]]</f>
        <v>0</v>
      </c>
      <c r="U100" s="553">
        <f>Table22[[#This Row],[Post-harvest treatment]]</f>
        <v>0</v>
      </c>
      <c r="V100" s="553"/>
      <c r="W100" s="553">
        <f>Table22[[#This Row],[Chronic RA input value]]</f>
        <v>0</v>
      </c>
      <c r="X100" s="1684"/>
      <c r="Y100" s="553">
        <f>Table22[[#This Row],[Acute RA input value]]</f>
        <v>0</v>
      </c>
      <c r="Z100" s="786">
        <f>SUM(Table1[[#This Row],[chronic value &lt;&gt;MRL/LOQ]:[acute vlue&lt;&gt;MRL/LOQ]])</f>
        <v>0</v>
      </c>
      <c r="AA100" s="786">
        <f>IF(AND($F$5="Refined calculation mode",Table1[[#This Row],[GAP under assessment]]="Y"),1,IF(OR(Table1[[#This Row],[Chronic RA label]]="LOQ",Table1[[#This Row],[Chronic RA label]]="",Table1[[#This Row],[Chronic RA label]]="MRL"),0,1))</f>
        <v>0</v>
      </c>
      <c r="AB100" s="787">
        <f>IF(OR(Table1[[#This Row],[Acute RA label]]="LOQ",Table1[[#This Row],[Acute RA label]]="",Table1[[#This Row],[Acute RA label]]="MRL"),0,1)</f>
        <v>0</v>
      </c>
    </row>
    <row r="101" spans="1:28" ht="21.75" hidden="1" thickTop="1" x14ac:dyDescent="0.2">
      <c r="A101" s="815">
        <f>Table1[[#This Row],[Code no.]]</f>
        <v>212010</v>
      </c>
      <c r="B101" s="793" t="str">
        <f>Table1[[#This Row],[Commodity or group of commodities to which the MRLs apply]]</f>
        <v>Cassava roots/manioc</v>
      </c>
      <c r="C101" s="794">
        <f>Table1[[#This Row],[MRL/ proposed MRL /CXL
(mg/kg)]]</f>
        <v>0</v>
      </c>
      <c r="D101" s="795">
        <f>Table1[[#This Row],[Source of MRL]]</f>
        <v>0</v>
      </c>
      <c r="E101" s="797">
        <f>Table1[[#This Row],[Chronic RA input value]]</f>
        <v>0</v>
      </c>
      <c r="F101" s="795" t="str">
        <f>Table1[[#This Row],[Chronic RA label]]</f>
        <v/>
      </c>
      <c r="G101" s="797">
        <f>Table1[[#This Row],[Acute RA input value]]</f>
        <v>0</v>
      </c>
      <c r="H101" s="836" t="str">
        <f>Table1[[#This Row],[Acute RA label]]</f>
        <v/>
      </c>
      <c r="J101" s="553">
        <f>Table22[[#This Row],[Code no.]]</f>
        <v>212010</v>
      </c>
      <c r="K101" s="553" t="str">
        <f>Table22[[#This Row],[Commodity or group of commodities to which the MRLs apply]]</f>
        <v>Cassava roots/manioc</v>
      </c>
      <c r="L101" s="553">
        <f>Table22[[#This Row],[Source / type of MRL]]</f>
        <v>0</v>
      </c>
      <c r="M101" s="553">
        <f>Table22[[#This Row],[MRL/ proposed MRL /CXL
(mg/kg)]]</f>
        <v>0</v>
      </c>
      <c r="N101" s="553">
        <f>Table22[[#This Row],[LOQ]]</f>
        <v>0</v>
      </c>
      <c r="O101" s="553">
        <f>Table22[[#This Row],[CFrisk for residue definition]]</f>
        <v>0</v>
      </c>
      <c r="P101" s="553">
        <f>Table22[[#This Row],[PeF (peeling factor RD enforcemen)]]</f>
        <v>0</v>
      </c>
      <c r="Q101" s="553">
        <f>Table22[[#This Row],[STMR-RAC (median residue)]]</f>
        <v>0</v>
      </c>
      <c r="R101" s="553">
        <f>Table22[[#This Row],[HR-RAC (highest residue)]]</f>
        <v>0</v>
      </c>
      <c r="S101" s="553">
        <f>Table22[[#This Row],[VF (alternative variability factor)]]</f>
        <v>0</v>
      </c>
      <c r="T101" s="553">
        <f>Table22[[#This Row],[GAP under assessment]]</f>
        <v>0</v>
      </c>
      <c r="U101" s="553">
        <f>Table22[[#This Row],[Post-harvest treatment]]</f>
        <v>0</v>
      </c>
      <c r="V101" s="553" t="str">
        <f>Table22[[#This Row],[Chronic RA label]]</f>
        <v/>
      </c>
      <c r="W101" s="553">
        <f>Table22[[#This Row],[Chronic RA input value]]</f>
        <v>0</v>
      </c>
      <c r="X101" s="1684" t="str">
        <f>Table22[[#This Row],[Acute RA label]]</f>
        <v/>
      </c>
      <c r="Y101" s="553">
        <f>Table22[[#This Row],[Acute RA input value]]</f>
        <v>0</v>
      </c>
      <c r="Z101" s="786">
        <f>SUM(Table1[[#This Row],[chronic value &lt;&gt;MRL/LOQ]:[acute vlue&lt;&gt;MRL/LOQ]])</f>
        <v>0</v>
      </c>
      <c r="AA101" s="786">
        <f>IF(AND($F$5="Refined calculation mode",Table1[[#This Row],[GAP under assessment]]="Y"),1,IF(OR(Table1[[#This Row],[Chronic RA label]]="LOQ",Table1[[#This Row],[Chronic RA label]]="",Table1[[#This Row],[Chronic RA label]]="MRL"),0,1))</f>
        <v>0</v>
      </c>
      <c r="AB101" s="787">
        <f>IF(OR(Table1[[#This Row],[Acute RA label]]="LOQ",Table1[[#This Row],[Acute RA label]]="",Table1[[#This Row],[Acute RA label]]="MRL"),0,1)</f>
        <v>0</v>
      </c>
    </row>
    <row r="102" spans="1:28" ht="13.5" hidden="1" thickTop="1" x14ac:dyDescent="0.2">
      <c r="A102" s="815">
        <f>Table1[[#This Row],[Code no.]]</f>
        <v>212020</v>
      </c>
      <c r="B102" s="793" t="str">
        <f>Table1[[#This Row],[Commodity or group of commodities to which the MRLs apply]]</f>
        <v>Sweet potatoes</v>
      </c>
      <c r="C102" s="794">
        <f>Table1[[#This Row],[MRL/ proposed MRL /CXL
(mg/kg)]]</f>
        <v>0</v>
      </c>
      <c r="D102" s="795">
        <f>Table1[[#This Row],[Source of MRL]]</f>
        <v>0</v>
      </c>
      <c r="E102" s="797">
        <f>Table1[[#This Row],[Chronic RA input value]]</f>
        <v>0</v>
      </c>
      <c r="F102" s="795" t="str">
        <f>Table1[[#This Row],[Chronic RA label]]</f>
        <v/>
      </c>
      <c r="G102" s="797">
        <f>Table1[[#This Row],[Acute RA input value]]</f>
        <v>0</v>
      </c>
      <c r="H102" s="836" t="str">
        <f>Table1[[#This Row],[Acute RA label]]</f>
        <v/>
      </c>
      <c r="J102" s="553">
        <f>Table22[[#This Row],[Code no.]]</f>
        <v>212020</v>
      </c>
      <c r="K102" s="553" t="str">
        <f>Table22[[#This Row],[Commodity or group of commodities to which the MRLs apply]]</f>
        <v>Sweet potatoes</v>
      </c>
      <c r="L102" s="553">
        <f>Table22[[#This Row],[Source / type of MRL]]</f>
        <v>0</v>
      </c>
      <c r="M102" s="553">
        <f>Table22[[#This Row],[MRL/ proposed MRL /CXL
(mg/kg)]]</f>
        <v>0</v>
      </c>
      <c r="N102" s="553">
        <f>Table22[[#This Row],[LOQ]]</f>
        <v>0</v>
      </c>
      <c r="O102" s="553">
        <f>Table22[[#This Row],[CFrisk for residue definition]]</f>
        <v>0</v>
      </c>
      <c r="P102" s="553">
        <f>Table22[[#This Row],[PeF (peeling factor RD enforcemen)]]</f>
        <v>0</v>
      </c>
      <c r="Q102" s="553">
        <f>Table22[[#This Row],[STMR-RAC (median residue)]]</f>
        <v>0</v>
      </c>
      <c r="R102" s="553">
        <f>Table22[[#This Row],[HR-RAC (highest residue)]]</f>
        <v>0</v>
      </c>
      <c r="S102" s="553">
        <f>Table22[[#This Row],[VF (alternative variability factor)]]</f>
        <v>0</v>
      </c>
      <c r="T102" s="553">
        <f>Table22[[#This Row],[GAP under assessment]]</f>
        <v>0</v>
      </c>
      <c r="U102" s="553">
        <f>Table22[[#This Row],[Post-harvest treatment]]</f>
        <v>0</v>
      </c>
      <c r="V102" s="553" t="str">
        <f>Table22[[#This Row],[Chronic RA label]]</f>
        <v/>
      </c>
      <c r="W102" s="553">
        <f>Table22[[#This Row],[Chronic RA input value]]</f>
        <v>0</v>
      </c>
      <c r="X102" s="1684" t="str">
        <f>Table22[[#This Row],[Acute RA label]]</f>
        <v/>
      </c>
      <c r="Y102" s="553">
        <f>Table22[[#This Row],[Acute RA input value]]</f>
        <v>0</v>
      </c>
      <c r="Z102" s="786">
        <f>SUM(Table1[[#This Row],[chronic value &lt;&gt;MRL/LOQ]:[acute vlue&lt;&gt;MRL/LOQ]])</f>
        <v>0</v>
      </c>
      <c r="AA102" s="786">
        <f>IF(AND($F$5="Refined calculation mode",Table1[[#This Row],[GAP under assessment]]="Y"),1,IF(OR(Table1[[#This Row],[Chronic RA label]]="LOQ",Table1[[#This Row],[Chronic RA label]]="",Table1[[#This Row],[Chronic RA label]]="MRL"),0,1))</f>
        <v>0</v>
      </c>
      <c r="AB102" s="787">
        <f>IF(OR(Table1[[#This Row],[Acute RA label]]="LOQ",Table1[[#This Row],[Acute RA label]]="",Table1[[#This Row],[Acute RA label]]="MRL"),0,1)</f>
        <v>0</v>
      </c>
    </row>
    <row r="103" spans="1:28" ht="13.5" hidden="1" thickTop="1" x14ac:dyDescent="0.2">
      <c r="A103" s="815">
        <f>Table1[[#This Row],[Code no.]]</f>
        <v>212030</v>
      </c>
      <c r="B103" s="793" t="str">
        <f>Table1[[#This Row],[Commodity or group of commodities to which the MRLs apply]]</f>
        <v>Yams</v>
      </c>
      <c r="C103" s="794">
        <f>Table1[[#This Row],[MRL/ proposed MRL /CXL
(mg/kg)]]</f>
        <v>0</v>
      </c>
      <c r="D103" s="795">
        <f>Table1[[#This Row],[Source of MRL]]</f>
        <v>0</v>
      </c>
      <c r="E103" s="797">
        <f>Table1[[#This Row],[Chronic RA input value]]</f>
        <v>0</v>
      </c>
      <c r="F103" s="795" t="str">
        <f>Table1[[#This Row],[Chronic RA label]]</f>
        <v/>
      </c>
      <c r="G103" s="797">
        <f>Table1[[#This Row],[Acute RA input value]]</f>
        <v>0</v>
      </c>
      <c r="H103" s="836" t="str">
        <f>Table1[[#This Row],[Acute RA label]]</f>
        <v/>
      </c>
      <c r="J103" s="553">
        <f>Table22[[#This Row],[Code no.]]</f>
        <v>212030</v>
      </c>
      <c r="K103" s="553" t="str">
        <f>Table22[[#This Row],[Commodity or group of commodities to which the MRLs apply]]</f>
        <v>Yams</v>
      </c>
      <c r="L103" s="553">
        <f>Table22[[#This Row],[Source / type of MRL]]</f>
        <v>0</v>
      </c>
      <c r="M103" s="553">
        <f>Table22[[#This Row],[MRL/ proposed MRL /CXL
(mg/kg)]]</f>
        <v>0</v>
      </c>
      <c r="N103" s="553">
        <f>Table22[[#This Row],[LOQ]]</f>
        <v>0</v>
      </c>
      <c r="O103" s="553">
        <f>Table22[[#This Row],[CFrisk for residue definition]]</f>
        <v>0</v>
      </c>
      <c r="P103" s="553">
        <f>Table22[[#This Row],[PeF (peeling factor RD enforcemen)]]</f>
        <v>0</v>
      </c>
      <c r="Q103" s="553">
        <f>Table22[[#This Row],[STMR-RAC (median residue)]]</f>
        <v>0</v>
      </c>
      <c r="R103" s="553">
        <f>Table22[[#This Row],[HR-RAC (highest residue)]]</f>
        <v>0</v>
      </c>
      <c r="S103" s="553">
        <f>Table22[[#This Row],[VF (alternative variability factor)]]</f>
        <v>0</v>
      </c>
      <c r="T103" s="553">
        <f>Table22[[#This Row],[GAP under assessment]]</f>
        <v>0</v>
      </c>
      <c r="U103" s="553">
        <f>Table22[[#This Row],[Post-harvest treatment]]</f>
        <v>0</v>
      </c>
      <c r="V103" s="553" t="str">
        <f>Table22[[#This Row],[Chronic RA label]]</f>
        <v/>
      </c>
      <c r="W103" s="553">
        <f>Table22[[#This Row],[Chronic RA input value]]</f>
        <v>0</v>
      </c>
      <c r="X103" s="1684" t="str">
        <f>Table22[[#This Row],[Acute RA label]]</f>
        <v/>
      </c>
      <c r="Y103" s="553">
        <f>Table22[[#This Row],[Acute RA input value]]</f>
        <v>0</v>
      </c>
      <c r="Z103" s="786">
        <f>SUM(Table1[[#This Row],[chronic value &lt;&gt;MRL/LOQ]:[acute vlue&lt;&gt;MRL/LOQ]])</f>
        <v>0</v>
      </c>
      <c r="AA103" s="786">
        <f>IF(AND($F$5="Refined calculation mode",Table1[[#This Row],[GAP under assessment]]="Y"),1,IF(OR(Table1[[#This Row],[Chronic RA label]]="LOQ",Table1[[#This Row],[Chronic RA label]]="",Table1[[#This Row],[Chronic RA label]]="MRL"),0,1))</f>
        <v>0</v>
      </c>
      <c r="AB103" s="787">
        <f>IF(OR(Table1[[#This Row],[Acute RA label]]="LOQ",Table1[[#This Row],[Acute RA label]]="",Table1[[#This Row],[Acute RA label]]="MRL"),0,1)</f>
        <v>0</v>
      </c>
    </row>
    <row r="104" spans="1:28" ht="13.5" hidden="1" thickTop="1" x14ac:dyDescent="0.2">
      <c r="A104" s="815">
        <f>Table1[[#This Row],[Code no.]]</f>
        <v>212040</v>
      </c>
      <c r="B104" s="793" t="str">
        <f>Table1[[#This Row],[Commodity or group of commodities to which the MRLs apply]]</f>
        <v>Arrowroots</v>
      </c>
      <c r="C104" s="794">
        <f>Table1[[#This Row],[MRL/ proposed MRL /CXL
(mg/kg)]]</f>
        <v>0</v>
      </c>
      <c r="D104" s="795">
        <f>Table1[[#This Row],[Source of MRL]]</f>
        <v>0</v>
      </c>
      <c r="E104" s="797">
        <f>Table1[[#This Row],[Chronic RA input value]]</f>
        <v>0</v>
      </c>
      <c r="F104" s="795" t="str">
        <f>Table1[[#This Row],[Chronic RA label]]</f>
        <v/>
      </c>
      <c r="G104" s="797">
        <f>Table1[[#This Row],[Acute RA input value]]</f>
        <v>0</v>
      </c>
      <c r="H104" s="836" t="str">
        <f>Table1[[#This Row],[Acute RA label]]</f>
        <v/>
      </c>
      <c r="J104" s="553">
        <f>Table22[[#This Row],[Code no.]]</f>
        <v>212040</v>
      </c>
      <c r="K104" s="553" t="str">
        <f>Table22[[#This Row],[Commodity or group of commodities to which the MRLs apply]]</f>
        <v>Arrowroots</v>
      </c>
      <c r="L104" s="553">
        <f>Table22[[#This Row],[Source / type of MRL]]</f>
        <v>0</v>
      </c>
      <c r="M104" s="553">
        <f>Table22[[#This Row],[MRL/ proposed MRL /CXL
(mg/kg)]]</f>
        <v>0</v>
      </c>
      <c r="N104" s="553">
        <f>Table22[[#This Row],[LOQ]]</f>
        <v>0</v>
      </c>
      <c r="O104" s="553">
        <f>Table22[[#This Row],[CFrisk for residue definition]]</f>
        <v>0</v>
      </c>
      <c r="P104" s="553">
        <f>Table22[[#This Row],[PeF (peeling factor RD enforcemen)]]</f>
        <v>0</v>
      </c>
      <c r="Q104" s="553">
        <f>Table22[[#This Row],[STMR-RAC (median residue)]]</f>
        <v>0</v>
      </c>
      <c r="R104" s="553">
        <f>Table22[[#This Row],[HR-RAC (highest residue)]]</f>
        <v>0</v>
      </c>
      <c r="S104" s="553">
        <f>Table22[[#This Row],[VF (alternative variability factor)]]</f>
        <v>0</v>
      </c>
      <c r="T104" s="553">
        <f>Table22[[#This Row],[GAP under assessment]]</f>
        <v>0</v>
      </c>
      <c r="U104" s="553">
        <f>Table22[[#This Row],[Post-harvest treatment]]</f>
        <v>0</v>
      </c>
      <c r="V104" s="553" t="str">
        <f>Table22[[#This Row],[Chronic RA label]]</f>
        <v/>
      </c>
      <c r="W104" s="553">
        <f>Table22[[#This Row],[Chronic RA input value]]</f>
        <v>0</v>
      </c>
      <c r="X104" s="1684" t="str">
        <f>Table22[[#This Row],[Acute RA label]]</f>
        <v/>
      </c>
      <c r="Y104" s="553">
        <f>Table22[[#This Row],[Acute RA input value]]</f>
        <v>0</v>
      </c>
      <c r="Z104" s="786">
        <f>SUM(Table1[[#This Row],[chronic value &lt;&gt;MRL/LOQ]:[acute vlue&lt;&gt;MRL/LOQ]])</f>
        <v>0</v>
      </c>
      <c r="AA104" s="786">
        <f>IF(AND($F$5="Refined calculation mode",Table1[[#This Row],[GAP under assessment]]="Y"),1,IF(OR(Table1[[#This Row],[Chronic RA label]]="LOQ",Table1[[#This Row],[Chronic RA label]]="",Table1[[#This Row],[Chronic RA label]]="MRL"),0,1))</f>
        <v>0</v>
      </c>
      <c r="AB104" s="787">
        <f>IF(OR(Table1[[#This Row],[Acute RA label]]="LOQ",Table1[[#This Row],[Acute RA label]]="",Table1[[#This Row],[Acute RA label]]="MRL"),0,1)</f>
        <v>0</v>
      </c>
    </row>
    <row r="105" spans="1:28" ht="32.25" hidden="1" thickTop="1" x14ac:dyDescent="0.2">
      <c r="A105" s="815">
        <f>Table1[[#This Row],[Code no.]]</f>
        <v>212990</v>
      </c>
      <c r="B105" s="793" t="str">
        <f>Table1[[#This Row],[Commodity or group of commodities to which the MRLs apply]]</f>
        <v>Other tropical root and tuber vegetables</v>
      </c>
      <c r="C105" s="794">
        <f>Table1[[#This Row],[MRL/ proposed MRL /CXL
(mg/kg)]]</f>
        <v>0</v>
      </c>
      <c r="D105" s="795">
        <f>Table1[[#This Row],[Source of MRL]]</f>
        <v>0</v>
      </c>
      <c r="E105" s="797">
        <f>Table1[[#This Row],[Chronic RA input value]]</f>
        <v>0</v>
      </c>
      <c r="F105" s="795" t="str">
        <f>Table1[[#This Row],[Chronic RA label]]</f>
        <v/>
      </c>
      <c r="G105" s="797">
        <f>Table1[[#This Row],[Acute RA input value]]</f>
        <v>0</v>
      </c>
      <c r="H105" s="836">
        <f>Table1[[#This Row],[Acute RA label]]</f>
        <v>0</v>
      </c>
      <c r="J105" s="553">
        <f>Table22[[#This Row],[Code no.]]</f>
        <v>212990</v>
      </c>
      <c r="K105" s="553" t="str">
        <f>Table22[[#This Row],[Commodity or group of commodities to which the MRLs apply]]</f>
        <v>Other tropical root and tuber vegetables</v>
      </c>
      <c r="L105" s="553">
        <f>Table22[[#This Row],[Source / type of MRL]]</f>
        <v>0</v>
      </c>
      <c r="M105" s="553">
        <f>Table22[[#This Row],[MRL/ proposed MRL /CXL
(mg/kg)]]</f>
        <v>0</v>
      </c>
      <c r="N105" s="553">
        <f>Table22[[#This Row],[LOQ]]</f>
        <v>0</v>
      </c>
      <c r="O105" s="553">
        <f>Table22[[#This Row],[CFrisk for residue definition]]</f>
        <v>0</v>
      </c>
      <c r="P105" s="553">
        <f>Table22[[#This Row],[PeF (peeling factor RD enforcemen)]]</f>
        <v>0</v>
      </c>
      <c r="Q105" s="553">
        <f>Table22[[#This Row],[STMR-RAC (median residue)]]</f>
        <v>0</v>
      </c>
      <c r="R105" s="553">
        <f>Table22[[#This Row],[HR-RAC (highest residue)]]</f>
        <v>0</v>
      </c>
      <c r="S105" s="553">
        <f>Table22[[#This Row],[VF (alternative variability factor)]]</f>
        <v>0</v>
      </c>
      <c r="T105" s="553">
        <f>Table22[[#This Row],[GAP under assessment]]</f>
        <v>0</v>
      </c>
      <c r="U105" s="553">
        <f>Table22[[#This Row],[Post-harvest treatment]]</f>
        <v>0</v>
      </c>
      <c r="V105" s="553" t="str">
        <f>Table22[[#This Row],[Chronic RA label]]</f>
        <v/>
      </c>
      <c r="W105" s="553">
        <f>Table22[[#This Row],[Chronic RA input value]]</f>
        <v>0</v>
      </c>
      <c r="X105" s="1684"/>
      <c r="Y105" s="553">
        <f>Table22[[#This Row],[Acute RA input value]]</f>
        <v>0</v>
      </c>
      <c r="Z105" s="786">
        <f>SUM(Table1[[#This Row],[chronic value &lt;&gt;MRL/LOQ]:[acute vlue&lt;&gt;MRL/LOQ]])</f>
        <v>0</v>
      </c>
      <c r="AA105" s="786">
        <f>IF(AND($F$5="Refined calculation mode",Table1[[#This Row],[GAP under assessment]]="Y"),1,IF(OR(Table1[[#This Row],[Chronic RA label]]="LOQ",Table1[[#This Row],[Chronic RA label]]="",Table1[[#This Row],[Chronic RA label]]="MRL"),0,1))</f>
        <v>0</v>
      </c>
      <c r="AB105" s="787">
        <f>IF(OR(Table1[[#This Row],[Acute RA label]]="LOQ",Table1[[#This Row],[Acute RA label]]="",Table1[[#This Row],[Acute RA label]]="MRL"),0,1)</f>
        <v>0</v>
      </c>
    </row>
    <row r="106" spans="1:28" ht="32.25" hidden="1" thickTop="1" x14ac:dyDescent="0.2">
      <c r="A106" s="815">
        <f>Table1[[#This Row],[Code no.]]</f>
        <v>213000</v>
      </c>
      <c r="B106" s="793" t="str">
        <f>Table1[[#This Row],[Commodity or group of commodities to which the MRLs apply]]</f>
        <v>Other root and tuber vegetables except sugar beet</v>
      </c>
      <c r="C106" s="794">
        <f>Table1[[#This Row],[MRL/ proposed MRL /CXL
(mg/kg)]]</f>
        <v>0</v>
      </c>
      <c r="D106" s="795">
        <f>Table1[[#This Row],[Source of MRL]]</f>
        <v>0</v>
      </c>
      <c r="E106" s="797">
        <f>Table1[[#This Row],[Chronic RA input value]]</f>
        <v>0</v>
      </c>
      <c r="F106" s="795">
        <f>Table1[[#This Row],[Chronic RA label]]</f>
        <v>0</v>
      </c>
      <c r="G106" s="797">
        <f>Table1[[#This Row],[Acute RA input value]]</f>
        <v>0</v>
      </c>
      <c r="H106" s="836">
        <f>Table1[[#This Row],[Acute RA label]]</f>
        <v>0</v>
      </c>
      <c r="J106" s="553">
        <f>Table22[[#This Row],[Code no.]]</f>
        <v>213000</v>
      </c>
      <c r="K106" s="553" t="str">
        <f>Table22[[#This Row],[Commodity or group of commodities to which the MRLs apply]]</f>
        <v>Other root and tuber vegetables except sugar beet</v>
      </c>
      <c r="L106" s="553">
        <f>Table22[[#This Row],[Source / type of MRL]]</f>
        <v>0</v>
      </c>
      <c r="M106" s="553">
        <f>Table22[[#This Row],[MRL/ proposed MRL /CXL
(mg/kg)]]</f>
        <v>0</v>
      </c>
      <c r="N106" s="553">
        <f>Table22[[#This Row],[LOQ]]</f>
        <v>0</v>
      </c>
      <c r="O106" s="553">
        <f>Table22[[#This Row],[CFrisk for residue definition]]</f>
        <v>0</v>
      </c>
      <c r="P106" s="553">
        <f>Table22[[#This Row],[PeF (peeling factor RD enforcemen)]]</f>
        <v>0</v>
      </c>
      <c r="Q106" s="553">
        <f>Table22[[#This Row],[STMR-RAC (median residue)]]</f>
        <v>0</v>
      </c>
      <c r="R106" s="553">
        <f>Table22[[#This Row],[HR-RAC (highest residue)]]</f>
        <v>0</v>
      </c>
      <c r="S106" s="553">
        <f>Table22[[#This Row],[VF (alternative variability factor)]]</f>
        <v>0</v>
      </c>
      <c r="T106" s="553">
        <f>Table22[[#This Row],[GAP under assessment]]</f>
        <v>0</v>
      </c>
      <c r="U106" s="553">
        <f>Table22[[#This Row],[Post-harvest treatment]]</f>
        <v>0</v>
      </c>
      <c r="V106" s="553"/>
      <c r="W106" s="553">
        <f>Table22[[#This Row],[Chronic RA input value]]</f>
        <v>0</v>
      </c>
      <c r="X106" s="1684"/>
      <c r="Y106" s="553">
        <f>Table22[[#This Row],[Acute RA input value]]</f>
        <v>0</v>
      </c>
      <c r="Z106" s="786">
        <f>SUM(Table1[[#This Row],[chronic value &lt;&gt;MRL/LOQ]:[acute vlue&lt;&gt;MRL/LOQ]])</f>
        <v>0</v>
      </c>
      <c r="AA106" s="786">
        <f>IF(AND($F$5="Refined calculation mode",Table1[[#This Row],[GAP under assessment]]="Y"),1,IF(OR(Table1[[#This Row],[Chronic RA label]]="LOQ",Table1[[#This Row],[Chronic RA label]]="",Table1[[#This Row],[Chronic RA label]]="MRL"),0,1))</f>
        <v>0</v>
      </c>
      <c r="AB106" s="787">
        <f>IF(OR(Table1[[#This Row],[Acute RA label]]="LOQ",Table1[[#This Row],[Acute RA label]]="",Table1[[#This Row],[Acute RA label]]="MRL"),0,1)</f>
        <v>0</v>
      </c>
    </row>
    <row r="107" spans="1:28" ht="13.5" hidden="1" thickTop="1" x14ac:dyDescent="0.2">
      <c r="A107" s="815">
        <f>Table1[[#This Row],[Code no.]]</f>
        <v>213010</v>
      </c>
      <c r="B107" s="793" t="str">
        <f>Table1[[#This Row],[Commodity or group of commodities to which the MRLs apply]]</f>
        <v>Beetroots</v>
      </c>
      <c r="C107" s="794">
        <f>Table1[[#This Row],[MRL/ proposed MRL /CXL
(mg/kg)]]</f>
        <v>0</v>
      </c>
      <c r="D107" s="795">
        <f>Table1[[#This Row],[Source of MRL]]</f>
        <v>0</v>
      </c>
      <c r="E107" s="797">
        <f>Table1[[#This Row],[Chronic RA input value]]</f>
        <v>0</v>
      </c>
      <c r="F107" s="795" t="str">
        <f>Table1[[#This Row],[Chronic RA label]]</f>
        <v/>
      </c>
      <c r="G107" s="797">
        <f>Table1[[#This Row],[Acute RA input value]]</f>
        <v>0</v>
      </c>
      <c r="H107" s="836" t="str">
        <f>Table1[[#This Row],[Acute RA label]]</f>
        <v/>
      </c>
      <c r="J107" s="553">
        <f>Table22[[#This Row],[Code no.]]</f>
        <v>213010</v>
      </c>
      <c r="K107" s="553" t="str">
        <f>Table22[[#This Row],[Commodity or group of commodities to which the MRLs apply]]</f>
        <v>Beetroots</v>
      </c>
      <c r="L107" s="553">
        <f>Table22[[#This Row],[Source / type of MRL]]</f>
        <v>0</v>
      </c>
      <c r="M107" s="553">
        <f>Table22[[#This Row],[MRL/ proposed MRL /CXL
(mg/kg)]]</f>
        <v>0</v>
      </c>
      <c r="N107" s="553">
        <f>Table22[[#This Row],[LOQ]]</f>
        <v>0</v>
      </c>
      <c r="O107" s="553">
        <f>Table22[[#This Row],[CFrisk for residue definition]]</f>
        <v>0</v>
      </c>
      <c r="P107" s="553">
        <f>Table22[[#This Row],[PeF (peeling factor RD enforcemen)]]</f>
        <v>0</v>
      </c>
      <c r="Q107" s="553">
        <f>Table22[[#This Row],[STMR-RAC (median residue)]]</f>
        <v>0</v>
      </c>
      <c r="R107" s="553">
        <f>Table22[[#This Row],[HR-RAC (highest residue)]]</f>
        <v>0</v>
      </c>
      <c r="S107" s="553">
        <f>Table22[[#This Row],[VF (alternative variability factor)]]</f>
        <v>0</v>
      </c>
      <c r="T107" s="553">
        <f>Table22[[#This Row],[GAP under assessment]]</f>
        <v>0</v>
      </c>
      <c r="U107" s="553">
        <f>Table22[[#This Row],[Post-harvest treatment]]</f>
        <v>0</v>
      </c>
      <c r="V107" s="553" t="str">
        <f>Table22[[#This Row],[Chronic RA label]]</f>
        <v/>
      </c>
      <c r="W107" s="553">
        <f>Table22[[#This Row],[Chronic RA input value]]</f>
        <v>0</v>
      </c>
      <c r="X107" s="1684" t="str">
        <f>Table22[[#This Row],[Acute RA label]]</f>
        <v/>
      </c>
      <c r="Y107" s="553">
        <f>Table22[[#This Row],[Acute RA input value]]</f>
        <v>0</v>
      </c>
      <c r="Z107" s="786">
        <f>SUM(Table1[[#This Row],[chronic value &lt;&gt;MRL/LOQ]:[acute vlue&lt;&gt;MRL/LOQ]])</f>
        <v>0</v>
      </c>
      <c r="AA107" s="786">
        <f>IF(AND($F$5="Refined calculation mode",Table1[[#This Row],[GAP under assessment]]="Y"),1,IF(OR(Table1[[#This Row],[Chronic RA label]]="LOQ",Table1[[#This Row],[Chronic RA label]]="",Table1[[#This Row],[Chronic RA label]]="MRL"),0,1))</f>
        <v>0</v>
      </c>
      <c r="AB107" s="787">
        <f>IF(OR(Table1[[#This Row],[Acute RA label]]="LOQ",Table1[[#This Row],[Acute RA label]]="",Table1[[#This Row],[Acute RA label]]="MRL"),0,1)</f>
        <v>0</v>
      </c>
    </row>
    <row r="108" spans="1:28" ht="13.5" hidden="1" thickTop="1" x14ac:dyDescent="0.2">
      <c r="A108" s="815">
        <f>Table1[[#This Row],[Code no.]]</f>
        <v>213020</v>
      </c>
      <c r="B108" s="793" t="str">
        <f>Table1[[#This Row],[Commodity or group of commodities to which the MRLs apply]]</f>
        <v>Carrots</v>
      </c>
      <c r="C108" s="794">
        <f>Table1[[#This Row],[MRL/ proposed MRL /CXL
(mg/kg)]]</f>
        <v>0</v>
      </c>
      <c r="D108" s="795">
        <f>Table1[[#This Row],[Source of MRL]]</f>
        <v>0</v>
      </c>
      <c r="E108" s="797">
        <f>Table1[[#This Row],[Chronic RA input value]]</f>
        <v>0</v>
      </c>
      <c r="F108" s="795" t="str">
        <f>Table1[[#This Row],[Chronic RA label]]</f>
        <v/>
      </c>
      <c r="G108" s="797">
        <f>Table1[[#This Row],[Acute RA input value]]</f>
        <v>0</v>
      </c>
      <c r="H108" s="836" t="str">
        <f>Table1[[#This Row],[Acute RA label]]</f>
        <v/>
      </c>
      <c r="J108" s="553">
        <f>Table22[[#This Row],[Code no.]]</f>
        <v>213020</v>
      </c>
      <c r="K108" s="553" t="str">
        <f>Table22[[#This Row],[Commodity or group of commodities to which the MRLs apply]]</f>
        <v>Carrots</v>
      </c>
      <c r="L108" s="553">
        <f>Table22[[#This Row],[Source / type of MRL]]</f>
        <v>0</v>
      </c>
      <c r="M108" s="553">
        <f>Table22[[#This Row],[MRL/ proposed MRL /CXL
(mg/kg)]]</f>
        <v>0</v>
      </c>
      <c r="N108" s="553">
        <f>Table22[[#This Row],[LOQ]]</f>
        <v>0</v>
      </c>
      <c r="O108" s="553">
        <f>Table22[[#This Row],[CFrisk for residue definition]]</f>
        <v>0</v>
      </c>
      <c r="P108" s="553">
        <f>Table22[[#This Row],[PeF (peeling factor RD enforcemen)]]</f>
        <v>0</v>
      </c>
      <c r="Q108" s="553">
        <f>Table22[[#This Row],[STMR-RAC (median residue)]]</f>
        <v>0</v>
      </c>
      <c r="R108" s="553">
        <f>Table22[[#This Row],[HR-RAC (highest residue)]]</f>
        <v>0</v>
      </c>
      <c r="S108" s="553">
        <f>Table22[[#This Row],[VF (alternative variability factor)]]</f>
        <v>0</v>
      </c>
      <c r="T108" s="553">
        <f>Table22[[#This Row],[GAP under assessment]]</f>
        <v>0</v>
      </c>
      <c r="U108" s="553">
        <f>Table22[[#This Row],[Post-harvest treatment]]</f>
        <v>0</v>
      </c>
      <c r="V108" s="553" t="str">
        <f>Table22[[#This Row],[Chronic RA label]]</f>
        <v/>
      </c>
      <c r="W108" s="553">
        <f>Table22[[#This Row],[Chronic RA input value]]</f>
        <v>0</v>
      </c>
      <c r="X108" s="1684" t="str">
        <f>Table22[[#This Row],[Acute RA label]]</f>
        <v/>
      </c>
      <c r="Y108" s="553">
        <f>Table22[[#This Row],[Acute RA input value]]</f>
        <v>0</v>
      </c>
      <c r="Z108" s="786">
        <f>SUM(Table1[[#This Row],[chronic value &lt;&gt;MRL/LOQ]:[acute vlue&lt;&gt;MRL/LOQ]])</f>
        <v>0</v>
      </c>
      <c r="AA108" s="786">
        <f>IF(AND($F$5="Refined calculation mode",Table1[[#This Row],[GAP under assessment]]="Y"),1,IF(OR(Table1[[#This Row],[Chronic RA label]]="LOQ",Table1[[#This Row],[Chronic RA label]]="",Table1[[#This Row],[Chronic RA label]]="MRL"),0,1))</f>
        <v>0</v>
      </c>
      <c r="AB108" s="787">
        <f>IF(OR(Table1[[#This Row],[Acute RA label]]="LOQ",Table1[[#This Row],[Acute RA label]]="",Table1[[#This Row],[Acute RA label]]="MRL"),0,1)</f>
        <v>0</v>
      </c>
    </row>
    <row r="109" spans="1:28" ht="21.75" hidden="1" thickTop="1" x14ac:dyDescent="0.2">
      <c r="A109" s="815">
        <f>Table1[[#This Row],[Code no.]]</f>
        <v>213030</v>
      </c>
      <c r="B109" s="793" t="str">
        <f>Table1[[#This Row],[Commodity or group of commodities to which the MRLs apply]]</f>
        <v>Celeriacs/turnip rooted celeries</v>
      </c>
      <c r="C109" s="794">
        <f>Table1[[#This Row],[MRL/ proposed MRL /CXL
(mg/kg)]]</f>
        <v>0</v>
      </c>
      <c r="D109" s="795">
        <f>Table1[[#This Row],[Source of MRL]]</f>
        <v>0</v>
      </c>
      <c r="E109" s="797">
        <f>Table1[[#This Row],[Chronic RA input value]]</f>
        <v>0</v>
      </c>
      <c r="F109" s="795" t="str">
        <f>Table1[[#This Row],[Chronic RA label]]</f>
        <v/>
      </c>
      <c r="G109" s="797">
        <f>Table1[[#This Row],[Acute RA input value]]</f>
        <v>0</v>
      </c>
      <c r="H109" s="836" t="str">
        <f>Table1[[#This Row],[Acute RA label]]</f>
        <v/>
      </c>
      <c r="J109" s="553">
        <f>Table22[[#This Row],[Code no.]]</f>
        <v>213030</v>
      </c>
      <c r="K109" s="553" t="str">
        <f>Table22[[#This Row],[Commodity or group of commodities to which the MRLs apply]]</f>
        <v>Celeriacs/turnip rooted celeries</v>
      </c>
      <c r="L109" s="553">
        <f>Table22[[#This Row],[Source / type of MRL]]</f>
        <v>0</v>
      </c>
      <c r="M109" s="553">
        <f>Table22[[#This Row],[MRL/ proposed MRL /CXL
(mg/kg)]]</f>
        <v>0</v>
      </c>
      <c r="N109" s="553">
        <f>Table22[[#This Row],[LOQ]]</f>
        <v>0</v>
      </c>
      <c r="O109" s="553">
        <f>Table22[[#This Row],[CFrisk for residue definition]]</f>
        <v>0</v>
      </c>
      <c r="P109" s="553">
        <f>Table22[[#This Row],[PeF (peeling factor RD enforcemen)]]</f>
        <v>0</v>
      </c>
      <c r="Q109" s="553">
        <f>Table22[[#This Row],[STMR-RAC (median residue)]]</f>
        <v>0</v>
      </c>
      <c r="R109" s="553">
        <f>Table22[[#This Row],[HR-RAC (highest residue)]]</f>
        <v>0</v>
      </c>
      <c r="S109" s="553">
        <f>Table22[[#This Row],[VF (alternative variability factor)]]</f>
        <v>0</v>
      </c>
      <c r="T109" s="553">
        <f>Table22[[#This Row],[GAP under assessment]]</f>
        <v>0</v>
      </c>
      <c r="U109" s="553">
        <f>Table22[[#This Row],[Post-harvest treatment]]</f>
        <v>0</v>
      </c>
      <c r="V109" s="553" t="str">
        <f>Table22[[#This Row],[Chronic RA label]]</f>
        <v/>
      </c>
      <c r="W109" s="553">
        <f>Table22[[#This Row],[Chronic RA input value]]</f>
        <v>0</v>
      </c>
      <c r="X109" s="1684" t="str">
        <f>Table22[[#This Row],[Acute RA label]]</f>
        <v/>
      </c>
      <c r="Y109" s="553">
        <f>Table22[[#This Row],[Acute RA input value]]</f>
        <v>0</v>
      </c>
      <c r="Z109" s="786">
        <f>SUM(Table1[[#This Row],[chronic value &lt;&gt;MRL/LOQ]:[acute vlue&lt;&gt;MRL/LOQ]])</f>
        <v>0</v>
      </c>
      <c r="AA109" s="786">
        <f>IF(AND($F$5="Refined calculation mode",Table1[[#This Row],[GAP under assessment]]="Y"),1,IF(OR(Table1[[#This Row],[Chronic RA label]]="LOQ",Table1[[#This Row],[Chronic RA label]]="",Table1[[#This Row],[Chronic RA label]]="MRL"),0,1))</f>
        <v>0</v>
      </c>
      <c r="AB109" s="787">
        <f>IF(OR(Table1[[#This Row],[Acute RA label]]="LOQ",Table1[[#This Row],[Acute RA label]]="",Table1[[#This Row],[Acute RA label]]="MRL"),0,1)</f>
        <v>0</v>
      </c>
    </row>
    <row r="110" spans="1:28" ht="13.5" hidden="1" thickTop="1" x14ac:dyDescent="0.2">
      <c r="A110" s="815">
        <f>Table1[[#This Row],[Code no.]]</f>
        <v>213040</v>
      </c>
      <c r="B110" s="793" t="str">
        <f>Table1[[#This Row],[Commodity or group of commodities to which the MRLs apply]]</f>
        <v>Horseradishes</v>
      </c>
      <c r="C110" s="794">
        <f>Table1[[#This Row],[MRL/ proposed MRL /CXL
(mg/kg)]]</f>
        <v>0</v>
      </c>
      <c r="D110" s="795">
        <f>Table1[[#This Row],[Source of MRL]]</f>
        <v>0</v>
      </c>
      <c r="E110" s="797">
        <f>Table1[[#This Row],[Chronic RA input value]]</f>
        <v>0</v>
      </c>
      <c r="F110" s="795" t="str">
        <f>Table1[[#This Row],[Chronic RA label]]</f>
        <v/>
      </c>
      <c r="G110" s="797">
        <f>Table1[[#This Row],[Acute RA input value]]</f>
        <v>0</v>
      </c>
      <c r="H110" s="836" t="str">
        <f>Table1[[#This Row],[Acute RA label]]</f>
        <v/>
      </c>
      <c r="J110" s="553">
        <f>Table22[[#This Row],[Code no.]]</f>
        <v>213040</v>
      </c>
      <c r="K110" s="553" t="str">
        <f>Table22[[#This Row],[Commodity or group of commodities to which the MRLs apply]]</f>
        <v>Horseradishes</v>
      </c>
      <c r="L110" s="553">
        <f>Table22[[#This Row],[Source / type of MRL]]</f>
        <v>0</v>
      </c>
      <c r="M110" s="553">
        <f>Table22[[#This Row],[MRL/ proposed MRL /CXL
(mg/kg)]]</f>
        <v>0</v>
      </c>
      <c r="N110" s="553">
        <f>Table22[[#This Row],[LOQ]]</f>
        <v>0</v>
      </c>
      <c r="O110" s="553">
        <f>Table22[[#This Row],[CFrisk for residue definition]]</f>
        <v>0</v>
      </c>
      <c r="P110" s="553">
        <f>Table22[[#This Row],[PeF (peeling factor RD enforcemen)]]</f>
        <v>0</v>
      </c>
      <c r="Q110" s="553">
        <f>Table22[[#This Row],[STMR-RAC (median residue)]]</f>
        <v>0</v>
      </c>
      <c r="R110" s="553">
        <f>Table22[[#This Row],[HR-RAC (highest residue)]]</f>
        <v>0</v>
      </c>
      <c r="S110" s="553">
        <f>Table22[[#This Row],[VF (alternative variability factor)]]</f>
        <v>0</v>
      </c>
      <c r="T110" s="553">
        <f>Table22[[#This Row],[GAP under assessment]]</f>
        <v>0</v>
      </c>
      <c r="U110" s="553">
        <f>Table22[[#This Row],[Post-harvest treatment]]</f>
        <v>0</v>
      </c>
      <c r="V110" s="553" t="str">
        <f>Table22[[#This Row],[Chronic RA label]]</f>
        <v/>
      </c>
      <c r="W110" s="553">
        <f>Table22[[#This Row],[Chronic RA input value]]</f>
        <v>0</v>
      </c>
      <c r="X110" s="1684" t="str">
        <f>Table22[[#This Row],[Acute RA label]]</f>
        <v/>
      </c>
      <c r="Y110" s="553">
        <f>Table22[[#This Row],[Acute RA input value]]</f>
        <v>0</v>
      </c>
      <c r="Z110" s="786">
        <f>SUM(Table1[[#This Row],[chronic value &lt;&gt;MRL/LOQ]:[acute vlue&lt;&gt;MRL/LOQ]])</f>
        <v>0</v>
      </c>
      <c r="AA110" s="786">
        <f>IF(AND($F$5="Refined calculation mode",Table1[[#This Row],[GAP under assessment]]="Y"),1,IF(OR(Table1[[#This Row],[Chronic RA label]]="LOQ",Table1[[#This Row],[Chronic RA label]]="",Table1[[#This Row],[Chronic RA label]]="MRL"),0,1))</f>
        <v>0</v>
      </c>
      <c r="AB110" s="787">
        <f>IF(OR(Table1[[#This Row],[Acute RA label]]="LOQ",Table1[[#This Row],[Acute RA label]]="",Table1[[#This Row],[Acute RA label]]="MRL"),0,1)</f>
        <v>0</v>
      </c>
    </row>
    <row r="111" spans="1:28" ht="21.75" hidden="1" thickTop="1" x14ac:dyDescent="0.2">
      <c r="A111" s="815">
        <f>Table1[[#This Row],[Code no.]]</f>
        <v>213050</v>
      </c>
      <c r="B111" s="793" t="str">
        <f>Table1[[#This Row],[Commodity or group of commodities to which the MRLs apply]]</f>
        <v>Jerusalem artichokes</v>
      </c>
      <c r="C111" s="794">
        <f>Table1[[#This Row],[MRL/ proposed MRL /CXL
(mg/kg)]]</f>
        <v>0</v>
      </c>
      <c r="D111" s="795">
        <f>Table1[[#This Row],[Source of MRL]]</f>
        <v>0</v>
      </c>
      <c r="E111" s="797">
        <f>Table1[[#This Row],[Chronic RA input value]]</f>
        <v>0</v>
      </c>
      <c r="F111" s="795" t="str">
        <f>Table1[[#This Row],[Chronic RA label]]</f>
        <v/>
      </c>
      <c r="G111" s="797">
        <f>Table1[[#This Row],[Acute RA input value]]</f>
        <v>0</v>
      </c>
      <c r="H111" s="836" t="str">
        <f>Table1[[#This Row],[Acute RA label]]</f>
        <v/>
      </c>
      <c r="J111" s="553">
        <f>Table22[[#This Row],[Code no.]]</f>
        <v>213050</v>
      </c>
      <c r="K111" s="553" t="str">
        <f>Table22[[#This Row],[Commodity or group of commodities to which the MRLs apply]]</f>
        <v>Jerusalem artichokes</v>
      </c>
      <c r="L111" s="553">
        <f>Table22[[#This Row],[Source / type of MRL]]</f>
        <v>0</v>
      </c>
      <c r="M111" s="553">
        <f>Table22[[#This Row],[MRL/ proposed MRL /CXL
(mg/kg)]]</f>
        <v>0</v>
      </c>
      <c r="N111" s="553">
        <f>Table22[[#This Row],[LOQ]]</f>
        <v>0</v>
      </c>
      <c r="O111" s="553">
        <f>Table22[[#This Row],[CFrisk for residue definition]]</f>
        <v>0</v>
      </c>
      <c r="P111" s="553">
        <f>Table22[[#This Row],[PeF (peeling factor RD enforcemen)]]</f>
        <v>0</v>
      </c>
      <c r="Q111" s="553">
        <f>Table22[[#This Row],[STMR-RAC (median residue)]]</f>
        <v>0</v>
      </c>
      <c r="R111" s="553">
        <f>Table22[[#This Row],[HR-RAC (highest residue)]]</f>
        <v>0</v>
      </c>
      <c r="S111" s="553">
        <f>Table22[[#This Row],[VF (alternative variability factor)]]</f>
        <v>0</v>
      </c>
      <c r="T111" s="553">
        <f>Table22[[#This Row],[GAP under assessment]]</f>
        <v>0</v>
      </c>
      <c r="U111" s="553">
        <f>Table22[[#This Row],[Post-harvest treatment]]</f>
        <v>0</v>
      </c>
      <c r="V111" s="553" t="str">
        <f>Table22[[#This Row],[Chronic RA label]]</f>
        <v/>
      </c>
      <c r="W111" s="553">
        <f>Table22[[#This Row],[Chronic RA input value]]</f>
        <v>0</v>
      </c>
      <c r="X111" s="1684" t="str">
        <f>Table22[[#This Row],[Acute RA label]]</f>
        <v/>
      </c>
      <c r="Y111" s="553">
        <f>Table22[[#This Row],[Acute RA input value]]</f>
        <v>0</v>
      </c>
      <c r="Z111" s="786">
        <f>SUM(Table1[[#This Row],[chronic value &lt;&gt;MRL/LOQ]:[acute vlue&lt;&gt;MRL/LOQ]])</f>
        <v>0</v>
      </c>
      <c r="AA111" s="786">
        <f>IF(AND($F$5="Refined calculation mode",Table1[[#This Row],[GAP under assessment]]="Y"),1,IF(OR(Table1[[#This Row],[Chronic RA label]]="LOQ",Table1[[#This Row],[Chronic RA label]]="",Table1[[#This Row],[Chronic RA label]]="MRL"),0,1))</f>
        <v>0</v>
      </c>
      <c r="AB111" s="787">
        <f>IF(OR(Table1[[#This Row],[Acute RA label]]="LOQ",Table1[[#This Row],[Acute RA label]]="",Table1[[#This Row],[Acute RA label]]="MRL"),0,1)</f>
        <v>0</v>
      </c>
    </row>
    <row r="112" spans="1:28" ht="13.5" hidden="1" thickTop="1" x14ac:dyDescent="0.2">
      <c r="A112" s="815">
        <f>Table1[[#This Row],[Code no.]]</f>
        <v>213060</v>
      </c>
      <c r="B112" s="793" t="str">
        <f>Table1[[#This Row],[Commodity or group of commodities to which the MRLs apply]]</f>
        <v>Parsnips</v>
      </c>
      <c r="C112" s="794">
        <f>Table1[[#This Row],[MRL/ proposed MRL /CXL
(mg/kg)]]</f>
        <v>0</v>
      </c>
      <c r="D112" s="795">
        <f>Table1[[#This Row],[Source of MRL]]</f>
        <v>0</v>
      </c>
      <c r="E112" s="797">
        <f>Table1[[#This Row],[Chronic RA input value]]</f>
        <v>0</v>
      </c>
      <c r="F112" s="795" t="str">
        <f>Table1[[#This Row],[Chronic RA label]]</f>
        <v/>
      </c>
      <c r="G112" s="797">
        <f>Table1[[#This Row],[Acute RA input value]]</f>
        <v>0</v>
      </c>
      <c r="H112" s="836" t="str">
        <f>Table1[[#This Row],[Acute RA label]]</f>
        <v/>
      </c>
      <c r="J112" s="553">
        <f>Table22[[#This Row],[Code no.]]</f>
        <v>213060</v>
      </c>
      <c r="K112" s="553" t="str">
        <f>Table22[[#This Row],[Commodity or group of commodities to which the MRLs apply]]</f>
        <v>Parsnips</v>
      </c>
      <c r="L112" s="553">
        <f>Table22[[#This Row],[Source / type of MRL]]</f>
        <v>0</v>
      </c>
      <c r="M112" s="553">
        <f>Table22[[#This Row],[MRL/ proposed MRL /CXL
(mg/kg)]]</f>
        <v>0</v>
      </c>
      <c r="N112" s="553">
        <f>Table22[[#This Row],[LOQ]]</f>
        <v>0</v>
      </c>
      <c r="O112" s="553">
        <f>Table22[[#This Row],[CFrisk for residue definition]]</f>
        <v>0</v>
      </c>
      <c r="P112" s="553">
        <f>Table22[[#This Row],[PeF (peeling factor RD enforcemen)]]</f>
        <v>0</v>
      </c>
      <c r="Q112" s="553">
        <f>Table22[[#This Row],[STMR-RAC (median residue)]]</f>
        <v>0</v>
      </c>
      <c r="R112" s="553">
        <f>Table22[[#This Row],[HR-RAC (highest residue)]]</f>
        <v>0</v>
      </c>
      <c r="S112" s="553">
        <f>Table22[[#This Row],[VF (alternative variability factor)]]</f>
        <v>0</v>
      </c>
      <c r="T112" s="553">
        <f>Table22[[#This Row],[GAP under assessment]]</f>
        <v>0</v>
      </c>
      <c r="U112" s="553">
        <f>Table22[[#This Row],[Post-harvest treatment]]</f>
        <v>0</v>
      </c>
      <c r="V112" s="553" t="str">
        <f>Table22[[#This Row],[Chronic RA label]]</f>
        <v/>
      </c>
      <c r="W112" s="553">
        <f>Table22[[#This Row],[Chronic RA input value]]</f>
        <v>0</v>
      </c>
      <c r="X112" s="1684" t="str">
        <f>Table22[[#This Row],[Acute RA label]]</f>
        <v/>
      </c>
      <c r="Y112" s="553">
        <f>Table22[[#This Row],[Acute RA input value]]</f>
        <v>0</v>
      </c>
      <c r="Z112" s="786">
        <f>SUM(Table1[[#This Row],[chronic value &lt;&gt;MRL/LOQ]:[acute vlue&lt;&gt;MRL/LOQ]])</f>
        <v>0</v>
      </c>
      <c r="AA112" s="786">
        <f>IF(AND($F$5="Refined calculation mode",Table1[[#This Row],[GAP under assessment]]="Y"),1,IF(OR(Table1[[#This Row],[Chronic RA label]]="LOQ",Table1[[#This Row],[Chronic RA label]]="",Table1[[#This Row],[Chronic RA label]]="MRL"),0,1))</f>
        <v>0</v>
      </c>
      <c r="AB112" s="787">
        <f>IF(OR(Table1[[#This Row],[Acute RA label]]="LOQ",Table1[[#This Row],[Acute RA label]]="",Table1[[#This Row],[Acute RA label]]="MRL"),0,1)</f>
        <v>0</v>
      </c>
    </row>
    <row r="113" spans="1:28" ht="32.25" hidden="1" thickTop="1" x14ac:dyDescent="0.2">
      <c r="A113" s="815">
        <f>Table1[[#This Row],[Code no.]]</f>
        <v>213070</v>
      </c>
      <c r="B113" s="793" t="str">
        <f>Table1[[#This Row],[Commodity or group of commodities to which the MRLs apply]]</f>
        <v>Parsley roots/Hamburg roots parsley</v>
      </c>
      <c r="C113" s="794">
        <f>Table1[[#This Row],[MRL/ proposed MRL /CXL
(mg/kg)]]</f>
        <v>0</v>
      </c>
      <c r="D113" s="795">
        <f>Table1[[#This Row],[Source of MRL]]</f>
        <v>0</v>
      </c>
      <c r="E113" s="797">
        <f>Table1[[#This Row],[Chronic RA input value]]</f>
        <v>0</v>
      </c>
      <c r="F113" s="795" t="str">
        <f>Table1[[#This Row],[Chronic RA label]]</f>
        <v/>
      </c>
      <c r="G113" s="797">
        <f>Table1[[#This Row],[Acute RA input value]]</f>
        <v>0</v>
      </c>
      <c r="H113" s="836" t="str">
        <f>Table1[[#This Row],[Acute RA label]]</f>
        <v/>
      </c>
      <c r="J113" s="553">
        <f>Table22[[#This Row],[Code no.]]</f>
        <v>213070</v>
      </c>
      <c r="K113" s="553" t="str">
        <f>Table22[[#This Row],[Commodity or group of commodities to which the MRLs apply]]</f>
        <v>Parsley roots/Hamburg roots parsley</v>
      </c>
      <c r="L113" s="553">
        <f>Table22[[#This Row],[Source / type of MRL]]</f>
        <v>0</v>
      </c>
      <c r="M113" s="553">
        <f>Table22[[#This Row],[MRL/ proposed MRL /CXL
(mg/kg)]]</f>
        <v>0</v>
      </c>
      <c r="N113" s="553">
        <f>Table22[[#This Row],[LOQ]]</f>
        <v>0</v>
      </c>
      <c r="O113" s="553">
        <f>Table22[[#This Row],[CFrisk for residue definition]]</f>
        <v>0</v>
      </c>
      <c r="P113" s="553">
        <f>Table22[[#This Row],[PeF (peeling factor RD enforcemen)]]</f>
        <v>0</v>
      </c>
      <c r="Q113" s="553">
        <f>Table22[[#This Row],[STMR-RAC (median residue)]]</f>
        <v>0</v>
      </c>
      <c r="R113" s="553">
        <f>Table22[[#This Row],[HR-RAC (highest residue)]]</f>
        <v>0</v>
      </c>
      <c r="S113" s="553">
        <f>Table22[[#This Row],[VF (alternative variability factor)]]</f>
        <v>0</v>
      </c>
      <c r="T113" s="553">
        <f>Table22[[#This Row],[GAP under assessment]]</f>
        <v>0</v>
      </c>
      <c r="U113" s="553">
        <f>Table22[[#This Row],[Post-harvest treatment]]</f>
        <v>0</v>
      </c>
      <c r="V113" s="553" t="str">
        <f>Table22[[#This Row],[Chronic RA label]]</f>
        <v/>
      </c>
      <c r="W113" s="553">
        <f>Table22[[#This Row],[Chronic RA input value]]</f>
        <v>0</v>
      </c>
      <c r="X113" s="1684" t="str">
        <f>Table22[[#This Row],[Acute RA label]]</f>
        <v/>
      </c>
      <c r="Y113" s="553">
        <f>Table22[[#This Row],[Acute RA input value]]</f>
        <v>0</v>
      </c>
      <c r="Z113" s="786">
        <f>SUM(Table1[[#This Row],[chronic value &lt;&gt;MRL/LOQ]:[acute vlue&lt;&gt;MRL/LOQ]])</f>
        <v>0</v>
      </c>
      <c r="AA113" s="786">
        <f>IF(AND($F$5="Refined calculation mode",Table1[[#This Row],[GAP under assessment]]="Y"),1,IF(OR(Table1[[#This Row],[Chronic RA label]]="LOQ",Table1[[#This Row],[Chronic RA label]]="",Table1[[#This Row],[Chronic RA label]]="MRL"),0,1))</f>
        <v>0</v>
      </c>
      <c r="AB113" s="787">
        <f>IF(OR(Table1[[#This Row],[Acute RA label]]="LOQ",Table1[[#This Row],[Acute RA label]]="",Table1[[#This Row],[Acute RA label]]="MRL"),0,1)</f>
        <v>0</v>
      </c>
    </row>
    <row r="114" spans="1:28" ht="13.5" hidden="1" thickTop="1" x14ac:dyDescent="0.2">
      <c r="A114" s="815">
        <f>Table1[[#This Row],[Code no.]]</f>
        <v>213080</v>
      </c>
      <c r="B114" s="793" t="str">
        <f>Table1[[#This Row],[Commodity or group of commodities to which the MRLs apply]]</f>
        <v>Radishes</v>
      </c>
      <c r="C114" s="794">
        <f>Table1[[#This Row],[MRL/ proposed MRL /CXL
(mg/kg)]]</f>
        <v>0</v>
      </c>
      <c r="D114" s="795">
        <f>Table1[[#This Row],[Source of MRL]]</f>
        <v>0</v>
      </c>
      <c r="E114" s="797">
        <f>Table1[[#This Row],[Chronic RA input value]]</f>
        <v>0</v>
      </c>
      <c r="F114" s="795" t="str">
        <f>Table1[[#This Row],[Chronic RA label]]</f>
        <v/>
      </c>
      <c r="G114" s="797">
        <f>Table1[[#This Row],[Acute RA input value]]</f>
        <v>0</v>
      </c>
      <c r="H114" s="836" t="str">
        <f>Table1[[#This Row],[Acute RA label]]</f>
        <v/>
      </c>
      <c r="J114" s="553">
        <f>Table22[[#This Row],[Code no.]]</f>
        <v>213080</v>
      </c>
      <c r="K114" s="553" t="str">
        <f>Table22[[#This Row],[Commodity or group of commodities to which the MRLs apply]]</f>
        <v>Radishes</v>
      </c>
      <c r="L114" s="553">
        <f>Table22[[#This Row],[Source / type of MRL]]</f>
        <v>0</v>
      </c>
      <c r="M114" s="553">
        <f>Table22[[#This Row],[MRL/ proposed MRL /CXL
(mg/kg)]]</f>
        <v>0</v>
      </c>
      <c r="N114" s="553">
        <f>Table22[[#This Row],[LOQ]]</f>
        <v>0</v>
      </c>
      <c r="O114" s="553">
        <f>Table22[[#This Row],[CFrisk for residue definition]]</f>
        <v>0</v>
      </c>
      <c r="P114" s="553">
        <f>Table22[[#This Row],[PeF (peeling factor RD enforcemen)]]</f>
        <v>0</v>
      </c>
      <c r="Q114" s="553">
        <f>Table22[[#This Row],[STMR-RAC (median residue)]]</f>
        <v>0</v>
      </c>
      <c r="R114" s="553">
        <f>Table22[[#This Row],[HR-RAC (highest residue)]]</f>
        <v>0</v>
      </c>
      <c r="S114" s="553">
        <f>Table22[[#This Row],[VF (alternative variability factor)]]</f>
        <v>0</v>
      </c>
      <c r="T114" s="553">
        <f>Table22[[#This Row],[GAP under assessment]]</f>
        <v>0</v>
      </c>
      <c r="U114" s="553">
        <f>Table22[[#This Row],[Post-harvest treatment]]</f>
        <v>0</v>
      </c>
      <c r="V114" s="553" t="str">
        <f>Table22[[#This Row],[Chronic RA label]]</f>
        <v/>
      </c>
      <c r="W114" s="553">
        <f>Table22[[#This Row],[Chronic RA input value]]</f>
        <v>0</v>
      </c>
      <c r="X114" s="1684" t="str">
        <f>Table22[[#This Row],[Acute RA label]]</f>
        <v/>
      </c>
      <c r="Y114" s="553">
        <f>Table22[[#This Row],[Acute RA input value]]</f>
        <v>0</v>
      </c>
      <c r="Z114" s="786">
        <f>SUM(Table1[[#This Row],[chronic value &lt;&gt;MRL/LOQ]:[acute vlue&lt;&gt;MRL/LOQ]])</f>
        <v>0</v>
      </c>
      <c r="AA114" s="786">
        <f>IF(AND($F$5="Refined calculation mode",Table1[[#This Row],[GAP under assessment]]="Y"),1,IF(OR(Table1[[#This Row],[Chronic RA label]]="LOQ",Table1[[#This Row],[Chronic RA label]]="",Table1[[#This Row],[Chronic RA label]]="MRL"),0,1))</f>
        <v>0</v>
      </c>
      <c r="AB114" s="787">
        <f>IF(OR(Table1[[#This Row],[Acute RA label]]="LOQ",Table1[[#This Row],[Acute RA label]]="",Table1[[#This Row],[Acute RA label]]="MRL"),0,1)</f>
        <v>0</v>
      </c>
    </row>
    <row r="115" spans="1:28" ht="13.5" hidden="1" thickTop="1" x14ac:dyDescent="0.2">
      <c r="A115" s="815">
        <f>Table1[[#This Row],[Code no.]]</f>
        <v>213090</v>
      </c>
      <c r="B115" s="793" t="str">
        <f>Table1[[#This Row],[Commodity or group of commodities to which the MRLs apply]]</f>
        <v>Salsifies</v>
      </c>
      <c r="C115" s="794">
        <f>Table1[[#This Row],[MRL/ proposed MRL /CXL
(mg/kg)]]</f>
        <v>0</v>
      </c>
      <c r="D115" s="795">
        <f>Table1[[#This Row],[Source of MRL]]</f>
        <v>0</v>
      </c>
      <c r="E115" s="797">
        <f>Table1[[#This Row],[Chronic RA input value]]</f>
        <v>0</v>
      </c>
      <c r="F115" s="795" t="str">
        <f>Table1[[#This Row],[Chronic RA label]]</f>
        <v/>
      </c>
      <c r="G115" s="797">
        <f>Table1[[#This Row],[Acute RA input value]]</f>
        <v>0</v>
      </c>
      <c r="H115" s="836" t="str">
        <f>Table1[[#This Row],[Acute RA label]]</f>
        <v/>
      </c>
      <c r="J115" s="553">
        <f>Table22[[#This Row],[Code no.]]</f>
        <v>213090</v>
      </c>
      <c r="K115" s="553" t="str">
        <f>Table22[[#This Row],[Commodity or group of commodities to which the MRLs apply]]</f>
        <v>Salsifies</v>
      </c>
      <c r="L115" s="553">
        <f>Table22[[#This Row],[Source / type of MRL]]</f>
        <v>0</v>
      </c>
      <c r="M115" s="553">
        <f>Table22[[#This Row],[MRL/ proposed MRL /CXL
(mg/kg)]]</f>
        <v>0</v>
      </c>
      <c r="N115" s="553">
        <f>Table22[[#This Row],[LOQ]]</f>
        <v>0</v>
      </c>
      <c r="O115" s="553">
        <f>Table22[[#This Row],[CFrisk for residue definition]]</f>
        <v>0</v>
      </c>
      <c r="P115" s="553">
        <f>Table22[[#This Row],[PeF (peeling factor RD enforcemen)]]</f>
        <v>0</v>
      </c>
      <c r="Q115" s="553">
        <f>Table22[[#This Row],[STMR-RAC (median residue)]]</f>
        <v>0</v>
      </c>
      <c r="R115" s="553">
        <f>Table22[[#This Row],[HR-RAC (highest residue)]]</f>
        <v>0</v>
      </c>
      <c r="S115" s="553">
        <f>Table22[[#This Row],[VF (alternative variability factor)]]</f>
        <v>0</v>
      </c>
      <c r="T115" s="553">
        <f>Table22[[#This Row],[GAP under assessment]]</f>
        <v>0</v>
      </c>
      <c r="U115" s="553">
        <f>Table22[[#This Row],[Post-harvest treatment]]</f>
        <v>0</v>
      </c>
      <c r="V115" s="553" t="str">
        <f>Table22[[#This Row],[Chronic RA label]]</f>
        <v/>
      </c>
      <c r="W115" s="553">
        <f>Table22[[#This Row],[Chronic RA input value]]</f>
        <v>0</v>
      </c>
      <c r="X115" s="1684" t="str">
        <f>Table22[[#This Row],[Acute RA label]]</f>
        <v/>
      </c>
      <c r="Y115" s="553">
        <f>Table22[[#This Row],[Acute RA input value]]</f>
        <v>0</v>
      </c>
      <c r="Z115" s="786">
        <f>SUM(Table1[[#This Row],[chronic value &lt;&gt;MRL/LOQ]:[acute vlue&lt;&gt;MRL/LOQ]])</f>
        <v>0</v>
      </c>
      <c r="AA115" s="786">
        <f>IF(AND($F$5="Refined calculation mode",Table1[[#This Row],[GAP under assessment]]="Y"),1,IF(OR(Table1[[#This Row],[Chronic RA label]]="LOQ",Table1[[#This Row],[Chronic RA label]]="",Table1[[#This Row],[Chronic RA label]]="MRL"),0,1))</f>
        <v>0</v>
      </c>
      <c r="AB115" s="787">
        <f>IF(OR(Table1[[#This Row],[Acute RA label]]="LOQ",Table1[[#This Row],[Acute RA label]]="",Table1[[#This Row],[Acute RA label]]="MRL"),0,1)</f>
        <v>0</v>
      </c>
    </row>
    <row r="116" spans="1:28" ht="13.5" hidden="1" thickTop="1" x14ac:dyDescent="0.2">
      <c r="A116" s="815">
        <f>Table1[[#This Row],[Code no.]]</f>
        <v>213100</v>
      </c>
      <c r="B116" s="793" t="str">
        <f>Table1[[#This Row],[Commodity or group of commodities to which the MRLs apply]]</f>
        <v>Swedes/rutabagas</v>
      </c>
      <c r="C116" s="794">
        <f>Table1[[#This Row],[MRL/ proposed MRL /CXL
(mg/kg)]]</f>
        <v>0</v>
      </c>
      <c r="D116" s="795">
        <f>Table1[[#This Row],[Source of MRL]]</f>
        <v>0</v>
      </c>
      <c r="E116" s="797">
        <f>Table1[[#This Row],[Chronic RA input value]]</f>
        <v>0</v>
      </c>
      <c r="F116" s="795" t="str">
        <f>Table1[[#This Row],[Chronic RA label]]</f>
        <v/>
      </c>
      <c r="G116" s="797">
        <f>Table1[[#This Row],[Acute RA input value]]</f>
        <v>0</v>
      </c>
      <c r="H116" s="836" t="str">
        <f>Table1[[#This Row],[Acute RA label]]</f>
        <v/>
      </c>
      <c r="J116" s="553">
        <f>Table22[[#This Row],[Code no.]]</f>
        <v>213100</v>
      </c>
      <c r="K116" s="553" t="str">
        <f>Table22[[#This Row],[Commodity or group of commodities to which the MRLs apply]]</f>
        <v>Swedes/rutabagas</v>
      </c>
      <c r="L116" s="553">
        <f>Table22[[#This Row],[Source / type of MRL]]</f>
        <v>0</v>
      </c>
      <c r="M116" s="553">
        <f>Table22[[#This Row],[MRL/ proposed MRL /CXL
(mg/kg)]]</f>
        <v>0</v>
      </c>
      <c r="N116" s="553">
        <f>Table22[[#This Row],[LOQ]]</f>
        <v>0</v>
      </c>
      <c r="O116" s="553">
        <f>Table22[[#This Row],[CFrisk for residue definition]]</f>
        <v>0</v>
      </c>
      <c r="P116" s="553">
        <f>Table22[[#This Row],[PeF (peeling factor RD enforcemen)]]</f>
        <v>0</v>
      </c>
      <c r="Q116" s="553">
        <f>Table22[[#This Row],[STMR-RAC (median residue)]]</f>
        <v>0</v>
      </c>
      <c r="R116" s="553">
        <f>Table22[[#This Row],[HR-RAC (highest residue)]]</f>
        <v>0</v>
      </c>
      <c r="S116" s="553">
        <f>Table22[[#This Row],[VF (alternative variability factor)]]</f>
        <v>0</v>
      </c>
      <c r="T116" s="553">
        <f>Table22[[#This Row],[GAP under assessment]]</f>
        <v>0</v>
      </c>
      <c r="U116" s="553">
        <f>Table22[[#This Row],[Post-harvest treatment]]</f>
        <v>0</v>
      </c>
      <c r="V116" s="553" t="str">
        <f>Table22[[#This Row],[Chronic RA label]]</f>
        <v/>
      </c>
      <c r="W116" s="553">
        <f>Table22[[#This Row],[Chronic RA input value]]</f>
        <v>0</v>
      </c>
      <c r="X116" s="1684" t="str">
        <f>Table22[[#This Row],[Acute RA label]]</f>
        <v/>
      </c>
      <c r="Y116" s="553">
        <f>Table22[[#This Row],[Acute RA input value]]</f>
        <v>0</v>
      </c>
      <c r="Z116" s="786">
        <f>SUM(Table1[[#This Row],[chronic value &lt;&gt;MRL/LOQ]:[acute vlue&lt;&gt;MRL/LOQ]])</f>
        <v>0</v>
      </c>
      <c r="AA116" s="786">
        <f>IF(AND($F$5="Refined calculation mode",Table1[[#This Row],[GAP under assessment]]="Y"),1,IF(OR(Table1[[#This Row],[Chronic RA label]]="LOQ",Table1[[#This Row],[Chronic RA label]]="",Table1[[#This Row],[Chronic RA label]]="MRL"),0,1))</f>
        <v>0</v>
      </c>
      <c r="AB116" s="787">
        <f>IF(OR(Table1[[#This Row],[Acute RA label]]="LOQ",Table1[[#This Row],[Acute RA label]]="",Table1[[#This Row],[Acute RA label]]="MRL"),0,1)</f>
        <v>0</v>
      </c>
    </row>
    <row r="117" spans="1:28" ht="13.5" hidden="1" thickTop="1" x14ac:dyDescent="0.2">
      <c r="A117" s="815">
        <f>Table1[[#This Row],[Code no.]]</f>
        <v>213110</v>
      </c>
      <c r="B117" s="793" t="str">
        <f>Table1[[#This Row],[Commodity or group of commodities to which the MRLs apply]]</f>
        <v>Turnips</v>
      </c>
      <c r="C117" s="794">
        <f>Table1[[#This Row],[MRL/ proposed MRL /CXL
(mg/kg)]]</f>
        <v>0</v>
      </c>
      <c r="D117" s="795">
        <f>Table1[[#This Row],[Source of MRL]]</f>
        <v>0</v>
      </c>
      <c r="E117" s="797">
        <f>Table1[[#This Row],[Chronic RA input value]]</f>
        <v>0</v>
      </c>
      <c r="F117" s="795" t="str">
        <f>Table1[[#This Row],[Chronic RA label]]</f>
        <v/>
      </c>
      <c r="G117" s="797">
        <f>Table1[[#This Row],[Acute RA input value]]</f>
        <v>0</v>
      </c>
      <c r="H117" s="836" t="str">
        <f>Table1[[#This Row],[Acute RA label]]</f>
        <v/>
      </c>
      <c r="J117" s="553">
        <f>Table22[[#This Row],[Code no.]]</f>
        <v>213110</v>
      </c>
      <c r="K117" s="553" t="str">
        <f>Table22[[#This Row],[Commodity or group of commodities to which the MRLs apply]]</f>
        <v>Turnips</v>
      </c>
      <c r="L117" s="553">
        <f>Table22[[#This Row],[Source / type of MRL]]</f>
        <v>0</v>
      </c>
      <c r="M117" s="553">
        <f>Table22[[#This Row],[MRL/ proposed MRL /CXL
(mg/kg)]]</f>
        <v>0</v>
      </c>
      <c r="N117" s="553">
        <f>Table22[[#This Row],[LOQ]]</f>
        <v>0</v>
      </c>
      <c r="O117" s="553">
        <f>Table22[[#This Row],[CFrisk for residue definition]]</f>
        <v>0</v>
      </c>
      <c r="P117" s="553">
        <f>Table22[[#This Row],[PeF (peeling factor RD enforcemen)]]</f>
        <v>0</v>
      </c>
      <c r="Q117" s="553">
        <f>Table22[[#This Row],[STMR-RAC (median residue)]]</f>
        <v>0</v>
      </c>
      <c r="R117" s="553">
        <f>Table22[[#This Row],[HR-RAC (highest residue)]]</f>
        <v>0</v>
      </c>
      <c r="S117" s="553">
        <f>Table22[[#This Row],[VF (alternative variability factor)]]</f>
        <v>0</v>
      </c>
      <c r="T117" s="553">
        <f>Table22[[#This Row],[GAP under assessment]]</f>
        <v>0</v>
      </c>
      <c r="U117" s="553">
        <f>Table22[[#This Row],[Post-harvest treatment]]</f>
        <v>0</v>
      </c>
      <c r="V117" s="553" t="str">
        <f>Table22[[#This Row],[Chronic RA label]]</f>
        <v/>
      </c>
      <c r="W117" s="553">
        <f>Table22[[#This Row],[Chronic RA input value]]</f>
        <v>0</v>
      </c>
      <c r="X117" s="1684" t="str">
        <f>Table22[[#This Row],[Acute RA label]]</f>
        <v/>
      </c>
      <c r="Y117" s="553">
        <f>Table22[[#This Row],[Acute RA input value]]</f>
        <v>0</v>
      </c>
      <c r="Z117" s="786">
        <f>SUM(Table1[[#This Row],[chronic value &lt;&gt;MRL/LOQ]:[acute vlue&lt;&gt;MRL/LOQ]])</f>
        <v>0</v>
      </c>
      <c r="AA117" s="786">
        <f>IF(AND($F$5="Refined calculation mode",Table1[[#This Row],[GAP under assessment]]="Y"),1,IF(OR(Table1[[#This Row],[Chronic RA label]]="LOQ",Table1[[#This Row],[Chronic RA label]]="",Table1[[#This Row],[Chronic RA label]]="MRL"),0,1))</f>
        <v>0</v>
      </c>
      <c r="AB117" s="787">
        <f>IF(OR(Table1[[#This Row],[Acute RA label]]="LOQ",Table1[[#This Row],[Acute RA label]]="",Table1[[#This Row],[Acute RA label]]="MRL"),0,1)</f>
        <v>0</v>
      </c>
    </row>
    <row r="118" spans="1:28" ht="32.25" hidden="1" thickTop="1" x14ac:dyDescent="0.2">
      <c r="A118" s="815">
        <f>Table1[[#This Row],[Code no.]]</f>
        <v>213990</v>
      </c>
      <c r="B118" s="793" t="str">
        <f>Table1[[#This Row],[Commodity or group of commodities to which the MRLs apply]]</f>
        <v xml:space="preserve">Other other root and tuber vegetables </v>
      </c>
      <c r="C118" s="794">
        <f>Table1[[#This Row],[MRL/ proposed MRL /CXL
(mg/kg)]]</f>
        <v>0</v>
      </c>
      <c r="D118" s="795">
        <f>Table1[[#This Row],[Source of MRL]]</f>
        <v>0</v>
      </c>
      <c r="E118" s="797">
        <f>Table1[[#This Row],[Chronic RA input value]]</f>
        <v>0</v>
      </c>
      <c r="F118" s="795" t="str">
        <f>Table1[[#This Row],[Chronic RA label]]</f>
        <v/>
      </c>
      <c r="G118" s="797">
        <f>Table1[[#This Row],[Acute RA input value]]</f>
        <v>0</v>
      </c>
      <c r="H118" s="836">
        <f>Table1[[#This Row],[Acute RA label]]</f>
        <v>0</v>
      </c>
      <c r="J118" s="553">
        <f>Table22[[#This Row],[Code no.]]</f>
        <v>213990</v>
      </c>
      <c r="K118" s="553" t="str">
        <f>Table22[[#This Row],[Commodity or group of commodities to which the MRLs apply]]</f>
        <v xml:space="preserve">Other other root and tuber vegetables </v>
      </c>
      <c r="L118" s="553">
        <f>Table22[[#This Row],[Source / type of MRL]]</f>
        <v>0</v>
      </c>
      <c r="M118" s="553">
        <f>Table22[[#This Row],[MRL/ proposed MRL /CXL
(mg/kg)]]</f>
        <v>0</v>
      </c>
      <c r="N118" s="553">
        <f>Table22[[#This Row],[LOQ]]</f>
        <v>0</v>
      </c>
      <c r="O118" s="553">
        <f>Table22[[#This Row],[CFrisk for residue definition]]</f>
        <v>0</v>
      </c>
      <c r="P118" s="553">
        <f>Table22[[#This Row],[PeF (peeling factor RD enforcemen)]]</f>
        <v>0</v>
      </c>
      <c r="Q118" s="553">
        <f>Table22[[#This Row],[STMR-RAC (median residue)]]</f>
        <v>0</v>
      </c>
      <c r="R118" s="553">
        <f>Table22[[#This Row],[HR-RAC (highest residue)]]</f>
        <v>0</v>
      </c>
      <c r="S118" s="553">
        <f>Table22[[#This Row],[VF (alternative variability factor)]]</f>
        <v>0</v>
      </c>
      <c r="T118" s="553">
        <f>Table22[[#This Row],[GAP under assessment]]</f>
        <v>0</v>
      </c>
      <c r="U118" s="553">
        <f>Table22[[#This Row],[Post-harvest treatment]]</f>
        <v>0</v>
      </c>
      <c r="V118" s="553" t="str">
        <f>Table22[[#This Row],[Chronic RA label]]</f>
        <v/>
      </c>
      <c r="W118" s="553">
        <f>Table22[[#This Row],[Chronic RA input value]]</f>
        <v>0</v>
      </c>
      <c r="X118" s="1684"/>
      <c r="Y118" s="553">
        <f>Table22[[#This Row],[Acute RA input value]]</f>
        <v>0</v>
      </c>
      <c r="Z118" s="786">
        <f>SUM(Table1[[#This Row],[chronic value &lt;&gt;MRL/LOQ]:[acute vlue&lt;&gt;MRL/LOQ]])</f>
        <v>0</v>
      </c>
      <c r="AA118" s="786">
        <f>IF(AND($F$5="Refined calculation mode",Table1[[#This Row],[GAP under assessment]]="Y"),1,IF(OR(Table1[[#This Row],[Chronic RA label]]="LOQ",Table1[[#This Row],[Chronic RA label]]="",Table1[[#This Row],[Chronic RA label]]="MRL"),0,1))</f>
        <v>0</v>
      </c>
      <c r="AB118" s="787">
        <f>IF(OR(Table1[[#This Row],[Acute RA label]]="LOQ",Table1[[#This Row],[Acute RA label]]="",Table1[[#This Row],[Acute RA label]]="MRL"),0,1)</f>
        <v>0</v>
      </c>
    </row>
    <row r="119" spans="1:28" ht="13.5" hidden="1" thickTop="1" x14ac:dyDescent="0.2">
      <c r="A119" s="815">
        <f>Table1[[#This Row],[Code no.]]</f>
        <v>220000</v>
      </c>
      <c r="B119" s="793" t="str">
        <f>Table1[[#This Row],[Commodity or group of commodities to which the MRLs apply]]</f>
        <v>Bulb vegetables</v>
      </c>
      <c r="C119" s="794">
        <f>Table1[[#This Row],[MRL/ proposed MRL /CXL
(mg/kg)]]</f>
        <v>0</v>
      </c>
      <c r="D119" s="795">
        <f>Table1[[#This Row],[Source of MRL]]</f>
        <v>0</v>
      </c>
      <c r="E119" s="797">
        <f>Table1[[#This Row],[Chronic RA input value]]</f>
        <v>0</v>
      </c>
      <c r="F119" s="795">
        <f>Table1[[#This Row],[Chronic RA label]]</f>
        <v>0</v>
      </c>
      <c r="G119" s="797">
        <f>Table1[[#This Row],[Acute RA input value]]</f>
        <v>0</v>
      </c>
      <c r="H119" s="836">
        <f>Table1[[#This Row],[Acute RA label]]</f>
        <v>0</v>
      </c>
      <c r="J119" s="553">
        <f>Table22[[#This Row],[Code no.]]</f>
        <v>220000</v>
      </c>
      <c r="K119" s="553" t="str">
        <f>Table22[[#This Row],[Commodity or group of commodities to which the MRLs apply]]</f>
        <v>Bulb vegetables</v>
      </c>
      <c r="L119" s="553">
        <f>Table22[[#This Row],[Source / type of MRL]]</f>
        <v>0</v>
      </c>
      <c r="M119" s="553">
        <f>Table22[[#This Row],[MRL/ proposed MRL /CXL
(mg/kg)]]</f>
        <v>0</v>
      </c>
      <c r="N119" s="553">
        <f>Table22[[#This Row],[LOQ]]</f>
        <v>0</v>
      </c>
      <c r="O119" s="553">
        <f>Table22[[#This Row],[CFrisk for residue definition]]</f>
        <v>0</v>
      </c>
      <c r="P119" s="553">
        <f>Table22[[#This Row],[PeF (peeling factor RD enforcemen)]]</f>
        <v>0</v>
      </c>
      <c r="Q119" s="553">
        <f>Table22[[#This Row],[STMR-RAC (median residue)]]</f>
        <v>0</v>
      </c>
      <c r="R119" s="553">
        <f>Table22[[#This Row],[HR-RAC (highest residue)]]</f>
        <v>0</v>
      </c>
      <c r="S119" s="553">
        <f>Table22[[#This Row],[VF (alternative variability factor)]]</f>
        <v>0</v>
      </c>
      <c r="T119" s="553">
        <f>Table22[[#This Row],[GAP under assessment]]</f>
        <v>0</v>
      </c>
      <c r="U119" s="553">
        <f>Table22[[#This Row],[Post-harvest treatment]]</f>
        <v>0</v>
      </c>
      <c r="V119" s="553"/>
      <c r="W119" s="553">
        <f>Table22[[#This Row],[Chronic RA input value]]</f>
        <v>0</v>
      </c>
      <c r="X119" s="1684"/>
      <c r="Y119" s="553">
        <f>Table22[[#This Row],[Acute RA input value]]</f>
        <v>0</v>
      </c>
      <c r="Z119" s="786">
        <f>SUM(Table1[[#This Row],[chronic value &lt;&gt;MRL/LOQ]:[acute vlue&lt;&gt;MRL/LOQ]])</f>
        <v>0</v>
      </c>
      <c r="AA119" s="786">
        <f>IF(AND($F$5="Refined calculation mode",Table1[[#This Row],[GAP under assessment]]="Y"),1,IF(OR(Table1[[#This Row],[Chronic RA label]]="LOQ",Table1[[#This Row],[Chronic RA label]]="",Table1[[#This Row],[Chronic RA label]]="MRL"),0,1))</f>
        <v>0</v>
      </c>
      <c r="AB119" s="787">
        <f>IF(OR(Table1[[#This Row],[Acute RA label]]="LOQ",Table1[[#This Row],[Acute RA label]]="",Table1[[#This Row],[Acute RA label]]="MRL"),0,1)</f>
        <v>0</v>
      </c>
    </row>
    <row r="120" spans="1:28" ht="13.5" hidden="1" thickTop="1" x14ac:dyDescent="0.2">
      <c r="A120" s="815">
        <f>Table1[[#This Row],[Code no.]]</f>
        <v>220010</v>
      </c>
      <c r="B120" s="793" t="str">
        <f>Table1[[#This Row],[Commodity or group of commodities to which the MRLs apply]]</f>
        <v>Garlic</v>
      </c>
      <c r="C120" s="794">
        <f>Table1[[#This Row],[MRL/ proposed MRL /CXL
(mg/kg)]]</f>
        <v>0</v>
      </c>
      <c r="D120" s="795">
        <f>Table1[[#This Row],[Source of MRL]]</f>
        <v>0</v>
      </c>
      <c r="E120" s="797">
        <f>Table1[[#This Row],[Chronic RA input value]]</f>
        <v>0</v>
      </c>
      <c r="F120" s="795" t="str">
        <f>Table1[[#This Row],[Chronic RA label]]</f>
        <v/>
      </c>
      <c r="G120" s="797">
        <f>Table1[[#This Row],[Acute RA input value]]</f>
        <v>0</v>
      </c>
      <c r="H120" s="836" t="str">
        <f>Table1[[#This Row],[Acute RA label]]</f>
        <v/>
      </c>
      <c r="J120" s="553">
        <f>Table22[[#This Row],[Code no.]]</f>
        <v>220010</v>
      </c>
      <c r="K120" s="553" t="str">
        <f>Table22[[#This Row],[Commodity or group of commodities to which the MRLs apply]]</f>
        <v>Garlic</v>
      </c>
      <c r="L120" s="553">
        <f>Table22[[#This Row],[Source / type of MRL]]</f>
        <v>0</v>
      </c>
      <c r="M120" s="553">
        <f>Table22[[#This Row],[MRL/ proposed MRL /CXL
(mg/kg)]]</f>
        <v>0</v>
      </c>
      <c r="N120" s="553">
        <f>Table22[[#This Row],[LOQ]]</f>
        <v>0</v>
      </c>
      <c r="O120" s="553">
        <f>Table22[[#This Row],[CFrisk for residue definition]]</f>
        <v>0</v>
      </c>
      <c r="P120" s="553">
        <f>Table22[[#This Row],[PeF (peeling factor RD enforcemen)]]</f>
        <v>0</v>
      </c>
      <c r="Q120" s="553">
        <f>Table22[[#This Row],[STMR-RAC (median residue)]]</f>
        <v>0</v>
      </c>
      <c r="R120" s="553">
        <f>Table22[[#This Row],[HR-RAC (highest residue)]]</f>
        <v>0</v>
      </c>
      <c r="S120" s="553">
        <f>Table22[[#This Row],[VF (alternative variability factor)]]</f>
        <v>0</v>
      </c>
      <c r="T120" s="553">
        <f>Table22[[#This Row],[GAP under assessment]]</f>
        <v>0</v>
      </c>
      <c r="U120" s="553">
        <f>Table22[[#This Row],[Post-harvest treatment]]</f>
        <v>0</v>
      </c>
      <c r="V120" s="553" t="str">
        <f>Table22[[#This Row],[Chronic RA label]]</f>
        <v/>
      </c>
      <c r="W120" s="553">
        <f>Table22[[#This Row],[Chronic RA input value]]</f>
        <v>0</v>
      </c>
      <c r="X120" s="1684" t="str">
        <f>Table22[[#This Row],[Acute RA label]]</f>
        <v/>
      </c>
      <c r="Y120" s="553">
        <f>Table22[[#This Row],[Acute RA input value]]</f>
        <v>0</v>
      </c>
      <c r="Z120" s="786">
        <f>SUM(Table1[[#This Row],[chronic value &lt;&gt;MRL/LOQ]:[acute vlue&lt;&gt;MRL/LOQ]])</f>
        <v>0</v>
      </c>
      <c r="AA120" s="786">
        <f>IF(AND($F$5="Refined calculation mode",Table1[[#This Row],[GAP under assessment]]="Y"),1,IF(OR(Table1[[#This Row],[Chronic RA label]]="LOQ",Table1[[#This Row],[Chronic RA label]]="",Table1[[#This Row],[Chronic RA label]]="MRL"),0,1))</f>
        <v>0</v>
      </c>
      <c r="AB120" s="787">
        <f>IF(OR(Table1[[#This Row],[Acute RA label]]="LOQ",Table1[[#This Row],[Acute RA label]]="",Table1[[#This Row],[Acute RA label]]="MRL"),0,1)</f>
        <v>0</v>
      </c>
    </row>
    <row r="121" spans="1:28" ht="13.5" hidden="1" thickTop="1" x14ac:dyDescent="0.2">
      <c r="A121" s="815">
        <f>Table1[[#This Row],[Code no.]]</f>
        <v>220020</v>
      </c>
      <c r="B121" s="793" t="str">
        <f>Table1[[#This Row],[Commodity or group of commodities to which the MRLs apply]]</f>
        <v>Onions</v>
      </c>
      <c r="C121" s="794">
        <f>Table1[[#This Row],[MRL/ proposed MRL /CXL
(mg/kg)]]</f>
        <v>0</v>
      </c>
      <c r="D121" s="795">
        <f>Table1[[#This Row],[Source of MRL]]</f>
        <v>0</v>
      </c>
      <c r="E121" s="797">
        <f>Table1[[#This Row],[Chronic RA input value]]</f>
        <v>0</v>
      </c>
      <c r="F121" s="795" t="str">
        <f>Table1[[#This Row],[Chronic RA label]]</f>
        <v/>
      </c>
      <c r="G121" s="797">
        <f>Table1[[#This Row],[Acute RA input value]]</f>
        <v>0</v>
      </c>
      <c r="H121" s="836" t="str">
        <f>Table1[[#This Row],[Acute RA label]]</f>
        <v/>
      </c>
      <c r="J121" s="553">
        <f>Table22[[#This Row],[Code no.]]</f>
        <v>220020</v>
      </c>
      <c r="K121" s="553" t="str">
        <f>Table22[[#This Row],[Commodity or group of commodities to which the MRLs apply]]</f>
        <v>Onions</v>
      </c>
      <c r="L121" s="553">
        <f>Table22[[#This Row],[Source / type of MRL]]</f>
        <v>0</v>
      </c>
      <c r="M121" s="553">
        <f>Table22[[#This Row],[MRL/ proposed MRL /CXL
(mg/kg)]]</f>
        <v>0</v>
      </c>
      <c r="N121" s="553">
        <f>Table22[[#This Row],[LOQ]]</f>
        <v>0</v>
      </c>
      <c r="O121" s="553">
        <f>Table22[[#This Row],[CFrisk for residue definition]]</f>
        <v>0</v>
      </c>
      <c r="P121" s="553">
        <f>Table22[[#This Row],[PeF (peeling factor RD enforcemen)]]</f>
        <v>0</v>
      </c>
      <c r="Q121" s="553">
        <f>Table22[[#This Row],[STMR-RAC (median residue)]]</f>
        <v>0</v>
      </c>
      <c r="R121" s="553">
        <f>Table22[[#This Row],[HR-RAC (highest residue)]]</f>
        <v>0</v>
      </c>
      <c r="S121" s="553">
        <f>Table22[[#This Row],[VF (alternative variability factor)]]</f>
        <v>0</v>
      </c>
      <c r="T121" s="553">
        <f>Table22[[#This Row],[GAP under assessment]]</f>
        <v>0</v>
      </c>
      <c r="U121" s="553">
        <f>Table22[[#This Row],[Post-harvest treatment]]</f>
        <v>0</v>
      </c>
      <c r="V121" s="553" t="str">
        <f>Table22[[#This Row],[Chronic RA label]]</f>
        <v/>
      </c>
      <c r="W121" s="553">
        <f>Table22[[#This Row],[Chronic RA input value]]</f>
        <v>0</v>
      </c>
      <c r="X121" s="1684" t="str">
        <f>Table22[[#This Row],[Acute RA label]]</f>
        <v/>
      </c>
      <c r="Y121" s="553">
        <f>Table22[[#This Row],[Acute RA input value]]</f>
        <v>0</v>
      </c>
      <c r="Z121" s="786">
        <f>SUM(Table1[[#This Row],[chronic value &lt;&gt;MRL/LOQ]:[acute vlue&lt;&gt;MRL/LOQ]])</f>
        <v>0</v>
      </c>
      <c r="AA121" s="786">
        <f>IF(AND($F$5="Refined calculation mode",Table1[[#This Row],[GAP under assessment]]="Y"),1,IF(OR(Table1[[#This Row],[Chronic RA label]]="LOQ",Table1[[#This Row],[Chronic RA label]]="",Table1[[#This Row],[Chronic RA label]]="MRL"),0,1))</f>
        <v>0</v>
      </c>
      <c r="AB121" s="787">
        <f>IF(OR(Table1[[#This Row],[Acute RA label]]="LOQ",Table1[[#This Row],[Acute RA label]]="",Table1[[#This Row],[Acute RA label]]="MRL"),0,1)</f>
        <v>0</v>
      </c>
    </row>
    <row r="122" spans="1:28" ht="13.5" hidden="1" thickTop="1" x14ac:dyDescent="0.2">
      <c r="A122" s="815">
        <f>Table1[[#This Row],[Code no.]]</f>
        <v>220030</v>
      </c>
      <c r="B122" s="793" t="str">
        <f>Table1[[#This Row],[Commodity or group of commodities to which the MRLs apply]]</f>
        <v>Shallots</v>
      </c>
      <c r="C122" s="794">
        <f>Table1[[#This Row],[MRL/ proposed MRL /CXL
(mg/kg)]]</f>
        <v>0</v>
      </c>
      <c r="D122" s="795">
        <f>Table1[[#This Row],[Source of MRL]]</f>
        <v>0</v>
      </c>
      <c r="E122" s="797">
        <f>Table1[[#This Row],[Chronic RA input value]]</f>
        <v>0</v>
      </c>
      <c r="F122" s="795" t="str">
        <f>Table1[[#This Row],[Chronic RA label]]</f>
        <v/>
      </c>
      <c r="G122" s="797">
        <f>Table1[[#This Row],[Acute RA input value]]</f>
        <v>0</v>
      </c>
      <c r="H122" s="836" t="str">
        <f>Table1[[#This Row],[Acute RA label]]</f>
        <v/>
      </c>
      <c r="J122" s="553">
        <f>Table22[[#This Row],[Code no.]]</f>
        <v>220030</v>
      </c>
      <c r="K122" s="553" t="str">
        <f>Table22[[#This Row],[Commodity or group of commodities to which the MRLs apply]]</f>
        <v>Shallots</v>
      </c>
      <c r="L122" s="553">
        <f>Table22[[#This Row],[Source / type of MRL]]</f>
        <v>0</v>
      </c>
      <c r="M122" s="553">
        <f>Table22[[#This Row],[MRL/ proposed MRL /CXL
(mg/kg)]]</f>
        <v>0</v>
      </c>
      <c r="N122" s="553">
        <f>Table22[[#This Row],[LOQ]]</f>
        <v>0</v>
      </c>
      <c r="O122" s="553">
        <f>Table22[[#This Row],[CFrisk for residue definition]]</f>
        <v>0</v>
      </c>
      <c r="P122" s="553">
        <f>Table22[[#This Row],[PeF (peeling factor RD enforcemen)]]</f>
        <v>0</v>
      </c>
      <c r="Q122" s="553">
        <f>Table22[[#This Row],[STMR-RAC (median residue)]]</f>
        <v>0</v>
      </c>
      <c r="R122" s="553">
        <f>Table22[[#This Row],[HR-RAC (highest residue)]]</f>
        <v>0</v>
      </c>
      <c r="S122" s="553">
        <f>Table22[[#This Row],[VF (alternative variability factor)]]</f>
        <v>0</v>
      </c>
      <c r="T122" s="553">
        <f>Table22[[#This Row],[GAP under assessment]]</f>
        <v>0</v>
      </c>
      <c r="U122" s="553">
        <f>Table22[[#This Row],[Post-harvest treatment]]</f>
        <v>0</v>
      </c>
      <c r="V122" s="553" t="str">
        <f>Table22[[#This Row],[Chronic RA label]]</f>
        <v/>
      </c>
      <c r="W122" s="553">
        <f>Table22[[#This Row],[Chronic RA input value]]</f>
        <v>0</v>
      </c>
      <c r="X122" s="1684" t="str">
        <f>Table22[[#This Row],[Acute RA label]]</f>
        <v/>
      </c>
      <c r="Y122" s="553">
        <f>Table22[[#This Row],[Acute RA input value]]</f>
        <v>0</v>
      </c>
      <c r="Z122" s="786">
        <f>SUM(Table1[[#This Row],[chronic value &lt;&gt;MRL/LOQ]:[acute vlue&lt;&gt;MRL/LOQ]])</f>
        <v>0</v>
      </c>
      <c r="AA122" s="786">
        <f>IF(AND($F$5="Refined calculation mode",Table1[[#This Row],[GAP under assessment]]="Y"),1,IF(OR(Table1[[#This Row],[Chronic RA label]]="LOQ",Table1[[#This Row],[Chronic RA label]]="",Table1[[#This Row],[Chronic RA label]]="MRL"),0,1))</f>
        <v>0</v>
      </c>
      <c r="AB122" s="787">
        <f>IF(OR(Table1[[#This Row],[Acute RA label]]="LOQ",Table1[[#This Row],[Acute RA label]]="",Table1[[#This Row],[Acute RA label]]="MRL"),0,1)</f>
        <v>0</v>
      </c>
    </row>
    <row r="123" spans="1:28" ht="32.25" hidden="1" thickTop="1" x14ac:dyDescent="0.2">
      <c r="A123" s="815">
        <f>Table1[[#This Row],[Code no.]]</f>
        <v>220040</v>
      </c>
      <c r="B123" s="793" t="str">
        <f>Table1[[#This Row],[Commodity or group of commodities to which the MRLs apply]]</f>
        <v>Spring onions/green onions and Welsh onions</v>
      </c>
      <c r="C123" s="794">
        <f>Table1[[#This Row],[MRL/ proposed MRL /CXL
(mg/kg)]]</f>
        <v>0</v>
      </c>
      <c r="D123" s="795">
        <f>Table1[[#This Row],[Source of MRL]]</f>
        <v>0</v>
      </c>
      <c r="E123" s="797">
        <f>Table1[[#This Row],[Chronic RA input value]]</f>
        <v>0</v>
      </c>
      <c r="F123" s="795" t="str">
        <f>Table1[[#This Row],[Chronic RA label]]</f>
        <v/>
      </c>
      <c r="G123" s="797">
        <f>Table1[[#This Row],[Acute RA input value]]</f>
        <v>0</v>
      </c>
      <c r="H123" s="836" t="str">
        <f>Table1[[#This Row],[Acute RA label]]</f>
        <v/>
      </c>
      <c r="J123" s="553">
        <f>Table22[[#This Row],[Code no.]]</f>
        <v>220040</v>
      </c>
      <c r="K123" s="553" t="str">
        <f>Table22[[#This Row],[Commodity or group of commodities to which the MRLs apply]]</f>
        <v>Spring onions/green onions and Welsh onions</v>
      </c>
      <c r="L123" s="553">
        <f>Table22[[#This Row],[Source / type of MRL]]</f>
        <v>0</v>
      </c>
      <c r="M123" s="553">
        <f>Table22[[#This Row],[MRL/ proposed MRL /CXL
(mg/kg)]]</f>
        <v>0</v>
      </c>
      <c r="N123" s="553">
        <f>Table22[[#This Row],[LOQ]]</f>
        <v>0</v>
      </c>
      <c r="O123" s="553">
        <f>Table22[[#This Row],[CFrisk for residue definition]]</f>
        <v>0</v>
      </c>
      <c r="P123" s="553">
        <f>Table22[[#This Row],[PeF (peeling factor RD enforcemen)]]</f>
        <v>0</v>
      </c>
      <c r="Q123" s="553">
        <f>Table22[[#This Row],[STMR-RAC (median residue)]]</f>
        <v>0</v>
      </c>
      <c r="R123" s="553">
        <f>Table22[[#This Row],[HR-RAC (highest residue)]]</f>
        <v>0</v>
      </c>
      <c r="S123" s="553">
        <f>Table22[[#This Row],[VF (alternative variability factor)]]</f>
        <v>0</v>
      </c>
      <c r="T123" s="553">
        <f>Table22[[#This Row],[GAP under assessment]]</f>
        <v>0</v>
      </c>
      <c r="U123" s="553">
        <f>Table22[[#This Row],[Post-harvest treatment]]</f>
        <v>0</v>
      </c>
      <c r="V123" s="553" t="str">
        <f>Table22[[#This Row],[Chronic RA label]]</f>
        <v/>
      </c>
      <c r="W123" s="553">
        <f>Table22[[#This Row],[Chronic RA input value]]</f>
        <v>0</v>
      </c>
      <c r="X123" s="1684" t="str">
        <f>Table22[[#This Row],[Acute RA label]]</f>
        <v/>
      </c>
      <c r="Y123" s="553">
        <f>Table22[[#This Row],[Acute RA input value]]</f>
        <v>0</v>
      </c>
      <c r="Z123" s="786">
        <f>SUM(Table1[[#This Row],[chronic value &lt;&gt;MRL/LOQ]:[acute vlue&lt;&gt;MRL/LOQ]])</f>
        <v>0</v>
      </c>
      <c r="AA123" s="786">
        <f>IF(AND($F$5="Refined calculation mode",Table1[[#This Row],[GAP under assessment]]="Y"),1,IF(OR(Table1[[#This Row],[Chronic RA label]]="LOQ",Table1[[#This Row],[Chronic RA label]]="",Table1[[#This Row],[Chronic RA label]]="MRL"),0,1))</f>
        <v>0</v>
      </c>
      <c r="AB123" s="787">
        <f>IF(OR(Table1[[#This Row],[Acute RA label]]="LOQ",Table1[[#This Row],[Acute RA label]]="",Table1[[#This Row],[Acute RA label]]="MRL"),0,1)</f>
        <v>0</v>
      </c>
    </row>
    <row r="124" spans="1:28" ht="21.75" hidden="1" thickTop="1" x14ac:dyDescent="0.2">
      <c r="A124" s="815">
        <f>Table1[[#This Row],[Code no.]]</f>
        <v>220990</v>
      </c>
      <c r="B124" s="793" t="str">
        <f>Table1[[#This Row],[Commodity or group of commodities to which the MRLs apply]]</f>
        <v>Other bulb vegetables</v>
      </c>
      <c r="C124" s="794">
        <f>Table1[[#This Row],[MRL/ proposed MRL /CXL
(mg/kg)]]</f>
        <v>0</v>
      </c>
      <c r="D124" s="795">
        <f>Table1[[#This Row],[Source of MRL]]</f>
        <v>0</v>
      </c>
      <c r="E124" s="797">
        <f>Table1[[#This Row],[Chronic RA input value]]</f>
        <v>0</v>
      </c>
      <c r="F124" s="795" t="str">
        <f>Table1[[#This Row],[Chronic RA label]]</f>
        <v/>
      </c>
      <c r="G124" s="797">
        <f>Table1[[#This Row],[Acute RA input value]]</f>
        <v>0</v>
      </c>
      <c r="H124" s="836">
        <f>Table1[[#This Row],[Acute RA label]]</f>
        <v>0</v>
      </c>
      <c r="J124" s="553">
        <f>Table22[[#This Row],[Code no.]]</f>
        <v>220990</v>
      </c>
      <c r="K124" s="553" t="str">
        <f>Table22[[#This Row],[Commodity or group of commodities to which the MRLs apply]]</f>
        <v>Other bulb vegetables</v>
      </c>
      <c r="L124" s="553">
        <f>Table22[[#This Row],[Source / type of MRL]]</f>
        <v>0</v>
      </c>
      <c r="M124" s="553">
        <f>Table22[[#This Row],[MRL/ proposed MRL /CXL
(mg/kg)]]</f>
        <v>0</v>
      </c>
      <c r="N124" s="553">
        <f>Table22[[#This Row],[LOQ]]</f>
        <v>0</v>
      </c>
      <c r="O124" s="553">
        <f>Table22[[#This Row],[CFrisk for residue definition]]</f>
        <v>0</v>
      </c>
      <c r="P124" s="553">
        <f>Table22[[#This Row],[PeF (peeling factor RD enforcemen)]]</f>
        <v>0</v>
      </c>
      <c r="Q124" s="553">
        <f>Table22[[#This Row],[STMR-RAC (median residue)]]</f>
        <v>0</v>
      </c>
      <c r="R124" s="553">
        <f>Table22[[#This Row],[HR-RAC (highest residue)]]</f>
        <v>0</v>
      </c>
      <c r="S124" s="553">
        <f>Table22[[#This Row],[VF (alternative variability factor)]]</f>
        <v>0</v>
      </c>
      <c r="T124" s="553">
        <f>Table22[[#This Row],[GAP under assessment]]</f>
        <v>0</v>
      </c>
      <c r="U124" s="553">
        <f>Table22[[#This Row],[Post-harvest treatment]]</f>
        <v>0</v>
      </c>
      <c r="V124" s="553" t="str">
        <f>Table22[[#This Row],[Chronic RA label]]</f>
        <v/>
      </c>
      <c r="W124" s="553">
        <f>Table22[[#This Row],[Chronic RA input value]]</f>
        <v>0</v>
      </c>
      <c r="X124" s="1684"/>
      <c r="Y124" s="553">
        <f>Table22[[#This Row],[Acute RA input value]]</f>
        <v>0</v>
      </c>
      <c r="Z124" s="786">
        <f>SUM(Table1[[#This Row],[chronic value &lt;&gt;MRL/LOQ]:[acute vlue&lt;&gt;MRL/LOQ]])</f>
        <v>0</v>
      </c>
      <c r="AA124" s="786">
        <f>IF(AND($F$5="Refined calculation mode",Table1[[#This Row],[GAP under assessment]]="Y"),1,IF(OR(Table1[[#This Row],[Chronic RA label]]="LOQ",Table1[[#This Row],[Chronic RA label]]="",Table1[[#This Row],[Chronic RA label]]="MRL"),0,1))</f>
        <v>0</v>
      </c>
      <c r="AB124" s="787">
        <f>IF(OR(Table1[[#This Row],[Acute RA label]]="LOQ",Table1[[#This Row],[Acute RA label]]="",Table1[[#This Row],[Acute RA label]]="MRL"),0,1)</f>
        <v>0</v>
      </c>
    </row>
    <row r="125" spans="1:28" ht="13.5" hidden="1" thickTop="1" x14ac:dyDescent="0.2">
      <c r="A125" s="815">
        <f>Table1[[#This Row],[Code no.]]</f>
        <v>230000</v>
      </c>
      <c r="B125" s="793" t="str">
        <f>Table1[[#This Row],[Commodity or group of commodities to which the MRLs apply]]</f>
        <v>Fruiting vegetables</v>
      </c>
      <c r="C125" s="794">
        <f>Table1[[#This Row],[MRL/ proposed MRL /CXL
(mg/kg)]]</f>
        <v>0</v>
      </c>
      <c r="D125" s="795">
        <f>Table1[[#This Row],[Source of MRL]]</f>
        <v>0</v>
      </c>
      <c r="E125" s="797">
        <f>Table1[[#This Row],[Chronic RA input value]]</f>
        <v>0</v>
      </c>
      <c r="F125" s="795">
        <f>Table1[[#This Row],[Chronic RA label]]</f>
        <v>0</v>
      </c>
      <c r="G125" s="797">
        <f>Table1[[#This Row],[Acute RA input value]]</f>
        <v>0</v>
      </c>
      <c r="H125" s="836">
        <f>Table1[[#This Row],[Acute RA label]]</f>
        <v>0</v>
      </c>
      <c r="J125" s="553">
        <f>Table22[[#This Row],[Code no.]]</f>
        <v>230000</v>
      </c>
      <c r="K125" s="553" t="str">
        <f>Table22[[#This Row],[Commodity or group of commodities to which the MRLs apply]]</f>
        <v>Fruiting vegetables</v>
      </c>
      <c r="L125" s="553">
        <f>Table22[[#This Row],[Source / type of MRL]]</f>
        <v>0</v>
      </c>
      <c r="M125" s="553">
        <f>Table22[[#This Row],[MRL/ proposed MRL /CXL
(mg/kg)]]</f>
        <v>0</v>
      </c>
      <c r="N125" s="553">
        <f>Table22[[#This Row],[LOQ]]</f>
        <v>0</v>
      </c>
      <c r="O125" s="553">
        <f>Table22[[#This Row],[CFrisk for residue definition]]</f>
        <v>0</v>
      </c>
      <c r="P125" s="553">
        <f>Table22[[#This Row],[PeF (peeling factor RD enforcemen)]]</f>
        <v>0</v>
      </c>
      <c r="Q125" s="553">
        <f>Table22[[#This Row],[STMR-RAC (median residue)]]</f>
        <v>0</v>
      </c>
      <c r="R125" s="553">
        <f>Table22[[#This Row],[HR-RAC (highest residue)]]</f>
        <v>0</v>
      </c>
      <c r="S125" s="553">
        <f>Table22[[#This Row],[VF (alternative variability factor)]]</f>
        <v>0</v>
      </c>
      <c r="T125" s="553">
        <f>Table22[[#This Row],[GAP under assessment]]</f>
        <v>0</v>
      </c>
      <c r="U125" s="553">
        <f>Table22[[#This Row],[Post-harvest treatment]]</f>
        <v>0</v>
      </c>
      <c r="V125" s="553"/>
      <c r="W125" s="553">
        <f>Table22[[#This Row],[Chronic RA input value]]</f>
        <v>0</v>
      </c>
      <c r="X125" s="1684"/>
      <c r="Y125" s="553">
        <f>Table22[[#This Row],[Acute RA input value]]</f>
        <v>0</v>
      </c>
      <c r="Z125" s="786">
        <f>SUM(Table1[[#This Row],[chronic value &lt;&gt;MRL/LOQ]:[acute vlue&lt;&gt;MRL/LOQ]])</f>
        <v>0</v>
      </c>
      <c r="AA125" s="786">
        <f>IF(AND($F$5="Refined calculation mode",Table1[[#This Row],[GAP under assessment]]="Y"),1,IF(OR(Table1[[#This Row],[Chronic RA label]]="LOQ",Table1[[#This Row],[Chronic RA label]]="",Table1[[#This Row],[Chronic RA label]]="MRL"),0,1))</f>
        <v>0</v>
      </c>
      <c r="AB125" s="787">
        <f>IF(OR(Table1[[#This Row],[Acute RA label]]="LOQ",Table1[[#This Row],[Acute RA label]]="",Table1[[#This Row],[Acute RA label]]="MRL"),0,1)</f>
        <v>0</v>
      </c>
    </row>
    <row r="126" spans="1:28" ht="13.5" hidden="1" thickTop="1" x14ac:dyDescent="0.2">
      <c r="A126" s="815">
        <f>Table1[[#This Row],[Code no.]]</f>
        <v>231000</v>
      </c>
      <c r="B126" s="793" t="str">
        <f>Table1[[#This Row],[Commodity or group of commodities to which the MRLs apply]]</f>
        <v>Solanacea</v>
      </c>
      <c r="C126" s="794">
        <f>Table1[[#This Row],[MRL/ proposed MRL /CXL
(mg/kg)]]</f>
        <v>0</v>
      </c>
      <c r="D126" s="795">
        <f>Table1[[#This Row],[Source of MRL]]</f>
        <v>0</v>
      </c>
      <c r="E126" s="797">
        <f>Table1[[#This Row],[Chronic RA input value]]</f>
        <v>0</v>
      </c>
      <c r="F126" s="795">
        <f>Table1[[#This Row],[Chronic RA label]]</f>
        <v>0</v>
      </c>
      <c r="G126" s="797">
        <f>Table1[[#This Row],[Acute RA input value]]</f>
        <v>0</v>
      </c>
      <c r="H126" s="836">
        <f>Table1[[#This Row],[Acute RA label]]</f>
        <v>0</v>
      </c>
      <c r="J126" s="553">
        <f>Table22[[#This Row],[Code no.]]</f>
        <v>231000</v>
      </c>
      <c r="K126" s="553" t="str">
        <f>Table22[[#This Row],[Commodity or group of commodities to which the MRLs apply]]</f>
        <v>Solanacea</v>
      </c>
      <c r="L126" s="553">
        <f>Table22[[#This Row],[Source / type of MRL]]</f>
        <v>0</v>
      </c>
      <c r="M126" s="553">
        <f>Table22[[#This Row],[MRL/ proposed MRL /CXL
(mg/kg)]]</f>
        <v>0</v>
      </c>
      <c r="N126" s="553">
        <f>Table22[[#This Row],[LOQ]]</f>
        <v>0</v>
      </c>
      <c r="O126" s="553">
        <f>Table22[[#This Row],[CFrisk for residue definition]]</f>
        <v>0</v>
      </c>
      <c r="P126" s="553">
        <f>Table22[[#This Row],[PeF (peeling factor RD enforcemen)]]</f>
        <v>0</v>
      </c>
      <c r="Q126" s="553">
        <f>Table22[[#This Row],[STMR-RAC (median residue)]]</f>
        <v>0</v>
      </c>
      <c r="R126" s="553">
        <f>Table22[[#This Row],[HR-RAC (highest residue)]]</f>
        <v>0</v>
      </c>
      <c r="S126" s="553">
        <f>Table22[[#This Row],[VF (alternative variability factor)]]</f>
        <v>0</v>
      </c>
      <c r="T126" s="553">
        <f>Table22[[#This Row],[GAP under assessment]]</f>
        <v>0</v>
      </c>
      <c r="U126" s="553">
        <f>Table22[[#This Row],[Post-harvest treatment]]</f>
        <v>0</v>
      </c>
      <c r="V126" s="553"/>
      <c r="W126" s="553">
        <f>Table22[[#This Row],[Chronic RA input value]]</f>
        <v>0</v>
      </c>
      <c r="X126" s="1684"/>
      <c r="Y126" s="553">
        <f>Table22[[#This Row],[Acute RA input value]]</f>
        <v>0</v>
      </c>
      <c r="Z126" s="786">
        <f>SUM(Table1[[#This Row],[chronic value &lt;&gt;MRL/LOQ]:[acute vlue&lt;&gt;MRL/LOQ]])</f>
        <v>0</v>
      </c>
      <c r="AA126" s="786">
        <f>IF(AND($F$5="Refined calculation mode",Table1[[#This Row],[GAP under assessment]]="Y"),1,IF(OR(Table1[[#This Row],[Chronic RA label]]="LOQ",Table1[[#This Row],[Chronic RA label]]="",Table1[[#This Row],[Chronic RA label]]="MRL"),0,1))</f>
        <v>0</v>
      </c>
      <c r="AB126" s="787">
        <f>IF(OR(Table1[[#This Row],[Acute RA label]]="LOQ",Table1[[#This Row],[Acute RA label]]="",Table1[[#This Row],[Acute RA label]]="MRL"),0,1)</f>
        <v>0</v>
      </c>
    </row>
    <row r="127" spans="1:28" ht="13.5" hidden="1" thickTop="1" x14ac:dyDescent="0.2">
      <c r="A127" s="815">
        <f>Table1[[#This Row],[Code no.]]</f>
        <v>231010</v>
      </c>
      <c r="B127" s="793" t="str">
        <f>Table1[[#This Row],[Commodity or group of commodities to which the MRLs apply]]</f>
        <v>Tomatoes</v>
      </c>
      <c r="C127" s="794">
        <f>Table1[[#This Row],[MRL/ proposed MRL /CXL
(mg/kg)]]</f>
        <v>0</v>
      </c>
      <c r="D127" s="795">
        <f>Table1[[#This Row],[Source of MRL]]</f>
        <v>0</v>
      </c>
      <c r="E127" s="797">
        <f>Table1[[#This Row],[Chronic RA input value]]</f>
        <v>0</v>
      </c>
      <c r="F127" s="795" t="str">
        <f>Table1[[#This Row],[Chronic RA label]]</f>
        <v/>
      </c>
      <c r="G127" s="797">
        <f>Table1[[#This Row],[Acute RA input value]]</f>
        <v>0</v>
      </c>
      <c r="H127" s="836" t="str">
        <f>Table1[[#This Row],[Acute RA label]]</f>
        <v/>
      </c>
      <c r="J127" s="553">
        <f>Table22[[#This Row],[Code no.]]</f>
        <v>231010</v>
      </c>
      <c r="K127" s="553" t="str">
        <f>Table22[[#This Row],[Commodity or group of commodities to which the MRLs apply]]</f>
        <v>Tomatoes</v>
      </c>
      <c r="L127" s="553">
        <f>Table22[[#This Row],[Source / type of MRL]]</f>
        <v>0</v>
      </c>
      <c r="M127" s="553">
        <f>Table22[[#This Row],[MRL/ proposed MRL /CXL
(mg/kg)]]</f>
        <v>0</v>
      </c>
      <c r="N127" s="553">
        <f>Table22[[#This Row],[LOQ]]</f>
        <v>0</v>
      </c>
      <c r="O127" s="553">
        <f>Table22[[#This Row],[CFrisk for residue definition]]</f>
        <v>0</v>
      </c>
      <c r="P127" s="553">
        <f>Table22[[#This Row],[PeF (peeling factor RD enforcemen)]]</f>
        <v>0</v>
      </c>
      <c r="Q127" s="553">
        <f>Table22[[#This Row],[STMR-RAC (median residue)]]</f>
        <v>0</v>
      </c>
      <c r="R127" s="553">
        <f>Table22[[#This Row],[HR-RAC (highest residue)]]</f>
        <v>0</v>
      </c>
      <c r="S127" s="553">
        <f>Table22[[#This Row],[VF (alternative variability factor)]]</f>
        <v>0</v>
      </c>
      <c r="T127" s="553">
        <f>Table22[[#This Row],[GAP under assessment]]</f>
        <v>0</v>
      </c>
      <c r="U127" s="553">
        <f>Table22[[#This Row],[Post-harvest treatment]]</f>
        <v>0</v>
      </c>
      <c r="V127" s="553" t="str">
        <f>Table22[[#This Row],[Chronic RA label]]</f>
        <v/>
      </c>
      <c r="W127" s="553">
        <f>Table22[[#This Row],[Chronic RA input value]]</f>
        <v>0</v>
      </c>
      <c r="X127" s="1684" t="str">
        <f>Table22[[#This Row],[Acute RA label]]</f>
        <v/>
      </c>
      <c r="Y127" s="553">
        <f>Table22[[#This Row],[Acute RA input value]]</f>
        <v>0</v>
      </c>
      <c r="Z127" s="786">
        <f>SUM(Table1[[#This Row],[chronic value &lt;&gt;MRL/LOQ]:[acute vlue&lt;&gt;MRL/LOQ]])</f>
        <v>0</v>
      </c>
      <c r="AA127" s="786">
        <f>IF(AND($F$5="Refined calculation mode",Table1[[#This Row],[GAP under assessment]]="Y"),1,IF(OR(Table1[[#This Row],[Chronic RA label]]="LOQ",Table1[[#This Row],[Chronic RA label]]="",Table1[[#This Row],[Chronic RA label]]="MRL"),0,1))</f>
        <v>0</v>
      </c>
      <c r="AB127" s="787">
        <f>IF(OR(Table1[[#This Row],[Acute RA label]]="LOQ",Table1[[#This Row],[Acute RA label]]="",Table1[[#This Row],[Acute RA label]]="MRL"),0,1)</f>
        <v>0</v>
      </c>
    </row>
    <row r="128" spans="1:28" ht="21.75" hidden="1" thickTop="1" x14ac:dyDescent="0.2">
      <c r="A128" s="815">
        <f>Table1[[#This Row],[Code no.]]</f>
        <v>231020</v>
      </c>
      <c r="B128" s="793" t="str">
        <f>Table1[[#This Row],[Commodity or group of commodities to which the MRLs apply]]</f>
        <v>Sweet peppers/bell peppers</v>
      </c>
      <c r="C128" s="794">
        <f>Table1[[#This Row],[MRL/ proposed MRL /CXL
(mg/kg)]]</f>
        <v>0</v>
      </c>
      <c r="D128" s="795">
        <f>Table1[[#This Row],[Source of MRL]]</f>
        <v>0</v>
      </c>
      <c r="E128" s="797">
        <f>Table1[[#This Row],[Chronic RA input value]]</f>
        <v>0</v>
      </c>
      <c r="F128" s="795" t="str">
        <f>Table1[[#This Row],[Chronic RA label]]</f>
        <v/>
      </c>
      <c r="G128" s="797">
        <f>Table1[[#This Row],[Acute RA input value]]</f>
        <v>0</v>
      </c>
      <c r="H128" s="836" t="str">
        <f>Table1[[#This Row],[Acute RA label]]</f>
        <v/>
      </c>
      <c r="J128" s="553">
        <f>Table22[[#This Row],[Code no.]]</f>
        <v>231020</v>
      </c>
      <c r="K128" s="553" t="str">
        <f>Table22[[#This Row],[Commodity or group of commodities to which the MRLs apply]]</f>
        <v>Sweet peppers/bell peppers</v>
      </c>
      <c r="L128" s="553">
        <f>Table22[[#This Row],[Source / type of MRL]]</f>
        <v>0</v>
      </c>
      <c r="M128" s="553">
        <f>Table22[[#This Row],[MRL/ proposed MRL /CXL
(mg/kg)]]</f>
        <v>0</v>
      </c>
      <c r="N128" s="553">
        <f>Table22[[#This Row],[LOQ]]</f>
        <v>0</v>
      </c>
      <c r="O128" s="553">
        <f>Table22[[#This Row],[CFrisk for residue definition]]</f>
        <v>0</v>
      </c>
      <c r="P128" s="553">
        <f>Table22[[#This Row],[PeF (peeling factor RD enforcemen)]]</f>
        <v>0</v>
      </c>
      <c r="Q128" s="553">
        <f>Table22[[#This Row],[STMR-RAC (median residue)]]</f>
        <v>0</v>
      </c>
      <c r="R128" s="553">
        <f>Table22[[#This Row],[HR-RAC (highest residue)]]</f>
        <v>0</v>
      </c>
      <c r="S128" s="553">
        <f>Table22[[#This Row],[VF (alternative variability factor)]]</f>
        <v>0</v>
      </c>
      <c r="T128" s="553">
        <f>Table22[[#This Row],[GAP under assessment]]</f>
        <v>0</v>
      </c>
      <c r="U128" s="553">
        <f>Table22[[#This Row],[Post-harvest treatment]]</f>
        <v>0</v>
      </c>
      <c r="V128" s="553" t="str">
        <f>Table22[[#This Row],[Chronic RA label]]</f>
        <v/>
      </c>
      <c r="W128" s="553">
        <f>Table22[[#This Row],[Chronic RA input value]]</f>
        <v>0</v>
      </c>
      <c r="X128" s="1684" t="str">
        <f>Table22[[#This Row],[Acute RA label]]</f>
        <v/>
      </c>
      <c r="Y128" s="553">
        <f>Table22[[#This Row],[Acute RA input value]]</f>
        <v>0</v>
      </c>
      <c r="Z128" s="786">
        <f>SUM(Table1[[#This Row],[chronic value &lt;&gt;MRL/LOQ]:[acute vlue&lt;&gt;MRL/LOQ]])</f>
        <v>0</v>
      </c>
      <c r="AA128" s="786">
        <f>IF(AND($F$5="Refined calculation mode",Table1[[#This Row],[GAP under assessment]]="Y"),1,IF(OR(Table1[[#This Row],[Chronic RA label]]="LOQ",Table1[[#This Row],[Chronic RA label]]="",Table1[[#This Row],[Chronic RA label]]="MRL"),0,1))</f>
        <v>0</v>
      </c>
      <c r="AB128" s="787">
        <f>IF(OR(Table1[[#This Row],[Acute RA label]]="LOQ",Table1[[#This Row],[Acute RA label]]="",Table1[[#This Row],[Acute RA label]]="MRL"),0,1)</f>
        <v>0</v>
      </c>
    </row>
    <row r="129" spans="1:28" ht="21.75" hidden="1" thickTop="1" x14ac:dyDescent="0.2">
      <c r="A129" s="815">
        <f>Table1[[#This Row],[Code no.]]</f>
        <v>231030</v>
      </c>
      <c r="B129" s="793" t="str">
        <f>Table1[[#This Row],[Commodity or group of commodities to which the MRLs apply]]</f>
        <v>Aubergines/egg plants</v>
      </c>
      <c r="C129" s="794">
        <f>Table1[[#This Row],[MRL/ proposed MRL /CXL
(mg/kg)]]</f>
        <v>0</v>
      </c>
      <c r="D129" s="795">
        <f>Table1[[#This Row],[Source of MRL]]</f>
        <v>0</v>
      </c>
      <c r="E129" s="797">
        <f>Table1[[#This Row],[Chronic RA input value]]</f>
        <v>0</v>
      </c>
      <c r="F129" s="795" t="str">
        <f>Table1[[#This Row],[Chronic RA label]]</f>
        <v/>
      </c>
      <c r="G129" s="797">
        <f>Table1[[#This Row],[Acute RA input value]]</f>
        <v>0</v>
      </c>
      <c r="H129" s="836" t="str">
        <f>Table1[[#This Row],[Acute RA label]]</f>
        <v/>
      </c>
      <c r="J129" s="553">
        <f>Table22[[#This Row],[Code no.]]</f>
        <v>231030</v>
      </c>
      <c r="K129" s="553" t="str">
        <f>Table22[[#This Row],[Commodity or group of commodities to which the MRLs apply]]</f>
        <v>Aubergines/egg plants</v>
      </c>
      <c r="L129" s="553">
        <f>Table22[[#This Row],[Source / type of MRL]]</f>
        <v>0</v>
      </c>
      <c r="M129" s="553">
        <f>Table22[[#This Row],[MRL/ proposed MRL /CXL
(mg/kg)]]</f>
        <v>0</v>
      </c>
      <c r="N129" s="553">
        <f>Table22[[#This Row],[LOQ]]</f>
        <v>0</v>
      </c>
      <c r="O129" s="553">
        <f>Table22[[#This Row],[CFrisk for residue definition]]</f>
        <v>0</v>
      </c>
      <c r="P129" s="553">
        <f>Table22[[#This Row],[PeF (peeling factor RD enforcemen)]]</f>
        <v>0</v>
      </c>
      <c r="Q129" s="553">
        <f>Table22[[#This Row],[STMR-RAC (median residue)]]</f>
        <v>0</v>
      </c>
      <c r="R129" s="553">
        <f>Table22[[#This Row],[HR-RAC (highest residue)]]</f>
        <v>0</v>
      </c>
      <c r="S129" s="553">
        <f>Table22[[#This Row],[VF (alternative variability factor)]]</f>
        <v>0</v>
      </c>
      <c r="T129" s="553">
        <f>Table22[[#This Row],[GAP under assessment]]</f>
        <v>0</v>
      </c>
      <c r="U129" s="553">
        <f>Table22[[#This Row],[Post-harvest treatment]]</f>
        <v>0</v>
      </c>
      <c r="V129" s="553" t="str">
        <f>Table22[[#This Row],[Chronic RA label]]</f>
        <v/>
      </c>
      <c r="W129" s="553">
        <f>Table22[[#This Row],[Chronic RA input value]]</f>
        <v>0</v>
      </c>
      <c r="X129" s="1684" t="str">
        <f>Table22[[#This Row],[Acute RA label]]</f>
        <v/>
      </c>
      <c r="Y129" s="553">
        <f>Table22[[#This Row],[Acute RA input value]]</f>
        <v>0</v>
      </c>
      <c r="Z129" s="786">
        <f>SUM(Table1[[#This Row],[chronic value &lt;&gt;MRL/LOQ]:[acute vlue&lt;&gt;MRL/LOQ]])</f>
        <v>0</v>
      </c>
      <c r="AA129" s="786">
        <f>IF(AND($F$5="Refined calculation mode",Table1[[#This Row],[GAP under assessment]]="Y"),1,IF(OR(Table1[[#This Row],[Chronic RA label]]="LOQ",Table1[[#This Row],[Chronic RA label]]="",Table1[[#This Row],[Chronic RA label]]="MRL"),0,1))</f>
        <v>0</v>
      </c>
      <c r="AB129" s="787">
        <f>IF(OR(Table1[[#This Row],[Acute RA label]]="LOQ",Table1[[#This Row],[Acute RA label]]="",Table1[[#This Row],[Acute RA label]]="MRL"),0,1)</f>
        <v>0</v>
      </c>
    </row>
    <row r="130" spans="1:28" ht="13.5" hidden="1" thickTop="1" x14ac:dyDescent="0.2">
      <c r="A130" s="815">
        <f>Table1[[#This Row],[Code no.]]</f>
        <v>231040</v>
      </c>
      <c r="B130" s="793" t="str">
        <f>Table1[[#This Row],[Commodity or group of commodities to which the MRLs apply]]</f>
        <v>Okra/lady’s fingers</v>
      </c>
      <c r="C130" s="794">
        <f>Table1[[#This Row],[MRL/ proposed MRL /CXL
(mg/kg)]]</f>
        <v>0</v>
      </c>
      <c r="D130" s="795">
        <f>Table1[[#This Row],[Source of MRL]]</f>
        <v>0</v>
      </c>
      <c r="E130" s="797">
        <f>Table1[[#This Row],[Chronic RA input value]]</f>
        <v>0</v>
      </c>
      <c r="F130" s="795" t="str">
        <f>Table1[[#This Row],[Chronic RA label]]</f>
        <v/>
      </c>
      <c r="G130" s="797">
        <f>Table1[[#This Row],[Acute RA input value]]</f>
        <v>0</v>
      </c>
      <c r="H130" s="836" t="str">
        <f>Table1[[#This Row],[Acute RA label]]</f>
        <v/>
      </c>
      <c r="J130" s="553">
        <f>Table22[[#This Row],[Code no.]]</f>
        <v>231040</v>
      </c>
      <c r="K130" s="553" t="str">
        <f>Table22[[#This Row],[Commodity or group of commodities to which the MRLs apply]]</f>
        <v>Okra/lady’s fingers</v>
      </c>
      <c r="L130" s="553">
        <f>Table22[[#This Row],[Source / type of MRL]]</f>
        <v>0</v>
      </c>
      <c r="M130" s="553">
        <f>Table22[[#This Row],[MRL/ proposed MRL /CXL
(mg/kg)]]</f>
        <v>0</v>
      </c>
      <c r="N130" s="553">
        <f>Table22[[#This Row],[LOQ]]</f>
        <v>0</v>
      </c>
      <c r="O130" s="553">
        <f>Table22[[#This Row],[CFrisk for residue definition]]</f>
        <v>0</v>
      </c>
      <c r="P130" s="553">
        <f>Table22[[#This Row],[PeF (peeling factor RD enforcemen)]]</f>
        <v>0</v>
      </c>
      <c r="Q130" s="553">
        <f>Table22[[#This Row],[STMR-RAC (median residue)]]</f>
        <v>0</v>
      </c>
      <c r="R130" s="553">
        <f>Table22[[#This Row],[HR-RAC (highest residue)]]</f>
        <v>0</v>
      </c>
      <c r="S130" s="553">
        <f>Table22[[#This Row],[VF (alternative variability factor)]]</f>
        <v>0</v>
      </c>
      <c r="T130" s="553">
        <f>Table22[[#This Row],[GAP under assessment]]</f>
        <v>0</v>
      </c>
      <c r="U130" s="553">
        <f>Table22[[#This Row],[Post-harvest treatment]]</f>
        <v>0</v>
      </c>
      <c r="V130" s="553" t="str">
        <f>Table22[[#This Row],[Chronic RA label]]</f>
        <v/>
      </c>
      <c r="W130" s="553">
        <f>Table22[[#This Row],[Chronic RA input value]]</f>
        <v>0</v>
      </c>
      <c r="X130" s="1684" t="str">
        <f>Table22[[#This Row],[Acute RA label]]</f>
        <v/>
      </c>
      <c r="Y130" s="553">
        <f>Table22[[#This Row],[Acute RA input value]]</f>
        <v>0</v>
      </c>
      <c r="Z130" s="786">
        <f>SUM(Table1[[#This Row],[chronic value &lt;&gt;MRL/LOQ]:[acute vlue&lt;&gt;MRL/LOQ]])</f>
        <v>0</v>
      </c>
      <c r="AA130" s="786">
        <f>IF(AND($F$5="Refined calculation mode",Table1[[#This Row],[GAP under assessment]]="Y"),1,IF(OR(Table1[[#This Row],[Chronic RA label]]="LOQ",Table1[[#This Row],[Chronic RA label]]="",Table1[[#This Row],[Chronic RA label]]="MRL"),0,1))</f>
        <v>0</v>
      </c>
      <c r="AB130" s="787">
        <f>IF(OR(Table1[[#This Row],[Acute RA label]]="LOQ",Table1[[#This Row],[Acute RA label]]="",Table1[[#This Row],[Acute RA label]]="MRL"),0,1)</f>
        <v>0</v>
      </c>
    </row>
    <row r="131" spans="1:28" ht="13.5" hidden="1" thickTop="1" x14ac:dyDescent="0.2">
      <c r="A131" s="815">
        <f>Table1[[#This Row],[Code no.]]</f>
        <v>231990</v>
      </c>
      <c r="B131" s="793" t="str">
        <f>Table1[[#This Row],[Commodity or group of commodities to which the MRLs apply]]</f>
        <v>Other solanacea</v>
      </c>
      <c r="C131" s="794">
        <f>Table1[[#This Row],[MRL/ proposed MRL /CXL
(mg/kg)]]</f>
        <v>0</v>
      </c>
      <c r="D131" s="795">
        <f>Table1[[#This Row],[Source of MRL]]</f>
        <v>0</v>
      </c>
      <c r="E131" s="797">
        <f>Table1[[#This Row],[Chronic RA input value]]</f>
        <v>0</v>
      </c>
      <c r="F131" s="795" t="str">
        <f>Table1[[#This Row],[Chronic RA label]]</f>
        <v/>
      </c>
      <c r="G131" s="797">
        <f>Table1[[#This Row],[Acute RA input value]]</f>
        <v>0</v>
      </c>
      <c r="H131" s="836">
        <f>Table1[[#This Row],[Acute RA label]]</f>
        <v>0</v>
      </c>
      <c r="J131" s="553">
        <f>Table22[[#This Row],[Code no.]]</f>
        <v>231990</v>
      </c>
      <c r="K131" s="553" t="str">
        <f>Table22[[#This Row],[Commodity or group of commodities to which the MRLs apply]]</f>
        <v>Other solanacea</v>
      </c>
      <c r="L131" s="553">
        <f>Table22[[#This Row],[Source / type of MRL]]</f>
        <v>0</v>
      </c>
      <c r="M131" s="553">
        <f>Table22[[#This Row],[MRL/ proposed MRL /CXL
(mg/kg)]]</f>
        <v>0</v>
      </c>
      <c r="N131" s="553">
        <f>Table22[[#This Row],[LOQ]]</f>
        <v>0</v>
      </c>
      <c r="O131" s="553">
        <f>Table22[[#This Row],[CFrisk for residue definition]]</f>
        <v>0</v>
      </c>
      <c r="P131" s="553">
        <f>Table22[[#This Row],[PeF (peeling factor RD enforcemen)]]</f>
        <v>0</v>
      </c>
      <c r="Q131" s="553">
        <f>Table22[[#This Row],[STMR-RAC (median residue)]]</f>
        <v>0</v>
      </c>
      <c r="R131" s="553">
        <f>Table22[[#This Row],[HR-RAC (highest residue)]]</f>
        <v>0</v>
      </c>
      <c r="S131" s="553">
        <f>Table22[[#This Row],[VF (alternative variability factor)]]</f>
        <v>0</v>
      </c>
      <c r="T131" s="553">
        <f>Table22[[#This Row],[GAP under assessment]]</f>
        <v>0</v>
      </c>
      <c r="U131" s="553">
        <f>Table22[[#This Row],[Post-harvest treatment]]</f>
        <v>0</v>
      </c>
      <c r="V131" s="553" t="str">
        <f>Table22[[#This Row],[Chronic RA label]]</f>
        <v/>
      </c>
      <c r="W131" s="553">
        <f>Table22[[#This Row],[Chronic RA input value]]</f>
        <v>0</v>
      </c>
      <c r="X131" s="1684"/>
      <c r="Y131" s="553">
        <f>Table22[[#This Row],[Acute RA input value]]</f>
        <v>0</v>
      </c>
      <c r="Z131" s="786">
        <f>SUM(Table1[[#This Row],[chronic value &lt;&gt;MRL/LOQ]:[acute vlue&lt;&gt;MRL/LOQ]])</f>
        <v>0</v>
      </c>
      <c r="AA131" s="786">
        <f>IF(AND($F$5="Refined calculation mode",Table1[[#This Row],[GAP under assessment]]="Y"),1,IF(OR(Table1[[#This Row],[Chronic RA label]]="LOQ",Table1[[#This Row],[Chronic RA label]]="",Table1[[#This Row],[Chronic RA label]]="MRL"),0,1))</f>
        <v>0</v>
      </c>
      <c r="AB131" s="787">
        <f>IF(OR(Table1[[#This Row],[Acute RA label]]="LOQ",Table1[[#This Row],[Acute RA label]]="",Table1[[#This Row],[Acute RA label]]="MRL"),0,1)</f>
        <v>0</v>
      </c>
    </row>
    <row r="132" spans="1:28" ht="21.75" hidden="1" thickTop="1" x14ac:dyDescent="0.2">
      <c r="A132" s="815">
        <f>Table1[[#This Row],[Code no.]]</f>
        <v>232000</v>
      </c>
      <c r="B132" s="793" t="str">
        <f>Table1[[#This Row],[Commodity or group of commodities to which the MRLs apply]]</f>
        <v>Cucurbits - edible peel</v>
      </c>
      <c r="C132" s="794">
        <f>Table1[[#This Row],[MRL/ proposed MRL /CXL
(mg/kg)]]</f>
        <v>0</v>
      </c>
      <c r="D132" s="795">
        <f>Table1[[#This Row],[Source of MRL]]</f>
        <v>0</v>
      </c>
      <c r="E132" s="797">
        <f>Table1[[#This Row],[Chronic RA input value]]</f>
        <v>0</v>
      </c>
      <c r="F132" s="795">
        <f>Table1[[#This Row],[Chronic RA label]]</f>
        <v>0</v>
      </c>
      <c r="G132" s="797">
        <f>Table1[[#This Row],[Acute RA input value]]</f>
        <v>0</v>
      </c>
      <c r="H132" s="836">
        <f>Table1[[#This Row],[Acute RA label]]</f>
        <v>0</v>
      </c>
      <c r="J132" s="553">
        <f>Table22[[#This Row],[Code no.]]</f>
        <v>232000</v>
      </c>
      <c r="K132" s="553" t="str">
        <f>Table22[[#This Row],[Commodity or group of commodities to which the MRLs apply]]</f>
        <v>Cucurbits - edible peel</v>
      </c>
      <c r="L132" s="553">
        <f>Table22[[#This Row],[Source / type of MRL]]</f>
        <v>0</v>
      </c>
      <c r="M132" s="553">
        <f>Table22[[#This Row],[MRL/ proposed MRL /CXL
(mg/kg)]]</f>
        <v>0</v>
      </c>
      <c r="N132" s="553">
        <f>Table22[[#This Row],[LOQ]]</f>
        <v>0</v>
      </c>
      <c r="O132" s="553">
        <f>Table22[[#This Row],[CFrisk for residue definition]]</f>
        <v>0</v>
      </c>
      <c r="P132" s="553">
        <f>Table22[[#This Row],[PeF (peeling factor RD enforcemen)]]</f>
        <v>0</v>
      </c>
      <c r="Q132" s="553">
        <f>Table22[[#This Row],[STMR-RAC (median residue)]]</f>
        <v>0</v>
      </c>
      <c r="R132" s="553">
        <f>Table22[[#This Row],[HR-RAC (highest residue)]]</f>
        <v>0</v>
      </c>
      <c r="S132" s="553">
        <f>Table22[[#This Row],[VF (alternative variability factor)]]</f>
        <v>0</v>
      </c>
      <c r="T132" s="553">
        <f>Table22[[#This Row],[GAP under assessment]]</f>
        <v>0</v>
      </c>
      <c r="U132" s="553">
        <f>Table22[[#This Row],[Post-harvest treatment]]</f>
        <v>0</v>
      </c>
      <c r="V132" s="553"/>
      <c r="W132" s="553">
        <f>Table22[[#This Row],[Chronic RA input value]]</f>
        <v>0</v>
      </c>
      <c r="X132" s="1684"/>
      <c r="Y132" s="553">
        <f>Table22[[#This Row],[Acute RA input value]]</f>
        <v>0</v>
      </c>
      <c r="Z132" s="786">
        <f>SUM(Table1[[#This Row],[chronic value &lt;&gt;MRL/LOQ]:[acute vlue&lt;&gt;MRL/LOQ]])</f>
        <v>0</v>
      </c>
      <c r="AA132" s="786">
        <f>IF(AND($F$5="Refined calculation mode",Table1[[#This Row],[GAP under assessment]]="Y"),1,IF(OR(Table1[[#This Row],[Chronic RA label]]="LOQ",Table1[[#This Row],[Chronic RA label]]="",Table1[[#This Row],[Chronic RA label]]="MRL"),0,1))</f>
        <v>0</v>
      </c>
      <c r="AB132" s="787">
        <f>IF(OR(Table1[[#This Row],[Acute RA label]]="LOQ",Table1[[#This Row],[Acute RA label]]="",Table1[[#This Row],[Acute RA label]]="MRL"),0,1)</f>
        <v>0</v>
      </c>
    </row>
    <row r="133" spans="1:28" ht="13.5" hidden="1" thickTop="1" x14ac:dyDescent="0.2">
      <c r="A133" s="815">
        <f>Table1[[#This Row],[Code no.]]</f>
        <v>232010</v>
      </c>
      <c r="B133" s="793" t="str">
        <f>Table1[[#This Row],[Commodity or group of commodities to which the MRLs apply]]</f>
        <v>Cucumbers</v>
      </c>
      <c r="C133" s="794">
        <f>Table1[[#This Row],[MRL/ proposed MRL /CXL
(mg/kg)]]</f>
        <v>0</v>
      </c>
      <c r="D133" s="795">
        <f>Table1[[#This Row],[Source of MRL]]</f>
        <v>0</v>
      </c>
      <c r="E133" s="797">
        <f>Table1[[#This Row],[Chronic RA input value]]</f>
        <v>0</v>
      </c>
      <c r="F133" s="795" t="str">
        <f>Table1[[#This Row],[Chronic RA label]]</f>
        <v/>
      </c>
      <c r="G133" s="797">
        <f>Table1[[#This Row],[Acute RA input value]]</f>
        <v>0</v>
      </c>
      <c r="H133" s="836" t="str">
        <f>Table1[[#This Row],[Acute RA label]]</f>
        <v/>
      </c>
      <c r="J133" s="553">
        <f>Table22[[#This Row],[Code no.]]</f>
        <v>232010</v>
      </c>
      <c r="K133" s="553" t="str">
        <f>Table22[[#This Row],[Commodity or group of commodities to which the MRLs apply]]</f>
        <v>Cucumbers</v>
      </c>
      <c r="L133" s="553">
        <f>Table22[[#This Row],[Source / type of MRL]]</f>
        <v>0</v>
      </c>
      <c r="M133" s="553">
        <f>Table22[[#This Row],[MRL/ proposed MRL /CXL
(mg/kg)]]</f>
        <v>0</v>
      </c>
      <c r="N133" s="553">
        <f>Table22[[#This Row],[LOQ]]</f>
        <v>0</v>
      </c>
      <c r="O133" s="553">
        <f>Table22[[#This Row],[CFrisk for residue definition]]</f>
        <v>0</v>
      </c>
      <c r="P133" s="553">
        <f>Table22[[#This Row],[PeF (peeling factor RD enforcemen)]]</f>
        <v>0</v>
      </c>
      <c r="Q133" s="553">
        <f>Table22[[#This Row],[STMR-RAC (median residue)]]</f>
        <v>0</v>
      </c>
      <c r="R133" s="553">
        <f>Table22[[#This Row],[HR-RAC (highest residue)]]</f>
        <v>0</v>
      </c>
      <c r="S133" s="553">
        <f>Table22[[#This Row],[VF (alternative variability factor)]]</f>
        <v>0</v>
      </c>
      <c r="T133" s="553">
        <f>Table22[[#This Row],[GAP under assessment]]</f>
        <v>0</v>
      </c>
      <c r="U133" s="553">
        <f>Table22[[#This Row],[Post-harvest treatment]]</f>
        <v>0</v>
      </c>
      <c r="V133" s="553" t="str">
        <f>Table22[[#This Row],[Chronic RA label]]</f>
        <v/>
      </c>
      <c r="W133" s="553">
        <f>Table22[[#This Row],[Chronic RA input value]]</f>
        <v>0</v>
      </c>
      <c r="X133" s="1684" t="str">
        <f>Table22[[#This Row],[Acute RA label]]</f>
        <v/>
      </c>
      <c r="Y133" s="553">
        <f>Table22[[#This Row],[Acute RA input value]]</f>
        <v>0</v>
      </c>
      <c r="Z133" s="786">
        <f>SUM(Table1[[#This Row],[chronic value &lt;&gt;MRL/LOQ]:[acute vlue&lt;&gt;MRL/LOQ]])</f>
        <v>0</v>
      </c>
      <c r="AA133" s="786">
        <f>IF(AND($F$5="Refined calculation mode",Table1[[#This Row],[GAP under assessment]]="Y"),1,IF(OR(Table1[[#This Row],[Chronic RA label]]="LOQ",Table1[[#This Row],[Chronic RA label]]="",Table1[[#This Row],[Chronic RA label]]="MRL"),0,1))</f>
        <v>0</v>
      </c>
      <c r="AB133" s="787">
        <f>IF(OR(Table1[[#This Row],[Acute RA label]]="LOQ",Table1[[#This Row],[Acute RA label]]="",Table1[[#This Row],[Acute RA label]]="MRL"),0,1)</f>
        <v>0</v>
      </c>
    </row>
    <row r="134" spans="1:28" ht="13.5" hidden="1" thickTop="1" x14ac:dyDescent="0.2">
      <c r="A134" s="815">
        <f>Table1[[#This Row],[Code no.]]</f>
        <v>232020</v>
      </c>
      <c r="B134" s="793" t="str">
        <f>Table1[[#This Row],[Commodity or group of commodities to which the MRLs apply]]</f>
        <v>Gherkins</v>
      </c>
      <c r="C134" s="794">
        <f>Table1[[#This Row],[MRL/ proposed MRL /CXL
(mg/kg)]]</f>
        <v>0</v>
      </c>
      <c r="D134" s="795">
        <f>Table1[[#This Row],[Source of MRL]]</f>
        <v>0</v>
      </c>
      <c r="E134" s="797">
        <f>Table1[[#This Row],[Chronic RA input value]]</f>
        <v>0</v>
      </c>
      <c r="F134" s="795" t="str">
        <f>Table1[[#This Row],[Chronic RA label]]</f>
        <v/>
      </c>
      <c r="G134" s="797">
        <f>Table1[[#This Row],[Acute RA input value]]</f>
        <v>0</v>
      </c>
      <c r="H134" s="836" t="str">
        <f>Table1[[#This Row],[Acute RA label]]</f>
        <v/>
      </c>
      <c r="J134" s="553">
        <f>Table22[[#This Row],[Code no.]]</f>
        <v>232020</v>
      </c>
      <c r="K134" s="553" t="str">
        <f>Table22[[#This Row],[Commodity or group of commodities to which the MRLs apply]]</f>
        <v>Gherkins</v>
      </c>
      <c r="L134" s="553">
        <f>Table22[[#This Row],[Source / type of MRL]]</f>
        <v>0</v>
      </c>
      <c r="M134" s="553">
        <f>Table22[[#This Row],[MRL/ proposed MRL /CXL
(mg/kg)]]</f>
        <v>0</v>
      </c>
      <c r="N134" s="553">
        <f>Table22[[#This Row],[LOQ]]</f>
        <v>0</v>
      </c>
      <c r="O134" s="553">
        <f>Table22[[#This Row],[CFrisk for residue definition]]</f>
        <v>0</v>
      </c>
      <c r="P134" s="553">
        <f>Table22[[#This Row],[PeF (peeling factor RD enforcemen)]]</f>
        <v>0</v>
      </c>
      <c r="Q134" s="553">
        <f>Table22[[#This Row],[STMR-RAC (median residue)]]</f>
        <v>0</v>
      </c>
      <c r="R134" s="553">
        <f>Table22[[#This Row],[HR-RAC (highest residue)]]</f>
        <v>0</v>
      </c>
      <c r="S134" s="553">
        <f>Table22[[#This Row],[VF (alternative variability factor)]]</f>
        <v>0</v>
      </c>
      <c r="T134" s="553">
        <f>Table22[[#This Row],[GAP under assessment]]</f>
        <v>0</v>
      </c>
      <c r="U134" s="553">
        <f>Table22[[#This Row],[Post-harvest treatment]]</f>
        <v>0</v>
      </c>
      <c r="V134" s="553" t="str">
        <f>Table22[[#This Row],[Chronic RA label]]</f>
        <v/>
      </c>
      <c r="W134" s="553">
        <f>Table22[[#This Row],[Chronic RA input value]]</f>
        <v>0</v>
      </c>
      <c r="X134" s="1684" t="str">
        <f>Table22[[#This Row],[Acute RA label]]</f>
        <v/>
      </c>
      <c r="Y134" s="553">
        <f>Table22[[#This Row],[Acute RA input value]]</f>
        <v>0</v>
      </c>
      <c r="Z134" s="786">
        <f>SUM(Table1[[#This Row],[chronic value &lt;&gt;MRL/LOQ]:[acute vlue&lt;&gt;MRL/LOQ]])</f>
        <v>0</v>
      </c>
      <c r="AA134" s="786">
        <f>IF(AND($F$5="Refined calculation mode",Table1[[#This Row],[GAP under assessment]]="Y"),1,IF(OR(Table1[[#This Row],[Chronic RA label]]="LOQ",Table1[[#This Row],[Chronic RA label]]="",Table1[[#This Row],[Chronic RA label]]="MRL"),0,1))</f>
        <v>0</v>
      </c>
      <c r="AB134" s="787">
        <f>IF(OR(Table1[[#This Row],[Acute RA label]]="LOQ",Table1[[#This Row],[Acute RA label]]="",Table1[[#This Row],[Acute RA label]]="MRL"),0,1)</f>
        <v>0</v>
      </c>
    </row>
    <row r="135" spans="1:28" ht="13.5" hidden="1" thickTop="1" x14ac:dyDescent="0.2">
      <c r="A135" s="815">
        <f>Table1[[#This Row],[Code no.]]</f>
        <v>232030</v>
      </c>
      <c r="B135" s="793" t="str">
        <f>Table1[[#This Row],[Commodity or group of commodities to which the MRLs apply]]</f>
        <v>Courgettes</v>
      </c>
      <c r="C135" s="794">
        <f>Table1[[#This Row],[MRL/ proposed MRL /CXL
(mg/kg)]]</f>
        <v>0</v>
      </c>
      <c r="D135" s="795">
        <f>Table1[[#This Row],[Source of MRL]]</f>
        <v>0</v>
      </c>
      <c r="E135" s="797">
        <f>Table1[[#This Row],[Chronic RA input value]]</f>
        <v>0</v>
      </c>
      <c r="F135" s="795" t="str">
        <f>Table1[[#This Row],[Chronic RA label]]</f>
        <v/>
      </c>
      <c r="G135" s="797">
        <f>Table1[[#This Row],[Acute RA input value]]</f>
        <v>0</v>
      </c>
      <c r="H135" s="836" t="str">
        <f>Table1[[#This Row],[Acute RA label]]</f>
        <v/>
      </c>
      <c r="J135" s="553">
        <f>Table22[[#This Row],[Code no.]]</f>
        <v>232030</v>
      </c>
      <c r="K135" s="553" t="str">
        <f>Table22[[#This Row],[Commodity or group of commodities to which the MRLs apply]]</f>
        <v>Courgettes</v>
      </c>
      <c r="L135" s="553">
        <f>Table22[[#This Row],[Source / type of MRL]]</f>
        <v>0</v>
      </c>
      <c r="M135" s="553">
        <f>Table22[[#This Row],[MRL/ proposed MRL /CXL
(mg/kg)]]</f>
        <v>0</v>
      </c>
      <c r="N135" s="553">
        <f>Table22[[#This Row],[LOQ]]</f>
        <v>0</v>
      </c>
      <c r="O135" s="553">
        <f>Table22[[#This Row],[CFrisk for residue definition]]</f>
        <v>0</v>
      </c>
      <c r="P135" s="553">
        <f>Table22[[#This Row],[PeF (peeling factor RD enforcemen)]]</f>
        <v>0</v>
      </c>
      <c r="Q135" s="553">
        <f>Table22[[#This Row],[STMR-RAC (median residue)]]</f>
        <v>0</v>
      </c>
      <c r="R135" s="553">
        <f>Table22[[#This Row],[HR-RAC (highest residue)]]</f>
        <v>0</v>
      </c>
      <c r="S135" s="553">
        <f>Table22[[#This Row],[VF (alternative variability factor)]]</f>
        <v>0</v>
      </c>
      <c r="T135" s="553">
        <f>Table22[[#This Row],[GAP under assessment]]</f>
        <v>0</v>
      </c>
      <c r="U135" s="553">
        <f>Table22[[#This Row],[Post-harvest treatment]]</f>
        <v>0</v>
      </c>
      <c r="V135" s="553" t="str">
        <f>Table22[[#This Row],[Chronic RA label]]</f>
        <v/>
      </c>
      <c r="W135" s="553">
        <f>Table22[[#This Row],[Chronic RA input value]]</f>
        <v>0</v>
      </c>
      <c r="X135" s="1684" t="str">
        <f>Table22[[#This Row],[Acute RA label]]</f>
        <v/>
      </c>
      <c r="Y135" s="553">
        <f>Table22[[#This Row],[Acute RA input value]]</f>
        <v>0</v>
      </c>
      <c r="Z135" s="786">
        <f>SUM(Table1[[#This Row],[chronic value &lt;&gt;MRL/LOQ]:[acute vlue&lt;&gt;MRL/LOQ]])</f>
        <v>0</v>
      </c>
      <c r="AA135" s="786">
        <f>IF(AND($F$5="Refined calculation mode",Table1[[#This Row],[GAP under assessment]]="Y"),1,IF(OR(Table1[[#This Row],[Chronic RA label]]="LOQ",Table1[[#This Row],[Chronic RA label]]="",Table1[[#This Row],[Chronic RA label]]="MRL"),0,1))</f>
        <v>0</v>
      </c>
      <c r="AB135" s="787">
        <f>IF(OR(Table1[[#This Row],[Acute RA label]]="LOQ",Table1[[#This Row],[Acute RA label]]="",Table1[[#This Row],[Acute RA label]]="MRL"),0,1)</f>
        <v>0</v>
      </c>
    </row>
    <row r="136" spans="1:28" ht="21.75" hidden="1" thickTop="1" x14ac:dyDescent="0.2">
      <c r="A136" s="815">
        <f>Table1[[#This Row],[Code no.]]</f>
        <v>232990</v>
      </c>
      <c r="B136" s="793" t="str">
        <f>Table1[[#This Row],[Commodity or group of commodities to which the MRLs apply]]</f>
        <v>Other cucurbits - edible peel</v>
      </c>
      <c r="C136" s="794">
        <f>Table1[[#This Row],[MRL/ proposed MRL /CXL
(mg/kg)]]</f>
        <v>0</v>
      </c>
      <c r="D136" s="795">
        <f>Table1[[#This Row],[Source of MRL]]</f>
        <v>0</v>
      </c>
      <c r="E136" s="797">
        <f>Table1[[#This Row],[Chronic RA input value]]</f>
        <v>0</v>
      </c>
      <c r="F136" s="795" t="str">
        <f>Table1[[#This Row],[Chronic RA label]]</f>
        <v/>
      </c>
      <c r="G136" s="797">
        <f>Table1[[#This Row],[Acute RA input value]]</f>
        <v>0</v>
      </c>
      <c r="H136" s="836">
        <f>Table1[[#This Row],[Acute RA label]]</f>
        <v>0</v>
      </c>
      <c r="J136" s="553">
        <f>Table22[[#This Row],[Code no.]]</f>
        <v>232990</v>
      </c>
      <c r="K136" s="553" t="str">
        <f>Table22[[#This Row],[Commodity or group of commodities to which the MRLs apply]]</f>
        <v>Other cucurbits - edible peel</v>
      </c>
      <c r="L136" s="553">
        <f>Table22[[#This Row],[Source / type of MRL]]</f>
        <v>0</v>
      </c>
      <c r="M136" s="553">
        <f>Table22[[#This Row],[MRL/ proposed MRL /CXL
(mg/kg)]]</f>
        <v>0</v>
      </c>
      <c r="N136" s="553">
        <f>Table22[[#This Row],[LOQ]]</f>
        <v>0</v>
      </c>
      <c r="O136" s="553">
        <f>Table22[[#This Row],[CFrisk for residue definition]]</f>
        <v>0</v>
      </c>
      <c r="P136" s="553">
        <f>Table22[[#This Row],[PeF (peeling factor RD enforcemen)]]</f>
        <v>0</v>
      </c>
      <c r="Q136" s="553">
        <f>Table22[[#This Row],[STMR-RAC (median residue)]]</f>
        <v>0</v>
      </c>
      <c r="R136" s="553">
        <f>Table22[[#This Row],[HR-RAC (highest residue)]]</f>
        <v>0</v>
      </c>
      <c r="S136" s="553">
        <f>Table22[[#This Row],[VF (alternative variability factor)]]</f>
        <v>0</v>
      </c>
      <c r="T136" s="553">
        <f>Table22[[#This Row],[GAP under assessment]]</f>
        <v>0</v>
      </c>
      <c r="U136" s="553">
        <f>Table22[[#This Row],[Post-harvest treatment]]</f>
        <v>0</v>
      </c>
      <c r="V136" s="553" t="str">
        <f>Table22[[#This Row],[Chronic RA label]]</f>
        <v/>
      </c>
      <c r="W136" s="553">
        <f>Table22[[#This Row],[Chronic RA input value]]</f>
        <v>0</v>
      </c>
      <c r="X136" s="1684"/>
      <c r="Y136" s="553">
        <f>Table22[[#This Row],[Acute RA input value]]</f>
        <v>0</v>
      </c>
      <c r="Z136" s="786">
        <f>SUM(Table1[[#This Row],[chronic value &lt;&gt;MRL/LOQ]:[acute vlue&lt;&gt;MRL/LOQ]])</f>
        <v>0</v>
      </c>
      <c r="AA136" s="786">
        <f>IF(AND($F$5="Refined calculation mode",Table1[[#This Row],[GAP under assessment]]="Y"),1,IF(OR(Table1[[#This Row],[Chronic RA label]]="LOQ",Table1[[#This Row],[Chronic RA label]]="",Table1[[#This Row],[Chronic RA label]]="MRL"),0,1))</f>
        <v>0</v>
      </c>
      <c r="AB136" s="787">
        <f>IF(OR(Table1[[#This Row],[Acute RA label]]="LOQ",Table1[[#This Row],[Acute RA label]]="",Table1[[#This Row],[Acute RA label]]="MRL"),0,1)</f>
        <v>0</v>
      </c>
    </row>
    <row r="137" spans="1:28" ht="21.75" hidden="1" thickTop="1" x14ac:dyDescent="0.2">
      <c r="A137" s="815">
        <f>Table1[[#This Row],[Code no.]]</f>
        <v>233000</v>
      </c>
      <c r="B137" s="793" t="str">
        <f>Table1[[#This Row],[Commodity or group of commodities to which the MRLs apply]]</f>
        <v>Cucurbits - inedible peel</v>
      </c>
      <c r="C137" s="794">
        <f>Table1[[#This Row],[MRL/ proposed MRL /CXL
(mg/kg)]]</f>
        <v>0</v>
      </c>
      <c r="D137" s="795">
        <f>Table1[[#This Row],[Source of MRL]]</f>
        <v>0</v>
      </c>
      <c r="E137" s="797">
        <f>Table1[[#This Row],[Chronic RA input value]]</f>
        <v>0</v>
      </c>
      <c r="F137" s="795">
        <f>Table1[[#This Row],[Chronic RA label]]</f>
        <v>0</v>
      </c>
      <c r="G137" s="797">
        <f>Table1[[#This Row],[Acute RA input value]]</f>
        <v>0</v>
      </c>
      <c r="H137" s="836">
        <f>Table1[[#This Row],[Acute RA label]]</f>
        <v>0</v>
      </c>
      <c r="J137" s="553">
        <f>Table22[[#This Row],[Code no.]]</f>
        <v>233000</v>
      </c>
      <c r="K137" s="553" t="str">
        <f>Table22[[#This Row],[Commodity or group of commodities to which the MRLs apply]]</f>
        <v>Cucurbits - inedible peel</v>
      </c>
      <c r="L137" s="553">
        <f>Table22[[#This Row],[Source / type of MRL]]</f>
        <v>0</v>
      </c>
      <c r="M137" s="553">
        <f>Table22[[#This Row],[MRL/ proposed MRL /CXL
(mg/kg)]]</f>
        <v>0</v>
      </c>
      <c r="N137" s="553">
        <f>Table22[[#This Row],[LOQ]]</f>
        <v>0</v>
      </c>
      <c r="O137" s="553">
        <f>Table22[[#This Row],[CFrisk for residue definition]]</f>
        <v>0</v>
      </c>
      <c r="P137" s="553">
        <f>Table22[[#This Row],[PeF (peeling factor RD enforcemen)]]</f>
        <v>0</v>
      </c>
      <c r="Q137" s="553">
        <f>Table22[[#This Row],[STMR-RAC (median residue)]]</f>
        <v>0</v>
      </c>
      <c r="R137" s="553">
        <f>Table22[[#This Row],[HR-RAC (highest residue)]]</f>
        <v>0</v>
      </c>
      <c r="S137" s="553">
        <f>Table22[[#This Row],[VF (alternative variability factor)]]</f>
        <v>0</v>
      </c>
      <c r="T137" s="553">
        <f>Table22[[#This Row],[GAP under assessment]]</f>
        <v>0</v>
      </c>
      <c r="U137" s="553">
        <f>Table22[[#This Row],[Post-harvest treatment]]</f>
        <v>0</v>
      </c>
      <c r="V137" s="553"/>
      <c r="W137" s="553">
        <f>Table22[[#This Row],[Chronic RA input value]]</f>
        <v>0</v>
      </c>
      <c r="X137" s="1684"/>
      <c r="Y137" s="553">
        <f>Table22[[#This Row],[Acute RA input value]]</f>
        <v>0</v>
      </c>
      <c r="Z137" s="786">
        <f>SUM(Table1[[#This Row],[chronic value &lt;&gt;MRL/LOQ]:[acute vlue&lt;&gt;MRL/LOQ]])</f>
        <v>0</v>
      </c>
      <c r="AA137" s="786">
        <f>IF(AND($F$5="Refined calculation mode",Table1[[#This Row],[GAP under assessment]]="Y"),1,IF(OR(Table1[[#This Row],[Chronic RA label]]="LOQ",Table1[[#This Row],[Chronic RA label]]="",Table1[[#This Row],[Chronic RA label]]="MRL"),0,1))</f>
        <v>0</v>
      </c>
      <c r="AB137" s="787">
        <f>IF(OR(Table1[[#This Row],[Acute RA label]]="LOQ",Table1[[#This Row],[Acute RA label]]="",Table1[[#This Row],[Acute RA label]]="MRL"),0,1)</f>
        <v>0</v>
      </c>
    </row>
    <row r="138" spans="1:28" ht="13.5" hidden="1" thickTop="1" x14ac:dyDescent="0.2">
      <c r="A138" s="815">
        <f>Table1[[#This Row],[Code no.]]</f>
        <v>233010</v>
      </c>
      <c r="B138" s="793" t="str">
        <f>Table1[[#This Row],[Commodity or group of commodities to which the MRLs apply]]</f>
        <v>Melons</v>
      </c>
      <c r="C138" s="794">
        <f>Table1[[#This Row],[MRL/ proposed MRL /CXL
(mg/kg)]]</f>
        <v>0</v>
      </c>
      <c r="D138" s="795">
        <f>Table1[[#This Row],[Source of MRL]]</f>
        <v>0</v>
      </c>
      <c r="E138" s="797">
        <f>Table1[[#This Row],[Chronic RA input value]]</f>
        <v>0</v>
      </c>
      <c r="F138" s="795" t="str">
        <f>Table1[[#This Row],[Chronic RA label]]</f>
        <v/>
      </c>
      <c r="G138" s="797">
        <f>Table1[[#This Row],[Acute RA input value]]</f>
        <v>0</v>
      </c>
      <c r="H138" s="836" t="str">
        <f>Table1[[#This Row],[Acute RA label]]</f>
        <v/>
      </c>
      <c r="J138" s="553">
        <f>Table22[[#This Row],[Code no.]]</f>
        <v>233010</v>
      </c>
      <c r="K138" s="553" t="str">
        <f>Table22[[#This Row],[Commodity or group of commodities to which the MRLs apply]]</f>
        <v>Melons</v>
      </c>
      <c r="L138" s="553">
        <f>Table22[[#This Row],[Source / type of MRL]]</f>
        <v>0</v>
      </c>
      <c r="M138" s="553">
        <f>Table22[[#This Row],[MRL/ proposed MRL /CXL
(mg/kg)]]</f>
        <v>0</v>
      </c>
      <c r="N138" s="553">
        <f>Table22[[#This Row],[LOQ]]</f>
        <v>0</v>
      </c>
      <c r="O138" s="553">
        <f>Table22[[#This Row],[CFrisk for residue definition]]</f>
        <v>0</v>
      </c>
      <c r="P138" s="553">
        <f>Table22[[#This Row],[PeF (peeling factor RD enforcemen)]]</f>
        <v>0</v>
      </c>
      <c r="Q138" s="553">
        <f>Table22[[#This Row],[STMR-RAC (median residue)]]</f>
        <v>0</v>
      </c>
      <c r="R138" s="553">
        <f>Table22[[#This Row],[HR-RAC (highest residue)]]</f>
        <v>0</v>
      </c>
      <c r="S138" s="553">
        <f>Table22[[#This Row],[VF (alternative variability factor)]]</f>
        <v>0</v>
      </c>
      <c r="T138" s="553">
        <f>Table22[[#This Row],[GAP under assessment]]</f>
        <v>0</v>
      </c>
      <c r="U138" s="553">
        <f>Table22[[#This Row],[Post-harvest treatment]]</f>
        <v>0</v>
      </c>
      <c r="V138" s="553" t="str">
        <f>Table22[[#This Row],[Chronic RA label]]</f>
        <v/>
      </c>
      <c r="W138" s="553">
        <f>Table22[[#This Row],[Chronic RA input value]]</f>
        <v>0</v>
      </c>
      <c r="X138" s="1684" t="str">
        <f>Table22[[#This Row],[Acute RA label]]</f>
        <v/>
      </c>
      <c r="Y138" s="553">
        <f>Table22[[#This Row],[Acute RA input value]]</f>
        <v>0</v>
      </c>
      <c r="Z138" s="786">
        <f>SUM(Table1[[#This Row],[chronic value &lt;&gt;MRL/LOQ]:[acute vlue&lt;&gt;MRL/LOQ]])</f>
        <v>0</v>
      </c>
      <c r="AA138" s="786">
        <f>IF(AND($F$5="Refined calculation mode",Table1[[#This Row],[GAP under assessment]]="Y"),1,IF(OR(Table1[[#This Row],[Chronic RA label]]="LOQ",Table1[[#This Row],[Chronic RA label]]="",Table1[[#This Row],[Chronic RA label]]="MRL"),0,1))</f>
        <v>0</v>
      </c>
      <c r="AB138" s="787">
        <f>IF(OR(Table1[[#This Row],[Acute RA label]]="LOQ",Table1[[#This Row],[Acute RA label]]="",Table1[[#This Row],[Acute RA label]]="MRL"),0,1)</f>
        <v>0</v>
      </c>
    </row>
    <row r="139" spans="1:28" ht="13.5" hidden="1" thickTop="1" x14ac:dyDescent="0.2">
      <c r="A139" s="815">
        <f>Table1[[#This Row],[Code no.]]</f>
        <v>233020</v>
      </c>
      <c r="B139" s="793" t="str">
        <f>Table1[[#This Row],[Commodity or group of commodities to which the MRLs apply]]</f>
        <v>Pumpkins</v>
      </c>
      <c r="C139" s="794">
        <f>Table1[[#This Row],[MRL/ proposed MRL /CXL
(mg/kg)]]</f>
        <v>0</v>
      </c>
      <c r="D139" s="795">
        <f>Table1[[#This Row],[Source of MRL]]</f>
        <v>0</v>
      </c>
      <c r="E139" s="797">
        <f>Table1[[#This Row],[Chronic RA input value]]</f>
        <v>0</v>
      </c>
      <c r="F139" s="795" t="str">
        <f>Table1[[#This Row],[Chronic RA label]]</f>
        <v/>
      </c>
      <c r="G139" s="797">
        <f>Table1[[#This Row],[Acute RA input value]]</f>
        <v>0</v>
      </c>
      <c r="H139" s="836" t="str">
        <f>Table1[[#This Row],[Acute RA label]]</f>
        <v/>
      </c>
      <c r="J139" s="553">
        <f>Table22[[#This Row],[Code no.]]</f>
        <v>233020</v>
      </c>
      <c r="K139" s="553" t="str">
        <f>Table22[[#This Row],[Commodity or group of commodities to which the MRLs apply]]</f>
        <v>Pumpkins</v>
      </c>
      <c r="L139" s="553">
        <f>Table22[[#This Row],[Source / type of MRL]]</f>
        <v>0</v>
      </c>
      <c r="M139" s="553">
        <f>Table22[[#This Row],[MRL/ proposed MRL /CXL
(mg/kg)]]</f>
        <v>0</v>
      </c>
      <c r="N139" s="553">
        <f>Table22[[#This Row],[LOQ]]</f>
        <v>0</v>
      </c>
      <c r="O139" s="553">
        <f>Table22[[#This Row],[CFrisk for residue definition]]</f>
        <v>0</v>
      </c>
      <c r="P139" s="553">
        <f>Table22[[#This Row],[PeF (peeling factor RD enforcemen)]]</f>
        <v>0</v>
      </c>
      <c r="Q139" s="553">
        <f>Table22[[#This Row],[STMR-RAC (median residue)]]</f>
        <v>0</v>
      </c>
      <c r="R139" s="553">
        <f>Table22[[#This Row],[HR-RAC (highest residue)]]</f>
        <v>0</v>
      </c>
      <c r="S139" s="553">
        <f>Table22[[#This Row],[VF (alternative variability factor)]]</f>
        <v>0</v>
      </c>
      <c r="T139" s="553">
        <f>Table22[[#This Row],[GAP under assessment]]</f>
        <v>0</v>
      </c>
      <c r="U139" s="553">
        <f>Table22[[#This Row],[Post-harvest treatment]]</f>
        <v>0</v>
      </c>
      <c r="V139" s="553" t="str">
        <f>Table22[[#This Row],[Chronic RA label]]</f>
        <v/>
      </c>
      <c r="W139" s="553">
        <f>Table22[[#This Row],[Chronic RA input value]]</f>
        <v>0</v>
      </c>
      <c r="X139" s="1684" t="str">
        <f>Table22[[#This Row],[Acute RA label]]</f>
        <v/>
      </c>
      <c r="Y139" s="553">
        <f>Table22[[#This Row],[Acute RA input value]]</f>
        <v>0</v>
      </c>
      <c r="Z139" s="786">
        <f>SUM(Table1[[#This Row],[chronic value &lt;&gt;MRL/LOQ]:[acute vlue&lt;&gt;MRL/LOQ]])</f>
        <v>0</v>
      </c>
      <c r="AA139" s="786">
        <f>IF(AND($F$5="Refined calculation mode",Table1[[#This Row],[GAP under assessment]]="Y"),1,IF(OR(Table1[[#This Row],[Chronic RA label]]="LOQ",Table1[[#This Row],[Chronic RA label]]="",Table1[[#This Row],[Chronic RA label]]="MRL"),0,1))</f>
        <v>0</v>
      </c>
      <c r="AB139" s="787">
        <f>IF(OR(Table1[[#This Row],[Acute RA label]]="LOQ",Table1[[#This Row],[Acute RA label]]="",Table1[[#This Row],[Acute RA label]]="MRL"),0,1)</f>
        <v>0</v>
      </c>
    </row>
    <row r="140" spans="1:28" ht="13.5" hidden="1" thickTop="1" x14ac:dyDescent="0.2">
      <c r="A140" s="815">
        <f>Table1[[#This Row],[Code no.]]</f>
        <v>233030</v>
      </c>
      <c r="B140" s="793" t="str">
        <f>Table1[[#This Row],[Commodity or group of commodities to which the MRLs apply]]</f>
        <v>Watermelons</v>
      </c>
      <c r="C140" s="794">
        <f>Table1[[#This Row],[MRL/ proposed MRL /CXL
(mg/kg)]]</f>
        <v>0</v>
      </c>
      <c r="D140" s="795">
        <f>Table1[[#This Row],[Source of MRL]]</f>
        <v>0</v>
      </c>
      <c r="E140" s="797">
        <f>Table1[[#This Row],[Chronic RA input value]]</f>
        <v>0</v>
      </c>
      <c r="F140" s="795" t="str">
        <f>Table1[[#This Row],[Chronic RA label]]</f>
        <v/>
      </c>
      <c r="G140" s="797">
        <f>Table1[[#This Row],[Acute RA input value]]</f>
        <v>0</v>
      </c>
      <c r="H140" s="836" t="str">
        <f>Table1[[#This Row],[Acute RA label]]</f>
        <v/>
      </c>
      <c r="J140" s="553">
        <f>Table22[[#This Row],[Code no.]]</f>
        <v>233030</v>
      </c>
      <c r="K140" s="553" t="str">
        <f>Table22[[#This Row],[Commodity or group of commodities to which the MRLs apply]]</f>
        <v>Watermelons</v>
      </c>
      <c r="L140" s="553">
        <f>Table22[[#This Row],[Source / type of MRL]]</f>
        <v>0</v>
      </c>
      <c r="M140" s="553">
        <f>Table22[[#This Row],[MRL/ proposed MRL /CXL
(mg/kg)]]</f>
        <v>0</v>
      </c>
      <c r="N140" s="553">
        <f>Table22[[#This Row],[LOQ]]</f>
        <v>0</v>
      </c>
      <c r="O140" s="553">
        <f>Table22[[#This Row],[CFrisk for residue definition]]</f>
        <v>0</v>
      </c>
      <c r="P140" s="553">
        <f>Table22[[#This Row],[PeF (peeling factor RD enforcemen)]]</f>
        <v>0</v>
      </c>
      <c r="Q140" s="553">
        <f>Table22[[#This Row],[STMR-RAC (median residue)]]</f>
        <v>0</v>
      </c>
      <c r="R140" s="553">
        <f>Table22[[#This Row],[HR-RAC (highest residue)]]</f>
        <v>0</v>
      </c>
      <c r="S140" s="553">
        <f>Table22[[#This Row],[VF (alternative variability factor)]]</f>
        <v>0</v>
      </c>
      <c r="T140" s="553">
        <f>Table22[[#This Row],[GAP under assessment]]</f>
        <v>0</v>
      </c>
      <c r="U140" s="553">
        <f>Table22[[#This Row],[Post-harvest treatment]]</f>
        <v>0</v>
      </c>
      <c r="V140" s="553" t="str">
        <f>Table22[[#This Row],[Chronic RA label]]</f>
        <v/>
      </c>
      <c r="W140" s="553">
        <f>Table22[[#This Row],[Chronic RA input value]]</f>
        <v>0</v>
      </c>
      <c r="X140" s="1684" t="str">
        <f>Table22[[#This Row],[Acute RA label]]</f>
        <v/>
      </c>
      <c r="Y140" s="553">
        <f>Table22[[#This Row],[Acute RA input value]]</f>
        <v>0</v>
      </c>
      <c r="Z140" s="786">
        <f>SUM(Table1[[#This Row],[chronic value &lt;&gt;MRL/LOQ]:[acute vlue&lt;&gt;MRL/LOQ]])</f>
        <v>0</v>
      </c>
      <c r="AA140" s="786">
        <f>IF(AND($F$5="Refined calculation mode",Table1[[#This Row],[GAP under assessment]]="Y"),1,IF(OR(Table1[[#This Row],[Chronic RA label]]="LOQ",Table1[[#This Row],[Chronic RA label]]="",Table1[[#This Row],[Chronic RA label]]="MRL"),0,1))</f>
        <v>0</v>
      </c>
      <c r="AB140" s="787">
        <f>IF(OR(Table1[[#This Row],[Acute RA label]]="LOQ",Table1[[#This Row],[Acute RA label]]="",Table1[[#This Row],[Acute RA label]]="MRL"),0,1)</f>
        <v>0</v>
      </c>
    </row>
    <row r="141" spans="1:28" ht="21.75" hidden="1" thickTop="1" x14ac:dyDescent="0.2">
      <c r="A141" s="815">
        <f>Table1[[#This Row],[Code no.]]</f>
        <v>233990</v>
      </c>
      <c r="B141" s="793" t="str">
        <f>Table1[[#This Row],[Commodity or group of commodities to which the MRLs apply]]</f>
        <v>Other cucurbits - inedible peel</v>
      </c>
      <c r="C141" s="794">
        <f>Table1[[#This Row],[MRL/ proposed MRL /CXL
(mg/kg)]]</f>
        <v>0</v>
      </c>
      <c r="D141" s="795">
        <f>Table1[[#This Row],[Source of MRL]]</f>
        <v>0</v>
      </c>
      <c r="E141" s="797">
        <f>Table1[[#This Row],[Chronic RA input value]]</f>
        <v>0</v>
      </c>
      <c r="F141" s="795" t="str">
        <f>Table1[[#This Row],[Chronic RA label]]</f>
        <v/>
      </c>
      <c r="G141" s="797">
        <f>Table1[[#This Row],[Acute RA input value]]</f>
        <v>0</v>
      </c>
      <c r="H141" s="836">
        <f>Table1[[#This Row],[Acute RA label]]</f>
        <v>0</v>
      </c>
      <c r="J141" s="553">
        <f>Table22[[#This Row],[Code no.]]</f>
        <v>233990</v>
      </c>
      <c r="K141" s="553" t="str">
        <f>Table22[[#This Row],[Commodity or group of commodities to which the MRLs apply]]</f>
        <v>Other cucurbits - inedible peel</v>
      </c>
      <c r="L141" s="553">
        <f>Table22[[#This Row],[Source / type of MRL]]</f>
        <v>0</v>
      </c>
      <c r="M141" s="553">
        <f>Table22[[#This Row],[MRL/ proposed MRL /CXL
(mg/kg)]]</f>
        <v>0</v>
      </c>
      <c r="N141" s="553">
        <f>Table22[[#This Row],[LOQ]]</f>
        <v>0</v>
      </c>
      <c r="O141" s="553">
        <f>Table22[[#This Row],[CFrisk for residue definition]]</f>
        <v>0</v>
      </c>
      <c r="P141" s="553">
        <f>Table22[[#This Row],[PeF (peeling factor RD enforcemen)]]</f>
        <v>0</v>
      </c>
      <c r="Q141" s="553">
        <f>Table22[[#This Row],[STMR-RAC (median residue)]]</f>
        <v>0</v>
      </c>
      <c r="R141" s="553">
        <f>Table22[[#This Row],[HR-RAC (highest residue)]]</f>
        <v>0</v>
      </c>
      <c r="S141" s="553">
        <f>Table22[[#This Row],[VF (alternative variability factor)]]</f>
        <v>0</v>
      </c>
      <c r="T141" s="553">
        <f>Table22[[#This Row],[GAP under assessment]]</f>
        <v>0</v>
      </c>
      <c r="U141" s="553">
        <f>Table22[[#This Row],[Post-harvest treatment]]</f>
        <v>0</v>
      </c>
      <c r="V141" s="553" t="str">
        <f>Table22[[#This Row],[Chronic RA label]]</f>
        <v/>
      </c>
      <c r="W141" s="553">
        <f>Table22[[#This Row],[Chronic RA input value]]</f>
        <v>0</v>
      </c>
      <c r="X141" s="1684"/>
      <c r="Y141" s="553">
        <f>Table22[[#This Row],[Acute RA input value]]</f>
        <v>0</v>
      </c>
      <c r="Z141" s="786">
        <f>SUM(Table1[[#This Row],[chronic value &lt;&gt;MRL/LOQ]:[acute vlue&lt;&gt;MRL/LOQ]])</f>
        <v>0</v>
      </c>
      <c r="AA141" s="786">
        <f>IF(AND($F$5="Refined calculation mode",Table1[[#This Row],[GAP under assessment]]="Y"),1,IF(OR(Table1[[#This Row],[Chronic RA label]]="LOQ",Table1[[#This Row],[Chronic RA label]]="",Table1[[#This Row],[Chronic RA label]]="MRL"),0,1))</f>
        <v>0</v>
      </c>
      <c r="AB141" s="787">
        <f>IF(OR(Table1[[#This Row],[Acute RA label]]="LOQ",Table1[[#This Row],[Acute RA label]]="",Table1[[#This Row],[Acute RA label]]="MRL"),0,1)</f>
        <v>0</v>
      </c>
    </row>
    <row r="142" spans="1:28" ht="13.5" hidden="1" thickTop="1" x14ac:dyDescent="0.2">
      <c r="A142" s="815">
        <f>Table1[[#This Row],[Code no.]]</f>
        <v>234000</v>
      </c>
      <c r="B142" s="793" t="str">
        <f>Table1[[#This Row],[Commodity or group of commodities to which the MRLs apply]]</f>
        <v>Sweet corn</v>
      </c>
      <c r="C142" s="794">
        <f>Table1[[#This Row],[MRL/ proposed MRL /CXL
(mg/kg)]]</f>
        <v>0</v>
      </c>
      <c r="D142" s="795">
        <f>Table1[[#This Row],[Source of MRL]]</f>
        <v>0</v>
      </c>
      <c r="E142" s="797">
        <f>Table1[[#This Row],[Chronic RA input value]]</f>
        <v>0</v>
      </c>
      <c r="F142" s="795" t="str">
        <f>Table1[[#This Row],[Chronic RA label]]</f>
        <v/>
      </c>
      <c r="G142" s="797">
        <f>Table1[[#This Row],[Acute RA input value]]</f>
        <v>0</v>
      </c>
      <c r="H142" s="836" t="str">
        <f>Table1[[#This Row],[Acute RA label]]</f>
        <v/>
      </c>
      <c r="J142" s="553">
        <f>Table22[[#This Row],[Code no.]]</f>
        <v>234000</v>
      </c>
      <c r="K142" s="553" t="str">
        <f>Table22[[#This Row],[Commodity or group of commodities to which the MRLs apply]]</f>
        <v>Sweet corn</v>
      </c>
      <c r="L142" s="553">
        <f>Table22[[#This Row],[Source / type of MRL]]</f>
        <v>0</v>
      </c>
      <c r="M142" s="553">
        <f>Table22[[#This Row],[MRL/ proposed MRL /CXL
(mg/kg)]]</f>
        <v>0</v>
      </c>
      <c r="N142" s="553">
        <f>Table22[[#This Row],[LOQ]]</f>
        <v>0</v>
      </c>
      <c r="O142" s="553">
        <f>Table22[[#This Row],[CFrisk for residue definition]]</f>
        <v>0</v>
      </c>
      <c r="P142" s="553">
        <f>Table22[[#This Row],[PeF (peeling factor RD enforcemen)]]</f>
        <v>0</v>
      </c>
      <c r="Q142" s="553">
        <f>Table22[[#This Row],[STMR-RAC (median residue)]]</f>
        <v>0</v>
      </c>
      <c r="R142" s="553">
        <f>Table22[[#This Row],[HR-RAC (highest residue)]]</f>
        <v>0</v>
      </c>
      <c r="S142" s="553">
        <f>Table22[[#This Row],[VF (alternative variability factor)]]</f>
        <v>0</v>
      </c>
      <c r="T142" s="553">
        <f>Table22[[#This Row],[GAP under assessment]]</f>
        <v>0</v>
      </c>
      <c r="U142" s="553">
        <f>Table22[[#This Row],[Post-harvest treatment]]</f>
        <v>0</v>
      </c>
      <c r="V142" s="553" t="str">
        <f>Table22[[#This Row],[Chronic RA label]]</f>
        <v/>
      </c>
      <c r="W142" s="553">
        <f>Table22[[#This Row],[Chronic RA input value]]</f>
        <v>0</v>
      </c>
      <c r="X142" s="1684" t="str">
        <f>Table22[[#This Row],[Acute RA label]]</f>
        <v/>
      </c>
      <c r="Y142" s="553">
        <f>Table22[[#This Row],[Acute RA input value]]</f>
        <v>0</v>
      </c>
      <c r="Z142" s="786">
        <f>SUM(Table1[[#This Row],[chronic value &lt;&gt;MRL/LOQ]:[acute vlue&lt;&gt;MRL/LOQ]])</f>
        <v>0</v>
      </c>
      <c r="AA142" s="786">
        <f>IF(AND($F$5="Refined calculation mode",Table1[[#This Row],[GAP under assessment]]="Y"),1,IF(OR(Table1[[#This Row],[Chronic RA label]]="LOQ",Table1[[#This Row],[Chronic RA label]]="",Table1[[#This Row],[Chronic RA label]]="MRL"),0,1))</f>
        <v>0</v>
      </c>
      <c r="AB142" s="787">
        <f>IF(OR(Table1[[#This Row],[Acute RA label]]="LOQ",Table1[[#This Row],[Acute RA label]]="",Table1[[#This Row],[Acute RA label]]="MRL"),0,1)</f>
        <v>0</v>
      </c>
    </row>
    <row r="143" spans="1:28" ht="21.75" hidden="1" thickTop="1" x14ac:dyDescent="0.2">
      <c r="A143" s="815">
        <f>Table1[[#This Row],[Code no.]]</f>
        <v>239000</v>
      </c>
      <c r="B143" s="793" t="str">
        <f>Table1[[#This Row],[Commodity or group of commodities to which the MRLs apply]]</f>
        <v xml:space="preserve">Other fruiting vegetables </v>
      </c>
      <c r="C143" s="794">
        <f>Table1[[#This Row],[MRL/ proposed MRL /CXL
(mg/kg)]]</f>
        <v>0</v>
      </c>
      <c r="D143" s="795">
        <f>Table1[[#This Row],[Source of MRL]]</f>
        <v>0</v>
      </c>
      <c r="E143" s="797">
        <f>Table1[[#This Row],[Chronic RA input value]]</f>
        <v>0</v>
      </c>
      <c r="F143" s="795">
        <f>Table1[[#This Row],[Chronic RA label]]</f>
        <v>0</v>
      </c>
      <c r="G143" s="797">
        <f>Table1[[#This Row],[Acute RA input value]]</f>
        <v>0</v>
      </c>
      <c r="H143" s="836">
        <f>Table1[[#This Row],[Acute RA label]]</f>
        <v>0</v>
      </c>
      <c r="J143" s="553">
        <f>Table22[[#This Row],[Code no.]]</f>
        <v>239000</v>
      </c>
      <c r="K143" s="553" t="str">
        <f>Table22[[#This Row],[Commodity or group of commodities to which the MRLs apply]]</f>
        <v xml:space="preserve">Other fruiting vegetables </v>
      </c>
      <c r="L143" s="553">
        <f>Table22[[#This Row],[Source / type of MRL]]</f>
        <v>0</v>
      </c>
      <c r="M143" s="553">
        <f>Table22[[#This Row],[MRL/ proposed MRL /CXL
(mg/kg)]]</f>
        <v>0</v>
      </c>
      <c r="N143" s="553">
        <f>Table22[[#This Row],[LOQ]]</f>
        <v>0</v>
      </c>
      <c r="O143" s="553">
        <f>Table22[[#This Row],[CFrisk for residue definition]]</f>
        <v>0</v>
      </c>
      <c r="P143" s="553">
        <f>Table22[[#This Row],[PeF (peeling factor RD enforcemen)]]</f>
        <v>0</v>
      </c>
      <c r="Q143" s="553">
        <f>Table22[[#This Row],[STMR-RAC (median residue)]]</f>
        <v>0</v>
      </c>
      <c r="R143" s="553">
        <f>Table22[[#This Row],[HR-RAC (highest residue)]]</f>
        <v>0</v>
      </c>
      <c r="S143" s="553">
        <f>Table22[[#This Row],[VF (alternative variability factor)]]</f>
        <v>0</v>
      </c>
      <c r="T143" s="553">
        <f>Table22[[#This Row],[GAP under assessment]]</f>
        <v>0</v>
      </c>
      <c r="U143" s="553">
        <f>Table22[[#This Row],[Post-harvest treatment]]</f>
        <v>0</v>
      </c>
      <c r="V143" s="553"/>
      <c r="W143" s="553">
        <f>Table22[[#This Row],[Chronic RA input value]]</f>
        <v>0</v>
      </c>
      <c r="X143" s="1684"/>
      <c r="Y143" s="553">
        <f>Table22[[#This Row],[Acute RA input value]]</f>
        <v>0</v>
      </c>
      <c r="Z143" s="786">
        <f>SUM(Table1[[#This Row],[chronic value &lt;&gt;MRL/LOQ]:[acute vlue&lt;&gt;MRL/LOQ]])</f>
        <v>0</v>
      </c>
      <c r="AA143" s="786">
        <f>IF(AND($F$5="Refined calculation mode",Table1[[#This Row],[GAP under assessment]]="Y"),1,IF(OR(Table1[[#This Row],[Chronic RA label]]="LOQ",Table1[[#This Row],[Chronic RA label]]="",Table1[[#This Row],[Chronic RA label]]="MRL"),0,1))</f>
        <v>0</v>
      </c>
      <c r="AB143" s="787">
        <f>IF(OR(Table1[[#This Row],[Acute RA label]]="LOQ",Table1[[#This Row],[Acute RA label]]="",Table1[[#This Row],[Acute RA label]]="MRL"),0,1)</f>
        <v>0</v>
      </c>
    </row>
    <row r="144" spans="1:28" ht="13.5" hidden="1" thickTop="1" x14ac:dyDescent="0.2">
      <c r="A144" s="815">
        <f>Table1[[#This Row],[Code no.]]</f>
        <v>240000</v>
      </c>
      <c r="B144" s="793" t="str">
        <f>Table1[[#This Row],[Commodity or group of commodities to which the MRLs apply]]</f>
        <v>Brassica vegetables</v>
      </c>
      <c r="C144" s="794">
        <f>Table1[[#This Row],[MRL/ proposed MRL /CXL
(mg/kg)]]</f>
        <v>0</v>
      </c>
      <c r="D144" s="795">
        <f>Table1[[#This Row],[Source of MRL]]</f>
        <v>0</v>
      </c>
      <c r="E144" s="797">
        <f>Table1[[#This Row],[Chronic RA input value]]</f>
        <v>0</v>
      </c>
      <c r="F144" s="795">
        <f>Table1[[#This Row],[Chronic RA label]]</f>
        <v>0</v>
      </c>
      <c r="G144" s="797">
        <f>Table1[[#This Row],[Acute RA input value]]</f>
        <v>0</v>
      </c>
      <c r="H144" s="836">
        <f>Table1[[#This Row],[Acute RA label]]</f>
        <v>0</v>
      </c>
      <c r="J144" s="553">
        <f>Table22[[#This Row],[Code no.]]</f>
        <v>240000</v>
      </c>
      <c r="K144" s="553" t="str">
        <f>Table22[[#This Row],[Commodity or group of commodities to which the MRLs apply]]</f>
        <v>Brassica vegetables</v>
      </c>
      <c r="L144" s="553">
        <f>Table22[[#This Row],[Source / type of MRL]]</f>
        <v>0</v>
      </c>
      <c r="M144" s="553">
        <f>Table22[[#This Row],[MRL/ proposed MRL /CXL
(mg/kg)]]</f>
        <v>0</v>
      </c>
      <c r="N144" s="553">
        <f>Table22[[#This Row],[LOQ]]</f>
        <v>0</v>
      </c>
      <c r="O144" s="553">
        <f>Table22[[#This Row],[CFrisk for residue definition]]</f>
        <v>0</v>
      </c>
      <c r="P144" s="553">
        <f>Table22[[#This Row],[PeF (peeling factor RD enforcemen)]]</f>
        <v>0</v>
      </c>
      <c r="Q144" s="553">
        <f>Table22[[#This Row],[STMR-RAC (median residue)]]</f>
        <v>0</v>
      </c>
      <c r="R144" s="553">
        <f>Table22[[#This Row],[HR-RAC (highest residue)]]</f>
        <v>0</v>
      </c>
      <c r="S144" s="553">
        <f>Table22[[#This Row],[VF (alternative variability factor)]]</f>
        <v>0</v>
      </c>
      <c r="T144" s="553">
        <f>Table22[[#This Row],[GAP under assessment]]</f>
        <v>0</v>
      </c>
      <c r="U144" s="553">
        <f>Table22[[#This Row],[Post-harvest treatment]]</f>
        <v>0</v>
      </c>
      <c r="V144" s="553"/>
      <c r="W144" s="553">
        <f>Table22[[#This Row],[Chronic RA input value]]</f>
        <v>0</v>
      </c>
      <c r="X144" s="1684"/>
      <c r="Y144" s="553">
        <f>Table22[[#This Row],[Acute RA input value]]</f>
        <v>0</v>
      </c>
      <c r="Z144" s="786">
        <f>SUM(Table1[[#This Row],[chronic value &lt;&gt;MRL/LOQ]:[acute vlue&lt;&gt;MRL/LOQ]])</f>
        <v>0</v>
      </c>
      <c r="AA144" s="786">
        <f>IF(AND($F$5="Refined calculation mode",Table1[[#This Row],[GAP under assessment]]="Y"),1,IF(OR(Table1[[#This Row],[Chronic RA label]]="LOQ",Table1[[#This Row],[Chronic RA label]]="",Table1[[#This Row],[Chronic RA label]]="MRL"),0,1))</f>
        <v>0</v>
      </c>
      <c r="AB144" s="787">
        <f>IF(OR(Table1[[#This Row],[Acute RA label]]="LOQ",Table1[[#This Row],[Acute RA label]]="",Table1[[#This Row],[Acute RA label]]="MRL"),0,1)</f>
        <v>0</v>
      </c>
    </row>
    <row r="145" spans="1:28" ht="13.5" hidden="1" thickTop="1" x14ac:dyDescent="0.2">
      <c r="A145" s="815">
        <f>Table1[[#This Row],[Code no.]]</f>
        <v>241000</v>
      </c>
      <c r="B145" s="793" t="str">
        <f>Table1[[#This Row],[Commodity or group of commodities to which the MRLs apply]]</f>
        <v>Flowering brassica</v>
      </c>
      <c r="C145" s="794">
        <f>Table1[[#This Row],[MRL/ proposed MRL /CXL
(mg/kg)]]</f>
        <v>0</v>
      </c>
      <c r="D145" s="795">
        <f>Table1[[#This Row],[Source of MRL]]</f>
        <v>0</v>
      </c>
      <c r="E145" s="797">
        <f>Table1[[#This Row],[Chronic RA input value]]</f>
        <v>0</v>
      </c>
      <c r="F145" s="795">
        <f>Table1[[#This Row],[Chronic RA label]]</f>
        <v>0</v>
      </c>
      <c r="G145" s="797">
        <f>Table1[[#This Row],[Acute RA input value]]</f>
        <v>0</v>
      </c>
      <c r="H145" s="836">
        <f>Table1[[#This Row],[Acute RA label]]</f>
        <v>0</v>
      </c>
      <c r="J145" s="553">
        <f>Table22[[#This Row],[Code no.]]</f>
        <v>241000</v>
      </c>
      <c r="K145" s="553" t="str">
        <f>Table22[[#This Row],[Commodity or group of commodities to which the MRLs apply]]</f>
        <v>Flowering brassica</v>
      </c>
      <c r="L145" s="553">
        <f>Table22[[#This Row],[Source / type of MRL]]</f>
        <v>0</v>
      </c>
      <c r="M145" s="553">
        <f>Table22[[#This Row],[MRL/ proposed MRL /CXL
(mg/kg)]]</f>
        <v>0</v>
      </c>
      <c r="N145" s="553">
        <f>Table22[[#This Row],[LOQ]]</f>
        <v>0</v>
      </c>
      <c r="O145" s="553">
        <f>Table22[[#This Row],[CFrisk for residue definition]]</f>
        <v>0</v>
      </c>
      <c r="P145" s="553">
        <f>Table22[[#This Row],[PeF (peeling factor RD enforcemen)]]</f>
        <v>0</v>
      </c>
      <c r="Q145" s="553">
        <f>Table22[[#This Row],[STMR-RAC (median residue)]]</f>
        <v>0</v>
      </c>
      <c r="R145" s="553">
        <f>Table22[[#This Row],[HR-RAC (highest residue)]]</f>
        <v>0</v>
      </c>
      <c r="S145" s="553">
        <f>Table22[[#This Row],[VF (alternative variability factor)]]</f>
        <v>0</v>
      </c>
      <c r="T145" s="553">
        <f>Table22[[#This Row],[GAP under assessment]]</f>
        <v>0</v>
      </c>
      <c r="U145" s="553">
        <f>Table22[[#This Row],[Post-harvest treatment]]</f>
        <v>0</v>
      </c>
      <c r="V145" s="553"/>
      <c r="W145" s="553">
        <f>Table22[[#This Row],[Chronic RA input value]]</f>
        <v>0</v>
      </c>
      <c r="X145" s="1684"/>
      <c r="Y145" s="553">
        <f>Table22[[#This Row],[Acute RA input value]]</f>
        <v>0</v>
      </c>
      <c r="Z145" s="786">
        <f>SUM(Table1[[#This Row],[chronic value &lt;&gt;MRL/LOQ]:[acute vlue&lt;&gt;MRL/LOQ]])</f>
        <v>0</v>
      </c>
      <c r="AA145" s="786">
        <f>IF(AND($F$5="Refined calculation mode",Table1[[#This Row],[GAP under assessment]]="Y"),1,IF(OR(Table1[[#This Row],[Chronic RA label]]="LOQ",Table1[[#This Row],[Chronic RA label]]="",Table1[[#This Row],[Chronic RA label]]="MRL"),0,1))</f>
        <v>0</v>
      </c>
      <c r="AB145" s="787">
        <f>IF(OR(Table1[[#This Row],[Acute RA label]]="LOQ",Table1[[#This Row],[Acute RA label]]="",Table1[[#This Row],[Acute RA label]]="MRL"),0,1)</f>
        <v>0</v>
      </c>
    </row>
    <row r="146" spans="1:28" ht="13.5" hidden="1" thickTop="1" x14ac:dyDescent="0.2">
      <c r="A146" s="815">
        <f>Table1[[#This Row],[Code no.]]</f>
        <v>241010</v>
      </c>
      <c r="B146" s="793" t="str">
        <f>Table1[[#This Row],[Commodity or group of commodities to which the MRLs apply]]</f>
        <v xml:space="preserve">Broccoli </v>
      </c>
      <c r="C146" s="794">
        <f>Table1[[#This Row],[MRL/ proposed MRL /CXL
(mg/kg)]]</f>
        <v>0</v>
      </c>
      <c r="D146" s="795">
        <f>Table1[[#This Row],[Source of MRL]]</f>
        <v>0</v>
      </c>
      <c r="E146" s="797">
        <f>Table1[[#This Row],[Chronic RA input value]]</f>
        <v>0</v>
      </c>
      <c r="F146" s="795" t="str">
        <f>Table1[[#This Row],[Chronic RA label]]</f>
        <v/>
      </c>
      <c r="G146" s="797">
        <f>Table1[[#This Row],[Acute RA input value]]</f>
        <v>0</v>
      </c>
      <c r="H146" s="836" t="str">
        <f>Table1[[#This Row],[Acute RA label]]</f>
        <v/>
      </c>
      <c r="J146" s="553">
        <f>Table22[[#This Row],[Code no.]]</f>
        <v>241010</v>
      </c>
      <c r="K146" s="553" t="str">
        <f>Table22[[#This Row],[Commodity or group of commodities to which the MRLs apply]]</f>
        <v xml:space="preserve">Broccoli </v>
      </c>
      <c r="L146" s="553">
        <f>Table22[[#This Row],[Source / type of MRL]]</f>
        <v>0</v>
      </c>
      <c r="M146" s="553">
        <f>Table22[[#This Row],[MRL/ proposed MRL /CXL
(mg/kg)]]</f>
        <v>0</v>
      </c>
      <c r="N146" s="553">
        <f>Table22[[#This Row],[LOQ]]</f>
        <v>0</v>
      </c>
      <c r="O146" s="553">
        <f>Table22[[#This Row],[CFrisk for residue definition]]</f>
        <v>0</v>
      </c>
      <c r="P146" s="553">
        <f>Table22[[#This Row],[PeF (peeling factor RD enforcemen)]]</f>
        <v>0</v>
      </c>
      <c r="Q146" s="553">
        <f>Table22[[#This Row],[STMR-RAC (median residue)]]</f>
        <v>0</v>
      </c>
      <c r="R146" s="553">
        <f>Table22[[#This Row],[HR-RAC (highest residue)]]</f>
        <v>0</v>
      </c>
      <c r="S146" s="553">
        <f>Table22[[#This Row],[VF (alternative variability factor)]]</f>
        <v>0</v>
      </c>
      <c r="T146" s="553">
        <f>Table22[[#This Row],[GAP under assessment]]</f>
        <v>0</v>
      </c>
      <c r="U146" s="553">
        <f>Table22[[#This Row],[Post-harvest treatment]]</f>
        <v>0</v>
      </c>
      <c r="V146" s="553" t="str">
        <f>Table22[[#This Row],[Chronic RA label]]</f>
        <v/>
      </c>
      <c r="W146" s="553">
        <f>Table22[[#This Row],[Chronic RA input value]]</f>
        <v>0</v>
      </c>
      <c r="X146" s="1684" t="str">
        <f>Table22[[#This Row],[Acute RA label]]</f>
        <v/>
      </c>
      <c r="Y146" s="553">
        <f>Table22[[#This Row],[Acute RA input value]]</f>
        <v>0</v>
      </c>
      <c r="Z146" s="786">
        <f>SUM(Table1[[#This Row],[chronic value &lt;&gt;MRL/LOQ]:[acute vlue&lt;&gt;MRL/LOQ]])</f>
        <v>0</v>
      </c>
      <c r="AA146" s="786">
        <f>IF(AND($F$5="Refined calculation mode",Table1[[#This Row],[GAP under assessment]]="Y"),1,IF(OR(Table1[[#This Row],[Chronic RA label]]="LOQ",Table1[[#This Row],[Chronic RA label]]="",Table1[[#This Row],[Chronic RA label]]="MRL"),0,1))</f>
        <v>0</v>
      </c>
      <c r="AB146" s="787">
        <f>IF(OR(Table1[[#This Row],[Acute RA label]]="LOQ",Table1[[#This Row],[Acute RA label]]="",Table1[[#This Row],[Acute RA label]]="MRL"),0,1)</f>
        <v>0</v>
      </c>
    </row>
    <row r="147" spans="1:28" ht="13.5" hidden="1" thickTop="1" x14ac:dyDescent="0.2">
      <c r="A147" s="815">
        <f>Table1[[#This Row],[Code no.]]</f>
        <v>241020</v>
      </c>
      <c r="B147" s="793" t="str">
        <f>Table1[[#This Row],[Commodity or group of commodities to which the MRLs apply]]</f>
        <v>Cauliflowers</v>
      </c>
      <c r="C147" s="794">
        <f>Table1[[#This Row],[MRL/ proposed MRL /CXL
(mg/kg)]]</f>
        <v>0</v>
      </c>
      <c r="D147" s="795">
        <f>Table1[[#This Row],[Source of MRL]]</f>
        <v>0</v>
      </c>
      <c r="E147" s="797">
        <f>Table1[[#This Row],[Chronic RA input value]]</f>
        <v>0</v>
      </c>
      <c r="F147" s="795" t="str">
        <f>Table1[[#This Row],[Chronic RA label]]</f>
        <v/>
      </c>
      <c r="G147" s="797">
        <f>Table1[[#This Row],[Acute RA input value]]</f>
        <v>0</v>
      </c>
      <c r="H147" s="836" t="str">
        <f>Table1[[#This Row],[Acute RA label]]</f>
        <v/>
      </c>
      <c r="J147" s="553">
        <f>Table22[[#This Row],[Code no.]]</f>
        <v>241020</v>
      </c>
      <c r="K147" s="553" t="str">
        <f>Table22[[#This Row],[Commodity or group of commodities to which the MRLs apply]]</f>
        <v>Cauliflowers</v>
      </c>
      <c r="L147" s="553">
        <f>Table22[[#This Row],[Source / type of MRL]]</f>
        <v>0</v>
      </c>
      <c r="M147" s="553">
        <f>Table22[[#This Row],[MRL/ proposed MRL /CXL
(mg/kg)]]</f>
        <v>0</v>
      </c>
      <c r="N147" s="553">
        <f>Table22[[#This Row],[LOQ]]</f>
        <v>0</v>
      </c>
      <c r="O147" s="553">
        <f>Table22[[#This Row],[CFrisk for residue definition]]</f>
        <v>0</v>
      </c>
      <c r="P147" s="553">
        <f>Table22[[#This Row],[PeF (peeling factor RD enforcemen)]]</f>
        <v>0</v>
      </c>
      <c r="Q147" s="553">
        <f>Table22[[#This Row],[STMR-RAC (median residue)]]</f>
        <v>0</v>
      </c>
      <c r="R147" s="553">
        <f>Table22[[#This Row],[HR-RAC (highest residue)]]</f>
        <v>0</v>
      </c>
      <c r="S147" s="553">
        <f>Table22[[#This Row],[VF (alternative variability factor)]]</f>
        <v>0</v>
      </c>
      <c r="T147" s="553">
        <f>Table22[[#This Row],[GAP under assessment]]</f>
        <v>0</v>
      </c>
      <c r="U147" s="553">
        <f>Table22[[#This Row],[Post-harvest treatment]]</f>
        <v>0</v>
      </c>
      <c r="V147" s="553" t="str">
        <f>Table22[[#This Row],[Chronic RA label]]</f>
        <v/>
      </c>
      <c r="W147" s="553">
        <f>Table22[[#This Row],[Chronic RA input value]]</f>
        <v>0</v>
      </c>
      <c r="X147" s="1684" t="str">
        <f>Table22[[#This Row],[Acute RA label]]</f>
        <v/>
      </c>
      <c r="Y147" s="553">
        <f>Table22[[#This Row],[Acute RA input value]]</f>
        <v>0</v>
      </c>
      <c r="Z147" s="786">
        <f>SUM(Table1[[#This Row],[chronic value &lt;&gt;MRL/LOQ]:[acute vlue&lt;&gt;MRL/LOQ]])</f>
        <v>0</v>
      </c>
      <c r="AA147" s="786">
        <f>IF(AND($F$5="Refined calculation mode",Table1[[#This Row],[GAP under assessment]]="Y"),1,IF(OR(Table1[[#This Row],[Chronic RA label]]="LOQ",Table1[[#This Row],[Chronic RA label]]="",Table1[[#This Row],[Chronic RA label]]="MRL"),0,1))</f>
        <v>0</v>
      </c>
      <c r="AB147" s="787">
        <f>IF(OR(Table1[[#This Row],[Acute RA label]]="LOQ",Table1[[#This Row],[Acute RA label]]="",Table1[[#This Row],[Acute RA label]]="MRL"),0,1)</f>
        <v>0</v>
      </c>
    </row>
    <row r="148" spans="1:28" ht="21.75" hidden="1" thickTop="1" x14ac:dyDescent="0.2">
      <c r="A148" s="815">
        <f>Table1[[#This Row],[Code no.]]</f>
        <v>241990</v>
      </c>
      <c r="B148" s="793" t="str">
        <f>Table1[[#This Row],[Commodity or group of commodities to which the MRLs apply]]</f>
        <v>Other flowering brassica</v>
      </c>
      <c r="C148" s="794">
        <f>Table1[[#This Row],[MRL/ proposed MRL /CXL
(mg/kg)]]</f>
        <v>0</v>
      </c>
      <c r="D148" s="795">
        <f>Table1[[#This Row],[Source of MRL]]</f>
        <v>0</v>
      </c>
      <c r="E148" s="797">
        <f>Table1[[#This Row],[Chronic RA input value]]</f>
        <v>0</v>
      </c>
      <c r="F148" s="795" t="str">
        <f>Table1[[#This Row],[Chronic RA label]]</f>
        <v/>
      </c>
      <c r="G148" s="797">
        <f>Table1[[#This Row],[Acute RA input value]]</f>
        <v>0</v>
      </c>
      <c r="H148" s="836">
        <f>Table1[[#This Row],[Acute RA label]]</f>
        <v>0</v>
      </c>
      <c r="J148" s="553">
        <f>Table22[[#This Row],[Code no.]]</f>
        <v>241990</v>
      </c>
      <c r="K148" s="553" t="str">
        <f>Table22[[#This Row],[Commodity or group of commodities to which the MRLs apply]]</f>
        <v>Other flowering brassica</v>
      </c>
      <c r="L148" s="553">
        <f>Table22[[#This Row],[Source / type of MRL]]</f>
        <v>0</v>
      </c>
      <c r="M148" s="553">
        <f>Table22[[#This Row],[MRL/ proposed MRL /CXL
(mg/kg)]]</f>
        <v>0</v>
      </c>
      <c r="N148" s="553">
        <f>Table22[[#This Row],[LOQ]]</f>
        <v>0</v>
      </c>
      <c r="O148" s="553">
        <f>Table22[[#This Row],[CFrisk for residue definition]]</f>
        <v>0</v>
      </c>
      <c r="P148" s="553">
        <f>Table22[[#This Row],[PeF (peeling factor RD enforcemen)]]</f>
        <v>0</v>
      </c>
      <c r="Q148" s="553">
        <f>Table22[[#This Row],[STMR-RAC (median residue)]]</f>
        <v>0</v>
      </c>
      <c r="R148" s="553">
        <f>Table22[[#This Row],[HR-RAC (highest residue)]]</f>
        <v>0</v>
      </c>
      <c r="S148" s="553">
        <f>Table22[[#This Row],[VF (alternative variability factor)]]</f>
        <v>0</v>
      </c>
      <c r="T148" s="553">
        <f>Table22[[#This Row],[GAP under assessment]]</f>
        <v>0</v>
      </c>
      <c r="U148" s="553">
        <f>Table22[[#This Row],[Post-harvest treatment]]</f>
        <v>0</v>
      </c>
      <c r="V148" s="553" t="str">
        <f>Table22[[#This Row],[Chronic RA label]]</f>
        <v/>
      </c>
      <c r="W148" s="553">
        <f>Table22[[#This Row],[Chronic RA input value]]</f>
        <v>0</v>
      </c>
      <c r="X148" s="1684"/>
      <c r="Y148" s="553">
        <f>Table22[[#This Row],[Acute RA input value]]</f>
        <v>0</v>
      </c>
      <c r="Z148" s="786">
        <f>SUM(Table1[[#This Row],[chronic value &lt;&gt;MRL/LOQ]:[acute vlue&lt;&gt;MRL/LOQ]])</f>
        <v>0</v>
      </c>
      <c r="AA148" s="786">
        <f>IF(AND($F$5="Refined calculation mode",Table1[[#This Row],[GAP under assessment]]="Y"),1,IF(OR(Table1[[#This Row],[Chronic RA label]]="LOQ",Table1[[#This Row],[Chronic RA label]]="",Table1[[#This Row],[Chronic RA label]]="MRL"),0,1))</f>
        <v>0</v>
      </c>
      <c r="AB148" s="787">
        <f>IF(OR(Table1[[#This Row],[Acute RA label]]="LOQ",Table1[[#This Row],[Acute RA label]]="",Table1[[#This Row],[Acute RA label]]="MRL"),0,1)</f>
        <v>0</v>
      </c>
    </row>
    <row r="149" spans="1:28" ht="13.5" hidden="1" thickTop="1" x14ac:dyDescent="0.2">
      <c r="A149" s="815">
        <f>Table1[[#This Row],[Code no.]]</f>
        <v>242000</v>
      </c>
      <c r="B149" s="793" t="str">
        <f>Table1[[#This Row],[Commodity or group of commodities to which the MRLs apply]]</f>
        <v>Head brassica</v>
      </c>
      <c r="C149" s="794">
        <f>Table1[[#This Row],[MRL/ proposed MRL /CXL
(mg/kg)]]</f>
        <v>0</v>
      </c>
      <c r="D149" s="795">
        <f>Table1[[#This Row],[Source of MRL]]</f>
        <v>0</v>
      </c>
      <c r="E149" s="797">
        <f>Table1[[#This Row],[Chronic RA input value]]</f>
        <v>0</v>
      </c>
      <c r="F149" s="795">
        <f>Table1[[#This Row],[Chronic RA label]]</f>
        <v>0</v>
      </c>
      <c r="G149" s="797">
        <f>Table1[[#This Row],[Acute RA input value]]</f>
        <v>0</v>
      </c>
      <c r="H149" s="836">
        <f>Table1[[#This Row],[Acute RA label]]</f>
        <v>0</v>
      </c>
      <c r="J149" s="553">
        <f>Table22[[#This Row],[Code no.]]</f>
        <v>242000</v>
      </c>
      <c r="K149" s="553" t="str">
        <f>Table22[[#This Row],[Commodity or group of commodities to which the MRLs apply]]</f>
        <v>Head brassica</v>
      </c>
      <c r="L149" s="553">
        <f>Table22[[#This Row],[Source / type of MRL]]</f>
        <v>0</v>
      </c>
      <c r="M149" s="553">
        <f>Table22[[#This Row],[MRL/ proposed MRL /CXL
(mg/kg)]]</f>
        <v>0</v>
      </c>
      <c r="N149" s="553">
        <f>Table22[[#This Row],[LOQ]]</f>
        <v>0</v>
      </c>
      <c r="O149" s="553">
        <f>Table22[[#This Row],[CFrisk for residue definition]]</f>
        <v>0</v>
      </c>
      <c r="P149" s="553">
        <f>Table22[[#This Row],[PeF (peeling factor RD enforcemen)]]</f>
        <v>0</v>
      </c>
      <c r="Q149" s="553">
        <f>Table22[[#This Row],[STMR-RAC (median residue)]]</f>
        <v>0</v>
      </c>
      <c r="R149" s="553">
        <f>Table22[[#This Row],[HR-RAC (highest residue)]]</f>
        <v>0</v>
      </c>
      <c r="S149" s="553">
        <f>Table22[[#This Row],[VF (alternative variability factor)]]</f>
        <v>0</v>
      </c>
      <c r="T149" s="553">
        <f>Table22[[#This Row],[GAP under assessment]]</f>
        <v>0</v>
      </c>
      <c r="U149" s="553">
        <f>Table22[[#This Row],[Post-harvest treatment]]</f>
        <v>0</v>
      </c>
      <c r="V149" s="553"/>
      <c r="W149" s="553">
        <f>Table22[[#This Row],[Chronic RA input value]]</f>
        <v>0</v>
      </c>
      <c r="X149" s="1684"/>
      <c r="Y149" s="553">
        <f>Table22[[#This Row],[Acute RA input value]]</f>
        <v>0</v>
      </c>
      <c r="Z149" s="786">
        <f>SUM(Table1[[#This Row],[chronic value &lt;&gt;MRL/LOQ]:[acute vlue&lt;&gt;MRL/LOQ]])</f>
        <v>0</v>
      </c>
      <c r="AA149" s="786">
        <f>IF(AND($F$5="Refined calculation mode",Table1[[#This Row],[GAP under assessment]]="Y"),1,IF(OR(Table1[[#This Row],[Chronic RA label]]="LOQ",Table1[[#This Row],[Chronic RA label]]="",Table1[[#This Row],[Chronic RA label]]="MRL"),0,1))</f>
        <v>0</v>
      </c>
      <c r="AB149" s="787">
        <f>IF(OR(Table1[[#This Row],[Acute RA label]]="LOQ",Table1[[#This Row],[Acute RA label]]="",Table1[[#This Row],[Acute RA label]]="MRL"),0,1)</f>
        <v>0</v>
      </c>
    </row>
    <row r="150" spans="1:28" ht="13.5" hidden="1" thickTop="1" x14ac:dyDescent="0.2">
      <c r="A150" s="815">
        <f>Table1[[#This Row],[Code no.]]</f>
        <v>242010</v>
      </c>
      <c r="B150" s="793" t="str">
        <f>Table1[[#This Row],[Commodity or group of commodities to which the MRLs apply]]</f>
        <v>Brussels sprouts</v>
      </c>
      <c r="C150" s="794">
        <f>Table1[[#This Row],[MRL/ proposed MRL /CXL
(mg/kg)]]</f>
        <v>0</v>
      </c>
      <c r="D150" s="795">
        <f>Table1[[#This Row],[Source of MRL]]</f>
        <v>0</v>
      </c>
      <c r="E150" s="797">
        <f>Table1[[#This Row],[Chronic RA input value]]</f>
        <v>0</v>
      </c>
      <c r="F150" s="795" t="str">
        <f>Table1[[#This Row],[Chronic RA label]]</f>
        <v/>
      </c>
      <c r="G150" s="797">
        <f>Table1[[#This Row],[Acute RA input value]]</f>
        <v>0</v>
      </c>
      <c r="H150" s="836" t="str">
        <f>Table1[[#This Row],[Acute RA label]]</f>
        <v/>
      </c>
      <c r="J150" s="553">
        <f>Table22[[#This Row],[Code no.]]</f>
        <v>242010</v>
      </c>
      <c r="K150" s="553" t="str">
        <f>Table22[[#This Row],[Commodity or group of commodities to which the MRLs apply]]</f>
        <v>Brussels sprouts</v>
      </c>
      <c r="L150" s="553">
        <f>Table22[[#This Row],[Source / type of MRL]]</f>
        <v>0</v>
      </c>
      <c r="M150" s="553">
        <f>Table22[[#This Row],[MRL/ proposed MRL /CXL
(mg/kg)]]</f>
        <v>0</v>
      </c>
      <c r="N150" s="553">
        <f>Table22[[#This Row],[LOQ]]</f>
        <v>0</v>
      </c>
      <c r="O150" s="553">
        <f>Table22[[#This Row],[CFrisk for residue definition]]</f>
        <v>0</v>
      </c>
      <c r="P150" s="553">
        <f>Table22[[#This Row],[PeF (peeling factor RD enforcemen)]]</f>
        <v>0</v>
      </c>
      <c r="Q150" s="553">
        <f>Table22[[#This Row],[STMR-RAC (median residue)]]</f>
        <v>0</v>
      </c>
      <c r="R150" s="553">
        <f>Table22[[#This Row],[HR-RAC (highest residue)]]</f>
        <v>0</v>
      </c>
      <c r="S150" s="553">
        <f>Table22[[#This Row],[VF (alternative variability factor)]]</f>
        <v>0</v>
      </c>
      <c r="T150" s="553">
        <f>Table22[[#This Row],[GAP under assessment]]</f>
        <v>0</v>
      </c>
      <c r="U150" s="553">
        <f>Table22[[#This Row],[Post-harvest treatment]]</f>
        <v>0</v>
      </c>
      <c r="V150" s="553" t="str">
        <f>Table22[[#This Row],[Chronic RA label]]</f>
        <v/>
      </c>
      <c r="W150" s="553">
        <f>Table22[[#This Row],[Chronic RA input value]]</f>
        <v>0</v>
      </c>
      <c r="X150" s="1684" t="str">
        <f>Table22[[#This Row],[Acute RA label]]</f>
        <v/>
      </c>
      <c r="Y150" s="553">
        <f>Table22[[#This Row],[Acute RA input value]]</f>
        <v>0</v>
      </c>
      <c r="Z150" s="786">
        <f>SUM(Table1[[#This Row],[chronic value &lt;&gt;MRL/LOQ]:[acute vlue&lt;&gt;MRL/LOQ]])</f>
        <v>0</v>
      </c>
      <c r="AA150" s="786">
        <f>IF(AND($F$5="Refined calculation mode",Table1[[#This Row],[GAP under assessment]]="Y"),1,IF(OR(Table1[[#This Row],[Chronic RA label]]="LOQ",Table1[[#This Row],[Chronic RA label]]="",Table1[[#This Row],[Chronic RA label]]="MRL"),0,1))</f>
        <v>0</v>
      </c>
      <c r="AB150" s="787">
        <f>IF(OR(Table1[[#This Row],[Acute RA label]]="LOQ",Table1[[#This Row],[Acute RA label]]="",Table1[[#This Row],[Acute RA label]]="MRL"),0,1)</f>
        <v>0</v>
      </c>
    </row>
    <row r="151" spans="1:28" ht="13.5" hidden="1" thickTop="1" x14ac:dyDescent="0.2">
      <c r="A151" s="815">
        <f>Table1[[#This Row],[Code no.]]</f>
        <v>242020</v>
      </c>
      <c r="B151" s="793" t="str">
        <f>Table1[[#This Row],[Commodity or group of commodities to which the MRLs apply]]</f>
        <v>Head cabbages</v>
      </c>
      <c r="C151" s="794">
        <f>Table1[[#This Row],[MRL/ proposed MRL /CXL
(mg/kg)]]</f>
        <v>0</v>
      </c>
      <c r="D151" s="795">
        <f>Table1[[#This Row],[Source of MRL]]</f>
        <v>0</v>
      </c>
      <c r="E151" s="797">
        <f>Table1[[#This Row],[Chronic RA input value]]</f>
        <v>0</v>
      </c>
      <c r="F151" s="795" t="str">
        <f>Table1[[#This Row],[Chronic RA label]]</f>
        <v/>
      </c>
      <c r="G151" s="797">
        <f>Table1[[#This Row],[Acute RA input value]]</f>
        <v>0</v>
      </c>
      <c r="H151" s="836" t="str">
        <f>Table1[[#This Row],[Acute RA label]]</f>
        <v/>
      </c>
      <c r="J151" s="553">
        <f>Table22[[#This Row],[Code no.]]</f>
        <v>242020</v>
      </c>
      <c r="K151" s="553" t="str">
        <f>Table22[[#This Row],[Commodity or group of commodities to which the MRLs apply]]</f>
        <v>Head cabbages</v>
      </c>
      <c r="L151" s="553">
        <f>Table22[[#This Row],[Source / type of MRL]]</f>
        <v>0</v>
      </c>
      <c r="M151" s="553">
        <f>Table22[[#This Row],[MRL/ proposed MRL /CXL
(mg/kg)]]</f>
        <v>0</v>
      </c>
      <c r="N151" s="553">
        <f>Table22[[#This Row],[LOQ]]</f>
        <v>0</v>
      </c>
      <c r="O151" s="553">
        <f>Table22[[#This Row],[CFrisk for residue definition]]</f>
        <v>0</v>
      </c>
      <c r="P151" s="553">
        <f>Table22[[#This Row],[PeF (peeling factor RD enforcemen)]]</f>
        <v>0</v>
      </c>
      <c r="Q151" s="553">
        <f>Table22[[#This Row],[STMR-RAC (median residue)]]</f>
        <v>0</v>
      </c>
      <c r="R151" s="553">
        <f>Table22[[#This Row],[HR-RAC (highest residue)]]</f>
        <v>0</v>
      </c>
      <c r="S151" s="553">
        <f>Table22[[#This Row],[VF (alternative variability factor)]]</f>
        <v>0</v>
      </c>
      <c r="T151" s="553">
        <f>Table22[[#This Row],[GAP under assessment]]</f>
        <v>0</v>
      </c>
      <c r="U151" s="553">
        <f>Table22[[#This Row],[Post-harvest treatment]]</f>
        <v>0</v>
      </c>
      <c r="V151" s="553" t="str">
        <f>Table22[[#This Row],[Chronic RA label]]</f>
        <v/>
      </c>
      <c r="W151" s="553">
        <f>Table22[[#This Row],[Chronic RA input value]]</f>
        <v>0</v>
      </c>
      <c r="X151" s="1684" t="str">
        <f>Table22[[#This Row],[Acute RA label]]</f>
        <v/>
      </c>
      <c r="Y151" s="553">
        <f>Table22[[#This Row],[Acute RA input value]]</f>
        <v>0</v>
      </c>
      <c r="Z151" s="786">
        <f>SUM(Table1[[#This Row],[chronic value &lt;&gt;MRL/LOQ]:[acute vlue&lt;&gt;MRL/LOQ]])</f>
        <v>0</v>
      </c>
      <c r="AA151" s="786">
        <f>IF(AND($F$5="Refined calculation mode",Table1[[#This Row],[GAP under assessment]]="Y"),1,IF(OR(Table1[[#This Row],[Chronic RA label]]="LOQ",Table1[[#This Row],[Chronic RA label]]="",Table1[[#This Row],[Chronic RA label]]="MRL"),0,1))</f>
        <v>0</v>
      </c>
      <c r="AB151" s="787">
        <f>IF(OR(Table1[[#This Row],[Acute RA label]]="LOQ",Table1[[#This Row],[Acute RA label]]="",Table1[[#This Row],[Acute RA label]]="MRL"),0,1)</f>
        <v>0</v>
      </c>
    </row>
    <row r="152" spans="1:28" ht="13.5" hidden="1" thickTop="1" x14ac:dyDescent="0.2">
      <c r="A152" s="815">
        <f>Table1[[#This Row],[Code no.]]</f>
        <v>242990</v>
      </c>
      <c r="B152" s="793" t="str">
        <f>Table1[[#This Row],[Commodity or group of commodities to which the MRLs apply]]</f>
        <v>Other head brassica</v>
      </c>
      <c r="C152" s="794">
        <f>Table1[[#This Row],[MRL/ proposed MRL /CXL
(mg/kg)]]</f>
        <v>0</v>
      </c>
      <c r="D152" s="795">
        <f>Table1[[#This Row],[Source of MRL]]</f>
        <v>0</v>
      </c>
      <c r="E152" s="797">
        <f>Table1[[#This Row],[Chronic RA input value]]</f>
        <v>0</v>
      </c>
      <c r="F152" s="795" t="str">
        <f>Table1[[#This Row],[Chronic RA label]]</f>
        <v/>
      </c>
      <c r="G152" s="797">
        <f>Table1[[#This Row],[Acute RA input value]]</f>
        <v>0</v>
      </c>
      <c r="H152" s="836">
        <f>Table1[[#This Row],[Acute RA label]]</f>
        <v>0</v>
      </c>
      <c r="J152" s="553">
        <f>Table22[[#This Row],[Code no.]]</f>
        <v>242990</v>
      </c>
      <c r="K152" s="553" t="str">
        <f>Table22[[#This Row],[Commodity or group of commodities to which the MRLs apply]]</f>
        <v>Other head brassica</v>
      </c>
      <c r="L152" s="553">
        <f>Table22[[#This Row],[Source / type of MRL]]</f>
        <v>0</v>
      </c>
      <c r="M152" s="553">
        <f>Table22[[#This Row],[MRL/ proposed MRL /CXL
(mg/kg)]]</f>
        <v>0</v>
      </c>
      <c r="N152" s="553">
        <f>Table22[[#This Row],[LOQ]]</f>
        <v>0</v>
      </c>
      <c r="O152" s="553">
        <f>Table22[[#This Row],[CFrisk for residue definition]]</f>
        <v>0</v>
      </c>
      <c r="P152" s="553">
        <f>Table22[[#This Row],[PeF (peeling factor RD enforcemen)]]</f>
        <v>0</v>
      </c>
      <c r="Q152" s="553">
        <f>Table22[[#This Row],[STMR-RAC (median residue)]]</f>
        <v>0</v>
      </c>
      <c r="R152" s="553">
        <f>Table22[[#This Row],[HR-RAC (highest residue)]]</f>
        <v>0</v>
      </c>
      <c r="S152" s="553">
        <f>Table22[[#This Row],[VF (alternative variability factor)]]</f>
        <v>0</v>
      </c>
      <c r="T152" s="553">
        <f>Table22[[#This Row],[GAP under assessment]]</f>
        <v>0</v>
      </c>
      <c r="U152" s="553">
        <f>Table22[[#This Row],[Post-harvest treatment]]</f>
        <v>0</v>
      </c>
      <c r="V152" s="553" t="str">
        <f>Table22[[#This Row],[Chronic RA label]]</f>
        <v/>
      </c>
      <c r="W152" s="553">
        <f>Table22[[#This Row],[Chronic RA input value]]</f>
        <v>0</v>
      </c>
      <c r="X152" s="1684"/>
      <c r="Y152" s="553">
        <f>Table22[[#This Row],[Acute RA input value]]</f>
        <v>0</v>
      </c>
      <c r="Z152" s="786">
        <f>SUM(Table1[[#This Row],[chronic value &lt;&gt;MRL/LOQ]:[acute vlue&lt;&gt;MRL/LOQ]])</f>
        <v>0</v>
      </c>
      <c r="AA152" s="786">
        <f>IF(AND($F$5="Refined calculation mode",Table1[[#This Row],[GAP under assessment]]="Y"),1,IF(OR(Table1[[#This Row],[Chronic RA label]]="LOQ",Table1[[#This Row],[Chronic RA label]]="",Table1[[#This Row],[Chronic RA label]]="MRL"),0,1))</f>
        <v>0</v>
      </c>
      <c r="AB152" s="787">
        <f>IF(OR(Table1[[#This Row],[Acute RA label]]="LOQ",Table1[[#This Row],[Acute RA label]]="",Table1[[#This Row],[Acute RA label]]="MRL"),0,1)</f>
        <v>0</v>
      </c>
    </row>
    <row r="153" spans="1:28" ht="13.5" hidden="1" thickTop="1" x14ac:dyDescent="0.2">
      <c r="A153" s="815">
        <f>Table1[[#This Row],[Code no.]]</f>
        <v>243000</v>
      </c>
      <c r="B153" s="793" t="str">
        <f>Table1[[#This Row],[Commodity or group of commodities to which the MRLs apply]]</f>
        <v>Leafy brassica</v>
      </c>
      <c r="C153" s="794">
        <f>Table1[[#This Row],[MRL/ proposed MRL /CXL
(mg/kg)]]</f>
        <v>0</v>
      </c>
      <c r="D153" s="795">
        <f>Table1[[#This Row],[Source of MRL]]</f>
        <v>0</v>
      </c>
      <c r="E153" s="797">
        <f>Table1[[#This Row],[Chronic RA input value]]</f>
        <v>0</v>
      </c>
      <c r="F153" s="795">
        <f>Table1[[#This Row],[Chronic RA label]]</f>
        <v>0</v>
      </c>
      <c r="G153" s="797">
        <f>Table1[[#This Row],[Acute RA input value]]</f>
        <v>0</v>
      </c>
      <c r="H153" s="836">
        <f>Table1[[#This Row],[Acute RA label]]</f>
        <v>0</v>
      </c>
      <c r="J153" s="553">
        <f>Table22[[#This Row],[Code no.]]</f>
        <v>243000</v>
      </c>
      <c r="K153" s="553" t="str">
        <f>Table22[[#This Row],[Commodity or group of commodities to which the MRLs apply]]</f>
        <v>Leafy brassica</v>
      </c>
      <c r="L153" s="553">
        <f>Table22[[#This Row],[Source / type of MRL]]</f>
        <v>0</v>
      </c>
      <c r="M153" s="553">
        <f>Table22[[#This Row],[MRL/ proposed MRL /CXL
(mg/kg)]]</f>
        <v>0</v>
      </c>
      <c r="N153" s="553">
        <f>Table22[[#This Row],[LOQ]]</f>
        <v>0</v>
      </c>
      <c r="O153" s="553">
        <f>Table22[[#This Row],[CFrisk for residue definition]]</f>
        <v>0</v>
      </c>
      <c r="P153" s="553">
        <f>Table22[[#This Row],[PeF (peeling factor RD enforcemen)]]</f>
        <v>0</v>
      </c>
      <c r="Q153" s="553">
        <f>Table22[[#This Row],[STMR-RAC (median residue)]]</f>
        <v>0</v>
      </c>
      <c r="R153" s="553">
        <f>Table22[[#This Row],[HR-RAC (highest residue)]]</f>
        <v>0</v>
      </c>
      <c r="S153" s="553">
        <f>Table22[[#This Row],[VF (alternative variability factor)]]</f>
        <v>0</v>
      </c>
      <c r="T153" s="553">
        <f>Table22[[#This Row],[GAP under assessment]]</f>
        <v>0</v>
      </c>
      <c r="U153" s="553">
        <f>Table22[[#This Row],[Post-harvest treatment]]</f>
        <v>0</v>
      </c>
      <c r="V153" s="553"/>
      <c r="W153" s="553">
        <f>Table22[[#This Row],[Chronic RA input value]]</f>
        <v>0</v>
      </c>
      <c r="X153" s="1684"/>
      <c r="Y153" s="553">
        <f>Table22[[#This Row],[Acute RA input value]]</f>
        <v>0</v>
      </c>
      <c r="Z153" s="786">
        <f>SUM(Table1[[#This Row],[chronic value &lt;&gt;MRL/LOQ]:[acute vlue&lt;&gt;MRL/LOQ]])</f>
        <v>0</v>
      </c>
      <c r="AA153" s="786">
        <f>IF(AND($F$5="Refined calculation mode",Table1[[#This Row],[GAP under assessment]]="Y"),1,IF(OR(Table1[[#This Row],[Chronic RA label]]="LOQ",Table1[[#This Row],[Chronic RA label]]="",Table1[[#This Row],[Chronic RA label]]="MRL"),0,1))</f>
        <v>0</v>
      </c>
      <c r="AB153" s="787">
        <f>IF(OR(Table1[[#This Row],[Acute RA label]]="LOQ",Table1[[#This Row],[Acute RA label]]="",Table1[[#This Row],[Acute RA label]]="MRL"),0,1)</f>
        <v>0</v>
      </c>
    </row>
    <row r="154" spans="1:28" ht="21.75" hidden="1" thickTop="1" x14ac:dyDescent="0.2">
      <c r="A154" s="815">
        <f>Table1[[#This Row],[Code no.]]</f>
        <v>243010</v>
      </c>
      <c r="B154" s="793" t="str">
        <f>Table1[[#This Row],[Commodity or group of commodities to which the MRLs apply]]</f>
        <v>Chinese cabbages/pe-tsai</v>
      </c>
      <c r="C154" s="794">
        <f>Table1[[#This Row],[MRL/ proposed MRL /CXL
(mg/kg)]]</f>
        <v>0</v>
      </c>
      <c r="D154" s="795">
        <f>Table1[[#This Row],[Source of MRL]]</f>
        <v>0</v>
      </c>
      <c r="E154" s="797">
        <f>Table1[[#This Row],[Chronic RA input value]]</f>
        <v>0</v>
      </c>
      <c r="F154" s="795" t="str">
        <f>Table1[[#This Row],[Chronic RA label]]</f>
        <v/>
      </c>
      <c r="G154" s="797">
        <f>Table1[[#This Row],[Acute RA input value]]</f>
        <v>0</v>
      </c>
      <c r="H154" s="836" t="str">
        <f>Table1[[#This Row],[Acute RA label]]</f>
        <v/>
      </c>
      <c r="J154" s="553">
        <f>Table22[[#This Row],[Code no.]]</f>
        <v>243010</v>
      </c>
      <c r="K154" s="553" t="str">
        <f>Table22[[#This Row],[Commodity or group of commodities to which the MRLs apply]]</f>
        <v>Chinese cabbages/pe-tsai</v>
      </c>
      <c r="L154" s="553">
        <f>Table22[[#This Row],[Source / type of MRL]]</f>
        <v>0</v>
      </c>
      <c r="M154" s="553">
        <f>Table22[[#This Row],[MRL/ proposed MRL /CXL
(mg/kg)]]</f>
        <v>0</v>
      </c>
      <c r="N154" s="553">
        <f>Table22[[#This Row],[LOQ]]</f>
        <v>0</v>
      </c>
      <c r="O154" s="553">
        <f>Table22[[#This Row],[CFrisk for residue definition]]</f>
        <v>0</v>
      </c>
      <c r="P154" s="553">
        <f>Table22[[#This Row],[PeF (peeling factor RD enforcemen)]]</f>
        <v>0</v>
      </c>
      <c r="Q154" s="553">
        <f>Table22[[#This Row],[STMR-RAC (median residue)]]</f>
        <v>0</v>
      </c>
      <c r="R154" s="553">
        <f>Table22[[#This Row],[HR-RAC (highest residue)]]</f>
        <v>0</v>
      </c>
      <c r="S154" s="553">
        <f>Table22[[#This Row],[VF (alternative variability factor)]]</f>
        <v>0</v>
      </c>
      <c r="T154" s="553">
        <f>Table22[[#This Row],[GAP under assessment]]</f>
        <v>0</v>
      </c>
      <c r="U154" s="553">
        <f>Table22[[#This Row],[Post-harvest treatment]]</f>
        <v>0</v>
      </c>
      <c r="V154" s="553" t="str">
        <f>Table22[[#This Row],[Chronic RA label]]</f>
        <v/>
      </c>
      <c r="W154" s="553">
        <f>Table22[[#This Row],[Chronic RA input value]]</f>
        <v>0</v>
      </c>
      <c r="X154" s="1684" t="str">
        <f>Table22[[#This Row],[Acute RA label]]</f>
        <v/>
      </c>
      <c r="Y154" s="553">
        <f>Table22[[#This Row],[Acute RA input value]]</f>
        <v>0</v>
      </c>
      <c r="Z154" s="786">
        <f>SUM(Table1[[#This Row],[chronic value &lt;&gt;MRL/LOQ]:[acute vlue&lt;&gt;MRL/LOQ]])</f>
        <v>0</v>
      </c>
      <c r="AA154" s="786">
        <f>IF(AND($F$5="Refined calculation mode",Table1[[#This Row],[GAP under assessment]]="Y"),1,IF(OR(Table1[[#This Row],[Chronic RA label]]="LOQ",Table1[[#This Row],[Chronic RA label]]="",Table1[[#This Row],[Chronic RA label]]="MRL"),0,1))</f>
        <v>0</v>
      </c>
      <c r="AB154" s="787">
        <f>IF(OR(Table1[[#This Row],[Acute RA label]]="LOQ",Table1[[#This Row],[Acute RA label]]="",Table1[[#This Row],[Acute RA label]]="MRL"),0,1)</f>
        <v>0</v>
      </c>
    </row>
    <row r="155" spans="1:28" ht="13.5" hidden="1" thickTop="1" x14ac:dyDescent="0.2">
      <c r="A155" s="815">
        <f>Table1[[#This Row],[Code no.]]</f>
        <v>243020</v>
      </c>
      <c r="B155" s="793" t="str">
        <f>Table1[[#This Row],[Commodity or group of commodities to which the MRLs apply]]</f>
        <v>Kales</v>
      </c>
      <c r="C155" s="794">
        <f>Table1[[#This Row],[MRL/ proposed MRL /CXL
(mg/kg)]]</f>
        <v>0</v>
      </c>
      <c r="D155" s="795">
        <f>Table1[[#This Row],[Source of MRL]]</f>
        <v>0</v>
      </c>
      <c r="E155" s="797">
        <f>Table1[[#This Row],[Chronic RA input value]]</f>
        <v>0</v>
      </c>
      <c r="F155" s="795" t="str">
        <f>Table1[[#This Row],[Chronic RA label]]</f>
        <v/>
      </c>
      <c r="G155" s="797">
        <f>Table1[[#This Row],[Acute RA input value]]</f>
        <v>0</v>
      </c>
      <c r="H155" s="836" t="str">
        <f>Table1[[#This Row],[Acute RA label]]</f>
        <v/>
      </c>
      <c r="J155" s="553">
        <f>Table22[[#This Row],[Code no.]]</f>
        <v>243020</v>
      </c>
      <c r="K155" s="553" t="str">
        <f>Table22[[#This Row],[Commodity or group of commodities to which the MRLs apply]]</f>
        <v>Kales</v>
      </c>
      <c r="L155" s="553">
        <f>Table22[[#This Row],[Source / type of MRL]]</f>
        <v>0</v>
      </c>
      <c r="M155" s="553">
        <f>Table22[[#This Row],[MRL/ proposed MRL /CXL
(mg/kg)]]</f>
        <v>0</v>
      </c>
      <c r="N155" s="553">
        <f>Table22[[#This Row],[LOQ]]</f>
        <v>0</v>
      </c>
      <c r="O155" s="553">
        <f>Table22[[#This Row],[CFrisk for residue definition]]</f>
        <v>0</v>
      </c>
      <c r="P155" s="553">
        <f>Table22[[#This Row],[PeF (peeling factor RD enforcemen)]]</f>
        <v>0</v>
      </c>
      <c r="Q155" s="553">
        <f>Table22[[#This Row],[STMR-RAC (median residue)]]</f>
        <v>0</v>
      </c>
      <c r="R155" s="553">
        <f>Table22[[#This Row],[HR-RAC (highest residue)]]</f>
        <v>0</v>
      </c>
      <c r="S155" s="553">
        <f>Table22[[#This Row],[VF (alternative variability factor)]]</f>
        <v>0</v>
      </c>
      <c r="T155" s="553">
        <f>Table22[[#This Row],[GAP under assessment]]</f>
        <v>0</v>
      </c>
      <c r="U155" s="553">
        <f>Table22[[#This Row],[Post-harvest treatment]]</f>
        <v>0</v>
      </c>
      <c r="V155" s="553" t="str">
        <f>Table22[[#This Row],[Chronic RA label]]</f>
        <v/>
      </c>
      <c r="W155" s="553">
        <f>Table22[[#This Row],[Chronic RA input value]]</f>
        <v>0</v>
      </c>
      <c r="X155" s="1684" t="str">
        <f>Table22[[#This Row],[Acute RA label]]</f>
        <v/>
      </c>
      <c r="Y155" s="553">
        <f>Table22[[#This Row],[Acute RA input value]]</f>
        <v>0</v>
      </c>
      <c r="Z155" s="786">
        <f>SUM(Table1[[#This Row],[chronic value &lt;&gt;MRL/LOQ]:[acute vlue&lt;&gt;MRL/LOQ]])</f>
        <v>0</v>
      </c>
      <c r="AA155" s="786">
        <f>IF(AND($F$5="Refined calculation mode",Table1[[#This Row],[GAP under assessment]]="Y"),1,IF(OR(Table1[[#This Row],[Chronic RA label]]="LOQ",Table1[[#This Row],[Chronic RA label]]="",Table1[[#This Row],[Chronic RA label]]="MRL"),0,1))</f>
        <v>0</v>
      </c>
      <c r="AB155" s="787">
        <f>IF(OR(Table1[[#This Row],[Acute RA label]]="LOQ",Table1[[#This Row],[Acute RA label]]="",Table1[[#This Row],[Acute RA label]]="MRL"),0,1)</f>
        <v>0</v>
      </c>
    </row>
    <row r="156" spans="1:28" ht="13.5" hidden="1" thickTop="1" x14ac:dyDescent="0.2">
      <c r="A156" s="815">
        <f>Table1[[#This Row],[Code no.]]</f>
        <v>243990</v>
      </c>
      <c r="B156" s="793" t="str">
        <f>Table1[[#This Row],[Commodity or group of commodities to which the MRLs apply]]</f>
        <v>Other leafy brassica</v>
      </c>
      <c r="C156" s="794">
        <f>Table1[[#This Row],[MRL/ proposed MRL /CXL
(mg/kg)]]</f>
        <v>0</v>
      </c>
      <c r="D156" s="795">
        <f>Table1[[#This Row],[Source of MRL]]</f>
        <v>0</v>
      </c>
      <c r="E156" s="797">
        <f>Table1[[#This Row],[Chronic RA input value]]</f>
        <v>0</v>
      </c>
      <c r="F156" s="795" t="str">
        <f>Table1[[#This Row],[Chronic RA label]]</f>
        <v/>
      </c>
      <c r="G156" s="797">
        <f>Table1[[#This Row],[Acute RA input value]]</f>
        <v>0</v>
      </c>
      <c r="H156" s="836">
        <f>Table1[[#This Row],[Acute RA label]]</f>
        <v>0</v>
      </c>
      <c r="J156" s="553">
        <f>Table22[[#This Row],[Code no.]]</f>
        <v>243990</v>
      </c>
      <c r="K156" s="553" t="str">
        <f>Table22[[#This Row],[Commodity or group of commodities to which the MRLs apply]]</f>
        <v>Other leafy brassica</v>
      </c>
      <c r="L156" s="553">
        <f>Table22[[#This Row],[Source / type of MRL]]</f>
        <v>0</v>
      </c>
      <c r="M156" s="553">
        <f>Table22[[#This Row],[MRL/ proposed MRL /CXL
(mg/kg)]]</f>
        <v>0</v>
      </c>
      <c r="N156" s="553">
        <f>Table22[[#This Row],[LOQ]]</f>
        <v>0</v>
      </c>
      <c r="O156" s="553">
        <f>Table22[[#This Row],[CFrisk for residue definition]]</f>
        <v>0</v>
      </c>
      <c r="P156" s="553">
        <f>Table22[[#This Row],[PeF (peeling factor RD enforcemen)]]</f>
        <v>0</v>
      </c>
      <c r="Q156" s="553">
        <f>Table22[[#This Row],[STMR-RAC (median residue)]]</f>
        <v>0</v>
      </c>
      <c r="R156" s="553">
        <f>Table22[[#This Row],[HR-RAC (highest residue)]]</f>
        <v>0</v>
      </c>
      <c r="S156" s="553">
        <f>Table22[[#This Row],[VF (alternative variability factor)]]</f>
        <v>0</v>
      </c>
      <c r="T156" s="553">
        <f>Table22[[#This Row],[GAP under assessment]]</f>
        <v>0</v>
      </c>
      <c r="U156" s="553">
        <f>Table22[[#This Row],[Post-harvest treatment]]</f>
        <v>0</v>
      </c>
      <c r="V156" s="553" t="str">
        <f>Table22[[#This Row],[Chronic RA label]]</f>
        <v/>
      </c>
      <c r="W156" s="553">
        <f>Table22[[#This Row],[Chronic RA input value]]</f>
        <v>0</v>
      </c>
      <c r="X156" s="1684"/>
      <c r="Y156" s="553">
        <f>Table22[[#This Row],[Acute RA input value]]</f>
        <v>0</v>
      </c>
      <c r="Z156" s="786">
        <f>SUM(Table1[[#This Row],[chronic value &lt;&gt;MRL/LOQ]:[acute vlue&lt;&gt;MRL/LOQ]])</f>
        <v>0</v>
      </c>
      <c r="AA156" s="786">
        <f>IF(AND($F$5="Refined calculation mode",Table1[[#This Row],[GAP under assessment]]="Y"),1,IF(OR(Table1[[#This Row],[Chronic RA label]]="LOQ",Table1[[#This Row],[Chronic RA label]]="",Table1[[#This Row],[Chronic RA label]]="MRL"),0,1))</f>
        <v>0</v>
      </c>
      <c r="AB156" s="787">
        <f>IF(OR(Table1[[#This Row],[Acute RA label]]="LOQ",Table1[[#This Row],[Acute RA label]]="",Table1[[#This Row],[Acute RA label]]="MRL"),0,1)</f>
        <v>0</v>
      </c>
    </row>
    <row r="157" spans="1:28" ht="13.5" hidden="1" thickTop="1" x14ac:dyDescent="0.2">
      <c r="A157" s="815">
        <f>Table1[[#This Row],[Code no.]]</f>
        <v>244000</v>
      </c>
      <c r="B157" s="793" t="str">
        <f>Table1[[#This Row],[Commodity or group of commodities to which the MRLs apply]]</f>
        <v>Kohlrabies</v>
      </c>
      <c r="C157" s="794">
        <f>Table1[[#This Row],[MRL/ proposed MRL /CXL
(mg/kg)]]</f>
        <v>0</v>
      </c>
      <c r="D157" s="795">
        <f>Table1[[#This Row],[Source of MRL]]</f>
        <v>0</v>
      </c>
      <c r="E157" s="797">
        <f>Table1[[#This Row],[Chronic RA input value]]</f>
        <v>0</v>
      </c>
      <c r="F157" s="795" t="str">
        <f>Table1[[#This Row],[Chronic RA label]]</f>
        <v/>
      </c>
      <c r="G157" s="797">
        <f>Table1[[#This Row],[Acute RA input value]]</f>
        <v>0</v>
      </c>
      <c r="H157" s="836" t="str">
        <f>Table1[[#This Row],[Acute RA label]]</f>
        <v/>
      </c>
      <c r="J157" s="553">
        <f>Table22[[#This Row],[Code no.]]</f>
        <v>244000</v>
      </c>
      <c r="K157" s="553" t="str">
        <f>Table22[[#This Row],[Commodity or group of commodities to which the MRLs apply]]</f>
        <v>Kohlrabies</v>
      </c>
      <c r="L157" s="553">
        <f>Table22[[#This Row],[Source / type of MRL]]</f>
        <v>0</v>
      </c>
      <c r="M157" s="553">
        <f>Table22[[#This Row],[MRL/ proposed MRL /CXL
(mg/kg)]]</f>
        <v>0</v>
      </c>
      <c r="N157" s="553">
        <f>Table22[[#This Row],[LOQ]]</f>
        <v>0</v>
      </c>
      <c r="O157" s="553">
        <f>Table22[[#This Row],[CFrisk for residue definition]]</f>
        <v>0</v>
      </c>
      <c r="P157" s="553">
        <f>Table22[[#This Row],[PeF (peeling factor RD enforcemen)]]</f>
        <v>0</v>
      </c>
      <c r="Q157" s="553">
        <f>Table22[[#This Row],[STMR-RAC (median residue)]]</f>
        <v>0</v>
      </c>
      <c r="R157" s="553">
        <f>Table22[[#This Row],[HR-RAC (highest residue)]]</f>
        <v>0</v>
      </c>
      <c r="S157" s="553">
        <f>Table22[[#This Row],[VF (alternative variability factor)]]</f>
        <v>0</v>
      </c>
      <c r="T157" s="553">
        <f>Table22[[#This Row],[GAP under assessment]]</f>
        <v>0</v>
      </c>
      <c r="U157" s="553">
        <f>Table22[[#This Row],[Post-harvest treatment]]</f>
        <v>0</v>
      </c>
      <c r="V157" s="553" t="str">
        <f>Table22[[#This Row],[Chronic RA label]]</f>
        <v/>
      </c>
      <c r="W157" s="553">
        <f>Table22[[#This Row],[Chronic RA input value]]</f>
        <v>0</v>
      </c>
      <c r="X157" s="1684" t="str">
        <f>Table22[[#This Row],[Acute RA label]]</f>
        <v/>
      </c>
      <c r="Y157" s="553">
        <f>Table22[[#This Row],[Acute RA input value]]</f>
        <v>0</v>
      </c>
      <c r="Z157" s="786">
        <f>SUM(Table1[[#This Row],[chronic value &lt;&gt;MRL/LOQ]:[acute vlue&lt;&gt;MRL/LOQ]])</f>
        <v>0</v>
      </c>
      <c r="AA157" s="786">
        <f>IF(AND($F$5="Refined calculation mode",Table1[[#This Row],[GAP under assessment]]="Y"),1,IF(OR(Table1[[#This Row],[Chronic RA label]]="LOQ",Table1[[#This Row],[Chronic RA label]]="",Table1[[#This Row],[Chronic RA label]]="MRL"),0,1))</f>
        <v>0</v>
      </c>
      <c r="AB157" s="787">
        <f>IF(OR(Table1[[#This Row],[Acute RA label]]="LOQ",Table1[[#This Row],[Acute RA label]]="",Table1[[#This Row],[Acute RA label]]="MRL"),0,1)</f>
        <v>0</v>
      </c>
    </row>
    <row r="158" spans="1:28" ht="32.25" hidden="1" thickTop="1" x14ac:dyDescent="0.2">
      <c r="A158" s="815">
        <f>Table1[[#This Row],[Code no.]]</f>
        <v>250000</v>
      </c>
      <c r="B158" s="793" t="str">
        <f>Table1[[#This Row],[Commodity or group of commodities to which the MRLs apply]]</f>
        <v>Leaf vegetables, herbs and edible flowers</v>
      </c>
      <c r="C158" s="794">
        <f>Table1[[#This Row],[MRL/ proposed MRL /CXL
(mg/kg)]]</f>
        <v>0</v>
      </c>
      <c r="D158" s="795">
        <f>Table1[[#This Row],[Source of MRL]]</f>
        <v>0</v>
      </c>
      <c r="E158" s="797">
        <f>Table1[[#This Row],[Chronic RA input value]]</f>
        <v>0</v>
      </c>
      <c r="F158" s="795">
        <f>Table1[[#This Row],[Chronic RA label]]</f>
        <v>0</v>
      </c>
      <c r="G158" s="797">
        <f>Table1[[#This Row],[Acute RA input value]]</f>
        <v>0</v>
      </c>
      <c r="H158" s="836">
        <f>Table1[[#This Row],[Acute RA label]]</f>
        <v>0</v>
      </c>
      <c r="J158" s="553">
        <f>Table22[[#This Row],[Code no.]]</f>
        <v>250000</v>
      </c>
      <c r="K158" s="553" t="str">
        <f>Table22[[#This Row],[Commodity or group of commodities to which the MRLs apply]]</f>
        <v>Leaf vegetables, herbs and edible flowers</v>
      </c>
      <c r="L158" s="553">
        <f>Table22[[#This Row],[Source / type of MRL]]</f>
        <v>0</v>
      </c>
      <c r="M158" s="553">
        <f>Table22[[#This Row],[MRL/ proposed MRL /CXL
(mg/kg)]]</f>
        <v>0</v>
      </c>
      <c r="N158" s="553">
        <f>Table22[[#This Row],[LOQ]]</f>
        <v>0</v>
      </c>
      <c r="O158" s="553">
        <f>Table22[[#This Row],[CFrisk for residue definition]]</f>
        <v>0</v>
      </c>
      <c r="P158" s="553">
        <f>Table22[[#This Row],[PeF (peeling factor RD enforcemen)]]</f>
        <v>0</v>
      </c>
      <c r="Q158" s="553">
        <f>Table22[[#This Row],[STMR-RAC (median residue)]]</f>
        <v>0</v>
      </c>
      <c r="R158" s="553">
        <f>Table22[[#This Row],[HR-RAC (highest residue)]]</f>
        <v>0</v>
      </c>
      <c r="S158" s="553">
        <f>Table22[[#This Row],[VF (alternative variability factor)]]</f>
        <v>0</v>
      </c>
      <c r="T158" s="553">
        <f>Table22[[#This Row],[GAP under assessment]]</f>
        <v>0</v>
      </c>
      <c r="U158" s="553">
        <f>Table22[[#This Row],[Post-harvest treatment]]</f>
        <v>0</v>
      </c>
      <c r="V158" s="553"/>
      <c r="W158" s="553">
        <f>Table22[[#This Row],[Chronic RA input value]]</f>
        <v>0</v>
      </c>
      <c r="X158" s="1684"/>
      <c r="Y158" s="553">
        <f>Table22[[#This Row],[Acute RA input value]]</f>
        <v>0</v>
      </c>
      <c r="Z158" s="786">
        <f>SUM(Table1[[#This Row],[chronic value &lt;&gt;MRL/LOQ]:[acute vlue&lt;&gt;MRL/LOQ]])</f>
        <v>0</v>
      </c>
      <c r="AA158" s="786">
        <f>IF(AND($F$5="Refined calculation mode",Table1[[#This Row],[GAP under assessment]]="Y"),1,IF(OR(Table1[[#This Row],[Chronic RA label]]="LOQ",Table1[[#This Row],[Chronic RA label]]="",Table1[[#This Row],[Chronic RA label]]="MRL"),0,1))</f>
        <v>0</v>
      </c>
      <c r="AB158" s="787">
        <f>IF(OR(Table1[[#This Row],[Acute RA label]]="LOQ",Table1[[#This Row],[Acute RA label]]="",Table1[[#This Row],[Acute RA label]]="MRL"),0,1)</f>
        <v>0</v>
      </c>
    </row>
    <row r="159" spans="1:28" ht="42.75" hidden="1" thickTop="1" x14ac:dyDescent="0.2">
      <c r="A159" s="815">
        <f>Table1[[#This Row],[Code no.]]</f>
        <v>251000</v>
      </c>
      <c r="B159" s="793" t="str">
        <f>Table1[[#This Row],[Commodity or group of commodities to which the MRLs apply]]</f>
        <v>Lettuce and other salad plants including Brassicacea</v>
      </c>
      <c r="C159" s="794">
        <f>Table1[[#This Row],[MRL/ proposed MRL /CXL
(mg/kg)]]</f>
        <v>0</v>
      </c>
      <c r="D159" s="795">
        <f>Table1[[#This Row],[Source of MRL]]</f>
        <v>0</v>
      </c>
      <c r="E159" s="797">
        <f>Table1[[#This Row],[Chronic RA input value]]</f>
        <v>0</v>
      </c>
      <c r="F159" s="795">
        <f>Table1[[#This Row],[Chronic RA label]]</f>
        <v>0</v>
      </c>
      <c r="G159" s="797">
        <f>Table1[[#This Row],[Acute RA input value]]</f>
        <v>0</v>
      </c>
      <c r="H159" s="836">
        <f>Table1[[#This Row],[Acute RA label]]</f>
        <v>0</v>
      </c>
      <c r="J159" s="553">
        <f>Table22[[#This Row],[Code no.]]</f>
        <v>251000</v>
      </c>
      <c r="K159" s="553" t="str">
        <f>Table22[[#This Row],[Commodity or group of commodities to which the MRLs apply]]</f>
        <v>Lettuce and other salad plants including Brassicacea</v>
      </c>
      <c r="L159" s="553">
        <f>Table22[[#This Row],[Source / type of MRL]]</f>
        <v>0</v>
      </c>
      <c r="M159" s="553">
        <f>Table22[[#This Row],[MRL/ proposed MRL /CXL
(mg/kg)]]</f>
        <v>0</v>
      </c>
      <c r="N159" s="553">
        <f>Table22[[#This Row],[LOQ]]</f>
        <v>0</v>
      </c>
      <c r="O159" s="553">
        <f>Table22[[#This Row],[CFrisk for residue definition]]</f>
        <v>0</v>
      </c>
      <c r="P159" s="553">
        <f>Table22[[#This Row],[PeF (peeling factor RD enforcemen)]]</f>
        <v>0</v>
      </c>
      <c r="Q159" s="553">
        <f>Table22[[#This Row],[STMR-RAC (median residue)]]</f>
        <v>0</v>
      </c>
      <c r="R159" s="553">
        <f>Table22[[#This Row],[HR-RAC (highest residue)]]</f>
        <v>0</v>
      </c>
      <c r="S159" s="553">
        <f>Table22[[#This Row],[VF (alternative variability factor)]]</f>
        <v>0</v>
      </c>
      <c r="T159" s="553">
        <f>Table22[[#This Row],[GAP under assessment]]</f>
        <v>0</v>
      </c>
      <c r="U159" s="553">
        <f>Table22[[#This Row],[Post-harvest treatment]]</f>
        <v>0</v>
      </c>
      <c r="V159" s="553"/>
      <c r="W159" s="553">
        <f>Table22[[#This Row],[Chronic RA input value]]</f>
        <v>0</v>
      </c>
      <c r="X159" s="1684"/>
      <c r="Y159" s="553">
        <f>Table22[[#This Row],[Acute RA input value]]</f>
        <v>0</v>
      </c>
      <c r="Z159" s="786">
        <f>SUM(Table1[[#This Row],[chronic value &lt;&gt;MRL/LOQ]:[acute vlue&lt;&gt;MRL/LOQ]])</f>
        <v>0</v>
      </c>
      <c r="AA159" s="786">
        <f>IF(AND($F$5="Refined calculation mode",Table1[[#This Row],[GAP under assessment]]="Y"),1,IF(OR(Table1[[#This Row],[Chronic RA label]]="LOQ",Table1[[#This Row],[Chronic RA label]]="",Table1[[#This Row],[Chronic RA label]]="MRL"),0,1))</f>
        <v>0</v>
      </c>
      <c r="AB159" s="787">
        <f>IF(OR(Table1[[#This Row],[Acute RA label]]="LOQ",Table1[[#This Row],[Acute RA label]]="",Table1[[#This Row],[Acute RA label]]="MRL"),0,1)</f>
        <v>0</v>
      </c>
    </row>
    <row r="160" spans="1:28" ht="21.75" hidden="1" thickTop="1" x14ac:dyDescent="0.2">
      <c r="A160" s="815">
        <f>Table1[[#This Row],[Code no.]]</f>
        <v>251010</v>
      </c>
      <c r="B160" s="793" t="str">
        <f>Table1[[#This Row],[Commodity or group of commodities to which the MRLs apply]]</f>
        <v>Lamb's lettuce/corn salads</v>
      </c>
      <c r="C160" s="794">
        <f>Table1[[#This Row],[MRL/ proposed MRL /CXL
(mg/kg)]]</f>
        <v>0</v>
      </c>
      <c r="D160" s="795">
        <f>Table1[[#This Row],[Source of MRL]]</f>
        <v>0</v>
      </c>
      <c r="E160" s="797">
        <f>Table1[[#This Row],[Chronic RA input value]]</f>
        <v>0</v>
      </c>
      <c r="F160" s="795" t="str">
        <f>Table1[[#This Row],[Chronic RA label]]</f>
        <v/>
      </c>
      <c r="G160" s="797">
        <f>Table1[[#This Row],[Acute RA input value]]</f>
        <v>0</v>
      </c>
      <c r="H160" s="836" t="str">
        <f>Table1[[#This Row],[Acute RA label]]</f>
        <v/>
      </c>
      <c r="J160" s="553">
        <f>Table22[[#This Row],[Code no.]]</f>
        <v>251010</v>
      </c>
      <c r="K160" s="553" t="str">
        <f>Table22[[#This Row],[Commodity or group of commodities to which the MRLs apply]]</f>
        <v>Lamb's lettuce/corn salads</v>
      </c>
      <c r="L160" s="553">
        <f>Table22[[#This Row],[Source / type of MRL]]</f>
        <v>0</v>
      </c>
      <c r="M160" s="553">
        <f>Table22[[#This Row],[MRL/ proposed MRL /CXL
(mg/kg)]]</f>
        <v>0</v>
      </c>
      <c r="N160" s="553">
        <f>Table22[[#This Row],[LOQ]]</f>
        <v>0</v>
      </c>
      <c r="O160" s="553">
        <f>Table22[[#This Row],[CFrisk for residue definition]]</f>
        <v>0</v>
      </c>
      <c r="P160" s="553">
        <f>Table22[[#This Row],[PeF (peeling factor RD enforcemen)]]</f>
        <v>0</v>
      </c>
      <c r="Q160" s="553">
        <f>Table22[[#This Row],[STMR-RAC (median residue)]]</f>
        <v>0</v>
      </c>
      <c r="R160" s="553">
        <f>Table22[[#This Row],[HR-RAC (highest residue)]]</f>
        <v>0</v>
      </c>
      <c r="S160" s="553">
        <f>Table22[[#This Row],[VF (alternative variability factor)]]</f>
        <v>0</v>
      </c>
      <c r="T160" s="553">
        <f>Table22[[#This Row],[GAP under assessment]]</f>
        <v>0</v>
      </c>
      <c r="U160" s="553">
        <f>Table22[[#This Row],[Post-harvest treatment]]</f>
        <v>0</v>
      </c>
      <c r="V160" s="553" t="str">
        <f>Table22[[#This Row],[Chronic RA label]]</f>
        <v/>
      </c>
      <c r="W160" s="553">
        <f>Table22[[#This Row],[Chronic RA input value]]</f>
        <v>0</v>
      </c>
      <c r="X160" s="1684" t="str">
        <f>Table22[[#This Row],[Acute RA label]]</f>
        <v/>
      </c>
      <c r="Y160" s="553">
        <f>Table22[[#This Row],[Acute RA input value]]</f>
        <v>0</v>
      </c>
      <c r="Z160" s="786">
        <f>SUM(Table1[[#This Row],[chronic value &lt;&gt;MRL/LOQ]:[acute vlue&lt;&gt;MRL/LOQ]])</f>
        <v>0</v>
      </c>
      <c r="AA160" s="786">
        <f>IF(AND($F$5="Refined calculation mode",Table1[[#This Row],[GAP under assessment]]="Y"),1,IF(OR(Table1[[#This Row],[Chronic RA label]]="LOQ",Table1[[#This Row],[Chronic RA label]]="",Table1[[#This Row],[Chronic RA label]]="MRL"),0,1))</f>
        <v>0</v>
      </c>
      <c r="AB160" s="787">
        <f>IF(OR(Table1[[#This Row],[Acute RA label]]="LOQ",Table1[[#This Row],[Acute RA label]]="",Table1[[#This Row],[Acute RA label]]="MRL"),0,1)</f>
        <v>0</v>
      </c>
    </row>
    <row r="161" spans="1:28" ht="13.5" hidden="1" thickTop="1" x14ac:dyDescent="0.2">
      <c r="A161" s="815">
        <f>Table1[[#This Row],[Code no.]]</f>
        <v>251020</v>
      </c>
      <c r="B161" s="793" t="str">
        <f>Table1[[#This Row],[Commodity or group of commodities to which the MRLs apply]]</f>
        <v>Lettuces</v>
      </c>
      <c r="C161" s="794">
        <f>Table1[[#This Row],[MRL/ proposed MRL /CXL
(mg/kg)]]</f>
        <v>0</v>
      </c>
      <c r="D161" s="795">
        <f>Table1[[#This Row],[Source of MRL]]</f>
        <v>0</v>
      </c>
      <c r="E161" s="797">
        <f>Table1[[#This Row],[Chronic RA input value]]</f>
        <v>0</v>
      </c>
      <c r="F161" s="795" t="str">
        <f>Table1[[#This Row],[Chronic RA label]]</f>
        <v/>
      </c>
      <c r="G161" s="797">
        <f>Table1[[#This Row],[Acute RA input value]]</f>
        <v>0</v>
      </c>
      <c r="H161" s="836" t="str">
        <f>Table1[[#This Row],[Acute RA label]]</f>
        <v/>
      </c>
      <c r="J161" s="553">
        <f>Table22[[#This Row],[Code no.]]</f>
        <v>251020</v>
      </c>
      <c r="K161" s="553" t="str">
        <f>Table22[[#This Row],[Commodity or group of commodities to which the MRLs apply]]</f>
        <v>Lettuces</v>
      </c>
      <c r="L161" s="553">
        <f>Table22[[#This Row],[Source / type of MRL]]</f>
        <v>0</v>
      </c>
      <c r="M161" s="553">
        <f>Table22[[#This Row],[MRL/ proposed MRL /CXL
(mg/kg)]]</f>
        <v>0</v>
      </c>
      <c r="N161" s="553">
        <f>Table22[[#This Row],[LOQ]]</f>
        <v>0</v>
      </c>
      <c r="O161" s="553">
        <f>Table22[[#This Row],[CFrisk for residue definition]]</f>
        <v>0</v>
      </c>
      <c r="P161" s="553">
        <f>Table22[[#This Row],[PeF (peeling factor RD enforcemen)]]</f>
        <v>0</v>
      </c>
      <c r="Q161" s="553">
        <f>Table22[[#This Row],[STMR-RAC (median residue)]]</f>
        <v>0</v>
      </c>
      <c r="R161" s="553">
        <f>Table22[[#This Row],[HR-RAC (highest residue)]]</f>
        <v>0</v>
      </c>
      <c r="S161" s="553">
        <f>Table22[[#This Row],[VF (alternative variability factor)]]</f>
        <v>0</v>
      </c>
      <c r="T161" s="553">
        <f>Table22[[#This Row],[GAP under assessment]]</f>
        <v>0</v>
      </c>
      <c r="U161" s="553">
        <f>Table22[[#This Row],[Post-harvest treatment]]</f>
        <v>0</v>
      </c>
      <c r="V161" s="553" t="str">
        <f>Table22[[#This Row],[Chronic RA label]]</f>
        <v/>
      </c>
      <c r="W161" s="553">
        <f>Table22[[#This Row],[Chronic RA input value]]</f>
        <v>0</v>
      </c>
      <c r="X161" s="1684" t="str">
        <f>Table22[[#This Row],[Acute RA label]]</f>
        <v/>
      </c>
      <c r="Y161" s="553">
        <f>Table22[[#This Row],[Acute RA input value]]</f>
        <v>0</v>
      </c>
      <c r="Z161" s="786">
        <f>SUM(Table1[[#This Row],[chronic value &lt;&gt;MRL/LOQ]:[acute vlue&lt;&gt;MRL/LOQ]])</f>
        <v>0</v>
      </c>
      <c r="AA161" s="786">
        <f>IF(AND($F$5="Refined calculation mode",Table1[[#This Row],[GAP under assessment]]="Y"),1,IF(OR(Table1[[#This Row],[Chronic RA label]]="LOQ",Table1[[#This Row],[Chronic RA label]]="",Table1[[#This Row],[Chronic RA label]]="MRL"),0,1))</f>
        <v>0</v>
      </c>
      <c r="AB161" s="787">
        <f>IF(OR(Table1[[#This Row],[Acute RA label]]="LOQ",Table1[[#This Row],[Acute RA label]]="",Table1[[#This Row],[Acute RA label]]="MRL"),0,1)</f>
        <v>0</v>
      </c>
    </row>
    <row r="162" spans="1:28" ht="21.75" hidden="1" thickTop="1" x14ac:dyDescent="0.2">
      <c r="A162" s="815">
        <f>Table1[[#This Row],[Code no.]]</f>
        <v>251030</v>
      </c>
      <c r="B162" s="793" t="str">
        <f>Table1[[#This Row],[Commodity or group of commodities to which the MRLs apply]]</f>
        <v>Escaroles/broad-leaved endives</v>
      </c>
      <c r="C162" s="794">
        <f>Table1[[#This Row],[MRL/ proposed MRL /CXL
(mg/kg)]]</f>
        <v>0</v>
      </c>
      <c r="D162" s="795">
        <f>Table1[[#This Row],[Source of MRL]]</f>
        <v>0</v>
      </c>
      <c r="E162" s="797">
        <f>Table1[[#This Row],[Chronic RA input value]]</f>
        <v>0</v>
      </c>
      <c r="F162" s="795" t="str">
        <f>Table1[[#This Row],[Chronic RA label]]</f>
        <v/>
      </c>
      <c r="G162" s="797">
        <f>Table1[[#This Row],[Acute RA input value]]</f>
        <v>0</v>
      </c>
      <c r="H162" s="836" t="str">
        <f>Table1[[#This Row],[Acute RA label]]</f>
        <v/>
      </c>
      <c r="J162" s="553">
        <f>Table22[[#This Row],[Code no.]]</f>
        <v>251030</v>
      </c>
      <c r="K162" s="553" t="str">
        <f>Table22[[#This Row],[Commodity or group of commodities to which the MRLs apply]]</f>
        <v>Escaroles/broad-leaved endives</v>
      </c>
      <c r="L162" s="553">
        <f>Table22[[#This Row],[Source / type of MRL]]</f>
        <v>0</v>
      </c>
      <c r="M162" s="553">
        <f>Table22[[#This Row],[MRL/ proposed MRL /CXL
(mg/kg)]]</f>
        <v>0</v>
      </c>
      <c r="N162" s="553">
        <f>Table22[[#This Row],[LOQ]]</f>
        <v>0</v>
      </c>
      <c r="O162" s="553">
        <f>Table22[[#This Row],[CFrisk for residue definition]]</f>
        <v>0</v>
      </c>
      <c r="P162" s="553">
        <f>Table22[[#This Row],[PeF (peeling factor RD enforcemen)]]</f>
        <v>0</v>
      </c>
      <c r="Q162" s="553">
        <f>Table22[[#This Row],[STMR-RAC (median residue)]]</f>
        <v>0</v>
      </c>
      <c r="R162" s="553">
        <f>Table22[[#This Row],[HR-RAC (highest residue)]]</f>
        <v>0</v>
      </c>
      <c r="S162" s="553">
        <f>Table22[[#This Row],[VF (alternative variability factor)]]</f>
        <v>0</v>
      </c>
      <c r="T162" s="553">
        <f>Table22[[#This Row],[GAP under assessment]]</f>
        <v>0</v>
      </c>
      <c r="U162" s="553">
        <f>Table22[[#This Row],[Post-harvest treatment]]</f>
        <v>0</v>
      </c>
      <c r="V162" s="553" t="str">
        <f>Table22[[#This Row],[Chronic RA label]]</f>
        <v/>
      </c>
      <c r="W162" s="553">
        <f>Table22[[#This Row],[Chronic RA input value]]</f>
        <v>0</v>
      </c>
      <c r="X162" s="1684" t="str">
        <f>Table22[[#This Row],[Acute RA label]]</f>
        <v/>
      </c>
      <c r="Y162" s="553">
        <f>Table22[[#This Row],[Acute RA input value]]</f>
        <v>0</v>
      </c>
      <c r="Z162" s="786">
        <f>SUM(Table1[[#This Row],[chronic value &lt;&gt;MRL/LOQ]:[acute vlue&lt;&gt;MRL/LOQ]])</f>
        <v>0</v>
      </c>
      <c r="AA162" s="786">
        <f>IF(AND($F$5="Refined calculation mode",Table1[[#This Row],[GAP under assessment]]="Y"),1,IF(OR(Table1[[#This Row],[Chronic RA label]]="LOQ",Table1[[#This Row],[Chronic RA label]]="",Table1[[#This Row],[Chronic RA label]]="MRL"),0,1))</f>
        <v>0</v>
      </c>
      <c r="AB162" s="787">
        <f>IF(OR(Table1[[#This Row],[Acute RA label]]="LOQ",Table1[[#This Row],[Acute RA label]]="",Table1[[#This Row],[Acute RA label]]="MRL"),0,1)</f>
        <v>0</v>
      </c>
    </row>
    <row r="163" spans="1:28" ht="21.75" hidden="1" thickTop="1" x14ac:dyDescent="0.2">
      <c r="A163" s="815">
        <f>Table1[[#This Row],[Code no.]]</f>
        <v>251040</v>
      </c>
      <c r="B163" s="793" t="str">
        <f>Table1[[#This Row],[Commodity or group of commodities to which the MRLs apply]]</f>
        <v>Cress and other sprouts and shoots</v>
      </c>
      <c r="C163" s="794">
        <f>Table1[[#This Row],[MRL/ proposed MRL /CXL
(mg/kg)]]</f>
        <v>0</v>
      </c>
      <c r="D163" s="795">
        <f>Table1[[#This Row],[Source of MRL]]</f>
        <v>0</v>
      </c>
      <c r="E163" s="797">
        <f>Table1[[#This Row],[Chronic RA input value]]</f>
        <v>0</v>
      </c>
      <c r="F163" s="795" t="str">
        <f>Table1[[#This Row],[Chronic RA label]]</f>
        <v/>
      </c>
      <c r="G163" s="797">
        <f>Table1[[#This Row],[Acute RA input value]]</f>
        <v>0</v>
      </c>
      <c r="H163" s="836" t="str">
        <f>Table1[[#This Row],[Acute RA label]]</f>
        <v/>
      </c>
      <c r="J163" s="553">
        <f>Table22[[#This Row],[Code no.]]</f>
        <v>251040</v>
      </c>
      <c r="K163" s="553" t="str">
        <f>Table22[[#This Row],[Commodity or group of commodities to which the MRLs apply]]</f>
        <v>Cress and other sprouts and shoots</v>
      </c>
      <c r="L163" s="553">
        <f>Table22[[#This Row],[Source / type of MRL]]</f>
        <v>0</v>
      </c>
      <c r="M163" s="553">
        <f>Table22[[#This Row],[MRL/ proposed MRL /CXL
(mg/kg)]]</f>
        <v>0</v>
      </c>
      <c r="N163" s="553">
        <f>Table22[[#This Row],[LOQ]]</f>
        <v>0</v>
      </c>
      <c r="O163" s="553">
        <f>Table22[[#This Row],[CFrisk for residue definition]]</f>
        <v>0</v>
      </c>
      <c r="P163" s="553">
        <f>Table22[[#This Row],[PeF (peeling factor RD enforcemen)]]</f>
        <v>0</v>
      </c>
      <c r="Q163" s="553">
        <f>Table22[[#This Row],[STMR-RAC (median residue)]]</f>
        <v>0</v>
      </c>
      <c r="R163" s="553">
        <f>Table22[[#This Row],[HR-RAC (highest residue)]]</f>
        <v>0</v>
      </c>
      <c r="S163" s="553">
        <f>Table22[[#This Row],[VF (alternative variability factor)]]</f>
        <v>0</v>
      </c>
      <c r="T163" s="553">
        <f>Table22[[#This Row],[GAP under assessment]]</f>
        <v>0</v>
      </c>
      <c r="U163" s="553">
        <f>Table22[[#This Row],[Post-harvest treatment]]</f>
        <v>0</v>
      </c>
      <c r="V163" s="553" t="str">
        <f>Table22[[#This Row],[Chronic RA label]]</f>
        <v/>
      </c>
      <c r="W163" s="553">
        <f>Table22[[#This Row],[Chronic RA input value]]</f>
        <v>0</v>
      </c>
      <c r="X163" s="1684" t="str">
        <f>Table22[[#This Row],[Acute RA label]]</f>
        <v/>
      </c>
      <c r="Y163" s="553">
        <f>Table22[[#This Row],[Acute RA input value]]</f>
        <v>0</v>
      </c>
      <c r="Z163" s="786">
        <f>SUM(Table1[[#This Row],[chronic value &lt;&gt;MRL/LOQ]:[acute vlue&lt;&gt;MRL/LOQ]])</f>
        <v>0</v>
      </c>
      <c r="AA163" s="786">
        <f>IF(AND($F$5="Refined calculation mode",Table1[[#This Row],[GAP under assessment]]="Y"),1,IF(OR(Table1[[#This Row],[Chronic RA label]]="LOQ",Table1[[#This Row],[Chronic RA label]]="",Table1[[#This Row],[Chronic RA label]]="MRL"),0,1))</f>
        <v>0</v>
      </c>
      <c r="AB163" s="787">
        <f>IF(OR(Table1[[#This Row],[Acute RA label]]="LOQ",Table1[[#This Row],[Acute RA label]]="",Table1[[#This Row],[Acute RA label]]="MRL"),0,1)</f>
        <v>0</v>
      </c>
    </row>
    <row r="164" spans="1:28" ht="13.5" hidden="1" thickTop="1" x14ac:dyDescent="0.2">
      <c r="A164" s="815">
        <f>Table1[[#This Row],[Code no.]]</f>
        <v>251050</v>
      </c>
      <c r="B164" s="793" t="str">
        <f>Table1[[#This Row],[Commodity or group of commodities to which the MRLs apply]]</f>
        <v xml:space="preserve">Land cress </v>
      </c>
      <c r="C164" s="794">
        <f>Table1[[#This Row],[MRL/ proposed MRL /CXL
(mg/kg)]]</f>
        <v>0</v>
      </c>
      <c r="D164" s="795">
        <f>Table1[[#This Row],[Source of MRL]]</f>
        <v>0</v>
      </c>
      <c r="E164" s="797">
        <f>Table1[[#This Row],[Chronic RA input value]]</f>
        <v>0</v>
      </c>
      <c r="F164" s="795" t="str">
        <f>Table1[[#This Row],[Chronic RA label]]</f>
        <v/>
      </c>
      <c r="G164" s="797">
        <f>Table1[[#This Row],[Acute RA input value]]</f>
        <v>0</v>
      </c>
      <c r="H164" s="836" t="str">
        <f>Table1[[#This Row],[Acute RA label]]</f>
        <v/>
      </c>
      <c r="J164" s="553">
        <f>Table22[[#This Row],[Code no.]]</f>
        <v>251050</v>
      </c>
      <c r="K164" s="553" t="str">
        <f>Table22[[#This Row],[Commodity or group of commodities to which the MRLs apply]]</f>
        <v xml:space="preserve">Land cress </v>
      </c>
      <c r="L164" s="553">
        <f>Table22[[#This Row],[Source / type of MRL]]</f>
        <v>0</v>
      </c>
      <c r="M164" s="553">
        <f>Table22[[#This Row],[MRL/ proposed MRL /CXL
(mg/kg)]]</f>
        <v>0</v>
      </c>
      <c r="N164" s="553">
        <f>Table22[[#This Row],[LOQ]]</f>
        <v>0</v>
      </c>
      <c r="O164" s="553">
        <f>Table22[[#This Row],[CFrisk for residue definition]]</f>
        <v>0</v>
      </c>
      <c r="P164" s="553">
        <f>Table22[[#This Row],[PeF (peeling factor RD enforcemen)]]</f>
        <v>0</v>
      </c>
      <c r="Q164" s="553">
        <f>Table22[[#This Row],[STMR-RAC (median residue)]]</f>
        <v>0</v>
      </c>
      <c r="R164" s="553">
        <f>Table22[[#This Row],[HR-RAC (highest residue)]]</f>
        <v>0</v>
      </c>
      <c r="S164" s="553">
        <f>Table22[[#This Row],[VF (alternative variability factor)]]</f>
        <v>0</v>
      </c>
      <c r="T164" s="553">
        <f>Table22[[#This Row],[GAP under assessment]]</f>
        <v>0</v>
      </c>
      <c r="U164" s="553">
        <f>Table22[[#This Row],[Post-harvest treatment]]</f>
        <v>0</v>
      </c>
      <c r="V164" s="553" t="str">
        <f>Table22[[#This Row],[Chronic RA label]]</f>
        <v/>
      </c>
      <c r="W164" s="553">
        <f>Table22[[#This Row],[Chronic RA input value]]</f>
        <v>0</v>
      </c>
      <c r="X164" s="1684" t="str">
        <f>Table22[[#This Row],[Acute RA label]]</f>
        <v/>
      </c>
      <c r="Y164" s="553">
        <f>Table22[[#This Row],[Acute RA input value]]</f>
        <v>0</v>
      </c>
      <c r="Z164" s="786">
        <f>SUM(Table1[[#This Row],[chronic value &lt;&gt;MRL/LOQ]:[acute vlue&lt;&gt;MRL/LOQ]])</f>
        <v>0</v>
      </c>
      <c r="AA164" s="786">
        <f>IF(AND($F$5="Refined calculation mode",Table1[[#This Row],[GAP under assessment]]="Y"),1,IF(OR(Table1[[#This Row],[Chronic RA label]]="LOQ",Table1[[#This Row],[Chronic RA label]]="",Table1[[#This Row],[Chronic RA label]]="MRL"),0,1))</f>
        <v>0</v>
      </c>
      <c r="AB164" s="787">
        <f>IF(OR(Table1[[#This Row],[Acute RA label]]="LOQ",Table1[[#This Row],[Acute RA label]]="",Table1[[#This Row],[Acute RA label]]="MRL"),0,1)</f>
        <v>0</v>
      </c>
    </row>
    <row r="165" spans="1:28" ht="21.75" hidden="1" thickTop="1" x14ac:dyDescent="0.2">
      <c r="A165" s="815">
        <f>Table1[[#This Row],[Code no.]]</f>
        <v>251060</v>
      </c>
      <c r="B165" s="793" t="str">
        <f>Table1[[#This Row],[Commodity or group of commodities to which the MRLs apply]]</f>
        <v>Roman rocket/rucola</v>
      </c>
      <c r="C165" s="794">
        <f>Table1[[#This Row],[MRL/ proposed MRL /CXL
(mg/kg)]]</f>
        <v>0</v>
      </c>
      <c r="D165" s="795">
        <f>Table1[[#This Row],[Source of MRL]]</f>
        <v>0</v>
      </c>
      <c r="E165" s="797">
        <f>Table1[[#This Row],[Chronic RA input value]]</f>
        <v>0</v>
      </c>
      <c r="F165" s="795" t="str">
        <f>Table1[[#This Row],[Chronic RA label]]</f>
        <v/>
      </c>
      <c r="G165" s="797">
        <f>Table1[[#This Row],[Acute RA input value]]</f>
        <v>0</v>
      </c>
      <c r="H165" s="836" t="str">
        <f>Table1[[#This Row],[Acute RA label]]</f>
        <v/>
      </c>
      <c r="J165" s="553">
        <f>Table22[[#This Row],[Code no.]]</f>
        <v>251060</v>
      </c>
      <c r="K165" s="553" t="str">
        <f>Table22[[#This Row],[Commodity or group of commodities to which the MRLs apply]]</f>
        <v>Roman rocket/rucola</v>
      </c>
      <c r="L165" s="553">
        <f>Table22[[#This Row],[Source / type of MRL]]</f>
        <v>0</v>
      </c>
      <c r="M165" s="553">
        <f>Table22[[#This Row],[MRL/ proposed MRL /CXL
(mg/kg)]]</f>
        <v>0</v>
      </c>
      <c r="N165" s="553">
        <f>Table22[[#This Row],[LOQ]]</f>
        <v>0</v>
      </c>
      <c r="O165" s="553">
        <f>Table22[[#This Row],[CFrisk for residue definition]]</f>
        <v>0</v>
      </c>
      <c r="P165" s="553">
        <f>Table22[[#This Row],[PeF (peeling factor RD enforcemen)]]</f>
        <v>0</v>
      </c>
      <c r="Q165" s="553">
        <f>Table22[[#This Row],[STMR-RAC (median residue)]]</f>
        <v>0</v>
      </c>
      <c r="R165" s="553">
        <f>Table22[[#This Row],[HR-RAC (highest residue)]]</f>
        <v>0</v>
      </c>
      <c r="S165" s="553">
        <f>Table22[[#This Row],[VF (alternative variability factor)]]</f>
        <v>0</v>
      </c>
      <c r="T165" s="553">
        <f>Table22[[#This Row],[GAP under assessment]]</f>
        <v>0</v>
      </c>
      <c r="U165" s="553">
        <f>Table22[[#This Row],[Post-harvest treatment]]</f>
        <v>0</v>
      </c>
      <c r="V165" s="553" t="str">
        <f>Table22[[#This Row],[Chronic RA label]]</f>
        <v/>
      </c>
      <c r="W165" s="553">
        <f>Table22[[#This Row],[Chronic RA input value]]</f>
        <v>0</v>
      </c>
      <c r="X165" s="1684" t="str">
        <f>Table22[[#This Row],[Acute RA label]]</f>
        <v/>
      </c>
      <c r="Y165" s="553">
        <f>Table22[[#This Row],[Acute RA input value]]</f>
        <v>0</v>
      </c>
      <c r="Z165" s="786">
        <f>SUM(Table1[[#This Row],[chronic value &lt;&gt;MRL/LOQ]:[acute vlue&lt;&gt;MRL/LOQ]])</f>
        <v>0</v>
      </c>
      <c r="AA165" s="786">
        <f>IF(AND($F$5="Refined calculation mode",Table1[[#This Row],[GAP under assessment]]="Y"),1,IF(OR(Table1[[#This Row],[Chronic RA label]]="LOQ",Table1[[#This Row],[Chronic RA label]]="",Table1[[#This Row],[Chronic RA label]]="MRL"),0,1))</f>
        <v>0</v>
      </c>
      <c r="AB165" s="787">
        <f>IF(OR(Table1[[#This Row],[Acute RA label]]="LOQ",Table1[[#This Row],[Acute RA label]]="",Table1[[#This Row],[Acute RA label]]="MRL"),0,1)</f>
        <v>0</v>
      </c>
    </row>
    <row r="166" spans="1:28" ht="13.5" hidden="1" thickTop="1" x14ac:dyDescent="0.2">
      <c r="A166" s="815">
        <f>Table1[[#This Row],[Code no.]]</f>
        <v>251070</v>
      </c>
      <c r="B166" s="793" t="str">
        <f>Table1[[#This Row],[Commodity or group of commodities to which the MRLs apply]]</f>
        <v>Red mustards</v>
      </c>
      <c r="C166" s="794">
        <f>Table1[[#This Row],[MRL/ proposed MRL /CXL
(mg/kg)]]</f>
        <v>0</v>
      </c>
      <c r="D166" s="795">
        <f>Table1[[#This Row],[Source of MRL]]</f>
        <v>0</v>
      </c>
      <c r="E166" s="797">
        <f>Table1[[#This Row],[Chronic RA input value]]</f>
        <v>0</v>
      </c>
      <c r="F166" s="795" t="str">
        <f>Table1[[#This Row],[Chronic RA label]]</f>
        <v/>
      </c>
      <c r="G166" s="797">
        <f>Table1[[#This Row],[Acute RA input value]]</f>
        <v>0</v>
      </c>
      <c r="H166" s="836" t="str">
        <f>Table1[[#This Row],[Acute RA label]]</f>
        <v/>
      </c>
      <c r="J166" s="553">
        <f>Table22[[#This Row],[Code no.]]</f>
        <v>251070</v>
      </c>
      <c r="K166" s="553" t="str">
        <f>Table22[[#This Row],[Commodity or group of commodities to which the MRLs apply]]</f>
        <v>Red mustards</v>
      </c>
      <c r="L166" s="553">
        <f>Table22[[#This Row],[Source / type of MRL]]</f>
        <v>0</v>
      </c>
      <c r="M166" s="553">
        <f>Table22[[#This Row],[MRL/ proposed MRL /CXL
(mg/kg)]]</f>
        <v>0</v>
      </c>
      <c r="N166" s="553">
        <f>Table22[[#This Row],[LOQ]]</f>
        <v>0</v>
      </c>
      <c r="O166" s="553">
        <f>Table22[[#This Row],[CFrisk for residue definition]]</f>
        <v>0</v>
      </c>
      <c r="P166" s="553">
        <f>Table22[[#This Row],[PeF (peeling factor RD enforcemen)]]</f>
        <v>0</v>
      </c>
      <c r="Q166" s="553">
        <f>Table22[[#This Row],[STMR-RAC (median residue)]]</f>
        <v>0</v>
      </c>
      <c r="R166" s="553">
        <f>Table22[[#This Row],[HR-RAC (highest residue)]]</f>
        <v>0</v>
      </c>
      <c r="S166" s="553">
        <f>Table22[[#This Row],[VF (alternative variability factor)]]</f>
        <v>0</v>
      </c>
      <c r="T166" s="553">
        <f>Table22[[#This Row],[GAP under assessment]]</f>
        <v>0</v>
      </c>
      <c r="U166" s="553">
        <f>Table22[[#This Row],[Post-harvest treatment]]</f>
        <v>0</v>
      </c>
      <c r="V166" s="553" t="str">
        <f>Table22[[#This Row],[Chronic RA label]]</f>
        <v/>
      </c>
      <c r="W166" s="553">
        <f>Table22[[#This Row],[Chronic RA input value]]</f>
        <v>0</v>
      </c>
      <c r="X166" s="1684" t="str">
        <f>Table22[[#This Row],[Acute RA label]]</f>
        <v/>
      </c>
      <c r="Y166" s="553">
        <f>Table22[[#This Row],[Acute RA input value]]</f>
        <v>0</v>
      </c>
      <c r="Z166" s="786">
        <f>SUM(Table1[[#This Row],[chronic value &lt;&gt;MRL/LOQ]:[acute vlue&lt;&gt;MRL/LOQ]])</f>
        <v>0</v>
      </c>
      <c r="AA166" s="786">
        <f>IF(AND($F$5="Refined calculation mode",Table1[[#This Row],[GAP under assessment]]="Y"),1,IF(OR(Table1[[#This Row],[Chronic RA label]]="LOQ",Table1[[#This Row],[Chronic RA label]]="",Table1[[#This Row],[Chronic RA label]]="MRL"),0,1))</f>
        <v>0</v>
      </c>
      <c r="AB166" s="787">
        <f>IF(OR(Table1[[#This Row],[Acute RA label]]="LOQ",Table1[[#This Row],[Acute RA label]]="",Table1[[#This Row],[Acute RA label]]="MRL"),0,1)</f>
        <v>0</v>
      </c>
    </row>
    <row r="167" spans="1:28" ht="32.25" hidden="1" thickTop="1" x14ac:dyDescent="0.2">
      <c r="A167" s="815">
        <f>Table1[[#This Row],[Code no.]]</f>
        <v>251080</v>
      </c>
      <c r="B167" s="793" t="str">
        <f>Table1[[#This Row],[Commodity or group of commodities to which the MRLs apply]]</f>
        <v>Baby leaf crops (including brassica species)</v>
      </c>
      <c r="C167" s="794">
        <f>Table1[[#This Row],[MRL/ proposed MRL /CXL
(mg/kg)]]</f>
        <v>0</v>
      </c>
      <c r="D167" s="795">
        <f>Table1[[#This Row],[Source of MRL]]</f>
        <v>0</v>
      </c>
      <c r="E167" s="797">
        <f>Table1[[#This Row],[Chronic RA input value]]</f>
        <v>0</v>
      </c>
      <c r="F167" s="795" t="str">
        <f>Table1[[#This Row],[Chronic RA label]]</f>
        <v/>
      </c>
      <c r="G167" s="797">
        <f>Table1[[#This Row],[Acute RA input value]]</f>
        <v>0</v>
      </c>
      <c r="H167" s="836" t="str">
        <f>Table1[[#This Row],[Acute RA label]]</f>
        <v/>
      </c>
      <c r="J167" s="553">
        <f>Table22[[#This Row],[Code no.]]</f>
        <v>251080</v>
      </c>
      <c r="K167" s="553" t="str">
        <f>Table22[[#This Row],[Commodity or group of commodities to which the MRLs apply]]</f>
        <v>Baby leaf crops (including brassica species)</v>
      </c>
      <c r="L167" s="553">
        <f>Table22[[#This Row],[Source / type of MRL]]</f>
        <v>0</v>
      </c>
      <c r="M167" s="553">
        <f>Table22[[#This Row],[MRL/ proposed MRL /CXL
(mg/kg)]]</f>
        <v>0</v>
      </c>
      <c r="N167" s="553">
        <f>Table22[[#This Row],[LOQ]]</f>
        <v>0</v>
      </c>
      <c r="O167" s="553">
        <f>Table22[[#This Row],[CFrisk for residue definition]]</f>
        <v>0</v>
      </c>
      <c r="P167" s="553">
        <f>Table22[[#This Row],[PeF (peeling factor RD enforcemen)]]</f>
        <v>0</v>
      </c>
      <c r="Q167" s="553">
        <f>Table22[[#This Row],[STMR-RAC (median residue)]]</f>
        <v>0</v>
      </c>
      <c r="R167" s="553">
        <f>Table22[[#This Row],[HR-RAC (highest residue)]]</f>
        <v>0</v>
      </c>
      <c r="S167" s="553">
        <f>Table22[[#This Row],[VF (alternative variability factor)]]</f>
        <v>0</v>
      </c>
      <c r="T167" s="553">
        <f>Table22[[#This Row],[GAP under assessment]]</f>
        <v>0</v>
      </c>
      <c r="U167" s="553">
        <f>Table22[[#This Row],[Post-harvest treatment]]</f>
        <v>0</v>
      </c>
      <c r="V167" s="553" t="str">
        <f>Table22[[#This Row],[Chronic RA label]]</f>
        <v/>
      </c>
      <c r="W167" s="553">
        <f>Table22[[#This Row],[Chronic RA input value]]</f>
        <v>0</v>
      </c>
      <c r="X167" s="1684" t="str">
        <f>Table22[[#This Row],[Acute RA label]]</f>
        <v/>
      </c>
      <c r="Y167" s="553">
        <f>Table22[[#This Row],[Acute RA input value]]</f>
        <v>0</v>
      </c>
      <c r="Z167" s="786">
        <f>SUM(Table1[[#This Row],[chronic value &lt;&gt;MRL/LOQ]:[acute vlue&lt;&gt;MRL/LOQ]])</f>
        <v>0</v>
      </c>
      <c r="AA167" s="786">
        <f>IF(AND($F$5="Refined calculation mode",Table1[[#This Row],[GAP under assessment]]="Y"),1,IF(OR(Table1[[#This Row],[Chronic RA label]]="LOQ",Table1[[#This Row],[Chronic RA label]]="",Table1[[#This Row],[Chronic RA label]]="MRL"),0,1))</f>
        <v>0</v>
      </c>
      <c r="AB167" s="787">
        <f>IF(OR(Table1[[#This Row],[Acute RA label]]="LOQ",Table1[[#This Row],[Acute RA label]]="",Table1[[#This Row],[Acute RA label]]="MRL"),0,1)</f>
        <v>0</v>
      </c>
    </row>
    <row r="168" spans="1:28" ht="21.75" hidden="1" thickTop="1" x14ac:dyDescent="0.2">
      <c r="A168" s="815">
        <f>Table1[[#This Row],[Code no.]]</f>
        <v>251990</v>
      </c>
      <c r="B168" s="793" t="str">
        <f>Table1[[#This Row],[Commodity or group of commodities to which the MRLs apply]]</f>
        <v>Other lettuce and other salad plants</v>
      </c>
      <c r="C168" s="794">
        <f>Table1[[#This Row],[MRL/ proposed MRL /CXL
(mg/kg)]]</f>
        <v>0</v>
      </c>
      <c r="D168" s="795">
        <f>Table1[[#This Row],[Source of MRL]]</f>
        <v>0</v>
      </c>
      <c r="E168" s="797">
        <f>Table1[[#This Row],[Chronic RA input value]]</f>
        <v>0</v>
      </c>
      <c r="F168" s="795" t="str">
        <f>Table1[[#This Row],[Chronic RA label]]</f>
        <v/>
      </c>
      <c r="G168" s="797">
        <f>Table1[[#This Row],[Acute RA input value]]</f>
        <v>0</v>
      </c>
      <c r="H168" s="836">
        <f>Table1[[#This Row],[Acute RA label]]</f>
        <v>0</v>
      </c>
      <c r="J168" s="553">
        <f>Table22[[#This Row],[Code no.]]</f>
        <v>251990</v>
      </c>
      <c r="K168" s="553" t="str">
        <f>Table22[[#This Row],[Commodity or group of commodities to which the MRLs apply]]</f>
        <v>Other lettuce and other salad plants</v>
      </c>
      <c r="L168" s="553">
        <f>Table22[[#This Row],[Source / type of MRL]]</f>
        <v>0</v>
      </c>
      <c r="M168" s="553">
        <f>Table22[[#This Row],[MRL/ proposed MRL /CXL
(mg/kg)]]</f>
        <v>0</v>
      </c>
      <c r="N168" s="553">
        <f>Table22[[#This Row],[LOQ]]</f>
        <v>0</v>
      </c>
      <c r="O168" s="553">
        <f>Table22[[#This Row],[CFrisk for residue definition]]</f>
        <v>0</v>
      </c>
      <c r="P168" s="553">
        <f>Table22[[#This Row],[PeF (peeling factor RD enforcemen)]]</f>
        <v>0</v>
      </c>
      <c r="Q168" s="553">
        <f>Table22[[#This Row],[STMR-RAC (median residue)]]</f>
        <v>0</v>
      </c>
      <c r="R168" s="553">
        <f>Table22[[#This Row],[HR-RAC (highest residue)]]</f>
        <v>0</v>
      </c>
      <c r="S168" s="553">
        <f>Table22[[#This Row],[VF (alternative variability factor)]]</f>
        <v>0</v>
      </c>
      <c r="T168" s="553">
        <f>Table22[[#This Row],[GAP under assessment]]</f>
        <v>0</v>
      </c>
      <c r="U168" s="553">
        <f>Table22[[#This Row],[Post-harvest treatment]]</f>
        <v>0</v>
      </c>
      <c r="V168" s="553" t="str">
        <f>Table22[[#This Row],[Chronic RA label]]</f>
        <v/>
      </c>
      <c r="W168" s="553">
        <f>Table22[[#This Row],[Chronic RA input value]]</f>
        <v>0</v>
      </c>
      <c r="X168" s="1684"/>
      <c r="Y168" s="553">
        <f>Table22[[#This Row],[Acute RA input value]]</f>
        <v>0</v>
      </c>
      <c r="Z168" s="786">
        <f>SUM(Table1[[#This Row],[chronic value &lt;&gt;MRL/LOQ]:[acute vlue&lt;&gt;MRL/LOQ]])</f>
        <v>0</v>
      </c>
      <c r="AA168" s="786">
        <f>IF(AND($F$5="Refined calculation mode",Table1[[#This Row],[GAP under assessment]]="Y"),1,IF(OR(Table1[[#This Row],[Chronic RA label]]="LOQ",Table1[[#This Row],[Chronic RA label]]="",Table1[[#This Row],[Chronic RA label]]="MRL"),0,1))</f>
        <v>0</v>
      </c>
      <c r="AB168" s="787">
        <f>IF(OR(Table1[[#This Row],[Acute RA label]]="LOQ",Table1[[#This Row],[Acute RA label]]="",Table1[[#This Row],[Acute RA label]]="MRL"),0,1)</f>
        <v>0</v>
      </c>
    </row>
    <row r="169" spans="1:28" ht="21.75" hidden="1" thickTop="1" x14ac:dyDescent="0.2">
      <c r="A169" s="815">
        <f>Table1[[#This Row],[Code no.]]</f>
        <v>252000</v>
      </c>
      <c r="B169" s="793" t="str">
        <f>Table1[[#This Row],[Commodity or group of commodities to which the MRLs apply]]</f>
        <v>Spinach &amp; similar (leaves)</v>
      </c>
      <c r="C169" s="794">
        <f>Table1[[#This Row],[MRL/ proposed MRL /CXL
(mg/kg)]]</f>
        <v>0</v>
      </c>
      <c r="D169" s="795">
        <f>Table1[[#This Row],[Source of MRL]]</f>
        <v>0</v>
      </c>
      <c r="E169" s="797">
        <f>Table1[[#This Row],[Chronic RA input value]]</f>
        <v>0</v>
      </c>
      <c r="F169" s="795">
        <f>Table1[[#This Row],[Chronic RA label]]</f>
        <v>0</v>
      </c>
      <c r="G169" s="797">
        <f>Table1[[#This Row],[Acute RA input value]]</f>
        <v>0</v>
      </c>
      <c r="H169" s="836">
        <f>Table1[[#This Row],[Acute RA label]]</f>
        <v>0</v>
      </c>
      <c r="J169" s="553">
        <f>Table22[[#This Row],[Code no.]]</f>
        <v>252000</v>
      </c>
      <c r="K169" s="553" t="str">
        <f>Table22[[#This Row],[Commodity or group of commodities to which the MRLs apply]]</f>
        <v>Spinach &amp; similar (leaves)</v>
      </c>
      <c r="L169" s="553">
        <f>Table22[[#This Row],[Source / type of MRL]]</f>
        <v>0</v>
      </c>
      <c r="M169" s="553">
        <f>Table22[[#This Row],[MRL/ proposed MRL /CXL
(mg/kg)]]</f>
        <v>0</v>
      </c>
      <c r="N169" s="553">
        <f>Table22[[#This Row],[LOQ]]</f>
        <v>0</v>
      </c>
      <c r="O169" s="553">
        <f>Table22[[#This Row],[CFrisk for residue definition]]</f>
        <v>0</v>
      </c>
      <c r="P169" s="553">
        <f>Table22[[#This Row],[PeF (peeling factor RD enforcemen)]]</f>
        <v>0</v>
      </c>
      <c r="Q169" s="553">
        <f>Table22[[#This Row],[STMR-RAC (median residue)]]</f>
        <v>0</v>
      </c>
      <c r="R169" s="553">
        <f>Table22[[#This Row],[HR-RAC (highest residue)]]</f>
        <v>0</v>
      </c>
      <c r="S169" s="553">
        <f>Table22[[#This Row],[VF (alternative variability factor)]]</f>
        <v>0</v>
      </c>
      <c r="T169" s="553">
        <f>Table22[[#This Row],[GAP under assessment]]</f>
        <v>0</v>
      </c>
      <c r="U169" s="553">
        <f>Table22[[#This Row],[Post-harvest treatment]]</f>
        <v>0</v>
      </c>
      <c r="V169" s="553"/>
      <c r="W169" s="553">
        <f>Table22[[#This Row],[Chronic RA input value]]</f>
        <v>0</v>
      </c>
      <c r="X169" s="1684"/>
      <c r="Y169" s="553">
        <f>Table22[[#This Row],[Acute RA input value]]</f>
        <v>0</v>
      </c>
      <c r="Z169" s="786">
        <f>SUM(Table1[[#This Row],[chronic value &lt;&gt;MRL/LOQ]:[acute vlue&lt;&gt;MRL/LOQ]])</f>
        <v>0</v>
      </c>
      <c r="AA169" s="786">
        <f>IF(AND($F$5="Refined calculation mode",Table1[[#This Row],[GAP under assessment]]="Y"),1,IF(OR(Table1[[#This Row],[Chronic RA label]]="LOQ",Table1[[#This Row],[Chronic RA label]]="",Table1[[#This Row],[Chronic RA label]]="MRL"),0,1))</f>
        <v>0</v>
      </c>
      <c r="AB169" s="787">
        <f>IF(OR(Table1[[#This Row],[Acute RA label]]="LOQ",Table1[[#This Row],[Acute RA label]]="",Table1[[#This Row],[Acute RA label]]="MRL"),0,1)</f>
        <v>0</v>
      </c>
    </row>
    <row r="170" spans="1:28" ht="13.5" hidden="1" thickTop="1" x14ac:dyDescent="0.2">
      <c r="A170" s="815">
        <f>Table1[[#This Row],[Code no.]]</f>
        <v>252010</v>
      </c>
      <c r="B170" s="793" t="str">
        <f>Table1[[#This Row],[Commodity or group of commodities to which the MRLs apply]]</f>
        <v>Spinaches</v>
      </c>
      <c r="C170" s="794">
        <f>Table1[[#This Row],[MRL/ proposed MRL /CXL
(mg/kg)]]</f>
        <v>0</v>
      </c>
      <c r="D170" s="795">
        <f>Table1[[#This Row],[Source of MRL]]</f>
        <v>0</v>
      </c>
      <c r="E170" s="797">
        <f>Table1[[#This Row],[Chronic RA input value]]</f>
        <v>0</v>
      </c>
      <c r="F170" s="795" t="str">
        <f>Table1[[#This Row],[Chronic RA label]]</f>
        <v/>
      </c>
      <c r="G170" s="797">
        <f>Table1[[#This Row],[Acute RA input value]]</f>
        <v>0</v>
      </c>
      <c r="H170" s="836" t="str">
        <f>Table1[[#This Row],[Acute RA label]]</f>
        <v/>
      </c>
      <c r="J170" s="553">
        <f>Table22[[#This Row],[Code no.]]</f>
        <v>252010</v>
      </c>
      <c r="K170" s="553" t="str">
        <f>Table22[[#This Row],[Commodity or group of commodities to which the MRLs apply]]</f>
        <v>Spinaches</v>
      </c>
      <c r="L170" s="553">
        <f>Table22[[#This Row],[Source / type of MRL]]</f>
        <v>0</v>
      </c>
      <c r="M170" s="553">
        <f>Table22[[#This Row],[MRL/ proposed MRL /CXL
(mg/kg)]]</f>
        <v>0</v>
      </c>
      <c r="N170" s="553">
        <f>Table22[[#This Row],[LOQ]]</f>
        <v>0</v>
      </c>
      <c r="O170" s="553">
        <f>Table22[[#This Row],[CFrisk for residue definition]]</f>
        <v>0</v>
      </c>
      <c r="P170" s="553">
        <f>Table22[[#This Row],[PeF (peeling factor RD enforcemen)]]</f>
        <v>0</v>
      </c>
      <c r="Q170" s="553">
        <f>Table22[[#This Row],[STMR-RAC (median residue)]]</f>
        <v>0</v>
      </c>
      <c r="R170" s="553">
        <f>Table22[[#This Row],[HR-RAC (highest residue)]]</f>
        <v>0</v>
      </c>
      <c r="S170" s="553">
        <f>Table22[[#This Row],[VF (alternative variability factor)]]</f>
        <v>0</v>
      </c>
      <c r="T170" s="553">
        <f>Table22[[#This Row],[GAP under assessment]]</f>
        <v>0</v>
      </c>
      <c r="U170" s="553">
        <f>Table22[[#This Row],[Post-harvest treatment]]</f>
        <v>0</v>
      </c>
      <c r="V170" s="553" t="str">
        <f>Table22[[#This Row],[Chronic RA label]]</f>
        <v/>
      </c>
      <c r="W170" s="553">
        <f>Table22[[#This Row],[Chronic RA input value]]</f>
        <v>0</v>
      </c>
      <c r="X170" s="1684" t="str">
        <f>Table22[[#This Row],[Acute RA label]]</f>
        <v/>
      </c>
      <c r="Y170" s="553">
        <f>Table22[[#This Row],[Acute RA input value]]</f>
        <v>0</v>
      </c>
      <c r="Z170" s="786">
        <f>SUM(Table1[[#This Row],[chronic value &lt;&gt;MRL/LOQ]:[acute vlue&lt;&gt;MRL/LOQ]])</f>
        <v>0</v>
      </c>
      <c r="AA170" s="786">
        <f>IF(AND($F$5="Refined calculation mode",Table1[[#This Row],[GAP under assessment]]="Y"),1,IF(OR(Table1[[#This Row],[Chronic RA label]]="LOQ",Table1[[#This Row],[Chronic RA label]]="",Table1[[#This Row],[Chronic RA label]]="MRL"),0,1))</f>
        <v>0</v>
      </c>
      <c r="AB170" s="787">
        <f>IF(OR(Table1[[#This Row],[Acute RA label]]="LOQ",Table1[[#This Row],[Acute RA label]]="",Table1[[#This Row],[Acute RA label]]="MRL"),0,1)</f>
        <v>0</v>
      </c>
    </row>
    <row r="171" spans="1:28" ht="13.5" hidden="1" thickTop="1" x14ac:dyDescent="0.2">
      <c r="A171" s="815">
        <f>Table1[[#This Row],[Code no.]]</f>
        <v>252020</v>
      </c>
      <c r="B171" s="793" t="str">
        <f>Table1[[#This Row],[Commodity or group of commodities to which the MRLs apply]]</f>
        <v>Purslanes</v>
      </c>
      <c r="C171" s="794">
        <f>Table1[[#This Row],[MRL/ proposed MRL /CXL
(mg/kg)]]</f>
        <v>0</v>
      </c>
      <c r="D171" s="795">
        <f>Table1[[#This Row],[Source of MRL]]</f>
        <v>0</v>
      </c>
      <c r="E171" s="797">
        <f>Table1[[#This Row],[Chronic RA input value]]</f>
        <v>0</v>
      </c>
      <c r="F171" s="795" t="str">
        <f>Table1[[#This Row],[Chronic RA label]]</f>
        <v/>
      </c>
      <c r="G171" s="797">
        <f>Table1[[#This Row],[Acute RA input value]]</f>
        <v>0</v>
      </c>
      <c r="H171" s="836" t="str">
        <f>Table1[[#This Row],[Acute RA label]]</f>
        <v/>
      </c>
      <c r="J171" s="553">
        <f>Table22[[#This Row],[Code no.]]</f>
        <v>252020</v>
      </c>
      <c r="K171" s="553" t="str">
        <f>Table22[[#This Row],[Commodity or group of commodities to which the MRLs apply]]</f>
        <v>Purslanes</v>
      </c>
      <c r="L171" s="553">
        <f>Table22[[#This Row],[Source / type of MRL]]</f>
        <v>0</v>
      </c>
      <c r="M171" s="553">
        <f>Table22[[#This Row],[MRL/ proposed MRL /CXL
(mg/kg)]]</f>
        <v>0</v>
      </c>
      <c r="N171" s="553">
        <f>Table22[[#This Row],[LOQ]]</f>
        <v>0</v>
      </c>
      <c r="O171" s="553">
        <f>Table22[[#This Row],[CFrisk for residue definition]]</f>
        <v>0</v>
      </c>
      <c r="P171" s="553">
        <f>Table22[[#This Row],[PeF (peeling factor RD enforcemen)]]</f>
        <v>0</v>
      </c>
      <c r="Q171" s="553">
        <f>Table22[[#This Row],[STMR-RAC (median residue)]]</f>
        <v>0</v>
      </c>
      <c r="R171" s="553">
        <f>Table22[[#This Row],[HR-RAC (highest residue)]]</f>
        <v>0</v>
      </c>
      <c r="S171" s="553">
        <f>Table22[[#This Row],[VF (alternative variability factor)]]</f>
        <v>0</v>
      </c>
      <c r="T171" s="553">
        <f>Table22[[#This Row],[GAP under assessment]]</f>
        <v>0</v>
      </c>
      <c r="U171" s="553">
        <f>Table22[[#This Row],[Post-harvest treatment]]</f>
        <v>0</v>
      </c>
      <c r="V171" s="553" t="str">
        <f>Table22[[#This Row],[Chronic RA label]]</f>
        <v/>
      </c>
      <c r="W171" s="553">
        <f>Table22[[#This Row],[Chronic RA input value]]</f>
        <v>0</v>
      </c>
      <c r="X171" s="1684" t="str">
        <f>Table22[[#This Row],[Acute RA label]]</f>
        <v/>
      </c>
      <c r="Y171" s="553">
        <f>Table22[[#This Row],[Acute RA input value]]</f>
        <v>0</v>
      </c>
      <c r="Z171" s="786">
        <f>SUM(Table1[[#This Row],[chronic value &lt;&gt;MRL/LOQ]:[acute vlue&lt;&gt;MRL/LOQ]])</f>
        <v>0</v>
      </c>
      <c r="AA171" s="786">
        <f>IF(AND($F$5="Refined calculation mode",Table1[[#This Row],[GAP under assessment]]="Y"),1,IF(OR(Table1[[#This Row],[Chronic RA label]]="LOQ",Table1[[#This Row],[Chronic RA label]]="",Table1[[#This Row],[Chronic RA label]]="MRL"),0,1))</f>
        <v>0</v>
      </c>
      <c r="AB171" s="787">
        <f>IF(OR(Table1[[#This Row],[Acute RA label]]="LOQ",Table1[[#This Row],[Acute RA label]]="",Table1[[#This Row],[Acute RA label]]="MRL"),0,1)</f>
        <v>0</v>
      </c>
    </row>
    <row r="172" spans="1:28" ht="13.5" hidden="1" thickTop="1" x14ac:dyDescent="0.2">
      <c r="A172" s="815">
        <f>Table1[[#This Row],[Code no.]]</f>
        <v>252030</v>
      </c>
      <c r="B172" s="793" t="str">
        <f>Table1[[#This Row],[Commodity or group of commodities to which the MRLs apply]]</f>
        <v>Chards/beet leaves</v>
      </c>
      <c r="C172" s="794">
        <f>Table1[[#This Row],[MRL/ proposed MRL /CXL
(mg/kg)]]</f>
        <v>0</v>
      </c>
      <c r="D172" s="795">
        <f>Table1[[#This Row],[Source of MRL]]</f>
        <v>0</v>
      </c>
      <c r="E172" s="797">
        <f>Table1[[#This Row],[Chronic RA input value]]</f>
        <v>0</v>
      </c>
      <c r="F172" s="795" t="str">
        <f>Table1[[#This Row],[Chronic RA label]]</f>
        <v/>
      </c>
      <c r="G172" s="797">
        <f>Table1[[#This Row],[Acute RA input value]]</f>
        <v>0</v>
      </c>
      <c r="H172" s="836" t="str">
        <f>Table1[[#This Row],[Acute RA label]]</f>
        <v/>
      </c>
      <c r="J172" s="553">
        <f>Table22[[#This Row],[Code no.]]</f>
        <v>252030</v>
      </c>
      <c r="K172" s="553" t="str">
        <f>Table22[[#This Row],[Commodity or group of commodities to which the MRLs apply]]</f>
        <v>Chards/beet leaves</v>
      </c>
      <c r="L172" s="553">
        <f>Table22[[#This Row],[Source / type of MRL]]</f>
        <v>0</v>
      </c>
      <c r="M172" s="553">
        <f>Table22[[#This Row],[MRL/ proposed MRL /CXL
(mg/kg)]]</f>
        <v>0</v>
      </c>
      <c r="N172" s="553">
        <f>Table22[[#This Row],[LOQ]]</f>
        <v>0</v>
      </c>
      <c r="O172" s="553">
        <f>Table22[[#This Row],[CFrisk for residue definition]]</f>
        <v>0</v>
      </c>
      <c r="P172" s="553">
        <f>Table22[[#This Row],[PeF (peeling factor RD enforcemen)]]</f>
        <v>0</v>
      </c>
      <c r="Q172" s="553">
        <f>Table22[[#This Row],[STMR-RAC (median residue)]]</f>
        <v>0</v>
      </c>
      <c r="R172" s="553">
        <f>Table22[[#This Row],[HR-RAC (highest residue)]]</f>
        <v>0</v>
      </c>
      <c r="S172" s="553">
        <f>Table22[[#This Row],[VF (alternative variability factor)]]</f>
        <v>0</v>
      </c>
      <c r="T172" s="553">
        <f>Table22[[#This Row],[GAP under assessment]]</f>
        <v>0</v>
      </c>
      <c r="U172" s="553">
        <f>Table22[[#This Row],[Post-harvest treatment]]</f>
        <v>0</v>
      </c>
      <c r="V172" s="553" t="str">
        <f>Table22[[#This Row],[Chronic RA label]]</f>
        <v/>
      </c>
      <c r="W172" s="553">
        <f>Table22[[#This Row],[Chronic RA input value]]</f>
        <v>0</v>
      </c>
      <c r="X172" s="1684" t="str">
        <f>Table22[[#This Row],[Acute RA label]]</f>
        <v/>
      </c>
      <c r="Y172" s="553">
        <f>Table22[[#This Row],[Acute RA input value]]</f>
        <v>0</v>
      </c>
      <c r="Z172" s="786">
        <f>SUM(Table1[[#This Row],[chronic value &lt;&gt;MRL/LOQ]:[acute vlue&lt;&gt;MRL/LOQ]])</f>
        <v>0</v>
      </c>
      <c r="AA172" s="786">
        <f>IF(AND($F$5="Refined calculation mode",Table1[[#This Row],[GAP under assessment]]="Y"),1,IF(OR(Table1[[#This Row],[Chronic RA label]]="LOQ",Table1[[#This Row],[Chronic RA label]]="",Table1[[#This Row],[Chronic RA label]]="MRL"),0,1))</f>
        <v>0</v>
      </c>
      <c r="AB172" s="787">
        <f>IF(OR(Table1[[#This Row],[Acute RA label]]="LOQ",Table1[[#This Row],[Acute RA label]]="",Table1[[#This Row],[Acute RA label]]="MRL"),0,1)</f>
        <v>0</v>
      </c>
    </row>
    <row r="173" spans="1:28" ht="21.75" hidden="1" thickTop="1" x14ac:dyDescent="0.2">
      <c r="A173" s="815">
        <f>Table1[[#This Row],[Code no.]]</f>
        <v>252990</v>
      </c>
      <c r="B173" s="793" t="str">
        <f>Table1[[#This Row],[Commodity or group of commodities to which the MRLs apply]]</f>
        <v>Other spinach and similar</v>
      </c>
      <c r="C173" s="794">
        <f>Table1[[#This Row],[MRL/ proposed MRL /CXL
(mg/kg)]]</f>
        <v>0</v>
      </c>
      <c r="D173" s="795">
        <f>Table1[[#This Row],[Source of MRL]]</f>
        <v>0</v>
      </c>
      <c r="E173" s="797">
        <f>Table1[[#This Row],[Chronic RA input value]]</f>
        <v>0</v>
      </c>
      <c r="F173" s="795" t="str">
        <f>Table1[[#This Row],[Chronic RA label]]</f>
        <v/>
      </c>
      <c r="G173" s="797">
        <f>Table1[[#This Row],[Acute RA input value]]</f>
        <v>0</v>
      </c>
      <c r="H173" s="836">
        <f>Table1[[#This Row],[Acute RA label]]</f>
        <v>0</v>
      </c>
      <c r="J173" s="553">
        <f>Table22[[#This Row],[Code no.]]</f>
        <v>252990</v>
      </c>
      <c r="K173" s="553" t="str">
        <f>Table22[[#This Row],[Commodity or group of commodities to which the MRLs apply]]</f>
        <v>Other spinach and similar</v>
      </c>
      <c r="L173" s="553">
        <f>Table22[[#This Row],[Source / type of MRL]]</f>
        <v>0</v>
      </c>
      <c r="M173" s="553">
        <f>Table22[[#This Row],[MRL/ proposed MRL /CXL
(mg/kg)]]</f>
        <v>0</v>
      </c>
      <c r="N173" s="553">
        <f>Table22[[#This Row],[LOQ]]</f>
        <v>0</v>
      </c>
      <c r="O173" s="553">
        <f>Table22[[#This Row],[CFrisk for residue definition]]</f>
        <v>0</v>
      </c>
      <c r="P173" s="553">
        <f>Table22[[#This Row],[PeF (peeling factor RD enforcemen)]]</f>
        <v>0</v>
      </c>
      <c r="Q173" s="553">
        <f>Table22[[#This Row],[STMR-RAC (median residue)]]</f>
        <v>0</v>
      </c>
      <c r="R173" s="553">
        <f>Table22[[#This Row],[HR-RAC (highest residue)]]</f>
        <v>0</v>
      </c>
      <c r="S173" s="553">
        <f>Table22[[#This Row],[VF (alternative variability factor)]]</f>
        <v>0</v>
      </c>
      <c r="T173" s="553">
        <f>Table22[[#This Row],[GAP under assessment]]</f>
        <v>0</v>
      </c>
      <c r="U173" s="553">
        <f>Table22[[#This Row],[Post-harvest treatment]]</f>
        <v>0</v>
      </c>
      <c r="V173" s="553" t="str">
        <f>Table22[[#This Row],[Chronic RA label]]</f>
        <v/>
      </c>
      <c r="W173" s="553">
        <f>Table22[[#This Row],[Chronic RA input value]]</f>
        <v>0</v>
      </c>
      <c r="X173" s="1684"/>
      <c r="Y173" s="553">
        <f>Table22[[#This Row],[Acute RA input value]]</f>
        <v>0</v>
      </c>
      <c r="Z173" s="786">
        <f>SUM(Table1[[#This Row],[chronic value &lt;&gt;MRL/LOQ]:[acute vlue&lt;&gt;MRL/LOQ]])</f>
        <v>0</v>
      </c>
      <c r="AA173" s="786">
        <f>IF(AND($F$5="Refined calculation mode",Table1[[#This Row],[GAP under assessment]]="Y"),1,IF(OR(Table1[[#This Row],[Chronic RA label]]="LOQ",Table1[[#This Row],[Chronic RA label]]="",Table1[[#This Row],[Chronic RA label]]="MRL"),0,1))</f>
        <v>0</v>
      </c>
      <c r="AB173" s="787">
        <f>IF(OR(Table1[[#This Row],[Acute RA label]]="LOQ",Table1[[#This Row],[Acute RA label]]="",Table1[[#This Row],[Acute RA label]]="MRL"),0,1)</f>
        <v>0</v>
      </c>
    </row>
    <row r="174" spans="1:28" ht="21.75" hidden="1" thickTop="1" x14ac:dyDescent="0.2">
      <c r="A174" s="815">
        <f>Table1[[#This Row],[Code no.]]</f>
        <v>253000</v>
      </c>
      <c r="B174" s="793" t="str">
        <f>Table1[[#This Row],[Commodity or group of commodities to which the MRLs apply]]</f>
        <v>Grape leaves and similar species</v>
      </c>
      <c r="C174" s="794">
        <f>Table1[[#This Row],[MRL/ proposed MRL /CXL
(mg/kg)]]</f>
        <v>0</v>
      </c>
      <c r="D174" s="795">
        <f>Table1[[#This Row],[Source of MRL]]</f>
        <v>0</v>
      </c>
      <c r="E174" s="797">
        <f>Table1[[#This Row],[Chronic RA input value]]</f>
        <v>0</v>
      </c>
      <c r="F174" s="795" t="str">
        <f>Table1[[#This Row],[Chronic RA label]]</f>
        <v/>
      </c>
      <c r="G174" s="797">
        <f>Table1[[#This Row],[Acute RA input value]]</f>
        <v>0</v>
      </c>
      <c r="H174" s="836" t="str">
        <f>Table1[[#This Row],[Acute RA label]]</f>
        <v/>
      </c>
      <c r="J174" s="553">
        <f>Table22[[#This Row],[Code no.]]</f>
        <v>253000</v>
      </c>
      <c r="K174" s="553" t="str">
        <f>Table22[[#This Row],[Commodity or group of commodities to which the MRLs apply]]</f>
        <v>Grape leaves and similar species</v>
      </c>
      <c r="L174" s="553">
        <f>Table22[[#This Row],[Source / type of MRL]]</f>
        <v>0</v>
      </c>
      <c r="M174" s="553">
        <f>Table22[[#This Row],[MRL/ proposed MRL /CXL
(mg/kg)]]</f>
        <v>0</v>
      </c>
      <c r="N174" s="553">
        <f>Table22[[#This Row],[LOQ]]</f>
        <v>0</v>
      </c>
      <c r="O174" s="553">
        <f>Table22[[#This Row],[CFrisk for residue definition]]</f>
        <v>0</v>
      </c>
      <c r="P174" s="553">
        <f>Table22[[#This Row],[PeF (peeling factor RD enforcemen)]]</f>
        <v>0</v>
      </c>
      <c r="Q174" s="553">
        <f>Table22[[#This Row],[STMR-RAC (median residue)]]</f>
        <v>0</v>
      </c>
      <c r="R174" s="553">
        <f>Table22[[#This Row],[HR-RAC (highest residue)]]</f>
        <v>0</v>
      </c>
      <c r="S174" s="553">
        <f>Table22[[#This Row],[VF (alternative variability factor)]]</f>
        <v>0</v>
      </c>
      <c r="T174" s="553">
        <f>Table22[[#This Row],[GAP under assessment]]</f>
        <v>0</v>
      </c>
      <c r="U174" s="553">
        <f>Table22[[#This Row],[Post-harvest treatment]]</f>
        <v>0</v>
      </c>
      <c r="V174" s="553" t="str">
        <f>Table22[[#This Row],[Chronic RA label]]</f>
        <v/>
      </c>
      <c r="W174" s="553">
        <f>Table22[[#This Row],[Chronic RA input value]]</f>
        <v>0</v>
      </c>
      <c r="X174" s="1684" t="str">
        <f>Table22[[#This Row],[Acute RA label]]</f>
        <v/>
      </c>
      <c r="Y174" s="553">
        <f>Table22[[#This Row],[Acute RA input value]]</f>
        <v>0</v>
      </c>
      <c r="Z174" s="786">
        <f>SUM(Table1[[#This Row],[chronic value &lt;&gt;MRL/LOQ]:[acute vlue&lt;&gt;MRL/LOQ]])</f>
        <v>0</v>
      </c>
      <c r="AA174" s="786">
        <f>IF(AND($F$5="Refined calculation mode",Table1[[#This Row],[GAP under assessment]]="Y"),1,IF(OR(Table1[[#This Row],[Chronic RA label]]="LOQ",Table1[[#This Row],[Chronic RA label]]="",Table1[[#This Row],[Chronic RA label]]="MRL"),0,1))</f>
        <v>0</v>
      </c>
      <c r="AB174" s="787">
        <f>IF(OR(Table1[[#This Row],[Acute RA label]]="LOQ",Table1[[#This Row],[Acute RA label]]="",Table1[[#This Row],[Acute RA label]]="MRL"),0,1)</f>
        <v>0</v>
      </c>
    </row>
    <row r="175" spans="1:28" ht="13.5" hidden="1" thickTop="1" x14ac:dyDescent="0.2">
      <c r="A175" s="815">
        <f>Table1[[#This Row],[Code no.]]</f>
        <v>254000</v>
      </c>
      <c r="B175" s="793" t="str">
        <f>Table1[[#This Row],[Commodity or group of commodities to which the MRLs apply]]</f>
        <v>Watercress</v>
      </c>
      <c r="C175" s="794">
        <f>Table1[[#This Row],[MRL/ proposed MRL /CXL
(mg/kg)]]</f>
        <v>0</v>
      </c>
      <c r="D175" s="795">
        <f>Table1[[#This Row],[Source of MRL]]</f>
        <v>0</v>
      </c>
      <c r="E175" s="797">
        <f>Table1[[#This Row],[Chronic RA input value]]</f>
        <v>0</v>
      </c>
      <c r="F175" s="795" t="str">
        <f>Table1[[#This Row],[Chronic RA label]]</f>
        <v/>
      </c>
      <c r="G175" s="797">
        <f>Table1[[#This Row],[Acute RA input value]]</f>
        <v>0</v>
      </c>
      <c r="H175" s="836" t="str">
        <f>Table1[[#This Row],[Acute RA label]]</f>
        <v/>
      </c>
      <c r="J175" s="553">
        <f>Table22[[#This Row],[Code no.]]</f>
        <v>254000</v>
      </c>
      <c r="K175" s="553" t="str">
        <f>Table22[[#This Row],[Commodity or group of commodities to which the MRLs apply]]</f>
        <v>Watercress</v>
      </c>
      <c r="L175" s="553">
        <f>Table22[[#This Row],[Source / type of MRL]]</f>
        <v>0</v>
      </c>
      <c r="M175" s="553">
        <f>Table22[[#This Row],[MRL/ proposed MRL /CXL
(mg/kg)]]</f>
        <v>0</v>
      </c>
      <c r="N175" s="553">
        <f>Table22[[#This Row],[LOQ]]</f>
        <v>0</v>
      </c>
      <c r="O175" s="553">
        <f>Table22[[#This Row],[CFrisk for residue definition]]</f>
        <v>0</v>
      </c>
      <c r="P175" s="553">
        <f>Table22[[#This Row],[PeF (peeling factor RD enforcemen)]]</f>
        <v>0</v>
      </c>
      <c r="Q175" s="553">
        <f>Table22[[#This Row],[STMR-RAC (median residue)]]</f>
        <v>0</v>
      </c>
      <c r="R175" s="553">
        <f>Table22[[#This Row],[HR-RAC (highest residue)]]</f>
        <v>0</v>
      </c>
      <c r="S175" s="553">
        <f>Table22[[#This Row],[VF (alternative variability factor)]]</f>
        <v>0</v>
      </c>
      <c r="T175" s="553">
        <f>Table22[[#This Row],[GAP under assessment]]</f>
        <v>0</v>
      </c>
      <c r="U175" s="553">
        <f>Table22[[#This Row],[Post-harvest treatment]]</f>
        <v>0</v>
      </c>
      <c r="V175" s="553" t="str">
        <f>Table22[[#This Row],[Chronic RA label]]</f>
        <v/>
      </c>
      <c r="W175" s="553">
        <f>Table22[[#This Row],[Chronic RA input value]]</f>
        <v>0</v>
      </c>
      <c r="X175" s="1684" t="str">
        <f>Table22[[#This Row],[Acute RA label]]</f>
        <v/>
      </c>
      <c r="Y175" s="553">
        <f>Table22[[#This Row],[Acute RA input value]]</f>
        <v>0</v>
      </c>
      <c r="Z175" s="786">
        <f>SUM(Table1[[#This Row],[chronic value &lt;&gt;MRL/LOQ]:[acute vlue&lt;&gt;MRL/LOQ]])</f>
        <v>0</v>
      </c>
      <c r="AA175" s="786">
        <f>IF(AND($F$5="Refined calculation mode",Table1[[#This Row],[GAP under assessment]]="Y"),1,IF(OR(Table1[[#This Row],[Chronic RA label]]="LOQ",Table1[[#This Row],[Chronic RA label]]="",Table1[[#This Row],[Chronic RA label]]="MRL"),0,1))</f>
        <v>0</v>
      </c>
      <c r="AB175" s="787">
        <f>IF(OR(Table1[[#This Row],[Acute RA label]]="LOQ",Table1[[#This Row],[Acute RA label]]="",Table1[[#This Row],[Acute RA label]]="MRL"),0,1)</f>
        <v>0</v>
      </c>
    </row>
    <row r="176" spans="1:28" ht="21.75" hidden="1" thickTop="1" x14ac:dyDescent="0.2">
      <c r="A176" s="815">
        <f>Table1[[#This Row],[Code no.]]</f>
        <v>255000</v>
      </c>
      <c r="B176" s="793" t="str">
        <f>Table1[[#This Row],[Commodity or group of commodities to which the MRLs apply]]</f>
        <v>Witloofs/Belgian endives</v>
      </c>
      <c r="C176" s="794">
        <f>Table1[[#This Row],[MRL/ proposed MRL /CXL
(mg/kg)]]</f>
        <v>0</v>
      </c>
      <c r="D176" s="795">
        <f>Table1[[#This Row],[Source of MRL]]</f>
        <v>0</v>
      </c>
      <c r="E176" s="797">
        <f>Table1[[#This Row],[Chronic RA input value]]</f>
        <v>0</v>
      </c>
      <c r="F176" s="795" t="str">
        <f>Table1[[#This Row],[Chronic RA label]]</f>
        <v/>
      </c>
      <c r="G176" s="797">
        <f>Table1[[#This Row],[Acute RA input value]]</f>
        <v>0</v>
      </c>
      <c r="H176" s="836" t="str">
        <f>Table1[[#This Row],[Acute RA label]]</f>
        <v/>
      </c>
      <c r="J176" s="553">
        <f>Table22[[#This Row],[Code no.]]</f>
        <v>255000</v>
      </c>
      <c r="K176" s="553" t="str">
        <f>Table22[[#This Row],[Commodity or group of commodities to which the MRLs apply]]</f>
        <v>Witloofs/Belgian endives</v>
      </c>
      <c r="L176" s="553">
        <f>Table22[[#This Row],[Source / type of MRL]]</f>
        <v>0</v>
      </c>
      <c r="M176" s="553">
        <f>Table22[[#This Row],[MRL/ proposed MRL /CXL
(mg/kg)]]</f>
        <v>0</v>
      </c>
      <c r="N176" s="553">
        <f>Table22[[#This Row],[LOQ]]</f>
        <v>0</v>
      </c>
      <c r="O176" s="553">
        <f>Table22[[#This Row],[CFrisk for residue definition]]</f>
        <v>0</v>
      </c>
      <c r="P176" s="553">
        <f>Table22[[#This Row],[PeF (peeling factor RD enforcemen)]]</f>
        <v>0</v>
      </c>
      <c r="Q176" s="553">
        <f>Table22[[#This Row],[STMR-RAC (median residue)]]</f>
        <v>0</v>
      </c>
      <c r="R176" s="553">
        <f>Table22[[#This Row],[HR-RAC (highest residue)]]</f>
        <v>0</v>
      </c>
      <c r="S176" s="553">
        <f>Table22[[#This Row],[VF (alternative variability factor)]]</f>
        <v>0</v>
      </c>
      <c r="T176" s="553">
        <f>Table22[[#This Row],[GAP under assessment]]</f>
        <v>0</v>
      </c>
      <c r="U176" s="553">
        <f>Table22[[#This Row],[Post-harvest treatment]]</f>
        <v>0</v>
      </c>
      <c r="V176" s="553" t="str">
        <f>Table22[[#This Row],[Chronic RA label]]</f>
        <v/>
      </c>
      <c r="W176" s="553">
        <f>Table22[[#This Row],[Chronic RA input value]]</f>
        <v>0</v>
      </c>
      <c r="X176" s="1684" t="str">
        <f>Table22[[#This Row],[Acute RA label]]</f>
        <v/>
      </c>
      <c r="Y176" s="553">
        <f>Table22[[#This Row],[Acute RA input value]]</f>
        <v>0</v>
      </c>
      <c r="Z176" s="786">
        <f>SUM(Table1[[#This Row],[chronic value &lt;&gt;MRL/LOQ]:[acute vlue&lt;&gt;MRL/LOQ]])</f>
        <v>0</v>
      </c>
      <c r="AA176" s="786">
        <f>IF(AND($F$5="Refined calculation mode",Table1[[#This Row],[GAP under assessment]]="Y"),1,IF(OR(Table1[[#This Row],[Chronic RA label]]="LOQ",Table1[[#This Row],[Chronic RA label]]="",Table1[[#This Row],[Chronic RA label]]="MRL"),0,1))</f>
        <v>0</v>
      </c>
      <c r="AB176" s="787">
        <f>IF(OR(Table1[[#This Row],[Acute RA label]]="LOQ",Table1[[#This Row],[Acute RA label]]="",Table1[[#This Row],[Acute RA label]]="MRL"),0,1)</f>
        <v>0</v>
      </c>
    </row>
    <row r="177" spans="1:28" ht="21.75" hidden="1" thickTop="1" x14ac:dyDescent="0.2">
      <c r="A177" s="815">
        <f>Table1[[#This Row],[Code no.]]</f>
        <v>256000</v>
      </c>
      <c r="B177" s="793" t="str">
        <f>Table1[[#This Row],[Commodity or group of commodities to which the MRLs apply]]</f>
        <v>Herbs and edible flowers</v>
      </c>
      <c r="C177" s="794">
        <f>Table1[[#This Row],[MRL/ proposed MRL /CXL
(mg/kg)]]</f>
        <v>0</v>
      </c>
      <c r="D177" s="795">
        <f>Table1[[#This Row],[Source of MRL]]</f>
        <v>0</v>
      </c>
      <c r="E177" s="797">
        <f>Table1[[#This Row],[Chronic RA input value]]</f>
        <v>0</v>
      </c>
      <c r="F177" s="795">
        <f>Table1[[#This Row],[Chronic RA label]]</f>
        <v>0</v>
      </c>
      <c r="G177" s="797">
        <f>Table1[[#This Row],[Acute RA input value]]</f>
        <v>0</v>
      </c>
      <c r="H177" s="836">
        <f>Table1[[#This Row],[Acute RA label]]</f>
        <v>0</v>
      </c>
      <c r="J177" s="553">
        <f>Table22[[#This Row],[Code no.]]</f>
        <v>256000</v>
      </c>
      <c r="K177" s="553" t="str">
        <f>Table22[[#This Row],[Commodity or group of commodities to which the MRLs apply]]</f>
        <v>Herbs and edible flowers</v>
      </c>
      <c r="L177" s="553">
        <f>Table22[[#This Row],[Source / type of MRL]]</f>
        <v>0</v>
      </c>
      <c r="M177" s="553">
        <f>Table22[[#This Row],[MRL/ proposed MRL /CXL
(mg/kg)]]</f>
        <v>0</v>
      </c>
      <c r="N177" s="553">
        <f>Table22[[#This Row],[LOQ]]</f>
        <v>0</v>
      </c>
      <c r="O177" s="553">
        <f>Table22[[#This Row],[CFrisk for residue definition]]</f>
        <v>0</v>
      </c>
      <c r="P177" s="553">
        <f>Table22[[#This Row],[PeF (peeling factor RD enforcemen)]]</f>
        <v>0</v>
      </c>
      <c r="Q177" s="553">
        <f>Table22[[#This Row],[STMR-RAC (median residue)]]</f>
        <v>0</v>
      </c>
      <c r="R177" s="553">
        <f>Table22[[#This Row],[HR-RAC (highest residue)]]</f>
        <v>0</v>
      </c>
      <c r="S177" s="553">
        <f>Table22[[#This Row],[VF (alternative variability factor)]]</f>
        <v>0</v>
      </c>
      <c r="T177" s="553">
        <f>Table22[[#This Row],[GAP under assessment]]</f>
        <v>0</v>
      </c>
      <c r="U177" s="553">
        <f>Table22[[#This Row],[Post-harvest treatment]]</f>
        <v>0</v>
      </c>
      <c r="V177" s="553"/>
      <c r="W177" s="553">
        <f>Table22[[#This Row],[Chronic RA input value]]</f>
        <v>0</v>
      </c>
      <c r="X177" s="1684"/>
      <c r="Y177" s="553">
        <f>Table22[[#This Row],[Acute RA input value]]</f>
        <v>0</v>
      </c>
      <c r="Z177" s="786">
        <f>SUM(Table1[[#This Row],[chronic value &lt;&gt;MRL/LOQ]:[acute vlue&lt;&gt;MRL/LOQ]])</f>
        <v>0</v>
      </c>
      <c r="AA177" s="786">
        <f>IF(AND($F$5="Refined calculation mode",Table1[[#This Row],[GAP under assessment]]="Y"),1,IF(OR(Table1[[#This Row],[Chronic RA label]]="LOQ",Table1[[#This Row],[Chronic RA label]]="",Table1[[#This Row],[Chronic RA label]]="MRL"),0,1))</f>
        <v>0</v>
      </c>
      <c r="AB177" s="787">
        <f>IF(OR(Table1[[#This Row],[Acute RA label]]="LOQ",Table1[[#This Row],[Acute RA label]]="",Table1[[#This Row],[Acute RA label]]="MRL"),0,1)</f>
        <v>0</v>
      </c>
    </row>
    <row r="178" spans="1:28" ht="13.5" hidden="1" thickTop="1" x14ac:dyDescent="0.2">
      <c r="A178" s="815">
        <f>Table1[[#This Row],[Code no.]]</f>
        <v>256010</v>
      </c>
      <c r="B178" s="793" t="str">
        <f>Table1[[#This Row],[Commodity or group of commodities to which the MRLs apply]]</f>
        <v>Chervil</v>
      </c>
      <c r="C178" s="794">
        <f>Table1[[#This Row],[MRL/ proposed MRL /CXL
(mg/kg)]]</f>
        <v>0</v>
      </c>
      <c r="D178" s="795">
        <f>Table1[[#This Row],[Source of MRL]]</f>
        <v>0</v>
      </c>
      <c r="E178" s="797">
        <f>Table1[[#This Row],[Chronic RA input value]]</f>
        <v>0</v>
      </c>
      <c r="F178" s="795" t="str">
        <f>Table1[[#This Row],[Chronic RA label]]</f>
        <v/>
      </c>
      <c r="G178" s="797">
        <f>Table1[[#This Row],[Acute RA input value]]</f>
        <v>0</v>
      </c>
      <c r="H178" s="836" t="str">
        <f>Table1[[#This Row],[Acute RA label]]</f>
        <v/>
      </c>
      <c r="J178" s="553">
        <f>Table22[[#This Row],[Code no.]]</f>
        <v>256010</v>
      </c>
      <c r="K178" s="553" t="str">
        <f>Table22[[#This Row],[Commodity or group of commodities to which the MRLs apply]]</f>
        <v>Chervil</v>
      </c>
      <c r="L178" s="553">
        <f>Table22[[#This Row],[Source / type of MRL]]</f>
        <v>0</v>
      </c>
      <c r="M178" s="553">
        <f>Table22[[#This Row],[MRL/ proposed MRL /CXL
(mg/kg)]]</f>
        <v>0</v>
      </c>
      <c r="N178" s="553">
        <f>Table22[[#This Row],[LOQ]]</f>
        <v>0</v>
      </c>
      <c r="O178" s="553">
        <f>Table22[[#This Row],[CFrisk for residue definition]]</f>
        <v>0</v>
      </c>
      <c r="P178" s="553">
        <f>Table22[[#This Row],[PeF (peeling factor RD enforcemen)]]</f>
        <v>0</v>
      </c>
      <c r="Q178" s="553">
        <f>Table22[[#This Row],[STMR-RAC (median residue)]]</f>
        <v>0</v>
      </c>
      <c r="R178" s="553">
        <f>Table22[[#This Row],[HR-RAC (highest residue)]]</f>
        <v>0</v>
      </c>
      <c r="S178" s="553">
        <f>Table22[[#This Row],[VF (alternative variability factor)]]</f>
        <v>0</v>
      </c>
      <c r="T178" s="553">
        <f>Table22[[#This Row],[GAP under assessment]]</f>
        <v>0</v>
      </c>
      <c r="U178" s="553">
        <f>Table22[[#This Row],[Post-harvest treatment]]</f>
        <v>0</v>
      </c>
      <c r="V178" s="553" t="str">
        <f>Table22[[#This Row],[Chronic RA label]]</f>
        <v/>
      </c>
      <c r="W178" s="553">
        <f>Table22[[#This Row],[Chronic RA input value]]</f>
        <v>0</v>
      </c>
      <c r="X178" s="1684" t="str">
        <f>Table22[[#This Row],[Acute RA label]]</f>
        <v/>
      </c>
      <c r="Y178" s="553">
        <f>Table22[[#This Row],[Acute RA input value]]</f>
        <v>0</v>
      </c>
      <c r="Z178" s="786">
        <f>SUM(Table1[[#This Row],[chronic value &lt;&gt;MRL/LOQ]:[acute vlue&lt;&gt;MRL/LOQ]])</f>
        <v>0</v>
      </c>
      <c r="AA178" s="786">
        <f>IF(AND($F$5="Refined calculation mode",Table1[[#This Row],[GAP under assessment]]="Y"),1,IF(OR(Table1[[#This Row],[Chronic RA label]]="LOQ",Table1[[#This Row],[Chronic RA label]]="",Table1[[#This Row],[Chronic RA label]]="MRL"),0,1))</f>
        <v>0</v>
      </c>
      <c r="AB178" s="787">
        <f>IF(OR(Table1[[#This Row],[Acute RA label]]="LOQ",Table1[[#This Row],[Acute RA label]]="",Table1[[#This Row],[Acute RA label]]="MRL"),0,1)</f>
        <v>0</v>
      </c>
    </row>
    <row r="179" spans="1:28" ht="13.5" hidden="1" thickTop="1" x14ac:dyDescent="0.2">
      <c r="A179" s="815">
        <f>Table1[[#This Row],[Code no.]]</f>
        <v>256020</v>
      </c>
      <c r="B179" s="793" t="str">
        <f>Table1[[#This Row],[Commodity or group of commodities to which the MRLs apply]]</f>
        <v>Chives</v>
      </c>
      <c r="C179" s="794">
        <f>Table1[[#This Row],[MRL/ proposed MRL /CXL
(mg/kg)]]</f>
        <v>0</v>
      </c>
      <c r="D179" s="795">
        <f>Table1[[#This Row],[Source of MRL]]</f>
        <v>0</v>
      </c>
      <c r="E179" s="797">
        <f>Table1[[#This Row],[Chronic RA input value]]</f>
        <v>0</v>
      </c>
      <c r="F179" s="795" t="str">
        <f>Table1[[#This Row],[Chronic RA label]]</f>
        <v/>
      </c>
      <c r="G179" s="797">
        <f>Table1[[#This Row],[Acute RA input value]]</f>
        <v>0</v>
      </c>
      <c r="H179" s="836" t="str">
        <f>Table1[[#This Row],[Acute RA label]]</f>
        <v/>
      </c>
      <c r="J179" s="553">
        <f>Table22[[#This Row],[Code no.]]</f>
        <v>256020</v>
      </c>
      <c r="K179" s="553" t="str">
        <f>Table22[[#This Row],[Commodity or group of commodities to which the MRLs apply]]</f>
        <v>Chives</v>
      </c>
      <c r="L179" s="553">
        <f>Table22[[#This Row],[Source / type of MRL]]</f>
        <v>0</v>
      </c>
      <c r="M179" s="553">
        <f>Table22[[#This Row],[MRL/ proposed MRL /CXL
(mg/kg)]]</f>
        <v>0</v>
      </c>
      <c r="N179" s="553">
        <f>Table22[[#This Row],[LOQ]]</f>
        <v>0</v>
      </c>
      <c r="O179" s="553">
        <f>Table22[[#This Row],[CFrisk for residue definition]]</f>
        <v>0</v>
      </c>
      <c r="P179" s="553">
        <f>Table22[[#This Row],[PeF (peeling factor RD enforcemen)]]</f>
        <v>0</v>
      </c>
      <c r="Q179" s="553">
        <f>Table22[[#This Row],[STMR-RAC (median residue)]]</f>
        <v>0</v>
      </c>
      <c r="R179" s="553">
        <f>Table22[[#This Row],[HR-RAC (highest residue)]]</f>
        <v>0</v>
      </c>
      <c r="S179" s="553">
        <f>Table22[[#This Row],[VF (alternative variability factor)]]</f>
        <v>0</v>
      </c>
      <c r="T179" s="553">
        <f>Table22[[#This Row],[GAP under assessment]]</f>
        <v>0</v>
      </c>
      <c r="U179" s="553">
        <f>Table22[[#This Row],[Post-harvest treatment]]</f>
        <v>0</v>
      </c>
      <c r="V179" s="553" t="str">
        <f>Table22[[#This Row],[Chronic RA label]]</f>
        <v/>
      </c>
      <c r="W179" s="553">
        <f>Table22[[#This Row],[Chronic RA input value]]</f>
        <v>0</v>
      </c>
      <c r="X179" s="1684" t="str">
        <f>Table22[[#This Row],[Acute RA label]]</f>
        <v/>
      </c>
      <c r="Y179" s="553">
        <f>Table22[[#This Row],[Acute RA input value]]</f>
        <v>0</v>
      </c>
      <c r="Z179" s="786">
        <f>SUM(Table1[[#This Row],[chronic value &lt;&gt;MRL/LOQ]:[acute vlue&lt;&gt;MRL/LOQ]])</f>
        <v>0</v>
      </c>
      <c r="AA179" s="786">
        <f>IF(AND($F$5="Refined calculation mode",Table1[[#This Row],[GAP under assessment]]="Y"),1,IF(OR(Table1[[#This Row],[Chronic RA label]]="LOQ",Table1[[#This Row],[Chronic RA label]]="",Table1[[#This Row],[Chronic RA label]]="MRL"),0,1))</f>
        <v>0</v>
      </c>
      <c r="AB179" s="787">
        <f>IF(OR(Table1[[#This Row],[Acute RA label]]="LOQ",Table1[[#This Row],[Acute RA label]]="",Table1[[#This Row],[Acute RA label]]="MRL"),0,1)</f>
        <v>0</v>
      </c>
    </row>
    <row r="180" spans="1:28" ht="13.5" hidden="1" thickTop="1" x14ac:dyDescent="0.2">
      <c r="A180" s="815">
        <f>Table1[[#This Row],[Code no.]]</f>
        <v>256030</v>
      </c>
      <c r="B180" s="793" t="str">
        <f>Table1[[#This Row],[Commodity or group of commodities to which the MRLs apply]]</f>
        <v>Celery leaves</v>
      </c>
      <c r="C180" s="794">
        <f>Table1[[#This Row],[MRL/ proposed MRL /CXL
(mg/kg)]]</f>
        <v>0</v>
      </c>
      <c r="D180" s="795">
        <f>Table1[[#This Row],[Source of MRL]]</f>
        <v>0</v>
      </c>
      <c r="E180" s="797">
        <f>Table1[[#This Row],[Chronic RA input value]]</f>
        <v>0</v>
      </c>
      <c r="F180" s="795" t="str">
        <f>Table1[[#This Row],[Chronic RA label]]</f>
        <v/>
      </c>
      <c r="G180" s="797">
        <f>Table1[[#This Row],[Acute RA input value]]</f>
        <v>0</v>
      </c>
      <c r="H180" s="836" t="str">
        <f>Table1[[#This Row],[Acute RA label]]</f>
        <v/>
      </c>
      <c r="J180" s="553">
        <f>Table22[[#This Row],[Code no.]]</f>
        <v>256030</v>
      </c>
      <c r="K180" s="553" t="str">
        <f>Table22[[#This Row],[Commodity or group of commodities to which the MRLs apply]]</f>
        <v>Celery leaves</v>
      </c>
      <c r="L180" s="553">
        <f>Table22[[#This Row],[Source / type of MRL]]</f>
        <v>0</v>
      </c>
      <c r="M180" s="553">
        <f>Table22[[#This Row],[MRL/ proposed MRL /CXL
(mg/kg)]]</f>
        <v>0</v>
      </c>
      <c r="N180" s="553">
        <f>Table22[[#This Row],[LOQ]]</f>
        <v>0</v>
      </c>
      <c r="O180" s="553">
        <f>Table22[[#This Row],[CFrisk for residue definition]]</f>
        <v>0</v>
      </c>
      <c r="P180" s="553">
        <f>Table22[[#This Row],[PeF (peeling factor RD enforcemen)]]</f>
        <v>0</v>
      </c>
      <c r="Q180" s="553">
        <f>Table22[[#This Row],[STMR-RAC (median residue)]]</f>
        <v>0</v>
      </c>
      <c r="R180" s="553">
        <f>Table22[[#This Row],[HR-RAC (highest residue)]]</f>
        <v>0</v>
      </c>
      <c r="S180" s="553">
        <f>Table22[[#This Row],[VF (alternative variability factor)]]</f>
        <v>0</v>
      </c>
      <c r="T180" s="553">
        <f>Table22[[#This Row],[GAP under assessment]]</f>
        <v>0</v>
      </c>
      <c r="U180" s="553">
        <f>Table22[[#This Row],[Post-harvest treatment]]</f>
        <v>0</v>
      </c>
      <c r="V180" s="553" t="str">
        <f>Table22[[#This Row],[Chronic RA label]]</f>
        <v/>
      </c>
      <c r="W180" s="553">
        <f>Table22[[#This Row],[Chronic RA input value]]</f>
        <v>0</v>
      </c>
      <c r="X180" s="1684" t="str">
        <f>Table22[[#This Row],[Acute RA label]]</f>
        <v/>
      </c>
      <c r="Y180" s="553">
        <f>Table22[[#This Row],[Acute RA input value]]</f>
        <v>0</v>
      </c>
      <c r="Z180" s="786">
        <f>SUM(Table1[[#This Row],[chronic value &lt;&gt;MRL/LOQ]:[acute vlue&lt;&gt;MRL/LOQ]])</f>
        <v>0</v>
      </c>
      <c r="AA180" s="786">
        <f>IF(AND($F$5="Refined calculation mode",Table1[[#This Row],[GAP under assessment]]="Y"),1,IF(OR(Table1[[#This Row],[Chronic RA label]]="LOQ",Table1[[#This Row],[Chronic RA label]]="",Table1[[#This Row],[Chronic RA label]]="MRL"),0,1))</f>
        <v>0</v>
      </c>
      <c r="AB180" s="787">
        <f>IF(OR(Table1[[#This Row],[Acute RA label]]="LOQ",Table1[[#This Row],[Acute RA label]]="",Table1[[#This Row],[Acute RA label]]="MRL"),0,1)</f>
        <v>0</v>
      </c>
    </row>
    <row r="181" spans="1:28" ht="13.5" hidden="1" thickTop="1" x14ac:dyDescent="0.2">
      <c r="A181" s="815">
        <f>Table1[[#This Row],[Code no.]]</f>
        <v>256040</v>
      </c>
      <c r="B181" s="793" t="str">
        <f>Table1[[#This Row],[Commodity or group of commodities to which the MRLs apply]]</f>
        <v>Parsley</v>
      </c>
      <c r="C181" s="794">
        <f>Table1[[#This Row],[MRL/ proposed MRL /CXL
(mg/kg)]]</f>
        <v>0</v>
      </c>
      <c r="D181" s="795">
        <f>Table1[[#This Row],[Source of MRL]]</f>
        <v>0</v>
      </c>
      <c r="E181" s="797">
        <f>Table1[[#This Row],[Chronic RA input value]]</f>
        <v>0</v>
      </c>
      <c r="F181" s="795" t="str">
        <f>Table1[[#This Row],[Chronic RA label]]</f>
        <v/>
      </c>
      <c r="G181" s="797">
        <f>Table1[[#This Row],[Acute RA input value]]</f>
        <v>0</v>
      </c>
      <c r="H181" s="836" t="str">
        <f>Table1[[#This Row],[Acute RA label]]</f>
        <v/>
      </c>
      <c r="J181" s="553">
        <f>Table22[[#This Row],[Code no.]]</f>
        <v>256040</v>
      </c>
      <c r="K181" s="553" t="str">
        <f>Table22[[#This Row],[Commodity or group of commodities to which the MRLs apply]]</f>
        <v>Parsley</v>
      </c>
      <c r="L181" s="553">
        <f>Table22[[#This Row],[Source / type of MRL]]</f>
        <v>0</v>
      </c>
      <c r="M181" s="553">
        <f>Table22[[#This Row],[MRL/ proposed MRL /CXL
(mg/kg)]]</f>
        <v>0</v>
      </c>
      <c r="N181" s="553">
        <f>Table22[[#This Row],[LOQ]]</f>
        <v>0</v>
      </c>
      <c r="O181" s="553">
        <f>Table22[[#This Row],[CFrisk for residue definition]]</f>
        <v>0</v>
      </c>
      <c r="P181" s="553">
        <f>Table22[[#This Row],[PeF (peeling factor RD enforcemen)]]</f>
        <v>0</v>
      </c>
      <c r="Q181" s="553">
        <f>Table22[[#This Row],[STMR-RAC (median residue)]]</f>
        <v>0</v>
      </c>
      <c r="R181" s="553">
        <f>Table22[[#This Row],[HR-RAC (highest residue)]]</f>
        <v>0</v>
      </c>
      <c r="S181" s="553">
        <f>Table22[[#This Row],[VF (alternative variability factor)]]</f>
        <v>0</v>
      </c>
      <c r="T181" s="553">
        <f>Table22[[#This Row],[GAP under assessment]]</f>
        <v>0</v>
      </c>
      <c r="U181" s="553">
        <f>Table22[[#This Row],[Post-harvest treatment]]</f>
        <v>0</v>
      </c>
      <c r="V181" s="553" t="str">
        <f>Table22[[#This Row],[Chronic RA label]]</f>
        <v/>
      </c>
      <c r="W181" s="553">
        <f>Table22[[#This Row],[Chronic RA input value]]</f>
        <v>0</v>
      </c>
      <c r="X181" s="1684" t="str">
        <f>Table22[[#This Row],[Acute RA label]]</f>
        <v/>
      </c>
      <c r="Y181" s="553">
        <f>Table22[[#This Row],[Acute RA input value]]</f>
        <v>0</v>
      </c>
      <c r="Z181" s="786">
        <f>SUM(Table1[[#This Row],[chronic value &lt;&gt;MRL/LOQ]:[acute vlue&lt;&gt;MRL/LOQ]])</f>
        <v>0</v>
      </c>
      <c r="AA181" s="786">
        <f>IF(AND($F$5="Refined calculation mode",Table1[[#This Row],[GAP under assessment]]="Y"),1,IF(OR(Table1[[#This Row],[Chronic RA label]]="LOQ",Table1[[#This Row],[Chronic RA label]]="",Table1[[#This Row],[Chronic RA label]]="MRL"),0,1))</f>
        <v>0</v>
      </c>
      <c r="AB181" s="787">
        <f>IF(OR(Table1[[#This Row],[Acute RA label]]="LOQ",Table1[[#This Row],[Acute RA label]]="",Table1[[#This Row],[Acute RA label]]="MRL"),0,1)</f>
        <v>0</v>
      </c>
    </row>
    <row r="182" spans="1:28" ht="13.5" hidden="1" thickTop="1" x14ac:dyDescent="0.2">
      <c r="A182" s="815">
        <f>Table1[[#This Row],[Code no.]]</f>
        <v>256050</v>
      </c>
      <c r="B182" s="793" t="str">
        <f>Table1[[#This Row],[Commodity or group of commodities to which the MRLs apply]]</f>
        <v>Sage</v>
      </c>
      <c r="C182" s="794">
        <f>Table1[[#This Row],[MRL/ proposed MRL /CXL
(mg/kg)]]</f>
        <v>0</v>
      </c>
      <c r="D182" s="795">
        <f>Table1[[#This Row],[Source of MRL]]</f>
        <v>0</v>
      </c>
      <c r="E182" s="797">
        <f>Table1[[#This Row],[Chronic RA input value]]</f>
        <v>0</v>
      </c>
      <c r="F182" s="795" t="str">
        <f>Table1[[#This Row],[Chronic RA label]]</f>
        <v/>
      </c>
      <c r="G182" s="797">
        <f>Table1[[#This Row],[Acute RA input value]]</f>
        <v>0</v>
      </c>
      <c r="H182" s="836" t="str">
        <f>Table1[[#This Row],[Acute RA label]]</f>
        <v/>
      </c>
      <c r="J182" s="553">
        <f>Table22[[#This Row],[Code no.]]</f>
        <v>256050</v>
      </c>
      <c r="K182" s="553" t="str">
        <f>Table22[[#This Row],[Commodity or group of commodities to which the MRLs apply]]</f>
        <v>Sage</v>
      </c>
      <c r="L182" s="553">
        <f>Table22[[#This Row],[Source / type of MRL]]</f>
        <v>0</v>
      </c>
      <c r="M182" s="553">
        <f>Table22[[#This Row],[MRL/ proposed MRL /CXL
(mg/kg)]]</f>
        <v>0</v>
      </c>
      <c r="N182" s="553">
        <f>Table22[[#This Row],[LOQ]]</f>
        <v>0</v>
      </c>
      <c r="O182" s="553">
        <f>Table22[[#This Row],[CFrisk for residue definition]]</f>
        <v>0</v>
      </c>
      <c r="P182" s="553">
        <f>Table22[[#This Row],[PeF (peeling factor RD enforcemen)]]</f>
        <v>0</v>
      </c>
      <c r="Q182" s="553">
        <f>Table22[[#This Row],[STMR-RAC (median residue)]]</f>
        <v>0</v>
      </c>
      <c r="R182" s="553">
        <f>Table22[[#This Row],[HR-RAC (highest residue)]]</f>
        <v>0</v>
      </c>
      <c r="S182" s="553">
        <f>Table22[[#This Row],[VF (alternative variability factor)]]</f>
        <v>0</v>
      </c>
      <c r="T182" s="553">
        <f>Table22[[#This Row],[GAP under assessment]]</f>
        <v>0</v>
      </c>
      <c r="U182" s="553">
        <f>Table22[[#This Row],[Post-harvest treatment]]</f>
        <v>0</v>
      </c>
      <c r="V182" s="553" t="str">
        <f>Table22[[#This Row],[Chronic RA label]]</f>
        <v/>
      </c>
      <c r="W182" s="553">
        <f>Table22[[#This Row],[Chronic RA input value]]</f>
        <v>0</v>
      </c>
      <c r="X182" s="1684" t="str">
        <f>Table22[[#This Row],[Acute RA label]]</f>
        <v/>
      </c>
      <c r="Y182" s="553">
        <f>Table22[[#This Row],[Acute RA input value]]</f>
        <v>0</v>
      </c>
      <c r="Z182" s="786">
        <f>SUM(Table1[[#This Row],[chronic value &lt;&gt;MRL/LOQ]:[acute vlue&lt;&gt;MRL/LOQ]])</f>
        <v>0</v>
      </c>
      <c r="AA182" s="786">
        <f>IF(AND($F$5="Refined calculation mode",Table1[[#This Row],[GAP under assessment]]="Y"),1,IF(OR(Table1[[#This Row],[Chronic RA label]]="LOQ",Table1[[#This Row],[Chronic RA label]]="",Table1[[#This Row],[Chronic RA label]]="MRL"),0,1))</f>
        <v>0</v>
      </c>
      <c r="AB182" s="787">
        <f>IF(OR(Table1[[#This Row],[Acute RA label]]="LOQ",Table1[[#This Row],[Acute RA label]]="",Table1[[#This Row],[Acute RA label]]="MRL"),0,1)</f>
        <v>0</v>
      </c>
    </row>
    <row r="183" spans="1:28" ht="13.5" hidden="1" thickTop="1" x14ac:dyDescent="0.2">
      <c r="A183" s="815">
        <f>Table1[[#This Row],[Code no.]]</f>
        <v>256060</v>
      </c>
      <c r="B183" s="793" t="str">
        <f>Table1[[#This Row],[Commodity or group of commodities to which the MRLs apply]]</f>
        <v>Rosemary</v>
      </c>
      <c r="C183" s="794">
        <f>Table1[[#This Row],[MRL/ proposed MRL /CXL
(mg/kg)]]</f>
        <v>0</v>
      </c>
      <c r="D183" s="795">
        <f>Table1[[#This Row],[Source of MRL]]</f>
        <v>0</v>
      </c>
      <c r="E183" s="797">
        <f>Table1[[#This Row],[Chronic RA input value]]</f>
        <v>0</v>
      </c>
      <c r="F183" s="795" t="str">
        <f>Table1[[#This Row],[Chronic RA label]]</f>
        <v/>
      </c>
      <c r="G183" s="797">
        <f>Table1[[#This Row],[Acute RA input value]]</f>
        <v>0</v>
      </c>
      <c r="H183" s="836" t="str">
        <f>Table1[[#This Row],[Acute RA label]]</f>
        <v/>
      </c>
      <c r="J183" s="553">
        <f>Table22[[#This Row],[Code no.]]</f>
        <v>256060</v>
      </c>
      <c r="K183" s="553" t="str">
        <f>Table22[[#This Row],[Commodity or group of commodities to which the MRLs apply]]</f>
        <v>Rosemary</v>
      </c>
      <c r="L183" s="553">
        <f>Table22[[#This Row],[Source / type of MRL]]</f>
        <v>0</v>
      </c>
      <c r="M183" s="553">
        <f>Table22[[#This Row],[MRL/ proposed MRL /CXL
(mg/kg)]]</f>
        <v>0</v>
      </c>
      <c r="N183" s="553">
        <f>Table22[[#This Row],[LOQ]]</f>
        <v>0</v>
      </c>
      <c r="O183" s="553">
        <f>Table22[[#This Row],[CFrisk for residue definition]]</f>
        <v>0</v>
      </c>
      <c r="P183" s="553">
        <f>Table22[[#This Row],[PeF (peeling factor RD enforcemen)]]</f>
        <v>0</v>
      </c>
      <c r="Q183" s="553">
        <f>Table22[[#This Row],[STMR-RAC (median residue)]]</f>
        <v>0</v>
      </c>
      <c r="R183" s="553">
        <f>Table22[[#This Row],[HR-RAC (highest residue)]]</f>
        <v>0</v>
      </c>
      <c r="S183" s="553">
        <f>Table22[[#This Row],[VF (alternative variability factor)]]</f>
        <v>0</v>
      </c>
      <c r="T183" s="553">
        <f>Table22[[#This Row],[GAP under assessment]]</f>
        <v>0</v>
      </c>
      <c r="U183" s="553">
        <f>Table22[[#This Row],[Post-harvest treatment]]</f>
        <v>0</v>
      </c>
      <c r="V183" s="553" t="str">
        <f>Table22[[#This Row],[Chronic RA label]]</f>
        <v/>
      </c>
      <c r="W183" s="553">
        <f>Table22[[#This Row],[Chronic RA input value]]</f>
        <v>0</v>
      </c>
      <c r="X183" s="1684" t="str">
        <f>Table22[[#This Row],[Acute RA label]]</f>
        <v/>
      </c>
      <c r="Y183" s="553">
        <f>Table22[[#This Row],[Acute RA input value]]</f>
        <v>0</v>
      </c>
      <c r="Z183" s="786">
        <f>SUM(Table1[[#This Row],[chronic value &lt;&gt;MRL/LOQ]:[acute vlue&lt;&gt;MRL/LOQ]])</f>
        <v>0</v>
      </c>
      <c r="AA183" s="786">
        <f>IF(AND($F$5="Refined calculation mode",Table1[[#This Row],[GAP under assessment]]="Y"),1,IF(OR(Table1[[#This Row],[Chronic RA label]]="LOQ",Table1[[#This Row],[Chronic RA label]]="",Table1[[#This Row],[Chronic RA label]]="MRL"),0,1))</f>
        <v>0</v>
      </c>
      <c r="AB183" s="787">
        <f>IF(OR(Table1[[#This Row],[Acute RA label]]="LOQ",Table1[[#This Row],[Acute RA label]]="",Table1[[#This Row],[Acute RA label]]="MRL"),0,1)</f>
        <v>0</v>
      </c>
    </row>
    <row r="184" spans="1:28" ht="13.5" hidden="1" thickTop="1" x14ac:dyDescent="0.2">
      <c r="A184" s="815">
        <f>Table1[[#This Row],[Code no.]]</f>
        <v>256070</v>
      </c>
      <c r="B184" s="793" t="str">
        <f>Table1[[#This Row],[Commodity or group of commodities to which the MRLs apply]]</f>
        <v>Thyme</v>
      </c>
      <c r="C184" s="794">
        <f>Table1[[#This Row],[MRL/ proposed MRL /CXL
(mg/kg)]]</f>
        <v>0</v>
      </c>
      <c r="D184" s="795">
        <f>Table1[[#This Row],[Source of MRL]]</f>
        <v>0</v>
      </c>
      <c r="E184" s="797">
        <f>Table1[[#This Row],[Chronic RA input value]]</f>
        <v>0</v>
      </c>
      <c r="F184" s="795" t="str">
        <f>Table1[[#This Row],[Chronic RA label]]</f>
        <v/>
      </c>
      <c r="G184" s="797">
        <f>Table1[[#This Row],[Acute RA input value]]</f>
        <v>0</v>
      </c>
      <c r="H184" s="836" t="str">
        <f>Table1[[#This Row],[Acute RA label]]</f>
        <v/>
      </c>
      <c r="J184" s="553">
        <f>Table22[[#This Row],[Code no.]]</f>
        <v>256070</v>
      </c>
      <c r="K184" s="553" t="str">
        <f>Table22[[#This Row],[Commodity or group of commodities to which the MRLs apply]]</f>
        <v>Thyme</v>
      </c>
      <c r="L184" s="553">
        <f>Table22[[#This Row],[Source / type of MRL]]</f>
        <v>0</v>
      </c>
      <c r="M184" s="553">
        <f>Table22[[#This Row],[MRL/ proposed MRL /CXL
(mg/kg)]]</f>
        <v>0</v>
      </c>
      <c r="N184" s="553">
        <f>Table22[[#This Row],[LOQ]]</f>
        <v>0</v>
      </c>
      <c r="O184" s="553">
        <f>Table22[[#This Row],[CFrisk for residue definition]]</f>
        <v>0</v>
      </c>
      <c r="P184" s="553">
        <f>Table22[[#This Row],[PeF (peeling factor RD enforcemen)]]</f>
        <v>0</v>
      </c>
      <c r="Q184" s="553">
        <f>Table22[[#This Row],[STMR-RAC (median residue)]]</f>
        <v>0</v>
      </c>
      <c r="R184" s="553">
        <f>Table22[[#This Row],[HR-RAC (highest residue)]]</f>
        <v>0</v>
      </c>
      <c r="S184" s="553">
        <f>Table22[[#This Row],[VF (alternative variability factor)]]</f>
        <v>0</v>
      </c>
      <c r="T184" s="553">
        <f>Table22[[#This Row],[GAP under assessment]]</f>
        <v>0</v>
      </c>
      <c r="U184" s="553">
        <f>Table22[[#This Row],[Post-harvest treatment]]</f>
        <v>0</v>
      </c>
      <c r="V184" s="553" t="str">
        <f>Table22[[#This Row],[Chronic RA label]]</f>
        <v/>
      </c>
      <c r="W184" s="553">
        <f>Table22[[#This Row],[Chronic RA input value]]</f>
        <v>0</v>
      </c>
      <c r="X184" s="1684" t="str">
        <f>Table22[[#This Row],[Acute RA label]]</f>
        <v/>
      </c>
      <c r="Y184" s="553">
        <f>Table22[[#This Row],[Acute RA input value]]</f>
        <v>0</v>
      </c>
      <c r="Z184" s="786">
        <f>SUM(Table1[[#This Row],[chronic value &lt;&gt;MRL/LOQ]:[acute vlue&lt;&gt;MRL/LOQ]])</f>
        <v>0</v>
      </c>
      <c r="AA184" s="786">
        <f>IF(AND($F$5="Refined calculation mode",Table1[[#This Row],[GAP under assessment]]="Y"),1,IF(OR(Table1[[#This Row],[Chronic RA label]]="LOQ",Table1[[#This Row],[Chronic RA label]]="",Table1[[#This Row],[Chronic RA label]]="MRL"),0,1))</f>
        <v>0</v>
      </c>
      <c r="AB184" s="787">
        <f>IF(OR(Table1[[#This Row],[Acute RA label]]="LOQ",Table1[[#This Row],[Acute RA label]]="",Table1[[#This Row],[Acute RA label]]="MRL"),0,1)</f>
        <v>0</v>
      </c>
    </row>
    <row r="185" spans="1:28" ht="21.75" hidden="1" thickTop="1" x14ac:dyDescent="0.2">
      <c r="A185" s="815">
        <f>Table1[[#This Row],[Code no.]]</f>
        <v>256080</v>
      </c>
      <c r="B185" s="793" t="str">
        <f>Table1[[#This Row],[Commodity or group of commodities to which the MRLs apply]]</f>
        <v>Basil and edible flowers</v>
      </c>
      <c r="C185" s="794">
        <f>Table1[[#This Row],[MRL/ proposed MRL /CXL
(mg/kg)]]</f>
        <v>0</v>
      </c>
      <c r="D185" s="795">
        <f>Table1[[#This Row],[Source of MRL]]</f>
        <v>0</v>
      </c>
      <c r="E185" s="797">
        <f>Table1[[#This Row],[Chronic RA input value]]</f>
        <v>0</v>
      </c>
      <c r="F185" s="795" t="str">
        <f>Table1[[#This Row],[Chronic RA label]]</f>
        <v/>
      </c>
      <c r="G185" s="797">
        <f>Table1[[#This Row],[Acute RA input value]]</f>
        <v>0</v>
      </c>
      <c r="H185" s="836" t="str">
        <f>Table1[[#This Row],[Acute RA label]]</f>
        <v/>
      </c>
      <c r="J185" s="553">
        <f>Table22[[#This Row],[Code no.]]</f>
        <v>256080</v>
      </c>
      <c r="K185" s="553" t="str">
        <f>Table22[[#This Row],[Commodity or group of commodities to which the MRLs apply]]</f>
        <v>Basil and edible flowers</v>
      </c>
      <c r="L185" s="553">
        <f>Table22[[#This Row],[Source / type of MRL]]</f>
        <v>0</v>
      </c>
      <c r="M185" s="553">
        <f>Table22[[#This Row],[MRL/ proposed MRL /CXL
(mg/kg)]]</f>
        <v>0</v>
      </c>
      <c r="N185" s="553">
        <f>Table22[[#This Row],[LOQ]]</f>
        <v>0</v>
      </c>
      <c r="O185" s="553">
        <f>Table22[[#This Row],[CFrisk for residue definition]]</f>
        <v>0</v>
      </c>
      <c r="P185" s="553">
        <f>Table22[[#This Row],[PeF (peeling factor RD enforcemen)]]</f>
        <v>0</v>
      </c>
      <c r="Q185" s="553">
        <f>Table22[[#This Row],[STMR-RAC (median residue)]]</f>
        <v>0</v>
      </c>
      <c r="R185" s="553">
        <f>Table22[[#This Row],[HR-RAC (highest residue)]]</f>
        <v>0</v>
      </c>
      <c r="S185" s="553">
        <f>Table22[[#This Row],[VF (alternative variability factor)]]</f>
        <v>0</v>
      </c>
      <c r="T185" s="553">
        <f>Table22[[#This Row],[GAP under assessment]]</f>
        <v>0</v>
      </c>
      <c r="U185" s="553">
        <f>Table22[[#This Row],[Post-harvest treatment]]</f>
        <v>0</v>
      </c>
      <c r="V185" s="553" t="str">
        <f>Table22[[#This Row],[Chronic RA label]]</f>
        <v/>
      </c>
      <c r="W185" s="553">
        <f>Table22[[#This Row],[Chronic RA input value]]</f>
        <v>0</v>
      </c>
      <c r="X185" s="1684" t="str">
        <f>Table22[[#This Row],[Acute RA label]]</f>
        <v/>
      </c>
      <c r="Y185" s="553">
        <f>Table22[[#This Row],[Acute RA input value]]</f>
        <v>0</v>
      </c>
      <c r="Z185" s="786">
        <f>SUM(Table1[[#This Row],[chronic value &lt;&gt;MRL/LOQ]:[acute vlue&lt;&gt;MRL/LOQ]])</f>
        <v>0</v>
      </c>
      <c r="AA185" s="786">
        <f>IF(AND($F$5="Refined calculation mode",Table1[[#This Row],[GAP under assessment]]="Y"),1,IF(OR(Table1[[#This Row],[Chronic RA label]]="LOQ",Table1[[#This Row],[Chronic RA label]]="",Table1[[#This Row],[Chronic RA label]]="MRL"),0,1))</f>
        <v>0</v>
      </c>
      <c r="AB185" s="787">
        <f>IF(OR(Table1[[#This Row],[Acute RA label]]="LOQ",Table1[[#This Row],[Acute RA label]]="",Table1[[#This Row],[Acute RA label]]="MRL"),0,1)</f>
        <v>0</v>
      </c>
    </row>
    <row r="186" spans="1:28" ht="13.5" hidden="1" thickTop="1" x14ac:dyDescent="0.2">
      <c r="A186" s="815">
        <f>Table1[[#This Row],[Code no.]]</f>
        <v>256090</v>
      </c>
      <c r="B186" s="793" t="str">
        <f>Table1[[#This Row],[Commodity or group of commodities to which the MRLs apply]]</f>
        <v>Laurel/bay leaves</v>
      </c>
      <c r="C186" s="794">
        <f>Table1[[#This Row],[MRL/ proposed MRL /CXL
(mg/kg)]]</f>
        <v>0</v>
      </c>
      <c r="D186" s="795">
        <f>Table1[[#This Row],[Source of MRL]]</f>
        <v>0</v>
      </c>
      <c r="E186" s="797">
        <f>Table1[[#This Row],[Chronic RA input value]]</f>
        <v>0</v>
      </c>
      <c r="F186" s="795" t="str">
        <f>Table1[[#This Row],[Chronic RA label]]</f>
        <v/>
      </c>
      <c r="G186" s="797">
        <f>Table1[[#This Row],[Acute RA input value]]</f>
        <v>0</v>
      </c>
      <c r="H186" s="836" t="str">
        <f>Table1[[#This Row],[Acute RA label]]</f>
        <v/>
      </c>
      <c r="J186" s="553">
        <f>Table22[[#This Row],[Code no.]]</f>
        <v>256090</v>
      </c>
      <c r="K186" s="553" t="str">
        <f>Table22[[#This Row],[Commodity or group of commodities to which the MRLs apply]]</f>
        <v>Laurel/bay leaves</v>
      </c>
      <c r="L186" s="553">
        <f>Table22[[#This Row],[Source / type of MRL]]</f>
        <v>0</v>
      </c>
      <c r="M186" s="553">
        <f>Table22[[#This Row],[MRL/ proposed MRL /CXL
(mg/kg)]]</f>
        <v>0</v>
      </c>
      <c r="N186" s="553">
        <f>Table22[[#This Row],[LOQ]]</f>
        <v>0</v>
      </c>
      <c r="O186" s="553">
        <f>Table22[[#This Row],[CFrisk for residue definition]]</f>
        <v>0</v>
      </c>
      <c r="P186" s="553">
        <f>Table22[[#This Row],[PeF (peeling factor RD enforcemen)]]</f>
        <v>0</v>
      </c>
      <c r="Q186" s="553">
        <f>Table22[[#This Row],[STMR-RAC (median residue)]]</f>
        <v>0</v>
      </c>
      <c r="R186" s="553">
        <f>Table22[[#This Row],[HR-RAC (highest residue)]]</f>
        <v>0</v>
      </c>
      <c r="S186" s="553">
        <f>Table22[[#This Row],[VF (alternative variability factor)]]</f>
        <v>0</v>
      </c>
      <c r="T186" s="553">
        <f>Table22[[#This Row],[GAP under assessment]]</f>
        <v>0</v>
      </c>
      <c r="U186" s="553">
        <f>Table22[[#This Row],[Post-harvest treatment]]</f>
        <v>0</v>
      </c>
      <c r="V186" s="553" t="str">
        <f>Table22[[#This Row],[Chronic RA label]]</f>
        <v/>
      </c>
      <c r="W186" s="553">
        <f>Table22[[#This Row],[Chronic RA input value]]</f>
        <v>0</v>
      </c>
      <c r="X186" s="1684" t="str">
        <f>Table22[[#This Row],[Acute RA label]]</f>
        <v/>
      </c>
      <c r="Y186" s="553">
        <f>Table22[[#This Row],[Acute RA input value]]</f>
        <v>0</v>
      </c>
      <c r="Z186" s="786">
        <f>SUM(Table1[[#This Row],[chronic value &lt;&gt;MRL/LOQ]:[acute vlue&lt;&gt;MRL/LOQ]])</f>
        <v>0</v>
      </c>
      <c r="AA186" s="786">
        <f>IF(AND($F$5="Refined calculation mode",Table1[[#This Row],[GAP under assessment]]="Y"),1,IF(OR(Table1[[#This Row],[Chronic RA label]]="LOQ",Table1[[#This Row],[Chronic RA label]]="",Table1[[#This Row],[Chronic RA label]]="MRL"),0,1))</f>
        <v>0</v>
      </c>
      <c r="AB186" s="787">
        <f>IF(OR(Table1[[#This Row],[Acute RA label]]="LOQ",Table1[[#This Row],[Acute RA label]]="",Table1[[#This Row],[Acute RA label]]="MRL"),0,1)</f>
        <v>0</v>
      </c>
    </row>
    <row r="187" spans="1:28" ht="13.5" hidden="1" thickTop="1" x14ac:dyDescent="0.2">
      <c r="A187" s="815">
        <f>Table1[[#This Row],[Code no.]]</f>
        <v>256100</v>
      </c>
      <c r="B187" s="793" t="str">
        <f>Table1[[#This Row],[Commodity or group of commodities to which the MRLs apply]]</f>
        <v>Tarragon</v>
      </c>
      <c r="C187" s="794">
        <f>Table1[[#This Row],[MRL/ proposed MRL /CXL
(mg/kg)]]</f>
        <v>0</v>
      </c>
      <c r="D187" s="795">
        <f>Table1[[#This Row],[Source of MRL]]</f>
        <v>0</v>
      </c>
      <c r="E187" s="797">
        <f>Table1[[#This Row],[Chronic RA input value]]</f>
        <v>0</v>
      </c>
      <c r="F187" s="795" t="str">
        <f>Table1[[#This Row],[Chronic RA label]]</f>
        <v/>
      </c>
      <c r="G187" s="797">
        <f>Table1[[#This Row],[Acute RA input value]]</f>
        <v>0</v>
      </c>
      <c r="H187" s="836" t="str">
        <f>Table1[[#This Row],[Acute RA label]]</f>
        <v/>
      </c>
      <c r="J187" s="553">
        <f>Table22[[#This Row],[Code no.]]</f>
        <v>256100</v>
      </c>
      <c r="K187" s="553" t="str">
        <f>Table22[[#This Row],[Commodity or group of commodities to which the MRLs apply]]</f>
        <v>Tarragon</v>
      </c>
      <c r="L187" s="553">
        <f>Table22[[#This Row],[Source / type of MRL]]</f>
        <v>0</v>
      </c>
      <c r="M187" s="553">
        <f>Table22[[#This Row],[MRL/ proposed MRL /CXL
(mg/kg)]]</f>
        <v>0</v>
      </c>
      <c r="N187" s="553">
        <f>Table22[[#This Row],[LOQ]]</f>
        <v>0</v>
      </c>
      <c r="O187" s="553">
        <f>Table22[[#This Row],[CFrisk for residue definition]]</f>
        <v>0</v>
      </c>
      <c r="P187" s="553">
        <f>Table22[[#This Row],[PeF (peeling factor RD enforcemen)]]</f>
        <v>0</v>
      </c>
      <c r="Q187" s="553">
        <f>Table22[[#This Row],[STMR-RAC (median residue)]]</f>
        <v>0</v>
      </c>
      <c r="R187" s="553">
        <f>Table22[[#This Row],[HR-RAC (highest residue)]]</f>
        <v>0</v>
      </c>
      <c r="S187" s="553">
        <f>Table22[[#This Row],[VF (alternative variability factor)]]</f>
        <v>0</v>
      </c>
      <c r="T187" s="553">
        <f>Table22[[#This Row],[GAP under assessment]]</f>
        <v>0</v>
      </c>
      <c r="U187" s="553">
        <f>Table22[[#This Row],[Post-harvest treatment]]</f>
        <v>0</v>
      </c>
      <c r="V187" s="553" t="str">
        <f>Table22[[#This Row],[Chronic RA label]]</f>
        <v/>
      </c>
      <c r="W187" s="553">
        <f>Table22[[#This Row],[Chronic RA input value]]</f>
        <v>0</v>
      </c>
      <c r="X187" s="1684" t="str">
        <f>Table22[[#This Row],[Acute RA label]]</f>
        <v/>
      </c>
      <c r="Y187" s="553">
        <f>Table22[[#This Row],[Acute RA input value]]</f>
        <v>0</v>
      </c>
      <c r="Z187" s="786">
        <f>SUM(Table1[[#This Row],[chronic value &lt;&gt;MRL/LOQ]:[acute vlue&lt;&gt;MRL/LOQ]])</f>
        <v>0</v>
      </c>
      <c r="AA187" s="786">
        <f>IF(AND($F$5="Refined calculation mode",Table1[[#This Row],[GAP under assessment]]="Y"),1,IF(OR(Table1[[#This Row],[Chronic RA label]]="LOQ",Table1[[#This Row],[Chronic RA label]]="",Table1[[#This Row],[Chronic RA label]]="MRL"),0,1))</f>
        <v>0</v>
      </c>
      <c r="AB187" s="787">
        <f>IF(OR(Table1[[#This Row],[Acute RA label]]="LOQ",Table1[[#This Row],[Acute RA label]]="",Table1[[#This Row],[Acute RA label]]="MRL"),0,1)</f>
        <v>0</v>
      </c>
    </row>
    <row r="188" spans="1:28" ht="13.5" hidden="1" thickTop="1" x14ac:dyDescent="0.2">
      <c r="A188" s="815">
        <f>Table1[[#This Row],[Code no.]]</f>
        <v>256990</v>
      </c>
      <c r="B188" s="793" t="str">
        <f>Table1[[#This Row],[Commodity or group of commodities to which the MRLs apply]]</f>
        <v>Other herbs</v>
      </c>
      <c r="C188" s="794">
        <f>Table1[[#This Row],[MRL/ proposed MRL /CXL
(mg/kg)]]</f>
        <v>0</v>
      </c>
      <c r="D188" s="795">
        <f>Table1[[#This Row],[Source of MRL]]</f>
        <v>0</v>
      </c>
      <c r="E188" s="797">
        <f>Table1[[#This Row],[Chronic RA input value]]</f>
        <v>0</v>
      </c>
      <c r="F188" s="795" t="str">
        <f>Table1[[#This Row],[Chronic RA label]]</f>
        <v/>
      </c>
      <c r="G188" s="797">
        <f>Table1[[#This Row],[Acute RA input value]]</f>
        <v>0</v>
      </c>
      <c r="H188" s="836">
        <f>Table1[[#This Row],[Acute RA label]]</f>
        <v>0</v>
      </c>
      <c r="J188" s="553">
        <f>Table22[[#This Row],[Code no.]]</f>
        <v>256990</v>
      </c>
      <c r="K188" s="553" t="str">
        <f>Table22[[#This Row],[Commodity or group of commodities to which the MRLs apply]]</f>
        <v>Other herbs</v>
      </c>
      <c r="L188" s="553">
        <f>Table22[[#This Row],[Source / type of MRL]]</f>
        <v>0</v>
      </c>
      <c r="M188" s="553">
        <f>Table22[[#This Row],[MRL/ proposed MRL /CXL
(mg/kg)]]</f>
        <v>0</v>
      </c>
      <c r="N188" s="553">
        <f>Table22[[#This Row],[LOQ]]</f>
        <v>0</v>
      </c>
      <c r="O188" s="553">
        <f>Table22[[#This Row],[CFrisk for residue definition]]</f>
        <v>0</v>
      </c>
      <c r="P188" s="553">
        <f>Table22[[#This Row],[PeF (peeling factor RD enforcemen)]]</f>
        <v>0</v>
      </c>
      <c r="Q188" s="553">
        <f>Table22[[#This Row],[STMR-RAC (median residue)]]</f>
        <v>0</v>
      </c>
      <c r="R188" s="553">
        <f>Table22[[#This Row],[HR-RAC (highest residue)]]</f>
        <v>0</v>
      </c>
      <c r="S188" s="553">
        <f>Table22[[#This Row],[VF (alternative variability factor)]]</f>
        <v>0</v>
      </c>
      <c r="T188" s="553">
        <f>Table22[[#This Row],[GAP under assessment]]</f>
        <v>0</v>
      </c>
      <c r="U188" s="553">
        <f>Table22[[#This Row],[Post-harvest treatment]]</f>
        <v>0</v>
      </c>
      <c r="V188" s="553" t="str">
        <f>Table22[[#This Row],[Chronic RA label]]</f>
        <v/>
      </c>
      <c r="W188" s="553">
        <f>Table22[[#This Row],[Chronic RA input value]]</f>
        <v>0</v>
      </c>
      <c r="X188" s="1684"/>
      <c r="Y188" s="553">
        <f>Table22[[#This Row],[Acute RA input value]]</f>
        <v>0</v>
      </c>
      <c r="Z188" s="786">
        <f>SUM(Table1[[#This Row],[chronic value &lt;&gt;MRL/LOQ]:[acute vlue&lt;&gt;MRL/LOQ]])</f>
        <v>0</v>
      </c>
      <c r="AA188" s="786">
        <f>IF(AND($F$5="Refined calculation mode",Table1[[#This Row],[GAP under assessment]]="Y"),1,IF(OR(Table1[[#This Row],[Chronic RA label]]="LOQ",Table1[[#This Row],[Chronic RA label]]="",Table1[[#This Row],[Chronic RA label]]="MRL"),0,1))</f>
        <v>0</v>
      </c>
      <c r="AB188" s="787">
        <f>IF(OR(Table1[[#This Row],[Acute RA label]]="LOQ",Table1[[#This Row],[Acute RA label]]="",Table1[[#This Row],[Acute RA label]]="MRL"),0,1)</f>
        <v>0</v>
      </c>
    </row>
    <row r="189" spans="1:28" ht="13.5" hidden="1" thickTop="1" x14ac:dyDescent="0.2">
      <c r="A189" s="815">
        <f>Table1[[#This Row],[Code no.]]</f>
        <v>260000</v>
      </c>
      <c r="B189" s="793" t="str">
        <f>Table1[[#This Row],[Commodity or group of commodities to which the MRLs apply]]</f>
        <v xml:space="preserve">Legume vegetables </v>
      </c>
      <c r="C189" s="794">
        <f>Table1[[#This Row],[MRL/ proposed MRL /CXL
(mg/kg)]]</f>
        <v>0</v>
      </c>
      <c r="D189" s="795">
        <f>Table1[[#This Row],[Source of MRL]]</f>
        <v>0</v>
      </c>
      <c r="E189" s="797">
        <f>Table1[[#This Row],[Chronic RA input value]]</f>
        <v>0</v>
      </c>
      <c r="F189" s="795">
        <f>Table1[[#This Row],[Chronic RA label]]</f>
        <v>0</v>
      </c>
      <c r="G189" s="797">
        <f>Table1[[#This Row],[Acute RA input value]]</f>
        <v>0</v>
      </c>
      <c r="H189" s="836">
        <f>Table1[[#This Row],[Acute RA label]]</f>
        <v>0</v>
      </c>
      <c r="J189" s="553">
        <f>Table22[[#This Row],[Code no.]]</f>
        <v>260000</v>
      </c>
      <c r="K189" s="553" t="str">
        <f>Table22[[#This Row],[Commodity or group of commodities to which the MRLs apply]]</f>
        <v xml:space="preserve">Legume vegetables </v>
      </c>
      <c r="L189" s="553">
        <f>Table22[[#This Row],[Source / type of MRL]]</f>
        <v>0</v>
      </c>
      <c r="M189" s="553">
        <f>Table22[[#This Row],[MRL/ proposed MRL /CXL
(mg/kg)]]</f>
        <v>0</v>
      </c>
      <c r="N189" s="553">
        <f>Table22[[#This Row],[LOQ]]</f>
        <v>0</v>
      </c>
      <c r="O189" s="553">
        <f>Table22[[#This Row],[CFrisk for residue definition]]</f>
        <v>0</v>
      </c>
      <c r="P189" s="553">
        <f>Table22[[#This Row],[PeF (peeling factor RD enforcemen)]]</f>
        <v>0</v>
      </c>
      <c r="Q189" s="553">
        <f>Table22[[#This Row],[STMR-RAC (median residue)]]</f>
        <v>0</v>
      </c>
      <c r="R189" s="553">
        <f>Table22[[#This Row],[HR-RAC (highest residue)]]</f>
        <v>0</v>
      </c>
      <c r="S189" s="553">
        <f>Table22[[#This Row],[VF (alternative variability factor)]]</f>
        <v>0</v>
      </c>
      <c r="T189" s="553">
        <f>Table22[[#This Row],[GAP under assessment]]</f>
        <v>0</v>
      </c>
      <c r="U189" s="553">
        <f>Table22[[#This Row],[Post-harvest treatment]]</f>
        <v>0</v>
      </c>
      <c r="V189" s="553"/>
      <c r="W189" s="553">
        <f>Table22[[#This Row],[Chronic RA input value]]</f>
        <v>0</v>
      </c>
      <c r="X189" s="1684"/>
      <c r="Y189" s="553">
        <f>Table22[[#This Row],[Acute RA input value]]</f>
        <v>0</v>
      </c>
      <c r="Z189" s="786">
        <f>SUM(Table1[[#This Row],[chronic value &lt;&gt;MRL/LOQ]:[acute vlue&lt;&gt;MRL/LOQ]])</f>
        <v>0</v>
      </c>
      <c r="AA189" s="786">
        <f>IF(AND($F$5="Refined calculation mode",Table1[[#This Row],[GAP under assessment]]="Y"),1,IF(OR(Table1[[#This Row],[Chronic RA label]]="LOQ",Table1[[#This Row],[Chronic RA label]]="",Table1[[#This Row],[Chronic RA label]]="MRL"),0,1))</f>
        <v>0</v>
      </c>
      <c r="AB189" s="787">
        <f>IF(OR(Table1[[#This Row],[Acute RA label]]="LOQ",Table1[[#This Row],[Acute RA label]]="",Table1[[#This Row],[Acute RA label]]="MRL"),0,1)</f>
        <v>0</v>
      </c>
    </row>
    <row r="190" spans="1:28" ht="13.5" hidden="1" thickTop="1" x14ac:dyDescent="0.2">
      <c r="A190" s="815">
        <f>Table1[[#This Row],[Code no.]]</f>
        <v>260010</v>
      </c>
      <c r="B190" s="793" t="str">
        <f>Table1[[#This Row],[Commodity or group of commodities to which the MRLs apply]]</f>
        <v>Beans (with pods)</v>
      </c>
      <c r="C190" s="794">
        <f>Table1[[#This Row],[MRL/ proposed MRL /CXL
(mg/kg)]]</f>
        <v>0</v>
      </c>
      <c r="D190" s="795">
        <f>Table1[[#This Row],[Source of MRL]]</f>
        <v>0</v>
      </c>
      <c r="E190" s="797">
        <f>Table1[[#This Row],[Chronic RA input value]]</f>
        <v>0</v>
      </c>
      <c r="F190" s="795" t="str">
        <f>Table1[[#This Row],[Chronic RA label]]</f>
        <v/>
      </c>
      <c r="G190" s="797">
        <f>Table1[[#This Row],[Acute RA input value]]</f>
        <v>0</v>
      </c>
      <c r="H190" s="836" t="str">
        <f>Table1[[#This Row],[Acute RA label]]</f>
        <v/>
      </c>
      <c r="J190" s="553">
        <f>Table22[[#This Row],[Code no.]]</f>
        <v>260010</v>
      </c>
      <c r="K190" s="553" t="str">
        <f>Table22[[#This Row],[Commodity or group of commodities to which the MRLs apply]]</f>
        <v>Beans (with pods)</v>
      </c>
      <c r="L190" s="553">
        <f>Table22[[#This Row],[Source / type of MRL]]</f>
        <v>0</v>
      </c>
      <c r="M190" s="553">
        <f>Table22[[#This Row],[MRL/ proposed MRL /CXL
(mg/kg)]]</f>
        <v>0</v>
      </c>
      <c r="N190" s="553">
        <f>Table22[[#This Row],[LOQ]]</f>
        <v>0</v>
      </c>
      <c r="O190" s="553">
        <f>Table22[[#This Row],[CFrisk for residue definition]]</f>
        <v>0</v>
      </c>
      <c r="P190" s="553">
        <f>Table22[[#This Row],[PeF (peeling factor RD enforcemen)]]</f>
        <v>0</v>
      </c>
      <c r="Q190" s="553">
        <f>Table22[[#This Row],[STMR-RAC (median residue)]]</f>
        <v>0</v>
      </c>
      <c r="R190" s="553">
        <f>Table22[[#This Row],[HR-RAC (highest residue)]]</f>
        <v>0</v>
      </c>
      <c r="S190" s="553">
        <f>Table22[[#This Row],[VF (alternative variability factor)]]</f>
        <v>0</v>
      </c>
      <c r="T190" s="553">
        <f>Table22[[#This Row],[GAP under assessment]]</f>
        <v>0</v>
      </c>
      <c r="U190" s="553">
        <f>Table22[[#This Row],[Post-harvest treatment]]</f>
        <v>0</v>
      </c>
      <c r="V190" s="553" t="str">
        <f>Table22[[#This Row],[Chronic RA label]]</f>
        <v/>
      </c>
      <c r="W190" s="553">
        <f>Table22[[#This Row],[Chronic RA input value]]</f>
        <v>0</v>
      </c>
      <c r="X190" s="1684" t="str">
        <f>Table22[[#This Row],[Acute RA label]]</f>
        <v/>
      </c>
      <c r="Y190" s="553">
        <f>Table22[[#This Row],[Acute RA input value]]</f>
        <v>0</v>
      </c>
      <c r="Z190" s="786">
        <f>SUM(Table1[[#This Row],[chronic value &lt;&gt;MRL/LOQ]:[acute vlue&lt;&gt;MRL/LOQ]])</f>
        <v>0</v>
      </c>
      <c r="AA190" s="786">
        <f>IF(AND($F$5="Refined calculation mode",Table1[[#This Row],[GAP under assessment]]="Y"),1,IF(OR(Table1[[#This Row],[Chronic RA label]]="LOQ",Table1[[#This Row],[Chronic RA label]]="",Table1[[#This Row],[Chronic RA label]]="MRL"),0,1))</f>
        <v>0</v>
      </c>
      <c r="AB190" s="787">
        <f>IF(OR(Table1[[#This Row],[Acute RA label]]="LOQ",Table1[[#This Row],[Acute RA label]]="",Table1[[#This Row],[Acute RA label]]="MRL"),0,1)</f>
        <v>0</v>
      </c>
    </row>
    <row r="191" spans="1:28" ht="21.75" hidden="1" thickTop="1" x14ac:dyDescent="0.2">
      <c r="A191" s="815">
        <f>Table1[[#This Row],[Code no.]]</f>
        <v>260020</v>
      </c>
      <c r="B191" s="793" t="str">
        <f>Table1[[#This Row],[Commodity or group of commodities to which the MRLs apply]]</f>
        <v>Beans (without pods)</v>
      </c>
      <c r="C191" s="794">
        <f>Table1[[#This Row],[MRL/ proposed MRL /CXL
(mg/kg)]]</f>
        <v>0</v>
      </c>
      <c r="D191" s="795">
        <f>Table1[[#This Row],[Source of MRL]]</f>
        <v>0</v>
      </c>
      <c r="E191" s="797">
        <f>Table1[[#This Row],[Chronic RA input value]]</f>
        <v>0</v>
      </c>
      <c r="F191" s="795" t="str">
        <f>Table1[[#This Row],[Chronic RA label]]</f>
        <v/>
      </c>
      <c r="G191" s="797">
        <f>Table1[[#This Row],[Acute RA input value]]</f>
        <v>0</v>
      </c>
      <c r="H191" s="836" t="str">
        <f>Table1[[#This Row],[Acute RA label]]</f>
        <v/>
      </c>
      <c r="J191" s="553">
        <f>Table22[[#This Row],[Code no.]]</f>
        <v>260020</v>
      </c>
      <c r="K191" s="553" t="str">
        <f>Table22[[#This Row],[Commodity or group of commodities to which the MRLs apply]]</f>
        <v>Beans (without pods)</v>
      </c>
      <c r="L191" s="553">
        <f>Table22[[#This Row],[Source / type of MRL]]</f>
        <v>0</v>
      </c>
      <c r="M191" s="553">
        <f>Table22[[#This Row],[MRL/ proposed MRL /CXL
(mg/kg)]]</f>
        <v>0</v>
      </c>
      <c r="N191" s="553">
        <f>Table22[[#This Row],[LOQ]]</f>
        <v>0</v>
      </c>
      <c r="O191" s="553">
        <f>Table22[[#This Row],[CFrisk for residue definition]]</f>
        <v>0</v>
      </c>
      <c r="P191" s="553">
        <f>Table22[[#This Row],[PeF (peeling factor RD enforcemen)]]</f>
        <v>0</v>
      </c>
      <c r="Q191" s="553">
        <f>Table22[[#This Row],[STMR-RAC (median residue)]]</f>
        <v>0</v>
      </c>
      <c r="R191" s="553">
        <f>Table22[[#This Row],[HR-RAC (highest residue)]]</f>
        <v>0</v>
      </c>
      <c r="S191" s="553">
        <f>Table22[[#This Row],[VF (alternative variability factor)]]</f>
        <v>0</v>
      </c>
      <c r="T191" s="553">
        <f>Table22[[#This Row],[GAP under assessment]]</f>
        <v>0</v>
      </c>
      <c r="U191" s="553">
        <f>Table22[[#This Row],[Post-harvest treatment]]</f>
        <v>0</v>
      </c>
      <c r="V191" s="553" t="str">
        <f>Table22[[#This Row],[Chronic RA label]]</f>
        <v/>
      </c>
      <c r="W191" s="553">
        <f>Table22[[#This Row],[Chronic RA input value]]</f>
        <v>0</v>
      </c>
      <c r="X191" s="1684" t="str">
        <f>Table22[[#This Row],[Acute RA label]]</f>
        <v/>
      </c>
      <c r="Y191" s="553">
        <f>Table22[[#This Row],[Acute RA input value]]</f>
        <v>0</v>
      </c>
      <c r="Z191" s="786">
        <f>SUM(Table1[[#This Row],[chronic value &lt;&gt;MRL/LOQ]:[acute vlue&lt;&gt;MRL/LOQ]])</f>
        <v>0</v>
      </c>
      <c r="AA191" s="786">
        <f>IF(AND($F$5="Refined calculation mode",Table1[[#This Row],[GAP under assessment]]="Y"),1,IF(OR(Table1[[#This Row],[Chronic RA label]]="LOQ",Table1[[#This Row],[Chronic RA label]]="",Table1[[#This Row],[Chronic RA label]]="MRL"),0,1))</f>
        <v>0</v>
      </c>
      <c r="AB191" s="787">
        <f>IF(OR(Table1[[#This Row],[Acute RA label]]="LOQ",Table1[[#This Row],[Acute RA label]]="",Table1[[#This Row],[Acute RA label]]="MRL"),0,1)</f>
        <v>0</v>
      </c>
    </row>
    <row r="192" spans="1:28" ht="13.5" hidden="1" thickTop="1" x14ac:dyDescent="0.2">
      <c r="A192" s="815">
        <f>Table1[[#This Row],[Code no.]]</f>
        <v>260030</v>
      </c>
      <c r="B192" s="793" t="str">
        <f>Table1[[#This Row],[Commodity or group of commodities to which the MRLs apply]]</f>
        <v>Peas (with pods)</v>
      </c>
      <c r="C192" s="794">
        <f>Table1[[#This Row],[MRL/ proposed MRL /CXL
(mg/kg)]]</f>
        <v>0</v>
      </c>
      <c r="D192" s="795">
        <f>Table1[[#This Row],[Source of MRL]]</f>
        <v>0</v>
      </c>
      <c r="E192" s="797">
        <f>Table1[[#This Row],[Chronic RA input value]]</f>
        <v>0</v>
      </c>
      <c r="F192" s="795" t="str">
        <f>Table1[[#This Row],[Chronic RA label]]</f>
        <v/>
      </c>
      <c r="G192" s="797">
        <f>Table1[[#This Row],[Acute RA input value]]</f>
        <v>0</v>
      </c>
      <c r="H192" s="836" t="str">
        <f>Table1[[#This Row],[Acute RA label]]</f>
        <v/>
      </c>
      <c r="J192" s="553">
        <f>Table22[[#This Row],[Code no.]]</f>
        <v>260030</v>
      </c>
      <c r="K192" s="553" t="str">
        <f>Table22[[#This Row],[Commodity or group of commodities to which the MRLs apply]]</f>
        <v>Peas (with pods)</v>
      </c>
      <c r="L192" s="553">
        <f>Table22[[#This Row],[Source / type of MRL]]</f>
        <v>0</v>
      </c>
      <c r="M192" s="553">
        <f>Table22[[#This Row],[MRL/ proposed MRL /CXL
(mg/kg)]]</f>
        <v>0</v>
      </c>
      <c r="N192" s="553">
        <f>Table22[[#This Row],[LOQ]]</f>
        <v>0</v>
      </c>
      <c r="O192" s="553">
        <f>Table22[[#This Row],[CFrisk for residue definition]]</f>
        <v>0</v>
      </c>
      <c r="P192" s="553">
        <f>Table22[[#This Row],[PeF (peeling factor RD enforcemen)]]</f>
        <v>0</v>
      </c>
      <c r="Q192" s="553">
        <f>Table22[[#This Row],[STMR-RAC (median residue)]]</f>
        <v>0</v>
      </c>
      <c r="R192" s="553">
        <f>Table22[[#This Row],[HR-RAC (highest residue)]]</f>
        <v>0</v>
      </c>
      <c r="S192" s="553">
        <f>Table22[[#This Row],[VF (alternative variability factor)]]</f>
        <v>0</v>
      </c>
      <c r="T192" s="553">
        <f>Table22[[#This Row],[GAP under assessment]]</f>
        <v>0</v>
      </c>
      <c r="U192" s="553">
        <f>Table22[[#This Row],[Post-harvest treatment]]</f>
        <v>0</v>
      </c>
      <c r="V192" s="553" t="str">
        <f>Table22[[#This Row],[Chronic RA label]]</f>
        <v/>
      </c>
      <c r="W192" s="553">
        <f>Table22[[#This Row],[Chronic RA input value]]</f>
        <v>0</v>
      </c>
      <c r="X192" s="1684" t="str">
        <f>Table22[[#This Row],[Acute RA label]]</f>
        <v/>
      </c>
      <c r="Y192" s="553">
        <f>Table22[[#This Row],[Acute RA input value]]</f>
        <v>0</v>
      </c>
      <c r="Z192" s="786">
        <f>SUM(Table1[[#This Row],[chronic value &lt;&gt;MRL/LOQ]:[acute vlue&lt;&gt;MRL/LOQ]])</f>
        <v>0</v>
      </c>
      <c r="AA192" s="786">
        <f>IF(AND($F$5="Refined calculation mode",Table1[[#This Row],[GAP under assessment]]="Y"),1,IF(OR(Table1[[#This Row],[Chronic RA label]]="LOQ",Table1[[#This Row],[Chronic RA label]]="",Table1[[#This Row],[Chronic RA label]]="MRL"),0,1))</f>
        <v>0</v>
      </c>
      <c r="AB192" s="787">
        <f>IF(OR(Table1[[#This Row],[Acute RA label]]="LOQ",Table1[[#This Row],[Acute RA label]]="",Table1[[#This Row],[Acute RA label]]="MRL"),0,1)</f>
        <v>0</v>
      </c>
    </row>
    <row r="193" spans="1:28" ht="13.5" hidden="1" thickTop="1" x14ac:dyDescent="0.2">
      <c r="A193" s="815">
        <f>Table1[[#This Row],[Code no.]]</f>
        <v>260040</v>
      </c>
      <c r="B193" s="793" t="str">
        <f>Table1[[#This Row],[Commodity or group of commodities to which the MRLs apply]]</f>
        <v>Peas (without pods)</v>
      </c>
      <c r="C193" s="794">
        <f>Table1[[#This Row],[MRL/ proposed MRL /CXL
(mg/kg)]]</f>
        <v>0</v>
      </c>
      <c r="D193" s="795">
        <f>Table1[[#This Row],[Source of MRL]]</f>
        <v>0</v>
      </c>
      <c r="E193" s="797">
        <f>Table1[[#This Row],[Chronic RA input value]]</f>
        <v>0</v>
      </c>
      <c r="F193" s="795" t="str">
        <f>Table1[[#This Row],[Chronic RA label]]</f>
        <v/>
      </c>
      <c r="G193" s="797">
        <f>Table1[[#This Row],[Acute RA input value]]</f>
        <v>0</v>
      </c>
      <c r="H193" s="836" t="str">
        <f>Table1[[#This Row],[Acute RA label]]</f>
        <v/>
      </c>
      <c r="J193" s="553">
        <f>Table22[[#This Row],[Code no.]]</f>
        <v>260040</v>
      </c>
      <c r="K193" s="553" t="str">
        <f>Table22[[#This Row],[Commodity or group of commodities to which the MRLs apply]]</f>
        <v>Peas (without pods)</v>
      </c>
      <c r="L193" s="553">
        <f>Table22[[#This Row],[Source / type of MRL]]</f>
        <v>0</v>
      </c>
      <c r="M193" s="553">
        <f>Table22[[#This Row],[MRL/ proposed MRL /CXL
(mg/kg)]]</f>
        <v>0</v>
      </c>
      <c r="N193" s="553">
        <f>Table22[[#This Row],[LOQ]]</f>
        <v>0</v>
      </c>
      <c r="O193" s="553">
        <f>Table22[[#This Row],[CFrisk for residue definition]]</f>
        <v>0</v>
      </c>
      <c r="P193" s="553">
        <f>Table22[[#This Row],[PeF (peeling factor RD enforcemen)]]</f>
        <v>0</v>
      </c>
      <c r="Q193" s="553">
        <f>Table22[[#This Row],[STMR-RAC (median residue)]]</f>
        <v>0</v>
      </c>
      <c r="R193" s="553">
        <f>Table22[[#This Row],[HR-RAC (highest residue)]]</f>
        <v>0</v>
      </c>
      <c r="S193" s="553">
        <f>Table22[[#This Row],[VF (alternative variability factor)]]</f>
        <v>0</v>
      </c>
      <c r="T193" s="553">
        <f>Table22[[#This Row],[GAP under assessment]]</f>
        <v>0</v>
      </c>
      <c r="U193" s="553">
        <f>Table22[[#This Row],[Post-harvest treatment]]</f>
        <v>0</v>
      </c>
      <c r="V193" s="553" t="str">
        <f>Table22[[#This Row],[Chronic RA label]]</f>
        <v/>
      </c>
      <c r="W193" s="553">
        <f>Table22[[#This Row],[Chronic RA input value]]</f>
        <v>0</v>
      </c>
      <c r="X193" s="1684" t="str">
        <f>Table22[[#This Row],[Acute RA label]]</f>
        <v/>
      </c>
      <c r="Y193" s="553">
        <f>Table22[[#This Row],[Acute RA input value]]</f>
        <v>0</v>
      </c>
      <c r="Z193" s="786">
        <f>SUM(Table1[[#This Row],[chronic value &lt;&gt;MRL/LOQ]:[acute vlue&lt;&gt;MRL/LOQ]])</f>
        <v>0</v>
      </c>
      <c r="AA193" s="786">
        <f>IF(AND($F$5="Refined calculation mode",Table1[[#This Row],[GAP under assessment]]="Y"),1,IF(OR(Table1[[#This Row],[Chronic RA label]]="LOQ",Table1[[#This Row],[Chronic RA label]]="",Table1[[#This Row],[Chronic RA label]]="MRL"),0,1))</f>
        <v>0</v>
      </c>
      <c r="AB193" s="787">
        <f>IF(OR(Table1[[#This Row],[Acute RA label]]="LOQ",Table1[[#This Row],[Acute RA label]]="",Table1[[#This Row],[Acute RA label]]="MRL"),0,1)</f>
        <v>0</v>
      </c>
    </row>
    <row r="194" spans="1:28" ht="13.5" hidden="1" thickTop="1" x14ac:dyDescent="0.2">
      <c r="A194" s="815">
        <f>Table1[[#This Row],[Code no.]]</f>
        <v>260050</v>
      </c>
      <c r="B194" s="793" t="str">
        <f>Table1[[#This Row],[Commodity or group of commodities to which the MRLs apply]]</f>
        <v>Lentils (fresh)</v>
      </c>
      <c r="C194" s="794">
        <f>Table1[[#This Row],[MRL/ proposed MRL /CXL
(mg/kg)]]</f>
        <v>0</v>
      </c>
      <c r="D194" s="795">
        <f>Table1[[#This Row],[Source of MRL]]</f>
        <v>0</v>
      </c>
      <c r="E194" s="797">
        <f>Table1[[#This Row],[Chronic RA input value]]</f>
        <v>0</v>
      </c>
      <c r="F194" s="795" t="str">
        <f>Table1[[#This Row],[Chronic RA label]]</f>
        <v/>
      </c>
      <c r="G194" s="797">
        <f>Table1[[#This Row],[Acute RA input value]]</f>
        <v>0</v>
      </c>
      <c r="H194" s="836" t="str">
        <f>Table1[[#This Row],[Acute RA label]]</f>
        <v/>
      </c>
      <c r="J194" s="553">
        <f>Table22[[#This Row],[Code no.]]</f>
        <v>260050</v>
      </c>
      <c r="K194" s="553" t="str">
        <f>Table22[[#This Row],[Commodity or group of commodities to which the MRLs apply]]</f>
        <v>Lentils (fresh)</v>
      </c>
      <c r="L194" s="553">
        <f>Table22[[#This Row],[Source / type of MRL]]</f>
        <v>0</v>
      </c>
      <c r="M194" s="553">
        <f>Table22[[#This Row],[MRL/ proposed MRL /CXL
(mg/kg)]]</f>
        <v>0</v>
      </c>
      <c r="N194" s="553">
        <f>Table22[[#This Row],[LOQ]]</f>
        <v>0</v>
      </c>
      <c r="O194" s="553">
        <f>Table22[[#This Row],[CFrisk for residue definition]]</f>
        <v>0</v>
      </c>
      <c r="P194" s="553">
        <f>Table22[[#This Row],[PeF (peeling factor RD enforcemen)]]</f>
        <v>0</v>
      </c>
      <c r="Q194" s="553">
        <f>Table22[[#This Row],[STMR-RAC (median residue)]]</f>
        <v>0</v>
      </c>
      <c r="R194" s="553">
        <f>Table22[[#This Row],[HR-RAC (highest residue)]]</f>
        <v>0</v>
      </c>
      <c r="S194" s="553">
        <f>Table22[[#This Row],[VF (alternative variability factor)]]</f>
        <v>0</v>
      </c>
      <c r="T194" s="553">
        <f>Table22[[#This Row],[GAP under assessment]]</f>
        <v>0</v>
      </c>
      <c r="U194" s="553">
        <f>Table22[[#This Row],[Post-harvest treatment]]</f>
        <v>0</v>
      </c>
      <c r="V194" s="553" t="str">
        <f>Table22[[#This Row],[Chronic RA label]]</f>
        <v/>
      </c>
      <c r="W194" s="553">
        <f>Table22[[#This Row],[Chronic RA input value]]</f>
        <v>0</v>
      </c>
      <c r="X194" s="1684" t="str">
        <f>Table22[[#This Row],[Acute RA label]]</f>
        <v/>
      </c>
      <c r="Y194" s="553">
        <f>Table22[[#This Row],[Acute RA input value]]</f>
        <v>0</v>
      </c>
      <c r="Z194" s="786">
        <f>SUM(Table1[[#This Row],[chronic value &lt;&gt;MRL/LOQ]:[acute vlue&lt;&gt;MRL/LOQ]])</f>
        <v>0</v>
      </c>
      <c r="AA194" s="786">
        <f>IF(AND($F$5="Refined calculation mode",Table1[[#This Row],[GAP under assessment]]="Y"),1,IF(OR(Table1[[#This Row],[Chronic RA label]]="LOQ",Table1[[#This Row],[Chronic RA label]]="",Table1[[#This Row],[Chronic RA label]]="MRL"),0,1))</f>
        <v>0</v>
      </c>
      <c r="AB194" s="787">
        <f>IF(OR(Table1[[#This Row],[Acute RA label]]="LOQ",Table1[[#This Row],[Acute RA label]]="",Table1[[#This Row],[Acute RA label]]="MRL"),0,1)</f>
        <v>0</v>
      </c>
    </row>
    <row r="195" spans="1:28" ht="21.75" hidden="1" thickTop="1" x14ac:dyDescent="0.2">
      <c r="A195" s="815">
        <f>Table1[[#This Row],[Code no.]]</f>
        <v>260990</v>
      </c>
      <c r="B195" s="793" t="str">
        <f>Table1[[#This Row],[Commodity or group of commodities to which the MRLs apply]]</f>
        <v>Other legume vegetables (fresh)</v>
      </c>
      <c r="C195" s="794">
        <f>Table1[[#This Row],[MRL/ proposed MRL /CXL
(mg/kg)]]</f>
        <v>0</v>
      </c>
      <c r="D195" s="795">
        <f>Table1[[#This Row],[Source of MRL]]</f>
        <v>0</v>
      </c>
      <c r="E195" s="797">
        <f>Table1[[#This Row],[Chronic RA input value]]</f>
        <v>0</v>
      </c>
      <c r="F195" s="795" t="str">
        <f>Table1[[#This Row],[Chronic RA label]]</f>
        <v/>
      </c>
      <c r="G195" s="797">
        <f>Table1[[#This Row],[Acute RA input value]]</f>
        <v>0</v>
      </c>
      <c r="H195" s="836">
        <f>Table1[[#This Row],[Acute RA label]]</f>
        <v>0</v>
      </c>
      <c r="J195" s="553">
        <f>Table22[[#This Row],[Code no.]]</f>
        <v>260990</v>
      </c>
      <c r="K195" s="553" t="str">
        <f>Table22[[#This Row],[Commodity or group of commodities to which the MRLs apply]]</f>
        <v>Other legume vegetables (fresh)</v>
      </c>
      <c r="L195" s="553">
        <f>Table22[[#This Row],[Source / type of MRL]]</f>
        <v>0</v>
      </c>
      <c r="M195" s="553">
        <f>Table22[[#This Row],[MRL/ proposed MRL /CXL
(mg/kg)]]</f>
        <v>0</v>
      </c>
      <c r="N195" s="553">
        <f>Table22[[#This Row],[LOQ]]</f>
        <v>0</v>
      </c>
      <c r="O195" s="553">
        <f>Table22[[#This Row],[CFrisk for residue definition]]</f>
        <v>0</v>
      </c>
      <c r="P195" s="553">
        <f>Table22[[#This Row],[PeF (peeling factor RD enforcemen)]]</f>
        <v>0</v>
      </c>
      <c r="Q195" s="553">
        <f>Table22[[#This Row],[STMR-RAC (median residue)]]</f>
        <v>0</v>
      </c>
      <c r="R195" s="553">
        <f>Table22[[#This Row],[HR-RAC (highest residue)]]</f>
        <v>0</v>
      </c>
      <c r="S195" s="553">
        <f>Table22[[#This Row],[VF (alternative variability factor)]]</f>
        <v>0</v>
      </c>
      <c r="T195" s="553">
        <f>Table22[[#This Row],[GAP under assessment]]</f>
        <v>0</v>
      </c>
      <c r="U195" s="553">
        <f>Table22[[#This Row],[Post-harvest treatment]]</f>
        <v>0</v>
      </c>
      <c r="V195" s="553" t="str">
        <f>Table22[[#This Row],[Chronic RA label]]</f>
        <v/>
      </c>
      <c r="W195" s="553">
        <f>Table22[[#This Row],[Chronic RA input value]]</f>
        <v>0</v>
      </c>
      <c r="X195" s="1684"/>
      <c r="Y195" s="553">
        <f>Table22[[#This Row],[Acute RA input value]]</f>
        <v>0</v>
      </c>
      <c r="Z195" s="786">
        <f>SUM(Table1[[#This Row],[chronic value &lt;&gt;MRL/LOQ]:[acute vlue&lt;&gt;MRL/LOQ]])</f>
        <v>0</v>
      </c>
      <c r="AA195" s="786">
        <f>IF(AND($F$5="Refined calculation mode",Table1[[#This Row],[GAP under assessment]]="Y"),1,IF(OR(Table1[[#This Row],[Chronic RA label]]="LOQ",Table1[[#This Row],[Chronic RA label]]="",Table1[[#This Row],[Chronic RA label]]="MRL"),0,1))</f>
        <v>0</v>
      </c>
      <c r="AB195" s="787">
        <f>IF(OR(Table1[[#This Row],[Acute RA label]]="LOQ",Table1[[#This Row],[Acute RA label]]="",Table1[[#This Row],[Acute RA label]]="MRL"),0,1)</f>
        <v>0</v>
      </c>
    </row>
    <row r="196" spans="1:28" ht="13.5" hidden="1" thickTop="1" x14ac:dyDescent="0.2">
      <c r="A196" s="815">
        <f>Table1[[#This Row],[Code no.]]</f>
        <v>270000</v>
      </c>
      <c r="B196" s="793" t="str">
        <f>Table1[[#This Row],[Commodity or group of commodities to which the MRLs apply]]</f>
        <v xml:space="preserve">Stem vegetables </v>
      </c>
      <c r="C196" s="794">
        <f>Table1[[#This Row],[MRL/ proposed MRL /CXL
(mg/kg)]]</f>
        <v>0</v>
      </c>
      <c r="D196" s="795">
        <f>Table1[[#This Row],[Source of MRL]]</f>
        <v>0</v>
      </c>
      <c r="E196" s="797">
        <f>Table1[[#This Row],[Chronic RA input value]]</f>
        <v>0</v>
      </c>
      <c r="F196" s="795">
        <f>Table1[[#This Row],[Chronic RA label]]</f>
        <v>0</v>
      </c>
      <c r="G196" s="797">
        <f>Table1[[#This Row],[Acute RA input value]]</f>
        <v>0</v>
      </c>
      <c r="H196" s="836">
        <f>Table1[[#This Row],[Acute RA label]]</f>
        <v>0</v>
      </c>
      <c r="J196" s="553">
        <f>Table22[[#This Row],[Code no.]]</f>
        <v>270000</v>
      </c>
      <c r="K196" s="553" t="str">
        <f>Table22[[#This Row],[Commodity or group of commodities to which the MRLs apply]]</f>
        <v xml:space="preserve">Stem vegetables </v>
      </c>
      <c r="L196" s="553">
        <f>Table22[[#This Row],[Source / type of MRL]]</f>
        <v>0</v>
      </c>
      <c r="M196" s="553">
        <f>Table22[[#This Row],[MRL/ proposed MRL /CXL
(mg/kg)]]</f>
        <v>0</v>
      </c>
      <c r="N196" s="553">
        <f>Table22[[#This Row],[LOQ]]</f>
        <v>0</v>
      </c>
      <c r="O196" s="553">
        <f>Table22[[#This Row],[CFrisk for residue definition]]</f>
        <v>0</v>
      </c>
      <c r="P196" s="553">
        <f>Table22[[#This Row],[PeF (peeling factor RD enforcemen)]]</f>
        <v>0</v>
      </c>
      <c r="Q196" s="553">
        <f>Table22[[#This Row],[STMR-RAC (median residue)]]</f>
        <v>0</v>
      </c>
      <c r="R196" s="553">
        <f>Table22[[#This Row],[HR-RAC (highest residue)]]</f>
        <v>0</v>
      </c>
      <c r="S196" s="553">
        <f>Table22[[#This Row],[VF (alternative variability factor)]]</f>
        <v>0</v>
      </c>
      <c r="T196" s="553">
        <f>Table22[[#This Row],[GAP under assessment]]</f>
        <v>0</v>
      </c>
      <c r="U196" s="553">
        <f>Table22[[#This Row],[Post-harvest treatment]]</f>
        <v>0</v>
      </c>
      <c r="V196" s="553"/>
      <c r="W196" s="553">
        <f>Table22[[#This Row],[Chronic RA input value]]</f>
        <v>0</v>
      </c>
      <c r="X196" s="1684"/>
      <c r="Y196" s="553">
        <f>Table22[[#This Row],[Acute RA input value]]</f>
        <v>0</v>
      </c>
      <c r="Z196" s="786">
        <f>SUM(Table1[[#This Row],[chronic value &lt;&gt;MRL/LOQ]:[acute vlue&lt;&gt;MRL/LOQ]])</f>
        <v>0</v>
      </c>
      <c r="AA196" s="786">
        <f>IF(AND($F$5="Refined calculation mode",Table1[[#This Row],[GAP under assessment]]="Y"),1,IF(OR(Table1[[#This Row],[Chronic RA label]]="LOQ",Table1[[#This Row],[Chronic RA label]]="",Table1[[#This Row],[Chronic RA label]]="MRL"),0,1))</f>
        <v>0</v>
      </c>
      <c r="AB196" s="787">
        <f>IF(OR(Table1[[#This Row],[Acute RA label]]="LOQ",Table1[[#This Row],[Acute RA label]]="",Table1[[#This Row],[Acute RA label]]="MRL"),0,1)</f>
        <v>0</v>
      </c>
    </row>
    <row r="197" spans="1:28" ht="13.5" hidden="1" thickTop="1" x14ac:dyDescent="0.2">
      <c r="A197" s="815">
        <f>Table1[[#This Row],[Code no.]]</f>
        <v>270010</v>
      </c>
      <c r="B197" s="793" t="str">
        <f>Table1[[#This Row],[Commodity or group of commodities to which the MRLs apply]]</f>
        <v>Asparagus</v>
      </c>
      <c r="C197" s="794">
        <f>Table1[[#This Row],[MRL/ proposed MRL /CXL
(mg/kg)]]</f>
        <v>0</v>
      </c>
      <c r="D197" s="795">
        <f>Table1[[#This Row],[Source of MRL]]</f>
        <v>0</v>
      </c>
      <c r="E197" s="797">
        <f>Table1[[#This Row],[Chronic RA input value]]</f>
        <v>0</v>
      </c>
      <c r="F197" s="795" t="str">
        <f>Table1[[#This Row],[Chronic RA label]]</f>
        <v/>
      </c>
      <c r="G197" s="797">
        <f>Table1[[#This Row],[Acute RA input value]]</f>
        <v>0</v>
      </c>
      <c r="H197" s="836" t="str">
        <f>Table1[[#This Row],[Acute RA label]]</f>
        <v/>
      </c>
      <c r="J197" s="553">
        <f>Table22[[#This Row],[Code no.]]</f>
        <v>270010</v>
      </c>
      <c r="K197" s="553" t="str">
        <f>Table22[[#This Row],[Commodity or group of commodities to which the MRLs apply]]</f>
        <v>Asparagus</v>
      </c>
      <c r="L197" s="553">
        <f>Table22[[#This Row],[Source / type of MRL]]</f>
        <v>0</v>
      </c>
      <c r="M197" s="553">
        <f>Table22[[#This Row],[MRL/ proposed MRL /CXL
(mg/kg)]]</f>
        <v>0</v>
      </c>
      <c r="N197" s="553">
        <f>Table22[[#This Row],[LOQ]]</f>
        <v>0</v>
      </c>
      <c r="O197" s="553">
        <f>Table22[[#This Row],[CFrisk for residue definition]]</f>
        <v>0</v>
      </c>
      <c r="P197" s="553">
        <f>Table22[[#This Row],[PeF (peeling factor RD enforcemen)]]</f>
        <v>0</v>
      </c>
      <c r="Q197" s="553">
        <f>Table22[[#This Row],[STMR-RAC (median residue)]]</f>
        <v>0</v>
      </c>
      <c r="R197" s="553">
        <f>Table22[[#This Row],[HR-RAC (highest residue)]]</f>
        <v>0</v>
      </c>
      <c r="S197" s="553">
        <f>Table22[[#This Row],[VF (alternative variability factor)]]</f>
        <v>0</v>
      </c>
      <c r="T197" s="553">
        <f>Table22[[#This Row],[GAP under assessment]]</f>
        <v>0</v>
      </c>
      <c r="U197" s="553">
        <f>Table22[[#This Row],[Post-harvest treatment]]</f>
        <v>0</v>
      </c>
      <c r="V197" s="553" t="str">
        <f>Table22[[#This Row],[Chronic RA label]]</f>
        <v/>
      </c>
      <c r="W197" s="553">
        <f>Table22[[#This Row],[Chronic RA input value]]</f>
        <v>0</v>
      </c>
      <c r="X197" s="1684" t="str">
        <f>Table22[[#This Row],[Acute RA label]]</f>
        <v/>
      </c>
      <c r="Y197" s="553">
        <f>Table22[[#This Row],[Acute RA input value]]</f>
        <v>0</v>
      </c>
      <c r="Z197" s="786">
        <f>SUM(Table1[[#This Row],[chronic value &lt;&gt;MRL/LOQ]:[acute vlue&lt;&gt;MRL/LOQ]])</f>
        <v>0</v>
      </c>
      <c r="AA197" s="786">
        <f>IF(AND($F$5="Refined calculation mode",Table1[[#This Row],[GAP under assessment]]="Y"),1,IF(OR(Table1[[#This Row],[Chronic RA label]]="LOQ",Table1[[#This Row],[Chronic RA label]]="",Table1[[#This Row],[Chronic RA label]]="MRL"),0,1))</f>
        <v>0</v>
      </c>
      <c r="AB197" s="787">
        <f>IF(OR(Table1[[#This Row],[Acute RA label]]="LOQ",Table1[[#This Row],[Acute RA label]]="",Table1[[#This Row],[Acute RA label]]="MRL"),0,1)</f>
        <v>0</v>
      </c>
    </row>
    <row r="198" spans="1:28" ht="13.5" hidden="1" thickTop="1" x14ac:dyDescent="0.2">
      <c r="A198" s="815">
        <f>Table1[[#This Row],[Code no.]]</f>
        <v>270020</v>
      </c>
      <c r="B198" s="793" t="str">
        <f>Table1[[#This Row],[Commodity or group of commodities to which the MRLs apply]]</f>
        <v>Cardoons</v>
      </c>
      <c r="C198" s="794">
        <f>Table1[[#This Row],[MRL/ proposed MRL /CXL
(mg/kg)]]</f>
        <v>0</v>
      </c>
      <c r="D198" s="795">
        <f>Table1[[#This Row],[Source of MRL]]</f>
        <v>0</v>
      </c>
      <c r="E198" s="797">
        <f>Table1[[#This Row],[Chronic RA input value]]</f>
        <v>0</v>
      </c>
      <c r="F198" s="795" t="str">
        <f>Table1[[#This Row],[Chronic RA label]]</f>
        <v/>
      </c>
      <c r="G198" s="797">
        <f>Table1[[#This Row],[Acute RA input value]]</f>
        <v>0</v>
      </c>
      <c r="H198" s="836" t="str">
        <f>Table1[[#This Row],[Acute RA label]]</f>
        <v/>
      </c>
      <c r="J198" s="553">
        <f>Table22[[#This Row],[Code no.]]</f>
        <v>270020</v>
      </c>
      <c r="K198" s="553" t="str">
        <f>Table22[[#This Row],[Commodity or group of commodities to which the MRLs apply]]</f>
        <v>Cardoons</v>
      </c>
      <c r="L198" s="553">
        <f>Table22[[#This Row],[Source / type of MRL]]</f>
        <v>0</v>
      </c>
      <c r="M198" s="553">
        <f>Table22[[#This Row],[MRL/ proposed MRL /CXL
(mg/kg)]]</f>
        <v>0</v>
      </c>
      <c r="N198" s="553">
        <f>Table22[[#This Row],[LOQ]]</f>
        <v>0</v>
      </c>
      <c r="O198" s="553">
        <f>Table22[[#This Row],[CFrisk for residue definition]]</f>
        <v>0</v>
      </c>
      <c r="P198" s="553">
        <f>Table22[[#This Row],[PeF (peeling factor RD enforcemen)]]</f>
        <v>0</v>
      </c>
      <c r="Q198" s="553">
        <f>Table22[[#This Row],[STMR-RAC (median residue)]]</f>
        <v>0</v>
      </c>
      <c r="R198" s="553">
        <f>Table22[[#This Row],[HR-RAC (highest residue)]]</f>
        <v>0</v>
      </c>
      <c r="S198" s="553">
        <f>Table22[[#This Row],[VF (alternative variability factor)]]</f>
        <v>0</v>
      </c>
      <c r="T198" s="553">
        <f>Table22[[#This Row],[GAP under assessment]]</f>
        <v>0</v>
      </c>
      <c r="U198" s="553">
        <f>Table22[[#This Row],[Post-harvest treatment]]</f>
        <v>0</v>
      </c>
      <c r="V198" s="553" t="str">
        <f>Table22[[#This Row],[Chronic RA label]]</f>
        <v/>
      </c>
      <c r="W198" s="553">
        <f>Table22[[#This Row],[Chronic RA input value]]</f>
        <v>0</v>
      </c>
      <c r="X198" s="1684" t="str">
        <f>Table22[[#This Row],[Acute RA label]]</f>
        <v/>
      </c>
      <c r="Y198" s="553">
        <f>Table22[[#This Row],[Acute RA input value]]</f>
        <v>0</v>
      </c>
      <c r="Z198" s="786">
        <f>SUM(Table1[[#This Row],[chronic value &lt;&gt;MRL/LOQ]:[acute vlue&lt;&gt;MRL/LOQ]])</f>
        <v>0</v>
      </c>
      <c r="AA198" s="786">
        <f>IF(AND($F$5="Refined calculation mode",Table1[[#This Row],[GAP under assessment]]="Y"),1,IF(OR(Table1[[#This Row],[Chronic RA label]]="LOQ",Table1[[#This Row],[Chronic RA label]]="",Table1[[#This Row],[Chronic RA label]]="MRL"),0,1))</f>
        <v>0</v>
      </c>
      <c r="AB198" s="787">
        <f>IF(OR(Table1[[#This Row],[Acute RA label]]="LOQ",Table1[[#This Row],[Acute RA label]]="",Table1[[#This Row],[Acute RA label]]="MRL"),0,1)</f>
        <v>0</v>
      </c>
    </row>
    <row r="199" spans="1:28" ht="13.5" hidden="1" thickTop="1" x14ac:dyDescent="0.2">
      <c r="A199" s="815">
        <f>Table1[[#This Row],[Code no.]]</f>
        <v>270030</v>
      </c>
      <c r="B199" s="793" t="str">
        <f>Table1[[#This Row],[Commodity or group of commodities to which the MRLs apply]]</f>
        <v>Celeries</v>
      </c>
      <c r="C199" s="794">
        <f>Table1[[#This Row],[MRL/ proposed MRL /CXL
(mg/kg)]]</f>
        <v>0</v>
      </c>
      <c r="D199" s="795">
        <f>Table1[[#This Row],[Source of MRL]]</f>
        <v>0</v>
      </c>
      <c r="E199" s="797">
        <f>Table1[[#This Row],[Chronic RA input value]]</f>
        <v>0</v>
      </c>
      <c r="F199" s="795" t="str">
        <f>Table1[[#This Row],[Chronic RA label]]</f>
        <v/>
      </c>
      <c r="G199" s="797">
        <f>Table1[[#This Row],[Acute RA input value]]</f>
        <v>0</v>
      </c>
      <c r="H199" s="836" t="str">
        <f>Table1[[#This Row],[Acute RA label]]</f>
        <v/>
      </c>
      <c r="J199" s="553">
        <f>Table22[[#This Row],[Code no.]]</f>
        <v>270030</v>
      </c>
      <c r="K199" s="553" t="str">
        <f>Table22[[#This Row],[Commodity or group of commodities to which the MRLs apply]]</f>
        <v>Celeries</v>
      </c>
      <c r="L199" s="553">
        <f>Table22[[#This Row],[Source / type of MRL]]</f>
        <v>0</v>
      </c>
      <c r="M199" s="553">
        <f>Table22[[#This Row],[MRL/ proposed MRL /CXL
(mg/kg)]]</f>
        <v>0</v>
      </c>
      <c r="N199" s="553">
        <f>Table22[[#This Row],[LOQ]]</f>
        <v>0</v>
      </c>
      <c r="O199" s="553">
        <f>Table22[[#This Row],[CFrisk for residue definition]]</f>
        <v>0</v>
      </c>
      <c r="P199" s="553">
        <f>Table22[[#This Row],[PeF (peeling factor RD enforcemen)]]</f>
        <v>0</v>
      </c>
      <c r="Q199" s="553">
        <f>Table22[[#This Row],[STMR-RAC (median residue)]]</f>
        <v>0</v>
      </c>
      <c r="R199" s="553">
        <f>Table22[[#This Row],[HR-RAC (highest residue)]]</f>
        <v>0</v>
      </c>
      <c r="S199" s="553">
        <f>Table22[[#This Row],[VF (alternative variability factor)]]</f>
        <v>0</v>
      </c>
      <c r="T199" s="553">
        <f>Table22[[#This Row],[GAP under assessment]]</f>
        <v>0</v>
      </c>
      <c r="U199" s="553">
        <f>Table22[[#This Row],[Post-harvest treatment]]</f>
        <v>0</v>
      </c>
      <c r="V199" s="553" t="str">
        <f>Table22[[#This Row],[Chronic RA label]]</f>
        <v/>
      </c>
      <c r="W199" s="553">
        <f>Table22[[#This Row],[Chronic RA input value]]</f>
        <v>0</v>
      </c>
      <c r="X199" s="1684" t="str">
        <f>Table22[[#This Row],[Acute RA label]]</f>
        <v/>
      </c>
      <c r="Y199" s="553">
        <f>Table22[[#This Row],[Acute RA input value]]</f>
        <v>0</v>
      </c>
      <c r="Z199" s="786">
        <f>SUM(Table1[[#This Row],[chronic value &lt;&gt;MRL/LOQ]:[acute vlue&lt;&gt;MRL/LOQ]])</f>
        <v>0</v>
      </c>
      <c r="AA199" s="786">
        <f>IF(AND($F$5="Refined calculation mode",Table1[[#This Row],[GAP under assessment]]="Y"),1,IF(OR(Table1[[#This Row],[Chronic RA label]]="LOQ",Table1[[#This Row],[Chronic RA label]]="",Table1[[#This Row],[Chronic RA label]]="MRL"),0,1))</f>
        <v>0</v>
      </c>
      <c r="AB199" s="787">
        <f>IF(OR(Table1[[#This Row],[Acute RA label]]="LOQ",Table1[[#This Row],[Acute RA label]]="",Table1[[#This Row],[Acute RA label]]="MRL"),0,1)</f>
        <v>0</v>
      </c>
    </row>
    <row r="200" spans="1:28" ht="13.5" hidden="1" thickTop="1" x14ac:dyDescent="0.2">
      <c r="A200" s="815">
        <f>Table1[[#This Row],[Code no.]]</f>
        <v>270040</v>
      </c>
      <c r="B200" s="793" t="str">
        <f>Table1[[#This Row],[Commodity or group of commodities to which the MRLs apply]]</f>
        <v>Florence fennels</v>
      </c>
      <c r="C200" s="794">
        <f>Table1[[#This Row],[MRL/ proposed MRL /CXL
(mg/kg)]]</f>
        <v>0</v>
      </c>
      <c r="D200" s="795">
        <f>Table1[[#This Row],[Source of MRL]]</f>
        <v>0</v>
      </c>
      <c r="E200" s="797">
        <f>Table1[[#This Row],[Chronic RA input value]]</f>
        <v>0</v>
      </c>
      <c r="F200" s="795" t="str">
        <f>Table1[[#This Row],[Chronic RA label]]</f>
        <v/>
      </c>
      <c r="G200" s="797">
        <f>Table1[[#This Row],[Acute RA input value]]</f>
        <v>0</v>
      </c>
      <c r="H200" s="836" t="str">
        <f>Table1[[#This Row],[Acute RA label]]</f>
        <v/>
      </c>
      <c r="J200" s="553">
        <f>Table22[[#This Row],[Code no.]]</f>
        <v>270040</v>
      </c>
      <c r="K200" s="553" t="str">
        <f>Table22[[#This Row],[Commodity or group of commodities to which the MRLs apply]]</f>
        <v>Florence fennels</v>
      </c>
      <c r="L200" s="553">
        <f>Table22[[#This Row],[Source / type of MRL]]</f>
        <v>0</v>
      </c>
      <c r="M200" s="553">
        <f>Table22[[#This Row],[MRL/ proposed MRL /CXL
(mg/kg)]]</f>
        <v>0</v>
      </c>
      <c r="N200" s="553">
        <f>Table22[[#This Row],[LOQ]]</f>
        <v>0</v>
      </c>
      <c r="O200" s="553">
        <f>Table22[[#This Row],[CFrisk for residue definition]]</f>
        <v>0</v>
      </c>
      <c r="P200" s="553">
        <f>Table22[[#This Row],[PeF (peeling factor RD enforcemen)]]</f>
        <v>0</v>
      </c>
      <c r="Q200" s="553">
        <f>Table22[[#This Row],[STMR-RAC (median residue)]]</f>
        <v>0</v>
      </c>
      <c r="R200" s="553">
        <f>Table22[[#This Row],[HR-RAC (highest residue)]]</f>
        <v>0</v>
      </c>
      <c r="S200" s="553">
        <f>Table22[[#This Row],[VF (alternative variability factor)]]</f>
        <v>0</v>
      </c>
      <c r="T200" s="553">
        <f>Table22[[#This Row],[GAP under assessment]]</f>
        <v>0</v>
      </c>
      <c r="U200" s="553">
        <f>Table22[[#This Row],[Post-harvest treatment]]</f>
        <v>0</v>
      </c>
      <c r="V200" s="553" t="str">
        <f>Table22[[#This Row],[Chronic RA label]]</f>
        <v/>
      </c>
      <c r="W200" s="553">
        <f>Table22[[#This Row],[Chronic RA input value]]</f>
        <v>0</v>
      </c>
      <c r="X200" s="1684" t="str">
        <f>Table22[[#This Row],[Acute RA label]]</f>
        <v/>
      </c>
      <c r="Y200" s="553">
        <f>Table22[[#This Row],[Acute RA input value]]</f>
        <v>0</v>
      </c>
      <c r="Z200" s="786">
        <f>SUM(Table1[[#This Row],[chronic value &lt;&gt;MRL/LOQ]:[acute vlue&lt;&gt;MRL/LOQ]])</f>
        <v>0</v>
      </c>
      <c r="AA200" s="786">
        <f>IF(AND($F$5="Refined calculation mode",Table1[[#This Row],[GAP under assessment]]="Y"),1,IF(OR(Table1[[#This Row],[Chronic RA label]]="LOQ",Table1[[#This Row],[Chronic RA label]]="",Table1[[#This Row],[Chronic RA label]]="MRL"),0,1))</f>
        <v>0</v>
      </c>
      <c r="AB200" s="787">
        <f>IF(OR(Table1[[#This Row],[Acute RA label]]="LOQ",Table1[[#This Row],[Acute RA label]]="",Table1[[#This Row],[Acute RA label]]="MRL"),0,1)</f>
        <v>0</v>
      </c>
    </row>
    <row r="201" spans="1:28" ht="13.5" hidden="1" thickTop="1" x14ac:dyDescent="0.2">
      <c r="A201" s="815">
        <f>Table1[[#This Row],[Code no.]]</f>
        <v>270050</v>
      </c>
      <c r="B201" s="793" t="str">
        <f>Table1[[#This Row],[Commodity or group of commodities to which the MRLs apply]]</f>
        <v>Globe artichokes</v>
      </c>
      <c r="C201" s="794">
        <f>Table1[[#This Row],[MRL/ proposed MRL /CXL
(mg/kg)]]</f>
        <v>0</v>
      </c>
      <c r="D201" s="795">
        <f>Table1[[#This Row],[Source of MRL]]</f>
        <v>0</v>
      </c>
      <c r="E201" s="797">
        <f>Table1[[#This Row],[Chronic RA input value]]</f>
        <v>0</v>
      </c>
      <c r="F201" s="795" t="str">
        <f>Table1[[#This Row],[Chronic RA label]]</f>
        <v/>
      </c>
      <c r="G201" s="797">
        <f>Table1[[#This Row],[Acute RA input value]]</f>
        <v>0</v>
      </c>
      <c r="H201" s="836" t="str">
        <f>Table1[[#This Row],[Acute RA label]]</f>
        <v/>
      </c>
      <c r="J201" s="553">
        <f>Table22[[#This Row],[Code no.]]</f>
        <v>270050</v>
      </c>
      <c r="K201" s="553" t="str">
        <f>Table22[[#This Row],[Commodity or group of commodities to which the MRLs apply]]</f>
        <v>Globe artichokes</v>
      </c>
      <c r="L201" s="553">
        <f>Table22[[#This Row],[Source / type of MRL]]</f>
        <v>0</v>
      </c>
      <c r="M201" s="553">
        <f>Table22[[#This Row],[MRL/ proposed MRL /CXL
(mg/kg)]]</f>
        <v>0</v>
      </c>
      <c r="N201" s="553">
        <f>Table22[[#This Row],[LOQ]]</f>
        <v>0</v>
      </c>
      <c r="O201" s="553">
        <f>Table22[[#This Row],[CFrisk for residue definition]]</f>
        <v>0</v>
      </c>
      <c r="P201" s="553">
        <f>Table22[[#This Row],[PeF (peeling factor RD enforcemen)]]</f>
        <v>0</v>
      </c>
      <c r="Q201" s="553">
        <f>Table22[[#This Row],[STMR-RAC (median residue)]]</f>
        <v>0</v>
      </c>
      <c r="R201" s="553">
        <f>Table22[[#This Row],[HR-RAC (highest residue)]]</f>
        <v>0</v>
      </c>
      <c r="S201" s="553">
        <f>Table22[[#This Row],[VF (alternative variability factor)]]</f>
        <v>0</v>
      </c>
      <c r="T201" s="553">
        <f>Table22[[#This Row],[GAP under assessment]]</f>
        <v>0</v>
      </c>
      <c r="U201" s="553">
        <f>Table22[[#This Row],[Post-harvest treatment]]</f>
        <v>0</v>
      </c>
      <c r="V201" s="553" t="str">
        <f>Table22[[#This Row],[Chronic RA label]]</f>
        <v/>
      </c>
      <c r="W201" s="553">
        <f>Table22[[#This Row],[Chronic RA input value]]</f>
        <v>0</v>
      </c>
      <c r="X201" s="1684" t="str">
        <f>Table22[[#This Row],[Acute RA label]]</f>
        <v/>
      </c>
      <c r="Y201" s="553">
        <f>Table22[[#This Row],[Acute RA input value]]</f>
        <v>0</v>
      </c>
      <c r="Z201" s="786">
        <f>SUM(Table1[[#This Row],[chronic value &lt;&gt;MRL/LOQ]:[acute vlue&lt;&gt;MRL/LOQ]])</f>
        <v>0</v>
      </c>
      <c r="AA201" s="786">
        <f>IF(AND($F$5="Refined calculation mode",Table1[[#This Row],[GAP under assessment]]="Y"),1,IF(OR(Table1[[#This Row],[Chronic RA label]]="LOQ",Table1[[#This Row],[Chronic RA label]]="",Table1[[#This Row],[Chronic RA label]]="MRL"),0,1))</f>
        <v>0</v>
      </c>
      <c r="AB201" s="787">
        <f>IF(OR(Table1[[#This Row],[Acute RA label]]="LOQ",Table1[[#This Row],[Acute RA label]]="",Table1[[#This Row],[Acute RA label]]="MRL"),0,1)</f>
        <v>0</v>
      </c>
    </row>
    <row r="202" spans="1:28" ht="13.5" hidden="1" thickTop="1" x14ac:dyDescent="0.2">
      <c r="A202" s="815">
        <f>Table1[[#This Row],[Code no.]]</f>
        <v>270060</v>
      </c>
      <c r="B202" s="793" t="str">
        <f>Table1[[#This Row],[Commodity or group of commodities to which the MRLs apply]]</f>
        <v>Leeks</v>
      </c>
      <c r="C202" s="794">
        <f>Table1[[#This Row],[MRL/ proposed MRL /CXL
(mg/kg)]]</f>
        <v>0</v>
      </c>
      <c r="D202" s="795">
        <f>Table1[[#This Row],[Source of MRL]]</f>
        <v>0</v>
      </c>
      <c r="E202" s="797">
        <f>Table1[[#This Row],[Chronic RA input value]]</f>
        <v>0</v>
      </c>
      <c r="F202" s="795" t="str">
        <f>Table1[[#This Row],[Chronic RA label]]</f>
        <v/>
      </c>
      <c r="G202" s="797">
        <f>Table1[[#This Row],[Acute RA input value]]</f>
        <v>0</v>
      </c>
      <c r="H202" s="836" t="str">
        <f>Table1[[#This Row],[Acute RA label]]</f>
        <v/>
      </c>
      <c r="J202" s="553">
        <f>Table22[[#This Row],[Code no.]]</f>
        <v>270060</v>
      </c>
      <c r="K202" s="553" t="str">
        <f>Table22[[#This Row],[Commodity or group of commodities to which the MRLs apply]]</f>
        <v>Leeks</v>
      </c>
      <c r="L202" s="553">
        <f>Table22[[#This Row],[Source / type of MRL]]</f>
        <v>0</v>
      </c>
      <c r="M202" s="553">
        <f>Table22[[#This Row],[MRL/ proposed MRL /CXL
(mg/kg)]]</f>
        <v>0</v>
      </c>
      <c r="N202" s="553">
        <f>Table22[[#This Row],[LOQ]]</f>
        <v>0</v>
      </c>
      <c r="O202" s="553">
        <f>Table22[[#This Row],[CFrisk for residue definition]]</f>
        <v>0</v>
      </c>
      <c r="P202" s="553">
        <f>Table22[[#This Row],[PeF (peeling factor RD enforcemen)]]</f>
        <v>0</v>
      </c>
      <c r="Q202" s="553">
        <f>Table22[[#This Row],[STMR-RAC (median residue)]]</f>
        <v>0</v>
      </c>
      <c r="R202" s="553">
        <f>Table22[[#This Row],[HR-RAC (highest residue)]]</f>
        <v>0</v>
      </c>
      <c r="S202" s="553">
        <f>Table22[[#This Row],[VF (alternative variability factor)]]</f>
        <v>0</v>
      </c>
      <c r="T202" s="553">
        <f>Table22[[#This Row],[GAP under assessment]]</f>
        <v>0</v>
      </c>
      <c r="U202" s="553">
        <f>Table22[[#This Row],[Post-harvest treatment]]</f>
        <v>0</v>
      </c>
      <c r="V202" s="553" t="str">
        <f>Table22[[#This Row],[Chronic RA label]]</f>
        <v/>
      </c>
      <c r="W202" s="553">
        <f>Table22[[#This Row],[Chronic RA input value]]</f>
        <v>0</v>
      </c>
      <c r="X202" s="1684" t="str">
        <f>Table22[[#This Row],[Acute RA label]]</f>
        <v/>
      </c>
      <c r="Y202" s="553">
        <f>Table22[[#This Row],[Acute RA input value]]</f>
        <v>0</v>
      </c>
      <c r="Z202" s="786">
        <f>SUM(Table1[[#This Row],[chronic value &lt;&gt;MRL/LOQ]:[acute vlue&lt;&gt;MRL/LOQ]])</f>
        <v>0</v>
      </c>
      <c r="AA202" s="786">
        <f>IF(AND($F$5="Refined calculation mode",Table1[[#This Row],[GAP under assessment]]="Y"),1,IF(OR(Table1[[#This Row],[Chronic RA label]]="LOQ",Table1[[#This Row],[Chronic RA label]]="",Table1[[#This Row],[Chronic RA label]]="MRL"),0,1))</f>
        <v>0</v>
      </c>
      <c r="AB202" s="787">
        <f>IF(OR(Table1[[#This Row],[Acute RA label]]="LOQ",Table1[[#This Row],[Acute RA label]]="",Table1[[#This Row],[Acute RA label]]="MRL"),0,1)</f>
        <v>0</v>
      </c>
    </row>
    <row r="203" spans="1:28" ht="13.5" hidden="1" thickTop="1" x14ac:dyDescent="0.2">
      <c r="A203" s="815">
        <f>Table1[[#This Row],[Code no.]]</f>
        <v>270070</v>
      </c>
      <c r="B203" s="793" t="str">
        <f>Table1[[#This Row],[Commodity or group of commodities to which the MRLs apply]]</f>
        <v>Rhubarbs</v>
      </c>
      <c r="C203" s="794">
        <f>Table1[[#This Row],[MRL/ proposed MRL /CXL
(mg/kg)]]</f>
        <v>0</v>
      </c>
      <c r="D203" s="795">
        <f>Table1[[#This Row],[Source of MRL]]</f>
        <v>0</v>
      </c>
      <c r="E203" s="797">
        <f>Table1[[#This Row],[Chronic RA input value]]</f>
        <v>0</v>
      </c>
      <c r="F203" s="795" t="str">
        <f>Table1[[#This Row],[Chronic RA label]]</f>
        <v/>
      </c>
      <c r="G203" s="797">
        <f>Table1[[#This Row],[Acute RA input value]]</f>
        <v>0</v>
      </c>
      <c r="H203" s="836" t="str">
        <f>Table1[[#This Row],[Acute RA label]]</f>
        <v/>
      </c>
      <c r="J203" s="553">
        <f>Table22[[#This Row],[Code no.]]</f>
        <v>270070</v>
      </c>
      <c r="K203" s="553" t="str">
        <f>Table22[[#This Row],[Commodity or group of commodities to which the MRLs apply]]</f>
        <v>Rhubarbs</v>
      </c>
      <c r="L203" s="553">
        <f>Table22[[#This Row],[Source / type of MRL]]</f>
        <v>0</v>
      </c>
      <c r="M203" s="553">
        <f>Table22[[#This Row],[MRL/ proposed MRL /CXL
(mg/kg)]]</f>
        <v>0</v>
      </c>
      <c r="N203" s="553">
        <f>Table22[[#This Row],[LOQ]]</f>
        <v>0</v>
      </c>
      <c r="O203" s="553">
        <f>Table22[[#This Row],[CFrisk for residue definition]]</f>
        <v>0</v>
      </c>
      <c r="P203" s="553">
        <f>Table22[[#This Row],[PeF (peeling factor RD enforcemen)]]</f>
        <v>0</v>
      </c>
      <c r="Q203" s="553">
        <f>Table22[[#This Row],[STMR-RAC (median residue)]]</f>
        <v>0</v>
      </c>
      <c r="R203" s="553">
        <f>Table22[[#This Row],[HR-RAC (highest residue)]]</f>
        <v>0</v>
      </c>
      <c r="S203" s="553">
        <f>Table22[[#This Row],[VF (alternative variability factor)]]</f>
        <v>0</v>
      </c>
      <c r="T203" s="553">
        <f>Table22[[#This Row],[GAP under assessment]]</f>
        <v>0</v>
      </c>
      <c r="U203" s="553">
        <f>Table22[[#This Row],[Post-harvest treatment]]</f>
        <v>0</v>
      </c>
      <c r="V203" s="553" t="str">
        <f>Table22[[#This Row],[Chronic RA label]]</f>
        <v/>
      </c>
      <c r="W203" s="553">
        <f>Table22[[#This Row],[Chronic RA input value]]</f>
        <v>0</v>
      </c>
      <c r="X203" s="1684" t="str">
        <f>Table22[[#This Row],[Acute RA label]]</f>
        <v/>
      </c>
      <c r="Y203" s="553">
        <f>Table22[[#This Row],[Acute RA input value]]</f>
        <v>0</v>
      </c>
      <c r="Z203" s="786">
        <f>SUM(Table1[[#This Row],[chronic value &lt;&gt;MRL/LOQ]:[acute vlue&lt;&gt;MRL/LOQ]])</f>
        <v>0</v>
      </c>
      <c r="AA203" s="786">
        <f>IF(AND($F$5="Refined calculation mode",Table1[[#This Row],[GAP under assessment]]="Y"),1,IF(OR(Table1[[#This Row],[Chronic RA label]]="LOQ",Table1[[#This Row],[Chronic RA label]]="",Table1[[#This Row],[Chronic RA label]]="MRL"),0,1))</f>
        <v>0</v>
      </c>
      <c r="AB203" s="787">
        <f>IF(OR(Table1[[#This Row],[Acute RA label]]="LOQ",Table1[[#This Row],[Acute RA label]]="",Table1[[#This Row],[Acute RA label]]="MRL"),0,1)</f>
        <v>0</v>
      </c>
    </row>
    <row r="204" spans="1:28" ht="13.5" hidden="1" thickTop="1" x14ac:dyDescent="0.2">
      <c r="A204" s="815">
        <f>Table1[[#This Row],[Code no.]]</f>
        <v>270080</v>
      </c>
      <c r="B204" s="793" t="str">
        <f>Table1[[#This Row],[Commodity or group of commodities to which the MRLs apply]]</f>
        <v>Bamboo shoots</v>
      </c>
      <c r="C204" s="794">
        <f>Table1[[#This Row],[MRL/ proposed MRL /CXL
(mg/kg)]]</f>
        <v>0</v>
      </c>
      <c r="D204" s="795">
        <f>Table1[[#This Row],[Source of MRL]]</f>
        <v>0</v>
      </c>
      <c r="E204" s="797">
        <f>Table1[[#This Row],[Chronic RA input value]]</f>
        <v>0</v>
      </c>
      <c r="F204" s="795" t="str">
        <f>Table1[[#This Row],[Chronic RA label]]</f>
        <v/>
      </c>
      <c r="G204" s="797">
        <f>Table1[[#This Row],[Acute RA input value]]</f>
        <v>0</v>
      </c>
      <c r="H204" s="836" t="str">
        <f>Table1[[#This Row],[Acute RA label]]</f>
        <v/>
      </c>
      <c r="J204" s="553">
        <f>Table22[[#This Row],[Code no.]]</f>
        <v>270080</v>
      </c>
      <c r="K204" s="553" t="str">
        <f>Table22[[#This Row],[Commodity or group of commodities to which the MRLs apply]]</f>
        <v>Bamboo shoots</v>
      </c>
      <c r="L204" s="553">
        <f>Table22[[#This Row],[Source / type of MRL]]</f>
        <v>0</v>
      </c>
      <c r="M204" s="553">
        <f>Table22[[#This Row],[MRL/ proposed MRL /CXL
(mg/kg)]]</f>
        <v>0</v>
      </c>
      <c r="N204" s="553">
        <f>Table22[[#This Row],[LOQ]]</f>
        <v>0</v>
      </c>
      <c r="O204" s="553">
        <f>Table22[[#This Row],[CFrisk for residue definition]]</f>
        <v>0</v>
      </c>
      <c r="P204" s="553">
        <f>Table22[[#This Row],[PeF (peeling factor RD enforcemen)]]</f>
        <v>0</v>
      </c>
      <c r="Q204" s="553">
        <f>Table22[[#This Row],[STMR-RAC (median residue)]]</f>
        <v>0</v>
      </c>
      <c r="R204" s="553">
        <f>Table22[[#This Row],[HR-RAC (highest residue)]]</f>
        <v>0</v>
      </c>
      <c r="S204" s="553">
        <f>Table22[[#This Row],[VF (alternative variability factor)]]</f>
        <v>0</v>
      </c>
      <c r="T204" s="553">
        <f>Table22[[#This Row],[GAP under assessment]]</f>
        <v>0</v>
      </c>
      <c r="U204" s="553">
        <f>Table22[[#This Row],[Post-harvest treatment]]</f>
        <v>0</v>
      </c>
      <c r="V204" s="553" t="str">
        <f>Table22[[#This Row],[Chronic RA label]]</f>
        <v/>
      </c>
      <c r="W204" s="553">
        <f>Table22[[#This Row],[Chronic RA input value]]</f>
        <v>0</v>
      </c>
      <c r="X204" s="1684" t="str">
        <f>Table22[[#This Row],[Acute RA label]]</f>
        <v/>
      </c>
      <c r="Y204" s="553">
        <f>Table22[[#This Row],[Acute RA input value]]</f>
        <v>0</v>
      </c>
      <c r="Z204" s="786">
        <f>SUM(Table1[[#This Row],[chronic value &lt;&gt;MRL/LOQ]:[acute vlue&lt;&gt;MRL/LOQ]])</f>
        <v>0</v>
      </c>
      <c r="AA204" s="786">
        <f>IF(AND($F$5="Refined calculation mode",Table1[[#This Row],[GAP under assessment]]="Y"),1,IF(OR(Table1[[#This Row],[Chronic RA label]]="LOQ",Table1[[#This Row],[Chronic RA label]]="",Table1[[#This Row],[Chronic RA label]]="MRL"),0,1))</f>
        <v>0</v>
      </c>
      <c r="AB204" s="787">
        <f>IF(OR(Table1[[#This Row],[Acute RA label]]="LOQ",Table1[[#This Row],[Acute RA label]]="",Table1[[#This Row],[Acute RA label]]="MRL"),0,1)</f>
        <v>0</v>
      </c>
    </row>
    <row r="205" spans="1:28" ht="13.5" hidden="1" thickTop="1" x14ac:dyDescent="0.2">
      <c r="A205" s="815">
        <f>Table1[[#This Row],[Code no.]]</f>
        <v>270090</v>
      </c>
      <c r="B205" s="793" t="str">
        <f>Table1[[#This Row],[Commodity or group of commodities to which the MRLs apply]]</f>
        <v>Palm hearts</v>
      </c>
      <c r="C205" s="794">
        <f>Table1[[#This Row],[MRL/ proposed MRL /CXL
(mg/kg)]]</f>
        <v>0</v>
      </c>
      <c r="D205" s="795">
        <f>Table1[[#This Row],[Source of MRL]]</f>
        <v>0</v>
      </c>
      <c r="E205" s="797">
        <f>Table1[[#This Row],[Chronic RA input value]]</f>
        <v>0</v>
      </c>
      <c r="F205" s="795" t="str">
        <f>Table1[[#This Row],[Chronic RA label]]</f>
        <v/>
      </c>
      <c r="G205" s="797">
        <f>Table1[[#This Row],[Acute RA input value]]</f>
        <v>0</v>
      </c>
      <c r="H205" s="836" t="str">
        <f>Table1[[#This Row],[Acute RA label]]</f>
        <v/>
      </c>
      <c r="J205" s="553">
        <f>Table22[[#This Row],[Code no.]]</f>
        <v>270090</v>
      </c>
      <c r="K205" s="553" t="str">
        <f>Table22[[#This Row],[Commodity or group of commodities to which the MRLs apply]]</f>
        <v>Palm hearts</v>
      </c>
      <c r="L205" s="553">
        <f>Table22[[#This Row],[Source / type of MRL]]</f>
        <v>0</v>
      </c>
      <c r="M205" s="553">
        <f>Table22[[#This Row],[MRL/ proposed MRL /CXL
(mg/kg)]]</f>
        <v>0</v>
      </c>
      <c r="N205" s="553">
        <f>Table22[[#This Row],[LOQ]]</f>
        <v>0</v>
      </c>
      <c r="O205" s="553">
        <f>Table22[[#This Row],[CFrisk for residue definition]]</f>
        <v>0</v>
      </c>
      <c r="P205" s="553">
        <f>Table22[[#This Row],[PeF (peeling factor RD enforcemen)]]</f>
        <v>0</v>
      </c>
      <c r="Q205" s="553">
        <f>Table22[[#This Row],[STMR-RAC (median residue)]]</f>
        <v>0</v>
      </c>
      <c r="R205" s="553">
        <f>Table22[[#This Row],[HR-RAC (highest residue)]]</f>
        <v>0</v>
      </c>
      <c r="S205" s="553">
        <f>Table22[[#This Row],[VF (alternative variability factor)]]</f>
        <v>0</v>
      </c>
      <c r="T205" s="553">
        <f>Table22[[#This Row],[GAP under assessment]]</f>
        <v>0</v>
      </c>
      <c r="U205" s="553">
        <f>Table22[[#This Row],[Post-harvest treatment]]</f>
        <v>0</v>
      </c>
      <c r="V205" s="553" t="str">
        <f>Table22[[#This Row],[Chronic RA label]]</f>
        <v/>
      </c>
      <c r="W205" s="553">
        <f>Table22[[#This Row],[Chronic RA input value]]</f>
        <v>0</v>
      </c>
      <c r="X205" s="1684" t="str">
        <f>Table22[[#This Row],[Acute RA label]]</f>
        <v/>
      </c>
      <c r="Y205" s="553">
        <f>Table22[[#This Row],[Acute RA input value]]</f>
        <v>0</v>
      </c>
      <c r="Z205" s="786">
        <f>SUM(Table1[[#This Row],[chronic value &lt;&gt;MRL/LOQ]:[acute vlue&lt;&gt;MRL/LOQ]])</f>
        <v>0</v>
      </c>
      <c r="AA205" s="786">
        <f>IF(AND($F$5="Refined calculation mode",Table1[[#This Row],[GAP under assessment]]="Y"),1,IF(OR(Table1[[#This Row],[Chronic RA label]]="LOQ",Table1[[#This Row],[Chronic RA label]]="",Table1[[#This Row],[Chronic RA label]]="MRL"),0,1))</f>
        <v>0</v>
      </c>
      <c r="AB205" s="787">
        <f>IF(OR(Table1[[#This Row],[Acute RA label]]="LOQ",Table1[[#This Row],[Acute RA label]]="",Table1[[#This Row],[Acute RA label]]="MRL"),0,1)</f>
        <v>0</v>
      </c>
    </row>
    <row r="206" spans="1:28" ht="21.75" hidden="1" thickTop="1" x14ac:dyDescent="0.2">
      <c r="A206" s="815">
        <f>Table1[[#This Row],[Code no.]]</f>
        <v>270990</v>
      </c>
      <c r="B206" s="793" t="str">
        <f>Table1[[#This Row],[Commodity or group of commodities to which the MRLs apply]]</f>
        <v>Other stem vegetables</v>
      </c>
      <c r="C206" s="794">
        <f>Table1[[#This Row],[MRL/ proposed MRL /CXL
(mg/kg)]]</f>
        <v>0</v>
      </c>
      <c r="D206" s="795">
        <f>Table1[[#This Row],[Source of MRL]]</f>
        <v>0</v>
      </c>
      <c r="E206" s="797">
        <f>Table1[[#This Row],[Chronic RA input value]]</f>
        <v>0</v>
      </c>
      <c r="F206" s="795" t="str">
        <f>Table1[[#This Row],[Chronic RA label]]</f>
        <v/>
      </c>
      <c r="G206" s="797">
        <f>Table1[[#This Row],[Acute RA input value]]</f>
        <v>0</v>
      </c>
      <c r="H206" s="836">
        <f>Table1[[#This Row],[Acute RA label]]</f>
        <v>0</v>
      </c>
      <c r="J206" s="553">
        <f>Table22[[#This Row],[Code no.]]</f>
        <v>270990</v>
      </c>
      <c r="K206" s="553" t="str">
        <f>Table22[[#This Row],[Commodity or group of commodities to which the MRLs apply]]</f>
        <v>Other stem vegetables</v>
      </c>
      <c r="L206" s="553">
        <f>Table22[[#This Row],[Source / type of MRL]]</f>
        <v>0</v>
      </c>
      <c r="M206" s="553">
        <f>Table22[[#This Row],[MRL/ proposed MRL /CXL
(mg/kg)]]</f>
        <v>0</v>
      </c>
      <c r="N206" s="553">
        <f>Table22[[#This Row],[LOQ]]</f>
        <v>0</v>
      </c>
      <c r="O206" s="553">
        <f>Table22[[#This Row],[CFrisk for residue definition]]</f>
        <v>0</v>
      </c>
      <c r="P206" s="553">
        <f>Table22[[#This Row],[PeF (peeling factor RD enforcemen)]]</f>
        <v>0</v>
      </c>
      <c r="Q206" s="553">
        <f>Table22[[#This Row],[STMR-RAC (median residue)]]</f>
        <v>0</v>
      </c>
      <c r="R206" s="553">
        <f>Table22[[#This Row],[HR-RAC (highest residue)]]</f>
        <v>0</v>
      </c>
      <c r="S206" s="553">
        <f>Table22[[#This Row],[VF (alternative variability factor)]]</f>
        <v>0</v>
      </c>
      <c r="T206" s="553">
        <f>Table22[[#This Row],[GAP under assessment]]</f>
        <v>0</v>
      </c>
      <c r="U206" s="553">
        <f>Table22[[#This Row],[Post-harvest treatment]]</f>
        <v>0</v>
      </c>
      <c r="V206" s="553" t="str">
        <f>Table22[[#This Row],[Chronic RA label]]</f>
        <v/>
      </c>
      <c r="W206" s="553">
        <f>Table22[[#This Row],[Chronic RA input value]]</f>
        <v>0</v>
      </c>
      <c r="X206" s="1684"/>
      <c r="Y206" s="553">
        <f>Table22[[#This Row],[Acute RA input value]]</f>
        <v>0</v>
      </c>
      <c r="Z206" s="786">
        <f>SUM(Table1[[#This Row],[chronic value &lt;&gt;MRL/LOQ]:[acute vlue&lt;&gt;MRL/LOQ]])</f>
        <v>0</v>
      </c>
      <c r="AA206" s="786">
        <f>IF(AND($F$5="Refined calculation mode",Table1[[#This Row],[GAP under assessment]]="Y"),1,IF(OR(Table1[[#This Row],[Chronic RA label]]="LOQ",Table1[[#This Row],[Chronic RA label]]="",Table1[[#This Row],[Chronic RA label]]="MRL"),0,1))</f>
        <v>0</v>
      </c>
      <c r="AB206" s="787">
        <f>IF(OR(Table1[[#This Row],[Acute RA label]]="LOQ",Table1[[#This Row],[Acute RA label]]="",Table1[[#This Row],[Acute RA label]]="MRL"),0,1)</f>
        <v>0</v>
      </c>
    </row>
    <row r="207" spans="1:28" ht="13.5" hidden="1" thickTop="1" x14ac:dyDescent="0.2">
      <c r="A207" s="815">
        <f>Table1[[#This Row],[Code no.]]</f>
        <v>280000</v>
      </c>
      <c r="B207" s="793" t="str">
        <f>Table1[[#This Row],[Commodity or group of commodities to which the MRLs apply]]</f>
        <v>Fungi</v>
      </c>
      <c r="C207" s="794">
        <f>Table1[[#This Row],[MRL/ proposed MRL /CXL
(mg/kg)]]</f>
        <v>0</v>
      </c>
      <c r="D207" s="795">
        <f>Table1[[#This Row],[Source of MRL]]</f>
        <v>0</v>
      </c>
      <c r="E207" s="797">
        <f>Table1[[#This Row],[Chronic RA input value]]</f>
        <v>0</v>
      </c>
      <c r="F207" s="795">
        <f>Table1[[#This Row],[Chronic RA label]]</f>
        <v>0</v>
      </c>
      <c r="G207" s="797">
        <f>Table1[[#This Row],[Acute RA input value]]</f>
        <v>0</v>
      </c>
      <c r="H207" s="836">
        <f>Table1[[#This Row],[Acute RA label]]</f>
        <v>0</v>
      </c>
      <c r="J207" s="553">
        <f>Table22[[#This Row],[Code no.]]</f>
        <v>280000</v>
      </c>
      <c r="K207" s="553" t="str">
        <f>Table22[[#This Row],[Commodity or group of commodities to which the MRLs apply]]</f>
        <v>Fungi</v>
      </c>
      <c r="L207" s="553">
        <f>Table22[[#This Row],[Source / type of MRL]]</f>
        <v>0</v>
      </c>
      <c r="M207" s="553">
        <f>Table22[[#This Row],[MRL/ proposed MRL /CXL
(mg/kg)]]</f>
        <v>0</v>
      </c>
      <c r="N207" s="553">
        <f>Table22[[#This Row],[LOQ]]</f>
        <v>0</v>
      </c>
      <c r="O207" s="553">
        <f>Table22[[#This Row],[CFrisk for residue definition]]</f>
        <v>0</v>
      </c>
      <c r="P207" s="553">
        <f>Table22[[#This Row],[PeF (peeling factor RD enforcemen)]]</f>
        <v>0</v>
      </c>
      <c r="Q207" s="553">
        <f>Table22[[#This Row],[STMR-RAC (median residue)]]</f>
        <v>0</v>
      </c>
      <c r="R207" s="553">
        <f>Table22[[#This Row],[HR-RAC (highest residue)]]</f>
        <v>0</v>
      </c>
      <c r="S207" s="553">
        <f>Table22[[#This Row],[VF (alternative variability factor)]]</f>
        <v>0</v>
      </c>
      <c r="T207" s="553">
        <f>Table22[[#This Row],[GAP under assessment]]</f>
        <v>0</v>
      </c>
      <c r="U207" s="553">
        <f>Table22[[#This Row],[Post-harvest treatment]]</f>
        <v>0</v>
      </c>
      <c r="V207" s="553"/>
      <c r="W207" s="553">
        <f>Table22[[#This Row],[Chronic RA input value]]</f>
        <v>0</v>
      </c>
      <c r="X207" s="1684"/>
      <c r="Y207" s="553">
        <f>Table22[[#This Row],[Acute RA input value]]</f>
        <v>0</v>
      </c>
      <c r="Z207" s="786">
        <f>SUM(Table1[[#This Row],[chronic value &lt;&gt;MRL/LOQ]:[acute vlue&lt;&gt;MRL/LOQ]])</f>
        <v>0</v>
      </c>
      <c r="AA207" s="786">
        <f>IF(AND($F$5="Refined calculation mode",Table1[[#This Row],[GAP under assessment]]="Y"),1,IF(OR(Table1[[#This Row],[Chronic RA label]]="LOQ",Table1[[#This Row],[Chronic RA label]]="",Table1[[#This Row],[Chronic RA label]]="MRL"),0,1))</f>
        <v>0</v>
      </c>
      <c r="AB207" s="787">
        <f>IF(OR(Table1[[#This Row],[Acute RA label]]="LOQ",Table1[[#This Row],[Acute RA label]]="",Table1[[#This Row],[Acute RA label]]="MRL"),0,1)</f>
        <v>0</v>
      </c>
    </row>
    <row r="208" spans="1:28" ht="13.5" hidden="1" thickTop="1" x14ac:dyDescent="0.2">
      <c r="A208" s="815">
        <f>Table1[[#This Row],[Code no.]]</f>
        <v>280010</v>
      </c>
      <c r="B208" s="793" t="str">
        <f>Table1[[#This Row],[Commodity or group of commodities to which the MRLs apply]]</f>
        <v>Cultivated fungi</v>
      </c>
      <c r="C208" s="794">
        <f>Table1[[#This Row],[MRL/ proposed MRL /CXL
(mg/kg)]]</f>
        <v>0</v>
      </c>
      <c r="D208" s="795">
        <f>Table1[[#This Row],[Source of MRL]]</f>
        <v>0</v>
      </c>
      <c r="E208" s="797">
        <f>Table1[[#This Row],[Chronic RA input value]]</f>
        <v>0</v>
      </c>
      <c r="F208" s="795" t="str">
        <f>Table1[[#This Row],[Chronic RA label]]</f>
        <v/>
      </c>
      <c r="G208" s="797">
        <f>Table1[[#This Row],[Acute RA input value]]</f>
        <v>0</v>
      </c>
      <c r="H208" s="836" t="str">
        <f>Table1[[#This Row],[Acute RA label]]</f>
        <v/>
      </c>
      <c r="J208" s="553">
        <f>Table22[[#This Row],[Code no.]]</f>
        <v>280010</v>
      </c>
      <c r="K208" s="553" t="str">
        <f>Table22[[#This Row],[Commodity or group of commodities to which the MRLs apply]]</f>
        <v>Cultivated fungi</v>
      </c>
      <c r="L208" s="553">
        <f>Table22[[#This Row],[Source / type of MRL]]</f>
        <v>0</v>
      </c>
      <c r="M208" s="553">
        <f>Table22[[#This Row],[MRL/ proposed MRL /CXL
(mg/kg)]]</f>
        <v>0</v>
      </c>
      <c r="N208" s="553">
        <f>Table22[[#This Row],[LOQ]]</f>
        <v>0</v>
      </c>
      <c r="O208" s="553">
        <f>Table22[[#This Row],[CFrisk for residue definition]]</f>
        <v>0</v>
      </c>
      <c r="P208" s="553">
        <f>Table22[[#This Row],[PeF (peeling factor RD enforcemen)]]</f>
        <v>0</v>
      </c>
      <c r="Q208" s="553">
        <f>Table22[[#This Row],[STMR-RAC (median residue)]]</f>
        <v>0</v>
      </c>
      <c r="R208" s="553">
        <f>Table22[[#This Row],[HR-RAC (highest residue)]]</f>
        <v>0</v>
      </c>
      <c r="S208" s="553">
        <f>Table22[[#This Row],[VF (alternative variability factor)]]</f>
        <v>0</v>
      </c>
      <c r="T208" s="553">
        <f>Table22[[#This Row],[GAP under assessment]]</f>
        <v>0</v>
      </c>
      <c r="U208" s="553">
        <f>Table22[[#This Row],[Post-harvest treatment]]</f>
        <v>0</v>
      </c>
      <c r="V208" s="553" t="str">
        <f>Table22[[#This Row],[Chronic RA label]]</f>
        <v/>
      </c>
      <c r="W208" s="553">
        <f>Table22[[#This Row],[Chronic RA input value]]</f>
        <v>0</v>
      </c>
      <c r="X208" s="1684" t="str">
        <f>Table22[[#This Row],[Acute RA label]]</f>
        <v/>
      </c>
      <c r="Y208" s="553">
        <f>Table22[[#This Row],[Acute RA input value]]</f>
        <v>0</v>
      </c>
      <c r="Z208" s="786">
        <f>SUM(Table1[[#This Row],[chronic value &lt;&gt;MRL/LOQ]:[acute vlue&lt;&gt;MRL/LOQ]])</f>
        <v>0</v>
      </c>
      <c r="AA208" s="786">
        <f>IF(AND($F$5="Refined calculation mode",Table1[[#This Row],[GAP under assessment]]="Y"),1,IF(OR(Table1[[#This Row],[Chronic RA label]]="LOQ",Table1[[#This Row],[Chronic RA label]]="",Table1[[#This Row],[Chronic RA label]]="MRL"),0,1))</f>
        <v>0</v>
      </c>
      <c r="AB208" s="787">
        <f>IF(OR(Table1[[#This Row],[Acute RA label]]="LOQ",Table1[[#This Row],[Acute RA label]]="",Table1[[#This Row],[Acute RA label]]="MRL"),0,1)</f>
        <v>0</v>
      </c>
    </row>
    <row r="209" spans="1:28" ht="13.5" hidden="1" thickTop="1" x14ac:dyDescent="0.2">
      <c r="A209" s="815">
        <f>Table1[[#This Row],[Code no.]]</f>
        <v>280020</v>
      </c>
      <c r="B209" s="793" t="str">
        <f>Table1[[#This Row],[Commodity or group of commodities to which the MRLs apply]]</f>
        <v>Wild fungi</v>
      </c>
      <c r="C209" s="794">
        <f>Table1[[#This Row],[MRL/ proposed MRL /CXL
(mg/kg)]]</f>
        <v>0</v>
      </c>
      <c r="D209" s="795">
        <f>Table1[[#This Row],[Source of MRL]]</f>
        <v>0</v>
      </c>
      <c r="E209" s="797">
        <f>Table1[[#This Row],[Chronic RA input value]]</f>
        <v>0</v>
      </c>
      <c r="F209" s="795" t="str">
        <f>Table1[[#This Row],[Chronic RA label]]</f>
        <v/>
      </c>
      <c r="G209" s="797">
        <f>Table1[[#This Row],[Acute RA input value]]</f>
        <v>0</v>
      </c>
      <c r="H209" s="836" t="str">
        <f>Table1[[#This Row],[Acute RA label]]</f>
        <v/>
      </c>
      <c r="J209" s="553">
        <f>Table22[[#This Row],[Code no.]]</f>
        <v>280020</v>
      </c>
      <c r="K209" s="553" t="str">
        <f>Table22[[#This Row],[Commodity or group of commodities to which the MRLs apply]]</f>
        <v>Wild fungi</v>
      </c>
      <c r="L209" s="553">
        <f>Table22[[#This Row],[Source / type of MRL]]</f>
        <v>0</v>
      </c>
      <c r="M209" s="553">
        <f>Table22[[#This Row],[MRL/ proposed MRL /CXL
(mg/kg)]]</f>
        <v>0</v>
      </c>
      <c r="N209" s="553">
        <f>Table22[[#This Row],[LOQ]]</f>
        <v>0</v>
      </c>
      <c r="O209" s="553">
        <f>Table22[[#This Row],[CFrisk for residue definition]]</f>
        <v>0</v>
      </c>
      <c r="P209" s="553">
        <f>Table22[[#This Row],[PeF (peeling factor RD enforcemen)]]</f>
        <v>0</v>
      </c>
      <c r="Q209" s="553">
        <f>Table22[[#This Row],[STMR-RAC (median residue)]]</f>
        <v>0</v>
      </c>
      <c r="R209" s="553">
        <f>Table22[[#This Row],[HR-RAC (highest residue)]]</f>
        <v>0</v>
      </c>
      <c r="S209" s="553">
        <f>Table22[[#This Row],[VF (alternative variability factor)]]</f>
        <v>0</v>
      </c>
      <c r="T209" s="553">
        <f>Table22[[#This Row],[GAP under assessment]]</f>
        <v>0</v>
      </c>
      <c r="U209" s="553">
        <f>Table22[[#This Row],[Post-harvest treatment]]</f>
        <v>0</v>
      </c>
      <c r="V209" s="553" t="str">
        <f>Table22[[#This Row],[Chronic RA label]]</f>
        <v/>
      </c>
      <c r="W209" s="553">
        <f>Table22[[#This Row],[Chronic RA input value]]</f>
        <v>0</v>
      </c>
      <c r="X209" s="1684" t="str">
        <f>Table22[[#This Row],[Acute RA label]]</f>
        <v/>
      </c>
      <c r="Y209" s="553">
        <f>Table22[[#This Row],[Acute RA input value]]</f>
        <v>0</v>
      </c>
      <c r="Z209" s="786">
        <f>SUM(Table1[[#This Row],[chronic value &lt;&gt;MRL/LOQ]:[acute vlue&lt;&gt;MRL/LOQ]])</f>
        <v>0</v>
      </c>
      <c r="AA209" s="786">
        <f>IF(AND($F$5="Refined calculation mode",Table1[[#This Row],[GAP under assessment]]="Y"),1,IF(OR(Table1[[#This Row],[Chronic RA label]]="LOQ",Table1[[#This Row],[Chronic RA label]]="",Table1[[#This Row],[Chronic RA label]]="MRL"),0,1))</f>
        <v>0</v>
      </c>
      <c r="AB209" s="787">
        <f>IF(OR(Table1[[#This Row],[Acute RA label]]="LOQ",Table1[[#This Row],[Acute RA label]]="",Table1[[#This Row],[Acute RA label]]="MRL"),0,1)</f>
        <v>0</v>
      </c>
    </row>
    <row r="210" spans="1:28" ht="13.5" hidden="1" thickTop="1" x14ac:dyDescent="0.2">
      <c r="A210" s="815">
        <f>Table1[[#This Row],[Code no.]]</f>
        <v>280990</v>
      </c>
      <c r="B210" s="793" t="str">
        <f>Table1[[#This Row],[Commodity or group of commodities to which the MRLs apply]]</f>
        <v>Mosses and lichens</v>
      </c>
      <c r="C210" s="794">
        <f>Table1[[#This Row],[MRL/ proposed MRL /CXL
(mg/kg)]]</f>
        <v>0</v>
      </c>
      <c r="D210" s="795">
        <f>Table1[[#This Row],[Source of MRL]]</f>
        <v>0</v>
      </c>
      <c r="E210" s="797">
        <f>Table1[[#This Row],[Chronic RA input value]]</f>
        <v>0</v>
      </c>
      <c r="F210" s="795" t="str">
        <f>Table1[[#This Row],[Chronic RA label]]</f>
        <v/>
      </c>
      <c r="G210" s="797">
        <f>Table1[[#This Row],[Acute RA input value]]</f>
        <v>0</v>
      </c>
      <c r="H210" s="836" t="str">
        <f>Table1[[#This Row],[Acute RA label]]</f>
        <v/>
      </c>
      <c r="J210" s="553">
        <f>Table22[[#This Row],[Code no.]]</f>
        <v>280990</v>
      </c>
      <c r="K210" s="553" t="str">
        <f>Table22[[#This Row],[Commodity or group of commodities to which the MRLs apply]]</f>
        <v>Mosses and lichens</v>
      </c>
      <c r="L210" s="553">
        <f>Table22[[#This Row],[Source / type of MRL]]</f>
        <v>0</v>
      </c>
      <c r="M210" s="553">
        <f>Table22[[#This Row],[MRL/ proposed MRL /CXL
(mg/kg)]]</f>
        <v>0</v>
      </c>
      <c r="N210" s="553">
        <f>Table22[[#This Row],[LOQ]]</f>
        <v>0</v>
      </c>
      <c r="O210" s="553">
        <f>Table22[[#This Row],[CFrisk for residue definition]]</f>
        <v>0</v>
      </c>
      <c r="P210" s="553">
        <f>Table22[[#This Row],[PeF (peeling factor RD enforcemen)]]</f>
        <v>0</v>
      </c>
      <c r="Q210" s="553">
        <f>Table22[[#This Row],[STMR-RAC (median residue)]]</f>
        <v>0</v>
      </c>
      <c r="R210" s="553">
        <f>Table22[[#This Row],[HR-RAC (highest residue)]]</f>
        <v>0</v>
      </c>
      <c r="S210" s="553">
        <f>Table22[[#This Row],[VF (alternative variability factor)]]</f>
        <v>0</v>
      </c>
      <c r="T210" s="553">
        <f>Table22[[#This Row],[GAP under assessment]]</f>
        <v>0</v>
      </c>
      <c r="U210" s="553">
        <f>Table22[[#This Row],[Post-harvest treatment]]</f>
        <v>0</v>
      </c>
      <c r="V210" s="553" t="str">
        <f>Table22[[#This Row],[Chronic RA label]]</f>
        <v/>
      </c>
      <c r="W210" s="553">
        <f>Table22[[#This Row],[Chronic RA input value]]</f>
        <v>0</v>
      </c>
      <c r="X210" s="1684" t="str">
        <f>Table22[[#This Row],[Acute RA label]]</f>
        <v/>
      </c>
      <c r="Y210" s="553">
        <f>Table22[[#This Row],[Acute RA input value]]</f>
        <v>0</v>
      </c>
      <c r="Z210" s="786">
        <f>SUM(Table1[[#This Row],[chronic value &lt;&gt;MRL/LOQ]:[acute vlue&lt;&gt;MRL/LOQ]])</f>
        <v>0</v>
      </c>
      <c r="AA210" s="786">
        <f>IF(AND($F$5="Refined calculation mode",Table1[[#This Row],[GAP under assessment]]="Y"),1,IF(OR(Table1[[#This Row],[Chronic RA label]]="LOQ",Table1[[#This Row],[Chronic RA label]]="",Table1[[#This Row],[Chronic RA label]]="MRL"),0,1))</f>
        <v>0</v>
      </c>
      <c r="AB210" s="787">
        <f>IF(OR(Table1[[#This Row],[Acute RA label]]="LOQ",Table1[[#This Row],[Acute RA label]]="",Table1[[#This Row],[Acute RA label]]="MRL"),0,1)</f>
        <v>0</v>
      </c>
    </row>
    <row r="211" spans="1:28" ht="32.25" hidden="1" thickTop="1" x14ac:dyDescent="0.2">
      <c r="A211" s="815">
        <f>Table1[[#This Row],[Code no.]]</f>
        <v>290000</v>
      </c>
      <c r="B211" s="793" t="str">
        <f>Table1[[#This Row],[Commodity or group of commodities to which the MRLs apply]]</f>
        <v>Algae and prokaryotes organisms</v>
      </c>
      <c r="C211" s="794">
        <f>Table1[[#This Row],[MRL/ proposed MRL /CXL
(mg/kg)]]</f>
        <v>0</v>
      </c>
      <c r="D211" s="795">
        <f>Table1[[#This Row],[Source of MRL]]</f>
        <v>0</v>
      </c>
      <c r="E211" s="797">
        <f>Table1[[#This Row],[Chronic RA input value]]</f>
        <v>0</v>
      </c>
      <c r="F211" s="795" t="str">
        <f>Table1[[#This Row],[Chronic RA label]]</f>
        <v/>
      </c>
      <c r="G211" s="797">
        <f>Table1[[#This Row],[Acute RA input value]]</f>
        <v>0</v>
      </c>
      <c r="H211" s="836" t="str">
        <f>Table1[[#This Row],[Acute RA label]]</f>
        <v/>
      </c>
      <c r="J211" s="553">
        <f>Table22[[#This Row],[Code no.]]</f>
        <v>290000</v>
      </c>
      <c r="K211" s="553" t="str">
        <f>Table22[[#This Row],[Commodity or group of commodities to which the MRLs apply]]</f>
        <v>Algae and prokaryotes organisms</v>
      </c>
      <c r="L211" s="553">
        <f>Table22[[#This Row],[Source / type of MRL]]</f>
        <v>0</v>
      </c>
      <c r="M211" s="553">
        <f>Table22[[#This Row],[MRL/ proposed MRL /CXL
(mg/kg)]]</f>
        <v>0</v>
      </c>
      <c r="N211" s="553">
        <f>Table22[[#This Row],[LOQ]]</f>
        <v>0</v>
      </c>
      <c r="O211" s="553">
        <f>Table22[[#This Row],[CFrisk for residue definition]]</f>
        <v>0</v>
      </c>
      <c r="P211" s="553">
        <f>Table22[[#This Row],[PeF (peeling factor RD enforcemen)]]</f>
        <v>0</v>
      </c>
      <c r="Q211" s="553">
        <f>Table22[[#This Row],[STMR-RAC (median residue)]]</f>
        <v>0</v>
      </c>
      <c r="R211" s="553">
        <f>Table22[[#This Row],[HR-RAC (highest residue)]]</f>
        <v>0</v>
      </c>
      <c r="S211" s="553">
        <f>Table22[[#This Row],[VF (alternative variability factor)]]</f>
        <v>0</v>
      </c>
      <c r="T211" s="553">
        <f>Table22[[#This Row],[GAP under assessment]]</f>
        <v>0</v>
      </c>
      <c r="U211" s="553">
        <f>Table22[[#This Row],[Post-harvest treatment]]</f>
        <v>0</v>
      </c>
      <c r="V211" s="553" t="str">
        <f>Table22[[#This Row],[Chronic RA label]]</f>
        <v/>
      </c>
      <c r="W211" s="553">
        <f>Table22[[#This Row],[Chronic RA input value]]</f>
        <v>0</v>
      </c>
      <c r="X211" s="1684" t="str">
        <f>Table22[[#This Row],[Acute RA label]]</f>
        <v/>
      </c>
      <c r="Y211" s="553">
        <f>Table22[[#This Row],[Acute RA input value]]</f>
        <v>0</v>
      </c>
      <c r="Z211" s="786">
        <f>SUM(Table1[[#This Row],[chronic value &lt;&gt;MRL/LOQ]:[acute vlue&lt;&gt;MRL/LOQ]])</f>
        <v>0</v>
      </c>
      <c r="AA211" s="786">
        <f>IF(AND($F$5="Refined calculation mode",Table1[[#This Row],[GAP under assessment]]="Y"),1,IF(OR(Table1[[#This Row],[Chronic RA label]]="LOQ",Table1[[#This Row],[Chronic RA label]]="",Table1[[#This Row],[Chronic RA label]]="MRL"),0,1))</f>
        <v>0</v>
      </c>
      <c r="AB211" s="787">
        <f>IF(OR(Table1[[#This Row],[Acute RA label]]="LOQ",Table1[[#This Row],[Acute RA label]]="",Table1[[#This Row],[Acute RA label]]="MRL"),0,1)</f>
        <v>0</v>
      </c>
    </row>
    <row r="212" spans="1:28" ht="13.5" hidden="1" thickTop="1" x14ac:dyDescent="0.2">
      <c r="A212" s="815">
        <f>Table1[[#This Row],[Code no.]]</f>
        <v>300000</v>
      </c>
      <c r="B212" s="793" t="str">
        <f>Table1[[#This Row],[Commodity or group of commodities to which the MRLs apply]]</f>
        <v>PULSES</v>
      </c>
      <c r="C212" s="794">
        <f>Table1[[#This Row],[MRL/ proposed MRL /CXL
(mg/kg)]]</f>
        <v>0</v>
      </c>
      <c r="D212" s="795">
        <f>Table1[[#This Row],[Source of MRL]]</f>
        <v>0</v>
      </c>
      <c r="E212" s="797">
        <f>Table1[[#This Row],[Chronic RA input value]]</f>
        <v>0</v>
      </c>
      <c r="F212" s="795">
        <f>Table1[[#This Row],[Chronic RA label]]</f>
        <v>0</v>
      </c>
      <c r="G212" s="797">
        <f>Table1[[#This Row],[Acute RA input value]]</f>
        <v>0</v>
      </c>
      <c r="H212" s="836">
        <f>Table1[[#This Row],[Acute RA label]]</f>
        <v>0</v>
      </c>
      <c r="J212" s="553">
        <f>Table22[[#This Row],[Code no.]]</f>
        <v>300000</v>
      </c>
      <c r="K212" s="553" t="str">
        <f>Table22[[#This Row],[Commodity or group of commodities to which the MRLs apply]]</f>
        <v>PULSES</v>
      </c>
      <c r="L212" s="553">
        <f>Table22[[#This Row],[Source / type of MRL]]</f>
        <v>0</v>
      </c>
      <c r="M212" s="553">
        <f>Table22[[#This Row],[MRL/ proposed MRL /CXL
(mg/kg)]]</f>
        <v>0</v>
      </c>
      <c r="N212" s="553">
        <f>Table22[[#This Row],[LOQ]]</f>
        <v>0</v>
      </c>
      <c r="O212" s="553">
        <f>Table22[[#This Row],[CFrisk for residue definition]]</f>
        <v>0</v>
      </c>
      <c r="P212" s="553">
        <f>Table22[[#This Row],[PeF (peeling factor RD enforcemen)]]</f>
        <v>0</v>
      </c>
      <c r="Q212" s="553">
        <f>Table22[[#This Row],[STMR-RAC (median residue)]]</f>
        <v>0</v>
      </c>
      <c r="R212" s="553">
        <f>Table22[[#This Row],[HR-RAC (highest residue)]]</f>
        <v>0</v>
      </c>
      <c r="S212" s="553">
        <f>Table22[[#This Row],[VF (alternative variability factor)]]</f>
        <v>0</v>
      </c>
      <c r="T212" s="553">
        <f>Table22[[#This Row],[GAP under assessment]]</f>
        <v>0</v>
      </c>
      <c r="U212" s="553">
        <f>Table22[[#This Row],[Post-harvest treatment]]</f>
        <v>0</v>
      </c>
      <c r="V212" s="553"/>
      <c r="W212" s="553">
        <f>Table22[[#This Row],[Chronic RA input value]]</f>
        <v>0</v>
      </c>
      <c r="X212" s="1684"/>
      <c r="Y212" s="553">
        <f>Table22[[#This Row],[Acute RA input value]]</f>
        <v>0</v>
      </c>
      <c r="Z212" s="786">
        <f>SUM(Table1[[#This Row],[chronic value &lt;&gt;MRL/LOQ]:[acute vlue&lt;&gt;MRL/LOQ]])</f>
        <v>0</v>
      </c>
      <c r="AA212" s="786">
        <f>IF(AND($F$5="Refined calculation mode",Table1[[#This Row],[GAP under assessment]]="Y"),1,IF(OR(Table1[[#This Row],[Chronic RA label]]="LOQ",Table1[[#This Row],[Chronic RA label]]="",Table1[[#This Row],[Chronic RA label]]="MRL"),0,1))</f>
        <v>0</v>
      </c>
      <c r="AB212" s="787">
        <f>IF(OR(Table1[[#This Row],[Acute RA label]]="LOQ",Table1[[#This Row],[Acute RA label]]="",Table1[[#This Row],[Acute RA label]]="MRL"),0,1)</f>
        <v>0</v>
      </c>
    </row>
    <row r="213" spans="1:28" ht="13.5" hidden="1" thickTop="1" x14ac:dyDescent="0.2">
      <c r="A213" s="815">
        <f>Table1[[#This Row],[Code no.]]</f>
        <v>300010</v>
      </c>
      <c r="B213" s="793" t="str">
        <f>Table1[[#This Row],[Commodity or group of commodities to which the MRLs apply]]</f>
        <v>Beans</v>
      </c>
      <c r="C213" s="794">
        <f>Table1[[#This Row],[MRL/ proposed MRL /CXL
(mg/kg)]]</f>
        <v>0</v>
      </c>
      <c r="D213" s="795">
        <f>Table1[[#This Row],[Source of MRL]]</f>
        <v>0</v>
      </c>
      <c r="E213" s="797">
        <f>Table1[[#This Row],[Chronic RA input value]]</f>
        <v>0</v>
      </c>
      <c r="F213" s="795" t="str">
        <f>Table1[[#This Row],[Chronic RA label]]</f>
        <v/>
      </c>
      <c r="G213" s="797">
        <f>Table1[[#This Row],[Acute RA input value]]</f>
        <v>0</v>
      </c>
      <c r="H213" s="836" t="str">
        <f>Table1[[#This Row],[Acute RA label]]</f>
        <v/>
      </c>
      <c r="J213" s="553">
        <f>Table22[[#This Row],[Code no.]]</f>
        <v>300010</v>
      </c>
      <c r="K213" s="553" t="str">
        <f>Table22[[#This Row],[Commodity or group of commodities to which the MRLs apply]]</f>
        <v>Beans</v>
      </c>
      <c r="L213" s="553">
        <f>Table22[[#This Row],[Source / type of MRL]]</f>
        <v>0</v>
      </c>
      <c r="M213" s="553">
        <f>Table22[[#This Row],[MRL/ proposed MRL /CXL
(mg/kg)]]</f>
        <v>0</v>
      </c>
      <c r="N213" s="553">
        <f>Table22[[#This Row],[LOQ]]</f>
        <v>0</v>
      </c>
      <c r="O213" s="553">
        <f>Table22[[#This Row],[CFrisk for residue definition]]</f>
        <v>0</v>
      </c>
      <c r="P213" s="553">
        <f>Table22[[#This Row],[PeF (peeling factor RD enforcemen)]]</f>
        <v>0</v>
      </c>
      <c r="Q213" s="553">
        <f>Table22[[#This Row],[STMR-RAC (median residue)]]</f>
        <v>0</v>
      </c>
      <c r="R213" s="553">
        <f>Table22[[#This Row],[HR-RAC (highest residue)]]</f>
        <v>0</v>
      </c>
      <c r="S213" s="553">
        <f>Table22[[#This Row],[VF (alternative variability factor)]]</f>
        <v>0</v>
      </c>
      <c r="T213" s="553">
        <f>Table22[[#This Row],[GAP under assessment]]</f>
        <v>0</v>
      </c>
      <c r="U213" s="553">
        <f>Table22[[#This Row],[Post-harvest treatment]]</f>
        <v>0</v>
      </c>
      <c r="V213" s="553" t="str">
        <f>Table22[[#This Row],[Chronic RA label]]</f>
        <v/>
      </c>
      <c r="W213" s="553">
        <f>Table22[[#This Row],[Chronic RA input value]]</f>
        <v>0</v>
      </c>
      <c r="X213" s="1684" t="str">
        <f>Table22[[#This Row],[Acute RA label]]</f>
        <v/>
      </c>
      <c r="Y213" s="553">
        <f>Table22[[#This Row],[Acute RA input value]]</f>
        <v>0</v>
      </c>
      <c r="Z213" s="786">
        <f>SUM(Table1[[#This Row],[chronic value &lt;&gt;MRL/LOQ]:[acute vlue&lt;&gt;MRL/LOQ]])</f>
        <v>0</v>
      </c>
      <c r="AA213" s="786">
        <f>IF(AND($F$5="Refined calculation mode",Table1[[#This Row],[GAP under assessment]]="Y"),1,IF(OR(Table1[[#This Row],[Chronic RA label]]="LOQ",Table1[[#This Row],[Chronic RA label]]="",Table1[[#This Row],[Chronic RA label]]="MRL"),0,1))</f>
        <v>0</v>
      </c>
      <c r="AB213" s="787">
        <f>IF(OR(Table1[[#This Row],[Acute RA label]]="LOQ",Table1[[#This Row],[Acute RA label]]="",Table1[[#This Row],[Acute RA label]]="MRL"),0,1)</f>
        <v>0</v>
      </c>
    </row>
    <row r="214" spans="1:28" ht="13.5" hidden="1" thickTop="1" x14ac:dyDescent="0.2">
      <c r="A214" s="815">
        <f>Table1[[#This Row],[Code no.]]</f>
        <v>300020</v>
      </c>
      <c r="B214" s="793" t="str">
        <f>Table1[[#This Row],[Commodity or group of commodities to which the MRLs apply]]</f>
        <v>Lentils</v>
      </c>
      <c r="C214" s="794">
        <f>Table1[[#This Row],[MRL/ proposed MRL /CXL
(mg/kg)]]</f>
        <v>0</v>
      </c>
      <c r="D214" s="795">
        <f>Table1[[#This Row],[Source of MRL]]</f>
        <v>0</v>
      </c>
      <c r="E214" s="797">
        <f>Table1[[#This Row],[Chronic RA input value]]</f>
        <v>0</v>
      </c>
      <c r="F214" s="795" t="str">
        <f>Table1[[#This Row],[Chronic RA label]]</f>
        <v/>
      </c>
      <c r="G214" s="797">
        <f>Table1[[#This Row],[Acute RA input value]]</f>
        <v>0</v>
      </c>
      <c r="H214" s="836" t="str">
        <f>Table1[[#This Row],[Acute RA label]]</f>
        <v/>
      </c>
      <c r="J214" s="553">
        <f>Table22[[#This Row],[Code no.]]</f>
        <v>300020</v>
      </c>
      <c r="K214" s="553" t="str">
        <f>Table22[[#This Row],[Commodity or group of commodities to which the MRLs apply]]</f>
        <v>Lentils</v>
      </c>
      <c r="L214" s="553">
        <f>Table22[[#This Row],[Source / type of MRL]]</f>
        <v>0</v>
      </c>
      <c r="M214" s="553">
        <f>Table22[[#This Row],[MRL/ proposed MRL /CXL
(mg/kg)]]</f>
        <v>0</v>
      </c>
      <c r="N214" s="553">
        <f>Table22[[#This Row],[LOQ]]</f>
        <v>0</v>
      </c>
      <c r="O214" s="553">
        <f>Table22[[#This Row],[CFrisk for residue definition]]</f>
        <v>0</v>
      </c>
      <c r="P214" s="553">
        <f>Table22[[#This Row],[PeF (peeling factor RD enforcemen)]]</f>
        <v>0</v>
      </c>
      <c r="Q214" s="553">
        <f>Table22[[#This Row],[STMR-RAC (median residue)]]</f>
        <v>0</v>
      </c>
      <c r="R214" s="553">
        <f>Table22[[#This Row],[HR-RAC (highest residue)]]</f>
        <v>0</v>
      </c>
      <c r="S214" s="553">
        <f>Table22[[#This Row],[VF (alternative variability factor)]]</f>
        <v>0</v>
      </c>
      <c r="T214" s="553">
        <f>Table22[[#This Row],[GAP under assessment]]</f>
        <v>0</v>
      </c>
      <c r="U214" s="553">
        <f>Table22[[#This Row],[Post-harvest treatment]]</f>
        <v>0</v>
      </c>
      <c r="V214" s="553" t="str">
        <f>Table22[[#This Row],[Chronic RA label]]</f>
        <v/>
      </c>
      <c r="W214" s="553">
        <f>Table22[[#This Row],[Chronic RA input value]]</f>
        <v>0</v>
      </c>
      <c r="X214" s="1684" t="str">
        <f>Table22[[#This Row],[Acute RA label]]</f>
        <v/>
      </c>
      <c r="Y214" s="553">
        <f>Table22[[#This Row],[Acute RA input value]]</f>
        <v>0</v>
      </c>
      <c r="Z214" s="786">
        <f>SUM(Table1[[#This Row],[chronic value &lt;&gt;MRL/LOQ]:[acute vlue&lt;&gt;MRL/LOQ]])</f>
        <v>0</v>
      </c>
      <c r="AA214" s="786">
        <f>IF(AND($F$5="Refined calculation mode",Table1[[#This Row],[GAP under assessment]]="Y"),1,IF(OR(Table1[[#This Row],[Chronic RA label]]="LOQ",Table1[[#This Row],[Chronic RA label]]="",Table1[[#This Row],[Chronic RA label]]="MRL"),0,1))</f>
        <v>0</v>
      </c>
      <c r="AB214" s="787">
        <f>IF(OR(Table1[[#This Row],[Acute RA label]]="LOQ",Table1[[#This Row],[Acute RA label]]="",Table1[[#This Row],[Acute RA label]]="MRL"),0,1)</f>
        <v>0</v>
      </c>
    </row>
    <row r="215" spans="1:28" ht="13.5" hidden="1" thickTop="1" x14ac:dyDescent="0.2">
      <c r="A215" s="815">
        <f>Table1[[#This Row],[Code no.]]</f>
        <v>300030</v>
      </c>
      <c r="B215" s="793" t="str">
        <f>Table1[[#This Row],[Commodity or group of commodities to which the MRLs apply]]</f>
        <v>Peas</v>
      </c>
      <c r="C215" s="794">
        <f>Table1[[#This Row],[MRL/ proposed MRL /CXL
(mg/kg)]]</f>
        <v>0</v>
      </c>
      <c r="D215" s="795">
        <f>Table1[[#This Row],[Source of MRL]]</f>
        <v>0</v>
      </c>
      <c r="E215" s="797">
        <f>Table1[[#This Row],[Chronic RA input value]]</f>
        <v>0</v>
      </c>
      <c r="F215" s="795" t="str">
        <f>Table1[[#This Row],[Chronic RA label]]</f>
        <v/>
      </c>
      <c r="G215" s="797">
        <f>Table1[[#This Row],[Acute RA input value]]</f>
        <v>0</v>
      </c>
      <c r="H215" s="836" t="str">
        <f>Table1[[#This Row],[Acute RA label]]</f>
        <v/>
      </c>
      <c r="J215" s="553">
        <f>Table22[[#This Row],[Code no.]]</f>
        <v>300030</v>
      </c>
      <c r="K215" s="553" t="str">
        <f>Table22[[#This Row],[Commodity or group of commodities to which the MRLs apply]]</f>
        <v>Peas</v>
      </c>
      <c r="L215" s="553">
        <f>Table22[[#This Row],[Source / type of MRL]]</f>
        <v>0</v>
      </c>
      <c r="M215" s="553">
        <f>Table22[[#This Row],[MRL/ proposed MRL /CXL
(mg/kg)]]</f>
        <v>0</v>
      </c>
      <c r="N215" s="553">
        <f>Table22[[#This Row],[LOQ]]</f>
        <v>0</v>
      </c>
      <c r="O215" s="553">
        <f>Table22[[#This Row],[CFrisk for residue definition]]</f>
        <v>0</v>
      </c>
      <c r="P215" s="553">
        <f>Table22[[#This Row],[PeF (peeling factor RD enforcemen)]]</f>
        <v>0</v>
      </c>
      <c r="Q215" s="553">
        <f>Table22[[#This Row],[STMR-RAC (median residue)]]</f>
        <v>0</v>
      </c>
      <c r="R215" s="553">
        <f>Table22[[#This Row],[HR-RAC (highest residue)]]</f>
        <v>0</v>
      </c>
      <c r="S215" s="553">
        <f>Table22[[#This Row],[VF (alternative variability factor)]]</f>
        <v>0</v>
      </c>
      <c r="T215" s="553">
        <f>Table22[[#This Row],[GAP under assessment]]</f>
        <v>0</v>
      </c>
      <c r="U215" s="553">
        <f>Table22[[#This Row],[Post-harvest treatment]]</f>
        <v>0</v>
      </c>
      <c r="V215" s="553" t="str">
        <f>Table22[[#This Row],[Chronic RA label]]</f>
        <v/>
      </c>
      <c r="W215" s="553">
        <f>Table22[[#This Row],[Chronic RA input value]]</f>
        <v>0</v>
      </c>
      <c r="X215" s="1684" t="str">
        <f>Table22[[#This Row],[Acute RA label]]</f>
        <v/>
      </c>
      <c r="Y215" s="553">
        <f>Table22[[#This Row],[Acute RA input value]]</f>
        <v>0</v>
      </c>
      <c r="Z215" s="786">
        <f>SUM(Table1[[#This Row],[chronic value &lt;&gt;MRL/LOQ]:[acute vlue&lt;&gt;MRL/LOQ]])</f>
        <v>0</v>
      </c>
      <c r="AA215" s="786">
        <f>IF(AND($F$5="Refined calculation mode",Table1[[#This Row],[GAP under assessment]]="Y"),1,IF(OR(Table1[[#This Row],[Chronic RA label]]="LOQ",Table1[[#This Row],[Chronic RA label]]="",Table1[[#This Row],[Chronic RA label]]="MRL"),0,1))</f>
        <v>0</v>
      </c>
      <c r="AB215" s="787">
        <f>IF(OR(Table1[[#This Row],[Acute RA label]]="LOQ",Table1[[#This Row],[Acute RA label]]="",Table1[[#This Row],[Acute RA label]]="MRL"),0,1)</f>
        <v>0</v>
      </c>
    </row>
    <row r="216" spans="1:28" ht="13.5" hidden="1" thickTop="1" x14ac:dyDescent="0.2">
      <c r="A216" s="815">
        <f>Table1[[#This Row],[Code no.]]</f>
        <v>300040</v>
      </c>
      <c r="B216" s="793" t="str">
        <f>Table1[[#This Row],[Commodity or group of commodities to which the MRLs apply]]</f>
        <v>Lupins/lupini beans</v>
      </c>
      <c r="C216" s="794">
        <f>Table1[[#This Row],[MRL/ proposed MRL /CXL
(mg/kg)]]</f>
        <v>0</v>
      </c>
      <c r="D216" s="795">
        <f>Table1[[#This Row],[Source of MRL]]</f>
        <v>0</v>
      </c>
      <c r="E216" s="797">
        <f>Table1[[#This Row],[Chronic RA input value]]</f>
        <v>0</v>
      </c>
      <c r="F216" s="795" t="str">
        <f>Table1[[#This Row],[Chronic RA label]]</f>
        <v/>
      </c>
      <c r="G216" s="797">
        <f>Table1[[#This Row],[Acute RA input value]]</f>
        <v>0</v>
      </c>
      <c r="H216" s="836" t="str">
        <f>Table1[[#This Row],[Acute RA label]]</f>
        <v/>
      </c>
      <c r="J216" s="553">
        <f>Table22[[#This Row],[Code no.]]</f>
        <v>300040</v>
      </c>
      <c r="K216" s="553" t="str">
        <f>Table22[[#This Row],[Commodity or group of commodities to which the MRLs apply]]</f>
        <v>Lupins/lupini beans</v>
      </c>
      <c r="L216" s="553">
        <f>Table22[[#This Row],[Source / type of MRL]]</f>
        <v>0</v>
      </c>
      <c r="M216" s="553">
        <f>Table22[[#This Row],[MRL/ proposed MRL /CXL
(mg/kg)]]</f>
        <v>0</v>
      </c>
      <c r="N216" s="553">
        <f>Table22[[#This Row],[LOQ]]</f>
        <v>0</v>
      </c>
      <c r="O216" s="553">
        <f>Table22[[#This Row],[CFrisk for residue definition]]</f>
        <v>0</v>
      </c>
      <c r="P216" s="553">
        <f>Table22[[#This Row],[PeF (peeling factor RD enforcemen)]]</f>
        <v>0</v>
      </c>
      <c r="Q216" s="553">
        <f>Table22[[#This Row],[STMR-RAC (median residue)]]</f>
        <v>0</v>
      </c>
      <c r="R216" s="553">
        <f>Table22[[#This Row],[HR-RAC (highest residue)]]</f>
        <v>0</v>
      </c>
      <c r="S216" s="553">
        <f>Table22[[#This Row],[VF (alternative variability factor)]]</f>
        <v>0</v>
      </c>
      <c r="T216" s="553">
        <f>Table22[[#This Row],[GAP under assessment]]</f>
        <v>0</v>
      </c>
      <c r="U216" s="553">
        <f>Table22[[#This Row],[Post-harvest treatment]]</f>
        <v>0</v>
      </c>
      <c r="V216" s="553" t="str">
        <f>Table22[[#This Row],[Chronic RA label]]</f>
        <v/>
      </c>
      <c r="W216" s="553">
        <f>Table22[[#This Row],[Chronic RA input value]]</f>
        <v>0</v>
      </c>
      <c r="X216" s="1684" t="str">
        <f>Table22[[#This Row],[Acute RA label]]</f>
        <v/>
      </c>
      <c r="Y216" s="553">
        <f>Table22[[#This Row],[Acute RA input value]]</f>
        <v>0</v>
      </c>
      <c r="Z216" s="786">
        <f>SUM(Table1[[#This Row],[chronic value &lt;&gt;MRL/LOQ]:[acute vlue&lt;&gt;MRL/LOQ]])</f>
        <v>0</v>
      </c>
      <c r="AA216" s="786">
        <f>IF(AND($F$5="Refined calculation mode",Table1[[#This Row],[GAP under assessment]]="Y"),1,IF(OR(Table1[[#This Row],[Chronic RA label]]="LOQ",Table1[[#This Row],[Chronic RA label]]="",Table1[[#This Row],[Chronic RA label]]="MRL"),0,1))</f>
        <v>0</v>
      </c>
      <c r="AB216" s="787">
        <f>IF(OR(Table1[[#This Row],[Acute RA label]]="LOQ",Table1[[#This Row],[Acute RA label]]="",Table1[[#This Row],[Acute RA label]]="MRL"),0,1)</f>
        <v>0</v>
      </c>
    </row>
    <row r="217" spans="1:28" ht="13.5" hidden="1" thickTop="1" x14ac:dyDescent="0.2">
      <c r="A217" s="815">
        <f>Table1[[#This Row],[Code no.]]</f>
        <v>300990</v>
      </c>
      <c r="B217" s="793" t="str">
        <f>Table1[[#This Row],[Commodity or group of commodities to which the MRLs apply]]</f>
        <v>Other pulses</v>
      </c>
      <c r="C217" s="794">
        <f>Table1[[#This Row],[MRL/ proposed MRL /CXL
(mg/kg)]]</f>
        <v>0</v>
      </c>
      <c r="D217" s="795">
        <f>Table1[[#This Row],[Source of MRL]]</f>
        <v>0</v>
      </c>
      <c r="E217" s="797">
        <f>Table1[[#This Row],[Chronic RA input value]]</f>
        <v>0</v>
      </c>
      <c r="F217" s="795" t="str">
        <f>Table1[[#This Row],[Chronic RA label]]</f>
        <v/>
      </c>
      <c r="G217" s="797">
        <f>Table1[[#This Row],[Acute RA input value]]</f>
        <v>0</v>
      </c>
      <c r="H217" s="836">
        <f>Table1[[#This Row],[Acute RA label]]</f>
        <v>0</v>
      </c>
      <c r="J217" s="553">
        <f>Table22[[#This Row],[Code no.]]</f>
        <v>300990</v>
      </c>
      <c r="K217" s="553" t="str">
        <f>Table22[[#This Row],[Commodity or group of commodities to which the MRLs apply]]</f>
        <v>Other pulses</v>
      </c>
      <c r="L217" s="553">
        <f>Table22[[#This Row],[Source / type of MRL]]</f>
        <v>0</v>
      </c>
      <c r="M217" s="553">
        <f>Table22[[#This Row],[MRL/ proposed MRL /CXL
(mg/kg)]]</f>
        <v>0</v>
      </c>
      <c r="N217" s="553">
        <f>Table22[[#This Row],[LOQ]]</f>
        <v>0</v>
      </c>
      <c r="O217" s="553">
        <f>Table22[[#This Row],[CFrisk for residue definition]]</f>
        <v>0</v>
      </c>
      <c r="P217" s="553">
        <f>Table22[[#This Row],[PeF (peeling factor RD enforcemen)]]</f>
        <v>0</v>
      </c>
      <c r="Q217" s="553">
        <f>Table22[[#This Row],[STMR-RAC (median residue)]]</f>
        <v>0</v>
      </c>
      <c r="R217" s="553">
        <f>Table22[[#This Row],[HR-RAC (highest residue)]]</f>
        <v>0</v>
      </c>
      <c r="S217" s="553">
        <f>Table22[[#This Row],[VF (alternative variability factor)]]</f>
        <v>0</v>
      </c>
      <c r="T217" s="553">
        <f>Table22[[#This Row],[GAP under assessment]]</f>
        <v>0</v>
      </c>
      <c r="U217" s="553">
        <f>Table22[[#This Row],[Post-harvest treatment]]</f>
        <v>0</v>
      </c>
      <c r="V217" s="553" t="str">
        <f>Table22[[#This Row],[Chronic RA label]]</f>
        <v/>
      </c>
      <c r="W217" s="553">
        <f>Table22[[#This Row],[Chronic RA input value]]</f>
        <v>0</v>
      </c>
      <c r="X217" s="1684"/>
      <c r="Y217" s="553">
        <f>Table22[[#This Row],[Acute RA input value]]</f>
        <v>0</v>
      </c>
      <c r="Z217" s="786">
        <f>SUM(Table1[[#This Row],[chronic value &lt;&gt;MRL/LOQ]:[acute vlue&lt;&gt;MRL/LOQ]])</f>
        <v>0</v>
      </c>
      <c r="AA217" s="786">
        <f>IF(AND($F$5="Refined calculation mode",Table1[[#This Row],[GAP under assessment]]="Y"),1,IF(OR(Table1[[#This Row],[Chronic RA label]]="LOQ",Table1[[#This Row],[Chronic RA label]]="",Table1[[#This Row],[Chronic RA label]]="MRL"),0,1))</f>
        <v>0</v>
      </c>
      <c r="AB217" s="787">
        <f>IF(OR(Table1[[#This Row],[Acute RA label]]="LOQ",Table1[[#This Row],[Acute RA label]]="",Table1[[#This Row],[Acute RA label]]="MRL"),0,1)</f>
        <v>0</v>
      </c>
    </row>
    <row r="218" spans="1:28" ht="21.75" hidden="1" thickTop="1" x14ac:dyDescent="0.2">
      <c r="A218" s="815">
        <f>Table1[[#This Row],[Code no.]]</f>
        <v>400000</v>
      </c>
      <c r="B218" s="793" t="str">
        <f>Table1[[#This Row],[Commodity or group of commodities to which the MRLs apply]]</f>
        <v>OILSEEDS AND OILFRUITS</v>
      </c>
      <c r="C218" s="794">
        <f>Table1[[#This Row],[MRL/ proposed MRL /CXL
(mg/kg)]]</f>
        <v>0</v>
      </c>
      <c r="D218" s="795">
        <f>Table1[[#This Row],[Source of MRL]]</f>
        <v>0</v>
      </c>
      <c r="E218" s="797">
        <f>Table1[[#This Row],[Chronic RA input value]]</f>
        <v>0</v>
      </c>
      <c r="F218" s="795">
        <f>Table1[[#This Row],[Chronic RA label]]</f>
        <v>0</v>
      </c>
      <c r="G218" s="797">
        <f>Table1[[#This Row],[Acute RA input value]]</f>
        <v>0</v>
      </c>
      <c r="H218" s="836">
        <f>Table1[[#This Row],[Acute RA label]]</f>
        <v>0</v>
      </c>
      <c r="J218" s="553">
        <f>Table22[[#This Row],[Code no.]]</f>
        <v>400000</v>
      </c>
      <c r="K218" s="553" t="str">
        <f>Table22[[#This Row],[Commodity or group of commodities to which the MRLs apply]]</f>
        <v>OILSEEDS AND OILFRUITS</v>
      </c>
      <c r="L218" s="553">
        <f>Table22[[#This Row],[Source / type of MRL]]</f>
        <v>0</v>
      </c>
      <c r="M218" s="553">
        <f>Table22[[#This Row],[MRL/ proposed MRL /CXL
(mg/kg)]]</f>
        <v>0</v>
      </c>
      <c r="N218" s="553">
        <f>Table22[[#This Row],[LOQ]]</f>
        <v>0</v>
      </c>
      <c r="O218" s="553">
        <f>Table22[[#This Row],[CFrisk for residue definition]]</f>
        <v>0</v>
      </c>
      <c r="P218" s="553">
        <f>Table22[[#This Row],[PeF (peeling factor RD enforcemen)]]</f>
        <v>0</v>
      </c>
      <c r="Q218" s="553">
        <f>Table22[[#This Row],[STMR-RAC (median residue)]]</f>
        <v>0</v>
      </c>
      <c r="R218" s="553">
        <f>Table22[[#This Row],[HR-RAC (highest residue)]]</f>
        <v>0</v>
      </c>
      <c r="S218" s="553">
        <f>Table22[[#This Row],[VF (alternative variability factor)]]</f>
        <v>0</v>
      </c>
      <c r="T218" s="553">
        <f>Table22[[#This Row],[GAP under assessment]]</f>
        <v>0</v>
      </c>
      <c r="U218" s="553">
        <f>Table22[[#This Row],[Post-harvest treatment]]</f>
        <v>0</v>
      </c>
      <c r="V218" s="553"/>
      <c r="W218" s="553">
        <f>Table22[[#This Row],[Chronic RA input value]]</f>
        <v>0</v>
      </c>
      <c r="X218" s="1684"/>
      <c r="Y218" s="553">
        <f>Table22[[#This Row],[Acute RA input value]]</f>
        <v>0</v>
      </c>
      <c r="Z218" s="786">
        <f>SUM(Table1[[#This Row],[chronic value &lt;&gt;MRL/LOQ]:[acute vlue&lt;&gt;MRL/LOQ]])</f>
        <v>0</v>
      </c>
      <c r="AA218" s="786">
        <f>IF(AND($F$5="Refined calculation mode",Table1[[#This Row],[GAP under assessment]]="Y"),1,IF(OR(Table1[[#This Row],[Chronic RA label]]="LOQ",Table1[[#This Row],[Chronic RA label]]="",Table1[[#This Row],[Chronic RA label]]="MRL"),0,1))</f>
        <v>0</v>
      </c>
      <c r="AB218" s="787">
        <f>IF(OR(Table1[[#This Row],[Acute RA label]]="LOQ",Table1[[#This Row],[Acute RA label]]="",Table1[[#This Row],[Acute RA label]]="MRL"),0,1)</f>
        <v>0</v>
      </c>
    </row>
    <row r="219" spans="1:28" ht="13.5" hidden="1" thickTop="1" x14ac:dyDescent="0.2">
      <c r="A219" s="815">
        <f>Table1[[#This Row],[Code no.]]</f>
        <v>401000</v>
      </c>
      <c r="B219" s="793" t="str">
        <f>Table1[[#This Row],[Commodity or group of commodities to which the MRLs apply]]</f>
        <v>Oilseeds</v>
      </c>
      <c r="C219" s="794">
        <f>Table1[[#This Row],[MRL/ proposed MRL /CXL
(mg/kg)]]</f>
        <v>0</v>
      </c>
      <c r="D219" s="795">
        <f>Table1[[#This Row],[Source of MRL]]</f>
        <v>0</v>
      </c>
      <c r="E219" s="797">
        <f>Table1[[#This Row],[Chronic RA input value]]</f>
        <v>0</v>
      </c>
      <c r="F219" s="795">
        <f>Table1[[#This Row],[Chronic RA label]]</f>
        <v>0</v>
      </c>
      <c r="G219" s="797">
        <f>Table1[[#This Row],[Acute RA input value]]</f>
        <v>0</v>
      </c>
      <c r="H219" s="836">
        <f>Table1[[#This Row],[Acute RA label]]</f>
        <v>0</v>
      </c>
      <c r="J219" s="553">
        <f>Table22[[#This Row],[Code no.]]</f>
        <v>401000</v>
      </c>
      <c r="K219" s="553" t="str">
        <f>Table22[[#This Row],[Commodity or group of commodities to which the MRLs apply]]</f>
        <v>Oilseeds</v>
      </c>
      <c r="L219" s="553">
        <f>Table22[[#This Row],[Source / type of MRL]]</f>
        <v>0</v>
      </c>
      <c r="M219" s="553">
        <f>Table22[[#This Row],[MRL/ proposed MRL /CXL
(mg/kg)]]</f>
        <v>0</v>
      </c>
      <c r="N219" s="553">
        <f>Table22[[#This Row],[LOQ]]</f>
        <v>0</v>
      </c>
      <c r="O219" s="553">
        <f>Table22[[#This Row],[CFrisk for residue definition]]</f>
        <v>0</v>
      </c>
      <c r="P219" s="553">
        <f>Table22[[#This Row],[PeF (peeling factor RD enforcemen)]]</f>
        <v>0</v>
      </c>
      <c r="Q219" s="553">
        <f>Table22[[#This Row],[STMR-RAC (median residue)]]</f>
        <v>0</v>
      </c>
      <c r="R219" s="553">
        <f>Table22[[#This Row],[HR-RAC (highest residue)]]</f>
        <v>0</v>
      </c>
      <c r="S219" s="553">
        <f>Table22[[#This Row],[VF (alternative variability factor)]]</f>
        <v>0</v>
      </c>
      <c r="T219" s="553">
        <f>Table22[[#This Row],[GAP under assessment]]</f>
        <v>0</v>
      </c>
      <c r="U219" s="553">
        <f>Table22[[#This Row],[Post-harvest treatment]]</f>
        <v>0</v>
      </c>
      <c r="V219" s="553"/>
      <c r="W219" s="553">
        <f>Table22[[#This Row],[Chronic RA input value]]</f>
        <v>0</v>
      </c>
      <c r="X219" s="1684"/>
      <c r="Y219" s="553">
        <f>Table22[[#This Row],[Acute RA input value]]</f>
        <v>0</v>
      </c>
      <c r="Z219" s="786">
        <f>SUM(Table1[[#This Row],[chronic value &lt;&gt;MRL/LOQ]:[acute vlue&lt;&gt;MRL/LOQ]])</f>
        <v>0</v>
      </c>
      <c r="AA219" s="786">
        <f>IF(AND($F$5="Refined calculation mode",Table1[[#This Row],[GAP under assessment]]="Y"),1,IF(OR(Table1[[#This Row],[Chronic RA label]]="LOQ",Table1[[#This Row],[Chronic RA label]]="",Table1[[#This Row],[Chronic RA label]]="MRL"),0,1))</f>
        <v>0</v>
      </c>
      <c r="AB219" s="787">
        <f>IF(OR(Table1[[#This Row],[Acute RA label]]="LOQ",Table1[[#This Row],[Acute RA label]]="",Table1[[#This Row],[Acute RA label]]="MRL"),0,1)</f>
        <v>0</v>
      </c>
    </row>
    <row r="220" spans="1:28" ht="13.5" hidden="1" thickTop="1" x14ac:dyDescent="0.2">
      <c r="A220" s="815">
        <f>Table1[[#This Row],[Code no.]]</f>
        <v>401010</v>
      </c>
      <c r="B220" s="793" t="str">
        <f>Table1[[#This Row],[Commodity or group of commodities to which the MRLs apply]]</f>
        <v>Linseeds</v>
      </c>
      <c r="C220" s="794">
        <f>Table1[[#This Row],[MRL/ proposed MRL /CXL
(mg/kg)]]</f>
        <v>0</v>
      </c>
      <c r="D220" s="795">
        <f>Table1[[#This Row],[Source of MRL]]</f>
        <v>0</v>
      </c>
      <c r="E220" s="797">
        <f>Table1[[#This Row],[Chronic RA input value]]</f>
        <v>0</v>
      </c>
      <c r="F220" s="795" t="str">
        <f>Table1[[#This Row],[Chronic RA label]]</f>
        <v/>
      </c>
      <c r="G220" s="797">
        <f>Table1[[#This Row],[Acute RA input value]]</f>
        <v>0</v>
      </c>
      <c r="H220" s="836" t="str">
        <f>Table1[[#This Row],[Acute RA label]]</f>
        <v/>
      </c>
      <c r="J220" s="553">
        <f>Table22[[#This Row],[Code no.]]</f>
        <v>401010</v>
      </c>
      <c r="K220" s="553" t="str">
        <f>Table22[[#This Row],[Commodity or group of commodities to which the MRLs apply]]</f>
        <v>Linseeds</v>
      </c>
      <c r="L220" s="553">
        <f>Table22[[#This Row],[Source / type of MRL]]</f>
        <v>0</v>
      </c>
      <c r="M220" s="553">
        <f>Table22[[#This Row],[MRL/ proposed MRL /CXL
(mg/kg)]]</f>
        <v>0</v>
      </c>
      <c r="N220" s="553">
        <f>Table22[[#This Row],[LOQ]]</f>
        <v>0</v>
      </c>
      <c r="O220" s="553">
        <f>Table22[[#This Row],[CFrisk for residue definition]]</f>
        <v>0</v>
      </c>
      <c r="P220" s="553">
        <f>Table22[[#This Row],[PeF (peeling factor RD enforcemen)]]</f>
        <v>0</v>
      </c>
      <c r="Q220" s="553">
        <f>Table22[[#This Row],[STMR-RAC (median residue)]]</f>
        <v>0</v>
      </c>
      <c r="R220" s="553">
        <f>Table22[[#This Row],[HR-RAC (highest residue)]]</f>
        <v>0</v>
      </c>
      <c r="S220" s="553">
        <f>Table22[[#This Row],[VF (alternative variability factor)]]</f>
        <v>0</v>
      </c>
      <c r="T220" s="553">
        <f>Table22[[#This Row],[GAP under assessment]]</f>
        <v>0</v>
      </c>
      <c r="U220" s="553">
        <f>Table22[[#This Row],[Post-harvest treatment]]</f>
        <v>0</v>
      </c>
      <c r="V220" s="553" t="str">
        <f>Table22[[#This Row],[Chronic RA label]]</f>
        <v/>
      </c>
      <c r="W220" s="553">
        <f>Table22[[#This Row],[Chronic RA input value]]</f>
        <v>0</v>
      </c>
      <c r="X220" s="1684" t="str">
        <f>Table22[[#This Row],[Acute RA label]]</f>
        <v/>
      </c>
      <c r="Y220" s="553">
        <f>Table22[[#This Row],[Acute RA input value]]</f>
        <v>0</v>
      </c>
      <c r="Z220" s="786">
        <f>SUM(Table1[[#This Row],[chronic value &lt;&gt;MRL/LOQ]:[acute vlue&lt;&gt;MRL/LOQ]])</f>
        <v>0</v>
      </c>
      <c r="AA220" s="786">
        <f>IF(AND($F$5="Refined calculation mode",Table1[[#This Row],[GAP under assessment]]="Y"),1,IF(OR(Table1[[#This Row],[Chronic RA label]]="LOQ",Table1[[#This Row],[Chronic RA label]]="",Table1[[#This Row],[Chronic RA label]]="MRL"),0,1))</f>
        <v>0</v>
      </c>
      <c r="AB220" s="787">
        <f>IF(OR(Table1[[#This Row],[Acute RA label]]="LOQ",Table1[[#This Row],[Acute RA label]]="",Table1[[#This Row],[Acute RA label]]="MRL"),0,1)</f>
        <v>0</v>
      </c>
    </row>
    <row r="221" spans="1:28" ht="13.5" hidden="1" thickTop="1" x14ac:dyDescent="0.2">
      <c r="A221" s="815">
        <f>Table1[[#This Row],[Code no.]]</f>
        <v>401020</v>
      </c>
      <c r="B221" s="793" t="str">
        <f>Table1[[#This Row],[Commodity or group of commodities to which the MRLs apply]]</f>
        <v>Peanuts/groundnuts</v>
      </c>
      <c r="C221" s="794">
        <f>Table1[[#This Row],[MRL/ proposed MRL /CXL
(mg/kg)]]</f>
        <v>0</v>
      </c>
      <c r="D221" s="795">
        <f>Table1[[#This Row],[Source of MRL]]</f>
        <v>0</v>
      </c>
      <c r="E221" s="797">
        <f>Table1[[#This Row],[Chronic RA input value]]</f>
        <v>0</v>
      </c>
      <c r="F221" s="795" t="str">
        <f>Table1[[#This Row],[Chronic RA label]]</f>
        <v/>
      </c>
      <c r="G221" s="797">
        <f>Table1[[#This Row],[Acute RA input value]]</f>
        <v>0</v>
      </c>
      <c r="H221" s="836" t="str">
        <f>Table1[[#This Row],[Acute RA label]]</f>
        <v/>
      </c>
      <c r="J221" s="553">
        <f>Table22[[#This Row],[Code no.]]</f>
        <v>401020</v>
      </c>
      <c r="K221" s="553" t="str">
        <f>Table22[[#This Row],[Commodity or group of commodities to which the MRLs apply]]</f>
        <v>Peanuts/groundnuts</v>
      </c>
      <c r="L221" s="553">
        <f>Table22[[#This Row],[Source / type of MRL]]</f>
        <v>0</v>
      </c>
      <c r="M221" s="553">
        <f>Table22[[#This Row],[MRL/ proposed MRL /CXL
(mg/kg)]]</f>
        <v>0</v>
      </c>
      <c r="N221" s="553">
        <f>Table22[[#This Row],[LOQ]]</f>
        <v>0</v>
      </c>
      <c r="O221" s="553">
        <f>Table22[[#This Row],[CFrisk for residue definition]]</f>
        <v>0</v>
      </c>
      <c r="P221" s="553">
        <f>Table22[[#This Row],[PeF (peeling factor RD enforcemen)]]</f>
        <v>0</v>
      </c>
      <c r="Q221" s="553">
        <f>Table22[[#This Row],[STMR-RAC (median residue)]]</f>
        <v>0</v>
      </c>
      <c r="R221" s="553">
        <f>Table22[[#This Row],[HR-RAC (highest residue)]]</f>
        <v>0</v>
      </c>
      <c r="S221" s="553">
        <f>Table22[[#This Row],[VF (alternative variability factor)]]</f>
        <v>0</v>
      </c>
      <c r="T221" s="553">
        <f>Table22[[#This Row],[GAP under assessment]]</f>
        <v>0</v>
      </c>
      <c r="U221" s="553">
        <f>Table22[[#This Row],[Post-harvest treatment]]</f>
        <v>0</v>
      </c>
      <c r="V221" s="553" t="str">
        <f>Table22[[#This Row],[Chronic RA label]]</f>
        <v/>
      </c>
      <c r="W221" s="553">
        <f>Table22[[#This Row],[Chronic RA input value]]</f>
        <v>0</v>
      </c>
      <c r="X221" s="1684" t="str">
        <f>Table22[[#This Row],[Acute RA label]]</f>
        <v/>
      </c>
      <c r="Y221" s="553">
        <f>Table22[[#This Row],[Acute RA input value]]</f>
        <v>0</v>
      </c>
      <c r="Z221" s="786">
        <f>SUM(Table1[[#This Row],[chronic value &lt;&gt;MRL/LOQ]:[acute vlue&lt;&gt;MRL/LOQ]])</f>
        <v>0</v>
      </c>
      <c r="AA221" s="786">
        <f>IF(AND($F$5="Refined calculation mode",Table1[[#This Row],[GAP under assessment]]="Y"),1,IF(OR(Table1[[#This Row],[Chronic RA label]]="LOQ",Table1[[#This Row],[Chronic RA label]]="",Table1[[#This Row],[Chronic RA label]]="MRL"),0,1))</f>
        <v>0</v>
      </c>
      <c r="AB221" s="787">
        <f>IF(OR(Table1[[#This Row],[Acute RA label]]="LOQ",Table1[[#This Row],[Acute RA label]]="",Table1[[#This Row],[Acute RA label]]="MRL"),0,1)</f>
        <v>0</v>
      </c>
    </row>
    <row r="222" spans="1:28" ht="13.5" hidden="1" thickTop="1" x14ac:dyDescent="0.2">
      <c r="A222" s="815">
        <f>Table1[[#This Row],[Code no.]]</f>
        <v>401030</v>
      </c>
      <c r="B222" s="793" t="str">
        <f>Table1[[#This Row],[Commodity or group of commodities to which the MRLs apply]]</f>
        <v>Poppy seeds</v>
      </c>
      <c r="C222" s="794">
        <f>Table1[[#This Row],[MRL/ proposed MRL /CXL
(mg/kg)]]</f>
        <v>0</v>
      </c>
      <c r="D222" s="795">
        <f>Table1[[#This Row],[Source of MRL]]</f>
        <v>0</v>
      </c>
      <c r="E222" s="797">
        <f>Table1[[#This Row],[Chronic RA input value]]</f>
        <v>0</v>
      </c>
      <c r="F222" s="795" t="str">
        <f>Table1[[#This Row],[Chronic RA label]]</f>
        <v/>
      </c>
      <c r="G222" s="797">
        <f>Table1[[#This Row],[Acute RA input value]]</f>
        <v>0</v>
      </c>
      <c r="H222" s="836" t="str">
        <f>Table1[[#This Row],[Acute RA label]]</f>
        <v/>
      </c>
      <c r="J222" s="553">
        <f>Table22[[#This Row],[Code no.]]</f>
        <v>401030</v>
      </c>
      <c r="K222" s="553" t="str">
        <f>Table22[[#This Row],[Commodity or group of commodities to which the MRLs apply]]</f>
        <v>Poppy seeds</v>
      </c>
      <c r="L222" s="553">
        <f>Table22[[#This Row],[Source / type of MRL]]</f>
        <v>0</v>
      </c>
      <c r="M222" s="553">
        <f>Table22[[#This Row],[MRL/ proposed MRL /CXL
(mg/kg)]]</f>
        <v>0</v>
      </c>
      <c r="N222" s="553">
        <f>Table22[[#This Row],[LOQ]]</f>
        <v>0</v>
      </c>
      <c r="O222" s="553">
        <f>Table22[[#This Row],[CFrisk for residue definition]]</f>
        <v>0</v>
      </c>
      <c r="P222" s="553">
        <f>Table22[[#This Row],[PeF (peeling factor RD enforcemen)]]</f>
        <v>0</v>
      </c>
      <c r="Q222" s="553">
        <f>Table22[[#This Row],[STMR-RAC (median residue)]]</f>
        <v>0</v>
      </c>
      <c r="R222" s="553">
        <f>Table22[[#This Row],[HR-RAC (highest residue)]]</f>
        <v>0</v>
      </c>
      <c r="S222" s="553">
        <f>Table22[[#This Row],[VF (alternative variability factor)]]</f>
        <v>0</v>
      </c>
      <c r="T222" s="553">
        <f>Table22[[#This Row],[GAP under assessment]]</f>
        <v>0</v>
      </c>
      <c r="U222" s="553">
        <f>Table22[[#This Row],[Post-harvest treatment]]</f>
        <v>0</v>
      </c>
      <c r="V222" s="553" t="str">
        <f>Table22[[#This Row],[Chronic RA label]]</f>
        <v/>
      </c>
      <c r="W222" s="553">
        <f>Table22[[#This Row],[Chronic RA input value]]</f>
        <v>0</v>
      </c>
      <c r="X222" s="1684" t="str">
        <f>Table22[[#This Row],[Acute RA label]]</f>
        <v/>
      </c>
      <c r="Y222" s="553">
        <f>Table22[[#This Row],[Acute RA input value]]</f>
        <v>0</v>
      </c>
      <c r="Z222" s="786">
        <f>SUM(Table1[[#This Row],[chronic value &lt;&gt;MRL/LOQ]:[acute vlue&lt;&gt;MRL/LOQ]])</f>
        <v>0</v>
      </c>
      <c r="AA222" s="786">
        <f>IF(AND($F$5="Refined calculation mode",Table1[[#This Row],[GAP under assessment]]="Y"),1,IF(OR(Table1[[#This Row],[Chronic RA label]]="LOQ",Table1[[#This Row],[Chronic RA label]]="",Table1[[#This Row],[Chronic RA label]]="MRL"),0,1))</f>
        <v>0</v>
      </c>
      <c r="AB222" s="787">
        <f>IF(OR(Table1[[#This Row],[Acute RA label]]="LOQ",Table1[[#This Row],[Acute RA label]]="",Table1[[#This Row],[Acute RA label]]="MRL"),0,1)</f>
        <v>0</v>
      </c>
    </row>
    <row r="223" spans="1:28" ht="13.5" hidden="1" thickTop="1" x14ac:dyDescent="0.2">
      <c r="A223" s="815">
        <f>Table1[[#This Row],[Code no.]]</f>
        <v>401040</v>
      </c>
      <c r="B223" s="793" t="str">
        <f>Table1[[#This Row],[Commodity or group of commodities to which the MRLs apply]]</f>
        <v>Sesame seeds</v>
      </c>
      <c r="C223" s="794">
        <f>Table1[[#This Row],[MRL/ proposed MRL /CXL
(mg/kg)]]</f>
        <v>0</v>
      </c>
      <c r="D223" s="795">
        <f>Table1[[#This Row],[Source of MRL]]</f>
        <v>0</v>
      </c>
      <c r="E223" s="797">
        <f>Table1[[#This Row],[Chronic RA input value]]</f>
        <v>0</v>
      </c>
      <c r="F223" s="795" t="str">
        <f>Table1[[#This Row],[Chronic RA label]]</f>
        <v/>
      </c>
      <c r="G223" s="797">
        <f>Table1[[#This Row],[Acute RA input value]]</f>
        <v>0</v>
      </c>
      <c r="H223" s="836" t="str">
        <f>Table1[[#This Row],[Acute RA label]]</f>
        <v/>
      </c>
      <c r="J223" s="553">
        <f>Table22[[#This Row],[Code no.]]</f>
        <v>401040</v>
      </c>
      <c r="K223" s="553" t="str">
        <f>Table22[[#This Row],[Commodity or group of commodities to which the MRLs apply]]</f>
        <v>Sesame seeds</v>
      </c>
      <c r="L223" s="553">
        <f>Table22[[#This Row],[Source / type of MRL]]</f>
        <v>0</v>
      </c>
      <c r="M223" s="553">
        <f>Table22[[#This Row],[MRL/ proposed MRL /CXL
(mg/kg)]]</f>
        <v>0</v>
      </c>
      <c r="N223" s="553">
        <f>Table22[[#This Row],[LOQ]]</f>
        <v>0</v>
      </c>
      <c r="O223" s="553">
        <f>Table22[[#This Row],[CFrisk for residue definition]]</f>
        <v>0</v>
      </c>
      <c r="P223" s="553">
        <f>Table22[[#This Row],[PeF (peeling factor RD enforcemen)]]</f>
        <v>0</v>
      </c>
      <c r="Q223" s="553">
        <f>Table22[[#This Row],[STMR-RAC (median residue)]]</f>
        <v>0</v>
      </c>
      <c r="R223" s="553">
        <f>Table22[[#This Row],[HR-RAC (highest residue)]]</f>
        <v>0</v>
      </c>
      <c r="S223" s="553">
        <f>Table22[[#This Row],[VF (alternative variability factor)]]</f>
        <v>0</v>
      </c>
      <c r="T223" s="553">
        <f>Table22[[#This Row],[GAP under assessment]]</f>
        <v>0</v>
      </c>
      <c r="U223" s="553">
        <f>Table22[[#This Row],[Post-harvest treatment]]</f>
        <v>0</v>
      </c>
      <c r="V223" s="553" t="str">
        <f>Table22[[#This Row],[Chronic RA label]]</f>
        <v/>
      </c>
      <c r="W223" s="553">
        <f>Table22[[#This Row],[Chronic RA input value]]</f>
        <v>0</v>
      </c>
      <c r="X223" s="1684" t="str">
        <f>Table22[[#This Row],[Acute RA label]]</f>
        <v/>
      </c>
      <c r="Y223" s="553">
        <f>Table22[[#This Row],[Acute RA input value]]</f>
        <v>0</v>
      </c>
      <c r="Z223" s="786">
        <f>SUM(Table1[[#This Row],[chronic value &lt;&gt;MRL/LOQ]:[acute vlue&lt;&gt;MRL/LOQ]])</f>
        <v>0</v>
      </c>
      <c r="AA223" s="786">
        <f>IF(AND($F$5="Refined calculation mode",Table1[[#This Row],[GAP under assessment]]="Y"),1,IF(OR(Table1[[#This Row],[Chronic RA label]]="LOQ",Table1[[#This Row],[Chronic RA label]]="",Table1[[#This Row],[Chronic RA label]]="MRL"),0,1))</f>
        <v>0</v>
      </c>
      <c r="AB223" s="787">
        <f>IF(OR(Table1[[#This Row],[Acute RA label]]="LOQ",Table1[[#This Row],[Acute RA label]]="",Table1[[#This Row],[Acute RA label]]="MRL"),0,1)</f>
        <v>0</v>
      </c>
    </row>
    <row r="224" spans="1:28" ht="13.5" hidden="1" thickTop="1" x14ac:dyDescent="0.2">
      <c r="A224" s="815">
        <f>Table1[[#This Row],[Code no.]]</f>
        <v>401050</v>
      </c>
      <c r="B224" s="793" t="str">
        <f>Table1[[#This Row],[Commodity or group of commodities to which the MRLs apply]]</f>
        <v>Sunflower seeds</v>
      </c>
      <c r="C224" s="794">
        <f>Table1[[#This Row],[MRL/ proposed MRL /CXL
(mg/kg)]]</f>
        <v>0</v>
      </c>
      <c r="D224" s="795">
        <f>Table1[[#This Row],[Source of MRL]]</f>
        <v>0</v>
      </c>
      <c r="E224" s="797">
        <f>Table1[[#This Row],[Chronic RA input value]]</f>
        <v>0</v>
      </c>
      <c r="F224" s="795" t="str">
        <f>Table1[[#This Row],[Chronic RA label]]</f>
        <v/>
      </c>
      <c r="G224" s="797">
        <f>Table1[[#This Row],[Acute RA input value]]</f>
        <v>0</v>
      </c>
      <c r="H224" s="836" t="str">
        <f>Table1[[#This Row],[Acute RA label]]</f>
        <v/>
      </c>
      <c r="J224" s="553">
        <f>Table22[[#This Row],[Code no.]]</f>
        <v>401050</v>
      </c>
      <c r="K224" s="553" t="str">
        <f>Table22[[#This Row],[Commodity or group of commodities to which the MRLs apply]]</f>
        <v>Sunflower seeds</v>
      </c>
      <c r="L224" s="553">
        <f>Table22[[#This Row],[Source / type of MRL]]</f>
        <v>0</v>
      </c>
      <c r="M224" s="553">
        <f>Table22[[#This Row],[MRL/ proposed MRL /CXL
(mg/kg)]]</f>
        <v>0</v>
      </c>
      <c r="N224" s="553">
        <f>Table22[[#This Row],[LOQ]]</f>
        <v>0</v>
      </c>
      <c r="O224" s="553">
        <f>Table22[[#This Row],[CFrisk for residue definition]]</f>
        <v>0</v>
      </c>
      <c r="P224" s="553">
        <f>Table22[[#This Row],[PeF (peeling factor RD enforcemen)]]</f>
        <v>0</v>
      </c>
      <c r="Q224" s="553">
        <f>Table22[[#This Row],[STMR-RAC (median residue)]]</f>
        <v>0</v>
      </c>
      <c r="R224" s="553">
        <f>Table22[[#This Row],[HR-RAC (highest residue)]]</f>
        <v>0</v>
      </c>
      <c r="S224" s="553">
        <f>Table22[[#This Row],[VF (alternative variability factor)]]</f>
        <v>0</v>
      </c>
      <c r="T224" s="553">
        <f>Table22[[#This Row],[GAP under assessment]]</f>
        <v>0</v>
      </c>
      <c r="U224" s="553">
        <f>Table22[[#This Row],[Post-harvest treatment]]</f>
        <v>0</v>
      </c>
      <c r="V224" s="553" t="str">
        <f>Table22[[#This Row],[Chronic RA label]]</f>
        <v/>
      </c>
      <c r="W224" s="553">
        <f>Table22[[#This Row],[Chronic RA input value]]</f>
        <v>0</v>
      </c>
      <c r="X224" s="1684" t="str">
        <f>Table22[[#This Row],[Acute RA label]]</f>
        <v/>
      </c>
      <c r="Y224" s="553">
        <f>Table22[[#This Row],[Acute RA input value]]</f>
        <v>0</v>
      </c>
      <c r="Z224" s="786">
        <f>SUM(Table1[[#This Row],[chronic value &lt;&gt;MRL/LOQ]:[acute vlue&lt;&gt;MRL/LOQ]])</f>
        <v>0</v>
      </c>
      <c r="AA224" s="786">
        <f>IF(AND($F$5="Refined calculation mode",Table1[[#This Row],[GAP under assessment]]="Y"),1,IF(OR(Table1[[#This Row],[Chronic RA label]]="LOQ",Table1[[#This Row],[Chronic RA label]]="",Table1[[#This Row],[Chronic RA label]]="MRL"),0,1))</f>
        <v>0</v>
      </c>
      <c r="AB224" s="787">
        <f>IF(OR(Table1[[#This Row],[Acute RA label]]="LOQ",Table1[[#This Row],[Acute RA label]]="",Table1[[#This Row],[Acute RA label]]="MRL"),0,1)</f>
        <v>0</v>
      </c>
    </row>
    <row r="225" spans="1:28" ht="21.75" hidden="1" thickTop="1" x14ac:dyDescent="0.2">
      <c r="A225" s="815">
        <f>Table1[[#This Row],[Code no.]]</f>
        <v>401060</v>
      </c>
      <c r="B225" s="793" t="str">
        <f>Table1[[#This Row],[Commodity or group of commodities to which the MRLs apply]]</f>
        <v>Rapeseeds/canola seeds</v>
      </c>
      <c r="C225" s="794">
        <f>Table1[[#This Row],[MRL/ proposed MRL /CXL
(mg/kg)]]</f>
        <v>0</v>
      </c>
      <c r="D225" s="795">
        <f>Table1[[#This Row],[Source of MRL]]</f>
        <v>0</v>
      </c>
      <c r="E225" s="797">
        <f>Table1[[#This Row],[Chronic RA input value]]</f>
        <v>0</v>
      </c>
      <c r="F225" s="795" t="str">
        <f>Table1[[#This Row],[Chronic RA label]]</f>
        <v/>
      </c>
      <c r="G225" s="797">
        <f>Table1[[#This Row],[Acute RA input value]]</f>
        <v>0</v>
      </c>
      <c r="H225" s="836" t="str">
        <f>Table1[[#This Row],[Acute RA label]]</f>
        <v/>
      </c>
      <c r="J225" s="553">
        <f>Table22[[#This Row],[Code no.]]</f>
        <v>401060</v>
      </c>
      <c r="K225" s="553" t="str">
        <f>Table22[[#This Row],[Commodity or group of commodities to which the MRLs apply]]</f>
        <v>Rapeseeds/canola seeds</v>
      </c>
      <c r="L225" s="553">
        <f>Table22[[#This Row],[Source / type of MRL]]</f>
        <v>0</v>
      </c>
      <c r="M225" s="553">
        <f>Table22[[#This Row],[MRL/ proposed MRL /CXL
(mg/kg)]]</f>
        <v>0</v>
      </c>
      <c r="N225" s="553">
        <f>Table22[[#This Row],[LOQ]]</f>
        <v>0</v>
      </c>
      <c r="O225" s="553">
        <f>Table22[[#This Row],[CFrisk for residue definition]]</f>
        <v>0</v>
      </c>
      <c r="P225" s="553">
        <f>Table22[[#This Row],[PeF (peeling factor RD enforcemen)]]</f>
        <v>0</v>
      </c>
      <c r="Q225" s="553">
        <f>Table22[[#This Row],[STMR-RAC (median residue)]]</f>
        <v>0</v>
      </c>
      <c r="R225" s="553">
        <f>Table22[[#This Row],[HR-RAC (highest residue)]]</f>
        <v>0</v>
      </c>
      <c r="S225" s="553">
        <f>Table22[[#This Row],[VF (alternative variability factor)]]</f>
        <v>0</v>
      </c>
      <c r="T225" s="553">
        <f>Table22[[#This Row],[GAP under assessment]]</f>
        <v>0</v>
      </c>
      <c r="U225" s="553">
        <f>Table22[[#This Row],[Post-harvest treatment]]</f>
        <v>0</v>
      </c>
      <c r="V225" s="553" t="str">
        <f>Table22[[#This Row],[Chronic RA label]]</f>
        <v/>
      </c>
      <c r="W225" s="553">
        <f>Table22[[#This Row],[Chronic RA input value]]</f>
        <v>0</v>
      </c>
      <c r="X225" s="1684" t="str">
        <f>Table22[[#This Row],[Acute RA label]]</f>
        <v/>
      </c>
      <c r="Y225" s="553">
        <f>Table22[[#This Row],[Acute RA input value]]</f>
        <v>0</v>
      </c>
      <c r="Z225" s="786">
        <f>SUM(Table1[[#This Row],[chronic value &lt;&gt;MRL/LOQ]:[acute vlue&lt;&gt;MRL/LOQ]])</f>
        <v>0</v>
      </c>
      <c r="AA225" s="786">
        <f>IF(AND($F$5="Refined calculation mode",Table1[[#This Row],[GAP under assessment]]="Y"),1,IF(OR(Table1[[#This Row],[Chronic RA label]]="LOQ",Table1[[#This Row],[Chronic RA label]]="",Table1[[#This Row],[Chronic RA label]]="MRL"),0,1))</f>
        <v>0</v>
      </c>
      <c r="AB225" s="787">
        <f>IF(OR(Table1[[#This Row],[Acute RA label]]="LOQ",Table1[[#This Row],[Acute RA label]]="",Table1[[#This Row],[Acute RA label]]="MRL"),0,1)</f>
        <v>0</v>
      </c>
    </row>
    <row r="226" spans="1:28" ht="13.5" hidden="1" thickTop="1" x14ac:dyDescent="0.2">
      <c r="A226" s="815">
        <f>Table1[[#This Row],[Code no.]]</f>
        <v>401070</v>
      </c>
      <c r="B226" s="793" t="str">
        <f>Table1[[#This Row],[Commodity or group of commodities to which the MRLs apply]]</f>
        <v>Soyabeans</v>
      </c>
      <c r="C226" s="794">
        <f>Table1[[#This Row],[MRL/ proposed MRL /CXL
(mg/kg)]]</f>
        <v>0</v>
      </c>
      <c r="D226" s="795">
        <f>Table1[[#This Row],[Source of MRL]]</f>
        <v>0</v>
      </c>
      <c r="E226" s="797">
        <f>Table1[[#This Row],[Chronic RA input value]]</f>
        <v>0</v>
      </c>
      <c r="F226" s="795" t="str">
        <f>Table1[[#This Row],[Chronic RA label]]</f>
        <v/>
      </c>
      <c r="G226" s="797">
        <f>Table1[[#This Row],[Acute RA input value]]</f>
        <v>0</v>
      </c>
      <c r="H226" s="836" t="str">
        <f>Table1[[#This Row],[Acute RA label]]</f>
        <v/>
      </c>
      <c r="J226" s="553">
        <f>Table22[[#This Row],[Code no.]]</f>
        <v>401070</v>
      </c>
      <c r="K226" s="553" t="str">
        <f>Table22[[#This Row],[Commodity or group of commodities to which the MRLs apply]]</f>
        <v>Soyabeans</v>
      </c>
      <c r="L226" s="553">
        <f>Table22[[#This Row],[Source / type of MRL]]</f>
        <v>0</v>
      </c>
      <c r="M226" s="553">
        <f>Table22[[#This Row],[MRL/ proposed MRL /CXL
(mg/kg)]]</f>
        <v>0</v>
      </c>
      <c r="N226" s="553">
        <f>Table22[[#This Row],[LOQ]]</f>
        <v>0</v>
      </c>
      <c r="O226" s="553">
        <f>Table22[[#This Row],[CFrisk for residue definition]]</f>
        <v>0</v>
      </c>
      <c r="P226" s="553">
        <f>Table22[[#This Row],[PeF (peeling factor RD enforcemen)]]</f>
        <v>0</v>
      </c>
      <c r="Q226" s="553">
        <f>Table22[[#This Row],[STMR-RAC (median residue)]]</f>
        <v>0</v>
      </c>
      <c r="R226" s="553">
        <f>Table22[[#This Row],[HR-RAC (highest residue)]]</f>
        <v>0</v>
      </c>
      <c r="S226" s="553">
        <f>Table22[[#This Row],[VF (alternative variability factor)]]</f>
        <v>0</v>
      </c>
      <c r="T226" s="553">
        <f>Table22[[#This Row],[GAP under assessment]]</f>
        <v>0</v>
      </c>
      <c r="U226" s="553">
        <f>Table22[[#This Row],[Post-harvest treatment]]</f>
        <v>0</v>
      </c>
      <c r="V226" s="553" t="str">
        <f>Table22[[#This Row],[Chronic RA label]]</f>
        <v/>
      </c>
      <c r="W226" s="553">
        <f>Table22[[#This Row],[Chronic RA input value]]</f>
        <v>0</v>
      </c>
      <c r="X226" s="1684" t="str">
        <f>Table22[[#This Row],[Acute RA label]]</f>
        <v/>
      </c>
      <c r="Y226" s="553">
        <f>Table22[[#This Row],[Acute RA input value]]</f>
        <v>0</v>
      </c>
      <c r="Z226" s="786">
        <f>SUM(Table1[[#This Row],[chronic value &lt;&gt;MRL/LOQ]:[acute vlue&lt;&gt;MRL/LOQ]])</f>
        <v>0</v>
      </c>
      <c r="AA226" s="786">
        <f>IF(AND($F$5="Refined calculation mode",Table1[[#This Row],[GAP under assessment]]="Y"),1,IF(OR(Table1[[#This Row],[Chronic RA label]]="LOQ",Table1[[#This Row],[Chronic RA label]]="",Table1[[#This Row],[Chronic RA label]]="MRL"),0,1))</f>
        <v>0</v>
      </c>
      <c r="AB226" s="787">
        <f>IF(OR(Table1[[#This Row],[Acute RA label]]="LOQ",Table1[[#This Row],[Acute RA label]]="",Table1[[#This Row],[Acute RA label]]="MRL"),0,1)</f>
        <v>0</v>
      </c>
    </row>
    <row r="227" spans="1:28" ht="13.5" hidden="1" thickTop="1" x14ac:dyDescent="0.2">
      <c r="A227" s="815">
        <f>Table1[[#This Row],[Code no.]]</f>
        <v>401080</v>
      </c>
      <c r="B227" s="793" t="str">
        <f>Table1[[#This Row],[Commodity or group of commodities to which the MRLs apply]]</f>
        <v>Mustard seeds</v>
      </c>
      <c r="C227" s="794">
        <f>Table1[[#This Row],[MRL/ proposed MRL /CXL
(mg/kg)]]</f>
        <v>0</v>
      </c>
      <c r="D227" s="795">
        <f>Table1[[#This Row],[Source of MRL]]</f>
        <v>0</v>
      </c>
      <c r="E227" s="797">
        <f>Table1[[#This Row],[Chronic RA input value]]</f>
        <v>0</v>
      </c>
      <c r="F227" s="795" t="str">
        <f>Table1[[#This Row],[Chronic RA label]]</f>
        <v/>
      </c>
      <c r="G227" s="797">
        <f>Table1[[#This Row],[Acute RA input value]]</f>
        <v>0</v>
      </c>
      <c r="H227" s="836" t="str">
        <f>Table1[[#This Row],[Acute RA label]]</f>
        <v/>
      </c>
      <c r="J227" s="553">
        <f>Table22[[#This Row],[Code no.]]</f>
        <v>401080</v>
      </c>
      <c r="K227" s="553" t="str">
        <f>Table22[[#This Row],[Commodity or group of commodities to which the MRLs apply]]</f>
        <v>Mustard seeds</v>
      </c>
      <c r="L227" s="553">
        <f>Table22[[#This Row],[Source / type of MRL]]</f>
        <v>0</v>
      </c>
      <c r="M227" s="553">
        <f>Table22[[#This Row],[MRL/ proposed MRL /CXL
(mg/kg)]]</f>
        <v>0</v>
      </c>
      <c r="N227" s="553">
        <f>Table22[[#This Row],[LOQ]]</f>
        <v>0</v>
      </c>
      <c r="O227" s="553">
        <f>Table22[[#This Row],[CFrisk for residue definition]]</f>
        <v>0</v>
      </c>
      <c r="P227" s="553">
        <f>Table22[[#This Row],[PeF (peeling factor RD enforcemen)]]</f>
        <v>0</v>
      </c>
      <c r="Q227" s="553">
        <f>Table22[[#This Row],[STMR-RAC (median residue)]]</f>
        <v>0</v>
      </c>
      <c r="R227" s="553">
        <f>Table22[[#This Row],[HR-RAC (highest residue)]]</f>
        <v>0</v>
      </c>
      <c r="S227" s="553">
        <f>Table22[[#This Row],[VF (alternative variability factor)]]</f>
        <v>0</v>
      </c>
      <c r="T227" s="553">
        <f>Table22[[#This Row],[GAP under assessment]]</f>
        <v>0</v>
      </c>
      <c r="U227" s="553">
        <f>Table22[[#This Row],[Post-harvest treatment]]</f>
        <v>0</v>
      </c>
      <c r="V227" s="553" t="str">
        <f>Table22[[#This Row],[Chronic RA label]]</f>
        <v/>
      </c>
      <c r="W227" s="553">
        <f>Table22[[#This Row],[Chronic RA input value]]</f>
        <v>0</v>
      </c>
      <c r="X227" s="1684" t="str">
        <f>Table22[[#This Row],[Acute RA label]]</f>
        <v/>
      </c>
      <c r="Y227" s="553">
        <f>Table22[[#This Row],[Acute RA input value]]</f>
        <v>0</v>
      </c>
      <c r="Z227" s="786">
        <f>SUM(Table1[[#This Row],[chronic value &lt;&gt;MRL/LOQ]:[acute vlue&lt;&gt;MRL/LOQ]])</f>
        <v>0</v>
      </c>
      <c r="AA227" s="786">
        <f>IF(AND($F$5="Refined calculation mode",Table1[[#This Row],[GAP under assessment]]="Y"),1,IF(OR(Table1[[#This Row],[Chronic RA label]]="LOQ",Table1[[#This Row],[Chronic RA label]]="",Table1[[#This Row],[Chronic RA label]]="MRL"),0,1))</f>
        <v>0</v>
      </c>
      <c r="AB227" s="787">
        <f>IF(OR(Table1[[#This Row],[Acute RA label]]="LOQ",Table1[[#This Row],[Acute RA label]]="",Table1[[#This Row],[Acute RA label]]="MRL"),0,1)</f>
        <v>0</v>
      </c>
    </row>
    <row r="228" spans="1:28" ht="13.5" hidden="1" thickTop="1" x14ac:dyDescent="0.2">
      <c r="A228" s="815">
        <f>Table1[[#This Row],[Code no.]]</f>
        <v>401090</v>
      </c>
      <c r="B228" s="793" t="str">
        <f>Table1[[#This Row],[Commodity or group of commodities to which the MRLs apply]]</f>
        <v>Cotton seeds</v>
      </c>
      <c r="C228" s="794">
        <f>Table1[[#This Row],[MRL/ proposed MRL /CXL
(mg/kg)]]</f>
        <v>0</v>
      </c>
      <c r="D228" s="795">
        <f>Table1[[#This Row],[Source of MRL]]</f>
        <v>0</v>
      </c>
      <c r="E228" s="797">
        <f>Table1[[#This Row],[Chronic RA input value]]</f>
        <v>0</v>
      </c>
      <c r="F228" s="795" t="str">
        <f>Table1[[#This Row],[Chronic RA label]]</f>
        <v/>
      </c>
      <c r="G228" s="797">
        <f>Table1[[#This Row],[Acute RA input value]]</f>
        <v>0</v>
      </c>
      <c r="H228" s="836" t="str">
        <f>Table1[[#This Row],[Acute RA label]]</f>
        <v/>
      </c>
      <c r="J228" s="553">
        <f>Table22[[#This Row],[Code no.]]</f>
        <v>401090</v>
      </c>
      <c r="K228" s="553" t="str">
        <f>Table22[[#This Row],[Commodity or group of commodities to which the MRLs apply]]</f>
        <v>Cotton seeds</v>
      </c>
      <c r="L228" s="553">
        <f>Table22[[#This Row],[Source / type of MRL]]</f>
        <v>0</v>
      </c>
      <c r="M228" s="553">
        <f>Table22[[#This Row],[MRL/ proposed MRL /CXL
(mg/kg)]]</f>
        <v>0</v>
      </c>
      <c r="N228" s="553">
        <f>Table22[[#This Row],[LOQ]]</f>
        <v>0</v>
      </c>
      <c r="O228" s="553">
        <f>Table22[[#This Row],[CFrisk for residue definition]]</f>
        <v>0</v>
      </c>
      <c r="P228" s="553">
        <f>Table22[[#This Row],[PeF (peeling factor RD enforcemen)]]</f>
        <v>0</v>
      </c>
      <c r="Q228" s="553">
        <f>Table22[[#This Row],[STMR-RAC (median residue)]]</f>
        <v>0</v>
      </c>
      <c r="R228" s="553">
        <f>Table22[[#This Row],[HR-RAC (highest residue)]]</f>
        <v>0</v>
      </c>
      <c r="S228" s="553">
        <f>Table22[[#This Row],[VF (alternative variability factor)]]</f>
        <v>0</v>
      </c>
      <c r="T228" s="553">
        <f>Table22[[#This Row],[GAP under assessment]]</f>
        <v>0</v>
      </c>
      <c r="U228" s="553">
        <f>Table22[[#This Row],[Post-harvest treatment]]</f>
        <v>0</v>
      </c>
      <c r="V228" s="553" t="str">
        <f>Table22[[#This Row],[Chronic RA label]]</f>
        <v/>
      </c>
      <c r="W228" s="553">
        <f>Table22[[#This Row],[Chronic RA input value]]</f>
        <v>0</v>
      </c>
      <c r="X228" s="1684" t="str">
        <f>Table22[[#This Row],[Acute RA label]]</f>
        <v/>
      </c>
      <c r="Y228" s="553">
        <f>Table22[[#This Row],[Acute RA input value]]</f>
        <v>0</v>
      </c>
      <c r="Z228" s="786">
        <f>SUM(Table1[[#This Row],[chronic value &lt;&gt;MRL/LOQ]:[acute vlue&lt;&gt;MRL/LOQ]])</f>
        <v>0</v>
      </c>
      <c r="AA228" s="786">
        <f>IF(AND($F$5="Refined calculation mode",Table1[[#This Row],[GAP under assessment]]="Y"),1,IF(OR(Table1[[#This Row],[Chronic RA label]]="LOQ",Table1[[#This Row],[Chronic RA label]]="",Table1[[#This Row],[Chronic RA label]]="MRL"),0,1))</f>
        <v>0</v>
      </c>
      <c r="AB228" s="787">
        <f>IF(OR(Table1[[#This Row],[Acute RA label]]="LOQ",Table1[[#This Row],[Acute RA label]]="",Table1[[#This Row],[Acute RA label]]="MRL"),0,1)</f>
        <v>0</v>
      </c>
    </row>
    <row r="229" spans="1:28" ht="13.5" hidden="1" thickTop="1" x14ac:dyDescent="0.2">
      <c r="A229" s="815">
        <f>Table1[[#This Row],[Code no.]]</f>
        <v>401100</v>
      </c>
      <c r="B229" s="793" t="str">
        <f>Table1[[#This Row],[Commodity or group of commodities to which the MRLs apply]]</f>
        <v>Pumpkin seeds</v>
      </c>
      <c r="C229" s="794">
        <f>Table1[[#This Row],[MRL/ proposed MRL /CXL
(mg/kg)]]</f>
        <v>0</v>
      </c>
      <c r="D229" s="795">
        <f>Table1[[#This Row],[Source of MRL]]</f>
        <v>0</v>
      </c>
      <c r="E229" s="797">
        <f>Table1[[#This Row],[Chronic RA input value]]</f>
        <v>0</v>
      </c>
      <c r="F229" s="795" t="str">
        <f>Table1[[#This Row],[Chronic RA label]]</f>
        <v/>
      </c>
      <c r="G229" s="797">
        <f>Table1[[#This Row],[Acute RA input value]]</f>
        <v>0</v>
      </c>
      <c r="H229" s="836" t="str">
        <f>Table1[[#This Row],[Acute RA label]]</f>
        <v/>
      </c>
      <c r="J229" s="553">
        <f>Table22[[#This Row],[Code no.]]</f>
        <v>401100</v>
      </c>
      <c r="K229" s="553" t="str">
        <f>Table22[[#This Row],[Commodity or group of commodities to which the MRLs apply]]</f>
        <v>Pumpkin seeds</v>
      </c>
      <c r="L229" s="553">
        <f>Table22[[#This Row],[Source / type of MRL]]</f>
        <v>0</v>
      </c>
      <c r="M229" s="553">
        <f>Table22[[#This Row],[MRL/ proposed MRL /CXL
(mg/kg)]]</f>
        <v>0</v>
      </c>
      <c r="N229" s="553">
        <f>Table22[[#This Row],[LOQ]]</f>
        <v>0</v>
      </c>
      <c r="O229" s="553">
        <f>Table22[[#This Row],[CFrisk for residue definition]]</f>
        <v>0</v>
      </c>
      <c r="P229" s="553">
        <f>Table22[[#This Row],[PeF (peeling factor RD enforcemen)]]</f>
        <v>0</v>
      </c>
      <c r="Q229" s="553">
        <f>Table22[[#This Row],[STMR-RAC (median residue)]]</f>
        <v>0</v>
      </c>
      <c r="R229" s="553">
        <f>Table22[[#This Row],[HR-RAC (highest residue)]]</f>
        <v>0</v>
      </c>
      <c r="S229" s="553">
        <f>Table22[[#This Row],[VF (alternative variability factor)]]</f>
        <v>0</v>
      </c>
      <c r="T229" s="553">
        <f>Table22[[#This Row],[GAP under assessment]]</f>
        <v>0</v>
      </c>
      <c r="U229" s="553">
        <f>Table22[[#This Row],[Post-harvest treatment]]</f>
        <v>0</v>
      </c>
      <c r="V229" s="553" t="str">
        <f>Table22[[#This Row],[Chronic RA label]]</f>
        <v/>
      </c>
      <c r="W229" s="553">
        <f>Table22[[#This Row],[Chronic RA input value]]</f>
        <v>0</v>
      </c>
      <c r="X229" s="1684" t="str">
        <f>Table22[[#This Row],[Acute RA label]]</f>
        <v/>
      </c>
      <c r="Y229" s="553">
        <f>Table22[[#This Row],[Acute RA input value]]</f>
        <v>0</v>
      </c>
      <c r="Z229" s="786">
        <f>SUM(Table1[[#This Row],[chronic value &lt;&gt;MRL/LOQ]:[acute vlue&lt;&gt;MRL/LOQ]])</f>
        <v>0</v>
      </c>
      <c r="AA229" s="786">
        <f>IF(AND($F$5="Refined calculation mode",Table1[[#This Row],[GAP under assessment]]="Y"),1,IF(OR(Table1[[#This Row],[Chronic RA label]]="LOQ",Table1[[#This Row],[Chronic RA label]]="",Table1[[#This Row],[Chronic RA label]]="MRL"),0,1))</f>
        <v>0</v>
      </c>
      <c r="AB229" s="787">
        <f>IF(OR(Table1[[#This Row],[Acute RA label]]="LOQ",Table1[[#This Row],[Acute RA label]]="",Table1[[#This Row],[Acute RA label]]="MRL"),0,1)</f>
        <v>0</v>
      </c>
    </row>
    <row r="230" spans="1:28" ht="13.5" hidden="1" thickTop="1" x14ac:dyDescent="0.2">
      <c r="A230" s="815">
        <f>Table1[[#This Row],[Code no.]]</f>
        <v>401110</v>
      </c>
      <c r="B230" s="793" t="str">
        <f>Table1[[#This Row],[Commodity or group of commodities to which the MRLs apply]]</f>
        <v>Safflower seeds</v>
      </c>
      <c r="C230" s="794">
        <f>Table1[[#This Row],[MRL/ proposed MRL /CXL
(mg/kg)]]</f>
        <v>0</v>
      </c>
      <c r="D230" s="795">
        <f>Table1[[#This Row],[Source of MRL]]</f>
        <v>0</v>
      </c>
      <c r="E230" s="797">
        <f>Table1[[#This Row],[Chronic RA input value]]</f>
        <v>0</v>
      </c>
      <c r="F230" s="795" t="str">
        <f>Table1[[#This Row],[Chronic RA label]]</f>
        <v/>
      </c>
      <c r="G230" s="797">
        <f>Table1[[#This Row],[Acute RA input value]]</f>
        <v>0</v>
      </c>
      <c r="H230" s="836" t="str">
        <f>Table1[[#This Row],[Acute RA label]]</f>
        <v/>
      </c>
      <c r="J230" s="553">
        <f>Table22[[#This Row],[Code no.]]</f>
        <v>401110</v>
      </c>
      <c r="K230" s="553" t="str">
        <f>Table22[[#This Row],[Commodity or group of commodities to which the MRLs apply]]</f>
        <v>Safflower seeds</v>
      </c>
      <c r="L230" s="553">
        <f>Table22[[#This Row],[Source / type of MRL]]</f>
        <v>0</v>
      </c>
      <c r="M230" s="553">
        <f>Table22[[#This Row],[MRL/ proposed MRL /CXL
(mg/kg)]]</f>
        <v>0</v>
      </c>
      <c r="N230" s="553">
        <f>Table22[[#This Row],[LOQ]]</f>
        <v>0</v>
      </c>
      <c r="O230" s="553">
        <f>Table22[[#This Row],[CFrisk for residue definition]]</f>
        <v>0</v>
      </c>
      <c r="P230" s="553">
        <f>Table22[[#This Row],[PeF (peeling factor RD enforcemen)]]</f>
        <v>0</v>
      </c>
      <c r="Q230" s="553">
        <f>Table22[[#This Row],[STMR-RAC (median residue)]]</f>
        <v>0</v>
      </c>
      <c r="R230" s="553">
        <f>Table22[[#This Row],[HR-RAC (highest residue)]]</f>
        <v>0</v>
      </c>
      <c r="S230" s="553">
        <f>Table22[[#This Row],[VF (alternative variability factor)]]</f>
        <v>0</v>
      </c>
      <c r="T230" s="553">
        <f>Table22[[#This Row],[GAP under assessment]]</f>
        <v>0</v>
      </c>
      <c r="U230" s="553">
        <f>Table22[[#This Row],[Post-harvest treatment]]</f>
        <v>0</v>
      </c>
      <c r="V230" s="553" t="str">
        <f>Table22[[#This Row],[Chronic RA label]]</f>
        <v/>
      </c>
      <c r="W230" s="553">
        <f>Table22[[#This Row],[Chronic RA input value]]</f>
        <v>0</v>
      </c>
      <c r="X230" s="1684" t="str">
        <f>Table22[[#This Row],[Acute RA label]]</f>
        <v/>
      </c>
      <c r="Y230" s="553">
        <f>Table22[[#This Row],[Acute RA input value]]</f>
        <v>0</v>
      </c>
      <c r="Z230" s="786">
        <f>SUM(Table1[[#This Row],[chronic value &lt;&gt;MRL/LOQ]:[acute vlue&lt;&gt;MRL/LOQ]])</f>
        <v>0</v>
      </c>
      <c r="AA230" s="786">
        <f>IF(AND($F$5="Refined calculation mode",Table1[[#This Row],[GAP under assessment]]="Y"),1,IF(OR(Table1[[#This Row],[Chronic RA label]]="LOQ",Table1[[#This Row],[Chronic RA label]]="",Table1[[#This Row],[Chronic RA label]]="MRL"),0,1))</f>
        <v>0</v>
      </c>
      <c r="AB230" s="787">
        <f>IF(OR(Table1[[#This Row],[Acute RA label]]="LOQ",Table1[[#This Row],[Acute RA label]]="",Table1[[#This Row],[Acute RA label]]="MRL"),0,1)</f>
        <v>0</v>
      </c>
    </row>
    <row r="231" spans="1:28" ht="13.5" hidden="1" thickTop="1" x14ac:dyDescent="0.2">
      <c r="A231" s="815">
        <f>Table1[[#This Row],[Code no.]]</f>
        <v>401120</v>
      </c>
      <c r="B231" s="793" t="str">
        <f>Table1[[#This Row],[Commodity or group of commodities to which the MRLs apply]]</f>
        <v>Borage seeds</v>
      </c>
      <c r="C231" s="794">
        <f>Table1[[#This Row],[MRL/ proposed MRL /CXL
(mg/kg)]]</f>
        <v>0</v>
      </c>
      <c r="D231" s="795">
        <f>Table1[[#This Row],[Source of MRL]]</f>
        <v>0</v>
      </c>
      <c r="E231" s="797">
        <f>Table1[[#This Row],[Chronic RA input value]]</f>
        <v>0</v>
      </c>
      <c r="F231" s="795" t="str">
        <f>Table1[[#This Row],[Chronic RA label]]</f>
        <v/>
      </c>
      <c r="G231" s="797">
        <f>Table1[[#This Row],[Acute RA input value]]</f>
        <v>0</v>
      </c>
      <c r="H231" s="836" t="str">
        <f>Table1[[#This Row],[Acute RA label]]</f>
        <v/>
      </c>
      <c r="J231" s="553">
        <f>Table22[[#This Row],[Code no.]]</f>
        <v>401120</v>
      </c>
      <c r="K231" s="553" t="str">
        <f>Table22[[#This Row],[Commodity or group of commodities to which the MRLs apply]]</f>
        <v>Borage seeds</v>
      </c>
      <c r="L231" s="553">
        <f>Table22[[#This Row],[Source / type of MRL]]</f>
        <v>0</v>
      </c>
      <c r="M231" s="553">
        <f>Table22[[#This Row],[MRL/ proposed MRL /CXL
(mg/kg)]]</f>
        <v>0</v>
      </c>
      <c r="N231" s="553">
        <f>Table22[[#This Row],[LOQ]]</f>
        <v>0</v>
      </c>
      <c r="O231" s="553">
        <f>Table22[[#This Row],[CFrisk for residue definition]]</f>
        <v>0</v>
      </c>
      <c r="P231" s="553">
        <f>Table22[[#This Row],[PeF (peeling factor RD enforcemen)]]</f>
        <v>0</v>
      </c>
      <c r="Q231" s="553">
        <f>Table22[[#This Row],[STMR-RAC (median residue)]]</f>
        <v>0</v>
      </c>
      <c r="R231" s="553">
        <f>Table22[[#This Row],[HR-RAC (highest residue)]]</f>
        <v>0</v>
      </c>
      <c r="S231" s="553">
        <f>Table22[[#This Row],[VF (alternative variability factor)]]</f>
        <v>0</v>
      </c>
      <c r="T231" s="553">
        <f>Table22[[#This Row],[GAP under assessment]]</f>
        <v>0</v>
      </c>
      <c r="U231" s="553">
        <f>Table22[[#This Row],[Post-harvest treatment]]</f>
        <v>0</v>
      </c>
      <c r="V231" s="553" t="str">
        <f>Table22[[#This Row],[Chronic RA label]]</f>
        <v/>
      </c>
      <c r="W231" s="553">
        <f>Table22[[#This Row],[Chronic RA input value]]</f>
        <v>0</v>
      </c>
      <c r="X231" s="1684" t="str">
        <f>Table22[[#This Row],[Acute RA label]]</f>
        <v/>
      </c>
      <c r="Y231" s="553">
        <f>Table22[[#This Row],[Acute RA input value]]</f>
        <v>0</v>
      </c>
      <c r="Z231" s="786">
        <f>SUM(Table1[[#This Row],[chronic value &lt;&gt;MRL/LOQ]:[acute vlue&lt;&gt;MRL/LOQ]])</f>
        <v>0</v>
      </c>
      <c r="AA231" s="786">
        <f>IF(AND($F$5="Refined calculation mode",Table1[[#This Row],[GAP under assessment]]="Y"),1,IF(OR(Table1[[#This Row],[Chronic RA label]]="LOQ",Table1[[#This Row],[Chronic RA label]]="",Table1[[#This Row],[Chronic RA label]]="MRL"),0,1))</f>
        <v>0</v>
      </c>
      <c r="AB231" s="787">
        <f>IF(OR(Table1[[#This Row],[Acute RA label]]="LOQ",Table1[[#This Row],[Acute RA label]]="",Table1[[#This Row],[Acute RA label]]="MRL"),0,1)</f>
        <v>0</v>
      </c>
    </row>
    <row r="232" spans="1:28" ht="21.75" hidden="1" thickTop="1" x14ac:dyDescent="0.2">
      <c r="A232" s="815">
        <f>Table1[[#This Row],[Code no.]]</f>
        <v>401130</v>
      </c>
      <c r="B232" s="793" t="str">
        <f>Table1[[#This Row],[Commodity or group of commodities to which the MRLs apply]]</f>
        <v>Gold of pleasure seeds</v>
      </c>
      <c r="C232" s="794">
        <f>Table1[[#This Row],[MRL/ proposed MRL /CXL
(mg/kg)]]</f>
        <v>0</v>
      </c>
      <c r="D232" s="795">
        <f>Table1[[#This Row],[Source of MRL]]</f>
        <v>0</v>
      </c>
      <c r="E232" s="797">
        <f>Table1[[#This Row],[Chronic RA input value]]</f>
        <v>0</v>
      </c>
      <c r="F232" s="795" t="str">
        <f>Table1[[#This Row],[Chronic RA label]]</f>
        <v/>
      </c>
      <c r="G232" s="797">
        <f>Table1[[#This Row],[Acute RA input value]]</f>
        <v>0</v>
      </c>
      <c r="H232" s="836" t="str">
        <f>Table1[[#This Row],[Acute RA label]]</f>
        <v/>
      </c>
      <c r="J232" s="553">
        <f>Table22[[#This Row],[Code no.]]</f>
        <v>401130</v>
      </c>
      <c r="K232" s="553" t="str">
        <f>Table22[[#This Row],[Commodity or group of commodities to which the MRLs apply]]</f>
        <v>Gold of pleasure seeds</v>
      </c>
      <c r="L232" s="553">
        <f>Table22[[#This Row],[Source / type of MRL]]</f>
        <v>0</v>
      </c>
      <c r="M232" s="553">
        <f>Table22[[#This Row],[MRL/ proposed MRL /CXL
(mg/kg)]]</f>
        <v>0</v>
      </c>
      <c r="N232" s="553">
        <f>Table22[[#This Row],[LOQ]]</f>
        <v>0</v>
      </c>
      <c r="O232" s="553">
        <f>Table22[[#This Row],[CFrisk for residue definition]]</f>
        <v>0</v>
      </c>
      <c r="P232" s="553">
        <f>Table22[[#This Row],[PeF (peeling factor RD enforcemen)]]</f>
        <v>0</v>
      </c>
      <c r="Q232" s="553">
        <f>Table22[[#This Row],[STMR-RAC (median residue)]]</f>
        <v>0</v>
      </c>
      <c r="R232" s="553">
        <f>Table22[[#This Row],[HR-RAC (highest residue)]]</f>
        <v>0</v>
      </c>
      <c r="S232" s="553">
        <f>Table22[[#This Row],[VF (alternative variability factor)]]</f>
        <v>0</v>
      </c>
      <c r="T232" s="553">
        <f>Table22[[#This Row],[GAP under assessment]]</f>
        <v>0</v>
      </c>
      <c r="U232" s="553">
        <f>Table22[[#This Row],[Post-harvest treatment]]</f>
        <v>0</v>
      </c>
      <c r="V232" s="553" t="str">
        <f>Table22[[#This Row],[Chronic RA label]]</f>
        <v/>
      </c>
      <c r="W232" s="553">
        <f>Table22[[#This Row],[Chronic RA input value]]</f>
        <v>0</v>
      </c>
      <c r="X232" s="1684" t="str">
        <f>Table22[[#This Row],[Acute RA label]]</f>
        <v/>
      </c>
      <c r="Y232" s="553">
        <f>Table22[[#This Row],[Acute RA input value]]</f>
        <v>0</v>
      </c>
      <c r="Z232" s="786">
        <f>SUM(Table1[[#This Row],[chronic value &lt;&gt;MRL/LOQ]:[acute vlue&lt;&gt;MRL/LOQ]])</f>
        <v>0</v>
      </c>
      <c r="AA232" s="786">
        <f>IF(AND($F$5="Refined calculation mode",Table1[[#This Row],[GAP under assessment]]="Y"),1,IF(OR(Table1[[#This Row],[Chronic RA label]]="LOQ",Table1[[#This Row],[Chronic RA label]]="",Table1[[#This Row],[Chronic RA label]]="MRL"),0,1))</f>
        <v>0</v>
      </c>
      <c r="AB232" s="787">
        <f>IF(OR(Table1[[#This Row],[Acute RA label]]="LOQ",Table1[[#This Row],[Acute RA label]]="",Table1[[#This Row],[Acute RA label]]="MRL"),0,1)</f>
        <v>0</v>
      </c>
    </row>
    <row r="233" spans="1:28" ht="13.5" hidden="1" thickTop="1" x14ac:dyDescent="0.2">
      <c r="A233" s="815">
        <f>Table1[[#This Row],[Code no.]]</f>
        <v>401140</v>
      </c>
      <c r="B233" s="793" t="str">
        <f>Table1[[#This Row],[Commodity or group of commodities to which the MRLs apply]]</f>
        <v>Hemp seeds</v>
      </c>
      <c r="C233" s="794">
        <f>Table1[[#This Row],[MRL/ proposed MRL /CXL
(mg/kg)]]</f>
        <v>0</v>
      </c>
      <c r="D233" s="795">
        <f>Table1[[#This Row],[Source of MRL]]</f>
        <v>0</v>
      </c>
      <c r="E233" s="797">
        <f>Table1[[#This Row],[Chronic RA input value]]</f>
        <v>0</v>
      </c>
      <c r="F233" s="795" t="str">
        <f>Table1[[#This Row],[Chronic RA label]]</f>
        <v/>
      </c>
      <c r="G233" s="797">
        <f>Table1[[#This Row],[Acute RA input value]]</f>
        <v>0</v>
      </c>
      <c r="H233" s="836" t="str">
        <f>Table1[[#This Row],[Acute RA label]]</f>
        <v/>
      </c>
      <c r="J233" s="553">
        <f>Table22[[#This Row],[Code no.]]</f>
        <v>401140</v>
      </c>
      <c r="K233" s="553" t="str">
        <f>Table22[[#This Row],[Commodity or group of commodities to which the MRLs apply]]</f>
        <v>Hemp seeds</v>
      </c>
      <c r="L233" s="553">
        <f>Table22[[#This Row],[Source / type of MRL]]</f>
        <v>0</v>
      </c>
      <c r="M233" s="553">
        <f>Table22[[#This Row],[MRL/ proposed MRL /CXL
(mg/kg)]]</f>
        <v>0</v>
      </c>
      <c r="N233" s="553">
        <f>Table22[[#This Row],[LOQ]]</f>
        <v>0</v>
      </c>
      <c r="O233" s="553">
        <f>Table22[[#This Row],[CFrisk for residue definition]]</f>
        <v>0</v>
      </c>
      <c r="P233" s="553">
        <f>Table22[[#This Row],[PeF (peeling factor RD enforcemen)]]</f>
        <v>0</v>
      </c>
      <c r="Q233" s="553">
        <f>Table22[[#This Row],[STMR-RAC (median residue)]]</f>
        <v>0</v>
      </c>
      <c r="R233" s="553">
        <f>Table22[[#This Row],[HR-RAC (highest residue)]]</f>
        <v>0</v>
      </c>
      <c r="S233" s="553">
        <f>Table22[[#This Row],[VF (alternative variability factor)]]</f>
        <v>0</v>
      </c>
      <c r="T233" s="553">
        <f>Table22[[#This Row],[GAP under assessment]]</f>
        <v>0</v>
      </c>
      <c r="U233" s="553">
        <f>Table22[[#This Row],[Post-harvest treatment]]</f>
        <v>0</v>
      </c>
      <c r="V233" s="553" t="str">
        <f>Table22[[#This Row],[Chronic RA label]]</f>
        <v/>
      </c>
      <c r="W233" s="553">
        <f>Table22[[#This Row],[Chronic RA input value]]</f>
        <v>0</v>
      </c>
      <c r="X233" s="1684" t="str">
        <f>Table22[[#This Row],[Acute RA label]]</f>
        <v/>
      </c>
      <c r="Y233" s="553">
        <f>Table22[[#This Row],[Acute RA input value]]</f>
        <v>0</v>
      </c>
      <c r="Z233" s="786">
        <f>SUM(Table1[[#This Row],[chronic value &lt;&gt;MRL/LOQ]:[acute vlue&lt;&gt;MRL/LOQ]])</f>
        <v>0</v>
      </c>
      <c r="AA233" s="786">
        <f>IF(AND($F$5="Refined calculation mode",Table1[[#This Row],[GAP under assessment]]="Y"),1,IF(OR(Table1[[#This Row],[Chronic RA label]]="LOQ",Table1[[#This Row],[Chronic RA label]]="",Table1[[#This Row],[Chronic RA label]]="MRL"),0,1))</f>
        <v>0</v>
      </c>
      <c r="AB233" s="787">
        <f>IF(OR(Table1[[#This Row],[Acute RA label]]="LOQ",Table1[[#This Row],[Acute RA label]]="",Table1[[#This Row],[Acute RA label]]="MRL"),0,1)</f>
        <v>0</v>
      </c>
    </row>
    <row r="234" spans="1:28" ht="13.5" hidden="1" thickTop="1" x14ac:dyDescent="0.2">
      <c r="A234" s="815">
        <f>Table1[[#This Row],[Code no.]]</f>
        <v>401150</v>
      </c>
      <c r="B234" s="793" t="str">
        <f>Table1[[#This Row],[Commodity or group of commodities to which the MRLs apply]]</f>
        <v>Castor beans</v>
      </c>
      <c r="C234" s="794">
        <f>Table1[[#This Row],[MRL/ proposed MRL /CXL
(mg/kg)]]</f>
        <v>0</v>
      </c>
      <c r="D234" s="795">
        <f>Table1[[#This Row],[Source of MRL]]</f>
        <v>0</v>
      </c>
      <c r="E234" s="797">
        <f>Table1[[#This Row],[Chronic RA input value]]</f>
        <v>0</v>
      </c>
      <c r="F234" s="795" t="str">
        <f>Table1[[#This Row],[Chronic RA label]]</f>
        <v/>
      </c>
      <c r="G234" s="797">
        <f>Table1[[#This Row],[Acute RA input value]]</f>
        <v>0</v>
      </c>
      <c r="H234" s="836" t="str">
        <f>Table1[[#This Row],[Acute RA label]]</f>
        <v/>
      </c>
      <c r="J234" s="553">
        <f>Table22[[#This Row],[Code no.]]</f>
        <v>401150</v>
      </c>
      <c r="K234" s="553" t="str">
        <f>Table22[[#This Row],[Commodity or group of commodities to which the MRLs apply]]</f>
        <v>Castor beans</v>
      </c>
      <c r="L234" s="553">
        <f>Table22[[#This Row],[Source / type of MRL]]</f>
        <v>0</v>
      </c>
      <c r="M234" s="553">
        <f>Table22[[#This Row],[MRL/ proposed MRL /CXL
(mg/kg)]]</f>
        <v>0</v>
      </c>
      <c r="N234" s="553">
        <f>Table22[[#This Row],[LOQ]]</f>
        <v>0</v>
      </c>
      <c r="O234" s="553">
        <f>Table22[[#This Row],[CFrisk for residue definition]]</f>
        <v>0</v>
      </c>
      <c r="P234" s="553">
        <f>Table22[[#This Row],[PeF (peeling factor RD enforcemen)]]</f>
        <v>0</v>
      </c>
      <c r="Q234" s="553">
        <f>Table22[[#This Row],[STMR-RAC (median residue)]]</f>
        <v>0</v>
      </c>
      <c r="R234" s="553">
        <f>Table22[[#This Row],[HR-RAC (highest residue)]]</f>
        <v>0</v>
      </c>
      <c r="S234" s="553">
        <f>Table22[[#This Row],[VF (alternative variability factor)]]</f>
        <v>0</v>
      </c>
      <c r="T234" s="553">
        <f>Table22[[#This Row],[GAP under assessment]]</f>
        <v>0</v>
      </c>
      <c r="U234" s="553">
        <f>Table22[[#This Row],[Post-harvest treatment]]</f>
        <v>0</v>
      </c>
      <c r="V234" s="553" t="str">
        <f>Table22[[#This Row],[Chronic RA label]]</f>
        <v/>
      </c>
      <c r="W234" s="553">
        <f>Table22[[#This Row],[Chronic RA input value]]</f>
        <v>0</v>
      </c>
      <c r="X234" s="1684" t="str">
        <f>Table22[[#This Row],[Acute RA label]]</f>
        <v/>
      </c>
      <c r="Y234" s="553">
        <f>Table22[[#This Row],[Acute RA input value]]</f>
        <v>0</v>
      </c>
      <c r="Z234" s="786">
        <f>SUM(Table1[[#This Row],[chronic value &lt;&gt;MRL/LOQ]:[acute vlue&lt;&gt;MRL/LOQ]])</f>
        <v>0</v>
      </c>
      <c r="AA234" s="786">
        <f>IF(AND($F$5="Refined calculation mode",Table1[[#This Row],[GAP under assessment]]="Y"),1,IF(OR(Table1[[#This Row],[Chronic RA label]]="LOQ",Table1[[#This Row],[Chronic RA label]]="",Table1[[#This Row],[Chronic RA label]]="MRL"),0,1))</f>
        <v>0</v>
      </c>
      <c r="AB234" s="787">
        <f>IF(OR(Table1[[#This Row],[Acute RA label]]="LOQ",Table1[[#This Row],[Acute RA label]]="",Table1[[#This Row],[Acute RA label]]="MRL"),0,1)</f>
        <v>0</v>
      </c>
    </row>
    <row r="235" spans="1:28" ht="13.5" hidden="1" thickTop="1" x14ac:dyDescent="0.2">
      <c r="A235" s="815">
        <f>Table1[[#This Row],[Code no.]]</f>
        <v>401990</v>
      </c>
      <c r="B235" s="793" t="str">
        <f>Table1[[#This Row],[Commodity or group of commodities to which the MRLs apply]]</f>
        <v>Other oilseeds</v>
      </c>
      <c r="C235" s="794">
        <f>Table1[[#This Row],[MRL/ proposed MRL /CXL
(mg/kg)]]</f>
        <v>0</v>
      </c>
      <c r="D235" s="795">
        <f>Table1[[#This Row],[Source of MRL]]</f>
        <v>0</v>
      </c>
      <c r="E235" s="797">
        <f>Table1[[#This Row],[Chronic RA input value]]</f>
        <v>0</v>
      </c>
      <c r="F235" s="795" t="str">
        <f>Table1[[#This Row],[Chronic RA label]]</f>
        <v/>
      </c>
      <c r="G235" s="797">
        <f>Table1[[#This Row],[Acute RA input value]]</f>
        <v>0</v>
      </c>
      <c r="H235" s="836">
        <f>Table1[[#This Row],[Acute RA label]]</f>
        <v>0</v>
      </c>
      <c r="J235" s="553">
        <f>Table22[[#This Row],[Code no.]]</f>
        <v>401990</v>
      </c>
      <c r="K235" s="553" t="str">
        <f>Table22[[#This Row],[Commodity or group of commodities to which the MRLs apply]]</f>
        <v>Other oilseeds</v>
      </c>
      <c r="L235" s="553">
        <f>Table22[[#This Row],[Source / type of MRL]]</f>
        <v>0</v>
      </c>
      <c r="M235" s="553">
        <f>Table22[[#This Row],[MRL/ proposed MRL /CXL
(mg/kg)]]</f>
        <v>0</v>
      </c>
      <c r="N235" s="553">
        <f>Table22[[#This Row],[LOQ]]</f>
        <v>0</v>
      </c>
      <c r="O235" s="553">
        <f>Table22[[#This Row],[CFrisk for residue definition]]</f>
        <v>0</v>
      </c>
      <c r="P235" s="553">
        <f>Table22[[#This Row],[PeF (peeling factor RD enforcemen)]]</f>
        <v>0</v>
      </c>
      <c r="Q235" s="553">
        <f>Table22[[#This Row],[STMR-RAC (median residue)]]</f>
        <v>0</v>
      </c>
      <c r="R235" s="553">
        <f>Table22[[#This Row],[HR-RAC (highest residue)]]</f>
        <v>0</v>
      </c>
      <c r="S235" s="553">
        <f>Table22[[#This Row],[VF (alternative variability factor)]]</f>
        <v>0</v>
      </c>
      <c r="T235" s="553">
        <f>Table22[[#This Row],[GAP under assessment]]</f>
        <v>0</v>
      </c>
      <c r="U235" s="553">
        <f>Table22[[#This Row],[Post-harvest treatment]]</f>
        <v>0</v>
      </c>
      <c r="V235" s="553" t="str">
        <f>Table22[[#This Row],[Chronic RA label]]</f>
        <v/>
      </c>
      <c r="W235" s="553">
        <f>Table22[[#This Row],[Chronic RA input value]]</f>
        <v>0</v>
      </c>
      <c r="X235" s="1684"/>
      <c r="Y235" s="553">
        <f>Table22[[#This Row],[Acute RA input value]]</f>
        <v>0</v>
      </c>
      <c r="Z235" s="786">
        <f>SUM(Table1[[#This Row],[chronic value &lt;&gt;MRL/LOQ]:[acute vlue&lt;&gt;MRL/LOQ]])</f>
        <v>0</v>
      </c>
      <c r="AA235" s="786">
        <f>IF(AND($F$5="Refined calculation mode",Table1[[#This Row],[GAP under assessment]]="Y"),1,IF(OR(Table1[[#This Row],[Chronic RA label]]="LOQ",Table1[[#This Row],[Chronic RA label]]="",Table1[[#This Row],[Chronic RA label]]="MRL"),0,1))</f>
        <v>0</v>
      </c>
      <c r="AB235" s="787">
        <f>IF(OR(Table1[[#This Row],[Acute RA label]]="LOQ",Table1[[#This Row],[Acute RA label]]="",Table1[[#This Row],[Acute RA label]]="MRL"),0,1)</f>
        <v>0</v>
      </c>
    </row>
    <row r="236" spans="1:28" ht="13.5" hidden="1" thickTop="1" x14ac:dyDescent="0.2">
      <c r="A236" s="815">
        <f>Table1[[#This Row],[Code no.]]</f>
        <v>402000</v>
      </c>
      <c r="B236" s="793" t="str">
        <f>Table1[[#This Row],[Commodity or group of commodities to which the MRLs apply]]</f>
        <v>Oil fruits</v>
      </c>
      <c r="C236" s="794">
        <f>Table1[[#This Row],[MRL/ proposed MRL /CXL
(mg/kg)]]</f>
        <v>0</v>
      </c>
      <c r="D236" s="795">
        <f>Table1[[#This Row],[Source of MRL]]</f>
        <v>0</v>
      </c>
      <c r="E236" s="797">
        <f>Table1[[#This Row],[Chronic RA input value]]</f>
        <v>0</v>
      </c>
      <c r="F236" s="795">
        <f>Table1[[#This Row],[Chronic RA label]]</f>
        <v>0</v>
      </c>
      <c r="G236" s="797">
        <f>Table1[[#This Row],[Acute RA input value]]</f>
        <v>0</v>
      </c>
      <c r="H236" s="836">
        <f>Table1[[#This Row],[Acute RA label]]</f>
        <v>0</v>
      </c>
      <c r="J236" s="553">
        <f>Table22[[#This Row],[Code no.]]</f>
        <v>402000</v>
      </c>
      <c r="K236" s="553" t="str">
        <f>Table22[[#This Row],[Commodity or group of commodities to which the MRLs apply]]</f>
        <v>Oil fruits</v>
      </c>
      <c r="L236" s="553">
        <f>Table22[[#This Row],[Source / type of MRL]]</f>
        <v>0</v>
      </c>
      <c r="M236" s="553">
        <f>Table22[[#This Row],[MRL/ proposed MRL /CXL
(mg/kg)]]</f>
        <v>0</v>
      </c>
      <c r="N236" s="553">
        <f>Table22[[#This Row],[LOQ]]</f>
        <v>0</v>
      </c>
      <c r="O236" s="553">
        <f>Table22[[#This Row],[CFrisk for residue definition]]</f>
        <v>0</v>
      </c>
      <c r="P236" s="553">
        <f>Table22[[#This Row],[PeF (peeling factor RD enforcemen)]]</f>
        <v>0</v>
      </c>
      <c r="Q236" s="553">
        <f>Table22[[#This Row],[STMR-RAC (median residue)]]</f>
        <v>0</v>
      </c>
      <c r="R236" s="553">
        <f>Table22[[#This Row],[HR-RAC (highest residue)]]</f>
        <v>0</v>
      </c>
      <c r="S236" s="553">
        <f>Table22[[#This Row],[VF (alternative variability factor)]]</f>
        <v>0</v>
      </c>
      <c r="T236" s="553">
        <f>Table22[[#This Row],[GAP under assessment]]</f>
        <v>0</v>
      </c>
      <c r="U236" s="553">
        <f>Table22[[#This Row],[Post-harvest treatment]]</f>
        <v>0</v>
      </c>
      <c r="V236" s="553"/>
      <c r="W236" s="553">
        <f>Table22[[#This Row],[Chronic RA input value]]</f>
        <v>0</v>
      </c>
      <c r="X236" s="1684"/>
      <c r="Y236" s="553">
        <f>Table22[[#This Row],[Acute RA input value]]</f>
        <v>0</v>
      </c>
      <c r="Z236" s="786">
        <f>SUM(Table1[[#This Row],[chronic value &lt;&gt;MRL/LOQ]:[acute vlue&lt;&gt;MRL/LOQ]])</f>
        <v>0</v>
      </c>
      <c r="AA236" s="786">
        <f>IF(AND($F$5="Refined calculation mode",Table1[[#This Row],[GAP under assessment]]="Y"),1,IF(OR(Table1[[#This Row],[Chronic RA label]]="LOQ",Table1[[#This Row],[Chronic RA label]]="",Table1[[#This Row],[Chronic RA label]]="MRL"),0,1))</f>
        <v>0</v>
      </c>
      <c r="AB236" s="787">
        <f>IF(OR(Table1[[#This Row],[Acute RA label]]="LOQ",Table1[[#This Row],[Acute RA label]]="",Table1[[#This Row],[Acute RA label]]="MRL"),0,1)</f>
        <v>0</v>
      </c>
    </row>
    <row r="237" spans="1:28" ht="21.75" hidden="1" thickTop="1" x14ac:dyDescent="0.2">
      <c r="A237" s="815">
        <f>Table1[[#This Row],[Code no.]]</f>
        <v>402010</v>
      </c>
      <c r="B237" s="793" t="str">
        <f>Table1[[#This Row],[Commodity or group of commodities to which the MRLs apply]]</f>
        <v>Olives for oil production</v>
      </c>
      <c r="C237" s="794">
        <f>Table1[[#This Row],[MRL/ proposed MRL /CXL
(mg/kg)]]</f>
        <v>0</v>
      </c>
      <c r="D237" s="795">
        <f>Table1[[#This Row],[Source of MRL]]</f>
        <v>0</v>
      </c>
      <c r="E237" s="797">
        <f>Table1[[#This Row],[Chronic RA input value]]</f>
        <v>0</v>
      </c>
      <c r="F237" s="795" t="str">
        <f>Table1[[#This Row],[Chronic RA label]]</f>
        <v/>
      </c>
      <c r="G237" s="797">
        <f>Table1[[#This Row],[Acute RA input value]]</f>
        <v>0</v>
      </c>
      <c r="H237" s="836" t="str">
        <f>Table1[[#This Row],[Acute RA label]]</f>
        <v/>
      </c>
      <c r="J237" s="553">
        <f>Table22[[#This Row],[Code no.]]</f>
        <v>402010</v>
      </c>
      <c r="K237" s="553" t="str">
        <f>Table22[[#This Row],[Commodity or group of commodities to which the MRLs apply]]</f>
        <v>Olives for oil production</v>
      </c>
      <c r="L237" s="553">
        <f>Table22[[#This Row],[Source / type of MRL]]</f>
        <v>0</v>
      </c>
      <c r="M237" s="553">
        <f>Table22[[#This Row],[MRL/ proposed MRL /CXL
(mg/kg)]]</f>
        <v>0</v>
      </c>
      <c r="N237" s="553">
        <f>Table22[[#This Row],[LOQ]]</f>
        <v>0</v>
      </c>
      <c r="O237" s="553">
        <f>Table22[[#This Row],[CFrisk for residue definition]]</f>
        <v>0</v>
      </c>
      <c r="P237" s="553">
        <f>Table22[[#This Row],[PeF (peeling factor RD enforcemen)]]</f>
        <v>0</v>
      </c>
      <c r="Q237" s="553">
        <f>Table22[[#This Row],[STMR-RAC (median residue)]]</f>
        <v>0</v>
      </c>
      <c r="R237" s="553">
        <f>Table22[[#This Row],[HR-RAC (highest residue)]]</f>
        <v>0</v>
      </c>
      <c r="S237" s="553">
        <f>Table22[[#This Row],[VF (alternative variability factor)]]</f>
        <v>0</v>
      </c>
      <c r="T237" s="553">
        <f>Table22[[#This Row],[GAP under assessment]]</f>
        <v>0</v>
      </c>
      <c r="U237" s="553">
        <f>Table22[[#This Row],[Post-harvest treatment]]</f>
        <v>0</v>
      </c>
      <c r="V237" s="553" t="str">
        <f>Table22[[#This Row],[Chronic RA label]]</f>
        <v/>
      </c>
      <c r="W237" s="553">
        <f>Table22[[#This Row],[Chronic RA input value]]</f>
        <v>0</v>
      </c>
      <c r="X237" s="1684" t="str">
        <f>Table22[[#This Row],[Acute RA label]]</f>
        <v/>
      </c>
      <c r="Y237" s="553">
        <f>Table22[[#This Row],[Acute RA input value]]</f>
        <v>0</v>
      </c>
      <c r="Z237" s="786">
        <f>SUM(Table1[[#This Row],[chronic value &lt;&gt;MRL/LOQ]:[acute vlue&lt;&gt;MRL/LOQ]])</f>
        <v>0</v>
      </c>
      <c r="AA237" s="786">
        <f>IF(AND($F$5="Refined calculation mode",Table1[[#This Row],[GAP under assessment]]="Y"),1,IF(OR(Table1[[#This Row],[Chronic RA label]]="LOQ",Table1[[#This Row],[Chronic RA label]]="",Table1[[#This Row],[Chronic RA label]]="MRL"),0,1))</f>
        <v>0</v>
      </c>
      <c r="AB237" s="787">
        <f>IF(OR(Table1[[#This Row],[Acute RA label]]="LOQ",Table1[[#This Row],[Acute RA label]]="",Table1[[#This Row],[Acute RA label]]="MRL"),0,1)</f>
        <v>0</v>
      </c>
    </row>
    <row r="238" spans="1:28" ht="13.5" hidden="1" thickTop="1" x14ac:dyDescent="0.2">
      <c r="A238" s="815">
        <f>Table1[[#This Row],[Code no.]]</f>
        <v>402020</v>
      </c>
      <c r="B238" s="793" t="str">
        <f>Table1[[#This Row],[Commodity or group of commodities to which the MRLs apply]]</f>
        <v>Oil palm kernels</v>
      </c>
      <c r="C238" s="794">
        <f>Table1[[#This Row],[MRL/ proposed MRL /CXL
(mg/kg)]]</f>
        <v>0</v>
      </c>
      <c r="D238" s="795">
        <f>Table1[[#This Row],[Source of MRL]]</f>
        <v>0</v>
      </c>
      <c r="E238" s="797">
        <f>Table1[[#This Row],[Chronic RA input value]]</f>
        <v>0</v>
      </c>
      <c r="F238" s="795" t="str">
        <f>Table1[[#This Row],[Chronic RA label]]</f>
        <v/>
      </c>
      <c r="G238" s="797">
        <f>Table1[[#This Row],[Acute RA input value]]</f>
        <v>0</v>
      </c>
      <c r="H238" s="836" t="str">
        <f>Table1[[#This Row],[Acute RA label]]</f>
        <v/>
      </c>
      <c r="J238" s="553">
        <f>Table22[[#This Row],[Code no.]]</f>
        <v>402020</v>
      </c>
      <c r="K238" s="553" t="str">
        <f>Table22[[#This Row],[Commodity or group of commodities to which the MRLs apply]]</f>
        <v>Oil palm kernels</v>
      </c>
      <c r="L238" s="553">
        <f>Table22[[#This Row],[Source / type of MRL]]</f>
        <v>0</v>
      </c>
      <c r="M238" s="553">
        <f>Table22[[#This Row],[MRL/ proposed MRL /CXL
(mg/kg)]]</f>
        <v>0</v>
      </c>
      <c r="N238" s="553">
        <f>Table22[[#This Row],[LOQ]]</f>
        <v>0</v>
      </c>
      <c r="O238" s="553">
        <f>Table22[[#This Row],[CFrisk for residue definition]]</f>
        <v>0</v>
      </c>
      <c r="P238" s="553">
        <f>Table22[[#This Row],[PeF (peeling factor RD enforcemen)]]</f>
        <v>0</v>
      </c>
      <c r="Q238" s="553">
        <f>Table22[[#This Row],[STMR-RAC (median residue)]]</f>
        <v>0</v>
      </c>
      <c r="R238" s="553">
        <f>Table22[[#This Row],[HR-RAC (highest residue)]]</f>
        <v>0</v>
      </c>
      <c r="S238" s="553">
        <f>Table22[[#This Row],[VF (alternative variability factor)]]</f>
        <v>0</v>
      </c>
      <c r="T238" s="553">
        <f>Table22[[#This Row],[GAP under assessment]]</f>
        <v>0</v>
      </c>
      <c r="U238" s="553">
        <f>Table22[[#This Row],[Post-harvest treatment]]</f>
        <v>0</v>
      </c>
      <c r="V238" s="553" t="str">
        <f>Table22[[#This Row],[Chronic RA label]]</f>
        <v/>
      </c>
      <c r="W238" s="553">
        <f>Table22[[#This Row],[Chronic RA input value]]</f>
        <v>0</v>
      </c>
      <c r="X238" s="1684" t="str">
        <f>Table22[[#This Row],[Acute RA label]]</f>
        <v/>
      </c>
      <c r="Y238" s="553">
        <f>Table22[[#This Row],[Acute RA input value]]</f>
        <v>0</v>
      </c>
      <c r="Z238" s="786">
        <f>SUM(Table1[[#This Row],[chronic value &lt;&gt;MRL/LOQ]:[acute vlue&lt;&gt;MRL/LOQ]])</f>
        <v>0</v>
      </c>
      <c r="AA238" s="786">
        <f>IF(AND($F$5="Refined calculation mode",Table1[[#This Row],[GAP under assessment]]="Y"),1,IF(OR(Table1[[#This Row],[Chronic RA label]]="LOQ",Table1[[#This Row],[Chronic RA label]]="",Table1[[#This Row],[Chronic RA label]]="MRL"),0,1))</f>
        <v>0</v>
      </c>
      <c r="AB238" s="787">
        <f>IF(OR(Table1[[#This Row],[Acute RA label]]="LOQ",Table1[[#This Row],[Acute RA label]]="",Table1[[#This Row],[Acute RA label]]="MRL"),0,1)</f>
        <v>0</v>
      </c>
    </row>
    <row r="239" spans="1:28" ht="13.5" hidden="1" thickTop="1" x14ac:dyDescent="0.2">
      <c r="A239" s="815">
        <f>Table1[[#This Row],[Code no.]]</f>
        <v>402030</v>
      </c>
      <c r="B239" s="793" t="str">
        <f>Table1[[#This Row],[Commodity or group of commodities to which the MRLs apply]]</f>
        <v>Oil palm fruits</v>
      </c>
      <c r="C239" s="794">
        <f>Table1[[#This Row],[MRL/ proposed MRL /CXL
(mg/kg)]]</f>
        <v>0</v>
      </c>
      <c r="D239" s="795">
        <f>Table1[[#This Row],[Source of MRL]]</f>
        <v>0</v>
      </c>
      <c r="E239" s="797">
        <f>Table1[[#This Row],[Chronic RA input value]]</f>
        <v>0</v>
      </c>
      <c r="F239" s="795" t="str">
        <f>Table1[[#This Row],[Chronic RA label]]</f>
        <v/>
      </c>
      <c r="G239" s="797">
        <f>Table1[[#This Row],[Acute RA input value]]</f>
        <v>0</v>
      </c>
      <c r="H239" s="836" t="str">
        <f>Table1[[#This Row],[Acute RA label]]</f>
        <v/>
      </c>
      <c r="J239" s="553">
        <f>Table22[[#This Row],[Code no.]]</f>
        <v>402030</v>
      </c>
      <c r="K239" s="553" t="str">
        <f>Table22[[#This Row],[Commodity or group of commodities to which the MRLs apply]]</f>
        <v>Oil palm fruits</v>
      </c>
      <c r="L239" s="553">
        <f>Table22[[#This Row],[Source / type of MRL]]</f>
        <v>0</v>
      </c>
      <c r="M239" s="553">
        <f>Table22[[#This Row],[MRL/ proposed MRL /CXL
(mg/kg)]]</f>
        <v>0</v>
      </c>
      <c r="N239" s="553">
        <f>Table22[[#This Row],[LOQ]]</f>
        <v>0</v>
      </c>
      <c r="O239" s="553">
        <f>Table22[[#This Row],[CFrisk for residue definition]]</f>
        <v>0</v>
      </c>
      <c r="P239" s="553">
        <f>Table22[[#This Row],[PeF (peeling factor RD enforcemen)]]</f>
        <v>0</v>
      </c>
      <c r="Q239" s="553">
        <f>Table22[[#This Row],[STMR-RAC (median residue)]]</f>
        <v>0</v>
      </c>
      <c r="R239" s="553">
        <f>Table22[[#This Row],[HR-RAC (highest residue)]]</f>
        <v>0</v>
      </c>
      <c r="S239" s="553">
        <f>Table22[[#This Row],[VF (alternative variability factor)]]</f>
        <v>0</v>
      </c>
      <c r="T239" s="553">
        <f>Table22[[#This Row],[GAP under assessment]]</f>
        <v>0</v>
      </c>
      <c r="U239" s="553">
        <f>Table22[[#This Row],[Post-harvest treatment]]</f>
        <v>0</v>
      </c>
      <c r="V239" s="553" t="str">
        <f>Table22[[#This Row],[Chronic RA label]]</f>
        <v/>
      </c>
      <c r="W239" s="553">
        <f>Table22[[#This Row],[Chronic RA input value]]</f>
        <v>0</v>
      </c>
      <c r="X239" s="1684" t="str">
        <f>Table22[[#This Row],[Acute RA label]]</f>
        <v/>
      </c>
      <c r="Y239" s="553">
        <f>Table22[[#This Row],[Acute RA input value]]</f>
        <v>0</v>
      </c>
      <c r="Z239" s="786">
        <f>SUM(Table1[[#This Row],[chronic value &lt;&gt;MRL/LOQ]:[acute vlue&lt;&gt;MRL/LOQ]])</f>
        <v>0</v>
      </c>
      <c r="AA239" s="786">
        <f>IF(AND($F$5="Refined calculation mode",Table1[[#This Row],[GAP under assessment]]="Y"),1,IF(OR(Table1[[#This Row],[Chronic RA label]]="LOQ",Table1[[#This Row],[Chronic RA label]]="",Table1[[#This Row],[Chronic RA label]]="MRL"),0,1))</f>
        <v>0</v>
      </c>
      <c r="AB239" s="787">
        <f>IF(OR(Table1[[#This Row],[Acute RA label]]="LOQ",Table1[[#This Row],[Acute RA label]]="",Table1[[#This Row],[Acute RA label]]="MRL"),0,1)</f>
        <v>0</v>
      </c>
    </row>
    <row r="240" spans="1:28" ht="13.5" hidden="1" thickTop="1" x14ac:dyDescent="0.2">
      <c r="A240" s="815">
        <f>Table1[[#This Row],[Code no.]]</f>
        <v>402040</v>
      </c>
      <c r="B240" s="793" t="str">
        <f>Table1[[#This Row],[Commodity or group of commodities to which the MRLs apply]]</f>
        <v>Kapok</v>
      </c>
      <c r="C240" s="794">
        <f>Table1[[#This Row],[MRL/ proposed MRL /CXL
(mg/kg)]]</f>
        <v>0</v>
      </c>
      <c r="D240" s="795">
        <f>Table1[[#This Row],[Source of MRL]]</f>
        <v>0</v>
      </c>
      <c r="E240" s="797">
        <f>Table1[[#This Row],[Chronic RA input value]]</f>
        <v>0</v>
      </c>
      <c r="F240" s="795" t="str">
        <f>Table1[[#This Row],[Chronic RA label]]</f>
        <v/>
      </c>
      <c r="G240" s="797">
        <f>Table1[[#This Row],[Acute RA input value]]</f>
        <v>0</v>
      </c>
      <c r="H240" s="836" t="str">
        <f>Table1[[#This Row],[Acute RA label]]</f>
        <v/>
      </c>
      <c r="J240" s="553">
        <f>Table22[[#This Row],[Code no.]]</f>
        <v>402040</v>
      </c>
      <c r="K240" s="553" t="str">
        <f>Table22[[#This Row],[Commodity or group of commodities to which the MRLs apply]]</f>
        <v>Kapok</v>
      </c>
      <c r="L240" s="553">
        <f>Table22[[#This Row],[Source / type of MRL]]</f>
        <v>0</v>
      </c>
      <c r="M240" s="553">
        <f>Table22[[#This Row],[MRL/ proposed MRL /CXL
(mg/kg)]]</f>
        <v>0</v>
      </c>
      <c r="N240" s="553">
        <f>Table22[[#This Row],[LOQ]]</f>
        <v>0</v>
      </c>
      <c r="O240" s="553">
        <f>Table22[[#This Row],[CFrisk for residue definition]]</f>
        <v>0</v>
      </c>
      <c r="P240" s="553">
        <f>Table22[[#This Row],[PeF (peeling factor RD enforcemen)]]</f>
        <v>0</v>
      </c>
      <c r="Q240" s="553">
        <f>Table22[[#This Row],[STMR-RAC (median residue)]]</f>
        <v>0</v>
      </c>
      <c r="R240" s="553">
        <f>Table22[[#This Row],[HR-RAC (highest residue)]]</f>
        <v>0</v>
      </c>
      <c r="S240" s="553">
        <f>Table22[[#This Row],[VF (alternative variability factor)]]</f>
        <v>0</v>
      </c>
      <c r="T240" s="553">
        <f>Table22[[#This Row],[GAP under assessment]]</f>
        <v>0</v>
      </c>
      <c r="U240" s="553">
        <f>Table22[[#This Row],[Post-harvest treatment]]</f>
        <v>0</v>
      </c>
      <c r="V240" s="553" t="str">
        <f>Table22[[#This Row],[Chronic RA label]]</f>
        <v/>
      </c>
      <c r="W240" s="553">
        <f>Table22[[#This Row],[Chronic RA input value]]</f>
        <v>0</v>
      </c>
      <c r="X240" s="1684" t="str">
        <f>Table22[[#This Row],[Acute RA label]]</f>
        <v/>
      </c>
      <c r="Y240" s="553">
        <f>Table22[[#This Row],[Acute RA input value]]</f>
        <v>0</v>
      </c>
      <c r="Z240" s="786">
        <f>SUM(Table1[[#This Row],[chronic value &lt;&gt;MRL/LOQ]:[acute vlue&lt;&gt;MRL/LOQ]])</f>
        <v>0</v>
      </c>
      <c r="AA240" s="786">
        <f>IF(AND($F$5="Refined calculation mode",Table1[[#This Row],[GAP under assessment]]="Y"),1,IF(OR(Table1[[#This Row],[Chronic RA label]]="LOQ",Table1[[#This Row],[Chronic RA label]]="",Table1[[#This Row],[Chronic RA label]]="MRL"),0,1))</f>
        <v>0</v>
      </c>
      <c r="AB240" s="787">
        <f>IF(OR(Table1[[#This Row],[Acute RA label]]="LOQ",Table1[[#This Row],[Acute RA label]]="",Table1[[#This Row],[Acute RA label]]="MRL"),0,1)</f>
        <v>0</v>
      </c>
    </row>
    <row r="241" spans="1:28" ht="13.5" hidden="1" thickTop="1" x14ac:dyDescent="0.2">
      <c r="A241" s="815">
        <f>Table1[[#This Row],[Code no.]]</f>
        <v>402990</v>
      </c>
      <c r="B241" s="793" t="str">
        <f>Table1[[#This Row],[Commodity or group of commodities to which the MRLs apply]]</f>
        <v>Other oilfruit</v>
      </c>
      <c r="C241" s="794">
        <f>Table1[[#This Row],[MRL/ proposed MRL /CXL
(mg/kg)]]</f>
        <v>0</v>
      </c>
      <c r="D241" s="795">
        <f>Table1[[#This Row],[Source of MRL]]</f>
        <v>0</v>
      </c>
      <c r="E241" s="797">
        <f>Table1[[#This Row],[Chronic RA input value]]</f>
        <v>0</v>
      </c>
      <c r="F241" s="795" t="str">
        <f>Table1[[#This Row],[Chronic RA label]]</f>
        <v/>
      </c>
      <c r="G241" s="797">
        <f>Table1[[#This Row],[Acute RA input value]]</f>
        <v>0</v>
      </c>
      <c r="H241" s="836">
        <f>Table1[[#This Row],[Acute RA label]]</f>
        <v>0</v>
      </c>
      <c r="J241" s="553">
        <f>Table22[[#This Row],[Code no.]]</f>
        <v>402990</v>
      </c>
      <c r="K241" s="553" t="str">
        <f>Table22[[#This Row],[Commodity or group of commodities to which the MRLs apply]]</f>
        <v>Other oilfruit</v>
      </c>
      <c r="L241" s="553">
        <f>Table22[[#This Row],[Source / type of MRL]]</f>
        <v>0</v>
      </c>
      <c r="M241" s="553">
        <f>Table22[[#This Row],[MRL/ proposed MRL /CXL
(mg/kg)]]</f>
        <v>0</v>
      </c>
      <c r="N241" s="553">
        <f>Table22[[#This Row],[LOQ]]</f>
        <v>0</v>
      </c>
      <c r="O241" s="553">
        <f>Table22[[#This Row],[CFrisk for residue definition]]</f>
        <v>0</v>
      </c>
      <c r="P241" s="553">
        <f>Table22[[#This Row],[PeF (peeling factor RD enforcemen)]]</f>
        <v>0</v>
      </c>
      <c r="Q241" s="553">
        <f>Table22[[#This Row],[STMR-RAC (median residue)]]</f>
        <v>0</v>
      </c>
      <c r="R241" s="553">
        <f>Table22[[#This Row],[HR-RAC (highest residue)]]</f>
        <v>0</v>
      </c>
      <c r="S241" s="553">
        <f>Table22[[#This Row],[VF (alternative variability factor)]]</f>
        <v>0</v>
      </c>
      <c r="T241" s="553">
        <f>Table22[[#This Row],[GAP under assessment]]</f>
        <v>0</v>
      </c>
      <c r="U241" s="553">
        <f>Table22[[#This Row],[Post-harvest treatment]]</f>
        <v>0</v>
      </c>
      <c r="V241" s="553" t="str">
        <f>Table22[[#This Row],[Chronic RA label]]</f>
        <v/>
      </c>
      <c r="W241" s="553">
        <f>Table22[[#This Row],[Chronic RA input value]]</f>
        <v>0</v>
      </c>
      <c r="X241" s="1684"/>
      <c r="Y241" s="553">
        <f>Table22[[#This Row],[Acute RA input value]]</f>
        <v>0</v>
      </c>
      <c r="Z241" s="786">
        <f>SUM(Table1[[#This Row],[chronic value &lt;&gt;MRL/LOQ]:[acute vlue&lt;&gt;MRL/LOQ]])</f>
        <v>0</v>
      </c>
      <c r="AA241" s="786">
        <f>IF(AND($F$5="Refined calculation mode",Table1[[#This Row],[GAP under assessment]]="Y"),1,IF(OR(Table1[[#This Row],[Chronic RA label]]="LOQ",Table1[[#This Row],[Chronic RA label]]="",Table1[[#This Row],[Chronic RA label]]="MRL"),0,1))</f>
        <v>0</v>
      </c>
      <c r="AB241" s="787">
        <f>IF(OR(Table1[[#This Row],[Acute RA label]]="LOQ",Table1[[#This Row],[Acute RA label]]="",Table1[[#This Row],[Acute RA label]]="MRL"),0,1)</f>
        <v>0</v>
      </c>
    </row>
    <row r="242" spans="1:28" ht="13.5" hidden="1" thickTop="1" x14ac:dyDescent="0.2">
      <c r="A242" s="815">
        <f>Table1[[#This Row],[Code no.]]</f>
        <v>500000</v>
      </c>
      <c r="B242" s="793" t="str">
        <f>Table1[[#This Row],[Commodity or group of commodities to which the MRLs apply]]</f>
        <v>CEREALS</v>
      </c>
      <c r="C242" s="794">
        <f>Table1[[#This Row],[MRL/ proposed MRL /CXL
(mg/kg)]]</f>
        <v>0</v>
      </c>
      <c r="D242" s="795">
        <f>Table1[[#This Row],[Source of MRL]]</f>
        <v>0</v>
      </c>
      <c r="E242" s="797">
        <f>Table1[[#This Row],[Chronic RA input value]]</f>
        <v>0</v>
      </c>
      <c r="F242" s="795">
        <f>Table1[[#This Row],[Chronic RA label]]</f>
        <v>0</v>
      </c>
      <c r="G242" s="797">
        <f>Table1[[#This Row],[Acute RA input value]]</f>
        <v>0</v>
      </c>
      <c r="H242" s="836">
        <f>Table1[[#This Row],[Acute RA label]]</f>
        <v>0</v>
      </c>
      <c r="J242" s="553">
        <f>Table22[[#This Row],[Code no.]]</f>
        <v>500000</v>
      </c>
      <c r="K242" s="553" t="str">
        <f>Table22[[#This Row],[Commodity or group of commodities to which the MRLs apply]]</f>
        <v>CEREALS</v>
      </c>
      <c r="L242" s="553">
        <f>Table22[[#This Row],[Source / type of MRL]]</f>
        <v>0</v>
      </c>
      <c r="M242" s="553">
        <f>Table22[[#This Row],[MRL/ proposed MRL /CXL
(mg/kg)]]</f>
        <v>0</v>
      </c>
      <c r="N242" s="553">
        <f>Table22[[#This Row],[LOQ]]</f>
        <v>0</v>
      </c>
      <c r="O242" s="553">
        <f>Table22[[#This Row],[CFrisk for residue definition]]</f>
        <v>0</v>
      </c>
      <c r="P242" s="553">
        <f>Table22[[#This Row],[PeF (peeling factor RD enforcemen)]]</f>
        <v>0</v>
      </c>
      <c r="Q242" s="553">
        <f>Table22[[#This Row],[STMR-RAC (median residue)]]</f>
        <v>0</v>
      </c>
      <c r="R242" s="553">
        <f>Table22[[#This Row],[HR-RAC (highest residue)]]</f>
        <v>0</v>
      </c>
      <c r="S242" s="553">
        <f>Table22[[#This Row],[VF (alternative variability factor)]]</f>
        <v>0</v>
      </c>
      <c r="T242" s="553">
        <f>Table22[[#This Row],[GAP under assessment]]</f>
        <v>0</v>
      </c>
      <c r="U242" s="553">
        <f>Table22[[#This Row],[Post-harvest treatment]]</f>
        <v>0</v>
      </c>
      <c r="V242" s="553"/>
      <c r="W242" s="553">
        <f>Table22[[#This Row],[Chronic RA input value]]</f>
        <v>0</v>
      </c>
      <c r="X242" s="1684"/>
      <c r="Y242" s="553">
        <f>Table22[[#This Row],[Acute RA input value]]</f>
        <v>0</v>
      </c>
      <c r="Z242" s="786">
        <f>SUM(Table1[[#This Row],[chronic value &lt;&gt;MRL/LOQ]:[acute vlue&lt;&gt;MRL/LOQ]])</f>
        <v>0</v>
      </c>
      <c r="AA242" s="786">
        <f>IF(AND($F$5="Refined calculation mode",Table1[[#This Row],[GAP under assessment]]="Y"),1,IF(OR(Table1[[#This Row],[Chronic RA label]]="LOQ",Table1[[#This Row],[Chronic RA label]]="",Table1[[#This Row],[Chronic RA label]]="MRL"),0,1))</f>
        <v>0</v>
      </c>
      <c r="AB242" s="787">
        <f>IF(OR(Table1[[#This Row],[Acute RA label]]="LOQ",Table1[[#This Row],[Acute RA label]]="",Table1[[#This Row],[Acute RA label]]="MRL"),0,1)</f>
        <v>0</v>
      </c>
    </row>
    <row r="243" spans="1:28" ht="13.5" hidden="1" thickTop="1" x14ac:dyDescent="0.2">
      <c r="A243" s="815">
        <f>Table1[[#This Row],[Code no.]]</f>
        <v>500010</v>
      </c>
      <c r="B243" s="793" t="str">
        <f>Table1[[#This Row],[Commodity or group of commodities to which the MRLs apply]]</f>
        <v xml:space="preserve">Barley </v>
      </c>
      <c r="C243" s="794">
        <f>Table1[[#This Row],[MRL/ proposed MRL /CXL
(mg/kg)]]</f>
        <v>0</v>
      </c>
      <c r="D243" s="795">
        <f>Table1[[#This Row],[Source of MRL]]</f>
        <v>0</v>
      </c>
      <c r="E243" s="797">
        <f>Table1[[#This Row],[Chronic RA input value]]</f>
        <v>0</v>
      </c>
      <c r="F243" s="795" t="str">
        <f>Table1[[#This Row],[Chronic RA label]]</f>
        <v/>
      </c>
      <c r="G243" s="797">
        <f>Table1[[#This Row],[Acute RA input value]]</f>
        <v>0</v>
      </c>
      <c r="H243" s="836" t="str">
        <f>Table1[[#This Row],[Acute RA label]]</f>
        <v/>
      </c>
      <c r="J243" s="553">
        <f>Table22[[#This Row],[Code no.]]</f>
        <v>500010</v>
      </c>
      <c r="K243" s="553" t="str">
        <f>Table22[[#This Row],[Commodity or group of commodities to which the MRLs apply]]</f>
        <v xml:space="preserve">Barley </v>
      </c>
      <c r="L243" s="553">
        <f>Table22[[#This Row],[Source / type of MRL]]</f>
        <v>0</v>
      </c>
      <c r="M243" s="553">
        <f>Table22[[#This Row],[MRL/ proposed MRL /CXL
(mg/kg)]]</f>
        <v>0</v>
      </c>
      <c r="N243" s="553">
        <f>Table22[[#This Row],[LOQ]]</f>
        <v>0</v>
      </c>
      <c r="O243" s="553">
        <f>Table22[[#This Row],[CFrisk for residue definition]]</f>
        <v>0</v>
      </c>
      <c r="P243" s="553">
        <f>Table22[[#This Row],[PeF (peeling factor RD enforcemen)]]</f>
        <v>0</v>
      </c>
      <c r="Q243" s="553">
        <f>Table22[[#This Row],[STMR-RAC (median residue)]]</f>
        <v>0</v>
      </c>
      <c r="R243" s="553">
        <f>Table22[[#This Row],[HR-RAC (highest residue)]]</f>
        <v>0</v>
      </c>
      <c r="S243" s="553">
        <f>Table22[[#This Row],[VF (alternative variability factor)]]</f>
        <v>0</v>
      </c>
      <c r="T243" s="553">
        <f>Table22[[#This Row],[GAP under assessment]]</f>
        <v>0</v>
      </c>
      <c r="U243" s="553">
        <f>Table22[[#This Row],[Post-harvest treatment]]</f>
        <v>0</v>
      </c>
      <c r="V243" s="553" t="str">
        <f>Table22[[#This Row],[Chronic RA label]]</f>
        <v/>
      </c>
      <c r="W243" s="553">
        <f>Table22[[#This Row],[Chronic RA input value]]</f>
        <v>0</v>
      </c>
      <c r="X243" s="1684" t="str">
        <f>Table22[[#This Row],[Acute RA label]]</f>
        <v/>
      </c>
      <c r="Y243" s="553">
        <f>Table22[[#This Row],[Acute RA input value]]</f>
        <v>0</v>
      </c>
      <c r="Z243" s="786">
        <f>SUM(Table1[[#This Row],[chronic value &lt;&gt;MRL/LOQ]:[acute vlue&lt;&gt;MRL/LOQ]])</f>
        <v>0</v>
      </c>
      <c r="AA243" s="786">
        <f>IF(AND($F$5="Refined calculation mode",Table1[[#This Row],[GAP under assessment]]="Y"),1,IF(OR(Table1[[#This Row],[Chronic RA label]]="LOQ",Table1[[#This Row],[Chronic RA label]]="",Table1[[#This Row],[Chronic RA label]]="MRL"),0,1))</f>
        <v>0</v>
      </c>
      <c r="AB243" s="787">
        <f>IF(OR(Table1[[#This Row],[Acute RA label]]="LOQ",Table1[[#This Row],[Acute RA label]]="",Table1[[#This Row],[Acute RA label]]="MRL"),0,1)</f>
        <v>0</v>
      </c>
    </row>
    <row r="244" spans="1:28" ht="32.25" hidden="1" thickTop="1" x14ac:dyDescent="0.2">
      <c r="A244" s="815">
        <f>Table1[[#This Row],[Code no.]]</f>
        <v>500020</v>
      </c>
      <c r="B244" s="793" t="str">
        <f>Table1[[#This Row],[Commodity or group of commodities to which the MRLs apply]]</f>
        <v>Buckwheat and other pseudo-cereals</v>
      </c>
      <c r="C244" s="794">
        <f>Table1[[#This Row],[MRL/ proposed MRL /CXL
(mg/kg)]]</f>
        <v>0</v>
      </c>
      <c r="D244" s="795">
        <f>Table1[[#This Row],[Source of MRL]]</f>
        <v>0</v>
      </c>
      <c r="E244" s="797">
        <f>Table1[[#This Row],[Chronic RA input value]]</f>
        <v>0</v>
      </c>
      <c r="F244" s="795" t="str">
        <f>Table1[[#This Row],[Chronic RA label]]</f>
        <v/>
      </c>
      <c r="G244" s="797">
        <f>Table1[[#This Row],[Acute RA input value]]</f>
        <v>0</v>
      </c>
      <c r="H244" s="836" t="str">
        <f>Table1[[#This Row],[Acute RA label]]</f>
        <v/>
      </c>
      <c r="J244" s="553">
        <f>Table22[[#This Row],[Code no.]]</f>
        <v>500020</v>
      </c>
      <c r="K244" s="553" t="str">
        <f>Table22[[#This Row],[Commodity or group of commodities to which the MRLs apply]]</f>
        <v>Buckwheat and other pseudo-cereals</v>
      </c>
      <c r="L244" s="553">
        <f>Table22[[#This Row],[Source / type of MRL]]</f>
        <v>0</v>
      </c>
      <c r="M244" s="553">
        <f>Table22[[#This Row],[MRL/ proposed MRL /CXL
(mg/kg)]]</f>
        <v>0</v>
      </c>
      <c r="N244" s="553">
        <f>Table22[[#This Row],[LOQ]]</f>
        <v>0</v>
      </c>
      <c r="O244" s="553">
        <f>Table22[[#This Row],[CFrisk for residue definition]]</f>
        <v>0</v>
      </c>
      <c r="P244" s="553">
        <f>Table22[[#This Row],[PeF (peeling factor RD enforcemen)]]</f>
        <v>0</v>
      </c>
      <c r="Q244" s="553">
        <f>Table22[[#This Row],[STMR-RAC (median residue)]]</f>
        <v>0</v>
      </c>
      <c r="R244" s="553">
        <f>Table22[[#This Row],[HR-RAC (highest residue)]]</f>
        <v>0</v>
      </c>
      <c r="S244" s="553">
        <f>Table22[[#This Row],[VF (alternative variability factor)]]</f>
        <v>0</v>
      </c>
      <c r="T244" s="553">
        <f>Table22[[#This Row],[GAP under assessment]]</f>
        <v>0</v>
      </c>
      <c r="U244" s="553">
        <f>Table22[[#This Row],[Post-harvest treatment]]</f>
        <v>0</v>
      </c>
      <c r="V244" s="553" t="str">
        <f>Table22[[#This Row],[Chronic RA label]]</f>
        <v/>
      </c>
      <c r="W244" s="553">
        <f>Table22[[#This Row],[Chronic RA input value]]</f>
        <v>0</v>
      </c>
      <c r="X244" s="1684" t="str">
        <f>Table22[[#This Row],[Acute RA label]]</f>
        <v/>
      </c>
      <c r="Y244" s="553">
        <f>Table22[[#This Row],[Acute RA input value]]</f>
        <v>0</v>
      </c>
      <c r="Z244" s="786">
        <f>SUM(Table1[[#This Row],[chronic value &lt;&gt;MRL/LOQ]:[acute vlue&lt;&gt;MRL/LOQ]])</f>
        <v>0</v>
      </c>
      <c r="AA244" s="786">
        <f>IF(AND($F$5="Refined calculation mode",Table1[[#This Row],[GAP under assessment]]="Y"),1,IF(OR(Table1[[#This Row],[Chronic RA label]]="LOQ",Table1[[#This Row],[Chronic RA label]]="",Table1[[#This Row],[Chronic RA label]]="MRL"),0,1))</f>
        <v>0</v>
      </c>
      <c r="AB244" s="787">
        <f>IF(OR(Table1[[#This Row],[Acute RA label]]="LOQ",Table1[[#This Row],[Acute RA label]]="",Table1[[#This Row],[Acute RA label]]="MRL"),0,1)</f>
        <v>0</v>
      </c>
    </row>
    <row r="245" spans="1:28" ht="13.5" hidden="1" thickTop="1" x14ac:dyDescent="0.2">
      <c r="A245" s="815">
        <f>Table1[[#This Row],[Code no.]]</f>
        <v>500030</v>
      </c>
      <c r="B245" s="793" t="str">
        <f>Table1[[#This Row],[Commodity or group of commodities to which the MRLs apply]]</f>
        <v>Maize/corn</v>
      </c>
      <c r="C245" s="794">
        <f>Table1[[#This Row],[MRL/ proposed MRL /CXL
(mg/kg)]]</f>
        <v>0</v>
      </c>
      <c r="D245" s="795">
        <f>Table1[[#This Row],[Source of MRL]]</f>
        <v>0</v>
      </c>
      <c r="E245" s="797">
        <f>Table1[[#This Row],[Chronic RA input value]]</f>
        <v>0</v>
      </c>
      <c r="F245" s="795" t="str">
        <f>Table1[[#This Row],[Chronic RA label]]</f>
        <v/>
      </c>
      <c r="G245" s="797">
        <f>Table1[[#This Row],[Acute RA input value]]</f>
        <v>0</v>
      </c>
      <c r="H245" s="836" t="str">
        <f>Table1[[#This Row],[Acute RA label]]</f>
        <v/>
      </c>
      <c r="J245" s="553">
        <f>Table22[[#This Row],[Code no.]]</f>
        <v>500030</v>
      </c>
      <c r="K245" s="553" t="str">
        <f>Table22[[#This Row],[Commodity or group of commodities to which the MRLs apply]]</f>
        <v>Maize/corn</v>
      </c>
      <c r="L245" s="553">
        <f>Table22[[#This Row],[Source / type of MRL]]</f>
        <v>0</v>
      </c>
      <c r="M245" s="553">
        <f>Table22[[#This Row],[MRL/ proposed MRL /CXL
(mg/kg)]]</f>
        <v>0</v>
      </c>
      <c r="N245" s="553">
        <f>Table22[[#This Row],[LOQ]]</f>
        <v>0</v>
      </c>
      <c r="O245" s="553">
        <f>Table22[[#This Row],[CFrisk for residue definition]]</f>
        <v>0</v>
      </c>
      <c r="P245" s="553">
        <f>Table22[[#This Row],[PeF (peeling factor RD enforcemen)]]</f>
        <v>0</v>
      </c>
      <c r="Q245" s="553">
        <f>Table22[[#This Row],[STMR-RAC (median residue)]]</f>
        <v>0</v>
      </c>
      <c r="R245" s="553">
        <f>Table22[[#This Row],[HR-RAC (highest residue)]]</f>
        <v>0</v>
      </c>
      <c r="S245" s="553">
        <f>Table22[[#This Row],[VF (alternative variability factor)]]</f>
        <v>0</v>
      </c>
      <c r="T245" s="553">
        <f>Table22[[#This Row],[GAP under assessment]]</f>
        <v>0</v>
      </c>
      <c r="U245" s="553">
        <f>Table22[[#This Row],[Post-harvest treatment]]</f>
        <v>0</v>
      </c>
      <c r="V245" s="553" t="str">
        <f>Table22[[#This Row],[Chronic RA label]]</f>
        <v/>
      </c>
      <c r="W245" s="553">
        <f>Table22[[#This Row],[Chronic RA input value]]</f>
        <v>0</v>
      </c>
      <c r="X245" s="1684" t="str">
        <f>Table22[[#This Row],[Acute RA label]]</f>
        <v/>
      </c>
      <c r="Y245" s="553">
        <f>Table22[[#This Row],[Acute RA input value]]</f>
        <v>0</v>
      </c>
      <c r="Z245" s="786">
        <f>SUM(Table1[[#This Row],[chronic value &lt;&gt;MRL/LOQ]:[acute vlue&lt;&gt;MRL/LOQ]])</f>
        <v>0</v>
      </c>
      <c r="AA245" s="786">
        <f>IF(AND($F$5="Refined calculation mode",Table1[[#This Row],[GAP under assessment]]="Y"),1,IF(OR(Table1[[#This Row],[Chronic RA label]]="LOQ",Table1[[#This Row],[Chronic RA label]]="",Table1[[#This Row],[Chronic RA label]]="MRL"),0,1))</f>
        <v>0</v>
      </c>
      <c r="AB245" s="787">
        <f>IF(OR(Table1[[#This Row],[Acute RA label]]="LOQ",Table1[[#This Row],[Acute RA label]]="",Table1[[#This Row],[Acute RA label]]="MRL"),0,1)</f>
        <v>0</v>
      </c>
    </row>
    <row r="246" spans="1:28" ht="21.75" hidden="1" thickTop="1" x14ac:dyDescent="0.2">
      <c r="A246" s="815">
        <f>Table1[[#This Row],[Code no.]]</f>
        <v>500040</v>
      </c>
      <c r="B246" s="793" t="str">
        <f>Table1[[#This Row],[Commodity or group of commodities to which the MRLs apply]]</f>
        <v>Common millet/proso millet</v>
      </c>
      <c r="C246" s="794">
        <f>Table1[[#This Row],[MRL/ proposed MRL /CXL
(mg/kg)]]</f>
        <v>0</v>
      </c>
      <c r="D246" s="795">
        <f>Table1[[#This Row],[Source of MRL]]</f>
        <v>0</v>
      </c>
      <c r="E246" s="797">
        <f>Table1[[#This Row],[Chronic RA input value]]</f>
        <v>0</v>
      </c>
      <c r="F246" s="795" t="str">
        <f>Table1[[#This Row],[Chronic RA label]]</f>
        <v/>
      </c>
      <c r="G246" s="797">
        <f>Table1[[#This Row],[Acute RA input value]]</f>
        <v>0</v>
      </c>
      <c r="H246" s="836" t="str">
        <f>Table1[[#This Row],[Acute RA label]]</f>
        <v/>
      </c>
      <c r="J246" s="553">
        <f>Table22[[#This Row],[Code no.]]</f>
        <v>500040</v>
      </c>
      <c r="K246" s="553" t="str">
        <f>Table22[[#This Row],[Commodity or group of commodities to which the MRLs apply]]</f>
        <v>Common millet/proso millet</v>
      </c>
      <c r="L246" s="553">
        <f>Table22[[#This Row],[Source / type of MRL]]</f>
        <v>0</v>
      </c>
      <c r="M246" s="553">
        <f>Table22[[#This Row],[MRL/ proposed MRL /CXL
(mg/kg)]]</f>
        <v>0</v>
      </c>
      <c r="N246" s="553">
        <f>Table22[[#This Row],[LOQ]]</f>
        <v>0</v>
      </c>
      <c r="O246" s="553">
        <f>Table22[[#This Row],[CFrisk for residue definition]]</f>
        <v>0</v>
      </c>
      <c r="P246" s="553">
        <f>Table22[[#This Row],[PeF (peeling factor RD enforcemen)]]</f>
        <v>0</v>
      </c>
      <c r="Q246" s="553">
        <f>Table22[[#This Row],[STMR-RAC (median residue)]]</f>
        <v>0</v>
      </c>
      <c r="R246" s="553">
        <f>Table22[[#This Row],[HR-RAC (highest residue)]]</f>
        <v>0</v>
      </c>
      <c r="S246" s="553">
        <f>Table22[[#This Row],[VF (alternative variability factor)]]</f>
        <v>0</v>
      </c>
      <c r="T246" s="553">
        <f>Table22[[#This Row],[GAP under assessment]]</f>
        <v>0</v>
      </c>
      <c r="U246" s="553">
        <f>Table22[[#This Row],[Post-harvest treatment]]</f>
        <v>0</v>
      </c>
      <c r="V246" s="553" t="str">
        <f>Table22[[#This Row],[Chronic RA label]]</f>
        <v/>
      </c>
      <c r="W246" s="553">
        <f>Table22[[#This Row],[Chronic RA input value]]</f>
        <v>0</v>
      </c>
      <c r="X246" s="1684" t="str">
        <f>Table22[[#This Row],[Acute RA label]]</f>
        <v/>
      </c>
      <c r="Y246" s="553">
        <f>Table22[[#This Row],[Acute RA input value]]</f>
        <v>0</v>
      </c>
      <c r="Z246" s="786">
        <f>SUM(Table1[[#This Row],[chronic value &lt;&gt;MRL/LOQ]:[acute vlue&lt;&gt;MRL/LOQ]])</f>
        <v>0</v>
      </c>
      <c r="AA246" s="786">
        <f>IF(AND($F$5="Refined calculation mode",Table1[[#This Row],[GAP under assessment]]="Y"),1,IF(OR(Table1[[#This Row],[Chronic RA label]]="LOQ",Table1[[#This Row],[Chronic RA label]]="",Table1[[#This Row],[Chronic RA label]]="MRL"),0,1))</f>
        <v>0</v>
      </c>
      <c r="AB246" s="787">
        <f>IF(OR(Table1[[#This Row],[Acute RA label]]="LOQ",Table1[[#This Row],[Acute RA label]]="",Table1[[#This Row],[Acute RA label]]="MRL"),0,1)</f>
        <v>0</v>
      </c>
    </row>
    <row r="247" spans="1:28" ht="13.5" hidden="1" thickTop="1" x14ac:dyDescent="0.2">
      <c r="A247" s="815">
        <f>Table1[[#This Row],[Code no.]]</f>
        <v>500050</v>
      </c>
      <c r="B247" s="793" t="str">
        <f>Table1[[#This Row],[Commodity or group of commodities to which the MRLs apply]]</f>
        <v>Oat</v>
      </c>
      <c r="C247" s="794">
        <f>Table1[[#This Row],[MRL/ proposed MRL /CXL
(mg/kg)]]</f>
        <v>0</v>
      </c>
      <c r="D247" s="795">
        <f>Table1[[#This Row],[Source of MRL]]</f>
        <v>0</v>
      </c>
      <c r="E247" s="797">
        <f>Table1[[#This Row],[Chronic RA input value]]</f>
        <v>0</v>
      </c>
      <c r="F247" s="795" t="str">
        <f>Table1[[#This Row],[Chronic RA label]]</f>
        <v/>
      </c>
      <c r="G247" s="797">
        <f>Table1[[#This Row],[Acute RA input value]]</f>
        <v>0</v>
      </c>
      <c r="H247" s="836" t="str">
        <f>Table1[[#This Row],[Acute RA label]]</f>
        <v/>
      </c>
      <c r="J247" s="553">
        <f>Table22[[#This Row],[Code no.]]</f>
        <v>500050</v>
      </c>
      <c r="K247" s="553" t="str">
        <f>Table22[[#This Row],[Commodity or group of commodities to which the MRLs apply]]</f>
        <v>Oat</v>
      </c>
      <c r="L247" s="553">
        <f>Table22[[#This Row],[Source / type of MRL]]</f>
        <v>0</v>
      </c>
      <c r="M247" s="553">
        <f>Table22[[#This Row],[MRL/ proposed MRL /CXL
(mg/kg)]]</f>
        <v>0</v>
      </c>
      <c r="N247" s="553">
        <f>Table22[[#This Row],[LOQ]]</f>
        <v>0</v>
      </c>
      <c r="O247" s="553">
        <f>Table22[[#This Row],[CFrisk for residue definition]]</f>
        <v>0</v>
      </c>
      <c r="P247" s="553">
        <f>Table22[[#This Row],[PeF (peeling factor RD enforcemen)]]</f>
        <v>0</v>
      </c>
      <c r="Q247" s="553">
        <f>Table22[[#This Row],[STMR-RAC (median residue)]]</f>
        <v>0</v>
      </c>
      <c r="R247" s="553">
        <f>Table22[[#This Row],[HR-RAC (highest residue)]]</f>
        <v>0</v>
      </c>
      <c r="S247" s="553">
        <f>Table22[[#This Row],[VF (alternative variability factor)]]</f>
        <v>0</v>
      </c>
      <c r="T247" s="553">
        <f>Table22[[#This Row],[GAP under assessment]]</f>
        <v>0</v>
      </c>
      <c r="U247" s="553">
        <f>Table22[[#This Row],[Post-harvest treatment]]</f>
        <v>0</v>
      </c>
      <c r="V247" s="553" t="str">
        <f>Table22[[#This Row],[Chronic RA label]]</f>
        <v/>
      </c>
      <c r="W247" s="553">
        <f>Table22[[#This Row],[Chronic RA input value]]</f>
        <v>0</v>
      </c>
      <c r="X247" s="1684" t="str">
        <f>Table22[[#This Row],[Acute RA label]]</f>
        <v/>
      </c>
      <c r="Y247" s="553">
        <f>Table22[[#This Row],[Acute RA input value]]</f>
        <v>0</v>
      </c>
      <c r="Z247" s="786">
        <f>SUM(Table1[[#This Row],[chronic value &lt;&gt;MRL/LOQ]:[acute vlue&lt;&gt;MRL/LOQ]])</f>
        <v>0</v>
      </c>
      <c r="AA247" s="786">
        <f>IF(AND($F$5="Refined calculation mode",Table1[[#This Row],[GAP under assessment]]="Y"),1,IF(OR(Table1[[#This Row],[Chronic RA label]]="LOQ",Table1[[#This Row],[Chronic RA label]]="",Table1[[#This Row],[Chronic RA label]]="MRL"),0,1))</f>
        <v>0</v>
      </c>
      <c r="AB247" s="787">
        <f>IF(OR(Table1[[#This Row],[Acute RA label]]="LOQ",Table1[[#This Row],[Acute RA label]]="",Table1[[#This Row],[Acute RA label]]="MRL"),0,1)</f>
        <v>0</v>
      </c>
    </row>
    <row r="248" spans="1:28" ht="13.5" hidden="1" thickTop="1" x14ac:dyDescent="0.2">
      <c r="A248" s="815">
        <f>Table1[[#This Row],[Code no.]]</f>
        <v>500060</v>
      </c>
      <c r="B248" s="793" t="str">
        <f>Table1[[#This Row],[Commodity or group of commodities to which the MRLs apply]]</f>
        <v>Rice</v>
      </c>
      <c r="C248" s="794">
        <f>Table1[[#This Row],[MRL/ proposed MRL /CXL
(mg/kg)]]</f>
        <v>0</v>
      </c>
      <c r="D248" s="795">
        <f>Table1[[#This Row],[Source of MRL]]</f>
        <v>0</v>
      </c>
      <c r="E248" s="797">
        <f>Table1[[#This Row],[Chronic RA input value]]</f>
        <v>0</v>
      </c>
      <c r="F248" s="795" t="str">
        <f>Table1[[#This Row],[Chronic RA label]]</f>
        <v/>
      </c>
      <c r="G248" s="797">
        <f>Table1[[#This Row],[Acute RA input value]]</f>
        <v>0</v>
      </c>
      <c r="H248" s="836" t="str">
        <f>Table1[[#This Row],[Acute RA label]]</f>
        <v/>
      </c>
      <c r="J248" s="553">
        <f>Table22[[#This Row],[Code no.]]</f>
        <v>500060</v>
      </c>
      <c r="K248" s="553" t="str">
        <f>Table22[[#This Row],[Commodity or group of commodities to which the MRLs apply]]</f>
        <v>Rice</v>
      </c>
      <c r="L248" s="553">
        <f>Table22[[#This Row],[Source / type of MRL]]</f>
        <v>0</v>
      </c>
      <c r="M248" s="553">
        <f>Table22[[#This Row],[MRL/ proposed MRL /CXL
(mg/kg)]]</f>
        <v>0</v>
      </c>
      <c r="N248" s="553">
        <f>Table22[[#This Row],[LOQ]]</f>
        <v>0</v>
      </c>
      <c r="O248" s="553">
        <f>Table22[[#This Row],[CFrisk for residue definition]]</f>
        <v>0</v>
      </c>
      <c r="P248" s="553">
        <f>Table22[[#This Row],[PeF (peeling factor RD enforcemen)]]</f>
        <v>0</v>
      </c>
      <c r="Q248" s="553">
        <f>Table22[[#This Row],[STMR-RAC (median residue)]]</f>
        <v>0</v>
      </c>
      <c r="R248" s="553">
        <f>Table22[[#This Row],[HR-RAC (highest residue)]]</f>
        <v>0</v>
      </c>
      <c r="S248" s="553">
        <f>Table22[[#This Row],[VF (alternative variability factor)]]</f>
        <v>0</v>
      </c>
      <c r="T248" s="553">
        <f>Table22[[#This Row],[GAP under assessment]]</f>
        <v>0</v>
      </c>
      <c r="U248" s="553">
        <f>Table22[[#This Row],[Post-harvest treatment]]</f>
        <v>0</v>
      </c>
      <c r="V248" s="553" t="str">
        <f>Table22[[#This Row],[Chronic RA label]]</f>
        <v/>
      </c>
      <c r="W248" s="553">
        <f>Table22[[#This Row],[Chronic RA input value]]</f>
        <v>0</v>
      </c>
      <c r="X248" s="1684" t="str">
        <f>Table22[[#This Row],[Acute RA label]]</f>
        <v/>
      </c>
      <c r="Y248" s="553">
        <f>Table22[[#This Row],[Acute RA input value]]</f>
        <v>0</v>
      </c>
      <c r="Z248" s="786">
        <f>SUM(Table1[[#This Row],[chronic value &lt;&gt;MRL/LOQ]:[acute vlue&lt;&gt;MRL/LOQ]])</f>
        <v>0</v>
      </c>
      <c r="AA248" s="786">
        <f>IF(AND($F$5="Refined calculation mode",Table1[[#This Row],[GAP under assessment]]="Y"),1,IF(OR(Table1[[#This Row],[Chronic RA label]]="LOQ",Table1[[#This Row],[Chronic RA label]]="",Table1[[#This Row],[Chronic RA label]]="MRL"),0,1))</f>
        <v>0</v>
      </c>
      <c r="AB248" s="787">
        <f>IF(OR(Table1[[#This Row],[Acute RA label]]="LOQ",Table1[[#This Row],[Acute RA label]]="",Table1[[#This Row],[Acute RA label]]="MRL"),0,1)</f>
        <v>0</v>
      </c>
    </row>
    <row r="249" spans="1:28" ht="13.5" hidden="1" thickTop="1" x14ac:dyDescent="0.2">
      <c r="A249" s="815">
        <f>Table1[[#This Row],[Code no.]]</f>
        <v>500070</v>
      </c>
      <c r="B249" s="793" t="str">
        <f>Table1[[#This Row],[Commodity or group of commodities to which the MRLs apply]]</f>
        <v>Rye</v>
      </c>
      <c r="C249" s="794">
        <f>Table1[[#This Row],[MRL/ proposed MRL /CXL
(mg/kg)]]</f>
        <v>0</v>
      </c>
      <c r="D249" s="795">
        <f>Table1[[#This Row],[Source of MRL]]</f>
        <v>0</v>
      </c>
      <c r="E249" s="797">
        <f>Table1[[#This Row],[Chronic RA input value]]</f>
        <v>0</v>
      </c>
      <c r="F249" s="795" t="str">
        <f>Table1[[#This Row],[Chronic RA label]]</f>
        <v/>
      </c>
      <c r="G249" s="797">
        <f>Table1[[#This Row],[Acute RA input value]]</f>
        <v>0</v>
      </c>
      <c r="H249" s="836" t="str">
        <f>Table1[[#This Row],[Acute RA label]]</f>
        <v/>
      </c>
      <c r="J249" s="553">
        <f>Table22[[#This Row],[Code no.]]</f>
        <v>500070</v>
      </c>
      <c r="K249" s="553" t="str">
        <f>Table22[[#This Row],[Commodity or group of commodities to which the MRLs apply]]</f>
        <v>Rye</v>
      </c>
      <c r="L249" s="553">
        <f>Table22[[#This Row],[Source / type of MRL]]</f>
        <v>0</v>
      </c>
      <c r="M249" s="553">
        <f>Table22[[#This Row],[MRL/ proposed MRL /CXL
(mg/kg)]]</f>
        <v>0</v>
      </c>
      <c r="N249" s="553">
        <f>Table22[[#This Row],[LOQ]]</f>
        <v>0</v>
      </c>
      <c r="O249" s="553">
        <f>Table22[[#This Row],[CFrisk for residue definition]]</f>
        <v>0</v>
      </c>
      <c r="P249" s="553">
        <f>Table22[[#This Row],[PeF (peeling factor RD enforcemen)]]</f>
        <v>0</v>
      </c>
      <c r="Q249" s="553">
        <f>Table22[[#This Row],[STMR-RAC (median residue)]]</f>
        <v>0</v>
      </c>
      <c r="R249" s="553">
        <f>Table22[[#This Row],[HR-RAC (highest residue)]]</f>
        <v>0</v>
      </c>
      <c r="S249" s="553">
        <f>Table22[[#This Row],[VF (alternative variability factor)]]</f>
        <v>0</v>
      </c>
      <c r="T249" s="553">
        <f>Table22[[#This Row],[GAP under assessment]]</f>
        <v>0</v>
      </c>
      <c r="U249" s="553">
        <f>Table22[[#This Row],[Post-harvest treatment]]</f>
        <v>0</v>
      </c>
      <c r="V249" s="553" t="str">
        <f>Table22[[#This Row],[Chronic RA label]]</f>
        <v/>
      </c>
      <c r="W249" s="553">
        <f>Table22[[#This Row],[Chronic RA input value]]</f>
        <v>0</v>
      </c>
      <c r="X249" s="1684" t="str">
        <f>Table22[[#This Row],[Acute RA label]]</f>
        <v/>
      </c>
      <c r="Y249" s="553">
        <f>Table22[[#This Row],[Acute RA input value]]</f>
        <v>0</v>
      </c>
      <c r="Z249" s="786">
        <f>SUM(Table1[[#This Row],[chronic value &lt;&gt;MRL/LOQ]:[acute vlue&lt;&gt;MRL/LOQ]])</f>
        <v>0</v>
      </c>
      <c r="AA249" s="786">
        <f>IF(AND($F$5="Refined calculation mode",Table1[[#This Row],[GAP under assessment]]="Y"),1,IF(OR(Table1[[#This Row],[Chronic RA label]]="LOQ",Table1[[#This Row],[Chronic RA label]]="",Table1[[#This Row],[Chronic RA label]]="MRL"),0,1))</f>
        <v>0</v>
      </c>
      <c r="AB249" s="787">
        <f>IF(OR(Table1[[#This Row],[Acute RA label]]="LOQ",Table1[[#This Row],[Acute RA label]]="",Table1[[#This Row],[Acute RA label]]="MRL"),0,1)</f>
        <v>0</v>
      </c>
    </row>
    <row r="250" spans="1:28" ht="13.5" hidden="1" thickTop="1" x14ac:dyDescent="0.2">
      <c r="A250" s="815">
        <f>Table1[[#This Row],[Code no.]]</f>
        <v>500080</v>
      </c>
      <c r="B250" s="793" t="str">
        <f>Table1[[#This Row],[Commodity or group of commodities to which the MRLs apply]]</f>
        <v>Sorghum</v>
      </c>
      <c r="C250" s="794">
        <f>Table1[[#This Row],[MRL/ proposed MRL /CXL
(mg/kg)]]</f>
        <v>0</v>
      </c>
      <c r="D250" s="795">
        <f>Table1[[#This Row],[Source of MRL]]</f>
        <v>0</v>
      </c>
      <c r="E250" s="797">
        <f>Table1[[#This Row],[Chronic RA input value]]</f>
        <v>0</v>
      </c>
      <c r="F250" s="795" t="str">
        <f>Table1[[#This Row],[Chronic RA label]]</f>
        <v/>
      </c>
      <c r="G250" s="797">
        <f>Table1[[#This Row],[Acute RA input value]]</f>
        <v>0</v>
      </c>
      <c r="H250" s="836" t="str">
        <f>Table1[[#This Row],[Acute RA label]]</f>
        <v/>
      </c>
      <c r="J250" s="553">
        <f>Table22[[#This Row],[Code no.]]</f>
        <v>500080</v>
      </c>
      <c r="K250" s="553" t="str">
        <f>Table22[[#This Row],[Commodity or group of commodities to which the MRLs apply]]</f>
        <v>Sorghum</v>
      </c>
      <c r="L250" s="553">
        <f>Table22[[#This Row],[Source / type of MRL]]</f>
        <v>0</v>
      </c>
      <c r="M250" s="553">
        <f>Table22[[#This Row],[MRL/ proposed MRL /CXL
(mg/kg)]]</f>
        <v>0</v>
      </c>
      <c r="N250" s="553">
        <f>Table22[[#This Row],[LOQ]]</f>
        <v>0</v>
      </c>
      <c r="O250" s="553">
        <f>Table22[[#This Row],[CFrisk for residue definition]]</f>
        <v>0</v>
      </c>
      <c r="P250" s="553">
        <f>Table22[[#This Row],[PeF (peeling factor RD enforcemen)]]</f>
        <v>0</v>
      </c>
      <c r="Q250" s="553">
        <f>Table22[[#This Row],[STMR-RAC (median residue)]]</f>
        <v>0</v>
      </c>
      <c r="R250" s="553">
        <f>Table22[[#This Row],[HR-RAC (highest residue)]]</f>
        <v>0</v>
      </c>
      <c r="S250" s="553">
        <f>Table22[[#This Row],[VF (alternative variability factor)]]</f>
        <v>0</v>
      </c>
      <c r="T250" s="553">
        <f>Table22[[#This Row],[GAP under assessment]]</f>
        <v>0</v>
      </c>
      <c r="U250" s="553">
        <f>Table22[[#This Row],[Post-harvest treatment]]</f>
        <v>0</v>
      </c>
      <c r="V250" s="553" t="str">
        <f>Table22[[#This Row],[Chronic RA label]]</f>
        <v/>
      </c>
      <c r="W250" s="553">
        <f>Table22[[#This Row],[Chronic RA input value]]</f>
        <v>0</v>
      </c>
      <c r="X250" s="1684" t="str">
        <f>Table22[[#This Row],[Acute RA label]]</f>
        <v/>
      </c>
      <c r="Y250" s="553">
        <f>Table22[[#This Row],[Acute RA input value]]</f>
        <v>0</v>
      </c>
      <c r="Z250" s="786">
        <f>SUM(Table1[[#This Row],[chronic value &lt;&gt;MRL/LOQ]:[acute vlue&lt;&gt;MRL/LOQ]])</f>
        <v>0</v>
      </c>
      <c r="AA250" s="786">
        <f>IF(AND($F$5="Refined calculation mode",Table1[[#This Row],[GAP under assessment]]="Y"),1,IF(OR(Table1[[#This Row],[Chronic RA label]]="LOQ",Table1[[#This Row],[Chronic RA label]]="",Table1[[#This Row],[Chronic RA label]]="MRL"),0,1))</f>
        <v>0</v>
      </c>
      <c r="AB250" s="787">
        <f>IF(OR(Table1[[#This Row],[Acute RA label]]="LOQ",Table1[[#This Row],[Acute RA label]]="",Table1[[#This Row],[Acute RA label]]="MRL"),0,1)</f>
        <v>0</v>
      </c>
    </row>
    <row r="251" spans="1:28" ht="13.5" hidden="1" thickTop="1" x14ac:dyDescent="0.2">
      <c r="A251" s="815">
        <f>Table1[[#This Row],[Code no.]]</f>
        <v>500090</v>
      </c>
      <c r="B251" s="793" t="str">
        <f>Table1[[#This Row],[Commodity or group of commodities to which the MRLs apply]]</f>
        <v>Wheat</v>
      </c>
      <c r="C251" s="794">
        <f>Table1[[#This Row],[MRL/ proposed MRL /CXL
(mg/kg)]]</f>
        <v>0</v>
      </c>
      <c r="D251" s="795">
        <f>Table1[[#This Row],[Source of MRL]]</f>
        <v>0</v>
      </c>
      <c r="E251" s="797">
        <f>Table1[[#This Row],[Chronic RA input value]]</f>
        <v>0</v>
      </c>
      <c r="F251" s="795" t="str">
        <f>Table1[[#This Row],[Chronic RA label]]</f>
        <v/>
      </c>
      <c r="G251" s="797">
        <f>Table1[[#This Row],[Acute RA input value]]</f>
        <v>0</v>
      </c>
      <c r="H251" s="836" t="str">
        <f>Table1[[#This Row],[Acute RA label]]</f>
        <v/>
      </c>
      <c r="J251" s="553">
        <f>Table22[[#This Row],[Code no.]]</f>
        <v>500090</v>
      </c>
      <c r="K251" s="553" t="str">
        <f>Table22[[#This Row],[Commodity or group of commodities to which the MRLs apply]]</f>
        <v>Wheat</v>
      </c>
      <c r="L251" s="553">
        <f>Table22[[#This Row],[Source / type of MRL]]</f>
        <v>0</v>
      </c>
      <c r="M251" s="553">
        <f>Table22[[#This Row],[MRL/ proposed MRL /CXL
(mg/kg)]]</f>
        <v>0</v>
      </c>
      <c r="N251" s="553">
        <f>Table22[[#This Row],[LOQ]]</f>
        <v>0</v>
      </c>
      <c r="O251" s="553">
        <f>Table22[[#This Row],[CFrisk for residue definition]]</f>
        <v>0</v>
      </c>
      <c r="P251" s="553">
        <f>Table22[[#This Row],[PeF (peeling factor RD enforcemen)]]</f>
        <v>0</v>
      </c>
      <c r="Q251" s="553">
        <f>Table22[[#This Row],[STMR-RAC (median residue)]]</f>
        <v>0</v>
      </c>
      <c r="R251" s="553">
        <f>Table22[[#This Row],[HR-RAC (highest residue)]]</f>
        <v>0</v>
      </c>
      <c r="S251" s="553">
        <f>Table22[[#This Row],[VF (alternative variability factor)]]</f>
        <v>0</v>
      </c>
      <c r="T251" s="553">
        <f>Table22[[#This Row],[GAP under assessment]]</f>
        <v>0</v>
      </c>
      <c r="U251" s="553">
        <f>Table22[[#This Row],[Post-harvest treatment]]</f>
        <v>0</v>
      </c>
      <c r="V251" s="553" t="str">
        <f>Table22[[#This Row],[Chronic RA label]]</f>
        <v/>
      </c>
      <c r="W251" s="553">
        <f>Table22[[#This Row],[Chronic RA input value]]</f>
        <v>0</v>
      </c>
      <c r="X251" s="1684" t="str">
        <f>Table22[[#This Row],[Acute RA label]]</f>
        <v/>
      </c>
      <c r="Y251" s="553">
        <f>Table22[[#This Row],[Acute RA input value]]</f>
        <v>0</v>
      </c>
      <c r="Z251" s="786">
        <f>SUM(Table1[[#This Row],[chronic value &lt;&gt;MRL/LOQ]:[acute vlue&lt;&gt;MRL/LOQ]])</f>
        <v>0</v>
      </c>
      <c r="AA251" s="786">
        <f>IF(AND($F$5="Refined calculation mode",Table1[[#This Row],[GAP under assessment]]="Y"),1,IF(OR(Table1[[#This Row],[Chronic RA label]]="LOQ",Table1[[#This Row],[Chronic RA label]]="",Table1[[#This Row],[Chronic RA label]]="MRL"),0,1))</f>
        <v>0</v>
      </c>
      <c r="AB251" s="787">
        <f>IF(OR(Table1[[#This Row],[Acute RA label]]="LOQ",Table1[[#This Row],[Acute RA label]]="",Table1[[#This Row],[Acute RA label]]="MRL"),0,1)</f>
        <v>0</v>
      </c>
    </row>
    <row r="252" spans="1:28" ht="13.5" hidden="1" thickTop="1" x14ac:dyDescent="0.2">
      <c r="A252" s="815">
        <f>Table1[[#This Row],[Code no.]]</f>
        <v>500990</v>
      </c>
      <c r="B252" s="793" t="str">
        <f>Table1[[#This Row],[Commodity or group of commodities to which the MRLs apply]]</f>
        <v>Other cereals</v>
      </c>
      <c r="C252" s="794">
        <f>Table1[[#This Row],[MRL/ proposed MRL /CXL
(mg/kg)]]</f>
        <v>0</v>
      </c>
      <c r="D252" s="795">
        <f>Table1[[#This Row],[Source of MRL]]</f>
        <v>0</v>
      </c>
      <c r="E252" s="797">
        <f>Table1[[#This Row],[Chronic RA input value]]</f>
        <v>0</v>
      </c>
      <c r="F252" s="795" t="str">
        <f>Table1[[#This Row],[Chronic RA label]]</f>
        <v/>
      </c>
      <c r="G252" s="797">
        <f>Table1[[#This Row],[Acute RA input value]]</f>
        <v>0</v>
      </c>
      <c r="H252" s="836">
        <f>Table1[[#This Row],[Acute RA label]]</f>
        <v>0</v>
      </c>
      <c r="J252" s="553">
        <f>Table22[[#This Row],[Code no.]]</f>
        <v>500990</v>
      </c>
      <c r="K252" s="553" t="str">
        <f>Table22[[#This Row],[Commodity or group of commodities to which the MRLs apply]]</f>
        <v>Other cereals</v>
      </c>
      <c r="L252" s="553">
        <f>Table22[[#This Row],[Source / type of MRL]]</f>
        <v>0</v>
      </c>
      <c r="M252" s="553">
        <f>Table22[[#This Row],[MRL/ proposed MRL /CXL
(mg/kg)]]</f>
        <v>0</v>
      </c>
      <c r="N252" s="553">
        <f>Table22[[#This Row],[LOQ]]</f>
        <v>0</v>
      </c>
      <c r="O252" s="553">
        <f>Table22[[#This Row],[CFrisk for residue definition]]</f>
        <v>0</v>
      </c>
      <c r="P252" s="553">
        <f>Table22[[#This Row],[PeF (peeling factor RD enforcemen)]]</f>
        <v>0</v>
      </c>
      <c r="Q252" s="553">
        <f>Table22[[#This Row],[STMR-RAC (median residue)]]</f>
        <v>0</v>
      </c>
      <c r="R252" s="553">
        <f>Table22[[#This Row],[HR-RAC (highest residue)]]</f>
        <v>0</v>
      </c>
      <c r="S252" s="553">
        <f>Table22[[#This Row],[VF (alternative variability factor)]]</f>
        <v>0</v>
      </c>
      <c r="T252" s="553">
        <f>Table22[[#This Row],[GAP under assessment]]</f>
        <v>0</v>
      </c>
      <c r="U252" s="553">
        <f>Table22[[#This Row],[Post-harvest treatment]]</f>
        <v>0</v>
      </c>
      <c r="V252" s="553" t="str">
        <f>Table22[[#This Row],[Chronic RA label]]</f>
        <v/>
      </c>
      <c r="W252" s="553">
        <f>Table22[[#This Row],[Chronic RA input value]]</f>
        <v>0</v>
      </c>
      <c r="X252" s="1684"/>
      <c r="Y252" s="553">
        <f>Table22[[#This Row],[Acute RA input value]]</f>
        <v>0</v>
      </c>
      <c r="Z252" s="786">
        <f>SUM(Table1[[#This Row],[chronic value &lt;&gt;MRL/LOQ]:[acute vlue&lt;&gt;MRL/LOQ]])</f>
        <v>0</v>
      </c>
      <c r="AA252" s="786">
        <f>IF(AND($F$5="Refined calculation mode",Table1[[#This Row],[GAP under assessment]]="Y"),1,IF(OR(Table1[[#This Row],[Chronic RA label]]="LOQ",Table1[[#This Row],[Chronic RA label]]="",Table1[[#This Row],[Chronic RA label]]="MRL"),0,1))</f>
        <v>0</v>
      </c>
      <c r="AB252" s="787">
        <f>IF(OR(Table1[[#This Row],[Acute RA label]]="LOQ",Table1[[#This Row],[Acute RA label]]="",Table1[[#This Row],[Acute RA label]]="MRL"),0,1)</f>
        <v>0</v>
      </c>
    </row>
    <row r="253" spans="1:28" ht="32.25" hidden="1" thickTop="1" x14ac:dyDescent="0.2">
      <c r="A253" s="815">
        <f>Table1[[#This Row],[Code no.]]</f>
        <v>600000</v>
      </c>
      <c r="B253" s="793" t="str">
        <f>Table1[[#This Row],[Commodity or group of commodities to which the MRLs apply]]</f>
        <v>TEA, COFFEE,  HERBAL INFUSIONS AND COCOA</v>
      </c>
      <c r="C253" s="794">
        <f>Table1[[#This Row],[MRL/ proposed MRL /CXL
(mg/kg)]]</f>
        <v>0</v>
      </c>
      <c r="D253" s="795">
        <f>Table1[[#This Row],[Source of MRL]]</f>
        <v>0</v>
      </c>
      <c r="E253" s="797">
        <f>Table1[[#This Row],[Chronic RA input value]]</f>
        <v>0</v>
      </c>
      <c r="F253" s="795">
        <f>Table1[[#This Row],[Chronic RA label]]</f>
        <v>0</v>
      </c>
      <c r="G253" s="797">
        <f>Table1[[#This Row],[Acute RA input value]]</f>
        <v>0</v>
      </c>
      <c r="H253" s="836">
        <f>Table1[[#This Row],[Acute RA label]]</f>
        <v>0</v>
      </c>
      <c r="J253" s="553">
        <f>Table22[[#This Row],[Code no.]]</f>
        <v>600000</v>
      </c>
      <c r="K253" s="553" t="str">
        <f>Table22[[#This Row],[Commodity or group of commodities to which the MRLs apply]]</f>
        <v>TEA, COFFEE,  HERBAL INFUSIONS AND COCOA</v>
      </c>
      <c r="L253" s="553">
        <f>Table22[[#This Row],[Source / type of MRL]]</f>
        <v>0</v>
      </c>
      <c r="M253" s="553">
        <f>Table22[[#This Row],[MRL/ proposed MRL /CXL
(mg/kg)]]</f>
        <v>0</v>
      </c>
      <c r="N253" s="553">
        <f>Table22[[#This Row],[LOQ]]</f>
        <v>0</v>
      </c>
      <c r="O253" s="553">
        <f>Table22[[#This Row],[CFrisk for residue definition]]</f>
        <v>0</v>
      </c>
      <c r="P253" s="553">
        <f>Table22[[#This Row],[PeF (peeling factor RD enforcemen)]]</f>
        <v>0</v>
      </c>
      <c r="Q253" s="553">
        <f>Table22[[#This Row],[STMR-RAC (median residue)]]</f>
        <v>0</v>
      </c>
      <c r="R253" s="553">
        <f>Table22[[#This Row],[HR-RAC (highest residue)]]</f>
        <v>0</v>
      </c>
      <c r="S253" s="553">
        <f>Table22[[#This Row],[VF (alternative variability factor)]]</f>
        <v>0</v>
      </c>
      <c r="T253" s="553">
        <f>Table22[[#This Row],[GAP under assessment]]</f>
        <v>0</v>
      </c>
      <c r="U253" s="553">
        <f>Table22[[#This Row],[Post-harvest treatment]]</f>
        <v>0</v>
      </c>
      <c r="V253" s="553"/>
      <c r="W253" s="553">
        <f>Table22[[#This Row],[Chronic RA input value]]</f>
        <v>0</v>
      </c>
      <c r="X253" s="1684"/>
      <c r="Y253" s="553">
        <f>Table22[[#This Row],[Acute RA input value]]</f>
        <v>0</v>
      </c>
      <c r="Z253" s="786">
        <f>SUM(Table1[[#This Row],[chronic value &lt;&gt;MRL/LOQ]:[acute vlue&lt;&gt;MRL/LOQ]])</f>
        <v>0</v>
      </c>
      <c r="AA253" s="786">
        <f>IF(AND($F$5="Refined calculation mode",Table1[[#This Row],[GAP under assessment]]="Y"),1,IF(OR(Table1[[#This Row],[Chronic RA label]]="LOQ",Table1[[#This Row],[Chronic RA label]]="",Table1[[#This Row],[Chronic RA label]]="MRL"),0,1))</f>
        <v>0</v>
      </c>
      <c r="AB253" s="787">
        <f>IF(OR(Table1[[#This Row],[Acute RA label]]="LOQ",Table1[[#This Row],[Acute RA label]]="",Table1[[#This Row],[Acute RA label]]="MRL"),0,1)</f>
        <v>0</v>
      </c>
    </row>
    <row r="254" spans="1:28" ht="21.75" hidden="1" thickTop="1" x14ac:dyDescent="0.2">
      <c r="A254" s="815">
        <f>Table1[[#This Row],[Code no.]]</f>
        <v>610000</v>
      </c>
      <c r="B254" s="793" t="str">
        <f>Table1[[#This Row],[Commodity or group of commodities to which the MRLs apply]]</f>
        <v>Tea (dried leaves of Camellia sinensis)</v>
      </c>
      <c r="C254" s="794">
        <f>Table1[[#This Row],[MRL/ proposed MRL /CXL
(mg/kg)]]</f>
        <v>0</v>
      </c>
      <c r="D254" s="795">
        <f>Table1[[#This Row],[Source of MRL]]</f>
        <v>0</v>
      </c>
      <c r="E254" s="797">
        <f>Table1[[#This Row],[Chronic RA input value]]</f>
        <v>0</v>
      </c>
      <c r="F254" s="795" t="str">
        <f>Table1[[#This Row],[Chronic RA label]]</f>
        <v/>
      </c>
      <c r="G254" s="797">
        <f>Table1[[#This Row],[Acute RA input value]]</f>
        <v>0</v>
      </c>
      <c r="H254" s="836" t="str">
        <f>Table1[[#This Row],[Acute RA label]]</f>
        <v/>
      </c>
      <c r="J254" s="553">
        <f>Table22[[#This Row],[Code no.]]</f>
        <v>610000</v>
      </c>
      <c r="K254" s="553" t="str">
        <f>Table22[[#This Row],[Commodity or group of commodities to which the MRLs apply]]</f>
        <v>Tea (dried leaves of Camellia sinensis)</v>
      </c>
      <c r="L254" s="553">
        <f>Table22[[#This Row],[Source / type of MRL]]</f>
        <v>0</v>
      </c>
      <c r="M254" s="553">
        <f>Table22[[#This Row],[MRL/ proposed MRL /CXL
(mg/kg)]]</f>
        <v>0</v>
      </c>
      <c r="N254" s="553">
        <f>Table22[[#This Row],[LOQ]]</f>
        <v>0</v>
      </c>
      <c r="O254" s="553">
        <f>Table22[[#This Row],[CFrisk for residue definition]]</f>
        <v>0</v>
      </c>
      <c r="P254" s="553">
        <f>Table22[[#This Row],[PeF (peeling factor RD enforcemen)]]</f>
        <v>0</v>
      </c>
      <c r="Q254" s="553">
        <f>Table22[[#This Row],[STMR-RAC (median residue)]]</f>
        <v>0</v>
      </c>
      <c r="R254" s="553">
        <f>Table22[[#This Row],[HR-RAC (highest residue)]]</f>
        <v>0</v>
      </c>
      <c r="S254" s="553">
        <f>Table22[[#This Row],[VF (alternative variability factor)]]</f>
        <v>0</v>
      </c>
      <c r="T254" s="553">
        <f>Table22[[#This Row],[GAP under assessment]]</f>
        <v>0</v>
      </c>
      <c r="U254" s="553">
        <f>Table22[[#This Row],[Post-harvest treatment]]</f>
        <v>0</v>
      </c>
      <c r="V254" s="553" t="str">
        <f>Table22[[#This Row],[Chronic RA label]]</f>
        <v/>
      </c>
      <c r="W254" s="553">
        <f>Table22[[#This Row],[Chronic RA input value]]</f>
        <v>0</v>
      </c>
      <c r="X254" s="1684" t="str">
        <f>Table22[[#This Row],[Acute RA label]]</f>
        <v/>
      </c>
      <c r="Y254" s="553">
        <f>Table22[[#This Row],[Acute RA input value]]</f>
        <v>0</v>
      </c>
      <c r="Z254" s="786">
        <f>SUM(Table1[[#This Row],[chronic value &lt;&gt;MRL/LOQ]:[acute vlue&lt;&gt;MRL/LOQ]])</f>
        <v>0</v>
      </c>
      <c r="AA254" s="786">
        <f>IF(AND($F$5="Refined calculation mode",Table1[[#This Row],[GAP under assessment]]="Y"),1,IF(OR(Table1[[#This Row],[Chronic RA label]]="LOQ",Table1[[#This Row],[Chronic RA label]]="",Table1[[#This Row],[Chronic RA label]]="MRL"),0,1))</f>
        <v>0</v>
      </c>
      <c r="AB254" s="787">
        <f>IF(OR(Table1[[#This Row],[Acute RA label]]="LOQ",Table1[[#This Row],[Acute RA label]]="",Table1[[#This Row],[Acute RA label]]="MRL"),0,1)</f>
        <v>0</v>
      </c>
    </row>
    <row r="255" spans="1:28" ht="13.5" hidden="1" thickTop="1" x14ac:dyDescent="0.2">
      <c r="A255" s="815">
        <f>Table1[[#This Row],[Code no.]]</f>
        <v>620000</v>
      </c>
      <c r="B255" s="793" t="str">
        <f>Table1[[#This Row],[Commodity or group of commodities to which the MRLs apply]]</f>
        <v>Coffee beans</v>
      </c>
      <c r="C255" s="794">
        <f>Table1[[#This Row],[MRL/ proposed MRL /CXL
(mg/kg)]]</f>
        <v>0</v>
      </c>
      <c r="D255" s="795">
        <f>Table1[[#This Row],[Source of MRL]]</f>
        <v>0</v>
      </c>
      <c r="E255" s="797">
        <f>Table1[[#This Row],[Chronic RA input value]]</f>
        <v>0</v>
      </c>
      <c r="F255" s="795" t="str">
        <f>Table1[[#This Row],[Chronic RA label]]</f>
        <v/>
      </c>
      <c r="G255" s="797">
        <f>Table1[[#This Row],[Acute RA input value]]</f>
        <v>0</v>
      </c>
      <c r="H255" s="836" t="str">
        <f>Table1[[#This Row],[Acute RA label]]</f>
        <v/>
      </c>
      <c r="J255" s="553">
        <f>Table22[[#This Row],[Code no.]]</f>
        <v>620000</v>
      </c>
      <c r="K255" s="553" t="str">
        <f>Table22[[#This Row],[Commodity or group of commodities to which the MRLs apply]]</f>
        <v>Coffee beans</v>
      </c>
      <c r="L255" s="553">
        <f>Table22[[#This Row],[Source / type of MRL]]</f>
        <v>0</v>
      </c>
      <c r="M255" s="553">
        <f>Table22[[#This Row],[MRL/ proposed MRL /CXL
(mg/kg)]]</f>
        <v>0</v>
      </c>
      <c r="N255" s="553">
        <f>Table22[[#This Row],[LOQ]]</f>
        <v>0</v>
      </c>
      <c r="O255" s="553">
        <f>Table22[[#This Row],[CFrisk for residue definition]]</f>
        <v>0</v>
      </c>
      <c r="P255" s="553">
        <f>Table22[[#This Row],[PeF (peeling factor RD enforcemen)]]</f>
        <v>0</v>
      </c>
      <c r="Q255" s="553">
        <f>Table22[[#This Row],[STMR-RAC (median residue)]]</f>
        <v>0</v>
      </c>
      <c r="R255" s="553">
        <f>Table22[[#This Row],[HR-RAC (highest residue)]]</f>
        <v>0</v>
      </c>
      <c r="S255" s="553">
        <f>Table22[[#This Row],[VF (alternative variability factor)]]</f>
        <v>0</v>
      </c>
      <c r="T255" s="553">
        <f>Table22[[#This Row],[GAP under assessment]]</f>
        <v>0</v>
      </c>
      <c r="U255" s="553">
        <f>Table22[[#This Row],[Post-harvest treatment]]</f>
        <v>0</v>
      </c>
      <c r="V255" s="553" t="str">
        <f>Table22[[#This Row],[Chronic RA label]]</f>
        <v/>
      </c>
      <c r="W255" s="553">
        <f>Table22[[#This Row],[Chronic RA input value]]</f>
        <v>0</v>
      </c>
      <c r="X255" s="1684" t="str">
        <f>Table22[[#This Row],[Acute RA label]]</f>
        <v/>
      </c>
      <c r="Y255" s="553">
        <f>Table22[[#This Row],[Acute RA input value]]</f>
        <v>0</v>
      </c>
      <c r="Z255" s="786">
        <f>SUM(Table1[[#This Row],[chronic value &lt;&gt;MRL/LOQ]:[acute vlue&lt;&gt;MRL/LOQ]])</f>
        <v>0</v>
      </c>
      <c r="AA255" s="786">
        <f>IF(AND($F$5="Refined calculation mode",Table1[[#This Row],[GAP under assessment]]="Y"),1,IF(OR(Table1[[#This Row],[Chronic RA label]]="LOQ",Table1[[#This Row],[Chronic RA label]]="",Table1[[#This Row],[Chronic RA label]]="MRL"),0,1))</f>
        <v>0</v>
      </c>
      <c r="AB255" s="787">
        <f>IF(OR(Table1[[#This Row],[Acute RA label]]="LOQ",Table1[[#This Row],[Acute RA label]]="",Table1[[#This Row],[Acute RA label]]="MRL"),0,1)</f>
        <v>0</v>
      </c>
    </row>
    <row r="256" spans="1:28" ht="21.75" hidden="1" thickTop="1" x14ac:dyDescent="0.2">
      <c r="A256" s="815">
        <f>Table1[[#This Row],[Code no.]]</f>
        <v>630000</v>
      </c>
      <c r="B256" s="793" t="str">
        <f>Table1[[#This Row],[Commodity or group of commodities to which the MRLs apply]]</f>
        <v>Herbal infusions (dried)</v>
      </c>
      <c r="C256" s="794">
        <f>Table1[[#This Row],[MRL/ proposed MRL /CXL
(mg/kg)]]</f>
        <v>0</v>
      </c>
      <c r="D256" s="795">
        <f>Table1[[#This Row],[Source of MRL]]</f>
        <v>0</v>
      </c>
      <c r="E256" s="797">
        <f>Table1[[#This Row],[Chronic RA input value]]</f>
        <v>0</v>
      </c>
      <c r="F256" s="795">
        <f>Table1[[#This Row],[Chronic RA label]]</f>
        <v>0</v>
      </c>
      <c r="G256" s="797">
        <f>Table1[[#This Row],[Acute RA input value]]</f>
        <v>0</v>
      </c>
      <c r="H256" s="836">
        <f>Table1[[#This Row],[Acute RA label]]</f>
        <v>0</v>
      </c>
      <c r="J256" s="553">
        <f>Table22[[#This Row],[Code no.]]</f>
        <v>630000</v>
      </c>
      <c r="K256" s="553" t="str">
        <f>Table22[[#This Row],[Commodity or group of commodities to which the MRLs apply]]</f>
        <v>Herbal infusions (dried)</v>
      </c>
      <c r="L256" s="553">
        <f>Table22[[#This Row],[Source / type of MRL]]</f>
        <v>0</v>
      </c>
      <c r="M256" s="553">
        <f>Table22[[#This Row],[MRL/ proposed MRL /CXL
(mg/kg)]]</f>
        <v>0</v>
      </c>
      <c r="N256" s="553">
        <f>Table22[[#This Row],[LOQ]]</f>
        <v>0</v>
      </c>
      <c r="O256" s="553">
        <f>Table22[[#This Row],[CFrisk for residue definition]]</f>
        <v>0</v>
      </c>
      <c r="P256" s="553">
        <f>Table22[[#This Row],[PeF (peeling factor RD enforcemen)]]</f>
        <v>0</v>
      </c>
      <c r="Q256" s="553">
        <f>Table22[[#This Row],[STMR-RAC (median residue)]]</f>
        <v>0</v>
      </c>
      <c r="R256" s="553">
        <f>Table22[[#This Row],[HR-RAC (highest residue)]]</f>
        <v>0</v>
      </c>
      <c r="S256" s="553">
        <f>Table22[[#This Row],[VF (alternative variability factor)]]</f>
        <v>0</v>
      </c>
      <c r="T256" s="553">
        <f>Table22[[#This Row],[GAP under assessment]]</f>
        <v>0</v>
      </c>
      <c r="U256" s="553">
        <f>Table22[[#This Row],[Post-harvest treatment]]</f>
        <v>0</v>
      </c>
      <c r="V256" s="553"/>
      <c r="W256" s="553">
        <f>Table22[[#This Row],[Chronic RA input value]]</f>
        <v>0</v>
      </c>
      <c r="X256" s="1684"/>
      <c r="Y256" s="553">
        <f>Table22[[#This Row],[Acute RA input value]]</f>
        <v>0</v>
      </c>
      <c r="Z256" s="786">
        <f>SUM(Table1[[#This Row],[chronic value &lt;&gt;MRL/LOQ]:[acute vlue&lt;&gt;MRL/LOQ]])</f>
        <v>0</v>
      </c>
      <c r="AA256" s="786">
        <f>IF(AND($F$5="Refined calculation mode",Table1[[#This Row],[GAP under assessment]]="Y"),1,IF(OR(Table1[[#This Row],[Chronic RA label]]="LOQ",Table1[[#This Row],[Chronic RA label]]="",Table1[[#This Row],[Chronic RA label]]="MRL"),0,1))</f>
        <v>0</v>
      </c>
      <c r="AB256" s="787">
        <f>IF(OR(Table1[[#This Row],[Acute RA label]]="LOQ",Table1[[#This Row],[Acute RA label]]="",Table1[[#This Row],[Acute RA label]]="MRL"),0,1)</f>
        <v>0</v>
      </c>
    </row>
    <row r="257" spans="1:28" ht="21.75" hidden="1" thickTop="1" x14ac:dyDescent="0.2">
      <c r="A257" s="815">
        <f>Table1[[#This Row],[Code no.]]</f>
        <v>631000</v>
      </c>
      <c r="B257" s="793" t="str">
        <f>Table1[[#This Row],[Commodity or group of commodities to which the MRLs apply]]</f>
        <v>Herbal infusions (dried flowers)</v>
      </c>
      <c r="C257" s="794">
        <f>Table1[[#This Row],[MRL/ proposed MRL /CXL
(mg/kg)]]</f>
        <v>0</v>
      </c>
      <c r="D257" s="795">
        <f>Table1[[#This Row],[Source of MRL]]</f>
        <v>0</v>
      </c>
      <c r="E257" s="797">
        <f>Table1[[#This Row],[Chronic RA input value]]</f>
        <v>0</v>
      </c>
      <c r="F257" s="795">
        <f>Table1[[#This Row],[Chronic RA label]]</f>
        <v>0</v>
      </c>
      <c r="G257" s="797">
        <f>Table1[[#This Row],[Acute RA input value]]</f>
        <v>0</v>
      </c>
      <c r="H257" s="836">
        <f>Table1[[#This Row],[Acute RA label]]</f>
        <v>0</v>
      </c>
      <c r="J257" s="553">
        <f>Table22[[#This Row],[Code no.]]</f>
        <v>631000</v>
      </c>
      <c r="K257" s="553" t="str">
        <f>Table22[[#This Row],[Commodity or group of commodities to which the MRLs apply]]</f>
        <v>Herbal infusions (dried flowers)</v>
      </c>
      <c r="L257" s="553">
        <f>Table22[[#This Row],[Source / type of MRL]]</f>
        <v>0</v>
      </c>
      <c r="M257" s="553">
        <f>Table22[[#This Row],[MRL/ proposed MRL /CXL
(mg/kg)]]</f>
        <v>0</v>
      </c>
      <c r="N257" s="553">
        <f>Table22[[#This Row],[LOQ]]</f>
        <v>0</v>
      </c>
      <c r="O257" s="553">
        <f>Table22[[#This Row],[CFrisk for residue definition]]</f>
        <v>0</v>
      </c>
      <c r="P257" s="553">
        <f>Table22[[#This Row],[PeF (peeling factor RD enforcemen)]]</f>
        <v>0</v>
      </c>
      <c r="Q257" s="553">
        <f>Table22[[#This Row],[STMR-RAC (median residue)]]</f>
        <v>0</v>
      </c>
      <c r="R257" s="553">
        <f>Table22[[#This Row],[HR-RAC (highest residue)]]</f>
        <v>0</v>
      </c>
      <c r="S257" s="553">
        <f>Table22[[#This Row],[VF (alternative variability factor)]]</f>
        <v>0</v>
      </c>
      <c r="T257" s="553">
        <f>Table22[[#This Row],[GAP under assessment]]</f>
        <v>0</v>
      </c>
      <c r="U257" s="553">
        <f>Table22[[#This Row],[Post-harvest treatment]]</f>
        <v>0</v>
      </c>
      <c r="V257" s="553"/>
      <c r="W257" s="553">
        <f>Table22[[#This Row],[Chronic RA input value]]</f>
        <v>0</v>
      </c>
      <c r="X257" s="1684"/>
      <c r="Y257" s="553">
        <f>Table22[[#This Row],[Acute RA input value]]</f>
        <v>0</v>
      </c>
      <c r="Z257" s="786">
        <f>SUM(Table1[[#This Row],[chronic value &lt;&gt;MRL/LOQ]:[acute vlue&lt;&gt;MRL/LOQ]])</f>
        <v>0</v>
      </c>
      <c r="AA257" s="786">
        <f>IF(AND($F$5="Refined calculation mode",Table1[[#This Row],[GAP under assessment]]="Y"),1,IF(OR(Table1[[#This Row],[Chronic RA label]]="LOQ",Table1[[#This Row],[Chronic RA label]]="",Table1[[#This Row],[Chronic RA label]]="MRL"),0,1))</f>
        <v>0</v>
      </c>
      <c r="AB257" s="787">
        <f>IF(OR(Table1[[#This Row],[Acute RA label]]="LOQ",Table1[[#This Row],[Acute RA label]]="",Table1[[#This Row],[Acute RA label]]="MRL"),0,1)</f>
        <v>0</v>
      </c>
    </row>
    <row r="258" spans="1:28" ht="13.5" hidden="1" thickTop="1" x14ac:dyDescent="0.2">
      <c r="A258" s="815">
        <f>Table1[[#This Row],[Code no.]]</f>
        <v>631010</v>
      </c>
      <c r="B258" s="793" t="str">
        <f>Table1[[#This Row],[Commodity or group of commodities to which the MRLs apply]]</f>
        <v>Chamomille</v>
      </c>
      <c r="C258" s="794">
        <f>Table1[[#This Row],[MRL/ proposed MRL /CXL
(mg/kg)]]</f>
        <v>0</v>
      </c>
      <c r="D258" s="795">
        <f>Table1[[#This Row],[Source of MRL]]</f>
        <v>0</v>
      </c>
      <c r="E258" s="797">
        <f>Table1[[#This Row],[Chronic RA input value]]</f>
        <v>0</v>
      </c>
      <c r="F258" s="795" t="str">
        <f>Table1[[#This Row],[Chronic RA label]]</f>
        <v/>
      </c>
      <c r="G258" s="797">
        <f>Table1[[#This Row],[Acute RA input value]]</f>
        <v>0</v>
      </c>
      <c r="H258" s="836" t="str">
        <f>Table1[[#This Row],[Acute RA label]]</f>
        <v/>
      </c>
      <c r="J258" s="553">
        <f>Table22[[#This Row],[Code no.]]</f>
        <v>631010</v>
      </c>
      <c r="K258" s="553" t="str">
        <f>Table22[[#This Row],[Commodity or group of commodities to which the MRLs apply]]</f>
        <v>Chamomille</v>
      </c>
      <c r="L258" s="553">
        <f>Table22[[#This Row],[Source / type of MRL]]</f>
        <v>0</v>
      </c>
      <c r="M258" s="553">
        <f>Table22[[#This Row],[MRL/ proposed MRL /CXL
(mg/kg)]]</f>
        <v>0</v>
      </c>
      <c r="N258" s="553">
        <f>Table22[[#This Row],[LOQ]]</f>
        <v>0</v>
      </c>
      <c r="O258" s="553">
        <f>Table22[[#This Row],[CFrisk for residue definition]]</f>
        <v>0</v>
      </c>
      <c r="P258" s="553">
        <f>Table22[[#This Row],[PeF (peeling factor RD enforcemen)]]</f>
        <v>0</v>
      </c>
      <c r="Q258" s="553">
        <f>Table22[[#This Row],[STMR-RAC (median residue)]]</f>
        <v>0</v>
      </c>
      <c r="R258" s="553">
        <f>Table22[[#This Row],[HR-RAC (highest residue)]]</f>
        <v>0</v>
      </c>
      <c r="S258" s="553">
        <f>Table22[[#This Row],[VF (alternative variability factor)]]</f>
        <v>0</v>
      </c>
      <c r="T258" s="553">
        <f>Table22[[#This Row],[GAP under assessment]]</f>
        <v>0</v>
      </c>
      <c r="U258" s="553">
        <f>Table22[[#This Row],[Post-harvest treatment]]</f>
        <v>0</v>
      </c>
      <c r="V258" s="553" t="str">
        <f>Table22[[#This Row],[Chronic RA label]]</f>
        <v/>
      </c>
      <c r="W258" s="553">
        <f>Table22[[#This Row],[Chronic RA input value]]</f>
        <v>0</v>
      </c>
      <c r="X258" s="1684" t="str">
        <f>Table22[[#This Row],[Acute RA label]]</f>
        <v/>
      </c>
      <c r="Y258" s="553">
        <f>Table22[[#This Row],[Acute RA input value]]</f>
        <v>0</v>
      </c>
      <c r="Z258" s="786">
        <f>SUM(Table1[[#This Row],[chronic value &lt;&gt;MRL/LOQ]:[acute vlue&lt;&gt;MRL/LOQ]])</f>
        <v>0</v>
      </c>
      <c r="AA258" s="786">
        <f>IF(AND($F$5="Refined calculation mode",Table1[[#This Row],[GAP under assessment]]="Y"),1,IF(OR(Table1[[#This Row],[Chronic RA label]]="LOQ",Table1[[#This Row],[Chronic RA label]]="",Table1[[#This Row],[Chronic RA label]]="MRL"),0,1))</f>
        <v>0</v>
      </c>
      <c r="AB258" s="787">
        <f>IF(OR(Table1[[#This Row],[Acute RA label]]="LOQ",Table1[[#This Row],[Acute RA label]]="",Table1[[#This Row],[Acute RA label]]="MRL"),0,1)</f>
        <v>0</v>
      </c>
    </row>
    <row r="259" spans="1:28" ht="13.5" hidden="1" thickTop="1" x14ac:dyDescent="0.2">
      <c r="A259" s="815">
        <f>Table1[[#This Row],[Code no.]]</f>
        <v>631020</v>
      </c>
      <c r="B259" s="793" t="str">
        <f>Table1[[#This Row],[Commodity or group of commodities to which the MRLs apply]]</f>
        <v>Hybiscus/roselle</v>
      </c>
      <c r="C259" s="794">
        <f>Table1[[#This Row],[MRL/ proposed MRL /CXL
(mg/kg)]]</f>
        <v>0</v>
      </c>
      <c r="D259" s="795">
        <f>Table1[[#This Row],[Source of MRL]]</f>
        <v>0</v>
      </c>
      <c r="E259" s="797">
        <f>Table1[[#This Row],[Chronic RA input value]]</f>
        <v>0</v>
      </c>
      <c r="F259" s="795" t="str">
        <f>Table1[[#This Row],[Chronic RA label]]</f>
        <v/>
      </c>
      <c r="G259" s="797">
        <f>Table1[[#This Row],[Acute RA input value]]</f>
        <v>0</v>
      </c>
      <c r="H259" s="836" t="str">
        <f>Table1[[#This Row],[Acute RA label]]</f>
        <v/>
      </c>
      <c r="J259" s="553">
        <f>Table22[[#This Row],[Code no.]]</f>
        <v>631020</v>
      </c>
      <c r="K259" s="553" t="str">
        <f>Table22[[#This Row],[Commodity or group of commodities to which the MRLs apply]]</f>
        <v>Hybiscus/roselle</v>
      </c>
      <c r="L259" s="553">
        <f>Table22[[#This Row],[Source / type of MRL]]</f>
        <v>0</v>
      </c>
      <c r="M259" s="553">
        <f>Table22[[#This Row],[MRL/ proposed MRL /CXL
(mg/kg)]]</f>
        <v>0</v>
      </c>
      <c r="N259" s="553">
        <f>Table22[[#This Row],[LOQ]]</f>
        <v>0</v>
      </c>
      <c r="O259" s="553">
        <f>Table22[[#This Row],[CFrisk for residue definition]]</f>
        <v>0</v>
      </c>
      <c r="P259" s="553">
        <f>Table22[[#This Row],[PeF (peeling factor RD enforcemen)]]</f>
        <v>0</v>
      </c>
      <c r="Q259" s="553">
        <f>Table22[[#This Row],[STMR-RAC (median residue)]]</f>
        <v>0</v>
      </c>
      <c r="R259" s="553">
        <f>Table22[[#This Row],[HR-RAC (highest residue)]]</f>
        <v>0</v>
      </c>
      <c r="S259" s="553">
        <f>Table22[[#This Row],[VF (alternative variability factor)]]</f>
        <v>0</v>
      </c>
      <c r="T259" s="553">
        <f>Table22[[#This Row],[GAP under assessment]]</f>
        <v>0</v>
      </c>
      <c r="U259" s="553">
        <f>Table22[[#This Row],[Post-harvest treatment]]</f>
        <v>0</v>
      </c>
      <c r="V259" s="553" t="str">
        <f>Table22[[#This Row],[Chronic RA label]]</f>
        <v/>
      </c>
      <c r="W259" s="553">
        <f>Table22[[#This Row],[Chronic RA input value]]</f>
        <v>0</v>
      </c>
      <c r="X259" s="1684" t="str">
        <f>Table22[[#This Row],[Acute RA label]]</f>
        <v/>
      </c>
      <c r="Y259" s="553">
        <f>Table22[[#This Row],[Acute RA input value]]</f>
        <v>0</v>
      </c>
      <c r="Z259" s="786">
        <f>SUM(Table1[[#This Row],[chronic value &lt;&gt;MRL/LOQ]:[acute vlue&lt;&gt;MRL/LOQ]])</f>
        <v>0</v>
      </c>
      <c r="AA259" s="786">
        <f>IF(AND($F$5="Refined calculation mode",Table1[[#This Row],[GAP under assessment]]="Y"),1,IF(OR(Table1[[#This Row],[Chronic RA label]]="LOQ",Table1[[#This Row],[Chronic RA label]]="",Table1[[#This Row],[Chronic RA label]]="MRL"),0,1))</f>
        <v>0</v>
      </c>
      <c r="AB259" s="787">
        <f>IF(OR(Table1[[#This Row],[Acute RA label]]="LOQ",Table1[[#This Row],[Acute RA label]]="",Table1[[#This Row],[Acute RA label]]="MRL"),0,1)</f>
        <v>0</v>
      </c>
    </row>
    <row r="260" spans="1:28" ht="13.5" hidden="1" thickTop="1" x14ac:dyDescent="0.2">
      <c r="A260" s="815">
        <f>Table1[[#This Row],[Code no.]]</f>
        <v>631030</v>
      </c>
      <c r="B260" s="793" t="str">
        <f>Table1[[#This Row],[Commodity or group of commodities to which the MRLs apply]]</f>
        <v>Rose</v>
      </c>
      <c r="C260" s="794">
        <f>Table1[[#This Row],[MRL/ proposed MRL /CXL
(mg/kg)]]</f>
        <v>0</v>
      </c>
      <c r="D260" s="795">
        <f>Table1[[#This Row],[Source of MRL]]</f>
        <v>0</v>
      </c>
      <c r="E260" s="797">
        <f>Table1[[#This Row],[Chronic RA input value]]</f>
        <v>0</v>
      </c>
      <c r="F260" s="795" t="str">
        <f>Table1[[#This Row],[Chronic RA label]]</f>
        <v/>
      </c>
      <c r="G260" s="797">
        <f>Table1[[#This Row],[Acute RA input value]]</f>
        <v>0</v>
      </c>
      <c r="H260" s="836" t="str">
        <f>Table1[[#This Row],[Acute RA label]]</f>
        <v/>
      </c>
      <c r="J260" s="553">
        <f>Table22[[#This Row],[Code no.]]</f>
        <v>631030</v>
      </c>
      <c r="K260" s="553" t="str">
        <f>Table22[[#This Row],[Commodity or group of commodities to which the MRLs apply]]</f>
        <v>Rose</v>
      </c>
      <c r="L260" s="553">
        <f>Table22[[#This Row],[Source / type of MRL]]</f>
        <v>0</v>
      </c>
      <c r="M260" s="553">
        <f>Table22[[#This Row],[MRL/ proposed MRL /CXL
(mg/kg)]]</f>
        <v>0</v>
      </c>
      <c r="N260" s="553">
        <f>Table22[[#This Row],[LOQ]]</f>
        <v>0</v>
      </c>
      <c r="O260" s="553">
        <f>Table22[[#This Row],[CFrisk for residue definition]]</f>
        <v>0</v>
      </c>
      <c r="P260" s="553">
        <f>Table22[[#This Row],[PeF (peeling factor RD enforcemen)]]</f>
        <v>0</v>
      </c>
      <c r="Q260" s="553">
        <f>Table22[[#This Row],[STMR-RAC (median residue)]]</f>
        <v>0</v>
      </c>
      <c r="R260" s="553">
        <f>Table22[[#This Row],[HR-RAC (highest residue)]]</f>
        <v>0</v>
      </c>
      <c r="S260" s="553">
        <f>Table22[[#This Row],[VF (alternative variability factor)]]</f>
        <v>0</v>
      </c>
      <c r="T260" s="553">
        <f>Table22[[#This Row],[GAP under assessment]]</f>
        <v>0</v>
      </c>
      <c r="U260" s="553">
        <f>Table22[[#This Row],[Post-harvest treatment]]</f>
        <v>0</v>
      </c>
      <c r="V260" s="553" t="str">
        <f>Table22[[#This Row],[Chronic RA label]]</f>
        <v/>
      </c>
      <c r="W260" s="553">
        <f>Table22[[#This Row],[Chronic RA input value]]</f>
        <v>0</v>
      </c>
      <c r="X260" s="1684" t="str">
        <f>Table22[[#This Row],[Acute RA label]]</f>
        <v/>
      </c>
      <c r="Y260" s="553">
        <f>Table22[[#This Row],[Acute RA input value]]</f>
        <v>0</v>
      </c>
      <c r="Z260" s="786">
        <f>SUM(Table1[[#This Row],[chronic value &lt;&gt;MRL/LOQ]:[acute vlue&lt;&gt;MRL/LOQ]])</f>
        <v>0</v>
      </c>
      <c r="AA260" s="786">
        <f>IF(AND($F$5="Refined calculation mode",Table1[[#This Row],[GAP under assessment]]="Y"),1,IF(OR(Table1[[#This Row],[Chronic RA label]]="LOQ",Table1[[#This Row],[Chronic RA label]]="",Table1[[#This Row],[Chronic RA label]]="MRL"),0,1))</f>
        <v>0</v>
      </c>
      <c r="AB260" s="787">
        <f>IF(OR(Table1[[#This Row],[Acute RA label]]="LOQ",Table1[[#This Row],[Acute RA label]]="",Table1[[#This Row],[Acute RA label]]="MRL"),0,1)</f>
        <v>0</v>
      </c>
    </row>
    <row r="261" spans="1:28" ht="13.5" hidden="1" thickTop="1" x14ac:dyDescent="0.2">
      <c r="A261" s="815">
        <f>Table1[[#This Row],[Code no.]]</f>
        <v>631040</v>
      </c>
      <c r="B261" s="793" t="str">
        <f>Table1[[#This Row],[Commodity or group of commodities to which the MRLs apply]]</f>
        <v>Jasmine</v>
      </c>
      <c r="C261" s="794">
        <f>Table1[[#This Row],[MRL/ proposed MRL /CXL
(mg/kg)]]</f>
        <v>0</v>
      </c>
      <c r="D261" s="795">
        <f>Table1[[#This Row],[Source of MRL]]</f>
        <v>0</v>
      </c>
      <c r="E261" s="797">
        <f>Table1[[#This Row],[Chronic RA input value]]</f>
        <v>0</v>
      </c>
      <c r="F261" s="795" t="str">
        <f>Table1[[#This Row],[Chronic RA label]]</f>
        <v/>
      </c>
      <c r="G261" s="797">
        <f>Table1[[#This Row],[Acute RA input value]]</f>
        <v>0</v>
      </c>
      <c r="H261" s="836" t="str">
        <f>Table1[[#This Row],[Acute RA label]]</f>
        <v/>
      </c>
      <c r="J261" s="553">
        <f>Table22[[#This Row],[Code no.]]</f>
        <v>631040</v>
      </c>
      <c r="K261" s="553" t="str">
        <f>Table22[[#This Row],[Commodity or group of commodities to which the MRLs apply]]</f>
        <v>Jasmine</v>
      </c>
      <c r="L261" s="553">
        <f>Table22[[#This Row],[Source / type of MRL]]</f>
        <v>0</v>
      </c>
      <c r="M261" s="553">
        <f>Table22[[#This Row],[MRL/ proposed MRL /CXL
(mg/kg)]]</f>
        <v>0</v>
      </c>
      <c r="N261" s="553">
        <f>Table22[[#This Row],[LOQ]]</f>
        <v>0</v>
      </c>
      <c r="O261" s="553">
        <f>Table22[[#This Row],[CFrisk for residue definition]]</f>
        <v>0</v>
      </c>
      <c r="P261" s="553">
        <f>Table22[[#This Row],[PeF (peeling factor RD enforcemen)]]</f>
        <v>0</v>
      </c>
      <c r="Q261" s="553">
        <f>Table22[[#This Row],[STMR-RAC (median residue)]]</f>
        <v>0</v>
      </c>
      <c r="R261" s="553">
        <f>Table22[[#This Row],[HR-RAC (highest residue)]]</f>
        <v>0</v>
      </c>
      <c r="S261" s="553">
        <f>Table22[[#This Row],[VF (alternative variability factor)]]</f>
        <v>0</v>
      </c>
      <c r="T261" s="553">
        <f>Table22[[#This Row],[GAP under assessment]]</f>
        <v>0</v>
      </c>
      <c r="U261" s="553">
        <f>Table22[[#This Row],[Post-harvest treatment]]</f>
        <v>0</v>
      </c>
      <c r="V261" s="553" t="str">
        <f>Table22[[#This Row],[Chronic RA label]]</f>
        <v/>
      </c>
      <c r="W261" s="553">
        <f>Table22[[#This Row],[Chronic RA input value]]</f>
        <v>0</v>
      </c>
      <c r="X261" s="1684" t="str">
        <f>Table22[[#This Row],[Acute RA label]]</f>
        <v/>
      </c>
      <c r="Y261" s="553">
        <f>Table22[[#This Row],[Acute RA input value]]</f>
        <v>0</v>
      </c>
      <c r="Z261" s="786">
        <f>SUM(Table1[[#This Row],[chronic value &lt;&gt;MRL/LOQ]:[acute vlue&lt;&gt;MRL/LOQ]])</f>
        <v>0</v>
      </c>
      <c r="AA261" s="786">
        <f>IF(AND($F$5="Refined calculation mode",Table1[[#This Row],[GAP under assessment]]="Y"),1,IF(OR(Table1[[#This Row],[Chronic RA label]]="LOQ",Table1[[#This Row],[Chronic RA label]]="",Table1[[#This Row],[Chronic RA label]]="MRL"),0,1))</f>
        <v>0</v>
      </c>
      <c r="AB261" s="787">
        <f>IF(OR(Table1[[#This Row],[Acute RA label]]="LOQ",Table1[[#This Row],[Acute RA label]]="",Table1[[#This Row],[Acute RA label]]="MRL"),0,1)</f>
        <v>0</v>
      </c>
    </row>
    <row r="262" spans="1:28" ht="13.5" hidden="1" thickTop="1" x14ac:dyDescent="0.2">
      <c r="A262" s="815">
        <f>Table1[[#This Row],[Code no.]]</f>
        <v>631050</v>
      </c>
      <c r="B262" s="793" t="str">
        <f>Table1[[#This Row],[Commodity or group of commodities to which the MRLs apply]]</f>
        <v>Lime/linden</v>
      </c>
      <c r="C262" s="794">
        <f>Table1[[#This Row],[MRL/ proposed MRL /CXL
(mg/kg)]]</f>
        <v>0</v>
      </c>
      <c r="D262" s="795">
        <f>Table1[[#This Row],[Source of MRL]]</f>
        <v>0</v>
      </c>
      <c r="E262" s="797">
        <f>Table1[[#This Row],[Chronic RA input value]]</f>
        <v>0</v>
      </c>
      <c r="F262" s="795" t="str">
        <f>Table1[[#This Row],[Chronic RA label]]</f>
        <v/>
      </c>
      <c r="G262" s="797">
        <f>Table1[[#This Row],[Acute RA input value]]</f>
        <v>0</v>
      </c>
      <c r="H262" s="836" t="str">
        <f>Table1[[#This Row],[Acute RA label]]</f>
        <v/>
      </c>
      <c r="J262" s="553">
        <f>Table22[[#This Row],[Code no.]]</f>
        <v>631050</v>
      </c>
      <c r="K262" s="553" t="str">
        <f>Table22[[#This Row],[Commodity or group of commodities to which the MRLs apply]]</f>
        <v>Lime/linden</v>
      </c>
      <c r="L262" s="553">
        <f>Table22[[#This Row],[Source / type of MRL]]</f>
        <v>0</v>
      </c>
      <c r="M262" s="553">
        <f>Table22[[#This Row],[MRL/ proposed MRL /CXL
(mg/kg)]]</f>
        <v>0</v>
      </c>
      <c r="N262" s="553">
        <f>Table22[[#This Row],[LOQ]]</f>
        <v>0</v>
      </c>
      <c r="O262" s="553">
        <f>Table22[[#This Row],[CFrisk for residue definition]]</f>
        <v>0</v>
      </c>
      <c r="P262" s="553">
        <f>Table22[[#This Row],[PeF (peeling factor RD enforcemen)]]</f>
        <v>0</v>
      </c>
      <c r="Q262" s="553">
        <f>Table22[[#This Row],[STMR-RAC (median residue)]]</f>
        <v>0</v>
      </c>
      <c r="R262" s="553">
        <f>Table22[[#This Row],[HR-RAC (highest residue)]]</f>
        <v>0</v>
      </c>
      <c r="S262" s="553">
        <f>Table22[[#This Row],[VF (alternative variability factor)]]</f>
        <v>0</v>
      </c>
      <c r="T262" s="553">
        <f>Table22[[#This Row],[GAP under assessment]]</f>
        <v>0</v>
      </c>
      <c r="U262" s="553">
        <f>Table22[[#This Row],[Post-harvest treatment]]</f>
        <v>0</v>
      </c>
      <c r="V262" s="553" t="str">
        <f>Table22[[#This Row],[Chronic RA label]]</f>
        <v/>
      </c>
      <c r="W262" s="553">
        <f>Table22[[#This Row],[Chronic RA input value]]</f>
        <v>0</v>
      </c>
      <c r="X262" s="1684" t="str">
        <f>Table22[[#This Row],[Acute RA label]]</f>
        <v/>
      </c>
      <c r="Y262" s="553">
        <f>Table22[[#This Row],[Acute RA input value]]</f>
        <v>0</v>
      </c>
      <c r="Z262" s="786">
        <f>SUM(Table1[[#This Row],[chronic value &lt;&gt;MRL/LOQ]:[acute vlue&lt;&gt;MRL/LOQ]])</f>
        <v>0</v>
      </c>
      <c r="AA262" s="786">
        <f>IF(AND($F$5="Refined calculation mode",Table1[[#This Row],[GAP under assessment]]="Y"),1,IF(OR(Table1[[#This Row],[Chronic RA label]]="LOQ",Table1[[#This Row],[Chronic RA label]]="",Table1[[#This Row],[Chronic RA label]]="MRL"),0,1))</f>
        <v>0</v>
      </c>
      <c r="AB262" s="787">
        <f>IF(OR(Table1[[#This Row],[Acute RA label]]="LOQ",Table1[[#This Row],[Acute RA label]]="",Table1[[#This Row],[Acute RA label]]="MRL"),0,1)</f>
        <v>0</v>
      </c>
    </row>
    <row r="263" spans="1:28" ht="32.25" hidden="1" thickTop="1" x14ac:dyDescent="0.2">
      <c r="A263" s="815">
        <f>Table1[[#This Row],[Code no.]]</f>
        <v>631990</v>
      </c>
      <c r="B263" s="793" t="str">
        <f>Table1[[#This Row],[Commodity or group of commodities to which the MRLs apply]]</f>
        <v>Other herbal infusions (dried flowers)</v>
      </c>
      <c r="C263" s="794">
        <f>Table1[[#This Row],[MRL/ proposed MRL /CXL
(mg/kg)]]</f>
        <v>0</v>
      </c>
      <c r="D263" s="795">
        <f>Table1[[#This Row],[Source of MRL]]</f>
        <v>0</v>
      </c>
      <c r="E263" s="797">
        <f>Table1[[#This Row],[Chronic RA input value]]</f>
        <v>0</v>
      </c>
      <c r="F263" s="795" t="str">
        <f>Table1[[#This Row],[Chronic RA label]]</f>
        <v/>
      </c>
      <c r="G263" s="797">
        <f>Table1[[#This Row],[Acute RA input value]]</f>
        <v>0</v>
      </c>
      <c r="H263" s="836">
        <f>Table1[[#This Row],[Acute RA label]]</f>
        <v>0</v>
      </c>
      <c r="J263" s="553">
        <f>Table22[[#This Row],[Code no.]]</f>
        <v>631990</v>
      </c>
      <c r="K263" s="553" t="str">
        <f>Table22[[#This Row],[Commodity or group of commodities to which the MRLs apply]]</f>
        <v>Other herbal infusions (dried flowers)</v>
      </c>
      <c r="L263" s="553">
        <f>Table22[[#This Row],[Source / type of MRL]]</f>
        <v>0</v>
      </c>
      <c r="M263" s="553">
        <f>Table22[[#This Row],[MRL/ proposed MRL /CXL
(mg/kg)]]</f>
        <v>0</v>
      </c>
      <c r="N263" s="553">
        <f>Table22[[#This Row],[LOQ]]</f>
        <v>0</v>
      </c>
      <c r="O263" s="553">
        <f>Table22[[#This Row],[CFrisk for residue definition]]</f>
        <v>0</v>
      </c>
      <c r="P263" s="553">
        <f>Table22[[#This Row],[PeF (peeling factor RD enforcemen)]]</f>
        <v>0</v>
      </c>
      <c r="Q263" s="553">
        <f>Table22[[#This Row],[STMR-RAC (median residue)]]</f>
        <v>0</v>
      </c>
      <c r="R263" s="553">
        <f>Table22[[#This Row],[HR-RAC (highest residue)]]</f>
        <v>0</v>
      </c>
      <c r="S263" s="553">
        <f>Table22[[#This Row],[VF (alternative variability factor)]]</f>
        <v>0</v>
      </c>
      <c r="T263" s="553">
        <f>Table22[[#This Row],[GAP under assessment]]</f>
        <v>0</v>
      </c>
      <c r="U263" s="553">
        <f>Table22[[#This Row],[Post-harvest treatment]]</f>
        <v>0</v>
      </c>
      <c r="V263" s="553" t="str">
        <f>Table22[[#This Row],[Chronic RA label]]</f>
        <v/>
      </c>
      <c r="W263" s="553">
        <f>Table22[[#This Row],[Chronic RA input value]]</f>
        <v>0</v>
      </c>
      <c r="X263" s="1684"/>
      <c r="Y263" s="553">
        <f>Table22[[#This Row],[Acute RA input value]]</f>
        <v>0</v>
      </c>
      <c r="Z263" s="786">
        <f>SUM(Table1[[#This Row],[chronic value &lt;&gt;MRL/LOQ]:[acute vlue&lt;&gt;MRL/LOQ]])</f>
        <v>0</v>
      </c>
      <c r="AA263" s="786">
        <f>IF(AND($F$5="Refined calculation mode",Table1[[#This Row],[GAP under assessment]]="Y"),1,IF(OR(Table1[[#This Row],[Chronic RA label]]="LOQ",Table1[[#This Row],[Chronic RA label]]="",Table1[[#This Row],[Chronic RA label]]="MRL"),0,1))</f>
        <v>0</v>
      </c>
      <c r="AB263" s="787">
        <f>IF(OR(Table1[[#This Row],[Acute RA label]]="LOQ",Table1[[#This Row],[Acute RA label]]="",Table1[[#This Row],[Acute RA label]]="MRL"),0,1)</f>
        <v>0</v>
      </c>
    </row>
    <row r="264" spans="1:28" ht="21.75" hidden="1" thickTop="1" x14ac:dyDescent="0.2">
      <c r="A264" s="815">
        <f>Table1[[#This Row],[Code no.]]</f>
        <v>632000</v>
      </c>
      <c r="B264" s="793" t="str">
        <f>Table1[[#This Row],[Commodity or group of commodities to which the MRLs apply]]</f>
        <v>Herbal infusions (dried leaves)</v>
      </c>
      <c r="C264" s="794">
        <f>Table1[[#This Row],[MRL/ proposed MRL /CXL
(mg/kg)]]</f>
        <v>0</v>
      </c>
      <c r="D264" s="795">
        <f>Table1[[#This Row],[Source of MRL]]</f>
        <v>0</v>
      </c>
      <c r="E264" s="797">
        <f>Table1[[#This Row],[Chronic RA input value]]</f>
        <v>0</v>
      </c>
      <c r="F264" s="795">
        <f>Table1[[#This Row],[Chronic RA label]]</f>
        <v>0</v>
      </c>
      <c r="G264" s="797">
        <f>Table1[[#This Row],[Acute RA input value]]</f>
        <v>0</v>
      </c>
      <c r="H264" s="836">
        <f>Table1[[#This Row],[Acute RA label]]</f>
        <v>0</v>
      </c>
      <c r="J264" s="553">
        <f>Table22[[#This Row],[Code no.]]</f>
        <v>632000</v>
      </c>
      <c r="K264" s="553" t="str">
        <f>Table22[[#This Row],[Commodity or group of commodities to which the MRLs apply]]</f>
        <v>Herbal infusions (dried leaves)</v>
      </c>
      <c r="L264" s="553">
        <f>Table22[[#This Row],[Source / type of MRL]]</f>
        <v>0</v>
      </c>
      <c r="M264" s="553">
        <f>Table22[[#This Row],[MRL/ proposed MRL /CXL
(mg/kg)]]</f>
        <v>0</v>
      </c>
      <c r="N264" s="553">
        <f>Table22[[#This Row],[LOQ]]</f>
        <v>0</v>
      </c>
      <c r="O264" s="553">
        <f>Table22[[#This Row],[CFrisk for residue definition]]</f>
        <v>0</v>
      </c>
      <c r="P264" s="553">
        <f>Table22[[#This Row],[PeF (peeling factor RD enforcemen)]]</f>
        <v>0</v>
      </c>
      <c r="Q264" s="553">
        <f>Table22[[#This Row],[STMR-RAC (median residue)]]</f>
        <v>0</v>
      </c>
      <c r="R264" s="553">
        <f>Table22[[#This Row],[HR-RAC (highest residue)]]</f>
        <v>0</v>
      </c>
      <c r="S264" s="553">
        <f>Table22[[#This Row],[VF (alternative variability factor)]]</f>
        <v>0</v>
      </c>
      <c r="T264" s="553">
        <f>Table22[[#This Row],[GAP under assessment]]</f>
        <v>0</v>
      </c>
      <c r="U264" s="553">
        <f>Table22[[#This Row],[Post-harvest treatment]]</f>
        <v>0</v>
      </c>
      <c r="V264" s="553"/>
      <c r="W264" s="553">
        <f>Table22[[#This Row],[Chronic RA input value]]</f>
        <v>0</v>
      </c>
      <c r="X264" s="1684"/>
      <c r="Y264" s="553">
        <f>Table22[[#This Row],[Acute RA input value]]</f>
        <v>0</v>
      </c>
      <c r="Z264" s="786">
        <f>SUM(Table1[[#This Row],[chronic value &lt;&gt;MRL/LOQ]:[acute vlue&lt;&gt;MRL/LOQ]])</f>
        <v>0</v>
      </c>
      <c r="AA264" s="786">
        <f>IF(AND($F$5="Refined calculation mode",Table1[[#This Row],[GAP under assessment]]="Y"),1,IF(OR(Table1[[#This Row],[Chronic RA label]]="LOQ",Table1[[#This Row],[Chronic RA label]]="",Table1[[#This Row],[Chronic RA label]]="MRL"),0,1))</f>
        <v>0</v>
      </c>
      <c r="AB264" s="787">
        <f>IF(OR(Table1[[#This Row],[Acute RA label]]="LOQ",Table1[[#This Row],[Acute RA label]]="",Table1[[#This Row],[Acute RA label]]="MRL"),0,1)</f>
        <v>0</v>
      </c>
    </row>
    <row r="265" spans="1:28" ht="13.5" hidden="1" thickTop="1" x14ac:dyDescent="0.2">
      <c r="A265" s="815">
        <f>Table1[[#This Row],[Code no.]]</f>
        <v>632010</v>
      </c>
      <c r="B265" s="793" t="str">
        <f>Table1[[#This Row],[Commodity or group of commodities to which the MRLs apply]]</f>
        <v>Strawberry leaves</v>
      </c>
      <c r="C265" s="794">
        <f>Table1[[#This Row],[MRL/ proposed MRL /CXL
(mg/kg)]]</f>
        <v>0</v>
      </c>
      <c r="D265" s="795">
        <f>Table1[[#This Row],[Source of MRL]]</f>
        <v>0</v>
      </c>
      <c r="E265" s="797">
        <f>Table1[[#This Row],[Chronic RA input value]]</f>
        <v>0</v>
      </c>
      <c r="F265" s="795" t="str">
        <f>Table1[[#This Row],[Chronic RA label]]</f>
        <v/>
      </c>
      <c r="G265" s="797">
        <f>Table1[[#This Row],[Acute RA input value]]</f>
        <v>0</v>
      </c>
      <c r="H265" s="836" t="str">
        <f>Table1[[#This Row],[Acute RA label]]</f>
        <v/>
      </c>
      <c r="J265" s="553">
        <f>Table22[[#This Row],[Code no.]]</f>
        <v>632010</v>
      </c>
      <c r="K265" s="553" t="str">
        <f>Table22[[#This Row],[Commodity or group of commodities to which the MRLs apply]]</f>
        <v>Strawberry leaves</v>
      </c>
      <c r="L265" s="553">
        <f>Table22[[#This Row],[Source / type of MRL]]</f>
        <v>0</v>
      </c>
      <c r="M265" s="553">
        <f>Table22[[#This Row],[MRL/ proposed MRL /CXL
(mg/kg)]]</f>
        <v>0</v>
      </c>
      <c r="N265" s="553">
        <f>Table22[[#This Row],[LOQ]]</f>
        <v>0</v>
      </c>
      <c r="O265" s="553">
        <f>Table22[[#This Row],[CFrisk for residue definition]]</f>
        <v>0</v>
      </c>
      <c r="P265" s="553">
        <f>Table22[[#This Row],[PeF (peeling factor RD enforcemen)]]</f>
        <v>0</v>
      </c>
      <c r="Q265" s="553">
        <f>Table22[[#This Row],[STMR-RAC (median residue)]]</f>
        <v>0</v>
      </c>
      <c r="R265" s="553">
        <f>Table22[[#This Row],[HR-RAC (highest residue)]]</f>
        <v>0</v>
      </c>
      <c r="S265" s="553">
        <f>Table22[[#This Row],[VF (alternative variability factor)]]</f>
        <v>0</v>
      </c>
      <c r="T265" s="553">
        <f>Table22[[#This Row],[GAP under assessment]]</f>
        <v>0</v>
      </c>
      <c r="U265" s="553">
        <f>Table22[[#This Row],[Post-harvest treatment]]</f>
        <v>0</v>
      </c>
      <c r="V265" s="553" t="str">
        <f>Table22[[#This Row],[Chronic RA label]]</f>
        <v/>
      </c>
      <c r="W265" s="553">
        <f>Table22[[#This Row],[Chronic RA input value]]</f>
        <v>0</v>
      </c>
      <c r="X265" s="1684" t="str">
        <f>Table22[[#This Row],[Acute RA label]]</f>
        <v/>
      </c>
      <c r="Y265" s="553">
        <f>Table22[[#This Row],[Acute RA input value]]</f>
        <v>0</v>
      </c>
      <c r="Z265" s="786">
        <f>SUM(Table1[[#This Row],[chronic value &lt;&gt;MRL/LOQ]:[acute vlue&lt;&gt;MRL/LOQ]])</f>
        <v>0</v>
      </c>
      <c r="AA265" s="786">
        <f>IF(AND($F$5="Refined calculation mode",Table1[[#This Row],[GAP under assessment]]="Y"),1,IF(OR(Table1[[#This Row],[Chronic RA label]]="LOQ",Table1[[#This Row],[Chronic RA label]]="",Table1[[#This Row],[Chronic RA label]]="MRL"),0,1))</f>
        <v>0</v>
      </c>
      <c r="AB265" s="787">
        <f>IF(OR(Table1[[#This Row],[Acute RA label]]="LOQ",Table1[[#This Row],[Acute RA label]]="",Table1[[#This Row],[Acute RA label]]="MRL"),0,1)</f>
        <v>0</v>
      </c>
    </row>
    <row r="266" spans="1:28" ht="13.5" hidden="1" thickTop="1" x14ac:dyDescent="0.2">
      <c r="A266" s="815">
        <f>Table1[[#This Row],[Code no.]]</f>
        <v>632020</v>
      </c>
      <c r="B266" s="793" t="str">
        <f>Table1[[#This Row],[Commodity or group of commodities to which the MRLs apply]]</f>
        <v>Rooibos</v>
      </c>
      <c r="C266" s="794">
        <f>Table1[[#This Row],[MRL/ proposed MRL /CXL
(mg/kg)]]</f>
        <v>0</v>
      </c>
      <c r="D266" s="795">
        <f>Table1[[#This Row],[Source of MRL]]</f>
        <v>0</v>
      </c>
      <c r="E266" s="797">
        <f>Table1[[#This Row],[Chronic RA input value]]</f>
        <v>0</v>
      </c>
      <c r="F266" s="795" t="str">
        <f>Table1[[#This Row],[Chronic RA label]]</f>
        <v/>
      </c>
      <c r="G266" s="797">
        <f>Table1[[#This Row],[Acute RA input value]]</f>
        <v>0</v>
      </c>
      <c r="H266" s="836" t="str">
        <f>Table1[[#This Row],[Acute RA label]]</f>
        <v/>
      </c>
      <c r="J266" s="553">
        <f>Table22[[#This Row],[Code no.]]</f>
        <v>632020</v>
      </c>
      <c r="K266" s="553" t="str">
        <f>Table22[[#This Row],[Commodity or group of commodities to which the MRLs apply]]</f>
        <v>Rooibos</v>
      </c>
      <c r="L266" s="553">
        <f>Table22[[#This Row],[Source / type of MRL]]</f>
        <v>0</v>
      </c>
      <c r="M266" s="553">
        <f>Table22[[#This Row],[MRL/ proposed MRL /CXL
(mg/kg)]]</f>
        <v>0</v>
      </c>
      <c r="N266" s="553">
        <f>Table22[[#This Row],[LOQ]]</f>
        <v>0</v>
      </c>
      <c r="O266" s="553">
        <f>Table22[[#This Row],[CFrisk for residue definition]]</f>
        <v>0</v>
      </c>
      <c r="P266" s="553">
        <f>Table22[[#This Row],[PeF (peeling factor RD enforcemen)]]</f>
        <v>0</v>
      </c>
      <c r="Q266" s="553">
        <f>Table22[[#This Row],[STMR-RAC (median residue)]]</f>
        <v>0</v>
      </c>
      <c r="R266" s="553">
        <f>Table22[[#This Row],[HR-RAC (highest residue)]]</f>
        <v>0</v>
      </c>
      <c r="S266" s="553">
        <f>Table22[[#This Row],[VF (alternative variability factor)]]</f>
        <v>0</v>
      </c>
      <c r="T266" s="553">
        <f>Table22[[#This Row],[GAP under assessment]]</f>
        <v>0</v>
      </c>
      <c r="U266" s="553">
        <f>Table22[[#This Row],[Post-harvest treatment]]</f>
        <v>0</v>
      </c>
      <c r="V266" s="553" t="str">
        <f>Table22[[#This Row],[Chronic RA label]]</f>
        <v/>
      </c>
      <c r="W266" s="553">
        <f>Table22[[#This Row],[Chronic RA input value]]</f>
        <v>0</v>
      </c>
      <c r="X266" s="1684" t="str">
        <f>Table22[[#This Row],[Acute RA label]]</f>
        <v/>
      </c>
      <c r="Y266" s="553">
        <f>Table22[[#This Row],[Acute RA input value]]</f>
        <v>0</v>
      </c>
      <c r="Z266" s="786">
        <f>SUM(Table1[[#This Row],[chronic value &lt;&gt;MRL/LOQ]:[acute vlue&lt;&gt;MRL/LOQ]])</f>
        <v>0</v>
      </c>
      <c r="AA266" s="786">
        <f>IF(AND($F$5="Refined calculation mode",Table1[[#This Row],[GAP under assessment]]="Y"),1,IF(OR(Table1[[#This Row],[Chronic RA label]]="LOQ",Table1[[#This Row],[Chronic RA label]]="",Table1[[#This Row],[Chronic RA label]]="MRL"),0,1))</f>
        <v>0</v>
      </c>
      <c r="AB266" s="787">
        <f>IF(OR(Table1[[#This Row],[Acute RA label]]="LOQ",Table1[[#This Row],[Acute RA label]]="",Table1[[#This Row],[Acute RA label]]="MRL"),0,1)</f>
        <v>0</v>
      </c>
    </row>
    <row r="267" spans="1:28" ht="13.5" hidden="1" thickTop="1" x14ac:dyDescent="0.2">
      <c r="A267" s="815">
        <f>Table1[[#This Row],[Code no.]]</f>
        <v>632030</v>
      </c>
      <c r="B267" s="793" t="str">
        <f>Table1[[#This Row],[Commodity or group of commodities to which the MRLs apply]]</f>
        <v>Mate/maté</v>
      </c>
      <c r="C267" s="794">
        <f>Table1[[#This Row],[MRL/ proposed MRL /CXL
(mg/kg)]]</f>
        <v>0</v>
      </c>
      <c r="D267" s="795">
        <f>Table1[[#This Row],[Source of MRL]]</f>
        <v>0</v>
      </c>
      <c r="E267" s="797">
        <f>Table1[[#This Row],[Chronic RA input value]]</f>
        <v>0</v>
      </c>
      <c r="F267" s="795" t="str">
        <f>Table1[[#This Row],[Chronic RA label]]</f>
        <v/>
      </c>
      <c r="G267" s="797">
        <f>Table1[[#This Row],[Acute RA input value]]</f>
        <v>0</v>
      </c>
      <c r="H267" s="836" t="str">
        <f>Table1[[#This Row],[Acute RA label]]</f>
        <v/>
      </c>
      <c r="J267" s="553">
        <f>Table22[[#This Row],[Code no.]]</f>
        <v>632030</v>
      </c>
      <c r="K267" s="553" t="str">
        <f>Table22[[#This Row],[Commodity or group of commodities to which the MRLs apply]]</f>
        <v>Mate/maté</v>
      </c>
      <c r="L267" s="553">
        <f>Table22[[#This Row],[Source / type of MRL]]</f>
        <v>0</v>
      </c>
      <c r="M267" s="553">
        <f>Table22[[#This Row],[MRL/ proposed MRL /CXL
(mg/kg)]]</f>
        <v>0</v>
      </c>
      <c r="N267" s="553">
        <f>Table22[[#This Row],[LOQ]]</f>
        <v>0</v>
      </c>
      <c r="O267" s="553">
        <f>Table22[[#This Row],[CFrisk for residue definition]]</f>
        <v>0</v>
      </c>
      <c r="P267" s="553">
        <f>Table22[[#This Row],[PeF (peeling factor RD enforcemen)]]</f>
        <v>0</v>
      </c>
      <c r="Q267" s="553">
        <f>Table22[[#This Row],[STMR-RAC (median residue)]]</f>
        <v>0</v>
      </c>
      <c r="R267" s="553">
        <f>Table22[[#This Row],[HR-RAC (highest residue)]]</f>
        <v>0</v>
      </c>
      <c r="S267" s="553">
        <f>Table22[[#This Row],[VF (alternative variability factor)]]</f>
        <v>0</v>
      </c>
      <c r="T267" s="553">
        <f>Table22[[#This Row],[GAP under assessment]]</f>
        <v>0</v>
      </c>
      <c r="U267" s="553">
        <f>Table22[[#This Row],[Post-harvest treatment]]</f>
        <v>0</v>
      </c>
      <c r="V267" s="553" t="str">
        <f>Table22[[#This Row],[Chronic RA label]]</f>
        <v/>
      </c>
      <c r="W267" s="553">
        <f>Table22[[#This Row],[Chronic RA input value]]</f>
        <v>0</v>
      </c>
      <c r="X267" s="1684" t="str">
        <f>Table22[[#This Row],[Acute RA label]]</f>
        <v/>
      </c>
      <c r="Y267" s="553">
        <f>Table22[[#This Row],[Acute RA input value]]</f>
        <v>0</v>
      </c>
      <c r="Z267" s="786">
        <f>SUM(Table1[[#This Row],[chronic value &lt;&gt;MRL/LOQ]:[acute vlue&lt;&gt;MRL/LOQ]])</f>
        <v>0</v>
      </c>
      <c r="AA267" s="786">
        <f>IF(AND($F$5="Refined calculation mode",Table1[[#This Row],[GAP under assessment]]="Y"),1,IF(OR(Table1[[#This Row],[Chronic RA label]]="LOQ",Table1[[#This Row],[Chronic RA label]]="",Table1[[#This Row],[Chronic RA label]]="MRL"),0,1))</f>
        <v>0</v>
      </c>
      <c r="AB267" s="787">
        <f>IF(OR(Table1[[#This Row],[Acute RA label]]="LOQ",Table1[[#This Row],[Acute RA label]]="",Table1[[#This Row],[Acute RA label]]="MRL"),0,1)</f>
        <v>0</v>
      </c>
    </row>
    <row r="268" spans="1:28" ht="32.25" hidden="1" thickTop="1" x14ac:dyDescent="0.2">
      <c r="A268" s="815">
        <f>Table1[[#This Row],[Code no.]]</f>
        <v>632990</v>
      </c>
      <c r="B268" s="793" t="str">
        <f>Table1[[#This Row],[Commodity or group of commodities to which the MRLs apply]]</f>
        <v>Other herbal infusions (dried leaves)</v>
      </c>
      <c r="C268" s="794">
        <f>Table1[[#This Row],[MRL/ proposed MRL /CXL
(mg/kg)]]</f>
        <v>0</v>
      </c>
      <c r="D268" s="795">
        <f>Table1[[#This Row],[Source of MRL]]</f>
        <v>0</v>
      </c>
      <c r="E268" s="797">
        <f>Table1[[#This Row],[Chronic RA input value]]</f>
        <v>0</v>
      </c>
      <c r="F268" s="795" t="str">
        <f>Table1[[#This Row],[Chronic RA label]]</f>
        <v/>
      </c>
      <c r="G268" s="797">
        <f>Table1[[#This Row],[Acute RA input value]]</f>
        <v>0</v>
      </c>
      <c r="H268" s="836">
        <f>Table1[[#This Row],[Acute RA label]]</f>
        <v>0</v>
      </c>
      <c r="J268" s="553">
        <f>Table22[[#This Row],[Code no.]]</f>
        <v>632990</v>
      </c>
      <c r="K268" s="553" t="str">
        <f>Table22[[#This Row],[Commodity or group of commodities to which the MRLs apply]]</f>
        <v>Other herbal infusions (dried leaves)</v>
      </c>
      <c r="L268" s="553">
        <f>Table22[[#This Row],[Source / type of MRL]]</f>
        <v>0</v>
      </c>
      <c r="M268" s="553">
        <f>Table22[[#This Row],[MRL/ proposed MRL /CXL
(mg/kg)]]</f>
        <v>0</v>
      </c>
      <c r="N268" s="553">
        <f>Table22[[#This Row],[LOQ]]</f>
        <v>0</v>
      </c>
      <c r="O268" s="553">
        <f>Table22[[#This Row],[CFrisk for residue definition]]</f>
        <v>0</v>
      </c>
      <c r="P268" s="553">
        <f>Table22[[#This Row],[PeF (peeling factor RD enforcemen)]]</f>
        <v>0</v>
      </c>
      <c r="Q268" s="553">
        <f>Table22[[#This Row],[STMR-RAC (median residue)]]</f>
        <v>0</v>
      </c>
      <c r="R268" s="553">
        <f>Table22[[#This Row],[HR-RAC (highest residue)]]</f>
        <v>0</v>
      </c>
      <c r="S268" s="553">
        <f>Table22[[#This Row],[VF (alternative variability factor)]]</f>
        <v>0</v>
      </c>
      <c r="T268" s="553">
        <f>Table22[[#This Row],[GAP under assessment]]</f>
        <v>0</v>
      </c>
      <c r="U268" s="553">
        <f>Table22[[#This Row],[Post-harvest treatment]]</f>
        <v>0</v>
      </c>
      <c r="V268" s="553" t="str">
        <f>Table22[[#This Row],[Chronic RA label]]</f>
        <v/>
      </c>
      <c r="W268" s="553">
        <f>Table22[[#This Row],[Chronic RA input value]]</f>
        <v>0</v>
      </c>
      <c r="X268" s="1684"/>
      <c r="Y268" s="553">
        <f>Table22[[#This Row],[Acute RA input value]]</f>
        <v>0</v>
      </c>
      <c r="Z268" s="786">
        <f>SUM(Table1[[#This Row],[chronic value &lt;&gt;MRL/LOQ]:[acute vlue&lt;&gt;MRL/LOQ]])</f>
        <v>0</v>
      </c>
      <c r="AA268" s="786">
        <f>IF(AND($F$5="Refined calculation mode",Table1[[#This Row],[GAP under assessment]]="Y"),1,IF(OR(Table1[[#This Row],[Chronic RA label]]="LOQ",Table1[[#This Row],[Chronic RA label]]="",Table1[[#This Row],[Chronic RA label]]="MRL"),0,1))</f>
        <v>0</v>
      </c>
      <c r="AB268" s="787">
        <f>IF(OR(Table1[[#This Row],[Acute RA label]]="LOQ",Table1[[#This Row],[Acute RA label]]="",Table1[[#This Row],[Acute RA label]]="MRL"),0,1)</f>
        <v>0</v>
      </c>
    </row>
    <row r="269" spans="1:28" ht="21.75" hidden="1" thickTop="1" x14ac:dyDescent="0.2">
      <c r="A269" s="815">
        <f>Table1[[#This Row],[Code no.]]</f>
        <v>633000</v>
      </c>
      <c r="B269" s="793" t="str">
        <f>Table1[[#This Row],[Commodity or group of commodities to which the MRLs apply]]</f>
        <v>Herbal infusions (dried roots)</v>
      </c>
      <c r="C269" s="794">
        <f>Table1[[#This Row],[MRL/ proposed MRL /CXL
(mg/kg)]]</f>
        <v>0</v>
      </c>
      <c r="D269" s="795">
        <f>Table1[[#This Row],[Source of MRL]]</f>
        <v>0</v>
      </c>
      <c r="E269" s="797">
        <f>Table1[[#This Row],[Chronic RA input value]]</f>
        <v>0</v>
      </c>
      <c r="F269" s="795">
        <f>Table1[[#This Row],[Chronic RA label]]</f>
        <v>0</v>
      </c>
      <c r="G269" s="797">
        <f>Table1[[#This Row],[Acute RA input value]]</f>
        <v>0</v>
      </c>
      <c r="H269" s="836">
        <f>Table1[[#This Row],[Acute RA label]]</f>
        <v>0</v>
      </c>
      <c r="J269" s="553">
        <f>Table22[[#This Row],[Code no.]]</f>
        <v>633000</v>
      </c>
      <c r="K269" s="553" t="str">
        <f>Table22[[#This Row],[Commodity or group of commodities to which the MRLs apply]]</f>
        <v>Herbal infusions (dried roots)</v>
      </c>
      <c r="L269" s="553">
        <f>Table22[[#This Row],[Source / type of MRL]]</f>
        <v>0</v>
      </c>
      <c r="M269" s="553">
        <f>Table22[[#This Row],[MRL/ proposed MRL /CXL
(mg/kg)]]</f>
        <v>0</v>
      </c>
      <c r="N269" s="553">
        <f>Table22[[#This Row],[LOQ]]</f>
        <v>0</v>
      </c>
      <c r="O269" s="553">
        <f>Table22[[#This Row],[CFrisk for residue definition]]</f>
        <v>0</v>
      </c>
      <c r="P269" s="553">
        <f>Table22[[#This Row],[PeF (peeling factor RD enforcemen)]]</f>
        <v>0</v>
      </c>
      <c r="Q269" s="553">
        <f>Table22[[#This Row],[STMR-RAC (median residue)]]</f>
        <v>0</v>
      </c>
      <c r="R269" s="553">
        <f>Table22[[#This Row],[HR-RAC (highest residue)]]</f>
        <v>0</v>
      </c>
      <c r="S269" s="553">
        <f>Table22[[#This Row],[VF (alternative variability factor)]]</f>
        <v>0</v>
      </c>
      <c r="T269" s="553">
        <f>Table22[[#This Row],[GAP under assessment]]</f>
        <v>0</v>
      </c>
      <c r="U269" s="553">
        <f>Table22[[#This Row],[Post-harvest treatment]]</f>
        <v>0</v>
      </c>
      <c r="V269" s="553"/>
      <c r="W269" s="553">
        <f>Table22[[#This Row],[Chronic RA input value]]</f>
        <v>0</v>
      </c>
      <c r="X269" s="1684"/>
      <c r="Y269" s="553">
        <f>Table22[[#This Row],[Acute RA input value]]</f>
        <v>0</v>
      </c>
      <c r="Z269" s="786">
        <f>SUM(Table1[[#This Row],[chronic value &lt;&gt;MRL/LOQ]:[acute vlue&lt;&gt;MRL/LOQ]])</f>
        <v>0</v>
      </c>
      <c r="AA269" s="786">
        <f>IF(AND($F$5="Refined calculation mode",Table1[[#This Row],[GAP under assessment]]="Y"),1,IF(OR(Table1[[#This Row],[Chronic RA label]]="LOQ",Table1[[#This Row],[Chronic RA label]]="",Table1[[#This Row],[Chronic RA label]]="MRL"),0,1))</f>
        <v>0</v>
      </c>
      <c r="AB269" s="787">
        <f>IF(OR(Table1[[#This Row],[Acute RA label]]="LOQ",Table1[[#This Row],[Acute RA label]]="",Table1[[#This Row],[Acute RA label]]="MRL"),0,1)</f>
        <v>0</v>
      </c>
    </row>
    <row r="270" spans="1:28" ht="13.5" hidden="1" thickTop="1" x14ac:dyDescent="0.2">
      <c r="A270" s="815">
        <f>Table1[[#This Row],[Code no.]]</f>
        <v>633010</v>
      </c>
      <c r="B270" s="793" t="str">
        <f>Table1[[#This Row],[Commodity or group of commodities to which the MRLs apply]]</f>
        <v xml:space="preserve">Valerian root </v>
      </c>
      <c r="C270" s="794">
        <f>Table1[[#This Row],[MRL/ proposed MRL /CXL
(mg/kg)]]</f>
        <v>0</v>
      </c>
      <c r="D270" s="795">
        <f>Table1[[#This Row],[Source of MRL]]</f>
        <v>0</v>
      </c>
      <c r="E270" s="797">
        <f>Table1[[#This Row],[Chronic RA input value]]</f>
        <v>0</v>
      </c>
      <c r="F270" s="795" t="str">
        <f>Table1[[#This Row],[Chronic RA label]]</f>
        <v/>
      </c>
      <c r="G270" s="797">
        <f>Table1[[#This Row],[Acute RA input value]]</f>
        <v>0</v>
      </c>
      <c r="H270" s="836" t="str">
        <f>Table1[[#This Row],[Acute RA label]]</f>
        <v/>
      </c>
      <c r="J270" s="553">
        <f>Table22[[#This Row],[Code no.]]</f>
        <v>633010</v>
      </c>
      <c r="K270" s="553" t="str">
        <f>Table22[[#This Row],[Commodity or group of commodities to which the MRLs apply]]</f>
        <v xml:space="preserve">Valerian root </v>
      </c>
      <c r="L270" s="553">
        <f>Table22[[#This Row],[Source / type of MRL]]</f>
        <v>0</v>
      </c>
      <c r="M270" s="553">
        <f>Table22[[#This Row],[MRL/ proposed MRL /CXL
(mg/kg)]]</f>
        <v>0</v>
      </c>
      <c r="N270" s="553">
        <f>Table22[[#This Row],[LOQ]]</f>
        <v>0</v>
      </c>
      <c r="O270" s="553">
        <f>Table22[[#This Row],[CFrisk for residue definition]]</f>
        <v>0</v>
      </c>
      <c r="P270" s="553">
        <f>Table22[[#This Row],[PeF (peeling factor RD enforcemen)]]</f>
        <v>0</v>
      </c>
      <c r="Q270" s="553">
        <f>Table22[[#This Row],[STMR-RAC (median residue)]]</f>
        <v>0</v>
      </c>
      <c r="R270" s="553">
        <f>Table22[[#This Row],[HR-RAC (highest residue)]]</f>
        <v>0</v>
      </c>
      <c r="S270" s="553">
        <f>Table22[[#This Row],[VF (alternative variability factor)]]</f>
        <v>0</v>
      </c>
      <c r="T270" s="553">
        <f>Table22[[#This Row],[GAP under assessment]]</f>
        <v>0</v>
      </c>
      <c r="U270" s="553">
        <f>Table22[[#This Row],[Post-harvest treatment]]</f>
        <v>0</v>
      </c>
      <c r="V270" s="553" t="str">
        <f>Table22[[#This Row],[Chronic RA label]]</f>
        <v/>
      </c>
      <c r="W270" s="553">
        <f>Table22[[#This Row],[Chronic RA input value]]</f>
        <v>0</v>
      </c>
      <c r="X270" s="1684" t="str">
        <f>Table22[[#This Row],[Acute RA label]]</f>
        <v/>
      </c>
      <c r="Y270" s="553">
        <f>Table22[[#This Row],[Acute RA input value]]</f>
        <v>0</v>
      </c>
      <c r="Z270" s="786">
        <f>SUM(Table1[[#This Row],[chronic value &lt;&gt;MRL/LOQ]:[acute vlue&lt;&gt;MRL/LOQ]])</f>
        <v>0</v>
      </c>
      <c r="AA270" s="786">
        <f>IF(AND($F$5="Refined calculation mode",Table1[[#This Row],[GAP under assessment]]="Y"),1,IF(OR(Table1[[#This Row],[Chronic RA label]]="LOQ",Table1[[#This Row],[Chronic RA label]]="",Table1[[#This Row],[Chronic RA label]]="MRL"),0,1))</f>
        <v>0</v>
      </c>
      <c r="AB270" s="787">
        <f>IF(OR(Table1[[#This Row],[Acute RA label]]="LOQ",Table1[[#This Row],[Acute RA label]]="",Table1[[#This Row],[Acute RA label]]="MRL"),0,1)</f>
        <v>0</v>
      </c>
    </row>
    <row r="271" spans="1:28" ht="13.5" hidden="1" thickTop="1" x14ac:dyDescent="0.2">
      <c r="A271" s="815">
        <f>Table1[[#This Row],[Code no.]]</f>
        <v>633020</v>
      </c>
      <c r="B271" s="793" t="str">
        <f>Table1[[#This Row],[Commodity or group of commodities to which the MRLs apply]]</f>
        <v>Ginseng root</v>
      </c>
      <c r="C271" s="794">
        <f>Table1[[#This Row],[MRL/ proposed MRL /CXL
(mg/kg)]]</f>
        <v>0</v>
      </c>
      <c r="D271" s="795">
        <f>Table1[[#This Row],[Source of MRL]]</f>
        <v>0</v>
      </c>
      <c r="E271" s="797">
        <f>Table1[[#This Row],[Chronic RA input value]]</f>
        <v>0</v>
      </c>
      <c r="F271" s="795" t="str">
        <f>Table1[[#This Row],[Chronic RA label]]</f>
        <v/>
      </c>
      <c r="G271" s="797">
        <f>Table1[[#This Row],[Acute RA input value]]</f>
        <v>0</v>
      </c>
      <c r="H271" s="836" t="str">
        <f>Table1[[#This Row],[Acute RA label]]</f>
        <v/>
      </c>
      <c r="J271" s="553">
        <f>Table22[[#This Row],[Code no.]]</f>
        <v>633020</v>
      </c>
      <c r="K271" s="553" t="str">
        <f>Table22[[#This Row],[Commodity or group of commodities to which the MRLs apply]]</f>
        <v>Ginseng root</v>
      </c>
      <c r="L271" s="553">
        <f>Table22[[#This Row],[Source / type of MRL]]</f>
        <v>0</v>
      </c>
      <c r="M271" s="553">
        <f>Table22[[#This Row],[MRL/ proposed MRL /CXL
(mg/kg)]]</f>
        <v>0</v>
      </c>
      <c r="N271" s="553">
        <f>Table22[[#This Row],[LOQ]]</f>
        <v>0</v>
      </c>
      <c r="O271" s="553">
        <f>Table22[[#This Row],[CFrisk for residue definition]]</f>
        <v>0</v>
      </c>
      <c r="P271" s="553">
        <f>Table22[[#This Row],[PeF (peeling factor RD enforcemen)]]</f>
        <v>0</v>
      </c>
      <c r="Q271" s="553">
        <f>Table22[[#This Row],[STMR-RAC (median residue)]]</f>
        <v>0</v>
      </c>
      <c r="R271" s="553">
        <f>Table22[[#This Row],[HR-RAC (highest residue)]]</f>
        <v>0</v>
      </c>
      <c r="S271" s="553">
        <f>Table22[[#This Row],[VF (alternative variability factor)]]</f>
        <v>0</v>
      </c>
      <c r="T271" s="553">
        <f>Table22[[#This Row],[GAP under assessment]]</f>
        <v>0</v>
      </c>
      <c r="U271" s="553">
        <f>Table22[[#This Row],[Post-harvest treatment]]</f>
        <v>0</v>
      </c>
      <c r="V271" s="553" t="str">
        <f>Table22[[#This Row],[Chronic RA label]]</f>
        <v/>
      </c>
      <c r="W271" s="553">
        <f>Table22[[#This Row],[Chronic RA input value]]</f>
        <v>0</v>
      </c>
      <c r="X271" s="1684" t="str">
        <f>Table22[[#This Row],[Acute RA label]]</f>
        <v/>
      </c>
      <c r="Y271" s="553">
        <f>Table22[[#This Row],[Acute RA input value]]</f>
        <v>0</v>
      </c>
      <c r="Z271" s="786">
        <f>SUM(Table1[[#This Row],[chronic value &lt;&gt;MRL/LOQ]:[acute vlue&lt;&gt;MRL/LOQ]])</f>
        <v>0</v>
      </c>
      <c r="AA271" s="786">
        <f>IF(AND($F$5="Refined calculation mode",Table1[[#This Row],[GAP under assessment]]="Y"),1,IF(OR(Table1[[#This Row],[Chronic RA label]]="LOQ",Table1[[#This Row],[Chronic RA label]]="",Table1[[#This Row],[Chronic RA label]]="MRL"),0,1))</f>
        <v>0</v>
      </c>
      <c r="AB271" s="787">
        <f>IF(OR(Table1[[#This Row],[Acute RA label]]="LOQ",Table1[[#This Row],[Acute RA label]]="",Table1[[#This Row],[Acute RA label]]="MRL"),0,1)</f>
        <v>0</v>
      </c>
    </row>
    <row r="272" spans="1:28" ht="32.25" hidden="1" thickTop="1" x14ac:dyDescent="0.2">
      <c r="A272" s="815">
        <f>Table1[[#This Row],[Code no.]]</f>
        <v>633990</v>
      </c>
      <c r="B272" s="793" t="str">
        <f>Table1[[#This Row],[Commodity or group of commodities to which the MRLs apply]]</f>
        <v>Other herbal infusions (dried roots)</v>
      </c>
      <c r="C272" s="794">
        <f>Table1[[#This Row],[MRL/ proposed MRL /CXL
(mg/kg)]]</f>
        <v>0</v>
      </c>
      <c r="D272" s="795">
        <f>Table1[[#This Row],[Source of MRL]]</f>
        <v>0</v>
      </c>
      <c r="E272" s="797">
        <f>Table1[[#This Row],[Chronic RA input value]]</f>
        <v>0</v>
      </c>
      <c r="F272" s="795" t="str">
        <f>Table1[[#This Row],[Chronic RA label]]</f>
        <v/>
      </c>
      <c r="G272" s="797">
        <f>Table1[[#This Row],[Acute RA input value]]</f>
        <v>0</v>
      </c>
      <c r="H272" s="836">
        <f>Table1[[#This Row],[Acute RA label]]</f>
        <v>0</v>
      </c>
      <c r="J272" s="553">
        <f>Table22[[#This Row],[Code no.]]</f>
        <v>633990</v>
      </c>
      <c r="K272" s="553" t="str">
        <f>Table22[[#This Row],[Commodity or group of commodities to which the MRLs apply]]</f>
        <v>Other herbal infusions (dried roots)</v>
      </c>
      <c r="L272" s="553">
        <f>Table22[[#This Row],[Source / type of MRL]]</f>
        <v>0</v>
      </c>
      <c r="M272" s="553">
        <f>Table22[[#This Row],[MRL/ proposed MRL /CXL
(mg/kg)]]</f>
        <v>0</v>
      </c>
      <c r="N272" s="553">
        <f>Table22[[#This Row],[LOQ]]</f>
        <v>0</v>
      </c>
      <c r="O272" s="553">
        <f>Table22[[#This Row],[CFrisk for residue definition]]</f>
        <v>0</v>
      </c>
      <c r="P272" s="553">
        <f>Table22[[#This Row],[PeF (peeling factor RD enforcemen)]]</f>
        <v>0</v>
      </c>
      <c r="Q272" s="553">
        <f>Table22[[#This Row],[STMR-RAC (median residue)]]</f>
        <v>0</v>
      </c>
      <c r="R272" s="553">
        <f>Table22[[#This Row],[HR-RAC (highest residue)]]</f>
        <v>0</v>
      </c>
      <c r="S272" s="553">
        <f>Table22[[#This Row],[VF (alternative variability factor)]]</f>
        <v>0</v>
      </c>
      <c r="T272" s="553">
        <f>Table22[[#This Row],[GAP under assessment]]</f>
        <v>0</v>
      </c>
      <c r="U272" s="553">
        <f>Table22[[#This Row],[Post-harvest treatment]]</f>
        <v>0</v>
      </c>
      <c r="V272" s="553" t="str">
        <f>Table22[[#This Row],[Chronic RA label]]</f>
        <v/>
      </c>
      <c r="W272" s="553">
        <f>Table22[[#This Row],[Chronic RA input value]]</f>
        <v>0</v>
      </c>
      <c r="X272" s="1684"/>
      <c r="Y272" s="553">
        <f>Table22[[#This Row],[Acute RA input value]]</f>
        <v>0</v>
      </c>
      <c r="Z272" s="786">
        <f>SUM(Table1[[#This Row],[chronic value &lt;&gt;MRL/LOQ]:[acute vlue&lt;&gt;MRL/LOQ]])</f>
        <v>0</v>
      </c>
      <c r="AA272" s="786">
        <f>IF(AND($F$5="Refined calculation mode",Table1[[#This Row],[GAP under assessment]]="Y"),1,IF(OR(Table1[[#This Row],[Chronic RA label]]="LOQ",Table1[[#This Row],[Chronic RA label]]="",Table1[[#This Row],[Chronic RA label]]="MRL"),0,1))</f>
        <v>0</v>
      </c>
      <c r="AB272" s="787">
        <f>IF(OR(Table1[[#This Row],[Acute RA label]]="LOQ",Table1[[#This Row],[Acute RA label]]="",Table1[[#This Row],[Acute RA label]]="MRL"),0,1)</f>
        <v>0</v>
      </c>
    </row>
    <row r="273" spans="1:28" ht="53.25" hidden="1" thickTop="1" x14ac:dyDescent="0.2">
      <c r="A273" s="815">
        <f>Table1[[#This Row],[Code no.]]</f>
        <v>639000</v>
      </c>
      <c r="B273" s="793" t="str">
        <f>Table1[[#This Row],[Commodity or group of commodities to which the MRLs apply]]</f>
        <v>Herbal infusions  -(any other parts of the plant)
(other herbal infusions)</v>
      </c>
      <c r="C273" s="794">
        <f>Table1[[#This Row],[MRL/ proposed MRL /CXL
(mg/kg)]]</f>
        <v>0</v>
      </c>
      <c r="D273" s="795">
        <f>Table1[[#This Row],[Source of MRL]]</f>
        <v>0</v>
      </c>
      <c r="E273" s="797">
        <f>Table1[[#This Row],[Chronic RA input value]]</f>
        <v>0</v>
      </c>
      <c r="F273" s="795">
        <f>Table1[[#This Row],[Chronic RA label]]</f>
        <v>0</v>
      </c>
      <c r="G273" s="797">
        <f>Table1[[#This Row],[Acute RA input value]]</f>
        <v>0</v>
      </c>
      <c r="H273" s="836">
        <f>Table1[[#This Row],[Acute RA label]]</f>
        <v>0</v>
      </c>
      <c r="J273" s="553">
        <f>Table22[[#This Row],[Code no.]]</f>
        <v>639000</v>
      </c>
      <c r="K273" s="553" t="str">
        <f>Table22[[#This Row],[Commodity or group of commodities to which the MRLs apply]]</f>
        <v>Herbal infusions  -(any other parts of the plant)
(other herbal infusions)</v>
      </c>
      <c r="L273" s="553">
        <f>Table22[[#This Row],[Source / type of MRL]]</f>
        <v>0</v>
      </c>
      <c r="M273" s="553">
        <f>Table22[[#This Row],[MRL/ proposed MRL /CXL
(mg/kg)]]</f>
        <v>0</v>
      </c>
      <c r="N273" s="553">
        <f>Table22[[#This Row],[LOQ]]</f>
        <v>0</v>
      </c>
      <c r="O273" s="553">
        <f>Table22[[#This Row],[CFrisk for residue definition]]</f>
        <v>0</v>
      </c>
      <c r="P273" s="553">
        <f>Table22[[#This Row],[PeF (peeling factor RD enforcemen)]]</f>
        <v>0</v>
      </c>
      <c r="Q273" s="553">
        <f>Table22[[#This Row],[STMR-RAC (median residue)]]</f>
        <v>0</v>
      </c>
      <c r="R273" s="553">
        <f>Table22[[#This Row],[HR-RAC (highest residue)]]</f>
        <v>0</v>
      </c>
      <c r="S273" s="553">
        <f>Table22[[#This Row],[VF (alternative variability factor)]]</f>
        <v>0</v>
      </c>
      <c r="T273" s="553">
        <f>Table22[[#This Row],[GAP under assessment]]</f>
        <v>0</v>
      </c>
      <c r="U273" s="553">
        <f>Table22[[#This Row],[Post-harvest treatment]]</f>
        <v>0</v>
      </c>
      <c r="V273" s="553"/>
      <c r="W273" s="553">
        <f>Table22[[#This Row],[Chronic RA input value]]</f>
        <v>0</v>
      </c>
      <c r="X273" s="1684"/>
      <c r="Y273" s="553">
        <f>Table22[[#This Row],[Acute RA input value]]</f>
        <v>0</v>
      </c>
      <c r="Z273" s="786">
        <f>SUM(Table1[[#This Row],[chronic value &lt;&gt;MRL/LOQ]:[acute vlue&lt;&gt;MRL/LOQ]])</f>
        <v>0</v>
      </c>
      <c r="AA273" s="786">
        <f>IF(AND($F$5="Refined calculation mode",Table1[[#This Row],[GAP under assessment]]="Y"),1,IF(OR(Table1[[#This Row],[Chronic RA label]]="LOQ",Table1[[#This Row],[Chronic RA label]]="",Table1[[#This Row],[Chronic RA label]]="MRL"),0,1))</f>
        <v>0</v>
      </c>
      <c r="AB273" s="787">
        <f>IF(OR(Table1[[#This Row],[Acute RA label]]="LOQ",Table1[[#This Row],[Acute RA label]]="",Table1[[#This Row],[Acute RA label]]="MRL"),0,1)</f>
        <v>0</v>
      </c>
    </row>
    <row r="274" spans="1:28" ht="13.5" hidden="1" thickTop="1" x14ac:dyDescent="0.2">
      <c r="A274" s="815">
        <f>Table1[[#This Row],[Code no.]]</f>
        <v>640000</v>
      </c>
      <c r="B274" s="793" t="str">
        <f>Table1[[#This Row],[Commodity or group of commodities to which the MRLs apply]]</f>
        <v>Cocoa beans</v>
      </c>
      <c r="C274" s="794">
        <f>Table1[[#This Row],[MRL/ proposed MRL /CXL
(mg/kg)]]</f>
        <v>0</v>
      </c>
      <c r="D274" s="795">
        <f>Table1[[#This Row],[Source of MRL]]</f>
        <v>0</v>
      </c>
      <c r="E274" s="797">
        <f>Table1[[#This Row],[Chronic RA input value]]</f>
        <v>0</v>
      </c>
      <c r="F274" s="795" t="str">
        <f>Table1[[#This Row],[Chronic RA label]]</f>
        <v/>
      </c>
      <c r="G274" s="797">
        <f>Table1[[#This Row],[Acute RA input value]]</f>
        <v>0</v>
      </c>
      <c r="H274" s="836" t="str">
        <f>Table1[[#This Row],[Acute RA label]]</f>
        <v/>
      </c>
      <c r="J274" s="553">
        <f>Table22[[#This Row],[Code no.]]</f>
        <v>640000</v>
      </c>
      <c r="K274" s="553" t="str">
        <f>Table22[[#This Row],[Commodity or group of commodities to which the MRLs apply]]</f>
        <v>Cocoa beans</v>
      </c>
      <c r="L274" s="553">
        <f>Table22[[#This Row],[Source / type of MRL]]</f>
        <v>0</v>
      </c>
      <c r="M274" s="553">
        <f>Table22[[#This Row],[MRL/ proposed MRL /CXL
(mg/kg)]]</f>
        <v>0</v>
      </c>
      <c r="N274" s="553">
        <f>Table22[[#This Row],[LOQ]]</f>
        <v>0</v>
      </c>
      <c r="O274" s="553">
        <f>Table22[[#This Row],[CFrisk for residue definition]]</f>
        <v>0</v>
      </c>
      <c r="P274" s="553">
        <f>Table22[[#This Row],[PeF (peeling factor RD enforcemen)]]</f>
        <v>0</v>
      </c>
      <c r="Q274" s="553">
        <f>Table22[[#This Row],[STMR-RAC (median residue)]]</f>
        <v>0</v>
      </c>
      <c r="R274" s="553">
        <f>Table22[[#This Row],[HR-RAC (highest residue)]]</f>
        <v>0</v>
      </c>
      <c r="S274" s="553">
        <f>Table22[[#This Row],[VF (alternative variability factor)]]</f>
        <v>0</v>
      </c>
      <c r="T274" s="553">
        <f>Table22[[#This Row],[GAP under assessment]]</f>
        <v>0</v>
      </c>
      <c r="U274" s="553">
        <f>Table22[[#This Row],[Post-harvest treatment]]</f>
        <v>0</v>
      </c>
      <c r="V274" s="553" t="str">
        <f>Table22[[#This Row],[Chronic RA label]]</f>
        <v/>
      </c>
      <c r="W274" s="553">
        <f>Table22[[#This Row],[Chronic RA input value]]</f>
        <v>0</v>
      </c>
      <c r="X274" s="1684" t="str">
        <f>Table22[[#This Row],[Acute RA label]]</f>
        <v/>
      </c>
      <c r="Y274" s="553">
        <f>Table22[[#This Row],[Acute RA input value]]</f>
        <v>0</v>
      </c>
      <c r="Z274" s="786">
        <f>SUM(Table1[[#This Row],[chronic value &lt;&gt;MRL/LOQ]:[acute vlue&lt;&gt;MRL/LOQ]])</f>
        <v>0</v>
      </c>
      <c r="AA274" s="786">
        <f>IF(AND($F$5="Refined calculation mode",Table1[[#This Row],[GAP under assessment]]="Y"),1,IF(OR(Table1[[#This Row],[Chronic RA label]]="LOQ",Table1[[#This Row],[Chronic RA label]]="",Table1[[#This Row],[Chronic RA label]]="MRL"),0,1))</f>
        <v>0</v>
      </c>
      <c r="AB274" s="787">
        <f>IF(OR(Table1[[#This Row],[Acute RA label]]="LOQ",Table1[[#This Row],[Acute RA label]]="",Table1[[#This Row],[Acute RA label]]="MRL"),0,1)</f>
        <v>0</v>
      </c>
    </row>
    <row r="275" spans="1:28" ht="21.75" hidden="1" thickTop="1" x14ac:dyDescent="0.2">
      <c r="A275" s="815">
        <f>Table1[[#This Row],[Code no.]]</f>
        <v>650000</v>
      </c>
      <c r="B275" s="793" t="str">
        <f>Table1[[#This Row],[Commodity or group of commodities to which the MRLs apply]]</f>
        <v>Carobs/Staint John's bread</v>
      </c>
      <c r="C275" s="794">
        <f>Table1[[#This Row],[MRL/ proposed MRL /CXL
(mg/kg)]]</f>
        <v>0</v>
      </c>
      <c r="D275" s="795">
        <f>Table1[[#This Row],[Source of MRL]]</f>
        <v>0</v>
      </c>
      <c r="E275" s="797">
        <f>Table1[[#This Row],[Chronic RA input value]]</f>
        <v>0</v>
      </c>
      <c r="F275" s="795" t="str">
        <f>Table1[[#This Row],[Chronic RA label]]</f>
        <v/>
      </c>
      <c r="G275" s="797">
        <f>Table1[[#This Row],[Acute RA input value]]</f>
        <v>0</v>
      </c>
      <c r="H275" s="836" t="str">
        <f>Table1[[#This Row],[Acute RA label]]</f>
        <v/>
      </c>
      <c r="J275" s="553">
        <f>Table22[[#This Row],[Code no.]]</f>
        <v>650000</v>
      </c>
      <c r="K275" s="553" t="str">
        <f>Table22[[#This Row],[Commodity or group of commodities to which the MRLs apply]]</f>
        <v>Carobs/Staint John's bread</v>
      </c>
      <c r="L275" s="553">
        <f>Table22[[#This Row],[Source / type of MRL]]</f>
        <v>0</v>
      </c>
      <c r="M275" s="553">
        <f>Table22[[#This Row],[MRL/ proposed MRL /CXL
(mg/kg)]]</f>
        <v>0</v>
      </c>
      <c r="N275" s="553">
        <f>Table22[[#This Row],[LOQ]]</f>
        <v>0</v>
      </c>
      <c r="O275" s="553">
        <f>Table22[[#This Row],[CFrisk for residue definition]]</f>
        <v>0</v>
      </c>
      <c r="P275" s="553">
        <f>Table22[[#This Row],[PeF (peeling factor RD enforcemen)]]</f>
        <v>0</v>
      </c>
      <c r="Q275" s="553">
        <f>Table22[[#This Row],[STMR-RAC (median residue)]]</f>
        <v>0</v>
      </c>
      <c r="R275" s="553">
        <f>Table22[[#This Row],[HR-RAC (highest residue)]]</f>
        <v>0</v>
      </c>
      <c r="S275" s="553">
        <f>Table22[[#This Row],[VF (alternative variability factor)]]</f>
        <v>0</v>
      </c>
      <c r="T275" s="553">
        <f>Table22[[#This Row],[GAP under assessment]]</f>
        <v>0</v>
      </c>
      <c r="U275" s="553">
        <f>Table22[[#This Row],[Post-harvest treatment]]</f>
        <v>0</v>
      </c>
      <c r="V275" s="553" t="str">
        <f>Table22[[#This Row],[Chronic RA label]]</f>
        <v/>
      </c>
      <c r="W275" s="553">
        <f>Table22[[#This Row],[Chronic RA input value]]</f>
        <v>0</v>
      </c>
      <c r="X275" s="1684" t="str">
        <f>Table22[[#This Row],[Acute RA label]]</f>
        <v/>
      </c>
      <c r="Y275" s="553">
        <f>Table22[[#This Row],[Acute RA input value]]</f>
        <v>0</v>
      </c>
      <c r="Z275" s="786">
        <f>SUM(Table1[[#This Row],[chronic value &lt;&gt;MRL/LOQ]:[acute vlue&lt;&gt;MRL/LOQ]])</f>
        <v>0</v>
      </c>
      <c r="AA275" s="786">
        <f>IF(AND($F$5="Refined calculation mode",Table1[[#This Row],[GAP under assessment]]="Y"),1,IF(OR(Table1[[#This Row],[Chronic RA label]]="LOQ",Table1[[#This Row],[Chronic RA label]]="",Table1[[#This Row],[Chronic RA label]]="MRL"),0,1))</f>
        <v>0</v>
      </c>
      <c r="AB275" s="787">
        <f>IF(OR(Table1[[#This Row],[Acute RA label]]="LOQ",Table1[[#This Row],[Acute RA label]]="",Table1[[#This Row],[Acute RA label]]="MRL"),0,1)</f>
        <v>0</v>
      </c>
    </row>
    <row r="276" spans="1:28" ht="13.5" hidden="1" thickTop="1" x14ac:dyDescent="0.2">
      <c r="A276" s="815">
        <f>Table1[[#This Row],[Code no.]]</f>
        <v>700000</v>
      </c>
      <c r="B276" s="793" t="str">
        <f>Table1[[#This Row],[Commodity or group of commodities to which the MRLs apply]]</f>
        <v xml:space="preserve"> HOPS (dried)</v>
      </c>
      <c r="C276" s="794">
        <f>Table1[[#This Row],[MRL/ proposed MRL /CXL
(mg/kg)]]</f>
        <v>0</v>
      </c>
      <c r="D276" s="795">
        <f>Table1[[#This Row],[Source of MRL]]</f>
        <v>0</v>
      </c>
      <c r="E276" s="797">
        <f>Table1[[#This Row],[Chronic RA input value]]</f>
        <v>0</v>
      </c>
      <c r="F276" s="795" t="str">
        <f>Table1[[#This Row],[Chronic RA label]]</f>
        <v/>
      </c>
      <c r="G276" s="797">
        <f>Table1[[#This Row],[Acute RA input value]]</f>
        <v>0</v>
      </c>
      <c r="H276" s="836" t="str">
        <f>Table1[[#This Row],[Acute RA label]]</f>
        <v/>
      </c>
      <c r="J276" s="553">
        <f>Table22[[#This Row],[Code no.]]</f>
        <v>700000</v>
      </c>
      <c r="K276" s="553" t="str">
        <f>Table22[[#This Row],[Commodity or group of commodities to which the MRLs apply]]</f>
        <v xml:space="preserve"> HOPS (dried)</v>
      </c>
      <c r="L276" s="553">
        <f>Table22[[#This Row],[Source / type of MRL]]</f>
        <v>0</v>
      </c>
      <c r="M276" s="553">
        <f>Table22[[#This Row],[MRL/ proposed MRL /CXL
(mg/kg)]]</f>
        <v>0</v>
      </c>
      <c r="N276" s="553">
        <f>Table22[[#This Row],[LOQ]]</f>
        <v>0</v>
      </c>
      <c r="O276" s="553">
        <f>Table22[[#This Row],[CFrisk for residue definition]]</f>
        <v>0</v>
      </c>
      <c r="P276" s="553">
        <f>Table22[[#This Row],[PeF (peeling factor RD enforcemen)]]</f>
        <v>0</v>
      </c>
      <c r="Q276" s="553">
        <f>Table22[[#This Row],[STMR-RAC (median residue)]]</f>
        <v>0</v>
      </c>
      <c r="R276" s="553">
        <f>Table22[[#This Row],[HR-RAC (highest residue)]]</f>
        <v>0</v>
      </c>
      <c r="S276" s="553">
        <f>Table22[[#This Row],[VF (alternative variability factor)]]</f>
        <v>0</v>
      </c>
      <c r="T276" s="553">
        <f>Table22[[#This Row],[GAP under assessment]]</f>
        <v>0</v>
      </c>
      <c r="U276" s="553">
        <f>Table22[[#This Row],[Post-harvest treatment]]</f>
        <v>0</v>
      </c>
      <c r="V276" s="553" t="str">
        <f>Table22[[#This Row],[Chronic RA label]]</f>
        <v/>
      </c>
      <c r="W276" s="553">
        <f>Table22[[#This Row],[Chronic RA input value]]</f>
        <v>0</v>
      </c>
      <c r="X276" s="1684" t="str">
        <f>Table22[[#This Row],[Acute RA label]]</f>
        <v/>
      </c>
      <c r="Y276" s="553">
        <f>Table22[[#This Row],[Acute RA input value]]</f>
        <v>0</v>
      </c>
      <c r="Z276" s="786">
        <f>SUM(Table1[[#This Row],[chronic value &lt;&gt;MRL/LOQ]:[acute vlue&lt;&gt;MRL/LOQ]])</f>
        <v>0</v>
      </c>
      <c r="AA276" s="786">
        <f>IF(AND($F$5="Refined calculation mode",Table1[[#This Row],[GAP under assessment]]="Y"),1,IF(OR(Table1[[#This Row],[Chronic RA label]]="LOQ",Table1[[#This Row],[Chronic RA label]]="",Table1[[#This Row],[Chronic RA label]]="MRL"),0,1))</f>
        <v>0</v>
      </c>
      <c r="AB276" s="787">
        <f>IF(OR(Table1[[#This Row],[Acute RA label]]="LOQ",Table1[[#This Row],[Acute RA label]]="",Table1[[#This Row],[Acute RA label]]="MRL"),0,1)</f>
        <v>0</v>
      </c>
    </row>
    <row r="277" spans="1:28" ht="13.5" hidden="1" thickTop="1" x14ac:dyDescent="0.2">
      <c r="A277" s="815">
        <f>Table1[[#This Row],[Code no.]]</f>
        <v>800000</v>
      </c>
      <c r="B277" s="793" t="str">
        <f>Table1[[#This Row],[Commodity or group of commodities to which the MRLs apply]]</f>
        <v>SPICES</v>
      </c>
      <c r="C277" s="794">
        <f>Table1[[#This Row],[MRL/ proposed MRL /CXL
(mg/kg)]]</f>
        <v>0</v>
      </c>
      <c r="D277" s="795">
        <f>Table1[[#This Row],[Source of MRL]]</f>
        <v>0</v>
      </c>
      <c r="E277" s="797">
        <f>Table1[[#This Row],[Chronic RA input value]]</f>
        <v>0</v>
      </c>
      <c r="F277" s="795">
        <f>Table1[[#This Row],[Chronic RA label]]</f>
        <v>0</v>
      </c>
      <c r="G277" s="797">
        <f>Table1[[#This Row],[Acute RA input value]]</f>
        <v>0</v>
      </c>
      <c r="H277" s="836">
        <f>Table1[[#This Row],[Acute RA label]]</f>
        <v>0</v>
      </c>
      <c r="J277" s="553">
        <f>Table22[[#This Row],[Code no.]]</f>
        <v>800000</v>
      </c>
      <c r="K277" s="553" t="str">
        <f>Table22[[#This Row],[Commodity or group of commodities to which the MRLs apply]]</f>
        <v>SPICES</v>
      </c>
      <c r="L277" s="553">
        <f>Table22[[#This Row],[Source / type of MRL]]</f>
        <v>0</v>
      </c>
      <c r="M277" s="553">
        <f>Table22[[#This Row],[MRL/ proposed MRL /CXL
(mg/kg)]]</f>
        <v>0</v>
      </c>
      <c r="N277" s="553">
        <f>Table22[[#This Row],[LOQ]]</f>
        <v>0</v>
      </c>
      <c r="O277" s="553">
        <f>Table22[[#This Row],[CFrisk for residue definition]]</f>
        <v>0</v>
      </c>
      <c r="P277" s="553">
        <f>Table22[[#This Row],[PeF (peeling factor RD enforcemen)]]</f>
        <v>0</v>
      </c>
      <c r="Q277" s="553">
        <f>Table22[[#This Row],[STMR-RAC (median residue)]]</f>
        <v>0</v>
      </c>
      <c r="R277" s="553">
        <f>Table22[[#This Row],[HR-RAC (highest residue)]]</f>
        <v>0</v>
      </c>
      <c r="S277" s="553">
        <f>Table22[[#This Row],[VF (alternative variability factor)]]</f>
        <v>0</v>
      </c>
      <c r="T277" s="553">
        <f>Table22[[#This Row],[GAP under assessment]]</f>
        <v>0</v>
      </c>
      <c r="U277" s="553">
        <f>Table22[[#This Row],[Post-harvest treatment]]</f>
        <v>0</v>
      </c>
      <c r="V277" s="553"/>
      <c r="W277" s="553">
        <f>Table22[[#This Row],[Chronic RA input value]]</f>
        <v>0</v>
      </c>
      <c r="X277" s="1684"/>
      <c r="Y277" s="553">
        <f>Table22[[#This Row],[Acute RA input value]]</f>
        <v>0</v>
      </c>
      <c r="Z277" s="786">
        <f>SUM(Table1[[#This Row],[chronic value &lt;&gt;MRL/LOQ]:[acute vlue&lt;&gt;MRL/LOQ]])</f>
        <v>0</v>
      </c>
      <c r="AA277" s="786">
        <f>IF(AND($F$5="Refined calculation mode",Table1[[#This Row],[GAP under assessment]]="Y"),1,IF(OR(Table1[[#This Row],[Chronic RA label]]="LOQ",Table1[[#This Row],[Chronic RA label]]="",Table1[[#This Row],[Chronic RA label]]="MRL"),0,1))</f>
        <v>0</v>
      </c>
      <c r="AB277" s="787">
        <f>IF(OR(Table1[[#This Row],[Acute RA label]]="LOQ",Table1[[#This Row],[Acute RA label]]="",Table1[[#This Row],[Acute RA label]]="MRL"),0,1)</f>
        <v>0</v>
      </c>
    </row>
    <row r="278" spans="1:28" ht="13.5" hidden="1" thickTop="1" x14ac:dyDescent="0.2">
      <c r="A278" s="815">
        <f>Table1[[#This Row],[Code no.]]</f>
        <v>810000</v>
      </c>
      <c r="B278" s="793" t="str">
        <f>Table1[[#This Row],[Commodity or group of commodities to which the MRLs apply]]</f>
        <v>Spices (seeds)</v>
      </c>
      <c r="C278" s="794">
        <f>Table1[[#This Row],[MRL/ proposed MRL /CXL
(mg/kg)]]</f>
        <v>0</v>
      </c>
      <c r="D278" s="795">
        <f>Table1[[#This Row],[Source of MRL]]</f>
        <v>0</v>
      </c>
      <c r="E278" s="797">
        <f>Table1[[#This Row],[Chronic RA input value]]</f>
        <v>0</v>
      </c>
      <c r="F278" s="795">
        <f>Table1[[#This Row],[Chronic RA label]]</f>
        <v>0</v>
      </c>
      <c r="G278" s="797">
        <f>Table1[[#This Row],[Acute RA input value]]</f>
        <v>0</v>
      </c>
      <c r="H278" s="836">
        <f>Table1[[#This Row],[Acute RA label]]</f>
        <v>0</v>
      </c>
      <c r="J278" s="553">
        <f>Table22[[#This Row],[Code no.]]</f>
        <v>810000</v>
      </c>
      <c r="K278" s="553" t="str">
        <f>Table22[[#This Row],[Commodity or group of commodities to which the MRLs apply]]</f>
        <v>Spices (seeds)</v>
      </c>
      <c r="L278" s="553">
        <f>Table22[[#This Row],[Source / type of MRL]]</f>
        <v>0</v>
      </c>
      <c r="M278" s="553">
        <f>Table22[[#This Row],[MRL/ proposed MRL /CXL
(mg/kg)]]</f>
        <v>0</v>
      </c>
      <c r="N278" s="553">
        <f>Table22[[#This Row],[LOQ]]</f>
        <v>0</v>
      </c>
      <c r="O278" s="553">
        <f>Table22[[#This Row],[CFrisk for residue definition]]</f>
        <v>0</v>
      </c>
      <c r="P278" s="553">
        <f>Table22[[#This Row],[PeF (peeling factor RD enforcemen)]]</f>
        <v>0</v>
      </c>
      <c r="Q278" s="553">
        <f>Table22[[#This Row],[STMR-RAC (median residue)]]</f>
        <v>0</v>
      </c>
      <c r="R278" s="553">
        <f>Table22[[#This Row],[HR-RAC (highest residue)]]</f>
        <v>0</v>
      </c>
      <c r="S278" s="553">
        <f>Table22[[#This Row],[VF (alternative variability factor)]]</f>
        <v>0</v>
      </c>
      <c r="T278" s="553">
        <f>Table22[[#This Row],[GAP under assessment]]</f>
        <v>0</v>
      </c>
      <c r="U278" s="553">
        <f>Table22[[#This Row],[Post-harvest treatment]]</f>
        <v>0</v>
      </c>
      <c r="V278" s="553"/>
      <c r="W278" s="553">
        <f>Table22[[#This Row],[Chronic RA input value]]</f>
        <v>0</v>
      </c>
      <c r="X278" s="1684"/>
      <c r="Y278" s="553">
        <f>Table22[[#This Row],[Acute RA input value]]</f>
        <v>0</v>
      </c>
      <c r="Z278" s="786">
        <f>SUM(Table1[[#This Row],[chronic value &lt;&gt;MRL/LOQ]:[acute vlue&lt;&gt;MRL/LOQ]])</f>
        <v>0</v>
      </c>
      <c r="AA278" s="786">
        <f>IF(AND($F$5="Refined calculation mode",Table1[[#This Row],[GAP under assessment]]="Y"),1,IF(OR(Table1[[#This Row],[Chronic RA label]]="LOQ",Table1[[#This Row],[Chronic RA label]]="",Table1[[#This Row],[Chronic RA label]]="MRL"),0,1))</f>
        <v>0</v>
      </c>
      <c r="AB278" s="787">
        <f>IF(OR(Table1[[#This Row],[Acute RA label]]="LOQ",Table1[[#This Row],[Acute RA label]]="",Table1[[#This Row],[Acute RA label]]="MRL"),0,1)</f>
        <v>0</v>
      </c>
    </row>
    <row r="279" spans="1:28" ht="13.5" hidden="1" thickTop="1" x14ac:dyDescent="0.2">
      <c r="A279" s="815">
        <f>Table1[[#This Row],[Code no.]]</f>
        <v>810010</v>
      </c>
      <c r="B279" s="793" t="str">
        <f>Table1[[#This Row],[Commodity or group of commodities to which the MRLs apply]]</f>
        <v>Anise/aniseed</v>
      </c>
      <c r="C279" s="794">
        <f>Table1[[#This Row],[MRL/ proposed MRL /CXL
(mg/kg)]]</f>
        <v>0</v>
      </c>
      <c r="D279" s="795">
        <f>Table1[[#This Row],[Source of MRL]]</f>
        <v>0</v>
      </c>
      <c r="E279" s="797">
        <f>Table1[[#This Row],[Chronic RA input value]]</f>
        <v>0</v>
      </c>
      <c r="F279" s="795" t="str">
        <f>Table1[[#This Row],[Chronic RA label]]</f>
        <v/>
      </c>
      <c r="G279" s="797">
        <f>Table1[[#This Row],[Acute RA input value]]</f>
        <v>0</v>
      </c>
      <c r="H279" s="836" t="str">
        <f>Table1[[#This Row],[Acute RA label]]</f>
        <v/>
      </c>
      <c r="J279" s="553">
        <f>Table22[[#This Row],[Code no.]]</f>
        <v>810010</v>
      </c>
      <c r="K279" s="553" t="str">
        <f>Table22[[#This Row],[Commodity or group of commodities to which the MRLs apply]]</f>
        <v>Anise/aniseed</v>
      </c>
      <c r="L279" s="553">
        <f>Table22[[#This Row],[Source / type of MRL]]</f>
        <v>0</v>
      </c>
      <c r="M279" s="553">
        <f>Table22[[#This Row],[MRL/ proposed MRL /CXL
(mg/kg)]]</f>
        <v>0</v>
      </c>
      <c r="N279" s="553">
        <f>Table22[[#This Row],[LOQ]]</f>
        <v>0</v>
      </c>
      <c r="O279" s="553">
        <f>Table22[[#This Row],[CFrisk for residue definition]]</f>
        <v>0</v>
      </c>
      <c r="P279" s="553">
        <f>Table22[[#This Row],[PeF (peeling factor RD enforcemen)]]</f>
        <v>0</v>
      </c>
      <c r="Q279" s="553">
        <f>Table22[[#This Row],[STMR-RAC (median residue)]]</f>
        <v>0</v>
      </c>
      <c r="R279" s="553">
        <f>Table22[[#This Row],[HR-RAC (highest residue)]]</f>
        <v>0</v>
      </c>
      <c r="S279" s="553">
        <f>Table22[[#This Row],[VF (alternative variability factor)]]</f>
        <v>0</v>
      </c>
      <c r="T279" s="553">
        <f>Table22[[#This Row],[GAP under assessment]]</f>
        <v>0</v>
      </c>
      <c r="U279" s="553">
        <f>Table22[[#This Row],[Post-harvest treatment]]</f>
        <v>0</v>
      </c>
      <c r="V279" s="553" t="str">
        <f>Table22[[#This Row],[Chronic RA label]]</f>
        <v/>
      </c>
      <c r="W279" s="553">
        <f>Table22[[#This Row],[Chronic RA input value]]</f>
        <v>0</v>
      </c>
      <c r="X279" s="1684" t="str">
        <f>Table22[[#This Row],[Acute RA label]]</f>
        <v/>
      </c>
      <c r="Y279" s="553">
        <f>Table22[[#This Row],[Acute RA input value]]</f>
        <v>0</v>
      </c>
      <c r="Z279" s="786">
        <f>SUM(Table1[[#This Row],[chronic value &lt;&gt;MRL/LOQ]:[acute vlue&lt;&gt;MRL/LOQ]])</f>
        <v>0</v>
      </c>
      <c r="AA279" s="786">
        <f>IF(AND($F$5="Refined calculation mode",Table1[[#This Row],[GAP under assessment]]="Y"),1,IF(OR(Table1[[#This Row],[Chronic RA label]]="LOQ",Table1[[#This Row],[Chronic RA label]]="",Table1[[#This Row],[Chronic RA label]]="MRL"),0,1))</f>
        <v>0</v>
      </c>
      <c r="AB279" s="787">
        <f>IF(OR(Table1[[#This Row],[Acute RA label]]="LOQ",Table1[[#This Row],[Acute RA label]]="",Table1[[#This Row],[Acute RA label]]="MRL"),0,1)</f>
        <v>0</v>
      </c>
    </row>
    <row r="280" spans="1:28" ht="21.75" hidden="1" thickTop="1" x14ac:dyDescent="0.2">
      <c r="A280" s="815">
        <f>Table1[[#This Row],[Code no.]]</f>
        <v>810020</v>
      </c>
      <c r="B280" s="793" t="str">
        <f>Table1[[#This Row],[Commodity or group of commodities to which the MRLs apply]]</f>
        <v>Black caraway/black cumin</v>
      </c>
      <c r="C280" s="794">
        <f>Table1[[#This Row],[MRL/ proposed MRL /CXL
(mg/kg)]]</f>
        <v>0</v>
      </c>
      <c r="D280" s="795">
        <f>Table1[[#This Row],[Source of MRL]]</f>
        <v>0</v>
      </c>
      <c r="E280" s="797">
        <f>Table1[[#This Row],[Chronic RA input value]]</f>
        <v>0</v>
      </c>
      <c r="F280" s="795" t="str">
        <f>Table1[[#This Row],[Chronic RA label]]</f>
        <v/>
      </c>
      <c r="G280" s="797">
        <f>Table1[[#This Row],[Acute RA input value]]</f>
        <v>0</v>
      </c>
      <c r="H280" s="836" t="str">
        <f>Table1[[#This Row],[Acute RA label]]</f>
        <v/>
      </c>
      <c r="J280" s="553">
        <f>Table22[[#This Row],[Code no.]]</f>
        <v>810020</v>
      </c>
      <c r="K280" s="553" t="str">
        <f>Table22[[#This Row],[Commodity or group of commodities to which the MRLs apply]]</f>
        <v>Black caraway/black cumin</v>
      </c>
      <c r="L280" s="553">
        <f>Table22[[#This Row],[Source / type of MRL]]</f>
        <v>0</v>
      </c>
      <c r="M280" s="553">
        <f>Table22[[#This Row],[MRL/ proposed MRL /CXL
(mg/kg)]]</f>
        <v>0</v>
      </c>
      <c r="N280" s="553">
        <f>Table22[[#This Row],[LOQ]]</f>
        <v>0</v>
      </c>
      <c r="O280" s="553">
        <f>Table22[[#This Row],[CFrisk for residue definition]]</f>
        <v>0</v>
      </c>
      <c r="P280" s="553">
        <f>Table22[[#This Row],[PeF (peeling factor RD enforcemen)]]</f>
        <v>0</v>
      </c>
      <c r="Q280" s="553">
        <f>Table22[[#This Row],[STMR-RAC (median residue)]]</f>
        <v>0</v>
      </c>
      <c r="R280" s="553">
        <f>Table22[[#This Row],[HR-RAC (highest residue)]]</f>
        <v>0</v>
      </c>
      <c r="S280" s="553">
        <f>Table22[[#This Row],[VF (alternative variability factor)]]</f>
        <v>0</v>
      </c>
      <c r="T280" s="553">
        <f>Table22[[#This Row],[GAP under assessment]]</f>
        <v>0</v>
      </c>
      <c r="U280" s="553">
        <f>Table22[[#This Row],[Post-harvest treatment]]</f>
        <v>0</v>
      </c>
      <c r="V280" s="553" t="str">
        <f>Table22[[#This Row],[Chronic RA label]]</f>
        <v/>
      </c>
      <c r="W280" s="553">
        <f>Table22[[#This Row],[Chronic RA input value]]</f>
        <v>0</v>
      </c>
      <c r="X280" s="1684" t="str">
        <f>Table22[[#This Row],[Acute RA label]]</f>
        <v/>
      </c>
      <c r="Y280" s="553">
        <f>Table22[[#This Row],[Acute RA input value]]</f>
        <v>0</v>
      </c>
      <c r="Z280" s="786">
        <f>SUM(Table1[[#This Row],[chronic value &lt;&gt;MRL/LOQ]:[acute vlue&lt;&gt;MRL/LOQ]])</f>
        <v>0</v>
      </c>
      <c r="AA280" s="786">
        <f>IF(AND($F$5="Refined calculation mode",Table1[[#This Row],[GAP under assessment]]="Y"),1,IF(OR(Table1[[#This Row],[Chronic RA label]]="LOQ",Table1[[#This Row],[Chronic RA label]]="",Table1[[#This Row],[Chronic RA label]]="MRL"),0,1))</f>
        <v>0</v>
      </c>
      <c r="AB280" s="787">
        <f>IF(OR(Table1[[#This Row],[Acute RA label]]="LOQ",Table1[[#This Row],[Acute RA label]]="",Table1[[#This Row],[Acute RA label]]="MRL"),0,1)</f>
        <v>0</v>
      </c>
    </row>
    <row r="281" spans="1:28" ht="13.5" hidden="1" thickTop="1" x14ac:dyDescent="0.2">
      <c r="A281" s="815">
        <f>Table1[[#This Row],[Code no.]]</f>
        <v>810030</v>
      </c>
      <c r="B281" s="793" t="str">
        <f>Table1[[#This Row],[Commodity or group of commodities to which the MRLs apply]]</f>
        <v>Celery seed</v>
      </c>
      <c r="C281" s="794">
        <f>Table1[[#This Row],[MRL/ proposed MRL /CXL
(mg/kg)]]</f>
        <v>0</v>
      </c>
      <c r="D281" s="795">
        <f>Table1[[#This Row],[Source of MRL]]</f>
        <v>0</v>
      </c>
      <c r="E281" s="797">
        <f>Table1[[#This Row],[Chronic RA input value]]</f>
        <v>0</v>
      </c>
      <c r="F281" s="795" t="str">
        <f>Table1[[#This Row],[Chronic RA label]]</f>
        <v/>
      </c>
      <c r="G281" s="797">
        <f>Table1[[#This Row],[Acute RA input value]]</f>
        <v>0</v>
      </c>
      <c r="H281" s="836" t="str">
        <f>Table1[[#This Row],[Acute RA label]]</f>
        <v/>
      </c>
      <c r="J281" s="553">
        <f>Table22[[#This Row],[Code no.]]</f>
        <v>810030</v>
      </c>
      <c r="K281" s="553" t="str">
        <f>Table22[[#This Row],[Commodity or group of commodities to which the MRLs apply]]</f>
        <v>Celery seed</v>
      </c>
      <c r="L281" s="553">
        <f>Table22[[#This Row],[Source / type of MRL]]</f>
        <v>0</v>
      </c>
      <c r="M281" s="553">
        <f>Table22[[#This Row],[MRL/ proposed MRL /CXL
(mg/kg)]]</f>
        <v>0</v>
      </c>
      <c r="N281" s="553">
        <f>Table22[[#This Row],[LOQ]]</f>
        <v>0</v>
      </c>
      <c r="O281" s="553">
        <f>Table22[[#This Row],[CFrisk for residue definition]]</f>
        <v>0</v>
      </c>
      <c r="P281" s="553">
        <f>Table22[[#This Row],[PeF (peeling factor RD enforcemen)]]</f>
        <v>0</v>
      </c>
      <c r="Q281" s="553">
        <f>Table22[[#This Row],[STMR-RAC (median residue)]]</f>
        <v>0</v>
      </c>
      <c r="R281" s="553">
        <f>Table22[[#This Row],[HR-RAC (highest residue)]]</f>
        <v>0</v>
      </c>
      <c r="S281" s="553">
        <f>Table22[[#This Row],[VF (alternative variability factor)]]</f>
        <v>0</v>
      </c>
      <c r="T281" s="553">
        <f>Table22[[#This Row],[GAP under assessment]]</f>
        <v>0</v>
      </c>
      <c r="U281" s="553">
        <f>Table22[[#This Row],[Post-harvest treatment]]</f>
        <v>0</v>
      </c>
      <c r="V281" s="553" t="str">
        <f>Table22[[#This Row],[Chronic RA label]]</f>
        <v/>
      </c>
      <c r="W281" s="553">
        <f>Table22[[#This Row],[Chronic RA input value]]</f>
        <v>0</v>
      </c>
      <c r="X281" s="1684" t="str">
        <f>Table22[[#This Row],[Acute RA label]]</f>
        <v/>
      </c>
      <c r="Y281" s="553">
        <f>Table22[[#This Row],[Acute RA input value]]</f>
        <v>0</v>
      </c>
      <c r="Z281" s="786">
        <f>SUM(Table1[[#This Row],[chronic value &lt;&gt;MRL/LOQ]:[acute vlue&lt;&gt;MRL/LOQ]])</f>
        <v>0</v>
      </c>
      <c r="AA281" s="786">
        <f>IF(AND($F$5="Refined calculation mode",Table1[[#This Row],[GAP under assessment]]="Y"),1,IF(OR(Table1[[#This Row],[Chronic RA label]]="LOQ",Table1[[#This Row],[Chronic RA label]]="",Table1[[#This Row],[Chronic RA label]]="MRL"),0,1))</f>
        <v>0</v>
      </c>
      <c r="AB281" s="787">
        <f>IF(OR(Table1[[#This Row],[Acute RA label]]="LOQ",Table1[[#This Row],[Acute RA label]]="",Table1[[#This Row],[Acute RA label]]="MRL"),0,1)</f>
        <v>0</v>
      </c>
    </row>
    <row r="282" spans="1:28" ht="13.5" hidden="1" thickTop="1" x14ac:dyDescent="0.2">
      <c r="A282" s="815">
        <f>Table1[[#This Row],[Code no.]]</f>
        <v>810040</v>
      </c>
      <c r="B282" s="793" t="str">
        <f>Table1[[#This Row],[Commodity or group of commodities to which the MRLs apply]]</f>
        <v>Coriander seed</v>
      </c>
      <c r="C282" s="794">
        <f>Table1[[#This Row],[MRL/ proposed MRL /CXL
(mg/kg)]]</f>
        <v>0</v>
      </c>
      <c r="D282" s="795">
        <f>Table1[[#This Row],[Source of MRL]]</f>
        <v>0</v>
      </c>
      <c r="E282" s="797">
        <f>Table1[[#This Row],[Chronic RA input value]]</f>
        <v>0</v>
      </c>
      <c r="F282" s="795" t="str">
        <f>Table1[[#This Row],[Chronic RA label]]</f>
        <v/>
      </c>
      <c r="G282" s="797">
        <f>Table1[[#This Row],[Acute RA input value]]</f>
        <v>0</v>
      </c>
      <c r="H282" s="836" t="str">
        <f>Table1[[#This Row],[Acute RA label]]</f>
        <v/>
      </c>
      <c r="J282" s="553">
        <f>Table22[[#This Row],[Code no.]]</f>
        <v>810040</v>
      </c>
      <c r="K282" s="553" t="str">
        <f>Table22[[#This Row],[Commodity or group of commodities to which the MRLs apply]]</f>
        <v>Coriander seed</v>
      </c>
      <c r="L282" s="553">
        <f>Table22[[#This Row],[Source / type of MRL]]</f>
        <v>0</v>
      </c>
      <c r="M282" s="553">
        <f>Table22[[#This Row],[MRL/ proposed MRL /CXL
(mg/kg)]]</f>
        <v>0</v>
      </c>
      <c r="N282" s="553">
        <f>Table22[[#This Row],[LOQ]]</f>
        <v>0</v>
      </c>
      <c r="O282" s="553">
        <f>Table22[[#This Row],[CFrisk for residue definition]]</f>
        <v>0</v>
      </c>
      <c r="P282" s="553">
        <f>Table22[[#This Row],[PeF (peeling factor RD enforcemen)]]</f>
        <v>0</v>
      </c>
      <c r="Q282" s="553">
        <f>Table22[[#This Row],[STMR-RAC (median residue)]]</f>
        <v>0</v>
      </c>
      <c r="R282" s="553">
        <f>Table22[[#This Row],[HR-RAC (highest residue)]]</f>
        <v>0</v>
      </c>
      <c r="S282" s="553">
        <f>Table22[[#This Row],[VF (alternative variability factor)]]</f>
        <v>0</v>
      </c>
      <c r="T282" s="553">
        <f>Table22[[#This Row],[GAP under assessment]]</f>
        <v>0</v>
      </c>
      <c r="U282" s="553">
        <f>Table22[[#This Row],[Post-harvest treatment]]</f>
        <v>0</v>
      </c>
      <c r="V282" s="553" t="str">
        <f>Table22[[#This Row],[Chronic RA label]]</f>
        <v/>
      </c>
      <c r="W282" s="553">
        <f>Table22[[#This Row],[Chronic RA input value]]</f>
        <v>0</v>
      </c>
      <c r="X282" s="1684" t="str">
        <f>Table22[[#This Row],[Acute RA label]]</f>
        <v/>
      </c>
      <c r="Y282" s="553">
        <f>Table22[[#This Row],[Acute RA input value]]</f>
        <v>0</v>
      </c>
      <c r="Z282" s="786">
        <f>SUM(Table1[[#This Row],[chronic value &lt;&gt;MRL/LOQ]:[acute vlue&lt;&gt;MRL/LOQ]])</f>
        <v>0</v>
      </c>
      <c r="AA282" s="786">
        <f>IF(AND($F$5="Refined calculation mode",Table1[[#This Row],[GAP under assessment]]="Y"),1,IF(OR(Table1[[#This Row],[Chronic RA label]]="LOQ",Table1[[#This Row],[Chronic RA label]]="",Table1[[#This Row],[Chronic RA label]]="MRL"),0,1))</f>
        <v>0</v>
      </c>
      <c r="AB282" s="787">
        <f>IF(OR(Table1[[#This Row],[Acute RA label]]="LOQ",Table1[[#This Row],[Acute RA label]]="",Table1[[#This Row],[Acute RA label]]="MRL"),0,1)</f>
        <v>0</v>
      </c>
    </row>
    <row r="283" spans="1:28" ht="13.5" hidden="1" thickTop="1" x14ac:dyDescent="0.2">
      <c r="A283" s="815">
        <f>Table1[[#This Row],[Code no.]]</f>
        <v>810050</v>
      </c>
      <c r="B283" s="793" t="str">
        <f>Table1[[#This Row],[Commodity or group of commodities to which the MRLs apply]]</f>
        <v>Cumin seed</v>
      </c>
      <c r="C283" s="794">
        <f>Table1[[#This Row],[MRL/ proposed MRL /CXL
(mg/kg)]]</f>
        <v>0</v>
      </c>
      <c r="D283" s="795">
        <f>Table1[[#This Row],[Source of MRL]]</f>
        <v>0</v>
      </c>
      <c r="E283" s="797">
        <f>Table1[[#This Row],[Chronic RA input value]]</f>
        <v>0</v>
      </c>
      <c r="F283" s="795" t="str">
        <f>Table1[[#This Row],[Chronic RA label]]</f>
        <v/>
      </c>
      <c r="G283" s="797">
        <f>Table1[[#This Row],[Acute RA input value]]</f>
        <v>0</v>
      </c>
      <c r="H283" s="836" t="str">
        <f>Table1[[#This Row],[Acute RA label]]</f>
        <v/>
      </c>
      <c r="J283" s="553">
        <f>Table22[[#This Row],[Code no.]]</f>
        <v>810050</v>
      </c>
      <c r="K283" s="553" t="str">
        <f>Table22[[#This Row],[Commodity or group of commodities to which the MRLs apply]]</f>
        <v>Cumin seed</v>
      </c>
      <c r="L283" s="553">
        <f>Table22[[#This Row],[Source / type of MRL]]</f>
        <v>0</v>
      </c>
      <c r="M283" s="553">
        <f>Table22[[#This Row],[MRL/ proposed MRL /CXL
(mg/kg)]]</f>
        <v>0</v>
      </c>
      <c r="N283" s="553">
        <f>Table22[[#This Row],[LOQ]]</f>
        <v>0</v>
      </c>
      <c r="O283" s="553">
        <f>Table22[[#This Row],[CFrisk for residue definition]]</f>
        <v>0</v>
      </c>
      <c r="P283" s="553">
        <f>Table22[[#This Row],[PeF (peeling factor RD enforcemen)]]</f>
        <v>0</v>
      </c>
      <c r="Q283" s="553">
        <f>Table22[[#This Row],[STMR-RAC (median residue)]]</f>
        <v>0</v>
      </c>
      <c r="R283" s="553">
        <f>Table22[[#This Row],[HR-RAC (highest residue)]]</f>
        <v>0</v>
      </c>
      <c r="S283" s="553">
        <f>Table22[[#This Row],[VF (alternative variability factor)]]</f>
        <v>0</v>
      </c>
      <c r="T283" s="553">
        <f>Table22[[#This Row],[GAP under assessment]]</f>
        <v>0</v>
      </c>
      <c r="U283" s="553">
        <f>Table22[[#This Row],[Post-harvest treatment]]</f>
        <v>0</v>
      </c>
      <c r="V283" s="553" t="str">
        <f>Table22[[#This Row],[Chronic RA label]]</f>
        <v/>
      </c>
      <c r="W283" s="553">
        <f>Table22[[#This Row],[Chronic RA input value]]</f>
        <v>0</v>
      </c>
      <c r="X283" s="1684" t="str">
        <f>Table22[[#This Row],[Acute RA label]]</f>
        <v/>
      </c>
      <c r="Y283" s="553">
        <f>Table22[[#This Row],[Acute RA input value]]</f>
        <v>0</v>
      </c>
      <c r="Z283" s="786">
        <f>SUM(Table1[[#This Row],[chronic value &lt;&gt;MRL/LOQ]:[acute vlue&lt;&gt;MRL/LOQ]])</f>
        <v>0</v>
      </c>
      <c r="AA283" s="786">
        <f>IF(AND($F$5="Refined calculation mode",Table1[[#This Row],[GAP under assessment]]="Y"),1,IF(OR(Table1[[#This Row],[Chronic RA label]]="LOQ",Table1[[#This Row],[Chronic RA label]]="",Table1[[#This Row],[Chronic RA label]]="MRL"),0,1))</f>
        <v>0</v>
      </c>
      <c r="AB283" s="787">
        <f>IF(OR(Table1[[#This Row],[Acute RA label]]="LOQ",Table1[[#This Row],[Acute RA label]]="",Table1[[#This Row],[Acute RA label]]="MRL"),0,1)</f>
        <v>0</v>
      </c>
    </row>
    <row r="284" spans="1:28" ht="13.5" hidden="1" thickTop="1" x14ac:dyDescent="0.2">
      <c r="A284" s="815">
        <f>Table1[[#This Row],[Code no.]]</f>
        <v>810060</v>
      </c>
      <c r="B284" s="793" t="str">
        <f>Table1[[#This Row],[Commodity or group of commodities to which the MRLs apply]]</f>
        <v>Dill seed</v>
      </c>
      <c r="C284" s="794">
        <f>Table1[[#This Row],[MRL/ proposed MRL /CXL
(mg/kg)]]</f>
        <v>0</v>
      </c>
      <c r="D284" s="795">
        <f>Table1[[#This Row],[Source of MRL]]</f>
        <v>0</v>
      </c>
      <c r="E284" s="797">
        <f>Table1[[#This Row],[Chronic RA input value]]</f>
        <v>0</v>
      </c>
      <c r="F284" s="795" t="str">
        <f>Table1[[#This Row],[Chronic RA label]]</f>
        <v/>
      </c>
      <c r="G284" s="797">
        <f>Table1[[#This Row],[Acute RA input value]]</f>
        <v>0</v>
      </c>
      <c r="H284" s="836" t="str">
        <f>Table1[[#This Row],[Acute RA label]]</f>
        <v/>
      </c>
      <c r="J284" s="553">
        <f>Table22[[#This Row],[Code no.]]</f>
        <v>810060</v>
      </c>
      <c r="K284" s="553" t="str">
        <f>Table22[[#This Row],[Commodity or group of commodities to which the MRLs apply]]</f>
        <v>Dill seed</v>
      </c>
      <c r="L284" s="553">
        <f>Table22[[#This Row],[Source / type of MRL]]</f>
        <v>0</v>
      </c>
      <c r="M284" s="553">
        <f>Table22[[#This Row],[MRL/ proposed MRL /CXL
(mg/kg)]]</f>
        <v>0</v>
      </c>
      <c r="N284" s="553">
        <f>Table22[[#This Row],[LOQ]]</f>
        <v>0</v>
      </c>
      <c r="O284" s="553">
        <f>Table22[[#This Row],[CFrisk for residue definition]]</f>
        <v>0</v>
      </c>
      <c r="P284" s="553">
        <f>Table22[[#This Row],[PeF (peeling factor RD enforcemen)]]</f>
        <v>0</v>
      </c>
      <c r="Q284" s="553">
        <f>Table22[[#This Row],[STMR-RAC (median residue)]]</f>
        <v>0</v>
      </c>
      <c r="R284" s="553">
        <f>Table22[[#This Row],[HR-RAC (highest residue)]]</f>
        <v>0</v>
      </c>
      <c r="S284" s="553">
        <f>Table22[[#This Row],[VF (alternative variability factor)]]</f>
        <v>0</v>
      </c>
      <c r="T284" s="553">
        <f>Table22[[#This Row],[GAP under assessment]]</f>
        <v>0</v>
      </c>
      <c r="U284" s="553">
        <f>Table22[[#This Row],[Post-harvest treatment]]</f>
        <v>0</v>
      </c>
      <c r="V284" s="553" t="str">
        <f>Table22[[#This Row],[Chronic RA label]]</f>
        <v/>
      </c>
      <c r="W284" s="553">
        <f>Table22[[#This Row],[Chronic RA input value]]</f>
        <v>0</v>
      </c>
      <c r="X284" s="1684" t="str">
        <f>Table22[[#This Row],[Acute RA label]]</f>
        <v/>
      </c>
      <c r="Y284" s="553">
        <f>Table22[[#This Row],[Acute RA input value]]</f>
        <v>0</v>
      </c>
      <c r="Z284" s="786">
        <f>SUM(Table1[[#This Row],[chronic value &lt;&gt;MRL/LOQ]:[acute vlue&lt;&gt;MRL/LOQ]])</f>
        <v>0</v>
      </c>
      <c r="AA284" s="786">
        <f>IF(AND($F$5="Refined calculation mode",Table1[[#This Row],[GAP under assessment]]="Y"),1,IF(OR(Table1[[#This Row],[Chronic RA label]]="LOQ",Table1[[#This Row],[Chronic RA label]]="",Table1[[#This Row],[Chronic RA label]]="MRL"),0,1))</f>
        <v>0</v>
      </c>
      <c r="AB284" s="787">
        <f>IF(OR(Table1[[#This Row],[Acute RA label]]="LOQ",Table1[[#This Row],[Acute RA label]]="",Table1[[#This Row],[Acute RA label]]="MRL"),0,1)</f>
        <v>0</v>
      </c>
    </row>
    <row r="285" spans="1:28" ht="13.5" hidden="1" thickTop="1" x14ac:dyDescent="0.2">
      <c r="A285" s="815">
        <f>Table1[[#This Row],[Code no.]]</f>
        <v>810070</v>
      </c>
      <c r="B285" s="793" t="str">
        <f>Table1[[#This Row],[Commodity or group of commodities to which the MRLs apply]]</f>
        <v>Fennel seed</v>
      </c>
      <c r="C285" s="794">
        <f>Table1[[#This Row],[MRL/ proposed MRL /CXL
(mg/kg)]]</f>
        <v>0</v>
      </c>
      <c r="D285" s="795">
        <f>Table1[[#This Row],[Source of MRL]]</f>
        <v>0</v>
      </c>
      <c r="E285" s="797">
        <f>Table1[[#This Row],[Chronic RA input value]]</f>
        <v>0</v>
      </c>
      <c r="F285" s="795" t="str">
        <f>Table1[[#This Row],[Chronic RA label]]</f>
        <v/>
      </c>
      <c r="G285" s="797">
        <f>Table1[[#This Row],[Acute RA input value]]</f>
        <v>0</v>
      </c>
      <c r="H285" s="836" t="str">
        <f>Table1[[#This Row],[Acute RA label]]</f>
        <v/>
      </c>
      <c r="J285" s="553">
        <f>Table22[[#This Row],[Code no.]]</f>
        <v>810070</v>
      </c>
      <c r="K285" s="553" t="str">
        <f>Table22[[#This Row],[Commodity or group of commodities to which the MRLs apply]]</f>
        <v>Fennel seed</v>
      </c>
      <c r="L285" s="553">
        <f>Table22[[#This Row],[Source / type of MRL]]</f>
        <v>0</v>
      </c>
      <c r="M285" s="553">
        <f>Table22[[#This Row],[MRL/ proposed MRL /CXL
(mg/kg)]]</f>
        <v>0</v>
      </c>
      <c r="N285" s="553">
        <f>Table22[[#This Row],[LOQ]]</f>
        <v>0</v>
      </c>
      <c r="O285" s="553">
        <f>Table22[[#This Row],[CFrisk for residue definition]]</f>
        <v>0</v>
      </c>
      <c r="P285" s="553">
        <f>Table22[[#This Row],[PeF (peeling factor RD enforcemen)]]</f>
        <v>0</v>
      </c>
      <c r="Q285" s="553">
        <f>Table22[[#This Row],[STMR-RAC (median residue)]]</f>
        <v>0</v>
      </c>
      <c r="R285" s="553">
        <f>Table22[[#This Row],[HR-RAC (highest residue)]]</f>
        <v>0</v>
      </c>
      <c r="S285" s="553">
        <f>Table22[[#This Row],[VF (alternative variability factor)]]</f>
        <v>0</v>
      </c>
      <c r="T285" s="553">
        <f>Table22[[#This Row],[GAP under assessment]]</f>
        <v>0</v>
      </c>
      <c r="U285" s="553">
        <f>Table22[[#This Row],[Post-harvest treatment]]</f>
        <v>0</v>
      </c>
      <c r="V285" s="553" t="str">
        <f>Table22[[#This Row],[Chronic RA label]]</f>
        <v/>
      </c>
      <c r="W285" s="553">
        <f>Table22[[#This Row],[Chronic RA input value]]</f>
        <v>0</v>
      </c>
      <c r="X285" s="1684" t="str">
        <f>Table22[[#This Row],[Acute RA label]]</f>
        <v/>
      </c>
      <c r="Y285" s="553">
        <f>Table22[[#This Row],[Acute RA input value]]</f>
        <v>0</v>
      </c>
      <c r="Z285" s="786">
        <f>SUM(Table1[[#This Row],[chronic value &lt;&gt;MRL/LOQ]:[acute vlue&lt;&gt;MRL/LOQ]])</f>
        <v>0</v>
      </c>
      <c r="AA285" s="786">
        <f>IF(AND($F$5="Refined calculation mode",Table1[[#This Row],[GAP under assessment]]="Y"),1,IF(OR(Table1[[#This Row],[Chronic RA label]]="LOQ",Table1[[#This Row],[Chronic RA label]]="",Table1[[#This Row],[Chronic RA label]]="MRL"),0,1))</f>
        <v>0</v>
      </c>
      <c r="AB285" s="787">
        <f>IF(OR(Table1[[#This Row],[Acute RA label]]="LOQ",Table1[[#This Row],[Acute RA label]]="",Table1[[#This Row],[Acute RA label]]="MRL"),0,1)</f>
        <v>0</v>
      </c>
    </row>
    <row r="286" spans="1:28" ht="13.5" hidden="1" thickTop="1" x14ac:dyDescent="0.2">
      <c r="A286" s="815">
        <f>Table1[[#This Row],[Code no.]]</f>
        <v>810080</v>
      </c>
      <c r="B286" s="793" t="str">
        <f>Table1[[#This Row],[Commodity or group of commodities to which the MRLs apply]]</f>
        <v>Fenugreek</v>
      </c>
      <c r="C286" s="794">
        <f>Table1[[#This Row],[MRL/ proposed MRL /CXL
(mg/kg)]]</f>
        <v>0</v>
      </c>
      <c r="D286" s="795">
        <f>Table1[[#This Row],[Source of MRL]]</f>
        <v>0</v>
      </c>
      <c r="E286" s="797">
        <f>Table1[[#This Row],[Chronic RA input value]]</f>
        <v>0</v>
      </c>
      <c r="F286" s="795" t="str">
        <f>Table1[[#This Row],[Chronic RA label]]</f>
        <v/>
      </c>
      <c r="G286" s="797">
        <f>Table1[[#This Row],[Acute RA input value]]</f>
        <v>0</v>
      </c>
      <c r="H286" s="836" t="str">
        <f>Table1[[#This Row],[Acute RA label]]</f>
        <v/>
      </c>
      <c r="J286" s="553">
        <f>Table22[[#This Row],[Code no.]]</f>
        <v>810080</v>
      </c>
      <c r="K286" s="553" t="str">
        <f>Table22[[#This Row],[Commodity or group of commodities to which the MRLs apply]]</f>
        <v>Fenugreek</v>
      </c>
      <c r="L286" s="553">
        <f>Table22[[#This Row],[Source / type of MRL]]</f>
        <v>0</v>
      </c>
      <c r="M286" s="553">
        <f>Table22[[#This Row],[MRL/ proposed MRL /CXL
(mg/kg)]]</f>
        <v>0</v>
      </c>
      <c r="N286" s="553">
        <f>Table22[[#This Row],[LOQ]]</f>
        <v>0</v>
      </c>
      <c r="O286" s="553">
        <f>Table22[[#This Row],[CFrisk for residue definition]]</f>
        <v>0</v>
      </c>
      <c r="P286" s="553">
        <f>Table22[[#This Row],[PeF (peeling factor RD enforcemen)]]</f>
        <v>0</v>
      </c>
      <c r="Q286" s="553">
        <f>Table22[[#This Row],[STMR-RAC (median residue)]]</f>
        <v>0</v>
      </c>
      <c r="R286" s="553">
        <f>Table22[[#This Row],[HR-RAC (highest residue)]]</f>
        <v>0</v>
      </c>
      <c r="S286" s="553">
        <f>Table22[[#This Row],[VF (alternative variability factor)]]</f>
        <v>0</v>
      </c>
      <c r="T286" s="553">
        <f>Table22[[#This Row],[GAP under assessment]]</f>
        <v>0</v>
      </c>
      <c r="U286" s="553">
        <f>Table22[[#This Row],[Post-harvest treatment]]</f>
        <v>0</v>
      </c>
      <c r="V286" s="553" t="str">
        <f>Table22[[#This Row],[Chronic RA label]]</f>
        <v/>
      </c>
      <c r="W286" s="553">
        <f>Table22[[#This Row],[Chronic RA input value]]</f>
        <v>0</v>
      </c>
      <c r="X286" s="1684" t="str">
        <f>Table22[[#This Row],[Acute RA label]]</f>
        <v/>
      </c>
      <c r="Y286" s="553">
        <f>Table22[[#This Row],[Acute RA input value]]</f>
        <v>0</v>
      </c>
      <c r="Z286" s="786">
        <f>SUM(Table1[[#This Row],[chronic value &lt;&gt;MRL/LOQ]:[acute vlue&lt;&gt;MRL/LOQ]])</f>
        <v>0</v>
      </c>
      <c r="AA286" s="786">
        <f>IF(AND($F$5="Refined calculation mode",Table1[[#This Row],[GAP under assessment]]="Y"),1,IF(OR(Table1[[#This Row],[Chronic RA label]]="LOQ",Table1[[#This Row],[Chronic RA label]]="",Table1[[#This Row],[Chronic RA label]]="MRL"),0,1))</f>
        <v>0</v>
      </c>
      <c r="AB286" s="787">
        <f>IF(OR(Table1[[#This Row],[Acute RA label]]="LOQ",Table1[[#This Row],[Acute RA label]]="",Table1[[#This Row],[Acute RA label]]="MRL"),0,1)</f>
        <v>0</v>
      </c>
    </row>
    <row r="287" spans="1:28" ht="13.5" hidden="1" thickTop="1" x14ac:dyDescent="0.2">
      <c r="A287" s="815">
        <f>Table1[[#This Row],[Code no.]]</f>
        <v>810090</v>
      </c>
      <c r="B287" s="793" t="str">
        <f>Table1[[#This Row],[Commodity or group of commodities to which the MRLs apply]]</f>
        <v>Nutmeg</v>
      </c>
      <c r="C287" s="794">
        <f>Table1[[#This Row],[MRL/ proposed MRL /CXL
(mg/kg)]]</f>
        <v>0</v>
      </c>
      <c r="D287" s="795">
        <f>Table1[[#This Row],[Source of MRL]]</f>
        <v>0</v>
      </c>
      <c r="E287" s="797">
        <f>Table1[[#This Row],[Chronic RA input value]]</f>
        <v>0</v>
      </c>
      <c r="F287" s="795" t="str">
        <f>Table1[[#This Row],[Chronic RA label]]</f>
        <v/>
      </c>
      <c r="G287" s="797">
        <f>Table1[[#This Row],[Acute RA input value]]</f>
        <v>0</v>
      </c>
      <c r="H287" s="836" t="str">
        <f>Table1[[#This Row],[Acute RA label]]</f>
        <v/>
      </c>
      <c r="J287" s="553">
        <f>Table22[[#This Row],[Code no.]]</f>
        <v>810090</v>
      </c>
      <c r="K287" s="553" t="str">
        <f>Table22[[#This Row],[Commodity or group of commodities to which the MRLs apply]]</f>
        <v>Nutmeg</v>
      </c>
      <c r="L287" s="553">
        <f>Table22[[#This Row],[Source / type of MRL]]</f>
        <v>0</v>
      </c>
      <c r="M287" s="553">
        <f>Table22[[#This Row],[MRL/ proposed MRL /CXL
(mg/kg)]]</f>
        <v>0</v>
      </c>
      <c r="N287" s="553">
        <f>Table22[[#This Row],[LOQ]]</f>
        <v>0</v>
      </c>
      <c r="O287" s="553">
        <f>Table22[[#This Row],[CFrisk for residue definition]]</f>
        <v>0</v>
      </c>
      <c r="P287" s="553">
        <f>Table22[[#This Row],[PeF (peeling factor RD enforcemen)]]</f>
        <v>0</v>
      </c>
      <c r="Q287" s="553">
        <f>Table22[[#This Row],[STMR-RAC (median residue)]]</f>
        <v>0</v>
      </c>
      <c r="R287" s="553">
        <f>Table22[[#This Row],[HR-RAC (highest residue)]]</f>
        <v>0</v>
      </c>
      <c r="S287" s="553">
        <f>Table22[[#This Row],[VF (alternative variability factor)]]</f>
        <v>0</v>
      </c>
      <c r="T287" s="553">
        <f>Table22[[#This Row],[GAP under assessment]]</f>
        <v>0</v>
      </c>
      <c r="U287" s="553">
        <f>Table22[[#This Row],[Post-harvest treatment]]</f>
        <v>0</v>
      </c>
      <c r="V287" s="553" t="str">
        <f>Table22[[#This Row],[Chronic RA label]]</f>
        <v/>
      </c>
      <c r="W287" s="553">
        <f>Table22[[#This Row],[Chronic RA input value]]</f>
        <v>0</v>
      </c>
      <c r="X287" s="1684" t="str">
        <f>Table22[[#This Row],[Acute RA label]]</f>
        <v/>
      </c>
      <c r="Y287" s="553">
        <f>Table22[[#This Row],[Acute RA input value]]</f>
        <v>0</v>
      </c>
      <c r="Z287" s="786">
        <f>SUM(Table1[[#This Row],[chronic value &lt;&gt;MRL/LOQ]:[acute vlue&lt;&gt;MRL/LOQ]])</f>
        <v>0</v>
      </c>
      <c r="AA287" s="786">
        <f>IF(AND($F$5="Refined calculation mode",Table1[[#This Row],[GAP under assessment]]="Y"),1,IF(OR(Table1[[#This Row],[Chronic RA label]]="LOQ",Table1[[#This Row],[Chronic RA label]]="",Table1[[#This Row],[Chronic RA label]]="MRL"),0,1))</f>
        <v>0</v>
      </c>
      <c r="AB287" s="787">
        <f>IF(OR(Table1[[#This Row],[Acute RA label]]="LOQ",Table1[[#This Row],[Acute RA label]]="",Table1[[#This Row],[Acute RA label]]="MRL"),0,1)</f>
        <v>0</v>
      </c>
    </row>
    <row r="288" spans="1:28" ht="21.75" hidden="1" thickTop="1" x14ac:dyDescent="0.2">
      <c r="A288" s="815">
        <f>Table1[[#This Row],[Code no.]]</f>
        <v>810990</v>
      </c>
      <c r="B288" s="793" t="str">
        <f>Table1[[#This Row],[Commodity or group of commodities to which the MRLs apply]]</f>
        <v>Other spices (seeds)</v>
      </c>
      <c r="C288" s="794">
        <f>Table1[[#This Row],[MRL/ proposed MRL /CXL
(mg/kg)]]</f>
        <v>0</v>
      </c>
      <c r="D288" s="795">
        <f>Table1[[#This Row],[Source of MRL]]</f>
        <v>0</v>
      </c>
      <c r="E288" s="797">
        <f>Table1[[#This Row],[Chronic RA input value]]</f>
        <v>0</v>
      </c>
      <c r="F288" s="795" t="str">
        <f>Table1[[#This Row],[Chronic RA label]]</f>
        <v/>
      </c>
      <c r="G288" s="797">
        <f>Table1[[#This Row],[Acute RA input value]]</f>
        <v>0</v>
      </c>
      <c r="H288" s="836">
        <f>Table1[[#This Row],[Acute RA label]]</f>
        <v>0</v>
      </c>
      <c r="J288" s="553">
        <f>Table22[[#This Row],[Code no.]]</f>
        <v>810990</v>
      </c>
      <c r="K288" s="553" t="str">
        <f>Table22[[#This Row],[Commodity or group of commodities to which the MRLs apply]]</f>
        <v>Other spices (seeds)</v>
      </c>
      <c r="L288" s="553">
        <f>Table22[[#This Row],[Source / type of MRL]]</f>
        <v>0</v>
      </c>
      <c r="M288" s="553">
        <f>Table22[[#This Row],[MRL/ proposed MRL /CXL
(mg/kg)]]</f>
        <v>0</v>
      </c>
      <c r="N288" s="553">
        <f>Table22[[#This Row],[LOQ]]</f>
        <v>0</v>
      </c>
      <c r="O288" s="553">
        <f>Table22[[#This Row],[CFrisk for residue definition]]</f>
        <v>0</v>
      </c>
      <c r="P288" s="553">
        <f>Table22[[#This Row],[PeF (peeling factor RD enforcemen)]]</f>
        <v>0</v>
      </c>
      <c r="Q288" s="553">
        <f>Table22[[#This Row],[STMR-RAC (median residue)]]</f>
        <v>0</v>
      </c>
      <c r="R288" s="553">
        <f>Table22[[#This Row],[HR-RAC (highest residue)]]</f>
        <v>0</v>
      </c>
      <c r="S288" s="553">
        <f>Table22[[#This Row],[VF (alternative variability factor)]]</f>
        <v>0</v>
      </c>
      <c r="T288" s="553">
        <f>Table22[[#This Row],[GAP under assessment]]</f>
        <v>0</v>
      </c>
      <c r="U288" s="553">
        <f>Table22[[#This Row],[Post-harvest treatment]]</f>
        <v>0</v>
      </c>
      <c r="V288" s="553" t="str">
        <f>Table22[[#This Row],[Chronic RA label]]</f>
        <v/>
      </c>
      <c r="W288" s="553">
        <f>Table22[[#This Row],[Chronic RA input value]]</f>
        <v>0</v>
      </c>
      <c r="X288" s="1684"/>
      <c r="Y288" s="553">
        <f>Table22[[#This Row],[Acute RA input value]]</f>
        <v>0</v>
      </c>
      <c r="Z288" s="786">
        <f>SUM(Table1[[#This Row],[chronic value &lt;&gt;MRL/LOQ]:[acute vlue&lt;&gt;MRL/LOQ]])</f>
        <v>0</v>
      </c>
      <c r="AA288" s="786">
        <f>IF(AND($F$5="Refined calculation mode",Table1[[#This Row],[GAP under assessment]]="Y"),1,IF(OR(Table1[[#This Row],[Chronic RA label]]="LOQ",Table1[[#This Row],[Chronic RA label]]="",Table1[[#This Row],[Chronic RA label]]="MRL"),0,1))</f>
        <v>0</v>
      </c>
      <c r="AB288" s="787">
        <f>IF(OR(Table1[[#This Row],[Acute RA label]]="LOQ",Table1[[#This Row],[Acute RA label]]="",Table1[[#This Row],[Acute RA label]]="MRL"),0,1)</f>
        <v>0</v>
      </c>
    </row>
    <row r="289" spans="1:28" ht="13.5" hidden="1" thickTop="1" x14ac:dyDescent="0.2">
      <c r="A289" s="815">
        <f>Table1[[#This Row],[Code no.]]</f>
        <v>820000</v>
      </c>
      <c r="B289" s="793" t="str">
        <f>Table1[[#This Row],[Commodity or group of commodities to which the MRLs apply]]</f>
        <v>Spices (fruits)</v>
      </c>
      <c r="C289" s="794">
        <f>Table1[[#This Row],[MRL/ proposed MRL /CXL
(mg/kg)]]</f>
        <v>0</v>
      </c>
      <c r="D289" s="795">
        <f>Table1[[#This Row],[Source of MRL]]</f>
        <v>0</v>
      </c>
      <c r="E289" s="797">
        <f>Table1[[#This Row],[Chronic RA input value]]</f>
        <v>0</v>
      </c>
      <c r="F289" s="795">
        <f>Table1[[#This Row],[Chronic RA label]]</f>
        <v>0</v>
      </c>
      <c r="G289" s="797">
        <f>Table1[[#This Row],[Acute RA input value]]</f>
        <v>0</v>
      </c>
      <c r="H289" s="836">
        <f>Table1[[#This Row],[Acute RA label]]</f>
        <v>0</v>
      </c>
      <c r="J289" s="553">
        <f>Table22[[#This Row],[Code no.]]</f>
        <v>820000</v>
      </c>
      <c r="K289" s="553" t="str">
        <f>Table22[[#This Row],[Commodity or group of commodities to which the MRLs apply]]</f>
        <v>Spices (fruits)</v>
      </c>
      <c r="L289" s="553">
        <f>Table22[[#This Row],[Source / type of MRL]]</f>
        <v>0</v>
      </c>
      <c r="M289" s="553">
        <f>Table22[[#This Row],[MRL/ proposed MRL /CXL
(mg/kg)]]</f>
        <v>0</v>
      </c>
      <c r="N289" s="553">
        <f>Table22[[#This Row],[LOQ]]</f>
        <v>0</v>
      </c>
      <c r="O289" s="553">
        <f>Table22[[#This Row],[CFrisk for residue definition]]</f>
        <v>0</v>
      </c>
      <c r="P289" s="553">
        <f>Table22[[#This Row],[PeF (peeling factor RD enforcemen)]]</f>
        <v>0</v>
      </c>
      <c r="Q289" s="553">
        <f>Table22[[#This Row],[STMR-RAC (median residue)]]</f>
        <v>0</v>
      </c>
      <c r="R289" s="553">
        <f>Table22[[#This Row],[HR-RAC (highest residue)]]</f>
        <v>0</v>
      </c>
      <c r="S289" s="553">
        <f>Table22[[#This Row],[VF (alternative variability factor)]]</f>
        <v>0</v>
      </c>
      <c r="T289" s="553">
        <f>Table22[[#This Row],[GAP under assessment]]</f>
        <v>0</v>
      </c>
      <c r="U289" s="553">
        <f>Table22[[#This Row],[Post-harvest treatment]]</f>
        <v>0</v>
      </c>
      <c r="V289" s="553"/>
      <c r="W289" s="553">
        <f>Table22[[#This Row],[Chronic RA input value]]</f>
        <v>0</v>
      </c>
      <c r="X289" s="1684"/>
      <c r="Y289" s="553">
        <f>Table22[[#This Row],[Acute RA input value]]</f>
        <v>0</v>
      </c>
      <c r="Z289" s="786">
        <f>SUM(Table1[[#This Row],[chronic value &lt;&gt;MRL/LOQ]:[acute vlue&lt;&gt;MRL/LOQ]])</f>
        <v>0</v>
      </c>
      <c r="AA289" s="786">
        <f>IF(AND($F$5="Refined calculation mode",Table1[[#This Row],[GAP under assessment]]="Y"),1,IF(OR(Table1[[#This Row],[Chronic RA label]]="LOQ",Table1[[#This Row],[Chronic RA label]]="",Table1[[#This Row],[Chronic RA label]]="MRL"),0,1))</f>
        <v>0</v>
      </c>
      <c r="AB289" s="787">
        <f>IF(OR(Table1[[#This Row],[Acute RA label]]="LOQ",Table1[[#This Row],[Acute RA label]]="",Table1[[#This Row],[Acute RA label]]="MRL"),0,1)</f>
        <v>0</v>
      </c>
    </row>
    <row r="290" spans="1:28" ht="13.5" hidden="1" thickTop="1" x14ac:dyDescent="0.2">
      <c r="A290" s="815">
        <f>Table1[[#This Row],[Code no.]]</f>
        <v>820010</v>
      </c>
      <c r="B290" s="793" t="str">
        <f>Table1[[#This Row],[Commodity or group of commodities to which the MRLs apply]]</f>
        <v>Allspice/pimento</v>
      </c>
      <c r="C290" s="794">
        <f>Table1[[#This Row],[MRL/ proposed MRL /CXL
(mg/kg)]]</f>
        <v>0</v>
      </c>
      <c r="D290" s="795">
        <f>Table1[[#This Row],[Source of MRL]]</f>
        <v>0</v>
      </c>
      <c r="E290" s="797">
        <f>Table1[[#This Row],[Chronic RA input value]]</f>
        <v>0</v>
      </c>
      <c r="F290" s="795" t="str">
        <f>Table1[[#This Row],[Chronic RA label]]</f>
        <v/>
      </c>
      <c r="G290" s="797">
        <f>Table1[[#This Row],[Acute RA input value]]</f>
        <v>0</v>
      </c>
      <c r="H290" s="836" t="str">
        <f>Table1[[#This Row],[Acute RA label]]</f>
        <v/>
      </c>
      <c r="J290" s="553">
        <f>Table22[[#This Row],[Code no.]]</f>
        <v>820010</v>
      </c>
      <c r="K290" s="553" t="str">
        <f>Table22[[#This Row],[Commodity or group of commodities to which the MRLs apply]]</f>
        <v>Allspice/pimento</v>
      </c>
      <c r="L290" s="553">
        <f>Table22[[#This Row],[Source / type of MRL]]</f>
        <v>0</v>
      </c>
      <c r="M290" s="553">
        <f>Table22[[#This Row],[MRL/ proposed MRL /CXL
(mg/kg)]]</f>
        <v>0</v>
      </c>
      <c r="N290" s="553">
        <f>Table22[[#This Row],[LOQ]]</f>
        <v>0</v>
      </c>
      <c r="O290" s="553">
        <f>Table22[[#This Row],[CFrisk for residue definition]]</f>
        <v>0</v>
      </c>
      <c r="P290" s="553">
        <f>Table22[[#This Row],[PeF (peeling factor RD enforcemen)]]</f>
        <v>0</v>
      </c>
      <c r="Q290" s="553">
        <f>Table22[[#This Row],[STMR-RAC (median residue)]]</f>
        <v>0</v>
      </c>
      <c r="R290" s="553">
        <f>Table22[[#This Row],[HR-RAC (highest residue)]]</f>
        <v>0</v>
      </c>
      <c r="S290" s="553">
        <f>Table22[[#This Row],[VF (alternative variability factor)]]</f>
        <v>0</v>
      </c>
      <c r="T290" s="553">
        <f>Table22[[#This Row],[GAP under assessment]]</f>
        <v>0</v>
      </c>
      <c r="U290" s="553">
        <f>Table22[[#This Row],[Post-harvest treatment]]</f>
        <v>0</v>
      </c>
      <c r="V290" s="553" t="str">
        <f>Table22[[#This Row],[Chronic RA label]]</f>
        <v/>
      </c>
      <c r="W290" s="553">
        <f>Table22[[#This Row],[Chronic RA input value]]</f>
        <v>0</v>
      </c>
      <c r="X290" s="1684" t="str">
        <f>Table22[[#This Row],[Acute RA label]]</f>
        <v/>
      </c>
      <c r="Y290" s="553">
        <f>Table22[[#This Row],[Acute RA input value]]</f>
        <v>0</v>
      </c>
      <c r="Z290" s="786">
        <f>SUM(Table1[[#This Row],[chronic value &lt;&gt;MRL/LOQ]:[acute vlue&lt;&gt;MRL/LOQ]])</f>
        <v>0</v>
      </c>
      <c r="AA290" s="786">
        <f>IF(AND($F$5="Refined calculation mode",Table1[[#This Row],[GAP under assessment]]="Y"),1,IF(OR(Table1[[#This Row],[Chronic RA label]]="LOQ",Table1[[#This Row],[Chronic RA label]]="",Table1[[#This Row],[Chronic RA label]]="MRL"),0,1))</f>
        <v>0</v>
      </c>
      <c r="AB290" s="787">
        <f>IF(OR(Table1[[#This Row],[Acute RA label]]="LOQ",Table1[[#This Row],[Acute RA label]]="",Table1[[#This Row],[Acute RA label]]="MRL"),0,1)</f>
        <v>0</v>
      </c>
    </row>
    <row r="291" spans="1:28" ht="13.5" hidden="1" thickTop="1" x14ac:dyDescent="0.2">
      <c r="A291" s="815">
        <f>Table1[[#This Row],[Code no.]]</f>
        <v>820020</v>
      </c>
      <c r="B291" s="793" t="str">
        <f>Table1[[#This Row],[Commodity or group of commodities to which the MRLs apply]]</f>
        <v>Sichuan pepper</v>
      </c>
      <c r="C291" s="794">
        <f>Table1[[#This Row],[MRL/ proposed MRL /CXL
(mg/kg)]]</f>
        <v>0</v>
      </c>
      <c r="D291" s="795">
        <f>Table1[[#This Row],[Source of MRL]]</f>
        <v>0</v>
      </c>
      <c r="E291" s="797">
        <f>Table1[[#This Row],[Chronic RA input value]]</f>
        <v>0</v>
      </c>
      <c r="F291" s="795" t="str">
        <f>Table1[[#This Row],[Chronic RA label]]</f>
        <v/>
      </c>
      <c r="G291" s="797">
        <f>Table1[[#This Row],[Acute RA input value]]</f>
        <v>0</v>
      </c>
      <c r="H291" s="836" t="str">
        <f>Table1[[#This Row],[Acute RA label]]</f>
        <v/>
      </c>
      <c r="J291" s="553">
        <f>Table22[[#This Row],[Code no.]]</f>
        <v>820020</v>
      </c>
      <c r="K291" s="553" t="str">
        <f>Table22[[#This Row],[Commodity or group of commodities to which the MRLs apply]]</f>
        <v>Sichuan pepper</v>
      </c>
      <c r="L291" s="553">
        <f>Table22[[#This Row],[Source / type of MRL]]</f>
        <v>0</v>
      </c>
      <c r="M291" s="553">
        <f>Table22[[#This Row],[MRL/ proposed MRL /CXL
(mg/kg)]]</f>
        <v>0</v>
      </c>
      <c r="N291" s="553">
        <f>Table22[[#This Row],[LOQ]]</f>
        <v>0</v>
      </c>
      <c r="O291" s="553">
        <f>Table22[[#This Row],[CFrisk for residue definition]]</f>
        <v>0</v>
      </c>
      <c r="P291" s="553">
        <f>Table22[[#This Row],[PeF (peeling factor RD enforcemen)]]</f>
        <v>0</v>
      </c>
      <c r="Q291" s="553">
        <f>Table22[[#This Row],[STMR-RAC (median residue)]]</f>
        <v>0</v>
      </c>
      <c r="R291" s="553">
        <f>Table22[[#This Row],[HR-RAC (highest residue)]]</f>
        <v>0</v>
      </c>
      <c r="S291" s="553">
        <f>Table22[[#This Row],[VF (alternative variability factor)]]</f>
        <v>0</v>
      </c>
      <c r="T291" s="553">
        <f>Table22[[#This Row],[GAP under assessment]]</f>
        <v>0</v>
      </c>
      <c r="U291" s="553">
        <f>Table22[[#This Row],[Post-harvest treatment]]</f>
        <v>0</v>
      </c>
      <c r="V291" s="553" t="str">
        <f>Table22[[#This Row],[Chronic RA label]]</f>
        <v/>
      </c>
      <c r="W291" s="553">
        <f>Table22[[#This Row],[Chronic RA input value]]</f>
        <v>0</v>
      </c>
      <c r="X291" s="1684" t="str">
        <f>Table22[[#This Row],[Acute RA label]]</f>
        <v/>
      </c>
      <c r="Y291" s="553">
        <f>Table22[[#This Row],[Acute RA input value]]</f>
        <v>0</v>
      </c>
      <c r="Z291" s="786">
        <f>SUM(Table1[[#This Row],[chronic value &lt;&gt;MRL/LOQ]:[acute vlue&lt;&gt;MRL/LOQ]])</f>
        <v>0</v>
      </c>
      <c r="AA291" s="786">
        <f>IF(AND($F$5="Refined calculation mode",Table1[[#This Row],[GAP under assessment]]="Y"),1,IF(OR(Table1[[#This Row],[Chronic RA label]]="LOQ",Table1[[#This Row],[Chronic RA label]]="",Table1[[#This Row],[Chronic RA label]]="MRL"),0,1))</f>
        <v>0</v>
      </c>
      <c r="AB291" s="787">
        <f>IF(OR(Table1[[#This Row],[Acute RA label]]="LOQ",Table1[[#This Row],[Acute RA label]]="",Table1[[#This Row],[Acute RA label]]="MRL"),0,1)</f>
        <v>0</v>
      </c>
    </row>
    <row r="292" spans="1:28" ht="13.5" hidden="1" thickTop="1" x14ac:dyDescent="0.2">
      <c r="A292" s="815">
        <f>Table1[[#This Row],[Code no.]]</f>
        <v>820030</v>
      </c>
      <c r="B292" s="793" t="str">
        <f>Table1[[#This Row],[Commodity or group of commodities to which the MRLs apply]]</f>
        <v xml:space="preserve">Caraway </v>
      </c>
      <c r="C292" s="794">
        <f>Table1[[#This Row],[MRL/ proposed MRL /CXL
(mg/kg)]]</f>
        <v>0</v>
      </c>
      <c r="D292" s="795">
        <f>Table1[[#This Row],[Source of MRL]]</f>
        <v>0</v>
      </c>
      <c r="E292" s="797">
        <f>Table1[[#This Row],[Chronic RA input value]]</f>
        <v>0</v>
      </c>
      <c r="F292" s="795" t="str">
        <f>Table1[[#This Row],[Chronic RA label]]</f>
        <v/>
      </c>
      <c r="G292" s="797">
        <f>Table1[[#This Row],[Acute RA input value]]</f>
        <v>0</v>
      </c>
      <c r="H292" s="836" t="str">
        <f>Table1[[#This Row],[Acute RA label]]</f>
        <v/>
      </c>
      <c r="J292" s="553">
        <f>Table22[[#This Row],[Code no.]]</f>
        <v>820030</v>
      </c>
      <c r="K292" s="553" t="str">
        <f>Table22[[#This Row],[Commodity or group of commodities to which the MRLs apply]]</f>
        <v xml:space="preserve">Caraway </v>
      </c>
      <c r="L292" s="553">
        <f>Table22[[#This Row],[Source / type of MRL]]</f>
        <v>0</v>
      </c>
      <c r="M292" s="553">
        <f>Table22[[#This Row],[MRL/ proposed MRL /CXL
(mg/kg)]]</f>
        <v>0</v>
      </c>
      <c r="N292" s="553">
        <f>Table22[[#This Row],[LOQ]]</f>
        <v>0</v>
      </c>
      <c r="O292" s="553">
        <f>Table22[[#This Row],[CFrisk for residue definition]]</f>
        <v>0</v>
      </c>
      <c r="P292" s="553">
        <f>Table22[[#This Row],[PeF (peeling factor RD enforcemen)]]</f>
        <v>0</v>
      </c>
      <c r="Q292" s="553">
        <f>Table22[[#This Row],[STMR-RAC (median residue)]]</f>
        <v>0</v>
      </c>
      <c r="R292" s="553">
        <f>Table22[[#This Row],[HR-RAC (highest residue)]]</f>
        <v>0</v>
      </c>
      <c r="S292" s="553">
        <f>Table22[[#This Row],[VF (alternative variability factor)]]</f>
        <v>0</v>
      </c>
      <c r="T292" s="553">
        <f>Table22[[#This Row],[GAP under assessment]]</f>
        <v>0</v>
      </c>
      <c r="U292" s="553">
        <f>Table22[[#This Row],[Post-harvest treatment]]</f>
        <v>0</v>
      </c>
      <c r="V292" s="553" t="str">
        <f>Table22[[#This Row],[Chronic RA label]]</f>
        <v/>
      </c>
      <c r="W292" s="553">
        <f>Table22[[#This Row],[Chronic RA input value]]</f>
        <v>0</v>
      </c>
      <c r="X292" s="1684" t="str">
        <f>Table22[[#This Row],[Acute RA label]]</f>
        <v/>
      </c>
      <c r="Y292" s="553">
        <f>Table22[[#This Row],[Acute RA input value]]</f>
        <v>0</v>
      </c>
      <c r="Z292" s="786">
        <f>SUM(Table1[[#This Row],[chronic value &lt;&gt;MRL/LOQ]:[acute vlue&lt;&gt;MRL/LOQ]])</f>
        <v>0</v>
      </c>
      <c r="AA292" s="786">
        <f>IF(AND($F$5="Refined calculation mode",Table1[[#This Row],[GAP under assessment]]="Y"),1,IF(OR(Table1[[#This Row],[Chronic RA label]]="LOQ",Table1[[#This Row],[Chronic RA label]]="",Table1[[#This Row],[Chronic RA label]]="MRL"),0,1))</f>
        <v>0</v>
      </c>
      <c r="AB292" s="787">
        <f>IF(OR(Table1[[#This Row],[Acute RA label]]="LOQ",Table1[[#This Row],[Acute RA label]]="",Table1[[#This Row],[Acute RA label]]="MRL"),0,1)</f>
        <v>0</v>
      </c>
    </row>
    <row r="293" spans="1:28" ht="13.5" hidden="1" thickTop="1" x14ac:dyDescent="0.2">
      <c r="A293" s="815">
        <f>Table1[[#This Row],[Code no.]]</f>
        <v>820040</v>
      </c>
      <c r="B293" s="793" t="str">
        <f>Table1[[#This Row],[Commodity or group of commodities to which the MRLs apply]]</f>
        <v>Cardamom</v>
      </c>
      <c r="C293" s="794">
        <f>Table1[[#This Row],[MRL/ proposed MRL /CXL
(mg/kg)]]</f>
        <v>0</v>
      </c>
      <c r="D293" s="795">
        <f>Table1[[#This Row],[Source of MRL]]</f>
        <v>0</v>
      </c>
      <c r="E293" s="797">
        <f>Table1[[#This Row],[Chronic RA input value]]</f>
        <v>0</v>
      </c>
      <c r="F293" s="795" t="str">
        <f>Table1[[#This Row],[Chronic RA label]]</f>
        <v/>
      </c>
      <c r="G293" s="797">
        <f>Table1[[#This Row],[Acute RA input value]]</f>
        <v>0</v>
      </c>
      <c r="H293" s="836" t="str">
        <f>Table1[[#This Row],[Acute RA label]]</f>
        <v/>
      </c>
      <c r="J293" s="553">
        <f>Table22[[#This Row],[Code no.]]</f>
        <v>820040</v>
      </c>
      <c r="K293" s="553" t="str">
        <f>Table22[[#This Row],[Commodity or group of commodities to which the MRLs apply]]</f>
        <v>Cardamom</v>
      </c>
      <c r="L293" s="553">
        <f>Table22[[#This Row],[Source / type of MRL]]</f>
        <v>0</v>
      </c>
      <c r="M293" s="553">
        <f>Table22[[#This Row],[MRL/ proposed MRL /CXL
(mg/kg)]]</f>
        <v>0</v>
      </c>
      <c r="N293" s="553">
        <f>Table22[[#This Row],[LOQ]]</f>
        <v>0</v>
      </c>
      <c r="O293" s="553">
        <f>Table22[[#This Row],[CFrisk for residue definition]]</f>
        <v>0</v>
      </c>
      <c r="P293" s="553">
        <f>Table22[[#This Row],[PeF (peeling factor RD enforcemen)]]</f>
        <v>0</v>
      </c>
      <c r="Q293" s="553">
        <f>Table22[[#This Row],[STMR-RAC (median residue)]]</f>
        <v>0</v>
      </c>
      <c r="R293" s="553">
        <f>Table22[[#This Row],[HR-RAC (highest residue)]]</f>
        <v>0</v>
      </c>
      <c r="S293" s="553">
        <f>Table22[[#This Row],[VF (alternative variability factor)]]</f>
        <v>0</v>
      </c>
      <c r="T293" s="553">
        <f>Table22[[#This Row],[GAP under assessment]]</f>
        <v>0</v>
      </c>
      <c r="U293" s="553">
        <f>Table22[[#This Row],[Post-harvest treatment]]</f>
        <v>0</v>
      </c>
      <c r="V293" s="553" t="str">
        <f>Table22[[#This Row],[Chronic RA label]]</f>
        <v/>
      </c>
      <c r="W293" s="553">
        <f>Table22[[#This Row],[Chronic RA input value]]</f>
        <v>0</v>
      </c>
      <c r="X293" s="1684" t="str">
        <f>Table22[[#This Row],[Acute RA label]]</f>
        <v/>
      </c>
      <c r="Y293" s="553">
        <f>Table22[[#This Row],[Acute RA input value]]</f>
        <v>0</v>
      </c>
      <c r="Z293" s="786">
        <f>SUM(Table1[[#This Row],[chronic value &lt;&gt;MRL/LOQ]:[acute vlue&lt;&gt;MRL/LOQ]])</f>
        <v>0</v>
      </c>
      <c r="AA293" s="786">
        <f>IF(AND($F$5="Refined calculation mode",Table1[[#This Row],[GAP under assessment]]="Y"),1,IF(OR(Table1[[#This Row],[Chronic RA label]]="LOQ",Table1[[#This Row],[Chronic RA label]]="",Table1[[#This Row],[Chronic RA label]]="MRL"),0,1))</f>
        <v>0</v>
      </c>
      <c r="AB293" s="787">
        <f>IF(OR(Table1[[#This Row],[Acute RA label]]="LOQ",Table1[[#This Row],[Acute RA label]]="",Table1[[#This Row],[Acute RA label]]="MRL"),0,1)</f>
        <v>0</v>
      </c>
    </row>
    <row r="294" spans="1:28" ht="13.5" hidden="1" thickTop="1" x14ac:dyDescent="0.2">
      <c r="A294" s="815">
        <f>Table1[[#This Row],[Code no.]]</f>
        <v>820050</v>
      </c>
      <c r="B294" s="793" t="str">
        <f>Table1[[#This Row],[Commodity or group of commodities to which the MRLs apply]]</f>
        <v>Juniper berry</v>
      </c>
      <c r="C294" s="794">
        <f>Table1[[#This Row],[MRL/ proposed MRL /CXL
(mg/kg)]]</f>
        <v>0</v>
      </c>
      <c r="D294" s="795">
        <f>Table1[[#This Row],[Source of MRL]]</f>
        <v>0</v>
      </c>
      <c r="E294" s="797">
        <f>Table1[[#This Row],[Chronic RA input value]]</f>
        <v>0</v>
      </c>
      <c r="F294" s="795" t="str">
        <f>Table1[[#This Row],[Chronic RA label]]</f>
        <v/>
      </c>
      <c r="G294" s="797">
        <f>Table1[[#This Row],[Acute RA input value]]</f>
        <v>0</v>
      </c>
      <c r="H294" s="836" t="str">
        <f>Table1[[#This Row],[Acute RA label]]</f>
        <v/>
      </c>
      <c r="J294" s="553">
        <f>Table22[[#This Row],[Code no.]]</f>
        <v>820050</v>
      </c>
      <c r="K294" s="553" t="str">
        <f>Table22[[#This Row],[Commodity or group of commodities to which the MRLs apply]]</f>
        <v>Juniper berry</v>
      </c>
      <c r="L294" s="553">
        <f>Table22[[#This Row],[Source / type of MRL]]</f>
        <v>0</v>
      </c>
      <c r="M294" s="553">
        <f>Table22[[#This Row],[MRL/ proposed MRL /CXL
(mg/kg)]]</f>
        <v>0</v>
      </c>
      <c r="N294" s="553">
        <f>Table22[[#This Row],[LOQ]]</f>
        <v>0</v>
      </c>
      <c r="O294" s="553">
        <f>Table22[[#This Row],[CFrisk for residue definition]]</f>
        <v>0</v>
      </c>
      <c r="P294" s="553">
        <f>Table22[[#This Row],[PeF (peeling factor RD enforcemen)]]</f>
        <v>0</v>
      </c>
      <c r="Q294" s="553">
        <f>Table22[[#This Row],[STMR-RAC (median residue)]]</f>
        <v>0</v>
      </c>
      <c r="R294" s="553">
        <f>Table22[[#This Row],[HR-RAC (highest residue)]]</f>
        <v>0</v>
      </c>
      <c r="S294" s="553">
        <f>Table22[[#This Row],[VF (alternative variability factor)]]</f>
        <v>0</v>
      </c>
      <c r="T294" s="553">
        <f>Table22[[#This Row],[GAP under assessment]]</f>
        <v>0</v>
      </c>
      <c r="U294" s="553">
        <f>Table22[[#This Row],[Post-harvest treatment]]</f>
        <v>0</v>
      </c>
      <c r="V294" s="553" t="str">
        <f>Table22[[#This Row],[Chronic RA label]]</f>
        <v/>
      </c>
      <c r="W294" s="553">
        <f>Table22[[#This Row],[Chronic RA input value]]</f>
        <v>0</v>
      </c>
      <c r="X294" s="1684" t="str">
        <f>Table22[[#This Row],[Acute RA label]]</f>
        <v/>
      </c>
      <c r="Y294" s="553">
        <f>Table22[[#This Row],[Acute RA input value]]</f>
        <v>0</v>
      </c>
      <c r="Z294" s="786">
        <f>SUM(Table1[[#This Row],[chronic value &lt;&gt;MRL/LOQ]:[acute vlue&lt;&gt;MRL/LOQ]])</f>
        <v>0</v>
      </c>
      <c r="AA294" s="786">
        <f>IF(AND($F$5="Refined calculation mode",Table1[[#This Row],[GAP under assessment]]="Y"),1,IF(OR(Table1[[#This Row],[Chronic RA label]]="LOQ",Table1[[#This Row],[Chronic RA label]]="",Table1[[#This Row],[Chronic RA label]]="MRL"),0,1))</f>
        <v>0</v>
      </c>
      <c r="AB294" s="787">
        <f>IF(OR(Table1[[#This Row],[Acute RA label]]="LOQ",Table1[[#This Row],[Acute RA label]]="",Table1[[#This Row],[Acute RA label]]="MRL"),0,1)</f>
        <v>0</v>
      </c>
    </row>
    <row r="295" spans="1:28" ht="21.75" hidden="1" thickTop="1" x14ac:dyDescent="0.2">
      <c r="A295" s="815">
        <f>Table1[[#This Row],[Code no.]]</f>
        <v>820060</v>
      </c>
      <c r="B295" s="793" t="str">
        <f>Table1[[#This Row],[Commodity or group of commodities to which the MRLs apply]]</f>
        <v xml:space="preserve">Peppercorn (black, green and white) </v>
      </c>
      <c r="C295" s="794">
        <f>Table1[[#This Row],[MRL/ proposed MRL /CXL
(mg/kg)]]</f>
        <v>0</v>
      </c>
      <c r="D295" s="795">
        <f>Table1[[#This Row],[Source of MRL]]</f>
        <v>0</v>
      </c>
      <c r="E295" s="797">
        <f>Table1[[#This Row],[Chronic RA input value]]</f>
        <v>0</v>
      </c>
      <c r="F295" s="795" t="str">
        <f>Table1[[#This Row],[Chronic RA label]]</f>
        <v/>
      </c>
      <c r="G295" s="797">
        <f>Table1[[#This Row],[Acute RA input value]]</f>
        <v>0</v>
      </c>
      <c r="H295" s="836" t="str">
        <f>Table1[[#This Row],[Acute RA label]]</f>
        <v/>
      </c>
      <c r="J295" s="553">
        <f>Table22[[#This Row],[Code no.]]</f>
        <v>820060</v>
      </c>
      <c r="K295" s="553" t="str">
        <f>Table22[[#This Row],[Commodity or group of commodities to which the MRLs apply]]</f>
        <v xml:space="preserve">Peppercorn (black, green and white) </v>
      </c>
      <c r="L295" s="553">
        <f>Table22[[#This Row],[Source / type of MRL]]</f>
        <v>0</v>
      </c>
      <c r="M295" s="553">
        <f>Table22[[#This Row],[MRL/ proposed MRL /CXL
(mg/kg)]]</f>
        <v>0</v>
      </c>
      <c r="N295" s="553">
        <f>Table22[[#This Row],[LOQ]]</f>
        <v>0</v>
      </c>
      <c r="O295" s="553">
        <f>Table22[[#This Row],[CFrisk for residue definition]]</f>
        <v>0</v>
      </c>
      <c r="P295" s="553">
        <f>Table22[[#This Row],[PeF (peeling factor RD enforcemen)]]</f>
        <v>0</v>
      </c>
      <c r="Q295" s="553">
        <f>Table22[[#This Row],[STMR-RAC (median residue)]]</f>
        <v>0</v>
      </c>
      <c r="R295" s="553">
        <f>Table22[[#This Row],[HR-RAC (highest residue)]]</f>
        <v>0</v>
      </c>
      <c r="S295" s="553">
        <f>Table22[[#This Row],[VF (alternative variability factor)]]</f>
        <v>0</v>
      </c>
      <c r="T295" s="553">
        <f>Table22[[#This Row],[GAP under assessment]]</f>
        <v>0</v>
      </c>
      <c r="U295" s="553">
        <f>Table22[[#This Row],[Post-harvest treatment]]</f>
        <v>0</v>
      </c>
      <c r="V295" s="553" t="str">
        <f>Table22[[#This Row],[Chronic RA label]]</f>
        <v/>
      </c>
      <c r="W295" s="553">
        <f>Table22[[#This Row],[Chronic RA input value]]</f>
        <v>0</v>
      </c>
      <c r="X295" s="1684" t="str">
        <f>Table22[[#This Row],[Acute RA label]]</f>
        <v/>
      </c>
      <c r="Y295" s="553">
        <f>Table22[[#This Row],[Acute RA input value]]</f>
        <v>0</v>
      </c>
      <c r="Z295" s="786">
        <f>SUM(Table1[[#This Row],[chronic value &lt;&gt;MRL/LOQ]:[acute vlue&lt;&gt;MRL/LOQ]])</f>
        <v>0</v>
      </c>
      <c r="AA295" s="786">
        <f>IF(AND($F$5="Refined calculation mode",Table1[[#This Row],[GAP under assessment]]="Y"),1,IF(OR(Table1[[#This Row],[Chronic RA label]]="LOQ",Table1[[#This Row],[Chronic RA label]]="",Table1[[#This Row],[Chronic RA label]]="MRL"),0,1))</f>
        <v>0</v>
      </c>
      <c r="AB295" s="787">
        <f>IF(OR(Table1[[#This Row],[Acute RA label]]="LOQ",Table1[[#This Row],[Acute RA label]]="",Table1[[#This Row],[Acute RA label]]="MRL"),0,1)</f>
        <v>0</v>
      </c>
    </row>
    <row r="296" spans="1:28" ht="13.5" hidden="1" thickTop="1" x14ac:dyDescent="0.2">
      <c r="A296" s="815">
        <f>Table1[[#This Row],[Code no.]]</f>
        <v>820070</v>
      </c>
      <c r="B296" s="793" t="str">
        <f>Table1[[#This Row],[Commodity or group of commodities to which the MRLs apply]]</f>
        <v>Vanilla pods</v>
      </c>
      <c r="C296" s="794">
        <f>Table1[[#This Row],[MRL/ proposed MRL /CXL
(mg/kg)]]</f>
        <v>0</v>
      </c>
      <c r="D296" s="795">
        <f>Table1[[#This Row],[Source of MRL]]</f>
        <v>0</v>
      </c>
      <c r="E296" s="797">
        <f>Table1[[#This Row],[Chronic RA input value]]</f>
        <v>0</v>
      </c>
      <c r="F296" s="795" t="str">
        <f>Table1[[#This Row],[Chronic RA label]]</f>
        <v/>
      </c>
      <c r="G296" s="797">
        <f>Table1[[#This Row],[Acute RA input value]]</f>
        <v>0</v>
      </c>
      <c r="H296" s="836" t="str">
        <f>Table1[[#This Row],[Acute RA label]]</f>
        <v/>
      </c>
      <c r="J296" s="553">
        <f>Table22[[#This Row],[Code no.]]</f>
        <v>820070</v>
      </c>
      <c r="K296" s="553" t="str">
        <f>Table22[[#This Row],[Commodity or group of commodities to which the MRLs apply]]</f>
        <v>Vanilla pods</v>
      </c>
      <c r="L296" s="553">
        <f>Table22[[#This Row],[Source / type of MRL]]</f>
        <v>0</v>
      </c>
      <c r="M296" s="553">
        <f>Table22[[#This Row],[MRL/ proposed MRL /CXL
(mg/kg)]]</f>
        <v>0</v>
      </c>
      <c r="N296" s="553">
        <f>Table22[[#This Row],[LOQ]]</f>
        <v>0</v>
      </c>
      <c r="O296" s="553">
        <f>Table22[[#This Row],[CFrisk for residue definition]]</f>
        <v>0</v>
      </c>
      <c r="P296" s="553">
        <f>Table22[[#This Row],[PeF (peeling factor RD enforcemen)]]</f>
        <v>0</v>
      </c>
      <c r="Q296" s="553">
        <f>Table22[[#This Row],[STMR-RAC (median residue)]]</f>
        <v>0</v>
      </c>
      <c r="R296" s="553">
        <f>Table22[[#This Row],[HR-RAC (highest residue)]]</f>
        <v>0</v>
      </c>
      <c r="S296" s="553">
        <f>Table22[[#This Row],[VF (alternative variability factor)]]</f>
        <v>0</v>
      </c>
      <c r="T296" s="553">
        <f>Table22[[#This Row],[GAP under assessment]]</f>
        <v>0</v>
      </c>
      <c r="U296" s="553">
        <f>Table22[[#This Row],[Post-harvest treatment]]</f>
        <v>0</v>
      </c>
      <c r="V296" s="553" t="str">
        <f>Table22[[#This Row],[Chronic RA label]]</f>
        <v/>
      </c>
      <c r="W296" s="553">
        <f>Table22[[#This Row],[Chronic RA input value]]</f>
        <v>0</v>
      </c>
      <c r="X296" s="1684" t="str">
        <f>Table22[[#This Row],[Acute RA label]]</f>
        <v/>
      </c>
      <c r="Y296" s="553">
        <f>Table22[[#This Row],[Acute RA input value]]</f>
        <v>0</v>
      </c>
      <c r="Z296" s="786">
        <f>SUM(Table1[[#This Row],[chronic value &lt;&gt;MRL/LOQ]:[acute vlue&lt;&gt;MRL/LOQ]])</f>
        <v>0</v>
      </c>
      <c r="AA296" s="786">
        <f>IF(AND($F$5="Refined calculation mode",Table1[[#This Row],[GAP under assessment]]="Y"),1,IF(OR(Table1[[#This Row],[Chronic RA label]]="LOQ",Table1[[#This Row],[Chronic RA label]]="",Table1[[#This Row],[Chronic RA label]]="MRL"),0,1))</f>
        <v>0</v>
      </c>
      <c r="AB296" s="787">
        <f>IF(OR(Table1[[#This Row],[Acute RA label]]="LOQ",Table1[[#This Row],[Acute RA label]]="",Table1[[#This Row],[Acute RA label]]="MRL"),0,1)</f>
        <v>0</v>
      </c>
    </row>
    <row r="297" spans="1:28" ht="13.5" hidden="1" thickTop="1" x14ac:dyDescent="0.2">
      <c r="A297" s="815">
        <f>Table1[[#This Row],[Code no.]]</f>
        <v>820080</v>
      </c>
      <c r="B297" s="793" t="str">
        <f>Table1[[#This Row],[Commodity or group of commodities to which the MRLs apply]]</f>
        <v xml:space="preserve">Tamarind </v>
      </c>
      <c r="C297" s="794">
        <f>Table1[[#This Row],[MRL/ proposed MRL /CXL
(mg/kg)]]</f>
        <v>0</v>
      </c>
      <c r="D297" s="795">
        <f>Table1[[#This Row],[Source of MRL]]</f>
        <v>0</v>
      </c>
      <c r="E297" s="797">
        <f>Table1[[#This Row],[Chronic RA input value]]</f>
        <v>0</v>
      </c>
      <c r="F297" s="795" t="str">
        <f>Table1[[#This Row],[Chronic RA label]]</f>
        <v/>
      </c>
      <c r="G297" s="797">
        <f>Table1[[#This Row],[Acute RA input value]]</f>
        <v>0</v>
      </c>
      <c r="H297" s="836" t="str">
        <f>Table1[[#This Row],[Acute RA label]]</f>
        <v/>
      </c>
      <c r="J297" s="553">
        <f>Table22[[#This Row],[Code no.]]</f>
        <v>820080</v>
      </c>
      <c r="K297" s="553" t="str">
        <f>Table22[[#This Row],[Commodity or group of commodities to which the MRLs apply]]</f>
        <v xml:space="preserve">Tamarind </v>
      </c>
      <c r="L297" s="553">
        <f>Table22[[#This Row],[Source / type of MRL]]</f>
        <v>0</v>
      </c>
      <c r="M297" s="553">
        <f>Table22[[#This Row],[MRL/ proposed MRL /CXL
(mg/kg)]]</f>
        <v>0</v>
      </c>
      <c r="N297" s="553">
        <f>Table22[[#This Row],[LOQ]]</f>
        <v>0</v>
      </c>
      <c r="O297" s="553">
        <f>Table22[[#This Row],[CFrisk for residue definition]]</f>
        <v>0</v>
      </c>
      <c r="P297" s="553">
        <f>Table22[[#This Row],[PeF (peeling factor RD enforcemen)]]</f>
        <v>0</v>
      </c>
      <c r="Q297" s="553">
        <f>Table22[[#This Row],[STMR-RAC (median residue)]]</f>
        <v>0</v>
      </c>
      <c r="R297" s="553">
        <f>Table22[[#This Row],[HR-RAC (highest residue)]]</f>
        <v>0</v>
      </c>
      <c r="S297" s="553">
        <f>Table22[[#This Row],[VF (alternative variability factor)]]</f>
        <v>0</v>
      </c>
      <c r="T297" s="553">
        <f>Table22[[#This Row],[GAP under assessment]]</f>
        <v>0</v>
      </c>
      <c r="U297" s="553">
        <f>Table22[[#This Row],[Post-harvest treatment]]</f>
        <v>0</v>
      </c>
      <c r="V297" s="553" t="str">
        <f>Table22[[#This Row],[Chronic RA label]]</f>
        <v/>
      </c>
      <c r="W297" s="553">
        <f>Table22[[#This Row],[Chronic RA input value]]</f>
        <v>0</v>
      </c>
      <c r="X297" s="1684" t="str">
        <f>Table22[[#This Row],[Acute RA label]]</f>
        <v/>
      </c>
      <c r="Y297" s="553">
        <f>Table22[[#This Row],[Acute RA input value]]</f>
        <v>0</v>
      </c>
      <c r="Z297" s="786">
        <f>SUM(Table1[[#This Row],[chronic value &lt;&gt;MRL/LOQ]:[acute vlue&lt;&gt;MRL/LOQ]])</f>
        <v>0</v>
      </c>
      <c r="AA297" s="786">
        <f>IF(AND($F$5="Refined calculation mode",Table1[[#This Row],[GAP under assessment]]="Y"),1,IF(OR(Table1[[#This Row],[Chronic RA label]]="LOQ",Table1[[#This Row],[Chronic RA label]]="",Table1[[#This Row],[Chronic RA label]]="MRL"),0,1))</f>
        <v>0</v>
      </c>
      <c r="AB297" s="787">
        <f>IF(OR(Table1[[#This Row],[Acute RA label]]="LOQ",Table1[[#This Row],[Acute RA label]]="",Table1[[#This Row],[Acute RA label]]="MRL"),0,1)</f>
        <v>0</v>
      </c>
    </row>
    <row r="298" spans="1:28" ht="13.5" hidden="1" thickTop="1" x14ac:dyDescent="0.2">
      <c r="A298" s="815">
        <f>Table1[[#This Row],[Code no.]]</f>
        <v>820990</v>
      </c>
      <c r="B298" s="793" t="str">
        <f>Table1[[#This Row],[Commodity or group of commodities to which the MRLs apply]]</f>
        <v>Other spices (fruits)</v>
      </c>
      <c r="C298" s="794">
        <f>Table1[[#This Row],[MRL/ proposed MRL /CXL
(mg/kg)]]</f>
        <v>0</v>
      </c>
      <c r="D298" s="795">
        <f>Table1[[#This Row],[Source of MRL]]</f>
        <v>0</v>
      </c>
      <c r="E298" s="797">
        <f>Table1[[#This Row],[Chronic RA input value]]</f>
        <v>0</v>
      </c>
      <c r="F298" s="795" t="str">
        <f>Table1[[#This Row],[Chronic RA label]]</f>
        <v/>
      </c>
      <c r="G298" s="797">
        <f>Table1[[#This Row],[Acute RA input value]]</f>
        <v>0</v>
      </c>
      <c r="H298" s="836">
        <f>Table1[[#This Row],[Acute RA label]]</f>
        <v>0</v>
      </c>
      <c r="J298" s="553">
        <f>Table22[[#This Row],[Code no.]]</f>
        <v>820990</v>
      </c>
      <c r="K298" s="553" t="str">
        <f>Table22[[#This Row],[Commodity or group of commodities to which the MRLs apply]]</f>
        <v>Other spices (fruits)</v>
      </c>
      <c r="L298" s="553">
        <f>Table22[[#This Row],[Source / type of MRL]]</f>
        <v>0</v>
      </c>
      <c r="M298" s="553">
        <f>Table22[[#This Row],[MRL/ proposed MRL /CXL
(mg/kg)]]</f>
        <v>0</v>
      </c>
      <c r="N298" s="553">
        <f>Table22[[#This Row],[LOQ]]</f>
        <v>0</v>
      </c>
      <c r="O298" s="553">
        <f>Table22[[#This Row],[CFrisk for residue definition]]</f>
        <v>0</v>
      </c>
      <c r="P298" s="553">
        <f>Table22[[#This Row],[PeF (peeling factor RD enforcemen)]]</f>
        <v>0</v>
      </c>
      <c r="Q298" s="553">
        <f>Table22[[#This Row],[STMR-RAC (median residue)]]</f>
        <v>0</v>
      </c>
      <c r="R298" s="553">
        <f>Table22[[#This Row],[HR-RAC (highest residue)]]</f>
        <v>0</v>
      </c>
      <c r="S298" s="553">
        <f>Table22[[#This Row],[VF (alternative variability factor)]]</f>
        <v>0</v>
      </c>
      <c r="T298" s="553">
        <f>Table22[[#This Row],[GAP under assessment]]</f>
        <v>0</v>
      </c>
      <c r="U298" s="553">
        <f>Table22[[#This Row],[Post-harvest treatment]]</f>
        <v>0</v>
      </c>
      <c r="V298" s="553" t="str">
        <f>Table22[[#This Row],[Chronic RA label]]</f>
        <v/>
      </c>
      <c r="W298" s="553">
        <f>Table22[[#This Row],[Chronic RA input value]]</f>
        <v>0</v>
      </c>
      <c r="X298" s="1684"/>
      <c r="Y298" s="553">
        <f>Table22[[#This Row],[Acute RA input value]]</f>
        <v>0</v>
      </c>
      <c r="Z298" s="786">
        <f>SUM(Table1[[#This Row],[chronic value &lt;&gt;MRL/LOQ]:[acute vlue&lt;&gt;MRL/LOQ]])</f>
        <v>0</v>
      </c>
      <c r="AA298" s="786">
        <f>IF(AND($F$5="Refined calculation mode",Table1[[#This Row],[GAP under assessment]]="Y"),1,IF(OR(Table1[[#This Row],[Chronic RA label]]="LOQ",Table1[[#This Row],[Chronic RA label]]="",Table1[[#This Row],[Chronic RA label]]="MRL"),0,1))</f>
        <v>0</v>
      </c>
      <c r="AB298" s="787">
        <f>IF(OR(Table1[[#This Row],[Acute RA label]]="LOQ",Table1[[#This Row],[Acute RA label]]="",Table1[[#This Row],[Acute RA label]]="MRL"),0,1)</f>
        <v>0</v>
      </c>
    </row>
    <row r="299" spans="1:28" ht="13.5" hidden="1" thickTop="1" x14ac:dyDescent="0.2">
      <c r="A299" s="815">
        <f>Table1[[#This Row],[Code no.]]</f>
        <v>830000</v>
      </c>
      <c r="B299" s="793" t="str">
        <f>Table1[[#This Row],[Commodity or group of commodities to which the MRLs apply]]</f>
        <v>Spices (bark)</v>
      </c>
      <c r="C299" s="794">
        <f>Table1[[#This Row],[MRL/ proposed MRL /CXL
(mg/kg)]]</f>
        <v>0</v>
      </c>
      <c r="D299" s="795">
        <f>Table1[[#This Row],[Source of MRL]]</f>
        <v>0</v>
      </c>
      <c r="E299" s="797">
        <f>Table1[[#This Row],[Chronic RA input value]]</f>
        <v>0</v>
      </c>
      <c r="F299" s="795">
        <f>Table1[[#This Row],[Chronic RA label]]</f>
        <v>0</v>
      </c>
      <c r="G299" s="797">
        <f>Table1[[#This Row],[Acute RA input value]]</f>
        <v>0</v>
      </c>
      <c r="H299" s="836">
        <f>Table1[[#This Row],[Acute RA label]]</f>
        <v>0</v>
      </c>
      <c r="J299" s="553">
        <f>Table22[[#This Row],[Code no.]]</f>
        <v>830000</v>
      </c>
      <c r="K299" s="553" t="str">
        <f>Table22[[#This Row],[Commodity or group of commodities to which the MRLs apply]]</f>
        <v>Spices (bark)</v>
      </c>
      <c r="L299" s="553">
        <f>Table22[[#This Row],[Source / type of MRL]]</f>
        <v>0</v>
      </c>
      <c r="M299" s="553">
        <f>Table22[[#This Row],[MRL/ proposed MRL /CXL
(mg/kg)]]</f>
        <v>0</v>
      </c>
      <c r="N299" s="553">
        <f>Table22[[#This Row],[LOQ]]</f>
        <v>0</v>
      </c>
      <c r="O299" s="553">
        <f>Table22[[#This Row],[CFrisk for residue definition]]</f>
        <v>0</v>
      </c>
      <c r="P299" s="553">
        <f>Table22[[#This Row],[PeF (peeling factor RD enforcemen)]]</f>
        <v>0</v>
      </c>
      <c r="Q299" s="553">
        <f>Table22[[#This Row],[STMR-RAC (median residue)]]</f>
        <v>0</v>
      </c>
      <c r="R299" s="553">
        <f>Table22[[#This Row],[HR-RAC (highest residue)]]</f>
        <v>0</v>
      </c>
      <c r="S299" s="553">
        <f>Table22[[#This Row],[VF (alternative variability factor)]]</f>
        <v>0</v>
      </c>
      <c r="T299" s="553">
        <f>Table22[[#This Row],[GAP under assessment]]</f>
        <v>0</v>
      </c>
      <c r="U299" s="553">
        <f>Table22[[#This Row],[Post-harvest treatment]]</f>
        <v>0</v>
      </c>
      <c r="V299" s="553"/>
      <c r="W299" s="553">
        <f>Table22[[#This Row],[Chronic RA input value]]</f>
        <v>0</v>
      </c>
      <c r="X299" s="1684"/>
      <c r="Y299" s="553">
        <f>Table22[[#This Row],[Acute RA input value]]</f>
        <v>0</v>
      </c>
      <c r="Z299" s="786">
        <f>SUM(Table1[[#This Row],[chronic value &lt;&gt;MRL/LOQ]:[acute vlue&lt;&gt;MRL/LOQ]])</f>
        <v>0</v>
      </c>
      <c r="AA299" s="786">
        <f>IF(AND($F$5="Refined calculation mode",Table1[[#This Row],[GAP under assessment]]="Y"),1,IF(OR(Table1[[#This Row],[Chronic RA label]]="LOQ",Table1[[#This Row],[Chronic RA label]]="",Table1[[#This Row],[Chronic RA label]]="MRL"),0,1))</f>
        <v>0</v>
      </c>
      <c r="AB299" s="787">
        <f>IF(OR(Table1[[#This Row],[Acute RA label]]="LOQ",Table1[[#This Row],[Acute RA label]]="",Table1[[#This Row],[Acute RA label]]="MRL"),0,1)</f>
        <v>0</v>
      </c>
    </row>
    <row r="300" spans="1:28" ht="13.5" hidden="1" thickTop="1" x14ac:dyDescent="0.2">
      <c r="A300" s="815">
        <f>Table1[[#This Row],[Code no.]]</f>
        <v>830010</v>
      </c>
      <c r="B300" s="793" t="str">
        <f>Table1[[#This Row],[Commodity or group of commodities to which the MRLs apply]]</f>
        <v>Cinnamon</v>
      </c>
      <c r="C300" s="794">
        <f>Table1[[#This Row],[MRL/ proposed MRL /CXL
(mg/kg)]]</f>
        <v>0</v>
      </c>
      <c r="D300" s="795">
        <f>Table1[[#This Row],[Source of MRL]]</f>
        <v>0</v>
      </c>
      <c r="E300" s="797">
        <f>Table1[[#This Row],[Chronic RA input value]]</f>
        <v>0</v>
      </c>
      <c r="F300" s="795" t="str">
        <f>Table1[[#This Row],[Chronic RA label]]</f>
        <v/>
      </c>
      <c r="G300" s="797">
        <f>Table1[[#This Row],[Acute RA input value]]</f>
        <v>0</v>
      </c>
      <c r="H300" s="836" t="str">
        <f>Table1[[#This Row],[Acute RA label]]</f>
        <v/>
      </c>
      <c r="J300" s="553">
        <f>Table22[[#This Row],[Code no.]]</f>
        <v>830010</v>
      </c>
      <c r="K300" s="553" t="str">
        <f>Table22[[#This Row],[Commodity or group of commodities to which the MRLs apply]]</f>
        <v>Cinnamon</v>
      </c>
      <c r="L300" s="553">
        <f>Table22[[#This Row],[Source / type of MRL]]</f>
        <v>0</v>
      </c>
      <c r="M300" s="553">
        <f>Table22[[#This Row],[MRL/ proposed MRL /CXL
(mg/kg)]]</f>
        <v>0</v>
      </c>
      <c r="N300" s="553">
        <f>Table22[[#This Row],[LOQ]]</f>
        <v>0</v>
      </c>
      <c r="O300" s="553">
        <f>Table22[[#This Row],[CFrisk for residue definition]]</f>
        <v>0</v>
      </c>
      <c r="P300" s="553">
        <f>Table22[[#This Row],[PeF (peeling factor RD enforcemen)]]</f>
        <v>0</v>
      </c>
      <c r="Q300" s="553">
        <f>Table22[[#This Row],[STMR-RAC (median residue)]]</f>
        <v>0</v>
      </c>
      <c r="R300" s="553">
        <f>Table22[[#This Row],[HR-RAC (highest residue)]]</f>
        <v>0</v>
      </c>
      <c r="S300" s="553">
        <f>Table22[[#This Row],[VF (alternative variability factor)]]</f>
        <v>0</v>
      </c>
      <c r="T300" s="553">
        <f>Table22[[#This Row],[GAP under assessment]]</f>
        <v>0</v>
      </c>
      <c r="U300" s="553">
        <f>Table22[[#This Row],[Post-harvest treatment]]</f>
        <v>0</v>
      </c>
      <c r="V300" s="553" t="str">
        <f>Table22[[#This Row],[Chronic RA label]]</f>
        <v/>
      </c>
      <c r="W300" s="553">
        <f>Table22[[#This Row],[Chronic RA input value]]</f>
        <v>0</v>
      </c>
      <c r="X300" s="1684" t="str">
        <f>Table22[[#This Row],[Acute RA label]]</f>
        <v/>
      </c>
      <c r="Y300" s="553">
        <f>Table22[[#This Row],[Acute RA input value]]</f>
        <v>0</v>
      </c>
      <c r="Z300" s="786">
        <f>SUM(Table1[[#This Row],[chronic value &lt;&gt;MRL/LOQ]:[acute vlue&lt;&gt;MRL/LOQ]])</f>
        <v>0</v>
      </c>
      <c r="AA300" s="786">
        <f>IF(AND($F$5="Refined calculation mode",Table1[[#This Row],[GAP under assessment]]="Y"),1,IF(OR(Table1[[#This Row],[Chronic RA label]]="LOQ",Table1[[#This Row],[Chronic RA label]]="",Table1[[#This Row],[Chronic RA label]]="MRL"),0,1))</f>
        <v>0</v>
      </c>
      <c r="AB300" s="787">
        <f>IF(OR(Table1[[#This Row],[Acute RA label]]="LOQ",Table1[[#This Row],[Acute RA label]]="",Table1[[#This Row],[Acute RA label]]="MRL"),0,1)</f>
        <v>0</v>
      </c>
    </row>
    <row r="301" spans="1:28" ht="13.5" hidden="1" thickTop="1" x14ac:dyDescent="0.2">
      <c r="A301" s="815">
        <f>Table1[[#This Row],[Code no.]]</f>
        <v>830990</v>
      </c>
      <c r="B301" s="793" t="str">
        <f>Table1[[#This Row],[Commodity or group of commodities to which the MRLs apply]]</f>
        <v>Other spices (bark)</v>
      </c>
      <c r="C301" s="794">
        <f>Table1[[#This Row],[MRL/ proposed MRL /CXL
(mg/kg)]]</f>
        <v>0</v>
      </c>
      <c r="D301" s="795">
        <f>Table1[[#This Row],[Source of MRL]]</f>
        <v>0</v>
      </c>
      <c r="E301" s="797">
        <f>Table1[[#This Row],[Chronic RA input value]]</f>
        <v>0</v>
      </c>
      <c r="F301" s="795" t="str">
        <f>Table1[[#This Row],[Chronic RA label]]</f>
        <v/>
      </c>
      <c r="G301" s="797">
        <f>Table1[[#This Row],[Acute RA input value]]</f>
        <v>0</v>
      </c>
      <c r="H301" s="836">
        <f>Table1[[#This Row],[Acute RA label]]</f>
        <v>0</v>
      </c>
      <c r="J301" s="553">
        <f>Table22[[#This Row],[Code no.]]</f>
        <v>830990</v>
      </c>
      <c r="K301" s="553" t="str">
        <f>Table22[[#This Row],[Commodity or group of commodities to which the MRLs apply]]</f>
        <v>Other spices (bark)</v>
      </c>
      <c r="L301" s="553">
        <f>Table22[[#This Row],[Source / type of MRL]]</f>
        <v>0</v>
      </c>
      <c r="M301" s="553">
        <f>Table22[[#This Row],[MRL/ proposed MRL /CXL
(mg/kg)]]</f>
        <v>0</v>
      </c>
      <c r="N301" s="553">
        <f>Table22[[#This Row],[LOQ]]</f>
        <v>0</v>
      </c>
      <c r="O301" s="553">
        <f>Table22[[#This Row],[CFrisk for residue definition]]</f>
        <v>0</v>
      </c>
      <c r="P301" s="553">
        <f>Table22[[#This Row],[PeF (peeling factor RD enforcemen)]]</f>
        <v>0</v>
      </c>
      <c r="Q301" s="553">
        <f>Table22[[#This Row],[STMR-RAC (median residue)]]</f>
        <v>0</v>
      </c>
      <c r="R301" s="553">
        <f>Table22[[#This Row],[HR-RAC (highest residue)]]</f>
        <v>0</v>
      </c>
      <c r="S301" s="553">
        <f>Table22[[#This Row],[VF (alternative variability factor)]]</f>
        <v>0</v>
      </c>
      <c r="T301" s="553">
        <f>Table22[[#This Row],[GAP under assessment]]</f>
        <v>0</v>
      </c>
      <c r="U301" s="553">
        <f>Table22[[#This Row],[Post-harvest treatment]]</f>
        <v>0</v>
      </c>
      <c r="V301" s="553" t="str">
        <f>Table22[[#This Row],[Chronic RA label]]</f>
        <v/>
      </c>
      <c r="W301" s="553">
        <f>Table22[[#This Row],[Chronic RA input value]]</f>
        <v>0</v>
      </c>
      <c r="X301" s="1684"/>
      <c r="Y301" s="553">
        <f>Table22[[#This Row],[Acute RA input value]]</f>
        <v>0</v>
      </c>
      <c r="Z301" s="786">
        <f>SUM(Table1[[#This Row],[chronic value &lt;&gt;MRL/LOQ]:[acute vlue&lt;&gt;MRL/LOQ]])</f>
        <v>0</v>
      </c>
      <c r="AA301" s="786">
        <f>IF(AND($F$5="Refined calculation mode",Table1[[#This Row],[GAP under assessment]]="Y"),1,IF(OR(Table1[[#This Row],[Chronic RA label]]="LOQ",Table1[[#This Row],[Chronic RA label]]="",Table1[[#This Row],[Chronic RA label]]="MRL"),0,1))</f>
        <v>0</v>
      </c>
      <c r="AB301" s="787">
        <f>IF(OR(Table1[[#This Row],[Acute RA label]]="LOQ",Table1[[#This Row],[Acute RA label]]="",Table1[[#This Row],[Acute RA label]]="MRL"),0,1)</f>
        <v>0</v>
      </c>
    </row>
    <row r="302" spans="1:28" ht="21.75" hidden="1" thickTop="1" x14ac:dyDescent="0.2">
      <c r="A302" s="815">
        <f>Table1[[#This Row],[Code no.]]</f>
        <v>840000</v>
      </c>
      <c r="B302" s="793" t="str">
        <f>Table1[[#This Row],[Commodity or group of commodities to which the MRLs apply]]</f>
        <v>Spices (roots or rhizome)</v>
      </c>
      <c r="C302" s="794">
        <f>Table1[[#This Row],[MRL/ proposed MRL /CXL
(mg/kg)]]</f>
        <v>0</v>
      </c>
      <c r="D302" s="795">
        <f>Table1[[#This Row],[Source of MRL]]</f>
        <v>0</v>
      </c>
      <c r="E302" s="797">
        <f>Table1[[#This Row],[Chronic RA input value]]</f>
        <v>0</v>
      </c>
      <c r="F302" s="795">
        <f>Table1[[#This Row],[Chronic RA label]]</f>
        <v>0</v>
      </c>
      <c r="G302" s="797">
        <f>Table1[[#This Row],[Acute RA input value]]</f>
        <v>0</v>
      </c>
      <c r="H302" s="836">
        <f>Table1[[#This Row],[Acute RA label]]</f>
        <v>0</v>
      </c>
      <c r="J302" s="553">
        <f>Table22[[#This Row],[Code no.]]</f>
        <v>840000</v>
      </c>
      <c r="K302" s="553" t="str">
        <f>Table22[[#This Row],[Commodity or group of commodities to which the MRLs apply]]</f>
        <v>Spices (roots or rhizome)</v>
      </c>
      <c r="L302" s="553">
        <f>Table22[[#This Row],[Source / type of MRL]]</f>
        <v>0</v>
      </c>
      <c r="M302" s="553">
        <f>Table22[[#This Row],[MRL/ proposed MRL /CXL
(mg/kg)]]</f>
        <v>0</v>
      </c>
      <c r="N302" s="553">
        <f>Table22[[#This Row],[LOQ]]</f>
        <v>0</v>
      </c>
      <c r="O302" s="553">
        <f>Table22[[#This Row],[CFrisk for residue definition]]</f>
        <v>0</v>
      </c>
      <c r="P302" s="553">
        <f>Table22[[#This Row],[PeF (peeling factor RD enforcemen)]]</f>
        <v>0</v>
      </c>
      <c r="Q302" s="553">
        <f>Table22[[#This Row],[STMR-RAC (median residue)]]</f>
        <v>0</v>
      </c>
      <c r="R302" s="553">
        <f>Table22[[#This Row],[HR-RAC (highest residue)]]</f>
        <v>0</v>
      </c>
      <c r="S302" s="553">
        <f>Table22[[#This Row],[VF (alternative variability factor)]]</f>
        <v>0</v>
      </c>
      <c r="T302" s="553">
        <f>Table22[[#This Row],[GAP under assessment]]</f>
        <v>0</v>
      </c>
      <c r="U302" s="553">
        <f>Table22[[#This Row],[Post-harvest treatment]]</f>
        <v>0</v>
      </c>
      <c r="V302" s="553"/>
      <c r="W302" s="553">
        <f>Table22[[#This Row],[Chronic RA input value]]</f>
        <v>0</v>
      </c>
      <c r="X302" s="1684"/>
      <c r="Y302" s="553">
        <f>Table22[[#This Row],[Acute RA input value]]</f>
        <v>0</v>
      </c>
      <c r="Z302" s="786">
        <f>SUM(Table1[[#This Row],[chronic value &lt;&gt;MRL/LOQ]:[acute vlue&lt;&gt;MRL/LOQ]])</f>
        <v>0</v>
      </c>
      <c r="AA302" s="786">
        <f>IF(AND($F$5="Refined calculation mode",Table1[[#This Row],[GAP under assessment]]="Y"),1,IF(OR(Table1[[#This Row],[Chronic RA label]]="LOQ",Table1[[#This Row],[Chronic RA label]]="",Table1[[#This Row],[Chronic RA label]]="MRL"),0,1))</f>
        <v>0</v>
      </c>
      <c r="AB302" s="787">
        <f>IF(OR(Table1[[#This Row],[Acute RA label]]="LOQ",Table1[[#This Row],[Acute RA label]]="",Table1[[#This Row],[Acute RA label]]="MRL"),0,1)</f>
        <v>0</v>
      </c>
    </row>
    <row r="303" spans="1:28" ht="13.5" hidden="1" thickTop="1" x14ac:dyDescent="0.2">
      <c r="A303" s="815">
        <f>Table1[[#This Row],[Code no.]]</f>
        <v>840010</v>
      </c>
      <c r="B303" s="793" t="str">
        <f>Table1[[#This Row],[Commodity or group of commodities to which the MRLs apply]]</f>
        <v>Liquorice</v>
      </c>
      <c r="C303" s="794">
        <f>Table1[[#This Row],[MRL/ proposed MRL /CXL
(mg/kg)]]</f>
        <v>0</v>
      </c>
      <c r="D303" s="795">
        <f>Table1[[#This Row],[Source of MRL]]</f>
        <v>0</v>
      </c>
      <c r="E303" s="797">
        <f>Table1[[#This Row],[Chronic RA input value]]</f>
        <v>0</v>
      </c>
      <c r="F303" s="795" t="str">
        <f>Table1[[#This Row],[Chronic RA label]]</f>
        <v/>
      </c>
      <c r="G303" s="797">
        <f>Table1[[#This Row],[Acute RA input value]]</f>
        <v>0</v>
      </c>
      <c r="H303" s="836" t="str">
        <f>Table1[[#This Row],[Acute RA label]]</f>
        <v/>
      </c>
      <c r="J303" s="553">
        <f>Table22[[#This Row],[Code no.]]</f>
        <v>840010</v>
      </c>
      <c r="K303" s="553" t="str">
        <f>Table22[[#This Row],[Commodity or group of commodities to which the MRLs apply]]</f>
        <v>Liquorice</v>
      </c>
      <c r="L303" s="553">
        <f>Table22[[#This Row],[Source / type of MRL]]</f>
        <v>0</v>
      </c>
      <c r="M303" s="553">
        <f>Table22[[#This Row],[MRL/ proposed MRL /CXL
(mg/kg)]]</f>
        <v>0</v>
      </c>
      <c r="N303" s="553">
        <f>Table22[[#This Row],[LOQ]]</f>
        <v>0</v>
      </c>
      <c r="O303" s="553">
        <f>Table22[[#This Row],[CFrisk for residue definition]]</f>
        <v>0</v>
      </c>
      <c r="P303" s="553">
        <f>Table22[[#This Row],[PeF (peeling factor RD enforcemen)]]</f>
        <v>0</v>
      </c>
      <c r="Q303" s="553">
        <f>Table22[[#This Row],[STMR-RAC (median residue)]]</f>
        <v>0</v>
      </c>
      <c r="R303" s="553">
        <f>Table22[[#This Row],[HR-RAC (highest residue)]]</f>
        <v>0</v>
      </c>
      <c r="S303" s="553">
        <f>Table22[[#This Row],[VF (alternative variability factor)]]</f>
        <v>0</v>
      </c>
      <c r="T303" s="553">
        <f>Table22[[#This Row],[GAP under assessment]]</f>
        <v>0</v>
      </c>
      <c r="U303" s="553">
        <f>Table22[[#This Row],[Post-harvest treatment]]</f>
        <v>0</v>
      </c>
      <c r="V303" s="553" t="str">
        <f>Table22[[#This Row],[Chronic RA label]]</f>
        <v/>
      </c>
      <c r="W303" s="553">
        <f>Table22[[#This Row],[Chronic RA input value]]</f>
        <v>0</v>
      </c>
      <c r="X303" s="1684" t="str">
        <f>Table22[[#This Row],[Acute RA label]]</f>
        <v/>
      </c>
      <c r="Y303" s="553">
        <f>Table22[[#This Row],[Acute RA input value]]</f>
        <v>0</v>
      </c>
      <c r="Z303" s="786">
        <f>SUM(Table1[[#This Row],[chronic value &lt;&gt;MRL/LOQ]:[acute vlue&lt;&gt;MRL/LOQ]])</f>
        <v>0</v>
      </c>
      <c r="AA303" s="786">
        <f>IF(AND($F$5="Refined calculation mode",Table1[[#This Row],[GAP under assessment]]="Y"),1,IF(OR(Table1[[#This Row],[Chronic RA label]]="LOQ",Table1[[#This Row],[Chronic RA label]]="",Table1[[#This Row],[Chronic RA label]]="MRL"),0,1))</f>
        <v>0</v>
      </c>
      <c r="AB303" s="787">
        <f>IF(OR(Table1[[#This Row],[Acute RA label]]="LOQ",Table1[[#This Row],[Acute RA label]]="",Table1[[#This Row],[Acute RA label]]="MRL"),0,1)</f>
        <v>0</v>
      </c>
    </row>
    <row r="304" spans="1:28" ht="13.5" hidden="1" thickTop="1" x14ac:dyDescent="0.2">
      <c r="A304" s="815">
        <f>Table1[[#This Row],[Code no.]]</f>
        <v>840020</v>
      </c>
      <c r="B304" s="793" t="str">
        <f>Table1[[#This Row],[Commodity or group of commodities to which the MRLs apply]]</f>
        <v xml:space="preserve">Ginger </v>
      </c>
      <c r="C304" s="794">
        <f>Table1[[#This Row],[MRL/ proposed MRL /CXL
(mg/kg)]]</f>
        <v>0</v>
      </c>
      <c r="D304" s="795">
        <f>Table1[[#This Row],[Source of MRL]]</f>
        <v>0</v>
      </c>
      <c r="E304" s="797">
        <f>Table1[[#This Row],[Chronic RA input value]]</f>
        <v>0</v>
      </c>
      <c r="F304" s="795" t="str">
        <f>Table1[[#This Row],[Chronic RA label]]</f>
        <v/>
      </c>
      <c r="G304" s="797">
        <f>Table1[[#This Row],[Acute RA input value]]</f>
        <v>0</v>
      </c>
      <c r="H304" s="836" t="str">
        <f>Table1[[#This Row],[Acute RA label]]</f>
        <v/>
      </c>
      <c r="J304" s="553">
        <f>Table22[[#This Row],[Code no.]]</f>
        <v>840020</v>
      </c>
      <c r="K304" s="553" t="str">
        <f>Table22[[#This Row],[Commodity or group of commodities to which the MRLs apply]]</f>
        <v xml:space="preserve">Ginger </v>
      </c>
      <c r="L304" s="553">
        <f>Table22[[#This Row],[Source / type of MRL]]</f>
        <v>0</v>
      </c>
      <c r="M304" s="553">
        <f>Table22[[#This Row],[MRL/ proposed MRL /CXL
(mg/kg)]]</f>
        <v>0</v>
      </c>
      <c r="N304" s="553">
        <f>Table22[[#This Row],[LOQ]]</f>
        <v>0</v>
      </c>
      <c r="O304" s="553">
        <f>Table22[[#This Row],[CFrisk for residue definition]]</f>
        <v>0</v>
      </c>
      <c r="P304" s="553">
        <f>Table22[[#This Row],[PeF (peeling factor RD enforcemen)]]</f>
        <v>0</v>
      </c>
      <c r="Q304" s="553">
        <f>Table22[[#This Row],[STMR-RAC (median residue)]]</f>
        <v>0</v>
      </c>
      <c r="R304" s="553">
        <f>Table22[[#This Row],[HR-RAC (highest residue)]]</f>
        <v>0</v>
      </c>
      <c r="S304" s="553">
        <f>Table22[[#This Row],[VF (alternative variability factor)]]</f>
        <v>0</v>
      </c>
      <c r="T304" s="553">
        <f>Table22[[#This Row],[GAP under assessment]]</f>
        <v>0</v>
      </c>
      <c r="U304" s="553">
        <f>Table22[[#This Row],[Post-harvest treatment]]</f>
        <v>0</v>
      </c>
      <c r="V304" s="553" t="str">
        <f>Table22[[#This Row],[Chronic RA label]]</f>
        <v/>
      </c>
      <c r="W304" s="553">
        <f>Table22[[#This Row],[Chronic RA input value]]</f>
        <v>0</v>
      </c>
      <c r="X304" s="1684" t="str">
        <f>Table22[[#This Row],[Acute RA label]]</f>
        <v/>
      </c>
      <c r="Y304" s="553">
        <f>Table22[[#This Row],[Acute RA input value]]</f>
        <v>0</v>
      </c>
      <c r="Z304" s="786">
        <f>SUM(Table1[[#This Row],[chronic value &lt;&gt;MRL/LOQ]:[acute vlue&lt;&gt;MRL/LOQ]])</f>
        <v>0</v>
      </c>
      <c r="AA304" s="786">
        <f>IF(AND($F$5="Refined calculation mode",Table1[[#This Row],[GAP under assessment]]="Y"),1,IF(OR(Table1[[#This Row],[Chronic RA label]]="LOQ",Table1[[#This Row],[Chronic RA label]]="",Table1[[#This Row],[Chronic RA label]]="MRL"),0,1))</f>
        <v>0</v>
      </c>
      <c r="AB304" s="787">
        <f>IF(OR(Table1[[#This Row],[Acute RA label]]="LOQ",Table1[[#This Row],[Acute RA label]]="",Table1[[#This Row],[Acute RA label]]="MRL"),0,1)</f>
        <v>0</v>
      </c>
    </row>
    <row r="305" spans="1:28" ht="13.5" hidden="1" thickTop="1" x14ac:dyDescent="0.2">
      <c r="A305" s="815">
        <f>Table1[[#This Row],[Code no.]]</f>
        <v>840030</v>
      </c>
      <c r="B305" s="793" t="str">
        <f>Table1[[#This Row],[Commodity or group of commodities to which the MRLs apply]]</f>
        <v>Turmeric/curcuma</v>
      </c>
      <c r="C305" s="794">
        <f>Table1[[#This Row],[MRL/ proposed MRL /CXL
(mg/kg)]]</f>
        <v>0</v>
      </c>
      <c r="D305" s="795">
        <f>Table1[[#This Row],[Source of MRL]]</f>
        <v>0</v>
      </c>
      <c r="E305" s="797">
        <f>Table1[[#This Row],[Chronic RA input value]]</f>
        <v>0</v>
      </c>
      <c r="F305" s="795" t="str">
        <f>Table1[[#This Row],[Chronic RA label]]</f>
        <v/>
      </c>
      <c r="G305" s="797">
        <f>Table1[[#This Row],[Acute RA input value]]</f>
        <v>0</v>
      </c>
      <c r="H305" s="836" t="str">
        <f>Table1[[#This Row],[Acute RA label]]</f>
        <v/>
      </c>
      <c r="J305" s="553">
        <f>Table22[[#This Row],[Code no.]]</f>
        <v>840030</v>
      </c>
      <c r="K305" s="553" t="str">
        <f>Table22[[#This Row],[Commodity or group of commodities to which the MRLs apply]]</f>
        <v>Turmeric/curcuma</v>
      </c>
      <c r="L305" s="553">
        <f>Table22[[#This Row],[Source / type of MRL]]</f>
        <v>0</v>
      </c>
      <c r="M305" s="553">
        <f>Table22[[#This Row],[MRL/ proposed MRL /CXL
(mg/kg)]]</f>
        <v>0</v>
      </c>
      <c r="N305" s="553">
        <f>Table22[[#This Row],[LOQ]]</f>
        <v>0</v>
      </c>
      <c r="O305" s="553">
        <f>Table22[[#This Row],[CFrisk for residue definition]]</f>
        <v>0</v>
      </c>
      <c r="P305" s="553">
        <f>Table22[[#This Row],[PeF (peeling factor RD enforcemen)]]</f>
        <v>0</v>
      </c>
      <c r="Q305" s="553">
        <f>Table22[[#This Row],[STMR-RAC (median residue)]]</f>
        <v>0</v>
      </c>
      <c r="R305" s="553">
        <f>Table22[[#This Row],[HR-RAC (highest residue)]]</f>
        <v>0</v>
      </c>
      <c r="S305" s="553">
        <f>Table22[[#This Row],[VF (alternative variability factor)]]</f>
        <v>0</v>
      </c>
      <c r="T305" s="553">
        <f>Table22[[#This Row],[GAP under assessment]]</f>
        <v>0</v>
      </c>
      <c r="U305" s="553">
        <f>Table22[[#This Row],[Post-harvest treatment]]</f>
        <v>0</v>
      </c>
      <c r="V305" s="553" t="str">
        <f>Table22[[#This Row],[Chronic RA label]]</f>
        <v/>
      </c>
      <c r="W305" s="553">
        <f>Table22[[#This Row],[Chronic RA input value]]</f>
        <v>0</v>
      </c>
      <c r="X305" s="1684" t="str">
        <f>Table22[[#This Row],[Acute RA label]]</f>
        <v/>
      </c>
      <c r="Y305" s="553">
        <f>Table22[[#This Row],[Acute RA input value]]</f>
        <v>0</v>
      </c>
      <c r="Z305" s="786">
        <f>SUM(Table1[[#This Row],[chronic value &lt;&gt;MRL/LOQ]:[acute vlue&lt;&gt;MRL/LOQ]])</f>
        <v>0</v>
      </c>
      <c r="AA305" s="786">
        <f>IF(AND($F$5="Refined calculation mode",Table1[[#This Row],[GAP under assessment]]="Y"),1,IF(OR(Table1[[#This Row],[Chronic RA label]]="LOQ",Table1[[#This Row],[Chronic RA label]]="",Table1[[#This Row],[Chronic RA label]]="MRL"),0,1))</f>
        <v>0</v>
      </c>
      <c r="AB305" s="787">
        <f>IF(OR(Table1[[#This Row],[Acute RA label]]="LOQ",Table1[[#This Row],[Acute RA label]]="",Table1[[#This Row],[Acute RA label]]="MRL"),0,1)</f>
        <v>0</v>
      </c>
    </row>
    <row r="306" spans="1:28" ht="21.75" hidden="1" thickTop="1" x14ac:dyDescent="0.2">
      <c r="A306" s="815">
        <f>Table1[[#This Row],[Code no.]]</f>
        <v>840040</v>
      </c>
      <c r="B306" s="793" t="str">
        <f>Table1[[#This Row],[Commodity or group of commodities to which the MRLs apply]]</f>
        <v>Horseradish, root spices</v>
      </c>
      <c r="C306" s="794">
        <f>Table1[[#This Row],[MRL/ proposed MRL /CXL
(mg/kg)]]</f>
        <v>0</v>
      </c>
      <c r="D306" s="795">
        <f>Table1[[#This Row],[Source of MRL]]</f>
        <v>0</v>
      </c>
      <c r="E306" s="797">
        <f>Table1[[#This Row],[Chronic RA input value]]</f>
        <v>0</v>
      </c>
      <c r="F306" s="795" t="str">
        <f>Table1[[#This Row],[Chronic RA label]]</f>
        <v/>
      </c>
      <c r="G306" s="797">
        <f>Table1[[#This Row],[Acute RA input value]]</f>
        <v>0</v>
      </c>
      <c r="H306" s="836" t="str">
        <f>Table1[[#This Row],[Acute RA label]]</f>
        <v/>
      </c>
      <c r="J306" s="553">
        <f>Table22[[#This Row],[Code no.]]</f>
        <v>840040</v>
      </c>
      <c r="K306" s="553" t="str">
        <f>Table22[[#This Row],[Commodity or group of commodities to which the MRLs apply]]</f>
        <v>Horseradish, root spices</v>
      </c>
      <c r="L306" s="553">
        <f>Table22[[#This Row],[Source / type of MRL]]</f>
        <v>0</v>
      </c>
      <c r="M306" s="553">
        <f>Table22[[#This Row],[MRL/ proposed MRL /CXL
(mg/kg)]]</f>
        <v>0</v>
      </c>
      <c r="N306" s="553">
        <f>Table22[[#This Row],[LOQ]]</f>
        <v>0</v>
      </c>
      <c r="O306" s="553">
        <f>Table22[[#This Row],[CFrisk for residue definition]]</f>
        <v>0</v>
      </c>
      <c r="P306" s="553">
        <f>Table22[[#This Row],[PeF (peeling factor RD enforcemen)]]</f>
        <v>0</v>
      </c>
      <c r="Q306" s="553">
        <f>Table22[[#This Row],[STMR-RAC (median residue)]]</f>
        <v>0</v>
      </c>
      <c r="R306" s="553">
        <f>Table22[[#This Row],[HR-RAC (highest residue)]]</f>
        <v>0</v>
      </c>
      <c r="S306" s="553">
        <f>Table22[[#This Row],[VF (alternative variability factor)]]</f>
        <v>0</v>
      </c>
      <c r="T306" s="553">
        <f>Table22[[#This Row],[GAP under assessment]]</f>
        <v>0</v>
      </c>
      <c r="U306" s="553">
        <f>Table22[[#This Row],[Post-harvest treatment]]</f>
        <v>0</v>
      </c>
      <c r="V306" s="553" t="str">
        <f>Table22[[#This Row],[Chronic RA label]]</f>
        <v/>
      </c>
      <c r="W306" s="553">
        <f>Table22[[#This Row],[Chronic RA input value]]</f>
        <v>0</v>
      </c>
      <c r="X306" s="1684" t="str">
        <f>Table22[[#This Row],[Acute RA label]]</f>
        <v/>
      </c>
      <c r="Y306" s="553">
        <f>Table22[[#This Row],[Acute RA input value]]</f>
        <v>0</v>
      </c>
      <c r="Z306" s="786">
        <f>SUM(Table1[[#This Row],[chronic value &lt;&gt;MRL/LOQ]:[acute vlue&lt;&gt;MRL/LOQ]])</f>
        <v>0</v>
      </c>
      <c r="AA306" s="786">
        <f>IF(AND($F$5="Refined calculation mode",Table1[[#This Row],[GAP under assessment]]="Y"),1,IF(OR(Table1[[#This Row],[Chronic RA label]]="LOQ",Table1[[#This Row],[Chronic RA label]]="",Table1[[#This Row],[Chronic RA label]]="MRL"),0,1))</f>
        <v>0</v>
      </c>
      <c r="AB306" s="787">
        <f>IF(OR(Table1[[#This Row],[Acute RA label]]="LOQ",Table1[[#This Row],[Acute RA label]]="",Table1[[#This Row],[Acute RA label]]="MRL"),0,1)</f>
        <v>0</v>
      </c>
    </row>
    <row r="307" spans="1:28" ht="13.5" hidden="1" thickTop="1" x14ac:dyDescent="0.2">
      <c r="A307" s="815">
        <f>Table1[[#This Row],[Code no.]]</f>
        <v>840990</v>
      </c>
      <c r="B307" s="793" t="str">
        <f>Table1[[#This Row],[Commodity or group of commodities to which the MRLs apply]]</f>
        <v>Other spices (roots)</v>
      </c>
      <c r="C307" s="794">
        <f>Table1[[#This Row],[MRL/ proposed MRL /CXL
(mg/kg)]]</f>
        <v>0</v>
      </c>
      <c r="D307" s="795">
        <f>Table1[[#This Row],[Source of MRL]]</f>
        <v>0</v>
      </c>
      <c r="E307" s="797">
        <f>Table1[[#This Row],[Chronic RA input value]]</f>
        <v>0</v>
      </c>
      <c r="F307" s="795" t="str">
        <f>Table1[[#This Row],[Chronic RA label]]</f>
        <v/>
      </c>
      <c r="G307" s="797">
        <f>Table1[[#This Row],[Acute RA input value]]</f>
        <v>0</v>
      </c>
      <c r="H307" s="836">
        <f>Table1[[#This Row],[Acute RA label]]</f>
        <v>0</v>
      </c>
      <c r="J307" s="553">
        <f>Table22[[#This Row],[Code no.]]</f>
        <v>840990</v>
      </c>
      <c r="K307" s="553" t="str">
        <f>Table22[[#This Row],[Commodity or group of commodities to which the MRLs apply]]</f>
        <v>Other spices (roots)</v>
      </c>
      <c r="L307" s="553">
        <f>Table22[[#This Row],[Source / type of MRL]]</f>
        <v>0</v>
      </c>
      <c r="M307" s="553">
        <f>Table22[[#This Row],[MRL/ proposed MRL /CXL
(mg/kg)]]</f>
        <v>0</v>
      </c>
      <c r="N307" s="553">
        <f>Table22[[#This Row],[LOQ]]</f>
        <v>0</v>
      </c>
      <c r="O307" s="553">
        <f>Table22[[#This Row],[CFrisk for residue definition]]</f>
        <v>0</v>
      </c>
      <c r="P307" s="553">
        <f>Table22[[#This Row],[PeF (peeling factor RD enforcemen)]]</f>
        <v>0</v>
      </c>
      <c r="Q307" s="553">
        <f>Table22[[#This Row],[STMR-RAC (median residue)]]</f>
        <v>0</v>
      </c>
      <c r="R307" s="553">
        <f>Table22[[#This Row],[HR-RAC (highest residue)]]</f>
        <v>0</v>
      </c>
      <c r="S307" s="553">
        <f>Table22[[#This Row],[VF (alternative variability factor)]]</f>
        <v>0</v>
      </c>
      <c r="T307" s="553">
        <f>Table22[[#This Row],[GAP under assessment]]</f>
        <v>0</v>
      </c>
      <c r="U307" s="553">
        <f>Table22[[#This Row],[Post-harvest treatment]]</f>
        <v>0</v>
      </c>
      <c r="V307" s="553" t="str">
        <f>Table22[[#This Row],[Chronic RA label]]</f>
        <v/>
      </c>
      <c r="W307" s="553">
        <f>Table22[[#This Row],[Chronic RA input value]]</f>
        <v>0</v>
      </c>
      <c r="X307" s="1684"/>
      <c r="Y307" s="553">
        <f>Table22[[#This Row],[Acute RA input value]]</f>
        <v>0</v>
      </c>
      <c r="Z307" s="786">
        <f>SUM(Table1[[#This Row],[chronic value &lt;&gt;MRL/LOQ]:[acute vlue&lt;&gt;MRL/LOQ]])</f>
        <v>0</v>
      </c>
      <c r="AA307" s="786">
        <f>IF(AND($F$5="Refined calculation mode",Table1[[#This Row],[GAP under assessment]]="Y"),1,IF(OR(Table1[[#This Row],[Chronic RA label]]="LOQ",Table1[[#This Row],[Chronic RA label]]="",Table1[[#This Row],[Chronic RA label]]="MRL"),0,1))</f>
        <v>0</v>
      </c>
      <c r="AB307" s="787">
        <f>IF(OR(Table1[[#This Row],[Acute RA label]]="LOQ",Table1[[#This Row],[Acute RA label]]="",Table1[[#This Row],[Acute RA label]]="MRL"),0,1)</f>
        <v>0</v>
      </c>
    </row>
    <row r="308" spans="1:28" ht="13.5" hidden="1" thickTop="1" x14ac:dyDescent="0.2">
      <c r="A308" s="815">
        <f>Table1[[#This Row],[Code no.]]</f>
        <v>850000</v>
      </c>
      <c r="B308" s="793" t="str">
        <f>Table1[[#This Row],[Commodity or group of commodities to which the MRLs apply]]</f>
        <v>Spices (buds)</v>
      </c>
      <c r="C308" s="794">
        <f>Table1[[#This Row],[MRL/ proposed MRL /CXL
(mg/kg)]]</f>
        <v>0</v>
      </c>
      <c r="D308" s="795">
        <f>Table1[[#This Row],[Source of MRL]]</f>
        <v>0</v>
      </c>
      <c r="E308" s="797">
        <f>Table1[[#This Row],[Chronic RA input value]]</f>
        <v>0</v>
      </c>
      <c r="F308" s="795">
        <f>Table1[[#This Row],[Chronic RA label]]</f>
        <v>0</v>
      </c>
      <c r="G308" s="797">
        <f>Table1[[#This Row],[Acute RA input value]]</f>
        <v>0</v>
      </c>
      <c r="H308" s="836">
        <f>Table1[[#This Row],[Acute RA label]]</f>
        <v>0</v>
      </c>
      <c r="J308" s="553">
        <f>Table22[[#This Row],[Code no.]]</f>
        <v>850000</v>
      </c>
      <c r="K308" s="553" t="str">
        <f>Table22[[#This Row],[Commodity or group of commodities to which the MRLs apply]]</f>
        <v>Spices (buds)</v>
      </c>
      <c r="L308" s="553">
        <f>Table22[[#This Row],[Source / type of MRL]]</f>
        <v>0</v>
      </c>
      <c r="M308" s="553">
        <f>Table22[[#This Row],[MRL/ proposed MRL /CXL
(mg/kg)]]</f>
        <v>0</v>
      </c>
      <c r="N308" s="553">
        <f>Table22[[#This Row],[LOQ]]</f>
        <v>0</v>
      </c>
      <c r="O308" s="553">
        <f>Table22[[#This Row],[CFrisk for residue definition]]</f>
        <v>0</v>
      </c>
      <c r="P308" s="553">
        <f>Table22[[#This Row],[PeF (peeling factor RD enforcemen)]]</f>
        <v>0</v>
      </c>
      <c r="Q308" s="553">
        <f>Table22[[#This Row],[STMR-RAC (median residue)]]</f>
        <v>0</v>
      </c>
      <c r="R308" s="553">
        <f>Table22[[#This Row],[HR-RAC (highest residue)]]</f>
        <v>0</v>
      </c>
      <c r="S308" s="553">
        <f>Table22[[#This Row],[VF (alternative variability factor)]]</f>
        <v>0</v>
      </c>
      <c r="T308" s="553">
        <f>Table22[[#This Row],[GAP under assessment]]</f>
        <v>0</v>
      </c>
      <c r="U308" s="553">
        <f>Table22[[#This Row],[Post-harvest treatment]]</f>
        <v>0</v>
      </c>
      <c r="V308" s="553"/>
      <c r="W308" s="553">
        <f>Table22[[#This Row],[Chronic RA input value]]</f>
        <v>0</v>
      </c>
      <c r="X308" s="1684"/>
      <c r="Y308" s="553">
        <f>Table22[[#This Row],[Acute RA input value]]</f>
        <v>0</v>
      </c>
      <c r="Z308" s="786">
        <f>SUM(Table1[[#This Row],[chronic value &lt;&gt;MRL/LOQ]:[acute vlue&lt;&gt;MRL/LOQ]])</f>
        <v>0</v>
      </c>
      <c r="AA308" s="786">
        <f>IF(AND($F$5="Refined calculation mode",Table1[[#This Row],[GAP under assessment]]="Y"),1,IF(OR(Table1[[#This Row],[Chronic RA label]]="LOQ",Table1[[#This Row],[Chronic RA label]]="",Table1[[#This Row],[Chronic RA label]]="MRL"),0,1))</f>
        <v>0</v>
      </c>
      <c r="AB308" s="787">
        <f>IF(OR(Table1[[#This Row],[Acute RA label]]="LOQ",Table1[[#This Row],[Acute RA label]]="",Table1[[#This Row],[Acute RA label]]="MRL"),0,1)</f>
        <v>0</v>
      </c>
    </row>
    <row r="309" spans="1:28" ht="13.5" hidden="1" thickTop="1" x14ac:dyDescent="0.2">
      <c r="A309" s="815">
        <f>Table1[[#This Row],[Code no.]]</f>
        <v>850010</v>
      </c>
      <c r="B309" s="793" t="str">
        <f>Table1[[#This Row],[Commodity or group of commodities to which the MRLs apply]]</f>
        <v>Cloves</v>
      </c>
      <c r="C309" s="794">
        <f>Table1[[#This Row],[MRL/ proposed MRL /CXL
(mg/kg)]]</f>
        <v>0</v>
      </c>
      <c r="D309" s="795">
        <f>Table1[[#This Row],[Source of MRL]]</f>
        <v>0</v>
      </c>
      <c r="E309" s="797">
        <f>Table1[[#This Row],[Chronic RA input value]]</f>
        <v>0</v>
      </c>
      <c r="F309" s="795" t="str">
        <f>Table1[[#This Row],[Chronic RA label]]</f>
        <v/>
      </c>
      <c r="G309" s="797">
        <f>Table1[[#This Row],[Acute RA input value]]</f>
        <v>0</v>
      </c>
      <c r="H309" s="836" t="str">
        <f>Table1[[#This Row],[Acute RA label]]</f>
        <v/>
      </c>
      <c r="J309" s="553">
        <f>Table22[[#This Row],[Code no.]]</f>
        <v>850010</v>
      </c>
      <c r="K309" s="553" t="str">
        <f>Table22[[#This Row],[Commodity or group of commodities to which the MRLs apply]]</f>
        <v>Cloves</v>
      </c>
      <c r="L309" s="553">
        <f>Table22[[#This Row],[Source / type of MRL]]</f>
        <v>0</v>
      </c>
      <c r="M309" s="553">
        <f>Table22[[#This Row],[MRL/ proposed MRL /CXL
(mg/kg)]]</f>
        <v>0</v>
      </c>
      <c r="N309" s="553">
        <f>Table22[[#This Row],[LOQ]]</f>
        <v>0</v>
      </c>
      <c r="O309" s="553">
        <f>Table22[[#This Row],[CFrisk for residue definition]]</f>
        <v>0</v>
      </c>
      <c r="P309" s="553">
        <f>Table22[[#This Row],[PeF (peeling factor RD enforcemen)]]</f>
        <v>0</v>
      </c>
      <c r="Q309" s="553">
        <f>Table22[[#This Row],[STMR-RAC (median residue)]]</f>
        <v>0</v>
      </c>
      <c r="R309" s="553">
        <f>Table22[[#This Row],[HR-RAC (highest residue)]]</f>
        <v>0</v>
      </c>
      <c r="S309" s="553">
        <f>Table22[[#This Row],[VF (alternative variability factor)]]</f>
        <v>0</v>
      </c>
      <c r="T309" s="553">
        <f>Table22[[#This Row],[GAP under assessment]]</f>
        <v>0</v>
      </c>
      <c r="U309" s="553">
        <f>Table22[[#This Row],[Post-harvest treatment]]</f>
        <v>0</v>
      </c>
      <c r="V309" s="553" t="str">
        <f>Table22[[#This Row],[Chronic RA label]]</f>
        <v/>
      </c>
      <c r="W309" s="553">
        <f>Table22[[#This Row],[Chronic RA input value]]</f>
        <v>0</v>
      </c>
      <c r="X309" s="1684" t="str">
        <f>Table22[[#This Row],[Acute RA label]]</f>
        <v/>
      </c>
      <c r="Y309" s="553">
        <f>Table22[[#This Row],[Acute RA input value]]</f>
        <v>0</v>
      </c>
      <c r="Z309" s="786">
        <f>SUM(Table1[[#This Row],[chronic value &lt;&gt;MRL/LOQ]:[acute vlue&lt;&gt;MRL/LOQ]])</f>
        <v>0</v>
      </c>
      <c r="AA309" s="786">
        <f>IF(AND($F$5="Refined calculation mode",Table1[[#This Row],[GAP under assessment]]="Y"),1,IF(OR(Table1[[#This Row],[Chronic RA label]]="LOQ",Table1[[#This Row],[Chronic RA label]]="",Table1[[#This Row],[Chronic RA label]]="MRL"),0,1))</f>
        <v>0</v>
      </c>
      <c r="AB309" s="787">
        <f>IF(OR(Table1[[#This Row],[Acute RA label]]="LOQ",Table1[[#This Row],[Acute RA label]]="",Table1[[#This Row],[Acute RA label]]="MRL"),0,1)</f>
        <v>0</v>
      </c>
    </row>
    <row r="310" spans="1:28" ht="13.5" hidden="1" thickTop="1" x14ac:dyDescent="0.2">
      <c r="A310" s="815">
        <f>Table1[[#This Row],[Code no.]]</f>
        <v>850020</v>
      </c>
      <c r="B310" s="793" t="str">
        <f>Table1[[#This Row],[Commodity or group of commodities to which the MRLs apply]]</f>
        <v>Capers</v>
      </c>
      <c r="C310" s="794">
        <f>Table1[[#This Row],[MRL/ proposed MRL /CXL
(mg/kg)]]</f>
        <v>0</v>
      </c>
      <c r="D310" s="795">
        <f>Table1[[#This Row],[Source of MRL]]</f>
        <v>0</v>
      </c>
      <c r="E310" s="797">
        <f>Table1[[#This Row],[Chronic RA input value]]</f>
        <v>0</v>
      </c>
      <c r="F310" s="795" t="str">
        <f>Table1[[#This Row],[Chronic RA label]]</f>
        <v/>
      </c>
      <c r="G310" s="797">
        <f>Table1[[#This Row],[Acute RA input value]]</f>
        <v>0</v>
      </c>
      <c r="H310" s="836" t="str">
        <f>Table1[[#This Row],[Acute RA label]]</f>
        <v/>
      </c>
      <c r="J310" s="553">
        <f>Table22[[#This Row],[Code no.]]</f>
        <v>850020</v>
      </c>
      <c r="K310" s="553" t="str">
        <f>Table22[[#This Row],[Commodity or group of commodities to which the MRLs apply]]</f>
        <v>Capers</v>
      </c>
      <c r="L310" s="553">
        <f>Table22[[#This Row],[Source / type of MRL]]</f>
        <v>0</v>
      </c>
      <c r="M310" s="553">
        <f>Table22[[#This Row],[MRL/ proposed MRL /CXL
(mg/kg)]]</f>
        <v>0</v>
      </c>
      <c r="N310" s="553">
        <f>Table22[[#This Row],[LOQ]]</f>
        <v>0</v>
      </c>
      <c r="O310" s="553">
        <f>Table22[[#This Row],[CFrisk for residue definition]]</f>
        <v>0</v>
      </c>
      <c r="P310" s="553">
        <f>Table22[[#This Row],[PeF (peeling factor RD enforcemen)]]</f>
        <v>0</v>
      </c>
      <c r="Q310" s="553">
        <f>Table22[[#This Row],[STMR-RAC (median residue)]]</f>
        <v>0</v>
      </c>
      <c r="R310" s="553">
        <f>Table22[[#This Row],[HR-RAC (highest residue)]]</f>
        <v>0</v>
      </c>
      <c r="S310" s="553">
        <f>Table22[[#This Row],[VF (alternative variability factor)]]</f>
        <v>0</v>
      </c>
      <c r="T310" s="553">
        <f>Table22[[#This Row],[GAP under assessment]]</f>
        <v>0</v>
      </c>
      <c r="U310" s="553">
        <f>Table22[[#This Row],[Post-harvest treatment]]</f>
        <v>0</v>
      </c>
      <c r="V310" s="553" t="str">
        <f>Table22[[#This Row],[Chronic RA label]]</f>
        <v/>
      </c>
      <c r="W310" s="553">
        <f>Table22[[#This Row],[Chronic RA input value]]</f>
        <v>0</v>
      </c>
      <c r="X310" s="1684" t="str">
        <f>Table22[[#This Row],[Acute RA label]]</f>
        <v/>
      </c>
      <c r="Y310" s="553">
        <f>Table22[[#This Row],[Acute RA input value]]</f>
        <v>0</v>
      </c>
      <c r="Z310" s="786">
        <f>SUM(Table1[[#This Row],[chronic value &lt;&gt;MRL/LOQ]:[acute vlue&lt;&gt;MRL/LOQ]])</f>
        <v>0</v>
      </c>
      <c r="AA310" s="786">
        <f>IF(AND($F$5="Refined calculation mode",Table1[[#This Row],[GAP under assessment]]="Y"),1,IF(OR(Table1[[#This Row],[Chronic RA label]]="LOQ",Table1[[#This Row],[Chronic RA label]]="",Table1[[#This Row],[Chronic RA label]]="MRL"),0,1))</f>
        <v>0</v>
      </c>
      <c r="AB310" s="787">
        <f>IF(OR(Table1[[#This Row],[Acute RA label]]="LOQ",Table1[[#This Row],[Acute RA label]]="",Table1[[#This Row],[Acute RA label]]="MRL"),0,1)</f>
        <v>0</v>
      </c>
    </row>
    <row r="311" spans="1:28" ht="13.5" hidden="1" thickTop="1" x14ac:dyDescent="0.2">
      <c r="A311" s="815">
        <f>Table1[[#This Row],[Code no.]]</f>
        <v>850990</v>
      </c>
      <c r="B311" s="793" t="str">
        <f>Table1[[#This Row],[Commodity or group of commodities to which the MRLs apply]]</f>
        <v>Other spices (buds)</v>
      </c>
      <c r="C311" s="794">
        <f>Table1[[#This Row],[MRL/ proposed MRL /CXL
(mg/kg)]]</f>
        <v>0</v>
      </c>
      <c r="D311" s="795">
        <f>Table1[[#This Row],[Source of MRL]]</f>
        <v>0</v>
      </c>
      <c r="E311" s="797">
        <f>Table1[[#This Row],[Chronic RA input value]]</f>
        <v>0</v>
      </c>
      <c r="F311" s="795" t="str">
        <f>Table1[[#This Row],[Chronic RA label]]</f>
        <v/>
      </c>
      <c r="G311" s="797">
        <f>Table1[[#This Row],[Acute RA input value]]</f>
        <v>0</v>
      </c>
      <c r="H311" s="836">
        <f>Table1[[#This Row],[Acute RA label]]</f>
        <v>0</v>
      </c>
      <c r="J311" s="553">
        <f>Table22[[#This Row],[Code no.]]</f>
        <v>850990</v>
      </c>
      <c r="K311" s="553" t="str">
        <f>Table22[[#This Row],[Commodity or group of commodities to which the MRLs apply]]</f>
        <v>Other spices (buds)</v>
      </c>
      <c r="L311" s="553">
        <f>Table22[[#This Row],[Source / type of MRL]]</f>
        <v>0</v>
      </c>
      <c r="M311" s="553">
        <f>Table22[[#This Row],[MRL/ proposed MRL /CXL
(mg/kg)]]</f>
        <v>0</v>
      </c>
      <c r="N311" s="553">
        <f>Table22[[#This Row],[LOQ]]</f>
        <v>0</v>
      </c>
      <c r="O311" s="553">
        <f>Table22[[#This Row],[CFrisk for residue definition]]</f>
        <v>0</v>
      </c>
      <c r="P311" s="553">
        <f>Table22[[#This Row],[PeF (peeling factor RD enforcemen)]]</f>
        <v>0</v>
      </c>
      <c r="Q311" s="553">
        <f>Table22[[#This Row],[STMR-RAC (median residue)]]</f>
        <v>0</v>
      </c>
      <c r="R311" s="553">
        <f>Table22[[#This Row],[HR-RAC (highest residue)]]</f>
        <v>0</v>
      </c>
      <c r="S311" s="553">
        <f>Table22[[#This Row],[VF (alternative variability factor)]]</f>
        <v>0</v>
      </c>
      <c r="T311" s="553">
        <f>Table22[[#This Row],[GAP under assessment]]</f>
        <v>0</v>
      </c>
      <c r="U311" s="553">
        <f>Table22[[#This Row],[Post-harvest treatment]]</f>
        <v>0</v>
      </c>
      <c r="V311" s="553" t="str">
        <f>Table22[[#This Row],[Chronic RA label]]</f>
        <v/>
      </c>
      <c r="W311" s="553">
        <f>Table22[[#This Row],[Chronic RA input value]]</f>
        <v>0</v>
      </c>
      <c r="X311" s="1684"/>
      <c r="Y311" s="553">
        <f>Table22[[#This Row],[Acute RA input value]]</f>
        <v>0</v>
      </c>
      <c r="Z311" s="786">
        <f>SUM(Table1[[#This Row],[chronic value &lt;&gt;MRL/LOQ]:[acute vlue&lt;&gt;MRL/LOQ]])</f>
        <v>0</v>
      </c>
      <c r="AA311" s="786">
        <f>IF(AND($F$5="Refined calculation mode",Table1[[#This Row],[GAP under assessment]]="Y"),1,IF(OR(Table1[[#This Row],[Chronic RA label]]="LOQ",Table1[[#This Row],[Chronic RA label]]="",Table1[[#This Row],[Chronic RA label]]="MRL"),0,1))</f>
        <v>0</v>
      </c>
      <c r="AB311" s="787">
        <f>IF(OR(Table1[[#This Row],[Acute RA label]]="LOQ",Table1[[#This Row],[Acute RA label]]="",Table1[[#This Row],[Acute RA label]]="MRL"),0,1)</f>
        <v>0</v>
      </c>
    </row>
    <row r="312" spans="1:28" ht="21.75" hidden="1" thickTop="1" x14ac:dyDescent="0.2">
      <c r="A312" s="815">
        <f>Table1[[#This Row],[Code no.]]</f>
        <v>860000</v>
      </c>
      <c r="B312" s="793" t="str">
        <f>Table1[[#This Row],[Commodity or group of commodities to which the MRLs apply]]</f>
        <v>Spices (flower stigma)</v>
      </c>
      <c r="C312" s="794">
        <f>Table1[[#This Row],[MRL/ proposed MRL /CXL
(mg/kg)]]</f>
        <v>0</v>
      </c>
      <c r="D312" s="795">
        <f>Table1[[#This Row],[Source of MRL]]</f>
        <v>0</v>
      </c>
      <c r="E312" s="797">
        <f>Table1[[#This Row],[Chronic RA input value]]</f>
        <v>0</v>
      </c>
      <c r="F312" s="795">
        <f>Table1[[#This Row],[Chronic RA label]]</f>
        <v>0</v>
      </c>
      <c r="G312" s="797">
        <f>Table1[[#This Row],[Acute RA input value]]</f>
        <v>0</v>
      </c>
      <c r="H312" s="836">
        <f>Table1[[#This Row],[Acute RA label]]</f>
        <v>0</v>
      </c>
      <c r="J312" s="553">
        <f>Table22[[#This Row],[Code no.]]</f>
        <v>860000</v>
      </c>
      <c r="K312" s="553" t="str">
        <f>Table22[[#This Row],[Commodity or group of commodities to which the MRLs apply]]</f>
        <v>Spices (flower stigma)</v>
      </c>
      <c r="L312" s="553">
        <f>Table22[[#This Row],[Source / type of MRL]]</f>
        <v>0</v>
      </c>
      <c r="M312" s="553">
        <f>Table22[[#This Row],[MRL/ proposed MRL /CXL
(mg/kg)]]</f>
        <v>0</v>
      </c>
      <c r="N312" s="553">
        <f>Table22[[#This Row],[LOQ]]</f>
        <v>0</v>
      </c>
      <c r="O312" s="553">
        <f>Table22[[#This Row],[CFrisk for residue definition]]</f>
        <v>0</v>
      </c>
      <c r="P312" s="553">
        <f>Table22[[#This Row],[PeF (peeling factor RD enforcemen)]]</f>
        <v>0</v>
      </c>
      <c r="Q312" s="553">
        <f>Table22[[#This Row],[STMR-RAC (median residue)]]</f>
        <v>0</v>
      </c>
      <c r="R312" s="553">
        <f>Table22[[#This Row],[HR-RAC (highest residue)]]</f>
        <v>0</v>
      </c>
      <c r="S312" s="553">
        <f>Table22[[#This Row],[VF (alternative variability factor)]]</f>
        <v>0</v>
      </c>
      <c r="T312" s="553">
        <f>Table22[[#This Row],[GAP under assessment]]</f>
        <v>0</v>
      </c>
      <c r="U312" s="553">
        <f>Table22[[#This Row],[Post-harvest treatment]]</f>
        <v>0</v>
      </c>
      <c r="V312" s="553"/>
      <c r="W312" s="553">
        <f>Table22[[#This Row],[Chronic RA input value]]</f>
        <v>0</v>
      </c>
      <c r="X312" s="1684"/>
      <c r="Y312" s="553">
        <f>Table22[[#This Row],[Acute RA input value]]</f>
        <v>0</v>
      </c>
      <c r="Z312" s="786">
        <f>SUM(Table1[[#This Row],[chronic value &lt;&gt;MRL/LOQ]:[acute vlue&lt;&gt;MRL/LOQ]])</f>
        <v>0</v>
      </c>
      <c r="AA312" s="786">
        <f>IF(AND($F$5="Refined calculation mode",Table1[[#This Row],[GAP under assessment]]="Y"),1,IF(OR(Table1[[#This Row],[Chronic RA label]]="LOQ",Table1[[#This Row],[Chronic RA label]]="",Table1[[#This Row],[Chronic RA label]]="MRL"),0,1))</f>
        <v>0</v>
      </c>
      <c r="AB312" s="787">
        <f>IF(OR(Table1[[#This Row],[Acute RA label]]="LOQ",Table1[[#This Row],[Acute RA label]]="",Table1[[#This Row],[Acute RA label]]="MRL"),0,1)</f>
        <v>0</v>
      </c>
    </row>
    <row r="313" spans="1:28" ht="13.5" hidden="1" thickTop="1" x14ac:dyDescent="0.2">
      <c r="A313" s="815">
        <f>Table1[[#This Row],[Code no.]]</f>
        <v>860010</v>
      </c>
      <c r="B313" s="793" t="str">
        <f>Table1[[#This Row],[Commodity or group of commodities to which the MRLs apply]]</f>
        <v xml:space="preserve">Saffron </v>
      </c>
      <c r="C313" s="794">
        <f>Table1[[#This Row],[MRL/ proposed MRL /CXL
(mg/kg)]]</f>
        <v>0</v>
      </c>
      <c r="D313" s="795">
        <f>Table1[[#This Row],[Source of MRL]]</f>
        <v>0</v>
      </c>
      <c r="E313" s="797">
        <f>Table1[[#This Row],[Chronic RA input value]]</f>
        <v>0</v>
      </c>
      <c r="F313" s="795" t="str">
        <f>Table1[[#This Row],[Chronic RA label]]</f>
        <v/>
      </c>
      <c r="G313" s="797">
        <f>Table1[[#This Row],[Acute RA input value]]</f>
        <v>0</v>
      </c>
      <c r="H313" s="836" t="str">
        <f>Table1[[#This Row],[Acute RA label]]</f>
        <v/>
      </c>
      <c r="J313" s="553">
        <f>Table22[[#This Row],[Code no.]]</f>
        <v>860010</v>
      </c>
      <c r="K313" s="553" t="str">
        <f>Table22[[#This Row],[Commodity or group of commodities to which the MRLs apply]]</f>
        <v xml:space="preserve">Saffron </v>
      </c>
      <c r="L313" s="553">
        <f>Table22[[#This Row],[Source / type of MRL]]</f>
        <v>0</v>
      </c>
      <c r="M313" s="553">
        <f>Table22[[#This Row],[MRL/ proposed MRL /CXL
(mg/kg)]]</f>
        <v>0</v>
      </c>
      <c r="N313" s="553">
        <f>Table22[[#This Row],[LOQ]]</f>
        <v>0</v>
      </c>
      <c r="O313" s="553">
        <f>Table22[[#This Row],[CFrisk for residue definition]]</f>
        <v>0</v>
      </c>
      <c r="P313" s="553">
        <f>Table22[[#This Row],[PeF (peeling factor RD enforcemen)]]</f>
        <v>0</v>
      </c>
      <c r="Q313" s="553">
        <f>Table22[[#This Row],[STMR-RAC (median residue)]]</f>
        <v>0</v>
      </c>
      <c r="R313" s="553">
        <f>Table22[[#This Row],[HR-RAC (highest residue)]]</f>
        <v>0</v>
      </c>
      <c r="S313" s="553">
        <f>Table22[[#This Row],[VF (alternative variability factor)]]</f>
        <v>0</v>
      </c>
      <c r="T313" s="553">
        <f>Table22[[#This Row],[GAP under assessment]]</f>
        <v>0</v>
      </c>
      <c r="U313" s="553">
        <f>Table22[[#This Row],[Post-harvest treatment]]</f>
        <v>0</v>
      </c>
      <c r="V313" s="553" t="str">
        <f>Table22[[#This Row],[Chronic RA label]]</f>
        <v/>
      </c>
      <c r="W313" s="553">
        <f>Table22[[#This Row],[Chronic RA input value]]</f>
        <v>0</v>
      </c>
      <c r="X313" s="1684" t="str">
        <f>Table22[[#This Row],[Acute RA label]]</f>
        <v/>
      </c>
      <c r="Y313" s="553">
        <f>Table22[[#This Row],[Acute RA input value]]</f>
        <v>0</v>
      </c>
      <c r="Z313" s="786">
        <f>SUM(Table1[[#This Row],[chronic value &lt;&gt;MRL/LOQ]:[acute vlue&lt;&gt;MRL/LOQ]])</f>
        <v>0</v>
      </c>
      <c r="AA313" s="786">
        <f>IF(AND($F$5="Refined calculation mode",Table1[[#This Row],[GAP under assessment]]="Y"),1,IF(OR(Table1[[#This Row],[Chronic RA label]]="LOQ",Table1[[#This Row],[Chronic RA label]]="",Table1[[#This Row],[Chronic RA label]]="MRL"),0,1))</f>
        <v>0</v>
      </c>
      <c r="AB313" s="787">
        <f>IF(OR(Table1[[#This Row],[Acute RA label]]="LOQ",Table1[[#This Row],[Acute RA label]]="",Table1[[#This Row],[Acute RA label]]="MRL"),0,1)</f>
        <v>0</v>
      </c>
    </row>
    <row r="314" spans="1:28" ht="21.75" hidden="1" thickTop="1" x14ac:dyDescent="0.2">
      <c r="A314" s="815">
        <f>Table1[[#This Row],[Code no.]]</f>
        <v>860990</v>
      </c>
      <c r="B314" s="793" t="str">
        <f>Table1[[#This Row],[Commodity or group of commodities to which the MRLs apply]]</f>
        <v>Other spices (flower stigma)</v>
      </c>
      <c r="C314" s="794">
        <f>Table1[[#This Row],[MRL/ proposed MRL /CXL
(mg/kg)]]</f>
        <v>0</v>
      </c>
      <c r="D314" s="795">
        <f>Table1[[#This Row],[Source of MRL]]</f>
        <v>0</v>
      </c>
      <c r="E314" s="797">
        <f>Table1[[#This Row],[Chronic RA input value]]</f>
        <v>0</v>
      </c>
      <c r="F314" s="795" t="str">
        <f>Table1[[#This Row],[Chronic RA label]]</f>
        <v/>
      </c>
      <c r="G314" s="797">
        <f>Table1[[#This Row],[Acute RA input value]]</f>
        <v>0</v>
      </c>
      <c r="H314" s="836">
        <f>Table1[[#This Row],[Acute RA label]]</f>
        <v>0</v>
      </c>
      <c r="J314" s="553">
        <f>Table22[[#This Row],[Code no.]]</f>
        <v>860990</v>
      </c>
      <c r="K314" s="553" t="str">
        <f>Table22[[#This Row],[Commodity or group of commodities to which the MRLs apply]]</f>
        <v>Other spices (flower stigma)</v>
      </c>
      <c r="L314" s="553">
        <f>Table22[[#This Row],[Source / type of MRL]]</f>
        <v>0</v>
      </c>
      <c r="M314" s="553">
        <f>Table22[[#This Row],[MRL/ proposed MRL /CXL
(mg/kg)]]</f>
        <v>0</v>
      </c>
      <c r="N314" s="553">
        <f>Table22[[#This Row],[LOQ]]</f>
        <v>0</v>
      </c>
      <c r="O314" s="553">
        <f>Table22[[#This Row],[CFrisk for residue definition]]</f>
        <v>0</v>
      </c>
      <c r="P314" s="553">
        <f>Table22[[#This Row],[PeF (peeling factor RD enforcemen)]]</f>
        <v>0</v>
      </c>
      <c r="Q314" s="553">
        <f>Table22[[#This Row],[STMR-RAC (median residue)]]</f>
        <v>0</v>
      </c>
      <c r="R314" s="553">
        <f>Table22[[#This Row],[HR-RAC (highest residue)]]</f>
        <v>0</v>
      </c>
      <c r="S314" s="553">
        <f>Table22[[#This Row],[VF (alternative variability factor)]]</f>
        <v>0</v>
      </c>
      <c r="T314" s="553">
        <f>Table22[[#This Row],[GAP under assessment]]</f>
        <v>0</v>
      </c>
      <c r="U314" s="553">
        <f>Table22[[#This Row],[Post-harvest treatment]]</f>
        <v>0</v>
      </c>
      <c r="V314" s="553" t="str">
        <f>Table22[[#This Row],[Chronic RA label]]</f>
        <v/>
      </c>
      <c r="W314" s="553">
        <f>Table22[[#This Row],[Chronic RA input value]]</f>
        <v>0</v>
      </c>
      <c r="X314" s="1684"/>
      <c r="Y314" s="553">
        <f>Table22[[#This Row],[Acute RA input value]]</f>
        <v>0</v>
      </c>
      <c r="Z314" s="786">
        <f>SUM(Table1[[#This Row],[chronic value &lt;&gt;MRL/LOQ]:[acute vlue&lt;&gt;MRL/LOQ]])</f>
        <v>0</v>
      </c>
      <c r="AA314" s="786">
        <f>IF(AND($F$5="Refined calculation mode",Table1[[#This Row],[GAP under assessment]]="Y"),1,IF(OR(Table1[[#This Row],[Chronic RA label]]="LOQ",Table1[[#This Row],[Chronic RA label]]="",Table1[[#This Row],[Chronic RA label]]="MRL"),0,1))</f>
        <v>0</v>
      </c>
      <c r="AB314" s="787">
        <f>IF(OR(Table1[[#This Row],[Acute RA label]]="LOQ",Table1[[#This Row],[Acute RA label]]="",Table1[[#This Row],[Acute RA label]]="MRL"),0,1)</f>
        <v>0</v>
      </c>
    </row>
    <row r="315" spans="1:28" ht="13.5" hidden="1" thickTop="1" x14ac:dyDescent="0.2">
      <c r="A315" s="815">
        <f>Table1[[#This Row],[Code no.]]</f>
        <v>870000</v>
      </c>
      <c r="B315" s="793" t="str">
        <f>Table1[[#This Row],[Commodity or group of commodities to which the MRLs apply]]</f>
        <v>Spices (aril)</v>
      </c>
      <c r="C315" s="794">
        <f>Table1[[#This Row],[MRL/ proposed MRL /CXL
(mg/kg)]]</f>
        <v>0</v>
      </c>
      <c r="D315" s="795">
        <f>Table1[[#This Row],[Source of MRL]]</f>
        <v>0</v>
      </c>
      <c r="E315" s="797">
        <f>Table1[[#This Row],[Chronic RA input value]]</f>
        <v>0</v>
      </c>
      <c r="F315" s="795">
        <f>Table1[[#This Row],[Chronic RA label]]</f>
        <v>0</v>
      </c>
      <c r="G315" s="797">
        <f>Table1[[#This Row],[Acute RA input value]]</f>
        <v>0</v>
      </c>
      <c r="H315" s="836">
        <f>Table1[[#This Row],[Acute RA label]]</f>
        <v>0</v>
      </c>
      <c r="J315" s="553">
        <f>Table22[[#This Row],[Code no.]]</f>
        <v>870000</v>
      </c>
      <c r="K315" s="553" t="str">
        <f>Table22[[#This Row],[Commodity or group of commodities to which the MRLs apply]]</f>
        <v>Spices (aril)</v>
      </c>
      <c r="L315" s="553">
        <f>Table22[[#This Row],[Source / type of MRL]]</f>
        <v>0</v>
      </c>
      <c r="M315" s="553">
        <f>Table22[[#This Row],[MRL/ proposed MRL /CXL
(mg/kg)]]</f>
        <v>0</v>
      </c>
      <c r="N315" s="553">
        <f>Table22[[#This Row],[LOQ]]</f>
        <v>0</v>
      </c>
      <c r="O315" s="553">
        <f>Table22[[#This Row],[CFrisk for residue definition]]</f>
        <v>0</v>
      </c>
      <c r="P315" s="553">
        <f>Table22[[#This Row],[PeF (peeling factor RD enforcemen)]]</f>
        <v>0</v>
      </c>
      <c r="Q315" s="553">
        <f>Table22[[#This Row],[STMR-RAC (median residue)]]</f>
        <v>0</v>
      </c>
      <c r="R315" s="553">
        <f>Table22[[#This Row],[HR-RAC (highest residue)]]</f>
        <v>0</v>
      </c>
      <c r="S315" s="553">
        <f>Table22[[#This Row],[VF (alternative variability factor)]]</f>
        <v>0</v>
      </c>
      <c r="T315" s="553">
        <f>Table22[[#This Row],[GAP under assessment]]</f>
        <v>0</v>
      </c>
      <c r="U315" s="553">
        <f>Table22[[#This Row],[Post-harvest treatment]]</f>
        <v>0</v>
      </c>
      <c r="V315" s="553"/>
      <c r="W315" s="553">
        <f>Table22[[#This Row],[Chronic RA input value]]</f>
        <v>0</v>
      </c>
      <c r="X315" s="1684"/>
      <c r="Y315" s="553">
        <f>Table22[[#This Row],[Acute RA input value]]</f>
        <v>0</v>
      </c>
      <c r="Z315" s="786">
        <f>SUM(Table1[[#This Row],[chronic value &lt;&gt;MRL/LOQ]:[acute vlue&lt;&gt;MRL/LOQ]])</f>
        <v>0</v>
      </c>
      <c r="AA315" s="786">
        <f>IF(AND($F$5="Refined calculation mode",Table1[[#This Row],[GAP under assessment]]="Y"),1,IF(OR(Table1[[#This Row],[Chronic RA label]]="LOQ",Table1[[#This Row],[Chronic RA label]]="",Table1[[#This Row],[Chronic RA label]]="MRL"),0,1))</f>
        <v>0</v>
      </c>
      <c r="AB315" s="787">
        <f>IF(OR(Table1[[#This Row],[Acute RA label]]="LOQ",Table1[[#This Row],[Acute RA label]]="",Table1[[#This Row],[Acute RA label]]="MRL"),0,1)</f>
        <v>0</v>
      </c>
    </row>
    <row r="316" spans="1:28" ht="13.5" hidden="1" thickTop="1" x14ac:dyDescent="0.2">
      <c r="A316" s="815">
        <f>Table1[[#This Row],[Code no.]]</f>
        <v>870010</v>
      </c>
      <c r="B316" s="793" t="str">
        <f>Table1[[#This Row],[Commodity or group of commodities to which the MRLs apply]]</f>
        <v>Mace</v>
      </c>
      <c r="C316" s="794">
        <f>Table1[[#This Row],[MRL/ proposed MRL /CXL
(mg/kg)]]</f>
        <v>0</v>
      </c>
      <c r="D316" s="795">
        <f>Table1[[#This Row],[Source of MRL]]</f>
        <v>0</v>
      </c>
      <c r="E316" s="797">
        <f>Table1[[#This Row],[Chronic RA input value]]</f>
        <v>0</v>
      </c>
      <c r="F316" s="795" t="str">
        <f>Table1[[#This Row],[Chronic RA label]]</f>
        <v/>
      </c>
      <c r="G316" s="797">
        <f>Table1[[#This Row],[Acute RA input value]]</f>
        <v>0</v>
      </c>
      <c r="H316" s="836" t="str">
        <f>Table1[[#This Row],[Acute RA label]]</f>
        <v/>
      </c>
      <c r="J316" s="553">
        <f>Table22[[#This Row],[Code no.]]</f>
        <v>870010</v>
      </c>
      <c r="K316" s="553" t="str">
        <f>Table22[[#This Row],[Commodity or group of commodities to which the MRLs apply]]</f>
        <v>Mace</v>
      </c>
      <c r="L316" s="553">
        <f>Table22[[#This Row],[Source / type of MRL]]</f>
        <v>0</v>
      </c>
      <c r="M316" s="553">
        <f>Table22[[#This Row],[MRL/ proposed MRL /CXL
(mg/kg)]]</f>
        <v>0</v>
      </c>
      <c r="N316" s="553">
        <f>Table22[[#This Row],[LOQ]]</f>
        <v>0</v>
      </c>
      <c r="O316" s="553">
        <f>Table22[[#This Row],[CFrisk for residue definition]]</f>
        <v>0</v>
      </c>
      <c r="P316" s="553">
        <f>Table22[[#This Row],[PeF (peeling factor RD enforcemen)]]</f>
        <v>0</v>
      </c>
      <c r="Q316" s="553">
        <f>Table22[[#This Row],[STMR-RAC (median residue)]]</f>
        <v>0</v>
      </c>
      <c r="R316" s="553">
        <f>Table22[[#This Row],[HR-RAC (highest residue)]]</f>
        <v>0</v>
      </c>
      <c r="S316" s="553">
        <f>Table22[[#This Row],[VF (alternative variability factor)]]</f>
        <v>0</v>
      </c>
      <c r="T316" s="553">
        <f>Table22[[#This Row],[GAP under assessment]]</f>
        <v>0</v>
      </c>
      <c r="U316" s="553">
        <f>Table22[[#This Row],[Post-harvest treatment]]</f>
        <v>0</v>
      </c>
      <c r="V316" s="553" t="str">
        <f>Table22[[#This Row],[Chronic RA label]]</f>
        <v/>
      </c>
      <c r="W316" s="553">
        <f>Table22[[#This Row],[Chronic RA input value]]</f>
        <v>0</v>
      </c>
      <c r="X316" s="1684" t="str">
        <f>Table22[[#This Row],[Acute RA label]]</f>
        <v/>
      </c>
      <c r="Y316" s="553">
        <f>Table22[[#This Row],[Acute RA input value]]</f>
        <v>0</v>
      </c>
      <c r="Z316" s="786">
        <f>SUM(Table1[[#This Row],[chronic value &lt;&gt;MRL/LOQ]:[acute vlue&lt;&gt;MRL/LOQ]])</f>
        <v>0</v>
      </c>
      <c r="AA316" s="786">
        <f>IF(AND($F$5="Refined calculation mode",Table1[[#This Row],[GAP under assessment]]="Y"),1,IF(OR(Table1[[#This Row],[Chronic RA label]]="LOQ",Table1[[#This Row],[Chronic RA label]]="",Table1[[#This Row],[Chronic RA label]]="MRL"),0,1))</f>
        <v>0</v>
      </c>
      <c r="AB316" s="787">
        <f>IF(OR(Table1[[#This Row],[Acute RA label]]="LOQ",Table1[[#This Row],[Acute RA label]]="",Table1[[#This Row],[Acute RA label]]="MRL"),0,1)</f>
        <v>0</v>
      </c>
    </row>
    <row r="317" spans="1:28" ht="13.5" hidden="1" thickTop="1" x14ac:dyDescent="0.2">
      <c r="A317" s="815">
        <f>Table1[[#This Row],[Code no.]]</f>
        <v>870990</v>
      </c>
      <c r="B317" s="793" t="str">
        <f>Table1[[#This Row],[Commodity or group of commodities to which the MRLs apply]]</f>
        <v>Other spices (aril)</v>
      </c>
      <c r="C317" s="794">
        <f>Table1[[#This Row],[MRL/ proposed MRL /CXL
(mg/kg)]]</f>
        <v>0</v>
      </c>
      <c r="D317" s="795">
        <f>Table1[[#This Row],[Source of MRL]]</f>
        <v>0</v>
      </c>
      <c r="E317" s="797">
        <f>Table1[[#This Row],[Chronic RA input value]]</f>
        <v>0</v>
      </c>
      <c r="F317" s="795" t="str">
        <f>Table1[[#This Row],[Chronic RA label]]</f>
        <v/>
      </c>
      <c r="G317" s="797">
        <f>Table1[[#This Row],[Acute RA input value]]</f>
        <v>0</v>
      </c>
      <c r="H317" s="836">
        <f>Table1[[#This Row],[Acute RA label]]</f>
        <v>0</v>
      </c>
      <c r="J317" s="553">
        <f>Table22[[#This Row],[Code no.]]</f>
        <v>870990</v>
      </c>
      <c r="K317" s="553" t="str">
        <f>Table22[[#This Row],[Commodity or group of commodities to which the MRLs apply]]</f>
        <v>Other spices (aril)</v>
      </c>
      <c r="L317" s="553">
        <f>Table22[[#This Row],[Source / type of MRL]]</f>
        <v>0</v>
      </c>
      <c r="M317" s="553">
        <f>Table22[[#This Row],[MRL/ proposed MRL /CXL
(mg/kg)]]</f>
        <v>0</v>
      </c>
      <c r="N317" s="553">
        <f>Table22[[#This Row],[LOQ]]</f>
        <v>0</v>
      </c>
      <c r="O317" s="553">
        <f>Table22[[#This Row],[CFrisk for residue definition]]</f>
        <v>0</v>
      </c>
      <c r="P317" s="553">
        <f>Table22[[#This Row],[PeF (peeling factor RD enforcemen)]]</f>
        <v>0</v>
      </c>
      <c r="Q317" s="553">
        <f>Table22[[#This Row],[STMR-RAC (median residue)]]</f>
        <v>0</v>
      </c>
      <c r="R317" s="553">
        <f>Table22[[#This Row],[HR-RAC (highest residue)]]</f>
        <v>0</v>
      </c>
      <c r="S317" s="553">
        <f>Table22[[#This Row],[VF (alternative variability factor)]]</f>
        <v>0</v>
      </c>
      <c r="T317" s="553">
        <f>Table22[[#This Row],[GAP under assessment]]</f>
        <v>0</v>
      </c>
      <c r="U317" s="553">
        <f>Table22[[#This Row],[Post-harvest treatment]]</f>
        <v>0</v>
      </c>
      <c r="V317" s="553" t="str">
        <f>Table22[[#This Row],[Chronic RA label]]</f>
        <v/>
      </c>
      <c r="W317" s="553">
        <f>Table22[[#This Row],[Chronic RA input value]]</f>
        <v>0</v>
      </c>
      <c r="X317" s="1684"/>
      <c r="Y317" s="553">
        <f>Table22[[#This Row],[Acute RA input value]]</f>
        <v>0</v>
      </c>
      <c r="Z317" s="786">
        <f>SUM(Table1[[#This Row],[chronic value &lt;&gt;MRL/LOQ]:[acute vlue&lt;&gt;MRL/LOQ]])</f>
        <v>0</v>
      </c>
      <c r="AA317" s="786">
        <f>IF(AND($F$5="Refined calculation mode",Table1[[#This Row],[GAP under assessment]]="Y"),1,IF(OR(Table1[[#This Row],[Chronic RA label]]="LOQ",Table1[[#This Row],[Chronic RA label]]="",Table1[[#This Row],[Chronic RA label]]="MRL"),0,1))</f>
        <v>0</v>
      </c>
      <c r="AB317" s="787">
        <f>IF(OR(Table1[[#This Row],[Acute RA label]]="LOQ",Table1[[#This Row],[Acute RA label]]="",Table1[[#This Row],[Acute RA label]]="MRL"),0,1)</f>
        <v>0</v>
      </c>
    </row>
    <row r="318" spans="1:28" ht="13.5" hidden="1" thickTop="1" x14ac:dyDescent="0.2">
      <c r="A318" s="815">
        <f>Table1[[#This Row],[Code no.]]</f>
        <v>900000</v>
      </c>
      <c r="B318" s="793" t="str">
        <f>Table1[[#This Row],[Commodity or group of commodities to which the MRLs apply]]</f>
        <v>SUGAR PLANTS</v>
      </c>
      <c r="C318" s="794">
        <f>Table1[[#This Row],[MRL/ proposed MRL /CXL
(mg/kg)]]</f>
        <v>0</v>
      </c>
      <c r="D318" s="795">
        <f>Table1[[#This Row],[Source of MRL]]</f>
        <v>0</v>
      </c>
      <c r="E318" s="797">
        <f>Table1[[#This Row],[Chronic RA input value]]</f>
        <v>0</v>
      </c>
      <c r="F318" s="795">
        <f>Table1[[#This Row],[Chronic RA label]]</f>
        <v>0</v>
      </c>
      <c r="G318" s="797">
        <f>Table1[[#This Row],[Acute RA input value]]</f>
        <v>0</v>
      </c>
      <c r="H318" s="836">
        <f>Table1[[#This Row],[Acute RA label]]</f>
        <v>0</v>
      </c>
      <c r="J318" s="553">
        <f>Table22[[#This Row],[Code no.]]</f>
        <v>900000</v>
      </c>
      <c r="K318" s="553" t="str">
        <f>Table22[[#This Row],[Commodity or group of commodities to which the MRLs apply]]</f>
        <v>SUGAR PLANTS</v>
      </c>
      <c r="L318" s="553">
        <f>Table22[[#This Row],[Source / type of MRL]]</f>
        <v>0</v>
      </c>
      <c r="M318" s="553">
        <f>Table22[[#This Row],[MRL/ proposed MRL /CXL
(mg/kg)]]</f>
        <v>0</v>
      </c>
      <c r="N318" s="553">
        <f>Table22[[#This Row],[LOQ]]</f>
        <v>0</v>
      </c>
      <c r="O318" s="553">
        <f>Table22[[#This Row],[CFrisk for residue definition]]</f>
        <v>0</v>
      </c>
      <c r="P318" s="553">
        <f>Table22[[#This Row],[PeF (peeling factor RD enforcemen)]]</f>
        <v>0</v>
      </c>
      <c r="Q318" s="553">
        <f>Table22[[#This Row],[STMR-RAC (median residue)]]</f>
        <v>0</v>
      </c>
      <c r="R318" s="553">
        <f>Table22[[#This Row],[HR-RAC (highest residue)]]</f>
        <v>0</v>
      </c>
      <c r="S318" s="553">
        <f>Table22[[#This Row],[VF (alternative variability factor)]]</f>
        <v>0</v>
      </c>
      <c r="T318" s="553">
        <f>Table22[[#This Row],[GAP under assessment]]</f>
        <v>0</v>
      </c>
      <c r="U318" s="553">
        <f>Table22[[#This Row],[Post-harvest treatment]]</f>
        <v>0</v>
      </c>
      <c r="V318" s="553"/>
      <c r="W318" s="553">
        <f>Table22[[#This Row],[Chronic RA input value]]</f>
        <v>0</v>
      </c>
      <c r="X318" s="1684"/>
      <c r="Y318" s="553">
        <f>Table22[[#This Row],[Acute RA input value]]</f>
        <v>0</v>
      </c>
      <c r="Z318" s="786">
        <f>SUM(Table1[[#This Row],[chronic value &lt;&gt;MRL/LOQ]:[acute vlue&lt;&gt;MRL/LOQ]])</f>
        <v>0</v>
      </c>
      <c r="AA318" s="786">
        <f>IF(AND($F$5="Refined calculation mode",Table1[[#This Row],[GAP under assessment]]="Y"),1,IF(OR(Table1[[#This Row],[Chronic RA label]]="LOQ",Table1[[#This Row],[Chronic RA label]]="",Table1[[#This Row],[Chronic RA label]]="MRL"),0,1))</f>
        <v>0</v>
      </c>
      <c r="AB318" s="787">
        <f>IF(OR(Table1[[#This Row],[Acute RA label]]="LOQ",Table1[[#This Row],[Acute RA label]]="",Table1[[#This Row],[Acute RA label]]="MRL"),0,1)</f>
        <v>0</v>
      </c>
    </row>
    <row r="319" spans="1:28" ht="13.5" hidden="1" thickTop="1" x14ac:dyDescent="0.2">
      <c r="A319" s="815">
        <f>Table1[[#This Row],[Code no.]]</f>
        <v>900010</v>
      </c>
      <c r="B319" s="793" t="str">
        <f>Table1[[#This Row],[Commodity or group of commodities to which the MRLs apply]]</f>
        <v>Sugar beet roots</v>
      </c>
      <c r="C319" s="794">
        <f>Table1[[#This Row],[MRL/ proposed MRL /CXL
(mg/kg)]]</f>
        <v>0</v>
      </c>
      <c r="D319" s="795">
        <f>Table1[[#This Row],[Source of MRL]]</f>
        <v>0</v>
      </c>
      <c r="E319" s="797">
        <f>Table1[[#This Row],[Chronic RA input value]]</f>
        <v>0</v>
      </c>
      <c r="F319" s="795" t="str">
        <f>Table1[[#This Row],[Chronic RA label]]</f>
        <v/>
      </c>
      <c r="G319" s="797">
        <f>Table1[[#This Row],[Acute RA input value]]</f>
        <v>0</v>
      </c>
      <c r="H319" s="836" t="str">
        <f>Table1[[#This Row],[Acute RA label]]</f>
        <v/>
      </c>
      <c r="J319" s="553">
        <f>Table22[[#This Row],[Code no.]]</f>
        <v>900010</v>
      </c>
      <c r="K319" s="553" t="str">
        <f>Table22[[#This Row],[Commodity or group of commodities to which the MRLs apply]]</f>
        <v>Sugar beet roots</v>
      </c>
      <c r="L319" s="553">
        <f>Table22[[#This Row],[Source / type of MRL]]</f>
        <v>0</v>
      </c>
      <c r="M319" s="553">
        <f>Table22[[#This Row],[MRL/ proposed MRL /CXL
(mg/kg)]]</f>
        <v>0</v>
      </c>
      <c r="N319" s="553">
        <f>Table22[[#This Row],[LOQ]]</f>
        <v>0</v>
      </c>
      <c r="O319" s="553">
        <f>Table22[[#This Row],[CFrisk for residue definition]]</f>
        <v>0</v>
      </c>
      <c r="P319" s="553">
        <f>Table22[[#This Row],[PeF (peeling factor RD enforcemen)]]</f>
        <v>0</v>
      </c>
      <c r="Q319" s="553">
        <f>Table22[[#This Row],[STMR-RAC (median residue)]]</f>
        <v>0</v>
      </c>
      <c r="R319" s="553">
        <f>Table22[[#This Row],[HR-RAC (highest residue)]]</f>
        <v>0</v>
      </c>
      <c r="S319" s="553">
        <f>Table22[[#This Row],[VF (alternative variability factor)]]</f>
        <v>0</v>
      </c>
      <c r="T319" s="553">
        <f>Table22[[#This Row],[GAP under assessment]]</f>
        <v>0</v>
      </c>
      <c r="U319" s="553">
        <f>Table22[[#This Row],[Post-harvest treatment]]</f>
        <v>0</v>
      </c>
      <c r="V319" s="553" t="str">
        <f>Table22[[#This Row],[Chronic RA label]]</f>
        <v/>
      </c>
      <c r="W319" s="553">
        <f>Table22[[#This Row],[Chronic RA input value]]</f>
        <v>0</v>
      </c>
      <c r="X319" s="1684" t="str">
        <f>Table22[[#This Row],[Acute RA label]]</f>
        <v/>
      </c>
      <c r="Y319" s="553">
        <f>Table22[[#This Row],[Acute RA input value]]</f>
        <v>0</v>
      </c>
      <c r="Z319" s="786">
        <f>SUM(Table1[[#This Row],[chronic value &lt;&gt;MRL/LOQ]:[acute vlue&lt;&gt;MRL/LOQ]])</f>
        <v>0</v>
      </c>
      <c r="AA319" s="786">
        <f>IF(AND($F$5="Refined calculation mode",Table1[[#This Row],[GAP under assessment]]="Y"),1,IF(OR(Table1[[#This Row],[Chronic RA label]]="LOQ",Table1[[#This Row],[Chronic RA label]]="",Table1[[#This Row],[Chronic RA label]]="MRL"),0,1))</f>
        <v>0</v>
      </c>
      <c r="AB319" s="787">
        <f>IF(OR(Table1[[#This Row],[Acute RA label]]="LOQ",Table1[[#This Row],[Acute RA label]]="",Table1[[#This Row],[Acute RA label]]="MRL"),0,1)</f>
        <v>0</v>
      </c>
    </row>
    <row r="320" spans="1:28" ht="13.5" hidden="1" thickTop="1" x14ac:dyDescent="0.2">
      <c r="A320" s="815">
        <f>Table1[[#This Row],[Code no.]]</f>
        <v>900020</v>
      </c>
      <c r="B320" s="793" t="str">
        <f>Table1[[#This Row],[Commodity or group of commodities to which the MRLs apply]]</f>
        <v>Sugar canes</v>
      </c>
      <c r="C320" s="794">
        <f>Table1[[#This Row],[MRL/ proposed MRL /CXL
(mg/kg)]]</f>
        <v>0</v>
      </c>
      <c r="D320" s="795">
        <f>Table1[[#This Row],[Source of MRL]]</f>
        <v>0</v>
      </c>
      <c r="E320" s="797">
        <f>Table1[[#This Row],[Chronic RA input value]]</f>
        <v>0</v>
      </c>
      <c r="F320" s="795" t="str">
        <f>Table1[[#This Row],[Chronic RA label]]</f>
        <v/>
      </c>
      <c r="G320" s="797">
        <f>Table1[[#This Row],[Acute RA input value]]</f>
        <v>0</v>
      </c>
      <c r="H320" s="836" t="str">
        <f>Table1[[#This Row],[Acute RA label]]</f>
        <v/>
      </c>
      <c r="J320" s="553">
        <f>Table22[[#This Row],[Code no.]]</f>
        <v>900020</v>
      </c>
      <c r="K320" s="553" t="str">
        <f>Table22[[#This Row],[Commodity or group of commodities to which the MRLs apply]]</f>
        <v>Sugar canes</v>
      </c>
      <c r="L320" s="553">
        <f>Table22[[#This Row],[Source / type of MRL]]</f>
        <v>0</v>
      </c>
      <c r="M320" s="553">
        <f>Table22[[#This Row],[MRL/ proposed MRL /CXL
(mg/kg)]]</f>
        <v>0</v>
      </c>
      <c r="N320" s="553">
        <f>Table22[[#This Row],[LOQ]]</f>
        <v>0</v>
      </c>
      <c r="O320" s="553">
        <f>Table22[[#This Row],[CFrisk for residue definition]]</f>
        <v>0</v>
      </c>
      <c r="P320" s="553">
        <f>Table22[[#This Row],[PeF (peeling factor RD enforcemen)]]</f>
        <v>0</v>
      </c>
      <c r="Q320" s="553">
        <f>Table22[[#This Row],[STMR-RAC (median residue)]]</f>
        <v>0</v>
      </c>
      <c r="R320" s="553">
        <f>Table22[[#This Row],[HR-RAC (highest residue)]]</f>
        <v>0</v>
      </c>
      <c r="S320" s="553">
        <f>Table22[[#This Row],[VF (alternative variability factor)]]</f>
        <v>0</v>
      </c>
      <c r="T320" s="553">
        <f>Table22[[#This Row],[GAP under assessment]]</f>
        <v>0</v>
      </c>
      <c r="U320" s="553">
        <f>Table22[[#This Row],[Post-harvest treatment]]</f>
        <v>0</v>
      </c>
      <c r="V320" s="553" t="str">
        <f>Table22[[#This Row],[Chronic RA label]]</f>
        <v/>
      </c>
      <c r="W320" s="553">
        <f>Table22[[#This Row],[Chronic RA input value]]</f>
        <v>0</v>
      </c>
      <c r="X320" s="1684" t="str">
        <f>Table22[[#This Row],[Acute RA label]]</f>
        <v/>
      </c>
      <c r="Y320" s="553">
        <f>Table22[[#This Row],[Acute RA input value]]</f>
        <v>0</v>
      </c>
      <c r="Z320" s="786">
        <f>SUM(Table1[[#This Row],[chronic value &lt;&gt;MRL/LOQ]:[acute vlue&lt;&gt;MRL/LOQ]])</f>
        <v>0</v>
      </c>
      <c r="AA320" s="786">
        <f>IF(AND($F$5="Refined calculation mode",Table1[[#This Row],[GAP under assessment]]="Y"),1,IF(OR(Table1[[#This Row],[Chronic RA label]]="LOQ",Table1[[#This Row],[Chronic RA label]]="",Table1[[#This Row],[Chronic RA label]]="MRL"),0,1))</f>
        <v>0</v>
      </c>
      <c r="AB320" s="787">
        <f>IF(OR(Table1[[#This Row],[Acute RA label]]="LOQ",Table1[[#This Row],[Acute RA label]]="",Table1[[#This Row],[Acute RA label]]="MRL"),0,1)</f>
        <v>0</v>
      </c>
    </row>
    <row r="321" spans="1:28" ht="13.5" hidden="1" thickTop="1" x14ac:dyDescent="0.2">
      <c r="A321" s="815">
        <f>Table1[[#This Row],[Code no.]]</f>
        <v>900030</v>
      </c>
      <c r="B321" s="793" t="str">
        <f>Table1[[#This Row],[Commodity or group of commodities to which the MRLs apply]]</f>
        <v>Chicory roots</v>
      </c>
      <c r="C321" s="794">
        <f>Table1[[#This Row],[MRL/ proposed MRL /CXL
(mg/kg)]]</f>
        <v>0</v>
      </c>
      <c r="D321" s="795">
        <f>Table1[[#This Row],[Source of MRL]]</f>
        <v>0</v>
      </c>
      <c r="E321" s="797">
        <f>Table1[[#This Row],[Chronic RA input value]]</f>
        <v>0</v>
      </c>
      <c r="F321" s="795" t="str">
        <f>Table1[[#This Row],[Chronic RA label]]</f>
        <v/>
      </c>
      <c r="G321" s="797">
        <f>Table1[[#This Row],[Acute RA input value]]</f>
        <v>0</v>
      </c>
      <c r="H321" s="836" t="str">
        <f>Table1[[#This Row],[Acute RA label]]</f>
        <v/>
      </c>
      <c r="J321" s="553">
        <f>Table22[[#This Row],[Code no.]]</f>
        <v>900030</v>
      </c>
      <c r="K321" s="553" t="str">
        <f>Table22[[#This Row],[Commodity or group of commodities to which the MRLs apply]]</f>
        <v>Chicory roots</v>
      </c>
      <c r="L321" s="553">
        <f>Table22[[#This Row],[Source / type of MRL]]</f>
        <v>0</v>
      </c>
      <c r="M321" s="553">
        <f>Table22[[#This Row],[MRL/ proposed MRL /CXL
(mg/kg)]]</f>
        <v>0</v>
      </c>
      <c r="N321" s="553">
        <f>Table22[[#This Row],[LOQ]]</f>
        <v>0</v>
      </c>
      <c r="O321" s="553">
        <f>Table22[[#This Row],[CFrisk for residue definition]]</f>
        <v>0</v>
      </c>
      <c r="P321" s="553">
        <f>Table22[[#This Row],[PeF (peeling factor RD enforcemen)]]</f>
        <v>0</v>
      </c>
      <c r="Q321" s="553">
        <f>Table22[[#This Row],[STMR-RAC (median residue)]]</f>
        <v>0</v>
      </c>
      <c r="R321" s="553">
        <f>Table22[[#This Row],[HR-RAC (highest residue)]]</f>
        <v>0</v>
      </c>
      <c r="S321" s="553">
        <f>Table22[[#This Row],[VF (alternative variability factor)]]</f>
        <v>0</v>
      </c>
      <c r="T321" s="553">
        <f>Table22[[#This Row],[GAP under assessment]]</f>
        <v>0</v>
      </c>
      <c r="U321" s="553">
        <f>Table22[[#This Row],[Post-harvest treatment]]</f>
        <v>0</v>
      </c>
      <c r="V321" s="553" t="str">
        <f>Table22[[#This Row],[Chronic RA label]]</f>
        <v/>
      </c>
      <c r="W321" s="553">
        <f>Table22[[#This Row],[Chronic RA input value]]</f>
        <v>0</v>
      </c>
      <c r="X321" s="1684" t="str">
        <f>Table22[[#This Row],[Acute RA label]]</f>
        <v/>
      </c>
      <c r="Y321" s="553">
        <f>Table22[[#This Row],[Acute RA input value]]</f>
        <v>0</v>
      </c>
      <c r="Z321" s="786">
        <f>SUM(Table1[[#This Row],[chronic value &lt;&gt;MRL/LOQ]:[acute vlue&lt;&gt;MRL/LOQ]])</f>
        <v>0</v>
      </c>
      <c r="AA321" s="786">
        <f>IF(AND($F$5="Refined calculation mode",Table1[[#This Row],[GAP under assessment]]="Y"),1,IF(OR(Table1[[#This Row],[Chronic RA label]]="LOQ",Table1[[#This Row],[Chronic RA label]]="",Table1[[#This Row],[Chronic RA label]]="MRL"),0,1))</f>
        <v>0</v>
      </c>
      <c r="AB321" s="787">
        <f>IF(OR(Table1[[#This Row],[Acute RA label]]="LOQ",Table1[[#This Row],[Acute RA label]]="",Table1[[#This Row],[Acute RA label]]="MRL"),0,1)</f>
        <v>0</v>
      </c>
    </row>
    <row r="322" spans="1:28" ht="13.5" hidden="1" thickTop="1" x14ac:dyDescent="0.2">
      <c r="A322" s="815">
        <f>Table1[[#This Row],[Code no.]]</f>
        <v>900990</v>
      </c>
      <c r="B322" s="793" t="str">
        <f>Table1[[#This Row],[Commodity or group of commodities to which the MRLs apply]]</f>
        <v>Other sugar plants</v>
      </c>
      <c r="C322" s="794">
        <f>Table1[[#This Row],[MRL/ proposed MRL /CXL
(mg/kg)]]</f>
        <v>0</v>
      </c>
      <c r="D322" s="795">
        <f>Table1[[#This Row],[Source of MRL]]</f>
        <v>0</v>
      </c>
      <c r="E322" s="797">
        <f>Table1[[#This Row],[Chronic RA input value]]</f>
        <v>0</v>
      </c>
      <c r="F322" s="795" t="str">
        <f>Table1[[#This Row],[Chronic RA label]]</f>
        <v/>
      </c>
      <c r="G322" s="797">
        <f>Table1[[#This Row],[Acute RA input value]]</f>
        <v>0</v>
      </c>
      <c r="H322" s="836">
        <f>Table1[[#This Row],[Acute RA label]]</f>
        <v>0</v>
      </c>
      <c r="J322" s="553">
        <f>Table22[[#This Row],[Code no.]]</f>
        <v>900990</v>
      </c>
      <c r="K322" s="553" t="str">
        <f>Table22[[#This Row],[Commodity or group of commodities to which the MRLs apply]]</f>
        <v>Other sugar plants</v>
      </c>
      <c r="L322" s="553">
        <f>Table22[[#This Row],[Source / type of MRL]]</f>
        <v>0</v>
      </c>
      <c r="M322" s="553">
        <f>Table22[[#This Row],[MRL/ proposed MRL /CXL
(mg/kg)]]</f>
        <v>0</v>
      </c>
      <c r="N322" s="553">
        <f>Table22[[#This Row],[LOQ]]</f>
        <v>0</v>
      </c>
      <c r="O322" s="553">
        <f>Table22[[#This Row],[CFrisk for residue definition]]</f>
        <v>0</v>
      </c>
      <c r="P322" s="553">
        <f>Table22[[#This Row],[PeF (peeling factor RD enforcemen)]]</f>
        <v>0</v>
      </c>
      <c r="Q322" s="553">
        <f>Table22[[#This Row],[STMR-RAC (median residue)]]</f>
        <v>0</v>
      </c>
      <c r="R322" s="553">
        <f>Table22[[#This Row],[HR-RAC (highest residue)]]</f>
        <v>0</v>
      </c>
      <c r="S322" s="553">
        <f>Table22[[#This Row],[VF (alternative variability factor)]]</f>
        <v>0</v>
      </c>
      <c r="T322" s="553">
        <f>Table22[[#This Row],[GAP under assessment]]</f>
        <v>0</v>
      </c>
      <c r="U322" s="553">
        <f>Table22[[#This Row],[Post-harvest treatment]]</f>
        <v>0</v>
      </c>
      <c r="V322" s="553" t="str">
        <f>Table22[[#This Row],[Chronic RA label]]</f>
        <v/>
      </c>
      <c r="W322" s="553">
        <f>Table22[[#This Row],[Chronic RA input value]]</f>
        <v>0</v>
      </c>
      <c r="X322" s="1684"/>
      <c r="Y322" s="553">
        <f>Table22[[#This Row],[Acute RA input value]]</f>
        <v>0</v>
      </c>
      <c r="Z322" s="786">
        <f>SUM(Table1[[#This Row],[chronic value &lt;&gt;MRL/LOQ]:[acute vlue&lt;&gt;MRL/LOQ]])</f>
        <v>0</v>
      </c>
      <c r="AA322" s="786">
        <f>IF(AND($F$5="Refined calculation mode",Table1[[#This Row],[GAP under assessment]]="Y"),1,IF(OR(Table1[[#This Row],[Chronic RA label]]="LOQ",Table1[[#This Row],[Chronic RA label]]="",Table1[[#This Row],[Chronic RA label]]="MRL"),0,1))</f>
        <v>0</v>
      </c>
      <c r="AB322" s="787">
        <f>IF(OR(Table1[[#This Row],[Acute RA label]]="LOQ",Table1[[#This Row],[Acute RA label]]="",Table1[[#This Row],[Acute RA label]]="MRL"),0,1)</f>
        <v>0</v>
      </c>
    </row>
    <row r="323" spans="1:28" ht="42.75" hidden="1" thickTop="1" x14ac:dyDescent="0.2">
      <c r="A323" s="815">
        <f>Table1[[#This Row],[Code no.]]</f>
        <v>1000000</v>
      </c>
      <c r="B323" s="793" t="str">
        <f>Table1[[#This Row],[Commodity or group of commodities to which the MRLs apply]]</f>
        <v>PRODUCTS OF ANIMAL ORIGIN
-TERRESTRIAL ANIMALS</v>
      </c>
      <c r="C323" s="794">
        <f>Table1[[#This Row],[MRL/ proposed MRL /CXL
(mg/kg)]]</f>
        <v>0</v>
      </c>
      <c r="D323" s="795">
        <f>Table1[[#This Row],[Source of MRL]]</f>
        <v>0</v>
      </c>
      <c r="E323" s="797">
        <f>Table1[[#This Row],[Chronic RA input value]]</f>
        <v>0</v>
      </c>
      <c r="F323" s="795">
        <f>Table1[[#This Row],[Chronic RA label]]</f>
        <v>0</v>
      </c>
      <c r="G323" s="797">
        <f>Table1[[#This Row],[Acute RA input value]]</f>
        <v>0</v>
      </c>
      <c r="H323" s="836">
        <f>Table1[[#This Row],[Acute RA label]]</f>
        <v>0</v>
      </c>
      <c r="J323" s="553">
        <f>Table22[[#This Row],[Code no.]]</f>
        <v>1000000</v>
      </c>
      <c r="K323" s="553" t="str">
        <f>Table22[[#This Row],[Commodity or group of commodities to which the MRLs apply]]</f>
        <v>PRODUCTS OF ANIMAL ORIGIN
-TERRESTRIAL ANIMALS</v>
      </c>
      <c r="L323" s="553">
        <f>Table22[[#This Row],[Source / type of MRL]]</f>
        <v>0</v>
      </c>
      <c r="M323" s="553">
        <f>Table22[[#This Row],[MRL/ proposed MRL /CXL
(mg/kg)]]</f>
        <v>0</v>
      </c>
      <c r="N323" s="553">
        <f>Table22[[#This Row],[LOQ]]</f>
        <v>0</v>
      </c>
      <c r="O323" s="553">
        <f>Table22[[#This Row],[CFrisk for residue definition]]</f>
        <v>0</v>
      </c>
      <c r="P323" s="553">
        <f>Table22[[#This Row],[PeF (peeling factor RD enforcemen)]]</f>
        <v>0</v>
      </c>
      <c r="Q323" s="553">
        <f>Table22[[#This Row],[STMR-RAC (median residue)]]</f>
        <v>0</v>
      </c>
      <c r="R323" s="553">
        <f>Table22[[#This Row],[HR-RAC (highest residue)]]</f>
        <v>0</v>
      </c>
      <c r="S323" s="553">
        <f>Table22[[#This Row],[VF (alternative variability factor)]]</f>
        <v>0</v>
      </c>
      <c r="T323" s="553">
        <f>Table22[[#This Row],[GAP under assessment]]</f>
        <v>0</v>
      </c>
      <c r="U323" s="553">
        <f>Table22[[#This Row],[Post-harvest treatment]]</f>
        <v>0</v>
      </c>
      <c r="V323" s="553"/>
      <c r="W323" s="553">
        <f>Table22[[#This Row],[Chronic RA input value]]</f>
        <v>0</v>
      </c>
      <c r="X323" s="1684"/>
      <c r="Y323" s="553">
        <f>Table22[[#This Row],[Acute RA input value]]</f>
        <v>0</v>
      </c>
      <c r="Z323" s="786">
        <f>SUM(Table1[[#This Row],[chronic value &lt;&gt;MRL/LOQ]:[acute vlue&lt;&gt;MRL/LOQ]])</f>
        <v>0</v>
      </c>
      <c r="AA323" s="786">
        <f>IF(AND($F$5="Refined calculation mode",Table1[[#This Row],[GAP under assessment]]="Y"),1,IF(OR(Table1[[#This Row],[Chronic RA label]]="LOQ",Table1[[#This Row],[Chronic RA label]]="",Table1[[#This Row],[Chronic RA label]]="MRL"),0,1))</f>
        <v>0</v>
      </c>
      <c r="AB323" s="787">
        <f>IF(OR(Table1[[#This Row],[Acute RA label]]="LOQ",Table1[[#This Row],[Acute RA label]]="",Table1[[#This Row],[Acute RA label]]="MRL"),0,1)</f>
        <v>0</v>
      </c>
    </row>
    <row r="324" spans="1:28" ht="13.5" hidden="1" thickTop="1" x14ac:dyDescent="0.2">
      <c r="A324" s="815">
        <f>Table1[[#This Row],[Code no.]]</f>
        <v>1010000</v>
      </c>
      <c r="B324" s="793" t="str">
        <f>Table1[[#This Row],[Commodity or group of commodities to which the MRLs apply]]</f>
        <v>Tissue</v>
      </c>
      <c r="C324" s="794">
        <f>Table1[[#This Row],[MRL/ proposed MRL /CXL
(mg/kg)]]</f>
        <v>0</v>
      </c>
      <c r="D324" s="795">
        <f>Table1[[#This Row],[Source of MRL]]</f>
        <v>0</v>
      </c>
      <c r="E324" s="797">
        <f>Table1[[#This Row],[Chronic RA input value]]</f>
        <v>0</v>
      </c>
      <c r="F324" s="795">
        <f>Table1[[#This Row],[Chronic RA label]]</f>
        <v>0</v>
      </c>
      <c r="G324" s="797">
        <f>Table1[[#This Row],[Acute RA input value]]</f>
        <v>0</v>
      </c>
      <c r="H324" s="836">
        <f>Table1[[#This Row],[Acute RA label]]</f>
        <v>0</v>
      </c>
      <c r="J324" s="553">
        <f>Table22[[#This Row],[Code no.]]</f>
        <v>1010000</v>
      </c>
      <c r="K324" s="553" t="str">
        <f>Table22[[#This Row],[Commodity or group of commodities to which the MRLs apply]]</f>
        <v>Tissue</v>
      </c>
      <c r="L324" s="553">
        <f>Table22[[#This Row],[Source / type of MRL]]</f>
        <v>0</v>
      </c>
      <c r="M324" s="553">
        <f>Table22[[#This Row],[MRL/ proposed MRL /CXL
(mg/kg)]]</f>
        <v>0</v>
      </c>
      <c r="N324" s="553">
        <f>Table22[[#This Row],[LOQ]]</f>
        <v>0</v>
      </c>
      <c r="O324" s="553">
        <f>Table22[[#This Row],[CFrisk for residue definition]]</f>
        <v>0</v>
      </c>
      <c r="P324" s="553">
        <f>Table22[[#This Row],[PeF (peeling factor RD enforcemen)]]</f>
        <v>0</v>
      </c>
      <c r="Q324" s="553">
        <f>Table22[[#This Row],[STMR-RAC (median residue)]]</f>
        <v>0</v>
      </c>
      <c r="R324" s="553">
        <f>Table22[[#This Row],[HR-RAC (highest residue)]]</f>
        <v>0</v>
      </c>
      <c r="S324" s="553">
        <f>Table22[[#This Row],[VF (alternative variability factor)]]</f>
        <v>0</v>
      </c>
      <c r="T324" s="553">
        <f>Table22[[#This Row],[GAP under assessment]]</f>
        <v>0</v>
      </c>
      <c r="U324" s="553">
        <f>Table22[[#This Row],[Post-harvest treatment]]</f>
        <v>0</v>
      </c>
      <c r="V324" s="553"/>
      <c r="W324" s="553">
        <f>Table22[[#This Row],[Chronic RA input value]]</f>
        <v>0</v>
      </c>
      <c r="X324" s="1684"/>
      <c r="Y324" s="553">
        <f>Table22[[#This Row],[Acute RA input value]]</f>
        <v>0</v>
      </c>
      <c r="Z324" s="786">
        <f>SUM(Table1[[#This Row],[chronic value &lt;&gt;MRL/LOQ]:[acute vlue&lt;&gt;MRL/LOQ]])</f>
        <v>0</v>
      </c>
      <c r="AA324" s="786">
        <f>IF(AND($F$5="Refined calculation mode",Table1[[#This Row],[GAP under assessment]]="Y"),1,IF(OR(Table1[[#This Row],[Chronic RA label]]="LOQ",Table1[[#This Row],[Chronic RA label]]="",Table1[[#This Row],[Chronic RA label]]="MRL"),0,1))</f>
        <v>0</v>
      </c>
      <c r="AB324" s="787">
        <f>IF(OR(Table1[[#This Row],[Acute RA label]]="LOQ",Table1[[#This Row],[Acute RA label]]="",Table1[[#This Row],[Acute RA label]]="MRL"),0,1)</f>
        <v>0</v>
      </c>
    </row>
    <row r="325" spans="1:28" ht="13.5" hidden="1" thickTop="1" x14ac:dyDescent="0.2">
      <c r="A325" s="815">
        <f>Table1[[#This Row],[Code no.]]</f>
        <v>1011000</v>
      </c>
      <c r="B325" s="793" t="str">
        <f>Table1[[#This Row],[Commodity or group of commodities to which the MRLs apply]]</f>
        <v xml:space="preserve">Swine </v>
      </c>
      <c r="C325" s="794">
        <f>Table1[[#This Row],[MRL/ proposed MRL /CXL
(mg/kg)]]</f>
        <v>0</v>
      </c>
      <c r="D325" s="795">
        <f>Table1[[#This Row],[Source of MRL]]</f>
        <v>0</v>
      </c>
      <c r="E325" s="797">
        <f>Table1[[#This Row],[Chronic RA input value]]</f>
        <v>0</v>
      </c>
      <c r="F325" s="795">
        <f>Table1[[#This Row],[Chronic RA label]]</f>
        <v>0</v>
      </c>
      <c r="G325" s="797">
        <f>Table1[[#This Row],[Acute RA input value]]</f>
        <v>0</v>
      </c>
      <c r="H325" s="836">
        <f>Table1[[#This Row],[Acute RA label]]</f>
        <v>0</v>
      </c>
      <c r="J325" s="553">
        <f>Table22[[#This Row],[Code no.]]</f>
        <v>1011000</v>
      </c>
      <c r="K325" s="553" t="str">
        <f>Table22[[#This Row],[Commodity or group of commodities to which the MRLs apply]]</f>
        <v xml:space="preserve">Swine </v>
      </c>
      <c r="L325" s="553">
        <f>Table22[[#This Row],[Source / type of MRL]]</f>
        <v>0</v>
      </c>
      <c r="M325" s="553">
        <f>Table22[[#This Row],[MRL/ proposed MRL /CXL
(mg/kg)]]</f>
        <v>0</v>
      </c>
      <c r="N325" s="553">
        <f>Table22[[#This Row],[LOQ]]</f>
        <v>0</v>
      </c>
      <c r="O325" s="553">
        <f>Table22[[#This Row],[CFrisk for residue definition]]</f>
        <v>0</v>
      </c>
      <c r="P325" s="553">
        <f>Table22[[#This Row],[PeF (peeling factor RD enforcemen)]]</f>
        <v>0</v>
      </c>
      <c r="Q325" s="553">
        <f>Table22[[#This Row],[STMR-RAC (median residue)]]</f>
        <v>0</v>
      </c>
      <c r="R325" s="553">
        <f>Table22[[#This Row],[HR-RAC (highest residue)]]</f>
        <v>0</v>
      </c>
      <c r="S325" s="553">
        <f>Table22[[#This Row],[VF (alternative variability factor)]]</f>
        <v>0</v>
      </c>
      <c r="T325" s="553">
        <f>Table22[[#This Row],[GAP under assessment]]</f>
        <v>0</v>
      </c>
      <c r="U325" s="553">
        <f>Table22[[#This Row],[Post-harvest treatment]]</f>
        <v>0</v>
      </c>
      <c r="V325" s="553"/>
      <c r="W325" s="553">
        <f>Table22[[#This Row],[Chronic RA input value]]</f>
        <v>0</v>
      </c>
      <c r="X325" s="1684"/>
      <c r="Y325" s="553">
        <f>Table22[[#This Row],[Acute RA input value]]</f>
        <v>0</v>
      </c>
      <c r="Z325" s="786">
        <f>SUM(Table1[[#This Row],[chronic value &lt;&gt;MRL/LOQ]:[acute vlue&lt;&gt;MRL/LOQ]])</f>
        <v>0</v>
      </c>
      <c r="AA325" s="786">
        <f>IF(AND($F$5="Refined calculation mode",Table1[[#This Row],[GAP under assessment]]="Y"),1,IF(OR(Table1[[#This Row],[Chronic RA label]]="LOQ",Table1[[#This Row],[Chronic RA label]]="",Table1[[#This Row],[Chronic RA label]]="MRL"),0,1))</f>
        <v>0</v>
      </c>
      <c r="AB325" s="787">
        <f>IF(OR(Table1[[#This Row],[Acute RA label]]="LOQ",Table1[[#This Row],[Acute RA label]]="",Table1[[#This Row],[Acute RA label]]="MRL"),0,1)</f>
        <v>0</v>
      </c>
    </row>
    <row r="326" spans="1:28" ht="13.5" hidden="1" thickTop="1" x14ac:dyDescent="0.2">
      <c r="A326" s="815">
        <f>Table1[[#This Row],[Code no.]]</f>
        <v>1011010</v>
      </c>
      <c r="B326" s="793" t="str">
        <f>Table1[[#This Row],[Commodity or group of commodities to which the MRLs apply]]</f>
        <v>Swine: Muscle/meat</v>
      </c>
      <c r="C326" s="794">
        <f>Table1[[#This Row],[MRL/ proposed MRL /CXL
(mg/kg)]]</f>
        <v>0</v>
      </c>
      <c r="D326" s="795">
        <f>Table1[[#This Row],[Source of MRL]]</f>
        <v>0</v>
      </c>
      <c r="E326" s="797">
        <f>Table1[[#This Row],[Chronic RA input value]]</f>
        <v>0</v>
      </c>
      <c r="F326" s="795" t="str">
        <f>Table1[[#This Row],[Chronic RA label]]</f>
        <v/>
      </c>
      <c r="G326" s="797">
        <f>Table1[[#This Row],[Acute RA input value]]</f>
        <v>0</v>
      </c>
      <c r="H326" s="836" t="str">
        <f>Table1[[#This Row],[Acute RA label]]</f>
        <v/>
      </c>
      <c r="J326" s="553">
        <f>Table22[[#This Row],[Code no.]]</f>
        <v>1011010</v>
      </c>
      <c r="K326" s="553" t="str">
        <f>Table22[[#This Row],[Commodity or group of commodities to which the MRLs apply]]</f>
        <v>Swine: Muscle/meat</v>
      </c>
      <c r="L326" s="553">
        <f>Table22[[#This Row],[Source / type of MRL]]</f>
        <v>0</v>
      </c>
      <c r="M326" s="553">
        <f>Table22[[#This Row],[MRL/ proposed MRL /CXL
(mg/kg)]]</f>
        <v>0</v>
      </c>
      <c r="N326" s="553">
        <f>Table22[[#This Row],[LOQ]]</f>
        <v>0</v>
      </c>
      <c r="O326" s="553">
        <f>Table22[[#This Row],[CFrisk for residue definition]]</f>
        <v>0</v>
      </c>
      <c r="P326" s="553">
        <f>Table22[[#This Row],[PeF (peeling factor RD enforcemen)]]</f>
        <v>0</v>
      </c>
      <c r="Q326" s="553">
        <f>Table22[[#This Row],[STMR-RAC (median residue)]]</f>
        <v>0</v>
      </c>
      <c r="R326" s="553">
        <f>Table22[[#This Row],[HR-RAC (highest residue)]]</f>
        <v>0</v>
      </c>
      <c r="S326" s="553">
        <f>Table22[[#This Row],[VF (alternative variability factor)]]</f>
        <v>0</v>
      </c>
      <c r="T326" s="553">
        <f>Table22[[#This Row],[GAP under assessment]]</f>
        <v>0</v>
      </c>
      <c r="U326" s="553">
        <f>Table22[[#This Row],[Post-harvest treatment]]</f>
        <v>0</v>
      </c>
      <c r="V326" s="553" t="str">
        <f>Table22[[#This Row],[Chronic RA label]]</f>
        <v/>
      </c>
      <c r="W326" s="553">
        <f>Table22[[#This Row],[Chronic RA input value]]</f>
        <v>0</v>
      </c>
      <c r="X326" s="1684" t="str">
        <f>Table22[[#This Row],[Acute RA label]]</f>
        <v/>
      </c>
      <c r="Y326" s="553">
        <f>Table22[[#This Row],[Acute RA input value]]</f>
        <v>0</v>
      </c>
      <c r="Z326" s="786">
        <f>SUM(Table1[[#This Row],[chronic value &lt;&gt;MRL/LOQ]:[acute vlue&lt;&gt;MRL/LOQ]])</f>
        <v>0</v>
      </c>
      <c r="AA326" s="786">
        <f>IF(AND($F$5="Refined calculation mode",Table1[[#This Row],[GAP under assessment]]="Y"),1,IF(OR(Table1[[#This Row],[Chronic RA label]]="LOQ",Table1[[#This Row],[Chronic RA label]]="",Table1[[#This Row],[Chronic RA label]]="MRL"),0,1))</f>
        <v>0</v>
      </c>
      <c r="AB326" s="787">
        <f>IF(OR(Table1[[#This Row],[Acute RA label]]="LOQ",Table1[[#This Row],[Acute RA label]]="",Table1[[#This Row],[Acute RA label]]="MRL"),0,1)</f>
        <v>0</v>
      </c>
    </row>
    <row r="327" spans="1:28" ht="13.5" hidden="1" thickTop="1" x14ac:dyDescent="0.2">
      <c r="A327" s="815">
        <f>Table1[[#This Row],[Code no.]]</f>
        <v>1011020</v>
      </c>
      <c r="B327" s="793" t="str">
        <f>Table1[[#This Row],[Commodity or group of commodities to which the MRLs apply]]</f>
        <v>Swine: Fat tissue</v>
      </c>
      <c r="C327" s="794">
        <f>Table1[[#This Row],[MRL/ proposed MRL /CXL
(mg/kg)]]</f>
        <v>0</v>
      </c>
      <c r="D327" s="795">
        <f>Table1[[#This Row],[Source of MRL]]</f>
        <v>0</v>
      </c>
      <c r="E327" s="797">
        <f>Table1[[#This Row],[Chronic RA input value]]</f>
        <v>0</v>
      </c>
      <c r="F327" s="795" t="str">
        <f>Table1[[#This Row],[Chronic RA label]]</f>
        <v/>
      </c>
      <c r="G327" s="797">
        <f>Table1[[#This Row],[Acute RA input value]]</f>
        <v>0</v>
      </c>
      <c r="H327" s="836" t="str">
        <f>Table1[[#This Row],[Acute RA label]]</f>
        <v/>
      </c>
      <c r="J327" s="553">
        <f>Table22[[#This Row],[Code no.]]</f>
        <v>1011020</v>
      </c>
      <c r="K327" s="553" t="str">
        <f>Table22[[#This Row],[Commodity or group of commodities to which the MRLs apply]]</f>
        <v>Swine: Fat tissue</v>
      </c>
      <c r="L327" s="553">
        <f>Table22[[#This Row],[Source / type of MRL]]</f>
        <v>0</v>
      </c>
      <c r="M327" s="553">
        <f>Table22[[#This Row],[MRL/ proposed MRL /CXL
(mg/kg)]]</f>
        <v>0</v>
      </c>
      <c r="N327" s="553">
        <f>Table22[[#This Row],[LOQ]]</f>
        <v>0</v>
      </c>
      <c r="O327" s="553">
        <f>Table22[[#This Row],[CFrisk for residue definition]]</f>
        <v>0</v>
      </c>
      <c r="P327" s="553">
        <f>Table22[[#This Row],[PeF (peeling factor RD enforcemen)]]</f>
        <v>0</v>
      </c>
      <c r="Q327" s="553">
        <f>Table22[[#This Row],[STMR-RAC (median residue)]]</f>
        <v>0</v>
      </c>
      <c r="R327" s="553">
        <f>Table22[[#This Row],[HR-RAC (highest residue)]]</f>
        <v>0</v>
      </c>
      <c r="S327" s="553">
        <f>Table22[[#This Row],[VF (alternative variability factor)]]</f>
        <v>0</v>
      </c>
      <c r="T327" s="553">
        <f>Table22[[#This Row],[GAP under assessment]]</f>
        <v>0</v>
      </c>
      <c r="U327" s="553">
        <f>Table22[[#This Row],[Post-harvest treatment]]</f>
        <v>0</v>
      </c>
      <c r="V327" s="553" t="str">
        <f>Table22[[#This Row],[Chronic RA label]]</f>
        <v/>
      </c>
      <c r="W327" s="553">
        <f>Table22[[#This Row],[Chronic RA input value]]</f>
        <v>0</v>
      </c>
      <c r="X327" s="1684" t="str">
        <f>Table22[[#This Row],[Acute RA label]]</f>
        <v/>
      </c>
      <c r="Y327" s="553">
        <f>Table22[[#This Row],[Acute RA input value]]</f>
        <v>0</v>
      </c>
      <c r="Z327" s="786">
        <f>SUM(Table1[[#This Row],[chronic value &lt;&gt;MRL/LOQ]:[acute vlue&lt;&gt;MRL/LOQ]])</f>
        <v>0</v>
      </c>
      <c r="AA327" s="786">
        <f>IF(AND($F$5="Refined calculation mode",Table1[[#This Row],[GAP under assessment]]="Y"),1,IF(OR(Table1[[#This Row],[Chronic RA label]]="LOQ",Table1[[#This Row],[Chronic RA label]]="",Table1[[#This Row],[Chronic RA label]]="MRL"),0,1))</f>
        <v>0</v>
      </c>
      <c r="AB327" s="787">
        <f>IF(OR(Table1[[#This Row],[Acute RA label]]="LOQ",Table1[[#This Row],[Acute RA label]]="",Table1[[#This Row],[Acute RA label]]="MRL"),0,1)</f>
        <v>0</v>
      </c>
    </row>
    <row r="328" spans="1:28" ht="13.5" hidden="1" thickTop="1" x14ac:dyDescent="0.2">
      <c r="A328" s="815">
        <f>Table1[[#This Row],[Code no.]]</f>
        <v>1011030</v>
      </c>
      <c r="B328" s="793" t="str">
        <f>Table1[[#This Row],[Commodity or group of commodities to which the MRLs apply]]</f>
        <v>Swine: Liver</v>
      </c>
      <c r="C328" s="794">
        <f>Table1[[#This Row],[MRL/ proposed MRL /CXL
(mg/kg)]]</f>
        <v>0</v>
      </c>
      <c r="D328" s="795">
        <f>Table1[[#This Row],[Source of MRL]]</f>
        <v>0</v>
      </c>
      <c r="E328" s="797">
        <f>Table1[[#This Row],[Chronic RA input value]]</f>
        <v>0</v>
      </c>
      <c r="F328" s="795" t="str">
        <f>Table1[[#This Row],[Chronic RA label]]</f>
        <v/>
      </c>
      <c r="G328" s="797">
        <f>Table1[[#This Row],[Acute RA input value]]</f>
        <v>0</v>
      </c>
      <c r="H328" s="836" t="str">
        <f>Table1[[#This Row],[Acute RA label]]</f>
        <v/>
      </c>
      <c r="J328" s="553">
        <f>Table22[[#This Row],[Code no.]]</f>
        <v>1011030</v>
      </c>
      <c r="K328" s="553" t="str">
        <f>Table22[[#This Row],[Commodity or group of commodities to which the MRLs apply]]</f>
        <v>Swine: Liver</v>
      </c>
      <c r="L328" s="553">
        <f>Table22[[#This Row],[Source / type of MRL]]</f>
        <v>0</v>
      </c>
      <c r="M328" s="553">
        <f>Table22[[#This Row],[MRL/ proposed MRL /CXL
(mg/kg)]]</f>
        <v>0</v>
      </c>
      <c r="N328" s="553">
        <f>Table22[[#This Row],[LOQ]]</f>
        <v>0</v>
      </c>
      <c r="O328" s="553">
        <f>Table22[[#This Row],[CFrisk for residue definition]]</f>
        <v>0</v>
      </c>
      <c r="P328" s="553">
        <f>Table22[[#This Row],[PeF (peeling factor RD enforcemen)]]</f>
        <v>0</v>
      </c>
      <c r="Q328" s="553">
        <f>Table22[[#This Row],[STMR-RAC (median residue)]]</f>
        <v>0</v>
      </c>
      <c r="R328" s="553">
        <f>Table22[[#This Row],[HR-RAC (highest residue)]]</f>
        <v>0</v>
      </c>
      <c r="S328" s="553">
        <f>Table22[[#This Row],[VF (alternative variability factor)]]</f>
        <v>0</v>
      </c>
      <c r="T328" s="553">
        <f>Table22[[#This Row],[GAP under assessment]]</f>
        <v>0</v>
      </c>
      <c r="U328" s="553">
        <f>Table22[[#This Row],[Post-harvest treatment]]</f>
        <v>0</v>
      </c>
      <c r="V328" s="553" t="str">
        <f>Table22[[#This Row],[Chronic RA label]]</f>
        <v/>
      </c>
      <c r="W328" s="553">
        <f>Table22[[#This Row],[Chronic RA input value]]</f>
        <v>0</v>
      </c>
      <c r="X328" s="1684" t="str">
        <f>Table22[[#This Row],[Acute RA label]]</f>
        <v/>
      </c>
      <c r="Y328" s="553">
        <f>Table22[[#This Row],[Acute RA input value]]</f>
        <v>0</v>
      </c>
      <c r="Z328" s="786">
        <f>SUM(Table1[[#This Row],[chronic value &lt;&gt;MRL/LOQ]:[acute vlue&lt;&gt;MRL/LOQ]])</f>
        <v>0</v>
      </c>
      <c r="AA328" s="786">
        <f>IF(AND($F$5="Refined calculation mode",Table1[[#This Row],[GAP under assessment]]="Y"),1,IF(OR(Table1[[#This Row],[Chronic RA label]]="LOQ",Table1[[#This Row],[Chronic RA label]]="",Table1[[#This Row],[Chronic RA label]]="MRL"),0,1))</f>
        <v>0</v>
      </c>
      <c r="AB328" s="787">
        <f>IF(OR(Table1[[#This Row],[Acute RA label]]="LOQ",Table1[[#This Row],[Acute RA label]]="",Table1[[#This Row],[Acute RA label]]="MRL"),0,1)</f>
        <v>0</v>
      </c>
    </row>
    <row r="329" spans="1:28" ht="13.5" hidden="1" thickTop="1" x14ac:dyDescent="0.2">
      <c r="A329" s="815">
        <f>Table1[[#This Row],[Code no.]]</f>
        <v>1011040</v>
      </c>
      <c r="B329" s="793" t="str">
        <f>Table1[[#This Row],[Commodity or group of commodities to which the MRLs apply]]</f>
        <v>Swine: Kidney</v>
      </c>
      <c r="C329" s="794">
        <f>Table1[[#This Row],[MRL/ proposed MRL /CXL
(mg/kg)]]</f>
        <v>0</v>
      </c>
      <c r="D329" s="795">
        <f>Table1[[#This Row],[Source of MRL]]</f>
        <v>0</v>
      </c>
      <c r="E329" s="797">
        <f>Table1[[#This Row],[Chronic RA input value]]</f>
        <v>0</v>
      </c>
      <c r="F329" s="795" t="str">
        <f>Table1[[#This Row],[Chronic RA label]]</f>
        <v/>
      </c>
      <c r="G329" s="797">
        <f>Table1[[#This Row],[Acute RA input value]]</f>
        <v>0</v>
      </c>
      <c r="H329" s="836" t="str">
        <f>Table1[[#This Row],[Acute RA label]]</f>
        <v/>
      </c>
      <c r="J329" s="553">
        <f>Table22[[#This Row],[Code no.]]</f>
        <v>1011040</v>
      </c>
      <c r="K329" s="553" t="str">
        <f>Table22[[#This Row],[Commodity or group of commodities to which the MRLs apply]]</f>
        <v>Swine: Kidney</v>
      </c>
      <c r="L329" s="553">
        <f>Table22[[#This Row],[Source / type of MRL]]</f>
        <v>0</v>
      </c>
      <c r="M329" s="553">
        <f>Table22[[#This Row],[MRL/ proposed MRL /CXL
(mg/kg)]]</f>
        <v>0</v>
      </c>
      <c r="N329" s="553">
        <f>Table22[[#This Row],[LOQ]]</f>
        <v>0</v>
      </c>
      <c r="O329" s="553">
        <f>Table22[[#This Row],[CFrisk for residue definition]]</f>
        <v>0</v>
      </c>
      <c r="P329" s="553">
        <f>Table22[[#This Row],[PeF (peeling factor RD enforcemen)]]</f>
        <v>0</v>
      </c>
      <c r="Q329" s="553">
        <f>Table22[[#This Row],[STMR-RAC (median residue)]]</f>
        <v>0</v>
      </c>
      <c r="R329" s="553">
        <f>Table22[[#This Row],[HR-RAC (highest residue)]]</f>
        <v>0</v>
      </c>
      <c r="S329" s="553">
        <f>Table22[[#This Row],[VF (alternative variability factor)]]</f>
        <v>0</v>
      </c>
      <c r="T329" s="553">
        <f>Table22[[#This Row],[GAP under assessment]]</f>
        <v>0</v>
      </c>
      <c r="U329" s="553">
        <f>Table22[[#This Row],[Post-harvest treatment]]</f>
        <v>0</v>
      </c>
      <c r="V329" s="553" t="str">
        <f>Table22[[#This Row],[Chronic RA label]]</f>
        <v/>
      </c>
      <c r="W329" s="553">
        <f>Table22[[#This Row],[Chronic RA input value]]</f>
        <v>0</v>
      </c>
      <c r="X329" s="1684" t="str">
        <f>Table22[[#This Row],[Acute RA label]]</f>
        <v/>
      </c>
      <c r="Y329" s="553">
        <f>Table22[[#This Row],[Acute RA input value]]</f>
        <v>0</v>
      </c>
      <c r="Z329" s="786">
        <f>SUM(Table1[[#This Row],[chronic value &lt;&gt;MRL/LOQ]:[acute vlue&lt;&gt;MRL/LOQ]])</f>
        <v>0</v>
      </c>
      <c r="AA329" s="786">
        <f>IF(AND($F$5="Refined calculation mode",Table1[[#This Row],[GAP under assessment]]="Y"),1,IF(OR(Table1[[#This Row],[Chronic RA label]]="LOQ",Table1[[#This Row],[Chronic RA label]]="",Table1[[#This Row],[Chronic RA label]]="MRL"),0,1))</f>
        <v>0</v>
      </c>
      <c r="AB329" s="787">
        <f>IF(OR(Table1[[#This Row],[Acute RA label]]="LOQ",Table1[[#This Row],[Acute RA label]]="",Table1[[#This Row],[Acute RA label]]="MRL"),0,1)</f>
        <v>0</v>
      </c>
    </row>
    <row r="330" spans="1:28" ht="32.25" hidden="1" thickTop="1" x14ac:dyDescent="0.2">
      <c r="A330" s="815">
        <f>Table1[[#This Row],[Code no.]]</f>
        <v>1011050</v>
      </c>
      <c r="B330" s="793" t="str">
        <f>Table1[[#This Row],[Commodity or group of commodities to which the MRLs apply]]</f>
        <v>Swine: Edible offals (other than liver and kidney)</v>
      </c>
      <c r="C330" s="794">
        <f>Table1[[#This Row],[MRL/ proposed MRL /CXL
(mg/kg)]]</f>
        <v>0</v>
      </c>
      <c r="D330" s="795">
        <f>Table1[[#This Row],[Source of MRL]]</f>
        <v>0</v>
      </c>
      <c r="E330" s="797">
        <f>Table1[[#This Row],[Chronic RA input value]]</f>
        <v>0</v>
      </c>
      <c r="F330" s="795" t="str">
        <f>Table1[[#This Row],[Chronic RA label]]</f>
        <v/>
      </c>
      <c r="G330" s="797">
        <f>Table1[[#This Row],[Acute RA input value]]</f>
        <v>0</v>
      </c>
      <c r="H330" s="836" t="str">
        <f>Table1[[#This Row],[Acute RA label]]</f>
        <v/>
      </c>
      <c r="J330" s="553">
        <f>Table22[[#This Row],[Code no.]]</f>
        <v>1011050</v>
      </c>
      <c r="K330" s="553" t="str">
        <f>Table22[[#This Row],[Commodity or group of commodities to which the MRLs apply]]</f>
        <v>Swine: Edible offals (other than liver and kidney)</v>
      </c>
      <c r="L330" s="553">
        <f>Table22[[#This Row],[Source / type of MRL]]</f>
        <v>0</v>
      </c>
      <c r="M330" s="553">
        <f>Table22[[#This Row],[MRL/ proposed MRL /CXL
(mg/kg)]]</f>
        <v>0</v>
      </c>
      <c r="N330" s="553">
        <f>Table22[[#This Row],[LOQ]]</f>
        <v>0</v>
      </c>
      <c r="O330" s="553">
        <f>Table22[[#This Row],[CFrisk for residue definition]]</f>
        <v>0</v>
      </c>
      <c r="P330" s="553">
        <f>Table22[[#This Row],[PeF (peeling factor RD enforcemen)]]</f>
        <v>0</v>
      </c>
      <c r="Q330" s="553">
        <f>Table22[[#This Row],[STMR-RAC (median residue)]]</f>
        <v>0</v>
      </c>
      <c r="R330" s="553">
        <f>Table22[[#This Row],[HR-RAC (highest residue)]]</f>
        <v>0</v>
      </c>
      <c r="S330" s="553">
        <f>Table22[[#This Row],[VF (alternative variability factor)]]</f>
        <v>0</v>
      </c>
      <c r="T330" s="553">
        <f>Table22[[#This Row],[GAP under assessment]]</f>
        <v>0</v>
      </c>
      <c r="U330" s="553">
        <f>Table22[[#This Row],[Post-harvest treatment]]</f>
        <v>0</v>
      </c>
      <c r="V330" s="553" t="str">
        <f>Table22[[#This Row],[Chronic RA label]]</f>
        <v/>
      </c>
      <c r="W330" s="553">
        <f>Table22[[#This Row],[Chronic RA input value]]</f>
        <v>0</v>
      </c>
      <c r="X330" s="1684" t="str">
        <f>Table22[[#This Row],[Acute RA label]]</f>
        <v/>
      </c>
      <c r="Y330" s="553">
        <f>Table22[[#This Row],[Acute RA input value]]</f>
        <v>0</v>
      </c>
      <c r="Z330" s="786">
        <f>SUM(Table1[[#This Row],[chronic value &lt;&gt;MRL/LOQ]:[acute vlue&lt;&gt;MRL/LOQ]])</f>
        <v>0</v>
      </c>
      <c r="AA330" s="786">
        <f>IF(AND($F$5="Refined calculation mode",Table1[[#This Row],[GAP under assessment]]="Y"),1,IF(OR(Table1[[#This Row],[Chronic RA label]]="LOQ",Table1[[#This Row],[Chronic RA label]]="",Table1[[#This Row],[Chronic RA label]]="MRL"),0,1))</f>
        <v>0</v>
      </c>
      <c r="AB330" s="787">
        <f>IF(OR(Table1[[#This Row],[Acute RA label]]="LOQ",Table1[[#This Row],[Acute RA label]]="",Table1[[#This Row],[Acute RA label]]="MRL"),0,1)</f>
        <v>0</v>
      </c>
    </row>
    <row r="331" spans="1:28" ht="21.75" hidden="1" thickTop="1" x14ac:dyDescent="0.2">
      <c r="A331" s="815">
        <f>Table1[[#This Row],[Code no.]]</f>
        <v>1011990</v>
      </c>
      <c r="B331" s="793" t="str">
        <f>Table1[[#This Row],[Commodity or group of commodities to which the MRLs apply]]</f>
        <v>Swine: Other products</v>
      </c>
      <c r="C331" s="794">
        <f>Table1[[#This Row],[MRL/ proposed MRL /CXL
(mg/kg)]]</f>
        <v>0</v>
      </c>
      <c r="D331" s="795">
        <f>Table1[[#This Row],[Source of MRL]]</f>
        <v>0</v>
      </c>
      <c r="E331" s="797">
        <f>Table1[[#This Row],[Chronic RA input value]]</f>
        <v>0</v>
      </c>
      <c r="F331" s="795" t="str">
        <f>Table1[[#This Row],[Chronic RA label]]</f>
        <v/>
      </c>
      <c r="G331" s="797">
        <f>Table1[[#This Row],[Acute RA input value]]</f>
        <v>0</v>
      </c>
      <c r="H331" s="836" t="str">
        <f>Table1[[#This Row],[Acute RA label]]</f>
        <v/>
      </c>
      <c r="J331" s="553">
        <f>Table22[[#This Row],[Code no.]]</f>
        <v>1011990</v>
      </c>
      <c r="K331" s="553" t="str">
        <f>Table22[[#This Row],[Commodity or group of commodities to which the MRLs apply]]</f>
        <v>Swine: Other products</v>
      </c>
      <c r="L331" s="553">
        <f>Table22[[#This Row],[Source / type of MRL]]</f>
        <v>0</v>
      </c>
      <c r="M331" s="553">
        <f>Table22[[#This Row],[MRL/ proposed MRL /CXL
(mg/kg)]]</f>
        <v>0</v>
      </c>
      <c r="N331" s="553">
        <f>Table22[[#This Row],[LOQ]]</f>
        <v>0</v>
      </c>
      <c r="O331" s="553">
        <f>Table22[[#This Row],[CFrisk for residue definition]]</f>
        <v>0</v>
      </c>
      <c r="P331" s="553">
        <f>Table22[[#This Row],[PeF (peeling factor RD enforcemen)]]</f>
        <v>0</v>
      </c>
      <c r="Q331" s="553">
        <f>Table22[[#This Row],[STMR-RAC (median residue)]]</f>
        <v>0</v>
      </c>
      <c r="R331" s="553">
        <f>Table22[[#This Row],[HR-RAC (highest residue)]]</f>
        <v>0</v>
      </c>
      <c r="S331" s="553">
        <f>Table22[[#This Row],[VF (alternative variability factor)]]</f>
        <v>0</v>
      </c>
      <c r="T331" s="553">
        <f>Table22[[#This Row],[GAP under assessment]]</f>
        <v>0</v>
      </c>
      <c r="U331" s="553">
        <f>Table22[[#This Row],[Post-harvest treatment]]</f>
        <v>0</v>
      </c>
      <c r="V331" s="553" t="str">
        <f>Table22[[#This Row],[Chronic RA label]]</f>
        <v/>
      </c>
      <c r="W331" s="553">
        <f>Table22[[#This Row],[Chronic RA input value]]</f>
        <v>0</v>
      </c>
      <c r="X331" s="1684" t="str">
        <f>Table22[[#This Row],[Acute RA label]]</f>
        <v/>
      </c>
      <c r="Y331" s="553">
        <f>Table22[[#This Row],[Acute RA input value]]</f>
        <v>0</v>
      </c>
      <c r="Z331" s="786">
        <f>SUM(Table1[[#This Row],[chronic value &lt;&gt;MRL/LOQ]:[acute vlue&lt;&gt;MRL/LOQ]])</f>
        <v>0</v>
      </c>
      <c r="AA331" s="786">
        <f>IF(AND($F$5="Refined calculation mode",Table1[[#This Row],[GAP under assessment]]="Y"),1,IF(OR(Table1[[#This Row],[Chronic RA label]]="LOQ",Table1[[#This Row],[Chronic RA label]]="",Table1[[#This Row],[Chronic RA label]]="MRL"),0,1))</f>
        <v>0</v>
      </c>
      <c r="AB331" s="787">
        <f>IF(OR(Table1[[#This Row],[Acute RA label]]="LOQ",Table1[[#This Row],[Acute RA label]]="",Table1[[#This Row],[Acute RA label]]="MRL"),0,1)</f>
        <v>0</v>
      </c>
    </row>
    <row r="332" spans="1:28" ht="13.5" hidden="1" thickTop="1" x14ac:dyDescent="0.2">
      <c r="A332" s="815">
        <f>Table1[[#This Row],[Code no.]]</f>
        <v>1012000</v>
      </c>
      <c r="B332" s="793" t="str">
        <f>Table1[[#This Row],[Commodity or group of commodities to which the MRLs apply]]</f>
        <v>Bovine</v>
      </c>
      <c r="C332" s="794">
        <f>Table1[[#This Row],[MRL/ proposed MRL /CXL
(mg/kg)]]</f>
        <v>0</v>
      </c>
      <c r="D332" s="795">
        <f>Table1[[#This Row],[Source of MRL]]</f>
        <v>0</v>
      </c>
      <c r="E332" s="797">
        <f>Table1[[#This Row],[Chronic RA input value]]</f>
        <v>0</v>
      </c>
      <c r="F332" s="795">
        <f>Table1[[#This Row],[Chronic RA label]]</f>
        <v>0</v>
      </c>
      <c r="G332" s="797">
        <f>Table1[[#This Row],[Acute RA input value]]</f>
        <v>0</v>
      </c>
      <c r="H332" s="836">
        <f>Table1[[#This Row],[Acute RA label]]</f>
        <v>0</v>
      </c>
      <c r="J332" s="553">
        <f>Table22[[#This Row],[Code no.]]</f>
        <v>1012000</v>
      </c>
      <c r="K332" s="553" t="str">
        <f>Table22[[#This Row],[Commodity or group of commodities to which the MRLs apply]]</f>
        <v>Bovine</v>
      </c>
      <c r="L332" s="553">
        <f>Table22[[#This Row],[Source / type of MRL]]</f>
        <v>0</v>
      </c>
      <c r="M332" s="553">
        <f>Table22[[#This Row],[MRL/ proposed MRL /CXL
(mg/kg)]]</f>
        <v>0</v>
      </c>
      <c r="N332" s="553">
        <f>Table22[[#This Row],[LOQ]]</f>
        <v>0</v>
      </c>
      <c r="O332" s="553">
        <f>Table22[[#This Row],[CFrisk for residue definition]]</f>
        <v>0</v>
      </c>
      <c r="P332" s="553">
        <f>Table22[[#This Row],[PeF (peeling factor RD enforcemen)]]</f>
        <v>0</v>
      </c>
      <c r="Q332" s="553">
        <f>Table22[[#This Row],[STMR-RAC (median residue)]]</f>
        <v>0</v>
      </c>
      <c r="R332" s="553">
        <f>Table22[[#This Row],[HR-RAC (highest residue)]]</f>
        <v>0</v>
      </c>
      <c r="S332" s="553">
        <f>Table22[[#This Row],[VF (alternative variability factor)]]</f>
        <v>0</v>
      </c>
      <c r="T332" s="553">
        <f>Table22[[#This Row],[GAP under assessment]]</f>
        <v>0</v>
      </c>
      <c r="U332" s="553">
        <f>Table22[[#This Row],[Post-harvest treatment]]</f>
        <v>0</v>
      </c>
      <c r="V332" s="553"/>
      <c r="W332" s="553">
        <f>Table22[[#This Row],[Chronic RA input value]]</f>
        <v>0</v>
      </c>
      <c r="X332" s="1684"/>
      <c r="Y332" s="553">
        <f>Table22[[#This Row],[Acute RA input value]]</f>
        <v>0</v>
      </c>
      <c r="Z332" s="786">
        <f>SUM(Table1[[#This Row],[chronic value &lt;&gt;MRL/LOQ]:[acute vlue&lt;&gt;MRL/LOQ]])</f>
        <v>0</v>
      </c>
      <c r="AA332" s="786">
        <f>IF(AND($F$5="Refined calculation mode",Table1[[#This Row],[GAP under assessment]]="Y"),1,IF(OR(Table1[[#This Row],[Chronic RA label]]="LOQ",Table1[[#This Row],[Chronic RA label]]="",Table1[[#This Row],[Chronic RA label]]="MRL"),0,1))</f>
        <v>0</v>
      </c>
      <c r="AB332" s="787">
        <f>IF(OR(Table1[[#This Row],[Acute RA label]]="LOQ",Table1[[#This Row],[Acute RA label]]="",Table1[[#This Row],[Acute RA label]]="MRL"),0,1)</f>
        <v>0</v>
      </c>
    </row>
    <row r="333" spans="1:28" ht="21.75" hidden="1" thickTop="1" x14ac:dyDescent="0.2">
      <c r="A333" s="815">
        <f>Table1[[#This Row],[Code no.]]</f>
        <v>1012010</v>
      </c>
      <c r="B333" s="793" t="str">
        <f>Table1[[#This Row],[Commodity or group of commodities to which the MRLs apply]]</f>
        <v>Bovine: Muscle/meat</v>
      </c>
      <c r="C333" s="794">
        <f>Table1[[#This Row],[MRL/ proposed MRL /CXL
(mg/kg)]]</f>
        <v>0</v>
      </c>
      <c r="D333" s="795">
        <f>Table1[[#This Row],[Source of MRL]]</f>
        <v>0</v>
      </c>
      <c r="E333" s="797">
        <f>Table1[[#This Row],[Chronic RA input value]]</f>
        <v>0</v>
      </c>
      <c r="F333" s="795" t="str">
        <f>Table1[[#This Row],[Chronic RA label]]</f>
        <v/>
      </c>
      <c r="G333" s="797">
        <f>Table1[[#This Row],[Acute RA input value]]</f>
        <v>0</v>
      </c>
      <c r="H333" s="836" t="str">
        <f>Table1[[#This Row],[Acute RA label]]</f>
        <v/>
      </c>
      <c r="J333" s="553">
        <f>Table22[[#This Row],[Code no.]]</f>
        <v>1012010</v>
      </c>
      <c r="K333" s="553" t="str">
        <f>Table22[[#This Row],[Commodity or group of commodities to which the MRLs apply]]</f>
        <v>Bovine: Muscle/meat</v>
      </c>
      <c r="L333" s="553">
        <f>Table22[[#This Row],[Source / type of MRL]]</f>
        <v>0</v>
      </c>
      <c r="M333" s="553">
        <f>Table22[[#This Row],[MRL/ proposed MRL /CXL
(mg/kg)]]</f>
        <v>0</v>
      </c>
      <c r="N333" s="553">
        <f>Table22[[#This Row],[LOQ]]</f>
        <v>0</v>
      </c>
      <c r="O333" s="553">
        <f>Table22[[#This Row],[CFrisk for residue definition]]</f>
        <v>0</v>
      </c>
      <c r="P333" s="553">
        <f>Table22[[#This Row],[PeF (peeling factor RD enforcemen)]]</f>
        <v>0</v>
      </c>
      <c r="Q333" s="553">
        <f>Table22[[#This Row],[STMR-RAC (median residue)]]</f>
        <v>0</v>
      </c>
      <c r="R333" s="553">
        <f>Table22[[#This Row],[HR-RAC (highest residue)]]</f>
        <v>0</v>
      </c>
      <c r="S333" s="553">
        <f>Table22[[#This Row],[VF (alternative variability factor)]]</f>
        <v>0</v>
      </c>
      <c r="T333" s="553">
        <f>Table22[[#This Row],[GAP under assessment]]</f>
        <v>0</v>
      </c>
      <c r="U333" s="553">
        <f>Table22[[#This Row],[Post-harvest treatment]]</f>
        <v>0</v>
      </c>
      <c r="V333" s="553" t="str">
        <f>Table22[[#This Row],[Chronic RA label]]</f>
        <v/>
      </c>
      <c r="W333" s="553">
        <f>Table22[[#This Row],[Chronic RA input value]]</f>
        <v>0</v>
      </c>
      <c r="X333" s="1684" t="str">
        <f>Table22[[#This Row],[Acute RA label]]</f>
        <v/>
      </c>
      <c r="Y333" s="553">
        <f>Table22[[#This Row],[Acute RA input value]]</f>
        <v>0</v>
      </c>
      <c r="Z333" s="786">
        <f>SUM(Table1[[#This Row],[chronic value &lt;&gt;MRL/LOQ]:[acute vlue&lt;&gt;MRL/LOQ]])</f>
        <v>0</v>
      </c>
      <c r="AA333" s="786">
        <f>IF(AND($F$5="Refined calculation mode",Table1[[#This Row],[GAP under assessment]]="Y"),1,IF(OR(Table1[[#This Row],[Chronic RA label]]="LOQ",Table1[[#This Row],[Chronic RA label]]="",Table1[[#This Row],[Chronic RA label]]="MRL"),0,1))</f>
        <v>0</v>
      </c>
      <c r="AB333" s="787">
        <f>IF(OR(Table1[[#This Row],[Acute RA label]]="LOQ",Table1[[#This Row],[Acute RA label]]="",Table1[[#This Row],[Acute RA label]]="MRL"),0,1)</f>
        <v>0</v>
      </c>
    </row>
    <row r="334" spans="1:28" ht="13.5" hidden="1" thickTop="1" x14ac:dyDescent="0.2">
      <c r="A334" s="815">
        <f>Table1[[#This Row],[Code no.]]</f>
        <v>1012020</v>
      </c>
      <c r="B334" s="793" t="str">
        <f>Table1[[#This Row],[Commodity or group of commodities to which the MRLs apply]]</f>
        <v>Bovine: Fat tissue</v>
      </c>
      <c r="C334" s="794">
        <f>Table1[[#This Row],[MRL/ proposed MRL /CXL
(mg/kg)]]</f>
        <v>0</v>
      </c>
      <c r="D334" s="795">
        <f>Table1[[#This Row],[Source of MRL]]</f>
        <v>0</v>
      </c>
      <c r="E334" s="797">
        <f>Table1[[#This Row],[Chronic RA input value]]</f>
        <v>0</v>
      </c>
      <c r="F334" s="795" t="str">
        <f>Table1[[#This Row],[Chronic RA label]]</f>
        <v/>
      </c>
      <c r="G334" s="797">
        <f>Table1[[#This Row],[Acute RA input value]]</f>
        <v>0</v>
      </c>
      <c r="H334" s="836" t="str">
        <f>Table1[[#This Row],[Acute RA label]]</f>
        <v/>
      </c>
      <c r="J334" s="553">
        <f>Table22[[#This Row],[Code no.]]</f>
        <v>1012020</v>
      </c>
      <c r="K334" s="553" t="str">
        <f>Table22[[#This Row],[Commodity or group of commodities to which the MRLs apply]]</f>
        <v>Bovine: Fat tissue</v>
      </c>
      <c r="L334" s="553">
        <f>Table22[[#This Row],[Source / type of MRL]]</f>
        <v>0</v>
      </c>
      <c r="M334" s="553">
        <f>Table22[[#This Row],[MRL/ proposed MRL /CXL
(mg/kg)]]</f>
        <v>0</v>
      </c>
      <c r="N334" s="553">
        <f>Table22[[#This Row],[LOQ]]</f>
        <v>0</v>
      </c>
      <c r="O334" s="553">
        <f>Table22[[#This Row],[CFrisk for residue definition]]</f>
        <v>0</v>
      </c>
      <c r="P334" s="553">
        <f>Table22[[#This Row],[PeF (peeling factor RD enforcemen)]]</f>
        <v>0</v>
      </c>
      <c r="Q334" s="553">
        <f>Table22[[#This Row],[STMR-RAC (median residue)]]</f>
        <v>0</v>
      </c>
      <c r="R334" s="553">
        <f>Table22[[#This Row],[HR-RAC (highest residue)]]</f>
        <v>0</v>
      </c>
      <c r="S334" s="553">
        <f>Table22[[#This Row],[VF (alternative variability factor)]]</f>
        <v>0</v>
      </c>
      <c r="T334" s="553">
        <f>Table22[[#This Row],[GAP under assessment]]</f>
        <v>0</v>
      </c>
      <c r="U334" s="553">
        <f>Table22[[#This Row],[Post-harvest treatment]]</f>
        <v>0</v>
      </c>
      <c r="V334" s="553" t="str">
        <f>Table22[[#This Row],[Chronic RA label]]</f>
        <v/>
      </c>
      <c r="W334" s="553">
        <f>Table22[[#This Row],[Chronic RA input value]]</f>
        <v>0</v>
      </c>
      <c r="X334" s="1684" t="str">
        <f>Table22[[#This Row],[Acute RA label]]</f>
        <v/>
      </c>
      <c r="Y334" s="553">
        <f>Table22[[#This Row],[Acute RA input value]]</f>
        <v>0</v>
      </c>
      <c r="Z334" s="786">
        <f>SUM(Table1[[#This Row],[chronic value &lt;&gt;MRL/LOQ]:[acute vlue&lt;&gt;MRL/LOQ]])</f>
        <v>0</v>
      </c>
      <c r="AA334" s="786">
        <f>IF(AND($F$5="Refined calculation mode",Table1[[#This Row],[GAP under assessment]]="Y"),1,IF(OR(Table1[[#This Row],[Chronic RA label]]="LOQ",Table1[[#This Row],[Chronic RA label]]="",Table1[[#This Row],[Chronic RA label]]="MRL"),0,1))</f>
        <v>0</v>
      </c>
      <c r="AB334" s="787">
        <f>IF(OR(Table1[[#This Row],[Acute RA label]]="LOQ",Table1[[#This Row],[Acute RA label]]="",Table1[[#This Row],[Acute RA label]]="MRL"),0,1)</f>
        <v>0</v>
      </c>
    </row>
    <row r="335" spans="1:28" ht="13.5" hidden="1" thickTop="1" x14ac:dyDescent="0.2">
      <c r="A335" s="815">
        <f>Table1[[#This Row],[Code no.]]</f>
        <v>1012030</v>
      </c>
      <c r="B335" s="793" t="str">
        <f>Table1[[#This Row],[Commodity or group of commodities to which the MRLs apply]]</f>
        <v>Bovine: Liver</v>
      </c>
      <c r="C335" s="794">
        <f>Table1[[#This Row],[MRL/ proposed MRL /CXL
(mg/kg)]]</f>
        <v>0</v>
      </c>
      <c r="D335" s="795">
        <f>Table1[[#This Row],[Source of MRL]]</f>
        <v>0</v>
      </c>
      <c r="E335" s="797">
        <f>Table1[[#This Row],[Chronic RA input value]]</f>
        <v>0</v>
      </c>
      <c r="F335" s="795" t="str">
        <f>Table1[[#This Row],[Chronic RA label]]</f>
        <v/>
      </c>
      <c r="G335" s="797">
        <f>Table1[[#This Row],[Acute RA input value]]</f>
        <v>0</v>
      </c>
      <c r="H335" s="836" t="str">
        <f>Table1[[#This Row],[Acute RA label]]</f>
        <v/>
      </c>
      <c r="J335" s="553">
        <f>Table22[[#This Row],[Code no.]]</f>
        <v>1012030</v>
      </c>
      <c r="K335" s="553" t="str">
        <f>Table22[[#This Row],[Commodity or group of commodities to which the MRLs apply]]</f>
        <v>Bovine: Liver</v>
      </c>
      <c r="L335" s="553">
        <f>Table22[[#This Row],[Source / type of MRL]]</f>
        <v>0</v>
      </c>
      <c r="M335" s="553">
        <f>Table22[[#This Row],[MRL/ proposed MRL /CXL
(mg/kg)]]</f>
        <v>0</v>
      </c>
      <c r="N335" s="553">
        <f>Table22[[#This Row],[LOQ]]</f>
        <v>0</v>
      </c>
      <c r="O335" s="553">
        <f>Table22[[#This Row],[CFrisk for residue definition]]</f>
        <v>0</v>
      </c>
      <c r="P335" s="553">
        <f>Table22[[#This Row],[PeF (peeling factor RD enforcemen)]]</f>
        <v>0</v>
      </c>
      <c r="Q335" s="553">
        <f>Table22[[#This Row],[STMR-RAC (median residue)]]</f>
        <v>0</v>
      </c>
      <c r="R335" s="553">
        <f>Table22[[#This Row],[HR-RAC (highest residue)]]</f>
        <v>0</v>
      </c>
      <c r="S335" s="553">
        <f>Table22[[#This Row],[VF (alternative variability factor)]]</f>
        <v>0</v>
      </c>
      <c r="T335" s="553">
        <f>Table22[[#This Row],[GAP under assessment]]</f>
        <v>0</v>
      </c>
      <c r="U335" s="553">
        <f>Table22[[#This Row],[Post-harvest treatment]]</f>
        <v>0</v>
      </c>
      <c r="V335" s="553" t="str">
        <f>Table22[[#This Row],[Chronic RA label]]</f>
        <v/>
      </c>
      <c r="W335" s="553">
        <f>Table22[[#This Row],[Chronic RA input value]]</f>
        <v>0</v>
      </c>
      <c r="X335" s="1684" t="str">
        <f>Table22[[#This Row],[Acute RA label]]</f>
        <v/>
      </c>
      <c r="Y335" s="553">
        <f>Table22[[#This Row],[Acute RA input value]]</f>
        <v>0</v>
      </c>
      <c r="Z335" s="786">
        <f>SUM(Table1[[#This Row],[chronic value &lt;&gt;MRL/LOQ]:[acute vlue&lt;&gt;MRL/LOQ]])</f>
        <v>0</v>
      </c>
      <c r="AA335" s="786">
        <f>IF(AND($F$5="Refined calculation mode",Table1[[#This Row],[GAP under assessment]]="Y"),1,IF(OR(Table1[[#This Row],[Chronic RA label]]="LOQ",Table1[[#This Row],[Chronic RA label]]="",Table1[[#This Row],[Chronic RA label]]="MRL"),0,1))</f>
        <v>0</v>
      </c>
      <c r="AB335" s="787">
        <f>IF(OR(Table1[[#This Row],[Acute RA label]]="LOQ",Table1[[#This Row],[Acute RA label]]="",Table1[[#This Row],[Acute RA label]]="MRL"),0,1)</f>
        <v>0</v>
      </c>
    </row>
    <row r="336" spans="1:28" ht="13.5" hidden="1" thickTop="1" x14ac:dyDescent="0.2">
      <c r="A336" s="815">
        <f>Table1[[#This Row],[Code no.]]</f>
        <v>1012040</v>
      </c>
      <c r="B336" s="793" t="str">
        <f>Table1[[#This Row],[Commodity or group of commodities to which the MRLs apply]]</f>
        <v>Bovine: Kidney</v>
      </c>
      <c r="C336" s="794">
        <f>Table1[[#This Row],[MRL/ proposed MRL /CXL
(mg/kg)]]</f>
        <v>0</v>
      </c>
      <c r="D336" s="795">
        <f>Table1[[#This Row],[Source of MRL]]</f>
        <v>0</v>
      </c>
      <c r="E336" s="797">
        <f>Table1[[#This Row],[Chronic RA input value]]</f>
        <v>0</v>
      </c>
      <c r="F336" s="795" t="str">
        <f>Table1[[#This Row],[Chronic RA label]]</f>
        <v/>
      </c>
      <c r="G336" s="797">
        <f>Table1[[#This Row],[Acute RA input value]]</f>
        <v>0</v>
      </c>
      <c r="H336" s="836" t="str">
        <f>Table1[[#This Row],[Acute RA label]]</f>
        <v/>
      </c>
      <c r="J336" s="553">
        <f>Table22[[#This Row],[Code no.]]</f>
        <v>1012040</v>
      </c>
      <c r="K336" s="553" t="str">
        <f>Table22[[#This Row],[Commodity or group of commodities to which the MRLs apply]]</f>
        <v>Bovine: Kidney</v>
      </c>
      <c r="L336" s="553">
        <f>Table22[[#This Row],[Source / type of MRL]]</f>
        <v>0</v>
      </c>
      <c r="M336" s="553">
        <f>Table22[[#This Row],[MRL/ proposed MRL /CXL
(mg/kg)]]</f>
        <v>0</v>
      </c>
      <c r="N336" s="553">
        <f>Table22[[#This Row],[LOQ]]</f>
        <v>0</v>
      </c>
      <c r="O336" s="553">
        <f>Table22[[#This Row],[CFrisk for residue definition]]</f>
        <v>0</v>
      </c>
      <c r="P336" s="553">
        <f>Table22[[#This Row],[PeF (peeling factor RD enforcemen)]]</f>
        <v>0</v>
      </c>
      <c r="Q336" s="553">
        <f>Table22[[#This Row],[STMR-RAC (median residue)]]</f>
        <v>0</v>
      </c>
      <c r="R336" s="553">
        <f>Table22[[#This Row],[HR-RAC (highest residue)]]</f>
        <v>0</v>
      </c>
      <c r="S336" s="553">
        <f>Table22[[#This Row],[VF (alternative variability factor)]]</f>
        <v>0</v>
      </c>
      <c r="T336" s="553">
        <f>Table22[[#This Row],[GAP under assessment]]</f>
        <v>0</v>
      </c>
      <c r="U336" s="553">
        <f>Table22[[#This Row],[Post-harvest treatment]]</f>
        <v>0</v>
      </c>
      <c r="V336" s="553" t="str">
        <f>Table22[[#This Row],[Chronic RA label]]</f>
        <v/>
      </c>
      <c r="W336" s="553">
        <f>Table22[[#This Row],[Chronic RA input value]]</f>
        <v>0</v>
      </c>
      <c r="X336" s="1684" t="str">
        <f>Table22[[#This Row],[Acute RA label]]</f>
        <v/>
      </c>
      <c r="Y336" s="553">
        <f>Table22[[#This Row],[Acute RA input value]]</f>
        <v>0</v>
      </c>
      <c r="Z336" s="786">
        <f>SUM(Table1[[#This Row],[chronic value &lt;&gt;MRL/LOQ]:[acute vlue&lt;&gt;MRL/LOQ]])</f>
        <v>0</v>
      </c>
      <c r="AA336" s="786">
        <f>IF(AND($F$5="Refined calculation mode",Table1[[#This Row],[GAP under assessment]]="Y"),1,IF(OR(Table1[[#This Row],[Chronic RA label]]="LOQ",Table1[[#This Row],[Chronic RA label]]="",Table1[[#This Row],[Chronic RA label]]="MRL"),0,1))</f>
        <v>0</v>
      </c>
      <c r="AB336" s="787">
        <f>IF(OR(Table1[[#This Row],[Acute RA label]]="LOQ",Table1[[#This Row],[Acute RA label]]="",Table1[[#This Row],[Acute RA label]]="MRL"),0,1)</f>
        <v>0</v>
      </c>
    </row>
    <row r="337" spans="1:28" ht="32.25" hidden="1" thickTop="1" x14ac:dyDescent="0.2">
      <c r="A337" s="815">
        <f>Table1[[#This Row],[Code no.]]</f>
        <v>1012050</v>
      </c>
      <c r="B337" s="793" t="str">
        <f>Table1[[#This Row],[Commodity or group of commodities to which the MRLs apply]]</f>
        <v>Bovine: Edible offals (other than liver and kidney)</v>
      </c>
      <c r="C337" s="794">
        <f>Table1[[#This Row],[MRL/ proposed MRL /CXL
(mg/kg)]]</f>
        <v>0</v>
      </c>
      <c r="D337" s="795">
        <f>Table1[[#This Row],[Source of MRL]]</f>
        <v>0</v>
      </c>
      <c r="E337" s="797">
        <f>Table1[[#This Row],[Chronic RA input value]]</f>
        <v>0</v>
      </c>
      <c r="F337" s="795" t="str">
        <f>Table1[[#This Row],[Chronic RA label]]</f>
        <v/>
      </c>
      <c r="G337" s="797">
        <f>Table1[[#This Row],[Acute RA input value]]</f>
        <v>0</v>
      </c>
      <c r="H337" s="836" t="str">
        <f>Table1[[#This Row],[Acute RA label]]</f>
        <v/>
      </c>
      <c r="J337" s="553">
        <f>Table22[[#This Row],[Code no.]]</f>
        <v>1012050</v>
      </c>
      <c r="K337" s="553" t="str">
        <f>Table22[[#This Row],[Commodity or group of commodities to which the MRLs apply]]</f>
        <v>Bovine: Edible offals (other than liver and kidney)</v>
      </c>
      <c r="L337" s="553">
        <f>Table22[[#This Row],[Source / type of MRL]]</f>
        <v>0</v>
      </c>
      <c r="M337" s="553">
        <f>Table22[[#This Row],[MRL/ proposed MRL /CXL
(mg/kg)]]</f>
        <v>0</v>
      </c>
      <c r="N337" s="553">
        <f>Table22[[#This Row],[LOQ]]</f>
        <v>0</v>
      </c>
      <c r="O337" s="553">
        <f>Table22[[#This Row],[CFrisk for residue definition]]</f>
        <v>0</v>
      </c>
      <c r="P337" s="553">
        <f>Table22[[#This Row],[PeF (peeling factor RD enforcemen)]]</f>
        <v>0</v>
      </c>
      <c r="Q337" s="553">
        <f>Table22[[#This Row],[STMR-RAC (median residue)]]</f>
        <v>0</v>
      </c>
      <c r="R337" s="553">
        <f>Table22[[#This Row],[HR-RAC (highest residue)]]</f>
        <v>0</v>
      </c>
      <c r="S337" s="553">
        <f>Table22[[#This Row],[VF (alternative variability factor)]]</f>
        <v>0</v>
      </c>
      <c r="T337" s="553">
        <f>Table22[[#This Row],[GAP under assessment]]</f>
        <v>0</v>
      </c>
      <c r="U337" s="553">
        <f>Table22[[#This Row],[Post-harvest treatment]]</f>
        <v>0</v>
      </c>
      <c r="V337" s="553" t="str">
        <f>Table22[[#This Row],[Chronic RA label]]</f>
        <v/>
      </c>
      <c r="W337" s="553">
        <f>Table22[[#This Row],[Chronic RA input value]]</f>
        <v>0</v>
      </c>
      <c r="X337" s="1684" t="str">
        <f>Table22[[#This Row],[Acute RA label]]</f>
        <v/>
      </c>
      <c r="Y337" s="553">
        <f>Table22[[#This Row],[Acute RA input value]]</f>
        <v>0</v>
      </c>
      <c r="Z337" s="786">
        <f>SUM(Table1[[#This Row],[chronic value &lt;&gt;MRL/LOQ]:[acute vlue&lt;&gt;MRL/LOQ]])</f>
        <v>0</v>
      </c>
      <c r="AA337" s="786">
        <f>IF(AND($F$5="Refined calculation mode",Table1[[#This Row],[GAP under assessment]]="Y"),1,IF(OR(Table1[[#This Row],[Chronic RA label]]="LOQ",Table1[[#This Row],[Chronic RA label]]="",Table1[[#This Row],[Chronic RA label]]="MRL"),0,1))</f>
        <v>0</v>
      </c>
      <c r="AB337" s="787">
        <f>IF(OR(Table1[[#This Row],[Acute RA label]]="LOQ",Table1[[#This Row],[Acute RA label]]="",Table1[[#This Row],[Acute RA label]]="MRL"),0,1)</f>
        <v>0</v>
      </c>
    </row>
    <row r="338" spans="1:28" ht="21.75" hidden="1" thickTop="1" x14ac:dyDescent="0.2">
      <c r="A338" s="815">
        <f>Table1[[#This Row],[Code no.]]</f>
        <v>1012990</v>
      </c>
      <c r="B338" s="793" t="str">
        <f>Table1[[#This Row],[Commodity or group of commodities to which the MRLs apply]]</f>
        <v>Bovine: Other products</v>
      </c>
      <c r="C338" s="794">
        <f>Table1[[#This Row],[MRL/ proposed MRL /CXL
(mg/kg)]]</f>
        <v>0</v>
      </c>
      <c r="D338" s="795">
        <f>Table1[[#This Row],[Source of MRL]]</f>
        <v>0</v>
      </c>
      <c r="E338" s="797">
        <f>Table1[[#This Row],[Chronic RA input value]]</f>
        <v>0</v>
      </c>
      <c r="F338" s="795" t="str">
        <f>Table1[[#This Row],[Chronic RA label]]</f>
        <v/>
      </c>
      <c r="G338" s="797">
        <f>Table1[[#This Row],[Acute RA input value]]</f>
        <v>0</v>
      </c>
      <c r="H338" s="836" t="str">
        <f>Table1[[#This Row],[Acute RA label]]</f>
        <v/>
      </c>
      <c r="J338" s="553">
        <f>Table22[[#This Row],[Code no.]]</f>
        <v>1012990</v>
      </c>
      <c r="K338" s="553" t="str">
        <f>Table22[[#This Row],[Commodity or group of commodities to which the MRLs apply]]</f>
        <v>Bovine: Other products</v>
      </c>
      <c r="L338" s="553">
        <f>Table22[[#This Row],[Source / type of MRL]]</f>
        <v>0</v>
      </c>
      <c r="M338" s="553">
        <f>Table22[[#This Row],[MRL/ proposed MRL /CXL
(mg/kg)]]</f>
        <v>0</v>
      </c>
      <c r="N338" s="553">
        <f>Table22[[#This Row],[LOQ]]</f>
        <v>0</v>
      </c>
      <c r="O338" s="553">
        <f>Table22[[#This Row],[CFrisk for residue definition]]</f>
        <v>0</v>
      </c>
      <c r="P338" s="553">
        <f>Table22[[#This Row],[PeF (peeling factor RD enforcemen)]]</f>
        <v>0</v>
      </c>
      <c r="Q338" s="553">
        <f>Table22[[#This Row],[STMR-RAC (median residue)]]</f>
        <v>0</v>
      </c>
      <c r="R338" s="553">
        <f>Table22[[#This Row],[HR-RAC (highest residue)]]</f>
        <v>0</v>
      </c>
      <c r="S338" s="553">
        <f>Table22[[#This Row],[VF (alternative variability factor)]]</f>
        <v>0</v>
      </c>
      <c r="T338" s="553">
        <f>Table22[[#This Row],[GAP under assessment]]</f>
        <v>0</v>
      </c>
      <c r="U338" s="553">
        <f>Table22[[#This Row],[Post-harvest treatment]]</f>
        <v>0</v>
      </c>
      <c r="V338" s="553" t="str">
        <f>Table22[[#This Row],[Chronic RA label]]</f>
        <v/>
      </c>
      <c r="W338" s="553">
        <f>Table22[[#This Row],[Chronic RA input value]]</f>
        <v>0</v>
      </c>
      <c r="X338" s="1684" t="str">
        <f>Table22[[#This Row],[Acute RA label]]</f>
        <v/>
      </c>
      <c r="Y338" s="553">
        <f>Table22[[#This Row],[Acute RA input value]]</f>
        <v>0</v>
      </c>
      <c r="Z338" s="786">
        <f>SUM(Table1[[#This Row],[chronic value &lt;&gt;MRL/LOQ]:[acute vlue&lt;&gt;MRL/LOQ]])</f>
        <v>0</v>
      </c>
      <c r="AA338" s="786">
        <f>IF(AND($F$5="Refined calculation mode",Table1[[#This Row],[GAP under assessment]]="Y"),1,IF(OR(Table1[[#This Row],[Chronic RA label]]="LOQ",Table1[[#This Row],[Chronic RA label]]="",Table1[[#This Row],[Chronic RA label]]="MRL"),0,1))</f>
        <v>0</v>
      </c>
      <c r="AB338" s="787">
        <f>IF(OR(Table1[[#This Row],[Acute RA label]]="LOQ",Table1[[#This Row],[Acute RA label]]="",Table1[[#This Row],[Acute RA label]]="MRL"),0,1)</f>
        <v>0</v>
      </c>
    </row>
    <row r="339" spans="1:28" ht="13.5" hidden="1" thickTop="1" x14ac:dyDescent="0.2">
      <c r="A339" s="815">
        <f>Table1[[#This Row],[Code no.]]</f>
        <v>1013000</v>
      </c>
      <c r="B339" s="793" t="str">
        <f>Table1[[#This Row],[Commodity or group of commodities to which the MRLs apply]]</f>
        <v>Sheep</v>
      </c>
      <c r="C339" s="794">
        <f>Table1[[#This Row],[MRL/ proposed MRL /CXL
(mg/kg)]]</f>
        <v>0</v>
      </c>
      <c r="D339" s="795">
        <f>Table1[[#This Row],[Source of MRL]]</f>
        <v>0</v>
      </c>
      <c r="E339" s="797">
        <f>Table1[[#This Row],[Chronic RA input value]]</f>
        <v>0</v>
      </c>
      <c r="F339" s="795">
        <f>Table1[[#This Row],[Chronic RA label]]</f>
        <v>0</v>
      </c>
      <c r="G339" s="797">
        <f>Table1[[#This Row],[Acute RA input value]]</f>
        <v>0</v>
      </c>
      <c r="H339" s="836">
        <f>Table1[[#This Row],[Acute RA label]]</f>
        <v>0</v>
      </c>
      <c r="J339" s="553">
        <f>Table22[[#This Row],[Code no.]]</f>
        <v>1013000</v>
      </c>
      <c r="K339" s="553" t="str">
        <f>Table22[[#This Row],[Commodity or group of commodities to which the MRLs apply]]</f>
        <v>Sheep</v>
      </c>
      <c r="L339" s="553">
        <f>Table22[[#This Row],[Source / type of MRL]]</f>
        <v>0</v>
      </c>
      <c r="M339" s="553">
        <f>Table22[[#This Row],[MRL/ proposed MRL /CXL
(mg/kg)]]</f>
        <v>0</v>
      </c>
      <c r="N339" s="553">
        <f>Table22[[#This Row],[LOQ]]</f>
        <v>0</v>
      </c>
      <c r="O339" s="553">
        <f>Table22[[#This Row],[CFrisk for residue definition]]</f>
        <v>0</v>
      </c>
      <c r="P339" s="553">
        <f>Table22[[#This Row],[PeF (peeling factor RD enforcemen)]]</f>
        <v>0</v>
      </c>
      <c r="Q339" s="553">
        <f>Table22[[#This Row],[STMR-RAC (median residue)]]</f>
        <v>0</v>
      </c>
      <c r="R339" s="553">
        <f>Table22[[#This Row],[HR-RAC (highest residue)]]</f>
        <v>0</v>
      </c>
      <c r="S339" s="553">
        <f>Table22[[#This Row],[VF (alternative variability factor)]]</f>
        <v>0</v>
      </c>
      <c r="T339" s="553">
        <f>Table22[[#This Row],[GAP under assessment]]</f>
        <v>0</v>
      </c>
      <c r="U339" s="553">
        <f>Table22[[#This Row],[Post-harvest treatment]]</f>
        <v>0</v>
      </c>
      <c r="V339" s="553"/>
      <c r="W339" s="553">
        <f>Table22[[#This Row],[Chronic RA input value]]</f>
        <v>0</v>
      </c>
      <c r="X339" s="1684"/>
      <c r="Y339" s="553">
        <f>Table22[[#This Row],[Acute RA input value]]</f>
        <v>0</v>
      </c>
      <c r="Z339" s="786">
        <f>SUM(Table1[[#This Row],[chronic value &lt;&gt;MRL/LOQ]:[acute vlue&lt;&gt;MRL/LOQ]])</f>
        <v>0</v>
      </c>
      <c r="AA339" s="786">
        <f>IF(AND($F$5="Refined calculation mode",Table1[[#This Row],[GAP under assessment]]="Y"),1,IF(OR(Table1[[#This Row],[Chronic RA label]]="LOQ",Table1[[#This Row],[Chronic RA label]]="",Table1[[#This Row],[Chronic RA label]]="MRL"),0,1))</f>
        <v>0</v>
      </c>
      <c r="AB339" s="787">
        <f>IF(OR(Table1[[#This Row],[Acute RA label]]="LOQ",Table1[[#This Row],[Acute RA label]]="",Table1[[#This Row],[Acute RA label]]="MRL"),0,1)</f>
        <v>0</v>
      </c>
    </row>
    <row r="340" spans="1:28" ht="13.5" hidden="1" thickTop="1" x14ac:dyDescent="0.2">
      <c r="A340" s="815">
        <f>Table1[[#This Row],[Code no.]]</f>
        <v>1013010</v>
      </c>
      <c r="B340" s="793" t="str">
        <f>Table1[[#This Row],[Commodity or group of commodities to which the MRLs apply]]</f>
        <v>Sheep: Muscle/meat</v>
      </c>
      <c r="C340" s="794">
        <f>Table1[[#This Row],[MRL/ proposed MRL /CXL
(mg/kg)]]</f>
        <v>0</v>
      </c>
      <c r="D340" s="795">
        <f>Table1[[#This Row],[Source of MRL]]</f>
        <v>0</v>
      </c>
      <c r="E340" s="797">
        <f>Table1[[#This Row],[Chronic RA input value]]</f>
        <v>0</v>
      </c>
      <c r="F340" s="795" t="str">
        <f>Table1[[#This Row],[Chronic RA label]]</f>
        <v/>
      </c>
      <c r="G340" s="797">
        <f>Table1[[#This Row],[Acute RA input value]]</f>
        <v>0</v>
      </c>
      <c r="H340" s="836" t="str">
        <f>Table1[[#This Row],[Acute RA label]]</f>
        <v/>
      </c>
      <c r="J340" s="553">
        <f>Table22[[#This Row],[Code no.]]</f>
        <v>1013010</v>
      </c>
      <c r="K340" s="553" t="str">
        <f>Table22[[#This Row],[Commodity or group of commodities to which the MRLs apply]]</f>
        <v>Sheep: Muscle/meat</v>
      </c>
      <c r="L340" s="553">
        <f>Table22[[#This Row],[Source / type of MRL]]</f>
        <v>0</v>
      </c>
      <c r="M340" s="553">
        <f>Table22[[#This Row],[MRL/ proposed MRL /CXL
(mg/kg)]]</f>
        <v>0</v>
      </c>
      <c r="N340" s="553">
        <f>Table22[[#This Row],[LOQ]]</f>
        <v>0</v>
      </c>
      <c r="O340" s="553">
        <f>Table22[[#This Row],[CFrisk for residue definition]]</f>
        <v>0</v>
      </c>
      <c r="P340" s="553">
        <f>Table22[[#This Row],[PeF (peeling factor RD enforcemen)]]</f>
        <v>0</v>
      </c>
      <c r="Q340" s="553">
        <f>Table22[[#This Row],[STMR-RAC (median residue)]]</f>
        <v>0</v>
      </c>
      <c r="R340" s="553">
        <f>Table22[[#This Row],[HR-RAC (highest residue)]]</f>
        <v>0</v>
      </c>
      <c r="S340" s="553">
        <f>Table22[[#This Row],[VF (alternative variability factor)]]</f>
        <v>0</v>
      </c>
      <c r="T340" s="553">
        <f>Table22[[#This Row],[GAP under assessment]]</f>
        <v>0</v>
      </c>
      <c r="U340" s="553">
        <f>Table22[[#This Row],[Post-harvest treatment]]</f>
        <v>0</v>
      </c>
      <c r="V340" s="553" t="str">
        <f>Table22[[#This Row],[Chronic RA label]]</f>
        <v/>
      </c>
      <c r="W340" s="553">
        <f>Table22[[#This Row],[Chronic RA input value]]</f>
        <v>0</v>
      </c>
      <c r="X340" s="1684" t="str">
        <f>Table22[[#This Row],[Acute RA label]]</f>
        <v/>
      </c>
      <c r="Y340" s="553">
        <f>Table22[[#This Row],[Acute RA input value]]</f>
        <v>0</v>
      </c>
      <c r="Z340" s="786">
        <f>SUM(Table1[[#This Row],[chronic value &lt;&gt;MRL/LOQ]:[acute vlue&lt;&gt;MRL/LOQ]])</f>
        <v>0</v>
      </c>
      <c r="AA340" s="786">
        <f>IF(AND($F$5="Refined calculation mode",Table1[[#This Row],[GAP under assessment]]="Y"),1,IF(OR(Table1[[#This Row],[Chronic RA label]]="LOQ",Table1[[#This Row],[Chronic RA label]]="",Table1[[#This Row],[Chronic RA label]]="MRL"),0,1))</f>
        <v>0</v>
      </c>
      <c r="AB340" s="787">
        <f>IF(OR(Table1[[#This Row],[Acute RA label]]="LOQ",Table1[[#This Row],[Acute RA label]]="",Table1[[#This Row],[Acute RA label]]="MRL"),0,1)</f>
        <v>0</v>
      </c>
    </row>
    <row r="341" spans="1:28" ht="13.5" hidden="1" thickTop="1" x14ac:dyDescent="0.2">
      <c r="A341" s="815">
        <f>Table1[[#This Row],[Code no.]]</f>
        <v>1013020</v>
      </c>
      <c r="B341" s="793" t="str">
        <f>Table1[[#This Row],[Commodity or group of commodities to which the MRLs apply]]</f>
        <v>Sheep: Fat tissue</v>
      </c>
      <c r="C341" s="794">
        <f>Table1[[#This Row],[MRL/ proposed MRL /CXL
(mg/kg)]]</f>
        <v>0</v>
      </c>
      <c r="D341" s="795">
        <f>Table1[[#This Row],[Source of MRL]]</f>
        <v>0</v>
      </c>
      <c r="E341" s="797">
        <f>Table1[[#This Row],[Chronic RA input value]]</f>
        <v>0</v>
      </c>
      <c r="F341" s="795" t="str">
        <f>Table1[[#This Row],[Chronic RA label]]</f>
        <v/>
      </c>
      <c r="G341" s="797">
        <f>Table1[[#This Row],[Acute RA input value]]</f>
        <v>0</v>
      </c>
      <c r="H341" s="836" t="str">
        <f>Table1[[#This Row],[Acute RA label]]</f>
        <v/>
      </c>
      <c r="J341" s="553">
        <f>Table22[[#This Row],[Code no.]]</f>
        <v>1013020</v>
      </c>
      <c r="K341" s="553" t="str">
        <f>Table22[[#This Row],[Commodity or group of commodities to which the MRLs apply]]</f>
        <v>Sheep: Fat tissue</v>
      </c>
      <c r="L341" s="553">
        <f>Table22[[#This Row],[Source / type of MRL]]</f>
        <v>0</v>
      </c>
      <c r="M341" s="553">
        <f>Table22[[#This Row],[MRL/ proposed MRL /CXL
(mg/kg)]]</f>
        <v>0</v>
      </c>
      <c r="N341" s="553">
        <f>Table22[[#This Row],[LOQ]]</f>
        <v>0</v>
      </c>
      <c r="O341" s="553">
        <f>Table22[[#This Row],[CFrisk for residue definition]]</f>
        <v>0</v>
      </c>
      <c r="P341" s="553">
        <f>Table22[[#This Row],[PeF (peeling factor RD enforcemen)]]</f>
        <v>0</v>
      </c>
      <c r="Q341" s="553">
        <f>Table22[[#This Row],[STMR-RAC (median residue)]]</f>
        <v>0</v>
      </c>
      <c r="R341" s="553">
        <f>Table22[[#This Row],[HR-RAC (highest residue)]]</f>
        <v>0</v>
      </c>
      <c r="S341" s="553">
        <f>Table22[[#This Row],[VF (alternative variability factor)]]</f>
        <v>0</v>
      </c>
      <c r="T341" s="553">
        <f>Table22[[#This Row],[GAP under assessment]]</f>
        <v>0</v>
      </c>
      <c r="U341" s="553">
        <f>Table22[[#This Row],[Post-harvest treatment]]</f>
        <v>0</v>
      </c>
      <c r="V341" s="553" t="str">
        <f>Table22[[#This Row],[Chronic RA label]]</f>
        <v/>
      </c>
      <c r="W341" s="553">
        <f>Table22[[#This Row],[Chronic RA input value]]</f>
        <v>0</v>
      </c>
      <c r="X341" s="1684" t="str">
        <f>Table22[[#This Row],[Acute RA label]]</f>
        <v/>
      </c>
      <c r="Y341" s="553">
        <f>Table22[[#This Row],[Acute RA input value]]</f>
        <v>0</v>
      </c>
      <c r="Z341" s="786">
        <f>SUM(Table1[[#This Row],[chronic value &lt;&gt;MRL/LOQ]:[acute vlue&lt;&gt;MRL/LOQ]])</f>
        <v>0</v>
      </c>
      <c r="AA341" s="786">
        <f>IF(AND($F$5="Refined calculation mode",Table1[[#This Row],[GAP under assessment]]="Y"),1,IF(OR(Table1[[#This Row],[Chronic RA label]]="LOQ",Table1[[#This Row],[Chronic RA label]]="",Table1[[#This Row],[Chronic RA label]]="MRL"),0,1))</f>
        <v>0</v>
      </c>
      <c r="AB341" s="787">
        <f>IF(OR(Table1[[#This Row],[Acute RA label]]="LOQ",Table1[[#This Row],[Acute RA label]]="",Table1[[#This Row],[Acute RA label]]="MRL"),0,1)</f>
        <v>0</v>
      </c>
    </row>
    <row r="342" spans="1:28" ht="13.5" hidden="1" thickTop="1" x14ac:dyDescent="0.2">
      <c r="A342" s="815">
        <f>Table1[[#This Row],[Code no.]]</f>
        <v>1013030</v>
      </c>
      <c r="B342" s="793" t="str">
        <f>Table1[[#This Row],[Commodity or group of commodities to which the MRLs apply]]</f>
        <v>Sheep: Liver</v>
      </c>
      <c r="C342" s="794">
        <f>Table1[[#This Row],[MRL/ proposed MRL /CXL
(mg/kg)]]</f>
        <v>0</v>
      </c>
      <c r="D342" s="795">
        <f>Table1[[#This Row],[Source of MRL]]</f>
        <v>0</v>
      </c>
      <c r="E342" s="797">
        <f>Table1[[#This Row],[Chronic RA input value]]</f>
        <v>0</v>
      </c>
      <c r="F342" s="795" t="str">
        <f>Table1[[#This Row],[Chronic RA label]]</f>
        <v/>
      </c>
      <c r="G342" s="797">
        <f>Table1[[#This Row],[Acute RA input value]]</f>
        <v>0</v>
      </c>
      <c r="H342" s="836" t="str">
        <f>Table1[[#This Row],[Acute RA label]]</f>
        <v/>
      </c>
      <c r="J342" s="553">
        <f>Table22[[#This Row],[Code no.]]</f>
        <v>1013030</v>
      </c>
      <c r="K342" s="553" t="str">
        <f>Table22[[#This Row],[Commodity or group of commodities to which the MRLs apply]]</f>
        <v>Sheep: Liver</v>
      </c>
      <c r="L342" s="553">
        <f>Table22[[#This Row],[Source / type of MRL]]</f>
        <v>0</v>
      </c>
      <c r="M342" s="553">
        <f>Table22[[#This Row],[MRL/ proposed MRL /CXL
(mg/kg)]]</f>
        <v>0</v>
      </c>
      <c r="N342" s="553">
        <f>Table22[[#This Row],[LOQ]]</f>
        <v>0</v>
      </c>
      <c r="O342" s="553">
        <f>Table22[[#This Row],[CFrisk for residue definition]]</f>
        <v>0</v>
      </c>
      <c r="P342" s="553">
        <f>Table22[[#This Row],[PeF (peeling factor RD enforcemen)]]</f>
        <v>0</v>
      </c>
      <c r="Q342" s="553">
        <f>Table22[[#This Row],[STMR-RAC (median residue)]]</f>
        <v>0</v>
      </c>
      <c r="R342" s="553">
        <f>Table22[[#This Row],[HR-RAC (highest residue)]]</f>
        <v>0</v>
      </c>
      <c r="S342" s="553">
        <f>Table22[[#This Row],[VF (alternative variability factor)]]</f>
        <v>0</v>
      </c>
      <c r="T342" s="553">
        <f>Table22[[#This Row],[GAP under assessment]]</f>
        <v>0</v>
      </c>
      <c r="U342" s="553">
        <f>Table22[[#This Row],[Post-harvest treatment]]</f>
        <v>0</v>
      </c>
      <c r="V342" s="553" t="str">
        <f>Table22[[#This Row],[Chronic RA label]]</f>
        <v/>
      </c>
      <c r="W342" s="553">
        <f>Table22[[#This Row],[Chronic RA input value]]</f>
        <v>0</v>
      </c>
      <c r="X342" s="1684" t="str">
        <f>Table22[[#This Row],[Acute RA label]]</f>
        <v/>
      </c>
      <c r="Y342" s="553">
        <f>Table22[[#This Row],[Acute RA input value]]</f>
        <v>0</v>
      </c>
      <c r="Z342" s="786">
        <f>SUM(Table1[[#This Row],[chronic value &lt;&gt;MRL/LOQ]:[acute vlue&lt;&gt;MRL/LOQ]])</f>
        <v>0</v>
      </c>
      <c r="AA342" s="786">
        <f>IF(AND($F$5="Refined calculation mode",Table1[[#This Row],[GAP under assessment]]="Y"),1,IF(OR(Table1[[#This Row],[Chronic RA label]]="LOQ",Table1[[#This Row],[Chronic RA label]]="",Table1[[#This Row],[Chronic RA label]]="MRL"),0,1))</f>
        <v>0</v>
      </c>
      <c r="AB342" s="787">
        <f>IF(OR(Table1[[#This Row],[Acute RA label]]="LOQ",Table1[[#This Row],[Acute RA label]]="",Table1[[#This Row],[Acute RA label]]="MRL"),0,1)</f>
        <v>0</v>
      </c>
    </row>
    <row r="343" spans="1:28" ht="13.5" hidden="1" thickTop="1" x14ac:dyDescent="0.2">
      <c r="A343" s="815">
        <f>Table1[[#This Row],[Code no.]]</f>
        <v>1013040</v>
      </c>
      <c r="B343" s="793" t="str">
        <f>Table1[[#This Row],[Commodity or group of commodities to which the MRLs apply]]</f>
        <v>Sheep: Kidney</v>
      </c>
      <c r="C343" s="794">
        <f>Table1[[#This Row],[MRL/ proposed MRL /CXL
(mg/kg)]]</f>
        <v>0</v>
      </c>
      <c r="D343" s="795">
        <f>Table1[[#This Row],[Source of MRL]]</f>
        <v>0</v>
      </c>
      <c r="E343" s="797">
        <f>Table1[[#This Row],[Chronic RA input value]]</f>
        <v>0</v>
      </c>
      <c r="F343" s="795" t="str">
        <f>Table1[[#This Row],[Chronic RA label]]</f>
        <v/>
      </c>
      <c r="G343" s="797">
        <f>Table1[[#This Row],[Acute RA input value]]</f>
        <v>0</v>
      </c>
      <c r="H343" s="836" t="str">
        <f>Table1[[#This Row],[Acute RA label]]</f>
        <v/>
      </c>
      <c r="J343" s="553">
        <f>Table22[[#This Row],[Code no.]]</f>
        <v>1013040</v>
      </c>
      <c r="K343" s="553" t="str">
        <f>Table22[[#This Row],[Commodity or group of commodities to which the MRLs apply]]</f>
        <v>Sheep: Kidney</v>
      </c>
      <c r="L343" s="553">
        <f>Table22[[#This Row],[Source / type of MRL]]</f>
        <v>0</v>
      </c>
      <c r="M343" s="553">
        <f>Table22[[#This Row],[MRL/ proposed MRL /CXL
(mg/kg)]]</f>
        <v>0</v>
      </c>
      <c r="N343" s="553">
        <f>Table22[[#This Row],[LOQ]]</f>
        <v>0</v>
      </c>
      <c r="O343" s="553">
        <f>Table22[[#This Row],[CFrisk for residue definition]]</f>
        <v>0</v>
      </c>
      <c r="P343" s="553">
        <f>Table22[[#This Row],[PeF (peeling factor RD enforcemen)]]</f>
        <v>0</v>
      </c>
      <c r="Q343" s="553">
        <f>Table22[[#This Row],[STMR-RAC (median residue)]]</f>
        <v>0</v>
      </c>
      <c r="R343" s="553">
        <f>Table22[[#This Row],[HR-RAC (highest residue)]]</f>
        <v>0</v>
      </c>
      <c r="S343" s="553">
        <f>Table22[[#This Row],[VF (alternative variability factor)]]</f>
        <v>0</v>
      </c>
      <c r="T343" s="553">
        <f>Table22[[#This Row],[GAP under assessment]]</f>
        <v>0</v>
      </c>
      <c r="U343" s="553">
        <f>Table22[[#This Row],[Post-harvest treatment]]</f>
        <v>0</v>
      </c>
      <c r="V343" s="553" t="str">
        <f>Table22[[#This Row],[Chronic RA label]]</f>
        <v/>
      </c>
      <c r="W343" s="553">
        <f>Table22[[#This Row],[Chronic RA input value]]</f>
        <v>0</v>
      </c>
      <c r="X343" s="1684" t="str">
        <f>Table22[[#This Row],[Acute RA label]]</f>
        <v/>
      </c>
      <c r="Y343" s="553">
        <f>Table22[[#This Row],[Acute RA input value]]</f>
        <v>0</v>
      </c>
      <c r="Z343" s="786">
        <f>SUM(Table1[[#This Row],[chronic value &lt;&gt;MRL/LOQ]:[acute vlue&lt;&gt;MRL/LOQ]])</f>
        <v>0</v>
      </c>
      <c r="AA343" s="786">
        <f>IF(AND($F$5="Refined calculation mode",Table1[[#This Row],[GAP under assessment]]="Y"),1,IF(OR(Table1[[#This Row],[Chronic RA label]]="LOQ",Table1[[#This Row],[Chronic RA label]]="",Table1[[#This Row],[Chronic RA label]]="MRL"),0,1))</f>
        <v>0</v>
      </c>
      <c r="AB343" s="787">
        <f>IF(OR(Table1[[#This Row],[Acute RA label]]="LOQ",Table1[[#This Row],[Acute RA label]]="",Table1[[#This Row],[Acute RA label]]="MRL"),0,1)</f>
        <v>0</v>
      </c>
    </row>
    <row r="344" spans="1:28" ht="32.25" hidden="1" thickTop="1" x14ac:dyDescent="0.2">
      <c r="A344" s="815">
        <f>Table1[[#This Row],[Code no.]]</f>
        <v>1013050</v>
      </c>
      <c r="B344" s="793" t="str">
        <f>Table1[[#This Row],[Commodity or group of commodities to which the MRLs apply]]</f>
        <v>Sheep: Edible offals (other than liver and kidney)</v>
      </c>
      <c r="C344" s="794">
        <f>Table1[[#This Row],[MRL/ proposed MRL /CXL
(mg/kg)]]</f>
        <v>0</v>
      </c>
      <c r="D344" s="795">
        <f>Table1[[#This Row],[Source of MRL]]</f>
        <v>0</v>
      </c>
      <c r="E344" s="797">
        <f>Table1[[#This Row],[Chronic RA input value]]</f>
        <v>0</v>
      </c>
      <c r="F344" s="795" t="str">
        <f>Table1[[#This Row],[Chronic RA label]]</f>
        <v/>
      </c>
      <c r="G344" s="797">
        <f>Table1[[#This Row],[Acute RA input value]]</f>
        <v>0</v>
      </c>
      <c r="H344" s="836" t="str">
        <f>Table1[[#This Row],[Acute RA label]]</f>
        <v/>
      </c>
      <c r="J344" s="553">
        <f>Table22[[#This Row],[Code no.]]</f>
        <v>1013050</v>
      </c>
      <c r="K344" s="553" t="str">
        <f>Table22[[#This Row],[Commodity or group of commodities to which the MRLs apply]]</f>
        <v>Sheep: Edible offals (other than liver and kidney)</v>
      </c>
      <c r="L344" s="553">
        <f>Table22[[#This Row],[Source / type of MRL]]</f>
        <v>0</v>
      </c>
      <c r="M344" s="553">
        <f>Table22[[#This Row],[MRL/ proposed MRL /CXL
(mg/kg)]]</f>
        <v>0</v>
      </c>
      <c r="N344" s="553">
        <f>Table22[[#This Row],[LOQ]]</f>
        <v>0</v>
      </c>
      <c r="O344" s="553">
        <f>Table22[[#This Row],[CFrisk for residue definition]]</f>
        <v>0</v>
      </c>
      <c r="P344" s="553">
        <f>Table22[[#This Row],[PeF (peeling factor RD enforcemen)]]</f>
        <v>0</v>
      </c>
      <c r="Q344" s="553">
        <f>Table22[[#This Row],[STMR-RAC (median residue)]]</f>
        <v>0</v>
      </c>
      <c r="R344" s="553">
        <f>Table22[[#This Row],[HR-RAC (highest residue)]]</f>
        <v>0</v>
      </c>
      <c r="S344" s="553">
        <f>Table22[[#This Row],[VF (alternative variability factor)]]</f>
        <v>0</v>
      </c>
      <c r="T344" s="553">
        <f>Table22[[#This Row],[GAP under assessment]]</f>
        <v>0</v>
      </c>
      <c r="U344" s="553">
        <f>Table22[[#This Row],[Post-harvest treatment]]</f>
        <v>0</v>
      </c>
      <c r="V344" s="553" t="str">
        <f>Table22[[#This Row],[Chronic RA label]]</f>
        <v/>
      </c>
      <c r="W344" s="553">
        <f>Table22[[#This Row],[Chronic RA input value]]</f>
        <v>0</v>
      </c>
      <c r="X344" s="1684" t="str">
        <f>Table22[[#This Row],[Acute RA label]]</f>
        <v/>
      </c>
      <c r="Y344" s="553">
        <f>Table22[[#This Row],[Acute RA input value]]</f>
        <v>0</v>
      </c>
      <c r="Z344" s="786">
        <f>SUM(Table1[[#This Row],[chronic value &lt;&gt;MRL/LOQ]:[acute vlue&lt;&gt;MRL/LOQ]])</f>
        <v>0</v>
      </c>
      <c r="AA344" s="786">
        <f>IF(AND($F$5="Refined calculation mode",Table1[[#This Row],[GAP under assessment]]="Y"),1,IF(OR(Table1[[#This Row],[Chronic RA label]]="LOQ",Table1[[#This Row],[Chronic RA label]]="",Table1[[#This Row],[Chronic RA label]]="MRL"),0,1))</f>
        <v>0</v>
      </c>
      <c r="AB344" s="787">
        <f>IF(OR(Table1[[#This Row],[Acute RA label]]="LOQ",Table1[[#This Row],[Acute RA label]]="",Table1[[#This Row],[Acute RA label]]="MRL"),0,1)</f>
        <v>0</v>
      </c>
    </row>
    <row r="345" spans="1:28" ht="21.75" hidden="1" thickTop="1" x14ac:dyDescent="0.2">
      <c r="A345" s="815">
        <f>Table1[[#This Row],[Code no.]]</f>
        <v>1013990</v>
      </c>
      <c r="B345" s="793" t="str">
        <f>Table1[[#This Row],[Commodity or group of commodities to which the MRLs apply]]</f>
        <v>Sheep: other products</v>
      </c>
      <c r="C345" s="794">
        <f>Table1[[#This Row],[MRL/ proposed MRL /CXL
(mg/kg)]]</f>
        <v>0</v>
      </c>
      <c r="D345" s="795">
        <f>Table1[[#This Row],[Source of MRL]]</f>
        <v>0</v>
      </c>
      <c r="E345" s="797">
        <f>Table1[[#This Row],[Chronic RA input value]]</f>
        <v>0</v>
      </c>
      <c r="F345" s="795" t="str">
        <f>Table1[[#This Row],[Chronic RA label]]</f>
        <v/>
      </c>
      <c r="G345" s="797">
        <f>Table1[[#This Row],[Acute RA input value]]</f>
        <v>0</v>
      </c>
      <c r="H345" s="836">
        <f>Table1[[#This Row],[Acute RA label]]</f>
        <v>0</v>
      </c>
      <c r="J345" s="553">
        <f>Table22[[#This Row],[Code no.]]</f>
        <v>1013990</v>
      </c>
      <c r="K345" s="553" t="str">
        <f>Table22[[#This Row],[Commodity or group of commodities to which the MRLs apply]]</f>
        <v>Sheep: other products</v>
      </c>
      <c r="L345" s="553">
        <f>Table22[[#This Row],[Source / type of MRL]]</f>
        <v>0</v>
      </c>
      <c r="M345" s="553">
        <f>Table22[[#This Row],[MRL/ proposed MRL /CXL
(mg/kg)]]</f>
        <v>0</v>
      </c>
      <c r="N345" s="553">
        <f>Table22[[#This Row],[LOQ]]</f>
        <v>0</v>
      </c>
      <c r="O345" s="553">
        <f>Table22[[#This Row],[CFrisk for residue definition]]</f>
        <v>0</v>
      </c>
      <c r="P345" s="553">
        <f>Table22[[#This Row],[PeF (peeling factor RD enforcemen)]]</f>
        <v>0</v>
      </c>
      <c r="Q345" s="553">
        <f>Table22[[#This Row],[STMR-RAC (median residue)]]</f>
        <v>0</v>
      </c>
      <c r="R345" s="553">
        <f>Table22[[#This Row],[HR-RAC (highest residue)]]</f>
        <v>0</v>
      </c>
      <c r="S345" s="553">
        <f>Table22[[#This Row],[VF (alternative variability factor)]]</f>
        <v>0</v>
      </c>
      <c r="T345" s="553">
        <f>Table22[[#This Row],[GAP under assessment]]</f>
        <v>0</v>
      </c>
      <c r="U345" s="553">
        <f>Table22[[#This Row],[Post-harvest treatment]]</f>
        <v>0</v>
      </c>
      <c r="V345" s="553" t="str">
        <f>Table22[[#This Row],[Chronic RA label]]</f>
        <v/>
      </c>
      <c r="W345" s="553">
        <f>Table22[[#This Row],[Chronic RA input value]]</f>
        <v>0</v>
      </c>
      <c r="X345" s="1684"/>
      <c r="Y345" s="553">
        <f>Table22[[#This Row],[Acute RA input value]]</f>
        <v>0</v>
      </c>
      <c r="Z345" s="786">
        <f>SUM(Table1[[#This Row],[chronic value &lt;&gt;MRL/LOQ]:[acute vlue&lt;&gt;MRL/LOQ]])</f>
        <v>0</v>
      </c>
      <c r="AA345" s="786">
        <f>IF(AND($F$5="Refined calculation mode",Table1[[#This Row],[GAP under assessment]]="Y"),1,IF(OR(Table1[[#This Row],[Chronic RA label]]="LOQ",Table1[[#This Row],[Chronic RA label]]="",Table1[[#This Row],[Chronic RA label]]="MRL"),0,1))</f>
        <v>0</v>
      </c>
      <c r="AB345" s="787">
        <f>IF(OR(Table1[[#This Row],[Acute RA label]]="LOQ",Table1[[#This Row],[Acute RA label]]="",Table1[[#This Row],[Acute RA label]]="MRL"),0,1)</f>
        <v>0</v>
      </c>
    </row>
    <row r="346" spans="1:28" ht="13.5" hidden="1" thickTop="1" x14ac:dyDescent="0.2">
      <c r="A346" s="815">
        <f>Table1[[#This Row],[Code no.]]</f>
        <v>1014000</v>
      </c>
      <c r="B346" s="793" t="str">
        <f>Table1[[#This Row],[Commodity or group of commodities to which the MRLs apply]]</f>
        <v xml:space="preserve">Goat </v>
      </c>
      <c r="C346" s="794">
        <f>Table1[[#This Row],[MRL/ proposed MRL /CXL
(mg/kg)]]</f>
        <v>0</v>
      </c>
      <c r="D346" s="795">
        <f>Table1[[#This Row],[Source of MRL]]</f>
        <v>0</v>
      </c>
      <c r="E346" s="797">
        <f>Table1[[#This Row],[Chronic RA input value]]</f>
        <v>0</v>
      </c>
      <c r="F346" s="795">
        <f>Table1[[#This Row],[Chronic RA label]]</f>
        <v>0</v>
      </c>
      <c r="G346" s="797">
        <f>Table1[[#This Row],[Acute RA input value]]</f>
        <v>0</v>
      </c>
      <c r="H346" s="836">
        <f>Table1[[#This Row],[Acute RA label]]</f>
        <v>0</v>
      </c>
      <c r="J346" s="553">
        <f>Table22[[#This Row],[Code no.]]</f>
        <v>1014000</v>
      </c>
      <c r="K346" s="553" t="str">
        <f>Table22[[#This Row],[Commodity or group of commodities to which the MRLs apply]]</f>
        <v xml:space="preserve">Goat </v>
      </c>
      <c r="L346" s="553">
        <f>Table22[[#This Row],[Source / type of MRL]]</f>
        <v>0</v>
      </c>
      <c r="M346" s="553">
        <f>Table22[[#This Row],[MRL/ proposed MRL /CXL
(mg/kg)]]</f>
        <v>0</v>
      </c>
      <c r="N346" s="553">
        <f>Table22[[#This Row],[LOQ]]</f>
        <v>0</v>
      </c>
      <c r="O346" s="553">
        <f>Table22[[#This Row],[CFrisk for residue definition]]</f>
        <v>0</v>
      </c>
      <c r="P346" s="553">
        <f>Table22[[#This Row],[PeF (peeling factor RD enforcemen)]]</f>
        <v>0</v>
      </c>
      <c r="Q346" s="553">
        <f>Table22[[#This Row],[STMR-RAC (median residue)]]</f>
        <v>0</v>
      </c>
      <c r="R346" s="553">
        <f>Table22[[#This Row],[HR-RAC (highest residue)]]</f>
        <v>0</v>
      </c>
      <c r="S346" s="553">
        <f>Table22[[#This Row],[VF (alternative variability factor)]]</f>
        <v>0</v>
      </c>
      <c r="T346" s="553">
        <f>Table22[[#This Row],[GAP under assessment]]</f>
        <v>0</v>
      </c>
      <c r="U346" s="553">
        <f>Table22[[#This Row],[Post-harvest treatment]]</f>
        <v>0</v>
      </c>
      <c r="V346" s="553"/>
      <c r="W346" s="553">
        <f>Table22[[#This Row],[Chronic RA input value]]</f>
        <v>0</v>
      </c>
      <c r="X346" s="1684"/>
      <c r="Y346" s="553">
        <f>Table22[[#This Row],[Acute RA input value]]</f>
        <v>0</v>
      </c>
      <c r="Z346" s="786">
        <f>SUM(Table1[[#This Row],[chronic value &lt;&gt;MRL/LOQ]:[acute vlue&lt;&gt;MRL/LOQ]])</f>
        <v>0</v>
      </c>
      <c r="AA346" s="786">
        <f>IF(AND($F$5="Refined calculation mode",Table1[[#This Row],[GAP under assessment]]="Y"),1,IF(OR(Table1[[#This Row],[Chronic RA label]]="LOQ",Table1[[#This Row],[Chronic RA label]]="",Table1[[#This Row],[Chronic RA label]]="MRL"),0,1))</f>
        <v>0</v>
      </c>
      <c r="AB346" s="787">
        <f>IF(OR(Table1[[#This Row],[Acute RA label]]="LOQ",Table1[[#This Row],[Acute RA label]]="",Table1[[#This Row],[Acute RA label]]="MRL"),0,1)</f>
        <v>0</v>
      </c>
    </row>
    <row r="347" spans="1:28" ht="13.5" hidden="1" thickTop="1" x14ac:dyDescent="0.2">
      <c r="A347" s="815">
        <f>Table1[[#This Row],[Code no.]]</f>
        <v>1014010</v>
      </c>
      <c r="B347" s="793" t="str">
        <f>Table1[[#This Row],[Commodity or group of commodities to which the MRLs apply]]</f>
        <v>Goat: Muscle/meat</v>
      </c>
      <c r="C347" s="794">
        <f>Table1[[#This Row],[MRL/ proposed MRL /CXL
(mg/kg)]]</f>
        <v>0</v>
      </c>
      <c r="D347" s="795">
        <f>Table1[[#This Row],[Source of MRL]]</f>
        <v>0</v>
      </c>
      <c r="E347" s="797">
        <f>Table1[[#This Row],[Chronic RA input value]]</f>
        <v>0</v>
      </c>
      <c r="F347" s="795" t="str">
        <f>Table1[[#This Row],[Chronic RA label]]</f>
        <v/>
      </c>
      <c r="G347" s="797">
        <f>Table1[[#This Row],[Acute RA input value]]</f>
        <v>0</v>
      </c>
      <c r="H347" s="836" t="str">
        <f>Table1[[#This Row],[Acute RA label]]</f>
        <v/>
      </c>
      <c r="J347" s="553">
        <f>Table22[[#This Row],[Code no.]]</f>
        <v>1014010</v>
      </c>
      <c r="K347" s="553" t="str">
        <f>Table22[[#This Row],[Commodity or group of commodities to which the MRLs apply]]</f>
        <v>Goat: Muscle/meat</v>
      </c>
      <c r="L347" s="553">
        <f>Table22[[#This Row],[Source / type of MRL]]</f>
        <v>0</v>
      </c>
      <c r="M347" s="553">
        <f>Table22[[#This Row],[MRL/ proposed MRL /CXL
(mg/kg)]]</f>
        <v>0</v>
      </c>
      <c r="N347" s="553">
        <f>Table22[[#This Row],[LOQ]]</f>
        <v>0</v>
      </c>
      <c r="O347" s="553">
        <f>Table22[[#This Row],[CFrisk for residue definition]]</f>
        <v>0</v>
      </c>
      <c r="P347" s="553">
        <f>Table22[[#This Row],[PeF (peeling factor RD enforcemen)]]</f>
        <v>0</v>
      </c>
      <c r="Q347" s="553">
        <f>Table22[[#This Row],[STMR-RAC (median residue)]]</f>
        <v>0</v>
      </c>
      <c r="R347" s="553">
        <f>Table22[[#This Row],[HR-RAC (highest residue)]]</f>
        <v>0</v>
      </c>
      <c r="S347" s="553">
        <f>Table22[[#This Row],[VF (alternative variability factor)]]</f>
        <v>0</v>
      </c>
      <c r="T347" s="553">
        <f>Table22[[#This Row],[GAP under assessment]]</f>
        <v>0</v>
      </c>
      <c r="U347" s="553">
        <f>Table22[[#This Row],[Post-harvest treatment]]</f>
        <v>0</v>
      </c>
      <c r="V347" s="553" t="str">
        <f>Table22[[#This Row],[Chronic RA label]]</f>
        <v/>
      </c>
      <c r="W347" s="553">
        <f>Table22[[#This Row],[Chronic RA input value]]</f>
        <v>0</v>
      </c>
      <c r="X347" s="1684" t="str">
        <f>Table22[[#This Row],[Acute RA label]]</f>
        <v/>
      </c>
      <c r="Y347" s="553">
        <f>Table22[[#This Row],[Acute RA input value]]</f>
        <v>0</v>
      </c>
      <c r="Z347" s="786">
        <f>SUM(Table1[[#This Row],[chronic value &lt;&gt;MRL/LOQ]:[acute vlue&lt;&gt;MRL/LOQ]])</f>
        <v>0</v>
      </c>
      <c r="AA347" s="786">
        <f>IF(AND($F$5="Refined calculation mode",Table1[[#This Row],[GAP under assessment]]="Y"),1,IF(OR(Table1[[#This Row],[Chronic RA label]]="LOQ",Table1[[#This Row],[Chronic RA label]]="",Table1[[#This Row],[Chronic RA label]]="MRL"),0,1))</f>
        <v>0</v>
      </c>
      <c r="AB347" s="787">
        <f>IF(OR(Table1[[#This Row],[Acute RA label]]="LOQ",Table1[[#This Row],[Acute RA label]]="",Table1[[#This Row],[Acute RA label]]="MRL"),0,1)</f>
        <v>0</v>
      </c>
    </row>
    <row r="348" spans="1:28" ht="13.5" hidden="1" thickTop="1" x14ac:dyDescent="0.2">
      <c r="A348" s="815">
        <f>Table1[[#This Row],[Code no.]]</f>
        <v>1014020</v>
      </c>
      <c r="B348" s="793" t="str">
        <f>Table1[[#This Row],[Commodity or group of commodities to which the MRLs apply]]</f>
        <v>Goat: Fat tissue</v>
      </c>
      <c r="C348" s="794">
        <f>Table1[[#This Row],[MRL/ proposed MRL /CXL
(mg/kg)]]</f>
        <v>0</v>
      </c>
      <c r="D348" s="795">
        <f>Table1[[#This Row],[Source of MRL]]</f>
        <v>0</v>
      </c>
      <c r="E348" s="797">
        <f>Table1[[#This Row],[Chronic RA input value]]</f>
        <v>0</v>
      </c>
      <c r="F348" s="795" t="str">
        <f>Table1[[#This Row],[Chronic RA label]]</f>
        <v/>
      </c>
      <c r="G348" s="797">
        <f>Table1[[#This Row],[Acute RA input value]]</f>
        <v>0</v>
      </c>
      <c r="H348" s="836" t="str">
        <f>Table1[[#This Row],[Acute RA label]]</f>
        <v/>
      </c>
      <c r="J348" s="553">
        <f>Table22[[#This Row],[Code no.]]</f>
        <v>1014020</v>
      </c>
      <c r="K348" s="553" t="str">
        <f>Table22[[#This Row],[Commodity or group of commodities to which the MRLs apply]]</f>
        <v>Goat: Fat tissue</v>
      </c>
      <c r="L348" s="553">
        <f>Table22[[#This Row],[Source / type of MRL]]</f>
        <v>0</v>
      </c>
      <c r="M348" s="553">
        <f>Table22[[#This Row],[MRL/ proposed MRL /CXL
(mg/kg)]]</f>
        <v>0</v>
      </c>
      <c r="N348" s="553">
        <f>Table22[[#This Row],[LOQ]]</f>
        <v>0</v>
      </c>
      <c r="O348" s="553">
        <f>Table22[[#This Row],[CFrisk for residue definition]]</f>
        <v>0</v>
      </c>
      <c r="P348" s="553">
        <f>Table22[[#This Row],[PeF (peeling factor RD enforcemen)]]</f>
        <v>0</v>
      </c>
      <c r="Q348" s="553">
        <f>Table22[[#This Row],[STMR-RAC (median residue)]]</f>
        <v>0</v>
      </c>
      <c r="R348" s="553">
        <f>Table22[[#This Row],[HR-RAC (highest residue)]]</f>
        <v>0</v>
      </c>
      <c r="S348" s="553">
        <f>Table22[[#This Row],[VF (alternative variability factor)]]</f>
        <v>0</v>
      </c>
      <c r="T348" s="553">
        <f>Table22[[#This Row],[GAP under assessment]]</f>
        <v>0</v>
      </c>
      <c r="U348" s="553">
        <f>Table22[[#This Row],[Post-harvest treatment]]</f>
        <v>0</v>
      </c>
      <c r="V348" s="553" t="str">
        <f>Table22[[#This Row],[Chronic RA label]]</f>
        <v/>
      </c>
      <c r="W348" s="553">
        <f>Table22[[#This Row],[Chronic RA input value]]</f>
        <v>0</v>
      </c>
      <c r="X348" s="1684" t="str">
        <f>Table22[[#This Row],[Acute RA label]]</f>
        <v/>
      </c>
      <c r="Y348" s="553">
        <f>Table22[[#This Row],[Acute RA input value]]</f>
        <v>0</v>
      </c>
      <c r="Z348" s="786">
        <f>SUM(Table1[[#This Row],[chronic value &lt;&gt;MRL/LOQ]:[acute vlue&lt;&gt;MRL/LOQ]])</f>
        <v>0</v>
      </c>
      <c r="AA348" s="786">
        <f>IF(AND($F$5="Refined calculation mode",Table1[[#This Row],[GAP under assessment]]="Y"),1,IF(OR(Table1[[#This Row],[Chronic RA label]]="LOQ",Table1[[#This Row],[Chronic RA label]]="",Table1[[#This Row],[Chronic RA label]]="MRL"),0,1))</f>
        <v>0</v>
      </c>
      <c r="AB348" s="787">
        <f>IF(OR(Table1[[#This Row],[Acute RA label]]="LOQ",Table1[[#This Row],[Acute RA label]]="",Table1[[#This Row],[Acute RA label]]="MRL"),0,1)</f>
        <v>0</v>
      </c>
    </row>
    <row r="349" spans="1:28" ht="13.5" hidden="1" thickTop="1" x14ac:dyDescent="0.2">
      <c r="A349" s="815">
        <f>Table1[[#This Row],[Code no.]]</f>
        <v>1014030</v>
      </c>
      <c r="B349" s="793" t="str">
        <f>Table1[[#This Row],[Commodity or group of commodities to which the MRLs apply]]</f>
        <v>Goat: Liver</v>
      </c>
      <c r="C349" s="794">
        <f>Table1[[#This Row],[MRL/ proposed MRL /CXL
(mg/kg)]]</f>
        <v>0</v>
      </c>
      <c r="D349" s="795">
        <f>Table1[[#This Row],[Source of MRL]]</f>
        <v>0</v>
      </c>
      <c r="E349" s="797">
        <f>Table1[[#This Row],[Chronic RA input value]]</f>
        <v>0</v>
      </c>
      <c r="F349" s="795" t="str">
        <f>Table1[[#This Row],[Chronic RA label]]</f>
        <v/>
      </c>
      <c r="G349" s="797">
        <f>Table1[[#This Row],[Acute RA input value]]</f>
        <v>0</v>
      </c>
      <c r="H349" s="836" t="str">
        <f>Table1[[#This Row],[Acute RA label]]</f>
        <v/>
      </c>
      <c r="J349" s="553">
        <f>Table22[[#This Row],[Code no.]]</f>
        <v>1014030</v>
      </c>
      <c r="K349" s="553" t="str">
        <f>Table22[[#This Row],[Commodity or group of commodities to which the MRLs apply]]</f>
        <v>Goat: Liver</v>
      </c>
      <c r="L349" s="553">
        <f>Table22[[#This Row],[Source / type of MRL]]</f>
        <v>0</v>
      </c>
      <c r="M349" s="553">
        <f>Table22[[#This Row],[MRL/ proposed MRL /CXL
(mg/kg)]]</f>
        <v>0</v>
      </c>
      <c r="N349" s="553">
        <f>Table22[[#This Row],[LOQ]]</f>
        <v>0</v>
      </c>
      <c r="O349" s="553">
        <f>Table22[[#This Row],[CFrisk for residue definition]]</f>
        <v>0</v>
      </c>
      <c r="P349" s="553">
        <f>Table22[[#This Row],[PeF (peeling factor RD enforcemen)]]</f>
        <v>0</v>
      </c>
      <c r="Q349" s="553">
        <f>Table22[[#This Row],[STMR-RAC (median residue)]]</f>
        <v>0</v>
      </c>
      <c r="R349" s="553">
        <f>Table22[[#This Row],[HR-RAC (highest residue)]]</f>
        <v>0</v>
      </c>
      <c r="S349" s="553">
        <f>Table22[[#This Row],[VF (alternative variability factor)]]</f>
        <v>0</v>
      </c>
      <c r="T349" s="553">
        <f>Table22[[#This Row],[GAP under assessment]]</f>
        <v>0</v>
      </c>
      <c r="U349" s="553">
        <f>Table22[[#This Row],[Post-harvest treatment]]</f>
        <v>0</v>
      </c>
      <c r="V349" s="553" t="str">
        <f>Table22[[#This Row],[Chronic RA label]]</f>
        <v/>
      </c>
      <c r="W349" s="553">
        <f>Table22[[#This Row],[Chronic RA input value]]</f>
        <v>0</v>
      </c>
      <c r="X349" s="1684" t="str">
        <f>Table22[[#This Row],[Acute RA label]]</f>
        <v/>
      </c>
      <c r="Y349" s="553">
        <f>Table22[[#This Row],[Acute RA input value]]</f>
        <v>0</v>
      </c>
      <c r="Z349" s="786">
        <f>SUM(Table1[[#This Row],[chronic value &lt;&gt;MRL/LOQ]:[acute vlue&lt;&gt;MRL/LOQ]])</f>
        <v>0</v>
      </c>
      <c r="AA349" s="786">
        <f>IF(AND($F$5="Refined calculation mode",Table1[[#This Row],[GAP under assessment]]="Y"),1,IF(OR(Table1[[#This Row],[Chronic RA label]]="LOQ",Table1[[#This Row],[Chronic RA label]]="",Table1[[#This Row],[Chronic RA label]]="MRL"),0,1))</f>
        <v>0</v>
      </c>
      <c r="AB349" s="787">
        <f>IF(OR(Table1[[#This Row],[Acute RA label]]="LOQ",Table1[[#This Row],[Acute RA label]]="",Table1[[#This Row],[Acute RA label]]="MRL"),0,1)</f>
        <v>0</v>
      </c>
    </row>
    <row r="350" spans="1:28" ht="13.5" hidden="1" thickTop="1" x14ac:dyDescent="0.2">
      <c r="A350" s="815">
        <f>Table1[[#This Row],[Code no.]]</f>
        <v>1014040</v>
      </c>
      <c r="B350" s="793" t="str">
        <f>Table1[[#This Row],[Commodity or group of commodities to which the MRLs apply]]</f>
        <v>Goat: Kidney</v>
      </c>
      <c r="C350" s="794">
        <f>Table1[[#This Row],[MRL/ proposed MRL /CXL
(mg/kg)]]</f>
        <v>0</v>
      </c>
      <c r="D350" s="795">
        <f>Table1[[#This Row],[Source of MRL]]</f>
        <v>0</v>
      </c>
      <c r="E350" s="797">
        <f>Table1[[#This Row],[Chronic RA input value]]</f>
        <v>0</v>
      </c>
      <c r="F350" s="795" t="str">
        <f>Table1[[#This Row],[Chronic RA label]]</f>
        <v/>
      </c>
      <c r="G350" s="797">
        <f>Table1[[#This Row],[Acute RA input value]]</f>
        <v>0</v>
      </c>
      <c r="H350" s="836" t="str">
        <f>Table1[[#This Row],[Acute RA label]]</f>
        <v/>
      </c>
      <c r="J350" s="553">
        <f>Table22[[#This Row],[Code no.]]</f>
        <v>1014040</v>
      </c>
      <c r="K350" s="553" t="str">
        <f>Table22[[#This Row],[Commodity or group of commodities to which the MRLs apply]]</f>
        <v>Goat: Kidney</v>
      </c>
      <c r="L350" s="553">
        <f>Table22[[#This Row],[Source / type of MRL]]</f>
        <v>0</v>
      </c>
      <c r="M350" s="553">
        <f>Table22[[#This Row],[MRL/ proposed MRL /CXL
(mg/kg)]]</f>
        <v>0</v>
      </c>
      <c r="N350" s="553">
        <f>Table22[[#This Row],[LOQ]]</f>
        <v>0</v>
      </c>
      <c r="O350" s="553">
        <f>Table22[[#This Row],[CFrisk for residue definition]]</f>
        <v>0</v>
      </c>
      <c r="P350" s="553">
        <f>Table22[[#This Row],[PeF (peeling factor RD enforcemen)]]</f>
        <v>0</v>
      </c>
      <c r="Q350" s="553">
        <f>Table22[[#This Row],[STMR-RAC (median residue)]]</f>
        <v>0</v>
      </c>
      <c r="R350" s="553">
        <f>Table22[[#This Row],[HR-RAC (highest residue)]]</f>
        <v>0</v>
      </c>
      <c r="S350" s="553">
        <f>Table22[[#This Row],[VF (alternative variability factor)]]</f>
        <v>0</v>
      </c>
      <c r="T350" s="553">
        <f>Table22[[#This Row],[GAP under assessment]]</f>
        <v>0</v>
      </c>
      <c r="U350" s="553">
        <f>Table22[[#This Row],[Post-harvest treatment]]</f>
        <v>0</v>
      </c>
      <c r="V350" s="553" t="str">
        <f>Table22[[#This Row],[Chronic RA label]]</f>
        <v/>
      </c>
      <c r="W350" s="553">
        <f>Table22[[#This Row],[Chronic RA input value]]</f>
        <v>0</v>
      </c>
      <c r="X350" s="1684" t="str">
        <f>Table22[[#This Row],[Acute RA label]]</f>
        <v/>
      </c>
      <c r="Y350" s="553">
        <f>Table22[[#This Row],[Acute RA input value]]</f>
        <v>0</v>
      </c>
      <c r="Z350" s="786">
        <f>SUM(Table1[[#This Row],[chronic value &lt;&gt;MRL/LOQ]:[acute vlue&lt;&gt;MRL/LOQ]])</f>
        <v>0</v>
      </c>
      <c r="AA350" s="786">
        <f>IF(AND($F$5="Refined calculation mode",Table1[[#This Row],[GAP under assessment]]="Y"),1,IF(OR(Table1[[#This Row],[Chronic RA label]]="LOQ",Table1[[#This Row],[Chronic RA label]]="",Table1[[#This Row],[Chronic RA label]]="MRL"),0,1))</f>
        <v>0</v>
      </c>
      <c r="AB350" s="787">
        <f>IF(OR(Table1[[#This Row],[Acute RA label]]="LOQ",Table1[[#This Row],[Acute RA label]]="",Table1[[#This Row],[Acute RA label]]="MRL"),0,1)</f>
        <v>0</v>
      </c>
    </row>
    <row r="351" spans="1:28" ht="32.25" hidden="1" thickTop="1" x14ac:dyDescent="0.2">
      <c r="A351" s="815">
        <f>Table1[[#This Row],[Code no.]]</f>
        <v>1014050</v>
      </c>
      <c r="B351" s="793" t="str">
        <f>Table1[[#This Row],[Commodity or group of commodities to which the MRLs apply]]</f>
        <v>Goat: Edible offals (other tha liver and kindey)</v>
      </c>
      <c r="C351" s="794">
        <f>Table1[[#This Row],[MRL/ proposed MRL /CXL
(mg/kg)]]</f>
        <v>0</v>
      </c>
      <c r="D351" s="795">
        <f>Table1[[#This Row],[Source of MRL]]</f>
        <v>0</v>
      </c>
      <c r="E351" s="797">
        <f>Table1[[#This Row],[Chronic RA input value]]</f>
        <v>0</v>
      </c>
      <c r="F351" s="795" t="str">
        <f>Table1[[#This Row],[Chronic RA label]]</f>
        <v/>
      </c>
      <c r="G351" s="797">
        <f>Table1[[#This Row],[Acute RA input value]]</f>
        <v>0</v>
      </c>
      <c r="H351" s="836" t="str">
        <f>Table1[[#This Row],[Acute RA label]]</f>
        <v/>
      </c>
      <c r="J351" s="553">
        <f>Table22[[#This Row],[Code no.]]</f>
        <v>1014050</v>
      </c>
      <c r="K351" s="553" t="str">
        <f>Table22[[#This Row],[Commodity or group of commodities to which the MRLs apply]]</f>
        <v>Goat: Edible offals (other tha liver and kindey)</v>
      </c>
      <c r="L351" s="553">
        <f>Table22[[#This Row],[Source / type of MRL]]</f>
        <v>0</v>
      </c>
      <c r="M351" s="553">
        <f>Table22[[#This Row],[MRL/ proposed MRL /CXL
(mg/kg)]]</f>
        <v>0</v>
      </c>
      <c r="N351" s="553">
        <f>Table22[[#This Row],[LOQ]]</f>
        <v>0</v>
      </c>
      <c r="O351" s="553">
        <f>Table22[[#This Row],[CFrisk for residue definition]]</f>
        <v>0</v>
      </c>
      <c r="P351" s="553">
        <f>Table22[[#This Row],[PeF (peeling factor RD enforcemen)]]</f>
        <v>0</v>
      </c>
      <c r="Q351" s="553">
        <f>Table22[[#This Row],[STMR-RAC (median residue)]]</f>
        <v>0</v>
      </c>
      <c r="R351" s="553">
        <f>Table22[[#This Row],[HR-RAC (highest residue)]]</f>
        <v>0</v>
      </c>
      <c r="S351" s="553">
        <f>Table22[[#This Row],[VF (alternative variability factor)]]</f>
        <v>0</v>
      </c>
      <c r="T351" s="553">
        <f>Table22[[#This Row],[GAP under assessment]]</f>
        <v>0</v>
      </c>
      <c r="U351" s="553">
        <f>Table22[[#This Row],[Post-harvest treatment]]</f>
        <v>0</v>
      </c>
      <c r="V351" s="553" t="str">
        <f>Table22[[#This Row],[Chronic RA label]]</f>
        <v/>
      </c>
      <c r="W351" s="553">
        <f>Table22[[#This Row],[Chronic RA input value]]</f>
        <v>0</v>
      </c>
      <c r="X351" s="1684" t="str">
        <f>Table22[[#This Row],[Acute RA label]]</f>
        <v/>
      </c>
      <c r="Y351" s="553">
        <f>Table22[[#This Row],[Acute RA input value]]</f>
        <v>0</v>
      </c>
      <c r="Z351" s="786">
        <f>SUM(Table1[[#This Row],[chronic value &lt;&gt;MRL/LOQ]:[acute vlue&lt;&gt;MRL/LOQ]])</f>
        <v>0</v>
      </c>
      <c r="AA351" s="786">
        <f>IF(AND($F$5="Refined calculation mode",Table1[[#This Row],[GAP under assessment]]="Y"),1,IF(OR(Table1[[#This Row],[Chronic RA label]]="LOQ",Table1[[#This Row],[Chronic RA label]]="",Table1[[#This Row],[Chronic RA label]]="MRL"),0,1))</f>
        <v>0</v>
      </c>
      <c r="AB351" s="787">
        <f>IF(OR(Table1[[#This Row],[Acute RA label]]="LOQ",Table1[[#This Row],[Acute RA label]]="",Table1[[#This Row],[Acute RA label]]="MRL"),0,1)</f>
        <v>0</v>
      </c>
    </row>
    <row r="352" spans="1:28" ht="21.75" hidden="1" thickTop="1" x14ac:dyDescent="0.2">
      <c r="A352" s="815">
        <f>Table1[[#This Row],[Code no.]]</f>
        <v>1014990</v>
      </c>
      <c r="B352" s="793" t="str">
        <f>Table1[[#This Row],[Commodity or group of commodities to which the MRLs apply]]</f>
        <v>Goat: other products</v>
      </c>
      <c r="C352" s="794">
        <f>Table1[[#This Row],[MRL/ proposed MRL /CXL
(mg/kg)]]</f>
        <v>0</v>
      </c>
      <c r="D352" s="795">
        <f>Table1[[#This Row],[Source of MRL]]</f>
        <v>0</v>
      </c>
      <c r="E352" s="797">
        <f>Table1[[#This Row],[Chronic RA input value]]</f>
        <v>0</v>
      </c>
      <c r="F352" s="795" t="str">
        <f>Table1[[#This Row],[Chronic RA label]]</f>
        <v/>
      </c>
      <c r="G352" s="797">
        <f>Table1[[#This Row],[Acute RA input value]]</f>
        <v>0</v>
      </c>
      <c r="H352" s="836">
        <f>Table1[[#This Row],[Acute RA label]]</f>
        <v>0</v>
      </c>
      <c r="J352" s="553">
        <f>Table22[[#This Row],[Code no.]]</f>
        <v>1014990</v>
      </c>
      <c r="K352" s="553" t="str">
        <f>Table22[[#This Row],[Commodity or group of commodities to which the MRLs apply]]</f>
        <v>Goat: other products</v>
      </c>
      <c r="L352" s="553">
        <f>Table22[[#This Row],[Source / type of MRL]]</f>
        <v>0</v>
      </c>
      <c r="M352" s="553">
        <f>Table22[[#This Row],[MRL/ proposed MRL /CXL
(mg/kg)]]</f>
        <v>0</v>
      </c>
      <c r="N352" s="553">
        <f>Table22[[#This Row],[LOQ]]</f>
        <v>0</v>
      </c>
      <c r="O352" s="553">
        <f>Table22[[#This Row],[CFrisk for residue definition]]</f>
        <v>0</v>
      </c>
      <c r="P352" s="553">
        <f>Table22[[#This Row],[PeF (peeling factor RD enforcemen)]]</f>
        <v>0</v>
      </c>
      <c r="Q352" s="553">
        <f>Table22[[#This Row],[STMR-RAC (median residue)]]</f>
        <v>0</v>
      </c>
      <c r="R352" s="553">
        <f>Table22[[#This Row],[HR-RAC (highest residue)]]</f>
        <v>0</v>
      </c>
      <c r="S352" s="553">
        <f>Table22[[#This Row],[VF (alternative variability factor)]]</f>
        <v>0</v>
      </c>
      <c r="T352" s="553">
        <f>Table22[[#This Row],[GAP under assessment]]</f>
        <v>0</v>
      </c>
      <c r="U352" s="553">
        <f>Table22[[#This Row],[Post-harvest treatment]]</f>
        <v>0</v>
      </c>
      <c r="V352" s="553" t="str">
        <f>Table22[[#This Row],[Chronic RA label]]</f>
        <v/>
      </c>
      <c r="W352" s="553">
        <f>Table22[[#This Row],[Chronic RA input value]]</f>
        <v>0</v>
      </c>
      <c r="X352" s="1684"/>
      <c r="Y352" s="553">
        <f>Table22[[#This Row],[Acute RA input value]]</f>
        <v>0</v>
      </c>
      <c r="Z352" s="786">
        <f>SUM(Table1[[#This Row],[chronic value &lt;&gt;MRL/LOQ]:[acute vlue&lt;&gt;MRL/LOQ]])</f>
        <v>0</v>
      </c>
      <c r="AA352" s="786">
        <f>IF(AND($F$5="Refined calculation mode",Table1[[#This Row],[GAP under assessment]]="Y"),1,IF(OR(Table1[[#This Row],[Chronic RA label]]="LOQ",Table1[[#This Row],[Chronic RA label]]="",Table1[[#This Row],[Chronic RA label]]="MRL"),0,1))</f>
        <v>0</v>
      </c>
      <c r="AB352" s="787">
        <f>IF(OR(Table1[[#This Row],[Acute RA label]]="LOQ",Table1[[#This Row],[Acute RA label]]="",Table1[[#This Row],[Acute RA label]]="MRL"),0,1)</f>
        <v>0</v>
      </c>
    </row>
    <row r="353" spans="1:28" ht="13.5" hidden="1" thickTop="1" x14ac:dyDescent="0.2">
      <c r="A353" s="815">
        <f>Table1[[#This Row],[Code no.]]</f>
        <v>1015000</v>
      </c>
      <c r="B353" s="793" t="str">
        <f>Table1[[#This Row],[Commodity or group of commodities to which the MRLs apply]]</f>
        <v>Equine</v>
      </c>
      <c r="C353" s="794">
        <f>Table1[[#This Row],[MRL/ proposed MRL /CXL
(mg/kg)]]</f>
        <v>0</v>
      </c>
      <c r="D353" s="795">
        <f>Table1[[#This Row],[Source of MRL]]</f>
        <v>0</v>
      </c>
      <c r="E353" s="797">
        <f>Table1[[#This Row],[Chronic RA input value]]</f>
        <v>0</v>
      </c>
      <c r="F353" s="795">
        <f>Table1[[#This Row],[Chronic RA label]]</f>
        <v>0</v>
      </c>
      <c r="G353" s="797">
        <f>Table1[[#This Row],[Acute RA input value]]</f>
        <v>0</v>
      </c>
      <c r="H353" s="836">
        <f>Table1[[#This Row],[Acute RA label]]</f>
        <v>0</v>
      </c>
      <c r="J353" s="553">
        <f>Table22[[#This Row],[Code no.]]</f>
        <v>1015000</v>
      </c>
      <c r="K353" s="553" t="str">
        <f>Table22[[#This Row],[Commodity or group of commodities to which the MRLs apply]]</f>
        <v>Equine</v>
      </c>
      <c r="L353" s="553">
        <f>Table22[[#This Row],[Source / type of MRL]]</f>
        <v>0</v>
      </c>
      <c r="M353" s="553">
        <f>Table22[[#This Row],[MRL/ proposed MRL /CXL
(mg/kg)]]</f>
        <v>0</v>
      </c>
      <c r="N353" s="553">
        <f>Table22[[#This Row],[LOQ]]</f>
        <v>0</v>
      </c>
      <c r="O353" s="553">
        <f>Table22[[#This Row],[CFrisk for residue definition]]</f>
        <v>0</v>
      </c>
      <c r="P353" s="553">
        <f>Table22[[#This Row],[PeF (peeling factor RD enforcemen)]]</f>
        <v>0</v>
      </c>
      <c r="Q353" s="553">
        <f>Table22[[#This Row],[STMR-RAC (median residue)]]</f>
        <v>0</v>
      </c>
      <c r="R353" s="553">
        <f>Table22[[#This Row],[HR-RAC (highest residue)]]</f>
        <v>0</v>
      </c>
      <c r="S353" s="553">
        <f>Table22[[#This Row],[VF (alternative variability factor)]]</f>
        <v>0</v>
      </c>
      <c r="T353" s="553">
        <f>Table22[[#This Row],[GAP under assessment]]</f>
        <v>0</v>
      </c>
      <c r="U353" s="553">
        <f>Table22[[#This Row],[Post-harvest treatment]]</f>
        <v>0</v>
      </c>
      <c r="V353" s="553"/>
      <c r="W353" s="553">
        <f>Table22[[#This Row],[Chronic RA input value]]</f>
        <v>0</v>
      </c>
      <c r="X353" s="1684"/>
      <c r="Y353" s="553">
        <f>Table22[[#This Row],[Acute RA input value]]</f>
        <v>0</v>
      </c>
      <c r="Z353" s="786">
        <f>SUM(Table1[[#This Row],[chronic value &lt;&gt;MRL/LOQ]:[acute vlue&lt;&gt;MRL/LOQ]])</f>
        <v>0</v>
      </c>
      <c r="AA353" s="786">
        <f>IF(AND($F$5="Refined calculation mode",Table1[[#This Row],[GAP under assessment]]="Y"),1,IF(OR(Table1[[#This Row],[Chronic RA label]]="LOQ",Table1[[#This Row],[Chronic RA label]]="",Table1[[#This Row],[Chronic RA label]]="MRL"),0,1))</f>
        <v>0</v>
      </c>
      <c r="AB353" s="787">
        <f>IF(OR(Table1[[#This Row],[Acute RA label]]="LOQ",Table1[[#This Row],[Acute RA label]]="",Table1[[#This Row],[Acute RA label]]="MRL"),0,1)</f>
        <v>0</v>
      </c>
    </row>
    <row r="354" spans="1:28" ht="21.75" hidden="1" thickTop="1" x14ac:dyDescent="0.2">
      <c r="A354" s="815">
        <f>Table1[[#This Row],[Code no.]]</f>
        <v>1015010</v>
      </c>
      <c r="B354" s="793" t="str">
        <f>Table1[[#This Row],[Commodity or group of commodities to which the MRLs apply]]</f>
        <v>Equine: Muscle/meat</v>
      </c>
      <c r="C354" s="794">
        <f>Table1[[#This Row],[MRL/ proposed MRL /CXL
(mg/kg)]]</f>
        <v>0</v>
      </c>
      <c r="D354" s="795">
        <f>Table1[[#This Row],[Source of MRL]]</f>
        <v>0</v>
      </c>
      <c r="E354" s="797">
        <f>Table1[[#This Row],[Chronic RA input value]]</f>
        <v>0</v>
      </c>
      <c r="F354" s="795" t="str">
        <f>Table1[[#This Row],[Chronic RA label]]</f>
        <v/>
      </c>
      <c r="G354" s="797">
        <f>Table1[[#This Row],[Acute RA input value]]</f>
        <v>0</v>
      </c>
      <c r="H354" s="836" t="str">
        <f>Table1[[#This Row],[Acute RA label]]</f>
        <v/>
      </c>
      <c r="J354" s="553">
        <f>Table22[[#This Row],[Code no.]]</f>
        <v>1015010</v>
      </c>
      <c r="K354" s="553" t="str">
        <f>Table22[[#This Row],[Commodity or group of commodities to which the MRLs apply]]</f>
        <v>Equine: Muscle/meat</v>
      </c>
      <c r="L354" s="553">
        <f>Table22[[#This Row],[Source / type of MRL]]</f>
        <v>0</v>
      </c>
      <c r="M354" s="553">
        <f>Table22[[#This Row],[MRL/ proposed MRL /CXL
(mg/kg)]]</f>
        <v>0</v>
      </c>
      <c r="N354" s="553">
        <f>Table22[[#This Row],[LOQ]]</f>
        <v>0</v>
      </c>
      <c r="O354" s="553">
        <f>Table22[[#This Row],[CFrisk for residue definition]]</f>
        <v>0</v>
      </c>
      <c r="P354" s="553">
        <f>Table22[[#This Row],[PeF (peeling factor RD enforcemen)]]</f>
        <v>0</v>
      </c>
      <c r="Q354" s="553">
        <f>Table22[[#This Row],[STMR-RAC (median residue)]]</f>
        <v>0</v>
      </c>
      <c r="R354" s="553">
        <f>Table22[[#This Row],[HR-RAC (highest residue)]]</f>
        <v>0</v>
      </c>
      <c r="S354" s="553">
        <f>Table22[[#This Row],[VF (alternative variability factor)]]</f>
        <v>0</v>
      </c>
      <c r="T354" s="553">
        <f>Table22[[#This Row],[GAP under assessment]]</f>
        <v>0</v>
      </c>
      <c r="U354" s="553">
        <f>Table22[[#This Row],[Post-harvest treatment]]</f>
        <v>0</v>
      </c>
      <c r="V354" s="553" t="str">
        <f>Table22[[#This Row],[Chronic RA label]]</f>
        <v/>
      </c>
      <c r="W354" s="553">
        <f>Table22[[#This Row],[Chronic RA input value]]</f>
        <v>0</v>
      </c>
      <c r="X354" s="1684" t="str">
        <f>Table22[[#This Row],[Acute RA label]]</f>
        <v/>
      </c>
      <c r="Y354" s="553">
        <f>Table22[[#This Row],[Acute RA input value]]</f>
        <v>0</v>
      </c>
      <c r="Z354" s="786">
        <f>SUM(Table1[[#This Row],[chronic value &lt;&gt;MRL/LOQ]:[acute vlue&lt;&gt;MRL/LOQ]])</f>
        <v>0</v>
      </c>
      <c r="AA354" s="786">
        <f>IF(AND($F$5="Refined calculation mode",Table1[[#This Row],[GAP under assessment]]="Y"),1,IF(OR(Table1[[#This Row],[Chronic RA label]]="LOQ",Table1[[#This Row],[Chronic RA label]]="",Table1[[#This Row],[Chronic RA label]]="MRL"),0,1))</f>
        <v>0</v>
      </c>
      <c r="AB354" s="787">
        <f>IF(OR(Table1[[#This Row],[Acute RA label]]="LOQ",Table1[[#This Row],[Acute RA label]]="",Table1[[#This Row],[Acute RA label]]="MRL"),0,1)</f>
        <v>0</v>
      </c>
    </row>
    <row r="355" spans="1:28" ht="13.5" hidden="1" thickTop="1" x14ac:dyDescent="0.2">
      <c r="A355" s="815">
        <f>Table1[[#This Row],[Code no.]]</f>
        <v>1015020</v>
      </c>
      <c r="B355" s="793" t="str">
        <f>Table1[[#This Row],[Commodity or group of commodities to which the MRLs apply]]</f>
        <v>Equine: Fat tissue</v>
      </c>
      <c r="C355" s="794">
        <f>Table1[[#This Row],[MRL/ proposed MRL /CXL
(mg/kg)]]</f>
        <v>0</v>
      </c>
      <c r="D355" s="795">
        <f>Table1[[#This Row],[Source of MRL]]</f>
        <v>0</v>
      </c>
      <c r="E355" s="797">
        <f>Table1[[#This Row],[Chronic RA input value]]</f>
        <v>0</v>
      </c>
      <c r="F355" s="795" t="str">
        <f>Table1[[#This Row],[Chronic RA label]]</f>
        <v/>
      </c>
      <c r="G355" s="797">
        <f>Table1[[#This Row],[Acute RA input value]]</f>
        <v>0</v>
      </c>
      <c r="H355" s="836" t="str">
        <f>Table1[[#This Row],[Acute RA label]]</f>
        <v/>
      </c>
      <c r="J355" s="553">
        <f>Table22[[#This Row],[Code no.]]</f>
        <v>1015020</v>
      </c>
      <c r="K355" s="553" t="str">
        <f>Table22[[#This Row],[Commodity or group of commodities to which the MRLs apply]]</f>
        <v>Equine: Fat tissue</v>
      </c>
      <c r="L355" s="553">
        <f>Table22[[#This Row],[Source / type of MRL]]</f>
        <v>0</v>
      </c>
      <c r="M355" s="553">
        <f>Table22[[#This Row],[MRL/ proposed MRL /CXL
(mg/kg)]]</f>
        <v>0</v>
      </c>
      <c r="N355" s="553">
        <f>Table22[[#This Row],[LOQ]]</f>
        <v>0</v>
      </c>
      <c r="O355" s="553">
        <f>Table22[[#This Row],[CFrisk for residue definition]]</f>
        <v>0</v>
      </c>
      <c r="P355" s="553">
        <f>Table22[[#This Row],[PeF (peeling factor RD enforcemen)]]</f>
        <v>0</v>
      </c>
      <c r="Q355" s="553">
        <f>Table22[[#This Row],[STMR-RAC (median residue)]]</f>
        <v>0</v>
      </c>
      <c r="R355" s="553">
        <f>Table22[[#This Row],[HR-RAC (highest residue)]]</f>
        <v>0</v>
      </c>
      <c r="S355" s="553">
        <f>Table22[[#This Row],[VF (alternative variability factor)]]</f>
        <v>0</v>
      </c>
      <c r="T355" s="553">
        <f>Table22[[#This Row],[GAP under assessment]]</f>
        <v>0</v>
      </c>
      <c r="U355" s="553">
        <f>Table22[[#This Row],[Post-harvest treatment]]</f>
        <v>0</v>
      </c>
      <c r="V355" s="553" t="str">
        <f>Table22[[#This Row],[Chronic RA label]]</f>
        <v/>
      </c>
      <c r="W355" s="553">
        <f>Table22[[#This Row],[Chronic RA input value]]</f>
        <v>0</v>
      </c>
      <c r="X355" s="1684" t="str">
        <f>Table22[[#This Row],[Acute RA label]]</f>
        <v/>
      </c>
      <c r="Y355" s="553">
        <f>Table22[[#This Row],[Acute RA input value]]</f>
        <v>0</v>
      </c>
      <c r="Z355" s="786">
        <f>SUM(Table1[[#This Row],[chronic value &lt;&gt;MRL/LOQ]:[acute vlue&lt;&gt;MRL/LOQ]])</f>
        <v>0</v>
      </c>
      <c r="AA355" s="786">
        <f>IF(AND($F$5="Refined calculation mode",Table1[[#This Row],[GAP under assessment]]="Y"),1,IF(OR(Table1[[#This Row],[Chronic RA label]]="LOQ",Table1[[#This Row],[Chronic RA label]]="",Table1[[#This Row],[Chronic RA label]]="MRL"),0,1))</f>
        <v>0</v>
      </c>
      <c r="AB355" s="787">
        <f>IF(OR(Table1[[#This Row],[Acute RA label]]="LOQ",Table1[[#This Row],[Acute RA label]]="",Table1[[#This Row],[Acute RA label]]="MRL"),0,1)</f>
        <v>0</v>
      </c>
    </row>
    <row r="356" spans="1:28" ht="13.5" hidden="1" thickTop="1" x14ac:dyDescent="0.2">
      <c r="A356" s="815">
        <f>Table1[[#This Row],[Code no.]]</f>
        <v>1015030</v>
      </c>
      <c r="B356" s="793" t="str">
        <f>Table1[[#This Row],[Commodity or group of commodities to which the MRLs apply]]</f>
        <v>Equine: Liver</v>
      </c>
      <c r="C356" s="794">
        <f>Table1[[#This Row],[MRL/ proposed MRL /CXL
(mg/kg)]]</f>
        <v>0</v>
      </c>
      <c r="D356" s="795">
        <f>Table1[[#This Row],[Source of MRL]]</f>
        <v>0</v>
      </c>
      <c r="E356" s="797">
        <f>Table1[[#This Row],[Chronic RA input value]]</f>
        <v>0</v>
      </c>
      <c r="F356" s="795" t="str">
        <f>Table1[[#This Row],[Chronic RA label]]</f>
        <v/>
      </c>
      <c r="G356" s="797">
        <f>Table1[[#This Row],[Acute RA input value]]</f>
        <v>0</v>
      </c>
      <c r="H356" s="836" t="str">
        <f>Table1[[#This Row],[Acute RA label]]</f>
        <v/>
      </c>
      <c r="J356" s="553">
        <f>Table22[[#This Row],[Code no.]]</f>
        <v>1015030</v>
      </c>
      <c r="K356" s="553" t="str">
        <f>Table22[[#This Row],[Commodity or group of commodities to which the MRLs apply]]</f>
        <v>Equine: Liver</v>
      </c>
      <c r="L356" s="553">
        <f>Table22[[#This Row],[Source / type of MRL]]</f>
        <v>0</v>
      </c>
      <c r="M356" s="553">
        <f>Table22[[#This Row],[MRL/ proposed MRL /CXL
(mg/kg)]]</f>
        <v>0</v>
      </c>
      <c r="N356" s="553">
        <f>Table22[[#This Row],[LOQ]]</f>
        <v>0</v>
      </c>
      <c r="O356" s="553">
        <f>Table22[[#This Row],[CFrisk for residue definition]]</f>
        <v>0</v>
      </c>
      <c r="P356" s="553">
        <f>Table22[[#This Row],[PeF (peeling factor RD enforcemen)]]</f>
        <v>0</v>
      </c>
      <c r="Q356" s="553">
        <f>Table22[[#This Row],[STMR-RAC (median residue)]]</f>
        <v>0</v>
      </c>
      <c r="R356" s="553">
        <f>Table22[[#This Row],[HR-RAC (highest residue)]]</f>
        <v>0</v>
      </c>
      <c r="S356" s="553">
        <f>Table22[[#This Row],[VF (alternative variability factor)]]</f>
        <v>0</v>
      </c>
      <c r="T356" s="553">
        <f>Table22[[#This Row],[GAP under assessment]]</f>
        <v>0</v>
      </c>
      <c r="U356" s="553">
        <f>Table22[[#This Row],[Post-harvest treatment]]</f>
        <v>0</v>
      </c>
      <c r="V356" s="553" t="str">
        <f>Table22[[#This Row],[Chronic RA label]]</f>
        <v/>
      </c>
      <c r="W356" s="553">
        <f>Table22[[#This Row],[Chronic RA input value]]</f>
        <v>0</v>
      </c>
      <c r="X356" s="1684" t="str">
        <f>Table22[[#This Row],[Acute RA label]]</f>
        <v/>
      </c>
      <c r="Y356" s="553">
        <f>Table22[[#This Row],[Acute RA input value]]</f>
        <v>0</v>
      </c>
      <c r="Z356" s="786">
        <f>SUM(Table1[[#This Row],[chronic value &lt;&gt;MRL/LOQ]:[acute vlue&lt;&gt;MRL/LOQ]])</f>
        <v>0</v>
      </c>
      <c r="AA356" s="786">
        <f>IF(AND($F$5="Refined calculation mode",Table1[[#This Row],[GAP under assessment]]="Y"),1,IF(OR(Table1[[#This Row],[Chronic RA label]]="LOQ",Table1[[#This Row],[Chronic RA label]]="",Table1[[#This Row],[Chronic RA label]]="MRL"),0,1))</f>
        <v>0</v>
      </c>
      <c r="AB356" s="787">
        <f>IF(OR(Table1[[#This Row],[Acute RA label]]="LOQ",Table1[[#This Row],[Acute RA label]]="",Table1[[#This Row],[Acute RA label]]="MRL"),0,1)</f>
        <v>0</v>
      </c>
    </row>
    <row r="357" spans="1:28" ht="13.5" hidden="1" thickTop="1" x14ac:dyDescent="0.2">
      <c r="A357" s="815">
        <f>Table1[[#This Row],[Code no.]]</f>
        <v>1015040</v>
      </c>
      <c r="B357" s="793" t="str">
        <f>Table1[[#This Row],[Commodity or group of commodities to which the MRLs apply]]</f>
        <v>Equine: Kidney</v>
      </c>
      <c r="C357" s="794">
        <f>Table1[[#This Row],[MRL/ proposed MRL /CXL
(mg/kg)]]</f>
        <v>0</v>
      </c>
      <c r="D357" s="795">
        <f>Table1[[#This Row],[Source of MRL]]</f>
        <v>0</v>
      </c>
      <c r="E357" s="797">
        <f>Table1[[#This Row],[Chronic RA input value]]</f>
        <v>0</v>
      </c>
      <c r="F357" s="795" t="str">
        <f>Table1[[#This Row],[Chronic RA label]]</f>
        <v/>
      </c>
      <c r="G357" s="797">
        <f>Table1[[#This Row],[Acute RA input value]]</f>
        <v>0</v>
      </c>
      <c r="H357" s="836" t="str">
        <f>Table1[[#This Row],[Acute RA label]]</f>
        <v/>
      </c>
      <c r="J357" s="553">
        <f>Table22[[#This Row],[Code no.]]</f>
        <v>1015040</v>
      </c>
      <c r="K357" s="553" t="str">
        <f>Table22[[#This Row],[Commodity or group of commodities to which the MRLs apply]]</f>
        <v>Equine: Kidney</v>
      </c>
      <c r="L357" s="553">
        <f>Table22[[#This Row],[Source / type of MRL]]</f>
        <v>0</v>
      </c>
      <c r="M357" s="553">
        <f>Table22[[#This Row],[MRL/ proposed MRL /CXL
(mg/kg)]]</f>
        <v>0</v>
      </c>
      <c r="N357" s="553">
        <f>Table22[[#This Row],[LOQ]]</f>
        <v>0</v>
      </c>
      <c r="O357" s="553">
        <f>Table22[[#This Row],[CFrisk for residue definition]]</f>
        <v>0</v>
      </c>
      <c r="P357" s="553">
        <f>Table22[[#This Row],[PeF (peeling factor RD enforcemen)]]</f>
        <v>0</v>
      </c>
      <c r="Q357" s="553">
        <f>Table22[[#This Row],[STMR-RAC (median residue)]]</f>
        <v>0</v>
      </c>
      <c r="R357" s="553">
        <f>Table22[[#This Row],[HR-RAC (highest residue)]]</f>
        <v>0</v>
      </c>
      <c r="S357" s="553">
        <f>Table22[[#This Row],[VF (alternative variability factor)]]</f>
        <v>0</v>
      </c>
      <c r="T357" s="553">
        <f>Table22[[#This Row],[GAP under assessment]]</f>
        <v>0</v>
      </c>
      <c r="U357" s="553">
        <f>Table22[[#This Row],[Post-harvest treatment]]</f>
        <v>0</v>
      </c>
      <c r="V357" s="553" t="str">
        <f>Table22[[#This Row],[Chronic RA label]]</f>
        <v/>
      </c>
      <c r="W357" s="553">
        <f>Table22[[#This Row],[Chronic RA input value]]</f>
        <v>0</v>
      </c>
      <c r="X357" s="1684" t="str">
        <f>Table22[[#This Row],[Acute RA label]]</f>
        <v/>
      </c>
      <c r="Y357" s="553">
        <f>Table22[[#This Row],[Acute RA input value]]</f>
        <v>0</v>
      </c>
      <c r="Z357" s="786">
        <f>SUM(Table1[[#This Row],[chronic value &lt;&gt;MRL/LOQ]:[acute vlue&lt;&gt;MRL/LOQ]])</f>
        <v>0</v>
      </c>
      <c r="AA357" s="786">
        <f>IF(AND($F$5="Refined calculation mode",Table1[[#This Row],[GAP under assessment]]="Y"),1,IF(OR(Table1[[#This Row],[Chronic RA label]]="LOQ",Table1[[#This Row],[Chronic RA label]]="",Table1[[#This Row],[Chronic RA label]]="MRL"),0,1))</f>
        <v>0</v>
      </c>
      <c r="AB357" s="787">
        <f>IF(OR(Table1[[#This Row],[Acute RA label]]="LOQ",Table1[[#This Row],[Acute RA label]]="",Table1[[#This Row],[Acute RA label]]="MRL"),0,1)</f>
        <v>0</v>
      </c>
    </row>
    <row r="358" spans="1:28" ht="32.25" hidden="1" thickTop="1" x14ac:dyDescent="0.2">
      <c r="A358" s="815">
        <f>Table1[[#This Row],[Code no.]]</f>
        <v>1015050</v>
      </c>
      <c r="B358" s="793" t="str">
        <f>Table1[[#This Row],[Commodity or group of commodities to which the MRLs apply]]</f>
        <v>Equine: Edible offals (other than liver and kidney)</v>
      </c>
      <c r="C358" s="794">
        <f>Table1[[#This Row],[MRL/ proposed MRL /CXL
(mg/kg)]]</f>
        <v>0</v>
      </c>
      <c r="D358" s="795">
        <f>Table1[[#This Row],[Source of MRL]]</f>
        <v>0</v>
      </c>
      <c r="E358" s="797">
        <f>Table1[[#This Row],[Chronic RA input value]]</f>
        <v>0</v>
      </c>
      <c r="F358" s="795" t="str">
        <f>Table1[[#This Row],[Chronic RA label]]</f>
        <v/>
      </c>
      <c r="G358" s="797">
        <f>Table1[[#This Row],[Acute RA input value]]</f>
        <v>0</v>
      </c>
      <c r="H358" s="836" t="str">
        <f>Table1[[#This Row],[Acute RA label]]</f>
        <v/>
      </c>
      <c r="J358" s="553">
        <f>Table22[[#This Row],[Code no.]]</f>
        <v>1015050</v>
      </c>
      <c r="K358" s="553" t="str">
        <f>Table22[[#This Row],[Commodity or group of commodities to which the MRLs apply]]</f>
        <v>Equine: Edible offals (other than liver and kidney)</v>
      </c>
      <c r="L358" s="553">
        <f>Table22[[#This Row],[Source / type of MRL]]</f>
        <v>0</v>
      </c>
      <c r="M358" s="553">
        <f>Table22[[#This Row],[MRL/ proposed MRL /CXL
(mg/kg)]]</f>
        <v>0</v>
      </c>
      <c r="N358" s="553">
        <f>Table22[[#This Row],[LOQ]]</f>
        <v>0</v>
      </c>
      <c r="O358" s="553">
        <f>Table22[[#This Row],[CFrisk for residue definition]]</f>
        <v>0</v>
      </c>
      <c r="P358" s="553">
        <f>Table22[[#This Row],[PeF (peeling factor RD enforcemen)]]</f>
        <v>0</v>
      </c>
      <c r="Q358" s="553">
        <f>Table22[[#This Row],[STMR-RAC (median residue)]]</f>
        <v>0</v>
      </c>
      <c r="R358" s="553">
        <f>Table22[[#This Row],[HR-RAC (highest residue)]]</f>
        <v>0</v>
      </c>
      <c r="S358" s="553">
        <f>Table22[[#This Row],[VF (alternative variability factor)]]</f>
        <v>0</v>
      </c>
      <c r="T358" s="553">
        <f>Table22[[#This Row],[GAP under assessment]]</f>
        <v>0</v>
      </c>
      <c r="U358" s="553">
        <f>Table22[[#This Row],[Post-harvest treatment]]</f>
        <v>0</v>
      </c>
      <c r="V358" s="553" t="str">
        <f>Table22[[#This Row],[Chronic RA label]]</f>
        <v/>
      </c>
      <c r="W358" s="553">
        <f>Table22[[#This Row],[Chronic RA input value]]</f>
        <v>0</v>
      </c>
      <c r="X358" s="1684" t="str">
        <f>Table22[[#This Row],[Acute RA label]]</f>
        <v/>
      </c>
      <c r="Y358" s="553">
        <f>Table22[[#This Row],[Acute RA input value]]</f>
        <v>0</v>
      </c>
      <c r="Z358" s="786">
        <f>SUM(Table1[[#This Row],[chronic value &lt;&gt;MRL/LOQ]:[acute vlue&lt;&gt;MRL/LOQ]])</f>
        <v>0</v>
      </c>
      <c r="AA358" s="786">
        <f>IF(AND($F$5="Refined calculation mode",Table1[[#This Row],[GAP under assessment]]="Y"),1,IF(OR(Table1[[#This Row],[Chronic RA label]]="LOQ",Table1[[#This Row],[Chronic RA label]]="",Table1[[#This Row],[Chronic RA label]]="MRL"),0,1))</f>
        <v>0</v>
      </c>
      <c r="AB358" s="787">
        <f>IF(OR(Table1[[#This Row],[Acute RA label]]="LOQ",Table1[[#This Row],[Acute RA label]]="",Table1[[#This Row],[Acute RA label]]="MRL"),0,1)</f>
        <v>0</v>
      </c>
    </row>
    <row r="359" spans="1:28" ht="21.75" hidden="1" thickTop="1" x14ac:dyDescent="0.2">
      <c r="A359" s="815">
        <f>Table1[[#This Row],[Code no.]]</f>
        <v>1015990</v>
      </c>
      <c r="B359" s="793" t="str">
        <f>Table1[[#This Row],[Commodity or group of commodities to which the MRLs apply]]</f>
        <v>Equine: Other products</v>
      </c>
      <c r="C359" s="794">
        <f>Table1[[#This Row],[MRL/ proposed MRL /CXL
(mg/kg)]]</f>
        <v>0</v>
      </c>
      <c r="D359" s="795">
        <f>Table1[[#This Row],[Source of MRL]]</f>
        <v>0</v>
      </c>
      <c r="E359" s="797">
        <f>Table1[[#This Row],[Chronic RA input value]]</f>
        <v>0</v>
      </c>
      <c r="F359" s="795" t="str">
        <f>Table1[[#This Row],[Chronic RA label]]</f>
        <v/>
      </c>
      <c r="G359" s="797">
        <f>Table1[[#This Row],[Acute RA input value]]</f>
        <v>0</v>
      </c>
      <c r="H359" s="836">
        <f>Table1[[#This Row],[Acute RA label]]</f>
        <v>0</v>
      </c>
      <c r="J359" s="553">
        <f>Table22[[#This Row],[Code no.]]</f>
        <v>1015990</v>
      </c>
      <c r="K359" s="553" t="str">
        <f>Table22[[#This Row],[Commodity or group of commodities to which the MRLs apply]]</f>
        <v>Equine: Other products</v>
      </c>
      <c r="L359" s="553">
        <f>Table22[[#This Row],[Source / type of MRL]]</f>
        <v>0</v>
      </c>
      <c r="M359" s="553">
        <f>Table22[[#This Row],[MRL/ proposed MRL /CXL
(mg/kg)]]</f>
        <v>0</v>
      </c>
      <c r="N359" s="553">
        <f>Table22[[#This Row],[LOQ]]</f>
        <v>0</v>
      </c>
      <c r="O359" s="553">
        <f>Table22[[#This Row],[CFrisk for residue definition]]</f>
        <v>0</v>
      </c>
      <c r="P359" s="553">
        <f>Table22[[#This Row],[PeF (peeling factor RD enforcemen)]]</f>
        <v>0</v>
      </c>
      <c r="Q359" s="553">
        <f>Table22[[#This Row],[STMR-RAC (median residue)]]</f>
        <v>0</v>
      </c>
      <c r="R359" s="553">
        <f>Table22[[#This Row],[HR-RAC (highest residue)]]</f>
        <v>0</v>
      </c>
      <c r="S359" s="553">
        <f>Table22[[#This Row],[VF (alternative variability factor)]]</f>
        <v>0</v>
      </c>
      <c r="T359" s="553">
        <f>Table22[[#This Row],[GAP under assessment]]</f>
        <v>0</v>
      </c>
      <c r="U359" s="553">
        <f>Table22[[#This Row],[Post-harvest treatment]]</f>
        <v>0</v>
      </c>
      <c r="V359" s="553" t="str">
        <f>Table22[[#This Row],[Chronic RA label]]</f>
        <v/>
      </c>
      <c r="W359" s="553">
        <f>Table22[[#This Row],[Chronic RA input value]]</f>
        <v>0</v>
      </c>
      <c r="X359" s="1684"/>
      <c r="Y359" s="553">
        <f>Table22[[#This Row],[Acute RA input value]]</f>
        <v>0</v>
      </c>
      <c r="Z359" s="786">
        <f>SUM(Table1[[#This Row],[chronic value &lt;&gt;MRL/LOQ]:[acute vlue&lt;&gt;MRL/LOQ]])</f>
        <v>0</v>
      </c>
      <c r="AA359" s="786">
        <f>IF(AND($F$5="Refined calculation mode",Table1[[#This Row],[GAP under assessment]]="Y"),1,IF(OR(Table1[[#This Row],[Chronic RA label]]="LOQ",Table1[[#This Row],[Chronic RA label]]="",Table1[[#This Row],[Chronic RA label]]="MRL"),0,1))</f>
        <v>0</v>
      </c>
      <c r="AB359" s="787">
        <f>IF(OR(Table1[[#This Row],[Acute RA label]]="LOQ",Table1[[#This Row],[Acute RA label]]="",Table1[[#This Row],[Acute RA label]]="MRL"),0,1)</f>
        <v>0</v>
      </c>
    </row>
    <row r="360" spans="1:28" ht="13.5" hidden="1" thickTop="1" x14ac:dyDescent="0.2">
      <c r="A360" s="815">
        <f>Table1[[#This Row],[Code no.]]</f>
        <v>1016000</v>
      </c>
      <c r="B360" s="793" t="str">
        <f>Table1[[#This Row],[Commodity or group of commodities to which the MRLs apply]]</f>
        <v>Poultry</v>
      </c>
      <c r="C360" s="794">
        <f>Table1[[#This Row],[MRL/ proposed MRL /CXL
(mg/kg)]]</f>
        <v>0</v>
      </c>
      <c r="D360" s="795">
        <f>Table1[[#This Row],[Source of MRL]]</f>
        <v>0</v>
      </c>
      <c r="E360" s="797">
        <f>Table1[[#This Row],[Chronic RA input value]]</f>
        <v>0</v>
      </c>
      <c r="F360" s="795">
        <f>Table1[[#This Row],[Chronic RA label]]</f>
        <v>0</v>
      </c>
      <c r="G360" s="797">
        <f>Table1[[#This Row],[Acute RA input value]]</f>
        <v>0</v>
      </c>
      <c r="H360" s="836">
        <f>Table1[[#This Row],[Acute RA label]]</f>
        <v>0</v>
      </c>
      <c r="J360" s="553">
        <f>Table22[[#This Row],[Code no.]]</f>
        <v>1016000</v>
      </c>
      <c r="K360" s="553" t="str">
        <f>Table22[[#This Row],[Commodity or group of commodities to which the MRLs apply]]</f>
        <v>Poultry</v>
      </c>
      <c r="L360" s="553">
        <f>Table22[[#This Row],[Source / type of MRL]]</f>
        <v>0</v>
      </c>
      <c r="M360" s="553">
        <f>Table22[[#This Row],[MRL/ proposed MRL /CXL
(mg/kg)]]</f>
        <v>0</v>
      </c>
      <c r="N360" s="553">
        <f>Table22[[#This Row],[LOQ]]</f>
        <v>0</v>
      </c>
      <c r="O360" s="553">
        <f>Table22[[#This Row],[CFrisk for residue definition]]</f>
        <v>0</v>
      </c>
      <c r="P360" s="553">
        <f>Table22[[#This Row],[PeF (peeling factor RD enforcemen)]]</f>
        <v>0</v>
      </c>
      <c r="Q360" s="553">
        <f>Table22[[#This Row],[STMR-RAC (median residue)]]</f>
        <v>0</v>
      </c>
      <c r="R360" s="553">
        <f>Table22[[#This Row],[HR-RAC (highest residue)]]</f>
        <v>0</v>
      </c>
      <c r="S360" s="553">
        <f>Table22[[#This Row],[VF (alternative variability factor)]]</f>
        <v>0</v>
      </c>
      <c r="T360" s="553">
        <f>Table22[[#This Row],[GAP under assessment]]</f>
        <v>0</v>
      </c>
      <c r="U360" s="553">
        <f>Table22[[#This Row],[Post-harvest treatment]]</f>
        <v>0</v>
      </c>
      <c r="V360" s="553"/>
      <c r="W360" s="553">
        <f>Table22[[#This Row],[Chronic RA input value]]</f>
        <v>0</v>
      </c>
      <c r="X360" s="1684"/>
      <c r="Y360" s="553">
        <f>Table22[[#This Row],[Acute RA input value]]</f>
        <v>0</v>
      </c>
      <c r="Z360" s="786">
        <f>SUM(Table1[[#This Row],[chronic value &lt;&gt;MRL/LOQ]:[acute vlue&lt;&gt;MRL/LOQ]])</f>
        <v>0</v>
      </c>
      <c r="AA360" s="786">
        <f>IF(AND($F$5="Refined calculation mode",Table1[[#This Row],[GAP under assessment]]="Y"),1,IF(OR(Table1[[#This Row],[Chronic RA label]]="LOQ",Table1[[#This Row],[Chronic RA label]]="",Table1[[#This Row],[Chronic RA label]]="MRL"),0,1))</f>
        <v>0</v>
      </c>
      <c r="AB360" s="787">
        <f>IF(OR(Table1[[#This Row],[Acute RA label]]="LOQ",Table1[[#This Row],[Acute RA label]]="",Table1[[#This Row],[Acute RA label]]="MRL"),0,1)</f>
        <v>0</v>
      </c>
    </row>
    <row r="361" spans="1:28" ht="21.75" hidden="1" thickTop="1" x14ac:dyDescent="0.2">
      <c r="A361" s="815">
        <f>Table1[[#This Row],[Code no.]]</f>
        <v>1016010</v>
      </c>
      <c r="B361" s="793" t="str">
        <f>Table1[[#This Row],[Commodity or group of commodities to which the MRLs apply]]</f>
        <v>Poultry: Muscle/meat</v>
      </c>
      <c r="C361" s="794">
        <f>Table1[[#This Row],[MRL/ proposed MRL /CXL
(mg/kg)]]</f>
        <v>0</v>
      </c>
      <c r="D361" s="795">
        <f>Table1[[#This Row],[Source of MRL]]</f>
        <v>0</v>
      </c>
      <c r="E361" s="797">
        <f>Table1[[#This Row],[Chronic RA input value]]</f>
        <v>0</v>
      </c>
      <c r="F361" s="795" t="str">
        <f>Table1[[#This Row],[Chronic RA label]]</f>
        <v/>
      </c>
      <c r="G361" s="797">
        <f>Table1[[#This Row],[Acute RA input value]]</f>
        <v>0</v>
      </c>
      <c r="H361" s="836" t="str">
        <f>Table1[[#This Row],[Acute RA label]]</f>
        <v/>
      </c>
      <c r="J361" s="553">
        <f>Table22[[#This Row],[Code no.]]</f>
        <v>1016010</v>
      </c>
      <c r="K361" s="553" t="str">
        <f>Table22[[#This Row],[Commodity or group of commodities to which the MRLs apply]]</f>
        <v>Poultry: Muscle/meat</v>
      </c>
      <c r="L361" s="553">
        <f>Table22[[#This Row],[Source / type of MRL]]</f>
        <v>0</v>
      </c>
      <c r="M361" s="553">
        <f>Table22[[#This Row],[MRL/ proposed MRL /CXL
(mg/kg)]]</f>
        <v>0</v>
      </c>
      <c r="N361" s="553">
        <f>Table22[[#This Row],[LOQ]]</f>
        <v>0</v>
      </c>
      <c r="O361" s="553">
        <f>Table22[[#This Row],[CFrisk for residue definition]]</f>
        <v>0</v>
      </c>
      <c r="P361" s="553">
        <f>Table22[[#This Row],[PeF (peeling factor RD enforcemen)]]</f>
        <v>0</v>
      </c>
      <c r="Q361" s="553">
        <f>Table22[[#This Row],[STMR-RAC (median residue)]]</f>
        <v>0</v>
      </c>
      <c r="R361" s="553">
        <f>Table22[[#This Row],[HR-RAC (highest residue)]]</f>
        <v>0</v>
      </c>
      <c r="S361" s="553">
        <f>Table22[[#This Row],[VF (alternative variability factor)]]</f>
        <v>0</v>
      </c>
      <c r="T361" s="553">
        <f>Table22[[#This Row],[GAP under assessment]]</f>
        <v>0</v>
      </c>
      <c r="U361" s="553">
        <f>Table22[[#This Row],[Post-harvest treatment]]</f>
        <v>0</v>
      </c>
      <c r="V361" s="553" t="str">
        <f>Table22[[#This Row],[Chronic RA label]]</f>
        <v/>
      </c>
      <c r="W361" s="553">
        <f>Table22[[#This Row],[Chronic RA input value]]</f>
        <v>0</v>
      </c>
      <c r="X361" s="1684" t="str">
        <f>Table22[[#This Row],[Acute RA label]]</f>
        <v/>
      </c>
      <c r="Y361" s="553">
        <f>Table22[[#This Row],[Acute RA input value]]</f>
        <v>0</v>
      </c>
      <c r="Z361" s="786">
        <f>SUM(Table1[[#This Row],[chronic value &lt;&gt;MRL/LOQ]:[acute vlue&lt;&gt;MRL/LOQ]])</f>
        <v>0</v>
      </c>
      <c r="AA361" s="786">
        <f>IF(AND($F$5="Refined calculation mode",Table1[[#This Row],[GAP under assessment]]="Y"),1,IF(OR(Table1[[#This Row],[Chronic RA label]]="LOQ",Table1[[#This Row],[Chronic RA label]]="",Table1[[#This Row],[Chronic RA label]]="MRL"),0,1))</f>
        <v>0</v>
      </c>
      <c r="AB361" s="787">
        <f>IF(OR(Table1[[#This Row],[Acute RA label]]="LOQ",Table1[[#This Row],[Acute RA label]]="",Table1[[#This Row],[Acute RA label]]="MRL"),0,1)</f>
        <v>0</v>
      </c>
    </row>
    <row r="362" spans="1:28" ht="13.5" hidden="1" thickTop="1" x14ac:dyDescent="0.2">
      <c r="A362" s="815">
        <f>Table1[[#This Row],[Code no.]]</f>
        <v>1016020</v>
      </c>
      <c r="B362" s="793" t="str">
        <f>Table1[[#This Row],[Commodity or group of commodities to which the MRLs apply]]</f>
        <v>Poultry: Fat tissue</v>
      </c>
      <c r="C362" s="794">
        <f>Table1[[#This Row],[MRL/ proposed MRL /CXL
(mg/kg)]]</f>
        <v>0</v>
      </c>
      <c r="D362" s="795">
        <f>Table1[[#This Row],[Source of MRL]]</f>
        <v>0</v>
      </c>
      <c r="E362" s="797">
        <f>Table1[[#This Row],[Chronic RA input value]]</f>
        <v>0</v>
      </c>
      <c r="F362" s="795" t="str">
        <f>Table1[[#This Row],[Chronic RA label]]</f>
        <v/>
      </c>
      <c r="G362" s="797">
        <f>Table1[[#This Row],[Acute RA input value]]</f>
        <v>0</v>
      </c>
      <c r="H362" s="836" t="str">
        <f>Table1[[#This Row],[Acute RA label]]</f>
        <v/>
      </c>
      <c r="J362" s="553">
        <f>Table22[[#This Row],[Code no.]]</f>
        <v>1016020</v>
      </c>
      <c r="K362" s="553" t="str">
        <f>Table22[[#This Row],[Commodity or group of commodities to which the MRLs apply]]</f>
        <v>Poultry: Fat tissue</v>
      </c>
      <c r="L362" s="553">
        <f>Table22[[#This Row],[Source / type of MRL]]</f>
        <v>0</v>
      </c>
      <c r="M362" s="553">
        <f>Table22[[#This Row],[MRL/ proposed MRL /CXL
(mg/kg)]]</f>
        <v>0</v>
      </c>
      <c r="N362" s="553">
        <f>Table22[[#This Row],[LOQ]]</f>
        <v>0</v>
      </c>
      <c r="O362" s="553">
        <f>Table22[[#This Row],[CFrisk for residue definition]]</f>
        <v>0</v>
      </c>
      <c r="P362" s="553">
        <f>Table22[[#This Row],[PeF (peeling factor RD enforcemen)]]</f>
        <v>0</v>
      </c>
      <c r="Q362" s="553">
        <f>Table22[[#This Row],[STMR-RAC (median residue)]]</f>
        <v>0</v>
      </c>
      <c r="R362" s="553">
        <f>Table22[[#This Row],[HR-RAC (highest residue)]]</f>
        <v>0</v>
      </c>
      <c r="S362" s="553">
        <f>Table22[[#This Row],[VF (alternative variability factor)]]</f>
        <v>0</v>
      </c>
      <c r="T362" s="553">
        <f>Table22[[#This Row],[GAP under assessment]]</f>
        <v>0</v>
      </c>
      <c r="U362" s="553">
        <f>Table22[[#This Row],[Post-harvest treatment]]</f>
        <v>0</v>
      </c>
      <c r="V362" s="553" t="str">
        <f>Table22[[#This Row],[Chronic RA label]]</f>
        <v/>
      </c>
      <c r="W362" s="553">
        <f>Table22[[#This Row],[Chronic RA input value]]</f>
        <v>0</v>
      </c>
      <c r="X362" s="1684" t="str">
        <f>Table22[[#This Row],[Acute RA label]]</f>
        <v/>
      </c>
      <c r="Y362" s="553">
        <f>Table22[[#This Row],[Acute RA input value]]</f>
        <v>0</v>
      </c>
      <c r="Z362" s="786">
        <f>SUM(Table1[[#This Row],[chronic value &lt;&gt;MRL/LOQ]:[acute vlue&lt;&gt;MRL/LOQ]])</f>
        <v>0</v>
      </c>
      <c r="AA362" s="786">
        <f>IF(AND($F$5="Refined calculation mode",Table1[[#This Row],[GAP under assessment]]="Y"),1,IF(OR(Table1[[#This Row],[Chronic RA label]]="LOQ",Table1[[#This Row],[Chronic RA label]]="",Table1[[#This Row],[Chronic RA label]]="MRL"),0,1))</f>
        <v>0</v>
      </c>
      <c r="AB362" s="787">
        <f>IF(OR(Table1[[#This Row],[Acute RA label]]="LOQ",Table1[[#This Row],[Acute RA label]]="",Table1[[#This Row],[Acute RA label]]="MRL"),0,1)</f>
        <v>0</v>
      </c>
    </row>
    <row r="363" spans="1:28" ht="13.5" hidden="1" thickTop="1" x14ac:dyDescent="0.2">
      <c r="A363" s="815">
        <f>Table1[[#This Row],[Code no.]]</f>
        <v>1016030</v>
      </c>
      <c r="B363" s="793" t="str">
        <f>Table1[[#This Row],[Commodity or group of commodities to which the MRLs apply]]</f>
        <v>Poultry: Liver</v>
      </c>
      <c r="C363" s="794">
        <f>Table1[[#This Row],[MRL/ proposed MRL /CXL
(mg/kg)]]</f>
        <v>0</v>
      </c>
      <c r="D363" s="795">
        <f>Table1[[#This Row],[Source of MRL]]</f>
        <v>0</v>
      </c>
      <c r="E363" s="797">
        <f>Table1[[#This Row],[Chronic RA input value]]</f>
        <v>0</v>
      </c>
      <c r="F363" s="795" t="str">
        <f>Table1[[#This Row],[Chronic RA label]]</f>
        <v/>
      </c>
      <c r="G363" s="797">
        <f>Table1[[#This Row],[Acute RA input value]]</f>
        <v>0</v>
      </c>
      <c r="H363" s="836" t="str">
        <f>Table1[[#This Row],[Acute RA label]]</f>
        <v/>
      </c>
      <c r="J363" s="553">
        <f>Table22[[#This Row],[Code no.]]</f>
        <v>1016030</v>
      </c>
      <c r="K363" s="553" t="str">
        <f>Table22[[#This Row],[Commodity or group of commodities to which the MRLs apply]]</f>
        <v>Poultry: Liver</v>
      </c>
      <c r="L363" s="553">
        <f>Table22[[#This Row],[Source / type of MRL]]</f>
        <v>0</v>
      </c>
      <c r="M363" s="553">
        <f>Table22[[#This Row],[MRL/ proposed MRL /CXL
(mg/kg)]]</f>
        <v>0</v>
      </c>
      <c r="N363" s="553">
        <f>Table22[[#This Row],[LOQ]]</f>
        <v>0</v>
      </c>
      <c r="O363" s="553">
        <f>Table22[[#This Row],[CFrisk for residue definition]]</f>
        <v>0</v>
      </c>
      <c r="P363" s="553">
        <f>Table22[[#This Row],[PeF (peeling factor RD enforcemen)]]</f>
        <v>0</v>
      </c>
      <c r="Q363" s="553">
        <f>Table22[[#This Row],[STMR-RAC (median residue)]]</f>
        <v>0</v>
      </c>
      <c r="R363" s="553">
        <f>Table22[[#This Row],[HR-RAC (highest residue)]]</f>
        <v>0</v>
      </c>
      <c r="S363" s="553">
        <f>Table22[[#This Row],[VF (alternative variability factor)]]</f>
        <v>0</v>
      </c>
      <c r="T363" s="553">
        <f>Table22[[#This Row],[GAP under assessment]]</f>
        <v>0</v>
      </c>
      <c r="U363" s="553">
        <f>Table22[[#This Row],[Post-harvest treatment]]</f>
        <v>0</v>
      </c>
      <c r="V363" s="553" t="str">
        <f>Table22[[#This Row],[Chronic RA label]]</f>
        <v/>
      </c>
      <c r="W363" s="553">
        <f>Table22[[#This Row],[Chronic RA input value]]</f>
        <v>0</v>
      </c>
      <c r="X363" s="1684" t="str">
        <f>Table22[[#This Row],[Acute RA label]]</f>
        <v/>
      </c>
      <c r="Y363" s="553">
        <f>Table22[[#This Row],[Acute RA input value]]</f>
        <v>0</v>
      </c>
      <c r="Z363" s="786">
        <f>SUM(Table1[[#This Row],[chronic value &lt;&gt;MRL/LOQ]:[acute vlue&lt;&gt;MRL/LOQ]])</f>
        <v>0</v>
      </c>
      <c r="AA363" s="786">
        <f>IF(AND($F$5="Refined calculation mode",Table1[[#This Row],[GAP under assessment]]="Y"),1,IF(OR(Table1[[#This Row],[Chronic RA label]]="LOQ",Table1[[#This Row],[Chronic RA label]]="",Table1[[#This Row],[Chronic RA label]]="MRL"),0,1))</f>
        <v>0</v>
      </c>
      <c r="AB363" s="787">
        <f>IF(OR(Table1[[#This Row],[Acute RA label]]="LOQ",Table1[[#This Row],[Acute RA label]]="",Table1[[#This Row],[Acute RA label]]="MRL"),0,1)</f>
        <v>0</v>
      </c>
    </row>
    <row r="364" spans="1:28" ht="13.5" hidden="1" thickTop="1" x14ac:dyDescent="0.2">
      <c r="A364" s="815">
        <f>Table1[[#This Row],[Code no.]]</f>
        <v>1016040</v>
      </c>
      <c r="B364" s="793" t="str">
        <f>Table1[[#This Row],[Commodity or group of commodities to which the MRLs apply]]</f>
        <v>Poultry: Kidney</v>
      </c>
      <c r="C364" s="794">
        <f>Table1[[#This Row],[MRL/ proposed MRL /CXL
(mg/kg)]]</f>
        <v>0</v>
      </c>
      <c r="D364" s="795">
        <f>Table1[[#This Row],[Source of MRL]]</f>
        <v>0</v>
      </c>
      <c r="E364" s="797">
        <f>Table1[[#This Row],[Chronic RA input value]]</f>
        <v>0</v>
      </c>
      <c r="F364" s="795" t="str">
        <f>Table1[[#This Row],[Chronic RA label]]</f>
        <v/>
      </c>
      <c r="G364" s="797">
        <f>Table1[[#This Row],[Acute RA input value]]</f>
        <v>0</v>
      </c>
      <c r="H364" s="836" t="str">
        <f>Table1[[#This Row],[Acute RA label]]</f>
        <v/>
      </c>
      <c r="J364" s="553">
        <f>Table22[[#This Row],[Code no.]]</f>
        <v>1016040</v>
      </c>
      <c r="K364" s="553" t="str">
        <f>Table22[[#This Row],[Commodity or group of commodities to which the MRLs apply]]</f>
        <v>Poultry: Kidney</v>
      </c>
      <c r="L364" s="553">
        <f>Table22[[#This Row],[Source / type of MRL]]</f>
        <v>0</v>
      </c>
      <c r="M364" s="553">
        <f>Table22[[#This Row],[MRL/ proposed MRL /CXL
(mg/kg)]]</f>
        <v>0</v>
      </c>
      <c r="N364" s="553">
        <f>Table22[[#This Row],[LOQ]]</f>
        <v>0</v>
      </c>
      <c r="O364" s="553">
        <f>Table22[[#This Row],[CFrisk for residue definition]]</f>
        <v>0</v>
      </c>
      <c r="P364" s="553">
        <f>Table22[[#This Row],[PeF (peeling factor RD enforcemen)]]</f>
        <v>0</v>
      </c>
      <c r="Q364" s="553">
        <f>Table22[[#This Row],[STMR-RAC (median residue)]]</f>
        <v>0</v>
      </c>
      <c r="R364" s="553">
        <f>Table22[[#This Row],[HR-RAC (highest residue)]]</f>
        <v>0</v>
      </c>
      <c r="S364" s="553">
        <f>Table22[[#This Row],[VF (alternative variability factor)]]</f>
        <v>0</v>
      </c>
      <c r="T364" s="553">
        <f>Table22[[#This Row],[GAP under assessment]]</f>
        <v>0</v>
      </c>
      <c r="U364" s="553">
        <f>Table22[[#This Row],[Post-harvest treatment]]</f>
        <v>0</v>
      </c>
      <c r="V364" s="553" t="str">
        <f>Table22[[#This Row],[Chronic RA label]]</f>
        <v/>
      </c>
      <c r="W364" s="553">
        <f>Table22[[#This Row],[Chronic RA input value]]</f>
        <v>0</v>
      </c>
      <c r="X364" s="1684" t="str">
        <f>Table22[[#This Row],[Acute RA label]]</f>
        <v/>
      </c>
      <c r="Y364" s="553">
        <f>Table22[[#This Row],[Acute RA input value]]</f>
        <v>0</v>
      </c>
      <c r="Z364" s="786">
        <f>SUM(Table1[[#This Row],[chronic value &lt;&gt;MRL/LOQ]:[acute vlue&lt;&gt;MRL/LOQ]])</f>
        <v>0</v>
      </c>
      <c r="AA364" s="786">
        <f>IF(AND($F$5="Refined calculation mode",Table1[[#This Row],[GAP under assessment]]="Y"),1,IF(OR(Table1[[#This Row],[Chronic RA label]]="LOQ",Table1[[#This Row],[Chronic RA label]]="",Table1[[#This Row],[Chronic RA label]]="MRL"),0,1))</f>
        <v>0</v>
      </c>
      <c r="AB364" s="787">
        <f>IF(OR(Table1[[#This Row],[Acute RA label]]="LOQ",Table1[[#This Row],[Acute RA label]]="",Table1[[#This Row],[Acute RA label]]="MRL"),0,1)</f>
        <v>0</v>
      </c>
    </row>
    <row r="365" spans="1:28" ht="32.25" hidden="1" thickTop="1" x14ac:dyDescent="0.2">
      <c r="A365" s="815">
        <f>Table1[[#This Row],[Code no.]]</f>
        <v>1016050</v>
      </c>
      <c r="B365" s="793" t="str">
        <f>Table1[[#This Row],[Commodity or group of commodities to which the MRLs apply]]</f>
        <v>Poultry: Edible offals (other than liver and kideny)</v>
      </c>
      <c r="C365" s="794">
        <f>Table1[[#This Row],[MRL/ proposed MRL /CXL
(mg/kg)]]</f>
        <v>0</v>
      </c>
      <c r="D365" s="795">
        <f>Table1[[#This Row],[Source of MRL]]</f>
        <v>0</v>
      </c>
      <c r="E365" s="797">
        <f>Table1[[#This Row],[Chronic RA input value]]</f>
        <v>0</v>
      </c>
      <c r="F365" s="795" t="str">
        <f>Table1[[#This Row],[Chronic RA label]]</f>
        <v/>
      </c>
      <c r="G365" s="797">
        <f>Table1[[#This Row],[Acute RA input value]]</f>
        <v>0</v>
      </c>
      <c r="H365" s="836" t="str">
        <f>Table1[[#This Row],[Acute RA label]]</f>
        <v/>
      </c>
      <c r="J365" s="553">
        <f>Table22[[#This Row],[Code no.]]</f>
        <v>1016050</v>
      </c>
      <c r="K365" s="553" t="str">
        <f>Table22[[#This Row],[Commodity or group of commodities to which the MRLs apply]]</f>
        <v>Poultry: Edible offals (other than liver and kideny)</v>
      </c>
      <c r="L365" s="553">
        <f>Table22[[#This Row],[Source / type of MRL]]</f>
        <v>0</v>
      </c>
      <c r="M365" s="553">
        <f>Table22[[#This Row],[MRL/ proposed MRL /CXL
(mg/kg)]]</f>
        <v>0</v>
      </c>
      <c r="N365" s="553">
        <f>Table22[[#This Row],[LOQ]]</f>
        <v>0</v>
      </c>
      <c r="O365" s="553">
        <f>Table22[[#This Row],[CFrisk for residue definition]]</f>
        <v>0</v>
      </c>
      <c r="P365" s="553">
        <f>Table22[[#This Row],[PeF (peeling factor RD enforcemen)]]</f>
        <v>0</v>
      </c>
      <c r="Q365" s="553">
        <f>Table22[[#This Row],[STMR-RAC (median residue)]]</f>
        <v>0</v>
      </c>
      <c r="R365" s="553">
        <f>Table22[[#This Row],[HR-RAC (highest residue)]]</f>
        <v>0</v>
      </c>
      <c r="S365" s="553">
        <f>Table22[[#This Row],[VF (alternative variability factor)]]</f>
        <v>0</v>
      </c>
      <c r="T365" s="553">
        <f>Table22[[#This Row],[GAP under assessment]]</f>
        <v>0</v>
      </c>
      <c r="U365" s="553">
        <f>Table22[[#This Row],[Post-harvest treatment]]</f>
        <v>0</v>
      </c>
      <c r="V365" s="553" t="str">
        <f>Table22[[#This Row],[Chronic RA label]]</f>
        <v/>
      </c>
      <c r="W365" s="553">
        <f>Table22[[#This Row],[Chronic RA input value]]</f>
        <v>0</v>
      </c>
      <c r="X365" s="1684" t="str">
        <f>Table22[[#This Row],[Acute RA label]]</f>
        <v/>
      </c>
      <c r="Y365" s="553">
        <f>Table22[[#This Row],[Acute RA input value]]</f>
        <v>0</v>
      </c>
      <c r="Z365" s="786">
        <f>SUM(Table1[[#This Row],[chronic value &lt;&gt;MRL/LOQ]:[acute vlue&lt;&gt;MRL/LOQ]])</f>
        <v>0</v>
      </c>
      <c r="AA365" s="786">
        <f>IF(AND($F$5="Refined calculation mode",Table1[[#This Row],[GAP under assessment]]="Y"),1,IF(OR(Table1[[#This Row],[Chronic RA label]]="LOQ",Table1[[#This Row],[Chronic RA label]]="",Table1[[#This Row],[Chronic RA label]]="MRL"),0,1))</f>
        <v>0</v>
      </c>
      <c r="AB365" s="787">
        <f>IF(OR(Table1[[#This Row],[Acute RA label]]="LOQ",Table1[[#This Row],[Acute RA label]]="",Table1[[#This Row],[Acute RA label]]="MRL"),0,1)</f>
        <v>0</v>
      </c>
    </row>
    <row r="366" spans="1:28" ht="21.75" hidden="1" thickTop="1" x14ac:dyDescent="0.2">
      <c r="A366" s="815">
        <f>Table1[[#This Row],[Code no.]]</f>
        <v>1016990</v>
      </c>
      <c r="B366" s="793" t="str">
        <f>Table1[[#This Row],[Commodity or group of commodities to which the MRLs apply]]</f>
        <v>Poultry: Other products</v>
      </c>
      <c r="C366" s="794">
        <f>Table1[[#This Row],[MRL/ proposed MRL /CXL
(mg/kg)]]</f>
        <v>0</v>
      </c>
      <c r="D366" s="795">
        <f>Table1[[#This Row],[Source of MRL]]</f>
        <v>0</v>
      </c>
      <c r="E366" s="797">
        <f>Table1[[#This Row],[Chronic RA input value]]</f>
        <v>0</v>
      </c>
      <c r="F366" s="795" t="str">
        <f>Table1[[#This Row],[Chronic RA label]]</f>
        <v/>
      </c>
      <c r="G366" s="797">
        <f>Table1[[#This Row],[Acute RA input value]]</f>
        <v>0</v>
      </c>
      <c r="H366" s="836">
        <f>Table1[[#This Row],[Acute RA label]]</f>
        <v>0</v>
      </c>
      <c r="J366" s="553">
        <f>Table22[[#This Row],[Code no.]]</f>
        <v>1016990</v>
      </c>
      <c r="K366" s="553" t="str">
        <f>Table22[[#This Row],[Commodity or group of commodities to which the MRLs apply]]</f>
        <v>Poultry: Other products</v>
      </c>
      <c r="L366" s="553">
        <f>Table22[[#This Row],[Source / type of MRL]]</f>
        <v>0</v>
      </c>
      <c r="M366" s="553">
        <f>Table22[[#This Row],[MRL/ proposed MRL /CXL
(mg/kg)]]</f>
        <v>0</v>
      </c>
      <c r="N366" s="553">
        <f>Table22[[#This Row],[LOQ]]</f>
        <v>0</v>
      </c>
      <c r="O366" s="553">
        <f>Table22[[#This Row],[CFrisk for residue definition]]</f>
        <v>0</v>
      </c>
      <c r="P366" s="553">
        <f>Table22[[#This Row],[PeF (peeling factor RD enforcemen)]]</f>
        <v>0</v>
      </c>
      <c r="Q366" s="553">
        <f>Table22[[#This Row],[STMR-RAC (median residue)]]</f>
        <v>0</v>
      </c>
      <c r="R366" s="553">
        <f>Table22[[#This Row],[HR-RAC (highest residue)]]</f>
        <v>0</v>
      </c>
      <c r="S366" s="553">
        <f>Table22[[#This Row],[VF (alternative variability factor)]]</f>
        <v>0</v>
      </c>
      <c r="T366" s="553">
        <f>Table22[[#This Row],[GAP under assessment]]</f>
        <v>0</v>
      </c>
      <c r="U366" s="553">
        <f>Table22[[#This Row],[Post-harvest treatment]]</f>
        <v>0</v>
      </c>
      <c r="V366" s="553" t="str">
        <f>Table22[[#This Row],[Chronic RA label]]</f>
        <v/>
      </c>
      <c r="W366" s="553">
        <f>Table22[[#This Row],[Chronic RA input value]]</f>
        <v>0</v>
      </c>
      <c r="X366" s="1684"/>
      <c r="Y366" s="553">
        <f>Table22[[#This Row],[Acute RA input value]]</f>
        <v>0</v>
      </c>
      <c r="Z366" s="786">
        <f>SUM(Table1[[#This Row],[chronic value &lt;&gt;MRL/LOQ]:[acute vlue&lt;&gt;MRL/LOQ]])</f>
        <v>0</v>
      </c>
      <c r="AA366" s="786">
        <f>IF(AND($F$5="Refined calculation mode",Table1[[#This Row],[GAP under assessment]]="Y"),1,IF(OR(Table1[[#This Row],[Chronic RA label]]="LOQ",Table1[[#This Row],[Chronic RA label]]="",Table1[[#This Row],[Chronic RA label]]="MRL"),0,1))</f>
        <v>0</v>
      </c>
      <c r="AB366" s="787">
        <f>IF(OR(Table1[[#This Row],[Acute RA label]]="LOQ",Table1[[#This Row],[Acute RA label]]="",Table1[[#This Row],[Acute RA label]]="MRL"),0,1)</f>
        <v>0</v>
      </c>
    </row>
    <row r="367" spans="1:28" ht="21.75" hidden="1" thickTop="1" x14ac:dyDescent="0.2">
      <c r="A367" s="815">
        <f>Table1[[#This Row],[Code no.]]</f>
        <v>1017000</v>
      </c>
      <c r="B367" s="793" t="str">
        <f>Table1[[#This Row],[Commodity or group of commodities to which the MRLs apply]]</f>
        <v>Other farmed terrestrial animals</v>
      </c>
      <c r="C367" s="794">
        <f>Table1[[#This Row],[MRL/ proposed MRL /CXL
(mg/kg)]]</f>
        <v>0</v>
      </c>
      <c r="D367" s="795">
        <f>Table1[[#This Row],[Source of MRL]]</f>
        <v>0</v>
      </c>
      <c r="E367" s="797">
        <f>Table1[[#This Row],[Chronic RA input value]]</f>
        <v>0</v>
      </c>
      <c r="F367" s="795">
        <f>Table1[[#This Row],[Chronic RA label]]</f>
        <v>0</v>
      </c>
      <c r="G367" s="797">
        <f>Table1[[#This Row],[Acute RA input value]]</f>
        <v>0</v>
      </c>
      <c r="H367" s="836">
        <f>Table1[[#This Row],[Acute RA label]]</f>
        <v>0</v>
      </c>
      <c r="J367" s="553">
        <f>Table22[[#This Row],[Code no.]]</f>
        <v>1017000</v>
      </c>
      <c r="K367" s="553" t="str">
        <f>Table22[[#This Row],[Commodity or group of commodities to which the MRLs apply]]</f>
        <v>Other farmed terrestrial animals</v>
      </c>
      <c r="L367" s="553">
        <f>Table22[[#This Row],[Source / type of MRL]]</f>
        <v>0</v>
      </c>
      <c r="M367" s="553">
        <f>Table22[[#This Row],[MRL/ proposed MRL /CXL
(mg/kg)]]</f>
        <v>0</v>
      </c>
      <c r="N367" s="553">
        <f>Table22[[#This Row],[LOQ]]</f>
        <v>0</v>
      </c>
      <c r="O367" s="553">
        <f>Table22[[#This Row],[CFrisk for residue definition]]</f>
        <v>0</v>
      </c>
      <c r="P367" s="553">
        <f>Table22[[#This Row],[PeF (peeling factor RD enforcemen)]]</f>
        <v>0</v>
      </c>
      <c r="Q367" s="553">
        <f>Table22[[#This Row],[STMR-RAC (median residue)]]</f>
        <v>0</v>
      </c>
      <c r="R367" s="553">
        <f>Table22[[#This Row],[HR-RAC (highest residue)]]</f>
        <v>0</v>
      </c>
      <c r="S367" s="553">
        <f>Table22[[#This Row],[VF (alternative variability factor)]]</f>
        <v>0</v>
      </c>
      <c r="T367" s="553">
        <f>Table22[[#This Row],[GAP under assessment]]</f>
        <v>0</v>
      </c>
      <c r="U367" s="553">
        <f>Table22[[#This Row],[Post-harvest treatment]]</f>
        <v>0</v>
      </c>
      <c r="V367" s="553"/>
      <c r="W367" s="553">
        <f>Table22[[#This Row],[Chronic RA input value]]</f>
        <v>0</v>
      </c>
      <c r="X367" s="1684"/>
      <c r="Y367" s="553">
        <f>Table22[[#This Row],[Acute RA input value]]</f>
        <v>0</v>
      </c>
      <c r="Z367" s="786">
        <f>SUM(Table1[[#This Row],[chronic value &lt;&gt;MRL/LOQ]:[acute vlue&lt;&gt;MRL/LOQ]])</f>
        <v>0</v>
      </c>
      <c r="AA367" s="786">
        <f>IF(AND($F$5="Refined calculation mode",Table1[[#This Row],[GAP under assessment]]="Y"),1,IF(OR(Table1[[#This Row],[Chronic RA label]]="LOQ",Table1[[#This Row],[Chronic RA label]]="",Table1[[#This Row],[Chronic RA label]]="MRL"),0,1))</f>
        <v>0</v>
      </c>
      <c r="AB367" s="787">
        <f>IF(OR(Table1[[#This Row],[Acute RA label]]="LOQ",Table1[[#This Row],[Acute RA label]]="",Table1[[#This Row],[Acute RA label]]="MRL"),0,1)</f>
        <v>0</v>
      </c>
    </row>
    <row r="368" spans="1:28" ht="32.25" hidden="1" thickTop="1" x14ac:dyDescent="0.2">
      <c r="A368" s="815">
        <f>Table1[[#This Row],[Code no.]]</f>
        <v>1017010</v>
      </c>
      <c r="B368" s="793" t="str">
        <f>Table1[[#This Row],[Commodity or group of commodities to which the MRLs apply]]</f>
        <v xml:space="preserve"> Other farmed animals: Muscle/meat</v>
      </c>
      <c r="C368" s="794">
        <f>Table1[[#This Row],[MRL/ proposed MRL /CXL
(mg/kg)]]</f>
        <v>0</v>
      </c>
      <c r="D368" s="795">
        <f>Table1[[#This Row],[Source of MRL]]</f>
        <v>0</v>
      </c>
      <c r="E368" s="797">
        <f>Table1[[#This Row],[Chronic RA input value]]</f>
        <v>0</v>
      </c>
      <c r="F368" s="795" t="str">
        <f>Table1[[#This Row],[Chronic RA label]]</f>
        <v/>
      </c>
      <c r="G368" s="797">
        <f>Table1[[#This Row],[Acute RA input value]]</f>
        <v>0</v>
      </c>
      <c r="H368" s="836" t="str">
        <f>Table1[[#This Row],[Acute RA label]]</f>
        <v/>
      </c>
      <c r="J368" s="553">
        <f>Table22[[#This Row],[Code no.]]</f>
        <v>1017010</v>
      </c>
      <c r="K368" s="553" t="str">
        <f>Table22[[#This Row],[Commodity or group of commodities to which the MRLs apply]]</f>
        <v xml:space="preserve"> Other farmed animals: Muscle/meat</v>
      </c>
      <c r="L368" s="553">
        <f>Table22[[#This Row],[Source / type of MRL]]</f>
        <v>0</v>
      </c>
      <c r="M368" s="553">
        <f>Table22[[#This Row],[MRL/ proposed MRL /CXL
(mg/kg)]]</f>
        <v>0</v>
      </c>
      <c r="N368" s="553">
        <f>Table22[[#This Row],[LOQ]]</f>
        <v>0</v>
      </c>
      <c r="O368" s="553">
        <f>Table22[[#This Row],[CFrisk for residue definition]]</f>
        <v>0</v>
      </c>
      <c r="P368" s="553">
        <f>Table22[[#This Row],[PeF (peeling factor RD enforcemen)]]</f>
        <v>0</v>
      </c>
      <c r="Q368" s="553">
        <f>Table22[[#This Row],[STMR-RAC (median residue)]]</f>
        <v>0</v>
      </c>
      <c r="R368" s="553">
        <f>Table22[[#This Row],[HR-RAC (highest residue)]]</f>
        <v>0</v>
      </c>
      <c r="S368" s="553">
        <f>Table22[[#This Row],[VF (alternative variability factor)]]</f>
        <v>0</v>
      </c>
      <c r="T368" s="553">
        <f>Table22[[#This Row],[GAP under assessment]]</f>
        <v>0</v>
      </c>
      <c r="U368" s="553">
        <f>Table22[[#This Row],[Post-harvest treatment]]</f>
        <v>0</v>
      </c>
      <c r="V368" s="553" t="str">
        <f>Table22[[#This Row],[Chronic RA label]]</f>
        <v/>
      </c>
      <c r="W368" s="553">
        <f>Table22[[#This Row],[Chronic RA input value]]</f>
        <v>0</v>
      </c>
      <c r="X368" s="1684" t="str">
        <f>Table22[[#This Row],[Acute RA label]]</f>
        <v/>
      </c>
      <c r="Y368" s="553">
        <f>Table22[[#This Row],[Acute RA input value]]</f>
        <v>0</v>
      </c>
      <c r="Z368" s="786">
        <f>SUM(Table1[[#This Row],[chronic value &lt;&gt;MRL/LOQ]:[acute vlue&lt;&gt;MRL/LOQ]])</f>
        <v>0</v>
      </c>
      <c r="AA368" s="786">
        <f>IF(AND($F$5="Refined calculation mode",Table1[[#This Row],[GAP under assessment]]="Y"),1,IF(OR(Table1[[#This Row],[Chronic RA label]]="LOQ",Table1[[#This Row],[Chronic RA label]]="",Table1[[#This Row],[Chronic RA label]]="MRL"),0,1))</f>
        <v>0</v>
      </c>
      <c r="AB368" s="787">
        <f>IF(OR(Table1[[#This Row],[Acute RA label]]="LOQ",Table1[[#This Row],[Acute RA label]]="",Table1[[#This Row],[Acute RA label]]="MRL"),0,1)</f>
        <v>0</v>
      </c>
    </row>
    <row r="369" spans="1:28" ht="21.75" hidden="1" thickTop="1" x14ac:dyDescent="0.2">
      <c r="A369" s="815">
        <f>Table1[[#This Row],[Code no.]]</f>
        <v>1017020</v>
      </c>
      <c r="B369" s="793" t="str">
        <f>Table1[[#This Row],[Commodity or group of commodities to which the MRLs apply]]</f>
        <v xml:space="preserve"> Other farmed animals: Fat tissue</v>
      </c>
      <c r="C369" s="794">
        <f>Table1[[#This Row],[MRL/ proposed MRL /CXL
(mg/kg)]]</f>
        <v>0</v>
      </c>
      <c r="D369" s="795">
        <f>Table1[[#This Row],[Source of MRL]]</f>
        <v>0</v>
      </c>
      <c r="E369" s="797">
        <f>Table1[[#This Row],[Chronic RA input value]]</f>
        <v>0</v>
      </c>
      <c r="F369" s="795" t="str">
        <f>Table1[[#This Row],[Chronic RA label]]</f>
        <v/>
      </c>
      <c r="G369" s="797">
        <f>Table1[[#This Row],[Acute RA input value]]</f>
        <v>0</v>
      </c>
      <c r="H369" s="836" t="str">
        <f>Table1[[#This Row],[Acute RA label]]</f>
        <v/>
      </c>
      <c r="J369" s="553">
        <f>Table22[[#This Row],[Code no.]]</f>
        <v>1017020</v>
      </c>
      <c r="K369" s="553" t="str">
        <f>Table22[[#This Row],[Commodity or group of commodities to which the MRLs apply]]</f>
        <v xml:space="preserve"> Other farmed animals: Fat tissue</v>
      </c>
      <c r="L369" s="553">
        <f>Table22[[#This Row],[Source / type of MRL]]</f>
        <v>0</v>
      </c>
      <c r="M369" s="553">
        <f>Table22[[#This Row],[MRL/ proposed MRL /CXL
(mg/kg)]]</f>
        <v>0</v>
      </c>
      <c r="N369" s="553">
        <f>Table22[[#This Row],[LOQ]]</f>
        <v>0</v>
      </c>
      <c r="O369" s="553">
        <f>Table22[[#This Row],[CFrisk for residue definition]]</f>
        <v>0</v>
      </c>
      <c r="P369" s="553">
        <f>Table22[[#This Row],[PeF (peeling factor RD enforcemen)]]</f>
        <v>0</v>
      </c>
      <c r="Q369" s="553">
        <f>Table22[[#This Row],[STMR-RAC (median residue)]]</f>
        <v>0</v>
      </c>
      <c r="R369" s="553">
        <f>Table22[[#This Row],[HR-RAC (highest residue)]]</f>
        <v>0</v>
      </c>
      <c r="S369" s="553">
        <f>Table22[[#This Row],[VF (alternative variability factor)]]</f>
        <v>0</v>
      </c>
      <c r="T369" s="553">
        <f>Table22[[#This Row],[GAP under assessment]]</f>
        <v>0</v>
      </c>
      <c r="U369" s="553">
        <f>Table22[[#This Row],[Post-harvest treatment]]</f>
        <v>0</v>
      </c>
      <c r="V369" s="553" t="str">
        <f>Table22[[#This Row],[Chronic RA label]]</f>
        <v/>
      </c>
      <c r="W369" s="553">
        <f>Table22[[#This Row],[Chronic RA input value]]</f>
        <v>0</v>
      </c>
      <c r="X369" s="1684" t="str">
        <f>Table22[[#This Row],[Acute RA label]]</f>
        <v/>
      </c>
      <c r="Y369" s="553">
        <f>Table22[[#This Row],[Acute RA input value]]</f>
        <v>0</v>
      </c>
      <c r="Z369" s="786">
        <f>SUM(Table1[[#This Row],[chronic value &lt;&gt;MRL/LOQ]:[acute vlue&lt;&gt;MRL/LOQ]])</f>
        <v>0</v>
      </c>
      <c r="AA369" s="786">
        <f>IF(AND($F$5="Refined calculation mode",Table1[[#This Row],[GAP under assessment]]="Y"),1,IF(OR(Table1[[#This Row],[Chronic RA label]]="LOQ",Table1[[#This Row],[Chronic RA label]]="",Table1[[#This Row],[Chronic RA label]]="MRL"),0,1))</f>
        <v>0</v>
      </c>
      <c r="AB369" s="787">
        <f>IF(OR(Table1[[#This Row],[Acute RA label]]="LOQ",Table1[[#This Row],[Acute RA label]]="",Table1[[#This Row],[Acute RA label]]="MRL"),0,1)</f>
        <v>0</v>
      </c>
    </row>
    <row r="370" spans="1:28" ht="21.75" hidden="1" thickTop="1" x14ac:dyDescent="0.2">
      <c r="A370" s="815">
        <f>Table1[[#This Row],[Code no.]]</f>
        <v>1017030</v>
      </c>
      <c r="B370" s="793" t="str">
        <f>Table1[[#This Row],[Commodity or group of commodities to which the MRLs apply]]</f>
        <v xml:space="preserve"> Other farmed animals: Liver</v>
      </c>
      <c r="C370" s="794">
        <f>Table1[[#This Row],[MRL/ proposed MRL /CXL
(mg/kg)]]</f>
        <v>0</v>
      </c>
      <c r="D370" s="795">
        <f>Table1[[#This Row],[Source of MRL]]</f>
        <v>0</v>
      </c>
      <c r="E370" s="797">
        <f>Table1[[#This Row],[Chronic RA input value]]</f>
        <v>0</v>
      </c>
      <c r="F370" s="795" t="str">
        <f>Table1[[#This Row],[Chronic RA label]]</f>
        <v/>
      </c>
      <c r="G370" s="797">
        <f>Table1[[#This Row],[Acute RA input value]]</f>
        <v>0</v>
      </c>
      <c r="H370" s="836" t="str">
        <f>Table1[[#This Row],[Acute RA label]]</f>
        <v/>
      </c>
      <c r="J370" s="553">
        <f>Table22[[#This Row],[Code no.]]</f>
        <v>1017030</v>
      </c>
      <c r="K370" s="553" t="str">
        <f>Table22[[#This Row],[Commodity or group of commodities to which the MRLs apply]]</f>
        <v xml:space="preserve"> Other farmed animals: Liver</v>
      </c>
      <c r="L370" s="553">
        <f>Table22[[#This Row],[Source / type of MRL]]</f>
        <v>0</v>
      </c>
      <c r="M370" s="553">
        <f>Table22[[#This Row],[MRL/ proposed MRL /CXL
(mg/kg)]]</f>
        <v>0</v>
      </c>
      <c r="N370" s="553">
        <f>Table22[[#This Row],[LOQ]]</f>
        <v>0</v>
      </c>
      <c r="O370" s="553">
        <f>Table22[[#This Row],[CFrisk for residue definition]]</f>
        <v>0</v>
      </c>
      <c r="P370" s="553">
        <f>Table22[[#This Row],[PeF (peeling factor RD enforcemen)]]</f>
        <v>0</v>
      </c>
      <c r="Q370" s="553">
        <f>Table22[[#This Row],[STMR-RAC (median residue)]]</f>
        <v>0</v>
      </c>
      <c r="R370" s="553">
        <f>Table22[[#This Row],[HR-RAC (highest residue)]]</f>
        <v>0</v>
      </c>
      <c r="S370" s="553">
        <f>Table22[[#This Row],[VF (alternative variability factor)]]</f>
        <v>0</v>
      </c>
      <c r="T370" s="553">
        <f>Table22[[#This Row],[GAP under assessment]]</f>
        <v>0</v>
      </c>
      <c r="U370" s="553">
        <f>Table22[[#This Row],[Post-harvest treatment]]</f>
        <v>0</v>
      </c>
      <c r="V370" s="553" t="str">
        <f>Table22[[#This Row],[Chronic RA label]]</f>
        <v/>
      </c>
      <c r="W370" s="553">
        <f>Table22[[#This Row],[Chronic RA input value]]</f>
        <v>0</v>
      </c>
      <c r="X370" s="1684" t="str">
        <f>Table22[[#This Row],[Acute RA label]]</f>
        <v/>
      </c>
      <c r="Y370" s="553">
        <f>Table22[[#This Row],[Acute RA input value]]</f>
        <v>0</v>
      </c>
      <c r="Z370" s="786">
        <f>SUM(Table1[[#This Row],[chronic value &lt;&gt;MRL/LOQ]:[acute vlue&lt;&gt;MRL/LOQ]])</f>
        <v>0</v>
      </c>
      <c r="AA370" s="786">
        <f>IF(AND($F$5="Refined calculation mode",Table1[[#This Row],[GAP under assessment]]="Y"),1,IF(OR(Table1[[#This Row],[Chronic RA label]]="LOQ",Table1[[#This Row],[Chronic RA label]]="",Table1[[#This Row],[Chronic RA label]]="MRL"),0,1))</f>
        <v>0</v>
      </c>
      <c r="AB370" s="787">
        <f>IF(OR(Table1[[#This Row],[Acute RA label]]="LOQ",Table1[[#This Row],[Acute RA label]]="",Table1[[#This Row],[Acute RA label]]="MRL"),0,1)</f>
        <v>0</v>
      </c>
    </row>
    <row r="371" spans="1:28" ht="21.75" hidden="1" thickTop="1" x14ac:dyDescent="0.2">
      <c r="A371" s="815">
        <f>Table1[[#This Row],[Code no.]]</f>
        <v>1017040</v>
      </c>
      <c r="B371" s="793" t="str">
        <f>Table1[[#This Row],[Commodity or group of commodities to which the MRLs apply]]</f>
        <v xml:space="preserve"> Other farmed animals: Kidney</v>
      </c>
      <c r="C371" s="794">
        <f>Table1[[#This Row],[MRL/ proposed MRL /CXL
(mg/kg)]]</f>
        <v>0</v>
      </c>
      <c r="D371" s="795">
        <f>Table1[[#This Row],[Source of MRL]]</f>
        <v>0</v>
      </c>
      <c r="E371" s="797">
        <f>Table1[[#This Row],[Chronic RA input value]]</f>
        <v>0</v>
      </c>
      <c r="F371" s="795" t="str">
        <f>Table1[[#This Row],[Chronic RA label]]</f>
        <v/>
      </c>
      <c r="G371" s="797">
        <f>Table1[[#This Row],[Acute RA input value]]</f>
        <v>0</v>
      </c>
      <c r="H371" s="836" t="str">
        <f>Table1[[#This Row],[Acute RA label]]</f>
        <v/>
      </c>
      <c r="J371" s="553">
        <f>Table22[[#This Row],[Code no.]]</f>
        <v>1017040</v>
      </c>
      <c r="K371" s="553" t="str">
        <f>Table22[[#This Row],[Commodity or group of commodities to which the MRLs apply]]</f>
        <v xml:space="preserve"> Other farmed animals: Kidney</v>
      </c>
      <c r="L371" s="553">
        <f>Table22[[#This Row],[Source / type of MRL]]</f>
        <v>0</v>
      </c>
      <c r="M371" s="553">
        <f>Table22[[#This Row],[MRL/ proposed MRL /CXL
(mg/kg)]]</f>
        <v>0</v>
      </c>
      <c r="N371" s="553">
        <f>Table22[[#This Row],[LOQ]]</f>
        <v>0</v>
      </c>
      <c r="O371" s="553">
        <f>Table22[[#This Row],[CFrisk for residue definition]]</f>
        <v>0</v>
      </c>
      <c r="P371" s="553">
        <f>Table22[[#This Row],[PeF (peeling factor RD enforcemen)]]</f>
        <v>0</v>
      </c>
      <c r="Q371" s="553">
        <f>Table22[[#This Row],[STMR-RAC (median residue)]]</f>
        <v>0</v>
      </c>
      <c r="R371" s="553">
        <f>Table22[[#This Row],[HR-RAC (highest residue)]]</f>
        <v>0</v>
      </c>
      <c r="S371" s="553">
        <f>Table22[[#This Row],[VF (alternative variability factor)]]</f>
        <v>0</v>
      </c>
      <c r="T371" s="553">
        <f>Table22[[#This Row],[GAP under assessment]]</f>
        <v>0</v>
      </c>
      <c r="U371" s="553">
        <f>Table22[[#This Row],[Post-harvest treatment]]</f>
        <v>0</v>
      </c>
      <c r="V371" s="553" t="str">
        <f>Table22[[#This Row],[Chronic RA label]]</f>
        <v/>
      </c>
      <c r="W371" s="553">
        <f>Table22[[#This Row],[Chronic RA input value]]</f>
        <v>0</v>
      </c>
      <c r="X371" s="1684" t="str">
        <f>Table22[[#This Row],[Acute RA label]]</f>
        <v/>
      </c>
      <c r="Y371" s="553">
        <f>Table22[[#This Row],[Acute RA input value]]</f>
        <v>0</v>
      </c>
      <c r="Z371" s="786">
        <f>SUM(Table1[[#This Row],[chronic value &lt;&gt;MRL/LOQ]:[acute vlue&lt;&gt;MRL/LOQ]])</f>
        <v>0</v>
      </c>
      <c r="AA371" s="786">
        <f>IF(AND($F$5="Refined calculation mode",Table1[[#This Row],[GAP under assessment]]="Y"),1,IF(OR(Table1[[#This Row],[Chronic RA label]]="LOQ",Table1[[#This Row],[Chronic RA label]]="",Table1[[#This Row],[Chronic RA label]]="MRL"),0,1))</f>
        <v>0</v>
      </c>
      <c r="AB371" s="787">
        <f>IF(OR(Table1[[#This Row],[Acute RA label]]="LOQ",Table1[[#This Row],[Acute RA label]]="",Table1[[#This Row],[Acute RA label]]="MRL"),0,1)</f>
        <v>0</v>
      </c>
    </row>
    <row r="372" spans="1:28" ht="42.75" hidden="1" thickTop="1" x14ac:dyDescent="0.2">
      <c r="A372" s="815">
        <f>Table1[[#This Row],[Code no.]]</f>
        <v>1017050</v>
      </c>
      <c r="B372" s="793" t="str">
        <f>Table1[[#This Row],[Commodity or group of commodities to which the MRLs apply]]</f>
        <v xml:space="preserve"> Other farmed animals: Edible offals (other than liver and kidney)</v>
      </c>
      <c r="C372" s="794">
        <f>Table1[[#This Row],[MRL/ proposed MRL /CXL
(mg/kg)]]</f>
        <v>0</v>
      </c>
      <c r="D372" s="795">
        <f>Table1[[#This Row],[Source of MRL]]</f>
        <v>0</v>
      </c>
      <c r="E372" s="797">
        <f>Table1[[#This Row],[Chronic RA input value]]</f>
        <v>0</v>
      </c>
      <c r="F372" s="795" t="str">
        <f>Table1[[#This Row],[Chronic RA label]]</f>
        <v/>
      </c>
      <c r="G372" s="797">
        <f>Table1[[#This Row],[Acute RA input value]]</f>
        <v>0</v>
      </c>
      <c r="H372" s="836" t="str">
        <f>Table1[[#This Row],[Acute RA label]]</f>
        <v/>
      </c>
      <c r="J372" s="553">
        <f>Table22[[#This Row],[Code no.]]</f>
        <v>1017050</v>
      </c>
      <c r="K372" s="553" t="str">
        <f>Table22[[#This Row],[Commodity or group of commodities to which the MRLs apply]]</f>
        <v xml:space="preserve"> Other farmed animals: Edible offals (other than liver and kidney)</v>
      </c>
      <c r="L372" s="553">
        <f>Table22[[#This Row],[Source / type of MRL]]</f>
        <v>0</v>
      </c>
      <c r="M372" s="553">
        <f>Table22[[#This Row],[MRL/ proposed MRL /CXL
(mg/kg)]]</f>
        <v>0</v>
      </c>
      <c r="N372" s="553">
        <f>Table22[[#This Row],[LOQ]]</f>
        <v>0</v>
      </c>
      <c r="O372" s="553">
        <f>Table22[[#This Row],[CFrisk for residue definition]]</f>
        <v>0</v>
      </c>
      <c r="P372" s="553">
        <f>Table22[[#This Row],[PeF (peeling factor RD enforcemen)]]</f>
        <v>0</v>
      </c>
      <c r="Q372" s="553">
        <f>Table22[[#This Row],[STMR-RAC (median residue)]]</f>
        <v>0</v>
      </c>
      <c r="R372" s="553">
        <f>Table22[[#This Row],[HR-RAC (highest residue)]]</f>
        <v>0</v>
      </c>
      <c r="S372" s="553">
        <f>Table22[[#This Row],[VF (alternative variability factor)]]</f>
        <v>0</v>
      </c>
      <c r="T372" s="553">
        <f>Table22[[#This Row],[GAP under assessment]]</f>
        <v>0</v>
      </c>
      <c r="U372" s="553">
        <f>Table22[[#This Row],[Post-harvest treatment]]</f>
        <v>0</v>
      </c>
      <c r="V372" s="553" t="str">
        <f>Table22[[#This Row],[Chronic RA label]]</f>
        <v/>
      </c>
      <c r="W372" s="553">
        <f>Table22[[#This Row],[Chronic RA input value]]</f>
        <v>0</v>
      </c>
      <c r="X372" s="1684" t="str">
        <f>Table22[[#This Row],[Acute RA label]]</f>
        <v/>
      </c>
      <c r="Y372" s="553">
        <f>Table22[[#This Row],[Acute RA input value]]</f>
        <v>0</v>
      </c>
      <c r="Z372" s="786">
        <f>SUM(Table1[[#This Row],[chronic value &lt;&gt;MRL/LOQ]:[acute vlue&lt;&gt;MRL/LOQ]])</f>
        <v>0</v>
      </c>
      <c r="AA372" s="786">
        <f>IF(AND($F$5="Refined calculation mode",Table1[[#This Row],[GAP under assessment]]="Y"),1,IF(OR(Table1[[#This Row],[Chronic RA label]]="LOQ",Table1[[#This Row],[Chronic RA label]]="",Table1[[#This Row],[Chronic RA label]]="MRL"),0,1))</f>
        <v>0</v>
      </c>
      <c r="AB372" s="787">
        <f>IF(OR(Table1[[#This Row],[Acute RA label]]="LOQ",Table1[[#This Row],[Acute RA label]]="",Table1[[#This Row],[Acute RA label]]="MRL"),0,1)</f>
        <v>0</v>
      </c>
    </row>
    <row r="373" spans="1:28" ht="32.25" hidden="1" thickTop="1" x14ac:dyDescent="0.2">
      <c r="A373" s="815">
        <f>Table1[[#This Row],[Code no.]]</f>
        <v>1017990</v>
      </c>
      <c r="B373" s="793" t="str">
        <f>Table1[[#This Row],[Commodity or group of commodities to which the MRLs apply]]</f>
        <v>Other farmed animals: Other products</v>
      </c>
      <c r="C373" s="794">
        <f>Table1[[#This Row],[MRL/ proposed MRL /CXL
(mg/kg)]]</f>
        <v>0</v>
      </c>
      <c r="D373" s="795">
        <f>Table1[[#This Row],[Source of MRL]]</f>
        <v>0</v>
      </c>
      <c r="E373" s="797">
        <f>Table1[[#This Row],[Chronic RA input value]]</f>
        <v>0</v>
      </c>
      <c r="F373" s="795" t="str">
        <f>Table1[[#This Row],[Chronic RA label]]</f>
        <v/>
      </c>
      <c r="G373" s="797">
        <f>Table1[[#This Row],[Acute RA input value]]</f>
        <v>0</v>
      </c>
      <c r="H373" s="836">
        <f>Table1[[#This Row],[Acute RA label]]</f>
        <v>0</v>
      </c>
      <c r="J373" s="553">
        <f>Table22[[#This Row],[Code no.]]</f>
        <v>1017990</v>
      </c>
      <c r="K373" s="553" t="str">
        <f>Table22[[#This Row],[Commodity or group of commodities to which the MRLs apply]]</f>
        <v>Other farmed animals: Other products</v>
      </c>
      <c r="L373" s="553">
        <f>Table22[[#This Row],[Source / type of MRL]]</f>
        <v>0</v>
      </c>
      <c r="M373" s="553">
        <f>Table22[[#This Row],[MRL/ proposed MRL /CXL
(mg/kg)]]</f>
        <v>0</v>
      </c>
      <c r="N373" s="553">
        <f>Table22[[#This Row],[LOQ]]</f>
        <v>0</v>
      </c>
      <c r="O373" s="553">
        <f>Table22[[#This Row],[CFrisk for residue definition]]</f>
        <v>0</v>
      </c>
      <c r="P373" s="553">
        <f>Table22[[#This Row],[PeF (peeling factor RD enforcemen)]]</f>
        <v>0</v>
      </c>
      <c r="Q373" s="553">
        <f>Table22[[#This Row],[STMR-RAC (median residue)]]</f>
        <v>0</v>
      </c>
      <c r="R373" s="553">
        <f>Table22[[#This Row],[HR-RAC (highest residue)]]</f>
        <v>0</v>
      </c>
      <c r="S373" s="553">
        <f>Table22[[#This Row],[VF (alternative variability factor)]]</f>
        <v>0</v>
      </c>
      <c r="T373" s="553">
        <f>Table22[[#This Row],[GAP under assessment]]</f>
        <v>0</v>
      </c>
      <c r="U373" s="553">
        <f>Table22[[#This Row],[Post-harvest treatment]]</f>
        <v>0</v>
      </c>
      <c r="V373" s="553" t="str">
        <f>Table22[[#This Row],[Chronic RA label]]</f>
        <v/>
      </c>
      <c r="W373" s="553">
        <f>Table22[[#This Row],[Chronic RA input value]]</f>
        <v>0</v>
      </c>
      <c r="X373" s="1684"/>
      <c r="Y373" s="553">
        <f>Table22[[#This Row],[Acute RA input value]]</f>
        <v>0</v>
      </c>
      <c r="Z373" s="786">
        <f>SUM(Table1[[#This Row],[chronic value &lt;&gt;MRL/LOQ]:[acute vlue&lt;&gt;MRL/LOQ]])</f>
        <v>0</v>
      </c>
      <c r="AA373" s="786">
        <f>IF(AND($F$5="Refined calculation mode",Table1[[#This Row],[GAP under assessment]]="Y"),1,IF(OR(Table1[[#This Row],[Chronic RA label]]="LOQ",Table1[[#This Row],[Chronic RA label]]="",Table1[[#This Row],[Chronic RA label]]="MRL"),0,1))</f>
        <v>0</v>
      </c>
      <c r="AB373" s="787">
        <f>IF(OR(Table1[[#This Row],[Acute RA label]]="LOQ",Table1[[#This Row],[Acute RA label]]="",Table1[[#This Row],[Acute RA label]]="MRL"),0,1)</f>
        <v>0</v>
      </c>
    </row>
    <row r="374" spans="1:28" ht="13.5" hidden="1" thickTop="1" x14ac:dyDescent="0.2">
      <c r="A374" s="815">
        <f>Table1[[#This Row],[Code no.]]</f>
        <v>1020000</v>
      </c>
      <c r="B374" s="793" t="str">
        <f>Table1[[#This Row],[Commodity or group of commodities to which the MRLs apply]]</f>
        <v>Milk</v>
      </c>
      <c r="C374" s="794">
        <f>Table1[[#This Row],[MRL/ proposed MRL /CXL
(mg/kg)]]</f>
        <v>0</v>
      </c>
      <c r="D374" s="795">
        <f>Table1[[#This Row],[Source of MRL]]</f>
        <v>0</v>
      </c>
      <c r="E374" s="797">
        <f>Table1[[#This Row],[Chronic RA input value]]</f>
        <v>0</v>
      </c>
      <c r="F374" s="795">
        <f>Table1[[#This Row],[Chronic RA label]]</f>
        <v>0</v>
      </c>
      <c r="G374" s="797">
        <f>Table1[[#This Row],[Acute RA input value]]</f>
        <v>0</v>
      </c>
      <c r="H374" s="836">
        <f>Table1[[#This Row],[Acute RA label]]</f>
        <v>0</v>
      </c>
      <c r="J374" s="553">
        <f>Table22[[#This Row],[Code no.]]</f>
        <v>1020000</v>
      </c>
      <c r="K374" s="553" t="str">
        <f>Table22[[#This Row],[Commodity or group of commodities to which the MRLs apply]]</f>
        <v>Milk</v>
      </c>
      <c r="L374" s="553">
        <f>Table22[[#This Row],[Source / type of MRL]]</f>
        <v>0</v>
      </c>
      <c r="M374" s="553">
        <f>Table22[[#This Row],[MRL/ proposed MRL /CXL
(mg/kg)]]</f>
        <v>0</v>
      </c>
      <c r="N374" s="553">
        <f>Table22[[#This Row],[LOQ]]</f>
        <v>0</v>
      </c>
      <c r="O374" s="553">
        <f>Table22[[#This Row],[CFrisk for residue definition]]</f>
        <v>0</v>
      </c>
      <c r="P374" s="553">
        <f>Table22[[#This Row],[PeF (peeling factor RD enforcemen)]]</f>
        <v>0</v>
      </c>
      <c r="Q374" s="553">
        <f>Table22[[#This Row],[STMR-RAC (median residue)]]</f>
        <v>0</v>
      </c>
      <c r="R374" s="553">
        <f>Table22[[#This Row],[HR-RAC (highest residue)]]</f>
        <v>0</v>
      </c>
      <c r="S374" s="553">
        <f>Table22[[#This Row],[VF (alternative variability factor)]]</f>
        <v>0</v>
      </c>
      <c r="T374" s="553">
        <f>Table22[[#This Row],[GAP under assessment]]</f>
        <v>0</v>
      </c>
      <c r="U374" s="553">
        <f>Table22[[#This Row],[Post-harvest treatment]]</f>
        <v>0</v>
      </c>
      <c r="V374" s="553"/>
      <c r="W374" s="553">
        <f>Table22[[#This Row],[Chronic RA input value]]</f>
        <v>0</v>
      </c>
      <c r="X374" s="1684"/>
      <c r="Y374" s="553">
        <f>Table22[[#This Row],[Acute RA input value]]</f>
        <v>0</v>
      </c>
      <c r="Z374" s="786">
        <f>SUM(Table1[[#This Row],[chronic value &lt;&gt;MRL/LOQ]:[acute vlue&lt;&gt;MRL/LOQ]])</f>
        <v>0</v>
      </c>
      <c r="AA374" s="786">
        <f>IF(AND($F$5="Refined calculation mode",Table1[[#This Row],[GAP under assessment]]="Y"),1,IF(OR(Table1[[#This Row],[Chronic RA label]]="LOQ",Table1[[#This Row],[Chronic RA label]]="",Table1[[#This Row],[Chronic RA label]]="MRL"),0,1))</f>
        <v>0</v>
      </c>
      <c r="AB374" s="787">
        <f>IF(OR(Table1[[#This Row],[Acute RA label]]="LOQ",Table1[[#This Row],[Acute RA label]]="",Table1[[#This Row],[Acute RA label]]="MRL"),0,1)</f>
        <v>0</v>
      </c>
    </row>
    <row r="375" spans="1:28" ht="13.5" hidden="1" thickTop="1" x14ac:dyDescent="0.2">
      <c r="A375" s="815">
        <f>Table1[[#This Row],[Code no.]]</f>
        <v>1020010</v>
      </c>
      <c r="B375" s="793" t="str">
        <f>Table1[[#This Row],[Commodity or group of commodities to which the MRLs apply]]</f>
        <v>Milk:  Cattle</v>
      </c>
      <c r="C375" s="794">
        <f>Table1[[#This Row],[MRL/ proposed MRL /CXL
(mg/kg)]]</f>
        <v>0</v>
      </c>
      <c r="D375" s="795">
        <f>Table1[[#This Row],[Source of MRL]]</f>
        <v>0</v>
      </c>
      <c r="E375" s="797">
        <f>Table1[[#This Row],[Chronic RA input value]]</f>
        <v>0</v>
      </c>
      <c r="F375" s="795" t="str">
        <f>Table1[[#This Row],[Chronic RA label]]</f>
        <v/>
      </c>
      <c r="G375" s="797">
        <f>Table1[[#This Row],[Acute RA input value]]</f>
        <v>0</v>
      </c>
      <c r="H375" s="836" t="str">
        <f>Table1[[#This Row],[Acute RA label]]</f>
        <v/>
      </c>
      <c r="J375" s="553">
        <f>Table22[[#This Row],[Code no.]]</f>
        <v>1020010</v>
      </c>
      <c r="K375" s="553" t="str">
        <f>Table22[[#This Row],[Commodity or group of commodities to which the MRLs apply]]</f>
        <v>Milk:  Cattle</v>
      </c>
      <c r="L375" s="553">
        <f>Table22[[#This Row],[Source / type of MRL]]</f>
        <v>0</v>
      </c>
      <c r="M375" s="553">
        <f>Table22[[#This Row],[MRL/ proposed MRL /CXL
(mg/kg)]]</f>
        <v>0</v>
      </c>
      <c r="N375" s="553">
        <f>Table22[[#This Row],[LOQ]]</f>
        <v>0</v>
      </c>
      <c r="O375" s="553">
        <f>Table22[[#This Row],[CFrisk for residue definition]]</f>
        <v>0</v>
      </c>
      <c r="P375" s="553">
        <f>Table22[[#This Row],[PeF (peeling factor RD enforcemen)]]</f>
        <v>0</v>
      </c>
      <c r="Q375" s="553">
        <f>Table22[[#This Row],[STMR-RAC (median residue)]]</f>
        <v>0</v>
      </c>
      <c r="R375" s="553">
        <f>Table22[[#This Row],[HR-RAC (highest residue)]]</f>
        <v>0</v>
      </c>
      <c r="S375" s="553">
        <f>Table22[[#This Row],[VF (alternative variability factor)]]</f>
        <v>0</v>
      </c>
      <c r="T375" s="553">
        <f>Table22[[#This Row],[GAP under assessment]]</f>
        <v>0</v>
      </c>
      <c r="U375" s="553">
        <f>Table22[[#This Row],[Post-harvest treatment]]</f>
        <v>0</v>
      </c>
      <c r="V375" s="553" t="str">
        <f>Table22[[#This Row],[Chronic RA label]]</f>
        <v/>
      </c>
      <c r="W375" s="553">
        <f>Table22[[#This Row],[Chronic RA input value]]</f>
        <v>0</v>
      </c>
      <c r="X375" s="1684" t="str">
        <f>Table22[[#This Row],[Acute RA label]]</f>
        <v/>
      </c>
      <c r="Y375" s="553">
        <f>Table22[[#This Row],[Acute RA input value]]</f>
        <v>0</v>
      </c>
      <c r="Z375" s="786">
        <f>SUM(Table1[[#This Row],[chronic value &lt;&gt;MRL/LOQ]:[acute vlue&lt;&gt;MRL/LOQ]])</f>
        <v>0</v>
      </c>
      <c r="AA375" s="786">
        <f>IF(AND($F$5="Refined calculation mode",Table1[[#This Row],[GAP under assessment]]="Y"),1,IF(OR(Table1[[#This Row],[Chronic RA label]]="LOQ",Table1[[#This Row],[Chronic RA label]]="",Table1[[#This Row],[Chronic RA label]]="MRL"),0,1))</f>
        <v>0</v>
      </c>
      <c r="AB375" s="787">
        <f>IF(OR(Table1[[#This Row],[Acute RA label]]="LOQ",Table1[[#This Row],[Acute RA label]]="",Table1[[#This Row],[Acute RA label]]="MRL"),0,1)</f>
        <v>0</v>
      </c>
    </row>
    <row r="376" spans="1:28" ht="13.5" hidden="1" thickTop="1" x14ac:dyDescent="0.2">
      <c r="A376" s="815">
        <f>Table1[[#This Row],[Code no.]]</f>
        <v>1020020</v>
      </c>
      <c r="B376" s="793" t="str">
        <f>Table1[[#This Row],[Commodity or group of commodities to which the MRLs apply]]</f>
        <v>Milk: Sheep</v>
      </c>
      <c r="C376" s="794">
        <f>Table1[[#This Row],[MRL/ proposed MRL /CXL
(mg/kg)]]</f>
        <v>0</v>
      </c>
      <c r="D376" s="795">
        <f>Table1[[#This Row],[Source of MRL]]</f>
        <v>0</v>
      </c>
      <c r="E376" s="797">
        <f>Table1[[#This Row],[Chronic RA input value]]</f>
        <v>0</v>
      </c>
      <c r="F376" s="795" t="str">
        <f>Table1[[#This Row],[Chronic RA label]]</f>
        <v/>
      </c>
      <c r="G376" s="797">
        <f>Table1[[#This Row],[Acute RA input value]]</f>
        <v>0</v>
      </c>
      <c r="H376" s="836" t="str">
        <f>Table1[[#This Row],[Acute RA label]]</f>
        <v/>
      </c>
      <c r="J376" s="553">
        <f>Table22[[#This Row],[Code no.]]</f>
        <v>1020020</v>
      </c>
      <c r="K376" s="553" t="str">
        <f>Table22[[#This Row],[Commodity or group of commodities to which the MRLs apply]]</f>
        <v>Milk: Sheep</v>
      </c>
      <c r="L376" s="553">
        <f>Table22[[#This Row],[Source / type of MRL]]</f>
        <v>0</v>
      </c>
      <c r="M376" s="553">
        <f>Table22[[#This Row],[MRL/ proposed MRL /CXL
(mg/kg)]]</f>
        <v>0</v>
      </c>
      <c r="N376" s="553">
        <f>Table22[[#This Row],[LOQ]]</f>
        <v>0</v>
      </c>
      <c r="O376" s="553">
        <f>Table22[[#This Row],[CFrisk for residue definition]]</f>
        <v>0</v>
      </c>
      <c r="P376" s="553">
        <f>Table22[[#This Row],[PeF (peeling factor RD enforcemen)]]</f>
        <v>0</v>
      </c>
      <c r="Q376" s="553">
        <f>Table22[[#This Row],[STMR-RAC (median residue)]]</f>
        <v>0</v>
      </c>
      <c r="R376" s="553">
        <f>Table22[[#This Row],[HR-RAC (highest residue)]]</f>
        <v>0</v>
      </c>
      <c r="S376" s="553">
        <f>Table22[[#This Row],[VF (alternative variability factor)]]</f>
        <v>0</v>
      </c>
      <c r="T376" s="553">
        <f>Table22[[#This Row],[GAP under assessment]]</f>
        <v>0</v>
      </c>
      <c r="U376" s="553">
        <f>Table22[[#This Row],[Post-harvest treatment]]</f>
        <v>0</v>
      </c>
      <c r="V376" s="553" t="str">
        <f>Table22[[#This Row],[Chronic RA label]]</f>
        <v/>
      </c>
      <c r="W376" s="553">
        <f>Table22[[#This Row],[Chronic RA input value]]</f>
        <v>0</v>
      </c>
      <c r="X376" s="1684" t="str">
        <f>Table22[[#This Row],[Acute RA label]]</f>
        <v/>
      </c>
      <c r="Y376" s="553">
        <f>Table22[[#This Row],[Acute RA input value]]</f>
        <v>0</v>
      </c>
      <c r="Z376" s="786">
        <f>SUM(Table1[[#This Row],[chronic value &lt;&gt;MRL/LOQ]:[acute vlue&lt;&gt;MRL/LOQ]])</f>
        <v>0</v>
      </c>
      <c r="AA376" s="786">
        <f>IF(AND($F$5="Refined calculation mode",Table1[[#This Row],[GAP under assessment]]="Y"),1,IF(OR(Table1[[#This Row],[Chronic RA label]]="LOQ",Table1[[#This Row],[Chronic RA label]]="",Table1[[#This Row],[Chronic RA label]]="MRL"),0,1))</f>
        <v>0</v>
      </c>
      <c r="AB376" s="787">
        <f>IF(OR(Table1[[#This Row],[Acute RA label]]="LOQ",Table1[[#This Row],[Acute RA label]]="",Table1[[#This Row],[Acute RA label]]="MRL"),0,1)</f>
        <v>0</v>
      </c>
    </row>
    <row r="377" spans="1:28" ht="13.5" hidden="1" thickTop="1" x14ac:dyDescent="0.2">
      <c r="A377" s="815">
        <f>Table1[[#This Row],[Code no.]]</f>
        <v>1020030</v>
      </c>
      <c r="B377" s="793" t="str">
        <f>Table1[[#This Row],[Commodity or group of commodities to which the MRLs apply]]</f>
        <v>Milk: Goat</v>
      </c>
      <c r="C377" s="794">
        <f>Table1[[#This Row],[MRL/ proposed MRL /CXL
(mg/kg)]]</f>
        <v>0</v>
      </c>
      <c r="D377" s="795">
        <f>Table1[[#This Row],[Source of MRL]]</f>
        <v>0</v>
      </c>
      <c r="E377" s="797">
        <f>Table1[[#This Row],[Chronic RA input value]]</f>
        <v>0</v>
      </c>
      <c r="F377" s="795" t="str">
        <f>Table1[[#This Row],[Chronic RA label]]</f>
        <v/>
      </c>
      <c r="G377" s="797">
        <f>Table1[[#This Row],[Acute RA input value]]</f>
        <v>0</v>
      </c>
      <c r="H377" s="836" t="str">
        <f>Table1[[#This Row],[Acute RA label]]</f>
        <v/>
      </c>
      <c r="J377" s="553">
        <f>Table22[[#This Row],[Code no.]]</f>
        <v>1020030</v>
      </c>
      <c r="K377" s="553" t="str">
        <f>Table22[[#This Row],[Commodity or group of commodities to which the MRLs apply]]</f>
        <v>Milk: Goat</v>
      </c>
      <c r="L377" s="553">
        <f>Table22[[#This Row],[Source / type of MRL]]</f>
        <v>0</v>
      </c>
      <c r="M377" s="553">
        <f>Table22[[#This Row],[MRL/ proposed MRL /CXL
(mg/kg)]]</f>
        <v>0</v>
      </c>
      <c r="N377" s="553">
        <f>Table22[[#This Row],[LOQ]]</f>
        <v>0</v>
      </c>
      <c r="O377" s="553">
        <f>Table22[[#This Row],[CFrisk for residue definition]]</f>
        <v>0</v>
      </c>
      <c r="P377" s="553">
        <f>Table22[[#This Row],[PeF (peeling factor RD enforcemen)]]</f>
        <v>0</v>
      </c>
      <c r="Q377" s="553">
        <f>Table22[[#This Row],[STMR-RAC (median residue)]]</f>
        <v>0</v>
      </c>
      <c r="R377" s="553">
        <f>Table22[[#This Row],[HR-RAC (highest residue)]]</f>
        <v>0</v>
      </c>
      <c r="S377" s="553">
        <f>Table22[[#This Row],[VF (alternative variability factor)]]</f>
        <v>0</v>
      </c>
      <c r="T377" s="553">
        <f>Table22[[#This Row],[GAP under assessment]]</f>
        <v>0</v>
      </c>
      <c r="U377" s="553">
        <f>Table22[[#This Row],[Post-harvest treatment]]</f>
        <v>0</v>
      </c>
      <c r="V377" s="553" t="str">
        <f>Table22[[#This Row],[Chronic RA label]]</f>
        <v/>
      </c>
      <c r="W377" s="553">
        <f>Table22[[#This Row],[Chronic RA input value]]</f>
        <v>0</v>
      </c>
      <c r="X377" s="1684" t="str">
        <f>Table22[[#This Row],[Acute RA label]]</f>
        <v/>
      </c>
      <c r="Y377" s="553">
        <f>Table22[[#This Row],[Acute RA input value]]</f>
        <v>0</v>
      </c>
      <c r="Z377" s="786">
        <f>SUM(Table1[[#This Row],[chronic value &lt;&gt;MRL/LOQ]:[acute vlue&lt;&gt;MRL/LOQ]])</f>
        <v>0</v>
      </c>
      <c r="AA377" s="786">
        <f>IF(AND($F$5="Refined calculation mode",Table1[[#This Row],[GAP under assessment]]="Y"),1,IF(OR(Table1[[#This Row],[Chronic RA label]]="LOQ",Table1[[#This Row],[Chronic RA label]]="",Table1[[#This Row],[Chronic RA label]]="MRL"),0,1))</f>
        <v>0</v>
      </c>
      <c r="AB377" s="787">
        <f>IF(OR(Table1[[#This Row],[Acute RA label]]="LOQ",Table1[[#This Row],[Acute RA label]]="",Table1[[#This Row],[Acute RA label]]="MRL"),0,1)</f>
        <v>0</v>
      </c>
    </row>
    <row r="378" spans="1:28" ht="13.5" hidden="1" thickTop="1" x14ac:dyDescent="0.2">
      <c r="A378" s="815">
        <f>Table1[[#This Row],[Code no.]]</f>
        <v>1020040</v>
      </c>
      <c r="B378" s="793" t="str">
        <f>Table1[[#This Row],[Commodity or group of commodities to which the MRLs apply]]</f>
        <v xml:space="preserve">Milk: Horse </v>
      </c>
      <c r="C378" s="794">
        <f>Table1[[#This Row],[MRL/ proposed MRL /CXL
(mg/kg)]]</f>
        <v>0</v>
      </c>
      <c r="D378" s="795">
        <f>Table1[[#This Row],[Source of MRL]]</f>
        <v>0</v>
      </c>
      <c r="E378" s="797">
        <f>Table1[[#This Row],[Chronic RA input value]]</f>
        <v>0</v>
      </c>
      <c r="F378" s="795" t="str">
        <f>Table1[[#This Row],[Chronic RA label]]</f>
        <v/>
      </c>
      <c r="G378" s="797">
        <f>Table1[[#This Row],[Acute RA input value]]</f>
        <v>0</v>
      </c>
      <c r="H378" s="836" t="str">
        <f>Table1[[#This Row],[Acute RA label]]</f>
        <v/>
      </c>
      <c r="J378" s="553">
        <f>Table22[[#This Row],[Code no.]]</f>
        <v>1020040</v>
      </c>
      <c r="K378" s="553" t="str">
        <f>Table22[[#This Row],[Commodity or group of commodities to which the MRLs apply]]</f>
        <v xml:space="preserve">Milk: Horse </v>
      </c>
      <c r="L378" s="553">
        <f>Table22[[#This Row],[Source / type of MRL]]</f>
        <v>0</v>
      </c>
      <c r="M378" s="553">
        <f>Table22[[#This Row],[MRL/ proposed MRL /CXL
(mg/kg)]]</f>
        <v>0</v>
      </c>
      <c r="N378" s="553">
        <f>Table22[[#This Row],[LOQ]]</f>
        <v>0</v>
      </c>
      <c r="O378" s="553">
        <f>Table22[[#This Row],[CFrisk for residue definition]]</f>
        <v>0</v>
      </c>
      <c r="P378" s="553">
        <f>Table22[[#This Row],[PeF (peeling factor RD enforcemen)]]</f>
        <v>0</v>
      </c>
      <c r="Q378" s="553">
        <f>Table22[[#This Row],[STMR-RAC (median residue)]]</f>
        <v>0</v>
      </c>
      <c r="R378" s="553">
        <f>Table22[[#This Row],[HR-RAC (highest residue)]]</f>
        <v>0</v>
      </c>
      <c r="S378" s="553">
        <f>Table22[[#This Row],[VF (alternative variability factor)]]</f>
        <v>0</v>
      </c>
      <c r="T378" s="553">
        <f>Table22[[#This Row],[GAP under assessment]]</f>
        <v>0</v>
      </c>
      <c r="U378" s="553">
        <f>Table22[[#This Row],[Post-harvest treatment]]</f>
        <v>0</v>
      </c>
      <c r="V378" s="553" t="str">
        <f>Table22[[#This Row],[Chronic RA label]]</f>
        <v/>
      </c>
      <c r="W378" s="553">
        <f>Table22[[#This Row],[Chronic RA input value]]</f>
        <v>0</v>
      </c>
      <c r="X378" s="1684" t="str">
        <f>Table22[[#This Row],[Acute RA label]]</f>
        <v/>
      </c>
      <c r="Y378" s="553">
        <f>Table22[[#This Row],[Acute RA input value]]</f>
        <v>0</v>
      </c>
      <c r="Z378" s="786">
        <f>SUM(Table1[[#This Row],[chronic value &lt;&gt;MRL/LOQ]:[acute vlue&lt;&gt;MRL/LOQ]])</f>
        <v>0</v>
      </c>
      <c r="AA378" s="786">
        <f>IF(AND($F$5="Refined calculation mode",Table1[[#This Row],[GAP under assessment]]="Y"),1,IF(OR(Table1[[#This Row],[Chronic RA label]]="LOQ",Table1[[#This Row],[Chronic RA label]]="",Table1[[#This Row],[Chronic RA label]]="MRL"),0,1))</f>
        <v>0</v>
      </c>
      <c r="AB378" s="787">
        <f>IF(OR(Table1[[#This Row],[Acute RA label]]="LOQ",Table1[[#This Row],[Acute RA label]]="",Table1[[#This Row],[Acute RA label]]="MRL"),0,1)</f>
        <v>0</v>
      </c>
    </row>
    <row r="379" spans="1:28" ht="13.5" hidden="1" thickTop="1" x14ac:dyDescent="0.2">
      <c r="A379" s="815">
        <f>Table1[[#This Row],[Code no.]]</f>
        <v>1020990</v>
      </c>
      <c r="B379" s="793" t="str">
        <f>Table1[[#This Row],[Commodity or group of commodities to which the MRLs apply]]</f>
        <v xml:space="preserve">Milk: Others </v>
      </c>
      <c r="C379" s="794">
        <f>Table1[[#This Row],[MRL/ proposed MRL /CXL
(mg/kg)]]</f>
        <v>0</v>
      </c>
      <c r="D379" s="795">
        <f>Table1[[#This Row],[Source of MRL]]</f>
        <v>0</v>
      </c>
      <c r="E379" s="797">
        <f>Table1[[#This Row],[Chronic RA input value]]</f>
        <v>0</v>
      </c>
      <c r="F379" s="795" t="str">
        <f>Table1[[#This Row],[Chronic RA label]]</f>
        <v/>
      </c>
      <c r="G379" s="797">
        <f>Table1[[#This Row],[Acute RA input value]]</f>
        <v>0</v>
      </c>
      <c r="H379" s="836" t="str">
        <f>Table1[[#This Row],[Acute RA label]]</f>
        <v/>
      </c>
      <c r="J379" s="553">
        <f>Table22[[#This Row],[Code no.]]</f>
        <v>1020990</v>
      </c>
      <c r="K379" s="553" t="str">
        <f>Table22[[#This Row],[Commodity or group of commodities to which the MRLs apply]]</f>
        <v xml:space="preserve">Milk: Others </v>
      </c>
      <c r="L379" s="553">
        <f>Table22[[#This Row],[Source / type of MRL]]</f>
        <v>0</v>
      </c>
      <c r="M379" s="553">
        <f>Table22[[#This Row],[MRL/ proposed MRL /CXL
(mg/kg)]]</f>
        <v>0</v>
      </c>
      <c r="N379" s="553">
        <f>Table22[[#This Row],[LOQ]]</f>
        <v>0</v>
      </c>
      <c r="O379" s="553">
        <f>Table22[[#This Row],[CFrisk for residue definition]]</f>
        <v>0</v>
      </c>
      <c r="P379" s="553">
        <f>Table22[[#This Row],[PeF (peeling factor RD enforcemen)]]</f>
        <v>0</v>
      </c>
      <c r="Q379" s="553">
        <f>Table22[[#This Row],[STMR-RAC (median residue)]]</f>
        <v>0</v>
      </c>
      <c r="R379" s="553">
        <f>Table22[[#This Row],[HR-RAC (highest residue)]]</f>
        <v>0</v>
      </c>
      <c r="S379" s="553">
        <f>Table22[[#This Row],[VF (alternative variability factor)]]</f>
        <v>0</v>
      </c>
      <c r="T379" s="553">
        <f>Table22[[#This Row],[GAP under assessment]]</f>
        <v>0</v>
      </c>
      <c r="U379" s="553">
        <f>Table22[[#This Row],[Post-harvest treatment]]</f>
        <v>0</v>
      </c>
      <c r="V379" s="553" t="str">
        <f>Table22[[#This Row],[Chronic RA label]]</f>
        <v/>
      </c>
      <c r="W379" s="553">
        <f>Table22[[#This Row],[Chronic RA input value]]</f>
        <v>0</v>
      </c>
      <c r="X379" s="1684" t="str">
        <f>Table22[[#This Row],[Acute RA label]]</f>
        <v/>
      </c>
      <c r="Y379" s="553">
        <f>Table22[[#This Row],[Acute RA input value]]</f>
        <v>0</v>
      </c>
      <c r="Z379" s="786">
        <f>SUM(Table1[[#This Row],[chronic value &lt;&gt;MRL/LOQ]:[acute vlue&lt;&gt;MRL/LOQ]])</f>
        <v>0</v>
      </c>
      <c r="AA379" s="786">
        <f>IF(AND($F$5="Refined calculation mode",Table1[[#This Row],[GAP under assessment]]="Y"),1,IF(OR(Table1[[#This Row],[Chronic RA label]]="LOQ",Table1[[#This Row],[Chronic RA label]]="",Table1[[#This Row],[Chronic RA label]]="MRL"),0,1))</f>
        <v>0</v>
      </c>
      <c r="AB379" s="787">
        <f>IF(OR(Table1[[#This Row],[Acute RA label]]="LOQ",Table1[[#This Row],[Acute RA label]]="",Table1[[#This Row],[Acute RA label]]="MRL"),0,1)</f>
        <v>0</v>
      </c>
    </row>
    <row r="380" spans="1:28" ht="13.5" hidden="1" thickTop="1" x14ac:dyDescent="0.2">
      <c r="A380" s="815">
        <f>Table1[[#This Row],[Code no.]]</f>
        <v>1030000</v>
      </c>
      <c r="B380" s="793" t="str">
        <f>Table1[[#This Row],[Commodity or group of commodities to which the MRLs apply]]</f>
        <v>Birds eggs</v>
      </c>
      <c r="C380" s="794">
        <f>Table1[[#This Row],[MRL/ proposed MRL /CXL
(mg/kg)]]</f>
        <v>0</v>
      </c>
      <c r="D380" s="795">
        <f>Table1[[#This Row],[Source of MRL]]</f>
        <v>0</v>
      </c>
      <c r="E380" s="797">
        <f>Table1[[#This Row],[Chronic RA input value]]</f>
        <v>0</v>
      </c>
      <c r="F380" s="795">
        <f>Table1[[#This Row],[Chronic RA label]]</f>
        <v>0</v>
      </c>
      <c r="G380" s="797">
        <f>Table1[[#This Row],[Acute RA input value]]</f>
        <v>0</v>
      </c>
      <c r="H380" s="836">
        <f>Table1[[#This Row],[Acute RA label]]</f>
        <v>0</v>
      </c>
      <c r="J380" s="553">
        <f>Table22[[#This Row],[Code no.]]</f>
        <v>1030000</v>
      </c>
      <c r="K380" s="553" t="str">
        <f>Table22[[#This Row],[Commodity or group of commodities to which the MRLs apply]]</f>
        <v>Birds eggs</v>
      </c>
      <c r="L380" s="553">
        <f>Table22[[#This Row],[Source / type of MRL]]</f>
        <v>0</v>
      </c>
      <c r="M380" s="553">
        <f>Table22[[#This Row],[MRL/ proposed MRL /CXL
(mg/kg)]]</f>
        <v>0</v>
      </c>
      <c r="N380" s="553">
        <f>Table22[[#This Row],[LOQ]]</f>
        <v>0</v>
      </c>
      <c r="O380" s="553">
        <f>Table22[[#This Row],[CFrisk for residue definition]]</f>
        <v>0</v>
      </c>
      <c r="P380" s="553">
        <f>Table22[[#This Row],[PeF (peeling factor RD enforcemen)]]</f>
        <v>0</v>
      </c>
      <c r="Q380" s="553">
        <f>Table22[[#This Row],[STMR-RAC (median residue)]]</f>
        <v>0</v>
      </c>
      <c r="R380" s="553">
        <f>Table22[[#This Row],[HR-RAC (highest residue)]]</f>
        <v>0</v>
      </c>
      <c r="S380" s="553">
        <f>Table22[[#This Row],[VF (alternative variability factor)]]</f>
        <v>0</v>
      </c>
      <c r="T380" s="553">
        <f>Table22[[#This Row],[GAP under assessment]]</f>
        <v>0</v>
      </c>
      <c r="U380" s="553">
        <f>Table22[[#This Row],[Post-harvest treatment]]</f>
        <v>0</v>
      </c>
      <c r="V380" s="553"/>
      <c r="W380" s="553">
        <f>Table22[[#This Row],[Chronic RA input value]]</f>
        <v>0</v>
      </c>
      <c r="X380" s="1684"/>
      <c r="Y380" s="553">
        <f>Table22[[#This Row],[Acute RA input value]]</f>
        <v>0</v>
      </c>
      <c r="Z380" s="786">
        <f>SUM(Table1[[#This Row],[chronic value &lt;&gt;MRL/LOQ]:[acute vlue&lt;&gt;MRL/LOQ]])</f>
        <v>0</v>
      </c>
      <c r="AA380" s="786">
        <f>IF(AND($F$5="Refined calculation mode",Table1[[#This Row],[GAP under assessment]]="Y"),1,IF(OR(Table1[[#This Row],[Chronic RA label]]="LOQ",Table1[[#This Row],[Chronic RA label]]="",Table1[[#This Row],[Chronic RA label]]="MRL"),0,1))</f>
        <v>0</v>
      </c>
      <c r="AB380" s="787">
        <f>IF(OR(Table1[[#This Row],[Acute RA label]]="LOQ",Table1[[#This Row],[Acute RA label]]="",Table1[[#This Row],[Acute RA label]]="MRL"),0,1)</f>
        <v>0</v>
      </c>
    </row>
    <row r="381" spans="1:28" ht="13.5" hidden="1" thickTop="1" x14ac:dyDescent="0.2">
      <c r="A381" s="815">
        <f>Table1[[#This Row],[Code no.]]</f>
        <v>1030010</v>
      </c>
      <c r="B381" s="793" t="str">
        <f>Table1[[#This Row],[Commodity or group of commodities to which the MRLs apply]]</f>
        <v xml:space="preserve">Eggs: Chicken </v>
      </c>
      <c r="C381" s="794">
        <f>Table1[[#This Row],[MRL/ proposed MRL /CXL
(mg/kg)]]</f>
        <v>0</v>
      </c>
      <c r="D381" s="795">
        <f>Table1[[#This Row],[Source of MRL]]</f>
        <v>0</v>
      </c>
      <c r="E381" s="797">
        <f>Table1[[#This Row],[Chronic RA input value]]</f>
        <v>0</v>
      </c>
      <c r="F381" s="795" t="str">
        <f>Table1[[#This Row],[Chronic RA label]]</f>
        <v/>
      </c>
      <c r="G381" s="797">
        <f>Table1[[#This Row],[Acute RA input value]]</f>
        <v>0</v>
      </c>
      <c r="H381" s="836" t="str">
        <f>Table1[[#This Row],[Acute RA label]]</f>
        <v/>
      </c>
      <c r="J381" s="553">
        <f>Table22[[#This Row],[Code no.]]</f>
        <v>1030010</v>
      </c>
      <c r="K381" s="553" t="str">
        <f>Table22[[#This Row],[Commodity or group of commodities to which the MRLs apply]]</f>
        <v xml:space="preserve">Eggs: Chicken </v>
      </c>
      <c r="L381" s="553">
        <f>Table22[[#This Row],[Source / type of MRL]]</f>
        <v>0</v>
      </c>
      <c r="M381" s="553">
        <f>Table22[[#This Row],[MRL/ proposed MRL /CXL
(mg/kg)]]</f>
        <v>0</v>
      </c>
      <c r="N381" s="553">
        <f>Table22[[#This Row],[LOQ]]</f>
        <v>0</v>
      </c>
      <c r="O381" s="553">
        <f>Table22[[#This Row],[CFrisk for residue definition]]</f>
        <v>0</v>
      </c>
      <c r="P381" s="553">
        <f>Table22[[#This Row],[PeF (peeling factor RD enforcemen)]]</f>
        <v>0</v>
      </c>
      <c r="Q381" s="553">
        <f>Table22[[#This Row],[STMR-RAC (median residue)]]</f>
        <v>0</v>
      </c>
      <c r="R381" s="553">
        <f>Table22[[#This Row],[HR-RAC (highest residue)]]</f>
        <v>0</v>
      </c>
      <c r="S381" s="553">
        <f>Table22[[#This Row],[VF (alternative variability factor)]]</f>
        <v>0</v>
      </c>
      <c r="T381" s="553">
        <f>Table22[[#This Row],[GAP under assessment]]</f>
        <v>0</v>
      </c>
      <c r="U381" s="553">
        <f>Table22[[#This Row],[Post-harvest treatment]]</f>
        <v>0</v>
      </c>
      <c r="V381" s="553" t="str">
        <f>Table22[[#This Row],[Chronic RA label]]</f>
        <v/>
      </c>
      <c r="W381" s="553">
        <f>Table22[[#This Row],[Chronic RA input value]]</f>
        <v>0</v>
      </c>
      <c r="X381" s="1684" t="str">
        <f>Table22[[#This Row],[Acute RA label]]</f>
        <v/>
      </c>
      <c r="Y381" s="553">
        <f>Table22[[#This Row],[Acute RA input value]]</f>
        <v>0</v>
      </c>
      <c r="Z381" s="786">
        <f>SUM(Table1[[#This Row],[chronic value &lt;&gt;MRL/LOQ]:[acute vlue&lt;&gt;MRL/LOQ]])</f>
        <v>0</v>
      </c>
      <c r="AA381" s="786">
        <f>IF(AND($F$5="Refined calculation mode",Table1[[#This Row],[GAP under assessment]]="Y"),1,IF(OR(Table1[[#This Row],[Chronic RA label]]="LOQ",Table1[[#This Row],[Chronic RA label]]="",Table1[[#This Row],[Chronic RA label]]="MRL"),0,1))</f>
        <v>0</v>
      </c>
      <c r="AB381" s="787">
        <f>IF(OR(Table1[[#This Row],[Acute RA label]]="LOQ",Table1[[#This Row],[Acute RA label]]="",Table1[[#This Row],[Acute RA label]]="MRL"),0,1)</f>
        <v>0</v>
      </c>
    </row>
    <row r="382" spans="1:28" ht="13.5" hidden="1" thickTop="1" x14ac:dyDescent="0.2">
      <c r="A382" s="815">
        <f>Table1[[#This Row],[Code no.]]</f>
        <v>1030020</v>
      </c>
      <c r="B382" s="793" t="str">
        <f>Table1[[#This Row],[Commodity or group of commodities to which the MRLs apply]]</f>
        <v>Eggs: Duck</v>
      </c>
      <c r="C382" s="794">
        <f>Table1[[#This Row],[MRL/ proposed MRL /CXL
(mg/kg)]]</f>
        <v>0</v>
      </c>
      <c r="D382" s="795">
        <f>Table1[[#This Row],[Source of MRL]]</f>
        <v>0</v>
      </c>
      <c r="E382" s="797">
        <f>Table1[[#This Row],[Chronic RA input value]]</f>
        <v>0</v>
      </c>
      <c r="F382" s="795" t="str">
        <f>Table1[[#This Row],[Chronic RA label]]</f>
        <v/>
      </c>
      <c r="G382" s="797">
        <f>Table1[[#This Row],[Acute RA input value]]</f>
        <v>0</v>
      </c>
      <c r="H382" s="836" t="str">
        <f>Table1[[#This Row],[Acute RA label]]</f>
        <v/>
      </c>
      <c r="J382" s="553">
        <f>Table22[[#This Row],[Code no.]]</f>
        <v>1030020</v>
      </c>
      <c r="K382" s="553" t="str">
        <f>Table22[[#This Row],[Commodity or group of commodities to which the MRLs apply]]</f>
        <v>Eggs: Duck</v>
      </c>
      <c r="L382" s="553">
        <f>Table22[[#This Row],[Source / type of MRL]]</f>
        <v>0</v>
      </c>
      <c r="M382" s="553">
        <f>Table22[[#This Row],[MRL/ proposed MRL /CXL
(mg/kg)]]</f>
        <v>0</v>
      </c>
      <c r="N382" s="553">
        <f>Table22[[#This Row],[LOQ]]</f>
        <v>0</v>
      </c>
      <c r="O382" s="553">
        <f>Table22[[#This Row],[CFrisk for residue definition]]</f>
        <v>0</v>
      </c>
      <c r="P382" s="553">
        <f>Table22[[#This Row],[PeF (peeling factor RD enforcemen)]]</f>
        <v>0</v>
      </c>
      <c r="Q382" s="553">
        <f>Table22[[#This Row],[STMR-RAC (median residue)]]</f>
        <v>0</v>
      </c>
      <c r="R382" s="553">
        <f>Table22[[#This Row],[HR-RAC (highest residue)]]</f>
        <v>0</v>
      </c>
      <c r="S382" s="553">
        <f>Table22[[#This Row],[VF (alternative variability factor)]]</f>
        <v>0</v>
      </c>
      <c r="T382" s="553">
        <f>Table22[[#This Row],[GAP under assessment]]</f>
        <v>0</v>
      </c>
      <c r="U382" s="553">
        <f>Table22[[#This Row],[Post-harvest treatment]]</f>
        <v>0</v>
      </c>
      <c r="V382" s="553" t="str">
        <f>Table22[[#This Row],[Chronic RA label]]</f>
        <v/>
      </c>
      <c r="W382" s="553">
        <f>Table22[[#This Row],[Chronic RA input value]]</f>
        <v>0</v>
      </c>
      <c r="X382" s="1684" t="str">
        <f>Table22[[#This Row],[Acute RA label]]</f>
        <v/>
      </c>
      <c r="Y382" s="553">
        <f>Table22[[#This Row],[Acute RA input value]]</f>
        <v>0</v>
      </c>
      <c r="Z382" s="786">
        <f>SUM(Table1[[#This Row],[chronic value &lt;&gt;MRL/LOQ]:[acute vlue&lt;&gt;MRL/LOQ]])</f>
        <v>0</v>
      </c>
      <c r="AA382" s="786">
        <f>IF(AND($F$5="Refined calculation mode",Table1[[#This Row],[GAP under assessment]]="Y"),1,IF(OR(Table1[[#This Row],[Chronic RA label]]="LOQ",Table1[[#This Row],[Chronic RA label]]="",Table1[[#This Row],[Chronic RA label]]="MRL"),0,1))</f>
        <v>0</v>
      </c>
      <c r="AB382" s="787">
        <f>IF(OR(Table1[[#This Row],[Acute RA label]]="LOQ",Table1[[#This Row],[Acute RA label]]="",Table1[[#This Row],[Acute RA label]]="MRL"),0,1)</f>
        <v>0</v>
      </c>
    </row>
    <row r="383" spans="1:28" ht="13.5" hidden="1" thickTop="1" x14ac:dyDescent="0.2">
      <c r="A383" s="815">
        <f>Table1[[#This Row],[Code no.]]</f>
        <v>1030030</v>
      </c>
      <c r="B383" s="793" t="str">
        <f>Table1[[#This Row],[Commodity or group of commodities to which the MRLs apply]]</f>
        <v>Eggs: Goose</v>
      </c>
      <c r="C383" s="794">
        <f>Table1[[#This Row],[MRL/ proposed MRL /CXL
(mg/kg)]]</f>
        <v>0</v>
      </c>
      <c r="D383" s="795">
        <f>Table1[[#This Row],[Source of MRL]]</f>
        <v>0</v>
      </c>
      <c r="E383" s="797">
        <f>Table1[[#This Row],[Chronic RA input value]]</f>
        <v>0</v>
      </c>
      <c r="F383" s="795" t="str">
        <f>Table1[[#This Row],[Chronic RA label]]</f>
        <v/>
      </c>
      <c r="G383" s="797">
        <f>Table1[[#This Row],[Acute RA input value]]</f>
        <v>0</v>
      </c>
      <c r="H383" s="836" t="str">
        <f>Table1[[#This Row],[Acute RA label]]</f>
        <v/>
      </c>
      <c r="J383" s="553">
        <f>Table22[[#This Row],[Code no.]]</f>
        <v>1030030</v>
      </c>
      <c r="K383" s="553" t="str">
        <f>Table22[[#This Row],[Commodity or group of commodities to which the MRLs apply]]</f>
        <v>Eggs: Goose</v>
      </c>
      <c r="L383" s="553">
        <f>Table22[[#This Row],[Source / type of MRL]]</f>
        <v>0</v>
      </c>
      <c r="M383" s="553">
        <f>Table22[[#This Row],[MRL/ proposed MRL /CXL
(mg/kg)]]</f>
        <v>0</v>
      </c>
      <c r="N383" s="553">
        <f>Table22[[#This Row],[LOQ]]</f>
        <v>0</v>
      </c>
      <c r="O383" s="553">
        <f>Table22[[#This Row],[CFrisk for residue definition]]</f>
        <v>0</v>
      </c>
      <c r="P383" s="553">
        <f>Table22[[#This Row],[PeF (peeling factor RD enforcemen)]]</f>
        <v>0</v>
      </c>
      <c r="Q383" s="553">
        <f>Table22[[#This Row],[STMR-RAC (median residue)]]</f>
        <v>0</v>
      </c>
      <c r="R383" s="553">
        <f>Table22[[#This Row],[HR-RAC (highest residue)]]</f>
        <v>0</v>
      </c>
      <c r="S383" s="553">
        <f>Table22[[#This Row],[VF (alternative variability factor)]]</f>
        <v>0</v>
      </c>
      <c r="T383" s="553">
        <f>Table22[[#This Row],[GAP under assessment]]</f>
        <v>0</v>
      </c>
      <c r="U383" s="553">
        <f>Table22[[#This Row],[Post-harvest treatment]]</f>
        <v>0</v>
      </c>
      <c r="V383" s="553" t="str">
        <f>Table22[[#This Row],[Chronic RA label]]</f>
        <v/>
      </c>
      <c r="W383" s="553">
        <f>Table22[[#This Row],[Chronic RA input value]]</f>
        <v>0</v>
      </c>
      <c r="X383" s="1684" t="str">
        <f>Table22[[#This Row],[Acute RA label]]</f>
        <v/>
      </c>
      <c r="Y383" s="553">
        <f>Table22[[#This Row],[Acute RA input value]]</f>
        <v>0</v>
      </c>
      <c r="Z383" s="786">
        <f>SUM(Table1[[#This Row],[chronic value &lt;&gt;MRL/LOQ]:[acute vlue&lt;&gt;MRL/LOQ]])</f>
        <v>0</v>
      </c>
      <c r="AA383" s="786">
        <f>IF(AND($F$5="Refined calculation mode",Table1[[#This Row],[GAP under assessment]]="Y"),1,IF(OR(Table1[[#This Row],[Chronic RA label]]="LOQ",Table1[[#This Row],[Chronic RA label]]="",Table1[[#This Row],[Chronic RA label]]="MRL"),0,1))</f>
        <v>0</v>
      </c>
      <c r="AB383" s="787">
        <f>IF(OR(Table1[[#This Row],[Acute RA label]]="LOQ",Table1[[#This Row],[Acute RA label]]="",Table1[[#This Row],[Acute RA label]]="MRL"),0,1)</f>
        <v>0</v>
      </c>
    </row>
    <row r="384" spans="1:28" ht="13.5" hidden="1" thickTop="1" x14ac:dyDescent="0.2">
      <c r="A384" s="815">
        <f>Table1[[#This Row],[Code no.]]</f>
        <v>1030040</v>
      </c>
      <c r="B384" s="793" t="str">
        <f>Table1[[#This Row],[Commodity or group of commodities to which the MRLs apply]]</f>
        <v xml:space="preserve">Eggs: Quail </v>
      </c>
      <c r="C384" s="794">
        <f>Table1[[#This Row],[MRL/ proposed MRL /CXL
(mg/kg)]]</f>
        <v>0</v>
      </c>
      <c r="D384" s="795">
        <f>Table1[[#This Row],[Source of MRL]]</f>
        <v>0</v>
      </c>
      <c r="E384" s="797">
        <f>Table1[[#This Row],[Chronic RA input value]]</f>
        <v>0</v>
      </c>
      <c r="F384" s="795" t="str">
        <f>Table1[[#This Row],[Chronic RA label]]</f>
        <v/>
      </c>
      <c r="G384" s="797">
        <f>Table1[[#This Row],[Acute RA input value]]</f>
        <v>0</v>
      </c>
      <c r="H384" s="836" t="str">
        <f>Table1[[#This Row],[Acute RA label]]</f>
        <v/>
      </c>
      <c r="J384" s="553">
        <f>Table22[[#This Row],[Code no.]]</f>
        <v>1030040</v>
      </c>
      <c r="K384" s="553" t="str">
        <f>Table22[[#This Row],[Commodity or group of commodities to which the MRLs apply]]</f>
        <v xml:space="preserve">Eggs: Quail </v>
      </c>
      <c r="L384" s="553">
        <f>Table22[[#This Row],[Source / type of MRL]]</f>
        <v>0</v>
      </c>
      <c r="M384" s="553">
        <f>Table22[[#This Row],[MRL/ proposed MRL /CXL
(mg/kg)]]</f>
        <v>0</v>
      </c>
      <c r="N384" s="553">
        <f>Table22[[#This Row],[LOQ]]</f>
        <v>0</v>
      </c>
      <c r="O384" s="553">
        <f>Table22[[#This Row],[CFrisk for residue definition]]</f>
        <v>0</v>
      </c>
      <c r="P384" s="553">
        <f>Table22[[#This Row],[PeF (peeling factor RD enforcemen)]]</f>
        <v>0</v>
      </c>
      <c r="Q384" s="553">
        <f>Table22[[#This Row],[STMR-RAC (median residue)]]</f>
        <v>0</v>
      </c>
      <c r="R384" s="553">
        <f>Table22[[#This Row],[HR-RAC (highest residue)]]</f>
        <v>0</v>
      </c>
      <c r="S384" s="553">
        <f>Table22[[#This Row],[VF (alternative variability factor)]]</f>
        <v>0</v>
      </c>
      <c r="T384" s="553">
        <f>Table22[[#This Row],[GAP under assessment]]</f>
        <v>0</v>
      </c>
      <c r="U384" s="553">
        <f>Table22[[#This Row],[Post-harvest treatment]]</f>
        <v>0</v>
      </c>
      <c r="V384" s="553" t="str">
        <f>Table22[[#This Row],[Chronic RA label]]</f>
        <v/>
      </c>
      <c r="W384" s="553">
        <f>Table22[[#This Row],[Chronic RA input value]]</f>
        <v>0</v>
      </c>
      <c r="X384" s="1684" t="str">
        <f>Table22[[#This Row],[Acute RA label]]</f>
        <v/>
      </c>
      <c r="Y384" s="553">
        <f>Table22[[#This Row],[Acute RA input value]]</f>
        <v>0</v>
      </c>
      <c r="Z384" s="786">
        <f>SUM(Table1[[#This Row],[chronic value &lt;&gt;MRL/LOQ]:[acute vlue&lt;&gt;MRL/LOQ]])</f>
        <v>0</v>
      </c>
      <c r="AA384" s="786">
        <f>IF(AND($F$5="Refined calculation mode",Table1[[#This Row],[GAP under assessment]]="Y"),1,IF(OR(Table1[[#This Row],[Chronic RA label]]="LOQ",Table1[[#This Row],[Chronic RA label]]="",Table1[[#This Row],[Chronic RA label]]="MRL"),0,1))</f>
        <v>0</v>
      </c>
      <c r="AB384" s="787">
        <f>IF(OR(Table1[[#This Row],[Acute RA label]]="LOQ",Table1[[#This Row],[Acute RA label]]="",Table1[[#This Row],[Acute RA label]]="MRL"),0,1)</f>
        <v>0</v>
      </c>
    </row>
    <row r="385" spans="1:28" ht="13.5" hidden="1" thickTop="1" x14ac:dyDescent="0.2">
      <c r="A385" s="815">
        <f>Table1[[#This Row],[Code no.]]</f>
        <v>1030990</v>
      </c>
      <c r="B385" s="793" t="str">
        <f>Table1[[#This Row],[Commodity or group of commodities to which the MRLs apply]]</f>
        <v>Eggs: Others</v>
      </c>
      <c r="C385" s="794">
        <f>Table1[[#This Row],[MRL/ proposed MRL /CXL
(mg/kg)]]</f>
        <v>0</v>
      </c>
      <c r="D385" s="795">
        <f>Table1[[#This Row],[Source of MRL]]</f>
        <v>0</v>
      </c>
      <c r="E385" s="797">
        <f>Table1[[#This Row],[Chronic RA input value]]</f>
        <v>0</v>
      </c>
      <c r="F385" s="795" t="str">
        <f>Table1[[#This Row],[Chronic RA label]]</f>
        <v/>
      </c>
      <c r="G385" s="797">
        <f>Table1[[#This Row],[Acute RA input value]]</f>
        <v>0</v>
      </c>
      <c r="H385" s="836" t="str">
        <f>Table1[[#This Row],[Acute RA label]]</f>
        <v/>
      </c>
      <c r="J385" s="553">
        <f>Table22[[#This Row],[Code no.]]</f>
        <v>1030990</v>
      </c>
      <c r="K385" s="553" t="str">
        <f>Table22[[#This Row],[Commodity or group of commodities to which the MRLs apply]]</f>
        <v>Eggs: Others</v>
      </c>
      <c r="L385" s="553">
        <f>Table22[[#This Row],[Source / type of MRL]]</f>
        <v>0</v>
      </c>
      <c r="M385" s="553">
        <f>Table22[[#This Row],[MRL/ proposed MRL /CXL
(mg/kg)]]</f>
        <v>0</v>
      </c>
      <c r="N385" s="553">
        <f>Table22[[#This Row],[LOQ]]</f>
        <v>0</v>
      </c>
      <c r="O385" s="553">
        <f>Table22[[#This Row],[CFrisk for residue definition]]</f>
        <v>0</v>
      </c>
      <c r="P385" s="553">
        <f>Table22[[#This Row],[PeF (peeling factor RD enforcemen)]]</f>
        <v>0</v>
      </c>
      <c r="Q385" s="553">
        <f>Table22[[#This Row],[STMR-RAC (median residue)]]</f>
        <v>0</v>
      </c>
      <c r="R385" s="553">
        <f>Table22[[#This Row],[HR-RAC (highest residue)]]</f>
        <v>0</v>
      </c>
      <c r="S385" s="553">
        <f>Table22[[#This Row],[VF (alternative variability factor)]]</f>
        <v>0</v>
      </c>
      <c r="T385" s="553">
        <f>Table22[[#This Row],[GAP under assessment]]</f>
        <v>0</v>
      </c>
      <c r="U385" s="553">
        <f>Table22[[#This Row],[Post-harvest treatment]]</f>
        <v>0</v>
      </c>
      <c r="V385" s="553" t="str">
        <f>Table22[[#This Row],[Chronic RA label]]</f>
        <v/>
      </c>
      <c r="W385" s="553">
        <f>Table22[[#This Row],[Chronic RA input value]]</f>
        <v>0</v>
      </c>
      <c r="X385" s="1684" t="str">
        <f>Table22[[#This Row],[Acute RA label]]</f>
        <v/>
      </c>
      <c r="Y385" s="553">
        <f>Table22[[#This Row],[Acute RA input value]]</f>
        <v>0</v>
      </c>
      <c r="Z385" s="786">
        <f>SUM(Table1[[#This Row],[chronic value &lt;&gt;MRL/LOQ]:[acute vlue&lt;&gt;MRL/LOQ]])</f>
        <v>0</v>
      </c>
      <c r="AA385" s="786">
        <f>IF(AND($F$5="Refined calculation mode",Table1[[#This Row],[GAP under assessment]]="Y"),1,IF(OR(Table1[[#This Row],[Chronic RA label]]="LOQ",Table1[[#This Row],[Chronic RA label]]="",Table1[[#This Row],[Chronic RA label]]="MRL"),0,1))</f>
        <v>0</v>
      </c>
      <c r="AB385" s="787">
        <f>IF(OR(Table1[[#This Row],[Acute RA label]]="LOQ",Table1[[#This Row],[Acute RA label]]="",Table1[[#This Row],[Acute RA label]]="MRL"),0,1)</f>
        <v>0</v>
      </c>
    </row>
    <row r="386" spans="1:28" ht="21.75" hidden="1" thickTop="1" x14ac:dyDescent="0.2">
      <c r="A386" s="815">
        <f>Table1[[#This Row],[Code no.]]</f>
        <v>1040000</v>
      </c>
      <c r="B386" s="793" t="str">
        <f>Table1[[#This Row],[Commodity or group of commodities to which the MRLs apply]]</f>
        <v>Honey and other apiculture products</v>
      </c>
      <c r="C386" s="794">
        <f>Table1[[#This Row],[MRL/ proposed MRL /CXL
(mg/kg)]]</f>
        <v>0</v>
      </c>
      <c r="D386" s="795">
        <f>Table1[[#This Row],[Source of MRL]]</f>
        <v>0</v>
      </c>
      <c r="E386" s="797">
        <f>Table1[[#This Row],[Chronic RA input value]]</f>
        <v>0</v>
      </c>
      <c r="F386" s="795" t="str">
        <f>Table1[[#This Row],[Chronic RA label]]</f>
        <v/>
      </c>
      <c r="G386" s="797">
        <f>Table1[[#This Row],[Acute RA input value]]</f>
        <v>0</v>
      </c>
      <c r="H386" s="836" t="str">
        <f>Table1[[#This Row],[Acute RA label]]</f>
        <v/>
      </c>
      <c r="J386" s="553">
        <f>Table22[[#This Row],[Code no.]]</f>
        <v>1040000</v>
      </c>
      <c r="K386" s="553" t="str">
        <f>Table22[[#This Row],[Commodity or group of commodities to which the MRLs apply]]</f>
        <v>Honey and other apiculture products</v>
      </c>
      <c r="L386" s="553">
        <f>Table22[[#This Row],[Source / type of MRL]]</f>
        <v>0</v>
      </c>
      <c r="M386" s="553">
        <f>Table22[[#This Row],[MRL/ proposed MRL /CXL
(mg/kg)]]</f>
        <v>0</v>
      </c>
      <c r="N386" s="553">
        <f>Table22[[#This Row],[LOQ]]</f>
        <v>0</v>
      </c>
      <c r="O386" s="553">
        <f>Table22[[#This Row],[CFrisk for residue definition]]</f>
        <v>0</v>
      </c>
      <c r="P386" s="553">
        <f>Table22[[#This Row],[PeF (peeling factor RD enforcemen)]]</f>
        <v>0</v>
      </c>
      <c r="Q386" s="553">
        <f>Table22[[#This Row],[STMR-RAC (median residue)]]</f>
        <v>0</v>
      </c>
      <c r="R386" s="553">
        <f>Table22[[#This Row],[HR-RAC (highest residue)]]</f>
        <v>0</v>
      </c>
      <c r="S386" s="553">
        <f>Table22[[#This Row],[VF (alternative variability factor)]]</f>
        <v>0</v>
      </c>
      <c r="T386" s="553">
        <f>Table22[[#This Row],[GAP under assessment]]</f>
        <v>0</v>
      </c>
      <c r="U386" s="553">
        <f>Table22[[#This Row],[Post-harvest treatment]]</f>
        <v>0</v>
      </c>
      <c r="V386" s="553" t="str">
        <f>Table22[[#This Row],[Chronic RA label]]</f>
        <v/>
      </c>
      <c r="W386" s="553">
        <f>Table22[[#This Row],[Chronic RA input value]]</f>
        <v>0</v>
      </c>
      <c r="X386" s="1684" t="str">
        <f>Table22[[#This Row],[Acute RA label]]</f>
        <v/>
      </c>
      <c r="Y386" s="553">
        <f>Table22[[#This Row],[Acute RA input value]]</f>
        <v>0</v>
      </c>
      <c r="Z386" s="786">
        <f>SUM(Table1[[#This Row],[chronic value &lt;&gt;MRL/LOQ]:[acute vlue&lt;&gt;MRL/LOQ]])</f>
        <v>0</v>
      </c>
      <c r="AA386" s="786">
        <f>IF(AND($F$5="Refined calculation mode",Table1[[#This Row],[GAP under assessment]]="Y"),1,IF(OR(Table1[[#This Row],[Chronic RA label]]="LOQ",Table1[[#This Row],[Chronic RA label]]="",Table1[[#This Row],[Chronic RA label]]="MRL"),0,1))</f>
        <v>0</v>
      </c>
      <c r="AB386" s="787">
        <f>IF(OR(Table1[[#This Row],[Acute RA label]]="LOQ",Table1[[#This Row],[Acute RA label]]="",Table1[[#This Row],[Acute RA label]]="MRL"),0,1)</f>
        <v>0</v>
      </c>
    </row>
    <row r="387" spans="1:28" ht="21.75" hidden="1" thickTop="1" x14ac:dyDescent="0.2">
      <c r="A387" s="815">
        <f>Table1[[#This Row],[Code no.]]</f>
        <v>1050000</v>
      </c>
      <c r="B387" s="793" t="str">
        <f>Table1[[#This Row],[Commodity or group of commodities to which the MRLs apply]]</f>
        <v xml:space="preserve">Amphibians and reptiles </v>
      </c>
      <c r="C387" s="794">
        <f>Table1[[#This Row],[MRL/ proposed MRL /CXL
(mg/kg)]]</f>
        <v>0</v>
      </c>
      <c r="D387" s="795">
        <f>Table1[[#This Row],[Source of MRL]]</f>
        <v>0</v>
      </c>
      <c r="E387" s="797">
        <f>Table1[[#This Row],[Chronic RA input value]]</f>
        <v>0</v>
      </c>
      <c r="F387" s="795" t="str">
        <f>Table1[[#This Row],[Chronic RA label]]</f>
        <v/>
      </c>
      <c r="G387" s="797">
        <f>Table1[[#This Row],[Acute RA input value]]</f>
        <v>0</v>
      </c>
      <c r="H387" s="836" t="str">
        <f>Table1[[#This Row],[Acute RA label]]</f>
        <v/>
      </c>
      <c r="J387" s="553">
        <f>Table22[[#This Row],[Code no.]]</f>
        <v>1050000</v>
      </c>
      <c r="K387" s="553" t="str">
        <f>Table22[[#This Row],[Commodity or group of commodities to which the MRLs apply]]</f>
        <v xml:space="preserve">Amphibians and reptiles </v>
      </c>
      <c r="L387" s="553">
        <f>Table22[[#This Row],[Source / type of MRL]]</f>
        <v>0</v>
      </c>
      <c r="M387" s="553">
        <f>Table22[[#This Row],[MRL/ proposed MRL /CXL
(mg/kg)]]</f>
        <v>0</v>
      </c>
      <c r="N387" s="553">
        <f>Table22[[#This Row],[LOQ]]</f>
        <v>0</v>
      </c>
      <c r="O387" s="553">
        <f>Table22[[#This Row],[CFrisk for residue definition]]</f>
        <v>0</v>
      </c>
      <c r="P387" s="553">
        <f>Table22[[#This Row],[PeF (peeling factor RD enforcemen)]]</f>
        <v>0</v>
      </c>
      <c r="Q387" s="553">
        <f>Table22[[#This Row],[STMR-RAC (median residue)]]</f>
        <v>0</v>
      </c>
      <c r="R387" s="553">
        <f>Table22[[#This Row],[HR-RAC (highest residue)]]</f>
        <v>0</v>
      </c>
      <c r="S387" s="553">
        <f>Table22[[#This Row],[VF (alternative variability factor)]]</f>
        <v>0</v>
      </c>
      <c r="T387" s="553">
        <f>Table22[[#This Row],[GAP under assessment]]</f>
        <v>0</v>
      </c>
      <c r="U387" s="553">
        <f>Table22[[#This Row],[Post-harvest treatment]]</f>
        <v>0</v>
      </c>
      <c r="V387" s="553" t="str">
        <f>Table22[[#This Row],[Chronic RA label]]</f>
        <v/>
      </c>
      <c r="W387" s="553">
        <f>Table22[[#This Row],[Chronic RA input value]]</f>
        <v>0</v>
      </c>
      <c r="X387" s="1684" t="str">
        <f>Table22[[#This Row],[Acute RA label]]</f>
        <v/>
      </c>
      <c r="Y387" s="553">
        <f>Table22[[#This Row],[Acute RA input value]]</f>
        <v>0</v>
      </c>
      <c r="Z387" s="786">
        <f>SUM(Table1[[#This Row],[chronic value &lt;&gt;MRL/LOQ]:[acute vlue&lt;&gt;MRL/LOQ]])</f>
        <v>0</v>
      </c>
      <c r="AA387" s="786">
        <f>IF(AND($F$5="Refined calculation mode",Table1[[#This Row],[GAP under assessment]]="Y"),1,IF(OR(Table1[[#This Row],[Chronic RA label]]="LOQ",Table1[[#This Row],[Chronic RA label]]="",Table1[[#This Row],[Chronic RA label]]="MRL"),0,1))</f>
        <v>0</v>
      </c>
      <c r="AB387" s="787">
        <f>IF(OR(Table1[[#This Row],[Acute RA label]]="LOQ",Table1[[#This Row],[Acute RA label]]="",Table1[[#This Row],[Acute RA label]]="MRL"),0,1)</f>
        <v>0</v>
      </c>
    </row>
    <row r="388" spans="1:28" ht="21.75" hidden="1" thickTop="1" x14ac:dyDescent="0.2">
      <c r="A388" s="815">
        <f>Table1[[#This Row],[Code no.]]</f>
        <v>1060000</v>
      </c>
      <c r="B388" s="793" t="str">
        <f>Table1[[#This Row],[Commodity or group of commodities to which the MRLs apply]]</f>
        <v>Terrestrial invertebrate animals</v>
      </c>
      <c r="C388" s="794">
        <f>Table1[[#This Row],[MRL/ proposed MRL /CXL
(mg/kg)]]</f>
        <v>0</v>
      </c>
      <c r="D388" s="795">
        <f>Table1[[#This Row],[Source of MRL]]</f>
        <v>0</v>
      </c>
      <c r="E388" s="797">
        <f>Table1[[#This Row],[Chronic RA input value]]</f>
        <v>0</v>
      </c>
      <c r="F388" s="795" t="str">
        <f>Table1[[#This Row],[Chronic RA label]]</f>
        <v/>
      </c>
      <c r="G388" s="797">
        <f>Table1[[#This Row],[Acute RA input value]]</f>
        <v>0</v>
      </c>
      <c r="H388" s="836" t="str">
        <f>Table1[[#This Row],[Acute RA label]]</f>
        <v/>
      </c>
      <c r="J388" s="553">
        <f>Table22[[#This Row],[Code no.]]</f>
        <v>1060000</v>
      </c>
      <c r="K388" s="553" t="str">
        <f>Table22[[#This Row],[Commodity or group of commodities to which the MRLs apply]]</f>
        <v>Terrestrial invertebrate animals</v>
      </c>
      <c r="L388" s="553">
        <f>Table22[[#This Row],[Source / type of MRL]]</f>
        <v>0</v>
      </c>
      <c r="M388" s="553">
        <f>Table22[[#This Row],[MRL/ proposed MRL /CXL
(mg/kg)]]</f>
        <v>0</v>
      </c>
      <c r="N388" s="553">
        <f>Table22[[#This Row],[LOQ]]</f>
        <v>0</v>
      </c>
      <c r="O388" s="553">
        <f>Table22[[#This Row],[CFrisk for residue definition]]</f>
        <v>0</v>
      </c>
      <c r="P388" s="553">
        <f>Table22[[#This Row],[PeF (peeling factor RD enforcemen)]]</f>
        <v>0</v>
      </c>
      <c r="Q388" s="553">
        <f>Table22[[#This Row],[STMR-RAC (median residue)]]</f>
        <v>0</v>
      </c>
      <c r="R388" s="553">
        <f>Table22[[#This Row],[HR-RAC (highest residue)]]</f>
        <v>0</v>
      </c>
      <c r="S388" s="553">
        <f>Table22[[#This Row],[VF (alternative variability factor)]]</f>
        <v>0</v>
      </c>
      <c r="T388" s="553">
        <f>Table22[[#This Row],[GAP under assessment]]</f>
        <v>0</v>
      </c>
      <c r="U388" s="553">
        <f>Table22[[#This Row],[Post-harvest treatment]]</f>
        <v>0</v>
      </c>
      <c r="V388" s="553" t="str">
        <f>Table22[[#This Row],[Chronic RA label]]</f>
        <v/>
      </c>
      <c r="W388" s="553">
        <f>Table22[[#This Row],[Chronic RA input value]]</f>
        <v>0</v>
      </c>
      <c r="X388" s="1684" t="str">
        <f>Table22[[#This Row],[Acute RA label]]</f>
        <v/>
      </c>
      <c r="Y388" s="553">
        <f>Table22[[#This Row],[Acute RA input value]]</f>
        <v>0</v>
      </c>
      <c r="Z388" s="786">
        <f>SUM(Table1[[#This Row],[chronic value &lt;&gt;MRL/LOQ]:[acute vlue&lt;&gt;MRL/LOQ]])</f>
        <v>0</v>
      </c>
      <c r="AA388" s="786">
        <f>IF(AND($F$5="Refined calculation mode",Table1[[#This Row],[GAP under assessment]]="Y"),1,IF(OR(Table1[[#This Row],[Chronic RA label]]="LOQ",Table1[[#This Row],[Chronic RA label]]="",Table1[[#This Row],[Chronic RA label]]="MRL"),0,1))</f>
        <v>0</v>
      </c>
      <c r="AB388" s="787">
        <f>IF(OR(Table1[[#This Row],[Acute RA label]]="LOQ",Table1[[#This Row],[Acute RA label]]="",Table1[[#This Row],[Acute RA label]]="MRL"),0,1)</f>
        <v>0</v>
      </c>
    </row>
    <row r="389" spans="1:28" ht="21.75" hidden="1" thickTop="1" x14ac:dyDescent="0.2">
      <c r="A389" s="815">
        <f>Table1[[#This Row],[Code no.]]</f>
        <v>1070000</v>
      </c>
      <c r="B389" s="793" t="str">
        <f>Table1[[#This Row],[Commodity or group of commodities to which the MRLs apply]]</f>
        <v>Wild terrestrial vertebrate animals</v>
      </c>
      <c r="C389" s="794">
        <f>Table1[[#This Row],[MRL/ proposed MRL /CXL
(mg/kg)]]</f>
        <v>0</v>
      </c>
      <c r="D389" s="795">
        <f>Table1[[#This Row],[Source of MRL]]</f>
        <v>0</v>
      </c>
      <c r="E389" s="797">
        <f>Table1[[#This Row],[Chronic RA input value]]</f>
        <v>0</v>
      </c>
      <c r="F389" s="795" t="str">
        <f>Table1[[#This Row],[Chronic RA label]]</f>
        <v/>
      </c>
      <c r="G389" s="797">
        <f>Table1[[#This Row],[Acute RA input value]]</f>
        <v>0</v>
      </c>
      <c r="H389" s="836" t="str">
        <f>Table1[[#This Row],[Acute RA label]]</f>
        <v/>
      </c>
      <c r="J389" s="553">
        <f>Table22[[#This Row],[Code no.]]</f>
        <v>1070000</v>
      </c>
      <c r="K389" s="553" t="str">
        <f>Table22[[#This Row],[Commodity or group of commodities to which the MRLs apply]]</f>
        <v>Wild terrestrial vertebrate animals</v>
      </c>
      <c r="L389" s="553">
        <f>Table22[[#This Row],[Source / type of MRL]]</f>
        <v>0</v>
      </c>
      <c r="M389" s="553">
        <f>Table22[[#This Row],[MRL/ proposed MRL /CXL
(mg/kg)]]</f>
        <v>0</v>
      </c>
      <c r="N389" s="553">
        <f>Table22[[#This Row],[LOQ]]</f>
        <v>0</v>
      </c>
      <c r="O389" s="553">
        <f>Table22[[#This Row],[CFrisk for residue definition]]</f>
        <v>0</v>
      </c>
      <c r="P389" s="553">
        <f>Table22[[#This Row],[PeF (peeling factor RD enforcemen)]]</f>
        <v>0</v>
      </c>
      <c r="Q389" s="553">
        <f>Table22[[#This Row],[STMR-RAC (median residue)]]</f>
        <v>0</v>
      </c>
      <c r="R389" s="553">
        <f>Table22[[#This Row],[HR-RAC (highest residue)]]</f>
        <v>0</v>
      </c>
      <c r="S389" s="553">
        <f>Table22[[#This Row],[VF (alternative variability factor)]]</f>
        <v>0</v>
      </c>
      <c r="T389" s="553">
        <f>Table22[[#This Row],[GAP under assessment]]</f>
        <v>0</v>
      </c>
      <c r="U389" s="553">
        <f>Table22[[#This Row],[Post-harvest treatment]]</f>
        <v>0</v>
      </c>
      <c r="V389" s="553" t="str">
        <f>Table22[[#This Row],[Chronic RA label]]</f>
        <v/>
      </c>
      <c r="W389" s="553">
        <f>Table22[[#This Row],[Chronic RA input value]]</f>
        <v>0</v>
      </c>
      <c r="X389" s="1684" t="str">
        <f>Table22[[#This Row],[Acute RA label]]</f>
        <v/>
      </c>
      <c r="Y389" s="553">
        <f>Table22[[#This Row],[Acute RA input value]]</f>
        <v>0</v>
      </c>
      <c r="Z389" s="786">
        <f>SUM(Table1[[#This Row],[chronic value &lt;&gt;MRL/LOQ]:[acute vlue&lt;&gt;MRL/LOQ]])</f>
        <v>0</v>
      </c>
      <c r="AA389" s="786">
        <f>IF(AND($F$5="Refined calculation mode",Table1[[#This Row],[GAP under assessment]]="Y"),1,IF(OR(Table1[[#This Row],[Chronic RA label]]="LOQ",Table1[[#This Row],[Chronic RA label]]="",Table1[[#This Row],[Chronic RA label]]="MRL"),0,1))</f>
        <v>0</v>
      </c>
      <c r="AB389" s="787">
        <f>IF(OR(Table1[[#This Row],[Acute RA label]]="LOQ",Table1[[#This Row],[Acute RA label]]="",Table1[[#This Row],[Acute RA label]]="MRL"),0,1)</f>
        <v>0</v>
      </c>
    </row>
    <row r="390" spans="1:28" ht="63.75" hidden="1" thickTop="1" x14ac:dyDescent="0.2">
      <c r="A390" s="815">
        <f>Table1[[#This Row],[Code no.]]</f>
        <v>1100000</v>
      </c>
      <c r="B390" s="793" t="str">
        <f>Table1[[#This Row],[Commodity or group of commodities to which the MRLs apply]]</f>
        <v>FISH, FISHPRODUCTS AND ANY OTHER MARINE AND FRESHWATER FOOD PRODUCTS</v>
      </c>
      <c r="C390" s="794">
        <f>Table1[[#This Row],[MRL/ proposed MRL /CXL
(mg/kg)]]</f>
        <v>0</v>
      </c>
      <c r="D390" s="795">
        <f>Table1[[#This Row],[Source of MRL]]</f>
        <v>0</v>
      </c>
      <c r="E390" s="797">
        <f>Table1[[#This Row],[Chronic RA input value]]</f>
        <v>0</v>
      </c>
      <c r="F390" s="795">
        <f>Table1[[#This Row],[Chronic RA label]]</f>
        <v>0</v>
      </c>
      <c r="G390" s="797">
        <f>Table1[[#This Row],[Acute RA input value]]</f>
        <v>0</v>
      </c>
      <c r="H390" s="836">
        <f>Table1[[#This Row],[Acute RA label]]</f>
        <v>0</v>
      </c>
      <c r="J390" s="553">
        <f>Table22[[#This Row],[Code no.]]</f>
        <v>1100000</v>
      </c>
      <c r="K390" s="553" t="str">
        <f>Table22[[#This Row],[Commodity or group of commodities to which the MRLs apply]]</f>
        <v>FISH, FISHPRODUCTS AND ANY OTHER MARINE AND FRESHWATER FOOD PRODUCTS</v>
      </c>
      <c r="L390" s="553">
        <f>Table22[[#This Row],[Source / type of MRL]]</f>
        <v>0</v>
      </c>
      <c r="M390" s="553">
        <f>Table22[[#This Row],[MRL/ proposed MRL /CXL
(mg/kg)]]</f>
        <v>0</v>
      </c>
      <c r="N390" s="553">
        <f>Table22[[#This Row],[LOQ]]</f>
        <v>0</v>
      </c>
      <c r="O390" s="553">
        <f>Table22[[#This Row],[CFrisk for residue definition]]</f>
        <v>0</v>
      </c>
      <c r="P390" s="553">
        <f>Table22[[#This Row],[PeF (peeling factor RD enforcemen)]]</f>
        <v>0</v>
      </c>
      <c r="Q390" s="553">
        <f>Table22[[#This Row],[STMR-RAC (median residue)]]</f>
        <v>0</v>
      </c>
      <c r="R390" s="553">
        <f>Table22[[#This Row],[HR-RAC (highest residue)]]</f>
        <v>0</v>
      </c>
      <c r="S390" s="553">
        <f>Table22[[#This Row],[VF (alternative variability factor)]]</f>
        <v>0</v>
      </c>
      <c r="T390" s="553">
        <f>Table22[[#This Row],[GAP under assessment]]</f>
        <v>0</v>
      </c>
      <c r="U390" s="553">
        <f>Table22[[#This Row],[Post-harvest treatment]]</f>
        <v>0</v>
      </c>
      <c r="V390" s="553"/>
      <c r="W390" s="553">
        <f>Table22[[#This Row],[Chronic RA input value]]</f>
        <v>0</v>
      </c>
      <c r="X390" s="1684"/>
      <c r="Y390" s="553">
        <f>Table22[[#This Row],[Acute RA input value]]</f>
        <v>0</v>
      </c>
      <c r="Z390" s="786">
        <f>SUM(Table1[[#This Row],[chronic value &lt;&gt;MRL/LOQ]:[acute vlue&lt;&gt;MRL/LOQ]])</f>
        <v>0</v>
      </c>
      <c r="AA390" s="786">
        <f>IF(AND($F$5="Refined calculation mode",Table1[[#This Row],[GAP under assessment]]="Y"),1,IF(OR(Table1[[#This Row],[Chronic RA label]]="LOQ",Table1[[#This Row],[Chronic RA label]]="",Table1[[#This Row],[Chronic RA label]]="MRL"),0,1))</f>
        <v>0</v>
      </c>
      <c r="AB390" s="787">
        <f>IF(OR(Table1[[#This Row],[Acute RA label]]="LOQ",Table1[[#This Row],[Acute RA label]]="",Table1[[#This Row],[Acute RA label]]="MRL"),0,1)</f>
        <v>0</v>
      </c>
    </row>
    <row r="391" spans="1:28" ht="13.5" hidden="1" thickTop="1" x14ac:dyDescent="0.2">
      <c r="A391" s="815">
        <f>Table1[[#This Row],[Code no.]]</f>
        <v>0</v>
      </c>
      <c r="B391" s="793">
        <f>Table1[[#This Row],[Commodity or group of commodities to which the MRLs apply]]</f>
        <v>0</v>
      </c>
      <c r="C391" s="794">
        <f>Table1[[#This Row],[MRL/ proposed MRL /CXL
(mg/kg)]]</f>
        <v>0</v>
      </c>
      <c r="D391" s="795">
        <f>Table1[[#This Row],[Source of MRL]]</f>
        <v>0</v>
      </c>
      <c r="E391" s="797">
        <f>Table1[[#This Row],[Chronic RA input value]]</f>
        <v>0</v>
      </c>
      <c r="F391" s="795">
        <f>Table1[[#This Row],[Chronic RA label]]</f>
        <v>0</v>
      </c>
      <c r="G391" s="797">
        <f>Table1[[#This Row],[Acute RA input value]]</f>
        <v>0</v>
      </c>
      <c r="H391" s="836">
        <f>Table1[[#This Row],[Acute RA label]]</f>
        <v>0</v>
      </c>
      <c r="J391" s="553">
        <f>Table22[[#This Row],[Code no.]]</f>
        <v>0</v>
      </c>
      <c r="K391" s="553">
        <f>Table22[[#This Row],[Commodity or group of commodities to which the MRLs apply]]</f>
        <v>0</v>
      </c>
      <c r="L391" s="553">
        <f>Table22[[#This Row],[Source / type of MRL]]</f>
        <v>0</v>
      </c>
      <c r="M391" s="553">
        <f>Table22[[#This Row],[MRL/ proposed MRL /CXL
(mg/kg)]]</f>
        <v>0</v>
      </c>
      <c r="N391" s="553">
        <f>Table22[[#This Row],[LOQ]]</f>
        <v>0</v>
      </c>
      <c r="O391" s="553">
        <f>Table22[[#This Row],[CFrisk for residue definition]]</f>
        <v>0</v>
      </c>
      <c r="P391" s="553">
        <f>Table22[[#This Row],[PeF (peeling factor RD enforcemen)]]</f>
        <v>0</v>
      </c>
      <c r="Q391" s="553">
        <f>Table22[[#This Row],[STMR-RAC (median residue)]]</f>
        <v>0</v>
      </c>
      <c r="R391" s="553">
        <f>Table22[[#This Row],[HR-RAC (highest residue)]]</f>
        <v>0</v>
      </c>
      <c r="S391" s="553">
        <f>Table22[[#This Row],[VF (alternative variability factor)]]</f>
        <v>0</v>
      </c>
      <c r="T391" s="553">
        <f>Table22[[#This Row],[GAP under assessment]]</f>
        <v>0</v>
      </c>
      <c r="U391" s="553">
        <f>Table22[[#This Row],[Post-harvest treatment]]</f>
        <v>0</v>
      </c>
      <c r="V391" s="553"/>
      <c r="W391" s="553">
        <f>Table22[[#This Row],[Chronic RA input value]]</f>
        <v>0</v>
      </c>
      <c r="X391" s="1684"/>
      <c r="Y391" s="553">
        <f>Table22[[#This Row],[Acute RA input value]]</f>
        <v>0</v>
      </c>
      <c r="Z391" s="786">
        <f>SUM(Table1[[#This Row],[chronic value &lt;&gt;MRL/LOQ]:[acute vlue&lt;&gt;MRL/LOQ]])</f>
        <v>0</v>
      </c>
      <c r="AA391" s="786">
        <f>IF(AND($F$5="Refined calculation mode",Table1[[#This Row],[GAP under assessment]]="Y"),1,IF(OR(Table1[[#This Row],[Chronic RA label]]="LOQ",Table1[[#This Row],[Chronic RA label]]="",Table1[[#This Row],[Chronic RA label]]="MRL"),0,1))</f>
        <v>0</v>
      </c>
      <c r="AB391" s="787">
        <f>IF(OR(Table1[[#This Row],[Acute RA label]]="LOQ",Table1[[#This Row],[Acute RA label]]="",Table1[[#This Row],[Acute RA label]]="MRL"),0,1)</f>
        <v>0</v>
      </c>
    </row>
    <row r="392" spans="1:28" ht="22.5" thickTop="1" thickBot="1" x14ac:dyDescent="0.25">
      <c r="A392" s="816" t="s">
        <v>1037</v>
      </c>
      <c r="B392" s="803" t="s">
        <v>1035</v>
      </c>
      <c r="C392" s="804"/>
      <c r="D392" s="806" t="str">
        <f>IF($B$393="Normal mode","MRL/LOQ","-")</f>
        <v>MRL/LOQ</v>
      </c>
      <c r="E392" s="805"/>
      <c r="F392" s="833"/>
      <c r="G392" s="805"/>
      <c r="H392" s="837"/>
      <c r="J392" s="553" t="s">
        <v>1050</v>
      </c>
      <c r="K392" s="553"/>
      <c r="L392" s="553"/>
      <c r="M392" s="553"/>
      <c r="N392" s="553"/>
      <c r="O392" s="553"/>
      <c r="P392" s="553"/>
      <c r="Q392" s="553"/>
      <c r="R392" s="553"/>
      <c r="S392" s="553"/>
      <c r="T392" s="553"/>
      <c r="U392" s="553"/>
      <c r="V392" s="553"/>
      <c r="W392" s="553"/>
      <c r="X392" s="1684"/>
      <c r="Y392" s="553"/>
      <c r="Z392" s="786" t="s">
        <v>1051</v>
      </c>
      <c r="AA392" s="786">
        <f>IF(AND($F$5="Refined calculation mode",Table1[[#This Row],[GAP under assessment]]="Y"),1,IF(OR(Table1[[#This Row],[Chronic RA label]]="LOQ",Table1[[#This Row],[Chronic RA label]]="",Table1[[#This Row],[Chronic RA label]]="MRL"),0,1))</f>
        <v>0</v>
      </c>
      <c r="AB392" s="786">
        <f>IF(OR(Table1[[#This Row],[Acute RA label]]="LOQ",Table1[[#This Row],[Acute RA label]]="",Table1[[#This Row],[Acute RA label]]="MRL"),0,1)</f>
        <v>0</v>
      </c>
    </row>
    <row r="393" spans="1:28" ht="13.5" thickTop="1" x14ac:dyDescent="0.2">
      <c r="A393" s="807" t="s">
        <v>985</v>
      </c>
      <c r="B393" s="812" t="str">
        <f>F5</f>
        <v>Normal mode</v>
      </c>
      <c r="C393" s="808"/>
      <c r="D393" s="809"/>
      <c r="E393" s="810"/>
      <c r="F393" s="811"/>
      <c r="G393" s="810"/>
      <c r="H393" s="811"/>
      <c r="J393" s="783" t="s">
        <v>1050</v>
      </c>
      <c r="X393" s="1685"/>
      <c r="Z393" s="786" t="s">
        <v>1051</v>
      </c>
      <c r="AA393" s="786">
        <f>IF(AND($F$5="Refined calculation mode",Table1[[#This Row],[GAP under assessment]]="Y"),1,IF(OR(Table1[[#This Row],[Chronic RA label]]="LOQ",Table1[[#This Row],[Chronic RA label]]="",Table1[[#This Row],[Chronic RA label]]="MRL"),0,1))</f>
        <v>0</v>
      </c>
      <c r="AB393" s="786">
        <f>IF(OR(Table1[[#This Row],[Acute RA label]]="LOQ",Table1[[#This Row],[Acute RA label]]="",Table1[[#This Row],[Acute RA label]]="MRL"),0,1)</f>
        <v>0</v>
      </c>
    </row>
    <row r="394" spans="1:28" ht="21" x14ac:dyDescent="0.2">
      <c r="A394" s="605" t="s">
        <v>984</v>
      </c>
      <c r="B394" s="813" t="str">
        <f>H5</f>
        <v>Assessment of all crops</v>
      </c>
      <c r="C394" s="791"/>
      <c r="D394" s="792"/>
      <c r="E394" s="785"/>
      <c r="F394" s="580"/>
      <c r="G394" s="785"/>
      <c r="H394" s="580"/>
      <c r="J394" s="783" t="s">
        <v>1050</v>
      </c>
      <c r="X394" s="1685"/>
      <c r="Z394" s="786" t="s">
        <v>1051</v>
      </c>
      <c r="AA394" s="786">
        <f>IF(AND($F$5="Refined calculation mode",Table1[[#This Row],[GAP under assessment]]="Y"),1,IF(OR(Table1[[#This Row],[Chronic RA label]]="LOQ",Table1[[#This Row],[Chronic RA label]]="",Table1[[#This Row],[Chronic RA label]]="MRL"),0,1))</f>
        <v>0</v>
      </c>
      <c r="AB394" s="786">
        <f>IF(OR(Table1[[#This Row],[Acute RA label]]="LOQ",Table1[[#This Row],[Acute RA label]]="",Table1[[#This Row],[Acute RA label]]="MRL"),0,1)</f>
        <v>0</v>
      </c>
    </row>
  </sheetData>
  <sheetProtection sheet="1" objects="1" scenarios="1" formatCells="0" formatColumns="0" formatRows="0" autoFilter="0"/>
  <dataValidations disablePrompts="1" count="11">
    <dataValidation allowBlank="1" showInputMessage="1" showErrorMessage="1" promptTitle="Conversion factor riskassessment" prompt="Insert the respective conversion factor for the residue definition for risk assessment. " sqref="O4" xr:uid="{00000000-0002-0000-0400-000000000000}"/>
    <dataValidation allowBlank="1" showInputMessage="1" showErrorMessage="1" sqref="W4" xr:uid="{00000000-0002-0000-0400-000001000000}"/>
    <dataValidation allowBlank="1" showInputMessage="1" showErrorMessage="1" promptTitle="Not mandatory" prompt="Possible entries for labelling the MRL: _x000a_Codex MRL, _x000a_proposed MRL, _x000a_existing EU MRL, _x000a_import tolerance_x000a_etc. _x000a__x000a_" sqref="L4" xr:uid="{00000000-0002-0000-0400-000002000000}"/>
    <dataValidation allowBlank="1" showInputMessage="1" showErrorMessage="1" promptTitle="Post-harvest treatment" prompt="Valid entries _x000a_-Y,_x000a_-N,_x000a_-blank_x000a_Information relevant for the acute exposure assesssment for pulses, cereals and oilseeds. _x000a_For other crops: optional information _x000a_For other crops, this information is not used for the calculation." sqref="U4" xr:uid="{00000000-0002-0000-0400-000003000000}"/>
    <dataValidation allowBlank="1" showInputMessage="1" showErrorMessage="1" promptTitle="Median residue (STMR-RAC)" prompt="The STMR-RAC is derived for the residue definition enforcment. In case the RD for risk assessment is different, a CF for residue definition needs to be entered in column F._x000a_Alternatively, the STMR for the risk assessment RD can be entered (CF=1). " sqref="Q4" xr:uid="{00000000-0002-0000-0400-000004000000}"/>
    <dataValidation allowBlank="1" showInputMessage="1" showErrorMessage="1" promptTitle="Highest residue (HR-RAC)" prompt="The HR-RAC is derived for theRD enforcment. _x000a_In case the RD for risk assessment is different, a CF for residue definition needs to be entered in column F._x000a_Alternatively, the HR-RAC for the RD risk assessment can be entered in this column (CF =1)._x000a_" sqref="R4" xr:uid="{00000000-0002-0000-0400-000005000000}"/>
    <dataValidation allowBlank="1" showInputMessage="1" showErrorMessage="1" promptTitle="Alternative variability factor" prompt="Please insert a variablity factor in this column, if the calculation should be performed with a variability factor different to the default variability factor (e.g. empirical VF, VF of 10 for granular uses). " sqref="S4" xr:uid="{00000000-0002-0000-0400-000006000000}"/>
    <dataValidation allowBlank="1" showInputMessage="1" showErrorMessage="1" promptTitle="GAP under assessment" prompt="This column is intended to label the crops that shall be included in the risk assessment. _x000a_Valid entries: _x000a_-Y: to be used for labelling authorised uses _x000a_-N: confirmation that the use is not authorised; crop not used for exposure calculation_x000a_-blank cell_x000a_" sqref="T4" xr:uid="{00000000-0002-0000-0400-000007000000}"/>
    <dataValidation allowBlank="1" showInputMessage="1" showErrorMessage="1" promptTitle="Peeling factor" prompt="The appropriate peeling factor has to be inserted for each relevant crop separately. For crops highlighted in grey, peeling factors are not considered  in exposure assessment. " sqref="P4" xr:uid="{00000000-0002-0000-0400-000008000000}"/>
    <dataValidation allowBlank="1" showInputMessage="1" showErrorMessage="1" promptTitle="MRL/proposed MRL" prompt="Insert existing or proposed MRL corresponding to the STMR-RAC and HR-RAC for which the risk assessment should be performed. " sqref="M4" xr:uid="{00000000-0002-0000-0400-000009000000}"/>
    <dataValidation allowBlank="1" showInputMessage="1" showErrorMessage="1" promptTitle="Limit of Quantification" prompt="If the MRL reported in column D is equivalent to the limit of quantification (LOQ), please inserting an asterisk (*) in this column. _x000a_Valid entries: _x000a_blank-  for MRLs &gt;LOQ_x000a_* - for MRLs equal to LOQ" sqref="N4" xr:uid="{00000000-0002-0000-0400-00000A000000}"/>
  </dataValidations>
  <hyperlinks>
    <hyperlink ref="F5" location="Calculation_mode" display="Calculation_mode" xr:uid="{00000000-0004-0000-0400-000000000000}"/>
    <hyperlink ref="H5" location="Results" display="Results" xr:uid="{00000000-0004-0000-0400-000001000000}"/>
  </hyperlinks>
  <pageMargins left="0.7" right="0.7" top="0.75" bottom="0.75" header="0.3" footer="0.3"/>
  <pageSetup paperSize="9" scale="92" orientation="portrait" r:id="rId1"/>
  <colBreaks count="1" manualBreakCount="1">
    <brk id="8" max="1048575" man="1"/>
  </colBreaks>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W352"/>
  <sheetViews>
    <sheetView showGridLines="0" showZeros="0" showRuler="0" topLeftCell="A4" zoomScale="80" zoomScaleNormal="80" zoomScaleSheetLayoutView="50" zoomScalePageLayoutView="60" workbookViewId="0">
      <selection activeCell="B33" sqref="B33"/>
    </sheetView>
  </sheetViews>
  <sheetFormatPr defaultColWidth="9.140625" defaultRowHeight="12" x14ac:dyDescent="0.2"/>
  <cols>
    <col min="1" max="1" width="6.85546875" style="29" customWidth="1"/>
    <col min="2" max="2" width="16.5703125" style="29" customWidth="1"/>
    <col min="3" max="3" width="21" style="29" customWidth="1"/>
    <col min="4" max="4" width="12.85546875" style="84" customWidth="1"/>
    <col min="5" max="5" width="17" style="29" customWidth="1"/>
    <col min="6" max="6" width="16" style="29" customWidth="1"/>
    <col min="7" max="7" width="21.5703125" style="29" customWidth="1"/>
    <col min="8" max="8" width="10.28515625" style="29" customWidth="1"/>
    <col min="9" max="9" width="11.140625" style="29" customWidth="1"/>
    <col min="10" max="10" width="16.140625" style="29" customWidth="1"/>
    <col min="11" max="11" width="20.85546875" style="29" customWidth="1"/>
    <col min="12" max="12" width="10.28515625" style="29" customWidth="1"/>
    <col min="13" max="13" width="11.140625" style="29" customWidth="1"/>
    <col min="14" max="14" width="16.140625" style="29" customWidth="1"/>
    <col min="15" max="15" width="27" style="29" customWidth="1"/>
    <col min="16" max="16" width="10.5703125" style="29" customWidth="1"/>
    <col min="17" max="17" width="12.7109375" style="29" customWidth="1"/>
    <col min="18" max="18" width="11.7109375" style="29" customWidth="1"/>
    <col min="19" max="19" width="9.140625" style="181" customWidth="1"/>
    <col min="20" max="21" width="9.140625" style="29" customWidth="1"/>
    <col min="22" max="22" width="15.85546875" style="29" customWidth="1"/>
    <col min="23" max="23" width="9.140625" style="29" customWidth="1"/>
    <col min="24" max="16384" width="9.140625" style="29"/>
  </cols>
  <sheetData>
    <row r="1" spans="1:23" ht="7.5" customHeight="1" x14ac:dyDescent="0.2"/>
    <row r="2" spans="1:23" ht="33.75" customHeight="1" x14ac:dyDescent="0.4">
      <c r="A2" s="1603" t="str">
        <f>Results!F2</f>
        <v/>
      </c>
      <c r="B2" s="1604"/>
      <c r="C2" s="1604"/>
      <c r="D2" s="1604"/>
      <c r="E2" s="1605"/>
      <c r="F2" s="1638"/>
      <c r="G2" s="1638"/>
      <c r="H2" s="1638"/>
      <c r="I2" s="1638"/>
      <c r="J2" s="1638"/>
      <c r="K2" s="1638"/>
      <c r="L2"/>
      <c r="M2" s="182"/>
    </row>
    <row r="3" spans="1:23" ht="5.25" hidden="1" customHeight="1" x14ac:dyDescent="0.2">
      <c r="A3" s="201"/>
      <c r="E3" s="202"/>
      <c r="F3" s="43"/>
      <c r="G3" s="43"/>
      <c r="H3" s="43"/>
      <c r="I3" s="695"/>
      <c r="J3" s="697"/>
      <c r="K3" s="695"/>
      <c r="L3" s="187"/>
      <c r="M3" s="84"/>
      <c r="N3" s="188"/>
    </row>
    <row r="4" spans="1:23" ht="13.5" customHeight="1" x14ac:dyDescent="0.2">
      <c r="A4" s="201"/>
      <c r="E4" s="202"/>
      <c r="F4" s="43"/>
      <c r="G4" s="711"/>
      <c r="H4" s="711"/>
      <c r="I4" s="695"/>
      <c r="J4" s="43"/>
      <c r="K4" s="696"/>
      <c r="L4" s="156"/>
      <c r="M4" s="84"/>
      <c r="S4" s="189"/>
      <c r="T4" s="190"/>
    </row>
    <row r="5" spans="1:23" ht="23.25" customHeight="1" x14ac:dyDescent="0.2">
      <c r="A5" s="1606" t="s">
        <v>350</v>
      </c>
      <c r="B5" s="1607"/>
      <c r="C5" s="1607"/>
      <c r="D5" s="1607"/>
      <c r="E5" s="1608"/>
      <c r="F5" s="1639"/>
      <c r="G5" s="1639"/>
      <c r="H5" s="1639"/>
      <c r="I5" s="1639"/>
      <c r="J5" s="1639"/>
      <c r="K5" s="1639"/>
      <c r="L5" s="191"/>
      <c r="M5" s="182"/>
    </row>
    <row r="6" spans="1:23" ht="16.899999999999999" customHeight="1" x14ac:dyDescent="0.2">
      <c r="A6" s="196"/>
      <c r="B6" s="718" t="s">
        <v>1032</v>
      </c>
      <c r="C6" s="698">
        <f>input_values!D4</f>
        <v>0</v>
      </c>
      <c r="D6" s="710"/>
      <c r="E6" s="199"/>
      <c r="J6" s="43"/>
      <c r="K6" s="193"/>
      <c r="L6" s="187"/>
      <c r="M6" s="193"/>
    </row>
    <row r="7" spans="1:23" ht="15" customHeight="1" x14ac:dyDescent="0.2">
      <c r="A7" s="201"/>
      <c r="B7" s="719" t="s">
        <v>1030</v>
      </c>
      <c r="C7" s="695">
        <f>Results!I7</f>
        <v>0</v>
      </c>
      <c r="D7" s="711"/>
      <c r="E7" s="202"/>
      <c r="J7" s="43"/>
      <c r="K7" s="695"/>
      <c r="L7" s="187"/>
      <c r="M7" s="193"/>
    </row>
    <row r="8" spans="1:23" ht="16.899999999999999" customHeight="1" x14ac:dyDescent="0.2">
      <c r="A8" s="207"/>
      <c r="B8" s="720" t="s">
        <v>1031</v>
      </c>
      <c r="C8" s="695">
        <f>Results!I8</f>
        <v>0</v>
      </c>
      <c r="D8" s="711"/>
      <c r="E8" s="202"/>
      <c r="J8" s="43"/>
      <c r="K8" s="695"/>
      <c r="L8" s="187"/>
      <c r="M8" s="182"/>
    </row>
    <row r="9" spans="1:23" ht="38.25" customHeight="1" x14ac:dyDescent="0.2">
      <c r="A9" s="1640" t="s">
        <v>1009</v>
      </c>
      <c r="B9" s="1641"/>
      <c r="C9" s="1642"/>
      <c r="D9" s="1642"/>
      <c r="E9" s="1642"/>
      <c r="F9" s="1642"/>
      <c r="G9" s="1642"/>
      <c r="H9" s="1642"/>
      <c r="I9" s="1642"/>
      <c r="J9" s="1642"/>
      <c r="K9" s="1642"/>
      <c r="L9" s="1642"/>
      <c r="M9" s="1642"/>
      <c r="N9" s="1642"/>
      <c r="O9" s="1642"/>
      <c r="P9" s="1642"/>
      <c r="Q9" s="1642"/>
    </row>
    <row r="10" spans="1:23" ht="12.6" customHeight="1" x14ac:dyDescent="0.2">
      <c r="A10" s="1643"/>
      <c r="B10" s="1644"/>
      <c r="C10" s="1644"/>
      <c r="D10" s="1644"/>
      <c r="E10" s="1644"/>
      <c r="F10" s="1644"/>
      <c r="G10" s="1644"/>
      <c r="H10" s="1644"/>
      <c r="I10" s="1644"/>
      <c r="J10" s="1644"/>
      <c r="K10" s="1644"/>
      <c r="L10" s="1644"/>
      <c r="M10" s="1644"/>
      <c r="N10" s="1644"/>
      <c r="O10" s="1644"/>
      <c r="P10" s="1644"/>
      <c r="Q10" s="1645"/>
    </row>
    <row r="11" spans="1:23" ht="11.45" customHeight="1" x14ac:dyDescent="0.2">
      <c r="A11" s="667"/>
      <c r="B11" s="668"/>
      <c r="C11" s="668"/>
      <c r="D11" s="712"/>
      <c r="E11" s="668"/>
      <c r="F11" s="668"/>
      <c r="G11" s="668"/>
      <c r="H11" s="668"/>
      <c r="I11" s="668"/>
      <c r="J11" s="668"/>
      <c r="K11" s="668"/>
      <c r="L11" s="668"/>
      <c r="M11" s="668"/>
      <c r="N11" s="668"/>
      <c r="O11" s="668"/>
      <c r="P11" s="668"/>
      <c r="Q11" s="668"/>
      <c r="S11" s="669"/>
    </row>
    <row r="13" spans="1:23" s="181" customFormat="1" ht="31.5" customHeight="1" x14ac:dyDescent="0.25">
      <c r="A13" s="670"/>
      <c r="B13" s="1630" t="s">
        <v>1016</v>
      </c>
      <c r="C13" s="1631"/>
      <c r="D13" s="1631"/>
      <c r="E13" s="1631"/>
      <c r="F13" s="1631"/>
      <c r="G13" s="1631"/>
      <c r="H13" s="1631"/>
      <c r="I13" s="1631"/>
      <c r="J13" s="1631"/>
      <c r="K13" s="1631"/>
      <c r="L13" s="1631"/>
      <c r="M13" s="1631"/>
      <c r="N13" s="1631"/>
      <c r="O13" s="1632"/>
      <c r="P13" s="1633"/>
      <c r="Q13" s="1634"/>
      <c r="R13" s="29"/>
      <c r="T13" s="29"/>
      <c r="U13" s="29"/>
      <c r="V13" s="29"/>
      <c r="W13" s="29"/>
    </row>
    <row r="14" spans="1:23" s="181" customFormat="1" ht="48" x14ac:dyDescent="0.2">
      <c r="A14" s="1621" t="s">
        <v>853</v>
      </c>
      <c r="B14" s="627" t="s">
        <v>23</v>
      </c>
      <c r="C14" s="631" t="s">
        <v>85</v>
      </c>
      <c r="D14" s="531"/>
      <c r="E14" s="532"/>
      <c r="F14" s="627" t="s">
        <v>12</v>
      </c>
      <c r="G14" s="534" t="s">
        <v>11</v>
      </c>
      <c r="H14" s="534"/>
      <c r="I14" s="535"/>
      <c r="J14" s="530" t="s">
        <v>13</v>
      </c>
      <c r="K14" s="534" t="s">
        <v>11</v>
      </c>
      <c r="L14" s="534"/>
      <c r="M14" s="535"/>
      <c r="N14" s="533" t="s">
        <v>14</v>
      </c>
      <c r="O14" s="535" t="s">
        <v>11</v>
      </c>
      <c r="P14" s="673"/>
      <c r="Q14" s="674"/>
      <c r="R14" s="29"/>
      <c r="T14" s="29"/>
      <c r="U14" s="29"/>
      <c r="V14" s="29"/>
      <c r="W14" s="29"/>
    </row>
    <row r="15" spans="1:23" s="181" customFormat="1" ht="15.75" hidden="1" customHeight="1" x14ac:dyDescent="0.2">
      <c r="A15" s="1622"/>
      <c r="B15" s="628"/>
      <c r="C15" s="632"/>
      <c r="D15" s="537"/>
      <c r="E15" s="538"/>
      <c r="F15" s="628"/>
      <c r="G15" s="539"/>
      <c r="H15" s="539"/>
      <c r="I15" s="540"/>
      <c r="J15" s="536"/>
      <c r="K15" s="539"/>
      <c r="L15" s="539"/>
      <c r="M15" s="540"/>
      <c r="N15" s="536"/>
      <c r="O15" s="540"/>
      <c r="P15" s="675"/>
      <c r="Q15" s="676"/>
      <c r="R15" s="29"/>
      <c r="T15" s="29"/>
      <c r="U15" s="29"/>
      <c r="V15" s="29"/>
      <c r="W15" s="29"/>
    </row>
    <row r="16" spans="1:23" s="181" customFormat="1" ht="13.5" customHeight="1" x14ac:dyDescent="0.2">
      <c r="A16" s="1622"/>
      <c r="B16" s="629" t="e">
        <f>LARGE(chronic_intake_assessment!$J$3:$AY$3,ROW()-ROW($B$15))</f>
        <v>#DIV/0!</v>
      </c>
      <c r="C16" s="633" t="e">
        <f ca="1">OFFSET(chronic_intake_assessment!$I$1,0,(MATCH(B16,chronic_intake_assessment!$J$3:$AY$3,0)))</f>
        <v>#DIV/0!</v>
      </c>
      <c r="D16" s="537"/>
      <c r="E16" s="634" t="s">
        <v>36</v>
      </c>
      <c r="F16" s="637" t="e">
        <f ca="1">LARGE(OFFSET(chronic_intake_assessment!$B$811,1,MATCH($C16,chronic_intake_assessment!$C$811:$AY$811,0),(390-12+1),1),1)</f>
        <v>#DIV/0!</v>
      </c>
      <c r="G16" s="1623" t="e">
        <f ca="1">INDEX(chronic_intake_assessment!$C$811:$C$1190,MATCH($F16,OFFSET(chronic_intake_assessment!$B$811,0,MATCH($C16,chronic_intake_assessment!$C$811:$AY$811,0),(390-11+1),1),0))</f>
        <v>#DIV/0!</v>
      </c>
      <c r="H16" s="1624"/>
      <c r="I16" s="639"/>
      <c r="J16" s="641" t="e">
        <f ca="1">LARGE(OFFSET(chronic_intake_assessment!$B$811,1,MATCH($C16,chronic_intake_assessment!$C$811:$AY$811,0),(390-12+1),1),2)</f>
        <v>#DIV/0!</v>
      </c>
      <c r="K16" s="1624" t="e">
        <f ca="1">INDEX(chronic_intake_assessment!$C$811:$C$1190,MATCH($J16,OFFSET(chronic_intake_assessment!$B$811,0,MATCH($C16,chronic_intake_assessment!$C$811:$AY$811,0),(390-11+1),1),0))</f>
        <v>#DIV/0!</v>
      </c>
      <c r="L16" s="1624"/>
      <c r="M16" s="642"/>
      <c r="N16" s="641" t="e">
        <f ca="1">LARGE(OFFSET(chronic_intake_assessment!$B$811,1,MATCH($C16,chronic_intake_assessment!$C$811:$AY$811,0),(390-12+1),1),3)</f>
        <v>#DIV/0!</v>
      </c>
      <c r="O16" s="642" t="e">
        <f ca="1">INDEX(chronic_intake_assessment!$C$811:$C$1190,MATCH($N16,OFFSET(chronic_intake_assessment!$B$811,0,MATCH($C16,chronic_intake_assessment!$C$811:$AY$811,0),(390-11+1),1),0))</f>
        <v>#DIV/0!</v>
      </c>
      <c r="P16" s="677"/>
      <c r="Q16" s="678"/>
      <c r="R16" s="29"/>
      <c r="T16" s="29"/>
      <c r="U16" s="29"/>
      <c r="V16" s="29"/>
      <c r="W16" s="29"/>
    </row>
    <row r="17" spans="1:23" s="181" customFormat="1" ht="12.75" customHeight="1" x14ac:dyDescent="0.2">
      <c r="A17" s="1622"/>
      <c r="B17" s="629" t="e">
        <f>LARGE(chronic_intake_assessment!$J$3:$AY$3,ROW()-ROW($B$15))</f>
        <v>#DIV/0!</v>
      </c>
      <c r="C17" s="633" t="e">
        <f ca="1">OFFSET(chronic_intake_assessment!$I$1,0,(MATCH(B17,chronic_intake_assessment!$J$3:$AY$3,0)))</f>
        <v>#DIV/0!</v>
      </c>
      <c r="D17" s="666"/>
      <c r="E17" s="634" t="s">
        <v>36</v>
      </c>
      <c r="F17" s="637" t="e">
        <f ca="1">LARGE(OFFSET(chronic_intake_assessment!$B$811,1,MATCH($C17,chronic_intake_assessment!$C$811:$AY$811,0),(390-12+1),1),1)</f>
        <v>#DIV/0!</v>
      </c>
      <c r="G17" s="1617" t="e">
        <f ca="1">INDEX(chronic_intake_assessment!$C$811:$C$1190,MATCH($F17,OFFSET(chronic_intake_assessment!$B$811,0,MATCH($C17,chronic_intake_assessment!$C$811:$AY$811,0),(390-11+1),1),0))</f>
        <v>#DIV/0!</v>
      </c>
      <c r="H17" s="1618"/>
      <c r="I17" s="541"/>
      <c r="J17" s="643" t="e">
        <f ca="1">LARGE(OFFSET(chronic_intake_assessment!$B$811,1,MATCH($C17,chronic_intake_assessment!$C$811:$AY$811,0),(390-12+1),1),2)</f>
        <v>#DIV/0!</v>
      </c>
      <c r="K17" s="1618" t="e">
        <f ca="1">INDEX(chronic_intake_assessment!$C$811:$C$1190,MATCH($J17,OFFSET(chronic_intake_assessment!$B$811,0,MATCH($C17,chronic_intake_assessment!$C$811:$AY$811,0),(390-11+1),1),0))</f>
        <v>#DIV/0!</v>
      </c>
      <c r="L17" s="1618"/>
      <c r="M17" s="541"/>
      <c r="N17" s="643" t="e">
        <f ca="1">LARGE(OFFSET(chronic_intake_assessment!$B$811,1,MATCH($C17,chronic_intake_assessment!$C$811:$AY$811,0),(390-12+1),1),3)</f>
        <v>#DIV/0!</v>
      </c>
      <c r="O17" s="541" t="e">
        <f ca="1">INDEX(chronic_intake_assessment!$C$811:$C$1190,MATCH($N17,OFFSET(chronic_intake_assessment!$B$811,0,MATCH($C17,chronic_intake_assessment!$C$811:$AY$811,0),(390-11+1),1),0))</f>
        <v>#DIV/0!</v>
      </c>
      <c r="P17" s="679"/>
      <c r="Q17" s="678"/>
      <c r="R17" s="29"/>
      <c r="T17" s="29"/>
      <c r="U17" s="29"/>
      <c r="V17" s="29"/>
      <c r="W17" s="29"/>
    </row>
    <row r="18" spans="1:23" s="181" customFormat="1" ht="12.75" customHeight="1" x14ac:dyDescent="0.2">
      <c r="A18" s="1622"/>
      <c r="B18" s="629" t="e">
        <f>LARGE(chronic_intake_assessment!$J$3:$AY$3,ROW()-ROW($B$15))</f>
        <v>#DIV/0!</v>
      </c>
      <c r="C18" s="633" t="e">
        <f ca="1">OFFSET(chronic_intake_assessment!$I$1,0,(MATCH(B18,chronic_intake_assessment!$J$3:$AY$3,0)))</f>
        <v>#DIV/0!</v>
      </c>
      <c r="D18" s="666"/>
      <c r="E18" s="634" t="s">
        <v>36</v>
      </c>
      <c r="F18" s="637" t="e">
        <f ca="1">LARGE(OFFSET(chronic_intake_assessment!$B$811,1,MATCH($C18,chronic_intake_assessment!$C$811:$AY$811,0),(390-12+1),1),1)</f>
        <v>#DIV/0!</v>
      </c>
      <c r="G18" s="1617" t="e">
        <f ca="1">INDEX(chronic_intake_assessment!$C$811:$C$1190,MATCH($F18,OFFSET(chronic_intake_assessment!$B$811,0,MATCH($C18,chronic_intake_assessment!$C$811:$AY$811,0),(390-11+1),1),0))</f>
        <v>#DIV/0!</v>
      </c>
      <c r="H18" s="1618"/>
      <c r="I18" s="541"/>
      <c r="J18" s="643" t="e">
        <f ca="1">LARGE(OFFSET(chronic_intake_assessment!$B$811,1,MATCH($C18,chronic_intake_assessment!$C$811:$AY$811,0),(390-12+1),1),2)</f>
        <v>#DIV/0!</v>
      </c>
      <c r="K18" s="1618" t="e">
        <f ca="1">INDEX(chronic_intake_assessment!$C$811:$C$1190,MATCH($J18,OFFSET(chronic_intake_assessment!$B$811,0,MATCH($C18,chronic_intake_assessment!$C$811:$AY$811,0),(390-11+1),1),0))</f>
        <v>#DIV/0!</v>
      </c>
      <c r="L18" s="1618"/>
      <c r="M18" s="541"/>
      <c r="N18" s="643" t="e">
        <f ca="1">LARGE(OFFSET(chronic_intake_assessment!$B$811,1,MATCH($C18,chronic_intake_assessment!$C$811:$AY$811,0),(390-12+1),1),3)</f>
        <v>#DIV/0!</v>
      </c>
      <c r="O18" s="541" t="e">
        <f ca="1">INDEX(chronic_intake_assessment!$C$811:$C$1190,MATCH($N18,OFFSET(chronic_intake_assessment!$B$811,0,MATCH($C18,chronic_intake_assessment!$C$811:$AY$811,0),(390-11+1),1),0))</f>
        <v>#DIV/0!</v>
      </c>
      <c r="P18" s="679"/>
      <c r="Q18" s="678"/>
      <c r="R18" s="29"/>
      <c r="T18" s="29"/>
      <c r="U18" s="29"/>
      <c r="V18" s="29"/>
      <c r="W18" s="29"/>
    </row>
    <row r="19" spans="1:23" s="181" customFormat="1" ht="12.75" customHeight="1" x14ac:dyDescent="0.2">
      <c r="A19" s="1622"/>
      <c r="B19" s="629" t="e">
        <f>LARGE(chronic_intake_assessment!$J$3:$AY$3,ROW()-ROW($B$15))</f>
        <v>#DIV/0!</v>
      </c>
      <c r="C19" s="633" t="e">
        <f ca="1">OFFSET(chronic_intake_assessment!$I$1,0,(MATCH(B19,chronic_intake_assessment!$J$3:$AY$3,0)))</f>
        <v>#DIV/0!</v>
      </c>
      <c r="D19" s="666"/>
      <c r="E19" s="634" t="s">
        <v>36</v>
      </c>
      <c r="F19" s="637" t="e">
        <f ca="1">LARGE(OFFSET(chronic_intake_assessment!$B$811,1,MATCH($C19,chronic_intake_assessment!$C$811:$AY$811,0),(390-12+1),1),1)</f>
        <v>#DIV/0!</v>
      </c>
      <c r="G19" s="1617" t="e">
        <f ca="1">INDEX(chronic_intake_assessment!$C$811:$C$1190,MATCH($F19,OFFSET(chronic_intake_assessment!$B$811,0,MATCH($C19,chronic_intake_assessment!$C$811:$AY$811,0),(390-11+1),1),0))</f>
        <v>#DIV/0!</v>
      </c>
      <c r="H19" s="1618"/>
      <c r="I19" s="541"/>
      <c r="J19" s="643" t="e">
        <f ca="1">LARGE(OFFSET(chronic_intake_assessment!$B$811,1,MATCH($C19,chronic_intake_assessment!$C$811:$AY$811,0),(390-12+1),1),2)</f>
        <v>#DIV/0!</v>
      </c>
      <c r="K19" s="1618" t="e">
        <f ca="1">INDEX(chronic_intake_assessment!$C$811:$C$1190,MATCH($J19,OFFSET(chronic_intake_assessment!$B$811,0,MATCH($C19,chronic_intake_assessment!$C$811:$AY$811,0),(390-11+1),1),0))</f>
        <v>#DIV/0!</v>
      </c>
      <c r="L19" s="1618"/>
      <c r="M19" s="541"/>
      <c r="N19" s="643" t="e">
        <f ca="1">LARGE(OFFSET(chronic_intake_assessment!$B$811,1,MATCH($C19,chronic_intake_assessment!$C$811:$AY$811,0),(390-12+1),1),3)</f>
        <v>#DIV/0!</v>
      </c>
      <c r="O19" s="541" t="e">
        <f ca="1">INDEX(chronic_intake_assessment!$C$811:$C$1190,MATCH($N19,OFFSET(chronic_intake_assessment!$B$811,0,MATCH($C19,chronic_intake_assessment!$C$811:$AY$811,0),(390-11+1),1),0))</f>
        <v>#DIV/0!</v>
      </c>
      <c r="P19" s="679"/>
      <c r="Q19" s="678"/>
      <c r="R19" s="29"/>
      <c r="T19" s="29"/>
      <c r="U19" s="29"/>
      <c r="V19" s="29"/>
      <c r="W19" s="29"/>
    </row>
    <row r="20" spans="1:23" s="181" customFormat="1" ht="12.75" customHeight="1" x14ac:dyDescent="0.2">
      <c r="A20" s="854"/>
      <c r="B20" s="629" t="e">
        <f>LARGE(chronic_intake_assessment!$J$3:$AY$3,ROW()-ROW($B$15))</f>
        <v>#DIV/0!</v>
      </c>
      <c r="C20" s="633" t="e">
        <f ca="1">OFFSET(chronic_intake_assessment!$I$1,0,(MATCH(B20,chronic_intake_assessment!$J$3:$AY$3,0)))</f>
        <v>#DIV/0!</v>
      </c>
      <c r="D20" s="666"/>
      <c r="E20" s="634" t="s">
        <v>36</v>
      </c>
      <c r="F20" s="637" t="e">
        <f ca="1">LARGE(OFFSET(chronic_intake_assessment!$B$811,1,MATCH($C20,chronic_intake_assessment!$C$811:$AY$811,0),(390-12+1),1),1)</f>
        <v>#DIV/0!</v>
      </c>
      <c r="G20" s="1617" t="e">
        <f ca="1">INDEX(chronic_intake_assessment!$C$811:$C$1190,MATCH($F20,OFFSET(chronic_intake_assessment!$B$811,0,MATCH($C20,chronic_intake_assessment!$C$811:$AY$811,0),(390-11+1),1),0))</f>
        <v>#DIV/0!</v>
      </c>
      <c r="H20" s="1618"/>
      <c r="I20" s="541"/>
      <c r="J20" s="643" t="e">
        <f ca="1">LARGE(OFFSET(chronic_intake_assessment!$B$811,1,MATCH($C20,chronic_intake_assessment!$C$811:$AY$811,0),(390-12+1),1),2)</f>
        <v>#DIV/0!</v>
      </c>
      <c r="K20" s="1618" t="e">
        <f ca="1">INDEX(chronic_intake_assessment!$C$811:$C$1190,MATCH($J20,OFFSET(chronic_intake_assessment!$B$811,0,MATCH($C20,chronic_intake_assessment!$C$811:$AY$811,0),(390-11+1),1),0))</f>
        <v>#DIV/0!</v>
      </c>
      <c r="L20" s="1618"/>
      <c r="M20" s="541"/>
      <c r="N20" s="643" t="e">
        <f ca="1">LARGE(OFFSET(chronic_intake_assessment!$B$811,1,MATCH($C20,chronic_intake_assessment!$C$811:$AY$811,0),(390-12+1),1),3)</f>
        <v>#DIV/0!</v>
      </c>
      <c r="O20" s="541" t="e">
        <f ca="1">INDEX(chronic_intake_assessment!$C$811:$C$1190,MATCH($N20,OFFSET(chronic_intake_assessment!$B$811,0,MATCH($C20,chronic_intake_assessment!$C$811:$AY$811,0),(390-11+1),1),0))</f>
        <v>#DIV/0!</v>
      </c>
      <c r="P20" s="679"/>
      <c r="Q20" s="678"/>
      <c r="R20" s="29"/>
      <c r="T20" s="29"/>
      <c r="U20" s="29"/>
      <c r="V20" s="29"/>
      <c r="W20" s="29"/>
    </row>
    <row r="21" spans="1:23" s="181" customFormat="1" ht="12.75" customHeight="1" x14ac:dyDescent="0.2">
      <c r="A21" s="854"/>
      <c r="B21" s="629" t="e">
        <f>LARGE(chronic_intake_assessment!$J$3:$AY$3,ROW()-ROW($B$15))</f>
        <v>#DIV/0!</v>
      </c>
      <c r="C21" s="633" t="e">
        <f ca="1">OFFSET(chronic_intake_assessment!$I$1,0,(MATCH(B21,chronic_intake_assessment!$J$3:$AY$3,0)))</f>
        <v>#DIV/0!</v>
      </c>
      <c r="D21" s="666"/>
      <c r="E21" s="634" t="s">
        <v>36</v>
      </c>
      <c r="F21" s="637" t="e">
        <f ca="1">LARGE(OFFSET(chronic_intake_assessment!$B$811,1,MATCH($C21,chronic_intake_assessment!$C$811:$AY$811,0),(390-12+1),1),1)</f>
        <v>#DIV/0!</v>
      </c>
      <c r="G21" s="1617" t="e">
        <f ca="1">INDEX(chronic_intake_assessment!$C$811:$C$1190,MATCH($F21,OFFSET(chronic_intake_assessment!$B$811,0,MATCH($C21,chronic_intake_assessment!$C$811:$AY$811,0),(390-11+1),1),0))</f>
        <v>#DIV/0!</v>
      </c>
      <c r="H21" s="1618"/>
      <c r="I21" s="541"/>
      <c r="J21" s="643" t="e">
        <f ca="1">LARGE(OFFSET(chronic_intake_assessment!$B$811,1,MATCH($C21,chronic_intake_assessment!$C$811:$AY$811,0),(390-12+1),1),2)</f>
        <v>#DIV/0!</v>
      </c>
      <c r="K21" s="1618" t="e">
        <f ca="1">INDEX(chronic_intake_assessment!$C$811:$C$1190,MATCH($J21,OFFSET(chronic_intake_assessment!$B$811,0,MATCH($C21,chronic_intake_assessment!$C$811:$AY$811,0),(390-11+1),1),0))</f>
        <v>#DIV/0!</v>
      </c>
      <c r="L21" s="1618"/>
      <c r="M21" s="541"/>
      <c r="N21" s="643" t="e">
        <f ca="1">LARGE(OFFSET(chronic_intake_assessment!$B$811,1,MATCH($C21,chronic_intake_assessment!$C$811:$AY$811,0),(390-12+1),1),3)</f>
        <v>#DIV/0!</v>
      </c>
      <c r="O21" s="541" t="e">
        <f ca="1">INDEX(chronic_intake_assessment!$C$811:$C$1190,MATCH($N21,OFFSET(chronic_intake_assessment!$B$811,0,MATCH($C21,chronic_intake_assessment!$C$811:$AY$811,0),(390-11+1),1),0))</f>
        <v>#DIV/0!</v>
      </c>
      <c r="P21" s="679"/>
      <c r="Q21" s="678"/>
      <c r="R21" s="29"/>
      <c r="T21" s="29"/>
      <c r="U21" s="29"/>
      <c r="V21" s="29"/>
      <c r="W21" s="29"/>
    </row>
    <row r="22" spans="1:23" s="181" customFormat="1" x14ac:dyDescent="0.2">
      <c r="A22" s="671"/>
      <c r="B22" s="630" t="e">
        <f>LARGE(chronic_intake_assessment!$J$3:$AY$3,ROW()-ROW($B$15))</f>
        <v>#DIV/0!</v>
      </c>
      <c r="C22" s="635" t="e">
        <f ca="1">OFFSET(chronic_intake_assessment!$I$1,0,(MATCH(B22,chronic_intake_assessment!$J$3:$AY$3,0)))</f>
        <v>#DIV/0!</v>
      </c>
      <c r="D22" s="713"/>
      <c r="E22" s="636" t="s">
        <v>36</v>
      </c>
      <c r="F22" s="638" t="e">
        <f ca="1">LARGE(OFFSET(chronic_intake_assessment!$B$811,1,MATCH($C22,chronic_intake_assessment!$C$811:$AY$811,0),(390-12+1),1),1)</f>
        <v>#DIV/0!</v>
      </c>
      <c r="G22" s="1619" t="e">
        <f ca="1">INDEX(chronic_intake_assessment!$C$811:$C$1190,MATCH($F22,OFFSET(chronic_intake_assessment!$B$811,0,MATCH($C22,chronic_intake_assessment!$C$811:$AY$811,0),(390-11+1),1),0))</f>
        <v>#DIV/0!</v>
      </c>
      <c r="H22" s="1620"/>
      <c r="I22" s="640"/>
      <c r="J22" s="644" t="e">
        <f ca="1">LARGE(OFFSET(chronic_intake_assessment!$B$811,1,MATCH($C22,chronic_intake_assessment!$C$811:$AY$811,0),(390-12+1),1),2)</f>
        <v>#DIV/0!</v>
      </c>
      <c r="K22" s="1620" t="e">
        <f ca="1">INDEX(chronic_intake_assessment!$C$811:$C$1190,MATCH($J22,OFFSET(chronic_intake_assessment!$B$811,0,MATCH($C22,chronic_intake_assessment!$C$811:$AY$811,0),(390-11+1),1),0))</f>
        <v>#DIV/0!</v>
      </c>
      <c r="L22" s="1620"/>
      <c r="M22" s="640"/>
      <c r="N22" s="644" t="e">
        <f ca="1">LARGE(OFFSET(chronic_intake_assessment!$B$811,1,MATCH($C22,chronic_intake_assessment!$C$811:$AY$811,0),(390-12+1),1),3)</f>
        <v>#DIV/0!</v>
      </c>
      <c r="O22" s="640" t="e">
        <f ca="1">INDEX(chronic_intake_assessment!$C$811:$C$1190,MATCH($N22,OFFSET(chronic_intake_assessment!$B$811,0,MATCH($C22,chronic_intake_assessment!$C$811:$AY$811,0),(390-11+1),1),0))</f>
        <v>#DIV/0!</v>
      </c>
      <c r="P22" s="675"/>
      <c r="Q22" s="678"/>
      <c r="R22" s="29"/>
      <c r="T22" s="29"/>
      <c r="U22" s="29"/>
      <c r="V22" s="29"/>
      <c r="W22" s="29"/>
    </row>
    <row r="23" spans="1:23" ht="26.45" customHeight="1" x14ac:dyDescent="0.2">
      <c r="A23" s="672"/>
      <c r="B23" s="604" t="s">
        <v>36</v>
      </c>
      <c r="C23" s="1615" t="s">
        <v>959</v>
      </c>
      <c r="D23" s="1615"/>
      <c r="E23" s="1615"/>
      <c r="F23" s="1615"/>
      <c r="G23" s="1615"/>
      <c r="H23" s="1615"/>
      <c r="I23" s="1615"/>
      <c r="J23" s="1615"/>
      <c r="K23" s="1615"/>
      <c r="L23" s="1615"/>
      <c r="M23" s="1615"/>
      <c r="N23" s="1615"/>
      <c r="O23" s="1616"/>
      <c r="P23" s="680"/>
      <c r="Q23" s="681"/>
    </row>
    <row r="24" spans="1:23" x14ac:dyDescent="0.2">
      <c r="A24" s="699"/>
      <c r="B24" s="699"/>
      <c r="C24" s="699"/>
      <c r="D24" s="714"/>
      <c r="E24" s="699"/>
      <c r="F24" s="699"/>
      <c r="G24" s="699"/>
      <c r="H24" s="699"/>
      <c r="I24" s="699"/>
      <c r="J24" s="699"/>
      <c r="K24" s="699"/>
      <c r="L24" s="699"/>
      <c r="M24" s="699"/>
      <c r="N24" s="699"/>
      <c r="O24" s="699"/>
      <c r="P24" s="699"/>
      <c r="Q24" s="699"/>
    </row>
    <row r="28" spans="1:23" ht="24.75" customHeight="1" x14ac:dyDescent="0.2">
      <c r="A28" s="682"/>
      <c r="B28" s="1646" t="s">
        <v>1011</v>
      </c>
      <c r="C28" s="1646"/>
      <c r="D28" s="1646"/>
      <c r="E28" s="1646"/>
      <c r="F28" s="1646"/>
      <c r="G28" s="1646"/>
      <c r="H28" s="1646"/>
      <c r="I28" s="1646"/>
      <c r="J28" s="1646"/>
      <c r="K28" s="1646"/>
      <c r="L28" s="1646"/>
      <c r="M28" s="1646"/>
      <c r="N28" s="1646"/>
      <c r="O28" s="1646"/>
      <c r="P28" s="1646"/>
      <c r="Q28" s="1647"/>
    </row>
    <row r="29" spans="1:23" ht="13.5" hidden="1" customHeight="1" x14ac:dyDescent="0.2">
      <c r="A29" s="196"/>
      <c r="B29" s="197"/>
      <c r="C29" s="198"/>
      <c r="D29" s="715"/>
      <c r="E29" s="199"/>
      <c r="F29" s="1553" t="s">
        <v>872</v>
      </c>
      <c r="G29" s="1553"/>
      <c r="H29" s="1553"/>
      <c r="I29" s="1553"/>
      <c r="J29" s="1553"/>
      <c r="K29" s="1554"/>
      <c r="L29" s="200"/>
      <c r="M29" s="200"/>
    </row>
    <row r="30" spans="1:23" ht="13.5" hidden="1" customHeight="1" x14ac:dyDescent="0.2">
      <c r="A30" s="201"/>
      <c r="E30" s="202"/>
      <c r="F30" s="684"/>
      <c r="I30" s="685" t="e">
        <f>ROUND(MIN(chronic_intake_assessment!J393:AR393),3)</f>
        <v>#DIV/0!</v>
      </c>
      <c r="J30" s="685" t="e">
        <f>ROUND(MAX(chronic_intake_assessment!J393:AR393),3)</f>
        <v>#DIV/0!</v>
      </c>
      <c r="K30" s="202"/>
      <c r="Q30" s="206"/>
    </row>
    <row r="31" spans="1:23" ht="19.5" customHeight="1" x14ac:dyDescent="0.2">
      <c r="A31" s="693"/>
      <c r="B31" s="688"/>
      <c r="C31" s="689"/>
      <c r="D31" s="716"/>
      <c r="E31" s="688"/>
      <c r="F31" s="690"/>
      <c r="G31" s="688"/>
      <c r="H31" s="688"/>
      <c r="I31" s="691"/>
      <c r="J31" s="692"/>
      <c r="K31" s="688"/>
      <c r="L31" s="688"/>
      <c r="M31" s="688"/>
      <c r="N31" s="688"/>
      <c r="O31" s="688"/>
      <c r="P31" s="688"/>
      <c r="Q31" s="700"/>
      <c r="S31" s="29"/>
    </row>
    <row r="32" spans="1:23" ht="52.5" customHeight="1" x14ac:dyDescent="0.2">
      <c r="A32" s="683"/>
      <c r="B32" s="694" t="s">
        <v>871</v>
      </c>
      <c r="C32" s="690" t="s">
        <v>85</v>
      </c>
      <c r="D32" s="1165"/>
      <c r="E32" s="686" t="s">
        <v>876</v>
      </c>
      <c r="F32" s="687" t="s">
        <v>12</v>
      </c>
      <c r="G32" s="1648" t="s">
        <v>11</v>
      </c>
      <c r="H32" s="1648"/>
      <c r="I32" s="1649"/>
      <c r="J32" s="687" t="s">
        <v>13</v>
      </c>
      <c r="K32" s="1650" t="s">
        <v>11</v>
      </c>
      <c r="L32" s="1650"/>
      <c r="M32" s="1651"/>
      <c r="N32" s="687" t="s">
        <v>14</v>
      </c>
      <c r="O32" s="853" t="s">
        <v>11</v>
      </c>
      <c r="P32" s="470" t="s">
        <v>933</v>
      </c>
      <c r="Q32" s="1154"/>
    </row>
    <row r="33" spans="1:17" ht="12.75" customHeight="1" x14ac:dyDescent="0.2">
      <c r="A33" s="1635" t="s">
        <v>852</v>
      </c>
      <c r="B33" s="600" t="e">
        <f>LARGE(chronic_intake_assessment!$J$5:$AY$5,ROW()-ROW($B$32))</f>
        <v>#DIV/0!</v>
      </c>
      <c r="C33" s="1542" t="e">
        <f ca="1">OFFSET(chronic_intake_assessment!$I$1,0,MATCH(B33,chronic_intake_assessment!$J$5:$AY$5,0))</f>
        <v>#DIV/0!</v>
      </c>
      <c r="D33" s="1543"/>
      <c r="E33" s="615" t="e">
        <f ca="1">HLOOKUP(C33,chronic_intake_assessment!$J$1:$AY$4,4,FALSE)</f>
        <v>#DIV/0!</v>
      </c>
      <c r="F33" s="618" t="e">
        <f ca="1">LARGE(OFFSET(chronic_intake_assessment!$B$11,1,MATCH($C33,chronic_intake_assessment!$C$11:$AY$11,0),(390-12+1),1),1)</f>
        <v>#DIV/0!</v>
      </c>
      <c r="G33" s="1591" t="e">
        <f ca="1">INDEX(chronic_intake_assessment!$C$11:$C$390,MATCH($F33,OFFSET(chronic_intake_assessment!$B$11,0,MATCH($C33,chronic_intake_assessment!$C$11:$AY$11,0),(390-11+1),1),0))</f>
        <v>#DIV/0!</v>
      </c>
      <c r="H33" s="1563"/>
      <c r="I33" s="621"/>
      <c r="J33" s="618" t="e">
        <f ca="1">LARGE(OFFSET(chronic_intake_assessment!$B$11,1,MATCH($C33,chronic_intake_assessment!$C$11:$AY$11,0),(390-12+1),1),2)</f>
        <v>#DIV/0!</v>
      </c>
      <c r="K33" s="1562" t="e">
        <f ca="1">INDEX(chronic_intake_assessment!$C$11:$C$390,MATCH($J33,OFFSET(chronic_intake_assessment!$B$11,0,MATCH($C33,chronic_intake_assessment!$C$11:$AY$11,0),(390-11+1),1),0))</f>
        <v>#DIV/0!</v>
      </c>
      <c r="L33" s="1563"/>
      <c r="M33" s="621"/>
      <c r="N33" s="212" t="e">
        <f ca="1">LARGE(OFFSET(chronic_intake_assessment!$B$11,1,MATCH($C33,chronic_intake_assessment!$C$11:$AY$11,0),(390-12+1),1),3)</f>
        <v>#DIV/0!</v>
      </c>
      <c r="O33" s="1130" t="e">
        <f ca="1">INDEX(chronic_intake_assessment!$C$11:$C$390,MATCH($N33,OFFSET(chronic_intake_assessment!$B$11,0,MATCH($C33,chronic_intake_assessment!$C$11:$AY$11,0),(390-11+1),1),0))</f>
        <v>#DIV/0!</v>
      </c>
      <c r="P33" s="1153" t="e">
        <f>INDEX(chronic_intake_assessment!$J$1593:$AY$1596,4,MATCH(Supplementing_results_chronic!B33,chronic_intake_assessment!$J$1593:$AY$1593,0))</f>
        <v>#DIV/0!</v>
      </c>
      <c r="Q33" s="1155"/>
    </row>
    <row r="34" spans="1:17" ht="12.75" customHeight="1" x14ac:dyDescent="0.2">
      <c r="A34" s="1636"/>
      <c r="B34" s="600" t="e">
        <f>LARGE(chronic_intake_assessment!$J$5:$AY$5,ROW()-ROW($B$32))</f>
        <v>#DIV/0!</v>
      </c>
      <c r="C34" s="1542" t="e">
        <f ca="1">OFFSET(chronic_intake_assessment!$I$1,0,MATCH(B34,chronic_intake_assessment!$J$5:$AY$5,0))</f>
        <v>#DIV/0!</v>
      </c>
      <c r="D34" s="1543"/>
      <c r="E34" s="616" t="e">
        <f ca="1">HLOOKUP(C34,chronic_intake_assessment!$J$1:$AY$4,4,FALSE)</f>
        <v>#DIV/0!</v>
      </c>
      <c r="F34" s="619" t="e">
        <f ca="1">LARGE(OFFSET(chronic_intake_assessment!$B$11,1,MATCH($C34,chronic_intake_assessment!$C$11:$AY$11,0),(390-12+1),1),1)</f>
        <v>#DIV/0!</v>
      </c>
      <c r="G34" s="1546" t="e">
        <f ca="1">INDEX(chronic_intake_assessment!$C$11:$C$390,MATCH($F34,OFFSET(chronic_intake_assessment!$B$11,0,MATCH($C34,chronic_intake_assessment!$C$11:$AY$11,0),(390-11+1),1),0))</f>
        <v>#DIV/0!</v>
      </c>
      <c r="H34" s="1545"/>
      <c r="I34" s="211"/>
      <c r="J34" s="619" t="e">
        <f ca="1">LARGE(OFFSET(chronic_intake_assessment!$B$11,1,MATCH($C34,chronic_intake_assessment!$C$11:$AY$11,0),(390-12+1),1),2)</f>
        <v>#DIV/0!</v>
      </c>
      <c r="K34" s="1544" t="e">
        <f ca="1">INDEX(chronic_intake_assessment!$C$11:$C$390,MATCH($J34,OFFSET(chronic_intake_assessment!$B$11,0,MATCH($C34,chronic_intake_assessment!$C$11:$AY$11,0),(390-11+1),1),0))</f>
        <v>#DIV/0!</v>
      </c>
      <c r="L34" s="1545"/>
      <c r="M34" s="211"/>
      <c r="N34" s="622" t="e">
        <f ca="1">LARGE(OFFSET(chronic_intake_assessment!$B$11,1,MATCH($C34,chronic_intake_assessment!$C$11:$AY$11,0),(390-12+1),1),3)</f>
        <v>#DIV/0!</v>
      </c>
      <c r="O34" s="1129" t="e">
        <f ca="1">INDEX(chronic_intake_assessment!$C$11:$C$390,MATCH($N34,OFFSET(chronic_intake_assessment!$B$11,0,MATCH($C34,chronic_intake_assessment!$C$11:$AY$11,0),(390-11+1),1),0))</f>
        <v>#DIV/0!</v>
      </c>
      <c r="P34" s="1153" t="e">
        <f>INDEX(chronic_intake_assessment!$J$1593:$AY$1596,4,MATCH(Supplementing_results_chronic!B34,chronic_intake_assessment!$J$1593:$AY$1593,0))</f>
        <v>#DIV/0!</v>
      </c>
      <c r="Q34" s="1155"/>
    </row>
    <row r="35" spans="1:17" ht="12.75" customHeight="1" x14ac:dyDescent="0.2">
      <c r="A35" s="1636"/>
      <c r="B35" s="600" t="e">
        <f>LARGE(chronic_intake_assessment!$J$5:$AY$5,ROW()-ROW($B$32))</f>
        <v>#DIV/0!</v>
      </c>
      <c r="C35" s="1542" t="e">
        <f ca="1">OFFSET(chronic_intake_assessment!$I$1,0,MATCH(B35,chronic_intake_assessment!$J$5:$AY$5,0))</f>
        <v>#DIV/0!</v>
      </c>
      <c r="D35" s="1543"/>
      <c r="E35" s="616" t="e">
        <f ca="1">HLOOKUP(C35,chronic_intake_assessment!$J$1:$AY$4,4,FALSE)</f>
        <v>#DIV/0!</v>
      </c>
      <c r="F35" s="619" t="e">
        <f ca="1">LARGE(OFFSET(chronic_intake_assessment!$B$11,1,MATCH($C35,chronic_intake_assessment!$C$11:$AY$11,0),(390-12+1),1),1)</f>
        <v>#DIV/0!</v>
      </c>
      <c r="G35" s="1546" t="e">
        <f ca="1">INDEX(chronic_intake_assessment!$C$11:$C$390,MATCH($F35,OFFSET(chronic_intake_assessment!$B$11,0,MATCH($C35,chronic_intake_assessment!$C$11:$AY$11,0),(390-11+1),1),0))</f>
        <v>#DIV/0!</v>
      </c>
      <c r="H35" s="1545"/>
      <c r="I35" s="211"/>
      <c r="J35" s="619" t="e">
        <f ca="1">LARGE(OFFSET(chronic_intake_assessment!$B$11,1,MATCH($C35,chronic_intake_assessment!$C$11:$AY$11,0),(390-12+1),1),2)</f>
        <v>#DIV/0!</v>
      </c>
      <c r="K35" s="1544" t="e">
        <f ca="1">INDEX(chronic_intake_assessment!$C$11:$C$390,MATCH($J35,OFFSET(chronic_intake_assessment!$B$11,0,MATCH($C35,chronic_intake_assessment!$C$11:$AY$11,0),(390-11+1),1),0))</f>
        <v>#DIV/0!</v>
      </c>
      <c r="L35" s="1545"/>
      <c r="M35" s="211"/>
      <c r="N35" s="622" t="e">
        <f ca="1">LARGE(OFFSET(chronic_intake_assessment!$B$11,1,MATCH($C35,chronic_intake_assessment!$C$11:$AY$11,0),(390-12+1),1),3)</f>
        <v>#DIV/0!</v>
      </c>
      <c r="O35" s="1129" t="e">
        <f ca="1">INDEX(chronic_intake_assessment!$C$11:$C$390,MATCH($N35,OFFSET(chronic_intake_assessment!$B$11,0,MATCH($C35,chronic_intake_assessment!$C$11:$AY$11,0),(390-11+1),1),0))</f>
        <v>#DIV/0!</v>
      </c>
      <c r="P35" s="1153" t="e">
        <f>INDEX(chronic_intake_assessment!$J$1593:$AY$1596,4,MATCH(Supplementing_results_chronic!B35,chronic_intake_assessment!$J$1593:$AY$1593,0))</f>
        <v>#DIV/0!</v>
      </c>
      <c r="Q35" s="1155"/>
    </row>
    <row r="36" spans="1:17" ht="12.75" customHeight="1" x14ac:dyDescent="0.2">
      <c r="A36" s="1636"/>
      <c r="B36" s="600" t="e">
        <f>LARGE(chronic_intake_assessment!$J$5:$AY$5,ROW()-ROW($B$32))</f>
        <v>#DIV/0!</v>
      </c>
      <c r="C36" s="1542" t="e">
        <f ca="1">OFFSET(chronic_intake_assessment!$I$1,0,MATCH(B36,chronic_intake_assessment!$J$5:$AY$5,0))</f>
        <v>#DIV/0!</v>
      </c>
      <c r="D36" s="1543"/>
      <c r="E36" s="616" t="e">
        <f ca="1">HLOOKUP(C36,chronic_intake_assessment!$J$1:$AY$4,4,FALSE)</f>
        <v>#DIV/0!</v>
      </c>
      <c r="F36" s="619" t="e">
        <f ca="1">LARGE(OFFSET(chronic_intake_assessment!$B$11,1,MATCH($C36,chronic_intake_assessment!$C$11:$AY$11,0),(390-12+1),1),1)</f>
        <v>#DIV/0!</v>
      </c>
      <c r="G36" s="1546" t="e">
        <f ca="1">INDEX(chronic_intake_assessment!$C$11:$C$390,MATCH($F36,OFFSET(chronic_intake_assessment!$B$11,0,MATCH($C36,chronic_intake_assessment!$C$11:$AY$11,0),(390-11+1),1),0))</f>
        <v>#DIV/0!</v>
      </c>
      <c r="H36" s="1545"/>
      <c r="I36" s="211"/>
      <c r="J36" s="619" t="e">
        <f ca="1">LARGE(OFFSET(chronic_intake_assessment!$B$11,1,MATCH($C36,chronic_intake_assessment!$C$11:$AY$11,0),(390-12+1),1),2)</f>
        <v>#DIV/0!</v>
      </c>
      <c r="K36" s="1544" t="e">
        <f ca="1">INDEX(chronic_intake_assessment!$C$11:$C$390,MATCH($J36,OFFSET(chronic_intake_assessment!$B$11,0,MATCH($C36,chronic_intake_assessment!$C$11:$AY$11,0),(390-11+1),1),0))</f>
        <v>#DIV/0!</v>
      </c>
      <c r="L36" s="1545"/>
      <c r="M36" s="211"/>
      <c r="N36" s="622" t="e">
        <f ca="1">LARGE(OFFSET(chronic_intake_assessment!$B$11,1,MATCH($C36,chronic_intake_assessment!$C$11:$AY$11,0),(390-12+1),1),3)</f>
        <v>#DIV/0!</v>
      </c>
      <c r="O36" s="1129" t="e">
        <f ca="1">INDEX(chronic_intake_assessment!$C$11:$C$390,MATCH($N36,OFFSET(chronic_intake_assessment!$B$11,0,MATCH($C36,chronic_intake_assessment!$C$11:$AY$11,0),(390-11+1),1),0))</f>
        <v>#DIV/0!</v>
      </c>
      <c r="P36" s="1153" t="e">
        <f>INDEX(chronic_intake_assessment!$J$1593:$AY$1596,4,MATCH(Supplementing_results_chronic!B36,chronic_intake_assessment!$J$1593:$AY$1593,0))</f>
        <v>#DIV/0!</v>
      </c>
      <c r="Q36" s="1155"/>
    </row>
    <row r="37" spans="1:17" ht="12.75" customHeight="1" x14ac:dyDescent="0.2">
      <c r="A37" s="1636"/>
      <c r="B37" s="600" t="e">
        <f>LARGE(chronic_intake_assessment!$J$5:$AY$5,ROW()-ROW($B$32))</f>
        <v>#DIV/0!</v>
      </c>
      <c r="C37" s="1542" t="e">
        <f ca="1">OFFSET(chronic_intake_assessment!$I$1,0,MATCH(B37,chronic_intake_assessment!$J$5:$AY$5,0))</f>
        <v>#DIV/0!</v>
      </c>
      <c r="D37" s="1543"/>
      <c r="E37" s="616" t="e">
        <f ca="1">HLOOKUP(C37,chronic_intake_assessment!$J$1:$AY$4,4,FALSE)</f>
        <v>#DIV/0!</v>
      </c>
      <c r="F37" s="619" t="e">
        <f ca="1">LARGE(OFFSET(chronic_intake_assessment!$B$11,1,MATCH($C37,chronic_intake_assessment!$C$11:$AY$11,0),(390-12+1),1),1)</f>
        <v>#DIV/0!</v>
      </c>
      <c r="G37" s="1546" t="e">
        <f ca="1">INDEX(chronic_intake_assessment!$C$11:$C$390,MATCH($F37,OFFSET(chronic_intake_assessment!$B$11,0,MATCH($C37,chronic_intake_assessment!$C$11:$AY$11,0),(390-11+1),1),0))</f>
        <v>#DIV/0!</v>
      </c>
      <c r="H37" s="1545"/>
      <c r="I37" s="211"/>
      <c r="J37" s="619" t="e">
        <f ca="1">LARGE(OFFSET(chronic_intake_assessment!$B$11,1,MATCH($C37,chronic_intake_assessment!$C$11:$AY$11,0),(390-12+1),1),2)</f>
        <v>#DIV/0!</v>
      </c>
      <c r="K37" s="1544" t="e">
        <f ca="1">INDEX(chronic_intake_assessment!$C$11:$C$390,MATCH($J37,OFFSET(chronic_intake_assessment!$B$11,0,MATCH($C37,chronic_intake_assessment!$C$11:$AY$11,0),(390-11+1),1),0))</f>
        <v>#DIV/0!</v>
      </c>
      <c r="L37" s="1545"/>
      <c r="M37" s="211"/>
      <c r="N37" s="622" t="e">
        <f ca="1">LARGE(OFFSET(chronic_intake_assessment!$B$11,1,MATCH($C37,chronic_intake_assessment!$C$11:$AY$11,0),(390-12+1),1),3)</f>
        <v>#DIV/0!</v>
      </c>
      <c r="O37" s="1129" t="e">
        <f ca="1">INDEX(chronic_intake_assessment!$C$11:$C$390,MATCH($N37,OFFSET(chronic_intake_assessment!$B$11,0,MATCH($C37,chronic_intake_assessment!$C$11:$AY$11,0),(390-11+1),1),0))</f>
        <v>#DIV/0!</v>
      </c>
      <c r="P37" s="1153" t="e">
        <f>INDEX(chronic_intake_assessment!$J$1593:$AY$1596,4,MATCH(Supplementing_results_chronic!B37,chronic_intake_assessment!$J$1593:$AY$1593,0))</f>
        <v>#DIV/0!</v>
      </c>
      <c r="Q37" s="1155"/>
    </row>
    <row r="38" spans="1:17" ht="12.75" customHeight="1" x14ac:dyDescent="0.2">
      <c r="A38" s="1636"/>
      <c r="B38" s="600" t="e">
        <f>LARGE(chronic_intake_assessment!$J$5:$AY$5,ROW()-ROW($B$32))</f>
        <v>#DIV/0!</v>
      </c>
      <c r="C38" s="1542" t="e">
        <f ca="1">OFFSET(chronic_intake_assessment!$I$1,0,MATCH(B38,chronic_intake_assessment!$J$5:$AY$5,0))</f>
        <v>#DIV/0!</v>
      </c>
      <c r="D38" s="1543"/>
      <c r="E38" s="616" t="e">
        <f ca="1">HLOOKUP(C38,chronic_intake_assessment!$J$1:$AY$4,4,FALSE)</f>
        <v>#DIV/0!</v>
      </c>
      <c r="F38" s="619" t="e">
        <f ca="1">LARGE(OFFSET(chronic_intake_assessment!$B$11,1,MATCH($C38,chronic_intake_assessment!$C$11:$AY$11,0),(390-12+1),1),1)</f>
        <v>#DIV/0!</v>
      </c>
      <c r="G38" s="1546" t="e">
        <f ca="1">INDEX(chronic_intake_assessment!$C$11:$C$390,MATCH($F38,OFFSET(chronic_intake_assessment!$B$11,0,MATCH($C38,chronic_intake_assessment!$C$11:$AY$11,0),(390-11+1),1),0))</f>
        <v>#DIV/0!</v>
      </c>
      <c r="H38" s="1545"/>
      <c r="I38" s="211"/>
      <c r="J38" s="619" t="e">
        <f ca="1">LARGE(OFFSET(chronic_intake_assessment!$B$11,1,MATCH($C38,chronic_intake_assessment!$C$11:$AY$11,0),(390-12+1),1),2)</f>
        <v>#DIV/0!</v>
      </c>
      <c r="K38" s="1544" t="e">
        <f ca="1">INDEX(chronic_intake_assessment!$C$11:$C$390,MATCH($J38,OFFSET(chronic_intake_assessment!$B$11,0,MATCH($C38,chronic_intake_assessment!$C$11:$AY$11,0),(390-11+1),1),0))</f>
        <v>#DIV/0!</v>
      </c>
      <c r="L38" s="1545"/>
      <c r="M38" s="211"/>
      <c r="N38" s="622" t="e">
        <f ca="1">LARGE(OFFSET(chronic_intake_assessment!$B$11,1,MATCH($C38,chronic_intake_assessment!$C$11:$AY$11,0),(390-12+1),1),3)</f>
        <v>#DIV/0!</v>
      </c>
      <c r="O38" s="1129" t="e">
        <f ca="1">INDEX(chronic_intake_assessment!$C$11:$C$390,MATCH($N38,OFFSET(chronic_intake_assessment!$B$11,0,MATCH($C38,chronic_intake_assessment!$C$11:$AY$11,0),(390-11+1),1),0))</f>
        <v>#DIV/0!</v>
      </c>
      <c r="P38" s="1153" t="e">
        <f>INDEX(chronic_intake_assessment!$J$1593:$AY$1596,4,MATCH(Supplementing_results_chronic!B38,chronic_intake_assessment!$J$1593:$AY$1593,0))</f>
        <v>#DIV/0!</v>
      </c>
      <c r="Q38" s="1155"/>
    </row>
    <row r="39" spans="1:17" ht="12.75" customHeight="1" x14ac:dyDescent="0.2">
      <c r="A39" s="1636"/>
      <c r="B39" s="600" t="e">
        <f>LARGE(chronic_intake_assessment!$J$5:$AY$5,ROW()-ROW($B$32))</f>
        <v>#DIV/0!</v>
      </c>
      <c r="C39" s="1542" t="e">
        <f ca="1">OFFSET(chronic_intake_assessment!$I$1,0,MATCH(B39,chronic_intake_assessment!$J$5:$AY$5,0))</f>
        <v>#DIV/0!</v>
      </c>
      <c r="D39" s="1543"/>
      <c r="E39" s="616" t="e">
        <f ca="1">HLOOKUP(C39,chronic_intake_assessment!$J$1:$AY$4,4,FALSE)</f>
        <v>#DIV/0!</v>
      </c>
      <c r="F39" s="619" t="e">
        <f ca="1">LARGE(OFFSET(chronic_intake_assessment!$B$11,1,MATCH($C39,chronic_intake_assessment!$C$11:$AY$11,0),(390-12+1),1),1)</f>
        <v>#DIV/0!</v>
      </c>
      <c r="G39" s="1546" t="e">
        <f ca="1">INDEX(chronic_intake_assessment!$C$11:$C$390,MATCH($F39,OFFSET(chronic_intake_assessment!$B$11,0,MATCH($C39,chronic_intake_assessment!$C$11:$AY$11,0),(390-11+1),1),0))</f>
        <v>#DIV/0!</v>
      </c>
      <c r="H39" s="1545"/>
      <c r="I39" s="211"/>
      <c r="J39" s="619" t="e">
        <f ca="1">LARGE(OFFSET(chronic_intake_assessment!$B$11,1,MATCH($C39,chronic_intake_assessment!$C$11:$AY$11,0),(390-12+1),1),2)</f>
        <v>#DIV/0!</v>
      </c>
      <c r="K39" s="1544" t="e">
        <f ca="1">INDEX(chronic_intake_assessment!$C$11:$C$390,MATCH($J39,OFFSET(chronic_intake_assessment!$B$11,0,MATCH($C39,chronic_intake_assessment!$C$11:$AY$11,0),(390-11+1),1),0))</f>
        <v>#DIV/0!</v>
      </c>
      <c r="L39" s="1545"/>
      <c r="M39" s="211"/>
      <c r="N39" s="622" t="e">
        <f ca="1">LARGE(OFFSET(chronic_intake_assessment!$B$11,1,MATCH($C39,chronic_intake_assessment!$C$11:$AY$11,0),(390-12+1),1),3)</f>
        <v>#DIV/0!</v>
      </c>
      <c r="O39" s="1129" t="e">
        <f ca="1">INDEX(chronic_intake_assessment!$C$11:$C$390,MATCH($N39,OFFSET(chronic_intake_assessment!$B$11,0,MATCH($C39,chronic_intake_assessment!$C$11:$AY$11,0),(390-11+1),1),0))</f>
        <v>#DIV/0!</v>
      </c>
      <c r="P39" s="1153" t="e">
        <f>INDEX(chronic_intake_assessment!$J$1593:$AY$1596,4,MATCH(Supplementing_results_chronic!B39,chronic_intake_assessment!$J$1593:$AY$1593,0))</f>
        <v>#DIV/0!</v>
      </c>
      <c r="Q39" s="1155"/>
    </row>
    <row r="40" spans="1:17" ht="12.75" customHeight="1" x14ac:dyDescent="0.2">
      <c r="A40" s="1636"/>
      <c r="B40" s="600" t="e">
        <f>LARGE(chronic_intake_assessment!$J$5:$AY$5,ROW()-ROW($B$32))</f>
        <v>#DIV/0!</v>
      </c>
      <c r="C40" s="1542" t="e">
        <f ca="1">OFFSET(chronic_intake_assessment!$I$1,0,MATCH(B40,chronic_intake_assessment!$J$5:$AY$5,0))</f>
        <v>#DIV/0!</v>
      </c>
      <c r="D40" s="1543"/>
      <c r="E40" s="616" t="e">
        <f ca="1">HLOOKUP(C40,chronic_intake_assessment!$J$1:$AY$4,4,FALSE)</f>
        <v>#DIV/0!</v>
      </c>
      <c r="F40" s="619" t="e">
        <f ca="1">LARGE(OFFSET(chronic_intake_assessment!$B$11,1,MATCH($C40,chronic_intake_assessment!$C$11:$AY$11,0),(390-12+1),1),1)</f>
        <v>#DIV/0!</v>
      </c>
      <c r="G40" s="1546" t="e">
        <f ca="1">INDEX(chronic_intake_assessment!$C$11:$C$390,MATCH($F40,OFFSET(chronic_intake_assessment!$B$11,0,MATCH($C40,chronic_intake_assessment!$C$11:$AY$11,0),(390-11+1),1),0))</f>
        <v>#DIV/0!</v>
      </c>
      <c r="H40" s="1545"/>
      <c r="I40" s="211"/>
      <c r="J40" s="619" t="e">
        <f ca="1">LARGE(OFFSET(chronic_intake_assessment!$B$11,1,MATCH($C40,chronic_intake_assessment!$C$11:$AY$11,0),(390-12+1),1),2)</f>
        <v>#DIV/0!</v>
      </c>
      <c r="K40" s="1544" t="e">
        <f ca="1">INDEX(chronic_intake_assessment!$C$11:$C$390,MATCH($J40,OFFSET(chronic_intake_assessment!$B$11,0,MATCH($C40,chronic_intake_assessment!$C$11:$AY$11,0),(390-11+1),1),0))</f>
        <v>#DIV/0!</v>
      </c>
      <c r="L40" s="1545"/>
      <c r="M40" s="211"/>
      <c r="N40" s="622" t="e">
        <f ca="1">LARGE(OFFSET(chronic_intake_assessment!$B$11,1,MATCH($C40,chronic_intake_assessment!$C$11:$AY$11,0),(390-12+1),1),3)</f>
        <v>#DIV/0!</v>
      </c>
      <c r="O40" s="1129" t="e">
        <f ca="1">INDEX(chronic_intake_assessment!$C$11:$C$390,MATCH($N40,OFFSET(chronic_intake_assessment!$B$11,0,MATCH($C40,chronic_intake_assessment!$C$11:$AY$11,0),(390-11+1),1),0))</f>
        <v>#DIV/0!</v>
      </c>
      <c r="P40" s="1153" t="e">
        <f>INDEX(chronic_intake_assessment!$J$1593:$AY$1596,4,MATCH(Supplementing_results_chronic!B40,chronic_intake_assessment!$J$1593:$AY$1593,0))</f>
        <v>#DIV/0!</v>
      </c>
      <c r="Q40" s="1155"/>
    </row>
    <row r="41" spans="1:17" ht="12.75" customHeight="1" x14ac:dyDescent="0.2">
      <c r="A41" s="1636"/>
      <c r="B41" s="600" t="e">
        <f>LARGE(chronic_intake_assessment!$J$5:$AY$5,ROW()-ROW($B$32))</f>
        <v>#DIV/0!</v>
      </c>
      <c r="C41" s="1542" t="e">
        <f ca="1">OFFSET(chronic_intake_assessment!$I$1,0,MATCH(B41,chronic_intake_assessment!$J$5:$AY$5,0))</f>
        <v>#DIV/0!</v>
      </c>
      <c r="D41" s="1543"/>
      <c r="E41" s="616" t="e">
        <f ca="1">HLOOKUP(C41,chronic_intake_assessment!$J$1:$AY$4,4,FALSE)</f>
        <v>#DIV/0!</v>
      </c>
      <c r="F41" s="619" t="e">
        <f ca="1">LARGE(OFFSET(chronic_intake_assessment!$B$11,1,MATCH($C41,chronic_intake_assessment!$C$11:$AY$11,0),(390-12+1),1),1)</f>
        <v>#DIV/0!</v>
      </c>
      <c r="G41" s="1546" t="e">
        <f ca="1">INDEX(chronic_intake_assessment!$C$11:$C$390,MATCH($F41,OFFSET(chronic_intake_assessment!$B$11,0,MATCH($C41,chronic_intake_assessment!$C$11:$AY$11,0),(390-11+1),1),0))</f>
        <v>#DIV/0!</v>
      </c>
      <c r="H41" s="1545"/>
      <c r="I41" s="211"/>
      <c r="J41" s="619" t="e">
        <f ca="1">LARGE(OFFSET(chronic_intake_assessment!$B$11,1,MATCH($C41,chronic_intake_assessment!$C$11:$AY$11,0),(390-12+1),1),2)</f>
        <v>#DIV/0!</v>
      </c>
      <c r="K41" s="1544" t="e">
        <f ca="1">INDEX(chronic_intake_assessment!$C$11:$C$390,MATCH($J41,OFFSET(chronic_intake_assessment!$B$11,0,MATCH($C41,chronic_intake_assessment!$C$11:$AY$11,0),(390-11+1),1),0))</f>
        <v>#DIV/0!</v>
      </c>
      <c r="L41" s="1545"/>
      <c r="M41" s="211"/>
      <c r="N41" s="622" t="e">
        <f ca="1">LARGE(OFFSET(chronic_intake_assessment!$B$11,1,MATCH($C41,chronic_intake_assessment!$C$11:$AY$11,0),(390-12+1),1),3)</f>
        <v>#DIV/0!</v>
      </c>
      <c r="O41" s="1129" t="e">
        <f ca="1">INDEX(chronic_intake_assessment!$C$11:$C$390,MATCH($N41,OFFSET(chronic_intake_assessment!$B$11,0,MATCH($C41,chronic_intake_assessment!$C$11:$AY$11,0),(390-11+1),1),0))</f>
        <v>#DIV/0!</v>
      </c>
      <c r="P41" s="1153" t="e">
        <f>INDEX(chronic_intake_assessment!$J$1593:$AY$1596,4,MATCH(Supplementing_results_chronic!B41,chronic_intake_assessment!$J$1593:$AY$1593,0))</f>
        <v>#DIV/0!</v>
      </c>
      <c r="Q41" s="1155"/>
    </row>
    <row r="42" spans="1:17" ht="12.75" customHeight="1" x14ac:dyDescent="0.2">
      <c r="A42" s="1636"/>
      <c r="B42" s="600" t="e">
        <f>LARGE(chronic_intake_assessment!$J$5:$AY$5,ROW()-ROW($B$32))</f>
        <v>#DIV/0!</v>
      </c>
      <c r="C42" s="1542" t="e">
        <f ca="1">OFFSET(chronic_intake_assessment!$I$1,0,MATCH(B42,chronic_intake_assessment!$J$5:$AY$5,0))</f>
        <v>#DIV/0!</v>
      </c>
      <c r="D42" s="1543"/>
      <c r="E42" s="616" t="e">
        <f ca="1">HLOOKUP(C42,chronic_intake_assessment!$J$1:$AY$4,4,FALSE)</f>
        <v>#DIV/0!</v>
      </c>
      <c r="F42" s="619" t="e">
        <f ca="1">LARGE(OFFSET(chronic_intake_assessment!$B$11,1,MATCH($C42,chronic_intake_assessment!$C$11:$AY$11,0),(390-12+1),1),1)</f>
        <v>#DIV/0!</v>
      </c>
      <c r="G42" s="1546" t="e">
        <f ca="1">INDEX(chronic_intake_assessment!$C$11:$C$390,MATCH($F42,OFFSET(chronic_intake_assessment!$B$11,0,MATCH($C42,chronic_intake_assessment!$C$11:$AY$11,0),(390-11+1),1),0))</f>
        <v>#DIV/0!</v>
      </c>
      <c r="H42" s="1545"/>
      <c r="I42" s="211"/>
      <c r="J42" s="619" t="e">
        <f ca="1">LARGE(OFFSET(chronic_intake_assessment!$B$11,1,MATCH($C42,chronic_intake_assessment!$C$11:$AY$11,0),(390-12+1),1),2)</f>
        <v>#DIV/0!</v>
      </c>
      <c r="K42" s="1544" t="e">
        <f ca="1">INDEX(chronic_intake_assessment!$C$11:$C$390,MATCH($J42,OFFSET(chronic_intake_assessment!$B$11,0,MATCH($C42,chronic_intake_assessment!$C$11:$AY$11,0),(390-11+1),1),0))</f>
        <v>#DIV/0!</v>
      </c>
      <c r="L42" s="1545"/>
      <c r="M42" s="211"/>
      <c r="N42" s="622" t="e">
        <f ca="1">LARGE(OFFSET(chronic_intake_assessment!$B$11,1,MATCH($C42,chronic_intake_assessment!$C$11:$AY$11,0),(390-12+1),1),3)</f>
        <v>#DIV/0!</v>
      </c>
      <c r="O42" s="1129" t="e">
        <f ca="1">INDEX(chronic_intake_assessment!$C$11:$C$390,MATCH($N42,OFFSET(chronic_intake_assessment!$B$11,0,MATCH($C42,chronic_intake_assessment!$C$11:$AY$11,0),(390-11+1),1),0))</f>
        <v>#DIV/0!</v>
      </c>
      <c r="P42" s="1153" t="e">
        <f>INDEX(chronic_intake_assessment!$J$1593:$AY$1596,4,MATCH(Supplementing_results_chronic!B42,chronic_intake_assessment!$J$1593:$AY$1593,0))</f>
        <v>#DIV/0!</v>
      </c>
      <c r="Q42" s="1155"/>
    </row>
    <row r="43" spans="1:17" ht="12.75" customHeight="1" x14ac:dyDescent="0.2">
      <c r="A43" s="1636"/>
      <c r="B43" s="600" t="e">
        <f>LARGE(chronic_intake_assessment!$J$5:$AY$5,ROW()-ROW($B$32))</f>
        <v>#DIV/0!</v>
      </c>
      <c r="C43" s="1542" t="e">
        <f ca="1">OFFSET(chronic_intake_assessment!$I$1,0,MATCH(B43,chronic_intake_assessment!$J$5:$AY$5,0))</f>
        <v>#DIV/0!</v>
      </c>
      <c r="D43" s="1543"/>
      <c r="E43" s="616" t="e">
        <f ca="1">HLOOKUP(C43,chronic_intake_assessment!$J$1:$AY$4,4,FALSE)</f>
        <v>#DIV/0!</v>
      </c>
      <c r="F43" s="619" t="e">
        <f ca="1">LARGE(OFFSET(chronic_intake_assessment!$B$11,1,MATCH($C43,chronic_intake_assessment!$C$11:$AY$11,0),(390-12+1),1),1)</f>
        <v>#DIV/0!</v>
      </c>
      <c r="G43" s="1546" t="e">
        <f ca="1">INDEX(chronic_intake_assessment!$C$11:$C$390,MATCH($F43,OFFSET(chronic_intake_assessment!$B$11,0,MATCH($C43,chronic_intake_assessment!$C$11:$AY$11,0),(390-11+1),1),0))</f>
        <v>#DIV/0!</v>
      </c>
      <c r="H43" s="1545"/>
      <c r="I43" s="211"/>
      <c r="J43" s="619" t="e">
        <f ca="1">LARGE(OFFSET(chronic_intake_assessment!$B$11,1,MATCH($C43,chronic_intake_assessment!$C$11:$AY$11,0),(390-12+1),1),2)</f>
        <v>#DIV/0!</v>
      </c>
      <c r="K43" s="1544" t="e">
        <f ca="1">INDEX(chronic_intake_assessment!$C$11:$C$390,MATCH($J43,OFFSET(chronic_intake_assessment!$B$11,0,MATCH($C43,chronic_intake_assessment!$C$11:$AY$11,0),(390-11+1),1),0))</f>
        <v>#DIV/0!</v>
      </c>
      <c r="L43" s="1545"/>
      <c r="M43" s="211"/>
      <c r="N43" s="622" t="e">
        <f ca="1">LARGE(OFFSET(chronic_intake_assessment!$B$11,1,MATCH($C43,chronic_intake_assessment!$C$11:$AY$11,0),(390-12+1),1),3)</f>
        <v>#DIV/0!</v>
      </c>
      <c r="O43" s="1129" t="e">
        <f ca="1">INDEX(chronic_intake_assessment!$C$11:$C$390,MATCH($N43,OFFSET(chronic_intake_assessment!$B$11,0,MATCH($C43,chronic_intake_assessment!$C$11:$AY$11,0),(390-11+1),1),0))</f>
        <v>#DIV/0!</v>
      </c>
      <c r="P43" s="1153" t="e">
        <f>INDEX(chronic_intake_assessment!$J$1593:$AY$1596,4,MATCH(Supplementing_results_chronic!B43,chronic_intake_assessment!$J$1593:$AY$1593,0))</f>
        <v>#DIV/0!</v>
      </c>
      <c r="Q43" s="1155"/>
    </row>
    <row r="44" spans="1:17" ht="12.75" customHeight="1" x14ac:dyDescent="0.2">
      <c r="A44" s="1636"/>
      <c r="B44" s="600" t="e">
        <f>LARGE(chronic_intake_assessment!$J$5:$AY$5,ROW()-ROW($B$32))</f>
        <v>#DIV/0!</v>
      </c>
      <c r="C44" s="1542" t="e">
        <f ca="1">OFFSET(chronic_intake_assessment!$I$1,0,MATCH(B44,chronic_intake_assessment!$J$5:$AY$5,0))</f>
        <v>#DIV/0!</v>
      </c>
      <c r="D44" s="1543"/>
      <c r="E44" s="616" t="e">
        <f ca="1">HLOOKUP(C44,chronic_intake_assessment!$J$1:$AY$4,4,FALSE)</f>
        <v>#DIV/0!</v>
      </c>
      <c r="F44" s="619" t="e">
        <f ca="1">LARGE(OFFSET(chronic_intake_assessment!$B$11,1,MATCH($C44,chronic_intake_assessment!$C$11:$AY$11,0),(390-12+1),1),1)</f>
        <v>#DIV/0!</v>
      </c>
      <c r="G44" s="1546" t="e">
        <f ca="1">INDEX(chronic_intake_assessment!$C$11:$C$390,MATCH($F44,OFFSET(chronic_intake_assessment!$B$11,0,MATCH($C44,chronic_intake_assessment!$C$11:$AY$11,0),(390-11+1),1),0))</f>
        <v>#DIV/0!</v>
      </c>
      <c r="H44" s="1545"/>
      <c r="I44" s="211"/>
      <c r="J44" s="619" t="e">
        <f ca="1">LARGE(OFFSET(chronic_intake_assessment!$B$11,1,MATCH($C44,chronic_intake_assessment!$C$11:$AY$11,0),(390-12+1),1),2)</f>
        <v>#DIV/0!</v>
      </c>
      <c r="K44" s="1544" t="e">
        <f ca="1">INDEX(chronic_intake_assessment!$C$11:$C$390,MATCH($J44,OFFSET(chronic_intake_assessment!$B$11,0,MATCH($C44,chronic_intake_assessment!$C$11:$AY$11,0),(390-11+1),1),0))</f>
        <v>#DIV/0!</v>
      </c>
      <c r="L44" s="1545"/>
      <c r="M44" s="211"/>
      <c r="N44" s="622" t="e">
        <f ca="1">LARGE(OFFSET(chronic_intake_assessment!$B$11,1,MATCH($C44,chronic_intake_assessment!$C$11:$AY$11,0),(390-12+1),1),3)</f>
        <v>#DIV/0!</v>
      </c>
      <c r="O44" s="1129" t="e">
        <f ca="1">INDEX(chronic_intake_assessment!$C$11:$C$390,MATCH($N44,OFFSET(chronic_intake_assessment!$B$11,0,MATCH($C44,chronic_intake_assessment!$C$11:$AY$11,0),(390-11+1),1),0))</f>
        <v>#DIV/0!</v>
      </c>
      <c r="P44" s="1153" t="e">
        <f>INDEX(chronic_intake_assessment!$J$1593:$AY$1596,4,MATCH(Supplementing_results_chronic!B44,chronic_intake_assessment!$J$1593:$AY$1593,0))</f>
        <v>#DIV/0!</v>
      </c>
      <c r="Q44" s="1155"/>
    </row>
    <row r="45" spans="1:17" ht="12.75" customHeight="1" x14ac:dyDescent="0.2">
      <c r="A45" s="1636"/>
      <c r="B45" s="600" t="e">
        <f>LARGE(chronic_intake_assessment!$J$5:$AY$5,ROW()-ROW($B$32))</f>
        <v>#DIV/0!</v>
      </c>
      <c r="C45" s="1542" t="e">
        <f ca="1">OFFSET(chronic_intake_assessment!$I$1,0,MATCH(B45,chronic_intake_assessment!$J$5:$AY$5,0))</f>
        <v>#DIV/0!</v>
      </c>
      <c r="D45" s="1543"/>
      <c r="E45" s="616" t="e">
        <f ca="1">HLOOKUP(C45,chronic_intake_assessment!$J$1:$AY$4,4,FALSE)</f>
        <v>#DIV/0!</v>
      </c>
      <c r="F45" s="619" t="e">
        <f ca="1">LARGE(OFFSET(chronic_intake_assessment!$B$11,1,MATCH($C45,chronic_intake_assessment!$C$11:$AY$11,0),(390-12+1),1),1)</f>
        <v>#DIV/0!</v>
      </c>
      <c r="G45" s="1546" t="e">
        <f ca="1">INDEX(chronic_intake_assessment!$C$11:$C$390,MATCH($F45,OFFSET(chronic_intake_assessment!$B$11,0,MATCH($C45,chronic_intake_assessment!$C$11:$AY$11,0),(390-11+1),1),0))</f>
        <v>#DIV/0!</v>
      </c>
      <c r="H45" s="1545"/>
      <c r="I45" s="211"/>
      <c r="J45" s="619" t="e">
        <f ca="1">LARGE(OFFSET(chronic_intake_assessment!$B$11,1,MATCH($C45,chronic_intake_assessment!$C$11:$AY$11,0),(390-12+1),1),2)</f>
        <v>#DIV/0!</v>
      </c>
      <c r="K45" s="1544" t="e">
        <f ca="1">INDEX(chronic_intake_assessment!$C$11:$C$390,MATCH($J45,OFFSET(chronic_intake_assessment!$B$11,0,MATCH($C45,chronic_intake_assessment!$C$11:$AY$11,0),(390-11+1),1),0))</f>
        <v>#DIV/0!</v>
      </c>
      <c r="L45" s="1545"/>
      <c r="M45" s="211"/>
      <c r="N45" s="622" t="e">
        <f ca="1">LARGE(OFFSET(chronic_intake_assessment!$B$11,1,MATCH($C45,chronic_intake_assessment!$C$11:$AY$11,0),(390-12+1),1),3)</f>
        <v>#DIV/0!</v>
      </c>
      <c r="O45" s="1129" t="e">
        <f ca="1">INDEX(chronic_intake_assessment!$C$11:$C$390,MATCH($N45,OFFSET(chronic_intake_assessment!$B$11,0,MATCH($C45,chronic_intake_assessment!$C$11:$AY$11,0),(390-11+1),1),0))</f>
        <v>#DIV/0!</v>
      </c>
      <c r="P45" s="1153" t="e">
        <f>INDEX(chronic_intake_assessment!$J$1593:$AY$1596,4,MATCH(Supplementing_results_chronic!B45,chronic_intake_assessment!$J$1593:$AY$1593,0))</f>
        <v>#DIV/0!</v>
      </c>
      <c r="Q45" s="1155"/>
    </row>
    <row r="46" spans="1:17" ht="12.75" customHeight="1" x14ac:dyDescent="0.2">
      <c r="A46" s="1636"/>
      <c r="B46" s="600" t="e">
        <f>LARGE(chronic_intake_assessment!$J$5:$AY$5,ROW()-ROW($B$32))</f>
        <v>#DIV/0!</v>
      </c>
      <c r="C46" s="1542" t="e">
        <f ca="1">OFFSET(chronic_intake_assessment!$I$1,0,MATCH(B46,chronic_intake_assessment!$J$5:$AY$5,0))</f>
        <v>#DIV/0!</v>
      </c>
      <c r="D46" s="1543"/>
      <c r="E46" s="616" t="e">
        <f ca="1">HLOOKUP(C46,chronic_intake_assessment!$J$1:$AY$4,4,FALSE)</f>
        <v>#DIV/0!</v>
      </c>
      <c r="F46" s="619" t="e">
        <f ca="1">LARGE(OFFSET(chronic_intake_assessment!$B$11,1,MATCH($C46,chronic_intake_assessment!$C$11:$AY$11,0),(390-12+1),1),1)</f>
        <v>#DIV/0!</v>
      </c>
      <c r="G46" s="1546" t="e">
        <f ca="1">INDEX(chronic_intake_assessment!$C$11:$C$390,MATCH($F46,OFFSET(chronic_intake_assessment!$B$11,0,MATCH($C46,chronic_intake_assessment!$C$11:$AY$11,0),(390-11+1),1),0))</f>
        <v>#DIV/0!</v>
      </c>
      <c r="H46" s="1545"/>
      <c r="I46" s="211"/>
      <c r="J46" s="619" t="e">
        <f ca="1">LARGE(OFFSET(chronic_intake_assessment!$B$11,1,MATCH($C46,chronic_intake_assessment!$C$11:$AY$11,0),(390-12+1),1),2)</f>
        <v>#DIV/0!</v>
      </c>
      <c r="K46" s="1544" t="e">
        <f ca="1">INDEX(chronic_intake_assessment!$C$11:$C$390,MATCH($J46,OFFSET(chronic_intake_assessment!$B$11,0,MATCH($C46,chronic_intake_assessment!$C$11:$AY$11,0),(390-11+1),1),0))</f>
        <v>#DIV/0!</v>
      </c>
      <c r="L46" s="1545"/>
      <c r="M46" s="211"/>
      <c r="N46" s="622" t="e">
        <f ca="1">LARGE(OFFSET(chronic_intake_assessment!$B$11,1,MATCH($C46,chronic_intake_assessment!$C$11:$AY$11,0),(390-12+1),1),3)</f>
        <v>#DIV/0!</v>
      </c>
      <c r="O46" s="1129" t="e">
        <f ca="1">INDEX(chronic_intake_assessment!$C$11:$C$390,MATCH($N46,OFFSET(chronic_intake_assessment!$B$11,0,MATCH($C46,chronic_intake_assessment!$C$11:$AY$11,0),(390-11+1),1),0))</f>
        <v>#DIV/0!</v>
      </c>
      <c r="P46" s="1153" t="e">
        <f>INDEX(chronic_intake_assessment!$J$1593:$AY$1596,4,MATCH(Supplementing_results_chronic!B46,chronic_intake_assessment!$J$1593:$AY$1593,0))</f>
        <v>#DIV/0!</v>
      </c>
      <c r="Q46" s="1155"/>
    </row>
    <row r="47" spans="1:17" ht="12.75" customHeight="1" x14ac:dyDescent="0.2">
      <c r="A47" s="1636"/>
      <c r="B47" s="600" t="e">
        <f>LARGE(chronic_intake_assessment!$J$5:$AY$5,ROW()-ROW($B$32))</f>
        <v>#DIV/0!</v>
      </c>
      <c r="C47" s="1542" t="e">
        <f ca="1">OFFSET(chronic_intake_assessment!$I$1,0,MATCH(B47,chronic_intake_assessment!$J$5:$AY$5,0))</f>
        <v>#DIV/0!</v>
      </c>
      <c r="D47" s="1543"/>
      <c r="E47" s="616" t="e">
        <f ca="1">HLOOKUP(C47,chronic_intake_assessment!$J$1:$AY$4,4,FALSE)</f>
        <v>#DIV/0!</v>
      </c>
      <c r="F47" s="619" t="e">
        <f ca="1">LARGE(OFFSET(chronic_intake_assessment!$B$11,1,MATCH($C47,chronic_intake_assessment!$C$11:$AY$11,0),(390-12+1),1),1)</f>
        <v>#DIV/0!</v>
      </c>
      <c r="G47" s="1546" t="e">
        <f ca="1">INDEX(chronic_intake_assessment!$C$11:$C$390,MATCH($F47,OFFSET(chronic_intake_assessment!$B$11,0,MATCH($C47,chronic_intake_assessment!$C$11:$AY$11,0),(390-11+1),1),0))</f>
        <v>#DIV/0!</v>
      </c>
      <c r="H47" s="1545"/>
      <c r="I47" s="211"/>
      <c r="J47" s="619" t="e">
        <f ca="1">LARGE(OFFSET(chronic_intake_assessment!$B$11,1,MATCH($C47,chronic_intake_assessment!$C$11:$AY$11,0),(390-12+1),1),2)</f>
        <v>#DIV/0!</v>
      </c>
      <c r="K47" s="1544" t="e">
        <f ca="1">INDEX(chronic_intake_assessment!$C$11:$C$390,MATCH($J47,OFFSET(chronic_intake_assessment!$B$11,0,MATCH($C47,chronic_intake_assessment!$C$11:$AY$11,0),(390-11+1),1),0))</f>
        <v>#DIV/0!</v>
      </c>
      <c r="L47" s="1545"/>
      <c r="M47" s="211"/>
      <c r="N47" s="622" t="e">
        <f ca="1">LARGE(OFFSET(chronic_intake_assessment!$B$11,1,MATCH($C47,chronic_intake_assessment!$C$11:$AY$11,0),(390-12+1),1),3)</f>
        <v>#DIV/0!</v>
      </c>
      <c r="O47" s="1129" t="e">
        <f ca="1">INDEX(chronic_intake_assessment!$C$11:$C$390,MATCH($N47,OFFSET(chronic_intake_assessment!$B$11,0,MATCH($C47,chronic_intake_assessment!$C$11:$AY$11,0),(390-11+1),1),0))</f>
        <v>#DIV/0!</v>
      </c>
      <c r="P47" s="1153" t="e">
        <f>INDEX(chronic_intake_assessment!$J$1593:$AY$1596,4,MATCH(Supplementing_results_chronic!B47,chronic_intake_assessment!$J$1593:$AY$1593,0))</f>
        <v>#DIV/0!</v>
      </c>
      <c r="Q47" s="1155"/>
    </row>
    <row r="48" spans="1:17" ht="12.75" customHeight="1" x14ac:dyDescent="0.2">
      <c r="A48" s="1636"/>
      <c r="B48" s="600" t="e">
        <f>LARGE(chronic_intake_assessment!$J$5:$AY$5,ROW()-ROW($B$32))</f>
        <v>#DIV/0!</v>
      </c>
      <c r="C48" s="1542" t="e">
        <f ca="1">OFFSET(chronic_intake_assessment!$I$1,0,MATCH(B48,chronic_intake_assessment!$J$5:$AY$5,0))</f>
        <v>#DIV/0!</v>
      </c>
      <c r="D48" s="1543"/>
      <c r="E48" s="616" t="e">
        <f ca="1">HLOOKUP(C48,chronic_intake_assessment!$J$1:$AY$4,4,FALSE)</f>
        <v>#DIV/0!</v>
      </c>
      <c r="F48" s="619" t="e">
        <f ca="1">LARGE(OFFSET(chronic_intake_assessment!$B$11,1,MATCH($C48,chronic_intake_assessment!$C$11:$AY$11,0),(390-12+1),1),1)</f>
        <v>#DIV/0!</v>
      </c>
      <c r="G48" s="1546" t="e">
        <f ca="1">INDEX(chronic_intake_assessment!$C$11:$C$390,MATCH($F48,OFFSET(chronic_intake_assessment!$B$11,0,MATCH($C48,chronic_intake_assessment!$C$11:$AY$11,0),(390-11+1),1),0))</f>
        <v>#DIV/0!</v>
      </c>
      <c r="H48" s="1545"/>
      <c r="I48" s="211"/>
      <c r="J48" s="619" t="e">
        <f ca="1">LARGE(OFFSET(chronic_intake_assessment!$B$11,1,MATCH($C48,chronic_intake_assessment!$C$11:$AY$11,0),(390-12+1),1),2)</f>
        <v>#DIV/0!</v>
      </c>
      <c r="K48" s="1544" t="e">
        <f ca="1">INDEX(chronic_intake_assessment!$C$11:$C$390,MATCH($J48,OFFSET(chronic_intake_assessment!$B$11,0,MATCH($C48,chronic_intake_assessment!$C$11:$AY$11,0),(390-11+1),1),0))</f>
        <v>#DIV/0!</v>
      </c>
      <c r="L48" s="1545"/>
      <c r="M48" s="211"/>
      <c r="N48" s="622" t="e">
        <f ca="1">LARGE(OFFSET(chronic_intake_assessment!$B$11,1,MATCH($C48,chronic_intake_assessment!$C$11:$AY$11,0),(390-12+1),1),3)</f>
        <v>#DIV/0!</v>
      </c>
      <c r="O48" s="1129" t="e">
        <f ca="1">INDEX(chronic_intake_assessment!$C$11:$C$390,MATCH($N48,OFFSET(chronic_intake_assessment!$B$11,0,MATCH($C48,chronic_intake_assessment!$C$11:$AY$11,0),(390-11+1),1),0))</f>
        <v>#DIV/0!</v>
      </c>
      <c r="P48" s="1153" t="e">
        <f>INDEX(chronic_intake_assessment!$J$1593:$AY$1596,4,MATCH(Supplementing_results_chronic!B48,chronic_intake_assessment!$J$1593:$AY$1593,0))</f>
        <v>#DIV/0!</v>
      </c>
      <c r="Q48" s="1155"/>
    </row>
    <row r="49" spans="1:17" ht="12.75" customHeight="1" x14ac:dyDescent="0.2">
      <c r="A49" s="1636"/>
      <c r="B49" s="600" t="e">
        <f>LARGE(chronic_intake_assessment!$J$5:$AY$5,ROW()-ROW($B$32))</f>
        <v>#DIV/0!</v>
      </c>
      <c r="C49" s="1542" t="e">
        <f ca="1">OFFSET(chronic_intake_assessment!$I$1,0,MATCH(B49,chronic_intake_assessment!$J$5:$AY$5,0))</f>
        <v>#DIV/0!</v>
      </c>
      <c r="D49" s="1543"/>
      <c r="E49" s="616" t="e">
        <f ca="1">HLOOKUP(C49,chronic_intake_assessment!$J$1:$AY$4,4,FALSE)</f>
        <v>#DIV/0!</v>
      </c>
      <c r="F49" s="619" t="e">
        <f ca="1">LARGE(OFFSET(chronic_intake_assessment!$B$11,1,MATCH($C49,chronic_intake_assessment!$C$11:$AY$11,0),(390-12+1),1),1)</f>
        <v>#DIV/0!</v>
      </c>
      <c r="G49" s="1546" t="e">
        <f ca="1">INDEX(chronic_intake_assessment!$C$11:$C$390,MATCH($F49,OFFSET(chronic_intake_assessment!$B$11,0,MATCH($C49,chronic_intake_assessment!$C$11:$AY$11,0),(390-11+1),1),0))</f>
        <v>#DIV/0!</v>
      </c>
      <c r="H49" s="1545"/>
      <c r="I49" s="211"/>
      <c r="J49" s="619" t="e">
        <f ca="1">LARGE(OFFSET(chronic_intake_assessment!$B$11,1,MATCH($C49,chronic_intake_assessment!$C$11:$AY$11,0),(390-12+1),1),2)</f>
        <v>#DIV/0!</v>
      </c>
      <c r="K49" s="1544" t="e">
        <f ca="1">INDEX(chronic_intake_assessment!$C$11:$C$390,MATCH($J49,OFFSET(chronic_intake_assessment!$B$11,0,MATCH($C49,chronic_intake_assessment!$C$11:$AY$11,0),(390-11+1),1),0))</f>
        <v>#DIV/0!</v>
      </c>
      <c r="L49" s="1545"/>
      <c r="M49" s="211"/>
      <c r="N49" s="622" t="e">
        <f ca="1">LARGE(OFFSET(chronic_intake_assessment!$B$11,1,MATCH($C49,chronic_intake_assessment!$C$11:$AY$11,0),(390-12+1),1),3)</f>
        <v>#DIV/0!</v>
      </c>
      <c r="O49" s="1129" t="e">
        <f ca="1">INDEX(chronic_intake_assessment!$C$11:$C$390,MATCH($N49,OFFSET(chronic_intake_assessment!$B$11,0,MATCH($C49,chronic_intake_assessment!$C$11:$AY$11,0),(390-11+1),1),0))</f>
        <v>#DIV/0!</v>
      </c>
      <c r="P49" s="1153" t="e">
        <f>INDEX(chronic_intake_assessment!$J$1593:$AY$1596,4,MATCH(Supplementing_results_chronic!B49,chronic_intake_assessment!$J$1593:$AY$1593,0))</f>
        <v>#DIV/0!</v>
      </c>
      <c r="Q49" s="1155"/>
    </row>
    <row r="50" spans="1:17" ht="12.75" customHeight="1" x14ac:dyDescent="0.2">
      <c r="A50" s="1636"/>
      <c r="B50" s="600" t="e">
        <f>LARGE(chronic_intake_assessment!$J$5:$AY$5,ROW()-ROW($B$32))</f>
        <v>#DIV/0!</v>
      </c>
      <c r="C50" s="1542" t="e">
        <f ca="1">OFFSET(chronic_intake_assessment!$I$1,0,MATCH(B50,chronic_intake_assessment!$J$5:$AY$5,0))</f>
        <v>#DIV/0!</v>
      </c>
      <c r="D50" s="1543"/>
      <c r="E50" s="616" t="e">
        <f ca="1">HLOOKUP(C50,chronic_intake_assessment!$J$1:$AY$4,4,FALSE)</f>
        <v>#DIV/0!</v>
      </c>
      <c r="F50" s="619" t="e">
        <f ca="1">LARGE(OFFSET(chronic_intake_assessment!$B$11,1,MATCH($C50,chronic_intake_assessment!$C$11:$AY$11,0),(390-12+1),1),1)</f>
        <v>#DIV/0!</v>
      </c>
      <c r="G50" s="1546" t="e">
        <f ca="1">INDEX(chronic_intake_assessment!$C$11:$C$390,MATCH($F50,OFFSET(chronic_intake_assessment!$B$11,0,MATCH($C50,chronic_intake_assessment!$C$11:$AY$11,0),(390-11+1),1),0))</f>
        <v>#DIV/0!</v>
      </c>
      <c r="H50" s="1545"/>
      <c r="I50" s="211"/>
      <c r="J50" s="619" t="e">
        <f ca="1">LARGE(OFFSET(chronic_intake_assessment!$B$11,1,MATCH($C50,chronic_intake_assessment!$C$11:$AY$11,0),(390-12+1),1),2)</f>
        <v>#DIV/0!</v>
      </c>
      <c r="K50" s="1544" t="e">
        <f ca="1">INDEX(chronic_intake_assessment!$C$11:$C$390,MATCH($J50,OFFSET(chronic_intake_assessment!$B$11,0,MATCH($C50,chronic_intake_assessment!$C$11:$AY$11,0),(390-11+1),1),0))</f>
        <v>#DIV/0!</v>
      </c>
      <c r="L50" s="1545"/>
      <c r="M50" s="211"/>
      <c r="N50" s="622" t="e">
        <f ca="1">LARGE(OFFSET(chronic_intake_assessment!$B$11,1,MATCH($C50,chronic_intake_assessment!$C$11:$AY$11,0),(390-12+1),1),3)</f>
        <v>#DIV/0!</v>
      </c>
      <c r="O50" s="1129" t="e">
        <f ca="1">INDEX(chronic_intake_assessment!$C$11:$C$390,MATCH($N50,OFFSET(chronic_intake_assessment!$B$11,0,MATCH($C50,chronic_intake_assessment!$C$11:$AY$11,0),(390-11+1),1),0))</f>
        <v>#DIV/0!</v>
      </c>
      <c r="P50" s="1153" t="e">
        <f>INDEX(chronic_intake_assessment!$J$1593:$AY$1596,4,MATCH(Supplementing_results_chronic!B50,chronic_intake_assessment!$J$1593:$AY$1593,0))</f>
        <v>#DIV/0!</v>
      </c>
      <c r="Q50" s="1155"/>
    </row>
    <row r="51" spans="1:17" ht="12.75" customHeight="1" x14ac:dyDescent="0.2">
      <c r="A51" s="1636"/>
      <c r="B51" s="600" t="e">
        <f>LARGE(chronic_intake_assessment!$J$5:$AY$5,ROW()-ROW($B$32))</f>
        <v>#DIV/0!</v>
      </c>
      <c r="C51" s="1542" t="e">
        <f ca="1">OFFSET(chronic_intake_assessment!$I$1,0,MATCH(B51,chronic_intake_assessment!$J$5:$AY$5,0))</f>
        <v>#DIV/0!</v>
      </c>
      <c r="D51" s="1543"/>
      <c r="E51" s="616" t="e">
        <f ca="1">HLOOKUP(C51,chronic_intake_assessment!$J$1:$AY$4,4,FALSE)</f>
        <v>#DIV/0!</v>
      </c>
      <c r="F51" s="619" t="e">
        <f ca="1">LARGE(OFFSET(chronic_intake_assessment!$B$11,1,MATCH($C51,chronic_intake_assessment!$C$11:$AY$11,0),(390-12+1),1),1)</f>
        <v>#DIV/0!</v>
      </c>
      <c r="G51" s="1546" t="e">
        <f ca="1">INDEX(chronic_intake_assessment!$C$11:$C$390,MATCH($F51,OFFSET(chronic_intake_assessment!$B$11,0,MATCH($C51,chronic_intake_assessment!$C$11:$AY$11,0),(390-11+1),1),0))</f>
        <v>#DIV/0!</v>
      </c>
      <c r="H51" s="1545"/>
      <c r="I51" s="211"/>
      <c r="J51" s="619" t="e">
        <f ca="1">LARGE(OFFSET(chronic_intake_assessment!$B$11,1,MATCH($C51,chronic_intake_assessment!$C$11:$AY$11,0),(390-12+1),1),2)</f>
        <v>#DIV/0!</v>
      </c>
      <c r="K51" s="1544" t="e">
        <f ca="1">INDEX(chronic_intake_assessment!$C$11:$C$390,MATCH($J51,OFFSET(chronic_intake_assessment!$B$11,0,MATCH($C51,chronic_intake_assessment!$C$11:$AY$11,0),(390-11+1),1),0))</f>
        <v>#DIV/0!</v>
      </c>
      <c r="L51" s="1545"/>
      <c r="M51" s="211"/>
      <c r="N51" s="622" t="e">
        <f ca="1">LARGE(OFFSET(chronic_intake_assessment!$B$11,1,MATCH($C51,chronic_intake_assessment!$C$11:$AY$11,0),(390-12+1),1),3)</f>
        <v>#DIV/0!</v>
      </c>
      <c r="O51" s="1129" t="e">
        <f ca="1">INDEX(chronic_intake_assessment!$C$11:$C$390,MATCH($N51,OFFSET(chronic_intake_assessment!$B$11,0,MATCH($C51,chronic_intake_assessment!$C$11:$AY$11,0),(390-11+1),1),0))</f>
        <v>#DIV/0!</v>
      </c>
      <c r="P51" s="1153" t="e">
        <f>INDEX(chronic_intake_assessment!$J$1593:$AY$1596,4,MATCH(Supplementing_results_chronic!B51,chronic_intake_assessment!$J$1593:$AY$1593,0))</f>
        <v>#DIV/0!</v>
      </c>
      <c r="Q51" s="1155"/>
    </row>
    <row r="52" spans="1:17" ht="12.75" customHeight="1" x14ac:dyDescent="0.2">
      <c r="A52" s="1636"/>
      <c r="B52" s="600" t="e">
        <f>LARGE(chronic_intake_assessment!$J$5:$AY$5,ROW()-ROW($B$32))</f>
        <v>#DIV/0!</v>
      </c>
      <c r="C52" s="1542" t="e">
        <f ca="1">OFFSET(chronic_intake_assessment!$I$1,0,MATCH(B52,chronic_intake_assessment!$J$5:$AY$5,0))</f>
        <v>#DIV/0!</v>
      </c>
      <c r="D52" s="1543"/>
      <c r="E52" s="616" t="e">
        <f ca="1">HLOOKUP(C52,chronic_intake_assessment!$J$1:$AY$4,4,FALSE)</f>
        <v>#DIV/0!</v>
      </c>
      <c r="F52" s="619" t="e">
        <f ca="1">LARGE(OFFSET(chronic_intake_assessment!$B$11,1,MATCH($C52,chronic_intake_assessment!$C$11:$AY$11,0),(390-12+1),1),1)</f>
        <v>#DIV/0!</v>
      </c>
      <c r="G52" s="1546" t="e">
        <f ca="1">INDEX(chronic_intake_assessment!$C$11:$C$390,MATCH($F52,OFFSET(chronic_intake_assessment!$B$11,0,MATCH($C52,chronic_intake_assessment!$C$11:$AY$11,0),(390-11+1),1),0))</f>
        <v>#DIV/0!</v>
      </c>
      <c r="H52" s="1545"/>
      <c r="I52" s="211"/>
      <c r="J52" s="619" t="e">
        <f ca="1">LARGE(OFFSET(chronic_intake_assessment!$B$11,1,MATCH($C52,chronic_intake_assessment!$C$11:$AY$11,0),(390-12+1),1),2)</f>
        <v>#DIV/0!</v>
      </c>
      <c r="K52" s="1544" t="e">
        <f ca="1">INDEX(chronic_intake_assessment!$C$11:$C$390,MATCH($J52,OFFSET(chronic_intake_assessment!$B$11,0,MATCH($C52,chronic_intake_assessment!$C$11:$AY$11,0),(390-11+1),1),0))</f>
        <v>#DIV/0!</v>
      </c>
      <c r="L52" s="1545"/>
      <c r="M52" s="211"/>
      <c r="N52" s="622" t="e">
        <f ca="1">LARGE(OFFSET(chronic_intake_assessment!$B$11,1,MATCH($C52,chronic_intake_assessment!$C$11:$AY$11,0),(390-12+1),1),3)</f>
        <v>#DIV/0!</v>
      </c>
      <c r="O52" s="1129" t="e">
        <f ca="1">INDEX(chronic_intake_assessment!$C$11:$C$390,MATCH($N52,OFFSET(chronic_intake_assessment!$B$11,0,MATCH($C52,chronic_intake_assessment!$C$11:$AY$11,0),(390-11+1),1),0))</f>
        <v>#DIV/0!</v>
      </c>
      <c r="P52" s="1153" t="e">
        <f>INDEX(chronic_intake_assessment!$J$1593:$AY$1596,4,MATCH(Supplementing_results_chronic!B52,chronic_intake_assessment!$J$1593:$AY$1593,0))</f>
        <v>#DIV/0!</v>
      </c>
      <c r="Q52" s="1155"/>
    </row>
    <row r="53" spans="1:17" ht="12.75" customHeight="1" x14ac:dyDescent="0.2">
      <c r="A53" s="1636"/>
      <c r="B53" s="600" t="e">
        <f>LARGE(chronic_intake_assessment!$J$5:$AY$5,ROW()-ROW($B$32))</f>
        <v>#DIV/0!</v>
      </c>
      <c r="C53" s="1542" t="e">
        <f ca="1">OFFSET(chronic_intake_assessment!$I$1,0,MATCH(B53,chronic_intake_assessment!$J$5:$AY$5,0))</f>
        <v>#DIV/0!</v>
      </c>
      <c r="D53" s="1543"/>
      <c r="E53" s="616" t="e">
        <f ca="1">HLOOKUP(C53,chronic_intake_assessment!$J$1:$AY$4,4,FALSE)</f>
        <v>#DIV/0!</v>
      </c>
      <c r="F53" s="619" t="e">
        <f ca="1">LARGE(OFFSET(chronic_intake_assessment!$B$11,1,MATCH($C53,chronic_intake_assessment!$C$11:$AY$11,0),(390-12+1),1),1)</f>
        <v>#DIV/0!</v>
      </c>
      <c r="G53" s="1546" t="e">
        <f ca="1">INDEX(chronic_intake_assessment!$C$11:$C$390,MATCH($F53,OFFSET(chronic_intake_assessment!$B$11,0,MATCH($C53,chronic_intake_assessment!$C$11:$AY$11,0),(390-11+1),1),0))</f>
        <v>#DIV/0!</v>
      </c>
      <c r="H53" s="1545"/>
      <c r="I53" s="211"/>
      <c r="J53" s="619" t="e">
        <f ca="1">LARGE(OFFSET(chronic_intake_assessment!$B$11,1,MATCH($C53,chronic_intake_assessment!$C$11:$AY$11,0),(390-12+1),1),2)</f>
        <v>#DIV/0!</v>
      </c>
      <c r="K53" s="1544" t="e">
        <f ca="1">INDEX(chronic_intake_assessment!$C$11:$C$390,MATCH($J53,OFFSET(chronic_intake_assessment!$B$11,0,MATCH($C53,chronic_intake_assessment!$C$11:$AY$11,0),(390-11+1),1),0))</f>
        <v>#DIV/0!</v>
      </c>
      <c r="L53" s="1545"/>
      <c r="M53" s="211"/>
      <c r="N53" s="622" t="e">
        <f ca="1">LARGE(OFFSET(chronic_intake_assessment!$B$11,1,MATCH($C53,chronic_intake_assessment!$C$11:$AY$11,0),(390-12+1),1),3)</f>
        <v>#DIV/0!</v>
      </c>
      <c r="O53" s="1129" t="e">
        <f ca="1">INDEX(chronic_intake_assessment!$C$11:$C$390,MATCH($N53,OFFSET(chronic_intake_assessment!$B$11,0,MATCH($C53,chronic_intake_assessment!$C$11:$AY$11,0),(390-11+1),1),0))</f>
        <v>#DIV/0!</v>
      </c>
      <c r="P53" s="1153" t="e">
        <f>INDEX(chronic_intake_assessment!$J$1593:$AY$1596,4,MATCH(Supplementing_results_chronic!B53,chronic_intake_assessment!$J$1593:$AY$1593,0))</f>
        <v>#DIV/0!</v>
      </c>
      <c r="Q53" s="1155"/>
    </row>
    <row r="54" spans="1:17" ht="12.75" customHeight="1" x14ac:dyDescent="0.2">
      <c r="A54" s="1636"/>
      <c r="B54" s="600" t="e">
        <f>LARGE(chronic_intake_assessment!$J$5:$AY$5,ROW()-ROW($B$32))</f>
        <v>#DIV/0!</v>
      </c>
      <c r="C54" s="1542" t="e">
        <f ca="1">OFFSET(chronic_intake_assessment!$I$1,0,MATCH(B54,chronic_intake_assessment!$J$5:$AY$5,0))</f>
        <v>#DIV/0!</v>
      </c>
      <c r="D54" s="1543"/>
      <c r="E54" s="616" t="e">
        <f ca="1">HLOOKUP(C54,chronic_intake_assessment!$J$1:$AY$4,4,FALSE)</f>
        <v>#DIV/0!</v>
      </c>
      <c r="F54" s="619" t="e">
        <f ca="1">LARGE(OFFSET(chronic_intake_assessment!$B$11,1,MATCH($C54,chronic_intake_assessment!$C$11:$AY$11,0),(390-12+1),1),1)</f>
        <v>#DIV/0!</v>
      </c>
      <c r="G54" s="1546" t="e">
        <f ca="1">INDEX(chronic_intake_assessment!$C$11:$C$390,MATCH($F54,OFFSET(chronic_intake_assessment!$B$11,0,MATCH($C54,chronic_intake_assessment!$C$11:$AY$11,0),(390-11+1),1),0))</f>
        <v>#DIV/0!</v>
      </c>
      <c r="H54" s="1545"/>
      <c r="I54" s="211"/>
      <c r="J54" s="619" t="e">
        <f ca="1">LARGE(OFFSET(chronic_intake_assessment!$B$11,1,MATCH($C54,chronic_intake_assessment!$C$11:$AY$11,0),(390-12+1),1),2)</f>
        <v>#DIV/0!</v>
      </c>
      <c r="K54" s="1544" t="e">
        <f ca="1">INDEX(chronic_intake_assessment!$C$11:$C$390,MATCH($J54,OFFSET(chronic_intake_assessment!$B$11,0,MATCH($C54,chronic_intake_assessment!$C$11:$AY$11,0),(390-11+1),1),0))</f>
        <v>#DIV/0!</v>
      </c>
      <c r="L54" s="1545"/>
      <c r="M54" s="211"/>
      <c r="N54" s="622" t="e">
        <f ca="1">LARGE(OFFSET(chronic_intake_assessment!$B$11,1,MATCH($C54,chronic_intake_assessment!$C$11:$AY$11,0),(390-12+1),1),3)</f>
        <v>#DIV/0!</v>
      </c>
      <c r="O54" s="1129" t="e">
        <f ca="1">INDEX(chronic_intake_assessment!$C$11:$C$390,MATCH($N54,OFFSET(chronic_intake_assessment!$B$11,0,MATCH($C54,chronic_intake_assessment!$C$11:$AY$11,0),(390-11+1),1),0))</f>
        <v>#DIV/0!</v>
      </c>
      <c r="P54" s="1153" t="e">
        <f>INDEX(chronic_intake_assessment!$J$1593:$AY$1596,4,MATCH(Supplementing_results_chronic!B54,chronic_intake_assessment!$J$1593:$AY$1593,0))</f>
        <v>#DIV/0!</v>
      </c>
      <c r="Q54" s="1155"/>
    </row>
    <row r="55" spans="1:17" ht="12.75" customHeight="1" x14ac:dyDescent="0.2">
      <c r="A55" s="1636"/>
      <c r="B55" s="600" t="e">
        <f>LARGE(chronic_intake_assessment!$J$5:$AY$5,ROW()-ROW($B$32))</f>
        <v>#DIV/0!</v>
      </c>
      <c r="C55" s="1542" t="e">
        <f ca="1">OFFSET(chronic_intake_assessment!$I$1,0,MATCH(B55,chronic_intake_assessment!$J$5:$AY$5,0))</f>
        <v>#DIV/0!</v>
      </c>
      <c r="D55" s="1543"/>
      <c r="E55" s="616" t="e">
        <f ca="1">HLOOKUP(C55,chronic_intake_assessment!$J$1:$AY$4,4,FALSE)</f>
        <v>#DIV/0!</v>
      </c>
      <c r="F55" s="619" t="e">
        <f ca="1">LARGE(OFFSET(chronic_intake_assessment!$B$11,1,MATCH($C55,chronic_intake_assessment!$C$11:$AY$11,0),(390-12+1),1),1)</f>
        <v>#DIV/0!</v>
      </c>
      <c r="G55" s="1546" t="e">
        <f ca="1">INDEX(chronic_intake_assessment!$C$11:$C$390,MATCH($F55,OFFSET(chronic_intake_assessment!$B$11,0,MATCH($C55,chronic_intake_assessment!$C$11:$AY$11,0),(390-11+1),1),0))</f>
        <v>#DIV/0!</v>
      </c>
      <c r="H55" s="1545"/>
      <c r="I55" s="211"/>
      <c r="J55" s="619" t="e">
        <f ca="1">LARGE(OFFSET(chronic_intake_assessment!$B$11,1,MATCH($C55,chronic_intake_assessment!$C$11:$AY$11,0),(390-12+1),1),2)</f>
        <v>#DIV/0!</v>
      </c>
      <c r="K55" s="1544" t="e">
        <f ca="1">INDEX(chronic_intake_assessment!$C$11:$C$390,MATCH($J55,OFFSET(chronic_intake_assessment!$B$11,0,MATCH($C55,chronic_intake_assessment!$C$11:$AY$11,0),(390-11+1),1),0))</f>
        <v>#DIV/0!</v>
      </c>
      <c r="L55" s="1545"/>
      <c r="M55" s="211"/>
      <c r="N55" s="622" t="e">
        <f ca="1">LARGE(OFFSET(chronic_intake_assessment!$B$11,1,MATCH($C55,chronic_intake_assessment!$C$11:$AY$11,0),(390-12+1),1),3)</f>
        <v>#DIV/0!</v>
      </c>
      <c r="O55" s="1129" t="e">
        <f ca="1">INDEX(chronic_intake_assessment!$C$11:$C$390,MATCH($N55,OFFSET(chronic_intake_assessment!$B$11,0,MATCH($C55,chronic_intake_assessment!$C$11:$AY$11,0),(390-11+1),1),0))</f>
        <v>#DIV/0!</v>
      </c>
      <c r="P55" s="1153" t="e">
        <f>INDEX(chronic_intake_assessment!$J$1593:$AY$1596,4,MATCH(Supplementing_results_chronic!B55,chronic_intake_assessment!$J$1593:$AY$1593,0))</f>
        <v>#DIV/0!</v>
      </c>
      <c r="Q55" s="1155"/>
    </row>
    <row r="56" spans="1:17" ht="12.75" customHeight="1" x14ac:dyDescent="0.2">
      <c r="A56" s="1636"/>
      <c r="B56" s="600" t="e">
        <f>LARGE(chronic_intake_assessment!$J$5:$AY$5,ROW()-ROW($B$32))</f>
        <v>#DIV/0!</v>
      </c>
      <c r="C56" s="1542" t="e">
        <f ca="1">OFFSET(chronic_intake_assessment!$I$1,0,MATCH(B56,chronic_intake_assessment!$J$5:$AY$5,0))</f>
        <v>#DIV/0!</v>
      </c>
      <c r="D56" s="1543"/>
      <c r="E56" s="616" t="e">
        <f ca="1">HLOOKUP(C56,chronic_intake_assessment!$J$1:$AY$4,4,FALSE)</f>
        <v>#DIV/0!</v>
      </c>
      <c r="F56" s="619" t="e">
        <f ca="1">LARGE(OFFSET(chronic_intake_assessment!$B$11,1,MATCH($C56,chronic_intake_assessment!$C$11:$AY$11,0),(390-12+1),1),1)</f>
        <v>#DIV/0!</v>
      </c>
      <c r="G56" s="1546" t="e">
        <f ca="1">INDEX(chronic_intake_assessment!$C$11:$C$390,MATCH($F56,OFFSET(chronic_intake_assessment!$B$11,0,MATCH($C56,chronic_intake_assessment!$C$11:$AY$11,0),(390-11+1),1),0))</f>
        <v>#DIV/0!</v>
      </c>
      <c r="H56" s="1545"/>
      <c r="I56" s="211"/>
      <c r="J56" s="619" t="e">
        <f ca="1">LARGE(OFFSET(chronic_intake_assessment!$B$11,1,MATCH($C56,chronic_intake_assessment!$C$11:$AY$11,0),(390-12+1),1),2)</f>
        <v>#DIV/0!</v>
      </c>
      <c r="K56" s="1544" t="e">
        <f ca="1">INDEX(chronic_intake_assessment!$C$11:$C$390,MATCH($J56,OFFSET(chronic_intake_assessment!$B$11,0,MATCH($C56,chronic_intake_assessment!$C$11:$AY$11,0),(390-11+1),1),0))</f>
        <v>#DIV/0!</v>
      </c>
      <c r="L56" s="1545"/>
      <c r="M56" s="211"/>
      <c r="N56" s="622" t="e">
        <f ca="1">LARGE(OFFSET(chronic_intake_assessment!$B$11,1,MATCH($C56,chronic_intake_assessment!$C$11:$AY$11,0),(390-12+1),1),3)</f>
        <v>#DIV/0!</v>
      </c>
      <c r="O56" s="1129" t="e">
        <f ca="1">INDEX(chronic_intake_assessment!$C$11:$C$390,MATCH($N56,OFFSET(chronic_intake_assessment!$B$11,0,MATCH($C56,chronic_intake_assessment!$C$11:$AY$11,0),(390-11+1),1),0))</f>
        <v>#DIV/0!</v>
      </c>
      <c r="P56" s="1153" t="e">
        <f>INDEX(chronic_intake_assessment!$J$1593:$AY$1596,4,MATCH(Supplementing_results_chronic!B56,chronic_intake_assessment!$J$1593:$AY$1593,0))</f>
        <v>#DIV/0!</v>
      </c>
      <c r="Q56" s="1155"/>
    </row>
    <row r="57" spans="1:17" ht="12.75" customHeight="1" x14ac:dyDescent="0.2">
      <c r="A57" s="1636"/>
      <c r="B57" s="600" t="e">
        <f>LARGE(chronic_intake_assessment!$J$5:$AY$5,ROW()-ROW($B$32))</f>
        <v>#DIV/0!</v>
      </c>
      <c r="C57" s="1542" t="e">
        <f ca="1">OFFSET(chronic_intake_assessment!$I$1,0,MATCH(B57,chronic_intake_assessment!$J$5:$AY$5,0))</f>
        <v>#DIV/0!</v>
      </c>
      <c r="D57" s="1543"/>
      <c r="E57" s="616" t="e">
        <f ca="1">HLOOKUP(C57,chronic_intake_assessment!$J$1:$AY$4,4,FALSE)</f>
        <v>#DIV/0!</v>
      </c>
      <c r="F57" s="619" t="e">
        <f ca="1">LARGE(OFFSET(chronic_intake_assessment!$B$11,1,MATCH($C57,chronic_intake_assessment!$C$11:$AY$11,0),(390-12+1),1),1)</f>
        <v>#DIV/0!</v>
      </c>
      <c r="G57" s="1546" t="e">
        <f ca="1">INDEX(chronic_intake_assessment!$C$11:$C$390,MATCH($F57,OFFSET(chronic_intake_assessment!$B$11,0,MATCH($C57,chronic_intake_assessment!$C$11:$AY$11,0),(390-11+1),1),0))</f>
        <v>#DIV/0!</v>
      </c>
      <c r="H57" s="1545"/>
      <c r="I57" s="211"/>
      <c r="J57" s="619" t="e">
        <f ca="1">LARGE(OFFSET(chronic_intake_assessment!$B$11,1,MATCH($C57,chronic_intake_assessment!$C$11:$AY$11,0),(390-12+1),1),2)</f>
        <v>#DIV/0!</v>
      </c>
      <c r="K57" s="1544" t="e">
        <f ca="1">INDEX(chronic_intake_assessment!$C$11:$C$390,MATCH($J57,OFFSET(chronic_intake_assessment!$B$11,0,MATCH($C57,chronic_intake_assessment!$C$11:$AY$11,0),(390-11+1),1),0))</f>
        <v>#DIV/0!</v>
      </c>
      <c r="L57" s="1545"/>
      <c r="M57" s="211"/>
      <c r="N57" s="622" t="e">
        <f ca="1">LARGE(OFFSET(chronic_intake_assessment!$B$11,1,MATCH($C57,chronic_intake_assessment!$C$11:$AY$11,0),(390-12+1),1),3)</f>
        <v>#DIV/0!</v>
      </c>
      <c r="O57" s="1129" t="e">
        <f ca="1">INDEX(chronic_intake_assessment!$C$11:$C$390,MATCH($N57,OFFSET(chronic_intake_assessment!$B$11,0,MATCH($C57,chronic_intake_assessment!$C$11:$AY$11,0),(390-11+1),1),0))</f>
        <v>#DIV/0!</v>
      </c>
      <c r="P57" s="1153" t="e">
        <f>INDEX(chronic_intake_assessment!$J$1593:$AY$1596,4,MATCH(Supplementing_results_chronic!B57,chronic_intake_assessment!$J$1593:$AY$1593,0))</f>
        <v>#DIV/0!</v>
      </c>
      <c r="Q57" s="1155"/>
    </row>
    <row r="58" spans="1:17" ht="12.75" customHeight="1" x14ac:dyDescent="0.2">
      <c r="A58" s="1636"/>
      <c r="B58" s="600" t="e">
        <f>LARGE(chronic_intake_assessment!$J$5:$AY$5,ROW()-ROW($B$32))</f>
        <v>#DIV/0!</v>
      </c>
      <c r="C58" s="1542" t="e">
        <f ca="1">OFFSET(chronic_intake_assessment!$I$1,0,MATCH(B58,chronic_intake_assessment!$J$5:$AY$5,0))</f>
        <v>#DIV/0!</v>
      </c>
      <c r="D58" s="1543"/>
      <c r="E58" s="616" t="e">
        <f ca="1">HLOOKUP(C58,chronic_intake_assessment!$J$1:$AY$4,4,FALSE)</f>
        <v>#DIV/0!</v>
      </c>
      <c r="F58" s="619" t="e">
        <f ca="1">LARGE(OFFSET(chronic_intake_assessment!$B$11,1,MATCH($C58,chronic_intake_assessment!$C$11:$AY$11,0),(390-12+1),1),1)</f>
        <v>#DIV/0!</v>
      </c>
      <c r="G58" s="1546" t="e">
        <f ca="1">INDEX(chronic_intake_assessment!$C$11:$C$390,MATCH($F58,OFFSET(chronic_intake_assessment!$B$11,0,MATCH($C58,chronic_intake_assessment!$C$11:$AY$11,0),(390-11+1),1),0))</f>
        <v>#DIV/0!</v>
      </c>
      <c r="H58" s="1545"/>
      <c r="I58" s="211"/>
      <c r="J58" s="619" t="e">
        <f ca="1">LARGE(OFFSET(chronic_intake_assessment!$B$11,1,MATCH($C58,chronic_intake_assessment!$C$11:$AY$11,0),(390-12+1),1),2)</f>
        <v>#DIV/0!</v>
      </c>
      <c r="K58" s="1544" t="e">
        <f ca="1">INDEX(chronic_intake_assessment!$C$11:$C$390,MATCH($J58,OFFSET(chronic_intake_assessment!$B$11,0,MATCH($C58,chronic_intake_assessment!$C$11:$AY$11,0),(390-11+1),1),0))</f>
        <v>#DIV/0!</v>
      </c>
      <c r="L58" s="1545"/>
      <c r="M58" s="211"/>
      <c r="N58" s="622" t="e">
        <f ca="1">LARGE(OFFSET(chronic_intake_assessment!$B$11,1,MATCH($C58,chronic_intake_assessment!$C$11:$AY$11,0),(390-12+1),1),3)</f>
        <v>#DIV/0!</v>
      </c>
      <c r="O58" s="1129" t="e">
        <f ca="1">INDEX(chronic_intake_assessment!$C$11:$C$390,MATCH($N58,OFFSET(chronic_intake_assessment!$B$11,0,MATCH($C58,chronic_intake_assessment!$C$11:$AY$11,0),(390-11+1),1),0))</f>
        <v>#DIV/0!</v>
      </c>
      <c r="P58" s="1153" t="e">
        <f>INDEX(chronic_intake_assessment!$J$1593:$AY$1596,4,MATCH(Supplementing_results_chronic!B58,chronic_intake_assessment!$J$1593:$AY$1593,0))</f>
        <v>#DIV/0!</v>
      </c>
      <c r="Q58" s="1155"/>
    </row>
    <row r="59" spans="1:17" ht="12.75" customHeight="1" x14ac:dyDescent="0.2">
      <c r="A59" s="1636"/>
      <c r="B59" s="600" t="e">
        <f>LARGE(chronic_intake_assessment!$J$5:$AY$5,ROW()-ROW($B$32))</f>
        <v>#DIV/0!</v>
      </c>
      <c r="C59" s="1542" t="e">
        <f ca="1">OFFSET(chronic_intake_assessment!$I$1,0,MATCH(B59,chronic_intake_assessment!$J$5:$AY$5,0))</f>
        <v>#DIV/0!</v>
      </c>
      <c r="D59" s="1543"/>
      <c r="E59" s="616" t="e">
        <f ca="1">HLOOKUP(C59,chronic_intake_assessment!$J$1:$AY$4,4,FALSE)</f>
        <v>#DIV/0!</v>
      </c>
      <c r="F59" s="619" t="e">
        <f ca="1">LARGE(OFFSET(chronic_intake_assessment!$B$11,1,MATCH($C59,chronic_intake_assessment!$C$11:$AY$11,0),(390-12+1),1),1)</f>
        <v>#DIV/0!</v>
      </c>
      <c r="G59" s="1546" t="e">
        <f ca="1">INDEX(chronic_intake_assessment!$C$11:$C$390,MATCH($F59,OFFSET(chronic_intake_assessment!$B$11,0,MATCH($C59,chronic_intake_assessment!$C$11:$AY$11,0),(390-11+1),1),0))</f>
        <v>#DIV/0!</v>
      </c>
      <c r="H59" s="1545"/>
      <c r="I59" s="211"/>
      <c r="J59" s="619" t="e">
        <f ca="1">LARGE(OFFSET(chronic_intake_assessment!$B$11,1,MATCH($C59,chronic_intake_assessment!$C$11:$AY$11,0),(390-12+1),1),2)</f>
        <v>#DIV/0!</v>
      </c>
      <c r="K59" s="1544" t="e">
        <f ca="1">INDEX(chronic_intake_assessment!$C$11:$C$390,MATCH($J59,OFFSET(chronic_intake_assessment!$B$11,0,MATCH($C59,chronic_intake_assessment!$C$11:$AY$11,0),(390-11+1),1),0))</f>
        <v>#DIV/0!</v>
      </c>
      <c r="L59" s="1545"/>
      <c r="M59" s="211"/>
      <c r="N59" s="622" t="e">
        <f ca="1">LARGE(OFFSET(chronic_intake_assessment!$B$11,1,MATCH($C59,chronic_intake_assessment!$C$11:$AY$11,0),(390-12+1),1),3)</f>
        <v>#DIV/0!</v>
      </c>
      <c r="O59" s="1129" t="e">
        <f ca="1">INDEX(chronic_intake_assessment!$C$11:$C$390,MATCH($N59,OFFSET(chronic_intake_assessment!$B$11,0,MATCH($C59,chronic_intake_assessment!$C$11:$AY$11,0),(390-11+1),1),0))</f>
        <v>#DIV/0!</v>
      </c>
      <c r="P59" s="1153" t="e">
        <f>INDEX(chronic_intake_assessment!$J$1593:$AY$1596,4,MATCH(Supplementing_results_chronic!B59,chronic_intake_assessment!$J$1593:$AY$1593,0))</f>
        <v>#DIV/0!</v>
      </c>
      <c r="Q59" s="1155"/>
    </row>
    <row r="60" spans="1:17" ht="12.75" customHeight="1" x14ac:dyDescent="0.2">
      <c r="A60" s="1636"/>
      <c r="B60" s="600" t="e">
        <f>LARGE(chronic_intake_assessment!$J$5:$AY$5,ROW()-ROW($B$32))</f>
        <v>#DIV/0!</v>
      </c>
      <c r="C60" s="1542" t="e">
        <f ca="1">OFFSET(chronic_intake_assessment!$I$1,0,MATCH(B60,chronic_intake_assessment!$J$5:$AY$5,0))</f>
        <v>#DIV/0!</v>
      </c>
      <c r="D60" s="1543"/>
      <c r="E60" s="616" t="e">
        <f ca="1">HLOOKUP(C60,chronic_intake_assessment!$J$1:$AY$4,4,FALSE)</f>
        <v>#DIV/0!</v>
      </c>
      <c r="F60" s="619" t="e">
        <f ca="1">LARGE(OFFSET(chronic_intake_assessment!$B$11,1,MATCH($C60,chronic_intake_assessment!$C$11:$AY$11,0),(390-12+1),1),1)</f>
        <v>#DIV/0!</v>
      </c>
      <c r="G60" s="1546" t="e">
        <f ca="1">INDEX(chronic_intake_assessment!$C$11:$C$390,MATCH($F60,OFFSET(chronic_intake_assessment!$B$11,0,MATCH($C60,chronic_intake_assessment!$C$11:$AY$11,0),(390-11+1),1),0))</f>
        <v>#DIV/0!</v>
      </c>
      <c r="H60" s="1545"/>
      <c r="I60" s="211"/>
      <c r="J60" s="619" t="e">
        <f ca="1">LARGE(OFFSET(chronic_intake_assessment!$B$11,1,MATCH($C60,chronic_intake_assessment!$C$11:$AY$11,0),(390-12+1),1),2)</f>
        <v>#DIV/0!</v>
      </c>
      <c r="K60" s="1544" t="e">
        <f ca="1">INDEX(chronic_intake_assessment!$C$11:$C$390,MATCH($J60,OFFSET(chronic_intake_assessment!$B$11,0,MATCH($C60,chronic_intake_assessment!$C$11:$AY$11,0),(390-11+1),1),0))</f>
        <v>#DIV/0!</v>
      </c>
      <c r="L60" s="1545"/>
      <c r="M60" s="211"/>
      <c r="N60" s="622" t="e">
        <f ca="1">LARGE(OFFSET(chronic_intake_assessment!$B$11,1,MATCH($C60,chronic_intake_assessment!$C$11:$AY$11,0),(390-12+1),1),3)</f>
        <v>#DIV/0!</v>
      </c>
      <c r="O60" s="1129" t="e">
        <f ca="1">INDEX(chronic_intake_assessment!$C$11:$C$390,MATCH($N60,OFFSET(chronic_intake_assessment!$B$11,0,MATCH($C60,chronic_intake_assessment!$C$11:$AY$11,0),(390-11+1),1),0))</f>
        <v>#DIV/0!</v>
      </c>
      <c r="P60" s="1153" t="e">
        <f>INDEX(chronic_intake_assessment!$J$1593:$AY$1596,4,MATCH(Supplementing_results_chronic!B60,chronic_intake_assessment!$J$1593:$AY$1593,0))</f>
        <v>#DIV/0!</v>
      </c>
      <c r="Q60" s="1155"/>
    </row>
    <row r="61" spans="1:17" ht="12.75" customHeight="1" x14ac:dyDescent="0.2">
      <c r="A61" s="1636"/>
      <c r="B61" s="600" t="e">
        <f>LARGE(chronic_intake_assessment!$J$5:$AY$5,ROW()-ROW($B$32))</f>
        <v>#DIV/0!</v>
      </c>
      <c r="C61" s="1542" t="e">
        <f ca="1">OFFSET(chronic_intake_assessment!$I$1,0,MATCH(B61,chronic_intake_assessment!$J$5:$AY$5,0))</f>
        <v>#DIV/0!</v>
      </c>
      <c r="D61" s="1543"/>
      <c r="E61" s="616" t="e">
        <f ca="1">HLOOKUP(C61,chronic_intake_assessment!$J$1:$AY$4,4,FALSE)</f>
        <v>#DIV/0!</v>
      </c>
      <c r="F61" s="619" t="e">
        <f ca="1">LARGE(OFFSET(chronic_intake_assessment!$B$11,1,MATCH($C61,chronic_intake_assessment!$C$11:$AY$11,0),(390-12+1),1),1)</f>
        <v>#DIV/0!</v>
      </c>
      <c r="G61" s="1546" t="e">
        <f ca="1">INDEX(chronic_intake_assessment!$C$11:$C$390,MATCH($F61,OFFSET(chronic_intake_assessment!$B$11,0,MATCH($C61,chronic_intake_assessment!$C$11:$AY$11,0),(390-11+1),1),0))</f>
        <v>#DIV/0!</v>
      </c>
      <c r="H61" s="1545"/>
      <c r="I61" s="211"/>
      <c r="J61" s="619" t="e">
        <f ca="1">LARGE(OFFSET(chronic_intake_assessment!$B$11,1,MATCH($C61,chronic_intake_assessment!$C$11:$AY$11,0),(390-12+1),1),2)</f>
        <v>#DIV/0!</v>
      </c>
      <c r="K61" s="1544" t="e">
        <f ca="1">INDEX(chronic_intake_assessment!$C$11:$C$390,MATCH($J61,OFFSET(chronic_intake_assessment!$B$11,0,MATCH($C61,chronic_intake_assessment!$C$11:$AY$11,0),(390-11+1),1),0))</f>
        <v>#DIV/0!</v>
      </c>
      <c r="L61" s="1545"/>
      <c r="M61" s="211"/>
      <c r="N61" s="622" t="e">
        <f ca="1">LARGE(OFFSET(chronic_intake_assessment!$B$11,1,MATCH($C61,chronic_intake_assessment!$C$11:$AY$11,0),(390-12+1),1),3)</f>
        <v>#DIV/0!</v>
      </c>
      <c r="O61" s="1129" t="e">
        <f ca="1">INDEX(chronic_intake_assessment!$C$11:$C$390,MATCH($N61,OFFSET(chronic_intake_assessment!$B$11,0,MATCH($C61,chronic_intake_assessment!$C$11:$AY$11,0),(390-11+1),1),0))</f>
        <v>#DIV/0!</v>
      </c>
      <c r="P61" s="1153" t="e">
        <f>INDEX(chronic_intake_assessment!$J$1593:$AY$1596,4,MATCH(Supplementing_results_chronic!B61,chronic_intake_assessment!$J$1593:$AY$1593,0))</f>
        <v>#DIV/0!</v>
      </c>
      <c r="Q61" s="1155"/>
    </row>
    <row r="62" spans="1:17" ht="12.75" customHeight="1" x14ac:dyDescent="0.2">
      <c r="A62" s="1636"/>
      <c r="B62" s="600" t="e">
        <f>LARGE(chronic_intake_assessment!$J$5:$AY$5,ROW()-ROW($B$32))</f>
        <v>#DIV/0!</v>
      </c>
      <c r="C62" s="1542" t="e">
        <f ca="1">OFFSET(chronic_intake_assessment!$I$1,0,MATCH(B62,chronic_intake_assessment!$J$5:$AY$5,0))</f>
        <v>#DIV/0!</v>
      </c>
      <c r="D62" s="1543"/>
      <c r="E62" s="616" t="e">
        <f ca="1">HLOOKUP(C62,chronic_intake_assessment!$J$1:$AY$4,4,FALSE)</f>
        <v>#DIV/0!</v>
      </c>
      <c r="F62" s="619" t="e">
        <f ca="1">LARGE(OFFSET(chronic_intake_assessment!$B$11,1,MATCH($C62,chronic_intake_assessment!$C$11:$AY$11,0),(390-12+1),1),1)</f>
        <v>#DIV/0!</v>
      </c>
      <c r="G62" s="1546" t="e">
        <f ca="1">INDEX(chronic_intake_assessment!$C$11:$C$390,MATCH($F62,OFFSET(chronic_intake_assessment!$B$11,0,MATCH($C62,chronic_intake_assessment!$C$11:$AY$11,0),(390-11+1),1),0))</f>
        <v>#DIV/0!</v>
      </c>
      <c r="H62" s="1545"/>
      <c r="I62" s="211"/>
      <c r="J62" s="619" t="e">
        <f ca="1">LARGE(OFFSET(chronic_intake_assessment!$B$11,1,MATCH($C62,chronic_intake_assessment!$C$11:$AY$11,0),(390-12+1),1),2)</f>
        <v>#DIV/0!</v>
      </c>
      <c r="K62" s="1544" t="e">
        <f ca="1">INDEX(chronic_intake_assessment!$C$11:$C$390,MATCH($J62,OFFSET(chronic_intake_assessment!$B$11,0,MATCH($C62,chronic_intake_assessment!$C$11:$AY$11,0),(390-11+1),1),0))</f>
        <v>#DIV/0!</v>
      </c>
      <c r="L62" s="1545"/>
      <c r="M62" s="211"/>
      <c r="N62" s="622" t="e">
        <f ca="1">LARGE(OFFSET(chronic_intake_assessment!$B$11,1,MATCH($C62,chronic_intake_assessment!$C$11:$AY$11,0),(390-12+1),1),3)</f>
        <v>#DIV/0!</v>
      </c>
      <c r="O62" s="1129" t="e">
        <f ca="1">INDEX(chronic_intake_assessment!$C$11:$C$390,MATCH($N62,OFFSET(chronic_intake_assessment!$B$11,0,MATCH($C62,chronic_intake_assessment!$C$11:$AY$11,0),(390-11+1),1),0))</f>
        <v>#DIV/0!</v>
      </c>
      <c r="P62" s="1153" t="e">
        <f>INDEX(chronic_intake_assessment!$J$1593:$AY$1596,4,MATCH(Supplementing_results_chronic!B62,chronic_intake_assessment!$J$1593:$AY$1593,0))</f>
        <v>#DIV/0!</v>
      </c>
      <c r="Q62" s="1155"/>
    </row>
    <row r="63" spans="1:17" ht="12.75" customHeight="1" x14ac:dyDescent="0.2">
      <c r="A63" s="1636"/>
      <c r="B63" s="600" t="e">
        <f>LARGE(chronic_intake_assessment!$J$5:$AY$5,ROW()-ROW($B$32))</f>
        <v>#DIV/0!</v>
      </c>
      <c r="C63" s="1542" t="e">
        <f ca="1">OFFSET(chronic_intake_assessment!$I$1,0,MATCH(B63,chronic_intake_assessment!$J$5:$AY$5,0))</f>
        <v>#DIV/0!</v>
      </c>
      <c r="D63" s="1543"/>
      <c r="E63" s="616" t="e">
        <f ca="1">HLOOKUP(C63,chronic_intake_assessment!$J$1:$AY$4,4,FALSE)</f>
        <v>#DIV/0!</v>
      </c>
      <c r="F63" s="619" t="e">
        <f ca="1">LARGE(OFFSET(chronic_intake_assessment!$B$11,1,MATCH($C63,chronic_intake_assessment!$C$11:$AY$11,0),(390-12+1),1),1)</f>
        <v>#DIV/0!</v>
      </c>
      <c r="G63" s="1546" t="e">
        <f ca="1">INDEX(chronic_intake_assessment!$C$11:$C$390,MATCH($F63,OFFSET(chronic_intake_assessment!$B$11,0,MATCH($C63,chronic_intake_assessment!$C$11:$AY$11,0),(390-11+1),1),0))</f>
        <v>#DIV/0!</v>
      </c>
      <c r="H63" s="1545"/>
      <c r="I63" s="211"/>
      <c r="J63" s="619" t="e">
        <f ca="1">LARGE(OFFSET(chronic_intake_assessment!$B$11,1,MATCH($C63,chronic_intake_assessment!$C$11:$AY$11,0),(390-12+1),1),2)</f>
        <v>#DIV/0!</v>
      </c>
      <c r="K63" s="1544" t="e">
        <f ca="1">INDEX(chronic_intake_assessment!$C$11:$C$390,MATCH($J63,OFFSET(chronic_intake_assessment!$B$11,0,MATCH($C63,chronic_intake_assessment!$C$11:$AY$11,0),(390-11+1),1),0))</f>
        <v>#DIV/0!</v>
      </c>
      <c r="L63" s="1545"/>
      <c r="M63" s="211"/>
      <c r="N63" s="622" t="e">
        <f ca="1">LARGE(OFFSET(chronic_intake_assessment!$B$11,1,MATCH($C63,chronic_intake_assessment!$C$11:$AY$11,0),(390-12+1),1),3)</f>
        <v>#DIV/0!</v>
      </c>
      <c r="O63" s="1129" t="e">
        <f ca="1">INDEX(chronic_intake_assessment!$C$11:$C$390,MATCH($N63,OFFSET(chronic_intake_assessment!$B$11,0,MATCH($C63,chronic_intake_assessment!$C$11:$AY$11,0),(390-11+1),1),0))</f>
        <v>#DIV/0!</v>
      </c>
      <c r="P63" s="1153" t="e">
        <f>INDEX(chronic_intake_assessment!$J$1593:$AY$1596,4,MATCH(Supplementing_results_chronic!B63,chronic_intake_assessment!$J$1593:$AY$1593,0))</f>
        <v>#DIV/0!</v>
      </c>
      <c r="Q63" s="1155"/>
    </row>
    <row r="64" spans="1:17" ht="12.75" customHeight="1" x14ac:dyDescent="0.2">
      <c r="A64" s="1636"/>
      <c r="B64" s="600" t="e">
        <f>LARGE(chronic_intake_assessment!$J$5:$AY$5,ROW()-ROW($B$32))</f>
        <v>#DIV/0!</v>
      </c>
      <c r="C64" s="1542" t="e">
        <f ca="1">OFFSET(chronic_intake_assessment!$I$1,0,MATCH(B64,chronic_intake_assessment!$J$5:$AY$5,0))</f>
        <v>#DIV/0!</v>
      </c>
      <c r="D64" s="1543"/>
      <c r="E64" s="616" t="e">
        <f ca="1">HLOOKUP(C64,chronic_intake_assessment!$J$1:$AY$4,4,FALSE)</f>
        <v>#DIV/0!</v>
      </c>
      <c r="F64" s="619" t="e">
        <f ca="1">LARGE(OFFSET(chronic_intake_assessment!$B$11,1,MATCH($C64,chronic_intake_assessment!$C$11:$AY$11,0),(390-12+1),1),1)</f>
        <v>#DIV/0!</v>
      </c>
      <c r="G64" s="1546" t="e">
        <f ca="1">INDEX(chronic_intake_assessment!$C$11:$C$390,MATCH($F64,OFFSET(chronic_intake_assessment!$B$11,0,MATCH($C64,chronic_intake_assessment!$C$11:$AY$11,0),(390-11+1),1),0))</f>
        <v>#DIV/0!</v>
      </c>
      <c r="H64" s="1545"/>
      <c r="I64" s="211"/>
      <c r="J64" s="619" t="e">
        <f ca="1">LARGE(OFFSET(chronic_intake_assessment!$B$11,1,MATCH($C64,chronic_intake_assessment!$C$11:$AY$11,0),(390-12+1),1),2)</f>
        <v>#DIV/0!</v>
      </c>
      <c r="K64" s="1544" t="e">
        <f ca="1">INDEX(chronic_intake_assessment!$C$11:$C$390,MATCH($J64,OFFSET(chronic_intake_assessment!$B$11,0,MATCH($C64,chronic_intake_assessment!$C$11:$AY$11,0),(390-11+1),1),0))</f>
        <v>#DIV/0!</v>
      </c>
      <c r="L64" s="1545"/>
      <c r="M64" s="211"/>
      <c r="N64" s="622" t="e">
        <f ca="1">LARGE(OFFSET(chronic_intake_assessment!$B$11,1,MATCH($C64,chronic_intake_assessment!$C$11:$AY$11,0),(390-12+1),1),3)</f>
        <v>#DIV/0!</v>
      </c>
      <c r="O64" s="1129" t="e">
        <f ca="1">INDEX(chronic_intake_assessment!$C$11:$C$390,MATCH($N64,OFFSET(chronic_intake_assessment!$B$11,0,MATCH($C64,chronic_intake_assessment!$C$11:$AY$11,0),(390-11+1),1),0))</f>
        <v>#DIV/0!</v>
      </c>
      <c r="P64" s="1153" t="e">
        <f>INDEX(chronic_intake_assessment!$J$1593:$AY$1596,4,MATCH(Supplementing_results_chronic!B64,chronic_intake_assessment!$J$1593:$AY$1593,0))</f>
        <v>#DIV/0!</v>
      </c>
      <c r="Q64" s="1155"/>
    </row>
    <row r="65" spans="1:23" ht="12" customHeight="1" x14ac:dyDescent="0.2">
      <c r="A65" s="1636"/>
      <c r="B65" s="600" t="e">
        <f>LARGE(chronic_intake_assessment!$J$5:$AY$5,ROW()-ROW($B$32))</f>
        <v>#DIV/0!</v>
      </c>
      <c r="C65" s="1542" t="e">
        <f ca="1">OFFSET(chronic_intake_assessment!$I$1,0,MATCH(B65,chronic_intake_assessment!$J$5:$AY$5,0))</f>
        <v>#DIV/0!</v>
      </c>
      <c r="D65" s="1543"/>
      <c r="E65" s="616" t="e">
        <f ca="1">HLOOKUP(C65,chronic_intake_assessment!$J$1:$AY$4,4,FALSE)</f>
        <v>#DIV/0!</v>
      </c>
      <c r="F65" s="619" t="e">
        <f ca="1">LARGE(OFFSET(chronic_intake_assessment!$B$11,1,MATCH($C65,chronic_intake_assessment!$C$11:$AY$11,0),(390-12+1),1),1)</f>
        <v>#DIV/0!</v>
      </c>
      <c r="G65" s="1546" t="e">
        <f ca="1">INDEX(chronic_intake_assessment!$C$11:$C$390,MATCH($F65,OFFSET(chronic_intake_assessment!$B$11,0,MATCH($C65,chronic_intake_assessment!$C$11:$AY$11,0),(390-11+1),1),0))</f>
        <v>#DIV/0!</v>
      </c>
      <c r="H65" s="1545"/>
      <c r="I65" s="211"/>
      <c r="J65" s="619" t="e">
        <f ca="1">LARGE(OFFSET(chronic_intake_assessment!$B$11,1,MATCH($C65,chronic_intake_assessment!$C$11:$AY$11,0),(390-12+1),1),2)</f>
        <v>#DIV/0!</v>
      </c>
      <c r="K65" s="1544" t="e">
        <f ca="1">INDEX(chronic_intake_assessment!$C$11:$C$390,MATCH($J65,OFFSET(chronic_intake_assessment!$B$11,0,MATCH($C65,chronic_intake_assessment!$C$11:$AY$11,0),(390-11+1),1),0))</f>
        <v>#DIV/0!</v>
      </c>
      <c r="L65" s="1545"/>
      <c r="M65" s="211"/>
      <c r="N65" s="622" t="e">
        <f ca="1">LARGE(OFFSET(chronic_intake_assessment!$B$11,1,MATCH($C65,chronic_intake_assessment!$C$11:$AY$11,0),(390-12+1),1),3)</f>
        <v>#DIV/0!</v>
      </c>
      <c r="O65" s="1129" t="e">
        <f ca="1">INDEX(chronic_intake_assessment!$C$11:$C$390,MATCH($N65,OFFSET(chronic_intake_assessment!$B$11,0,MATCH($C65,chronic_intake_assessment!$C$11:$AY$11,0),(390-11+1),1),0))</f>
        <v>#DIV/0!</v>
      </c>
      <c r="P65" s="1153" t="e">
        <f>INDEX(chronic_intake_assessment!$J$1593:$AY$1596,4,MATCH(Supplementing_results_chronic!B65,chronic_intake_assessment!$J$1593:$AY$1593,0))</f>
        <v>#DIV/0!</v>
      </c>
      <c r="Q65" s="1155"/>
    </row>
    <row r="66" spans="1:23" s="181" customFormat="1" ht="12" customHeight="1" x14ac:dyDescent="0.2">
      <c r="A66" s="1636"/>
      <c r="B66" s="600" t="e">
        <f>LARGE(chronic_intake_assessment!$J$5:$AY$5,ROW()-ROW($B$32))</f>
        <v>#DIV/0!</v>
      </c>
      <c r="C66" s="1542" t="e">
        <f ca="1">OFFSET(chronic_intake_assessment!$I$1,0,MATCH(B66,chronic_intake_assessment!$J$5:$AY$5,0))</f>
        <v>#DIV/0!</v>
      </c>
      <c r="D66" s="1543"/>
      <c r="E66" s="616" t="e">
        <f ca="1">HLOOKUP(C66,chronic_intake_assessment!$J$1:$AY$4,4,FALSE)</f>
        <v>#DIV/0!</v>
      </c>
      <c r="F66" s="619" t="e">
        <f ca="1">LARGE(OFFSET(chronic_intake_assessment!$B$11,1,MATCH($C66,chronic_intake_assessment!$C$11:$AY$11,0),(390-12+1),1),1)</f>
        <v>#DIV/0!</v>
      </c>
      <c r="G66" s="1546" t="e">
        <f ca="1">INDEX(chronic_intake_assessment!$C$11:$C$390,MATCH($F66,OFFSET(chronic_intake_assessment!$B$11,0,MATCH($C66,chronic_intake_assessment!$C$11:$AY$11,0),(390-11+1),1),0))</f>
        <v>#DIV/0!</v>
      </c>
      <c r="H66" s="1545"/>
      <c r="I66" s="211"/>
      <c r="J66" s="619" t="e">
        <f ca="1">LARGE(OFFSET(chronic_intake_assessment!$B$11,1,MATCH($C66,chronic_intake_assessment!$C$11:$AY$11,0),(390-12+1),1),2)</f>
        <v>#DIV/0!</v>
      </c>
      <c r="K66" s="1544" t="e">
        <f ca="1">INDEX(chronic_intake_assessment!$C$11:$C$390,MATCH($J66,OFFSET(chronic_intake_assessment!$B$11,0,MATCH($C66,chronic_intake_assessment!$C$11:$AY$11,0),(390-11+1),1),0))</f>
        <v>#DIV/0!</v>
      </c>
      <c r="L66" s="1545"/>
      <c r="M66" s="211"/>
      <c r="N66" s="622" t="e">
        <f ca="1">LARGE(OFFSET(chronic_intake_assessment!$B$11,1,MATCH($C66,chronic_intake_assessment!$C$11:$AY$11,0),(390-12+1),1),3)</f>
        <v>#DIV/0!</v>
      </c>
      <c r="O66" s="1129" t="e">
        <f ca="1">INDEX(chronic_intake_assessment!$C$11:$C$390,MATCH($N66,OFFSET(chronic_intake_assessment!$B$11,0,MATCH($C66,chronic_intake_assessment!$C$11:$AY$11,0),(390-11+1),1),0))</f>
        <v>#DIV/0!</v>
      </c>
      <c r="P66" s="1153" t="e">
        <f>INDEX(chronic_intake_assessment!$J$1593:$AY$1596,4,MATCH(Supplementing_results_chronic!B66,chronic_intake_assessment!$J$1593:$AY$1593,0))</f>
        <v>#DIV/0!</v>
      </c>
      <c r="Q66" s="1156"/>
      <c r="R66" s="29"/>
      <c r="T66" s="29"/>
      <c r="U66" s="29"/>
      <c r="V66" s="29"/>
      <c r="W66" s="29"/>
    </row>
    <row r="67" spans="1:23" s="181" customFormat="1" ht="12" customHeight="1" x14ac:dyDescent="0.2">
      <c r="A67" s="1636"/>
      <c r="B67" s="600" t="e">
        <f>LARGE(chronic_intake_assessment!$J$5:$AY$5,ROW()-ROW($B$32))</f>
        <v>#DIV/0!</v>
      </c>
      <c r="C67" s="1542" t="e">
        <f ca="1">OFFSET(chronic_intake_assessment!$I$1,0,MATCH(B67,chronic_intake_assessment!$J$5:$AY$5,0))</f>
        <v>#DIV/0!</v>
      </c>
      <c r="D67" s="1543"/>
      <c r="E67" s="616" t="e">
        <f ca="1">HLOOKUP(C67,chronic_intake_assessment!$J$1:$AY$4,4,FALSE)</f>
        <v>#DIV/0!</v>
      </c>
      <c r="F67" s="619" t="e">
        <f ca="1">LARGE(OFFSET(chronic_intake_assessment!$B$11,1,MATCH($C67,chronic_intake_assessment!$C$11:$AY$11,0),(390-12+1),1),1)</f>
        <v>#DIV/0!</v>
      </c>
      <c r="G67" s="1546" t="e">
        <f ca="1">INDEX(chronic_intake_assessment!$C$11:$C$390,MATCH($F67,OFFSET(chronic_intake_assessment!$B$11,0,MATCH($C67,chronic_intake_assessment!$C$11:$AY$11,0),(390-11+1),1),0))</f>
        <v>#DIV/0!</v>
      </c>
      <c r="H67" s="1545"/>
      <c r="I67" s="211"/>
      <c r="J67" s="619" t="e">
        <f ca="1">LARGE(OFFSET(chronic_intake_assessment!$B$11,1,MATCH($C67,chronic_intake_assessment!$C$11:$AY$11,0),(390-12+1),1),2)</f>
        <v>#DIV/0!</v>
      </c>
      <c r="K67" s="1544" t="e">
        <f ca="1">INDEX(chronic_intake_assessment!$C$11:$C$390,MATCH($J67,OFFSET(chronic_intake_assessment!$B$11,0,MATCH($C67,chronic_intake_assessment!$C$11:$AY$11,0),(390-11+1),1),0))</f>
        <v>#DIV/0!</v>
      </c>
      <c r="L67" s="1545"/>
      <c r="M67" s="211"/>
      <c r="N67" s="622" t="e">
        <f ca="1">LARGE(OFFSET(chronic_intake_assessment!$B$11,1,MATCH($C67,chronic_intake_assessment!$C$11:$AY$11,0),(390-12+1),1),3)</f>
        <v>#DIV/0!</v>
      </c>
      <c r="O67" s="1129" t="e">
        <f ca="1">INDEX(chronic_intake_assessment!$C$11:$C$390,MATCH($N67,OFFSET(chronic_intake_assessment!$B$11,0,MATCH($C67,chronic_intake_assessment!$C$11:$AY$11,0),(390-11+1),1),0))</f>
        <v>#DIV/0!</v>
      </c>
      <c r="P67" s="1153" t="e">
        <f>INDEX(chronic_intake_assessment!$J$1593:$AY$1596,4,MATCH(Supplementing_results_chronic!B67,chronic_intake_assessment!$J$1593:$AY$1593,0))</f>
        <v>#DIV/0!</v>
      </c>
      <c r="Q67" s="1156"/>
      <c r="R67" s="29"/>
      <c r="T67" s="29"/>
      <c r="U67" s="29"/>
      <c r="V67" s="29"/>
      <c r="W67" s="29"/>
    </row>
    <row r="68" spans="1:23" s="181" customFormat="1" ht="12" customHeight="1" x14ac:dyDescent="0.2">
      <c r="A68" s="1636"/>
      <c r="B68" s="600" t="e">
        <f>LARGE(chronic_intake_assessment!$J$5:$AY$5,ROW()-ROW($B$32))</f>
        <v>#DIV/0!</v>
      </c>
      <c r="C68" s="1542" t="e">
        <f ca="1">OFFSET(chronic_intake_assessment!$I$1,0,MATCH(B68,chronic_intake_assessment!$J$5:$AY$5,0))</f>
        <v>#DIV/0!</v>
      </c>
      <c r="D68" s="1543"/>
      <c r="E68" s="616" t="e">
        <f ca="1">HLOOKUP(C68,chronic_intake_assessment!$J$1:$AY$4,4,FALSE)</f>
        <v>#DIV/0!</v>
      </c>
      <c r="F68" s="619" t="e">
        <f ca="1">LARGE(OFFSET(chronic_intake_assessment!$B$11,1,MATCH($C68,chronic_intake_assessment!$C$11:$AY$11,0),(390-12+1),1),1)</f>
        <v>#DIV/0!</v>
      </c>
      <c r="G68" s="1546" t="e">
        <f ca="1">INDEX(chronic_intake_assessment!$C$11:$C$390,MATCH($F68,OFFSET(chronic_intake_assessment!$B$11,0,MATCH($C68,chronic_intake_assessment!$C$11:$AY$11,0),(390-11+1),1),0))</f>
        <v>#DIV/0!</v>
      </c>
      <c r="H68" s="1545"/>
      <c r="I68" s="211"/>
      <c r="J68" s="619" t="e">
        <f ca="1">LARGE(OFFSET(chronic_intake_assessment!$B$11,1,MATCH($C68,chronic_intake_assessment!$C$11:$AY$11,0),(390-12+1),1),2)</f>
        <v>#DIV/0!</v>
      </c>
      <c r="K68" s="1544" t="e">
        <f ca="1">INDEX(chronic_intake_assessment!$C$11:$C$390,MATCH($J68,OFFSET(chronic_intake_assessment!$B$11,0,MATCH($C68,chronic_intake_assessment!$C$11:$AY$11,0),(390-11+1),1),0))</f>
        <v>#DIV/0!</v>
      </c>
      <c r="L68" s="1545"/>
      <c r="M68" s="211"/>
      <c r="N68" s="622" t="e">
        <f ca="1">LARGE(OFFSET(chronic_intake_assessment!$B$11,1,MATCH($C68,chronic_intake_assessment!$C$11:$AY$11,0),(390-12+1),1),3)</f>
        <v>#DIV/0!</v>
      </c>
      <c r="O68" s="1129" t="e">
        <f ca="1">INDEX(chronic_intake_assessment!$C$11:$C$390,MATCH($N68,OFFSET(chronic_intake_assessment!$B$11,0,MATCH($C68,chronic_intake_assessment!$C$11:$AY$11,0),(390-11+1),1),0))</f>
        <v>#DIV/0!</v>
      </c>
      <c r="P68" s="1153" t="e">
        <f>INDEX(chronic_intake_assessment!$J$1593:$AY$1596,4,MATCH(Supplementing_results_chronic!B68,chronic_intake_assessment!$J$1593:$AY$1593,0))</f>
        <v>#DIV/0!</v>
      </c>
      <c r="Q68" s="1156"/>
      <c r="R68" s="29"/>
      <c r="T68" s="29"/>
      <c r="U68" s="29"/>
      <c r="V68" s="29"/>
      <c r="W68" s="29"/>
    </row>
    <row r="69" spans="1:23" s="181" customFormat="1" x14ac:dyDescent="0.2">
      <c r="A69" s="1637"/>
      <c r="B69" s="613" t="e">
        <f>LARGE(chronic_intake_assessment!$J$2:$AY$2,ROW()-ROW($B$32))</f>
        <v>#DIV/0!</v>
      </c>
      <c r="C69" s="1542"/>
      <c r="D69" s="1543"/>
      <c r="E69" s="616"/>
      <c r="F69" s="619"/>
      <c r="G69" s="1546"/>
      <c r="H69" s="1545"/>
      <c r="I69" s="211"/>
      <c r="J69" s="619"/>
      <c r="K69" s="1544"/>
      <c r="L69" s="1545"/>
      <c r="M69" s="211"/>
      <c r="N69" s="622"/>
      <c r="O69" s="1129"/>
      <c r="P69" s="1153" t="e">
        <f>INDEX(chronic_intake_assessment!$J$1593:$AY$1596,4,MATCH(Supplementing_results_chronic!B69,chronic_intake_assessment!$J$1593:$AY$1593,0))</f>
        <v>#DIV/0!</v>
      </c>
      <c r="Q69" s="1157"/>
      <c r="R69" s="29"/>
      <c r="T69" s="29"/>
      <c r="U69" s="29"/>
      <c r="V69" s="29"/>
      <c r="W69" s="29"/>
    </row>
    <row r="70" spans="1:23" s="181" customFormat="1" x14ac:dyDescent="0.2">
      <c r="A70" s="701"/>
      <c r="B70" s="1625" t="s">
        <v>1025</v>
      </c>
      <c r="C70" s="1626"/>
      <c r="D70" s="1626"/>
      <c r="E70" s="1626"/>
      <c r="F70" s="1626"/>
      <c r="G70" s="1626"/>
      <c r="H70" s="702"/>
      <c r="I70" s="703"/>
      <c r="J70" s="704"/>
      <c r="K70" s="705"/>
      <c r="L70" s="702"/>
      <c r="M70" s="703"/>
      <c r="N70" s="704"/>
      <c r="O70" s="702"/>
      <c r="P70" s="702"/>
      <c r="Q70" s="706"/>
      <c r="R70" s="29"/>
      <c r="T70" s="29"/>
      <c r="U70" s="29"/>
      <c r="V70" s="29"/>
      <c r="W70" s="29"/>
    </row>
    <row r="71" spans="1:23" s="181" customFormat="1" ht="12" customHeight="1" x14ac:dyDescent="0.2">
      <c r="A71" s="707"/>
      <c r="B71" s="1627" t="s">
        <v>1026</v>
      </c>
      <c r="C71" s="1628"/>
      <c r="D71" s="1628"/>
      <c r="E71" s="1628"/>
      <c r="F71" s="1628"/>
      <c r="G71" s="1628"/>
      <c r="H71" s="1628"/>
      <c r="I71" s="1628"/>
      <c r="J71" s="1628"/>
      <c r="K71" s="1628"/>
      <c r="L71" s="1628"/>
      <c r="M71" s="1628"/>
      <c r="N71" s="1628"/>
      <c r="O71" s="1628"/>
      <c r="P71" s="1628"/>
      <c r="Q71" s="1629"/>
      <c r="R71" s="29"/>
      <c r="T71" s="29"/>
      <c r="U71" s="29"/>
      <c r="V71" s="29"/>
      <c r="W71" s="29"/>
    </row>
    <row r="77" spans="1:23" ht="38.450000000000003" customHeight="1" x14ac:dyDescent="0.2">
      <c r="B77" s="1600" t="s">
        <v>1020</v>
      </c>
      <c r="C77" s="1601"/>
      <c r="D77" s="1601"/>
      <c r="E77" s="1601"/>
      <c r="F77" s="1602"/>
    </row>
    <row r="78" spans="1:23" ht="24" x14ac:dyDescent="0.2">
      <c r="B78" s="195" t="s">
        <v>1021</v>
      </c>
      <c r="C78" s="729" t="s">
        <v>11</v>
      </c>
      <c r="D78" s="195" t="s">
        <v>1029</v>
      </c>
      <c r="E78" s="730" t="s">
        <v>1024</v>
      </c>
      <c r="F78" s="729" t="s">
        <v>1023</v>
      </c>
      <c r="G78" s="71"/>
    </row>
    <row r="79" spans="1:23" x14ac:dyDescent="0.2">
      <c r="B79" s="612" t="e">
        <f>LARGE(Table3[max],ROW()-ROW($B$78))</f>
        <v>#DIV/0!</v>
      </c>
      <c r="C79" s="708" t="e">
        <f>VLOOKUP(B79,Table3[[max]:[crop]],3,FALSE)</f>
        <v>#DIV/0!</v>
      </c>
      <c r="D79" s="717" t="e">
        <f>VLOOKUP(C79,chronic_intake_assessment!$C$1212:$G$1590,5,FALSE)</f>
        <v>#DIV/0!</v>
      </c>
      <c r="E79" s="709" t="e">
        <f>VLOOKUP(B79,Table3[[max]:[crop]],2,FALSE)</f>
        <v>#DIV/0!</v>
      </c>
      <c r="F79" s="737" t="e">
        <f>VLOOKUP(C79,chronic_intake_assessment!$C$1212:$H$1590,6,FALSE)</f>
        <v>#DIV/0!</v>
      </c>
      <c r="G79" s="71">
        <v>1</v>
      </c>
    </row>
    <row r="80" spans="1:23" x14ac:dyDescent="0.2">
      <c r="B80" s="613" t="e">
        <f>LARGE(Table3[max],ROW()-ROW($B$78))</f>
        <v>#DIV/0!</v>
      </c>
      <c r="C80" s="731" t="e">
        <f>VLOOKUP(B80,Table3[[max]:[crop]],3,FALSE)</f>
        <v>#DIV/0!</v>
      </c>
      <c r="D80" s="732" t="e">
        <f>VLOOKUP(C80,chronic_intake_assessment!$C$1212:$G$1590,5,FALSE)</f>
        <v>#DIV/0!</v>
      </c>
      <c r="E80" s="733" t="e">
        <f>VLOOKUP(B80,Table3[[max]:[crop]],2,FALSE)</f>
        <v>#DIV/0!</v>
      </c>
      <c r="F80" s="738" t="e">
        <f>VLOOKUP(C80,chronic_intake_assessment!$C$1212:$H$1590,6,FALSE)</f>
        <v>#DIV/0!</v>
      </c>
      <c r="G80" s="71">
        <v>2</v>
      </c>
    </row>
    <row r="81" spans="2:7" x14ac:dyDescent="0.2">
      <c r="B81" s="613" t="e">
        <f>LARGE(Table3[max],ROW()-ROW($B$78))</f>
        <v>#DIV/0!</v>
      </c>
      <c r="C81" s="731" t="e">
        <f>VLOOKUP(B81,Table3[[max]:[crop]],3,FALSE)</f>
        <v>#DIV/0!</v>
      </c>
      <c r="D81" s="732" t="e">
        <f>VLOOKUP(C81,chronic_intake_assessment!$C$1212:$G$1590,5,FALSE)</f>
        <v>#DIV/0!</v>
      </c>
      <c r="E81" s="733" t="e">
        <f>VLOOKUP(B81,Table3[[max]:[crop]],2,FALSE)</f>
        <v>#DIV/0!</v>
      </c>
      <c r="F81" s="738" t="e">
        <f>VLOOKUP(C81,chronic_intake_assessment!$C$1212:$H$1590,6,FALSE)</f>
        <v>#DIV/0!</v>
      </c>
      <c r="G81" s="71">
        <v>3</v>
      </c>
    </row>
    <row r="82" spans="2:7" x14ac:dyDescent="0.2">
      <c r="B82" s="613" t="e">
        <f>LARGE(Table3[max],ROW()-ROW($B$78))</f>
        <v>#DIV/0!</v>
      </c>
      <c r="C82" s="731" t="e">
        <f>VLOOKUP(B82,Table3[[max]:[crop]],3,FALSE)</f>
        <v>#DIV/0!</v>
      </c>
      <c r="D82" s="732" t="e">
        <f>VLOOKUP(C82,chronic_intake_assessment!$C$1212:$G$1590,5,FALSE)</f>
        <v>#DIV/0!</v>
      </c>
      <c r="E82" s="733" t="e">
        <f>VLOOKUP(B82,Table3[[max]:[crop]],2,FALSE)</f>
        <v>#DIV/0!</v>
      </c>
      <c r="F82" s="738" t="e">
        <f>VLOOKUP(C82,chronic_intake_assessment!$C$1212:$H$1590,6,FALSE)</f>
        <v>#DIV/0!</v>
      </c>
      <c r="G82" s="71">
        <v>4</v>
      </c>
    </row>
    <row r="83" spans="2:7" x14ac:dyDescent="0.2">
      <c r="B83" s="613" t="e">
        <f>LARGE(Table3[max],ROW()-ROW($B$78))</f>
        <v>#DIV/0!</v>
      </c>
      <c r="C83" s="731" t="e">
        <f>VLOOKUP(B83,Table3[[max]:[crop]],3,FALSE)</f>
        <v>#DIV/0!</v>
      </c>
      <c r="D83" s="732" t="e">
        <f>VLOOKUP(C83,chronic_intake_assessment!$C$1212:$G$1590,5,FALSE)</f>
        <v>#DIV/0!</v>
      </c>
      <c r="E83" s="733" t="e">
        <f>VLOOKUP(B83,Table3[[max]:[crop]],2,FALSE)</f>
        <v>#DIV/0!</v>
      </c>
      <c r="F83" s="738" t="e">
        <f>VLOOKUP(C83,chronic_intake_assessment!$C$1212:$H$1590,6,FALSE)</f>
        <v>#DIV/0!</v>
      </c>
      <c r="G83" s="71">
        <v>5</v>
      </c>
    </row>
    <row r="84" spans="2:7" x14ac:dyDescent="0.2">
      <c r="B84" s="613" t="e">
        <f>LARGE(Table3[max],ROW()-ROW($B$78))</f>
        <v>#DIV/0!</v>
      </c>
      <c r="C84" s="731" t="e">
        <f>VLOOKUP(B84,Table3[[max]:[crop]],3,FALSE)</f>
        <v>#DIV/0!</v>
      </c>
      <c r="D84" s="732" t="e">
        <f>VLOOKUP(C84,chronic_intake_assessment!$C$1212:$G$1590,5,FALSE)</f>
        <v>#DIV/0!</v>
      </c>
      <c r="E84" s="733" t="e">
        <f>VLOOKUP(B84,Table3[[max]:[crop]],2,FALSE)</f>
        <v>#DIV/0!</v>
      </c>
      <c r="F84" s="738" t="e">
        <f>VLOOKUP(C84,chronic_intake_assessment!$C$1212:$H$1590,6,FALSE)</f>
        <v>#DIV/0!</v>
      </c>
      <c r="G84" s="71">
        <v>6</v>
      </c>
    </row>
    <row r="85" spans="2:7" x14ac:dyDescent="0.2">
      <c r="B85" s="613" t="e">
        <f>LARGE(Table3[max],ROW()-ROW($B$78))</f>
        <v>#DIV/0!</v>
      </c>
      <c r="C85" s="731" t="e">
        <f>VLOOKUP(B85,Table3[[max]:[crop]],3,FALSE)</f>
        <v>#DIV/0!</v>
      </c>
      <c r="D85" s="732" t="e">
        <f>VLOOKUP(C85,chronic_intake_assessment!$C$1212:$G$1590,5,FALSE)</f>
        <v>#DIV/0!</v>
      </c>
      <c r="E85" s="733" t="e">
        <f>VLOOKUP(B85,Table3[[max]:[crop]],2,FALSE)</f>
        <v>#DIV/0!</v>
      </c>
      <c r="F85" s="738" t="e">
        <f>VLOOKUP(C85,chronic_intake_assessment!$C$1212:$H$1590,6,FALSE)</f>
        <v>#DIV/0!</v>
      </c>
      <c r="G85" s="71">
        <v>7</v>
      </c>
    </row>
    <row r="86" spans="2:7" x14ac:dyDescent="0.2">
      <c r="B86" s="613" t="e">
        <f>LARGE(Table3[max],ROW()-ROW($B$78))</f>
        <v>#DIV/0!</v>
      </c>
      <c r="C86" s="731" t="e">
        <f>VLOOKUP(B86,Table3[[max]:[crop]],3,FALSE)</f>
        <v>#DIV/0!</v>
      </c>
      <c r="D86" s="732" t="e">
        <f>VLOOKUP(C86,chronic_intake_assessment!$C$1212:$G$1590,5,FALSE)</f>
        <v>#DIV/0!</v>
      </c>
      <c r="E86" s="733" t="e">
        <f>VLOOKUP(B86,Table3[[max]:[crop]],2,FALSE)</f>
        <v>#DIV/0!</v>
      </c>
      <c r="F86" s="738" t="e">
        <f>VLOOKUP(C86,chronic_intake_assessment!$C$1212:$H$1590,6,FALSE)</f>
        <v>#DIV/0!</v>
      </c>
      <c r="G86" s="71">
        <v>8</v>
      </c>
    </row>
    <row r="87" spans="2:7" x14ac:dyDescent="0.2">
      <c r="B87" s="613" t="e">
        <f>LARGE(Table3[max],ROW()-ROW($B$78))</f>
        <v>#DIV/0!</v>
      </c>
      <c r="C87" s="731" t="e">
        <f>VLOOKUP(B87,Table3[[max]:[crop]],3,FALSE)</f>
        <v>#DIV/0!</v>
      </c>
      <c r="D87" s="732" t="e">
        <f>VLOOKUP(C87,chronic_intake_assessment!$C$1212:$G$1590,5,FALSE)</f>
        <v>#DIV/0!</v>
      </c>
      <c r="E87" s="733" t="e">
        <f>VLOOKUP(B87,Table3[[max]:[crop]],2,FALSE)</f>
        <v>#DIV/0!</v>
      </c>
      <c r="F87" s="738" t="e">
        <f>VLOOKUP(C87,chronic_intake_assessment!$C$1212:$H$1590,6,FALSE)</f>
        <v>#DIV/0!</v>
      </c>
      <c r="G87" s="71">
        <v>9</v>
      </c>
    </row>
    <row r="88" spans="2:7" x14ac:dyDescent="0.2">
      <c r="B88" s="613" t="e">
        <f>LARGE(Table3[max],ROW()-ROW($B$78))</f>
        <v>#DIV/0!</v>
      </c>
      <c r="C88" s="731" t="e">
        <f>VLOOKUP(B88,Table3[[max]:[crop]],3,FALSE)</f>
        <v>#DIV/0!</v>
      </c>
      <c r="D88" s="732" t="e">
        <f>VLOOKUP(C88,chronic_intake_assessment!$C$1212:$G$1590,5,FALSE)</f>
        <v>#DIV/0!</v>
      </c>
      <c r="E88" s="733" t="e">
        <f>VLOOKUP(B88,Table3[[max]:[crop]],2,FALSE)</f>
        <v>#DIV/0!</v>
      </c>
      <c r="F88" s="738" t="e">
        <f>VLOOKUP(C88,chronic_intake_assessment!$C$1212:$H$1590,6,FALSE)</f>
        <v>#DIV/0!</v>
      </c>
      <c r="G88" s="71">
        <v>10</v>
      </c>
    </row>
    <row r="89" spans="2:7" x14ac:dyDescent="0.2">
      <c r="B89" s="613" t="e">
        <f>LARGE(Table3[max],ROW()-ROW($B$78))</f>
        <v>#DIV/0!</v>
      </c>
      <c r="C89" s="731" t="e">
        <f>VLOOKUP(B89,Table3[[max]:[crop]],3,FALSE)</f>
        <v>#DIV/0!</v>
      </c>
      <c r="D89" s="732" t="e">
        <f>VLOOKUP(C89,chronic_intake_assessment!$C$1212:$G$1590,5,FALSE)</f>
        <v>#DIV/0!</v>
      </c>
      <c r="E89" s="733" t="e">
        <f>VLOOKUP(B89,Table3[[max]:[crop]],2,FALSE)</f>
        <v>#DIV/0!</v>
      </c>
      <c r="F89" s="738" t="e">
        <f>VLOOKUP(C89,chronic_intake_assessment!$C$1212:$H$1590,6,FALSE)</f>
        <v>#DIV/0!</v>
      </c>
      <c r="G89" s="71">
        <v>11</v>
      </c>
    </row>
    <row r="90" spans="2:7" x14ac:dyDescent="0.2">
      <c r="B90" s="613" t="e">
        <f>LARGE(Table3[max],ROW()-ROW($B$78))</f>
        <v>#DIV/0!</v>
      </c>
      <c r="C90" s="731" t="e">
        <f>VLOOKUP(B90,Table3[[max]:[crop]],3,FALSE)</f>
        <v>#DIV/0!</v>
      </c>
      <c r="D90" s="732" t="e">
        <f>VLOOKUP(C90,chronic_intake_assessment!$C$1212:$G$1590,5,FALSE)</f>
        <v>#DIV/0!</v>
      </c>
      <c r="E90" s="733" t="e">
        <f>VLOOKUP(B90,Table3[[max]:[crop]],2,FALSE)</f>
        <v>#DIV/0!</v>
      </c>
      <c r="F90" s="738" t="e">
        <f>VLOOKUP(C90,chronic_intake_assessment!$C$1212:$H$1590,6,FALSE)</f>
        <v>#DIV/0!</v>
      </c>
      <c r="G90" s="71">
        <v>12</v>
      </c>
    </row>
    <row r="91" spans="2:7" x14ac:dyDescent="0.2">
      <c r="B91" s="613" t="e">
        <f>LARGE(Table3[max],ROW()-ROW($B$78))</f>
        <v>#DIV/0!</v>
      </c>
      <c r="C91" s="731" t="e">
        <f>VLOOKUP(B91,Table3[[max]:[crop]],3,FALSE)</f>
        <v>#DIV/0!</v>
      </c>
      <c r="D91" s="732" t="e">
        <f>VLOOKUP(C91,chronic_intake_assessment!$C$1212:$G$1590,5,FALSE)</f>
        <v>#DIV/0!</v>
      </c>
      <c r="E91" s="733" t="e">
        <f>VLOOKUP(B91,Table3[[max]:[crop]],2,FALSE)</f>
        <v>#DIV/0!</v>
      </c>
      <c r="F91" s="738" t="e">
        <f>VLOOKUP(C91,chronic_intake_assessment!$C$1212:$H$1590,6,FALSE)</f>
        <v>#DIV/0!</v>
      </c>
      <c r="G91" s="71">
        <v>13</v>
      </c>
    </row>
    <row r="92" spans="2:7" x14ac:dyDescent="0.2">
      <c r="B92" s="613" t="e">
        <f>LARGE(Table3[max],ROW()-ROW($B$78))</f>
        <v>#DIV/0!</v>
      </c>
      <c r="C92" s="731" t="e">
        <f>VLOOKUP(B92,Table3[[max]:[crop]],3,FALSE)</f>
        <v>#DIV/0!</v>
      </c>
      <c r="D92" s="732" t="e">
        <f>VLOOKUP(C92,chronic_intake_assessment!$C$1212:$G$1590,5,FALSE)</f>
        <v>#DIV/0!</v>
      </c>
      <c r="E92" s="733" t="e">
        <f>VLOOKUP(B92,Table3[[max]:[crop]],2,FALSE)</f>
        <v>#DIV/0!</v>
      </c>
      <c r="F92" s="738" t="e">
        <f>VLOOKUP(C92,chronic_intake_assessment!$C$1212:$H$1590,6,FALSE)</f>
        <v>#DIV/0!</v>
      </c>
      <c r="G92" s="71">
        <v>14</v>
      </c>
    </row>
    <row r="93" spans="2:7" x14ac:dyDescent="0.2">
      <c r="B93" s="613" t="e">
        <f>LARGE(Table3[max],ROW()-ROW($B$78))</f>
        <v>#DIV/0!</v>
      </c>
      <c r="C93" s="731" t="e">
        <f>VLOOKUP(B93,Table3[[max]:[crop]],3,FALSE)</f>
        <v>#DIV/0!</v>
      </c>
      <c r="D93" s="732" t="e">
        <f>VLOOKUP(C93,chronic_intake_assessment!$C$1212:$G$1590,5,FALSE)</f>
        <v>#DIV/0!</v>
      </c>
      <c r="E93" s="733" t="e">
        <f>VLOOKUP(B93,Table3[[max]:[crop]],2,FALSE)</f>
        <v>#DIV/0!</v>
      </c>
      <c r="F93" s="738" t="e">
        <f>VLOOKUP(C93,chronic_intake_assessment!$C$1212:$H$1590,6,FALSE)</f>
        <v>#DIV/0!</v>
      </c>
      <c r="G93" s="71">
        <v>15</v>
      </c>
    </row>
    <row r="94" spans="2:7" x14ac:dyDescent="0.2">
      <c r="B94" s="613" t="e">
        <f>LARGE(Table3[max],ROW()-ROW($B$78))</f>
        <v>#DIV/0!</v>
      </c>
      <c r="C94" s="731" t="e">
        <f>VLOOKUP(B94,Table3[[max]:[crop]],3,FALSE)</f>
        <v>#DIV/0!</v>
      </c>
      <c r="D94" s="732" t="e">
        <f>VLOOKUP(C94,chronic_intake_assessment!$C$1212:$G$1590,5,FALSE)</f>
        <v>#DIV/0!</v>
      </c>
      <c r="E94" s="733" t="e">
        <f>VLOOKUP(B94,Table3[[max]:[crop]],2,FALSE)</f>
        <v>#DIV/0!</v>
      </c>
      <c r="F94" s="738" t="e">
        <f>VLOOKUP(C94,chronic_intake_assessment!$C$1212:$H$1590,6,FALSE)</f>
        <v>#DIV/0!</v>
      </c>
      <c r="G94" s="71">
        <v>16</v>
      </c>
    </row>
    <row r="95" spans="2:7" x14ac:dyDescent="0.2">
      <c r="B95" s="613" t="e">
        <f>LARGE(Table3[max],ROW()-ROW($B$78))</f>
        <v>#DIV/0!</v>
      </c>
      <c r="C95" s="731" t="e">
        <f>VLOOKUP(B95,Table3[[max]:[crop]],3,FALSE)</f>
        <v>#DIV/0!</v>
      </c>
      <c r="D95" s="732" t="e">
        <f>VLOOKUP(C95,chronic_intake_assessment!$C$1212:$G$1590,5,FALSE)</f>
        <v>#DIV/0!</v>
      </c>
      <c r="E95" s="733" t="e">
        <f>VLOOKUP(B95,Table3[[max]:[crop]],2,FALSE)</f>
        <v>#DIV/0!</v>
      </c>
      <c r="F95" s="738" t="e">
        <f>VLOOKUP(C95,chronic_intake_assessment!$C$1212:$H$1590,6,FALSE)</f>
        <v>#DIV/0!</v>
      </c>
      <c r="G95" s="71">
        <v>17</v>
      </c>
    </row>
    <row r="96" spans="2:7" x14ac:dyDescent="0.2">
      <c r="B96" s="613" t="e">
        <f>LARGE(Table3[max],ROW()-ROW($B$78))</f>
        <v>#DIV/0!</v>
      </c>
      <c r="C96" s="731" t="e">
        <f>VLOOKUP(B96,Table3[[max]:[crop]],3,FALSE)</f>
        <v>#DIV/0!</v>
      </c>
      <c r="D96" s="732" t="e">
        <f>VLOOKUP(C96,chronic_intake_assessment!$C$1212:$G$1590,5,FALSE)</f>
        <v>#DIV/0!</v>
      </c>
      <c r="E96" s="733" t="e">
        <f>VLOOKUP(B96,Table3[[max]:[crop]],2,FALSE)</f>
        <v>#DIV/0!</v>
      </c>
      <c r="F96" s="738" t="e">
        <f>VLOOKUP(C96,chronic_intake_assessment!$C$1212:$H$1590,6,FALSE)</f>
        <v>#DIV/0!</v>
      </c>
      <c r="G96" s="71">
        <v>18</v>
      </c>
    </row>
    <row r="97" spans="2:7" x14ac:dyDescent="0.2">
      <c r="B97" s="613" t="e">
        <f>LARGE(Table3[max],ROW()-ROW($B$78))</f>
        <v>#DIV/0!</v>
      </c>
      <c r="C97" s="731" t="e">
        <f>VLOOKUP(B97,Table3[[max]:[crop]],3,FALSE)</f>
        <v>#DIV/0!</v>
      </c>
      <c r="D97" s="732" t="e">
        <f>VLOOKUP(C97,chronic_intake_assessment!$C$1212:$G$1590,5,FALSE)</f>
        <v>#DIV/0!</v>
      </c>
      <c r="E97" s="733" t="e">
        <f>VLOOKUP(B97,Table3[[max]:[crop]],2,FALSE)</f>
        <v>#DIV/0!</v>
      </c>
      <c r="F97" s="738" t="e">
        <f>VLOOKUP(C97,chronic_intake_assessment!$C$1212:$H$1590,6,FALSE)</f>
        <v>#DIV/0!</v>
      </c>
      <c r="G97" s="71">
        <v>19</v>
      </c>
    </row>
    <row r="98" spans="2:7" x14ac:dyDescent="0.2">
      <c r="B98" s="613" t="e">
        <f>LARGE(Table3[max],ROW()-ROW($B$78))</f>
        <v>#DIV/0!</v>
      </c>
      <c r="C98" s="731" t="e">
        <f>VLOOKUP(B98,Table3[[max]:[crop]],3,FALSE)</f>
        <v>#DIV/0!</v>
      </c>
      <c r="D98" s="732" t="e">
        <f>VLOOKUP(C98,chronic_intake_assessment!$C$1212:$G$1590,5,FALSE)</f>
        <v>#DIV/0!</v>
      </c>
      <c r="E98" s="733" t="e">
        <f>VLOOKUP(B98,Table3[[max]:[crop]],2,FALSE)</f>
        <v>#DIV/0!</v>
      </c>
      <c r="F98" s="738" t="e">
        <f>VLOOKUP(C98,chronic_intake_assessment!$C$1212:$H$1590,6,FALSE)</f>
        <v>#DIV/0!</v>
      </c>
      <c r="G98" s="71">
        <v>20</v>
      </c>
    </row>
    <row r="99" spans="2:7" x14ac:dyDescent="0.2">
      <c r="B99" s="613" t="e">
        <f>LARGE(Table3[max],ROW()-ROW($B$78))</f>
        <v>#DIV/0!</v>
      </c>
      <c r="C99" s="731" t="e">
        <f>VLOOKUP(B99,Table3[[max]:[crop]],3,FALSE)</f>
        <v>#DIV/0!</v>
      </c>
      <c r="D99" s="732" t="e">
        <f>VLOOKUP(C99,chronic_intake_assessment!$C$1212:$G$1590,5,FALSE)</f>
        <v>#DIV/0!</v>
      </c>
      <c r="E99" s="733" t="e">
        <f>VLOOKUP(B99,Table3[[max]:[crop]],2,FALSE)</f>
        <v>#DIV/0!</v>
      </c>
      <c r="F99" s="738" t="e">
        <f>VLOOKUP(C99,chronic_intake_assessment!$C$1212:$H$1590,6,FALSE)</f>
        <v>#DIV/0!</v>
      </c>
      <c r="G99" s="71">
        <v>21</v>
      </c>
    </row>
    <row r="100" spans="2:7" x14ac:dyDescent="0.2">
      <c r="B100" s="613" t="e">
        <f>LARGE(Table3[max],ROW()-ROW($B$78))</f>
        <v>#DIV/0!</v>
      </c>
      <c r="C100" s="731" t="e">
        <f>VLOOKUP(B100,Table3[[max]:[crop]],3,FALSE)</f>
        <v>#DIV/0!</v>
      </c>
      <c r="D100" s="732" t="e">
        <f>VLOOKUP(C100,chronic_intake_assessment!$C$1212:$G$1590,5,FALSE)</f>
        <v>#DIV/0!</v>
      </c>
      <c r="E100" s="733" t="e">
        <f>VLOOKUP(B100,Table3[[max]:[crop]],2,FALSE)</f>
        <v>#DIV/0!</v>
      </c>
      <c r="F100" s="738" t="e">
        <f>VLOOKUP(C100,chronic_intake_assessment!$C$1212:$H$1590,6,FALSE)</f>
        <v>#DIV/0!</v>
      </c>
      <c r="G100" s="71">
        <v>22</v>
      </c>
    </row>
    <row r="101" spans="2:7" x14ac:dyDescent="0.2">
      <c r="B101" s="613" t="e">
        <f>LARGE(Table3[max],ROW()-ROW($B$78))</f>
        <v>#DIV/0!</v>
      </c>
      <c r="C101" s="731" t="e">
        <f>VLOOKUP(B101,Table3[[max]:[crop]],3,FALSE)</f>
        <v>#DIV/0!</v>
      </c>
      <c r="D101" s="732" t="e">
        <f>VLOOKUP(C101,chronic_intake_assessment!$C$1212:$G$1590,5,FALSE)</f>
        <v>#DIV/0!</v>
      </c>
      <c r="E101" s="733" t="e">
        <f>VLOOKUP(B101,Table3[[max]:[crop]],2,FALSE)</f>
        <v>#DIV/0!</v>
      </c>
      <c r="F101" s="738" t="e">
        <f>VLOOKUP(C101,chronic_intake_assessment!$C$1212:$H$1590,6,FALSE)</f>
        <v>#DIV/0!</v>
      </c>
      <c r="G101" s="71">
        <v>23</v>
      </c>
    </row>
    <row r="102" spans="2:7" x14ac:dyDescent="0.2">
      <c r="B102" s="613" t="e">
        <f>LARGE(Table3[max],ROW()-ROW($B$78))</f>
        <v>#DIV/0!</v>
      </c>
      <c r="C102" s="731" t="e">
        <f>VLOOKUP(B102,Table3[[max]:[crop]],3,FALSE)</f>
        <v>#DIV/0!</v>
      </c>
      <c r="D102" s="732" t="e">
        <f>VLOOKUP(C102,chronic_intake_assessment!$C$1212:$G$1590,5,FALSE)</f>
        <v>#DIV/0!</v>
      </c>
      <c r="E102" s="733" t="e">
        <f>VLOOKUP(B102,Table3[[max]:[crop]],2,FALSE)</f>
        <v>#DIV/0!</v>
      </c>
      <c r="F102" s="738" t="e">
        <f>VLOOKUP(C102,chronic_intake_assessment!$C$1212:$H$1590,6,FALSE)</f>
        <v>#DIV/0!</v>
      </c>
      <c r="G102" s="71">
        <v>24</v>
      </c>
    </row>
    <row r="103" spans="2:7" x14ac:dyDescent="0.2">
      <c r="B103" s="613" t="e">
        <f>LARGE(Table3[max],ROW()-ROW($B$78))</f>
        <v>#DIV/0!</v>
      </c>
      <c r="C103" s="731" t="e">
        <f>VLOOKUP(B103,Table3[[max]:[crop]],3,FALSE)</f>
        <v>#DIV/0!</v>
      </c>
      <c r="D103" s="732" t="e">
        <f>VLOOKUP(C103,chronic_intake_assessment!$C$1212:$G$1590,5,FALSE)</f>
        <v>#DIV/0!</v>
      </c>
      <c r="E103" s="733" t="e">
        <f>VLOOKUP(B103,Table3[[max]:[crop]],2,FALSE)</f>
        <v>#DIV/0!</v>
      </c>
      <c r="F103" s="738" t="e">
        <f>VLOOKUP(C103,chronic_intake_assessment!$C$1212:$H$1590,6,FALSE)</f>
        <v>#DIV/0!</v>
      </c>
      <c r="G103" s="71">
        <v>25</v>
      </c>
    </row>
    <row r="104" spans="2:7" x14ac:dyDescent="0.2">
      <c r="B104" s="613" t="e">
        <f>LARGE(Table3[max],ROW()-ROW($B$78))</f>
        <v>#DIV/0!</v>
      </c>
      <c r="C104" s="731" t="e">
        <f>VLOOKUP(B104,Table3[[max]:[crop]],3,FALSE)</f>
        <v>#DIV/0!</v>
      </c>
      <c r="D104" s="732" t="e">
        <f>VLOOKUP(C104,chronic_intake_assessment!$C$1212:$G$1590,5,FALSE)</f>
        <v>#DIV/0!</v>
      </c>
      <c r="E104" s="733" t="e">
        <f>VLOOKUP(B104,Table3[[max]:[crop]],2,FALSE)</f>
        <v>#DIV/0!</v>
      </c>
      <c r="F104" s="738" t="e">
        <f>VLOOKUP(C104,chronic_intake_assessment!$C$1212:$H$1590,6,FALSE)</f>
        <v>#DIV/0!</v>
      </c>
      <c r="G104" s="71">
        <v>26</v>
      </c>
    </row>
    <row r="105" spans="2:7" x14ac:dyDescent="0.2">
      <c r="B105" s="613" t="e">
        <f>LARGE(Table3[max],ROW()-ROW($B$78))</f>
        <v>#DIV/0!</v>
      </c>
      <c r="C105" s="731" t="e">
        <f>VLOOKUP(B105,Table3[[max]:[crop]],3,FALSE)</f>
        <v>#DIV/0!</v>
      </c>
      <c r="D105" s="732" t="e">
        <f>VLOOKUP(C105,chronic_intake_assessment!$C$1212:$G$1590,5,FALSE)</f>
        <v>#DIV/0!</v>
      </c>
      <c r="E105" s="733" t="e">
        <f>VLOOKUP(B105,Table3[[max]:[crop]],2,FALSE)</f>
        <v>#DIV/0!</v>
      </c>
      <c r="F105" s="738" t="e">
        <f>VLOOKUP(C105,chronic_intake_assessment!$C$1212:$H$1590,6,FALSE)</f>
        <v>#DIV/0!</v>
      </c>
      <c r="G105" s="71">
        <v>27</v>
      </c>
    </row>
    <row r="106" spans="2:7" x14ac:dyDescent="0.2">
      <c r="B106" s="613" t="e">
        <f>LARGE(Table3[max],ROW()-ROW($B$78))</f>
        <v>#DIV/0!</v>
      </c>
      <c r="C106" s="731" t="e">
        <f>VLOOKUP(B106,Table3[[max]:[crop]],3,FALSE)</f>
        <v>#DIV/0!</v>
      </c>
      <c r="D106" s="732" t="e">
        <f>VLOOKUP(C106,chronic_intake_assessment!$C$1212:$G$1590,5,FALSE)</f>
        <v>#DIV/0!</v>
      </c>
      <c r="E106" s="733" t="e">
        <f>VLOOKUP(B106,Table3[[max]:[crop]],2,FALSE)</f>
        <v>#DIV/0!</v>
      </c>
      <c r="F106" s="738" t="e">
        <f>VLOOKUP(C106,chronic_intake_assessment!$C$1212:$H$1590,6,FALSE)</f>
        <v>#DIV/0!</v>
      </c>
      <c r="G106" s="71">
        <v>28</v>
      </c>
    </row>
    <row r="107" spans="2:7" x14ac:dyDescent="0.2">
      <c r="B107" s="613" t="e">
        <f>LARGE(Table3[max],ROW()-ROW($B$78))</f>
        <v>#DIV/0!</v>
      </c>
      <c r="C107" s="731" t="e">
        <f>VLOOKUP(B107,Table3[[max]:[crop]],3,FALSE)</f>
        <v>#DIV/0!</v>
      </c>
      <c r="D107" s="732" t="e">
        <f>VLOOKUP(C107,chronic_intake_assessment!$C$1212:$G$1590,5,FALSE)</f>
        <v>#DIV/0!</v>
      </c>
      <c r="E107" s="733" t="e">
        <f>VLOOKUP(B107,Table3[[max]:[crop]],2,FALSE)</f>
        <v>#DIV/0!</v>
      </c>
      <c r="F107" s="738" t="e">
        <f>VLOOKUP(C107,chronic_intake_assessment!$C$1212:$H$1590,6,FALSE)</f>
        <v>#DIV/0!</v>
      </c>
      <c r="G107" s="71">
        <v>29</v>
      </c>
    </row>
    <row r="108" spans="2:7" x14ac:dyDescent="0.2">
      <c r="B108" s="613" t="e">
        <f>LARGE(Table3[max],ROW()-ROW($B$78))</f>
        <v>#DIV/0!</v>
      </c>
      <c r="C108" s="731" t="e">
        <f>VLOOKUP(B108,Table3[[max]:[crop]],3,FALSE)</f>
        <v>#DIV/0!</v>
      </c>
      <c r="D108" s="732" t="e">
        <f>VLOOKUP(C108,chronic_intake_assessment!$C$1212:$G$1590,5,FALSE)</f>
        <v>#DIV/0!</v>
      </c>
      <c r="E108" s="733" t="e">
        <f>VLOOKUP(B108,Table3[[max]:[crop]],2,FALSE)</f>
        <v>#DIV/0!</v>
      </c>
      <c r="F108" s="738" t="e">
        <f>VLOOKUP(C108,chronic_intake_assessment!$C$1212:$H$1590,6,FALSE)</f>
        <v>#DIV/0!</v>
      </c>
      <c r="G108" s="71">
        <v>30</v>
      </c>
    </row>
    <row r="109" spans="2:7" x14ac:dyDescent="0.2">
      <c r="B109" s="613" t="e">
        <f>LARGE(Table3[max],ROW()-ROW($B$78))</f>
        <v>#DIV/0!</v>
      </c>
      <c r="C109" s="731" t="e">
        <f>VLOOKUP(B109,Table3[[max]:[crop]],3,FALSE)</f>
        <v>#DIV/0!</v>
      </c>
      <c r="D109" s="732" t="e">
        <f>VLOOKUP(C109,chronic_intake_assessment!$C$1212:$G$1590,5,FALSE)</f>
        <v>#DIV/0!</v>
      </c>
      <c r="E109" s="733" t="e">
        <f>VLOOKUP(B109,Table3[[max]:[crop]],2,FALSE)</f>
        <v>#DIV/0!</v>
      </c>
      <c r="F109" s="738" t="e">
        <f>VLOOKUP(C109,chronic_intake_assessment!$C$1212:$H$1590,6,FALSE)</f>
        <v>#DIV/0!</v>
      </c>
      <c r="G109" s="71">
        <v>31</v>
      </c>
    </row>
    <row r="110" spans="2:7" x14ac:dyDescent="0.2">
      <c r="B110" s="613" t="e">
        <f>LARGE(Table3[max],ROW()-ROW($B$78))</f>
        <v>#DIV/0!</v>
      </c>
      <c r="C110" s="731" t="e">
        <f>VLOOKUP(B110,Table3[[max]:[crop]],3,FALSE)</f>
        <v>#DIV/0!</v>
      </c>
      <c r="D110" s="732" t="e">
        <f>VLOOKUP(C110,chronic_intake_assessment!$C$1212:$G$1590,5,FALSE)</f>
        <v>#DIV/0!</v>
      </c>
      <c r="E110" s="733" t="e">
        <f>VLOOKUP(B110,Table3[[max]:[crop]],2,FALSE)</f>
        <v>#DIV/0!</v>
      </c>
      <c r="F110" s="738" t="e">
        <f>VLOOKUP(C110,chronic_intake_assessment!$C$1212:$H$1590,6,FALSE)</f>
        <v>#DIV/0!</v>
      </c>
      <c r="G110" s="71">
        <v>32</v>
      </c>
    </row>
    <row r="111" spans="2:7" x14ac:dyDescent="0.2">
      <c r="B111" s="613" t="e">
        <f>LARGE(Table3[max],ROW()-ROW($B$78))</f>
        <v>#DIV/0!</v>
      </c>
      <c r="C111" s="731" t="e">
        <f>VLOOKUP(B111,Table3[[max]:[crop]],3,FALSE)</f>
        <v>#DIV/0!</v>
      </c>
      <c r="D111" s="732" t="e">
        <f>VLOOKUP(C111,chronic_intake_assessment!$C$1212:$G$1590,5,FALSE)</f>
        <v>#DIV/0!</v>
      </c>
      <c r="E111" s="733" t="e">
        <f>VLOOKUP(B111,Table3[[max]:[crop]],2,FALSE)</f>
        <v>#DIV/0!</v>
      </c>
      <c r="F111" s="738" t="e">
        <f>VLOOKUP(C111,chronic_intake_assessment!$C$1212:$H$1590,6,FALSE)</f>
        <v>#DIV/0!</v>
      </c>
      <c r="G111" s="71">
        <v>33</v>
      </c>
    </row>
    <row r="112" spans="2:7" x14ac:dyDescent="0.2">
      <c r="B112" s="613" t="e">
        <f>LARGE(Table3[max],ROW()-ROW($B$78))</f>
        <v>#DIV/0!</v>
      </c>
      <c r="C112" s="731" t="e">
        <f>VLOOKUP(B112,Table3[[max]:[crop]],3,FALSE)</f>
        <v>#DIV/0!</v>
      </c>
      <c r="D112" s="732" t="e">
        <f>VLOOKUP(C112,chronic_intake_assessment!$C$1212:$G$1590,5,FALSE)</f>
        <v>#DIV/0!</v>
      </c>
      <c r="E112" s="733" t="e">
        <f>VLOOKUP(B112,Table3[[max]:[crop]],2,FALSE)</f>
        <v>#DIV/0!</v>
      </c>
      <c r="F112" s="738" t="e">
        <f>VLOOKUP(C112,chronic_intake_assessment!$C$1212:$H$1590,6,FALSE)</f>
        <v>#DIV/0!</v>
      </c>
      <c r="G112" s="71">
        <v>34</v>
      </c>
    </row>
    <row r="113" spans="2:7" x14ac:dyDescent="0.2">
      <c r="B113" s="613" t="e">
        <f>LARGE(Table3[max],ROW()-ROW($B$78))</f>
        <v>#DIV/0!</v>
      </c>
      <c r="C113" s="731" t="e">
        <f>VLOOKUP(B113,Table3[[max]:[crop]],3,FALSE)</f>
        <v>#DIV/0!</v>
      </c>
      <c r="D113" s="732" t="e">
        <f>VLOOKUP(C113,chronic_intake_assessment!$C$1212:$G$1590,5,FALSE)</f>
        <v>#DIV/0!</v>
      </c>
      <c r="E113" s="733" t="e">
        <f>VLOOKUP(B113,Table3[[max]:[crop]],2,FALSE)</f>
        <v>#DIV/0!</v>
      </c>
      <c r="F113" s="738" t="e">
        <f>VLOOKUP(C113,chronic_intake_assessment!$C$1212:$H$1590,6,FALSE)</f>
        <v>#DIV/0!</v>
      </c>
      <c r="G113" s="71">
        <v>35</v>
      </c>
    </row>
    <row r="114" spans="2:7" x14ac:dyDescent="0.2">
      <c r="B114" s="613" t="e">
        <f>LARGE(Table3[max],ROW()-ROW($B$78))</f>
        <v>#DIV/0!</v>
      </c>
      <c r="C114" s="731" t="e">
        <f>VLOOKUP(B114,Table3[[max]:[crop]],3,FALSE)</f>
        <v>#DIV/0!</v>
      </c>
      <c r="D114" s="732" t="e">
        <f>VLOOKUP(C114,chronic_intake_assessment!$C$1212:$G$1590,5,FALSE)</f>
        <v>#DIV/0!</v>
      </c>
      <c r="E114" s="733" t="e">
        <f>VLOOKUP(B114,Table3[[max]:[crop]],2,FALSE)</f>
        <v>#DIV/0!</v>
      </c>
      <c r="F114" s="738" t="e">
        <f>VLOOKUP(C114,chronic_intake_assessment!$C$1212:$H$1590,6,FALSE)</f>
        <v>#DIV/0!</v>
      </c>
      <c r="G114" s="71">
        <v>36</v>
      </c>
    </row>
    <row r="115" spans="2:7" x14ac:dyDescent="0.2">
      <c r="B115" s="613" t="e">
        <f>LARGE(Table3[max],ROW()-ROW($B$78))</f>
        <v>#DIV/0!</v>
      </c>
      <c r="C115" s="731" t="e">
        <f>VLOOKUP(B115,Table3[[max]:[crop]],3,FALSE)</f>
        <v>#DIV/0!</v>
      </c>
      <c r="D115" s="732" t="e">
        <f>VLOOKUP(C115,chronic_intake_assessment!$C$1212:$G$1590,5,FALSE)</f>
        <v>#DIV/0!</v>
      </c>
      <c r="E115" s="733" t="e">
        <f>VLOOKUP(B115,Table3[[max]:[crop]],2,FALSE)</f>
        <v>#DIV/0!</v>
      </c>
      <c r="F115" s="738" t="e">
        <f>VLOOKUP(C115,chronic_intake_assessment!$C$1212:$H$1590,6,FALSE)</f>
        <v>#DIV/0!</v>
      </c>
      <c r="G115" s="71">
        <v>37</v>
      </c>
    </row>
    <row r="116" spans="2:7" x14ac:dyDescent="0.2">
      <c r="B116" s="613" t="e">
        <f>LARGE(Table3[max],ROW()-ROW($B$78))</f>
        <v>#DIV/0!</v>
      </c>
      <c r="C116" s="731" t="e">
        <f>VLOOKUP(B116,Table3[[max]:[crop]],3,FALSE)</f>
        <v>#DIV/0!</v>
      </c>
      <c r="D116" s="732" t="e">
        <f>VLOOKUP(C116,chronic_intake_assessment!$C$1212:$G$1590,5,FALSE)</f>
        <v>#DIV/0!</v>
      </c>
      <c r="E116" s="733" t="e">
        <f>VLOOKUP(B116,Table3[[max]:[crop]],2,FALSE)</f>
        <v>#DIV/0!</v>
      </c>
      <c r="F116" s="738" t="e">
        <f>VLOOKUP(C116,chronic_intake_assessment!$C$1212:$H$1590,6,FALSE)</f>
        <v>#DIV/0!</v>
      </c>
      <c r="G116" s="71">
        <v>38</v>
      </c>
    </row>
    <row r="117" spans="2:7" x14ac:dyDescent="0.2">
      <c r="B117" s="613" t="e">
        <f>LARGE(Table3[max],ROW()-ROW($B$78))</f>
        <v>#DIV/0!</v>
      </c>
      <c r="C117" s="731" t="e">
        <f>VLOOKUP(B117,Table3[[max]:[crop]],3,FALSE)</f>
        <v>#DIV/0!</v>
      </c>
      <c r="D117" s="732" t="e">
        <f>VLOOKUP(C117,chronic_intake_assessment!$C$1212:$G$1590,5,FALSE)</f>
        <v>#DIV/0!</v>
      </c>
      <c r="E117" s="733" t="e">
        <f>VLOOKUP(B117,Table3[[max]:[crop]],2,FALSE)</f>
        <v>#DIV/0!</v>
      </c>
      <c r="F117" s="738" t="e">
        <f>VLOOKUP(C117,chronic_intake_assessment!$C$1212:$H$1590,6,FALSE)</f>
        <v>#DIV/0!</v>
      </c>
      <c r="G117" s="71">
        <v>39</v>
      </c>
    </row>
    <row r="118" spans="2:7" x14ac:dyDescent="0.2">
      <c r="B118" s="613" t="e">
        <f>LARGE(Table3[max],ROW()-ROW($B$78))</f>
        <v>#DIV/0!</v>
      </c>
      <c r="C118" s="731" t="e">
        <f>VLOOKUP(B118,Table3[[max]:[crop]],3,FALSE)</f>
        <v>#DIV/0!</v>
      </c>
      <c r="D118" s="732" t="e">
        <f>VLOOKUP(C118,chronic_intake_assessment!$C$1212:$G$1590,5,FALSE)</f>
        <v>#DIV/0!</v>
      </c>
      <c r="E118" s="733" t="e">
        <f>VLOOKUP(B118,Table3[[max]:[crop]],2,FALSE)</f>
        <v>#DIV/0!</v>
      </c>
      <c r="F118" s="738" t="e">
        <f>VLOOKUP(C118,chronic_intake_assessment!$C$1212:$H$1590,6,FALSE)</f>
        <v>#DIV/0!</v>
      </c>
      <c r="G118" s="71">
        <v>40</v>
      </c>
    </row>
    <row r="119" spans="2:7" x14ac:dyDescent="0.2">
      <c r="B119" s="613" t="e">
        <f>LARGE(Table3[max],ROW()-ROW($B$78))</f>
        <v>#DIV/0!</v>
      </c>
      <c r="C119" s="731" t="e">
        <f>VLOOKUP(B119,Table3[[max]:[crop]],3,FALSE)</f>
        <v>#DIV/0!</v>
      </c>
      <c r="D119" s="732" t="e">
        <f>VLOOKUP(C119,chronic_intake_assessment!$C$1212:$G$1590,5,FALSE)</f>
        <v>#DIV/0!</v>
      </c>
      <c r="E119" s="733" t="e">
        <f>VLOOKUP(B119,Table3[[max]:[crop]],2,FALSE)</f>
        <v>#DIV/0!</v>
      </c>
      <c r="F119" s="738" t="e">
        <f>VLOOKUP(C119,chronic_intake_assessment!$C$1212:$H$1590,6,FALSE)</f>
        <v>#DIV/0!</v>
      </c>
      <c r="G119" s="71">
        <v>41</v>
      </c>
    </row>
    <row r="120" spans="2:7" x14ac:dyDescent="0.2">
      <c r="B120" s="613" t="e">
        <f>LARGE(Table3[max],ROW()-ROW($B$78))</f>
        <v>#DIV/0!</v>
      </c>
      <c r="C120" s="731" t="e">
        <f>VLOOKUP(B120,Table3[[max]:[crop]],3,FALSE)</f>
        <v>#DIV/0!</v>
      </c>
      <c r="D120" s="732" t="e">
        <f>VLOOKUP(C120,chronic_intake_assessment!$C$1212:$G$1590,5,FALSE)</f>
        <v>#DIV/0!</v>
      </c>
      <c r="E120" s="733" t="e">
        <f>VLOOKUP(B120,Table3[[max]:[crop]],2,FALSE)</f>
        <v>#DIV/0!</v>
      </c>
      <c r="F120" s="738" t="e">
        <f>VLOOKUP(C120,chronic_intake_assessment!$C$1212:$H$1590,6,FALSE)</f>
        <v>#DIV/0!</v>
      </c>
      <c r="G120" s="71">
        <v>42</v>
      </c>
    </row>
    <row r="121" spans="2:7" x14ac:dyDescent="0.2">
      <c r="B121" s="613" t="e">
        <f>LARGE(Table3[max],ROW()-ROW($B$78))</f>
        <v>#DIV/0!</v>
      </c>
      <c r="C121" s="731" t="e">
        <f>VLOOKUP(B121,Table3[[max]:[crop]],3,FALSE)</f>
        <v>#DIV/0!</v>
      </c>
      <c r="D121" s="732" t="e">
        <f>VLOOKUP(C121,chronic_intake_assessment!$C$1212:$G$1590,5,FALSE)</f>
        <v>#DIV/0!</v>
      </c>
      <c r="E121" s="733" t="e">
        <f>VLOOKUP(B121,Table3[[max]:[crop]],2,FALSE)</f>
        <v>#DIV/0!</v>
      </c>
      <c r="F121" s="738" t="e">
        <f>VLOOKUP(C121,chronic_intake_assessment!$C$1212:$H$1590,6,FALSE)</f>
        <v>#DIV/0!</v>
      </c>
      <c r="G121" s="71">
        <v>43</v>
      </c>
    </row>
    <row r="122" spans="2:7" x14ac:dyDescent="0.2">
      <c r="B122" s="613" t="e">
        <f>LARGE(Table3[max],ROW()-ROW($B$78))</f>
        <v>#DIV/0!</v>
      </c>
      <c r="C122" s="731" t="e">
        <f>VLOOKUP(B122,Table3[[max]:[crop]],3,FALSE)</f>
        <v>#DIV/0!</v>
      </c>
      <c r="D122" s="732" t="e">
        <f>VLOOKUP(C122,chronic_intake_assessment!$C$1212:$G$1590,5,FALSE)</f>
        <v>#DIV/0!</v>
      </c>
      <c r="E122" s="733" t="e">
        <f>VLOOKUP(B122,Table3[[max]:[crop]],2,FALSE)</f>
        <v>#DIV/0!</v>
      </c>
      <c r="F122" s="738" t="e">
        <f>VLOOKUP(C122,chronic_intake_assessment!$C$1212:$H$1590,6,FALSE)</f>
        <v>#DIV/0!</v>
      </c>
      <c r="G122" s="71">
        <v>44</v>
      </c>
    </row>
    <row r="123" spans="2:7" x14ac:dyDescent="0.2">
      <c r="B123" s="613" t="e">
        <f>LARGE(Table3[max],ROW()-ROW($B$78))</f>
        <v>#DIV/0!</v>
      </c>
      <c r="C123" s="731" t="e">
        <f>VLOOKUP(B123,Table3[[max]:[crop]],3,FALSE)</f>
        <v>#DIV/0!</v>
      </c>
      <c r="D123" s="732" t="e">
        <f>VLOOKUP(C123,chronic_intake_assessment!$C$1212:$G$1590,5,FALSE)</f>
        <v>#DIV/0!</v>
      </c>
      <c r="E123" s="733" t="e">
        <f>VLOOKUP(B123,Table3[[max]:[crop]],2,FALSE)</f>
        <v>#DIV/0!</v>
      </c>
      <c r="F123" s="738" t="e">
        <f>VLOOKUP(C123,chronic_intake_assessment!$C$1212:$H$1590,6,FALSE)</f>
        <v>#DIV/0!</v>
      </c>
      <c r="G123" s="71">
        <v>45</v>
      </c>
    </row>
    <row r="124" spans="2:7" x14ac:dyDescent="0.2">
      <c r="B124" s="613" t="e">
        <f>LARGE(Table3[max],ROW()-ROW($B$78))</f>
        <v>#DIV/0!</v>
      </c>
      <c r="C124" s="731" t="e">
        <f>VLOOKUP(B124,Table3[[max]:[crop]],3,FALSE)</f>
        <v>#DIV/0!</v>
      </c>
      <c r="D124" s="732" t="e">
        <f>VLOOKUP(C124,chronic_intake_assessment!$C$1212:$G$1590,5,FALSE)</f>
        <v>#DIV/0!</v>
      </c>
      <c r="E124" s="733" t="e">
        <f>VLOOKUP(B124,Table3[[max]:[crop]],2,FALSE)</f>
        <v>#DIV/0!</v>
      </c>
      <c r="F124" s="738" t="e">
        <f>VLOOKUP(C124,chronic_intake_assessment!$C$1212:$H$1590,6,FALSE)</f>
        <v>#DIV/0!</v>
      </c>
      <c r="G124" s="71">
        <v>46</v>
      </c>
    </row>
    <row r="125" spans="2:7" x14ac:dyDescent="0.2">
      <c r="B125" s="613" t="e">
        <f>LARGE(Table3[max],ROW()-ROW($B$78))</f>
        <v>#DIV/0!</v>
      </c>
      <c r="C125" s="731" t="e">
        <f>VLOOKUP(B125,Table3[[max]:[crop]],3,FALSE)</f>
        <v>#DIV/0!</v>
      </c>
      <c r="D125" s="732" t="e">
        <f>VLOOKUP(C125,chronic_intake_assessment!$C$1212:$G$1590,5,FALSE)</f>
        <v>#DIV/0!</v>
      </c>
      <c r="E125" s="733" t="e">
        <f>VLOOKUP(B125,Table3[[max]:[crop]],2,FALSE)</f>
        <v>#DIV/0!</v>
      </c>
      <c r="F125" s="738" t="e">
        <f>VLOOKUP(C125,chronic_intake_assessment!$C$1212:$H$1590,6,FALSE)</f>
        <v>#DIV/0!</v>
      </c>
      <c r="G125" s="71">
        <v>47</v>
      </c>
    </row>
    <row r="126" spans="2:7" x14ac:dyDescent="0.2">
      <c r="B126" s="613" t="e">
        <f>LARGE(Table3[max],ROW()-ROW($B$78))</f>
        <v>#DIV/0!</v>
      </c>
      <c r="C126" s="731" t="e">
        <f>VLOOKUP(B126,Table3[[max]:[crop]],3,FALSE)</f>
        <v>#DIV/0!</v>
      </c>
      <c r="D126" s="732" t="e">
        <f>VLOOKUP(C126,chronic_intake_assessment!$C$1212:$G$1590,5,FALSE)</f>
        <v>#DIV/0!</v>
      </c>
      <c r="E126" s="733" t="e">
        <f>VLOOKUP(B126,Table3[[max]:[crop]],2,FALSE)</f>
        <v>#DIV/0!</v>
      </c>
      <c r="F126" s="738" t="e">
        <f>VLOOKUP(C126,chronic_intake_assessment!$C$1212:$H$1590,6,FALSE)</f>
        <v>#DIV/0!</v>
      </c>
      <c r="G126" s="71">
        <v>48</v>
      </c>
    </row>
    <row r="127" spans="2:7" x14ac:dyDescent="0.2">
      <c r="B127" s="613" t="e">
        <f>LARGE(Table3[max],ROW()-ROW($B$78))</f>
        <v>#DIV/0!</v>
      </c>
      <c r="C127" s="731" t="e">
        <f>VLOOKUP(B127,Table3[[max]:[crop]],3,FALSE)</f>
        <v>#DIV/0!</v>
      </c>
      <c r="D127" s="732" t="e">
        <f>VLOOKUP(C127,chronic_intake_assessment!$C$1212:$G$1590,5,FALSE)</f>
        <v>#DIV/0!</v>
      </c>
      <c r="E127" s="733" t="e">
        <f>VLOOKUP(B127,Table3[[max]:[crop]],2,FALSE)</f>
        <v>#DIV/0!</v>
      </c>
      <c r="F127" s="738" t="e">
        <f>VLOOKUP(C127,chronic_intake_assessment!$C$1212:$H$1590,6,FALSE)</f>
        <v>#DIV/0!</v>
      </c>
      <c r="G127" s="71">
        <v>49</v>
      </c>
    </row>
    <row r="128" spans="2:7" x14ac:dyDescent="0.2">
      <c r="B128" s="613" t="e">
        <f>LARGE(Table3[max],ROW()-ROW($B$78))</f>
        <v>#DIV/0!</v>
      </c>
      <c r="C128" s="731" t="e">
        <f>VLOOKUP(B128,Table3[[max]:[crop]],3,FALSE)</f>
        <v>#DIV/0!</v>
      </c>
      <c r="D128" s="732" t="e">
        <f>VLOOKUP(C128,chronic_intake_assessment!$C$1212:$G$1590,5,FALSE)</f>
        <v>#DIV/0!</v>
      </c>
      <c r="E128" s="733" t="e">
        <f>VLOOKUP(B128,Table3[[max]:[crop]],2,FALSE)</f>
        <v>#DIV/0!</v>
      </c>
      <c r="F128" s="738" t="e">
        <f>VLOOKUP(C128,chronic_intake_assessment!$C$1212:$H$1590,6,FALSE)</f>
        <v>#DIV/0!</v>
      </c>
      <c r="G128" s="71">
        <v>50</v>
      </c>
    </row>
    <row r="129" spans="2:7" x14ac:dyDescent="0.2">
      <c r="B129" s="613" t="e">
        <f>LARGE(Table3[max],ROW()-ROW($B$78))</f>
        <v>#DIV/0!</v>
      </c>
      <c r="C129" s="731" t="e">
        <f>VLOOKUP(B129,Table3[[max]:[crop]],3,FALSE)</f>
        <v>#DIV/0!</v>
      </c>
      <c r="D129" s="732" t="e">
        <f>VLOOKUP(C129,chronic_intake_assessment!$C$1212:$G$1590,5,FALSE)</f>
        <v>#DIV/0!</v>
      </c>
      <c r="E129" s="733" t="e">
        <f>VLOOKUP(B129,Table3[[max]:[crop]],2,FALSE)</f>
        <v>#DIV/0!</v>
      </c>
      <c r="F129" s="738" t="e">
        <f>VLOOKUP(C129,chronic_intake_assessment!$C$1212:$H$1590,6,FALSE)</f>
        <v>#DIV/0!</v>
      </c>
      <c r="G129" s="71">
        <v>51</v>
      </c>
    </row>
    <row r="130" spans="2:7" x14ac:dyDescent="0.2">
      <c r="B130" s="613" t="e">
        <f>LARGE(Table3[max],ROW()-ROW($B$78))</f>
        <v>#DIV/0!</v>
      </c>
      <c r="C130" s="731" t="e">
        <f>VLOOKUP(B130,Table3[[max]:[crop]],3,FALSE)</f>
        <v>#DIV/0!</v>
      </c>
      <c r="D130" s="732" t="e">
        <f>VLOOKUP(C130,chronic_intake_assessment!$C$1212:$G$1590,5,FALSE)</f>
        <v>#DIV/0!</v>
      </c>
      <c r="E130" s="733" t="e">
        <f>VLOOKUP(B130,Table3[[max]:[crop]],2,FALSE)</f>
        <v>#DIV/0!</v>
      </c>
      <c r="F130" s="738" t="e">
        <f>VLOOKUP(C130,chronic_intake_assessment!$C$1212:$H$1590,6,FALSE)</f>
        <v>#DIV/0!</v>
      </c>
      <c r="G130" s="71">
        <v>52</v>
      </c>
    </row>
    <row r="131" spans="2:7" x14ac:dyDescent="0.2">
      <c r="B131" s="613" t="e">
        <f>LARGE(Table3[max],ROW()-ROW($B$78))</f>
        <v>#DIV/0!</v>
      </c>
      <c r="C131" s="731" t="e">
        <f>VLOOKUP(B131,Table3[[max]:[crop]],3,FALSE)</f>
        <v>#DIV/0!</v>
      </c>
      <c r="D131" s="732" t="e">
        <f>VLOOKUP(C131,chronic_intake_assessment!$C$1212:$G$1590,5,FALSE)</f>
        <v>#DIV/0!</v>
      </c>
      <c r="E131" s="733" t="e">
        <f>VLOOKUP(B131,Table3[[max]:[crop]],2,FALSE)</f>
        <v>#DIV/0!</v>
      </c>
      <c r="F131" s="738" t="e">
        <f>VLOOKUP(C131,chronic_intake_assessment!$C$1212:$H$1590,6,FALSE)</f>
        <v>#DIV/0!</v>
      </c>
      <c r="G131" s="71">
        <v>53</v>
      </c>
    </row>
    <row r="132" spans="2:7" x14ac:dyDescent="0.2">
      <c r="B132" s="613" t="e">
        <f>LARGE(Table3[max],ROW()-ROW($B$78))</f>
        <v>#DIV/0!</v>
      </c>
      <c r="C132" s="731" t="e">
        <f>VLOOKUP(B132,Table3[[max]:[crop]],3,FALSE)</f>
        <v>#DIV/0!</v>
      </c>
      <c r="D132" s="732" t="e">
        <f>VLOOKUP(C132,chronic_intake_assessment!$C$1212:$G$1590,5,FALSE)</f>
        <v>#DIV/0!</v>
      </c>
      <c r="E132" s="733" t="e">
        <f>VLOOKUP(B132,Table3[[max]:[crop]],2,FALSE)</f>
        <v>#DIV/0!</v>
      </c>
      <c r="F132" s="738" t="e">
        <f>VLOOKUP(C132,chronic_intake_assessment!$C$1212:$H$1590,6,FALSE)</f>
        <v>#DIV/0!</v>
      </c>
      <c r="G132" s="71">
        <v>54</v>
      </c>
    </row>
    <row r="133" spans="2:7" x14ac:dyDescent="0.2">
      <c r="B133" s="613" t="e">
        <f>LARGE(Table3[max],ROW()-ROW($B$78))</f>
        <v>#DIV/0!</v>
      </c>
      <c r="C133" s="731" t="e">
        <f>VLOOKUP(B133,Table3[[max]:[crop]],3,FALSE)</f>
        <v>#DIV/0!</v>
      </c>
      <c r="D133" s="732" t="e">
        <f>VLOOKUP(C133,chronic_intake_assessment!$C$1212:$G$1590,5,FALSE)</f>
        <v>#DIV/0!</v>
      </c>
      <c r="E133" s="733" t="e">
        <f>VLOOKUP(B133,Table3[[max]:[crop]],2,FALSE)</f>
        <v>#DIV/0!</v>
      </c>
      <c r="F133" s="738" t="e">
        <f>VLOOKUP(C133,chronic_intake_assessment!$C$1212:$H$1590,6,FALSE)</f>
        <v>#DIV/0!</v>
      </c>
      <c r="G133" s="71">
        <v>55</v>
      </c>
    </row>
    <row r="134" spans="2:7" x14ac:dyDescent="0.2">
      <c r="B134" s="613" t="e">
        <f>LARGE(Table3[max],ROW()-ROW($B$78))</f>
        <v>#DIV/0!</v>
      </c>
      <c r="C134" s="731" t="e">
        <f>VLOOKUP(B134,Table3[[max]:[crop]],3,FALSE)</f>
        <v>#DIV/0!</v>
      </c>
      <c r="D134" s="732" t="e">
        <f>VLOOKUP(C134,chronic_intake_assessment!$C$1212:$G$1590,5,FALSE)</f>
        <v>#DIV/0!</v>
      </c>
      <c r="E134" s="733" t="e">
        <f>VLOOKUP(B134,Table3[[max]:[crop]],2,FALSE)</f>
        <v>#DIV/0!</v>
      </c>
      <c r="F134" s="738" t="e">
        <f>VLOOKUP(C134,chronic_intake_assessment!$C$1212:$H$1590,6,FALSE)</f>
        <v>#DIV/0!</v>
      </c>
      <c r="G134" s="71">
        <v>56</v>
      </c>
    </row>
    <row r="135" spans="2:7" x14ac:dyDescent="0.2">
      <c r="B135" s="613" t="e">
        <f>LARGE(Table3[max],ROW()-ROW($B$78))</f>
        <v>#DIV/0!</v>
      </c>
      <c r="C135" s="731" t="e">
        <f>VLOOKUP(B135,Table3[[max]:[crop]],3,FALSE)</f>
        <v>#DIV/0!</v>
      </c>
      <c r="D135" s="732" t="e">
        <f>VLOOKUP(C135,chronic_intake_assessment!$C$1212:$G$1590,5,FALSE)</f>
        <v>#DIV/0!</v>
      </c>
      <c r="E135" s="733" t="e">
        <f>VLOOKUP(B135,Table3[[max]:[crop]],2,FALSE)</f>
        <v>#DIV/0!</v>
      </c>
      <c r="F135" s="738" t="e">
        <f>VLOOKUP(C135,chronic_intake_assessment!$C$1212:$H$1590,6,FALSE)</f>
        <v>#DIV/0!</v>
      </c>
      <c r="G135" s="71">
        <v>57</v>
      </c>
    </row>
    <row r="136" spans="2:7" x14ac:dyDescent="0.2">
      <c r="B136" s="613" t="e">
        <f>LARGE(Table3[max],ROW()-ROW($B$78))</f>
        <v>#DIV/0!</v>
      </c>
      <c r="C136" s="731" t="e">
        <f>VLOOKUP(B136,Table3[[max]:[crop]],3,FALSE)</f>
        <v>#DIV/0!</v>
      </c>
      <c r="D136" s="732" t="e">
        <f>VLOOKUP(C136,chronic_intake_assessment!$C$1212:$G$1590,5,FALSE)</f>
        <v>#DIV/0!</v>
      </c>
      <c r="E136" s="733" t="e">
        <f>VLOOKUP(B136,Table3[[max]:[crop]],2,FALSE)</f>
        <v>#DIV/0!</v>
      </c>
      <c r="F136" s="738" t="e">
        <f>VLOOKUP(C136,chronic_intake_assessment!$C$1212:$H$1590,6,FALSE)</f>
        <v>#DIV/0!</v>
      </c>
      <c r="G136" s="71">
        <v>58</v>
      </c>
    </row>
    <row r="137" spans="2:7" x14ac:dyDescent="0.2">
      <c r="B137" s="613" t="e">
        <f>LARGE(Table3[max],ROW()-ROW($B$78))</f>
        <v>#DIV/0!</v>
      </c>
      <c r="C137" s="731" t="e">
        <f>VLOOKUP(B137,Table3[[max]:[crop]],3,FALSE)</f>
        <v>#DIV/0!</v>
      </c>
      <c r="D137" s="732" t="e">
        <f>VLOOKUP(C137,chronic_intake_assessment!$C$1212:$G$1590,5,FALSE)</f>
        <v>#DIV/0!</v>
      </c>
      <c r="E137" s="733" t="e">
        <f>VLOOKUP(B137,Table3[[max]:[crop]],2,FALSE)</f>
        <v>#DIV/0!</v>
      </c>
      <c r="F137" s="738" t="e">
        <f>VLOOKUP(C137,chronic_intake_assessment!$C$1212:$H$1590,6,FALSE)</f>
        <v>#DIV/0!</v>
      </c>
      <c r="G137" s="71">
        <v>59</v>
      </c>
    </row>
    <row r="138" spans="2:7" x14ac:dyDescent="0.2">
      <c r="B138" s="613" t="e">
        <f>LARGE(Table3[max],ROW()-ROW($B$78))</f>
        <v>#DIV/0!</v>
      </c>
      <c r="C138" s="731" t="e">
        <f>VLOOKUP(B138,Table3[[max]:[crop]],3,FALSE)</f>
        <v>#DIV/0!</v>
      </c>
      <c r="D138" s="732" t="e">
        <f>VLOOKUP(C138,chronic_intake_assessment!$C$1212:$G$1590,5,FALSE)</f>
        <v>#DIV/0!</v>
      </c>
      <c r="E138" s="733" t="e">
        <f>VLOOKUP(B138,Table3[[max]:[crop]],2,FALSE)</f>
        <v>#DIV/0!</v>
      </c>
      <c r="F138" s="738" t="e">
        <f>VLOOKUP(C138,chronic_intake_assessment!$C$1212:$H$1590,6,FALSE)</f>
        <v>#DIV/0!</v>
      </c>
      <c r="G138" s="71">
        <v>60</v>
      </c>
    </row>
    <row r="139" spans="2:7" x14ac:dyDescent="0.2">
      <c r="B139" s="613" t="e">
        <f>LARGE(Table3[max],ROW()-ROW($B$78))</f>
        <v>#DIV/0!</v>
      </c>
      <c r="C139" s="731" t="e">
        <f>VLOOKUP(B139,Table3[[max]:[crop]],3,FALSE)</f>
        <v>#DIV/0!</v>
      </c>
      <c r="D139" s="732" t="e">
        <f>VLOOKUP(C139,chronic_intake_assessment!$C$1212:$G$1590,5,FALSE)</f>
        <v>#DIV/0!</v>
      </c>
      <c r="E139" s="733" t="e">
        <f>VLOOKUP(B139,Table3[[max]:[crop]],2,FALSE)</f>
        <v>#DIV/0!</v>
      </c>
      <c r="F139" s="738" t="e">
        <f>VLOOKUP(C139,chronic_intake_assessment!$C$1212:$H$1590,6,FALSE)</f>
        <v>#DIV/0!</v>
      </c>
      <c r="G139" s="71">
        <v>61</v>
      </c>
    </row>
    <row r="140" spans="2:7" x14ac:dyDescent="0.2">
      <c r="B140" s="613" t="e">
        <f>LARGE(Table3[max],ROW()-ROW($B$78))</f>
        <v>#DIV/0!</v>
      </c>
      <c r="C140" s="731" t="e">
        <f>VLOOKUP(B140,Table3[[max]:[crop]],3,FALSE)</f>
        <v>#DIV/0!</v>
      </c>
      <c r="D140" s="732" t="e">
        <f>VLOOKUP(C140,chronic_intake_assessment!$C$1212:$G$1590,5,FALSE)</f>
        <v>#DIV/0!</v>
      </c>
      <c r="E140" s="733" t="e">
        <f>VLOOKUP(B140,Table3[[max]:[crop]],2,FALSE)</f>
        <v>#DIV/0!</v>
      </c>
      <c r="F140" s="738" t="e">
        <f>VLOOKUP(C140,chronic_intake_assessment!$C$1212:$H$1590,6,FALSE)</f>
        <v>#DIV/0!</v>
      </c>
      <c r="G140" s="71">
        <v>62</v>
      </c>
    </row>
    <row r="141" spans="2:7" x14ac:dyDescent="0.2">
      <c r="B141" s="613" t="e">
        <f>LARGE(Table3[max],ROW()-ROW($B$78))</f>
        <v>#DIV/0!</v>
      </c>
      <c r="C141" s="731" t="e">
        <f>VLOOKUP(B141,Table3[[max]:[crop]],3,FALSE)</f>
        <v>#DIV/0!</v>
      </c>
      <c r="D141" s="732" t="e">
        <f>VLOOKUP(C141,chronic_intake_assessment!$C$1212:$G$1590,5,FALSE)</f>
        <v>#DIV/0!</v>
      </c>
      <c r="E141" s="733" t="e">
        <f>VLOOKUP(B141,Table3[[max]:[crop]],2,FALSE)</f>
        <v>#DIV/0!</v>
      </c>
      <c r="F141" s="738" t="e">
        <f>VLOOKUP(C141,chronic_intake_assessment!$C$1212:$H$1590,6,FALSE)</f>
        <v>#DIV/0!</v>
      </c>
      <c r="G141" s="71">
        <v>63</v>
      </c>
    </row>
    <row r="142" spans="2:7" x14ac:dyDescent="0.2">
      <c r="B142" s="613" t="e">
        <f>LARGE(Table3[max],ROW()-ROW($B$78))</f>
        <v>#DIV/0!</v>
      </c>
      <c r="C142" s="731" t="e">
        <f>VLOOKUP(B142,Table3[[max]:[crop]],3,FALSE)</f>
        <v>#DIV/0!</v>
      </c>
      <c r="D142" s="732" t="e">
        <f>VLOOKUP(C142,chronic_intake_assessment!$C$1212:$G$1590,5,FALSE)</f>
        <v>#DIV/0!</v>
      </c>
      <c r="E142" s="733" t="e">
        <f>VLOOKUP(B142,Table3[[max]:[crop]],2,FALSE)</f>
        <v>#DIV/0!</v>
      </c>
      <c r="F142" s="738" t="e">
        <f>VLOOKUP(C142,chronic_intake_assessment!$C$1212:$H$1590,6,FALSE)</f>
        <v>#DIV/0!</v>
      </c>
      <c r="G142" s="71">
        <v>64</v>
      </c>
    </row>
    <row r="143" spans="2:7" x14ac:dyDescent="0.2">
      <c r="B143" s="613" t="e">
        <f>LARGE(Table3[max],ROW()-ROW($B$78))</f>
        <v>#DIV/0!</v>
      </c>
      <c r="C143" s="731" t="e">
        <f>VLOOKUP(B143,Table3[[max]:[crop]],3,FALSE)</f>
        <v>#DIV/0!</v>
      </c>
      <c r="D143" s="732" t="e">
        <f>VLOOKUP(C143,chronic_intake_assessment!$C$1212:$G$1590,5,FALSE)</f>
        <v>#DIV/0!</v>
      </c>
      <c r="E143" s="733" t="e">
        <f>VLOOKUP(B143,Table3[[max]:[crop]],2,FALSE)</f>
        <v>#DIV/0!</v>
      </c>
      <c r="F143" s="738" t="e">
        <f>VLOOKUP(C143,chronic_intake_assessment!$C$1212:$H$1590,6,FALSE)</f>
        <v>#DIV/0!</v>
      </c>
      <c r="G143" s="71">
        <v>65</v>
      </c>
    </row>
    <row r="144" spans="2:7" x14ac:dyDescent="0.2">
      <c r="B144" s="613" t="e">
        <f>LARGE(Table3[max],ROW()-ROW($B$78))</f>
        <v>#DIV/0!</v>
      </c>
      <c r="C144" s="731" t="e">
        <f>VLOOKUP(B144,Table3[[max]:[crop]],3,FALSE)</f>
        <v>#DIV/0!</v>
      </c>
      <c r="D144" s="732" t="e">
        <f>VLOOKUP(C144,chronic_intake_assessment!$C$1212:$G$1590,5,FALSE)</f>
        <v>#DIV/0!</v>
      </c>
      <c r="E144" s="733" t="e">
        <f>VLOOKUP(B144,Table3[[max]:[crop]],2,FALSE)</f>
        <v>#DIV/0!</v>
      </c>
      <c r="F144" s="738" t="e">
        <f>VLOOKUP(C144,chronic_intake_assessment!$C$1212:$H$1590,6,FALSE)</f>
        <v>#DIV/0!</v>
      </c>
      <c r="G144" s="71">
        <v>66</v>
      </c>
    </row>
    <row r="145" spans="2:7" x14ac:dyDescent="0.2">
      <c r="B145" s="613" t="e">
        <f>LARGE(Table3[max],ROW()-ROW($B$78))</f>
        <v>#DIV/0!</v>
      </c>
      <c r="C145" s="731" t="e">
        <f>VLOOKUP(B145,Table3[[max]:[crop]],3,FALSE)</f>
        <v>#DIV/0!</v>
      </c>
      <c r="D145" s="732" t="e">
        <f>VLOOKUP(C145,chronic_intake_assessment!$C$1212:$G$1590,5,FALSE)</f>
        <v>#DIV/0!</v>
      </c>
      <c r="E145" s="733" t="e">
        <f>VLOOKUP(B145,Table3[[max]:[crop]],2,FALSE)</f>
        <v>#DIV/0!</v>
      </c>
      <c r="F145" s="738" t="e">
        <f>VLOOKUP(C145,chronic_intake_assessment!$C$1212:$H$1590,6,FALSE)</f>
        <v>#DIV/0!</v>
      </c>
      <c r="G145" s="71">
        <v>67</v>
      </c>
    </row>
    <row r="146" spans="2:7" x14ac:dyDescent="0.2">
      <c r="B146" s="613" t="e">
        <f>LARGE(Table3[max],ROW()-ROW($B$78))</f>
        <v>#DIV/0!</v>
      </c>
      <c r="C146" s="731" t="e">
        <f>VLOOKUP(B146,Table3[[max]:[crop]],3,FALSE)</f>
        <v>#DIV/0!</v>
      </c>
      <c r="D146" s="732" t="e">
        <f>VLOOKUP(C146,chronic_intake_assessment!$C$1212:$G$1590,5,FALSE)</f>
        <v>#DIV/0!</v>
      </c>
      <c r="E146" s="733" t="e">
        <f>VLOOKUP(B146,Table3[[max]:[crop]],2,FALSE)</f>
        <v>#DIV/0!</v>
      </c>
      <c r="F146" s="738" t="e">
        <f>VLOOKUP(C146,chronic_intake_assessment!$C$1212:$H$1590,6,FALSE)</f>
        <v>#DIV/0!</v>
      </c>
      <c r="G146" s="71">
        <v>68</v>
      </c>
    </row>
    <row r="147" spans="2:7" x14ac:dyDescent="0.2">
      <c r="B147" s="613" t="e">
        <f>LARGE(Table3[max],ROW()-ROW($B$78))</f>
        <v>#DIV/0!</v>
      </c>
      <c r="C147" s="731" t="e">
        <f>VLOOKUP(B147,Table3[[max]:[crop]],3,FALSE)</f>
        <v>#DIV/0!</v>
      </c>
      <c r="D147" s="732" t="e">
        <f>VLOOKUP(C147,chronic_intake_assessment!$C$1212:$G$1590,5,FALSE)</f>
        <v>#DIV/0!</v>
      </c>
      <c r="E147" s="733" t="e">
        <f>VLOOKUP(B147,Table3[[max]:[crop]],2,FALSE)</f>
        <v>#DIV/0!</v>
      </c>
      <c r="F147" s="738" t="e">
        <f>VLOOKUP(C147,chronic_intake_assessment!$C$1212:$H$1590,6,FALSE)</f>
        <v>#DIV/0!</v>
      </c>
      <c r="G147" s="71">
        <v>69</v>
      </c>
    </row>
    <row r="148" spans="2:7" x14ac:dyDescent="0.2">
      <c r="B148" s="613" t="e">
        <f>LARGE(Table3[max],ROW()-ROW($B$78))</f>
        <v>#DIV/0!</v>
      </c>
      <c r="C148" s="731" t="e">
        <f>VLOOKUP(B148,Table3[[max]:[crop]],3,FALSE)</f>
        <v>#DIV/0!</v>
      </c>
      <c r="D148" s="732" t="e">
        <f>VLOOKUP(C148,chronic_intake_assessment!$C$1212:$G$1590,5,FALSE)</f>
        <v>#DIV/0!</v>
      </c>
      <c r="E148" s="733" t="e">
        <f>VLOOKUP(B148,Table3[[max]:[crop]],2,FALSE)</f>
        <v>#DIV/0!</v>
      </c>
      <c r="F148" s="738" t="e">
        <f>VLOOKUP(C148,chronic_intake_assessment!$C$1212:$H$1590,6,FALSE)</f>
        <v>#DIV/0!</v>
      </c>
      <c r="G148" s="71">
        <v>70</v>
      </c>
    </row>
    <row r="149" spans="2:7" x14ac:dyDescent="0.2">
      <c r="B149" s="613" t="e">
        <f>LARGE(Table3[max],ROW()-ROW($B$78))</f>
        <v>#DIV/0!</v>
      </c>
      <c r="C149" s="731" t="e">
        <f>VLOOKUP(B149,Table3[[max]:[crop]],3,FALSE)</f>
        <v>#DIV/0!</v>
      </c>
      <c r="D149" s="732" t="e">
        <f>VLOOKUP(C149,chronic_intake_assessment!$C$1212:$G$1590,5,FALSE)</f>
        <v>#DIV/0!</v>
      </c>
      <c r="E149" s="733" t="e">
        <f>VLOOKUP(B149,Table3[[max]:[crop]],2,FALSE)</f>
        <v>#DIV/0!</v>
      </c>
      <c r="F149" s="738" t="e">
        <f>VLOOKUP(C149,chronic_intake_assessment!$C$1212:$H$1590,6,FALSE)</f>
        <v>#DIV/0!</v>
      </c>
      <c r="G149" s="71">
        <v>71</v>
      </c>
    </row>
    <row r="150" spans="2:7" x14ac:dyDescent="0.2">
      <c r="B150" s="613" t="e">
        <f>LARGE(Table3[max],ROW()-ROW($B$78))</f>
        <v>#DIV/0!</v>
      </c>
      <c r="C150" s="731" t="e">
        <f>VLOOKUP(B150,Table3[[max]:[crop]],3,FALSE)</f>
        <v>#DIV/0!</v>
      </c>
      <c r="D150" s="732" t="e">
        <f>VLOOKUP(C150,chronic_intake_assessment!$C$1212:$G$1590,5,FALSE)</f>
        <v>#DIV/0!</v>
      </c>
      <c r="E150" s="733" t="e">
        <f>VLOOKUP(B150,Table3[[max]:[crop]],2,FALSE)</f>
        <v>#DIV/0!</v>
      </c>
      <c r="F150" s="738" t="e">
        <f>VLOOKUP(C150,chronic_intake_assessment!$C$1212:$H$1590,6,FALSE)</f>
        <v>#DIV/0!</v>
      </c>
      <c r="G150" s="71">
        <v>72</v>
      </c>
    </row>
    <row r="151" spans="2:7" x14ac:dyDescent="0.2">
      <c r="B151" s="613" t="e">
        <f>LARGE(Table3[max],ROW()-ROW($B$78))</f>
        <v>#DIV/0!</v>
      </c>
      <c r="C151" s="731" t="e">
        <f>VLOOKUP(B151,Table3[[max]:[crop]],3,FALSE)</f>
        <v>#DIV/0!</v>
      </c>
      <c r="D151" s="732" t="e">
        <f>VLOOKUP(C151,chronic_intake_assessment!$C$1212:$G$1590,5,FALSE)</f>
        <v>#DIV/0!</v>
      </c>
      <c r="E151" s="733" t="e">
        <f>VLOOKUP(B151,Table3[[max]:[crop]],2,FALSE)</f>
        <v>#DIV/0!</v>
      </c>
      <c r="F151" s="738" t="e">
        <f>VLOOKUP(C151,chronic_intake_assessment!$C$1212:$H$1590,6,FALSE)</f>
        <v>#DIV/0!</v>
      </c>
      <c r="G151" s="71">
        <v>73</v>
      </c>
    </row>
    <row r="152" spans="2:7" x14ac:dyDescent="0.2">
      <c r="B152" s="613" t="e">
        <f>LARGE(Table3[max],ROW()-ROW($B$78))</f>
        <v>#DIV/0!</v>
      </c>
      <c r="C152" s="731" t="e">
        <f>VLOOKUP(B152,Table3[[max]:[crop]],3,FALSE)</f>
        <v>#DIV/0!</v>
      </c>
      <c r="D152" s="732" t="e">
        <f>VLOOKUP(C152,chronic_intake_assessment!$C$1212:$G$1590,5,FALSE)</f>
        <v>#DIV/0!</v>
      </c>
      <c r="E152" s="733" t="e">
        <f>VLOOKUP(B152,Table3[[max]:[crop]],2,FALSE)</f>
        <v>#DIV/0!</v>
      </c>
      <c r="F152" s="738" t="e">
        <f>VLOOKUP(C152,chronic_intake_assessment!$C$1212:$H$1590,6,FALSE)</f>
        <v>#DIV/0!</v>
      </c>
      <c r="G152" s="71">
        <v>74</v>
      </c>
    </row>
    <row r="153" spans="2:7" x14ac:dyDescent="0.2">
      <c r="B153" s="613" t="e">
        <f>LARGE(Table3[max],ROW()-ROW($B$78))</f>
        <v>#DIV/0!</v>
      </c>
      <c r="C153" s="731" t="e">
        <f>VLOOKUP(B153,Table3[[max]:[crop]],3,FALSE)</f>
        <v>#DIV/0!</v>
      </c>
      <c r="D153" s="732" t="e">
        <f>VLOOKUP(C153,chronic_intake_assessment!$C$1212:$G$1590,5,FALSE)</f>
        <v>#DIV/0!</v>
      </c>
      <c r="E153" s="733" t="e">
        <f>VLOOKUP(B153,Table3[[max]:[crop]],2,FALSE)</f>
        <v>#DIV/0!</v>
      </c>
      <c r="F153" s="738" t="e">
        <f>VLOOKUP(C153,chronic_intake_assessment!$C$1212:$H$1590,6,FALSE)</f>
        <v>#DIV/0!</v>
      </c>
      <c r="G153" s="71">
        <v>75</v>
      </c>
    </row>
    <row r="154" spans="2:7" x14ac:dyDescent="0.2">
      <c r="B154" s="613" t="e">
        <f>LARGE(Table3[max],ROW()-ROW($B$78))</f>
        <v>#DIV/0!</v>
      </c>
      <c r="C154" s="731" t="e">
        <f>VLOOKUP(B154,Table3[[max]:[crop]],3,FALSE)</f>
        <v>#DIV/0!</v>
      </c>
      <c r="D154" s="732" t="e">
        <f>VLOOKUP(C154,chronic_intake_assessment!$C$1212:$G$1590,5,FALSE)</f>
        <v>#DIV/0!</v>
      </c>
      <c r="E154" s="733" t="e">
        <f>VLOOKUP(B154,Table3[[max]:[crop]],2,FALSE)</f>
        <v>#DIV/0!</v>
      </c>
      <c r="F154" s="738" t="e">
        <f>VLOOKUP(C154,chronic_intake_assessment!$C$1212:$H$1590,6,FALSE)</f>
        <v>#DIV/0!</v>
      </c>
      <c r="G154" s="71">
        <v>76</v>
      </c>
    </row>
    <row r="155" spans="2:7" x14ac:dyDescent="0.2">
      <c r="B155" s="613" t="e">
        <f>LARGE(Table3[max],ROW()-ROW($B$78))</f>
        <v>#DIV/0!</v>
      </c>
      <c r="C155" s="731" t="e">
        <f>VLOOKUP(B155,Table3[[max]:[crop]],3,FALSE)</f>
        <v>#DIV/0!</v>
      </c>
      <c r="D155" s="732" t="e">
        <f>VLOOKUP(C155,chronic_intake_assessment!$C$1212:$G$1590,5,FALSE)</f>
        <v>#DIV/0!</v>
      </c>
      <c r="E155" s="733" t="e">
        <f>VLOOKUP(B155,Table3[[max]:[crop]],2,FALSE)</f>
        <v>#DIV/0!</v>
      </c>
      <c r="F155" s="738" t="e">
        <f>VLOOKUP(C155,chronic_intake_assessment!$C$1212:$H$1590,6,FALSE)</f>
        <v>#DIV/0!</v>
      </c>
      <c r="G155" s="71">
        <v>77</v>
      </c>
    </row>
    <row r="156" spans="2:7" x14ac:dyDescent="0.2">
      <c r="B156" s="613" t="e">
        <f>LARGE(Table3[max],ROW()-ROW($B$78))</f>
        <v>#DIV/0!</v>
      </c>
      <c r="C156" s="731" t="e">
        <f>VLOOKUP(B156,Table3[[max]:[crop]],3,FALSE)</f>
        <v>#DIV/0!</v>
      </c>
      <c r="D156" s="732" t="e">
        <f>VLOOKUP(C156,chronic_intake_assessment!$C$1212:$G$1590,5,FALSE)</f>
        <v>#DIV/0!</v>
      </c>
      <c r="E156" s="733" t="e">
        <f>VLOOKUP(B156,Table3[[max]:[crop]],2,FALSE)</f>
        <v>#DIV/0!</v>
      </c>
      <c r="F156" s="738" t="e">
        <f>VLOOKUP(C156,chronic_intake_assessment!$C$1212:$H$1590,6,FALSE)</f>
        <v>#DIV/0!</v>
      </c>
      <c r="G156" s="71">
        <v>78</v>
      </c>
    </row>
    <row r="157" spans="2:7" x14ac:dyDescent="0.2">
      <c r="B157" s="613" t="e">
        <f>LARGE(Table3[max],ROW()-ROW($B$78))</f>
        <v>#DIV/0!</v>
      </c>
      <c r="C157" s="731" t="e">
        <f>VLOOKUP(B157,Table3[[max]:[crop]],3,FALSE)</f>
        <v>#DIV/0!</v>
      </c>
      <c r="D157" s="732" t="e">
        <f>VLOOKUP(C157,chronic_intake_assessment!$C$1212:$G$1590,5,FALSE)</f>
        <v>#DIV/0!</v>
      </c>
      <c r="E157" s="733" t="e">
        <f>VLOOKUP(B157,Table3[[max]:[crop]],2,FALSE)</f>
        <v>#DIV/0!</v>
      </c>
      <c r="F157" s="738" t="e">
        <f>VLOOKUP(C157,chronic_intake_assessment!$C$1212:$H$1590,6,FALSE)</f>
        <v>#DIV/0!</v>
      </c>
      <c r="G157" s="71">
        <v>79</v>
      </c>
    </row>
    <row r="158" spans="2:7" x14ac:dyDescent="0.2">
      <c r="B158" s="613" t="e">
        <f>LARGE(Table3[max],ROW()-ROW($B$78))</f>
        <v>#DIV/0!</v>
      </c>
      <c r="C158" s="731" t="e">
        <f>VLOOKUP(B158,Table3[[max]:[crop]],3,FALSE)</f>
        <v>#DIV/0!</v>
      </c>
      <c r="D158" s="732" t="e">
        <f>VLOOKUP(C158,chronic_intake_assessment!$C$1212:$G$1590,5,FALSE)</f>
        <v>#DIV/0!</v>
      </c>
      <c r="E158" s="733" t="e">
        <f>VLOOKUP(B158,Table3[[max]:[crop]],2,FALSE)</f>
        <v>#DIV/0!</v>
      </c>
      <c r="F158" s="738" t="e">
        <f>VLOOKUP(C158,chronic_intake_assessment!$C$1212:$H$1590,6,FALSE)</f>
        <v>#DIV/0!</v>
      </c>
      <c r="G158" s="71">
        <v>80</v>
      </c>
    </row>
    <row r="159" spans="2:7" x14ac:dyDescent="0.2">
      <c r="B159" s="613" t="e">
        <f>LARGE(Table3[max],ROW()-ROW($B$78))</f>
        <v>#DIV/0!</v>
      </c>
      <c r="C159" s="731" t="e">
        <f>VLOOKUP(B159,Table3[[max]:[crop]],3,FALSE)</f>
        <v>#DIV/0!</v>
      </c>
      <c r="D159" s="732" t="e">
        <f>VLOOKUP(C159,chronic_intake_assessment!$C$1212:$G$1590,5,FALSE)</f>
        <v>#DIV/0!</v>
      </c>
      <c r="E159" s="733" t="e">
        <f>VLOOKUP(B159,Table3[[max]:[crop]],2,FALSE)</f>
        <v>#DIV/0!</v>
      </c>
      <c r="F159" s="738" t="e">
        <f>VLOOKUP(C159,chronic_intake_assessment!$C$1212:$H$1590,6,FALSE)</f>
        <v>#DIV/0!</v>
      </c>
      <c r="G159" s="71">
        <v>81</v>
      </c>
    </row>
    <row r="160" spans="2:7" x14ac:dyDescent="0.2">
      <c r="B160" s="613" t="e">
        <f>LARGE(Table3[max],ROW()-ROW($B$78))</f>
        <v>#DIV/0!</v>
      </c>
      <c r="C160" s="731" t="e">
        <f>VLOOKUP(B160,Table3[[max]:[crop]],3,FALSE)</f>
        <v>#DIV/0!</v>
      </c>
      <c r="D160" s="732" t="e">
        <f>VLOOKUP(C160,chronic_intake_assessment!$C$1212:$G$1590,5,FALSE)</f>
        <v>#DIV/0!</v>
      </c>
      <c r="E160" s="733" t="e">
        <f>VLOOKUP(B160,Table3[[max]:[crop]],2,FALSE)</f>
        <v>#DIV/0!</v>
      </c>
      <c r="F160" s="738" t="e">
        <f>VLOOKUP(C160,chronic_intake_assessment!$C$1212:$H$1590,6,FALSE)</f>
        <v>#DIV/0!</v>
      </c>
      <c r="G160" s="71">
        <v>82</v>
      </c>
    </row>
    <row r="161" spans="2:7" x14ac:dyDescent="0.2">
      <c r="B161" s="613" t="e">
        <f>LARGE(Table3[max],ROW()-ROW($B$78))</f>
        <v>#DIV/0!</v>
      </c>
      <c r="C161" s="731" t="e">
        <f>VLOOKUP(B161,Table3[[max]:[crop]],3,FALSE)</f>
        <v>#DIV/0!</v>
      </c>
      <c r="D161" s="732" t="e">
        <f>VLOOKUP(C161,chronic_intake_assessment!$C$1212:$G$1590,5,FALSE)</f>
        <v>#DIV/0!</v>
      </c>
      <c r="E161" s="733" t="e">
        <f>VLOOKUP(B161,Table3[[max]:[crop]],2,FALSE)</f>
        <v>#DIV/0!</v>
      </c>
      <c r="F161" s="738" t="e">
        <f>VLOOKUP(C161,chronic_intake_assessment!$C$1212:$H$1590,6,FALSE)</f>
        <v>#DIV/0!</v>
      </c>
      <c r="G161" s="71">
        <v>83</v>
      </c>
    </row>
    <row r="162" spans="2:7" x14ac:dyDescent="0.2">
      <c r="B162" s="613" t="e">
        <f>LARGE(Table3[max],ROW()-ROW($B$78))</f>
        <v>#DIV/0!</v>
      </c>
      <c r="C162" s="731" t="e">
        <f>VLOOKUP(B162,Table3[[max]:[crop]],3,FALSE)</f>
        <v>#DIV/0!</v>
      </c>
      <c r="D162" s="732" t="e">
        <f>VLOOKUP(C162,chronic_intake_assessment!$C$1212:$G$1590,5,FALSE)</f>
        <v>#DIV/0!</v>
      </c>
      <c r="E162" s="733" t="e">
        <f>VLOOKUP(B162,Table3[[max]:[crop]],2,FALSE)</f>
        <v>#DIV/0!</v>
      </c>
      <c r="F162" s="738" t="e">
        <f>VLOOKUP(C162,chronic_intake_assessment!$C$1212:$H$1590,6,FALSE)</f>
        <v>#DIV/0!</v>
      </c>
      <c r="G162" s="71">
        <v>84</v>
      </c>
    </row>
    <row r="163" spans="2:7" x14ac:dyDescent="0.2">
      <c r="B163" s="613" t="e">
        <f>LARGE(Table3[max],ROW()-ROW($B$78))</f>
        <v>#DIV/0!</v>
      </c>
      <c r="C163" s="731" t="e">
        <f>VLOOKUP(B163,Table3[[max]:[crop]],3,FALSE)</f>
        <v>#DIV/0!</v>
      </c>
      <c r="D163" s="732" t="e">
        <f>VLOOKUP(C163,chronic_intake_assessment!$C$1212:$G$1590,5,FALSE)</f>
        <v>#DIV/0!</v>
      </c>
      <c r="E163" s="733" t="e">
        <f>VLOOKUP(B163,Table3[[max]:[crop]],2,FALSE)</f>
        <v>#DIV/0!</v>
      </c>
      <c r="F163" s="738" t="e">
        <f>VLOOKUP(C163,chronic_intake_assessment!$C$1212:$H$1590,6,FALSE)</f>
        <v>#DIV/0!</v>
      </c>
      <c r="G163" s="71">
        <v>85</v>
      </c>
    </row>
    <row r="164" spans="2:7" x14ac:dyDescent="0.2">
      <c r="B164" s="613" t="e">
        <f>LARGE(Table3[max],ROW()-ROW($B$78))</f>
        <v>#DIV/0!</v>
      </c>
      <c r="C164" s="731" t="e">
        <f>VLOOKUP(B164,Table3[[max]:[crop]],3,FALSE)</f>
        <v>#DIV/0!</v>
      </c>
      <c r="D164" s="732" t="e">
        <f>VLOOKUP(C164,chronic_intake_assessment!$C$1212:$G$1590,5,FALSE)</f>
        <v>#DIV/0!</v>
      </c>
      <c r="E164" s="733" t="e">
        <f>VLOOKUP(B164,Table3[[max]:[crop]],2,FALSE)</f>
        <v>#DIV/0!</v>
      </c>
      <c r="F164" s="738" t="e">
        <f>VLOOKUP(C164,chronic_intake_assessment!$C$1212:$H$1590,6,FALSE)</f>
        <v>#DIV/0!</v>
      </c>
      <c r="G164" s="71">
        <v>86</v>
      </c>
    </row>
    <row r="165" spans="2:7" x14ac:dyDescent="0.2">
      <c r="B165" s="613" t="e">
        <f>LARGE(Table3[max],ROW()-ROW($B$78))</f>
        <v>#DIV/0!</v>
      </c>
      <c r="C165" s="731" t="e">
        <f>VLOOKUP(B165,Table3[[max]:[crop]],3,FALSE)</f>
        <v>#DIV/0!</v>
      </c>
      <c r="D165" s="732" t="e">
        <f>VLOOKUP(C165,chronic_intake_assessment!$C$1212:$G$1590,5,FALSE)</f>
        <v>#DIV/0!</v>
      </c>
      <c r="E165" s="733" t="e">
        <f>VLOOKUP(B165,Table3[[max]:[crop]],2,FALSE)</f>
        <v>#DIV/0!</v>
      </c>
      <c r="F165" s="738" t="e">
        <f>VLOOKUP(C165,chronic_intake_assessment!$C$1212:$H$1590,6,FALSE)</f>
        <v>#DIV/0!</v>
      </c>
      <c r="G165" s="71">
        <v>87</v>
      </c>
    </row>
    <row r="166" spans="2:7" x14ac:dyDescent="0.2">
      <c r="B166" s="613" t="e">
        <f>LARGE(Table3[max],ROW()-ROW($B$78))</f>
        <v>#DIV/0!</v>
      </c>
      <c r="C166" s="731" t="e">
        <f>VLOOKUP(B166,Table3[[max]:[crop]],3,FALSE)</f>
        <v>#DIV/0!</v>
      </c>
      <c r="D166" s="732" t="e">
        <f>VLOOKUP(C166,chronic_intake_assessment!$C$1212:$G$1590,5,FALSE)</f>
        <v>#DIV/0!</v>
      </c>
      <c r="E166" s="733" t="e">
        <f>VLOOKUP(B166,Table3[[max]:[crop]],2,FALSE)</f>
        <v>#DIV/0!</v>
      </c>
      <c r="F166" s="738" t="e">
        <f>VLOOKUP(C166,chronic_intake_assessment!$C$1212:$H$1590,6,FALSE)</f>
        <v>#DIV/0!</v>
      </c>
      <c r="G166" s="71">
        <v>88</v>
      </c>
    </row>
    <row r="167" spans="2:7" x14ac:dyDescent="0.2">
      <c r="B167" s="613" t="e">
        <f>LARGE(Table3[max],ROW()-ROW($B$78))</f>
        <v>#DIV/0!</v>
      </c>
      <c r="C167" s="731" t="e">
        <f>VLOOKUP(B167,Table3[[max]:[crop]],3,FALSE)</f>
        <v>#DIV/0!</v>
      </c>
      <c r="D167" s="732" t="e">
        <f>VLOOKUP(C167,chronic_intake_assessment!$C$1212:$G$1590,5,FALSE)</f>
        <v>#DIV/0!</v>
      </c>
      <c r="E167" s="733" t="e">
        <f>VLOOKUP(B167,Table3[[max]:[crop]],2,FALSE)</f>
        <v>#DIV/0!</v>
      </c>
      <c r="F167" s="738" t="e">
        <f>VLOOKUP(C167,chronic_intake_assessment!$C$1212:$H$1590,6,FALSE)</f>
        <v>#DIV/0!</v>
      </c>
      <c r="G167" s="71">
        <v>89</v>
      </c>
    </row>
    <row r="168" spans="2:7" x14ac:dyDescent="0.2">
      <c r="B168" s="613" t="e">
        <f>LARGE(Table3[max],ROW()-ROW($B$78))</f>
        <v>#DIV/0!</v>
      </c>
      <c r="C168" s="731" t="e">
        <f>VLOOKUP(B168,Table3[[max]:[crop]],3,FALSE)</f>
        <v>#DIV/0!</v>
      </c>
      <c r="D168" s="732" t="e">
        <f>VLOOKUP(C168,chronic_intake_assessment!$C$1212:$G$1590,5,FALSE)</f>
        <v>#DIV/0!</v>
      </c>
      <c r="E168" s="733" t="e">
        <f>VLOOKUP(B168,Table3[[max]:[crop]],2,FALSE)</f>
        <v>#DIV/0!</v>
      </c>
      <c r="F168" s="738" t="e">
        <f>VLOOKUP(C168,chronic_intake_assessment!$C$1212:$H$1590,6,FALSE)</f>
        <v>#DIV/0!</v>
      </c>
      <c r="G168" s="71">
        <v>90</v>
      </c>
    </row>
    <row r="169" spans="2:7" x14ac:dyDescent="0.2">
      <c r="B169" s="613" t="e">
        <f>LARGE(Table3[max],ROW()-ROW($B$78))</f>
        <v>#DIV/0!</v>
      </c>
      <c r="C169" s="731" t="e">
        <f>VLOOKUP(B169,Table3[[max]:[crop]],3,FALSE)</f>
        <v>#DIV/0!</v>
      </c>
      <c r="D169" s="732" t="e">
        <f>VLOOKUP(C169,chronic_intake_assessment!$C$1212:$G$1590,5,FALSE)</f>
        <v>#DIV/0!</v>
      </c>
      <c r="E169" s="733" t="e">
        <f>VLOOKUP(B169,Table3[[max]:[crop]],2,FALSE)</f>
        <v>#DIV/0!</v>
      </c>
      <c r="F169" s="738" t="e">
        <f>VLOOKUP(C169,chronic_intake_assessment!$C$1212:$H$1590,6,FALSE)</f>
        <v>#DIV/0!</v>
      </c>
      <c r="G169" s="71">
        <v>91</v>
      </c>
    </row>
    <row r="170" spans="2:7" x14ac:dyDescent="0.2">
      <c r="B170" s="613" t="e">
        <f>LARGE(Table3[max],ROW()-ROW($B$78))</f>
        <v>#DIV/0!</v>
      </c>
      <c r="C170" s="731" t="e">
        <f>VLOOKUP(B170,Table3[[max]:[crop]],3,FALSE)</f>
        <v>#DIV/0!</v>
      </c>
      <c r="D170" s="732" t="e">
        <f>VLOOKUP(C170,chronic_intake_assessment!$C$1212:$G$1590,5,FALSE)</f>
        <v>#DIV/0!</v>
      </c>
      <c r="E170" s="733" t="e">
        <f>VLOOKUP(B170,Table3[[max]:[crop]],2,FALSE)</f>
        <v>#DIV/0!</v>
      </c>
      <c r="F170" s="738" t="e">
        <f>VLOOKUP(C170,chronic_intake_assessment!$C$1212:$H$1590,6,FALSE)</f>
        <v>#DIV/0!</v>
      </c>
      <c r="G170" s="71">
        <v>92</v>
      </c>
    </row>
    <row r="171" spans="2:7" x14ac:dyDescent="0.2">
      <c r="B171" s="613" t="e">
        <f>LARGE(Table3[max],ROW()-ROW($B$78))</f>
        <v>#DIV/0!</v>
      </c>
      <c r="C171" s="731" t="e">
        <f>VLOOKUP(B171,Table3[[max]:[crop]],3,FALSE)</f>
        <v>#DIV/0!</v>
      </c>
      <c r="D171" s="732" t="e">
        <f>VLOOKUP(C171,chronic_intake_assessment!$C$1212:$G$1590,5,FALSE)</f>
        <v>#DIV/0!</v>
      </c>
      <c r="E171" s="733" t="e">
        <f>VLOOKUP(B171,Table3[[max]:[crop]],2,FALSE)</f>
        <v>#DIV/0!</v>
      </c>
      <c r="F171" s="738" t="e">
        <f>VLOOKUP(C171,chronic_intake_assessment!$C$1212:$H$1590,6,FALSE)</f>
        <v>#DIV/0!</v>
      </c>
      <c r="G171" s="71">
        <v>93</v>
      </c>
    </row>
    <row r="172" spans="2:7" x14ac:dyDescent="0.2">
      <c r="B172" s="613" t="e">
        <f>LARGE(Table3[max],ROW()-ROW($B$78))</f>
        <v>#DIV/0!</v>
      </c>
      <c r="C172" s="731" t="e">
        <f>VLOOKUP(B172,Table3[[max]:[crop]],3,FALSE)</f>
        <v>#DIV/0!</v>
      </c>
      <c r="D172" s="732" t="e">
        <f>VLOOKUP(C172,chronic_intake_assessment!$C$1212:$G$1590,5,FALSE)</f>
        <v>#DIV/0!</v>
      </c>
      <c r="E172" s="733" t="e">
        <f>VLOOKUP(B172,Table3[[max]:[crop]],2,FALSE)</f>
        <v>#DIV/0!</v>
      </c>
      <c r="F172" s="738" t="e">
        <f>VLOOKUP(C172,chronic_intake_assessment!$C$1212:$H$1590,6,FALSE)</f>
        <v>#DIV/0!</v>
      </c>
      <c r="G172" s="71">
        <v>94</v>
      </c>
    </row>
    <row r="173" spans="2:7" x14ac:dyDescent="0.2">
      <c r="B173" s="613" t="e">
        <f>LARGE(Table3[max],ROW()-ROW($B$78))</f>
        <v>#DIV/0!</v>
      </c>
      <c r="C173" s="731" t="e">
        <f>VLOOKUP(B173,Table3[[max]:[crop]],3,FALSE)</f>
        <v>#DIV/0!</v>
      </c>
      <c r="D173" s="732" t="e">
        <f>VLOOKUP(C173,chronic_intake_assessment!$C$1212:$G$1590,5,FALSE)</f>
        <v>#DIV/0!</v>
      </c>
      <c r="E173" s="733" t="e">
        <f>VLOOKUP(B173,Table3[[max]:[crop]],2,FALSE)</f>
        <v>#DIV/0!</v>
      </c>
      <c r="F173" s="738" t="e">
        <f>VLOOKUP(C173,chronic_intake_assessment!$C$1212:$H$1590,6,FALSE)</f>
        <v>#DIV/0!</v>
      </c>
      <c r="G173" s="71">
        <v>95</v>
      </c>
    </row>
    <row r="174" spans="2:7" x14ac:dyDescent="0.2">
      <c r="B174" s="613" t="e">
        <f>LARGE(Table3[max],ROW()-ROW($B$78))</f>
        <v>#DIV/0!</v>
      </c>
      <c r="C174" s="731" t="e">
        <f>VLOOKUP(B174,Table3[[max]:[crop]],3,FALSE)</f>
        <v>#DIV/0!</v>
      </c>
      <c r="D174" s="732" t="e">
        <f>VLOOKUP(C174,chronic_intake_assessment!$C$1212:$G$1590,5,FALSE)</f>
        <v>#DIV/0!</v>
      </c>
      <c r="E174" s="733" t="e">
        <f>VLOOKUP(B174,Table3[[max]:[crop]],2,FALSE)</f>
        <v>#DIV/0!</v>
      </c>
      <c r="F174" s="738" t="e">
        <f>VLOOKUP(C174,chronic_intake_assessment!$C$1212:$H$1590,6,FALSE)</f>
        <v>#DIV/0!</v>
      </c>
      <c r="G174" s="71">
        <v>96</v>
      </c>
    </row>
    <row r="175" spans="2:7" x14ac:dyDescent="0.2">
      <c r="B175" s="613" t="e">
        <f>LARGE(Table3[max],ROW()-ROW($B$78))</f>
        <v>#DIV/0!</v>
      </c>
      <c r="C175" s="731" t="e">
        <f>VLOOKUP(B175,Table3[[max]:[crop]],3,FALSE)</f>
        <v>#DIV/0!</v>
      </c>
      <c r="D175" s="732" t="e">
        <f>VLOOKUP(C175,chronic_intake_assessment!$C$1212:$G$1590,5,FALSE)</f>
        <v>#DIV/0!</v>
      </c>
      <c r="E175" s="733" t="e">
        <f>VLOOKUP(B175,Table3[[max]:[crop]],2,FALSE)</f>
        <v>#DIV/0!</v>
      </c>
      <c r="F175" s="738" t="e">
        <f>VLOOKUP(C175,chronic_intake_assessment!$C$1212:$H$1590,6,FALSE)</f>
        <v>#DIV/0!</v>
      </c>
      <c r="G175" s="71">
        <v>97</v>
      </c>
    </row>
    <row r="176" spans="2:7" x14ac:dyDescent="0.2">
      <c r="B176" s="613" t="e">
        <f>LARGE(Table3[max],ROW()-ROW($B$78))</f>
        <v>#DIV/0!</v>
      </c>
      <c r="C176" s="731" t="e">
        <f>VLOOKUP(B176,Table3[[max]:[crop]],3,FALSE)</f>
        <v>#DIV/0!</v>
      </c>
      <c r="D176" s="732" t="e">
        <f>VLOOKUP(C176,chronic_intake_assessment!$C$1212:$G$1590,5,FALSE)</f>
        <v>#DIV/0!</v>
      </c>
      <c r="E176" s="733" t="e">
        <f>VLOOKUP(B176,Table3[[max]:[crop]],2,FALSE)</f>
        <v>#DIV/0!</v>
      </c>
      <c r="F176" s="738" t="e">
        <f>VLOOKUP(C176,chronic_intake_assessment!$C$1212:$H$1590,6,FALSE)</f>
        <v>#DIV/0!</v>
      </c>
      <c r="G176" s="71">
        <v>98</v>
      </c>
    </row>
    <row r="177" spans="2:7" x14ac:dyDescent="0.2">
      <c r="B177" s="613" t="e">
        <f>LARGE(Table3[max],ROW()-ROW($B$78))</f>
        <v>#DIV/0!</v>
      </c>
      <c r="C177" s="731" t="e">
        <f>VLOOKUP(B177,Table3[[max]:[crop]],3,FALSE)</f>
        <v>#DIV/0!</v>
      </c>
      <c r="D177" s="732" t="e">
        <f>VLOOKUP(C177,chronic_intake_assessment!$C$1212:$G$1590,5,FALSE)</f>
        <v>#DIV/0!</v>
      </c>
      <c r="E177" s="733" t="e">
        <f>VLOOKUP(B177,Table3[[max]:[crop]],2,FALSE)</f>
        <v>#DIV/0!</v>
      </c>
      <c r="F177" s="738" t="e">
        <f>VLOOKUP(C177,chronic_intake_assessment!$C$1212:$H$1590,6,FALSE)</f>
        <v>#DIV/0!</v>
      </c>
      <c r="G177" s="71">
        <v>99</v>
      </c>
    </row>
    <row r="178" spans="2:7" x14ac:dyDescent="0.2">
      <c r="B178" s="613" t="e">
        <f>LARGE(Table3[max],ROW()-ROW($B$78))</f>
        <v>#DIV/0!</v>
      </c>
      <c r="C178" s="731" t="e">
        <f>VLOOKUP(B178,Table3[[max]:[crop]],3,FALSE)</f>
        <v>#DIV/0!</v>
      </c>
      <c r="D178" s="732" t="e">
        <f>VLOOKUP(C178,chronic_intake_assessment!$C$1212:$G$1590,5,FALSE)</f>
        <v>#DIV/0!</v>
      </c>
      <c r="E178" s="733" t="e">
        <f>VLOOKUP(B178,Table3[[max]:[crop]],2,FALSE)</f>
        <v>#DIV/0!</v>
      </c>
      <c r="F178" s="738" t="e">
        <f>VLOOKUP(C178,chronic_intake_assessment!$C$1212:$H$1590,6,FALSE)</f>
        <v>#DIV/0!</v>
      </c>
      <c r="G178" s="71">
        <v>100</v>
      </c>
    </row>
    <row r="179" spans="2:7" x14ac:dyDescent="0.2">
      <c r="B179" s="613" t="e">
        <f>LARGE(Table3[max],ROW()-ROW($B$78))</f>
        <v>#DIV/0!</v>
      </c>
      <c r="C179" s="731" t="e">
        <f>VLOOKUP(B179,Table3[[max]:[crop]],3,FALSE)</f>
        <v>#DIV/0!</v>
      </c>
      <c r="D179" s="732" t="e">
        <f>VLOOKUP(C179,chronic_intake_assessment!$C$1212:$G$1590,5,FALSE)</f>
        <v>#DIV/0!</v>
      </c>
      <c r="E179" s="733" t="e">
        <f>VLOOKUP(B179,Table3[[max]:[crop]],2,FALSE)</f>
        <v>#DIV/0!</v>
      </c>
      <c r="F179" s="738" t="e">
        <f>VLOOKUP(C179,chronic_intake_assessment!$C$1212:$H$1590,6,FALSE)</f>
        <v>#DIV/0!</v>
      </c>
      <c r="G179" s="71">
        <v>101</v>
      </c>
    </row>
    <row r="180" spans="2:7" x14ac:dyDescent="0.2">
      <c r="B180" s="613" t="e">
        <f>LARGE(Table3[max],ROW()-ROW($B$78))</f>
        <v>#DIV/0!</v>
      </c>
      <c r="C180" s="731" t="e">
        <f>VLOOKUP(B180,Table3[[max]:[crop]],3,FALSE)</f>
        <v>#DIV/0!</v>
      </c>
      <c r="D180" s="732" t="e">
        <f>VLOOKUP(C180,chronic_intake_assessment!$C$1212:$G$1590,5,FALSE)</f>
        <v>#DIV/0!</v>
      </c>
      <c r="E180" s="733" t="e">
        <f>VLOOKUP(B180,Table3[[max]:[crop]],2,FALSE)</f>
        <v>#DIV/0!</v>
      </c>
      <c r="F180" s="738" t="e">
        <f>VLOOKUP(C180,chronic_intake_assessment!$C$1212:$H$1590,6,FALSE)</f>
        <v>#DIV/0!</v>
      </c>
      <c r="G180" s="71">
        <v>102</v>
      </c>
    </row>
    <row r="181" spans="2:7" x14ac:dyDescent="0.2">
      <c r="B181" s="613" t="e">
        <f>LARGE(Table3[max],ROW()-ROW($B$78))</f>
        <v>#DIV/0!</v>
      </c>
      <c r="C181" s="731" t="e">
        <f>VLOOKUP(B181,Table3[[max]:[crop]],3,FALSE)</f>
        <v>#DIV/0!</v>
      </c>
      <c r="D181" s="732" t="e">
        <f>VLOOKUP(C181,chronic_intake_assessment!$C$1212:$G$1590,5,FALSE)</f>
        <v>#DIV/0!</v>
      </c>
      <c r="E181" s="733" t="e">
        <f>VLOOKUP(B181,Table3[[max]:[crop]],2,FALSE)</f>
        <v>#DIV/0!</v>
      </c>
      <c r="F181" s="738" t="e">
        <f>VLOOKUP(C181,chronic_intake_assessment!$C$1212:$H$1590,6,FALSE)</f>
        <v>#DIV/0!</v>
      </c>
      <c r="G181" s="71">
        <v>103</v>
      </c>
    </row>
    <row r="182" spans="2:7" x14ac:dyDescent="0.2">
      <c r="B182" s="613" t="e">
        <f>LARGE(Table3[max],ROW()-ROW($B$78))</f>
        <v>#DIV/0!</v>
      </c>
      <c r="C182" s="731" t="e">
        <f>VLOOKUP(B182,Table3[[max]:[crop]],3,FALSE)</f>
        <v>#DIV/0!</v>
      </c>
      <c r="D182" s="732" t="e">
        <f>VLOOKUP(C182,chronic_intake_assessment!$C$1212:$G$1590,5,FALSE)</f>
        <v>#DIV/0!</v>
      </c>
      <c r="E182" s="733" t="e">
        <f>VLOOKUP(B182,Table3[[max]:[crop]],2,FALSE)</f>
        <v>#DIV/0!</v>
      </c>
      <c r="F182" s="738" t="e">
        <f>VLOOKUP(C182,chronic_intake_assessment!$C$1212:$H$1590,6,FALSE)</f>
        <v>#DIV/0!</v>
      </c>
      <c r="G182" s="71">
        <v>104</v>
      </c>
    </row>
    <row r="183" spans="2:7" x14ac:dyDescent="0.2">
      <c r="B183" s="613" t="e">
        <f>LARGE(Table3[max],ROW()-ROW($B$78))</f>
        <v>#DIV/0!</v>
      </c>
      <c r="C183" s="731" t="e">
        <f>VLOOKUP(B183,Table3[[max]:[crop]],3,FALSE)</f>
        <v>#DIV/0!</v>
      </c>
      <c r="D183" s="732" t="e">
        <f>VLOOKUP(C183,chronic_intake_assessment!$C$1212:$G$1590,5,FALSE)</f>
        <v>#DIV/0!</v>
      </c>
      <c r="E183" s="733" t="e">
        <f>VLOOKUP(B183,Table3[[max]:[crop]],2,FALSE)</f>
        <v>#DIV/0!</v>
      </c>
      <c r="F183" s="738" t="e">
        <f>VLOOKUP(C183,chronic_intake_assessment!$C$1212:$H$1590,6,FALSE)</f>
        <v>#DIV/0!</v>
      </c>
      <c r="G183" s="71">
        <v>105</v>
      </c>
    </row>
    <row r="184" spans="2:7" x14ac:dyDescent="0.2">
      <c r="B184" s="613" t="e">
        <f>LARGE(Table3[max],ROW()-ROW($B$78))</f>
        <v>#DIV/0!</v>
      </c>
      <c r="C184" s="731" t="e">
        <f>VLOOKUP(B184,Table3[[max]:[crop]],3,FALSE)</f>
        <v>#DIV/0!</v>
      </c>
      <c r="D184" s="732" t="e">
        <f>VLOOKUP(C184,chronic_intake_assessment!$C$1212:$G$1590,5,FALSE)</f>
        <v>#DIV/0!</v>
      </c>
      <c r="E184" s="733" t="e">
        <f>VLOOKUP(B184,Table3[[max]:[crop]],2,FALSE)</f>
        <v>#DIV/0!</v>
      </c>
      <c r="F184" s="738" t="e">
        <f>VLOOKUP(C184,chronic_intake_assessment!$C$1212:$H$1590,6,FALSE)</f>
        <v>#DIV/0!</v>
      </c>
      <c r="G184" s="71">
        <v>106</v>
      </c>
    </row>
    <row r="185" spans="2:7" x14ac:dyDescent="0.2">
      <c r="B185" s="613" t="e">
        <f>LARGE(Table3[max],ROW()-ROW($B$78))</f>
        <v>#DIV/0!</v>
      </c>
      <c r="C185" s="731" t="e">
        <f>VLOOKUP(B185,Table3[[max]:[crop]],3,FALSE)</f>
        <v>#DIV/0!</v>
      </c>
      <c r="D185" s="732" t="e">
        <f>VLOOKUP(C185,chronic_intake_assessment!$C$1212:$G$1590,5,FALSE)</f>
        <v>#DIV/0!</v>
      </c>
      <c r="E185" s="733" t="e">
        <f>VLOOKUP(B185,Table3[[max]:[crop]],2,FALSE)</f>
        <v>#DIV/0!</v>
      </c>
      <c r="F185" s="738" t="e">
        <f>VLOOKUP(C185,chronic_intake_assessment!$C$1212:$H$1590,6,FALSE)</f>
        <v>#DIV/0!</v>
      </c>
      <c r="G185" s="71">
        <v>107</v>
      </c>
    </row>
    <row r="186" spans="2:7" x14ac:dyDescent="0.2">
      <c r="B186" s="613" t="e">
        <f>LARGE(Table3[max],ROW()-ROW($B$78))</f>
        <v>#DIV/0!</v>
      </c>
      <c r="C186" s="731" t="e">
        <f>VLOOKUP(B186,Table3[[max]:[crop]],3,FALSE)</f>
        <v>#DIV/0!</v>
      </c>
      <c r="D186" s="732" t="e">
        <f>VLOOKUP(C186,chronic_intake_assessment!$C$1212:$G$1590,5,FALSE)</f>
        <v>#DIV/0!</v>
      </c>
      <c r="E186" s="733" t="e">
        <f>VLOOKUP(B186,Table3[[max]:[crop]],2,FALSE)</f>
        <v>#DIV/0!</v>
      </c>
      <c r="F186" s="738" t="e">
        <f>VLOOKUP(C186,chronic_intake_assessment!$C$1212:$H$1590,6,FALSE)</f>
        <v>#DIV/0!</v>
      </c>
      <c r="G186" s="71">
        <v>108</v>
      </c>
    </row>
    <row r="187" spans="2:7" x14ac:dyDescent="0.2">
      <c r="B187" s="613" t="e">
        <f>LARGE(Table3[max],ROW()-ROW($B$78))</f>
        <v>#DIV/0!</v>
      </c>
      <c r="C187" s="731" t="e">
        <f>VLOOKUP(B187,Table3[[max]:[crop]],3,FALSE)</f>
        <v>#DIV/0!</v>
      </c>
      <c r="D187" s="732" t="e">
        <f>VLOOKUP(C187,chronic_intake_assessment!$C$1212:$G$1590,5,FALSE)</f>
        <v>#DIV/0!</v>
      </c>
      <c r="E187" s="733" t="e">
        <f>VLOOKUP(B187,Table3[[max]:[crop]],2,FALSE)</f>
        <v>#DIV/0!</v>
      </c>
      <c r="F187" s="738" t="e">
        <f>VLOOKUP(C187,chronic_intake_assessment!$C$1212:$H$1590,6,FALSE)</f>
        <v>#DIV/0!</v>
      </c>
      <c r="G187" s="71">
        <v>109</v>
      </c>
    </row>
    <row r="188" spans="2:7" x14ac:dyDescent="0.2">
      <c r="B188" s="613" t="e">
        <f>LARGE(Table3[max],ROW()-ROW($B$78))</f>
        <v>#DIV/0!</v>
      </c>
      <c r="C188" s="731" t="e">
        <f>VLOOKUP(B188,Table3[[max]:[crop]],3,FALSE)</f>
        <v>#DIV/0!</v>
      </c>
      <c r="D188" s="732" t="e">
        <f>VLOOKUP(C188,chronic_intake_assessment!$C$1212:$G$1590,5,FALSE)</f>
        <v>#DIV/0!</v>
      </c>
      <c r="E188" s="733" t="e">
        <f>VLOOKUP(B188,Table3[[max]:[crop]],2,FALSE)</f>
        <v>#DIV/0!</v>
      </c>
      <c r="F188" s="738" t="e">
        <f>VLOOKUP(C188,chronic_intake_assessment!$C$1212:$H$1590,6,FALSE)</f>
        <v>#DIV/0!</v>
      </c>
      <c r="G188" s="71">
        <v>110</v>
      </c>
    </row>
    <row r="189" spans="2:7" x14ac:dyDescent="0.2">
      <c r="B189" s="613" t="e">
        <f>LARGE(Table3[max],ROW()-ROW($B$78))</f>
        <v>#DIV/0!</v>
      </c>
      <c r="C189" s="731" t="e">
        <f>VLOOKUP(B189,Table3[[max]:[crop]],3,FALSE)</f>
        <v>#DIV/0!</v>
      </c>
      <c r="D189" s="732" t="e">
        <f>VLOOKUP(C189,chronic_intake_assessment!$C$1212:$G$1590,5,FALSE)</f>
        <v>#DIV/0!</v>
      </c>
      <c r="E189" s="733" t="e">
        <f>VLOOKUP(B189,Table3[[max]:[crop]],2,FALSE)</f>
        <v>#DIV/0!</v>
      </c>
      <c r="F189" s="738" t="e">
        <f>VLOOKUP(C189,chronic_intake_assessment!$C$1212:$H$1590,6,FALSE)</f>
        <v>#DIV/0!</v>
      </c>
      <c r="G189" s="71">
        <v>111</v>
      </c>
    </row>
    <row r="190" spans="2:7" x14ac:dyDescent="0.2">
      <c r="B190" s="613" t="e">
        <f>LARGE(Table3[max],ROW()-ROW($B$78))</f>
        <v>#DIV/0!</v>
      </c>
      <c r="C190" s="731" t="e">
        <f>VLOOKUP(B190,Table3[[max]:[crop]],3,FALSE)</f>
        <v>#DIV/0!</v>
      </c>
      <c r="D190" s="732" t="e">
        <f>VLOOKUP(C190,chronic_intake_assessment!$C$1212:$G$1590,5,FALSE)</f>
        <v>#DIV/0!</v>
      </c>
      <c r="E190" s="733" t="e">
        <f>VLOOKUP(B190,Table3[[max]:[crop]],2,FALSE)</f>
        <v>#DIV/0!</v>
      </c>
      <c r="F190" s="738" t="e">
        <f>VLOOKUP(C190,chronic_intake_assessment!$C$1212:$H$1590,6,FALSE)</f>
        <v>#DIV/0!</v>
      </c>
      <c r="G190" s="71">
        <v>112</v>
      </c>
    </row>
    <row r="191" spans="2:7" x14ac:dyDescent="0.2">
      <c r="B191" s="613" t="e">
        <f>LARGE(Table3[max],ROW()-ROW($B$78))</f>
        <v>#DIV/0!</v>
      </c>
      <c r="C191" s="731" t="e">
        <f>VLOOKUP(B191,Table3[[max]:[crop]],3,FALSE)</f>
        <v>#DIV/0!</v>
      </c>
      <c r="D191" s="732" t="e">
        <f>VLOOKUP(C191,chronic_intake_assessment!$C$1212:$G$1590,5,FALSE)</f>
        <v>#DIV/0!</v>
      </c>
      <c r="E191" s="733" t="e">
        <f>VLOOKUP(B191,Table3[[max]:[crop]],2,FALSE)</f>
        <v>#DIV/0!</v>
      </c>
      <c r="F191" s="738" t="e">
        <f>VLOOKUP(C191,chronic_intake_assessment!$C$1212:$H$1590,6,FALSE)</f>
        <v>#DIV/0!</v>
      </c>
      <c r="G191" s="71">
        <v>113</v>
      </c>
    </row>
    <row r="192" spans="2:7" x14ac:dyDescent="0.2">
      <c r="B192" s="613" t="e">
        <f>LARGE(Table3[max],ROW()-ROW($B$78))</f>
        <v>#DIV/0!</v>
      </c>
      <c r="C192" s="731" t="e">
        <f>VLOOKUP(B192,Table3[[max]:[crop]],3,FALSE)</f>
        <v>#DIV/0!</v>
      </c>
      <c r="D192" s="732" t="e">
        <f>VLOOKUP(C192,chronic_intake_assessment!$C$1212:$G$1590,5,FALSE)</f>
        <v>#DIV/0!</v>
      </c>
      <c r="E192" s="733" t="e">
        <f>VLOOKUP(B192,Table3[[max]:[crop]],2,FALSE)</f>
        <v>#DIV/0!</v>
      </c>
      <c r="F192" s="738" t="e">
        <f>VLOOKUP(C192,chronic_intake_assessment!$C$1212:$H$1590,6,FALSE)</f>
        <v>#DIV/0!</v>
      </c>
      <c r="G192" s="71">
        <v>114</v>
      </c>
    </row>
    <row r="193" spans="2:7" x14ac:dyDescent="0.2">
      <c r="B193" s="613" t="e">
        <f>LARGE(Table3[max],ROW()-ROW($B$78))</f>
        <v>#DIV/0!</v>
      </c>
      <c r="C193" s="731" t="e">
        <f>VLOOKUP(B193,Table3[[max]:[crop]],3,FALSE)</f>
        <v>#DIV/0!</v>
      </c>
      <c r="D193" s="732" t="e">
        <f>VLOOKUP(C193,chronic_intake_assessment!$C$1212:$G$1590,5,FALSE)</f>
        <v>#DIV/0!</v>
      </c>
      <c r="E193" s="733" t="e">
        <f>VLOOKUP(B193,Table3[[max]:[crop]],2,FALSE)</f>
        <v>#DIV/0!</v>
      </c>
      <c r="F193" s="738" t="e">
        <f>VLOOKUP(C193,chronic_intake_assessment!$C$1212:$H$1590,6,FALSE)</f>
        <v>#DIV/0!</v>
      </c>
      <c r="G193" s="71">
        <v>115</v>
      </c>
    </row>
    <row r="194" spans="2:7" x14ac:dyDescent="0.2">
      <c r="B194" s="613" t="e">
        <f>LARGE(Table3[max],ROW()-ROW($B$78))</f>
        <v>#DIV/0!</v>
      </c>
      <c r="C194" s="731" t="e">
        <f>VLOOKUP(B194,Table3[[max]:[crop]],3,FALSE)</f>
        <v>#DIV/0!</v>
      </c>
      <c r="D194" s="732" t="e">
        <f>VLOOKUP(C194,chronic_intake_assessment!$C$1212:$G$1590,5,FALSE)</f>
        <v>#DIV/0!</v>
      </c>
      <c r="E194" s="733" t="e">
        <f>VLOOKUP(B194,Table3[[max]:[crop]],2,FALSE)</f>
        <v>#DIV/0!</v>
      </c>
      <c r="F194" s="738" t="e">
        <f>VLOOKUP(C194,chronic_intake_assessment!$C$1212:$H$1590,6,FALSE)</f>
        <v>#DIV/0!</v>
      </c>
      <c r="G194" s="71">
        <v>116</v>
      </c>
    </row>
    <row r="195" spans="2:7" x14ac:dyDescent="0.2">
      <c r="B195" s="613" t="e">
        <f>LARGE(Table3[max],ROW()-ROW($B$78))</f>
        <v>#DIV/0!</v>
      </c>
      <c r="C195" s="731" t="e">
        <f>VLOOKUP(B195,Table3[[max]:[crop]],3,FALSE)</f>
        <v>#DIV/0!</v>
      </c>
      <c r="D195" s="732" t="e">
        <f>VLOOKUP(C195,chronic_intake_assessment!$C$1212:$G$1590,5,FALSE)</f>
        <v>#DIV/0!</v>
      </c>
      <c r="E195" s="733" t="e">
        <f>VLOOKUP(B195,Table3[[max]:[crop]],2,FALSE)</f>
        <v>#DIV/0!</v>
      </c>
      <c r="F195" s="738" t="e">
        <f>VLOOKUP(C195,chronic_intake_assessment!$C$1212:$H$1590,6,FALSE)</f>
        <v>#DIV/0!</v>
      </c>
      <c r="G195" s="71">
        <v>117</v>
      </c>
    </row>
    <row r="196" spans="2:7" x14ac:dyDescent="0.2">
      <c r="B196" s="613" t="e">
        <f>LARGE(Table3[max],ROW()-ROW($B$78))</f>
        <v>#DIV/0!</v>
      </c>
      <c r="C196" s="731" t="e">
        <f>VLOOKUP(B196,Table3[[max]:[crop]],3,FALSE)</f>
        <v>#DIV/0!</v>
      </c>
      <c r="D196" s="732" t="e">
        <f>VLOOKUP(C196,chronic_intake_assessment!$C$1212:$G$1590,5,FALSE)</f>
        <v>#DIV/0!</v>
      </c>
      <c r="E196" s="733" t="e">
        <f>VLOOKUP(B196,Table3[[max]:[crop]],2,FALSE)</f>
        <v>#DIV/0!</v>
      </c>
      <c r="F196" s="738" t="e">
        <f>VLOOKUP(C196,chronic_intake_assessment!$C$1212:$H$1590,6,FALSE)</f>
        <v>#DIV/0!</v>
      </c>
      <c r="G196" s="71">
        <v>118</v>
      </c>
    </row>
    <row r="197" spans="2:7" x14ac:dyDescent="0.2">
      <c r="B197" s="613" t="e">
        <f>LARGE(Table3[max],ROW()-ROW($B$78))</f>
        <v>#DIV/0!</v>
      </c>
      <c r="C197" s="731" t="e">
        <f>VLOOKUP(B197,Table3[[max]:[crop]],3,FALSE)</f>
        <v>#DIV/0!</v>
      </c>
      <c r="D197" s="732" t="e">
        <f>VLOOKUP(C197,chronic_intake_assessment!$C$1212:$G$1590,5,FALSE)</f>
        <v>#DIV/0!</v>
      </c>
      <c r="E197" s="733" t="e">
        <f>VLOOKUP(B197,Table3[[max]:[crop]],2,FALSE)</f>
        <v>#DIV/0!</v>
      </c>
      <c r="F197" s="738" t="e">
        <f>VLOOKUP(C197,chronic_intake_assessment!$C$1212:$H$1590,6,FALSE)</f>
        <v>#DIV/0!</v>
      </c>
      <c r="G197" s="71">
        <v>119</v>
      </c>
    </row>
    <row r="198" spans="2:7" x14ac:dyDescent="0.2">
      <c r="B198" s="613" t="e">
        <f>LARGE(Table3[max],ROW()-ROW($B$78))</f>
        <v>#DIV/0!</v>
      </c>
      <c r="C198" s="731" t="e">
        <f>VLOOKUP(B198,Table3[[max]:[crop]],3,FALSE)</f>
        <v>#DIV/0!</v>
      </c>
      <c r="D198" s="732" t="e">
        <f>VLOOKUP(C198,chronic_intake_assessment!$C$1212:$G$1590,5,FALSE)</f>
        <v>#DIV/0!</v>
      </c>
      <c r="E198" s="733" t="e">
        <f>VLOOKUP(B198,Table3[[max]:[crop]],2,FALSE)</f>
        <v>#DIV/0!</v>
      </c>
      <c r="F198" s="738" t="e">
        <f>VLOOKUP(C198,chronic_intake_assessment!$C$1212:$H$1590,6,FALSE)</f>
        <v>#DIV/0!</v>
      </c>
      <c r="G198" s="71">
        <v>120</v>
      </c>
    </row>
    <row r="199" spans="2:7" x14ac:dyDescent="0.2">
      <c r="B199" s="613" t="e">
        <f>LARGE(Table3[max],ROW()-ROW($B$78))</f>
        <v>#DIV/0!</v>
      </c>
      <c r="C199" s="731" t="e">
        <f>VLOOKUP(B199,Table3[[max]:[crop]],3,FALSE)</f>
        <v>#DIV/0!</v>
      </c>
      <c r="D199" s="732" t="e">
        <f>VLOOKUP(C199,chronic_intake_assessment!$C$1212:$G$1590,5,FALSE)</f>
        <v>#DIV/0!</v>
      </c>
      <c r="E199" s="733" t="e">
        <f>VLOOKUP(B199,Table3[[max]:[crop]],2,FALSE)</f>
        <v>#DIV/0!</v>
      </c>
      <c r="F199" s="738" t="e">
        <f>VLOOKUP(C199,chronic_intake_assessment!$C$1212:$H$1590,6,FALSE)</f>
        <v>#DIV/0!</v>
      </c>
      <c r="G199" s="71">
        <v>121</v>
      </c>
    </row>
    <row r="200" spans="2:7" x14ac:dyDescent="0.2">
      <c r="B200" s="613" t="e">
        <f>LARGE(Table3[max],ROW()-ROW($B$78))</f>
        <v>#DIV/0!</v>
      </c>
      <c r="C200" s="731" t="e">
        <f>VLOOKUP(B200,Table3[[max]:[crop]],3,FALSE)</f>
        <v>#DIV/0!</v>
      </c>
      <c r="D200" s="732" t="e">
        <f>VLOOKUP(C200,chronic_intake_assessment!$C$1212:$G$1590,5,FALSE)</f>
        <v>#DIV/0!</v>
      </c>
      <c r="E200" s="733" t="e">
        <f>VLOOKUP(B200,Table3[[max]:[crop]],2,FALSE)</f>
        <v>#DIV/0!</v>
      </c>
      <c r="F200" s="738" t="e">
        <f>VLOOKUP(C200,chronic_intake_assessment!$C$1212:$H$1590,6,FALSE)</f>
        <v>#DIV/0!</v>
      </c>
      <c r="G200" s="71">
        <v>122</v>
      </c>
    </row>
    <row r="201" spans="2:7" x14ac:dyDescent="0.2">
      <c r="B201" s="613" t="e">
        <f>LARGE(Table3[max],ROW()-ROW($B$78))</f>
        <v>#DIV/0!</v>
      </c>
      <c r="C201" s="731" t="e">
        <f>VLOOKUP(B201,Table3[[max]:[crop]],3,FALSE)</f>
        <v>#DIV/0!</v>
      </c>
      <c r="D201" s="732" t="e">
        <f>VLOOKUP(C201,chronic_intake_assessment!$C$1212:$G$1590,5,FALSE)</f>
        <v>#DIV/0!</v>
      </c>
      <c r="E201" s="733" t="e">
        <f>VLOOKUP(B201,Table3[[max]:[crop]],2,FALSE)</f>
        <v>#DIV/0!</v>
      </c>
      <c r="F201" s="738" t="e">
        <f>VLOOKUP(C201,chronic_intake_assessment!$C$1212:$H$1590,6,FALSE)</f>
        <v>#DIV/0!</v>
      </c>
      <c r="G201" s="71">
        <v>123</v>
      </c>
    </row>
    <row r="202" spans="2:7" x14ac:dyDescent="0.2">
      <c r="B202" s="613" t="e">
        <f>LARGE(Table3[max],ROW()-ROW($B$78))</f>
        <v>#DIV/0!</v>
      </c>
      <c r="C202" s="731" t="e">
        <f>VLOOKUP(B202,Table3[[max]:[crop]],3,FALSE)</f>
        <v>#DIV/0!</v>
      </c>
      <c r="D202" s="732" t="e">
        <f>VLOOKUP(C202,chronic_intake_assessment!$C$1212:$G$1590,5,FALSE)</f>
        <v>#DIV/0!</v>
      </c>
      <c r="E202" s="733" t="e">
        <f>VLOOKUP(B202,Table3[[max]:[crop]],2,FALSE)</f>
        <v>#DIV/0!</v>
      </c>
      <c r="F202" s="738" t="e">
        <f>VLOOKUP(C202,chronic_intake_assessment!$C$1212:$H$1590,6,FALSE)</f>
        <v>#DIV/0!</v>
      </c>
      <c r="G202" s="71">
        <v>124</v>
      </c>
    </row>
    <row r="203" spans="2:7" x14ac:dyDescent="0.2">
      <c r="B203" s="613" t="e">
        <f>LARGE(Table3[max],ROW()-ROW($B$78))</f>
        <v>#DIV/0!</v>
      </c>
      <c r="C203" s="731" t="e">
        <f>VLOOKUP(B203,Table3[[max]:[crop]],3,FALSE)</f>
        <v>#DIV/0!</v>
      </c>
      <c r="D203" s="732" t="e">
        <f>VLOOKUP(C203,chronic_intake_assessment!$C$1212:$G$1590,5,FALSE)</f>
        <v>#DIV/0!</v>
      </c>
      <c r="E203" s="733" t="e">
        <f>VLOOKUP(B203,Table3[[max]:[crop]],2,FALSE)</f>
        <v>#DIV/0!</v>
      </c>
      <c r="F203" s="738" t="e">
        <f>VLOOKUP(C203,chronic_intake_assessment!$C$1212:$H$1590,6,FALSE)</f>
        <v>#DIV/0!</v>
      </c>
      <c r="G203" s="71">
        <v>125</v>
      </c>
    </row>
    <row r="204" spans="2:7" x14ac:dyDescent="0.2">
      <c r="B204" s="613" t="e">
        <f>LARGE(Table3[max],ROW()-ROW($B$78))</f>
        <v>#DIV/0!</v>
      </c>
      <c r="C204" s="731" t="e">
        <f>VLOOKUP(B204,Table3[[max]:[crop]],3,FALSE)</f>
        <v>#DIV/0!</v>
      </c>
      <c r="D204" s="732" t="e">
        <f>VLOOKUP(C204,chronic_intake_assessment!$C$1212:$G$1590,5,FALSE)</f>
        <v>#DIV/0!</v>
      </c>
      <c r="E204" s="733" t="e">
        <f>VLOOKUP(B204,Table3[[max]:[crop]],2,FALSE)</f>
        <v>#DIV/0!</v>
      </c>
      <c r="F204" s="738" t="e">
        <f>VLOOKUP(C204,chronic_intake_assessment!$C$1212:$H$1590,6,FALSE)</f>
        <v>#DIV/0!</v>
      </c>
      <c r="G204" s="71">
        <v>126</v>
      </c>
    </row>
    <row r="205" spans="2:7" x14ac:dyDescent="0.2">
      <c r="B205" s="613" t="e">
        <f>LARGE(Table3[max],ROW()-ROW($B$78))</f>
        <v>#DIV/0!</v>
      </c>
      <c r="C205" s="731" t="e">
        <f>VLOOKUP(B205,Table3[[max]:[crop]],3,FALSE)</f>
        <v>#DIV/0!</v>
      </c>
      <c r="D205" s="732" t="e">
        <f>VLOOKUP(C205,chronic_intake_assessment!$C$1212:$G$1590,5,FALSE)</f>
        <v>#DIV/0!</v>
      </c>
      <c r="E205" s="733" t="e">
        <f>VLOOKUP(B205,Table3[[max]:[crop]],2,FALSE)</f>
        <v>#DIV/0!</v>
      </c>
      <c r="F205" s="738" t="e">
        <f>VLOOKUP(C205,chronic_intake_assessment!$C$1212:$H$1590,6,FALSE)</f>
        <v>#DIV/0!</v>
      </c>
      <c r="G205" s="71">
        <v>127</v>
      </c>
    </row>
    <row r="206" spans="2:7" x14ac:dyDescent="0.2">
      <c r="B206" s="613" t="e">
        <f>LARGE(Table3[max],ROW()-ROW($B$78))</f>
        <v>#DIV/0!</v>
      </c>
      <c r="C206" s="731" t="e">
        <f>VLOOKUP(B206,Table3[[max]:[crop]],3,FALSE)</f>
        <v>#DIV/0!</v>
      </c>
      <c r="D206" s="732" t="e">
        <f>VLOOKUP(C206,chronic_intake_assessment!$C$1212:$G$1590,5,FALSE)</f>
        <v>#DIV/0!</v>
      </c>
      <c r="E206" s="733" t="e">
        <f>VLOOKUP(B206,Table3[[max]:[crop]],2,FALSE)</f>
        <v>#DIV/0!</v>
      </c>
      <c r="F206" s="738" t="e">
        <f>VLOOKUP(C206,chronic_intake_assessment!$C$1212:$H$1590,6,FALSE)</f>
        <v>#DIV/0!</v>
      </c>
      <c r="G206" s="71">
        <v>128</v>
      </c>
    </row>
    <row r="207" spans="2:7" x14ac:dyDescent="0.2">
      <c r="B207" s="613" t="e">
        <f>LARGE(Table3[max],ROW()-ROW($B$78))</f>
        <v>#DIV/0!</v>
      </c>
      <c r="C207" s="731" t="e">
        <f>VLOOKUP(B207,Table3[[max]:[crop]],3,FALSE)</f>
        <v>#DIV/0!</v>
      </c>
      <c r="D207" s="732" t="e">
        <f>VLOOKUP(C207,chronic_intake_assessment!$C$1212:$G$1590,5,FALSE)</f>
        <v>#DIV/0!</v>
      </c>
      <c r="E207" s="733" t="e">
        <f>VLOOKUP(B207,Table3[[max]:[crop]],2,FALSE)</f>
        <v>#DIV/0!</v>
      </c>
      <c r="F207" s="738" t="e">
        <f>VLOOKUP(C207,chronic_intake_assessment!$C$1212:$H$1590,6,FALSE)</f>
        <v>#DIV/0!</v>
      </c>
      <c r="G207" s="71">
        <v>129</v>
      </c>
    </row>
    <row r="208" spans="2:7" x14ac:dyDescent="0.2">
      <c r="B208" s="613" t="e">
        <f>LARGE(Table3[max],ROW()-ROW($B$78))</f>
        <v>#DIV/0!</v>
      </c>
      <c r="C208" s="731" t="e">
        <f>VLOOKUP(B208,Table3[[max]:[crop]],3,FALSE)</f>
        <v>#DIV/0!</v>
      </c>
      <c r="D208" s="732" t="e">
        <f>VLOOKUP(C208,chronic_intake_assessment!$C$1212:$G$1590,5,FALSE)</f>
        <v>#DIV/0!</v>
      </c>
      <c r="E208" s="733" t="e">
        <f>VLOOKUP(B208,Table3[[max]:[crop]],2,FALSE)</f>
        <v>#DIV/0!</v>
      </c>
      <c r="F208" s="738" t="e">
        <f>VLOOKUP(C208,chronic_intake_assessment!$C$1212:$H$1590,6,FALSE)</f>
        <v>#DIV/0!</v>
      </c>
      <c r="G208" s="71">
        <v>130</v>
      </c>
    </row>
    <row r="209" spans="2:7" x14ac:dyDescent="0.2">
      <c r="B209" s="613" t="e">
        <f>LARGE(Table3[max],ROW()-ROW($B$78))</f>
        <v>#DIV/0!</v>
      </c>
      <c r="C209" s="731" t="e">
        <f>VLOOKUP(B209,Table3[[max]:[crop]],3,FALSE)</f>
        <v>#DIV/0!</v>
      </c>
      <c r="D209" s="732" t="e">
        <f>VLOOKUP(C209,chronic_intake_assessment!$C$1212:$G$1590,5,FALSE)</f>
        <v>#DIV/0!</v>
      </c>
      <c r="E209" s="733" t="e">
        <f>VLOOKUP(B209,Table3[[max]:[crop]],2,FALSE)</f>
        <v>#DIV/0!</v>
      </c>
      <c r="F209" s="738" t="e">
        <f>VLOOKUP(C209,chronic_intake_assessment!$C$1212:$H$1590,6,FALSE)</f>
        <v>#DIV/0!</v>
      </c>
      <c r="G209" s="71">
        <v>131</v>
      </c>
    </row>
    <row r="210" spans="2:7" x14ac:dyDescent="0.2">
      <c r="B210" s="613" t="e">
        <f>LARGE(Table3[max],ROW()-ROW($B$78))</f>
        <v>#DIV/0!</v>
      </c>
      <c r="C210" s="731" t="e">
        <f>VLOOKUP(B210,Table3[[max]:[crop]],3,FALSE)</f>
        <v>#DIV/0!</v>
      </c>
      <c r="D210" s="732" t="e">
        <f>VLOOKUP(C210,chronic_intake_assessment!$C$1212:$G$1590,5,FALSE)</f>
        <v>#DIV/0!</v>
      </c>
      <c r="E210" s="733" t="e">
        <f>VLOOKUP(B210,Table3[[max]:[crop]],2,FALSE)</f>
        <v>#DIV/0!</v>
      </c>
      <c r="F210" s="738" t="e">
        <f>VLOOKUP(C210,chronic_intake_assessment!$C$1212:$H$1590,6,FALSE)</f>
        <v>#DIV/0!</v>
      </c>
      <c r="G210" s="71">
        <v>132</v>
      </c>
    </row>
    <row r="211" spans="2:7" x14ac:dyDescent="0.2">
      <c r="B211" s="613" t="e">
        <f>LARGE(Table3[max],ROW()-ROW($B$78))</f>
        <v>#DIV/0!</v>
      </c>
      <c r="C211" s="731" t="e">
        <f>VLOOKUP(B211,Table3[[max]:[crop]],3,FALSE)</f>
        <v>#DIV/0!</v>
      </c>
      <c r="D211" s="732" t="e">
        <f>VLOOKUP(C211,chronic_intake_assessment!$C$1212:$G$1590,5,FALSE)</f>
        <v>#DIV/0!</v>
      </c>
      <c r="E211" s="733" t="e">
        <f>VLOOKUP(B211,Table3[[max]:[crop]],2,FALSE)</f>
        <v>#DIV/0!</v>
      </c>
      <c r="F211" s="738" t="e">
        <f>VLOOKUP(C211,chronic_intake_assessment!$C$1212:$H$1590,6,FALSE)</f>
        <v>#DIV/0!</v>
      </c>
      <c r="G211" s="71">
        <v>133</v>
      </c>
    </row>
    <row r="212" spans="2:7" x14ac:dyDescent="0.2">
      <c r="B212" s="613" t="e">
        <f>LARGE(Table3[max],ROW()-ROW($B$78))</f>
        <v>#DIV/0!</v>
      </c>
      <c r="C212" s="731" t="e">
        <f>VLOOKUP(B212,Table3[[max]:[crop]],3,FALSE)</f>
        <v>#DIV/0!</v>
      </c>
      <c r="D212" s="732" t="e">
        <f>VLOOKUP(C212,chronic_intake_assessment!$C$1212:$G$1590,5,FALSE)</f>
        <v>#DIV/0!</v>
      </c>
      <c r="E212" s="733" t="e">
        <f>VLOOKUP(B212,Table3[[max]:[crop]],2,FALSE)</f>
        <v>#DIV/0!</v>
      </c>
      <c r="F212" s="738" t="e">
        <f>VLOOKUP(C212,chronic_intake_assessment!$C$1212:$H$1590,6,FALSE)</f>
        <v>#DIV/0!</v>
      </c>
      <c r="G212" s="71">
        <v>134</v>
      </c>
    </row>
    <row r="213" spans="2:7" x14ac:dyDescent="0.2">
      <c r="B213" s="613" t="e">
        <f>LARGE(Table3[max],ROW()-ROW($B$78))</f>
        <v>#DIV/0!</v>
      </c>
      <c r="C213" s="731" t="e">
        <f>VLOOKUP(B213,Table3[[max]:[crop]],3,FALSE)</f>
        <v>#DIV/0!</v>
      </c>
      <c r="D213" s="732" t="e">
        <f>VLOOKUP(C213,chronic_intake_assessment!$C$1212:$G$1590,5,FALSE)</f>
        <v>#DIV/0!</v>
      </c>
      <c r="E213" s="733" t="e">
        <f>VLOOKUP(B213,Table3[[max]:[crop]],2,FALSE)</f>
        <v>#DIV/0!</v>
      </c>
      <c r="F213" s="738" t="e">
        <f>VLOOKUP(C213,chronic_intake_assessment!$C$1212:$H$1590,6,FALSE)</f>
        <v>#DIV/0!</v>
      </c>
      <c r="G213" s="71">
        <v>135</v>
      </c>
    </row>
    <row r="214" spans="2:7" x14ac:dyDescent="0.2">
      <c r="B214" s="613" t="e">
        <f>LARGE(Table3[max],ROW()-ROW($B$78))</f>
        <v>#DIV/0!</v>
      </c>
      <c r="C214" s="731" t="e">
        <f>VLOOKUP(B214,Table3[[max]:[crop]],3,FALSE)</f>
        <v>#DIV/0!</v>
      </c>
      <c r="D214" s="732" t="e">
        <f>VLOOKUP(C214,chronic_intake_assessment!$C$1212:$G$1590,5,FALSE)</f>
        <v>#DIV/0!</v>
      </c>
      <c r="E214" s="733" t="e">
        <f>VLOOKUP(B214,Table3[[max]:[crop]],2,FALSE)</f>
        <v>#DIV/0!</v>
      </c>
      <c r="F214" s="738" t="e">
        <f>VLOOKUP(C214,chronic_intake_assessment!$C$1212:$H$1590,6,FALSE)</f>
        <v>#DIV/0!</v>
      </c>
      <c r="G214" s="71">
        <v>136</v>
      </c>
    </row>
    <row r="215" spans="2:7" x14ac:dyDescent="0.2">
      <c r="B215" s="613" t="e">
        <f>LARGE(Table3[max],ROW()-ROW($B$78))</f>
        <v>#DIV/0!</v>
      </c>
      <c r="C215" s="731" t="e">
        <f>VLOOKUP(B215,Table3[[max]:[crop]],3,FALSE)</f>
        <v>#DIV/0!</v>
      </c>
      <c r="D215" s="732" t="e">
        <f>VLOOKUP(C215,chronic_intake_assessment!$C$1212:$G$1590,5,FALSE)</f>
        <v>#DIV/0!</v>
      </c>
      <c r="E215" s="733" t="e">
        <f>VLOOKUP(B215,Table3[[max]:[crop]],2,FALSE)</f>
        <v>#DIV/0!</v>
      </c>
      <c r="F215" s="738" t="e">
        <f>VLOOKUP(C215,chronic_intake_assessment!$C$1212:$H$1590,6,FALSE)</f>
        <v>#DIV/0!</v>
      </c>
      <c r="G215" s="71">
        <v>137</v>
      </c>
    </row>
    <row r="216" spans="2:7" x14ac:dyDescent="0.2">
      <c r="B216" s="613" t="e">
        <f>LARGE(Table3[max],ROW()-ROW($B$78))</f>
        <v>#DIV/0!</v>
      </c>
      <c r="C216" s="731" t="e">
        <f>VLOOKUP(B216,Table3[[max]:[crop]],3,FALSE)</f>
        <v>#DIV/0!</v>
      </c>
      <c r="D216" s="732" t="e">
        <f>VLOOKUP(C216,chronic_intake_assessment!$C$1212:$G$1590,5,FALSE)</f>
        <v>#DIV/0!</v>
      </c>
      <c r="E216" s="733" t="e">
        <f>VLOOKUP(B216,Table3[[max]:[crop]],2,FALSE)</f>
        <v>#DIV/0!</v>
      </c>
      <c r="F216" s="738" t="e">
        <f>VLOOKUP(C216,chronic_intake_assessment!$C$1212:$H$1590,6,FALSE)</f>
        <v>#DIV/0!</v>
      </c>
      <c r="G216" s="71">
        <v>138</v>
      </c>
    </row>
    <row r="217" spans="2:7" x14ac:dyDescent="0.2">
      <c r="B217" s="613" t="e">
        <f>LARGE(Table3[max],ROW()-ROW($B$78))</f>
        <v>#DIV/0!</v>
      </c>
      <c r="C217" s="731" t="e">
        <f>VLOOKUP(B217,Table3[[max]:[crop]],3,FALSE)</f>
        <v>#DIV/0!</v>
      </c>
      <c r="D217" s="732" t="e">
        <f>VLOOKUP(C217,chronic_intake_assessment!$C$1212:$G$1590,5,FALSE)</f>
        <v>#DIV/0!</v>
      </c>
      <c r="E217" s="733" t="e">
        <f>VLOOKUP(B217,Table3[[max]:[crop]],2,FALSE)</f>
        <v>#DIV/0!</v>
      </c>
      <c r="F217" s="738" t="e">
        <f>VLOOKUP(C217,chronic_intake_assessment!$C$1212:$H$1590,6,FALSE)</f>
        <v>#DIV/0!</v>
      </c>
      <c r="G217" s="71">
        <v>139</v>
      </c>
    </row>
    <row r="218" spans="2:7" x14ac:dyDescent="0.2">
      <c r="B218" s="613" t="e">
        <f>LARGE(Table3[max],ROW()-ROW($B$78))</f>
        <v>#DIV/0!</v>
      </c>
      <c r="C218" s="731" t="e">
        <f>VLOOKUP(B218,Table3[[max]:[crop]],3,FALSE)</f>
        <v>#DIV/0!</v>
      </c>
      <c r="D218" s="732" t="e">
        <f>VLOOKUP(C218,chronic_intake_assessment!$C$1212:$G$1590,5,FALSE)</f>
        <v>#DIV/0!</v>
      </c>
      <c r="E218" s="733" t="e">
        <f>VLOOKUP(B218,Table3[[max]:[crop]],2,FALSE)</f>
        <v>#DIV/0!</v>
      </c>
      <c r="F218" s="738" t="e">
        <f>VLOOKUP(C218,chronic_intake_assessment!$C$1212:$H$1590,6,FALSE)</f>
        <v>#DIV/0!</v>
      </c>
      <c r="G218" s="71">
        <v>140</v>
      </c>
    </row>
    <row r="219" spans="2:7" x14ac:dyDescent="0.2">
      <c r="B219" s="613" t="e">
        <f>LARGE(Table3[max],ROW()-ROW($B$78))</f>
        <v>#DIV/0!</v>
      </c>
      <c r="C219" s="731" t="e">
        <f>VLOOKUP(B219,Table3[[max]:[crop]],3,FALSE)</f>
        <v>#DIV/0!</v>
      </c>
      <c r="D219" s="732" t="e">
        <f>VLOOKUP(C219,chronic_intake_assessment!$C$1212:$G$1590,5,FALSE)</f>
        <v>#DIV/0!</v>
      </c>
      <c r="E219" s="733" t="e">
        <f>VLOOKUP(B219,Table3[[max]:[crop]],2,FALSE)</f>
        <v>#DIV/0!</v>
      </c>
      <c r="F219" s="738" t="e">
        <f>VLOOKUP(C219,chronic_intake_assessment!$C$1212:$H$1590,6,FALSE)</f>
        <v>#DIV/0!</v>
      </c>
      <c r="G219" s="71">
        <v>141</v>
      </c>
    </row>
    <row r="220" spans="2:7" x14ac:dyDescent="0.2">
      <c r="B220" s="613" t="e">
        <f>LARGE(Table3[max],ROW()-ROW($B$78))</f>
        <v>#DIV/0!</v>
      </c>
      <c r="C220" s="731" t="e">
        <f>VLOOKUP(B220,Table3[[max]:[crop]],3,FALSE)</f>
        <v>#DIV/0!</v>
      </c>
      <c r="D220" s="732" t="e">
        <f>VLOOKUP(C220,chronic_intake_assessment!$C$1212:$G$1590,5,FALSE)</f>
        <v>#DIV/0!</v>
      </c>
      <c r="E220" s="733" t="e">
        <f>VLOOKUP(B220,Table3[[max]:[crop]],2,FALSE)</f>
        <v>#DIV/0!</v>
      </c>
      <c r="F220" s="738" t="e">
        <f>VLOOKUP(C220,chronic_intake_assessment!$C$1212:$H$1590,6,FALSE)</f>
        <v>#DIV/0!</v>
      </c>
      <c r="G220" s="71">
        <v>142</v>
      </c>
    </row>
    <row r="221" spans="2:7" x14ac:dyDescent="0.2">
      <c r="B221" s="613" t="e">
        <f>LARGE(Table3[max],ROW()-ROW($B$78))</f>
        <v>#DIV/0!</v>
      </c>
      <c r="C221" s="731" t="e">
        <f>VLOOKUP(B221,Table3[[max]:[crop]],3,FALSE)</f>
        <v>#DIV/0!</v>
      </c>
      <c r="D221" s="732" t="e">
        <f>VLOOKUP(C221,chronic_intake_assessment!$C$1212:$G$1590,5,FALSE)</f>
        <v>#DIV/0!</v>
      </c>
      <c r="E221" s="733" t="e">
        <f>VLOOKUP(B221,Table3[[max]:[crop]],2,FALSE)</f>
        <v>#DIV/0!</v>
      </c>
      <c r="F221" s="738" t="e">
        <f>VLOOKUP(C221,chronic_intake_assessment!$C$1212:$H$1590,6,FALSE)</f>
        <v>#DIV/0!</v>
      </c>
      <c r="G221" s="71">
        <v>143</v>
      </c>
    </row>
    <row r="222" spans="2:7" x14ac:dyDescent="0.2">
      <c r="B222" s="613" t="e">
        <f>LARGE(Table3[max],ROW()-ROW($B$78))</f>
        <v>#DIV/0!</v>
      </c>
      <c r="C222" s="731" t="e">
        <f>VLOOKUP(B222,Table3[[max]:[crop]],3,FALSE)</f>
        <v>#DIV/0!</v>
      </c>
      <c r="D222" s="732" t="e">
        <f>VLOOKUP(C222,chronic_intake_assessment!$C$1212:$G$1590,5,FALSE)</f>
        <v>#DIV/0!</v>
      </c>
      <c r="E222" s="733" t="e">
        <f>VLOOKUP(B222,Table3[[max]:[crop]],2,FALSE)</f>
        <v>#DIV/0!</v>
      </c>
      <c r="F222" s="738" t="e">
        <f>VLOOKUP(C222,chronic_intake_assessment!$C$1212:$H$1590,6,FALSE)</f>
        <v>#DIV/0!</v>
      </c>
      <c r="G222" s="71">
        <v>144</v>
      </c>
    </row>
    <row r="223" spans="2:7" x14ac:dyDescent="0.2">
      <c r="B223" s="613" t="e">
        <f>LARGE(Table3[max],ROW()-ROW($B$78))</f>
        <v>#DIV/0!</v>
      </c>
      <c r="C223" s="731" t="e">
        <f>VLOOKUP(B223,Table3[[max]:[crop]],3,FALSE)</f>
        <v>#DIV/0!</v>
      </c>
      <c r="D223" s="732" t="e">
        <f>VLOOKUP(C223,chronic_intake_assessment!$C$1212:$G$1590,5,FALSE)</f>
        <v>#DIV/0!</v>
      </c>
      <c r="E223" s="733" t="e">
        <f>VLOOKUP(B223,Table3[[max]:[crop]],2,FALSE)</f>
        <v>#DIV/0!</v>
      </c>
      <c r="F223" s="738" t="e">
        <f>VLOOKUP(C223,chronic_intake_assessment!$C$1212:$H$1590,6,FALSE)</f>
        <v>#DIV/0!</v>
      </c>
      <c r="G223" s="71">
        <v>145</v>
      </c>
    </row>
    <row r="224" spans="2:7" x14ac:dyDescent="0.2">
      <c r="B224" s="613" t="e">
        <f>LARGE(Table3[max],ROW()-ROW($B$78))</f>
        <v>#DIV/0!</v>
      </c>
      <c r="C224" s="731" t="e">
        <f>VLOOKUP(B224,Table3[[max]:[crop]],3,FALSE)</f>
        <v>#DIV/0!</v>
      </c>
      <c r="D224" s="732" t="e">
        <f>VLOOKUP(C224,chronic_intake_assessment!$C$1212:$G$1590,5,FALSE)</f>
        <v>#DIV/0!</v>
      </c>
      <c r="E224" s="733" t="e">
        <f>VLOOKUP(B224,Table3[[max]:[crop]],2,FALSE)</f>
        <v>#DIV/0!</v>
      </c>
      <c r="F224" s="738" t="e">
        <f>VLOOKUP(C224,chronic_intake_assessment!$C$1212:$H$1590,6,FALSE)</f>
        <v>#DIV/0!</v>
      </c>
      <c r="G224" s="71">
        <v>146</v>
      </c>
    </row>
    <row r="225" spans="2:7" x14ac:dyDescent="0.2">
      <c r="B225" s="613" t="e">
        <f>LARGE(Table3[max],ROW()-ROW($B$78))</f>
        <v>#DIV/0!</v>
      </c>
      <c r="C225" s="731" t="e">
        <f>VLOOKUP(B225,Table3[[max]:[crop]],3,FALSE)</f>
        <v>#DIV/0!</v>
      </c>
      <c r="D225" s="732" t="e">
        <f>VLOOKUP(C225,chronic_intake_assessment!$C$1212:$G$1590,5,FALSE)</f>
        <v>#DIV/0!</v>
      </c>
      <c r="E225" s="733" t="e">
        <f>VLOOKUP(B225,Table3[[max]:[crop]],2,FALSE)</f>
        <v>#DIV/0!</v>
      </c>
      <c r="F225" s="738" t="e">
        <f>VLOOKUP(C225,chronic_intake_assessment!$C$1212:$H$1590,6,FALSE)</f>
        <v>#DIV/0!</v>
      </c>
      <c r="G225" s="71">
        <v>147</v>
      </c>
    </row>
    <row r="226" spans="2:7" x14ac:dyDescent="0.2">
      <c r="B226" s="613" t="e">
        <f>LARGE(Table3[max],ROW()-ROW($B$78))</f>
        <v>#DIV/0!</v>
      </c>
      <c r="C226" s="731" t="e">
        <f>VLOOKUP(B226,Table3[[max]:[crop]],3,FALSE)</f>
        <v>#DIV/0!</v>
      </c>
      <c r="D226" s="732" t="e">
        <f>VLOOKUP(C226,chronic_intake_assessment!$C$1212:$G$1590,5,FALSE)</f>
        <v>#DIV/0!</v>
      </c>
      <c r="E226" s="733" t="e">
        <f>VLOOKUP(B226,Table3[[max]:[crop]],2,FALSE)</f>
        <v>#DIV/0!</v>
      </c>
      <c r="F226" s="738" t="e">
        <f>VLOOKUP(C226,chronic_intake_assessment!$C$1212:$H$1590,6,FALSE)</f>
        <v>#DIV/0!</v>
      </c>
      <c r="G226" s="71">
        <v>148</v>
      </c>
    </row>
    <row r="227" spans="2:7" x14ac:dyDescent="0.2">
      <c r="B227" s="613" t="e">
        <f>LARGE(Table3[max],ROW()-ROW($B$78))</f>
        <v>#DIV/0!</v>
      </c>
      <c r="C227" s="731" t="e">
        <f>VLOOKUP(B227,Table3[[max]:[crop]],3,FALSE)</f>
        <v>#DIV/0!</v>
      </c>
      <c r="D227" s="732" t="e">
        <f>VLOOKUP(C227,chronic_intake_assessment!$C$1212:$G$1590,5,FALSE)</f>
        <v>#DIV/0!</v>
      </c>
      <c r="E227" s="733" t="e">
        <f>VLOOKUP(B227,Table3[[max]:[crop]],2,FALSE)</f>
        <v>#DIV/0!</v>
      </c>
      <c r="F227" s="738" t="e">
        <f>VLOOKUP(C227,chronic_intake_assessment!$C$1212:$H$1590,6,FALSE)</f>
        <v>#DIV/0!</v>
      </c>
      <c r="G227" s="71">
        <v>149</v>
      </c>
    </row>
    <row r="228" spans="2:7" x14ac:dyDescent="0.2">
      <c r="B228" s="613" t="e">
        <f>LARGE(Table3[max],ROW()-ROW($B$78))</f>
        <v>#DIV/0!</v>
      </c>
      <c r="C228" s="731" t="e">
        <f>VLOOKUP(B228,Table3[[max]:[crop]],3,FALSE)</f>
        <v>#DIV/0!</v>
      </c>
      <c r="D228" s="732" t="e">
        <f>VLOOKUP(C228,chronic_intake_assessment!$C$1212:$G$1590,5,FALSE)</f>
        <v>#DIV/0!</v>
      </c>
      <c r="E228" s="733" t="e">
        <f>VLOOKUP(B228,Table3[[max]:[crop]],2,FALSE)</f>
        <v>#DIV/0!</v>
      </c>
      <c r="F228" s="738" t="e">
        <f>VLOOKUP(C228,chronic_intake_assessment!$C$1212:$H$1590,6,FALSE)</f>
        <v>#DIV/0!</v>
      </c>
      <c r="G228" s="71">
        <v>150</v>
      </c>
    </row>
    <row r="229" spans="2:7" x14ac:dyDescent="0.2">
      <c r="B229" s="613" t="e">
        <f>LARGE(Table3[max],ROW()-ROW($B$78))</f>
        <v>#DIV/0!</v>
      </c>
      <c r="C229" s="731" t="e">
        <f>VLOOKUP(B229,Table3[[max]:[crop]],3,FALSE)</f>
        <v>#DIV/0!</v>
      </c>
      <c r="D229" s="732" t="e">
        <f>VLOOKUP(C229,chronic_intake_assessment!$C$1212:$G$1590,5,FALSE)</f>
        <v>#DIV/0!</v>
      </c>
      <c r="E229" s="733" t="e">
        <f>VLOOKUP(B229,Table3[[max]:[crop]],2,FALSE)</f>
        <v>#DIV/0!</v>
      </c>
      <c r="F229" s="738" t="e">
        <f>VLOOKUP(C229,chronic_intake_assessment!$C$1212:$H$1590,6,FALSE)</f>
        <v>#DIV/0!</v>
      </c>
      <c r="G229" s="71">
        <v>151</v>
      </c>
    </row>
    <row r="230" spans="2:7" x14ac:dyDescent="0.2">
      <c r="B230" s="613" t="e">
        <f>LARGE(Table3[max],ROW()-ROW($B$78))</f>
        <v>#DIV/0!</v>
      </c>
      <c r="C230" s="731" t="e">
        <f>VLOOKUP(B230,Table3[[max]:[crop]],3,FALSE)</f>
        <v>#DIV/0!</v>
      </c>
      <c r="D230" s="732" t="e">
        <f>VLOOKUP(C230,chronic_intake_assessment!$C$1212:$G$1590,5,FALSE)</f>
        <v>#DIV/0!</v>
      </c>
      <c r="E230" s="733" t="e">
        <f>VLOOKUP(B230,Table3[[max]:[crop]],2,FALSE)</f>
        <v>#DIV/0!</v>
      </c>
      <c r="F230" s="738" t="e">
        <f>VLOOKUP(C230,chronic_intake_assessment!$C$1212:$H$1590,6,FALSE)</f>
        <v>#DIV/0!</v>
      </c>
      <c r="G230" s="71">
        <v>152</v>
      </c>
    </row>
    <row r="231" spans="2:7" x14ac:dyDescent="0.2">
      <c r="B231" s="613" t="e">
        <f>LARGE(Table3[max],ROW()-ROW($B$78))</f>
        <v>#DIV/0!</v>
      </c>
      <c r="C231" s="731" t="e">
        <f>VLOOKUP(B231,Table3[[max]:[crop]],3,FALSE)</f>
        <v>#DIV/0!</v>
      </c>
      <c r="D231" s="732" t="e">
        <f>VLOOKUP(C231,chronic_intake_assessment!$C$1212:$G$1590,5,FALSE)</f>
        <v>#DIV/0!</v>
      </c>
      <c r="E231" s="733" t="e">
        <f>VLOOKUP(B231,Table3[[max]:[crop]],2,FALSE)</f>
        <v>#DIV/0!</v>
      </c>
      <c r="F231" s="738" t="e">
        <f>VLOOKUP(C231,chronic_intake_assessment!$C$1212:$H$1590,6,FALSE)</f>
        <v>#DIV/0!</v>
      </c>
      <c r="G231" s="71">
        <v>153</v>
      </c>
    </row>
    <row r="232" spans="2:7" x14ac:dyDescent="0.2">
      <c r="B232" s="613" t="e">
        <f>LARGE(Table3[max],ROW()-ROW($B$78))</f>
        <v>#DIV/0!</v>
      </c>
      <c r="C232" s="731" t="e">
        <f>VLOOKUP(B232,Table3[[max]:[crop]],3,FALSE)</f>
        <v>#DIV/0!</v>
      </c>
      <c r="D232" s="732" t="e">
        <f>VLOOKUP(C232,chronic_intake_assessment!$C$1212:$G$1590,5,FALSE)</f>
        <v>#DIV/0!</v>
      </c>
      <c r="E232" s="733" t="e">
        <f>VLOOKUP(B232,Table3[[max]:[crop]],2,FALSE)</f>
        <v>#DIV/0!</v>
      </c>
      <c r="F232" s="738" t="e">
        <f>VLOOKUP(C232,chronic_intake_assessment!$C$1212:$H$1590,6,FALSE)</f>
        <v>#DIV/0!</v>
      </c>
      <c r="G232" s="71">
        <v>154</v>
      </c>
    </row>
    <row r="233" spans="2:7" x14ac:dyDescent="0.2">
      <c r="B233" s="613" t="e">
        <f>LARGE(Table3[max],ROW()-ROW($B$78))</f>
        <v>#DIV/0!</v>
      </c>
      <c r="C233" s="731" t="e">
        <f>VLOOKUP(B233,Table3[[max]:[crop]],3,FALSE)</f>
        <v>#DIV/0!</v>
      </c>
      <c r="D233" s="732" t="e">
        <f>VLOOKUP(C233,chronic_intake_assessment!$C$1212:$G$1590,5,FALSE)</f>
        <v>#DIV/0!</v>
      </c>
      <c r="E233" s="733" t="e">
        <f>VLOOKUP(B233,Table3[[max]:[crop]],2,FALSE)</f>
        <v>#DIV/0!</v>
      </c>
      <c r="F233" s="738" t="e">
        <f>VLOOKUP(C233,chronic_intake_assessment!$C$1212:$H$1590,6,FALSE)</f>
        <v>#DIV/0!</v>
      </c>
      <c r="G233" s="71">
        <v>155</v>
      </c>
    </row>
    <row r="234" spans="2:7" x14ac:dyDescent="0.2">
      <c r="B234" s="613" t="e">
        <f>LARGE(Table3[max],ROW()-ROW($B$78))</f>
        <v>#DIV/0!</v>
      </c>
      <c r="C234" s="731" t="e">
        <f>VLOOKUP(B234,Table3[[max]:[crop]],3,FALSE)</f>
        <v>#DIV/0!</v>
      </c>
      <c r="D234" s="732" t="e">
        <f>VLOOKUP(C234,chronic_intake_assessment!$C$1212:$G$1590,5,FALSE)</f>
        <v>#DIV/0!</v>
      </c>
      <c r="E234" s="733" t="e">
        <f>VLOOKUP(B234,Table3[[max]:[crop]],2,FALSE)</f>
        <v>#DIV/0!</v>
      </c>
      <c r="F234" s="738" t="e">
        <f>VLOOKUP(C234,chronic_intake_assessment!$C$1212:$H$1590,6,FALSE)</f>
        <v>#DIV/0!</v>
      </c>
      <c r="G234" s="71">
        <v>156</v>
      </c>
    </row>
    <row r="235" spans="2:7" x14ac:dyDescent="0.2">
      <c r="B235" s="613" t="e">
        <f>LARGE(Table3[max],ROW()-ROW($B$78))</f>
        <v>#DIV/0!</v>
      </c>
      <c r="C235" s="731" t="e">
        <f>VLOOKUP(B235,Table3[[max]:[crop]],3,FALSE)</f>
        <v>#DIV/0!</v>
      </c>
      <c r="D235" s="732" t="e">
        <f>VLOOKUP(C235,chronic_intake_assessment!$C$1212:$G$1590,5,FALSE)</f>
        <v>#DIV/0!</v>
      </c>
      <c r="E235" s="733" t="e">
        <f>VLOOKUP(B235,Table3[[max]:[crop]],2,FALSE)</f>
        <v>#DIV/0!</v>
      </c>
      <c r="F235" s="738" t="e">
        <f>VLOOKUP(C235,chronic_intake_assessment!$C$1212:$H$1590,6,FALSE)</f>
        <v>#DIV/0!</v>
      </c>
      <c r="G235" s="71">
        <v>157</v>
      </c>
    </row>
    <row r="236" spans="2:7" x14ac:dyDescent="0.2">
      <c r="B236" s="613" t="e">
        <f>LARGE(Table3[max],ROW()-ROW($B$78))</f>
        <v>#DIV/0!</v>
      </c>
      <c r="C236" s="731" t="e">
        <f>VLOOKUP(B236,Table3[[max]:[crop]],3,FALSE)</f>
        <v>#DIV/0!</v>
      </c>
      <c r="D236" s="732" t="e">
        <f>VLOOKUP(C236,chronic_intake_assessment!$C$1212:$G$1590,5,FALSE)</f>
        <v>#DIV/0!</v>
      </c>
      <c r="E236" s="733" t="e">
        <f>VLOOKUP(B236,Table3[[max]:[crop]],2,FALSE)</f>
        <v>#DIV/0!</v>
      </c>
      <c r="F236" s="738" t="e">
        <f>VLOOKUP(C236,chronic_intake_assessment!$C$1212:$H$1590,6,FALSE)</f>
        <v>#DIV/0!</v>
      </c>
      <c r="G236" s="71">
        <v>158</v>
      </c>
    </row>
    <row r="237" spans="2:7" x14ac:dyDescent="0.2">
      <c r="B237" s="613" t="e">
        <f>LARGE(Table3[max],ROW()-ROW($B$78))</f>
        <v>#DIV/0!</v>
      </c>
      <c r="C237" s="731" t="e">
        <f>VLOOKUP(B237,Table3[[max]:[crop]],3,FALSE)</f>
        <v>#DIV/0!</v>
      </c>
      <c r="D237" s="732" t="e">
        <f>VLOOKUP(C237,chronic_intake_assessment!$C$1212:$G$1590,5,FALSE)</f>
        <v>#DIV/0!</v>
      </c>
      <c r="E237" s="733" t="e">
        <f>VLOOKUP(B237,Table3[[max]:[crop]],2,FALSE)</f>
        <v>#DIV/0!</v>
      </c>
      <c r="F237" s="738" t="e">
        <f>VLOOKUP(C237,chronic_intake_assessment!$C$1212:$H$1590,6,FALSE)</f>
        <v>#DIV/0!</v>
      </c>
      <c r="G237" s="71">
        <v>159</v>
      </c>
    </row>
    <row r="238" spans="2:7" x14ac:dyDescent="0.2">
      <c r="B238" s="613" t="e">
        <f>LARGE(Table3[max],ROW()-ROW($B$78))</f>
        <v>#DIV/0!</v>
      </c>
      <c r="C238" s="731" t="e">
        <f>VLOOKUP(B238,Table3[[max]:[crop]],3,FALSE)</f>
        <v>#DIV/0!</v>
      </c>
      <c r="D238" s="732" t="e">
        <f>VLOOKUP(C238,chronic_intake_assessment!$C$1212:$G$1590,5,FALSE)</f>
        <v>#DIV/0!</v>
      </c>
      <c r="E238" s="733" t="e">
        <f>VLOOKUP(B238,Table3[[max]:[crop]],2,FALSE)</f>
        <v>#DIV/0!</v>
      </c>
      <c r="F238" s="738" t="e">
        <f>VLOOKUP(C238,chronic_intake_assessment!$C$1212:$H$1590,6,FALSE)</f>
        <v>#DIV/0!</v>
      </c>
      <c r="G238" s="71">
        <v>160</v>
      </c>
    </row>
    <row r="239" spans="2:7" x14ac:dyDescent="0.2">
      <c r="B239" s="613" t="e">
        <f>LARGE(Table3[max],ROW()-ROW($B$78))</f>
        <v>#DIV/0!</v>
      </c>
      <c r="C239" s="731" t="e">
        <f>VLOOKUP(B239,Table3[[max]:[crop]],3,FALSE)</f>
        <v>#DIV/0!</v>
      </c>
      <c r="D239" s="732" t="e">
        <f>VLOOKUP(C239,chronic_intake_assessment!$C$1212:$G$1590,5,FALSE)</f>
        <v>#DIV/0!</v>
      </c>
      <c r="E239" s="733" t="e">
        <f>VLOOKUP(B239,Table3[[max]:[crop]],2,FALSE)</f>
        <v>#DIV/0!</v>
      </c>
      <c r="F239" s="738" t="e">
        <f>VLOOKUP(C239,chronic_intake_assessment!$C$1212:$H$1590,6,FALSE)</f>
        <v>#DIV/0!</v>
      </c>
      <c r="G239" s="71">
        <v>161</v>
      </c>
    </row>
    <row r="240" spans="2:7" x14ac:dyDescent="0.2">
      <c r="B240" s="613" t="e">
        <f>LARGE(Table3[max],ROW()-ROW($B$78))</f>
        <v>#DIV/0!</v>
      </c>
      <c r="C240" s="731" t="e">
        <f>VLOOKUP(B240,Table3[[max]:[crop]],3,FALSE)</f>
        <v>#DIV/0!</v>
      </c>
      <c r="D240" s="732" t="e">
        <f>VLOOKUP(C240,chronic_intake_assessment!$C$1212:$G$1590,5,FALSE)</f>
        <v>#DIV/0!</v>
      </c>
      <c r="E240" s="733" t="e">
        <f>VLOOKUP(B240,Table3[[max]:[crop]],2,FALSE)</f>
        <v>#DIV/0!</v>
      </c>
      <c r="F240" s="738" t="e">
        <f>VLOOKUP(C240,chronic_intake_assessment!$C$1212:$H$1590,6,FALSE)</f>
        <v>#DIV/0!</v>
      </c>
      <c r="G240" s="71">
        <v>162</v>
      </c>
    </row>
    <row r="241" spans="2:7" x14ac:dyDescent="0.2">
      <c r="B241" s="613" t="e">
        <f>LARGE(Table3[max],ROW()-ROW($B$78))</f>
        <v>#DIV/0!</v>
      </c>
      <c r="C241" s="731" t="e">
        <f>VLOOKUP(B241,Table3[[max]:[crop]],3,FALSE)</f>
        <v>#DIV/0!</v>
      </c>
      <c r="D241" s="732" t="e">
        <f>VLOOKUP(C241,chronic_intake_assessment!$C$1212:$G$1590,5,FALSE)</f>
        <v>#DIV/0!</v>
      </c>
      <c r="E241" s="733" t="e">
        <f>VLOOKUP(B241,Table3[[max]:[crop]],2,FALSE)</f>
        <v>#DIV/0!</v>
      </c>
      <c r="F241" s="738" t="e">
        <f>VLOOKUP(C241,chronic_intake_assessment!$C$1212:$H$1590,6,FALSE)</f>
        <v>#DIV/0!</v>
      </c>
      <c r="G241" s="71">
        <v>163</v>
      </c>
    </row>
    <row r="242" spans="2:7" x14ac:dyDescent="0.2">
      <c r="B242" s="613" t="e">
        <f>LARGE(Table3[max],ROW()-ROW($B$78))</f>
        <v>#DIV/0!</v>
      </c>
      <c r="C242" s="731" t="e">
        <f>VLOOKUP(B242,Table3[[max]:[crop]],3,FALSE)</f>
        <v>#DIV/0!</v>
      </c>
      <c r="D242" s="732" t="e">
        <f>VLOOKUP(C242,chronic_intake_assessment!$C$1212:$G$1590,5,FALSE)</f>
        <v>#DIV/0!</v>
      </c>
      <c r="E242" s="733" t="e">
        <f>VLOOKUP(B242,Table3[[max]:[crop]],2,FALSE)</f>
        <v>#DIV/0!</v>
      </c>
      <c r="F242" s="738" t="e">
        <f>VLOOKUP(C242,chronic_intake_assessment!$C$1212:$H$1590,6,FALSE)</f>
        <v>#DIV/0!</v>
      </c>
      <c r="G242" s="71">
        <v>164</v>
      </c>
    </row>
    <row r="243" spans="2:7" x14ac:dyDescent="0.2">
      <c r="B243" s="613" t="e">
        <f>LARGE(Table3[max],ROW()-ROW($B$78))</f>
        <v>#DIV/0!</v>
      </c>
      <c r="C243" s="731" t="e">
        <f>VLOOKUP(B243,Table3[[max]:[crop]],3,FALSE)</f>
        <v>#DIV/0!</v>
      </c>
      <c r="D243" s="732" t="e">
        <f>VLOOKUP(C243,chronic_intake_assessment!$C$1212:$G$1590,5,FALSE)</f>
        <v>#DIV/0!</v>
      </c>
      <c r="E243" s="733" t="e">
        <f>VLOOKUP(B243,Table3[[max]:[crop]],2,FALSE)</f>
        <v>#DIV/0!</v>
      </c>
      <c r="F243" s="738" t="e">
        <f>VLOOKUP(C243,chronic_intake_assessment!$C$1212:$H$1590,6,FALSE)</f>
        <v>#DIV/0!</v>
      </c>
      <c r="G243" s="71">
        <v>165</v>
      </c>
    </row>
    <row r="244" spans="2:7" x14ac:dyDescent="0.2">
      <c r="B244" s="613" t="e">
        <f>LARGE(Table3[max],ROW()-ROW($B$78))</f>
        <v>#DIV/0!</v>
      </c>
      <c r="C244" s="731" t="e">
        <f>VLOOKUP(B244,Table3[[max]:[crop]],3,FALSE)</f>
        <v>#DIV/0!</v>
      </c>
      <c r="D244" s="732" t="e">
        <f>VLOOKUP(C244,chronic_intake_assessment!$C$1212:$G$1590,5,FALSE)</f>
        <v>#DIV/0!</v>
      </c>
      <c r="E244" s="733" t="e">
        <f>VLOOKUP(B244,Table3[[max]:[crop]],2,FALSE)</f>
        <v>#DIV/0!</v>
      </c>
      <c r="F244" s="738" t="e">
        <f>VLOOKUP(C244,chronic_intake_assessment!$C$1212:$H$1590,6,FALSE)</f>
        <v>#DIV/0!</v>
      </c>
      <c r="G244" s="71">
        <v>166</v>
      </c>
    </row>
    <row r="245" spans="2:7" x14ac:dyDescent="0.2">
      <c r="B245" s="613" t="e">
        <f>LARGE(Table3[max],ROW()-ROW($B$78))</f>
        <v>#DIV/0!</v>
      </c>
      <c r="C245" s="731" t="e">
        <f>VLOOKUP(B245,Table3[[max]:[crop]],3,FALSE)</f>
        <v>#DIV/0!</v>
      </c>
      <c r="D245" s="732" t="e">
        <f>VLOOKUP(C245,chronic_intake_assessment!$C$1212:$G$1590,5,FALSE)</f>
        <v>#DIV/0!</v>
      </c>
      <c r="E245" s="733" t="e">
        <f>VLOOKUP(B245,Table3[[max]:[crop]],2,FALSE)</f>
        <v>#DIV/0!</v>
      </c>
      <c r="F245" s="738" t="e">
        <f>VLOOKUP(C245,chronic_intake_assessment!$C$1212:$H$1590,6,FALSE)</f>
        <v>#DIV/0!</v>
      </c>
      <c r="G245" s="71">
        <v>167</v>
      </c>
    </row>
    <row r="246" spans="2:7" x14ac:dyDescent="0.2">
      <c r="B246" s="613" t="e">
        <f>LARGE(Table3[max],ROW()-ROW($B$78))</f>
        <v>#DIV/0!</v>
      </c>
      <c r="C246" s="731" t="e">
        <f>VLOOKUP(B246,Table3[[max]:[crop]],3,FALSE)</f>
        <v>#DIV/0!</v>
      </c>
      <c r="D246" s="732" t="e">
        <f>VLOOKUP(C246,chronic_intake_assessment!$C$1212:$G$1590,5,FALSE)</f>
        <v>#DIV/0!</v>
      </c>
      <c r="E246" s="733" t="e">
        <f>VLOOKUP(B246,Table3[[max]:[crop]],2,FALSE)</f>
        <v>#DIV/0!</v>
      </c>
      <c r="F246" s="738" t="e">
        <f>VLOOKUP(C246,chronic_intake_assessment!$C$1212:$H$1590,6,FALSE)</f>
        <v>#DIV/0!</v>
      </c>
      <c r="G246" s="71">
        <v>168</v>
      </c>
    </row>
    <row r="247" spans="2:7" x14ac:dyDescent="0.2">
      <c r="B247" s="613" t="e">
        <f>LARGE(Table3[max],ROW()-ROW($B$78))</f>
        <v>#DIV/0!</v>
      </c>
      <c r="C247" s="731" t="e">
        <f>VLOOKUP(B247,Table3[[max]:[crop]],3,FALSE)</f>
        <v>#DIV/0!</v>
      </c>
      <c r="D247" s="732" t="e">
        <f>VLOOKUP(C247,chronic_intake_assessment!$C$1212:$G$1590,5,FALSE)</f>
        <v>#DIV/0!</v>
      </c>
      <c r="E247" s="733" t="e">
        <f>VLOOKUP(B247,Table3[[max]:[crop]],2,FALSE)</f>
        <v>#DIV/0!</v>
      </c>
      <c r="F247" s="738" t="e">
        <f>VLOOKUP(C247,chronic_intake_assessment!$C$1212:$H$1590,6,FALSE)</f>
        <v>#DIV/0!</v>
      </c>
      <c r="G247" s="71">
        <v>169</v>
      </c>
    </row>
    <row r="248" spans="2:7" x14ac:dyDescent="0.2">
      <c r="B248" s="613" t="e">
        <f>LARGE(Table3[max],ROW()-ROW($B$78))</f>
        <v>#DIV/0!</v>
      </c>
      <c r="C248" s="731" t="e">
        <f>VLOOKUP(B248,Table3[[max]:[crop]],3,FALSE)</f>
        <v>#DIV/0!</v>
      </c>
      <c r="D248" s="732" t="e">
        <f>VLOOKUP(C248,chronic_intake_assessment!$C$1212:$G$1590,5,FALSE)</f>
        <v>#DIV/0!</v>
      </c>
      <c r="E248" s="733" t="e">
        <f>VLOOKUP(B248,Table3[[max]:[crop]],2,FALSE)</f>
        <v>#DIV/0!</v>
      </c>
      <c r="F248" s="738" t="e">
        <f>VLOOKUP(C248,chronic_intake_assessment!$C$1212:$H$1590,6,FALSE)</f>
        <v>#DIV/0!</v>
      </c>
      <c r="G248" s="71">
        <v>170</v>
      </c>
    </row>
    <row r="249" spans="2:7" x14ac:dyDescent="0.2">
      <c r="B249" s="613" t="e">
        <f>LARGE(Table3[max],ROW()-ROW($B$78))</f>
        <v>#DIV/0!</v>
      </c>
      <c r="C249" s="731" t="e">
        <f>VLOOKUP(B249,Table3[[max]:[crop]],3,FALSE)</f>
        <v>#DIV/0!</v>
      </c>
      <c r="D249" s="732" t="e">
        <f>VLOOKUP(C249,chronic_intake_assessment!$C$1212:$G$1590,5,FALSE)</f>
        <v>#DIV/0!</v>
      </c>
      <c r="E249" s="733" t="e">
        <f>VLOOKUP(B249,Table3[[max]:[crop]],2,FALSE)</f>
        <v>#DIV/0!</v>
      </c>
      <c r="F249" s="738" t="e">
        <f>VLOOKUP(C249,chronic_intake_assessment!$C$1212:$H$1590,6,FALSE)</f>
        <v>#DIV/0!</v>
      </c>
      <c r="G249" s="71">
        <v>171</v>
      </c>
    </row>
    <row r="250" spans="2:7" x14ac:dyDescent="0.2">
      <c r="B250" s="613" t="e">
        <f>LARGE(Table3[max],ROW()-ROW($B$78))</f>
        <v>#DIV/0!</v>
      </c>
      <c r="C250" s="731" t="e">
        <f>VLOOKUP(B250,Table3[[max]:[crop]],3,FALSE)</f>
        <v>#DIV/0!</v>
      </c>
      <c r="D250" s="732" t="e">
        <f>VLOOKUP(C250,chronic_intake_assessment!$C$1212:$G$1590,5,FALSE)</f>
        <v>#DIV/0!</v>
      </c>
      <c r="E250" s="733" t="e">
        <f>VLOOKUP(B250,Table3[[max]:[crop]],2,FALSE)</f>
        <v>#DIV/0!</v>
      </c>
      <c r="F250" s="738" t="e">
        <f>VLOOKUP(C250,chronic_intake_assessment!$C$1212:$H$1590,6,FALSE)</f>
        <v>#DIV/0!</v>
      </c>
      <c r="G250" s="71">
        <v>172</v>
      </c>
    </row>
    <row r="251" spans="2:7" x14ac:dyDescent="0.2">
      <c r="B251" s="613" t="e">
        <f>LARGE(Table3[max],ROW()-ROW($B$78))</f>
        <v>#DIV/0!</v>
      </c>
      <c r="C251" s="731" t="e">
        <f>VLOOKUP(B251,Table3[[max]:[crop]],3,FALSE)</f>
        <v>#DIV/0!</v>
      </c>
      <c r="D251" s="732" t="e">
        <f>VLOOKUP(C251,chronic_intake_assessment!$C$1212:$G$1590,5,FALSE)</f>
        <v>#DIV/0!</v>
      </c>
      <c r="E251" s="733" t="e">
        <f>VLOOKUP(B251,Table3[[max]:[crop]],2,FALSE)</f>
        <v>#DIV/0!</v>
      </c>
      <c r="F251" s="738" t="e">
        <f>VLOOKUP(C251,chronic_intake_assessment!$C$1212:$H$1590,6,FALSE)</f>
        <v>#DIV/0!</v>
      </c>
      <c r="G251" s="71">
        <v>173</v>
      </c>
    </row>
    <row r="252" spans="2:7" x14ac:dyDescent="0.2">
      <c r="B252" s="613" t="e">
        <f>LARGE(Table3[max],ROW()-ROW($B$78))</f>
        <v>#DIV/0!</v>
      </c>
      <c r="C252" s="731" t="e">
        <f>VLOOKUP(B252,Table3[[max]:[crop]],3,FALSE)</f>
        <v>#DIV/0!</v>
      </c>
      <c r="D252" s="732" t="e">
        <f>VLOOKUP(C252,chronic_intake_assessment!$C$1212:$G$1590,5,FALSE)</f>
        <v>#DIV/0!</v>
      </c>
      <c r="E252" s="733" t="e">
        <f>VLOOKUP(B252,Table3[[max]:[crop]],2,FALSE)</f>
        <v>#DIV/0!</v>
      </c>
      <c r="F252" s="738" t="e">
        <f>VLOOKUP(C252,chronic_intake_assessment!$C$1212:$H$1590,6,FALSE)</f>
        <v>#DIV/0!</v>
      </c>
      <c r="G252" s="71">
        <v>174</v>
      </c>
    </row>
    <row r="253" spans="2:7" x14ac:dyDescent="0.2">
      <c r="B253" s="613" t="e">
        <f>LARGE(Table3[max],ROW()-ROW($B$78))</f>
        <v>#DIV/0!</v>
      </c>
      <c r="C253" s="731" t="e">
        <f>VLOOKUP(B253,Table3[[max]:[crop]],3,FALSE)</f>
        <v>#DIV/0!</v>
      </c>
      <c r="D253" s="732" t="e">
        <f>VLOOKUP(C253,chronic_intake_assessment!$C$1212:$G$1590,5,FALSE)</f>
        <v>#DIV/0!</v>
      </c>
      <c r="E253" s="733" t="e">
        <f>VLOOKUP(B253,Table3[[max]:[crop]],2,FALSE)</f>
        <v>#DIV/0!</v>
      </c>
      <c r="F253" s="738" t="e">
        <f>VLOOKUP(C253,chronic_intake_assessment!$C$1212:$H$1590,6,FALSE)</f>
        <v>#DIV/0!</v>
      </c>
      <c r="G253" s="71">
        <v>175</v>
      </c>
    </row>
    <row r="254" spans="2:7" x14ac:dyDescent="0.2">
      <c r="B254" s="613" t="e">
        <f>LARGE(Table3[max],ROW()-ROW($B$78))</f>
        <v>#DIV/0!</v>
      </c>
      <c r="C254" s="731" t="e">
        <f>VLOOKUP(B254,Table3[[max]:[crop]],3,FALSE)</f>
        <v>#DIV/0!</v>
      </c>
      <c r="D254" s="732" t="e">
        <f>VLOOKUP(C254,chronic_intake_assessment!$C$1212:$G$1590,5,FALSE)</f>
        <v>#DIV/0!</v>
      </c>
      <c r="E254" s="733" t="e">
        <f>VLOOKUP(B254,Table3[[max]:[crop]],2,FALSE)</f>
        <v>#DIV/0!</v>
      </c>
      <c r="F254" s="738" t="e">
        <f>VLOOKUP(C254,chronic_intake_assessment!$C$1212:$H$1590,6,FALSE)</f>
        <v>#DIV/0!</v>
      </c>
      <c r="G254" s="71">
        <v>176</v>
      </c>
    </row>
    <row r="255" spans="2:7" x14ac:dyDescent="0.2">
      <c r="B255" s="613" t="e">
        <f>LARGE(Table3[max],ROW()-ROW($B$78))</f>
        <v>#DIV/0!</v>
      </c>
      <c r="C255" s="731" t="e">
        <f>VLOOKUP(B255,Table3[[max]:[crop]],3,FALSE)</f>
        <v>#DIV/0!</v>
      </c>
      <c r="D255" s="732" t="e">
        <f>VLOOKUP(C255,chronic_intake_assessment!$C$1212:$G$1590,5,FALSE)</f>
        <v>#DIV/0!</v>
      </c>
      <c r="E255" s="733" t="e">
        <f>VLOOKUP(B255,Table3[[max]:[crop]],2,FALSE)</f>
        <v>#DIV/0!</v>
      </c>
      <c r="F255" s="738" t="e">
        <f>VLOOKUP(C255,chronic_intake_assessment!$C$1212:$H$1590,6,FALSE)</f>
        <v>#DIV/0!</v>
      </c>
      <c r="G255" s="71">
        <v>177</v>
      </c>
    </row>
    <row r="256" spans="2:7" x14ac:dyDescent="0.2">
      <c r="B256" s="613" t="e">
        <f>LARGE(Table3[max],ROW()-ROW($B$78))</f>
        <v>#DIV/0!</v>
      </c>
      <c r="C256" s="731" t="e">
        <f>VLOOKUP(B256,Table3[[max]:[crop]],3,FALSE)</f>
        <v>#DIV/0!</v>
      </c>
      <c r="D256" s="732" t="e">
        <f>VLOOKUP(C256,chronic_intake_assessment!$C$1212:$G$1590,5,FALSE)</f>
        <v>#DIV/0!</v>
      </c>
      <c r="E256" s="733" t="e">
        <f>VLOOKUP(B256,Table3[[max]:[crop]],2,FALSE)</f>
        <v>#DIV/0!</v>
      </c>
      <c r="F256" s="738" t="e">
        <f>VLOOKUP(C256,chronic_intake_assessment!$C$1212:$H$1590,6,FALSE)</f>
        <v>#DIV/0!</v>
      </c>
      <c r="G256" s="71">
        <v>178</v>
      </c>
    </row>
    <row r="257" spans="2:7" x14ac:dyDescent="0.2">
      <c r="B257" s="613" t="e">
        <f>LARGE(Table3[max],ROW()-ROW($B$78))</f>
        <v>#DIV/0!</v>
      </c>
      <c r="C257" s="731" t="e">
        <f>VLOOKUP(B257,Table3[[max]:[crop]],3,FALSE)</f>
        <v>#DIV/0!</v>
      </c>
      <c r="D257" s="732" t="e">
        <f>VLOOKUP(C257,chronic_intake_assessment!$C$1212:$G$1590,5,FALSE)</f>
        <v>#DIV/0!</v>
      </c>
      <c r="E257" s="733" t="e">
        <f>VLOOKUP(B257,Table3[[max]:[crop]],2,FALSE)</f>
        <v>#DIV/0!</v>
      </c>
      <c r="F257" s="738" t="e">
        <f>VLOOKUP(C257,chronic_intake_assessment!$C$1212:$H$1590,6,FALSE)</f>
        <v>#DIV/0!</v>
      </c>
      <c r="G257" s="71">
        <v>179</v>
      </c>
    </row>
    <row r="258" spans="2:7" x14ac:dyDescent="0.2">
      <c r="B258" s="613" t="e">
        <f>LARGE(Table3[max],ROW()-ROW($B$78))</f>
        <v>#DIV/0!</v>
      </c>
      <c r="C258" s="731" t="e">
        <f>VLOOKUP(B258,Table3[[max]:[crop]],3,FALSE)</f>
        <v>#DIV/0!</v>
      </c>
      <c r="D258" s="732" t="e">
        <f>VLOOKUP(C258,chronic_intake_assessment!$C$1212:$G$1590,5,FALSE)</f>
        <v>#DIV/0!</v>
      </c>
      <c r="E258" s="733" t="e">
        <f>VLOOKUP(B258,Table3[[max]:[crop]],2,FALSE)</f>
        <v>#DIV/0!</v>
      </c>
      <c r="F258" s="738" t="e">
        <f>VLOOKUP(C258,chronic_intake_assessment!$C$1212:$H$1590,6,FALSE)</f>
        <v>#DIV/0!</v>
      </c>
      <c r="G258" s="71">
        <v>180</v>
      </c>
    </row>
    <row r="259" spans="2:7" x14ac:dyDescent="0.2">
      <c r="B259" s="613" t="e">
        <f>LARGE(Table3[max],ROW()-ROW($B$78))</f>
        <v>#DIV/0!</v>
      </c>
      <c r="C259" s="731" t="e">
        <f>VLOOKUP(B259,Table3[[max]:[crop]],3,FALSE)</f>
        <v>#DIV/0!</v>
      </c>
      <c r="D259" s="732" t="e">
        <f>VLOOKUP(C259,chronic_intake_assessment!$C$1212:$G$1590,5,FALSE)</f>
        <v>#DIV/0!</v>
      </c>
      <c r="E259" s="733" t="e">
        <f>VLOOKUP(B259,Table3[[max]:[crop]],2,FALSE)</f>
        <v>#DIV/0!</v>
      </c>
      <c r="F259" s="738" t="e">
        <f>VLOOKUP(C259,chronic_intake_assessment!$C$1212:$H$1590,6,FALSE)</f>
        <v>#DIV/0!</v>
      </c>
      <c r="G259" s="71">
        <v>181</v>
      </c>
    </row>
    <row r="260" spans="2:7" x14ac:dyDescent="0.2">
      <c r="B260" s="613" t="e">
        <f>LARGE(Table3[max],ROW()-ROW($B$78))</f>
        <v>#DIV/0!</v>
      </c>
      <c r="C260" s="731" t="e">
        <f>VLOOKUP(B260,Table3[[max]:[crop]],3,FALSE)</f>
        <v>#DIV/0!</v>
      </c>
      <c r="D260" s="732" t="e">
        <f>VLOOKUP(C260,chronic_intake_assessment!$C$1212:$G$1590,5,FALSE)</f>
        <v>#DIV/0!</v>
      </c>
      <c r="E260" s="733" t="e">
        <f>VLOOKUP(B260,Table3[[max]:[crop]],2,FALSE)</f>
        <v>#DIV/0!</v>
      </c>
      <c r="F260" s="738" t="e">
        <f>VLOOKUP(C260,chronic_intake_assessment!$C$1212:$H$1590,6,FALSE)</f>
        <v>#DIV/0!</v>
      </c>
      <c r="G260" s="71">
        <v>182</v>
      </c>
    </row>
    <row r="261" spans="2:7" x14ac:dyDescent="0.2">
      <c r="B261" s="613" t="e">
        <f>LARGE(Table3[max],ROW()-ROW($B$78))</f>
        <v>#DIV/0!</v>
      </c>
      <c r="C261" s="731" t="e">
        <f>VLOOKUP(B261,Table3[[max]:[crop]],3,FALSE)</f>
        <v>#DIV/0!</v>
      </c>
      <c r="D261" s="732" t="e">
        <f>VLOOKUP(C261,chronic_intake_assessment!$C$1212:$G$1590,5,FALSE)</f>
        <v>#DIV/0!</v>
      </c>
      <c r="E261" s="733" t="e">
        <f>VLOOKUP(B261,Table3[[max]:[crop]],2,FALSE)</f>
        <v>#DIV/0!</v>
      </c>
      <c r="F261" s="738" t="e">
        <f>VLOOKUP(C261,chronic_intake_assessment!$C$1212:$H$1590,6,FALSE)</f>
        <v>#DIV/0!</v>
      </c>
      <c r="G261" s="71">
        <v>183</v>
      </c>
    </row>
    <row r="262" spans="2:7" x14ac:dyDescent="0.2">
      <c r="B262" s="613" t="e">
        <f>LARGE(Table3[max],ROW()-ROW($B$78))</f>
        <v>#DIV/0!</v>
      </c>
      <c r="C262" s="731" t="e">
        <f>VLOOKUP(B262,Table3[[max]:[crop]],3,FALSE)</f>
        <v>#DIV/0!</v>
      </c>
      <c r="D262" s="732" t="e">
        <f>VLOOKUP(C262,chronic_intake_assessment!$C$1212:$G$1590,5,FALSE)</f>
        <v>#DIV/0!</v>
      </c>
      <c r="E262" s="733" t="e">
        <f>VLOOKUP(B262,Table3[[max]:[crop]],2,FALSE)</f>
        <v>#DIV/0!</v>
      </c>
      <c r="F262" s="738" t="e">
        <f>VLOOKUP(C262,chronic_intake_assessment!$C$1212:$H$1590,6,FALSE)</f>
        <v>#DIV/0!</v>
      </c>
      <c r="G262" s="71">
        <v>184</v>
      </c>
    </row>
    <row r="263" spans="2:7" x14ac:dyDescent="0.2">
      <c r="B263" s="613" t="e">
        <f>LARGE(Table3[max],ROW()-ROW($B$78))</f>
        <v>#DIV/0!</v>
      </c>
      <c r="C263" s="731" t="e">
        <f>VLOOKUP(B263,Table3[[max]:[crop]],3,FALSE)</f>
        <v>#DIV/0!</v>
      </c>
      <c r="D263" s="732" t="e">
        <f>VLOOKUP(C263,chronic_intake_assessment!$C$1212:$G$1590,5,FALSE)</f>
        <v>#DIV/0!</v>
      </c>
      <c r="E263" s="733" t="e">
        <f>VLOOKUP(B263,Table3[[max]:[crop]],2,FALSE)</f>
        <v>#DIV/0!</v>
      </c>
      <c r="F263" s="738" t="e">
        <f>VLOOKUP(C263,chronic_intake_assessment!$C$1212:$H$1590,6,FALSE)</f>
        <v>#DIV/0!</v>
      </c>
      <c r="G263" s="71">
        <v>185</v>
      </c>
    </row>
    <row r="264" spans="2:7" x14ac:dyDescent="0.2">
      <c r="B264" s="613" t="e">
        <f>LARGE(Table3[max],ROW()-ROW($B$78))</f>
        <v>#DIV/0!</v>
      </c>
      <c r="C264" s="731" t="e">
        <f>VLOOKUP(B264,Table3[[max]:[crop]],3,FALSE)</f>
        <v>#DIV/0!</v>
      </c>
      <c r="D264" s="732" t="e">
        <f>VLOOKUP(C264,chronic_intake_assessment!$C$1212:$G$1590,5,FALSE)</f>
        <v>#DIV/0!</v>
      </c>
      <c r="E264" s="733" t="e">
        <f>VLOOKUP(B264,Table3[[max]:[crop]],2,FALSE)</f>
        <v>#DIV/0!</v>
      </c>
      <c r="F264" s="738" t="e">
        <f>VLOOKUP(C264,chronic_intake_assessment!$C$1212:$H$1590,6,FALSE)</f>
        <v>#DIV/0!</v>
      </c>
      <c r="G264" s="71">
        <v>186</v>
      </c>
    </row>
    <row r="265" spans="2:7" x14ac:dyDescent="0.2">
      <c r="B265" s="613" t="e">
        <f>LARGE(Table3[max],ROW()-ROW($B$78))</f>
        <v>#DIV/0!</v>
      </c>
      <c r="C265" s="731" t="e">
        <f>VLOOKUP(B265,Table3[[max]:[crop]],3,FALSE)</f>
        <v>#DIV/0!</v>
      </c>
      <c r="D265" s="732" t="e">
        <f>VLOOKUP(C265,chronic_intake_assessment!$C$1212:$G$1590,5,FALSE)</f>
        <v>#DIV/0!</v>
      </c>
      <c r="E265" s="733" t="e">
        <f>VLOOKUP(B265,Table3[[max]:[crop]],2,FALSE)</f>
        <v>#DIV/0!</v>
      </c>
      <c r="F265" s="738" t="e">
        <f>VLOOKUP(C265,chronic_intake_assessment!$C$1212:$H$1590,6,FALSE)</f>
        <v>#DIV/0!</v>
      </c>
      <c r="G265" s="71">
        <v>187</v>
      </c>
    </row>
    <row r="266" spans="2:7" x14ac:dyDescent="0.2">
      <c r="B266" s="613" t="e">
        <f>LARGE(Table3[max],ROW()-ROW($B$78))</f>
        <v>#DIV/0!</v>
      </c>
      <c r="C266" s="731" t="e">
        <f>VLOOKUP(B266,Table3[[max]:[crop]],3,FALSE)</f>
        <v>#DIV/0!</v>
      </c>
      <c r="D266" s="732" t="e">
        <f>VLOOKUP(C266,chronic_intake_assessment!$C$1212:$G$1590,5,FALSE)</f>
        <v>#DIV/0!</v>
      </c>
      <c r="E266" s="733" t="e">
        <f>VLOOKUP(B266,Table3[[max]:[crop]],2,FALSE)</f>
        <v>#DIV/0!</v>
      </c>
      <c r="F266" s="738" t="e">
        <f>VLOOKUP(C266,chronic_intake_assessment!$C$1212:$H$1590,6,FALSE)</f>
        <v>#DIV/0!</v>
      </c>
      <c r="G266" s="71">
        <v>188</v>
      </c>
    </row>
    <row r="267" spans="2:7" x14ac:dyDescent="0.2">
      <c r="B267" s="613" t="e">
        <f>LARGE(Table3[max],ROW()-ROW($B$78))</f>
        <v>#DIV/0!</v>
      </c>
      <c r="C267" s="731" t="e">
        <f>VLOOKUP(B267,Table3[[max]:[crop]],3,FALSE)</f>
        <v>#DIV/0!</v>
      </c>
      <c r="D267" s="732" t="e">
        <f>VLOOKUP(C267,chronic_intake_assessment!$C$1212:$G$1590,5,FALSE)</f>
        <v>#DIV/0!</v>
      </c>
      <c r="E267" s="733" t="e">
        <f>VLOOKUP(B267,Table3[[max]:[crop]],2,FALSE)</f>
        <v>#DIV/0!</v>
      </c>
      <c r="F267" s="738" t="e">
        <f>VLOOKUP(C267,chronic_intake_assessment!$C$1212:$H$1590,6,FALSE)</f>
        <v>#DIV/0!</v>
      </c>
      <c r="G267" s="71">
        <v>189</v>
      </c>
    </row>
    <row r="268" spans="2:7" x14ac:dyDescent="0.2">
      <c r="B268" s="613" t="e">
        <f>LARGE(Table3[max],ROW()-ROW($B$78))</f>
        <v>#DIV/0!</v>
      </c>
      <c r="C268" s="731" t="e">
        <f>VLOOKUP(B268,Table3[[max]:[crop]],3,FALSE)</f>
        <v>#DIV/0!</v>
      </c>
      <c r="D268" s="732" t="e">
        <f>VLOOKUP(C268,chronic_intake_assessment!$C$1212:$G$1590,5,FALSE)</f>
        <v>#DIV/0!</v>
      </c>
      <c r="E268" s="733" t="e">
        <f>VLOOKUP(B268,Table3[[max]:[crop]],2,FALSE)</f>
        <v>#DIV/0!</v>
      </c>
      <c r="F268" s="738" t="e">
        <f>VLOOKUP(C268,chronic_intake_assessment!$C$1212:$H$1590,6,FALSE)</f>
        <v>#DIV/0!</v>
      </c>
      <c r="G268" s="71">
        <v>190</v>
      </c>
    </row>
    <row r="269" spans="2:7" x14ac:dyDescent="0.2">
      <c r="B269" s="613" t="e">
        <f>LARGE(Table3[max],ROW()-ROW($B$78))</f>
        <v>#DIV/0!</v>
      </c>
      <c r="C269" s="731" t="e">
        <f>VLOOKUP(B269,Table3[[max]:[crop]],3,FALSE)</f>
        <v>#DIV/0!</v>
      </c>
      <c r="D269" s="732" t="e">
        <f>VLOOKUP(C269,chronic_intake_assessment!$C$1212:$G$1590,5,FALSE)</f>
        <v>#DIV/0!</v>
      </c>
      <c r="E269" s="733" t="e">
        <f>VLOOKUP(B269,Table3[[max]:[crop]],2,FALSE)</f>
        <v>#DIV/0!</v>
      </c>
      <c r="F269" s="738" t="e">
        <f>VLOOKUP(C269,chronic_intake_assessment!$C$1212:$H$1590,6,FALSE)</f>
        <v>#DIV/0!</v>
      </c>
      <c r="G269" s="71">
        <v>191</v>
      </c>
    </row>
    <row r="270" spans="2:7" x14ac:dyDescent="0.2">
      <c r="B270" s="613" t="e">
        <f>LARGE(Table3[max],ROW()-ROW($B$78))</f>
        <v>#DIV/0!</v>
      </c>
      <c r="C270" s="731" t="e">
        <f>VLOOKUP(B270,Table3[[max]:[crop]],3,FALSE)</f>
        <v>#DIV/0!</v>
      </c>
      <c r="D270" s="732" t="e">
        <f>VLOOKUP(C270,chronic_intake_assessment!$C$1212:$G$1590,5,FALSE)</f>
        <v>#DIV/0!</v>
      </c>
      <c r="E270" s="733" t="e">
        <f>VLOOKUP(B270,Table3[[max]:[crop]],2,FALSE)</f>
        <v>#DIV/0!</v>
      </c>
      <c r="F270" s="738" t="e">
        <f>VLOOKUP(C270,chronic_intake_assessment!$C$1212:$H$1590,6,FALSE)</f>
        <v>#DIV/0!</v>
      </c>
      <c r="G270" s="71">
        <v>192</v>
      </c>
    </row>
    <row r="271" spans="2:7" x14ac:dyDescent="0.2">
      <c r="B271" s="613" t="e">
        <f>LARGE(Table3[max],ROW()-ROW($B$78))</f>
        <v>#DIV/0!</v>
      </c>
      <c r="C271" s="731" t="e">
        <f>VLOOKUP(B271,Table3[[max]:[crop]],3,FALSE)</f>
        <v>#DIV/0!</v>
      </c>
      <c r="D271" s="732" t="e">
        <f>VLOOKUP(C271,chronic_intake_assessment!$C$1212:$G$1590,5,FALSE)</f>
        <v>#DIV/0!</v>
      </c>
      <c r="E271" s="733" t="e">
        <f>VLOOKUP(B271,Table3[[max]:[crop]],2,FALSE)</f>
        <v>#DIV/0!</v>
      </c>
      <c r="F271" s="738" t="e">
        <f>VLOOKUP(C271,chronic_intake_assessment!$C$1212:$H$1590,6,FALSE)</f>
        <v>#DIV/0!</v>
      </c>
      <c r="G271" s="71">
        <v>193</v>
      </c>
    </row>
    <row r="272" spans="2:7" x14ac:dyDescent="0.2">
      <c r="B272" s="613" t="e">
        <f>LARGE(Table3[max],ROW()-ROW($B$78))</f>
        <v>#DIV/0!</v>
      </c>
      <c r="C272" s="731" t="e">
        <f>VLOOKUP(B272,Table3[[max]:[crop]],3,FALSE)</f>
        <v>#DIV/0!</v>
      </c>
      <c r="D272" s="732" t="e">
        <f>VLOOKUP(C272,chronic_intake_assessment!$C$1212:$G$1590,5,FALSE)</f>
        <v>#DIV/0!</v>
      </c>
      <c r="E272" s="733" t="e">
        <f>VLOOKUP(B272,Table3[[max]:[crop]],2,FALSE)</f>
        <v>#DIV/0!</v>
      </c>
      <c r="F272" s="738" t="e">
        <f>VLOOKUP(C272,chronic_intake_assessment!$C$1212:$H$1590,6,FALSE)</f>
        <v>#DIV/0!</v>
      </c>
      <c r="G272" s="71">
        <v>194</v>
      </c>
    </row>
    <row r="273" spans="2:7" x14ac:dyDescent="0.2">
      <c r="B273" s="613" t="e">
        <f>LARGE(Table3[max],ROW()-ROW($B$78))</f>
        <v>#DIV/0!</v>
      </c>
      <c r="C273" s="731" t="e">
        <f>VLOOKUP(B273,Table3[[max]:[crop]],3,FALSE)</f>
        <v>#DIV/0!</v>
      </c>
      <c r="D273" s="732" t="e">
        <f>VLOOKUP(C273,chronic_intake_assessment!$C$1212:$G$1590,5,FALSE)</f>
        <v>#DIV/0!</v>
      </c>
      <c r="E273" s="733" t="e">
        <f>VLOOKUP(B273,Table3[[max]:[crop]],2,FALSE)</f>
        <v>#DIV/0!</v>
      </c>
      <c r="F273" s="738" t="e">
        <f>VLOOKUP(C273,chronic_intake_assessment!$C$1212:$H$1590,6,FALSE)</f>
        <v>#DIV/0!</v>
      </c>
      <c r="G273" s="71">
        <v>195</v>
      </c>
    </row>
    <row r="274" spans="2:7" x14ac:dyDescent="0.2">
      <c r="B274" s="613" t="e">
        <f>LARGE(Table3[max],ROW()-ROW($B$78))</f>
        <v>#DIV/0!</v>
      </c>
      <c r="C274" s="731" t="e">
        <f>VLOOKUP(B274,Table3[[max]:[crop]],3,FALSE)</f>
        <v>#DIV/0!</v>
      </c>
      <c r="D274" s="732" t="e">
        <f>VLOOKUP(C274,chronic_intake_assessment!$C$1212:$G$1590,5,FALSE)</f>
        <v>#DIV/0!</v>
      </c>
      <c r="E274" s="733" t="e">
        <f>VLOOKUP(B274,Table3[[max]:[crop]],2,FALSE)</f>
        <v>#DIV/0!</v>
      </c>
      <c r="F274" s="738" t="e">
        <f>VLOOKUP(C274,chronic_intake_assessment!$C$1212:$H$1590,6,FALSE)</f>
        <v>#DIV/0!</v>
      </c>
      <c r="G274" s="71">
        <v>196</v>
      </c>
    </row>
    <row r="275" spans="2:7" x14ac:dyDescent="0.2">
      <c r="B275" s="613" t="e">
        <f>LARGE(Table3[max],ROW()-ROW($B$78))</f>
        <v>#DIV/0!</v>
      </c>
      <c r="C275" s="731" t="e">
        <f>VLOOKUP(B275,Table3[[max]:[crop]],3,FALSE)</f>
        <v>#DIV/0!</v>
      </c>
      <c r="D275" s="732" t="e">
        <f>VLOOKUP(C275,chronic_intake_assessment!$C$1212:$G$1590,5,FALSE)</f>
        <v>#DIV/0!</v>
      </c>
      <c r="E275" s="733" t="e">
        <f>VLOOKUP(B275,Table3[[max]:[crop]],2,FALSE)</f>
        <v>#DIV/0!</v>
      </c>
      <c r="F275" s="738" t="e">
        <f>VLOOKUP(C275,chronic_intake_assessment!$C$1212:$H$1590,6,FALSE)</f>
        <v>#DIV/0!</v>
      </c>
      <c r="G275" s="71">
        <v>197</v>
      </c>
    </row>
    <row r="276" spans="2:7" x14ac:dyDescent="0.2">
      <c r="B276" s="613" t="e">
        <f>LARGE(Table3[max],ROW()-ROW($B$78))</f>
        <v>#DIV/0!</v>
      </c>
      <c r="C276" s="731" t="e">
        <f>VLOOKUP(B276,Table3[[max]:[crop]],3,FALSE)</f>
        <v>#DIV/0!</v>
      </c>
      <c r="D276" s="732" t="e">
        <f>VLOOKUP(C276,chronic_intake_assessment!$C$1212:$G$1590,5,FALSE)</f>
        <v>#DIV/0!</v>
      </c>
      <c r="E276" s="733" t="e">
        <f>VLOOKUP(B276,Table3[[max]:[crop]],2,FALSE)</f>
        <v>#DIV/0!</v>
      </c>
      <c r="F276" s="738" t="e">
        <f>VLOOKUP(C276,chronic_intake_assessment!$C$1212:$H$1590,6,FALSE)</f>
        <v>#DIV/0!</v>
      </c>
      <c r="G276" s="71">
        <v>198</v>
      </c>
    </row>
    <row r="277" spans="2:7" x14ac:dyDescent="0.2">
      <c r="B277" s="613" t="e">
        <f>LARGE(Table3[max],ROW()-ROW($B$78))</f>
        <v>#DIV/0!</v>
      </c>
      <c r="C277" s="731" t="e">
        <f>VLOOKUP(B277,Table3[[max]:[crop]],3,FALSE)</f>
        <v>#DIV/0!</v>
      </c>
      <c r="D277" s="732" t="e">
        <f>VLOOKUP(C277,chronic_intake_assessment!$C$1212:$G$1590,5,FALSE)</f>
        <v>#DIV/0!</v>
      </c>
      <c r="E277" s="733" t="e">
        <f>VLOOKUP(B277,Table3[[max]:[crop]],2,FALSE)</f>
        <v>#DIV/0!</v>
      </c>
      <c r="F277" s="738" t="e">
        <f>VLOOKUP(C277,chronic_intake_assessment!$C$1212:$H$1590,6,FALSE)</f>
        <v>#DIV/0!</v>
      </c>
      <c r="G277" s="71">
        <v>199</v>
      </c>
    </row>
    <row r="278" spans="2:7" x14ac:dyDescent="0.2">
      <c r="B278" s="613" t="e">
        <f>LARGE(Table3[max],ROW()-ROW($B$78))</f>
        <v>#DIV/0!</v>
      </c>
      <c r="C278" s="731" t="e">
        <f>VLOOKUP(B278,Table3[[max]:[crop]],3,FALSE)</f>
        <v>#DIV/0!</v>
      </c>
      <c r="D278" s="732" t="e">
        <f>VLOOKUP(C278,chronic_intake_assessment!$C$1212:$G$1590,5,FALSE)</f>
        <v>#DIV/0!</v>
      </c>
      <c r="E278" s="733" t="e">
        <f>VLOOKUP(B278,Table3[[max]:[crop]],2,FALSE)</f>
        <v>#DIV/0!</v>
      </c>
      <c r="F278" s="738" t="e">
        <f>VLOOKUP(C278,chronic_intake_assessment!$C$1212:$H$1590,6,FALSE)</f>
        <v>#DIV/0!</v>
      </c>
      <c r="G278" s="71">
        <v>200</v>
      </c>
    </row>
    <row r="279" spans="2:7" x14ac:dyDescent="0.2">
      <c r="B279" s="613" t="e">
        <f>LARGE(Table3[max],ROW()-ROW($B$78))</f>
        <v>#DIV/0!</v>
      </c>
      <c r="C279" s="731" t="e">
        <f>VLOOKUP(B279,Table3[[max]:[crop]],3,FALSE)</f>
        <v>#DIV/0!</v>
      </c>
      <c r="D279" s="732" t="e">
        <f>VLOOKUP(C279,chronic_intake_assessment!$C$1212:$G$1590,5,FALSE)</f>
        <v>#DIV/0!</v>
      </c>
      <c r="E279" s="733" t="e">
        <f>VLOOKUP(B279,Table3[[max]:[crop]],2,FALSE)</f>
        <v>#DIV/0!</v>
      </c>
      <c r="F279" s="738" t="e">
        <f>VLOOKUP(C279,chronic_intake_assessment!$C$1212:$H$1590,6,FALSE)</f>
        <v>#DIV/0!</v>
      </c>
      <c r="G279" s="71">
        <v>201</v>
      </c>
    </row>
    <row r="280" spans="2:7" x14ac:dyDescent="0.2">
      <c r="B280" s="613" t="e">
        <f>LARGE(Table3[max],ROW()-ROW($B$78))</f>
        <v>#DIV/0!</v>
      </c>
      <c r="C280" s="731" t="e">
        <f>VLOOKUP(B280,Table3[[max]:[crop]],3,FALSE)</f>
        <v>#DIV/0!</v>
      </c>
      <c r="D280" s="732" t="e">
        <f>VLOOKUP(C280,chronic_intake_assessment!$C$1212:$G$1590,5,FALSE)</f>
        <v>#DIV/0!</v>
      </c>
      <c r="E280" s="733" t="e">
        <f>VLOOKUP(B280,Table3[[max]:[crop]],2,FALSE)</f>
        <v>#DIV/0!</v>
      </c>
      <c r="F280" s="738" t="e">
        <f>VLOOKUP(C280,chronic_intake_assessment!$C$1212:$H$1590,6,FALSE)</f>
        <v>#DIV/0!</v>
      </c>
      <c r="G280" s="71">
        <v>202</v>
      </c>
    </row>
    <row r="281" spans="2:7" x14ac:dyDescent="0.2">
      <c r="B281" s="613" t="e">
        <f>LARGE(Table3[max],ROW()-ROW($B$78))</f>
        <v>#DIV/0!</v>
      </c>
      <c r="C281" s="731" t="e">
        <f>VLOOKUP(B281,Table3[[max]:[crop]],3,FALSE)</f>
        <v>#DIV/0!</v>
      </c>
      <c r="D281" s="732" t="e">
        <f>VLOOKUP(C281,chronic_intake_assessment!$C$1212:$G$1590,5,FALSE)</f>
        <v>#DIV/0!</v>
      </c>
      <c r="E281" s="733" t="e">
        <f>VLOOKUP(B281,Table3[[max]:[crop]],2,FALSE)</f>
        <v>#DIV/0!</v>
      </c>
      <c r="F281" s="738" t="e">
        <f>VLOOKUP(C281,chronic_intake_assessment!$C$1212:$H$1590,6,FALSE)</f>
        <v>#DIV/0!</v>
      </c>
      <c r="G281" s="71">
        <v>203</v>
      </c>
    </row>
    <row r="282" spans="2:7" x14ac:dyDescent="0.2">
      <c r="B282" s="613" t="e">
        <f>LARGE(Table3[max],ROW()-ROW($B$78))</f>
        <v>#DIV/0!</v>
      </c>
      <c r="C282" s="731" t="e">
        <f>VLOOKUP(B282,Table3[[max]:[crop]],3,FALSE)</f>
        <v>#DIV/0!</v>
      </c>
      <c r="D282" s="732" t="e">
        <f>VLOOKUP(C282,chronic_intake_assessment!$C$1212:$G$1590,5,FALSE)</f>
        <v>#DIV/0!</v>
      </c>
      <c r="E282" s="733" t="e">
        <f>VLOOKUP(B282,Table3[[max]:[crop]],2,FALSE)</f>
        <v>#DIV/0!</v>
      </c>
      <c r="F282" s="738" t="e">
        <f>VLOOKUP(C282,chronic_intake_assessment!$C$1212:$H$1590,6,FALSE)</f>
        <v>#DIV/0!</v>
      </c>
      <c r="G282" s="71">
        <v>204</v>
      </c>
    </row>
    <row r="283" spans="2:7" x14ac:dyDescent="0.2">
      <c r="B283" s="613" t="e">
        <f>LARGE(Table3[max],ROW()-ROW($B$78))</f>
        <v>#DIV/0!</v>
      </c>
      <c r="C283" s="731" t="e">
        <f>VLOOKUP(B283,Table3[[max]:[crop]],3,FALSE)</f>
        <v>#DIV/0!</v>
      </c>
      <c r="D283" s="732" t="e">
        <f>VLOOKUP(C283,chronic_intake_assessment!$C$1212:$G$1590,5,FALSE)</f>
        <v>#DIV/0!</v>
      </c>
      <c r="E283" s="733" t="e">
        <f>VLOOKUP(B283,Table3[[max]:[crop]],2,FALSE)</f>
        <v>#DIV/0!</v>
      </c>
      <c r="F283" s="738" t="e">
        <f>VLOOKUP(C283,chronic_intake_assessment!$C$1212:$H$1590,6,FALSE)</f>
        <v>#DIV/0!</v>
      </c>
      <c r="G283" s="71">
        <v>205</v>
      </c>
    </row>
    <row r="284" spans="2:7" x14ac:dyDescent="0.2">
      <c r="B284" s="613" t="e">
        <f>LARGE(Table3[max],ROW()-ROW($B$78))</f>
        <v>#DIV/0!</v>
      </c>
      <c r="C284" s="731" t="e">
        <f>VLOOKUP(B284,Table3[[max]:[crop]],3,FALSE)</f>
        <v>#DIV/0!</v>
      </c>
      <c r="D284" s="732" t="e">
        <f>VLOOKUP(C284,chronic_intake_assessment!$C$1212:$G$1590,5,FALSE)</f>
        <v>#DIV/0!</v>
      </c>
      <c r="E284" s="733" t="e">
        <f>VLOOKUP(B284,Table3[[max]:[crop]],2,FALSE)</f>
        <v>#DIV/0!</v>
      </c>
      <c r="F284" s="738" t="e">
        <f>VLOOKUP(C284,chronic_intake_assessment!$C$1212:$H$1590,6,FALSE)</f>
        <v>#DIV/0!</v>
      </c>
      <c r="G284" s="71">
        <v>206</v>
      </c>
    </row>
    <row r="285" spans="2:7" x14ac:dyDescent="0.2">
      <c r="B285" s="613" t="e">
        <f>LARGE(Table3[max],ROW()-ROW($B$78))</f>
        <v>#DIV/0!</v>
      </c>
      <c r="C285" s="731" t="e">
        <f>VLOOKUP(B285,Table3[[max]:[crop]],3,FALSE)</f>
        <v>#DIV/0!</v>
      </c>
      <c r="D285" s="732" t="e">
        <f>VLOOKUP(C285,chronic_intake_assessment!$C$1212:$G$1590,5,FALSE)</f>
        <v>#DIV/0!</v>
      </c>
      <c r="E285" s="733" t="e">
        <f>VLOOKUP(B285,Table3[[max]:[crop]],2,FALSE)</f>
        <v>#DIV/0!</v>
      </c>
      <c r="F285" s="738" t="e">
        <f>VLOOKUP(C285,chronic_intake_assessment!$C$1212:$H$1590,6,FALSE)</f>
        <v>#DIV/0!</v>
      </c>
      <c r="G285" s="71">
        <v>207</v>
      </c>
    </row>
    <row r="286" spans="2:7" x14ac:dyDescent="0.2">
      <c r="B286" s="613" t="e">
        <f>LARGE(Table3[max],ROW()-ROW($B$78))</f>
        <v>#DIV/0!</v>
      </c>
      <c r="C286" s="731" t="e">
        <f>VLOOKUP(B286,Table3[[max]:[crop]],3,FALSE)</f>
        <v>#DIV/0!</v>
      </c>
      <c r="D286" s="732" t="e">
        <f>VLOOKUP(C286,chronic_intake_assessment!$C$1212:$G$1590,5,FALSE)</f>
        <v>#DIV/0!</v>
      </c>
      <c r="E286" s="733" t="e">
        <f>VLOOKUP(B286,Table3[[max]:[crop]],2,FALSE)</f>
        <v>#DIV/0!</v>
      </c>
      <c r="F286" s="738" t="e">
        <f>VLOOKUP(C286,chronic_intake_assessment!$C$1212:$H$1590,6,FALSE)</f>
        <v>#DIV/0!</v>
      </c>
      <c r="G286" s="71">
        <v>208</v>
      </c>
    </row>
    <row r="287" spans="2:7" x14ac:dyDescent="0.2">
      <c r="B287" s="613" t="e">
        <f>LARGE(Table3[max],ROW()-ROW($B$78))</f>
        <v>#DIV/0!</v>
      </c>
      <c r="C287" s="731" t="e">
        <f>VLOOKUP(B287,Table3[[max]:[crop]],3,FALSE)</f>
        <v>#DIV/0!</v>
      </c>
      <c r="D287" s="732" t="e">
        <f>VLOOKUP(C287,chronic_intake_assessment!$C$1212:$G$1590,5,FALSE)</f>
        <v>#DIV/0!</v>
      </c>
      <c r="E287" s="733" t="e">
        <f>VLOOKUP(B287,Table3[[max]:[crop]],2,FALSE)</f>
        <v>#DIV/0!</v>
      </c>
      <c r="F287" s="738" t="e">
        <f>VLOOKUP(C287,chronic_intake_assessment!$C$1212:$H$1590,6,FALSE)</f>
        <v>#DIV/0!</v>
      </c>
      <c r="G287" s="71">
        <v>209</v>
      </c>
    </row>
    <row r="288" spans="2:7" x14ac:dyDescent="0.2">
      <c r="B288" s="613" t="e">
        <f>LARGE(Table3[max],ROW()-ROW($B$78))</f>
        <v>#DIV/0!</v>
      </c>
      <c r="C288" s="731" t="e">
        <f>VLOOKUP(B288,Table3[[max]:[crop]],3,FALSE)</f>
        <v>#DIV/0!</v>
      </c>
      <c r="D288" s="732" t="e">
        <f>VLOOKUP(C288,chronic_intake_assessment!$C$1212:$G$1590,5,FALSE)</f>
        <v>#DIV/0!</v>
      </c>
      <c r="E288" s="733" t="e">
        <f>VLOOKUP(B288,Table3[[max]:[crop]],2,FALSE)</f>
        <v>#DIV/0!</v>
      </c>
      <c r="F288" s="738" t="e">
        <f>VLOOKUP(C288,chronic_intake_assessment!$C$1212:$H$1590,6,FALSE)</f>
        <v>#DIV/0!</v>
      </c>
      <c r="G288" s="71">
        <v>210</v>
      </c>
    </row>
    <row r="289" spans="2:7" x14ac:dyDescent="0.2">
      <c r="B289" s="613" t="e">
        <f>LARGE(Table3[max],ROW()-ROW($B$78))</f>
        <v>#DIV/0!</v>
      </c>
      <c r="C289" s="731" t="e">
        <f>VLOOKUP(B289,Table3[[max]:[crop]],3,FALSE)</f>
        <v>#DIV/0!</v>
      </c>
      <c r="D289" s="732" t="e">
        <f>VLOOKUP(C289,chronic_intake_assessment!$C$1212:$G$1590,5,FALSE)</f>
        <v>#DIV/0!</v>
      </c>
      <c r="E289" s="733" t="e">
        <f>VLOOKUP(B289,Table3[[max]:[crop]],2,FALSE)</f>
        <v>#DIV/0!</v>
      </c>
      <c r="F289" s="738" t="e">
        <f>VLOOKUP(C289,chronic_intake_assessment!$C$1212:$H$1590,6,FALSE)</f>
        <v>#DIV/0!</v>
      </c>
      <c r="G289" s="71">
        <v>211</v>
      </c>
    </row>
    <row r="290" spans="2:7" x14ac:dyDescent="0.2">
      <c r="B290" s="613" t="e">
        <f>LARGE(Table3[max],ROW()-ROW($B$78))</f>
        <v>#DIV/0!</v>
      </c>
      <c r="C290" s="731" t="e">
        <f>VLOOKUP(B290,Table3[[max]:[crop]],3,FALSE)</f>
        <v>#DIV/0!</v>
      </c>
      <c r="D290" s="732" t="e">
        <f>VLOOKUP(C290,chronic_intake_assessment!$C$1212:$G$1590,5,FALSE)</f>
        <v>#DIV/0!</v>
      </c>
      <c r="E290" s="733" t="e">
        <f>VLOOKUP(B290,Table3[[max]:[crop]],2,FALSE)</f>
        <v>#DIV/0!</v>
      </c>
      <c r="F290" s="738" t="e">
        <f>VLOOKUP(C290,chronic_intake_assessment!$C$1212:$H$1590,6,FALSE)</f>
        <v>#DIV/0!</v>
      </c>
      <c r="G290" s="71">
        <v>212</v>
      </c>
    </row>
    <row r="291" spans="2:7" x14ac:dyDescent="0.2">
      <c r="B291" s="613" t="e">
        <f>LARGE(Table3[max],ROW()-ROW($B$78))</f>
        <v>#DIV/0!</v>
      </c>
      <c r="C291" s="731" t="e">
        <f>VLOOKUP(B291,Table3[[max]:[crop]],3,FALSE)</f>
        <v>#DIV/0!</v>
      </c>
      <c r="D291" s="732" t="e">
        <f>VLOOKUP(C291,chronic_intake_assessment!$C$1212:$G$1590,5,FALSE)</f>
        <v>#DIV/0!</v>
      </c>
      <c r="E291" s="733" t="e">
        <f>VLOOKUP(B291,Table3[[max]:[crop]],2,FALSE)</f>
        <v>#DIV/0!</v>
      </c>
      <c r="F291" s="738" t="e">
        <f>VLOOKUP(C291,chronic_intake_assessment!$C$1212:$H$1590,6,FALSE)</f>
        <v>#DIV/0!</v>
      </c>
      <c r="G291" s="71">
        <v>213</v>
      </c>
    </row>
    <row r="292" spans="2:7" x14ac:dyDescent="0.2">
      <c r="B292" s="613" t="e">
        <f>LARGE(Table3[max],ROW()-ROW($B$78))</f>
        <v>#DIV/0!</v>
      </c>
      <c r="C292" s="731" t="e">
        <f>VLOOKUP(B292,Table3[[max]:[crop]],3,FALSE)</f>
        <v>#DIV/0!</v>
      </c>
      <c r="D292" s="732" t="e">
        <f>VLOOKUP(C292,chronic_intake_assessment!$C$1212:$G$1590,5,FALSE)</f>
        <v>#DIV/0!</v>
      </c>
      <c r="E292" s="733" t="e">
        <f>VLOOKUP(B292,Table3[[max]:[crop]],2,FALSE)</f>
        <v>#DIV/0!</v>
      </c>
      <c r="F292" s="738" t="e">
        <f>VLOOKUP(C292,chronic_intake_assessment!$C$1212:$H$1590,6,FALSE)</f>
        <v>#DIV/0!</v>
      </c>
      <c r="G292" s="71">
        <v>214</v>
      </c>
    </row>
    <row r="293" spans="2:7" x14ac:dyDescent="0.2">
      <c r="B293" s="613" t="e">
        <f>LARGE(Table3[max],ROW()-ROW($B$78))</f>
        <v>#DIV/0!</v>
      </c>
      <c r="C293" s="731" t="e">
        <f>VLOOKUP(B293,Table3[[max]:[crop]],3,FALSE)</f>
        <v>#DIV/0!</v>
      </c>
      <c r="D293" s="732" t="e">
        <f>VLOOKUP(C293,chronic_intake_assessment!$C$1212:$G$1590,5,FALSE)</f>
        <v>#DIV/0!</v>
      </c>
      <c r="E293" s="733" t="e">
        <f>VLOOKUP(B293,Table3[[max]:[crop]],2,FALSE)</f>
        <v>#DIV/0!</v>
      </c>
      <c r="F293" s="738" t="e">
        <f>VLOOKUP(C293,chronic_intake_assessment!$C$1212:$H$1590,6,FALSE)</f>
        <v>#DIV/0!</v>
      </c>
      <c r="G293" s="71">
        <v>215</v>
      </c>
    </row>
    <row r="294" spans="2:7" x14ac:dyDescent="0.2">
      <c r="B294" s="613" t="e">
        <f>LARGE(Table3[max],ROW()-ROW($B$78))</f>
        <v>#DIV/0!</v>
      </c>
      <c r="C294" s="731" t="e">
        <f>VLOOKUP(B294,Table3[[max]:[crop]],3,FALSE)</f>
        <v>#DIV/0!</v>
      </c>
      <c r="D294" s="732" t="e">
        <f>VLOOKUP(C294,chronic_intake_assessment!$C$1212:$G$1590,5,FALSE)</f>
        <v>#DIV/0!</v>
      </c>
      <c r="E294" s="733" t="e">
        <f>VLOOKUP(B294,Table3[[max]:[crop]],2,FALSE)</f>
        <v>#DIV/0!</v>
      </c>
      <c r="F294" s="738" t="e">
        <f>VLOOKUP(C294,chronic_intake_assessment!$C$1212:$H$1590,6,FALSE)</f>
        <v>#DIV/0!</v>
      </c>
      <c r="G294" s="71">
        <v>216</v>
      </c>
    </row>
    <row r="295" spans="2:7" x14ac:dyDescent="0.2">
      <c r="B295" s="613" t="e">
        <f>LARGE(Table3[max],ROW()-ROW($B$78))</f>
        <v>#DIV/0!</v>
      </c>
      <c r="C295" s="731" t="e">
        <f>VLOOKUP(B295,Table3[[max]:[crop]],3,FALSE)</f>
        <v>#DIV/0!</v>
      </c>
      <c r="D295" s="732" t="e">
        <f>VLOOKUP(C295,chronic_intake_assessment!$C$1212:$G$1590,5,FALSE)</f>
        <v>#DIV/0!</v>
      </c>
      <c r="E295" s="733" t="e">
        <f>VLOOKUP(B295,Table3[[max]:[crop]],2,FALSE)</f>
        <v>#DIV/0!</v>
      </c>
      <c r="F295" s="738" t="e">
        <f>VLOOKUP(C295,chronic_intake_assessment!$C$1212:$H$1590,6,FALSE)</f>
        <v>#DIV/0!</v>
      </c>
      <c r="G295" s="71">
        <v>217</v>
      </c>
    </row>
    <row r="296" spans="2:7" x14ac:dyDescent="0.2">
      <c r="B296" s="613" t="e">
        <f>LARGE(Table3[max],ROW()-ROW($B$78))</f>
        <v>#DIV/0!</v>
      </c>
      <c r="C296" s="731" t="e">
        <f>VLOOKUP(B296,Table3[[max]:[crop]],3,FALSE)</f>
        <v>#DIV/0!</v>
      </c>
      <c r="D296" s="732" t="e">
        <f>VLOOKUP(C296,chronic_intake_assessment!$C$1212:$G$1590,5,FALSE)</f>
        <v>#DIV/0!</v>
      </c>
      <c r="E296" s="733" t="e">
        <f>VLOOKUP(B296,Table3[[max]:[crop]],2,FALSE)</f>
        <v>#DIV/0!</v>
      </c>
      <c r="F296" s="738" t="e">
        <f>VLOOKUP(C296,chronic_intake_assessment!$C$1212:$H$1590,6,FALSE)</f>
        <v>#DIV/0!</v>
      </c>
      <c r="G296" s="71">
        <v>218</v>
      </c>
    </row>
    <row r="297" spans="2:7" x14ac:dyDescent="0.2">
      <c r="B297" s="613" t="e">
        <f>LARGE(Table3[max],ROW()-ROW($B$78))</f>
        <v>#DIV/0!</v>
      </c>
      <c r="C297" s="731" t="e">
        <f>VLOOKUP(B297,Table3[[max]:[crop]],3,FALSE)</f>
        <v>#DIV/0!</v>
      </c>
      <c r="D297" s="732" t="e">
        <f>VLOOKUP(C297,chronic_intake_assessment!$C$1212:$G$1590,5,FALSE)</f>
        <v>#DIV/0!</v>
      </c>
      <c r="E297" s="733" t="e">
        <f>VLOOKUP(B297,Table3[[max]:[crop]],2,FALSE)</f>
        <v>#DIV/0!</v>
      </c>
      <c r="F297" s="738" t="e">
        <f>VLOOKUP(C297,chronic_intake_assessment!$C$1212:$H$1590,6,FALSE)</f>
        <v>#DIV/0!</v>
      </c>
      <c r="G297" s="71">
        <v>219</v>
      </c>
    </row>
    <row r="298" spans="2:7" x14ac:dyDescent="0.2">
      <c r="B298" s="613" t="e">
        <f>LARGE(Table3[max],ROW()-ROW($B$78))</f>
        <v>#DIV/0!</v>
      </c>
      <c r="C298" s="731" t="e">
        <f>VLOOKUP(B298,Table3[[max]:[crop]],3,FALSE)</f>
        <v>#DIV/0!</v>
      </c>
      <c r="D298" s="732" t="e">
        <f>VLOOKUP(C298,chronic_intake_assessment!$C$1212:$G$1590,5,FALSE)</f>
        <v>#DIV/0!</v>
      </c>
      <c r="E298" s="733" t="e">
        <f>VLOOKUP(B298,Table3[[max]:[crop]],2,FALSE)</f>
        <v>#DIV/0!</v>
      </c>
      <c r="F298" s="738" t="e">
        <f>VLOOKUP(C298,chronic_intake_assessment!$C$1212:$H$1590,6,FALSE)</f>
        <v>#DIV/0!</v>
      </c>
      <c r="G298" s="71">
        <v>220</v>
      </c>
    </row>
    <row r="299" spans="2:7" x14ac:dyDescent="0.2">
      <c r="B299" s="613" t="e">
        <f>LARGE(Table3[max],ROW()-ROW($B$78))</f>
        <v>#DIV/0!</v>
      </c>
      <c r="C299" s="731" t="e">
        <f>VLOOKUP(B299,Table3[[max]:[crop]],3,FALSE)</f>
        <v>#DIV/0!</v>
      </c>
      <c r="D299" s="732" t="e">
        <f>VLOOKUP(C299,chronic_intake_assessment!$C$1212:$G$1590,5,FALSE)</f>
        <v>#DIV/0!</v>
      </c>
      <c r="E299" s="733" t="e">
        <f>VLOOKUP(B299,Table3[[max]:[crop]],2,FALSE)</f>
        <v>#DIV/0!</v>
      </c>
      <c r="F299" s="738" t="e">
        <f>VLOOKUP(C299,chronic_intake_assessment!$C$1212:$H$1590,6,FALSE)</f>
        <v>#DIV/0!</v>
      </c>
      <c r="G299" s="71">
        <v>221</v>
      </c>
    </row>
    <row r="300" spans="2:7" x14ac:dyDescent="0.2">
      <c r="B300" s="613" t="e">
        <f>LARGE(Table3[max],ROW()-ROW($B$78))</f>
        <v>#DIV/0!</v>
      </c>
      <c r="C300" s="731" t="e">
        <f>VLOOKUP(B300,Table3[[max]:[crop]],3,FALSE)</f>
        <v>#DIV/0!</v>
      </c>
      <c r="D300" s="732" t="e">
        <f>VLOOKUP(C300,chronic_intake_assessment!$C$1212:$G$1590,5,FALSE)</f>
        <v>#DIV/0!</v>
      </c>
      <c r="E300" s="733" t="e">
        <f>VLOOKUP(B300,Table3[[max]:[crop]],2,FALSE)</f>
        <v>#DIV/0!</v>
      </c>
      <c r="F300" s="738" t="e">
        <f>VLOOKUP(C300,chronic_intake_assessment!$C$1212:$H$1590,6,FALSE)</f>
        <v>#DIV/0!</v>
      </c>
      <c r="G300" s="71">
        <v>222</v>
      </c>
    </row>
    <row r="301" spans="2:7" x14ac:dyDescent="0.2">
      <c r="B301" s="613" t="e">
        <f>LARGE(Table3[max],ROW()-ROW($B$78))</f>
        <v>#DIV/0!</v>
      </c>
      <c r="C301" s="731" t="e">
        <f>VLOOKUP(B301,Table3[[max]:[crop]],3,FALSE)</f>
        <v>#DIV/0!</v>
      </c>
      <c r="D301" s="732" t="e">
        <f>VLOOKUP(C301,chronic_intake_assessment!$C$1212:$G$1590,5,FALSE)</f>
        <v>#DIV/0!</v>
      </c>
      <c r="E301" s="733" t="e">
        <f>VLOOKUP(B301,Table3[[max]:[crop]],2,FALSE)</f>
        <v>#DIV/0!</v>
      </c>
      <c r="F301" s="738" t="e">
        <f>VLOOKUP(C301,chronic_intake_assessment!$C$1212:$H$1590,6,FALSE)</f>
        <v>#DIV/0!</v>
      </c>
      <c r="G301" s="71">
        <v>223</v>
      </c>
    </row>
    <row r="302" spans="2:7" x14ac:dyDescent="0.2">
      <c r="B302" s="613" t="e">
        <f>LARGE(Table3[max],ROW()-ROW($B$78))</f>
        <v>#DIV/0!</v>
      </c>
      <c r="C302" s="731" t="e">
        <f>VLOOKUP(B302,Table3[[max]:[crop]],3,FALSE)</f>
        <v>#DIV/0!</v>
      </c>
      <c r="D302" s="732" t="e">
        <f>VLOOKUP(C302,chronic_intake_assessment!$C$1212:$G$1590,5,FALSE)</f>
        <v>#DIV/0!</v>
      </c>
      <c r="E302" s="733" t="e">
        <f>VLOOKUP(B302,Table3[[max]:[crop]],2,FALSE)</f>
        <v>#DIV/0!</v>
      </c>
      <c r="F302" s="738" t="e">
        <f>VLOOKUP(C302,chronic_intake_assessment!$C$1212:$H$1590,6,FALSE)</f>
        <v>#DIV/0!</v>
      </c>
      <c r="G302" s="71">
        <v>224</v>
      </c>
    </row>
    <row r="303" spans="2:7" x14ac:dyDescent="0.2">
      <c r="B303" s="613" t="e">
        <f>LARGE(Table3[max],ROW()-ROW($B$78))</f>
        <v>#DIV/0!</v>
      </c>
      <c r="C303" s="731" t="e">
        <f>VLOOKUP(B303,Table3[[max]:[crop]],3,FALSE)</f>
        <v>#DIV/0!</v>
      </c>
      <c r="D303" s="732" t="e">
        <f>VLOOKUP(C303,chronic_intake_assessment!$C$1212:$G$1590,5,FALSE)</f>
        <v>#DIV/0!</v>
      </c>
      <c r="E303" s="733" t="e">
        <f>VLOOKUP(B303,Table3[[max]:[crop]],2,FALSE)</f>
        <v>#DIV/0!</v>
      </c>
      <c r="F303" s="738" t="e">
        <f>VLOOKUP(C303,chronic_intake_assessment!$C$1212:$H$1590,6,FALSE)</f>
        <v>#DIV/0!</v>
      </c>
      <c r="G303" s="71">
        <v>225</v>
      </c>
    </row>
    <row r="304" spans="2:7" x14ac:dyDescent="0.2">
      <c r="B304" s="613" t="e">
        <f>LARGE(Table3[max],ROW()-ROW($B$78))</f>
        <v>#DIV/0!</v>
      </c>
      <c r="C304" s="731" t="e">
        <f>VLOOKUP(B304,Table3[[max]:[crop]],3,FALSE)</f>
        <v>#DIV/0!</v>
      </c>
      <c r="D304" s="732" t="e">
        <f>VLOOKUP(C304,chronic_intake_assessment!$C$1212:$G$1590,5,FALSE)</f>
        <v>#DIV/0!</v>
      </c>
      <c r="E304" s="733" t="e">
        <f>VLOOKUP(B304,Table3[[max]:[crop]],2,FALSE)</f>
        <v>#DIV/0!</v>
      </c>
      <c r="F304" s="738" t="e">
        <f>VLOOKUP(C304,chronic_intake_assessment!$C$1212:$H$1590,6,FALSE)</f>
        <v>#DIV/0!</v>
      </c>
      <c r="G304" s="71">
        <v>226</v>
      </c>
    </row>
    <row r="305" spans="2:7" x14ac:dyDescent="0.2">
      <c r="B305" s="613" t="e">
        <f>LARGE(Table3[max],ROW()-ROW($B$78))</f>
        <v>#DIV/0!</v>
      </c>
      <c r="C305" s="731" t="e">
        <f>VLOOKUP(B305,Table3[[max]:[crop]],3,FALSE)</f>
        <v>#DIV/0!</v>
      </c>
      <c r="D305" s="732" t="e">
        <f>VLOOKUP(C305,chronic_intake_assessment!$C$1212:$G$1590,5,FALSE)</f>
        <v>#DIV/0!</v>
      </c>
      <c r="E305" s="733" t="e">
        <f>VLOOKUP(B305,Table3[[max]:[crop]],2,FALSE)</f>
        <v>#DIV/0!</v>
      </c>
      <c r="F305" s="738" t="e">
        <f>VLOOKUP(C305,chronic_intake_assessment!$C$1212:$H$1590,6,FALSE)</f>
        <v>#DIV/0!</v>
      </c>
      <c r="G305" s="71">
        <v>227</v>
      </c>
    </row>
    <row r="306" spans="2:7" x14ac:dyDescent="0.2">
      <c r="B306" s="613" t="e">
        <f>LARGE(Table3[max],ROW()-ROW($B$78))</f>
        <v>#DIV/0!</v>
      </c>
      <c r="C306" s="731" t="e">
        <f>VLOOKUP(B306,Table3[[max]:[crop]],3,FALSE)</f>
        <v>#DIV/0!</v>
      </c>
      <c r="D306" s="732" t="e">
        <f>VLOOKUP(C306,chronic_intake_assessment!$C$1212:$G$1590,5,FALSE)</f>
        <v>#DIV/0!</v>
      </c>
      <c r="E306" s="733" t="e">
        <f>VLOOKUP(B306,Table3[[max]:[crop]],2,FALSE)</f>
        <v>#DIV/0!</v>
      </c>
      <c r="F306" s="738" t="e">
        <f>VLOOKUP(C306,chronic_intake_assessment!$C$1212:$H$1590,6,FALSE)</f>
        <v>#DIV/0!</v>
      </c>
      <c r="G306" s="71">
        <v>228</v>
      </c>
    </row>
    <row r="307" spans="2:7" x14ac:dyDescent="0.2">
      <c r="B307" s="613" t="e">
        <f>LARGE(Table3[max],ROW()-ROW($B$78))</f>
        <v>#DIV/0!</v>
      </c>
      <c r="C307" s="731" t="e">
        <f>VLOOKUP(B307,Table3[[max]:[crop]],3,FALSE)</f>
        <v>#DIV/0!</v>
      </c>
      <c r="D307" s="732" t="e">
        <f>VLOOKUP(C307,chronic_intake_assessment!$C$1212:$G$1590,5,FALSE)</f>
        <v>#DIV/0!</v>
      </c>
      <c r="E307" s="733" t="e">
        <f>VLOOKUP(B307,Table3[[max]:[crop]],2,FALSE)</f>
        <v>#DIV/0!</v>
      </c>
      <c r="F307" s="738" t="e">
        <f>VLOOKUP(C307,chronic_intake_assessment!$C$1212:$H$1590,6,FALSE)</f>
        <v>#DIV/0!</v>
      </c>
      <c r="G307" s="71">
        <v>229</v>
      </c>
    </row>
    <row r="308" spans="2:7" x14ac:dyDescent="0.2">
      <c r="B308" s="613" t="e">
        <f>LARGE(Table3[max],ROW()-ROW($B$78))</f>
        <v>#DIV/0!</v>
      </c>
      <c r="C308" s="731" t="e">
        <f>VLOOKUP(B308,Table3[[max]:[crop]],3,FALSE)</f>
        <v>#DIV/0!</v>
      </c>
      <c r="D308" s="732" t="e">
        <f>VLOOKUP(C308,chronic_intake_assessment!$C$1212:$G$1590,5,FALSE)</f>
        <v>#DIV/0!</v>
      </c>
      <c r="E308" s="733" t="e">
        <f>VLOOKUP(B308,Table3[[max]:[crop]],2,FALSE)</f>
        <v>#DIV/0!</v>
      </c>
      <c r="F308" s="738" t="e">
        <f>VLOOKUP(C308,chronic_intake_assessment!$C$1212:$H$1590,6,FALSE)</f>
        <v>#DIV/0!</v>
      </c>
      <c r="G308" s="71">
        <v>230</v>
      </c>
    </row>
    <row r="309" spans="2:7" x14ac:dyDescent="0.2">
      <c r="B309" s="613" t="e">
        <f>LARGE(Table3[max],ROW()-ROW($B$78))</f>
        <v>#DIV/0!</v>
      </c>
      <c r="C309" s="731" t="e">
        <f>VLOOKUP(B309,Table3[[max]:[crop]],3,FALSE)</f>
        <v>#DIV/0!</v>
      </c>
      <c r="D309" s="732" t="e">
        <f>VLOOKUP(C309,chronic_intake_assessment!$C$1212:$G$1590,5,FALSE)</f>
        <v>#DIV/0!</v>
      </c>
      <c r="E309" s="733" t="e">
        <f>VLOOKUP(B309,Table3[[max]:[crop]],2,FALSE)</f>
        <v>#DIV/0!</v>
      </c>
      <c r="F309" s="738" t="e">
        <f>VLOOKUP(C309,chronic_intake_assessment!$C$1212:$H$1590,6,FALSE)</f>
        <v>#DIV/0!</v>
      </c>
      <c r="G309" s="71">
        <v>231</v>
      </c>
    </row>
    <row r="310" spans="2:7" x14ac:dyDescent="0.2">
      <c r="B310" s="613" t="e">
        <f>LARGE(Table3[max],ROW()-ROW($B$78))</f>
        <v>#DIV/0!</v>
      </c>
      <c r="C310" s="731" t="e">
        <f>VLOOKUP(B310,Table3[[max]:[crop]],3,FALSE)</f>
        <v>#DIV/0!</v>
      </c>
      <c r="D310" s="732" t="e">
        <f>VLOOKUP(C310,chronic_intake_assessment!$C$1212:$G$1590,5,FALSE)</f>
        <v>#DIV/0!</v>
      </c>
      <c r="E310" s="733" t="e">
        <f>VLOOKUP(B310,Table3[[max]:[crop]],2,FALSE)</f>
        <v>#DIV/0!</v>
      </c>
      <c r="F310" s="738" t="e">
        <f>VLOOKUP(C310,chronic_intake_assessment!$C$1212:$H$1590,6,FALSE)</f>
        <v>#DIV/0!</v>
      </c>
      <c r="G310" s="71">
        <v>232</v>
      </c>
    </row>
    <row r="311" spans="2:7" x14ac:dyDescent="0.2">
      <c r="B311" s="613" t="e">
        <f>LARGE(Table3[max],ROW()-ROW($B$78))</f>
        <v>#DIV/0!</v>
      </c>
      <c r="C311" s="731" t="e">
        <f>VLOOKUP(B311,Table3[[max]:[crop]],3,FALSE)</f>
        <v>#DIV/0!</v>
      </c>
      <c r="D311" s="732" t="e">
        <f>VLOOKUP(C311,chronic_intake_assessment!$C$1212:$G$1590,5,FALSE)</f>
        <v>#DIV/0!</v>
      </c>
      <c r="E311" s="733" t="e">
        <f>VLOOKUP(B311,Table3[[max]:[crop]],2,FALSE)</f>
        <v>#DIV/0!</v>
      </c>
      <c r="F311" s="738" t="e">
        <f>VLOOKUP(C311,chronic_intake_assessment!$C$1212:$H$1590,6,FALSE)</f>
        <v>#DIV/0!</v>
      </c>
      <c r="G311" s="71">
        <v>233</v>
      </c>
    </row>
    <row r="312" spans="2:7" x14ac:dyDescent="0.2">
      <c r="B312" s="613" t="e">
        <f>LARGE(Table3[max],ROW()-ROW($B$78))</f>
        <v>#DIV/0!</v>
      </c>
      <c r="C312" s="731" t="e">
        <f>VLOOKUP(B312,Table3[[max]:[crop]],3,FALSE)</f>
        <v>#DIV/0!</v>
      </c>
      <c r="D312" s="732" t="e">
        <f>VLOOKUP(C312,chronic_intake_assessment!$C$1212:$G$1590,5,FALSE)</f>
        <v>#DIV/0!</v>
      </c>
      <c r="E312" s="733" t="e">
        <f>VLOOKUP(B312,Table3[[max]:[crop]],2,FALSE)</f>
        <v>#DIV/0!</v>
      </c>
      <c r="F312" s="738" t="e">
        <f>VLOOKUP(C312,chronic_intake_assessment!$C$1212:$H$1590,6,FALSE)</f>
        <v>#DIV/0!</v>
      </c>
      <c r="G312" s="71">
        <v>234</v>
      </c>
    </row>
    <row r="313" spans="2:7" x14ac:dyDescent="0.2">
      <c r="B313" s="613" t="e">
        <f>LARGE(Table3[max],ROW()-ROW($B$78))</f>
        <v>#DIV/0!</v>
      </c>
      <c r="C313" s="731" t="e">
        <f>VLOOKUP(B313,Table3[[max]:[crop]],3,FALSE)</f>
        <v>#DIV/0!</v>
      </c>
      <c r="D313" s="732" t="e">
        <f>VLOOKUP(C313,chronic_intake_assessment!$C$1212:$G$1590,5,FALSE)</f>
        <v>#DIV/0!</v>
      </c>
      <c r="E313" s="733" t="e">
        <f>VLOOKUP(B313,Table3[[max]:[crop]],2,FALSE)</f>
        <v>#DIV/0!</v>
      </c>
      <c r="F313" s="738" t="e">
        <f>VLOOKUP(C313,chronic_intake_assessment!$C$1212:$H$1590,6,FALSE)</f>
        <v>#DIV/0!</v>
      </c>
      <c r="G313" s="71">
        <v>235</v>
      </c>
    </row>
    <row r="314" spans="2:7" x14ac:dyDescent="0.2">
      <c r="B314" s="613" t="e">
        <f>LARGE(Table3[max],ROW()-ROW($B$78))</f>
        <v>#DIV/0!</v>
      </c>
      <c r="C314" s="731" t="e">
        <f>VLOOKUP(B314,Table3[[max]:[crop]],3,FALSE)</f>
        <v>#DIV/0!</v>
      </c>
      <c r="D314" s="732" t="e">
        <f>VLOOKUP(C314,chronic_intake_assessment!$C$1212:$G$1590,5,FALSE)</f>
        <v>#DIV/0!</v>
      </c>
      <c r="E314" s="733" t="e">
        <f>VLOOKUP(B314,Table3[[max]:[crop]],2,FALSE)</f>
        <v>#DIV/0!</v>
      </c>
      <c r="F314" s="738" t="e">
        <f>VLOOKUP(C314,chronic_intake_assessment!$C$1212:$H$1590,6,FALSE)</f>
        <v>#DIV/0!</v>
      </c>
      <c r="G314" s="71">
        <v>236</v>
      </c>
    </row>
    <row r="315" spans="2:7" x14ac:dyDescent="0.2">
      <c r="B315" s="613" t="e">
        <f>LARGE(Table3[max],ROW()-ROW($B$78))</f>
        <v>#DIV/0!</v>
      </c>
      <c r="C315" s="731" t="e">
        <f>VLOOKUP(B315,Table3[[max]:[crop]],3,FALSE)</f>
        <v>#DIV/0!</v>
      </c>
      <c r="D315" s="732" t="e">
        <f>VLOOKUP(C315,chronic_intake_assessment!$C$1212:$G$1590,5,FALSE)</f>
        <v>#DIV/0!</v>
      </c>
      <c r="E315" s="733" t="e">
        <f>VLOOKUP(B315,Table3[[max]:[crop]],2,FALSE)</f>
        <v>#DIV/0!</v>
      </c>
      <c r="F315" s="738" t="e">
        <f>VLOOKUP(C315,chronic_intake_assessment!$C$1212:$H$1590,6,FALSE)</f>
        <v>#DIV/0!</v>
      </c>
      <c r="G315" s="71">
        <v>237</v>
      </c>
    </row>
    <row r="316" spans="2:7" x14ac:dyDescent="0.2">
      <c r="B316" s="613" t="e">
        <f>LARGE(Table3[max],ROW()-ROW($B$78))</f>
        <v>#DIV/0!</v>
      </c>
      <c r="C316" s="731" t="e">
        <f>VLOOKUP(B316,Table3[[max]:[crop]],3,FALSE)</f>
        <v>#DIV/0!</v>
      </c>
      <c r="D316" s="732" t="e">
        <f>VLOOKUP(C316,chronic_intake_assessment!$C$1212:$G$1590,5,FALSE)</f>
        <v>#DIV/0!</v>
      </c>
      <c r="E316" s="733" t="e">
        <f>VLOOKUP(B316,Table3[[max]:[crop]],2,FALSE)</f>
        <v>#DIV/0!</v>
      </c>
      <c r="F316" s="738" t="e">
        <f>VLOOKUP(C316,chronic_intake_assessment!$C$1212:$H$1590,6,FALSE)</f>
        <v>#DIV/0!</v>
      </c>
      <c r="G316" s="71">
        <v>238</v>
      </c>
    </row>
    <row r="317" spans="2:7" x14ac:dyDescent="0.2">
      <c r="B317" s="613" t="e">
        <f>LARGE(Table3[max],ROW()-ROW($B$78))</f>
        <v>#DIV/0!</v>
      </c>
      <c r="C317" s="731" t="e">
        <f>VLOOKUP(B317,Table3[[max]:[crop]],3,FALSE)</f>
        <v>#DIV/0!</v>
      </c>
      <c r="D317" s="732" t="e">
        <f>VLOOKUP(C317,chronic_intake_assessment!$C$1212:$G$1590,5,FALSE)</f>
        <v>#DIV/0!</v>
      </c>
      <c r="E317" s="733" t="e">
        <f>VLOOKUP(B317,Table3[[max]:[crop]],2,FALSE)</f>
        <v>#DIV/0!</v>
      </c>
      <c r="F317" s="738" t="e">
        <f>VLOOKUP(C317,chronic_intake_assessment!$C$1212:$H$1590,6,FALSE)</f>
        <v>#DIV/0!</v>
      </c>
      <c r="G317" s="71">
        <v>239</v>
      </c>
    </row>
    <row r="318" spans="2:7" x14ac:dyDescent="0.2">
      <c r="B318" s="613" t="e">
        <f>LARGE(Table3[max],ROW()-ROW($B$78))</f>
        <v>#DIV/0!</v>
      </c>
      <c r="C318" s="731" t="e">
        <f>VLOOKUP(B318,Table3[[max]:[crop]],3,FALSE)</f>
        <v>#DIV/0!</v>
      </c>
      <c r="D318" s="732" t="e">
        <f>VLOOKUP(C318,chronic_intake_assessment!$C$1212:$G$1590,5,FALSE)</f>
        <v>#DIV/0!</v>
      </c>
      <c r="E318" s="733" t="e">
        <f>VLOOKUP(B318,Table3[[max]:[crop]],2,FALSE)</f>
        <v>#DIV/0!</v>
      </c>
      <c r="F318" s="738" t="e">
        <f>VLOOKUP(C318,chronic_intake_assessment!$C$1212:$H$1590,6,FALSE)</f>
        <v>#DIV/0!</v>
      </c>
      <c r="G318" s="71">
        <v>240</v>
      </c>
    </row>
    <row r="319" spans="2:7" x14ac:dyDescent="0.2">
      <c r="B319" s="613" t="e">
        <f>LARGE(Table3[max],ROW()-ROW($B$78))</f>
        <v>#DIV/0!</v>
      </c>
      <c r="C319" s="731" t="e">
        <f>VLOOKUP(B319,Table3[[max]:[crop]],3,FALSE)</f>
        <v>#DIV/0!</v>
      </c>
      <c r="D319" s="732" t="e">
        <f>VLOOKUP(C319,chronic_intake_assessment!$C$1212:$G$1590,5,FALSE)</f>
        <v>#DIV/0!</v>
      </c>
      <c r="E319" s="733" t="e">
        <f>VLOOKUP(B319,Table3[[max]:[crop]],2,FALSE)</f>
        <v>#DIV/0!</v>
      </c>
      <c r="F319" s="738" t="e">
        <f>VLOOKUP(C319,chronic_intake_assessment!$C$1212:$H$1590,6,FALSE)</f>
        <v>#DIV/0!</v>
      </c>
      <c r="G319" s="71">
        <v>241</v>
      </c>
    </row>
    <row r="320" spans="2:7" x14ac:dyDescent="0.2">
      <c r="B320" s="613" t="e">
        <f>LARGE(Table3[max],ROW()-ROW($B$78))</f>
        <v>#DIV/0!</v>
      </c>
      <c r="C320" s="731" t="e">
        <f>VLOOKUP(B320,Table3[[max]:[crop]],3,FALSE)</f>
        <v>#DIV/0!</v>
      </c>
      <c r="D320" s="732" t="e">
        <f>VLOOKUP(C320,chronic_intake_assessment!$C$1212:$G$1590,5,FALSE)</f>
        <v>#DIV/0!</v>
      </c>
      <c r="E320" s="733" t="e">
        <f>VLOOKUP(B320,Table3[[max]:[crop]],2,FALSE)</f>
        <v>#DIV/0!</v>
      </c>
      <c r="F320" s="738" t="e">
        <f>VLOOKUP(C320,chronic_intake_assessment!$C$1212:$H$1590,6,FALSE)</f>
        <v>#DIV/0!</v>
      </c>
      <c r="G320" s="71">
        <v>242</v>
      </c>
    </row>
    <row r="321" spans="2:7" x14ac:dyDescent="0.2">
      <c r="B321" s="613" t="e">
        <f>LARGE(Table3[max],ROW()-ROW($B$78))</f>
        <v>#DIV/0!</v>
      </c>
      <c r="C321" s="731" t="e">
        <f>VLOOKUP(B321,Table3[[max]:[crop]],3,FALSE)</f>
        <v>#DIV/0!</v>
      </c>
      <c r="D321" s="732" t="e">
        <f>VLOOKUP(C321,chronic_intake_assessment!$C$1212:$G$1590,5,FALSE)</f>
        <v>#DIV/0!</v>
      </c>
      <c r="E321" s="733" t="e">
        <f>VLOOKUP(B321,Table3[[max]:[crop]],2,FALSE)</f>
        <v>#DIV/0!</v>
      </c>
      <c r="F321" s="738" t="e">
        <f>VLOOKUP(C321,chronic_intake_assessment!$C$1212:$H$1590,6,FALSE)</f>
        <v>#DIV/0!</v>
      </c>
      <c r="G321" s="71">
        <v>243</v>
      </c>
    </row>
    <row r="322" spans="2:7" x14ac:dyDescent="0.2">
      <c r="B322" s="613" t="e">
        <f>LARGE(Table3[max],ROW()-ROW($B$78))</f>
        <v>#DIV/0!</v>
      </c>
      <c r="C322" s="731" t="e">
        <f>VLOOKUP(B322,Table3[[max]:[crop]],3,FALSE)</f>
        <v>#DIV/0!</v>
      </c>
      <c r="D322" s="732" t="e">
        <f>VLOOKUP(C322,chronic_intake_assessment!$C$1212:$G$1590,5,FALSE)</f>
        <v>#DIV/0!</v>
      </c>
      <c r="E322" s="733" t="e">
        <f>VLOOKUP(B322,Table3[[max]:[crop]],2,FALSE)</f>
        <v>#DIV/0!</v>
      </c>
      <c r="F322" s="738" t="e">
        <f>VLOOKUP(C322,chronic_intake_assessment!$C$1212:$H$1590,6,FALSE)</f>
        <v>#DIV/0!</v>
      </c>
      <c r="G322" s="71">
        <v>244</v>
      </c>
    </row>
    <row r="323" spans="2:7" x14ac:dyDescent="0.2">
      <c r="B323" s="613" t="e">
        <f>LARGE(Table3[max],ROW()-ROW($B$78))</f>
        <v>#DIV/0!</v>
      </c>
      <c r="C323" s="731" t="e">
        <f>VLOOKUP(B323,Table3[[max]:[crop]],3,FALSE)</f>
        <v>#DIV/0!</v>
      </c>
      <c r="D323" s="732" t="e">
        <f>VLOOKUP(C323,chronic_intake_assessment!$C$1212:$G$1590,5,FALSE)</f>
        <v>#DIV/0!</v>
      </c>
      <c r="E323" s="733" t="e">
        <f>VLOOKUP(B323,Table3[[max]:[crop]],2,FALSE)</f>
        <v>#DIV/0!</v>
      </c>
      <c r="F323" s="738" t="e">
        <f>VLOOKUP(C323,chronic_intake_assessment!$C$1212:$H$1590,6,FALSE)</f>
        <v>#DIV/0!</v>
      </c>
      <c r="G323" s="71">
        <v>245</v>
      </c>
    </row>
    <row r="324" spans="2:7" x14ac:dyDescent="0.2">
      <c r="B324" s="613" t="e">
        <f>LARGE(Table3[max],ROW()-ROW($B$78))</f>
        <v>#DIV/0!</v>
      </c>
      <c r="C324" s="731" t="e">
        <f>VLOOKUP(B324,Table3[[max]:[crop]],3,FALSE)</f>
        <v>#DIV/0!</v>
      </c>
      <c r="D324" s="732" t="e">
        <f>VLOOKUP(C324,chronic_intake_assessment!$C$1212:$G$1590,5,FALSE)</f>
        <v>#DIV/0!</v>
      </c>
      <c r="E324" s="733" t="e">
        <f>VLOOKUP(B324,Table3[[max]:[crop]],2,FALSE)</f>
        <v>#DIV/0!</v>
      </c>
      <c r="F324" s="738" t="e">
        <f>VLOOKUP(C324,chronic_intake_assessment!$C$1212:$H$1590,6,FALSE)</f>
        <v>#DIV/0!</v>
      </c>
      <c r="G324" s="71">
        <v>246</v>
      </c>
    </row>
    <row r="325" spans="2:7" x14ac:dyDescent="0.2">
      <c r="B325" s="613" t="e">
        <f>LARGE(Table3[max],ROW()-ROW($B$78))</f>
        <v>#DIV/0!</v>
      </c>
      <c r="C325" s="731" t="e">
        <f>VLOOKUP(B325,Table3[[max]:[crop]],3,FALSE)</f>
        <v>#DIV/0!</v>
      </c>
      <c r="D325" s="732" t="e">
        <f>VLOOKUP(C325,chronic_intake_assessment!$C$1212:$G$1590,5,FALSE)</f>
        <v>#DIV/0!</v>
      </c>
      <c r="E325" s="733" t="e">
        <f>VLOOKUP(B325,Table3[[max]:[crop]],2,FALSE)</f>
        <v>#DIV/0!</v>
      </c>
      <c r="F325" s="738" t="e">
        <f>VLOOKUP(C325,chronic_intake_assessment!$C$1212:$H$1590,6,FALSE)</f>
        <v>#DIV/0!</v>
      </c>
      <c r="G325" s="71">
        <v>247</v>
      </c>
    </row>
    <row r="326" spans="2:7" x14ac:dyDescent="0.2">
      <c r="B326" s="613" t="e">
        <f>LARGE(Table3[max],ROW()-ROW($B$78))</f>
        <v>#DIV/0!</v>
      </c>
      <c r="C326" s="731" t="e">
        <f>VLOOKUP(B326,Table3[[max]:[crop]],3,FALSE)</f>
        <v>#DIV/0!</v>
      </c>
      <c r="D326" s="732" t="e">
        <f>VLOOKUP(C326,chronic_intake_assessment!$C$1212:$G$1590,5,FALSE)</f>
        <v>#DIV/0!</v>
      </c>
      <c r="E326" s="733" t="e">
        <f>VLOOKUP(B326,Table3[[max]:[crop]],2,FALSE)</f>
        <v>#DIV/0!</v>
      </c>
      <c r="F326" s="738" t="e">
        <f>VLOOKUP(C326,chronic_intake_assessment!$C$1212:$H$1590,6,FALSE)</f>
        <v>#DIV/0!</v>
      </c>
      <c r="G326" s="71">
        <v>248</v>
      </c>
    </row>
    <row r="327" spans="2:7" x14ac:dyDescent="0.2">
      <c r="B327" s="613" t="e">
        <f>LARGE(Table3[max],ROW()-ROW($B$78))</f>
        <v>#DIV/0!</v>
      </c>
      <c r="C327" s="731" t="e">
        <f>VLOOKUP(B327,Table3[[max]:[crop]],3,FALSE)</f>
        <v>#DIV/0!</v>
      </c>
      <c r="D327" s="732" t="e">
        <f>VLOOKUP(C327,chronic_intake_assessment!$C$1212:$G$1590,5,FALSE)</f>
        <v>#DIV/0!</v>
      </c>
      <c r="E327" s="733" t="e">
        <f>VLOOKUP(B327,Table3[[max]:[crop]],2,FALSE)</f>
        <v>#DIV/0!</v>
      </c>
      <c r="F327" s="738" t="e">
        <f>VLOOKUP(C327,chronic_intake_assessment!$C$1212:$H$1590,6,FALSE)</f>
        <v>#DIV/0!</v>
      </c>
      <c r="G327" s="71">
        <v>249</v>
      </c>
    </row>
    <row r="328" spans="2:7" x14ac:dyDescent="0.2">
      <c r="B328" s="613" t="e">
        <f>LARGE(Table3[max],ROW()-ROW($B$78))</f>
        <v>#DIV/0!</v>
      </c>
      <c r="C328" s="731" t="e">
        <f>VLOOKUP(B328,Table3[[max]:[crop]],3,FALSE)</f>
        <v>#DIV/0!</v>
      </c>
      <c r="D328" s="732" t="e">
        <f>VLOOKUP(C328,chronic_intake_assessment!$C$1212:$G$1590,5,FALSE)</f>
        <v>#DIV/0!</v>
      </c>
      <c r="E328" s="733" t="e">
        <f>VLOOKUP(B328,Table3[[max]:[crop]],2,FALSE)</f>
        <v>#DIV/0!</v>
      </c>
      <c r="F328" s="738" t="e">
        <f>VLOOKUP(C328,chronic_intake_assessment!$C$1212:$H$1590,6,FALSE)</f>
        <v>#DIV/0!</v>
      </c>
      <c r="G328" s="71">
        <v>250</v>
      </c>
    </row>
    <row r="329" spans="2:7" x14ac:dyDescent="0.2">
      <c r="B329" s="613" t="e">
        <f>LARGE(Table3[max],ROW()-ROW($B$78))</f>
        <v>#DIV/0!</v>
      </c>
      <c r="C329" s="731" t="e">
        <f>VLOOKUP(B329,Table3[[max]:[crop]],3,FALSE)</f>
        <v>#DIV/0!</v>
      </c>
      <c r="D329" s="732" t="e">
        <f>VLOOKUP(C329,chronic_intake_assessment!$C$1212:$G$1590,5,FALSE)</f>
        <v>#DIV/0!</v>
      </c>
      <c r="E329" s="733" t="e">
        <f>VLOOKUP(B329,Table3[[max]:[crop]],2,FALSE)</f>
        <v>#DIV/0!</v>
      </c>
      <c r="F329" s="738" t="e">
        <f>VLOOKUP(C329,chronic_intake_assessment!$C$1212:$H$1590,6,FALSE)</f>
        <v>#DIV/0!</v>
      </c>
      <c r="G329" s="71">
        <v>251</v>
      </c>
    </row>
    <row r="330" spans="2:7" x14ac:dyDescent="0.2">
      <c r="B330" s="613" t="e">
        <f>LARGE(Table3[max],ROW()-ROW($B$78))</f>
        <v>#DIV/0!</v>
      </c>
      <c r="C330" s="731" t="e">
        <f>VLOOKUP(B330,Table3[[max]:[crop]],3,FALSE)</f>
        <v>#DIV/0!</v>
      </c>
      <c r="D330" s="732" t="e">
        <f>VLOOKUP(C330,chronic_intake_assessment!$C$1212:$G$1590,5,FALSE)</f>
        <v>#DIV/0!</v>
      </c>
      <c r="E330" s="733" t="e">
        <f>VLOOKUP(B330,Table3[[max]:[crop]],2,FALSE)</f>
        <v>#DIV/0!</v>
      </c>
      <c r="F330" s="738" t="e">
        <f>VLOOKUP(C330,chronic_intake_assessment!$C$1212:$H$1590,6,FALSE)</f>
        <v>#DIV/0!</v>
      </c>
      <c r="G330" s="71">
        <v>252</v>
      </c>
    </row>
    <row r="331" spans="2:7" x14ac:dyDescent="0.2">
      <c r="B331" s="613" t="e">
        <f>LARGE(Table3[max],ROW()-ROW($B$78))</f>
        <v>#DIV/0!</v>
      </c>
      <c r="C331" s="731" t="e">
        <f>VLOOKUP(B331,Table3[[max]:[crop]],3,FALSE)</f>
        <v>#DIV/0!</v>
      </c>
      <c r="D331" s="732" t="e">
        <f>VLOOKUP(C331,chronic_intake_assessment!$C$1212:$G$1590,5,FALSE)</f>
        <v>#DIV/0!</v>
      </c>
      <c r="E331" s="733" t="e">
        <f>VLOOKUP(B331,Table3[[max]:[crop]],2,FALSE)</f>
        <v>#DIV/0!</v>
      </c>
      <c r="F331" s="738" t="e">
        <f>VLOOKUP(C331,chronic_intake_assessment!$C$1212:$H$1590,6,FALSE)</f>
        <v>#DIV/0!</v>
      </c>
      <c r="G331" s="71">
        <v>253</v>
      </c>
    </row>
    <row r="332" spans="2:7" x14ac:dyDescent="0.2">
      <c r="B332" s="613" t="e">
        <f>LARGE(Table3[max],ROW()-ROW($B$78))</f>
        <v>#DIV/0!</v>
      </c>
      <c r="C332" s="731" t="e">
        <f>VLOOKUP(B332,Table3[[max]:[crop]],3,FALSE)</f>
        <v>#DIV/0!</v>
      </c>
      <c r="D332" s="732" t="e">
        <f>VLOOKUP(C332,chronic_intake_assessment!$C$1212:$G$1590,5,FALSE)</f>
        <v>#DIV/0!</v>
      </c>
      <c r="E332" s="733" t="e">
        <f>VLOOKUP(B332,Table3[[max]:[crop]],2,FALSE)</f>
        <v>#DIV/0!</v>
      </c>
      <c r="F332" s="738" t="e">
        <f>VLOOKUP(C332,chronic_intake_assessment!$C$1212:$H$1590,6,FALSE)</f>
        <v>#DIV/0!</v>
      </c>
      <c r="G332" s="71">
        <v>254</v>
      </c>
    </row>
    <row r="333" spans="2:7" x14ac:dyDescent="0.2">
      <c r="B333" s="613" t="e">
        <f>LARGE(Table3[max],ROW()-ROW($B$78))</f>
        <v>#DIV/0!</v>
      </c>
      <c r="C333" s="731" t="e">
        <f>VLOOKUP(B333,Table3[[max]:[crop]],3,FALSE)</f>
        <v>#DIV/0!</v>
      </c>
      <c r="D333" s="732" t="e">
        <f>VLOOKUP(C333,chronic_intake_assessment!$C$1212:$G$1590,5,FALSE)</f>
        <v>#DIV/0!</v>
      </c>
      <c r="E333" s="733" t="e">
        <f>VLOOKUP(B333,Table3[[max]:[crop]],2,FALSE)</f>
        <v>#DIV/0!</v>
      </c>
      <c r="F333" s="738" t="e">
        <f>VLOOKUP(C333,chronic_intake_assessment!$C$1212:$H$1590,6,FALSE)</f>
        <v>#DIV/0!</v>
      </c>
      <c r="G333" s="71">
        <v>255</v>
      </c>
    </row>
    <row r="334" spans="2:7" x14ac:dyDescent="0.2">
      <c r="B334" s="613" t="e">
        <f>LARGE(Table3[max],ROW()-ROW($B$78))</f>
        <v>#DIV/0!</v>
      </c>
      <c r="C334" s="731" t="e">
        <f>VLOOKUP(B334,Table3[[max]:[crop]],3,FALSE)</f>
        <v>#DIV/0!</v>
      </c>
      <c r="D334" s="732" t="e">
        <f>VLOOKUP(C334,chronic_intake_assessment!$C$1212:$G$1590,5,FALSE)</f>
        <v>#DIV/0!</v>
      </c>
      <c r="E334" s="733" t="e">
        <f>VLOOKUP(B334,Table3[[max]:[crop]],2,FALSE)</f>
        <v>#DIV/0!</v>
      </c>
      <c r="F334" s="738" t="e">
        <f>VLOOKUP(C334,chronic_intake_assessment!$C$1212:$H$1590,6,FALSE)</f>
        <v>#DIV/0!</v>
      </c>
      <c r="G334" s="71">
        <v>256</v>
      </c>
    </row>
    <row r="335" spans="2:7" x14ac:dyDescent="0.2">
      <c r="B335" s="613" t="e">
        <f>LARGE(Table3[max],ROW()-ROW($B$78))</f>
        <v>#DIV/0!</v>
      </c>
      <c r="C335" s="731" t="e">
        <f>VLOOKUP(B335,Table3[[max]:[crop]],3,FALSE)</f>
        <v>#DIV/0!</v>
      </c>
      <c r="D335" s="732" t="e">
        <f>VLOOKUP(C335,chronic_intake_assessment!$C$1212:$G$1590,5,FALSE)</f>
        <v>#DIV/0!</v>
      </c>
      <c r="E335" s="733" t="e">
        <f>VLOOKUP(B335,Table3[[max]:[crop]],2,FALSE)</f>
        <v>#DIV/0!</v>
      </c>
      <c r="F335" s="738" t="e">
        <f>VLOOKUP(C335,chronic_intake_assessment!$C$1212:$H$1590,6,FALSE)</f>
        <v>#DIV/0!</v>
      </c>
      <c r="G335" s="71">
        <v>257</v>
      </c>
    </row>
    <row r="336" spans="2:7" x14ac:dyDescent="0.2">
      <c r="B336" s="613" t="e">
        <f>LARGE(Table3[max],ROW()-ROW($B$78))</f>
        <v>#DIV/0!</v>
      </c>
      <c r="C336" s="731" t="e">
        <f>VLOOKUP(B336,Table3[[max]:[crop]],3,FALSE)</f>
        <v>#DIV/0!</v>
      </c>
      <c r="D336" s="732" t="e">
        <f>VLOOKUP(C336,chronic_intake_assessment!$C$1212:$G$1590,5,FALSE)</f>
        <v>#DIV/0!</v>
      </c>
      <c r="E336" s="733" t="e">
        <f>VLOOKUP(B336,Table3[[max]:[crop]],2,FALSE)</f>
        <v>#DIV/0!</v>
      </c>
      <c r="F336" s="738" t="e">
        <f>VLOOKUP(C336,chronic_intake_assessment!$C$1212:$H$1590,6,FALSE)</f>
        <v>#DIV/0!</v>
      </c>
      <c r="G336" s="71">
        <v>258</v>
      </c>
    </row>
    <row r="337" spans="2:7" x14ac:dyDescent="0.2">
      <c r="B337" s="613" t="e">
        <f>LARGE(Table3[max],ROW()-ROW($B$78))</f>
        <v>#DIV/0!</v>
      </c>
      <c r="C337" s="731" t="e">
        <f>VLOOKUP(B337,Table3[[max]:[crop]],3,FALSE)</f>
        <v>#DIV/0!</v>
      </c>
      <c r="D337" s="732" t="e">
        <f>VLOOKUP(C337,chronic_intake_assessment!$C$1212:$G$1590,5,FALSE)</f>
        <v>#DIV/0!</v>
      </c>
      <c r="E337" s="733" t="e">
        <f>VLOOKUP(B337,Table3[[max]:[crop]],2,FALSE)</f>
        <v>#DIV/0!</v>
      </c>
      <c r="F337" s="738" t="e">
        <f>VLOOKUP(C337,chronic_intake_assessment!$C$1212:$H$1590,6,FALSE)</f>
        <v>#DIV/0!</v>
      </c>
      <c r="G337" s="71">
        <v>259</v>
      </c>
    </row>
    <row r="338" spans="2:7" x14ac:dyDescent="0.2">
      <c r="B338" s="613" t="e">
        <f>LARGE(Table3[max],ROW()-ROW($B$78))</f>
        <v>#DIV/0!</v>
      </c>
      <c r="C338" s="731" t="e">
        <f>VLOOKUP(B338,Table3[[max]:[crop]],3,FALSE)</f>
        <v>#DIV/0!</v>
      </c>
      <c r="D338" s="732" t="e">
        <f>VLOOKUP(C338,chronic_intake_assessment!$C$1212:$G$1590,5,FALSE)</f>
        <v>#DIV/0!</v>
      </c>
      <c r="E338" s="733" t="e">
        <f>VLOOKUP(B338,Table3[[max]:[crop]],2,FALSE)</f>
        <v>#DIV/0!</v>
      </c>
      <c r="F338" s="738" t="e">
        <f>VLOOKUP(C338,chronic_intake_assessment!$C$1212:$H$1590,6,FALSE)</f>
        <v>#DIV/0!</v>
      </c>
      <c r="G338" s="71">
        <v>260</v>
      </c>
    </row>
    <row r="339" spans="2:7" x14ac:dyDescent="0.2">
      <c r="B339" s="613" t="e">
        <f>LARGE(Table3[max],ROW()-ROW($B$78))</f>
        <v>#DIV/0!</v>
      </c>
      <c r="C339" s="731" t="e">
        <f>VLOOKUP(B339,Table3[[max]:[crop]],3,FALSE)</f>
        <v>#DIV/0!</v>
      </c>
      <c r="D339" s="732" t="e">
        <f>VLOOKUP(C339,chronic_intake_assessment!$C$1212:$G$1590,5,FALSE)</f>
        <v>#DIV/0!</v>
      </c>
      <c r="E339" s="733" t="e">
        <f>VLOOKUP(B339,Table3[[max]:[crop]],2,FALSE)</f>
        <v>#DIV/0!</v>
      </c>
      <c r="F339" s="738" t="e">
        <f>VLOOKUP(C339,chronic_intake_assessment!$C$1212:$H$1590,6,FALSE)</f>
        <v>#DIV/0!</v>
      </c>
      <c r="G339" s="71">
        <v>261</v>
      </c>
    </row>
    <row r="340" spans="2:7" x14ac:dyDescent="0.2">
      <c r="B340" s="613" t="e">
        <f>LARGE(Table3[max],ROW()-ROW($B$78))</f>
        <v>#DIV/0!</v>
      </c>
      <c r="C340" s="731" t="e">
        <f>VLOOKUP(B340,Table3[[max]:[crop]],3,FALSE)</f>
        <v>#DIV/0!</v>
      </c>
      <c r="D340" s="732" t="e">
        <f>VLOOKUP(C340,chronic_intake_assessment!$C$1212:$G$1590,5,FALSE)</f>
        <v>#DIV/0!</v>
      </c>
      <c r="E340" s="733" t="e">
        <f>VLOOKUP(B340,Table3[[max]:[crop]],2,FALSE)</f>
        <v>#DIV/0!</v>
      </c>
      <c r="F340" s="738" t="e">
        <f>VLOOKUP(C340,chronic_intake_assessment!$C$1212:$H$1590,6,FALSE)</f>
        <v>#DIV/0!</v>
      </c>
      <c r="G340" s="71">
        <v>262</v>
      </c>
    </row>
    <row r="341" spans="2:7" x14ac:dyDescent="0.2">
      <c r="B341" s="613" t="e">
        <f>LARGE(Table3[max],ROW()-ROW($B$78))</f>
        <v>#DIV/0!</v>
      </c>
      <c r="C341" s="731" t="e">
        <f>VLOOKUP(B341,Table3[[max]:[crop]],3,FALSE)</f>
        <v>#DIV/0!</v>
      </c>
      <c r="D341" s="732" t="e">
        <f>VLOOKUP(C341,chronic_intake_assessment!$C$1212:$G$1590,5,FALSE)</f>
        <v>#DIV/0!</v>
      </c>
      <c r="E341" s="733" t="e">
        <f>VLOOKUP(B341,Table3[[max]:[crop]],2,FALSE)</f>
        <v>#DIV/0!</v>
      </c>
      <c r="F341" s="738" t="e">
        <f>VLOOKUP(C341,chronic_intake_assessment!$C$1212:$H$1590,6,FALSE)</f>
        <v>#DIV/0!</v>
      </c>
      <c r="G341" s="71">
        <v>263</v>
      </c>
    </row>
    <row r="342" spans="2:7" x14ac:dyDescent="0.2">
      <c r="B342" s="613" t="e">
        <f>LARGE(Table3[max],ROW()-ROW($B$78))</f>
        <v>#DIV/0!</v>
      </c>
      <c r="C342" s="731" t="e">
        <f>VLOOKUP(B342,Table3[[max]:[crop]],3,FALSE)</f>
        <v>#DIV/0!</v>
      </c>
      <c r="D342" s="732" t="e">
        <f>VLOOKUP(C342,chronic_intake_assessment!$C$1212:$G$1590,5,FALSE)</f>
        <v>#DIV/0!</v>
      </c>
      <c r="E342" s="733" t="e">
        <f>VLOOKUP(B342,Table3[[max]:[crop]],2,FALSE)</f>
        <v>#DIV/0!</v>
      </c>
      <c r="F342" s="738" t="e">
        <f>VLOOKUP(C342,chronic_intake_assessment!$C$1212:$H$1590,6,FALSE)</f>
        <v>#DIV/0!</v>
      </c>
      <c r="G342" s="71">
        <v>264</v>
      </c>
    </row>
    <row r="343" spans="2:7" x14ac:dyDescent="0.2">
      <c r="B343" s="613" t="e">
        <f>LARGE(Table3[max],ROW()-ROW($B$78))</f>
        <v>#DIV/0!</v>
      </c>
      <c r="C343" s="731" t="e">
        <f>VLOOKUP(B343,Table3[[max]:[crop]],3,FALSE)</f>
        <v>#DIV/0!</v>
      </c>
      <c r="D343" s="732" t="e">
        <f>VLOOKUP(C343,chronic_intake_assessment!$C$1212:$G$1590,5,FALSE)</f>
        <v>#DIV/0!</v>
      </c>
      <c r="E343" s="733" t="e">
        <f>VLOOKUP(B343,Table3[[max]:[crop]],2,FALSE)</f>
        <v>#DIV/0!</v>
      </c>
      <c r="F343" s="738" t="e">
        <f>VLOOKUP(C343,chronic_intake_assessment!$C$1212:$H$1590,6,FALSE)</f>
        <v>#DIV/0!</v>
      </c>
      <c r="G343" s="71">
        <v>265</v>
      </c>
    </row>
    <row r="344" spans="2:7" x14ac:dyDescent="0.2">
      <c r="B344" s="613" t="e">
        <f>LARGE(Table3[max],ROW()-ROW($B$78))</f>
        <v>#DIV/0!</v>
      </c>
      <c r="C344" s="731" t="e">
        <f>VLOOKUP(B344,Table3[[max]:[crop]],3,FALSE)</f>
        <v>#DIV/0!</v>
      </c>
      <c r="D344" s="732" t="e">
        <f>VLOOKUP(C344,chronic_intake_assessment!$C$1212:$G$1590,5,FALSE)</f>
        <v>#DIV/0!</v>
      </c>
      <c r="E344" s="733" t="e">
        <f>VLOOKUP(B344,Table3[[max]:[crop]],2,FALSE)</f>
        <v>#DIV/0!</v>
      </c>
      <c r="F344" s="738" t="e">
        <f>VLOOKUP(C344,chronic_intake_assessment!$C$1212:$H$1590,6,FALSE)</f>
        <v>#DIV/0!</v>
      </c>
      <c r="G344" s="71">
        <v>266</v>
      </c>
    </row>
    <row r="345" spans="2:7" x14ac:dyDescent="0.2">
      <c r="B345" s="613" t="e">
        <f>LARGE(Table3[max],ROW()-ROW($B$78))</f>
        <v>#DIV/0!</v>
      </c>
      <c r="C345" s="731" t="e">
        <f>VLOOKUP(B345,Table3[[max]:[crop]],3,FALSE)</f>
        <v>#DIV/0!</v>
      </c>
      <c r="D345" s="732" t="e">
        <f>VLOOKUP(C345,chronic_intake_assessment!$C$1212:$G$1590,5,FALSE)</f>
        <v>#DIV/0!</v>
      </c>
      <c r="E345" s="733" t="e">
        <f>VLOOKUP(B345,Table3[[max]:[crop]],2,FALSE)</f>
        <v>#DIV/0!</v>
      </c>
      <c r="F345" s="738" t="e">
        <f>VLOOKUP(C345,chronic_intake_assessment!$C$1212:$H$1590,6,FALSE)</f>
        <v>#DIV/0!</v>
      </c>
      <c r="G345" s="71">
        <v>267</v>
      </c>
    </row>
    <row r="346" spans="2:7" x14ac:dyDescent="0.2">
      <c r="B346" s="613" t="e">
        <f>LARGE(Table3[max],ROW()-ROW($B$78))</f>
        <v>#DIV/0!</v>
      </c>
      <c r="C346" s="731" t="e">
        <f>VLOOKUP(B346,Table3[[max]:[crop]],3,FALSE)</f>
        <v>#DIV/0!</v>
      </c>
      <c r="D346" s="732" t="e">
        <f>VLOOKUP(C346,chronic_intake_assessment!$C$1212:$G$1590,5,FALSE)</f>
        <v>#DIV/0!</v>
      </c>
      <c r="E346" s="733" t="e">
        <f>VLOOKUP(B346,Table3[[max]:[crop]],2,FALSE)</f>
        <v>#DIV/0!</v>
      </c>
      <c r="F346" s="738" t="e">
        <f>VLOOKUP(C346,chronic_intake_assessment!$C$1212:$H$1590,6,FALSE)</f>
        <v>#DIV/0!</v>
      </c>
      <c r="G346" s="71">
        <v>268</v>
      </c>
    </row>
    <row r="347" spans="2:7" x14ac:dyDescent="0.2">
      <c r="B347" s="613" t="e">
        <f>LARGE(Table3[max],ROW()-ROW($B$78))</f>
        <v>#DIV/0!</v>
      </c>
      <c r="C347" s="731" t="e">
        <f>VLOOKUP(B347,Table3[[max]:[crop]],3,FALSE)</f>
        <v>#DIV/0!</v>
      </c>
      <c r="D347" s="732" t="e">
        <f>VLOOKUP(C347,chronic_intake_assessment!$C$1212:$G$1590,5,FALSE)</f>
        <v>#DIV/0!</v>
      </c>
      <c r="E347" s="733" t="e">
        <f>VLOOKUP(B347,Table3[[max]:[crop]],2,FALSE)</f>
        <v>#DIV/0!</v>
      </c>
      <c r="F347" s="738" t="e">
        <f>VLOOKUP(C347,chronic_intake_assessment!$C$1212:$H$1590,6,FALSE)</f>
        <v>#DIV/0!</v>
      </c>
      <c r="G347" s="71">
        <v>269</v>
      </c>
    </row>
    <row r="348" spans="2:7" x14ac:dyDescent="0.2">
      <c r="B348" s="613" t="e">
        <f>LARGE(Table3[max],ROW()-ROW($B$78))</f>
        <v>#DIV/0!</v>
      </c>
      <c r="C348" s="731" t="e">
        <f>VLOOKUP(B348,Table3[[max]:[crop]],3,FALSE)</f>
        <v>#DIV/0!</v>
      </c>
      <c r="D348" s="732" t="e">
        <f>VLOOKUP(C348,chronic_intake_assessment!$C$1212:$G$1590,5,FALSE)</f>
        <v>#DIV/0!</v>
      </c>
      <c r="E348" s="733" t="e">
        <f>VLOOKUP(B348,Table3[[max]:[crop]],2,FALSE)</f>
        <v>#DIV/0!</v>
      </c>
      <c r="F348" s="738" t="e">
        <f>VLOOKUP(C348,chronic_intake_assessment!$C$1212:$H$1590,6,FALSE)</f>
        <v>#DIV/0!</v>
      </c>
      <c r="G348" s="71">
        <v>270</v>
      </c>
    </row>
    <row r="349" spans="2:7" x14ac:dyDescent="0.2">
      <c r="B349" s="614" t="e">
        <f>LARGE(Table3[max],ROW()-ROW($B$78))</f>
        <v>#DIV/0!</v>
      </c>
      <c r="C349" s="734" t="e">
        <f>VLOOKUP(B349,Table3[[max]:[crop]],3,FALSE)</f>
        <v>#DIV/0!</v>
      </c>
      <c r="D349" s="735" t="e">
        <f>VLOOKUP(C349,chronic_intake_assessment!$C$1212:$G$1590,5,FALSE)</f>
        <v>#DIV/0!</v>
      </c>
      <c r="E349" s="736" t="e">
        <f>VLOOKUP(B349,Table3[[max]:[crop]],2,FALSE)</f>
        <v>#DIV/0!</v>
      </c>
      <c r="F349" s="739" t="e">
        <f>VLOOKUP(C349,chronic_intake_assessment!$C$1212:$H$1590,6,FALSE)</f>
        <v>#DIV/0!</v>
      </c>
      <c r="G349" s="71">
        <v>271</v>
      </c>
    </row>
    <row r="350" spans="2:7" x14ac:dyDescent="0.2">
      <c r="B350" s="600"/>
      <c r="C350" s="731"/>
      <c r="D350" s="732"/>
      <c r="E350" s="733"/>
      <c r="F350" s="733"/>
      <c r="G350" s="71"/>
    </row>
    <row r="351" spans="2:7" ht="26.45" customHeight="1" x14ac:dyDescent="0.2">
      <c r="B351" s="1609" t="s">
        <v>1027</v>
      </c>
      <c r="C351" s="1610"/>
      <c r="D351" s="1610"/>
      <c r="E351" s="1610"/>
      <c r="F351" s="1611"/>
    </row>
    <row r="352" spans="2:7" ht="26.45" customHeight="1" x14ac:dyDescent="0.2">
      <c r="B352" s="1612" t="s">
        <v>1028</v>
      </c>
      <c r="C352" s="1613"/>
      <c r="D352" s="1613"/>
      <c r="E352" s="1613"/>
      <c r="F352" s="1614"/>
    </row>
  </sheetData>
  <sheetProtection sheet="1" objects="1" scenarios="1" formatCells="0" formatColumns="0" formatRows="0" autoFilter="0"/>
  <protectedRanges>
    <protectedRange sqref="A9" name="Comment"/>
  </protectedRanges>
  <mergeCells count="146">
    <mergeCell ref="F2:K2"/>
    <mergeCell ref="F5:K5"/>
    <mergeCell ref="A9:B9"/>
    <mergeCell ref="C9:Q9"/>
    <mergeCell ref="A10:Q10"/>
    <mergeCell ref="B28:Q28"/>
    <mergeCell ref="F29:K29"/>
    <mergeCell ref="G32:I32"/>
    <mergeCell ref="K32:M32"/>
    <mergeCell ref="A33:A69"/>
    <mergeCell ref="C33:D33"/>
    <mergeCell ref="G33:H33"/>
    <mergeCell ref="K33:L33"/>
    <mergeCell ref="C34:D34"/>
    <mergeCell ref="G34:H34"/>
    <mergeCell ref="C37:D37"/>
    <mergeCell ref="G37:H37"/>
    <mergeCell ref="K37:L37"/>
    <mergeCell ref="C38:D38"/>
    <mergeCell ref="G38:H38"/>
    <mergeCell ref="K38:L38"/>
    <mergeCell ref="K34:L34"/>
    <mergeCell ref="C35:D35"/>
    <mergeCell ref="G35:H35"/>
    <mergeCell ref="K35:L35"/>
    <mergeCell ref="C36:D36"/>
    <mergeCell ref="G36:H36"/>
    <mergeCell ref="K36:L36"/>
    <mergeCell ref="C41:D41"/>
    <mergeCell ref="G41:H41"/>
    <mergeCell ref="K41:L41"/>
    <mergeCell ref="C42:D42"/>
    <mergeCell ref="G42:H42"/>
    <mergeCell ref="K42:L42"/>
    <mergeCell ref="C39:D39"/>
    <mergeCell ref="G39:H39"/>
    <mergeCell ref="K39:L39"/>
    <mergeCell ref="C40:D40"/>
    <mergeCell ref="G40:H40"/>
    <mergeCell ref="K40:L40"/>
    <mergeCell ref="C45:D45"/>
    <mergeCell ref="G45:H45"/>
    <mergeCell ref="K45:L45"/>
    <mergeCell ref="C46:D46"/>
    <mergeCell ref="G46:H46"/>
    <mergeCell ref="K46:L46"/>
    <mergeCell ref="C43:D43"/>
    <mergeCell ref="G43:H43"/>
    <mergeCell ref="K43:L43"/>
    <mergeCell ref="C44:D44"/>
    <mergeCell ref="G44:H44"/>
    <mergeCell ref="K44:L44"/>
    <mergeCell ref="C49:D49"/>
    <mergeCell ref="G49:H49"/>
    <mergeCell ref="K49:L49"/>
    <mergeCell ref="C50:D50"/>
    <mergeCell ref="G50:H50"/>
    <mergeCell ref="K50:L50"/>
    <mergeCell ref="C47:D47"/>
    <mergeCell ref="G47:H47"/>
    <mergeCell ref="K47:L47"/>
    <mergeCell ref="C48:D48"/>
    <mergeCell ref="G48:H48"/>
    <mergeCell ref="K48:L48"/>
    <mergeCell ref="C53:D53"/>
    <mergeCell ref="G53:H53"/>
    <mergeCell ref="K53:L53"/>
    <mergeCell ref="C54:D54"/>
    <mergeCell ref="G54:H54"/>
    <mergeCell ref="K54:L54"/>
    <mergeCell ref="C51:D51"/>
    <mergeCell ref="G51:H51"/>
    <mergeCell ref="K51:L51"/>
    <mergeCell ref="C52:D52"/>
    <mergeCell ref="G52:H52"/>
    <mergeCell ref="K52:L52"/>
    <mergeCell ref="C57:D57"/>
    <mergeCell ref="G57:H57"/>
    <mergeCell ref="K57:L57"/>
    <mergeCell ref="C58:D58"/>
    <mergeCell ref="G58:H58"/>
    <mergeCell ref="K58:L58"/>
    <mergeCell ref="C55:D55"/>
    <mergeCell ref="G55:H55"/>
    <mergeCell ref="K55:L55"/>
    <mergeCell ref="C56:D56"/>
    <mergeCell ref="G56:H56"/>
    <mergeCell ref="K56:L56"/>
    <mergeCell ref="K61:L61"/>
    <mergeCell ref="C62:D62"/>
    <mergeCell ref="G62:H62"/>
    <mergeCell ref="K62:L62"/>
    <mergeCell ref="C59:D59"/>
    <mergeCell ref="G59:H59"/>
    <mergeCell ref="K59:L59"/>
    <mergeCell ref="C60:D60"/>
    <mergeCell ref="G60:H60"/>
    <mergeCell ref="K60:L60"/>
    <mergeCell ref="B70:G70"/>
    <mergeCell ref="B71:Q71"/>
    <mergeCell ref="B13:O13"/>
    <mergeCell ref="P13:Q13"/>
    <mergeCell ref="C67:D67"/>
    <mergeCell ref="G67:H67"/>
    <mergeCell ref="K67:L67"/>
    <mergeCell ref="C68:D68"/>
    <mergeCell ref="G68:H68"/>
    <mergeCell ref="K68:L68"/>
    <mergeCell ref="C65:D65"/>
    <mergeCell ref="G65:H65"/>
    <mergeCell ref="K65:L65"/>
    <mergeCell ref="C66:D66"/>
    <mergeCell ref="G66:H66"/>
    <mergeCell ref="K66:L66"/>
    <mergeCell ref="C63:D63"/>
    <mergeCell ref="G63:H63"/>
    <mergeCell ref="K63:L63"/>
    <mergeCell ref="C64:D64"/>
    <mergeCell ref="G64:H64"/>
    <mergeCell ref="K64:L64"/>
    <mergeCell ref="C61:D61"/>
    <mergeCell ref="G61:H61"/>
    <mergeCell ref="B77:F77"/>
    <mergeCell ref="A2:E2"/>
    <mergeCell ref="A5:E5"/>
    <mergeCell ref="B351:F351"/>
    <mergeCell ref="B352:F352"/>
    <mergeCell ref="C23:O23"/>
    <mergeCell ref="G20:H20"/>
    <mergeCell ref="K20:L20"/>
    <mergeCell ref="G21:H21"/>
    <mergeCell ref="K21:L21"/>
    <mergeCell ref="G22:H22"/>
    <mergeCell ref="K22:L22"/>
    <mergeCell ref="A14:A19"/>
    <mergeCell ref="G16:H16"/>
    <mergeCell ref="K16:L16"/>
    <mergeCell ref="G17:H17"/>
    <mergeCell ref="K17:L17"/>
    <mergeCell ref="G18:H18"/>
    <mergeCell ref="K18:L18"/>
    <mergeCell ref="G19:H19"/>
    <mergeCell ref="K19:L19"/>
    <mergeCell ref="C69:D69"/>
    <mergeCell ref="G69:H69"/>
    <mergeCell ref="K69:L69"/>
  </mergeCells>
  <conditionalFormatting sqref="B33:O69">
    <cfRule type="expression" dxfId="43" priority="63" stopIfTrue="1">
      <formula>$B33&gt;1</formula>
    </cfRule>
  </conditionalFormatting>
  <conditionalFormatting sqref="A10:A11">
    <cfRule type="expression" dxfId="42" priority="54" stopIfTrue="1">
      <formula>$A$10="Screening mode: include all commodities in exposure calculations"</formula>
    </cfRule>
  </conditionalFormatting>
  <conditionalFormatting sqref="B16:O22">
    <cfRule type="expression" dxfId="41" priority="55" stopIfTrue="1">
      <formula>$B16&gt;1</formula>
    </cfRule>
  </conditionalFormatting>
  <conditionalFormatting sqref="F33:F69 J33:J69 N33:N69 B33:B69 P33:P69">
    <cfRule type="cellIs" dxfId="40" priority="51" operator="greaterThan">
      <formula>0.01</formula>
    </cfRule>
  </conditionalFormatting>
  <conditionalFormatting sqref="I4">
    <cfRule type="cellIs" dxfId="39" priority="49" operator="lessThan">
      <formula>0.01</formula>
    </cfRule>
  </conditionalFormatting>
  <conditionalFormatting sqref="K4">
    <cfRule type="cellIs" dxfId="38" priority="48" operator="greaterThan">
      <formula>1</formula>
    </cfRule>
  </conditionalFormatting>
  <conditionalFormatting sqref="B16:B22">
    <cfRule type="cellIs" dxfId="37" priority="17" operator="greaterThanOrEqual">
      <formula>0.01</formula>
    </cfRule>
  </conditionalFormatting>
  <conditionalFormatting sqref="F16:F22">
    <cfRule type="cellIs" dxfId="36" priority="16" operator="greaterThanOrEqual">
      <formula>0.01</formula>
    </cfRule>
  </conditionalFormatting>
  <conditionalFormatting sqref="J16:J22">
    <cfRule type="cellIs" dxfId="35" priority="15" operator="greaterThanOrEqual">
      <formula>0.01</formula>
    </cfRule>
  </conditionalFormatting>
  <conditionalFormatting sqref="N16:N22">
    <cfRule type="cellIs" dxfId="34" priority="14" operator="greaterThanOrEqual">
      <formula>0.01</formula>
    </cfRule>
  </conditionalFormatting>
  <conditionalFormatting sqref="Q16:Q22">
    <cfRule type="cellIs" dxfId="33" priority="13" operator="greaterThanOrEqual">
      <formula>0.01</formula>
    </cfRule>
  </conditionalFormatting>
  <conditionalFormatting sqref="B79:B350">
    <cfRule type="expression" dxfId="32" priority="2" stopIfTrue="1">
      <formula>$B79&gt;0.1</formula>
    </cfRule>
  </conditionalFormatting>
  <conditionalFormatting sqref="B79:B350">
    <cfRule type="cellIs" dxfId="31" priority="1" operator="greaterThan">
      <formula>0.01</formula>
    </cfRule>
  </conditionalFormatting>
  <pageMargins left="0.74803149606299213" right="0.47244094488188981" top="0.51181102362204722" bottom="0.59055118110236227" header="0.51181102362204722" footer="0.39370078740157483"/>
  <pageSetup paperSize="9" scale="41" fitToHeight="0" orientation="landscape" r:id="rId1"/>
  <headerFooter alignWithMargins="0">
    <oddFooter>&amp;LEFSA PRIMo revision 3&amp;C&amp;D&amp;R&amp;P/&amp;N</oddFooter>
  </headerFooter>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outlinePr summaryBelow="0"/>
    <pageSetUpPr fitToPage="1"/>
  </sheetPr>
  <dimension ref="A1:BL1597"/>
  <sheetViews>
    <sheetView showGridLines="0" showZeros="0" topLeftCell="A241" zoomScale="80" zoomScaleNormal="80" zoomScaleSheetLayoutView="80" workbookViewId="0">
      <selection sqref="A1:C1"/>
    </sheetView>
  </sheetViews>
  <sheetFormatPr defaultColWidth="9.140625" defaultRowHeight="12" outlineLevelRow="3" outlineLevelCol="1" x14ac:dyDescent="0.2"/>
  <cols>
    <col min="1" max="1" width="10.7109375" style="13" customWidth="1"/>
    <col min="2" max="2" width="15.140625" style="13" customWidth="1"/>
    <col min="3" max="3" width="49.7109375" style="13" customWidth="1"/>
    <col min="4" max="4" width="8.140625" style="13" customWidth="1"/>
    <col min="5" max="5" width="7.7109375" style="13" customWidth="1"/>
    <col min="6" max="6" width="12.7109375" style="13" customWidth="1"/>
    <col min="7" max="7" width="13.5703125" style="13" customWidth="1"/>
    <col min="8" max="8" width="16.7109375" style="946" customWidth="1"/>
    <col min="9" max="9" width="25.28515625" style="856" customWidth="1"/>
    <col min="10" max="12" width="10.7109375" style="33" customWidth="1" outlineLevel="1"/>
    <col min="13" max="13" width="11" style="33" customWidth="1" outlineLevel="1"/>
    <col min="14" max="14" width="17.28515625" style="33" customWidth="1" outlineLevel="1"/>
    <col min="15" max="15" width="16.28515625" style="33" customWidth="1" outlineLevel="1"/>
    <col min="16" max="16" width="11.42578125" style="33" customWidth="1" outlineLevel="1"/>
    <col min="17" max="17" width="12" style="33" customWidth="1" outlineLevel="1"/>
    <col min="18" max="18" width="10.7109375" style="33" customWidth="1" outlineLevel="1"/>
    <col min="19" max="19" width="11.140625" style="33" customWidth="1" outlineLevel="1"/>
    <col min="20" max="20" width="12.140625" style="33" customWidth="1" outlineLevel="1"/>
    <col min="21" max="24" width="10.7109375" style="33" customWidth="1" outlineLevel="1"/>
    <col min="25" max="25" width="9.5703125" style="33" customWidth="1" outlineLevel="1"/>
    <col min="26" max="28" width="10.7109375" style="33" customWidth="1" outlineLevel="1"/>
    <col min="29" max="30" width="12.28515625" style="33" customWidth="1" outlineLevel="1"/>
    <col min="31" max="31" width="12.5703125" style="33" customWidth="1" outlineLevel="1"/>
    <col min="32" max="32" width="12.7109375" style="33" customWidth="1" outlineLevel="1"/>
    <col min="33" max="33" width="12.5703125" style="33" customWidth="1" outlineLevel="1"/>
    <col min="34" max="34" width="10.7109375" style="33" customWidth="1" outlineLevel="1"/>
    <col min="35" max="35" width="15" style="33" customWidth="1" outlineLevel="1"/>
    <col min="36" max="38" width="17" style="33" customWidth="1" outlineLevel="1"/>
    <col min="39" max="39" width="16.7109375" style="33" customWidth="1" outlineLevel="1"/>
    <col min="40" max="40" width="16.42578125" style="33" customWidth="1" outlineLevel="1"/>
    <col min="41" max="41" width="16.7109375" style="33" customWidth="1" outlineLevel="1"/>
    <col min="42" max="42" width="12.5703125" style="33" customWidth="1" outlineLevel="1"/>
    <col min="43" max="43" width="19" style="33" customWidth="1" outlineLevel="1"/>
    <col min="44" max="45" width="10.7109375" style="33" customWidth="1" outlineLevel="1"/>
    <col min="46" max="46" width="11.28515625" style="13" customWidth="1" outlineLevel="1"/>
    <col min="47" max="47" width="11" style="13" customWidth="1" outlineLevel="1"/>
    <col min="48" max="48" width="10.5703125" style="13" customWidth="1" outlineLevel="1"/>
    <col min="49" max="50" width="10.5703125" style="29" customWidth="1" outlineLevel="1"/>
    <col min="51" max="51" width="10.5703125" style="13" customWidth="1" outlineLevel="1"/>
    <col min="52" max="52" width="10.28515625" style="13" customWidth="1" outlineLevel="1"/>
    <col min="53" max="53" width="9.140625" style="13" customWidth="1" outlineLevel="1"/>
    <col min="54" max="55" width="9.140625" style="13"/>
    <col min="56" max="56" width="9.140625" style="13" hidden="1" customWidth="1"/>
    <col min="57" max="57" width="9.140625" style="368" hidden="1" customWidth="1"/>
    <col min="58" max="16384" width="9.140625" style="13"/>
  </cols>
  <sheetData>
    <row r="1" spans="1:58" ht="66.75" customHeight="1" x14ac:dyDescent="0.2">
      <c r="A1" s="1653" t="s">
        <v>672</v>
      </c>
      <c r="B1" s="1654"/>
      <c r="C1" s="1655"/>
      <c r="D1" s="931"/>
      <c r="E1" s="931"/>
      <c r="F1" s="931"/>
      <c r="G1" s="931"/>
      <c r="H1" s="932"/>
      <c r="I1" s="933"/>
      <c r="J1" s="934" t="str">
        <f>J11</f>
        <v>DE child</v>
      </c>
      <c r="K1" s="934" t="str">
        <f t="shared" ref="K1:AY1" si="0">K11</f>
        <v>DK child</v>
      </c>
      <c r="L1" s="934" t="str">
        <f t="shared" si="0"/>
        <v>ES child</v>
      </c>
      <c r="M1" s="934" t="str">
        <f t="shared" si="0"/>
        <v>FR infant</v>
      </c>
      <c r="N1" s="934" t="str">
        <f t="shared" si="0"/>
        <v>FR toddler 2 3 yr</v>
      </c>
      <c r="O1" s="934" t="str">
        <f t="shared" si="0"/>
        <v>FR child 3 15 yr</v>
      </c>
      <c r="P1" s="934" t="str">
        <f t="shared" si="0"/>
        <v>IT toddler</v>
      </c>
      <c r="Q1" s="934" t="str">
        <f t="shared" si="0"/>
        <v>NL toddler</v>
      </c>
      <c r="R1" s="934" t="str">
        <f t="shared" si="0"/>
        <v>NL child</v>
      </c>
      <c r="S1" s="934" t="str">
        <f t="shared" si="0"/>
        <v>UK infant</v>
      </c>
      <c r="T1" s="934" t="str">
        <f t="shared" si="0"/>
        <v>UK toddler</v>
      </c>
      <c r="U1" s="934" t="str">
        <f t="shared" si="0"/>
        <v>DK adult</v>
      </c>
      <c r="V1" s="934" t="str">
        <f t="shared" si="0"/>
        <v>ES adult</v>
      </c>
      <c r="W1" s="934" t="str">
        <f t="shared" si="0"/>
        <v>FI adult</v>
      </c>
      <c r="X1" s="934" t="str">
        <f t="shared" si="0"/>
        <v>FR adult</v>
      </c>
      <c r="Y1" s="934" t="str">
        <f t="shared" si="0"/>
        <v>Column7</v>
      </c>
      <c r="Z1" s="934" t="str">
        <f t="shared" si="0"/>
        <v>IE adult</v>
      </c>
      <c r="AA1" s="934" t="str">
        <f t="shared" si="0"/>
        <v>IT adult</v>
      </c>
      <c r="AB1" s="934" t="str">
        <f t="shared" si="0"/>
        <v>LT adult</v>
      </c>
      <c r="AC1" s="934" t="str">
        <f t="shared" si="0"/>
        <v>NL general</v>
      </c>
      <c r="AD1" s="934" t="str">
        <f t="shared" si="0"/>
        <v>PL general</v>
      </c>
      <c r="AE1" s="934" t="str">
        <f t="shared" si="0"/>
        <v>PT general</v>
      </c>
      <c r="AF1" s="934" t="str">
        <f t="shared" si="0"/>
        <v>RO general</v>
      </c>
      <c r="AG1" s="934" t="str">
        <f t="shared" si="0"/>
        <v>SE general</v>
      </c>
      <c r="AH1" s="934" t="str">
        <f t="shared" si="0"/>
        <v>UK adult</v>
      </c>
      <c r="AI1" s="934" t="str">
        <f t="shared" si="0"/>
        <v>UK vegetarian</v>
      </c>
      <c r="AJ1" s="934" t="str">
        <f t="shared" si="0"/>
        <v>GEMS/Food G06</v>
      </c>
      <c r="AK1" s="934" t="str">
        <f t="shared" si="0"/>
        <v>GEMS/Food G07</v>
      </c>
      <c r="AL1" s="934" t="str">
        <f t="shared" si="0"/>
        <v>GEMS/Food G08</v>
      </c>
      <c r="AM1" s="934" t="str">
        <f t="shared" si="0"/>
        <v>GEMS/Food G10</v>
      </c>
      <c r="AN1" s="934" t="str">
        <f t="shared" si="0"/>
        <v>GEMS/Food G11</v>
      </c>
      <c r="AO1" s="934" t="str">
        <f t="shared" si="0"/>
        <v>GEMS/Food G15</v>
      </c>
      <c r="AP1" s="934" t="str">
        <f t="shared" si="0"/>
        <v>DE general</v>
      </c>
      <c r="AQ1" s="934" t="str">
        <f t="shared" si="0"/>
        <v>DE women 14-50 yr</v>
      </c>
      <c r="AR1" s="934" t="str">
        <f t="shared" si="0"/>
        <v>IE child</v>
      </c>
      <c r="AS1" s="934" t="str">
        <f t="shared" si="0"/>
        <v>FI 3 yr</v>
      </c>
      <c r="AT1" s="934" t="str">
        <f t="shared" si="0"/>
        <v>FI 6 yr</v>
      </c>
      <c r="AU1" s="934" t="str">
        <f t="shared" si="0"/>
        <v>Column6</v>
      </c>
      <c r="AV1" s="934" t="str">
        <f t="shared" si="0"/>
        <v>Column5</v>
      </c>
      <c r="AW1" s="934" t="str">
        <f t="shared" si="0"/>
        <v>Column4</v>
      </c>
      <c r="AX1" s="934" t="str">
        <f t="shared" si="0"/>
        <v>Column3</v>
      </c>
      <c r="AY1" s="934" t="str">
        <f t="shared" si="0"/>
        <v>Column2</v>
      </c>
    </row>
    <row r="2" spans="1:58" ht="16.5" customHeight="1" x14ac:dyDescent="0.2">
      <c r="A2" s="266" t="s">
        <v>289</v>
      </c>
      <c r="B2" s="267"/>
      <c r="C2" s="935">
        <f>input_values!D3</f>
        <v>0</v>
      </c>
      <c r="D2" s="936"/>
      <c r="E2" s="936"/>
      <c r="F2" s="936"/>
      <c r="G2" s="936"/>
      <c r="H2" s="937"/>
      <c r="I2" s="152" t="s">
        <v>1142</v>
      </c>
      <c r="J2" s="938" t="e">
        <f>J393</f>
        <v>#DIV/0!</v>
      </c>
      <c r="K2" s="938" t="e">
        <f t="shared" ref="K2:AR2" si="1">K393</f>
        <v>#DIV/0!</v>
      </c>
      <c r="L2" s="938" t="e">
        <f t="shared" si="1"/>
        <v>#DIV/0!</v>
      </c>
      <c r="M2" s="938" t="e">
        <f t="shared" si="1"/>
        <v>#DIV/0!</v>
      </c>
      <c r="N2" s="938" t="e">
        <f t="shared" si="1"/>
        <v>#DIV/0!</v>
      </c>
      <c r="O2" s="938" t="e">
        <f t="shared" si="1"/>
        <v>#DIV/0!</v>
      </c>
      <c r="P2" s="938" t="e">
        <f t="shared" si="1"/>
        <v>#DIV/0!</v>
      </c>
      <c r="Q2" s="938" t="e">
        <f t="shared" si="1"/>
        <v>#DIV/0!</v>
      </c>
      <c r="R2" s="938" t="e">
        <f t="shared" si="1"/>
        <v>#DIV/0!</v>
      </c>
      <c r="S2" s="938" t="e">
        <f t="shared" si="1"/>
        <v>#DIV/0!</v>
      </c>
      <c r="T2" s="938" t="e">
        <f t="shared" si="1"/>
        <v>#DIV/0!</v>
      </c>
      <c r="U2" s="938" t="e">
        <f t="shared" si="1"/>
        <v>#DIV/0!</v>
      </c>
      <c r="V2" s="938" t="e">
        <f t="shared" si="1"/>
        <v>#DIV/0!</v>
      </c>
      <c r="W2" s="938" t="e">
        <f t="shared" si="1"/>
        <v>#DIV/0!</v>
      </c>
      <c r="X2" s="938" t="e">
        <f t="shared" si="1"/>
        <v>#DIV/0!</v>
      </c>
      <c r="Y2" s="938" t="e">
        <f t="shared" si="1"/>
        <v>#DIV/0!</v>
      </c>
      <c r="Z2" s="938" t="e">
        <f t="shared" si="1"/>
        <v>#DIV/0!</v>
      </c>
      <c r="AA2" s="938" t="e">
        <f t="shared" si="1"/>
        <v>#DIV/0!</v>
      </c>
      <c r="AB2" s="938" t="e">
        <f t="shared" si="1"/>
        <v>#DIV/0!</v>
      </c>
      <c r="AC2" s="938" t="e">
        <f t="shared" si="1"/>
        <v>#DIV/0!</v>
      </c>
      <c r="AD2" s="938" t="e">
        <f t="shared" si="1"/>
        <v>#DIV/0!</v>
      </c>
      <c r="AE2" s="938" t="e">
        <f t="shared" si="1"/>
        <v>#DIV/0!</v>
      </c>
      <c r="AF2" s="938" t="e">
        <f t="shared" si="1"/>
        <v>#DIV/0!</v>
      </c>
      <c r="AG2" s="938" t="e">
        <f t="shared" si="1"/>
        <v>#DIV/0!</v>
      </c>
      <c r="AH2" s="938" t="e">
        <f t="shared" si="1"/>
        <v>#DIV/0!</v>
      </c>
      <c r="AI2" s="938" t="e">
        <f t="shared" si="1"/>
        <v>#DIV/0!</v>
      </c>
      <c r="AJ2" s="938" t="e">
        <f>AJ393</f>
        <v>#DIV/0!</v>
      </c>
      <c r="AK2" s="938" t="e">
        <f t="shared" si="1"/>
        <v>#DIV/0!</v>
      </c>
      <c r="AL2" s="938" t="e">
        <f t="shared" si="1"/>
        <v>#DIV/0!</v>
      </c>
      <c r="AM2" s="938" t="e">
        <f t="shared" si="1"/>
        <v>#DIV/0!</v>
      </c>
      <c r="AN2" s="938" t="e">
        <f t="shared" si="1"/>
        <v>#DIV/0!</v>
      </c>
      <c r="AO2" s="938" t="e">
        <f t="shared" si="1"/>
        <v>#DIV/0!</v>
      </c>
      <c r="AP2" s="938" t="e">
        <f t="shared" si="1"/>
        <v>#DIV/0!</v>
      </c>
      <c r="AQ2" s="938" t="e">
        <f t="shared" si="1"/>
        <v>#DIV/0!</v>
      </c>
      <c r="AR2" s="939" t="e">
        <f t="shared" si="1"/>
        <v>#DIV/0!</v>
      </c>
      <c r="AS2" s="939" t="e">
        <f t="shared" ref="AS2:AY2" si="2">AS393</f>
        <v>#DIV/0!</v>
      </c>
      <c r="AT2" s="939" t="e">
        <f t="shared" si="2"/>
        <v>#DIV/0!</v>
      </c>
      <c r="AU2" s="939">
        <f t="shared" si="2"/>
        <v>0</v>
      </c>
      <c r="AV2" s="939" t="e">
        <f t="shared" si="2"/>
        <v>#DIV/0!</v>
      </c>
      <c r="AW2" s="939" t="e">
        <f t="shared" si="2"/>
        <v>#DIV/0!</v>
      </c>
      <c r="AX2" s="939" t="e">
        <f t="shared" si="2"/>
        <v>#DIV/0!</v>
      </c>
      <c r="AY2" s="939" t="e">
        <f t="shared" si="2"/>
        <v>#DIV/0!</v>
      </c>
    </row>
    <row r="3" spans="1:58" ht="26.25" customHeight="1" x14ac:dyDescent="0.2">
      <c r="A3" s="266" t="s">
        <v>262</v>
      </c>
      <c r="B3" s="267"/>
      <c r="C3" s="940">
        <f>input_values!D4</f>
        <v>0</v>
      </c>
      <c r="D3" s="152"/>
      <c r="E3" s="941"/>
      <c r="F3" s="152"/>
      <c r="G3" s="152"/>
      <c r="H3" s="152"/>
      <c r="I3" s="152" t="s">
        <v>870</v>
      </c>
      <c r="J3" s="942" t="e">
        <f>J1193</f>
        <v>#DIV/0!</v>
      </c>
      <c r="K3" s="942" t="e">
        <f t="shared" ref="K3:AK3" si="3">K1193</f>
        <v>#DIV/0!</v>
      </c>
      <c r="L3" s="942" t="e">
        <f t="shared" si="3"/>
        <v>#DIV/0!</v>
      </c>
      <c r="M3" s="942" t="e">
        <f t="shared" si="3"/>
        <v>#DIV/0!</v>
      </c>
      <c r="N3" s="942" t="e">
        <f t="shared" si="3"/>
        <v>#DIV/0!</v>
      </c>
      <c r="O3" s="942" t="e">
        <f t="shared" si="3"/>
        <v>#DIV/0!</v>
      </c>
      <c r="P3" s="942" t="e">
        <f t="shared" si="3"/>
        <v>#DIV/0!</v>
      </c>
      <c r="Q3" s="942" t="e">
        <f t="shared" si="3"/>
        <v>#DIV/0!</v>
      </c>
      <c r="R3" s="942" t="e">
        <f t="shared" si="3"/>
        <v>#DIV/0!</v>
      </c>
      <c r="S3" s="942" t="e">
        <f t="shared" si="3"/>
        <v>#DIV/0!</v>
      </c>
      <c r="T3" s="942" t="e">
        <f t="shared" si="3"/>
        <v>#DIV/0!</v>
      </c>
      <c r="U3" s="942" t="e">
        <f t="shared" si="3"/>
        <v>#DIV/0!</v>
      </c>
      <c r="V3" s="942" t="e">
        <f t="shared" si="3"/>
        <v>#DIV/0!</v>
      </c>
      <c r="W3" s="942" t="e">
        <f t="shared" si="3"/>
        <v>#DIV/0!</v>
      </c>
      <c r="X3" s="942" t="e">
        <f t="shared" si="3"/>
        <v>#DIV/0!</v>
      </c>
      <c r="Y3" s="942" t="e">
        <f t="shared" si="3"/>
        <v>#DIV/0!</v>
      </c>
      <c r="Z3" s="942" t="e">
        <f t="shared" si="3"/>
        <v>#DIV/0!</v>
      </c>
      <c r="AA3" s="942" t="e">
        <f t="shared" si="3"/>
        <v>#DIV/0!</v>
      </c>
      <c r="AB3" s="942" t="e">
        <f t="shared" si="3"/>
        <v>#DIV/0!</v>
      </c>
      <c r="AC3" s="942" t="e">
        <f t="shared" si="3"/>
        <v>#DIV/0!</v>
      </c>
      <c r="AD3" s="942" t="e">
        <f t="shared" si="3"/>
        <v>#DIV/0!</v>
      </c>
      <c r="AE3" s="942" t="e">
        <f t="shared" si="3"/>
        <v>#DIV/0!</v>
      </c>
      <c r="AF3" s="942" t="e">
        <f t="shared" si="3"/>
        <v>#DIV/0!</v>
      </c>
      <c r="AG3" s="942" t="e">
        <f t="shared" si="3"/>
        <v>#DIV/0!</v>
      </c>
      <c r="AH3" s="942" t="e">
        <f t="shared" si="3"/>
        <v>#DIV/0!</v>
      </c>
      <c r="AI3" s="942" t="e">
        <f t="shared" si="3"/>
        <v>#DIV/0!</v>
      </c>
      <c r="AJ3" s="942" t="e">
        <f t="shared" si="3"/>
        <v>#DIV/0!</v>
      </c>
      <c r="AK3" s="942" t="e">
        <f t="shared" si="3"/>
        <v>#DIV/0!</v>
      </c>
      <c r="AL3" s="942"/>
      <c r="AM3" s="942"/>
      <c r="AN3" s="942"/>
      <c r="AO3" s="942"/>
      <c r="AP3" s="942"/>
      <c r="AQ3" s="942"/>
      <c r="AR3" s="942"/>
      <c r="AS3" s="942" t="e">
        <f>AS1193</f>
        <v>#DIV/0!</v>
      </c>
      <c r="AT3" s="942" t="e">
        <f>AT1193</f>
        <v>#DIV/0!</v>
      </c>
      <c r="AU3" s="942"/>
      <c r="AV3" s="942"/>
      <c r="AW3" s="942"/>
      <c r="AX3" s="942"/>
      <c r="AY3" s="942"/>
    </row>
    <row r="4" spans="1:58" s="228" customFormat="1" ht="15.75" customHeight="1" x14ac:dyDescent="0.2">
      <c r="A4" s="266" t="s">
        <v>874</v>
      </c>
      <c r="B4" s="267"/>
      <c r="C4" s="1122" t="str">
        <f>input_values!A10</f>
        <v>Normal mode</v>
      </c>
      <c r="D4" s="228" t="s">
        <v>873</v>
      </c>
      <c r="H4" s="152"/>
      <c r="I4" s="943" t="s">
        <v>1143</v>
      </c>
      <c r="J4" s="944" t="e">
        <f>J2*$C$3*1000</f>
        <v>#DIV/0!</v>
      </c>
      <c r="K4" s="944" t="e">
        <f t="shared" ref="K4:AR4" si="4">K2*$C$3*1000</f>
        <v>#DIV/0!</v>
      </c>
      <c r="L4" s="944" t="e">
        <f t="shared" si="4"/>
        <v>#DIV/0!</v>
      </c>
      <c r="M4" s="944" t="e">
        <f t="shared" si="4"/>
        <v>#DIV/0!</v>
      </c>
      <c r="N4" s="944" t="e">
        <f t="shared" si="4"/>
        <v>#DIV/0!</v>
      </c>
      <c r="O4" s="944" t="e">
        <f t="shared" si="4"/>
        <v>#DIV/0!</v>
      </c>
      <c r="P4" s="944" t="e">
        <f t="shared" si="4"/>
        <v>#DIV/0!</v>
      </c>
      <c r="Q4" s="944" t="e">
        <f t="shared" si="4"/>
        <v>#DIV/0!</v>
      </c>
      <c r="R4" s="944" t="e">
        <f t="shared" si="4"/>
        <v>#DIV/0!</v>
      </c>
      <c r="S4" s="944" t="e">
        <f t="shared" si="4"/>
        <v>#DIV/0!</v>
      </c>
      <c r="T4" s="944" t="e">
        <f t="shared" si="4"/>
        <v>#DIV/0!</v>
      </c>
      <c r="U4" s="944" t="e">
        <f t="shared" si="4"/>
        <v>#DIV/0!</v>
      </c>
      <c r="V4" s="944" t="e">
        <f t="shared" si="4"/>
        <v>#DIV/0!</v>
      </c>
      <c r="W4" s="944" t="e">
        <f t="shared" si="4"/>
        <v>#DIV/0!</v>
      </c>
      <c r="X4" s="944" t="e">
        <f t="shared" si="4"/>
        <v>#DIV/0!</v>
      </c>
      <c r="Y4" s="944" t="e">
        <f t="shared" si="4"/>
        <v>#DIV/0!</v>
      </c>
      <c r="Z4" s="944" t="e">
        <f t="shared" si="4"/>
        <v>#DIV/0!</v>
      </c>
      <c r="AA4" s="944" t="e">
        <f t="shared" si="4"/>
        <v>#DIV/0!</v>
      </c>
      <c r="AB4" s="944" t="e">
        <f t="shared" si="4"/>
        <v>#DIV/0!</v>
      </c>
      <c r="AC4" s="944" t="e">
        <f t="shared" si="4"/>
        <v>#DIV/0!</v>
      </c>
      <c r="AD4" s="944" t="e">
        <f t="shared" si="4"/>
        <v>#DIV/0!</v>
      </c>
      <c r="AE4" s="944" t="e">
        <f t="shared" si="4"/>
        <v>#DIV/0!</v>
      </c>
      <c r="AF4" s="944" t="e">
        <f t="shared" si="4"/>
        <v>#DIV/0!</v>
      </c>
      <c r="AG4" s="944" t="e">
        <f t="shared" si="4"/>
        <v>#DIV/0!</v>
      </c>
      <c r="AH4" s="944" t="e">
        <f t="shared" si="4"/>
        <v>#DIV/0!</v>
      </c>
      <c r="AI4" s="944" t="e">
        <f t="shared" si="4"/>
        <v>#DIV/0!</v>
      </c>
      <c r="AJ4" s="944" t="e">
        <f t="shared" si="4"/>
        <v>#DIV/0!</v>
      </c>
      <c r="AK4" s="944" t="e">
        <f t="shared" si="4"/>
        <v>#DIV/0!</v>
      </c>
      <c r="AL4" s="944" t="e">
        <f t="shared" si="4"/>
        <v>#DIV/0!</v>
      </c>
      <c r="AM4" s="944" t="e">
        <f t="shared" si="4"/>
        <v>#DIV/0!</v>
      </c>
      <c r="AN4" s="944" t="e">
        <f t="shared" si="4"/>
        <v>#DIV/0!</v>
      </c>
      <c r="AO4" s="944" t="e">
        <f t="shared" si="4"/>
        <v>#DIV/0!</v>
      </c>
      <c r="AP4" s="944" t="e">
        <f t="shared" si="4"/>
        <v>#DIV/0!</v>
      </c>
      <c r="AQ4" s="944" t="e">
        <f t="shared" si="4"/>
        <v>#DIV/0!</v>
      </c>
      <c r="AR4" s="944" t="e">
        <f t="shared" si="4"/>
        <v>#DIV/0!</v>
      </c>
      <c r="AS4" s="944" t="e">
        <f t="shared" ref="AS4:AY4" si="5">AS2*$C$3*1000</f>
        <v>#DIV/0!</v>
      </c>
      <c r="AT4" s="944" t="e">
        <f t="shared" si="5"/>
        <v>#DIV/0!</v>
      </c>
      <c r="AU4" s="944">
        <f t="shared" si="5"/>
        <v>0</v>
      </c>
      <c r="AV4" s="944" t="e">
        <f t="shared" si="5"/>
        <v>#DIV/0!</v>
      </c>
      <c r="AW4" s="944" t="e">
        <f t="shared" si="5"/>
        <v>#DIV/0!</v>
      </c>
      <c r="AX4" s="944" t="e">
        <f t="shared" si="5"/>
        <v>#DIV/0!</v>
      </c>
      <c r="AY4" s="944" t="e">
        <f t="shared" si="5"/>
        <v>#DIV/0!</v>
      </c>
      <c r="BE4" s="156"/>
    </row>
    <row r="5" spans="1:58" s="228" customFormat="1" ht="17.25" customHeight="1" x14ac:dyDescent="0.2">
      <c r="H5" s="152"/>
      <c r="I5" s="945" t="s">
        <v>1012</v>
      </c>
      <c r="J5" s="1152" t="e">
        <f>J1593</f>
        <v>#DIV/0!</v>
      </c>
      <c r="K5" s="1152" t="e">
        <f t="shared" ref="K5:AY5" si="6">K1593</f>
        <v>#DIV/0!</v>
      </c>
      <c r="L5" s="1152" t="e">
        <f t="shared" si="6"/>
        <v>#DIV/0!</v>
      </c>
      <c r="M5" s="1152" t="e">
        <f t="shared" si="6"/>
        <v>#DIV/0!</v>
      </c>
      <c r="N5" s="1152" t="e">
        <f t="shared" si="6"/>
        <v>#DIV/0!</v>
      </c>
      <c r="O5" s="1152" t="e">
        <f t="shared" si="6"/>
        <v>#DIV/0!</v>
      </c>
      <c r="P5" s="1152" t="e">
        <f t="shared" si="6"/>
        <v>#DIV/0!</v>
      </c>
      <c r="Q5" s="1152" t="e">
        <f t="shared" si="6"/>
        <v>#DIV/0!</v>
      </c>
      <c r="R5" s="1152" t="e">
        <f t="shared" si="6"/>
        <v>#DIV/0!</v>
      </c>
      <c r="S5" s="1152" t="e">
        <f t="shared" si="6"/>
        <v>#DIV/0!</v>
      </c>
      <c r="T5" s="1152" t="e">
        <f t="shared" si="6"/>
        <v>#DIV/0!</v>
      </c>
      <c r="U5" s="1152" t="e">
        <f t="shared" si="6"/>
        <v>#DIV/0!</v>
      </c>
      <c r="V5" s="1152" t="e">
        <f t="shared" si="6"/>
        <v>#DIV/0!</v>
      </c>
      <c r="W5" s="1152" t="e">
        <f t="shared" si="6"/>
        <v>#DIV/0!</v>
      </c>
      <c r="X5" s="1152" t="e">
        <f t="shared" si="6"/>
        <v>#DIV/0!</v>
      </c>
      <c r="Y5" s="1152" t="e">
        <f t="shared" si="6"/>
        <v>#DIV/0!</v>
      </c>
      <c r="Z5" s="1152" t="e">
        <f t="shared" si="6"/>
        <v>#DIV/0!</v>
      </c>
      <c r="AA5" s="1152" t="e">
        <f t="shared" si="6"/>
        <v>#DIV/0!</v>
      </c>
      <c r="AB5" s="1152" t="e">
        <f t="shared" si="6"/>
        <v>#DIV/0!</v>
      </c>
      <c r="AC5" s="1152" t="e">
        <f t="shared" si="6"/>
        <v>#DIV/0!</v>
      </c>
      <c r="AD5" s="1152" t="e">
        <f t="shared" si="6"/>
        <v>#DIV/0!</v>
      </c>
      <c r="AE5" s="1152" t="e">
        <f t="shared" si="6"/>
        <v>#DIV/0!</v>
      </c>
      <c r="AF5" s="1152" t="e">
        <f t="shared" si="6"/>
        <v>#DIV/0!</v>
      </c>
      <c r="AG5" s="1152" t="e">
        <f t="shared" si="6"/>
        <v>#DIV/0!</v>
      </c>
      <c r="AH5" s="1152" t="e">
        <f t="shared" si="6"/>
        <v>#DIV/0!</v>
      </c>
      <c r="AI5" s="1152" t="e">
        <f t="shared" si="6"/>
        <v>#DIV/0!</v>
      </c>
      <c r="AJ5" s="1152" t="e">
        <f t="shared" si="6"/>
        <v>#DIV/0!</v>
      </c>
      <c r="AK5" s="1152" t="e">
        <f t="shared" si="6"/>
        <v>#DIV/0!</v>
      </c>
      <c r="AL5" s="1152" t="e">
        <f t="shared" si="6"/>
        <v>#DIV/0!</v>
      </c>
      <c r="AM5" s="1152" t="e">
        <f t="shared" si="6"/>
        <v>#DIV/0!</v>
      </c>
      <c r="AN5" s="1152" t="e">
        <f t="shared" si="6"/>
        <v>#DIV/0!</v>
      </c>
      <c r="AO5" s="1152" t="e">
        <f t="shared" si="6"/>
        <v>#DIV/0!</v>
      </c>
      <c r="AP5" s="1152" t="e">
        <f t="shared" si="6"/>
        <v>#DIV/0!</v>
      </c>
      <c r="AQ5" s="1152" t="e">
        <f t="shared" si="6"/>
        <v>#DIV/0!</v>
      </c>
      <c r="AR5" s="1152" t="e">
        <f t="shared" si="6"/>
        <v>#DIV/0!</v>
      </c>
      <c r="AS5" s="1152" t="e">
        <f t="shared" si="6"/>
        <v>#DIV/0!</v>
      </c>
      <c r="AT5" s="1152" t="e">
        <f t="shared" si="6"/>
        <v>#DIV/0!</v>
      </c>
      <c r="AU5" s="1152" t="e">
        <f t="shared" si="6"/>
        <v>#DIV/0!</v>
      </c>
      <c r="AV5" s="1152" t="e">
        <f t="shared" si="6"/>
        <v>#DIV/0!</v>
      </c>
      <c r="AW5" s="1152" t="e">
        <f t="shared" si="6"/>
        <v>#DIV/0!</v>
      </c>
      <c r="AX5" s="1152" t="e">
        <f t="shared" si="6"/>
        <v>#DIV/0!</v>
      </c>
      <c r="AY5" s="1152" t="e">
        <f t="shared" si="6"/>
        <v>#DIV/0!</v>
      </c>
      <c r="BE5" s="156"/>
    </row>
    <row r="6" spans="1:58" ht="15" customHeight="1" x14ac:dyDescent="0.2">
      <c r="A6" s="11"/>
      <c r="B6" s="16"/>
      <c r="C6" s="284"/>
      <c r="D6" s="284"/>
      <c r="E6" s="284"/>
      <c r="F6" s="284"/>
      <c r="G6" s="284"/>
    </row>
    <row r="7" spans="1:58" ht="23.25" customHeight="1" x14ac:dyDescent="0.2">
      <c r="A7" s="11"/>
      <c r="B7" s="16"/>
      <c r="C7" s="284"/>
      <c r="D7" s="284"/>
      <c r="E7" s="284"/>
      <c r="F7" s="284"/>
      <c r="G7" s="284"/>
      <c r="H7" s="947"/>
      <c r="I7" s="948"/>
      <c r="J7" s="949"/>
    </row>
    <row r="8" spans="1:58" s="956" customFormat="1" ht="22.5" customHeight="1" x14ac:dyDescent="0.2">
      <c r="A8" s="950"/>
      <c r="B8" s="951"/>
      <c r="C8" s="284"/>
      <c r="D8" s="284"/>
      <c r="E8" s="284"/>
      <c r="F8" s="284"/>
      <c r="G8" s="284"/>
      <c r="H8" s="952"/>
      <c r="I8" s="953">
        <v>3</v>
      </c>
      <c r="J8" s="954"/>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W8" s="71"/>
      <c r="AX8" s="71"/>
      <c r="BE8" s="957"/>
    </row>
    <row r="9" spans="1:58" ht="20.25" customHeight="1" x14ac:dyDescent="0.2">
      <c r="A9" s="11"/>
      <c r="B9" s="19"/>
      <c r="C9" s="958"/>
      <c r="D9" s="958"/>
      <c r="E9" s="958"/>
      <c r="F9" s="958"/>
      <c r="G9" s="958"/>
    </row>
    <row r="10" spans="1:58" s="29" customFormat="1" ht="21.75" customHeight="1" x14ac:dyDescent="0.2">
      <c r="A10" s="43"/>
      <c r="B10" s="43"/>
      <c r="C10" s="221"/>
      <c r="D10" s="221"/>
      <c r="E10" s="221"/>
      <c r="F10" s="221"/>
      <c r="G10" s="221"/>
      <c r="H10" s="856"/>
      <c r="I10" s="404"/>
      <c r="J10" s="959" t="s">
        <v>1136</v>
      </c>
      <c r="K10" s="960"/>
      <c r="L10" s="960"/>
      <c r="M10" s="960"/>
      <c r="N10" s="960"/>
      <c r="O10" s="960"/>
      <c r="P10" s="960"/>
      <c r="Q10" s="960"/>
      <c r="R10" s="960"/>
      <c r="S10" s="960"/>
      <c r="T10" s="960"/>
      <c r="U10" s="960"/>
      <c r="V10" s="960"/>
      <c r="W10" s="960"/>
      <c r="X10" s="960"/>
      <c r="Y10" s="960"/>
      <c r="Z10" s="960"/>
      <c r="AA10" s="960"/>
      <c r="AB10" s="960"/>
      <c r="AC10" s="960"/>
      <c r="AD10" s="960"/>
      <c r="AE10" s="961"/>
      <c r="AF10" s="961"/>
      <c r="AG10" s="961"/>
      <c r="AH10" s="961"/>
      <c r="AI10" s="961"/>
      <c r="AJ10" s="961"/>
      <c r="AK10" s="961"/>
      <c r="AL10" s="961"/>
      <c r="AM10" s="961"/>
      <c r="AN10" s="961"/>
      <c r="AO10" s="961"/>
      <c r="AP10" s="961"/>
      <c r="AQ10" s="961"/>
      <c r="AR10" s="962"/>
      <c r="AS10" s="963"/>
      <c r="AT10" s="964"/>
      <c r="AU10" s="964"/>
      <c r="AV10" s="964"/>
      <c r="BE10" s="711"/>
    </row>
    <row r="11" spans="1:58" ht="84" x14ac:dyDescent="0.2">
      <c r="A11" s="496" t="s">
        <v>281</v>
      </c>
      <c r="B11" s="496" t="s">
        <v>212</v>
      </c>
      <c r="C11" s="505" t="s">
        <v>282</v>
      </c>
      <c r="D11" s="496" t="s">
        <v>364</v>
      </c>
      <c r="E11" s="159" t="s">
        <v>303</v>
      </c>
      <c r="F11" s="159" t="s">
        <v>667</v>
      </c>
      <c r="G11" s="159" t="s">
        <v>668</v>
      </c>
      <c r="H11" s="161" t="s">
        <v>922</v>
      </c>
      <c r="I11" s="159" t="s">
        <v>344</v>
      </c>
      <c r="J11" s="169" t="s">
        <v>256</v>
      </c>
      <c r="K11" s="169" t="s">
        <v>257</v>
      </c>
      <c r="L11" s="169" t="s">
        <v>1</v>
      </c>
      <c r="M11" s="169" t="s">
        <v>258</v>
      </c>
      <c r="N11" s="169" t="s">
        <v>309</v>
      </c>
      <c r="O11" s="169" t="s">
        <v>310</v>
      </c>
      <c r="P11" s="169" t="s">
        <v>311</v>
      </c>
      <c r="Q11" s="169" t="s">
        <v>329</v>
      </c>
      <c r="R11" s="169" t="s">
        <v>259</v>
      </c>
      <c r="S11" s="169" t="s">
        <v>89</v>
      </c>
      <c r="T11" s="169" t="s">
        <v>91</v>
      </c>
      <c r="U11" s="169" t="s">
        <v>252</v>
      </c>
      <c r="V11" s="169" t="s">
        <v>0</v>
      </c>
      <c r="W11" s="169" t="s">
        <v>312</v>
      </c>
      <c r="X11" s="169" t="s">
        <v>313</v>
      </c>
      <c r="Y11" s="169" t="s">
        <v>1134</v>
      </c>
      <c r="Z11" s="169" t="s">
        <v>253</v>
      </c>
      <c r="AA11" s="169" t="s">
        <v>244</v>
      </c>
      <c r="AB11" s="169" t="s">
        <v>254</v>
      </c>
      <c r="AC11" s="169" t="s">
        <v>338</v>
      </c>
      <c r="AD11" s="169" t="s">
        <v>314</v>
      </c>
      <c r="AE11" s="169" t="s">
        <v>315</v>
      </c>
      <c r="AF11" s="169" t="s">
        <v>316</v>
      </c>
      <c r="AG11" s="169" t="s">
        <v>317</v>
      </c>
      <c r="AH11" s="169" t="s">
        <v>105</v>
      </c>
      <c r="AI11" s="169" t="s">
        <v>255</v>
      </c>
      <c r="AJ11" s="169" t="s">
        <v>854</v>
      </c>
      <c r="AK11" s="169" t="s">
        <v>855</v>
      </c>
      <c r="AL11" s="169" t="s">
        <v>856</v>
      </c>
      <c r="AM11" s="169" t="s">
        <v>857</v>
      </c>
      <c r="AN11" s="169" t="s">
        <v>858</v>
      </c>
      <c r="AO11" s="169" t="s">
        <v>859</v>
      </c>
      <c r="AP11" s="169" t="s">
        <v>339</v>
      </c>
      <c r="AQ11" s="169" t="s">
        <v>340</v>
      </c>
      <c r="AR11" s="169" t="s">
        <v>330</v>
      </c>
      <c r="AS11" s="169" t="s">
        <v>944</v>
      </c>
      <c r="AT11" s="169" t="s">
        <v>945</v>
      </c>
      <c r="AU11" s="169" t="s">
        <v>951</v>
      </c>
      <c r="AV11" s="169" t="s">
        <v>950</v>
      </c>
      <c r="AW11" s="169" t="s">
        <v>946</v>
      </c>
      <c r="AX11" s="169" t="s">
        <v>938</v>
      </c>
      <c r="AY11" s="169" t="s">
        <v>860</v>
      </c>
      <c r="AZ11" s="169" t="s">
        <v>644</v>
      </c>
      <c r="BA11" s="169" t="s">
        <v>373</v>
      </c>
      <c r="BB11" s="169" t="s">
        <v>349</v>
      </c>
      <c r="BC11" s="169" t="s">
        <v>658</v>
      </c>
      <c r="BD11" s="169" t="s">
        <v>642</v>
      </c>
      <c r="BE11" s="463" t="s">
        <v>919</v>
      </c>
      <c r="BF11" s="645" t="s">
        <v>918</v>
      </c>
    </row>
    <row r="12" spans="1:58" ht="12" customHeight="1" x14ac:dyDescent="0.2">
      <c r="A12" s="299">
        <v>1</v>
      </c>
      <c r="B12" s="127">
        <v>100000</v>
      </c>
      <c r="C12" s="127" t="s">
        <v>815</v>
      </c>
      <c r="D12" s="965">
        <f>Table22[[#This Row],[MRL individual commodity]]</f>
        <v>0</v>
      </c>
      <c r="E12" s="300">
        <f>Table22[[#This Row],[LOQ_label]]</f>
        <v>0</v>
      </c>
      <c r="F12" s="966">
        <f>Table22[[#This Row],[Chronic RA input value]]</f>
        <v>0</v>
      </c>
      <c r="G12" s="304">
        <f>Table22[[#This Row],[Chronic RA label]]</f>
        <v>0</v>
      </c>
      <c r="H12" s="304">
        <f>Table22[[#This Row],[GAP under assessment]]</f>
        <v>0</v>
      </c>
      <c r="I12" s="1123"/>
      <c r="J12" s="967" t="e">
        <f>IF($F12="","",$F12*chronic_consumption!$E12/1000/$C$3)</f>
        <v>#DIV/0!</v>
      </c>
      <c r="K12" s="967" t="e">
        <f>IF($F12="","",$F12*chronic_consumption!F12/1000/$C$3)</f>
        <v>#DIV/0!</v>
      </c>
      <c r="L12" s="967" t="e">
        <f>IF($F12="","",$F12*chronic_consumption!G12/1000/$C$3)</f>
        <v>#DIV/0!</v>
      </c>
      <c r="M12" s="967" t="e">
        <f>IF($F12="","",$F12*chronic_consumption!H12/1000/$C$3)</f>
        <v>#DIV/0!</v>
      </c>
      <c r="N12" s="967" t="e">
        <f>IF($F12="","",$F12*chronic_consumption!I12/1000/$C$3)</f>
        <v>#DIV/0!</v>
      </c>
      <c r="O12" s="967" t="e">
        <f>IF($F12="","",$F12*chronic_consumption!J12/1000/$C$3)</f>
        <v>#DIV/0!</v>
      </c>
      <c r="P12" s="967" t="e">
        <f>IF($F12="","",$F12*chronic_consumption!K12/1000/$C$3)</f>
        <v>#DIV/0!</v>
      </c>
      <c r="Q12" s="967" t="e">
        <f>IF($F12="","",$F12*chronic_consumption!L12/1000/$C$3)</f>
        <v>#DIV/0!</v>
      </c>
      <c r="R12" s="967" t="e">
        <f>IF($F12="","",$F12*chronic_consumption!M12/1000/$C$3)</f>
        <v>#DIV/0!</v>
      </c>
      <c r="S12" s="967" t="e">
        <f>IF($F12="","",$F12*chronic_consumption!N12/1000/$C$3)</f>
        <v>#DIV/0!</v>
      </c>
      <c r="T12" s="967" t="e">
        <f>IF($F12="","",$F12*chronic_consumption!O12/1000/$C$3)</f>
        <v>#DIV/0!</v>
      </c>
      <c r="U12" s="967" t="e">
        <f>IF($F12="","",$F12*chronic_consumption!P12/1000/$C$3)</f>
        <v>#DIV/0!</v>
      </c>
      <c r="V12" s="967" t="e">
        <f>IF($F12="","",$F12*chronic_consumption!Q12/1000/$C$3)</f>
        <v>#DIV/0!</v>
      </c>
      <c r="W12" s="967" t="e">
        <f>IF($F12="","",$F12*chronic_consumption!R12/1000/$C$3)</f>
        <v>#DIV/0!</v>
      </c>
      <c r="X12" s="967" t="e">
        <f>IF($F12="","",$F12*chronic_consumption!S12/1000/$C$3)</f>
        <v>#DIV/0!</v>
      </c>
      <c r="Y12" s="967" t="e">
        <f>IF($F12="","",$F12*chronic_consumption!T12/1000/$C$3)</f>
        <v>#DIV/0!</v>
      </c>
      <c r="Z12" s="967" t="e">
        <f>IF($F12="","",$F12*chronic_consumption!U12/1000/$C$3)</f>
        <v>#DIV/0!</v>
      </c>
      <c r="AA12" s="967" t="e">
        <f>IF($F12="","",$F12*chronic_consumption!V12/1000/$C$3)</f>
        <v>#DIV/0!</v>
      </c>
      <c r="AB12" s="967" t="e">
        <f>IF($F12="","",$F12*chronic_consumption!W12/1000/$C$3)</f>
        <v>#DIV/0!</v>
      </c>
      <c r="AC12" s="967" t="e">
        <f>IF($F12="","",$F12*chronic_consumption!X12/1000/$C$3)</f>
        <v>#DIV/0!</v>
      </c>
      <c r="AD12" s="967" t="e">
        <f>IF($F12="","",$F12*chronic_consumption!Y12/1000/$C$3)</f>
        <v>#DIV/0!</v>
      </c>
      <c r="AE12" s="967" t="e">
        <f>IF($F12="","",$F12*chronic_consumption!Z12/1000/$C$3)</f>
        <v>#DIV/0!</v>
      </c>
      <c r="AF12" s="967" t="e">
        <f>IF($F12="","",$F12*chronic_consumption!AA12/1000/$C$3)</f>
        <v>#DIV/0!</v>
      </c>
      <c r="AG12" s="967" t="e">
        <f>IF($F12="","",$F12*chronic_consumption!AB12/1000/$C$3)</f>
        <v>#DIV/0!</v>
      </c>
      <c r="AH12" s="967" t="e">
        <f>IF($F12="","",$F12*chronic_consumption!AC12/1000/$C$3)</f>
        <v>#DIV/0!</v>
      </c>
      <c r="AI12" s="967" t="e">
        <f>IF($F12="","",$F12*chronic_consumption!AD12/1000/$C$3)</f>
        <v>#DIV/0!</v>
      </c>
      <c r="AJ12" s="967" t="e">
        <f>IF($F12="","",$F12*chronic_consumption!AE12/1000/$C$3)</f>
        <v>#DIV/0!</v>
      </c>
      <c r="AK12" s="967" t="e">
        <f>IF($F12="","",$F12*chronic_consumption!AF12/1000/$C$3)</f>
        <v>#DIV/0!</v>
      </c>
      <c r="AL12" s="967" t="e">
        <f>IF($F12="","",$F12*chronic_consumption!AG12/1000/$C$3)</f>
        <v>#DIV/0!</v>
      </c>
      <c r="AM12" s="967" t="e">
        <f>IF($F12="","",$F12*chronic_consumption!AH12/1000/$C$3)</f>
        <v>#DIV/0!</v>
      </c>
      <c r="AN12" s="967" t="e">
        <f>IF($F12="","",$F12*chronic_consumption!AI12/1000/$C$3)</f>
        <v>#DIV/0!</v>
      </c>
      <c r="AO12" s="967" t="e">
        <f>IF($F12="","",$F12*chronic_consumption!AJ12/1000/$C$3)</f>
        <v>#DIV/0!</v>
      </c>
      <c r="AP12" s="967" t="e">
        <f>IF($F12="","",$F12*chronic_consumption!AK12/1000/$C$3)</f>
        <v>#DIV/0!</v>
      </c>
      <c r="AQ12" s="967" t="e">
        <f>IF($F12="","",$F12*chronic_consumption!AL12/1000/$C$3)</f>
        <v>#DIV/0!</v>
      </c>
      <c r="AR12" s="967" t="e">
        <f>IF($F12="","",$F12*chronic_consumption!AM12/1000/$C$3)</f>
        <v>#DIV/0!</v>
      </c>
      <c r="AS12" s="967" t="e">
        <f>IF($F12="","",$F12*chronic_consumption!AN12/1000/$C$3)</f>
        <v>#DIV/0!</v>
      </c>
      <c r="AT12" s="967" t="e">
        <f>IF($F12="","",$F12*chronic_consumption!AO12/1000/$C$3)</f>
        <v>#DIV/0!</v>
      </c>
      <c r="AU12" s="967"/>
      <c r="AV12" s="967" t="e">
        <f>IF($F12="","",$F12*chronic_consumption!AQ12/1000/$C$3)</f>
        <v>#DIV/0!</v>
      </c>
      <c r="AW12" s="967" t="e">
        <f>IF($F12="","",$F12*chronic_consumption!AR12/1000/$C$3)</f>
        <v>#DIV/0!</v>
      </c>
      <c r="AX12" s="967" t="e">
        <f>IF($F12="","",$F12*chronic_consumption!AS12/1000/$C$3)</f>
        <v>#DIV/0!</v>
      </c>
      <c r="AY12" s="967" t="e">
        <f>IF($F12="","",$F12*chronic_consumption!AT12/1000/$C$3)</f>
        <v>#DIV/0!</v>
      </c>
      <c r="AZ12" s="968"/>
      <c r="BA12" s="969" t="e">
        <f>MIN(J12:AY12)</f>
        <v>#DIV/0!</v>
      </c>
      <c r="BB12" s="970" t="e">
        <f>MAX(J12:AY12)</f>
        <v>#DIV/0!</v>
      </c>
      <c r="BC12" s="971" t="e">
        <f ca="1">IF(BB12&gt;0,OFFSET($I$10,1,MATCH(BB12,J12:AY12,0)),"")</f>
        <v>#DIV/0!</v>
      </c>
      <c r="BD12" s="228">
        <f>input_values!Z12</f>
        <v>4</v>
      </c>
      <c r="BE12" s="152">
        <f>input_values!L12</f>
        <v>0</v>
      </c>
      <c r="BF12" s="972" t="str">
        <f>IF(BE12="Y",BB12,"")</f>
        <v/>
      </c>
    </row>
    <row r="13" spans="1:58" ht="12" customHeight="1" outlineLevel="1" x14ac:dyDescent="0.2">
      <c r="A13" s="314">
        <v>2</v>
      </c>
      <c r="B13" s="131">
        <v>110000</v>
      </c>
      <c r="C13" s="131" t="s">
        <v>213</v>
      </c>
      <c r="D13" s="965">
        <f>Table22[[#This Row],[MRL individual commodity]]</f>
        <v>0</v>
      </c>
      <c r="E13" s="300">
        <f>Table22[[#This Row],[LOQ_label]]</f>
        <v>0</v>
      </c>
      <c r="F13" s="966">
        <f>Table22[[#This Row],[Chronic RA input value]]</f>
        <v>0</v>
      </c>
      <c r="G13" s="304">
        <f>Table22[[#This Row],[Chronic RA label]]</f>
        <v>0</v>
      </c>
      <c r="H13" s="304">
        <f>Table22[[#This Row],[GAP under assessment]]</f>
        <v>0</v>
      </c>
      <c r="I13" s="1123"/>
      <c r="J13" s="967" t="e">
        <f>IF($F13="","",$F13*chronic_consumption!$E13/1000/$C$3)</f>
        <v>#DIV/0!</v>
      </c>
      <c r="K13" s="967" t="e">
        <f>IF($F13="","",$F13*chronic_consumption!F13/1000/$C$3)</f>
        <v>#DIV/0!</v>
      </c>
      <c r="L13" s="967" t="e">
        <f>IF($F13="","",$F13*chronic_consumption!G13/1000/$C$3)</f>
        <v>#DIV/0!</v>
      </c>
      <c r="M13" s="967" t="e">
        <f>IF($F13="","",$F13*chronic_consumption!H13/1000/$C$3)</f>
        <v>#DIV/0!</v>
      </c>
      <c r="N13" s="967" t="e">
        <f>IF($F13="","",$F13*chronic_consumption!I13/1000/$C$3)</f>
        <v>#DIV/0!</v>
      </c>
      <c r="O13" s="967" t="e">
        <f>IF($F13="","",$F13*chronic_consumption!J13/1000/$C$3)</f>
        <v>#DIV/0!</v>
      </c>
      <c r="P13" s="967" t="e">
        <f>IF($F13="","",$F13*chronic_consumption!K13/1000/$C$3)</f>
        <v>#DIV/0!</v>
      </c>
      <c r="Q13" s="967" t="e">
        <f>IF($F13="","",$F13*chronic_consumption!L13/1000/$C$3)</f>
        <v>#DIV/0!</v>
      </c>
      <c r="R13" s="967" t="e">
        <f>IF($F13="","",$F13*chronic_consumption!M13/1000/$C$3)</f>
        <v>#DIV/0!</v>
      </c>
      <c r="S13" s="967" t="e">
        <f>IF($F13="","",$F13*chronic_consumption!N13/1000/$C$3)</f>
        <v>#DIV/0!</v>
      </c>
      <c r="T13" s="967" t="e">
        <f>IF($F13="","",$F13*chronic_consumption!O13/1000/$C$3)</f>
        <v>#DIV/0!</v>
      </c>
      <c r="U13" s="967" t="e">
        <f>IF($F13="","",$F13*chronic_consumption!P13/1000/$C$3)</f>
        <v>#DIV/0!</v>
      </c>
      <c r="V13" s="967" t="e">
        <f>IF($F13="","",$F13*chronic_consumption!Q13/1000/$C$3)</f>
        <v>#DIV/0!</v>
      </c>
      <c r="W13" s="967" t="e">
        <f>IF($F13="","",$F13*chronic_consumption!R13/1000/$C$3)</f>
        <v>#DIV/0!</v>
      </c>
      <c r="X13" s="967" t="e">
        <f>IF($F13="","",$F13*chronic_consumption!S13/1000/$C$3)</f>
        <v>#DIV/0!</v>
      </c>
      <c r="Y13" s="967" t="e">
        <f>IF($F13="","",$F13*chronic_consumption!T13/1000/$C$3)</f>
        <v>#DIV/0!</v>
      </c>
      <c r="Z13" s="967" t="e">
        <f>IF($F13="","",$F13*chronic_consumption!U13/1000/$C$3)</f>
        <v>#DIV/0!</v>
      </c>
      <c r="AA13" s="967" t="e">
        <f>IF($F13="","",$F13*chronic_consumption!V13/1000/$C$3)</f>
        <v>#DIV/0!</v>
      </c>
      <c r="AB13" s="967" t="e">
        <f>IF($F13="","",$F13*chronic_consumption!W13/1000/$C$3)</f>
        <v>#DIV/0!</v>
      </c>
      <c r="AC13" s="967" t="e">
        <f>IF($F13="","",$F13*chronic_consumption!X13/1000/$C$3)</f>
        <v>#DIV/0!</v>
      </c>
      <c r="AD13" s="967" t="e">
        <f>IF($F13="","",$F13*chronic_consumption!Y13/1000/$C$3)</f>
        <v>#DIV/0!</v>
      </c>
      <c r="AE13" s="967" t="e">
        <f>IF($F13="","",$F13*chronic_consumption!Z13/1000/$C$3)</f>
        <v>#DIV/0!</v>
      </c>
      <c r="AF13" s="967" t="e">
        <f>IF($F13="","",$F13*chronic_consumption!AA13/1000/$C$3)</f>
        <v>#DIV/0!</v>
      </c>
      <c r="AG13" s="967" t="e">
        <f>IF($F13="","",$F13*chronic_consumption!AB13/1000/$C$3)</f>
        <v>#DIV/0!</v>
      </c>
      <c r="AH13" s="967" t="e">
        <f>IF($F13="","",$F13*chronic_consumption!AC13/1000/$C$3)</f>
        <v>#DIV/0!</v>
      </c>
      <c r="AI13" s="967" t="e">
        <f>IF($F13="","",$F13*chronic_consumption!AD13/1000/$C$3)</f>
        <v>#DIV/0!</v>
      </c>
      <c r="AJ13" s="967" t="e">
        <f>IF($F13="","",$F13*chronic_consumption!AE13/1000/$C$3)</f>
        <v>#DIV/0!</v>
      </c>
      <c r="AK13" s="967" t="e">
        <f>IF($F13="","",$F13*chronic_consumption!AF13/1000/$C$3)</f>
        <v>#DIV/0!</v>
      </c>
      <c r="AL13" s="967" t="e">
        <f>IF($F13="","",$F13*chronic_consumption!AG13/1000/$C$3)</f>
        <v>#DIV/0!</v>
      </c>
      <c r="AM13" s="967" t="e">
        <f>IF($F13="","",$F13*chronic_consumption!AH13/1000/$C$3)</f>
        <v>#DIV/0!</v>
      </c>
      <c r="AN13" s="967" t="e">
        <f>IF($F13="","",$F13*chronic_consumption!AI13/1000/$C$3)</f>
        <v>#DIV/0!</v>
      </c>
      <c r="AO13" s="967" t="e">
        <f>IF($F13="","",$F13*chronic_consumption!AJ13/1000/$C$3)</f>
        <v>#DIV/0!</v>
      </c>
      <c r="AP13" s="967" t="e">
        <f>IF($F13="","",$F13*chronic_consumption!AK13/1000/$C$3)</f>
        <v>#DIV/0!</v>
      </c>
      <c r="AQ13" s="967" t="e">
        <f>IF($F13="","",$F13*chronic_consumption!AL13/1000/$C$3)</f>
        <v>#DIV/0!</v>
      </c>
      <c r="AR13" s="967" t="e">
        <f>IF($F13="","",$F13*chronic_consumption!AM13/1000/$C$3)</f>
        <v>#DIV/0!</v>
      </c>
      <c r="AS13" s="967" t="e">
        <f>IF($F13="","",$F13*chronic_consumption!AN13/1000/$C$3)</f>
        <v>#DIV/0!</v>
      </c>
      <c r="AT13" s="967" t="e">
        <f>IF($F13="","",$F13*chronic_consumption!AO13/1000/$C$3)</f>
        <v>#DIV/0!</v>
      </c>
      <c r="AU13" s="967"/>
      <c r="AV13" s="967" t="e">
        <f>IF($F13="","",$F13*chronic_consumption!AQ13/1000/$C$3)</f>
        <v>#DIV/0!</v>
      </c>
      <c r="AW13" s="967" t="e">
        <f>IF($F13="","",$F13*chronic_consumption!AR13/1000/$C$3)</f>
        <v>#DIV/0!</v>
      </c>
      <c r="AX13" s="967" t="e">
        <f>IF($F13="","",$F13*chronic_consumption!AS13/1000/$C$3)</f>
        <v>#DIV/0!</v>
      </c>
      <c r="AY13" s="967" t="e">
        <f>IF($F13="","",$F13*chronic_consumption!AT13/1000/$C$3)</f>
        <v>#DIV/0!</v>
      </c>
      <c r="AZ13" s="973"/>
      <c r="BA13" s="969" t="e">
        <f t="shared" ref="BA13:BA76" si="7">MIN(J13:AY13)</f>
        <v>#DIV/0!</v>
      </c>
      <c r="BB13" s="970" t="e">
        <f t="shared" ref="BB13:BB76" si="8">MAX(J13:AY13)</f>
        <v>#DIV/0!</v>
      </c>
      <c r="BC13" s="971" t="e">
        <f t="shared" ref="BC13:BC76" ca="1" si="9">IF(BB13&gt;0,OFFSET($I$10,1,MATCH(BB13,J13:AY13,0)),"")</f>
        <v>#DIV/0!</v>
      </c>
      <c r="BD13" s="228">
        <f>input_values!Z13</f>
        <v>4</v>
      </c>
      <c r="BE13" s="152">
        <f>input_values!L13</f>
        <v>0</v>
      </c>
      <c r="BF13" s="972" t="str">
        <f t="shared" ref="BF13:BF76" si="10">IF(BE13="Y",BB13,"")</f>
        <v/>
      </c>
    </row>
    <row r="14" spans="1:58" ht="12" customHeight="1" outlineLevel="3" x14ac:dyDescent="0.2">
      <c r="A14" s="21">
        <v>4</v>
      </c>
      <c r="B14" s="23">
        <v>110010</v>
      </c>
      <c r="C14" s="23" t="s">
        <v>680</v>
      </c>
      <c r="D14" s="965">
        <f>Table22[[#This Row],[MRL individual commodity]]</f>
        <v>0</v>
      </c>
      <c r="E14" s="300" t="str">
        <f>Table22[[#This Row],[LOQ_label]]</f>
        <v/>
      </c>
      <c r="F14" s="966">
        <f>Table22[[#This Row],[Chronic RA input value]]</f>
        <v>0</v>
      </c>
      <c r="G14" s="304" t="str">
        <f>Table22[[#This Row],[Chronic RA label]]</f>
        <v/>
      </c>
      <c r="H14" s="304">
        <f>Table22[[#This Row],[GAP under assessment]]</f>
        <v>0</v>
      </c>
      <c r="I14" s="1123"/>
      <c r="J14" s="974" t="e">
        <f>IF($F14="","",$F14*chronic_consumption!$E14/1000/$C$3)</f>
        <v>#DIV/0!</v>
      </c>
      <c r="K14" s="974" t="e">
        <f>IF($F14="","",$F14*chronic_consumption!F14/1000/$C$3)</f>
        <v>#DIV/0!</v>
      </c>
      <c r="L14" s="974" t="e">
        <f>IF($F14="","",$F14*chronic_consumption!G14/1000/$C$3)</f>
        <v>#DIV/0!</v>
      </c>
      <c r="M14" s="974" t="e">
        <f>IF($F14="","",$F14*chronic_consumption!H14/1000/$C$3)</f>
        <v>#DIV/0!</v>
      </c>
      <c r="N14" s="974" t="e">
        <f>IF($F14="","",$F14*chronic_consumption!I14/1000/$C$3)</f>
        <v>#DIV/0!</v>
      </c>
      <c r="O14" s="974" t="e">
        <f>IF($F14="","",$F14*chronic_consumption!J14/1000/$C$3)</f>
        <v>#DIV/0!</v>
      </c>
      <c r="P14" s="974" t="e">
        <f>IF($F14="","",$F14*chronic_consumption!K14/1000/$C$3)</f>
        <v>#DIV/0!</v>
      </c>
      <c r="Q14" s="974" t="e">
        <f>IF($F14="","",$F14*chronic_consumption!L14/1000/$C$3)</f>
        <v>#DIV/0!</v>
      </c>
      <c r="R14" s="974" t="e">
        <f>IF($F14="","",$F14*chronic_consumption!M14/1000/$C$3)</f>
        <v>#DIV/0!</v>
      </c>
      <c r="S14" s="974" t="e">
        <f>IF($F14="","",$F14*chronic_consumption!N14/1000/$C$3)</f>
        <v>#DIV/0!</v>
      </c>
      <c r="T14" s="974" t="e">
        <f>IF($F14="","",$F14*chronic_consumption!O14/1000/$C$3)</f>
        <v>#DIV/0!</v>
      </c>
      <c r="U14" s="974" t="e">
        <f>IF($F14="","",$F14*chronic_consumption!P14/1000/$C$3)</f>
        <v>#DIV/0!</v>
      </c>
      <c r="V14" s="974" t="e">
        <f>IF($F14="","",$F14*chronic_consumption!Q14/1000/$C$3)</f>
        <v>#DIV/0!</v>
      </c>
      <c r="W14" s="974" t="e">
        <f>IF($F14="","",$F14*chronic_consumption!R14/1000/$C$3)</f>
        <v>#DIV/0!</v>
      </c>
      <c r="X14" s="974" t="e">
        <f>IF($F14="","",$F14*chronic_consumption!S14/1000/$C$3)</f>
        <v>#DIV/0!</v>
      </c>
      <c r="Y14" s="974" t="e">
        <f>IF($F14="","",$F14*chronic_consumption!T14/1000/$C$3)</f>
        <v>#DIV/0!</v>
      </c>
      <c r="Z14" s="974" t="e">
        <f>IF($F14="","",$F14*chronic_consumption!U14/1000/$C$3)</f>
        <v>#DIV/0!</v>
      </c>
      <c r="AA14" s="974" t="e">
        <f>IF($F14="","",$F14*chronic_consumption!V14/1000/$C$3)</f>
        <v>#DIV/0!</v>
      </c>
      <c r="AB14" s="974" t="e">
        <f>IF($F14="","",$F14*chronic_consumption!W14/1000/$C$3)</f>
        <v>#DIV/0!</v>
      </c>
      <c r="AC14" s="974" t="e">
        <f>IF($F14="","",$F14*chronic_consumption!X14/1000/$C$3)</f>
        <v>#DIV/0!</v>
      </c>
      <c r="AD14" s="974" t="e">
        <f>IF($F14="","",$F14*chronic_consumption!Y14/1000/$C$3)</f>
        <v>#DIV/0!</v>
      </c>
      <c r="AE14" s="974" t="e">
        <f>IF($F14="","",$F14*chronic_consumption!Z14/1000/$C$3)</f>
        <v>#DIV/0!</v>
      </c>
      <c r="AF14" s="974" t="e">
        <f>IF($F14="","",$F14*chronic_consumption!AA14/1000/$C$3)</f>
        <v>#DIV/0!</v>
      </c>
      <c r="AG14" s="974" t="e">
        <f>IF($F14="","",$F14*chronic_consumption!AB14/1000/$C$3)</f>
        <v>#DIV/0!</v>
      </c>
      <c r="AH14" s="974" t="e">
        <f>IF($F14="","",$F14*chronic_consumption!AC14/1000/$C$3)</f>
        <v>#DIV/0!</v>
      </c>
      <c r="AI14" s="974" t="e">
        <f>IF($F14="","",$F14*chronic_consumption!AD14/1000/$C$3)</f>
        <v>#DIV/0!</v>
      </c>
      <c r="AJ14" s="974" t="e">
        <f>IF($F14="","",$F14*chronic_consumption!AE14/1000/$C$3)</f>
        <v>#DIV/0!</v>
      </c>
      <c r="AK14" s="974" t="e">
        <f>IF($F14="","",$F14*chronic_consumption!AF14/1000/$C$3)</f>
        <v>#DIV/0!</v>
      </c>
      <c r="AL14" s="974" t="e">
        <f>IF($F14="","",$F14*chronic_consumption!AG14/1000/$C$3)</f>
        <v>#DIV/0!</v>
      </c>
      <c r="AM14" s="974" t="e">
        <f>IF($F14="","",$F14*chronic_consumption!AH14/1000/$C$3)</f>
        <v>#DIV/0!</v>
      </c>
      <c r="AN14" s="974" t="e">
        <f>IF($F14="","",$F14*chronic_consumption!AI14/1000/$C$3)</f>
        <v>#DIV/0!</v>
      </c>
      <c r="AO14" s="974" t="e">
        <f>IF($F14="","",$F14*chronic_consumption!AJ14/1000/$C$3)</f>
        <v>#DIV/0!</v>
      </c>
      <c r="AP14" s="974" t="e">
        <f>IF($F14="","",$F14*chronic_consumption!AK14/1000/$C$3)</f>
        <v>#DIV/0!</v>
      </c>
      <c r="AQ14" s="974" t="e">
        <f>IF($F14="","",$F14*chronic_consumption!AL14/1000/$C$3)</f>
        <v>#DIV/0!</v>
      </c>
      <c r="AR14" s="974" t="e">
        <f>IF($F14="","",$F14*chronic_consumption!AM14/1000/$C$3)</f>
        <v>#DIV/0!</v>
      </c>
      <c r="AS14" s="974" t="e">
        <f>IF($F14="","",$F14*chronic_consumption!AN14/1000/$C$3)</f>
        <v>#DIV/0!</v>
      </c>
      <c r="AT14" s="974" t="e">
        <f>IF($F14="","",$F14*chronic_consumption!AO14/1000/$C$3)</f>
        <v>#DIV/0!</v>
      </c>
      <c r="AU14" s="974"/>
      <c r="AV14" s="974" t="e">
        <f>IF($F14="","",$F14*chronic_consumption!AQ14/1000/$C$3)</f>
        <v>#DIV/0!</v>
      </c>
      <c r="AW14" s="974" t="e">
        <f>IF($F14="","",$F14*chronic_consumption!AR14/1000/$C$3)</f>
        <v>#DIV/0!</v>
      </c>
      <c r="AX14" s="974" t="e">
        <f>IF($F14="","",$F14*chronic_consumption!AS14/1000/$C$3)</f>
        <v>#DIV/0!</v>
      </c>
      <c r="AY14" s="974" t="e">
        <f>IF($F14="","",$F14*chronic_consumption!AT14/1000/$C$3)</f>
        <v>#DIV/0!</v>
      </c>
      <c r="AZ14" s="973" t="s">
        <v>19</v>
      </c>
      <c r="BA14" s="969" t="e">
        <f t="shared" si="7"/>
        <v>#DIV/0!</v>
      </c>
      <c r="BB14" s="970" t="e">
        <f t="shared" si="8"/>
        <v>#DIV/0!</v>
      </c>
      <c r="BC14" s="971" t="e">
        <f t="shared" ca="1" si="9"/>
        <v>#DIV/0!</v>
      </c>
      <c r="BD14" s="228">
        <f>input_values!Z14</f>
        <v>4</v>
      </c>
      <c r="BE14" s="152">
        <f>input_values!L14</f>
        <v>0</v>
      </c>
      <c r="BF14" s="972" t="str">
        <f t="shared" si="10"/>
        <v/>
      </c>
    </row>
    <row r="15" spans="1:58" ht="12" customHeight="1" outlineLevel="3" x14ac:dyDescent="0.2">
      <c r="A15" s="21">
        <v>4</v>
      </c>
      <c r="B15" s="23">
        <v>110020</v>
      </c>
      <c r="C15" s="23" t="s">
        <v>2</v>
      </c>
      <c r="D15" s="965">
        <f>Table22[[#This Row],[MRL individual commodity]]</f>
        <v>0</v>
      </c>
      <c r="E15" s="300" t="str">
        <f>Table22[[#This Row],[LOQ_label]]</f>
        <v/>
      </c>
      <c r="F15" s="966">
        <f>Table22[[#This Row],[Chronic RA input value]]</f>
        <v>0</v>
      </c>
      <c r="G15" s="304" t="str">
        <f>Table22[[#This Row],[Chronic RA label]]</f>
        <v/>
      </c>
      <c r="H15" s="304">
        <f>Table22[[#This Row],[GAP under assessment]]</f>
        <v>0</v>
      </c>
      <c r="I15" s="1123"/>
      <c r="J15" s="974" t="e">
        <f>IF($F15="","",$F15*chronic_consumption!$E15/1000/$C$3)</f>
        <v>#DIV/0!</v>
      </c>
      <c r="K15" s="974" t="e">
        <f>IF($F15="","",$F15*chronic_consumption!F15/1000/$C$3)</f>
        <v>#DIV/0!</v>
      </c>
      <c r="L15" s="974" t="e">
        <f>IF($F15="","",$F15*chronic_consumption!G15/1000/$C$3)</f>
        <v>#DIV/0!</v>
      </c>
      <c r="M15" s="974" t="e">
        <f>IF($F15="","",$F15*chronic_consumption!H15/1000/$C$3)</f>
        <v>#DIV/0!</v>
      </c>
      <c r="N15" s="974" t="e">
        <f>IF($F15="","",$F15*chronic_consumption!I15/1000/$C$3)</f>
        <v>#DIV/0!</v>
      </c>
      <c r="O15" s="974" t="e">
        <f>IF($F15="","",$F15*chronic_consumption!J15/1000/$C$3)</f>
        <v>#DIV/0!</v>
      </c>
      <c r="P15" s="974" t="e">
        <f>IF($F15="","",$F15*chronic_consumption!K15/1000/$C$3)</f>
        <v>#DIV/0!</v>
      </c>
      <c r="Q15" s="974" t="e">
        <f>IF($F15="","",$F15*chronic_consumption!L15/1000/$C$3)</f>
        <v>#DIV/0!</v>
      </c>
      <c r="R15" s="974" t="e">
        <f>IF($F15="","",$F15*chronic_consumption!M15/1000/$C$3)</f>
        <v>#DIV/0!</v>
      </c>
      <c r="S15" s="974" t="e">
        <f>IF($F15="","",$F15*chronic_consumption!N15/1000/$C$3)</f>
        <v>#DIV/0!</v>
      </c>
      <c r="T15" s="974" t="e">
        <f>IF($F15="","",$F15*chronic_consumption!O15/1000/$C$3)</f>
        <v>#DIV/0!</v>
      </c>
      <c r="U15" s="974" t="e">
        <f>IF($F15="","",$F15*chronic_consumption!P15/1000/$C$3)</f>
        <v>#DIV/0!</v>
      </c>
      <c r="V15" s="974" t="e">
        <f>IF($F15="","",$F15*chronic_consumption!Q15/1000/$C$3)</f>
        <v>#DIV/0!</v>
      </c>
      <c r="W15" s="974" t="e">
        <f>IF($F15="","",$F15*chronic_consumption!R15/1000/$C$3)</f>
        <v>#DIV/0!</v>
      </c>
      <c r="X15" s="974" t="e">
        <f>IF($F15="","",$F15*chronic_consumption!S15/1000/$C$3)</f>
        <v>#DIV/0!</v>
      </c>
      <c r="Y15" s="974" t="e">
        <f>IF($F15="","",$F15*chronic_consumption!T15/1000/$C$3)</f>
        <v>#DIV/0!</v>
      </c>
      <c r="Z15" s="974" t="e">
        <f>IF($F15="","",$F15*chronic_consumption!U15/1000/$C$3)</f>
        <v>#DIV/0!</v>
      </c>
      <c r="AA15" s="974" t="e">
        <f>IF($F15="","",$F15*chronic_consumption!V15/1000/$C$3)</f>
        <v>#DIV/0!</v>
      </c>
      <c r="AB15" s="974" t="e">
        <f>IF($F15="","",$F15*chronic_consumption!W15/1000/$C$3)</f>
        <v>#DIV/0!</v>
      </c>
      <c r="AC15" s="974" t="e">
        <f>IF($F15="","",$F15*chronic_consumption!X15/1000/$C$3)</f>
        <v>#DIV/0!</v>
      </c>
      <c r="AD15" s="974" t="e">
        <f>IF($F15="","",$F15*chronic_consumption!Y15/1000/$C$3)</f>
        <v>#DIV/0!</v>
      </c>
      <c r="AE15" s="974" t="e">
        <f>IF($F15="","",$F15*chronic_consumption!Z15/1000/$C$3)</f>
        <v>#DIV/0!</v>
      </c>
      <c r="AF15" s="974" t="e">
        <f>IF($F15="","",$F15*chronic_consumption!AA15/1000/$C$3)</f>
        <v>#DIV/0!</v>
      </c>
      <c r="AG15" s="974" t="e">
        <f>IF($F15="","",$F15*chronic_consumption!AB15/1000/$C$3)</f>
        <v>#DIV/0!</v>
      </c>
      <c r="AH15" s="974" t="e">
        <f>IF($F15="","",$F15*chronic_consumption!AC15/1000/$C$3)</f>
        <v>#DIV/0!</v>
      </c>
      <c r="AI15" s="974" t="e">
        <f>IF($F15="","",$F15*chronic_consumption!AD15/1000/$C$3)</f>
        <v>#DIV/0!</v>
      </c>
      <c r="AJ15" s="974" t="e">
        <f>IF($F15="","",$F15*chronic_consumption!AE15/1000/$C$3)</f>
        <v>#DIV/0!</v>
      </c>
      <c r="AK15" s="974" t="e">
        <f>IF($F15="","",$F15*chronic_consumption!AF15/1000/$C$3)</f>
        <v>#DIV/0!</v>
      </c>
      <c r="AL15" s="974" t="e">
        <f>IF($F15="","",$F15*chronic_consumption!AG15/1000/$C$3)</f>
        <v>#DIV/0!</v>
      </c>
      <c r="AM15" s="974" t="e">
        <f>IF($F15="","",$F15*chronic_consumption!AH15/1000/$C$3)</f>
        <v>#DIV/0!</v>
      </c>
      <c r="AN15" s="974" t="e">
        <f>IF($F15="","",$F15*chronic_consumption!AI15/1000/$C$3)</f>
        <v>#DIV/0!</v>
      </c>
      <c r="AO15" s="974" t="e">
        <f>IF($F15="","",$F15*chronic_consumption!AJ15/1000/$C$3)</f>
        <v>#DIV/0!</v>
      </c>
      <c r="AP15" s="974" t="e">
        <f>IF($F15="","",$F15*chronic_consumption!AK15/1000/$C$3)</f>
        <v>#DIV/0!</v>
      </c>
      <c r="AQ15" s="974" t="e">
        <f>IF($F15="","",$F15*chronic_consumption!AL15/1000/$C$3)</f>
        <v>#DIV/0!</v>
      </c>
      <c r="AR15" s="974" t="e">
        <f>IF($F15="","",$F15*chronic_consumption!AM15/1000/$C$3)</f>
        <v>#DIV/0!</v>
      </c>
      <c r="AS15" s="974" t="e">
        <f>IF($F15="","",$F15*chronic_consumption!AN15/1000/$C$3)</f>
        <v>#DIV/0!</v>
      </c>
      <c r="AT15" s="974" t="e">
        <f>IF($F15="","",$F15*chronic_consumption!AO15/1000/$C$3)</f>
        <v>#DIV/0!</v>
      </c>
      <c r="AU15" s="974"/>
      <c r="AV15" s="974" t="e">
        <f>IF($F15="","",$F15*chronic_consumption!AQ15/1000/$C$3)</f>
        <v>#DIV/0!</v>
      </c>
      <c r="AW15" s="974" t="e">
        <f>IF($F15="","",$F15*chronic_consumption!AR15/1000/$C$3)</f>
        <v>#DIV/0!</v>
      </c>
      <c r="AX15" s="974" t="e">
        <f>IF($F15="","",$F15*chronic_consumption!AS15/1000/$C$3)</f>
        <v>#DIV/0!</v>
      </c>
      <c r="AY15" s="974" t="e">
        <f>IF($F15="","",$F15*chronic_consumption!AT15/1000/$C$3)</f>
        <v>#DIV/0!</v>
      </c>
      <c r="AZ15" s="973" t="s">
        <v>19</v>
      </c>
      <c r="BA15" s="969" t="e">
        <f t="shared" si="7"/>
        <v>#DIV/0!</v>
      </c>
      <c r="BB15" s="970" t="e">
        <f t="shared" si="8"/>
        <v>#DIV/0!</v>
      </c>
      <c r="BC15" s="971" t="e">
        <f t="shared" ca="1" si="9"/>
        <v>#DIV/0!</v>
      </c>
      <c r="BD15" s="228">
        <f>input_values!Z15</f>
        <v>4</v>
      </c>
      <c r="BE15" s="152">
        <f>input_values!L15</f>
        <v>0</v>
      </c>
      <c r="BF15" s="972" t="str">
        <f t="shared" si="10"/>
        <v/>
      </c>
    </row>
    <row r="16" spans="1:58" ht="12" customHeight="1" outlineLevel="3" x14ac:dyDescent="0.2">
      <c r="A16" s="21">
        <v>4</v>
      </c>
      <c r="B16" s="23">
        <v>110030</v>
      </c>
      <c r="C16" s="23" t="s">
        <v>3</v>
      </c>
      <c r="D16" s="965">
        <f>Table22[[#This Row],[MRL individual commodity]]</f>
        <v>0</v>
      </c>
      <c r="E16" s="300" t="str">
        <f>Table22[[#This Row],[LOQ_label]]</f>
        <v/>
      </c>
      <c r="F16" s="966">
        <f>Table22[[#This Row],[Chronic RA input value]]</f>
        <v>0</v>
      </c>
      <c r="G16" s="304" t="str">
        <f>Table22[[#This Row],[Chronic RA label]]</f>
        <v/>
      </c>
      <c r="H16" s="304">
        <f>Table22[[#This Row],[GAP under assessment]]</f>
        <v>0</v>
      </c>
      <c r="I16" s="1123"/>
      <c r="J16" s="974" t="e">
        <f>IF($F16="","",$F16*chronic_consumption!$E16/1000/$C$3)</f>
        <v>#DIV/0!</v>
      </c>
      <c r="K16" s="974" t="e">
        <f>IF($F16="","",$F16*chronic_consumption!F16/1000/$C$3)</f>
        <v>#DIV/0!</v>
      </c>
      <c r="L16" s="974" t="e">
        <f>IF($F16="","",$F16*chronic_consumption!G16/1000/$C$3)</f>
        <v>#DIV/0!</v>
      </c>
      <c r="M16" s="974" t="e">
        <f>IF($F16="","",$F16*chronic_consumption!H16/1000/$C$3)</f>
        <v>#DIV/0!</v>
      </c>
      <c r="N16" s="974" t="e">
        <f>IF($F16="","",$F16*chronic_consumption!I16/1000/$C$3)</f>
        <v>#DIV/0!</v>
      </c>
      <c r="O16" s="974" t="e">
        <f>IF($F16="","",$F16*chronic_consumption!J16/1000/$C$3)</f>
        <v>#DIV/0!</v>
      </c>
      <c r="P16" s="974" t="e">
        <f>IF($F16="","",$F16*chronic_consumption!K16/1000/$C$3)</f>
        <v>#DIV/0!</v>
      </c>
      <c r="Q16" s="974" t="e">
        <f>IF($F16="","",$F16*chronic_consumption!L16/1000/$C$3)</f>
        <v>#DIV/0!</v>
      </c>
      <c r="R16" s="974" t="e">
        <f>IF($F16="","",$F16*chronic_consumption!M16/1000/$C$3)</f>
        <v>#DIV/0!</v>
      </c>
      <c r="S16" s="974" t="e">
        <f>IF($F16="","",$F16*chronic_consumption!N16/1000/$C$3)</f>
        <v>#DIV/0!</v>
      </c>
      <c r="T16" s="974" t="e">
        <f>IF($F16="","",$F16*chronic_consumption!O16/1000/$C$3)</f>
        <v>#DIV/0!</v>
      </c>
      <c r="U16" s="974" t="e">
        <f>IF($F16="","",$F16*chronic_consumption!P16/1000/$C$3)</f>
        <v>#DIV/0!</v>
      </c>
      <c r="V16" s="974" t="e">
        <f>IF($F16="","",$F16*chronic_consumption!Q16/1000/$C$3)</f>
        <v>#DIV/0!</v>
      </c>
      <c r="W16" s="974" t="e">
        <f>IF($F16="","",$F16*chronic_consumption!R16/1000/$C$3)</f>
        <v>#DIV/0!</v>
      </c>
      <c r="X16" s="974" t="e">
        <f>IF($F16="","",$F16*chronic_consumption!S16/1000/$C$3)</f>
        <v>#DIV/0!</v>
      </c>
      <c r="Y16" s="974" t="e">
        <f>IF($F16="","",$F16*chronic_consumption!T16/1000/$C$3)</f>
        <v>#DIV/0!</v>
      </c>
      <c r="Z16" s="974" t="e">
        <f>IF($F16="","",$F16*chronic_consumption!U16/1000/$C$3)</f>
        <v>#DIV/0!</v>
      </c>
      <c r="AA16" s="974" t="e">
        <f>IF($F16="","",$F16*chronic_consumption!V16/1000/$C$3)</f>
        <v>#DIV/0!</v>
      </c>
      <c r="AB16" s="974" t="e">
        <f>IF($F16="","",$F16*chronic_consumption!W16/1000/$C$3)</f>
        <v>#DIV/0!</v>
      </c>
      <c r="AC16" s="974" t="e">
        <f>IF($F16="","",$F16*chronic_consumption!X16/1000/$C$3)</f>
        <v>#DIV/0!</v>
      </c>
      <c r="AD16" s="974" t="e">
        <f>IF($F16="","",$F16*chronic_consumption!Y16/1000/$C$3)</f>
        <v>#DIV/0!</v>
      </c>
      <c r="AE16" s="974" t="e">
        <f>IF($F16="","",$F16*chronic_consumption!Z16/1000/$C$3)</f>
        <v>#DIV/0!</v>
      </c>
      <c r="AF16" s="974" t="e">
        <f>IF($F16="","",$F16*chronic_consumption!AA16/1000/$C$3)</f>
        <v>#DIV/0!</v>
      </c>
      <c r="AG16" s="974" t="e">
        <f>IF($F16="","",$F16*chronic_consumption!AB16/1000/$C$3)</f>
        <v>#DIV/0!</v>
      </c>
      <c r="AH16" s="974" t="e">
        <f>IF($F16="","",$F16*chronic_consumption!AC16/1000/$C$3)</f>
        <v>#DIV/0!</v>
      </c>
      <c r="AI16" s="974" t="e">
        <f>IF($F16="","",$F16*chronic_consumption!AD16/1000/$C$3)</f>
        <v>#DIV/0!</v>
      </c>
      <c r="AJ16" s="974" t="e">
        <f>IF($F16="","",$F16*chronic_consumption!AE16/1000/$C$3)</f>
        <v>#DIV/0!</v>
      </c>
      <c r="AK16" s="974" t="e">
        <f>IF($F16="","",$F16*chronic_consumption!AF16/1000/$C$3)</f>
        <v>#DIV/0!</v>
      </c>
      <c r="AL16" s="974" t="e">
        <f>IF($F16="","",$F16*chronic_consumption!AG16/1000/$C$3)</f>
        <v>#DIV/0!</v>
      </c>
      <c r="AM16" s="974" t="e">
        <f>IF($F16="","",$F16*chronic_consumption!AH16/1000/$C$3)</f>
        <v>#DIV/0!</v>
      </c>
      <c r="AN16" s="974" t="e">
        <f>IF($F16="","",$F16*chronic_consumption!AI16/1000/$C$3)</f>
        <v>#DIV/0!</v>
      </c>
      <c r="AO16" s="974" t="e">
        <f>IF($F16="","",$F16*chronic_consumption!AJ16/1000/$C$3)</f>
        <v>#DIV/0!</v>
      </c>
      <c r="AP16" s="974" t="e">
        <f>IF($F16="","",$F16*chronic_consumption!AK16/1000/$C$3)</f>
        <v>#DIV/0!</v>
      </c>
      <c r="AQ16" s="974" t="e">
        <f>IF($F16="","",$F16*chronic_consumption!AL16/1000/$C$3)</f>
        <v>#DIV/0!</v>
      </c>
      <c r="AR16" s="974" t="e">
        <f>IF($F16="","",$F16*chronic_consumption!AM16/1000/$C$3)</f>
        <v>#DIV/0!</v>
      </c>
      <c r="AS16" s="974" t="e">
        <f>IF($F16="","",$F16*chronic_consumption!AN16/1000/$C$3)</f>
        <v>#DIV/0!</v>
      </c>
      <c r="AT16" s="974" t="e">
        <f>IF($F16="","",$F16*chronic_consumption!AO16/1000/$C$3)</f>
        <v>#DIV/0!</v>
      </c>
      <c r="AU16" s="974"/>
      <c r="AV16" s="974" t="e">
        <f>IF($F16="","",$F16*chronic_consumption!AQ16/1000/$C$3)</f>
        <v>#DIV/0!</v>
      </c>
      <c r="AW16" s="974" t="e">
        <f>IF($F16="","",$F16*chronic_consumption!AR16/1000/$C$3)</f>
        <v>#DIV/0!</v>
      </c>
      <c r="AX16" s="974" t="e">
        <f>IF($F16="","",$F16*chronic_consumption!AS16/1000/$C$3)</f>
        <v>#DIV/0!</v>
      </c>
      <c r="AY16" s="974" t="e">
        <f>IF($F16="","",$F16*chronic_consumption!AT16/1000/$C$3)</f>
        <v>#DIV/0!</v>
      </c>
      <c r="AZ16" s="973" t="s">
        <v>19</v>
      </c>
      <c r="BA16" s="969" t="e">
        <f t="shared" si="7"/>
        <v>#DIV/0!</v>
      </c>
      <c r="BB16" s="970" t="e">
        <f t="shared" si="8"/>
        <v>#DIV/0!</v>
      </c>
      <c r="BC16" s="971" t="e">
        <f t="shared" ca="1" si="9"/>
        <v>#DIV/0!</v>
      </c>
      <c r="BD16" s="228">
        <f>input_values!Z16</f>
        <v>4</v>
      </c>
      <c r="BE16" s="152">
        <f>input_values!L16</f>
        <v>0</v>
      </c>
      <c r="BF16" s="972" t="str">
        <f t="shared" si="10"/>
        <v/>
      </c>
    </row>
    <row r="17" spans="1:58" ht="12" customHeight="1" outlineLevel="3" x14ac:dyDescent="0.2">
      <c r="A17" s="21">
        <v>4</v>
      </c>
      <c r="B17" s="23">
        <v>110040</v>
      </c>
      <c r="C17" s="23" t="s">
        <v>4</v>
      </c>
      <c r="D17" s="965">
        <f>Table22[[#This Row],[MRL individual commodity]]</f>
        <v>0</v>
      </c>
      <c r="E17" s="300" t="str">
        <f>Table22[[#This Row],[LOQ_label]]</f>
        <v/>
      </c>
      <c r="F17" s="966">
        <f>Table22[[#This Row],[Chronic RA input value]]</f>
        <v>0</v>
      </c>
      <c r="G17" s="304" t="str">
        <f>Table22[[#This Row],[Chronic RA label]]</f>
        <v/>
      </c>
      <c r="H17" s="304">
        <f>Table22[[#This Row],[GAP under assessment]]</f>
        <v>0</v>
      </c>
      <c r="I17" s="1123"/>
      <c r="J17" s="974" t="e">
        <f>IF($F17="","",$F17*chronic_consumption!$E17/1000/$C$3)</f>
        <v>#DIV/0!</v>
      </c>
      <c r="K17" s="974" t="e">
        <f>IF($F17="","",$F17*chronic_consumption!F17/1000/$C$3)</f>
        <v>#DIV/0!</v>
      </c>
      <c r="L17" s="974" t="e">
        <f>IF($F17="","",$F17*chronic_consumption!G17/1000/$C$3)</f>
        <v>#DIV/0!</v>
      </c>
      <c r="M17" s="974" t="e">
        <f>IF($F17="","",$F17*chronic_consumption!H17/1000/$C$3)</f>
        <v>#DIV/0!</v>
      </c>
      <c r="N17" s="974" t="e">
        <f>IF($F17="","",$F17*chronic_consumption!I17/1000/$C$3)</f>
        <v>#DIV/0!</v>
      </c>
      <c r="O17" s="974" t="e">
        <f>IF($F17="","",$F17*chronic_consumption!J17/1000/$C$3)</f>
        <v>#DIV/0!</v>
      </c>
      <c r="P17" s="974" t="e">
        <f>IF($F17="","",$F17*chronic_consumption!K17/1000/$C$3)</f>
        <v>#DIV/0!</v>
      </c>
      <c r="Q17" s="974" t="e">
        <f>IF($F17="","",$F17*chronic_consumption!L17/1000/$C$3)</f>
        <v>#DIV/0!</v>
      </c>
      <c r="R17" s="974" t="e">
        <f>IF($F17="","",$F17*chronic_consumption!M17/1000/$C$3)</f>
        <v>#DIV/0!</v>
      </c>
      <c r="S17" s="974" t="e">
        <f>IF($F17="","",$F17*chronic_consumption!N17/1000/$C$3)</f>
        <v>#DIV/0!</v>
      </c>
      <c r="T17" s="974" t="e">
        <f>IF($F17="","",$F17*chronic_consumption!O17/1000/$C$3)</f>
        <v>#DIV/0!</v>
      </c>
      <c r="U17" s="974" t="e">
        <f>IF($F17="","",$F17*chronic_consumption!P17/1000/$C$3)</f>
        <v>#DIV/0!</v>
      </c>
      <c r="V17" s="974" t="e">
        <f>IF($F17="","",$F17*chronic_consumption!Q17/1000/$C$3)</f>
        <v>#DIV/0!</v>
      </c>
      <c r="W17" s="974" t="e">
        <f>IF($F17="","",$F17*chronic_consumption!R17/1000/$C$3)</f>
        <v>#DIV/0!</v>
      </c>
      <c r="X17" s="974" t="e">
        <f>IF($F17="","",$F17*chronic_consumption!S17/1000/$C$3)</f>
        <v>#DIV/0!</v>
      </c>
      <c r="Y17" s="974" t="e">
        <f>IF($F17="","",$F17*chronic_consumption!T17/1000/$C$3)</f>
        <v>#DIV/0!</v>
      </c>
      <c r="Z17" s="974" t="e">
        <f>IF($F17="","",$F17*chronic_consumption!U17/1000/$C$3)</f>
        <v>#DIV/0!</v>
      </c>
      <c r="AA17" s="974" t="e">
        <f>IF($F17="","",$F17*chronic_consumption!V17/1000/$C$3)</f>
        <v>#DIV/0!</v>
      </c>
      <c r="AB17" s="974" t="e">
        <f>IF($F17="","",$F17*chronic_consumption!W17/1000/$C$3)</f>
        <v>#DIV/0!</v>
      </c>
      <c r="AC17" s="974" t="e">
        <f>IF($F17="","",$F17*chronic_consumption!X17/1000/$C$3)</f>
        <v>#DIV/0!</v>
      </c>
      <c r="AD17" s="974" t="e">
        <f>IF($F17="","",$F17*chronic_consumption!Y17/1000/$C$3)</f>
        <v>#DIV/0!</v>
      </c>
      <c r="AE17" s="974" t="e">
        <f>IF($F17="","",$F17*chronic_consumption!Z17/1000/$C$3)</f>
        <v>#DIV/0!</v>
      </c>
      <c r="AF17" s="974" t="e">
        <f>IF($F17="","",$F17*chronic_consumption!AA17/1000/$C$3)</f>
        <v>#DIV/0!</v>
      </c>
      <c r="AG17" s="974" t="e">
        <f>IF($F17="","",$F17*chronic_consumption!AB17/1000/$C$3)</f>
        <v>#DIV/0!</v>
      </c>
      <c r="AH17" s="974" t="e">
        <f>IF($F17="","",$F17*chronic_consumption!AC17/1000/$C$3)</f>
        <v>#DIV/0!</v>
      </c>
      <c r="AI17" s="974" t="e">
        <f>IF($F17="","",$F17*chronic_consumption!AD17/1000/$C$3)</f>
        <v>#DIV/0!</v>
      </c>
      <c r="AJ17" s="974" t="e">
        <f>IF($F17="","",$F17*chronic_consumption!AE17/1000/$C$3)</f>
        <v>#DIV/0!</v>
      </c>
      <c r="AK17" s="974" t="e">
        <f>IF($F17="","",$F17*chronic_consumption!AF17/1000/$C$3)</f>
        <v>#DIV/0!</v>
      </c>
      <c r="AL17" s="974" t="e">
        <f>IF($F17="","",$F17*chronic_consumption!AG17/1000/$C$3)</f>
        <v>#DIV/0!</v>
      </c>
      <c r="AM17" s="974" t="e">
        <f>IF($F17="","",$F17*chronic_consumption!AH17/1000/$C$3)</f>
        <v>#DIV/0!</v>
      </c>
      <c r="AN17" s="974" t="e">
        <f>IF($F17="","",$F17*chronic_consumption!AI17/1000/$C$3)</f>
        <v>#DIV/0!</v>
      </c>
      <c r="AO17" s="974" t="e">
        <f>IF($F17="","",$F17*chronic_consumption!AJ17/1000/$C$3)</f>
        <v>#DIV/0!</v>
      </c>
      <c r="AP17" s="974" t="e">
        <f>IF($F17="","",$F17*chronic_consumption!AK17/1000/$C$3)</f>
        <v>#DIV/0!</v>
      </c>
      <c r="AQ17" s="974" t="e">
        <f>IF($F17="","",$F17*chronic_consumption!AL17/1000/$C$3)</f>
        <v>#DIV/0!</v>
      </c>
      <c r="AR17" s="974" t="e">
        <f>IF($F17="","",$F17*chronic_consumption!AM17/1000/$C$3)</f>
        <v>#DIV/0!</v>
      </c>
      <c r="AS17" s="974" t="e">
        <f>IF($F17="","",$F17*chronic_consumption!AN17/1000/$C$3)</f>
        <v>#DIV/0!</v>
      </c>
      <c r="AT17" s="974" t="e">
        <f>IF($F17="","",$F17*chronic_consumption!AO17/1000/$C$3)</f>
        <v>#DIV/0!</v>
      </c>
      <c r="AU17" s="974"/>
      <c r="AV17" s="974" t="e">
        <f>IF($F17="","",$F17*chronic_consumption!AQ17/1000/$C$3)</f>
        <v>#DIV/0!</v>
      </c>
      <c r="AW17" s="974" t="e">
        <f>IF($F17="","",$F17*chronic_consumption!AR17/1000/$C$3)</f>
        <v>#DIV/0!</v>
      </c>
      <c r="AX17" s="974" t="e">
        <f>IF($F17="","",$F17*chronic_consumption!AS17/1000/$C$3)</f>
        <v>#DIV/0!</v>
      </c>
      <c r="AY17" s="974" t="e">
        <f>IF($F17="","",$F17*chronic_consumption!AT17/1000/$C$3)</f>
        <v>#DIV/0!</v>
      </c>
      <c r="AZ17" s="973" t="s">
        <v>19</v>
      </c>
      <c r="BA17" s="969" t="e">
        <f t="shared" si="7"/>
        <v>#DIV/0!</v>
      </c>
      <c r="BB17" s="970" t="e">
        <f t="shared" si="8"/>
        <v>#DIV/0!</v>
      </c>
      <c r="BC17" s="971" t="e">
        <f t="shared" ca="1" si="9"/>
        <v>#DIV/0!</v>
      </c>
      <c r="BD17" s="228">
        <f>input_values!Z17</f>
        <v>4</v>
      </c>
      <c r="BE17" s="152">
        <f>input_values!L17</f>
        <v>0</v>
      </c>
      <c r="BF17" s="972" t="str">
        <f t="shared" si="10"/>
        <v/>
      </c>
    </row>
    <row r="18" spans="1:58" ht="12" customHeight="1" outlineLevel="3" x14ac:dyDescent="0.2">
      <c r="A18" s="21">
        <v>4</v>
      </c>
      <c r="B18" s="23">
        <v>110050</v>
      </c>
      <c r="C18" s="23" t="s">
        <v>5</v>
      </c>
      <c r="D18" s="965">
        <f>Table22[[#This Row],[MRL individual commodity]]</f>
        <v>0</v>
      </c>
      <c r="E18" s="300" t="str">
        <f>Table22[[#This Row],[LOQ_label]]</f>
        <v/>
      </c>
      <c r="F18" s="966">
        <f>Table22[[#This Row],[Chronic RA input value]]</f>
        <v>0</v>
      </c>
      <c r="G18" s="304" t="str">
        <f>Table22[[#This Row],[Chronic RA label]]</f>
        <v/>
      </c>
      <c r="H18" s="304">
        <f>Table22[[#This Row],[GAP under assessment]]</f>
        <v>0</v>
      </c>
      <c r="I18" s="1123"/>
      <c r="J18" s="974" t="e">
        <f>IF($F18="","",$F18*chronic_consumption!$E18/1000/$C$3)</f>
        <v>#DIV/0!</v>
      </c>
      <c r="K18" s="974" t="e">
        <f>IF($F18="","",$F18*chronic_consumption!F18/1000/$C$3)</f>
        <v>#DIV/0!</v>
      </c>
      <c r="L18" s="974" t="e">
        <f>IF($F18="","",$F18*chronic_consumption!G18/1000/$C$3)</f>
        <v>#DIV/0!</v>
      </c>
      <c r="M18" s="974" t="e">
        <f>IF($F18="","",$F18*chronic_consumption!H18/1000/$C$3)</f>
        <v>#DIV/0!</v>
      </c>
      <c r="N18" s="974" t="e">
        <f>IF($F18="","",$F18*chronic_consumption!I18/1000/$C$3)</f>
        <v>#DIV/0!</v>
      </c>
      <c r="O18" s="974" t="e">
        <f>IF($F18="","",$F18*chronic_consumption!J18/1000/$C$3)</f>
        <v>#DIV/0!</v>
      </c>
      <c r="P18" s="974" t="e">
        <f>IF($F18="","",$F18*chronic_consumption!K18/1000/$C$3)</f>
        <v>#DIV/0!</v>
      </c>
      <c r="Q18" s="974" t="e">
        <f>IF($F18="","",$F18*chronic_consumption!L18/1000/$C$3)</f>
        <v>#DIV/0!</v>
      </c>
      <c r="R18" s="974" t="e">
        <f>IF($F18="","",$F18*chronic_consumption!M18/1000/$C$3)</f>
        <v>#DIV/0!</v>
      </c>
      <c r="S18" s="974" t="e">
        <f>IF($F18="","",$F18*chronic_consumption!N18/1000/$C$3)</f>
        <v>#DIV/0!</v>
      </c>
      <c r="T18" s="974" t="e">
        <f>IF($F18="","",$F18*chronic_consumption!O18/1000/$C$3)</f>
        <v>#DIV/0!</v>
      </c>
      <c r="U18" s="974" t="e">
        <f>IF($F18="","",$F18*chronic_consumption!P18/1000/$C$3)</f>
        <v>#DIV/0!</v>
      </c>
      <c r="V18" s="974" t="e">
        <f>IF($F18="","",$F18*chronic_consumption!Q18/1000/$C$3)</f>
        <v>#DIV/0!</v>
      </c>
      <c r="W18" s="974" t="e">
        <f>IF($F18="","",$F18*chronic_consumption!R18/1000/$C$3)</f>
        <v>#DIV/0!</v>
      </c>
      <c r="X18" s="974" t="e">
        <f>IF($F18="","",$F18*chronic_consumption!S18/1000/$C$3)</f>
        <v>#DIV/0!</v>
      </c>
      <c r="Y18" s="974" t="e">
        <f>IF($F18="","",$F18*chronic_consumption!T18/1000/$C$3)</f>
        <v>#DIV/0!</v>
      </c>
      <c r="Z18" s="974" t="e">
        <f>IF($F18="","",$F18*chronic_consumption!U18/1000/$C$3)</f>
        <v>#DIV/0!</v>
      </c>
      <c r="AA18" s="974" t="e">
        <f>IF($F18="","",$F18*chronic_consumption!V18/1000/$C$3)</f>
        <v>#DIV/0!</v>
      </c>
      <c r="AB18" s="974" t="e">
        <f>IF($F18="","",$F18*chronic_consumption!W18/1000/$C$3)</f>
        <v>#DIV/0!</v>
      </c>
      <c r="AC18" s="974" t="e">
        <f>IF($F18="","",$F18*chronic_consumption!X18/1000/$C$3)</f>
        <v>#DIV/0!</v>
      </c>
      <c r="AD18" s="974" t="e">
        <f>IF($F18="","",$F18*chronic_consumption!Y18/1000/$C$3)</f>
        <v>#DIV/0!</v>
      </c>
      <c r="AE18" s="974" t="e">
        <f>IF($F18="","",$F18*chronic_consumption!Z18/1000/$C$3)</f>
        <v>#DIV/0!</v>
      </c>
      <c r="AF18" s="974" t="e">
        <f>IF($F18="","",$F18*chronic_consumption!AA18/1000/$C$3)</f>
        <v>#DIV/0!</v>
      </c>
      <c r="AG18" s="974" t="e">
        <f>IF($F18="","",$F18*chronic_consumption!AB18/1000/$C$3)</f>
        <v>#DIV/0!</v>
      </c>
      <c r="AH18" s="974" t="e">
        <f>IF($F18="","",$F18*chronic_consumption!AC18/1000/$C$3)</f>
        <v>#DIV/0!</v>
      </c>
      <c r="AI18" s="974" t="e">
        <f>IF($F18="","",$F18*chronic_consumption!AD18/1000/$C$3)</f>
        <v>#DIV/0!</v>
      </c>
      <c r="AJ18" s="974" t="e">
        <f>IF($F18="","",$F18*chronic_consumption!AE18/1000/$C$3)</f>
        <v>#DIV/0!</v>
      </c>
      <c r="AK18" s="974" t="e">
        <f>IF($F18="","",$F18*chronic_consumption!AF18/1000/$C$3)</f>
        <v>#DIV/0!</v>
      </c>
      <c r="AL18" s="974" t="e">
        <f>IF($F18="","",$F18*chronic_consumption!AG18/1000/$C$3)</f>
        <v>#DIV/0!</v>
      </c>
      <c r="AM18" s="974" t="e">
        <f>IF($F18="","",$F18*chronic_consumption!AH18/1000/$C$3)</f>
        <v>#DIV/0!</v>
      </c>
      <c r="AN18" s="974" t="e">
        <f>IF($F18="","",$F18*chronic_consumption!AI18/1000/$C$3)</f>
        <v>#DIV/0!</v>
      </c>
      <c r="AO18" s="974" t="e">
        <f>IF($F18="","",$F18*chronic_consumption!AJ18/1000/$C$3)</f>
        <v>#DIV/0!</v>
      </c>
      <c r="AP18" s="974" t="e">
        <f>IF($F18="","",$F18*chronic_consumption!AK18/1000/$C$3)</f>
        <v>#DIV/0!</v>
      </c>
      <c r="AQ18" s="974" t="e">
        <f>IF($F18="","",$F18*chronic_consumption!AL18/1000/$C$3)</f>
        <v>#DIV/0!</v>
      </c>
      <c r="AR18" s="974" t="e">
        <f>IF($F18="","",$F18*chronic_consumption!AM18/1000/$C$3)</f>
        <v>#DIV/0!</v>
      </c>
      <c r="AS18" s="974" t="e">
        <f>IF($F18="","",$F18*chronic_consumption!AN18/1000/$C$3)</f>
        <v>#DIV/0!</v>
      </c>
      <c r="AT18" s="974" t="e">
        <f>IF($F18="","",$F18*chronic_consumption!AO18/1000/$C$3)</f>
        <v>#DIV/0!</v>
      </c>
      <c r="AU18" s="974"/>
      <c r="AV18" s="974" t="e">
        <f>IF($F18="","",$F18*chronic_consumption!AQ18/1000/$C$3)</f>
        <v>#DIV/0!</v>
      </c>
      <c r="AW18" s="974" t="e">
        <f>IF($F18="","",$F18*chronic_consumption!AR18/1000/$C$3)</f>
        <v>#DIV/0!</v>
      </c>
      <c r="AX18" s="974" t="e">
        <f>IF($F18="","",$F18*chronic_consumption!AS18/1000/$C$3)</f>
        <v>#DIV/0!</v>
      </c>
      <c r="AY18" s="974" t="e">
        <f>IF($F18="","",$F18*chronic_consumption!AT18/1000/$C$3)</f>
        <v>#DIV/0!</v>
      </c>
      <c r="AZ18" s="973" t="s">
        <v>19</v>
      </c>
      <c r="BA18" s="969" t="e">
        <f t="shared" si="7"/>
        <v>#DIV/0!</v>
      </c>
      <c r="BB18" s="970" t="e">
        <f t="shared" si="8"/>
        <v>#DIV/0!</v>
      </c>
      <c r="BC18" s="971" t="e">
        <f t="shared" ca="1" si="9"/>
        <v>#DIV/0!</v>
      </c>
      <c r="BD18" s="228">
        <f>input_values!Z18</f>
        <v>4</v>
      </c>
      <c r="BE18" s="152">
        <f>input_values!L18</f>
        <v>0</v>
      </c>
      <c r="BF18" s="972" t="str">
        <f t="shared" si="10"/>
        <v/>
      </c>
    </row>
    <row r="19" spans="1:58" ht="12" customHeight="1" outlineLevel="3" x14ac:dyDescent="0.2">
      <c r="A19" s="21">
        <v>4</v>
      </c>
      <c r="B19" s="23">
        <v>110990</v>
      </c>
      <c r="C19" s="23" t="s">
        <v>47</v>
      </c>
      <c r="D19" s="965">
        <f>Table22[[#This Row],[MRL individual commodity]]</f>
        <v>0</v>
      </c>
      <c r="E19" s="300" t="str">
        <f>Table22[[#This Row],[LOQ_label]]</f>
        <v/>
      </c>
      <c r="F19" s="966">
        <f>Table22[[#This Row],[Chronic RA input value]]</f>
        <v>0</v>
      </c>
      <c r="G19" s="304" t="str">
        <f>Table22[[#This Row],[Chronic RA label]]</f>
        <v/>
      </c>
      <c r="H19" s="304">
        <f>Table22[[#This Row],[GAP under assessment]]</f>
        <v>0</v>
      </c>
      <c r="I19" s="1123"/>
      <c r="J19" s="974" t="e">
        <f>IF($F19="","",$F19*chronic_consumption!$E19/1000/$C$3)</f>
        <v>#DIV/0!</v>
      </c>
      <c r="K19" s="974" t="e">
        <f>IF($F19="","",$F19*chronic_consumption!F19/1000/$C$3)</f>
        <v>#DIV/0!</v>
      </c>
      <c r="L19" s="974" t="e">
        <f>IF($F19="","",$F19*chronic_consumption!G19/1000/$C$3)</f>
        <v>#DIV/0!</v>
      </c>
      <c r="M19" s="974" t="e">
        <f>IF($F19="","",$F19*chronic_consumption!H19/1000/$C$3)</f>
        <v>#DIV/0!</v>
      </c>
      <c r="N19" s="974" t="e">
        <f>IF($F19="","",$F19*chronic_consumption!I19/1000/$C$3)</f>
        <v>#DIV/0!</v>
      </c>
      <c r="O19" s="974" t="e">
        <f>IF($F19="","",$F19*chronic_consumption!J19/1000/$C$3)</f>
        <v>#DIV/0!</v>
      </c>
      <c r="P19" s="974" t="e">
        <f>IF($F19="","",$F19*chronic_consumption!K19/1000/$C$3)</f>
        <v>#DIV/0!</v>
      </c>
      <c r="Q19" s="974" t="e">
        <f>IF($F19="","",$F19*chronic_consumption!L19/1000/$C$3)</f>
        <v>#DIV/0!</v>
      </c>
      <c r="R19" s="974" t="e">
        <f>IF($F19="","",$F19*chronic_consumption!M19/1000/$C$3)</f>
        <v>#DIV/0!</v>
      </c>
      <c r="S19" s="974" t="e">
        <f>IF($F19="","",$F19*chronic_consumption!N19/1000/$C$3)</f>
        <v>#DIV/0!</v>
      </c>
      <c r="T19" s="974" t="e">
        <f>IF($F19="","",$F19*chronic_consumption!O19/1000/$C$3)</f>
        <v>#DIV/0!</v>
      </c>
      <c r="U19" s="974" t="e">
        <f>IF($F19="","",$F19*chronic_consumption!P19/1000/$C$3)</f>
        <v>#DIV/0!</v>
      </c>
      <c r="V19" s="974" t="e">
        <f>IF($F19="","",$F19*chronic_consumption!Q19/1000/$C$3)</f>
        <v>#DIV/0!</v>
      </c>
      <c r="W19" s="974" t="e">
        <f>IF($F19="","",$F19*chronic_consumption!R19/1000/$C$3)</f>
        <v>#DIV/0!</v>
      </c>
      <c r="X19" s="974" t="e">
        <f>IF($F19="","",$F19*chronic_consumption!S19/1000/$C$3)</f>
        <v>#DIV/0!</v>
      </c>
      <c r="Y19" s="974" t="e">
        <f>IF($F19="","",$F19*chronic_consumption!T19/1000/$C$3)</f>
        <v>#DIV/0!</v>
      </c>
      <c r="Z19" s="974" t="e">
        <f>IF($F19="","",$F19*chronic_consumption!U19/1000/$C$3)</f>
        <v>#DIV/0!</v>
      </c>
      <c r="AA19" s="974" t="e">
        <f>IF($F19="","",$F19*chronic_consumption!V19/1000/$C$3)</f>
        <v>#DIV/0!</v>
      </c>
      <c r="AB19" s="974" t="e">
        <f>IF($F19="","",$F19*chronic_consumption!W19/1000/$C$3)</f>
        <v>#DIV/0!</v>
      </c>
      <c r="AC19" s="974" t="e">
        <f>IF($F19="","",$F19*chronic_consumption!X19/1000/$C$3)</f>
        <v>#DIV/0!</v>
      </c>
      <c r="AD19" s="974" t="e">
        <f>IF($F19="","",$F19*chronic_consumption!Y19/1000/$C$3)</f>
        <v>#DIV/0!</v>
      </c>
      <c r="AE19" s="974" t="e">
        <f>IF($F19="","",$F19*chronic_consumption!Z19/1000/$C$3)</f>
        <v>#DIV/0!</v>
      </c>
      <c r="AF19" s="974" t="e">
        <f>IF($F19="","",$F19*chronic_consumption!AA19/1000/$C$3)</f>
        <v>#DIV/0!</v>
      </c>
      <c r="AG19" s="974" t="e">
        <f>IF($F19="","",$F19*chronic_consumption!AB19/1000/$C$3)</f>
        <v>#DIV/0!</v>
      </c>
      <c r="AH19" s="974" t="e">
        <f>IF($F19="","",$F19*chronic_consumption!AC19/1000/$C$3)</f>
        <v>#DIV/0!</v>
      </c>
      <c r="AI19" s="974" t="e">
        <f>IF($F19="","",$F19*chronic_consumption!AD19/1000/$C$3)</f>
        <v>#DIV/0!</v>
      </c>
      <c r="AJ19" s="974" t="e">
        <f>IF($F19="","",$F19*chronic_consumption!AE19/1000/$C$3)</f>
        <v>#DIV/0!</v>
      </c>
      <c r="AK19" s="974" t="e">
        <f>IF($F19="","",$F19*chronic_consumption!AF19/1000/$C$3)</f>
        <v>#DIV/0!</v>
      </c>
      <c r="AL19" s="974" t="e">
        <f>IF($F19="","",$F19*chronic_consumption!AG19/1000/$C$3)</f>
        <v>#DIV/0!</v>
      </c>
      <c r="AM19" s="974" t="e">
        <f>IF($F19="","",$F19*chronic_consumption!AH19/1000/$C$3)</f>
        <v>#DIV/0!</v>
      </c>
      <c r="AN19" s="974" t="e">
        <f>IF($F19="","",$F19*chronic_consumption!AI19/1000/$C$3)</f>
        <v>#DIV/0!</v>
      </c>
      <c r="AO19" s="974" t="e">
        <f>IF($F19="","",$F19*chronic_consumption!AJ19/1000/$C$3)</f>
        <v>#DIV/0!</v>
      </c>
      <c r="AP19" s="974" t="e">
        <f>IF($F19="","",$F19*chronic_consumption!AK19/1000/$C$3)</f>
        <v>#DIV/0!</v>
      </c>
      <c r="AQ19" s="974" t="e">
        <f>IF($F19="","",$F19*chronic_consumption!AL19/1000/$C$3)</f>
        <v>#DIV/0!</v>
      </c>
      <c r="AR19" s="974" t="e">
        <f>IF($F19="","",$F19*chronic_consumption!AM19/1000/$C$3)</f>
        <v>#DIV/0!</v>
      </c>
      <c r="AS19" s="974" t="e">
        <f>IF($F19="","",$F19*chronic_consumption!AN19/1000/$C$3)</f>
        <v>#DIV/0!</v>
      </c>
      <c r="AT19" s="974" t="e">
        <f>IF($F19="","",$F19*chronic_consumption!AO19/1000/$C$3)</f>
        <v>#DIV/0!</v>
      </c>
      <c r="AU19" s="974"/>
      <c r="AV19" s="974" t="e">
        <f>IF($F19="","",$F19*chronic_consumption!AQ19/1000/$C$3)</f>
        <v>#DIV/0!</v>
      </c>
      <c r="AW19" s="974" t="e">
        <f>IF($F19="","",$F19*chronic_consumption!AR19/1000/$C$3)</f>
        <v>#DIV/0!</v>
      </c>
      <c r="AX19" s="974" t="e">
        <f>IF($F19="","",$F19*chronic_consumption!AS19/1000/$C$3)</f>
        <v>#DIV/0!</v>
      </c>
      <c r="AY19" s="974" t="e">
        <f>IF($F19="","",$F19*chronic_consumption!AT19/1000/$C$3)</f>
        <v>#DIV/0!</v>
      </c>
      <c r="AZ19" s="973" t="s">
        <v>19</v>
      </c>
      <c r="BA19" s="969" t="e">
        <f t="shared" si="7"/>
        <v>#DIV/0!</v>
      </c>
      <c r="BB19" s="970" t="e">
        <f t="shared" si="8"/>
        <v>#DIV/0!</v>
      </c>
      <c r="BC19" s="971" t="e">
        <f t="shared" ca="1" si="9"/>
        <v>#DIV/0!</v>
      </c>
      <c r="BD19" s="228">
        <f>input_values!Z19</f>
        <v>4</v>
      </c>
      <c r="BE19" s="152">
        <f>input_values!L19</f>
        <v>0</v>
      </c>
      <c r="BF19" s="972" t="str">
        <f t="shared" si="10"/>
        <v/>
      </c>
    </row>
    <row r="20" spans="1:58" ht="12" customHeight="1" outlineLevel="1" x14ac:dyDescent="0.2">
      <c r="A20" s="314">
        <v>2</v>
      </c>
      <c r="B20" s="131">
        <v>120000</v>
      </c>
      <c r="C20" s="131" t="s">
        <v>352</v>
      </c>
      <c r="D20" s="965">
        <f>Table22[[#This Row],[MRL individual commodity]]</f>
        <v>0</v>
      </c>
      <c r="E20" s="300">
        <f>Table22[[#This Row],[LOQ_label]]</f>
        <v>0</v>
      </c>
      <c r="F20" s="966">
        <f>Table22[[#This Row],[Chronic RA input value]]</f>
        <v>0</v>
      </c>
      <c r="G20" s="304">
        <f>Table22[[#This Row],[Chronic RA label]]</f>
        <v>0</v>
      </c>
      <c r="H20" s="304">
        <f>Table22[[#This Row],[GAP under assessment]]</f>
        <v>0</v>
      </c>
      <c r="I20" s="1123"/>
      <c r="J20" s="967" t="e">
        <f>IF($F20="","",$F20*chronic_consumption!$E20/1000/$C$3)</f>
        <v>#DIV/0!</v>
      </c>
      <c r="K20" s="967" t="e">
        <f>IF($F20="","",$F20*chronic_consumption!F20/1000/$C$3)</f>
        <v>#DIV/0!</v>
      </c>
      <c r="L20" s="967" t="e">
        <f>IF($F20="","",$F20*chronic_consumption!G20/1000/$C$3)</f>
        <v>#DIV/0!</v>
      </c>
      <c r="M20" s="967" t="e">
        <f>IF($F20="","",$F20*chronic_consumption!H20/1000/$C$3)</f>
        <v>#DIV/0!</v>
      </c>
      <c r="N20" s="967" t="e">
        <f>IF($F20="","",$F20*chronic_consumption!I20/1000/$C$3)</f>
        <v>#DIV/0!</v>
      </c>
      <c r="O20" s="967" t="e">
        <f>IF($F20="","",$F20*chronic_consumption!J20/1000/$C$3)</f>
        <v>#DIV/0!</v>
      </c>
      <c r="P20" s="967" t="e">
        <f>IF($F20="","",$F20*chronic_consumption!K20/1000/$C$3)</f>
        <v>#DIV/0!</v>
      </c>
      <c r="Q20" s="967" t="e">
        <f>IF($F20="","",$F20*chronic_consumption!L20/1000/$C$3)</f>
        <v>#DIV/0!</v>
      </c>
      <c r="R20" s="967" t="e">
        <f>IF($F20="","",$F20*chronic_consumption!M20/1000/$C$3)</f>
        <v>#DIV/0!</v>
      </c>
      <c r="S20" s="967" t="e">
        <f>IF($F20="","",$F20*chronic_consumption!N20/1000/$C$3)</f>
        <v>#DIV/0!</v>
      </c>
      <c r="T20" s="967" t="e">
        <f>IF($F20="","",$F20*chronic_consumption!O20/1000/$C$3)</f>
        <v>#DIV/0!</v>
      </c>
      <c r="U20" s="967" t="e">
        <f>IF($F20="","",$F20*chronic_consumption!P20/1000/$C$3)</f>
        <v>#DIV/0!</v>
      </c>
      <c r="V20" s="967" t="e">
        <f>IF($F20="","",$F20*chronic_consumption!Q20/1000/$C$3)</f>
        <v>#DIV/0!</v>
      </c>
      <c r="W20" s="967" t="e">
        <f>IF($F20="","",$F20*chronic_consumption!R20/1000/$C$3)</f>
        <v>#DIV/0!</v>
      </c>
      <c r="X20" s="967" t="e">
        <f>IF($F20="","",$F20*chronic_consumption!S20/1000/$C$3)</f>
        <v>#DIV/0!</v>
      </c>
      <c r="Y20" s="967" t="e">
        <f>IF($F20="","",$F20*chronic_consumption!T20/1000/$C$3)</f>
        <v>#DIV/0!</v>
      </c>
      <c r="Z20" s="967" t="e">
        <f>IF($F20="","",$F20*chronic_consumption!U20/1000/$C$3)</f>
        <v>#DIV/0!</v>
      </c>
      <c r="AA20" s="967" t="e">
        <f>IF($F20="","",$F20*chronic_consumption!V20/1000/$C$3)</f>
        <v>#DIV/0!</v>
      </c>
      <c r="AB20" s="967" t="e">
        <f>IF($F20="","",$F20*chronic_consumption!W20/1000/$C$3)</f>
        <v>#DIV/0!</v>
      </c>
      <c r="AC20" s="967" t="e">
        <f>IF($F20="","",$F20*chronic_consumption!X20/1000/$C$3)</f>
        <v>#DIV/0!</v>
      </c>
      <c r="AD20" s="967" t="e">
        <f>IF($F20="","",$F20*chronic_consumption!Y20/1000/$C$3)</f>
        <v>#DIV/0!</v>
      </c>
      <c r="AE20" s="967" t="e">
        <f>IF($F20="","",$F20*chronic_consumption!Z20/1000/$C$3)</f>
        <v>#DIV/0!</v>
      </c>
      <c r="AF20" s="967" t="e">
        <f>IF($F20="","",$F20*chronic_consumption!AA20/1000/$C$3)</f>
        <v>#DIV/0!</v>
      </c>
      <c r="AG20" s="967" t="e">
        <f>IF($F20="","",$F20*chronic_consumption!AB20/1000/$C$3)</f>
        <v>#DIV/0!</v>
      </c>
      <c r="AH20" s="967" t="e">
        <f>IF($F20="","",$F20*chronic_consumption!AC20/1000/$C$3)</f>
        <v>#DIV/0!</v>
      </c>
      <c r="AI20" s="967" t="e">
        <f>IF($F20="","",$F20*chronic_consumption!AD20/1000/$C$3)</f>
        <v>#DIV/0!</v>
      </c>
      <c r="AJ20" s="967" t="e">
        <f>IF($F20="","",$F20*chronic_consumption!AE20/1000/$C$3)</f>
        <v>#DIV/0!</v>
      </c>
      <c r="AK20" s="967" t="e">
        <f>IF($F20="","",$F20*chronic_consumption!AF20/1000/$C$3)</f>
        <v>#DIV/0!</v>
      </c>
      <c r="AL20" s="967" t="e">
        <f>IF($F20="","",$F20*chronic_consumption!AG20/1000/$C$3)</f>
        <v>#DIV/0!</v>
      </c>
      <c r="AM20" s="967" t="e">
        <f>IF($F20="","",$F20*chronic_consumption!AH20/1000/$C$3)</f>
        <v>#DIV/0!</v>
      </c>
      <c r="AN20" s="967" t="e">
        <f>IF($F20="","",$F20*chronic_consumption!AI20/1000/$C$3)</f>
        <v>#DIV/0!</v>
      </c>
      <c r="AO20" s="967" t="e">
        <f>IF($F20="","",$F20*chronic_consumption!AJ20/1000/$C$3)</f>
        <v>#DIV/0!</v>
      </c>
      <c r="AP20" s="967" t="e">
        <f>IF($F20="","",$F20*chronic_consumption!AK20/1000/$C$3)</f>
        <v>#DIV/0!</v>
      </c>
      <c r="AQ20" s="967" t="e">
        <f>IF($F20="","",$F20*chronic_consumption!AL20/1000/$C$3)</f>
        <v>#DIV/0!</v>
      </c>
      <c r="AR20" s="967" t="e">
        <f>IF($F20="","",$F20*chronic_consumption!AM20/1000/$C$3)</f>
        <v>#DIV/0!</v>
      </c>
      <c r="AS20" s="967" t="e">
        <f>IF($F20="","",$F20*chronic_consumption!AN20/1000/$C$3)</f>
        <v>#DIV/0!</v>
      </c>
      <c r="AT20" s="967" t="e">
        <f>IF($F20="","",$F20*chronic_consumption!AO20/1000/$C$3)</f>
        <v>#DIV/0!</v>
      </c>
      <c r="AU20" s="967"/>
      <c r="AV20" s="967" t="e">
        <f>IF($F20="","",$F20*chronic_consumption!AQ20/1000/$C$3)</f>
        <v>#DIV/0!</v>
      </c>
      <c r="AW20" s="967" t="e">
        <f>IF($F20="","",$F20*chronic_consumption!AR20/1000/$C$3)</f>
        <v>#DIV/0!</v>
      </c>
      <c r="AX20" s="967" t="e">
        <f>IF($F20="","",$F20*chronic_consumption!AS20/1000/$C$3)</f>
        <v>#DIV/0!</v>
      </c>
      <c r="AY20" s="967" t="e">
        <f>IF($F20="","",$F20*chronic_consumption!AT20/1000/$C$3)</f>
        <v>#DIV/0!</v>
      </c>
      <c r="AZ20" s="973"/>
      <c r="BA20" s="969" t="e">
        <f t="shared" si="7"/>
        <v>#DIV/0!</v>
      </c>
      <c r="BB20" s="970" t="e">
        <f t="shared" si="8"/>
        <v>#DIV/0!</v>
      </c>
      <c r="BC20" s="971" t="e">
        <f t="shared" ca="1" si="9"/>
        <v>#DIV/0!</v>
      </c>
      <c r="BD20" s="228">
        <f>input_values!Z20</f>
        <v>4</v>
      </c>
      <c r="BE20" s="152">
        <f>input_values!L20</f>
        <v>0</v>
      </c>
      <c r="BF20" s="972" t="str">
        <f t="shared" si="10"/>
        <v/>
      </c>
    </row>
    <row r="21" spans="1:58" ht="12" customHeight="1" outlineLevel="3" x14ac:dyDescent="0.2">
      <c r="A21" s="21">
        <v>4</v>
      </c>
      <c r="B21" s="23">
        <v>120010</v>
      </c>
      <c r="C21" s="23" t="s">
        <v>6</v>
      </c>
      <c r="D21" s="965">
        <f>Table22[[#This Row],[MRL individual commodity]]</f>
        <v>0</v>
      </c>
      <c r="E21" s="300" t="str">
        <f>Table22[[#This Row],[LOQ_label]]</f>
        <v/>
      </c>
      <c r="F21" s="966">
        <f>Table22[[#This Row],[Chronic RA input value]]</f>
        <v>0</v>
      </c>
      <c r="G21" s="304" t="str">
        <f>Table22[[#This Row],[Chronic RA label]]</f>
        <v/>
      </c>
      <c r="H21" s="304">
        <f>Table22[[#This Row],[GAP under assessment]]</f>
        <v>0</v>
      </c>
      <c r="I21" s="1123"/>
      <c r="J21" s="974" t="e">
        <f>IF($F21="","",$F21*chronic_consumption!$E21/1000/$C$3)</f>
        <v>#DIV/0!</v>
      </c>
      <c r="K21" s="974" t="e">
        <f>IF($F21="","",$F21*chronic_consumption!F21/1000/$C$3)</f>
        <v>#DIV/0!</v>
      </c>
      <c r="L21" s="974" t="e">
        <f>IF($F21="","",$F21*chronic_consumption!G21/1000/$C$3)</f>
        <v>#DIV/0!</v>
      </c>
      <c r="M21" s="974" t="e">
        <f>IF($F21="","",$F21*chronic_consumption!H21/1000/$C$3)</f>
        <v>#DIV/0!</v>
      </c>
      <c r="N21" s="974" t="e">
        <f>IF($F21="","",$F21*chronic_consumption!I21/1000/$C$3)</f>
        <v>#DIV/0!</v>
      </c>
      <c r="O21" s="974" t="e">
        <f>IF($F21="","",$F21*chronic_consumption!J21/1000/$C$3)</f>
        <v>#DIV/0!</v>
      </c>
      <c r="P21" s="974" t="e">
        <f>IF($F21="","",$F21*chronic_consumption!K21/1000/$C$3)</f>
        <v>#DIV/0!</v>
      </c>
      <c r="Q21" s="974" t="e">
        <f>IF($F21="","",$F21*chronic_consumption!L21/1000/$C$3)</f>
        <v>#DIV/0!</v>
      </c>
      <c r="R21" s="974" t="e">
        <f>IF($F21="","",$F21*chronic_consumption!M21/1000/$C$3)</f>
        <v>#DIV/0!</v>
      </c>
      <c r="S21" s="974" t="e">
        <f>IF($F21="","",$F21*chronic_consumption!N21/1000/$C$3)</f>
        <v>#DIV/0!</v>
      </c>
      <c r="T21" s="974" t="e">
        <f>IF($F21="","",$F21*chronic_consumption!O21/1000/$C$3)</f>
        <v>#DIV/0!</v>
      </c>
      <c r="U21" s="974" t="e">
        <f>IF($F21="","",$F21*chronic_consumption!P21/1000/$C$3)</f>
        <v>#DIV/0!</v>
      </c>
      <c r="V21" s="974" t="e">
        <f>IF($F21="","",$F21*chronic_consumption!Q21/1000/$C$3)</f>
        <v>#DIV/0!</v>
      </c>
      <c r="W21" s="974" t="e">
        <f>IF($F21="","",$F21*chronic_consumption!R21/1000/$C$3)</f>
        <v>#DIV/0!</v>
      </c>
      <c r="X21" s="974" t="e">
        <f>IF($F21="","",$F21*chronic_consumption!S21/1000/$C$3)</f>
        <v>#DIV/0!</v>
      </c>
      <c r="Y21" s="974" t="e">
        <f>IF($F21="","",$F21*chronic_consumption!T21/1000/$C$3)</f>
        <v>#DIV/0!</v>
      </c>
      <c r="Z21" s="974" t="e">
        <f>IF($F21="","",$F21*chronic_consumption!U21/1000/$C$3)</f>
        <v>#DIV/0!</v>
      </c>
      <c r="AA21" s="974" t="e">
        <f>IF($F21="","",$F21*chronic_consumption!V21/1000/$C$3)</f>
        <v>#DIV/0!</v>
      </c>
      <c r="AB21" s="974" t="e">
        <f>IF($F21="","",$F21*chronic_consumption!W21/1000/$C$3)</f>
        <v>#DIV/0!</v>
      </c>
      <c r="AC21" s="974" t="e">
        <f>IF($F21="","",$F21*chronic_consumption!X21/1000/$C$3)</f>
        <v>#DIV/0!</v>
      </c>
      <c r="AD21" s="974" t="e">
        <f>IF($F21="","",$F21*chronic_consumption!Y21/1000/$C$3)</f>
        <v>#DIV/0!</v>
      </c>
      <c r="AE21" s="974" t="e">
        <f>IF($F21="","",$F21*chronic_consumption!Z21/1000/$C$3)</f>
        <v>#DIV/0!</v>
      </c>
      <c r="AF21" s="974" t="e">
        <f>IF($F21="","",$F21*chronic_consumption!AA21/1000/$C$3)</f>
        <v>#DIV/0!</v>
      </c>
      <c r="AG21" s="974" t="e">
        <f>IF($F21="","",$F21*chronic_consumption!AB21/1000/$C$3)</f>
        <v>#DIV/0!</v>
      </c>
      <c r="AH21" s="974" t="e">
        <f>IF($F21="","",$F21*chronic_consumption!AC21/1000/$C$3)</f>
        <v>#DIV/0!</v>
      </c>
      <c r="AI21" s="974" t="e">
        <f>IF($F21="","",$F21*chronic_consumption!AD21/1000/$C$3)</f>
        <v>#DIV/0!</v>
      </c>
      <c r="AJ21" s="974" t="e">
        <f>IF($F21="","",$F21*chronic_consumption!AE21/1000/$C$3)</f>
        <v>#DIV/0!</v>
      </c>
      <c r="AK21" s="974" t="e">
        <f>IF($F21="","",$F21*chronic_consumption!AF21/1000/$C$3)</f>
        <v>#DIV/0!</v>
      </c>
      <c r="AL21" s="974" t="e">
        <f>IF($F21="","",$F21*chronic_consumption!AG21/1000/$C$3)</f>
        <v>#DIV/0!</v>
      </c>
      <c r="AM21" s="974" t="e">
        <f>IF($F21="","",$F21*chronic_consumption!AH21/1000/$C$3)</f>
        <v>#DIV/0!</v>
      </c>
      <c r="AN21" s="974" t="e">
        <f>IF($F21="","",$F21*chronic_consumption!AI21/1000/$C$3)</f>
        <v>#DIV/0!</v>
      </c>
      <c r="AO21" s="974" t="e">
        <f>IF($F21="","",$F21*chronic_consumption!AJ21/1000/$C$3)</f>
        <v>#DIV/0!</v>
      </c>
      <c r="AP21" s="974" t="e">
        <f>IF($F21="","",$F21*chronic_consumption!AK21/1000/$C$3)</f>
        <v>#DIV/0!</v>
      </c>
      <c r="AQ21" s="974" t="e">
        <f>IF($F21="","",$F21*chronic_consumption!AL21/1000/$C$3)</f>
        <v>#DIV/0!</v>
      </c>
      <c r="AR21" s="974" t="e">
        <f>IF($F21="","",$F21*chronic_consumption!AM21/1000/$C$3)</f>
        <v>#DIV/0!</v>
      </c>
      <c r="AS21" s="974" t="e">
        <f>IF($F21="","",$F21*chronic_consumption!AN21/1000/$C$3)</f>
        <v>#DIV/0!</v>
      </c>
      <c r="AT21" s="974" t="e">
        <f>IF($F21="","",$F21*chronic_consumption!AO21/1000/$C$3)</f>
        <v>#DIV/0!</v>
      </c>
      <c r="AU21" s="974"/>
      <c r="AV21" s="974" t="e">
        <f>IF($F21="","",$F21*chronic_consumption!AQ21/1000/$C$3)</f>
        <v>#DIV/0!</v>
      </c>
      <c r="AW21" s="974" t="e">
        <f>IF($F21="","",$F21*chronic_consumption!AR21/1000/$C$3)</f>
        <v>#DIV/0!</v>
      </c>
      <c r="AX21" s="974" t="e">
        <f>IF($F21="","",$F21*chronic_consumption!AS21/1000/$C$3)</f>
        <v>#DIV/0!</v>
      </c>
      <c r="AY21" s="974" t="e">
        <f>IF($F21="","",$F21*chronic_consumption!AT21/1000/$C$3)</f>
        <v>#DIV/0!</v>
      </c>
      <c r="AZ21" s="973" t="s">
        <v>19</v>
      </c>
      <c r="BA21" s="969" t="e">
        <f t="shared" si="7"/>
        <v>#DIV/0!</v>
      </c>
      <c r="BB21" s="970" t="e">
        <f t="shared" si="8"/>
        <v>#DIV/0!</v>
      </c>
      <c r="BC21" s="971" t="e">
        <f t="shared" ca="1" si="9"/>
        <v>#DIV/0!</v>
      </c>
      <c r="BD21" s="228">
        <f>input_values!Z21</f>
        <v>4</v>
      </c>
      <c r="BE21" s="152">
        <f>input_values!L21</f>
        <v>0</v>
      </c>
      <c r="BF21" s="972" t="str">
        <f t="shared" si="10"/>
        <v/>
      </c>
    </row>
    <row r="22" spans="1:58" ht="12" customHeight="1" outlineLevel="3" x14ac:dyDescent="0.2">
      <c r="A22" s="21">
        <v>4</v>
      </c>
      <c r="B22" s="23">
        <v>120020</v>
      </c>
      <c r="C22" s="23" t="s">
        <v>7</v>
      </c>
      <c r="D22" s="965">
        <f>Table22[[#This Row],[MRL individual commodity]]</f>
        <v>0</v>
      </c>
      <c r="E22" s="300" t="str">
        <f>Table22[[#This Row],[LOQ_label]]</f>
        <v/>
      </c>
      <c r="F22" s="966">
        <f>Table22[[#This Row],[Chronic RA input value]]</f>
        <v>0</v>
      </c>
      <c r="G22" s="304" t="str">
        <f>Table22[[#This Row],[Chronic RA label]]</f>
        <v/>
      </c>
      <c r="H22" s="304">
        <f>Table22[[#This Row],[GAP under assessment]]</f>
        <v>0</v>
      </c>
      <c r="I22" s="1123"/>
      <c r="J22" s="974" t="e">
        <f>IF($F22="","",$F22*chronic_consumption!$E22/1000/$C$3)</f>
        <v>#DIV/0!</v>
      </c>
      <c r="K22" s="974" t="e">
        <f>IF($F22="","",$F22*chronic_consumption!F22/1000/$C$3)</f>
        <v>#DIV/0!</v>
      </c>
      <c r="L22" s="974" t="e">
        <f>IF($F22="","",$F22*chronic_consumption!G22/1000/$C$3)</f>
        <v>#DIV/0!</v>
      </c>
      <c r="M22" s="974" t="e">
        <f>IF($F22="","",$F22*chronic_consumption!H22/1000/$C$3)</f>
        <v>#DIV/0!</v>
      </c>
      <c r="N22" s="974" t="e">
        <f>IF($F22="","",$F22*chronic_consumption!I22/1000/$C$3)</f>
        <v>#DIV/0!</v>
      </c>
      <c r="O22" s="974" t="e">
        <f>IF($F22="","",$F22*chronic_consumption!J22/1000/$C$3)</f>
        <v>#DIV/0!</v>
      </c>
      <c r="P22" s="974" t="e">
        <f>IF($F22="","",$F22*chronic_consumption!K22/1000/$C$3)</f>
        <v>#DIV/0!</v>
      </c>
      <c r="Q22" s="974" t="e">
        <f>IF($F22="","",$F22*chronic_consumption!L22/1000/$C$3)</f>
        <v>#DIV/0!</v>
      </c>
      <c r="R22" s="974" t="e">
        <f>IF($F22="","",$F22*chronic_consumption!M22/1000/$C$3)</f>
        <v>#DIV/0!</v>
      </c>
      <c r="S22" s="974" t="e">
        <f>IF($F22="","",$F22*chronic_consumption!N22/1000/$C$3)</f>
        <v>#DIV/0!</v>
      </c>
      <c r="T22" s="974" t="e">
        <f>IF($F22="","",$F22*chronic_consumption!O22/1000/$C$3)</f>
        <v>#DIV/0!</v>
      </c>
      <c r="U22" s="974" t="e">
        <f>IF($F22="","",$F22*chronic_consumption!P22/1000/$C$3)</f>
        <v>#DIV/0!</v>
      </c>
      <c r="V22" s="974" t="e">
        <f>IF($F22="","",$F22*chronic_consumption!Q22/1000/$C$3)</f>
        <v>#DIV/0!</v>
      </c>
      <c r="W22" s="974" t="e">
        <f>IF($F22="","",$F22*chronic_consumption!R22/1000/$C$3)</f>
        <v>#DIV/0!</v>
      </c>
      <c r="X22" s="974" t="e">
        <f>IF($F22="","",$F22*chronic_consumption!S22/1000/$C$3)</f>
        <v>#DIV/0!</v>
      </c>
      <c r="Y22" s="974" t="e">
        <f>IF($F22="","",$F22*chronic_consumption!T22/1000/$C$3)</f>
        <v>#DIV/0!</v>
      </c>
      <c r="Z22" s="974" t="e">
        <f>IF($F22="","",$F22*chronic_consumption!U22/1000/$C$3)</f>
        <v>#DIV/0!</v>
      </c>
      <c r="AA22" s="974" t="e">
        <f>IF($F22="","",$F22*chronic_consumption!V22/1000/$C$3)</f>
        <v>#DIV/0!</v>
      </c>
      <c r="AB22" s="974" t="e">
        <f>IF($F22="","",$F22*chronic_consumption!W22/1000/$C$3)</f>
        <v>#DIV/0!</v>
      </c>
      <c r="AC22" s="974" t="e">
        <f>IF($F22="","",$F22*chronic_consumption!X22/1000/$C$3)</f>
        <v>#DIV/0!</v>
      </c>
      <c r="AD22" s="974" t="e">
        <f>IF($F22="","",$F22*chronic_consumption!Y22/1000/$C$3)</f>
        <v>#DIV/0!</v>
      </c>
      <c r="AE22" s="974" t="e">
        <f>IF($F22="","",$F22*chronic_consumption!Z22/1000/$C$3)</f>
        <v>#DIV/0!</v>
      </c>
      <c r="AF22" s="974" t="e">
        <f>IF($F22="","",$F22*chronic_consumption!AA22/1000/$C$3)</f>
        <v>#DIV/0!</v>
      </c>
      <c r="AG22" s="974" t="e">
        <f>IF($F22="","",$F22*chronic_consumption!AB22/1000/$C$3)</f>
        <v>#DIV/0!</v>
      </c>
      <c r="AH22" s="974" t="e">
        <f>IF($F22="","",$F22*chronic_consumption!AC22/1000/$C$3)</f>
        <v>#DIV/0!</v>
      </c>
      <c r="AI22" s="974" t="e">
        <f>IF($F22="","",$F22*chronic_consumption!AD22/1000/$C$3)</f>
        <v>#DIV/0!</v>
      </c>
      <c r="AJ22" s="974" t="e">
        <f>IF($F22="","",$F22*chronic_consumption!AE22/1000/$C$3)</f>
        <v>#DIV/0!</v>
      </c>
      <c r="AK22" s="974" t="e">
        <f>IF($F22="","",$F22*chronic_consumption!AF22/1000/$C$3)</f>
        <v>#DIV/0!</v>
      </c>
      <c r="AL22" s="974" t="e">
        <f>IF($F22="","",$F22*chronic_consumption!AG22/1000/$C$3)</f>
        <v>#DIV/0!</v>
      </c>
      <c r="AM22" s="974" t="e">
        <f>IF($F22="","",$F22*chronic_consumption!AH22/1000/$C$3)</f>
        <v>#DIV/0!</v>
      </c>
      <c r="AN22" s="974" t="e">
        <f>IF($F22="","",$F22*chronic_consumption!AI22/1000/$C$3)</f>
        <v>#DIV/0!</v>
      </c>
      <c r="AO22" s="974" t="e">
        <f>IF($F22="","",$F22*chronic_consumption!AJ22/1000/$C$3)</f>
        <v>#DIV/0!</v>
      </c>
      <c r="AP22" s="974" t="e">
        <f>IF($F22="","",$F22*chronic_consumption!AK22/1000/$C$3)</f>
        <v>#DIV/0!</v>
      </c>
      <c r="AQ22" s="974" t="e">
        <f>IF($F22="","",$F22*chronic_consumption!AL22/1000/$C$3)</f>
        <v>#DIV/0!</v>
      </c>
      <c r="AR22" s="974" t="e">
        <f>IF($F22="","",$F22*chronic_consumption!AM22/1000/$C$3)</f>
        <v>#DIV/0!</v>
      </c>
      <c r="AS22" s="974" t="e">
        <f>IF($F22="","",$F22*chronic_consumption!AN22/1000/$C$3)</f>
        <v>#DIV/0!</v>
      </c>
      <c r="AT22" s="974" t="e">
        <f>IF($F22="","",$F22*chronic_consumption!AO22/1000/$C$3)</f>
        <v>#DIV/0!</v>
      </c>
      <c r="AU22" s="974"/>
      <c r="AV22" s="974" t="e">
        <f>IF($F22="","",$F22*chronic_consumption!AQ22/1000/$C$3)</f>
        <v>#DIV/0!</v>
      </c>
      <c r="AW22" s="974" t="e">
        <f>IF($F22="","",$F22*chronic_consumption!AR22/1000/$C$3)</f>
        <v>#DIV/0!</v>
      </c>
      <c r="AX22" s="974" t="e">
        <f>IF($F22="","",$F22*chronic_consumption!AS22/1000/$C$3)</f>
        <v>#DIV/0!</v>
      </c>
      <c r="AY22" s="974" t="e">
        <f>IF($F22="","",$F22*chronic_consumption!AT22/1000/$C$3)</f>
        <v>#DIV/0!</v>
      </c>
      <c r="AZ22" s="973" t="s">
        <v>19</v>
      </c>
      <c r="BA22" s="969" t="e">
        <f t="shared" si="7"/>
        <v>#DIV/0!</v>
      </c>
      <c r="BB22" s="970" t="e">
        <f t="shared" si="8"/>
        <v>#DIV/0!</v>
      </c>
      <c r="BC22" s="971" t="e">
        <f t="shared" ca="1" si="9"/>
        <v>#DIV/0!</v>
      </c>
      <c r="BD22" s="228">
        <f>input_values!Z22</f>
        <v>4</v>
      </c>
      <c r="BE22" s="152">
        <f>input_values!L22</f>
        <v>0</v>
      </c>
      <c r="BF22" s="972" t="str">
        <f t="shared" si="10"/>
        <v/>
      </c>
    </row>
    <row r="23" spans="1:58" ht="12" customHeight="1" outlineLevel="3" x14ac:dyDescent="0.2">
      <c r="A23" s="21">
        <v>4</v>
      </c>
      <c r="B23" s="23">
        <v>120030</v>
      </c>
      <c r="C23" s="23" t="s">
        <v>8</v>
      </c>
      <c r="D23" s="965">
        <f>Table22[[#This Row],[MRL individual commodity]]</f>
        <v>0</v>
      </c>
      <c r="E23" s="300" t="str">
        <f>Table22[[#This Row],[LOQ_label]]</f>
        <v/>
      </c>
      <c r="F23" s="966">
        <f>Table22[[#This Row],[Chronic RA input value]]</f>
        <v>0</v>
      </c>
      <c r="G23" s="304" t="str">
        <f>Table22[[#This Row],[Chronic RA label]]</f>
        <v/>
      </c>
      <c r="H23" s="304">
        <f>Table22[[#This Row],[GAP under assessment]]</f>
        <v>0</v>
      </c>
      <c r="I23" s="1123"/>
      <c r="J23" s="974" t="e">
        <f>IF($F23="","",$F23*chronic_consumption!$E23/1000/$C$3)</f>
        <v>#DIV/0!</v>
      </c>
      <c r="K23" s="974" t="e">
        <f>IF($F23="","",$F23*chronic_consumption!F23/1000/$C$3)</f>
        <v>#DIV/0!</v>
      </c>
      <c r="L23" s="974" t="e">
        <f>IF($F23="","",$F23*chronic_consumption!G23/1000/$C$3)</f>
        <v>#DIV/0!</v>
      </c>
      <c r="M23" s="974" t="e">
        <f>IF($F23="","",$F23*chronic_consumption!H23/1000/$C$3)</f>
        <v>#DIV/0!</v>
      </c>
      <c r="N23" s="974" t="e">
        <f>IF($F23="","",$F23*chronic_consumption!I23/1000/$C$3)</f>
        <v>#DIV/0!</v>
      </c>
      <c r="O23" s="974" t="e">
        <f>IF($F23="","",$F23*chronic_consumption!J23/1000/$C$3)</f>
        <v>#DIV/0!</v>
      </c>
      <c r="P23" s="974" t="e">
        <f>IF($F23="","",$F23*chronic_consumption!K23/1000/$C$3)</f>
        <v>#DIV/0!</v>
      </c>
      <c r="Q23" s="974" t="e">
        <f>IF($F23="","",$F23*chronic_consumption!L23/1000/$C$3)</f>
        <v>#DIV/0!</v>
      </c>
      <c r="R23" s="974" t="e">
        <f>IF($F23="","",$F23*chronic_consumption!M23/1000/$C$3)</f>
        <v>#DIV/0!</v>
      </c>
      <c r="S23" s="974" t="e">
        <f>IF($F23="","",$F23*chronic_consumption!N23/1000/$C$3)</f>
        <v>#DIV/0!</v>
      </c>
      <c r="T23" s="974" t="e">
        <f>IF($F23="","",$F23*chronic_consumption!O23/1000/$C$3)</f>
        <v>#DIV/0!</v>
      </c>
      <c r="U23" s="974" t="e">
        <f>IF($F23="","",$F23*chronic_consumption!P23/1000/$C$3)</f>
        <v>#DIV/0!</v>
      </c>
      <c r="V23" s="974" t="e">
        <f>IF($F23="","",$F23*chronic_consumption!Q23/1000/$C$3)</f>
        <v>#DIV/0!</v>
      </c>
      <c r="W23" s="974" t="e">
        <f>IF($F23="","",$F23*chronic_consumption!R23/1000/$C$3)</f>
        <v>#DIV/0!</v>
      </c>
      <c r="X23" s="974" t="e">
        <f>IF($F23="","",$F23*chronic_consumption!S23/1000/$C$3)</f>
        <v>#DIV/0!</v>
      </c>
      <c r="Y23" s="974" t="e">
        <f>IF($F23="","",$F23*chronic_consumption!T23/1000/$C$3)</f>
        <v>#DIV/0!</v>
      </c>
      <c r="Z23" s="974" t="e">
        <f>IF($F23="","",$F23*chronic_consumption!U23/1000/$C$3)</f>
        <v>#DIV/0!</v>
      </c>
      <c r="AA23" s="974" t="e">
        <f>IF($F23="","",$F23*chronic_consumption!V23/1000/$C$3)</f>
        <v>#DIV/0!</v>
      </c>
      <c r="AB23" s="974" t="e">
        <f>IF($F23="","",$F23*chronic_consumption!W23/1000/$C$3)</f>
        <v>#DIV/0!</v>
      </c>
      <c r="AC23" s="974" t="e">
        <f>IF($F23="","",$F23*chronic_consumption!X23/1000/$C$3)</f>
        <v>#DIV/0!</v>
      </c>
      <c r="AD23" s="974" t="e">
        <f>IF($F23="","",$F23*chronic_consumption!Y23/1000/$C$3)</f>
        <v>#DIV/0!</v>
      </c>
      <c r="AE23" s="974" t="e">
        <f>IF($F23="","",$F23*chronic_consumption!Z23/1000/$C$3)</f>
        <v>#DIV/0!</v>
      </c>
      <c r="AF23" s="974" t="e">
        <f>IF($F23="","",$F23*chronic_consumption!AA23/1000/$C$3)</f>
        <v>#DIV/0!</v>
      </c>
      <c r="AG23" s="974" t="e">
        <f>IF($F23="","",$F23*chronic_consumption!AB23/1000/$C$3)</f>
        <v>#DIV/0!</v>
      </c>
      <c r="AH23" s="974" t="e">
        <f>IF($F23="","",$F23*chronic_consumption!AC23/1000/$C$3)</f>
        <v>#DIV/0!</v>
      </c>
      <c r="AI23" s="974" t="e">
        <f>IF($F23="","",$F23*chronic_consumption!AD23/1000/$C$3)</f>
        <v>#DIV/0!</v>
      </c>
      <c r="AJ23" s="974" t="e">
        <f>IF($F23="","",$F23*chronic_consumption!AE23/1000/$C$3)</f>
        <v>#DIV/0!</v>
      </c>
      <c r="AK23" s="974" t="e">
        <f>IF($F23="","",$F23*chronic_consumption!AF23/1000/$C$3)</f>
        <v>#DIV/0!</v>
      </c>
      <c r="AL23" s="974" t="e">
        <f>IF($F23="","",$F23*chronic_consumption!AG23/1000/$C$3)</f>
        <v>#DIV/0!</v>
      </c>
      <c r="AM23" s="974" t="e">
        <f>IF($F23="","",$F23*chronic_consumption!AH23/1000/$C$3)</f>
        <v>#DIV/0!</v>
      </c>
      <c r="AN23" s="974" t="e">
        <f>IF($F23="","",$F23*chronic_consumption!AI23/1000/$C$3)</f>
        <v>#DIV/0!</v>
      </c>
      <c r="AO23" s="974" t="e">
        <f>IF($F23="","",$F23*chronic_consumption!AJ23/1000/$C$3)</f>
        <v>#DIV/0!</v>
      </c>
      <c r="AP23" s="974" t="e">
        <f>IF($F23="","",$F23*chronic_consumption!AK23/1000/$C$3)</f>
        <v>#DIV/0!</v>
      </c>
      <c r="AQ23" s="974" t="e">
        <f>IF($F23="","",$F23*chronic_consumption!AL23/1000/$C$3)</f>
        <v>#DIV/0!</v>
      </c>
      <c r="AR23" s="974" t="e">
        <f>IF($F23="","",$F23*chronic_consumption!AM23/1000/$C$3)</f>
        <v>#DIV/0!</v>
      </c>
      <c r="AS23" s="974" t="e">
        <f>IF($F23="","",$F23*chronic_consumption!AN23/1000/$C$3)</f>
        <v>#DIV/0!</v>
      </c>
      <c r="AT23" s="974" t="e">
        <f>IF($F23="","",$F23*chronic_consumption!AO23/1000/$C$3)</f>
        <v>#DIV/0!</v>
      </c>
      <c r="AU23" s="974"/>
      <c r="AV23" s="974" t="e">
        <f>IF($F23="","",$F23*chronic_consumption!AQ23/1000/$C$3)</f>
        <v>#DIV/0!</v>
      </c>
      <c r="AW23" s="974" t="e">
        <f>IF($F23="","",$F23*chronic_consumption!AR23/1000/$C$3)</f>
        <v>#DIV/0!</v>
      </c>
      <c r="AX23" s="974" t="e">
        <f>IF($F23="","",$F23*chronic_consumption!AS23/1000/$C$3)</f>
        <v>#DIV/0!</v>
      </c>
      <c r="AY23" s="974" t="e">
        <f>IF($F23="","",$F23*chronic_consumption!AT23/1000/$C$3)</f>
        <v>#DIV/0!</v>
      </c>
      <c r="AZ23" s="973" t="s">
        <v>19</v>
      </c>
      <c r="BA23" s="969" t="e">
        <f t="shared" si="7"/>
        <v>#DIV/0!</v>
      </c>
      <c r="BB23" s="970" t="e">
        <f t="shared" si="8"/>
        <v>#DIV/0!</v>
      </c>
      <c r="BC23" s="971" t="e">
        <f t="shared" ca="1" si="9"/>
        <v>#DIV/0!</v>
      </c>
      <c r="BD23" s="228">
        <f>input_values!Z23</f>
        <v>4</v>
      </c>
      <c r="BE23" s="152">
        <f>input_values!L23</f>
        <v>0</v>
      </c>
      <c r="BF23" s="972" t="str">
        <f t="shared" si="10"/>
        <v/>
      </c>
    </row>
    <row r="24" spans="1:58" ht="12" customHeight="1" outlineLevel="3" x14ac:dyDescent="0.2">
      <c r="A24" s="21">
        <v>4</v>
      </c>
      <c r="B24" s="23">
        <v>120040</v>
      </c>
      <c r="C24" s="23" t="s">
        <v>9</v>
      </c>
      <c r="D24" s="965">
        <f>Table22[[#This Row],[MRL individual commodity]]</f>
        <v>0</v>
      </c>
      <c r="E24" s="300" t="str">
        <f>Table22[[#This Row],[LOQ_label]]</f>
        <v/>
      </c>
      <c r="F24" s="966">
        <f>Table22[[#This Row],[Chronic RA input value]]</f>
        <v>0</v>
      </c>
      <c r="G24" s="304" t="str">
        <f>Table22[[#This Row],[Chronic RA label]]</f>
        <v/>
      </c>
      <c r="H24" s="304">
        <f>Table22[[#This Row],[GAP under assessment]]</f>
        <v>0</v>
      </c>
      <c r="I24" s="1123"/>
      <c r="J24" s="974" t="e">
        <f>IF($F24="","",$F24*chronic_consumption!$E24/1000/$C$3)</f>
        <v>#DIV/0!</v>
      </c>
      <c r="K24" s="974" t="e">
        <f>IF($F24="","",$F24*chronic_consumption!F24/1000/$C$3)</f>
        <v>#DIV/0!</v>
      </c>
      <c r="L24" s="974" t="e">
        <f>IF($F24="","",$F24*chronic_consumption!G24/1000/$C$3)</f>
        <v>#DIV/0!</v>
      </c>
      <c r="M24" s="974" t="e">
        <f>IF($F24="","",$F24*chronic_consumption!H24/1000/$C$3)</f>
        <v>#DIV/0!</v>
      </c>
      <c r="N24" s="974" t="e">
        <f>IF($F24="","",$F24*chronic_consumption!I24/1000/$C$3)</f>
        <v>#DIV/0!</v>
      </c>
      <c r="O24" s="974" t="e">
        <f>IF($F24="","",$F24*chronic_consumption!J24/1000/$C$3)</f>
        <v>#DIV/0!</v>
      </c>
      <c r="P24" s="974" t="e">
        <f>IF($F24="","",$F24*chronic_consumption!K24/1000/$C$3)</f>
        <v>#DIV/0!</v>
      </c>
      <c r="Q24" s="974" t="e">
        <f>IF($F24="","",$F24*chronic_consumption!L24/1000/$C$3)</f>
        <v>#DIV/0!</v>
      </c>
      <c r="R24" s="974" t="e">
        <f>IF($F24="","",$F24*chronic_consumption!M24/1000/$C$3)</f>
        <v>#DIV/0!</v>
      </c>
      <c r="S24" s="974" t="e">
        <f>IF($F24="","",$F24*chronic_consumption!N24/1000/$C$3)</f>
        <v>#DIV/0!</v>
      </c>
      <c r="T24" s="974" t="e">
        <f>IF($F24="","",$F24*chronic_consumption!O24/1000/$C$3)</f>
        <v>#DIV/0!</v>
      </c>
      <c r="U24" s="974" t="e">
        <f>IF($F24="","",$F24*chronic_consumption!P24/1000/$C$3)</f>
        <v>#DIV/0!</v>
      </c>
      <c r="V24" s="974" t="e">
        <f>IF($F24="","",$F24*chronic_consumption!Q24/1000/$C$3)</f>
        <v>#DIV/0!</v>
      </c>
      <c r="W24" s="974" t="e">
        <f>IF($F24="","",$F24*chronic_consumption!R24/1000/$C$3)</f>
        <v>#DIV/0!</v>
      </c>
      <c r="X24" s="974" t="e">
        <f>IF($F24="","",$F24*chronic_consumption!S24/1000/$C$3)</f>
        <v>#DIV/0!</v>
      </c>
      <c r="Y24" s="974" t="e">
        <f>IF($F24="","",$F24*chronic_consumption!T24/1000/$C$3)</f>
        <v>#DIV/0!</v>
      </c>
      <c r="Z24" s="974" t="e">
        <f>IF($F24="","",$F24*chronic_consumption!U24/1000/$C$3)</f>
        <v>#DIV/0!</v>
      </c>
      <c r="AA24" s="974" t="e">
        <f>IF($F24="","",$F24*chronic_consumption!V24/1000/$C$3)</f>
        <v>#DIV/0!</v>
      </c>
      <c r="AB24" s="974" t="e">
        <f>IF($F24="","",$F24*chronic_consumption!W24/1000/$C$3)</f>
        <v>#DIV/0!</v>
      </c>
      <c r="AC24" s="974" t="e">
        <f>IF($F24="","",$F24*chronic_consumption!X24/1000/$C$3)</f>
        <v>#DIV/0!</v>
      </c>
      <c r="AD24" s="974" t="e">
        <f>IF($F24="","",$F24*chronic_consumption!Y24/1000/$C$3)</f>
        <v>#DIV/0!</v>
      </c>
      <c r="AE24" s="974" t="e">
        <f>IF($F24="","",$F24*chronic_consumption!Z24/1000/$C$3)</f>
        <v>#DIV/0!</v>
      </c>
      <c r="AF24" s="974" t="e">
        <f>IF($F24="","",$F24*chronic_consumption!AA24/1000/$C$3)</f>
        <v>#DIV/0!</v>
      </c>
      <c r="AG24" s="974" t="e">
        <f>IF($F24="","",$F24*chronic_consumption!AB24/1000/$C$3)</f>
        <v>#DIV/0!</v>
      </c>
      <c r="AH24" s="974" t="e">
        <f>IF($F24="","",$F24*chronic_consumption!AC24/1000/$C$3)</f>
        <v>#DIV/0!</v>
      </c>
      <c r="AI24" s="974" t="e">
        <f>IF($F24="","",$F24*chronic_consumption!AD24/1000/$C$3)</f>
        <v>#DIV/0!</v>
      </c>
      <c r="AJ24" s="974" t="e">
        <f>IF($F24="","",$F24*chronic_consumption!AE24/1000/$C$3)</f>
        <v>#DIV/0!</v>
      </c>
      <c r="AK24" s="974" t="e">
        <f>IF($F24="","",$F24*chronic_consumption!AF24/1000/$C$3)</f>
        <v>#DIV/0!</v>
      </c>
      <c r="AL24" s="974" t="e">
        <f>IF($F24="","",$F24*chronic_consumption!AG24/1000/$C$3)</f>
        <v>#DIV/0!</v>
      </c>
      <c r="AM24" s="974" t="e">
        <f>IF($F24="","",$F24*chronic_consumption!AH24/1000/$C$3)</f>
        <v>#DIV/0!</v>
      </c>
      <c r="AN24" s="974" t="e">
        <f>IF($F24="","",$F24*chronic_consumption!AI24/1000/$C$3)</f>
        <v>#DIV/0!</v>
      </c>
      <c r="AO24" s="974" t="e">
        <f>IF($F24="","",$F24*chronic_consumption!AJ24/1000/$C$3)</f>
        <v>#DIV/0!</v>
      </c>
      <c r="AP24" s="974" t="e">
        <f>IF($F24="","",$F24*chronic_consumption!AK24/1000/$C$3)</f>
        <v>#DIV/0!</v>
      </c>
      <c r="AQ24" s="974" t="e">
        <f>IF($F24="","",$F24*chronic_consumption!AL24/1000/$C$3)</f>
        <v>#DIV/0!</v>
      </c>
      <c r="AR24" s="974" t="e">
        <f>IF($F24="","",$F24*chronic_consumption!AM24/1000/$C$3)</f>
        <v>#DIV/0!</v>
      </c>
      <c r="AS24" s="974" t="e">
        <f>IF($F24="","",$F24*chronic_consumption!AN24/1000/$C$3)</f>
        <v>#DIV/0!</v>
      </c>
      <c r="AT24" s="974" t="e">
        <f>IF($F24="","",$F24*chronic_consumption!AO24/1000/$C$3)</f>
        <v>#DIV/0!</v>
      </c>
      <c r="AU24" s="974"/>
      <c r="AV24" s="974" t="e">
        <f>IF($F24="","",$F24*chronic_consumption!AQ24/1000/$C$3)</f>
        <v>#DIV/0!</v>
      </c>
      <c r="AW24" s="974" t="e">
        <f>IF($F24="","",$F24*chronic_consumption!AR24/1000/$C$3)</f>
        <v>#DIV/0!</v>
      </c>
      <c r="AX24" s="974" t="e">
        <f>IF($F24="","",$F24*chronic_consumption!AS24/1000/$C$3)</f>
        <v>#DIV/0!</v>
      </c>
      <c r="AY24" s="974" t="e">
        <f>IF($F24="","",$F24*chronic_consumption!AT24/1000/$C$3)</f>
        <v>#DIV/0!</v>
      </c>
      <c r="AZ24" s="973" t="s">
        <v>19</v>
      </c>
      <c r="BA24" s="969" t="e">
        <f t="shared" si="7"/>
        <v>#DIV/0!</v>
      </c>
      <c r="BB24" s="970" t="e">
        <f t="shared" si="8"/>
        <v>#DIV/0!</v>
      </c>
      <c r="BC24" s="971" t="e">
        <f t="shared" ca="1" si="9"/>
        <v>#DIV/0!</v>
      </c>
      <c r="BD24" s="228">
        <f>input_values!Z24</f>
        <v>4</v>
      </c>
      <c r="BE24" s="152">
        <f>input_values!L24</f>
        <v>0</v>
      </c>
      <c r="BF24" s="972" t="str">
        <f t="shared" si="10"/>
        <v/>
      </c>
    </row>
    <row r="25" spans="1:58" ht="12" customHeight="1" outlineLevel="3" x14ac:dyDescent="0.2">
      <c r="A25" s="21">
        <v>4</v>
      </c>
      <c r="B25" s="23">
        <v>120050</v>
      </c>
      <c r="C25" s="23" t="s">
        <v>10</v>
      </c>
      <c r="D25" s="965">
        <f>Table22[[#This Row],[MRL individual commodity]]</f>
        <v>0</v>
      </c>
      <c r="E25" s="300" t="str">
        <f>Table22[[#This Row],[LOQ_label]]</f>
        <v/>
      </c>
      <c r="F25" s="966">
        <f>Table22[[#This Row],[Chronic RA input value]]</f>
        <v>0</v>
      </c>
      <c r="G25" s="304" t="str">
        <f>Table22[[#This Row],[Chronic RA label]]</f>
        <v/>
      </c>
      <c r="H25" s="304">
        <f>Table22[[#This Row],[GAP under assessment]]</f>
        <v>0</v>
      </c>
      <c r="I25" s="1123"/>
      <c r="J25" s="974" t="e">
        <f>IF($F25="","",$F25*chronic_consumption!$E25/1000/$C$3)</f>
        <v>#DIV/0!</v>
      </c>
      <c r="K25" s="974" t="e">
        <f>IF($F25="","",$F25*chronic_consumption!F25/1000/$C$3)</f>
        <v>#DIV/0!</v>
      </c>
      <c r="L25" s="974" t="e">
        <f>IF($F25="","",$F25*chronic_consumption!G25/1000/$C$3)</f>
        <v>#DIV/0!</v>
      </c>
      <c r="M25" s="974" t="e">
        <f>IF($F25="","",$F25*chronic_consumption!H25/1000/$C$3)</f>
        <v>#DIV/0!</v>
      </c>
      <c r="N25" s="974" t="e">
        <f>IF($F25="","",$F25*chronic_consumption!I25/1000/$C$3)</f>
        <v>#DIV/0!</v>
      </c>
      <c r="O25" s="974" t="e">
        <f>IF($F25="","",$F25*chronic_consumption!J25/1000/$C$3)</f>
        <v>#DIV/0!</v>
      </c>
      <c r="P25" s="974" t="e">
        <f>IF($F25="","",$F25*chronic_consumption!K25/1000/$C$3)</f>
        <v>#DIV/0!</v>
      </c>
      <c r="Q25" s="974" t="e">
        <f>IF($F25="","",$F25*chronic_consumption!L25/1000/$C$3)</f>
        <v>#DIV/0!</v>
      </c>
      <c r="R25" s="974" t="e">
        <f>IF($F25="","",$F25*chronic_consumption!M25/1000/$C$3)</f>
        <v>#DIV/0!</v>
      </c>
      <c r="S25" s="974" t="e">
        <f>IF($F25="","",$F25*chronic_consumption!N25/1000/$C$3)</f>
        <v>#DIV/0!</v>
      </c>
      <c r="T25" s="974" t="e">
        <f>IF($F25="","",$F25*chronic_consumption!O25/1000/$C$3)</f>
        <v>#DIV/0!</v>
      </c>
      <c r="U25" s="974" t="e">
        <f>IF($F25="","",$F25*chronic_consumption!P25/1000/$C$3)</f>
        <v>#DIV/0!</v>
      </c>
      <c r="V25" s="974" t="e">
        <f>IF($F25="","",$F25*chronic_consumption!Q25/1000/$C$3)</f>
        <v>#DIV/0!</v>
      </c>
      <c r="W25" s="974" t="e">
        <f>IF($F25="","",$F25*chronic_consumption!R25/1000/$C$3)</f>
        <v>#DIV/0!</v>
      </c>
      <c r="X25" s="974" t="e">
        <f>IF($F25="","",$F25*chronic_consumption!S25/1000/$C$3)</f>
        <v>#DIV/0!</v>
      </c>
      <c r="Y25" s="974" t="e">
        <f>IF($F25="","",$F25*chronic_consumption!T25/1000/$C$3)</f>
        <v>#DIV/0!</v>
      </c>
      <c r="Z25" s="974" t="e">
        <f>IF($F25="","",$F25*chronic_consumption!U25/1000/$C$3)</f>
        <v>#DIV/0!</v>
      </c>
      <c r="AA25" s="974" t="e">
        <f>IF($F25="","",$F25*chronic_consumption!V25/1000/$C$3)</f>
        <v>#DIV/0!</v>
      </c>
      <c r="AB25" s="974" t="e">
        <f>IF($F25="","",$F25*chronic_consumption!W25/1000/$C$3)</f>
        <v>#DIV/0!</v>
      </c>
      <c r="AC25" s="974" t="e">
        <f>IF($F25="","",$F25*chronic_consumption!X25/1000/$C$3)</f>
        <v>#DIV/0!</v>
      </c>
      <c r="AD25" s="974" t="e">
        <f>IF($F25="","",$F25*chronic_consumption!Y25/1000/$C$3)</f>
        <v>#DIV/0!</v>
      </c>
      <c r="AE25" s="974" t="e">
        <f>IF($F25="","",$F25*chronic_consumption!Z25/1000/$C$3)</f>
        <v>#DIV/0!</v>
      </c>
      <c r="AF25" s="974" t="e">
        <f>IF($F25="","",$F25*chronic_consumption!AA25/1000/$C$3)</f>
        <v>#DIV/0!</v>
      </c>
      <c r="AG25" s="974" t="e">
        <f>IF($F25="","",$F25*chronic_consumption!AB25/1000/$C$3)</f>
        <v>#DIV/0!</v>
      </c>
      <c r="AH25" s="974" t="e">
        <f>IF($F25="","",$F25*chronic_consumption!AC25/1000/$C$3)</f>
        <v>#DIV/0!</v>
      </c>
      <c r="AI25" s="974" t="e">
        <f>IF($F25="","",$F25*chronic_consumption!AD25/1000/$C$3)</f>
        <v>#DIV/0!</v>
      </c>
      <c r="AJ25" s="974" t="e">
        <f>IF($F25="","",$F25*chronic_consumption!AE25/1000/$C$3)</f>
        <v>#DIV/0!</v>
      </c>
      <c r="AK25" s="974" t="e">
        <f>IF($F25="","",$F25*chronic_consumption!AF25/1000/$C$3)</f>
        <v>#DIV/0!</v>
      </c>
      <c r="AL25" s="974" t="e">
        <f>IF($F25="","",$F25*chronic_consumption!AG25/1000/$C$3)</f>
        <v>#DIV/0!</v>
      </c>
      <c r="AM25" s="974" t="e">
        <f>IF($F25="","",$F25*chronic_consumption!AH25/1000/$C$3)</f>
        <v>#DIV/0!</v>
      </c>
      <c r="AN25" s="974" t="e">
        <f>IF($F25="","",$F25*chronic_consumption!AI25/1000/$C$3)</f>
        <v>#DIV/0!</v>
      </c>
      <c r="AO25" s="974" t="e">
        <f>IF($F25="","",$F25*chronic_consumption!AJ25/1000/$C$3)</f>
        <v>#DIV/0!</v>
      </c>
      <c r="AP25" s="974" t="e">
        <f>IF($F25="","",$F25*chronic_consumption!AK25/1000/$C$3)</f>
        <v>#DIV/0!</v>
      </c>
      <c r="AQ25" s="974" t="e">
        <f>IF($F25="","",$F25*chronic_consumption!AL25/1000/$C$3)</f>
        <v>#DIV/0!</v>
      </c>
      <c r="AR25" s="974" t="e">
        <f>IF($F25="","",$F25*chronic_consumption!AM25/1000/$C$3)</f>
        <v>#DIV/0!</v>
      </c>
      <c r="AS25" s="974" t="e">
        <f>IF($F25="","",$F25*chronic_consumption!AN25/1000/$C$3)</f>
        <v>#DIV/0!</v>
      </c>
      <c r="AT25" s="974" t="e">
        <f>IF($F25="","",$F25*chronic_consumption!AO25/1000/$C$3)</f>
        <v>#DIV/0!</v>
      </c>
      <c r="AU25" s="974"/>
      <c r="AV25" s="974" t="e">
        <f>IF($F25="","",$F25*chronic_consumption!AQ25/1000/$C$3)</f>
        <v>#DIV/0!</v>
      </c>
      <c r="AW25" s="974" t="e">
        <f>IF($F25="","",$F25*chronic_consumption!AR25/1000/$C$3)</f>
        <v>#DIV/0!</v>
      </c>
      <c r="AX25" s="974" t="e">
        <f>IF($F25="","",$F25*chronic_consumption!AS25/1000/$C$3)</f>
        <v>#DIV/0!</v>
      </c>
      <c r="AY25" s="974" t="e">
        <f>IF($F25="","",$F25*chronic_consumption!AT25/1000/$C$3)</f>
        <v>#DIV/0!</v>
      </c>
      <c r="AZ25" s="973" t="s">
        <v>19</v>
      </c>
      <c r="BA25" s="969" t="e">
        <f t="shared" si="7"/>
        <v>#DIV/0!</v>
      </c>
      <c r="BB25" s="970" t="e">
        <f t="shared" si="8"/>
        <v>#DIV/0!</v>
      </c>
      <c r="BC25" s="971" t="e">
        <f t="shared" ca="1" si="9"/>
        <v>#DIV/0!</v>
      </c>
      <c r="BD25" s="228">
        <f>input_values!Z25</f>
        <v>4</v>
      </c>
      <c r="BE25" s="152">
        <f>input_values!L25</f>
        <v>0</v>
      </c>
      <c r="BF25" s="972" t="str">
        <f t="shared" si="10"/>
        <v/>
      </c>
    </row>
    <row r="26" spans="1:58" ht="12" customHeight="1" outlineLevel="3" x14ac:dyDescent="0.2">
      <c r="A26" s="21">
        <v>4</v>
      </c>
      <c r="B26" s="23">
        <v>120060</v>
      </c>
      <c r="C26" s="23" t="s">
        <v>681</v>
      </c>
      <c r="D26" s="965">
        <f>Table22[[#This Row],[MRL individual commodity]]</f>
        <v>0</v>
      </c>
      <c r="E26" s="300" t="str">
        <f>Table22[[#This Row],[LOQ_label]]</f>
        <v/>
      </c>
      <c r="F26" s="966">
        <f>Table22[[#This Row],[Chronic RA input value]]</f>
        <v>0</v>
      </c>
      <c r="G26" s="304" t="str">
        <f>Table22[[#This Row],[Chronic RA label]]</f>
        <v/>
      </c>
      <c r="H26" s="304">
        <f>Table22[[#This Row],[GAP under assessment]]</f>
        <v>0</v>
      </c>
      <c r="I26" s="1123"/>
      <c r="J26" s="974" t="e">
        <f>IF($F26="","",$F26*chronic_consumption!$E26/1000/$C$3)</f>
        <v>#DIV/0!</v>
      </c>
      <c r="K26" s="974" t="e">
        <f>IF($F26="","",$F26*chronic_consumption!F26/1000/$C$3)</f>
        <v>#DIV/0!</v>
      </c>
      <c r="L26" s="974" t="e">
        <f>IF($F26="","",$F26*chronic_consumption!G26/1000/$C$3)</f>
        <v>#DIV/0!</v>
      </c>
      <c r="M26" s="974" t="e">
        <f>IF($F26="","",$F26*chronic_consumption!H26/1000/$C$3)</f>
        <v>#DIV/0!</v>
      </c>
      <c r="N26" s="974" t="e">
        <f>IF($F26="","",$F26*chronic_consumption!I26/1000/$C$3)</f>
        <v>#DIV/0!</v>
      </c>
      <c r="O26" s="974" t="e">
        <f>IF($F26="","",$F26*chronic_consumption!J26/1000/$C$3)</f>
        <v>#DIV/0!</v>
      </c>
      <c r="P26" s="974" t="e">
        <f>IF($F26="","",$F26*chronic_consumption!K26/1000/$C$3)</f>
        <v>#DIV/0!</v>
      </c>
      <c r="Q26" s="974" t="e">
        <f>IF($F26="","",$F26*chronic_consumption!L26/1000/$C$3)</f>
        <v>#DIV/0!</v>
      </c>
      <c r="R26" s="974" t="e">
        <f>IF($F26="","",$F26*chronic_consumption!M26/1000/$C$3)</f>
        <v>#DIV/0!</v>
      </c>
      <c r="S26" s="974" t="e">
        <f>IF($F26="","",$F26*chronic_consumption!N26/1000/$C$3)</f>
        <v>#DIV/0!</v>
      </c>
      <c r="T26" s="974" t="e">
        <f>IF($F26="","",$F26*chronic_consumption!O26/1000/$C$3)</f>
        <v>#DIV/0!</v>
      </c>
      <c r="U26" s="974" t="e">
        <f>IF($F26="","",$F26*chronic_consumption!P26/1000/$C$3)</f>
        <v>#DIV/0!</v>
      </c>
      <c r="V26" s="974" t="e">
        <f>IF($F26="","",$F26*chronic_consumption!Q26/1000/$C$3)</f>
        <v>#DIV/0!</v>
      </c>
      <c r="W26" s="974" t="e">
        <f>IF($F26="","",$F26*chronic_consumption!R26/1000/$C$3)</f>
        <v>#DIV/0!</v>
      </c>
      <c r="X26" s="974" t="e">
        <f>IF($F26="","",$F26*chronic_consumption!S26/1000/$C$3)</f>
        <v>#DIV/0!</v>
      </c>
      <c r="Y26" s="974" t="e">
        <f>IF($F26="","",$F26*chronic_consumption!T26/1000/$C$3)</f>
        <v>#DIV/0!</v>
      </c>
      <c r="Z26" s="974" t="e">
        <f>IF($F26="","",$F26*chronic_consumption!U26/1000/$C$3)</f>
        <v>#DIV/0!</v>
      </c>
      <c r="AA26" s="974" t="e">
        <f>IF($F26="","",$F26*chronic_consumption!V26/1000/$C$3)</f>
        <v>#DIV/0!</v>
      </c>
      <c r="AB26" s="974" t="e">
        <f>IF($F26="","",$F26*chronic_consumption!W26/1000/$C$3)</f>
        <v>#DIV/0!</v>
      </c>
      <c r="AC26" s="974" t="e">
        <f>IF($F26="","",$F26*chronic_consumption!X26/1000/$C$3)</f>
        <v>#DIV/0!</v>
      </c>
      <c r="AD26" s="974" t="e">
        <f>IF($F26="","",$F26*chronic_consumption!Y26/1000/$C$3)</f>
        <v>#DIV/0!</v>
      </c>
      <c r="AE26" s="974" t="e">
        <f>IF($F26="","",$F26*chronic_consumption!Z26/1000/$C$3)</f>
        <v>#DIV/0!</v>
      </c>
      <c r="AF26" s="974" t="e">
        <f>IF($F26="","",$F26*chronic_consumption!AA26/1000/$C$3)</f>
        <v>#DIV/0!</v>
      </c>
      <c r="AG26" s="974" t="e">
        <f>IF($F26="","",$F26*chronic_consumption!AB26/1000/$C$3)</f>
        <v>#DIV/0!</v>
      </c>
      <c r="AH26" s="974" t="e">
        <f>IF($F26="","",$F26*chronic_consumption!AC26/1000/$C$3)</f>
        <v>#DIV/0!</v>
      </c>
      <c r="AI26" s="974" t="e">
        <f>IF($F26="","",$F26*chronic_consumption!AD26/1000/$C$3)</f>
        <v>#DIV/0!</v>
      </c>
      <c r="AJ26" s="974" t="e">
        <f>IF($F26="","",$F26*chronic_consumption!AE26/1000/$C$3)</f>
        <v>#DIV/0!</v>
      </c>
      <c r="AK26" s="974" t="e">
        <f>IF($F26="","",$F26*chronic_consumption!AF26/1000/$C$3)</f>
        <v>#DIV/0!</v>
      </c>
      <c r="AL26" s="974" t="e">
        <f>IF($F26="","",$F26*chronic_consumption!AG26/1000/$C$3)</f>
        <v>#DIV/0!</v>
      </c>
      <c r="AM26" s="974" t="e">
        <f>IF($F26="","",$F26*chronic_consumption!AH26/1000/$C$3)</f>
        <v>#DIV/0!</v>
      </c>
      <c r="AN26" s="974" t="e">
        <f>IF($F26="","",$F26*chronic_consumption!AI26/1000/$C$3)</f>
        <v>#DIV/0!</v>
      </c>
      <c r="AO26" s="974" t="e">
        <f>IF($F26="","",$F26*chronic_consumption!AJ26/1000/$C$3)</f>
        <v>#DIV/0!</v>
      </c>
      <c r="AP26" s="974" t="e">
        <f>IF($F26="","",$F26*chronic_consumption!AK26/1000/$C$3)</f>
        <v>#DIV/0!</v>
      </c>
      <c r="AQ26" s="974" t="e">
        <f>IF($F26="","",$F26*chronic_consumption!AL26/1000/$C$3)</f>
        <v>#DIV/0!</v>
      </c>
      <c r="AR26" s="974" t="e">
        <f>IF($F26="","",$F26*chronic_consumption!AM26/1000/$C$3)</f>
        <v>#DIV/0!</v>
      </c>
      <c r="AS26" s="974" t="e">
        <f>IF($F26="","",$F26*chronic_consumption!AN26/1000/$C$3)</f>
        <v>#DIV/0!</v>
      </c>
      <c r="AT26" s="974" t="e">
        <f>IF($F26="","",$F26*chronic_consumption!AO26/1000/$C$3)</f>
        <v>#DIV/0!</v>
      </c>
      <c r="AU26" s="974"/>
      <c r="AV26" s="974" t="e">
        <f>IF($F26="","",$F26*chronic_consumption!AQ26/1000/$C$3)</f>
        <v>#DIV/0!</v>
      </c>
      <c r="AW26" s="974" t="e">
        <f>IF($F26="","",$F26*chronic_consumption!AR26/1000/$C$3)</f>
        <v>#DIV/0!</v>
      </c>
      <c r="AX26" s="974" t="e">
        <f>IF($F26="","",$F26*chronic_consumption!AS26/1000/$C$3)</f>
        <v>#DIV/0!</v>
      </c>
      <c r="AY26" s="974" t="e">
        <f>IF($F26="","",$F26*chronic_consumption!AT26/1000/$C$3)</f>
        <v>#DIV/0!</v>
      </c>
      <c r="AZ26" s="973" t="s">
        <v>19</v>
      </c>
      <c r="BA26" s="969" t="e">
        <f t="shared" si="7"/>
        <v>#DIV/0!</v>
      </c>
      <c r="BB26" s="970" t="e">
        <f t="shared" si="8"/>
        <v>#DIV/0!</v>
      </c>
      <c r="BC26" s="971" t="e">
        <f t="shared" ca="1" si="9"/>
        <v>#DIV/0!</v>
      </c>
      <c r="BD26" s="228">
        <f>input_values!Z26</f>
        <v>4</v>
      </c>
      <c r="BE26" s="152">
        <f>input_values!L26</f>
        <v>0</v>
      </c>
      <c r="BF26" s="972" t="str">
        <f t="shared" si="10"/>
        <v/>
      </c>
    </row>
    <row r="27" spans="1:58" ht="12" customHeight="1" outlineLevel="3" x14ac:dyDescent="0.2">
      <c r="A27" s="21">
        <v>4</v>
      </c>
      <c r="B27" s="23">
        <v>120070</v>
      </c>
      <c r="C27" s="23" t="s">
        <v>108</v>
      </c>
      <c r="D27" s="965">
        <f>Table22[[#This Row],[MRL individual commodity]]</f>
        <v>0</v>
      </c>
      <c r="E27" s="300" t="str">
        <f>Table22[[#This Row],[LOQ_label]]</f>
        <v/>
      </c>
      <c r="F27" s="966">
        <f>Table22[[#This Row],[Chronic RA input value]]</f>
        <v>0</v>
      </c>
      <c r="G27" s="304" t="str">
        <f>Table22[[#This Row],[Chronic RA label]]</f>
        <v/>
      </c>
      <c r="H27" s="304">
        <f>Table22[[#This Row],[GAP under assessment]]</f>
        <v>0</v>
      </c>
      <c r="I27" s="1123"/>
      <c r="J27" s="974" t="e">
        <f>IF($F27="","",$F27*chronic_consumption!$E27/1000/$C$3)</f>
        <v>#DIV/0!</v>
      </c>
      <c r="K27" s="974" t="e">
        <f>IF($F27="","",$F27*chronic_consumption!F27/1000/$C$3)</f>
        <v>#DIV/0!</v>
      </c>
      <c r="L27" s="974" t="e">
        <f>IF($F27="","",$F27*chronic_consumption!G27/1000/$C$3)</f>
        <v>#DIV/0!</v>
      </c>
      <c r="M27" s="974" t="e">
        <f>IF($F27="","",$F27*chronic_consumption!H27/1000/$C$3)</f>
        <v>#DIV/0!</v>
      </c>
      <c r="N27" s="974" t="e">
        <f>IF($F27="","",$F27*chronic_consumption!I27/1000/$C$3)</f>
        <v>#DIV/0!</v>
      </c>
      <c r="O27" s="974" t="e">
        <f>IF($F27="","",$F27*chronic_consumption!J27/1000/$C$3)</f>
        <v>#DIV/0!</v>
      </c>
      <c r="P27" s="974" t="e">
        <f>IF($F27="","",$F27*chronic_consumption!K27/1000/$C$3)</f>
        <v>#DIV/0!</v>
      </c>
      <c r="Q27" s="974" t="e">
        <f>IF($F27="","",$F27*chronic_consumption!L27/1000/$C$3)</f>
        <v>#DIV/0!</v>
      </c>
      <c r="R27" s="974" t="e">
        <f>IF($F27="","",$F27*chronic_consumption!M27/1000/$C$3)</f>
        <v>#DIV/0!</v>
      </c>
      <c r="S27" s="974" t="e">
        <f>IF($F27="","",$F27*chronic_consumption!N27/1000/$C$3)</f>
        <v>#DIV/0!</v>
      </c>
      <c r="T27" s="974" t="e">
        <f>IF($F27="","",$F27*chronic_consumption!O27/1000/$C$3)</f>
        <v>#DIV/0!</v>
      </c>
      <c r="U27" s="974" t="e">
        <f>IF($F27="","",$F27*chronic_consumption!P27/1000/$C$3)</f>
        <v>#DIV/0!</v>
      </c>
      <c r="V27" s="974" t="e">
        <f>IF($F27="","",$F27*chronic_consumption!Q27/1000/$C$3)</f>
        <v>#DIV/0!</v>
      </c>
      <c r="W27" s="974" t="e">
        <f>IF($F27="","",$F27*chronic_consumption!R27/1000/$C$3)</f>
        <v>#DIV/0!</v>
      </c>
      <c r="X27" s="974" t="e">
        <f>IF($F27="","",$F27*chronic_consumption!S27/1000/$C$3)</f>
        <v>#DIV/0!</v>
      </c>
      <c r="Y27" s="974" t="e">
        <f>IF($F27="","",$F27*chronic_consumption!T27/1000/$C$3)</f>
        <v>#DIV/0!</v>
      </c>
      <c r="Z27" s="974" t="e">
        <f>IF($F27="","",$F27*chronic_consumption!U27/1000/$C$3)</f>
        <v>#DIV/0!</v>
      </c>
      <c r="AA27" s="974" t="e">
        <f>IF($F27="","",$F27*chronic_consumption!V27/1000/$C$3)</f>
        <v>#DIV/0!</v>
      </c>
      <c r="AB27" s="974" t="e">
        <f>IF($F27="","",$F27*chronic_consumption!W27/1000/$C$3)</f>
        <v>#DIV/0!</v>
      </c>
      <c r="AC27" s="974" t="e">
        <f>IF($F27="","",$F27*chronic_consumption!X27/1000/$C$3)</f>
        <v>#DIV/0!</v>
      </c>
      <c r="AD27" s="974" t="e">
        <f>IF($F27="","",$F27*chronic_consumption!Y27/1000/$C$3)</f>
        <v>#DIV/0!</v>
      </c>
      <c r="AE27" s="974" t="e">
        <f>IF($F27="","",$F27*chronic_consumption!Z27/1000/$C$3)</f>
        <v>#DIV/0!</v>
      </c>
      <c r="AF27" s="974" t="e">
        <f>IF($F27="","",$F27*chronic_consumption!AA27/1000/$C$3)</f>
        <v>#DIV/0!</v>
      </c>
      <c r="AG27" s="974" t="e">
        <f>IF($F27="","",$F27*chronic_consumption!AB27/1000/$C$3)</f>
        <v>#DIV/0!</v>
      </c>
      <c r="AH27" s="974" t="e">
        <f>IF($F27="","",$F27*chronic_consumption!AC27/1000/$C$3)</f>
        <v>#DIV/0!</v>
      </c>
      <c r="AI27" s="974" t="e">
        <f>IF($F27="","",$F27*chronic_consumption!AD27/1000/$C$3)</f>
        <v>#DIV/0!</v>
      </c>
      <c r="AJ27" s="974" t="e">
        <f>IF($F27="","",$F27*chronic_consumption!AE27/1000/$C$3)</f>
        <v>#DIV/0!</v>
      </c>
      <c r="AK27" s="974" t="e">
        <f>IF($F27="","",$F27*chronic_consumption!AF27/1000/$C$3)</f>
        <v>#DIV/0!</v>
      </c>
      <c r="AL27" s="974" t="e">
        <f>IF($F27="","",$F27*chronic_consumption!AG27/1000/$C$3)</f>
        <v>#DIV/0!</v>
      </c>
      <c r="AM27" s="974" t="e">
        <f>IF($F27="","",$F27*chronic_consumption!AH27/1000/$C$3)</f>
        <v>#DIV/0!</v>
      </c>
      <c r="AN27" s="974" t="e">
        <f>IF($F27="","",$F27*chronic_consumption!AI27/1000/$C$3)</f>
        <v>#DIV/0!</v>
      </c>
      <c r="AO27" s="974" t="e">
        <f>IF($F27="","",$F27*chronic_consumption!AJ27/1000/$C$3)</f>
        <v>#DIV/0!</v>
      </c>
      <c r="AP27" s="974" t="e">
        <f>IF($F27="","",$F27*chronic_consumption!AK27/1000/$C$3)</f>
        <v>#DIV/0!</v>
      </c>
      <c r="AQ27" s="974" t="e">
        <f>IF($F27="","",$F27*chronic_consumption!AL27/1000/$C$3)</f>
        <v>#DIV/0!</v>
      </c>
      <c r="AR27" s="974" t="e">
        <f>IF($F27="","",$F27*chronic_consumption!AM27/1000/$C$3)</f>
        <v>#DIV/0!</v>
      </c>
      <c r="AS27" s="974" t="e">
        <f>IF($F27="","",$F27*chronic_consumption!AN27/1000/$C$3)</f>
        <v>#DIV/0!</v>
      </c>
      <c r="AT27" s="974" t="e">
        <f>IF($F27="","",$F27*chronic_consumption!AO27/1000/$C$3)</f>
        <v>#DIV/0!</v>
      </c>
      <c r="AU27" s="974"/>
      <c r="AV27" s="974" t="e">
        <f>IF($F27="","",$F27*chronic_consumption!AQ27/1000/$C$3)</f>
        <v>#DIV/0!</v>
      </c>
      <c r="AW27" s="974" t="e">
        <f>IF($F27="","",$F27*chronic_consumption!AR27/1000/$C$3)</f>
        <v>#DIV/0!</v>
      </c>
      <c r="AX27" s="974" t="e">
        <f>IF($F27="","",$F27*chronic_consumption!AS27/1000/$C$3)</f>
        <v>#DIV/0!</v>
      </c>
      <c r="AY27" s="974" t="e">
        <f>IF($F27="","",$F27*chronic_consumption!AT27/1000/$C$3)</f>
        <v>#DIV/0!</v>
      </c>
      <c r="AZ27" s="973" t="s">
        <v>19</v>
      </c>
      <c r="BA27" s="969" t="e">
        <f t="shared" si="7"/>
        <v>#DIV/0!</v>
      </c>
      <c r="BB27" s="970" t="e">
        <f t="shared" si="8"/>
        <v>#DIV/0!</v>
      </c>
      <c r="BC27" s="971" t="e">
        <f t="shared" ca="1" si="9"/>
        <v>#DIV/0!</v>
      </c>
      <c r="BD27" s="228">
        <f>input_values!Z27</f>
        <v>4</v>
      </c>
      <c r="BE27" s="152">
        <f>input_values!L27</f>
        <v>0</v>
      </c>
      <c r="BF27" s="972" t="str">
        <f t="shared" si="10"/>
        <v/>
      </c>
    </row>
    <row r="28" spans="1:58" ht="12" customHeight="1" outlineLevel="3" x14ac:dyDescent="0.2">
      <c r="A28" s="21">
        <v>4</v>
      </c>
      <c r="B28" s="23">
        <v>120080</v>
      </c>
      <c r="C28" s="23" t="s">
        <v>109</v>
      </c>
      <c r="D28" s="965">
        <f>Table22[[#This Row],[MRL individual commodity]]</f>
        <v>0</v>
      </c>
      <c r="E28" s="300" t="str">
        <f>Table22[[#This Row],[LOQ_label]]</f>
        <v/>
      </c>
      <c r="F28" s="966">
        <f>Table22[[#This Row],[Chronic RA input value]]</f>
        <v>0</v>
      </c>
      <c r="G28" s="304" t="str">
        <f>Table22[[#This Row],[Chronic RA label]]</f>
        <v/>
      </c>
      <c r="H28" s="304">
        <f>Table22[[#This Row],[GAP under assessment]]</f>
        <v>0</v>
      </c>
      <c r="I28" s="1123"/>
      <c r="J28" s="974" t="e">
        <f>IF($F28="","",$F28*chronic_consumption!$E28/1000/$C$3)</f>
        <v>#DIV/0!</v>
      </c>
      <c r="K28" s="974" t="e">
        <f>IF($F28="","",$F28*chronic_consumption!F28/1000/$C$3)</f>
        <v>#DIV/0!</v>
      </c>
      <c r="L28" s="974" t="e">
        <f>IF($F28="","",$F28*chronic_consumption!G28/1000/$C$3)</f>
        <v>#DIV/0!</v>
      </c>
      <c r="M28" s="974" t="e">
        <f>IF($F28="","",$F28*chronic_consumption!H28/1000/$C$3)</f>
        <v>#DIV/0!</v>
      </c>
      <c r="N28" s="974" t="e">
        <f>IF($F28="","",$F28*chronic_consumption!I28/1000/$C$3)</f>
        <v>#DIV/0!</v>
      </c>
      <c r="O28" s="974" t="e">
        <f>IF($F28="","",$F28*chronic_consumption!J28/1000/$C$3)</f>
        <v>#DIV/0!</v>
      </c>
      <c r="P28" s="974" t="e">
        <f>IF($F28="","",$F28*chronic_consumption!K28/1000/$C$3)</f>
        <v>#DIV/0!</v>
      </c>
      <c r="Q28" s="974" t="e">
        <f>IF($F28="","",$F28*chronic_consumption!L28/1000/$C$3)</f>
        <v>#DIV/0!</v>
      </c>
      <c r="R28" s="974" t="e">
        <f>IF($F28="","",$F28*chronic_consumption!M28/1000/$C$3)</f>
        <v>#DIV/0!</v>
      </c>
      <c r="S28" s="974" t="e">
        <f>IF($F28="","",$F28*chronic_consumption!N28/1000/$C$3)</f>
        <v>#DIV/0!</v>
      </c>
      <c r="T28" s="974" t="e">
        <f>IF($F28="","",$F28*chronic_consumption!O28/1000/$C$3)</f>
        <v>#DIV/0!</v>
      </c>
      <c r="U28" s="974" t="e">
        <f>IF($F28="","",$F28*chronic_consumption!P28/1000/$C$3)</f>
        <v>#DIV/0!</v>
      </c>
      <c r="V28" s="974" t="e">
        <f>IF($F28="","",$F28*chronic_consumption!Q28/1000/$C$3)</f>
        <v>#DIV/0!</v>
      </c>
      <c r="W28" s="974" t="e">
        <f>IF($F28="","",$F28*chronic_consumption!R28/1000/$C$3)</f>
        <v>#DIV/0!</v>
      </c>
      <c r="X28" s="974" t="e">
        <f>IF($F28="","",$F28*chronic_consumption!S28/1000/$C$3)</f>
        <v>#DIV/0!</v>
      </c>
      <c r="Y28" s="974" t="e">
        <f>IF($F28="","",$F28*chronic_consumption!T28/1000/$C$3)</f>
        <v>#DIV/0!</v>
      </c>
      <c r="Z28" s="974" t="e">
        <f>IF($F28="","",$F28*chronic_consumption!U28/1000/$C$3)</f>
        <v>#DIV/0!</v>
      </c>
      <c r="AA28" s="974" t="e">
        <f>IF($F28="","",$F28*chronic_consumption!V28/1000/$C$3)</f>
        <v>#DIV/0!</v>
      </c>
      <c r="AB28" s="974" t="e">
        <f>IF($F28="","",$F28*chronic_consumption!W28/1000/$C$3)</f>
        <v>#DIV/0!</v>
      </c>
      <c r="AC28" s="974" t="e">
        <f>IF($F28="","",$F28*chronic_consumption!X28/1000/$C$3)</f>
        <v>#DIV/0!</v>
      </c>
      <c r="AD28" s="974" t="e">
        <f>IF($F28="","",$F28*chronic_consumption!Y28/1000/$C$3)</f>
        <v>#DIV/0!</v>
      </c>
      <c r="AE28" s="974" t="e">
        <f>IF($F28="","",$F28*chronic_consumption!Z28/1000/$C$3)</f>
        <v>#DIV/0!</v>
      </c>
      <c r="AF28" s="974" t="e">
        <f>IF($F28="","",$F28*chronic_consumption!AA28/1000/$C$3)</f>
        <v>#DIV/0!</v>
      </c>
      <c r="AG28" s="974" t="e">
        <f>IF($F28="","",$F28*chronic_consumption!AB28/1000/$C$3)</f>
        <v>#DIV/0!</v>
      </c>
      <c r="AH28" s="974" t="e">
        <f>IF($F28="","",$F28*chronic_consumption!AC28/1000/$C$3)</f>
        <v>#DIV/0!</v>
      </c>
      <c r="AI28" s="974" t="e">
        <f>IF($F28="","",$F28*chronic_consumption!AD28/1000/$C$3)</f>
        <v>#DIV/0!</v>
      </c>
      <c r="AJ28" s="974" t="e">
        <f>IF($F28="","",$F28*chronic_consumption!AE28/1000/$C$3)</f>
        <v>#DIV/0!</v>
      </c>
      <c r="AK28" s="974" t="e">
        <f>IF($F28="","",$F28*chronic_consumption!AF28/1000/$C$3)</f>
        <v>#DIV/0!</v>
      </c>
      <c r="AL28" s="974" t="e">
        <f>IF($F28="","",$F28*chronic_consumption!AG28/1000/$C$3)</f>
        <v>#DIV/0!</v>
      </c>
      <c r="AM28" s="974" t="e">
        <f>IF($F28="","",$F28*chronic_consumption!AH28/1000/$C$3)</f>
        <v>#DIV/0!</v>
      </c>
      <c r="AN28" s="974" t="e">
        <f>IF($F28="","",$F28*chronic_consumption!AI28/1000/$C$3)</f>
        <v>#DIV/0!</v>
      </c>
      <c r="AO28" s="974" t="e">
        <f>IF($F28="","",$F28*chronic_consumption!AJ28/1000/$C$3)</f>
        <v>#DIV/0!</v>
      </c>
      <c r="AP28" s="974" t="e">
        <f>IF($F28="","",$F28*chronic_consumption!AK28/1000/$C$3)</f>
        <v>#DIV/0!</v>
      </c>
      <c r="AQ28" s="974" t="e">
        <f>IF($F28="","",$F28*chronic_consumption!AL28/1000/$C$3)</f>
        <v>#DIV/0!</v>
      </c>
      <c r="AR28" s="974" t="e">
        <f>IF($F28="","",$F28*chronic_consumption!AM28/1000/$C$3)</f>
        <v>#DIV/0!</v>
      </c>
      <c r="AS28" s="974" t="e">
        <f>IF($F28="","",$F28*chronic_consumption!AN28/1000/$C$3)</f>
        <v>#DIV/0!</v>
      </c>
      <c r="AT28" s="974" t="e">
        <f>IF($F28="","",$F28*chronic_consumption!AO28/1000/$C$3)</f>
        <v>#DIV/0!</v>
      </c>
      <c r="AU28" s="974"/>
      <c r="AV28" s="974" t="e">
        <f>IF($F28="","",$F28*chronic_consumption!AQ28/1000/$C$3)</f>
        <v>#DIV/0!</v>
      </c>
      <c r="AW28" s="974" t="e">
        <f>IF($F28="","",$F28*chronic_consumption!AR28/1000/$C$3)</f>
        <v>#DIV/0!</v>
      </c>
      <c r="AX28" s="974" t="e">
        <f>IF($F28="","",$F28*chronic_consumption!AS28/1000/$C$3)</f>
        <v>#DIV/0!</v>
      </c>
      <c r="AY28" s="974" t="e">
        <f>IF($F28="","",$F28*chronic_consumption!AT28/1000/$C$3)</f>
        <v>#DIV/0!</v>
      </c>
      <c r="AZ28" s="973" t="s">
        <v>19</v>
      </c>
      <c r="BA28" s="969" t="e">
        <f t="shared" si="7"/>
        <v>#DIV/0!</v>
      </c>
      <c r="BB28" s="970" t="e">
        <f t="shared" si="8"/>
        <v>#DIV/0!</v>
      </c>
      <c r="BC28" s="971" t="e">
        <f t="shared" ca="1" si="9"/>
        <v>#DIV/0!</v>
      </c>
      <c r="BD28" s="228">
        <f>input_values!Z28</f>
        <v>4</v>
      </c>
      <c r="BE28" s="152">
        <f>input_values!L28</f>
        <v>0</v>
      </c>
      <c r="BF28" s="972" t="str">
        <f t="shared" si="10"/>
        <v/>
      </c>
    </row>
    <row r="29" spans="1:58" ht="12" customHeight="1" outlineLevel="3" x14ac:dyDescent="0.2">
      <c r="A29" s="21">
        <v>4</v>
      </c>
      <c r="B29" s="23">
        <v>120090</v>
      </c>
      <c r="C29" s="23" t="s">
        <v>682</v>
      </c>
      <c r="D29" s="965">
        <f>Table22[[#This Row],[MRL individual commodity]]</f>
        <v>0</v>
      </c>
      <c r="E29" s="300" t="str">
        <f>Table22[[#This Row],[LOQ_label]]</f>
        <v/>
      </c>
      <c r="F29" s="966">
        <f>Table22[[#This Row],[Chronic RA input value]]</f>
        <v>0</v>
      </c>
      <c r="G29" s="304" t="str">
        <f>Table22[[#This Row],[Chronic RA label]]</f>
        <v/>
      </c>
      <c r="H29" s="304">
        <f>Table22[[#This Row],[GAP under assessment]]</f>
        <v>0</v>
      </c>
      <c r="I29" s="1123"/>
      <c r="J29" s="974" t="e">
        <f>IF($F29="","",$F29*chronic_consumption!$E29/1000/$C$3)</f>
        <v>#DIV/0!</v>
      </c>
      <c r="K29" s="974" t="e">
        <f>IF($F29="","",$F29*chronic_consumption!F29/1000/$C$3)</f>
        <v>#DIV/0!</v>
      </c>
      <c r="L29" s="974" t="e">
        <f>IF($F29="","",$F29*chronic_consumption!G29/1000/$C$3)</f>
        <v>#DIV/0!</v>
      </c>
      <c r="M29" s="974" t="e">
        <f>IF($F29="","",$F29*chronic_consumption!H29/1000/$C$3)</f>
        <v>#DIV/0!</v>
      </c>
      <c r="N29" s="974" t="e">
        <f>IF($F29="","",$F29*chronic_consumption!I29/1000/$C$3)</f>
        <v>#DIV/0!</v>
      </c>
      <c r="O29" s="974" t="e">
        <f>IF($F29="","",$F29*chronic_consumption!J29/1000/$C$3)</f>
        <v>#DIV/0!</v>
      </c>
      <c r="P29" s="974" t="e">
        <f>IF($F29="","",$F29*chronic_consumption!K29/1000/$C$3)</f>
        <v>#DIV/0!</v>
      </c>
      <c r="Q29" s="974" t="e">
        <f>IF($F29="","",$F29*chronic_consumption!L29/1000/$C$3)</f>
        <v>#DIV/0!</v>
      </c>
      <c r="R29" s="974" t="e">
        <f>IF($F29="","",$F29*chronic_consumption!M29/1000/$C$3)</f>
        <v>#DIV/0!</v>
      </c>
      <c r="S29" s="974" t="e">
        <f>IF($F29="","",$F29*chronic_consumption!N29/1000/$C$3)</f>
        <v>#DIV/0!</v>
      </c>
      <c r="T29" s="974" t="e">
        <f>IF($F29="","",$F29*chronic_consumption!O29/1000/$C$3)</f>
        <v>#DIV/0!</v>
      </c>
      <c r="U29" s="974" t="e">
        <f>IF($F29="","",$F29*chronic_consumption!P29/1000/$C$3)</f>
        <v>#DIV/0!</v>
      </c>
      <c r="V29" s="974" t="e">
        <f>IF($F29="","",$F29*chronic_consumption!Q29/1000/$C$3)</f>
        <v>#DIV/0!</v>
      </c>
      <c r="W29" s="974" t="e">
        <f>IF($F29="","",$F29*chronic_consumption!R29/1000/$C$3)</f>
        <v>#DIV/0!</v>
      </c>
      <c r="X29" s="974" t="e">
        <f>IF($F29="","",$F29*chronic_consumption!S29/1000/$C$3)</f>
        <v>#DIV/0!</v>
      </c>
      <c r="Y29" s="974" t="e">
        <f>IF($F29="","",$F29*chronic_consumption!T29/1000/$C$3)</f>
        <v>#DIV/0!</v>
      </c>
      <c r="Z29" s="974" t="e">
        <f>IF($F29="","",$F29*chronic_consumption!U29/1000/$C$3)</f>
        <v>#DIV/0!</v>
      </c>
      <c r="AA29" s="974" t="e">
        <f>IF($F29="","",$F29*chronic_consumption!V29/1000/$C$3)</f>
        <v>#DIV/0!</v>
      </c>
      <c r="AB29" s="974" t="e">
        <f>IF($F29="","",$F29*chronic_consumption!W29/1000/$C$3)</f>
        <v>#DIV/0!</v>
      </c>
      <c r="AC29" s="974" t="e">
        <f>IF($F29="","",$F29*chronic_consumption!X29/1000/$C$3)</f>
        <v>#DIV/0!</v>
      </c>
      <c r="AD29" s="974" t="e">
        <f>IF($F29="","",$F29*chronic_consumption!Y29/1000/$C$3)</f>
        <v>#DIV/0!</v>
      </c>
      <c r="AE29" s="974" t="e">
        <f>IF($F29="","",$F29*chronic_consumption!Z29/1000/$C$3)</f>
        <v>#DIV/0!</v>
      </c>
      <c r="AF29" s="974" t="e">
        <f>IF($F29="","",$F29*chronic_consumption!AA29/1000/$C$3)</f>
        <v>#DIV/0!</v>
      </c>
      <c r="AG29" s="974" t="e">
        <f>IF($F29="","",$F29*chronic_consumption!AB29/1000/$C$3)</f>
        <v>#DIV/0!</v>
      </c>
      <c r="AH29" s="974" t="e">
        <f>IF($F29="","",$F29*chronic_consumption!AC29/1000/$C$3)</f>
        <v>#DIV/0!</v>
      </c>
      <c r="AI29" s="974" t="e">
        <f>IF($F29="","",$F29*chronic_consumption!AD29/1000/$C$3)</f>
        <v>#DIV/0!</v>
      </c>
      <c r="AJ29" s="974" t="e">
        <f>IF($F29="","",$F29*chronic_consumption!AE29/1000/$C$3)</f>
        <v>#DIV/0!</v>
      </c>
      <c r="AK29" s="974" t="e">
        <f>IF($F29="","",$F29*chronic_consumption!AF29/1000/$C$3)</f>
        <v>#DIV/0!</v>
      </c>
      <c r="AL29" s="974" t="e">
        <f>IF($F29="","",$F29*chronic_consumption!AG29/1000/$C$3)</f>
        <v>#DIV/0!</v>
      </c>
      <c r="AM29" s="974" t="e">
        <f>IF($F29="","",$F29*chronic_consumption!AH29/1000/$C$3)</f>
        <v>#DIV/0!</v>
      </c>
      <c r="AN29" s="974" t="e">
        <f>IF($F29="","",$F29*chronic_consumption!AI29/1000/$C$3)</f>
        <v>#DIV/0!</v>
      </c>
      <c r="AO29" s="974" t="e">
        <f>IF($F29="","",$F29*chronic_consumption!AJ29/1000/$C$3)</f>
        <v>#DIV/0!</v>
      </c>
      <c r="AP29" s="974" t="e">
        <f>IF($F29="","",$F29*chronic_consumption!AK29/1000/$C$3)</f>
        <v>#DIV/0!</v>
      </c>
      <c r="AQ29" s="974" t="e">
        <f>IF($F29="","",$F29*chronic_consumption!AL29/1000/$C$3)</f>
        <v>#DIV/0!</v>
      </c>
      <c r="AR29" s="974" t="e">
        <f>IF($F29="","",$F29*chronic_consumption!AM29/1000/$C$3)</f>
        <v>#DIV/0!</v>
      </c>
      <c r="AS29" s="974" t="e">
        <f>IF($F29="","",$F29*chronic_consumption!AN29/1000/$C$3)</f>
        <v>#DIV/0!</v>
      </c>
      <c r="AT29" s="974" t="e">
        <f>IF($F29="","",$F29*chronic_consumption!AO29/1000/$C$3)</f>
        <v>#DIV/0!</v>
      </c>
      <c r="AU29" s="974"/>
      <c r="AV29" s="974" t="e">
        <f>IF($F29="","",$F29*chronic_consumption!AQ29/1000/$C$3)</f>
        <v>#DIV/0!</v>
      </c>
      <c r="AW29" s="974" t="e">
        <f>IF($F29="","",$F29*chronic_consumption!AR29/1000/$C$3)</f>
        <v>#DIV/0!</v>
      </c>
      <c r="AX29" s="974" t="e">
        <f>IF($F29="","",$F29*chronic_consumption!AS29/1000/$C$3)</f>
        <v>#DIV/0!</v>
      </c>
      <c r="AY29" s="974" t="e">
        <f>IF($F29="","",$F29*chronic_consumption!AT29/1000/$C$3)</f>
        <v>#DIV/0!</v>
      </c>
      <c r="AZ29" s="973" t="s">
        <v>19</v>
      </c>
      <c r="BA29" s="969" t="e">
        <f t="shared" si="7"/>
        <v>#DIV/0!</v>
      </c>
      <c r="BB29" s="970" t="e">
        <f t="shared" si="8"/>
        <v>#DIV/0!</v>
      </c>
      <c r="BC29" s="971" t="e">
        <f t="shared" ca="1" si="9"/>
        <v>#DIV/0!</v>
      </c>
      <c r="BD29" s="228">
        <f>input_values!Z29</f>
        <v>4</v>
      </c>
      <c r="BE29" s="152">
        <f>input_values!L29</f>
        <v>0</v>
      </c>
      <c r="BF29" s="972" t="str">
        <f t="shared" si="10"/>
        <v/>
      </c>
    </row>
    <row r="30" spans="1:58" ht="12" customHeight="1" outlineLevel="3" x14ac:dyDescent="0.2">
      <c r="A30" s="21">
        <v>4</v>
      </c>
      <c r="B30" s="23">
        <v>120100</v>
      </c>
      <c r="C30" s="23" t="s">
        <v>110</v>
      </c>
      <c r="D30" s="965">
        <f>Table22[[#This Row],[MRL individual commodity]]</f>
        <v>0</v>
      </c>
      <c r="E30" s="300" t="str">
        <f>Table22[[#This Row],[LOQ_label]]</f>
        <v/>
      </c>
      <c r="F30" s="966">
        <f>Table22[[#This Row],[Chronic RA input value]]</f>
        <v>0</v>
      </c>
      <c r="G30" s="304" t="str">
        <f>Table22[[#This Row],[Chronic RA label]]</f>
        <v/>
      </c>
      <c r="H30" s="304">
        <f>Table22[[#This Row],[GAP under assessment]]</f>
        <v>0</v>
      </c>
      <c r="I30" s="1123"/>
      <c r="J30" s="974" t="e">
        <f>IF($F30="","",$F30*chronic_consumption!$E30/1000/$C$3)</f>
        <v>#DIV/0!</v>
      </c>
      <c r="K30" s="974" t="e">
        <f>IF($F30="","",$F30*chronic_consumption!F30/1000/$C$3)</f>
        <v>#DIV/0!</v>
      </c>
      <c r="L30" s="974" t="e">
        <f>IF($F30="","",$F30*chronic_consumption!G30/1000/$C$3)</f>
        <v>#DIV/0!</v>
      </c>
      <c r="M30" s="974" t="e">
        <f>IF($F30="","",$F30*chronic_consumption!H30/1000/$C$3)</f>
        <v>#DIV/0!</v>
      </c>
      <c r="N30" s="974" t="e">
        <f>IF($F30="","",$F30*chronic_consumption!I30/1000/$C$3)</f>
        <v>#DIV/0!</v>
      </c>
      <c r="O30" s="974" t="e">
        <f>IF($F30="","",$F30*chronic_consumption!J30/1000/$C$3)</f>
        <v>#DIV/0!</v>
      </c>
      <c r="P30" s="974" t="e">
        <f>IF($F30="","",$F30*chronic_consumption!K30/1000/$C$3)</f>
        <v>#DIV/0!</v>
      </c>
      <c r="Q30" s="974" t="e">
        <f>IF($F30="","",$F30*chronic_consumption!L30/1000/$C$3)</f>
        <v>#DIV/0!</v>
      </c>
      <c r="R30" s="974" t="e">
        <f>IF($F30="","",$F30*chronic_consumption!M30/1000/$C$3)</f>
        <v>#DIV/0!</v>
      </c>
      <c r="S30" s="974" t="e">
        <f>IF($F30="","",$F30*chronic_consumption!N30/1000/$C$3)</f>
        <v>#DIV/0!</v>
      </c>
      <c r="T30" s="974" t="e">
        <f>IF($F30="","",$F30*chronic_consumption!O30/1000/$C$3)</f>
        <v>#DIV/0!</v>
      </c>
      <c r="U30" s="974" t="e">
        <f>IF($F30="","",$F30*chronic_consumption!P30/1000/$C$3)</f>
        <v>#DIV/0!</v>
      </c>
      <c r="V30" s="974" t="e">
        <f>IF($F30="","",$F30*chronic_consumption!Q30/1000/$C$3)</f>
        <v>#DIV/0!</v>
      </c>
      <c r="W30" s="974" t="e">
        <f>IF($F30="","",$F30*chronic_consumption!R30/1000/$C$3)</f>
        <v>#DIV/0!</v>
      </c>
      <c r="X30" s="974" t="e">
        <f>IF($F30="","",$F30*chronic_consumption!S30/1000/$C$3)</f>
        <v>#DIV/0!</v>
      </c>
      <c r="Y30" s="974" t="e">
        <f>IF($F30="","",$F30*chronic_consumption!T30/1000/$C$3)</f>
        <v>#DIV/0!</v>
      </c>
      <c r="Z30" s="974" t="e">
        <f>IF($F30="","",$F30*chronic_consumption!U30/1000/$C$3)</f>
        <v>#DIV/0!</v>
      </c>
      <c r="AA30" s="974" t="e">
        <f>IF($F30="","",$F30*chronic_consumption!V30/1000/$C$3)</f>
        <v>#DIV/0!</v>
      </c>
      <c r="AB30" s="974" t="e">
        <f>IF($F30="","",$F30*chronic_consumption!W30/1000/$C$3)</f>
        <v>#DIV/0!</v>
      </c>
      <c r="AC30" s="974" t="e">
        <f>IF($F30="","",$F30*chronic_consumption!X30/1000/$C$3)</f>
        <v>#DIV/0!</v>
      </c>
      <c r="AD30" s="974" t="e">
        <f>IF($F30="","",$F30*chronic_consumption!Y30/1000/$C$3)</f>
        <v>#DIV/0!</v>
      </c>
      <c r="AE30" s="974" t="e">
        <f>IF($F30="","",$F30*chronic_consumption!Z30/1000/$C$3)</f>
        <v>#DIV/0!</v>
      </c>
      <c r="AF30" s="974" t="e">
        <f>IF($F30="","",$F30*chronic_consumption!AA30/1000/$C$3)</f>
        <v>#DIV/0!</v>
      </c>
      <c r="AG30" s="974" t="e">
        <f>IF($F30="","",$F30*chronic_consumption!AB30/1000/$C$3)</f>
        <v>#DIV/0!</v>
      </c>
      <c r="AH30" s="974" t="e">
        <f>IF($F30="","",$F30*chronic_consumption!AC30/1000/$C$3)</f>
        <v>#DIV/0!</v>
      </c>
      <c r="AI30" s="974" t="e">
        <f>IF($F30="","",$F30*chronic_consumption!AD30/1000/$C$3)</f>
        <v>#DIV/0!</v>
      </c>
      <c r="AJ30" s="974" t="e">
        <f>IF($F30="","",$F30*chronic_consumption!AE30/1000/$C$3)</f>
        <v>#DIV/0!</v>
      </c>
      <c r="AK30" s="974" t="e">
        <f>IF($F30="","",$F30*chronic_consumption!AF30/1000/$C$3)</f>
        <v>#DIV/0!</v>
      </c>
      <c r="AL30" s="974" t="e">
        <f>IF($F30="","",$F30*chronic_consumption!AG30/1000/$C$3)</f>
        <v>#DIV/0!</v>
      </c>
      <c r="AM30" s="974" t="e">
        <f>IF($F30="","",$F30*chronic_consumption!AH30/1000/$C$3)</f>
        <v>#DIV/0!</v>
      </c>
      <c r="AN30" s="974" t="e">
        <f>IF($F30="","",$F30*chronic_consumption!AI30/1000/$C$3)</f>
        <v>#DIV/0!</v>
      </c>
      <c r="AO30" s="974" t="e">
        <f>IF($F30="","",$F30*chronic_consumption!AJ30/1000/$C$3)</f>
        <v>#DIV/0!</v>
      </c>
      <c r="AP30" s="974" t="e">
        <f>IF($F30="","",$F30*chronic_consumption!AK30/1000/$C$3)</f>
        <v>#DIV/0!</v>
      </c>
      <c r="AQ30" s="974" t="e">
        <f>IF($F30="","",$F30*chronic_consumption!AL30/1000/$C$3)</f>
        <v>#DIV/0!</v>
      </c>
      <c r="AR30" s="974" t="e">
        <f>IF($F30="","",$F30*chronic_consumption!AM30/1000/$C$3)</f>
        <v>#DIV/0!</v>
      </c>
      <c r="AS30" s="974" t="e">
        <f>IF($F30="","",$F30*chronic_consumption!AN30/1000/$C$3)</f>
        <v>#DIV/0!</v>
      </c>
      <c r="AT30" s="974" t="e">
        <f>IF($F30="","",$F30*chronic_consumption!AO30/1000/$C$3)</f>
        <v>#DIV/0!</v>
      </c>
      <c r="AU30" s="974"/>
      <c r="AV30" s="974" t="e">
        <f>IF($F30="","",$F30*chronic_consumption!AQ30/1000/$C$3)</f>
        <v>#DIV/0!</v>
      </c>
      <c r="AW30" s="974" t="e">
        <f>IF($F30="","",$F30*chronic_consumption!AR30/1000/$C$3)</f>
        <v>#DIV/0!</v>
      </c>
      <c r="AX30" s="974" t="e">
        <f>IF($F30="","",$F30*chronic_consumption!AS30/1000/$C$3)</f>
        <v>#DIV/0!</v>
      </c>
      <c r="AY30" s="974" t="e">
        <f>IF($F30="","",$F30*chronic_consumption!AT30/1000/$C$3)</f>
        <v>#DIV/0!</v>
      </c>
      <c r="AZ30" s="973" t="s">
        <v>19</v>
      </c>
      <c r="BA30" s="969" t="e">
        <f t="shared" si="7"/>
        <v>#DIV/0!</v>
      </c>
      <c r="BB30" s="970" t="e">
        <f t="shared" si="8"/>
        <v>#DIV/0!</v>
      </c>
      <c r="BC30" s="971" t="e">
        <f t="shared" ca="1" si="9"/>
        <v>#DIV/0!</v>
      </c>
      <c r="BD30" s="228">
        <f>input_values!Z30</f>
        <v>4</v>
      </c>
      <c r="BE30" s="152">
        <f>input_values!L30</f>
        <v>0</v>
      </c>
      <c r="BF30" s="972" t="str">
        <f t="shared" si="10"/>
        <v/>
      </c>
    </row>
    <row r="31" spans="1:58" ht="12" customHeight="1" outlineLevel="3" x14ac:dyDescent="0.2">
      <c r="A31" s="21">
        <v>4</v>
      </c>
      <c r="B31" s="23">
        <v>120110</v>
      </c>
      <c r="C31" s="23" t="s">
        <v>111</v>
      </c>
      <c r="D31" s="965">
        <f>Table22[[#This Row],[MRL individual commodity]]</f>
        <v>0</v>
      </c>
      <c r="E31" s="300" t="str">
        <f>Table22[[#This Row],[LOQ_label]]</f>
        <v/>
      </c>
      <c r="F31" s="966">
        <f>Table22[[#This Row],[Chronic RA input value]]</f>
        <v>0</v>
      </c>
      <c r="G31" s="304" t="str">
        <f>Table22[[#This Row],[Chronic RA label]]</f>
        <v/>
      </c>
      <c r="H31" s="304">
        <f>Table22[[#This Row],[GAP under assessment]]</f>
        <v>0</v>
      </c>
      <c r="I31" s="1123"/>
      <c r="J31" s="974" t="e">
        <f>IF($F31="","",$F31*chronic_consumption!$E31/1000/$C$3)</f>
        <v>#DIV/0!</v>
      </c>
      <c r="K31" s="974" t="e">
        <f>IF($F31="","",$F31*chronic_consumption!F31/1000/$C$3)</f>
        <v>#DIV/0!</v>
      </c>
      <c r="L31" s="974" t="e">
        <f>IF($F31="","",$F31*chronic_consumption!G31/1000/$C$3)</f>
        <v>#DIV/0!</v>
      </c>
      <c r="M31" s="974" t="e">
        <f>IF($F31="","",$F31*chronic_consumption!H31/1000/$C$3)</f>
        <v>#DIV/0!</v>
      </c>
      <c r="N31" s="974" t="e">
        <f>IF($F31="","",$F31*chronic_consumption!I31/1000/$C$3)</f>
        <v>#DIV/0!</v>
      </c>
      <c r="O31" s="974" t="e">
        <f>IF($F31="","",$F31*chronic_consumption!J31/1000/$C$3)</f>
        <v>#DIV/0!</v>
      </c>
      <c r="P31" s="974" t="e">
        <f>IF($F31="","",$F31*chronic_consumption!K31/1000/$C$3)</f>
        <v>#DIV/0!</v>
      </c>
      <c r="Q31" s="974" t="e">
        <f>IF($F31="","",$F31*chronic_consumption!L31/1000/$C$3)</f>
        <v>#DIV/0!</v>
      </c>
      <c r="R31" s="974" t="e">
        <f>IF($F31="","",$F31*chronic_consumption!M31/1000/$C$3)</f>
        <v>#DIV/0!</v>
      </c>
      <c r="S31" s="974" t="e">
        <f>IF($F31="","",$F31*chronic_consumption!N31/1000/$C$3)</f>
        <v>#DIV/0!</v>
      </c>
      <c r="T31" s="974" t="e">
        <f>IF($F31="","",$F31*chronic_consumption!O31/1000/$C$3)</f>
        <v>#DIV/0!</v>
      </c>
      <c r="U31" s="974" t="e">
        <f>IF($F31="","",$F31*chronic_consumption!P31/1000/$C$3)</f>
        <v>#DIV/0!</v>
      </c>
      <c r="V31" s="974" t="e">
        <f>IF($F31="","",$F31*chronic_consumption!Q31/1000/$C$3)</f>
        <v>#DIV/0!</v>
      </c>
      <c r="W31" s="974" t="e">
        <f>IF($F31="","",$F31*chronic_consumption!R31/1000/$C$3)</f>
        <v>#DIV/0!</v>
      </c>
      <c r="X31" s="974" t="e">
        <f>IF($F31="","",$F31*chronic_consumption!S31/1000/$C$3)</f>
        <v>#DIV/0!</v>
      </c>
      <c r="Y31" s="974" t="e">
        <f>IF($F31="","",$F31*chronic_consumption!T31/1000/$C$3)</f>
        <v>#DIV/0!</v>
      </c>
      <c r="Z31" s="974" t="e">
        <f>IF($F31="","",$F31*chronic_consumption!U31/1000/$C$3)</f>
        <v>#DIV/0!</v>
      </c>
      <c r="AA31" s="974" t="e">
        <f>IF($F31="","",$F31*chronic_consumption!V31/1000/$C$3)</f>
        <v>#DIV/0!</v>
      </c>
      <c r="AB31" s="974" t="e">
        <f>IF($F31="","",$F31*chronic_consumption!W31/1000/$C$3)</f>
        <v>#DIV/0!</v>
      </c>
      <c r="AC31" s="974" t="e">
        <f>IF($F31="","",$F31*chronic_consumption!X31/1000/$C$3)</f>
        <v>#DIV/0!</v>
      </c>
      <c r="AD31" s="974" t="e">
        <f>IF($F31="","",$F31*chronic_consumption!Y31/1000/$C$3)</f>
        <v>#DIV/0!</v>
      </c>
      <c r="AE31" s="974" t="e">
        <f>IF($F31="","",$F31*chronic_consumption!Z31/1000/$C$3)</f>
        <v>#DIV/0!</v>
      </c>
      <c r="AF31" s="974" t="e">
        <f>IF($F31="","",$F31*chronic_consumption!AA31/1000/$C$3)</f>
        <v>#DIV/0!</v>
      </c>
      <c r="AG31" s="974" t="e">
        <f>IF($F31="","",$F31*chronic_consumption!AB31/1000/$C$3)</f>
        <v>#DIV/0!</v>
      </c>
      <c r="AH31" s="974" t="e">
        <f>IF($F31="","",$F31*chronic_consumption!AC31/1000/$C$3)</f>
        <v>#DIV/0!</v>
      </c>
      <c r="AI31" s="974" t="e">
        <f>IF($F31="","",$F31*chronic_consumption!AD31/1000/$C$3)</f>
        <v>#DIV/0!</v>
      </c>
      <c r="AJ31" s="974" t="e">
        <f>IF($F31="","",$F31*chronic_consumption!AE31/1000/$C$3)</f>
        <v>#DIV/0!</v>
      </c>
      <c r="AK31" s="974" t="e">
        <f>IF($F31="","",$F31*chronic_consumption!AF31/1000/$C$3)</f>
        <v>#DIV/0!</v>
      </c>
      <c r="AL31" s="974" t="e">
        <f>IF($F31="","",$F31*chronic_consumption!AG31/1000/$C$3)</f>
        <v>#DIV/0!</v>
      </c>
      <c r="AM31" s="974" t="e">
        <f>IF($F31="","",$F31*chronic_consumption!AH31/1000/$C$3)</f>
        <v>#DIV/0!</v>
      </c>
      <c r="AN31" s="974" t="e">
        <f>IF($F31="","",$F31*chronic_consumption!AI31/1000/$C$3)</f>
        <v>#DIV/0!</v>
      </c>
      <c r="AO31" s="974" t="e">
        <f>IF($F31="","",$F31*chronic_consumption!AJ31/1000/$C$3)</f>
        <v>#DIV/0!</v>
      </c>
      <c r="AP31" s="974" t="e">
        <f>IF($F31="","",$F31*chronic_consumption!AK31/1000/$C$3)</f>
        <v>#DIV/0!</v>
      </c>
      <c r="AQ31" s="974" t="e">
        <f>IF($F31="","",$F31*chronic_consumption!AL31/1000/$C$3)</f>
        <v>#DIV/0!</v>
      </c>
      <c r="AR31" s="974" t="e">
        <f>IF($F31="","",$F31*chronic_consumption!AM31/1000/$C$3)</f>
        <v>#DIV/0!</v>
      </c>
      <c r="AS31" s="974" t="e">
        <f>IF($F31="","",$F31*chronic_consumption!AN31/1000/$C$3)</f>
        <v>#DIV/0!</v>
      </c>
      <c r="AT31" s="974" t="e">
        <f>IF($F31="","",$F31*chronic_consumption!AO31/1000/$C$3)</f>
        <v>#DIV/0!</v>
      </c>
      <c r="AU31" s="974"/>
      <c r="AV31" s="974" t="e">
        <f>IF($F31="","",$F31*chronic_consumption!AQ31/1000/$C$3)</f>
        <v>#DIV/0!</v>
      </c>
      <c r="AW31" s="974" t="e">
        <f>IF($F31="","",$F31*chronic_consumption!AR31/1000/$C$3)</f>
        <v>#DIV/0!</v>
      </c>
      <c r="AX31" s="974" t="e">
        <f>IF($F31="","",$F31*chronic_consumption!AS31/1000/$C$3)</f>
        <v>#DIV/0!</v>
      </c>
      <c r="AY31" s="974" t="e">
        <f>IF($F31="","",$F31*chronic_consumption!AT31/1000/$C$3)</f>
        <v>#DIV/0!</v>
      </c>
      <c r="AZ31" s="973" t="s">
        <v>19</v>
      </c>
      <c r="BA31" s="969" t="e">
        <f t="shared" si="7"/>
        <v>#DIV/0!</v>
      </c>
      <c r="BB31" s="970" t="e">
        <f t="shared" si="8"/>
        <v>#DIV/0!</v>
      </c>
      <c r="BC31" s="971" t="e">
        <f t="shared" ca="1" si="9"/>
        <v>#DIV/0!</v>
      </c>
      <c r="BD31" s="228">
        <f>input_values!Z31</f>
        <v>4</v>
      </c>
      <c r="BE31" s="152">
        <f>input_values!L31</f>
        <v>0</v>
      </c>
      <c r="BF31" s="972" t="str">
        <f t="shared" si="10"/>
        <v/>
      </c>
    </row>
    <row r="32" spans="1:58" ht="12" customHeight="1" outlineLevel="3" x14ac:dyDescent="0.2">
      <c r="A32" s="21">
        <v>4</v>
      </c>
      <c r="B32" s="23">
        <v>120990</v>
      </c>
      <c r="C32" s="23" t="s">
        <v>48</v>
      </c>
      <c r="D32" s="965">
        <f>Table22[[#This Row],[MRL individual commodity]]</f>
        <v>0</v>
      </c>
      <c r="E32" s="300" t="str">
        <f>Table22[[#This Row],[LOQ_label]]</f>
        <v/>
      </c>
      <c r="F32" s="966">
        <f>Table22[[#This Row],[Chronic RA input value]]</f>
        <v>0</v>
      </c>
      <c r="G32" s="304" t="str">
        <f>Table22[[#This Row],[Chronic RA label]]</f>
        <v/>
      </c>
      <c r="H32" s="304">
        <f>Table22[[#This Row],[GAP under assessment]]</f>
        <v>0</v>
      </c>
      <c r="I32" s="1123"/>
      <c r="J32" s="974" t="e">
        <f>IF($F32="","",$F32*chronic_consumption!$E32/1000/$C$3)</f>
        <v>#DIV/0!</v>
      </c>
      <c r="K32" s="974" t="e">
        <f>IF($F32="","",$F32*chronic_consumption!F32/1000/$C$3)</f>
        <v>#DIV/0!</v>
      </c>
      <c r="L32" s="974" t="e">
        <f>IF($F32="","",$F32*chronic_consumption!G32/1000/$C$3)</f>
        <v>#DIV/0!</v>
      </c>
      <c r="M32" s="974" t="e">
        <f>IF($F32="","",$F32*chronic_consumption!H32/1000/$C$3)</f>
        <v>#DIV/0!</v>
      </c>
      <c r="N32" s="974" t="e">
        <f>IF($F32="","",$F32*chronic_consumption!I32/1000/$C$3)</f>
        <v>#DIV/0!</v>
      </c>
      <c r="O32" s="974" t="e">
        <f>IF($F32="","",$F32*chronic_consumption!J32/1000/$C$3)</f>
        <v>#DIV/0!</v>
      </c>
      <c r="P32" s="974" t="e">
        <f>IF($F32="","",$F32*chronic_consumption!K32/1000/$C$3)</f>
        <v>#DIV/0!</v>
      </c>
      <c r="Q32" s="974" t="e">
        <f>IF($F32="","",$F32*chronic_consumption!L32/1000/$C$3)</f>
        <v>#DIV/0!</v>
      </c>
      <c r="R32" s="974" t="e">
        <f>IF($F32="","",$F32*chronic_consumption!M32/1000/$C$3)</f>
        <v>#DIV/0!</v>
      </c>
      <c r="S32" s="974" t="e">
        <f>IF($F32="","",$F32*chronic_consumption!N32/1000/$C$3)</f>
        <v>#DIV/0!</v>
      </c>
      <c r="T32" s="974" t="e">
        <f>IF($F32="","",$F32*chronic_consumption!O32/1000/$C$3)</f>
        <v>#DIV/0!</v>
      </c>
      <c r="U32" s="974" t="e">
        <f>IF($F32="","",$F32*chronic_consumption!P32/1000/$C$3)</f>
        <v>#DIV/0!</v>
      </c>
      <c r="V32" s="974" t="e">
        <f>IF($F32="","",$F32*chronic_consumption!Q32/1000/$C$3)</f>
        <v>#DIV/0!</v>
      </c>
      <c r="W32" s="974" t="e">
        <f>IF($F32="","",$F32*chronic_consumption!R32/1000/$C$3)</f>
        <v>#DIV/0!</v>
      </c>
      <c r="X32" s="974" t="e">
        <f>IF($F32="","",$F32*chronic_consumption!S32/1000/$C$3)</f>
        <v>#DIV/0!</v>
      </c>
      <c r="Y32" s="974" t="e">
        <f>IF($F32="","",$F32*chronic_consumption!T32/1000/$C$3)</f>
        <v>#DIV/0!</v>
      </c>
      <c r="Z32" s="974" t="e">
        <f>IF($F32="","",$F32*chronic_consumption!U32/1000/$C$3)</f>
        <v>#DIV/0!</v>
      </c>
      <c r="AA32" s="974" t="e">
        <f>IF($F32="","",$F32*chronic_consumption!V32/1000/$C$3)</f>
        <v>#DIV/0!</v>
      </c>
      <c r="AB32" s="974" t="e">
        <f>IF($F32="","",$F32*chronic_consumption!W32/1000/$C$3)</f>
        <v>#DIV/0!</v>
      </c>
      <c r="AC32" s="974" t="e">
        <f>IF($F32="","",$F32*chronic_consumption!X32/1000/$C$3)</f>
        <v>#DIV/0!</v>
      </c>
      <c r="AD32" s="974" t="e">
        <f>IF($F32="","",$F32*chronic_consumption!Y32/1000/$C$3)</f>
        <v>#DIV/0!</v>
      </c>
      <c r="AE32" s="974" t="e">
        <f>IF($F32="","",$F32*chronic_consumption!Z32/1000/$C$3)</f>
        <v>#DIV/0!</v>
      </c>
      <c r="AF32" s="974" t="e">
        <f>IF($F32="","",$F32*chronic_consumption!AA32/1000/$C$3)</f>
        <v>#DIV/0!</v>
      </c>
      <c r="AG32" s="974" t="e">
        <f>IF($F32="","",$F32*chronic_consumption!AB32/1000/$C$3)</f>
        <v>#DIV/0!</v>
      </c>
      <c r="AH32" s="974" t="e">
        <f>IF($F32="","",$F32*chronic_consumption!AC32/1000/$C$3)</f>
        <v>#DIV/0!</v>
      </c>
      <c r="AI32" s="974" t="e">
        <f>IF($F32="","",$F32*chronic_consumption!AD32/1000/$C$3)</f>
        <v>#DIV/0!</v>
      </c>
      <c r="AJ32" s="974" t="e">
        <f>IF($F32="","",$F32*chronic_consumption!AE32/1000/$C$3)</f>
        <v>#DIV/0!</v>
      </c>
      <c r="AK32" s="974" t="e">
        <f>IF($F32="","",$F32*chronic_consumption!AF32/1000/$C$3)</f>
        <v>#DIV/0!</v>
      </c>
      <c r="AL32" s="974" t="e">
        <f>IF($F32="","",$F32*chronic_consumption!AG32/1000/$C$3)</f>
        <v>#DIV/0!</v>
      </c>
      <c r="AM32" s="974" t="e">
        <f>IF($F32="","",$F32*chronic_consumption!AH32/1000/$C$3)</f>
        <v>#DIV/0!</v>
      </c>
      <c r="AN32" s="974" t="e">
        <f>IF($F32="","",$F32*chronic_consumption!AI32/1000/$C$3)</f>
        <v>#DIV/0!</v>
      </c>
      <c r="AO32" s="974" t="e">
        <f>IF($F32="","",$F32*chronic_consumption!AJ32/1000/$C$3)</f>
        <v>#DIV/0!</v>
      </c>
      <c r="AP32" s="974" t="e">
        <f>IF($F32="","",$F32*chronic_consumption!AK32/1000/$C$3)</f>
        <v>#DIV/0!</v>
      </c>
      <c r="AQ32" s="974" t="e">
        <f>IF($F32="","",$F32*chronic_consumption!AL32/1000/$C$3)</f>
        <v>#DIV/0!</v>
      </c>
      <c r="AR32" s="974" t="e">
        <f>IF($F32="","",$F32*chronic_consumption!AM32/1000/$C$3)</f>
        <v>#DIV/0!</v>
      </c>
      <c r="AS32" s="974" t="e">
        <f>IF($F32="","",$F32*chronic_consumption!AN32/1000/$C$3)</f>
        <v>#DIV/0!</v>
      </c>
      <c r="AT32" s="974" t="e">
        <f>IF($F32="","",$F32*chronic_consumption!AO32/1000/$C$3)</f>
        <v>#DIV/0!</v>
      </c>
      <c r="AU32" s="974"/>
      <c r="AV32" s="974" t="e">
        <f>IF($F32="","",$F32*chronic_consumption!AQ32/1000/$C$3)</f>
        <v>#DIV/0!</v>
      </c>
      <c r="AW32" s="974" t="e">
        <f>IF($F32="","",$F32*chronic_consumption!AR32/1000/$C$3)</f>
        <v>#DIV/0!</v>
      </c>
      <c r="AX32" s="974" t="e">
        <f>IF($F32="","",$F32*chronic_consumption!AS32/1000/$C$3)</f>
        <v>#DIV/0!</v>
      </c>
      <c r="AY32" s="974" t="e">
        <f>IF($F32="","",$F32*chronic_consumption!AT32/1000/$C$3)</f>
        <v>#DIV/0!</v>
      </c>
      <c r="AZ32" s="973" t="s">
        <v>19</v>
      </c>
      <c r="BA32" s="969" t="e">
        <f t="shared" si="7"/>
        <v>#DIV/0!</v>
      </c>
      <c r="BB32" s="970" t="e">
        <f t="shared" si="8"/>
        <v>#DIV/0!</v>
      </c>
      <c r="BC32" s="971" t="e">
        <f t="shared" ca="1" si="9"/>
        <v>#DIV/0!</v>
      </c>
      <c r="BD32" s="228">
        <f>input_values!Z32</f>
        <v>4</v>
      </c>
      <c r="BE32" s="152">
        <f>input_values!L32</f>
        <v>0</v>
      </c>
      <c r="BF32" s="972" t="str">
        <f t="shared" si="10"/>
        <v/>
      </c>
    </row>
    <row r="33" spans="1:58" ht="12" customHeight="1" outlineLevel="1" x14ac:dyDescent="0.2">
      <c r="A33" s="314">
        <v>2</v>
      </c>
      <c r="B33" s="131">
        <v>130000</v>
      </c>
      <c r="C33" s="131" t="s">
        <v>293</v>
      </c>
      <c r="D33" s="965">
        <f>Table22[[#This Row],[MRL individual commodity]]</f>
        <v>0</v>
      </c>
      <c r="E33" s="300">
        <f>Table22[[#This Row],[LOQ_label]]</f>
        <v>0</v>
      </c>
      <c r="F33" s="966">
        <f>Table22[[#This Row],[Chronic RA input value]]</f>
        <v>0</v>
      </c>
      <c r="G33" s="304">
        <f>Table22[[#This Row],[Chronic RA label]]</f>
        <v>0</v>
      </c>
      <c r="H33" s="304">
        <f>Table22[[#This Row],[GAP under assessment]]</f>
        <v>0</v>
      </c>
      <c r="I33" s="1123"/>
      <c r="J33" s="967" t="e">
        <f>IF($F33="","",$F33*chronic_consumption!$E33/1000/$C$3)</f>
        <v>#DIV/0!</v>
      </c>
      <c r="K33" s="967" t="e">
        <f>IF($F33="","",$F33*chronic_consumption!F33/1000/$C$3)</f>
        <v>#DIV/0!</v>
      </c>
      <c r="L33" s="967" t="e">
        <f>IF($F33="","",$F33*chronic_consumption!G33/1000/$C$3)</f>
        <v>#DIV/0!</v>
      </c>
      <c r="M33" s="967" t="e">
        <f>IF($F33="","",$F33*chronic_consumption!H33/1000/$C$3)</f>
        <v>#DIV/0!</v>
      </c>
      <c r="N33" s="967" t="e">
        <f>IF($F33="","",$F33*chronic_consumption!I33/1000/$C$3)</f>
        <v>#DIV/0!</v>
      </c>
      <c r="O33" s="967" t="e">
        <f>IF($F33="","",$F33*chronic_consumption!J33/1000/$C$3)</f>
        <v>#DIV/0!</v>
      </c>
      <c r="P33" s="967" t="e">
        <f>IF($F33="","",$F33*chronic_consumption!K33/1000/$C$3)</f>
        <v>#DIV/0!</v>
      </c>
      <c r="Q33" s="967" t="e">
        <f>IF($F33="","",$F33*chronic_consumption!L33/1000/$C$3)</f>
        <v>#DIV/0!</v>
      </c>
      <c r="R33" s="967" t="e">
        <f>IF($F33="","",$F33*chronic_consumption!M33/1000/$C$3)</f>
        <v>#DIV/0!</v>
      </c>
      <c r="S33" s="967" t="e">
        <f>IF($F33="","",$F33*chronic_consumption!N33/1000/$C$3)</f>
        <v>#DIV/0!</v>
      </c>
      <c r="T33" s="967" t="e">
        <f>IF($F33="","",$F33*chronic_consumption!O33/1000/$C$3)</f>
        <v>#DIV/0!</v>
      </c>
      <c r="U33" s="967" t="e">
        <f>IF($F33="","",$F33*chronic_consumption!P33/1000/$C$3)</f>
        <v>#DIV/0!</v>
      </c>
      <c r="V33" s="967" t="e">
        <f>IF($F33="","",$F33*chronic_consumption!Q33/1000/$C$3)</f>
        <v>#DIV/0!</v>
      </c>
      <c r="W33" s="967" t="e">
        <f>IF($F33="","",$F33*chronic_consumption!R33/1000/$C$3)</f>
        <v>#DIV/0!</v>
      </c>
      <c r="X33" s="967" t="e">
        <f>IF($F33="","",$F33*chronic_consumption!S33/1000/$C$3)</f>
        <v>#DIV/0!</v>
      </c>
      <c r="Y33" s="967" t="e">
        <f>IF($F33="","",$F33*chronic_consumption!T33/1000/$C$3)</f>
        <v>#DIV/0!</v>
      </c>
      <c r="Z33" s="967" t="e">
        <f>IF($F33="","",$F33*chronic_consumption!U33/1000/$C$3)</f>
        <v>#DIV/0!</v>
      </c>
      <c r="AA33" s="967" t="e">
        <f>IF($F33="","",$F33*chronic_consumption!V33/1000/$C$3)</f>
        <v>#DIV/0!</v>
      </c>
      <c r="AB33" s="967" t="e">
        <f>IF($F33="","",$F33*chronic_consumption!W33/1000/$C$3)</f>
        <v>#DIV/0!</v>
      </c>
      <c r="AC33" s="967" t="e">
        <f>IF($F33="","",$F33*chronic_consumption!X33/1000/$C$3)</f>
        <v>#DIV/0!</v>
      </c>
      <c r="AD33" s="967" t="e">
        <f>IF($F33="","",$F33*chronic_consumption!Y33/1000/$C$3)</f>
        <v>#DIV/0!</v>
      </c>
      <c r="AE33" s="967" t="e">
        <f>IF($F33="","",$F33*chronic_consumption!Z33/1000/$C$3)</f>
        <v>#DIV/0!</v>
      </c>
      <c r="AF33" s="967" t="e">
        <f>IF($F33="","",$F33*chronic_consumption!AA33/1000/$C$3)</f>
        <v>#DIV/0!</v>
      </c>
      <c r="AG33" s="967" t="e">
        <f>IF($F33="","",$F33*chronic_consumption!AB33/1000/$C$3)</f>
        <v>#DIV/0!</v>
      </c>
      <c r="AH33" s="967" t="e">
        <f>IF($F33="","",$F33*chronic_consumption!AC33/1000/$C$3)</f>
        <v>#DIV/0!</v>
      </c>
      <c r="AI33" s="967" t="e">
        <f>IF($F33="","",$F33*chronic_consumption!AD33/1000/$C$3)</f>
        <v>#DIV/0!</v>
      </c>
      <c r="AJ33" s="967" t="e">
        <f>IF($F33="","",$F33*chronic_consumption!AE33/1000/$C$3)</f>
        <v>#DIV/0!</v>
      </c>
      <c r="AK33" s="967" t="e">
        <f>IF($F33="","",$F33*chronic_consumption!AF33/1000/$C$3)</f>
        <v>#DIV/0!</v>
      </c>
      <c r="AL33" s="967" t="e">
        <f>IF($F33="","",$F33*chronic_consumption!AG33/1000/$C$3)</f>
        <v>#DIV/0!</v>
      </c>
      <c r="AM33" s="967" t="e">
        <f>IF($F33="","",$F33*chronic_consumption!AH33/1000/$C$3)</f>
        <v>#DIV/0!</v>
      </c>
      <c r="AN33" s="967" t="e">
        <f>IF($F33="","",$F33*chronic_consumption!AI33/1000/$C$3)</f>
        <v>#DIV/0!</v>
      </c>
      <c r="AO33" s="967" t="e">
        <f>IF($F33="","",$F33*chronic_consumption!AJ33/1000/$C$3)</f>
        <v>#DIV/0!</v>
      </c>
      <c r="AP33" s="967" t="e">
        <f>IF($F33="","",$F33*chronic_consumption!AK33/1000/$C$3)</f>
        <v>#DIV/0!</v>
      </c>
      <c r="AQ33" s="967" t="e">
        <f>IF($F33="","",$F33*chronic_consumption!AL33/1000/$C$3)</f>
        <v>#DIV/0!</v>
      </c>
      <c r="AR33" s="967" t="e">
        <f>IF($F33="","",$F33*chronic_consumption!AM33/1000/$C$3)</f>
        <v>#DIV/0!</v>
      </c>
      <c r="AS33" s="967" t="e">
        <f>IF($F33="","",$F33*chronic_consumption!AN33/1000/$C$3)</f>
        <v>#DIV/0!</v>
      </c>
      <c r="AT33" s="967" t="e">
        <f>IF($F33="","",$F33*chronic_consumption!AO33/1000/$C$3)</f>
        <v>#DIV/0!</v>
      </c>
      <c r="AU33" s="967"/>
      <c r="AV33" s="967" t="e">
        <f>IF($F33="","",$F33*chronic_consumption!AQ33/1000/$C$3)</f>
        <v>#DIV/0!</v>
      </c>
      <c r="AW33" s="967" t="e">
        <f>IF($F33="","",$F33*chronic_consumption!AR33/1000/$C$3)</f>
        <v>#DIV/0!</v>
      </c>
      <c r="AX33" s="967" t="e">
        <f>IF($F33="","",$F33*chronic_consumption!AS33/1000/$C$3)</f>
        <v>#DIV/0!</v>
      </c>
      <c r="AY33" s="967" t="e">
        <f>IF($F33="","",$F33*chronic_consumption!AT33/1000/$C$3)</f>
        <v>#DIV/0!</v>
      </c>
      <c r="AZ33" s="973"/>
      <c r="BA33" s="969" t="e">
        <f t="shared" si="7"/>
        <v>#DIV/0!</v>
      </c>
      <c r="BB33" s="970" t="e">
        <f t="shared" si="8"/>
        <v>#DIV/0!</v>
      </c>
      <c r="BC33" s="971" t="e">
        <f t="shared" ca="1" si="9"/>
        <v>#DIV/0!</v>
      </c>
      <c r="BD33" s="228">
        <f>input_values!Z33</f>
        <v>4</v>
      </c>
      <c r="BE33" s="152">
        <f>input_values!L33</f>
        <v>0</v>
      </c>
      <c r="BF33" s="972" t="str">
        <f t="shared" si="10"/>
        <v/>
      </c>
    </row>
    <row r="34" spans="1:58" ht="12" customHeight="1" outlineLevel="3" x14ac:dyDescent="0.2">
      <c r="A34" s="21">
        <v>4</v>
      </c>
      <c r="B34" s="23">
        <v>130010</v>
      </c>
      <c r="C34" s="23" t="s">
        <v>112</v>
      </c>
      <c r="D34" s="965">
        <f>Table22[[#This Row],[MRL individual commodity]]</f>
        <v>0</v>
      </c>
      <c r="E34" s="300" t="str">
        <f>Table22[[#This Row],[LOQ_label]]</f>
        <v/>
      </c>
      <c r="F34" s="966">
        <f>Table22[[#This Row],[Chronic RA input value]]</f>
        <v>0</v>
      </c>
      <c r="G34" s="304" t="str">
        <f>Table22[[#This Row],[Chronic RA label]]</f>
        <v/>
      </c>
      <c r="H34" s="304">
        <f>Table22[[#This Row],[GAP under assessment]]</f>
        <v>0</v>
      </c>
      <c r="I34" s="1123"/>
      <c r="J34" s="974" t="e">
        <f>IF($F34="","",$F34*chronic_consumption!$E34/1000/$C$3)</f>
        <v>#DIV/0!</v>
      </c>
      <c r="K34" s="974" t="e">
        <f>IF($F34="","",$F34*chronic_consumption!F34/1000/$C$3)</f>
        <v>#DIV/0!</v>
      </c>
      <c r="L34" s="974" t="e">
        <f>IF($F34="","",$F34*chronic_consumption!G34/1000/$C$3)</f>
        <v>#DIV/0!</v>
      </c>
      <c r="M34" s="974" t="e">
        <f>IF($F34="","",$F34*chronic_consumption!H34/1000/$C$3)</f>
        <v>#DIV/0!</v>
      </c>
      <c r="N34" s="974" t="e">
        <f>IF($F34="","",$F34*chronic_consumption!I34/1000/$C$3)</f>
        <v>#DIV/0!</v>
      </c>
      <c r="O34" s="974" t="e">
        <f>IF($F34="","",$F34*chronic_consumption!J34/1000/$C$3)</f>
        <v>#DIV/0!</v>
      </c>
      <c r="P34" s="974" t="e">
        <f>IF($F34="","",$F34*chronic_consumption!K34/1000/$C$3)</f>
        <v>#DIV/0!</v>
      </c>
      <c r="Q34" s="974" t="e">
        <f>IF($F34="","",$F34*chronic_consumption!L34/1000/$C$3)</f>
        <v>#DIV/0!</v>
      </c>
      <c r="R34" s="974" t="e">
        <f>IF($F34="","",$F34*chronic_consumption!M34/1000/$C$3)</f>
        <v>#DIV/0!</v>
      </c>
      <c r="S34" s="974" t="e">
        <f>IF($F34="","",$F34*chronic_consumption!N34/1000/$C$3)</f>
        <v>#DIV/0!</v>
      </c>
      <c r="T34" s="974" t="e">
        <f>IF($F34="","",$F34*chronic_consumption!O34/1000/$C$3)</f>
        <v>#DIV/0!</v>
      </c>
      <c r="U34" s="974" t="e">
        <f>IF($F34="","",$F34*chronic_consumption!P34/1000/$C$3)</f>
        <v>#DIV/0!</v>
      </c>
      <c r="V34" s="974" t="e">
        <f>IF($F34="","",$F34*chronic_consumption!Q34/1000/$C$3)</f>
        <v>#DIV/0!</v>
      </c>
      <c r="W34" s="974" t="e">
        <f>IF($F34="","",$F34*chronic_consumption!R34/1000/$C$3)</f>
        <v>#DIV/0!</v>
      </c>
      <c r="X34" s="974" t="e">
        <f>IF($F34="","",$F34*chronic_consumption!S34/1000/$C$3)</f>
        <v>#DIV/0!</v>
      </c>
      <c r="Y34" s="974" t="e">
        <f>IF($F34="","",$F34*chronic_consumption!T34/1000/$C$3)</f>
        <v>#DIV/0!</v>
      </c>
      <c r="Z34" s="974" t="e">
        <f>IF($F34="","",$F34*chronic_consumption!U34/1000/$C$3)</f>
        <v>#DIV/0!</v>
      </c>
      <c r="AA34" s="974" t="e">
        <f>IF($F34="","",$F34*chronic_consumption!V34/1000/$C$3)</f>
        <v>#DIV/0!</v>
      </c>
      <c r="AB34" s="974" t="e">
        <f>IF($F34="","",$F34*chronic_consumption!W34/1000/$C$3)</f>
        <v>#DIV/0!</v>
      </c>
      <c r="AC34" s="974" t="e">
        <f>IF($F34="","",$F34*chronic_consumption!X34/1000/$C$3)</f>
        <v>#DIV/0!</v>
      </c>
      <c r="AD34" s="974" t="e">
        <f>IF($F34="","",$F34*chronic_consumption!Y34/1000/$C$3)</f>
        <v>#DIV/0!</v>
      </c>
      <c r="AE34" s="974" t="e">
        <f>IF($F34="","",$F34*chronic_consumption!Z34/1000/$C$3)</f>
        <v>#DIV/0!</v>
      </c>
      <c r="AF34" s="974" t="e">
        <f>IF($F34="","",$F34*chronic_consumption!AA34/1000/$C$3)</f>
        <v>#DIV/0!</v>
      </c>
      <c r="AG34" s="974" t="e">
        <f>IF($F34="","",$F34*chronic_consumption!AB34/1000/$C$3)</f>
        <v>#DIV/0!</v>
      </c>
      <c r="AH34" s="974" t="e">
        <f>IF($F34="","",$F34*chronic_consumption!AC34/1000/$C$3)</f>
        <v>#DIV/0!</v>
      </c>
      <c r="AI34" s="974" t="e">
        <f>IF($F34="","",$F34*chronic_consumption!AD34/1000/$C$3)</f>
        <v>#DIV/0!</v>
      </c>
      <c r="AJ34" s="974" t="e">
        <f>IF($F34="","",$F34*chronic_consumption!AE34/1000/$C$3)</f>
        <v>#DIV/0!</v>
      </c>
      <c r="AK34" s="974" t="e">
        <f>IF($F34="","",$F34*chronic_consumption!AF34/1000/$C$3)</f>
        <v>#DIV/0!</v>
      </c>
      <c r="AL34" s="974" t="e">
        <f>IF($F34="","",$F34*chronic_consumption!AG34/1000/$C$3)</f>
        <v>#DIV/0!</v>
      </c>
      <c r="AM34" s="974" t="e">
        <f>IF($F34="","",$F34*chronic_consumption!AH34/1000/$C$3)</f>
        <v>#DIV/0!</v>
      </c>
      <c r="AN34" s="974" t="e">
        <f>IF($F34="","",$F34*chronic_consumption!AI34/1000/$C$3)</f>
        <v>#DIV/0!</v>
      </c>
      <c r="AO34" s="974" t="e">
        <f>IF($F34="","",$F34*chronic_consumption!AJ34/1000/$C$3)</f>
        <v>#DIV/0!</v>
      </c>
      <c r="AP34" s="974" t="e">
        <f>IF($F34="","",$F34*chronic_consumption!AK34/1000/$C$3)</f>
        <v>#DIV/0!</v>
      </c>
      <c r="AQ34" s="974" t="e">
        <f>IF($F34="","",$F34*chronic_consumption!AL34/1000/$C$3)</f>
        <v>#DIV/0!</v>
      </c>
      <c r="AR34" s="974" t="e">
        <f>IF($F34="","",$F34*chronic_consumption!AM34/1000/$C$3)</f>
        <v>#DIV/0!</v>
      </c>
      <c r="AS34" s="974" t="e">
        <f>IF($F34="","",$F34*chronic_consumption!AN34/1000/$C$3)</f>
        <v>#DIV/0!</v>
      </c>
      <c r="AT34" s="974" t="e">
        <f>IF($F34="","",$F34*chronic_consumption!AO34/1000/$C$3)</f>
        <v>#DIV/0!</v>
      </c>
      <c r="AU34" s="974"/>
      <c r="AV34" s="974" t="e">
        <f>IF($F34="","",$F34*chronic_consumption!AQ34/1000/$C$3)</f>
        <v>#DIV/0!</v>
      </c>
      <c r="AW34" s="974" t="e">
        <f>IF($F34="","",$F34*chronic_consumption!AR34/1000/$C$3)</f>
        <v>#DIV/0!</v>
      </c>
      <c r="AX34" s="974" t="e">
        <f>IF($F34="","",$F34*chronic_consumption!AS34/1000/$C$3)</f>
        <v>#DIV/0!</v>
      </c>
      <c r="AY34" s="974" t="e">
        <f>IF($F34="","",$F34*chronic_consumption!AT34/1000/$C$3)</f>
        <v>#DIV/0!</v>
      </c>
      <c r="AZ34" s="973" t="s">
        <v>19</v>
      </c>
      <c r="BA34" s="969" t="e">
        <f t="shared" si="7"/>
        <v>#DIV/0!</v>
      </c>
      <c r="BB34" s="970" t="e">
        <f t="shared" si="8"/>
        <v>#DIV/0!</v>
      </c>
      <c r="BC34" s="971" t="e">
        <f t="shared" ca="1" si="9"/>
        <v>#DIV/0!</v>
      </c>
      <c r="BD34" s="228">
        <f>input_values!Z34</f>
        <v>4</v>
      </c>
      <c r="BE34" s="152">
        <f>input_values!L34</f>
        <v>0</v>
      </c>
      <c r="BF34" s="972" t="str">
        <f t="shared" si="10"/>
        <v/>
      </c>
    </row>
    <row r="35" spans="1:58" ht="12" customHeight="1" outlineLevel="3" x14ac:dyDescent="0.2">
      <c r="A35" s="21">
        <v>4</v>
      </c>
      <c r="B35" s="23">
        <v>130020</v>
      </c>
      <c r="C35" s="23" t="s">
        <v>113</v>
      </c>
      <c r="D35" s="965">
        <f>Table22[[#This Row],[MRL individual commodity]]</f>
        <v>0</v>
      </c>
      <c r="E35" s="300" t="str">
        <f>Table22[[#This Row],[LOQ_label]]</f>
        <v/>
      </c>
      <c r="F35" s="966">
        <f>Table22[[#This Row],[Chronic RA input value]]</f>
        <v>0</v>
      </c>
      <c r="G35" s="304" t="str">
        <f>Table22[[#This Row],[Chronic RA label]]</f>
        <v/>
      </c>
      <c r="H35" s="304">
        <f>Table22[[#This Row],[GAP under assessment]]</f>
        <v>0</v>
      </c>
      <c r="I35" s="1123"/>
      <c r="J35" s="974" t="e">
        <f>IF($F35="","",$F35*chronic_consumption!$E35/1000/$C$3)</f>
        <v>#DIV/0!</v>
      </c>
      <c r="K35" s="974" t="e">
        <f>IF($F35="","",$F35*chronic_consumption!F35/1000/$C$3)</f>
        <v>#DIV/0!</v>
      </c>
      <c r="L35" s="974" t="e">
        <f>IF($F35="","",$F35*chronic_consumption!G35/1000/$C$3)</f>
        <v>#DIV/0!</v>
      </c>
      <c r="M35" s="974" t="e">
        <f>IF($F35="","",$F35*chronic_consumption!H35/1000/$C$3)</f>
        <v>#DIV/0!</v>
      </c>
      <c r="N35" s="974" t="e">
        <f>IF($F35="","",$F35*chronic_consumption!I35/1000/$C$3)</f>
        <v>#DIV/0!</v>
      </c>
      <c r="O35" s="974" t="e">
        <f>IF($F35="","",$F35*chronic_consumption!J35/1000/$C$3)</f>
        <v>#DIV/0!</v>
      </c>
      <c r="P35" s="974" t="e">
        <f>IF($F35="","",$F35*chronic_consumption!K35/1000/$C$3)</f>
        <v>#DIV/0!</v>
      </c>
      <c r="Q35" s="974" t="e">
        <f>IF($F35="","",$F35*chronic_consumption!L35/1000/$C$3)</f>
        <v>#DIV/0!</v>
      </c>
      <c r="R35" s="974" t="e">
        <f>IF($F35="","",$F35*chronic_consumption!M35/1000/$C$3)</f>
        <v>#DIV/0!</v>
      </c>
      <c r="S35" s="974" t="e">
        <f>IF($F35="","",$F35*chronic_consumption!N35/1000/$C$3)</f>
        <v>#DIV/0!</v>
      </c>
      <c r="T35" s="974" t="e">
        <f>IF($F35="","",$F35*chronic_consumption!O35/1000/$C$3)</f>
        <v>#DIV/0!</v>
      </c>
      <c r="U35" s="974" t="e">
        <f>IF($F35="","",$F35*chronic_consumption!P35/1000/$C$3)</f>
        <v>#DIV/0!</v>
      </c>
      <c r="V35" s="974" t="e">
        <f>IF($F35="","",$F35*chronic_consumption!Q35/1000/$C$3)</f>
        <v>#DIV/0!</v>
      </c>
      <c r="W35" s="974" t="e">
        <f>IF($F35="","",$F35*chronic_consumption!R35/1000/$C$3)</f>
        <v>#DIV/0!</v>
      </c>
      <c r="X35" s="974" t="e">
        <f>IF($F35="","",$F35*chronic_consumption!S35/1000/$C$3)</f>
        <v>#DIV/0!</v>
      </c>
      <c r="Y35" s="974" t="e">
        <f>IF($F35="","",$F35*chronic_consumption!T35/1000/$C$3)</f>
        <v>#DIV/0!</v>
      </c>
      <c r="Z35" s="974" t="e">
        <f>IF($F35="","",$F35*chronic_consumption!U35/1000/$C$3)</f>
        <v>#DIV/0!</v>
      </c>
      <c r="AA35" s="974" t="e">
        <f>IF($F35="","",$F35*chronic_consumption!V35/1000/$C$3)</f>
        <v>#DIV/0!</v>
      </c>
      <c r="AB35" s="974" t="e">
        <f>IF($F35="","",$F35*chronic_consumption!W35/1000/$C$3)</f>
        <v>#DIV/0!</v>
      </c>
      <c r="AC35" s="974" t="e">
        <f>IF($F35="","",$F35*chronic_consumption!X35/1000/$C$3)</f>
        <v>#DIV/0!</v>
      </c>
      <c r="AD35" s="974" t="e">
        <f>IF($F35="","",$F35*chronic_consumption!Y35/1000/$C$3)</f>
        <v>#DIV/0!</v>
      </c>
      <c r="AE35" s="974" t="e">
        <f>IF($F35="","",$F35*chronic_consumption!Z35/1000/$C$3)</f>
        <v>#DIV/0!</v>
      </c>
      <c r="AF35" s="974" t="e">
        <f>IF($F35="","",$F35*chronic_consumption!AA35/1000/$C$3)</f>
        <v>#DIV/0!</v>
      </c>
      <c r="AG35" s="974" t="e">
        <f>IF($F35="","",$F35*chronic_consumption!AB35/1000/$C$3)</f>
        <v>#DIV/0!</v>
      </c>
      <c r="AH35" s="974" t="e">
        <f>IF($F35="","",$F35*chronic_consumption!AC35/1000/$C$3)</f>
        <v>#DIV/0!</v>
      </c>
      <c r="AI35" s="974" t="e">
        <f>IF($F35="","",$F35*chronic_consumption!AD35/1000/$C$3)</f>
        <v>#DIV/0!</v>
      </c>
      <c r="AJ35" s="974" t="e">
        <f>IF($F35="","",$F35*chronic_consumption!AE35/1000/$C$3)</f>
        <v>#DIV/0!</v>
      </c>
      <c r="AK35" s="974" t="e">
        <f>IF($F35="","",$F35*chronic_consumption!AF35/1000/$C$3)</f>
        <v>#DIV/0!</v>
      </c>
      <c r="AL35" s="974" t="e">
        <f>IF($F35="","",$F35*chronic_consumption!AG35/1000/$C$3)</f>
        <v>#DIV/0!</v>
      </c>
      <c r="AM35" s="974" t="e">
        <f>IF($F35="","",$F35*chronic_consumption!AH35/1000/$C$3)</f>
        <v>#DIV/0!</v>
      </c>
      <c r="AN35" s="974" t="e">
        <f>IF($F35="","",$F35*chronic_consumption!AI35/1000/$C$3)</f>
        <v>#DIV/0!</v>
      </c>
      <c r="AO35" s="974" t="e">
        <f>IF($F35="","",$F35*chronic_consumption!AJ35/1000/$C$3)</f>
        <v>#DIV/0!</v>
      </c>
      <c r="AP35" s="974" t="e">
        <f>IF($F35="","",$F35*chronic_consumption!AK35/1000/$C$3)</f>
        <v>#DIV/0!</v>
      </c>
      <c r="AQ35" s="974" t="e">
        <f>IF($F35="","",$F35*chronic_consumption!AL35/1000/$C$3)</f>
        <v>#DIV/0!</v>
      </c>
      <c r="AR35" s="974" t="e">
        <f>IF($F35="","",$F35*chronic_consumption!AM35/1000/$C$3)</f>
        <v>#DIV/0!</v>
      </c>
      <c r="AS35" s="974" t="e">
        <f>IF($F35="","",$F35*chronic_consumption!AN35/1000/$C$3)</f>
        <v>#DIV/0!</v>
      </c>
      <c r="AT35" s="974" t="e">
        <f>IF($F35="","",$F35*chronic_consumption!AO35/1000/$C$3)</f>
        <v>#DIV/0!</v>
      </c>
      <c r="AU35" s="974"/>
      <c r="AV35" s="974" t="e">
        <f>IF($F35="","",$F35*chronic_consumption!AQ35/1000/$C$3)</f>
        <v>#DIV/0!</v>
      </c>
      <c r="AW35" s="974" t="e">
        <f>IF($F35="","",$F35*chronic_consumption!AR35/1000/$C$3)</f>
        <v>#DIV/0!</v>
      </c>
      <c r="AX35" s="974" t="e">
        <f>IF($F35="","",$F35*chronic_consumption!AS35/1000/$C$3)</f>
        <v>#DIV/0!</v>
      </c>
      <c r="AY35" s="974" t="e">
        <f>IF($F35="","",$F35*chronic_consumption!AT35/1000/$C$3)</f>
        <v>#DIV/0!</v>
      </c>
      <c r="AZ35" s="973" t="s">
        <v>19</v>
      </c>
      <c r="BA35" s="969" t="e">
        <f t="shared" si="7"/>
        <v>#DIV/0!</v>
      </c>
      <c r="BB35" s="970" t="e">
        <f t="shared" si="8"/>
        <v>#DIV/0!</v>
      </c>
      <c r="BC35" s="971" t="e">
        <f t="shared" ca="1" si="9"/>
        <v>#DIV/0!</v>
      </c>
      <c r="BD35" s="228">
        <f>input_values!Z35</f>
        <v>4</v>
      </c>
      <c r="BE35" s="152">
        <f>input_values!L35</f>
        <v>0</v>
      </c>
      <c r="BF35" s="972" t="str">
        <f t="shared" si="10"/>
        <v/>
      </c>
    </row>
    <row r="36" spans="1:58" ht="12" customHeight="1" outlineLevel="3" x14ac:dyDescent="0.2">
      <c r="A36" s="21">
        <v>4</v>
      </c>
      <c r="B36" s="23">
        <v>130030</v>
      </c>
      <c r="C36" s="23" t="s">
        <v>114</v>
      </c>
      <c r="D36" s="965">
        <f>Table22[[#This Row],[MRL individual commodity]]</f>
        <v>0</v>
      </c>
      <c r="E36" s="300" t="str">
        <f>Table22[[#This Row],[LOQ_label]]</f>
        <v/>
      </c>
      <c r="F36" s="966">
        <f>Table22[[#This Row],[Chronic RA input value]]</f>
        <v>0</v>
      </c>
      <c r="G36" s="304" t="str">
        <f>Table22[[#This Row],[Chronic RA label]]</f>
        <v/>
      </c>
      <c r="H36" s="304">
        <f>Table22[[#This Row],[GAP under assessment]]</f>
        <v>0</v>
      </c>
      <c r="I36" s="1123"/>
      <c r="J36" s="974" t="e">
        <f>IF($F36="","",$F36*chronic_consumption!$E36/1000/$C$3)</f>
        <v>#DIV/0!</v>
      </c>
      <c r="K36" s="974" t="e">
        <f>IF($F36="","",$F36*chronic_consumption!F36/1000/$C$3)</f>
        <v>#DIV/0!</v>
      </c>
      <c r="L36" s="974" t="e">
        <f>IF($F36="","",$F36*chronic_consumption!G36/1000/$C$3)</f>
        <v>#DIV/0!</v>
      </c>
      <c r="M36" s="974" t="e">
        <f>IF($F36="","",$F36*chronic_consumption!H36/1000/$C$3)</f>
        <v>#DIV/0!</v>
      </c>
      <c r="N36" s="974" t="e">
        <f>IF($F36="","",$F36*chronic_consumption!I36/1000/$C$3)</f>
        <v>#DIV/0!</v>
      </c>
      <c r="O36" s="974" t="e">
        <f>IF($F36="","",$F36*chronic_consumption!J36/1000/$C$3)</f>
        <v>#DIV/0!</v>
      </c>
      <c r="P36" s="974" t="e">
        <f>IF($F36="","",$F36*chronic_consumption!K36/1000/$C$3)</f>
        <v>#DIV/0!</v>
      </c>
      <c r="Q36" s="974" t="e">
        <f>IF($F36="","",$F36*chronic_consumption!L36/1000/$C$3)</f>
        <v>#DIV/0!</v>
      </c>
      <c r="R36" s="974" t="e">
        <f>IF($F36="","",$F36*chronic_consumption!M36/1000/$C$3)</f>
        <v>#DIV/0!</v>
      </c>
      <c r="S36" s="974" t="e">
        <f>IF($F36="","",$F36*chronic_consumption!N36/1000/$C$3)</f>
        <v>#DIV/0!</v>
      </c>
      <c r="T36" s="974" t="e">
        <f>IF($F36="","",$F36*chronic_consumption!O36/1000/$C$3)</f>
        <v>#DIV/0!</v>
      </c>
      <c r="U36" s="974" t="e">
        <f>IF($F36="","",$F36*chronic_consumption!P36/1000/$C$3)</f>
        <v>#DIV/0!</v>
      </c>
      <c r="V36" s="974" t="e">
        <f>IF($F36="","",$F36*chronic_consumption!Q36/1000/$C$3)</f>
        <v>#DIV/0!</v>
      </c>
      <c r="W36" s="974" t="e">
        <f>IF($F36="","",$F36*chronic_consumption!R36/1000/$C$3)</f>
        <v>#DIV/0!</v>
      </c>
      <c r="X36" s="974" t="e">
        <f>IF($F36="","",$F36*chronic_consumption!S36/1000/$C$3)</f>
        <v>#DIV/0!</v>
      </c>
      <c r="Y36" s="974" t="e">
        <f>IF($F36="","",$F36*chronic_consumption!T36/1000/$C$3)</f>
        <v>#DIV/0!</v>
      </c>
      <c r="Z36" s="974" t="e">
        <f>IF($F36="","",$F36*chronic_consumption!U36/1000/$C$3)</f>
        <v>#DIV/0!</v>
      </c>
      <c r="AA36" s="974" t="e">
        <f>IF($F36="","",$F36*chronic_consumption!V36/1000/$C$3)</f>
        <v>#DIV/0!</v>
      </c>
      <c r="AB36" s="974" t="e">
        <f>IF($F36="","",$F36*chronic_consumption!W36/1000/$C$3)</f>
        <v>#DIV/0!</v>
      </c>
      <c r="AC36" s="974" t="e">
        <f>IF($F36="","",$F36*chronic_consumption!X36/1000/$C$3)</f>
        <v>#DIV/0!</v>
      </c>
      <c r="AD36" s="974" t="e">
        <f>IF($F36="","",$F36*chronic_consumption!Y36/1000/$C$3)</f>
        <v>#DIV/0!</v>
      </c>
      <c r="AE36" s="974" t="e">
        <f>IF($F36="","",$F36*chronic_consumption!Z36/1000/$C$3)</f>
        <v>#DIV/0!</v>
      </c>
      <c r="AF36" s="974" t="e">
        <f>IF($F36="","",$F36*chronic_consumption!AA36/1000/$C$3)</f>
        <v>#DIV/0!</v>
      </c>
      <c r="AG36" s="974" t="e">
        <f>IF($F36="","",$F36*chronic_consumption!AB36/1000/$C$3)</f>
        <v>#DIV/0!</v>
      </c>
      <c r="AH36" s="974" t="e">
        <f>IF($F36="","",$F36*chronic_consumption!AC36/1000/$C$3)</f>
        <v>#DIV/0!</v>
      </c>
      <c r="AI36" s="974" t="e">
        <f>IF($F36="","",$F36*chronic_consumption!AD36/1000/$C$3)</f>
        <v>#DIV/0!</v>
      </c>
      <c r="AJ36" s="974" t="e">
        <f>IF($F36="","",$F36*chronic_consumption!AE36/1000/$C$3)</f>
        <v>#DIV/0!</v>
      </c>
      <c r="AK36" s="974" t="e">
        <f>IF($F36="","",$F36*chronic_consumption!AF36/1000/$C$3)</f>
        <v>#DIV/0!</v>
      </c>
      <c r="AL36" s="974" t="e">
        <f>IF($F36="","",$F36*chronic_consumption!AG36/1000/$C$3)</f>
        <v>#DIV/0!</v>
      </c>
      <c r="AM36" s="974" t="e">
        <f>IF($F36="","",$F36*chronic_consumption!AH36/1000/$C$3)</f>
        <v>#DIV/0!</v>
      </c>
      <c r="AN36" s="974" t="e">
        <f>IF($F36="","",$F36*chronic_consumption!AI36/1000/$C$3)</f>
        <v>#DIV/0!</v>
      </c>
      <c r="AO36" s="974" t="e">
        <f>IF($F36="","",$F36*chronic_consumption!AJ36/1000/$C$3)</f>
        <v>#DIV/0!</v>
      </c>
      <c r="AP36" s="974" t="e">
        <f>IF($F36="","",$F36*chronic_consumption!AK36/1000/$C$3)</f>
        <v>#DIV/0!</v>
      </c>
      <c r="AQ36" s="974" t="e">
        <f>IF($F36="","",$F36*chronic_consumption!AL36/1000/$C$3)</f>
        <v>#DIV/0!</v>
      </c>
      <c r="AR36" s="974" t="e">
        <f>IF($F36="","",$F36*chronic_consumption!AM36/1000/$C$3)</f>
        <v>#DIV/0!</v>
      </c>
      <c r="AS36" s="974" t="e">
        <f>IF($F36="","",$F36*chronic_consumption!AN36/1000/$C$3)</f>
        <v>#DIV/0!</v>
      </c>
      <c r="AT36" s="974" t="e">
        <f>IF($F36="","",$F36*chronic_consumption!AO36/1000/$C$3)</f>
        <v>#DIV/0!</v>
      </c>
      <c r="AU36" s="974"/>
      <c r="AV36" s="974" t="e">
        <f>IF($F36="","",$F36*chronic_consumption!AQ36/1000/$C$3)</f>
        <v>#DIV/0!</v>
      </c>
      <c r="AW36" s="974" t="e">
        <f>IF($F36="","",$F36*chronic_consumption!AR36/1000/$C$3)</f>
        <v>#DIV/0!</v>
      </c>
      <c r="AX36" s="974" t="e">
        <f>IF($F36="","",$F36*chronic_consumption!AS36/1000/$C$3)</f>
        <v>#DIV/0!</v>
      </c>
      <c r="AY36" s="974" t="e">
        <f>IF($F36="","",$F36*chronic_consumption!AT36/1000/$C$3)</f>
        <v>#DIV/0!</v>
      </c>
      <c r="AZ36" s="973" t="s">
        <v>19</v>
      </c>
      <c r="BA36" s="969" t="e">
        <f t="shared" si="7"/>
        <v>#DIV/0!</v>
      </c>
      <c r="BB36" s="970" t="e">
        <f t="shared" si="8"/>
        <v>#DIV/0!</v>
      </c>
      <c r="BC36" s="971" t="e">
        <f t="shared" ca="1" si="9"/>
        <v>#DIV/0!</v>
      </c>
      <c r="BD36" s="228">
        <f>input_values!Z36</f>
        <v>4</v>
      </c>
      <c r="BE36" s="152">
        <f>input_values!L36</f>
        <v>0</v>
      </c>
      <c r="BF36" s="972" t="str">
        <f t="shared" si="10"/>
        <v/>
      </c>
    </row>
    <row r="37" spans="1:58" ht="12" customHeight="1" outlineLevel="3" x14ac:dyDescent="0.2">
      <c r="A37" s="21">
        <v>4</v>
      </c>
      <c r="B37" s="23">
        <v>130040</v>
      </c>
      <c r="C37" s="23" t="s">
        <v>115</v>
      </c>
      <c r="D37" s="965">
        <f>Table22[[#This Row],[MRL individual commodity]]</f>
        <v>0</v>
      </c>
      <c r="E37" s="300" t="str">
        <f>Table22[[#This Row],[LOQ_label]]</f>
        <v/>
      </c>
      <c r="F37" s="966">
        <f>Table22[[#This Row],[Chronic RA input value]]</f>
        <v>0</v>
      </c>
      <c r="G37" s="304" t="str">
        <f>Table22[[#This Row],[Chronic RA label]]</f>
        <v/>
      </c>
      <c r="H37" s="304">
        <f>Table22[[#This Row],[GAP under assessment]]</f>
        <v>0</v>
      </c>
      <c r="I37" s="1123"/>
      <c r="J37" s="974" t="e">
        <f>IF($F37="","",$F37*chronic_consumption!$E37/1000/$C$3)</f>
        <v>#DIV/0!</v>
      </c>
      <c r="K37" s="974" t="e">
        <f>IF($F37="","",$F37*chronic_consumption!F37/1000/$C$3)</f>
        <v>#DIV/0!</v>
      </c>
      <c r="L37" s="974" t="e">
        <f>IF($F37="","",$F37*chronic_consumption!G37/1000/$C$3)</f>
        <v>#DIV/0!</v>
      </c>
      <c r="M37" s="974" t="e">
        <f>IF($F37="","",$F37*chronic_consumption!H37/1000/$C$3)</f>
        <v>#DIV/0!</v>
      </c>
      <c r="N37" s="974" t="e">
        <f>IF($F37="","",$F37*chronic_consumption!I37/1000/$C$3)</f>
        <v>#DIV/0!</v>
      </c>
      <c r="O37" s="974" t="e">
        <f>IF($F37="","",$F37*chronic_consumption!J37/1000/$C$3)</f>
        <v>#DIV/0!</v>
      </c>
      <c r="P37" s="974" t="e">
        <f>IF($F37="","",$F37*chronic_consumption!K37/1000/$C$3)</f>
        <v>#DIV/0!</v>
      </c>
      <c r="Q37" s="974" t="e">
        <f>IF($F37="","",$F37*chronic_consumption!L37/1000/$C$3)</f>
        <v>#DIV/0!</v>
      </c>
      <c r="R37" s="974" t="e">
        <f>IF($F37="","",$F37*chronic_consumption!M37/1000/$C$3)</f>
        <v>#DIV/0!</v>
      </c>
      <c r="S37" s="974" t="e">
        <f>IF($F37="","",$F37*chronic_consumption!N37/1000/$C$3)</f>
        <v>#DIV/0!</v>
      </c>
      <c r="T37" s="974" t="e">
        <f>IF($F37="","",$F37*chronic_consumption!O37/1000/$C$3)</f>
        <v>#DIV/0!</v>
      </c>
      <c r="U37" s="974" t="e">
        <f>IF($F37="","",$F37*chronic_consumption!P37/1000/$C$3)</f>
        <v>#DIV/0!</v>
      </c>
      <c r="V37" s="974" t="e">
        <f>IF($F37="","",$F37*chronic_consumption!Q37/1000/$C$3)</f>
        <v>#DIV/0!</v>
      </c>
      <c r="W37" s="974" t="e">
        <f>IF($F37="","",$F37*chronic_consumption!R37/1000/$C$3)</f>
        <v>#DIV/0!</v>
      </c>
      <c r="X37" s="974" t="e">
        <f>IF($F37="","",$F37*chronic_consumption!S37/1000/$C$3)</f>
        <v>#DIV/0!</v>
      </c>
      <c r="Y37" s="974" t="e">
        <f>IF($F37="","",$F37*chronic_consumption!T37/1000/$C$3)</f>
        <v>#DIV/0!</v>
      </c>
      <c r="Z37" s="974" t="e">
        <f>IF($F37="","",$F37*chronic_consumption!U37/1000/$C$3)</f>
        <v>#DIV/0!</v>
      </c>
      <c r="AA37" s="974" t="e">
        <f>IF($F37="","",$F37*chronic_consumption!V37/1000/$C$3)</f>
        <v>#DIV/0!</v>
      </c>
      <c r="AB37" s="974" t="e">
        <f>IF($F37="","",$F37*chronic_consumption!W37/1000/$C$3)</f>
        <v>#DIV/0!</v>
      </c>
      <c r="AC37" s="974" t="e">
        <f>IF($F37="","",$F37*chronic_consumption!X37/1000/$C$3)</f>
        <v>#DIV/0!</v>
      </c>
      <c r="AD37" s="974" t="e">
        <f>IF($F37="","",$F37*chronic_consumption!Y37/1000/$C$3)</f>
        <v>#DIV/0!</v>
      </c>
      <c r="AE37" s="974" t="e">
        <f>IF($F37="","",$F37*chronic_consumption!Z37/1000/$C$3)</f>
        <v>#DIV/0!</v>
      </c>
      <c r="AF37" s="974" t="e">
        <f>IF($F37="","",$F37*chronic_consumption!AA37/1000/$C$3)</f>
        <v>#DIV/0!</v>
      </c>
      <c r="AG37" s="974" t="e">
        <f>IF($F37="","",$F37*chronic_consumption!AB37/1000/$C$3)</f>
        <v>#DIV/0!</v>
      </c>
      <c r="AH37" s="974" t="e">
        <f>IF($F37="","",$F37*chronic_consumption!AC37/1000/$C$3)</f>
        <v>#DIV/0!</v>
      </c>
      <c r="AI37" s="974" t="e">
        <f>IF($F37="","",$F37*chronic_consumption!AD37/1000/$C$3)</f>
        <v>#DIV/0!</v>
      </c>
      <c r="AJ37" s="974" t="e">
        <f>IF($F37="","",$F37*chronic_consumption!AE37/1000/$C$3)</f>
        <v>#DIV/0!</v>
      </c>
      <c r="AK37" s="974" t="e">
        <f>IF($F37="","",$F37*chronic_consumption!AF37/1000/$C$3)</f>
        <v>#DIV/0!</v>
      </c>
      <c r="AL37" s="974" t="e">
        <f>IF($F37="","",$F37*chronic_consumption!AG37/1000/$C$3)</f>
        <v>#DIV/0!</v>
      </c>
      <c r="AM37" s="974" t="e">
        <f>IF($F37="","",$F37*chronic_consumption!AH37/1000/$C$3)</f>
        <v>#DIV/0!</v>
      </c>
      <c r="AN37" s="974" t="e">
        <f>IF($F37="","",$F37*chronic_consumption!AI37/1000/$C$3)</f>
        <v>#DIV/0!</v>
      </c>
      <c r="AO37" s="974" t="e">
        <f>IF($F37="","",$F37*chronic_consumption!AJ37/1000/$C$3)</f>
        <v>#DIV/0!</v>
      </c>
      <c r="AP37" s="974" t="e">
        <f>IF($F37="","",$F37*chronic_consumption!AK37/1000/$C$3)</f>
        <v>#DIV/0!</v>
      </c>
      <c r="AQ37" s="974" t="e">
        <f>IF($F37="","",$F37*chronic_consumption!AL37/1000/$C$3)</f>
        <v>#DIV/0!</v>
      </c>
      <c r="AR37" s="974" t="e">
        <f>IF($F37="","",$F37*chronic_consumption!AM37/1000/$C$3)</f>
        <v>#DIV/0!</v>
      </c>
      <c r="AS37" s="974" t="e">
        <f>IF($F37="","",$F37*chronic_consumption!AN37/1000/$C$3)</f>
        <v>#DIV/0!</v>
      </c>
      <c r="AT37" s="974" t="e">
        <f>IF($F37="","",$F37*chronic_consumption!AO37/1000/$C$3)</f>
        <v>#DIV/0!</v>
      </c>
      <c r="AU37" s="974"/>
      <c r="AV37" s="974" t="e">
        <f>IF($F37="","",$F37*chronic_consumption!AQ37/1000/$C$3)</f>
        <v>#DIV/0!</v>
      </c>
      <c r="AW37" s="974" t="e">
        <f>IF($F37="","",$F37*chronic_consumption!AR37/1000/$C$3)</f>
        <v>#DIV/0!</v>
      </c>
      <c r="AX37" s="974" t="e">
        <f>IF($F37="","",$F37*chronic_consumption!AS37/1000/$C$3)</f>
        <v>#DIV/0!</v>
      </c>
      <c r="AY37" s="974" t="e">
        <f>IF($F37="","",$F37*chronic_consumption!AT37/1000/$C$3)</f>
        <v>#DIV/0!</v>
      </c>
      <c r="AZ37" s="973" t="s">
        <v>19</v>
      </c>
      <c r="BA37" s="969" t="e">
        <f t="shared" si="7"/>
        <v>#DIV/0!</v>
      </c>
      <c r="BB37" s="970" t="e">
        <f t="shared" si="8"/>
        <v>#DIV/0!</v>
      </c>
      <c r="BC37" s="971" t="e">
        <f t="shared" ca="1" si="9"/>
        <v>#DIV/0!</v>
      </c>
      <c r="BD37" s="228">
        <f>input_values!Z37</f>
        <v>4</v>
      </c>
      <c r="BE37" s="152">
        <f>input_values!L37</f>
        <v>0</v>
      </c>
      <c r="BF37" s="972" t="str">
        <f t="shared" si="10"/>
        <v/>
      </c>
    </row>
    <row r="38" spans="1:58" ht="12" customHeight="1" outlineLevel="3" x14ac:dyDescent="0.2">
      <c r="A38" s="21">
        <v>4</v>
      </c>
      <c r="B38" s="23">
        <v>130050</v>
      </c>
      <c r="C38" s="23" t="s">
        <v>683</v>
      </c>
      <c r="D38" s="965">
        <f>Table22[[#This Row],[MRL individual commodity]]</f>
        <v>0</v>
      </c>
      <c r="E38" s="300" t="str">
        <f>Table22[[#This Row],[LOQ_label]]</f>
        <v/>
      </c>
      <c r="F38" s="966">
        <f>Table22[[#This Row],[Chronic RA input value]]</f>
        <v>0</v>
      </c>
      <c r="G38" s="304" t="str">
        <f>Table22[[#This Row],[Chronic RA label]]</f>
        <v/>
      </c>
      <c r="H38" s="304">
        <f>Table22[[#This Row],[GAP under assessment]]</f>
        <v>0</v>
      </c>
      <c r="I38" s="1123"/>
      <c r="J38" s="974" t="e">
        <f>IF($F38="","",$F38*chronic_consumption!$E38/1000/$C$3)</f>
        <v>#DIV/0!</v>
      </c>
      <c r="K38" s="974" t="e">
        <f>IF($F38="","",$F38*chronic_consumption!F38/1000/$C$3)</f>
        <v>#DIV/0!</v>
      </c>
      <c r="L38" s="974" t="e">
        <f>IF($F38="","",$F38*chronic_consumption!G38/1000/$C$3)</f>
        <v>#DIV/0!</v>
      </c>
      <c r="M38" s="974" t="e">
        <f>IF($F38="","",$F38*chronic_consumption!H38/1000/$C$3)</f>
        <v>#DIV/0!</v>
      </c>
      <c r="N38" s="974" t="e">
        <f>IF($F38="","",$F38*chronic_consumption!I38/1000/$C$3)</f>
        <v>#DIV/0!</v>
      </c>
      <c r="O38" s="974" t="e">
        <f>IF($F38="","",$F38*chronic_consumption!J38/1000/$C$3)</f>
        <v>#DIV/0!</v>
      </c>
      <c r="P38" s="974" t="e">
        <f>IF($F38="","",$F38*chronic_consumption!K38/1000/$C$3)</f>
        <v>#DIV/0!</v>
      </c>
      <c r="Q38" s="974" t="e">
        <f>IF($F38="","",$F38*chronic_consumption!L38/1000/$C$3)</f>
        <v>#DIV/0!</v>
      </c>
      <c r="R38" s="974" t="e">
        <f>IF($F38="","",$F38*chronic_consumption!M38/1000/$C$3)</f>
        <v>#DIV/0!</v>
      </c>
      <c r="S38" s="974" t="e">
        <f>IF($F38="","",$F38*chronic_consumption!N38/1000/$C$3)</f>
        <v>#DIV/0!</v>
      </c>
      <c r="T38" s="974" t="e">
        <f>IF($F38="","",$F38*chronic_consumption!O38/1000/$C$3)</f>
        <v>#DIV/0!</v>
      </c>
      <c r="U38" s="974" t="e">
        <f>IF($F38="","",$F38*chronic_consumption!P38/1000/$C$3)</f>
        <v>#DIV/0!</v>
      </c>
      <c r="V38" s="974" t="e">
        <f>IF($F38="","",$F38*chronic_consumption!Q38/1000/$C$3)</f>
        <v>#DIV/0!</v>
      </c>
      <c r="W38" s="974" t="e">
        <f>IF($F38="","",$F38*chronic_consumption!R38/1000/$C$3)</f>
        <v>#DIV/0!</v>
      </c>
      <c r="X38" s="974" t="e">
        <f>IF($F38="","",$F38*chronic_consumption!S38/1000/$C$3)</f>
        <v>#DIV/0!</v>
      </c>
      <c r="Y38" s="974" t="e">
        <f>IF($F38="","",$F38*chronic_consumption!T38/1000/$C$3)</f>
        <v>#DIV/0!</v>
      </c>
      <c r="Z38" s="974" t="e">
        <f>IF($F38="","",$F38*chronic_consumption!U38/1000/$C$3)</f>
        <v>#DIV/0!</v>
      </c>
      <c r="AA38" s="974" t="e">
        <f>IF($F38="","",$F38*chronic_consumption!V38/1000/$C$3)</f>
        <v>#DIV/0!</v>
      </c>
      <c r="AB38" s="974" t="e">
        <f>IF($F38="","",$F38*chronic_consumption!W38/1000/$C$3)</f>
        <v>#DIV/0!</v>
      </c>
      <c r="AC38" s="974" t="e">
        <f>IF($F38="","",$F38*chronic_consumption!X38/1000/$C$3)</f>
        <v>#DIV/0!</v>
      </c>
      <c r="AD38" s="974" t="e">
        <f>IF($F38="","",$F38*chronic_consumption!Y38/1000/$C$3)</f>
        <v>#DIV/0!</v>
      </c>
      <c r="AE38" s="974" t="e">
        <f>IF($F38="","",$F38*chronic_consumption!Z38/1000/$C$3)</f>
        <v>#DIV/0!</v>
      </c>
      <c r="AF38" s="974" t="e">
        <f>IF($F38="","",$F38*chronic_consumption!AA38/1000/$C$3)</f>
        <v>#DIV/0!</v>
      </c>
      <c r="AG38" s="974" t="e">
        <f>IF($F38="","",$F38*chronic_consumption!AB38/1000/$C$3)</f>
        <v>#DIV/0!</v>
      </c>
      <c r="AH38" s="974" t="e">
        <f>IF($F38="","",$F38*chronic_consumption!AC38/1000/$C$3)</f>
        <v>#DIV/0!</v>
      </c>
      <c r="AI38" s="974" t="e">
        <f>IF($F38="","",$F38*chronic_consumption!AD38/1000/$C$3)</f>
        <v>#DIV/0!</v>
      </c>
      <c r="AJ38" s="974" t="e">
        <f>IF($F38="","",$F38*chronic_consumption!AE38/1000/$C$3)</f>
        <v>#DIV/0!</v>
      </c>
      <c r="AK38" s="974" t="e">
        <f>IF($F38="","",$F38*chronic_consumption!AF38/1000/$C$3)</f>
        <v>#DIV/0!</v>
      </c>
      <c r="AL38" s="974" t="e">
        <f>IF($F38="","",$F38*chronic_consumption!AG38/1000/$C$3)</f>
        <v>#DIV/0!</v>
      </c>
      <c r="AM38" s="974" t="e">
        <f>IF($F38="","",$F38*chronic_consumption!AH38/1000/$C$3)</f>
        <v>#DIV/0!</v>
      </c>
      <c r="AN38" s="974" t="e">
        <f>IF($F38="","",$F38*chronic_consumption!AI38/1000/$C$3)</f>
        <v>#DIV/0!</v>
      </c>
      <c r="AO38" s="974" t="e">
        <f>IF($F38="","",$F38*chronic_consumption!AJ38/1000/$C$3)</f>
        <v>#DIV/0!</v>
      </c>
      <c r="AP38" s="974" t="e">
        <f>IF($F38="","",$F38*chronic_consumption!AK38/1000/$C$3)</f>
        <v>#DIV/0!</v>
      </c>
      <c r="AQ38" s="974" t="e">
        <f>IF($F38="","",$F38*chronic_consumption!AL38/1000/$C$3)</f>
        <v>#DIV/0!</v>
      </c>
      <c r="AR38" s="974" t="e">
        <f>IF($F38="","",$F38*chronic_consumption!AM38/1000/$C$3)</f>
        <v>#DIV/0!</v>
      </c>
      <c r="AS38" s="974" t="e">
        <f>IF($F38="","",$F38*chronic_consumption!AN38/1000/$C$3)</f>
        <v>#DIV/0!</v>
      </c>
      <c r="AT38" s="974" t="e">
        <f>IF($F38="","",$F38*chronic_consumption!AO38/1000/$C$3)</f>
        <v>#DIV/0!</v>
      </c>
      <c r="AU38" s="974"/>
      <c r="AV38" s="974" t="e">
        <f>IF($F38="","",$F38*chronic_consumption!AQ38/1000/$C$3)</f>
        <v>#DIV/0!</v>
      </c>
      <c r="AW38" s="974" t="e">
        <f>IF($F38="","",$F38*chronic_consumption!AR38/1000/$C$3)</f>
        <v>#DIV/0!</v>
      </c>
      <c r="AX38" s="974" t="e">
        <f>IF($F38="","",$F38*chronic_consumption!AS38/1000/$C$3)</f>
        <v>#DIV/0!</v>
      </c>
      <c r="AY38" s="974" t="e">
        <f>IF($F38="","",$F38*chronic_consumption!AT38/1000/$C$3)</f>
        <v>#DIV/0!</v>
      </c>
      <c r="AZ38" s="973" t="s">
        <v>19</v>
      </c>
      <c r="BA38" s="969" t="e">
        <f t="shared" si="7"/>
        <v>#DIV/0!</v>
      </c>
      <c r="BB38" s="970" t="e">
        <f t="shared" si="8"/>
        <v>#DIV/0!</v>
      </c>
      <c r="BC38" s="971" t="e">
        <f t="shared" ca="1" si="9"/>
        <v>#DIV/0!</v>
      </c>
      <c r="BD38" s="228">
        <f>input_values!Z38</f>
        <v>4</v>
      </c>
      <c r="BE38" s="152">
        <f>input_values!L38</f>
        <v>0</v>
      </c>
      <c r="BF38" s="972" t="str">
        <f t="shared" si="10"/>
        <v/>
      </c>
    </row>
    <row r="39" spans="1:58" ht="12" customHeight="1" outlineLevel="3" x14ac:dyDescent="0.2">
      <c r="A39" s="21">
        <v>4</v>
      </c>
      <c r="B39" s="23">
        <v>130990</v>
      </c>
      <c r="C39" s="23" t="s">
        <v>49</v>
      </c>
      <c r="D39" s="965">
        <f>Table22[[#This Row],[MRL individual commodity]]</f>
        <v>0</v>
      </c>
      <c r="E39" s="300" t="str">
        <f>Table22[[#This Row],[LOQ_label]]</f>
        <v/>
      </c>
      <c r="F39" s="966">
        <f>Table22[[#This Row],[Chronic RA input value]]</f>
        <v>0</v>
      </c>
      <c r="G39" s="304" t="str">
        <f>Table22[[#This Row],[Chronic RA label]]</f>
        <v/>
      </c>
      <c r="H39" s="304">
        <f>Table22[[#This Row],[GAP under assessment]]</f>
        <v>0</v>
      </c>
      <c r="I39" s="1123"/>
      <c r="J39" s="974" t="e">
        <f>IF($F39="","",$F39*chronic_consumption!$E39/1000/$C$3)</f>
        <v>#DIV/0!</v>
      </c>
      <c r="K39" s="974" t="e">
        <f>IF($F39="","",$F39*chronic_consumption!F39/1000/$C$3)</f>
        <v>#DIV/0!</v>
      </c>
      <c r="L39" s="974" t="e">
        <f>IF($F39="","",$F39*chronic_consumption!G39/1000/$C$3)</f>
        <v>#DIV/0!</v>
      </c>
      <c r="M39" s="974" t="e">
        <f>IF($F39="","",$F39*chronic_consumption!H39/1000/$C$3)</f>
        <v>#DIV/0!</v>
      </c>
      <c r="N39" s="974" t="e">
        <f>IF($F39="","",$F39*chronic_consumption!I39/1000/$C$3)</f>
        <v>#DIV/0!</v>
      </c>
      <c r="O39" s="974" t="e">
        <f>IF($F39="","",$F39*chronic_consumption!J39/1000/$C$3)</f>
        <v>#DIV/0!</v>
      </c>
      <c r="P39" s="974" t="e">
        <f>IF($F39="","",$F39*chronic_consumption!K39/1000/$C$3)</f>
        <v>#DIV/0!</v>
      </c>
      <c r="Q39" s="974" t="e">
        <f>IF($F39="","",$F39*chronic_consumption!L39/1000/$C$3)</f>
        <v>#DIV/0!</v>
      </c>
      <c r="R39" s="974" t="e">
        <f>IF($F39="","",$F39*chronic_consumption!M39/1000/$C$3)</f>
        <v>#DIV/0!</v>
      </c>
      <c r="S39" s="974" t="e">
        <f>IF($F39="","",$F39*chronic_consumption!N39/1000/$C$3)</f>
        <v>#DIV/0!</v>
      </c>
      <c r="T39" s="974" t="e">
        <f>IF($F39="","",$F39*chronic_consumption!O39/1000/$C$3)</f>
        <v>#DIV/0!</v>
      </c>
      <c r="U39" s="974" t="e">
        <f>IF($F39="","",$F39*chronic_consumption!P39/1000/$C$3)</f>
        <v>#DIV/0!</v>
      </c>
      <c r="V39" s="974" t="e">
        <f>IF($F39="","",$F39*chronic_consumption!Q39/1000/$C$3)</f>
        <v>#DIV/0!</v>
      </c>
      <c r="W39" s="974" t="e">
        <f>IF($F39="","",$F39*chronic_consumption!R39/1000/$C$3)</f>
        <v>#DIV/0!</v>
      </c>
      <c r="X39" s="974" t="e">
        <f>IF($F39="","",$F39*chronic_consumption!S39/1000/$C$3)</f>
        <v>#DIV/0!</v>
      </c>
      <c r="Y39" s="974" t="e">
        <f>IF($F39="","",$F39*chronic_consumption!T39/1000/$C$3)</f>
        <v>#DIV/0!</v>
      </c>
      <c r="Z39" s="974" t="e">
        <f>IF($F39="","",$F39*chronic_consumption!U39/1000/$C$3)</f>
        <v>#DIV/0!</v>
      </c>
      <c r="AA39" s="974" t="e">
        <f>IF($F39="","",$F39*chronic_consumption!V39/1000/$C$3)</f>
        <v>#DIV/0!</v>
      </c>
      <c r="AB39" s="974" t="e">
        <f>IF($F39="","",$F39*chronic_consumption!W39/1000/$C$3)</f>
        <v>#DIV/0!</v>
      </c>
      <c r="AC39" s="974" t="e">
        <f>IF($F39="","",$F39*chronic_consumption!X39/1000/$C$3)</f>
        <v>#DIV/0!</v>
      </c>
      <c r="AD39" s="974" t="e">
        <f>IF($F39="","",$F39*chronic_consumption!Y39/1000/$C$3)</f>
        <v>#DIV/0!</v>
      </c>
      <c r="AE39" s="974" t="e">
        <f>IF($F39="","",$F39*chronic_consumption!Z39/1000/$C$3)</f>
        <v>#DIV/0!</v>
      </c>
      <c r="AF39" s="974" t="e">
        <f>IF($F39="","",$F39*chronic_consumption!AA39/1000/$C$3)</f>
        <v>#DIV/0!</v>
      </c>
      <c r="AG39" s="974" t="e">
        <f>IF($F39="","",$F39*chronic_consumption!AB39/1000/$C$3)</f>
        <v>#DIV/0!</v>
      </c>
      <c r="AH39" s="974" t="e">
        <f>IF($F39="","",$F39*chronic_consumption!AC39/1000/$C$3)</f>
        <v>#DIV/0!</v>
      </c>
      <c r="AI39" s="974" t="e">
        <f>IF($F39="","",$F39*chronic_consumption!AD39/1000/$C$3)</f>
        <v>#DIV/0!</v>
      </c>
      <c r="AJ39" s="974" t="e">
        <f>IF($F39="","",$F39*chronic_consumption!AE39/1000/$C$3)</f>
        <v>#DIV/0!</v>
      </c>
      <c r="AK39" s="974" t="e">
        <f>IF($F39="","",$F39*chronic_consumption!AF39/1000/$C$3)</f>
        <v>#DIV/0!</v>
      </c>
      <c r="AL39" s="974" t="e">
        <f>IF($F39="","",$F39*chronic_consumption!AG39/1000/$C$3)</f>
        <v>#DIV/0!</v>
      </c>
      <c r="AM39" s="974" t="e">
        <f>IF($F39="","",$F39*chronic_consumption!AH39/1000/$C$3)</f>
        <v>#DIV/0!</v>
      </c>
      <c r="AN39" s="974" t="e">
        <f>IF($F39="","",$F39*chronic_consumption!AI39/1000/$C$3)</f>
        <v>#DIV/0!</v>
      </c>
      <c r="AO39" s="974" t="e">
        <f>IF($F39="","",$F39*chronic_consumption!AJ39/1000/$C$3)</f>
        <v>#DIV/0!</v>
      </c>
      <c r="AP39" s="974" t="e">
        <f>IF($F39="","",$F39*chronic_consumption!AK39/1000/$C$3)</f>
        <v>#DIV/0!</v>
      </c>
      <c r="AQ39" s="974" t="e">
        <f>IF($F39="","",$F39*chronic_consumption!AL39/1000/$C$3)</f>
        <v>#DIV/0!</v>
      </c>
      <c r="AR39" s="974" t="e">
        <f>IF($F39="","",$F39*chronic_consumption!AM39/1000/$C$3)</f>
        <v>#DIV/0!</v>
      </c>
      <c r="AS39" s="974" t="e">
        <f>IF($F39="","",$F39*chronic_consumption!AN39/1000/$C$3)</f>
        <v>#DIV/0!</v>
      </c>
      <c r="AT39" s="974" t="e">
        <f>IF($F39="","",$F39*chronic_consumption!AO39/1000/$C$3)</f>
        <v>#DIV/0!</v>
      </c>
      <c r="AU39" s="974"/>
      <c r="AV39" s="974" t="e">
        <f>IF($F39="","",$F39*chronic_consumption!AQ39/1000/$C$3)</f>
        <v>#DIV/0!</v>
      </c>
      <c r="AW39" s="974" t="e">
        <f>IF($F39="","",$F39*chronic_consumption!AR39/1000/$C$3)</f>
        <v>#DIV/0!</v>
      </c>
      <c r="AX39" s="974" t="e">
        <f>IF($F39="","",$F39*chronic_consumption!AS39/1000/$C$3)</f>
        <v>#DIV/0!</v>
      </c>
      <c r="AY39" s="974" t="e">
        <f>IF($F39="","",$F39*chronic_consumption!AT39/1000/$C$3)</f>
        <v>#DIV/0!</v>
      </c>
      <c r="AZ39" s="973" t="s">
        <v>19</v>
      </c>
      <c r="BA39" s="969" t="e">
        <f t="shared" si="7"/>
        <v>#DIV/0!</v>
      </c>
      <c r="BB39" s="970" t="e">
        <f t="shared" si="8"/>
        <v>#DIV/0!</v>
      </c>
      <c r="BC39" s="971" t="e">
        <f t="shared" ca="1" si="9"/>
        <v>#DIV/0!</v>
      </c>
      <c r="BD39" s="228">
        <f>input_values!Z39</f>
        <v>4</v>
      </c>
      <c r="BE39" s="152">
        <f>input_values!L39</f>
        <v>0</v>
      </c>
      <c r="BF39" s="972" t="str">
        <f t="shared" si="10"/>
        <v/>
      </c>
    </row>
    <row r="40" spans="1:58" ht="12" customHeight="1" outlineLevel="1" x14ac:dyDescent="0.2">
      <c r="A40" s="314">
        <v>2</v>
      </c>
      <c r="B40" s="131">
        <v>140000</v>
      </c>
      <c r="C40" s="131" t="s">
        <v>214</v>
      </c>
      <c r="D40" s="965">
        <f>Table22[[#This Row],[MRL individual commodity]]</f>
        <v>0</v>
      </c>
      <c r="E40" s="300">
        <f>Table22[[#This Row],[LOQ_label]]</f>
        <v>0</v>
      </c>
      <c r="F40" s="966">
        <f>Table22[[#This Row],[Chronic RA input value]]</f>
        <v>0</v>
      </c>
      <c r="G40" s="304">
        <f>Table22[[#This Row],[Chronic RA label]]</f>
        <v>0</v>
      </c>
      <c r="H40" s="304">
        <f>Table22[[#This Row],[GAP under assessment]]</f>
        <v>0</v>
      </c>
      <c r="I40" s="1123"/>
      <c r="J40" s="967" t="e">
        <f>IF($F40="","",$F40*chronic_consumption!$E40/1000/$C$3)</f>
        <v>#DIV/0!</v>
      </c>
      <c r="K40" s="967" t="e">
        <f>IF($F40="","",$F40*chronic_consumption!F40/1000/$C$3)</f>
        <v>#DIV/0!</v>
      </c>
      <c r="L40" s="967" t="e">
        <f>IF($F40="","",$F40*chronic_consumption!G40/1000/$C$3)</f>
        <v>#DIV/0!</v>
      </c>
      <c r="M40" s="967" t="e">
        <f>IF($F40="","",$F40*chronic_consumption!H40/1000/$C$3)</f>
        <v>#DIV/0!</v>
      </c>
      <c r="N40" s="967" t="e">
        <f>IF($F40="","",$F40*chronic_consumption!I40/1000/$C$3)</f>
        <v>#DIV/0!</v>
      </c>
      <c r="O40" s="967" t="e">
        <f>IF($F40="","",$F40*chronic_consumption!J40/1000/$C$3)</f>
        <v>#DIV/0!</v>
      </c>
      <c r="P40" s="967" t="e">
        <f>IF($F40="","",$F40*chronic_consumption!K40/1000/$C$3)</f>
        <v>#DIV/0!</v>
      </c>
      <c r="Q40" s="967" t="e">
        <f>IF($F40="","",$F40*chronic_consumption!L40/1000/$C$3)</f>
        <v>#DIV/0!</v>
      </c>
      <c r="R40" s="967" t="e">
        <f>IF($F40="","",$F40*chronic_consumption!M40/1000/$C$3)</f>
        <v>#DIV/0!</v>
      </c>
      <c r="S40" s="967" t="e">
        <f>IF($F40="","",$F40*chronic_consumption!N40/1000/$C$3)</f>
        <v>#DIV/0!</v>
      </c>
      <c r="T40" s="967" t="e">
        <f>IF($F40="","",$F40*chronic_consumption!O40/1000/$C$3)</f>
        <v>#DIV/0!</v>
      </c>
      <c r="U40" s="967" t="e">
        <f>IF($F40="","",$F40*chronic_consumption!P40/1000/$C$3)</f>
        <v>#DIV/0!</v>
      </c>
      <c r="V40" s="967" t="e">
        <f>IF($F40="","",$F40*chronic_consumption!Q40/1000/$C$3)</f>
        <v>#DIV/0!</v>
      </c>
      <c r="W40" s="967" t="e">
        <f>IF($F40="","",$F40*chronic_consumption!R40/1000/$C$3)</f>
        <v>#DIV/0!</v>
      </c>
      <c r="X40" s="967" t="e">
        <f>IF($F40="","",$F40*chronic_consumption!S40/1000/$C$3)</f>
        <v>#DIV/0!</v>
      </c>
      <c r="Y40" s="967" t="e">
        <f>IF($F40="","",$F40*chronic_consumption!T40/1000/$C$3)</f>
        <v>#DIV/0!</v>
      </c>
      <c r="Z40" s="967" t="e">
        <f>IF($F40="","",$F40*chronic_consumption!U40/1000/$C$3)</f>
        <v>#DIV/0!</v>
      </c>
      <c r="AA40" s="967" t="e">
        <f>IF($F40="","",$F40*chronic_consumption!V40/1000/$C$3)</f>
        <v>#DIV/0!</v>
      </c>
      <c r="AB40" s="967" t="e">
        <f>IF($F40="","",$F40*chronic_consumption!W40/1000/$C$3)</f>
        <v>#DIV/0!</v>
      </c>
      <c r="AC40" s="967" t="e">
        <f>IF($F40="","",$F40*chronic_consumption!X40/1000/$C$3)</f>
        <v>#DIV/0!</v>
      </c>
      <c r="AD40" s="967" t="e">
        <f>IF($F40="","",$F40*chronic_consumption!Y40/1000/$C$3)</f>
        <v>#DIV/0!</v>
      </c>
      <c r="AE40" s="967" t="e">
        <f>IF($F40="","",$F40*chronic_consumption!Z40/1000/$C$3)</f>
        <v>#DIV/0!</v>
      </c>
      <c r="AF40" s="967" t="e">
        <f>IF($F40="","",$F40*chronic_consumption!AA40/1000/$C$3)</f>
        <v>#DIV/0!</v>
      </c>
      <c r="AG40" s="967" t="e">
        <f>IF($F40="","",$F40*chronic_consumption!AB40/1000/$C$3)</f>
        <v>#DIV/0!</v>
      </c>
      <c r="AH40" s="967" t="e">
        <f>IF($F40="","",$F40*chronic_consumption!AC40/1000/$C$3)</f>
        <v>#DIV/0!</v>
      </c>
      <c r="AI40" s="967" t="e">
        <f>IF($F40="","",$F40*chronic_consumption!AD40/1000/$C$3)</f>
        <v>#DIV/0!</v>
      </c>
      <c r="AJ40" s="967" t="e">
        <f>IF($F40="","",$F40*chronic_consumption!AE40/1000/$C$3)</f>
        <v>#DIV/0!</v>
      </c>
      <c r="AK40" s="967" t="e">
        <f>IF($F40="","",$F40*chronic_consumption!AF40/1000/$C$3)</f>
        <v>#DIV/0!</v>
      </c>
      <c r="AL40" s="967" t="e">
        <f>IF($F40="","",$F40*chronic_consumption!AG40/1000/$C$3)</f>
        <v>#DIV/0!</v>
      </c>
      <c r="AM40" s="967" t="e">
        <f>IF($F40="","",$F40*chronic_consumption!AH40/1000/$C$3)</f>
        <v>#DIV/0!</v>
      </c>
      <c r="AN40" s="967" t="e">
        <f>IF($F40="","",$F40*chronic_consumption!AI40/1000/$C$3)</f>
        <v>#DIV/0!</v>
      </c>
      <c r="AO40" s="967" t="e">
        <f>IF($F40="","",$F40*chronic_consumption!AJ40/1000/$C$3)</f>
        <v>#DIV/0!</v>
      </c>
      <c r="AP40" s="967" t="e">
        <f>IF($F40="","",$F40*chronic_consumption!AK40/1000/$C$3)</f>
        <v>#DIV/0!</v>
      </c>
      <c r="AQ40" s="967" t="e">
        <f>IF($F40="","",$F40*chronic_consumption!AL40/1000/$C$3)</f>
        <v>#DIV/0!</v>
      </c>
      <c r="AR40" s="967" t="e">
        <f>IF($F40="","",$F40*chronic_consumption!AM40/1000/$C$3)</f>
        <v>#DIV/0!</v>
      </c>
      <c r="AS40" s="967" t="e">
        <f>IF($F40="","",$F40*chronic_consumption!AN40/1000/$C$3)</f>
        <v>#DIV/0!</v>
      </c>
      <c r="AT40" s="967" t="e">
        <f>IF($F40="","",$F40*chronic_consumption!AO40/1000/$C$3)</f>
        <v>#DIV/0!</v>
      </c>
      <c r="AU40" s="967"/>
      <c r="AV40" s="967" t="e">
        <f>IF($F40="","",$F40*chronic_consumption!AQ40/1000/$C$3)</f>
        <v>#DIV/0!</v>
      </c>
      <c r="AW40" s="967" t="e">
        <f>IF($F40="","",$F40*chronic_consumption!AR40/1000/$C$3)</f>
        <v>#DIV/0!</v>
      </c>
      <c r="AX40" s="967" t="e">
        <f>IF($F40="","",$F40*chronic_consumption!AS40/1000/$C$3)</f>
        <v>#DIV/0!</v>
      </c>
      <c r="AY40" s="967" t="e">
        <f>IF($F40="","",$F40*chronic_consumption!AT40/1000/$C$3)</f>
        <v>#DIV/0!</v>
      </c>
      <c r="AZ40" s="973"/>
      <c r="BA40" s="969" t="e">
        <f t="shared" si="7"/>
        <v>#DIV/0!</v>
      </c>
      <c r="BB40" s="970" t="e">
        <f t="shared" si="8"/>
        <v>#DIV/0!</v>
      </c>
      <c r="BC40" s="971" t="e">
        <f t="shared" ca="1" si="9"/>
        <v>#DIV/0!</v>
      </c>
      <c r="BD40" s="228">
        <f>input_values!Z40</f>
        <v>4</v>
      </c>
      <c r="BE40" s="152">
        <f>input_values!L40</f>
        <v>0</v>
      </c>
      <c r="BF40" s="972" t="str">
        <f t="shared" si="10"/>
        <v/>
      </c>
    </row>
    <row r="41" spans="1:58" ht="12" customHeight="1" outlineLevel="3" x14ac:dyDescent="0.2">
      <c r="A41" s="21">
        <v>4</v>
      </c>
      <c r="B41" s="23">
        <v>140010</v>
      </c>
      <c r="C41" s="23" t="s">
        <v>116</v>
      </c>
      <c r="D41" s="965">
        <f>Table22[[#This Row],[MRL individual commodity]]</f>
        <v>0</v>
      </c>
      <c r="E41" s="300" t="str">
        <f>Table22[[#This Row],[LOQ_label]]</f>
        <v/>
      </c>
      <c r="F41" s="966">
        <f>Table22[[#This Row],[Chronic RA input value]]</f>
        <v>0</v>
      </c>
      <c r="G41" s="304" t="str">
        <f>Table22[[#This Row],[Chronic RA label]]</f>
        <v/>
      </c>
      <c r="H41" s="304">
        <f>Table22[[#This Row],[GAP under assessment]]</f>
        <v>0</v>
      </c>
      <c r="I41" s="1123"/>
      <c r="J41" s="974" t="e">
        <f>IF($F41="","",$F41*chronic_consumption!$E41/1000/$C$3)</f>
        <v>#DIV/0!</v>
      </c>
      <c r="K41" s="974" t="e">
        <f>IF($F41="","",$F41*chronic_consumption!F41/1000/$C$3)</f>
        <v>#DIV/0!</v>
      </c>
      <c r="L41" s="974" t="e">
        <f>IF($F41="","",$F41*chronic_consumption!G41/1000/$C$3)</f>
        <v>#DIV/0!</v>
      </c>
      <c r="M41" s="974" t="e">
        <f>IF($F41="","",$F41*chronic_consumption!H41/1000/$C$3)</f>
        <v>#DIV/0!</v>
      </c>
      <c r="N41" s="974" t="e">
        <f>IF($F41="","",$F41*chronic_consumption!I41/1000/$C$3)</f>
        <v>#DIV/0!</v>
      </c>
      <c r="O41" s="974" t="e">
        <f>IF($F41="","",$F41*chronic_consumption!J41/1000/$C$3)</f>
        <v>#DIV/0!</v>
      </c>
      <c r="P41" s="974" t="e">
        <f>IF($F41="","",$F41*chronic_consumption!K41/1000/$C$3)</f>
        <v>#DIV/0!</v>
      </c>
      <c r="Q41" s="974" t="e">
        <f>IF($F41="","",$F41*chronic_consumption!L41/1000/$C$3)</f>
        <v>#DIV/0!</v>
      </c>
      <c r="R41" s="974" t="e">
        <f>IF($F41="","",$F41*chronic_consumption!M41/1000/$C$3)</f>
        <v>#DIV/0!</v>
      </c>
      <c r="S41" s="974" t="e">
        <f>IF($F41="","",$F41*chronic_consumption!N41/1000/$C$3)</f>
        <v>#DIV/0!</v>
      </c>
      <c r="T41" s="974" t="e">
        <f>IF($F41="","",$F41*chronic_consumption!O41/1000/$C$3)</f>
        <v>#DIV/0!</v>
      </c>
      <c r="U41" s="974" t="e">
        <f>IF($F41="","",$F41*chronic_consumption!P41/1000/$C$3)</f>
        <v>#DIV/0!</v>
      </c>
      <c r="V41" s="974" t="e">
        <f>IF($F41="","",$F41*chronic_consumption!Q41/1000/$C$3)</f>
        <v>#DIV/0!</v>
      </c>
      <c r="W41" s="974" t="e">
        <f>IF($F41="","",$F41*chronic_consumption!R41/1000/$C$3)</f>
        <v>#DIV/0!</v>
      </c>
      <c r="X41" s="974" t="e">
        <f>IF($F41="","",$F41*chronic_consumption!S41/1000/$C$3)</f>
        <v>#DIV/0!</v>
      </c>
      <c r="Y41" s="974" t="e">
        <f>IF($F41="","",$F41*chronic_consumption!T41/1000/$C$3)</f>
        <v>#DIV/0!</v>
      </c>
      <c r="Z41" s="974" t="e">
        <f>IF($F41="","",$F41*chronic_consumption!U41/1000/$C$3)</f>
        <v>#DIV/0!</v>
      </c>
      <c r="AA41" s="974" t="e">
        <f>IF($F41="","",$F41*chronic_consumption!V41/1000/$C$3)</f>
        <v>#DIV/0!</v>
      </c>
      <c r="AB41" s="974" t="e">
        <f>IF($F41="","",$F41*chronic_consumption!W41/1000/$C$3)</f>
        <v>#DIV/0!</v>
      </c>
      <c r="AC41" s="974" t="e">
        <f>IF($F41="","",$F41*chronic_consumption!X41/1000/$C$3)</f>
        <v>#DIV/0!</v>
      </c>
      <c r="AD41" s="974" t="e">
        <f>IF($F41="","",$F41*chronic_consumption!Y41/1000/$C$3)</f>
        <v>#DIV/0!</v>
      </c>
      <c r="AE41" s="974" t="e">
        <f>IF($F41="","",$F41*chronic_consumption!Z41/1000/$C$3)</f>
        <v>#DIV/0!</v>
      </c>
      <c r="AF41" s="974" t="e">
        <f>IF($F41="","",$F41*chronic_consumption!AA41/1000/$C$3)</f>
        <v>#DIV/0!</v>
      </c>
      <c r="AG41" s="974" t="e">
        <f>IF($F41="","",$F41*chronic_consumption!AB41/1000/$C$3)</f>
        <v>#DIV/0!</v>
      </c>
      <c r="AH41" s="974" t="e">
        <f>IF($F41="","",$F41*chronic_consumption!AC41/1000/$C$3)</f>
        <v>#DIV/0!</v>
      </c>
      <c r="AI41" s="974" t="e">
        <f>IF($F41="","",$F41*chronic_consumption!AD41/1000/$C$3)</f>
        <v>#DIV/0!</v>
      </c>
      <c r="AJ41" s="974" t="e">
        <f>IF($F41="","",$F41*chronic_consumption!AE41/1000/$C$3)</f>
        <v>#DIV/0!</v>
      </c>
      <c r="AK41" s="974" t="e">
        <f>IF($F41="","",$F41*chronic_consumption!AF41/1000/$C$3)</f>
        <v>#DIV/0!</v>
      </c>
      <c r="AL41" s="974" t="e">
        <f>IF($F41="","",$F41*chronic_consumption!AG41/1000/$C$3)</f>
        <v>#DIV/0!</v>
      </c>
      <c r="AM41" s="974" t="e">
        <f>IF($F41="","",$F41*chronic_consumption!AH41/1000/$C$3)</f>
        <v>#DIV/0!</v>
      </c>
      <c r="AN41" s="974" t="e">
        <f>IF($F41="","",$F41*chronic_consumption!AI41/1000/$C$3)</f>
        <v>#DIV/0!</v>
      </c>
      <c r="AO41" s="974" t="e">
        <f>IF($F41="","",$F41*chronic_consumption!AJ41/1000/$C$3)</f>
        <v>#DIV/0!</v>
      </c>
      <c r="AP41" s="974" t="e">
        <f>IF($F41="","",$F41*chronic_consumption!AK41/1000/$C$3)</f>
        <v>#DIV/0!</v>
      </c>
      <c r="AQ41" s="974" t="e">
        <f>IF($F41="","",$F41*chronic_consumption!AL41/1000/$C$3)</f>
        <v>#DIV/0!</v>
      </c>
      <c r="AR41" s="974" t="e">
        <f>IF($F41="","",$F41*chronic_consumption!AM41/1000/$C$3)</f>
        <v>#DIV/0!</v>
      </c>
      <c r="AS41" s="974" t="e">
        <f>IF($F41="","",$F41*chronic_consumption!AN41/1000/$C$3)</f>
        <v>#DIV/0!</v>
      </c>
      <c r="AT41" s="974" t="e">
        <f>IF($F41="","",$F41*chronic_consumption!AO41/1000/$C$3)</f>
        <v>#DIV/0!</v>
      </c>
      <c r="AU41" s="974"/>
      <c r="AV41" s="974" t="e">
        <f>IF($F41="","",$F41*chronic_consumption!AQ41/1000/$C$3)</f>
        <v>#DIV/0!</v>
      </c>
      <c r="AW41" s="974" t="e">
        <f>IF($F41="","",$F41*chronic_consumption!AR41/1000/$C$3)</f>
        <v>#DIV/0!</v>
      </c>
      <c r="AX41" s="974" t="e">
        <f>IF($F41="","",$F41*chronic_consumption!AS41/1000/$C$3)</f>
        <v>#DIV/0!</v>
      </c>
      <c r="AY41" s="974" t="e">
        <f>IF($F41="","",$F41*chronic_consumption!AT41/1000/$C$3)</f>
        <v>#DIV/0!</v>
      </c>
      <c r="AZ41" s="973" t="s">
        <v>19</v>
      </c>
      <c r="BA41" s="969" t="e">
        <f t="shared" si="7"/>
        <v>#DIV/0!</v>
      </c>
      <c r="BB41" s="970" t="e">
        <f t="shared" si="8"/>
        <v>#DIV/0!</v>
      </c>
      <c r="BC41" s="971" t="e">
        <f t="shared" ca="1" si="9"/>
        <v>#DIV/0!</v>
      </c>
      <c r="BD41" s="228">
        <f>input_values!Z41</f>
        <v>4</v>
      </c>
      <c r="BE41" s="152">
        <f>input_values!L41</f>
        <v>0</v>
      </c>
      <c r="BF41" s="972" t="str">
        <f t="shared" si="10"/>
        <v/>
      </c>
    </row>
    <row r="42" spans="1:58" ht="12" customHeight="1" outlineLevel="3" x14ac:dyDescent="0.2">
      <c r="A42" s="21">
        <v>4</v>
      </c>
      <c r="B42" s="23">
        <v>140020</v>
      </c>
      <c r="C42" s="23" t="s">
        <v>684</v>
      </c>
      <c r="D42" s="965">
        <f>Table22[[#This Row],[MRL individual commodity]]</f>
        <v>0</v>
      </c>
      <c r="E42" s="300" t="str">
        <f>Table22[[#This Row],[LOQ_label]]</f>
        <v/>
      </c>
      <c r="F42" s="966">
        <f>Table22[[#This Row],[Chronic RA input value]]</f>
        <v>0</v>
      </c>
      <c r="G42" s="304" t="str">
        <f>Table22[[#This Row],[Chronic RA label]]</f>
        <v/>
      </c>
      <c r="H42" s="304">
        <f>Table22[[#This Row],[GAP under assessment]]</f>
        <v>0</v>
      </c>
      <c r="I42" s="1123"/>
      <c r="J42" s="974" t="e">
        <f>IF($F42="","",$F42*chronic_consumption!$E42/1000/$C$3)</f>
        <v>#DIV/0!</v>
      </c>
      <c r="K42" s="974" t="e">
        <f>IF($F42="","",$F42*chronic_consumption!F42/1000/$C$3)</f>
        <v>#DIV/0!</v>
      </c>
      <c r="L42" s="974" t="e">
        <f>IF($F42="","",$F42*chronic_consumption!G42/1000/$C$3)</f>
        <v>#DIV/0!</v>
      </c>
      <c r="M42" s="974" t="e">
        <f>IF($F42="","",$F42*chronic_consumption!H42/1000/$C$3)</f>
        <v>#DIV/0!</v>
      </c>
      <c r="N42" s="974" t="e">
        <f>IF($F42="","",$F42*chronic_consumption!I42/1000/$C$3)</f>
        <v>#DIV/0!</v>
      </c>
      <c r="O42" s="974" t="e">
        <f>IF($F42="","",$F42*chronic_consumption!J42/1000/$C$3)</f>
        <v>#DIV/0!</v>
      </c>
      <c r="P42" s="974" t="e">
        <f>IF($F42="","",$F42*chronic_consumption!K42/1000/$C$3)</f>
        <v>#DIV/0!</v>
      </c>
      <c r="Q42" s="974" t="e">
        <f>IF($F42="","",$F42*chronic_consumption!L42/1000/$C$3)</f>
        <v>#DIV/0!</v>
      </c>
      <c r="R42" s="974" t="e">
        <f>IF($F42="","",$F42*chronic_consumption!M42/1000/$C$3)</f>
        <v>#DIV/0!</v>
      </c>
      <c r="S42" s="974" t="e">
        <f>IF($F42="","",$F42*chronic_consumption!N42/1000/$C$3)</f>
        <v>#DIV/0!</v>
      </c>
      <c r="T42" s="974" t="e">
        <f>IF($F42="","",$F42*chronic_consumption!O42/1000/$C$3)</f>
        <v>#DIV/0!</v>
      </c>
      <c r="U42" s="974" t="e">
        <f>IF($F42="","",$F42*chronic_consumption!P42/1000/$C$3)</f>
        <v>#DIV/0!</v>
      </c>
      <c r="V42" s="974" t="e">
        <f>IF($F42="","",$F42*chronic_consumption!Q42/1000/$C$3)</f>
        <v>#DIV/0!</v>
      </c>
      <c r="W42" s="974" t="e">
        <f>IF($F42="","",$F42*chronic_consumption!R42/1000/$C$3)</f>
        <v>#DIV/0!</v>
      </c>
      <c r="X42" s="974" t="e">
        <f>IF($F42="","",$F42*chronic_consumption!S42/1000/$C$3)</f>
        <v>#DIV/0!</v>
      </c>
      <c r="Y42" s="974" t="e">
        <f>IF($F42="","",$F42*chronic_consumption!T42/1000/$C$3)</f>
        <v>#DIV/0!</v>
      </c>
      <c r="Z42" s="974" t="e">
        <f>IF($F42="","",$F42*chronic_consumption!U42/1000/$C$3)</f>
        <v>#DIV/0!</v>
      </c>
      <c r="AA42" s="974" t="e">
        <f>IF($F42="","",$F42*chronic_consumption!V42/1000/$C$3)</f>
        <v>#DIV/0!</v>
      </c>
      <c r="AB42" s="974" t="e">
        <f>IF($F42="","",$F42*chronic_consumption!W42/1000/$C$3)</f>
        <v>#DIV/0!</v>
      </c>
      <c r="AC42" s="974" t="e">
        <f>IF($F42="","",$F42*chronic_consumption!X42/1000/$C$3)</f>
        <v>#DIV/0!</v>
      </c>
      <c r="AD42" s="974" t="e">
        <f>IF($F42="","",$F42*chronic_consumption!Y42/1000/$C$3)</f>
        <v>#DIV/0!</v>
      </c>
      <c r="AE42" s="974" t="e">
        <f>IF($F42="","",$F42*chronic_consumption!Z42/1000/$C$3)</f>
        <v>#DIV/0!</v>
      </c>
      <c r="AF42" s="974" t="e">
        <f>IF($F42="","",$F42*chronic_consumption!AA42/1000/$C$3)</f>
        <v>#DIV/0!</v>
      </c>
      <c r="AG42" s="974" t="e">
        <f>IF($F42="","",$F42*chronic_consumption!AB42/1000/$C$3)</f>
        <v>#DIV/0!</v>
      </c>
      <c r="AH42" s="974" t="e">
        <f>IF($F42="","",$F42*chronic_consumption!AC42/1000/$C$3)</f>
        <v>#DIV/0!</v>
      </c>
      <c r="AI42" s="974" t="e">
        <f>IF($F42="","",$F42*chronic_consumption!AD42/1000/$C$3)</f>
        <v>#DIV/0!</v>
      </c>
      <c r="AJ42" s="974" t="e">
        <f>IF($F42="","",$F42*chronic_consumption!AE42/1000/$C$3)</f>
        <v>#DIV/0!</v>
      </c>
      <c r="AK42" s="974" t="e">
        <f>IF($F42="","",$F42*chronic_consumption!AF42/1000/$C$3)</f>
        <v>#DIV/0!</v>
      </c>
      <c r="AL42" s="974" t="e">
        <f>IF($F42="","",$F42*chronic_consumption!AG42/1000/$C$3)</f>
        <v>#DIV/0!</v>
      </c>
      <c r="AM42" s="974" t="e">
        <f>IF($F42="","",$F42*chronic_consumption!AH42/1000/$C$3)</f>
        <v>#DIV/0!</v>
      </c>
      <c r="AN42" s="974" t="e">
        <f>IF($F42="","",$F42*chronic_consumption!AI42/1000/$C$3)</f>
        <v>#DIV/0!</v>
      </c>
      <c r="AO42" s="974" t="e">
        <f>IF($F42="","",$F42*chronic_consumption!AJ42/1000/$C$3)</f>
        <v>#DIV/0!</v>
      </c>
      <c r="AP42" s="974" t="e">
        <f>IF($F42="","",$F42*chronic_consumption!AK42/1000/$C$3)</f>
        <v>#DIV/0!</v>
      </c>
      <c r="AQ42" s="974" t="e">
        <f>IF($F42="","",$F42*chronic_consumption!AL42/1000/$C$3)</f>
        <v>#DIV/0!</v>
      </c>
      <c r="AR42" s="974" t="e">
        <f>IF($F42="","",$F42*chronic_consumption!AM42/1000/$C$3)</f>
        <v>#DIV/0!</v>
      </c>
      <c r="AS42" s="974" t="e">
        <f>IF($F42="","",$F42*chronic_consumption!AN42/1000/$C$3)</f>
        <v>#DIV/0!</v>
      </c>
      <c r="AT42" s="974" t="e">
        <f>IF($F42="","",$F42*chronic_consumption!AO42/1000/$C$3)</f>
        <v>#DIV/0!</v>
      </c>
      <c r="AU42" s="974"/>
      <c r="AV42" s="974" t="e">
        <f>IF($F42="","",$F42*chronic_consumption!AQ42/1000/$C$3)</f>
        <v>#DIV/0!</v>
      </c>
      <c r="AW42" s="974" t="e">
        <f>IF($F42="","",$F42*chronic_consumption!AR42/1000/$C$3)</f>
        <v>#DIV/0!</v>
      </c>
      <c r="AX42" s="974" t="e">
        <f>IF($F42="","",$F42*chronic_consumption!AS42/1000/$C$3)</f>
        <v>#DIV/0!</v>
      </c>
      <c r="AY42" s="974" t="e">
        <f>IF($F42="","",$F42*chronic_consumption!AT42/1000/$C$3)</f>
        <v>#DIV/0!</v>
      </c>
      <c r="AZ42" s="973" t="s">
        <v>19</v>
      </c>
      <c r="BA42" s="969" t="e">
        <f t="shared" si="7"/>
        <v>#DIV/0!</v>
      </c>
      <c r="BB42" s="970" t="e">
        <f t="shared" si="8"/>
        <v>#DIV/0!</v>
      </c>
      <c r="BC42" s="971" t="e">
        <f t="shared" ca="1" si="9"/>
        <v>#DIV/0!</v>
      </c>
      <c r="BD42" s="228">
        <f>input_values!Z42</f>
        <v>4</v>
      </c>
      <c r="BE42" s="152">
        <f>input_values!L42</f>
        <v>0</v>
      </c>
      <c r="BF42" s="972" t="str">
        <f t="shared" si="10"/>
        <v/>
      </c>
    </row>
    <row r="43" spans="1:58" ht="12" customHeight="1" outlineLevel="3" x14ac:dyDescent="0.2">
      <c r="A43" s="21">
        <v>4</v>
      </c>
      <c r="B43" s="23">
        <v>140030</v>
      </c>
      <c r="C43" s="23" t="s">
        <v>117</v>
      </c>
      <c r="D43" s="965">
        <f>Table22[[#This Row],[MRL individual commodity]]</f>
        <v>0</v>
      </c>
      <c r="E43" s="300" t="str">
        <f>Table22[[#This Row],[LOQ_label]]</f>
        <v/>
      </c>
      <c r="F43" s="966">
        <f>Table22[[#This Row],[Chronic RA input value]]</f>
        <v>0</v>
      </c>
      <c r="G43" s="304" t="str">
        <f>Table22[[#This Row],[Chronic RA label]]</f>
        <v/>
      </c>
      <c r="H43" s="304">
        <f>Table22[[#This Row],[GAP under assessment]]</f>
        <v>0</v>
      </c>
      <c r="I43" s="1123"/>
      <c r="J43" s="974" t="e">
        <f>IF($F43="","",$F43*chronic_consumption!$E43/1000/$C$3)</f>
        <v>#DIV/0!</v>
      </c>
      <c r="K43" s="974" t="e">
        <f>IF($F43="","",$F43*chronic_consumption!F43/1000/$C$3)</f>
        <v>#DIV/0!</v>
      </c>
      <c r="L43" s="974" t="e">
        <f>IF($F43="","",$F43*chronic_consumption!G43/1000/$C$3)</f>
        <v>#DIV/0!</v>
      </c>
      <c r="M43" s="974" t="e">
        <f>IF($F43="","",$F43*chronic_consumption!H43/1000/$C$3)</f>
        <v>#DIV/0!</v>
      </c>
      <c r="N43" s="974" t="e">
        <f>IF($F43="","",$F43*chronic_consumption!I43/1000/$C$3)</f>
        <v>#DIV/0!</v>
      </c>
      <c r="O43" s="974" t="e">
        <f>IF($F43="","",$F43*chronic_consumption!J43/1000/$C$3)</f>
        <v>#DIV/0!</v>
      </c>
      <c r="P43" s="974" t="e">
        <f>IF($F43="","",$F43*chronic_consumption!K43/1000/$C$3)</f>
        <v>#DIV/0!</v>
      </c>
      <c r="Q43" s="974" t="e">
        <f>IF($F43="","",$F43*chronic_consumption!L43/1000/$C$3)</f>
        <v>#DIV/0!</v>
      </c>
      <c r="R43" s="974" t="e">
        <f>IF($F43="","",$F43*chronic_consumption!M43/1000/$C$3)</f>
        <v>#DIV/0!</v>
      </c>
      <c r="S43" s="974" t="e">
        <f>IF($F43="","",$F43*chronic_consumption!N43/1000/$C$3)</f>
        <v>#DIV/0!</v>
      </c>
      <c r="T43" s="974" t="e">
        <f>IF($F43="","",$F43*chronic_consumption!O43/1000/$C$3)</f>
        <v>#DIV/0!</v>
      </c>
      <c r="U43" s="974" t="e">
        <f>IF($F43="","",$F43*chronic_consumption!P43/1000/$C$3)</f>
        <v>#DIV/0!</v>
      </c>
      <c r="V43" s="974" t="e">
        <f>IF($F43="","",$F43*chronic_consumption!Q43/1000/$C$3)</f>
        <v>#DIV/0!</v>
      </c>
      <c r="W43" s="974" t="e">
        <f>IF($F43="","",$F43*chronic_consumption!R43/1000/$C$3)</f>
        <v>#DIV/0!</v>
      </c>
      <c r="X43" s="974" t="e">
        <f>IF($F43="","",$F43*chronic_consumption!S43/1000/$C$3)</f>
        <v>#DIV/0!</v>
      </c>
      <c r="Y43" s="974" t="e">
        <f>IF($F43="","",$F43*chronic_consumption!T43/1000/$C$3)</f>
        <v>#DIV/0!</v>
      </c>
      <c r="Z43" s="974" t="e">
        <f>IF($F43="","",$F43*chronic_consumption!U43/1000/$C$3)</f>
        <v>#DIV/0!</v>
      </c>
      <c r="AA43" s="974" t="e">
        <f>IF($F43="","",$F43*chronic_consumption!V43/1000/$C$3)</f>
        <v>#DIV/0!</v>
      </c>
      <c r="AB43" s="974" t="e">
        <f>IF($F43="","",$F43*chronic_consumption!W43/1000/$C$3)</f>
        <v>#DIV/0!</v>
      </c>
      <c r="AC43" s="974" t="e">
        <f>IF($F43="","",$F43*chronic_consumption!X43/1000/$C$3)</f>
        <v>#DIV/0!</v>
      </c>
      <c r="AD43" s="974" t="e">
        <f>IF($F43="","",$F43*chronic_consumption!Y43/1000/$C$3)</f>
        <v>#DIV/0!</v>
      </c>
      <c r="AE43" s="974" t="e">
        <f>IF($F43="","",$F43*chronic_consumption!Z43/1000/$C$3)</f>
        <v>#DIV/0!</v>
      </c>
      <c r="AF43" s="974" t="e">
        <f>IF($F43="","",$F43*chronic_consumption!AA43/1000/$C$3)</f>
        <v>#DIV/0!</v>
      </c>
      <c r="AG43" s="974" t="e">
        <f>IF($F43="","",$F43*chronic_consumption!AB43/1000/$C$3)</f>
        <v>#DIV/0!</v>
      </c>
      <c r="AH43" s="974" t="e">
        <f>IF($F43="","",$F43*chronic_consumption!AC43/1000/$C$3)</f>
        <v>#DIV/0!</v>
      </c>
      <c r="AI43" s="974" t="e">
        <f>IF($F43="","",$F43*chronic_consumption!AD43/1000/$C$3)</f>
        <v>#DIV/0!</v>
      </c>
      <c r="AJ43" s="974" t="e">
        <f>IF($F43="","",$F43*chronic_consumption!AE43/1000/$C$3)</f>
        <v>#DIV/0!</v>
      </c>
      <c r="AK43" s="974" t="e">
        <f>IF($F43="","",$F43*chronic_consumption!AF43/1000/$C$3)</f>
        <v>#DIV/0!</v>
      </c>
      <c r="AL43" s="974" t="e">
        <f>IF($F43="","",$F43*chronic_consumption!AG43/1000/$C$3)</f>
        <v>#DIV/0!</v>
      </c>
      <c r="AM43" s="974" t="e">
        <f>IF($F43="","",$F43*chronic_consumption!AH43/1000/$C$3)</f>
        <v>#DIV/0!</v>
      </c>
      <c r="AN43" s="974" t="e">
        <f>IF($F43="","",$F43*chronic_consumption!AI43/1000/$C$3)</f>
        <v>#DIV/0!</v>
      </c>
      <c r="AO43" s="974" t="e">
        <f>IF($F43="","",$F43*chronic_consumption!AJ43/1000/$C$3)</f>
        <v>#DIV/0!</v>
      </c>
      <c r="AP43" s="974" t="e">
        <f>IF($F43="","",$F43*chronic_consumption!AK43/1000/$C$3)</f>
        <v>#DIV/0!</v>
      </c>
      <c r="AQ43" s="974" t="e">
        <f>IF($F43="","",$F43*chronic_consumption!AL43/1000/$C$3)</f>
        <v>#DIV/0!</v>
      </c>
      <c r="AR43" s="974" t="e">
        <f>IF($F43="","",$F43*chronic_consumption!AM43/1000/$C$3)</f>
        <v>#DIV/0!</v>
      </c>
      <c r="AS43" s="974" t="e">
        <f>IF($F43="","",$F43*chronic_consumption!AN43/1000/$C$3)</f>
        <v>#DIV/0!</v>
      </c>
      <c r="AT43" s="974" t="e">
        <f>IF($F43="","",$F43*chronic_consumption!AO43/1000/$C$3)</f>
        <v>#DIV/0!</v>
      </c>
      <c r="AU43" s="974"/>
      <c r="AV43" s="974" t="e">
        <f>IF($F43="","",$F43*chronic_consumption!AQ43/1000/$C$3)</f>
        <v>#DIV/0!</v>
      </c>
      <c r="AW43" s="974" t="e">
        <f>IF($F43="","",$F43*chronic_consumption!AR43/1000/$C$3)</f>
        <v>#DIV/0!</v>
      </c>
      <c r="AX43" s="974" t="e">
        <f>IF($F43="","",$F43*chronic_consumption!AS43/1000/$C$3)</f>
        <v>#DIV/0!</v>
      </c>
      <c r="AY43" s="974" t="e">
        <f>IF($F43="","",$F43*chronic_consumption!AT43/1000/$C$3)</f>
        <v>#DIV/0!</v>
      </c>
      <c r="AZ43" s="973" t="s">
        <v>19</v>
      </c>
      <c r="BA43" s="969" t="e">
        <f t="shared" si="7"/>
        <v>#DIV/0!</v>
      </c>
      <c r="BB43" s="970" t="e">
        <f t="shared" si="8"/>
        <v>#DIV/0!</v>
      </c>
      <c r="BC43" s="971" t="e">
        <f t="shared" ca="1" si="9"/>
        <v>#DIV/0!</v>
      </c>
      <c r="BD43" s="228">
        <f>input_values!Z43</f>
        <v>4</v>
      </c>
      <c r="BE43" s="152">
        <f>input_values!L43</f>
        <v>0</v>
      </c>
      <c r="BF43" s="972" t="str">
        <f t="shared" si="10"/>
        <v/>
      </c>
    </row>
    <row r="44" spans="1:58" ht="12" customHeight="1" outlineLevel="3" x14ac:dyDescent="0.2">
      <c r="A44" s="21">
        <v>4</v>
      </c>
      <c r="B44" s="23">
        <v>140040</v>
      </c>
      <c r="C44" s="23" t="s">
        <v>118</v>
      </c>
      <c r="D44" s="965">
        <f>Table22[[#This Row],[MRL individual commodity]]</f>
        <v>0</v>
      </c>
      <c r="E44" s="300" t="str">
        <f>Table22[[#This Row],[LOQ_label]]</f>
        <v/>
      </c>
      <c r="F44" s="966">
        <f>Table22[[#This Row],[Chronic RA input value]]</f>
        <v>0</v>
      </c>
      <c r="G44" s="304" t="str">
        <f>Table22[[#This Row],[Chronic RA label]]</f>
        <v/>
      </c>
      <c r="H44" s="304">
        <f>Table22[[#This Row],[GAP under assessment]]</f>
        <v>0</v>
      </c>
      <c r="I44" s="1123"/>
      <c r="J44" s="974" t="e">
        <f>IF($F44="","",$F44*chronic_consumption!$E44/1000/$C$3)</f>
        <v>#DIV/0!</v>
      </c>
      <c r="K44" s="974" t="e">
        <f>IF($F44="","",$F44*chronic_consumption!F44/1000/$C$3)</f>
        <v>#DIV/0!</v>
      </c>
      <c r="L44" s="974" t="e">
        <f>IF($F44="","",$F44*chronic_consumption!G44/1000/$C$3)</f>
        <v>#DIV/0!</v>
      </c>
      <c r="M44" s="974" t="e">
        <f>IF($F44="","",$F44*chronic_consumption!H44/1000/$C$3)</f>
        <v>#DIV/0!</v>
      </c>
      <c r="N44" s="974" t="e">
        <f>IF($F44="","",$F44*chronic_consumption!I44/1000/$C$3)</f>
        <v>#DIV/0!</v>
      </c>
      <c r="O44" s="974" t="e">
        <f>IF($F44="","",$F44*chronic_consumption!J44/1000/$C$3)</f>
        <v>#DIV/0!</v>
      </c>
      <c r="P44" s="974" t="e">
        <f>IF($F44="","",$F44*chronic_consumption!K44/1000/$C$3)</f>
        <v>#DIV/0!</v>
      </c>
      <c r="Q44" s="974" t="e">
        <f>IF($F44="","",$F44*chronic_consumption!L44/1000/$C$3)</f>
        <v>#DIV/0!</v>
      </c>
      <c r="R44" s="974" t="e">
        <f>IF($F44="","",$F44*chronic_consumption!M44/1000/$C$3)</f>
        <v>#DIV/0!</v>
      </c>
      <c r="S44" s="974" t="e">
        <f>IF($F44="","",$F44*chronic_consumption!N44/1000/$C$3)</f>
        <v>#DIV/0!</v>
      </c>
      <c r="T44" s="974" t="e">
        <f>IF($F44="","",$F44*chronic_consumption!O44/1000/$C$3)</f>
        <v>#DIV/0!</v>
      </c>
      <c r="U44" s="974" t="e">
        <f>IF($F44="","",$F44*chronic_consumption!P44/1000/$C$3)</f>
        <v>#DIV/0!</v>
      </c>
      <c r="V44" s="974" t="e">
        <f>IF($F44="","",$F44*chronic_consumption!Q44/1000/$C$3)</f>
        <v>#DIV/0!</v>
      </c>
      <c r="W44" s="974" t="e">
        <f>IF($F44="","",$F44*chronic_consumption!R44/1000/$C$3)</f>
        <v>#DIV/0!</v>
      </c>
      <c r="X44" s="974" t="e">
        <f>IF($F44="","",$F44*chronic_consumption!S44/1000/$C$3)</f>
        <v>#DIV/0!</v>
      </c>
      <c r="Y44" s="974" t="e">
        <f>IF($F44="","",$F44*chronic_consumption!T44/1000/$C$3)</f>
        <v>#DIV/0!</v>
      </c>
      <c r="Z44" s="974" t="e">
        <f>IF($F44="","",$F44*chronic_consumption!U44/1000/$C$3)</f>
        <v>#DIV/0!</v>
      </c>
      <c r="AA44" s="974" t="e">
        <f>IF($F44="","",$F44*chronic_consumption!V44/1000/$C$3)</f>
        <v>#DIV/0!</v>
      </c>
      <c r="AB44" s="974" t="e">
        <f>IF($F44="","",$F44*chronic_consumption!W44/1000/$C$3)</f>
        <v>#DIV/0!</v>
      </c>
      <c r="AC44" s="974" t="e">
        <f>IF($F44="","",$F44*chronic_consumption!X44/1000/$C$3)</f>
        <v>#DIV/0!</v>
      </c>
      <c r="AD44" s="974" t="e">
        <f>IF($F44="","",$F44*chronic_consumption!Y44/1000/$C$3)</f>
        <v>#DIV/0!</v>
      </c>
      <c r="AE44" s="974" t="e">
        <f>IF($F44="","",$F44*chronic_consumption!Z44/1000/$C$3)</f>
        <v>#DIV/0!</v>
      </c>
      <c r="AF44" s="974" t="e">
        <f>IF($F44="","",$F44*chronic_consumption!AA44/1000/$C$3)</f>
        <v>#DIV/0!</v>
      </c>
      <c r="AG44" s="974" t="e">
        <f>IF($F44="","",$F44*chronic_consumption!AB44/1000/$C$3)</f>
        <v>#DIV/0!</v>
      </c>
      <c r="AH44" s="974" t="e">
        <f>IF($F44="","",$F44*chronic_consumption!AC44/1000/$C$3)</f>
        <v>#DIV/0!</v>
      </c>
      <c r="AI44" s="974" t="e">
        <f>IF($F44="","",$F44*chronic_consumption!AD44/1000/$C$3)</f>
        <v>#DIV/0!</v>
      </c>
      <c r="AJ44" s="974" t="e">
        <f>IF($F44="","",$F44*chronic_consumption!AE44/1000/$C$3)</f>
        <v>#DIV/0!</v>
      </c>
      <c r="AK44" s="974" t="e">
        <f>IF($F44="","",$F44*chronic_consumption!AF44/1000/$C$3)</f>
        <v>#DIV/0!</v>
      </c>
      <c r="AL44" s="974" t="e">
        <f>IF($F44="","",$F44*chronic_consumption!AG44/1000/$C$3)</f>
        <v>#DIV/0!</v>
      </c>
      <c r="AM44" s="974" t="e">
        <f>IF($F44="","",$F44*chronic_consumption!AH44/1000/$C$3)</f>
        <v>#DIV/0!</v>
      </c>
      <c r="AN44" s="974" t="e">
        <f>IF($F44="","",$F44*chronic_consumption!AI44/1000/$C$3)</f>
        <v>#DIV/0!</v>
      </c>
      <c r="AO44" s="974" t="e">
        <f>IF($F44="","",$F44*chronic_consumption!AJ44/1000/$C$3)</f>
        <v>#DIV/0!</v>
      </c>
      <c r="AP44" s="974" t="e">
        <f>IF($F44="","",$F44*chronic_consumption!AK44/1000/$C$3)</f>
        <v>#DIV/0!</v>
      </c>
      <c r="AQ44" s="974" t="e">
        <f>IF($F44="","",$F44*chronic_consumption!AL44/1000/$C$3)</f>
        <v>#DIV/0!</v>
      </c>
      <c r="AR44" s="974" t="e">
        <f>IF($F44="","",$F44*chronic_consumption!AM44/1000/$C$3)</f>
        <v>#DIV/0!</v>
      </c>
      <c r="AS44" s="974" t="e">
        <f>IF($F44="","",$F44*chronic_consumption!AN44/1000/$C$3)</f>
        <v>#DIV/0!</v>
      </c>
      <c r="AT44" s="974" t="e">
        <f>IF($F44="","",$F44*chronic_consumption!AO44/1000/$C$3)</f>
        <v>#DIV/0!</v>
      </c>
      <c r="AU44" s="974"/>
      <c r="AV44" s="974" t="e">
        <f>IF($F44="","",$F44*chronic_consumption!AQ44/1000/$C$3)</f>
        <v>#DIV/0!</v>
      </c>
      <c r="AW44" s="974" t="e">
        <f>IF($F44="","",$F44*chronic_consumption!AR44/1000/$C$3)</f>
        <v>#DIV/0!</v>
      </c>
      <c r="AX44" s="974" t="e">
        <f>IF($F44="","",$F44*chronic_consumption!AS44/1000/$C$3)</f>
        <v>#DIV/0!</v>
      </c>
      <c r="AY44" s="974" t="e">
        <f>IF($F44="","",$F44*chronic_consumption!AT44/1000/$C$3)</f>
        <v>#DIV/0!</v>
      </c>
      <c r="AZ44" s="973" t="s">
        <v>19</v>
      </c>
      <c r="BA44" s="969" t="e">
        <f t="shared" si="7"/>
        <v>#DIV/0!</v>
      </c>
      <c r="BB44" s="970" t="e">
        <f t="shared" si="8"/>
        <v>#DIV/0!</v>
      </c>
      <c r="BC44" s="971" t="e">
        <f t="shared" ca="1" si="9"/>
        <v>#DIV/0!</v>
      </c>
      <c r="BD44" s="228">
        <f>input_values!Z44</f>
        <v>4</v>
      </c>
      <c r="BE44" s="152">
        <f>input_values!L44</f>
        <v>0</v>
      </c>
      <c r="BF44" s="972" t="str">
        <f t="shared" si="10"/>
        <v/>
      </c>
    </row>
    <row r="45" spans="1:58" ht="12" customHeight="1" outlineLevel="3" x14ac:dyDescent="0.2">
      <c r="A45" s="21">
        <v>4</v>
      </c>
      <c r="B45" s="23">
        <v>140990</v>
      </c>
      <c r="C45" s="23" t="s">
        <v>50</v>
      </c>
      <c r="D45" s="965">
        <f>Table22[[#This Row],[MRL individual commodity]]</f>
        <v>0</v>
      </c>
      <c r="E45" s="300" t="str">
        <f>Table22[[#This Row],[LOQ_label]]</f>
        <v/>
      </c>
      <c r="F45" s="966">
        <f>Table22[[#This Row],[Chronic RA input value]]</f>
        <v>0</v>
      </c>
      <c r="G45" s="304" t="str">
        <f>Table22[[#This Row],[Chronic RA label]]</f>
        <v/>
      </c>
      <c r="H45" s="304">
        <f>Table22[[#This Row],[GAP under assessment]]</f>
        <v>0</v>
      </c>
      <c r="I45" s="1123"/>
      <c r="J45" s="974" t="e">
        <f>IF($F45="","",$F45*chronic_consumption!$E45/1000/$C$3)</f>
        <v>#DIV/0!</v>
      </c>
      <c r="K45" s="974" t="e">
        <f>IF($F45="","",$F45*chronic_consumption!F45/1000/$C$3)</f>
        <v>#DIV/0!</v>
      </c>
      <c r="L45" s="974" t="e">
        <f>IF($F45="","",$F45*chronic_consumption!G45/1000/$C$3)</f>
        <v>#DIV/0!</v>
      </c>
      <c r="M45" s="974" t="e">
        <f>IF($F45="","",$F45*chronic_consumption!H45/1000/$C$3)</f>
        <v>#DIV/0!</v>
      </c>
      <c r="N45" s="974" t="e">
        <f>IF($F45="","",$F45*chronic_consumption!I45/1000/$C$3)</f>
        <v>#DIV/0!</v>
      </c>
      <c r="O45" s="974" t="e">
        <f>IF($F45="","",$F45*chronic_consumption!J45/1000/$C$3)</f>
        <v>#DIV/0!</v>
      </c>
      <c r="P45" s="974" t="e">
        <f>IF($F45="","",$F45*chronic_consumption!K45/1000/$C$3)</f>
        <v>#DIV/0!</v>
      </c>
      <c r="Q45" s="974" t="e">
        <f>IF($F45="","",$F45*chronic_consumption!L45/1000/$C$3)</f>
        <v>#DIV/0!</v>
      </c>
      <c r="R45" s="974" t="e">
        <f>IF($F45="","",$F45*chronic_consumption!M45/1000/$C$3)</f>
        <v>#DIV/0!</v>
      </c>
      <c r="S45" s="974" t="e">
        <f>IF($F45="","",$F45*chronic_consumption!N45/1000/$C$3)</f>
        <v>#DIV/0!</v>
      </c>
      <c r="T45" s="974" t="e">
        <f>IF($F45="","",$F45*chronic_consumption!O45/1000/$C$3)</f>
        <v>#DIV/0!</v>
      </c>
      <c r="U45" s="974" t="e">
        <f>IF($F45="","",$F45*chronic_consumption!P45/1000/$C$3)</f>
        <v>#DIV/0!</v>
      </c>
      <c r="V45" s="974" t="e">
        <f>IF($F45="","",$F45*chronic_consumption!Q45/1000/$C$3)</f>
        <v>#DIV/0!</v>
      </c>
      <c r="W45" s="974" t="e">
        <f>IF($F45="","",$F45*chronic_consumption!R45/1000/$C$3)</f>
        <v>#DIV/0!</v>
      </c>
      <c r="X45" s="974" t="e">
        <f>IF($F45="","",$F45*chronic_consumption!S45/1000/$C$3)</f>
        <v>#DIV/0!</v>
      </c>
      <c r="Y45" s="974" t="e">
        <f>IF($F45="","",$F45*chronic_consumption!T45/1000/$C$3)</f>
        <v>#DIV/0!</v>
      </c>
      <c r="Z45" s="974" t="e">
        <f>IF($F45="","",$F45*chronic_consumption!U45/1000/$C$3)</f>
        <v>#DIV/0!</v>
      </c>
      <c r="AA45" s="974" t="e">
        <f>IF($F45="","",$F45*chronic_consumption!V45/1000/$C$3)</f>
        <v>#DIV/0!</v>
      </c>
      <c r="AB45" s="974" t="e">
        <f>IF($F45="","",$F45*chronic_consumption!W45/1000/$C$3)</f>
        <v>#DIV/0!</v>
      </c>
      <c r="AC45" s="974" t="e">
        <f>IF($F45="","",$F45*chronic_consumption!X45/1000/$C$3)</f>
        <v>#DIV/0!</v>
      </c>
      <c r="AD45" s="974" t="e">
        <f>IF($F45="","",$F45*chronic_consumption!Y45/1000/$C$3)</f>
        <v>#DIV/0!</v>
      </c>
      <c r="AE45" s="974" t="e">
        <f>IF($F45="","",$F45*chronic_consumption!Z45/1000/$C$3)</f>
        <v>#DIV/0!</v>
      </c>
      <c r="AF45" s="974" t="e">
        <f>IF($F45="","",$F45*chronic_consumption!AA45/1000/$C$3)</f>
        <v>#DIV/0!</v>
      </c>
      <c r="AG45" s="974" t="e">
        <f>IF($F45="","",$F45*chronic_consumption!AB45/1000/$C$3)</f>
        <v>#DIV/0!</v>
      </c>
      <c r="AH45" s="974" t="e">
        <f>IF($F45="","",$F45*chronic_consumption!AC45/1000/$C$3)</f>
        <v>#DIV/0!</v>
      </c>
      <c r="AI45" s="974" t="e">
        <f>IF($F45="","",$F45*chronic_consumption!AD45/1000/$C$3)</f>
        <v>#DIV/0!</v>
      </c>
      <c r="AJ45" s="974" t="e">
        <f>IF($F45="","",$F45*chronic_consumption!AE45/1000/$C$3)</f>
        <v>#DIV/0!</v>
      </c>
      <c r="AK45" s="974" t="e">
        <f>IF($F45="","",$F45*chronic_consumption!AF45/1000/$C$3)</f>
        <v>#DIV/0!</v>
      </c>
      <c r="AL45" s="974" t="e">
        <f>IF($F45="","",$F45*chronic_consumption!AG45/1000/$C$3)</f>
        <v>#DIV/0!</v>
      </c>
      <c r="AM45" s="974" t="e">
        <f>IF($F45="","",$F45*chronic_consumption!AH45/1000/$C$3)</f>
        <v>#DIV/0!</v>
      </c>
      <c r="AN45" s="974" t="e">
        <f>IF($F45="","",$F45*chronic_consumption!AI45/1000/$C$3)</f>
        <v>#DIV/0!</v>
      </c>
      <c r="AO45" s="974" t="e">
        <f>IF($F45="","",$F45*chronic_consumption!AJ45/1000/$C$3)</f>
        <v>#DIV/0!</v>
      </c>
      <c r="AP45" s="974" t="e">
        <f>IF($F45="","",$F45*chronic_consumption!AK45/1000/$C$3)</f>
        <v>#DIV/0!</v>
      </c>
      <c r="AQ45" s="974" t="e">
        <f>IF($F45="","",$F45*chronic_consumption!AL45/1000/$C$3)</f>
        <v>#DIV/0!</v>
      </c>
      <c r="AR45" s="974" t="e">
        <f>IF($F45="","",$F45*chronic_consumption!AM45/1000/$C$3)</f>
        <v>#DIV/0!</v>
      </c>
      <c r="AS45" s="974" t="e">
        <f>IF($F45="","",$F45*chronic_consumption!AN45/1000/$C$3)</f>
        <v>#DIV/0!</v>
      </c>
      <c r="AT45" s="974" t="e">
        <f>IF($F45="","",$F45*chronic_consumption!AO45/1000/$C$3)</f>
        <v>#DIV/0!</v>
      </c>
      <c r="AU45" s="974"/>
      <c r="AV45" s="974" t="e">
        <f>IF($F45="","",$F45*chronic_consumption!AQ45/1000/$C$3)</f>
        <v>#DIV/0!</v>
      </c>
      <c r="AW45" s="974" t="e">
        <f>IF($F45="","",$F45*chronic_consumption!AR45/1000/$C$3)</f>
        <v>#DIV/0!</v>
      </c>
      <c r="AX45" s="974" t="e">
        <f>IF($F45="","",$F45*chronic_consumption!AS45/1000/$C$3)</f>
        <v>#DIV/0!</v>
      </c>
      <c r="AY45" s="974" t="e">
        <f>IF($F45="","",$F45*chronic_consumption!AT45/1000/$C$3)</f>
        <v>#DIV/0!</v>
      </c>
      <c r="AZ45" s="973" t="s">
        <v>19</v>
      </c>
      <c r="BA45" s="969" t="e">
        <f t="shared" si="7"/>
        <v>#DIV/0!</v>
      </c>
      <c r="BB45" s="970" t="e">
        <f t="shared" si="8"/>
        <v>#DIV/0!</v>
      </c>
      <c r="BC45" s="971" t="e">
        <f t="shared" ca="1" si="9"/>
        <v>#DIV/0!</v>
      </c>
      <c r="BD45" s="228">
        <f>input_values!Z45</f>
        <v>4</v>
      </c>
      <c r="BE45" s="152">
        <f>input_values!L45</f>
        <v>0</v>
      </c>
      <c r="BF45" s="972" t="str">
        <f t="shared" si="10"/>
        <v/>
      </c>
    </row>
    <row r="46" spans="1:58" ht="12" customHeight="1" outlineLevel="1" x14ac:dyDescent="0.2">
      <c r="A46" s="314">
        <v>2</v>
      </c>
      <c r="B46" s="131">
        <v>150000</v>
      </c>
      <c r="C46" s="131" t="s">
        <v>216</v>
      </c>
      <c r="D46" s="965">
        <f>Table22[[#This Row],[MRL individual commodity]]</f>
        <v>0</v>
      </c>
      <c r="E46" s="300">
        <f>Table22[[#This Row],[LOQ_label]]</f>
        <v>0</v>
      </c>
      <c r="F46" s="966">
        <f>Table22[[#This Row],[Chronic RA input value]]</f>
        <v>0</v>
      </c>
      <c r="G46" s="304">
        <f>Table22[[#This Row],[Chronic RA label]]</f>
        <v>0</v>
      </c>
      <c r="H46" s="304">
        <f>Table22[[#This Row],[GAP under assessment]]</f>
        <v>0</v>
      </c>
      <c r="I46" s="1123"/>
      <c r="J46" s="967" t="e">
        <f>IF($F46="","",$F46*chronic_consumption!$E46/1000/$C$3)</f>
        <v>#DIV/0!</v>
      </c>
      <c r="K46" s="967" t="e">
        <f>IF($F46="","",$F46*chronic_consumption!F46/1000/$C$3)</f>
        <v>#DIV/0!</v>
      </c>
      <c r="L46" s="967" t="e">
        <f>IF($F46="","",$F46*chronic_consumption!G46/1000/$C$3)</f>
        <v>#DIV/0!</v>
      </c>
      <c r="M46" s="967" t="e">
        <f>IF($F46="","",$F46*chronic_consumption!H46/1000/$C$3)</f>
        <v>#DIV/0!</v>
      </c>
      <c r="N46" s="967" t="e">
        <f>IF($F46="","",$F46*chronic_consumption!I46/1000/$C$3)</f>
        <v>#DIV/0!</v>
      </c>
      <c r="O46" s="967" t="e">
        <f>IF($F46="","",$F46*chronic_consumption!J46/1000/$C$3)</f>
        <v>#DIV/0!</v>
      </c>
      <c r="P46" s="967" t="e">
        <f>IF($F46="","",$F46*chronic_consumption!K46/1000/$C$3)</f>
        <v>#DIV/0!</v>
      </c>
      <c r="Q46" s="967" t="e">
        <f>IF($F46="","",$F46*chronic_consumption!L46/1000/$C$3)</f>
        <v>#DIV/0!</v>
      </c>
      <c r="R46" s="967" t="e">
        <f>IF($F46="","",$F46*chronic_consumption!M46/1000/$C$3)</f>
        <v>#DIV/0!</v>
      </c>
      <c r="S46" s="967" t="e">
        <f>IF($F46="","",$F46*chronic_consumption!N46/1000/$C$3)</f>
        <v>#DIV/0!</v>
      </c>
      <c r="T46" s="967" t="e">
        <f>IF($F46="","",$F46*chronic_consumption!O46/1000/$C$3)</f>
        <v>#DIV/0!</v>
      </c>
      <c r="U46" s="967" t="e">
        <f>IF($F46="","",$F46*chronic_consumption!P46/1000/$C$3)</f>
        <v>#DIV/0!</v>
      </c>
      <c r="V46" s="967" t="e">
        <f>IF($F46="","",$F46*chronic_consumption!Q46/1000/$C$3)</f>
        <v>#DIV/0!</v>
      </c>
      <c r="W46" s="967" t="e">
        <f>IF($F46="","",$F46*chronic_consumption!R46/1000/$C$3)</f>
        <v>#DIV/0!</v>
      </c>
      <c r="X46" s="967" t="e">
        <f>IF($F46="","",$F46*chronic_consumption!S46/1000/$C$3)</f>
        <v>#DIV/0!</v>
      </c>
      <c r="Y46" s="967" t="e">
        <f>IF($F46="","",$F46*chronic_consumption!T46/1000/$C$3)</f>
        <v>#DIV/0!</v>
      </c>
      <c r="Z46" s="967" t="e">
        <f>IF($F46="","",$F46*chronic_consumption!U46/1000/$C$3)</f>
        <v>#DIV/0!</v>
      </c>
      <c r="AA46" s="967" t="e">
        <f>IF($F46="","",$F46*chronic_consumption!V46/1000/$C$3)</f>
        <v>#DIV/0!</v>
      </c>
      <c r="AB46" s="967" t="e">
        <f>IF($F46="","",$F46*chronic_consumption!W46/1000/$C$3)</f>
        <v>#DIV/0!</v>
      </c>
      <c r="AC46" s="967" t="e">
        <f>IF($F46="","",$F46*chronic_consumption!X46/1000/$C$3)</f>
        <v>#DIV/0!</v>
      </c>
      <c r="AD46" s="967" t="e">
        <f>IF($F46="","",$F46*chronic_consumption!Y46/1000/$C$3)</f>
        <v>#DIV/0!</v>
      </c>
      <c r="AE46" s="967" t="e">
        <f>IF($F46="","",$F46*chronic_consumption!Z46/1000/$C$3)</f>
        <v>#DIV/0!</v>
      </c>
      <c r="AF46" s="967" t="e">
        <f>IF($F46="","",$F46*chronic_consumption!AA46/1000/$C$3)</f>
        <v>#DIV/0!</v>
      </c>
      <c r="AG46" s="967" t="e">
        <f>IF($F46="","",$F46*chronic_consumption!AB46/1000/$C$3)</f>
        <v>#DIV/0!</v>
      </c>
      <c r="AH46" s="967" t="e">
        <f>IF($F46="","",$F46*chronic_consumption!AC46/1000/$C$3)</f>
        <v>#DIV/0!</v>
      </c>
      <c r="AI46" s="967" t="e">
        <f>IF($F46="","",$F46*chronic_consumption!AD46/1000/$C$3)</f>
        <v>#DIV/0!</v>
      </c>
      <c r="AJ46" s="967" t="e">
        <f>IF($F46="","",$F46*chronic_consumption!AE46/1000/$C$3)</f>
        <v>#DIV/0!</v>
      </c>
      <c r="AK46" s="967" t="e">
        <f>IF($F46="","",$F46*chronic_consumption!AF46/1000/$C$3)</f>
        <v>#DIV/0!</v>
      </c>
      <c r="AL46" s="967" t="e">
        <f>IF($F46="","",$F46*chronic_consumption!AG46/1000/$C$3)</f>
        <v>#DIV/0!</v>
      </c>
      <c r="AM46" s="967" t="e">
        <f>IF($F46="","",$F46*chronic_consumption!AH46/1000/$C$3)</f>
        <v>#DIV/0!</v>
      </c>
      <c r="AN46" s="967" t="e">
        <f>IF($F46="","",$F46*chronic_consumption!AI46/1000/$C$3)</f>
        <v>#DIV/0!</v>
      </c>
      <c r="AO46" s="967" t="e">
        <f>IF($F46="","",$F46*chronic_consumption!AJ46/1000/$C$3)</f>
        <v>#DIV/0!</v>
      </c>
      <c r="AP46" s="967" t="e">
        <f>IF($F46="","",$F46*chronic_consumption!AK46/1000/$C$3)</f>
        <v>#DIV/0!</v>
      </c>
      <c r="AQ46" s="967" t="e">
        <f>IF($F46="","",$F46*chronic_consumption!AL46/1000/$C$3)</f>
        <v>#DIV/0!</v>
      </c>
      <c r="AR46" s="967" t="e">
        <f>IF($F46="","",$F46*chronic_consumption!AM46/1000/$C$3)</f>
        <v>#DIV/0!</v>
      </c>
      <c r="AS46" s="967" t="e">
        <f>IF($F46="","",$F46*chronic_consumption!AN46/1000/$C$3)</f>
        <v>#DIV/0!</v>
      </c>
      <c r="AT46" s="967" t="e">
        <f>IF($F46="","",$F46*chronic_consumption!AO46/1000/$C$3)</f>
        <v>#DIV/0!</v>
      </c>
      <c r="AU46" s="967"/>
      <c r="AV46" s="967" t="e">
        <f>IF($F46="","",$F46*chronic_consumption!AQ46/1000/$C$3)</f>
        <v>#DIV/0!</v>
      </c>
      <c r="AW46" s="967" t="e">
        <f>IF($F46="","",$F46*chronic_consumption!AR46/1000/$C$3)</f>
        <v>#DIV/0!</v>
      </c>
      <c r="AX46" s="967" t="e">
        <f>IF($F46="","",$F46*chronic_consumption!AS46/1000/$C$3)</f>
        <v>#DIV/0!</v>
      </c>
      <c r="AY46" s="967" t="e">
        <f>IF($F46="","",$F46*chronic_consumption!AT46/1000/$C$3)</f>
        <v>#DIV/0!</v>
      </c>
      <c r="AZ46" s="973"/>
      <c r="BA46" s="969" t="e">
        <f t="shared" si="7"/>
        <v>#DIV/0!</v>
      </c>
      <c r="BB46" s="970" t="e">
        <f t="shared" si="8"/>
        <v>#DIV/0!</v>
      </c>
      <c r="BC46" s="971" t="e">
        <f t="shared" ca="1" si="9"/>
        <v>#DIV/0!</v>
      </c>
      <c r="BD46" s="228">
        <f>input_values!Z46</f>
        <v>4</v>
      </c>
      <c r="BE46" s="152">
        <f>input_values!L46</f>
        <v>0</v>
      </c>
      <c r="BF46" s="972" t="str">
        <f t="shared" si="10"/>
        <v/>
      </c>
    </row>
    <row r="47" spans="1:58" ht="12" customHeight="1" outlineLevel="2" x14ac:dyDescent="0.2">
      <c r="A47" s="341">
        <v>3</v>
      </c>
      <c r="B47" s="3">
        <v>151000</v>
      </c>
      <c r="C47" s="3" t="s">
        <v>217</v>
      </c>
      <c r="D47" s="965">
        <f>Table22[[#This Row],[MRL individual commodity]]</f>
        <v>0</v>
      </c>
      <c r="E47" s="300">
        <f>Table22[[#This Row],[LOQ_label]]</f>
        <v>0</v>
      </c>
      <c r="F47" s="966">
        <f>Table22[[#This Row],[Chronic RA input value]]</f>
        <v>0</v>
      </c>
      <c r="G47" s="304">
        <f>Table22[[#This Row],[Chronic RA label]]</f>
        <v>0</v>
      </c>
      <c r="H47" s="304">
        <f>Table22[[#This Row],[GAP under assessment]]</f>
        <v>0</v>
      </c>
      <c r="I47" s="1123"/>
      <c r="J47" s="967" t="e">
        <f>IF($F47="","",$F47*chronic_consumption!$E47/1000/$C$3)</f>
        <v>#DIV/0!</v>
      </c>
      <c r="K47" s="967" t="e">
        <f>IF($F47="","",$F47*chronic_consumption!F47/1000/$C$3)</f>
        <v>#DIV/0!</v>
      </c>
      <c r="L47" s="967" t="e">
        <f>IF($F47="","",$F47*chronic_consumption!G47/1000/$C$3)</f>
        <v>#DIV/0!</v>
      </c>
      <c r="M47" s="967" t="e">
        <f>IF($F47="","",$F47*chronic_consumption!H47/1000/$C$3)</f>
        <v>#DIV/0!</v>
      </c>
      <c r="N47" s="967" t="e">
        <f>IF($F47="","",$F47*chronic_consumption!I47/1000/$C$3)</f>
        <v>#DIV/0!</v>
      </c>
      <c r="O47" s="967" t="e">
        <f>IF($F47="","",$F47*chronic_consumption!J47/1000/$C$3)</f>
        <v>#DIV/0!</v>
      </c>
      <c r="P47" s="967" t="e">
        <f>IF($F47="","",$F47*chronic_consumption!K47/1000/$C$3)</f>
        <v>#DIV/0!</v>
      </c>
      <c r="Q47" s="967" t="e">
        <f>IF($F47="","",$F47*chronic_consumption!L47/1000/$C$3)</f>
        <v>#DIV/0!</v>
      </c>
      <c r="R47" s="967" t="e">
        <f>IF($F47="","",$F47*chronic_consumption!M47/1000/$C$3)</f>
        <v>#DIV/0!</v>
      </c>
      <c r="S47" s="967" t="e">
        <f>IF($F47="","",$F47*chronic_consumption!N47/1000/$C$3)</f>
        <v>#DIV/0!</v>
      </c>
      <c r="T47" s="967" t="e">
        <f>IF($F47="","",$F47*chronic_consumption!O47/1000/$C$3)</f>
        <v>#DIV/0!</v>
      </c>
      <c r="U47" s="967" t="e">
        <f>IF($F47="","",$F47*chronic_consumption!P47/1000/$C$3)</f>
        <v>#DIV/0!</v>
      </c>
      <c r="V47" s="967" t="e">
        <f>IF($F47="","",$F47*chronic_consumption!Q47/1000/$C$3)</f>
        <v>#DIV/0!</v>
      </c>
      <c r="W47" s="967" t="e">
        <f>IF($F47="","",$F47*chronic_consumption!R47/1000/$C$3)</f>
        <v>#DIV/0!</v>
      </c>
      <c r="X47" s="967" t="e">
        <f>IF($F47="","",$F47*chronic_consumption!S47/1000/$C$3)</f>
        <v>#DIV/0!</v>
      </c>
      <c r="Y47" s="967" t="e">
        <f>IF($F47="","",$F47*chronic_consumption!T47/1000/$C$3)</f>
        <v>#DIV/0!</v>
      </c>
      <c r="Z47" s="967" t="e">
        <f>IF($F47="","",$F47*chronic_consumption!U47/1000/$C$3)</f>
        <v>#DIV/0!</v>
      </c>
      <c r="AA47" s="967" t="e">
        <f>IF($F47="","",$F47*chronic_consumption!V47/1000/$C$3)</f>
        <v>#DIV/0!</v>
      </c>
      <c r="AB47" s="967" t="e">
        <f>IF($F47="","",$F47*chronic_consumption!W47/1000/$C$3)</f>
        <v>#DIV/0!</v>
      </c>
      <c r="AC47" s="967" t="e">
        <f>IF($F47="","",$F47*chronic_consumption!X47/1000/$C$3)</f>
        <v>#DIV/0!</v>
      </c>
      <c r="AD47" s="967" t="e">
        <f>IF($F47="","",$F47*chronic_consumption!Y47/1000/$C$3)</f>
        <v>#DIV/0!</v>
      </c>
      <c r="AE47" s="967" t="e">
        <f>IF($F47="","",$F47*chronic_consumption!Z47/1000/$C$3)</f>
        <v>#DIV/0!</v>
      </c>
      <c r="AF47" s="967" t="e">
        <f>IF($F47="","",$F47*chronic_consumption!AA47/1000/$C$3)</f>
        <v>#DIV/0!</v>
      </c>
      <c r="AG47" s="967" t="e">
        <f>IF($F47="","",$F47*chronic_consumption!AB47/1000/$C$3)</f>
        <v>#DIV/0!</v>
      </c>
      <c r="AH47" s="967" t="e">
        <f>IF($F47="","",$F47*chronic_consumption!AC47/1000/$C$3)</f>
        <v>#DIV/0!</v>
      </c>
      <c r="AI47" s="967" t="e">
        <f>IF($F47="","",$F47*chronic_consumption!AD47/1000/$C$3)</f>
        <v>#DIV/0!</v>
      </c>
      <c r="AJ47" s="967" t="e">
        <f>IF($F47="","",$F47*chronic_consumption!AE47/1000/$C$3)</f>
        <v>#DIV/0!</v>
      </c>
      <c r="AK47" s="967" t="e">
        <f>IF($F47="","",$F47*chronic_consumption!AF47/1000/$C$3)</f>
        <v>#DIV/0!</v>
      </c>
      <c r="AL47" s="967" t="e">
        <f>IF($F47="","",$F47*chronic_consumption!AG47/1000/$C$3)</f>
        <v>#DIV/0!</v>
      </c>
      <c r="AM47" s="967" t="e">
        <f>IF($F47="","",$F47*chronic_consumption!AH47/1000/$C$3)</f>
        <v>#DIV/0!</v>
      </c>
      <c r="AN47" s="967" t="e">
        <f>IF($F47="","",$F47*chronic_consumption!AI47/1000/$C$3)</f>
        <v>#DIV/0!</v>
      </c>
      <c r="AO47" s="967" t="e">
        <f>IF($F47="","",$F47*chronic_consumption!AJ47/1000/$C$3)</f>
        <v>#DIV/0!</v>
      </c>
      <c r="AP47" s="967" t="e">
        <f>IF($F47="","",$F47*chronic_consumption!AK47/1000/$C$3)</f>
        <v>#DIV/0!</v>
      </c>
      <c r="AQ47" s="967" t="e">
        <f>IF($F47="","",$F47*chronic_consumption!AL47/1000/$C$3)</f>
        <v>#DIV/0!</v>
      </c>
      <c r="AR47" s="967" t="e">
        <f>IF($F47="","",$F47*chronic_consumption!AM47/1000/$C$3)</f>
        <v>#DIV/0!</v>
      </c>
      <c r="AS47" s="967" t="e">
        <f>IF($F47="","",$F47*chronic_consumption!AN47/1000/$C$3)</f>
        <v>#DIV/0!</v>
      </c>
      <c r="AT47" s="967" t="e">
        <f>IF($F47="","",$F47*chronic_consumption!AO47/1000/$C$3)</f>
        <v>#DIV/0!</v>
      </c>
      <c r="AU47" s="967"/>
      <c r="AV47" s="967" t="e">
        <f>IF($F47="","",$F47*chronic_consumption!AQ47/1000/$C$3)</f>
        <v>#DIV/0!</v>
      </c>
      <c r="AW47" s="967" t="e">
        <f>IF($F47="","",$F47*chronic_consumption!AR47/1000/$C$3)</f>
        <v>#DIV/0!</v>
      </c>
      <c r="AX47" s="967" t="e">
        <f>IF($F47="","",$F47*chronic_consumption!AS47/1000/$C$3)</f>
        <v>#DIV/0!</v>
      </c>
      <c r="AY47" s="967" t="e">
        <f>IF($F47="","",$F47*chronic_consumption!AT47/1000/$C$3)</f>
        <v>#DIV/0!</v>
      </c>
      <c r="AZ47" s="973"/>
      <c r="BA47" s="969" t="e">
        <f t="shared" si="7"/>
        <v>#DIV/0!</v>
      </c>
      <c r="BB47" s="970" t="e">
        <f t="shared" si="8"/>
        <v>#DIV/0!</v>
      </c>
      <c r="BC47" s="971" t="e">
        <f t="shared" ca="1" si="9"/>
        <v>#DIV/0!</v>
      </c>
      <c r="BD47" s="228">
        <f>input_values!Z47</f>
        <v>4</v>
      </c>
      <c r="BE47" s="152">
        <f>input_values!L47</f>
        <v>0</v>
      </c>
      <c r="BF47" s="972" t="str">
        <f t="shared" si="10"/>
        <v/>
      </c>
    </row>
    <row r="48" spans="1:58" ht="12" customHeight="1" outlineLevel="3" x14ac:dyDescent="0.2">
      <c r="A48" s="21">
        <v>4</v>
      </c>
      <c r="B48" s="23">
        <v>151010</v>
      </c>
      <c r="C48" s="23" t="s">
        <v>119</v>
      </c>
      <c r="D48" s="965">
        <f>Table22[[#This Row],[MRL individual commodity]]</f>
        <v>0</v>
      </c>
      <c r="E48" s="300" t="str">
        <f>Table22[[#This Row],[LOQ_label]]</f>
        <v/>
      </c>
      <c r="F48" s="966">
        <f>Table22[[#This Row],[Chronic RA input value]]</f>
        <v>0</v>
      </c>
      <c r="G48" s="304" t="str">
        <f>Table22[[#This Row],[Chronic RA label]]</f>
        <v/>
      </c>
      <c r="H48" s="304">
        <f>Table22[[#This Row],[GAP under assessment]]</f>
        <v>0</v>
      </c>
      <c r="I48" s="1123"/>
      <c r="J48" s="974" t="e">
        <f>IF($F48="","",$F48*chronic_consumption!$E48/1000/$C$3)</f>
        <v>#DIV/0!</v>
      </c>
      <c r="K48" s="974" t="e">
        <f>IF($F48="","",$F48*chronic_consumption!F48/1000/$C$3)</f>
        <v>#DIV/0!</v>
      </c>
      <c r="L48" s="974" t="e">
        <f>IF($F48="","",$F48*chronic_consumption!G48/1000/$C$3)</f>
        <v>#DIV/0!</v>
      </c>
      <c r="M48" s="974" t="e">
        <f>IF($F48="","",$F48*chronic_consumption!H48/1000/$C$3)</f>
        <v>#DIV/0!</v>
      </c>
      <c r="N48" s="974" t="e">
        <f>IF($F48="","",$F48*chronic_consumption!I48/1000/$C$3)</f>
        <v>#DIV/0!</v>
      </c>
      <c r="O48" s="974" t="e">
        <f>IF($F48="","",$F48*chronic_consumption!J48/1000/$C$3)</f>
        <v>#DIV/0!</v>
      </c>
      <c r="P48" s="974" t="e">
        <f>IF($F48="","",$F48*chronic_consumption!K48/1000/$C$3)</f>
        <v>#DIV/0!</v>
      </c>
      <c r="Q48" s="974" t="e">
        <f>IF($F48="","",$F48*chronic_consumption!L48/1000/$C$3)</f>
        <v>#DIV/0!</v>
      </c>
      <c r="R48" s="974" t="e">
        <f>IF($F48="","",$F48*chronic_consumption!M48/1000/$C$3)</f>
        <v>#DIV/0!</v>
      </c>
      <c r="S48" s="974" t="e">
        <f>IF($F48="","",$F48*chronic_consumption!N48/1000/$C$3)</f>
        <v>#DIV/0!</v>
      </c>
      <c r="T48" s="974" t="e">
        <f>IF($F48="","",$F48*chronic_consumption!O48/1000/$C$3)</f>
        <v>#DIV/0!</v>
      </c>
      <c r="U48" s="974" t="e">
        <f>IF($F48="","",$F48*chronic_consumption!P48/1000/$C$3)</f>
        <v>#DIV/0!</v>
      </c>
      <c r="V48" s="974" t="e">
        <f>IF($F48="","",$F48*chronic_consumption!Q48/1000/$C$3)</f>
        <v>#DIV/0!</v>
      </c>
      <c r="W48" s="974" t="e">
        <f>IF($F48="","",$F48*chronic_consumption!R48/1000/$C$3)</f>
        <v>#DIV/0!</v>
      </c>
      <c r="X48" s="974" t="e">
        <f>IF($F48="","",$F48*chronic_consumption!S48/1000/$C$3)</f>
        <v>#DIV/0!</v>
      </c>
      <c r="Y48" s="974" t="e">
        <f>IF($F48="","",$F48*chronic_consumption!T48/1000/$C$3)</f>
        <v>#DIV/0!</v>
      </c>
      <c r="Z48" s="974" t="e">
        <f>IF($F48="","",$F48*chronic_consumption!U48/1000/$C$3)</f>
        <v>#DIV/0!</v>
      </c>
      <c r="AA48" s="974" t="e">
        <f>IF($F48="","",$F48*chronic_consumption!V48/1000/$C$3)</f>
        <v>#DIV/0!</v>
      </c>
      <c r="AB48" s="974" t="e">
        <f>IF($F48="","",$F48*chronic_consumption!W48/1000/$C$3)</f>
        <v>#DIV/0!</v>
      </c>
      <c r="AC48" s="974" t="e">
        <f>IF($F48="","",$F48*chronic_consumption!X48/1000/$C$3)</f>
        <v>#DIV/0!</v>
      </c>
      <c r="AD48" s="974" t="e">
        <f>IF($F48="","",$F48*chronic_consumption!Y48/1000/$C$3)</f>
        <v>#DIV/0!</v>
      </c>
      <c r="AE48" s="974" t="e">
        <f>IF($F48="","",$F48*chronic_consumption!Z48/1000/$C$3)</f>
        <v>#DIV/0!</v>
      </c>
      <c r="AF48" s="974" t="e">
        <f>IF($F48="","",$F48*chronic_consumption!AA48/1000/$C$3)</f>
        <v>#DIV/0!</v>
      </c>
      <c r="AG48" s="974" t="e">
        <f>IF($F48="","",$F48*chronic_consumption!AB48/1000/$C$3)</f>
        <v>#DIV/0!</v>
      </c>
      <c r="AH48" s="974" t="e">
        <f>IF($F48="","",$F48*chronic_consumption!AC48/1000/$C$3)</f>
        <v>#DIV/0!</v>
      </c>
      <c r="AI48" s="974" t="e">
        <f>IF($F48="","",$F48*chronic_consumption!AD48/1000/$C$3)</f>
        <v>#DIV/0!</v>
      </c>
      <c r="AJ48" s="974" t="e">
        <f>IF($F48="","",$F48*chronic_consumption!AE48/1000/$C$3)</f>
        <v>#DIV/0!</v>
      </c>
      <c r="AK48" s="974" t="e">
        <f>IF($F48="","",$F48*chronic_consumption!AF48/1000/$C$3)</f>
        <v>#DIV/0!</v>
      </c>
      <c r="AL48" s="974" t="e">
        <f>IF($F48="","",$F48*chronic_consumption!AG48/1000/$C$3)</f>
        <v>#DIV/0!</v>
      </c>
      <c r="AM48" s="974" t="e">
        <f>IF($F48="","",$F48*chronic_consumption!AH48/1000/$C$3)</f>
        <v>#DIV/0!</v>
      </c>
      <c r="AN48" s="974" t="e">
        <f>IF($F48="","",$F48*chronic_consumption!AI48/1000/$C$3)</f>
        <v>#DIV/0!</v>
      </c>
      <c r="AO48" s="974" t="e">
        <f>IF($F48="","",$F48*chronic_consumption!AJ48/1000/$C$3)</f>
        <v>#DIV/0!</v>
      </c>
      <c r="AP48" s="974" t="e">
        <f>IF($F48="","",$F48*chronic_consumption!AK48/1000/$C$3)</f>
        <v>#DIV/0!</v>
      </c>
      <c r="AQ48" s="974" t="e">
        <f>IF($F48="","",$F48*chronic_consumption!AL48/1000/$C$3)</f>
        <v>#DIV/0!</v>
      </c>
      <c r="AR48" s="974" t="e">
        <f>IF($F48="","",$F48*chronic_consumption!AM48/1000/$C$3)</f>
        <v>#DIV/0!</v>
      </c>
      <c r="AS48" s="974" t="e">
        <f>IF($F48="","",$F48*chronic_consumption!AN48/1000/$C$3)</f>
        <v>#DIV/0!</v>
      </c>
      <c r="AT48" s="974" t="e">
        <f>IF($F48="","",$F48*chronic_consumption!AO48/1000/$C$3)</f>
        <v>#DIV/0!</v>
      </c>
      <c r="AU48" s="974"/>
      <c r="AV48" s="974" t="e">
        <f>IF($F48="","",$F48*chronic_consumption!AQ48/1000/$C$3)</f>
        <v>#DIV/0!</v>
      </c>
      <c r="AW48" s="974" t="e">
        <f>IF($F48="","",$F48*chronic_consumption!AR48/1000/$C$3)</f>
        <v>#DIV/0!</v>
      </c>
      <c r="AX48" s="974" t="e">
        <f>IF($F48="","",$F48*chronic_consumption!AS48/1000/$C$3)</f>
        <v>#DIV/0!</v>
      </c>
      <c r="AY48" s="974" t="e">
        <f>IF($F48="","",$F48*chronic_consumption!AT48/1000/$C$3)</f>
        <v>#DIV/0!</v>
      </c>
      <c r="AZ48" s="973" t="s">
        <v>19</v>
      </c>
      <c r="BA48" s="969" t="e">
        <f t="shared" si="7"/>
        <v>#DIV/0!</v>
      </c>
      <c r="BB48" s="970" t="e">
        <f t="shared" si="8"/>
        <v>#DIV/0!</v>
      </c>
      <c r="BC48" s="971" t="e">
        <f t="shared" ca="1" si="9"/>
        <v>#DIV/0!</v>
      </c>
      <c r="BD48" s="228">
        <f>input_values!Z48</f>
        <v>4</v>
      </c>
      <c r="BE48" s="152">
        <f>input_values!L48</f>
        <v>0</v>
      </c>
      <c r="BF48" s="972" t="str">
        <f t="shared" si="10"/>
        <v/>
      </c>
    </row>
    <row r="49" spans="1:58" ht="12" customHeight="1" outlineLevel="3" x14ac:dyDescent="0.2">
      <c r="A49" s="21">
        <v>4</v>
      </c>
      <c r="B49" s="23">
        <v>151020</v>
      </c>
      <c r="C49" s="23" t="s">
        <v>120</v>
      </c>
      <c r="D49" s="965">
        <f>Table22[[#This Row],[MRL individual commodity]]</f>
        <v>0</v>
      </c>
      <c r="E49" s="300" t="str">
        <f>Table22[[#This Row],[LOQ_label]]</f>
        <v/>
      </c>
      <c r="F49" s="966">
        <f>Table22[[#This Row],[Chronic RA input value]]</f>
        <v>0</v>
      </c>
      <c r="G49" s="304" t="str">
        <f>Table22[[#This Row],[Chronic RA label]]</f>
        <v/>
      </c>
      <c r="H49" s="304">
        <f>Table22[[#This Row],[GAP under assessment]]</f>
        <v>0</v>
      </c>
      <c r="I49" s="1123"/>
      <c r="J49" s="974" t="e">
        <f>IF($F49="","",$F49*chronic_consumption!$E49/1000/$C$3)</f>
        <v>#DIV/0!</v>
      </c>
      <c r="K49" s="974" t="e">
        <f>IF($F49="","",$F49*chronic_consumption!F49/1000/$C$3)</f>
        <v>#DIV/0!</v>
      </c>
      <c r="L49" s="974" t="e">
        <f>IF($F49="","",$F49*chronic_consumption!G49/1000/$C$3)</f>
        <v>#DIV/0!</v>
      </c>
      <c r="M49" s="974" t="e">
        <f>IF($F49="","",$F49*chronic_consumption!H49/1000/$C$3)</f>
        <v>#DIV/0!</v>
      </c>
      <c r="N49" s="974" t="e">
        <f>IF($F49="","",$F49*chronic_consumption!I49/1000/$C$3)</f>
        <v>#DIV/0!</v>
      </c>
      <c r="O49" s="974" t="e">
        <f>IF($F49="","",$F49*chronic_consumption!J49/1000/$C$3)</f>
        <v>#DIV/0!</v>
      </c>
      <c r="P49" s="974" t="e">
        <f>IF($F49="","",$F49*chronic_consumption!K49/1000/$C$3)</f>
        <v>#DIV/0!</v>
      </c>
      <c r="Q49" s="974" t="e">
        <f>IF($F49="","",$F49*chronic_consumption!L49/1000/$C$3)</f>
        <v>#DIV/0!</v>
      </c>
      <c r="R49" s="974" t="e">
        <f>IF($F49="","",$F49*chronic_consumption!M49/1000/$C$3)</f>
        <v>#DIV/0!</v>
      </c>
      <c r="S49" s="974" t="e">
        <f>IF($F49="","",$F49*chronic_consumption!N49/1000/$C$3)</f>
        <v>#DIV/0!</v>
      </c>
      <c r="T49" s="974" t="e">
        <f>IF($F49="","",$F49*chronic_consumption!O49/1000/$C$3)</f>
        <v>#DIV/0!</v>
      </c>
      <c r="U49" s="974" t="e">
        <f>IF($F49="","",$F49*chronic_consumption!P49/1000/$C$3)</f>
        <v>#DIV/0!</v>
      </c>
      <c r="V49" s="974" t="e">
        <f>IF($F49="","",$F49*chronic_consumption!Q49/1000/$C$3)</f>
        <v>#DIV/0!</v>
      </c>
      <c r="W49" s="974" t="e">
        <f>IF($F49="","",$F49*chronic_consumption!R49/1000/$C$3)</f>
        <v>#DIV/0!</v>
      </c>
      <c r="X49" s="974" t="e">
        <f>IF($F49="","",$F49*chronic_consumption!S49/1000/$C$3)</f>
        <v>#DIV/0!</v>
      </c>
      <c r="Y49" s="974" t="e">
        <f>IF($F49="","",$F49*chronic_consumption!T49/1000/$C$3)</f>
        <v>#DIV/0!</v>
      </c>
      <c r="Z49" s="974" t="e">
        <f>IF($F49="","",$F49*chronic_consumption!U49/1000/$C$3)</f>
        <v>#DIV/0!</v>
      </c>
      <c r="AA49" s="974" t="e">
        <f>IF($F49="","",$F49*chronic_consumption!V49/1000/$C$3)</f>
        <v>#DIV/0!</v>
      </c>
      <c r="AB49" s="974" t="e">
        <f>IF($F49="","",$F49*chronic_consumption!W49/1000/$C$3)</f>
        <v>#DIV/0!</v>
      </c>
      <c r="AC49" s="974" t="e">
        <f>IF($F49="","",$F49*chronic_consumption!X49/1000/$C$3)</f>
        <v>#DIV/0!</v>
      </c>
      <c r="AD49" s="974" t="e">
        <f>IF($F49="","",$F49*chronic_consumption!Y49/1000/$C$3)</f>
        <v>#DIV/0!</v>
      </c>
      <c r="AE49" s="974" t="e">
        <f>IF($F49="","",$F49*chronic_consumption!Z49/1000/$C$3)</f>
        <v>#DIV/0!</v>
      </c>
      <c r="AF49" s="974" t="e">
        <f>IF($F49="","",$F49*chronic_consumption!AA49/1000/$C$3)</f>
        <v>#DIV/0!</v>
      </c>
      <c r="AG49" s="974" t="e">
        <f>IF($F49="","",$F49*chronic_consumption!AB49/1000/$C$3)</f>
        <v>#DIV/0!</v>
      </c>
      <c r="AH49" s="974" t="e">
        <f>IF($F49="","",$F49*chronic_consumption!AC49/1000/$C$3)</f>
        <v>#DIV/0!</v>
      </c>
      <c r="AI49" s="974" t="e">
        <f>IF($F49="","",$F49*chronic_consumption!AD49/1000/$C$3)</f>
        <v>#DIV/0!</v>
      </c>
      <c r="AJ49" s="974" t="e">
        <f>IF($F49="","",$F49*chronic_consumption!AE49/1000/$C$3)</f>
        <v>#DIV/0!</v>
      </c>
      <c r="AK49" s="974" t="e">
        <f>IF($F49="","",$F49*chronic_consumption!AF49/1000/$C$3)</f>
        <v>#DIV/0!</v>
      </c>
      <c r="AL49" s="974" t="e">
        <f>IF($F49="","",$F49*chronic_consumption!AG49/1000/$C$3)</f>
        <v>#DIV/0!</v>
      </c>
      <c r="AM49" s="974" t="e">
        <f>IF($F49="","",$F49*chronic_consumption!AH49/1000/$C$3)</f>
        <v>#DIV/0!</v>
      </c>
      <c r="AN49" s="974" t="e">
        <f>IF($F49="","",$F49*chronic_consumption!AI49/1000/$C$3)</f>
        <v>#DIV/0!</v>
      </c>
      <c r="AO49" s="974" t="e">
        <f>IF($F49="","",$F49*chronic_consumption!AJ49/1000/$C$3)</f>
        <v>#DIV/0!</v>
      </c>
      <c r="AP49" s="974" t="e">
        <f>IF($F49="","",$F49*chronic_consumption!AK49/1000/$C$3)</f>
        <v>#DIV/0!</v>
      </c>
      <c r="AQ49" s="974" t="e">
        <f>IF($F49="","",$F49*chronic_consumption!AL49/1000/$C$3)</f>
        <v>#DIV/0!</v>
      </c>
      <c r="AR49" s="974" t="e">
        <f>IF($F49="","",$F49*chronic_consumption!AM49/1000/$C$3)</f>
        <v>#DIV/0!</v>
      </c>
      <c r="AS49" s="974" t="e">
        <f>IF($F49="","",$F49*chronic_consumption!AN49/1000/$C$3)</f>
        <v>#DIV/0!</v>
      </c>
      <c r="AT49" s="974" t="e">
        <f>IF($F49="","",$F49*chronic_consumption!AO49/1000/$C$3)</f>
        <v>#DIV/0!</v>
      </c>
      <c r="AU49" s="974"/>
      <c r="AV49" s="974" t="e">
        <f>IF($F49="","",$F49*chronic_consumption!AQ49/1000/$C$3)</f>
        <v>#DIV/0!</v>
      </c>
      <c r="AW49" s="974" t="e">
        <f>IF($F49="","",$F49*chronic_consumption!AR49/1000/$C$3)</f>
        <v>#DIV/0!</v>
      </c>
      <c r="AX49" s="974" t="e">
        <f>IF($F49="","",$F49*chronic_consumption!AS49/1000/$C$3)</f>
        <v>#DIV/0!</v>
      </c>
      <c r="AY49" s="974" t="e">
        <f>IF($F49="","",$F49*chronic_consumption!AT49/1000/$C$3)</f>
        <v>#DIV/0!</v>
      </c>
      <c r="AZ49" s="973" t="s">
        <v>19</v>
      </c>
      <c r="BA49" s="969" t="e">
        <f t="shared" si="7"/>
        <v>#DIV/0!</v>
      </c>
      <c r="BB49" s="970" t="e">
        <f t="shared" si="8"/>
        <v>#DIV/0!</v>
      </c>
      <c r="BC49" s="971" t="e">
        <f t="shared" ca="1" si="9"/>
        <v>#DIV/0!</v>
      </c>
      <c r="BD49" s="228">
        <f>input_values!Z49</f>
        <v>4</v>
      </c>
      <c r="BE49" s="152">
        <f>input_values!L49</f>
        <v>0</v>
      </c>
      <c r="BF49" s="972" t="str">
        <f t="shared" si="10"/>
        <v/>
      </c>
    </row>
    <row r="50" spans="1:58" ht="12" customHeight="1" outlineLevel="2" x14ac:dyDescent="0.2">
      <c r="A50" s="341">
        <v>3</v>
      </c>
      <c r="B50" s="3">
        <v>152000</v>
      </c>
      <c r="C50" s="3" t="s">
        <v>218</v>
      </c>
      <c r="D50" s="965">
        <f>Table22[[#This Row],[MRL individual commodity]]</f>
        <v>0</v>
      </c>
      <c r="E50" s="300" t="str">
        <f>Table22[[#This Row],[LOQ_label]]</f>
        <v/>
      </c>
      <c r="F50" s="966">
        <f>Table22[[#This Row],[Chronic RA input value]]</f>
        <v>0</v>
      </c>
      <c r="G50" s="304" t="str">
        <f>Table22[[#This Row],[Chronic RA label]]</f>
        <v/>
      </c>
      <c r="H50" s="304">
        <f>Table22[[#This Row],[GAP under assessment]]</f>
        <v>0</v>
      </c>
      <c r="I50" s="1123"/>
      <c r="J50" s="974" t="e">
        <f>IF($F50="","",$F50*chronic_consumption!$E50/1000/$C$3)</f>
        <v>#DIV/0!</v>
      </c>
      <c r="K50" s="974" t="e">
        <f>IF($F50="","",$F50*chronic_consumption!F50/1000/$C$3)</f>
        <v>#DIV/0!</v>
      </c>
      <c r="L50" s="974" t="e">
        <f>IF($F50="","",$F50*chronic_consumption!G50/1000/$C$3)</f>
        <v>#DIV/0!</v>
      </c>
      <c r="M50" s="974" t="e">
        <f>IF($F50="","",$F50*chronic_consumption!H50/1000/$C$3)</f>
        <v>#DIV/0!</v>
      </c>
      <c r="N50" s="974" t="e">
        <f>IF($F50="","",$F50*chronic_consumption!I50/1000/$C$3)</f>
        <v>#DIV/0!</v>
      </c>
      <c r="O50" s="974" t="e">
        <f>IF($F50="","",$F50*chronic_consumption!J50/1000/$C$3)</f>
        <v>#DIV/0!</v>
      </c>
      <c r="P50" s="974" t="e">
        <f>IF($F50="","",$F50*chronic_consumption!K50/1000/$C$3)</f>
        <v>#DIV/0!</v>
      </c>
      <c r="Q50" s="974" t="e">
        <f>IF($F50="","",$F50*chronic_consumption!L50/1000/$C$3)</f>
        <v>#DIV/0!</v>
      </c>
      <c r="R50" s="974" t="e">
        <f>IF($F50="","",$F50*chronic_consumption!M50/1000/$C$3)</f>
        <v>#DIV/0!</v>
      </c>
      <c r="S50" s="974" t="e">
        <f>IF($F50="","",$F50*chronic_consumption!N50/1000/$C$3)</f>
        <v>#DIV/0!</v>
      </c>
      <c r="T50" s="974" t="e">
        <f>IF($F50="","",$F50*chronic_consumption!O50/1000/$C$3)</f>
        <v>#DIV/0!</v>
      </c>
      <c r="U50" s="974" t="e">
        <f>IF($F50="","",$F50*chronic_consumption!P50/1000/$C$3)</f>
        <v>#DIV/0!</v>
      </c>
      <c r="V50" s="974" t="e">
        <f>IF($F50="","",$F50*chronic_consumption!Q50/1000/$C$3)</f>
        <v>#DIV/0!</v>
      </c>
      <c r="W50" s="974" t="e">
        <f>IF($F50="","",$F50*chronic_consumption!R50/1000/$C$3)</f>
        <v>#DIV/0!</v>
      </c>
      <c r="X50" s="974" t="e">
        <f>IF($F50="","",$F50*chronic_consumption!S50/1000/$C$3)</f>
        <v>#DIV/0!</v>
      </c>
      <c r="Y50" s="974" t="e">
        <f>IF($F50="","",$F50*chronic_consumption!T50/1000/$C$3)</f>
        <v>#DIV/0!</v>
      </c>
      <c r="Z50" s="974" t="e">
        <f>IF($F50="","",$F50*chronic_consumption!U50/1000/$C$3)</f>
        <v>#DIV/0!</v>
      </c>
      <c r="AA50" s="974" t="e">
        <f>IF($F50="","",$F50*chronic_consumption!V50/1000/$C$3)</f>
        <v>#DIV/0!</v>
      </c>
      <c r="AB50" s="974" t="e">
        <f>IF($F50="","",$F50*chronic_consumption!W50/1000/$C$3)</f>
        <v>#DIV/0!</v>
      </c>
      <c r="AC50" s="974" t="e">
        <f>IF($F50="","",$F50*chronic_consumption!X50/1000/$C$3)</f>
        <v>#DIV/0!</v>
      </c>
      <c r="AD50" s="974" t="e">
        <f>IF($F50="","",$F50*chronic_consumption!Y50/1000/$C$3)</f>
        <v>#DIV/0!</v>
      </c>
      <c r="AE50" s="974" t="e">
        <f>IF($F50="","",$F50*chronic_consumption!Z50/1000/$C$3)</f>
        <v>#DIV/0!</v>
      </c>
      <c r="AF50" s="974" t="e">
        <f>IF($F50="","",$F50*chronic_consumption!AA50/1000/$C$3)</f>
        <v>#DIV/0!</v>
      </c>
      <c r="AG50" s="974" t="e">
        <f>IF($F50="","",$F50*chronic_consumption!AB50/1000/$C$3)</f>
        <v>#DIV/0!</v>
      </c>
      <c r="AH50" s="974" t="e">
        <f>IF($F50="","",$F50*chronic_consumption!AC50/1000/$C$3)</f>
        <v>#DIV/0!</v>
      </c>
      <c r="AI50" s="974" t="e">
        <f>IF($F50="","",$F50*chronic_consumption!AD50/1000/$C$3)</f>
        <v>#DIV/0!</v>
      </c>
      <c r="AJ50" s="974" t="e">
        <f>IF($F50="","",$F50*chronic_consumption!AE50/1000/$C$3)</f>
        <v>#DIV/0!</v>
      </c>
      <c r="AK50" s="974" t="e">
        <f>IF($F50="","",$F50*chronic_consumption!AF50/1000/$C$3)</f>
        <v>#DIV/0!</v>
      </c>
      <c r="AL50" s="974" t="e">
        <f>IF($F50="","",$F50*chronic_consumption!AG50/1000/$C$3)</f>
        <v>#DIV/0!</v>
      </c>
      <c r="AM50" s="974" t="e">
        <f>IF($F50="","",$F50*chronic_consumption!AH50/1000/$C$3)</f>
        <v>#DIV/0!</v>
      </c>
      <c r="AN50" s="974" t="e">
        <f>IF($F50="","",$F50*chronic_consumption!AI50/1000/$C$3)</f>
        <v>#DIV/0!</v>
      </c>
      <c r="AO50" s="974" t="e">
        <f>IF($F50="","",$F50*chronic_consumption!AJ50/1000/$C$3)</f>
        <v>#DIV/0!</v>
      </c>
      <c r="AP50" s="974" t="e">
        <f>IF($F50="","",$F50*chronic_consumption!AK50/1000/$C$3)</f>
        <v>#DIV/0!</v>
      </c>
      <c r="AQ50" s="974" t="e">
        <f>IF($F50="","",$F50*chronic_consumption!AL50/1000/$C$3)</f>
        <v>#DIV/0!</v>
      </c>
      <c r="AR50" s="974" t="e">
        <f>IF($F50="","",$F50*chronic_consumption!AM50/1000/$C$3)</f>
        <v>#DIV/0!</v>
      </c>
      <c r="AS50" s="974" t="e">
        <f>IF($F50="","",$F50*chronic_consumption!AN50/1000/$C$3)</f>
        <v>#DIV/0!</v>
      </c>
      <c r="AT50" s="974" t="e">
        <f>IF($F50="","",$F50*chronic_consumption!AO50/1000/$C$3)</f>
        <v>#DIV/0!</v>
      </c>
      <c r="AU50" s="974"/>
      <c r="AV50" s="974" t="e">
        <f>IF($F50="","",$F50*chronic_consumption!AQ50/1000/$C$3)</f>
        <v>#DIV/0!</v>
      </c>
      <c r="AW50" s="974" t="e">
        <f>IF($F50="","",$F50*chronic_consumption!AR50/1000/$C$3)</f>
        <v>#DIV/0!</v>
      </c>
      <c r="AX50" s="974" t="e">
        <f>IF($F50="","",$F50*chronic_consumption!AS50/1000/$C$3)</f>
        <v>#DIV/0!</v>
      </c>
      <c r="AY50" s="974" t="e">
        <f>IF($F50="","",$F50*chronic_consumption!AT50/1000/$C$3)</f>
        <v>#DIV/0!</v>
      </c>
      <c r="AZ50" s="973" t="s">
        <v>19</v>
      </c>
      <c r="BA50" s="969" t="e">
        <f t="shared" si="7"/>
        <v>#DIV/0!</v>
      </c>
      <c r="BB50" s="970" t="e">
        <f t="shared" si="8"/>
        <v>#DIV/0!</v>
      </c>
      <c r="BC50" s="971" t="e">
        <f t="shared" ca="1" si="9"/>
        <v>#DIV/0!</v>
      </c>
      <c r="BD50" s="228">
        <f>input_values!Z50</f>
        <v>3</v>
      </c>
      <c r="BE50" s="152">
        <f>input_values!L50</f>
        <v>0</v>
      </c>
      <c r="BF50" s="972" t="str">
        <f t="shared" si="10"/>
        <v/>
      </c>
    </row>
    <row r="51" spans="1:58" ht="12" customHeight="1" outlineLevel="2" x14ac:dyDescent="0.2">
      <c r="A51" s="341">
        <v>3</v>
      </c>
      <c r="B51" s="3">
        <v>153000</v>
      </c>
      <c r="C51" s="3" t="s">
        <v>219</v>
      </c>
      <c r="D51" s="965">
        <f>Table22[[#This Row],[MRL individual commodity]]</f>
        <v>0</v>
      </c>
      <c r="E51" s="300">
        <f>Table22[[#This Row],[LOQ_label]]</f>
        <v>0</v>
      </c>
      <c r="F51" s="966">
        <f>Table22[[#This Row],[Chronic RA input value]]</f>
        <v>0</v>
      </c>
      <c r="G51" s="304">
        <f>Table22[[#This Row],[Chronic RA label]]</f>
        <v>0</v>
      </c>
      <c r="H51" s="304">
        <f>Table22[[#This Row],[GAP under assessment]]</f>
        <v>0</v>
      </c>
      <c r="I51" s="1123"/>
      <c r="J51" s="967" t="e">
        <f>IF($F51="","",$F51*chronic_consumption!$E51/1000/$C$3)</f>
        <v>#DIV/0!</v>
      </c>
      <c r="K51" s="967" t="e">
        <f>IF($F51="","",$F51*chronic_consumption!F51/1000/$C$3)</f>
        <v>#DIV/0!</v>
      </c>
      <c r="L51" s="967" t="e">
        <f>IF($F51="","",$F51*chronic_consumption!G51/1000/$C$3)</f>
        <v>#DIV/0!</v>
      </c>
      <c r="M51" s="967" t="e">
        <f>IF($F51="","",$F51*chronic_consumption!H51/1000/$C$3)</f>
        <v>#DIV/0!</v>
      </c>
      <c r="N51" s="967" t="e">
        <f>IF($F51="","",$F51*chronic_consumption!I51/1000/$C$3)</f>
        <v>#DIV/0!</v>
      </c>
      <c r="O51" s="967" t="e">
        <f>IF($F51="","",$F51*chronic_consumption!J51/1000/$C$3)</f>
        <v>#DIV/0!</v>
      </c>
      <c r="P51" s="967" t="e">
        <f>IF($F51="","",$F51*chronic_consumption!K51/1000/$C$3)</f>
        <v>#DIV/0!</v>
      </c>
      <c r="Q51" s="967" t="e">
        <f>IF($F51="","",$F51*chronic_consumption!L51/1000/$C$3)</f>
        <v>#DIV/0!</v>
      </c>
      <c r="R51" s="967" t="e">
        <f>IF($F51="","",$F51*chronic_consumption!M51/1000/$C$3)</f>
        <v>#DIV/0!</v>
      </c>
      <c r="S51" s="967" t="e">
        <f>IF($F51="","",$F51*chronic_consumption!N51/1000/$C$3)</f>
        <v>#DIV/0!</v>
      </c>
      <c r="T51" s="967" t="e">
        <f>IF($F51="","",$F51*chronic_consumption!O51/1000/$C$3)</f>
        <v>#DIV/0!</v>
      </c>
      <c r="U51" s="967" t="e">
        <f>IF($F51="","",$F51*chronic_consumption!P51/1000/$C$3)</f>
        <v>#DIV/0!</v>
      </c>
      <c r="V51" s="967" t="e">
        <f>IF($F51="","",$F51*chronic_consumption!Q51/1000/$C$3)</f>
        <v>#DIV/0!</v>
      </c>
      <c r="W51" s="967" t="e">
        <f>IF($F51="","",$F51*chronic_consumption!R51/1000/$C$3)</f>
        <v>#DIV/0!</v>
      </c>
      <c r="X51" s="967" t="e">
        <f>IF($F51="","",$F51*chronic_consumption!S51/1000/$C$3)</f>
        <v>#DIV/0!</v>
      </c>
      <c r="Y51" s="967" t="e">
        <f>IF($F51="","",$F51*chronic_consumption!T51/1000/$C$3)</f>
        <v>#DIV/0!</v>
      </c>
      <c r="Z51" s="967" t="e">
        <f>IF($F51="","",$F51*chronic_consumption!U51/1000/$C$3)</f>
        <v>#DIV/0!</v>
      </c>
      <c r="AA51" s="967" t="e">
        <f>IF($F51="","",$F51*chronic_consumption!V51/1000/$C$3)</f>
        <v>#DIV/0!</v>
      </c>
      <c r="AB51" s="967" t="e">
        <f>IF($F51="","",$F51*chronic_consumption!W51/1000/$C$3)</f>
        <v>#DIV/0!</v>
      </c>
      <c r="AC51" s="967" t="e">
        <f>IF($F51="","",$F51*chronic_consumption!X51/1000/$C$3)</f>
        <v>#DIV/0!</v>
      </c>
      <c r="AD51" s="967" t="e">
        <f>IF($F51="","",$F51*chronic_consumption!Y51/1000/$C$3)</f>
        <v>#DIV/0!</v>
      </c>
      <c r="AE51" s="967" t="e">
        <f>IF($F51="","",$F51*chronic_consumption!Z51/1000/$C$3)</f>
        <v>#DIV/0!</v>
      </c>
      <c r="AF51" s="967" t="e">
        <f>IF($F51="","",$F51*chronic_consumption!AA51/1000/$C$3)</f>
        <v>#DIV/0!</v>
      </c>
      <c r="AG51" s="967" t="e">
        <f>IF($F51="","",$F51*chronic_consumption!AB51/1000/$C$3)</f>
        <v>#DIV/0!</v>
      </c>
      <c r="AH51" s="967" t="e">
        <f>IF($F51="","",$F51*chronic_consumption!AC51/1000/$C$3)</f>
        <v>#DIV/0!</v>
      </c>
      <c r="AI51" s="967" t="e">
        <f>IF($F51="","",$F51*chronic_consumption!AD51/1000/$C$3)</f>
        <v>#DIV/0!</v>
      </c>
      <c r="AJ51" s="967" t="e">
        <f>IF($F51="","",$F51*chronic_consumption!AE51/1000/$C$3)</f>
        <v>#DIV/0!</v>
      </c>
      <c r="AK51" s="967" t="e">
        <f>IF($F51="","",$F51*chronic_consumption!AF51/1000/$C$3)</f>
        <v>#DIV/0!</v>
      </c>
      <c r="AL51" s="967" t="e">
        <f>IF($F51="","",$F51*chronic_consumption!AG51/1000/$C$3)</f>
        <v>#DIV/0!</v>
      </c>
      <c r="AM51" s="967" t="e">
        <f>IF($F51="","",$F51*chronic_consumption!AH51/1000/$C$3)</f>
        <v>#DIV/0!</v>
      </c>
      <c r="AN51" s="967" t="e">
        <f>IF($F51="","",$F51*chronic_consumption!AI51/1000/$C$3)</f>
        <v>#DIV/0!</v>
      </c>
      <c r="AO51" s="967" t="e">
        <f>IF($F51="","",$F51*chronic_consumption!AJ51/1000/$C$3)</f>
        <v>#DIV/0!</v>
      </c>
      <c r="AP51" s="967" t="e">
        <f>IF($F51="","",$F51*chronic_consumption!AK51/1000/$C$3)</f>
        <v>#DIV/0!</v>
      </c>
      <c r="AQ51" s="967" t="e">
        <f>IF($F51="","",$F51*chronic_consumption!AL51/1000/$C$3)</f>
        <v>#DIV/0!</v>
      </c>
      <c r="AR51" s="967" t="e">
        <f>IF($F51="","",$F51*chronic_consumption!AM51/1000/$C$3)</f>
        <v>#DIV/0!</v>
      </c>
      <c r="AS51" s="967" t="e">
        <f>IF($F51="","",$F51*chronic_consumption!AN51/1000/$C$3)</f>
        <v>#DIV/0!</v>
      </c>
      <c r="AT51" s="967" t="e">
        <f>IF($F51="","",$F51*chronic_consumption!AO51/1000/$C$3)</f>
        <v>#DIV/0!</v>
      </c>
      <c r="AU51" s="967"/>
      <c r="AV51" s="967" t="e">
        <f>IF($F51="","",$F51*chronic_consumption!AQ51/1000/$C$3)</f>
        <v>#DIV/0!</v>
      </c>
      <c r="AW51" s="967" t="e">
        <f>IF($F51="","",$F51*chronic_consumption!AR51/1000/$C$3)</f>
        <v>#DIV/0!</v>
      </c>
      <c r="AX51" s="967" t="e">
        <f>IF($F51="","",$F51*chronic_consumption!AS51/1000/$C$3)</f>
        <v>#DIV/0!</v>
      </c>
      <c r="AY51" s="967" t="e">
        <f>IF($F51="","",$F51*chronic_consumption!AT51/1000/$C$3)</f>
        <v>#DIV/0!</v>
      </c>
      <c r="AZ51" s="973"/>
      <c r="BA51" s="969" t="e">
        <f t="shared" si="7"/>
        <v>#DIV/0!</v>
      </c>
      <c r="BB51" s="970" t="e">
        <f t="shared" si="8"/>
        <v>#DIV/0!</v>
      </c>
      <c r="BC51" s="971" t="e">
        <f t="shared" ca="1" si="9"/>
        <v>#DIV/0!</v>
      </c>
      <c r="BD51" s="228">
        <f>input_values!Z51</f>
        <v>4</v>
      </c>
      <c r="BE51" s="152">
        <f>input_values!L51</f>
        <v>0</v>
      </c>
      <c r="BF51" s="972" t="str">
        <f t="shared" si="10"/>
        <v/>
      </c>
    </row>
    <row r="52" spans="1:58" ht="12" customHeight="1" outlineLevel="3" x14ac:dyDescent="0.2">
      <c r="A52" s="21">
        <v>4</v>
      </c>
      <c r="B52" s="23">
        <v>153010</v>
      </c>
      <c r="C52" s="23" t="s">
        <v>121</v>
      </c>
      <c r="D52" s="965">
        <f>Table22[[#This Row],[MRL individual commodity]]</f>
        <v>0</v>
      </c>
      <c r="E52" s="300" t="str">
        <f>Table22[[#This Row],[LOQ_label]]</f>
        <v/>
      </c>
      <c r="F52" s="966">
        <f>Table22[[#This Row],[Chronic RA input value]]</f>
        <v>0</v>
      </c>
      <c r="G52" s="304" t="str">
        <f>Table22[[#This Row],[Chronic RA label]]</f>
        <v/>
      </c>
      <c r="H52" s="304">
        <f>Table22[[#This Row],[GAP under assessment]]</f>
        <v>0</v>
      </c>
      <c r="I52" s="1123"/>
      <c r="J52" s="974" t="e">
        <f>IF($F52="","",$F52*chronic_consumption!$E52/1000/$C$3)</f>
        <v>#DIV/0!</v>
      </c>
      <c r="K52" s="974" t="e">
        <f>IF($F52="","",$F52*chronic_consumption!F52/1000/$C$3)</f>
        <v>#DIV/0!</v>
      </c>
      <c r="L52" s="974" t="e">
        <f>IF($F52="","",$F52*chronic_consumption!G52/1000/$C$3)</f>
        <v>#DIV/0!</v>
      </c>
      <c r="M52" s="974" t="e">
        <f>IF($F52="","",$F52*chronic_consumption!H52/1000/$C$3)</f>
        <v>#DIV/0!</v>
      </c>
      <c r="N52" s="974" t="e">
        <f>IF($F52="","",$F52*chronic_consumption!I52/1000/$C$3)</f>
        <v>#DIV/0!</v>
      </c>
      <c r="O52" s="974" t="e">
        <f>IF($F52="","",$F52*chronic_consumption!J52/1000/$C$3)</f>
        <v>#DIV/0!</v>
      </c>
      <c r="P52" s="974" t="e">
        <f>IF($F52="","",$F52*chronic_consumption!K52/1000/$C$3)</f>
        <v>#DIV/0!</v>
      </c>
      <c r="Q52" s="974" t="e">
        <f>IF($F52="","",$F52*chronic_consumption!L52/1000/$C$3)</f>
        <v>#DIV/0!</v>
      </c>
      <c r="R52" s="974" t="e">
        <f>IF($F52="","",$F52*chronic_consumption!M52/1000/$C$3)</f>
        <v>#DIV/0!</v>
      </c>
      <c r="S52" s="974" t="e">
        <f>IF($F52="","",$F52*chronic_consumption!N52/1000/$C$3)</f>
        <v>#DIV/0!</v>
      </c>
      <c r="T52" s="974" t="e">
        <f>IF($F52="","",$F52*chronic_consumption!O52/1000/$C$3)</f>
        <v>#DIV/0!</v>
      </c>
      <c r="U52" s="974" t="e">
        <f>IF($F52="","",$F52*chronic_consumption!P52/1000/$C$3)</f>
        <v>#DIV/0!</v>
      </c>
      <c r="V52" s="974" t="e">
        <f>IF($F52="","",$F52*chronic_consumption!Q52/1000/$C$3)</f>
        <v>#DIV/0!</v>
      </c>
      <c r="W52" s="974" t="e">
        <f>IF($F52="","",$F52*chronic_consumption!R52/1000/$C$3)</f>
        <v>#DIV/0!</v>
      </c>
      <c r="X52" s="974" t="e">
        <f>IF($F52="","",$F52*chronic_consumption!S52/1000/$C$3)</f>
        <v>#DIV/0!</v>
      </c>
      <c r="Y52" s="974" t="e">
        <f>IF($F52="","",$F52*chronic_consumption!T52/1000/$C$3)</f>
        <v>#DIV/0!</v>
      </c>
      <c r="Z52" s="974" t="e">
        <f>IF($F52="","",$F52*chronic_consumption!U52/1000/$C$3)</f>
        <v>#DIV/0!</v>
      </c>
      <c r="AA52" s="974" t="e">
        <f>IF($F52="","",$F52*chronic_consumption!V52/1000/$C$3)</f>
        <v>#DIV/0!</v>
      </c>
      <c r="AB52" s="974" t="e">
        <f>IF($F52="","",$F52*chronic_consumption!W52/1000/$C$3)</f>
        <v>#DIV/0!</v>
      </c>
      <c r="AC52" s="974" t="e">
        <f>IF($F52="","",$F52*chronic_consumption!X52/1000/$C$3)</f>
        <v>#DIV/0!</v>
      </c>
      <c r="AD52" s="974" t="e">
        <f>IF($F52="","",$F52*chronic_consumption!Y52/1000/$C$3)</f>
        <v>#DIV/0!</v>
      </c>
      <c r="AE52" s="974" t="e">
        <f>IF($F52="","",$F52*chronic_consumption!Z52/1000/$C$3)</f>
        <v>#DIV/0!</v>
      </c>
      <c r="AF52" s="974" t="e">
        <f>IF($F52="","",$F52*chronic_consumption!AA52/1000/$C$3)</f>
        <v>#DIV/0!</v>
      </c>
      <c r="AG52" s="974" t="e">
        <f>IF($F52="","",$F52*chronic_consumption!AB52/1000/$C$3)</f>
        <v>#DIV/0!</v>
      </c>
      <c r="AH52" s="974" t="e">
        <f>IF($F52="","",$F52*chronic_consumption!AC52/1000/$C$3)</f>
        <v>#DIV/0!</v>
      </c>
      <c r="AI52" s="974" t="e">
        <f>IF($F52="","",$F52*chronic_consumption!AD52/1000/$C$3)</f>
        <v>#DIV/0!</v>
      </c>
      <c r="AJ52" s="974" t="e">
        <f>IF($F52="","",$F52*chronic_consumption!AE52/1000/$C$3)</f>
        <v>#DIV/0!</v>
      </c>
      <c r="AK52" s="974" t="e">
        <f>IF($F52="","",$F52*chronic_consumption!AF52/1000/$C$3)</f>
        <v>#DIV/0!</v>
      </c>
      <c r="AL52" s="974" t="e">
        <f>IF($F52="","",$F52*chronic_consumption!AG52/1000/$C$3)</f>
        <v>#DIV/0!</v>
      </c>
      <c r="AM52" s="974" t="e">
        <f>IF($F52="","",$F52*chronic_consumption!AH52/1000/$C$3)</f>
        <v>#DIV/0!</v>
      </c>
      <c r="AN52" s="974" t="e">
        <f>IF($F52="","",$F52*chronic_consumption!AI52/1000/$C$3)</f>
        <v>#DIV/0!</v>
      </c>
      <c r="AO52" s="974" t="e">
        <f>IF($F52="","",$F52*chronic_consumption!AJ52/1000/$C$3)</f>
        <v>#DIV/0!</v>
      </c>
      <c r="AP52" s="974" t="e">
        <f>IF($F52="","",$F52*chronic_consumption!AK52/1000/$C$3)</f>
        <v>#DIV/0!</v>
      </c>
      <c r="AQ52" s="974" t="e">
        <f>IF($F52="","",$F52*chronic_consumption!AL52/1000/$C$3)</f>
        <v>#DIV/0!</v>
      </c>
      <c r="AR52" s="974" t="e">
        <f>IF($F52="","",$F52*chronic_consumption!AM52/1000/$C$3)</f>
        <v>#DIV/0!</v>
      </c>
      <c r="AS52" s="974" t="e">
        <f>IF($F52="","",$F52*chronic_consumption!AN52/1000/$C$3)</f>
        <v>#DIV/0!</v>
      </c>
      <c r="AT52" s="974" t="e">
        <f>IF($F52="","",$F52*chronic_consumption!AO52/1000/$C$3)</f>
        <v>#DIV/0!</v>
      </c>
      <c r="AU52" s="974"/>
      <c r="AV52" s="974" t="e">
        <f>IF($F52="","",$F52*chronic_consumption!AQ52/1000/$C$3)</f>
        <v>#DIV/0!</v>
      </c>
      <c r="AW52" s="974" t="e">
        <f>IF($F52="","",$F52*chronic_consumption!AR52/1000/$C$3)</f>
        <v>#DIV/0!</v>
      </c>
      <c r="AX52" s="974" t="e">
        <f>IF($F52="","",$F52*chronic_consumption!AS52/1000/$C$3)</f>
        <v>#DIV/0!</v>
      </c>
      <c r="AY52" s="974" t="e">
        <f>IF($F52="","",$F52*chronic_consumption!AT52/1000/$C$3)</f>
        <v>#DIV/0!</v>
      </c>
      <c r="AZ52" s="973" t="s">
        <v>19</v>
      </c>
      <c r="BA52" s="969" t="e">
        <f t="shared" si="7"/>
        <v>#DIV/0!</v>
      </c>
      <c r="BB52" s="970" t="e">
        <f t="shared" si="8"/>
        <v>#DIV/0!</v>
      </c>
      <c r="BC52" s="971" t="e">
        <f t="shared" ca="1" si="9"/>
        <v>#DIV/0!</v>
      </c>
      <c r="BD52" s="228">
        <f>input_values!Z52</f>
        <v>4</v>
      </c>
      <c r="BE52" s="152">
        <f>input_values!L52</f>
        <v>0</v>
      </c>
      <c r="BF52" s="972" t="str">
        <f t="shared" si="10"/>
        <v/>
      </c>
    </row>
    <row r="53" spans="1:58" ht="12" customHeight="1" outlineLevel="3" x14ac:dyDescent="0.2">
      <c r="A53" s="21">
        <v>4</v>
      </c>
      <c r="B53" s="23">
        <v>153020</v>
      </c>
      <c r="C53" s="23" t="s">
        <v>240</v>
      </c>
      <c r="D53" s="965">
        <f>Table22[[#This Row],[MRL individual commodity]]</f>
        <v>0</v>
      </c>
      <c r="E53" s="300" t="str">
        <f>Table22[[#This Row],[LOQ_label]]</f>
        <v/>
      </c>
      <c r="F53" s="966">
        <f>Table22[[#This Row],[Chronic RA input value]]</f>
        <v>0</v>
      </c>
      <c r="G53" s="304" t="str">
        <f>Table22[[#This Row],[Chronic RA label]]</f>
        <v/>
      </c>
      <c r="H53" s="304">
        <f>Table22[[#This Row],[GAP under assessment]]</f>
        <v>0</v>
      </c>
      <c r="I53" s="1123"/>
      <c r="J53" s="974" t="e">
        <f>IF($F53="","",$F53*chronic_consumption!$E53/1000/$C$3)</f>
        <v>#DIV/0!</v>
      </c>
      <c r="K53" s="974" t="e">
        <f>IF($F53="","",$F53*chronic_consumption!F53/1000/$C$3)</f>
        <v>#DIV/0!</v>
      </c>
      <c r="L53" s="974" t="e">
        <f>IF($F53="","",$F53*chronic_consumption!G53/1000/$C$3)</f>
        <v>#DIV/0!</v>
      </c>
      <c r="M53" s="974" t="e">
        <f>IF($F53="","",$F53*chronic_consumption!H53/1000/$C$3)</f>
        <v>#DIV/0!</v>
      </c>
      <c r="N53" s="974" t="e">
        <f>IF($F53="","",$F53*chronic_consumption!I53/1000/$C$3)</f>
        <v>#DIV/0!</v>
      </c>
      <c r="O53" s="974" t="e">
        <f>IF($F53="","",$F53*chronic_consumption!J53/1000/$C$3)</f>
        <v>#DIV/0!</v>
      </c>
      <c r="P53" s="974" t="e">
        <f>IF($F53="","",$F53*chronic_consumption!K53/1000/$C$3)</f>
        <v>#DIV/0!</v>
      </c>
      <c r="Q53" s="974" t="e">
        <f>IF($F53="","",$F53*chronic_consumption!L53/1000/$C$3)</f>
        <v>#DIV/0!</v>
      </c>
      <c r="R53" s="974" t="e">
        <f>IF($F53="","",$F53*chronic_consumption!M53/1000/$C$3)</f>
        <v>#DIV/0!</v>
      </c>
      <c r="S53" s="974" t="e">
        <f>IF($F53="","",$F53*chronic_consumption!N53/1000/$C$3)</f>
        <v>#DIV/0!</v>
      </c>
      <c r="T53" s="974" t="e">
        <f>IF($F53="","",$F53*chronic_consumption!O53/1000/$C$3)</f>
        <v>#DIV/0!</v>
      </c>
      <c r="U53" s="974" t="e">
        <f>IF($F53="","",$F53*chronic_consumption!P53/1000/$C$3)</f>
        <v>#DIV/0!</v>
      </c>
      <c r="V53" s="974" t="e">
        <f>IF($F53="","",$F53*chronic_consumption!Q53/1000/$C$3)</f>
        <v>#DIV/0!</v>
      </c>
      <c r="W53" s="974" t="e">
        <f>IF($F53="","",$F53*chronic_consumption!R53/1000/$C$3)</f>
        <v>#DIV/0!</v>
      </c>
      <c r="X53" s="974" t="e">
        <f>IF($F53="","",$F53*chronic_consumption!S53/1000/$C$3)</f>
        <v>#DIV/0!</v>
      </c>
      <c r="Y53" s="974" t="e">
        <f>IF($F53="","",$F53*chronic_consumption!T53/1000/$C$3)</f>
        <v>#DIV/0!</v>
      </c>
      <c r="Z53" s="974" t="e">
        <f>IF($F53="","",$F53*chronic_consumption!U53/1000/$C$3)</f>
        <v>#DIV/0!</v>
      </c>
      <c r="AA53" s="974" t="e">
        <f>IF($F53="","",$F53*chronic_consumption!V53/1000/$C$3)</f>
        <v>#DIV/0!</v>
      </c>
      <c r="AB53" s="974" t="e">
        <f>IF($F53="","",$F53*chronic_consumption!W53/1000/$C$3)</f>
        <v>#DIV/0!</v>
      </c>
      <c r="AC53" s="974" t="e">
        <f>IF($F53="","",$F53*chronic_consumption!X53/1000/$C$3)</f>
        <v>#DIV/0!</v>
      </c>
      <c r="AD53" s="974" t="e">
        <f>IF($F53="","",$F53*chronic_consumption!Y53/1000/$C$3)</f>
        <v>#DIV/0!</v>
      </c>
      <c r="AE53" s="974" t="e">
        <f>IF($F53="","",$F53*chronic_consumption!Z53/1000/$C$3)</f>
        <v>#DIV/0!</v>
      </c>
      <c r="AF53" s="974" t="e">
        <f>IF($F53="","",$F53*chronic_consumption!AA53/1000/$C$3)</f>
        <v>#DIV/0!</v>
      </c>
      <c r="AG53" s="974" t="e">
        <f>IF($F53="","",$F53*chronic_consumption!AB53/1000/$C$3)</f>
        <v>#DIV/0!</v>
      </c>
      <c r="AH53" s="974" t="e">
        <f>IF($F53="","",$F53*chronic_consumption!AC53/1000/$C$3)</f>
        <v>#DIV/0!</v>
      </c>
      <c r="AI53" s="974" t="e">
        <f>IF($F53="","",$F53*chronic_consumption!AD53/1000/$C$3)</f>
        <v>#DIV/0!</v>
      </c>
      <c r="AJ53" s="974" t="e">
        <f>IF($F53="","",$F53*chronic_consumption!AE53/1000/$C$3)</f>
        <v>#DIV/0!</v>
      </c>
      <c r="AK53" s="974" t="e">
        <f>IF($F53="","",$F53*chronic_consumption!AF53/1000/$C$3)</f>
        <v>#DIV/0!</v>
      </c>
      <c r="AL53" s="974" t="e">
        <f>IF($F53="","",$F53*chronic_consumption!AG53/1000/$C$3)</f>
        <v>#DIV/0!</v>
      </c>
      <c r="AM53" s="974" t="e">
        <f>IF($F53="","",$F53*chronic_consumption!AH53/1000/$C$3)</f>
        <v>#DIV/0!</v>
      </c>
      <c r="AN53" s="974" t="e">
        <f>IF($F53="","",$F53*chronic_consumption!AI53/1000/$C$3)</f>
        <v>#DIV/0!</v>
      </c>
      <c r="AO53" s="974" t="e">
        <f>IF($F53="","",$F53*chronic_consumption!AJ53/1000/$C$3)</f>
        <v>#DIV/0!</v>
      </c>
      <c r="AP53" s="974" t="e">
        <f>IF($F53="","",$F53*chronic_consumption!AK53/1000/$C$3)</f>
        <v>#DIV/0!</v>
      </c>
      <c r="AQ53" s="974" t="e">
        <f>IF($F53="","",$F53*chronic_consumption!AL53/1000/$C$3)</f>
        <v>#DIV/0!</v>
      </c>
      <c r="AR53" s="974" t="e">
        <f>IF($F53="","",$F53*chronic_consumption!AM53/1000/$C$3)</f>
        <v>#DIV/0!</v>
      </c>
      <c r="AS53" s="974" t="e">
        <f>IF($F53="","",$F53*chronic_consumption!AN53/1000/$C$3)</f>
        <v>#DIV/0!</v>
      </c>
      <c r="AT53" s="974" t="e">
        <f>IF($F53="","",$F53*chronic_consumption!AO53/1000/$C$3)</f>
        <v>#DIV/0!</v>
      </c>
      <c r="AU53" s="974"/>
      <c r="AV53" s="974" t="e">
        <f>IF($F53="","",$F53*chronic_consumption!AQ53/1000/$C$3)</f>
        <v>#DIV/0!</v>
      </c>
      <c r="AW53" s="974" t="e">
        <f>IF($F53="","",$F53*chronic_consumption!AR53/1000/$C$3)</f>
        <v>#DIV/0!</v>
      </c>
      <c r="AX53" s="974" t="e">
        <f>IF($F53="","",$F53*chronic_consumption!AS53/1000/$C$3)</f>
        <v>#DIV/0!</v>
      </c>
      <c r="AY53" s="974" t="e">
        <f>IF($F53="","",$F53*chronic_consumption!AT53/1000/$C$3)</f>
        <v>#DIV/0!</v>
      </c>
      <c r="AZ53" s="973" t="s">
        <v>19</v>
      </c>
      <c r="BA53" s="969" t="e">
        <f t="shared" si="7"/>
        <v>#DIV/0!</v>
      </c>
      <c r="BB53" s="970" t="e">
        <f t="shared" si="8"/>
        <v>#DIV/0!</v>
      </c>
      <c r="BC53" s="971" t="e">
        <f t="shared" ca="1" si="9"/>
        <v>#DIV/0!</v>
      </c>
      <c r="BD53" s="228">
        <f>input_values!Z53</f>
        <v>4</v>
      </c>
      <c r="BE53" s="152">
        <f>input_values!L53</f>
        <v>0</v>
      </c>
      <c r="BF53" s="972" t="str">
        <f t="shared" si="10"/>
        <v/>
      </c>
    </row>
    <row r="54" spans="1:58" ht="12" customHeight="1" outlineLevel="3" x14ac:dyDescent="0.2">
      <c r="A54" s="21">
        <v>4</v>
      </c>
      <c r="B54" s="23">
        <v>153030</v>
      </c>
      <c r="C54" s="23" t="s">
        <v>685</v>
      </c>
      <c r="D54" s="965">
        <f>Table22[[#This Row],[MRL individual commodity]]</f>
        <v>0</v>
      </c>
      <c r="E54" s="300" t="str">
        <f>Table22[[#This Row],[LOQ_label]]</f>
        <v/>
      </c>
      <c r="F54" s="966">
        <f>Table22[[#This Row],[Chronic RA input value]]</f>
        <v>0</v>
      </c>
      <c r="G54" s="304" t="str">
        <f>Table22[[#This Row],[Chronic RA label]]</f>
        <v/>
      </c>
      <c r="H54" s="304">
        <f>Table22[[#This Row],[GAP under assessment]]</f>
        <v>0</v>
      </c>
      <c r="I54" s="1123"/>
      <c r="J54" s="974" t="e">
        <f>IF($F54="","",$F54*chronic_consumption!$E54/1000/$C$3)</f>
        <v>#DIV/0!</v>
      </c>
      <c r="K54" s="974" t="e">
        <f>IF($F54="","",$F54*chronic_consumption!F54/1000/$C$3)</f>
        <v>#DIV/0!</v>
      </c>
      <c r="L54" s="974" t="e">
        <f>IF($F54="","",$F54*chronic_consumption!G54/1000/$C$3)</f>
        <v>#DIV/0!</v>
      </c>
      <c r="M54" s="974" t="e">
        <f>IF($F54="","",$F54*chronic_consumption!H54/1000/$C$3)</f>
        <v>#DIV/0!</v>
      </c>
      <c r="N54" s="974" t="e">
        <f>IF($F54="","",$F54*chronic_consumption!I54/1000/$C$3)</f>
        <v>#DIV/0!</v>
      </c>
      <c r="O54" s="974" t="e">
        <f>IF($F54="","",$F54*chronic_consumption!J54/1000/$C$3)</f>
        <v>#DIV/0!</v>
      </c>
      <c r="P54" s="974" t="e">
        <f>IF($F54="","",$F54*chronic_consumption!K54/1000/$C$3)</f>
        <v>#DIV/0!</v>
      </c>
      <c r="Q54" s="974" t="e">
        <f>IF($F54="","",$F54*chronic_consumption!L54/1000/$C$3)</f>
        <v>#DIV/0!</v>
      </c>
      <c r="R54" s="974" t="e">
        <f>IF($F54="","",$F54*chronic_consumption!M54/1000/$C$3)</f>
        <v>#DIV/0!</v>
      </c>
      <c r="S54" s="974" t="e">
        <f>IF($F54="","",$F54*chronic_consumption!N54/1000/$C$3)</f>
        <v>#DIV/0!</v>
      </c>
      <c r="T54" s="974" t="e">
        <f>IF($F54="","",$F54*chronic_consumption!O54/1000/$C$3)</f>
        <v>#DIV/0!</v>
      </c>
      <c r="U54" s="974" t="e">
        <f>IF($F54="","",$F54*chronic_consumption!P54/1000/$C$3)</f>
        <v>#DIV/0!</v>
      </c>
      <c r="V54" s="974" t="e">
        <f>IF($F54="","",$F54*chronic_consumption!Q54/1000/$C$3)</f>
        <v>#DIV/0!</v>
      </c>
      <c r="W54" s="974" t="e">
        <f>IF($F54="","",$F54*chronic_consumption!R54/1000/$C$3)</f>
        <v>#DIV/0!</v>
      </c>
      <c r="X54" s="974" t="e">
        <f>IF($F54="","",$F54*chronic_consumption!S54/1000/$C$3)</f>
        <v>#DIV/0!</v>
      </c>
      <c r="Y54" s="974" t="e">
        <f>IF($F54="","",$F54*chronic_consumption!T54/1000/$C$3)</f>
        <v>#DIV/0!</v>
      </c>
      <c r="Z54" s="974" t="e">
        <f>IF($F54="","",$F54*chronic_consumption!U54/1000/$C$3)</f>
        <v>#DIV/0!</v>
      </c>
      <c r="AA54" s="974" t="e">
        <f>IF($F54="","",$F54*chronic_consumption!V54/1000/$C$3)</f>
        <v>#DIV/0!</v>
      </c>
      <c r="AB54" s="974" t="e">
        <f>IF($F54="","",$F54*chronic_consumption!W54/1000/$C$3)</f>
        <v>#DIV/0!</v>
      </c>
      <c r="AC54" s="974" t="e">
        <f>IF($F54="","",$F54*chronic_consumption!X54/1000/$C$3)</f>
        <v>#DIV/0!</v>
      </c>
      <c r="AD54" s="974" t="e">
        <f>IF($F54="","",$F54*chronic_consumption!Y54/1000/$C$3)</f>
        <v>#DIV/0!</v>
      </c>
      <c r="AE54" s="974" t="e">
        <f>IF($F54="","",$F54*chronic_consumption!Z54/1000/$C$3)</f>
        <v>#DIV/0!</v>
      </c>
      <c r="AF54" s="974" t="e">
        <f>IF($F54="","",$F54*chronic_consumption!AA54/1000/$C$3)</f>
        <v>#DIV/0!</v>
      </c>
      <c r="AG54" s="974" t="e">
        <f>IF($F54="","",$F54*chronic_consumption!AB54/1000/$C$3)</f>
        <v>#DIV/0!</v>
      </c>
      <c r="AH54" s="974" t="e">
        <f>IF($F54="","",$F54*chronic_consumption!AC54/1000/$C$3)</f>
        <v>#DIV/0!</v>
      </c>
      <c r="AI54" s="974" t="e">
        <f>IF($F54="","",$F54*chronic_consumption!AD54/1000/$C$3)</f>
        <v>#DIV/0!</v>
      </c>
      <c r="AJ54" s="974" t="e">
        <f>IF($F54="","",$F54*chronic_consumption!AE54/1000/$C$3)</f>
        <v>#DIV/0!</v>
      </c>
      <c r="AK54" s="974" t="e">
        <f>IF($F54="","",$F54*chronic_consumption!AF54/1000/$C$3)</f>
        <v>#DIV/0!</v>
      </c>
      <c r="AL54" s="974" t="e">
        <f>IF($F54="","",$F54*chronic_consumption!AG54/1000/$C$3)</f>
        <v>#DIV/0!</v>
      </c>
      <c r="AM54" s="974" t="e">
        <f>IF($F54="","",$F54*chronic_consumption!AH54/1000/$C$3)</f>
        <v>#DIV/0!</v>
      </c>
      <c r="AN54" s="974" t="e">
        <f>IF($F54="","",$F54*chronic_consumption!AI54/1000/$C$3)</f>
        <v>#DIV/0!</v>
      </c>
      <c r="AO54" s="974" t="e">
        <f>IF($F54="","",$F54*chronic_consumption!AJ54/1000/$C$3)</f>
        <v>#DIV/0!</v>
      </c>
      <c r="AP54" s="974" t="e">
        <f>IF($F54="","",$F54*chronic_consumption!AK54/1000/$C$3)</f>
        <v>#DIV/0!</v>
      </c>
      <c r="AQ54" s="974" t="e">
        <f>IF($F54="","",$F54*chronic_consumption!AL54/1000/$C$3)</f>
        <v>#DIV/0!</v>
      </c>
      <c r="AR54" s="974" t="e">
        <f>IF($F54="","",$F54*chronic_consumption!AM54/1000/$C$3)</f>
        <v>#DIV/0!</v>
      </c>
      <c r="AS54" s="974" t="e">
        <f>IF($F54="","",$F54*chronic_consumption!AN54/1000/$C$3)</f>
        <v>#DIV/0!</v>
      </c>
      <c r="AT54" s="974" t="e">
        <f>IF($F54="","",$F54*chronic_consumption!AO54/1000/$C$3)</f>
        <v>#DIV/0!</v>
      </c>
      <c r="AU54" s="974"/>
      <c r="AV54" s="974" t="e">
        <f>IF($F54="","",$F54*chronic_consumption!AQ54/1000/$C$3)</f>
        <v>#DIV/0!</v>
      </c>
      <c r="AW54" s="974" t="e">
        <f>IF($F54="","",$F54*chronic_consumption!AR54/1000/$C$3)</f>
        <v>#DIV/0!</v>
      </c>
      <c r="AX54" s="974" t="e">
        <f>IF($F54="","",$F54*chronic_consumption!AS54/1000/$C$3)</f>
        <v>#DIV/0!</v>
      </c>
      <c r="AY54" s="974" t="e">
        <f>IF($F54="","",$F54*chronic_consumption!AT54/1000/$C$3)</f>
        <v>#DIV/0!</v>
      </c>
      <c r="AZ54" s="973" t="s">
        <v>19</v>
      </c>
      <c r="BA54" s="969" t="e">
        <f t="shared" si="7"/>
        <v>#DIV/0!</v>
      </c>
      <c r="BB54" s="970" t="e">
        <f t="shared" si="8"/>
        <v>#DIV/0!</v>
      </c>
      <c r="BC54" s="971" t="e">
        <f t="shared" ca="1" si="9"/>
        <v>#DIV/0!</v>
      </c>
      <c r="BD54" s="228">
        <f>input_values!Z54</f>
        <v>4</v>
      </c>
      <c r="BE54" s="152">
        <f>input_values!L54</f>
        <v>0</v>
      </c>
      <c r="BF54" s="972" t="str">
        <f t="shared" si="10"/>
        <v/>
      </c>
    </row>
    <row r="55" spans="1:58" ht="12" customHeight="1" outlineLevel="3" x14ac:dyDescent="0.2">
      <c r="A55" s="21">
        <v>4</v>
      </c>
      <c r="B55" s="23">
        <v>153990</v>
      </c>
      <c r="C55" s="23" t="s">
        <v>51</v>
      </c>
      <c r="D55" s="965">
        <f>Table22[[#This Row],[MRL individual commodity]]</f>
        <v>0</v>
      </c>
      <c r="E55" s="300" t="str">
        <f>Table22[[#This Row],[LOQ_label]]</f>
        <v/>
      </c>
      <c r="F55" s="966">
        <f>Table22[[#This Row],[Chronic RA input value]]</f>
        <v>0</v>
      </c>
      <c r="G55" s="304" t="str">
        <f>Table22[[#This Row],[Chronic RA label]]</f>
        <v/>
      </c>
      <c r="H55" s="304">
        <f>Table22[[#This Row],[GAP under assessment]]</f>
        <v>0</v>
      </c>
      <c r="I55" s="1123"/>
      <c r="J55" s="974" t="e">
        <f>IF($F55="","",$F55*chronic_consumption!$E55/1000/$C$3)</f>
        <v>#DIV/0!</v>
      </c>
      <c r="K55" s="974" t="e">
        <f>IF($F55="","",$F55*chronic_consumption!F55/1000/$C$3)</f>
        <v>#DIV/0!</v>
      </c>
      <c r="L55" s="974" t="e">
        <f>IF($F55="","",$F55*chronic_consumption!G55/1000/$C$3)</f>
        <v>#DIV/0!</v>
      </c>
      <c r="M55" s="974" t="e">
        <f>IF($F55="","",$F55*chronic_consumption!H55/1000/$C$3)</f>
        <v>#DIV/0!</v>
      </c>
      <c r="N55" s="974" t="e">
        <f>IF($F55="","",$F55*chronic_consumption!I55/1000/$C$3)</f>
        <v>#DIV/0!</v>
      </c>
      <c r="O55" s="974" t="e">
        <f>IF($F55="","",$F55*chronic_consumption!J55/1000/$C$3)</f>
        <v>#DIV/0!</v>
      </c>
      <c r="P55" s="974" t="e">
        <f>IF($F55="","",$F55*chronic_consumption!K55/1000/$C$3)</f>
        <v>#DIV/0!</v>
      </c>
      <c r="Q55" s="974" t="e">
        <f>IF($F55="","",$F55*chronic_consumption!L55/1000/$C$3)</f>
        <v>#DIV/0!</v>
      </c>
      <c r="R55" s="974" t="e">
        <f>IF($F55="","",$F55*chronic_consumption!M55/1000/$C$3)</f>
        <v>#DIV/0!</v>
      </c>
      <c r="S55" s="974" t="e">
        <f>IF($F55="","",$F55*chronic_consumption!N55/1000/$C$3)</f>
        <v>#DIV/0!</v>
      </c>
      <c r="T55" s="974" t="e">
        <f>IF($F55="","",$F55*chronic_consumption!O55/1000/$C$3)</f>
        <v>#DIV/0!</v>
      </c>
      <c r="U55" s="974" t="e">
        <f>IF($F55="","",$F55*chronic_consumption!P55/1000/$C$3)</f>
        <v>#DIV/0!</v>
      </c>
      <c r="V55" s="974" t="e">
        <f>IF($F55="","",$F55*chronic_consumption!Q55/1000/$C$3)</f>
        <v>#DIV/0!</v>
      </c>
      <c r="W55" s="974" t="e">
        <f>IF($F55="","",$F55*chronic_consumption!R55/1000/$C$3)</f>
        <v>#DIV/0!</v>
      </c>
      <c r="X55" s="974" t="e">
        <f>IF($F55="","",$F55*chronic_consumption!S55/1000/$C$3)</f>
        <v>#DIV/0!</v>
      </c>
      <c r="Y55" s="974" t="e">
        <f>IF($F55="","",$F55*chronic_consumption!T55/1000/$C$3)</f>
        <v>#DIV/0!</v>
      </c>
      <c r="Z55" s="974" t="e">
        <f>IF($F55="","",$F55*chronic_consumption!U55/1000/$C$3)</f>
        <v>#DIV/0!</v>
      </c>
      <c r="AA55" s="974" t="e">
        <f>IF($F55="","",$F55*chronic_consumption!V55/1000/$C$3)</f>
        <v>#DIV/0!</v>
      </c>
      <c r="AB55" s="974" t="e">
        <f>IF($F55="","",$F55*chronic_consumption!W55/1000/$C$3)</f>
        <v>#DIV/0!</v>
      </c>
      <c r="AC55" s="974" t="e">
        <f>IF($F55="","",$F55*chronic_consumption!X55/1000/$C$3)</f>
        <v>#DIV/0!</v>
      </c>
      <c r="AD55" s="974" t="e">
        <f>IF($F55="","",$F55*chronic_consumption!Y55/1000/$C$3)</f>
        <v>#DIV/0!</v>
      </c>
      <c r="AE55" s="974" t="e">
        <f>IF($F55="","",$F55*chronic_consumption!Z55/1000/$C$3)</f>
        <v>#DIV/0!</v>
      </c>
      <c r="AF55" s="974" t="e">
        <f>IF($F55="","",$F55*chronic_consumption!AA55/1000/$C$3)</f>
        <v>#DIV/0!</v>
      </c>
      <c r="AG55" s="974" t="e">
        <f>IF($F55="","",$F55*chronic_consumption!AB55/1000/$C$3)</f>
        <v>#DIV/0!</v>
      </c>
      <c r="AH55" s="974" t="e">
        <f>IF($F55="","",$F55*chronic_consumption!AC55/1000/$C$3)</f>
        <v>#DIV/0!</v>
      </c>
      <c r="AI55" s="974" t="e">
        <f>IF($F55="","",$F55*chronic_consumption!AD55/1000/$C$3)</f>
        <v>#DIV/0!</v>
      </c>
      <c r="AJ55" s="974" t="e">
        <f>IF($F55="","",$F55*chronic_consumption!AE55/1000/$C$3)</f>
        <v>#DIV/0!</v>
      </c>
      <c r="AK55" s="974" t="e">
        <f>IF($F55="","",$F55*chronic_consumption!AF55/1000/$C$3)</f>
        <v>#DIV/0!</v>
      </c>
      <c r="AL55" s="974" t="e">
        <f>IF($F55="","",$F55*chronic_consumption!AG55/1000/$C$3)</f>
        <v>#DIV/0!</v>
      </c>
      <c r="AM55" s="974" t="e">
        <f>IF($F55="","",$F55*chronic_consumption!AH55/1000/$C$3)</f>
        <v>#DIV/0!</v>
      </c>
      <c r="AN55" s="974" t="e">
        <f>IF($F55="","",$F55*chronic_consumption!AI55/1000/$C$3)</f>
        <v>#DIV/0!</v>
      </c>
      <c r="AO55" s="974" t="e">
        <f>IF($F55="","",$F55*chronic_consumption!AJ55/1000/$C$3)</f>
        <v>#DIV/0!</v>
      </c>
      <c r="AP55" s="974" t="e">
        <f>IF($F55="","",$F55*chronic_consumption!AK55/1000/$C$3)</f>
        <v>#DIV/0!</v>
      </c>
      <c r="AQ55" s="974" t="e">
        <f>IF($F55="","",$F55*chronic_consumption!AL55/1000/$C$3)</f>
        <v>#DIV/0!</v>
      </c>
      <c r="AR55" s="974" t="e">
        <f>IF($F55="","",$F55*chronic_consumption!AM55/1000/$C$3)</f>
        <v>#DIV/0!</v>
      </c>
      <c r="AS55" s="974" t="e">
        <f>IF($F55="","",$F55*chronic_consumption!AN55/1000/$C$3)</f>
        <v>#DIV/0!</v>
      </c>
      <c r="AT55" s="974" t="e">
        <f>IF($F55="","",$F55*chronic_consumption!AO55/1000/$C$3)</f>
        <v>#DIV/0!</v>
      </c>
      <c r="AU55" s="974"/>
      <c r="AV55" s="974" t="e">
        <f>IF($F55="","",$F55*chronic_consumption!AQ55/1000/$C$3)</f>
        <v>#DIV/0!</v>
      </c>
      <c r="AW55" s="974" t="e">
        <f>IF($F55="","",$F55*chronic_consumption!AR55/1000/$C$3)</f>
        <v>#DIV/0!</v>
      </c>
      <c r="AX55" s="974" t="e">
        <f>IF($F55="","",$F55*chronic_consumption!AS55/1000/$C$3)</f>
        <v>#DIV/0!</v>
      </c>
      <c r="AY55" s="974" t="e">
        <f>IF($F55="","",$F55*chronic_consumption!AT55/1000/$C$3)</f>
        <v>#DIV/0!</v>
      </c>
      <c r="AZ55" s="973" t="s">
        <v>19</v>
      </c>
      <c r="BA55" s="969" t="e">
        <f t="shared" si="7"/>
        <v>#DIV/0!</v>
      </c>
      <c r="BB55" s="970" t="e">
        <f t="shared" si="8"/>
        <v>#DIV/0!</v>
      </c>
      <c r="BC55" s="971" t="e">
        <f t="shared" ca="1" si="9"/>
        <v>#DIV/0!</v>
      </c>
      <c r="BD55" s="228">
        <f>input_values!Z55</f>
        <v>4</v>
      </c>
      <c r="BE55" s="152">
        <f>input_values!L55</f>
        <v>0</v>
      </c>
      <c r="BF55" s="972" t="str">
        <f t="shared" si="10"/>
        <v/>
      </c>
    </row>
    <row r="56" spans="1:58" ht="12" customHeight="1" outlineLevel="2" x14ac:dyDescent="0.2">
      <c r="A56" s="341">
        <v>3</v>
      </c>
      <c r="B56" s="3">
        <v>154000</v>
      </c>
      <c r="C56" s="3" t="s">
        <v>220</v>
      </c>
      <c r="D56" s="965">
        <f>Table22[[#This Row],[MRL individual commodity]]</f>
        <v>0</v>
      </c>
      <c r="E56" s="300">
        <f>Table22[[#This Row],[LOQ_label]]</f>
        <v>0</v>
      </c>
      <c r="F56" s="966">
        <f>Table22[[#This Row],[Chronic RA input value]]</f>
        <v>0</v>
      </c>
      <c r="G56" s="304">
        <f>Table22[[#This Row],[Chronic RA label]]</f>
        <v>0</v>
      </c>
      <c r="H56" s="304">
        <f>Table22[[#This Row],[GAP under assessment]]</f>
        <v>0</v>
      </c>
      <c r="I56" s="1123"/>
      <c r="J56" s="967" t="e">
        <f>IF($F56="","",$F56*chronic_consumption!$E56/1000/$C$3)</f>
        <v>#DIV/0!</v>
      </c>
      <c r="K56" s="967" t="e">
        <f>IF($F56="","",$F56*chronic_consumption!F56/1000/$C$3)</f>
        <v>#DIV/0!</v>
      </c>
      <c r="L56" s="967" t="e">
        <f>IF($F56="","",$F56*chronic_consumption!G56/1000/$C$3)</f>
        <v>#DIV/0!</v>
      </c>
      <c r="M56" s="967" t="e">
        <f>IF($F56="","",$F56*chronic_consumption!H56/1000/$C$3)</f>
        <v>#DIV/0!</v>
      </c>
      <c r="N56" s="967" t="e">
        <f>IF($F56="","",$F56*chronic_consumption!I56/1000/$C$3)</f>
        <v>#DIV/0!</v>
      </c>
      <c r="O56" s="967" t="e">
        <f>IF($F56="","",$F56*chronic_consumption!J56/1000/$C$3)</f>
        <v>#DIV/0!</v>
      </c>
      <c r="P56" s="967" t="e">
        <f>IF($F56="","",$F56*chronic_consumption!K56/1000/$C$3)</f>
        <v>#DIV/0!</v>
      </c>
      <c r="Q56" s="967" t="e">
        <f>IF($F56="","",$F56*chronic_consumption!L56/1000/$C$3)</f>
        <v>#DIV/0!</v>
      </c>
      <c r="R56" s="967" t="e">
        <f>IF($F56="","",$F56*chronic_consumption!M56/1000/$C$3)</f>
        <v>#DIV/0!</v>
      </c>
      <c r="S56" s="967" t="e">
        <f>IF($F56="","",$F56*chronic_consumption!N56/1000/$C$3)</f>
        <v>#DIV/0!</v>
      </c>
      <c r="T56" s="967" t="e">
        <f>IF($F56="","",$F56*chronic_consumption!O56/1000/$C$3)</f>
        <v>#DIV/0!</v>
      </c>
      <c r="U56" s="967" t="e">
        <f>IF($F56="","",$F56*chronic_consumption!P56/1000/$C$3)</f>
        <v>#DIV/0!</v>
      </c>
      <c r="V56" s="967" t="e">
        <f>IF($F56="","",$F56*chronic_consumption!Q56/1000/$C$3)</f>
        <v>#DIV/0!</v>
      </c>
      <c r="W56" s="967" t="e">
        <f>IF($F56="","",$F56*chronic_consumption!R56/1000/$C$3)</f>
        <v>#DIV/0!</v>
      </c>
      <c r="X56" s="967" t="e">
        <f>IF($F56="","",$F56*chronic_consumption!S56/1000/$C$3)</f>
        <v>#DIV/0!</v>
      </c>
      <c r="Y56" s="967" t="e">
        <f>IF($F56="","",$F56*chronic_consumption!T56/1000/$C$3)</f>
        <v>#DIV/0!</v>
      </c>
      <c r="Z56" s="967" t="e">
        <f>IF($F56="","",$F56*chronic_consumption!U56/1000/$C$3)</f>
        <v>#DIV/0!</v>
      </c>
      <c r="AA56" s="967" t="e">
        <f>IF($F56="","",$F56*chronic_consumption!V56/1000/$C$3)</f>
        <v>#DIV/0!</v>
      </c>
      <c r="AB56" s="967" t="e">
        <f>IF($F56="","",$F56*chronic_consumption!W56/1000/$C$3)</f>
        <v>#DIV/0!</v>
      </c>
      <c r="AC56" s="967" t="e">
        <f>IF($F56="","",$F56*chronic_consumption!X56/1000/$C$3)</f>
        <v>#DIV/0!</v>
      </c>
      <c r="AD56" s="967" t="e">
        <f>IF($F56="","",$F56*chronic_consumption!Y56/1000/$C$3)</f>
        <v>#DIV/0!</v>
      </c>
      <c r="AE56" s="967" t="e">
        <f>IF($F56="","",$F56*chronic_consumption!Z56/1000/$C$3)</f>
        <v>#DIV/0!</v>
      </c>
      <c r="AF56" s="967" t="e">
        <f>IF($F56="","",$F56*chronic_consumption!AA56/1000/$C$3)</f>
        <v>#DIV/0!</v>
      </c>
      <c r="AG56" s="967" t="e">
        <f>IF($F56="","",$F56*chronic_consumption!AB56/1000/$C$3)</f>
        <v>#DIV/0!</v>
      </c>
      <c r="AH56" s="967" t="e">
        <f>IF($F56="","",$F56*chronic_consumption!AC56/1000/$C$3)</f>
        <v>#DIV/0!</v>
      </c>
      <c r="AI56" s="967" t="e">
        <f>IF($F56="","",$F56*chronic_consumption!AD56/1000/$C$3)</f>
        <v>#DIV/0!</v>
      </c>
      <c r="AJ56" s="967" t="e">
        <f>IF($F56="","",$F56*chronic_consumption!AE56/1000/$C$3)</f>
        <v>#DIV/0!</v>
      </c>
      <c r="AK56" s="967" t="e">
        <f>IF($F56="","",$F56*chronic_consumption!AF56/1000/$C$3)</f>
        <v>#DIV/0!</v>
      </c>
      <c r="AL56" s="967" t="e">
        <f>IF($F56="","",$F56*chronic_consumption!AG56/1000/$C$3)</f>
        <v>#DIV/0!</v>
      </c>
      <c r="AM56" s="967" t="e">
        <f>IF($F56="","",$F56*chronic_consumption!AH56/1000/$C$3)</f>
        <v>#DIV/0!</v>
      </c>
      <c r="AN56" s="967" t="e">
        <f>IF($F56="","",$F56*chronic_consumption!AI56/1000/$C$3)</f>
        <v>#DIV/0!</v>
      </c>
      <c r="AO56" s="967" t="e">
        <f>IF($F56="","",$F56*chronic_consumption!AJ56/1000/$C$3)</f>
        <v>#DIV/0!</v>
      </c>
      <c r="AP56" s="967" t="e">
        <f>IF($F56="","",$F56*chronic_consumption!AK56/1000/$C$3)</f>
        <v>#DIV/0!</v>
      </c>
      <c r="AQ56" s="967" t="e">
        <f>IF($F56="","",$F56*chronic_consumption!AL56/1000/$C$3)</f>
        <v>#DIV/0!</v>
      </c>
      <c r="AR56" s="967" t="e">
        <f>IF($F56="","",$F56*chronic_consumption!AM56/1000/$C$3)</f>
        <v>#DIV/0!</v>
      </c>
      <c r="AS56" s="967" t="e">
        <f>IF($F56="","",$F56*chronic_consumption!AN56/1000/$C$3)</f>
        <v>#DIV/0!</v>
      </c>
      <c r="AT56" s="967" t="e">
        <f>IF($F56="","",$F56*chronic_consumption!AO56/1000/$C$3)</f>
        <v>#DIV/0!</v>
      </c>
      <c r="AU56" s="967"/>
      <c r="AV56" s="967" t="e">
        <f>IF($F56="","",$F56*chronic_consumption!AQ56/1000/$C$3)</f>
        <v>#DIV/0!</v>
      </c>
      <c r="AW56" s="967" t="e">
        <f>IF($F56="","",$F56*chronic_consumption!AR56/1000/$C$3)</f>
        <v>#DIV/0!</v>
      </c>
      <c r="AX56" s="967" t="e">
        <f>IF($F56="","",$F56*chronic_consumption!AS56/1000/$C$3)</f>
        <v>#DIV/0!</v>
      </c>
      <c r="AY56" s="967" t="e">
        <f>IF($F56="","",$F56*chronic_consumption!AT56/1000/$C$3)</f>
        <v>#DIV/0!</v>
      </c>
      <c r="AZ56" s="973"/>
      <c r="BA56" s="969" t="e">
        <f t="shared" si="7"/>
        <v>#DIV/0!</v>
      </c>
      <c r="BB56" s="970" t="e">
        <f t="shared" si="8"/>
        <v>#DIV/0!</v>
      </c>
      <c r="BC56" s="971" t="e">
        <f t="shared" ca="1" si="9"/>
        <v>#DIV/0!</v>
      </c>
      <c r="BD56" s="228">
        <f>input_values!Z56</f>
        <v>4</v>
      </c>
      <c r="BE56" s="152">
        <f>input_values!L56</f>
        <v>0</v>
      </c>
      <c r="BF56" s="972" t="str">
        <f t="shared" si="10"/>
        <v/>
      </c>
    </row>
    <row r="57" spans="1:58" ht="12" customHeight="1" outlineLevel="3" x14ac:dyDescent="0.2">
      <c r="A57" s="21">
        <v>4</v>
      </c>
      <c r="B57" s="23">
        <v>154010</v>
      </c>
      <c r="C57" s="23" t="s">
        <v>241</v>
      </c>
      <c r="D57" s="965">
        <f>Table22[[#This Row],[MRL individual commodity]]</f>
        <v>0</v>
      </c>
      <c r="E57" s="300" t="str">
        <f>Table22[[#This Row],[LOQ_label]]</f>
        <v/>
      </c>
      <c r="F57" s="966">
        <f>Table22[[#This Row],[Chronic RA input value]]</f>
        <v>0</v>
      </c>
      <c r="G57" s="304" t="str">
        <f>Table22[[#This Row],[Chronic RA label]]</f>
        <v/>
      </c>
      <c r="H57" s="304">
        <f>Table22[[#This Row],[GAP under assessment]]</f>
        <v>0</v>
      </c>
      <c r="I57" s="1123"/>
      <c r="J57" s="974" t="e">
        <f>IF($F57="","",$F57*chronic_consumption!$E57/1000/$C$3)</f>
        <v>#DIV/0!</v>
      </c>
      <c r="K57" s="974" t="e">
        <f>IF($F57="","",$F57*chronic_consumption!F57/1000/$C$3)</f>
        <v>#DIV/0!</v>
      </c>
      <c r="L57" s="974" t="e">
        <f>IF($F57="","",$F57*chronic_consumption!G57/1000/$C$3)</f>
        <v>#DIV/0!</v>
      </c>
      <c r="M57" s="974" t="e">
        <f>IF($F57="","",$F57*chronic_consumption!H57/1000/$C$3)</f>
        <v>#DIV/0!</v>
      </c>
      <c r="N57" s="974" t="e">
        <f>IF($F57="","",$F57*chronic_consumption!I57/1000/$C$3)</f>
        <v>#DIV/0!</v>
      </c>
      <c r="O57" s="974" t="e">
        <f>IF($F57="","",$F57*chronic_consumption!J57/1000/$C$3)</f>
        <v>#DIV/0!</v>
      </c>
      <c r="P57" s="974" t="e">
        <f>IF($F57="","",$F57*chronic_consumption!K57/1000/$C$3)</f>
        <v>#DIV/0!</v>
      </c>
      <c r="Q57" s="974" t="e">
        <f>IF($F57="","",$F57*chronic_consumption!L57/1000/$C$3)</f>
        <v>#DIV/0!</v>
      </c>
      <c r="R57" s="974" t="e">
        <f>IF($F57="","",$F57*chronic_consumption!M57/1000/$C$3)</f>
        <v>#DIV/0!</v>
      </c>
      <c r="S57" s="974" t="e">
        <f>IF($F57="","",$F57*chronic_consumption!N57/1000/$C$3)</f>
        <v>#DIV/0!</v>
      </c>
      <c r="T57" s="974" t="e">
        <f>IF($F57="","",$F57*chronic_consumption!O57/1000/$C$3)</f>
        <v>#DIV/0!</v>
      </c>
      <c r="U57" s="974" t="e">
        <f>IF($F57="","",$F57*chronic_consumption!P57/1000/$C$3)</f>
        <v>#DIV/0!</v>
      </c>
      <c r="V57" s="974" t="e">
        <f>IF($F57="","",$F57*chronic_consumption!Q57/1000/$C$3)</f>
        <v>#DIV/0!</v>
      </c>
      <c r="W57" s="974" t="e">
        <f>IF($F57="","",$F57*chronic_consumption!R57/1000/$C$3)</f>
        <v>#DIV/0!</v>
      </c>
      <c r="X57" s="974" t="e">
        <f>IF($F57="","",$F57*chronic_consumption!S57/1000/$C$3)</f>
        <v>#DIV/0!</v>
      </c>
      <c r="Y57" s="974" t="e">
        <f>IF($F57="","",$F57*chronic_consumption!T57/1000/$C$3)</f>
        <v>#DIV/0!</v>
      </c>
      <c r="Z57" s="974" t="e">
        <f>IF($F57="","",$F57*chronic_consumption!U57/1000/$C$3)</f>
        <v>#DIV/0!</v>
      </c>
      <c r="AA57" s="974" t="e">
        <f>IF($F57="","",$F57*chronic_consumption!V57/1000/$C$3)</f>
        <v>#DIV/0!</v>
      </c>
      <c r="AB57" s="974" t="e">
        <f>IF($F57="","",$F57*chronic_consumption!W57/1000/$C$3)</f>
        <v>#DIV/0!</v>
      </c>
      <c r="AC57" s="974" t="e">
        <f>IF($F57="","",$F57*chronic_consumption!X57/1000/$C$3)</f>
        <v>#DIV/0!</v>
      </c>
      <c r="AD57" s="974" t="e">
        <f>IF($F57="","",$F57*chronic_consumption!Y57/1000/$C$3)</f>
        <v>#DIV/0!</v>
      </c>
      <c r="AE57" s="974" t="e">
        <f>IF($F57="","",$F57*chronic_consumption!Z57/1000/$C$3)</f>
        <v>#DIV/0!</v>
      </c>
      <c r="AF57" s="974" t="e">
        <f>IF($F57="","",$F57*chronic_consumption!AA57/1000/$C$3)</f>
        <v>#DIV/0!</v>
      </c>
      <c r="AG57" s="974" t="e">
        <f>IF($F57="","",$F57*chronic_consumption!AB57/1000/$C$3)</f>
        <v>#DIV/0!</v>
      </c>
      <c r="AH57" s="974" t="e">
        <f>IF($F57="","",$F57*chronic_consumption!AC57/1000/$C$3)</f>
        <v>#DIV/0!</v>
      </c>
      <c r="AI57" s="974" t="e">
        <f>IF($F57="","",$F57*chronic_consumption!AD57/1000/$C$3)</f>
        <v>#DIV/0!</v>
      </c>
      <c r="AJ57" s="974" t="e">
        <f>IF($F57="","",$F57*chronic_consumption!AE57/1000/$C$3)</f>
        <v>#DIV/0!</v>
      </c>
      <c r="AK57" s="974" t="e">
        <f>IF($F57="","",$F57*chronic_consumption!AF57/1000/$C$3)</f>
        <v>#DIV/0!</v>
      </c>
      <c r="AL57" s="974" t="e">
        <f>IF($F57="","",$F57*chronic_consumption!AG57/1000/$C$3)</f>
        <v>#DIV/0!</v>
      </c>
      <c r="AM57" s="974" t="e">
        <f>IF($F57="","",$F57*chronic_consumption!AH57/1000/$C$3)</f>
        <v>#DIV/0!</v>
      </c>
      <c r="AN57" s="974" t="e">
        <f>IF($F57="","",$F57*chronic_consumption!AI57/1000/$C$3)</f>
        <v>#DIV/0!</v>
      </c>
      <c r="AO57" s="974" t="e">
        <f>IF($F57="","",$F57*chronic_consumption!AJ57/1000/$C$3)</f>
        <v>#DIV/0!</v>
      </c>
      <c r="AP57" s="974" t="e">
        <f>IF($F57="","",$F57*chronic_consumption!AK57/1000/$C$3)</f>
        <v>#DIV/0!</v>
      </c>
      <c r="AQ57" s="974" t="e">
        <f>IF($F57="","",$F57*chronic_consumption!AL57/1000/$C$3)</f>
        <v>#DIV/0!</v>
      </c>
      <c r="AR57" s="974" t="e">
        <f>IF($F57="","",$F57*chronic_consumption!AM57/1000/$C$3)</f>
        <v>#DIV/0!</v>
      </c>
      <c r="AS57" s="974" t="e">
        <f>IF($F57="","",$F57*chronic_consumption!AN57/1000/$C$3)</f>
        <v>#DIV/0!</v>
      </c>
      <c r="AT57" s="974" t="e">
        <f>IF($F57="","",$F57*chronic_consumption!AO57/1000/$C$3)</f>
        <v>#DIV/0!</v>
      </c>
      <c r="AU57" s="974"/>
      <c r="AV57" s="974" t="e">
        <f>IF($F57="","",$F57*chronic_consumption!AQ57/1000/$C$3)</f>
        <v>#DIV/0!</v>
      </c>
      <c r="AW57" s="974" t="e">
        <f>IF($F57="","",$F57*chronic_consumption!AR57/1000/$C$3)</f>
        <v>#DIV/0!</v>
      </c>
      <c r="AX57" s="974" t="e">
        <f>IF($F57="","",$F57*chronic_consumption!AS57/1000/$C$3)</f>
        <v>#DIV/0!</v>
      </c>
      <c r="AY57" s="974" t="e">
        <f>IF($F57="","",$F57*chronic_consumption!AT57/1000/$C$3)</f>
        <v>#DIV/0!</v>
      </c>
      <c r="AZ57" s="973" t="s">
        <v>19</v>
      </c>
      <c r="BA57" s="969" t="e">
        <f t="shared" si="7"/>
        <v>#DIV/0!</v>
      </c>
      <c r="BB57" s="970" t="e">
        <f t="shared" si="8"/>
        <v>#DIV/0!</v>
      </c>
      <c r="BC57" s="971" t="e">
        <f t="shared" ca="1" si="9"/>
        <v>#DIV/0!</v>
      </c>
      <c r="BD57" s="228">
        <f>input_values!Z57</f>
        <v>4</v>
      </c>
      <c r="BE57" s="152">
        <f>input_values!L57</f>
        <v>0</v>
      </c>
      <c r="BF57" s="972" t="str">
        <f t="shared" si="10"/>
        <v/>
      </c>
    </row>
    <row r="58" spans="1:58" ht="12" customHeight="1" outlineLevel="3" x14ac:dyDescent="0.2">
      <c r="A58" s="21">
        <v>4</v>
      </c>
      <c r="B58" s="23">
        <v>154020</v>
      </c>
      <c r="C58" s="23" t="s">
        <v>242</v>
      </c>
      <c r="D58" s="965">
        <f>Table22[[#This Row],[MRL individual commodity]]</f>
        <v>0</v>
      </c>
      <c r="E58" s="300" t="str">
        <f>Table22[[#This Row],[LOQ_label]]</f>
        <v/>
      </c>
      <c r="F58" s="966">
        <f>Table22[[#This Row],[Chronic RA input value]]</f>
        <v>0</v>
      </c>
      <c r="G58" s="304" t="str">
        <f>Table22[[#This Row],[Chronic RA label]]</f>
        <v/>
      </c>
      <c r="H58" s="304">
        <f>Table22[[#This Row],[GAP under assessment]]</f>
        <v>0</v>
      </c>
      <c r="I58" s="1123"/>
      <c r="J58" s="974" t="e">
        <f>IF($F58="","",$F58*chronic_consumption!$E58/1000/$C$3)</f>
        <v>#DIV/0!</v>
      </c>
      <c r="K58" s="974" t="e">
        <f>IF($F58="","",$F58*chronic_consumption!F58/1000/$C$3)</f>
        <v>#DIV/0!</v>
      </c>
      <c r="L58" s="974" t="e">
        <f>IF($F58="","",$F58*chronic_consumption!G58/1000/$C$3)</f>
        <v>#DIV/0!</v>
      </c>
      <c r="M58" s="974" t="e">
        <f>IF($F58="","",$F58*chronic_consumption!H58/1000/$C$3)</f>
        <v>#DIV/0!</v>
      </c>
      <c r="N58" s="974" t="e">
        <f>IF($F58="","",$F58*chronic_consumption!I58/1000/$C$3)</f>
        <v>#DIV/0!</v>
      </c>
      <c r="O58" s="974" t="e">
        <f>IF($F58="","",$F58*chronic_consumption!J58/1000/$C$3)</f>
        <v>#DIV/0!</v>
      </c>
      <c r="P58" s="974" t="e">
        <f>IF($F58="","",$F58*chronic_consumption!K58/1000/$C$3)</f>
        <v>#DIV/0!</v>
      </c>
      <c r="Q58" s="974" t="e">
        <f>IF($F58="","",$F58*chronic_consumption!L58/1000/$C$3)</f>
        <v>#DIV/0!</v>
      </c>
      <c r="R58" s="974" t="e">
        <f>IF($F58="","",$F58*chronic_consumption!M58/1000/$C$3)</f>
        <v>#DIV/0!</v>
      </c>
      <c r="S58" s="974" t="e">
        <f>IF($F58="","",$F58*chronic_consumption!N58/1000/$C$3)</f>
        <v>#DIV/0!</v>
      </c>
      <c r="T58" s="974" t="e">
        <f>IF($F58="","",$F58*chronic_consumption!O58/1000/$C$3)</f>
        <v>#DIV/0!</v>
      </c>
      <c r="U58" s="974" t="e">
        <f>IF($F58="","",$F58*chronic_consumption!P58/1000/$C$3)</f>
        <v>#DIV/0!</v>
      </c>
      <c r="V58" s="974" t="e">
        <f>IF($F58="","",$F58*chronic_consumption!Q58/1000/$C$3)</f>
        <v>#DIV/0!</v>
      </c>
      <c r="W58" s="974" t="e">
        <f>IF($F58="","",$F58*chronic_consumption!R58/1000/$C$3)</f>
        <v>#DIV/0!</v>
      </c>
      <c r="X58" s="974" t="e">
        <f>IF($F58="","",$F58*chronic_consumption!S58/1000/$C$3)</f>
        <v>#DIV/0!</v>
      </c>
      <c r="Y58" s="974" t="e">
        <f>IF($F58="","",$F58*chronic_consumption!T58/1000/$C$3)</f>
        <v>#DIV/0!</v>
      </c>
      <c r="Z58" s="974" t="e">
        <f>IF($F58="","",$F58*chronic_consumption!U58/1000/$C$3)</f>
        <v>#DIV/0!</v>
      </c>
      <c r="AA58" s="974" t="e">
        <f>IF($F58="","",$F58*chronic_consumption!V58/1000/$C$3)</f>
        <v>#DIV/0!</v>
      </c>
      <c r="AB58" s="974" t="e">
        <f>IF($F58="","",$F58*chronic_consumption!W58/1000/$C$3)</f>
        <v>#DIV/0!</v>
      </c>
      <c r="AC58" s="974" t="e">
        <f>IF($F58="","",$F58*chronic_consumption!X58/1000/$C$3)</f>
        <v>#DIV/0!</v>
      </c>
      <c r="AD58" s="974" t="e">
        <f>IF($F58="","",$F58*chronic_consumption!Y58/1000/$C$3)</f>
        <v>#DIV/0!</v>
      </c>
      <c r="AE58" s="974" t="e">
        <f>IF($F58="","",$F58*chronic_consumption!Z58/1000/$C$3)</f>
        <v>#DIV/0!</v>
      </c>
      <c r="AF58" s="974" t="e">
        <f>IF($F58="","",$F58*chronic_consumption!AA58/1000/$C$3)</f>
        <v>#DIV/0!</v>
      </c>
      <c r="AG58" s="974" t="e">
        <f>IF($F58="","",$F58*chronic_consumption!AB58/1000/$C$3)</f>
        <v>#DIV/0!</v>
      </c>
      <c r="AH58" s="974" t="e">
        <f>IF($F58="","",$F58*chronic_consumption!AC58/1000/$C$3)</f>
        <v>#DIV/0!</v>
      </c>
      <c r="AI58" s="974" t="e">
        <f>IF($F58="","",$F58*chronic_consumption!AD58/1000/$C$3)</f>
        <v>#DIV/0!</v>
      </c>
      <c r="AJ58" s="974" t="e">
        <f>IF($F58="","",$F58*chronic_consumption!AE58/1000/$C$3)</f>
        <v>#DIV/0!</v>
      </c>
      <c r="AK58" s="974" t="e">
        <f>IF($F58="","",$F58*chronic_consumption!AF58/1000/$C$3)</f>
        <v>#DIV/0!</v>
      </c>
      <c r="AL58" s="974" t="e">
        <f>IF($F58="","",$F58*chronic_consumption!AG58/1000/$C$3)</f>
        <v>#DIV/0!</v>
      </c>
      <c r="AM58" s="974" t="e">
        <f>IF($F58="","",$F58*chronic_consumption!AH58/1000/$C$3)</f>
        <v>#DIV/0!</v>
      </c>
      <c r="AN58" s="974" t="e">
        <f>IF($F58="","",$F58*chronic_consumption!AI58/1000/$C$3)</f>
        <v>#DIV/0!</v>
      </c>
      <c r="AO58" s="974" t="e">
        <f>IF($F58="","",$F58*chronic_consumption!AJ58/1000/$C$3)</f>
        <v>#DIV/0!</v>
      </c>
      <c r="AP58" s="974" t="e">
        <f>IF($F58="","",$F58*chronic_consumption!AK58/1000/$C$3)</f>
        <v>#DIV/0!</v>
      </c>
      <c r="AQ58" s="974" t="e">
        <f>IF($F58="","",$F58*chronic_consumption!AL58/1000/$C$3)</f>
        <v>#DIV/0!</v>
      </c>
      <c r="AR58" s="974" t="e">
        <f>IF($F58="","",$F58*chronic_consumption!AM58/1000/$C$3)</f>
        <v>#DIV/0!</v>
      </c>
      <c r="AS58" s="974" t="e">
        <f>IF($F58="","",$F58*chronic_consumption!AN58/1000/$C$3)</f>
        <v>#DIV/0!</v>
      </c>
      <c r="AT58" s="974" t="e">
        <f>IF($F58="","",$F58*chronic_consumption!AO58/1000/$C$3)</f>
        <v>#DIV/0!</v>
      </c>
      <c r="AU58" s="974"/>
      <c r="AV58" s="974" t="e">
        <f>IF($F58="","",$F58*chronic_consumption!AQ58/1000/$C$3)</f>
        <v>#DIV/0!</v>
      </c>
      <c r="AW58" s="974" t="e">
        <f>IF($F58="","",$F58*chronic_consumption!AR58/1000/$C$3)</f>
        <v>#DIV/0!</v>
      </c>
      <c r="AX58" s="974" t="e">
        <f>IF($F58="","",$F58*chronic_consumption!AS58/1000/$C$3)</f>
        <v>#DIV/0!</v>
      </c>
      <c r="AY58" s="974" t="e">
        <f>IF($F58="","",$F58*chronic_consumption!AT58/1000/$C$3)</f>
        <v>#DIV/0!</v>
      </c>
      <c r="AZ58" s="973" t="s">
        <v>19</v>
      </c>
      <c r="BA58" s="969" t="e">
        <f t="shared" si="7"/>
        <v>#DIV/0!</v>
      </c>
      <c r="BB58" s="970" t="e">
        <f t="shared" si="8"/>
        <v>#DIV/0!</v>
      </c>
      <c r="BC58" s="971" t="e">
        <f t="shared" ca="1" si="9"/>
        <v>#DIV/0!</v>
      </c>
      <c r="BD58" s="228">
        <f>input_values!Z58</f>
        <v>4</v>
      </c>
      <c r="BE58" s="152">
        <f>input_values!L58</f>
        <v>0</v>
      </c>
      <c r="BF58" s="972" t="str">
        <f t="shared" si="10"/>
        <v/>
      </c>
    </row>
    <row r="59" spans="1:58" ht="12" customHeight="1" outlineLevel="3" x14ac:dyDescent="0.2">
      <c r="A59" s="21">
        <v>4</v>
      </c>
      <c r="B59" s="23">
        <v>154030</v>
      </c>
      <c r="C59" s="23" t="s">
        <v>243</v>
      </c>
      <c r="D59" s="965">
        <f>Table22[[#This Row],[MRL individual commodity]]</f>
        <v>0</v>
      </c>
      <c r="E59" s="300" t="str">
        <f>Table22[[#This Row],[LOQ_label]]</f>
        <v/>
      </c>
      <c r="F59" s="966">
        <f>Table22[[#This Row],[Chronic RA input value]]</f>
        <v>0</v>
      </c>
      <c r="G59" s="304" t="str">
        <f>Table22[[#This Row],[Chronic RA label]]</f>
        <v/>
      </c>
      <c r="H59" s="304">
        <f>Table22[[#This Row],[GAP under assessment]]</f>
        <v>0</v>
      </c>
      <c r="I59" s="1123"/>
      <c r="J59" s="974" t="e">
        <f>IF($F59="","",$F59*chronic_consumption!$E59/1000/$C$3)</f>
        <v>#DIV/0!</v>
      </c>
      <c r="K59" s="974" t="e">
        <f>IF($F59="","",$F59*chronic_consumption!F59/1000/$C$3)</f>
        <v>#DIV/0!</v>
      </c>
      <c r="L59" s="974" t="e">
        <f>IF($F59="","",$F59*chronic_consumption!G59/1000/$C$3)</f>
        <v>#DIV/0!</v>
      </c>
      <c r="M59" s="974" t="e">
        <f>IF($F59="","",$F59*chronic_consumption!H59/1000/$C$3)</f>
        <v>#DIV/0!</v>
      </c>
      <c r="N59" s="974" t="e">
        <f>IF($F59="","",$F59*chronic_consumption!I59/1000/$C$3)</f>
        <v>#DIV/0!</v>
      </c>
      <c r="O59" s="974" t="e">
        <f>IF($F59="","",$F59*chronic_consumption!J59/1000/$C$3)</f>
        <v>#DIV/0!</v>
      </c>
      <c r="P59" s="974" t="e">
        <f>IF($F59="","",$F59*chronic_consumption!K59/1000/$C$3)</f>
        <v>#DIV/0!</v>
      </c>
      <c r="Q59" s="974" t="e">
        <f>IF($F59="","",$F59*chronic_consumption!L59/1000/$C$3)</f>
        <v>#DIV/0!</v>
      </c>
      <c r="R59" s="974" t="e">
        <f>IF($F59="","",$F59*chronic_consumption!M59/1000/$C$3)</f>
        <v>#DIV/0!</v>
      </c>
      <c r="S59" s="974" t="e">
        <f>IF($F59="","",$F59*chronic_consumption!N59/1000/$C$3)</f>
        <v>#DIV/0!</v>
      </c>
      <c r="T59" s="974" t="e">
        <f>IF($F59="","",$F59*chronic_consumption!O59/1000/$C$3)</f>
        <v>#DIV/0!</v>
      </c>
      <c r="U59" s="974" t="e">
        <f>IF($F59="","",$F59*chronic_consumption!P59/1000/$C$3)</f>
        <v>#DIV/0!</v>
      </c>
      <c r="V59" s="974" t="e">
        <f>IF($F59="","",$F59*chronic_consumption!Q59/1000/$C$3)</f>
        <v>#DIV/0!</v>
      </c>
      <c r="W59" s="974" t="e">
        <f>IF($F59="","",$F59*chronic_consumption!R59/1000/$C$3)</f>
        <v>#DIV/0!</v>
      </c>
      <c r="X59" s="974" t="e">
        <f>IF($F59="","",$F59*chronic_consumption!S59/1000/$C$3)</f>
        <v>#DIV/0!</v>
      </c>
      <c r="Y59" s="974" t="e">
        <f>IF($F59="","",$F59*chronic_consumption!T59/1000/$C$3)</f>
        <v>#DIV/0!</v>
      </c>
      <c r="Z59" s="974" t="e">
        <f>IF($F59="","",$F59*chronic_consumption!U59/1000/$C$3)</f>
        <v>#DIV/0!</v>
      </c>
      <c r="AA59" s="974" t="e">
        <f>IF($F59="","",$F59*chronic_consumption!V59/1000/$C$3)</f>
        <v>#DIV/0!</v>
      </c>
      <c r="AB59" s="974" t="e">
        <f>IF($F59="","",$F59*chronic_consumption!W59/1000/$C$3)</f>
        <v>#DIV/0!</v>
      </c>
      <c r="AC59" s="974" t="e">
        <f>IF($F59="","",$F59*chronic_consumption!X59/1000/$C$3)</f>
        <v>#DIV/0!</v>
      </c>
      <c r="AD59" s="974" t="e">
        <f>IF($F59="","",$F59*chronic_consumption!Y59/1000/$C$3)</f>
        <v>#DIV/0!</v>
      </c>
      <c r="AE59" s="974" t="e">
        <f>IF($F59="","",$F59*chronic_consumption!Z59/1000/$C$3)</f>
        <v>#DIV/0!</v>
      </c>
      <c r="AF59" s="974" t="e">
        <f>IF($F59="","",$F59*chronic_consumption!AA59/1000/$C$3)</f>
        <v>#DIV/0!</v>
      </c>
      <c r="AG59" s="974" t="e">
        <f>IF($F59="","",$F59*chronic_consumption!AB59/1000/$C$3)</f>
        <v>#DIV/0!</v>
      </c>
      <c r="AH59" s="974" t="e">
        <f>IF($F59="","",$F59*chronic_consumption!AC59/1000/$C$3)</f>
        <v>#DIV/0!</v>
      </c>
      <c r="AI59" s="974" t="e">
        <f>IF($F59="","",$F59*chronic_consumption!AD59/1000/$C$3)</f>
        <v>#DIV/0!</v>
      </c>
      <c r="AJ59" s="974" t="e">
        <f>IF($F59="","",$F59*chronic_consumption!AE59/1000/$C$3)</f>
        <v>#DIV/0!</v>
      </c>
      <c r="AK59" s="974" t="e">
        <f>IF($F59="","",$F59*chronic_consumption!AF59/1000/$C$3)</f>
        <v>#DIV/0!</v>
      </c>
      <c r="AL59" s="974" t="e">
        <f>IF($F59="","",$F59*chronic_consumption!AG59/1000/$C$3)</f>
        <v>#DIV/0!</v>
      </c>
      <c r="AM59" s="974" t="e">
        <f>IF($F59="","",$F59*chronic_consumption!AH59/1000/$C$3)</f>
        <v>#DIV/0!</v>
      </c>
      <c r="AN59" s="974" t="e">
        <f>IF($F59="","",$F59*chronic_consumption!AI59/1000/$C$3)</f>
        <v>#DIV/0!</v>
      </c>
      <c r="AO59" s="974" t="e">
        <f>IF($F59="","",$F59*chronic_consumption!AJ59/1000/$C$3)</f>
        <v>#DIV/0!</v>
      </c>
      <c r="AP59" s="974" t="e">
        <f>IF($F59="","",$F59*chronic_consumption!AK59/1000/$C$3)</f>
        <v>#DIV/0!</v>
      </c>
      <c r="AQ59" s="974" t="e">
        <f>IF($F59="","",$F59*chronic_consumption!AL59/1000/$C$3)</f>
        <v>#DIV/0!</v>
      </c>
      <c r="AR59" s="974" t="e">
        <f>IF($F59="","",$F59*chronic_consumption!AM59/1000/$C$3)</f>
        <v>#DIV/0!</v>
      </c>
      <c r="AS59" s="974" t="e">
        <f>IF($F59="","",$F59*chronic_consumption!AN59/1000/$C$3)</f>
        <v>#DIV/0!</v>
      </c>
      <c r="AT59" s="974" t="e">
        <f>IF($F59="","",$F59*chronic_consumption!AO59/1000/$C$3)</f>
        <v>#DIV/0!</v>
      </c>
      <c r="AU59" s="974"/>
      <c r="AV59" s="974" t="e">
        <f>IF($F59="","",$F59*chronic_consumption!AQ59/1000/$C$3)</f>
        <v>#DIV/0!</v>
      </c>
      <c r="AW59" s="974" t="e">
        <f>IF($F59="","",$F59*chronic_consumption!AR59/1000/$C$3)</f>
        <v>#DIV/0!</v>
      </c>
      <c r="AX59" s="974" t="e">
        <f>IF($F59="","",$F59*chronic_consumption!AS59/1000/$C$3)</f>
        <v>#DIV/0!</v>
      </c>
      <c r="AY59" s="974" t="e">
        <f>IF($F59="","",$F59*chronic_consumption!AT59/1000/$C$3)</f>
        <v>#DIV/0!</v>
      </c>
      <c r="AZ59" s="973" t="s">
        <v>19</v>
      </c>
      <c r="BA59" s="969" t="e">
        <f t="shared" si="7"/>
        <v>#DIV/0!</v>
      </c>
      <c r="BB59" s="970" t="e">
        <f t="shared" si="8"/>
        <v>#DIV/0!</v>
      </c>
      <c r="BC59" s="971" t="e">
        <f t="shared" ca="1" si="9"/>
        <v>#DIV/0!</v>
      </c>
      <c r="BD59" s="228">
        <f>input_values!Z59</f>
        <v>4</v>
      </c>
      <c r="BE59" s="152">
        <f>input_values!L59</f>
        <v>0</v>
      </c>
      <c r="BF59" s="972" t="str">
        <f t="shared" si="10"/>
        <v/>
      </c>
    </row>
    <row r="60" spans="1:58" ht="12" customHeight="1" outlineLevel="3" x14ac:dyDescent="0.2">
      <c r="A60" s="21">
        <v>4</v>
      </c>
      <c r="B60" s="23">
        <v>154040</v>
      </c>
      <c r="C60" s="23" t="s">
        <v>686</v>
      </c>
      <c r="D60" s="965">
        <f>Table22[[#This Row],[MRL individual commodity]]</f>
        <v>0</v>
      </c>
      <c r="E60" s="300" t="str">
        <f>Table22[[#This Row],[LOQ_label]]</f>
        <v/>
      </c>
      <c r="F60" s="966">
        <f>Table22[[#This Row],[Chronic RA input value]]</f>
        <v>0</v>
      </c>
      <c r="G60" s="304" t="str">
        <f>Table22[[#This Row],[Chronic RA label]]</f>
        <v/>
      </c>
      <c r="H60" s="304">
        <f>Table22[[#This Row],[GAP under assessment]]</f>
        <v>0</v>
      </c>
      <c r="I60" s="1123"/>
      <c r="J60" s="974" t="e">
        <f>IF($F60="","",$F60*chronic_consumption!$E60/1000/$C$3)</f>
        <v>#DIV/0!</v>
      </c>
      <c r="K60" s="974" t="e">
        <f>IF($F60="","",$F60*chronic_consumption!F60/1000/$C$3)</f>
        <v>#DIV/0!</v>
      </c>
      <c r="L60" s="974" t="e">
        <f>IF($F60="","",$F60*chronic_consumption!G60/1000/$C$3)</f>
        <v>#DIV/0!</v>
      </c>
      <c r="M60" s="974" t="e">
        <f>IF($F60="","",$F60*chronic_consumption!H60/1000/$C$3)</f>
        <v>#DIV/0!</v>
      </c>
      <c r="N60" s="974" t="e">
        <f>IF($F60="","",$F60*chronic_consumption!I60/1000/$C$3)</f>
        <v>#DIV/0!</v>
      </c>
      <c r="O60" s="974" t="e">
        <f>IF($F60="","",$F60*chronic_consumption!J60/1000/$C$3)</f>
        <v>#DIV/0!</v>
      </c>
      <c r="P60" s="974" t="e">
        <f>IF($F60="","",$F60*chronic_consumption!K60/1000/$C$3)</f>
        <v>#DIV/0!</v>
      </c>
      <c r="Q60" s="974" t="e">
        <f>IF($F60="","",$F60*chronic_consumption!L60/1000/$C$3)</f>
        <v>#DIV/0!</v>
      </c>
      <c r="R60" s="974" t="e">
        <f>IF($F60="","",$F60*chronic_consumption!M60/1000/$C$3)</f>
        <v>#DIV/0!</v>
      </c>
      <c r="S60" s="974" t="e">
        <f>IF($F60="","",$F60*chronic_consumption!N60/1000/$C$3)</f>
        <v>#DIV/0!</v>
      </c>
      <c r="T60" s="974" t="e">
        <f>IF($F60="","",$F60*chronic_consumption!O60/1000/$C$3)</f>
        <v>#DIV/0!</v>
      </c>
      <c r="U60" s="974" t="e">
        <f>IF($F60="","",$F60*chronic_consumption!P60/1000/$C$3)</f>
        <v>#DIV/0!</v>
      </c>
      <c r="V60" s="974" t="e">
        <f>IF($F60="","",$F60*chronic_consumption!Q60/1000/$C$3)</f>
        <v>#DIV/0!</v>
      </c>
      <c r="W60" s="974" t="e">
        <f>IF($F60="","",$F60*chronic_consumption!R60/1000/$C$3)</f>
        <v>#DIV/0!</v>
      </c>
      <c r="X60" s="974" t="e">
        <f>IF($F60="","",$F60*chronic_consumption!S60/1000/$C$3)</f>
        <v>#DIV/0!</v>
      </c>
      <c r="Y60" s="974" t="e">
        <f>IF($F60="","",$F60*chronic_consumption!T60/1000/$C$3)</f>
        <v>#DIV/0!</v>
      </c>
      <c r="Z60" s="974" t="e">
        <f>IF($F60="","",$F60*chronic_consumption!U60/1000/$C$3)</f>
        <v>#DIV/0!</v>
      </c>
      <c r="AA60" s="974" t="e">
        <f>IF($F60="","",$F60*chronic_consumption!V60/1000/$C$3)</f>
        <v>#DIV/0!</v>
      </c>
      <c r="AB60" s="974" t="e">
        <f>IF($F60="","",$F60*chronic_consumption!W60/1000/$C$3)</f>
        <v>#DIV/0!</v>
      </c>
      <c r="AC60" s="974" t="e">
        <f>IF($F60="","",$F60*chronic_consumption!X60/1000/$C$3)</f>
        <v>#DIV/0!</v>
      </c>
      <c r="AD60" s="974" t="e">
        <f>IF($F60="","",$F60*chronic_consumption!Y60/1000/$C$3)</f>
        <v>#DIV/0!</v>
      </c>
      <c r="AE60" s="974" t="e">
        <f>IF($F60="","",$F60*chronic_consumption!Z60/1000/$C$3)</f>
        <v>#DIV/0!</v>
      </c>
      <c r="AF60" s="974" t="e">
        <f>IF($F60="","",$F60*chronic_consumption!AA60/1000/$C$3)</f>
        <v>#DIV/0!</v>
      </c>
      <c r="AG60" s="974" t="e">
        <f>IF($F60="","",$F60*chronic_consumption!AB60/1000/$C$3)</f>
        <v>#DIV/0!</v>
      </c>
      <c r="AH60" s="974" t="e">
        <f>IF($F60="","",$F60*chronic_consumption!AC60/1000/$C$3)</f>
        <v>#DIV/0!</v>
      </c>
      <c r="AI60" s="974" t="e">
        <f>IF($F60="","",$F60*chronic_consumption!AD60/1000/$C$3)</f>
        <v>#DIV/0!</v>
      </c>
      <c r="AJ60" s="974" t="e">
        <f>IF($F60="","",$F60*chronic_consumption!AE60/1000/$C$3)</f>
        <v>#DIV/0!</v>
      </c>
      <c r="AK60" s="974" t="e">
        <f>IF($F60="","",$F60*chronic_consumption!AF60/1000/$C$3)</f>
        <v>#DIV/0!</v>
      </c>
      <c r="AL60" s="974" t="e">
        <f>IF($F60="","",$F60*chronic_consumption!AG60/1000/$C$3)</f>
        <v>#DIV/0!</v>
      </c>
      <c r="AM60" s="974" t="e">
        <f>IF($F60="","",$F60*chronic_consumption!AH60/1000/$C$3)</f>
        <v>#DIV/0!</v>
      </c>
      <c r="AN60" s="974" t="e">
        <f>IF($F60="","",$F60*chronic_consumption!AI60/1000/$C$3)</f>
        <v>#DIV/0!</v>
      </c>
      <c r="AO60" s="974" t="e">
        <f>IF($F60="","",$F60*chronic_consumption!AJ60/1000/$C$3)</f>
        <v>#DIV/0!</v>
      </c>
      <c r="AP60" s="974" t="e">
        <f>IF($F60="","",$F60*chronic_consumption!AK60/1000/$C$3)</f>
        <v>#DIV/0!</v>
      </c>
      <c r="AQ60" s="974" t="e">
        <f>IF($F60="","",$F60*chronic_consumption!AL60/1000/$C$3)</f>
        <v>#DIV/0!</v>
      </c>
      <c r="AR60" s="974" t="e">
        <f>IF($F60="","",$F60*chronic_consumption!AM60/1000/$C$3)</f>
        <v>#DIV/0!</v>
      </c>
      <c r="AS60" s="974" t="e">
        <f>IF($F60="","",$F60*chronic_consumption!AN60/1000/$C$3)</f>
        <v>#DIV/0!</v>
      </c>
      <c r="AT60" s="974" t="e">
        <f>IF($F60="","",$F60*chronic_consumption!AO60/1000/$C$3)</f>
        <v>#DIV/0!</v>
      </c>
      <c r="AU60" s="974"/>
      <c r="AV60" s="974" t="e">
        <f>IF($F60="","",$F60*chronic_consumption!AQ60/1000/$C$3)</f>
        <v>#DIV/0!</v>
      </c>
      <c r="AW60" s="974" t="e">
        <f>IF($F60="","",$F60*chronic_consumption!AR60/1000/$C$3)</f>
        <v>#DIV/0!</v>
      </c>
      <c r="AX60" s="974" t="e">
        <f>IF($F60="","",$F60*chronic_consumption!AS60/1000/$C$3)</f>
        <v>#DIV/0!</v>
      </c>
      <c r="AY60" s="974" t="e">
        <f>IF($F60="","",$F60*chronic_consumption!AT60/1000/$C$3)</f>
        <v>#DIV/0!</v>
      </c>
      <c r="AZ60" s="973" t="s">
        <v>19</v>
      </c>
      <c r="BA60" s="969" t="e">
        <f t="shared" si="7"/>
        <v>#DIV/0!</v>
      </c>
      <c r="BB60" s="970" t="e">
        <f t="shared" si="8"/>
        <v>#DIV/0!</v>
      </c>
      <c r="BC60" s="971" t="e">
        <f t="shared" ca="1" si="9"/>
        <v>#DIV/0!</v>
      </c>
      <c r="BD60" s="228">
        <f>input_values!Z60</f>
        <v>4</v>
      </c>
      <c r="BE60" s="152">
        <f>input_values!L60</f>
        <v>0</v>
      </c>
      <c r="BF60" s="972" t="str">
        <f t="shared" si="10"/>
        <v/>
      </c>
    </row>
    <row r="61" spans="1:58" ht="12" customHeight="1" outlineLevel="3" x14ac:dyDescent="0.2">
      <c r="A61" s="21">
        <v>4</v>
      </c>
      <c r="B61" s="23">
        <v>154050</v>
      </c>
      <c r="C61" s="23" t="s">
        <v>65</v>
      </c>
      <c r="D61" s="965">
        <f>Table22[[#This Row],[MRL individual commodity]]</f>
        <v>0</v>
      </c>
      <c r="E61" s="300" t="str">
        <f>Table22[[#This Row],[LOQ_label]]</f>
        <v/>
      </c>
      <c r="F61" s="966">
        <f>Table22[[#This Row],[Chronic RA input value]]</f>
        <v>0</v>
      </c>
      <c r="G61" s="304" t="str">
        <f>Table22[[#This Row],[Chronic RA label]]</f>
        <v/>
      </c>
      <c r="H61" s="304">
        <f>Table22[[#This Row],[GAP under assessment]]</f>
        <v>0</v>
      </c>
      <c r="I61" s="1123"/>
      <c r="J61" s="974" t="e">
        <f>IF($F61="","",$F61*chronic_consumption!$E61/1000/$C$3)</f>
        <v>#DIV/0!</v>
      </c>
      <c r="K61" s="974" t="e">
        <f>IF($F61="","",$F61*chronic_consumption!F61/1000/$C$3)</f>
        <v>#DIV/0!</v>
      </c>
      <c r="L61" s="974" t="e">
        <f>IF($F61="","",$F61*chronic_consumption!G61/1000/$C$3)</f>
        <v>#DIV/0!</v>
      </c>
      <c r="M61" s="974" t="e">
        <f>IF($F61="","",$F61*chronic_consumption!H61/1000/$C$3)</f>
        <v>#DIV/0!</v>
      </c>
      <c r="N61" s="974" t="e">
        <f>IF($F61="","",$F61*chronic_consumption!I61/1000/$C$3)</f>
        <v>#DIV/0!</v>
      </c>
      <c r="O61" s="974" t="e">
        <f>IF($F61="","",$F61*chronic_consumption!J61/1000/$C$3)</f>
        <v>#DIV/0!</v>
      </c>
      <c r="P61" s="974" t="e">
        <f>IF($F61="","",$F61*chronic_consumption!K61/1000/$C$3)</f>
        <v>#DIV/0!</v>
      </c>
      <c r="Q61" s="974" t="e">
        <f>IF($F61="","",$F61*chronic_consumption!L61/1000/$C$3)</f>
        <v>#DIV/0!</v>
      </c>
      <c r="R61" s="974" t="e">
        <f>IF($F61="","",$F61*chronic_consumption!M61/1000/$C$3)</f>
        <v>#DIV/0!</v>
      </c>
      <c r="S61" s="974" t="e">
        <f>IF($F61="","",$F61*chronic_consumption!N61/1000/$C$3)</f>
        <v>#DIV/0!</v>
      </c>
      <c r="T61" s="974" t="e">
        <f>IF($F61="","",$F61*chronic_consumption!O61/1000/$C$3)</f>
        <v>#DIV/0!</v>
      </c>
      <c r="U61" s="974" t="e">
        <f>IF($F61="","",$F61*chronic_consumption!P61/1000/$C$3)</f>
        <v>#DIV/0!</v>
      </c>
      <c r="V61" s="974" t="e">
        <f>IF($F61="","",$F61*chronic_consumption!Q61/1000/$C$3)</f>
        <v>#DIV/0!</v>
      </c>
      <c r="W61" s="974" t="e">
        <f>IF($F61="","",$F61*chronic_consumption!R61/1000/$C$3)</f>
        <v>#DIV/0!</v>
      </c>
      <c r="X61" s="974" t="e">
        <f>IF($F61="","",$F61*chronic_consumption!S61/1000/$C$3)</f>
        <v>#DIV/0!</v>
      </c>
      <c r="Y61" s="974" t="e">
        <f>IF($F61="","",$F61*chronic_consumption!T61/1000/$C$3)</f>
        <v>#DIV/0!</v>
      </c>
      <c r="Z61" s="974" t="e">
        <f>IF($F61="","",$F61*chronic_consumption!U61/1000/$C$3)</f>
        <v>#DIV/0!</v>
      </c>
      <c r="AA61" s="974" t="e">
        <f>IF($F61="","",$F61*chronic_consumption!V61/1000/$C$3)</f>
        <v>#DIV/0!</v>
      </c>
      <c r="AB61" s="974" t="e">
        <f>IF($F61="","",$F61*chronic_consumption!W61/1000/$C$3)</f>
        <v>#DIV/0!</v>
      </c>
      <c r="AC61" s="974" t="e">
        <f>IF($F61="","",$F61*chronic_consumption!X61/1000/$C$3)</f>
        <v>#DIV/0!</v>
      </c>
      <c r="AD61" s="974" t="e">
        <f>IF($F61="","",$F61*chronic_consumption!Y61/1000/$C$3)</f>
        <v>#DIV/0!</v>
      </c>
      <c r="AE61" s="974" t="e">
        <f>IF($F61="","",$F61*chronic_consumption!Z61/1000/$C$3)</f>
        <v>#DIV/0!</v>
      </c>
      <c r="AF61" s="974" t="e">
        <f>IF($F61="","",$F61*chronic_consumption!AA61/1000/$C$3)</f>
        <v>#DIV/0!</v>
      </c>
      <c r="AG61" s="974" t="e">
        <f>IF($F61="","",$F61*chronic_consumption!AB61/1000/$C$3)</f>
        <v>#DIV/0!</v>
      </c>
      <c r="AH61" s="974" t="e">
        <f>IF($F61="","",$F61*chronic_consumption!AC61/1000/$C$3)</f>
        <v>#DIV/0!</v>
      </c>
      <c r="AI61" s="974" t="e">
        <f>IF($F61="","",$F61*chronic_consumption!AD61/1000/$C$3)</f>
        <v>#DIV/0!</v>
      </c>
      <c r="AJ61" s="974" t="e">
        <f>IF($F61="","",$F61*chronic_consumption!AE61/1000/$C$3)</f>
        <v>#DIV/0!</v>
      </c>
      <c r="AK61" s="974" t="e">
        <f>IF($F61="","",$F61*chronic_consumption!AF61/1000/$C$3)</f>
        <v>#DIV/0!</v>
      </c>
      <c r="AL61" s="974" t="e">
        <f>IF($F61="","",$F61*chronic_consumption!AG61/1000/$C$3)</f>
        <v>#DIV/0!</v>
      </c>
      <c r="AM61" s="974" t="e">
        <f>IF($F61="","",$F61*chronic_consumption!AH61/1000/$C$3)</f>
        <v>#DIV/0!</v>
      </c>
      <c r="AN61" s="974" t="e">
        <f>IF($F61="","",$F61*chronic_consumption!AI61/1000/$C$3)</f>
        <v>#DIV/0!</v>
      </c>
      <c r="AO61" s="974" t="e">
        <f>IF($F61="","",$F61*chronic_consumption!AJ61/1000/$C$3)</f>
        <v>#DIV/0!</v>
      </c>
      <c r="AP61" s="974" t="e">
        <f>IF($F61="","",$F61*chronic_consumption!AK61/1000/$C$3)</f>
        <v>#DIV/0!</v>
      </c>
      <c r="AQ61" s="974" t="e">
        <f>IF($F61="","",$F61*chronic_consumption!AL61/1000/$C$3)</f>
        <v>#DIV/0!</v>
      </c>
      <c r="AR61" s="974" t="e">
        <f>IF($F61="","",$F61*chronic_consumption!AM61/1000/$C$3)</f>
        <v>#DIV/0!</v>
      </c>
      <c r="AS61" s="974" t="e">
        <f>IF($F61="","",$F61*chronic_consumption!AN61/1000/$C$3)</f>
        <v>#DIV/0!</v>
      </c>
      <c r="AT61" s="974" t="e">
        <f>IF($F61="","",$F61*chronic_consumption!AO61/1000/$C$3)</f>
        <v>#DIV/0!</v>
      </c>
      <c r="AU61" s="974"/>
      <c r="AV61" s="974" t="e">
        <f>IF($F61="","",$F61*chronic_consumption!AQ61/1000/$C$3)</f>
        <v>#DIV/0!</v>
      </c>
      <c r="AW61" s="974" t="e">
        <f>IF($F61="","",$F61*chronic_consumption!AR61/1000/$C$3)</f>
        <v>#DIV/0!</v>
      </c>
      <c r="AX61" s="974" t="e">
        <f>IF($F61="","",$F61*chronic_consumption!AS61/1000/$C$3)</f>
        <v>#DIV/0!</v>
      </c>
      <c r="AY61" s="974" t="e">
        <f>IF($F61="","",$F61*chronic_consumption!AT61/1000/$C$3)</f>
        <v>#DIV/0!</v>
      </c>
      <c r="AZ61" s="973" t="s">
        <v>19</v>
      </c>
      <c r="BA61" s="969" t="e">
        <f t="shared" si="7"/>
        <v>#DIV/0!</v>
      </c>
      <c r="BB61" s="970" t="e">
        <f t="shared" si="8"/>
        <v>#DIV/0!</v>
      </c>
      <c r="BC61" s="971" t="e">
        <f t="shared" ca="1" si="9"/>
        <v>#DIV/0!</v>
      </c>
      <c r="BD61" s="228">
        <f>input_values!Z61</f>
        <v>4</v>
      </c>
      <c r="BE61" s="152">
        <f>input_values!L61</f>
        <v>0</v>
      </c>
      <c r="BF61" s="972" t="str">
        <f t="shared" si="10"/>
        <v/>
      </c>
    </row>
    <row r="62" spans="1:58" ht="12" customHeight="1" outlineLevel="3" x14ac:dyDescent="0.2">
      <c r="A62" s="21">
        <v>4</v>
      </c>
      <c r="B62" s="23">
        <v>154060</v>
      </c>
      <c r="C62" s="23" t="s">
        <v>687</v>
      </c>
      <c r="D62" s="965">
        <f>Table22[[#This Row],[MRL individual commodity]]</f>
        <v>0</v>
      </c>
      <c r="E62" s="300" t="str">
        <f>Table22[[#This Row],[LOQ_label]]</f>
        <v/>
      </c>
      <c r="F62" s="966">
        <f>Table22[[#This Row],[Chronic RA input value]]</f>
        <v>0</v>
      </c>
      <c r="G62" s="304" t="str">
        <f>Table22[[#This Row],[Chronic RA label]]</f>
        <v/>
      </c>
      <c r="H62" s="304">
        <f>Table22[[#This Row],[GAP under assessment]]</f>
        <v>0</v>
      </c>
      <c r="I62" s="1123"/>
      <c r="J62" s="974" t="e">
        <f>IF($F62="","",$F62*chronic_consumption!$E62/1000/$C$3)</f>
        <v>#DIV/0!</v>
      </c>
      <c r="K62" s="974" t="e">
        <f>IF($F62="","",$F62*chronic_consumption!F62/1000/$C$3)</f>
        <v>#DIV/0!</v>
      </c>
      <c r="L62" s="974" t="e">
        <f>IF($F62="","",$F62*chronic_consumption!G62/1000/$C$3)</f>
        <v>#DIV/0!</v>
      </c>
      <c r="M62" s="974" t="e">
        <f>IF($F62="","",$F62*chronic_consumption!H62/1000/$C$3)</f>
        <v>#DIV/0!</v>
      </c>
      <c r="N62" s="974" t="e">
        <f>IF($F62="","",$F62*chronic_consumption!I62/1000/$C$3)</f>
        <v>#DIV/0!</v>
      </c>
      <c r="O62" s="974" t="e">
        <f>IF($F62="","",$F62*chronic_consumption!J62/1000/$C$3)</f>
        <v>#DIV/0!</v>
      </c>
      <c r="P62" s="974" t="e">
        <f>IF($F62="","",$F62*chronic_consumption!K62/1000/$C$3)</f>
        <v>#DIV/0!</v>
      </c>
      <c r="Q62" s="974" t="e">
        <f>IF($F62="","",$F62*chronic_consumption!L62/1000/$C$3)</f>
        <v>#DIV/0!</v>
      </c>
      <c r="R62" s="974" t="e">
        <f>IF($F62="","",$F62*chronic_consumption!M62/1000/$C$3)</f>
        <v>#DIV/0!</v>
      </c>
      <c r="S62" s="974" t="e">
        <f>IF($F62="","",$F62*chronic_consumption!N62/1000/$C$3)</f>
        <v>#DIV/0!</v>
      </c>
      <c r="T62" s="974" t="e">
        <f>IF($F62="","",$F62*chronic_consumption!O62/1000/$C$3)</f>
        <v>#DIV/0!</v>
      </c>
      <c r="U62" s="974" t="e">
        <f>IF($F62="","",$F62*chronic_consumption!P62/1000/$C$3)</f>
        <v>#DIV/0!</v>
      </c>
      <c r="V62" s="974" t="e">
        <f>IF($F62="","",$F62*chronic_consumption!Q62/1000/$C$3)</f>
        <v>#DIV/0!</v>
      </c>
      <c r="W62" s="974" t="e">
        <f>IF($F62="","",$F62*chronic_consumption!R62/1000/$C$3)</f>
        <v>#DIV/0!</v>
      </c>
      <c r="X62" s="974" t="e">
        <f>IF($F62="","",$F62*chronic_consumption!S62/1000/$C$3)</f>
        <v>#DIV/0!</v>
      </c>
      <c r="Y62" s="974" t="e">
        <f>IF($F62="","",$F62*chronic_consumption!T62/1000/$C$3)</f>
        <v>#DIV/0!</v>
      </c>
      <c r="Z62" s="974" t="e">
        <f>IF($F62="","",$F62*chronic_consumption!U62/1000/$C$3)</f>
        <v>#DIV/0!</v>
      </c>
      <c r="AA62" s="974" t="e">
        <f>IF($F62="","",$F62*chronic_consumption!V62/1000/$C$3)</f>
        <v>#DIV/0!</v>
      </c>
      <c r="AB62" s="974" t="e">
        <f>IF($F62="","",$F62*chronic_consumption!W62/1000/$C$3)</f>
        <v>#DIV/0!</v>
      </c>
      <c r="AC62" s="974" t="e">
        <f>IF($F62="","",$F62*chronic_consumption!X62/1000/$C$3)</f>
        <v>#DIV/0!</v>
      </c>
      <c r="AD62" s="974" t="e">
        <f>IF($F62="","",$F62*chronic_consumption!Y62/1000/$C$3)</f>
        <v>#DIV/0!</v>
      </c>
      <c r="AE62" s="974" t="e">
        <f>IF($F62="","",$F62*chronic_consumption!Z62/1000/$C$3)</f>
        <v>#DIV/0!</v>
      </c>
      <c r="AF62" s="974" t="e">
        <f>IF($F62="","",$F62*chronic_consumption!AA62/1000/$C$3)</f>
        <v>#DIV/0!</v>
      </c>
      <c r="AG62" s="974" t="e">
        <f>IF($F62="","",$F62*chronic_consumption!AB62/1000/$C$3)</f>
        <v>#DIV/0!</v>
      </c>
      <c r="AH62" s="974" t="e">
        <f>IF($F62="","",$F62*chronic_consumption!AC62/1000/$C$3)</f>
        <v>#DIV/0!</v>
      </c>
      <c r="AI62" s="974" t="e">
        <f>IF($F62="","",$F62*chronic_consumption!AD62/1000/$C$3)</f>
        <v>#DIV/0!</v>
      </c>
      <c r="AJ62" s="974" t="e">
        <f>IF($F62="","",$F62*chronic_consumption!AE62/1000/$C$3)</f>
        <v>#DIV/0!</v>
      </c>
      <c r="AK62" s="974" t="e">
        <f>IF($F62="","",$F62*chronic_consumption!AF62/1000/$C$3)</f>
        <v>#DIV/0!</v>
      </c>
      <c r="AL62" s="974" t="e">
        <f>IF($F62="","",$F62*chronic_consumption!AG62/1000/$C$3)</f>
        <v>#DIV/0!</v>
      </c>
      <c r="AM62" s="974" t="e">
        <f>IF($F62="","",$F62*chronic_consumption!AH62/1000/$C$3)</f>
        <v>#DIV/0!</v>
      </c>
      <c r="AN62" s="974" t="e">
        <f>IF($F62="","",$F62*chronic_consumption!AI62/1000/$C$3)</f>
        <v>#DIV/0!</v>
      </c>
      <c r="AO62" s="974" t="e">
        <f>IF($F62="","",$F62*chronic_consumption!AJ62/1000/$C$3)</f>
        <v>#DIV/0!</v>
      </c>
      <c r="AP62" s="974" t="e">
        <f>IF($F62="","",$F62*chronic_consumption!AK62/1000/$C$3)</f>
        <v>#DIV/0!</v>
      </c>
      <c r="AQ62" s="974" t="e">
        <f>IF($F62="","",$F62*chronic_consumption!AL62/1000/$C$3)</f>
        <v>#DIV/0!</v>
      </c>
      <c r="AR62" s="974" t="e">
        <f>IF($F62="","",$F62*chronic_consumption!AM62/1000/$C$3)</f>
        <v>#DIV/0!</v>
      </c>
      <c r="AS62" s="974" t="e">
        <f>IF($F62="","",$F62*chronic_consumption!AN62/1000/$C$3)</f>
        <v>#DIV/0!</v>
      </c>
      <c r="AT62" s="974" t="e">
        <f>IF($F62="","",$F62*chronic_consumption!AO62/1000/$C$3)</f>
        <v>#DIV/0!</v>
      </c>
      <c r="AU62" s="974"/>
      <c r="AV62" s="974" t="e">
        <f>IF($F62="","",$F62*chronic_consumption!AQ62/1000/$C$3)</f>
        <v>#DIV/0!</v>
      </c>
      <c r="AW62" s="974" t="e">
        <f>IF($F62="","",$F62*chronic_consumption!AR62/1000/$C$3)</f>
        <v>#DIV/0!</v>
      </c>
      <c r="AX62" s="974" t="e">
        <f>IF($F62="","",$F62*chronic_consumption!AS62/1000/$C$3)</f>
        <v>#DIV/0!</v>
      </c>
      <c r="AY62" s="974" t="e">
        <f>IF($F62="","",$F62*chronic_consumption!AT62/1000/$C$3)</f>
        <v>#DIV/0!</v>
      </c>
      <c r="AZ62" s="973" t="s">
        <v>19</v>
      </c>
      <c r="BA62" s="969" t="e">
        <f t="shared" si="7"/>
        <v>#DIV/0!</v>
      </c>
      <c r="BB62" s="970" t="e">
        <f t="shared" si="8"/>
        <v>#DIV/0!</v>
      </c>
      <c r="BC62" s="971" t="e">
        <f t="shared" ca="1" si="9"/>
        <v>#DIV/0!</v>
      </c>
      <c r="BD62" s="228">
        <f>input_values!Z62</f>
        <v>4</v>
      </c>
      <c r="BE62" s="152">
        <f>input_values!L62</f>
        <v>0</v>
      </c>
      <c r="BF62" s="972" t="str">
        <f t="shared" si="10"/>
        <v/>
      </c>
    </row>
    <row r="63" spans="1:58" ht="12" customHeight="1" outlineLevel="3" x14ac:dyDescent="0.2">
      <c r="A63" s="21">
        <v>4</v>
      </c>
      <c r="B63" s="23">
        <v>154070</v>
      </c>
      <c r="C63" s="23" t="s">
        <v>688</v>
      </c>
      <c r="D63" s="965">
        <f>Table22[[#This Row],[MRL individual commodity]]</f>
        <v>0</v>
      </c>
      <c r="E63" s="300" t="str">
        <f>Table22[[#This Row],[LOQ_label]]</f>
        <v/>
      </c>
      <c r="F63" s="966">
        <f>Table22[[#This Row],[Chronic RA input value]]</f>
        <v>0</v>
      </c>
      <c r="G63" s="304" t="str">
        <f>Table22[[#This Row],[Chronic RA label]]</f>
        <v/>
      </c>
      <c r="H63" s="304">
        <f>Table22[[#This Row],[GAP under assessment]]</f>
        <v>0</v>
      </c>
      <c r="I63" s="1123"/>
      <c r="J63" s="974" t="e">
        <f>IF($F63="","",$F63*chronic_consumption!$E63/1000/$C$3)</f>
        <v>#DIV/0!</v>
      </c>
      <c r="K63" s="974" t="e">
        <f>IF($F63="","",$F63*chronic_consumption!F63/1000/$C$3)</f>
        <v>#DIV/0!</v>
      </c>
      <c r="L63" s="974" t="e">
        <f>IF($F63="","",$F63*chronic_consumption!G63/1000/$C$3)</f>
        <v>#DIV/0!</v>
      </c>
      <c r="M63" s="974" t="e">
        <f>IF($F63="","",$F63*chronic_consumption!H63/1000/$C$3)</f>
        <v>#DIV/0!</v>
      </c>
      <c r="N63" s="974" t="e">
        <f>IF($F63="","",$F63*chronic_consumption!I63/1000/$C$3)</f>
        <v>#DIV/0!</v>
      </c>
      <c r="O63" s="974" t="e">
        <f>IF($F63="","",$F63*chronic_consumption!J63/1000/$C$3)</f>
        <v>#DIV/0!</v>
      </c>
      <c r="P63" s="974" t="e">
        <f>IF($F63="","",$F63*chronic_consumption!K63/1000/$C$3)</f>
        <v>#DIV/0!</v>
      </c>
      <c r="Q63" s="974" t="e">
        <f>IF($F63="","",$F63*chronic_consumption!L63/1000/$C$3)</f>
        <v>#DIV/0!</v>
      </c>
      <c r="R63" s="974" t="e">
        <f>IF($F63="","",$F63*chronic_consumption!M63/1000/$C$3)</f>
        <v>#DIV/0!</v>
      </c>
      <c r="S63" s="974" t="e">
        <f>IF($F63="","",$F63*chronic_consumption!N63/1000/$C$3)</f>
        <v>#DIV/0!</v>
      </c>
      <c r="T63" s="974" t="e">
        <f>IF($F63="","",$F63*chronic_consumption!O63/1000/$C$3)</f>
        <v>#DIV/0!</v>
      </c>
      <c r="U63" s="974" t="e">
        <f>IF($F63="","",$F63*chronic_consumption!P63/1000/$C$3)</f>
        <v>#DIV/0!</v>
      </c>
      <c r="V63" s="974" t="e">
        <f>IF($F63="","",$F63*chronic_consumption!Q63/1000/$C$3)</f>
        <v>#DIV/0!</v>
      </c>
      <c r="W63" s="974" t="e">
        <f>IF($F63="","",$F63*chronic_consumption!R63/1000/$C$3)</f>
        <v>#DIV/0!</v>
      </c>
      <c r="X63" s="974" t="e">
        <f>IF($F63="","",$F63*chronic_consumption!S63/1000/$C$3)</f>
        <v>#DIV/0!</v>
      </c>
      <c r="Y63" s="974" t="e">
        <f>IF($F63="","",$F63*chronic_consumption!T63/1000/$C$3)</f>
        <v>#DIV/0!</v>
      </c>
      <c r="Z63" s="974" t="e">
        <f>IF($F63="","",$F63*chronic_consumption!U63/1000/$C$3)</f>
        <v>#DIV/0!</v>
      </c>
      <c r="AA63" s="974" t="e">
        <f>IF($F63="","",$F63*chronic_consumption!V63/1000/$C$3)</f>
        <v>#DIV/0!</v>
      </c>
      <c r="AB63" s="974" t="e">
        <f>IF($F63="","",$F63*chronic_consumption!W63/1000/$C$3)</f>
        <v>#DIV/0!</v>
      </c>
      <c r="AC63" s="974" t="e">
        <f>IF($F63="","",$F63*chronic_consumption!X63/1000/$C$3)</f>
        <v>#DIV/0!</v>
      </c>
      <c r="AD63" s="974" t="e">
        <f>IF($F63="","",$F63*chronic_consumption!Y63/1000/$C$3)</f>
        <v>#DIV/0!</v>
      </c>
      <c r="AE63" s="974" t="e">
        <f>IF($F63="","",$F63*chronic_consumption!Z63/1000/$C$3)</f>
        <v>#DIV/0!</v>
      </c>
      <c r="AF63" s="974" t="e">
        <f>IF($F63="","",$F63*chronic_consumption!AA63/1000/$C$3)</f>
        <v>#DIV/0!</v>
      </c>
      <c r="AG63" s="974" t="e">
        <f>IF($F63="","",$F63*chronic_consumption!AB63/1000/$C$3)</f>
        <v>#DIV/0!</v>
      </c>
      <c r="AH63" s="974" t="e">
        <f>IF($F63="","",$F63*chronic_consumption!AC63/1000/$C$3)</f>
        <v>#DIV/0!</v>
      </c>
      <c r="AI63" s="974" t="e">
        <f>IF($F63="","",$F63*chronic_consumption!AD63/1000/$C$3)</f>
        <v>#DIV/0!</v>
      </c>
      <c r="AJ63" s="974" t="e">
        <f>IF($F63="","",$F63*chronic_consumption!AE63/1000/$C$3)</f>
        <v>#DIV/0!</v>
      </c>
      <c r="AK63" s="974" t="e">
        <f>IF($F63="","",$F63*chronic_consumption!AF63/1000/$C$3)</f>
        <v>#DIV/0!</v>
      </c>
      <c r="AL63" s="974" t="e">
        <f>IF($F63="","",$F63*chronic_consumption!AG63/1000/$C$3)</f>
        <v>#DIV/0!</v>
      </c>
      <c r="AM63" s="974" t="e">
        <f>IF($F63="","",$F63*chronic_consumption!AH63/1000/$C$3)</f>
        <v>#DIV/0!</v>
      </c>
      <c r="AN63" s="974" t="e">
        <f>IF($F63="","",$F63*chronic_consumption!AI63/1000/$C$3)</f>
        <v>#DIV/0!</v>
      </c>
      <c r="AO63" s="974" t="e">
        <f>IF($F63="","",$F63*chronic_consumption!AJ63/1000/$C$3)</f>
        <v>#DIV/0!</v>
      </c>
      <c r="AP63" s="974" t="e">
        <f>IF($F63="","",$F63*chronic_consumption!AK63/1000/$C$3)</f>
        <v>#DIV/0!</v>
      </c>
      <c r="AQ63" s="974" t="e">
        <f>IF($F63="","",$F63*chronic_consumption!AL63/1000/$C$3)</f>
        <v>#DIV/0!</v>
      </c>
      <c r="AR63" s="974" t="e">
        <f>IF($F63="","",$F63*chronic_consumption!AM63/1000/$C$3)</f>
        <v>#DIV/0!</v>
      </c>
      <c r="AS63" s="974" t="e">
        <f>IF($F63="","",$F63*chronic_consumption!AN63/1000/$C$3)</f>
        <v>#DIV/0!</v>
      </c>
      <c r="AT63" s="974" t="e">
        <f>IF($F63="","",$F63*chronic_consumption!AO63/1000/$C$3)</f>
        <v>#DIV/0!</v>
      </c>
      <c r="AU63" s="974"/>
      <c r="AV63" s="974" t="e">
        <f>IF($F63="","",$F63*chronic_consumption!AQ63/1000/$C$3)</f>
        <v>#DIV/0!</v>
      </c>
      <c r="AW63" s="974" t="e">
        <f>IF($F63="","",$F63*chronic_consumption!AR63/1000/$C$3)</f>
        <v>#DIV/0!</v>
      </c>
      <c r="AX63" s="974" t="e">
        <f>IF($F63="","",$F63*chronic_consumption!AS63/1000/$C$3)</f>
        <v>#DIV/0!</v>
      </c>
      <c r="AY63" s="974" t="e">
        <f>IF($F63="","",$F63*chronic_consumption!AT63/1000/$C$3)</f>
        <v>#DIV/0!</v>
      </c>
      <c r="AZ63" s="973" t="s">
        <v>19</v>
      </c>
      <c r="BA63" s="969" t="e">
        <f t="shared" si="7"/>
        <v>#DIV/0!</v>
      </c>
      <c r="BB63" s="970" t="e">
        <f t="shared" si="8"/>
        <v>#DIV/0!</v>
      </c>
      <c r="BC63" s="971" t="e">
        <f t="shared" ca="1" si="9"/>
        <v>#DIV/0!</v>
      </c>
      <c r="BD63" s="228">
        <f>input_values!Z63</f>
        <v>4</v>
      </c>
      <c r="BE63" s="152">
        <f>input_values!L63</f>
        <v>0</v>
      </c>
      <c r="BF63" s="972" t="str">
        <f t="shared" si="10"/>
        <v/>
      </c>
    </row>
    <row r="64" spans="1:58" ht="12" customHeight="1" outlineLevel="3" x14ac:dyDescent="0.2">
      <c r="A64" s="21">
        <v>4</v>
      </c>
      <c r="B64" s="23">
        <v>154080</v>
      </c>
      <c r="C64" s="23" t="s">
        <v>66</v>
      </c>
      <c r="D64" s="965">
        <f>Table22[[#This Row],[MRL individual commodity]]</f>
        <v>0</v>
      </c>
      <c r="E64" s="300" t="str">
        <f>Table22[[#This Row],[LOQ_label]]</f>
        <v/>
      </c>
      <c r="F64" s="966">
        <f>Table22[[#This Row],[Chronic RA input value]]</f>
        <v>0</v>
      </c>
      <c r="G64" s="304" t="str">
        <f>Table22[[#This Row],[Chronic RA label]]</f>
        <v/>
      </c>
      <c r="H64" s="304">
        <f>Table22[[#This Row],[GAP under assessment]]</f>
        <v>0</v>
      </c>
      <c r="I64" s="1123"/>
      <c r="J64" s="974" t="e">
        <f>IF($F64="","",$F64*chronic_consumption!$E64/1000/$C$3)</f>
        <v>#DIV/0!</v>
      </c>
      <c r="K64" s="974" t="e">
        <f>IF($F64="","",$F64*chronic_consumption!F64/1000/$C$3)</f>
        <v>#DIV/0!</v>
      </c>
      <c r="L64" s="974" t="e">
        <f>IF($F64="","",$F64*chronic_consumption!G64/1000/$C$3)</f>
        <v>#DIV/0!</v>
      </c>
      <c r="M64" s="974" t="e">
        <f>IF($F64="","",$F64*chronic_consumption!H64/1000/$C$3)</f>
        <v>#DIV/0!</v>
      </c>
      <c r="N64" s="974" t="e">
        <f>IF($F64="","",$F64*chronic_consumption!I64/1000/$C$3)</f>
        <v>#DIV/0!</v>
      </c>
      <c r="O64" s="974" t="e">
        <f>IF($F64="","",$F64*chronic_consumption!J64/1000/$C$3)</f>
        <v>#DIV/0!</v>
      </c>
      <c r="P64" s="974" t="e">
        <f>IF($F64="","",$F64*chronic_consumption!K64/1000/$C$3)</f>
        <v>#DIV/0!</v>
      </c>
      <c r="Q64" s="974" t="e">
        <f>IF($F64="","",$F64*chronic_consumption!L64/1000/$C$3)</f>
        <v>#DIV/0!</v>
      </c>
      <c r="R64" s="974" t="e">
        <f>IF($F64="","",$F64*chronic_consumption!M64/1000/$C$3)</f>
        <v>#DIV/0!</v>
      </c>
      <c r="S64" s="974" t="e">
        <f>IF($F64="","",$F64*chronic_consumption!N64/1000/$C$3)</f>
        <v>#DIV/0!</v>
      </c>
      <c r="T64" s="974" t="e">
        <f>IF($F64="","",$F64*chronic_consumption!O64/1000/$C$3)</f>
        <v>#DIV/0!</v>
      </c>
      <c r="U64" s="974" t="e">
        <f>IF($F64="","",$F64*chronic_consumption!P64/1000/$C$3)</f>
        <v>#DIV/0!</v>
      </c>
      <c r="V64" s="974" t="e">
        <f>IF($F64="","",$F64*chronic_consumption!Q64/1000/$C$3)</f>
        <v>#DIV/0!</v>
      </c>
      <c r="W64" s="974" t="e">
        <f>IF($F64="","",$F64*chronic_consumption!R64/1000/$C$3)</f>
        <v>#DIV/0!</v>
      </c>
      <c r="X64" s="974" t="e">
        <f>IF($F64="","",$F64*chronic_consumption!S64/1000/$C$3)</f>
        <v>#DIV/0!</v>
      </c>
      <c r="Y64" s="974" t="e">
        <f>IF($F64="","",$F64*chronic_consumption!T64/1000/$C$3)</f>
        <v>#DIV/0!</v>
      </c>
      <c r="Z64" s="974" t="e">
        <f>IF($F64="","",$F64*chronic_consumption!U64/1000/$C$3)</f>
        <v>#DIV/0!</v>
      </c>
      <c r="AA64" s="974" t="e">
        <f>IF($F64="","",$F64*chronic_consumption!V64/1000/$C$3)</f>
        <v>#DIV/0!</v>
      </c>
      <c r="AB64" s="974" t="e">
        <f>IF($F64="","",$F64*chronic_consumption!W64/1000/$C$3)</f>
        <v>#DIV/0!</v>
      </c>
      <c r="AC64" s="974" t="e">
        <f>IF($F64="","",$F64*chronic_consumption!X64/1000/$C$3)</f>
        <v>#DIV/0!</v>
      </c>
      <c r="AD64" s="974" t="e">
        <f>IF($F64="","",$F64*chronic_consumption!Y64/1000/$C$3)</f>
        <v>#DIV/0!</v>
      </c>
      <c r="AE64" s="974" t="e">
        <f>IF($F64="","",$F64*chronic_consumption!Z64/1000/$C$3)</f>
        <v>#DIV/0!</v>
      </c>
      <c r="AF64" s="974" t="e">
        <f>IF($F64="","",$F64*chronic_consumption!AA64/1000/$C$3)</f>
        <v>#DIV/0!</v>
      </c>
      <c r="AG64" s="974" t="e">
        <f>IF($F64="","",$F64*chronic_consumption!AB64/1000/$C$3)</f>
        <v>#DIV/0!</v>
      </c>
      <c r="AH64" s="974" t="e">
        <f>IF($F64="","",$F64*chronic_consumption!AC64/1000/$C$3)</f>
        <v>#DIV/0!</v>
      </c>
      <c r="AI64" s="974" t="e">
        <f>IF($F64="","",$F64*chronic_consumption!AD64/1000/$C$3)</f>
        <v>#DIV/0!</v>
      </c>
      <c r="AJ64" s="974" t="e">
        <f>IF($F64="","",$F64*chronic_consumption!AE64/1000/$C$3)</f>
        <v>#DIV/0!</v>
      </c>
      <c r="AK64" s="974" t="e">
        <f>IF($F64="","",$F64*chronic_consumption!AF64/1000/$C$3)</f>
        <v>#DIV/0!</v>
      </c>
      <c r="AL64" s="974" t="e">
        <f>IF($F64="","",$F64*chronic_consumption!AG64/1000/$C$3)</f>
        <v>#DIV/0!</v>
      </c>
      <c r="AM64" s="974" t="e">
        <f>IF($F64="","",$F64*chronic_consumption!AH64/1000/$C$3)</f>
        <v>#DIV/0!</v>
      </c>
      <c r="AN64" s="974" t="e">
        <f>IF($F64="","",$F64*chronic_consumption!AI64/1000/$C$3)</f>
        <v>#DIV/0!</v>
      </c>
      <c r="AO64" s="974" t="e">
        <f>IF($F64="","",$F64*chronic_consumption!AJ64/1000/$C$3)</f>
        <v>#DIV/0!</v>
      </c>
      <c r="AP64" s="974" t="e">
        <f>IF($F64="","",$F64*chronic_consumption!AK64/1000/$C$3)</f>
        <v>#DIV/0!</v>
      </c>
      <c r="AQ64" s="974" t="e">
        <f>IF($F64="","",$F64*chronic_consumption!AL64/1000/$C$3)</f>
        <v>#DIV/0!</v>
      </c>
      <c r="AR64" s="974" t="e">
        <f>IF($F64="","",$F64*chronic_consumption!AM64/1000/$C$3)</f>
        <v>#DIV/0!</v>
      </c>
      <c r="AS64" s="974" t="e">
        <f>IF($F64="","",$F64*chronic_consumption!AN64/1000/$C$3)</f>
        <v>#DIV/0!</v>
      </c>
      <c r="AT64" s="974" t="e">
        <f>IF($F64="","",$F64*chronic_consumption!AO64/1000/$C$3)</f>
        <v>#DIV/0!</v>
      </c>
      <c r="AU64" s="974"/>
      <c r="AV64" s="974" t="e">
        <f>IF($F64="","",$F64*chronic_consumption!AQ64/1000/$C$3)</f>
        <v>#DIV/0!</v>
      </c>
      <c r="AW64" s="974" t="e">
        <f>IF($F64="","",$F64*chronic_consumption!AR64/1000/$C$3)</f>
        <v>#DIV/0!</v>
      </c>
      <c r="AX64" s="974" t="e">
        <f>IF($F64="","",$F64*chronic_consumption!AS64/1000/$C$3)</f>
        <v>#DIV/0!</v>
      </c>
      <c r="AY64" s="974" t="e">
        <f>IF($F64="","",$F64*chronic_consumption!AT64/1000/$C$3)</f>
        <v>#DIV/0!</v>
      </c>
      <c r="AZ64" s="973" t="s">
        <v>19</v>
      </c>
      <c r="BA64" s="969" t="e">
        <f t="shared" si="7"/>
        <v>#DIV/0!</v>
      </c>
      <c r="BB64" s="970" t="e">
        <f t="shared" si="8"/>
        <v>#DIV/0!</v>
      </c>
      <c r="BC64" s="971" t="e">
        <f t="shared" ca="1" si="9"/>
        <v>#DIV/0!</v>
      </c>
      <c r="BD64" s="228">
        <f>input_values!Z64</f>
        <v>4</v>
      </c>
      <c r="BE64" s="152">
        <f>input_values!L64</f>
        <v>0</v>
      </c>
      <c r="BF64" s="972" t="str">
        <f t="shared" si="10"/>
        <v/>
      </c>
    </row>
    <row r="65" spans="1:58" ht="12" customHeight="1" outlineLevel="3" x14ac:dyDescent="0.2">
      <c r="A65" s="21">
        <v>4</v>
      </c>
      <c r="B65" s="23">
        <v>154990</v>
      </c>
      <c r="C65" s="23" t="s">
        <v>52</v>
      </c>
      <c r="D65" s="965">
        <f>Table22[[#This Row],[MRL individual commodity]]</f>
        <v>0</v>
      </c>
      <c r="E65" s="300" t="str">
        <f>Table22[[#This Row],[LOQ_label]]</f>
        <v/>
      </c>
      <c r="F65" s="966">
        <f>Table22[[#This Row],[Chronic RA input value]]</f>
        <v>0</v>
      </c>
      <c r="G65" s="304" t="str">
        <f>Table22[[#This Row],[Chronic RA label]]</f>
        <v/>
      </c>
      <c r="H65" s="304">
        <f>Table22[[#This Row],[GAP under assessment]]</f>
        <v>0</v>
      </c>
      <c r="I65" s="1123"/>
      <c r="J65" s="974" t="e">
        <f>IF($F65="","",$F65*chronic_consumption!$E65/1000/$C$3)</f>
        <v>#DIV/0!</v>
      </c>
      <c r="K65" s="974" t="e">
        <f>IF($F65="","",$F65*chronic_consumption!F65/1000/$C$3)</f>
        <v>#DIV/0!</v>
      </c>
      <c r="L65" s="974" t="e">
        <f>IF($F65="","",$F65*chronic_consumption!G65/1000/$C$3)</f>
        <v>#DIV/0!</v>
      </c>
      <c r="M65" s="974" t="e">
        <f>IF($F65="","",$F65*chronic_consumption!H65/1000/$C$3)</f>
        <v>#DIV/0!</v>
      </c>
      <c r="N65" s="974" t="e">
        <f>IF($F65="","",$F65*chronic_consumption!I65/1000/$C$3)</f>
        <v>#DIV/0!</v>
      </c>
      <c r="O65" s="974" t="e">
        <f>IF($F65="","",$F65*chronic_consumption!J65/1000/$C$3)</f>
        <v>#DIV/0!</v>
      </c>
      <c r="P65" s="974" t="e">
        <f>IF($F65="","",$F65*chronic_consumption!K65/1000/$C$3)</f>
        <v>#DIV/0!</v>
      </c>
      <c r="Q65" s="974" t="e">
        <f>IF($F65="","",$F65*chronic_consumption!L65/1000/$C$3)</f>
        <v>#DIV/0!</v>
      </c>
      <c r="R65" s="974" t="e">
        <f>IF($F65="","",$F65*chronic_consumption!M65/1000/$C$3)</f>
        <v>#DIV/0!</v>
      </c>
      <c r="S65" s="974" t="e">
        <f>IF($F65="","",$F65*chronic_consumption!N65/1000/$C$3)</f>
        <v>#DIV/0!</v>
      </c>
      <c r="T65" s="974" t="e">
        <f>IF($F65="","",$F65*chronic_consumption!O65/1000/$C$3)</f>
        <v>#DIV/0!</v>
      </c>
      <c r="U65" s="974" t="e">
        <f>IF($F65="","",$F65*chronic_consumption!P65/1000/$C$3)</f>
        <v>#DIV/0!</v>
      </c>
      <c r="V65" s="974" t="e">
        <f>IF($F65="","",$F65*chronic_consumption!Q65/1000/$C$3)</f>
        <v>#DIV/0!</v>
      </c>
      <c r="W65" s="974" t="e">
        <f>IF($F65="","",$F65*chronic_consumption!R65/1000/$C$3)</f>
        <v>#DIV/0!</v>
      </c>
      <c r="X65" s="974" t="e">
        <f>IF($F65="","",$F65*chronic_consumption!S65/1000/$C$3)</f>
        <v>#DIV/0!</v>
      </c>
      <c r="Y65" s="974" t="e">
        <f>IF($F65="","",$F65*chronic_consumption!T65/1000/$C$3)</f>
        <v>#DIV/0!</v>
      </c>
      <c r="Z65" s="974" t="e">
        <f>IF($F65="","",$F65*chronic_consumption!U65/1000/$C$3)</f>
        <v>#DIV/0!</v>
      </c>
      <c r="AA65" s="974" t="e">
        <f>IF($F65="","",$F65*chronic_consumption!V65/1000/$C$3)</f>
        <v>#DIV/0!</v>
      </c>
      <c r="AB65" s="974" t="e">
        <f>IF($F65="","",$F65*chronic_consumption!W65/1000/$C$3)</f>
        <v>#DIV/0!</v>
      </c>
      <c r="AC65" s="974" t="e">
        <f>IF($F65="","",$F65*chronic_consumption!X65/1000/$C$3)</f>
        <v>#DIV/0!</v>
      </c>
      <c r="AD65" s="974" t="e">
        <f>IF($F65="","",$F65*chronic_consumption!Y65/1000/$C$3)</f>
        <v>#DIV/0!</v>
      </c>
      <c r="AE65" s="974" t="e">
        <f>IF($F65="","",$F65*chronic_consumption!Z65/1000/$C$3)</f>
        <v>#DIV/0!</v>
      </c>
      <c r="AF65" s="974" t="e">
        <f>IF($F65="","",$F65*chronic_consumption!AA65/1000/$C$3)</f>
        <v>#DIV/0!</v>
      </c>
      <c r="AG65" s="974" t="e">
        <f>IF($F65="","",$F65*chronic_consumption!AB65/1000/$C$3)</f>
        <v>#DIV/0!</v>
      </c>
      <c r="AH65" s="974" t="e">
        <f>IF($F65="","",$F65*chronic_consumption!AC65/1000/$C$3)</f>
        <v>#DIV/0!</v>
      </c>
      <c r="AI65" s="974" t="e">
        <f>IF($F65="","",$F65*chronic_consumption!AD65/1000/$C$3)</f>
        <v>#DIV/0!</v>
      </c>
      <c r="AJ65" s="974" t="e">
        <f>IF($F65="","",$F65*chronic_consumption!AE65/1000/$C$3)</f>
        <v>#DIV/0!</v>
      </c>
      <c r="AK65" s="974" t="e">
        <f>IF($F65="","",$F65*chronic_consumption!AF65/1000/$C$3)</f>
        <v>#DIV/0!</v>
      </c>
      <c r="AL65" s="974" t="e">
        <f>IF($F65="","",$F65*chronic_consumption!AG65/1000/$C$3)</f>
        <v>#DIV/0!</v>
      </c>
      <c r="AM65" s="974" t="e">
        <f>IF($F65="","",$F65*chronic_consumption!AH65/1000/$C$3)</f>
        <v>#DIV/0!</v>
      </c>
      <c r="AN65" s="974" t="e">
        <f>IF($F65="","",$F65*chronic_consumption!AI65/1000/$C$3)</f>
        <v>#DIV/0!</v>
      </c>
      <c r="AO65" s="974" t="e">
        <f>IF($F65="","",$F65*chronic_consumption!AJ65/1000/$C$3)</f>
        <v>#DIV/0!</v>
      </c>
      <c r="AP65" s="974" t="e">
        <f>IF($F65="","",$F65*chronic_consumption!AK65/1000/$C$3)</f>
        <v>#DIV/0!</v>
      </c>
      <c r="AQ65" s="974" t="e">
        <f>IF($F65="","",$F65*chronic_consumption!AL65/1000/$C$3)</f>
        <v>#DIV/0!</v>
      </c>
      <c r="AR65" s="974" t="e">
        <f>IF($F65="","",$F65*chronic_consumption!AM65/1000/$C$3)</f>
        <v>#DIV/0!</v>
      </c>
      <c r="AS65" s="974" t="e">
        <f>IF($F65="","",$F65*chronic_consumption!AN65/1000/$C$3)</f>
        <v>#DIV/0!</v>
      </c>
      <c r="AT65" s="974" t="e">
        <f>IF($F65="","",$F65*chronic_consumption!AO65/1000/$C$3)</f>
        <v>#DIV/0!</v>
      </c>
      <c r="AU65" s="974"/>
      <c r="AV65" s="974" t="e">
        <f>IF($F65="","",$F65*chronic_consumption!AQ65/1000/$C$3)</f>
        <v>#DIV/0!</v>
      </c>
      <c r="AW65" s="974" t="e">
        <f>IF($F65="","",$F65*chronic_consumption!AR65/1000/$C$3)</f>
        <v>#DIV/0!</v>
      </c>
      <c r="AX65" s="974" t="e">
        <f>IF($F65="","",$F65*chronic_consumption!AS65/1000/$C$3)</f>
        <v>#DIV/0!</v>
      </c>
      <c r="AY65" s="974" t="e">
        <f>IF($F65="","",$F65*chronic_consumption!AT65/1000/$C$3)</f>
        <v>#DIV/0!</v>
      </c>
      <c r="AZ65" s="973" t="s">
        <v>19</v>
      </c>
      <c r="BA65" s="969" t="e">
        <f t="shared" si="7"/>
        <v>#DIV/0!</v>
      </c>
      <c r="BB65" s="970" t="e">
        <f t="shared" si="8"/>
        <v>#DIV/0!</v>
      </c>
      <c r="BC65" s="971" t="e">
        <f t="shared" ca="1" si="9"/>
        <v>#DIV/0!</v>
      </c>
      <c r="BD65" s="228">
        <f>input_values!Z65</f>
        <v>4</v>
      </c>
      <c r="BE65" s="152">
        <f>input_values!L65</f>
        <v>0</v>
      </c>
      <c r="BF65" s="972" t="str">
        <f t="shared" si="10"/>
        <v/>
      </c>
    </row>
    <row r="66" spans="1:58" ht="12" customHeight="1" outlineLevel="1" x14ac:dyDescent="0.2">
      <c r="A66" s="314">
        <v>2</v>
      </c>
      <c r="B66" s="131">
        <v>160000</v>
      </c>
      <c r="C66" s="131" t="s">
        <v>221</v>
      </c>
      <c r="D66" s="965">
        <f>Table22[[#This Row],[MRL individual commodity]]</f>
        <v>0</v>
      </c>
      <c r="E66" s="300">
        <f>Table22[[#This Row],[LOQ_label]]</f>
        <v>0</v>
      </c>
      <c r="F66" s="966">
        <f>Table22[[#This Row],[Chronic RA input value]]</f>
        <v>0</v>
      </c>
      <c r="G66" s="304">
        <f>Table22[[#This Row],[Chronic RA label]]</f>
        <v>0</v>
      </c>
      <c r="H66" s="304">
        <f>Table22[[#This Row],[GAP under assessment]]</f>
        <v>0</v>
      </c>
      <c r="I66" s="1123"/>
      <c r="J66" s="967" t="e">
        <f>IF($F66="","",$F66*chronic_consumption!$E66/1000/$C$3)</f>
        <v>#DIV/0!</v>
      </c>
      <c r="K66" s="967" t="e">
        <f>IF($F66="","",$F66*chronic_consumption!F66/1000/$C$3)</f>
        <v>#DIV/0!</v>
      </c>
      <c r="L66" s="967" t="e">
        <f>IF($F66="","",$F66*chronic_consumption!G66/1000/$C$3)</f>
        <v>#DIV/0!</v>
      </c>
      <c r="M66" s="967" t="e">
        <f>IF($F66="","",$F66*chronic_consumption!H66/1000/$C$3)</f>
        <v>#DIV/0!</v>
      </c>
      <c r="N66" s="967" t="e">
        <f>IF($F66="","",$F66*chronic_consumption!I66/1000/$C$3)</f>
        <v>#DIV/0!</v>
      </c>
      <c r="O66" s="967" t="e">
        <f>IF($F66="","",$F66*chronic_consumption!J66/1000/$C$3)</f>
        <v>#DIV/0!</v>
      </c>
      <c r="P66" s="967" t="e">
        <f>IF($F66="","",$F66*chronic_consumption!K66/1000/$C$3)</f>
        <v>#DIV/0!</v>
      </c>
      <c r="Q66" s="967" t="e">
        <f>IF($F66="","",$F66*chronic_consumption!L66/1000/$C$3)</f>
        <v>#DIV/0!</v>
      </c>
      <c r="R66" s="967" t="e">
        <f>IF($F66="","",$F66*chronic_consumption!M66/1000/$C$3)</f>
        <v>#DIV/0!</v>
      </c>
      <c r="S66" s="967" t="e">
        <f>IF($F66="","",$F66*chronic_consumption!N66/1000/$C$3)</f>
        <v>#DIV/0!</v>
      </c>
      <c r="T66" s="967" t="e">
        <f>IF($F66="","",$F66*chronic_consumption!O66/1000/$C$3)</f>
        <v>#DIV/0!</v>
      </c>
      <c r="U66" s="967" t="e">
        <f>IF($F66="","",$F66*chronic_consumption!P66/1000/$C$3)</f>
        <v>#DIV/0!</v>
      </c>
      <c r="V66" s="967" t="e">
        <f>IF($F66="","",$F66*chronic_consumption!Q66/1000/$C$3)</f>
        <v>#DIV/0!</v>
      </c>
      <c r="W66" s="967" t="e">
        <f>IF($F66="","",$F66*chronic_consumption!R66/1000/$C$3)</f>
        <v>#DIV/0!</v>
      </c>
      <c r="X66" s="967" t="e">
        <f>IF($F66="","",$F66*chronic_consumption!S66/1000/$C$3)</f>
        <v>#DIV/0!</v>
      </c>
      <c r="Y66" s="967" t="e">
        <f>IF($F66="","",$F66*chronic_consumption!T66/1000/$C$3)</f>
        <v>#DIV/0!</v>
      </c>
      <c r="Z66" s="967" t="e">
        <f>IF($F66="","",$F66*chronic_consumption!U66/1000/$C$3)</f>
        <v>#DIV/0!</v>
      </c>
      <c r="AA66" s="967" t="e">
        <f>IF($F66="","",$F66*chronic_consumption!V66/1000/$C$3)</f>
        <v>#DIV/0!</v>
      </c>
      <c r="AB66" s="967" t="e">
        <f>IF($F66="","",$F66*chronic_consumption!W66/1000/$C$3)</f>
        <v>#DIV/0!</v>
      </c>
      <c r="AC66" s="967" t="e">
        <f>IF($F66="","",$F66*chronic_consumption!X66/1000/$C$3)</f>
        <v>#DIV/0!</v>
      </c>
      <c r="AD66" s="967" t="e">
        <f>IF($F66="","",$F66*chronic_consumption!Y66/1000/$C$3)</f>
        <v>#DIV/0!</v>
      </c>
      <c r="AE66" s="967" t="e">
        <f>IF($F66="","",$F66*chronic_consumption!Z66/1000/$C$3)</f>
        <v>#DIV/0!</v>
      </c>
      <c r="AF66" s="967" t="e">
        <f>IF($F66="","",$F66*chronic_consumption!AA66/1000/$C$3)</f>
        <v>#DIV/0!</v>
      </c>
      <c r="AG66" s="967" t="e">
        <f>IF($F66="","",$F66*chronic_consumption!AB66/1000/$C$3)</f>
        <v>#DIV/0!</v>
      </c>
      <c r="AH66" s="967" t="e">
        <f>IF($F66="","",$F66*chronic_consumption!AC66/1000/$C$3)</f>
        <v>#DIV/0!</v>
      </c>
      <c r="AI66" s="967" t="e">
        <f>IF($F66="","",$F66*chronic_consumption!AD66/1000/$C$3)</f>
        <v>#DIV/0!</v>
      </c>
      <c r="AJ66" s="967" t="e">
        <f>IF($F66="","",$F66*chronic_consumption!AE66/1000/$C$3)</f>
        <v>#DIV/0!</v>
      </c>
      <c r="AK66" s="967" t="e">
        <f>IF($F66="","",$F66*chronic_consumption!AF66/1000/$C$3)</f>
        <v>#DIV/0!</v>
      </c>
      <c r="AL66" s="967" t="e">
        <f>IF($F66="","",$F66*chronic_consumption!AG66/1000/$C$3)</f>
        <v>#DIV/0!</v>
      </c>
      <c r="AM66" s="967" t="e">
        <f>IF($F66="","",$F66*chronic_consumption!AH66/1000/$C$3)</f>
        <v>#DIV/0!</v>
      </c>
      <c r="AN66" s="967" t="e">
        <f>IF($F66="","",$F66*chronic_consumption!AI66/1000/$C$3)</f>
        <v>#DIV/0!</v>
      </c>
      <c r="AO66" s="967" t="e">
        <f>IF($F66="","",$F66*chronic_consumption!AJ66/1000/$C$3)</f>
        <v>#DIV/0!</v>
      </c>
      <c r="AP66" s="967" t="e">
        <f>IF($F66="","",$F66*chronic_consumption!AK66/1000/$C$3)</f>
        <v>#DIV/0!</v>
      </c>
      <c r="AQ66" s="967" t="e">
        <f>IF($F66="","",$F66*chronic_consumption!AL66/1000/$C$3)</f>
        <v>#DIV/0!</v>
      </c>
      <c r="AR66" s="967" t="e">
        <f>IF($F66="","",$F66*chronic_consumption!AM66/1000/$C$3)</f>
        <v>#DIV/0!</v>
      </c>
      <c r="AS66" s="967" t="e">
        <f>IF($F66="","",$F66*chronic_consumption!AN66/1000/$C$3)</f>
        <v>#DIV/0!</v>
      </c>
      <c r="AT66" s="967" t="e">
        <f>IF($F66="","",$F66*chronic_consumption!AO66/1000/$C$3)</f>
        <v>#DIV/0!</v>
      </c>
      <c r="AU66" s="967"/>
      <c r="AV66" s="967" t="e">
        <f>IF($F66="","",$F66*chronic_consumption!AQ66/1000/$C$3)</f>
        <v>#DIV/0!</v>
      </c>
      <c r="AW66" s="967" t="e">
        <f>IF($F66="","",$F66*chronic_consumption!AR66/1000/$C$3)</f>
        <v>#DIV/0!</v>
      </c>
      <c r="AX66" s="967" t="e">
        <f>IF($F66="","",$F66*chronic_consumption!AS66/1000/$C$3)</f>
        <v>#DIV/0!</v>
      </c>
      <c r="AY66" s="967" t="e">
        <f>IF($F66="","",$F66*chronic_consumption!AT66/1000/$C$3)</f>
        <v>#DIV/0!</v>
      </c>
      <c r="AZ66" s="973"/>
      <c r="BA66" s="969" t="e">
        <f t="shared" si="7"/>
        <v>#DIV/0!</v>
      </c>
      <c r="BB66" s="970" t="e">
        <f t="shared" si="8"/>
        <v>#DIV/0!</v>
      </c>
      <c r="BC66" s="971" t="e">
        <f t="shared" ca="1" si="9"/>
        <v>#DIV/0!</v>
      </c>
      <c r="BD66" s="228">
        <f>input_values!Z66</f>
        <v>4</v>
      </c>
      <c r="BE66" s="152">
        <f>input_values!L66</f>
        <v>0</v>
      </c>
      <c r="BF66" s="972" t="str">
        <f t="shared" si="10"/>
        <v/>
      </c>
    </row>
    <row r="67" spans="1:58" ht="12" customHeight="1" outlineLevel="2" x14ac:dyDescent="0.2">
      <c r="A67" s="341">
        <v>3</v>
      </c>
      <c r="B67" s="3">
        <v>161000</v>
      </c>
      <c r="C67" s="3" t="s">
        <v>73</v>
      </c>
      <c r="D67" s="965">
        <f>Table22[[#This Row],[MRL individual commodity]]</f>
        <v>0</v>
      </c>
      <c r="E67" s="300">
        <f>Table22[[#This Row],[LOQ_label]]</f>
        <v>0</v>
      </c>
      <c r="F67" s="966">
        <f>Table22[[#This Row],[Chronic RA input value]]</f>
        <v>0</v>
      </c>
      <c r="G67" s="304">
        <f>Table22[[#This Row],[Chronic RA label]]</f>
        <v>0</v>
      </c>
      <c r="H67" s="304">
        <f>Table22[[#This Row],[GAP under assessment]]</f>
        <v>0</v>
      </c>
      <c r="I67" s="1123"/>
      <c r="J67" s="967" t="e">
        <f>IF($F67="","",$F67*chronic_consumption!$E67/1000/$C$3)</f>
        <v>#DIV/0!</v>
      </c>
      <c r="K67" s="967" t="e">
        <f>IF($F67="","",$F67*chronic_consumption!F67/1000/$C$3)</f>
        <v>#DIV/0!</v>
      </c>
      <c r="L67" s="967" t="e">
        <f>IF($F67="","",$F67*chronic_consumption!G67/1000/$C$3)</f>
        <v>#DIV/0!</v>
      </c>
      <c r="M67" s="967" t="e">
        <f>IF($F67="","",$F67*chronic_consumption!H67/1000/$C$3)</f>
        <v>#DIV/0!</v>
      </c>
      <c r="N67" s="967" t="e">
        <f>IF($F67="","",$F67*chronic_consumption!I67/1000/$C$3)</f>
        <v>#DIV/0!</v>
      </c>
      <c r="O67" s="967" t="e">
        <f>IF($F67="","",$F67*chronic_consumption!J67/1000/$C$3)</f>
        <v>#DIV/0!</v>
      </c>
      <c r="P67" s="967" t="e">
        <f>IF($F67="","",$F67*chronic_consumption!K67/1000/$C$3)</f>
        <v>#DIV/0!</v>
      </c>
      <c r="Q67" s="967" t="e">
        <f>IF($F67="","",$F67*chronic_consumption!L67/1000/$C$3)</f>
        <v>#DIV/0!</v>
      </c>
      <c r="R67" s="967" t="e">
        <f>IF($F67="","",$F67*chronic_consumption!M67/1000/$C$3)</f>
        <v>#DIV/0!</v>
      </c>
      <c r="S67" s="967" t="e">
        <f>IF($F67="","",$F67*chronic_consumption!N67/1000/$C$3)</f>
        <v>#DIV/0!</v>
      </c>
      <c r="T67" s="967" t="e">
        <f>IF($F67="","",$F67*chronic_consumption!O67/1000/$C$3)</f>
        <v>#DIV/0!</v>
      </c>
      <c r="U67" s="967" t="e">
        <f>IF($F67="","",$F67*chronic_consumption!P67/1000/$C$3)</f>
        <v>#DIV/0!</v>
      </c>
      <c r="V67" s="967" t="e">
        <f>IF($F67="","",$F67*chronic_consumption!Q67/1000/$C$3)</f>
        <v>#DIV/0!</v>
      </c>
      <c r="W67" s="967" t="e">
        <f>IF($F67="","",$F67*chronic_consumption!R67/1000/$C$3)</f>
        <v>#DIV/0!</v>
      </c>
      <c r="X67" s="967" t="e">
        <f>IF($F67="","",$F67*chronic_consumption!S67/1000/$C$3)</f>
        <v>#DIV/0!</v>
      </c>
      <c r="Y67" s="967" t="e">
        <f>IF($F67="","",$F67*chronic_consumption!T67/1000/$C$3)</f>
        <v>#DIV/0!</v>
      </c>
      <c r="Z67" s="967" t="e">
        <f>IF($F67="","",$F67*chronic_consumption!U67/1000/$C$3)</f>
        <v>#DIV/0!</v>
      </c>
      <c r="AA67" s="967" t="e">
        <f>IF($F67="","",$F67*chronic_consumption!V67/1000/$C$3)</f>
        <v>#DIV/0!</v>
      </c>
      <c r="AB67" s="967" t="e">
        <f>IF($F67="","",$F67*chronic_consumption!W67/1000/$C$3)</f>
        <v>#DIV/0!</v>
      </c>
      <c r="AC67" s="967" t="e">
        <f>IF($F67="","",$F67*chronic_consumption!X67/1000/$C$3)</f>
        <v>#DIV/0!</v>
      </c>
      <c r="AD67" s="967" t="e">
        <f>IF($F67="","",$F67*chronic_consumption!Y67/1000/$C$3)</f>
        <v>#DIV/0!</v>
      </c>
      <c r="AE67" s="967" t="e">
        <f>IF($F67="","",$F67*chronic_consumption!Z67/1000/$C$3)</f>
        <v>#DIV/0!</v>
      </c>
      <c r="AF67" s="967" t="e">
        <f>IF($F67="","",$F67*chronic_consumption!AA67/1000/$C$3)</f>
        <v>#DIV/0!</v>
      </c>
      <c r="AG67" s="967" t="e">
        <f>IF($F67="","",$F67*chronic_consumption!AB67/1000/$C$3)</f>
        <v>#DIV/0!</v>
      </c>
      <c r="AH67" s="967" t="e">
        <f>IF($F67="","",$F67*chronic_consumption!AC67/1000/$C$3)</f>
        <v>#DIV/0!</v>
      </c>
      <c r="AI67" s="967" t="e">
        <f>IF($F67="","",$F67*chronic_consumption!AD67/1000/$C$3)</f>
        <v>#DIV/0!</v>
      </c>
      <c r="AJ67" s="967" t="e">
        <f>IF($F67="","",$F67*chronic_consumption!AE67/1000/$C$3)</f>
        <v>#DIV/0!</v>
      </c>
      <c r="AK67" s="967" t="e">
        <f>IF($F67="","",$F67*chronic_consumption!AF67/1000/$C$3)</f>
        <v>#DIV/0!</v>
      </c>
      <c r="AL67" s="967" t="e">
        <f>IF($F67="","",$F67*chronic_consumption!AG67/1000/$C$3)</f>
        <v>#DIV/0!</v>
      </c>
      <c r="AM67" s="967" t="e">
        <f>IF($F67="","",$F67*chronic_consumption!AH67/1000/$C$3)</f>
        <v>#DIV/0!</v>
      </c>
      <c r="AN67" s="967" t="e">
        <f>IF($F67="","",$F67*chronic_consumption!AI67/1000/$C$3)</f>
        <v>#DIV/0!</v>
      </c>
      <c r="AO67" s="967" t="e">
        <f>IF($F67="","",$F67*chronic_consumption!AJ67/1000/$C$3)</f>
        <v>#DIV/0!</v>
      </c>
      <c r="AP67" s="967" t="e">
        <f>IF($F67="","",$F67*chronic_consumption!AK67/1000/$C$3)</f>
        <v>#DIV/0!</v>
      </c>
      <c r="AQ67" s="967" t="e">
        <f>IF($F67="","",$F67*chronic_consumption!AL67/1000/$C$3)</f>
        <v>#DIV/0!</v>
      </c>
      <c r="AR67" s="967" t="e">
        <f>IF($F67="","",$F67*chronic_consumption!AM67/1000/$C$3)</f>
        <v>#DIV/0!</v>
      </c>
      <c r="AS67" s="967" t="e">
        <f>IF($F67="","",$F67*chronic_consumption!AN67/1000/$C$3)</f>
        <v>#DIV/0!</v>
      </c>
      <c r="AT67" s="967" t="e">
        <f>IF($F67="","",$F67*chronic_consumption!AO67/1000/$C$3)</f>
        <v>#DIV/0!</v>
      </c>
      <c r="AU67" s="967"/>
      <c r="AV67" s="967" t="e">
        <f>IF($F67="","",$F67*chronic_consumption!AQ67/1000/$C$3)</f>
        <v>#DIV/0!</v>
      </c>
      <c r="AW67" s="967" t="e">
        <f>IF($F67="","",$F67*chronic_consumption!AR67/1000/$C$3)</f>
        <v>#DIV/0!</v>
      </c>
      <c r="AX67" s="967" t="e">
        <f>IF($F67="","",$F67*chronic_consumption!AS67/1000/$C$3)</f>
        <v>#DIV/0!</v>
      </c>
      <c r="AY67" s="967" t="e">
        <f>IF($F67="","",$F67*chronic_consumption!AT67/1000/$C$3)</f>
        <v>#DIV/0!</v>
      </c>
      <c r="AZ67" s="973"/>
      <c r="BA67" s="969" t="e">
        <f t="shared" si="7"/>
        <v>#DIV/0!</v>
      </c>
      <c r="BB67" s="970" t="e">
        <f t="shared" si="8"/>
        <v>#DIV/0!</v>
      </c>
      <c r="BC67" s="971" t="e">
        <f t="shared" ca="1" si="9"/>
        <v>#DIV/0!</v>
      </c>
      <c r="BD67" s="228">
        <f>input_values!Z67</f>
        <v>4</v>
      </c>
      <c r="BE67" s="152">
        <f>input_values!L67</f>
        <v>0</v>
      </c>
      <c r="BF67" s="972" t="str">
        <f t="shared" si="10"/>
        <v/>
      </c>
    </row>
    <row r="68" spans="1:58" ht="12" customHeight="1" outlineLevel="3" x14ac:dyDescent="0.2">
      <c r="A68" s="21">
        <v>4</v>
      </c>
      <c r="B68" s="23">
        <v>161010</v>
      </c>
      <c r="C68" s="23" t="s">
        <v>67</v>
      </c>
      <c r="D68" s="965">
        <f>Table22[[#This Row],[MRL individual commodity]]</f>
        <v>0</v>
      </c>
      <c r="E68" s="300" t="str">
        <f>Table22[[#This Row],[LOQ_label]]</f>
        <v/>
      </c>
      <c r="F68" s="966">
        <f>Table22[[#This Row],[Chronic RA input value]]</f>
        <v>0</v>
      </c>
      <c r="G68" s="304" t="str">
        <f>Table22[[#This Row],[Chronic RA label]]</f>
        <v/>
      </c>
      <c r="H68" s="304">
        <f>Table22[[#This Row],[GAP under assessment]]</f>
        <v>0</v>
      </c>
      <c r="I68" s="1123"/>
      <c r="J68" s="974" t="e">
        <f>IF($F68="","",$F68*chronic_consumption!$E68/1000/$C$3)</f>
        <v>#DIV/0!</v>
      </c>
      <c r="K68" s="974" t="e">
        <f>IF($F68="","",$F68*chronic_consumption!F68/1000/$C$3)</f>
        <v>#DIV/0!</v>
      </c>
      <c r="L68" s="974" t="e">
        <f>IF($F68="","",$F68*chronic_consumption!G68/1000/$C$3)</f>
        <v>#DIV/0!</v>
      </c>
      <c r="M68" s="974" t="e">
        <f>IF($F68="","",$F68*chronic_consumption!H68/1000/$C$3)</f>
        <v>#DIV/0!</v>
      </c>
      <c r="N68" s="974" t="e">
        <f>IF($F68="","",$F68*chronic_consumption!I68/1000/$C$3)</f>
        <v>#DIV/0!</v>
      </c>
      <c r="O68" s="974" t="e">
        <f>IF($F68="","",$F68*chronic_consumption!J68/1000/$C$3)</f>
        <v>#DIV/0!</v>
      </c>
      <c r="P68" s="974" t="e">
        <f>IF($F68="","",$F68*chronic_consumption!K68/1000/$C$3)</f>
        <v>#DIV/0!</v>
      </c>
      <c r="Q68" s="974" t="e">
        <f>IF($F68="","",$F68*chronic_consumption!L68/1000/$C$3)</f>
        <v>#DIV/0!</v>
      </c>
      <c r="R68" s="974" t="e">
        <f>IF($F68="","",$F68*chronic_consumption!M68/1000/$C$3)</f>
        <v>#DIV/0!</v>
      </c>
      <c r="S68" s="974" t="e">
        <f>IF($F68="","",$F68*chronic_consumption!N68/1000/$C$3)</f>
        <v>#DIV/0!</v>
      </c>
      <c r="T68" s="974" t="e">
        <f>IF($F68="","",$F68*chronic_consumption!O68/1000/$C$3)</f>
        <v>#DIV/0!</v>
      </c>
      <c r="U68" s="974" t="e">
        <f>IF($F68="","",$F68*chronic_consumption!P68/1000/$C$3)</f>
        <v>#DIV/0!</v>
      </c>
      <c r="V68" s="974" t="e">
        <f>IF($F68="","",$F68*chronic_consumption!Q68/1000/$C$3)</f>
        <v>#DIV/0!</v>
      </c>
      <c r="W68" s="974" t="e">
        <f>IF($F68="","",$F68*chronic_consumption!R68/1000/$C$3)</f>
        <v>#DIV/0!</v>
      </c>
      <c r="X68" s="974" t="e">
        <f>IF($F68="","",$F68*chronic_consumption!S68/1000/$C$3)</f>
        <v>#DIV/0!</v>
      </c>
      <c r="Y68" s="974" t="e">
        <f>IF($F68="","",$F68*chronic_consumption!T68/1000/$C$3)</f>
        <v>#DIV/0!</v>
      </c>
      <c r="Z68" s="974" t="e">
        <f>IF($F68="","",$F68*chronic_consumption!U68/1000/$C$3)</f>
        <v>#DIV/0!</v>
      </c>
      <c r="AA68" s="974" t="e">
        <f>IF($F68="","",$F68*chronic_consumption!V68/1000/$C$3)</f>
        <v>#DIV/0!</v>
      </c>
      <c r="AB68" s="974" t="e">
        <f>IF($F68="","",$F68*chronic_consumption!W68/1000/$C$3)</f>
        <v>#DIV/0!</v>
      </c>
      <c r="AC68" s="974" t="e">
        <f>IF($F68="","",$F68*chronic_consumption!X68/1000/$C$3)</f>
        <v>#DIV/0!</v>
      </c>
      <c r="AD68" s="974" t="e">
        <f>IF($F68="","",$F68*chronic_consumption!Y68/1000/$C$3)</f>
        <v>#DIV/0!</v>
      </c>
      <c r="AE68" s="974" t="e">
        <f>IF($F68="","",$F68*chronic_consumption!Z68/1000/$C$3)</f>
        <v>#DIV/0!</v>
      </c>
      <c r="AF68" s="974" t="e">
        <f>IF($F68="","",$F68*chronic_consumption!AA68/1000/$C$3)</f>
        <v>#DIV/0!</v>
      </c>
      <c r="AG68" s="974" t="e">
        <f>IF($F68="","",$F68*chronic_consumption!AB68/1000/$C$3)</f>
        <v>#DIV/0!</v>
      </c>
      <c r="AH68" s="974" t="e">
        <f>IF($F68="","",$F68*chronic_consumption!AC68/1000/$C$3)</f>
        <v>#DIV/0!</v>
      </c>
      <c r="AI68" s="974" t="e">
        <f>IF($F68="","",$F68*chronic_consumption!AD68/1000/$C$3)</f>
        <v>#DIV/0!</v>
      </c>
      <c r="AJ68" s="974" t="e">
        <f>IF($F68="","",$F68*chronic_consumption!AE68/1000/$C$3)</f>
        <v>#DIV/0!</v>
      </c>
      <c r="AK68" s="974" t="e">
        <f>IF($F68="","",$F68*chronic_consumption!AF68/1000/$C$3)</f>
        <v>#DIV/0!</v>
      </c>
      <c r="AL68" s="974" t="e">
        <f>IF($F68="","",$F68*chronic_consumption!AG68/1000/$C$3)</f>
        <v>#DIV/0!</v>
      </c>
      <c r="AM68" s="974" t="e">
        <f>IF($F68="","",$F68*chronic_consumption!AH68/1000/$C$3)</f>
        <v>#DIV/0!</v>
      </c>
      <c r="AN68" s="974" t="e">
        <f>IF($F68="","",$F68*chronic_consumption!AI68/1000/$C$3)</f>
        <v>#DIV/0!</v>
      </c>
      <c r="AO68" s="974" t="e">
        <f>IF($F68="","",$F68*chronic_consumption!AJ68/1000/$C$3)</f>
        <v>#DIV/0!</v>
      </c>
      <c r="AP68" s="974" t="e">
        <f>IF($F68="","",$F68*chronic_consumption!AK68/1000/$C$3)</f>
        <v>#DIV/0!</v>
      </c>
      <c r="AQ68" s="974" t="e">
        <f>IF($F68="","",$F68*chronic_consumption!AL68/1000/$C$3)</f>
        <v>#DIV/0!</v>
      </c>
      <c r="AR68" s="974" t="e">
        <f>IF($F68="","",$F68*chronic_consumption!AM68/1000/$C$3)</f>
        <v>#DIV/0!</v>
      </c>
      <c r="AS68" s="974" t="e">
        <f>IF($F68="","",$F68*chronic_consumption!AN68/1000/$C$3)</f>
        <v>#DIV/0!</v>
      </c>
      <c r="AT68" s="974" t="e">
        <f>IF($F68="","",$F68*chronic_consumption!AO68/1000/$C$3)</f>
        <v>#DIV/0!</v>
      </c>
      <c r="AU68" s="974"/>
      <c r="AV68" s="974" t="e">
        <f>IF($F68="","",$F68*chronic_consumption!AQ68/1000/$C$3)</f>
        <v>#DIV/0!</v>
      </c>
      <c r="AW68" s="974" t="e">
        <f>IF($F68="","",$F68*chronic_consumption!AR68/1000/$C$3)</f>
        <v>#DIV/0!</v>
      </c>
      <c r="AX68" s="974" t="e">
        <f>IF($F68="","",$F68*chronic_consumption!AS68/1000/$C$3)</f>
        <v>#DIV/0!</v>
      </c>
      <c r="AY68" s="974" t="e">
        <f>IF($F68="","",$F68*chronic_consumption!AT68/1000/$C$3)</f>
        <v>#DIV/0!</v>
      </c>
      <c r="AZ68" s="973" t="s">
        <v>19</v>
      </c>
      <c r="BA68" s="969" t="e">
        <f t="shared" si="7"/>
        <v>#DIV/0!</v>
      </c>
      <c r="BB68" s="970" t="e">
        <f t="shared" si="8"/>
        <v>#DIV/0!</v>
      </c>
      <c r="BC68" s="971" t="e">
        <f t="shared" ca="1" si="9"/>
        <v>#DIV/0!</v>
      </c>
      <c r="BD68" s="228">
        <f>input_values!Z68</f>
        <v>4</v>
      </c>
      <c r="BE68" s="152">
        <f>input_values!L68</f>
        <v>0</v>
      </c>
      <c r="BF68" s="972" t="str">
        <f t="shared" si="10"/>
        <v/>
      </c>
    </row>
    <row r="69" spans="1:58" ht="12" customHeight="1" outlineLevel="3" x14ac:dyDescent="0.2">
      <c r="A69" s="21">
        <v>4</v>
      </c>
      <c r="B69" s="23">
        <v>161020</v>
      </c>
      <c r="C69" s="23" t="s">
        <v>68</v>
      </c>
      <c r="D69" s="965">
        <f>Table22[[#This Row],[MRL individual commodity]]</f>
        <v>0</v>
      </c>
      <c r="E69" s="300" t="str">
        <f>Table22[[#This Row],[LOQ_label]]</f>
        <v/>
      </c>
      <c r="F69" s="966">
        <f>Table22[[#This Row],[Chronic RA input value]]</f>
        <v>0</v>
      </c>
      <c r="G69" s="304" t="str">
        <f>Table22[[#This Row],[Chronic RA label]]</f>
        <v/>
      </c>
      <c r="H69" s="304">
        <f>Table22[[#This Row],[GAP under assessment]]</f>
        <v>0</v>
      </c>
      <c r="I69" s="1123"/>
      <c r="J69" s="974" t="e">
        <f>IF($F69="","",$F69*chronic_consumption!$E69/1000/$C$3)</f>
        <v>#DIV/0!</v>
      </c>
      <c r="K69" s="974" t="e">
        <f>IF($F69="","",$F69*chronic_consumption!F69/1000/$C$3)</f>
        <v>#DIV/0!</v>
      </c>
      <c r="L69" s="974" t="e">
        <f>IF($F69="","",$F69*chronic_consumption!G69/1000/$C$3)</f>
        <v>#DIV/0!</v>
      </c>
      <c r="M69" s="974" t="e">
        <f>IF($F69="","",$F69*chronic_consumption!H69/1000/$C$3)</f>
        <v>#DIV/0!</v>
      </c>
      <c r="N69" s="974" t="e">
        <f>IF($F69="","",$F69*chronic_consumption!I69/1000/$C$3)</f>
        <v>#DIV/0!</v>
      </c>
      <c r="O69" s="974" t="e">
        <f>IF($F69="","",$F69*chronic_consumption!J69/1000/$C$3)</f>
        <v>#DIV/0!</v>
      </c>
      <c r="P69" s="974" t="e">
        <f>IF($F69="","",$F69*chronic_consumption!K69/1000/$C$3)</f>
        <v>#DIV/0!</v>
      </c>
      <c r="Q69" s="974" t="e">
        <f>IF($F69="","",$F69*chronic_consumption!L69/1000/$C$3)</f>
        <v>#DIV/0!</v>
      </c>
      <c r="R69" s="974" t="e">
        <f>IF($F69="","",$F69*chronic_consumption!M69/1000/$C$3)</f>
        <v>#DIV/0!</v>
      </c>
      <c r="S69" s="974" t="e">
        <f>IF($F69="","",$F69*chronic_consumption!N69/1000/$C$3)</f>
        <v>#DIV/0!</v>
      </c>
      <c r="T69" s="974" t="e">
        <f>IF($F69="","",$F69*chronic_consumption!O69/1000/$C$3)</f>
        <v>#DIV/0!</v>
      </c>
      <c r="U69" s="974" t="e">
        <f>IF($F69="","",$F69*chronic_consumption!P69/1000/$C$3)</f>
        <v>#DIV/0!</v>
      </c>
      <c r="V69" s="974" t="e">
        <f>IF($F69="","",$F69*chronic_consumption!Q69/1000/$C$3)</f>
        <v>#DIV/0!</v>
      </c>
      <c r="W69" s="974" t="e">
        <f>IF($F69="","",$F69*chronic_consumption!R69/1000/$C$3)</f>
        <v>#DIV/0!</v>
      </c>
      <c r="X69" s="974" t="e">
        <f>IF($F69="","",$F69*chronic_consumption!S69/1000/$C$3)</f>
        <v>#DIV/0!</v>
      </c>
      <c r="Y69" s="974" t="e">
        <f>IF($F69="","",$F69*chronic_consumption!T69/1000/$C$3)</f>
        <v>#DIV/0!</v>
      </c>
      <c r="Z69" s="974" t="e">
        <f>IF($F69="","",$F69*chronic_consumption!U69/1000/$C$3)</f>
        <v>#DIV/0!</v>
      </c>
      <c r="AA69" s="974" t="e">
        <f>IF($F69="","",$F69*chronic_consumption!V69/1000/$C$3)</f>
        <v>#DIV/0!</v>
      </c>
      <c r="AB69" s="974" t="e">
        <f>IF($F69="","",$F69*chronic_consumption!W69/1000/$C$3)</f>
        <v>#DIV/0!</v>
      </c>
      <c r="AC69" s="974" t="e">
        <f>IF($F69="","",$F69*chronic_consumption!X69/1000/$C$3)</f>
        <v>#DIV/0!</v>
      </c>
      <c r="AD69" s="974" t="e">
        <f>IF($F69="","",$F69*chronic_consumption!Y69/1000/$C$3)</f>
        <v>#DIV/0!</v>
      </c>
      <c r="AE69" s="974" t="e">
        <f>IF($F69="","",$F69*chronic_consumption!Z69/1000/$C$3)</f>
        <v>#DIV/0!</v>
      </c>
      <c r="AF69" s="974" t="e">
        <f>IF($F69="","",$F69*chronic_consumption!AA69/1000/$C$3)</f>
        <v>#DIV/0!</v>
      </c>
      <c r="AG69" s="974" t="e">
        <f>IF($F69="","",$F69*chronic_consumption!AB69/1000/$C$3)</f>
        <v>#DIV/0!</v>
      </c>
      <c r="AH69" s="974" t="e">
        <f>IF($F69="","",$F69*chronic_consumption!AC69/1000/$C$3)</f>
        <v>#DIV/0!</v>
      </c>
      <c r="AI69" s="974" t="e">
        <f>IF($F69="","",$F69*chronic_consumption!AD69/1000/$C$3)</f>
        <v>#DIV/0!</v>
      </c>
      <c r="AJ69" s="974" t="e">
        <f>IF($F69="","",$F69*chronic_consumption!AE69/1000/$C$3)</f>
        <v>#DIV/0!</v>
      </c>
      <c r="AK69" s="974" t="e">
        <f>IF($F69="","",$F69*chronic_consumption!AF69/1000/$C$3)</f>
        <v>#DIV/0!</v>
      </c>
      <c r="AL69" s="974" t="e">
        <f>IF($F69="","",$F69*chronic_consumption!AG69/1000/$C$3)</f>
        <v>#DIV/0!</v>
      </c>
      <c r="AM69" s="974" t="e">
        <f>IF($F69="","",$F69*chronic_consumption!AH69/1000/$C$3)</f>
        <v>#DIV/0!</v>
      </c>
      <c r="AN69" s="974" t="e">
        <f>IF($F69="","",$F69*chronic_consumption!AI69/1000/$C$3)</f>
        <v>#DIV/0!</v>
      </c>
      <c r="AO69" s="974" t="e">
        <f>IF($F69="","",$F69*chronic_consumption!AJ69/1000/$C$3)</f>
        <v>#DIV/0!</v>
      </c>
      <c r="AP69" s="974" t="e">
        <f>IF($F69="","",$F69*chronic_consumption!AK69/1000/$C$3)</f>
        <v>#DIV/0!</v>
      </c>
      <c r="AQ69" s="974" t="e">
        <f>IF($F69="","",$F69*chronic_consumption!AL69/1000/$C$3)</f>
        <v>#DIV/0!</v>
      </c>
      <c r="AR69" s="974" t="e">
        <f>IF($F69="","",$F69*chronic_consumption!AM69/1000/$C$3)</f>
        <v>#DIV/0!</v>
      </c>
      <c r="AS69" s="974" t="e">
        <f>IF($F69="","",$F69*chronic_consumption!AN69/1000/$C$3)</f>
        <v>#DIV/0!</v>
      </c>
      <c r="AT69" s="974" t="e">
        <f>IF($F69="","",$F69*chronic_consumption!AO69/1000/$C$3)</f>
        <v>#DIV/0!</v>
      </c>
      <c r="AU69" s="974"/>
      <c r="AV69" s="974" t="e">
        <f>IF($F69="","",$F69*chronic_consumption!AQ69/1000/$C$3)</f>
        <v>#DIV/0!</v>
      </c>
      <c r="AW69" s="974" t="e">
        <f>IF($F69="","",$F69*chronic_consumption!AR69/1000/$C$3)</f>
        <v>#DIV/0!</v>
      </c>
      <c r="AX69" s="974" t="e">
        <f>IF($F69="","",$F69*chronic_consumption!AS69/1000/$C$3)</f>
        <v>#DIV/0!</v>
      </c>
      <c r="AY69" s="974" t="e">
        <f>IF($F69="","",$F69*chronic_consumption!AT69/1000/$C$3)</f>
        <v>#DIV/0!</v>
      </c>
      <c r="AZ69" s="973" t="s">
        <v>19</v>
      </c>
      <c r="BA69" s="969" t="e">
        <f t="shared" si="7"/>
        <v>#DIV/0!</v>
      </c>
      <c r="BB69" s="970" t="e">
        <f t="shared" si="8"/>
        <v>#DIV/0!</v>
      </c>
      <c r="BC69" s="971" t="e">
        <f t="shared" ca="1" si="9"/>
        <v>#DIV/0!</v>
      </c>
      <c r="BD69" s="228">
        <f>input_values!Z69</f>
        <v>4</v>
      </c>
      <c r="BE69" s="152">
        <f>input_values!L69</f>
        <v>0</v>
      </c>
      <c r="BF69" s="972" t="str">
        <f t="shared" si="10"/>
        <v/>
      </c>
    </row>
    <row r="70" spans="1:58" ht="12" customHeight="1" outlineLevel="3" x14ac:dyDescent="0.2">
      <c r="A70" s="21">
        <v>4</v>
      </c>
      <c r="B70" s="23">
        <v>161030</v>
      </c>
      <c r="C70" s="23" t="s">
        <v>69</v>
      </c>
      <c r="D70" s="965">
        <f>Table22[[#This Row],[MRL individual commodity]]</f>
        <v>0</v>
      </c>
      <c r="E70" s="300" t="str">
        <f>Table22[[#This Row],[LOQ_label]]</f>
        <v/>
      </c>
      <c r="F70" s="966">
        <f>Table22[[#This Row],[Chronic RA input value]]</f>
        <v>0</v>
      </c>
      <c r="G70" s="304" t="str">
        <f>Table22[[#This Row],[Chronic RA label]]</f>
        <v/>
      </c>
      <c r="H70" s="304">
        <f>Table22[[#This Row],[GAP under assessment]]</f>
        <v>0</v>
      </c>
      <c r="I70" s="1123"/>
      <c r="J70" s="974" t="e">
        <f>IF($F70="","",$F70*chronic_consumption!$E70/1000/$C$3)</f>
        <v>#DIV/0!</v>
      </c>
      <c r="K70" s="974" t="e">
        <f>IF($F70="","",$F70*chronic_consumption!F70/1000/$C$3)</f>
        <v>#DIV/0!</v>
      </c>
      <c r="L70" s="974" t="e">
        <f>IF($F70="","",$F70*chronic_consumption!G70/1000/$C$3)</f>
        <v>#DIV/0!</v>
      </c>
      <c r="M70" s="974" t="e">
        <f>IF($F70="","",$F70*chronic_consumption!H70/1000/$C$3)</f>
        <v>#DIV/0!</v>
      </c>
      <c r="N70" s="974" t="e">
        <f>IF($F70="","",$F70*chronic_consumption!I70/1000/$C$3)</f>
        <v>#DIV/0!</v>
      </c>
      <c r="O70" s="974" t="e">
        <f>IF($F70="","",$F70*chronic_consumption!J70/1000/$C$3)</f>
        <v>#DIV/0!</v>
      </c>
      <c r="P70" s="974" t="e">
        <f>IF($F70="","",$F70*chronic_consumption!K70/1000/$C$3)</f>
        <v>#DIV/0!</v>
      </c>
      <c r="Q70" s="974" t="e">
        <f>IF($F70="","",$F70*chronic_consumption!L70/1000/$C$3)</f>
        <v>#DIV/0!</v>
      </c>
      <c r="R70" s="974" t="e">
        <f>IF($F70="","",$F70*chronic_consumption!M70/1000/$C$3)</f>
        <v>#DIV/0!</v>
      </c>
      <c r="S70" s="974" t="e">
        <f>IF($F70="","",$F70*chronic_consumption!N70/1000/$C$3)</f>
        <v>#DIV/0!</v>
      </c>
      <c r="T70" s="974" t="e">
        <f>IF($F70="","",$F70*chronic_consumption!O70/1000/$C$3)</f>
        <v>#DIV/0!</v>
      </c>
      <c r="U70" s="974" t="e">
        <f>IF($F70="","",$F70*chronic_consumption!P70/1000/$C$3)</f>
        <v>#DIV/0!</v>
      </c>
      <c r="V70" s="974" t="e">
        <f>IF($F70="","",$F70*chronic_consumption!Q70/1000/$C$3)</f>
        <v>#DIV/0!</v>
      </c>
      <c r="W70" s="974" t="e">
        <f>IF($F70="","",$F70*chronic_consumption!R70/1000/$C$3)</f>
        <v>#DIV/0!</v>
      </c>
      <c r="X70" s="974" t="e">
        <f>IF($F70="","",$F70*chronic_consumption!S70/1000/$C$3)</f>
        <v>#DIV/0!</v>
      </c>
      <c r="Y70" s="974" t="e">
        <f>IF($F70="","",$F70*chronic_consumption!T70/1000/$C$3)</f>
        <v>#DIV/0!</v>
      </c>
      <c r="Z70" s="974" t="e">
        <f>IF($F70="","",$F70*chronic_consumption!U70/1000/$C$3)</f>
        <v>#DIV/0!</v>
      </c>
      <c r="AA70" s="974" t="e">
        <f>IF($F70="","",$F70*chronic_consumption!V70/1000/$C$3)</f>
        <v>#DIV/0!</v>
      </c>
      <c r="AB70" s="974" t="e">
        <f>IF($F70="","",$F70*chronic_consumption!W70/1000/$C$3)</f>
        <v>#DIV/0!</v>
      </c>
      <c r="AC70" s="974" t="e">
        <f>IF($F70="","",$F70*chronic_consumption!X70/1000/$C$3)</f>
        <v>#DIV/0!</v>
      </c>
      <c r="AD70" s="974" t="e">
        <f>IF($F70="","",$F70*chronic_consumption!Y70/1000/$C$3)</f>
        <v>#DIV/0!</v>
      </c>
      <c r="AE70" s="974" t="e">
        <f>IF($F70="","",$F70*chronic_consumption!Z70/1000/$C$3)</f>
        <v>#DIV/0!</v>
      </c>
      <c r="AF70" s="974" t="e">
        <f>IF($F70="","",$F70*chronic_consumption!AA70/1000/$C$3)</f>
        <v>#DIV/0!</v>
      </c>
      <c r="AG70" s="974" t="e">
        <f>IF($F70="","",$F70*chronic_consumption!AB70/1000/$C$3)</f>
        <v>#DIV/0!</v>
      </c>
      <c r="AH70" s="974" t="e">
        <f>IF($F70="","",$F70*chronic_consumption!AC70/1000/$C$3)</f>
        <v>#DIV/0!</v>
      </c>
      <c r="AI70" s="974" t="e">
        <f>IF($F70="","",$F70*chronic_consumption!AD70/1000/$C$3)</f>
        <v>#DIV/0!</v>
      </c>
      <c r="AJ70" s="974" t="e">
        <f>IF($F70="","",$F70*chronic_consumption!AE70/1000/$C$3)</f>
        <v>#DIV/0!</v>
      </c>
      <c r="AK70" s="974" t="e">
        <f>IF($F70="","",$F70*chronic_consumption!AF70/1000/$C$3)</f>
        <v>#DIV/0!</v>
      </c>
      <c r="AL70" s="974" t="e">
        <f>IF($F70="","",$F70*chronic_consumption!AG70/1000/$C$3)</f>
        <v>#DIV/0!</v>
      </c>
      <c r="AM70" s="974" t="e">
        <f>IF($F70="","",$F70*chronic_consumption!AH70/1000/$C$3)</f>
        <v>#DIV/0!</v>
      </c>
      <c r="AN70" s="974" t="e">
        <f>IF($F70="","",$F70*chronic_consumption!AI70/1000/$C$3)</f>
        <v>#DIV/0!</v>
      </c>
      <c r="AO70" s="974" t="e">
        <f>IF($F70="","",$F70*chronic_consumption!AJ70/1000/$C$3)</f>
        <v>#DIV/0!</v>
      </c>
      <c r="AP70" s="974" t="e">
        <f>IF($F70="","",$F70*chronic_consumption!AK70/1000/$C$3)</f>
        <v>#DIV/0!</v>
      </c>
      <c r="AQ70" s="974" t="e">
        <f>IF($F70="","",$F70*chronic_consumption!AL70/1000/$C$3)</f>
        <v>#DIV/0!</v>
      </c>
      <c r="AR70" s="974" t="e">
        <f>IF($F70="","",$F70*chronic_consumption!AM70/1000/$C$3)</f>
        <v>#DIV/0!</v>
      </c>
      <c r="AS70" s="974" t="e">
        <f>IF($F70="","",$F70*chronic_consumption!AN70/1000/$C$3)</f>
        <v>#DIV/0!</v>
      </c>
      <c r="AT70" s="974" t="e">
        <f>IF($F70="","",$F70*chronic_consumption!AO70/1000/$C$3)</f>
        <v>#DIV/0!</v>
      </c>
      <c r="AU70" s="974"/>
      <c r="AV70" s="974" t="e">
        <f>IF($F70="","",$F70*chronic_consumption!AQ70/1000/$C$3)</f>
        <v>#DIV/0!</v>
      </c>
      <c r="AW70" s="974" t="e">
        <f>IF($F70="","",$F70*chronic_consumption!AR70/1000/$C$3)</f>
        <v>#DIV/0!</v>
      </c>
      <c r="AX70" s="974" t="e">
        <f>IF($F70="","",$F70*chronic_consumption!AS70/1000/$C$3)</f>
        <v>#DIV/0!</v>
      </c>
      <c r="AY70" s="974" t="e">
        <f>IF($F70="","",$F70*chronic_consumption!AT70/1000/$C$3)</f>
        <v>#DIV/0!</v>
      </c>
      <c r="AZ70" s="973" t="s">
        <v>19</v>
      </c>
      <c r="BA70" s="969" t="e">
        <f t="shared" si="7"/>
        <v>#DIV/0!</v>
      </c>
      <c r="BB70" s="970" t="e">
        <f t="shared" si="8"/>
        <v>#DIV/0!</v>
      </c>
      <c r="BC70" s="971" t="e">
        <f t="shared" ca="1" si="9"/>
        <v>#DIV/0!</v>
      </c>
      <c r="BD70" s="228">
        <f>input_values!Z70</f>
        <v>4</v>
      </c>
      <c r="BE70" s="152">
        <f>input_values!L70</f>
        <v>0</v>
      </c>
      <c r="BF70" s="972" t="str">
        <f t="shared" si="10"/>
        <v/>
      </c>
    </row>
    <row r="71" spans="1:58" ht="12" customHeight="1" outlineLevel="3" x14ac:dyDescent="0.2">
      <c r="A71" s="21">
        <v>4</v>
      </c>
      <c r="B71" s="23">
        <v>161040</v>
      </c>
      <c r="C71" s="23" t="s">
        <v>70</v>
      </c>
      <c r="D71" s="965">
        <f>Table22[[#This Row],[MRL individual commodity]]</f>
        <v>0</v>
      </c>
      <c r="E71" s="300" t="str">
        <f>Table22[[#This Row],[LOQ_label]]</f>
        <v/>
      </c>
      <c r="F71" s="966">
        <f>Table22[[#This Row],[Chronic RA input value]]</f>
        <v>0</v>
      </c>
      <c r="G71" s="304" t="str">
        <f>Table22[[#This Row],[Chronic RA label]]</f>
        <v/>
      </c>
      <c r="H71" s="304">
        <f>Table22[[#This Row],[GAP under assessment]]</f>
        <v>0</v>
      </c>
      <c r="I71" s="1123"/>
      <c r="J71" s="974" t="e">
        <f>IF($F71="","",$F71*chronic_consumption!$E71/1000/$C$3)</f>
        <v>#DIV/0!</v>
      </c>
      <c r="K71" s="974" t="e">
        <f>IF($F71="","",$F71*chronic_consumption!F71/1000/$C$3)</f>
        <v>#DIV/0!</v>
      </c>
      <c r="L71" s="974" t="e">
        <f>IF($F71="","",$F71*chronic_consumption!G71/1000/$C$3)</f>
        <v>#DIV/0!</v>
      </c>
      <c r="M71" s="974" t="e">
        <f>IF($F71="","",$F71*chronic_consumption!H71/1000/$C$3)</f>
        <v>#DIV/0!</v>
      </c>
      <c r="N71" s="974" t="e">
        <f>IF($F71="","",$F71*chronic_consumption!I71/1000/$C$3)</f>
        <v>#DIV/0!</v>
      </c>
      <c r="O71" s="974" t="e">
        <f>IF($F71="","",$F71*chronic_consumption!J71/1000/$C$3)</f>
        <v>#DIV/0!</v>
      </c>
      <c r="P71" s="974" t="e">
        <f>IF($F71="","",$F71*chronic_consumption!K71/1000/$C$3)</f>
        <v>#DIV/0!</v>
      </c>
      <c r="Q71" s="974" t="e">
        <f>IF($F71="","",$F71*chronic_consumption!L71/1000/$C$3)</f>
        <v>#DIV/0!</v>
      </c>
      <c r="R71" s="974" t="e">
        <f>IF($F71="","",$F71*chronic_consumption!M71/1000/$C$3)</f>
        <v>#DIV/0!</v>
      </c>
      <c r="S71" s="974" t="e">
        <f>IF($F71="","",$F71*chronic_consumption!N71/1000/$C$3)</f>
        <v>#DIV/0!</v>
      </c>
      <c r="T71" s="974" t="e">
        <f>IF($F71="","",$F71*chronic_consumption!O71/1000/$C$3)</f>
        <v>#DIV/0!</v>
      </c>
      <c r="U71" s="974" t="e">
        <f>IF($F71="","",$F71*chronic_consumption!P71/1000/$C$3)</f>
        <v>#DIV/0!</v>
      </c>
      <c r="V71" s="974" t="e">
        <f>IF($F71="","",$F71*chronic_consumption!Q71/1000/$C$3)</f>
        <v>#DIV/0!</v>
      </c>
      <c r="W71" s="974" t="e">
        <f>IF($F71="","",$F71*chronic_consumption!R71/1000/$C$3)</f>
        <v>#DIV/0!</v>
      </c>
      <c r="X71" s="974" t="e">
        <f>IF($F71="","",$F71*chronic_consumption!S71/1000/$C$3)</f>
        <v>#DIV/0!</v>
      </c>
      <c r="Y71" s="974" t="e">
        <f>IF($F71="","",$F71*chronic_consumption!T71/1000/$C$3)</f>
        <v>#DIV/0!</v>
      </c>
      <c r="Z71" s="974" t="e">
        <f>IF($F71="","",$F71*chronic_consumption!U71/1000/$C$3)</f>
        <v>#DIV/0!</v>
      </c>
      <c r="AA71" s="974" t="e">
        <f>IF($F71="","",$F71*chronic_consumption!V71/1000/$C$3)</f>
        <v>#DIV/0!</v>
      </c>
      <c r="AB71" s="974" t="e">
        <f>IF($F71="","",$F71*chronic_consumption!W71/1000/$C$3)</f>
        <v>#DIV/0!</v>
      </c>
      <c r="AC71" s="974" t="e">
        <f>IF($F71="","",$F71*chronic_consumption!X71/1000/$C$3)</f>
        <v>#DIV/0!</v>
      </c>
      <c r="AD71" s="974" t="e">
        <f>IF($F71="","",$F71*chronic_consumption!Y71/1000/$C$3)</f>
        <v>#DIV/0!</v>
      </c>
      <c r="AE71" s="974" t="e">
        <f>IF($F71="","",$F71*chronic_consumption!Z71/1000/$C$3)</f>
        <v>#DIV/0!</v>
      </c>
      <c r="AF71" s="974" t="e">
        <f>IF($F71="","",$F71*chronic_consumption!AA71/1000/$C$3)</f>
        <v>#DIV/0!</v>
      </c>
      <c r="AG71" s="974" t="e">
        <f>IF($F71="","",$F71*chronic_consumption!AB71/1000/$C$3)</f>
        <v>#DIV/0!</v>
      </c>
      <c r="AH71" s="974" t="e">
        <f>IF($F71="","",$F71*chronic_consumption!AC71/1000/$C$3)</f>
        <v>#DIV/0!</v>
      </c>
      <c r="AI71" s="974" t="e">
        <f>IF($F71="","",$F71*chronic_consumption!AD71/1000/$C$3)</f>
        <v>#DIV/0!</v>
      </c>
      <c r="AJ71" s="974" t="e">
        <f>IF($F71="","",$F71*chronic_consumption!AE71/1000/$C$3)</f>
        <v>#DIV/0!</v>
      </c>
      <c r="AK71" s="974" t="e">
        <f>IF($F71="","",$F71*chronic_consumption!AF71/1000/$C$3)</f>
        <v>#DIV/0!</v>
      </c>
      <c r="AL71" s="974" t="e">
        <f>IF($F71="","",$F71*chronic_consumption!AG71/1000/$C$3)</f>
        <v>#DIV/0!</v>
      </c>
      <c r="AM71" s="974" t="e">
        <f>IF($F71="","",$F71*chronic_consumption!AH71/1000/$C$3)</f>
        <v>#DIV/0!</v>
      </c>
      <c r="AN71" s="974" t="e">
        <f>IF($F71="","",$F71*chronic_consumption!AI71/1000/$C$3)</f>
        <v>#DIV/0!</v>
      </c>
      <c r="AO71" s="974" t="e">
        <f>IF($F71="","",$F71*chronic_consumption!AJ71/1000/$C$3)</f>
        <v>#DIV/0!</v>
      </c>
      <c r="AP71" s="974" t="e">
        <f>IF($F71="","",$F71*chronic_consumption!AK71/1000/$C$3)</f>
        <v>#DIV/0!</v>
      </c>
      <c r="AQ71" s="974" t="e">
        <f>IF($F71="","",$F71*chronic_consumption!AL71/1000/$C$3)</f>
        <v>#DIV/0!</v>
      </c>
      <c r="AR71" s="974" t="e">
        <f>IF($F71="","",$F71*chronic_consumption!AM71/1000/$C$3)</f>
        <v>#DIV/0!</v>
      </c>
      <c r="AS71" s="974" t="e">
        <f>IF($F71="","",$F71*chronic_consumption!AN71/1000/$C$3)</f>
        <v>#DIV/0!</v>
      </c>
      <c r="AT71" s="974" t="e">
        <f>IF($F71="","",$F71*chronic_consumption!AO71/1000/$C$3)</f>
        <v>#DIV/0!</v>
      </c>
      <c r="AU71" s="974"/>
      <c r="AV71" s="974" t="e">
        <f>IF($F71="","",$F71*chronic_consumption!AQ71/1000/$C$3)</f>
        <v>#DIV/0!</v>
      </c>
      <c r="AW71" s="974" t="e">
        <f>IF($F71="","",$F71*chronic_consumption!AR71/1000/$C$3)</f>
        <v>#DIV/0!</v>
      </c>
      <c r="AX71" s="974" t="e">
        <f>IF($F71="","",$F71*chronic_consumption!AS71/1000/$C$3)</f>
        <v>#DIV/0!</v>
      </c>
      <c r="AY71" s="974" t="e">
        <f>IF($F71="","",$F71*chronic_consumption!AT71/1000/$C$3)</f>
        <v>#DIV/0!</v>
      </c>
      <c r="AZ71" s="973" t="s">
        <v>19</v>
      </c>
      <c r="BA71" s="969" t="e">
        <f t="shared" si="7"/>
        <v>#DIV/0!</v>
      </c>
      <c r="BB71" s="970" t="e">
        <f t="shared" si="8"/>
        <v>#DIV/0!</v>
      </c>
      <c r="BC71" s="971" t="e">
        <f t="shared" ca="1" si="9"/>
        <v>#DIV/0!</v>
      </c>
      <c r="BD71" s="228">
        <f>input_values!Z71</f>
        <v>4</v>
      </c>
      <c r="BE71" s="152">
        <f>input_values!L71</f>
        <v>0</v>
      </c>
      <c r="BF71" s="972" t="str">
        <f t="shared" si="10"/>
        <v/>
      </c>
    </row>
    <row r="72" spans="1:58" ht="12" customHeight="1" outlineLevel="3" x14ac:dyDescent="0.2">
      <c r="A72" s="21">
        <v>4</v>
      </c>
      <c r="B72" s="23">
        <v>161050</v>
      </c>
      <c r="C72" s="23" t="s">
        <v>689</v>
      </c>
      <c r="D72" s="965">
        <f>Table22[[#This Row],[MRL individual commodity]]</f>
        <v>0</v>
      </c>
      <c r="E72" s="300" t="str">
        <f>Table22[[#This Row],[LOQ_label]]</f>
        <v/>
      </c>
      <c r="F72" s="966">
        <f>Table22[[#This Row],[Chronic RA input value]]</f>
        <v>0</v>
      </c>
      <c r="G72" s="304" t="str">
        <f>Table22[[#This Row],[Chronic RA label]]</f>
        <v/>
      </c>
      <c r="H72" s="304">
        <f>Table22[[#This Row],[GAP under assessment]]</f>
        <v>0</v>
      </c>
      <c r="I72" s="1123"/>
      <c r="J72" s="974" t="e">
        <f>IF($F72="","",$F72*chronic_consumption!$E72/1000/$C$3)</f>
        <v>#DIV/0!</v>
      </c>
      <c r="K72" s="974" t="e">
        <f>IF($F72="","",$F72*chronic_consumption!F72/1000/$C$3)</f>
        <v>#DIV/0!</v>
      </c>
      <c r="L72" s="974" t="e">
        <f>IF($F72="","",$F72*chronic_consumption!G72/1000/$C$3)</f>
        <v>#DIV/0!</v>
      </c>
      <c r="M72" s="974" t="e">
        <f>IF($F72="","",$F72*chronic_consumption!H72/1000/$C$3)</f>
        <v>#DIV/0!</v>
      </c>
      <c r="N72" s="974" t="e">
        <f>IF($F72="","",$F72*chronic_consumption!I72/1000/$C$3)</f>
        <v>#DIV/0!</v>
      </c>
      <c r="O72" s="974" t="e">
        <f>IF($F72="","",$F72*chronic_consumption!J72/1000/$C$3)</f>
        <v>#DIV/0!</v>
      </c>
      <c r="P72" s="974" t="e">
        <f>IF($F72="","",$F72*chronic_consumption!K72/1000/$C$3)</f>
        <v>#DIV/0!</v>
      </c>
      <c r="Q72" s="974" t="e">
        <f>IF($F72="","",$F72*chronic_consumption!L72/1000/$C$3)</f>
        <v>#DIV/0!</v>
      </c>
      <c r="R72" s="974" t="e">
        <f>IF($F72="","",$F72*chronic_consumption!M72/1000/$C$3)</f>
        <v>#DIV/0!</v>
      </c>
      <c r="S72" s="974" t="e">
        <f>IF($F72="","",$F72*chronic_consumption!N72/1000/$C$3)</f>
        <v>#DIV/0!</v>
      </c>
      <c r="T72" s="974" t="e">
        <f>IF($F72="","",$F72*chronic_consumption!O72/1000/$C$3)</f>
        <v>#DIV/0!</v>
      </c>
      <c r="U72" s="974" t="e">
        <f>IF($F72="","",$F72*chronic_consumption!P72/1000/$C$3)</f>
        <v>#DIV/0!</v>
      </c>
      <c r="V72" s="974" t="e">
        <f>IF($F72="","",$F72*chronic_consumption!Q72/1000/$C$3)</f>
        <v>#DIV/0!</v>
      </c>
      <c r="W72" s="974" t="e">
        <f>IF($F72="","",$F72*chronic_consumption!R72/1000/$C$3)</f>
        <v>#DIV/0!</v>
      </c>
      <c r="X72" s="974" t="e">
        <f>IF($F72="","",$F72*chronic_consumption!S72/1000/$C$3)</f>
        <v>#DIV/0!</v>
      </c>
      <c r="Y72" s="974" t="e">
        <f>IF($F72="","",$F72*chronic_consumption!T72/1000/$C$3)</f>
        <v>#DIV/0!</v>
      </c>
      <c r="Z72" s="974" t="e">
        <f>IF($F72="","",$F72*chronic_consumption!U72/1000/$C$3)</f>
        <v>#DIV/0!</v>
      </c>
      <c r="AA72" s="974" t="e">
        <f>IF($F72="","",$F72*chronic_consumption!V72/1000/$C$3)</f>
        <v>#DIV/0!</v>
      </c>
      <c r="AB72" s="974" t="e">
        <f>IF($F72="","",$F72*chronic_consumption!W72/1000/$C$3)</f>
        <v>#DIV/0!</v>
      </c>
      <c r="AC72" s="974" t="e">
        <f>IF($F72="","",$F72*chronic_consumption!X72/1000/$C$3)</f>
        <v>#DIV/0!</v>
      </c>
      <c r="AD72" s="974" t="e">
        <f>IF($F72="","",$F72*chronic_consumption!Y72/1000/$C$3)</f>
        <v>#DIV/0!</v>
      </c>
      <c r="AE72" s="974" t="e">
        <f>IF($F72="","",$F72*chronic_consumption!Z72/1000/$C$3)</f>
        <v>#DIV/0!</v>
      </c>
      <c r="AF72" s="974" t="e">
        <f>IF($F72="","",$F72*chronic_consumption!AA72/1000/$C$3)</f>
        <v>#DIV/0!</v>
      </c>
      <c r="AG72" s="974" t="e">
        <f>IF($F72="","",$F72*chronic_consumption!AB72/1000/$C$3)</f>
        <v>#DIV/0!</v>
      </c>
      <c r="AH72" s="974" t="e">
        <f>IF($F72="","",$F72*chronic_consumption!AC72/1000/$C$3)</f>
        <v>#DIV/0!</v>
      </c>
      <c r="AI72" s="974" t="e">
        <f>IF($F72="","",$F72*chronic_consumption!AD72/1000/$C$3)</f>
        <v>#DIV/0!</v>
      </c>
      <c r="AJ72" s="974" t="e">
        <f>IF($F72="","",$F72*chronic_consumption!AE72/1000/$C$3)</f>
        <v>#DIV/0!</v>
      </c>
      <c r="AK72" s="974" t="e">
        <f>IF($F72="","",$F72*chronic_consumption!AF72/1000/$C$3)</f>
        <v>#DIV/0!</v>
      </c>
      <c r="AL72" s="974" t="e">
        <f>IF($F72="","",$F72*chronic_consumption!AG72/1000/$C$3)</f>
        <v>#DIV/0!</v>
      </c>
      <c r="AM72" s="974" t="e">
        <f>IF($F72="","",$F72*chronic_consumption!AH72/1000/$C$3)</f>
        <v>#DIV/0!</v>
      </c>
      <c r="AN72" s="974" t="e">
        <f>IF($F72="","",$F72*chronic_consumption!AI72/1000/$C$3)</f>
        <v>#DIV/0!</v>
      </c>
      <c r="AO72" s="974" t="e">
        <f>IF($F72="","",$F72*chronic_consumption!AJ72/1000/$C$3)</f>
        <v>#DIV/0!</v>
      </c>
      <c r="AP72" s="974" t="e">
        <f>IF($F72="","",$F72*chronic_consumption!AK72/1000/$C$3)</f>
        <v>#DIV/0!</v>
      </c>
      <c r="AQ72" s="974" t="e">
        <f>IF($F72="","",$F72*chronic_consumption!AL72/1000/$C$3)</f>
        <v>#DIV/0!</v>
      </c>
      <c r="AR72" s="974" t="e">
        <f>IF($F72="","",$F72*chronic_consumption!AM72/1000/$C$3)</f>
        <v>#DIV/0!</v>
      </c>
      <c r="AS72" s="974" t="e">
        <f>IF($F72="","",$F72*chronic_consumption!AN72/1000/$C$3)</f>
        <v>#DIV/0!</v>
      </c>
      <c r="AT72" s="974" t="e">
        <f>IF($F72="","",$F72*chronic_consumption!AO72/1000/$C$3)</f>
        <v>#DIV/0!</v>
      </c>
      <c r="AU72" s="974"/>
      <c r="AV72" s="974" t="e">
        <f>IF($F72="","",$F72*chronic_consumption!AQ72/1000/$C$3)</f>
        <v>#DIV/0!</v>
      </c>
      <c r="AW72" s="974" t="e">
        <f>IF($F72="","",$F72*chronic_consumption!AR72/1000/$C$3)</f>
        <v>#DIV/0!</v>
      </c>
      <c r="AX72" s="974" t="e">
        <f>IF($F72="","",$F72*chronic_consumption!AS72/1000/$C$3)</f>
        <v>#DIV/0!</v>
      </c>
      <c r="AY72" s="974" t="e">
        <f>IF($F72="","",$F72*chronic_consumption!AT72/1000/$C$3)</f>
        <v>#DIV/0!</v>
      </c>
      <c r="AZ72" s="973" t="s">
        <v>19</v>
      </c>
      <c r="BA72" s="969" t="e">
        <f t="shared" si="7"/>
        <v>#DIV/0!</v>
      </c>
      <c r="BB72" s="970" t="e">
        <f t="shared" si="8"/>
        <v>#DIV/0!</v>
      </c>
      <c r="BC72" s="971" t="e">
        <f t="shared" ca="1" si="9"/>
        <v>#DIV/0!</v>
      </c>
      <c r="BD72" s="228">
        <f>input_values!Z72</f>
        <v>4</v>
      </c>
      <c r="BE72" s="152">
        <f>input_values!L72</f>
        <v>0</v>
      </c>
      <c r="BF72" s="972" t="str">
        <f t="shared" si="10"/>
        <v/>
      </c>
    </row>
    <row r="73" spans="1:58" ht="12" customHeight="1" outlineLevel="3" x14ac:dyDescent="0.2">
      <c r="A73" s="21">
        <v>4</v>
      </c>
      <c r="B73" s="23">
        <v>161060</v>
      </c>
      <c r="C73" s="23" t="s">
        <v>690</v>
      </c>
      <c r="D73" s="965">
        <f>Table22[[#This Row],[MRL individual commodity]]</f>
        <v>0</v>
      </c>
      <c r="E73" s="300" t="str">
        <f>Table22[[#This Row],[LOQ_label]]</f>
        <v/>
      </c>
      <c r="F73" s="966">
        <f>Table22[[#This Row],[Chronic RA input value]]</f>
        <v>0</v>
      </c>
      <c r="G73" s="304" t="str">
        <f>Table22[[#This Row],[Chronic RA label]]</f>
        <v/>
      </c>
      <c r="H73" s="304">
        <f>Table22[[#This Row],[GAP under assessment]]</f>
        <v>0</v>
      </c>
      <c r="I73" s="1123"/>
      <c r="J73" s="974" t="e">
        <f>IF($F73="","",$F73*chronic_consumption!$E73/1000/$C$3)</f>
        <v>#DIV/0!</v>
      </c>
      <c r="K73" s="974" t="e">
        <f>IF($F73="","",$F73*chronic_consumption!F73/1000/$C$3)</f>
        <v>#DIV/0!</v>
      </c>
      <c r="L73" s="974" t="e">
        <f>IF($F73="","",$F73*chronic_consumption!G73/1000/$C$3)</f>
        <v>#DIV/0!</v>
      </c>
      <c r="M73" s="974" t="e">
        <f>IF($F73="","",$F73*chronic_consumption!H73/1000/$C$3)</f>
        <v>#DIV/0!</v>
      </c>
      <c r="N73" s="974" t="e">
        <f>IF($F73="","",$F73*chronic_consumption!I73/1000/$C$3)</f>
        <v>#DIV/0!</v>
      </c>
      <c r="O73" s="974" t="e">
        <f>IF($F73="","",$F73*chronic_consumption!J73/1000/$C$3)</f>
        <v>#DIV/0!</v>
      </c>
      <c r="P73" s="974" t="e">
        <f>IF($F73="","",$F73*chronic_consumption!K73/1000/$C$3)</f>
        <v>#DIV/0!</v>
      </c>
      <c r="Q73" s="974" t="e">
        <f>IF($F73="","",$F73*chronic_consumption!L73/1000/$C$3)</f>
        <v>#DIV/0!</v>
      </c>
      <c r="R73" s="974" t="e">
        <f>IF($F73="","",$F73*chronic_consumption!M73/1000/$C$3)</f>
        <v>#DIV/0!</v>
      </c>
      <c r="S73" s="974" t="e">
        <f>IF($F73="","",$F73*chronic_consumption!N73/1000/$C$3)</f>
        <v>#DIV/0!</v>
      </c>
      <c r="T73" s="974" t="e">
        <f>IF($F73="","",$F73*chronic_consumption!O73/1000/$C$3)</f>
        <v>#DIV/0!</v>
      </c>
      <c r="U73" s="974" t="e">
        <f>IF($F73="","",$F73*chronic_consumption!P73/1000/$C$3)</f>
        <v>#DIV/0!</v>
      </c>
      <c r="V73" s="974" t="e">
        <f>IF($F73="","",$F73*chronic_consumption!Q73/1000/$C$3)</f>
        <v>#DIV/0!</v>
      </c>
      <c r="W73" s="974" t="e">
        <f>IF($F73="","",$F73*chronic_consumption!R73/1000/$C$3)</f>
        <v>#DIV/0!</v>
      </c>
      <c r="X73" s="974" t="e">
        <f>IF($F73="","",$F73*chronic_consumption!S73/1000/$C$3)</f>
        <v>#DIV/0!</v>
      </c>
      <c r="Y73" s="974" t="e">
        <f>IF($F73="","",$F73*chronic_consumption!T73/1000/$C$3)</f>
        <v>#DIV/0!</v>
      </c>
      <c r="Z73" s="974" t="e">
        <f>IF($F73="","",$F73*chronic_consumption!U73/1000/$C$3)</f>
        <v>#DIV/0!</v>
      </c>
      <c r="AA73" s="974" t="e">
        <f>IF($F73="","",$F73*chronic_consumption!V73/1000/$C$3)</f>
        <v>#DIV/0!</v>
      </c>
      <c r="AB73" s="974" t="e">
        <f>IF($F73="","",$F73*chronic_consumption!W73/1000/$C$3)</f>
        <v>#DIV/0!</v>
      </c>
      <c r="AC73" s="974" t="e">
        <f>IF($F73="","",$F73*chronic_consumption!X73/1000/$C$3)</f>
        <v>#DIV/0!</v>
      </c>
      <c r="AD73" s="974" t="e">
        <f>IF($F73="","",$F73*chronic_consumption!Y73/1000/$C$3)</f>
        <v>#DIV/0!</v>
      </c>
      <c r="AE73" s="974" t="e">
        <f>IF($F73="","",$F73*chronic_consumption!Z73/1000/$C$3)</f>
        <v>#DIV/0!</v>
      </c>
      <c r="AF73" s="974" t="e">
        <f>IF($F73="","",$F73*chronic_consumption!AA73/1000/$C$3)</f>
        <v>#DIV/0!</v>
      </c>
      <c r="AG73" s="974" t="e">
        <f>IF($F73="","",$F73*chronic_consumption!AB73/1000/$C$3)</f>
        <v>#DIV/0!</v>
      </c>
      <c r="AH73" s="974" t="e">
        <f>IF($F73="","",$F73*chronic_consumption!AC73/1000/$C$3)</f>
        <v>#DIV/0!</v>
      </c>
      <c r="AI73" s="974" t="e">
        <f>IF($F73="","",$F73*chronic_consumption!AD73/1000/$C$3)</f>
        <v>#DIV/0!</v>
      </c>
      <c r="AJ73" s="974" t="e">
        <f>IF($F73="","",$F73*chronic_consumption!AE73/1000/$C$3)</f>
        <v>#DIV/0!</v>
      </c>
      <c r="AK73" s="974" t="e">
        <f>IF($F73="","",$F73*chronic_consumption!AF73/1000/$C$3)</f>
        <v>#DIV/0!</v>
      </c>
      <c r="AL73" s="974" t="e">
        <f>IF($F73="","",$F73*chronic_consumption!AG73/1000/$C$3)</f>
        <v>#DIV/0!</v>
      </c>
      <c r="AM73" s="974" t="e">
        <f>IF($F73="","",$F73*chronic_consumption!AH73/1000/$C$3)</f>
        <v>#DIV/0!</v>
      </c>
      <c r="AN73" s="974" t="e">
        <f>IF($F73="","",$F73*chronic_consumption!AI73/1000/$C$3)</f>
        <v>#DIV/0!</v>
      </c>
      <c r="AO73" s="974" t="e">
        <f>IF($F73="","",$F73*chronic_consumption!AJ73/1000/$C$3)</f>
        <v>#DIV/0!</v>
      </c>
      <c r="AP73" s="974" t="e">
        <f>IF($F73="","",$F73*chronic_consumption!AK73/1000/$C$3)</f>
        <v>#DIV/0!</v>
      </c>
      <c r="AQ73" s="974" t="e">
        <f>IF($F73="","",$F73*chronic_consumption!AL73/1000/$C$3)</f>
        <v>#DIV/0!</v>
      </c>
      <c r="AR73" s="974" t="e">
        <f>IF($F73="","",$F73*chronic_consumption!AM73/1000/$C$3)</f>
        <v>#DIV/0!</v>
      </c>
      <c r="AS73" s="974" t="e">
        <f>IF($F73="","",$F73*chronic_consumption!AN73/1000/$C$3)</f>
        <v>#DIV/0!</v>
      </c>
      <c r="AT73" s="974" t="e">
        <f>IF($F73="","",$F73*chronic_consumption!AO73/1000/$C$3)</f>
        <v>#DIV/0!</v>
      </c>
      <c r="AU73" s="974"/>
      <c r="AV73" s="974" t="e">
        <f>IF($F73="","",$F73*chronic_consumption!AQ73/1000/$C$3)</f>
        <v>#DIV/0!</v>
      </c>
      <c r="AW73" s="974" t="e">
        <f>IF($F73="","",$F73*chronic_consumption!AR73/1000/$C$3)</f>
        <v>#DIV/0!</v>
      </c>
      <c r="AX73" s="974" t="e">
        <f>IF($F73="","",$F73*chronic_consumption!AS73/1000/$C$3)</f>
        <v>#DIV/0!</v>
      </c>
      <c r="AY73" s="974" t="e">
        <f>IF($F73="","",$F73*chronic_consumption!AT73/1000/$C$3)</f>
        <v>#DIV/0!</v>
      </c>
      <c r="AZ73" s="973" t="s">
        <v>19</v>
      </c>
      <c r="BA73" s="969" t="e">
        <f t="shared" si="7"/>
        <v>#DIV/0!</v>
      </c>
      <c r="BB73" s="970" t="e">
        <f t="shared" si="8"/>
        <v>#DIV/0!</v>
      </c>
      <c r="BC73" s="971" t="e">
        <f t="shared" ca="1" si="9"/>
        <v>#DIV/0!</v>
      </c>
      <c r="BD73" s="228">
        <f>input_values!Z73</f>
        <v>4</v>
      </c>
      <c r="BE73" s="152">
        <f>input_values!L73</f>
        <v>0</v>
      </c>
      <c r="BF73" s="972" t="str">
        <f t="shared" si="10"/>
        <v/>
      </c>
    </row>
    <row r="74" spans="1:58" ht="12" customHeight="1" outlineLevel="3" x14ac:dyDescent="0.2">
      <c r="A74" s="21">
        <v>4</v>
      </c>
      <c r="B74" s="23">
        <v>161070</v>
      </c>
      <c r="C74" s="23" t="s">
        <v>691</v>
      </c>
      <c r="D74" s="965">
        <f>Table22[[#This Row],[MRL individual commodity]]</f>
        <v>0</v>
      </c>
      <c r="E74" s="300" t="str">
        <f>Table22[[#This Row],[LOQ_label]]</f>
        <v/>
      </c>
      <c r="F74" s="966">
        <f>Table22[[#This Row],[Chronic RA input value]]</f>
        <v>0</v>
      </c>
      <c r="G74" s="304" t="str">
        <f>Table22[[#This Row],[Chronic RA label]]</f>
        <v/>
      </c>
      <c r="H74" s="304">
        <f>Table22[[#This Row],[GAP under assessment]]</f>
        <v>0</v>
      </c>
      <c r="I74" s="1123"/>
      <c r="J74" s="974" t="e">
        <f>IF($F74="","",$F74*chronic_consumption!$E74/1000/$C$3)</f>
        <v>#DIV/0!</v>
      </c>
      <c r="K74" s="974" t="e">
        <f>IF($F74="","",$F74*chronic_consumption!F74/1000/$C$3)</f>
        <v>#DIV/0!</v>
      </c>
      <c r="L74" s="974" t="e">
        <f>IF($F74="","",$F74*chronic_consumption!G74/1000/$C$3)</f>
        <v>#DIV/0!</v>
      </c>
      <c r="M74" s="974" t="e">
        <f>IF($F74="","",$F74*chronic_consumption!H74/1000/$C$3)</f>
        <v>#DIV/0!</v>
      </c>
      <c r="N74" s="974" t="e">
        <f>IF($F74="","",$F74*chronic_consumption!I74/1000/$C$3)</f>
        <v>#DIV/0!</v>
      </c>
      <c r="O74" s="974" t="e">
        <f>IF($F74="","",$F74*chronic_consumption!J74/1000/$C$3)</f>
        <v>#DIV/0!</v>
      </c>
      <c r="P74" s="974" t="e">
        <f>IF($F74="","",$F74*chronic_consumption!K74/1000/$C$3)</f>
        <v>#DIV/0!</v>
      </c>
      <c r="Q74" s="974" t="e">
        <f>IF($F74="","",$F74*chronic_consumption!L74/1000/$C$3)</f>
        <v>#DIV/0!</v>
      </c>
      <c r="R74" s="974" t="e">
        <f>IF($F74="","",$F74*chronic_consumption!M74/1000/$C$3)</f>
        <v>#DIV/0!</v>
      </c>
      <c r="S74" s="974" t="e">
        <f>IF($F74="","",$F74*chronic_consumption!N74/1000/$C$3)</f>
        <v>#DIV/0!</v>
      </c>
      <c r="T74" s="974" t="e">
        <f>IF($F74="","",$F74*chronic_consumption!O74/1000/$C$3)</f>
        <v>#DIV/0!</v>
      </c>
      <c r="U74" s="974" t="e">
        <f>IF($F74="","",$F74*chronic_consumption!P74/1000/$C$3)</f>
        <v>#DIV/0!</v>
      </c>
      <c r="V74" s="974" t="e">
        <f>IF($F74="","",$F74*chronic_consumption!Q74/1000/$C$3)</f>
        <v>#DIV/0!</v>
      </c>
      <c r="W74" s="974" t="e">
        <f>IF($F74="","",$F74*chronic_consumption!R74/1000/$C$3)</f>
        <v>#DIV/0!</v>
      </c>
      <c r="X74" s="974" t="e">
        <f>IF($F74="","",$F74*chronic_consumption!S74/1000/$C$3)</f>
        <v>#DIV/0!</v>
      </c>
      <c r="Y74" s="974" t="e">
        <f>IF($F74="","",$F74*chronic_consumption!T74/1000/$C$3)</f>
        <v>#DIV/0!</v>
      </c>
      <c r="Z74" s="974" t="e">
        <f>IF($F74="","",$F74*chronic_consumption!U74/1000/$C$3)</f>
        <v>#DIV/0!</v>
      </c>
      <c r="AA74" s="974" t="e">
        <f>IF($F74="","",$F74*chronic_consumption!V74/1000/$C$3)</f>
        <v>#DIV/0!</v>
      </c>
      <c r="AB74" s="974" t="e">
        <f>IF($F74="","",$F74*chronic_consumption!W74/1000/$C$3)</f>
        <v>#DIV/0!</v>
      </c>
      <c r="AC74" s="974" t="e">
        <f>IF($F74="","",$F74*chronic_consumption!X74/1000/$C$3)</f>
        <v>#DIV/0!</v>
      </c>
      <c r="AD74" s="974" t="e">
        <f>IF($F74="","",$F74*chronic_consumption!Y74/1000/$C$3)</f>
        <v>#DIV/0!</v>
      </c>
      <c r="AE74" s="974" t="e">
        <f>IF($F74="","",$F74*chronic_consumption!Z74/1000/$C$3)</f>
        <v>#DIV/0!</v>
      </c>
      <c r="AF74" s="974" t="e">
        <f>IF($F74="","",$F74*chronic_consumption!AA74/1000/$C$3)</f>
        <v>#DIV/0!</v>
      </c>
      <c r="AG74" s="974" t="e">
        <f>IF($F74="","",$F74*chronic_consumption!AB74/1000/$C$3)</f>
        <v>#DIV/0!</v>
      </c>
      <c r="AH74" s="974" t="e">
        <f>IF($F74="","",$F74*chronic_consumption!AC74/1000/$C$3)</f>
        <v>#DIV/0!</v>
      </c>
      <c r="AI74" s="974" t="e">
        <f>IF($F74="","",$F74*chronic_consumption!AD74/1000/$C$3)</f>
        <v>#DIV/0!</v>
      </c>
      <c r="AJ74" s="974" t="e">
        <f>IF($F74="","",$F74*chronic_consumption!AE74/1000/$C$3)</f>
        <v>#DIV/0!</v>
      </c>
      <c r="AK74" s="974" t="e">
        <f>IF($F74="","",$F74*chronic_consumption!AF74/1000/$C$3)</f>
        <v>#DIV/0!</v>
      </c>
      <c r="AL74" s="974" t="e">
        <f>IF($F74="","",$F74*chronic_consumption!AG74/1000/$C$3)</f>
        <v>#DIV/0!</v>
      </c>
      <c r="AM74" s="974" t="e">
        <f>IF($F74="","",$F74*chronic_consumption!AH74/1000/$C$3)</f>
        <v>#DIV/0!</v>
      </c>
      <c r="AN74" s="974" t="e">
        <f>IF($F74="","",$F74*chronic_consumption!AI74/1000/$C$3)</f>
        <v>#DIV/0!</v>
      </c>
      <c r="AO74" s="974" t="e">
        <f>IF($F74="","",$F74*chronic_consumption!AJ74/1000/$C$3)</f>
        <v>#DIV/0!</v>
      </c>
      <c r="AP74" s="974" t="e">
        <f>IF($F74="","",$F74*chronic_consumption!AK74/1000/$C$3)</f>
        <v>#DIV/0!</v>
      </c>
      <c r="AQ74" s="974" t="e">
        <f>IF($F74="","",$F74*chronic_consumption!AL74/1000/$C$3)</f>
        <v>#DIV/0!</v>
      </c>
      <c r="AR74" s="974" t="e">
        <f>IF($F74="","",$F74*chronic_consumption!AM74/1000/$C$3)</f>
        <v>#DIV/0!</v>
      </c>
      <c r="AS74" s="974" t="e">
        <f>IF($F74="","",$F74*chronic_consumption!AN74/1000/$C$3)</f>
        <v>#DIV/0!</v>
      </c>
      <c r="AT74" s="974" t="e">
        <f>IF($F74="","",$F74*chronic_consumption!AO74/1000/$C$3)</f>
        <v>#DIV/0!</v>
      </c>
      <c r="AU74" s="974"/>
      <c r="AV74" s="974" t="e">
        <f>IF($F74="","",$F74*chronic_consumption!AQ74/1000/$C$3)</f>
        <v>#DIV/0!</v>
      </c>
      <c r="AW74" s="974" t="e">
        <f>IF($F74="","",$F74*chronic_consumption!AR74/1000/$C$3)</f>
        <v>#DIV/0!</v>
      </c>
      <c r="AX74" s="974" t="e">
        <f>IF($F74="","",$F74*chronic_consumption!AS74/1000/$C$3)</f>
        <v>#DIV/0!</v>
      </c>
      <c r="AY74" s="974" t="e">
        <f>IF($F74="","",$F74*chronic_consumption!AT74/1000/$C$3)</f>
        <v>#DIV/0!</v>
      </c>
      <c r="AZ74" s="973" t="s">
        <v>19</v>
      </c>
      <c r="BA74" s="969" t="e">
        <f t="shared" si="7"/>
        <v>#DIV/0!</v>
      </c>
      <c r="BB74" s="970" t="e">
        <f t="shared" si="8"/>
        <v>#DIV/0!</v>
      </c>
      <c r="BC74" s="971" t="e">
        <f t="shared" ca="1" si="9"/>
        <v>#DIV/0!</v>
      </c>
      <c r="BD74" s="228">
        <f>input_values!Z74</f>
        <v>4</v>
      </c>
      <c r="BE74" s="152">
        <f>input_values!L74</f>
        <v>0</v>
      </c>
      <c r="BF74" s="972" t="str">
        <f t="shared" si="10"/>
        <v/>
      </c>
    </row>
    <row r="75" spans="1:58" ht="12" customHeight="1" outlineLevel="3" x14ac:dyDescent="0.2">
      <c r="A75" s="21">
        <v>4</v>
      </c>
      <c r="B75" s="23">
        <v>161990</v>
      </c>
      <c r="C75" s="23" t="s">
        <v>53</v>
      </c>
      <c r="D75" s="965">
        <f>Table22[[#This Row],[MRL individual commodity]]</f>
        <v>0</v>
      </c>
      <c r="E75" s="300" t="str">
        <f>Table22[[#This Row],[LOQ_label]]</f>
        <v/>
      </c>
      <c r="F75" s="966">
        <f>Table22[[#This Row],[Chronic RA input value]]</f>
        <v>0</v>
      </c>
      <c r="G75" s="304" t="str">
        <f>Table22[[#This Row],[Chronic RA label]]</f>
        <v/>
      </c>
      <c r="H75" s="304">
        <f>Table22[[#This Row],[GAP under assessment]]</f>
        <v>0</v>
      </c>
      <c r="I75" s="1123"/>
      <c r="J75" s="974" t="e">
        <f>IF($F75="","",$F75*chronic_consumption!$E75/1000/$C$3)</f>
        <v>#DIV/0!</v>
      </c>
      <c r="K75" s="974" t="e">
        <f>IF($F75="","",$F75*chronic_consumption!F75/1000/$C$3)</f>
        <v>#DIV/0!</v>
      </c>
      <c r="L75" s="974" t="e">
        <f>IF($F75="","",$F75*chronic_consumption!G75/1000/$C$3)</f>
        <v>#DIV/0!</v>
      </c>
      <c r="M75" s="974" t="e">
        <f>IF($F75="","",$F75*chronic_consumption!H75/1000/$C$3)</f>
        <v>#DIV/0!</v>
      </c>
      <c r="N75" s="974" t="e">
        <f>IF($F75="","",$F75*chronic_consumption!I75/1000/$C$3)</f>
        <v>#DIV/0!</v>
      </c>
      <c r="O75" s="974" t="e">
        <f>IF($F75="","",$F75*chronic_consumption!J75/1000/$C$3)</f>
        <v>#DIV/0!</v>
      </c>
      <c r="P75" s="974" t="e">
        <f>IF($F75="","",$F75*chronic_consumption!K75/1000/$C$3)</f>
        <v>#DIV/0!</v>
      </c>
      <c r="Q75" s="974" t="e">
        <f>IF($F75="","",$F75*chronic_consumption!L75/1000/$C$3)</f>
        <v>#DIV/0!</v>
      </c>
      <c r="R75" s="974" t="e">
        <f>IF($F75="","",$F75*chronic_consumption!M75/1000/$C$3)</f>
        <v>#DIV/0!</v>
      </c>
      <c r="S75" s="974" t="e">
        <f>IF($F75="","",$F75*chronic_consumption!N75/1000/$C$3)</f>
        <v>#DIV/0!</v>
      </c>
      <c r="T75" s="974" t="e">
        <f>IF($F75="","",$F75*chronic_consumption!O75/1000/$C$3)</f>
        <v>#DIV/0!</v>
      </c>
      <c r="U75" s="974" t="e">
        <f>IF($F75="","",$F75*chronic_consumption!P75/1000/$C$3)</f>
        <v>#DIV/0!</v>
      </c>
      <c r="V75" s="974" t="e">
        <f>IF($F75="","",$F75*chronic_consumption!Q75/1000/$C$3)</f>
        <v>#DIV/0!</v>
      </c>
      <c r="W75" s="974" t="e">
        <f>IF($F75="","",$F75*chronic_consumption!R75/1000/$C$3)</f>
        <v>#DIV/0!</v>
      </c>
      <c r="X75" s="974" t="e">
        <f>IF($F75="","",$F75*chronic_consumption!S75/1000/$C$3)</f>
        <v>#DIV/0!</v>
      </c>
      <c r="Y75" s="974" t="e">
        <f>IF($F75="","",$F75*chronic_consumption!T75/1000/$C$3)</f>
        <v>#DIV/0!</v>
      </c>
      <c r="Z75" s="974" t="e">
        <f>IF($F75="","",$F75*chronic_consumption!U75/1000/$C$3)</f>
        <v>#DIV/0!</v>
      </c>
      <c r="AA75" s="974" t="e">
        <f>IF($F75="","",$F75*chronic_consumption!V75/1000/$C$3)</f>
        <v>#DIV/0!</v>
      </c>
      <c r="AB75" s="974" t="e">
        <f>IF($F75="","",$F75*chronic_consumption!W75/1000/$C$3)</f>
        <v>#DIV/0!</v>
      </c>
      <c r="AC75" s="974" t="e">
        <f>IF($F75="","",$F75*chronic_consumption!X75/1000/$C$3)</f>
        <v>#DIV/0!</v>
      </c>
      <c r="AD75" s="974" t="e">
        <f>IF($F75="","",$F75*chronic_consumption!Y75/1000/$C$3)</f>
        <v>#DIV/0!</v>
      </c>
      <c r="AE75" s="974" t="e">
        <f>IF($F75="","",$F75*chronic_consumption!Z75/1000/$C$3)</f>
        <v>#DIV/0!</v>
      </c>
      <c r="AF75" s="974" t="e">
        <f>IF($F75="","",$F75*chronic_consumption!AA75/1000/$C$3)</f>
        <v>#DIV/0!</v>
      </c>
      <c r="AG75" s="974" t="e">
        <f>IF($F75="","",$F75*chronic_consumption!AB75/1000/$C$3)</f>
        <v>#DIV/0!</v>
      </c>
      <c r="AH75" s="974" t="e">
        <f>IF($F75="","",$F75*chronic_consumption!AC75/1000/$C$3)</f>
        <v>#DIV/0!</v>
      </c>
      <c r="AI75" s="974" t="e">
        <f>IF($F75="","",$F75*chronic_consumption!AD75/1000/$C$3)</f>
        <v>#DIV/0!</v>
      </c>
      <c r="AJ75" s="974" t="e">
        <f>IF($F75="","",$F75*chronic_consumption!AE75/1000/$C$3)</f>
        <v>#DIV/0!</v>
      </c>
      <c r="AK75" s="974" t="e">
        <f>IF($F75="","",$F75*chronic_consumption!AF75/1000/$C$3)</f>
        <v>#DIV/0!</v>
      </c>
      <c r="AL75" s="974" t="e">
        <f>IF($F75="","",$F75*chronic_consumption!AG75/1000/$C$3)</f>
        <v>#DIV/0!</v>
      </c>
      <c r="AM75" s="974" t="e">
        <f>IF($F75="","",$F75*chronic_consumption!AH75/1000/$C$3)</f>
        <v>#DIV/0!</v>
      </c>
      <c r="AN75" s="974" t="e">
        <f>IF($F75="","",$F75*chronic_consumption!AI75/1000/$C$3)</f>
        <v>#DIV/0!</v>
      </c>
      <c r="AO75" s="974" t="e">
        <f>IF($F75="","",$F75*chronic_consumption!AJ75/1000/$C$3)</f>
        <v>#DIV/0!</v>
      </c>
      <c r="AP75" s="974" t="e">
        <f>IF($F75="","",$F75*chronic_consumption!AK75/1000/$C$3)</f>
        <v>#DIV/0!</v>
      </c>
      <c r="AQ75" s="974" t="e">
        <f>IF($F75="","",$F75*chronic_consumption!AL75/1000/$C$3)</f>
        <v>#DIV/0!</v>
      </c>
      <c r="AR75" s="974" t="e">
        <f>IF($F75="","",$F75*chronic_consumption!AM75/1000/$C$3)</f>
        <v>#DIV/0!</v>
      </c>
      <c r="AS75" s="974" t="e">
        <f>IF($F75="","",$F75*chronic_consumption!AN75/1000/$C$3)</f>
        <v>#DIV/0!</v>
      </c>
      <c r="AT75" s="974" t="e">
        <f>IF($F75="","",$F75*chronic_consumption!AO75/1000/$C$3)</f>
        <v>#DIV/0!</v>
      </c>
      <c r="AU75" s="974"/>
      <c r="AV75" s="974" t="e">
        <f>IF($F75="","",$F75*chronic_consumption!AQ75/1000/$C$3)</f>
        <v>#DIV/0!</v>
      </c>
      <c r="AW75" s="974" t="e">
        <f>IF($F75="","",$F75*chronic_consumption!AR75/1000/$C$3)</f>
        <v>#DIV/0!</v>
      </c>
      <c r="AX75" s="974" t="e">
        <f>IF($F75="","",$F75*chronic_consumption!AS75/1000/$C$3)</f>
        <v>#DIV/0!</v>
      </c>
      <c r="AY75" s="974" t="e">
        <f>IF($F75="","",$F75*chronic_consumption!AT75/1000/$C$3)</f>
        <v>#DIV/0!</v>
      </c>
      <c r="AZ75" s="973" t="s">
        <v>19</v>
      </c>
      <c r="BA75" s="969" t="e">
        <f t="shared" si="7"/>
        <v>#DIV/0!</v>
      </c>
      <c r="BB75" s="970" t="e">
        <f t="shared" si="8"/>
        <v>#DIV/0!</v>
      </c>
      <c r="BC75" s="971" t="e">
        <f t="shared" ca="1" si="9"/>
        <v>#DIV/0!</v>
      </c>
      <c r="BD75" s="228">
        <f>input_values!Z75</f>
        <v>4</v>
      </c>
      <c r="BE75" s="152">
        <f>input_values!L75</f>
        <v>0</v>
      </c>
      <c r="BF75" s="972" t="str">
        <f t="shared" si="10"/>
        <v/>
      </c>
    </row>
    <row r="76" spans="1:58" ht="12" customHeight="1" outlineLevel="2" x14ac:dyDescent="0.2">
      <c r="A76" s="341">
        <v>3</v>
      </c>
      <c r="B76" s="3">
        <v>162000</v>
      </c>
      <c r="C76" s="3" t="s">
        <v>135</v>
      </c>
      <c r="D76" s="965">
        <f>Table22[[#This Row],[MRL individual commodity]]</f>
        <v>0</v>
      </c>
      <c r="E76" s="300">
        <f>Table22[[#This Row],[LOQ_label]]</f>
        <v>0</v>
      </c>
      <c r="F76" s="966">
        <f>Table22[[#This Row],[Chronic RA input value]]</f>
        <v>0</v>
      </c>
      <c r="G76" s="304">
        <f>Table22[[#This Row],[Chronic RA label]]</f>
        <v>0</v>
      </c>
      <c r="H76" s="304">
        <f>Table22[[#This Row],[GAP under assessment]]</f>
        <v>0</v>
      </c>
      <c r="I76" s="1123"/>
      <c r="J76" s="967" t="e">
        <f>IF($F76="","",$F76*chronic_consumption!$E76/1000/$C$3)</f>
        <v>#DIV/0!</v>
      </c>
      <c r="K76" s="967" t="e">
        <f>IF($F76="","",$F76*chronic_consumption!F76/1000/$C$3)</f>
        <v>#DIV/0!</v>
      </c>
      <c r="L76" s="967" t="e">
        <f>IF($F76="","",$F76*chronic_consumption!G76/1000/$C$3)</f>
        <v>#DIV/0!</v>
      </c>
      <c r="M76" s="967" t="e">
        <f>IF($F76="","",$F76*chronic_consumption!H76/1000/$C$3)</f>
        <v>#DIV/0!</v>
      </c>
      <c r="N76" s="967" t="e">
        <f>IF($F76="","",$F76*chronic_consumption!I76/1000/$C$3)</f>
        <v>#DIV/0!</v>
      </c>
      <c r="O76" s="967" t="e">
        <f>IF($F76="","",$F76*chronic_consumption!J76/1000/$C$3)</f>
        <v>#DIV/0!</v>
      </c>
      <c r="P76" s="967" t="e">
        <f>IF($F76="","",$F76*chronic_consumption!K76/1000/$C$3)</f>
        <v>#DIV/0!</v>
      </c>
      <c r="Q76" s="967" t="e">
        <f>IF($F76="","",$F76*chronic_consumption!L76/1000/$C$3)</f>
        <v>#DIV/0!</v>
      </c>
      <c r="R76" s="967" t="e">
        <f>IF($F76="","",$F76*chronic_consumption!M76/1000/$C$3)</f>
        <v>#DIV/0!</v>
      </c>
      <c r="S76" s="967" t="e">
        <f>IF($F76="","",$F76*chronic_consumption!N76/1000/$C$3)</f>
        <v>#DIV/0!</v>
      </c>
      <c r="T76" s="967" t="e">
        <f>IF($F76="","",$F76*chronic_consumption!O76/1000/$C$3)</f>
        <v>#DIV/0!</v>
      </c>
      <c r="U76" s="967" t="e">
        <f>IF($F76="","",$F76*chronic_consumption!P76/1000/$C$3)</f>
        <v>#DIV/0!</v>
      </c>
      <c r="V76" s="967" t="e">
        <f>IF($F76="","",$F76*chronic_consumption!Q76/1000/$C$3)</f>
        <v>#DIV/0!</v>
      </c>
      <c r="W76" s="967" t="e">
        <f>IF($F76="","",$F76*chronic_consumption!R76/1000/$C$3)</f>
        <v>#DIV/0!</v>
      </c>
      <c r="X76" s="967" t="e">
        <f>IF($F76="","",$F76*chronic_consumption!S76/1000/$C$3)</f>
        <v>#DIV/0!</v>
      </c>
      <c r="Y76" s="967" t="e">
        <f>IF($F76="","",$F76*chronic_consumption!T76/1000/$C$3)</f>
        <v>#DIV/0!</v>
      </c>
      <c r="Z76" s="967" t="e">
        <f>IF($F76="","",$F76*chronic_consumption!U76/1000/$C$3)</f>
        <v>#DIV/0!</v>
      </c>
      <c r="AA76" s="967" t="e">
        <f>IF($F76="","",$F76*chronic_consumption!V76/1000/$C$3)</f>
        <v>#DIV/0!</v>
      </c>
      <c r="AB76" s="967" t="e">
        <f>IF($F76="","",$F76*chronic_consumption!W76/1000/$C$3)</f>
        <v>#DIV/0!</v>
      </c>
      <c r="AC76" s="967" t="e">
        <f>IF($F76="","",$F76*chronic_consumption!X76/1000/$C$3)</f>
        <v>#DIV/0!</v>
      </c>
      <c r="AD76" s="967" t="e">
        <f>IF($F76="","",$F76*chronic_consumption!Y76/1000/$C$3)</f>
        <v>#DIV/0!</v>
      </c>
      <c r="AE76" s="967" t="e">
        <f>IF($F76="","",$F76*chronic_consumption!Z76/1000/$C$3)</f>
        <v>#DIV/0!</v>
      </c>
      <c r="AF76" s="967" t="e">
        <f>IF($F76="","",$F76*chronic_consumption!AA76/1000/$C$3)</f>
        <v>#DIV/0!</v>
      </c>
      <c r="AG76" s="967" t="e">
        <f>IF($F76="","",$F76*chronic_consumption!AB76/1000/$C$3)</f>
        <v>#DIV/0!</v>
      </c>
      <c r="AH76" s="967" t="e">
        <f>IF($F76="","",$F76*chronic_consumption!AC76/1000/$C$3)</f>
        <v>#DIV/0!</v>
      </c>
      <c r="AI76" s="967" t="e">
        <f>IF($F76="","",$F76*chronic_consumption!AD76/1000/$C$3)</f>
        <v>#DIV/0!</v>
      </c>
      <c r="AJ76" s="967" t="e">
        <f>IF($F76="","",$F76*chronic_consumption!AE76/1000/$C$3)</f>
        <v>#DIV/0!</v>
      </c>
      <c r="AK76" s="967" t="e">
        <f>IF($F76="","",$F76*chronic_consumption!AF76/1000/$C$3)</f>
        <v>#DIV/0!</v>
      </c>
      <c r="AL76" s="967" t="e">
        <f>IF($F76="","",$F76*chronic_consumption!AG76/1000/$C$3)</f>
        <v>#DIV/0!</v>
      </c>
      <c r="AM76" s="967" t="e">
        <f>IF($F76="","",$F76*chronic_consumption!AH76/1000/$C$3)</f>
        <v>#DIV/0!</v>
      </c>
      <c r="AN76" s="967" t="e">
        <f>IF($F76="","",$F76*chronic_consumption!AI76/1000/$C$3)</f>
        <v>#DIV/0!</v>
      </c>
      <c r="AO76" s="967" t="e">
        <f>IF($F76="","",$F76*chronic_consumption!AJ76/1000/$C$3)</f>
        <v>#DIV/0!</v>
      </c>
      <c r="AP76" s="967" t="e">
        <f>IF($F76="","",$F76*chronic_consumption!AK76/1000/$C$3)</f>
        <v>#DIV/0!</v>
      </c>
      <c r="AQ76" s="967" t="e">
        <f>IF($F76="","",$F76*chronic_consumption!AL76/1000/$C$3)</f>
        <v>#DIV/0!</v>
      </c>
      <c r="AR76" s="967" t="e">
        <f>IF($F76="","",$F76*chronic_consumption!AM76/1000/$C$3)</f>
        <v>#DIV/0!</v>
      </c>
      <c r="AS76" s="967" t="e">
        <f>IF($F76="","",$F76*chronic_consumption!AN76/1000/$C$3)</f>
        <v>#DIV/0!</v>
      </c>
      <c r="AT76" s="967" t="e">
        <f>IF($F76="","",$F76*chronic_consumption!AO76/1000/$C$3)</f>
        <v>#DIV/0!</v>
      </c>
      <c r="AU76" s="967"/>
      <c r="AV76" s="967" t="e">
        <f>IF($F76="","",$F76*chronic_consumption!AQ76/1000/$C$3)</f>
        <v>#DIV/0!</v>
      </c>
      <c r="AW76" s="967" t="e">
        <f>IF($F76="","",$F76*chronic_consumption!AR76/1000/$C$3)</f>
        <v>#DIV/0!</v>
      </c>
      <c r="AX76" s="967" t="e">
        <f>IF($F76="","",$F76*chronic_consumption!AS76/1000/$C$3)</f>
        <v>#DIV/0!</v>
      </c>
      <c r="AY76" s="967" t="e">
        <f>IF($F76="","",$F76*chronic_consumption!AT76/1000/$C$3)</f>
        <v>#DIV/0!</v>
      </c>
      <c r="AZ76" s="973"/>
      <c r="BA76" s="969" t="e">
        <f t="shared" si="7"/>
        <v>#DIV/0!</v>
      </c>
      <c r="BB76" s="970" t="e">
        <f t="shared" si="8"/>
        <v>#DIV/0!</v>
      </c>
      <c r="BC76" s="971" t="e">
        <f t="shared" ca="1" si="9"/>
        <v>#DIV/0!</v>
      </c>
      <c r="BD76" s="228">
        <f>input_values!Z76</f>
        <v>4</v>
      </c>
      <c r="BE76" s="152">
        <f>input_values!L76</f>
        <v>0</v>
      </c>
      <c r="BF76" s="972" t="str">
        <f t="shared" si="10"/>
        <v/>
      </c>
    </row>
    <row r="77" spans="1:58" ht="12" customHeight="1" outlineLevel="3" x14ac:dyDescent="0.2">
      <c r="A77" s="21">
        <v>4</v>
      </c>
      <c r="B77" s="23">
        <v>162010</v>
      </c>
      <c r="C77" s="23" t="s">
        <v>692</v>
      </c>
      <c r="D77" s="965">
        <f>Table22[[#This Row],[MRL individual commodity]]</f>
        <v>0</v>
      </c>
      <c r="E77" s="300" t="str">
        <f>Table22[[#This Row],[LOQ_label]]</f>
        <v/>
      </c>
      <c r="F77" s="966">
        <f>Table22[[#This Row],[Chronic RA input value]]</f>
        <v>0</v>
      </c>
      <c r="G77" s="304" t="str">
        <f>Table22[[#This Row],[Chronic RA label]]</f>
        <v/>
      </c>
      <c r="H77" s="304">
        <f>Table22[[#This Row],[GAP under assessment]]</f>
        <v>0</v>
      </c>
      <c r="I77" s="1123"/>
      <c r="J77" s="974" t="e">
        <f>IF($F77="","",$F77*chronic_consumption!$E77/1000/$C$3)</f>
        <v>#DIV/0!</v>
      </c>
      <c r="K77" s="974" t="e">
        <f>IF($F77="","",$F77*chronic_consumption!F77/1000/$C$3)</f>
        <v>#DIV/0!</v>
      </c>
      <c r="L77" s="974" t="e">
        <f>IF($F77="","",$F77*chronic_consumption!G77/1000/$C$3)</f>
        <v>#DIV/0!</v>
      </c>
      <c r="M77" s="974" t="e">
        <f>IF($F77="","",$F77*chronic_consumption!H77/1000/$C$3)</f>
        <v>#DIV/0!</v>
      </c>
      <c r="N77" s="974" t="e">
        <f>IF($F77="","",$F77*chronic_consumption!I77/1000/$C$3)</f>
        <v>#DIV/0!</v>
      </c>
      <c r="O77" s="974" t="e">
        <f>IF($F77="","",$F77*chronic_consumption!J77/1000/$C$3)</f>
        <v>#DIV/0!</v>
      </c>
      <c r="P77" s="974" t="e">
        <f>IF($F77="","",$F77*chronic_consumption!K77/1000/$C$3)</f>
        <v>#DIV/0!</v>
      </c>
      <c r="Q77" s="974" t="e">
        <f>IF($F77="","",$F77*chronic_consumption!L77/1000/$C$3)</f>
        <v>#DIV/0!</v>
      </c>
      <c r="R77" s="974" t="e">
        <f>IF($F77="","",$F77*chronic_consumption!M77/1000/$C$3)</f>
        <v>#DIV/0!</v>
      </c>
      <c r="S77" s="974" t="e">
        <f>IF($F77="","",$F77*chronic_consumption!N77/1000/$C$3)</f>
        <v>#DIV/0!</v>
      </c>
      <c r="T77" s="974" t="e">
        <f>IF($F77="","",$F77*chronic_consumption!O77/1000/$C$3)</f>
        <v>#DIV/0!</v>
      </c>
      <c r="U77" s="974" t="e">
        <f>IF($F77="","",$F77*chronic_consumption!P77/1000/$C$3)</f>
        <v>#DIV/0!</v>
      </c>
      <c r="V77" s="974" t="e">
        <f>IF($F77="","",$F77*chronic_consumption!Q77/1000/$C$3)</f>
        <v>#DIV/0!</v>
      </c>
      <c r="W77" s="974" t="e">
        <f>IF($F77="","",$F77*chronic_consumption!R77/1000/$C$3)</f>
        <v>#DIV/0!</v>
      </c>
      <c r="X77" s="974" t="e">
        <f>IF($F77="","",$F77*chronic_consumption!S77/1000/$C$3)</f>
        <v>#DIV/0!</v>
      </c>
      <c r="Y77" s="974" t="e">
        <f>IF($F77="","",$F77*chronic_consumption!T77/1000/$C$3)</f>
        <v>#DIV/0!</v>
      </c>
      <c r="Z77" s="974" t="e">
        <f>IF($F77="","",$F77*chronic_consumption!U77/1000/$C$3)</f>
        <v>#DIV/0!</v>
      </c>
      <c r="AA77" s="974" t="e">
        <f>IF($F77="","",$F77*chronic_consumption!V77/1000/$C$3)</f>
        <v>#DIV/0!</v>
      </c>
      <c r="AB77" s="974" t="e">
        <f>IF($F77="","",$F77*chronic_consumption!W77/1000/$C$3)</f>
        <v>#DIV/0!</v>
      </c>
      <c r="AC77" s="974" t="e">
        <f>IF($F77="","",$F77*chronic_consumption!X77/1000/$C$3)</f>
        <v>#DIV/0!</v>
      </c>
      <c r="AD77" s="974" t="e">
        <f>IF($F77="","",$F77*chronic_consumption!Y77/1000/$C$3)</f>
        <v>#DIV/0!</v>
      </c>
      <c r="AE77" s="974" t="e">
        <f>IF($F77="","",$F77*chronic_consumption!Z77/1000/$C$3)</f>
        <v>#DIV/0!</v>
      </c>
      <c r="AF77" s="974" t="e">
        <f>IF($F77="","",$F77*chronic_consumption!AA77/1000/$C$3)</f>
        <v>#DIV/0!</v>
      </c>
      <c r="AG77" s="974" t="e">
        <f>IF($F77="","",$F77*chronic_consumption!AB77/1000/$C$3)</f>
        <v>#DIV/0!</v>
      </c>
      <c r="AH77" s="974" t="e">
        <f>IF($F77="","",$F77*chronic_consumption!AC77/1000/$C$3)</f>
        <v>#DIV/0!</v>
      </c>
      <c r="AI77" s="974" t="e">
        <f>IF($F77="","",$F77*chronic_consumption!AD77/1000/$C$3)</f>
        <v>#DIV/0!</v>
      </c>
      <c r="AJ77" s="974" t="e">
        <f>IF($F77="","",$F77*chronic_consumption!AE77/1000/$C$3)</f>
        <v>#DIV/0!</v>
      </c>
      <c r="AK77" s="974" t="e">
        <f>IF($F77="","",$F77*chronic_consumption!AF77/1000/$C$3)</f>
        <v>#DIV/0!</v>
      </c>
      <c r="AL77" s="974" t="e">
        <f>IF($F77="","",$F77*chronic_consumption!AG77/1000/$C$3)</f>
        <v>#DIV/0!</v>
      </c>
      <c r="AM77" s="974" t="e">
        <f>IF($F77="","",$F77*chronic_consumption!AH77/1000/$C$3)</f>
        <v>#DIV/0!</v>
      </c>
      <c r="AN77" s="974" t="e">
        <f>IF($F77="","",$F77*chronic_consumption!AI77/1000/$C$3)</f>
        <v>#DIV/0!</v>
      </c>
      <c r="AO77" s="974" t="e">
        <f>IF($F77="","",$F77*chronic_consumption!AJ77/1000/$C$3)</f>
        <v>#DIV/0!</v>
      </c>
      <c r="AP77" s="974" t="e">
        <f>IF($F77="","",$F77*chronic_consumption!AK77/1000/$C$3)</f>
        <v>#DIV/0!</v>
      </c>
      <c r="AQ77" s="974" t="e">
        <f>IF($F77="","",$F77*chronic_consumption!AL77/1000/$C$3)</f>
        <v>#DIV/0!</v>
      </c>
      <c r="AR77" s="974" t="e">
        <f>IF($F77="","",$F77*chronic_consumption!AM77/1000/$C$3)</f>
        <v>#DIV/0!</v>
      </c>
      <c r="AS77" s="974" t="e">
        <f>IF($F77="","",$F77*chronic_consumption!AN77/1000/$C$3)</f>
        <v>#DIV/0!</v>
      </c>
      <c r="AT77" s="974" t="e">
        <f>IF($F77="","",$F77*chronic_consumption!AO77/1000/$C$3)</f>
        <v>#DIV/0!</v>
      </c>
      <c r="AU77" s="974"/>
      <c r="AV77" s="974" t="e">
        <f>IF($F77="","",$F77*chronic_consumption!AQ77/1000/$C$3)</f>
        <v>#DIV/0!</v>
      </c>
      <c r="AW77" s="974" t="e">
        <f>IF($F77="","",$F77*chronic_consumption!AR77/1000/$C$3)</f>
        <v>#DIV/0!</v>
      </c>
      <c r="AX77" s="974" t="e">
        <f>IF($F77="","",$F77*chronic_consumption!AS77/1000/$C$3)</f>
        <v>#DIV/0!</v>
      </c>
      <c r="AY77" s="974" t="e">
        <f>IF($F77="","",$F77*chronic_consumption!AT77/1000/$C$3)</f>
        <v>#DIV/0!</v>
      </c>
      <c r="AZ77" s="973" t="s">
        <v>19</v>
      </c>
      <c r="BA77" s="969" t="e">
        <f t="shared" ref="BA77:BA140" si="11">MIN(J77:AY77)</f>
        <v>#DIV/0!</v>
      </c>
      <c r="BB77" s="970" t="e">
        <f t="shared" ref="BB77:BB140" si="12">MAX(J77:AY77)</f>
        <v>#DIV/0!</v>
      </c>
      <c r="BC77" s="971" t="e">
        <f t="shared" ref="BC77:BC140" ca="1" si="13">IF(BB77&gt;0,OFFSET($I$10,1,MATCH(BB77,J77:AY77,0)),"")</f>
        <v>#DIV/0!</v>
      </c>
      <c r="BD77" s="228">
        <f>input_values!Z77</f>
        <v>4</v>
      </c>
      <c r="BE77" s="152">
        <f>input_values!L77</f>
        <v>0</v>
      </c>
      <c r="BF77" s="972" t="str">
        <f t="shared" ref="BF77:BF140" si="14">IF(BE77="Y",BB77,"")</f>
        <v/>
      </c>
    </row>
    <row r="78" spans="1:58" ht="12" customHeight="1" outlineLevel="3" x14ac:dyDescent="0.2">
      <c r="A78" s="21">
        <v>4</v>
      </c>
      <c r="B78" s="23">
        <v>162020</v>
      </c>
      <c r="C78" s="23" t="s">
        <v>693</v>
      </c>
      <c r="D78" s="965">
        <f>Table22[[#This Row],[MRL individual commodity]]</f>
        <v>0</v>
      </c>
      <c r="E78" s="300" t="str">
        <f>Table22[[#This Row],[LOQ_label]]</f>
        <v/>
      </c>
      <c r="F78" s="966">
        <f>Table22[[#This Row],[Chronic RA input value]]</f>
        <v>0</v>
      </c>
      <c r="G78" s="304" t="str">
        <f>Table22[[#This Row],[Chronic RA label]]</f>
        <v/>
      </c>
      <c r="H78" s="304">
        <f>Table22[[#This Row],[GAP under assessment]]</f>
        <v>0</v>
      </c>
      <c r="I78" s="1123"/>
      <c r="J78" s="974" t="e">
        <f>IF($F78="","",$F78*chronic_consumption!$E78/1000/$C$3)</f>
        <v>#DIV/0!</v>
      </c>
      <c r="K78" s="974" t="e">
        <f>IF($F78="","",$F78*chronic_consumption!F78/1000/$C$3)</f>
        <v>#DIV/0!</v>
      </c>
      <c r="L78" s="974" t="e">
        <f>IF($F78="","",$F78*chronic_consumption!G78/1000/$C$3)</f>
        <v>#DIV/0!</v>
      </c>
      <c r="M78" s="974" t="e">
        <f>IF($F78="","",$F78*chronic_consumption!H78/1000/$C$3)</f>
        <v>#DIV/0!</v>
      </c>
      <c r="N78" s="974" t="e">
        <f>IF($F78="","",$F78*chronic_consumption!I78/1000/$C$3)</f>
        <v>#DIV/0!</v>
      </c>
      <c r="O78" s="974" t="e">
        <f>IF($F78="","",$F78*chronic_consumption!J78/1000/$C$3)</f>
        <v>#DIV/0!</v>
      </c>
      <c r="P78" s="974" t="e">
        <f>IF($F78="","",$F78*chronic_consumption!K78/1000/$C$3)</f>
        <v>#DIV/0!</v>
      </c>
      <c r="Q78" s="974" t="e">
        <f>IF($F78="","",$F78*chronic_consumption!L78/1000/$C$3)</f>
        <v>#DIV/0!</v>
      </c>
      <c r="R78" s="974" t="e">
        <f>IF($F78="","",$F78*chronic_consumption!M78/1000/$C$3)</f>
        <v>#DIV/0!</v>
      </c>
      <c r="S78" s="974" t="e">
        <f>IF($F78="","",$F78*chronic_consumption!N78/1000/$C$3)</f>
        <v>#DIV/0!</v>
      </c>
      <c r="T78" s="974" t="e">
        <f>IF($F78="","",$F78*chronic_consumption!O78/1000/$C$3)</f>
        <v>#DIV/0!</v>
      </c>
      <c r="U78" s="974" t="e">
        <f>IF($F78="","",$F78*chronic_consumption!P78/1000/$C$3)</f>
        <v>#DIV/0!</v>
      </c>
      <c r="V78" s="974" t="e">
        <f>IF($F78="","",$F78*chronic_consumption!Q78/1000/$C$3)</f>
        <v>#DIV/0!</v>
      </c>
      <c r="W78" s="974" t="e">
        <f>IF($F78="","",$F78*chronic_consumption!R78/1000/$C$3)</f>
        <v>#DIV/0!</v>
      </c>
      <c r="X78" s="974" t="e">
        <f>IF($F78="","",$F78*chronic_consumption!S78/1000/$C$3)</f>
        <v>#DIV/0!</v>
      </c>
      <c r="Y78" s="974" t="e">
        <f>IF($F78="","",$F78*chronic_consumption!T78/1000/$C$3)</f>
        <v>#DIV/0!</v>
      </c>
      <c r="Z78" s="974" t="e">
        <f>IF($F78="","",$F78*chronic_consumption!U78/1000/$C$3)</f>
        <v>#DIV/0!</v>
      </c>
      <c r="AA78" s="974" t="e">
        <f>IF($F78="","",$F78*chronic_consumption!V78/1000/$C$3)</f>
        <v>#DIV/0!</v>
      </c>
      <c r="AB78" s="974" t="e">
        <f>IF($F78="","",$F78*chronic_consumption!W78/1000/$C$3)</f>
        <v>#DIV/0!</v>
      </c>
      <c r="AC78" s="974" t="e">
        <f>IF($F78="","",$F78*chronic_consumption!X78/1000/$C$3)</f>
        <v>#DIV/0!</v>
      </c>
      <c r="AD78" s="974" t="e">
        <f>IF($F78="","",$F78*chronic_consumption!Y78/1000/$C$3)</f>
        <v>#DIV/0!</v>
      </c>
      <c r="AE78" s="974" t="e">
        <f>IF($F78="","",$F78*chronic_consumption!Z78/1000/$C$3)</f>
        <v>#DIV/0!</v>
      </c>
      <c r="AF78" s="974" t="e">
        <f>IF($F78="","",$F78*chronic_consumption!AA78/1000/$C$3)</f>
        <v>#DIV/0!</v>
      </c>
      <c r="AG78" s="974" t="e">
        <f>IF($F78="","",$F78*chronic_consumption!AB78/1000/$C$3)</f>
        <v>#DIV/0!</v>
      </c>
      <c r="AH78" s="974" t="e">
        <f>IF($F78="","",$F78*chronic_consumption!AC78/1000/$C$3)</f>
        <v>#DIV/0!</v>
      </c>
      <c r="AI78" s="974" t="e">
        <f>IF($F78="","",$F78*chronic_consumption!AD78/1000/$C$3)</f>
        <v>#DIV/0!</v>
      </c>
      <c r="AJ78" s="974" t="e">
        <f>IF($F78="","",$F78*chronic_consumption!AE78/1000/$C$3)</f>
        <v>#DIV/0!</v>
      </c>
      <c r="AK78" s="974" t="e">
        <f>IF($F78="","",$F78*chronic_consumption!AF78/1000/$C$3)</f>
        <v>#DIV/0!</v>
      </c>
      <c r="AL78" s="974" t="e">
        <f>IF($F78="","",$F78*chronic_consumption!AG78/1000/$C$3)</f>
        <v>#DIV/0!</v>
      </c>
      <c r="AM78" s="974" t="e">
        <f>IF($F78="","",$F78*chronic_consumption!AH78/1000/$C$3)</f>
        <v>#DIV/0!</v>
      </c>
      <c r="AN78" s="974" t="e">
        <f>IF($F78="","",$F78*chronic_consumption!AI78/1000/$C$3)</f>
        <v>#DIV/0!</v>
      </c>
      <c r="AO78" s="974" t="e">
        <f>IF($F78="","",$F78*chronic_consumption!AJ78/1000/$C$3)</f>
        <v>#DIV/0!</v>
      </c>
      <c r="AP78" s="974" t="e">
        <f>IF($F78="","",$F78*chronic_consumption!AK78/1000/$C$3)</f>
        <v>#DIV/0!</v>
      </c>
      <c r="AQ78" s="974" t="e">
        <f>IF($F78="","",$F78*chronic_consumption!AL78/1000/$C$3)</f>
        <v>#DIV/0!</v>
      </c>
      <c r="AR78" s="974" t="e">
        <f>IF($F78="","",$F78*chronic_consumption!AM78/1000/$C$3)</f>
        <v>#DIV/0!</v>
      </c>
      <c r="AS78" s="974" t="e">
        <f>IF($F78="","",$F78*chronic_consumption!AN78/1000/$C$3)</f>
        <v>#DIV/0!</v>
      </c>
      <c r="AT78" s="974" t="e">
        <f>IF($F78="","",$F78*chronic_consumption!AO78/1000/$C$3)</f>
        <v>#DIV/0!</v>
      </c>
      <c r="AU78" s="974"/>
      <c r="AV78" s="974" t="e">
        <f>IF($F78="","",$F78*chronic_consumption!AQ78/1000/$C$3)</f>
        <v>#DIV/0!</v>
      </c>
      <c r="AW78" s="974" t="e">
        <f>IF($F78="","",$F78*chronic_consumption!AR78/1000/$C$3)</f>
        <v>#DIV/0!</v>
      </c>
      <c r="AX78" s="974" t="e">
        <f>IF($F78="","",$F78*chronic_consumption!AS78/1000/$C$3)</f>
        <v>#DIV/0!</v>
      </c>
      <c r="AY78" s="974" t="e">
        <f>IF($F78="","",$F78*chronic_consumption!AT78/1000/$C$3)</f>
        <v>#DIV/0!</v>
      </c>
      <c r="AZ78" s="973" t="s">
        <v>19</v>
      </c>
      <c r="BA78" s="969" t="e">
        <f t="shared" si="11"/>
        <v>#DIV/0!</v>
      </c>
      <c r="BB78" s="970" t="e">
        <f t="shared" si="12"/>
        <v>#DIV/0!</v>
      </c>
      <c r="BC78" s="971" t="e">
        <f t="shared" ca="1" si="13"/>
        <v>#DIV/0!</v>
      </c>
      <c r="BD78" s="228">
        <f>input_values!Z78</f>
        <v>4</v>
      </c>
      <c r="BE78" s="152">
        <f>input_values!L78</f>
        <v>0</v>
      </c>
      <c r="BF78" s="972" t="str">
        <f t="shared" si="14"/>
        <v/>
      </c>
    </row>
    <row r="79" spans="1:58" ht="12" customHeight="1" outlineLevel="3" x14ac:dyDescent="0.2">
      <c r="A79" s="21">
        <v>4</v>
      </c>
      <c r="B79" s="23">
        <v>162030</v>
      </c>
      <c r="C79" s="23" t="s">
        <v>694</v>
      </c>
      <c r="D79" s="965">
        <f>Table22[[#This Row],[MRL individual commodity]]</f>
        <v>0</v>
      </c>
      <c r="E79" s="300" t="str">
        <f>Table22[[#This Row],[LOQ_label]]</f>
        <v/>
      </c>
      <c r="F79" s="966">
        <f>Table22[[#This Row],[Chronic RA input value]]</f>
        <v>0</v>
      </c>
      <c r="G79" s="304" t="str">
        <f>Table22[[#This Row],[Chronic RA label]]</f>
        <v/>
      </c>
      <c r="H79" s="304">
        <f>Table22[[#This Row],[GAP under assessment]]</f>
        <v>0</v>
      </c>
      <c r="I79" s="1123"/>
      <c r="J79" s="974" t="e">
        <f>IF($F79="","",$F79*chronic_consumption!$E79/1000/$C$3)</f>
        <v>#DIV/0!</v>
      </c>
      <c r="K79" s="974" t="e">
        <f>IF($F79="","",$F79*chronic_consumption!F79/1000/$C$3)</f>
        <v>#DIV/0!</v>
      </c>
      <c r="L79" s="974" t="e">
        <f>IF($F79="","",$F79*chronic_consumption!G79/1000/$C$3)</f>
        <v>#DIV/0!</v>
      </c>
      <c r="M79" s="974" t="e">
        <f>IF($F79="","",$F79*chronic_consumption!H79/1000/$C$3)</f>
        <v>#DIV/0!</v>
      </c>
      <c r="N79" s="974" t="e">
        <f>IF($F79="","",$F79*chronic_consumption!I79/1000/$C$3)</f>
        <v>#DIV/0!</v>
      </c>
      <c r="O79" s="974" t="e">
        <f>IF($F79="","",$F79*chronic_consumption!J79/1000/$C$3)</f>
        <v>#DIV/0!</v>
      </c>
      <c r="P79" s="974" t="e">
        <f>IF($F79="","",$F79*chronic_consumption!K79/1000/$C$3)</f>
        <v>#DIV/0!</v>
      </c>
      <c r="Q79" s="974" t="e">
        <f>IF($F79="","",$F79*chronic_consumption!L79/1000/$C$3)</f>
        <v>#DIV/0!</v>
      </c>
      <c r="R79" s="974" t="e">
        <f>IF($F79="","",$F79*chronic_consumption!M79/1000/$C$3)</f>
        <v>#DIV/0!</v>
      </c>
      <c r="S79" s="974" t="e">
        <f>IF($F79="","",$F79*chronic_consumption!N79/1000/$C$3)</f>
        <v>#DIV/0!</v>
      </c>
      <c r="T79" s="974" t="e">
        <f>IF($F79="","",$F79*chronic_consumption!O79/1000/$C$3)</f>
        <v>#DIV/0!</v>
      </c>
      <c r="U79" s="974" t="e">
        <f>IF($F79="","",$F79*chronic_consumption!P79/1000/$C$3)</f>
        <v>#DIV/0!</v>
      </c>
      <c r="V79" s="974" t="e">
        <f>IF($F79="","",$F79*chronic_consumption!Q79/1000/$C$3)</f>
        <v>#DIV/0!</v>
      </c>
      <c r="W79" s="974" t="e">
        <f>IF($F79="","",$F79*chronic_consumption!R79/1000/$C$3)</f>
        <v>#DIV/0!</v>
      </c>
      <c r="X79" s="974" t="e">
        <f>IF($F79="","",$F79*chronic_consumption!S79/1000/$C$3)</f>
        <v>#DIV/0!</v>
      </c>
      <c r="Y79" s="974" t="e">
        <f>IF($F79="","",$F79*chronic_consumption!T79/1000/$C$3)</f>
        <v>#DIV/0!</v>
      </c>
      <c r="Z79" s="974" t="e">
        <f>IF($F79="","",$F79*chronic_consumption!U79/1000/$C$3)</f>
        <v>#DIV/0!</v>
      </c>
      <c r="AA79" s="974" t="e">
        <f>IF($F79="","",$F79*chronic_consumption!V79/1000/$C$3)</f>
        <v>#DIV/0!</v>
      </c>
      <c r="AB79" s="974" t="e">
        <f>IF($F79="","",$F79*chronic_consumption!W79/1000/$C$3)</f>
        <v>#DIV/0!</v>
      </c>
      <c r="AC79" s="974" t="e">
        <f>IF($F79="","",$F79*chronic_consumption!X79/1000/$C$3)</f>
        <v>#DIV/0!</v>
      </c>
      <c r="AD79" s="974" t="e">
        <f>IF($F79="","",$F79*chronic_consumption!Y79/1000/$C$3)</f>
        <v>#DIV/0!</v>
      </c>
      <c r="AE79" s="974" t="e">
        <f>IF($F79="","",$F79*chronic_consumption!Z79/1000/$C$3)</f>
        <v>#DIV/0!</v>
      </c>
      <c r="AF79" s="974" t="e">
        <f>IF($F79="","",$F79*chronic_consumption!AA79/1000/$C$3)</f>
        <v>#DIV/0!</v>
      </c>
      <c r="AG79" s="974" t="e">
        <f>IF($F79="","",$F79*chronic_consumption!AB79/1000/$C$3)</f>
        <v>#DIV/0!</v>
      </c>
      <c r="AH79" s="974" t="e">
        <f>IF($F79="","",$F79*chronic_consumption!AC79/1000/$C$3)</f>
        <v>#DIV/0!</v>
      </c>
      <c r="AI79" s="974" t="e">
        <f>IF($F79="","",$F79*chronic_consumption!AD79/1000/$C$3)</f>
        <v>#DIV/0!</v>
      </c>
      <c r="AJ79" s="974" t="e">
        <f>IF($F79="","",$F79*chronic_consumption!AE79/1000/$C$3)</f>
        <v>#DIV/0!</v>
      </c>
      <c r="AK79" s="974" t="e">
        <f>IF($F79="","",$F79*chronic_consumption!AF79/1000/$C$3)</f>
        <v>#DIV/0!</v>
      </c>
      <c r="AL79" s="974" t="e">
        <f>IF($F79="","",$F79*chronic_consumption!AG79/1000/$C$3)</f>
        <v>#DIV/0!</v>
      </c>
      <c r="AM79" s="974" t="e">
        <f>IF($F79="","",$F79*chronic_consumption!AH79/1000/$C$3)</f>
        <v>#DIV/0!</v>
      </c>
      <c r="AN79" s="974" t="e">
        <f>IF($F79="","",$F79*chronic_consumption!AI79/1000/$C$3)</f>
        <v>#DIV/0!</v>
      </c>
      <c r="AO79" s="974" t="e">
        <f>IF($F79="","",$F79*chronic_consumption!AJ79/1000/$C$3)</f>
        <v>#DIV/0!</v>
      </c>
      <c r="AP79" s="974" t="e">
        <f>IF($F79="","",$F79*chronic_consumption!AK79/1000/$C$3)</f>
        <v>#DIV/0!</v>
      </c>
      <c r="AQ79" s="974" t="e">
        <f>IF($F79="","",$F79*chronic_consumption!AL79/1000/$C$3)</f>
        <v>#DIV/0!</v>
      </c>
      <c r="AR79" s="974" t="e">
        <f>IF($F79="","",$F79*chronic_consumption!AM79/1000/$C$3)</f>
        <v>#DIV/0!</v>
      </c>
      <c r="AS79" s="974" t="e">
        <f>IF($F79="","",$F79*chronic_consumption!AN79/1000/$C$3)</f>
        <v>#DIV/0!</v>
      </c>
      <c r="AT79" s="974" t="e">
        <f>IF($F79="","",$F79*chronic_consumption!AO79/1000/$C$3)</f>
        <v>#DIV/0!</v>
      </c>
      <c r="AU79" s="974"/>
      <c r="AV79" s="974" t="e">
        <f>IF($F79="","",$F79*chronic_consumption!AQ79/1000/$C$3)</f>
        <v>#DIV/0!</v>
      </c>
      <c r="AW79" s="974" t="e">
        <f>IF($F79="","",$F79*chronic_consumption!AR79/1000/$C$3)</f>
        <v>#DIV/0!</v>
      </c>
      <c r="AX79" s="974" t="e">
        <f>IF($F79="","",$F79*chronic_consumption!AS79/1000/$C$3)</f>
        <v>#DIV/0!</v>
      </c>
      <c r="AY79" s="974" t="e">
        <f>IF($F79="","",$F79*chronic_consumption!AT79/1000/$C$3)</f>
        <v>#DIV/0!</v>
      </c>
      <c r="AZ79" s="973" t="s">
        <v>19</v>
      </c>
      <c r="BA79" s="969" t="e">
        <f t="shared" si="11"/>
        <v>#DIV/0!</v>
      </c>
      <c r="BB79" s="970" t="e">
        <f t="shared" si="12"/>
        <v>#DIV/0!</v>
      </c>
      <c r="BC79" s="971" t="e">
        <f t="shared" ca="1" si="13"/>
        <v>#DIV/0!</v>
      </c>
      <c r="BD79" s="228">
        <f>input_values!Z79</f>
        <v>4</v>
      </c>
      <c r="BE79" s="152">
        <f>input_values!L79</f>
        <v>0</v>
      </c>
      <c r="BF79" s="972" t="str">
        <f t="shared" si="14"/>
        <v/>
      </c>
    </row>
    <row r="80" spans="1:58" ht="12" customHeight="1" outlineLevel="3" x14ac:dyDescent="0.2">
      <c r="A80" s="21">
        <v>4</v>
      </c>
      <c r="B80" s="23">
        <v>162040</v>
      </c>
      <c r="C80" s="23" t="s">
        <v>695</v>
      </c>
      <c r="D80" s="965">
        <f>Table22[[#This Row],[MRL individual commodity]]</f>
        <v>0</v>
      </c>
      <c r="E80" s="300" t="str">
        <f>Table22[[#This Row],[LOQ_label]]</f>
        <v/>
      </c>
      <c r="F80" s="966">
        <f>Table22[[#This Row],[Chronic RA input value]]</f>
        <v>0</v>
      </c>
      <c r="G80" s="304" t="str">
        <f>Table22[[#This Row],[Chronic RA label]]</f>
        <v/>
      </c>
      <c r="H80" s="304">
        <f>Table22[[#This Row],[GAP under assessment]]</f>
        <v>0</v>
      </c>
      <c r="I80" s="1123"/>
      <c r="J80" s="974" t="e">
        <f>IF($F80="","",$F80*chronic_consumption!$E80/1000/$C$3)</f>
        <v>#DIV/0!</v>
      </c>
      <c r="K80" s="974" t="e">
        <f>IF($F80="","",$F80*chronic_consumption!F80/1000/$C$3)</f>
        <v>#DIV/0!</v>
      </c>
      <c r="L80" s="974" t="e">
        <f>IF($F80="","",$F80*chronic_consumption!G80/1000/$C$3)</f>
        <v>#DIV/0!</v>
      </c>
      <c r="M80" s="974" t="e">
        <f>IF($F80="","",$F80*chronic_consumption!H80/1000/$C$3)</f>
        <v>#DIV/0!</v>
      </c>
      <c r="N80" s="974" t="e">
        <f>IF($F80="","",$F80*chronic_consumption!I80/1000/$C$3)</f>
        <v>#DIV/0!</v>
      </c>
      <c r="O80" s="974" t="e">
        <f>IF($F80="","",$F80*chronic_consumption!J80/1000/$C$3)</f>
        <v>#DIV/0!</v>
      </c>
      <c r="P80" s="974" t="e">
        <f>IF($F80="","",$F80*chronic_consumption!K80/1000/$C$3)</f>
        <v>#DIV/0!</v>
      </c>
      <c r="Q80" s="974" t="e">
        <f>IF($F80="","",$F80*chronic_consumption!L80/1000/$C$3)</f>
        <v>#DIV/0!</v>
      </c>
      <c r="R80" s="974" t="e">
        <f>IF($F80="","",$F80*chronic_consumption!M80/1000/$C$3)</f>
        <v>#DIV/0!</v>
      </c>
      <c r="S80" s="974" t="e">
        <f>IF($F80="","",$F80*chronic_consumption!N80/1000/$C$3)</f>
        <v>#DIV/0!</v>
      </c>
      <c r="T80" s="974" t="e">
        <f>IF($F80="","",$F80*chronic_consumption!O80/1000/$C$3)</f>
        <v>#DIV/0!</v>
      </c>
      <c r="U80" s="974" t="e">
        <f>IF($F80="","",$F80*chronic_consumption!P80/1000/$C$3)</f>
        <v>#DIV/0!</v>
      </c>
      <c r="V80" s="974" t="e">
        <f>IF($F80="","",$F80*chronic_consumption!Q80/1000/$C$3)</f>
        <v>#DIV/0!</v>
      </c>
      <c r="W80" s="974" t="e">
        <f>IF($F80="","",$F80*chronic_consumption!R80/1000/$C$3)</f>
        <v>#DIV/0!</v>
      </c>
      <c r="X80" s="974" t="e">
        <f>IF($F80="","",$F80*chronic_consumption!S80/1000/$C$3)</f>
        <v>#DIV/0!</v>
      </c>
      <c r="Y80" s="974" t="e">
        <f>IF($F80="","",$F80*chronic_consumption!T80/1000/$C$3)</f>
        <v>#DIV/0!</v>
      </c>
      <c r="Z80" s="974" t="e">
        <f>IF($F80="","",$F80*chronic_consumption!U80/1000/$C$3)</f>
        <v>#DIV/0!</v>
      </c>
      <c r="AA80" s="974" t="e">
        <f>IF($F80="","",$F80*chronic_consumption!V80/1000/$C$3)</f>
        <v>#DIV/0!</v>
      </c>
      <c r="AB80" s="974" t="e">
        <f>IF($F80="","",$F80*chronic_consumption!W80/1000/$C$3)</f>
        <v>#DIV/0!</v>
      </c>
      <c r="AC80" s="974" t="e">
        <f>IF($F80="","",$F80*chronic_consumption!X80/1000/$C$3)</f>
        <v>#DIV/0!</v>
      </c>
      <c r="AD80" s="974" t="e">
        <f>IF($F80="","",$F80*chronic_consumption!Y80/1000/$C$3)</f>
        <v>#DIV/0!</v>
      </c>
      <c r="AE80" s="974" t="e">
        <f>IF($F80="","",$F80*chronic_consumption!Z80/1000/$C$3)</f>
        <v>#DIV/0!</v>
      </c>
      <c r="AF80" s="974" t="e">
        <f>IF($F80="","",$F80*chronic_consumption!AA80/1000/$C$3)</f>
        <v>#DIV/0!</v>
      </c>
      <c r="AG80" s="974" t="e">
        <f>IF($F80="","",$F80*chronic_consumption!AB80/1000/$C$3)</f>
        <v>#DIV/0!</v>
      </c>
      <c r="AH80" s="974" t="e">
        <f>IF($F80="","",$F80*chronic_consumption!AC80/1000/$C$3)</f>
        <v>#DIV/0!</v>
      </c>
      <c r="AI80" s="974" t="e">
        <f>IF($F80="","",$F80*chronic_consumption!AD80/1000/$C$3)</f>
        <v>#DIV/0!</v>
      </c>
      <c r="AJ80" s="974" t="e">
        <f>IF($F80="","",$F80*chronic_consumption!AE80/1000/$C$3)</f>
        <v>#DIV/0!</v>
      </c>
      <c r="AK80" s="974" t="e">
        <f>IF($F80="","",$F80*chronic_consumption!AF80/1000/$C$3)</f>
        <v>#DIV/0!</v>
      </c>
      <c r="AL80" s="974" t="e">
        <f>IF($F80="","",$F80*chronic_consumption!AG80/1000/$C$3)</f>
        <v>#DIV/0!</v>
      </c>
      <c r="AM80" s="974" t="e">
        <f>IF($F80="","",$F80*chronic_consumption!AH80/1000/$C$3)</f>
        <v>#DIV/0!</v>
      </c>
      <c r="AN80" s="974" t="e">
        <f>IF($F80="","",$F80*chronic_consumption!AI80/1000/$C$3)</f>
        <v>#DIV/0!</v>
      </c>
      <c r="AO80" s="974" t="e">
        <f>IF($F80="","",$F80*chronic_consumption!AJ80/1000/$C$3)</f>
        <v>#DIV/0!</v>
      </c>
      <c r="AP80" s="974" t="e">
        <f>IF($F80="","",$F80*chronic_consumption!AK80/1000/$C$3)</f>
        <v>#DIV/0!</v>
      </c>
      <c r="AQ80" s="974" t="e">
        <f>IF($F80="","",$F80*chronic_consumption!AL80/1000/$C$3)</f>
        <v>#DIV/0!</v>
      </c>
      <c r="AR80" s="974" t="e">
        <f>IF($F80="","",$F80*chronic_consumption!AM80/1000/$C$3)</f>
        <v>#DIV/0!</v>
      </c>
      <c r="AS80" s="974" t="e">
        <f>IF($F80="","",$F80*chronic_consumption!AN80/1000/$C$3)</f>
        <v>#DIV/0!</v>
      </c>
      <c r="AT80" s="974" t="e">
        <f>IF($F80="","",$F80*chronic_consumption!AO80/1000/$C$3)</f>
        <v>#DIV/0!</v>
      </c>
      <c r="AU80" s="974"/>
      <c r="AV80" s="974" t="e">
        <f>IF($F80="","",$F80*chronic_consumption!AQ80/1000/$C$3)</f>
        <v>#DIV/0!</v>
      </c>
      <c r="AW80" s="974" t="e">
        <f>IF($F80="","",$F80*chronic_consumption!AR80/1000/$C$3)</f>
        <v>#DIV/0!</v>
      </c>
      <c r="AX80" s="974" t="e">
        <f>IF($F80="","",$F80*chronic_consumption!AS80/1000/$C$3)</f>
        <v>#DIV/0!</v>
      </c>
      <c r="AY80" s="974" t="e">
        <f>IF($F80="","",$F80*chronic_consumption!AT80/1000/$C$3)</f>
        <v>#DIV/0!</v>
      </c>
      <c r="AZ80" s="973" t="s">
        <v>19</v>
      </c>
      <c r="BA80" s="969" t="e">
        <f t="shared" si="11"/>
        <v>#DIV/0!</v>
      </c>
      <c r="BB80" s="970" t="e">
        <f t="shared" si="12"/>
        <v>#DIV/0!</v>
      </c>
      <c r="BC80" s="971" t="e">
        <f t="shared" ca="1" si="13"/>
        <v>#DIV/0!</v>
      </c>
      <c r="BD80" s="228">
        <f>input_values!Z80</f>
        <v>4</v>
      </c>
      <c r="BE80" s="152">
        <f>input_values!L80</f>
        <v>0</v>
      </c>
      <c r="BF80" s="972" t="str">
        <f t="shared" si="14"/>
        <v/>
      </c>
    </row>
    <row r="81" spans="1:58" ht="12" customHeight="1" outlineLevel="3" x14ac:dyDescent="0.2">
      <c r="A81" s="21">
        <v>4</v>
      </c>
      <c r="B81" s="23">
        <v>162050</v>
      </c>
      <c r="C81" s="23" t="s">
        <v>696</v>
      </c>
      <c r="D81" s="965">
        <f>Table22[[#This Row],[MRL individual commodity]]</f>
        <v>0</v>
      </c>
      <c r="E81" s="300" t="str">
        <f>Table22[[#This Row],[LOQ_label]]</f>
        <v/>
      </c>
      <c r="F81" s="966">
        <f>Table22[[#This Row],[Chronic RA input value]]</f>
        <v>0</v>
      </c>
      <c r="G81" s="304" t="str">
        <f>Table22[[#This Row],[Chronic RA label]]</f>
        <v/>
      </c>
      <c r="H81" s="304">
        <f>Table22[[#This Row],[GAP under assessment]]</f>
        <v>0</v>
      </c>
      <c r="I81" s="1123"/>
      <c r="J81" s="974" t="e">
        <f>IF($F81="","",$F81*chronic_consumption!$E81/1000/$C$3)</f>
        <v>#DIV/0!</v>
      </c>
      <c r="K81" s="974" t="e">
        <f>IF($F81="","",$F81*chronic_consumption!F81/1000/$C$3)</f>
        <v>#DIV/0!</v>
      </c>
      <c r="L81" s="974" t="e">
        <f>IF($F81="","",$F81*chronic_consumption!G81/1000/$C$3)</f>
        <v>#DIV/0!</v>
      </c>
      <c r="M81" s="974" t="e">
        <f>IF($F81="","",$F81*chronic_consumption!H81/1000/$C$3)</f>
        <v>#DIV/0!</v>
      </c>
      <c r="N81" s="974" t="e">
        <f>IF($F81="","",$F81*chronic_consumption!I81/1000/$C$3)</f>
        <v>#DIV/0!</v>
      </c>
      <c r="O81" s="974" t="e">
        <f>IF($F81="","",$F81*chronic_consumption!J81/1000/$C$3)</f>
        <v>#DIV/0!</v>
      </c>
      <c r="P81" s="974" t="e">
        <f>IF($F81="","",$F81*chronic_consumption!K81/1000/$C$3)</f>
        <v>#DIV/0!</v>
      </c>
      <c r="Q81" s="974" t="e">
        <f>IF($F81="","",$F81*chronic_consumption!L81/1000/$C$3)</f>
        <v>#DIV/0!</v>
      </c>
      <c r="R81" s="974" t="e">
        <f>IF($F81="","",$F81*chronic_consumption!M81/1000/$C$3)</f>
        <v>#DIV/0!</v>
      </c>
      <c r="S81" s="974" t="e">
        <f>IF($F81="","",$F81*chronic_consumption!N81/1000/$C$3)</f>
        <v>#DIV/0!</v>
      </c>
      <c r="T81" s="974" t="e">
        <f>IF($F81="","",$F81*chronic_consumption!O81/1000/$C$3)</f>
        <v>#DIV/0!</v>
      </c>
      <c r="U81" s="974" t="e">
        <f>IF($F81="","",$F81*chronic_consumption!P81/1000/$C$3)</f>
        <v>#DIV/0!</v>
      </c>
      <c r="V81" s="974" t="e">
        <f>IF($F81="","",$F81*chronic_consumption!Q81/1000/$C$3)</f>
        <v>#DIV/0!</v>
      </c>
      <c r="W81" s="974" t="e">
        <f>IF($F81="","",$F81*chronic_consumption!R81/1000/$C$3)</f>
        <v>#DIV/0!</v>
      </c>
      <c r="X81" s="974" t="e">
        <f>IF($F81="","",$F81*chronic_consumption!S81/1000/$C$3)</f>
        <v>#DIV/0!</v>
      </c>
      <c r="Y81" s="974" t="e">
        <f>IF($F81="","",$F81*chronic_consumption!T81/1000/$C$3)</f>
        <v>#DIV/0!</v>
      </c>
      <c r="Z81" s="974" t="e">
        <f>IF($F81="","",$F81*chronic_consumption!U81/1000/$C$3)</f>
        <v>#DIV/0!</v>
      </c>
      <c r="AA81" s="974" t="e">
        <f>IF($F81="","",$F81*chronic_consumption!V81/1000/$C$3)</f>
        <v>#DIV/0!</v>
      </c>
      <c r="AB81" s="974" t="e">
        <f>IF($F81="","",$F81*chronic_consumption!W81/1000/$C$3)</f>
        <v>#DIV/0!</v>
      </c>
      <c r="AC81" s="974" t="e">
        <f>IF($F81="","",$F81*chronic_consumption!X81/1000/$C$3)</f>
        <v>#DIV/0!</v>
      </c>
      <c r="AD81" s="974" t="e">
        <f>IF($F81="","",$F81*chronic_consumption!Y81/1000/$C$3)</f>
        <v>#DIV/0!</v>
      </c>
      <c r="AE81" s="974" t="e">
        <f>IF($F81="","",$F81*chronic_consumption!Z81/1000/$C$3)</f>
        <v>#DIV/0!</v>
      </c>
      <c r="AF81" s="974" t="e">
        <f>IF($F81="","",$F81*chronic_consumption!AA81/1000/$C$3)</f>
        <v>#DIV/0!</v>
      </c>
      <c r="AG81" s="974" t="e">
        <f>IF($F81="","",$F81*chronic_consumption!AB81/1000/$C$3)</f>
        <v>#DIV/0!</v>
      </c>
      <c r="AH81" s="974" t="e">
        <f>IF($F81="","",$F81*chronic_consumption!AC81/1000/$C$3)</f>
        <v>#DIV/0!</v>
      </c>
      <c r="AI81" s="974" t="e">
        <f>IF($F81="","",$F81*chronic_consumption!AD81/1000/$C$3)</f>
        <v>#DIV/0!</v>
      </c>
      <c r="AJ81" s="974" t="e">
        <f>IF($F81="","",$F81*chronic_consumption!AE81/1000/$C$3)</f>
        <v>#DIV/0!</v>
      </c>
      <c r="AK81" s="974" t="e">
        <f>IF($F81="","",$F81*chronic_consumption!AF81/1000/$C$3)</f>
        <v>#DIV/0!</v>
      </c>
      <c r="AL81" s="974" t="e">
        <f>IF($F81="","",$F81*chronic_consumption!AG81/1000/$C$3)</f>
        <v>#DIV/0!</v>
      </c>
      <c r="AM81" s="974" t="e">
        <f>IF($F81="","",$F81*chronic_consumption!AH81/1000/$C$3)</f>
        <v>#DIV/0!</v>
      </c>
      <c r="AN81" s="974" t="e">
        <f>IF($F81="","",$F81*chronic_consumption!AI81/1000/$C$3)</f>
        <v>#DIV/0!</v>
      </c>
      <c r="AO81" s="974" t="e">
        <f>IF($F81="","",$F81*chronic_consumption!AJ81/1000/$C$3)</f>
        <v>#DIV/0!</v>
      </c>
      <c r="AP81" s="974" t="e">
        <f>IF($F81="","",$F81*chronic_consumption!AK81/1000/$C$3)</f>
        <v>#DIV/0!</v>
      </c>
      <c r="AQ81" s="974" t="e">
        <f>IF($F81="","",$F81*chronic_consumption!AL81/1000/$C$3)</f>
        <v>#DIV/0!</v>
      </c>
      <c r="AR81" s="974" t="e">
        <f>IF($F81="","",$F81*chronic_consumption!AM81/1000/$C$3)</f>
        <v>#DIV/0!</v>
      </c>
      <c r="AS81" s="974" t="e">
        <f>IF($F81="","",$F81*chronic_consumption!AN81/1000/$C$3)</f>
        <v>#DIV/0!</v>
      </c>
      <c r="AT81" s="974" t="e">
        <f>IF($F81="","",$F81*chronic_consumption!AO81/1000/$C$3)</f>
        <v>#DIV/0!</v>
      </c>
      <c r="AU81" s="974"/>
      <c r="AV81" s="974" t="e">
        <f>IF($F81="","",$F81*chronic_consumption!AQ81/1000/$C$3)</f>
        <v>#DIV/0!</v>
      </c>
      <c r="AW81" s="974" t="e">
        <f>IF($F81="","",$F81*chronic_consumption!AR81/1000/$C$3)</f>
        <v>#DIV/0!</v>
      </c>
      <c r="AX81" s="974" t="e">
        <f>IF($F81="","",$F81*chronic_consumption!AS81/1000/$C$3)</f>
        <v>#DIV/0!</v>
      </c>
      <c r="AY81" s="974" t="e">
        <f>IF($F81="","",$F81*chronic_consumption!AT81/1000/$C$3)</f>
        <v>#DIV/0!</v>
      </c>
      <c r="AZ81" s="973" t="s">
        <v>19</v>
      </c>
      <c r="BA81" s="969" t="e">
        <f t="shared" si="11"/>
        <v>#DIV/0!</v>
      </c>
      <c r="BB81" s="970" t="e">
        <f t="shared" si="12"/>
        <v>#DIV/0!</v>
      </c>
      <c r="BC81" s="971" t="e">
        <f t="shared" ca="1" si="13"/>
        <v>#DIV/0!</v>
      </c>
      <c r="BD81" s="228">
        <f>input_values!Z81</f>
        <v>4</v>
      </c>
      <c r="BE81" s="152">
        <f>input_values!L81</f>
        <v>0</v>
      </c>
      <c r="BF81" s="972" t="str">
        <f t="shared" si="14"/>
        <v/>
      </c>
    </row>
    <row r="82" spans="1:58" ht="12" customHeight="1" outlineLevel="3" x14ac:dyDescent="0.2">
      <c r="A82" s="21">
        <v>4</v>
      </c>
      <c r="B82" s="23">
        <v>162060</v>
      </c>
      <c r="C82" s="23" t="s">
        <v>697</v>
      </c>
      <c r="D82" s="965">
        <f>Table22[[#This Row],[MRL individual commodity]]</f>
        <v>0</v>
      </c>
      <c r="E82" s="300" t="str">
        <f>Table22[[#This Row],[LOQ_label]]</f>
        <v/>
      </c>
      <c r="F82" s="966">
        <f>Table22[[#This Row],[Chronic RA input value]]</f>
        <v>0</v>
      </c>
      <c r="G82" s="304" t="str">
        <f>Table22[[#This Row],[Chronic RA label]]</f>
        <v/>
      </c>
      <c r="H82" s="304">
        <f>Table22[[#This Row],[GAP under assessment]]</f>
        <v>0</v>
      </c>
      <c r="I82" s="1123"/>
      <c r="J82" s="974" t="e">
        <f>IF($F82="","",$F82*chronic_consumption!$E82/1000/$C$3)</f>
        <v>#DIV/0!</v>
      </c>
      <c r="K82" s="974" t="e">
        <f>IF($F82="","",$F82*chronic_consumption!F82/1000/$C$3)</f>
        <v>#DIV/0!</v>
      </c>
      <c r="L82" s="974" t="e">
        <f>IF($F82="","",$F82*chronic_consumption!G82/1000/$C$3)</f>
        <v>#DIV/0!</v>
      </c>
      <c r="M82" s="974" t="e">
        <f>IF($F82="","",$F82*chronic_consumption!H82/1000/$C$3)</f>
        <v>#DIV/0!</v>
      </c>
      <c r="N82" s="974" t="e">
        <f>IF($F82="","",$F82*chronic_consumption!I82/1000/$C$3)</f>
        <v>#DIV/0!</v>
      </c>
      <c r="O82" s="974" t="e">
        <f>IF($F82="","",$F82*chronic_consumption!J82/1000/$C$3)</f>
        <v>#DIV/0!</v>
      </c>
      <c r="P82" s="974" t="e">
        <f>IF($F82="","",$F82*chronic_consumption!K82/1000/$C$3)</f>
        <v>#DIV/0!</v>
      </c>
      <c r="Q82" s="974" t="e">
        <f>IF($F82="","",$F82*chronic_consumption!L82/1000/$C$3)</f>
        <v>#DIV/0!</v>
      </c>
      <c r="R82" s="974" t="e">
        <f>IF($F82="","",$F82*chronic_consumption!M82/1000/$C$3)</f>
        <v>#DIV/0!</v>
      </c>
      <c r="S82" s="974" t="e">
        <f>IF($F82="","",$F82*chronic_consumption!N82/1000/$C$3)</f>
        <v>#DIV/0!</v>
      </c>
      <c r="T82" s="974" t="e">
        <f>IF($F82="","",$F82*chronic_consumption!O82/1000/$C$3)</f>
        <v>#DIV/0!</v>
      </c>
      <c r="U82" s="974" t="e">
        <f>IF($F82="","",$F82*chronic_consumption!P82/1000/$C$3)</f>
        <v>#DIV/0!</v>
      </c>
      <c r="V82" s="974" t="e">
        <f>IF($F82="","",$F82*chronic_consumption!Q82/1000/$C$3)</f>
        <v>#DIV/0!</v>
      </c>
      <c r="W82" s="974" t="e">
        <f>IF($F82="","",$F82*chronic_consumption!R82/1000/$C$3)</f>
        <v>#DIV/0!</v>
      </c>
      <c r="X82" s="974" t="e">
        <f>IF($F82="","",$F82*chronic_consumption!S82/1000/$C$3)</f>
        <v>#DIV/0!</v>
      </c>
      <c r="Y82" s="974" t="e">
        <f>IF($F82="","",$F82*chronic_consumption!T82/1000/$C$3)</f>
        <v>#DIV/0!</v>
      </c>
      <c r="Z82" s="974" t="e">
        <f>IF($F82="","",$F82*chronic_consumption!U82/1000/$C$3)</f>
        <v>#DIV/0!</v>
      </c>
      <c r="AA82" s="974" t="e">
        <f>IF($F82="","",$F82*chronic_consumption!V82/1000/$C$3)</f>
        <v>#DIV/0!</v>
      </c>
      <c r="AB82" s="974" t="e">
        <f>IF($F82="","",$F82*chronic_consumption!W82/1000/$C$3)</f>
        <v>#DIV/0!</v>
      </c>
      <c r="AC82" s="974" t="e">
        <f>IF($F82="","",$F82*chronic_consumption!X82/1000/$C$3)</f>
        <v>#DIV/0!</v>
      </c>
      <c r="AD82" s="974" t="e">
        <f>IF($F82="","",$F82*chronic_consumption!Y82/1000/$C$3)</f>
        <v>#DIV/0!</v>
      </c>
      <c r="AE82" s="974" t="e">
        <f>IF($F82="","",$F82*chronic_consumption!Z82/1000/$C$3)</f>
        <v>#DIV/0!</v>
      </c>
      <c r="AF82" s="974" t="e">
        <f>IF($F82="","",$F82*chronic_consumption!AA82/1000/$C$3)</f>
        <v>#DIV/0!</v>
      </c>
      <c r="AG82" s="974" t="e">
        <f>IF($F82="","",$F82*chronic_consumption!AB82/1000/$C$3)</f>
        <v>#DIV/0!</v>
      </c>
      <c r="AH82" s="974" t="e">
        <f>IF($F82="","",$F82*chronic_consumption!AC82/1000/$C$3)</f>
        <v>#DIV/0!</v>
      </c>
      <c r="AI82" s="974" t="e">
        <f>IF($F82="","",$F82*chronic_consumption!AD82/1000/$C$3)</f>
        <v>#DIV/0!</v>
      </c>
      <c r="AJ82" s="974" t="e">
        <f>IF($F82="","",$F82*chronic_consumption!AE82/1000/$C$3)</f>
        <v>#DIV/0!</v>
      </c>
      <c r="AK82" s="974" t="e">
        <f>IF($F82="","",$F82*chronic_consumption!AF82/1000/$C$3)</f>
        <v>#DIV/0!</v>
      </c>
      <c r="AL82" s="974" t="e">
        <f>IF($F82="","",$F82*chronic_consumption!AG82/1000/$C$3)</f>
        <v>#DIV/0!</v>
      </c>
      <c r="AM82" s="974" t="e">
        <f>IF($F82="","",$F82*chronic_consumption!AH82/1000/$C$3)</f>
        <v>#DIV/0!</v>
      </c>
      <c r="AN82" s="974" t="e">
        <f>IF($F82="","",$F82*chronic_consumption!AI82/1000/$C$3)</f>
        <v>#DIV/0!</v>
      </c>
      <c r="AO82" s="974" t="e">
        <f>IF($F82="","",$F82*chronic_consumption!AJ82/1000/$C$3)</f>
        <v>#DIV/0!</v>
      </c>
      <c r="AP82" s="974" t="e">
        <f>IF($F82="","",$F82*chronic_consumption!AK82/1000/$C$3)</f>
        <v>#DIV/0!</v>
      </c>
      <c r="AQ82" s="974" t="e">
        <f>IF($F82="","",$F82*chronic_consumption!AL82/1000/$C$3)</f>
        <v>#DIV/0!</v>
      </c>
      <c r="AR82" s="974" t="e">
        <f>IF($F82="","",$F82*chronic_consumption!AM82/1000/$C$3)</f>
        <v>#DIV/0!</v>
      </c>
      <c r="AS82" s="974" t="e">
        <f>IF($F82="","",$F82*chronic_consumption!AN82/1000/$C$3)</f>
        <v>#DIV/0!</v>
      </c>
      <c r="AT82" s="974" t="e">
        <f>IF($F82="","",$F82*chronic_consumption!AO82/1000/$C$3)</f>
        <v>#DIV/0!</v>
      </c>
      <c r="AU82" s="974"/>
      <c r="AV82" s="974" t="e">
        <f>IF($F82="","",$F82*chronic_consumption!AQ82/1000/$C$3)</f>
        <v>#DIV/0!</v>
      </c>
      <c r="AW82" s="974" t="e">
        <f>IF($F82="","",$F82*chronic_consumption!AR82/1000/$C$3)</f>
        <v>#DIV/0!</v>
      </c>
      <c r="AX82" s="974" t="e">
        <f>IF($F82="","",$F82*chronic_consumption!AS82/1000/$C$3)</f>
        <v>#DIV/0!</v>
      </c>
      <c r="AY82" s="974" t="e">
        <f>IF($F82="","",$F82*chronic_consumption!AT82/1000/$C$3)</f>
        <v>#DIV/0!</v>
      </c>
      <c r="AZ82" s="973" t="s">
        <v>19</v>
      </c>
      <c r="BA82" s="969" t="e">
        <f t="shared" si="11"/>
        <v>#DIV/0!</v>
      </c>
      <c r="BB82" s="970" t="e">
        <f t="shared" si="12"/>
        <v>#DIV/0!</v>
      </c>
      <c r="BC82" s="971" t="e">
        <f t="shared" ca="1" si="13"/>
        <v>#DIV/0!</v>
      </c>
      <c r="BD82" s="228">
        <f>input_values!Z82</f>
        <v>4</v>
      </c>
      <c r="BE82" s="152">
        <f>input_values!L82</f>
        <v>0</v>
      </c>
      <c r="BF82" s="972" t="str">
        <f t="shared" si="14"/>
        <v/>
      </c>
    </row>
    <row r="83" spans="1:58" ht="12" customHeight="1" outlineLevel="3" x14ac:dyDescent="0.2">
      <c r="A83" s="21">
        <v>4</v>
      </c>
      <c r="B83" s="23">
        <v>162990</v>
      </c>
      <c r="C83" s="23" t="s">
        <v>54</v>
      </c>
      <c r="D83" s="965">
        <f>Table22[[#This Row],[MRL individual commodity]]</f>
        <v>0</v>
      </c>
      <c r="E83" s="300" t="str">
        <f>Table22[[#This Row],[LOQ_label]]</f>
        <v/>
      </c>
      <c r="F83" s="966">
        <f>Table22[[#This Row],[Chronic RA input value]]</f>
        <v>0</v>
      </c>
      <c r="G83" s="304" t="str">
        <f>Table22[[#This Row],[Chronic RA label]]</f>
        <v/>
      </c>
      <c r="H83" s="304">
        <f>Table22[[#This Row],[GAP under assessment]]</f>
        <v>0</v>
      </c>
      <c r="I83" s="1123"/>
      <c r="J83" s="974" t="e">
        <f>IF($F83="","",$F83*chronic_consumption!$E83/1000/$C$3)</f>
        <v>#DIV/0!</v>
      </c>
      <c r="K83" s="974" t="e">
        <f>IF($F83="","",$F83*chronic_consumption!F83/1000/$C$3)</f>
        <v>#DIV/0!</v>
      </c>
      <c r="L83" s="974" t="e">
        <f>IF($F83="","",$F83*chronic_consumption!G83/1000/$C$3)</f>
        <v>#DIV/0!</v>
      </c>
      <c r="M83" s="974" t="e">
        <f>IF($F83="","",$F83*chronic_consumption!H83/1000/$C$3)</f>
        <v>#DIV/0!</v>
      </c>
      <c r="N83" s="974" t="e">
        <f>IF($F83="","",$F83*chronic_consumption!I83/1000/$C$3)</f>
        <v>#DIV/0!</v>
      </c>
      <c r="O83" s="974" t="e">
        <f>IF($F83="","",$F83*chronic_consumption!J83/1000/$C$3)</f>
        <v>#DIV/0!</v>
      </c>
      <c r="P83" s="974" t="e">
        <f>IF($F83="","",$F83*chronic_consumption!K83/1000/$C$3)</f>
        <v>#DIV/0!</v>
      </c>
      <c r="Q83" s="974" t="e">
        <f>IF($F83="","",$F83*chronic_consumption!L83/1000/$C$3)</f>
        <v>#DIV/0!</v>
      </c>
      <c r="R83" s="974" t="e">
        <f>IF($F83="","",$F83*chronic_consumption!M83/1000/$C$3)</f>
        <v>#DIV/0!</v>
      </c>
      <c r="S83" s="974" t="e">
        <f>IF($F83="","",$F83*chronic_consumption!N83/1000/$C$3)</f>
        <v>#DIV/0!</v>
      </c>
      <c r="T83" s="974" t="e">
        <f>IF($F83="","",$F83*chronic_consumption!O83/1000/$C$3)</f>
        <v>#DIV/0!</v>
      </c>
      <c r="U83" s="974" t="e">
        <f>IF($F83="","",$F83*chronic_consumption!P83/1000/$C$3)</f>
        <v>#DIV/0!</v>
      </c>
      <c r="V83" s="974" t="e">
        <f>IF($F83="","",$F83*chronic_consumption!Q83/1000/$C$3)</f>
        <v>#DIV/0!</v>
      </c>
      <c r="W83" s="974" t="e">
        <f>IF($F83="","",$F83*chronic_consumption!R83/1000/$C$3)</f>
        <v>#DIV/0!</v>
      </c>
      <c r="X83" s="974" t="e">
        <f>IF($F83="","",$F83*chronic_consumption!S83/1000/$C$3)</f>
        <v>#DIV/0!</v>
      </c>
      <c r="Y83" s="974" t="e">
        <f>IF($F83="","",$F83*chronic_consumption!T83/1000/$C$3)</f>
        <v>#DIV/0!</v>
      </c>
      <c r="Z83" s="974" t="e">
        <f>IF($F83="","",$F83*chronic_consumption!U83/1000/$C$3)</f>
        <v>#DIV/0!</v>
      </c>
      <c r="AA83" s="974" t="e">
        <f>IF($F83="","",$F83*chronic_consumption!V83/1000/$C$3)</f>
        <v>#DIV/0!</v>
      </c>
      <c r="AB83" s="974" t="e">
        <f>IF($F83="","",$F83*chronic_consumption!W83/1000/$C$3)</f>
        <v>#DIV/0!</v>
      </c>
      <c r="AC83" s="974" t="e">
        <f>IF($F83="","",$F83*chronic_consumption!X83/1000/$C$3)</f>
        <v>#DIV/0!</v>
      </c>
      <c r="AD83" s="974" t="e">
        <f>IF($F83="","",$F83*chronic_consumption!Y83/1000/$C$3)</f>
        <v>#DIV/0!</v>
      </c>
      <c r="AE83" s="974" t="e">
        <f>IF($F83="","",$F83*chronic_consumption!Z83/1000/$C$3)</f>
        <v>#DIV/0!</v>
      </c>
      <c r="AF83" s="974" t="e">
        <f>IF($F83="","",$F83*chronic_consumption!AA83/1000/$C$3)</f>
        <v>#DIV/0!</v>
      </c>
      <c r="AG83" s="974" t="e">
        <f>IF($F83="","",$F83*chronic_consumption!AB83/1000/$C$3)</f>
        <v>#DIV/0!</v>
      </c>
      <c r="AH83" s="974" t="e">
        <f>IF($F83="","",$F83*chronic_consumption!AC83/1000/$C$3)</f>
        <v>#DIV/0!</v>
      </c>
      <c r="AI83" s="974" t="e">
        <f>IF($F83="","",$F83*chronic_consumption!AD83/1000/$C$3)</f>
        <v>#DIV/0!</v>
      </c>
      <c r="AJ83" s="974" t="e">
        <f>IF($F83="","",$F83*chronic_consumption!AE83/1000/$C$3)</f>
        <v>#DIV/0!</v>
      </c>
      <c r="AK83" s="974" t="e">
        <f>IF($F83="","",$F83*chronic_consumption!AF83/1000/$C$3)</f>
        <v>#DIV/0!</v>
      </c>
      <c r="AL83" s="974" t="e">
        <f>IF($F83="","",$F83*chronic_consumption!AG83/1000/$C$3)</f>
        <v>#DIV/0!</v>
      </c>
      <c r="AM83" s="974" t="e">
        <f>IF($F83="","",$F83*chronic_consumption!AH83/1000/$C$3)</f>
        <v>#DIV/0!</v>
      </c>
      <c r="AN83" s="974" t="e">
        <f>IF($F83="","",$F83*chronic_consumption!AI83/1000/$C$3)</f>
        <v>#DIV/0!</v>
      </c>
      <c r="AO83" s="974" t="e">
        <f>IF($F83="","",$F83*chronic_consumption!AJ83/1000/$C$3)</f>
        <v>#DIV/0!</v>
      </c>
      <c r="AP83" s="974" t="e">
        <f>IF($F83="","",$F83*chronic_consumption!AK83/1000/$C$3)</f>
        <v>#DIV/0!</v>
      </c>
      <c r="AQ83" s="974" t="e">
        <f>IF($F83="","",$F83*chronic_consumption!AL83/1000/$C$3)</f>
        <v>#DIV/0!</v>
      </c>
      <c r="AR83" s="974" t="e">
        <f>IF($F83="","",$F83*chronic_consumption!AM83/1000/$C$3)</f>
        <v>#DIV/0!</v>
      </c>
      <c r="AS83" s="974" t="e">
        <f>IF($F83="","",$F83*chronic_consumption!AN83/1000/$C$3)</f>
        <v>#DIV/0!</v>
      </c>
      <c r="AT83" s="974" t="e">
        <f>IF($F83="","",$F83*chronic_consumption!AO83/1000/$C$3)</f>
        <v>#DIV/0!</v>
      </c>
      <c r="AU83" s="974"/>
      <c r="AV83" s="974" t="e">
        <f>IF($F83="","",$F83*chronic_consumption!AQ83/1000/$C$3)</f>
        <v>#DIV/0!</v>
      </c>
      <c r="AW83" s="974" t="e">
        <f>IF($F83="","",$F83*chronic_consumption!AR83/1000/$C$3)</f>
        <v>#DIV/0!</v>
      </c>
      <c r="AX83" s="974" t="e">
        <f>IF($F83="","",$F83*chronic_consumption!AS83/1000/$C$3)</f>
        <v>#DIV/0!</v>
      </c>
      <c r="AY83" s="974" t="e">
        <f>IF($F83="","",$F83*chronic_consumption!AT83/1000/$C$3)</f>
        <v>#DIV/0!</v>
      </c>
      <c r="AZ83" s="973" t="s">
        <v>19</v>
      </c>
      <c r="BA83" s="969" t="e">
        <f t="shared" si="11"/>
        <v>#DIV/0!</v>
      </c>
      <c r="BB83" s="970" t="e">
        <f t="shared" si="12"/>
        <v>#DIV/0!</v>
      </c>
      <c r="BC83" s="971" t="e">
        <f t="shared" ca="1" si="13"/>
        <v>#DIV/0!</v>
      </c>
      <c r="BD83" s="228">
        <f>input_values!Z83</f>
        <v>4</v>
      </c>
      <c r="BE83" s="152">
        <f>input_values!L83</f>
        <v>0</v>
      </c>
      <c r="BF83" s="972" t="str">
        <f t="shared" si="14"/>
        <v/>
      </c>
    </row>
    <row r="84" spans="1:58" ht="12" customHeight="1" outlineLevel="2" x14ac:dyDescent="0.2">
      <c r="A84" s="341">
        <v>3</v>
      </c>
      <c r="B84" s="3">
        <v>163000</v>
      </c>
      <c r="C84" s="3" t="s">
        <v>136</v>
      </c>
      <c r="D84" s="965">
        <f>Table22[[#This Row],[MRL individual commodity]]</f>
        <v>0</v>
      </c>
      <c r="E84" s="300">
        <f>Table22[[#This Row],[LOQ_label]]</f>
        <v>0</v>
      </c>
      <c r="F84" s="966">
        <f>Table22[[#This Row],[Chronic RA input value]]</f>
        <v>0</v>
      </c>
      <c r="G84" s="304">
        <f>Table22[[#This Row],[Chronic RA label]]</f>
        <v>0</v>
      </c>
      <c r="H84" s="304">
        <f>Table22[[#This Row],[GAP under assessment]]</f>
        <v>0</v>
      </c>
      <c r="I84" s="1123"/>
      <c r="J84" s="967" t="e">
        <f>IF($F84="","",$F84*chronic_consumption!$E84/1000/$C$3)</f>
        <v>#DIV/0!</v>
      </c>
      <c r="K84" s="967" t="e">
        <f>IF($F84="","",$F84*chronic_consumption!F84/1000/$C$3)</f>
        <v>#DIV/0!</v>
      </c>
      <c r="L84" s="967" t="e">
        <f>IF($F84="","",$F84*chronic_consumption!G84/1000/$C$3)</f>
        <v>#DIV/0!</v>
      </c>
      <c r="M84" s="967" t="e">
        <f>IF($F84="","",$F84*chronic_consumption!H84/1000/$C$3)</f>
        <v>#DIV/0!</v>
      </c>
      <c r="N84" s="967" t="e">
        <f>IF($F84="","",$F84*chronic_consumption!I84/1000/$C$3)</f>
        <v>#DIV/0!</v>
      </c>
      <c r="O84" s="967" t="e">
        <f>IF($F84="","",$F84*chronic_consumption!J84/1000/$C$3)</f>
        <v>#DIV/0!</v>
      </c>
      <c r="P84" s="967" t="e">
        <f>IF($F84="","",$F84*chronic_consumption!K84/1000/$C$3)</f>
        <v>#DIV/0!</v>
      </c>
      <c r="Q84" s="967" t="e">
        <f>IF($F84="","",$F84*chronic_consumption!L84/1000/$C$3)</f>
        <v>#DIV/0!</v>
      </c>
      <c r="R84" s="967" t="e">
        <f>IF($F84="","",$F84*chronic_consumption!M84/1000/$C$3)</f>
        <v>#DIV/0!</v>
      </c>
      <c r="S84" s="967" t="e">
        <f>IF($F84="","",$F84*chronic_consumption!N84/1000/$C$3)</f>
        <v>#DIV/0!</v>
      </c>
      <c r="T84" s="967" t="e">
        <f>IF($F84="","",$F84*chronic_consumption!O84/1000/$C$3)</f>
        <v>#DIV/0!</v>
      </c>
      <c r="U84" s="967" t="e">
        <f>IF($F84="","",$F84*chronic_consumption!P84/1000/$C$3)</f>
        <v>#DIV/0!</v>
      </c>
      <c r="V84" s="967" t="e">
        <f>IF($F84="","",$F84*chronic_consumption!Q84/1000/$C$3)</f>
        <v>#DIV/0!</v>
      </c>
      <c r="W84" s="967" t="e">
        <f>IF($F84="","",$F84*chronic_consumption!R84/1000/$C$3)</f>
        <v>#DIV/0!</v>
      </c>
      <c r="X84" s="967" t="e">
        <f>IF($F84="","",$F84*chronic_consumption!S84/1000/$C$3)</f>
        <v>#DIV/0!</v>
      </c>
      <c r="Y84" s="967" t="e">
        <f>IF($F84="","",$F84*chronic_consumption!T84/1000/$C$3)</f>
        <v>#DIV/0!</v>
      </c>
      <c r="Z84" s="967" t="e">
        <f>IF($F84="","",$F84*chronic_consumption!U84/1000/$C$3)</f>
        <v>#DIV/0!</v>
      </c>
      <c r="AA84" s="967" t="e">
        <f>IF($F84="","",$F84*chronic_consumption!V84/1000/$C$3)</f>
        <v>#DIV/0!</v>
      </c>
      <c r="AB84" s="967" t="e">
        <f>IF($F84="","",$F84*chronic_consumption!W84/1000/$C$3)</f>
        <v>#DIV/0!</v>
      </c>
      <c r="AC84" s="967" t="e">
        <f>IF($F84="","",$F84*chronic_consumption!X84/1000/$C$3)</f>
        <v>#DIV/0!</v>
      </c>
      <c r="AD84" s="967" t="e">
        <f>IF($F84="","",$F84*chronic_consumption!Y84/1000/$C$3)</f>
        <v>#DIV/0!</v>
      </c>
      <c r="AE84" s="967" t="e">
        <f>IF($F84="","",$F84*chronic_consumption!Z84/1000/$C$3)</f>
        <v>#DIV/0!</v>
      </c>
      <c r="AF84" s="967" t="e">
        <f>IF($F84="","",$F84*chronic_consumption!AA84/1000/$C$3)</f>
        <v>#DIV/0!</v>
      </c>
      <c r="AG84" s="967" t="e">
        <f>IF($F84="","",$F84*chronic_consumption!AB84/1000/$C$3)</f>
        <v>#DIV/0!</v>
      </c>
      <c r="AH84" s="967" t="e">
        <f>IF($F84="","",$F84*chronic_consumption!AC84/1000/$C$3)</f>
        <v>#DIV/0!</v>
      </c>
      <c r="AI84" s="967" t="e">
        <f>IF($F84="","",$F84*chronic_consumption!AD84/1000/$C$3)</f>
        <v>#DIV/0!</v>
      </c>
      <c r="AJ84" s="967" t="e">
        <f>IF($F84="","",$F84*chronic_consumption!AE84/1000/$C$3)</f>
        <v>#DIV/0!</v>
      </c>
      <c r="AK84" s="967" t="e">
        <f>IF($F84="","",$F84*chronic_consumption!AF84/1000/$C$3)</f>
        <v>#DIV/0!</v>
      </c>
      <c r="AL84" s="967" t="e">
        <f>IF($F84="","",$F84*chronic_consumption!AG84/1000/$C$3)</f>
        <v>#DIV/0!</v>
      </c>
      <c r="AM84" s="967" t="e">
        <f>IF($F84="","",$F84*chronic_consumption!AH84/1000/$C$3)</f>
        <v>#DIV/0!</v>
      </c>
      <c r="AN84" s="967" t="e">
        <f>IF($F84="","",$F84*chronic_consumption!AI84/1000/$C$3)</f>
        <v>#DIV/0!</v>
      </c>
      <c r="AO84" s="967" t="e">
        <f>IF($F84="","",$F84*chronic_consumption!AJ84/1000/$C$3)</f>
        <v>#DIV/0!</v>
      </c>
      <c r="AP84" s="967" t="e">
        <f>IF($F84="","",$F84*chronic_consumption!AK84/1000/$C$3)</f>
        <v>#DIV/0!</v>
      </c>
      <c r="AQ84" s="967" t="e">
        <f>IF($F84="","",$F84*chronic_consumption!AL84/1000/$C$3)</f>
        <v>#DIV/0!</v>
      </c>
      <c r="AR84" s="967" t="e">
        <f>IF($F84="","",$F84*chronic_consumption!AM84/1000/$C$3)</f>
        <v>#DIV/0!</v>
      </c>
      <c r="AS84" s="967" t="e">
        <f>IF($F84="","",$F84*chronic_consumption!AN84/1000/$C$3)</f>
        <v>#DIV/0!</v>
      </c>
      <c r="AT84" s="967" t="e">
        <f>IF($F84="","",$F84*chronic_consumption!AO84/1000/$C$3)</f>
        <v>#DIV/0!</v>
      </c>
      <c r="AU84" s="967"/>
      <c r="AV84" s="967" t="e">
        <f>IF($F84="","",$F84*chronic_consumption!AQ84/1000/$C$3)</f>
        <v>#DIV/0!</v>
      </c>
      <c r="AW84" s="967" t="e">
        <f>IF($F84="","",$F84*chronic_consumption!AR84/1000/$C$3)</f>
        <v>#DIV/0!</v>
      </c>
      <c r="AX84" s="967" t="e">
        <f>IF($F84="","",$F84*chronic_consumption!AS84/1000/$C$3)</f>
        <v>#DIV/0!</v>
      </c>
      <c r="AY84" s="967" t="e">
        <f>IF($F84="","",$F84*chronic_consumption!AT84/1000/$C$3)</f>
        <v>#DIV/0!</v>
      </c>
      <c r="AZ84" s="973"/>
      <c r="BA84" s="969" t="e">
        <f t="shared" si="11"/>
        <v>#DIV/0!</v>
      </c>
      <c r="BB84" s="970" t="e">
        <f t="shared" si="12"/>
        <v>#DIV/0!</v>
      </c>
      <c r="BC84" s="971" t="e">
        <f t="shared" ca="1" si="13"/>
        <v>#DIV/0!</v>
      </c>
      <c r="BD84" s="228">
        <f>input_values!Z84</f>
        <v>4</v>
      </c>
      <c r="BE84" s="152">
        <f>input_values!L84</f>
        <v>0</v>
      </c>
      <c r="BF84" s="972" t="str">
        <f t="shared" si="14"/>
        <v/>
      </c>
    </row>
    <row r="85" spans="1:58" ht="12" customHeight="1" outlineLevel="3" x14ac:dyDescent="0.2">
      <c r="A85" s="21">
        <v>4</v>
      </c>
      <c r="B85" s="23">
        <v>163010</v>
      </c>
      <c r="C85" s="23" t="s">
        <v>265</v>
      </c>
      <c r="D85" s="965">
        <f>Table22[[#This Row],[MRL individual commodity]]</f>
        <v>0</v>
      </c>
      <c r="E85" s="300" t="str">
        <f>Table22[[#This Row],[LOQ_label]]</f>
        <v/>
      </c>
      <c r="F85" s="966">
        <f>Table22[[#This Row],[Chronic RA input value]]</f>
        <v>0</v>
      </c>
      <c r="G85" s="304" t="str">
        <f>Table22[[#This Row],[Chronic RA label]]</f>
        <v/>
      </c>
      <c r="H85" s="304">
        <f>Table22[[#This Row],[GAP under assessment]]</f>
        <v>0</v>
      </c>
      <c r="I85" s="1123"/>
      <c r="J85" s="974" t="e">
        <f>IF($F85="","",$F85*chronic_consumption!$E85/1000/$C$3)</f>
        <v>#DIV/0!</v>
      </c>
      <c r="K85" s="974" t="e">
        <f>IF($F85="","",$F85*chronic_consumption!F85/1000/$C$3)</f>
        <v>#DIV/0!</v>
      </c>
      <c r="L85" s="974" t="e">
        <f>IF($F85="","",$F85*chronic_consumption!G85/1000/$C$3)</f>
        <v>#DIV/0!</v>
      </c>
      <c r="M85" s="974" t="e">
        <f>IF($F85="","",$F85*chronic_consumption!H85/1000/$C$3)</f>
        <v>#DIV/0!</v>
      </c>
      <c r="N85" s="974" t="e">
        <f>IF($F85="","",$F85*chronic_consumption!I85/1000/$C$3)</f>
        <v>#DIV/0!</v>
      </c>
      <c r="O85" s="974" t="e">
        <f>IF($F85="","",$F85*chronic_consumption!J85/1000/$C$3)</f>
        <v>#DIV/0!</v>
      </c>
      <c r="P85" s="974" t="e">
        <f>IF($F85="","",$F85*chronic_consumption!K85/1000/$C$3)</f>
        <v>#DIV/0!</v>
      </c>
      <c r="Q85" s="974" t="e">
        <f>IF($F85="","",$F85*chronic_consumption!L85/1000/$C$3)</f>
        <v>#DIV/0!</v>
      </c>
      <c r="R85" s="974" t="e">
        <f>IF($F85="","",$F85*chronic_consumption!M85/1000/$C$3)</f>
        <v>#DIV/0!</v>
      </c>
      <c r="S85" s="974" t="e">
        <f>IF($F85="","",$F85*chronic_consumption!N85/1000/$C$3)</f>
        <v>#DIV/0!</v>
      </c>
      <c r="T85" s="974" t="e">
        <f>IF($F85="","",$F85*chronic_consumption!O85/1000/$C$3)</f>
        <v>#DIV/0!</v>
      </c>
      <c r="U85" s="974" t="e">
        <f>IF($F85="","",$F85*chronic_consumption!P85/1000/$C$3)</f>
        <v>#DIV/0!</v>
      </c>
      <c r="V85" s="974" t="e">
        <f>IF($F85="","",$F85*chronic_consumption!Q85/1000/$C$3)</f>
        <v>#DIV/0!</v>
      </c>
      <c r="W85" s="974" t="e">
        <f>IF($F85="","",$F85*chronic_consumption!R85/1000/$C$3)</f>
        <v>#DIV/0!</v>
      </c>
      <c r="X85" s="974" t="e">
        <f>IF($F85="","",$F85*chronic_consumption!S85/1000/$C$3)</f>
        <v>#DIV/0!</v>
      </c>
      <c r="Y85" s="974" t="e">
        <f>IF($F85="","",$F85*chronic_consumption!T85/1000/$C$3)</f>
        <v>#DIV/0!</v>
      </c>
      <c r="Z85" s="974" t="e">
        <f>IF($F85="","",$F85*chronic_consumption!U85/1000/$C$3)</f>
        <v>#DIV/0!</v>
      </c>
      <c r="AA85" s="974" t="e">
        <f>IF($F85="","",$F85*chronic_consumption!V85/1000/$C$3)</f>
        <v>#DIV/0!</v>
      </c>
      <c r="AB85" s="974" t="e">
        <f>IF($F85="","",$F85*chronic_consumption!W85/1000/$C$3)</f>
        <v>#DIV/0!</v>
      </c>
      <c r="AC85" s="974" t="e">
        <f>IF($F85="","",$F85*chronic_consumption!X85/1000/$C$3)</f>
        <v>#DIV/0!</v>
      </c>
      <c r="AD85" s="974" t="e">
        <f>IF($F85="","",$F85*chronic_consumption!Y85/1000/$C$3)</f>
        <v>#DIV/0!</v>
      </c>
      <c r="AE85" s="974" t="e">
        <f>IF($F85="","",$F85*chronic_consumption!Z85/1000/$C$3)</f>
        <v>#DIV/0!</v>
      </c>
      <c r="AF85" s="974" t="e">
        <f>IF($F85="","",$F85*chronic_consumption!AA85/1000/$C$3)</f>
        <v>#DIV/0!</v>
      </c>
      <c r="AG85" s="974" t="e">
        <f>IF($F85="","",$F85*chronic_consumption!AB85/1000/$C$3)</f>
        <v>#DIV/0!</v>
      </c>
      <c r="AH85" s="974" t="e">
        <f>IF($F85="","",$F85*chronic_consumption!AC85/1000/$C$3)</f>
        <v>#DIV/0!</v>
      </c>
      <c r="AI85" s="974" t="e">
        <f>IF($F85="","",$F85*chronic_consumption!AD85/1000/$C$3)</f>
        <v>#DIV/0!</v>
      </c>
      <c r="AJ85" s="974" t="e">
        <f>IF($F85="","",$F85*chronic_consumption!AE85/1000/$C$3)</f>
        <v>#DIV/0!</v>
      </c>
      <c r="AK85" s="974" t="e">
        <f>IF($F85="","",$F85*chronic_consumption!AF85/1000/$C$3)</f>
        <v>#DIV/0!</v>
      </c>
      <c r="AL85" s="974" t="e">
        <f>IF($F85="","",$F85*chronic_consumption!AG85/1000/$C$3)</f>
        <v>#DIV/0!</v>
      </c>
      <c r="AM85" s="974" t="e">
        <f>IF($F85="","",$F85*chronic_consumption!AH85/1000/$C$3)</f>
        <v>#DIV/0!</v>
      </c>
      <c r="AN85" s="974" t="e">
        <f>IF($F85="","",$F85*chronic_consumption!AI85/1000/$C$3)</f>
        <v>#DIV/0!</v>
      </c>
      <c r="AO85" s="974" t="e">
        <f>IF($F85="","",$F85*chronic_consumption!AJ85/1000/$C$3)</f>
        <v>#DIV/0!</v>
      </c>
      <c r="AP85" s="974" t="e">
        <f>IF($F85="","",$F85*chronic_consumption!AK85/1000/$C$3)</f>
        <v>#DIV/0!</v>
      </c>
      <c r="AQ85" s="974" t="e">
        <f>IF($F85="","",$F85*chronic_consumption!AL85/1000/$C$3)</f>
        <v>#DIV/0!</v>
      </c>
      <c r="AR85" s="974" t="e">
        <f>IF($F85="","",$F85*chronic_consumption!AM85/1000/$C$3)</f>
        <v>#DIV/0!</v>
      </c>
      <c r="AS85" s="974" t="e">
        <f>IF($F85="","",$F85*chronic_consumption!AN85/1000/$C$3)</f>
        <v>#DIV/0!</v>
      </c>
      <c r="AT85" s="974" t="e">
        <f>IF($F85="","",$F85*chronic_consumption!AO85/1000/$C$3)</f>
        <v>#DIV/0!</v>
      </c>
      <c r="AU85" s="974"/>
      <c r="AV85" s="974" t="e">
        <f>IF($F85="","",$F85*chronic_consumption!AQ85/1000/$C$3)</f>
        <v>#DIV/0!</v>
      </c>
      <c r="AW85" s="974" t="e">
        <f>IF($F85="","",$F85*chronic_consumption!AR85/1000/$C$3)</f>
        <v>#DIV/0!</v>
      </c>
      <c r="AX85" s="974" t="e">
        <f>IF($F85="","",$F85*chronic_consumption!AS85/1000/$C$3)</f>
        <v>#DIV/0!</v>
      </c>
      <c r="AY85" s="974" t="e">
        <f>IF($F85="","",$F85*chronic_consumption!AT85/1000/$C$3)</f>
        <v>#DIV/0!</v>
      </c>
      <c r="AZ85" s="973" t="s">
        <v>19</v>
      </c>
      <c r="BA85" s="969" t="e">
        <f t="shared" si="11"/>
        <v>#DIV/0!</v>
      </c>
      <c r="BB85" s="970" t="e">
        <f t="shared" si="12"/>
        <v>#DIV/0!</v>
      </c>
      <c r="BC85" s="971" t="e">
        <f t="shared" ca="1" si="13"/>
        <v>#DIV/0!</v>
      </c>
      <c r="BD85" s="228">
        <f>input_values!Z85</f>
        <v>4</v>
      </c>
      <c r="BE85" s="152">
        <f>input_values!L85</f>
        <v>0</v>
      </c>
      <c r="BF85" s="972" t="str">
        <f t="shared" si="14"/>
        <v/>
      </c>
    </row>
    <row r="86" spans="1:58" ht="12" customHeight="1" outlineLevel="3" x14ac:dyDescent="0.2">
      <c r="A86" s="21">
        <v>4</v>
      </c>
      <c r="B86" s="23">
        <v>163020</v>
      </c>
      <c r="C86" s="23" t="s">
        <v>266</v>
      </c>
      <c r="D86" s="965">
        <f>Table22[[#This Row],[MRL individual commodity]]</f>
        <v>0</v>
      </c>
      <c r="E86" s="300" t="str">
        <f>Table22[[#This Row],[LOQ_label]]</f>
        <v/>
      </c>
      <c r="F86" s="966">
        <f>Table22[[#This Row],[Chronic RA input value]]</f>
        <v>0</v>
      </c>
      <c r="G86" s="304" t="str">
        <f>Table22[[#This Row],[Chronic RA label]]</f>
        <v/>
      </c>
      <c r="H86" s="304">
        <f>Table22[[#This Row],[GAP under assessment]]</f>
        <v>0</v>
      </c>
      <c r="I86" s="1123"/>
      <c r="J86" s="974" t="e">
        <f>IF($F86="","",$F86*chronic_consumption!$E86/1000/$C$3)</f>
        <v>#DIV/0!</v>
      </c>
      <c r="K86" s="974" t="e">
        <f>IF($F86="","",$F86*chronic_consumption!F86/1000/$C$3)</f>
        <v>#DIV/0!</v>
      </c>
      <c r="L86" s="974" t="e">
        <f>IF($F86="","",$F86*chronic_consumption!G86/1000/$C$3)</f>
        <v>#DIV/0!</v>
      </c>
      <c r="M86" s="974" t="e">
        <f>IF($F86="","",$F86*chronic_consumption!H86/1000/$C$3)</f>
        <v>#DIV/0!</v>
      </c>
      <c r="N86" s="974" t="e">
        <f>IF($F86="","",$F86*chronic_consumption!I86/1000/$C$3)</f>
        <v>#DIV/0!</v>
      </c>
      <c r="O86" s="974" t="e">
        <f>IF($F86="","",$F86*chronic_consumption!J86/1000/$C$3)</f>
        <v>#DIV/0!</v>
      </c>
      <c r="P86" s="974" t="e">
        <f>IF($F86="","",$F86*chronic_consumption!K86/1000/$C$3)</f>
        <v>#DIV/0!</v>
      </c>
      <c r="Q86" s="974" t="e">
        <f>IF($F86="","",$F86*chronic_consumption!L86/1000/$C$3)</f>
        <v>#DIV/0!</v>
      </c>
      <c r="R86" s="974" t="e">
        <f>IF($F86="","",$F86*chronic_consumption!M86/1000/$C$3)</f>
        <v>#DIV/0!</v>
      </c>
      <c r="S86" s="974" t="e">
        <f>IF($F86="","",$F86*chronic_consumption!N86/1000/$C$3)</f>
        <v>#DIV/0!</v>
      </c>
      <c r="T86" s="974" t="e">
        <f>IF($F86="","",$F86*chronic_consumption!O86/1000/$C$3)</f>
        <v>#DIV/0!</v>
      </c>
      <c r="U86" s="974" t="e">
        <f>IF($F86="","",$F86*chronic_consumption!P86/1000/$C$3)</f>
        <v>#DIV/0!</v>
      </c>
      <c r="V86" s="974" t="e">
        <f>IF($F86="","",$F86*chronic_consumption!Q86/1000/$C$3)</f>
        <v>#DIV/0!</v>
      </c>
      <c r="W86" s="974" t="e">
        <f>IF($F86="","",$F86*chronic_consumption!R86/1000/$C$3)</f>
        <v>#DIV/0!</v>
      </c>
      <c r="X86" s="974" t="e">
        <f>IF($F86="","",$F86*chronic_consumption!S86/1000/$C$3)</f>
        <v>#DIV/0!</v>
      </c>
      <c r="Y86" s="974" t="e">
        <f>IF($F86="","",$F86*chronic_consumption!T86/1000/$C$3)</f>
        <v>#DIV/0!</v>
      </c>
      <c r="Z86" s="974" t="e">
        <f>IF($F86="","",$F86*chronic_consumption!U86/1000/$C$3)</f>
        <v>#DIV/0!</v>
      </c>
      <c r="AA86" s="974" t="e">
        <f>IF($F86="","",$F86*chronic_consumption!V86/1000/$C$3)</f>
        <v>#DIV/0!</v>
      </c>
      <c r="AB86" s="974" t="e">
        <f>IF($F86="","",$F86*chronic_consumption!W86/1000/$C$3)</f>
        <v>#DIV/0!</v>
      </c>
      <c r="AC86" s="974" t="e">
        <f>IF($F86="","",$F86*chronic_consumption!X86/1000/$C$3)</f>
        <v>#DIV/0!</v>
      </c>
      <c r="AD86" s="974" t="e">
        <f>IF($F86="","",$F86*chronic_consumption!Y86/1000/$C$3)</f>
        <v>#DIV/0!</v>
      </c>
      <c r="AE86" s="974" t="e">
        <f>IF($F86="","",$F86*chronic_consumption!Z86/1000/$C$3)</f>
        <v>#DIV/0!</v>
      </c>
      <c r="AF86" s="974" t="e">
        <f>IF($F86="","",$F86*chronic_consumption!AA86/1000/$C$3)</f>
        <v>#DIV/0!</v>
      </c>
      <c r="AG86" s="974" t="e">
        <f>IF($F86="","",$F86*chronic_consumption!AB86/1000/$C$3)</f>
        <v>#DIV/0!</v>
      </c>
      <c r="AH86" s="974" t="e">
        <f>IF($F86="","",$F86*chronic_consumption!AC86/1000/$C$3)</f>
        <v>#DIV/0!</v>
      </c>
      <c r="AI86" s="974" t="e">
        <f>IF($F86="","",$F86*chronic_consumption!AD86/1000/$C$3)</f>
        <v>#DIV/0!</v>
      </c>
      <c r="AJ86" s="974" t="e">
        <f>IF($F86="","",$F86*chronic_consumption!AE86/1000/$C$3)</f>
        <v>#DIV/0!</v>
      </c>
      <c r="AK86" s="974" t="e">
        <f>IF($F86="","",$F86*chronic_consumption!AF86/1000/$C$3)</f>
        <v>#DIV/0!</v>
      </c>
      <c r="AL86" s="974" t="e">
        <f>IF($F86="","",$F86*chronic_consumption!AG86/1000/$C$3)</f>
        <v>#DIV/0!</v>
      </c>
      <c r="AM86" s="974" t="e">
        <f>IF($F86="","",$F86*chronic_consumption!AH86/1000/$C$3)</f>
        <v>#DIV/0!</v>
      </c>
      <c r="AN86" s="974" t="e">
        <f>IF($F86="","",$F86*chronic_consumption!AI86/1000/$C$3)</f>
        <v>#DIV/0!</v>
      </c>
      <c r="AO86" s="974" t="e">
        <f>IF($F86="","",$F86*chronic_consumption!AJ86/1000/$C$3)</f>
        <v>#DIV/0!</v>
      </c>
      <c r="AP86" s="974" t="e">
        <f>IF($F86="","",$F86*chronic_consumption!AK86/1000/$C$3)</f>
        <v>#DIV/0!</v>
      </c>
      <c r="AQ86" s="974" t="e">
        <f>IF($F86="","",$F86*chronic_consumption!AL86/1000/$C$3)</f>
        <v>#DIV/0!</v>
      </c>
      <c r="AR86" s="974" t="e">
        <f>IF($F86="","",$F86*chronic_consumption!AM86/1000/$C$3)</f>
        <v>#DIV/0!</v>
      </c>
      <c r="AS86" s="974" t="e">
        <f>IF($F86="","",$F86*chronic_consumption!AN86/1000/$C$3)</f>
        <v>#DIV/0!</v>
      </c>
      <c r="AT86" s="974" t="e">
        <f>IF($F86="","",$F86*chronic_consumption!AO86/1000/$C$3)</f>
        <v>#DIV/0!</v>
      </c>
      <c r="AU86" s="974"/>
      <c r="AV86" s="974" t="e">
        <f>IF($F86="","",$F86*chronic_consumption!AQ86/1000/$C$3)</f>
        <v>#DIV/0!</v>
      </c>
      <c r="AW86" s="974" t="e">
        <f>IF($F86="","",$F86*chronic_consumption!AR86/1000/$C$3)</f>
        <v>#DIV/0!</v>
      </c>
      <c r="AX86" s="974" t="e">
        <f>IF($F86="","",$F86*chronic_consumption!AS86/1000/$C$3)</f>
        <v>#DIV/0!</v>
      </c>
      <c r="AY86" s="974" t="e">
        <f>IF($F86="","",$F86*chronic_consumption!AT86/1000/$C$3)</f>
        <v>#DIV/0!</v>
      </c>
      <c r="AZ86" s="973" t="s">
        <v>19</v>
      </c>
      <c r="BA86" s="969" t="e">
        <f t="shared" si="11"/>
        <v>#DIV/0!</v>
      </c>
      <c r="BB86" s="970" t="e">
        <f t="shared" si="12"/>
        <v>#DIV/0!</v>
      </c>
      <c r="BC86" s="971" t="e">
        <f t="shared" ca="1" si="13"/>
        <v>#DIV/0!</v>
      </c>
      <c r="BD86" s="228">
        <f>input_values!Z86</f>
        <v>4</v>
      </c>
      <c r="BE86" s="152">
        <f>input_values!L86</f>
        <v>0</v>
      </c>
      <c r="BF86" s="972" t="str">
        <f t="shared" si="14"/>
        <v/>
      </c>
    </row>
    <row r="87" spans="1:58" ht="12" customHeight="1" outlineLevel="3" x14ac:dyDescent="0.2">
      <c r="A87" s="21">
        <v>4</v>
      </c>
      <c r="B87" s="23">
        <v>163030</v>
      </c>
      <c r="C87" s="23" t="s">
        <v>267</v>
      </c>
      <c r="D87" s="965">
        <f>Table22[[#This Row],[MRL individual commodity]]</f>
        <v>0</v>
      </c>
      <c r="E87" s="300" t="str">
        <f>Table22[[#This Row],[LOQ_label]]</f>
        <v/>
      </c>
      <c r="F87" s="966">
        <f>Table22[[#This Row],[Chronic RA input value]]</f>
        <v>0</v>
      </c>
      <c r="G87" s="304" t="str">
        <f>Table22[[#This Row],[Chronic RA label]]</f>
        <v/>
      </c>
      <c r="H87" s="304">
        <f>Table22[[#This Row],[GAP under assessment]]</f>
        <v>0</v>
      </c>
      <c r="I87" s="1123"/>
      <c r="J87" s="974" t="e">
        <f>IF($F87="","",$F87*chronic_consumption!$E87/1000/$C$3)</f>
        <v>#DIV/0!</v>
      </c>
      <c r="K87" s="974" t="e">
        <f>IF($F87="","",$F87*chronic_consumption!F87/1000/$C$3)</f>
        <v>#DIV/0!</v>
      </c>
      <c r="L87" s="974" t="e">
        <f>IF($F87="","",$F87*chronic_consumption!G87/1000/$C$3)</f>
        <v>#DIV/0!</v>
      </c>
      <c r="M87" s="974" t="e">
        <f>IF($F87="","",$F87*chronic_consumption!H87/1000/$C$3)</f>
        <v>#DIV/0!</v>
      </c>
      <c r="N87" s="974" t="e">
        <f>IF($F87="","",$F87*chronic_consumption!I87/1000/$C$3)</f>
        <v>#DIV/0!</v>
      </c>
      <c r="O87" s="974" t="e">
        <f>IF($F87="","",$F87*chronic_consumption!J87/1000/$C$3)</f>
        <v>#DIV/0!</v>
      </c>
      <c r="P87" s="974" t="e">
        <f>IF($F87="","",$F87*chronic_consumption!K87/1000/$C$3)</f>
        <v>#DIV/0!</v>
      </c>
      <c r="Q87" s="974" t="e">
        <f>IF($F87="","",$F87*chronic_consumption!L87/1000/$C$3)</f>
        <v>#DIV/0!</v>
      </c>
      <c r="R87" s="974" t="e">
        <f>IF($F87="","",$F87*chronic_consumption!M87/1000/$C$3)</f>
        <v>#DIV/0!</v>
      </c>
      <c r="S87" s="974" t="e">
        <f>IF($F87="","",$F87*chronic_consumption!N87/1000/$C$3)</f>
        <v>#DIV/0!</v>
      </c>
      <c r="T87" s="974" t="e">
        <f>IF($F87="","",$F87*chronic_consumption!O87/1000/$C$3)</f>
        <v>#DIV/0!</v>
      </c>
      <c r="U87" s="974" t="e">
        <f>IF($F87="","",$F87*chronic_consumption!P87/1000/$C$3)</f>
        <v>#DIV/0!</v>
      </c>
      <c r="V87" s="974" t="e">
        <f>IF($F87="","",$F87*chronic_consumption!Q87/1000/$C$3)</f>
        <v>#DIV/0!</v>
      </c>
      <c r="W87" s="974" t="e">
        <f>IF($F87="","",$F87*chronic_consumption!R87/1000/$C$3)</f>
        <v>#DIV/0!</v>
      </c>
      <c r="X87" s="974" t="e">
        <f>IF($F87="","",$F87*chronic_consumption!S87/1000/$C$3)</f>
        <v>#DIV/0!</v>
      </c>
      <c r="Y87" s="974" t="e">
        <f>IF($F87="","",$F87*chronic_consumption!T87/1000/$C$3)</f>
        <v>#DIV/0!</v>
      </c>
      <c r="Z87" s="974" t="e">
        <f>IF($F87="","",$F87*chronic_consumption!U87/1000/$C$3)</f>
        <v>#DIV/0!</v>
      </c>
      <c r="AA87" s="974" t="e">
        <f>IF($F87="","",$F87*chronic_consumption!V87/1000/$C$3)</f>
        <v>#DIV/0!</v>
      </c>
      <c r="AB87" s="974" t="e">
        <f>IF($F87="","",$F87*chronic_consumption!W87/1000/$C$3)</f>
        <v>#DIV/0!</v>
      </c>
      <c r="AC87" s="974" t="e">
        <f>IF($F87="","",$F87*chronic_consumption!X87/1000/$C$3)</f>
        <v>#DIV/0!</v>
      </c>
      <c r="AD87" s="974" t="e">
        <f>IF($F87="","",$F87*chronic_consumption!Y87/1000/$C$3)</f>
        <v>#DIV/0!</v>
      </c>
      <c r="AE87" s="974" t="e">
        <f>IF($F87="","",$F87*chronic_consumption!Z87/1000/$C$3)</f>
        <v>#DIV/0!</v>
      </c>
      <c r="AF87" s="974" t="e">
        <f>IF($F87="","",$F87*chronic_consumption!AA87/1000/$C$3)</f>
        <v>#DIV/0!</v>
      </c>
      <c r="AG87" s="974" t="e">
        <f>IF($F87="","",$F87*chronic_consumption!AB87/1000/$C$3)</f>
        <v>#DIV/0!</v>
      </c>
      <c r="AH87" s="974" t="e">
        <f>IF($F87="","",$F87*chronic_consumption!AC87/1000/$C$3)</f>
        <v>#DIV/0!</v>
      </c>
      <c r="AI87" s="974" t="e">
        <f>IF($F87="","",$F87*chronic_consumption!AD87/1000/$C$3)</f>
        <v>#DIV/0!</v>
      </c>
      <c r="AJ87" s="974" t="e">
        <f>IF($F87="","",$F87*chronic_consumption!AE87/1000/$C$3)</f>
        <v>#DIV/0!</v>
      </c>
      <c r="AK87" s="974" t="e">
        <f>IF($F87="","",$F87*chronic_consumption!AF87/1000/$C$3)</f>
        <v>#DIV/0!</v>
      </c>
      <c r="AL87" s="974" t="e">
        <f>IF($F87="","",$F87*chronic_consumption!AG87/1000/$C$3)</f>
        <v>#DIV/0!</v>
      </c>
      <c r="AM87" s="974" t="e">
        <f>IF($F87="","",$F87*chronic_consumption!AH87/1000/$C$3)</f>
        <v>#DIV/0!</v>
      </c>
      <c r="AN87" s="974" t="e">
        <f>IF($F87="","",$F87*chronic_consumption!AI87/1000/$C$3)</f>
        <v>#DIV/0!</v>
      </c>
      <c r="AO87" s="974" t="e">
        <f>IF($F87="","",$F87*chronic_consumption!AJ87/1000/$C$3)</f>
        <v>#DIV/0!</v>
      </c>
      <c r="AP87" s="974" t="e">
        <f>IF($F87="","",$F87*chronic_consumption!AK87/1000/$C$3)</f>
        <v>#DIV/0!</v>
      </c>
      <c r="AQ87" s="974" t="e">
        <f>IF($F87="","",$F87*chronic_consumption!AL87/1000/$C$3)</f>
        <v>#DIV/0!</v>
      </c>
      <c r="AR87" s="974" t="e">
        <f>IF($F87="","",$F87*chronic_consumption!AM87/1000/$C$3)</f>
        <v>#DIV/0!</v>
      </c>
      <c r="AS87" s="974" t="e">
        <f>IF($F87="","",$F87*chronic_consumption!AN87/1000/$C$3)</f>
        <v>#DIV/0!</v>
      </c>
      <c r="AT87" s="974" t="e">
        <f>IF($F87="","",$F87*chronic_consumption!AO87/1000/$C$3)</f>
        <v>#DIV/0!</v>
      </c>
      <c r="AU87" s="974"/>
      <c r="AV87" s="974" t="e">
        <f>IF($F87="","",$F87*chronic_consumption!AQ87/1000/$C$3)</f>
        <v>#DIV/0!</v>
      </c>
      <c r="AW87" s="974" t="e">
        <f>IF($F87="","",$F87*chronic_consumption!AR87/1000/$C$3)</f>
        <v>#DIV/0!</v>
      </c>
      <c r="AX87" s="974" t="e">
        <f>IF($F87="","",$F87*chronic_consumption!AS87/1000/$C$3)</f>
        <v>#DIV/0!</v>
      </c>
      <c r="AY87" s="974" t="e">
        <f>IF($F87="","",$F87*chronic_consumption!AT87/1000/$C$3)</f>
        <v>#DIV/0!</v>
      </c>
      <c r="AZ87" s="973" t="s">
        <v>19</v>
      </c>
      <c r="BA87" s="969" t="e">
        <f t="shared" si="11"/>
        <v>#DIV/0!</v>
      </c>
      <c r="BB87" s="970" t="e">
        <f t="shared" si="12"/>
        <v>#DIV/0!</v>
      </c>
      <c r="BC87" s="971" t="e">
        <f t="shared" ca="1" si="13"/>
        <v>#DIV/0!</v>
      </c>
      <c r="BD87" s="228">
        <f>input_values!Z87</f>
        <v>4</v>
      </c>
      <c r="BE87" s="152">
        <f>input_values!L87</f>
        <v>0</v>
      </c>
      <c r="BF87" s="972" t="str">
        <f t="shared" si="14"/>
        <v/>
      </c>
    </row>
    <row r="88" spans="1:58" ht="12" customHeight="1" outlineLevel="3" x14ac:dyDescent="0.2">
      <c r="A88" s="21">
        <v>4</v>
      </c>
      <c r="B88" s="23">
        <v>163040</v>
      </c>
      <c r="C88" s="23" t="s">
        <v>698</v>
      </c>
      <c r="D88" s="965">
        <f>Table22[[#This Row],[MRL individual commodity]]</f>
        <v>0</v>
      </c>
      <c r="E88" s="300" t="str">
        <f>Table22[[#This Row],[LOQ_label]]</f>
        <v/>
      </c>
      <c r="F88" s="966">
        <f>Table22[[#This Row],[Chronic RA input value]]</f>
        <v>0</v>
      </c>
      <c r="G88" s="304" t="str">
        <f>Table22[[#This Row],[Chronic RA label]]</f>
        <v/>
      </c>
      <c r="H88" s="304">
        <f>Table22[[#This Row],[GAP under assessment]]</f>
        <v>0</v>
      </c>
      <c r="I88" s="1123"/>
      <c r="J88" s="974" t="e">
        <f>IF($F88="","",$F88*chronic_consumption!$E88/1000/$C$3)</f>
        <v>#DIV/0!</v>
      </c>
      <c r="K88" s="974" t="e">
        <f>IF($F88="","",$F88*chronic_consumption!F88/1000/$C$3)</f>
        <v>#DIV/0!</v>
      </c>
      <c r="L88" s="974" t="e">
        <f>IF($F88="","",$F88*chronic_consumption!G88/1000/$C$3)</f>
        <v>#DIV/0!</v>
      </c>
      <c r="M88" s="974" t="e">
        <f>IF($F88="","",$F88*chronic_consumption!H88/1000/$C$3)</f>
        <v>#DIV/0!</v>
      </c>
      <c r="N88" s="974" t="e">
        <f>IF($F88="","",$F88*chronic_consumption!I88/1000/$C$3)</f>
        <v>#DIV/0!</v>
      </c>
      <c r="O88" s="974" t="e">
        <f>IF($F88="","",$F88*chronic_consumption!J88/1000/$C$3)</f>
        <v>#DIV/0!</v>
      </c>
      <c r="P88" s="974" t="e">
        <f>IF($F88="","",$F88*chronic_consumption!K88/1000/$C$3)</f>
        <v>#DIV/0!</v>
      </c>
      <c r="Q88" s="974" t="e">
        <f>IF($F88="","",$F88*chronic_consumption!L88/1000/$C$3)</f>
        <v>#DIV/0!</v>
      </c>
      <c r="R88" s="974" t="e">
        <f>IF($F88="","",$F88*chronic_consumption!M88/1000/$C$3)</f>
        <v>#DIV/0!</v>
      </c>
      <c r="S88" s="974" t="e">
        <f>IF($F88="","",$F88*chronic_consumption!N88/1000/$C$3)</f>
        <v>#DIV/0!</v>
      </c>
      <c r="T88" s="974" t="e">
        <f>IF($F88="","",$F88*chronic_consumption!O88/1000/$C$3)</f>
        <v>#DIV/0!</v>
      </c>
      <c r="U88" s="974" t="e">
        <f>IF($F88="","",$F88*chronic_consumption!P88/1000/$C$3)</f>
        <v>#DIV/0!</v>
      </c>
      <c r="V88" s="974" t="e">
        <f>IF($F88="","",$F88*chronic_consumption!Q88/1000/$C$3)</f>
        <v>#DIV/0!</v>
      </c>
      <c r="W88" s="974" t="e">
        <f>IF($F88="","",$F88*chronic_consumption!R88/1000/$C$3)</f>
        <v>#DIV/0!</v>
      </c>
      <c r="X88" s="974" t="e">
        <f>IF($F88="","",$F88*chronic_consumption!S88/1000/$C$3)</f>
        <v>#DIV/0!</v>
      </c>
      <c r="Y88" s="974" t="e">
        <f>IF($F88="","",$F88*chronic_consumption!T88/1000/$C$3)</f>
        <v>#DIV/0!</v>
      </c>
      <c r="Z88" s="974" t="e">
        <f>IF($F88="","",$F88*chronic_consumption!U88/1000/$C$3)</f>
        <v>#DIV/0!</v>
      </c>
      <c r="AA88" s="974" t="e">
        <f>IF($F88="","",$F88*chronic_consumption!V88/1000/$C$3)</f>
        <v>#DIV/0!</v>
      </c>
      <c r="AB88" s="974" t="e">
        <f>IF($F88="","",$F88*chronic_consumption!W88/1000/$C$3)</f>
        <v>#DIV/0!</v>
      </c>
      <c r="AC88" s="974" t="e">
        <f>IF($F88="","",$F88*chronic_consumption!X88/1000/$C$3)</f>
        <v>#DIV/0!</v>
      </c>
      <c r="AD88" s="974" t="e">
        <f>IF($F88="","",$F88*chronic_consumption!Y88/1000/$C$3)</f>
        <v>#DIV/0!</v>
      </c>
      <c r="AE88" s="974" t="e">
        <f>IF($F88="","",$F88*chronic_consumption!Z88/1000/$C$3)</f>
        <v>#DIV/0!</v>
      </c>
      <c r="AF88" s="974" t="e">
        <f>IF($F88="","",$F88*chronic_consumption!AA88/1000/$C$3)</f>
        <v>#DIV/0!</v>
      </c>
      <c r="AG88" s="974" t="e">
        <f>IF($F88="","",$F88*chronic_consumption!AB88/1000/$C$3)</f>
        <v>#DIV/0!</v>
      </c>
      <c r="AH88" s="974" t="e">
        <f>IF($F88="","",$F88*chronic_consumption!AC88/1000/$C$3)</f>
        <v>#DIV/0!</v>
      </c>
      <c r="AI88" s="974" t="e">
        <f>IF($F88="","",$F88*chronic_consumption!AD88/1000/$C$3)</f>
        <v>#DIV/0!</v>
      </c>
      <c r="AJ88" s="974" t="e">
        <f>IF($F88="","",$F88*chronic_consumption!AE88/1000/$C$3)</f>
        <v>#DIV/0!</v>
      </c>
      <c r="AK88" s="974" t="e">
        <f>IF($F88="","",$F88*chronic_consumption!AF88/1000/$C$3)</f>
        <v>#DIV/0!</v>
      </c>
      <c r="AL88" s="974" t="e">
        <f>IF($F88="","",$F88*chronic_consumption!AG88/1000/$C$3)</f>
        <v>#DIV/0!</v>
      </c>
      <c r="AM88" s="974" t="e">
        <f>IF($F88="","",$F88*chronic_consumption!AH88/1000/$C$3)</f>
        <v>#DIV/0!</v>
      </c>
      <c r="AN88" s="974" t="e">
        <f>IF($F88="","",$F88*chronic_consumption!AI88/1000/$C$3)</f>
        <v>#DIV/0!</v>
      </c>
      <c r="AO88" s="974" t="e">
        <f>IF($F88="","",$F88*chronic_consumption!AJ88/1000/$C$3)</f>
        <v>#DIV/0!</v>
      </c>
      <c r="AP88" s="974" t="e">
        <f>IF($F88="","",$F88*chronic_consumption!AK88/1000/$C$3)</f>
        <v>#DIV/0!</v>
      </c>
      <c r="AQ88" s="974" t="e">
        <f>IF($F88="","",$F88*chronic_consumption!AL88/1000/$C$3)</f>
        <v>#DIV/0!</v>
      </c>
      <c r="AR88" s="974" t="e">
        <f>IF($F88="","",$F88*chronic_consumption!AM88/1000/$C$3)</f>
        <v>#DIV/0!</v>
      </c>
      <c r="AS88" s="974" t="e">
        <f>IF($F88="","",$F88*chronic_consumption!AN88/1000/$C$3)</f>
        <v>#DIV/0!</v>
      </c>
      <c r="AT88" s="974" t="e">
        <f>IF($F88="","",$F88*chronic_consumption!AO88/1000/$C$3)</f>
        <v>#DIV/0!</v>
      </c>
      <c r="AU88" s="974"/>
      <c r="AV88" s="974" t="e">
        <f>IF($F88="","",$F88*chronic_consumption!AQ88/1000/$C$3)</f>
        <v>#DIV/0!</v>
      </c>
      <c r="AW88" s="974" t="e">
        <f>IF($F88="","",$F88*chronic_consumption!AR88/1000/$C$3)</f>
        <v>#DIV/0!</v>
      </c>
      <c r="AX88" s="974" t="e">
        <f>IF($F88="","",$F88*chronic_consumption!AS88/1000/$C$3)</f>
        <v>#DIV/0!</v>
      </c>
      <c r="AY88" s="974" t="e">
        <f>IF($F88="","",$F88*chronic_consumption!AT88/1000/$C$3)</f>
        <v>#DIV/0!</v>
      </c>
      <c r="AZ88" s="973" t="s">
        <v>19</v>
      </c>
      <c r="BA88" s="969" t="e">
        <f t="shared" si="11"/>
        <v>#DIV/0!</v>
      </c>
      <c r="BB88" s="970" t="e">
        <f t="shared" si="12"/>
        <v>#DIV/0!</v>
      </c>
      <c r="BC88" s="971" t="e">
        <f t="shared" ca="1" si="13"/>
        <v>#DIV/0!</v>
      </c>
      <c r="BD88" s="228">
        <f>input_values!Z88</f>
        <v>4</v>
      </c>
      <c r="BE88" s="152">
        <f>input_values!L88</f>
        <v>0</v>
      </c>
      <c r="BF88" s="972" t="str">
        <f t="shared" si="14"/>
        <v/>
      </c>
    </row>
    <row r="89" spans="1:58" ht="12" customHeight="1" outlineLevel="3" x14ac:dyDescent="0.2">
      <c r="A89" s="21">
        <v>4</v>
      </c>
      <c r="B89" s="23">
        <v>163050</v>
      </c>
      <c r="C89" s="23" t="s">
        <v>699</v>
      </c>
      <c r="D89" s="965">
        <f>Table22[[#This Row],[MRL individual commodity]]</f>
        <v>0</v>
      </c>
      <c r="E89" s="300" t="str">
        <f>Table22[[#This Row],[LOQ_label]]</f>
        <v/>
      </c>
      <c r="F89" s="966">
        <f>Table22[[#This Row],[Chronic RA input value]]</f>
        <v>0</v>
      </c>
      <c r="G89" s="304" t="str">
        <f>Table22[[#This Row],[Chronic RA label]]</f>
        <v/>
      </c>
      <c r="H89" s="304">
        <f>Table22[[#This Row],[GAP under assessment]]</f>
        <v>0</v>
      </c>
      <c r="I89" s="1123"/>
      <c r="J89" s="974" t="e">
        <f>IF($F89="","",$F89*chronic_consumption!$E89/1000/$C$3)</f>
        <v>#DIV/0!</v>
      </c>
      <c r="K89" s="974" t="e">
        <f>IF($F89="","",$F89*chronic_consumption!F89/1000/$C$3)</f>
        <v>#DIV/0!</v>
      </c>
      <c r="L89" s="974" t="e">
        <f>IF($F89="","",$F89*chronic_consumption!G89/1000/$C$3)</f>
        <v>#DIV/0!</v>
      </c>
      <c r="M89" s="974" t="e">
        <f>IF($F89="","",$F89*chronic_consumption!H89/1000/$C$3)</f>
        <v>#DIV/0!</v>
      </c>
      <c r="N89" s="974" t="e">
        <f>IF($F89="","",$F89*chronic_consumption!I89/1000/$C$3)</f>
        <v>#DIV/0!</v>
      </c>
      <c r="O89" s="974" t="e">
        <f>IF($F89="","",$F89*chronic_consumption!J89/1000/$C$3)</f>
        <v>#DIV/0!</v>
      </c>
      <c r="P89" s="974" t="e">
        <f>IF($F89="","",$F89*chronic_consumption!K89/1000/$C$3)</f>
        <v>#DIV/0!</v>
      </c>
      <c r="Q89" s="974" t="e">
        <f>IF($F89="","",$F89*chronic_consumption!L89/1000/$C$3)</f>
        <v>#DIV/0!</v>
      </c>
      <c r="R89" s="974" t="e">
        <f>IF($F89="","",$F89*chronic_consumption!M89/1000/$C$3)</f>
        <v>#DIV/0!</v>
      </c>
      <c r="S89" s="974" t="e">
        <f>IF($F89="","",$F89*chronic_consumption!N89/1000/$C$3)</f>
        <v>#DIV/0!</v>
      </c>
      <c r="T89" s="974" t="e">
        <f>IF($F89="","",$F89*chronic_consumption!O89/1000/$C$3)</f>
        <v>#DIV/0!</v>
      </c>
      <c r="U89" s="974" t="e">
        <f>IF($F89="","",$F89*chronic_consumption!P89/1000/$C$3)</f>
        <v>#DIV/0!</v>
      </c>
      <c r="V89" s="974" t="e">
        <f>IF($F89="","",$F89*chronic_consumption!Q89/1000/$C$3)</f>
        <v>#DIV/0!</v>
      </c>
      <c r="W89" s="974" t="e">
        <f>IF($F89="","",$F89*chronic_consumption!R89/1000/$C$3)</f>
        <v>#DIV/0!</v>
      </c>
      <c r="X89" s="974" t="e">
        <f>IF($F89="","",$F89*chronic_consumption!S89/1000/$C$3)</f>
        <v>#DIV/0!</v>
      </c>
      <c r="Y89" s="974" t="e">
        <f>IF($F89="","",$F89*chronic_consumption!T89/1000/$C$3)</f>
        <v>#DIV/0!</v>
      </c>
      <c r="Z89" s="974" t="e">
        <f>IF($F89="","",$F89*chronic_consumption!U89/1000/$C$3)</f>
        <v>#DIV/0!</v>
      </c>
      <c r="AA89" s="974" t="e">
        <f>IF($F89="","",$F89*chronic_consumption!V89/1000/$C$3)</f>
        <v>#DIV/0!</v>
      </c>
      <c r="AB89" s="974" t="e">
        <f>IF($F89="","",$F89*chronic_consumption!W89/1000/$C$3)</f>
        <v>#DIV/0!</v>
      </c>
      <c r="AC89" s="974" t="e">
        <f>IF($F89="","",$F89*chronic_consumption!X89/1000/$C$3)</f>
        <v>#DIV/0!</v>
      </c>
      <c r="AD89" s="974" t="e">
        <f>IF($F89="","",$F89*chronic_consumption!Y89/1000/$C$3)</f>
        <v>#DIV/0!</v>
      </c>
      <c r="AE89" s="974" t="e">
        <f>IF($F89="","",$F89*chronic_consumption!Z89/1000/$C$3)</f>
        <v>#DIV/0!</v>
      </c>
      <c r="AF89" s="974" t="e">
        <f>IF($F89="","",$F89*chronic_consumption!AA89/1000/$C$3)</f>
        <v>#DIV/0!</v>
      </c>
      <c r="AG89" s="974" t="e">
        <f>IF($F89="","",$F89*chronic_consumption!AB89/1000/$C$3)</f>
        <v>#DIV/0!</v>
      </c>
      <c r="AH89" s="974" t="e">
        <f>IF($F89="","",$F89*chronic_consumption!AC89/1000/$C$3)</f>
        <v>#DIV/0!</v>
      </c>
      <c r="AI89" s="974" t="e">
        <f>IF($F89="","",$F89*chronic_consumption!AD89/1000/$C$3)</f>
        <v>#DIV/0!</v>
      </c>
      <c r="AJ89" s="974" t="e">
        <f>IF($F89="","",$F89*chronic_consumption!AE89/1000/$C$3)</f>
        <v>#DIV/0!</v>
      </c>
      <c r="AK89" s="974" t="e">
        <f>IF($F89="","",$F89*chronic_consumption!AF89/1000/$C$3)</f>
        <v>#DIV/0!</v>
      </c>
      <c r="AL89" s="974" t="e">
        <f>IF($F89="","",$F89*chronic_consumption!AG89/1000/$C$3)</f>
        <v>#DIV/0!</v>
      </c>
      <c r="AM89" s="974" t="e">
        <f>IF($F89="","",$F89*chronic_consumption!AH89/1000/$C$3)</f>
        <v>#DIV/0!</v>
      </c>
      <c r="AN89" s="974" t="e">
        <f>IF($F89="","",$F89*chronic_consumption!AI89/1000/$C$3)</f>
        <v>#DIV/0!</v>
      </c>
      <c r="AO89" s="974" t="e">
        <f>IF($F89="","",$F89*chronic_consumption!AJ89/1000/$C$3)</f>
        <v>#DIV/0!</v>
      </c>
      <c r="AP89" s="974" t="e">
        <f>IF($F89="","",$F89*chronic_consumption!AK89/1000/$C$3)</f>
        <v>#DIV/0!</v>
      </c>
      <c r="AQ89" s="974" t="e">
        <f>IF($F89="","",$F89*chronic_consumption!AL89/1000/$C$3)</f>
        <v>#DIV/0!</v>
      </c>
      <c r="AR89" s="974" t="e">
        <f>IF($F89="","",$F89*chronic_consumption!AM89/1000/$C$3)</f>
        <v>#DIV/0!</v>
      </c>
      <c r="AS89" s="974" t="e">
        <f>IF($F89="","",$F89*chronic_consumption!AN89/1000/$C$3)</f>
        <v>#DIV/0!</v>
      </c>
      <c r="AT89" s="974" t="e">
        <f>IF($F89="","",$F89*chronic_consumption!AO89/1000/$C$3)</f>
        <v>#DIV/0!</v>
      </c>
      <c r="AU89" s="974"/>
      <c r="AV89" s="974" t="e">
        <f>IF($F89="","",$F89*chronic_consumption!AQ89/1000/$C$3)</f>
        <v>#DIV/0!</v>
      </c>
      <c r="AW89" s="974" t="e">
        <f>IF($F89="","",$F89*chronic_consumption!AR89/1000/$C$3)</f>
        <v>#DIV/0!</v>
      </c>
      <c r="AX89" s="974" t="e">
        <f>IF($F89="","",$F89*chronic_consumption!AS89/1000/$C$3)</f>
        <v>#DIV/0!</v>
      </c>
      <c r="AY89" s="974" t="e">
        <f>IF($F89="","",$F89*chronic_consumption!AT89/1000/$C$3)</f>
        <v>#DIV/0!</v>
      </c>
      <c r="AZ89" s="973" t="s">
        <v>19</v>
      </c>
      <c r="BA89" s="969" t="e">
        <f t="shared" si="11"/>
        <v>#DIV/0!</v>
      </c>
      <c r="BB89" s="970" t="e">
        <f t="shared" si="12"/>
        <v>#DIV/0!</v>
      </c>
      <c r="BC89" s="971" t="e">
        <f t="shared" ca="1" si="13"/>
        <v>#DIV/0!</v>
      </c>
      <c r="BD89" s="228">
        <f>input_values!Z89</f>
        <v>4</v>
      </c>
      <c r="BE89" s="152">
        <f>input_values!L89</f>
        <v>0</v>
      </c>
      <c r="BF89" s="972" t="str">
        <f t="shared" si="14"/>
        <v/>
      </c>
    </row>
    <row r="90" spans="1:58" ht="12" customHeight="1" outlineLevel="3" x14ac:dyDescent="0.2">
      <c r="A90" s="21">
        <v>4</v>
      </c>
      <c r="B90" s="23">
        <v>163060</v>
      </c>
      <c r="C90" s="23" t="s">
        <v>700</v>
      </c>
      <c r="D90" s="965">
        <f>Table22[[#This Row],[MRL individual commodity]]</f>
        <v>0</v>
      </c>
      <c r="E90" s="300" t="str">
        <f>Table22[[#This Row],[LOQ_label]]</f>
        <v/>
      </c>
      <c r="F90" s="966">
        <f>Table22[[#This Row],[Chronic RA input value]]</f>
        <v>0</v>
      </c>
      <c r="G90" s="304" t="str">
        <f>Table22[[#This Row],[Chronic RA label]]</f>
        <v/>
      </c>
      <c r="H90" s="304">
        <f>Table22[[#This Row],[GAP under assessment]]</f>
        <v>0</v>
      </c>
      <c r="I90" s="1123"/>
      <c r="J90" s="974" t="e">
        <f>IF($F90="","",$F90*chronic_consumption!$E90/1000/$C$3)</f>
        <v>#DIV/0!</v>
      </c>
      <c r="K90" s="974" t="e">
        <f>IF($F90="","",$F90*chronic_consumption!F90/1000/$C$3)</f>
        <v>#DIV/0!</v>
      </c>
      <c r="L90" s="974" t="e">
        <f>IF($F90="","",$F90*chronic_consumption!G90/1000/$C$3)</f>
        <v>#DIV/0!</v>
      </c>
      <c r="M90" s="974" t="e">
        <f>IF($F90="","",$F90*chronic_consumption!H90/1000/$C$3)</f>
        <v>#DIV/0!</v>
      </c>
      <c r="N90" s="974" t="e">
        <f>IF($F90="","",$F90*chronic_consumption!I90/1000/$C$3)</f>
        <v>#DIV/0!</v>
      </c>
      <c r="O90" s="974" t="e">
        <f>IF($F90="","",$F90*chronic_consumption!J90/1000/$C$3)</f>
        <v>#DIV/0!</v>
      </c>
      <c r="P90" s="974" t="e">
        <f>IF($F90="","",$F90*chronic_consumption!K90/1000/$C$3)</f>
        <v>#DIV/0!</v>
      </c>
      <c r="Q90" s="974" t="e">
        <f>IF($F90="","",$F90*chronic_consumption!L90/1000/$C$3)</f>
        <v>#DIV/0!</v>
      </c>
      <c r="R90" s="974" t="e">
        <f>IF($F90="","",$F90*chronic_consumption!M90/1000/$C$3)</f>
        <v>#DIV/0!</v>
      </c>
      <c r="S90" s="974" t="e">
        <f>IF($F90="","",$F90*chronic_consumption!N90/1000/$C$3)</f>
        <v>#DIV/0!</v>
      </c>
      <c r="T90" s="974" t="e">
        <f>IF($F90="","",$F90*chronic_consumption!O90/1000/$C$3)</f>
        <v>#DIV/0!</v>
      </c>
      <c r="U90" s="974" t="e">
        <f>IF($F90="","",$F90*chronic_consumption!P90/1000/$C$3)</f>
        <v>#DIV/0!</v>
      </c>
      <c r="V90" s="974" t="e">
        <f>IF($F90="","",$F90*chronic_consumption!Q90/1000/$C$3)</f>
        <v>#DIV/0!</v>
      </c>
      <c r="W90" s="974" t="e">
        <f>IF($F90="","",$F90*chronic_consumption!R90/1000/$C$3)</f>
        <v>#DIV/0!</v>
      </c>
      <c r="X90" s="974" t="e">
        <f>IF($F90="","",$F90*chronic_consumption!S90/1000/$C$3)</f>
        <v>#DIV/0!</v>
      </c>
      <c r="Y90" s="974" t="e">
        <f>IF($F90="","",$F90*chronic_consumption!T90/1000/$C$3)</f>
        <v>#DIV/0!</v>
      </c>
      <c r="Z90" s="974" t="e">
        <f>IF($F90="","",$F90*chronic_consumption!U90/1000/$C$3)</f>
        <v>#DIV/0!</v>
      </c>
      <c r="AA90" s="974" t="e">
        <f>IF($F90="","",$F90*chronic_consumption!V90/1000/$C$3)</f>
        <v>#DIV/0!</v>
      </c>
      <c r="AB90" s="974" t="e">
        <f>IF($F90="","",$F90*chronic_consumption!W90/1000/$C$3)</f>
        <v>#DIV/0!</v>
      </c>
      <c r="AC90" s="974" t="e">
        <f>IF($F90="","",$F90*chronic_consumption!X90/1000/$C$3)</f>
        <v>#DIV/0!</v>
      </c>
      <c r="AD90" s="974" t="e">
        <f>IF($F90="","",$F90*chronic_consumption!Y90/1000/$C$3)</f>
        <v>#DIV/0!</v>
      </c>
      <c r="AE90" s="974" t="e">
        <f>IF($F90="","",$F90*chronic_consumption!Z90/1000/$C$3)</f>
        <v>#DIV/0!</v>
      </c>
      <c r="AF90" s="974" t="e">
        <f>IF($F90="","",$F90*chronic_consumption!AA90/1000/$C$3)</f>
        <v>#DIV/0!</v>
      </c>
      <c r="AG90" s="974" t="e">
        <f>IF($F90="","",$F90*chronic_consumption!AB90/1000/$C$3)</f>
        <v>#DIV/0!</v>
      </c>
      <c r="AH90" s="974" t="e">
        <f>IF($F90="","",$F90*chronic_consumption!AC90/1000/$C$3)</f>
        <v>#DIV/0!</v>
      </c>
      <c r="AI90" s="974" t="e">
        <f>IF($F90="","",$F90*chronic_consumption!AD90/1000/$C$3)</f>
        <v>#DIV/0!</v>
      </c>
      <c r="AJ90" s="974" t="e">
        <f>IF($F90="","",$F90*chronic_consumption!AE90/1000/$C$3)</f>
        <v>#DIV/0!</v>
      </c>
      <c r="AK90" s="974" t="e">
        <f>IF($F90="","",$F90*chronic_consumption!AF90/1000/$C$3)</f>
        <v>#DIV/0!</v>
      </c>
      <c r="AL90" s="974" t="e">
        <f>IF($F90="","",$F90*chronic_consumption!AG90/1000/$C$3)</f>
        <v>#DIV/0!</v>
      </c>
      <c r="AM90" s="974" t="e">
        <f>IF($F90="","",$F90*chronic_consumption!AH90/1000/$C$3)</f>
        <v>#DIV/0!</v>
      </c>
      <c r="AN90" s="974" t="e">
        <f>IF($F90="","",$F90*chronic_consumption!AI90/1000/$C$3)</f>
        <v>#DIV/0!</v>
      </c>
      <c r="AO90" s="974" t="e">
        <f>IF($F90="","",$F90*chronic_consumption!AJ90/1000/$C$3)</f>
        <v>#DIV/0!</v>
      </c>
      <c r="AP90" s="974" t="e">
        <f>IF($F90="","",$F90*chronic_consumption!AK90/1000/$C$3)</f>
        <v>#DIV/0!</v>
      </c>
      <c r="AQ90" s="974" t="e">
        <f>IF($F90="","",$F90*chronic_consumption!AL90/1000/$C$3)</f>
        <v>#DIV/0!</v>
      </c>
      <c r="AR90" s="974" t="e">
        <f>IF($F90="","",$F90*chronic_consumption!AM90/1000/$C$3)</f>
        <v>#DIV/0!</v>
      </c>
      <c r="AS90" s="974" t="e">
        <f>IF($F90="","",$F90*chronic_consumption!AN90/1000/$C$3)</f>
        <v>#DIV/0!</v>
      </c>
      <c r="AT90" s="974" t="e">
        <f>IF($F90="","",$F90*chronic_consumption!AO90/1000/$C$3)</f>
        <v>#DIV/0!</v>
      </c>
      <c r="AU90" s="974"/>
      <c r="AV90" s="974" t="e">
        <f>IF($F90="","",$F90*chronic_consumption!AQ90/1000/$C$3)</f>
        <v>#DIV/0!</v>
      </c>
      <c r="AW90" s="974" t="e">
        <f>IF($F90="","",$F90*chronic_consumption!AR90/1000/$C$3)</f>
        <v>#DIV/0!</v>
      </c>
      <c r="AX90" s="974" t="e">
        <f>IF($F90="","",$F90*chronic_consumption!AS90/1000/$C$3)</f>
        <v>#DIV/0!</v>
      </c>
      <c r="AY90" s="974" t="e">
        <f>IF($F90="","",$F90*chronic_consumption!AT90/1000/$C$3)</f>
        <v>#DIV/0!</v>
      </c>
      <c r="AZ90" s="973" t="s">
        <v>19</v>
      </c>
      <c r="BA90" s="969" t="e">
        <f t="shared" si="11"/>
        <v>#DIV/0!</v>
      </c>
      <c r="BB90" s="970" t="e">
        <f t="shared" si="12"/>
        <v>#DIV/0!</v>
      </c>
      <c r="BC90" s="971" t="e">
        <f t="shared" ca="1" si="13"/>
        <v>#DIV/0!</v>
      </c>
      <c r="BD90" s="228">
        <f>input_values!Z90</f>
        <v>4</v>
      </c>
      <c r="BE90" s="152">
        <f>input_values!L90</f>
        <v>0</v>
      </c>
      <c r="BF90" s="972" t="str">
        <f t="shared" si="14"/>
        <v/>
      </c>
    </row>
    <row r="91" spans="1:58" ht="12" customHeight="1" outlineLevel="3" x14ac:dyDescent="0.2">
      <c r="A91" s="21">
        <v>4</v>
      </c>
      <c r="B91" s="23">
        <v>163070</v>
      </c>
      <c r="C91" s="23" t="s">
        <v>701</v>
      </c>
      <c r="D91" s="965">
        <f>Table22[[#This Row],[MRL individual commodity]]</f>
        <v>0</v>
      </c>
      <c r="E91" s="300" t="str">
        <f>Table22[[#This Row],[LOQ_label]]</f>
        <v/>
      </c>
      <c r="F91" s="966">
        <f>Table22[[#This Row],[Chronic RA input value]]</f>
        <v>0</v>
      </c>
      <c r="G91" s="304" t="str">
        <f>Table22[[#This Row],[Chronic RA label]]</f>
        <v/>
      </c>
      <c r="H91" s="304">
        <f>Table22[[#This Row],[GAP under assessment]]</f>
        <v>0</v>
      </c>
      <c r="I91" s="1123"/>
      <c r="J91" s="974" t="e">
        <f>IF($F91="","",$F91*chronic_consumption!$E91/1000/$C$3)</f>
        <v>#DIV/0!</v>
      </c>
      <c r="K91" s="974" t="e">
        <f>IF($F91="","",$F91*chronic_consumption!F91/1000/$C$3)</f>
        <v>#DIV/0!</v>
      </c>
      <c r="L91" s="974" t="e">
        <f>IF($F91="","",$F91*chronic_consumption!G91/1000/$C$3)</f>
        <v>#DIV/0!</v>
      </c>
      <c r="M91" s="974" t="e">
        <f>IF($F91="","",$F91*chronic_consumption!H91/1000/$C$3)</f>
        <v>#DIV/0!</v>
      </c>
      <c r="N91" s="974" t="e">
        <f>IF($F91="","",$F91*chronic_consumption!I91/1000/$C$3)</f>
        <v>#DIV/0!</v>
      </c>
      <c r="O91" s="974" t="e">
        <f>IF($F91="","",$F91*chronic_consumption!J91/1000/$C$3)</f>
        <v>#DIV/0!</v>
      </c>
      <c r="P91" s="974" t="e">
        <f>IF($F91="","",$F91*chronic_consumption!K91/1000/$C$3)</f>
        <v>#DIV/0!</v>
      </c>
      <c r="Q91" s="974" t="e">
        <f>IF($F91="","",$F91*chronic_consumption!L91/1000/$C$3)</f>
        <v>#DIV/0!</v>
      </c>
      <c r="R91" s="974" t="e">
        <f>IF($F91="","",$F91*chronic_consumption!M91/1000/$C$3)</f>
        <v>#DIV/0!</v>
      </c>
      <c r="S91" s="974" t="e">
        <f>IF($F91="","",$F91*chronic_consumption!N91/1000/$C$3)</f>
        <v>#DIV/0!</v>
      </c>
      <c r="T91" s="974" t="e">
        <f>IF($F91="","",$F91*chronic_consumption!O91/1000/$C$3)</f>
        <v>#DIV/0!</v>
      </c>
      <c r="U91" s="974" t="e">
        <f>IF($F91="","",$F91*chronic_consumption!P91/1000/$C$3)</f>
        <v>#DIV/0!</v>
      </c>
      <c r="V91" s="974" t="e">
        <f>IF($F91="","",$F91*chronic_consumption!Q91/1000/$C$3)</f>
        <v>#DIV/0!</v>
      </c>
      <c r="W91" s="974" t="e">
        <f>IF($F91="","",$F91*chronic_consumption!R91/1000/$C$3)</f>
        <v>#DIV/0!</v>
      </c>
      <c r="X91" s="974" t="e">
        <f>IF($F91="","",$F91*chronic_consumption!S91/1000/$C$3)</f>
        <v>#DIV/0!</v>
      </c>
      <c r="Y91" s="974" t="e">
        <f>IF($F91="","",$F91*chronic_consumption!T91/1000/$C$3)</f>
        <v>#DIV/0!</v>
      </c>
      <c r="Z91" s="974" t="e">
        <f>IF($F91="","",$F91*chronic_consumption!U91/1000/$C$3)</f>
        <v>#DIV/0!</v>
      </c>
      <c r="AA91" s="974" t="e">
        <f>IF($F91="","",$F91*chronic_consumption!V91/1000/$C$3)</f>
        <v>#DIV/0!</v>
      </c>
      <c r="AB91" s="974" t="e">
        <f>IF($F91="","",$F91*chronic_consumption!W91/1000/$C$3)</f>
        <v>#DIV/0!</v>
      </c>
      <c r="AC91" s="974" t="e">
        <f>IF($F91="","",$F91*chronic_consumption!X91/1000/$C$3)</f>
        <v>#DIV/0!</v>
      </c>
      <c r="AD91" s="974" t="e">
        <f>IF($F91="","",$F91*chronic_consumption!Y91/1000/$C$3)</f>
        <v>#DIV/0!</v>
      </c>
      <c r="AE91" s="974" t="e">
        <f>IF($F91="","",$F91*chronic_consumption!Z91/1000/$C$3)</f>
        <v>#DIV/0!</v>
      </c>
      <c r="AF91" s="974" t="e">
        <f>IF($F91="","",$F91*chronic_consumption!AA91/1000/$C$3)</f>
        <v>#DIV/0!</v>
      </c>
      <c r="AG91" s="974" t="e">
        <f>IF($F91="","",$F91*chronic_consumption!AB91/1000/$C$3)</f>
        <v>#DIV/0!</v>
      </c>
      <c r="AH91" s="974" t="e">
        <f>IF($F91="","",$F91*chronic_consumption!AC91/1000/$C$3)</f>
        <v>#DIV/0!</v>
      </c>
      <c r="AI91" s="974" t="e">
        <f>IF($F91="","",$F91*chronic_consumption!AD91/1000/$C$3)</f>
        <v>#DIV/0!</v>
      </c>
      <c r="AJ91" s="974" t="e">
        <f>IF($F91="","",$F91*chronic_consumption!AE91/1000/$C$3)</f>
        <v>#DIV/0!</v>
      </c>
      <c r="AK91" s="974" t="e">
        <f>IF($F91="","",$F91*chronic_consumption!AF91/1000/$C$3)</f>
        <v>#DIV/0!</v>
      </c>
      <c r="AL91" s="974" t="e">
        <f>IF($F91="","",$F91*chronic_consumption!AG91/1000/$C$3)</f>
        <v>#DIV/0!</v>
      </c>
      <c r="AM91" s="974" t="e">
        <f>IF($F91="","",$F91*chronic_consumption!AH91/1000/$C$3)</f>
        <v>#DIV/0!</v>
      </c>
      <c r="AN91" s="974" t="e">
        <f>IF($F91="","",$F91*chronic_consumption!AI91/1000/$C$3)</f>
        <v>#DIV/0!</v>
      </c>
      <c r="AO91" s="974" t="e">
        <f>IF($F91="","",$F91*chronic_consumption!AJ91/1000/$C$3)</f>
        <v>#DIV/0!</v>
      </c>
      <c r="AP91" s="974" t="e">
        <f>IF($F91="","",$F91*chronic_consumption!AK91/1000/$C$3)</f>
        <v>#DIV/0!</v>
      </c>
      <c r="AQ91" s="974" t="e">
        <f>IF($F91="","",$F91*chronic_consumption!AL91/1000/$C$3)</f>
        <v>#DIV/0!</v>
      </c>
      <c r="AR91" s="974" t="e">
        <f>IF($F91="","",$F91*chronic_consumption!AM91/1000/$C$3)</f>
        <v>#DIV/0!</v>
      </c>
      <c r="AS91" s="974" t="e">
        <f>IF($F91="","",$F91*chronic_consumption!AN91/1000/$C$3)</f>
        <v>#DIV/0!</v>
      </c>
      <c r="AT91" s="974" t="e">
        <f>IF($F91="","",$F91*chronic_consumption!AO91/1000/$C$3)</f>
        <v>#DIV/0!</v>
      </c>
      <c r="AU91" s="974"/>
      <c r="AV91" s="974" t="e">
        <f>IF($F91="","",$F91*chronic_consumption!AQ91/1000/$C$3)</f>
        <v>#DIV/0!</v>
      </c>
      <c r="AW91" s="974" t="e">
        <f>IF($F91="","",$F91*chronic_consumption!AR91/1000/$C$3)</f>
        <v>#DIV/0!</v>
      </c>
      <c r="AX91" s="974" t="e">
        <f>IF($F91="","",$F91*chronic_consumption!AS91/1000/$C$3)</f>
        <v>#DIV/0!</v>
      </c>
      <c r="AY91" s="974" t="e">
        <f>IF($F91="","",$F91*chronic_consumption!AT91/1000/$C$3)</f>
        <v>#DIV/0!</v>
      </c>
      <c r="AZ91" s="973" t="s">
        <v>19</v>
      </c>
      <c r="BA91" s="969" t="e">
        <f t="shared" si="11"/>
        <v>#DIV/0!</v>
      </c>
      <c r="BB91" s="970" t="e">
        <f t="shared" si="12"/>
        <v>#DIV/0!</v>
      </c>
      <c r="BC91" s="971" t="e">
        <f t="shared" ca="1" si="13"/>
        <v>#DIV/0!</v>
      </c>
      <c r="BD91" s="228">
        <f>input_values!Z91</f>
        <v>4</v>
      </c>
      <c r="BE91" s="152">
        <f>input_values!L91</f>
        <v>0</v>
      </c>
      <c r="BF91" s="972" t="str">
        <f t="shared" si="14"/>
        <v/>
      </c>
    </row>
    <row r="92" spans="1:58" ht="12" customHeight="1" outlineLevel="3" x14ac:dyDescent="0.2">
      <c r="A92" s="21">
        <v>4</v>
      </c>
      <c r="B92" s="23">
        <v>163080</v>
      </c>
      <c r="C92" s="23" t="s">
        <v>268</v>
      </c>
      <c r="D92" s="965">
        <f>Table22[[#This Row],[MRL individual commodity]]</f>
        <v>0</v>
      </c>
      <c r="E92" s="300" t="str">
        <f>Table22[[#This Row],[LOQ_label]]</f>
        <v/>
      </c>
      <c r="F92" s="966">
        <f>Table22[[#This Row],[Chronic RA input value]]</f>
        <v>0</v>
      </c>
      <c r="G92" s="304" t="str">
        <f>Table22[[#This Row],[Chronic RA label]]</f>
        <v/>
      </c>
      <c r="H92" s="304">
        <f>Table22[[#This Row],[GAP under assessment]]</f>
        <v>0</v>
      </c>
      <c r="I92" s="1123"/>
      <c r="J92" s="974" t="e">
        <f>IF($F92="","",$F92*chronic_consumption!$E92/1000/$C$3)</f>
        <v>#DIV/0!</v>
      </c>
      <c r="K92" s="974" t="e">
        <f>IF($F92="","",$F92*chronic_consumption!F92/1000/$C$3)</f>
        <v>#DIV/0!</v>
      </c>
      <c r="L92" s="974" t="e">
        <f>IF($F92="","",$F92*chronic_consumption!G92/1000/$C$3)</f>
        <v>#DIV/0!</v>
      </c>
      <c r="M92" s="974" t="e">
        <f>IF($F92="","",$F92*chronic_consumption!H92/1000/$C$3)</f>
        <v>#DIV/0!</v>
      </c>
      <c r="N92" s="974" t="e">
        <f>IF($F92="","",$F92*chronic_consumption!I92/1000/$C$3)</f>
        <v>#DIV/0!</v>
      </c>
      <c r="O92" s="974" t="e">
        <f>IF($F92="","",$F92*chronic_consumption!J92/1000/$C$3)</f>
        <v>#DIV/0!</v>
      </c>
      <c r="P92" s="974" t="e">
        <f>IF($F92="","",$F92*chronic_consumption!K92/1000/$C$3)</f>
        <v>#DIV/0!</v>
      </c>
      <c r="Q92" s="974" t="e">
        <f>IF($F92="","",$F92*chronic_consumption!L92/1000/$C$3)</f>
        <v>#DIV/0!</v>
      </c>
      <c r="R92" s="974" t="e">
        <f>IF($F92="","",$F92*chronic_consumption!M92/1000/$C$3)</f>
        <v>#DIV/0!</v>
      </c>
      <c r="S92" s="974" t="e">
        <f>IF($F92="","",$F92*chronic_consumption!N92/1000/$C$3)</f>
        <v>#DIV/0!</v>
      </c>
      <c r="T92" s="974" t="e">
        <f>IF($F92="","",$F92*chronic_consumption!O92/1000/$C$3)</f>
        <v>#DIV/0!</v>
      </c>
      <c r="U92" s="974" t="e">
        <f>IF($F92="","",$F92*chronic_consumption!P92/1000/$C$3)</f>
        <v>#DIV/0!</v>
      </c>
      <c r="V92" s="974" t="e">
        <f>IF($F92="","",$F92*chronic_consumption!Q92/1000/$C$3)</f>
        <v>#DIV/0!</v>
      </c>
      <c r="W92" s="974" t="e">
        <f>IF($F92="","",$F92*chronic_consumption!R92/1000/$C$3)</f>
        <v>#DIV/0!</v>
      </c>
      <c r="X92" s="974" t="e">
        <f>IF($F92="","",$F92*chronic_consumption!S92/1000/$C$3)</f>
        <v>#DIV/0!</v>
      </c>
      <c r="Y92" s="974" t="e">
        <f>IF($F92="","",$F92*chronic_consumption!T92/1000/$C$3)</f>
        <v>#DIV/0!</v>
      </c>
      <c r="Z92" s="974" t="e">
        <f>IF($F92="","",$F92*chronic_consumption!U92/1000/$C$3)</f>
        <v>#DIV/0!</v>
      </c>
      <c r="AA92" s="974" t="e">
        <f>IF($F92="","",$F92*chronic_consumption!V92/1000/$C$3)</f>
        <v>#DIV/0!</v>
      </c>
      <c r="AB92" s="974" t="e">
        <f>IF($F92="","",$F92*chronic_consumption!W92/1000/$C$3)</f>
        <v>#DIV/0!</v>
      </c>
      <c r="AC92" s="974" t="e">
        <f>IF($F92="","",$F92*chronic_consumption!X92/1000/$C$3)</f>
        <v>#DIV/0!</v>
      </c>
      <c r="AD92" s="974" t="e">
        <f>IF($F92="","",$F92*chronic_consumption!Y92/1000/$C$3)</f>
        <v>#DIV/0!</v>
      </c>
      <c r="AE92" s="974" t="e">
        <f>IF($F92="","",$F92*chronic_consumption!Z92/1000/$C$3)</f>
        <v>#DIV/0!</v>
      </c>
      <c r="AF92" s="974" t="e">
        <f>IF($F92="","",$F92*chronic_consumption!AA92/1000/$C$3)</f>
        <v>#DIV/0!</v>
      </c>
      <c r="AG92" s="974" t="e">
        <f>IF($F92="","",$F92*chronic_consumption!AB92/1000/$C$3)</f>
        <v>#DIV/0!</v>
      </c>
      <c r="AH92" s="974" t="e">
        <f>IF($F92="","",$F92*chronic_consumption!AC92/1000/$C$3)</f>
        <v>#DIV/0!</v>
      </c>
      <c r="AI92" s="974" t="e">
        <f>IF($F92="","",$F92*chronic_consumption!AD92/1000/$C$3)</f>
        <v>#DIV/0!</v>
      </c>
      <c r="AJ92" s="974" t="e">
        <f>IF($F92="","",$F92*chronic_consumption!AE92/1000/$C$3)</f>
        <v>#DIV/0!</v>
      </c>
      <c r="AK92" s="974" t="e">
        <f>IF($F92="","",$F92*chronic_consumption!AF92/1000/$C$3)</f>
        <v>#DIV/0!</v>
      </c>
      <c r="AL92" s="974" t="e">
        <f>IF($F92="","",$F92*chronic_consumption!AG92/1000/$C$3)</f>
        <v>#DIV/0!</v>
      </c>
      <c r="AM92" s="974" t="e">
        <f>IF($F92="","",$F92*chronic_consumption!AH92/1000/$C$3)</f>
        <v>#DIV/0!</v>
      </c>
      <c r="AN92" s="974" t="e">
        <f>IF($F92="","",$F92*chronic_consumption!AI92/1000/$C$3)</f>
        <v>#DIV/0!</v>
      </c>
      <c r="AO92" s="974" t="e">
        <f>IF($F92="","",$F92*chronic_consumption!AJ92/1000/$C$3)</f>
        <v>#DIV/0!</v>
      </c>
      <c r="AP92" s="974" t="e">
        <f>IF($F92="","",$F92*chronic_consumption!AK92/1000/$C$3)</f>
        <v>#DIV/0!</v>
      </c>
      <c r="AQ92" s="974" t="e">
        <f>IF($F92="","",$F92*chronic_consumption!AL92/1000/$C$3)</f>
        <v>#DIV/0!</v>
      </c>
      <c r="AR92" s="974" t="e">
        <f>IF($F92="","",$F92*chronic_consumption!AM92/1000/$C$3)</f>
        <v>#DIV/0!</v>
      </c>
      <c r="AS92" s="974" t="e">
        <f>IF($F92="","",$F92*chronic_consumption!AN92/1000/$C$3)</f>
        <v>#DIV/0!</v>
      </c>
      <c r="AT92" s="974" t="e">
        <f>IF($F92="","",$F92*chronic_consumption!AO92/1000/$C$3)</f>
        <v>#DIV/0!</v>
      </c>
      <c r="AU92" s="974"/>
      <c r="AV92" s="974" t="e">
        <f>IF($F92="","",$F92*chronic_consumption!AQ92/1000/$C$3)</f>
        <v>#DIV/0!</v>
      </c>
      <c r="AW92" s="974" t="e">
        <f>IF($F92="","",$F92*chronic_consumption!AR92/1000/$C$3)</f>
        <v>#DIV/0!</v>
      </c>
      <c r="AX92" s="974" t="e">
        <f>IF($F92="","",$F92*chronic_consumption!AS92/1000/$C$3)</f>
        <v>#DIV/0!</v>
      </c>
      <c r="AY92" s="974" t="e">
        <f>IF($F92="","",$F92*chronic_consumption!AT92/1000/$C$3)</f>
        <v>#DIV/0!</v>
      </c>
      <c r="AZ92" s="973" t="s">
        <v>19</v>
      </c>
      <c r="BA92" s="969" t="e">
        <f t="shared" si="11"/>
        <v>#DIV/0!</v>
      </c>
      <c r="BB92" s="970" t="e">
        <f t="shared" si="12"/>
        <v>#DIV/0!</v>
      </c>
      <c r="BC92" s="971" t="e">
        <f t="shared" ca="1" si="13"/>
        <v>#DIV/0!</v>
      </c>
      <c r="BD92" s="228">
        <f>input_values!Z92</f>
        <v>4</v>
      </c>
      <c r="BE92" s="152">
        <f>input_values!L92</f>
        <v>0</v>
      </c>
      <c r="BF92" s="972" t="str">
        <f t="shared" si="14"/>
        <v/>
      </c>
    </row>
    <row r="93" spans="1:58" ht="12" customHeight="1" outlineLevel="3" x14ac:dyDescent="0.2">
      <c r="A93" s="21">
        <v>4</v>
      </c>
      <c r="B93" s="23">
        <v>163090</v>
      </c>
      <c r="C93" s="23" t="s">
        <v>702</v>
      </c>
      <c r="D93" s="965">
        <f>Table22[[#This Row],[MRL individual commodity]]</f>
        <v>0</v>
      </c>
      <c r="E93" s="300" t="str">
        <f>Table22[[#This Row],[LOQ_label]]</f>
        <v/>
      </c>
      <c r="F93" s="966">
        <f>Table22[[#This Row],[Chronic RA input value]]</f>
        <v>0</v>
      </c>
      <c r="G93" s="304" t="str">
        <f>Table22[[#This Row],[Chronic RA label]]</f>
        <v/>
      </c>
      <c r="H93" s="304">
        <f>Table22[[#This Row],[GAP under assessment]]</f>
        <v>0</v>
      </c>
      <c r="I93" s="1123"/>
      <c r="J93" s="974" t="e">
        <f>IF($F93="","",$F93*chronic_consumption!$E93/1000/$C$3)</f>
        <v>#DIV/0!</v>
      </c>
      <c r="K93" s="974" t="e">
        <f>IF($F93="","",$F93*chronic_consumption!F93/1000/$C$3)</f>
        <v>#DIV/0!</v>
      </c>
      <c r="L93" s="974" t="e">
        <f>IF($F93="","",$F93*chronic_consumption!G93/1000/$C$3)</f>
        <v>#DIV/0!</v>
      </c>
      <c r="M93" s="974" t="e">
        <f>IF($F93="","",$F93*chronic_consumption!H93/1000/$C$3)</f>
        <v>#DIV/0!</v>
      </c>
      <c r="N93" s="974" t="e">
        <f>IF($F93="","",$F93*chronic_consumption!I93/1000/$C$3)</f>
        <v>#DIV/0!</v>
      </c>
      <c r="O93" s="974" t="e">
        <f>IF($F93="","",$F93*chronic_consumption!J93/1000/$C$3)</f>
        <v>#DIV/0!</v>
      </c>
      <c r="P93" s="974" t="e">
        <f>IF($F93="","",$F93*chronic_consumption!K93/1000/$C$3)</f>
        <v>#DIV/0!</v>
      </c>
      <c r="Q93" s="974" t="e">
        <f>IF($F93="","",$F93*chronic_consumption!L93/1000/$C$3)</f>
        <v>#DIV/0!</v>
      </c>
      <c r="R93" s="974" t="e">
        <f>IF($F93="","",$F93*chronic_consumption!M93/1000/$C$3)</f>
        <v>#DIV/0!</v>
      </c>
      <c r="S93" s="974" t="e">
        <f>IF($F93="","",$F93*chronic_consumption!N93/1000/$C$3)</f>
        <v>#DIV/0!</v>
      </c>
      <c r="T93" s="974" t="e">
        <f>IF($F93="","",$F93*chronic_consumption!O93/1000/$C$3)</f>
        <v>#DIV/0!</v>
      </c>
      <c r="U93" s="974" t="e">
        <f>IF($F93="","",$F93*chronic_consumption!P93/1000/$C$3)</f>
        <v>#DIV/0!</v>
      </c>
      <c r="V93" s="974" t="e">
        <f>IF($F93="","",$F93*chronic_consumption!Q93/1000/$C$3)</f>
        <v>#DIV/0!</v>
      </c>
      <c r="W93" s="974" t="e">
        <f>IF($F93="","",$F93*chronic_consumption!R93/1000/$C$3)</f>
        <v>#DIV/0!</v>
      </c>
      <c r="X93" s="974" t="e">
        <f>IF($F93="","",$F93*chronic_consumption!S93/1000/$C$3)</f>
        <v>#DIV/0!</v>
      </c>
      <c r="Y93" s="974" t="e">
        <f>IF($F93="","",$F93*chronic_consumption!T93/1000/$C$3)</f>
        <v>#DIV/0!</v>
      </c>
      <c r="Z93" s="974" t="e">
        <f>IF($F93="","",$F93*chronic_consumption!U93/1000/$C$3)</f>
        <v>#DIV/0!</v>
      </c>
      <c r="AA93" s="974" t="e">
        <f>IF($F93="","",$F93*chronic_consumption!V93/1000/$C$3)</f>
        <v>#DIV/0!</v>
      </c>
      <c r="AB93" s="974" t="e">
        <f>IF($F93="","",$F93*chronic_consumption!W93/1000/$C$3)</f>
        <v>#DIV/0!</v>
      </c>
      <c r="AC93" s="974" t="e">
        <f>IF($F93="","",$F93*chronic_consumption!X93/1000/$C$3)</f>
        <v>#DIV/0!</v>
      </c>
      <c r="AD93" s="974" t="e">
        <f>IF($F93="","",$F93*chronic_consumption!Y93/1000/$C$3)</f>
        <v>#DIV/0!</v>
      </c>
      <c r="AE93" s="974" t="e">
        <f>IF($F93="","",$F93*chronic_consumption!Z93/1000/$C$3)</f>
        <v>#DIV/0!</v>
      </c>
      <c r="AF93" s="974" t="e">
        <f>IF($F93="","",$F93*chronic_consumption!AA93/1000/$C$3)</f>
        <v>#DIV/0!</v>
      </c>
      <c r="AG93" s="974" t="e">
        <f>IF($F93="","",$F93*chronic_consumption!AB93/1000/$C$3)</f>
        <v>#DIV/0!</v>
      </c>
      <c r="AH93" s="974" t="e">
        <f>IF($F93="","",$F93*chronic_consumption!AC93/1000/$C$3)</f>
        <v>#DIV/0!</v>
      </c>
      <c r="AI93" s="974" t="e">
        <f>IF($F93="","",$F93*chronic_consumption!AD93/1000/$C$3)</f>
        <v>#DIV/0!</v>
      </c>
      <c r="AJ93" s="974" t="e">
        <f>IF($F93="","",$F93*chronic_consumption!AE93/1000/$C$3)</f>
        <v>#DIV/0!</v>
      </c>
      <c r="AK93" s="974" t="e">
        <f>IF($F93="","",$F93*chronic_consumption!AF93/1000/$C$3)</f>
        <v>#DIV/0!</v>
      </c>
      <c r="AL93" s="974" t="e">
        <f>IF($F93="","",$F93*chronic_consumption!AG93/1000/$C$3)</f>
        <v>#DIV/0!</v>
      </c>
      <c r="AM93" s="974" t="e">
        <f>IF($F93="","",$F93*chronic_consumption!AH93/1000/$C$3)</f>
        <v>#DIV/0!</v>
      </c>
      <c r="AN93" s="974" t="e">
        <f>IF($F93="","",$F93*chronic_consumption!AI93/1000/$C$3)</f>
        <v>#DIV/0!</v>
      </c>
      <c r="AO93" s="974" t="e">
        <f>IF($F93="","",$F93*chronic_consumption!AJ93/1000/$C$3)</f>
        <v>#DIV/0!</v>
      </c>
      <c r="AP93" s="974" t="e">
        <f>IF($F93="","",$F93*chronic_consumption!AK93/1000/$C$3)</f>
        <v>#DIV/0!</v>
      </c>
      <c r="AQ93" s="974" t="e">
        <f>IF($F93="","",$F93*chronic_consumption!AL93/1000/$C$3)</f>
        <v>#DIV/0!</v>
      </c>
      <c r="AR93" s="974" t="e">
        <f>IF($F93="","",$F93*chronic_consumption!AM93/1000/$C$3)</f>
        <v>#DIV/0!</v>
      </c>
      <c r="AS93" s="974" t="e">
        <f>IF($F93="","",$F93*chronic_consumption!AN93/1000/$C$3)</f>
        <v>#DIV/0!</v>
      </c>
      <c r="AT93" s="974" t="e">
        <f>IF($F93="","",$F93*chronic_consumption!AO93/1000/$C$3)</f>
        <v>#DIV/0!</v>
      </c>
      <c r="AU93" s="974"/>
      <c r="AV93" s="974" t="e">
        <f>IF($F93="","",$F93*chronic_consumption!AQ93/1000/$C$3)</f>
        <v>#DIV/0!</v>
      </c>
      <c r="AW93" s="974" t="e">
        <f>IF($F93="","",$F93*chronic_consumption!AR93/1000/$C$3)</f>
        <v>#DIV/0!</v>
      </c>
      <c r="AX93" s="974" t="e">
        <f>IF($F93="","",$F93*chronic_consumption!AS93/1000/$C$3)</f>
        <v>#DIV/0!</v>
      </c>
      <c r="AY93" s="974" t="e">
        <f>IF($F93="","",$F93*chronic_consumption!AT93/1000/$C$3)</f>
        <v>#DIV/0!</v>
      </c>
      <c r="AZ93" s="973" t="s">
        <v>19</v>
      </c>
      <c r="BA93" s="969" t="e">
        <f t="shared" si="11"/>
        <v>#DIV/0!</v>
      </c>
      <c r="BB93" s="970" t="e">
        <f t="shared" si="12"/>
        <v>#DIV/0!</v>
      </c>
      <c r="BC93" s="971" t="e">
        <f t="shared" ca="1" si="13"/>
        <v>#DIV/0!</v>
      </c>
      <c r="BD93" s="228">
        <f>input_values!Z93</f>
        <v>4</v>
      </c>
      <c r="BE93" s="152">
        <f>input_values!L93</f>
        <v>0</v>
      </c>
      <c r="BF93" s="972" t="str">
        <f t="shared" si="14"/>
        <v/>
      </c>
    </row>
    <row r="94" spans="1:58" ht="12" customHeight="1" outlineLevel="3" x14ac:dyDescent="0.2">
      <c r="A94" s="21">
        <v>4</v>
      </c>
      <c r="B94" s="23">
        <v>163100</v>
      </c>
      <c r="C94" s="23" t="s">
        <v>703</v>
      </c>
      <c r="D94" s="965">
        <f>Table22[[#This Row],[MRL individual commodity]]</f>
        <v>0</v>
      </c>
      <c r="E94" s="300" t="str">
        <f>Table22[[#This Row],[LOQ_label]]</f>
        <v/>
      </c>
      <c r="F94" s="966">
        <f>Table22[[#This Row],[Chronic RA input value]]</f>
        <v>0</v>
      </c>
      <c r="G94" s="304" t="str">
        <f>Table22[[#This Row],[Chronic RA label]]</f>
        <v/>
      </c>
      <c r="H94" s="304">
        <f>Table22[[#This Row],[GAP under assessment]]</f>
        <v>0</v>
      </c>
      <c r="I94" s="1123"/>
      <c r="J94" s="974" t="e">
        <f>IF($F94="","",$F94*chronic_consumption!$E94/1000/$C$3)</f>
        <v>#DIV/0!</v>
      </c>
      <c r="K94" s="974" t="e">
        <f>IF($F94="","",$F94*chronic_consumption!F94/1000/$C$3)</f>
        <v>#DIV/0!</v>
      </c>
      <c r="L94" s="974" t="e">
        <f>IF($F94="","",$F94*chronic_consumption!G94/1000/$C$3)</f>
        <v>#DIV/0!</v>
      </c>
      <c r="M94" s="974" t="e">
        <f>IF($F94="","",$F94*chronic_consumption!H94/1000/$C$3)</f>
        <v>#DIV/0!</v>
      </c>
      <c r="N94" s="974" t="e">
        <f>IF($F94="","",$F94*chronic_consumption!I94/1000/$C$3)</f>
        <v>#DIV/0!</v>
      </c>
      <c r="O94" s="974" t="e">
        <f>IF($F94="","",$F94*chronic_consumption!J94/1000/$C$3)</f>
        <v>#DIV/0!</v>
      </c>
      <c r="P94" s="974" t="e">
        <f>IF($F94="","",$F94*chronic_consumption!K94/1000/$C$3)</f>
        <v>#DIV/0!</v>
      </c>
      <c r="Q94" s="974" t="e">
        <f>IF($F94="","",$F94*chronic_consumption!L94/1000/$C$3)</f>
        <v>#DIV/0!</v>
      </c>
      <c r="R94" s="974" t="e">
        <f>IF($F94="","",$F94*chronic_consumption!M94/1000/$C$3)</f>
        <v>#DIV/0!</v>
      </c>
      <c r="S94" s="974" t="e">
        <f>IF($F94="","",$F94*chronic_consumption!N94/1000/$C$3)</f>
        <v>#DIV/0!</v>
      </c>
      <c r="T94" s="974" t="e">
        <f>IF($F94="","",$F94*chronic_consumption!O94/1000/$C$3)</f>
        <v>#DIV/0!</v>
      </c>
      <c r="U94" s="974" t="e">
        <f>IF($F94="","",$F94*chronic_consumption!P94/1000/$C$3)</f>
        <v>#DIV/0!</v>
      </c>
      <c r="V94" s="974" t="e">
        <f>IF($F94="","",$F94*chronic_consumption!Q94/1000/$C$3)</f>
        <v>#DIV/0!</v>
      </c>
      <c r="W94" s="974" t="e">
        <f>IF($F94="","",$F94*chronic_consumption!R94/1000/$C$3)</f>
        <v>#DIV/0!</v>
      </c>
      <c r="X94" s="974" t="e">
        <f>IF($F94="","",$F94*chronic_consumption!S94/1000/$C$3)</f>
        <v>#DIV/0!</v>
      </c>
      <c r="Y94" s="974" t="e">
        <f>IF($F94="","",$F94*chronic_consumption!T94/1000/$C$3)</f>
        <v>#DIV/0!</v>
      </c>
      <c r="Z94" s="974" t="e">
        <f>IF($F94="","",$F94*chronic_consumption!U94/1000/$C$3)</f>
        <v>#DIV/0!</v>
      </c>
      <c r="AA94" s="974" t="e">
        <f>IF($F94="","",$F94*chronic_consumption!V94/1000/$C$3)</f>
        <v>#DIV/0!</v>
      </c>
      <c r="AB94" s="974" t="e">
        <f>IF($F94="","",$F94*chronic_consumption!W94/1000/$C$3)</f>
        <v>#DIV/0!</v>
      </c>
      <c r="AC94" s="974" t="e">
        <f>IF($F94="","",$F94*chronic_consumption!X94/1000/$C$3)</f>
        <v>#DIV/0!</v>
      </c>
      <c r="AD94" s="974" t="e">
        <f>IF($F94="","",$F94*chronic_consumption!Y94/1000/$C$3)</f>
        <v>#DIV/0!</v>
      </c>
      <c r="AE94" s="974" t="e">
        <f>IF($F94="","",$F94*chronic_consumption!Z94/1000/$C$3)</f>
        <v>#DIV/0!</v>
      </c>
      <c r="AF94" s="974" t="e">
        <f>IF($F94="","",$F94*chronic_consumption!AA94/1000/$C$3)</f>
        <v>#DIV/0!</v>
      </c>
      <c r="AG94" s="974" t="e">
        <f>IF($F94="","",$F94*chronic_consumption!AB94/1000/$C$3)</f>
        <v>#DIV/0!</v>
      </c>
      <c r="AH94" s="974" t="e">
        <f>IF($F94="","",$F94*chronic_consumption!AC94/1000/$C$3)</f>
        <v>#DIV/0!</v>
      </c>
      <c r="AI94" s="974" t="e">
        <f>IF($F94="","",$F94*chronic_consumption!AD94/1000/$C$3)</f>
        <v>#DIV/0!</v>
      </c>
      <c r="AJ94" s="974" t="e">
        <f>IF($F94="","",$F94*chronic_consumption!AE94/1000/$C$3)</f>
        <v>#DIV/0!</v>
      </c>
      <c r="AK94" s="974" t="e">
        <f>IF($F94="","",$F94*chronic_consumption!AF94/1000/$C$3)</f>
        <v>#DIV/0!</v>
      </c>
      <c r="AL94" s="974" t="e">
        <f>IF($F94="","",$F94*chronic_consumption!AG94/1000/$C$3)</f>
        <v>#DIV/0!</v>
      </c>
      <c r="AM94" s="974" t="e">
        <f>IF($F94="","",$F94*chronic_consumption!AH94/1000/$C$3)</f>
        <v>#DIV/0!</v>
      </c>
      <c r="AN94" s="974" t="e">
        <f>IF($F94="","",$F94*chronic_consumption!AI94/1000/$C$3)</f>
        <v>#DIV/0!</v>
      </c>
      <c r="AO94" s="974" t="e">
        <f>IF($F94="","",$F94*chronic_consumption!AJ94/1000/$C$3)</f>
        <v>#DIV/0!</v>
      </c>
      <c r="AP94" s="974" t="e">
        <f>IF($F94="","",$F94*chronic_consumption!AK94/1000/$C$3)</f>
        <v>#DIV/0!</v>
      </c>
      <c r="AQ94" s="974" t="e">
        <f>IF($F94="","",$F94*chronic_consumption!AL94/1000/$C$3)</f>
        <v>#DIV/0!</v>
      </c>
      <c r="AR94" s="974" t="e">
        <f>IF($F94="","",$F94*chronic_consumption!AM94/1000/$C$3)</f>
        <v>#DIV/0!</v>
      </c>
      <c r="AS94" s="974" t="e">
        <f>IF($F94="","",$F94*chronic_consumption!AN94/1000/$C$3)</f>
        <v>#DIV/0!</v>
      </c>
      <c r="AT94" s="974" t="e">
        <f>IF($F94="","",$F94*chronic_consumption!AO94/1000/$C$3)</f>
        <v>#DIV/0!</v>
      </c>
      <c r="AU94" s="974"/>
      <c r="AV94" s="974" t="e">
        <f>IF($F94="","",$F94*chronic_consumption!AQ94/1000/$C$3)</f>
        <v>#DIV/0!</v>
      </c>
      <c r="AW94" s="974" t="e">
        <f>IF($F94="","",$F94*chronic_consumption!AR94/1000/$C$3)</f>
        <v>#DIV/0!</v>
      </c>
      <c r="AX94" s="974" t="e">
        <f>IF($F94="","",$F94*chronic_consumption!AS94/1000/$C$3)</f>
        <v>#DIV/0!</v>
      </c>
      <c r="AY94" s="974" t="e">
        <f>IF($F94="","",$F94*chronic_consumption!AT94/1000/$C$3)</f>
        <v>#DIV/0!</v>
      </c>
      <c r="AZ94" s="973" t="s">
        <v>19</v>
      </c>
      <c r="BA94" s="969" t="e">
        <f t="shared" si="11"/>
        <v>#DIV/0!</v>
      </c>
      <c r="BB94" s="970" t="e">
        <f t="shared" si="12"/>
        <v>#DIV/0!</v>
      </c>
      <c r="BC94" s="971" t="e">
        <f t="shared" ca="1" si="13"/>
        <v>#DIV/0!</v>
      </c>
      <c r="BD94" s="228">
        <f>input_values!Z94</f>
        <v>4</v>
      </c>
      <c r="BE94" s="152">
        <f>input_values!L94</f>
        <v>0</v>
      </c>
      <c r="BF94" s="972" t="str">
        <f t="shared" si="14"/>
        <v/>
      </c>
    </row>
    <row r="95" spans="1:58" ht="12" customHeight="1" outlineLevel="3" x14ac:dyDescent="0.2">
      <c r="A95" s="21">
        <v>4</v>
      </c>
      <c r="B95" s="23">
        <v>163110</v>
      </c>
      <c r="C95" s="23" t="s">
        <v>704</v>
      </c>
      <c r="D95" s="965">
        <f>Table22[[#This Row],[MRL individual commodity]]</f>
        <v>0</v>
      </c>
      <c r="E95" s="300" t="str">
        <f>Table22[[#This Row],[LOQ_label]]</f>
        <v/>
      </c>
      <c r="F95" s="966">
        <f>Table22[[#This Row],[Chronic RA input value]]</f>
        <v>0</v>
      </c>
      <c r="G95" s="304" t="str">
        <f>Table22[[#This Row],[Chronic RA label]]</f>
        <v/>
      </c>
      <c r="H95" s="304">
        <f>Table22[[#This Row],[GAP under assessment]]</f>
        <v>0</v>
      </c>
      <c r="I95" s="1123"/>
      <c r="J95" s="974" t="e">
        <f>IF($F95="","",$F95*chronic_consumption!$E95/1000/$C$3)</f>
        <v>#DIV/0!</v>
      </c>
      <c r="K95" s="974" t="e">
        <f>IF($F95="","",$F95*chronic_consumption!F95/1000/$C$3)</f>
        <v>#DIV/0!</v>
      </c>
      <c r="L95" s="974" t="e">
        <f>IF($F95="","",$F95*chronic_consumption!G95/1000/$C$3)</f>
        <v>#DIV/0!</v>
      </c>
      <c r="M95" s="974" t="e">
        <f>IF($F95="","",$F95*chronic_consumption!H95/1000/$C$3)</f>
        <v>#DIV/0!</v>
      </c>
      <c r="N95" s="974" t="e">
        <f>IF($F95="","",$F95*chronic_consumption!I95/1000/$C$3)</f>
        <v>#DIV/0!</v>
      </c>
      <c r="O95" s="974" t="e">
        <f>IF($F95="","",$F95*chronic_consumption!J95/1000/$C$3)</f>
        <v>#DIV/0!</v>
      </c>
      <c r="P95" s="974" t="e">
        <f>IF($F95="","",$F95*chronic_consumption!K95/1000/$C$3)</f>
        <v>#DIV/0!</v>
      </c>
      <c r="Q95" s="974" t="e">
        <f>IF($F95="","",$F95*chronic_consumption!L95/1000/$C$3)</f>
        <v>#DIV/0!</v>
      </c>
      <c r="R95" s="974" t="e">
        <f>IF($F95="","",$F95*chronic_consumption!M95/1000/$C$3)</f>
        <v>#DIV/0!</v>
      </c>
      <c r="S95" s="974" t="e">
        <f>IF($F95="","",$F95*chronic_consumption!N95/1000/$C$3)</f>
        <v>#DIV/0!</v>
      </c>
      <c r="T95" s="974" t="e">
        <f>IF($F95="","",$F95*chronic_consumption!O95/1000/$C$3)</f>
        <v>#DIV/0!</v>
      </c>
      <c r="U95" s="974" t="e">
        <f>IF($F95="","",$F95*chronic_consumption!P95/1000/$C$3)</f>
        <v>#DIV/0!</v>
      </c>
      <c r="V95" s="974" t="e">
        <f>IF($F95="","",$F95*chronic_consumption!Q95/1000/$C$3)</f>
        <v>#DIV/0!</v>
      </c>
      <c r="W95" s="974" t="e">
        <f>IF($F95="","",$F95*chronic_consumption!R95/1000/$C$3)</f>
        <v>#DIV/0!</v>
      </c>
      <c r="X95" s="974" t="e">
        <f>IF($F95="","",$F95*chronic_consumption!S95/1000/$C$3)</f>
        <v>#DIV/0!</v>
      </c>
      <c r="Y95" s="974" t="e">
        <f>IF($F95="","",$F95*chronic_consumption!T95/1000/$C$3)</f>
        <v>#DIV/0!</v>
      </c>
      <c r="Z95" s="974" t="e">
        <f>IF($F95="","",$F95*chronic_consumption!U95/1000/$C$3)</f>
        <v>#DIV/0!</v>
      </c>
      <c r="AA95" s="974" t="e">
        <f>IF($F95="","",$F95*chronic_consumption!V95/1000/$C$3)</f>
        <v>#DIV/0!</v>
      </c>
      <c r="AB95" s="974" t="e">
        <f>IF($F95="","",$F95*chronic_consumption!W95/1000/$C$3)</f>
        <v>#DIV/0!</v>
      </c>
      <c r="AC95" s="974" t="e">
        <f>IF($F95="","",$F95*chronic_consumption!X95/1000/$C$3)</f>
        <v>#DIV/0!</v>
      </c>
      <c r="AD95" s="974" t="e">
        <f>IF($F95="","",$F95*chronic_consumption!Y95/1000/$C$3)</f>
        <v>#DIV/0!</v>
      </c>
      <c r="AE95" s="974" t="e">
        <f>IF($F95="","",$F95*chronic_consumption!Z95/1000/$C$3)</f>
        <v>#DIV/0!</v>
      </c>
      <c r="AF95" s="974" t="e">
        <f>IF($F95="","",$F95*chronic_consumption!AA95/1000/$C$3)</f>
        <v>#DIV/0!</v>
      </c>
      <c r="AG95" s="974" t="e">
        <f>IF($F95="","",$F95*chronic_consumption!AB95/1000/$C$3)</f>
        <v>#DIV/0!</v>
      </c>
      <c r="AH95" s="974" t="e">
        <f>IF($F95="","",$F95*chronic_consumption!AC95/1000/$C$3)</f>
        <v>#DIV/0!</v>
      </c>
      <c r="AI95" s="974" t="e">
        <f>IF($F95="","",$F95*chronic_consumption!AD95/1000/$C$3)</f>
        <v>#DIV/0!</v>
      </c>
      <c r="AJ95" s="974" t="e">
        <f>IF($F95="","",$F95*chronic_consumption!AE95/1000/$C$3)</f>
        <v>#DIV/0!</v>
      </c>
      <c r="AK95" s="974" t="e">
        <f>IF($F95="","",$F95*chronic_consumption!AF95/1000/$C$3)</f>
        <v>#DIV/0!</v>
      </c>
      <c r="AL95" s="974" t="e">
        <f>IF($F95="","",$F95*chronic_consumption!AG95/1000/$C$3)</f>
        <v>#DIV/0!</v>
      </c>
      <c r="AM95" s="974" t="e">
        <f>IF($F95="","",$F95*chronic_consumption!AH95/1000/$C$3)</f>
        <v>#DIV/0!</v>
      </c>
      <c r="AN95" s="974" t="e">
        <f>IF($F95="","",$F95*chronic_consumption!AI95/1000/$C$3)</f>
        <v>#DIV/0!</v>
      </c>
      <c r="AO95" s="974" t="e">
        <f>IF($F95="","",$F95*chronic_consumption!AJ95/1000/$C$3)</f>
        <v>#DIV/0!</v>
      </c>
      <c r="AP95" s="974" t="e">
        <f>IF($F95="","",$F95*chronic_consumption!AK95/1000/$C$3)</f>
        <v>#DIV/0!</v>
      </c>
      <c r="AQ95" s="974" t="e">
        <f>IF($F95="","",$F95*chronic_consumption!AL95/1000/$C$3)</f>
        <v>#DIV/0!</v>
      </c>
      <c r="AR95" s="974" t="e">
        <f>IF($F95="","",$F95*chronic_consumption!AM95/1000/$C$3)</f>
        <v>#DIV/0!</v>
      </c>
      <c r="AS95" s="974" t="e">
        <f>IF($F95="","",$F95*chronic_consumption!AN95/1000/$C$3)</f>
        <v>#DIV/0!</v>
      </c>
      <c r="AT95" s="974" t="e">
        <f>IF($F95="","",$F95*chronic_consumption!AO95/1000/$C$3)</f>
        <v>#DIV/0!</v>
      </c>
      <c r="AU95" s="974"/>
      <c r="AV95" s="974" t="e">
        <f>IF($F95="","",$F95*chronic_consumption!AQ95/1000/$C$3)</f>
        <v>#DIV/0!</v>
      </c>
      <c r="AW95" s="974" t="e">
        <f>IF($F95="","",$F95*chronic_consumption!AR95/1000/$C$3)</f>
        <v>#DIV/0!</v>
      </c>
      <c r="AX95" s="974" t="e">
        <f>IF($F95="","",$F95*chronic_consumption!AS95/1000/$C$3)</f>
        <v>#DIV/0!</v>
      </c>
      <c r="AY95" s="974" t="e">
        <f>IF($F95="","",$F95*chronic_consumption!AT95/1000/$C$3)</f>
        <v>#DIV/0!</v>
      </c>
      <c r="AZ95" s="973" t="s">
        <v>19</v>
      </c>
      <c r="BA95" s="969" t="e">
        <f t="shared" si="11"/>
        <v>#DIV/0!</v>
      </c>
      <c r="BB95" s="970" t="e">
        <f t="shared" si="12"/>
        <v>#DIV/0!</v>
      </c>
      <c r="BC95" s="971" t="e">
        <f t="shared" ca="1" si="13"/>
        <v>#DIV/0!</v>
      </c>
      <c r="BD95" s="228">
        <f>input_values!Z95</f>
        <v>4</v>
      </c>
      <c r="BE95" s="152">
        <f>input_values!L95</f>
        <v>0</v>
      </c>
      <c r="BF95" s="972" t="str">
        <f t="shared" si="14"/>
        <v/>
      </c>
    </row>
    <row r="96" spans="1:58" ht="12" customHeight="1" outlineLevel="3" x14ac:dyDescent="0.2">
      <c r="A96" s="21">
        <v>4</v>
      </c>
      <c r="B96" s="23">
        <v>163990</v>
      </c>
      <c r="C96" s="23" t="s">
        <v>55</v>
      </c>
      <c r="D96" s="965">
        <f>Table22[[#This Row],[MRL individual commodity]]</f>
        <v>0</v>
      </c>
      <c r="E96" s="300" t="str">
        <f>Table22[[#This Row],[LOQ_label]]</f>
        <v/>
      </c>
      <c r="F96" s="966">
        <f>Table22[[#This Row],[Chronic RA input value]]</f>
        <v>0</v>
      </c>
      <c r="G96" s="304" t="str">
        <f>Table22[[#This Row],[Chronic RA label]]</f>
        <v/>
      </c>
      <c r="H96" s="304">
        <f>Table22[[#This Row],[GAP under assessment]]</f>
        <v>0</v>
      </c>
      <c r="I96" s="1123"/>
      <c r="J96" s="974" t="e">
        <f>IF($F96="","",$F96*chronic_consumption!$E96/1000/$C$3)</f>
        <v>#DIV/0!</v>
      </c>
      <c r="K96" s="974" t="e">
        <f>IF($F96="","",$F96*chronic_consumption!F96/1000/$C$3)</f>
        <v>#DIV/0!</v>
      </c>
      <c r="L96" s="974" t="e">
        <f>IF($F96="","",$F96*chronic_consumption!G96/1000/$C$3)</f>
        <v>#DIV/0!</v>
      </c>
      <c r="M96" s="974" t="e">
        <f>IF($F96="","",$F96*chronic_consumption!H96/1000/$C$3)</f>
        <v>#DIV/0!</v>
      </c>
      <c r="N96" s="974" t="e">
        <f>IF($F96="","",$F96*chronic_consumption!I96/1000/$C$3)</f>
        <v>#DIV/0!</v>
      </c>
      <c r="O96" s="974" t="e">
        <f>IF($F96="","",$F96*chronic_consumption!J96/1000/$C$3)</f>
        <v>#DIV/0!</v>
      </c>
      <c r="P96" s="974" t="e">
        <f>IF($F96="","",$F96*chronic_consumption!K96/1000/$C$3)</f>
        <v>#DIV/0!</v>
      </c>
      <c r="Q96" s="974" t="e">
        <f>IF($F96="","",$F96*chronic_consumption!L96/1000/$C$3)</f>
        <v>#DIV/0!</v>
      </c>
      <c r="R96" s="974" t="e">
        <f>IF($F96="","",$F96*chronic_consumption!M96/1000/$C$3)</f>
        <v>#DIV/0!</v>
      </c>
      <c r="S96" s="974" t="e">
        <f>IF($F96="","",$F96*chronic_consumption!N96/1000/$C$3)</f>
        <v>#DIV/0!</v>
      </c>
      <c r="T96" s="974" t="e">
        <f>IF($F96="","",$F96*chronic_consumption!O96/1000/$C$3)</f>
        <v>#DIV/0!</v>
      </c>
      <c r="U96" s="974" t="e">
        <f>IF($F96="","",$F96*chronic_consumption!P96/1000/$C$3)</f>
        <v>#DIV/0!</v>
      </c>
      <c r="V96" s="974" t="e">
        <f>IF($F96="","",$F96*chronic_consumption!Q96/1000/$C$3)</f>
        <v>#DIV/0!</v>
      </c>
      <c r="W96" s="974" t="e">
        <f>IF($F96="","",$F96*chronic_consumption!R96/1000/$C$3)</f>
        <v>#DIV/0!</v>
      </c>
      <c r="X96" s="974" t="e">
        <f>IF($F96="","",$F96*chronic_consumption!S96/1000/$C$3)</f>
        <v>#DIV/0!</v>
      </c>
      <c r="Y96" s="974" t="e">
        <f>IF($F96="","",$F96*chronic_consumption!T96/1000/$C$3)</f>
        <v>#DIV/0!</v>
      </c>
      <c r="Z96" s="974" t="e">
        <f>IF($F96="","",$F96*chronic_consumption!U96/1000/$C$3)</f>
        <v>#DIV/0!</v>
      </c>
      <c r="AA96" s="974" t="e">
        <f>IF($F96="","",$F96*chronic_consumption!V96/1000/$C$3)</f>
        <v>#DIV/0!</v>
      </c>
      <c r="AB96" s="974" t="e">
        <f>IF($F96="","",$F96*chronic_consumption!W96/1000/$C$3)</f>
        <v>#DIV/0!</v>
      </c>
      <c r="AC96" s="974" t="e">
        <f>IF($F96="","",$F96*chronic_consumption!X96/1000/$C$3)</f>
        <v>#DIV/0!</v>
      </c>
      <c r="AD96" s="974" t="e">
        <f>IF($F96="","",$F96*chronic_consumption!Y96/1000/$C$3)</f>
        <v>#DIV/0!</v>
      </c>
      <c r="AE96" s="974" t="e">
        <f>IF($F96="","",$F96*chronic_consumption!Z96/1000/$C$3)</f>
        <v>#DIV/0!</v>
      </c>
      <c r="AF96" s="974" t="e">
        <f>IF($F96="","",$F96*chronic_consumption!AA96/1000/$C$3)</f>
        <v>#DIV/0!</v>
      </c>
      <c r="AG96" s="974" t="e">
        <f>IF($F96="","",$F96*chronic_consumption!AB96/1000/$C$3)</f>
        <v>#DIV/0!</v>
      </c>
      <c r="AH96" s="974" t="e">
        <f>IF($F96="","",$F96*chronic_consumption!AC96/1000/$C$3)</f>
        <v>#DIV/0!</v>
      </c>
      <c r="AI96" s="974" t="e">
        <f>IF($F96="","",$F96*chronic_consumption!AD96/1000/$C$3)</f>
        <v>#DIV/0!</v>
      </c>
      <c r="AJ96" s="974" t="e">
        <f>IF($F96="","",$F96*chronic_consumption!AE96/1000/$C$3)</f>
        <v>#DIV/0!</v>
      </c>
      <c r="AK96" s="974" t="e">
        <f>IF($F96="","",$F96*chronic_consumption!AF96/1000/$C$3)</f>
        <v>#DIV/0!</v>
      </c>
      <c r="AL96" s="974" t="e">
        <f>IF($F96="","",$F96*chronic_consumption!AG96/1000/$C$3)</f>
        <v>#DIV/0!</v>
      </c>
      <c r="AM96" s="974" t="e">
        <f>IF($F96="","",$F96*chronic_consumption!AH96/1000/$C$3)</f>
        <v>#DIV/0!</v>
      </c>
      <c r="AN96" s="974" t="e">
        <f>IF($F96="","",$F96*chronic_consumption!AI96/1000/$C$3)</f>
        <v>#DIV/0!</v>
      </c>
      <c r="AO96" s="974" t="e">
        <f>IF($F96="","",$F96*chronic_consumption!AJ96/1000/$C$3)</f>
        <v>#DIV/0!</v>
      </c>
      <c r="AP96" s="974" t="e">
        <f>IF($F96="","",$F96*chronic_consumption!AK96/1000/$C$3)</f>
        <v>#DIV/0!</v>
      </c>
      <c r="AQ96" s="974" t="e">
        <f>IF($F96="","",$F96*chronic_consumption!AL96/1000/$C$3)</f>
        <v>#DIV/0!</v>
      </c>
      <c r="AR96" s="974" t="e">
        <f>IF($F96="","",$F96*chronic_consumption!AM96/1000/$C$3)</f>
        <v>#DIV/0!</v>
      </c>
      <c r="AS96" s="974" t="e">
        <f>IF($F96="","",$F96*chronic_consumption!AN96/1000/$C$3)</f>
        <v>#DIV/0!</v>
      </c>
      <c r="AT96" s="974" t="e">
        <f>IF($F96="","",$F96*chronic_consumption!AO96/1000/$C$3)</f>
        <v>#DIV/0!</v>
      </c>
      <c r="AU96" s="974"/>
      <c r="AV96" s="974" t="e">
        <f>IF($F96="","",$F96*chronic_consumption!AQ96/1000/$C$3)</f>
        <v>#DIV/0!</v>
      </c>
      <c r="AW96" s="974" t="e">
        <f>IF($F96="","",$F96*chronic_consumption!AR96/1000/$C$3)</f>
        <v>#DIV/0!</v>
      </c>
      <c r="AX96" s="974" t="e">
        <f>IF($F96="","",$F96*chronic_consumption!AS96/1000/$C$3)</f>
        <v>#DIV/0!</v>
      </c>
      <c r="AY96" s="974" t="e">
        <f>IF($F96="","",$F96*chronic_consumption!AT96/1000/$C$3)</f>
        <v>#DIV/0!</v>
      </c>
      <c r="AZ96" s="973" t="s">
        <v>19</v>
      </c>
      <c r="BA96" s="969" t="e">
        <f t="shared" si="11"/>
        <v>#DIV/0!</v>
      </c>
      <c r="BB96" s="970" t="e">
        <f t="shared" si="12"/>
        <v>#DIV/0!</v>
      </c>
      <c r="BC96" s="971" t="e">
        <f t="shared" ca="1" si="13"/>
        <v>#DIV/0!</v>
      </c>
      <c r="BD96" s="228">
        <f>input_values!Z96</f>
        <v>4</v>
      </c>
      <c r="BE96" s="152">
        <f>input_values!L96</f>
        <v>0</v>
      </c>
      <c r="BF96" s="972" t="str">
        <f t="shared" si="14"/>
        <v/>
      </c>
    </row>
    <row r="97" spans="1:58" ht="12" customHeight="1" x14ac:dyDescent="0.2">
      <c r="A97" s="299">
        <v>1</v>
      </c>
      <c r="B97" s="127">
        <v>200000</v>
      </c>
      <c r="C97" s="127" t="s">
        <v>137</v>
      </c>
      <c r="D97" s="965">
        <f>Table22[[#This Row],[MRL individual commodity]]</f>
        <v>0</v>
      </c>
      <c r="E97" s="300">
        <f>Table22[[#This Row],[LOQ_label]]</f>
        <v>0</v>
      </c>
      <c r="F97" s="966">
        <f>Table22[[#This Row],[Chronic RA input value]]</f>
        <v>0</v>
      </c>
      <c r="G97" s="304">
        <f>Table22[[#This Row],[Chronic RA label]]</f>
        <v>0</v>
      </c>
      <c r="H97" s="304">
        <f>Table22[[#This Row],[GAP under assessment]]</f>
        <v>0</v>
      </c>
      <c r="I97" s="1123"/>
      <c r="J97" s="967" t="e">
        <f>IF($F97="","",$F97*chronic_consumption!$E97/1000/$C$3)</f>
        <v>#DIV/0!</v>
      </c>
      <c r="K97" s="967" t="e">
        <f>IF($F97="","",$F97*chronic_consumption!F97/1000/$C$3)</f>
        <v>#DIV/0!</v>
      </c>
      <c r="L97" s="967" t="e">
        <f>IF($F97="","",$F97*chronic_consumption!G97/1000/$C$3)</f>
        <v>#DIV/0!</v>
      </c>
      <c r="M97" s="967" t="e">
        <f>IF($F97="","",$F97*chronic_consumption!H97/1000/$C$3)</f>
        <v>#DIV/0!</v>
      </c>
      <c r="N97" s="967" t="e">
        <f>IF($F97="","",$F97*chronic_consumption!I97/1000/$C$3)</f>
        <v>#DIV/0!</v>
      </c>
      <c r="O97" s="967" t="e">
        <f>IF($F97="","",$F97*chronic_consumption!J97/1000/$C$3)</f>
        <v>#DIV/0!</v>
      </c>
      <c r="P97" s="967" t="e">
        <f>IF($F97="","",$F97*chronic_consumption!K97/1000/$C$3)</f>
        <v>#DIV/0!</v>
      </c>
      <c r="Q97" s="967" t="e">
        <f>IF($F97="","",$F97*chronic_consumption!L97/1000/$C$3)</f>
        <v>#DIV/0!</v>
      </c>
      <c r="R97" s="967" t="e">
        <f>IF($F97="","",$F97*chronic_consumption!M97/1000/$C$3)</f>
        <v>#DIV/0!</v>
      </c>
      <c r="S97" s="967" t="e">
        <f>IF($F97="","",$F97*chronic_consumption!N97/1000/$C$3)</f>
        <v>#DIV/0!</v>
      </c>
      <c r="T97" s="967" t="e">
        <f>IF($F97="","",$F97*chronic_consumption!O97/1000/$C$3)</f>
        <v>#DIV/0!</v>
      </c>
      <c r="U97" s="967" t="e">
        <f>IF($F97="","",$F97*chronic_consumption!P97/1000/$C$3)</f>
        <v>#DIV/0!</v>
      </c>
      <c r="V97" s="967" t="e">
        <f>IF($F97="","",$F97*chronic_consumption!Q97/1000/$C$3)</f>
        <v>#DIV/0!</v>
      </c>
      <c r="W97" s="967" t="e">
        <f>IF($F97="","",$F97*chronic_consumption!R97/1000/$C$3)</f>
        <v>#DIV/0!</v>
      </c>
      <c r="X97" s="967" t="e">
        <f>IF($F97="","",$F97*chronic_consumption!S97/1000/$C$3)</f>
        <v>#DIV/0!</v>
      </c>
      <c r="Y97" s="967" t="e">
        <f>IF($F97="","",$F97*chronic_consumption!T97/1000/$C$3)</f>
        <v>#DIV/0!</v>
      </c>
      <c r="Z97" s="967" t="e">
        <f>IF($F97="","",$F97*chronic_consumption!U97/1000/$C$3)</f>
        <v>#DIV/0!</v>
      </c>
      <c r="AA97" s="967" t="e">
        <f>IF($F97="","",$F97*chronic_consumption!V97/1000/$C$3)</f>
        <v>#DIV/0!</v>
      </c>
      <c r="AB97" s="967" t="e">
        <f>IF($F97="","",$F97*chronic_consumption!W97/1000/$C$3)</f>
        <v>#DIV/0!</v>
      </c>
      <c r="AC97" s="967" t="e">
        <f>IF($F97="","",$F97*chronic_consumption!X97/1000/$C$3)</f>
        <v>#DIV/0!</v>
      </c>
      <c r="AD97" s="967" t="e">
        <f>IF($F97="","",$F97*chronic_consumption!Y97/1000/$C$3)</f>
        <v>#DIV/0!</v>
      </c>
      <c r="AE97" s="967" t="e">
        <f>IF($F97="","",$F97*chronic_consumption!Z97/1000/$C$3)</f>
        <v>#DIV/0!</v>
      </c>
      <c r="AF97" s="967" t="e">
        <f>IF($F97="","",$F97*chronic_consumption!AA97/1000/$C$3)</f>
        <v>#DIV/0!</v>
      </c>
      <c r="AG97" s="967" t="e">
        <f>IF($F97="","",$F97*chronic_consumption!AB97/1000/$C$3)</f>
        <v>#DIV/0!</v>
      </c>
      <c r="AH97" s="967" t="e">
        <f>IF($F97="","",$F97*chronic_consumption!AC97/1000/$C$3)</f>
        <v>#DIV/0!</v>
      </c>
      <c r="AI97" s="967" t="e">
        <f>IF($F97="","",$F97*chronic_consumption!AD97/1000/$C$3)</f>
        <v>#DIV/0!</v>
      </c>
      <c r="AJ97" s="967" t="e">
        <f>IF($F97="","",$F97*chronic_consumption!AE97/1000/$C$3)</f>
        <v>#DIV/0!</v>
      </c>
      <c r="AK97" s="967" t="e">
        <f>IF($F97="","",$F97*chronic_consumption!AF97/1000/$C$3)</f>
        <v>#DIV/0!</v>
      </c>
      <c r="AL97" s="967" t="e">
        <f>IF($F97="","",$F97*chronic_consumption!AG97/1000/$C$3)</f>
        <v>#DIV/0!</v>
      </c>
      <c r="AM97" s="967" t="e">
        <f>IF($F97="","",$F97*chronic_consumption!AH97/1000/$C$3)</f>
        <v>#DIV/0!</v>
      </c>
      <c r="AN97" s="967" t="e">
        <f>IF($F97="","",$F97*chronic_consumption!AI97/1000/$C$3)</f>
        <v>#DIV/0!</v>
      </c>
      <c r="AO97" s="967" t="e">
        <f>IF($F97="","",$F97*chronic_consumption!AJ97/1000/$C$3)</f>
        <v>#DIV/0!</v>
      </c>
      <c r="AP97" s="967" t="e">
        <f>IF($F97="","",$F97*chronic_consumption!AK97/1000/$C$3)</f>
        <v>#DIV/0!</v>
      </c>
      <c r="AQ97" s="967" t="e">
        <f>IF($F97="","",$F97*chronic_consumption!AL97/1000/$C$3)</f>
        <v>#DIV/0!</v>
      </c>
      <c r="AR97" s="967" t="e">
        <f>IF($F97="","",$F97*chronic_consumption!AM97/1000/$C$3)</f>
        <v>#DIV/0!</v>
      </c>
      <c r="AS97" s="967" t="e">
        <f>IF($F97="","",$F97*chronic_consumption!AN97/1000/$C$3)</f>
        <v>#DIV/0!</v>
      </c>
      <c r="AT97" s="967" t="e">
        <f>IF($F97="","",$F97*chronic_consumption!AO97/1000/$C$3)</f>
        <v>#DIV/0!</v>
      </c>
      <c r="AU97" s="967"/>
      <c r="AV97" s="967" t="e">
        <f>IF($F97="","",$F97*chronic_consumption!AQ97/1000/$C$3)</f>
        <v>#DIV/0!</v>
      </c>
      <c r="AW97" s="967" t="e">
        <f>IF($F97="","",$F97*chronic_consumption!AR97/1000/$C$3)</f>
        <v>#DIV/0!</v>
      </c>
      <c r="AX97" s="967" t="e">
        <f>IF($F97="","",$F97*chronic_consumption!AS97/1000/$C$3)</f>
        <v>#DIV/0!</v>
      </c>
      <c r="AY97" s="967" t="e">
        <f>IF($F97="","",$F97*chronic_consumption!AT97/1000/$C$3)</f>
        <v>#DIV/0!</v>
      </c>
      <c r="AZ97" s="973"/>
      <c r="BA97" s="969" t="e">
        <f t="shared" si="11"/>
        <v>#DIV/0!</v>
      </c>
      <c r="BB97" s="970" t="e">
        <f t="shared" si="12"/>
        <v>#DIV/0!</v>
      </c>
      <c r="BC97" s="971" t="e">
        <f t="shared" ca="1" si="13"/>
        <v>#DIV/0!</v>
      </c>
      <c r="BD97" s="228">
        <f>input_values!Z97</f>
        <v>4</v>
      </c>
      <c r="BE97" s="152">
        <f>input_values!L97</f>
        <v>0</v>
      </c>
      <c r="BF97" s="972" t="str">
        <f t="shared" si="14"/>
        <v/>
      </c>
    </row>
    <row r="98" spans="1:58" ht="12" customHeight="1" outlineLevel="1" x14ac:dyDescent="0.2">
      <c r="A98" s="314">
        <v>2</v>
      </c>
      <c r="B98" s="131">
        <v>210000</v>
      </c>
      <c r="C98" s="131" t="s">
        <v>138</v>
      </c>
      <c r="D98" s="965">
        <f>Table22[[#This Row],[MRL individual commodity]]</f>
        <v>0</v>
      </c>
      <c r="E98" s="300">
        <f>Table22[[#This Row],[LOQ_label]]</f>
        <v>0</v>
      </c>
      <c r="F98" s="966">
        <f>Table22[[#This Row],[Chronic RA input value]]</f>
        <v>0</v>
      </c>
      <c r="G98" s="304">
        <f>Table22[[#This Row],[Chronic RA label]]</f>
        <v>0</v>
      </c>
      <c r="H98" s="304">
        <f>Table22[[#This Row],[GAP under assessment]]</f>
        <v>0</v>
      </c>
      <c r="I98" s="1123"/>
      <c r="J98" s="967" t="e">
        <f>IF($F98="","",$F98*chronic_consumption!$E98/1000/$C$3)</f>
        <v>#DIV/0!</v>
      </c>
      <c r="K98" s="967" t="e">
        <f>IF($F98="","",$F98*chronic_consumption!F98/1000/$C$3)</f>
        <v>#DIV/0!</v>
      </c>
      <c r="L98" s="967" t="e">
        <f>IF($F98="","",$F98*chronic_consumption!G98/1000/$C$3)</f>
        <v>#DIV/0!</v>
      </c>
      <c r="M98" s="967" t="e">
        <f>IF($F98="","",$F98*chronic_consumption!H98/1000/$C$3)</f>
        <v>#DIV/0!</v>
      </c>
      <c r="N98" s="967" t="e">
        <f>IF($F98="","",$F98*chronic_consumption!I98/1000/$C$3)</f>
        <v>#DIV/0!</v>
      </c>
      <c r="O98" s="967" t="e">
        <f>IF($F98="","",$F98*chronic_consumption!J98/1000/$C$3)</f>
        <v>#DIV/0!</v>
      </c>
      <c r="P98" s="967" t="e">
        <f>IF($F98="","",$F98*chronic_consumption!K98/1000/$C$3)</f>
        <v>#DIV/0!</v>
      </c>
      <c r="Q98" s="967" t="e">
        <f>IF($F98="","",$F98*chronic_consumption!L98/1000/$C$3)</f>
        <v>#DIV/0!</v>
      </c>
      <c r="R98" s="967" t="e">
        <f>IF($F98="","",$F98*chronic_consumption!M98/1000/$C$3)</f>
        <v>#DIV/0!</v>
      </c>
      <c r="S98" s="967" t="e">
        <f>IF($F98="","",$F98*chronic_consumption!N98/1000/$C$3)</f>
        <v>#DIV/0!</v>
      </c>
      <c r="T98" s="967" t="e">
        <f>IF($F98="","",$F98*chronic_consumption!O98/1000/$C$3)</f>
        <v>#DIV/0!</v>
      </c>
      <c r="U98" s="967" t="e">
        <f>IF($F98="","",$F98*chronic_consumption!P98/1000/$C$3)</f>
        <v>#DIV/0!</v>
      </c>
      <c r="V98" s="967" t="e">
        <f>IF($F98="","",$F98*chronic_consumption!Q98/1000/$C$3)</f>
        <v>#DIV/0!</v>
      </c>
      <c r="W98" s="967" t="e">
        <f>IF($F98="","",$F98*chronic_consumption!R98/1000/$C$3)</f>
        <v>#DIV/0!</v>
      </c>
      <c r="X98" s="967" t="e">
        <f>IF($F98="","",$F98*chronic_consumption!S98/1000/$C$3)</f>
        <v>#DIV/0!</v>
      </c>
      <c r="Y98" s="967" t="e">
        <f>IF($F98="","",$F98*chronic_consumption!T98/1000/$C$3)</f>
        <v>#DIV/0!</v>
      </c>
      <c r="Z98" s="967" t="e">
        <f>IF($F98="","",$F98*chronic_consumption!U98/1000/$C$3)</f>
        <v>#DIV/0!</v>
      </c>
      <c r="AA98" s="967" t="e">
        <f>IF($F98="","",$F98*chronic_consumption!V98/1000/$C$3)</f>
        <v>#DIV/0!</v>
      </c>
      <c r="AB98" s="967" t="e">
        <f>IF($F98="","",$F98*chronic_consumption!W98/1000/$C$3)</f>
        <v>#DIV/0!</v>
      </c>
      <c r="AC98" s="967" t="e">
        <f>IF($F98="","",$F98*chronic_consumption!X98/1000/$C$3)</f>
        <v>#DIV/0!</v>
      </c>
      <c r="AD98" s="967" t="e">
        <f>IF($F98="","",$F98*chronic_consumption!Y98/1000/$C$3)</f>
        <v>#DIV/0!</v>
      </c>
      <c r="AE98" s="967" t="e">
        <f>IF($F98="","",$F98*chronic_consumption!Z98/1000/$C$3)</f>
        <v>#DIV/0!</v>
      </c>
      <c r="AF98" s="967" t="e">
        <f>IF($F98="","",$F98*chronic_consumption!AA98/1000/$C$3)</f>
        <v>#DIV/0!</v>
      </c>
      <c r="AG98" s="967" t="e">
        <f>IF($F98="","",$F98*chronic_consumption!AB98/1000/$C$3)</f>
        <v>#DIV/0!</v>
      </c>
      <c r="AH98" s="967" t="e">
        <f>IF($F98="","",$F98*chronic_consumption!AC98/1000/$C$3)</f>
        <v>#DIV/0!</v>
      </c>
      <c r="AI98" s="967" t="e">
        <f>IF($F98="","",$F98*chronic_consumption!AD98/1000/$C$3)</f>
        <v>#DIV/0!</v>
      </c>
      <c r="AJ98" s="967" t="e">
        <f>IF($F98="","",$F98*chronic_consumption!AE98/1000/$C$3)</f>
        <v>#DIV/0!</v>
      </c>
      <c r="AK98" s="967" t="e">
        <f>IF($F98="","",$F98*chronic_consumption!AF98/1000/$C$3)</f>
        <v>#DIV/0!</v>
      </c>
      <c r="AL98" s="967" t="e">
        <f>IF($F98="","",$F98*chronic_consumption!AG98/1000/$C$3)</f>
        <v>#DIV/0!</v>
      </c>
      <c r="AM98" s="967" t="e">
        <f>IF($F98="","",$F98*chronic_consumption!AH98/1000/$C$3)</f>
        <v>#DIV/0!</v>
      </c>
      <c r="AN98" s="967" t="e">
        <f>IF($F98="","",$F98*chronic_consumption!AI98/1000/$C$3)</f>
        <v>#DIV/0!</v>
      </c>
      <c r="AO98" s="967" t="e">
        <f>IF($F98="","",$F98*chronic_consumption!AJ98/1000/$C$3)</f>
        <v>#DIV/0!</v>
      </c>
      <c r="AP98" s="967" t="e">
        <f>IF($F98="","",$F98*chronic_consumption!AK98/1000/$C$3)</f>
        <v>#DIV/0!</v>
      </c>
      <c r="AQ98" s="967" t="e">
        <f>IF($F98="","",$F98*chronic_consumption!AL98/1000/$C$3)</f>
        <v>#DIV/0!</v>
      </c>
      <c r="AR98" s="967" t="e">
        <f>IF($F98="","",$F98*chronic_consumption!AM98/1000/$C$3)</f>
        <v>#DIV/0!</v>
      </c>
      <c r="AS98" s="967" t="e">
        <f>IF($F98="","",$F98*chronic_consumption!AN98/1000/$C$3)</f>
        <v>#DIV/0!</v>
      </c>
      <c r="AT98" s="967" t="e">
        <f>IF($F98="","",$F98*chronic_consumption!AO98/1000/$C$3)</f>
        <v>#DIV/0!</v>
      </c>
      <c r="AU98" s="967"/>
      <c r="AV98" s="967" t="e">
        <f>IF($F98="","",$F98*chronic_consumption!AQ98/1000/$C$3)</f>
        <v>#DIV/0!</v>
      </c>
      <c r="AW98" s="967" t="e">
        <f>IF($F98="","",$F98*chronic_consumption!AR98/1000/$C$3)</f>
        <v>#DIV/0!</v>
      </c>
      <c r="AX98" s="967" t="e">
        <f>IF($F98="","",$F98*chronic_consumption!AS98/1000/$C$3)</f>
        <v>#DIV/0!</v>
      </c>
      <c r="AY98" s="967" t="e">
        <f>IF($F98="","",$F98*chronic_consumption!AT98/1000/$C$3)</f>
        <v>#DIV/0!</v>
      </c>
      <c r="AZ98" s="973"/>
      <c r="BA98" s="969" t="e">
        <f t="shared" si="11"/>
        <v>#DIV/0!</v>
      </c>
      <c r="BB98" s="970" t="e">
        <f t="shared" si="12"/>
        <v>#DIV/0!</v>
      </c>
      <c r="BC98" s="971" t="e">
        <f t="shared" ca="1" si="13"/>
        <v>#DIV/0!</v>
      </c>
      <c r="BD98" s="228">
        <f>input_values!Z98</f>
        <v>4</v>
      </c>
      <c r="BE98" s="152">
        <f>input_values!L98</f>
        <v>0</v>
      </c>
      <c r="BF98" s="972" t="str">
        <f t="shared" si="14"/>
        <v/>
      </c>
    </row>
    <row r="99" spans="1:58" ht="12" customHeight="1" outlineLevel="2" x14ac:dyDescent="0.2">
      <c r="A99" s="341">
        <v>3</v>
      </c>
      <c r="B99" s="3">
        <v>211000</v>
      </c>
      <c r="C99" s="3" t="s">
        <v>222</v>
      </c>
      <c r="D99" s="965">
        <f>Table22[[#This Row],[MRL individual commodity]]</f>
        <v>0</v>
      </c>
      <c r="E99" s="300" t="str">
        <f>Table22[[#This Row],[LOQ_label]]</f>
        <v/>
      </c>
      <c r="F99" s="966">
        <f>Table22[[#This Row],[Chronic RA input value]]</f>
        <v>0</v>
      </c>
      <c r="G99" s="304" t="str">
        <f>Table22[[#This Row],[Chronic RA label]]</f>
        <v/>
      </c>
      <c r="H99" s="304">
        <f>Table22[[#This Row],[GAP under assessment]]</f>
        <v>0</v>
      </c>
      <c r="I99" s="1123"/>
      <c r="J99" s="974" t="e">
        <f>IF($F99="","",$F99*chronic_consumption!$E99/1000/$C$3)</f>
        <v>#DIV/0!</v>
      </c>
      <c r="K99" s="974" t="e">
        <f>IF($F99="","",$F99*chronic_consumption!F99/1000/$C$3)</f>
        <v>#DIV/0!</v>
      </c>
      <c r="L99" s="974" t="e">
        <f>IF($F99="","",$F99*chronic_consumption!G99/1000/$C$3)</f>
        <v>#DIV/0!</v>
      </c>
      <c r="M99" s="974" t="e">
        <f>IF($F99="","",$F99*chronic_consumption!H99/1000/$C$3)</f>
        <v>#DIV/0!</v>
      </c>
      <c r="N99" s="974" t="e">
        <f>IF($F99="","",$F99*chronic_consumption!I99/1000/$C$3)</f>
        <v>#DIV/0!</v>
      </c>
      <c r="O99" s="974" t="e">
        <f>IF($F99="","",$F99*chronic_consumption!J99/1000/$C$3)</f>
        <v>#DIV/0!</v>
      </c>
      <c r="P99" s="974" t="e">
        <f>IF($F99="","",$F99*chronic_consumption!K99/1000/$C$3)</f>
        <v>#DIV/0!</v>
      </c>
      <c r="Q99" s="974" t="e">
        <f>IF($F99="","",$F99*chronic_consumption!L99/1000/$C$3)</f>
        <v>#DIV/0!</v>
      </c>
      <c r="R99" s="974" t="e">
        <f>IF($F99="","",$F99*chronic_consumption!M99/1000/$C$3)</f>
        <v>#DIV/0!</v>
      </c>
      <c r="S99" s="974" t="e">
        <f>IF($F99="","",$F99*chronic_consumption!N99/1000/$C$3)</f>
        <v>#DIV/0!</v>
      </c>
      <c r="T99" s="974" t="e">
        <f>IF($F99="","",$F99*chronic_consumption!O99/1000/$C$3)</f>
        <v>#DIV/0!</v>
      </c>
      <c r="U99" s="974" t="e">
        <f>IF($F99="","",$F99*chronic_consumption!P99/1000/$C$3)</f>
        <v>#DIV/0!</v>
      </c>
      <c r="V99" s="974" t="e">
        <f>IF($F99="","",$F99*chronic_consumption!Q99/1000/$C$3)</f>
        <v>#DIV/0!</v>
      </c>
      <c r="W99" s="974" t="e">
        <f>IF($F99="","",$F99*chronic_consumption!R99/1000/$C$3)</f>
        <v>#DIV/0!</v>
      </c>
      <c r="X99" s="974" t="e">
        <f>IF($F99="","",$F99*chronic_consumption!S99/1000/$C$3)</f>
        <v>#DIV/0!</v>
      </c>
      <c r="Y99" s="974" t="e">
        <f>IF($F99="","",$F99*chronic_consumption!T99/1000/$C$3)</f>
        <v>#DIV/0!</v>
      </c>
      <c r="Z99" s="974" t="e">
        <f>IF($F99="","",$F99*chronic_consumption!U99/1000/$C$3)</f>
        <v>#DIV/0!</v>
      </c>
      <c r="AA99" s="974" t="e">
        <f>IF($F99="","",$F99*chronic_consumption!V99/1000/$C$3)</f>
        <v>#DIV/0!</v>
      </c>
      <c r="AB99" s="974" t="e">
        <f>IF($F99="","",$F99*chronic_consumption!W99/1000/$C$3)</f>
        <v>#DIV/0!</v>
      </c>
      <c r="AC99" s="974" t="e">
        <f>IF($F99="","",$F99*chronic_consumption!X99/1000/$C$3)</f>
        <v>#DIV/0!</v>
      </c>
      <c r="AD99" s="974" t="e">
        <f>IF($F99="","",$F99*chronic_consumption!Y99/1000/$C$3)</f>
        <v>#DIV/0!</v>
      </c>
      <c r="AE99" s="974" t="e">
        <f>IF($F99="","",$F99*chronic_consumption!Z99/1000/$C$3)</f>
        <v>#DIV/0!</v>
      </c>
      <c r="AF99" s="974" t="e">
        <f>IF($F99="","",$F99*chronic_consumption!AA99/1000/$C$3)</f>
        <v>#DIV/0!</v>
      </c>
      <c r="AG99" s="974" t="e">
        <f>IF($F99="","",$F99*chronic_consumption!AB99/1000/$C$3)</f>
        <v>#DIV/0!</v>
      </c>
      <c r="AH99" s="974" t="e">
        <f>IF($F99="","",$F99*chronic_consumption!AC99/1000/$C$3)</f>
        <v>#DIV/0!</v>
      </c>
      <c r="AI99" s="974" t="e">
        <f>IF($F99="","",$F99*chronic_consumption!AD99/1000/$C$3)</f>
        <v>#DIV/0!</v>
      </c>
      <c r="AJ99" s="974" t="e">
        <f>IF($F99="","",$F99*chronic_consumption!AE99/1000/$C$3)</f>
        <v>#DIV/0!</v>
      </c>
      <c r="AK99" s="974" t="e">
        <f>IF($F99="","",$F99*chronic_consumption!AF99/1000/$C$3)</f>
        <v>#DIV/0!</v>
      </c>
      <c r="AL99" s="974" t="e">
        <f>IF($F99="","",$F99*chronic_consumption!AG99/1000/$C$3)</f>
        <v>#DIV/0!</v>
      </c>
      <c r="AM99" s="974" t="e">
        <f>IF($F99="","",$F99*chronic_consumption!AH99/1000/$C$3)</f>
        <v>#DIV/0!</v>
      </c>
      <c r="AN99" s="974" t="e">
        <f>IF($F99="","",$F99*chronic_consumption!AI99/1000/$C$3)</f>
        <v>#DIV/0!</v>
      </c>
      <c r="AO99" s="974" t="e">
        <f>IF($F99="","",$F99*chronic_consumption!AJ99/1000/$C$3)</f>
        <v>#DIV/0!</v>
      </c>
      <c r="AP99" s="974" t="e">
        <f>IF($F99="","",$F99*chronic_consumption!AK99/1000/$C$3)</f>
        <v>#DIV/0!</v>
      </c>
      <c r="AQ99" s="974" t="e">
        <f>IF($F99="","",$F99*chronic_consumption!AL99/1000/$C$3)</f>
        <v>#DIV/0!</v>
      </c>
      <c r="AR99" s="974" t="e">
        <f>IF($F99="","",$F99*chronic_consumption!AM99/1000/$C$3)</f>
        <v>#DIV/0!</v>
      </c>
      <c r="AS99" s="974" t="e">
        <f>IF($F99="","",$F99*chronic_consumption!AN99/1000/$C$3)</f>
        <v>#DIV/0!</v>
      </c>
      <c r="AT99" s="974" t="e">
        <f>IF($F99="","",$F99*chronic_consumption!AO99/1000/$C$3)</f>
        <v>#DIV/0!</v>
      </c>
      <c r="AU99" s="974"/>
      <c r="AV99" s="974" t="e">
        <f>IF($F99="","",$F99*chronic_consumption!AQ99/1000/$C$3)</f>
        <v>#DIV/0!</v>
      </c>
      <c r="AW99" s="974" t="e">
        <f>IF($F99="","",$F99*chronic_consumption!AR99/1000/$C$3)</f>
        <v>#DIV/0!</v>
      </c>
      <c r="AX99" s="974" t="e">
        <f>IF($F99="","",$F99*chronic_consumption!AS99/1000/$C$3)</f>
        <v>#DIV/0!</v>
      </c>
      <c r="AY99" s="974" t="e">
        <f>IF($F99="","",$F99*chronic_consumption!AT99/1000/$C$3)</f>
        <v>#DIV/0!</v>
      </c>
      <c r="AZ99" s="973" t="s">
        <v>19</v>
      </c>
      <c r="BA99" s="969" t="e">
        <f t="shared" si="11"/>
        <v>#DIV/0!</v>
      </c>
      <c r="BB99" s="970" t="e">
        <f t="shared" si="12"/>
        <v>#DIV/0!</v>
      </c>
      <c r="BC99" s="971" t="e">
        <f t="shared" ca="1" si="13"/>
        <v>#DIV/0!</v>
      </c>
      <c r="BD99" s="228">
        <f>input_values!Z99</f>
        <v>3</v>
      </c>
      <c r="BE99" s="152">
        <f>input_values!L99</f>
        <v>0</v>
      </c>
      <c r="BF99" s="972" t="str">
        <f t="shared" si="14"/>
        <v/>
      </c>
    </row>
    <row r="100" spans="1:58" ht="12" customHeight="1" outlineLevel="2" x14ac:dyDescent="0.2">
      <c r="A100" s="341">
        <v>3</v>
      </c>
      <c r="B100" s="3">
        <v>212000</v>
      </c>
      <c r="C100" s="3" t="s">
        <v>223</v>
      </c>
      <c r="D100" s="965">
        <f>Table22[[#This Row],[MRL individual commodity]]</f>
        <v>0</v>
      </c>
      <c r="E100" s="300">
        <f>Table22[[#This Row],[LOQ_label]]</f>
        <v>0</v>
      </c>
      <c r="F100" s="966">
        <f>Table22[[#This Row],[Chronic RA input value]]</f>
        <v>0</v>
      </c>
      <c r="G100" s="304">
        <f>Table22[[#This Row],[Chronic RA label]]</f>
        <v>0</v>
      </c>
      <c r="H100" s="304">
        <f>Table22[[#This Row],[GAP under assessment]]</f>
        <v>0</v>
      </c>
      <c r="I100" s="1123"/>
      <c r="J100" s="967" t="e">
        <f>IF($F100="","",$F100*chronic_consumption!$E100/1000/$C$3)</f>
        <v>#DIV/0!</v>
      </c>
      <c r="K100" s="967" t="e">
        <f>IF($F100="","",$F100*chronic_consumption!F100/1000/$C$3)</f>
        <v>#DIV/0!</v>
      </c>
      <c r="L100" s="967" t="e">
        <f>IF($F100="","",$F100*chronic_consumption!G100/1000/$C$3)</f>
        <v>#DIV/0!</v>
      </c>
      <c r="M100" s="967" t="e">
        <f>IF($F100="","",$F100*chronic_consumption!H100/1000/$C$3)</f>
        <v>#DIV/0!</v>
      </c>
      <c r="N100" s="967" t="e">
        <f>IF($F100="","",$F100*chronic_consumption!I100/1000/$C$3)</f>
        <v>#DIV/0!</v>
      </c>
      <c r="O100" s="967" t="e">
        <f>IF($F100="","",$F100*chronic_consumption!J100/1000/$C$3)</f>
        <v>#DIV/0!</v>
      </c>
      <c r="P100" s="967" t="e">
        <f>IF($F100="","",$F100*chronic_consumption!K100/1000/$C$3)</f>
        <v>#DIV/0!</v>
      </c>
      <c r="Q100" s="967" t="e">
        <f>IF($F100="","",$F100*chronic_consumption!L100/1000/$C$3)</f>
        <v>#DIV/0!</v>
      </c>
      <c r="R100" s="967" t="e">
        <f>IF($F100="","",$F100*chronic_consumption!M100/1000/$C$3)</f>
        <v>#DIV/0!</v>
      </c>
      <c r="S100" s="967" t="e">
        <f>IF($F100="","",$F100*chronic_consumption!N100/1000/$C$3)</f>
        <v>#DIV/0!</v>
      </c>
      <c r="T100" s="967" t="e">
        <f>IF($F100="","",$F100*chronic_consumption!O100/1000/$C$3)</f>
        <v>#DIV/0!</v>
      </c>
      <c r="U100" s="967" t="e">
        <f>IF($F100="","",$F100*chronic_consumption!P100/1000/$C$3)</f>
        <v>#DIV/0!</v>
      </c>
      <c r="V100" s="967" t="e">
        <f>IF($F100="","",$F100*chronic_consumption!Q100/1000/$C$3)</f>
        <v>#DIV/0!</v>
      </c>
      <c r="W100" s="967" t="e">
        <f>IF($F100="","",$F100*chronic_consumption!R100/1000/$C$3)</f>
        <v>#DIV/0!</v>
      </c>
      <c r="X100" s="967" t="e">
        <f>IF($F100="","",$F100*chronic_consumption!S100/1000/$C$3)</f>
        <v>#DIV/0!</v>
      </c>
      <c r="Y100" s="967" t="e">
        <f>IF($F100="","",$F100*chronic_consumption!T100/1000/$C$3)</f>
        <v>#DIV/0!</v>
      </c>
      <c r="Z100" s="967" t="e">
        <f>IF($F100="","",$F100*chronic_consumption!U100/1000/$C$3)</f>
        <v>#DIV/0!</v>
      </c>
      <c r="AA100" s="967" t="e">
        <f>IF($F100="","",$F100*chronic_consumption!V100/1000/$C$3)</f>
        <v>#DIV/0!</v>
      </c>
      <c r="AB100" s="967" t="e">
        <f>IF($F100="","",$F100*chronic_consumption!W100/1000/$C$3)</f>
        <v>#DIV/0!</v>
      </c>
      <c r="AC100" s="967" t="e">
        <f>IF($F100="","",$F100*chronic_consumption!X100/1000/$C$3)</f>
        <v>#DIV/0!</v>
      </c>
      <c r="AD100" s="967" t="e">
        <f>IF($F100="","",$F100*chronic_consumption!Y100/1000/$C$3)</f>
        <v>#DIV/0!</v>
      </c>
      <c r="AE100" s="967" t="e">
        <f>IF($F100="","",$F100*chronic_consumption!Z100/1000/$C$3)</f>
        <v>#DIV/0!</v>
      </c>
      <c r="AF100" s="967" t="e">
        <f>IF($F100="","",$F100*chronic_consumption!AA100/1000/$C$3)</f>
        <v>#DIV/0!</v>
      </c>
      <c r="AG100" s="967" t="e">
        <f>IF($F100="","",$F100*chronic_consumption!AB100/1000/$C$3)</f>
        <v>#DIV/0!</v>
      </c>
      <c r="AH100" s="967" t="e">
        <f>IF($F100="","",$F100*chronic_consumption!AC100/1000/$C$3)</f>
        <v>#DIV/0!</v>
      </c>
      <c r="AI100" s="967" t="e">
        <f>IF($F100="","",$F100*chronic_consumption!AD100/1000/$C$3)</f>
        <v>#DIV/0!</v>
      </c>
      <c r="AJ100" s="967" t="e">
        <f>IF($F100="","",$F100*chronic_consumption!AE100/1000/$C$3)</f>
        <v>#DIV/0!</v>
      </c>
      <c r="AK100" s="967" t="e">
        <f>IF($F100="","",$F100*chronic_consumption!AF100/1000/$C$3)</f>
        <v>#DIV/0!</v>
      </c>
      <c r="AL100" s="967" t="e">
        <f>IF($F100="","",$F100*chronic_consumption!AG100/1000/$C$3)</f>
        <v>#DIV/0!</v>
      </c>
      <c r="AM100" s="967" t="e">
        <f>IF($F100="","",$F100*chronic_consumption!AH100/1000/$C$3)</f>
        <v>#DIV/0!</v>
      </c>
      <c r="AN100" s="967" t="e">
        <f>IF($F100="","",$F100*chronic_consumption!AI100/1000/$C$3)</f>
        <v>#DIV/0!</v>
      </c>
      <c r="AO100" s="967" t="e">
        <f>IF($F100="","",$F100*chronic_consumption!AJ100/1000/$C$3)</f>
        <v>#DIV/0!</v>
      </c>
      <c r="AP100" s="967" t="e">
        <f>IF($F100="","",$F100*chronic_consumption!AK100/1000/$C$3)</f>
        <v>#DIV/0!</v>
      </c>
      <c r="AQ100" s="967" t="e">
        <f>IF($F100="","",$F100*chronic_consumption!AL100/1000/$C$3)</f>
        <v>#DIV/0!</v>
      </c>
      <c r="AR100" s="967" t="e">
        <f>IF($F100="","",$F100*chronic_consumption!AM100/1000/$C$3)</f>
        <v>#DIV/0!</v>
      </c>
      <c r="AS100" s="967" t="e">
        <f>IF($F100="","",$F100*chronic_consumption!AN100/1000/$C$3)</f>
        <v>#DIV/0!</v>
      </c>
      <c r="AT100" s="967" t="e">
        <f>IF($F100="","",$F100*chronic_consumption!AO100/1000/$C$3)</f>
        <v>#DIV/0!</v>
      </c>
      <c r="AU100" s="967"/>
      <c r="AV100" s="967" t="e">
        <f>IF($F100="","",$F100*chronic_consumption!AQ100/1000/$C$3)</f>
        <v>#DIV/0!</v>
      </c>
      <c r="AW100" s="967" t="e">
        <f>IF($F100="","",$F100*chronic_consumption!AR100/1000/$C$3)</f>
        <v>#DIV/0!</v>
      </c>
      <c r="AX100" s="967" t="e">
        <f>IF($F100="","",$F100*chronic_consumption!AS100/1000/$C$3)</f>
        <v>#DIV/0!</v>
      </c>
      <c r="AY100" s="967" t="e">
        <f>IF($F100="","",$F100*chronic_consumption!AT100/1000/$C$3)</f>
        <v>#DIV/0!</v>
      </c>
      <c r="AZ100" s="973"/>
      <c r="BA100" s="969" t="e">
        <f t="shared" si="11"/>
        <v>#DIV/0!</v>
      </c>
      <c r="BB100" s="970" t="e">
        <f t="shared" si="12"/>
        <v>#DIV/0!</v>
      </c>
      <c r="BC100" s="971" t="e">
        <f t="shared" ca="1" si="13"/>
        <v>#DIV/0!</v>
      </c>
      <c r="BD100" s="228">
        <f>input_values!Z100</f>
        <v>4</v>
      </c>
      <c r="BE100" s="152">
        <f>input_values!L100</f>
        <v>0</v>
      </c>
      <c r="BF100" s="972" t="str">
        <f t="shared" si="14"/>
        <v/>
      </c>
    </row>
    <row r="101" spans="1:58" ht="12" customHeight="1" outlineLevel="3" x14ac:dyDescent="0.2">
      <c r="A101" s="21">
        <v>4</v>
      </c>
      <c r="B101" s="23">
        <v>212010</v>
      </c>
      <c r="C101" s="23" t="s">
        <v>705</v>
      </c>
      <c r="D101" s="965">
        <f>Table22[[#This Row],[MRL individual commodity]]</f>
        <v>0</v>
      </c>
      <c r="E101" s="300" t="str">
        <f>Table22[[#This Row],[LOQ_label]]</f>
        <v/>
      </c>
      <c r="F101" s="966">
        <f>Table22[[#This Row],[Chronic RA input value]]</f>
        <v>0</v>
      </c>
      <c r="G101" s="304" t="str">
        <f>Table22[[#This Row],[Chronic RA label]]</f>
        <v/>
      </c>
      <c r="H101" s="304">
        <f>Table22[[#This Row],[GAP under assessment]]</f>
        <v>0</v>
      </c>
      <c r="I101" s="1123"/>
      <c r="J101" s="974" t="e">
        <f>IF($F101="","",$F101*chronic_consumption!$E101/1000/$C$3)</f>
        <v>#DIV/0!</v>
      </c>
      <c r="K101" s="974" t="e">
        <f>IF($F101="","",$F101*chronic_consumption!F101/1000/$C$3)</f>
        <v>#DIV/0!</v>
      </c>
      <c r="L101" s="974" t="e">
        <f>IF($F101="","",$F101*chronic_consumption!G101/1000/$C$3)</f>
        <v>#DIV/0!</v>
      </c>
      <c r="M101" s="974" t="e">
        <f>IF($F101="","",$F101*chronic_consumption!H101/1000/$C$3)</f>
        <v>#DIV/0!</v>
      </c>
      <c r="N101" s="974" t="e">
        <f>IF($F101="","",$F101*chronic_consumption!I101/1000/$C$3)</f>
        <v>#DIV/0!</v>
      </c>
      <c r="O101" s="974" t="e">
        <f>IF($F101="","",$F101*chronic_consumption!J101/1000/$C$3)</f>
        <v>#DIV/0!</v>
      </c>
      <c r="P101" s="974" t="e">
        <f>IF($F101="","",$F101*chronic_consumption!K101/1000/$C$3)</f>
        <v>#DIV/0!</v>
      </c>
      <c r="Q101" s="974" t="e">
        <f>IF($F101="","",$F101*chronic_consumption!L101/1000/$C$3)</f>
        <v>#DIV/0!</v>
      </c>
      <c r="R101" s="974" t="e">
        <f>IF($F101="","",$F101*chronic_consumption!M101/1000/$C$3)</f>
        <v>#DIV/0!</v>
      </c>
      <c r="S101" s="974" t="e">
        <f>IF($F101="","",$F101*chronic_consumption!N101/1000/$C$3)</f>
        <v>#DIV/0!</v>
      </c>
      <c r="T101" s="974" t="e">
        <f>IF($F101="","",$F101*chronic_consumption!O101/1000/$C$3)</f>
        <v>#DIV/0!</v>
      </c>
      <c r="U101" s="974" t="e">
        <f>IF($F101="","",$F101*chronic_consumption!P101/1000/$C$3)</f>
        <v>#DIV/0!</v>
      </c>
      <c r="V101" s="974" t="e">
        <f>IF($F101="","",$F101*chronic_consumption!Q101/1000/$C$3)</f>
        <v>#DIV/0!</v>
      </c>
      <c r="W101" s="974" t="e">
        <f>IF($F101="","",$F101*chronic_consumption!R101/1000/$C$3)</f>
        <v>#DIV/0!</v>
      </c>
      <c r="X101" s="974" t="e">
        <f>IF($F101="","",$F101*chronic_consumption!S101/1000/$C$3)</f>
        <v>#DIV/0!</v>
      </c>
      <c r="Y101" s="974" t="e">
        <f>IF($F101="","",$F101*chronic_consumption!T101/1000/$C$3)</f>
        <v>#DIV/0!</v>
      </c>
      <c r="Z101" s="974" t="e">
        <f>IF($F101="","",$F101*chronic_consumption!U101/1000/$C$3)</f>
        <v>#DIV/0!</v>
      </c>
      <c r="AA101" s="974" t="e">
        <f>IF($F101="","",$F101*chronic_consumption!V101/1000/$C$3)</f>
        <v>#DIV/0!</v>
      </c>
      <c r="AB101" s="974" t="e">
        <f>IF($F101="","",$F101*chronic_consumption!W101/1000/$C$3)</f>
        <v>#DIV/0!</v>
      </c>
      <c r="AC101" s="974" t="e">
        <f>IF($F101="","",$F101*chronic_consumption!X101/1000/$C$3)</f>
        <v>#DIV/0!</v>
      </c>
      <c r="AD101" s="974" t="e">
        <f>IF($F101="","",$F101*chronic_consumption!Y101/1000/$C$3)</f>
        <v>#DIV/0!</v>
      </c>
      <c r="AE101" s="974" t="e">
        <f>IF($F101="","",$F101*chronic_consumption!Z101/1000/$C$3)</f>
        <v>#DIV/0!</v>
      </c>
      <c r="AF101" s="974" t="e">
        <f>IF($F101="","",$F101*chronic_consumption!AA101/1000/$C$3)</f>
        <v>#DIV/0!</v>
      </c>
      <c r="AG101" s="974" t="e">
        <f>IF($F101="","",$F101*chronic_consumption!AB101/1000/$C$3)</f>
        <v>#DIV/0!</v>
      </c>
      <c r="AH101" s="974" t="e">
        <f>IF($F101="","",$F101*chronic_consumption!AC101/1000/$C$3)</f>
        <v>#DIV/0!</v>
      </c>
      <c r="AI101" s="974" t="e">
        <f>IF($F101="","",$F101*chronic_consumption!AD101/1000/$C$3)</f>
        <v>#DIV/0!</v>
      </c>
      <c r="AJ101" s="974" t="e">
        <f>IF($F101="","",$F101*chronic_consumption!AE101/1000/$C$3)</f>
        <v>#DIV/0!</v>
      </c>
      <c r="AK101" s="974" t="e">
        <f>IF($F101="","",$F101*chronic_consumption!AF101/1000/$C$3)</f>
        <v>#DIV/0!</v>
      </c>
      <c r="AL101" s="974" t="e">
        <f>IF($F101="","",$F101*chronic_consumption!AG101/1000/$C$3)</f>
        <v>#DIV/0!</v>
      </c>
      <c r="AM101" s="974" t="e">
        <f>IF($F101="","",$F101*chronic_consumption!AH101/1000/$C$3)</f>
        <v>#DIV/0!</v>
      </c>
      <c r="AN101" s="974" t="e">
        <f>IF($F101="","",$F101*chronic_consumption!AI101/1000/$C$3)</f>
        <v>#DIV/0!</v>
      </c>
      <c r="AO101" s="974" t="e">
        <f>IF($F101="","",$F101*chronic_consumption!AJ101/1000/$C$3)</f>
        <v>#DIV/0!</v>
      </c>
      <c r="AP101" s="974" t="e">
        <f>IF($F101="","",$F101*chronic_consumption!AK101/1000/$C$3)</f>
        <v>#DIV/0!</v>
      </c>
      <c r="AQ101" s="974" t="e">
        <f>IF($F101="","",$F101*chronic_consumption!AL101/1000/$C$3)</f>
        <v>#DIV/0!</v>
      </c>
      <c r="AR101" s="974" t="e">
        <f>IF($F101="","",$F101*chronic_consumption!AM101/1000/$C$3)</f>
        <v>#DIV/0!</v>
      </c>
      <c r="AS101" s="974" t="e">
        <f>IF($F101="","",$F101*chronic_consumption!AN101/1000/$C$3)</f>
        <v>#DIV/0!</v>
      </c>
      <c r="AT101" s="974" t="e">
        <f>IF($F101="","",$F101*chronic_consumption!AO101/1000/$C$3)</f>
        <v>#DIV/0!</v>
      </c>
      <c r="AU101" s="974"/>
      <c r="AV101" s="974" t="e">
        <f>IF($F101="","",$F101*chronic_consumption!AQ101/1000/$C$3)</f>
        <v>#DIV/0!</v>
      </c>
      <c r="AW101" s="974" t="e">
        <f>IF($F101="","",$F101*chronic_consumption!AR101/1000/$C$3)</f>
        <v>#DIV/0!</v>
      </c>
      <c r="AX101" s="974" t="e">
        <f>IF($F101="","",$F101*chronic_consumption!AS101/1000/$C$3)</f>
        <v>#DIV/0!</v>
      </c>
      <c r="AY101" s="974" t="e">
        <f>IF($F101="","",$F101*chronic_consumption!AT101/1000/$C$3)</f>
        <v>#DIV/0!</v>
      </c>
      <c r="AZ101" s="973" t="s">
        <v>19</v>
      </c>
      <c r="BA101" s="969" t="e">
        <f t="shared" si="11"/>
        <v>#DIV/0!</v>
      </c>
      <c r="BB101" s="970" t="e">
        <f t="shared" si="12"/>
        <v>#DIV/0!</v>
      </c>
      <c r="BC101" s="971" t="e">
        <f t="shared" ca="1" si="13"/>
        <v>#DIV/0!</v>
      </c>
      <c r="BD101" s="228">
        <f>input_values!Z101</f>
        <v>4</v>
      </c>
      <c r="BE101" s="152">
        <f>input_values!L101</f>
        <v>0</v>
      </c>
      <c r="BF101" s="972" t="str">
        <f t="shared" si="14"/>
        <v/>
      </c>
    </row>
    <row r="102" spans="1:58" ht="12" customHeight="1" outlineLevel="3" x14ac:dyDescent="0.2">
      <c r="A102" s="21">
        <v>4</v>
      </c>
      <c r="B102" s="23">
        <v>212020</v>
      </c>
      <c r="C102" s="23" t="s">
        <v>24</v>
      </c>
      <c r="D102" s="965">
        <f>Table22[[#This Row],[MRL individual commodity]]</f>
        <v>0</v>
      </c>
      <c r="E102" s="300" t="str">
        <f>Table22[[#This Row],[LOQ_label]]</f>
        <v/>
      </c>
      <c r="F102" s="966">
        <f>Table22[[#This Row],[Chronic RA input value]]</f>
        <v>0</v>
      </c>
      <c r="G102" s="304" t="str">
        <f>Table22[[#This Row],[Chronic RA label]]</f>
        <v/>
      </c>
      <c r="H102" s="304">
        <f>Table22[[#This Row],[GAP under assessment]]</f>
        <v>0</v>
      </c>
      <c r="I102" s="1123"/>
      <c r="J102" s="974" t="e">
        <f>IF($F102="","",$F102*chronic_consumption!$E102/1000/$C$3)</f>
        <v>#DIV/0!</v>
      </c>
      <c r="K102" s="974" t="e">
        <f>IF($F102="","",$F102*chronic_consumption!F102/1000/$C$3)</f>
        <v>#DIV/0!</v>
      </c>
      <c r="L102" s="974" t="e">
        <f>IF($F102="","",$F102*chronic_consumption!G102/1000/$C$3)</f>
        <v>#DIV/0!</v>
      </c>
      <c r="M102" s="974" t="e">
        <f>IF($F102="","",$F102*chronic_consumption!H102/1000/$C$3)</f>
        <v>#DIV/0!</v>
      </c>
      <c r="N102" s="974" t="e">
        <f>IF($F102="","",$F102*chronic_consumption!I102/1000/$C$3)</f>
        <v>#DIV/0!</v>
      </c>
      <c r="O102" s="974" t="e">
        <f>IF($F102="","",$F102*chronic_consumption!J102/1000/$C$3)</f>
        <v>#DIV/0!</v>
      </c>
      <c r="P102" s="974" t="e">
        <f>IF($F102="","",$F102*chronic_consumption!K102/1000/$C$3)</f>
        <v>#DIV/0!</v>
      </c>
      <c r="Q102" s="974" t="e">
        <f>IF($F102="","",$F102*chronic_consumption!L102/1000/$C$3)</f>
        <v>#DIV/0!</v>
      </c>
      <c r="R102" s="974" t="e">
        <f>IF($F102="","",$F102*chronic_consumption!M102/1000/$C$3)</f>
        <v>#DIV/0!</v>
      </c>
      <c r="S102" s="974" t="e">
        <f>IF($F102="","",$F102*chronic_consumption!N102/1000/$C$3)</f>
        <v>#DIV/0!</v>
      </c>
      <c r="T102" s="974" t="e">
        <f>IF($F102="","",$F102*chronic_consumption!O102/1000/$C$3)</f>
        <v>#DIV/0!</v>
      </c>
      <c r="U102" s="974" t="e">
        <f>IF($F102="","",$F102*chronic_consumption!P102/1000/$C$3)</f>
        <v>#DIV/0!</v>
      </c>
      <c r="V102" s="974" t="e">
        <f>IF($F102="","",$F102*chronic_consumption!Q102/1000/$C$3)</f>
        <v>#DIV/0!</v>
      </c>
      <c r="W102" s="974" t="e">
        <f>IF($F102="","",$F102*chronic_consumption!R102/1000/$C$3)</f>
        <v>#DIV/0!</v>
      </c>
      <c r="X102" s="974" t="e">
        <f>IF($F102="","",$F102*chronic_consumption!S102/1000/$C$3)</f>
        <v>#DIV/0!</v>
      </c>
      <c r="Y102" s="974" t="e">
        <f>IF($F102="","",$F102*chronic_consumption!T102/1000/$C$3)</f>
        <v>#DIV/0!</v>
      </c>
      <c r="Z102" s="974" t="e">
        <f>IF($F102="","",$F102*chronic_consumption!U102/1000/$C$3)</f>
        <v>#DIV/0!</v>
      </c>
      <c r="AA102" s="974" t="e">
        <f>IF($F102="","",$F102*chronic_consumption!V102/1000/$C$3)</f>
        <v>#DIV/0!</v>
      </c>
      <c r="AB102" s="974" t="e">
        <f>IF($F102="","",$F102*chronic_consumption!W102/1000/$C$3)</f>
        <v>#DIV/0!</v>
      </c>
      <c r="AC102" s="974" t="e">
        <f>IF($F102="","",$F102*chronic_consumption!X102/1000/$C$3)</f>
        <v>#DIV/0!</v>
      </c>
      <c r="AD102" s="974" t="e">
        <f>IF($F102="","",$F102*chronic_consumption!Y102/1000/$C$3)</f>
        <v>#DIV/0!</v>
      </c>
      <c r="AE102" s="974" t="e">
        <f>IF($F102="","",$F102*chronic_consumption!Z102/1000/$C$3)</f>
        <v>#DIV/0!</v>
      </c>
      <c r="AF102" s="974" t="e">
        <f>IF($F102="","",$F102*chronic_consumption!AA102/1000/$C$3)</f>
        <v>#DIV/0!</v>
      </c>
      <c r="AG102" s="974" t="e">
        <f>IF($F102="","",$F102*chronic_consumption!AB102/1000/$C$3)</f>
        <v>#DIV/0!</v>
      </c>
      <c r="AH102" s="974" t="e">
        <f>IF($F102="","",$F102*chronic_consumption!AC102/1000/$C$3)</f>
        <v>#DIV/0!</v>
      </c>
      <c r="AI102" s="974" t="e">
        <f>IF($F102="","",$F102*chronic_consumption!AD102/1000/$C$3)</f>
        <v>#DIV/0!</v>
      </c>
      <c r="AJ102" s="974" t="e">
        <f>IF($F102="","",$F102*chronic_consumption!AE102/1000/$C$3)</f>
        <v>#DIV/0!</v>
      </c>
      <c r="AK102" s="974" t="e">
        <f>IF($F102="","",$F102*chronic_consumption!AF102/1000/$C$3)</f>
        <v>#DIV/0!</v>
      </c>
      <c r="AL102" s="974" t="e">
        <f>IF($F102="","",$F102*chronic_consumption!AG102/1000/$C$3)</f>
        <v>#DIV/0!</v>
      </c>
      <c r="AM102" s="974" t="e">
        <f>IF($F102="","",$F102*chronic_consumption!AH102/1000/$C$3)</f>
        <v>#DIV/0!</v>
      </c>
      <c r="AN102" s="974" t="e">
        <f>IF($F102="","",$F102*chronic_consumption!AI102/1000/$C$3)</f>
        <v>#DIV/0!</v>
      </c>
      <c r="AO102" s="974" t="e">
        <f>IF($F102="","",$F102*chronic_consumption!AJ102/1000/$C$3)</f>
        <v>#DIV/0!</v>
      </c>
      <c r="AP102" s="974" t="e">
        <f>IF($F102="","",$F102*chronic_consumption!AK102/1000/$C$3)</f>
        <v>#DIV/0!</v>
      </c>
      <c r="AQ102" s="974" t="e">
        <f>IF($F102="","",$F102*chronic_consumption!AL102/1000/$C$3)</f>
        <v>#DIV/0!</v>
      </c>
      <c r="AR102" s="974" t="e">
        <f>IF($F102="","",$F102*chronic_consumption!AM102/1000/$C$3)</f>
        <v>#DIV/0!</v>
      </c>
      <c r="AS102" s="974" t="e">
        <f>IF($F102="","",$F102*chronic_consumption!AN102/1000/$C$3)</f>
        <v>#DIV/0!</v>
      </c>
      <c r="AT102" s="974" t="e">
        <f>IF($F102="","",$F102*chronic_consumption!AO102/1000/$C$3)</f>
        <v>#DIV/0!</v>
      </c>
      <c r="AU102" s="974"/>
      <c r="AV102" s="974" t="e">
        <f>IF($F102="","",$F102*chronic_consumption!AQ102/1000/$C$3)</f>
        <v>#DIV/0!</v>
      </c>
      <c r="AW102" s="974" t="e">
        <f>IF($F102="","",$F102*chronic_consumption!AR102/1000/$C$3)</f>
        <v>#DIV/0!</v>
      </c>
      <c r="AX102" s="974" t="e">
        <f>IF($F102="","",$F102*chronic_consumption!AS102/1000/$C$3)</f>
        <v>#DIV/0!</v>
      </c>
      <c r="AY102" s="974" t="e">
        <f>IF($F102="","",$F102*chronic_consumption!AT102/1000/$C$3)</f>
        <v>#DIV/0!</v>
      </c>
      <c r="AZ102" s="973" t="s">
        <v>19</v>
      </c>
      <c r="BA102" s="969" t="e">
        <f t="shared" si="11"/>
        <v>#DIV/0!</v>
      </c>
      <c r="BB102" s="970" t="e">
        <f t="shared" si="12"/>
        <v>#DIV/0!</v>
      </c>
      <c r="BC102" s="971" t="e">
        <f t="shared" ca="1" si="13"/>
        <v>#DIV/0!</v>
      </c>
      <c r="BD102" s="228">
        <f>input_values!Z102</f>
        <v>4</v>
      </c>
      <c r="BE102" s="152">
        <f>input_values!L102</f>
        <v>0</v>
      </c>
      <c r="BF102" s="972" t="str">
        <f t="shared" si="14"/>
        <v/>
      </c>
    </row>
    <row r="103" spans="1:58" ht="12" customHeight="1" outlineLevel="3" x14ac:dyDescent="0.2">
      <c r="A103" s="21">
        <v>4</v>
      </c>
      <c r="B103" s="23">
        <v>212030</v>
      </c>
      <c r="C103" s="23" t="s">
        <v>25</v>
      </c>
      <c r="D103" s="965">
        <f>Table22[[#This Row],[MRL individual commodity]]</f>
        <v>0</v>
      </c>
      <c r="E103" s="300" t="str">
        <f>Table22[[#This Row],[LOQ_label]]</f>
        <v/>
      </c>
      <c r="F103" s="966">
        <f>Table22[[#This Row],[Chronic RA input value]]</f>
        <v>0</v>
      </c>
      <c r="G103" s="304" t="str">
        <f>Table22[[#This Row],[Chronic RA label]]</f>
        <v/>
      </c>
      <c r="H103" s="304">
        <f>Table22[[#This Row],[GAP under assessment]]</f>
        <v>0</v>
      </c>
      <c r="I103" s="1123"/>
      <c r="J103" s="974" t="e">
        <f>IF($F103="","",$F103*chronic_consumption!$E103/1000/$C$3)</f>
        <v>#DIV/0!</v>
      </c>
      <c r="K103" s="974" t="e">
        <f>IF($F103="","",$F103*chronic_consumption!F103/1000/$C$3)</f>
        <v>#DIV/0!</v>
      </c>
      <c r="L103" s="974" t="e">
        <f>IF($F103="","",$F103*chronic_consumption!G103/1000/$C$3)</f>
        <v>#DIV/0!</v>
      </c>
      <c r="M103" s="974" t="e">
        <f>IF($F103="","",$F103*chronic_consumption!H103/1000/$C$3)</f>
        <v>#DIV/0!</v>
      </c>
      <c r="N103" s="974" t="e">
        <f>IF($F103="","",$F103*chronic_consumption!I103/1000/$C$3)</f>
        <v>#DIV/0!</v>
      </c>
      <c r="O103" s="974" t="e">
        <f>IF($F103="","",$F103*chronic_consumption!J103/1000/$C$3)</f>
        <v>#DIV/0!</v>
      </c>
      <c r="P103" s="974" t="e">
        <f>IF($F103="","",$F103*chronic_consumption!K103/1000/$C$3)</f>
        <v>#DIV/0!</v>
      </c>
      <c r="Q103" s="974" t="e">
        <f>IF($F103="","",$F103*chronic_consumption!L103/1000/$C$3)</f>
        <v>#DIV/0!</v>
      </c>
      <c r="R103" s="974" t="e">
        <f>IF($F103="","",$F103*chronic_consumption!M103/1000/$C$3)</f>
        <v>#DIV/0!</v>
      </c>
      <c r="S103" s="974" t="e">
        <f>IF($F103="","",$F103*chronic_consumption!N103/1000/$C$3)</f>
        <v>#DIV/0!</v>
      </c>
      <c r="T103" s="974" t="e">
        <f>IF($F103="","",$F103*chronic_consumption!O103/1000/$C$3)</f>
        <v>#DIV/0!</v>
      </c>
      <c r="U103" s="974" t="e">
        <f>IF($F103="","",$F103*chronic_consumption!P103/1000/$C$3)</f>
        <v>#DIV/0!</v>
      </c>
      <c r="V103" s="974" t="e">
        <f>IF($F103="","",$F103*chronic_consumption!Q103/1000/$C$3)</f>
        <v>#DIV/0!</v>
      </c>
      <c r="W103" s="974" t="e">
        <f>IF($F103="","",$F103*chronic_consumption!R103/1000/$C$3)</f>
        <v>#DIV/0!</v>
      </c>
      <c r="X103" s="974" t="e">
        <f>IF($F103="","",$F103*chronic_consumption!S103/1000/$C$3)</f>
        <v>#DIV/0!</v>
      </c>
      <c r="Y103" s="974" t="e">
        <f>IF($F103="","",$F103*chronic_consumption!T103/1000/$C$3)</f>
        <v>#DIV/0!</v>
      </c>
      <c r="Z103" s="974" t="e">
        <f>IF($F103="","",$F103*chronic_consumption!U103/1000/$C$3)</f>
        <v>#DIV/0!</v>
      </c>
      <c r="AA103" s="974" t="e">
        <f>IF($F103="","",$F103*chronic_consumption!V103/1000/$C$3)</f>
        <v>#DIV/0!</v>
      </c>
      <c r="AB103" s="974" t="e">
        <f>IF($F103="","",$F103*chronic_consumption!W103/1000/$C$3)</f>
        <v>#DIV/0!</v>
      </c>
      <c r="AC103" s="974" t="e">
        <f>IF($F103="","",$F103*chronic_consumption!X103/1000/$C$3)</f>
        <v>#DIV/0!</v>
      </c>
      <c r="AD103" s="974" t="e">
        <f>IF($F103="","",$F103*chronic_consumption!Y103/1000/$C$3)</f>
        <v>#DIV/0!</v>
      </c>
      <c r="AE103" s="974" t="e">
        <f>IF($F103="","",$F103*chronic_consumption!Z103/1000/$C$3)</f>
        <v>#DIV/0!</v>
      </c>
      <c r="AF103" s="974" t="e">
        <f>IF($F103="","",$F103*chronic_consumption!AA103/1000/$C$3)</f>
        <v>#DIV/0!</v>
      </c>
      <c r="AG103" s="974" t="e">
        <f>IF($F103="","",$F103*chronic_consumption!AB103/1000/$C$3)</f>
        <v>#DIV/0!</v>
      </c>
      <c r="AH103" s="974" t="e">
        <f>IF($F103="","",$F103*chronic_consumption!AC103/1000/$C$3)</f>
        <v>#DIV/0!</v>
      </c>
      <c r="AI103" s="974" t="e">
        <f>IF($F103="","",$F103*chronic_consumption!AD103/1000/$C$3)</f>
        <v>#DIV/0!</v>
      </c>
      <c r="AJ103" s="974" t="e">
        <f>IF($F103="","",$F103*chronic_consumption!AE103/1000/$C$3)</f>
        <v>#DIV/0!</v>
      </c>
      <c r="AK103" s="974" t="e">
        <f>IF($F103="","",$F103*chronic_consumption!AF103/1000/$C$3)</f>
        <v>#DIV/0!</v>
      </c>
      <c r="AL103" s="974" t="e">
        <f>IF($F103="","",$F103*chronic_consumption!AG103/1000/$C$3)</f>
        <v>#DIV/0!</v>
      </c>
      <c r="AM103" s="974" t="e">
        <f>IF($F103="","",$F103*chronic_consumption!AH103/1000/$C$3)</f>
        <v>#DIV/0!</v>
      </c>
      <c r="AN103" s="974" t="e">
        <f>IF($F103="","",$F103*chronic_consumption!AI103/1000/$C$3)</f>
        <v>#DIV/0!</v>
      </c>
      <c r="AO103" s="974" t="e">
        <f>IF($F103="","",$F103*chronic_consumption!AJ103/1000/$C$3)</f>
        <v>#DIV/0!</v>
      </c>
      <c r="AP103" s="974" t="e">
        <f>IF($F103="","",$F103*chronic_consumption!AK103/1000/$C$3)</f>
        <v>#DIV/0!</v>
      </c>
      <c r="AQ103" s="974" t="e">
        <f>IF($F103="","",$F103*chronic_consumption!AL103/1000/$C$3)</f>
        <v>#DIV/0!</v>
      </c>
      <c r="AR103" s="974" t="e">
        <f>IF($F103="","",$F103*chronic_consumption!AM103/1000/$C$3)</f>
        <v>#DIV/0!</v>
      </c>
      <c r="AS103" s="974" t="e">
        <f>IF($F103="","",$F103*chronic_consumption!AN103/1000/$C$3)</f>
        <v>#DIV/0!</v>
      </c>
      <c r="AT103" s="974" t="e">
        <f>IF($F103="","",$F103*chronic_consumption!AO103/1000/$C$3)</f>
        <v>#DIV/0!</v>
      </c>
      <c r="AU103" s="974"/>
      <c r="AV103" s="974" t="e">
        <f>IF($F103="","",$F103*chronic_consumption!AQ103/1000/$C$3)</f>
        <v>#DIV/0!</v>
      </c>
      <c r="AW103" s="974" t="e">
        <f>IF($F103="","",$F103*chronic_consumption!AR103/1000/$C$3)</f>
        <v>#DIV/0!</v>
      </c>
      <c r="AX103" s="974" t="e">
        <f>IF($F103="","",$F103*chronic_consumption!AS103/1000/$C$3)</f>
        <v>#DIV/0!</v>
      </c>
      <c r="AY103" s="974" t="e">
        <f>IF($F103="","",$F103*chronic_consumption!AT103/1000/$C$3)</f>
        <v>#DIV/0!</v>
      </c>
      <c r="AZ103" s="973" t="s">
        <v>19</v>
      </c>
      <c r="BA103" s="969" t="e">
        <f t="shared" si="11"/>
        <v>#DIV/0!</v>
      </c>
      <c r="BB103" s="970" t="e">
        <f t="shared" si="12"/>
        <v>#DIV/0!</v>
      </c>
      <c r="BC103" s="971" t="e">
        <f t="shared" ca="1" si="13"/>
        <v>#DIV/0!</v>
      </c>
      <c r="BD103" s="228">
        <f>input_values!Z103</f>
        <v>4</v>
      </c>
      <c r="BE103" s="152">
        <f>input_values!L103</f>
        <v>0</v>
      </c>
      <c r="BF103" s="972" t="str">
        <f t="shared" si="14"/>
        <v/>
      </c>
    </row>
    <row r="104" spans="1:58" ht="12" customHeight="1" outlineLevel="3" x14ac:dyDescent="0.2">
      <c r="A104" s="21">
        <v>4</v>
      </c>
      <c r="B104" s="23">
        <v>212040</v>
      </c>
      <c r="C104" s="23" t="s">
        <v>706</v>
      </c>
      <c r="D104" s="965">
        <f>Table22[[#This Row],[MRL individual commodity]]</f>
        <v>0</v>
      </c>
      <c r="E104" s="300" t="str">
        <f>Table22[[#This Row],[LOQ_label]]</f>
        <v/>
      </c>
      <c r="F104" s="966">
        <f>Table22[[#This Row],[Chronic RA input value]]</f>
        <v>0</v>
      </c>
      <c r="G104" s="304" t="str">
        <f>Table22[[#This Row],[Chronic RA label]]</f>
        <v/>
      </c>
      <c r="H104" s="304">
        <f>Table22[[#This Row],[GAP under assessment]]</f>
        <v>0</v>
      </c>
      <c r="I104" s="1123"/>
      <c r="J104" s="974" t="e">
        <f>IF($F104="","",$F104*chronic_consumption!$E104/1000/$C$3)</f>
        <v>#DIV/0!</v>
      </c>
      <c r="K104" s="974" t="e">
        <f>IF($F104="","",$F104*chronic_consumption!F104/1000/$C$3)</f>
        <v>#DIV/0!</v>
      </c>
      <c r="L104" s="974" t="e">
        <f>IF($F104="","",$F104*chronic_consumption!G104/1000/$C$3)</f>
        <v>#DIV/0!</v>
      </c>
      <c r="M104" s="974" t="e">
        <f>IF($F104="","",$F104*chronic_consumption!H104/1000/$C$3)</f>
        <v>#DIV/0!</v>
      </c>
      <c r="N104" s="974" t="e">
        <f>IF($F104="","",$F104*chronic_consumption!I104/1000/$C$3)</f>
        <v>#DIV/0!</v>
      </c>
      <c r="O104" s="974" t="e">
        <f>IF($F104="","",$F104*chronic_consumption!J104/1000/$C$3)</f>
        <v>#DIV/0!</v>
      </c>
      <c r="P104" s="974" t="e">
        <f>IF($F104="","",$F104*chronic_consumption!K104/1000/$C$3)</f>
        <v>#DIV/0!</v>
      </c>
      <c r="Q104" s="974" t="e">
        <f>IF($F104="","",$F104*chronic_consumption!L104/1000/$C$3)</f>
        <v>#DIV/0!</v>
      </c>
      <c r="R104" s="974" t="e">
        <f>IF($F104="","",$F104*chronic_consumption!M104/1000/$C$3)</f>
        <v>#DIV/0!</v>
      </c>
      <c r="S104" s="974" t="e">
        <f>IF($F104="","",$F104*chronic_consumption!N104/1000/$C$3)</f>
        <v>#DIV/0!</v>
      </c>
      <c r="T104" s="974" t="e">
        <f>IF($F104="","",$F104*chronic_consumption!O104/1000/$C$3)</f>
        <v>#DIV/0!</v>
      </c>
      <c r="U104" s="974" t="e">
        <f>IF($F104="","",$F104*chronic_consumption!P104/1000/$C$3)</f>
        <v>#DIV/0!</v>
      </c>
      <c r="V104" s="974" t="e">
        <f>IF($F104="","",$F104*chronic_consumption!Q104/1000/$C$3)</f>
        <v>#DIV/0!</v>
      </c>
      <c r="W104" s="974" t="e">
        <f>IF($F104="","",$F104*chronic_consumption!R104/1000/$C$3)</f>
        <v>#DIV/0!</v>
      </c>
      <c r="X104" s="974" t="e">
        <f>IF($F104="","",$F104*chronic_consumption!S104/1000/$C$3)</f>
        <v>#DIV/0!</v>
      </c>
      <c r="Y104" s="974" t="e">
        <f>IF($F104="","",$F104*chronic_consumption!T104/1000/$C$3)</f>
        <v>#DIV/0!</v>
      </c>
      <c r="Z104" s="974" t="e">
        <f>IF($F104="","",$F104*chronic_consumption!U104/1000/$C$3)</f>
        <v>#DIV/0!</v>
      </c>
      <c r="AA104" s="974" t="e">
        <f>IF($F104="","",$F104*chronic_consumption!V104/1000/$C$3)</f>
        <v>#DIV/0!</v>
      </c>
      <c r="AB104" s="974" t="e">
        <f>IF($F104="","",$F104*chronic_consumption!W104/1000/$C$3)</f>
        <v>#DIV/0!</v>
      </c>
      <c r="AC104" s="974" t="e">
        <f>IF($F104="","",$F104*chronic_consumption!X104/1000/$C$3)</f>
        <v>#DIV/0!</v>
      </c>
      <c r="AD104" s="974" t="e">
        <f>IF($F104="","",$F104*chronic_consumption!Y104/1000/$C$3)</f>
        <v>#DIV/0!</v>
      </c>
      <c r="AE104" s="974" t="e">
        <f>IF($F104="","",$F104*chronic_consumption!Z104/1000/$C$3)</f>
        <v>#DIV/0!</v>
      </c>
      <c r="AF104" s="974" t="e">
        <f>IF($F104="","",$F104*chronic_consumption!AA104/1000/$C$3)</f>
        <v>#DIV/0!</v>
      </c>
      <c r="AG104" s="974" t="e">
        <f>IF($F104="","",$F104*chronic_consumption!AB104/1000/$C$3)</f>
        <v>#DIV/0!</v>
      </c>
      <c r="AH104" s="974" t="e">
        <f>IF($F104="","",$F104*chronic_consumption!AC104/1000/$C$3)</f>
        <v>#DIV/0!</v>
      </c>
      <c r="AI104" s="974" t="e">
        <f>IF($F104="","",$F104*chronic_consumption!AD104/1000/$C$3)</f>
        <v>#DIV/0!</v>
      </c>
      <c r="AJ104" s="974" t="e">
        <f>IF($F104="","",$F104*chronic_consumption!AE104/1000/$C$3)</f>
        <v>#DIV/0!</v>
      </c>
      <c r="AK104" s="974" t="e">
        <f>IF($F104="","",$F104*chronic_consumption!AF104/1000/$C$3)</f>
        <v>#DIV/0!</v>
      </c>
      <c r="AL104" s="974" t="e">
        <f>IF($F104="","",$F104*chronic_consumption!AG104/1000/$C$3)</f>
        <v>#DIV/0!</v>
      </c>
      <c r="AM104" s="974" t="e">
        <f>IF($F104="","",$F104*chronic_consumption!AH104/1000/$C$3)</f>
        <v>#DIV/0!</v>
      </c>
      <c r="AN104" s="974" t="e">
        <f>IF($F104="","",$F104*chronic_consumption!AI104/1000/$C$3)</f>
        <v>#DIV/0!</v>
      </c>
      <c r="AO104" s="974" t="e">
        <f>IF($F104="","",$F104*chronic_consumption!AJ104/1000/$C$3)</f>
        <v>#DIV/0!</v>
      </c>
      <c r="AP104" s="974" t="e">
        <f>IF($F104="","",$F104*chronic_consumption!AK104/1000/$C$3)</f>
        <v>#DIV/0!</v>
      </c>
      <c r="AQ104" s="974" t="e">
        <f>IF($F104="","",$F104*chronic_consumption!AL104/1000/$C$3)</f>
        <v>#DIV/0!</v>
      </c>
      <c r="AR104" s="974" t="e">
        <f>IF($F104="","",$F104*chronic_consumption!AM104/1000/$C$3)</f>
        <v>#DIV/0!</v>
      </c>
      <c r="AS104" s="974" t="e">
        <f>IF($F104="","",$F104*chronic_consumption!AN104/1000/$C$3)</f>
        <v>#DIV/0!</v>
      </c>
      <c r="AT104" s="974" t="e">
        <f>IF($F104="","",$F104*chronic_consumption!AO104/1000/$C$3)</f>
        <v>#DIV/0!</v>
      </c>
      <c r="AU104" s="974"/>
      <c r="AV104" s="974" t="e">
        <f>IF($F104="","",$F104*chronic_consumption!AQ104/1000/$C$3)</f>
        <v>#DIV/0!</v>
      </c>
      <c r="AW104" s="974" t="e">
        <f>IF($F104="","",$F104*chronic_consumption!AR104/1000/$C$3)</f>
        <v>#DIV/0!</v>
      </c>
      <c r="AX104" s="974" t="e">
        <f>IF($F104="","",$F104*chronic_consumption!AS104/1000/$C$3)</f>
        <v>#DIV/0!</v>
      </c>
      <c r="AY104" s="974" t="e">
        <f>IF($F104="","",$F104*chronic_consumption!AT104/1000/$C$3)</f>
        <v>#DIV/0!</v>
      </c>
      <c r="AZ104" s="973" t="s">
        <v>19</v>
      </c>
      <c r="BA104" s="969" t="e">
        <f t="shared" si="11"/>
        <v>#DIV/0!</v>
      </c>
      <c r="BB104" s="970" t="e">
        <f t="shared" si="12"/>
        <v>#DIV/0!</v>
      </c>
      <c r="BC104" s="971" t="e">
        <f t="shared" ca="1" si="13"/>
        <v>#DIV/0!</v>
      </c>
      <c r="BD104" s="228">
        <f>input_values!Z104</f>
        <v>4</v>
      </c>
      <c r="BE104" s="152">
        <f>input_values!L104</f>
        <v>0</v>
      </c>
      <c r="BF104" s="972" t="str">
        <f t="shared" si="14"/>
        <v/>
      </c>
    </row>
    <row r="105" spans="1:58" ht="12" customHeight="1" outlineLevel="3" x14ac:dyDescent="0.2">
      <c r="A105" s="21">
        <v>4</v>
      </c>
      <c r="B105" s="23">
        <v>212990</v>
      </c>
      <c r="C105" s="23" t="s">
        <v>163</v>
      </c>
      <c r="D105" s="965">
        <f>Table22[[#This Row],[MRL individual commodity]]</f>
        <v>0</v>
      </c>
      <c r="E105" s="300" t="str">
        <f>Table22[[#This Row],[LOQ_label]]</f>
        <v/>
      </c>
      <c r="F105" s="966">
        <f>Table22[[#This Row],[Chronic RA input value]]</f>
        <v>0</v>
      </c>
      <c r="G105" s="304" t="str">
        <f>Table22[[#This Row],[Chronic RA label]]</f>
        <v/>
      </c>
      <c r="H105" s="304">
        <f>Table22[[#This Row],[GAP under assessment]]</f>
        <v>0</v>
      </c>
      <c r="I105" s="1123"/>
      <c r="J105" s="974" t="e">
        <f>IF($F105="","",$F105*chronic_consumption!$E105/1000/$C$3)</f>
        <v>#DIV/0!</v>
      </c>
      <c r="K105" s="974" t="e">
        <f>IF($F105="","",$F105*chronic_consumption!F105/1000/$C$3)</f>
        <v>#DIV/0!</v>
      </c>
      <c r="L105" s="974" t="e">
        <f>IF($F105="","",$F105*chronic_consumption!G105/1000/$C$3)</f>
        <v>#DIV/0!</v>
      </c>
      <c r="M105" s="974" t="e">
        <f>IF($F105="","",$F105*chronic_consumption!H105/1000/$C$3)</f>
        <v>#DIV/0!</v>
      </c>
      <c r="N105" s="974" t="e">
        <f>IF($F105="","",$F105*chronic_consumption!I105/1000/$C$3)</f>
        <v>#DIV/0!</v>
      </c>
      <c r="O105" s="974" t="e">
        <f>IF($F105="","",$F105*chronic_consumption!J105/1000/$C$3)</f>
        <v>#DIV/0!</v>
      </c>
      <c r="P105" s="974" t="e">
        <f>IF($F105="","",$F105*chronic_consumption!K105/1000/$C$3)</f>
        <v>#DIV/0!</v>
      </c>
      <c r="Q105" s="974" t="e">
        <f>IF($F105="","",$F105*chronic_consumption!L105/1000/$C$3)</f>
        <v>#DIV/0!</v>
      </c>
      <c r="R105" s="974" t="e">
        <f>IF($F105="","",$F105*chronic_consumption!M105/1000/$C$3)</f>
        <v>#DIV/0!</v>
      </c>
      <c r="S105" s="974" t="e">
        <f>IF($F105="","",$F105*chronic_consumption!N105/1000/$C$3)</f>
        <v>#DIV/0!</v>
      </c>
      <c r="T105" s="974" t="e">
        <f>IF($F105="","",$F105*chronic_consumption!O105/1000/$C$3)</f>
        <v>#DIV/0!</v>
      </c>
      <c r="U105" s="974" t="e">
        <f>IF($F105="","",$F105*chronic_consumption!P105/1000/$C$3)</f>
        <v>#DIV/0!</v>
      </c>
      <c r="V105" s="974" t="e">
        <f>IF($F105="","",$F105*chronic_consumption!Q105/1000/$C$3)</f>
        <v>#DIV/0!</v>
      </c>
      <c r="W105" s="974" t="e">
        <f>IF($F105="","",$F105*chronic_consumption!R105/1000/$C$3)</f>
        <v>#DIV/0!</v>
      </c>
      <c r="X105" s="974" t="e">
        <f>IF($F105="","",$F105*chronic_consumption!S105/1000/$C$3)</f>
        <v>#DIV/0!</v>
      </c>
      <c r="Y105" s="974" t="e">
        <f>IF($F105="","",$F105*chronic_consumption!T105/1000/$C$3)</f>
        <v>#DIV/0!</v>
      </c>
      <c r="Z105" s="974" t="e">
        <f>IF($F105="","",$F105*chronic_consumption!U105/1000/$C$3)</f>
        <v>#DIV/0!</v>
      </c>
      <c r="AA105" s="974" t="e">
        <f>IF($F105="","",$F105*chronic_consumption!V105/1000/$C$3)</f>
        <v>#DIV/0!</v>
      </c>
      <c r="AB105" s="974" t="e">
        <f>IF($F105="","",$F105*chronic_consumption!W105/1000/$C$3)</f>
        <v>#DIV/0!</v>
      </c>
      <c r="AC105" s="974" t="e">
        <f>IF($F105="","",$F105*chronic_consumption!X105/1000/$C$3)</f>
        <v>#DIV/0!</v>
      </c>
      <c r="AD105" s="974" t="e">
        <f>IF($F105="","",$F105*chronic_consumption!Y105/1000/$C$3)</f>
        <v>#DIV/0!</v>
      </c>
      <c r="AE105" s="974" t="e">
        <f>IF($F105="","",$F105*chronic_consumption!Z105/1000/$C$3)</f>
        <v>#DIV/0!</v>
      </c>
      <c r="AF105" s="974" t="e">
        <f>IF($F105="","",$F105*chronic_consumption!AA105/1000/$C$3)</f>
        <v>#DIV/0!</v>
      </c>
      <c r="AG105" s="974" t="e">
        <f>IF($F105="","",$F105*chronic_consumption!AB105/1000/$C$3)</f>
        <v>#DIV/0!</v>
      </c>
      <c r="AH105" s="974" t="e">
        <f>IF($F105="","",$F105*chronic_consumption!AC105/1000/$C$3)</f>
        <v>#DIV/0!</v>
      </c>
      <c r="AI105" s="974" t="e">
        <f>IF($F105="","",$F105*chronic_consumption!AD105/1000/$C$3)</f>
        <v>#DIV/0!</v>
      </c>
      <c r="AJ105" s="974" t="e">
        <f>IF($F105="","",$F105*chronic_consumption!AE105/1000/$C$3)</f>
        <v>#DIV/0!</v>
      </c>
      <c r="AK105" s="974" t="e">
        <f>IF($F105="","",$F105*chronic_consumption!AF105/1000/$C$3)</f>
        <v>#DIV/0!</v>
      </c>
      <c r="AL105" s="974" t="e">
        <f>IF($F105="","",$F105*chronic_consumption!AG105/1000/$C$3)</f>
        <v>#DIV/0!</v>
      </c>
      <c r="AM105" s="974" t="e">
        <f>IF($F105="","",$F105*chronic_consumption!AH105/1000/$C$3)</f>
        <v>#DIV/0!</v>
      </c>
      <c r="AN105" s="974" t="e">
        <f>IF($F105="","",$F105*chronic_consumption!AI105/1000/$C$3)</f>
        <v>#DIV/0!</v>
      </c>
      <c r="AO105" s="974" t="e">
        <f>IF($F105="","",$F105*chronic_consumption!AJ105/1000/$C$3)</f>
        <v>#DIV/0!</v>
      </c>
      <c r="AP105" s="974" t="e">
        <f>IF($F105="","",$F105*chronic_consumption!AK105/1000/$C$3)</f>
        <v>#DIV/0!</v>
      </c>
      <c r="AQ105" s="974" t="e">
        <f>IF($F105="","",$F105*chronic_consumption!AL105/1000/$C$3)</f>
        <v>#DIV/0!</v>
      </c>
      <c r="AR105" s="974" t="e">
        <f>IF($F105="","",$F105*chronic_consumption!AM105/1000/$C$3)</f>
        <v>#DIV/0!</v>
      </c>
      <c r="AS105" s="974" t="e">
        <f>IF($F105="","",$F105*chronic_consumption!AN105/1000/$C$3)</f>
        <v>#DIV/0!</v>
      </c>
      <c r="AT105" s="974" t="e">
        <f>IF($F105="","",$F105*chronic_consumption!AO105/1000/$C$3)</f>
        <v>#DIV/0!</v>
      </c>
      <c r="AU105" s="974"/>
      <c r="AV105" s="974" t="e">
        <f>IF($F105="","",$F105*chronic_consumption!AQ105/1000/$C$3)</f>
        <v>#DIV/0!</v>
      </c>
      <c r="AW105" s="974" t="e">
        <f>IF($F105="","",$F105*chronic_consumption!AR105/1000/$C$3)</f>
        <v>#DIV/0!</v>
      </c>
      <c r="AX105" s="974" t="e">
        <f>IF($F105="","",$F105*chronic_consumption!AS105/1000/$C$3)</f>
        <v>#DIV/0!</v>
      </c>
      <c r="AY105" s="974" t="e">
        <f>IF($F105="","",$F105*chronic_consumption!AT105/1000/$C$3)</f>
        <v>#DIV/0!</v>
      </c>
      <c r="AZ105" s="973" t="s">
        <v>19</v>
      </c>
      <c r="BA105" s="969" t="e">
        <f t="shared" si="11"/>
        <v>#DIV/0!</v>
      </c>
      <c r="BB105" s="970" t="e">
        <f t="shared" si="12"/>
        <v>#DIV/0!</v>
      </c>
      <c r="BC105" s="971" t="e">
        <f t="shared" ca="1" si="13"/>
        <v>#DIV/0!</v>
      </c>
      <c r="BD105" s="228">
        <f>input_values!Z105</f>
        <v>4</v>
      </c>
      <c r="BE105" s="152">
        <f>input_values!L105</f>
        <v>0</v>
      </c>
      <c r="BF105" s="972" t="str">
        <f t="shared" si="14"/>
        <v/>
      </c>
    </row>
    <row r="106" spans="1:58" ht="12" customHeight="1" outlineLevel="2" x14ac:dyDescent="0.2">
      <c r="A106" s="341">
        <v>3</v>
      </c>
      <c r="B106" s="3">
        <v>213000</v>
      </c>
      <c r="C106" s="3" t="s">
        <v>294</v>
      </c>
      <c r="D106" s="965">
        <f>Table22[[#This Row],[MRL individual commodity]]</f>
        <v>0</v>
      </c>
      <c r="E106" s="300">
        <f>Table22[[#This Row],[LOQ_label]]</f>
        <v>0</v>
      </c>
      <c r="F106" s="966">
        <f>Table22[[#This Row],[Chronic RA input value]]</f>
        <v>0</v>
      </c>
      <c r="G106" s="304">
        <f>Table22[[#This Row],[Chronic RA label]]</f>
        <v>0</v>
      </c>
      <c r="H106" s="304">
        <f>Table22[[#This Row],[GAP under assessment]]</f>
        <v>0</v>
      </c>
      <c r="I106" s="1123"/>
      <c r="J106" s="967" t="e">
        <f>IF($F106="","",$F106*chronic_consumption!$E106/1000/$C$3)</f>
        <v>#DIV/0!</v>
      </c>
      <c r="K106" s="967" t="e">
        <f>IF($F106="","",$F106*chronic_consumption!F106/1000/$C$3)</f>
        <v>#DIV/0!</v>
      </c>
      <c r="L106" s="967" t="e">
        <f>IF($F106="","",$F106*chronic_consumption!G106/1000/$C$3)</f>
        <v>#DIV/0!</v>
      </c>
      <c r="M106" s="967" t="e">
        <f>IF($F106="","",$F106*chronic_consumption!H106/1000/$C$3)</f>
        <v>#DIV/0!</v>
      </c>
      <c r="N106" s="967" t="e">
        <f>IF($F106="","",$F106*chronic_consumption!I106/1000/$C$3)</f>
        <v>#DIV/0!</v>
      </c>
      <c r="O106" s="967" t="e">
        <f>IF($F106="","",$F106*chronic_consumption!J106/1000/$C$3)</f>
        <v>#DIV/0!</v>
      </c>
      <c r="P106" s="967" t="e">
        <f>IF($F106="","",$F106*chronic_consumption!K106/1000/$C$3)</f>
        <v>#DIV/0!</v>
      </c>
      <c r="Q106" s="967" t="e">
        <f>IF($F106="","",$F106*chronic_consumption!L106/1000/$C$3)</f>
        <v>#DIV/0!</v>
      </c>
      <c r="R106" s="967" t="e">
        <f>IF($F106="","",$F106*chronic_consumption!M106/1000/$C$3)</f>
        <v>#DIV/0!</v>
      </c>
      <c r="S106" s="967" t="e">
        <f>IF($F106="","",$F106*chronic_consumption!N106/1000/$C$3)</f>
        <v>#DIV/0!</v>
      </c>
      <c r="T106" s="967" t="e">
        <f>IF($F106="","",$F106*chronic_consumption!O106/1000/$C$3)</f>
        <v>#DIV/0!</v>
      </c>
      <c r="U106" s="967" t="e">
        <f>IF($F106="","",$F106*chronic_consumption!P106/1000/$C$3)</f>
        <v>#DIV/0!</v>
      </c>
      <c r="V106" s="967" t="e">
        <f>IF($F106="","",$F106*chronic_consumption!Q106/1000/$C$3)</f>
        <v>#DIV/0!</v>
      </c>
      <c r="W106" s="967" t="e">
        <f>IF($F106="","",$F106*chronic_consumption!R106/1000/$C$3)</f>
        <v>#DIV/0!</v>
      </c>
      <c r="X106" s="967" t="e">
        <f>IF($F106="","",$F106*chronic_consumption!S106/1000/$C$3)</f>
        <v>#DIV/0!</v>
      </c>
      <c r="Y106" s="967" t="e">
        <f>IF($F106="","",$F106*chronic_consumption!T106/1000/$C$3)</f>
        <v>#DIV/0!</v>
      </c>
      <c r="Z106" s="967" t="e">
        <f>IF($F106="","",$F106*chronic_consumption!U106/1000/$C$3)</f>
        <v>#DIV/0!</v>
      </c>
      <c r="AA106" s="967" t="e">
        <f>IF($F106="","",$F106*chronic_consumption!V106/1000/$C$3)</f>
        <v>#DIV/0!</v>
      </c>
      <c r="AB106" s="967" t="e">
        <f>IF($F106="","",$F106*chronic_consumption!W106/1000/$C$3)</f>
        <v>#DIV/0!</v>
      </c>
      <c r="AC106" s="967" t="e">
        <f>IF($F106="","",$F106*chronic_consumption!X106/1000/$C$3)</f>
        <v>#DIV/0!</v>
      </c>
      <c r="AD106" s="967" t="e">
        <f>IF($F106="","",$F106*chronic_consumption!Y106/1000/$C$3)</f>
        <v>#DIV/0!</v>
      </c>
      <c r="AE106" s="967" t="e">
        <f>IF($F106="","",$F106*chronic_consumption!Z106/1000/$C$3)</f>
        <v>#DIV/0!</v>
      </c>
      <c r="AF106" s="967" t="e">
        <f>IF($F106="","",$F106*chronic_consumption!AA106/1000/$C$3)</f>
        <v>#DIV/0!</v>
      </c>
      <c r="AG106" s="967" t="e">
        <f>IF($F106="","",$F106*chronic_consumption!AB106/1000/$C$3)</f>
        <v>#DIV/0!</v>
      </c>
      <c r="AH106" s="967" t="e">
        <f>IF($F106="","",$F106*chronic_consumption!AC106/1000/$C$3)</f>
        <v>#DIV/0!</v>
      </c>
      <c r="AI106" s="967" t="e">
        <f>IF($F106="","",$F106*chronic_consumption!AD106/1000/$C$3)</f>
        <v>#DIV/0!</v>
      </c>
      <c r="AJ106" s="967" t="e">
        <f>IF($F106="","",$F106*chronic_consumption!AE106/1000/$C$3)</f>
        <v>#DIV/0!</v>
      </c>
      <c r="AK106" s="967" t="e">
        <f>IF($F106="","",$F106*chronic_consumption!AF106/1000/$C$3)</f>
        <v>#DIV/0!</v>
      </c>
      <c r="AL106" s="967" t="e">
        <f>IF($F106="","",$F106*chronic_consumption!AG106/1000/$C$3)</f>
        <v>#DIV/0!</v>
      </c>
      <c r="AM106" s="967" t="e">
        <f>IF($F106="","",$F106*chronic_consumption!AH106/1000/$C$3)</f>
        <v>#DIV/0!</v>
      </c>
      <c r="AN106" s="967" t="e">
        <f>IF($F106="","",$F106*chronic_consumption!AI106/1000/$C$3)</f>
        <v>#DIV/0!</v>
      </c>
      <c r="AO106" s="967" t="e">
        <f>IF($F106="","",$F106*chronic_consumption!AJ106/1000/$C$3)</f>
        <v>#DIV/0!</v>
      </c>
      <c r="AP106" s="967" t="e">
        <f>IF($F106="","",$F106*chronic_consumption!AK106/1000/$C$3)</f>
        <v>#DIV/0!</v>
      </c>
      <c r="AQ106" s="967" t="e">
        <f>IF($F106="","",$F106*chronic_consumption!AL106/1000/$C$3)</f>
        <v>#DIV/0!</v>
      </c>
      <c r="AR106" s="967" t="e">
        <f>IF($F106="","",$F106*chronic_consumption!AM106/1000/$C$3)</f>
        <v>#DIV/0!</v>
      </c>
      <c r="AS106" s="967" t="e">
        <f>IF($F106="","",$F106*chronic_consumption!AN106/1000/$C$3)</f>
        <v>#DIV/0!</v>
      </c>
      <c r="AT106" s="967" t="e">
        <f>IF($F106="","",$F106*chronic_consumption!AO106/1000/$C$3)</f>
        <v>#DIV/0!</v>
      </c>
      <c r="AU106" s="967"/>
      <c r="AV106" s="967" t="e">
        <f>IF($F106="","",$F106*chronic_consumption!AQ106/1000/$C$3)</f>
        <v>#DIV/0!</v>
      </c>
      <c r="AW106" s="967" t="e">
        <f>IF($F106="","",$F106*chronic_consumption!AR106/1000/$C$3)</f>
        <v>#DIV/0!</v>
      </c>
      <c r="AX106" s="967" t="e">
        <f>IF($F106="","",$F106*chronic_consumption!AS106/1000/$C$3)</f>
        <v>#DIV/0!</v>
      </c>
      <c r="AY106" s="967" t="e">
        <f>IF($F106="","",$F106*chronic_consumption!AT106/1000/$C$3)</f>
        <v>#DIV/0!</v>
      </c>
      <c r="AZ106" s="973"/>
      <c r="BA106" s="969" t="e">
        <f t="shared" si="11"/>
        <v>#DIV/0!</v>
      </c>
      <c r="BB106" s="970" t="e">
        <f t="shared" si="12"/>
        <v>#DIV/0!</v>
      </c>
      <c r="BC106" s="971" t="e">
        <f t="shared" ca="1" si="13"/>
        <v>#DIV/0!</v>
      </c>
      <c r="BD106" s="228">
        <f>input_values!Z106</f>
        <v>4</v>
      </c>
      <c r="BE106" s="152">
        <f>input_values!L106</f>
        <v>0</v>
      </c>
      <c r="BF106" s="972" t="str">
        <f t="shared" si="14"/>
        <v/>
      </c>
    </row>
    <row r="107" spans="1:58" ht="12" customHeight="1" outlineLevel="3" x14ac:dyDescent="0.2">
      <c r="A107" s="21">
        <v>4</v>
      </c>
      <c r="B107" s="23">
        <v>213010</v>
      </c>
      <c r="C107" s="23" t="s">
        <v>707</v>
      </c>
      <c r="D107" s="965">
        <f>Table22[[#This Row],[MRL individual commodity]]</f>
        <v>0</v>
      </c>
      <c r="E107" s="300" t="str">
        <f>Table22[[#This Row],[LOQ_label]]</f>
        <v/>
      </c>
      <c r="F107" s="966">
        <f>Table22[[#This Row],[Chronic RA input value]]</f>
        <v>0</v>
      </c>
      <c r="G107" s="304" t="str">
        <f>Table22[[#This Row],[Chronic RA label]]</f>
        <v/>
      </c>
      <c r="H107" s="304">
        <f>Table22[[#This Row],[GAP under assessment]]</f>
        <v>0</v>
      </c>
      <c r="I107" s="1123"/>
      <c r="J107" s="974" t="e">
        <f>IF($F107="","",$F107*chronic_consumption!$E107/1000/$C$3)</f>
        <v>#DIV/0!</v>
      </c>
      <c r="K107" s="974" t="e">
        <f>IF($F107="","",$F107*chronic_consumption!F107/1000/$C$3)</f>
        <v>#DIV/0!</v>
      </c>
      <c r="L107" s="974" t="e">
        <f>IF($F107="","",$F107*chronic_consumption!G107/1000/$C$3)</f>
        <v>#DIV/0!</v>
      </c>
      <c r="M107" s="974" t="e">
        <f>IF($F107="","",$F107*chronic_consumption!H107/1000/$C$3)</f>
        <v>#DIV/0!</v>
      </c>
      <c r="N107" s="974" t="e">
        <f>IF($F107="","",$F107*chronic_consumption!I107/1000/$C$3)</f>
        <v>#DIV/0!</v>
      </c>
      <c r="O107" s="974" t="e">
        <f>IF($F107="","",$F107*chronic_consumption!J107/1000/$C$3)</f>
        <v>#DIV/0!</v>
      </c>
      <c r="P107" s="974" t="e">
        <f>IF($F107="","",$F107*chronic_consumption!K107/1000/$C$3)</f>
        <v>#DIV/0!</v>
      </c>
      <c r="Q107" s="974" t="e">
        <f>IF($F107="","",$F107*chronic_consumption!L107/1000/$C$3)</f>
        <v>#DIV/0!</v>
      </c>
      <c r="R107" s="974" t="e">
        <f>IF($F107="","",$F107*chronic_consumption!M107/1000/$C$3)</f>
        <v>#DIV/0!</v>
      </c>
      <c r="S107" s="974" t="e">
        <f>IF($F107="","",$F107*chronic_consumption!N107/1000/$C$3)</f>
        <v>#DIV/0!</v>
      </c>
      <c r="T107" s="974" t="e">
        <f>IF($F107="","",$F107*chronic_consumption!O107/1000/$C$3)</f>
        <v>#DIV/0!</v>
      </c>
      <c r="U107" s="974" t="e">
        <f>IF($F107="","",$F107*chronic_consumption!P107/1000/$C$3)</f>
        <v>#DIV/0!</v>
      </c>
      <c r="V107" s="974" t="e">
        <f>IF($F107="","",$F107*chronic_consumption!Q107/1000/$C$3)</f>
        <v>#DIV/0!</v>
      </c>
      <c r="W107" s="974" t="e">
        <f>IF($F107="","",$F107*chronic_consumption!R107/1000/$C$3)</f>
        <v>#DIV/0!</v>
      </c>
      <c r="X107" s="974" t="e">
        <f>IF($F107="","",$F107*chronic_consumption!S107/1000/$C$3)</f>
        <v>#DIV/0!</v>
      </c>
      <c r="Y107" s="974" t="e">
        <f>IF($F107="","",$F107*chronic_consumption!T107/1000/$C$3)</f>
        <v>#DIV/0!</v>
      </c>
      <c r="Z107" s="974" t="e">
        <f>IF($F107="","",$F107*chronic_consumption!U107/1000/$C$3)</f>
        <v>#DIV/0!</v>
      </c>
      <c r="AA107" s="974" t="e">
        <f>IF($F107="","",$F107*chronic_consumption!V107/1000/$C$3)</f>
        <v>#DIV/0!</v>
      </c>
      <c r="AB107" s="974" t="e">
        <f>IF($F107="","",$F107*chronic_consumption!W107/1000/$C$3)</f>
        <v>#DIV/0!</v>
      </c>
      <c r="AC107" s="974" t="e">
        <f>IF($F107="","",$F107*chronic_consumption!X107/1000/$C$3)</f>
        <v>#DIV/0!</v>
      </c>
      <c r="AD107" s="974" t="e">
        <f>IF($F107="","",$F107*chronic_consumption!Y107/1000/$C$3)</f>
        <v>#DIV/0!</v>
      </c>
      <c r="AE107" s="974" t="e">
        <f>IF($F107="","",$F107*chronic_consumption!Z107/1000/$C$3)</f>
        <v>#DIV/0!</v>
      </c>
      <c r="AF107" s="974" t="e">
        <f>IF($F107="","",$F107*chronic_consumption!AA107/1000/$C$3)</f>
        <v>#DIV/0!</v>
      </c>
      <c r="AG107" s="974" t="e">
        <f>IF($F107="","",$F107*chronic_consumption!AB107/1000/$C$3)</f>
        <v>#DIV/0!</v>
      </c>
      <c r="AH107" s="974" t="e">
        <f>IF($F107="","",$F107*chronic_consumption!AC107/1000/$C$3)</f>
        <v>#DIV/0!</v>
      </c>
      <c r="AI107" s="974" t="e">
        <f>IF($F107="","",$F107*chronic_consumption!AD107/1000/$C$3)</f>
        <v>#DIV/0!</v>
      </c>
      <c r="AJ107" s="974" t="e">
        <f>IF($F107="","",$F107*chronic_consumption!AE107/1000/$C$3)</f>
        <v>#DIV/0!</v>
      </c>
      <c r="AK107" s="974" t="e">
        <f>IF($F107="","",$F107*chronic_consumption!AF107/1000/$C$3)</f>
        <v>#DIV/0!</v>
      </c>
      <c r="AL107" s="974" t="e">
        <f>IF($F107="","",$F107*chronic_consumption!AG107/1000/$C$3)</f>
        <v>#DIV/0!</v>
      </c>
      <c r="AM107" s="974" t="e">
        <f>IF($F107="","",$F107*chronic_consumption!AH107/1000/$C$3)</f>
        <v>#DIV/0!</v>
      </c>
      <c r="AN107" s="974" t="e">
        <f>IF($F107="","",$F107*chronic_consumption!AI107/1000/$C$3)</f>
        <v>#DIV/0!</v>
      </c>
      <c r="AO107" s="974" t="e">
        <f>IF($F107="","",$F107*chronic_consumption!AJ107/1000/$C$3)</f>
        <v>#DIV/0!</v>
      </c>
      <c r="AP107" s="974" t="e">
        <f>IF($F107="","",$F107*chronic_consumption!AK107/1000/$C$3)</f>
        <v>#DIV/0!</v>
      </c>
      <c r="AQ107" s="974" t="e">
        <f>IF($F107="","",$F107*chronic_consumption!AL107/1000/$C$3)</f>
        <v>#DIV/0!</v>
      </c>
      <c r="AR107" s="974" t="e">
        <f>IF($F107="","",$F107*chronic_consumption!AM107/1000/$C$3)</f>
        <v>#DIV/0!</v>
      </c>
      <c r="AS107" s="974" t="e">
        <f>IF($F107="","",$F107*chronic_consumption!AN107/1000/$C$3)</f>
        <v>#DIV/0!</v>
      </c>
      <c r="AT107" s="974" t="e">
        <f>IF($F107="","",$F107*chronic_consumption!AO107/1000/$C$3)</f>
        <v>#DIV/0!</v>
      </c>
      <c r="AU107" s="974"/>
      <c r="AV107" s="974" t="e">
        <f>IF($F107="","",$F107*chronic_consumption!AQ107/1000/$C$3)</f>
        <v>#DIV/0!</v>
      </c>
      <c r="AW107" s="974" t="e">
        <f>IF($F107="","",$F107*chronic_consumption!AR107/1000/$C$3)</f>
        <v>#DIV/0!</v>
      </c>
      <c r="AX107" s="974" t="e">
        <f>IF($F107="","",$F107*chronic_consumption!AS107/1000/$C$3)</f>
        <v>#DIV/0!</v>
      </c>
      <c r="AY107" s="974" t="e">
        <f>IF($F107="","",$F107*chronic_consumption!AT107/1000/$C$3)</f>
        <v>#DIV/0!</v>
      </c>
      <c r="AZ107" s="973" t="s">
        <v>19</v>
      </c>
      <c r="BA107" s="969" t="e">
        <f t="shared" si="11"/>
        <v>#DIV/0!</v>
      </c>
      <c r="BB107" s="970" t="e">
        <f t="shared" si="12"/>
        <v>#DIV/0!</v>
      </c>
      <c r="BC107" s="971" t="e">
        <f t="shared" ca="1" si="13"/>
        <v>#DIV/0!</v>
      </c>
      <c r="BD107" s="228">
        <f>input_values!Z107</f>
        <v>4</v>
      </c>
      <c r="BE107" s="152">
        <f>input_values!L107</f>
        <v>0</v>
      </c>
      <c r="BF107" s="972" t="str">
        <f t="shared" si="14"/>
        <v/>
      </c>
    </row>
    <row r="108" spans="1:58" ht="12" customHeight="1" outlineLevel="3" x14ac:dyDescent="0.2">
      <c r="A108" s="21">
        <v>4</v>
      </c>
      <c r="B108" s="23">
        <v>213020</v>
      </c>
      <c r="C108" s="23" t="s">
        <v>26</v>
      </c>
      <c r="D108" s="965">
        <f>Table22[[#This Row],[MRL individual commodity]]</f>
        <v>0</v>
      </c>
      <c r="E108" s="300" t="str">
        <f>Table22[[#This Row],[LOQ_label]]</f>
        <v/>
      </c>
      <c r="F108" s="966">
        <f>Table22[[#This Row],[Chronic RA input value]]</f>
        <v>0</v>
      </c>
      <c r="G108" s="304" t="str">
        <f>Table22[[#This Row],[Chronic RA label]]</f>
        <v/>
      </c>
      <c r="H108" s="304">
        <f>Table22[[#This Row],[GAP under assessment]]</f>
        <v>0</v>
      </c>
      <c r="I108" s="1123"/>
      <c r="J108" s="974" t="e">
        <f>IF($F108="","",$F108*chronic_consumption!$E108/1000/$C$3)</f>
        <v>#DIV/0!</v>
      </c>
      <c r="K108" s="974" t="e">
        <f>IF($F108="","",$F108*chronic_consumption!F108/1000/$C$3)</f>
        <v>#DIV/0!</v>
      </c>
      <c r="L108" s="974" t="e">
        <f>IF($F108="","",$F108*chronic_consumption!G108/1000/$C$3)</f>
        <v>#DIV/0!</v>
      </c>
      <c r="M108" s="974" t="e">
        <f>IF($F108="","",$F108*chronic_consumption!H108/1000/$C$3)</f>
        <v>#DIV/0!</v>
      </c>
      <c r="N108" s="974" t="e">
        <f>IF($F108="","",$F108*chronic_consumption!I108/1000/$C$3)</f>
        <v>#DIV/0!</v>
      </c>
      <c r="O108" s="974" t="e">
        <f>IF($F108="","",$F108*chronic_consumption!J108/1000/$C$3)</f>
        <v>#DIV/0!</v>
      </c>
      <c r="P108" s="974" t="e">
        <f>IF($F108="","",$F108*chronic_consumption!K108/1000/$C$3)</f>
        <v>#DIV/0!</v>
      </c>
      <c r="Q108" s="974" t="e">
        <f>IF($F108="","",$F108*chronic_consumption!L108/1000/$C$3)</f>
        <v>#DIV/0!</v>
      </c>
      <c r="R108" s="974" t="e">
        <f>IF($F108="","",$F108*chronic_consumption!M108/1000/$C$3)</f>
        <v>#DIV/0!</v>
      </c>
      <c r="S108" s="974" t="e">
        <f>IF($F108="","",$F108*chronic_consumption!N108/1000/$C$3)</f>
        <v>#DIV/0!</v>
      </c>
      <c r="T108" s="974" t="e">
        <f>IF($F108="","",$F108*chronic_consumption!O108/1000/$C$3)</f>
        <v>#DIV/0!</v>
      </c>
      <c r="U108" s="974" t="e">
        <f>IF($F108="","",$F108*chronic_consumption!P108/1000/$C$3)</f>
        <v>#DIV/0!</v>
      </c>
      <c r="V108" s="974" t="e">
        <f>IF($F108="","",$F108*chronic_consumption!Q108/1000/$C$3)</f>
        <v>#DIV/0!</v>
      </c>
      <c r="W108" s="974" t="e">
        <f>IF($F108="","",$F108*chronic_consumption!R108/1000/$C$3)</f>
        <v>#DIV/0!</v>
      </c>
      <c r="X108" s="974" t="e">
        <f>IF($F108="","",$F108*chronic_consumption!S108/1000/$C$3)</f>
        <v>#DIV/0!</v>
      </c>
      <c r="Y108" s="974" t="e">
        <f>IF($F108="","",$F108*chronic_consumption!T108/1000/$C$3)</f>
        <v>#DIV/0!</v>
      </c>
      <c r="Z108" s="974" t="e">
        <f>IF($F108="","",$F108*chronic_consumption!U108/1000/$C$3)</f>
        <v>#DIV/0!</v>
      </c>
      <c r="AA108" s="974" t="e">
        <f>IF($F108="","",$F108*chronic_consumption!V108/1000/$C$3)</f>
        <v>#DIV/0!</v>
      </c>
      <c r="AB108" s="974" t="e">
        <f>IF($F108="","",$F108*chronic_consumption!W108/1000/$C$3)</f>
        <v>#DIV/0!</v>
      </c>
      <c r="AC108" s="974" t="e">
        <f>IF($F108="","",$F108*chronic_consumption!X108/1000/$C$3)</f>
        <v>#DIV/0!</v>
      </c>
      <c r="AD108" s="974" t="e">
        <f>IF($F108="","",$F108*chronic_consumption!Y108/1000/$C$3)</f>
        <v>#DIV/0!</v>
      </c>
      <c r="AE108" s="974" t="e">
        <f>IF($F108="","",$F108*chronic_consumption!Z108/1000/$C$3)</f>
        <v>#DIV/0!</v>
      </c>
      <c r="AF108" s="974" t="e">
        <f>IF($F108="","",$F108*chronic_consumption!AA108/1000/$C$3)</f>
        <v>#DIV/0!</v>
      </c>
      <c r="AG108" s="974" t="e">
        <f>IF($F108="","",$F108*chronic_consumption!AB108/1000/$C$3)</f>
        <v>#DIV/0!</v>
      </c>
      <c r="AH108" s="974" t="e">
        <f>IF($F108="","",$F108*chronic_consumption!AC108/1000/$C$3)</f>
        <v>#DIV/0!</v>
      </c>
      <c r="AI108" s="974" t="e">
        <f>IF($F108="","",$F108*chronic_consumption!AD108/1000/$C$3)</f>
        <v>#DIV/0!</v>
      </c>
      <c r="AJ108" s="974" t="e">
        <f>IF($F108="","",$F108*chronic_consumption!AE108/1000/$C$3)</f>
        <v>#DIV/0!</v>
      </c>
      <c r="AK108" s="974" t="e">
        <f>IF($F108="","",$F108*chronic_consumption!AF108/1000/$C$3)</f>
        <v>#DIV/0!</v>
      </c>
      <c r="AL108" s="974" t="e">
        <f>IF($F108="","",$F108*chronic_consumption!AG108/1000/$C$3)</f>
        <v>#DIV/0!</v>
      </c>
      <c r="AM108" s="974" t="e">
        <f>IF($F108="","",$F108*chronic_consumption!AH108/1000/$C$3)</f>
        <v>#DIV/0!</v>
      </c>
      <c r="AN108" s="974" t="e">
        <f>IF($F108="","",$F108*chronic_consumption!AI108/1000/$C$3)</f>
        <v>#DIV/0!</v>
      </c>
      <c r="AO108" s="974" t="e">
        <f>IF($F108="","",$F108*chronic_consumption!AJ108/1000/$C$3)</f>
        <v>#DIV/0!</v>
      </c>
      <c r="AP108" s="974" t="e">
        <f>IF($F108="","",$F108*chronic_consumption!AK108/1000/$C$3)</f>
        <v>#DIV/0!</v>
      </c>
      <c r="AQ108" s="974" t="e">
        <f>IF($F108="","",$F108*chronic_consumption!AL108/1000/$C$3)</f>
        <v>#DIV/0!</v>
      </c>
      <c r="AR108" s="974" t="e">
        <f>IF($F108="","",$F108*chronic_consumption!AM108/1000/$C$3)</f>
        <v>#DIV/0!</v>
      </c>
      <c r="AS108" s="974" t="e">
        <f>IF($F108="","",$F108*chronic_consumption!AN108/1000/$C$3)</f>
        <v>#DIV/0!</v>
      </c>
      <c r="AT108" s="974" t="e">
        <f>IF($F108="","",$F108*chronic_consumption!AO108/1000/$C$3)</f>
        <v>#DIV/0!</v>
      </c>
      <c r="AU108" s="974"/>
      <c r="AV108" s="974" t="e">
        <f>IF($F108="","",$F108*chronic_consumption!AQ108/1000/$C$3)</f>
        <v>#DIV/0!</v>
      </c>
      <c r="AW108" s="974" t="e">
        <f>IF($F108="","",$F108*chronic_consumption!AR108/1000/$C$3)</f>
        <v>#DIV/0!</v>
      </c>
      <c r="AX108" s="974" t="e">
        <f>IF($F108="","",$F108*chronic_consumption!AS108/1000/$C$3)</f>
        <v>#DIV/0!</v>
      </c>
      <c r="AY108" s="974" t="e">
        <f>IF($F108="","",$F108*chronic_consumption!AT108/1000/$C$3)</f>
        <v>#DIV/0!</v>
      </c>
      <c r="AZ108" s="973" t="s">
        <v>19</v>
      </c>
      <c r="BA108" s="969" t="e">
        <f t="shared" si="11"/>
        <v>#DIV/0!</v>
      </c>
      <c r="BB108" s="970" t="e">
        <f t="shared" si="12"/>
        <v>#DIV/0!</v>
      </c>
      <c r="BC108" s="971" t="e">
        <f t="shared" ca="1" si="13"/>
        <v>#DIV/0!</v>
      </c>
      <c r="BD108" s="228">
        <f>input_values!Z108</f>
        <v>4</v>
      </c>
      <c r="BE108" s="152">
        <f>input_values!L108</f>
        <v>0</v>
      </c>
      <c r="BF108" s="972" t="str">
        <f t="shared" si="14"/>
        <v/>
      </c>
    </row>
    <row r="109" spans="1:58" ht="12" customHeight="1" outlineLevel="3" x14ac:dyDescent="0.2">
      <c r="A109" s="21">
        <v>4</v>
      </c>
      <c r="B109" s="23">
        <v>213030</v>
      </c>
      <c r="C109" s="23" t="s">
        <v>708</v>
      </c>
      <c r="D109" s="965">
        <f>Table22[[#This Row],[MRL individual commodity]]</f>
        <v>0</v>
      </c>
      <c r="E109" s="300" t="str">
        <f>Table22[[#This Row],[LOQ_label]]</f>
        <v/>
      </c>
      <c r="F109" s="966">
        <f>Table22[[#This Row],[Chronic RA input value]]</f>
        <v>0</v>
      </c>
      <c r="G109" s="304" t="str">
        <f>Table22[[#This Row],[Chronic RA label]]</f>
        <v/>
      </c>
      <c r="H109" s="304">
        <f>Table22[[#This Row],[GAP under assessment]]</f>
        <v>0</v>
      </c>
      <c r="I109" s="1123"/>
      <c r="J109" s="974" t="e">
        <f>IF($F109="","",$F109*chronic_consumption!$E109/1000/$C$3)</f>
        <v>#DIV/0!</v>
      </c>
      <c r="K109" s="974" t="e">
        <f>IF($F109="","",$F109*chronic_consumption!F109/1000/$C$3)</f>
        <v>#DIV/0!</v>
      </c>
      <c r="L109" s="974" t="e">
        <f>IF($F109="","",$F109*chronic_consumption!G109/1000/$C$3)</f>
        <v>#DIV/0!</v>
      </c>
      <c r="M109" s="974" t="e">
        <f>IF($F109="","",$F109*chronic_consumption!H109/1000/$C$3)</f>
        <v>#DIV/0!</v>
      </c>
      <c r="N109" s="974" t="e">
        <f>IF($F109="","",$F109*chronic_consumption!I109/1000/$C$3)</f>
        <v>#DIV/0!</v>
      </c>
      <c r="O109" s="974" t="e">
        <f>IF($F109="","",$F109*chronic_consumption!J109/1000/$C$3)</f>
        <v>#DIV/0!</v>
      </c>
      <c r="P109" s="974" t="e">
        <f>IF($F109="","",$F109*chronic_consumption!K109/1000/$C$3)</f>
        <v>#DIV/0!</v>
      </c>
      <c r="Q109" s="974" t="e">
        <f>IF($F109="","",$F109*chronic_consumption!L109/1000/$C$3)</f>
        <v>#DIV/0!</v>
      </c>
      <c r="R109" s="974" t="e">
        <f>IF($F109="","",$F109*chronic_consumption!M109/1000/$C$3)</f>
        <v>#DIV/0!</v>
      </c>
      <c r="S109" s="974" t="e">
        <f>IF($F109="","",$F109*chronic_consumption!N109/1000/$C$3)</f>
        <v>#DIV/0!</v>
      </c>
      <c r="T109" s="974" t="e">
        <f>IF($F109="","",$F109*chronic_consumption!O109/1000/$C$3)</f>
        <v>#DIV/0!</v>
      </c>
      <c r="U109" s="974" t="e">
        <f>IF($F109="","",$F109*chronic_consumption!P109/1000/$C$3)</f>
        <v>#DIV/0!</v>
      </c>
      <c r="V109" s="974" t="e">
        <f>IF($F109="","",$F109*chronic_consumption!Q109/1000/$C$3)</f>
        <v>#DIV/0!</v>
      </c>
      <c r="W109" s="974" t="e">
        <f>IF($F109="","",$F109*chronic_consumption!R109/1000/$C$3)</f>
        <v>#DIV/0!</v>
      </c>
      <c r="X109" s="974" t="e">
        <f>IF($F109="","",$F109*chronic_consumption!S109/1000/$C$3)</f>
        <v>#DIV/0!</v>
      </c>
      <c r="Y109" s="974" t="e">
        <f>IF($F109="","",$F109*chronic_consumption!T109/1000/$C$3)</f>
        <v>#DIV/0!</v>
      </c>
      <c r="Z109" s="974" t="e">
        <f>IF($F109="","",$F109*chronic_consumption!U109/1000/$C$3)</f>
        <v>#DIV/0!</v>
      </c>
      <c r="AA109" s="974" t="e">
        <f>IF($F109="","",$F109*chronic_consumption!V109/1000/$C$3)</f>
        <v>#DIV/0!</v>
      </c>
      <c r="AB109" s="974" t="e">
        <f>IF($F109="","",$F109*chronic_consumption!W109/1000/$C$3)</f>
        <v>#DIV/0!</v>
      </c>
      <c r="AC109" s="974" t="e">
        <f>IF($F109="","",$F109*chronic_consumption!X109/1000/$C$3)</f>
        <v>#DIV/0!</v>
      </c>
      <c r="AD109" s="974" t="e">
        <f>IF($F109="","",$F109*chronic_consumption!Y109/1000/$C$3)</f>
        <v>#DIV/0!</v>
      </c>
      <c r="AE109" s="974" t="e">
        <f>IF($F109="","",$F109*chronic_consumption!Z109/1000/$C$3)</f>
        <v>#DIV/0!</v>
      </c>
      <c r="AF109" s="974" t="e">
        <f>IF($F109="","",$F109*chronic_consumption!AA109/1000/$C$3)</f>
        <v>#DIV/0!</v>
      </c>
      <c r="AG109" s="974" t="e">
        <f>IF($F109="","",$F109*chronic_consumption!AB109/1000/$C$3)</f>
        <v>#DIV/0!</v>
      </c>
      <c r="AH109" s="974" t="e">
        <f>IF($F109="","",$F109*chronic_consumption!AC109/1000/$C$3)</f>
        <v>#DIV/0!</v>
      </c>
      <c r="AI109" s="974" t="e">
        <f>IF($F109="","",$F109*chronic_consumption!AD109/1000/$C$3)</f>
        <v>#DIV/0!</v>
      </c>
      <c r="AJ109" s="974" t="e">
        <f>IF($F109="","",$F109*chronic_consumption!AE109/1000/$C$3)</f>
        <v>#DIV/0!</v>
      </c>
      <c r="AK109" s="974" t="e">
        <f>IF($F109="","",$F109*chronic_consumption!AF109/1000/$C$3)</f>
        <v>#DIV/0!</v>
      </c>
      <c r="AL109" s="974" t="e">
        <f>IF($F109="","",$F109*chronic_consumption!AG109/1000/$C$3)</f>
        <v>#DIV/0!</v>
      </c>
      <c r="AM109" s="974" t="e">
        <f>IF($F109="","",$F109*chronic_consumption!AH109/1000/$C$3)</f>
        <v>#DIV/0!</v>
      </c>
      <c r="AN109" s="974" t="e">
        <f>IF($F109="","",$F109*chronic_consumption!AI109/1000/$C$3)</f>
        <v>#DIV/0!</v>
      </c>
      <c r="AO109" s="974" t="e">
        <f>IF($F109="","",$F109*chronic_consumption!AJ109/1000/$C$3)</f>
        <v>#DIV/0!</v>
      </c>
      <c r="AP109" s="974" t="e">
        <f>IF($F109="","",$F109*chronic_consumption!AK109/1000/$C$3)</f>
        <v>#DIV/0!</v>
      </c>
      <c r="AQ109" s="974" t="e">
        <f>IF($F109="","",$F109*chronic_consumption!AL109/1000/$C$3)</f>
        <v>#DIV/0!</v>
      </c>
      <c r="AR109" s="974" t="e">
        <f>IF($F109="","",$F109*chronic_consumption!AM109/1000/$C$3)</f>
        <v>#DIV/0!</v>
      </c>
      <c r="AS109" s="974" t="e">
        <f>IF($F109="","",$F109*chronic_consumption!AN109/1000/$C$3)</f>
        <v>#DIV/0!</v>
      </c>
      <c r="AT109" s="974" t="e">
        <f>IF($F109="","",$F109*chronic_consumption!AO109/1000/$C$3)</f>
        <v>#DIV/0!</v>
      </c>
      <c r="AU109" s="974"/>
      <c r="AV109" s="974" t="e">
        <f>IF($F109="","",$F109*chronic_consumption!AQ109/1000/$C$3)</f>
        <v>#DIV/0!</v>
      </c>
      <c r="AW109" s="974" t="e">
        <f>IF($F109="","",$F109*chronic_consumption!AR109/1000/$C$3)</f>
        <v>#DIV/0!</v>
      </c>
      <c r="AX109" s="974" t="e">
        <f>IF($F109="","",$F109*chronic_consumption!AS109/1000/$C$3)</f>
        <v>#DIV/0!</v>
      </c>
      <c r="AY109" s="974" t="e">
        <f>IF($F109="","",$F109*chronic_consumption!AT109/1000/$C$3)</f>
        <v>#DIV/0!</v>
      </c>
      <c r="AZ109" s="973" t="s">
        <v>19</v>
      </c>
      <c r="BA109" s="969" t="e">
        <f t="shared" si="11"/>
        <v>#DIV/0!</v>
      </c>
      <c r="BB109" s="970" t="e">
        <f t="shared" si="12"/>
        <v>#DIV/0!</v>
      </c>
      <c r="BC109" s="971" t="e">
        <f t="shared" ca="1" si="13"/>
        <v>#DIV/0!</v>
      </c>
      <c r="BD109" s="228">
        <f>input_values!Z109</f>
        <v>4</v>
      </c>
      <c r="BE109" s="152">
        <f>input_values!L109</f>
        <v>0</v>
      </c>
      <c r="BF109" s="972" t="str">
        <f t="shared" si="14"/>
        <v/>
      </c>
    </row>
    <row r="110" spans="1:58" ht="12" customHeight="1" outlineLevel="3" x14ac:dyDescent="0.2">
      <c r="A110" s="21">
        <v>4</v>
      </c>
      <c r="B110" s="23">
        <v>213040</v>
      </c>
      <c r="C110" s="23" t="s">
        <v>709</v>
      </c>
      <c r="D110" s="965">
        <f>Table22[[#This Row],[MRL individual commodity]]</f>
        <v>0</v>
      </c>
      <c r="E110" s="300" t="str">
        <f>Table22[[#This Row],[LOQ_label]]</f>
        <v/>
      </c>
      <c r="F110" s="966">
        <f>Table22[[#This Row],[Chronic RA input value]]</f>
        <v>0</v>
      </c>
      <c r="G110" s="304" t="str">
        <f>Table22[[#This Row],[Chronic RA label]]</f>
        <v/>
      </c>
      <c r="H110" s="304">
        <f>Table22[[#This Row],[GAP under assessment]]</f>
        <v>0</v>
      </c>
      <c r="I110" s="1123"/>
      <c r="J110" s="974" t="e">
        <f>IF($F110="","",$F110*chronic_consumption!$E110/1000/$C$3)</f>
        <v>#DIV/0!</v>
      </c>
      <c r="K110" s="974" t="e">
        <f>IF($F110="","",$F110*chronic_consumption!F110/1000/$C$3)</f>
        <v>#DIV/0!</v>
      </c>
      <c r="L110" s="974" t="e">
        <f>IF($F110="","",$F110*chronic_consumption!G110/1000/$C$3)</f>
        <v>#DIV/0!</v>
      </c>
      <c r="M110" s="974" t="e">
        <f>IF($F110="","",$F110*chronic_consumption!H110/1000/$C$3)</f>
        <v>#DIV/0!</v>
      </c>
      <c r="N110" s="974" t="e">
        <f>IF($F110="","",$F110*chronic_consumption!I110/1000/$C$3)</f>
        <v>#DIV/0!</v>
      </c>
      <c r="O110" s="974" t="e">
        <f>IF($F110="","",$F110*chronic_consumption!J110/1000/$C$3)</f>
        <v>#DIV/0!</v>
      </c>
      <c r="P110" s="974" t="e">
        <f>IF($F110="","",$F110*chronic_consumption!K110/1000/$C$3)</f>
        <v>#DIV/0!</v>
      </c>
      <c r="Q110" s="974" t="e">
        <f>IF($F110="","",$F110*chronic_consumption!L110/1000/$C$3)</f>
        <v>#DIV/0!</v>
      </c>
      <c r="R110" s="974" t="e">
        <f>IF($F110="","",$F110*chronic_consumption!M110/1000/$C$3)</f>
        <v>#DIV/0!</v>
      </c>
      <c r="S110" s="974" t="e">
        <f>IF($F110="","",$F110*chronic_consumption!N110/1000/$C$3)</f>
        <v>#DIV/0!</v>
      </c>
      <c r="T110" s="974" t="e">
        <f>IF($F110="","",$F110*chronic_consumption!O110/1000/$C$3)</f>
        <v>#DIV/0!</v>
      </c>
      <c r="U110" s="974" t="e">
        <f>IF($F110="","",$F110*chronic_consumption!P110/1000/$C$3)</f>
        <v>#DIV/0!</v>
      </c>
      <c r="V110" s="974" t="e">
        <f>IF($F110="","",$F110*chronic_consumption!Q110/1000/$C$3)</f>
        <v>#DIV/0!</v>
      </c>
      <c r="W110" s="974" t="e">
        <f>IF($F110="","",$F110*chronic_consumption!R110/1000/$C$3)</f>
        <v>#DIV/0!</v>
      </c>
      <c r="X110" s="974" t="e">
        <f>IF($F110="","",$F110*chronic_consumption!S110/1000/$C$3)</f>
        <v>#DIV/0!</v>
      </c>
      <c r="Y110" s="974" t="e">
        <f>IF($F110="","",$F110*chronic_consumption!T110/1000/$C$3)</f>
        <v>#DIV/0!</v>
      </c>
      <c r="Z110" s="974" t="e">
        <f>IF($F110="","",$F110*chronic_consumption!U110/1000/$C$3)</f>
        <v>#DIV/0!</v>
      </c>
      <c r="AA110" s="974" t="e">
        <f>IF($F110="","",$F110*chronic_consumption!V110/1000/$C$3)</f>
        <v>#DIV/0!</v>
      </c>
      <c r="AB110" s="974" t="e">
        <f>IF($F110="","",$F110*chronic_consumption!W110/1000/$C$3)</f>
        <v>#DIV/0!</v>
      </c>
      <c r="AC110" s="974" t="e">
        <f>IF($F110="","",$F110*chronic_consumption!X110/1000/$C$3)</f>
        <v>#DIV/0!</v>
      </c>
      <c r="AD110" s="974" t="e">
        <f>IF($F110="","",$F110*chronic_consumption!Y110/1000/$C$3)</f>
        <v>#DIV/0!</v>
      </c>
      <c r="AE110" s="974" t="e">
        <f>IF($F110="","",$F110*chronic_consumption!Z110/1000/$C$3)</f>
        <v>#DIV/0!</v>
      </c>
      <c r="AF110" s="974" t="e">
        <f>IF($F110="","",$F110*chronic_consumption!AA110/1000/$C$3)</f>
        <v>#DIV/0!</v>
      </c>
      <c r="AG110" s="974" t="e">
        <f>IF($F110="","",$F110*chronic_consumption!AB110/1000/$C$3)</f>
        <v>#DIV/0!</v>
      </c>
      <c r="AH110" s="974" t="e">
        <f>IF($F110="","",$F110*chronic_consumption!AC110/1000/$C$3)</f>
        <v>#DIV/0!</v>
      </c>
      <c r="AI110" s="974" t="e">
        <f>IF($F110="","",$F110*chronic_consumption!AD110/1000/$C$3)</f>
        <v>#DIV/0!</v>
      </c>
      <c r="AJ110" s="974" t="e">
        <f>IF($F110="","",$F110*chronic_consumption!AE110/1000/$C$3)</f>
        <v>#DIV/0!</v>
      </c>
      <c r="AK110" s="974" t="e">
        <f>IF($F110="","",$F110*chronic_consumption!AF110/1000/$C$3)</f>
        <v>#DIV/0!</v>
      </c>
      <c r="AL110" s="974" t="e">
        <f>IF($F110="","",$F110*chronic_consumption!AG110/1000/$C$3)</f>
        <v>#DIV/0!</v>
      </c>
      <c r="AM110" s="974" t="e">
        <f>IF($F110="","",$F110*chronic_consumption!AH110/1000/$C$3)</f>
        <v>#DIV/0!</v>
      </c>
      <c r="AN110" s="974" t="e">
        <f>IF($F110="","",$F110*chronic_consumption!AI110/1000/$C$3)</f>
        <v>#DIV/0!</v>
      </c>
      <c r="AO110" s="974" t="e">
        <f>IF($F110="","",$F110*chronic_consumption!AJ110/1000/$C$3)</f>
        <v>#DIV/0!</v>
      </c>
      <c r="AP110" s="974" t="e">
        <f>IF($F110="","",$F110*chronic_consumption!AK110/1000/$C$3)</f>
        <v>#DIV/0!</v>
      </c>
      <c r="AQ110" s="974" t="e">
        <f>IF($F110="","",$F110*chronic_consumption!AL110/1000/$C$3)</f>
        <v>#DIV/0!</v>
      </c>
      <c r="AR110" s="974" t="e">
        <f>IF($F110="","",$F110*chronic_consumption!AM110/1000/$C$3)</f>
        <v>#DIV/0!</v>
      </c>
      <c r="AS110" s="974" t="e">
        <f>IF($F110="","",$F110*chronic_consumption!AN110/1000/$C$3)</f>
        <v>#DIV/0!</v>
      </c>
      <c r="AT110" s="974" t="e">
        <f>IF($F110="","",$F110*chronic_consumption!AO110/1000/$C$3)</f>
        <v>#DIV/0!</v>
      </c>
      <c r="AU110" s="974"/>
      <c r="AV110" s="974" t="e">
        <f>IF($F110="","",$F110*chronic_consumption!AQ110/1000/$C$3)</f>
        <v>#DIV/0!</v>
      </c>
      <c r="AW110" s="974" t="e">
        <f>IF($F110="","",$F110*chronic_consumption!AR110/1000/$C$3)</f>
        <v>#DIV/0!</v>
      </c>
      <c r="AX110" s="974" t="e">
        <f>IF($F110="","",$F110*chronic_consumption!AS110/1000/$C$3)</f>
        <v>#DIV/0!</v>
      </c>
      <c r="AY110" s="974" t="e">
        <f>IF($F110="","",$F110*chronic_consumption!AT110/1000/$C$3)</f>
        <v>#DIV/0!</v>
      </c>
      <c r="AZ110" s="973" t="s">
        <v>19</v>
      </c>
      <c r="BA110" s="969" t="e">
        <f t="shared" si="11"/>
        <v>#DIV/0!</v>
      </c>
      <c r="BB110" s="970" t="e">
        <f t="shared" si="12"/>
        <v>#DIV/0!</v>
      </c>
      <c r="BC110" s="971" t="e">
        <f t="shared" ca="1" si="13"/>
        <v>#DIV/0!</v>
      </c>
      <c r="BD110" s="228">
        <f>input_values!Z110</f>
        <v>4</v>
      </c>
      <c r="BE110" s="152">
        <f>input_values!L110</f>
        <v>0</v>
      </c>
      <c r="BF110" s="972" t="str">
        <f t="shared" si="14"/>
        <v/>
      </c>
    </row>
    <row r="111" spans="1:58" ht="12" customHeight="1" outlineLevel="3" x14ac:dyDescent="0.2">
      <c r="A111" s="21">
        <v>4</v>
      </c>
      <c r="B111" s="23">
        <v>213050</v>
      </c>
      <c r="C111" s="23" t="s">
        <v>27</v>
      </c>
      <c r="D111" s="965">
        <f>Table22[[#This Row],[MRL individual commodity]]</f>
        <v>0</v>
      </c>
      <c r="E111" s="300" t="str">
        <f>Table22[[#This Row],[LOQ_label]]</f>
        <v/>
      </c>
      <c r="F111" s="966">
        <f>Table22[[#This Row],[Chronic RA input value]]</f>
        <v>0</v>
      </c>
      <c r="G111" s="304" t="str">
        <f>Table22[[#This Row],[Chronic RA label]]</f>
        <v/>
      </c>
      <c r="H111" s="304">
        <f>Table22[[#This Row],[GAP under assessment]]</f>
        <v>0</v>
      </c>
      <c r="I111" s="1123"/>
      <c r="J111" s="974" t="e">
        <f>IF($F111="","",$F111*chronic_consumption!$E111/1000/$C$3)</f>
        <v>#DIV/0!</v>
      </c>
      <c r="K111" s="974" t="e">
        <f>IF($F111="","",$F111*chronic_consumption!F111/1000/$C$3)</f>
        <v>#DIV/0!</v>
      </c>
      <c r="L111" s="974" t="e">
        <f>IF($F111="","",$F111*chronic_consumption!G111/1000/$C$3)</f>
        <v>#DIV/0!</v>
      </c>
      <c r="M111" s="974" t="e">
        <f>IF($F111="","",$F111*chronic_consumption!H111/1000/$C$3)</f>
        <v>#DIV/0!</v>
      </c>
      <c r="N111" s="974" t="e">
        <f>IF($F111="","",$F111*chronic_consumption!I111/1000/$C$3)</f>
        <v>#DIV/0!</v>
      </c>
      <c r="O111" s="974" t="e">
        <f>IF($F111="","",$F111*chronic_consumption!J111/1000/$C$3)</f>
        <v>#DIV/0!</v>
      </c>
      <c r="P111" s="974" t="e">
        <f>IF($F111="","",$F111*chronic_consumption!K111/1000/$C$3)</f>
        <v>#DIV/0!</v>
      </c>
      <c r="Q111" s="974" t="e">
        <f>IF($F111="","",$F111*chronic_consumption!L111/1000/$C$3)</f>
        <v>#DIV/0!</v>
      </c>
      <c r="R111" s="974" t="e">
        <f>IF($F111="","",$F111*chronic_consumption!M111/1000/$C$3)</f>
        <v>#DIV/0!</v>
      </c>
      <c r="S111" s="974" t="e">
        <f>IF($F111="","",$F111*chronic_consumption!N111/1000/$C$3)</f>
        <v>#DIV/0!</v>
      </c>
      <c r="T111" s="974" t="e">
        <f>IF($F111="","",$F111*chronic_consumption!O111/1000/$C$3)</f>
        <v>#DIV/0!</v>
      </c>
      <c r="U111" s="974" t="e">
        <f>IF($F111="","",$F111*chronic_consumption!P111/1000/$C$3)</f>
        <v>#DIV/0!</v>
      </c>
      <c r="V111" s="974" t="e">
        <f>IF($F111="","",$F111*chronic_consumption!Q111/1000/$C$3)</f>
        <v>#DIV/0!</v>
      </c>
      <c r="W111" s="974" t="e">
        <f>IF($F111="","",$F111*chronic_consumption!R111/1000/$C$3)</f>
        <v>#DIV/0!</v>
      </c>
      <c r="X111" s="974" t="e">
        <f>IF($F111="","",$F111*chronic_consumption!S111/1000/$C$3)</f>
        <v>#DIV/0!</v>
      </c>
      <c r="Y111" s="974" t="e">
        <f>IF($F111="","",$F111*chronic_consumption!T111/1000/$C$3)</f>
        <v>#DIV/0!</v>
      </c>
      <c r="Z111" s="974" t="e">
        <f>IF($F111="","",$F111*chronic_consumption!U111/1000/$C$3)</f>
        <v>#DIV/0!</v>
      </c>
      <c r="AA111" s="974" t="e">
        <f>IF($F111="","",$F111*chronic_consumption!V111/1000/$C$3)</f>
        <v>#DIV/0!</v>
      </c>
      <c r="AB111" s="974" t="e">
        <f>IF($F111="","",$F111*chronic_consumption!W111/1000/$C$3)</f>
        <v>#DIV/0!</v>
      </c>
      <c r="AC111" s="974" t="e">
        <f>IF($F111="","",$F111*chronic_consumption!X111/1000/$C$3)</f>
        <v>#DIV/0!</v>
      </c>
      <c r="AD111" s="974" t="e">
        <f>IF($F111="","",$F111*chronic_consumption!Y111/1000/$C$3)</f>
        <v>#DIV/0!</v>
      </c>
      <c r="AE111" s="974" t="e">
        <f>IF($F111="","",$F111*chronic_consumption!Z111/1000/$C$3)</f>
        <v>#DIV/0!</v>
      </c>
      <c r="AF111" s="974" t="e">
        <f>IF($F111="","",$F111*chronic_consumption!AA111/1000/$C$3)</f>
        <v>#DIV/0!</v>
      </c>
      <c r="AG111" s="974" t="e">
        <f>IF($F111="","",$F111*chronic_consumption!AB111/1000/$C$3)</f>
        <v>#DIV/0!</v>
      </c>
      <c r="AH111" s="974" t="e">
        <f>IF($F111="","",$F111*chronic_consumption!AC111/1000/$C$3)</f>
        <v>#DIV/0!</v>
      </c>
      <c r="AI111" s="974" t="e">
        <f>IF($F111="","",$F111*chronic_consumption!AD111/1000/$C$3)</f>
        <v>#DIV/0!</v>
      </c>
      <c r="AJ111" s="974" t="e">
        <f>IF($F111="","",$F111*chronic_consumption!AE111/1000/$C$3)</f>
        <v>#DIV/0!</v>
      </c>
      <c r="AK111" s="974" t="e">
        <f>IF($F111="","",$F111*chronic_consumption!AF111/1000/$C$3)</f>
        <v>#DIV/0!</v>
      </c>
      <c r="AL111" s="974" t="e">
        <f>IF($F111="","",$F111*chronic_consumption!AG111/1000/$C$3)</f>
        <v>#DIV/0!</v>
      </c>
      <c r="AM111" s="974" t="e">
        <f>IF($F111="","",$F111*chronic_consumption!AH111/1000/$C$3)</f>
        <v>#DIV/0!</v>
      </c>
      <c r="AN111" s="974" t="e">
        <f>IF($F111="","",$F111*chronic_consumption!AI111/1000/$C$3)</f>
        <v>#DIV/0!</v>
      </c>
      <c r="AO111" s="974" t="e">
        <f>IF($F111="","",$F111*chronic_consumption!AJ111/1000/$C$3)</f>
        <v>#DIV/0!</v>
      </c>
      <c r="AP111" s="974" t="e">
        <f>IF($F111="","",$F111*chronic_consumption!AK111/1000/$C$3)</f>
        <v>#DIV/0!</v>
      </c>
      <c r="AQ111" s="974" t="e">
        <f>IF($F111="","",$F111*chronic_consumption!AL111/1000/$C$3)</f>
        <v>#DIV/0!</v>
      </c>
      <c r="AR111" s="974" t="e">
        <f>IF($F111="","",$F111*chronic_consumption!AM111/1000/$C$3)</f>
        <v>#DIV/0!</v>
      </c>
      <c r="AS111" s="974" t="e">
        <f>IF($F111="","",$F111*chronic_consumption!AN111/1000/$C$3)</f>
        <v>#DIV/0!</v>
      </c>
      <c r="AT111" s="974" t="e">
        <f>IF($F111="","",$F111*chronic_consumption!AO111/1000/$C$3)</f>
        <v>#DIV/0!</v>
      </c>
      <c r="AU111" s="974"/>
      <c r="AV111" s="974" t="e">
        <f>IF($F111="","",$F111*chronic_consumption!AQ111/1000/$C$3)</f>
        <v>#DIV/0!</v>
      </c>
      <c r="AW111" s="974" t="e">
        <f>IF($F111="","",$F111*chronic_consumption!AR111/1000/$C$3)</f>
        <v>#DIV/0!</v>
      </c>
      <c r="AX111" s="974" t="e">
        <f>IF($F111="","",$F111*chronic_consumption!AS111/1000/$C$3)</f>
        <v>#DIV/0!</v>
      </c>
      <c r="AY111" s="974" t="e">
        <f>IF($F111="","",$F111*chronic_consumption!AT111/1000/$C$3)</f>
        <v>#DIV/0!</v>
      </c>
      <c r="AZ111" s="973" t="s">
        <v>19</v>
      </c>
      <c r="BA111" s="969" t="e">
        <f t="shared" si="11"/>
        <v>#DIV/0!</v>
      </c>
      <c r="BB111" s="970" t="e">
        <f t="shared" si="12"/>
        <v>#DIV/0!</v>
      </c>
      <c r="BC111" s="971" t="e">
        <f t="shared" ca="1" si="13"/>
        <v>#DIV/0!</v>
      </c>
      <c r="BD111" s="228">
        <f>input_values!Z111</f>
        <v>4</v>
      </c>
      <c r="BE111" s="152">
        <f>input_values!L111</f>
        <v>0</v>
      </c>
      <c r="BF111" s="972" t="str">
        <f t="shared" si="14"/>
        <v/>
      </c>
    </row>
    <row r="112" spans="1:58" ht="12" customHeight="1" outlineLevel="3" x14ac:dyDescent="0.2">
      <c r="A112" s="21">
        <v>4</v>
      </c>
      <c r="B112" s="23">
        <v>213060</v>
      </c>
      <c r="C112" s="23" t="s">
        <v>28</v>
      </c>
      <c r="D112" s="965">
        <f>Table22[[#This Row],[MRL individual commodity]]</f>
        <v>0</v>
      </c>
      <c r="E112" s="300" t="str">
        <f>Table22[[#This Row],[LOQ_label]]</f>
        <v/>
      </c>
      <c r="F112" s="966">
        <f>Table22[[#This Row],[Chronic RA input value]]</f>
        <v>0</v>
      </c>
      <c r="G112" s="304" t="str">
        <f>Table22[[#This Row],[Chronic RA label]]</f>
        <v/>
      </c>
      <c r="H112" s="304">
        <f>Table22[[#This Row],[GAP under assessment]]</f>
        <v>0</v>
      </c>
      <c r="I112" s="1123"/>
      <c r="J112" s="974" t="e">
        <f>IF($F112="","",$F112*chronic_consumption!$E112/1000/$C$3)</f>
        <v>#DIV/0!</v>
      </c>
      <c r="K112" s="974" t="e">
        <f>IF($F112="","",$F112*chronic_consumption!F112/1000/$C$3)</f>
        <v>#DIV/0!</v>
      </c>
      <c r="L112" s="974" t="e">
        <f>IF($F112="","",$F112*chronic_consumption!G112/1000/$C$3)</f>
        <v>#DIV/0!</v>
      </c>
      <c r="M112" s="974" t="e">
        <f>IF($F112="","",$F112*chronic_consumption!H112/1000/$C$3)</f>
        <v>#DIV/0!</v>
      </c>
      <c r="N112" s="974" t="e">
        <f>IF($F112="","",$F112*chronic_consumption!I112/1000/$C$3)</f>
        <v>#DIV/0!</v>
      </c>
      <c r="O112" s="974" t="e">
        <f>IF($F112="","",$F112*chronic_consumption!J112/1000/$C$3)</f>
        <v>#DIV/0!</v>
      </c>
      <c r="P112" s="974" t="e">
        <f>IF($F112="","",$F112*chronic_consumption!K112/1000/$C$3)</f>
        <v>#DIV/0!</v>
      </c>
      <c r="Q112" s="974" t="e">
        <f>IF($F112="","",$F112*chronic_consumption!L112/1000/$C$3)</f>
        <v>#DIV/0!</v>
      </c>
      <c r="R112" s="974" t="e">
        <f>IF($F112="","",$F112*chronic_consumption!M112/1000/$C$3)</f>
        <v>#DIV/0!</v>
      </c>
      <c r="S112" s="974" t="e">
        <f>IF($F112="","",$F112*chronic_consumption!N112/1000/$C$3)</f>
        <v>#DIV/0!</v>
      </c>
      <c r="T112" s="974" t="e">
        <f>IF($F112="","",$F112*chronic_consumption!O112/1000/$C$3)</f>
        <v>#DIV/0!</v>
      </c>
      <c r="U112" s="974" t="e">
        <f>IF($F112="","",$F112*chronic_consumption!P112/1000/$C$3)</f>
        <v>#DIV/0!</v>
      </c>
      <c r="V112" s="974" t="e">
        <f>IF($F112="","",$F112*chronic_consumption!Q112/1000/$C$3)</f>
        <v>#DIV/0!</v>
      </c>
      <c r="W112" s="974" t="e">
        <f>IF($F112="","",$F112*chronic_consumption!R112/1000/$C$3)</f>
        <v>#DIV/0!</v>
      </c>
      <c r="X112" s="974" t="e">
        <f>IF($F112="","",$F112*chronic_consumption!S112/1000/$C$3)</f>
        <v>#DIV/0!</v>
      </c>
      <c r="Y112" s="974" t="e">
        <f>IF($F112="","",$F112*chronic_consumption!T112/1000/$C$3)</f>
        <v>#DIV/0!</v>
      </c>
      <c r="Z112" s="974" t="e">
        <f>IF($F112="","",$F112*chronic_consumption!U112/1000/$C$3)</f>
        <v>#DIV/0!</v>
      </c>
      <c r="AA112" s="974" t="e">
        <f>IF($F112="","",$F112*chronic_consumption!V112/1000/$C$3)</f>
        <v>#DIV/0!</v>
      </c>
      <c r="AB112" s="974" t="e">
        <f>IF($F112="","",$F112*chronic_consumption!W112/1000/$C$3)</f>
        <v>#DIV/0!</v>
      </c>
      <c r="AC112" s="974" t="e">
        <f>IF($F112="","",$F112*chronic_consumption!X112/1000/$C$3)</f>
        <v>#DIV/0!</v>
      </c>
      <c r="AD112" s="974" t="e">
        <f>IF($F112="","",$F112*chronic_consumption!Y112/1000/$C$3)</f>
        <v>#DIV/0!</v>
      </c>
      <c r="AE112" s="974" t="e">
        <f>IF($F112="","",$F112*chronic_consumption!Z112/1000/$C$3)</f>
        <v>#DIV/0!</v>
      </c>
      <c r="AF112" s="974" t="e">
        <f>IF($F112="","",$F112*chronic_consumption!AA112/1000/$C$3)</f>
        <v>#DIV/0!</v>
      </c>
      <c r="AG112" s="974" t="e">
        <f>IF($F112="","",$F112*chronic_consumption!AB112/1000/$C$3)</f>
        <v>#DIV/0!</v>
      </c>
      <c r="AH112" s="974" t="e">
        <f>IF($F112="","",$F112*chronic_consumption!AC112/1000/$C$3)</f>
        <v>#DIV/0!</v>
      </c>
      <c r="AI112" s="974" t="e">
        <f>IF($F112="","",$F112*chronic_consumption!AD112/1000/$C$3)</f>
        <v>#DIV/0!</v>
      </c>
      <c r="AJ112" s="974" t="e">
        <f>IF($F112="","",$F112*chronic_consumption!AE112/1000/$C$3)</f>
        <v>#DIV/0!</v>
      </c>
      <c r="AK112" s="974" t="e">
        <f>IF($F112="","",$F112*chronic_consumption!AF112/1000/$C$3)</f>
        <v>#DIV/0!</v>
      </c>
      <c r="AL112" s="974" t="e">
        <f>IF($F112="","",$F112*chronic_consumption!AG112/1000/$C$3)</f>
        <v>#DIV/0!</v>
      </c>
      <c r="AM112" s="974" t="e">
        <f>IF($F112="","",$F112*chronic_consumption!AH112/1000/$C$3)</f>
        <v>#DIV/0!</v>
      </c>
      <c r="AN112" s="974" t="e">
        <f>IF($F112="","",$F112*chronic_consumption!AI112/1000/$C$3)</f>
        <v>#DIV/0!</v>
      </c>
      <c r="AO112" s="974" t="e">
        <f>IF($F112="","",$F112*chronic_consumption!AJ112/1000/$C$3)</f>
        <v>#DIV/0!</v>
      </c>
      <c r="AP112" s="974" t="e">
        <f>IF($F112="","",$F112*chronic_consumption!AK112/1000/$C$3)</f>
        <v>#DIV/0!</v>
      </c>
      <c r="AQ112" s="974" t="e">
        <f>IF($F112="","",$F112*chronic_consumption!AL112/1000/$C$3)</f>
        <v>#DIV/0!</v>
      </c>
      <c r="AR112" s="974" t="e">
        <f>IF($F112="","",$F112*chronic_consumption!AM112/1000/$C$3)</f>
        <v>#DIV/0!</v>
      </c>
      <c r="AS112" s="974" t="e">
        <f>IF($F112="","",$F112*chronic_consumption!AN112/1000/$C$3)</f>
        <v>#DIV/0!</v>
      </c>
      <c r="AT112" s="974" t="e">
        <f>IF($F112="","",$F112*chronic_consumption!AO112/1000/$C$3)</f>
        <v>#DIV/0!</v>
      </c>
      <c r="AU112" s="974"/>
      <c r="AV112" s="974" t="e">
        <f>IF($F112="","",$F112*chronic_consumption!AQ112/1000/$C$3)</f>
        <v>#DIV/0!</v>
      </c>
      <c r="AW112" s="974" t="e">
        <f>IF($F112="","",$F112*chronic_consumption!AR112/1000/$C$3)</f>
        <v>#DIV/0!</v>
      </c>
      <c r="AX112" s="974" t="e">
        <f>IF($F112="","",$F112*chronic_consumption!AS112/1000/$C$3)</f>
        <v>#DIV/0!</v>
      </c>
      <c r="AY112" s="974" t="e">
        <f>IF($F112="","",$F112*chronic_consumption!AT112/1000/$C$3)</f>
        <v>#DIV/0!</v>
      </c>
      <c r="AZ112" s="973" t="s">
        <v>19</v>
      </c>
      <c r="BA112" s="969" t="e">
        <f t="shared" si="11"/>
        <v>#DIV/0!</v>
      </c>
      <c r="BB112" s="970" t="e">
        <f t="shared" si="12"/>
        <v>#DIV/0!</v>
      </c>
      <c r="BC112" s="971" t="e">
        <f t="shared" ca="1" si="13"/>
        <v>#DIV/0!</v>
      </c>
      <c r="BD112" s="228">
        <f>input_values!Z112</f>
        <v>4</v>
      </c>
      <c r="BE112" s="152">
        <f>input_values!L112</f>
        <v>0</v>
      </c>
      <c r="BF112" s="972" t="str">
        <f t="shared" si="14"/>
        <v/>
      </c>
    </row>
    <row r="113" spans="1:58" ht="12" customHeight="1" outlineLevel="3" x14ac:dyDescent="0.2">
      <c r="A113" s="21">
        <v>4</v>
      </c>
      <c r="B113" s="23">
        <v>213070</v>
      </c>
      <c r="C113" s="23" t="s">
        <v>710</v>
      </c>
      <c r="D113" s="965">
        <f>Table22[[#This Row],[MRL individual commodity]]</f>
        <v>0</v>
      </c>
      <c r="E113" s="300" t="str">
        <f>Table22[[#This Row],[LOQ_label]]</f>
        <v/>
      </c>
      <c r="F113" s="966">
        <f>Table22[[#This Row],[Chronic RA input value]]</f>
        <v>0</v>
      </c>
      <c r="G113" s="304" t="str">
        <f>Table22[[#This Row],[Chronic RA label]]</f>
        <v/>
      </c>
      <c r="H113" s="304">
        <f>Table22[[#This Row],[GAP under assessment]]</f>
        <v>0</v>
      </c>
      <c r="I113" s="1123"/>
      <c r="J113" s="974" t="e">
        <f>IF($F113="","",$F113*chronic_consumption!$E113/1000/$C$3)</f>
        <v>#DIV/0!</v>
      </c>
      <c r="K113" s="974" t="e">
        <f>IF($F113="","",$F113*chronic_consumption!F113/1000/$C$3)</f>
        <v>#DIV/0!</v>
      </c>
      <c r="L113" s="974" t="e">
        <f>IF($F113="","",$F113*chronic_consumption!G113/1000/$C$3)</f>
        <v>#DIV/0!</v>
      </c>
      <c r="M113" s="974" t="e">
        <f>IF($F113="","",$F113*chronic_consumption!H113/1000/$C$3)</f>
        <v>#DIV/0!</v>
      </c>
      <c r="N113" s="974" t="e">
        <f>IF($F113="","",$F113*chronic_consumption!I113/1000/$C$3)</f>
        <v>#DIV/0!</v>
      </c>
      <c r="O113" s="974" t="e">
        <f>IF($F113="","",$F113*chronic_consumption!J113/1000/$C$3)</f>
        <v>#DIV/0!</v>
      </c>
      <c r="P113" s="974" t="e">
        <f>IF($F113="","",$F113*chronic_consumption!K113/1000/$C$3)</f>
        <v>#DIV/0!</v>
      </c>
      <c r="Q113" s="974" t="e">
        <f>IF($F113="","",$F113*chronic_consumption!L113/1000/$C$3)</f>
        <v>#DIV/0!</v>
      </c>
      <c r="R113" s="974" t="e">
        <f>IF($F113="","",$F113*chronic_consumption!M113/1000/$C$3)</f>
        <v>#DIV/0!</v>
      </c>
      <c r="S113" s="974" t="e">
        <f>IF($F113="","",$F113*chronic_consumption!N113/1000/$C$3)</f>
        <v>#DIV/0!</v>
      </c>
      <c r="T113" s="974" t="e">
        <f>IF($F113="","",$F113*chronic_consumption!O113/1000/$C$3)</f>
        <v>#DIV/0!</v>
      </c>
      <c r="U113" s="974" t="e">
        <f>IF($F113="","",$F113*chronic_consumption!P113/1000/$C$3)</f>
        <v>#DIV/0!</v>
      </c>
      <c r="V113" s="974" t="e">
        <f>IF($F113="","",$F113*chronic_consumption!Q113/1000/$C$3)</f>
        <v>#DIV/0!</v>
      </c>
      <c r="W113" s="974" t="e">
        <f>IF($F113="","",$F113*chronic_consumption!R113/1000/$C$3)</f>
        <v>#DIV/0!</v>
      </c>
      <c r="X113" s="974" t="e">
        <f>IF($F113="","",$F113*chronic_consumption!S113/1000/$C$3)</f>
        <v>#DIV/0!</v>
      </c>
      <c r="Y113" s="974" t="e">
        <f>IF($F113="","",$F113*chronic_consumption!T113/1000/$C$3)</f>
        <v>#DIV/0!</v>
      </c>
      <c r="Z113" s="974" t="e">
        <f>IF($F113="","",$F113*chronic_consumption!U113/1000/$C$3)</f>
        <v>#DIV/0!</v>
      </c>
      <c r="AA113" s="974" t="e">
        <f>IF($F113="","",$F113*chronic_consumption!V113/1000/$C$3)</f>
        <v>#DIV/0!</v>
      </c>
      <c r="AB113" s="974" t="e">
        <f>IF($F113="","",$F113*chronic_consumption!W113/1000/$C$3)</f>
        <v>#DIV/0!</v>
      </c>
      <c r="AC113" s="974" t="e">
        <f>IF($F113="","",$F113*chronic_consumption!X113/1000/$C$3)</f>
        <v>#DIV/0!</v>
      </c>
      <c r="AD113" s="974" t="e">
        <f>IF($F113="","",$F113*chronic_consumption!Y113/1000/$C$3)</f>
        <v>#DIV/0!</v>
      </c>
      <c r="AE113" s="974" t="e">
        <f>IF($F113="","",$F113*chronic_consumption!Z113/1000/$C$3)</f>
        <v>#DIV/0!</v>
      </c>
      <c r="AF113" s="974" t="e">
        <f>IF($F113="","",$F113*chronic_consumption!AA113/1000/$C$3)</f>
        <v>#DIV/0!</v>
      </c>
      <c r="AG113" s="974" t="e">
        <f>IF($F113="","",$F113*chronic_consumption!AB113/1000/$C$3)</f>
        <v>#DIV/0!</v>
      </c>
      <c r="AH113" s="974" t="e">
        <f>IF($F113="","",$F113*chronic_consumption!AC113/1000/$C$3)</f>
        <v>#DIV/0!</v>
      </c>
      <c r="AI113" s="974" t="e">
        <f>IF($F113="","",$F113*chronic_consumption!AD113/1000/$C$3)</f>
        <v>#DIV/0!</v>
      </c>
      <c r="AJ113" s="974" t="e">
        <f>IF($F113="","",$F113*chronic_consumption!AE113/1000/$C$3)</f>
        <v>#DIV/0!</v>
      </c>
      <c r="AK113" s="974" t="e">
        <f>IF($F113="","",$F113*chronic_consumption!AF113/1000/$C$3)</f>
        <v>#DIV/0!</v>
      </c>
      <c r="AL113" s="974" t="e">
        <f>IF($F113="","",$F113*chronic_consumption!AG113/1000/$C$3)</f>
        <v>#DIV/0!</v>
      </c>
      <c r="AM113" s="974" t="e">
        <f>IF($F113="","",$F113*chronic_consumption!AH113/1000/$C$3)</f>
        <v>#DIV/0!</v>
      </c>
      <c r="AN113" s="974" t="e">
        <f>IF($F113="","",$F113*chronic_consumption!AI113/1000/$C$3)</f>
        <v>#DIV/0!</v>
      </c>
      <c r="AO113" s="974" t="e">
        <f>IF($F113="","",$F113*chronic_consumption!AJ113/1000/$C$3)</f>
        <v>#DIV/0!</v>
      </c>
      <c r="AP113" s="974" t="e">
        <f>IF($F113="","",$F113*chronic_consumption!AK113/1000/$C$3)</f>
        <v>#DIV/0!</v>
      </c>
      <c r="AQ113" s="974" t="e">
        <f>IF($F113="","",$F113*chronic_consumption!AL113/1000/$C$3)</f>
        <v>#DIV/0!</v>
      </c>
      <c r="AR113" s="974" t="e">
        <f>IF($F113="","",$F113*chronic_consumption!AM113/1000/$C$3)</f>
        <v>#DIV/0!</v>
      </c>
      <c r="AS113" s="974" t="e">
        <f>IF($F113="","",$F113*chronic_consumption!AN113/1000/$C$3)</f>
        <v>#DIV/0!</v>
      </c>
      <c r="AT113" s="974" t="e">
        <f>IF($F113="","",$F113*chronic_consumption!AO113/1000/$C$3)</f>
        <v>#DIV/0!</v>
      </c>
      <c r="AU113" s="974"/>
      <c r="AV113" s="974" t="e">
        <f>IF($F113="","",$F113*chronic_consumption!AQ113/1000/$C$3)</f>
        <v>#DIV/0!</v>
      </c>
      <c r="AW113" s="974" t="e">
        <f>IF($F113="","",$F113*chronic_consumption!AR113/1000/$C$3)</f>
        <v>#DIV/0!</v>
      </c>
      <c r="AX113" s="974" t="e">
        <f>IF($F113="","",$F113*chronic_consumption!AS113/1000/$C$3)</f>
        <v>#DIV/0!</v>
      </c>
      <c r="AY113" s="974" t="e">
        <f>IF($F113="","",$F113*chronic_consumption!AT113/1000/$C$3)</f>
        <v>#DIV/0!</v>
      </c>
      <c r="AZ113" s="973" t="s">
        <v>19</v>
      </c>
      <c r="BA113" s="969" t="e">
        <f t="shared" si="11"/>
        <v>#DIV/0!</v>
      </c>
      <c r="BB113" s="970" t="e">
        <f t="shared" si="12"/>
        <v>#DIV/0!</v>
      </c>
      <c r="BC113" s="971" t="e">
        <f t="shared" ca="1" si="13"/>
        <v>#DIV/0!</v>
      </c>
      <c r="BD113" s="228">
        <f>input_values!Z113</f>
        <v>4</v>
      </c>
      <c r="BE113" s="152">
        <f>input_values!L113</f>
        <v>0</v>
      </c>
      <c r="BF113" s="972" t="str">
        <f t="shared" si="14"/>
        <v/>
      </c>
    </row>
    <row r="114" spans="1:58" ht="12" customHeight="1" outlineLevel="3" x14ac:dyDescent="0.2">
      <c r="A114" s="21">
        <v>4</v>
      </c>
      <c r="B114" s="23">
        <v>213080</v>
      </c>
      <c r="C114" s="23" t="s">
        <v>29</v>
      </c>
      <c r="D114" s="965">
        <f>Table22[[#This Row],[MRL individual commodity]]</f>
        <v>0</v>
      </c>
      <c r="E114" s="300" t="str">
        <f>Table22[[#This Row],[LOQ_label]]</f>
        <v/>
      </c>
      <c r="F114" s="966">
        <f>Table22[[#This Row],[Chronic RA input value]]</f>
        <v>0</v>
      </c>
      <c r="G114" s="304" t="str">
        <f>Table22[[#This Row],[Chronic RA label]]</f>
        <v/>
      </c>
      <c r="H114" s="304">
        <f>Table22[[#This Row],[GAP under assessment]]</f>
        <v>0</v>
      </c>
      <c r="I114" s="1123"/>
      <c r="J114" s="974" t="e">
        <f>IF($F114="","",$F114*chronic_consumption!$E114/1000/$C$3)</f>
        <v>#DIV/0!</v>
      </c>
      <c r="K114" s="974" t="e">
        <f>IF($F114="","",$F114*chronic_consumption!F114/1000/$C$3)</f>
        <v>#DIV/0!</v>
      </c>
      <c r="L114" s="974" t="e">
        <f>IF($F114="","",$F114*chronic_consumption!G114/1000/$C$3)</f>
        <v>#DIV/0!</v>
      </c>
      <c r="M114" s="974" t="e">
        <f>IF($F114="","",$F114*chronic_consumption!H114/1000/$C$3)</f>
        <v>#DIV/0!</v>
      </c>
      <c r="N114" s="974" t="e">
        <f>IF($F114="","",$F114*chronic_consumption!I114/1000/$C$3)</f>
        <v>#DIV/0!</v>
      </c>
      <c r="O114" s="974" t="e">
        <f>IF($F114="","",$F114*chronic_consumption!J114/1000/$C$3)</f>
        <v>#DIV/0!</v>
      </c>
      <c r="P114" s="974" t="e">
        <f>IF($F114="","",$F114*chronic_consumption!K114/1000/$C$3)</f>
        <v>#DIV/0!</v>
      </c>
      <c r="Q114" s="974" t="e">
        <f>IF($F114="","",$F114*chronic_consumption!L114/1000/$C$3)</f>
        <v>#DIV/0!</v>
      </c>
      <c r="R114" s="974" t="e">
        <f>IF($F114="","",$F114*chronic_consumption!M114/1000/$C$3)</f>
        <v>#DIV/0!</v>
      </c>
      <c r="S114" s="974" t="e">
        <f>IF($F114="","",$F114*chronic_consumption!N114/1000/$C$3)</f>
        <v>#DIV/0!</v>
      </c>
      <c r="T114" s="974" t="e">
        <f>IF($F114="","",$F114*chronic_consumption!O114/1000/$C$3)</f>
        <v>#DIV/0!</v>
      </c>
      <c r="U114" s="974" t="e">
        <f>IF($F114="","",$F114*chronic_consumption!P114/1000/$C$3)</f>
        <v>#DIV/0!</v>
      </c>
      <c r="V114" s="974" t="e">
        <f>IF($F114="","",$F114*chronic_consumption!Q114/1000/$C$3)</f>
        <v>#DIV/0!</v>
      </c>
      <c r="W114" s="974" t="e">
        <f>IF($F114="","",$F114*chronic_consumption!R114/1000/$C$3)</f>
        <v>#DIV/0!</v>
      </c>
      <c r="X114" s="974" t="e">
        <f>IF($F114="","",$F114*chronic_consumption!S114/1000/$C$3)</f>
        <v>#DIV/0!</v>
      </c>
      <c r="Y114" s="974" t="e">
        <f>IF($F114="","",$F114*chronic_consumption!T114/1000/$C$3)</f>
        <v>#DIV/0!</v>
      </c>
      <c r="Z114" s="974" t="e">
        <f>IF($F114="","",$F114*chronic_consumption!U114/1000/$C$3)</f>
        <v>#DIV/0!</v>
      </c>
      <c r="AA114" s="974" t="e">
        <f>IF($F114="","",$F114*chronic_consumption!V114/1000/$C$3)</f>
        <v>#DIV/0!</v>
      </c>
      <c r="AB114" s="974" t="e">
        <f>IF($F114="","",$F114*chronic_consumption!W114/1000/$C$3)</f>
        <v>#DIV/0!</v>
      </c>
      <c r="AC114" s="974" t="e">
        <f>IF($F114="","",$F114*chronic_consumption!X114/1000/$C$3)</f>
        <v>#DIV/0!</v>
      </c>
      <c r="AD114" s="974" t="e">
        <f>IF($F114="","",$F114*chronic_consumption!Y114/1000/$C$3)</f>
        <v>#DIV/0!</v>
      </c>
      <c r="AE114" s="974" t="e">
        <f>IF($F114="","",$F114*chronic_consumption!Z114/1000/$C$3)</f>
        <v>#DIV/0!</v>
      </c>
      <c r="AF114" s="974" t="e">
        <f>IF($F114="","",$F114*chronic_consumption!AA114/1000/$C$3)</f>
        <v>#DIV/0!</v>
      </c>
      <c r="AG114" s="974" t="e">
        <f>IF($F114="","",$F114*chronic_consumption!AB114/1000/$C$3)</f>
        <v>#DIV/0!</v>
      </c>
      <c r="AH114" s="974" t="e">
        <f>IF($F114="","",$F114*chronic_consumption!AC114/1000/$C$3)</f>
        <v>#DIV/0!</v>
      </c>
      <c r="AI114" s="974" t="e">
        <f>IF($F114="","",$F114*chronic_consumption!AD114/1000/$C$3)</f>
        <v>#DIV/0!</v>
      </c>
      <c r="AJ114" s="974" t="e">
        <f>IF($F114="","",$F114*chronic_consumption!AE114/1000/$C$3)</f>
        <v>#DIV/0!</v>
      </c>
      <c r="AK114" s="974" t="e">
        <f>IF($F114="","",$F114*chronic_consumption!AF114/1000/$C$3)</f>
        <v>#DIV/0!</v>
      </c>
      <c r="AL114" s="974" t="e">
        <f>IF($F114="","",$F114*chronic_consumption!AG114/1000/$C$3)</f>
        <v>#DIV/0!</v>
      </c>
      <c r="AM114" s="974" t="e">
        <f>IF($F114="","",$F114*chronic_consumption!AH114/1000/$C$3)</f>
        <v>#DIV/0!</v>
      </c>
      <c r="AN114" s="974" t="e">
        <f>IF($F114="","",$F114*chronic_consumption!AI114/1000/$C$3)</f>
        <v>#DIV/0!</v>
      </c>
      <c r="AO114" s="974" t="e">
        <f>IF($F114="","",$F114*chronic_consumption!AJ114/1000/$C$3)</f>
        <v>#DIV/0!</v>
      </c>
      <c r="AP114" s="974" t="e">
        <f>IF($F114="","",$F114*chronic_consumption!AK114/1000/$C$3)</f>
        <v>#DIV/0!</v>
      </c>
      <c r="AQ114" s="974" t="e">
        <f>IF($F114="","",$F114*chronic_consumption!AL114/1000/$C$3)</f>
        <v>#DIV/0!</v>
      </c>
      <c r="AR114" s="974" t="e">
        <f>IF($F114="","",$F114*chronic_consumption!AM114/1000/$C$3)</f>
        <v>#DIV/0!</v>
      </c>
      <c r="AS114" s="974" t="e">
        <f>IF($F114="","",$F114*chronic_consumption!AN114/1000/$C$3)</f>
        <v>#DIV/0!</v>
      </c>
      <c r="AT114" s="974" t="e">
        <f>IF($F114="","",$F114*chronic_consumption!AO114/1000/$C$3)</f>
        <v>#DIV/0!</v>
      </c>
      <c r="AU114" s="974"/>
      <c r="AV114" s="974" t="e">
        <f>IF($F114="","",$F114*chronic_consumption!AQ114/1000/$C$3)</f>
        <v>#DIV/0!</v>
      </c>
      <c r="AW114" s="974" t="e">
        <f>IF($F114="","",$F114*chronic_consumption!AR114/1000/$C$3)</f>
        <v>#DIV/0!</v>
      </c>
      <c r="AX114" s="974" t="e">
        <f>IF($F114="","",$F114*chronic_consumption!AS114/1000/$C$3)</f>
        <v>#DIV/0!</v>
      </c>
      <c r="AY114" s="974" t="e">
        <f>IF($F114="","",$F114*chronic_consumption!AT114/1000/$C$3)</f>
        <v>#DIV/0!</v>
      </c>
      <c r="AZ114" s="973" t="s">
        <v>19</v>
      </c>
      <c r="BA114" s="969" t="e">
        <f t="shared" si="11"/>
        <v>#DIV/0!</v>
      </c>
      <c r="BB114" s="970" t="e">
        <f t="shared" si="12"/>
        <v>#DIV/0!</v>
      </c>
      <c r="BC114" s="971" t="e">
        <f t="shared" ca="1" si="13"/>
        <v>#DIV/0!</v>
      </c>
      <c r="BD114" s="228">
        <f>input_values!Z114</f>
        <v>4</v>
      </c>
      <c r="BE114" s="152">
        <f>input_values!L114</f>
        <v>0</v>
      </c>
      <c r="BF114" s="972" t="str">
        <f t="shared" si="14"/>
        <v/>
      </c>
    </row>
    <row r="115" spans="1:58" ht="12" customHeight="1" outlineLevel="3" x14ac:dyDescent="0.2">
      <c r="A115" s="21">
        <v>4</v>
      </c>
      <c r="B115" s="23">
        <v>213090</v>
      </c>
      <c r="C115" s="23" t="s">
        <v>711</v>
      </c>
      <c r="D115" s="965">
        <f>Table22[[#This Row],[MRL individual commodity]]</f>
        <v>0</v>
      </c>
      <c r="E115" s="300" t="str">
        <f>Table22[[#This Row],[LOQ_label]]</f>
        <v/>
      </c>
      <c r="F115" s="966">
        <f>Table22[[#This Row],[Chronic RA input value]]</f>
        <v>0</v>
      </c>
      <c r="G115" s="304" t="str">
        <f>Table22[[#This Row],[Chronic RA label]]</f>
        <v/>
      </c>
      <c r="H115" s="304">
        <f>Table22[[#This Row],[GAP under assessment]]</f>
        <v>0</v>
      </c>
      <c r="I115" s="1123"/>
      <c r="J115" s="974" t="e">
        <f>IF($F115="","",$F115*chronic_consumption!$E115/1000/$C$3)</f>
        <v>#DIV/0!</v>
      </c>
      <c r="K115" s="974" t="e">
        <f>IF($F115="","",$F115*chronic_consumption!F115/1000/$C$3)</f>
        <v>#DIV/0!</v>
      </c>
      <c r="L115" s="974" t="e">
        <f>IF($F115="","",$F115*chronic_consumption!G115/1000/$C$3)</f>
        <v>#DIV/0!</v>
      </c>
      <c r="M115" s="974" t="e">
        <f>IF($F115="","",$F115*chronic_consumption!H115/1000/$C$3)</f>
        <v>#DIV/0!</v>
      </c>
      <c r="N115" s="974" t="e">
        <f>IF($F115="","",$F115*chronic_consumption!I115/1000/$C$3)</f>
        <v>#DIV/0!</v>
      </c>
      <c r="O115" s="974" t="e">
        <f>IF($F115="","",$F115*chronic_consumption!J115/1000/$C$3)</f>
        <v>#DIV/0!</v>
      </c>
      <c r="P115" s="974" t="e">
        <f>IF($F115="","",$F115*chronic_consumption!K115/1000/$C$3)</f>
        <v>#DIV/0!</v>
      </c>
      <c r="Q115" s="974" t="e">
        <f>IF($F115="","",$F115*chronic_consumption!L115/1000/$C$3)</f>
        <v>#DIV/0!</v>
      </c>
      <c r="R115" s="974" t="e">
        <f>IF($F115="","",$F115*chronic_consumption!M115/1000/$C$3)</f>
        <v>#DIV/0!</v>
      </c>
      <c r="S115" s="974" t="e">
        <f>IF($F115="","",$F115*chronic_consumption!N115/1000/$C$3)</f>
        <v>#DIV/0!</v>
      </c>
      <c r="T115" s="974" t="e">
        <f>IF($F115="","",$F115*chronic_consumption!O115/1000/$C$3)</f>
        <v>#DIV/0!</v>
      </c>
      <c r="U115" s="974" t="e">
        <f>IF($F115="","",$F115*chronic_consumption!P115/1000/$C$3)</f>
        <v>#DIV/0!</v>
      </c>
      <c r="V115" s="974" t="e">
        <f>IF($F115="","",$F115*chronic_consumption!Q115/1000/$C$3)</f>
        <v>#DIV/0!</v>
      </c>
      <c r="W115" s="974" t="e">
        <f>IF($F115="","",$F115*chronic_consumption!R115/1000/$C$3)</f>
        <v>#DIV/0!</v>
      </c>
      <c r="X115" s="974" t="e">
        <f>IF($F115="","",$F115*chronic_consumption!S115/1000/$C$3)</f>
        <v>#DIV/0!</v>
      </c>
      <c r="Y115" s="974" t="e">
        <f>IF($F115="","",$F115*chronic_consumption!T115/1000/$C$3)</f>
        <v>#DIV/0!</v>
      </c>
      <c r="Z115" s="974" t="e">
        <f>IF($F115="","",$F115*chronic_consumption!U115/1000/$C$3)</f>
        <v>#DIV/0!</v>
      </c>
      <c r="AA115" s="974" t="e">
        <f>IF($F115="","",$F115*chronic_consumption!V115/1000/$C$3)</f>
        <v>#DIV/0!</v>
      </c>
      <c r="AB115" s="974" t="e">
        <f>IF($F115="","",$F115*chronic_consumption!W115/1000/$C$3)</f>
        <v>#DIV/0!</v>
      </c>
      <c r="AC115" s="974" t="e">
        <f>IF($F115="","",$F115*chronic_consumption!X115/1000/$C$3)</f>
        <v>#DIV/0!</v>
      </c>
      <c r="AD115" s="974" t="e">
        <f>IF($F115="","",$F115*chronic_consumption!Y115/1000/$C$3)</f>
        <v>#DIV/0!</v>
      </c>
      <c r="AE115" s="974" t="e">
        <f>IF($F115="","",$F115*chronic_consumption!Z115/1000/$C$3)</f>
        <v>#DIV/0!</v>
      </c>
      <c r="AF115" s="974" t="e">
        <f>IF($F115="","",$F115*chronic_consumption!AA115/1000/$C$3)</f>
        <v>#DIV/0!</v>
      </c>
      <c r="AG115" s="974" t="e">
        <f>IF($F115="","",$F115*chronic_consumption!AB115/1000/$C$3)</f>
        <v>#DIV/0!</v>
      </c>
      <c r="AH115" s="974" t="e">
        <f>IF($F115="","",$F115*chronic_consumption!AC115/1000/$C$3)</f>
        <v>#DIV/0!</v>
      </c>
      <c r="AI115" s="974" t="e">
        <f>IF($F115="","",$F115*chronic_consumption!AD115/1000/$C$3)</f>
        <v>#DIV/0!</v>
      </c>
      <c r="AJ115" s="974" t="e">
        <f>IF($F115="","",$F115*chronic_consumption!AE115/1000/$C$3)</f>
        <v>#DIV/0!</v>
      </c>
      <c r="AK115" s="974" t="e">
        <f>IF($F115="","",$F115*chronic_consumption!AF115/1000/$C$3)</f>
        <v>#DIV/0!</v>
      </c>
      <c r="AL115" s="974" t="e">
        <f>IF($F115="","",$F115*chronic_consumption!AG115/1000/$C$3)</f>
        <v>#DIV/0!</v>
      </c>
      <c r="AM115" s="974" t="e">
        <f>IF($F115="","",$F115*chronic_consumption!AH115/1000/$C$3)</f>
        <v>#DIV/0!</v>
      </c>
      <c r="AN115" s="974" t="e">
        <f>IF($F115="","",$F115*chronic_consumption!AI115/1000/$C$3)</f>
        <v>#DIV/0!</v>
      </c>
      <c r="AO115" s="974" t="e">
        <f>IF($F115="","",$F115*chronic_consumption!AJ115/1000/$C$3)</f>
        <v>#DIV/0!</v>
      </c>
      <c r="AP115" s="974" t="e">
        <f>IF($F115="","",$F115*chronic_consumption!AK115/1000/$C$3)</f>
        <v>#DIV/0!</v>
      </c>
      <c r="AQ115" s="974" t="e">
        <f>IF($F115="","",$F115*chronic_consumption!AL115/1000/$C$3)</f>
        <v>#DIV/0!</v>
      </c>
      <c r="AR115" s="974" t="e">
        <f>IF($F115="","",$F115*chronic_consumption!AM115/1000/$C$3)</f>
        <v>#DIV/0!</v>
      </c>
      <c r="AS115" s="974" t="e">
        <f>IF($F115="","",$F115*chronic_consumption!AN115/1000/$C$3)</f>
        <v>#DIV/0!</v>
      </c>
      <c r="AT115" s="974" t="e">
        <f>IF($F115="","",$F115*chronic_consumption!AO115/1000/$C$3)</f>
        <v>#DIV/0!</v>
      </c>
      <c r="AU115" s="974"/>
      <c r="AV115" s="974" t="e">
        <f>IF($F115="","",$F115*chronic_consumption!AQ115/1000/$C$3)</f>
        <v>#DIV/0!</v>
      </c>
      <c r="AW115" s="974" t="e">
        <f>IF($F115="","",$F115*chronic_consumption!AR115/1000/$C$3)</f>
        <v>#DIV/0!</v>
      </c>
      <c r="AX115" s="974" t="e">
        <f>IF($F115="","",$F115*chronic_consumption!AS115/1000/$C$3)</f>
        <v>#DIV/0!</v>
      </c>
      <c r="AY115" s="974" t="e">
        <f>IF($F115="","",$F115*chronic_consumption!AT115/1000/$C$3)</f>
        <v>#DIV/0!</v>
      </c>
      <c r="AZ115" s="973" t="s">
        <v>19</v>
      </c>
      <c r="BA115" s="969" t="e">
        <f t="shared" si="11"/>
        <v>#DIV/0!</v>
      </c>
      <c r="BB115" s="970" t="e">
        <f t="shared" si="12"/>
        <v>#DIV/0!</v>
      </c>
      <c r="BC115" s="971" t="e">
        <f t="shared" ca="1" si="13"/>
        <v>#DIV/0!</v>
      </c>
      <c r="BD115" s="228">
        <f>input_values!Z115</f>
        <v>4</v>
      </c>
      <c r="BE115" s="152">
        <f>input_values!L115</f>
        <v>0</v>
      </c>
      <c r="BF115" s="972" t="str">
        <f t="shared" si="14"/>
        <v/>
      </c>
    </row>
    <row r="116" spans="1:58" ht="12" customHeight="1" outlineLevel="3" x14ac:dyDescent="0.2">
      <c r="A116" s="21">
        <v>4</v>
      </c>
      <c r="B116" s="23">
        <v>213100</v>
      </c>
      <c r="C116" s="23" t="s">
        <v>712</v>
      </c>
      <c r="D116" s="965">
        <f>Table22[[#This Row],[MRL individual commodity]]</f>
        <v>0</v>
      </c>
      <c r="E116" s="300" t="str">
        <f>Table22[[#This Row],[LOQ_label]]</f>
        <v/>
      </c>
      <c r="F116" s="966">
        <f>Table22[[#This Row],[Chronic RA input value]]</f>
        <v>0</v>
      </c>
      <c r="G116" s="304" t="str">
        <f>Table22[[#This Row],[Chronic RA label]]</f>
        <v/>
      </c>
      <c r="H116" s="304">
        <f>Table22[[#This Row],[GAP under assessment]]</f>
        <v>0</v>
      </c>
      <c r="I116" s="1123"/>
      <c r="J116" s="974" t="e">
        <f>IF($F116="","",$F116*chronic_consumption!$E116/1000/$C$3)</f>
        <v>#DIV/0!</v>
      </c>
      <c r="K116" s="974" t="e">
        <f>IF($F116="","",$F116*chronic_consumption!F116/1000/$C$3)</f>
        <v>#DIV/0!</v>
      </c>
      <c r="L116" s="974" t="e">
        <f>IF($F116="","",$F116*chronic_consumption!G116/1000/$C$3)</f>
        <v>#DIV/0!</v>
      </c>
      <c r="M116" s="974" t="e">
        <f>IF($F116="","",$F116*chronic_consumption!H116/1000/$C$3)</f>
        <v>#DIV/0!</v>
      </c>
      <c r="N116" s="974" t="e">
        <f>IF($F116="","",$F116*chronic_consumption!I116/1000/$C$3)</f>
        <v>#DIV/0!</v>
      </c>
      <c r="O116" s="974" t="e">
        <f>IF($F116="","",$F116*chronic_consumption!J116/1000/$C$3)</f>
        <v>#DIV/0!</v>
      </c>
      <c r="P116" s="974" t="e">
        <f>IF($F116="","",$F116*chronic_consumption!K116/1000/$C$3)</f>
        <v>#DIV/0!</v>
      </c>
      <c r="Q116" s="974" t="e">
        <f>IF($F116="","",$F116*chronic_consumption!L116/1000/$C$3)</f>
        <v>#DIV/0!</v>
      </c>
      <c r="R116" s="974" t="e">
        <f>IF($F116="","",$F116*chronic_consumption!M116/1000/$C$3)</f>
        <v>#DIV/0!</v>
      </c>
      <c r="S116" s="974" t="e">
        <f>IF($F116="","",$F116*chronic_consumption!N116/1000/$C$3)</f>
        <v>#DIV/0!</v>
      </c>
      <c r="T116" s="974" t="e">
        <f>IF($F116="","",$F116*chronic_consumption!O116/1000/$C$3)</f>
        <v>#DIV/0!</v>
      </c>
      <c r="U116" s="974" t="e">
        <f>IF($F116="","",$F116*chronic_consumption!P116/1000/$C$3)</f>
        <v>#DIV/0!</v>
      </c>
      <c r="V116" s="974" t="e">
        <f>IF($F116="","",$F116*chronic_consumption!Q116/1000/$C$3)</f>
        <v>#DIV/0!</v>
      </c>
      <c r="W116" s="974" t="e">
        <f>IF($F116="","",$F116*chronic_consumption!R116/1000/$C$3)</f>
        <v>#DIV/0!</v>
      </c>
      <c r="X116" s="974" t="e">
        <f>IF($F116="","",$F116*chronic_consumption!S116/1000/$C$3)</f>
        <v>#DIV/0!</v>
      </c>
      <c r="Y116" s="974" t="e">
        <f>IF($F116="","",$F116*chronic_consumption!T116/1000/$C$3)</f>
        <v>#DIV/0!</v>
      </c>
      <c r="Z116" s="974" t="e">
        <f>IF($F116="","",$F116*chronic_consumption!U116/1000/$C$3)</f>
        <v>#DIV/0!</v>
      </c>
      <c r="AA116" s="974" t="e">
        <f>IF($F116="","",$F116*chronic_consumption!V116/1000/$C$3)</f>
        <v>#DIV/0!</v>
      </c>
      <c r="AB116" s="974" t="e">
        <f>IF($F116="","",$F116*chronic_consumption!W116/1000/$C$3)</f>
        <v>#DIV/0!</v>
      </c>
      <c r="AC116" s="974" t="e">
        <f>IF($F116="","",$F116*chronic_consumption!X116/1000/$C$3)</f>
        <v>#DIV/0!</v>
      </c>
      <c r="AD116" s="974" t="e">
        <f>IF($F116="","",$F116*chronic_consumption!Y116/1000/$C$3)</f>
        <v>#DIV/0!</v>
      </c>
      <c r="AE116" s="974" t="e">
        <f>IF($F116="","",$F116*chronic_consumption!Z116/1000/$C$3)</f>
        <v>#DIV/0!</v>
      </c>
      <c r="AF116" s="974" t="e">
        <f>IF($F116="","",$F116*chronic_consumption!AA116/1000/$C$3)</f>
        <v>#DIV/0!</v>
      </c>
      <c r="AG116" s="974" t="e">
        <f>IF($F116="","",$F116*chronic_consumption!AB116/1000/$C$3)</f>
        <v>#DIV/0!</v>
      </c>
      <c r="AH116" s="974" t="e">
        <f>IF($F116="","",$F116*chronic_consumption!AC116/1000/$C$3)</f>
        <v>#DIV/0!</v>
      </c>
      <c r="AI116" s="974" t="e">
        <f>IF($F116="","",$F116*chronic_consumption!AD116/1000/$C$3)</f>
        <v>#DIV/0!</v>
      </c>
      <c r="AJ116" s="974" t="e">
        <f>IF($F116="","",$F116*chronic_consumption!AE116/1000/$C$3)</f>
        <v>#DIV/0!</v>
      </c>
      <c r="AK116" s="974" t="e">
        <f>IF($F116="","",$F116*chronic_consumption!AF116/1000/$C$3)</f>
        <v>#DIV/0!</v>
      </c>
      <c r="AL116" s="974" t="e">
        <f>IF($F116="","",$F116*chronic_consumption!AG116/1000/$C$3)</f>
        <v>#DIV/0!</v>
      </c>
      <c r="AM116" s="974" t="e">
        <f>IF($F116="","",$F116*chronic_consumption!AH116/1000/$C$3)</f>
        <v>#DIV/0!</v>
      </c>
      <c r="AN116" s="974" t="e">
        <f>IF($F116="","",$F116*chronic_consumption!AI116/1000/$C$3)</f>
        <v>#DIV/0!</v>
      </c>
      <c r="AO116" s="974" t="e">
        <f>IF($F116="","",$F116*chronic_consumption!AJ116/1000/$C$3)</f>
        <v>#DIV/0!</v>
      </c>
      <c r="AP116" s="974" t="e">
        <f>IF($F116="","",$F116*chronic_consumption!AK116/1000/$C$3)</f>
        <v>#DIV/0!</v>
      </c>
      <c r="AQ116" s="974" t="e">
        <f>IF($F116="","",$F116*chronic_consumption!AL116/1000/$C$3)</f>
        <v>#DIV/0!</v>
      </c>
      <c r="AR116" s="974" t="e">
        <f>IF($F116="","",$F116*chronic_consumption!AM116/1000/$C$3)</f>
        <v>#DIV/0!</v>
      </c>
      <c r="AS116" s="974" t="e">
        <f>IF($F116="","",$F116*chronic_consumption!AN116/1000/$C$3)</f>
        <v>#DIV/0!</v>
      </c>
      <c r="AT116" s="974" t="e">
        <f>IF($F116="","",$F116*chronic_consumption!AO116/1000/$C$3)</f>
        <v>#DIV/0!</v>
      </c>
      <c r="AU116" s="974"/>
      <c r="AV116" s="974" t="e">
        <f>IF($F116="","",$F116*chronic_consumption!AQ116/1000/$C$3)</f>
        <v>#DIV/0!</v>
      </c>
      <c r="AW116" s="974" t="e">
        <f>IF($F116="","",$F116*chronic_consumption!AR116/1000/$C$3)</f>
        <v>#DIV/0!</v>
      </c>
      <c r="AX116" s="974" t="e">
        <f>IF($F116="","",$F116*chronic_consumption!AS116/1000/$C$3)</f>
        <v>#DIV/0!</v>
      </c>
      <c r="AY116" s="974" t="e">
        <f>IF($F116="","",$F116*chronic_consumption!AT116/1000/$C$3)</f>
        <v>#DIV/0!</v>
      </c>
      <c r="AZ116" s="973" t="s">
        <v>19</v>
      </c>
      <c r="BA116" s="969" t="e">
        <f t="shared" si="11"/>
        <v>#DIV/0!</v>
      </c>
      <c r="BB116" s="970" t="e">
        <f t="shared" si="12"/>
        <v>#DIV/0!</v>
      </c>
      <c r="BC116" s="971" t="e">
        <f t="shared" ca="1" si="13"/>
        <v>#DIV/0!</v>
      </c>
      <c r="BD116" s="228">
        <f>input_values!Z116</f>
        <v>4</v>
      </c>
      <c r="BE116" s="152">
        <f>input_values!L116</f>
        <v>0</v>
      </c>
      <c r="BF116" s="972" t="str">
        <f t="shared" si="14"/>
        <v/>
      </c>
    </row>
    <row r="117" spans="1:58" ht="12" customHeight="1" outlineLevel="3" x14ac:dyDescent="0.2">
      <c r="A117" s="21">
        <v>4</v>
      </c>
      <c r="B117" s="23">
        <v>213110</v>
      </c>
      <c r="C117" s="23" t="s">
        <v>30</v>
      </c>
      <c r="D117" s="965">
        <f>Table22[[#This Row],[MRL individual commodity]]</f>
        <v>0</v>
      </c>
      <c r="E117" s="300" t="str">
        <f>Table22[[#This Row],[LOQ_label]]</f>
        <v/>
      </c>
      <c r="F117" s="966">
        <f>Table22[[#This Row],[Chronic RA input value]]</f>
        <v>0</v>
      </c>
      <c r="G117" s="304" t="str">
        <f>Table22[[#This Row],[Chronic RA label]]</f>
        <v/>
      </c>
      <c r="H117" s="304">
        <f>Table22[[#This Row],[GAP under assessment]]</f>
        <v>0</v>
      </c>
      <c r="I117" s="1123"/>
      <c r="J117" s="974" t="e">
        <f>IF($F117="","",$F117*chronic_consumption!$E117/1000/$C$3)</f>
        <v>#DIV/0!</v>
      </c>
      <c r="K117" s="974" t="e">
        <f>IF($F117="","",$F117*chronic_consumption!F117/1000/$C$3)</f>
        <v>#DIV/0!</v>
      </c>
      <c r="L117" s="974" t="e">
        <f>IF($F117="","",$F117*chronic_consumption!G117/1000/$C$3)</f>
        <v>#DIV/0!</v>
      </c>
      <c r="M117" s="974" t="e">
        <f>IF($F117="","",$F117*chronic_consumption!H117/1000/$C$3)</f>
        <v>#DIV/0!</v>
      </c>
      <c r="N117" s="974" t="e">
        <f>IF($F117="","",$F117*chronic_consumption!I117/1000/$C$3)</f>
        <v>#DIV/0!</v>
      </c>
      <c r="O117" s="974" t="e">
        <f>IF($F117="","",$F117*chronic_consumption!J117/1000/$C$3)</f>
        <v>#DIV/0!</v>
      </c>
      <c r="P117" s="974" t="e">
        <f>IF($F117="","",$F117*chronic_consumption!K117/1000/$C$3)</f>
        <v>#DIV/0!</v>
      </c>
      <c r="Q117" s="974" t="e">
        <f>IF($F117="","",$F117*chronic_consumption!L117/1000/$C$3)</f>
        <v>#DIV/0!</v>
      </c>
      <c r="R117" s="974" t="e">
        <f>IF($F117="","",$F117*chronic_consumption!M117/1000/$C$3)</f>
        <v>#DIV/0!</v>
      </c>
      <c r="S117" s="974" t="e">
        <f>IF($F117="","",$F117*chronic_consumption!N117/1000/$C$3)</f>
        <v>#DIV/0!</v>
      </c>
      <c r="T117" s="974" t="e">
        <f>IF($F117="","",$F117*chronic_consumption!O117/1000/$C$3)</f>
        <v>#DIV/0!</v>
      </c>
      <c r="U117" s="974" t="e">
        <f>IF($F117="","",$F117*chronic_consumption!P117/1000/$C$3)</f>
        <v>#DIV/0!</v>
      </c>
      <c r="V117" s="974" t="e">
        <f>IF($F117="","",$F117*chronic_consumption!Q117/1000/$C$3)</f>
        <v>#DIV/0!</v>
      </c>
      <c r="W117" s="974" t="e">
        <f>IF($F117="","",$F117*chronic_consumption!R117/1000/$C$3)</f>
        <v>#DIV/0!</v>
      </c>
      <c r="X117" s="974" t="e">
        <f>IF($F117="","",$F117*chronic_consumption!S117/1000/$C$3)</f>
        <v>#DIV/0!</v>
      </c>
      <c r="Y117" s="974" t="e">
        <f>IF($F117="","",$F117*chronic_consumption!T117/1000/$C$3)</f>
        <v>#DIV/0!</v>
      </c>
      <c r="Z117" s="974" t="e">
        <f>IF($F117="","",$F117*chronic_consumption!U117/1000/$C$3)</f>
        <v>#DIV/0!</v>
      </c>
      <c r="AA117" s="974" t="e">
        <f>IF($F117="","",$F117*chronic_consumption!V117/1000/$C$3)</f>
        <v>#DIV/0!</v>
      </c>
      <c r="AB117" s="974" t="e">
        <f>IF($F117="","",$F117*chronic_consumption!W117/1000/$C$3)</f>
        <v>#DIV/0!</v>
      </c>
      <c r="AC117" s="974" t="e">
        <f>IF($F117="","",$F117*chronic_consumption!X117/1000/$C$3)</f>
        <v>#DIV/0!</v>
      </c>
      <c r="AD117" s="974" t="e">
        <f>IF($F117="","",$F117*chronic_consumption!Y117/1000/$C$3)</f>
        <v>#DIV/0!</v>
      </c>
      <c r="AE117" s="974" t="e">
        <f>IF($F117="","",$F117*chronic_consumption!Z117/1000/$C$3)</f>
        <v>#DIV/0!</v>
      </c>
      <c r="AF117" s="974" t="e">
        <f>IF($F117="","",$F117*chronic_consumption!AA117/1000/$C$3)</f>
        <v>#DIV/0!</v>
      </c>
      <c r="AG117" s="974" t="e">
        <f>IF($F117="","",$F117*chronic_consumption!AB117/1000/$C$3)</f>
        <v>#DIV/0!</v>
      </c>
      <c r="AH117" s="974" t="e">
        <f>IF($F117="","",$F117*chronic_consumption!AC117/1000/$C$3)</f>
        <v>#DIV/0!</v>
      </c>
      <c r="AI117" s="974" t="e">
        <f>IF($F117="","",$F117*chronic_consumption!AD117/1000/$C$3)</f>
        <v>#DIV/0!</v>
      </c>
      <c r="AJ117" s="974" t="e">
        <f>IF($F117="","",$F117*chronic_consumption!AE117/1000/$C$3)</f>
        <v>#DIV/0!</v>
      </c>
      <c r="AK117" s="974" t="e">
        <f>IF($F117="","",$F117*chronic_consumption!AF117/1000/$C$3)</f>
        <v>#DIV/0!</v>
      </c>
      <c r="AL117" s="974" t="e">
        <f>IF($F117="","",$F117*chronic_consumption!AG117/1000/$C$3)</f>
        <v>#DIV/0!</v>
      </c>
      <c r="AM117" s="974" t="e">
        <f>IF($F117="","",$F117*chronic_consumption!AH117/1000/$C$3)</f>
        <v>#DIV/0!</v>
      </c>
      <c r="AN117" s="974" t="e">
        <f>IF($F117="","",$F117*chronic_consumption!AI117/1000/$C$3)</f>
        <v>#DIV/0!</v>
      </c>
      <c r="AO117" s="974" t="e">
        <f>IF($F117="","",$F117*chronic_consumption!AJ117/1000/$C$3)</f>
        <v>#DIV/0!</v>
      </c>
      <c r="AP117" s="974" t="e">
        <f>IF($F117="","",$F117*chronic_consumption!AK117/1000/$C$3)</f>
        <v>#DIV/0!</v>
      </c>
      <c r="AQ117" s="974" t="e">
        <f>IF($F117="","",$F117*chronic_consumption!AL117/1000/$C$3)</f>
        <v>#DIV/0!</v>
      </c>
      <c r="AR117" s="974" t="e">
        <f>IF($F117="","",$F117*chronic_consumption!AM117/1000/$C$3)</f>
        <v>#DIV/0!</v>
      </c>
      <c r="AS117" s="974" t="e">
        <f>IF($F117="","",$F117*chronic_consumption!AN117/1000/$C$3)</f>
        <v>#DIV/0!</v>
      </c>
      <c r="AT117" s="974" t="e">
        <f>IF($F117="","",$F117*chronic_consumption!AO117/1000/$C$3)</f>
        <v>#DIV/0!</v>
      </c>
      <c r="AU117" s="974"/>
      <c r="AV117" s="974" t="e">
        <f>IF($F117="","",$F117*chronic_consumption!AQ117/1000/$C$3)</f>
        <v>#DIV/0!</v>
      </c>
      <c r="AW117" s="974" t="e">
        <f>IF($F117="","",$F117*chronic_consumption!AR117/1000/$C$3)</f>
        <v>#DIV/0!</v>
      </c>
      <c r="AX117" s="974" t="e">
        <f>IF($F117="","",$F117*chronic_consumption!AS117/1000/$C$3)</f>
        <v>#DIV/0!</v>
      </c>
      <c r="AY117" s="974" t="e">
        <f>IF($F117="","",$F117*chronic_consumption!AT117/1000/$C$3)</f>
        <v>#DIV/0!</v>
      </c>
      <c r="AZ117" s="973" t="s">
        <v>19</v>
      </c>
      <c r="BA117" s="969" t="e">
        <f t="shared" si="11"/>
        <v>#DIV/0!</v>
      </c>
      <c r="BB117" s="970" t="e">
        <f t="shared" si="12"/>
        <v>#DIV/0!</v>
      </c>
      <c r="BC117" s="971" t="e">
        <f t="shared" ca="1" si="13"/>
        <v>#DIV/0!</v>
      </c>
      <c r="BD117" s="228">
        <f>input_values!Z117</f>
        <v>4</v>
      </c>
      <c r="BE117" s="152">
        <f>input_values!L117</f>
        <v>0</v>
      </c>
      <c r="BF117" s="972" t="str">
        <f t="shared" si="14"/>
        <v/>
      </c>
    </row>
    <row r="118" spans="1:58" ht="12" customHeight="1" outlineLevel="3" x14ac:dyDescent="0.2">
      <c r="A118" s="21">
        <v>4</v>
      </c>
      <c r="B118" s="23">
        <v>213990</v>
      </c>
      <c r="C118" s="23" t="s">
        <v>164</v>
      </c>
      <c r="D118" s="965">
        <f>Table22[[#This Row],[MRL individual commodity]]</f>
        <v>0</v>
      </c>
      <c r="E118" s="300" t="str">
        <f>Table22[[#This Row],[LOQ_label]]</f>
        <v/>
      </c>
      <c r="F118" s="966">
        <f>Table22[[#This Row],[Chronic RA input value]]</f>
        <v>0</v>
      </c>
      <c r="G118" s="304" t="str">
        <f>Table22[[#This Row],[Chronic RA label]]</f>
        <v/>
      </c>
      <c r="H118" s="304">
        <f>Table22[[#This Row],[GAP under assessment]]</f>
        <v>0</v>
      </c>
      <c r="I118" s="1123"/>
      <c r="J118" s="974" t="e">
        <f>IF($F118="","",$F118*chronic_consumption!$E118/1000/$C$3)</f>
        <v>#DIV/0!</v>
      </c>
      <c r="K118" s="974" t="e">
        <f>IF($F118="","",$F118*chronic_consumption!F118/1000/$C$3)</f>
        <v>#DIV/0!</v>
      </c>
      <c r="L118" s="974" t="e">
        <f>IF($F118="","",$F118*chronic_consumption!G118/1000/$C$3)</f>
        <v>#DIV/0!</v>
      </c>
      <c r="M118" s="974" t="e">
        <f>IF($F118="","",$F118*chronic_consumption!H118/1000/$C$3)</f>
        <v>#DIV/0!</v>
      </c>
      <c r="N118" s="974" t="e">
        <f>IF($F118="","",$F118*chronic_consumption!I118/1000/$C$3)</f>
        <v>#DIV/0!</v>
      </c>
      <c r="O118" s="974" t="e">
        <f>IF($F118="","",$F118*chronic_consumption!J118/1000/$C$3)</f>
        <v>#DIV/0!</v>
      </c>
      <c r="P118" s="974" t="e">
        <f>IF($F118="","",$F118*chronic_consumption!K118/1000/$C$3)</f>
        <v>#DIV/0!</v>
      </c>
      <c r="Q118" s="974" t="e">
        <f>IF($F118="","",$F118*chronic_consumption!L118/1000/$C$3)</f>
        <v>#DIV/0!</v>
      </c>
      <c r="R118" s="974" t="e">
        <f>IF($F118="","",$F118*chronic_consumption!M118/1000/$C$3)</f>
        <v>#DIV/0!</v>
      </c>
      <c r="S118" s="974" t="e">
        <f>IF($F118="","",$F118*chronic_consumption!N118/1000/$C$3)</f>
        <v>#DIV/0!</v>
      </c>
      <c r="T118" s="974" t="e">
        <f>IF($F118="","",$F118*chronic_consumption!O118/1000/$C$3)</f>
        <v>#DIV/0!</v>
      </c>
      <c r="U118" s="974" t="e">
        <f>IF($F118="","",$F118*chronic_consumption!P118/1000/$C$3)</f>
        <v>#DIV/0!</v>
      </c>
      <c r="V118" s="974" t="e">
        <f>IF($F118="","",$F118*chronic_consumption!Q118/1000/$C$3)</f>
        <v>#DIV/0!</v>
      </c>
      <c r="W118" s="974" t="e">
        <f>IF($F118="","",$F118*chronic_consumption!R118/1000/$C$3)</f>
        <v>#DIV/0!</v>
      </c>
      <c r="X118" s="974" t="e">
        <f>IF($F118="","",$F118*chronic_consumption!S118/1000/$C$3)</f>
        <v>#DIV/0!</v>
      </c>
      <c r="Y118" s="974" t="e">
        <f>IF($F118="","",$F118*chronic_consumption!T118/1000/$C$3)</f>
        <v>#DIV/0!</v>
      </c>
      <c r="Z118" s="974" t="e">
        <f>IF($F118="","",$F118*chronic_consumption!U118/1000/$C$3)</f>
        <v>#DIV/0!</v>
      </c>
      <c r="AA118" s="974" t="e">
        <f>IF($F118="","",$F118*chronic_consumption!V118/1000/$C$3)</f>
        <v>#DIV/0!</v>
      </c>
      <c r="AB118" s="974" t="e">
        <f>IF($F118="","",$F118*chronic_consumption!W118/1000/$C$3)</f>
        <v>#DIV/0!</v>
      </c>
      <c r="AC118" s="974" t="e">
        <f>IF($F118="","",$F118*chronic_consumption!X118/1000/$C$3)</f>
        <v>#DIV/0!</v>
      </c>
      <c r="AD118" s="974" t="e">
        <f>IF($F118="","",$F118*chronic_consumption!Y118/1000/$C$3)</f>
        <v>#DIV/0!</v>
      </c>
      <c r="AE118" s="974" t="e">
        <f>IF($F118="","",$F118*chronic_consumption!Z118/1000/$C$3)</f>
        <v>#DIV/0!</v>
      </c>
      <c r="AF118" s="974" t="e">
        <f>IF($F118="","",$F118*chronic_consumption!AA118/1000/$C$3)</f>
        <v>#DIV/0!</v>
      </c>
      <c r="AG118" s="974" t="e">
        <f>IF($F118="","",$F118*chronic_consumption!AB118/1000/$C$3)</f>
        <v>#DIV/0!</v>
      </c>
      <c r="AH118" s="974" t="e">
        <f>IF($F118="","",$F118*chronic_consumption!AC118/1000/$C$3)</f>
        <v>#DIV/0!</v>
      </c>
      <c r="AI118" s="974" t="e">
        <f>IF($F118="","",$F118*chronic_consumption!AD118/1000/$C$3)</f>
        <v>#DIV/0!</v>
      </c>
      <c r="AJ118" s="974" t="e">
        <f>IF($F118="","",$F118*chronic_consumption!AE118/1000/$C$3)</f>
        <v>#DIV/0!</v>
      </c>
      <c r="AK118" s="974" t="e">
        <f>IF($F118="","",$F118*chronic_consumption!AF118/1000/$C$3)</f>
        <v>#DIV/0!</v>
      </c>
      <c r="AL118" s="974" t="e">
        <f>IF($F118="","",$F118*chronic_consumption!AG118/1000/$C$3)</f>
        <v>#DIV/0!</v>
      </c>
      <c r="AM118" s="974" t="e">
        <f>IF($F118="","",$F118*chronic_consumption!AH118/1000/$C$3)</f>
        <v>#DIV/0!</v>
      </c>
      <c r="AN118" s="974" t="e">
        <f>IF($F118="","",$F118*chronic_consumption!AI118/1000/$C$3)</f>
        <v>#DIV/0!</v>
      </c>
      <c r="AO118" s="974" t="e">
        <f>IF($F118="","",$F118*chronic_consumption!AJ118/1000/$C$3)</f>
        <v>#DIV/0!</v>
      </c>
      <c r="AP118" s="974" t="e">
        <f>IF($F118="","",$F118*chronic_consumption!AK118/1000/$C$3)</f>
        <v>#DIV/0!</v>
      </c>
      <c r="AQ118" s="974" t="e">
        <f>IF($F118="","",$F118*chronic_consumption!AL118/1000/$C$3)</f>
        <v>#DIV/0!</v>
      </c>
      <c r="AR118" s="974" t="e">
        <f>IF($F118="","",$F118*chronic_consumption!AM118/1000/$C$3)</f>
        <v>#DIV/0!</v>
      </c>
      <c r="AS118" s="974" t="e">
        <f>IF($F118="","",$F118*chronic_consumption!AN118/1000/$C$3)</f>
        <v>#DIV/0!</v>
      </c>
      <c r="AT118" s="974" t="e">
        <f>IF($F118="","",$F118*chronic_consumption!AO118/1000/$C$3)</f>
        <v>#DIV/0!</v>
      </c>
      <c r="AU118" s="974"/>
      <c r="AV118" s="974" t="e">
        <f>IF($F118="","",$F118*chronic_consumption!AQ118/1000/$C$3)</f>
        <v>#DIV/0!</v>
      </c>
      <c r="AW118" s="974" t="e">
        <f>IF($F118="","",$F118*chronic_consumption!AR118/1000/$C$3)</f>
        <v>#DIV/0!</v>
      </c>
      <c r="AX118" s="974" t="e">
        <f>IF($F118="","",$F118*chronic_consumption!AS118/1000/$C$3)</f>
        <v>#DIV/0!</v>
      </c>
      <c r="AY118" s="974" t="e">
        <f>IF($F118="","",$F118*chronic_consumption!AT118/1000/$C$3)</f>
        <v>#DIV/0!</v>
      </c>
      <c r="AZ118" s="973" t="s">
        <v>19</v>
      </c>
      <c r="BA118" s="969" t="e">
        <f t="shared" si="11"/>
        <v>#DIV/0!</v>
      </c>
      <c r="BB118" s="970" t="e">
        <f t="shared" si="12"/>
        <v>#DIV/0!</v>
      </c>
      <c r="BC118" s="971" t="e">
        <f t="shared" ca="1" si="13"/>
        <v>#DIV/0!</v>
      </c>
      <c r="BD118" s="228">
        <f>input_values!Z118</f>
        <v>4</v>
      </c>
      <c r="BE118" s="152">
        <f>input_values!L118</f>
        <v>0</v>
      </c>
      <c r="BF118" s="972" t="str">
        <f t="shared" si="14"/>
        <v/>
      </c>
    </row>
    <row r="119" spans="1:58" ht="12" customHeight="1" outlineLevel="1" x14ac:dyDescent="0.2">
      <c r="A119" s="314">
        <v>2</v>
      </c>
      <c r="B119" s="131">
        <v>220000</v>
      </c>
      <c r="C119" s="131" t="s">
        <v>224</v>
      </c>
      <c r="D119" s="965">
        <f>Table22[[#This Row],[MRL individual commodity]]</f>
        <v>0</v>
      </c>
      <c r="E119" s="300">
        <f>Table22[[#This Row],[LOQ_label]]</f>
        <v>0</v>
      </c>
      <c r="F119" s="966">
        <f>Table22[[#This Row],[Chronic RA input value]]</f>
        <v>0</v>
      </c>
      <c r="G119" s="304">
        <f>Table22[[#This Row],[Chronic RA label]]</f>
        <v>0</v>
      </c>
      <c r="H119" s="304">
        <f>Table22[[#This Row],[GAP under assessment]]</f>
        <v>0</v>
      </c>
      <c r="I119" s="1123"/>
      <c r="J119" s="967" t="e">
        <f>IF($F119="","",$F119*chronic_consumption!$E119/1000/$C$3)</f>
        <v>#DIV/0!</v>
      </c>
      <c r="K119" s="967" t="e">
        <f>IF($F119="","",$F119*chronic_consumption!F119/1000/$C$3)</f>
        <v>#DIV/0!</v>
      </c>
      <c r="L119" s="967" t="e">
        <f>IF($F119="","",$F119*chronic_consumption!G119/1000/$C$3)</f>
        <v>#DIV/0!</v>
      </c>
      <c r="M119" s="967" t="e">
        <f>IF($F119="","",$F119*chronic_consumption!H119/1000/$C$3)</f>
        <v>#DIV/0!</v>
      </c>
      <c r="N119" s="967" t="e">
        <f>IF($F119="","",$F119*chronic_consumption!I119/1000/$C$3)</f>
        <v>#DIV/0!</v>
      </c>
      <c r="O119" s="967" t="e">
        <f>IF($F119="","",$F119*chronic_consumption!J119/1000/$C$3)</f>
        <v>#DIV/0!</v>
      </c>
      <c r="P119" s="967" t="e">
        <f>IF($F119="","",$F119*chronic_consumption!K119/1000/$C$3)</f>
        <v>#DIV/0!</v>
      </c>
      <c r="Q119" s="967" t="e">
        <f>IF($F119="","",$F119*chronic_consumption!L119/1000/$C$3)</f>
        <v>#DIV/0!</v>
      </c>
      <c r="R119" s="967" t="e">
        <f>IF($F119="","",$F119*chronic_consumption!M119/1000/$C$3)</f>
        <v>#DIV/0!</v>
      </c>
      <c r="S119" s="967" t="e">
        <f>IF($F119="","",$F119*chronic_consumption!N119/1000/$C$3)</f>
        <v>#DIV/0!</v>
      </c>
      <c r="T119" s="967" t="e">
        <f>IF($F119="","",$F119*chronic_consumption!O119/1000/$C$3)</f>
        <v>#DIV/0!</v>
      </c>
      <c r="U119" s="967" t="e">
        <f>IF($F119="","",$F119*chronic_consumption!P119/1000/$C$3)</f>
        <v>#DIV/0!</v>
      </c>
      <c r="V119" s="967" t="e">
        <f>IF($F119="","",$F119*chronic_consumption!Q119/1000/$C$3)</f>
        <v>#DIV/0!</v>
      </c>
      <c r="W119" s="967" t="e">
        <f>IF($F119="","",$F119*chronic_consumption!R119/1000/$C$3)</f>
        <v>#DIV/0!</v>
      </c>
      <c r="X119" s="967" t="e">
        <f>IF($F119="","",$F119*chronic_consumption!S119/1000/$C$3)</f>
        <v>#DIV/0!</v>
      </c>
      <c r="Y119" s="967" t="e">
        <f>IF($F119="","",$F119*chronic_consumption!T119/1000/$C$3)</f>
        <v>#DIV/0!</v>
      </c>
      <c r="Z119" s="967" t="e">
        <f>IF($F119="","",$F119*chronic_consumption!U119/1000/$C$3)</f>
        <v>#DIV/0!</v>
      </c>
      <c r="AA119" s="967" t="e">
        <f>IF($F119="","",$F119*chronic_consumption!V119/1000/$C$3)</f>
        <v>#DIV/0!</v>
      </c>
      <c r="AB119" s="967" t="e">
        <f>IF($F119="","",$F119*chronic_consumption!W119/1000/$C$3)</f>
        <v>#DIV/0!</v>
      </c>
      <c r="AC119" s="967" t="e">
        <f>IF($F119="","",$F119*chronic_consumption!X119/1000/$C$3)</f>
        <v>#DIV/0!</v>
      </c>
      <c r="AD119" s="967" t="e">
        <f>IF($F119="","",$F119*chronic_consumption!Y119/1000/$C$3)</f>
        <v>#DIV/0!</v>
      </c>
      <c r="AE119" s="967" t="e">
        <f>IF($F119="","",$F119*chronic_consumption!Z119/1000/$C$3)</f>
        <v>#DIV/0!</v>
      </c>
      <c r="AF119" s="967" t="e">
        <f>IF($F119="","",$F119*chronic_consumption!AA119/1000/$C$3)</f>
        <v>#DIV/0!</v>
      </c>
      <c r="AG119" s="967" t="e">
        <f>IF($F119="","",$F119*chronic_consumption!AB119/1000/$C$3)</f>
        <v>#DIV/0!</v>
      </c>
      <c r="AH119" s="967" t="e">
        <f>IF($F119="","",$F119*chronic_consumption!AC119/1000/$C$3)</f>
        <v>#DIV/0!</v>
      </c>
      <c r="AI119" s="967" t="e">
        <f>IF($F119="","",$F119*chronic_consumption!AD119/1000/$C$3)</f>
        <v>#DIV/0!</v>
      </c>
      <c r="AJ119" s="967" t="e">
        <f>IF($F119="","",$F119*chronic_consumption!AE119/1000/$C$3)</f>
        <v>#DIV/0!</v>
      </c>
      <c r="AK119" s="967" t="e">
        <f>IF($F119="","",$F119*chronic_consumption!AF119/1000/$C$3)</f>
        <v>#DIV/0!</v>
      </c>
      <c r="AL119" s="967" t="e">
        <f>IF($F119="","",$F119*chronic_consumption!AG119/1000/$C$3)</f>
        <v>#DIV/0!</v>
      </c>
      <c r="AM119" s="967" t="e">
        <f>IF($F119="","",$F119*chronic_consumption!AH119/1000/$C$3)</f>
        <v>#DIV/0!</v>
      </c>
      <c r="AN119" s="967" t="e">
        <f>IF($F119="","",$F119*chronic_consumption!AI119/1000/$C$3)</f>
        <v>#DIV/0!</v>
      </c>
      <c r="AO119" s="967" t="e">
        <f>IF($F119="","",$F119*chronic_consumption!AJ119/1000/$C$3)</f>
        <v>#DIV/0!</v>
      </c>
      <c r="AP119" s="967" t="e">
        <f>IF($F119="","",$F119*chronic_consumption!AK119/1000/$C$3)</f>
        <v>#DIV/0!</v>
      </c>
      <c r="AQ119" s="967" t="e">
        <f>IF($F119="","",$F119*chronic_consumption!AL119/1000/$C$3)</f>
        <v>#DIV/0!</v>
      </c>
      <c r="AR119" s="967" t="e">
        <f>IF($F119="","",$F119*chronic_consumption!AM119/1000/$C$3)</f>
        <v>#DIV/0!</v>
      </c>
      <c r="AS119" s="967" t="e">
        <f>IF($F119="","",$F119*chronic_consumption!AN119/1000/$C$3)</f>
        <v>#DIV/0!</v>
      </c>
      <c r="AT119" s="967" t="e">
        <f>IF($F119="","",$F119*chronic_consumption!AO119/1000/$C$3)</f>
        <v>#DIV/0!</v>
      </c>
      <c r="AU119" s="967"/>
      <c r="AV119" s="967" t="e">
        <f>IF($F119="","",$F119*chronic_consumption!AQ119/1000/$C$3)</f>
        <v>#DIV/0!</v>
      </c>
      <c r="AW119" s="967" t="e">
        <f>IF($F119="","",$F119*chronic_consumption!AR119/1000/$C$3)</f>
        <v>#DIV/0!</v>
      </c>
      <c r="AX119" s="967" t="e">
        <f>IF($F119="","",$F119*chronic_consumption!AS119/1000/$C$3)</f>
        <v>#DIV/0!</v>
      </c>
      <c r="AY119" s="967" t="e">
        <f>IF($F119="","",$F119*chronic_consumption!AT119/1000/$C$3)</f>
        <v>#DIV/0!</v>
      </c>
      <c r="AZ119" s="973"/>
      <c r="BA119" s="969" t="e">
        <f t="shared" si="11"/>
        <v>#DIV/0!</v>
      </c>
      <c r="BB119" s="970" t="e">
        <f t="shared" si="12"/>
        <v>#DIV/0!</v>
      </c>
      <c r="BC119" s="971" t="e">
        <f t="shared" ca="1" si="13"/>
        <v>#DIV/0!</v>
      </c>
      <c r="BD119" s="228">
        <f>input_values!Z119</f>
        <v>4</v>
      </c>
      <c r="BE119" s="152">
        <f>input_values!L119</f>
        <v>0</v>
      </c>
      <c r="BF119" s="972" t="str">
        <f t="shared" si="14"/>
        <v/>
      </c>
    </row>
    <row r="120" spans="1:58" ht="12" customHeight="1" outlineLevel="3" x14ac:dyDescent="0.2">
      <c r="A120" s="21">
        <v>4</v>
      </c>
      <c r="B120" s="23">
        <v>220010</v>
      </c>
      <c r="C120" s="23" t="s">
        <v>207</v>
      </c>
      <c r="D120" s="965">
        <f>Table22[[#This Row],[MRL individual commodity]]</f>
        <v>0</v>
      </c>
      <c r="E120" s="300" t="str">
        <f>Table22[[#This Row],[LOQ_label]]</f>
        <v/>
      </c>
      <c r="F120" s="966">
        <f>Table22[[#This Row],[Chronic RA input value]]</f>
        <v>0</v>
      </c>
      <c r="G120" s="304" t="str">
        <f>Table22[[#This Row],[Chronic RA label]]</f>
        <v/>
      </c>
      <c r="H120" s="304">
        <f>Table22[[#This Row],[GAP under assessment]]</f>
        <v>0</v>
      </c>
      <c r="I120" s="1123"/>
      <c r="J120" s="974" t="e">
        <f>IF($F120="","",$F120*chronic_consumption!$E120/1000/$C$3)</f>
        <v>#DIV/0!</v>
      </c>
      <c r="K120" s="974" t="e">
        <f>IF($F120="","",$F120*chronic_consumption!F120/1000/$C$3)</f>
        <v>#DIV/0!</v>
      </c>
      <c r="L120" s="974" t="e">
        <f>IF($F120="","",$F120*chronic_consumption!G120/1000/$C$3)</f>
        <v>#DIV/0!</v>
      </c>
      <c r="M120" s="974" t="e">
        <f>IF($F120="","",$F120*chronic_consumption!H120/1000/$C$3)</f>
        <v>#DIV/0!</v>
      </c>
      <c r="N120" s="974" t="e">
        <f>IF($F120="","",$F120*chronic_consumption!I120/1000/$C$3)</f>
        <v>#DIV/0!</v>
      </c>
      <c r="O120" s="974" t="e">
        <f>IF($F120="","",$F120*chronic_consumption!J120/1000/$C$3)</f>
        <v>#DIV/0!</v>
      </c>
      <c r="P120" s="974" t="e">
        <f>IF($F120="","",$F120*chronic_consumption!K120/1000/$C$3)</f>
        <v>#DIV/0!</v>
      </c>
      <c r="Q120" s="974" t="e">
        <f>IF($F120="","",$F120*chronic_consumption!L120/1000/$C$3)</f>
        <v>#DIV/0!</v>
      </c>
      <c r="R120" s="974" t="e">
        <f>IF($F120="","",$F120*chronic_consumption!M120/1000/$C$3)</f>
        <v>#DIV/0!</v>
      </c>
      <c r="S120" s="974" t="e">
        <f>IF($F120="","",$F120*chronic_consumption!N120/1000/$C$3)</f>
        <v>#DIV/0!</v>
      </c>
      <c r="T120" s="974" t="e">
        <f>IF($F120="","",$F120*chronic_consumption!O120/1000/$C$3)</f>
        <v>#DIV/0!</v>
      </c>
      <c r="U120" s="974" t="e">
        <f>IF($F120="","",$F120*chronic_consumption!P120/1000/$C$3)</f>
        <v>#DIV/0!</v>
      </c>
      <c r="V120" s="974" t="e">
        <f>IF($F120="","",$F120*chronic_consumption!Q120/1000/$C$3)</f>
        <v>#DIV/0!</v>
      </c>
      <c r="W120" s="974" t="e">
        <f>IF($F120="","",$F120*chronic_consumption!R120/1000/$C$3)</f>
        <v>#DIV/0!</v>
      </c>
      <c r="X120" s="974" t="e">
        <f>IF($F120="","",$F120*chronic_consumption!S120/1000/$C$3)</f>
        <v>#DIV/0!</v>
      </c>
      <c r="Y120" s="974" t="e">
        <f>IF($F120="","",$F120*chronic_consumption!T120/1000/$C$3)</f>
        <v>#DIV/0!</v>
      </c>
      <c r="Z120" s="974" t="e">
        <f>IF($F120="","",$F120*chronic_consumption!U120/1000/$C$3)</f>
        <v>#DIV/0!</v>
      </c>
      <c r="AA120" s="974" t="e">
        <f>IF($F120="","",$F120*chronic_consumption!V120/1000/$C$3)</f>
        <v>#DIV/0!</v>
      </c>
      <c r="AB120" s="974" t="e">
        <f>IF($F120="","",$F120*chronic_consumption!W120/1000/$C$3)</f>
        <v>#DIV/0!</v>
      </c>
      <c r="AC120" s="974" t="e">
        <f>IF($F120="","",$F120*chronic_consumption!X120/1000/$C$3)</f>
        <v>#DIV/0!</v>
      </c>
      <c r="AD120" s="974" t="e">
        <f>IF($F120="","",$F120*chronic_consumption!Y120/1000/$C$3)</f>
        <v>#DIV/0!</v>
      </c>
      <c r="AE120" s="974" t="e">
        <f>IF($F120="","",$F120*chronic_consumption!Z120/1000/$C$3)</f>
        <v>#DIV/0!</v>
      </c>
      <c r="AF120" s="974" t="e">
        <f>IF($F120="","",$F120*chronic_consumption!AA120/1000/$C$3)</f>
        <v>#DIV/0!</v>
      </c>
      <c r="AG120" s="974" t="e">
        <f>IF($F120="","",$F120*chronic_consumption!AB120/1000/$C$3)</f>
        <v>#DIV/0!</v>
      </c>
      <c r="AH120" s="974" t="e">
        <f>IF($F120="","",$F120*chronic_consumption!AC120/1000/$C$3)</f>
        <v>#DIV/0!</v>
      </c>
      <c r="AI120" s="974" t="e">
        <f>IF($F120="","",$F120*chronic_consumption!AD120/1000/$C$3)</f>
        <v>#DIV/0!</v>
      </c>
      <c r="AJ120" s="974" t="e">
        <f>IF($F120="","",$F120*chronic_consumption!AE120/1000/$C$3)</f>
        <v>#DIV/0!</v>
      </c>
      <c r="AK120" s="974" t="e">
        <f>IF($F120="","",$F120*chronic_consumption!AF120/1000/$C$3)</f>
        <v>#DIV/0!</v>
      </c>
      <c r="AL120" s="974" t="e">
        <f>IF($F120="","",$F120*chronic_consumption!AG120/1000/$C$3)</f>
        <v>#DIV/0!</v>
      </c>
      <c r="AM120" s="974" t="e">
        <f>IF($F120="","",$F120*chronic_consumption!AH120/1000/$C$3)</f>
        <v>#DIV/0!</v>
      </c>
      <c r="AN120" s="974" t="e">
        <f>IF($F120="","",$F120*chronic_consumption!AI120/1000/$C$3)</f>
        <v>#DIV/0!</v>
      </c>
      <c r="AO120" s="974" t="e">
        <f>IF($F120="","",$F120*chronic_consumption!AJ120/1000/$C$3)</f>
        <v>#DIV/0!</v>
      </c>
      <c r="AP120" s="974" t="e">
        <f>IF($F120="","",$F120*chronic_consumption!AK120/1000/$C$3)</f>
        <v>#DIV/0!</v>
      </c>
      <c r="AQ120" s="974" t="e">
        <f>IF($F120="","",$F120*chronic_consumption!AL120/1000/$C$3)</f>
        <v>#DIV/0!</v>
      </c>
      <c r="AR120" s="974" t="e">
        <f>IF($F120="","",$F120*chronic_consumption!AM120/1000/$C$3)</f>
        <v>#DIV/0!</v>
      </c>
      <c r="AS120" s="974" t="e">
        <f>IF($F120="","",$F120*chronic_consumption!AN120/1000/$C$3)</f>
        <v>#DIV/0!</v>
      </c>
      <c r="AT120" s="974" t="e">
        <f>IF($F120="","",$F120*chronic_consumption!AO120/1000/$C$3)</f>
        <v>#DIV/0!</v>
      </c>
      <c r="AU120" s="974"/>
      <c r="AV120" s="974" t="e">
        <f>IF($F120="","",$F120*chronic_consumption!AQ120/1000/$C$3)</f>
        <v>#DIV/0!</v>
      </c>
      <c r="AW120" s="974" t="e">
        <f>IF($F120="","",$F120*chronic_consumption!AR120/1000/$C$3)</f>
        <v>#DIV/0!</v>
      </c>
      <c r="AX120" s="974" t="e">
        <f>IF($F120="","",$F120*chronic_consumption!AS120/1000/$C$3)</f>
        <v>#DIV/0!</v>
      </c>
      <c r="AY120" s="974" t="e">
        <f>IF($F120="","",$F120*chronic_consumption!AT120/1000/$C$3)</f>
        <v>#DIV/0!</v>
      </c>
      <c r="AZ120" s="973" t="s">
        <v>19</v>
      </c>
      <c r="BA120" s="969" t="e">
        <f t="shared" si="11"/>
        <v>#DIV/0!</v>
      </c>
      <c r="BB120" s="970" t="e">
        <f t="shared" si="12"/>
        <v>#DIV/0!</v>
      </c>
      <c r="BC120" s="971" t="e">
        <f t="shared" ca="1" si="13"/>
        <v>#DIV/0!</v>
      </c>
      <c r="BD120" s="228">
        <f>input_values!Z120</f>
        <v>4</v>
      </c>
      <c r="BE120" s="152">
        <f>input_values!L120</f>
        <v>0</v>
      </c>
      <c r="BF120" s="972" t="str">
        <f t="shared" si="14"/>
        <v/>
      </c>
    </row>
    <row r="121" spans="1:58" ht="12" customHeight="1" outlineLevel="3" x14ac:dyDescent="0.2">
      <c r="A121" s="21">
        <v>4</v>
      </c>
      <c r="B121" s="23">
        <v>220020</v>
      </c>
      <c r="C121" s="23" t="s">
        <v>208</v>
      </c>
      <c r="D121" s="965">
        <f>Table22[[#This Row],[MRL individual commodity]]</f>
        <v>0</v>
      </c>
      <c r="E121" s="300" t="str">
        <f>Table22[[#This Row],[LOQ_label]]</f>
        <v/>
      </c>
      <c r="F121" s="966">
        <f>Table22[[#This Row],[Chronic RA input value]]</f>
        <v>0</v>
      </c>
      <c r="G121" s="304" t="str">
        <f>Table22[[#This Row],[Chronic RA label]]</f>
        <v/>
      </c>
      <c r="H121" s="304">
        <f>Table22[[#This Row],[GAP under assessment]]</f>
        <v>0</v>
      </c>
      <c r="I121" s="1123"/>
      <c r="J121" s="974" t="e">
        <f>IF($F121="","",$F121*chronic_consumption!$E121/1000/$C$3)</f>
        <v>#DIV/0!</v>
      </c>
      <c r="K121" s="974" t="e">
        <f>IF($F121="","",$F121*chronic_consumption!F121/1000/$C$3)</f>
        <v>#DIV/0!</v>
      </c>
      <c r="L121" s="974" t="e">
        <f>IF($F121="","",$F121*chronic_consumption!G121/1000/$C$3)</f>
        <v>#DIV/0!</v>
      </c>
      <c r="M121" s="974" t="e">
        <f>IF($F121="","",$F121*chronic_consumption!H121/1000/$C$3)</f>
        <v>#DIV/0!</v>
      </c>
      <c r="N121" s="974" t="e">
        <f>IF($F121="","",$F121*chronic_consumption!I121/1000/$C$3)</f>
        <v>#DIV/0!</v>
      </c>
      <c r="O121" s="974" t="e">
        <f>IF($F121="","",$F121*chronic_consumption!J121/1000/$C$3)</f>
        <v>#DIV/0!</v>
      </c>
      <c r="P121" s="974" t="e">
        <f>IF($F121="","",$F121*chronic_consumption!K121/1000/$C$3)</f>
        <v>#DIV/0!</v>
      </c>
      <c r="Q121" s="974" t="e">
        <f>IF($F121="","",$F121*chronic_consumption!L121/1000/$C$3)</f>
        <v>#DIV/0!</v>
      </c>
      <c r="R121" s="974" t="e">
        <f>IF($F121="","",$F121*chronic_consumption!M121/1000/$C$3)</f>
        <v>#DIV/0!</v>
      </c>
      <c r="S121" s="974" t="e">
        <f>IF($F121="","",$F121*chronic_consumption!N121/1000/$C$3)</f>
        <v>#DIV/0!</v>
      </c>
      <c r="T121" s="974" t="e">
        <f>IF($F121="","",$F121*chronic_consumption!O121/1000/$C$3)</f>
        <v>#DIV/0!</v>
      </c>
      <c r="U121" s="974" t="e">
        <f>IF($F121="","",$F121*chronic_consumption!P121/1000/$C$3)</f>
        <v>#DIV/0!</v>
      </c>
      <c r="V121" s="974" t="e">
        <f>IF($F121="","",$F121*chronic_consumption!Q121/1000/$C$3)</f>
        <v>#DIV/0!</v>
      </c>
      <c r="W121" s="974" t="e">
        <f>IF($F121="","",$F121*chronic_consumption!R121/1000/$C$3)</f>
        <v>#DIV/0!</v>
      </c>
      <c r="X121" s="974" t="e">
        <f>IF($F121="","",$F121*chronic_consumption!S121/1000/$C$3)</f>
        <v>#DIV/0!</v>
      </c>
      <c r="Y121" s="974" t="e">
        <f>IF($F121="","",$F121*chronic_consumption!T121/1000/$C$3)</f>
        <v>#DIV/0!</v>
      </c>
      <c r="Z121" s="974" t="e">
        <f>IF($F121="","",$F121*chronic_consumption!U121/1000/$C$3)</f>
        <v>#DIV/0!</v>
      </c>
      <c r="AA121" s="974" t="e">
        <f>IF($F121="","",$F121*chronic_consumption!V121/1000/$C$3)</f>
        <v>#DIV/0!</v>
      </c>
      <c r="AB121" s="974" t="e">
        <f>IF($F121="","",$F121*chronic_consumption!W121/1000/$C$3)</f>
        <v>#DIV/0!</v>
      </c>
      <c r="AC121" s="974" t="e">
        <f>IF($F121="","",$F121*chronic_consumption!X121/1000/$C$3)</f>
        <v>#DIV/0!</v>
      </c>
      <c r="AD121" s="974" t="e">
        <f>IF($F121="","",$F121*chronic_consumption!Y121/1000/$C$3)</f>
        <v>#DIV/0!</v>
      </c>
      <c r="AE121" s="974" t="e">
        <f>IF($F121="","",$F121*chronic_consumption!Z121/1000/$C$3)</f>
        <v>#DIV/0!</v>
      </c>
      <c r="AF121" s="974" t="e">
        <f>IF($F121="","",$F121*chronic_consumption!AA121/1000/$C$3)</f>
        <v>#DIV/0!</v>
      </c>
      <c r="AG121" s="974" t="e">
        <f>IF($F121="","",$F121*chronic_consumption!AB121/1000/$C$3)</f>
        <v>#DIV/0!</v>
      </c>
      <c r="AH121" s="974" t="e">
        <f>IF($F121="","",$F121*chronic_consumption!AC121/1000/$C$3)</f>
        <v>#DIV/0!</v>
      </c>
      <c r="AI121" s="974" t="e">
        <f>IF($F121="","",$F121*chronic_consumption!AD121/1000/$C$3)</f>
        <v>#DIV/0!</v>
      </c>
      <c r="AJ121" s="974" t="e">
        <f>IF($F121="","",$F121*chronic_consumption!AE121/1000/$C$3)</f>
        <v>#DIV/0!</v>
      </c>
      <c r="AK121" s="974" t="e">
        <f>IF($F121="","",$F121*chronic_consumption!AF121/1000/$C$3)</f>
        <v>#DIV/0!</v>
      </c>
      <c r="AL121" s="974" t="e">
        <f>IF($F121="","",$F121*chronic_consumption!AG121/1000/$C$3)</f>
        <v>#DIV/0!</v>
      </c>
      <c r="AM121" s="974" t="e">
        <f>IF($F121="","",$F121*chronic_consumption!AH121/1000/$C$3)</f>
        <v>#DIV/0!</v>
      </c>
      <c r="AN121" s="974" t="e">
        <f>IF($F121="","",$F121*chronic_consumption!AI121/1000/$C$3)</f>
        <v>#DIV/0!</v>
      </c>
      <c r="AO121" s="974" t="e">
        <f>IF($F121="","",$F121*chronic_consumption!AJ121/1000/$C$3)</f>
        <v>#DIV/0!</v>
      </c>
      <c r="AP121" s="974" t="e">
        <f>IF($F121="","",$F121*chronic_consumption!AK121/1000/$C$3)</f>
        <v>#DIV/0!</v>
      </c>
      <c r="AQ121" s="974" t="e">
        <f>IF($F121="","",$F121*chronic_consumption!AL121/1000/$C$3)</f>
        <v>#DIV/0!</v>
      </c>
      <c r="AR121" s="974" t="e">
        <f>IF($F121="","",$F121*chronic_consumption!AM121/1000/$C$3)</f>
        <v>#DIV/0!</v>
      </c>
      <c r="AS121" s="974" t="e">
        <f>IF($F121="","",$F121*chronic_consumption!AN121/1000/$C$3)</f>
        <v>#DIV/0!</v>
      </c>
      <c r="AT121" s="974" t="e">
        <f>IF($F121="","",$F121*chronic_consumption!AO121/1000/$C$3)</f>
        <v>#DIV/0!</v>
      </c>
      <c r="AU121" s="974"/>
      <c r="AV121" s="974" t="e">
        <f>IF($F121="","",$F121*chronic_consumption!AQ121/1000/$C$3)</f>
        <v>#DIV/0!</v>
      </c>
      <c r="AW121" s="974" t="e">
        <f>IF($F121="","",$F121*chronic_consumption!AR121/1000/$C$3)</f>
        <v>#DIV/0!</v>
      </c>
      <c r="AX121" s="974" t="e">
        <f>IF($F121="","",$F121*chronic_consumption!AS121/1000/$C$3)</f>
        <v>#DIV/0!</v>
      </c>
      <c r="AY121" s="974" t="e">
        <f>IF($F121="","",$F121*chronic_consumption!AT121/1000/$C$3)</f>
        <v>#DIV/0!</v>
      </c>
      <c r="AZ121" s="973" t="s">
        <v>19</v>
      </c>
      <c r="BA121" s="969" t="e">
        <f t="shared" si="11"/>
        <v>#DIV/0!</v>
      </c>
      <c r="BB121" s="970" t="e">
        <f t="shared" si="12"/>
        <v>#DIV/0!</v>
      </c>
      <c r="BC121" s="971" t="e">
        <f t="shared" ca="1" si="13"/>
        <v>#DIV/0!</v>
      </c>
      <c r="BD121" s="228">
        <f>input_values!Z121</f>
        <v>4</v>
      </c>
      <c r="BE121" s="152">
        <f>input_values!L121</f>
        <v>0</v>
      </c>
      <c r="BF121" s="972" t="str">
        <f t="shared" si="14"/>
        <v/>
      </c>
    </row>
    <row r="122" spans="1:58" ht="12" customHeight="1" outlineLevel="3" x14ac:dyDescent="0.2">
      <c r="A122" s="21">
        <v>4</v>
      </c>
      <c r="B122" s="23">
        <v>220030</v>
      </c>
      <c r="C122" s="23" t="s">
        <v>209</v>
      </c>
      <c r="D122" s="965">
        <f>Table22[[#This Row],[MRL individual commodity]]</f>
        <v>0</v>
      </c>
      <c r="E122" s="300" t="str">
        <f>Table22[[#This Row],[LOQ_label]]</f>
        <v/>
      </c>
      <c r="F122" s="966">
        <f>Table22[[#This Row],[Chronic RA input value]]</f>
        <v>0</v>
      </c>
      <c r="G122" s="304" t="str">
        <f>Table22[[#This Row],[Chronic RA label]]</f>
        <v/>
      </c>
      <c r="H122" s="304">
        <f>Table22[[#This Row],[GAP under assessment]]</f>
        <v>0</v>
      </c>
      <c r="I122" s="1123"/>
      <c r="J122" s="974" t="e">
        <f>IF($F122="","",$F122*chronic_consumption!$E122/1000/$C$3)</f>
        <v>#DIV/0!</v>
      </c>
      <c r="K122" s="974" t="e">
        <f>IF($F122="","",$F122*chronic_consumption!F122/1000/$C$3)</f>
        <v>#DIV/0!</v>
      </c>
      <c r="L122" s="974" t="e">
        <f>IF($F122="","",$F122*chronic_consumption!G122/1000/$C$3)</f>
        <v>#DIV/0!</v>
      </c>
      <c r="M122" s="974" t="e">
        <f>IF($F122="","",$F122*chronic_consumption!H122/1000/$C$3)</f>
        <v>#DIV/0!</v>
      </c>
      <c r="N122" s="974" t="e">
        <f>IF($F122="","",$F122*chronic_consumption!I122/1000/$C$3)</f>
        <v>#DIV/0!</v>
      </c>
      <c r="O122" s="974" t="e">
        <f>IF($F122="","",$F122*chronic_consumption!J122/1000/$C$3)</f>
        <v>#DIV/0!</v>
      </c>
      <c r="P122" s="974" t="e">
        <f>IF($F122="","",$F122*chronic_consumption!K122/1000/$C$3)</f>
        <v>#DIV/0!</v>
      </c>
      <c r="Q122" s="974" t="e">
        <f>IF($F122="","",$F122*chronic_consumption!L122/1000/$C$3)</f>
        <v>#DIV/0!</v>
      </c>
      <c r="R122" s="974" t="e">
        <f>IF($F122="","",$F122*chronic_consumption!M122/1000/$C$3)</f>
        <v>#DIV/0!</v>
      </c>
      <c r="S122" s="974" t="e">
        <f>IF($F122="","",$F122*chronic_consumption!N122/1000/$C$3)</f>
        <v>#DIV/0!</v>
      </c>
      <c r="T122" s="974" t="e">
        <f>IF($F122="","",$F122*chronic_consumption!O122/1000/$C$3)</f>
        <v>#DIV/0!</v>
      </c>
      <c r="U122" s="974" t="e">
        <f>IF($F122="","",$F122*chronic_consumption!P122/1000/$C$3)</f>
        <v>#DIV/0!</v>
      </c>
      <c r="V122" s="974" t="e">
        <f>IF($F122="","",$F122*chronic_consumption!Q122/1000/$C$3)</f>
        <v>#DIV/0!</v>
      </c>
      <c r="W122" s="974" t="e">
        <f>IF($F122="","",$F122*chronic_consumption!R122/1000/$C$3)</f>
        <v>#DIV/0!</v>
      </c>
      <c r="X122" s="974" t="e">
        <f>IF($F122="","",$F122*chronic_consumption!S122/1000/$C$3)</f>
        <v>#DIV/0!</v>
      </c>
      <c r="Y122" s="974" t="e">
        <f>IF($F122="","",$F122*chronic_consumption!T122/1000/$C$3)</f>
        <v>#DIV/0!</v>
      </c>
      <c r="Z122" s="974" t="e">
        <f>IF($F122="","",$F122*chronic_consumption!U122/1000/$C$3)</f>
        <v>#DIV/0!</v>
      </c>
      <c r="AA122" s="974" t="e">
        <f>IF($F122="","",$F122*chronic_consumption!V122/1000/$C$3)</f>
        <v>#DIV/0!</v>
      </c>
      <c r="AB122" s="974" t="e">
        <f>IF($F122="","",$F122*chronic_consumption!W122/1000/$C$3)</f>
        <v>#DIV/0!</v>
      </c>
      <c r="AC122" s="974" t="e">
        <f>IF($F122="","",$F122*chronic_consumption!X122/1000/$C$3)</f>
        <v>#DIV/0!</v>
      </c>
      <c r="AD122" s="974" t="e">
        <f>IF($F122="","",$F122*chronic_consumption!Y122/1000/$C$3)</f>
        <v>#DIV/0!</v>
      </c>
      <c r="AE122" s="974" t="e">
        <f>IF($F122="","",$F122*chronic_consumption!Z122/1000/$C$3)</f>
        <v>#DIV/0!</v>
      </c>
      <c r="AF122" s="974" t="e">
        <f>IF($F122="","",$F122*chronic_consumption!AA122/1000/$C$3)</f>
        <v>#DIV/0!</v>
      </c>
      <c r="AG122" s="974" t="e">
        <f>IF($F122="","",$F122*chronic_consumption!AB122/1000/$C$3)</f>
        <v>#DIV/0!</v>
      </c>
      <c r="AH122" s="974" t="e">
        <f>IF($F122="","",$F122*chronic_consumption!AC122/1000/$C$3)</f>
        <v>#DIV/0!</v>
      </c>
      <c r="AI122" s="974" t="e">
        <f>IF($F122="","",$F122*chronic_consumption!AD122/1000/$C$3)</f>
        <v>#DIV/0!</v>
      </c>
      <c r="AJ122" s="974" t="e">
        <f>IF($F122="","",$F122*chronic_consumption!AE122/1000/$C$3)</f>
        <v>#DIV/0!</v>
      </c>
      <c r="AK122" s="974" t="e">
        <f>IF($F122="","",$F122*chronic_consumption!AF122/1000/$C$3)</f>
        <v>#DIV/0!</v>
      </c>
      <c r="AL122" s="974" t="e">
        <f>IF($F122="","",$F122*chronic_consumption!AG122/1000/$C$3)</f>
        <v>#DIV/0!</v>
      </c>
      <c r="AM122" s="974" t="e">
        <f>IF($F122="","",$F122*chronic_consumption!AH122/1000/$C$3)</f>
        <v>#DIV/0!</v>
      </c>
      <c r="AN122" s="974" t="e">
        <f>IF($F122="","",$F122*chronic_consumption!AI122/1000/$C$3)</f>
        <v>#DIV/0!</v>
      </c>
      <c r="AO122" s="974" t="e">
        <f>IF($F122="","",$F122*chronic_consumption!AJ122/1000/$C$3)</f>
        <v>#DIV/0!</v>
      </c>
      <c r="AP122" s="974" t="e">
        <f>IF($F122="","",$F122*chronic_consumption!AK122/1000/$C$3)</f>
        <v>#DIV/0!</v>
      </c>
      <c r="AQ122" s="974" t="e">
        <f>IF($F122="","",$F122*chronic_consumption!AL122/1000/$C$3)</f>
        <v>#DIV/0!</v>
      </c>
      <c r="AR122" s="974" t="e">
        <f>IF($F122="","",$F122*chronic_consumption!AM122/1000/$C$3)</f>
        <v>#DIV/0!</v>
      </c>
      <c r="AS122" s="974" t="e">
        <f>IF($F122="","",$F122*chronic_consumption!AN122/1000/$C$3)</f>
        <v>#DIV/0!</v>
      </c>
      <c r="AT122" s="974" t="e">
        <f>IF($F122="","",$F122*chronic_consumption!AO122/1000/$C$3)</f>
        <v>#DIV/0!</v>
      </c>
      <c r="AU122" s="974"/>
      <c r="AV122" s="974" t="e">
        <f>IF($F122="","",$F122*chronic_consumption!AQ122/1000/$C$3)</f>
        <v>#DIV/0!</v>
      </c>
      <c r="AW122" s="974" t="e">
        <f>IF($F122="","",$F122*chronic_consumption!AR122/1000/$C$3)</f>
        <v>#DIV/0!</v>
      </c>
      <c r="AX122" s="974" t="e">
        <f>IF($F122="","",$F122*chronic_consumption!AS122/1000/$C$3)</f>
        <v>#DIV/0!</v>
      </c>
      <c r="AY122" s="974" t="e">
        <f>IF($F122="","",$F122*chronic_consumption!AT122/1000/$C$3)</f>
        <v>#DIV/0!</v>
      </c>
      <c r="AZ122" s="973" t="s">
        <v>19</v>
      </c>
      <c r="BA122" s="969" t="e">
        <f t="shared" si="11"/>
        <v>#DIV/0!</v>
      </c>
      <c r="BB122" s="970" t="e">
        <f t="shared" si="12"/>
        <v>#DIV/0!</v>
      </c>
      <c r="BC122" s="971" t="e">
        <f t="shared" ca="1" si="13"/>
        <v>#DIV/0!</v>
      </c>
      <c r="BD122" s="228">
        <f>input_values!Z122</f>
        <v>4</v>
      </c>
      <c r="BE122" s="152">
        <f>input_values!L122</f>
        <v>0</v>
      </c>
      <c r="BF122" s="972" t="str">
        <f t="shared" si="14"/>
        <v/>
      </c>
    </row>
    <row r="123" spans="1:58" ht="12" customHeight="1" outlineLevel="3" x14ac:dyDescent="0.2">
      <c r="A123" s="21">
        <v>4</v>
      </c>
      <c r="B123" s="23">
        <v>220040</v>
      </c>
      <c r="C123" s="23" t="s">
        <v>827</v>
      </c>
      <c r="D123" s="965">
        <f>Table22[[#This Row],[MRL individual commodity]]</f>
        <v>0</v>
      </c>
      <c r="E123" s="300" t="str">
        <f>Table22[[#This Row],[LOQ_label]]</f>
        <v/>
      </c>
      <c r="F123" s="966">
        <f>Table22[[#This Row],[Chronic RA input value]]</f>
        <v>0</v>
      </c>
      <c r="G123" s="304" t="str">
        <f>Table22[[#This Row],[Chronic RA label]]</f>
        <v/>
      </c>
      <c r="H123" s="304">
        <f>Table22[[#This Row],[GAP under assessment]]</f>
        <v>0</v>
      </c>
      <c r="I123" s="1123"/>
      <c r="J123" s="974" t="e">
        <f>IF($F123="","",$F123*chronic_consumption!$E123/1000/$C$3)</f>
        <v>#DIV/0!</v>
      </c>
      <c r="K123" s="974" t="e">
        <f>IF($F123="","",$F123*chronic_consumption!F123/1000/$C$3)</f>
        <v>#DIV/0!</v>
      </c>
      <c r="L123" s="974" t="e">
        <f>IF($F123="","",$F123*chronic_consumption!G123/1000/$C$3)</f>
        <v>#DIV/0!</v>
      </c>
      <c r="M123" s="974" t="e">
        <f>IF($F123="","",$F123*chronic_consumption!H123/1000/$C$3)</f>
        <v>#DIV/0!</v>
      </c>
      <c r="N123" s="974" t="e">
        <f>IF($F123="","",$F123*chronic_consumption!I123/1000/$C$3)</f>
        <v>#DIV/0!</v>
      </c>
      <c r="O123" s="974" t="e">
        <f>IF($F123="","",$F123*chronic_consumption!J123/1000/$C$3)</f>
        <v>#DIV/0!</v>
      </c>
      <c r="P123" s="974" t="e">
        <f>IF($F123="","",$F123*chronic_consumption!K123/1000/$C$3)</f>
        <v>#DIV/0!</v>
      </c>
      <c r="Q123" s="974" t="e">
        <f>IF($F123="","",$F123*chronic_consumption!L123/1000/$C$3)</f>
        <v>#DIV/0!</v>
      </c>
      <c r="R123" s="974" t="e">
        <f>IF($F123="","",$F123*chronic_consumption!M123/1000/$C$3)</f>
        <v>#DIV/0!</v>
      </c>
      <c r="S123" s="974" t="e">
        <f>IF($F123="","",$F123*chronic_consumption!N123/1000/$C$3)</f>
        <v>#DIV/0!</v>
      </c>
      <c r="T123" s="974" t="e">
        <f>IF($F123="","",$F123*chronic_consumption!O123/1000/$C$3)</f>
        <v>#DIV/0!</v>
      </c>
      <c r="U123" s="974" t="e">
        <f>IF($F123="","",$F123*chronic_consumption!P123/1000/$C$3)</f>
        <v>#DIV/0!</v>
      </c>
      <c r="V123" s="974" t="e">
        <f>IF($F123="","",$F123*chronic_consumption!Q123/1000/$C$3)</f>
        <v>#DIV/0!</v>
      </c>
      <c r="W123" s="974" t="e">
        <f>IF($F123="","",$F123*chronic_consumption!R123/1000/$C$3)</f>
        <v>#DIV/0!</v>
      </c>
      <c r="X123" s="974" t="e">
        <f>IF($F123="","",$F123*chronic_consumption!S123/1000/$C$3)</f>
        <v>#DIV/0!</v>
      </c>
      <c r="Y123" s="974" t="e">
        <f>IF($F123="","",$F123*chronic_consumption!T123/1000/$C$3)</f>
        <v>#DIV/0!</v>
      </c>
      <c r="Z123" s="974" t="e">
        <f>IF($F123="","",$F123*chronic_consumption!U123/1000/$C$3)</f>
        <v>#DIV/0!</v>
      </c>
      <c r="AA123" s="974" t="e">
        <f>IF($F123="","",$F123*chronic_consumption!V123/1000/$C$3)</f>
        <v>#DIV/0!</v>
      </c>
      <c r="AB123" s="974" t="e">
        <f>IF($F123="","",$F123*chronic_consumption!W123/1000/$C$3)</f>
        <v>#DIV/0!</v>
      </c>
      <c r="AC123" s="974" t="e">
        <f>IF($F123="","",$F123*chronic_consumption!X123/1000/$C$3)</f>
        <v>#DIV/0!</v>
      </c>
      <c r="AD123" s="974" t="e">
        <f>IF($F123="","",$F123*chronic_consumption!Y123/1000/$C$3)</f>
        <v>#DIV/0!</v>
      </c>
      <c r="AE123" s="974" t="e">
        <f>IF($F123="","",$F123*chronic_consumption!Z123/1000/$C$3)</f>
        <v>#DIV/0!</v>
      </c>
      <c r="AF123" s="974" t="e">
        <f>IF($F123="","",$F123*chronic_consumption!AA123/1000/$C$3)</f>
        <v>#DIV/0!</v>
      </c>
      <c r="AG123" s="974" t="e">
        <f>IF($F123="","",$F123*chronic_consumption!AB123/1000/$C$3)</f>
        <v>#DIV/0!</v>
      </c>
      <c r="AH123" s="974" t="e">
        <f>IF($F123="","",$F123*chronic_consumption!AC123/1000/$C$3)</f>
        <v>#DIV/0!</v>
      </c>
      <c r="AI123" s="974" t="e">
        <f>IF($F123="","",$F123*chronic_consumption!AD123/1000/$C$3)</f>
        <v>#DIV/0!</v>
      </c>
      <c r="AJ123" s="974" t="e">
        <f>IF($F123="","",$F123*chronic_consumption!AE123/1000/$C$3)</f>
        <v>#DIV/0!</v>
      </c>
      <c r="AK123" s="974" t="e">
        <f>IF($F123="","",$F123*chronic_consumption!AF123/1000/$C$3)</f>
        <v>#DIV/0!</v>
      </c>
      <c r="AL123" s="974" t="e">
        <f>IF($F123="","",$F123*chronic_consumption!AG123/1000/$C$3)</f>
        <v>#DIV/0!</v>
      </c>
      <c r="AM123" s="974" t="e">
        <f>IF($F123="","",$F123*chronic_consumption!AH123/1000/$C$3)</f>
        <v>#DIV/0!</v>
      </c>
      <c r="AN123" s="974" t="e">
        <f>IF($F123="","",$F123*chronic_consumption!AI123/1000/$C$3)</f>
        <v>#DIV/0!</v>
      </c>
      <c r="AO123" s="974" t="e">
        <f>IF($F123="","",$F123*chronic_consumption!AJ123/1000/$C$3)</f>
        <v>#DIV/0!</v>
      </c>
      <c r="AP123" s="974" t="e">
        <f>IF($F123="","",$F123*chronic_consumption!AK123/1000/$C$3)</f>
        <v>#DIV/0!</v>
      </c>
      <c r="AQ123" s="974" t="e">
        <f>IF($F123="","",$F123*chronic_consumption!AL123/1000/$C$3)</f>
        <v>#DIV/0!</v>
      </c>
      <c r="AR123" s="974" t="e">
        <f>IF($F123="","",$F123*chronic_consumption!AM123/1000/$C$3)</f>
        <v>#DIV/0!</v>
      </c>
      <c r="AS123" s="974" t="e">
        <f>IF($F123="","",$F123*chronic_consumption!AN123/1000/$C$3)</f>
        <v>#DIV/0!</v>
      </c>
      <c r="AT123" s="974" t="e">
        <f>IF($F123="","",$F123*chronic_consumption!AO123/1000/$C$3)</f>
        <v>#DIV/0!</v>
      </c>
      <c r="AU123" s="974"/>
      <c r="AV123" s="974" t="e">
        <f>IF($F123="","",$F123*chronic_consumption!AQ123/1000/$C$3)</f>
        <v>#DIV/0!</v>
      </c>
      <c r="AW123" s="974" t="e">
        <f>IF($F123="","",$F123*chronic_consumption!AR123/1000/$C$3)</f>
        <v>#DIV/0!</v>
      </c>
      <c r="AX123" s="974" t="e">
        <f>IF($F123="","",$F123*chronic_consumption!AS123/1000/$C$3)</f>
        <v>#DIV/0!</v>
      </c>
      <c r="AY123" s="974" t="e">
        <f>IF($F123="","",$F123*chronic_consumption!AT123/1000/$C$3)</f>
        <v>#DIV/0!</v>
      </c>
      <c r="AZ123" s="973" t="s">
        <v>19</v>
      </c>
      <c r="BA123" s="969" t="e">
        <f t="shared" si="11"/>
        <v>#DIV/0!</v>
      </c>
      <c r="BB123" s="970" t="e">
        <f t="shared" si="12"/>
        <v>#DIV/0!</v>
      </c>
      <c r="BC123" s="971" t="e">
        <f t="shared" ca="1" si="13"/>
        <v>#DIV/0!</v>
      </c>
      <c r="BD123" s="228">
        <f>input_values!Z123</f>
        <v>4</v>
      </c>
      <c r="BE123" s="152">
        <f>input_values!L123</f>
        <v>0</v>
      </c>
      <c r="BF123" s="972" t="str">
        <f t="shared" si="14"/>
        <v/>
      </c>
    </row>
    <row r="124" spans="1:58" ht="12" customHeight="1" outlineLevel="3" x14ac:dyDescent="0.2">
      <c r="A124" s="21">
        <v>4</v>
      </c>
      <c r="B124" s="23">
        <v>220990</v>
      </c>
      <c r="C124" s="23" t="s">
        <v>165</v>
      </c>
      <c r="D124" s="965">
        <f>Table22[[#This Row],[MRL individual commodity]]</f>
        <v>0</v>
      </c>
      <c r="E124" s="300" t="str">
        <f>Table22[[#This Row],[LOQ_label]]</f>
        <v/>
      </c>
      <c r="F124" s="966">
        <f>Table22[[#This Row],[Chronic RA input value]]</f>
        <v>0</v>
      </c>
      <c r="G124" s="304" t="str">
        <f>Table22[[#This Row],[Chronic RA label]]</f>
        <v/>
      </c>
      <c r="H124" s="304">
        <f>Table22[[#This Row],[GAP under assessment]]</f>
        <v>0</v>
      </c>
      <c r="I124" s="1123"/>
      <c r="J124" s="974" t="e">
        <f>IF($F124="","",$F124*chronic_consumption!$E124/1000/$C$3)</f>
        <v>#DIV/0!</v>
      </c>
      <c r="K124" s="974" t="e">
        <f>IF($F124="","",$F124*chronic_consumption!F124/1000/$C$3)</f>
        <v>#DIV/0!</v>
      </c>
      <c r="L124" s="974" t="e">
        <f>IF($F124="","",$F124*chronic_consumption!G124/1000/$C$3)</f>
        <v>#DIV/0!</v>
      </c>
      <c r="M124" s="974" t="e">
        <f>IF($F124="","",$F124*chronic_consumption!H124/1000/$C$3)</f>
        <v>#DIV/0!</v>
      </c>
      <c r="N124" s="974" t="e">
        <f>IF($F124="","",$F124*chronic_consumption!I124/1000/$C$3)</f>
        <v>#DIV/0!</v>
      </c>
      <c r="O124" s="974" t="e">
        <f>IF($F124="","",$F124*chronic_consumption!J124/1000/$C$3)</f>
        <v>#DIV/0!</v>
      </c>
      <c r="P124" s="974" t="e">
        <f>IF($F124="","",$F124*chronic_consumption!K124/1000/$C$3)</f>
        <v>#DIV/0!</v>
      </c>
      <c r="Q124" s="974" t="e">
        <f>IF($F124="","",$F124*chronic_consumption!L124/1000/$C$3)</f>
        <v>#DIV/0!</v>
      </c>
      <c r="R124" s="974" t="e">
        <f>IF($F124="","",$F124*chronic_consumption!M124/1000/$C$3)</f>
        <v>#DIV/0!</v>
      </c>
      <c r="S124" s="974" t="e">
        <f>IF($F124="","",$F124*chronic_consumption!N124/1000/$C$3)</f>
        <v>#DIV/0!</v>
      </c>
      <c r="T124" s="974" t="e">
        <f>IF($F124="","",$F124*chronic_consumption!O124/1000/$C$3)</f>
        <v>#DIV/0!</v>
      </c>
      <c r="U124" s="974" t="e">
        <f>IF($F124="","",$F124*chronic_consumption!P124/1000/$C$3)</f>
        <v>#DIV/0!</v>
      </c>
      <c r="V124" s="974" t="e">
        <f>IF($F124="","",$F124*chronic_consumption!Q124/1000/$C$3)</f>
        <v>#DIV/0!</v>
      </c>
      <c r="W124" s="974" t="e">
        <f>IF($F124="","",$F124*chronic_consumption!R124/1000/$C$3)</f>
        <v>#DIV/0!</v>
      </c>
      <c r="X124" s="974" t="e">
        <f>IF($F124="","",$F124*chronic_consumption!S124/1000/$C$3)</f>
        <v>#DIV/0!</v>
      </c>
      <c r="Y124" s="974" t="e">
        <f>IF($F124="","",$F124*chronic_consumption!T124/1000/$C$3)</f>
        <v>#DIV/0!</v>
      </c>
      <c r="Z124" s="974" t="e">
        <f>IF($F124="","",$F124*chronic_consumption!U124/1000/$C$3)</f>
        <v>#DIV/0!</v>
      </c>
      <c r="AA124" s="974" t="e">
        <f>IF($F124="","",$F124*chronic_consumption!V124/1000/$C$3)</f>
        <v>#DIV/0!</v>
      </c>
      <c r="AB124" s="974" t="e">
        <f>IF($F124="","",$F124*chronic_consumption!W124/1000/$C$3)</f>
        <v>#DIV/0!</v>
      </c>
      <c r="AC124" s="974" t="e">
        <f>IF($F124="","",$F124*chronic_consumption!X124/1000/$C$3)</f>
        <v>#DIV/0!</v>
      </c>
      <c r="AD124" s="974" t="e">
        <f>IF($F124="","",$F124*chronic_consumption!Y124/1000/$C$3)</f>
        <v>#DIV/0!</v>
      </c>
      <c r="AE124" s="974" t="e">
        <f>IF($F124="","",$F124*chronic_consumption!Z124/1000/$C$3)</f>
        <v>#DIV/0!</v>
      </c>
      <c r="AF124" s="974" t="e">
        <f>IF($F124="","",$F124*chronic_consumption!AA124/1000/$C$3)</f>
        <v>#DIV/0!</v>
      </c>
      <c r="AG124" s="974" t="e">
        <f>IF($F124="","",$F124*chronic_consumption!AB124/1000/$C$3)</f>
        <v>#DIV/0!</v>
      </c>
      <c r="AH124" s="974" t="e">
        <f>IF($F124="","",$F124*chronic_consumption!AC124/1000/$C$3)</f>
        <v>#DIV/0!</v>
      </c>
      <c r="AI124" s="974" t="e">
        <f>IF($F124="","",$F124*chronic_consumption!AD124/1000/$C$3)</f>
        <v>#DIV/0!</v>
      </c>
      <c r="AJ124" s="974" t="e">
        <f>IF($F124="","",$F124*chronic_consumption!AE124/1000/$C$3)</f>
        <v>#DIV/0!</v>
      </c>
      <c r="AK124" s="974" t="e">
        <f>IF($F124="","",$F124*chronic_consumption!AF124/1000/$C$3)</f>
        <v>#DIV/0!</v>
      </c>
      <c r="AL124" s="974" t="e">
        <f>IF($F124="","",$F124*chronic_consumption!AG124/1000/$C$3)</f>
        <v>#DIV/0!</v>
      </c>
      <c r="AM124" s="974" t="e">
        <f>IF($F124="","",$F124*chronic_consumption!AH124/1000/$C$3)</f>
        <v>#DIV/0!</v>
      </c>
      <c r="AN124" s="974" t="e">
        <f>IF($F124="","",$F124*chronic_consumption!AI124/1000/$C$3)</f>
        <v>#DIV/0!</v>
      </c>
      <c r="AO124" s="974" t="e">
        <f>IF($F124="","",$F124*chronic_consumption!AJ124/1000/$C$3)</f>
        <v>#DIV/0!</v>
      </c>
      <c r="AP124" s="974" t="e">
        <f>IF($F124="","",$F124*chronic_consumption!AK124/1000/$C$3)</f>
        <v>#DIV/0!</v>
      </c>
      <c r="AQ124" s="974" t="e">
        <f>IF($F124="","",$F124*chronic_consumption!AL124/1000/$C$3)</f>
        <v>#DIV/0!</v>
      </c>
      <c r="AR124" s="974" t="e">
        <f>IF($F124="","",$F124*chronic_consumption!AM124/1000/$C$3)</f>
        <v>#DIV/0!</v>
      </c>
      <c r="AS124" s="974" t="e">
        <f>IF($F124="","",$F124*chronic_consumption!AN124/1000/$C$3)</f>
        <v>#DIV/0!</v>
      </c>
      <c r="AT124" s="974" t="e">
        <f>IF($F124="","",$F124*chronic_consumption!AO124/1000/$C$3)</f>
        <v>#DIV/0!</v>
      </c>
      <c r="AU124" s="974"/>
      <c r="AV124" s="974" t="e">
        <f>IF($F124="","",$F124*chronic_consumption!AQ124/1000/$C$3)</f>
        <v>#DIV/0!</v>
      </c>
      <c r="AW124" s="974" t="e">
        <f>IF($F124="","",$F124*chronic_consumption!AR124/1000/$C$3)</f>
        <v>#DIV/0!</v>
      </c>
      <c r="AX124" s="974" t="e">
        <f>IF($F124="","",$F124*chronic_consumption!AS124/1000/$C$3)</f>
        <v>#DIV/0!</v>
      </c>
      <c r="AY124" s="974" t="e">
        <f>IF($F124="","",$F124*chronic_consumption!AT124/1000/$C$3)</f>
        <v>#DIV/0!</v>
      </c>
      <c r="AZ124" s="973" t="s">
        <v>19</v>
      </c>
      <c r="BA124" s="969" t="e">
        <f t="shared" si="11"/>
        <v>#DIV/0!</v>
      </c>
      <c r="BB124" s="970" t="e">
        <f t="shared" si="12"/>
        <v>#DIV/0!</v>
      </c>
      <c r="BC124" s="971" t="e">
        <f t="shared" ca="1" si="13"/>
        <v>#DIV/0!</v>
      </c>
      <c r="BD124" s="228">
        <f>input_values!Z124</f>
        <v>4</v>
      </c>
      <c r="BE124" s="152">
        <f>input_values!L124</f>
        <v>0</v>
      </c>
      <c r="BF124" s="972" t="str">
        <f t="shared" si="14"/>
        <v/>
      </c>
    </row>
    <row r="125" spans="1:58" ht="12" customHeight="1" outlineLevel="1" x14ac:dyDescent="0.2">
      <c r="A125" s="314">
        <v>2</v>
      </c>
      <c r="B125" s="131">
        <v>230000</v>
      </c>
      <c r="C125" s="131" t="s">
        <v>225</v>
      </c>
      <c r="D125" s="965">
        <f>Table22[[#This Row],[MRL individual commodity]]</f>
        <v>0</v>
      </c>
      <c r="E125" s="300">
        <f>Table22[[#This Row],[LOQ_label]]</f>
        <v>0</v>
      </c>
      <c r="F125" s="966">
        <f>Table22[[#This Row],[Chronic RA input value]]</f>
        <v>0</v>
      </c>
      <c r="G125" s="304">
        <f>Table22[[#This Row],[Chronic RA label]]</f>
        <v>0</v>
      </c>
      <c r="H125" s="304">
        <f>Table22[[#This Row],[GAP under assessment]]</f>
        <v>0</v>
      </c>
      <c r="I125" s="1123"/>
      <c r="J125" s="967" t="e">
        <f>IF($F125="","",$F125*chronic_consumption!$E125/1000/$C$3)</f>
        <v>#DIV/0!</v>
      </c>
      <c r="K125" s="967" t="e">
        <f>IF($F125="","",$F125*chronic_consumption!F125/1000/$C$3)</f>
        <v>#DIV/0!</v>
      </c>
      <c r="L125" s="967" t="e">
        <f>IF($F125="","",$F125*chronic_consumption!G125/1000/$C$3)</f>
        <v>#DIV/0!</v>
      </c>
      <c r="M125" s="967" t="e">
        <f>IF($F125="","",$F125*chronic_consumption!H125/1000/$C$3)</f>
        <v>#DIV/0!</v>
      </c>
      <c r="N125" s="967" t="e">
        <f>IF($F125="","",$F125*chronic_consumption!I125/1000/$C$3)</f>
        <v>#DIV/0!</v>
      </c>
      <c r="O125" s="967" t="e">
        <f>IF($F125="","",$F125*chronic_consumption!J125/1000/$C$3)</f>
        <v>#DIV/0!</v>
      </c>
      <c r="P125" s="967" t="e">
        <f>IF($F125="","",$F125*chronic_consumption!K125/1000/$C$3)</f>
        <v>#DIV/0!</v>
      </c>
      <c r="Q125" s="967" t="e">
        <f>IF($F125="","",$F125*chronic_consumption!L125/1000/$C$3)</f>
        <v>#DIV/0!</v>
      </c>
      <c r="R125" s="967" t="e">
        <f>IF($F125="","",$F125*chronic_consumption!M125/1000/$C$3)</f>
        <v>#DIV/0!</v>
      </c>
      <c r="S125" s="967" t="e">
        <f>IF($F125="","",$F125*chronic_consumption!N125/1000/$C$3)</f>
        <v>#DIV/0!</v>
      </c>
      <c r="T125" s="967" t="e">
        <f>IF($F125="","",$F125*chronic_consumption!O125/1000/$C$3)</f>
        <v>#DIV/0!</v>
      </c>
      <c r="U125" s="967" t="e">
        <f>IF($F125="","",$F125*chronic_consumption!P125/1000/$C$3)</f>
        <v>#DIV/0!</v>
      </c>
      <c r="V125" s="967" t="e">
        <f>IF($F125="","",$F125*chronic_consumption!Q125/1000/$C$3)</f>
        <v>#DIV/0!</v>
      </c>
      <c r="W125" s="967" t="e">
        <f>IF($F125="","",$F125*chronic_consumption!R125/1000/$C$3)</f>
        <v>#DIV/0!</v>
      </c>
      <c r="X125" s="967" t="e">
        <f>IF($F125="","",$F125*chronic_consumption!S125/1000/$C$3)</f>
        <v>#DIV/0!</v>
      </c>
      <c r="Y125" s="967" t="e">
        <f>IF($F125="","",$F125*chronic_consumption!T125/1000/$C$3)</f>
        <v>#DIV/0!</v>
      </c>
      <c r="Z125" s="967" t="e">
        <f>IF($F125="","",$F125*chronic_consumption!U125/1000/$C$3)</f>
        <v>#DIV/0!</v>
      </c>
      <c r="AA125" s="967" t="e">
        <f>IF($F125="","",$F125*chronic_consumption!V125/1000/$C$3)</f>
        <v>#DIV/0!</v>
      </c>
      <c r="AB125" s="967" t="e">
        <f>IF($F125="","",$F125*chronic_consumption!W125/1000/$C$3)</f>
        <v>#DIV/0!</v>
      </c>
      <c r="AC125" s="967" t="e">
        <f>IF($F125="","",$F125*chronic_consumption!X125/1000/$C$3)</f>
        <v>#DIV/0!</v>
      </c>
      <c r="AD125" s="967" t="e">
        <f>IF($F125="","",$F125*chronic_consumption!Y125/1000/$C$3)</f>
        <v>#DIV/0!</v>
      </c>
      <c r="AE125" s="967" t="e">
        <f>IF($F125="","",$F125*chronic_consumption!Z125/1000/$C$3)</f>
        <v>#DIV/0!</v>
      </c>
      <c r="AF125" s="967" t="e">
        <f>IF($F125="","",$F125*chronic_consumption!AA125/1000/$C$3)</f>
        <v>#DIV/0!</v>
      </c>
      <c r="AG125" s="967" t="e">
        <f>IF($F125="","",$F125*chronic_consumption!AB125/1000/$C$3)</f>
        <v>#DIV/0!</v>
      </c>
      <c r="AH125" s="967" t="e">
        <f>IF($F125="","",$F125*chronic_consumption!AC125/1000/$C$3)</f>
        <v>#DIV/0!</v>
      </c>
      <c r="AI125" s="967" t="e">
        <f>IF($F125="","",$F125*chronic_consumption!AD125/1000/$C$3)</f>
        <v>#DIV/0!</v>
      </c>
      <c r="AJ125" s="967" t="e">
        <f>IF($F125="","",$F125*chronic_consumption!AE125/1000/$C$3)</f>
        <v>#DIV/0!</v>
      </c>
      <c r="AK125" s="967" t="e">
        <f>IF($F125="","",$F125*chronic_consumption!AF125/1000/$C$3)</f>
        <v>#DIV/0!</v>
      </c>
      <c r="AL125" s="967" t="e">
        <f>IF($F125="","",$F125*chronic_consumption!AG125/1000/$C$3)</f>
        <v>#DIV/0!</v>
      </c>
      <c r="AM125" s="967" t="e">
        <f>IF($F125="","",$F125*chronic_consumption!AH125/1000/$C$3)</f>
        <v>#DIV/0!</v>
      </c>
      <c r="AN125" s="967" t="e">
        <f>IF($F125="","",$F125*chronic_consumption!AI125/1000/$C$3)</f>
        <v>#DIV/0!</v>
      </c>
      <c r="AO125" s="967" t="e">
        <f>IF($F125="","",$F125*chronic_consumption!AJ125/1000/$C$3)</f>
        <v>#DIV/0!</v>
      </c>
      <c r="AP125" s="967" t="e">
        <f>IF($F125="","",$F125*chronic_consumption!AK125/1000/$C$3)</f>
        <v>#DIV/0!</v>
      </c>
      <c r="AQ125" s="967" t="e">
        <f>IF($F125="","",$F125*chronic_consumption!AL125/1000/$C$3)</f>
        <v>#DIV/0!</v>
      </c>
      <c r="AR125" s="967" t="e">
        <f>IF($F125="","",$F125*chronic_consumption!AM125/1000/$C$3)</f>
        <v>#DIV/0!</v>
      </c>
      <c r="AS125" s="967" t="e">
        <f>IF($F125="","",$F125*chronic_consumption!AN125/1000/$C$3)</f>
        <v>#DIV/0!</v>
      </c>
      <c r="AT125" s="967" t="e">
        <f>IF($F125="","",$F125*chronic_consumption!AO125/1000/$C$3)</f>
        <v>#DIV/0!</v>
      </c>
      <c r="AU125" s="967"/>
      <c r="AV125" s="967" t="e">
        <f>IF($F125="","",$F125*chronic_consumption!AQ125/1000/$C$3)</f>
        <v>#DIV/0!</v>
      </c>
      <c r="AW125" s="967" t="e">
        <f>IF($F125="","",$F125*chronic_consumption!AR125/1000/$C$3)</f>
        <v>#DIV/0!</v>
      </c>
      <c r="AX125" s="967" t="e">
        <f>IF($F125="","",$F125*chronic_consumption!AS125/1000/$C$3)</f>
        <v>#DIV/0!</v>
      </c>
      <c r="AY125" s="967" t="e">
        <f>IF($F125="","",$F125*chronic_consumption!AT125/1000/$C$3)</f>
        <v>#DIV/0!</v>
      </c>
      <c r="AZ125" s="973"/>
      <c r="BA125" s="969" t="e">
        <f t="shared" si="11"/>
        <v>#DIV/0!</v>
      </c>
      <c r="BB125" s="970" t="e">
        <f t="shared" si="12"/>
        <v>#DIV/0!</v>
      </c>
      <c r="BC125" s="971" t="e">
        <f t="shared" ca="1" si="13"/>
        <v>#DIV/0!</v>
      </c>
      <c r="BD125" s="228">
        <f>input_values!Z125</f>
        <v>4</v>
      </c>
      <c r="BE125" s="152">
        <f>input_values!L125</f>
        <v>0</v>
      </c>
      <c r="BF125" s="972" t="str">
        <f t="shared" si="14"/>
        <v/>
      </c>
    </row>
    <row r="126" spans="1:58" ht="12" customHeight="1" outlineLevel="2" x14ac:dyDescent="0.2">
      <c r="A126" s="341">
        <v>3</v>
      </c>
      <c r="B126" s="3">
        <v>231000</v>
      </c>
      <c r="C126" s="3" t="s">
        <v>226</v>
      </c>
      <c r="D126" s="965">
        <f>Table22[[#This Row],[MRL individual commodity]]</f>
        <v>0</v>
      </c>
      <c r="E126" s="300">
        <f>Table22[[#This Row],[LOQ_label]]</f>
        <v>0</v>
      </c>
      <c r="F126" s="966">
        <f>Table22[[#This Row],[Chronic RA input value]]</f>
        <v>0</v>
      </c>
      <c r="G126" s="304">
        <f>Table22[[#This Row],[Chronic RA label]]</f>
        <v>0</v>
      </c>
      <c r="H126" s="304">
        <f>Table22[[#This Row],[GAP under assessment]]</f>
        <v>0</v>
      </c>
      <c r="I126" s="1123"/>
      <c r="J126" s="967" t="e">
        <f>IF($F126="","",$F126*chronic_consumption!$E126/1000/$C$3)</f>
        <v>#DIV/0!</v>
      </c>
      <c r="K126" s="967" t="e">
        <f>IF($F126="","",$F126*chronic_consumption!F126/1000/$C$3)</f>
        <v>#DIV/0!</v>
      </c>
      <c r="L126" s="967" t="e">
        <f>IF($F126="","",$F126*chronic_consumption!G126/1000/$C$3)</f>
        <v>#DIV/0!</v>
      </c>
      <c r="M126" s="967" t="e">
        <f>IF($F126="","",$F126*chronic_consumption!H126/1000/$C$3)</f>
        <v>#DIV/0!</v>
      </c>
      <c r="N126" s="967" t="e">
        <f>IF($F126="","",$F126*chronic_consumption!I126/1000/$C$3)</f>
        <v>#DIV/0!</v>
      </c>
      <c r="O126" s="967" t="e">
        <f>IF($F126="","",$F126*chronic_consumption!J126/1000/$C$3)</f>
        <v>#DIV/0!</v>
      </c>
      <c r="P126" s="967" t="e">
        <f>IF($F126="","",$F126*chronic_consumption!K126/1000/$C$3)</f>
        <v>#DIV/0!</v>
      </c>
      <c r="Q126" s="967" t="e">
        <f>IF($F126="","",$F126*chronic_consumption!L126/1000/$C$3)</f>
        <v>#DIV/0!</v>
      </c>
      <c r="R126" s="967" t="e">
        <f>IF($F126="","",$F126*chronic_consumption!M126/1000/$C$3)</f>
        <v>#DIV/0!</v>
      </c>
      <c r="S126" s="967" t="e">
        <f>IF($F126="","",$F126*chronic_consumption!N126/1000/$C$3)</f>
        <v>#DIV/0!</v>
      </c>
      <c r="T126" s="967" t="e">
        <f>IF($F126="","",$F126*chronic_consumption!O126/1000/$C$3)</f>
        <v>#DIV/0!</v>
      </c>
      <c r="U126" s="967" t="e">
        <f>IF($F126="","",$F126*chronic_consumption!P126/1000/$C$3)</f>
        <v>#DIV/0!</v>
      </c>
      <c r="V126" s="967" t="e">
        <f>IF($F126="","",$F126*chronic_consumption!Q126/1000/$C$3)</f>
        <v>#DIV/0!</v>
      </c>
      <c r="W126" s="967" t="e">
        <f>IF($F126="","",$F126*chronic_consumption!R126/1000/$C$3)</f>
        <v>#DIV/0!</v>
      </c>
      <c r="X126" s="967" t="e">
        <f>IF($F126="","",$F126*chronic_consumption!S126/1000/$C$3)</f>
        <v>#DIV/0!</v>
      </c>
      <c r="Y126" s="967" t="e">
        <f>IF($F126="","",$F126*chronic_consumption!T126/1000/$C$3)</f>
        <v>#DIV/0!</v>
      </c>
      <c r="Z126" s="967" t="e">
        <f>IF($F126="","",$F126*chronic_consumption!U126/1000/$C$3)</f>
        <v>#DIV/0!</v>
      </c>
      <c r="AA126" s="967" t="e">
        <f>IF($F126="","",$F126*chronic_consumption!V126/1000/$C$3)</f>
        <v>#DIV/0!</v>
      </c>
      <c r="AB126" s="967" t="e">
        <f>IF($F126="","",$F126*chronic_consumption!W126/1000/$C$3)</f>
        <v>#DIV/0!</v>
      </c>
      <c r="AC126" s="967" t="e">
        <f>IF($F126="","",$F126*chronic_consumption!X126/1000/$C$3)</f>
        <v>#DIV/0!</v>
      </c>
      <c r="AD126" s="967" t="e">
        <f>IF($F126="","",$F126*chronic_consumption!Y126/1000/$C$3)</f>
        <v>#DIV/0!</v>
      </c>
      <c r="AE126" s="967" t="e">
        <f>IF($F126="","",$F126*chronic_consumption!Z126/1000/$C$3)</f>
        <v>#DIV/0!</v>
      </c>
      <c r="AF126" s="967" t="e">
        <f>IF($F126="","",$F126*chronic_consumption!AA126/1000/$C$3)</f>
        <v>#DIV/0!</v>
      </c>
      <c r="AG126" s="967" t="e">
        <f>IF($F126="","",$F126*chronic_consumption!AB126/1000/$C$3)</f>
        <v>#DIV/0!</v>
      </c>
      <c r="AH126" s="967" t="e">
        <f>IF($F126="","",$F126*chronic_consumption!AC126/1000/$C$3)</f>
        <v>#DIV/0!</v>
      </c>
      <c r="AI126" s="967" t="e">
        <f>IF($F126="","",$F126*chronic_consumption!AD126/1000/$C$3)</f>
        <v>#DIV/0!</v>
      </c>
      <c r="AJ126" s="967" t="e">
        <f>IF($F126="","",$F126*chronic_consumption!AE126/1000/$C$3)</f>
        <v>#DIV/0!</v>
      </c>
      <c r="AK126" s="967" t="e">
        <f>IF($F126="","",$F126*chronic_consumption!AF126/1000/$C$3)</f>
        <v>#DIV/0!</v>
      </c>
      <c r="AL126" s="967" t="e">
        <f>IF($F126="","",$F126*chronic_consumption!AG126/1000/$C$3)</f>
        <v>#DIV/0!</v>
      </c>
      <c r="AM126" s="967" t="e">
        <f>IF($F126="","",$F126*chronic_consumption!AH126/1000/$C$3)</f>
        <v>#DIV/0!</v>
      </c>
      <c r="AN126" s="967" t="e">
        <f>IF($F126="","",$F126*chronic_consumption!AI126/1000/$C$3)</f>
        <v>#DIV/0!</v>
      </c>
      <c r="AO126" s="967" t="e">
        <f>IF($F126="","",$F126*chronic_consumption!AJ126/1000/$C$3)</f>
        <v>#DIV/0!</v>
      </c>
      <c r="AP126" s="967" t="e">
        <f>IF($F126="","",$F126*chronic_consumption!AK126/1000/$C$3)</f>
        <v>#DIV/0!</v>
      </c>
      <c r="AQ126" s="967" t="e">
        <f>IF($F126="","",$F126*chronic_consumption!AL126/1000/$C$3)</f>
        <v>#DIV/0!</v>
      </c>
      <c r="AR126" s="967" t="e">
        <f>IF($F126="","",$F126*chronic_consumption!AM126/1000/$C$3)</f>
        <v>#DIV/0!</v>
      </c>
      <c r="AS126" s="967" t="e">
        <f>IF($F126="","",$F126*chronic_consumption!AN126/1000/$C$3)</f>
        <v>#DIV/0!</v>
      </c>
      <c r="AT126" s="967" t="e">
        <f>IF($F126="","",$F126*chronic_consumption!AO126/1000/$C$3)</f>
        <v>#DIV/0!</v>
      </c>
      <c r="AU126" s="967"/>
      <c r="AV126" s="967" t="e">
        <f>IF($F126="","",$F126*chronic_consumption!AQ126/1000/$C$3)</f>
        <v>#DIV/0!</v>
      </c>
      <c r="AW126" s="967" t="e">
        <f>IF($F126="","",$F126*chronic_consumption!AR126/1000/$C$3)</f>
        <v>#DIV/0!</v>
      </c>
      <c r="AX126" s="967" t="e">
        <f>IF($F126="","",$F126*chronic_consumption!AS126/1000/$C$3)</f>
        <v>#DIV/0!</v>
      </c>
      <c r="AY126" s="967" t="e">
        <f>IF($F126="","",$F126*chronic_consumption!AT126/1000/$C$3)</f>
        <v>#DIV/0!</v>
      </c>
      <c r="AZ126" s="973"/>
      <c r="BA126" s="969" t="e">
        <f t="shared" si="11"/>
        <v>#DIV/0!</v>
      </c>
      <c r="BB126" s="970" t="e">
        <f t="shared" si="12"/>
        <v>#DIV/0!</v>
      </c>
      <c r="BC126" s="971" t="e">
        <f t="shared" ca="1" si="13"/>
        <v>#DIV/0!</v>
      </c>
      <c r="BD126" s="228">
        <f>input_values!Z126</f>
        <v>4</v>
      </c>
      <c r="BE126" s="152">
        <f>input_values!L126</f>
        <v>0</v>
      </c>
      <c r="BF126" s="972" t="str">
        <f t="shared" si="14"/>
        <v/>
      </c>
    </row>
    <row r="127" spans="1:58" ht="12" customHeight="1" outlineLevel="3" x14ac:dyDescent="0.2">
      <c r="A127" s="21">
        <v>4</v>
      </c>
      <c r="B127" s="23">
        <v>231010</v>
      </c>
      <c r="C127" s="23" t="s">
        <v>210</v>
      </c>
      <c r="D127" s="965">
        <f>Table22[[#This Row],[MRL individual commodity]]</f>
        <v>0</v>
      </c>
      <c r="E127" s="300" t="str">
        <f>Table22[[#This Row],[LOQ_label]]</f>
        <v/>
      </c>
      <c r="F127" s="966">
        <f>Table22[[#This Row],[Chronic RA input value]]</f>
        <v>0</v>
      </c>
      <c r="G127" s="304" t="str">
        <f>Table22[[#This Row],[Chronic RA label]]</f>
        <v/>
      </c>
      <c r="H127" s="304">
        <f>Table22[[#This Row],[GAP under assessment]]</f>
        <v>0</v>
      </c>
      <c r="I127" s="1123"/>
      <c r="J127" s="974" t="e">
        <f>IF($F127="","",$F127*chronic_consumption!$E127/1000/$C$3)</f>
        <v>#DIV/0!</v>
      </c>
      <c r="K127" s="974" t="e">
        <f>IF($F127="","",$F127*chronic_consumption!F127/1000/$C$3)</f>
        <v>#DIV/0!</v>
      </c>
      <c r="L127" s="974" t="e">
        <f>IF($F127="","",$F127*chronic_consumption!G127/1000/$C$3)</f>
        <v>#DIV/0!</v>
      </c>
      <c r="M127" s="974" t="e">
        <f>IF($F127="","",$F127*chronic_consumption!H127/1000/$C$3)</f>
        <v>#DIV/0!</v>
      </c>
      <c r="N127" s="974" t="e">
        <f>IF($F127="","",$F127*chronic_consumption!I127/1000/$C$3)</f>
        <v>#DIV/0!</v>
      </c>
      <c r="O127" s="974" t="e">
        <f>IF($F127="","",$F127*chronic_consumption!J127/1000/$C$3)</f>
        <v>#DIV/0!</v>
      </c>
      <c r="P127" s="974" t="e">
        <f>IF($F127="","",$F127*chronic_consumption!K127/1000/$C$3)</f>
        <v>#DIV/0!</v>
      </c>
      <c r="Q127" s="974" t="e">
        <f>IF($F127="","",$F127*chronic_consumption!L127/1000/$C$3)</f>
        <v>#DIV/0!</v>
      </c>
      <c r="R127" s="974" t="e">
        <f>IF($F127="","",$F127*chronic_consumption!M127/1000/$C$3)</f>
        <v>#DIV/0!</v>
      </c>
      <c r="S127" s="974" t="e">
        <f>IF($F127="","",$F127*chronic_consumption!N127/1000/$C$3)</f>
        <v>#DIV/0!</v>
      </c>
      <c r="T127" s="974" t="e">
        <f>IF($F127="","",$F127*chronic_consumption!O127/1000/$C$3)</f>
        <v>#DIV/0!</v>
      </c>
      <c r="U127" s="974" t="e">
        <f>IF($F127="","",$F127*chronic_consumption!P127/1000/$C$3)</f>
        <v>#DIV/0!</v>
      </c>
      <c r="V127" s="974" t="e">
        <f>IF($F127="","",$F127*chronic_consumption!Q127/1000/$C$3)</f>
        <v>#DIV/0!</v>
      </c>
      <c r="W127" s="974" t="e">
        <f>IF($F127="","",$F127*chronic_consumption!R127/1000/$C$3)</f>
        <v>#DIV/0!</v>
      </c>
      <c r="X127" s="974" t="e">
        <f>IF($F127="","",$F127*chronic_consumption!S127/1000/$C$3)</f>
        <v>#DIV/0!</v>
      </c>
      <c r="Y127" s="974" t="e">
        <f>IF($F127="","",$F127*chronic_consumption!T127/1000/$C$3)</f>
        <v>#DIV/0!</v>
      </c>
      <c r="Z127" s="974" t="e">
        <f>IF($F127="","",$F127*chronic_consumption!U127/1000/$C$3)</f>
        <v>#DIV/0!</v>
      </c>
      <c r="AA127" s="974" t="e">
        <f>IF($F127="","",$F127*chronic_consumption!V127/1000/$C$3)</f>
        <v>#DIV/0!</v>
      </c>
      <c r="AB127" s="974" t="e">
        <f>IF($F127="","",$F127*chronic_consumption!W127/1000/$C$3)</f>
        <v>#DIV/0!</v>
      </c>
      <c r="AC127" s="974" t="e">
        <f>IF($F127="","",$F127*chronic_consumption!X127/1000/$C$3)</f>
        <v>#DIV/0!</v>
      </c>
      <c r="AD127" s="974" t="e">
        <f>IF($F127="","",$F127*chronic_consumption!Y127/1000/$C$3)</f>
        <v>#DIV/0!</v>
      </c>
      <c r="AE127" s="974" t="e">
        <f>IF($F127="","",$F127*chronic_consumption!Z127/1000/$C$3)</f>
        <v>#DIV/0!</v>
      </c>
      <c r="AF127" s="974" t="e">
        <f>IF($F127="","",$F127*chronic_consumption!AA127/1000/$C$3)</f>
        <v>#DIV/0!</v>
      </c>
      <c r="AG127" s="974" t="e">
        <f>IF($F127="","",$F127*chronic_consumption!AB127/1000/$C$3)</f>
        <v>#DIV/0!</v>
      </c>
      <c r="AH127" s="974" t="e">
        <f>IF($F127="","",$F127*chronic_consumption!AC127/1000/$C$3)</f>
        <v>#DIV/0!</v>
      </c>
      <c r="AI127" s="974" t="e">
        <f>IF($F127="","",$F127*chronic_consumption!AD127/1000/$C$3)</f>
        <v>#DIV/0!</v>
      </c>
      <c r="AJ127" s="974" t="e">
        <f>IF($F127="","",$F127*chronic_consumption!AE127/1000/$C$3)</f>
        <v>#DIV/0!</v>
      </c>
      <c r="AK127" s="974" t="e">
        <f>IF($F127="","",$F127*chronic_consumption!AF127/1000/$C$3)</f>
        <v>#DIV/0!</v>
      </c>
      <c r="AL127" s="974" t="e">
        <f>IF($F127="","",$F127*chronic_consumption!AG127/1000/$C$3)</f>
        <v>#DIV/0!</v>
      </c>
      <c r="AM127" s="974" t="e">
        <f>IF($F127="","",$F127*chronic_consumption!AH127/1000/$C$3)</f>
        <v>#DIV/0!</v>
      </c>
      <c r="AN127" s="974" t="e">
        <f>IF($F127="","",$F127*chronic_consumption!AI127/1000/$C$3)</f>
        <v>#DIV/0!</v>
      </c>
      <c r="AO127" s="974" t="e">
        <f>IF($F127="","",$F127*chronic_consumption!AJ127/1000/$C$3)</f>
        <v>#DIV/0!</v>
      </c>
      <c r="AP127" s="974" t="e">
        <f>IF($F127="","",$F127*chronic_consumption!AK127/1000/$C$3)</f>
        <v>#DIV/0!</v>
      </c>
      <c r="AQ127" s="974" t="e">
        <f>IF($F127="","",$F127*chronic_consumption!AL127/1000/$C$3)</f>
        <v>#DIV/0!</v>
      </c>
      <c r="AR127" s="974" t="e">
        <f>IF($F127="","",$F127*chronic_consumption!AM127/1000/$C$3)</f>
        <v>#DIV/0!</v>
      </c>
      <c r="AS127" s="974" t="e">
        <f>IF($F127="","",$F127*chronic_consumption!AN127/1000/$C$3)</f>
        <v>#DIV/0!</v>
      </c>
      <c r="AT127" s="974" t="e">
        <f>IF($F127="","",$F127*chronic_consumption!AO127/1000/$C$3)</f>
        <v>#DIV/0!</v>
      </c>
      <c r="AU127" s="974"/>
      <c r="AV127" s="974" t="e">
        <f>IF($F127="","",$F127*chronic_consumption!AQ127/1000/$C$3)</f>
        <v>#DIV/0!</v>
      </c>
      <c r="AW127" s="974" t="e">
        <f>IF($F127="","",$F127*chronic_consumption!AR127/1000/$C$3)</f>
        <v>#DIV/0!</v>
      </c>
      <c r="AX127" s="974" t="e">
        <f>IF($F127="","",$F127*chronic_consumption!AS127/1000/$C$3)</f>
        <v>#DIV/0!</v>
      </c>
      <c r="AY127" s="974" t="e">
        <f>IF($F127="","",$F127*chronic_consumption!AT127/1000/$C$3)</f>
        <v>#DIV/0!</v>
      </c>
      <c r="AZ127" s="973" t="s">
        <v>19</v>
      </c>
      <c r="BA127" s="969" t="e">
        <f t="shared" si="11"/>
        <v>#DIV/0!</v>
      </c>
      <c r="BB127" s="970" t="e">
        <f t="shared" si="12"/>
        <v>#DIV/0!</v>
      </c>
      <c r="BC127" s="971" t="e">
        <f t="shared" ca="1" si="13"/>
        <v>#DIV/0!</v>
      </c>
      <c r="BD127" s="228">
        <f>input_values!Z127</f>
        <v>4</v>
      </c>
      <c r="BE127" s="152">
        <f>input_values!L127</f>
        <v>0</v>
      </c>
      <c r="BF127" s="972" t="str">
        <f t="shared" si="14"/>
        <v/>
      </c>
    </row>
    <row r="128" spans="1:58" ht="12" customHeight="1" outlineLevel="3" x14ac:dyDescent="0.2">
      <c r="A128" s="21">
        <v>4</v>
      </c>
      <c r="B128" s="23">
        <v>231020</v>
      </c>
      <c r="C128" s="23" t="s">
        <v>713</v>
      </c>
      <c r="D128" s="965">
        <f>Table22[[#This Row],[MRL individual commodity]]</f>
        <v>0</v>
      </c>
      <c r="E128" s="300" t="str">
        <f>Table22[[#This Row],[LOQ_label]]</f>
        <v/>
      </c>
      <c r="F128" s="966">
        <f>Table22[[#This Row],[Chronic RA input value]]</f>
        <v>0</v>
      </c>
      <c r="G128" s="304" t="str">
        <f>Table22[[#This Row],[Chronic RA label]]</f>
        <v/>
      </c>
      <c r="H128" s="304">
        <f>Table22[[#This Row],[GAP under assessment]]</f>
        <v>0</v>
      </c>
      <c r="I128" s="1123"/>
      <c r="J128" s="974" t="e">
        <f>IF($F128="","",$F128*chronic_consumption!$E128/1000/$C$3)</f>
        <v>#DIV/0!</v>
      </c>
      <c r="K128" s="974" t="e">
        <f>IF($F128="","",$F128*chronic_consumption!F128/1000/$C$3)</f>
        <v>#DIV/0!</v>
      </c>
      <c r="L128" s="974" t="e">
        <f>IF($F128="","",$F128*chronic_consumption!G128/1000/$C$3)</f>
        <v>#DIV/0!</v>
      </c>
      <c r="M128" s="974" t="e">
        <f>IF($F128="","",$F128*chronic_consumption!H128/1000/$C$3)</f>
        <v>#DIV/0!</v>
      </c>
      <c r="N128" s="974" t="e">
        <f>IF($F128="","",$F128*chronic_consumption!I128/1000/$C$3)</f>
        <v>#DIV/0!</v>
      </c>
      <c r="O128" s="974" t="e">
        <f>IF($F128="","",$F128*chronic_consumption!J128/1000/$C$3)</f>
        <v>#DIV/0!</v>
      </c>
      <c r="P128" s="974" t="e">
        <f>IF($F128="","",$F128*chronic_consumption!K128/1000/$C$3)</f>
        <v>#DIV/0!</v>
      </c>
      <c r="Q128" s="974" t="e">
        <f>IF($F128="","",$F128*chronic_consumption!L128/1000/$C$3)</f>
        <v>#DIV/0!</v>
      </c>
      <c r="R128" s="974" t="e">
        <f>IF($F128="","",$F128*chronic_consumption!M128/1000/$C$3)</f>
        <v>#DIV/0!</v>
      </c>
      <c r="S128" s="974" t="e">
        <f>IF($F128="","",$F128*chronic_consumption!N128/1000/$C$3)</f>
        <v>#DIV/0!</v>
      </c>
      <c r="T128" s="974" t="e">
        <f>IF($F128="","",$F128*chronic_consumption!O128/1000/$C$3)</f>
        <v>#DIV/0!</v>
      </c>
      <c r="U128" s="974" t="e">
        <f>IF($F128="","",$F128*chronic_consumption!P128/1000/$C$3)</f>
        <v>#DIV/0!</v>
      </c>
      <c r="V128" s="974" t="e">
        <f>IF($F128="","",$F128*chronic_consumption!Q128/1000/$C$3)</f>
        <v>#DIV/0!</v>
      </c>
      <c r="W128" s="974" t="e">
        <f>IF($F128="","",$F128*chronic_consumption!R128/1000/$C$3)</f>
        <v>#DIV/0!</v>
      </c>
      <c r="X128" s="974" t="e">
        <f>IF($F128="","",$F128*chronic_consumption!S128/1000/$C$3)</f>
        <v>#DIV/0!</v>
      </c>
      <c r="Y128" s="974" t="e">
        <f>IF($F128="","",$F128*chronic_consumption!T128/1000/$C$3)</f>
        <v>#DIV/0!</v>
      </c>
      <c r="Z128" s="974" t="e">
        <f>IF($F128="","",$F128*chronic_consumption!U128/1000/$C$3)</f>
        <v>#DIV/0!</v>
      </c>
      <c r="AA128" s="974" t="e">
        <f>IF($F128="","",$F128*chronic_consumption!V128/1000/$C$3)</f>
        <v>#DIV/0!</v>
      </c>
      <c r="AB128" s="974" t="e">
        <f>IF($F128="","",$F128*chronic_consumption!W128/1000/$C$3)</f>
        <v>#DIV/0!</v>
      </c>
      <c r="AC128" s="974" t="e">
        <f>IF($F128="","",$F128*chronic_consumption!X128/1000/$C$3)</f>
        <v>#DIV/0!</v>
      </c>
      <c r="AD128" s="974" t="e">
        <f>IF($F128="","",$F128*chronic_consumption!Y128/1000/$C$3)</f>
        <v>#DIV/0!</v>
      </c>
      <c r="AE128" s="974" t="e">
        <f>IF($F128="","",$F128*chronic_consumption!Z128/1000/$C$3)</f>
        <v>#DIV/0!</v>
      </c>
      <c r="AF128" s="974" t="e">
        <f>IF($F128="","",$F128*chronic_consumption!AA128/1000/$C$3)</f>
        <v>#DIV/0!</v>
      </c>
      <c r="AG128" s="974" t="e">
        <f>IF($F128="","",$F128*chronic_consumption!AB128/1000/$C$3)</f>
        <v>#DIV/0!</v>
      </c>
      <c r="AH128" s="974" t="e">
        <f>IF($F128="","",$F128*chronic_consumption!AC128/1000/$C$3)</f>
        <v>#DIV/0!</v>
      </c>
      <c r="AI128" s="974" t="e">
        <f>IF($F128="","",$F128*chronic_consumption!AD128/1000/$C$3)</f>
        <v>#DIV/0!</v>
      </c>
      <c r="AJ128" s="974" t="e">
        <f>IF($F128="","",$F128*chronic_consumption!AE128/1000/$C$3)</f>
        <v>#DIV/0!</v>
      </c>
      <c r="AK128" s="974" t="e">
        <f>IF($F128="","",$F128*chronic_consumption!AF128/1000/$C$3)</f>
        <v>#DIV/0!</v>
      </c>
      <c r="AL128" s="974" t="e">
        <f>IF($F128="","",$F128*chronic_consumption!AG128/1000/$C$3)</f>
        <v>#DIV/0!</v>
      </c>
      <c r="AM128" s="974" t="e">
        <f>IF($F128="","",$F128*chronic_consumption!AH128/1000/$C$3)</f>
        <v>#DIV/0!</v>
      </c>
      <c r="AN128" s="974" t="e">
        <f>IF($F128="","",$F128*chronic_consumption!AI128/1000/$C$3)</f>
        <v>#DIV/0!</v>
      </c>
      <c r="AO128" s="974" t="e">
        <f>IF($F128="","",$F128*chronic_consumption!AJ128/1000/$C$3)</f>
        <v>#DIV/0!</v>
      </c>
      <c r="AP128" s="974" t="e">
        <f>IF($F128="","",$F128*chronic_consumption!AK128/1000/$C$3)</f>
        <v>#DIV/0!</v>
      </c>
      <c r="AQ128" s="974" t="e">
        <f>IF($F128="","",$F128*chronic_consumption!AL128/1000/$C$3)</f>
        <v>#DIV/0!</v>
      </c>
      <c r="AR128" s="974" t="e">
        <f>IF($F128="","",$F128*chronic_consumption!AM128/1000/$C$3)</f>
        <v>#DIV/0!</v>
      </c>
      <c r="AS128" s="974" t="e">
        <f>IF($F128="","",$F128*chronic_consumption!AN128/1000/$C$3)</f>
        <v>#DIV/0!</v>
      </c>
      <c r="AT128" s="974" t="e">
        <f>IF($F128="","",$F128*chronic_consumption!AO128/1000/$C$3)</f>
        <v>#DIV/0!</v>
      </c>
      <c r="AU128" s="974"/>
      <c r="AV128" s="974" t="e">
        <f>IF($F128="","",$F128*chronic_consumption!AQ128/1000/$C$3)</f>
        <v>#DIV/0!</v>
      </c>
      <c r="AW128" s="974" t="e">
        <f>IF($F128="","",$F128*chronic_consumption!AR128/1000/$C$3)</f>
        <v>#DIV/0!</v>
      </c>
      <c r="AX128" s="974" t="e">
        <f>IF($F128="","",$F128*chronic_consumption!AS128/1000/$C$3)</f>
        <v>#DIV/0!</v>
      </c>
      <c r="AY128" s="974" t="e">
        <f>IF($F128="","",$F128*chronic_consumption!AT128/1000/$C$3)</f>
        <v>#DIV/0!</v>
      </c>
      <c r="AZ128" s="973" t="s">
        <v>19</v>
      </c>
      <c r="BA128" s="969" t="e">
        <f t="shared" si="11"/>
        <v>#DIV/0!</v>
      </c>
      <c r="BB128" s="970" t="e">
        <f t="shared" si="12"/>
        <v>#DIV/0!</v>
      </c>
      <c r="BC128" s="971" t="e">
        <f t="shared" ca="1" si="13"/>
        <v>#DIV/0!</v>
      </c>
      <c r="BD128" s="228">
        <f>input_values!Z128</f>
        <v>4</v>
      </c>
      <c r="BE128" s="152">
        <f>input_values!L128</f>
        <v>0</v>
      </c>
      <c r="BF128" s="972" t="str">
        <f t="shared" si="14"/>
        <v/>
      </c>
    </row>
    <row r="129" spans="1:58" ht="12" customHeight="1" outlineLevel="3" x14ac:dyDescent="0.2">
      <c r="A129" s="21">
        <v>4</v>
      </c>
      <c r="B129" s="23">
        <v>231030</v>
      </c>
      <c r="C129" s="23" t="s">
        <v>1055</v>
      </c>
      <c r="D129" s="965">
        <f>Table22[[#This Row],[MRL individual commodity]]</f>
        <v>0</v>
      </c>
      <c r="E129" s="300" t="str">
        <f>Table22[[#This Row],[LOQ_label]]</f>
        <v/>
      </c>
      <c r="F129" s="966">
        <f>Table22[[#This Row],[Chronic RA input value]]</f>
        <v>0</v>
      </c>
      <c r="G129" s="304" t="str">
        <f>Table22[[#This Row],[Chronic RA label]]</f>
        <v/>
      </c>
      <c r="H129" s="304">
        <f>Table22[[#This Row],[GAP under assessment]]</f>
        <v>0</v>
      </c>
      <c r="I129" s="1123"/>
      <c r="J129" s="974" t="e">
        <f>IF($F129="","",$F129*chronic_consumption!$E129/1000/$C$3)</f>
        <v>#DIV/0!</v>
      </c>
      <c r="K129" s="974" t="e">
        <f>IF($F129="","",$F129*chronic_consumption!F129/1000/$C$3)</f>
        <v>#DIV/0!</v>
      </c>
      <c r="L129" s="974" t="e">
        <f>IF($F129="","",$F129*chronic_consumption!G129/1000/$C$3)</f>
        <v>#DIV/0!</v>
      </c>
      <c r="M129" s="974" t="e">
        <f>IF($F129="","",$F129*chronic_consumption!H129/1000/$C$3)</f>
        <v>#DIV/0!</v>
      </c>
      <c r="N129" s="974" t="e">
        <f>IF($F129="","",$F129*chronic_consumption!I129/1000/$C$3)</f>
        <v>#DIV/0!</v>
      </c>
      <c r="O129" s="974" t="e">
        <f>IF($F129="","",$F129*chronic_consumption!J129/1000/$C$3)</f>
        <v>#DIV/0!</v>
      </c>
      <c r="P129" s="974" t="e">
        <f>IF($F129="","",$F129*chronic_consumption!K129/1000/$C$3)</f>
        <v>#DIV/0!</v>
      </c>
      <c r="Q129" s="974" t="e">
        <f>IF($F129="","",$F129*chronic_consumption!L129/1000/$C$3)</f>
        <v>#DIV/0!</v>
      </c>
      <c r="R129" s="974" t="e">
        <f>IF($F129="","",$F129*chronic_consumption!M129/1000/$C$3)</f>
        <v>#DIV/0!</v>
      </c>
      <c r="S129" s="974" t="e">
        <f>IF($F129="","",$F129*chronic_consumption!N129/1000/$C$3)</f>
        <v>#DIV/0!</v>
      </c>
      <c r="T129" s="974" t="e">
        <f>IF($F129="","",$F129*chronic_consumption!O129/1000/$C$3)</f>
        <v>#DIV/0!</v>
      </c>
      <c r="U129" s="974" t="e">
        <f>IF($F129="","",$F129*chronic_consumption!P129/1000/$C$3)</f>
        <v>#DIV/0!</v>
      </c>
      <c r="V129" s="974" t="e">
        <f>IF($F129="","",$F129*chronic_consumption!Q129/1000/$C$3)</f>
        <v>#DIV/0!</v>
      </c>
      <c r="W129" s="974" t="e">
        <f>IF($F129="","",$F129*chronic_consumption!R129/1000/$C$3)</f>
        <v>#DIV/0!</v>
      </c>
      <c r="X129" s="974" t="e">
        <f>IF($F129="","",$F129*chronic_consumption!S129/1000/$C$3)</f>
        <v>#DIV/0!</v>
      </c>
      <c r="Y129" s="974" t="e">
        <f>IF($F129="","",$F129*chronic_consumption!T129/1000/$C$3)</f>
        <v>#DIV/0!</v>
      </c>
      <c r="Z129" s="974" t="e">
        <f>IF($F129="","",$F129*chronic_consumption!U129/1000/$C$3)</f>
        <v>#DIV/0!</v>
      </c>
      <c r="AA129" s="974" t="e">
        <f>IF($F129="","",$F129*chronic_consumption!V129/1000/$C$3)</f>
        <v>#DIV/0!</v>
      </c>
      <c r="AB129" s="974" t="e">
        <f>IF($F129="","",$F129*chronic_consumption!W129/1000/$C$3)</f>
        <v>#DIV/0!</v>
      </c>
      <c r="AC129" s="974" t="e">
        <f>IF($F129="","",$F129*chronic_consumption!X129/1000/$C$3)</f>
        <v>#DIV/0!</v>
      </c>
      <c r="AD129" s="974" t="e">
        <f>IF($F129="","",$F129*chronic_consumption!Y129/1000/$C$3)</f>
        <v>#DIV/0!</v>
      </c>
      <c r="AE129" s="974" t="e">
        <f>IF($F129="","",$F129*chronic_consumption!Z129/1000/$C$3)</f>
        <v>#DIV/0!</v>
      </c>
      <c r="AF129" s="974" t="e">
        <f>IF($F129="","",$F129*chronic_consumption!AA129/1000/$C$3)</f>
        <v>#DIV/0!</v>
      </c>
      <c r="AG129" s="974" t="e">
        <f>IF($F129="","",$F129*chronic_consumption!AB129/1000/$C$3)</f>
        <v>#DIV/0!</v>
      </c>
      <c r="AH129" s="974" t="e">
        <f>IF($F129="","",$F129*chronic_consumption!AC129/1000/$C$3)</f>
        <v>#DIV/0!</v>
      </c>
      <c r="AI129" s="974" t="e">
        <f>IF($F129="","",$F129*chronic_consumption!AD129/1000/$C$3)</f>
        <v>#DIV/0!</v>
      </c>
      <c r="AJ129" s="974" t="e">
        <f>IF($F129="","",$F129*chronic_consumption!AE129/1000/$C$3)</f>
        <v>#DIV/0!</v>
      </c>
      <c r="AK129" s="974" t="e">
        <f>IF($F129="","",$F129*chronic_consumption!AF129/1000/$C$3)</f>
        <v>#DIV/0!</v>
      </c>
      <c r="AL129" s="974" t="e">
        <f>IF($F129="","",$F129*chronic_consumption!AG129/1000/$C$3)</f>
        <v>#DIV/0!</v>
      </c>
      <c r="AM129" s="974" t="e">
        <f>IF($F129="","",$F129*chronic_consumption!AH129/1000/$C$3)</f>
        <v>#DIV/0!</v>
      </c>
      <c r="AN129" s="974" t="e">
        <f>IF($F129="","",$F129*chronic_consumption!AI129/1000/$C$3)</f>
        <v>#DIV/0!</v>
      </c>
      <c r="AO129" s="974" t="e">
        <f>IF($F129="","",$F129*chronic_consumption!AJ129/1000/$C$3)</f>
        <v>#DIV/0!</v>
      </c>
      <c r="AP129" s="974" t="e">
        <f>IF($F129="","",$F129*chronic_consumption!AK129/1000/$C$3)</f>
        <v>#DIV/0!</v>
      </c>
      <c r="AQ129" s="974" t="e">
        <f>IF($F129="","",$F129*chronic_consumption!AL129/1000/$C$3)</f>
        <v>#DIV/0!</v>
      </c>
      <c r="AR129" s="974" t="e">
        <f>IF($F129="","",$F129*chronic_consumption!AM129/1000/$C$3)</f>
        <v>#DIV/0!</v>
      </c>
      <c r="AS129" s="974" t="e">
        <f>IF($F129="","",$F129*chronic_consumption!AN129/1000/$C$3)</f>
        <v>#DIV/0!</v>
      </c>
      <c r="AT129" s="974" t="e">
        <f>IF($F129="","",$F129*chronic_consumption!AO129/1000/$C$3)</f>
        <v>#DIV/0!</v>
      </c>
      <c r="AU129" s="974"/>
      <c r="AV129" s="974" t="e">
        <f>IF($F129="","",$F129*chronic_consumption!AQ129/1000/$C$3)</f>
        <v>#DIV/0!</v>
      </c>
      <c r="AW129" s="974" t="e">
        <f>IF($F129="","",$F129*chronic_consumption!AR129/1000/$C$3)</f>
        <v>#DIV/0!</v>
      </c>
      <c r="AX129" s="974" t="e">
        <f>IF($F129="","",$F129*chronic_consumption!AS129/1000/$C$3)</f>
        <v>#DIV/0!</v>
      </c>
      <c r="AY129" s="974" t="e">
        <f>IF($F129="","",$F129*chronic_consumption!AT129/1000/$C$3)</f>
        <v>#DIV/0!</v>
      </c>
      <c r="AZ129" s="973" t="s">
        <v>19</v>
      </c>
      <c r="BA129" s="969" t="e">
        <f t="shared" si="11"/>
        <v>#DIV/0!</v>
      </c>
      <c r="BB129" s="970" t="e">
        <f t="shared" si="12"/>
        <v>#DIV/0!</v>
      </c>
      <c r="BC129" s="971" t="e">
        <f t="shared" ca="1" si="13"/>
        <v>#DIV/0!</v>
      </c>
      <c r="BD129" s="228">
        <f>input_values!Z129</f>
        <v>4</v>
      </c>
      <c r="BE129" s="152">
        <f>input_values!L129</f>
        <v>0</v>
      </c>
      <c r="BF129" s="972" t="str">
        <f t="shared" si="14"/>
        <v/>
      </c>
    </row>
    <row r="130" spans="1:58" ht="12" customHeight="1" outlineLevel="3" x14ac:dyDescent="0.2">
      <c r="A130" s="21">
        <v>4</v>
      </c>
      <c r="B130" s="23">
        <v>231040</v>
      </c>
      <c r="C130" s="23" t="s">
        <v>714</v>
      </c>
      <c r="D130" s="965">
        <f>Table22[[#This Row],[MRL individual commodity]]</f>
        <v>0</v>
      </c>
      <c r="E130" s="300" t="str">
        <f>Table22[[#This Row],[LOQ_label]]</f>
        <v/>
      </c>
      <c r="F130" s="966">
        <f>Table22[[#This Row],[Chronic RA input value]]</f>
        <v>0</v>
      </c>
      <c r="G130" s="304" t="str">
        <f>Table22[[#This Row],[Chronic RA label]]</f>
        <v/>
      </c>
      <c r="H130" s="304">
        <f>Table22[[#This Row],[GAP under assessment]]</f>
        <v>0</v>
      </c>
      <c r="I130" s="1123"/>
      <c r="J130" s="974" t="e">
        <f>IF($F130="","",$F130*chronic_consumption!$E130/1000/$C$3)</f>
        <v>#DIV/0!</v>
      </c>
      <c r="K130" s="974" t="e">
        <f>IF($F130="","",$F130*chronic_consumption!F130/1000/$C$3)</f>
        <v>#DIV/0!</v>
      </c>
      <c r="L130" s="974" t="e">
        <f>IF($F130="","",$F130*chronic_consumption!G130/1000/$C$3)</f>
        <v>#DIV/0!</v>
      </c>
      <c r="M130" s="974" t="e">
        <f>IF($F130="","",$F130*chronic_consumption!H130/1000/$C$3)</f>
        <v>#DIV/0!</v>
      </c>
      <c r="N130" s="974" t="e">
        <f>IF($F130="","",$F130*chronic_consumption!I130/1000/$C$3)</f>
        <v>#DIV/0!</v>
      </c>
      <c r="O130" s="974" t="e">
        <f>IF($F130="","",$F130*chronic_consumption!J130/1000/$C$3)</f>
        <v>#DIV/0!</v>
      </c>
      <c r="P130" s="974" t="e">
        <f>IF($F130="","",$F130*chronic_consumption!K130/1000/$C$3)</f>
        <v>#DIV/0!</v>
      </c>
      <c r="Q130" s="974" t="e">
        <f>IF($F130="","",$F130*chronic_consumption!L130/1000/$C$3)</f>
        <v>#DIV/0!</v>
      </c>
      <c r="R130" s="974" t="e">
        <f>IF($F130="","",$F130*chronic_consumption!M130/1000/$C$3)</f>
        <v>#DIV/0!</v>
      </c>
      <c r="S130" s="974" t="e">
        <f>IF($F130="","",$F130*chronic_consumption!N130/1000/$C$3)</f>
        <v>#DIV/0!</v>
      </c>
      <c r="T130" s="974" t="e">
        <f>IF($F130="","",$F130*chronic_consumption!O130/1000/$C$3)</f>
        <v>#DIV/0!</v>
      </c>
      <c r="U130" s="974" t="e">
        <f>IF($F130="","",$F130*chronic_consumption!P130/1000/$C$3)</f>
        <v>#DIV/0!</v>
      </c>
      <c r="V130" s="974" t="e">
        <f>IF($F130="","",$F130*chronic_consumption!Q130/1000/$C$3)</f>
        <v>#DIV/0!</v>
      </c>
      <c r="W130" s="974" t="e">
        <f>IF($F130="","",$F130*chronic_consumption!R130/1000/$C$3)</f>
        <v>#DIV/0!</v>
      </c>
      <c r="X130" s="974" t="e">
        <f>IF($F130="","",$F130*chronic_consumption!S130/1000/$C$3)</f>
        <v>#DIV/0!</v>
      </c>
      <c r="Y130" s="974" t="e">
        <f>IF($F130="","",$F130*chronic_consumption!T130/1000/$C$3)</f>
        <v>#DIV/0!</v>
      </c>
      <c r="Z130" s="974" t="e">
        <f>IF($F130="","",$F130*chronic_consumption!U130/1000/$C$3)</f>
        <v>#DIV/0!</v>
      </c>
      <c r="AA130" s="974" t="e">
        <f>IF($F130="","",$F130*chronic_consumption!V130/1000/$C$3)</f>
        <v>#DIV/0!</v>
      </c>
      <c r="AB130" s="974" t="e">
        <f>IF($F130="","",$F130*chronic_consumption!W130/1000/$C$3)</f>
        <v>#DIV/0!</v>
      </c>
      <c r="AC130" s="974" t="e">
        <f>IF($F130="","",$F130*chronic_consumption!X130/1000/$C$3)</f>
        <v>#DIV/0!</v>
      </c>
      <c r="AD130" s="974" t="e">
        <f>IF($F130="","",$F130*chronic_consumption!Y130/1000/$C$3)</f>
        <v>#DIV/0!</v>
      </c>
      <c r="AE130" s="974" t="e">
        <f>IF($F130="","",$F130*chronic_consumption!Z130/1000/$C$3)</f>
        <v>#DIV/0!</v>
      </c>
      <c r="AF130" s="974" t="e">
        <f>IF($F130="","",$F130*chronic_consumption!AA130/1000/$C$3)</f>
        <v>#DIV/0!</v>
      </c>
      <c r="AG130" s="974" t="e">
        <f>IF($F130="","",$F130*chronic_consumption!AB130/1000/$C$3)</f>
        <v>#DIV/0!</v>
      </c>
      <c r="AH130" s="974" t="e">
        <f>IF($F130="","",$F130*chronic_consumption!AC130/1000/$C$3)</f>
        <v>#DIV/0!</v>
      </c>
      <c r="AI130" s="974" t="e">
        <f>IF($F130="","",$F130*chronic_consumption!AD130/1000/$C$3)</f>
        <v>#DIV/0!</v>
      </c>
      <c r="AJ130" s="974" t="e">
        <f>IF($F130="","",$F130*chronic_consumption!AE130/1000/$C$3)</f>
        <v>#DIV/0!</v>
      </c>
      <c r="AK130" s="974" t="e">
        <f>IF($F130="","",$F130*chronic_consumption!AF130/1000/$C$3)</f>
        <v>#DIV/0!</v>
      </c>
      <c r="AL130" s="974" t="e">
        <f>IF($F130="","",$F130*chronic_consumption!AG130/1000/$C$3)</f>
        <v>#DIV/0!</v>
      </c>
      <c r="AM130" s="974" t="e">
        <f>IF($F130="","",$F130*chronic_consumption!AH130/1000/$C$3)</f>
        <v>#DIV/0!</v>
      </c>
      <c r="AN130" s="974" t="e">
        <f>IF($F130="","",$F130*chronic_consumption!AI130/1000/$C$3)</f>
        <v>#DIV/0!</v>
      </c>
      <c r="AO130" s="974" t="e">
        <f>IF($F130="","",$F130*chronic_consumption!AJ130/1000/$C$3)</f>
        <v>#DIV/0!</v>
      </c>
      <c r="AP130" s="974" t="e">
        <f>IF($F130="","",$F130*chronic_consumption!AK130/1000/$C$3)</f>
        <v>#DIV/0!</v>
      </c>
      <c r="AQ130" s="974" t="e">
        <f>IF($F130="","",$F130*chronic_consumption!AL130/1000/$C$3)</f>
        <v>#DIV/0!</v>
      </c>
      <c r="AR130" s="974" t="e">
        <f>IF($F130="","",$F130*chronic_consumption!AM130/1000/$C$3)</f>
        <v>#DIV/0!</v>
      </c>
      <c r="AS130" s="974" t="e">
        <f>IF($F130="","",$F130*chronic_consumption!AN130/1000/$C$3)</f>
        <v>#DIV/0!</v>
      </c>
      <c r="AT130" s="974" t="e">
        <f>IF($F130="","",$F130*chronic_consumption!AO130/1000/$C$3)</f>
        <v>#DIV/0!</v>
      </c>
      <c r="AU130" s="974"/>
      <c r="AV130" s="974" t="e">
        <f>IF($F130="","",$F130*chronic_consumption!AQ130/1000/$C$3)</f>
        <v>#DIV/0!</v>
      </c>
      <c r="AW130" s="974" t="e">
        <f>IF($F130="","",$F130*chronic_consumption!AR130/1000/$C$3)</f>
        <v>#DIV/0!</v>
      </c>
      <c r="AX130" s="974" t="e">
        <f>IF($F130="","",$F130*chronic_consumption!AS130/1000/$C$3)</f>
        <v>#DIV/0!</v>
      </c>
      <c r="AY130" s="974" t="e">
        <f>IF($F130="","",$F130*chronic_consumption!AT130/1000/$C$3)</f>
        <v>#DIV/0!</v>
      </c>
      <c r="AZ130" s="973" t="s">
        <v>19</v>
      </c>
      <c r="BA130" s="969" t="e">
        <f t="shared" si="11"/>
        <v>#DIV/0!</v>
      </c>
      <c r="BB130" s="970" t="e">
        <f t="shared" si="12"/>
        <v>#DIV/0!</v>
      </c>
      <c r="BC130" s="971" t="e">
        <f t="shared" ca="1" si="13"/>
        <v>#DIV/0!</v>
      </c>
      <c r="BD130" s="228">
        <f>input_values!Z130</f>
        <v>4</v>
      </c>
      <c r="BE130" s="152">
        <f>input_values!L130</f>
        <v>0</v>
      </c>
      <c r="BF130" s="972" t="str">
        <f t="shared" si="14"/>
        <v/>
      </c>
    </row>
    <row r="131" spans="1:58" ht="12" customHeight="1" outlineLevel="3" x14ac:dyDescent="0.2">
      <c r="A131" s="21">
        <v>4</v>
      </c>
      <c r="B131" s="23">
        <v>231990</v>
      </c>
      <c r="C131" s="23" t="s">
        <v>166</v>
      </c>
      <c r="D131" s="965">
        <f>Table22[[#This Row],[MRL individual commodity]]</f>
        <v>0</v>
      </c>
      <c r="E131" s="300" t="str">
        <f>Table22[[#This Row],[LOQ_label]]</f>
        <v/>
      </c>
      <c r="F131" s="966">
        <f>Table22[[#This Row],[Chronic RA input value]]</f>
        <v>0</v>
      </c>
      <c r="G131" s="304" t="str">
        <f>Table22[[#This Row],[Chronic RA label]]</f>
        <v/>
      </c>
      <c r="H131" s="304">
        <f>Table22[[#This Row],[GAP under assessment]]</f>
        <v>0</v>
      </c>
      <c r="I131" s="1123"/>
      <c r="J131" s="974" t="e">
        <f>IF($F131="","",$F131*chronic_consumption!$E131/1000/$C$3)</f>
        <v>#DIV/0!</v>
      </c>
      <c r="K131" s="974" t="e">
        <f>IF($F131="","",$F131*chronic_consumption!F131/1000/$C$3)</f>
        <v>#DIV/0!</v>
      </c>
      <c r="L131" s="974" t="e">
        <f>IF($F131="","",$F131*chronic_consumption!G131/1000/$C$3)</f>
        <v>#DIV/0!</v>
      </c>
      <c r="M131" s="974" t="e">
        <f>IF($F131="","",$F131*chronic_consumption!H131/1000/$C$3)</f>
        <v>#DIV/0!</v>
      </c>
      <c r="N131" s="974" t="e">
        <f>IF($F131="","",$F131*chronic_consumption!I131/1000/$C$3)</f>
        <v>#DIV/0!</v>
      </c>
      <c r="O131" s="974" t="e">
        <f>IF($F131="","",$F131*chronic_consumption!J131/1000/$C$3)</f>
        <v>#DIV/0!</v>
      </c>
      <c r="P131" s="974" t="e">
        <f>IF($F131="","",$F131*chronic_consumption!K131/1000/$C$3)</f>
        <v>#DIV/0!</v>
      </c>
      <c r="Q131" s="974" t="e">
        <f>IF($F131="","",$F131*chronic_consumption!L131/1000/$C$3)</f>
        <v>#DIV/0!</v>
      </c>
      <c r="R131" s="974" t="e">
        <f>IF($F131="","",$F131*chronic_consumption!M131/1000/$C$3)</f>
        <v>#DIV/0!</v>
      </c>
      <c r="S131" s="974" t="e">
        <f>IF($F131="","",$F131*chronic_consumption!N131/1000/$C$3)</f>
        <v>#DIV/0!</v>
      </c>
      <c r="T131" s="974" t="e">
        <f>IF($F131="","",$F131*chronic_consumption!O131/1000/$C$3)</f>
        <v>#DIV/0!</v>
      </c>
      <c r="U131" s="974" t="e">
        <f>IF($F131="","",$F131*chronic_consumption!P131/1000/$C$3)</f>
        <v>#DIV/0!</v>
      </c>
      <c r="V131" s="974" t="e">
        <f>IF($F131="","",$F131*chronic_consumption!Q131/1000/$C$3)</f>
        <v>#DIV/0!</v>
      </c>
      <c r="W131" s="974" t="e">
        <f>IF($F131="","",$F131*chronic_consumption!R131/1000/$C$3)</f>
        <v>#DIV/0!</v>
      </c>
      <c r="X131" s="974" t="e">
        <f>IF($F131="","",$F131*chronic_consumption!S131/1000/$C$3)</f>
        <v>#DIV/0!</v>
      </c>
      <c r="Y131" s="974" t="e">
        <f>IF($F131="","",$F131*chronic_consumption!T131/1000/$C$3)</f>
        <v>#DIV/0!</v>
      </c>
      <c r="Z131" s="974" t="e">
        <f>IF($F131="","",$F131*chronic_consumption!U131/1000/$C$3)</f>
        <v>#DIV/0!</v>
      </c>
      <c r="AA131" s="974" t="e">
        <f>IF($F131="","",$F131*chronic_consumption!V131/1000/$C$3)</f>
        <v>#DIV/0!</v>
      </c>
      <c r="AB131" s="974" t="e">
        <f>IF($F131="","",$F131*chronic_consumption!W131/1000/$C$3)</f>
        <v>#DIV/0!</v>
      </c>
      <c r="AC131" s="974" t="e">
        <f>IF($F131="","",$F131*chronic_consumption!X131/1000/$C$3)</f>
        <v>#DIV/0!</v>
      </c>
      <c r="AD131" s="974" t="e">
        <f>IF($F131="","",$F131*chronic_consumption!Y131/1000/$C$3)</f>
        <v>#DIV/0!</v>
      </c>
      <c r="AE131" s="974" t="e">
        <f>IF($F131="","",$F131*chronic_consumption!Z131/1000/$C$3)</f>
        <v>#DIV/0!</v>
      </c>
      <c r="AF131" s="974" t="e">
        <f>IF($F131="","",$F131*chronic_consumption!AA131/1000/$C$3)</f>
        <v>#DIV/0!</v>
      </c>
      <c r="AG131" s="974" t="e">
        <f>IF($F131="","",$F131*chronic_consumption!AB131/1000/$C$3)</f>
        <v>#DIV/0!</v>
      </c>
      <c r="AH131" s="974" t="e">
        <f>IF($F131="","",$F131*chronic_consumption!AC131/1000/$C$3)</f>
        <v>#DIV/0!</v>
      </c>
      <c r="AI131" s="974" t="e">
        <f>IF($F131="","",$F131*chronic_consumption!AD131/1000/$C$3)</f>
        <v>#DIV/0!</v>
      </c>
      <c r="AJ131" s="974" t="e">
        <f>IF($F131="","",$F131*chronic_consumption!AE131/1000/$C$3)</f>
        <v>#DIV/0!</v>
      </c>
      <c r="AK131" s="974" t="e">
        <f>IF($F131="","",$F131*chronic_consumption!AF131/1000/$C$3)</f>
        <v>#DIV/0!</v>
      </c>
      <c r="AL131" s="974" t="e">
        <f>IF($F131="","",$F131*chronic_consumption!AG131/1000/$C$3)</f>
        <v>#DIV/0!</v>
      </c>
      <c r="AM131" s="974" t="e">
        <f>IF($F131="","",$F131*chronic_consumption!AH131/1000/$C$3)</f>
        <v>#DIV/0!</v>
      </c>
      <c r="AN131" s="974" t="e">
        <f>IF($F131="","",$F131*chronic_consumption!AI131/1000/$C$3)</f>
        <v>#DIV/0!</v>
      </c>
      <c r="AO131" s="974" t="e">
        <f>IF($F131="","",$F131*chronic_consumption!AJ131/1000/$C$3)</f>
        <v>#DIV/0!</v>
      </c>
      <c r="AP131" s="974" t="e">
        <f>IF($F131="","",$F131*chronic_consumption!AK131/1000/$C$3)</f>
        <v>#DIV/0!</v>
      </c>
      <c r="AQ131" s="974" t="e">
        <f>IF($F131="","",$F131*chronic_consumption!AL131/1000/$C$3)</f>
        <v>#DIV/0!</v>
      </c>
      <c r="AR131" s="974" t="e">
        <f>IF($F131="","",$F131*chronic_consumption!AM131/1000/$C$3)</f>
        <v>#DIV/0!</v>
      </c>
      <c r="AS131" s="974" t="e">
        <f>IF($F131="","",$F131*chronic_consumption!AN131/1000/$C$3)</f>
        <v>#DIV/0!</v>
      </c>
      <c r="AT131" s="974" t="e">
        <f>IF($F131="","",$F131*chronic_consumption!AO131/1000/$C$3)</f>
        <v>#DIV/0!</v>
      </c>
      <c r="AU131" s="974"/>
      <c r="AV131" s="974" t="e">
        <f>IF($F131="","",$F131*chronic_consumption!AQ131/1000/$C$3)</f>
        <v>#DIV/0!</v>
      </c>
      <c r="AW131" s="974" t="e">
        <f>IF($F131="","",$F131*chronic_consumption!AR131/1000/$C$3)</f>
        <v>#DIV/0!</v>
      </c>
      <c r="AX131" s="974" t="e">
        <f>IF($F131="","",$F131*chronic_consumption!AS131/1000/$C$3)</f>
        <v>#DIV/0!</v>
      </c>
      <c r="AY131" s="974" t="e">
        <f>IF($F131="","",$F131*chronic_consumption!AT131/1000/$C$3)</f>
        <v>#DIV/0!</v>
      </c>
      <c r="AZ131" s="973" t="s">
        <v>19</v>
      </c>
      <c r="BA131" s="969" t="e">
        <f t="shared" si="11"/>
        <v>#DIV/0!</v>
      </c>
      <c r="BB131" s="970" t="e">
        <f t="shared" si="12"/>
        <v>#DIV/0!</v>
      </c>
      <c r="BC131" s="971" t="e">
        <f t="shared" ca="1" si="13"/>
        <v>#DIV/0!</v>
      </c>
      <c r="BD131" s="228">
        <f>input_values!Z131</f>
        <v>4</v>
      </c>
      <c r="BE131" s="152">
        <f>input_values!L131</f>
        <v>0</v>
      </c>
      <c r="BF131" s="972" t="str">
        <f t="shared" si="14"/>
        <v/>
      </c>
    </row>
    <row r="132" spans="1:58" ht="12" customHeight="1" outlineLevel="2" x14ac:dyDescent="0.2">
      <c r="A132" s="341">
        <v>3</v>
      </c>
      <c r="B132" s="3">
        <v>232000</v>
      </c>
      <c r="C132" s="3" t="s">
        <v>227</v>
      </c>
      <c r="D132" s="965">
        <f>Table22[[#This Row],[MRL individual commodity]]</f>
        <v>0</v>
      </c>
      <c r="E132" s="300">
        <f>Table22[[#This Row],[LOQ_label]]</f>
        <v>0</v>
      </c>
      <c r="F132" s="966">
        <f>Table22[[#This Row],[Chronic RA input value]]</f>
        <v>0</v>
      </c>
      <c r="G132" s="304">
        <f>Table22[[#This Row],[Chronic RA label]]</f>
        <v>0</v>
      </c>
      <c r="H132" s="304">
        <f>Table22[[#This Row],[GAP under assessment]]</f>
        <v>0</v>
      </c>
      <c r="I132" s="1123"/>
      <c r="J132" s="967" t="e">
        <f>IF($F132="","",$F132*chronic_consumption!$E132/1000/$C$3)</f>
        <v>#DIV/0!</v>
      </c>
      <c r="K132" s="967" t="e">
        <f>IF($F132="","",$F132*chronic_consumption!F132/1000/$C$3)</f>
        <v>#DIV/0!</v>
      </c>
      <c r="L132" s="967" t="e">
        <f>IF($F132="","",$F132*chronic_consumption!G132/1000/$C$3)</f>
        <v>#DIV/0!</v>
      </c>
      <c r="M132" s="967" t="e">
        <f>IF($F132="","",$F132*chronic_consumption!H132/1000/$C$3)</f>
        <v>#DIV/0!</v>
      </c>
      <c r="N132" s="967" t="e">
        <f>IF($F132="","",$F132*chronic_consumption!I132/1000/$C$3)</f>
        <v>#DIV/0!</v>
      </c>
      <c r="O132" s="967" t="e">
        <f>IF($F132="","",$F132*chronic_consumption!J132/1000/$C$3)</f>
        <v>#DIV/0!</v>
      </c>
      <c r="P132" s="967" t="e">
        <f>IF($F132="","",$F132*chronic_consumption!K132/1000/$C$3)</f>
        <v>#DIV/0!</v>
      </c>
      <c r="Q132" s="967" t="e">
        <f>IF($F132="","",$F132*chronic_consumption!L132/1000/$C$3)</f>
        <v>#DIV/0!</v>
      </c>
      <c r="R132" s="967" t="e">
        <f>IF($F132="","",$F132*chronic_consumption!M132/1000/$C$3)</f>
        <v>#DIV/0!</v>
      </c>
      <c r="S132" s="967" t="e">
        <f>IF($F132="","",$F132*chronic_consumption!N132/1000/$C$3)</f>
        <v>#DIV/0!</v>
      </c>
      <c r="T132" s="967" t="e">
        <f>IF($F132="","",$F132*chronic_consumption!O132/1000/$C$3)</f>
        <v>#DIV/0!</v>
      </c>
      <c r="U132" s="967" t="e">
        <f>IF($F132="","",$F132*chronic_consumption!P132/1000/$C$3)</f>
        <v>#DIV/0!</v>
      </c>
      <c r="V132" s="967" t="e">
        <f>IF($F132="","",$F132*chronic_consumption!Q132/1000/$C$3)</f>
        <v>#DIV/0!</v>
      </c>
      <c r="W132" s="967" t="e">
        <f>IF($F132="","",$F132*chronic_consumption!R132/1000/$C$3)</f>
        <v>#DIV/0!</v>
      </c>
      <c r="X132" s="967" t="e">
        <f>IF($F132="","",$F132*chronic_consumption!S132/1000/$C$3)</f>
        <v>#DIV/0!</v>
      </c>
      <c r="Y132" s="967" t="e">
        <f>IF($F132="","",$F132*chronic_consumption!T132/1000/$C$3)</f>
        <v>#DIV/0!</v>
      </c>
      <c r="Z132" s="967" t="e">
        <f>IF($F132="","",$F132*chronic_consumption!U132/1000/$C$3)</f>
        <v>#DIV/0!</v>
      </c>
      <c r="AA132" s="967" t="e">
        <f>IF($F132="","",$F132*chronic_consumption!V132/1000/$C$3)</f>
        <v>#DIV/0!</v>
      </c>
      <c r="AB132" s="967" t="e">
        <f>IF($F132="","",$F132*chronic_consumption!W132/1000/$C$3)</f>
        <v>#DIV/0!</v>
      </c>
      <c r="AC132" s="967" t="e">
        <f>IF($F132="","",$F132*chronic_consumption!X132/1000/$C$3)</f>
        <v>#DIV/0!</v>
      </c>
      <c r="AD132" s="967" t="e">
        <f>IF($F132="","",$F132*chronic_consumption!Y132/1000/$C$3)</f>
        <v>#DIV/0!</v>
      </c>
      <c r="AE132" s="967" t="e">
        <f>IF($F132="","",$F132*chronic_consumption!Z132/1000/$C$3)</f>
        <v>#DIV/0!</v>
      </c>
      <c r="AF132" s="967" t="e">
        <f>IF($F132="","",$F132*chronic_consumption!AA132/1000/$C$3)</f>
        <v>#DIV/0!</v>
      </c>
      <c r="AG132" s="967" t="e">
        <f>IF($F132="","",$F132*chronic_consumption!AB132/1000/$C$3)</f>
        <v>#DIV/0!</v>
      </c>
      <c r="AH132" s="967" t="e">
        <f>IF($F132="","",$F132*chronic_consumption!AC132/1000/$C$3)</f>
        <v>#DIV/0!</v>
      </c>
      <c r="AI132" s="967" t="e">
        <f>IF($F132="","",$F132*chronic_consumption!AD132/1000/$C$3)</f>
        <v>#DIV/0!</v>
      </c>
      <c r="AJ132" s="967" t="e">
        <f>IF($F132="","",$F132*chronic_consumption!AE132/1000/$C$3)</f>
        <v>#DIV/0!</v>
      </c>
      <c r="AK132" s="967" t="e">
        <f>IF($F132="","",$F132*chronic_consumption!AF132/1000/$C$3)</f>
        <v>#DIV/0!</v>
      </c>
      <c r="AL132" s="967" t="e">
        <f>IF($F132="","",$F132*chronic_consumption!AG132/1000/$C$3)</f>
        <v>#DIV/0!</v>
      </c>
      <c r="AM132" s="967" t="e">
        <f>IF($F132="","",$F132*chronic_consumption!AH132/1000/$C$3)</f>
        <v>#DIV/0!</v>
      </c>
      <c r="AN132" s="967" t="e">
        <f>IF($F132="","",$F132*chronic_consumption!AI132/1000/$C$3)</f>
        <v>#DIV/0!</v>
      </c>
      <c r="AO132" s="967" t="e">
        <f>IF($F132="","",$F132*chronic_consumption!AJ132/1000/$C$3)</f>
        <v>#DIV/0!</v>
      </c>
      <c r="AP132" s="967" t="e">
        <f>IF($F132="","",$F132*chronic_consumption!AK132/1000/$C$3)</f>
        <v>#DIV/0!</v>
      </c>
      <c r="AQ132" s="967" t="e">
        <f>IF($F132="","",$F132*chronic_consumption!AL132/1000/$C$3)</f>
        <v>#DIV/0!</v>
      </c>
      <c r="AR132" s="967" t="e">
        <f>IF($F132="","",$F132*chronic_consumption!AM132/1000/$C$3)</f>
        <v>#DIV/0!</v>
      </c>
      <c r="AS132" s="967" t="e">
        <f>IF($F132="","",$F132*chronic_consumption!AN132/1000/$C$3)</f>
        <v>#DIV/0!</v>
      </c>
      <c r="AT132" s="967" t="e">
        <f>IF($F132="","",$F132*chronic_consumption!AO132/1000/$C$3)</f>
        <v>#DIV/0!</v>
      </c>
      <c r="AU132" s="967"/>
      <c r="AV132" s="967" t="e">
        <f>IF($F132="","",$F132*chronic_consumption!AQ132/1000/$C$3)</f>
        <v>#DIV/0!</v>
      </c>
      <c r="AW132" s="967" t="e">
        <f>IF($F132="","",$F132*chronic_consumption!AR132/1000/$C$3)</f>
        <v>#DIV/0!</v>
      </c>
      <c r="AX132" s="967" t="e">
        <f>IF($F132="","",$F132*chronic_consumption!AS132/1000/$C$3)</f>
        <v>#DIV/0!</v>
      </c>
      <c r="AY132" s="967" t="e">
        <f>IF($F132="","",$F132*chronic_consumption!AT132/1000/$C$3)</f>
        <v>#DIV/0!</v>
      </c>
      <c r="AZ132" s="973"/>
      <c r="BA132" s="969" t="e">
        <f t="shared" si="11"/>
        <v>#DIV/0!</v>
      </c>
      <c r="BB132" s="970" t="e">
        <f t="shared" si="12"/>
        <v>#DIV/0!</v>
      </c>
      <c r="BC132" s="971" t="e">
        <f t="shared" ca="1" si="13"/>
        <v>#DIV/0!</v>
      </c>
      <c r="BD132" s="228">
        <f>input_values!Z132</f>
        <v>4</v>
      </c>
      <c r="BE132" s="152">
        <f>input_values!L132</f>
        <v>0</v>
      </c>
      <c r="BF132" s="972" t="str">
        <f t="shared" si="14"/>
        <v/>
      </c>
    </row>
    <row r="133" spans="1:58" ht="12" customHeight="1" outlineLevel="3" x14ac:dyDescent="0.2">
      <c r="A133" s="21">
        <v>4</v>
      </c>
      <c r="B133" s="23">
        <v>232010</v>
      </c>
      <c r="C133" s="23" t="s">
        <v>211</v>
      </c>
      <c r="D133" s="965">
        <f>Table22[[#This Row],[MRL individual commodity]]</f>
        <v>0</v>
      </c>
      <c r="E133" s="300" t="str">
        <f>Table22[[#This Row],[LOQ_label]]</f>
        <v/>
      </c>
      <c r="F133" s="966">
        <f>Table22[[#This Row],[Chronic RA input value]]</f>
        <v>0</v>
      </c>
      <c r="G133" s="304" t="str">
        <f>Table22[[#This Row],[Chronic RA label]]</f>
        <v/>
      </c>
      <c r="H133" s="304">
        <f>Table22[[#This Row],[GAP under assessment]]</f>
        <v>0</v>
      </c>
      <c r="I133" s="1123"/>
      <c r="J133" s="974" t="e">
        <f>IF($F133="","",$F133*chronic_consumption!$E133/1000/$C$3)</f>
        <v>#DIV/0!</v>
      </c>
      <c r="K133" s="974" t="e">
        <f>IF($F133="","",$F133*chronic_consumption!F133/1000/$C$3)</f>
        <v>#DIV/0!</v>
      </c>
      <c r="L133" s="974" t="e">
        <f>IF($F133="","",$F133*chronic_consumption!G133/1000/$C$3)</f>
        <v>#DIV/0!</v>
      </c>
      <c r="M133" s="974" t="e">
        <f>IF($F133="","",$F133*chronic_consumption!H133/1000/$C$3)</f>
        <v>#DIV/0!</v>
      </c>
      <c r="N133" s="974" t="e">
        <f>IF($F133="","",$F133*chronic_consumption!I133/1000/$C$3)</f>
        <v>#DIV/0!</v>
      </c>
      <c r="O133" s="974" t="e">
        <f>IF($F133="","",$F133*chronic_consumption!J133/1000/$C$3)</f>
        <v>#DIV/0!</v>
      </c>
      <c r="P133" s="974" t="e">
        <f>IF($F133="","",$F133*chronic_consumption!K133/1000/$C$3)</f>
        <v>#DIV/0!</v>
      </c>
      <c r="Q133" s="974" t="e">
        <f>IF($F133="","",$F133*chronic_consumption!L133/1000/$C$3)</f>
        <v>#DIV/0!</v>
      </c>
      <c r="R133" s="974" t="e">
        <f>IF($F133="","",$F133*chronic_consumption!M133/1000/$C$3)</f>
        <v>#DIV/0!</v>
      </c>
      <c r="S133" s="974" t="e">
        <f>IF($F133="","",$F133*chronic_consumption!N133/1000/$C$3)</f>
        <v>#DIV/0!</v>
      </c>
      <c r="T133" s="974" t="e">
        <f>IF($F133="","",$F133*chronic_consumption!O133/1000/$C$3)</f>
        <v>#DIV/0!</v>
      </c>
      <c r="U133" s="974" t="e">
        <f>IF($F133="","",$F133*chronic_consumption!P133/1000/$C$3)</f>
        <v>#DIV/0!</v>
      </c>
      <c r="V133" s="974" t="e">
        <f>IF($F133="","",$F133*chronic_consumption!Q133/1000/$C$3)</f>
        <v>#DIV/0!</v>
      </c>
      <c r="W133" s="974" t="e">
        <f>IF($F133="","",$F133*chronic_consumption!R133/1000/$C$3)</f>
        <v>#DIV/0!</v>
      </c>
      <c r="X133" s="974" t="e">
        <f>IF($F133="","",$F133*chronic_consumption!S133/1000/$C$3)</f>
        <v>#DIV/0!</v>
      </c>
      <c r="Y133" s="974" t="e">
        <f>IF($F133="","",$F133*chronic_consumption!T133/1000/$C$3)</f>
        <v>#DIV/0!</v>
      </c>
      <c r="Z133" s="974" t="e">
        <f>IF($F133="","",$F133*chronic_consumption!U133/1000/$C$3)</f>
        <v>#DIV/0!</v>
      </c>
      <c r="AA133" s="974" t="e">
        <f>IF($F133="","",$F133*chronic_consumption!V133/1000/$C$3)</f>
        <v>#DIV/0!</v>
      </c>
      <c r="AB133" s="974" t="e">
        <f>IF($F133="","",$F133*chronic_consumption!W133/1000/$C$3)</f>
        <v>#DIV/0!</v>
      </c>
      <c r="AC133" s="974" t="e">
        <f>IF($F133="","",$F133*chronic_consumption!X133/1000/$C$3)</f>
        <v>#DIV/0!</v>
      </c>
      <c r="AD133" s="974" t="e">
        <f>IF($F133="","",$F133*chronic_consumption!Y133/1000/$C$3)</f>
        <v>#DIV/0!</v>
      </c>
      <c r="AE133" s="974" t="e">
        <f>IF($F133="","",$F133*chronic_consumption!Z133/1000/$C$3)</f>
        <v>#DIV/0!</v>
      </c>
      <c r="AF133" s="974" t="e">
        <f>IF($F133="","",$F133*chronic_consumption!AA133/1000/$C$3)</f>
        <v>#DIV/0!</v>
      </c>
      <c r="AG133" s="974" t="e">
        <f>IF($F133="","",$F133*chronic_consumption!AB133/1000/$C$3)</f>
        <v>#DIV/0!</v>
      </c>
      <c r="AH133" s="974" t="e">
        <f>IF($F133="","",$F133*chronic_consumption!AC133/1000/$C$3)</f>
        <v>#DIV/0!</v>
      </c>
      <c r="AI133" s="974" t="e">
        <f>IF($F133="","",$F133*chronic_consumption!AD133/1000/$C$3)</f>
        <v>#DIV/0!</v>
      </c>
      <c r="AJ133" s="974" t="e">
        <f>IF($F133="","",$F133*chronic_consumption!AE133/1000/$C$3)</f>
        <v>#DIV/0!</v>
      </c>
      <c r="AK133" s="974" t="e">
        <f>IF($F133="","",$F133*chronic_consumption!AF133/1000/$C$3)</f>
        <v>#DIV/0!</v>
      </c>
      <c r="AL133" s="974" t="e">
        <f>IF($F133="","",$F133*chronic_consumption!AG133/1000/$C$3)</f>
        <v>#DIV/0!</v>
      </c>
      <c r="AM133" s="974" t="e">
        <f>IF($F133="","",$F133*chronic_consumption!AH133/1000/$C$3)</f>
        <v>#DIV/0!</v>
      </c>
      <c r="AN133" s="974" t="e">
        <f>IF($F133="","",$F133*chronic_consumption!AI133/1000/$C$3)</f>
        <v>#DIV/0!</v>
      </c>
      <c r="AO133" s="974" t="e">
        <f>IF($F133="","",$F133*chronic_consumption!AJ133/1000/$C$3)</f>
        <v>#DIV/0!</v>
      </c>
      <c r="AP133" s="974" t="e">
        <f>IF($F133="","",$F133*chronic_consumption!AK133/1000/$C$3)</f>
        <v>#DIV/0!</v>
      </c>
      <c r="AQ133" s="974" t="e">
        <f>IF($F133="","",$F133*chronic_consumption!AL133/1000/$C$3)</f>
        <v>#DIV/0!</v>
      </c>
      <c r="AR133" s="974" t="e">
        <f>IF($F133="","",$F133*chronic_consumption!AM133/1000/$C$3)</f>
        <v>#DIV/0!</v>
      </c>
      <c r="AS133" s="974" t="e">
        <f>IF($F133="","",$F133*chronic_consumption!AN133/1000/$C$3)</f>
        <v>#DIV/0!</v>
      </c>
      <c r="AT133" s="974" t="e">
        <f>IF($F133="","",$F133*chronic_consumption!AO133/1000/$C$3)</f>
        <v>#DIV/0!</v>
      </c>
      <c r="AU133" s="974"/>
      <c r="AV133" s="974" t="e">
        <f>IF($F133="","",$F133*chronic_consumption!AQ133/1000/$C$3)</f>
        <v>#DIV/0!</v>
      </c>
      <c r="AW133" s="974" t="e">
        <f>IF($F133="","",$F133*chronic_consumption!AR133/1000/$C$3)</f>
        <v>#DIV/0!</v>
      </c>
      <c r="AX133" s="974" t="e">
        <f>IF($F133="","",$F133*chronic_consumption!AS133/1000/$C$3)</f>
        <v>#DIV/0!</v>
      </c>
      <c r="AY133" s="974" t="e">
        <f>IF($F133="","",$F133*chronic_consumption!AT133/1000/$C$3)</f>
        <v>#DIV/0!</v>
      </c>
      <c r="AZ133" s="973" t="s">
        <v>19</v>
      </c>
      <c r="BA133" s="969" t="e">
        <f t="shared" si="11"/>
        <v>#DIV/0!</v>
      </c>
      <c r="BB133" s="970" t="e">
        <f t="shared" si="12"/>
        <v>#DIV/0!</v>
      </c>
      <c r="BC133" s="971" t="e">
        <f t="shared" ca="1" si="13"/>
        <v>#DIV/0!</v>
      </c>
      <c r="BD133" s="228">
        <f>input_values!Z133</f>
        <v>4</v>
      </c>
      <c r="BE133" s="152">
        <f>input_values!L133</f>
        <v>0</v>
      </c>
      <c r="BF133" s="972" t="str">
        <f t="shared" si="14"/>
        <v/>
      </c>
    </row>
    <row r="134" spans="1:58" ht="12" customHeight="1" outlineLevel="3" x14ac:dyDescent="0.2">
      <c r="A134" s="21">
        <v>4</v>
      </c>
      <c r="B134" s="23">
        <v>232020</v>
      </c>
      <c r="C134" s="23" t="s">
        <v>245</v>
      </c>
      <c r="D134" s="965">
        <f>Table22[[#This Row],[MRL individual commodity]]</f>
        <v>0</v>
      </c>
      <c r="E134" s="300" t="str">
        <f>Table22[[#This Row],[LOQ_label]]</f>
        <v/>
      </c>
      <c r="F134" s="966">
        <f>Table22[[#This Row],[Chronic RA input value]]</f>
        <v>0</v>
      </c>
      <c r="G134" s="304" t="str">
        <f>Table22[[#This Row],[Chronic RA label]]</f>
        <v/>
      </c>
      <c r="H134" s="304">
        <f>Table22[[#This Row],[GAP under assessment]]</f>
        <v>0</v>
      </c>
      <c r="I134" s="1123"/>
      <c r="J134" s="974" t="e">
        <f>IF($F134="","",$F134*chronic_consumption!$E134/1000/$C$3)</f>
        <v>#DIV/0!</v>
      </c>
      <c r="K134" s="974" t="e">
        <f>IF($F134="","",$F134*chronic_consumption!F134/1000/$C$3)</f>
        <v>#DIV/0!</v>
      </c>
      <c r="L134" s="974" t="e">
        <f>IF($F134="","",$F134*chronic_consumption!G134/1000/$C$3)</f>
        <v>#DIV/0!</v>
      </c>
      <c r="M134" s="974" t="e">
        <f>IF($F134="","",$F134*chronic_consumption!H134/1000/$C$3)</f>
        <v>#DIV/0!</v>
      </c>
      <c r="N134" s="974" t="e">
        <f>IF($F134="","",$F134*chronic_consumption!I134/1000/$C$3)</f>
        <v>#DIV/0!</v>
      </c>
      <c r="O134" s="974" t="e">
        <f>IF($F134="","",$F134*chronic_consumption!J134/1000/$C$3)</f>
        <v>#DIV/0!</v>
      </c>
      <c r="P134" s="974" t="e">
        <f>IF($F134="","",$F134*chronic_consumption!K134/1000/$C$3)</f>
        <v>#DIV/0!</v>
      </c>
      <c r="Q134" s="974" t="e">
        <f>IF($F134="","",$F134*chronic_consumption!L134/1000/$C$3)</f>
        <v>#DIV/0!</v>
      </c>
      <c r="R134" s="974" t="e">
        <f>IF($F134="","",$F134*chronic_consumption!M134/1000/$C$3)</f>
        <v>#DIV/0!</v>
      </c>
      <c r="S134" s="974" t="e">
        <f>IF($F134="","",$F134*chronic_consumption!N134/1000/$C$3)</f>
        <v>#DIV/0!</v>
      </c>
      <c r="T134" s="974" t="e">
        <f>IF($F134="","",$F134*chronic_consumption!O134/1000/$C$3)</f>
        <v>#DIV/0!</v>
      </c>
      <c r="U134" s="974" t="e">
        <f>IF($F134="","",$F134*chronic_consumption!P134/1000/$C$3)</f>
        <v>#DIV/0!</v>
      </c>
      <c r="V134" s="974" t="e">
        <f>IF($F134="","",$F134*chronic_consumption!Q134/1000/$C$3)</f>
        <v>#DIV/0!</v>
      </c>
      <c r="W134" s="974" t="e">
        <f>IF($F134="","",$F134*chronic_consumption!R134/1000/$C$3)</f>
        <v>#DIV/0!</v>
      </c>
      <c r="X134" s="974" t="e">
        <f>IF($F134="","",$F134*chronic_consumption!S134/1000/$C$3)</f>
        <v>#DIV/0!</v>
      </c>
      <c r="Y134" s="974" t="e">
        <f>IF($F134="","",$F134*chronic_consumption!T134/1000/$C$3)</f>
        <v>#DIV/0!</v>
      </c>
      <c r="Z134" s="974" t="e">
        <f>IF($F134="","",$F134*chronic_consumption!U134/1000/$C$3)</f>
        <v>#DIV/0!</v>
      </c>
      <c r="AA134" s="974" t="e">
        <f>IF($F134="","",$F134*chronic_consumption!V134/1000/$C$3)</f>
        <v>#DIV/0!</v>
      </c>
      <c r="AB134" s="974" t="e">
        <f>IF($F134="","",$F134*chronic_consumption!W134/1000/$C$3)</f>
        <v>#DIV/0!</v>
      </c>
      <c r="AC134" s="974" t="e">
        <f>IF($F134="","",$F134*chronic_consumption!X134/1000/$C$3)</f>
        <v>#DIV/0!</v>
      </c>
      <c r="AD134" s="974" t="e">
        <f>IF($F134="","",$F134*chronic_consumption!Y134/1000/$C$3)</f>
        <v>#DIV/0!</v>
      </c>
      <c r="AE134" s="974" t="e">
        <f>IF($F134="","",$F134*chronic_consumption!Z134/1000/$C$3)</f>
        <v>#DIV/0!</v>
      </c>
      <c r="AF134" s="974" t="e">
        <f>IF($F134="","",$F134*chronic_consumption!AA134/1000/$C$3)</f>
        <v>#DIV/0!</v>
      </c>
      <c r="AG134" s="974" t="e">
        <f>IF($F134="","",$F134*chronic_consumption!AB134/1000/$C$3)</f>
        <v>#DIV/0!</v>
      </c>
      <c r="AH134" s="974" t="e">
        <f>IF($F134="","",$F134*chronic_consumption!AC134/1000/$C$3)</f>
        <v>#DIV/0!</v>
      </c>
      <c r="AI134" s="974" t="e">
        <f>IF($F134="","",$F134*chronic_consumption!AD134/1000/$C$3)</f>
        <v>#DIV/0!</v>
      </c>
      <c r="AJ134" s="974" t="e">
        <f>IF($F134="","",$F134*chronic_consumption!AE134/1000/$C$3)</f>
        <v>#DIV/0!</v>
      </c>
      <c r="AK134" s="974" t="e">
        <f>IF($F134="","",$F134*chronic_consumption!AF134/1000/$C$3)</f>
        <v>#DIV/0!</v>
      </c>
      <c r="AL134" s="974" t="e">
        <f>IF($F134="","",$F134*chronic_consumption!AG134/1000/$C$3)</f>
        <v>#DIV/0!</v>
      </c>
      <c r="AM134" s="974" t="e">
        <f>IF($F134="","",$F134*chronic_consumption!AH134/1000/$C$3)</f>
        <v>#DIV/0!</v>
      </c>
      <c r="AN134" s="974" t="e">
        <f>IF($F134="","",$F134*chronic_consumption!AI134/1000/$C$3)</f>
        <v>#DIV/0!</v>
      </c>
      <c r="AO134" s="974" t="e">
        <f>IF($F134="","",$F134*chronic_consumption!AJ134/1000/$C$3)</f>
        <v>#DIV/0!</v>
      </c>
      <c r="AP134" s="974" t="e">
        <f>IF($F134="","",$F134*chronic_consumption!AK134/1000/$C$3)</f>
        <v>#DIV/0!</v>
      </c>
      <c r="AQ134" s="974" t="e">
        <f>IF($F134="","",$F134*chronic_consumption!AL134/1000/$C$3)</f>
        <v>#DIV/0!</v>
      </c>
      <c r="AR134" s="974" t="e">
        <f>IF($F134="","",$F134*chronic_consumption!AM134/1000/$C$3)</f>
        <v>#DIV/0!</v>
      </c>
      <c r="AS134" s="974" t="e">
        <f>IF($F134="","",$F134*chronic_consumption!AN134/1000/$C$3)</f>
        <v>#DIV/0!</v>
      </c>
      <c r="AT134" s="974" t="e">
        <f>IF($F134="","",$F134*chronic_consumption!AO134/1000/$C$3)</f>
        <v>#DIV/0!</v>
      </c>
      <c r="AU134" s="974"/>
      <c r="AV134" s="974" t="e">
        <f>IF($F134="","",$F134*chronic_consumption!AQ134/1000/$C$3)</f>
        <v>#DIV/0!</v>
      </c>
      <c r="AW134" s="974" t="e">
        <f>IF($F134="","",$F134*chronic_consumption!AR134/1000/$C$3)</f>
        <v>#DIV/0!</v>
      </c>
      <c r="AX134" s="974" t="e">
        <f>IF($F134="","",$F134*chronic_consumption!AS134/1000/$C$3)</f>
        <v>#DIV/0!</v>
      </c>
      <c r="AY134" s="974" t="e">
        <f>IF($F134="","",$F134*chronic_consumption!AT134/1000/$C$3)</f>
        <v>#DIV/0!</v>
      </c>
      <c r="AZ134" s="973" t="s">
        <v>19</v>
      </c>
      <c r="BA134" s="969" t="e">
        <f t="shared" si="11"/>
        <v>#DIV/0!</v>
      </c>
      <c r="BB134" s="970" t="e">
        <f t="shared" si="12"/>
        <v>#DIV/0!</v>
      </c>
      <c r="BC134" s="971" t="e">
        <f t="shared" ca="1" si="13"/>
        <v>#DIV/0!</v>
      </c>
      <c r="BD134" s="228">
        <f>input_values!Z134</f>
        <v>4</v>
      </c>
      <c r="BE134" s="152">
        <f>input_values!L134</f>
        <v>0</v>
      </c>
      <c r="BF134" s="972" t="str">
        <f t="shared" si="14"/>
        <v/>
      </c>
    </row>
    <row r="135" spans="1:58" ht="12" customHeight="1" outlineLevel="3" x14ac:dyDescent="0.2">
      <c r="A135" s="21">
        <v>4</v>
      </c>
      <c r="B135" s="23">
        <v>232030</v>
      </c>
      <c r="C135" s="23" t="s">
        <v>246</v>
      </c>
      <c r="D135" s="965">
        <f>Table22[[#This Row],[MRL individual commodity]]</f>
        <v>0</v>
      </c>
      <c r="E135" s="300" t="str">
        <f>Table22[[#This Row],[LOQ_label]]</f>
        <v/>
      </c>
      <c r="F135" s="966">
        <f>Table22[[#This Row],[Chronic RA input value]]</f>
        <v>0</v>
      </c>
      <c r="G135" s="304" t="str">
        <f>Table22[[#This Row],[Chronic RA label]]</f>
        <v/>
      </c>
      <c r="H135" s="304">
        <f>Table22[[#This Row],[GAP under assessment]]</f>
        <v>0</v>
      </c>
      <c r="I135" s="1123"/>
      <c r="J135" s="974" t="e">
        <f>IF($F135="","",$F135*chronic_consumption!$E135/1000/$C$3)</f>
        <v>#DIV/0!</v>
      </c>
      <c r="K135" s="974" t="e">
        <f>IF($F135="","",$F135*chronic_consumption!F135/1000/$C$3)</f>
        <v>#DIV/0!</v>
      </c>
      <c r="L135" s="974" t="e">
        <f>IF($F135="","",$F135*chronic_consumption!G135/1000/$C$3)</f>
        <v>#DIV/0!</v>
      </c>
      <c r="M135" s="974" t="e">
        <f>IF($F135="","",$F135*chronic_consumption!H135/1000/$C$3)</f>
        <v>#DIV/0!</v>
      </c>
      <c r="N135" s="974" t="e">
        <f>IF($F135="","",$F135*chronic_consumption!I135/1000/$C$3)</f>
        <v>#DIV/0!</v>
      </c>
      <c r="O135" s="974" t="e">
        <f>IF($F135="","",$F135*chronic_consumption!J135/1000/$C$3)</f>
        <v>#DIV/0!</v>
      </c>
      <c r="P135" s="974" t="e">
        <f>IF($F135="","",$F135*chronic_consumption!K135/1000/$C$3)</f>
        <v>#DIV/0!</v>
      </c>
      <c r="Q135" s="974" t="e">
        <f>IF($F135="","",$F135*chronic_consumption!L135/1000/$C$3)</f>
        <v>#DIV/0!</v>
      </c>
      <c r="R135" s="974" t="e">
        <f>IF($F135="","",$F135*chronic_consumption!M135/1000/$C$3)</f>
        <v>#DIV/0!</v>
      </c>
      <c r="S135" s="974" t="e">
        <f>IF($F135="","",$F135*chronic_consumption!N135/1000/$C$3)</f>
        <v>#DIV/0!</v>
      </c>
      <c r="T135" s="974" t="e">
        <f>IF($F135="","",$F135*chronic_consumption!O135/1000/$C$3)</f>
        <v>#DIV/0!</v>
      </c>
      <c r="U135" s="974" t="e">
        <f>IF($F135="","",$F135*chronic_consumption!P135/1000/$C$3)</f>
        <v>#DIV/0!</v>
      </c>
      <c r="V135" s="974" t="e">
        <f>IF($F135="","",$F135*chronic_consumption!Q135/1000/$C$3)</f>
        <v>#DIV/0!</v>
      </c>
      <c r="W135" s="974" t="e">
        <f>IF($F135="","",$F135*chronic_consumption!R135/1000/$C$3)</f>
        <v>#DIV/0!</v>
      </c>
      <c r="X135" s="974" t="e">
        <f>IF($F135="","",$F135*chronic_consumption!S135/1000/$C$3)</f>
        <v>#DIV/0!</v>
      </c>
      <c r="Y135" s="974" t="e">
        <f>IF($F135="","",$F135*chronic_consumption!T135/1000/$C$3)</f>
        <v>#DIV/0!</v>
      </c>
      <c r="Z135" s="974" t="e">
        <f>IF($F135="","",$F135*chronic_consumption!U135/1000/$C$3)</f>
        <v>#DIV/0!</v>
      </c>
      <c r="AA135" s="974" t="e">
        <f>IF($F135="","",$F135*chronic_consumption!V135/1000/$C$3)</f>
        <v>#DIV/0!</v>
      </c>
      <c r="AB135" s="974" t="e">
        <f>IF($F135="","",$F135*chronic_consumption!W135/1000/$C$3)</f>
        <v>#DIV/0!</v>
      </c>
      <c r="AC135" s="974" t="e">
        <f>IF($F135="","",$F135*chronic_consumption!X135/1000/$C$3)</f>
        <v>#DIV/0!</v>
      </c>
      <c r="AD135" s="974" t="e">
        <f>IF($F135="","",$F135*chronic_consumption!Y135/1000/$C$3)</f>
        <v>#DIV/0!</v>
      </c>
      <c r="AE135" s="974" t="e">
        <f>IF($F135="","",$F135*chronic_consumption!Z135/1000/$C$3)</f>
        <v>#DIV/0!</v>
      </c>
      <c r="AF135" s="974" t="e">
        <f>IF($F135="","",$F135*chronic_consumption!AA135/1000/$C$3)</f>
        <v>#DIV/0!</v>
      </c>
      <c r="AG135" s="974" t="e">
        <f>IF($F135="","",$F135*chronic_consumption!AB135/1000/$C$3)</f>
        <v>#DIV/0!</v>
      </c>
      <c r="AH135" s="974" t="e">
        <f>IF($F135="","",$F135*chronic_consumption!AC135/1000/$C$3)</f>
        <v>#DIV/0!</v>
      </c>
      <c r="AI135" s="974" t="e">
        <f>IF($F135="","",$F135*chronic_consumption!AD135/1000/$C$3)</f>
        <v>#DIV/0!</v>
      </c>
      <c r="AJ135" s="974" t="e">
        <f>IF($F135="","",$F135*chronic_consumption!AE135/1000/$C$3)</f>
        <v>#DIV/0!</v>
      </c>
      <c r="AK135" s="974" t="e">
        <f>IF($F135="","",$F135*chronic_consumption!AF135/1000/$C$3)</f>
        <v>#DIV/0!</v>
      </c>
      <c r="AL135" s="974" t="e">
        <f>IF($F135="","",$F135*chronic_consumption!AG135/1000/$C$3)</f>
        <v>#DIV/0!</v>
      </c>
      <c r="AM135" s="974" t="e">
        <f>IF($F135="","",$F135*chronic_consumption!AH135/1000/$C$3)</f>
        <v>#DIV/0!</v>
      </c>
      <c r="AN135" s="974" t="e">
        <f>IF($F135="","",$F135*chronic_consumption!AI135/1000/$C$3)</f>
        <v>#DIV/0!</v>
      </c>
      <c r="AO135" s="974" t="e">
        <f>IF($F135="","",$F135*chronic_consumption!AJ135/1000/$C$3)</f>
        <v>#DIV/0!</v>
      </c>
      <c r="AP135" s="974" t="e">
        <f>IF($F135="","",$F135*chronic_consumption!AK135/1000/$C$3)</f>
        <v>#DIV/0!</v>
      </c>
      <c r="AQ135" s="974" t="e">
        <f>IF($F135="","",$F135*chronic_consumption!AL135/1000/$C$3)</f>
        <v>#DIV/0!</v>
      </c>
      <c r="AR135" s="974" t="e">
        <f>IF($F135="","",$F135*chronic_consumption!AM135/1000/$C$3)</f>
        <v>#DIV/0!</v>
      </c>
      <c r="AS135" s="974" t="e">
        <f>IF($F135="","",$F135*chronic_consumption!AN135/1000/$C$3)</f>
        <v>#DIV/0!</v>
      </c>
      <c r="AT135" s="974" t="e">
        <f>IF($F135="","",$F135*chronic_consumption!AO135/1000/$C$3)</f>
        <v>#DIV/0!</v>
      </c>
      <c r="AU135" s="974"/>
      <c r="AV135" s="974" t="e">
        <f>IF($F135="","",$F135*chronic_consumption!AQ135/1000/$C$3)</f>
        <v>#DIV/0!</v>
      </c>
      <c r="AW135" s="974" t="e">
        <f>IF($F135="","",$F135*chronic_consumption!AR135/1000/$C$3)</f>
        <v>#DIV/0!</v>
      </c>
      <c r="AX135" s="974" t="e">
        <f>IF($F135="","",$F135*chronic_consumption!AS135/1000/$C$3)</f>
        <v>#DIV/0!</v>
      </c>
      <c r="AY135" s="974" t="e">
        <f>IF($F135="","",$F135*chronic_consumption!AT135/1000/$C$3)</f>
        <v>#DIV/0!</v>
      </c>
      <c r="AZ135" s="973" t="s">
        <v>19</v>
      </c>
      <c r="BA135" s="969" t="e">
        <f t="shared" si="11"/>
        <v>#DIV/0!</v>
      </c>
      <c r="BB135" s="970" t="e">
        <f t="shared" si="12"/>
        <v>#DIV/0!</v>
      </c>
      <c r="BC135" s="971" t="e">
        <f t="shared" ca="1" si="13"/>
        <v>#DIV/0!</v>
      </c>
      <c r="BD135" s="228">
        <f>input_values!Z135</f>
        <v>4</v>
      </c>
      <c r="BE135" s="152">
        <f>input_values!L135</f>
        <v>0</v>
      </c>
      <c r="BF135" s="972" t="str">
        <f t="shared" si="14"/>
        <v/>
      </c>
    </row>
    <row r="136" spans="1:58" ht="12" customHeight="1" outlineLevel="3" x14ac:dyDescent="0.2">
      <c r="A136" s="21">
        <v>4</v>
      </c>
      <c r="B136" s="23">
        <v>232990</v>
      </c>
      <c r="C136" s="23" t="s">
        <v>167</v>
      </c>
      <c r="D136" s="965">
        <f>Table22[[#This Row],[MRL individual commodity]]</f>
        <v>0</v>
      </c>
      <c r="E136" s="300" t="str">
        <f>Table22[[#This Row],[LOQ_label]]</f>
        <v/>
      </c>
      <c r="F136" s="966">
        <f>Table22[[#This Row],[Chronic RA input value]]</f>
        <v>0</v>
      </c>
      <c r="G136" s="304" t="str">
        <f>Table22[[#This Row],[Chronic RA label]]</f>
        <v/>
      </c>
      <c r="H136" s="304">
        <f>Table22[[#This Row],[GAP under assessment]]</f>
        <v>0</v>
      </c>
      <c r="I136" s="1123"/>
      <c r="J136" s="974" t="e">
        <f>IF($F136="","",$F136*chronic_consumption!$E136/1000/$C$3)</f>
        <v>#DIV/0!</v>
      </c>
      <c r="K136" s="974" t="e">
        <f>IF($F136="","",$F136*chronic_consumption!F136/1000/$C$3)</f>
        <v>#DIV/0!</v>
      </c>
      <c r="L136" s="974" t="e">
        <f>IF($F136="","",$F136*chronic_consumption!G136/1000/$C$3)</f>
        <v>#DIV/0!</v>
      </c>
      <c r="M136" s="974" t="e">
        <f>IF($F136="","",$F136*chronic_consumption!H136/1000/$C$3)</f>
        <v>#DIV/0!</v>
      </c>
      <c r="N136" s="974" t="e">
        <f>IF($F136="","",$F136*chronic_consumption!I136/1000/$C$3)</f>
        <v>#DIV/0!</v>
      </c>
      <c r="O136" s="974" t="e">
        <f>IF($F136="","",$F136*chronic_consumption!J136/1000/$C$3)</f>
        <v>#DIV/0!</v>
      </c>
      <c r="P136" s="974" t="e">
        <f>IF($F136="","",$F136*chronic_consumption!K136/1000/$C$3)</f>
        <v>#DIV/0!</v>
      </c>
      <c r="Q136" s="974" t="e">
        <f>IF($F136="","",$F136*chronic_consumption!L136/1000/$C$3)</f>
        <v>#DIV/0!</v>
      </c>
      <c r="R136" s="974" t="e">
        <f>IF($F136="","",$F136*chronic_consumption!M136/1000/$C$3)</f>
        <v>#DIV/0!</v>
      </c>
      <c r="S136" s="974" t="e">
        <f>IF($F136="","",$F136*chronic_consumption!N136/1000/$C$3)</f>
        <v>#DIV/0!</v>
      </c>
      <c r="T136" s="974" t="e">
        <f>IF($F136="","",$F136*chronic_consumption!O136/1000/$C$3)</f>
        <v>#DIV/0!</v>
      </c>
      <c r="U136" s="974" t="e">
        <f>IF($F136="","",$F136*chronic_consumption!P136/1000/$C$3)</f>
        <v>#DIV/0!</v>
      </c>
      <c r="V136" s="974" t="e">
        <f>IF($F136="","",$F136*chronic_consumption!Q136/1000/$C$3)</f>
        <v>#DIV/0!</v>
      </c>
      <c r="W136" s="974" t="e">
        <f>IF($F136="","",$F136*chronic_consumption!R136/1000/$C$3)</f>
        <v>#DIV/0!</v>
      </c>
      <c r="X136" s="974" t="e">
        <f>IF($F136="","",$F136*chronic_consumption!S136/1000/$C$3)</f>
        <v>#DIV/0!</v>
      </c>
      <c r="Y136" s="974" t="e">
        <f>IF($F136="","",$F136*chronic_consumption!T136/1000/$C$3)</f>
        <v>#DIV/0!</v>
      </c>
      <c r="Z136" s="974" t="e">
        <f>IF($F136="","",$F136*chronic_consumption!U136/1000/$C$3)</f>
        <v>#DIV/0!</v>
      </c>
      <c r="AA136" s="974" t="e">
        <f>IF($F136="","",$F136*chronic_consumption!V136/1000/$C$3)</f>
        <v>#DIV/0!</v>
      </c>
      <c r="AB136" s="974" t="e">
        <f>IF($F136="","",$F136*chronic_consumption!W136/1000/$C$3)</f>
        <v>#DIV/0!</v>
      </c>
      <c r="AC136" s="974" t="e">
        <f>IF($F136="","",$F136*chronic_consumption!X136/1000/$C$3)</f>
        <v>#DIV/0!</v>
      </c>
      <c r="AD136" s="974" t="e">
        <f>IF($F136="","",$F136*chronic_consumption!Y136/1000/$C$3)</f>
        <v>#DIV/0!</v>
      </c>
      <c r="AE136" s="974" t="e">
        <f>IF($F136="","",$F136*chronic_consumption!Z136/1000/$C$3)</f>
        <v>#DIV/0!</v>
      </c>
      <c r="AF136" s="974" t="e">
        <f>IF($F136="","",$F136*chronic_consumption!AA136/1000/$C$3)</f>
        <v>#DIV/0!</v>
      </c>
      <c r="AG136" s="974" t="e">
        <f>IF($F136="","",$F136*chronic_consumption!AB136/1000/$C$3)</f>
        <v>#DIV/0!</v>
      </c>
      <c r="AH136" s="974" t="e">
        <f>IF($F136="","",$F136*chronic_consumption!AC136/1000/$C$3)</f>
        <v>#DIV/0!</v>
      </c>
      <c r="AI136" s="974" t="e">
        <f>IF($F136="","",$F136*chronic_consumption!AD136/1000/$C$3)</f>
        <v>#DIV/0!</v>
      </c>
      <c r="AJ136" s="974" t="e">
        <f>IF($F136="","",$F136*chronic_consumption!AE136/1000/$C$3)</f>
        <v>#DIV/0!</v>
      </c>
      <c r="AK136" s="974" t="e">
        <f>IF($F136="","",$F136*chronic_consumption!AF136/1000/$C$3)</f>
        <v>#DIV/0!</v>
      </c>
      <c r="AL136" s="974" t="e">
        <f>IF($F136="","",$F136*chronic_consumption!AG136/1000/$C$3)</f>
        <v>#DIV/0!</v>
      </c>
      <c r="AM136" s="974" t="e">
        <f>IF($F136="","",$F136*chronic_consumption!AH136/1000/$C$3)</f>
        <v>#DIV/0!</v>
      </c>
      <c r="AN136" s="974" t="e">
        <f>IF($F136="","",$F136*chronic_consumption!AI136/1000/$C$3)</f>
        <v>#DIV/0!</v>
      </c>
      <c r="AO136" s="974" t="e">
        <f>IF($F136="","",$F136*chronic_consumption!AJ136/1000/$C$3)</f>
        <v>#DIV/0!</v>
      </c>
      <c r="AP136" s="974" t="e">
        <f>IF($F136="","",$F136*chronic_consumption!AK136/1000/$C$3)</f>
        <v>#DIV/0!</v>
      </c>
      <c r="AQ136" s="974" t="e">
        <f>IF($F136="","",$F136*chronic_consumption!AL136/1000/$C$3)</f>
        <v>#DIV/0!</v>
      </c>
      <c r="AR136" s="974" t="e">
        <f>IF($F136="","",$F136*chronic_consumption!AM136/1000/$C$3)</f>
        <v>#DIV/0!</v>
      </c>
      <c r="AS136" s="974" t="e">
        <f>IF($F136="","",$F136*chronic_consumption!AN136/1000/$C$3)</f>
        <v>#DIV/0!</v>
      </c>
      <c r="AT136" s="974" t="e">
        <f>IF($F136="","",$F136*chronic_consumption!AO136/1000/$C$3)</f>
        <v>#DIV/0!</v>
      </c>
      <c r="AU136" s="974"/>
      <c r="AV136" s="974" t="e">
        <f>IF($F136="","",$F136*chronic_consumption!AQ136/1000/$C$3)</f>
        <v>#DIV/0!</v>
      </c>
      <c r="AW136" s="974" t="e">
        <f>IF($F136="","",$F136*chronic_consumption!AR136/1000/$C$3)</f>
        <v>#DIV/0!</v>
      </c>
      <c r="AX136" s="974" t="e">
        <f>IF($F136="","",$F136*chronic_consumption!AS136/1000/$C$3)</f>
        <v>#DIV/0!</v>
      </c>
      <c r="AY136" s="974" t="e">
        <f>IF($F136="","",$F136*chronic_consumption!AT136/1000/$C$3)</f>
        <v>#DIV/0!</v>
      </c>
      <c r="AZ136" s="973" t="s">
        <v>19</v>
      </c>
      <c r="BA136" s="969" t="e">
        <f t="shared" si="11"/>
        <v>#DIV/0!</v>
      </c>
      <c r="BB136" s="970" t="e">
        <f t="shared" si="12"/>
        <v>#DIV/0!</v>
      </c>
      <c r="BC136" s="971" t="e">
        <f t="shared" ca="1" si="13"/>
        <v>#DIV/0!</v>
      </c>
      <c r="BD136" s="228">
        <f>input_values!Z136</f>
        <v>4</v>
      </c>
      <c r="BE136" s="152">
        <f>input_values!L136</f>
        <v>0</v>
      </c>
      <c r="BF136" s="972" t="str">
        <f t="shared" si="14"/>
        <v/>
      </c>
    </row>
    <row r="137" spans="1:58" ht="12" customHeight="1" outlineLevel="2" x14ac:dyDescent="0.2">
      <c r="A137" s="341">
        <v>3</v>
      </c>
      <c r="B137" s="3">
        <v>233000</v>
      </c>
      <c r="C137" s="3" t="s">
        <v>168</v>
      </c>
      <c r="D137" s="965">
        <f>Table22[[#This Row],[MRL individual commodity]]</f>
        <v>0</v>
      </c>
      <c r="E137" s="300">
        <f>Table22[[#This Row],[LOQ_label]]</f>
        <v>0</v>
      </c>
      <c r="F137" s="966">
        <f>Table22[[#This Row],[Chronic RA input value]]</f>
        <v>0</v>
      </c>
      <c r="G137" s="304">
        <f>Table22[[#This Row],[Chronic RA label]]</f>
        <v>0</v>
      </c>
      <c r="H137" s="304">
        <f>Table22[[#This Row],[GAP under assessment]]</f>
        <v>0</v>
      </c>
      <c r="I137" s="1123"/>
      <c r="J137" s="967" t="e">
        <f>IF($F137="","",$F137*chronic_consumption!$E137/1000/$C$3)</f>
        <v>#DIV/0!</v>
      </c>
      <c r="K137" s="967" t="e">
        <f>IF($F137="","",$F137*chronic_consumption!F137/1000/$C$3)</f>
        <v>#DIV/0!</v>
      </c>
      <c r="L137" s="967" t="e">
        <f>IF($F137="","",$F137*chronic_consumption!G137/1000/$C$3)</f>
        <v>#DIV/0!</v>
      </c>
      <c r="M137" s="967" t="e">
        <f>IF($F137="","",$F137*chronic_consumption!H137/1000/$C$3)</f>
        <v>#DIV/0!</v>
      </c>
      <c r="N137" s="967" t="e">
        <f>IF($F137="","",$F137*chronic_consumption!I137/1000/$C$3)</f>
        <v>#DIV/0!</v>
      </c>
      <c r="O137" s="967" t="e">
        <f>IF($F137="","",$F137*chronic_consumption!J137/1000/$C$3)</f>
        <v>#DIV/0!</v>
      </c>
      <c r="P137" s="967" t="e">
        <f>IF($F137="","",$F137*chronic_consumption!K137/1000/$C$3)</f>
        <v>#DIV/0!</v>
      </c>
      <c r="Q137" s="967" t="e">
        <f>IF($F137="","",$F137*chronic_consumption!L137/1000/$C$3)</f>
        <v>#DIV/0!</v>
      </c>
      <c r="R137" s="967" t="e">
        <f>IF($F137="","",$F137*chronic_consumption!M137/1000/$C$3)</f>
        <v>#DIV/0!</v>
      </c>
      <c r="S137" s="967" t="e">
        <f>IF($F137="","",$F137*chronic_consumption!N137/1000/$C$3)</f>
        <v>#DIV/0!</v>
      </c>
      <c r="T137" s="967" t="e">
        <f>IF($F137="","",$F137*chronic_consumption!O137/1000/$C$3)</f>
        <v>#DIV/0!</v>
      </c>
      <c r="U137" s="967" t="e">
        <f>IF($F137="","",$F137*chronic_consumption!P137/1000/$C$3)</f>
        <v>#DIV/0!</v>
      </c>
      <c r="V137" s="967" t="e">
        <f>IF($F137="","",$F137*chronic_consumption!Q137/1000/$C$3)</f>
        <v>#DIV/0!</v>
      </c>
      <c r="W137" s="967" t="e">
        <f>IF($F137="","",$F137*chronic_consumption!R137/1000/$C$3)</f>
        <v>#DIV/0!</v>
      </c>
      <c r="X137" s="967" t="e">
        <f>IF($F137="","",$F137*chronic_consumption!S137/1000/$C$3)</f>
        <v>#DIV/0!</v>
      </c>
      <c r="Y137" s="967" t="e">
        <f>IF($F137="","",$F137*chronic_consumption!T137/1000/$C$3)</f>
        <v>#DIV/0!</v>
      </c>
      <c r="Z137" s="967" t="e">
        <f>IF($F137="","",$F137*chronic_consumption!U137/1000/$C$3)</f>
        <v>#DIV/0!</v>
      </c>
      <c r="AA137" s="967" t="e">
        <f>IF($F137="","",$F137*chronic_consumption!V137/1000/$C$3)</f>
        <v>#DIV/0!</v>
      </c>
      <c r="AB137" s="967" t="e">
        <f>IF($F137="","",$F137*chronic_consumption!W137/1000/$C$3)</f>
        <v>#DIV/0!</v>
      </c>
      <c r="AC137" s="967" t="e">
        <f>IF($F137="","",$F137*chronic_consumption!X137/1000/$C$3)</f>
        <v>#DIV/0!</v>
      </c>
      <c r="AD137" s="967" t="e">
        <f>IF($F137="","",$F137*chronic_consumption!Y137/1000/$C$3)</f>
        <v>#DIV/0!</v>
      </c>
      <c r="AE137" s="967" t="e">
        <f>IF($F137="","",$F137*chronic_consumption!Z137/1000/$C$3)</f>
        <v>#DIV/0!</v>
      </c>
      <c r="AF137" s="967" t="e">
        <f>IF($F137="","",$F137*chronic_consumption!AA137/1000/$C$3)</f>
        <v>#DIV/0!</v>
      </c>
      <c r="AG137" s="967" t="e">
        <f>IF($F137="","",$F137*chronic_consumption!AB137/1000/$C$3)</f>
        <v>#DIV/0!</v>
      </c>
      <c r="AH137" s="967" t="e">
        <f>IF($F137="","",$F137*chronic_consumption!AC137/1000/$C$3)</f>
        <v>#DIV/0!</v>
      </c>
      <c r="AI137" s="967" t="e">
        <f>IF($F137="","",$F137*chronic_consumption!AD137/1000/$C$3)</f>
        <v>#DIV/0!</v>
      </c>
      <c r="AJ137" s="967" t="e">
        <f>IF($F137="","",$F137*chronic_consumption!AE137/1000/$C$3)</f>
        <v>#DIV/0!</v>
      </c>
      <c r="AK137" s="967" t="e">
        <f>IF($F137="","",$F137*chronic_consumption!AF137/1000/$C$3)</f>
        <v>#DIV/0!</v>
      </c>
      <c r="AL137" s="967" t="e">
        <f>IF($F137="","",$F137*chronic_consumption!AG137/1000/$C$3)</f>
        <v>#DIV/0!</v>
      </c>
      <c r="AM137" s="967" t="e">
        <f>IF($F137="","",$F137*chronic_consumption!AH137/1000/$C$3)</f>
        <v>#DIV/0!</v>
      </c>
      <c r="AN137" s="967" t="e">
        <f>IF($F137="","",$F137*chronic_consumption!AI137/1000/$C$3)</f>
        <v>#DIV/0!</v>
      </c>
      <c r="AO137" s="967" t="e">
        <f>IF($F137="","",$F137*chronic_consumption!AJ137/1000/$C$3)</f>
        <v>#DIV/0!</v>
      </c>
      <c r="AP137" s="967" t="e">
        <f>IF($F137="","",$F137*chronic_consumption!AK137/1000/$C$3)</f>
        <v>#DIV/0!</v>
      </c>
      <c r="AQ137" s="967" t="e">
        <f>IF($F137="","",$F137*chronic_consumption!AL137/1000/$C$3)</f>
        <v>#DIV/0!</v>
      </c>
      <c r="AR137" s="967" t="e">
        <f>IF($F137="","",$F137*chronic_consumption!AM137/1000/$C$3)</f>
        <v>#DIV/0!</v>
      </c>
      <c r="AS137" s="967" t="e">
        <f>IF($F137="","",$F137*chronic_consumption!AN137/1000/$C$3)</f>
        <v>#DIV/0!</v>
      </c>
      <c r="AT137" s="967" t="e">
        <f>IF($F137="","",$F137*chronic_consumption!AO137/1000/$C$3)</f>
        <v>#DIV/0!</v>
      </c>
      <c r="AU137" s="967"/>
      <c r="AV137" s="967" t="e">
        <f>IF($F137="","",$F137*chronic_consumption!AQ137/1000/$C$3)</f>
        <v>#DIV/0!</v>
      </c>
      <c r="AW137" s="967" t="e">
        <f>IF($F137="","",$F137*chronic_consumption!AR137/1000/$C$3)</f>
        <v>#DIV/0!</v>
      </c>
      <c r="AX137" s="967" t="e">
        <f>IF($F137="","",$F137*chronic_consumption!AS137/1000/$C$3)</f>
        <v>#DIV/0!</v>
      </c>
      <c r="AY137" s="967" t="e">
        <f>IF($F137="","",$F137*chronic_consumption!AT137/1000/$C$3)</f>
        <v>#DIV/0!</v>
      </c>
      <c r="AZ137" s="973"/>
      <c r="BA137" s="969" t="e">
        <f t="shared" si="11"/>
        <v>#DIV/0!</v>
      </c>
      <c r="BB137" s="970" t="e">
        <f t="shared" si="12"/>
        <v>#DIV/0!</v>
      </c>
      <c r="BC137" s="971" t="e">
        <f t="shared" ca="1" si="13"/>
        <v>#DIV/0!</v>
      </c>
      <c r="BD137" s="228">
        <f>input_values!Z137</f>
        <v>4</v>
      </c>
      <c r="BE137" s="152">
        <f>input_values!L137</f>
        <v>0</v>
      </c>
      <c r="BF137" s="972" t="str">
        <f t="shared" si="14"/>
        <v/>
      </c>
    </row>
    <row r="138" spans="1:58" ht="12" customHeight="1" outlineLevel="3" x14ac:dyDescent="0.2">
      <c r="A138" s="21">
        <v>4</v>
      </c>
      <c r="B138" s="23">
        <v>233010</v>
      </c>
      <c r="C138" s="23" t="s">
        <v>247</v>
      </c>
      <c r="D138" s="965">
        <f>Table22[[#This Row],[MRL individual commodity]]</f>
        <v>0</v>
      </c>
      <c r="E138" s="300" t="str">
        <f>Table22[[#This Row],[LOQ_label]]</f>
        <v/>
      </c>
      <c r="F138" s="966">
        <f>Table22[[#This Row],[Chronic RA input value]]</f>
        <v>0</v>
      </c>
      <c r="G138" s="304" t="str">
        <f>Table22[[#This Row],[Chronic RA label]]</f>
        <v/>
      </c>
      <c r="H138" s="304">
        <f>Table22[[#This Row],[GAP under assessment]]</f>
        <v>0</v>
      </c>
      <c r="I138" s="1123"/>
      <c r="J138" s="974" t="e">
        <f>IF($F138="","",$F138*chronic_consumption!$E138/1000/$C$3)</f>
        <v>#DIV/0!</v>
      </c>
      <c r="K138" s="974" t="e">
        <f>IF($F138="","",$F138*chronic_consumption!F138/1000/$C$3)</f>
        <v>#DIV/0!</v>
      </c>
      <c r="L138" s="974" t="e">
        <f>IF($F138="","",$F138*chronic_consumption!G138/1000/$C$3)</f>
        <v>#DIV/0!</v>
      </c>
      <c r="M138" s="974" t="e">
        <f>IF($F138="","",$F138*chronic_consumption!H138/1000/$C$3)</f>
        <v>#DIV/0!</v>
      </c>
      <c r="N138" s="974" t="e">
        <f>IF($F138="","",$F138*chronic_consumption!I138/1000/$C$3)</f>
        <v>#DIV/0!</v>
      </c>
      <c r="O138" s="974" t="e">
        <f>IF($F138="","",$F138*chronic_consumption!J138/1000/$C$3)</f>
        <v>#DIV/0!</v>
      </c>
      <c r="P138" s="974" t="e">
        <f>IF($F138="","",$F138*chronic_consumption!K138/1000/$C$3)</f>
        <v>#DIV/0!</v>
      </c>
      <c r="Q138" s="974" t="e">
        <f>IF($F138="","",$F138*chronic_consumption!L138/1000/$C$3)</f>
        <v>#DIV/0!</v>
      </c>
      <c r="R138" s="974" t="e">
        <f>IF($F138="","",$F138*chronic_consumption!M138/1000/$C$3)</f>
        <v>#DIV/0!</v>
      </c>
      <c r="S138" s="974" t="e">
        <f>IF($F138="","",$F138*chronic_consumption!N138/1000/$C$3)</f>
        <v>#DIV/0!</v>
      </c>
      <c r="T138" s="974" t="e">
        <f>IF($F138="","",$F138*chronic_consumption!O138/1000/$C$3)</f>
        <v>#DIV/0!</v>
      </c>
      <c r="U138" s="974" t="e">
        <f>IF($F138="","",$F138*chronic_consumption!P138/1000/$C$3)</f>
        <v>#DIV/0!</v>
      </c>
      <c r="V138" s="974" t="e">
        <f>IF($F138="","",$F138*chronic_consumption!Q138/1000/$C$3)</f>
        <v>#DIV/0!</v>
      </c>
      <c r="W138" s="974" t="e">
        <f>IF($F138="","",$F138*chronic_consumption!R138/1000/$C$3)</f>
        <v>#DIV/0!</v>
      </c>
      <c r="X138" s="974" t="e">
        <f>IF($F138="","",$F138*chronic_consumption!S138/1000/$C$3)</f>
        <v>#DIV/0!</v>
      </c>
      <c r="Y138" s="974" t="e">
        <f>IF($F138="","",$F138*chronic_consumption!T138/1000/$C$3)</f>
        <v>#DIV/0!</v>
      </c>
      <c r="Z138" s="974" t="e">
        <f>IF($F138="","",$F138*chronic_consumption!U138/1000/$C$3)</f>
        <v>#DIV/0!</v>
      </c>
      <c r="AA138" s="974" t="e">
        <f>IF($F138="","",$F138*chronic_consumption!V138/1000/$C$3)</f>
        <v>#DIV/0!</v>
      </c>
      <c r="AB138" s="974" t="e">
        <f>IF($F138="","",$F138*chronic_consumption!W138/1000/$C$3)</f>
        <v>#DIV/0!</v>
      </c>
      <c r="AC138" s="974" t="e">
        <f>IF($F138="","",$F138*chronic_consumption!X138/1000/$C$3)</f>
        <v>#DIV/0!</v>
      </c>
      <c r="AD138" s="974" t="e">
        <f>IF($F138="","",$F138*chronic_consumption!Y138/1000/$C$3)</f>
        <v>#DIV/0!</v>
      </c>
      <c r="AE138" s="974" t="e">
        <f>IF($F138="","",$F138*chronic_consumption!Z138/1000/$C$3)</f>
        <v>#DIV/0!</v>
      </c>
      <c r="AF138" s="974" t="e">
        <f>IF($F138="","",$F138*chronic_consumption!AA138/1000/$C$3)</f>
        <v>#DIV/0!</v>
      </c>
      <c r="AG138" s="974" t="e">
        <f>IF($F138="","",$F138*chronic_consumption!AB138/1000/$C$3)</f>
        <v>#DIV/0!</v>
      </c>
      <c r="AH138" s="974" t="e">
        <f>IF($F138="","",$F138*chronic_consumption!AC138/1000/$C$3)</f>
        <v>#DIV/0!</v>
      </c>
      <c r="AI138" s="974" t="e">
        <f>IF($F138="","",$F138*chronic_consumption!AD138/1000/$C$3)</f>
        <v>#DIV/0!</v>
      </c>
      <c r="AJ138" s="974" t="e">
        <f>IF($F138="","",$F138*chronic_consumption!AE138/1000/$C$3)</f>
        <v>#DIV/0!</v>
      </c>
      <c r="AK138" s="974" t="e">
        <f>IF($F138="","",$F138*chronic_consumption!AF138/1000/$C$3)</f>
        <v>#DIV/0!</v>
      </c>
      <c r="AL138" s="974" t="e">
        <f>IF($F138="","",$F138*chronic_consumption!AG138/1000/$C$3)</f>
        <v>#DIV/0!</v>
      </c>
      <c r="AM138" s="974" t="e">
        <f>IF($F138="","",$F138*chronic_consumption!AH138/1000/$C$3)</f>
        <v>#DIV/0!</v>
      </c>
      <c r="AN138" s="974" t="e">
        <f>IF($F138="","",$F138*chronic_consumption!AI138/1000/$C$3)</f>
        <v>#DIV/0!</v>
      </c>
      <c r="AO138" s="974" t="e">
        <f>IF($F138="","",$F138*chronic_consumption!AJ138/1000/$C$3)</f>
        <v>#DIV/0!</v>
      </c>
      <c r="AP138" s="974" t="e">
        <f>IF($F138="","",$F138*chronic_consumption!AK138/1000/$C$3)</f>
        <v>#DIV/0!</v>
      </c>
      <c r="AQ138" s="974" t="e">
        <f>IF($F138="","",$F138*chronic_consumption!AL138/1000/$C$3)</f>
        <v>#DIV/0!</v>
      </c>
      <c r="AR138" s="974" t="e">
        <f>IF($F138="","",$F138*chronic_consumption!AM138/1000/$C$3)</f>
        <v>#DIV/0!</v>
      </c>
      <c r="AS138" s="974" t="e">
        <f>IF($F138="","",$F138*chronic_consumption!AN138/1000/$C$3)</f>
        <v>#DIV/0!</v>
      </c>
      <c r="AT138" s="974" t="e">
        <f>IF($F138="","",$F138*chronic_consumption!AO138/1000/$C$3)</f>
        <v>#DIV/0!</v>
      </c>
      <c r="AU138" s="974"/>
      <c r="AV138" s="974" t="e">
        <f>IF($F138="","",$F138*chronic_consumption!AQ138/1000/$C$3)</f>
        <v>#DIV/0!</v>
      </c>
      <c r="AW138" s="974" t="e">
        <f>IF($F138="","",$F138*chronic_consumption!AR138/1000/$C$3)</f>
        <v>#DIV/0!</v>
      </c>
      <c r="AX138" s="974" t="e">
        <f>IF($F138="","",$F138*chronic_consumption!AS138/1000/$C$3)</f>
        <v>#DIV/0!</v>
      </c>
      <c r="AY138" s="974" t="e">
        <f>IF($F138="","",$F138*chronic_consumption!AT138/1000/$C$3)</f>
        <v>#DIV/0!</v>
      </c>
      <c r="AZ138" s="973" t="s">
        <v>19</v>
      </c>
      <c r="BA138" s="969" t="e">
        <f t="shared" si="11"/>
        <v>#DIV/0!</v>
      </c>
      <c r="BB138" s="970" t="e">
        <f t="shared" si="12"/>
        <v>#DIV/0!</v>
      </c>
      <c r="BC138" s="971" t="e">
        <f t="shared" ca="1" si="13"/>
        <v>#DIV/0!</v>
      </c>
      <c r="BD138" s="228">
        <f>input_values!Z138</f>
        <v>4</v>
      </c>
      <c r="BE138" s="152">
        <f>input_values!L138</f>
        <v>0</v>
      </c>
      <c r="BF138" s="972" t="str">
        <f t="shared" si="14"/>
        <v/>
      </c>
    </row>
    <row r="139" spans="1:58" ht="12" customHeight="1" outlineLevel="3" x14ac:dyDescent="0.2">
      <c r="A139" s="21">
        <v>4</v>
      </c>
      <c r="B139" s="23">
        <v>233020</v>
      </c>
      <c r="C139" s="23" t="s">
        <v>248</v>
      </c>
      <c r="D139" s="965">
        <f>Table22[[#This Row],[MRL individual commodity]]</f>
        <v>0</v>
      </c>
      <c r="E139" s="300" t="str">
        <f>Table22[[#This Row],[LOQ_label]]</f>
        <v/>
      </c>
      <c r="F139" s="966">
        <f>Table22[[#This Row],[Chronic RA input value]]</f>
        <v>0</v>
      </c>
      <c r="G139" s="304" t="str">
        <f>Table22[[#This Row],[Chronic RA label]]</f>
        <v/>
      </c>
      <c r="H139" s="304">
        <f>Table22[[#This Row],[GAP under assessment]]</f>
        <v>0</v>
      </c>
      <c r="I139" s="1123"/>
      <c r="J139" s="974" t="e">
        <f>IF($F139="","",$F139*chronic_consumption!$E139/1000/$C$3)</f>
        <v>#DIV/0!</v>
      </c>
      <c r="K139" s="974" t="e">
        <f>IF($F139="","",$F139*chronic_consumption!F139/1000/$C$3)</f>
        <v>#DIV/0!</v>
      </c>
      <c r="L139" s="974" t="e">
        <f>IF($F139="","",$F139*chronic_consumption!G139/1000/$C$3)</f>
        <v>#DIV/0!</v>
      </c>
      <c r="M139" s="974" t="e">
        <f>IF($F139="","",$F139*chronic_consumption!H139/1000/$C$3)</f>
        <v>#DIV/0!</v>
      </c>
      <c r="N139" s="974" t="e">
        <f>IF($F139="","",$F139*chronic_consumption!I139/1000/$C$3)</f>
        <v>#DIV/0!</v>
      </c>
      <c r="O139" s="974" t="e">
        <f>IF($F139="","",$F139*chronic_consumption!J139/1000/$C$3)</f>
        <v>#DIV/0!</v>
      </c>
      <c r="P139" s="974" t="e">
        <f>IF($F139="","",$F139*chronic_consumption!K139/1000/$C$3)</f>
        <v>#DIV/0!</v>
      </c>
      <c r="Q139" s="974" t="e">
        <f>IF($F139="","",$F139*chronic_consumption!L139/1000/$C$3)</f>
        <v>#DIV/0!</v>
      </c>
      <c r="R139" s="974" t="e">
        <f>IF($F139="","",$F139*chronic_consumption!M139/1000/$C$3)</f>
        <v>#DIV/0!</v>
      </c>
      <c r="S139" s="974" t="e">
        <f>IF($F139="","",$F139*chronic_consumption!N139/1000/$C$3)</f>
        <v>#DIV/0!</v>
      </c>
      <c r="T139" s="974" t="e">
        <f>IF($F139="","",$F139*chronic_consumption!O139/1000/$C$3)</f>
        <v>#DIV/0!</v>
      </c>
      <c r="U139" s="974" t="e">
        <f>IF($F139="","",$F139*chronic_consumption!P139/1000/$C$3)</f>
        <v>#DIV/0!</v>
      </c>
      <c r="V139" s="974" t="e">
        <f>IF($F139="","",$F139*chronic_consumption!Q139/1000/$C$3)</f>
        <v>#DIV/0!</v>
      </c>
      <c r="W139" s="974" t="e">
        <f>IF($F139="","",$F139*chronic_consumption!R139/1000/$C$3)</f>
        <v>#DIV/0!</v>
      </c>
      <c r="X139" s="974" t="e">
        <f>IF($F139="","",$F139*chronic_consumption!S139/1000/$C$3)</f>
        <v>#DIV/0!</v>
      </c>
      <c r="Y139" s="974" t="e">
        <f>IF($F139="","",$F139*chronic_consumption!T139/1000/$C$3)</f>
        <v>#DIV/0!</v>
      </c>
      <c r="Z139" s="974" t="e">
        <f>IF($F139="","",$F139*chronic_consumption!U139/1000/$C$3)</f>
        <v>#DIV/0!</v>
      </c>
      <c r="AA139" s="974" t="e">
        <f>IF($F139="","",$F139*chronic_consumption!V139/1000/$C$3)</f>
        <v>#DIV/0!</v>
      </c>
      <c r="AB139" s="974" t="e">
        <f>IF($F139="","",$F139*chronic_consumption!W139/1000/$C$3)</f>
        <v>#DIV/0!</v>
      </c>
      <c r="AC139" s="974" t="e">
        <f>IF($F139="","",$F139*chronic_consumption!X139/1000/$C$3)</f>
        <v>#DIV/0!</v>
      </c>
      <c r="AD139" s="974" t="e">
        <f>IF($F139="","",$F139*chronic_consumption!Y139/1000/$C$3)</f>
        <v>#DIV/0!</v>
      </c>
      <c r="AE139" s="974" t="e">
        <f>IF($F139="","",$F139*chronic_consumption!Z139/1000/$C$3)</f>
        <v>#DIV/0!</v>
      </c>
      <c r="AF139" s="974" t="e">
        <f>IF($F139="","",$F139*chronic_consumption!AA139/1000/$C$3)</f>
        <v>#DIV/0!</v>
      </c>
      <c r="AG139" s="974" t="e">
        <f>IF($F139="","",$F139*chronic_consumption!AB139/1000/$C$3)</f>
        <v>#DIV/0!</v>
      </c>
      <c r="AH139" s="974" t="e">
        <f>IF($F139="","",$F139*chronic_consumption!AC139/1000/$C$3)</f>
        <v>#DIV/0!</v>
      </c>
      <c r="AI139" s="974" t="e">
        <f>IF($F139="","",$F139*chronic_consumption!AD139/1000/$C$3)</f>
        <v>#DIV/0!</v>
      </c>
      <c r="AJ139" s="974" t="e">
        <f>IF($F139="","",$F139*chronic_consumption!AE139/1000/$C$3)</f>
        <v>#DIV/0!</v>
      </c>
      <c r="AK139" s="974" t="e">
        <f>IF($F139="","",$F139*chronic_consumption!AF139/1000/$C$3)</f>
        <v>#DIV/0!</v>
      </c>
      <c r="AL139" s="974" t="e">
        <f>IF($F139="","",$F139*chronic_consumption!AG139/1000/$C$3)</f>
        <v>#DIV/0!</v>
      </c>
      <c r="AM139" s="974" t="e">
        <f>IF($F139="","",$F139*chronic_consumption!AH139/1000/$C$3)</f>
        <v>#DIV/0!</v>
      </c>
      <c r="AN139" s="974" t="e">
        <f>IF($F139="","",$F139*chronic_consumption!AI139/1000/$C$3)</f>
        <v>#DIV/0!</v>
      </c>
      <c r="AO139" s="974" t="e">
        <f>IF($F139="","",$F139*chronic_consumption!AJ139/1000/$C$3)</f>
        <v>#DIV/0!</v>
      </c>
      <c r="AP139" s="974" t="e">
        <f>IF($F139="","",$F139*chronic_consumption!AK139/1000/$C$3)</f>
        <v>#DIV/0!</v>
      </c>
      <c r="AQ139" s="974" t="e">
        <f>IF($F139="","",$F139*chronic_consumption!AL139/1000/$C$3)</f>
        <v>#DIV/0!</v>
      </c>
      <c r="AR139" s="974" t="e">
        <f>IF($F139="","",$F139*chronic_consumption!AM139/1000/$C$3)</f>
        <v>#DIV/0!</v>
      </c>
      <c r="AS139" s="974" t="e">
        <f>IF($F139="","",$F139*chronic_consumption!AN139/1000/$C$3)</f>
        <v>#DIV/0!</v>
      </c>
      <c r="AT139" s="974" t="e">
        <f>IF($F139="","",$F139*chronic_consumption!AO139/1000/$C$3)</f>
        <v>#DIV/0!</v>
      </c>
      <c r="AU139" s="974"/>
      <c r="AV139" s="974" t="e">
        <f>IF($F139="","",$F139*chronic_consumption!AQ139/1000/$C$3)</f>
        <v>#DIV/0!</v>
      </c>
      <c r="AW139" s="974" t="e">
        <f>IF($F139="","",$F139*chronic_consumption!AR139/1000/$C$3)</f>
        <v>#DIV/0!</v>
      </c>
      <c r="AX139" s="974" t="e">
        <f>IF($F139="","",$F139*chronic_consumption!AS139/1000/$C$3)</f>
        <v>#DIV/0!</v>
      </c>
      <c r="AY139" s="974" t="e">
        <f>IF($F139="","",$F139*chronic_consumption!AT139/1000/$C$3)</f>
        <v>#DIV/0!</v>
      </c>
      <c r="AZ139" s="973" t="s">
        <v>19</v>
      </c>
      <c r="BA139" s="969" t="e">
        <f t="shared" si="11"/>
        <v>#DIV/0!</v>
      </c>
      <c r="BB139" s="970" t="e">
        <f t="shared" si="12"/>
        <v>#DIV/0!</v>
      </c>
      <c r="BC139" s="971" t="e">
        <f t="shared" ca="1" si="13"/>
        <v>#DIV/0!</v>
      </c>
      <c r="BD139" s="228">
        <f>input_values!Z139</f>
        <v>4</v>
      </c>
      <c r="BE139" s="152">
        <f>input_values!L139</f>
        <v>0</v>
      </c>
      <c r="BF139" s="972" t="str">
        <f t="shared" si="14"/>
        <v/>
      </c>
    </row>
    <row r="140" spans="1:58" ht="12" customHeight="1" outlineLevel="3" x14ac:dyDescent="0.2">
      <c r="A140" s="21">
        <v>4</v>
      </c>
      <c r="B140" s="23">
        <v>233030</v>
      </c>
      <c r="C140" s="23" t="s">
        <v>249</v>
      </c>
      <c r="D140" s="965">
        <f>Table22[[#This Row],[MRL individual commodity]]</f>
        <v>0</v>
      </c>
      <c r="E140" s="300" t="str">
        <f>Table22[[#This Row],[LOQ_label]]</f>
        <v/>
      </c>
      <c r="F140" s="966">
        <f>Table22[[#This Row],[Chronic RA input value]]</f>
        <v>0</v>
      </c>
      <c r="G140" s="304" t="str">
        <f>Table22[[#This Row],[Chronic RA label]]</f>
        <v/>
      </c>
      <c r="H140" s="304">
        <f>Table22[[#This Row],[GAP under assessment]]</f>
        <v>0</v>
      </c>
      <c r="I140" s="1123"/>
      <c r="J140" s="974" t="e">
        <f>IF($F140="","",$F140*chronic_consumption!$E140/1000/$C$3)</f>
        <v>#DIV/0!</v>
      </c>
      <c r="K140" s="974" t="e">
        <f>IF($F140="","",$F140*chronic_consumption!F140/1000/$C$3)</f>
        <v>#DIV/0!</v>
      </c>
      <c r="L140" s="974" t="e">
        <f>IF($F140="","",$F140*chronic_consumption!G140/1000/$C$3)</f>
        <v>#DIV/0!</v>
      </c>
      <c r="M140" s="974" t="e">
        <f>IF($F140="","",$F140*chronic_consumption!H140/1000/$C$3)</f>
        <v>#DIV/0!</v>
      </c>
      <c r="N140" s="974" t="e">
        <f>IF($F140="","",$F140*chronic_consumption!I140/1000/$C$3)</f>
        <v>#DIV/0!</v>
      </c>
      <c r="O140" s="974" t="e">
        <f>IF($F140="","",$F140*chronic_consumption!J140/1000/$C$3)</f>
        <v>#DIV/0!</v>
      </c>
      <c r="P140" s="974" t="e">
        <f>IF($F140="","",$F140*chronic_consumption!K140/1000/$C$3)</f>
        <v>#DIV/0!</v>
      </c>
      <c r="Q140" s="974" t="e">
        <f>IF($F140="","",$F140*chronic_consumption!L140/1000/$C$3)</f>
        <v>#DIV/0!</v>
      </c>
      <c r="R140" s="974" t="e">
        <f>IF($F140="","",$F140*chronic_consumption!M140/1000/$C$3)</f>
        <v>#DIV/0!</v>
      </c>
      <c r="S140" s="974" t="e">
        <f>IF($F140="","",$F140*chronic_consumption!N140/1000/$C$3)</f>
        <v>#DIV/0!</v>
      </c>
      <c r="T140" s="974" t="e">
        <f>IF($F140="","",$F140*chronic_consumption!O140/1000/$C$3)</f>
        <v>#DIV/0!</v>
      </c>
      <c r="U140" s="974" t="e">
        <f>IF($F140="","",$F140*chronic_consumption!P140/1000/$C$3)</f>
        <v>#DIV/0!</v>
      </c>
      <c r="V140" s="974" t="e">
        <f>IF($F140="","",$F140*chronic_consumption!Q140/1000/$C$3)</f>
        <v>#DIV/0!</v>
      </c>
      <c r="W140" s="974" t="e">
        <f>IF($F140="","",$F140*chronic_consumption!R140/1000/$C$3)</f>
        <v>#DIV/0!</v>
      </c>
      <c r="X140" s="974" t="e">
        <f>IF($F140="","",$F140*chronic_consumption!S140/1000/$C$3)</f>
        <v>#DIV/0!</v>
      </c>
      <c r="Y140" s="974" t="e">
        <f>IF($F140="","",$F140*chronic_consumption!T140/1000/$C$3)</f>
        <v>#DIV/0!</v>
      </c>
      <c r="Z140" s="974" t="e">
        <f>IF($F140="","",$F140*chronic_consumption!U140/1000/$C$3)</f>
        <v>#DIV/0!</v>
      </c>
      <c r="AA140" s="974" t="e">
        <f>IF($F140="","",$F140*chronic_consumption!V140/1000/$C$3)</f>
        <v>#DIV/0!</v>
      </c>
      <c r="AB140" s="974" t="e">
        <f>IF($F140="","",$F140*chronic_consumption!W140/1000/$C$3)</f>
        <v>#DIV/0!</v>
      </c>
      <c r="AC140" s="974" t="e">
        <f>IF($F140="","",$F140*chronic_consumption!X140/1000/$C$3)</f>
        <v>#DIV/0!</v>
      </c>
      <c r="AD140" s="974" t="e">
        <f>IF($F140="","",$F140*chronic_consumption!Y140/1000/$C$3)</f>
        <v>#DIV/0!</v>
      </c>
      <c r="AE140" s="974" t="e">
        <f>IF($F140="","",$F140*chronic_consumption!Z140/1000/$C$3)</f>
        <v>#DIV/0!</v>
      </c>
      <c r="AF140" s="974" t="e">
        <f>IF($F140="","",$F140*chronic_consumption!AA140/1000/$C$3)</f>
        <v>#DIV/0!</v>
      </c>
      <c r="AG140" s="974" t="e">
        <f>IF($F140="","",$F140*chronic_consumption!AB140/1000/$C$3)</f>
        <v>#DIV/0!</v>
      </c>
      <c r="AH140" s="974" t="e">
        <f>IF($F140="","",$F140*chronic_consumption!AC140/1000/$C$3)</f>
        <v>#DIV/0!</v>
      </c>
      <c r="AI140" s="974" t="e">
        <f>IF($F140="","",$F140*chronic_consumption!AD140/1000/$C$3)</f>
        <v>#DIV/0!</v>
      </c>
      <c r="AJ140" s="974" t="e">
        <f>IF($F140="","",$F140*chronic_consumption!AE140/1000/$C$3)</f>
        <v>#DIV/0!</v>
      </c>
      <c r="AK140" s="974" t="e">
        <f>IF($F140="","",$F140*chronic_consumption!AF140/1000/$C$3)</f>
        <v>#DIV/0!</v>
      </c>
      <c r="AL140" s="974" t="e">
        <f>IF($F140="","",$F140*chronic_consumption!AG140/1000/$C$3)</f>
        <v>#DIV/0!</v>
      </c>
      <c r="AM140" s="974" t="e">
        <f>IF($F140="","",$F140*chronic_consumption!AH140/1000/$C$3)</f>
        <v>#DIV/0!</v>
      </c>
      <c r="AN140" s="974" t="e">
        <f>IF($F140="","",$F140*chronic_consumption!AI140/1000/$C$3)</f>
        <v>#DIV/0!</v>
      </c>
      <c r="AO140" s="974" t="e">
        <f>IF($F140="","",$F140*chronic_consumption!AJ140/1000/$C$3)</f>
        <v>#DIV/0!</v>
      </c>
      <c r="AP140" s="974" t="e">
        <f>IF($F140="","",$F140*chronic_consumption!AK140/1000/$C$3)</f>
        <v>#DIV/0!</v>
      </c>
      <c r="AQ140" s="974" t="e">
        <f>IF($F140="","",$F140*chronic_consumption!AL140/1000/$C$3)</f>
        <v>#DIV/0!</v>
      </c>
      <c r="AR140" s="974" t="e">
        <f>IF($F140="","",$F140*chronic_consumption!AM140/1000/$C$3)</f>
        <v>#DIV/0!</v>
      </c>
      <c r="AS140" s="974" t="e">
        <f>IF($F140="","",$F140*chronic_consumption!AN140/1000/$C$3)</f>
        <v>#DIV/0!</v>
      </c>
      <c r="AT140" s="974" t="e">
        <f>IF($F140="","",$F140*chronic_consumption!AO140/1000/$C$3)</f>
        <v>#DIV/0!</v>
      </c>
      <c r="AU140" s="974"/>
      <c r="AV140" s="974" t="e">
        <f>IF($F140="","",$F140*chronic_consumption!AQ140/1000/$C$3)</f>
        <v>#DIV/0!</v>
      </c>
      <c r="AW140" s="974" t="e">
        <f>IF($F140="","",$F140*chronic_consumption!AR140/1000/$C$3)</f>
        <v>#DIV/0!</v>
      </c>
      <c r="AX140" s="974" t="e">
        <f>IF($F140="","",$F140*chronic_consumption!AS140/1000/$C$3)</f>
        <v>#DIV/0!</v>
      </c>
      <c r="AY140" s="974" t="e">
        <f>IF($F140="","",$F140*chronic_consumption!AT140/1000/$C$3)</f>
        <v>#DIV/0!</v>
      </c>
      <c r="AZ140" s="973" t="s">
        <v>19</v>
      </c>
      <c r="BA140" s="969" t="e">
        <f t="shared" si="11"/>
        <v>#DIV/0!</v>
      </c>
      <c r="BB140" s="970" t="e">
        <f t="shared" si="12"/>
        <v>#DIV/0!</v>
      </c>
      <c r="BC140" s="971" t="e">
        <f t="shared" ca="1" si="13"/>
        <v>#DIV/0!</v>
      </c>
      <c r="BD140" s="228">
        <f>input_values!Z140</f>
        <v>4</v>
      </c>
      <c r="BE140" s="152">
        <f>input_values!L140</f>
        <v>0</v>
      </c>
      <c r="BF140" s="972" t="str">
        <f t="shared" si="14"/>
        <v/>
      </c>
    </row>
    <row r="141" spans="1:58" ht="12" customHeight="1" outlineLevel="3" x14ac:dyDescent="0.2">
      <c r="A141" s="21">
        <v>4</v>
      </c>
      <c r="B141" s="23">
        <v>233990</v>
      </c>
      <c r="C141" s="23" t="s">
        <v>169</v>
      </c>
      <c r="D141" s="965">
        <f>Table22[[#This Row],[MRL individual commodity]]</f>
        <v>0</v>
      </c>
      <c r="E141" s="300" t="str">
        <f>Table22[[#This Row],[LOQ_label]]</f>
        <v/>
      </c>
      <c r="F141" s="966">
        <f>Table22[[#This Row],[Chronic RA input value]]</f>
        <v>0</v>
      </c>
      <c r="G141" s="304" t="str">
        <f>Table22[[#This Row],[Chronic RA label]]</f>
        <v/>
      </c>
      <c r="H141" s="304">
        <f>Table22[[#This Row],[GAP under assessment]]</f>
        <v>0</v>
      </c>
      <c r="I141" s="1123"/>
      <c r="J141" s="974" t="e">
        <f>IF($F141="","",$F141*chronic_consumption!$E141/1000/$C$3)</f>
        <v>#DIV/0!</v>
      </c>
      <c r="K141" s="974" t="e">
        <f>IF($F141="","",$F141*chronic_consumption!F141/1000/$C$3)</f>
        <v>#DIV/0!</v>
      </c>
      <c r="L141" s="974" t="e">
        <f>IF($F141="","",$F141*chronic_consumption!G141/1000/$C$3)</f>
        <v>#DIV/0!</v>
      </c>
      <c r="M141" s="974" t="e">
        <f>IF($F141="","",$F141*chronic_consumption!H141/1000/$C$3)</f>
        <v>#DIV/0!</v>
      </c>
      <c r="N141" s="974" t="e">
        <f>IF($F141="","",$F141*chronic_consumption!I141/1000/$C$3)</f>
        <v>#DIV/0!</v>
      </c>
      <c r="O141" s="974" t="e">
        <f>IF($F141="","",$F141*chronic_consumption!J141/1000/$C$3)</f>
        <v>#DIV/0!</v>
      </c>
      <c r="P141" s="974" t="e">
        <f>IF($F141="","",$F141*chronic_consumption!K141/1000/$C$3)</f>
        <v>#DIV/0!</v>
      </c>
      <c r="Q141" s="974" t="e">
        <f>IF($F141="","",$F141*chronic_consumption!L141/1000/$C$3)</f>
        <v>#DIV/0!</v>
      </c>
      <c r="R141" s="974" t="e">
        <f>IF($F141="","",$F141*chronic_consumption!M141/1000/$C$3)</f>
        <v>#DIV/0!</v>
      </c>
      <c r="S141" s="974" t="e">
        <f>IF($F141="","",$F141*chronic_consumption!N141/1000/$C$3)</f>
        <v>#DIV/0!</v>
      </c>
      <c r="T141" s="974" t="e">
        <f>IF($F141="","",$F141*chronic_consumption!O141/1000/$C$3)</f>
        <v>#DIV/0!</v>
      </c>
      <c r="U141" s="974" t="e">
        <f>IF($F141="","",$F141*chronic_consumption!P141/1000/$C$3)</f>
        <v>#DIV/0!</v>
      </c>
      <c r="V141" s="974" t="e">
        <f>IF($F141="","",$F141*chronic_consumption!Q141/1000/$C$3)</f>
        <v>#DIV/0!</v>
      </c>
      <c r="W141" s="974" t="e">
        <f>IF($F141="","",$F141*chronic_consumption!R141/1000/$C$3)</f>
        <v>#DIV/0!</v>
      </c>
      <c r="X141" s="974" t="e">
        <f>IF($F141="","",$F141*chronic_consumption!S141/1000/$C$3)</f>
        <v>#DIV/0!</v>
      </c>
      <c r="Y141" s="974" t="e">
        <f>IF($F141="","",$F141*chronic_consumption!T141/1000/$C$3)</f>
        <v>#DIV/0!</v>
      </c>
      <c r="Z141" s="974" t="e">
        <f>IF($F141="","",$F141*chronic_consumption!U141/1000/$C$3)</f>
        <v>#DIV/0!</v>
      </c>
      <c r="AA141" s="974" t="e">
        <f>IF($F141="","",$F141*chronic_consumption!V141/1000/$C$3)</f>
        <v>#DIV/0!</v>
      </c>
      <c r="AB141" s="974" t="e">
        <f>IF($F141="","",$F141*chronic_consumption!W141/1000/$C$3)</f>
        <v>#DIV/0!</v>
      </c>
      <c r="AC141" s="974" t="e">
        <f>IF($F141="","",$F141*chronic_consumption!X141/1000/$C$3)</f>
        <v>#DIV/0!</v>
      </c>
      <c r="AD141" s="974" t="e">
        <f>IF($F141="","",$F141*chronic_consumption!Y141/1000/$C$3)</f>
        <v>#DIV/0!</v>
      </c>
      <c r="AE141" s="974" t="e">
        <f>IF($F141="","",$F141*chronic_consumption!Z141/1000/$C$3)</f>
        <v>#DIV/0!</v>
      </c>
      <c r="AF141" s="974" t="e">
        <f>IF($F141="","",$F141*chronic_consumption!AA141/1000/$C$3)</f>
        <v>#DIV/0!</v>
      </c>
      <c r="AG141" s="974" t="e">
        <f>IF($F141="","",$F141*chronic_consumption!AB141/1000/$C$3)</f>
        <v>#DIV/0!</v>
      </c>
      <c r="AH141" s="974" t="e">
        <f>IF($F141="","",$F141*chronic_consumption!AC141/1000/$C$3)</f>
        <v>#DIV/0!</v>
      </c>
      <c r="AI141" s="974" t="e">
        <f>IF($F141="","",$F141*chronic_consumption!AD141/1000/$C$3)</f>
        <v>#DIV/0!</v>
      </c>
      <c r="AJ141" s="974" t="e">
        <f>IF($F141="","",$F141*chronic_consumption!AE141/1000/$C$3)</f>
        <v>#DIV/0!</v>
      </c>
      <c r="AK141" s="974" t="e">
        <f>IF($F141="","",$F141*chronic_consumption!AF141/1000/$C$3)</f>
        <v>#DIV/0!</v>
      </c>
      <c r="AL141" s="974" t="e">
        <f>IF($F141="","",$F141*chronic_consumption!AG141/1000/$C$3)</f>
        <v>#DIV/0!</v>
      </c>
      <c r="AM141" s="974" t="e">
        <f>IF($F141="","",$F141*chronic_consumption!AH141/1000/$C$3)</f>
        <v>#DIV/0!</v>
      </c>
      <c r="AN141" s="974" t="e">
        <f>IF($F141="","",$F141*chronic_consumption!AI141/1000/$C$3)</f>
        <v>#DIV/0!</v>
      </c>
      <c r="AO141" s="974" t="e">
        <f>IF($F141="","",$F141*chronic_consumption!AJ141/1000/$C$3)</f>
        <v>#DIV/0!</v>
      </c>
      <c r="AP141" s="974" t="e">
        <f>IF($F141="","",$F141*chronic_consumption!AK141/1000/$C$3)</f>
        <v>#DIV/0!</v>
      </c>
      <c r="AQ141" s="974" t="e">
        <f>IF($F141="","",$F141*chronic_consumption!AL141/1000/$C$3)</f>
        <v>#DIV/0!</v>
      </c>
      <c r="AR141" s="974" t="e">
        <f>IF($F141="","",$F141*chronic_consumption!AM141/1000/$C$3)</f>
        <v>#DIV/0!</v>
      </c>
      <c r="AS141" s="974" t="e">
        <f>IF($F141="","",$F141*chronic_consumption!AN141/1000/$C$3)</f>
        <v>#DIV/0!</v>
      </c>
      <c r="AT141" s="974" t="e">
        <f>IF($F141="","",$F141*chronic_consumption!AO141/1000/$C$3)</f>
        <v>#DIV/0!</v>
      </c>
      <c r="AU141" s="974"/>
      <c r="AV141" s="974" t="e">
        <f>IF($F141="","",$F141*chronic_consumption!AQ141/1000/$C$3)</f>
        <v>#DIV/0!</v>
      </c>
      <c r="AW141" s="974" t="e">
        <f>IF($F141="","",$F141*chronic_consumption!AR141/1000/$C$3)</f>
        <v>#DIV/0!</v>
      </c>
      <c r="AX141" s="974" t="e">
        <f>IF($F141="","",$F141*chronic_consumption!AS141/1000/$C$3)</f>
        <v>#DIV/0!</v>
      </c>
      <c r="AY141" s="974" t="e">
        <f>IF($F141="","",$F141*chronic_consumption!AT141/1000/$C$3)</f>
        <v>#DIV/0!</v>
      </c>
      <c r="AZ141" s="973" t="s">
        <v>19</v>
      </c>
      <c r="BA141" s="969" t="e">
        <f t="shared" ref="BA141:BA204" si="15">MIN(J141:AY141)</f>
        <v>#DIV/0!</v>
      </c>
      <c r="BB141" s="970" t="e">
        <f t="shared" ref="BB141:BB204" si="16">MAX(J141:AY141)</f>
        <v>#DIV/0!</v>
      </c>
      <c r="BC141" s="971" t="e">
        <f t="shared" ref="BC141:BC204" ca="1" si="17">IF(BB141&gt;0,OFFSET($I$10,1,MATCH(BB141,J141:AY141,0)),"")</f>
        <v>#DIV/0!</v>
      </c>
      <c r="BD141" s="228">
        <f>input_values!Z141</f>
        <v>4</v>
      </c>
      <c r="BE141" s="152">
        <f>input_values!L141</f>
        <v>0</v>
      </c>
      <c r="BF141" s="972" t="str">
        <f t="shared" ref="BF141:BF204" si="18">IF(BE141="Y",BB141,"")</f>
        <v/>
      </c>
    </row>
    <row r="142" spans="1:58" ht="12" customHeight="1" outlineLevel="2" x14ac:dyDescent="0.2">
      <c r="A142" s="341">
        <v>3</v>
      </c>
      <c r="B142" s="3">
        <v>234000</v>
      </c>
      <c r="C142" s="3" t="s">
        <v>228</v>
      </c>
      <c r="D142" s="965">
        <f>Table22[[#This Row],[MRL individual commodity]]</f>
        <v>0</v>
      </c>
      <c r="E142" s="300" t="str">
        <f>Table22[[#This Row],[LOQ_label]]</f>
        <v/>
      </c>
      <c r="F142" s="966">
        <f>Table22[[#This Row],[Chronic RA input value]]</f>
        <v>0</v>
      </c>
      <c r="G142" s="304" t="str">
        <f>Table22[[#This Row],[Chronic RA label]]</f>
        <v/>
      </c>
      <c r="H142" s="304">
        <f>Table22[[#This Row],[GAP under assessment]]</f>
        <v>0</v>
      </c>
      <c r="I142" s="1123"/>
      <c r="J142" s="974" t="e">
        <f>IF($F142="","",$F142*chronic_consumption!$E142/1000/$C$3)</f>
        <v>#DIV/0!</v>
      </c>
      <c r="K142" s="974" t="e">
        <f>IF($F142="","",$F142*chronic_consumption!F142/1000/$C$3)</f>
        <v>#DIV/0!</v>
      </c>
      <c r="L142" s="974" t="e">
        <f>IF($F142="","",$F142*chronic_consumption!G142/1000/$C$3)</f>
        <v>#DIV/0!</v>
      </c>
      <c r="M142" s="974" t="e">
        <f>IF($F142="","",$F142*chronic_consumption!H142/1000/$C$3)</f>
        <v>#DIV/0!</v>
      </c>
      <c r="N142" s="974" t="e">
        <f>IF($F142="","",$F142*chronic_consumption!I142/1000/$C$3)</f>
        <v>#DIV/0!</v>
      </c>
      <c r="O142" s="974" t="e">
        <f>IF($F142="","",$F142*chronic_consumption!J142/1000/$C$3)</f>
        <v>#DIV/0!</v>
      </c>
      <c r="P142" s="974" t="e">
        <f>IF($F142="","",$F142*chronic_consumption!K142/1000/$C$3)</f>
        <v>#DIV/0!</v>
      </c>
      <c r="Q142" s="974" t="e">
        <f>IF($F142="","",$F142*chronic_consumption!L142/1000/$C$3)</f>
        <v>#DIV/0!</v>
      </c>
      <c r="R142" s="974" t="e">
        <f>IF($F142="","",$F142*chronic_consumption!M142/1000/$C$3)</f>
        <v>#DIV/0!</v>
      </c>
      <c r="S142" s="974" t="e">
        <f>IF($F142="","",$F142*chronic_consumption!N142/1000/$C$3)</f>
        <v>#DIV/0!</v>
      </c>
      <c r="T142" s="974" t="e">
        <f>IF($F142="","",$F142*chronic_consumption!O142/1000/$C$3)</f>
        <v>#DIV/0!</v>
      </c>
      <c r="U142" s="974" t="e">
        <f>IF($F142="","",$F142*chronic_consumption!P142/1000/$C$3)</f>
        <v>#DIV/0!</v>
      </c>
      <c r="V142" s="974" t="e">
        <f>IF($F142="","",$F142*chronic_consumption!Q142/1000/$C$3)</f>
        <v>#DIV/0!</v>
      </c>
      <c r="W142" s="974" t="e">
        <f>IF($F142="","",$F142*chronic_consumption!R142/1000/$C$3)</f>
        <v>#DIV/0!</v>
      </c>
      <c r="X142" s="974" t="e">
        <f>IF($F142="","",$F142*chronic_consumption!S142/1000/$C$3)</f>
        <v>#DIV/0!</v>
      </c>
      <c r="Y142" s="974" t="e">
        <f>IF($F142="","",$F142*chronic_consumption!T142/1000/$C$3)</f>
        <v>#DIV/0!</v>
      </c>
      <c r="Z142" s="974" t="e">
        <f>IF($F142="","",$F142*chronic_consumption!U142/1000/$C$3)</f>
        <v>#DIV/0!</v>
      </c>
      <c r="AA142" s="974" t="e">
        <f>IF($F142="","",$F142*chronic_consumption!V142/1000/$C$3)</f>
        <v>#DIV/0!</v>
      </c>
      <c r="AB142" s="974" t="e">
        <f>IF($F142="","",$F142*chronic_consumption!W142/1000/$C$3)</f>
        <v>#DIV/0!</v>
      </c>
      <c r="AC142" s="974" t="e">
        <f>IF($F142="","",$F142*chronic_consumption!X142/1000/$C$3)</f>
        <v>#DIV/0!</v>
      </c>
      <c r="AD142" s="974" t="e">
        <f>IF($F142="","",$F142*chronic_consumption!Y142/1000/$C$3)</f>
        <v>#DIV/0!</v>
      </c>
      <c r="AE142" s="974" t="e">
        <f>IF($F142="","",$F142*chronic_consumption!Z142/1000/$C$3)</f>
        <v>#DIV/0!</v>
      </c>
      <c r="AF142" s="974" t="e">
        <f>IF($F142="","",$F142*chronic_consumption!AA142/1000/$C$3)</f>
        <v>#DIV/0!</v>
      </c>
      <c r="AG142" s="974" t="e">
        <f>IF($F142="","",$F142*chronic_consumption!AB142/1000/$C$3)</f>
        <v>#DIV/0!</v>
      </c>
      <c r="AH142" s="974" t="e">
        <f>IF($F142="","",$F142*chronic_consumption!AC142/1000/$C$3)</f>
        <v>#DIV/0!</v>
      </c>
      <c r="AI142" s="974" t="e">
        <f>IF($F142="","",$F142*chronic_consumption!AD142/1000/$C$3)</f>
        <v>#DIV/0!</v>
      </c>
      <c r="AJ142" s="974" t="e">
        <f>IF($F142="","",$F142*chronic_consumption!AE142/1000/$C$3)</f>
        <v>#DIV/0!</v>
      </c>
      <c r="AK142" s="974" t="e">
        <f>IF($F142="","",$F142*chronic_consumption!AF142/1000/$C$3)</f>
        <v>#DIV/0!</v>
      </c>
      <c r="AL142" s="974" t="e">
        <f>IF($F142="","",$F142*chronic_consumption!AG142/1000/$C$3)</f>
        <v>#DIV/0!</v>
      </c>
      <c r="AM142" s="974" t="e">
        <f>IF($F142="","",$F142*chronic_consumption!AH142/1000/$C$3)</f>
        <v>#DIV/0!</v>
      </c>
      <c r="AN142" s="974" t="e">
        <f>IF($F142="","",$F142*chronic_consumption!AI142/1000/$C$3)</f>
        <v>#DIV/0!</v>
      </c>
      <c r="AO142" s="974" t="e">
        <f>IF($F142="","",$F142*chronic_consumption!AJ142/1000/$C$3)</f>
        <v>#DIV/0!</v>
      </c>
      <c r="AP142" s="974" t="e">
        <f>IF($F142="","",$F142*chronic_consumption!AK142/1000/$C$3)</f>
        <v>#DIV/0!</v>
      </c>
      <c r="AQ142" s="974" t="e">
        <f>IF($F142="","",$F142*chronic_consumption!AL142/1000/$C$3)</f>
        <v>#DIV/0!</v>
      </c>
      <c r="AR142" s="974" t="e">
        <f>IF($F142="","",$F142*chronic_consumption!AM142/1000/$C$3)</f>
        <v>#DIV/0!</v>
      </c>
      <c r="AS142" s="974" t="e">
        <f>IF($F142="","",$F142*chronic_consumption!AN142/1000/$C$3)</f>
        <v>#DIV/0!</v>
      </c>
      <c r="AT142" s="974" t="e">
        <f>IF($F142="","",$F142*chronic_consumption!AO142/1000/$C$3)</f>
        <v>#DIV/0!</v>
      </c>
      <c r="AU142" s="974"/>
      <c r="AV142" s="974" t="e">
        <f>IF($F142="","",$F142*chronic_consumption!AQ142/1000/$C$3)</f>
        <v>#DIV/0!</v>
      </c>
      <c r="AW142" s="974" t="e">
        <f>IF($F142="","",$F142*chronic_consumption!AR142/1000/$C$3)</f>
        <v>#DIV/0!</v>
      </c>
      <c r="AX142" s="974" t="e">
        <f>IF($F142="","",$F142*chronic_consumption!AS142/1000/$C$3)</f>
        <v>#DIV/0!</v>
      </c>
      <c r="AY142" s="974" t="e">
        <f>IF($F142="","",$F142*chronic_consumption!AT142/1000/$C$3)</f>
        <v>#DIV/0!</v>
      </c>
      <c r="AZ142" s="973" t="s">
        <v>19</v>
      </c>
      <c r="BA142" s="969" t="e">
        <f t="shared" si="15"/>
        <v>#DIV/0!</v>
      </c>
      <c r="BB142" s="970" t="e">
        <f t="shared" si="16"/>
        <v>#DIV/0!</v>
      </c>
      <c r="BC142" s="971" t="e">
        <f t="shared" ca="1" si="17"/>
        <v>#DIV/0!</v>
      </c>
      <c r="BD142" s="228">
        <f>input_values!Z142</f>
        <v>3</v>
      </c>
      <c r="BE142" s="152">
        <f>input_values!L142</f>
        <v>0</v>
      </c>
      <c r="BF142" s="972" t="str">
        <f t="shared" si="18"/>
        <v/>
      </c>
    </row>
    <row r="143" spans="1:58" ht="12" customHeight="1" outlineLevel="2" x14ac:dyDescent="0.2">
      <c r="A143" s="341">
        <v>3</v>
      </c>
      <c r="B143" s="3">
        <v>239000</v>
      </c>
      <c r="C143" s="3" t="s">
        <v>229</v>
      </c>
      <c r="D143" s="965">
        <f>Table22[[#This Row],[MRL individual commodity]]</f>
        <v>0</v>
      </c>
      <c r="E143" s="300">
        <f>Table22[[#This Row],[LOQ_label]]</f>
        <v>0</v>
      </c>
      <c r="F143" s="966">
        <f>Table22[[#This Row],[Chronic RA input value]]</f>
        <v>0</v>
      </c>
      <c r="G143" s="304">
        <f>Table22[[#This Row],[Chronic RA label]]</f>
        <v>0</v>
      </c>
      <c r="H143" s="304">
        <f>Table22[[#This Row],[GAP under assessment]]</f>
        <v>0</v>
      </c>
      <c r="I143" s="1123"/>
      <c r="J143" s="974" t="e">
        <f>IF($F143="","",$F143*chronic_consumption!$E143/1000/$C$3)</f>
        <v>#DIV/0!</v>
      </c>
      <c r="K143" s="974" t="e">
        <f>IF($F143="","",$F143*chronic_consumption!F143/1000/$C$3)</f>
        <v>#DIV/0!</v>
      </c>
      <c r="L143" s="974" t="e">
        <f>IF($F143="","",$F143*chronic_consumption!G143/1000/$C$3)</f>
        <v>#DIV/0!</v>
      </c>
      <c r="M143" s="974" t="e">
        <f>IF($F143="","",$F143*chronic_consumption!H143/1000/$C$3)</f>
        <v>#DIV/0!</v>
      </c>
      <c r="N143" s="974" t="e">
        <f>IF($F143="","",$F143*chronic_consumption!I143/1000/$C$3)</f>
        <v>#DIV/0!</v>
      </c>
      <c r="O143" s="974" t="e">
        <f>IF($F143="","",$F143*chronic_consumption!J143/1000/$C$3)</f>
        <v>#DIV/0!</v>
      </c>
      <c r="P143" s="974" t="e">
        <f>IF($F143="","",$F143*chronic_consumption!K143/1000/$C$3)</f>
        <v>#DIV/0!</v>
      </c>
      <c r="Q143" s="974" t="e">
        <f>IF($F143="","",$F143*chronic_consumption!L143/1000/$C$3)</f>
        <v>#DIV/0!</v>
      </c>
      <c r="R143" s="974" t="e">
        <f>IF($F143="","",$F143*chronic_consumption!M143/1000/$C$3)</f>
        <v>#DIV/0!</v>
      </c>
      <c r="S143" s="974" t="e">
        <f>IF($F143="","",$F143*chronic_consumption!N143/1000/$C$3)</f>
        <v>#DIV/0!</v>
      </c>
      <c r="T143" s="974" t="e">
        <f>IF($F143="","",$F143*chronic_consumption!O143/1000/$C$3)</f>
        <v>#DIV/0!</v>
      </c>
      <c r="U143" s="974" t="e">
        <f>IF($F143="","",$F143*chronic_consumption!P143/1000/$C$3)</f>
        <v>#DIV/0!</v>
      </c>
      <c r="V143" s="974" t="e">
        <f>IF($F143="","",$F143*chronic_consumption!Q143/1000/$C$3)</f>
        <v>#DIV/0!</v>
      </c>
      <c r="W143" s="974" t="e">
        <f>IF($F143="","",$F143*chronic_consumption!R143/1000/$C$3)</f>
        <v>#DIV/0!</v>
      </c>
      <c r="X143" s="974" t="e">
        <f>IF($F143="","",$F143*chronic_consumption!S143/1000/$C$3)</f>
        <v>#DIV/0!</v>
      </c>
      <c r="Y143" s="974" t="e">
        <f>IF($F143="","",$F143*chronic_consumption!T143/1000/$C$3)</f>
        <v>#DIV/0!</v>
      </c>
      <c r="Z143" s="974" t="e">
        <f>IF($F143="","",$F143*chronic_consumption!U143/1000/$C$3)</f>
        <v>#DIV/0!</v>
      </c>
      <c r="AA143" s="974" t="e">
        <f>IF($F143="","",$F143*chronic_consumption!V143/1000/$C$3)</f>
        <v>#DIV/0!</v>
      </c>
      <c r="AB143" s="974" t="e">
        <f>IF($F143="","",$F143*chronic_consumption!W143/1000/$C$3)</f>
        <v>#DIV/0!</v>
      </c>
      <c r="AC143" s="974" t="e">
        <f>IF($F143="","",$F143*chronic_consumption!X143/1000/$C$3)</f>
        <v>#DIV/0!</v>
      </c>
      <c r="AD143" s="974" t="e">
        <f>IF($F143="","",$F143*chronic_consumption!Y143/1000/$C$3)</f>
        <v>#DIV/0!</v>
      </c>
      <c r="AE143" s="974" t="e">
        <f>IF($F143="","",$F143*chronic_consumption!Z143/1000/$C$3)</f>
        <v>#DIV/0!</v>
      </c>
      <c r="AF143" s="974" t="e">
        <f>IF($F143="","",$F143*chronic_consumption!AA143/1000/$C$3)</f>
        <v>#DIV/0!</v>
      </c>
      <c r="AG143" s="974" t="e">
        <f>IF($F143="","",$F143*chronic_consumption!AB143/1000/$C$3)</f>
        <v>#DIV/0!</v>
      </c>
      <c r="AH143" s="974" t="e">
        <f>IF($F143="","",$F143*chronic_consumption!AC143/1000/$C$3)</f>
        <v>#DIV/0!</v>
      </c>
      <c r="AI143" s="974" t="e">
        <f>IF($F143="","",$F143*chronic_consumption!AD143/1000/$C$3)</f>
        <v>#DIV/0!</v>
      </c>
      <c r="AJ143" s="974" t="e">
        <f>IF($F143="","",$F143*chronic_consumption!AE143/1000/$C$3)</f>
        <v>#DIV/0!</v>
      </c>
      <c r="AK143" s="974" t="e">
        <f>IF($F143="","",$F143*chronic_consumption!AF143/1000/$C$3)</f>
        <v>#DIV/0!</v>
      </c>
      <c r="AL143" s="974" t="e">
        <f>IF($F143="","",$F143*chronic_consumption!AG143/1000/$C$3)</f>
        <v>#DIV/0!</v>
      </c>
      <c r="AM143" s="974" t="e">
        <f>IF($F143="","",$F143*chronic_consumption!AH143/1000/$C$3)</f>
        <v>#DIV/0!</v>
      </c>
      <c r="AN143" s="974" t="e">
        <f>IF($F143="","",$F143*chronic_consumption!AI143/1000/$C$3)</f>
        <v>#DIV/0!</v>
      </c>
      <c r="AO143" s="974" t="e">
        <f>IF($F143="","",$F143*chronic_consumption!AJ143/1000/$C$3)</f>
        <v>#DIV/0!</v>
      </c>
      <c r="AP143" s="974" t="e">
        <f>IF($F143="","",$F143*chronic_consumption!AK143/1000/$C$3)</f>
        <v>#DIV/0!</v>
      </c>
      <c r="AQ143" s="974" t="e">
        <f>IF($F143="","",$F143*chronic_consumption!AL143/1000/$C$3)</f>
        <v>#DIV/0!</v>
      </c>
      <c r="AR143" s="974" t="e">
        <f>IF($F143="","",$F143*chronic_consumption!AM143/1000/$C$3)</f>
        <v>#DIV/0!</v>
      </c>
      <c r="AS143" s="974" t="e">
        <f>IF($F143="","",$F143*chronic_consumption!AN143/1000/$C$3)</f>
        <v>#DIV/0!</v>
      </c>
      <c r="AT143" s="974" t="e">
        <f>IF($F143="","",$F143*chronic_consumption!AO143/1000/$C$3)</f>
        <v>#DIV/0!</v>
      </c>
      <c r="AU143" s="974"/>
      <c r="AV143" s="974" t="e">
        <f>IF($F143="","",$F143*chronic_consumption!AQ143/1000/$C$3)</f>
        <v>#DIV/0!</v>
      </c>
      <c r="AW143" s="974" t="e">
        <f>IF($F143="","",$F143*chronic_consumption!AR143/1000/$C$3)</f>
        <v>#DIV/0!</v>
      </c>
      <c r="AX143" s="974" t="e">
        <f>IF($F143="","",$F143*chronic_consumption!AS143/1000/$C$3)</f>
        <v>#DIV/0!</v>
      </c>
      <c r="AY143" s="974" t="e">
        <f>IF($F143="","",$F143*chronic_consumption!AT143/1000/$C$3)</f>
        <v>#DIV/0!</v>
      </c>
      <c r="AZ143" s="973" t="s">
        <v>19</v>
      </c>
      <c r="BA143" s="969" t="e">
        <f t="shared" si="15"/>
        <v>#DIV/0!</v>
      </c>
      <c r="BB143" s="970" t="e">
        <f t="shared" si="16"/>
        <v>#DIV/0!</v>
      </c>
      <c r="BC143" s="971" t="e">
        <f t="shared" ca="1" si="17"/>
        <v>#DIV/0!</v>
      </c>
      <c r="BD143" s="228">
        <f>input_values!Z143</f>
        <v>4</v>
      </c>
      <c r="BE143" s="152">
        <f>input_values!L143</f>
        <v>0</v>
      </c>
      <c r="BF143" s="972" t="str">
        <f t="shared" si="18"/>
        <v/>
      </c>
    </row>
    <row r="144" spans="1:58" ht="12" customHeight="1" outlineLevel="1" x14ac:dyDescent="0.2">
      <c r="A144" s="314">
        <v>2</v>
      </c>
      <c r="B144" s="131">
        <v>240000</v>
      </c>
      <c r="C144" s="131" t="s">
        <v>230</v>
      </c>
      <c r="D144" s="965">
        <f>Table22[[#This Row],[MRL individual commodity]]</f>
        <v>0</v>
      </c>
      <c r="E144" s="300">
        <f>Table22[[#This Row],[LOQ_label]]</f>
        <v>0</v>
      </c>
      <c r="F144" s="966">
        <f>Table22[[#This Row],[Chronic RA input value]]</f>
        <v>0</v>
      </c>
      <c r="G144" s="304">
        <f>Table22[[#This Row],[Chronic RA label]]</f>
        <v>0</v>
      </c>
      <c r="H144" s="304">
        <f>Table22[[#This Row],[GAP under assessment]]</f>
        <v>0</v>
      </c>
      <c r="I144" s="1123"/>
      <c r="J144" s="967" t="e">
        <f>IF($F144="","",$F144*chronic_consumption!$E144/1000/$C$3)</f>
        <v>#DIV/0!</v>
      </c>
      <c r="K144" s="967" t="e">
        <f>IF($F144="","",$F144*chronic_consumption!F144/1000/$C$3)</f>
        <v>#DIV/0!</v>
      </c>
      <c r="L144" s="967" t="e">
        <f>IF($F144="","",$F144*chronic_consumption!G144/1000/$C$3)</f>
        <v>#DIV/0!</v>
      </c>
      <c r="M144" s="967" t="e">
        <f>IF($F144="","",$F144*chronic_consumption!H144/1000/$C$3)</f>
        <v>#DIV/0!</v>
      </c>
      <c r="N144" s="967" t="e">
        <f>IF($F144="","",$F144*chronic_consumption!I144/1000/$C$3)</f>
        <v>#DIV/0!</v>
      </c>
      <c r="O144" s="967" t="e">
        <f>IF($F144="","",$F144*chronic_consumption!J144/1000/$C$3)</f>
        <v>#DIV/0!</v>
      </c>
      <c r="P144" s="967" t="e">
        <f>IF($F144="","",$F144*chronic_consumption!K144/1000/$C$3)</f>
        <v>#DIV/0!</v>
      </c>
      <c r="Q144" s="967" t="e">
        <f>IF($F144="","",$F144*chronic_consumption!L144/1000/$C$3)</f>
        <v>#DIV/0!</v>
      </c>
      <c r="R144" s="967" t="e">
        <f>IF($F144="","",$F144*chronic_consumption!M144/1000/$C$3)</f>
        <v>#DIV/0!</v>
      </c>
      <c r="S144" s="967" t="e">
        <f>IF($F144="","",$F144*chronic_consumption!N144/1000/$C$3)</f>
        <v>#DIV/0!</v>
      </c>
      <c r="T144" s="967" t="e">
        <f>IF($F144="","",$F144*chronic_consumption!O144/1000/$C$3)</f>
        <v>#DIV/0!</v>
      </c>
      <c r="U144" s="967" t="e">
        <f>IF($F144="","",$F144*chronic_consumption!P144/1000/$C$3)</f>
        <v>#DIV/0!</v>
      </c>
      <c r="V144" s="967" t="e">
        <f>IF($F144="","",$F144*chronic_consumption!Q144/1000/$C$3)</f>
        <v>#DIV/0!</v>
      </c>
      <c r="W144" s="967" t="e">
        <f>IF($F144="","",$F144*chronic_consumption!R144/1000/$C$3)</f>
        <v>#DIV/0!</v>
      </c>
      <c r="X144" s="967" t="e">
        <f>IF($F144="","",$F144*chronic_consumption!S144/1000/$C$3)</f>
        <v>#DIV/0!</v>
      </c>
      <c r="Y144" s="967" t="e">
        <f>IF($F144="","",$F144*chronic_consumption!T144/1000/$C$3)</f>
        <v>#DIV/0!</v>
      </c>
      <c r="Z144" s="967" t="e">
        <f>IF($F144="","",$F144*chronic_consumption!U144/1000/$C$3)</f>
        <v>#DIV/0!</v>
      </c>
      <c r="AA144" s="967" t="e">
        <f>IF($F144="","",$F144*chronic_consumption!V144/1000/$C$3)</f>
        <v>#DIV/0!</v>
      </c>
      <c r="AB144" s="967" t="e">
        <f>IF($F144="","",$F144*chronic_consumption!W144/1000/$C$3)</f>
        <v>#DIV/0!</v>
      </c>
      <c r="AC144" s="967" t="e">
        <f>IF($F144="","",$F144*chronic_consumption!X144/1000/$C$3)</f>
        <v>#DIV/0!</v>
      </c>
      <c r="AD144" s="967" t="e">
        <f>IF($F144="","",$F144*chronic_consumption!Y144/1000/$C$3)</f>
        <v>#DIV/0!</v>
      </c>
      <c r="AE144" s="967" t="e">
        <f>IF($F144="","",$F144*chronic_consumption!Z144/1000/$C$3)</f>
        <v>#DIV/0!</v>
      </c>
      <c r="AF144" s="967" t="e">
        <f>IF($F144="","",$F144*chronic_consumption!AA144/1000/$C$3)</f>
        <v>#DIV/0!</v>
      </c>
      <c r="AG144" s="967" t="e">
        <f>IF($F144="","",$F144*chronic_consumption!AB144/1000/$C$3)</f>
        <v>#DIV/0!</v>
      </c>
      <c r="AH144" s="967" t="e">
        <f>IF($F144="","",$F144*chronic_consumption!AC144/1000/$C$3)</f>
        <v>#DIV/0!</v>
      </c>
      <c r="AI144" s="967" t="e">
        <f>IF($F144="","",$F144*chronic_consumption!AD144/1000/$C$3)</f>
        <v>#DIV/0!</v>
      </c>
      <c r="AJ144" s="967" t="e">
        <f>IF($F144="","",$F144*chronic_consumption!AE144/1000/$C$3)</f>
        <v>#DIV/0!</v>
      </c>
      <c r="AK144" s="967" t="e">
        <f>IF($F144="","",$F144*chronic_consumption!AF144/1000/$C$3)</f>
        <v>#DIV/0!</v>
      </c>
      <c r="AL144" s="967" t="e">
        <f>IF($F144="","",$F144*chronic_consumption!AG144/1000/$C$3)</f>
        <v>#DIV/0!</v>
      </c>
      <c r="AM144" s="967" t="e">
        <f>IF($F144="","",$F144*chronic_consumption!AH144/1000/$C$3)</f>
        <v>#DIV/0!</v>
      </c>
      <c r="AN144" s="967" t="e">
        <f>IF($F144="","",$F144*chronic_consumption!AI144/1000/$C$3)</f>
        <v>#DIV/0!</v>
      </c>
      <c r="AO144" s="967" t="e">
        <f>IF($F144="","",$F144*chronic_consumption!AJ144/1000/$C$3)</f>
        <v>#DIV/0!</v>
      </c>
      <c r="AP144" s="967" t="e">
        <f>IF($F144="","",$F144*chronic_consumption!AK144/1000/$C$3)</f>
        <v>#DIV/0!</v>
      </c>
      <c r="AQ144" s="967" t="e">
        <f>IF($F144="","",$F144*chronic_consumption!AL144/1000/$C$3)</f>
        <v>#DIV/0!</v>
      </c>
      <c r="AR144" s="967" t="e">
        <f>IF($F144="","",$F144*chronic_consumption!AM144/1000/$C$3)</f>
        <v>#DIV/0!</v>
      </c>
      <c r="AS144" s="967" t="e">
        <f>IF($F144="","",$F144*chronic_consumption!AN144/1000/$C$3)</f>
        <v>#DIV/0!</v>
      </c>
      <c r="AT144" s="967" t="e">
        <f>IF($F144="","",$F144*chronic_consumption!AO144/1000/$C$3)</f>
        <v>#DIV/0!</v>
      </c>
      <c r="AU144" s="967"/>
      <c r="AV144" s="967" t="e">
        <f>IF($F144="","",$F144*chronic_consumption!AQ144/1000/$C$3)</f>
        <v>#DIV/0!</v>
      </c>
      <c r="AW144" s="967" t="e">
        <f>IF($F144="","",$F144*chronic_consumption!AR144/1000/$C$3)</f>
        <v>#DIV/0!</v>
      </c>
      <c r="AX144" s="967" t="e">
        <f>IF($F144="","",$F144*chronic_consumption!AS144/1000/$C$3)</f>
        <v>#DIV/0!</v>
      </c>
      <c r="AY144" s="967" t="e">
        <f>IF($F144="","",$F144*chronic_consumption!AT144/1000/$C$3)</f>
        <v>#DIV/0!</v>
      </c>
      <c r="AZ144" s="973"/>
      <c r="BA144" s="969" t="e">
        <f t="shared" si="15"/>
        <v>#DIV/0!</v>
      </c>
      <c r="BB144" s="970" t="e">
        <f t="shared" si="16"/>
        <v>#DIV/0!</v>
      </c>
      <c r="BC144" s="971" t="e">
        <f t="shared" ca="1" si="17"/>
        <v>#DIV/0!</v>
      </c>
      <c r="BD144" s="228">
        <f>input_values!Z144</f>
        <v>4</v>
      </c>
      <c r="BE144" s="152">
        <f>input_values!L144</f>
        <v>0</v>
      </c>
      <c r="BF144" s="972" t="str">
        <f t="shared" si="18"/>
        <v/>
      </c>
    </row>
    <row r="145" spans="1:58" ht="12" customHeight="1" outlineLevel="2" x14ac:dyDescent="0.2">
      <c r="A145" s="341">
        <v>3</v>
      </c>
      <c r="B145" s="3">
        <v>241000</v>
      </c>
      <c r="C145" s="3" t="s">
        <v>231</v>
      </c>
      <c r="D145" s="965">
        <f>Table22[[#This Row],[MRL individual commodity]]</f>
        <v>0</v>
      </c>
      <c r="E145" s="300">
        <f>Table22[[#This Row],[LOQ_label]]</f>
        <v>0</v>
      </c>
      <c r="F145" s="966">
        <f>Table22[[#This Row],[Chronic RA input value]]</f>
        <v>0</v>
      </c>
      <c r="G145" s="304">
        <f>Table22[[#This Row],[Chronic RA label]]</f>
        <v>0</v>
      </c>
      <c r="H145" s="304">
        <f>Table22[[#This Row],[GAP under assessment]]</f>
        <v>0</v>
      </c>
      <c r="I145" s="1123"/>
      <c r="J145" s="967" t="e">
        <f>IF($F145="","",$F145*chronic_consumption!$E145/1000/$C$3)</f>
        <v>#DIV/0!</v>
      </c>
      <c r="K145" s="967" t="e">
        <f>IF($F145="","",$F145*chronic_consumption!F145/1000/$C$3)</f>
        <v>#DIV/0!</v>
      </c>
      <c r="L145" s="967" t="e">
        <f>IF($F145="","",$F145*chronic_consumption!G145/1000/$C$3)</f>
        <v>#DIV/0!</v>
      </c>
      <c r="M145" s="967" t="e">
        <f>IF($F145="","",$F145*chronic_consumption!H145/1000/$C$3)</f>
        <v>#DIV/0!</v>
      </c>
      <c r="N145" s="967" t="e">
        <f>IF($F145="","",$F145*chronic_consumption!I145/1000/$C$3)</f>
        <v>#DIV/0!</v>
      </c>
      <c r="O145" s="967" t="e">
        <f>IF($F145="","",$F145*chronic_consumption!J145/1000/$C$3)</f>
        <v>#DIV/0!</v>
      </c>
      <c r="P145" s="967" t="e">
        <f>IF($F145="","",$F145*chronic_consumption!K145/1000/$C$3)</f>
        <v>#DIV/0!</v>
      </c>
      <c r="Q145" s="967" t="e">
        <f>IF($F145="","",$F145*chronic_consumption!L145/1000/$C$3)</f>
        <v>#DIV/0!</v>
      </c>
      <c r="R145" s="967" t="e">
        <f>IF($F145="","",$F145*chronic_consumption!M145/1000/$C$3)</f>
        <v>#DIV/0!</v>
      </c>
      <c r="S145" s="967" t="e">
        <f>IF($F145="","",$F145*chronic_consumption!N145/1000/$C$3)</f>
        <v>#DIV/0!</v>
      </c>
      <c r="T145" s="967" t="e">
        <f>IF($F145="","",$F145*chronic_consumption!O145/1000/$C$3)</f>
        <v>#DIV/0!</v>
      </c>
      <c r="U145" s="967" t="e">
        <f>IF($F145="","",$F145*chronic_consumption!P145/1000/$C$3)</f>
        <v>#DIV/0!</v>
      </c>
      <c r="V145" s="967" t="e">
        <f>IF($F145="","",$F145*chronic_consumption!Q145/1000/$C$3)</f>
        <v>#DIV/0!</v>
      </c>
      <c r="W145" s="967" t="e">
        <f>IF($F145="","",$F145*chronic_consumption!R145/1000/$C$3)</f>
        <v>#DIV/0!</v>
      </c>
      <c r="X145" s="967" t="e">
        <f>IF($F145="","",$F145*chronic_consumption!S145/1000/$C$3)</f>
        <v>#DIV/0!</v>
      </c>
      <c r="Y145" s="967" t="e">
        <f>IF($F145="","",$F145*chronic_consumption!T145/1000/$C$3)</f>
        <v>#DIV/0!</v>
      </c>
      <c r="Z145" s="967" t="e">
        <f>IF($F145="","",$F145*chronic_consumption!U145/1000/$C$3)</f>
        <v>#DIV/0!</v>
      </c>
      <c r="AA145" s="967" t="e">
        <f>IF($F145="","",$F145*chronic_consumption!V145/1000/$C$3)</f>
        <v>#DIV/0!</v>
      </c>
      <c r="AB145" s="967" t="e">
        <f>IF($F145="","",$F145*chronic_consumption!W145/1000/$C$3)</f>
        <v>#DIV/0!</v>
      </c>
      <c r="AC145" s="967" t="e">
        <f>IF($F145="","",$F145*chronic_consumption!X145/1000/$C$3)</f>
        <v>#DIV/0!</v>
      </c>
      <c r="AD145" s="967" t="e">
        <f>IF($F145="","",$F145*chronic_consumption!Y145/1000/$C$3)</f>
        <v>#DIV/0!</v>
      </c>
      <c r="AE145" s="967" t="e">
        <f>IF($F145="","",$F145*chronic_consumption!Z145/1000/$C$3)</f>
        <v>#DIV/0!</v>
      </c>
      <c r="AF145" s="967" t="e">
        <f>IF($F145="","",$F145*chronic_consumption!AA145/1000/$C$3)</f>
        <v>#DIV/0!</v>
      </c>
      <c r="AG145" s="967" t="e">
        <f>IF($F145="","",$F145*chronic_consumption!AB145/1000/$C$3)</f>
        <v>#DIV/0!</v>
      </c>
      <c r="AH145" s="967" t="e">
        <f>IF($F145="","",$F145*chronic_consumption!AC145/1000/$C$3)</f>
        <v>#DIV/0!</v>
      </c>
      <c r="AI145" s="967" t="e">
        <f>IF($F145="","",$F145*chronic_consumption!AD145/1000/$C$3)</f>
        <v>#DIV/0!</v>
      </c>
      <c r="AJ145" s="967" t="e">
        <f>IF($F145="","",$F145*chronic_consumption!AE145/1000/$C$3)</f>
        <v>#DIV/0!</v>
      </c>
      <c r="AK145" s="967" t="e">
        <f>IF($F145="","",$F145*chronic_consumption!AF145/1000/$C$3)</f>
        <v>#DIV/0!</v>
      </c>
      <c r="AL145" s="967" t="e">
        <f>IF($F145="","",$F145*chronic_consumption!AG145/1000/$C$3)</f>
        <v>#DIV/0!</v>
      </c>
      <c r="AM145" s="967" t="e">
        <f>IF($F145="","",$F145*chronic_consumption!AH145/1000/$C$3)</f>
        <v>#DIV/0!</v>
      </c>
      <c r="AN145" s="967" t="e">
        <f>IF($F145="","",$F145*chronic_consumption!AI145/1000/$C$3)</f>
        <v>#DIV/0!</v>
      </c>
      <c r="AO145" s="967" t="e">
        <f>IF($F145="","",$F145*chronic_consumption!AJ145/1000/$C$3)</f>
        <v>#DIV/0!</v>
      </c>
      <c r="AP145" s="967" t="e">
        <f>IF($F145="","",$F145*chronic_consumption!AK145/1000/$C$3)</f>
        <v>#DIV/0!</v>
      </c>
      <c r="AQ145" s="967" t="e">
        <f>IF($F145="","",$F145*chronic_consumption!AL145/1000/$C$3)</f>
        <v>#DIV/0!</v>
      </c>
      <c r="AR145" s="967" t="e">
        <f>IF($F145="","",$F145*chronic_consumption!AM145/1000/$C$3)</f>
        <v>#DIV/0!</v>
      </c>
      <c r="AS145" s="967" t="e">
        <f>IF($F145="","",$F145*chronic_consumption!AN145/1000/$C$3)</f>
        <v>#DIV/0!</v>
      </c>
      <c r="AT145" s="967" t="e">
        <f>IF($F145="","",$F145*chronic_consumption!AO145/1000/$C$3)</f>
        <v>#DIV/0!</v>
      </c>
      <c r="AU145" s="967"/>
      <c r="AV145" s="967" t="e">
        <f>IF($F145="","",$F145*chronic_consumption!AQ145/1000/$C$3)</f>
        <v>#DIV/0!</v>
      </c>
      <c r="AW145" s="967" t="e">
        <f>IF($F145="","",$F145*chronic_consumption!AR145/1000/$C$3)</f>
        <v>#DIV/0!</v>
      </c>
      <c r="AX145" s="967" t="e">
        <f>IF($F145="","",$F145*chronic_consumption!AS145/1000/$C$3)</f>
        <v>#DIV/0!</v>
      </c>
      <c r="AY145" s="967" t="e">
        <f>IF($F145="","",$F145*chronic_consumption!AT145/1000/$C$3)</f>
        <v>#DIV/0!</v>
      </c>
      <c r="AZ145" s="973"/>
      <c r="BA145" s="969" t="e">
        <f t="shared" si="15"/>
        <v>#DIV/0!</v>
      </c>
      <c r="BB145" s="970" t="e">
        <f t="shared" si="16"/>
        <v>#DIV/0!</v>
      </c>
      <c r="BC145" s="971" t="e">
        <f t="shared" ca="1" si="17"/>
        <v>#DIV/0!</v>
      </c>
      <c r="BD145" s="228">
        <f>input_values!Z145</f>
        <v>4</v>
      </c>
      <c r="BE145" s="152">
        <f>input_values!L145</f>
        <v>0</v>
      </c>
      <c r="BF145" s="972" t="str">
        <f t="shared" si="18"/>
        <v/>
      </c>
    </row>
    <row r="146" spans="1:58" ht="12" customHeight="1" outlineLevel="3" x14ac:dyDescent="0.2">
      <c r="A146" s="21">
        <v>4</v>
      </c>
      <c r="B146" s="23">
        <v>241010</v>
      </c>
      <c r="C146" s="23" t="s">
        <v>250</v>
      </c>
      <c r="D146" s="965">
        <f>Table22[[#This Row],[MRL individual commodity]]</f>
        <v>0</v>
      </c>
      <c r="E146" s="300" t="str">
        <f>Table22[[#This Row],[LOQ_label]]</f>
        <v/>
      </c>
      <c r="F146" s="966">
        <f>Table22[[#This Row],[Chronic RA input value]]</f>
        <v>0</v>
      </c>
      <c r="G146" s="304" t="str">
        <f>Table22[[#This Row],[Chronic RA label]]</f>
        <v/>
      </c>
      <c r="H146" s="304">
        <f>Table22[[#This Row],[GAP under assessment]]</f>
        <v>0</v>
      </c>
      <c r="I146" s="1123"/>
      <c r="J146" s="974" t="e">
        <f>IF($F146="","",$F146*chronic_consumption!$E146/1000/$C$3)</f>
        <v>#DIV/0!</v>
      </c>
      <c r="K146" s="974" t="e">
        <f>IF($F146="","",$F146*chronic_consumption!F146/1000/$C$3)</f>
        <v>#DIV/0!</v>
      </c>
      <c r="L146" s="974" t="e">
        <f>IF($F146="","",$F146*chronic_consumption!G146/1000/$C$3)</f>
        <v>#DIV/0!</v>
      </c>
      <c r="M146" s="974" t="e">
        <f>IF($F146="","",$F146*chronic_consumption!H146/1000/$C$3)</f>
        <v>#DIV/0!</v>
      </c>
      <c r="N146" s="974" t="e">
        <f>IF($F146="","",$F146*chronic_consumption!I146/1000/$C$3)</f>
        <v>#DIV/0!</v>
      </c>
      <c r="O146" s="974" t="e">
        <f>IF($F146="","",$F146*chronic_consumption!J146/1000/$C$3)</f>
        <v>#DIV/0!</v>
      </c>
      <c r="P146" s="974" t="e">
        <f>IF($F146="","",$F146*chronic_consumption!K146/1000/$C$3)</f>
        <v>#DIV/0!</v>
      </c>
      <c r="Q146" s="974" t="e">
        <f>IF($F146="","",$F146*chronic_consumption!L146/1000/$C$3)</f>
        <v>#DIV/0!</v>
      </c>
      <c r="R146" s="974" t="e">
        <f>IF($F146="","",$F146*chronic_consumption!M146/1000/$C$3)</f>
        <v>#DIV/0!</v>
      </c>
      <c r="S146" s="974" t="e">
        <f>IF($F146="","",$F146*chronic_consumption!N146/1000/$C$3)</f>
        <v>#DIV/0!</v>
      </c>
      <c r="T146" s="974" t="e">
        <f>IF($F146="","",$F146*chronic_consumption!O146/1000/$C$3)</f>
        <v>#DIV/0!</v>
      </c>
      <c r="U146" s="974" t="e">
        <f>IF($F146="","",$F146*chronic_consumption!P146/1000/$C$3)</f>
        <v>#DIV/0!</v>
      </c>
      <c r="V146" s="974" t="e">
        <f>IF($F146="","",$F146*chronic_consumption!Q146/1000/$C$3)</f>
        <v>#DIV/0!</v>
      </c>
      <c r="W146" s="974" t="e">
        <f>IF($F146="","",$F146*chronic_consumption!R146/1000/$C$3)</f>
        <v>#DIV/0!</v>
      </c>
      <c r="X146" s="974" t="e">
        <f>IF($F146="","",$F146*chronic_consumption!S146/1000/$C$3)</f>
        <v>#DIV/0!</v>
      </c>
      <c r="Y146" s="974" t="e">
        <f>IF($F146="","",$F146*chronic_consumption!T146/1000/$C$3)</f>
        <v>#DIV/0!</v>
      </c>
      <c r="Z146" s="974" t="e">
        <f>IF($F146="","",$F146*chronic_consumption!U146/1000/$C$3)</f>
        <v>#DIV/0!</v>
      </c>
      <c r="AA146" s="974" t="e">
        <f>IF($F146="","",$F146*chronic_consumption!V146/1000/$C$3)</f>
        <v>#DIV/0!</v>
      </c>
      <c r="AB146" s="974" t="e">
        <f>IF($F146="","",$F146*chronic_consumption!W146/1000/$C$3)</f>
        <v>#DIV/0!</v>
      </c>
      <c r="AC146" s="974" t="e">
        <f>IF($F146="","",$F146*chronic_consumption!X146/1000/$C$3)</f>
        <v>#DIV/0!</v>
      </c>
      <c r="AD146" s="974" t="e">
        <f>IF($F146="","",$F146*chronic_consumption!Y146/1000/$C$3)</f>
        <v>#DIV/0!</v>
      </c>
      <c r="AE146" s="974" t="e">
        <f>IF($F146="","",$F146*chronic_consumption!Z146/1000/$C$3)</f>
        <v>#DIV/0!</v>
      </c>
      <c r="AF146" s="974" t="e">
        <f>IF($F146="","",$F146*chronic_consumption!AA146/1000/$C$3)</f>
        <v>#DIV/0!</v>
      </c>
      <c r="AG146" s="974" t="e">
        <f>IF($F146="","",$F146*chronic_consumption!AB146/1000/$C$3)</f>
        <v>#DIV/0!</v>
      </c>
      <c r="AH146" s="974" t="e">
        <f>IF($F146="","",$F146*chronic_consumption!AC146/1000/$C$3)</f>
        <v>#DIV/0!</v>
      </c>
      <c r="AI146" s="974" t="e">
        <f>IF($F146="","",$F146*chronic_consumption!AD146/1000/$C$3)</f>
        <v>#DIV/0!</v>
      </c>
      <c r="AJ146" s="974" t="e">
        <f>IF($F146="","",$F146*chronic_consumption!AE146/1000/$C$3)</f>
        <v>#DIV/0!</v>
      </c>
      <c r="AK146" s="974" t="e">
        <f>IF($F146="","",$F146*chronic_consumption!AF146/1000/$C$3)</f>
        <v>#DIV/0!</v>
      </c>
      <c r="AL146" s="974" t="e">
        <f>IF($F146="","",$F146*chronic_consumption!AG146/1000/$C$3)</f>
        <v>#DIV/0!</v>
      </c>
      <c r="AM146" s="974" t="e">
        <f>IF($F146="","",$F146*chronic_consumption!AH146/1000/$C$3)</f>
        <v>#DIV/0!</v>
      </c>
      <c r="AN146" s="974" t="e">
        <f>IF($F146="","",$F146*chronic_consumption!AI146/1000/$C$3)</f>
        <v>#DIV/0!</v>
      </c>
      <c r="AO146" s="974" t="e">
        <f>IF($F146="","",$F146*chronic_consumption!AJ146/1000/$C$3)</f>
        <v>#DIV/0!</v>
      </c>
      <c r="AP146" s="974" t="e">
        <f>IF($F146="","",$F146*chronic_consumption!AK146/1000/$C$3)</f>
        <v>#DIV/0!</v>
      </c>
      <c r="AQ146" s="974" t="e">
        <f>IF($F146="","",$F146*chronic_consumption!AL146/1000/$C$3)</f>
        <v>#DIV/0!</v>
      </c>
      <c r="AR146" s="974" t="e">
        <f>IF($F146="","",$F146*chronic_consumption!AM146/1000/$C$3)</f>
        <v>#DIV/0!</v>
      </c>
      <c r="AS146" s="974" t="e">
        <f>IF($F146="","",$F146*chronic_consumption!AN146/1000/$C$3)</f>
        <v>#DIV/0!</v>
      </c>
      <c r="AT146" s="974" t="e">
        <f>IF($F146="","",$F146*chronic_consumption!AO146/1000/$C$3)</f>
        <v>#DIV/0!</v>
      </c>
      <c r="AU146" s="974"/>
      <c r="AV146" s="974" t="e">
        <f>IF($F146="","",$F146*chronic_consumption!AQ146/1000/$C$3)</f>
        <v>#DIV/0!</v>
      </c>
      <c r="AW146" s="974" t="e">
        <f>IF($F146="","",$F146*chronic_consumption!AR146/1000/$C$3)</f>
        <v>#DIV/0!</v>
      </c>
      <c r="AX146" s="974" t="e">
        <f>IF($F146="","",$F146*chronic_consumption!AS146/1000/$C$3)</f>
        <v>#DIV/0!</v>
      </c>
      <c r="AY146" s="974" t="e">
        <f>IF($F146="","",$F146*chronic_consumption!AT146/1000/$C$3)</f>
        <v>#DIV/0!</v>
      </c>
      <c r="AZ146" s="973" t="s">
        <v>19</v>
      </c>
      <c r="BA146" s="969" t="e">
        <f t="shared" si="15"/>
        <v>#DIV/0!</v>
      </c>
      <c r="BB146" s="970" t="e">
        <f t="shared" si="16"/>
        <v>#DIV/0!</v>
      </c>
      <c r="BC146" s="971" t="e">
        <f t="shared" ca="1" si="17"/>
        <v>#DIV/0!</v>
      </c>
      <c r="BD146" s="228">
        <f>input_values!Z146</f>
        <v>4</v>
      </c>
      <c r="BE146" s="152">
        <f>input_values!L146</f>
        <v>0</v>
      </c>
      <c r="BF146" s="972" t="str">
        <f t="shared" si="18"/>
        <v/>
      </c>
    </row>
    <row r="147" spans="1:58" ht="12" customHeight="1" outlineLevel="3" x14ac:dyDescent="0.2">
      <c r="A147" s="21">
        <v>4</v>
      </c>
      <c r="B147" s="23">
        <v>241020</v>
      </c>
      <c r="C147" s="23" t="s">
        <v>715</v>
      </c>
      <c r="D147" s="965">
        <f>Table22[[#This Row],[MRL individual commodity]]</f>
        <v>0</v>
      </c>
      <c r="E147" s="300" t="str">
        <f>Table22[[#This Row],[LOQ_label]]</f>
        <v/>
      </c>
      <c r="F147" s="966">
        <f>Table22[[#This Row],[Chronic RA input value]]</f>
        <v>0</v>
      </c>
      <c r="G147" s="304" t="str">
        <f>Table22[[#This Row],[Chronic RA label]]</f>
        <v/>
      </c>
      <c r="H147" s="304">
        <f>Table22[[#This Row],[GAP under assessment]]</f>
        <v>0</v>
      </c>
      <c r="I147" s="1123"/>
      <c r="J147" s="974" t="e">
        <f>IF($F147="","",$F147*chronic_consumption!$E147/1000/$C$3)</f>
        <v>#DIV/0!</v>
      </c>
      <c r="K147" s="974" t="e">
        <f>IF($F147="","",$F147*chronic_consumption!F147/1000/$C$3)</f>
        <v>#DIV/0!</v>
      </c>
      <c r="L147" s="974" t="e">
        <f>IF($F147="","",$F147*chronic_consumption!G147/1000/$C$3)</f>
        <v>#DIV/0!</v>
      </c>
      <c r="M147" s="974" t="e">
        <f>IF($F147="","",$F147*chronic_consumption!H147/1000/$C$3)</f>
        <v>#DIV/0!</v>
      </c>
      <c r="N147" s="974" t="e">
        <f>IF($F147="","",$F147*chronic_consumption!I147/1000/$C$3)</f>
        <v>#DIV/0!</v>
      </c>
      <c r="O147" s="974" t="e">
        <f>IF($F147="","",$F147*chronic_consumption!J147/1000/$C$3)</f>
        <v>#DIV/0!</v>
      </c>
      <c r="P147" s="974" t="e">
        <f>IF($F147="","",$F147*chronic_consumption!K147/1000/$C$3)</f>
        <v>#DIV/0!</v>
      </c>
      <c r="Q147" s="974" t="e">
        <f>IF($F147="","",$F147*chronic_consumption!L147/1000/$C$3)</f>
        <v>#DIV/0!</v>
      </c>
      <c r="R147" s="974" t="e">
        <f>IF($F147="","",$F147*chronic_consumption!M147/1000/$C$3)</f>
        <v>#DIV/0!</v>
      </c>
      <c r="S147" s="974" t="e">
        <f>IF($F147="","",$F147*chronic_consumption!N147/1000/$C$3)</f>
        <v>#DIV/0!</v>
      </c>
      <c r="T147" s="974" t="e">
        <f>IF($F147="","",$F147*chronic_consumption!O147/1000/$C$3)</f>
        <v>#DIV/0!</v>
      </c>
      <c r="U147" s="974" t="e">
        <f>IF($F147="","",$F147*chronic_consumption!P147/1000/$C$3)</f>
        <v>#DIV/0!</v>
      </c>
      <c r="V147" s="974" t="e">
        <f>IF($F147="","",$F147*chronic_consumption!Q147/1000/$C$3)</f>
        <v>#DIV/0!</v>
      </c>
      <c r="W147" s="974" t="e">
        <f>IF($F147="","",$F147*chronic_consumption!R147/1000/$C$3)</f>
        <v>#DIV/0!</v>
      </c>
      <c r="X147" s="974" t="e">
        <f>IF($F147="","",$F147*chronic_consumption!S147/1000/$C$3)</f>
        <v>#DIV/0!</v>
      </c>
      <c r="Y147" s="974" t="e">
        <f>IF($F147="","",$F147*chronic_consumption!T147/1000/$C$3)</f>
        <v>#DIV/0!</v>
      </c>
      <c r="Z147" s="974" t="e">
        <f>IF($F147="","",$F147*chronic_consumption!U147/1000/$C$3)</f>
        <v>#DIV/0!</v>
      </c>
      <c r="AA147" s="974" t="e">
        <f>IF($F147="","",$F147*chronic_consumption!V147/1000/$C$3)</f>
        <v>#DIV/0!</v>
      </c>
      <c r="AB147" s="974" t="e">
        <f>IF($F147="","",$F147*chronic_consumption!W147/1000/$C$3)</f>
        <v>#DIV/0!</v>
      </c>
      <c r="AC147" s="974" t="e">
        <f>IF($F147="","",$F147*chronic_consumption!X147/1000/$C$3)</f>
        <v>#DIV/0!</v>
      </c>
      <c r="AD147" s="974" t="e">
        <f>IF($F147="","",$F147*chronic_consumption!Y147/1000/$C$3)</f>
        <v>#DIV/0!</v>
      </c>
      <c r="AE147" s="974" t="e">
        <f>IF($F147="","",$F147*chronic_consumption!Z147/1000/$C$3)</f>
        <v>#DIV/0!</v>
      </c>
      <c r="AF147" s="974" t="e">
        <f>IF($F147="","",$F147*chronic_consumption!AA147/1000/$C$3)</f>
        <v>#DIV/0!</v>
      </c>
      <c r="AG147" s="974" t="e">
        <f>IF($F147="","",$F147*chronic_consumption!AB147/1000/$C$3)</f>
        <v>#DIV/0!</v>
      </c>
      <c r="AH147" s="974" t="e">
        <f>IF($F147="","",$F147*chronic_consumption!AC147/1000/$C$3)</f>
        <v>#DIV/0!</v>
      </c>
      <c r="AI147" s="974" t="e">
        <f>IF($F147="","",$F147*chronic_consumption!AD147/1000/$C$3)</f>
        <v>#DIV/0!</v>
      </c>
      <c r="AJ147" s="974" t="e">
        <f>IF($F147="","",$F147*chronic_consumption!AE147/1000/$C$3)</f>
        <v>#DIV/0!</v>
      </c>
      <c r="AK147" s="974" t="e">
        <f>IF($F147="","",$F147*chronic_consumption!AF147/1000/$C$3)</f>
        <v>#DIV/0!</v>
      </c>
      <c r="AL147" s="974" t="e">
        <f>IF($F147="","",$F147*chronic_consumption!AG147/1000/$C$3)</f>
        <v>#DIV/0!</v>
      </c>
      <c r="AM147" s="974" t="e">
        <f>IF($F147="","",$F147*chronic_consumption!AH147/1000/$C$3)</f>
        <v>#DIV/0!</v>
      </c>
      <c r="AN147" s="974" t="e">
        <f>IF($F147="","",$F147*chronic_consumption!AI147/1000/$C$3)</f>
        <v>#DIV/0!</v>
      </c>
      <c r="AO147" s="974" t="e">
        <f>IF($F147="","",$F147*chronic_consumption!AJ147/1000/$C$3)</f>
        <v>#DIV/0!</v>
      </c>
      <c r="AP147" s="974" t="e">
        <f>IF($F147="","",$F147*chronic_consumption!AK147/1000/$C$3)</f>
        <v>#DIV/0!</v>
      </c>
      <c r="AQ147" s="974" t="e">
        <f>IF($F147="","",$F147*chronic_consumption!AL147/1000/$C$3)</f>
        <v>#DIV/0!</v>
      </c>
      <c r="AR147" s="974" t="e">
        <f>IF($F147="","",$F147*chronic_consumption!AM147/1000/$C$3)</f>
        <v>#DIV/0!</v>
      </c>
      <c r="AS147" s="974" t="e">
        <f>IF($F147="","",$F147*chronic_consumption!AN147/1000/$C$3)</f>
        <v>#DIV/0!</v>
      </c>
      <c r="AT147" s="974" t="e">
        <f>IF($F147="","",$F147*chronic_consumption!AO147/1000/$C$3)</f>
        <v>#DIV/0!</v>
      </c>
      <c r="AU147" s="974"/>
      <c r="AV147" s="974" t="e">
        <f>IF($F147="","",$F147*chronic_consumption!AQ147/1000/$C$3)</f>
        <v>#DIV/0!</v>
      </c>
      <c r="AW147" s="974" t="e">
        <f>IF($F147="","",$F147*chronic_consumption!AR147/1000/$C$3)</f>
        <v>#DIV/0!</v>
      </c>
      <c r="AX147" s="974" t="e">
        <f>IF($F147="","",$F147*chronic_consumption!AS147/1000/$C$3)</f>
        <v>#DIV/0!</v>
      </c>
      <c r="AY147" s="974" t="e">
        <f>IF($F147="","",$F147*chronic_consumption!AT147/1000/$C$3)</f>
        <v>#DIV/0!</v>
      </c>
      <c r="AZ147" s="973" t="s">
        <v>19</v>
      </c>
      <c r="BA147" s="969" t="e">
        <f t="shared" si="15"/>
        <v>#DIV/0!</v>
      </c>
      <c r="BB147" s="970" t="e">
        <f t="shared" si="16"/>
        <v>#DIV/0!</v>
      </c>
      <c r="BC147" s="971" t="e">
        <f t="shared" ca="1" si="17"/>
        <v>#DIV/0!</v>
      </c>
      <c r="BD147" s="228">
        <f>input_values!Z147</f>
        <v>4</v>
      </c>
      <c r="BE147" s="152">
        <f>input_values!L147</f>
        <v>0</v>
      </c>
      <c r="BF147" s="972" t="str">
        <f t="shared" si="18"/>
        <v/>
      </c>
    </row>
    <row r="148" spans="1:58" ht="12" customHeight="1" outlineLevel="3" x14ac:dyDescent="0.2">
      <c r="A148" s="21">
        <v>4</v>
      </c>
      <c r="B148" s="23">
        <v>241990</v>
      </c>
      <c r="C148" s="23" t="s">
        <v>170</v>
      </c>
      <c r="D148" s="965">
        <f>Table22[[#This Row],[MRL individual commodity]]</f>
        <v>0</v>
      </c>
      <c r="E148" s="300" t="str">
        <f>Table22[[#This Row],[LOQ_label]]</f>
        <v/>
      </c>
      <c r="F148" s="966">
        <f>Table22[[#This Row],[Chronic RA input value]]</f>
        <v>0</v>
      </c>
      <c r="G148" s="304" t="str">
        <f>Table22[[#This Row],[Chronic RA label]]</f>
        <v/>
      </c>
      <c r="H148" s="304">
        <f>Table22[[#This Row],[GAP under assessment]]</f>
        <v>0</v>
      </c>
      <c r="I148" s="1123"/>
      <c r="J148" s="974" t="e">
        <f>IF($F148="","",$F148*chronic_consumption!$E148/1000/$C$3)</f>
        <v>#DIV/0!</v>
      </c>
      <c r="K148" s="974" t="e">
        <f>IF($F148="","",$F148*chronic_consumption!F148/1000/$C$3)</f>
        <v>#DIV/0!</v>
      </c>
      <c r="L148" s="974" t="e">
        <f>IF($F148="","",$F148*chronic_consumption!G148/1000/$C$3)</f>
        <v>#DIV/0!</v>
      </c>
      <c r="M148" s="974" t="e">
        <f>IF($F148="","",$F148*chronic_consumption!H148/1000/$C$3)</f>
        <v>#DIV/0!</v>
      </c>
      <c r="N148" s="974" t="e">
        <f>IF($F148="","",$F148*chronic_consumption!I148/1000/$C$3)</f>
        <v>#DIV/0!</v>
      </c>
      <c r="O148" s="974" t="e">
        <f>IF($F148="","",$F148*chronic_consumption!J148/1000/$C$3)</f>
        <v>#DIV/0!</v>
      </c>
      <c r="P148" s="974" t="e">
        <f>IF($F148="","",$F148*chronic_consumption!K148/1000/$C$3)</f>
        <v>#DIV/0!</v>
      </c>
      <c r="Q148" s="974" t="e">
        <f>IF($F148="","",$F148*chronic_consumption!L148/1000/$C$3)</f>
        <v>#DIV/0!</v>
      </c>
      <c r="R148" s="974" t="e">
        <f>IF($F148="","",$F148*chronic_consumption!M148/1000/$C$3)</f>
        <v>#DIV/0!</v>
      </c>
      <c r="S148" s="974" t="e">
        <f>IF($F148="","",$F148*chronic_consumption!N148/1000/$C$3)</f>
        <v>#DIV/0!</v>
      </c>
      <c r="T148" s="974" t="e">
        <f>IF($F148="","",$F148*chronic_consumption!O148/1000/$C$3)</f>
        <v>#DIV/0!</v>
      </c>
      <c r="U148" s="974" t="e">
        <f>IF($F148="","",$F148*chronic_consumption!P148/1000/$C$3)</f>
        <v>#DIV/0!</v>
      </c>
      <c r="V148" s="974" t="e">
        <f>IF($F148="","",$F148*chronic_consumption!Q148/1000/$C$3)</f>
        <v>#DIV/0!</v>
      </c>
      <c r="W148" s="974" t="e">
        <f>IF($F148="","",$F148*chronic_consumption!R148/1000/$C$3)</f>
        <v>#DIV/0!</v>
      </c>
      <c r="X148" s="974" t="e">
        <f>IF($F148="","",$F148*chronic_consumption!S148/1000/$C$3)</f>
        <v>#DIV/0!</v>
      </c>
      <c r="Y148" s="974" t="e">
        <f>IF($F148="","",$F148*chronic_consumption!T148/1000/$C$3)</f>
        <v>#DIV/0!</v>
      </c>
      <c r="Z148" s="974" t="e">
        <f>IF($F148="","",$F148*chronic_consumption!U148/1000/$C$3)</f>
        <v>#DIV/0!</v>
      </c>
      <c r="AA148" s="974" t="e">
        <f>IF($F148="","",$F148*chronic_consumption!V148/1000/$C$3)</f>
        <v>#DIV/0!</v>
      </c>
      <c r="AB148" s="974" t="e">
        <f>IF($F148="","",$F148*chronic_consumption!W148/1000/$C$3)</f>
        <v>#DIV/0!</v>
      </c>
      <c r="AC148" s="974" t="e">
        <f>IF($F148="","",$F148*chronic_consumption!X148/1000/$C$3)</f>
        <v>#DIV/0!</v>
      </c>
      <c r="AD148" s="974" t="e">
        <f>IF($F148="","",$F148*chronic_consumption!Y148/1000/$C$3)</f>
        <v>#DIV/0!</v>
      </c>
      <c r="AE148" s="974" t="e">
        <f>IF($F148="","",$F148*chronic_consumption!Z148/1000/$C$3)</f>
        <v>#DIV/0!</v>
      </c>
      <c r="AF148" s="974" t="e">
        <f>IF($F148="","",$F148*chronic_consumption!AA148/1000/$C$3)</f>
        <v>#DIV/0!</v>
      </c>
      <c r="AG148" s="974" t="e">
        <f>IF($F148="","",$F148*chronic_consumption!AB148/1000/$C$3)</f>
        <v>#DIV/0!</v>
      </c>
      <c r="AH148" s="974" t="e">
        <f>IF($F148="","",$F148*chronic_consumption!AC148/1000/$C$3)</f>
        <v>#DIV/0!</v>
      </c>
      <c r="AI148" s="974" t="e">
        <f>IF($F148="","",$F148*chronic_consumption!AD148/1000/$C$3)</f>
        <v>#DIV/0!</v>
      </c>
      <c r="AJ148" s="974" t="e">
        <f>IF($F148="","",$F148*chronic_consumption!AE148/1000/$C$3)</f>
        <v>#DIV/0!</v>
      </c>
      <c r="AK148" s="974" t="e">
        <f>IF($F148="","",$F148*chronic_consumption!AF148/1000/$C$3)</f>
        <v>#DIV/0!</v>
      </c>
      <c r="AL148" s="974" t="e">
        <f>IF($F148="","",$F148*chronic_consumption!AG148/1000/$C$3)</f>
        <v>#DIV/0!</v>
      </c>
      <c r="AM148" s="974" t="e">
        <f>IF($F148="","",$F148*chronic_consumption!AH148/1000/$C$3)</f>
        <v>#DIV/0!</v>
      </c>
      <c r="AN148" s="974" t="e">
        <f>IF($F148="","",$F148*chronic_consumption!AI148/1000/$C$3)</f>
        <v>#DIV/0!</v>
      </c>
      <c r="AO148" s="974" t="e">
        <f>IF($F148="","",$F148*chronic_consumption!AJ148/1000/$C$3)</f>
        <v>#DIV/0!</v>
      </c>
      <c r="AP148" s="974" t="e">
        <f>IF($F148="","",$F148*chronic_consumption!AK148/1000/$C$3)</f>
        <v>#DIV/0!</v>
      </c>
      <c r="AQ148" s="974" t="e">
        <f>IF($F148="","",$F148*chronic_consumption!AL148/1000/$C$3)</f>
        <v>#DIV/0!</v>
      </c>
      <c r="AR148" s="974" t="e">
        <f>IF($F148="","",$F148*chronic_consumption!AM148/1000/$C$3)</f>
        <v>#DIV/0!</v>
      </c>
      <c r="AS148" s="974" t="e">
        <f>IF($F148="","",$F148*chronic_consumption!AN148/1000/$C$3)</f>
        <v>#DIV/0!</v>
      </c>
      <c r="AT148" s="974" t="e">
        <f>IF($F148="","",$F148*chronic_consumption!AO148/1000/$C$3)</f>
        <v>#DIV/0!</v>
      </c>
      <c r="AU148" s="974"/>
      <c r="AV148" s="974" t="e">
        <f>IF($F148="","",$F148*chronic_consumption!AQ148/1000/$C$3)</f>
        <v>#DIV/0!</v>
      </c>
      <c r="AW148" s="974" t="e">
        <f>IF($F148="","",$F148*chronic_consumption!AR148/1000/$C$3)</f>
        <v>#DIV/0!</v>
      </c>
      <c r="AX148" s="974" t="e">
        <f>IF($F148="","",$F148*chronic_consumption!AS148/1000/$C$3)</f>
        <v>#DIV/0!</v>
      </c>
      <c r="AY148" s="974" t="e">
        <f>IF($F148="","",$F148*chronic_consumption!AT148/1000/$C$3)</f>
        <v>#DIV/0!</v>
      </c>
      <c r="AZ148" s="973" t="s">
        <v>19</v>
      </c>
      <c r="BA148" s="969" t="e">
        <f t="shared" si="15"/>
        <v>#DIV/0!</v>
      </c>
      <c r="BB148" s="970" t="e">
        <f t="shared" si="16"/>
        <v>#DIV/0!</v>
      </c>
      <c r="BC148" s="971" t="e">
        <f t="shared" ca="1" si="17"/>
        <v>#DIV/0!</v>
      </c>
      <c r="BD148" s="228">
        <f>input_values!Z148</f>
        <v>4</v>
      </c>
      <c r="BE148" s="152">
        <f>input_values!L148</f>
        <v>0</v>
      </c>
      <c r="BF148" s="972" t="str">
        <f t="shared" si="18"/>
        <v/>
      </c>
    </row>
    <row r="149" spans="1:58" ht="12" customHeight="1" outlineLevel="2" x14ac:dyDescent="0.2">
      <c r="A149" s="341">
        <v>3</v>
      </c>
      <c r="B149" s="3">
        <v>242000</v>
      </c>
      <c r="C149" s="3" t="s">
        <v>232</v>
      </c>
      <c r="D149" s="965">
        <f>Table22[[#This Row],[MRL individual commodity]]</f>
        <v>0</v>
      </c>
      <c r="E149" s="300">
        <f>Table22[[#This Row],[LOQ_label]]</f>
        <v>0</v>
      </c>
      <c r="F149" s="966">
        <f>Table22[[#This Row],[Chronic RA input value]]</f>
        <v>0</v>
      </c>
      <c r="G149" s="304">
        <f>Table22[[#This Row],[Chronic RA label]]</f>
        <v>0</v>
      </c>
      <c r="H149" s="304">
        <f>Table22[[#This Row],[GAP under assessment]]</f>
        <v>0</v>
      </c>
      <c r="I149" s="1123"/>
      <c r="J149" s="967" t="e">
        <f>IF($F149="","",$F149*chronic_consumption!$E149/1000/$C$3)</f>
        <v>#DIV/0!</v>
      </c>
      <c r="K149" s="967" t="e">
        <f>IF($F149="","",$F149*chronic_consumption!F149/1000/$C$3)</f>
        <v>#DIV/0!</v>
      </c>
      <c r="L149" s="967" t="e">
        <f>IF($F149="","",$F149*chronic_consumption!G149/1000/$C$3)</f>
        <v>#DIV/0!</v>
      </c>
      <c r="M149" s="967" t="e">
        <f>IF($F149="","",$F149*chronic_consumption!H149/1000/$C$3)</f>
        <v>#DIV/0!</v>
      </c>
      <c r="N149" s="967" t="e">
        <f>IF($F149="","",$F149*chronic_consumption!I149/1000/$C$3)</f>
        <v>#DIV/0!</v>
      </c>
      <c r="O149" s="967" t="e">
        <f>IF($F149="","",$F149*chronic_consumption!J149/1000/$C$3)</f>
        <v>#DIV/0!</v>
      </c>
      <c r="P149" s="967" t="e">
        <f>IF($F149="","",$F149*chronic_consumption!K149/1000/$C$3)</f>
        <v>#DIV/0!</v>
      </c>
      <c r="Q149" s="967" t="e">
        <f>IF($F149="","",$F149*chronic_consumption!L149/1000/$C$3)</f>
        <v>#DIV/0!</v>
      </c>
      <c r="R149" s="967" t="e">
        <f>IF($F149="","",$F149*chronic_consumption!M149/1000/$C$3)</f>
        <v>#DIV/0!</v>
      </c>
      <c r="S149" s="967" t="e">
        <f>IF($F149="","",$F149*chronic_consumption!N149/1000/$C$3)</f>
        <v>#DIV/0!</v>
      </c>
      <c r="T149" s="967" t="e">
        <f>IF($F149="","",$F149*chronic_consumption!O149/1000/$C$3)</f>
        <v>#DIV/0!</v>
      </c>
      <c r="U149" s="967" t="e">
        <f>IF($F149="","",$F149*chronic_consumption!P149/1000/$C$3)</f>
        <v>#DIV/0!</v>
      </c>
      <c r="V149" s="967" t="e">
        <f>IF($F149="","",$F149*chronic_consumption!Q149/1000/$C$3)</f>
        <v>#DIV/0!</v>
      </c>
      <c r="W149" s="967" t="e">
        <f>IF($F149="","",$F149*chronic_consumption!R149/1000/$C$3)</f>
        <v>#DIV/0!</v>
      </c>
      <c r="X149" s="967" t="e">
        <f>IF($F149="","",$F149*chronic_consumption!S149/1000/$C$3)</f>
        <v>#DIV/0!</v>
      </c>
      <c r="Y149" s="967" t="e">
        <f>IF($F149="","",$F149*chronic_consumption!T149/1000/$C$3)</f>
        <v>#DIV/0!</v>
      </c>
      <c r="Z149" s="967" t="e">
        <f>IF($F149="","",$F149*chronic_consumption!U149/1000/$C$3)</f>
        <v>#DIV/0!</v>
      </c>
      <c r="AA149" s="967" t="e">
        <f>IF($F149="","",$F149*chronic_consumption!V149/1000/$C$3)</f>
        <v>#DIV/0!</v>
      </c>
      <c r="AB149" s="967" t="e">
        <f>IF($F149="","",$F149*chronic_consumption!W149/1000/$C$3)</f>
        <v>#DIV/0!</v>
      </c>
      <c r="AC149" s="967" t="e">
        <f>IF($F149="","",$F149*chronic_consumption!X149/1000/$C$3)</f>
        <v>#DIV/0!</v>
      </c>
      <c r="AD149" s="967" t="e">
        <f>IF($F149="","",$F149*chronic_consumption!Y149/1000/$C$3)</f>
        <v>#DIV/0!</v>
      </c>
      <c r="AE149" s="967" t="e">
        <f>IF($F149="","",$F149*chronic_consumption!Z149/1000/$C$3)</f>
        <v>#DIV/0!</v>
      </c>
      <c r="AF149" s="967" t="e">
        <f>IF($F149="","",$F149*chronic_consumption!AA149/1000/$C$3)</f>
        <v>#DIV/0!</v>
      </c>
      <c r="AG149" s="967" t="e">
        <f>IF($F149="","",$F149*chronic_consumption!AB149/1000/$C$3)</f>
        <v>#DIV/0!</v>
      </c>
      <c r="AH149" s="967" t="e">
        <f>IF($F149="","",$F149*chronic_consumption!AC149/1000/$C$3)</f>
        <v>#DIV/0!</v>
      </c>
      <c r="AI149" s="967" t="e">
        <f>IF($F149="","",$F149*chronic_consumption!AD149/1000/$C$3)</f>
        <v>#DIV/0!</v>
      </c>
      <c r="AJ149" s="967" t="e">
        <f>IF($F149="","",$F149*chronic_consumption!AE149/1000/$C$3)</f>
        <v>#DIV/0!</v>
      </c>
      <c r="AK149" s="967" t="e">
        <f>IF($F149="","",$F149*chronic_consumption!AF149/1000/$C$3)</f>
        <v>#DIV/0!</v>
      </c>
      <c r="AL149" s="967" t="e">
        <f>IF($F149="","",$F149*chronic_consumption!AG149/1000/$C$3)</f>
        <v>#DIV/0!</v>
      </c>
      <c r="AM149" s="967" t="e">
        <f>IF($F149="","",$F149*chronic_consumption!AH149/1000/$C$3)</f>
        <v>#DIV/0!</v>
      </c>
      <c r="AN149" s="967" t="e">
        <f>IF($F149="","",$F149*chronic_consumption!AI149/1000/$C$3)</f>
        <v>#DIV/0!</v>
      </c>
      <c r="AO149" s="967" t="e">
        <f>IF($F149="","",$F149*chronic_consumption!AJ149/1000/$C$3)</f>
        <v>#DIV/0!</v>
      </c>
      <c r="AP149" s="967" t="e">
        <f>IF($F149="","",$F149*chronic_consumption!AK149/1000/$C$3)</f>
        <v>#DIV/0!</v>
      </c>
      <c r="AQ149" s="967" t="e">
        <f>IF($F149="","",$F149*chronic_consumption!AL149/1000/$C$3)</f>
        <v>#DIV/0!</v>
      </c>
      <c r="AR149" s="967" t="e">
        <f>IF($F149="","",$F149*chronic_consumption!AM149/1000/$C$3)</f>
        <v>#DIV/0!</v>
      </c>
      <c r="AS149" s="967" t="e">
        <f>IF($F149="","",$F149*chronic_consumption!AN149/1000/$C$3)</f>
        <v>#DIV/0!</v>
      </c>
      <c r="AT149" s="967" t="e">
        <f>IF($F149="","",$F149*chronic_consumption!AO149/1000/$C$3)</f>
        <v>#DIV/0!</v>
      </c>
      <c r="AU149" s="967"/>
      <c r="AV149" s="967" t="e">
        <f>IF($F149="","",$F149*chronic_consumption!AQ149/1000/$C$3)</f>
        <v>#DIV/0!</v>
      </c>
      <c r="AW149" s="967" t="e">
        <f>IF($F149="","",$F149*chronic_consumption!AR149/1000/$C$3)</f>
        <v>#DIV/0!</v>
      </c>
      <c r="AX149" s="967" t="e">
        <f>IF($F149="","",$F149*chronic_consumption!AS149/1000/$C$3)</f>
        <v>#DIV/0!</v>
      </c>
      <c r="AY149" s="967" t="e">
        <f>IF($F149="","",$F149*chronic_consumption!AT149/1000/$C$3)</f>
        <v>#DIV/0!</v>
      </c>
      <c r="AZ149" s="973"/>
      <c r="BA149" s="969" t="e">
        <f t="shared" si="15"/>
        <v>#DIV/0!</v>
      </c>
      <c r="BB149" s="970" t="e">
        <f t="shared" si="16"/>
        <v>#DIV/0!</v>
      </c>
      <c r="BC149" s="971" t="e">
        <f t="shared" ca="1" si="17"/>
        <v>#DIV/0!</v>
      </c>
      <c r="BD149" s="228">
        <f>input_values!Z149</f>
        <v>4</v>
      </c>
      <c r="BE149" s="152">
        <f>input_values!L149</f>
        <v>0</v>
      </c>
      <c r="BF149" s="972" t="str">
        <f t="shared" si="18"/>
        <v/>
      </c>
    </row>
    <row r="150" spans="1:58" ht="12" customHeight="1" outlineLevel="3" x14ac:dyDescent="0.2">
      <c r="A150" s="21">
        <v>4</v>
      </c>
      <c r="B150" s="23">
        <v>242010</v>
      </c>
      <c r="C150" s="23" t="s">
        <v>86</v>
      </c>
      <c r="D150" s="965">
        <f>Table22[[#This Row],[MRL individual commodity]]</f>
        <v>0</v>
      </c>
      <c r="E150" s="300" t="str">
        <f>Table22[[#This Row],[LOQ_label]]</f>
        <v/>
      </c>
      <c r="F150" s="966">
        <f>Table22[[#This Row],[Chronic RA input value]]</f>
        <v>0</v>
      </c>
      <c r="G150" s="304" t="str">
        <f>Table22[[#This Row],[Chronic RA label]]</f>
        <v/>
      </c>
      <c r="H150" s="304">
        <f>Table22[[#This Row],[GAP under assessment]]</f>
        <v>0</v>
      </c>
      <c r="I150" s="1123"/>
      <c r="J150" s="974" t="e">
        <f>IF($F150="","",$F150*chronic_consumption!$E150/1000/$C$3)</f>
        <v>#DIV/0!</v>
      </c>
      <c r="K150" s="974" t="e">
        <f>IF($F150="","",$F150*chronic_consumption!F150/1000/$C$3)</f>
        <v>#DIV/0!</v>
      </c>
      <c r="L150" s="974" t="e">
        <f>IF($F150="","",$F150*chronic_consumption!G150/1000/$C$3)</f>
        <v>#DIV/0!</v>
      </c>
      <c r="M150" s="974" t="e">
        <f>IF($F150="","",$F150*chronic_consumption!H150/1000/$C$3)</f>
        <v>#DIV/0!</v>
      </c>
      <c r="N150" s="974" t="e">
        <f>IF($F150="","",$F150*chronic_consumption!I150/1000/$C$3)</f>
        <v>#DIV/0!</v>
      </c>
      <c r="O150" s="974" t="e">
        <f>IF($F150="","",$F150*chronic_consumption!J150/1000/$C$3)</f>
        <v>#DIV/0!</v>
      </c>
      <c r="P150" s="974" t="e">
        <f>IF($F150="","",$F150*chronic_consumption!K150/1000/$C$3)</f>
        <v>#DIV/0!</v>
      </c>
      <c r="Q150" s="974" t="e">
        <f>IF($F150="","",$F150*chronic_consumption!L150/1000/$C$3)</f>
        <v>#DIV/0!</v>
      </c>
      <c r="R150" s="974" t="e">
        <f>IF($F150="","",$F150*chronic_consumption!M150/1000/$C$3)</f>
        <v>#DIV/0!</v>
      </c>
      <c r="S150" s="974" t="e">
        <f>IF($F150="","",$F150*chronic_consumption!N150/1000/$C$3)</f>
        <v>#DIV/0!</v>
      </c>
      <c r="T150" s="974" t="e">
        <f>IF($F150="","",$F150*chronic_consumption!O150/1000/$C$3)</f>
        <v>#DIV/0!</v>
      </c>
      <c r="U150" s="974" t="e">
        <f>IF($F150="","",$F150*chronic_consumption!P150/1000/$C$3)</f>
        <v>#DIV/0!</v>
      </c>
      <c r="V150" s="974" t="e">
        <f>IF($F150="","",$F150*chronic_consumption!Q150/1000/$C$3)</f>
        <v>#DIV/0!</v>
      </c>
      <c r="W150" s="974" t="e">
        <f>IF($F150="","",$F150*chronic_consumption!R150/1000/$C$3)</f>
        <v>#DIV/0!</v>
      </c>
      <c r="X150" s="974" t="e">
        <f>IF($F150="","",$F150*chronic_consumption!S150/1000/$C$3)</f>
        <v>#DIV/0!</v>
      </c>
      <c r="Y150" s="974" t="e">
        <f>IF($F150="","",$F150*chronic_consumption!T150/1000/$C$3)</f>
        <v>#DIV/0!</v>
      </c>
      <c r="Z150" s="974" t="e">
        <f>IF($F150="","",$F150*chronic_consumption!U150/1000/$C$3)</f>
        <v>#DIV/0!</v>
      </c>
      <c r="AA150" s="974" t="e">
        <f>IF($F150="","",$F150*chronic_consumption!V150/1000/$C$3)</f>
        <v>#DIV/0!</v>
      </c>
      <c r="AB150" s="974" t="e">
        <f>IF($F150="","",$F150*chronic_consumption!W150/1000/$C$3)</f>
        <v>#DIV/0!</v>
      </c>
      <c r="AC150" s="974" t="e">
        <f>IF($F150="","",$F150*chronic_consumption!X150/1000/$C$3)</f>
        <v>#DIV/0!</v>
      </c>
      <c r="AD150" s="974" t="e">
        <f>IF($F150="","",$F150*chronic_consumption!Y150/1000/$C$3)</f>
        <v>#DIV/0!</v>
      </c>
      <c r="AE150" s="974" t="e">
        <f>IF($F150="","",$F150*chronic_consumption!Z150/1000/$C$3)</f>
        <v>#DIV/0!</v>
      </c>
      <c r="AF150" s="974" t="e">
        <f>IF($F150="","",$F150*chronic_consumption!AA150/1000/$C$3)</f>
        <v>#DIV/0!</v>
      </c>
      <c r="AG150" s="974" t="e">
        <f>IF($F150="","",$F150*chronic_consumption!AB150/1000/$C$3)</f>
        <v>#DIV/0!</v>
      </c>
      <c r="AH150" s="974" t="e">
        <f>IF($F150="","",$F150*chronic_consumption!AC150/1000/$C$3)</f>
        <v>#DIV/0!</v>
      </c>
      <c r="AI150" s="974" t="e">
        <f>IF($F150="","",$F150*chronic_consumption!AD150/1000/$C$3)</f>
        <v>#DIV/0!</v>
      </c>
      <c r="AJ150" s="974" t="e">
        <f>IF($F150="","",$F150*chronic_consumption!AE150/1000/$C$3)</f>
        <v>#DIV/0!</v>
      </c>
      <c r="AK150" s="974" t="e">
        <f>IF($F150="","",$F150*chronic_consumption!AF150/1000/$C$3)</f>
        <v>#DIV/0!</v>
      </c>
      <c r="AL150" s="974" t="e">
        <f>IF($F150="","",$F150*chronic_consumption!AG150/1000/$C$3)</f>
        <v>#DIV/0!</v>
      </c>
      <c r="AM150" s="974" t="e">
        <f>IF($F150="","",$F150*chronic_consumption!AH150/1000/$C$3)</f>
        <v>#DIV/0!</v>
      </c>
      <c r="AN150" s="974" t="e">
        <f>IF($F150="","",$F150*chronic_consumption!AI150/1000/$C$3)</f>
        <v>#DIV/0!</v>
      </c>
      <c r="AO150" s="974" t="e">
        <f>IF($F150="","",$F150*chronic_consumption!AJ150/1000/$C$3)</f>
        <v>#DIV/0!</v>
      </c>
      <c r="AP150" s="974" t="e">
        <f>IF($F150="","",$F150*chronic_consumption!AK150/1000/$C$3)</f>
        <v>#DIV/0!</v>
      </c>
      <c r="AQ150" s="974" t="e">
        <f>IF($F150="","",$F150*chronic_consumption!AL150/1000/$C$3)</f>
        <v>#DIV/0!</v>
      </c>
      <c r="AR150" s="974" t="e">
        <f>IF($F150="","",$F150*chronic_consumption!AM150/1000/$C$3)</f>
        <v>#DIV/0!</v>
      </c>
      <c r="AS150" s="974" t="e">
        <f>IF($F150="","",$F150*chronic_consumption!AN150/1000/$C$3)</f>
        <v>#DIV/0!</v>
      </c>
      <c r="AT150" s="974" t="e">
        <f>IF($F150="","",$F150*chronic_consumption!AO150/1000/$C$3)</f>
        <v>#DIV/0!</v>
      </c>
      <c r="AU150" s="974"/>
      <c r="AV150" s="974" t="e">
        <f>IF($F150="","",$F150*chronic_consumption!AQ150/1000/$C$3)</f>
        <v>#DIV/0!</v>
      </c>
      <c r="AW150" s="974" t="e">
        <f>IF($F150="","",$F150*chronic_consumption!AR150/1000/$C$3)</f>
        <v>#DIV/0!</v>
      </c>
      <c r="AX150" s="974" t="e">
        <f>IF($F150="","",$F150*chronic_consumption!AS150/1000/$C$3)</f>
        <v>#DIV/0!</v>
      </c>
      <c r="AY150" s="974" t="e">
        <f>IF($F150="","",$F150*chronic_consumption!AT150/1000/$C$3)</f>
        <v>#DIV/0!</v>
      </c>
      <c r="AZ150" s="973" t="s">
        <v>19</v>
      </c>
      <c r="BA150" s="969" t="e">
        <f t="shared" si="15"/>
        <v>#DIV/0!</v>
      </c>
      <c r="BB150" s="970" t="e">
        <f t="shared" si="16"/>
        <v>#DIV/0!</v>
      </c>
      <c r="BC150" s="971" t="e">
        <f t="shared" ca="1" si="17"/>
        <v>#DIV/0!</v>
      </c>
      <c r="BD150" s="228">
        <f>input_values!Z150</f>
        <v>4</v>
      </c>
      <c r="BE150" s="152">
        <f>input_values!L150</f>
        <v>0</v>
      </c>
      <c r="BF150" s="972" t="str">
        <f t="shared" si="18"/>
        <v/>
      </c>
    </row>
    <row r="151" spans="1:58" ht="12" customHeight="1" outlineLevel="3" x14ac:dyDescent="0.2">
      <c r="A151" s="21">
        <v>4</v>
      </c>
      <c r="B151" s="23">
        <v>242020</v>
      </c>
      <c r="C151" s="23" t="s">
        <v>716</v>
      </c>
      <c r="D151" s="965">
        <f>Table22[[#This Row],[MRL individual commodity]]</f>
        <v>0</v>
      </c>
      <c r="E151" s="300" t="str">
        <f>Table22[[#This Row],[LOQ_label]]</f>
        <v/>
      </c>
      <c r="F151" s="966">
        <f>Table22[[#This Row],[Chronic RA input value]]</f>
        <v>0</v>
      </c>
      <c r="G151" s="304" t="str">
        <f>Table22[[#This Row],[Chronic RA label]]</f>
        <v/>
      </c>
      <c r="H151" s="304">
        <f>Table22[[#This Row],[GAP under assessment]]</f>
        <v>0</v>
      </c>
      <c r="I151" s="1123"/>
      <c r="J151" s="974" t="e">
        <f>IF($F151="","",$F151*chronic_consumption!$E151/1000/$C$3)</f>
        <v>#DIV/0!</v>
      </c>
      <c r="K151" s="974" t="e">
        <f>IF($F151="","",$F151*chronic_consumption!F151/1000/$C$3)</f>
        <v>#DIV/0!</v>
      </c>
      <c r="L151" s="974" t="e">
        <f>IF($F151="","",$F151*chronic_consumption!G151/1000/$C$3)</f>
        <v>#DIV/0!</v>
      </c>
      <c r="M151" s="974" t="e">
        <f>IF($F151="","",$F151*chronic_consumption!H151/1000/$C$3)</f>
        <v>#DIV/0!</v>
      </c>
      <c r="N151" s="974" t="e">
        <f>IF($F151="","",$F151*chronic_consumption!I151/1000/$C$3)</f>
        <v>#DIV/0!</v>
      </c>
      <c r="O151" s="974" t="e">
        <f>IF($F151="","",$F151*chronic_consumption!J151/1000/$C$3)</f>
        <v>#DIV/0!</v>
      </c>
      <c r="P151" s="974" t="e">
        <f>IF($F151="","",$F151*chronic_consumption!K151/1000/$C$3)</f>
        <v>#DIV/0!</v>
      </c>
      <c r="Q151" s="974" t="e">
        <f>IF($F151="","",$F151*chronic_consumption!L151/1000/$C$3)</f>
        <v>#DIV/0!</v>
      </c>
      <c r="R151" s="974" t="e">
        <f>IF($F151="","",$F151*chronic_consumption!M151/1000/$C$3)</f>
        <v>#DIV/0!</v>
      </c>
      <c r="S151" s="974" t="e">
        <f>IF($F151="","",$F151*chronic_consumption!N151/1000/$C$3)</f>
        <v>#DIV/0!</v>
      </c>
      <c r="T151" s="974" t="e">
        <f>IF($F151="","",$F151*chronic_consumption!O151/1000/$C$3)</f>
        <v>#DIV/0!</v>
      </c>
      <c r="U151" s="974" t="e">
        <f>IF($F151="","",$F151*chronic_consumption!P151/1000/$C$3)</f>
        <v>#DIV/0!</v>
      </c>
      <c r="V151" s="974" t="e">
        <f>IF($F151="","",$F151*chronic_consumption!Q151/1000/$C$3)</f>
        <v>#DIV/0!</v>
      </c>
      <c r="W151" s="974" t="e">
        <f>IF($F151="","",$F151*chronic_consumption!R151/1000/$C$3)</f>
        <v>#DIV/0!</v>
      </c>
      <c r="X151" s="974" t="e">
        <f>IF($F151="","",$F151*chronic_consumption!S151/1000/$C$3)</f>
        <v>#DIV/0!</v>
      </c>
      <c r="Y151" s="974" t="e">
        <f>IF($F151="","",$F151*chronic_consumption!T151/1000/$C$3)</f>
        <v>#DIV/0!</v>
      </c>
      <c r="Z151" s="974" t="e">
        <f>IF($F151="","",$F151*chronic_consumption!U151/1000/$C$3)</f>
        <v>#DIV/0!</v>
      </c>
      <c r="AA151" s="974" t="e">
        <f>IF($F151="","",$F151*chronic_consumption!V151/1000/$C$3)</f>
        <v>#DIV/0!</v>
      </c>
      <c r="AB151" s="974" t="e">
        <f>IF($F151="","",$F151*chronic_consumption!W151/1000/$C$3)</f>
        <v>#DIV/0!</v>
      </c>
      <c r="AC151" s="974" t="e">
        <f>IF($F151="","",$F151*chronic_consumption!X151/1000/$C$3)</f>
        <v>#DIV/0!</v>
      </c>
      <c r="AD151" s="974" t="e">
        <f>IF($F151="","",$F151*chronic_consumption!Y151/1000/$C$3)</f>
        <v>#DIV/0!</v>
      </c>
      <c r="AE151" s="974" t="e">
        <f>IF($F151="","",$F151*chronic_consumption!Z151/1000/$C$3)</f>
        <v>#DIV/0!</v>
      </c>
      <c r="AF151" s="974" t="e">
        <f>IF($F151="","",$F151*chronic_consumption!AA151/1000/$C$3)</f>
        <v>#DIV/0!</v>
      </c>
      <c r="AG151" s="974" t="e">
        <f>IF($F151="","",$F151*chronic_consumption!AB151/1000/$C$3)</f>
        <v>#DIV/0!</v>
      </c>
      <c r="AH151" s="974" t="e">
        <f>IF($F151="","",$F151*chronic_consumption!AC151/1000/$C$3)</f>
        <v>#DIV/0!</v>
      </c>
      <c r="AI151" s="974" t="e">
        <f>IF($F151="","",$F151*chronic_consumption!AD151/1000/$C$3)</f>
        <v>#DIV/0!</v>
      </c>
      <c r="AJ151" s="974" t="e">
        <f>IF($F151="","",$F151*chronic_consumption!AE151/1000/$C$3)</f>
        <v>#DIV/0!</v>
      </c>
      <c r="AK151" s="974" t="e">
        <f>IF($F151="","",$F151*chronic_consumption!AF151/1000/$C$3)</f>
        <v>#DIV/0!</v>
      </c>
      <c r="AL151" s="974" t="e">
        <f>IF($F151="","",$F151*chronic_consumption!AG151/1000/$C$3)</f>
        <v>#DIV/0!</v>
      </c>
      <c r="AM151" s="974" t="e">
        <f>IF($F151="","",$F151*chronic_consumption!AH151/1000/$C$3)</f>
        <v>#DIV/0!</v>
      </c>
      <c r="AN151" s="974" t="e">
        <f>IF($F151="","",$F151*chronic_consumption!AI151/1000/$C$3)</f>
        <v>#DIV/0!</v>
      </c>
      <c r="AO151" s="974" t="e">
        <f>IF($F151="","",$F151*chronic_consumption!AJ151/1000/$C$3)</f>
        <v>#DIV/0!</v>
      </c>
      <c r="AP151" s="974" t="e">
        <f>IF($F151="","",$F151*chronic_consumption!AK151/1000/$C$3)</f>
        <v>#DIV/0!</v>
      </c>
      <c r="AQ151" s="974" t="e">
        <f>IF($F151="","",$F151*chronic_consumption!AL151/1000/$C$3)</f>
        <v>#DIV/0!</v>
      </c>
      <c r="AR151" s="974" t="e">
        <f>IF($F151="","",$F151*chronic_consumption!AM151/1000/$C$3)</f>
        <v>#DIV/0!</v>
      </c>
      <c r="AS151" s="974" t="e">
        <f>IF($F151="","",$F151*chronic_consumption!AN151/1000/$C$3)</f>
        <v>#DIV/0!</v>
      </c>
      <c r="AT151" s="974" t="e">
        <f>IF($F151="","",$F151*chronic_consumption!AO151/1000/$C$3)</f>
        <v>#DIV/0!</v>
      </c>
      <c r="AU151" s="974"/>
      <c r="AV151" s="974" t="e">
        <f>IF($F151="","",$F151*chronic_consumption!AQ151/1000/$C$3)</f>
        <v>#DIV/0!</v>
      </c>
      <c r="AW151" s="974" t="e">
        <f>IF($F151="","",$F151*chronic_consumption!AR151/1000/$C$3)</f>
        <v>#DIV/0!</v>
      </c>
      <c r="AX151" s="974" t="e">
        <f>IF($F151="","",$F151*chronic_consumption!AS151/1000/$C$3)</f>
        <v>#DIV/0!</v>
      </c>
      <c r="AY151" s="974" t="e">
        <f>IF($F151="","",$F151*chronic_consumption!AT151/1000/$C$3)</f>
        <v>#DIV/0!</v>
      </c>
      <c r="AZ151" s="973" t="s">
        <v>19</v>
      </c>
      <c r="BA151" s="969" t="e">
        <f t="shared" si="15"/>
        <v>#DIV/0!</v>
      </c>
      <c r="BB151" s="970" t="e">
        <f t="shared" si="16"/>
        <v>#DIV/0!</v>
      </c>
      <c r="BC151" s="971" t="e">
        <f t="shared" ca="1" si="17"/>
        <v>#DIV/0!</v>
      </c>
      <c r="BD151" s="228">
        <f>input_values!Z151</f>
        <v>4</v>
      </c>
      <c r="BE151" s="152">
        <f>input_values!L151</f>
        <v>0</v>
      </c>
      <c r="BF151" s="972" t="str">
        <f t="shared" si="18"/>
        <v/>
      </c>
    </row>
    <row r="152" spans="1:58" ht="12" customHeight="1" outlineLevel="3" x14ac:dyDescent="0.2">
      <c r="A152" s="21">
        <v>4</v>
      </c>
      <c r="B152" s="23">
        <v>242990</v>
      </c>
      <c r="C152" s="23" t="s">
        <v>171</v>
      </c>
      <c r="D152" s="965">
        <f>Table22[[#This Row],[MRL individual commodity]]</f>
        <v>0</v>
      </c>
      <c r="E152" s="300" t="str">
        <f>Table22[[#This Row],[LOQ_label]]</f>
        <v/>
      </c>
      <c r="F152" s="966">
        <f>Table22[[#This Row],[Chronic RA input value]]</f>
        <v>0</v>
      </c>
      <c r="G152" s="304" t="str">
        <f>Table22[[#This Row],[Chronic RA label]]</f>
        <v/>
      </c>
      <c r="H152" s="304">
        <f>Table22[[#This Row],[GAP under assessment]]</f>
        <v>0</v>
      </c>
      <c r="I152" s="1123"/>
      <c r="J152" s="974" t="e">
        <f>IF($F152="","",$F152*chronic_consumption!$E152/1000/$C$3)</f>
        <v>#DIV/0!</v>
      </c>
      <c r="K152" s="974" t="e">
        <f>IF($F152="","",$F152*chronic_consumption!F152/1000/$C$3)</f>
        <v>#DIV/0!</v>
      </c>
      <c r="L152" s="974" t="e">
        <f>IF($F152="","",$F152*chronic_consumption!G152/1000/$C$3)</f>
        <v>#DIV/0!</v>
      </c>
      <c r="M152" s="974" t="e">
        <f>IF($F152="","",$F152*chronic_consumption!H152/1000/$C$3)</f>
        <v>#DIV/0!</v>
      </c>
      <c r="N152" s="974" t="e">
        <f>IF($F152="","",$F152*chronic_consumption!I152/1000/$C$3)</f>
        <v>#DIV/0!</v>
      </c>
      <c r="O152" s="974" t="e">
        <f>IF($F152="","",$F152*chronic_consumption!J152/1000/$C$3)</f>
        <v>#DIV/0!</v>
      </c>
      <c r="P152" s="974" t="e">
        <f>IF($F152="","",$F152*chronic_consumption!K152/1000/$C$3)</f>
        <v>#DIV/0!</v>
      </c>
      <c r="Q152" s="974" t="e">
        <f>IF($F152="","",$F152*chronic_consumption!L152/1000/$C$3)</f>
        <v>#DIV/0!</v>
      </c>
      <c r="R152" s="974" t="e">
        <f>IF($F152="","",$F152*chronic_consumption!M152/1000/$C$3)</f>
        <v>#DIV/0!</v>
      </c>
      <c r="S152" s="974" t="e">
        <f>IF($F152="","",$F152*chronic_consumption!N152/1000/$C$3)</f>
        <v>#DIV/0!</v>
      </c>
      <c r="T152" s="974" t="e">
        <f>IF($F152="","",$F152*chronic_consumption!O152/1000/$C$3)</f>
        <v>#DIV/0!</v>
      </c>
      <c r="U152" s="974" t="e">
        <f>IF($F152="","",$F152*chronic_consumption!P152/1000/$C$3)</f>
        <v>#DIV/0!</v>
      </c>
      <c r="V152" s="974" t="e">
        <f>IF($F152="","",$F152*chronic_consumption!Q152/1000/$C$3)</f>
        <v>#DIV/0!</v>
      </c>
      <c r="W152" s="974" t="e">
        <f>IF($F152="","",$F152*chronic_consumption!R152/1000/$C$3)</f>
        <v>#DIV/0!</v>
      </c>
      <c r="X152" s="974" t="e">
        <f>IF($F152="","",$F152*chronic_consumption!S152/1000/$C$3)</f>
        <v>#DIV/0!</v>
      </c>
      <c r="Y152" s="974" t="e">
        <f>IF($F152="","",$F152*chronic_consumption!T152/1000/$C$3)</f>
        <v>#DIV/0!</v>
      </c>
      <c r="Z152" s="974" t="e">
        <f>IF($F152="","",$F152*chronic_consumption!U152/1000/$C$3)</f>
        <v>#DIV/0!</v>
      </c>
      <c r="AA152" s="974" t="e">
        <f>IF($F152="","",$F152*chronic_consumption!V152/1000/$C$3)</f>
        <v>#DIV/0!</v>
      </c>
      <c r="AB152" s="974" t="e">
        <f>IF($F152="","",$F152*chronic_consumption!W152/1000/$C$3)</f>
        <v>#DIV/0!</v>
      </c>
      <c r="AC152" s="974" t="e">
        <f>IF($F152="","",$F152*chronic_consumption!X152/1000/$C$3)</f>
        <v>#DIV/0!</v>
      </c>
      <c r="AD152" s="974" t="e">
        <f>IF($F152="","",$F152*chronic_consumption!Y152/1000/$C$3)</f>
        <v>#DIV/0!</v>
      </c>
      <c r="AE152" s="974" t="e">
        <f>IF($F152="","",$F152*chronic_consumption!Z152/1000/$C$3)</f>
        <v>#DIV/0!</v>
      </c>
      <c r="AF152" s="974" t="e">
        <f>IF($F152="","",$F152*chronic_consumption!AA152/1000/$C$3)</f>
        <v>#DIV/0!</v>
      </c>
      <c r="AG152" s="974" t="e">
        <f>IF($F152="","",$F152*chronic_consumption!AB152/1000/$C$3)</f>
        <v>#DIV/0!</v>
      </c>
      <c r="AH152" s="974" t="e">
        <f>IF($F152="","",$F152*chronic_consumption!AC152/1000/$C$3)</f>
        <v>#DIV/0!</v>
      </c>
      <c r="AI152" s="974" t="e">
        <f>IF($F152="","",$F152*chronic_consumption!AD152/1000/$C$3)</f>
        <v>#DIV/0!</v>
      </c>
      <c r="AJ152" s="974" t="e">
        <f>IF($F152="","",$F152*chronic_consumption!AE152/1000/$C$3)</f>
        <v>#DIV/0!</v>
      </c>
      <c r="AK152" s="974" t="e">
        <f>IF($F152="","",$F152*chronic_consumption!AF152/1000/$C$3)</f>
        <v>#DIV/0!</v>
      </c>
      <c r="AL152" s="974" t="e">
        <f>IF($F152="","",$F152*chronic_consumption!AG152/1000/$C$3)</f>
        <v>#DIV/0!</v>
      </c>
      <c r="AM152" s="974" t="e">
        <f>IF($F152="","",$F152*chronic_consumption!AH152/1000/$C$3)</f>
        <v>#DIV/0!</v>
      </c>
      <c r="AN152" s="974" t="e">
        <f>IF($F152="","",$F152*chronic_consumption!AI152/1000/$C$3)</f>
        <v>#DIV/0!</v>
      </c>
      <c r="AO152" s="974" t="e">
        <f>IF($F152="","",$F152*chronic_consumption!AJ152/1000/$C$3)</f>
        <v>#DIV/0!</v>
      </c>
      <c r="AP152" s="974" t="e">
        <f>IF($F152="","",$F152*chronic_consumption!AK152/1000/$C$3)</f>
        <v>#DIV/0!</v>
      </c>
      <c r="AQ152" s="974" t="e">
        <f>IF($F152="","",$F152*chronic_consumption!AL152/1000/$C$3)</f>
        <v>#DIV/0!</v>
      </c>
      <c r="AR152" s="974" t="e">
        <f>IF($F152="","",$F152*chronic_consumption!AM152/1000/$C$3)</f>
        <v>#DIV/0!</v>
      </c>
      <c r="AS152" s="974" t="e">
        <f>IF($F152="","",$F152*chronic_consumption!AN152/1000/$C$3)</f>
        <v>#DIV/0!</v>
      </c>
      <c r="AT152" s="974" t="e">
        <f>IF($F152="","",$F152*chronic_consumption!AO152/1000/$C$3)</f>
        <v>#DIV/0!</v>
      </c>
      <c r="AU152" s="974"/>
      <c r="AV152" s="974" t="e">
        <f>IF($F152="","",$F152*chronic_consumption!AQ152/1000/$C$3)</f>
        <v>#DIV/0!</v>
      </c>
      <c r="AW152" s="974" t="e">
        <f>IF($F152="","",$F152*chronic_consumption!AR152/1000/$C$3)</f>
        <v>#DIV/0!</v>
      </c>
      <c r="AX152" s="974" t="e">
        <f>IF($F152="","",$F152*chronic_consumption!AS152/1000/$C$3)</f>
        <v>#DIV/0!</v>
      </c>
      <c r="AY152" s="974" t="e">
        <f>IF($F152="","",$F152*chronic_consumption!AT152/1000/$C$3)</f>
        <v>#DIV/0!</v>
      </c>
      <c r="AZ152" s="973" t="s">
        <v>19</v>
      </c>
      <c r="BA152" s="969" t="e">
        <f t="shared" si="15"/>
        <v>#DIV/0!</v>
      </c>
      <c r="BB152" s="970" t="e">
        <f t="shared" si="16"/>
        <v>#DIV/0!</v>
      </c>
      <c r="BC152" s="971" t="e">
        <f t="shared" ca="1" si="17"/>
        <v>#DIV/0!</v>
      </c>
      <c r="BD152" s="228">
        <f>input_values!Z152</f>
        <v>4</v>
      </c>
      <c r="BE152" s="152">
        <f>input_values!L152</f>
        <v>0</v>
      </c>
      <c r="BF152" s="972" t="str">
        <f t="shared" si="18"/>
        <v/>
      </c>
    </row>
    <row r="153" spans="1:58" ht="12" customHeight="1" outlineLevel="2" x14ac:dyDescent="0.2">
      <c r="A153" s="341">
        <v>3</v>
      </c>
      <c r="B153" s="3">
        <v>243000</v>
      </c>
      <c r="C153" s="3" t="s">
        <v>233</v>
      </c>
      <c r="D153" s="965">
        <f>Table22[[#This Row],[MRL individual commodity]]</f>
        <v>0</v>
      </c>
      <c r="E153" s="300">
        <f>Table22[[#This Row],[LOQ_label]]</f>
        <v>0</v>
      </c>
      <c r="F153" s="966">
        <f>Table22[[#This Row],[Chronic RA input value]]</f>
        <v>0</v>
      </c>
      <c r="G153" s="304">
        <f>Table22[[#This Row],[Chronic RA label]]</f>
        <v>0</v>
      </c>
      <c r="H153" s="304">
        <f>Table22[[#This Row],[GAP under assessment]]</f>
        <v>0</v>
      </c>
      <c r="I153" s="1123"/>
      <c r="J153" s="967" t="e">
        <f>IF($F153="","",$F153*chronic_consumption!$E153/1000/$C$3)</f>
        <v>#DIV/0!</v>
      </c>
      <c r="K153" s="967" t="e">
        <f>IF($F153="","",$F153*chronic_consumption!F153/1000/$C$3)</f>
        <v>#DIV/0!</v>
      </c>
      <c r="L153" s="967" t="e">
        <f>IF($F153="","",$F153*chronic_consumption!G153/1000/$C$3)</f>
        <v>#DIV/0!</v>
      </c>
      <c r="M153" s="967" t="e">
        <f>IF($F153="","",$F153*chronic_consumption!H153/1000/$C$3)</f>
        <v>#DIV/0!</v>
      </c>
      <c r="N153" s="967" t="e">
        <f>IF($F153="","",$F153*chronic_consumption!I153/1000/$C$3)</f>
        <v>#DIV/0!</v>
      </c>
      <c r="O153" s="967" t="e">
        <f>IF($F153="","",$F153*chronic_consumption!J153/1000/$C$3)</f>
        <v>#DIV/0!</v>
      </c>
      <c r="P153" s="967" t="e">
        <f>IF($F153="","",$F153*chronic_consumption!K153/1000/$C$3)</f>
        <v>#DIV/0!</v>
      </c>
      <c r="Q153" s="967" t="e">
        <f>IF($F153="","",$F153*chronic_consumption!L153/1000/$C$3)</f>
        <v>#DIV/0!</v>
      </c>
      <c r="R153" s="967" t="e">
        <f>IF($F153="","",$F153*chronic_consumption!M153/1000/$C$3)</f>
        <v>#DIV/0!</v>
      </c>
      <c r="S153" s="967" t="e">
        <f>IF($F153="","",$F153*chronic_consumption!N153/1000/$C$3)</f>
        <v>#DIV/0!</v>
      </c>
      <c r="T153" s="967" t="e">
        <f>IF($F153="","",$F153*chronic_consumption!O153/1000/$C$3)</f>
        <v>#DIV/0!</v>
      </c>
      <c r="U153" s="967" t="e">
        <f>IF($F153="","",$F153*chronic_consumption!P153/1000/$C$3)</f>
        <v>#DIV/0!</v>
      </c>
      <c r="V153" s="967" t="e">
        <f>IF($F153="","",$F153*chronic_consumption!Q153/1000/$C$3)</f>
        <v>#DIV/0!</v>
      </c>
      <c r="W153" s="967" t="e">
        <f>IF($F153="","",$F153*chronic_consumption!R153/1000/$C$3)</f>
        <v>#DIV/0!</v>
      </c>
      <c r="X153" s="967" t="e">
        <f>IF($F153="","",$F153*chronic_consumption!S153/1000/$C$3)</f>
        <v>#DIV/0!</v>
      </c>
      <c r="Y153" s="967" t="e">
        <f>IF($F153="","",$F153*chronic_consumption!T153/1000/$C$3)</f>
        <v>#DIV/0!</v>
      </c>
      <c r="Z153" s="967" t="e">
        <f>IF($F153="","",$F153*chronic_consumption!U153/1000/$C$3)</f>
        <v>#DIV/0!</v>
      </c>
      <c r="AA153" s="967" t="e">
        <f>IF($F153="","",$F153*chronic_consumption!V153/1000/$C$3)</f>
        <v>#DIV/0!</v>
      </c>
      <c r="AB153" s="967" t="e">
        <f>IF($F153="","",$F153*chronic_consumption!W153/1000/$C$3)</f>
        <v>#DIV/0!</v>
      </c>
      <c r="AC153" s="967" t="e">
        <f>IF($F153="","",$F153*chronic_consumption!X153/1000/$C$3)</f>
        <v>#DIV/0!</v>
      </c>
      <c r="AD153" s="967" t="e">
        <f>IF($F153="","",$F153*chronic_consumption!Y153/1000/$C$3)</f>
        <v>#DIV/0!</v>
      </c>
      <c r="AE153" s="967" t="e">
        <f>IF($F153="","",$F153*chronic_consumption!Z153/1000/$C$3)</f>
        <v>#DIV/0!</v>
      </c>
      <c r="AF153" s="967" t="e">
        <f>IF($F153="","",$F153*chronic_consumption!AA153/1000/$C$3)</f>
        <v>#DIV/0!</v>
      </c>
      <c r="AG153" s="967" t="e">
        <f>IF($F153="","",$F153*chronic_consumption!AB153/1000/$C$3)</f>
        <v>#DIV/0!</v>
      </c>
      <c r="AH153" s="967" t="e">
        <f>IF($F153="","",$F153*chronic_consumption!AC153/1000/$C$3)</f>
        <v>#DIV/0!</v>
      </c>
      <c r="AI153" s="967" t="e">
        <f>IF($F153="","",$F153*chronic_consumption!AD153/1000/$C$3)</f>
        <v>#DIV/0!</v>
      </c>
      <c r="AJ153" s="967" t="e">
        <f>IF($F153="","",$F153*chronic_consumption!AE153/1000/$C$3)</f>
        <v>#DIV/0!</v>
      </c>
      <c r="AK153" s="967" t="e">
        <f>IF($F153="","",$F153*chronic_consumption!AF153/1000/$C$3)</f>
        <v>#DIV/0!</v>
      </c>
      <c r="AL153" s="967" t="e">
        <f>IF($F153="","",$F153*chronic_consumption!AG153/1000/$C$3)</f>
        <v>#DIV/0!</v>
      </c>
      <c r="AM153" s="967" t="e">
        <f>IF($F153="","",$F153*chronic_consumption!AH153/1000/$C$3)</f>
        <v>#DIV/0!</v>
      </c>
      <c r="AN153" s="967" t="e">
        <f>IF($F153="","",$F153*chronic_consumption!AI153/1000/$C$3)</f>
        <v>#DIV/0!</v>
      </c>
      <c r="AO153" s="967" t="e">
        <f>IF($F153="","",$F153*chronic_consumption!AJ153/1000/$C$3)</f>
        <v>#DIV/0!</v>
      </c>
      <c r="AP153" s="967" t="e">
        <f>IF($F153="","",$F153*chronic_consumption!AK153/1000/$C$3)</f>
        <v>#DIV/0!</v>
      </c>
      <c r="AQ153" s="967" t="e">
        <f>IF($F153="","",$F153*chronic_consumption!AL153/1000/$C$3)</f>
        <v>#DIV/0!</v>
      </c>
      <c r="AR153" s="967" t="e">
        <f>IF($F153="","",$F153*chronic_consumption!AM153/1000/$C$3)</f>
        <v>#DIV/0!</v>
      </c>
      <c r="AS153" s="967" t="e">
        <f>IF($F153="","",$F153*chronic_consumption!AN153/1000/$C$3)</f>
        <v>#DIV/0!</v>
      </c>
      <c r="AT153" s="967" t="e">
        <f>IF($F153="","",$F153*chronic_consumption!AO153/1000/$C$3)</f>
        <v>#DIV/0!</v>
      </c>
      <c r="AU153" s="967"/>
      <c r="AV153" s="967" t="e">
        <f>IF($F153="","",$F153*chronic_consumption!AQ153/1000/$C$3)</f>
        <v>#DIV/0!</v>
      </c>
      <c r="AW153" s="967" t="e">
        <f>IF($F153="","",$F153*chronic_consumption!AR153/1000/$C$3)</f>
        <v>#DIV/0!</v>
      </c>
      <c r="AX153" s="967" t="e">
        <f>IF($F153="","",$F153*chronic_consumption!AS153/1000/$C$3)</f>
        <v>#DIV/0!</v>
      </c>
      <c r="AY153" s="967" t="e">
        <f>IF($F153="","",$F153*chronic_consumption!AT153/1000/$C$3)</f>
        <v>#DIV/0!</v>
      </c>
      <c r="AZ153" s="973"/>
      <c r="BA153" s="969" t="e">
        <f t="shared" si="15"/>
        <v>#DIV/0!</v>
      </c>
      <c r="BB153" s="970" t="e">
        <f t="shared" si="16"/>
        <v>#DIV/0!</v>
      </c>
      <c r="BC153" s="971" t="e">
        <f t="shared" ca="1" si="17"/>
        <v>#DIV/0!</v>
      </c>
      <c r="BD153" s="228">
        <f>input_values!Z153</f>
        <v>4</v>
      </c>
      <c r="BE153" s="152">
        <f>input_values!L153</f>
        <v>0</v>
      </c>
      <c r="BF153" s="972" t="str">
        <f t="shared" si="18"/>
        <v/>
      </c>
    </row>
    <row r="154" spans="1:58" ht="12" customHeight="1" outlineLevel="3" x14ac:dyDescent="0.2">
      <c r="A154" s="21">
        <v>4</v>
      </c>
      <c r="B154" s="23">
        <v>243010</v>
      </c>
      <c r="C154" s="23" t="s">
        <v>717</v>
      </c>
      <c r="D154" s="965">
        <f>Table22[[#This Row],[MRL individual commodity]]</f>
        <v>0</v>
      </c>
      <c r="E154" s="300" t="str">
        <f>Table22[[#This Row],[LOQ_label]]</f>
        <v/>
      </c>
      <c r="F154" s="966">
        <f>Table22[[#This Row],[Chronic RA input value]]</f>
        <v>0</v>
      </c>
      <c r="G154" s="304" t="str">
        <f>Table22[[#This Row],[Chronic RA label]]</f>
        <v/>
      </c>
      <c r="H154" s="304">
        <f>Table22[[#This Row],[GAP under assessment]]</f>
        <v>0</v>
      </c>
      <c r="I154" s="1123"/>
      <c r="J154" s="974" t="e">
        <f>IF($F154="","",$F154*chronic_consumption!$E154/1000/$C$3)</f>
        <v>#DIV/0!</v>
      </c>
      <c r="K154" s="974" t="e">
        <f>IF($F154="","",$F154*chronic_consumption!F154/1000/$C$3)</f>
        <v>#DIV/0!</v>
      </c>
      <c r="L154" s="974" t="e">
        <f>IF($F154="","",$F154*chronic_consumption!G154/1000/$C$3)</f>
        <v>#DIV/0!</v>
      </c>
      <c r="M154" s="974" t="e">
        <f>IF($F154="","",$F154*chronic_consumption!H154/1000/$C$3)</f>
        <v>#DIV/0!</v>
      </c>
      <c r="N154" s="974" t="e">
        <f>IF($F154="","",$F154*chronic_consumption!I154/1000/$C$3)</f>
        <v>#DIV/0!</v>
      </c>
      <c r="O154" s="974" t="e">
        <f>IF($F154="","",$F154*chronic_consumption!J154/1000/$C$3)</f>
        <v>#DIV/0!</v>
      </c>
      <c r="P154" s="974" t="e">
        <f>IF($F154="","",$F154*chronic_consumption!K154/1000/$C$3)</f>
        <v>#DIV/0!</v>
      </c>
      <c r="Q154" s="974" t="e">
        <f>IF($F154="","",$F154*chronic_consumption!L154/1000/$C$3)</f>
        <v>#DIV/0!</v>
      </c>
      <c r="R154" s="974" t="e">
        <f>IF($F154="","",$F154*chronic_consumption!M154/1000/$C$3)</f>
        <v>#DIV/0!</v>
      </c>
      <c r="S154" s="974" t="e">
        <f>IF($F154="","",$F154*chronic_consumption!N154/1000/$C$3)</f>
        <v>#DIV/0!</v>
      </c>
      <c r="T154" s="974" t="e">
        <f>IF($F154="","",$F154*chronic_consumption!O154/1000/$C$3)</f>
        <v>#DIV/0!</v>
      </c>
      <c r="U154" s="974" t="e">
        <f>IF($F154="","",$F154*chronic_consumption!P154/1000/$C$3)</f>
        <v>#DIV/0!</v>
      </c>
      <c r="V154" s="974" t="e">
        <f>IF($F154="","",$F154*chronic_consumption!Q154/1000/$C$3)</f>
        <v>#DIV/0!</v>
      </c>
      <c r="W154" s="974" t="e">
        <f>IF($F154="","",$F154*chronic_consumption!R154/1000/$C$3)</f>
        <v>#DIV/0!</v>
      </c>
      <c r="X154" s="974" t="e">
        <f>IF($F154="","",$F154*chronic_consumption!S154/1000/$C$3)</f>
        <v>#DIV/0!</v>
      </c>
      <c r="Y154" s="974" t="e">
        <f>IF($F154="","",$F154*chronic_consumption!T154/1000/$C$3)</f>
        <v>#DIV/0!</v>
      </c>
      <c r="Z154" s="974" t="e">
        <f>IF($F154="","",$F154*chronic_consumption!U154/1000/$C$3)</f>
        <v>#DIV/0!</v>
      </c>
      <c r="AA154" s="974" t="e">
        <f>IF($F154="","",$F154*chronic_consumption!V154/1000/$C$3)</f>
        <v>#DIV/0!</v>
      </c>
      <c r="AB154" s="974" t="e">
        <f>IF($F154="","",$F154*chronic_consumption!W154/1000/$C$3)</f>
        <v>#DIV/0!</v>
      </c>
      <c r="AC154" s="974" t="e">
        <f>IF($F154="","",$F154*chronic_consumption!X154/1000/$C$3)</f>
        <v>#DIV/0!</v>
      </c>
      <c r="AD154" s="974" t="e">
        <f>IF($F154="","",$F154*chronic_consumption!Y154/1000/$C$3)</f>
        <v>#DIV/0!</v>
      </c>
      <c r="AE154" s="974" t="e">
        <f>IF($F154="","",$F154*chronic_consumption!Z154/1000/$C$3)</f>
        <v>#DIV/0!</v>
      </c>
      <c r="AF154" s="974" t="e">
        <f>IF($F154="","",$F154*chronic_consumption!AA154/1000/$C$3)</f>
        <v>#DIV/0!</v>
      </c>
      <c r="AG154" s="974" t="e">
        <f>IF($F154="","",$F154*chronic_consumption!AB154/1000/$C$3)</f>
        <v>#DIV/0!</v>
      </c>
      <c r="AH154" s="974" t="e">
        <f>IF($F154="","",$F154*chronic_consumption!AC154/1000/$C$3)</f>
        <v>#DIV/0!</v>
      </c>
      <c r="AI154" s="974" t="e">
        <f>IF($F154="","",$F154*chronic_consumption!AD154/1000/$C$3)</f>
        <v>#DIV/0!</v>
      </c>
      <c r="AJ154" s="974" t="e">
        <f>IF($F154="","",$F154*chronic_consumption!AE154/1000/$C$3)</f>
        <v>#DIV/0!</v>
      </c>
      <c r="AK154" s="974" t="e">
        <f>IF($F154="","",$F154*chronic_consumption!AF154/1000/$C$3)</f>
        <v>#DIV/0!</v>
      </c>
      <c r="AL154" s="974" t="e">
        <f>IF($F154="","",$F154*chronic_consumption!AG154/1000/$C$3)</f>
        <v>#DIV/0!</v>
      </c>
      <c r="AM154" s="974" t="e">
        <f>IF($F154="","",$F154*chronic_consumption!AH154/1000/$C$3)</f>
        <v>#DIV/0!</v>
      </c>
      <c r="AN154" s="974" t="e">
        <f>IF($F154="","",$F154*chronic_consumption!AI154/1000/$C$3)</f>
        <v>#DIV/0!</v>
      </c>
      <c r="AO154" s="974" t="e">
        <f>IF($F154="","",$F154*chronic_consumption!AJ154/1000/$C$3)</f>
        <v>#DIV/0!</v>
      </c>
      <c r="AP154" s="974" t="e">
        <f>IF($F154="","",$F154*chronic_consumption!AK154/1000/$C$3)</f>
        <v>#DIV/0!</v>
      </c>
      <c r="AQ154" s="974" t="e">
        <f>IF($F154="","",$F154*chronic_consumption!AL154/1000/$C$3)</f>
        <v>#DIV/0!</v>
      </c>
      <c r="AR154" s="974" t="e">
        <f>IF($F154="","",$F154*chronic_consumption!AM154/1000/$C$3)</f>
        <v>#DIV/0!</v>
      </c>
      <c r="AS154" s="974" t="e">
        <f>IF($F154="","",$F154*chronic_consumption!AN154/1000/$C$3)</f>
        <v>#DIV/0!</v>
      </c>
      <c r="AT154" s="974" t="e">
        <f>IF($F154="","",$F154*chronic_consumption!AO154/1000/$C$3)</f>
        <v>#DIV/0!</v>
      </c>
      <c r="AU154" s="974"/>
      <c r="AV154" s="974" t="e">
        <f>IF($F154="","",$F154*chronic_consumption!AQ154/1000/$C$3)</f>
        <v>#DIV/0!</v>
      </c>
      <c r="AW154" s="974" t="e">
        <f>IF($F154="","",$F154*chronic_consumption!AR154/1000/$C$3)</f>
        <v>#DIV/0!</v>
      </c>
      <c r="AX154" s="974" t="e">
        <f>IF($F154="","",$F154*chronic_consumption!AS154/1000/$C$3)</f>
        <v>#DIV/0!</v>
      </c>
      <c r="AY154" s="974" t="e">
        <f>IF($F154="","",$F154*chronic_consumption!AT154/1000/$C$3)</f>
        <v>#DIV/0!</v>
      </c>
      <c r="AZ154" s="973" t="s">
        <v>19</v>
      </c>
      <c r="BA154" s="969" t="e">
        <f t="shared" si="15"/>
        <v>#DIV/0!</v>
      </c>
      <c r="BB154" s="970" t="e">
        <f t="shared" si="16"/>
        <v>#DIV/0!</v>
      </c>
      <c r="BC154" s="971" t="e">
        <f t="shared" ca="1" si="17"/>
        <v>#DIV/0!</v>
      </c>
      <c r="BD154" s="228">
        <f>input_values!Z154</f>
        <v>4</v>
      </c>
      <c r="BE154" s="152">
        <f>input_values!L154</f>
        <v>0</v>
      </c>
      <c r="BF154" s="972" t="str">
        <f t="shared" si="18"/>
        <v/>
      </c>
    </row>
    <row r="155" spans="1:58" ht="12" customHeight="1" outlineLevel="3" x14ac:dyDescent="0.2">
      <c r="A155" s="21">
        <v>4</v>
      </c>
      <c r="B155" s="23">
        <v>243020</v>
      </c>
      <c r="C155" s="23" t="s">
        <v>718</v>
      </c>
      <c r="D155" s="965">
        <f>Table22[[#This Row],[MRL individual commodity]]</f>
        <v>0</v>
      </c>
      <c r="E155" s="300" t="str">
        <f>Table22[[#This Row],[LOQ_label]]</f>
        <v/>
      </c>
      <c r="F155" s="966">
        <f>Table22[[#This Row],[Chronic RA input value]]</f>
        <v>0</v>
      </c>
      <c r="G155" s="304" t="str">
        <f>Table22[[#This Row],[Chronic RA label]]</f>
        <v/>
      </c>
      <c r="H155" s="304">
        <f>Table22[[#This Row],[GAP under assessment]]</f>
        <v>0</v>
      </c>
      <c r="I155" s="1123"/>
      <c r="J155" s="974" t="e">
        <f>IF($F155="","",$F155*chronic_consumption!$E155/1000/$C$3)</f>
        <v>#DIV/0!</v>
      </c>
      <c r="K155" s="974" t="e">
        <f>IF($F155="","",$F155*chronic_consumption!F155/1000/$C$3)</f>
        <v>#DIV/0!</v>
      </c>
      <c r="L155" s="974" t="e">
        <f>IF($F155="","",$F155*chronic_consumption!G155/1000/$C$3)</f>
        <v>#DIV/0!</v>
      </c>
      <c r="M155" s="974" t="e">
        <f>IF($F155="","",$F155*chronic_consumption!H155/1000/$C$3)</f>
        <v>#DIV/0!</v>
      </c>
      <c r="N155" s="974" t="e">
        <f>IF($F155="","",$F155*chronic_consumption!I155/1000/$C$3)</f>
        <v>#DIV/0!</v>
      </c>
      <c r="O155" s="974" t="e">
        <f>IF($F155="","",$F155*chronic_consumption!J155/1000/$C$3)</f>
        <v>#DIV/0!</v>
      </c>
      <c r="P155" s="974" t="e">
        <f>IF($F155="","",$F155*chronic_consumption!K155/1000/$C$3)</f>
        <v>#DIV/0!</v>
      </c>
      <c r="Q155" s="974" t="e">
        <f>IF($F155="","",$F155*chronic_consumption!L155/1000/$C$3)</f>
        <v>#DIV/0!</v>
      </c>
      <c r="R155" s="974" t="e">
        <f>IF($F155="","",$F155*chronic_consumption!M155/1000/$C$3)</f>
        <v>#DIV/0!</v>
      </c>
      <c r="S155" s="974" t="e">
        <f>IF($F155="","",$F155*chronic_consumption!N155/1000/$C$3)</f>
        <v>#DIV/0!</v>
      </c>
      <c r="T155" s="974" t="e">
        <f>IF($F155="","",$F155*chronic_consumption!O155/1000/$C$3)</f>
        <v>#DIV/0!</v>
      </c>
      <c r="U155" s="974" t="e">
        <f>IF($F155="","",$F155*chronic_consumption!P155/1000/$C$3)</f>
        <v>#DIV/0!</v>
      </c>
      <c r="V155" s="974" t="e">
        <f>IF($F155="","",$F155*chronic_consumption!Q155/1000/$C$3)</f>
        <v>#DIV/0!</v>
      </c>
      <c r="W155" s="974" t="e">
        <f>IF($F155="","",$F155*chronic_consumption!R155/1000/$C$3)</f>
        <v>#DIV/0!</v>
      </c>
      <c r="X155" s="974" t="e">
        <f>IF($F155="","",$F155*chronic_consumption!S155/1000/$C$3)</f>
        <v>#DIV/0!</v>
      </c>
      <c r="Y155" s="974" t="e">
        <f>IF($F155="","",$F155*chronic_consumption!T155/1000/$C$3)</f>
        <v>#DIV/0!</v>
      </c>
      <c r="Z155" s="974" t="e">
        <f>IF($F155="","",$F155*chronic_consumption!U155/1000/$C$3)</f>
        <v>#DIV/0!</v>
      </c>
      <c r="AA155" s="974" t="e">
        <f>IF($F155="","",$F155*chronic_consumption!V155/1000/$C$3)</f>
        <v>#DIV/0!</v>
      </c>
      <c r="AB155" s="974" t="e">
        <f>IF($F155="","",$F155*chronic_consumption!W155/1000/$C$3)</f>
        <v>#DIV/0!</v>
      </c>
      <c r="AC155" s="974" t="e">
        <f>IF($F155="","",$F155*chronic_consumption!X155/1000/$C$3)</f>
        <v>#DIV/0!</v>
      </c>
      <c r="AD155" s="974" t="e">
        <f>IF($F155="","",$F155*chronic_consumption!Y155/1000/$C$3)</f>
        <v>#DIV/0!</v>
      </c>
      <c r="AE155" s="974" t="e">
        <f>IF($F155="","",$F155*chronic_consumption!Z155/1000/$C$3)</f>
        <v>#DIV/0!</v>
      </c>
      <c r="AF155" s="974" t="e">
        <f>IF($F155="","",$F155*chronic_consumption!AA155/1000/$C$3)</f>
        <v>#DIV/0!</v>
      </c>
      <c r="AG155" s="974" t="e">
        <f>IF($F155="","",$F155*chronic_consumption!AB155/1000/$C$3)</f>
        <v>#DIV/0!</v>
      </c>
      <c r="AH155" s="974" t="e">
        <f>IF($F155="","",$F155*chronic_consumption!AC155/1000/$C$3)</f>
        <v>#DIV/0!</v>
      </c>
      <c r="AI155" s="974" t="e">
        <f>IF($F155="","",$F155*chronic_consumption!AD155/1000/$C$3)</f>
        <v>#DIV/0!</v>
      </c>
      <c r="AJ155" s="974" t="e">
        <f>IF($F155="","",$F155*chronic_consumption!AE155/1000/$C$3)</f>
        <v>#DIV/0!</v>
      </c>
      <c r="AK155" s="974" t="e">
        <f>IF($F155="","",$F155*chronic_consumption!AF155/1000/$C$3)</f>
        <v>#DIV/0!</v>
      </c>
      <c r="AL155" s="974" t="e">
        <f>IF($F155="","",$F155*chronic_consumption!AG155/1000/$C$3)</f>
        <v>#DIV/0!</v>
      </c>
      <c r="AM155" s="974" t="e">
        <f>IF($F155="","",$F155*chronic_consumption!AH155/1000/$C$3)</f>
        <v>#DIV/0!</v>
      </c>
      <c r="AN155" s="974" t="e">
        <f>IF($F155="","",$F155*chronic_consumption!AI155/1000/$C$3)</f>
        <v>#DIV/0!</v>
      </c>
      <c r="AO155" s="974" t="e">
        <f>IF($F155="","",$F155*chronic_consumption!AJ155/1000/$C$3)</f>
        <v>#DIV/0!</v>
      </c>
      <c r="AP155" s="974" t="e">
        <f>IF($F155="","",$F155*chronic_consumption!AK155/1000/$C$3)</f>
        <v>#DIV/0!</v>
      </c>
      <c r="AQ155" s="974" t="e">
        <f>IF($F155="","",$F155*chronic_consumption!AL155/1000/$C$3)</f>
        <v>#DIV/0!</v>
      </c>
      <c r="AR155" s="974" t="e">
        <f>IF($F155="","",$F155*chronic_consumption!AM155/1000/$C$3)</f>
        <v>#DIV/0!</v>
      </c>
      <c r="AS155" s="974" t="e">
        <f>IF($F155="","",$F155*chronic_consumption!AN155/1000/$C$3)</f>
        <v>#DIV/0!</v>
      </c>
      <c r="AT155" s="974" t="e">
        <f>IF($F155="","",$F155*chronic_consumption!AO155/1000/$C$3)</f>
        <v>#DIV/0!</v>
      </c>
      <c r="AU155" s="974"/>
      <c r="AV155" s="974" t="e">
        <f>IF($F155="","",$F155*chronic_consumption!AQ155/1000/$C$3)</f>
        <v>#DIV/0!</v>
      </c>
      <c r="AW155" s="974" t="e">
        <f>IF($F155="","",$F155*chronic_consumption!AR155/1000/$C$3)</f>
        <v>#DIV/0!</v>
      </c>
      <c r="AX155" s="974" t="e">
        <f>IF($F155="","",$F155*chronic_consumption!AS155/1000/$C$3)</f>
        <v>#DIV/0!</v>
      </c>
      <c r="AY155" s="974" t="e">
        <f>IF($F155="","",$F155*chronic_consumption!AT155/1000/$C$3)</f>
        <v>#DIV/0!</v>
      </c>
      <c r="AZ155" s="973" t="s">
        <v>19</v>
      </c>
      <c r="BA155" s="969" t="e">
        <f t="shared" si="15"/>
        <v>#DIV/0!</v>
      </c>
      <c r="BB155" s="970" t="e">
        <f t="shared" si="16"/>
        <v>#DIV/0!</v>
      </c>
      <c r="BC155" s="971" t="e">
        <f t="shared" ca="1" si="17"/>
        <v>#DIV/0!</v>
      </c>
      <c r="BD155" s="228">
        <f>input_values!Z155</f>
        <v>4</v>
      </c>
      <c r="BE155" s="152">
        <f>input_values!L155</f>
        <v>0</v>
      </c>
      <c r="BF155" s="972" t="str">
        <f t="shared" si="18"/>
        <v/>
      </c>
    </row>
    <row r="156" spans="1:58" ht="12" customHeight="1" outlineLevel="3" x14ac:dyDescent="0.2">
      <c r="A156" s="21">
        <v>4</v>
      </c>
      <c r="B156" s="23">
        <v>243990</v>
      </c>
      <c r="C156" s="23" t="s">
        <v>172</v>
      </c>
      <c r="D156" s="965">
        <f>Table22[[#This Row],[MRL individual commodity]]</f>
        <v>0</v>
      </c>
      <c r="E156" s="300" t="str">
        <f>Table22[[#This Row],[LOQ_label]]</f>
        <v/>
      </c>
      <c r="F156" s="966">
        <f>Table22[[#This Row],[Chronic RA input value]]</f>
        <v>0</v>
      </c>
      <c r="G156" s="304" t="str">
        <f>Table22[[#This Row],[Chronic RA label]]</f>
        <v/>
      </c>
      <c r="H156" s="304">
        <f>Table22[[#This Row],[GAP under assessment]]</f>
        <v>0</v>
      </c>
      <c r="I156" s="1123"/>
      <c r="J156" s="974" t="e">
        <f>IF($F156="","",$F156*chronic_consumption!$E156/1000/$C$3)</f>
        <v>#DIV/0!</v>
      </c>
      <c r="K156" s="974" t="e">
        <f>IF($F156="","",$F156*chronic_consumption!F156/1000/$C$3)</f>
        <v>#DIV/0!</v>
      </c>
      <c r="L156" s="974" t="e">
        <f>IF($F156="","",$F156*chronic_consumption!G156/1000/$C$3)</f>
        <v>#DIV/0!</v>
      </c>
      <c r="M156" s="974" t="e">
        <f>IF($F156="","",$F156*chronic_consumption!H156/1000/$C$3)</f>
        <v>#DIV/0!</v>
      </c>
      <c r="N156" s="974" t="e">
        <f>IF($F156="","",$F156*chronic_consumption!I156/1000/$C$3)</f>
        <v>#DIV/0!</v>
      </c>
      <c r="O156" s="974" t="e">
        <f>IF($F156="","",$F156*chronic_consumption!J156/1000/$C$3)</f>
        <v>#DIV/0!</v>
      </c>
      <c r="P156" s="974" t="e">
        <f>IF($F156="","",$F156*chronic_consumption!K156/1000/$C$3)</f>
        <v>#DIV/0!</v>
      </c>
      <c r="Q156" s="974" t="e">
        <f>IF($F156="","",$F156*chronic_consumption!L156/1000/$C$3)</f>
        <v>#DIV/0!</v>
      </c>
      <c r="R156" s="974" t="e">
        <f>IF($F156="","",$F156*chronic_consumption!M156/1000/$C$3)</f>
        <v>#DIV/0!</v>
      </c>
      <c r="S156" s="974" t="e">
        <f>IF($F156="","",$F156*chronic_consumption!N156/1000/$C$3)</f>
        <v>#DIV/0!</v>
      </c>
      <c r="T156" s="974" t="e">
        <f>IF($F156="","",$F156*chronic_consumption!O156/1000/$C$3)</f>
        <v>#DIV/0!</v>
      </c>
      <c r="U156" s="974" t="e">
        <f>IF($F156="","",$F156*chronic_consumption!P156/1000/$C$3)</f>
        <v>#DIV/0!</v>
      </c>
      <c r="V156" s="974" t="e">
        <f>IF($F156="","",$F156*chronic_consumption!Q156/1000/$C$3)</f>
        <v>#DIV/0!</v>
      </c>
      <c r="W156" s="974" t="e">
        <f>IF($F156="","",$F156*chronic_consumption!R156/1000/$C$3)</f>
        <v>#DIV/0!</v>
      </c>
      <c r="X156" s="974" t="e">
        <f>IF($F156="","",$F156*chronic_consumption!S156/1000/$C$3)</f>
        <v>#DIV/0!</v>
      </c>
      <c r="Y156" s="974" t="e">
        <f>IF($F156="","",$F156*chronic_consumption!T156/1000/$C$3)</f>
        <v>#DIV/0!</v>
      </c>
      <c r="Z156" s="974" t="e">
        <f>IF($F156="","",$F156*chronic_consumption!U156/1000/$C$3)</f>
        <v>#DIV/0!</v>
      </c>
      <c r="AA156" s="974" t="e">
        <f>IF($F156="","",$F156*chronic_consumption!V156/1000/$C$3)</f>
        <v>#DIV/0!</v>
      </c>
      <c r="AB156" s="974" t="e">
        <f>IF($F156="","",$F156*chronic_consumption!W156/1000/$C$3)</f>
        <v>#DIV/0!</v>
      </c>
      <c r="AC156" s="974" t="e">
        <f>IF($F156="","",$F156*chronic_consumption!X156/1000/$C$3)</f>
        <v>#DIV/0!</v>
      </c>
      <c r="AD156" s="974" t="e">
        <f>IF($F156="","",$F156*chronic_consumption!Y156/1000/$C$3)</f>
        <v>#DIV/0!</v>
      </c>
      <c r="AE156" s="974" t="e">
        <f>IF($F156="","",$F156*chronic_consumption!Z156/1000/$C$3)</f>
        <v>#DIV/0!</v>
      </c>
      <c r="AF156" s="974" t="e">
        <f>IF($F156="","",$F156*chronic_consumption!AA156/1000/$C$3)</f>
        <v>#DIV/0!</v>
      </c>
      <c r="AG156" s="974" t="e">
        <f>IF($F156="","",$F156*chronic_consumption!AB156/1000/$C$3)</f>
        <v>#DIV/0!</v>
      </c>
      <c r="AH156" s="974" t="e">
        <f>IF($F156="","",$F156*chronic_consumption!AC156/1000/$C$3)</f>
        <v>#DIV/0!</v>
      </c>
      <c r="AI156" s="974" t="e">
        <f>IF($F156="","",$F156*chronic_consumption!AD156/1000/$C$3)</f>
        <v>#DIV/0!</v>
      </c>
      <c r="AJ156" s="974" t="e">
        <f>IF($F156="","",$F156*chronic_consumption!AE156/1000/$C$3)</f>
        <v>#DIV/0!</v>
      </c>
      <c r="AK156" s="974" t="e">
        <f>IF($F156="","",$F156*chronic_consumption!AF156/1000/$C$3)</f>
        <v>#DIV/0!</v>
      </c>
      <c r="AL156" s="974" t="e">
        <f>IF($F156="","",$F156*chronic_consumption!AG156/1000/$C$3)</f>
        <v>#DIV/0!</v>
      </c>
      <c r="AM156" s="974" t="e">
        <f>IF($F156="","",$F156*chronic_consumption!AH156/1000/$C$3)</f>
        <v>#DIV/0!</v>
      </c>
      <c r="AN156" s="974" t="e">
        <f>IF($F156="","",$F156*chronic_consumption!AI156/1000/$C$3)</f>
        <v>#DIV/0!</v>
      </c>
      <c r="AO156" s="974" t="e">
        <f>IF($F156="","",$F156*chronic_consumption!AJ156/1000/$C$3)</f>
        <v>#DIV/0!</v>
      </c>
      <c r="AP156" s="974" t="e">
        <f>IF($F156="","",$F156*chronic_consumption!AK156/1000/$C$3)</f>
        <v>#DIV/0!</v>
      </c>
      <c r="AQ156" s="974" t="e">
        <f>IF($F156="","",$F156*chronic_consumption!AL156/1000/$C$3)</f>
        <v>#DIV/0!</v>
      </c>
      <c r="AR156" s="974" t="e">
        <f>IF($F156="","",$F156*chronic_consumption!AM156/1000/$C$3)</f>
        <v>#DIV/0!</v>
      </c>
      <c r="AS156" s="974" t="e">
        <f>IF($F156="","",$F156*chronic_consumption!AN156/1000/$C$3)</f>
        <v>#DIV/0!</v>
      </c>
      <c r="AT156" s="974" t="e">
        <f>IF($F156="","",$F156*chronic_consumption!AO156/1000/$C$3)</f>
        <v>#DIV/0!</v>
      </c>
      <c r="AU156" s="974"/>
      <c r="AV156" s="974" t="e">
        <f>IF($F156="","",$F156*chronic_consumption!AQ156/1000/$C$3)</f>
        <v>#DIV/0!</v>
      </c>
      <c r="AW156" s="974" t="e">
        <f>IF($F156="","",$F156*chronic_consumption!AR156/1000/$C$3)</f>
        <v>#DIV/0!</v>
      </c>
      <c r="AX156" s="974" t="e">
        <f>IF($F156="","",$F156*chronic_consumption!AS156/1000/$C$3)</f>
        <v>#DIV/0!</v>
      </c>
      <c r="AY156" s="974" t="e">
        <f>IF($F156="","",$F156*chronic_consumption!AT156/1000/$C$3)</f>
        <v>#DIV/0!</v>
      </c>
      <c r="AZ156" s="973" t="s">
        <v>19</v>
      </c>
      <c r="BA156" s="969" t="e">
        <f t="shared" si="15"/>
        <v>#DIV/0!</v>
      </c>
      <c r="BB156" s="970" t="e">
        <f t="shared" si="16"/>
        <v>#DIV/0!</v>
      </c>
      <c r="BC156" s="971" t="e">
        <f t="shared" ca="1" si="17"/>
        <v>#DIV/0!</v>
      </c>
      <c r="BD156" s="228">
        <f>input_values!Z156</f>
        <v>4</v>
      </c>
      <c r="BE156" s="152">
        <f>input_values!L156</f>
        <v>0</v>
      </c>
      <c r="BF156" s="972" t="str">
        <f t="shared" si="18"/>
        <v/>
      </c>
    </row>
    <row r="157" spans="1:58" ht="12" customHeight="1" outlineLevel="2" x14ac:dyDescent="0.2">
      <c r="A157" s="341">
        <v>3</v>
      </c>
      <c r="B157" s="3">
        <v>244000</v>
      </c>
      <c r="C157" s="3" t="s">
        <v>719</v>
      </c>
      <c r="D157" s="965">
        <f>Table22[[#This Row],[MRL individual commodity]]</f>
        <v>0</v>
      </c>
      <c r="E157" s="300" t="str">
        <f>Table22[[#This Row],[LOQ_label]]</f>
        <v/>
      </c>
      <c r="F157" s="966">
        <f>Table22[[#This Row],[Chronic RA input value]]</f>
        <v>0</v>
      </c>
      <c r="G157" s="304" t="str">
        <f>Table22[[#This Row],[Chronic RA label]]</f>
        <v/>
      </c>
      <c r="H157" s="304">
        <f>Table22[[#This Row],[GAP under assessment]]</f>
        <v>0</v>
      </c>
      <c r="I157" s="1123"/>
      <c r="J157" s="974" t="e">
        <f>IF($F157="","",$F157*chronic_consumption!$E157/1000/$C$3)</f>
        <v>#DIV/0!</v>
      </c>
      <c r="K157" s="974" t="e">
        <f>IF($F157="","",$F157*chronic_consumption!F157/1000/$C$3)</f>
        <v>#DIV/0!</v>
      </c>
      <c r="L157" s="974" t="e">
        <f>IF($F157="","",$F157*chronic_consumption!G157/1000/$C$3)</f>
        <v>#DIV/0!</v>
      </c>
      <c r="M157" s="974" t="e">
        <f>IF($F157="","",$F157*chronic_consumption!H157/1000/$C$3)</f>
        <v>#DIV/0!</v>
      </c>
      <c r="N157" s="974" t="e">
        <f>IF($F157="","",$F157*chronic_consumption!I157/1000/$C$3)</f>
        <v>#DIV/0!</v>
      </c>
      <c r="O157" s="974" t="e">
        <f>IF($F157="","",$F157*chronic_consumption!J157/1000/$C$3)</f>
        <v>#DIV/0!</v>
      </c>
      <c r="P157" s="974" t="e">
        <f>IF($F157="","",$F157*chronic_consumption!K157/1000/$C$3)</f>
        <v>#DIV/0!</v>
      </c>
      <c r="Q157" s="974" t="e">
        <f>IF($F157="","",$F157*chronic_consumption!L157/1000/$C$3)</f>
        <v>#DIV/0!</v>
      </c>
      <c r="R157" s="974" t="e">
        <f>IF($F157="","",$F157*chronic_consumption!M157/1000/$C$3)</f>
        <v>#DIV/0!</v>
      </c>
      <c r="S157" s="974" t="e">
        <f>IF($F157="","",$F157*chronic_consumption!N157/1000/$C$3)</f>
        <v>#DIV/0!</v>
      </c>
      <c r="T157" s="974" t="e">
        <f>IF($F157="","",$F157*chronic_consumption!O157/1000/$C$3)</f>
        <v>#DIV/0!</v>
      </c>
      <c r="U157" s="974" t="e">
        <f>IF($F157="","",$F157*chronic_consumption!P157/1000/$C$3)</f>
        <v>#DIV/0!</v>
      </c>
      <c r="V157" s="974" t="e">
        <f>IF($F157="","",$F157*chronic_consumption!Q157/1000/$C$3)</f>
        <v>#DIV/0!</v>
      </c>
      <c r="W157" s="974" t="e">
        <f>IF($F157="","",$F157*chronic_consumption!R157/1000/$C$3)</f>
        <v>#DIV/0!</v>
      </c>
      <c r="X157" s="974" t="e">
        <f>IF($F157="","",$F157*chronic_consumption!S157/1000/$C$3)</f>
        <v>#DIV/0!</v>
      </c>
      <c r="Y157" s="974" t="e">
        <f>IF($F157="","",$F157*chronic_consumption!T157/1000/$C$3)</f>
        <v>#DIV/0!</v>
      </c>
      <c r="Z157" s="974" t="e">
        <f>IF($F157="","",$F157*chronic_consumption!U157/1000/$C$3)</f>
        <v>#DIV/0!</v>
      </c>
      <c r="AA157" s="974" t="e">
        <f>IF($F157="","",$F157*chronic_consumption!V157/1000/$C$3)</f>
        <v>#DIV/0!</v>
      </c>
      <c r="AB157" s="974" t="e">
        <f>IF($F157="","",$F157*chronic_consumption!W157/1000/$C$3)</f>
        <v>#DIV/0!</v>
      </c>
      <c r="AC157" s="974" t="e">
        <f>IF($F157="","",$F157*chronic_consumption!X157/1000/$C$3)</f>
        <v>#DIV/0!</v>
      </c>
      <c r="AD157" s="974" t="e">
        <f>IF($F157="","",$F157*chronic_consumption!Y157/1000/$C$3)</f>
        <v>#DIV/0!</v>
      </c>
      <c r="AE157" s="974" t="e">
        <f>IF($F157="","",$F157*chronic_consumption!Z157/1000/$C$3)</f>
        <v>#DIV/0!</v>
      </c>
      <c r="AF157" s="974" t="e">
        <f>IF($F157="","",$F157*chronic_consumption!AA157/1000/$C$3)</f>
        <v>#DIV/0!</v>
      </c>
      <c r="AG157" s="974" t="e">
        <f>IF($F157="","",$F157*chronic_consumption!AB157/1000/$C$3)</f>
        <v>#DIV/0!</v>
      </c>
      <c r="AH157" s="974" t="e">
        <f>IF($F157="","",$F157*chronic_consumption!AC157/1000/$C$3)</f>
        <v>#DIV/0!</v>
      </c>
      <c r="AI157" s="974" t="e">
        <f>IF($F157="","",$F157*chronic_consumption!AD157/1000/$C$3)</f>
        <v>#DIV/0!</v>
      </c>
      <c r="AJ157" s="974" t="e">
        <f>IF($F157="","",$F157*chronic_consumption!AE157/1000/$C$3)</f>
        <v>#DIV/0!</v>
      </c>
      <c r="AK157" s="974" t="e">
        <f>IF($F157="","",$F157*chronic_consumption!AF157/1000/$C$3)</f>
        <v>#DIV/0!</v>
      </c>
      <c r="AL157" s="974" t="e">
        <f>IF($F157="","",$F157*chronic_consumption!AG157/1000/$C$3)</f>
        <v>#DIV/0!</v>
      </c>
      <c r="AM157" s="974" t="e">
        <f>IF($F157="","",$F157*chronic_consumption!AH157/1000/$C$3)</f>
        <v>#DIV/0!</v>
      </c>
      <c r="AN157" s="974" t="e">
        <f>IF($F157="","",$F157*chronic_consumption!AI157/1000/$C$3)</f>
        <v>#DIV/0!</v>
      </c>
      <c r="AO157" s="974" t="e">
        <f>IF($F157="","",$F157*chronic_consumption!AJ157/1000/$C$3)</f>
        <v>#DIV/0!</v>
      </c>
      <c r="AP157" s="974" t="e">
        <f>IF($F157="","",$F157*chronic_consumption!AK157/1000/$C$3)</f>
        <v>#DIV/0!</v>
      </c>
      <c r="AQ157" s="974" t="e">
        <f>IF($F157="","",$F157*chronic_consumption!AL157/1000/$C$3)</f>
        <v>#DIV/0!</v>
      </c>
      <c r="AR157" s="974" t="e">
        <f>IF($F157="","",$F157*chronic_consumption!AM157/1000/$C$3)</f>
        <v>#DIV/0!</v>
      </c>
      <c r="AS157" s="974" t="e">
        <f>IF($F157="","",$F157*chronic_consumption!AN157/1000/$C$3)</f>
        <v>#DIV/0!</v>
      </c>
      <c r="AT157" s="974" t="e">
        <f>IF($F157="","",$F157*chronic_consumption!AO157/1000/$C$3)</f>
        <v>#DIV/0!</v>
      </c>
      <c r="AU157" s="974"/>
      <c r="AV157" s="974" t="e">
        <f>IF($F157="","",$F157*chronic_consumption!AQ157/1000/$C$3)</f>
        <v>#DIV/0!</v>
      </c>
      <c r="AW157" s="974" t="e">
        <f>IF($F157="","",$F157*chronic_consumption!AR157/1000/$C$3)</f>
        <v>#DIV/0!</v>
      </c>
      <c r="AX157" s="974" t="e">
        <f>IF($F157="","",$F157*chronic_consumption!AS157/1000/$C$3)</f>
        <v>#DIV/0!</v>
      </c>
      <c r="AY157" s="974" t="e">
        <f>IF($F157="","",$F157*chronic_consumption!AT157/1000/$C$3)</f>
        <v>#DIV/0!</v>
      </c>
      <c r="AZ157" s="973" t="s">
        <v>19</v>
      </c>
      <c r="BA157" s="969" t="e">
        <f t="shared" si="15"/>
        <v>#DIV/0!</v>
      </c>
      <c r="BB157" s="970" t="e">
        <f t="shared" si="16"/>
        <v>#DIV/0!</v>
      </c>
      <c r="BC157" s="971" t="e">
        <f t="shared" ca="1" si="17"/>
        <v>#DIV/0!</v>
      </c>
      <c r="BD157" s="228">
        <f>input_values!Z157</f>
        <v>3</v>
      </c>
      <c r="BE157" s="152">
        <f>input_values!L157</f>
        <v>0</v>
      </c>
      <c r="BF157" s="972" t="str">
        <f t="shared" si="18"/>
        <v/>
      </c>
    </row>
    <row r="158" spans="1:58" ht="12" customHeight="1" outlineLevel="1" x14ac:dyDescent="0.2">
      <c r="A158" s="314">
        <v>2</v>
      </c>
      <c r="B158" s="131">
        <v>250000</v>
      </c>
      <c r="C158" s="131" t="s">
        <v>720</v>
      </c>
      <c r="D158" s="965">
        <f>Table22[[#This Row],[MRL individual commodity]]</f>
        <v>0</v>
      </c>
      <c r="E158" s="300">
        <f>Table22[[#This Row],[LOQ_label]]</f>
        <v>0</v>
      </c>
      <c r="F158" s="966">
        <f>Table22[[#This Row],[Chronic RA input value]]</f>
        <v>0</v>
      </c>
      <c r="G158" s="304">
        <f>Table22[[#This Row],[Chronic RA label]]</f>
        <v>0</v>
      </c>
      <c r="H158" s="304">
        <f>Table22[[#This Row],[GAP under assessment]]</f>
        <v>0</v>
      </c>
      <c r="I158" s="1123"/>
      <c r="J158" s="967" t="e">
        <f>IF($F158="","",$F158*chronic_consumption!$E158/1000/$C$3)</f>
        <v>#DIV/0!</v>
      </c>
      <c r="K158" s="967" t="e">
        <f>IF($F158="","",$F158*chronic_consumption!F158/1000/$C$3)</f>
        <v>#DIV/0!</v>
      </c>
      <c r="L158" s="967" t="e">
        <f>IF($F158="","",$F158*chronic_consumption!G158/1000/$C$3)</f>
        <v>#DIV/0!</v>
      </c>
      <c r="M158" s="967" t="e">
        <f>IF($F158="","",$F158*chronic_consumption!H158/1000/$C$3)</f>
        <v>#DIV/0!</v>
      </c>
      <c r="N158" s="967" t="e">
        <f>IF($F158="","",$F158*chronic_consumption!I158/1000/$C$3)</f>
        <v>#DIV/0!</v>
      </c>
      <c r="O158" s="967" t="e">
        <f>IF($F158="","",$F158*chronic_consumption!J158/1000/$C$3)</f>
        <v>#DIV/0!</v>
      </c>
      <c r="P158" s="967" t="e">
        <f>IF($F158="","",$F158*chronic_consumption!K158/1000/$C$3)</f>
        <v>#DIV/0!</v>
      </c>
      <c r="Q158" s="967" t="e">
        <f>IF($F158="","",$F158*chronic_consumption!L158/1000/$C$3)</f>
        <v>#DIV/0!</v>
      </c>
      <c r="R158" s="967" t="e">
        <f>IF($F158="","",$F158*chronic_consumption!M158/1000/$C$3)</f>
        <v>#DIV/0!</v>
      </c>
      <c r="S158" s="967" t="e">
        <f>IF($F158="","",$F158*chronic_consumption!N158/1000/$C$3)</f>
        <v>#DIV/0!</v>
      </c>
      <c r="T158" s="967" t="e">
        <f>IF($F158="","",$F158*chronic_consumption!O158/1000/$C$3)</f>
        <v>#DIV/0!</v>
      </c>
      <c r="U158" s="967" t="e">
        <f>IF($F158="","",$F158*chronic_consumption!P158/1000/$C$3)</f>
        <v>#DIV/0!</v>
      </c>
      <c r="V158" s="967" t="e">
        <f>IF($F158="","",$F158*chronic_consumption!Q158/1000/$C$3)</f>
        <v>#DIV/0!</v>
      </c>
      <c r="W158" s="967" t="e">
        <f>IF($F158="","",$F158*chronic_consumption!R158/1000/$C$3)</f>
        <v>#DIV/0!</v>
      </c>
      <c r="X158" s="967" t="e">
        <f>IF($F158="","",$F158*chronic_consumption!S158/1000/$C$3)</f>
        <v>#DIV/0!</v>
      </c>
      <c r="Y158" s="967" t="e">
        <f>IF($F158="","",$F158*chronic_consumption!T158/1000/$C$3)</f>
        <v>#DIV/0!</v>
      </c>
      <c r="Z158" s="967" t="e">
        <f>IF($F158="","",$F158*chronic_consumption!U158/1000/$C$3)</f>
        <v>#DIV/0!</v>
      </c>
      <c r="AA158" s="967" t="e">
        <f>IF($F158="","",$F158*chronic_consumption!V158/1000/$C$3)</f>
        <v>#DIV/0!</v>
      </c>
      <c r="AB158" s="967" t="e">
        <f>IF($F158="","",$F158*chronic_consumption!W158/1000/$C$3)</f>
        <v>#DIV/0!</v>
      </c>
      <c r="AC158" s="967" t="e">
        <f>IF($F158="","",$F158*chronic_consumption!X158/1000/$C$3)</f>
        <v>#DIV/0!</v>
      </c>
      <c r="AD158" s="967" t="e">
        <f>IF($F158="","",$F158*chronic_consumption!Y158/1000/$C$3)</f>
        <v>#DIV/0!</v>
      </c>
      <c r="AE158" s="967" t="e">
        <f>IF($F158="","",$F158*chronic_consumption!Z158/1000/$C$3)</f>
        <v>#DIV/0!</v>
      </c>
      <c r="AF158" s="967" t="e">
        <f>IF($F158="","",$F158*chronic_consumption!AA158/1000/$C$3)</f>
        <v>#DIV/0!</v>
      </c>
      <c r="AG158" s="967" t="e">
        <f>IF($F158="","",$F158*chronic_consumption!AB158/1000/$C$3)</f>
        <v>#DIV/0!</v>
      </c>
      <c r="AH158" s="967" t="e">
        <f>IF($F158="","",$F158*chronic_consumption!AC158/1000/$C$3)</f>
        <v>#DIV/0!</v>
      </c>
      <c r="AI158" s="967" t="e">
        <f>IF($F158="","",$F158*chronic_consumption!AD158/1000/$C$3)</f>
        <v>#DIV/0!</v>
      </c>
      <c r="AJ158" s="967" t="e">
        <f>IF($F158="","",$F158*chronic_consumption!AE158/1000/$C$3)</f>
        <v>#DIV/0!</v>
      </c>
      <c r="AK158" s="967" t="e">
        <f>IF($F158="","",$F158*chronic_consumption!AF158/1000/$C$3)</f>
        <v>#DIV/0!</v>
      </c>
      <c r="AL158" s="967" t="e">
        <f>IF($F158="","",$F158*chronic_consumption!AG158/1000/$C$3)</f>
        <v>#DIV/0!</v>
      </c>
      <c r="AM158" s="967" t="e">
        <f>IF($F158="","",$F158*chronic_consumption!AH158/1000/$C$3)</f>
        <v>#DIV/0!</v>
      </c>
      <c r="AN158" s="967" t="e">
        <f>IF($F158="","",$F158*chronic_consumption!AI158/1000/$C$3)</f>
        <v>#DIV/0!</v>
      </c>
      <c r="AO158" s="967" t="e">
        <f>IF($F158="","",$F158*chronic_consumption!AJ158/1000/$C$3)</f>
        <v>#DIV/0!</v>
      </c>
      <c r="AP158" s="967" t="e">
        <f>IF($F158="","",$F158*chronic_consumption!AK158/1000/$C$3)</f>
        <v>#DIV/0!</v>
      </c>
      <c r="AQ158" s="967" t="e">
        <f>IF($F158="","",$F158*chronic_consumption!AL158/1000/$C$3)</f>
        <v>#DIV/0!</v>
      </c>
      <c r="AR158" s="967" t="e">
        <f>IF($F158="","",$F158*chronic_consumption!AM158/1000/$C$3)</f>
        <v>#DIV/0!</v>
      </c>
      <c r="AS158" s="967" t="e">
        <f>IF($F158="","",$F158*chronic_consumption!AN158/1000/$C$3)</f>
        <v>#DIV/0!</v>
      </c>
      <c r="AT158" s="967" t="e">
        <f>IF($F158="","",$F158*chronic_consumption!AO158/1000/$C$3)</f>
        <v>#DIV/0!</v>
      </c>
      <c r="AU158" s="967"/>
      <c r="AV158" s="967" t="e">
        <f>IF($F158="","",$F158*chronic_consumption!AQ158/1000/$C$3)</f>
        <v>#DIV/0!</v>
      </c>
      <c r="AW158" s="967" t="e">
        <f>IF($F158="","",$F158*chronic_consumption!AR158/1000/$C$3)</f>
        <v>#DIV/0!</v>
      </c>
      <c r="AX158" s="967" t="e">
        <f>IF($F158="","",$F158*chronic_consumption!AS158/1000/$C$3)</f>
        <v>#DIV/0!</v>
      </c>
      <c r="AY158" s="967" t="e">
        <f>IF($F158="","",$F158*chronic_consumption!AT158/1000/$C$3)</f>
        <v>#DIV/0!</v>
      </c>
      <c r="AZ158" s="973"/>
      <c r="BA158" s="969" t="e">
        <f t="shared" si="15"/>
        <v>#DIV/0!</v>
      </c>
      <c r="BB158" s="970" t="e">
        <f t="shared" si="16"/>
        <v>#DIV/0!</v>
      </c>
      <c r="BC158" s="971" t="e">
        <f t="shared" ca="1" si="17"/>
        <v>#DIV/0!</v>
      </c>
      <c r="BD158" s="228">
        <f>input_values!Z158</f>
        <v>4</v>
      </c>
      <c r="BE158" s="152">
        <f>input_values!L158</f>
        <v>0</v>
      </c>
      <c r="BF158" s="972" t="str">
        <f t="shared" si="18"/>
        <v/>
      </c>
    </row>
    <row r="159" spans="1:58" ht="12" customHeight="1" outlineLevel="2" x14ac:dyDescent="0.2">
      <c r="A159" s="341">
        <v>3</v>
      </c>
      <c r="B159" s="3">
        <v>251000</v>
      </c>
      <c r="C159" s="3" t="s">
        <v>295</v>
      </c>
      <c r="D159" s="965">
        <f>Table22[[#This Row],[MRL individual commodity]]</f>
        <v>0</v>
      </c>
      <c r="E159" s="300">
        <f>Table22[[#This Row],[LOQ_label]]</f>
        <v>0</v>
      </c>
      <c r="F159" s="966">
        <f>Table22[[#This Row],[Chronic RA input value]]</f>
        <v>0</v>
      </c>
      <c r="G159" s="304">
        <f>Table22[[#This Row],[Chronic RA label]]</f>
        <v>0</v>
      </c>
      <c r="H159" s="304">
        <f>Table22[[#This Row],[GAP under assessment]]</f>
        <v>0</v>
      </c>
      <c r="I159" s="1123"/>
      <c r="J159" s="967" t="e">
        <f>IF($F159="","",$F159*chronic_consumption!$E159/1000/$C$3)</f>
        <v>#DIV/0!</v>
      </c>
      <c r="K159" s="967" t="e">
        <f>IF($F159="","",$F159*chronic_consumption!F159/1000/$C$3)</f>
        <v>#DIV/0!</v>
      </c>
      <c r="L159" s="967" t="e">
        <f>IF($F159="","",$F159*chronic_consumption!G159/1000/$C$3)</f>
        <v>#DIV/0!</v>
      </c>
      <c r="M159" s="967" t="e">
        <f>IF($F159="","",$F159*chronic_consumption!H159/1000/$C$3)</f>
        <v>#DIV/0!</v>
      </c>
      <c r="N159" s="967" t="e">
        <f>IF($F159="","",$F159*chronic_consumption!I159/1000/$C$3)</f>
        <v>#DIV/0!</v>
      </c>
      <c r="O159" s="967" t="e">
        <f>IF($F159="","",$F159*chronic_consumption!J159/1000/$C$3)</f>
        <v>#DIV/0!</v>
      </c>
      <c r="P159" s="967" t="e">
        <f>IF($F159="","",$F159*chronic_consumption!K159/1000/$C$3)</f>
        <v>#DIV/0!</v>
      </c>
      <c r="Q159" s="967" t="e">
        <f>IF($F159="","",$F159*chronic_consumption!L159/1000/$C$3)</f>
        <v>#DIV/0!</v>
      </c>
      <c r="R159" s="967" t="e">
        <f>IF($F159="","",$F159*chronic_consumption!M159/1000/$C$3)</f>
        <v>#DIV/0!</v>
      </c>
      <c r="S159" s="967" t="e">
        <f>IF($F159="","",$F159*chronic_consumption!N159/1000/$C$3)</f>
        <v>#DIV/0!</v>
      </c>
      <c r="T159" s="967" t="e">
        <f>IF($F159="","",$F159*chronic_consumption!O159/1000/$C$3)</f>
        <v>#DIV/0!</v>
      </c>
      <c r="U159" s="967" t="e">
        <f>IF($F159="","",$F159*chronic_consumption!P159/1000/$C$3)</f>
        <v>#DIV/0!</v>
      </c>
      <c r="V159" s="967" t="e">
        <f>IF($F159="","",$F159*chronic_consumption!Q159/1000/$C$3)</f>
        <v>#DIV/0!</v>
      </c>
      <c r="W159" s="967" t="e">
        <f>IF($F159="","",$F159*chronic_consumption!R159/1000/$C$3)</f>
        <v>#DIV/0!</v>
      </c>
      <c r="X159" s="967" t="e">
        <f>IF($F159="","",$F159*chronic_consumption!S159/1000/$C$3)</f>
        <v>#DIV/0!</v>
      </c>
      <c r="Y159" s="967" t="e">
        <f>IF($F159="","",$F159*chronic_consumption!T159/1000/$C$3)</f>
        <v>#DIV/0!</v>
      </c>
      <c r="Z159" s="967" t="e">
        <f>IF($F159="","",$F159*chronic_consumption!U159/1000/$C$3)</f>
        <v>#DIV/0!</v>
      </c>
      <c r="AA159" s="967" t="e">
        <f>IF($F159="","",$F159*chronic_consumption!V159/1000/$C$3)</f>
        <v>#DIV/0!</v>
      </c>
      <c r="AB159" s="967" t="e">
        <f>IF($F159="","",$F159*chronic_consumption!W159/1000/$C$3)</f>
        <v>#DIV/0!</v>
      </c>
      <c r="AC159" s="967" t="e">
        <f>IF($F159="","",$F159*chronic_consumption!X159/1000/$C$3)</f>
        <v>#DIV/0!</v>
      </c>
      <c r="AD159" s="967" t="e">
        <f>IF($F159="","",$F159*chronic_consumption!Y159/1000/$C$3)</f>
        <v>#DIV/0!</v>
      </c>
      <c r="AE159" s="967" t="e">
        <f>IF($F159="","",$F159*chronic_consumption!Z159/1000/$C$3)</f>
        <v>#DIV/0!</v>
      </c>
      <c r="AF159" s="967" t="e">
        <f>IF($F159="","",$F159*chronic_consumption!AA159/1000/$C$3)</f>
        <v>#DIV/0!</v>
      </c>
      <c r="AG159" s="967" t="e">
        <f>IF($F159="","",$F159*chronic_consumption!AB159/1000/$C$3)</f>
        <v>#DIV/0!</v>
      </c>
      <c r="AH159" s="967" t="e">
        <f>IF($F159="","",$F159*chronic_consumption!AC159/1000/$C$3)</f>
        <v>#DIV/0!</v>
      </c>
      <c r="AI159" s="967" t="e">
        <f>IF($F159="","",$F159*chronic_consumption!AD159/1000/$C$3)</f>
        <v>#DIV/0!</v>
      </c>
      <c r="AJ159" s="967" t="e">
        <f>IF($F159="","",$F159*chronic_consumption!AE159/1000/$C$3)</f>
        <v>#DIV/0!</v>
      </c>
      <c r="AK159" s="967" t="e">
        <f>IF($F159="","",$F159*chronic_consumption!AF159/1000/$C$3)</f>
        <v>#DIV/0!</v>
      </c>
      <c r="AL159" s="967" t="e">
        <f>IF($F159="","",$F159*chronic_consumption!AG159/1000/$C$3)</f>
        <v>#DIV/0!</v>
      </c>
      <c r="AM159" s="967" t="e">
        <f>IF($F159="","",$F159*chronic_consumption!AH159/1000/$C$3)</f>
        <v>#DIV/0!</v>
      </c>
      <c r="AN159" s="967" t="e">
        <f>IF($F159="","",$F159*chronic_consumption!AI159/1000/$C$3)</f>
        <v>#DIV/0!</v>
      </c>
      <c r="AO159" s="967" t="e">
        <f>IF($F159="","",$F159*chronic_consumption!AJ159/1000/$C$3)</f>
        <v>#DIV/0!</v>
      </c>
      <c r="AP159" s="967" t="e">
        <f>IF($F159="","",$F159*chronic_consumption!AK159/1000/$C$3)</f>
        <v>#DIV/0!</v>
      </c>
      <c r="AQ159" s="967" t="e">
        <f>IF($F159="","",$F159*chronic_consumption!AL159/1000/$C$3)</f>
        <v>#DIV/0!</v>
      </c>
      <c r="AR159" s="967" t="e">
        <f>IF($F159="","",$F159*chronic_consumption!AM159/1000/$C$3)</f>
        <v>#DIV/0!</v>
      </c>
      <c r="AS159" s="967" t="e">
        <f>IF($F159="","",$F159*chronic_consumption!AN159/1000/$C$3)</f>
        <v>#DIV/0!</v>
      </c>
      <c r="AT159" s="967" t="e">
        <f>IF($F159="","",$F159*chronic_consumption!AO159/1000/$C$3)</f>
        <v>#DIV/0!</v>
      </c>
      <c r="AU159" s="967"/>
      <c r="AV159" s="967" t="e">
        <f>IF($F159="","",$F159*chronic_consumption!AQ159/1000/$C$3)</f>
        <v>#DIV/0!</v>
      </c>
      <c r="AW159" s="967" t="e">
        <f>IF($F159="","",$F159*chronic_consumption!AR159/1000/$C$3)</f>
        <v>#DIV/0!</v>
      </c>
      <c r="AX159" s="967" t="e">
        <f>IF($F159="","",$F159*chronic_consumption!AS159/1000/$C$3)</f>
        <v>#DIV/0!</v>
      </c>
      <c r="AY159" s="967" t="e">
        <f>IF($F159="","",$F159*chronic_consumption!AT159/1000/$C$3)</f>
        <v>#DIV/0!</v>
      </c>
      <c r="AZ159" s="973"/>
      <c r="BA159" s="969" t="e">
        <f t="shared" si="15"/>
        <v>#DIV/0!</v>
      </c>
      <c r="BB159" s="970" t="e">
        <f t="shared" si="16"/>
        <v>#DIV/0!</v>
      </c>
      <c r="BC159" s="971" t="e">
        <f t="shared" ca="1" si="17"/>
        <v>#DIV/0!</v>
      </c>
      <c r="BD159" s="228">
        <f>input_values!Z159</f>
        <v>4</v>
      </c>
      <c r="BE159" s="152">
        <f>input_values!L159</f>
        <v>0</v>
      </c>
      <c r="BF159" s="972" t="str">
        <f t="shared" si="18"/>
        <v/>
      </c>
    </row>
    <row r="160" spans="1:58" ht="12" customHeight="1" outlineLevel="3" x14ac:dyDescent="0.2">
      <c r="A160" s="21">
        <v>4</v>
      </c>
      <c r="B160" s="23">
        <v>251010</v>
      </c>
      <c r="C160" s="23" t="s">
        <v>721</v>
      </c>
      <c r="D160" s="965">
        <f>Table22[[#This Row],[MRL individual commodity]]</f>
        <v>0</v>
      </c>
      <c r="E160" s="300" t="str">
        <f>Table22[[#This Row],[LOQ_label]]</f>
        <v/>
      </c>
      <c r="F160" s="966">
        <f>Table22[[#This Row],[Chronic RA input value]]</f>
        <v>0</v>
      </c>
      <c r="G160" s="304" t="str">
        <f>Table22[[#This Row],[Chronic RA label]]</f>
        <v/>
      </c>
      <c r="H160" s="304">
        <f>Table22[[#This Row],[GAP under assessment]]</f>
        <v>0</v>
      </c>
      <c r="I160" s="1123"/>
      <c r="J160" s="974" t="e">
        <f>IF($F160="","",$F160*chronic_consumption!$E160/1000/$C$3)</f>
        <v>#DIV/0!</v>
      </c>
      <c r="K160" s="974" t="e">
        <f>IF($F160="","",$F160*chronic_consumption!F160/1000/$C$3)</f>
        <v>#DIV/0!</v>
      </c>
      <c r="L160" s="974" t="e">
        <f>IF($F160="","",$F160*chronic_consumption!G160/1000/$C$3)</f>
        <v>#DIV/0!</v>
      </c>
      <c r="M160" s="974" t="e">
        <f>IF($F160="","",$F160*chronic_consumption!H160/1000/$C$3)</f>
        <v>#DIV/0!</v>
      </c>
      <c r="N160" s="974" t="e">
        <f>IF($F160="","",$F160*chronic_consumption!I160/1000/$C$3)</f>
        <v>#DIV/0!</v>
      </c>
      <c r="O160" s="974" t="e">
        <f>IF($F160="","",$F160*chronic_consumption!J160/1000/$C$3)</f>
        <v>#DIV/0!</v>
      </c>
      <c r="P160" s="974" t="e">
        <f>IF($F160="","",$F160*chronic_consumption!K160/1000/$C$3)</f>
        <v>#DIV/0!</v>
      </c>
      <c r="Q160" s="974" t="e">
        <f>IF($F160="","",$F160*chronic_consumption!L160/1000/$C$3)</f>
        <v>#DIV/0!</v>
      </c>
      <c r="R160" s="974" t="e">
        <f>IF($F160="","",$F160*chronic_consumption!M160/1000/$C$3)</f>
        <v>#DIV/0!</v>
      </c>
      <c r="S160" s="974" t="e">
        <f>IF($F160="","",$F160*chronic_consumption!N160/1000/$C$3)</f>
        <v>#DIV/0!</v>
      </c>
      <c r="T160" s="974" t="e">
        <f>IF($F160="","",$F160*chronic_consumption!O160/1000/$C$3)</f>
        <v>#DIV/0!</v>
      </c>
      <c r="U160" s="974" t="e">
        <f>IF($F160="","",$F160*chronic_consumption!P160/1000/$C$3)</f>
        <v>#DIV/0!</v>
      </c>
      <c r="V160" s="974" t="e">
        <f>IF($F160="","",$F160*chronic_consumption!Q160/1000/$C$3)</f>
        <v>#DIV/0!</v>
      </c>
      <c r="W160" s="974" t="e">
        <f>IF($F160="","",$F160*chronic_consumption!R160/1000/$C$3)</f>
        <v>#DIV/0!</v>
      </c>
      <c r="X160" s="974" t="e">
        <f>IF($F160="","",$F160*chronic_consumption!S160/1000/$C$3)</f>
        <v>#DIV/0!</v>
      </c>
      <c r="Y160" s="974" t="e">
        <f>IF($F160="","",$F160*chronic_consumption!T160/1000/$C$3)</f>
        <v>#DIV/0!</v>
      </c>
      <c r="Z160" s="974" t="e">
        <f>IF($F160="","",$F160*chronic_consumption!U160/1000/$C$3)</f>
        <v>#DIV/0!</v>
      </c>
      <c r="AA160" s="974" t="e">
        <f>IF($F160="","",$F160*chronic_consumption!V160/1000/$C$3)</f>
        <v>#DIV/0!</v>
      </c>
      <c r="AB160" s="974" t="e">
        <f>IF($F160="","",$F160*chronic_consumption!W160/1000/$C$3)</f>
        <v>#DIV/0!</v>
      </c>
      <c r="AC160" s="974" t="e">
        <f>IF($F160="","",$F160*chronic_consumption!X160/1000/$C$3)</f>
        <v>#DIV/0!</v>
      </c>
      <c r="AD160" s="974" t="e">
        <f>IF($F160="","",$F160*chronic_consumption!Y160/1000/$C$3)</f>
        <v>#DIV/0!</v>
      </c>
      <c r="AE160" s="974" t="e">
        <f>IF($F160="","",$F160*chronic_consumption!Z160/1000/$C$3)</f>
        <v>#DIV/0!</v>
      </c>
      <c r="AF160" s="974" t="e">
        <f>IF($F160="","",$F160*chronic_consumption!AA160/1000/$C$3)</f>
        <v>#DIV/0!</v>
      </c>
      <c r="AG160" s="974" t="e">
        <f>IF($F160="","",$F160*chronic_consumption!AB160/1000/$C$3)</f>
        <v>#DIV/0!</v>
      </c>
      <c r="AH160" s="974" t="e">
        <f>IF($F160="","",$F160*chronic_consumption!AC160/1000/$C$3)</f>
        <v>#DIV/0!</v>
      </c>
      <c r="AI160" s="974" t="e">
        <f>IF($F160="","",$F160*chronic_consumption!AD160/1000/$C$3)</f>
        <v>#DIV/0!</v>
      </c>
      <c r="AJ160" s="974" t="e">
        <f>IF($F160="","",$F160*chronic_consumption!AE160/1000/$C$3)</f>
        <v>#DIV/0!</v>
      </c>
      <c r="AK160" s="974" t="e">
        <f>IF($F160="","",$F160*chronic_consumption!AF160/1000/$C$3)</f>
        <v>#DIV/0!</v>
      </c>
      <c r="AL160" s="974" t="e">
        <f>IF($F160="","",$F160*chronic_consumption!AG160/1000/$C$3)</f>
        <v>#DIV/0!</v>
      </c>
      <c r="AM160" s="974" t="e">
        <f>IF($F160="","",$F160*chronic_consumption!AH160/1000/$C$3)</f>
        <v>#DIV/0!</v>
      </c>
      <c r="AN160" s="974" t="e">
        <f>IF($F160="","",$F160*chronic_consumption!AI160/1000/$C$3)</f>
        <v>#DIV/0!</v>
      </c>
      <c r="AO160" s="974" t="e">
        <f>IF($F160="","",$F160*chronic_consumption!AJ160/1000/$C$3)</f>
        <v>#DIV/0!</v>
      </c>
      <c r="AP160" s="974" t="e">
        <f>IF($F160="","",$F160*chronic_consumption!AK160/1000/$C$3)</f>
        <v>#DIV/0!</v>
      </c>
      <c r="AQ160" s="974" t="e">
        <f>IF($F160="","",$F160*chronic_consumption!AL160/1000/$C$3)</f>
        <v>#DIV/0!</v>
      </c>
      <c r="AR160" s="974" t="e">
        <f>IF($F160="","",$F160*chronic_consumption!AM160/1000/$C$3)</f>
        <v>#DIV/0!</v>
      </c>
      <c r="AS160" s="974" t="e">
        <f>IF($F160="","",$F160*chronic_consumption!AN160/1000/$C$3)</f>
        <v>#DIV/0!</v>
      </c>
      <c r="AT160" s="974" t="e">
        <f>IF($F160="","",$F160*chronic_consumption!AO160/1000/$C$3)</f>
        <v>#DIV/0!</v>
      </c>
      <c r="AU160" s="974"/>
      <c r="AV160" s="974" t="e">
        <f>IF($F160="","",$F160*chronic_consumption!AQ160/1000/$C$3)</f>
        <v>#DIV/0!</v>
      </c>
      <c r="AW160" s="974" t="e">
        <f>IF($F160="","",$F160*chronic_consumption!AR160/1000/$C$3)</f>
        <v>#DIV/0!</v>
      </c>
      <c r="AX160" s="974" t="e">
        <f>IF($F160="","",$F160*chronic_consumption!AS160/1000/$C$3)</f>
        <v>#DIV/0!</v>
      </c>
      <c r="AY160" s="974" t="e">
        <f>IF($F160="","",$F160*chronic_consumption!AT160/1000/$C$3)</f>
        <v>#DIV/0!</v>
      </c>
      <c r="AZ160" s="973" t="s">
        <v>19</v>
      </c>
      <c r="BA160" s="969" t="e">
        <f t="shared" si="15"/>
        <v>#DIV/0!</v>
      </c>
      <c r="BB160" s="970" t="e">
        <f t="shared" si="16"/>
        <v>#DIV/0!</v>
      </c>
      <c r="BC160" s="971" t="e">
        <f t="shared" ca="1" si="17"/>
        <v>#DIV/0!</v>
      </c>
      <c r="BD160" s="228">
        <f>input_values!Z160</f>
        <v>4</v>
      </c>
      <c r="BE160" s="152">
        <f>input_values!L160</f>
        <v>0</v>
      </c>
      <c r="BF160" s="972" t="str">
        <f t="shared" si="18"/>
        <v/>
      </c>
    </row>
    <row r="161" spans="1:58" ht="12" customHeight="1" outlineLevel="3" x14ac:dyDescent="0.2">
      <c r="A161" s="21">
        <v>4</v>
      </c>
      <c r="B161" s="23">
        <v>251020</v>
      </c>
      <c r="C161" s="23" t="s">
        <v>722</v>
      </c>
      <c r="D161" s="965">
        <f>Table22[[#This Row],[MRL individual commodity]]</f>
        <v>0</v>
      </c>
      <c r="E161" s="300" t="str">
        <f>Table22[[#This Row],[LOQ_label]]</f>
        <v/>
      </c>
      <c r="F161" s="966">
        <f>Table22[[#This Row],[Chronic RA input value]]</f>
        <v>0</v>
      </c>
      <c r="G161" s="304" t="str">
        <f>Table22[[#This Row],[Chronic RA label]]</f>
        <v/>
      </c>
      <c r="H161" s="304">
        <f>Table22[[#This Row],[GAP under assessment]]</f>
        <v>0</v>
      </c>
      <c r="I161" s="1123"/>
      <c r="J161" s="974" t="e">
        <f>IF($F161="","",$F161*chronic_consumption!$E161/1000/$C$3)</f>
        <v>#DIV/0!</v>
      </c>
      <c r="K161" s="974" t="e">
        <f>IF($F161="","",$F161*chronic_consumption!F161/1000/$C$3)</f>
        <v>#DIV/0!</v>
      </c>
      <c r="L161" s="974" t="e">
        <f>IF($F161="","",$F161*chronic_consumption!G161/1000/$C$3)</f>
        <v>#DIV/0!</v>
      </c>
      <c r="M161" s="974" t="e">
        <f>IF($F161="","",$F161*chronic_consumption!H161/1000/$C$3)</f>
        <v>#DIV/0!</v>
      </c>
      <c r="N161" s="974" t="e">
        <f>IF($F161="","",$F161*chronic_consumption!I161/1000/$C$3)</f>
        <v>#DIV/0!</v>
      </c>
      <c r="O161" s="974" t="e">
        <f>IF($F161="","",$F161*chronic_consumption!J161/1000/$C$3)</f>
        <v>#DIV/0!</v>
      </c>
      <c r="P161" s="974" t="e">
        <f>IF($F161="","",$F161*chronic_consumption!K161/1000/$C$3)</f>
        <v>#DIV/0!</v>
      </c>
      <c r="Q161" s="974" t="e">
        <f>IF($F161="","",$F161*chronic_consumption!L161/1000/$C$3)</f>
        <v>#DIV/0!</v>
      </c>
      <c r="R161" s="974" t="e">
        <f>IF($F161="","",$F161*chronic_consumption!M161/1000/$C$3)</f>
        <v>#DIV/0!</v>
      </c>
      <c r="S161" s="974" t="e">
        <f>IF($F161="","",$F161*chronic_consumption!N161/1000/$C$3)</f>
        <v>#DIV/0!</v>
      </c>
      <c r="T161" s="974" t="e">
        <f>IF($F161="","",$F161*chronic_consumption!O161/1000/$C$3)</f>
        <v>#DIV/0!</v>
      </c>
      <c r="U161" s="974" t="e">
        <f>IF($F161="","",$F161*chronic_consumption!P161/1000/$C$3)</f>
        <v>#DIV/0!</v>
      </c>
      <c r="V161" s="974" t="e">
        <f>IF($F161="","",$F161*chronic_consumption!Q161/1000/$C$3)</f>
        <v>#DIV/0!</v>
      </c>
      <c r="W161" s="974" t="e">
        <f>IF($F161="","",$F161*chronic_consumption!R161/1000/$C$3)</f>
        <v>#DIV/0!</v>
      </c>
      <c r="X161" s="974" t="e">
        <f>IF($F161="","",$F161*chronic_consumption!S161/1000/$C$3)</f>
        <v>#DIV/0!</v>
      </c>
      <c r="Y161" s="974" t="e">
        <f>IF($F161="","",$F161*chronic_consumption!T161/1000/$C$3)</f>
        <v>#DIV/0!</v>
      </c>
      <c r="Z161" s="974" t="e">
        <f>IF($F161="","",$F161*chronic_consumption!U161/1000/$C$3)</f>
        <v>#DIV/0!</v>
      </c>
      <c r="AA161" s="974" t="e">
        <f>IF($F161="","",$F161*chronic_consumption!V161/1000/$C$3)</f>
        <v>#DIV/0!</v>
      </c>
      <c r="AB161" s="974" t="e">
        <f>IF($F161="","",$F161*chronic_consumption!W161/1000/$C$3)</f>
        <v>#DIV/0!</v>
      </c>
      <c r="AC161" s="974" t="e">
        <f>IF($F161="","",$F161*chronic_consumption!X161/1000/$C$3)</f>
        <v>#DIV/0!</v>
      </c>
      <c r="AD161" s="974" t="e">
        <f>IF($F161="","",$F161*chronic_consumption!Y161/1000/$C$3)</f>
        <v>#DIV/0!</v>
      </c>
      <c r="AE161" s="974" t="e">
        <f>IF($F161="","",$F161*chronic_consumption!Z161/1000/$C$3)</f>
        <v>#DIV/0!</v>
      </c>
      <c r="AF161" s="974" t="e">
        <f>IF($F161="","",$F161*chronic_consumption!AA161/1000/$C$3)</f>
        <v>#DIV/0!</v>
      </c>
      <c r="AG161" s="974" t="e">
        <f>IF($F161="","",$F161*chronic_consumption!AB161/1000/$C$3)</f>
        <v>#DIV/0!</v>
      </c>
      <c r="AH161" s="974" t="e">
        <f>IF($F161="","",$F161*chronic_consumption!AC161/1000/$C$3)</f>
        <v>#DIV/0!</v>
      </c>
      <c r="AI161" s="974" t="e">
        <f>IF($F161="","",$F161*chronic_consumption!AD161/1000/$C$3)</f>
        <v>#DIV/0!</v>
      </c>
      <c r="AJ161" s="974" t="e">
        <f>IF($F161="","",$F161*chronic_consumption!AE161/1000/$C$3)</f>
        <v>#DIV/0!</v>
      </c>
      <c r="AK161" s="974" t="e">
        <f>IF($F161="","",$F161*chronic_consumption!AF161/1000/$C$3)</f>
        <v>#DIV/0!</v>
      </c>
      <c r="AL161" s="974" t="e">
        <f>IF($F161="","",$F161*chronic_consumption!AG161/1000/$C$3)</f>
        <v>#DIV/0!</v>
      </c>
      <c r="AM161" s="974" t="e">
        <f>IF($F161="","",$F161*chronic_consumption!AH161/1000/$C$3)</f>
        <v>#DIV/0!</v>
      </c>
      <c r="AN161" s="974" t="e">
        <f>IF($F161="","",$F161*chronic_consumption!AI161/1000/$C$3)</f>
        <v>#DIV/0!</v>
      </c>
      <c r="AO161" s="974" t="e">
        <f>IF($F161="","",$F161*chronic_consumption!AJ161/1000/$C$3)</f>
        <v>#DIV/0!</v>
      </c>
      <c r="AP161" s="974" t="e">
        <f>IF($F161="","",$F161*chronic_consumption!AK161/1000/$C$3)</f>
        <v>#DIV/0!</v>
      </c>
      <c r="AQ161" s="974" t="e">
        <f>IF($F161="","",$F161*chronic_consumption!AL161/1000/$C$3)</f>
        <v>#DIV/0!</v>
      </c>
      <c r="AR161" s="974" t="e">
        <f>IF($F161="","",$F161*chronic_consumption!AM161/1000/$C$3)</f>
        <v>#DIV/0!</v>
      </c>
      <c r="AS161" s="974" t="e">
        <f>IF($F161="","",$F161*chronic_consumption!AN161/1000/$C$3)</f>
        <v>#DIV/0!</v>
      </c>
      <c r="AT161" s="974" t="e">
        <f>IF($F161="","",$F161*chronic_consumption!AO161/1000/$C$3)</f>
        <v>#DIV/0!</v>
      </c>
      <c r="AU161" s="974"/>
      <c r="AV161" s="974" t="e">
        <f>IF($F161="","",$F161*chronic_consumption!AQ161/1000/$C$3)</f>
        <v>#DIV/0!</v>
      </c>
      <c r="AW161" s="974" t="e">
        <f>IF($F161="","",$F161*chronic_consumption!AR161/1000/$C$3)</f>
        <v>#DIV/0!</v>
      </c>
      <c r="AX161" s="974" t="e">
        <f>IF($F161="","",$F161*chronic_consumption!AS161/1000/$C$3)</f>
        <v>#DIV/0!</v>
      </c>
      <c r="AY161" s="974" t="e">
        <f>IF($F161="","",$F161*chronic_consumption!AT161/1000/$C$3)</f>
        <v>#DIV/0!</v>
      </c>
      <c r="AZ161" s="973" t="s">
        <v>19</v>
      </c>
      <c r="BA161" s="969" t="e">
        <f t="shared" si="15"/>
        <v>#DIV/0!</v>
      </c>
      <c r="BB161" s="970" t="e">
        <f t="shared" si="16"/>
        <v>#DIV/0!</v>
      </c>
      <c r="BC161" s="971" t="e">
        <f t="shared" ca="1" si="17"/>
        <v>#DIV/0!</v>
      </c>
      <c r="BD161" s="228">
        <f>input_values!Z161</f>
        <v>4</v>
      </c>
      <c r="BE161" s="152">
        <f>input_values!L161</f>
        <v>0</v>
      </c>
      <c r="BF161" s="972" t="str">
        <f t="shared" si="18"/>
        <v/>
      </c>
    </row>
    <row r="162" spans="1:58" ht="12" customHeight="1" outlineLevel="3" x14ac:dyDescent="0.2">
      <c r="A162" s="21">
        <v>4</v>
      </c>
      <c r="B162" s="23">
        <v>251030</v>
      </c>
      <c r="C162" s="23" t="s">
        <v>723</v>
      </c>
      <c r="D162" s="965">
        <f>Table22[[#This Row],[MRL individual commodity]]</f>
        <v>0</v>
      </c>
      <c r="E162" s="300" t="str">
        <f>Table22[[#This Row],[LOQ_label]]</f>
        <v/>
      </c>
      <c r="F162" s="966">
        <f>Table22[[#This Row],[Chronic RA input value]]</f>
        <v>0</v>
      </c>
      <c r="G162" s="304" t="str">
        <f>Table22[[#This Row],[Chronic RA label]]</f>
        <v/>
      </c>
      <c r="H162" s="304">
        <f>Table22[[#This Row],[GAP under assessment]]</f>
        <v>0</v>
      </c>
      <c r="I162" s="1123"/>
      <c r="J162" s="974" t="e">
        <f>IF($F162="","",$F162*chronic_consumption!$E162/1000/$C$3)</f>
        <v>#DIV/0!</v>
      </c>
      <c r="K162" s="974" t="e">
        <f>IF($F162="","",$F162*chronic_consumption!F162/1000/$C$3)</f>
        <v>#DIV/0!</v>
      </c>
      <c r="L162" s="974" t="e">
        <f>IF($F162="","",$F162*chronic_consumption!G162/1000/$C$3)</f>
        <v>#DIV/0!</v>
      </c>
      <c r="M162" s="974" t="e">
        <f>IF($F162="","",$F162*chronic_consumption!H162/1000/$C$3)</f>
        <v>#DIV/0!</v>
      </c>
      <c r="N162" s="974" t="e">
        <f>IF($F162="","",$F162*chronic_consumption!I162/1000/$C$3)</f>
        <v>#DIV/0!</v>
      </c>
      <c r="O162" s="974" t="e">
        <f>IF($F162="","",$F162*chronic_consumption!J162/1000/$C$3)</f>
        <v>#DIV/0!</v>
      </c>
      <c r="P162" s="974" t="e">
        <f>IF($F162="","",$F162*chronic_consumption!K162/1000/$C$3)</f>
        <v>#DIV/0!</v>
      </c>
      <c r="Q162" s="974" t="e">
        <f>IF($F162="","",$F162*chronic_consumption!L162/1000/$C$3)</f>
        <v>#DIV/0!</v>
      </c>
      <c r="R162" s="974" t="e">
        <f>IF($F162="","",$F162*chronic_consumption!M162/1000/$C$3)</f>
        <v>#DIV/0!</v>
      </c>
      <c r="S162" s="974" t="e">
        <f>IF($F162="","",$F162*chronic_consumption!N162/1000/$C$3)</f>
        <v>#DIV/0!</v>
      </c>
      <c r="T162" s="974" t="e">
        <f>IF($F162="","",$F162*chronic_consumption!O162/1000/$C$3)</f>
        <v>#DIV/0!</v>
      </c>
      <c r="U162" s="974" t="e">
        <f>IF($F162="","",$F162*chronic_consumption!P162/1000/$C$3)</f>
        <v>#DIV/0!</v>
      </c>
      <c r="V162" s="974" t="e">
        <f>IF($F162="","",$F162*chronic_consumption!Q162/1000/$C$3)</f>
        <v>#DIV/0!</v>
      </c>
      <c r="W162" s="974" t="e">
        <f>IF($F162="","",$F162*chronic_consumption!R162/1000/$C$3)</f>
        <v>#DIV/0!</v>
      </c>
      <c r="X162" s="974" t="e">
        <f>IF($F162="","",$F162*chronic_consumption!S162/1000/$C$3)</f>
        <v>#DIV/0!</v>
      </c>
      <c r="Y162" s="974" t="e">
        <f>IF($F162="","",$F162*chronic_consumption!T162/1000/$C$3)</f>
        <v>#DIV/0!</v>
      </c>
      <c r="Z162" s="974" t="e">
        <f>IF($F162="","",$F162*chronic_consumption!U162/1000/$C$3)</f>
        <v>#DIV/0!</v>
      </c>
      <c r="AA162" s="974" t="e">
        <f>IF($F162="","",$F162*chronic_consumption!V162/1000/$C$3)</f>
        <v>#DIV/0!</v>
      </c>
      <c r="AB162" s="974" t="e">
        <f>IF($F162="","",$F162*chronic_consumption!W162/1000/$C$3)</f>
        <v>#DIV/0!</v>
      </c>
      <c r="AC162" s="974" t="e">
        <f>IF($F162="","",$F162*chronic_consumption!X162/1000/$C$3)</f>
        <v>#DIV/0!</v>
      </c>
      <c r="AD162" s="974" t="e">
        <f>IF($F162="","",$F162*chronic_consumption!Y162/1000/$C$3)</f>
        <v>#DIV/0!</v>
      </c>
      <c r="AE162" s="974" t="e">
        <f>IF($F162="","",$F162*chronic_consumption!Z162/1000/$C$3)</f>
        <v>#DIV/0!</v>
      </c>
      <c r="AF162" s="974" t="e">
        <f>IF($F162="","",$F162*chronic_consumption!AA162/1000/$C$3)</f>
        <v>#DIV/0!</v>
      </c>
      <c r="AG162" s="974" t="e">
        <f>IF($F162="","",$F162*chronic_consumption!AB162/1000/$C$3)</f>
        <v>#DIV/0!</v>
      </c>
      <c r="AH162" s="974" t="e">
        <f>IF($F162="","",$F162*chronic_consumption!AC162/1000/$C$3)</f>
        <v>#DIV/0!</v>
      </c>
      <c r="AI162" s="974" t="e">
        <f>IF($F162="","",$F162*chronic_consumption!AD162/1000/$C$3)</f>
        <v>#DIV/0!</v>
      </c>
      <c r="AJ162" s="974" t="e">
        <f>IF($F162="","",$F162*chronic_consumption!AE162/1000/$C$3)</f>
        <v>#DIV/0!</v>
      </c>
      <c r="AK162" s="974" t="e">
        <f>IF($F162="","",$F162*chronic_consumption!AF162/1000/$C$3)</f>
        <v>#DIV/0!</v>
      </c>
      <c r="AL162" s="974" t="e">
        <f>IF($F162="","",$F162*chronic_consumption!AG162/1000/$C$3)</f>
        <v>#DIV/0!</v>
      </c>
      <c r="AM162" s="974" t="e">
        <f>IF($F162="","",$F162*chronic_consumption!AH162/1000/$C$3)</f>
        <v>#DIV/0!</v>
      </c>
      <c r="AN162" s="974" t="e">
        <f>IF($F162="","",$F162*chronic_consumption!AI162/1000/$C$3)</f>
        <v>#DIV/0!</v>
      </c>
      <c r="AO162" s="974" t="e">
        <f>IF($F162="","",$F162*chronic_consumption!AJ162/1000/$C$3)</f>
        <v>#DIV/0!</v>
      </c>
      <c r="AP162" s="974" t="e">
        <f>IF($F162="","",$F162*chronic_consumption!AK162/1000/$C$3)</f>
        <v>#DIV/0!</v>
      </c>
      <c r="AQ162" s="974" t="e">
        <f>IF($F162="","",$F162*chronic_consumption!AL162/1000/$C$3)</f>
        <v>#DIV/0!</v>
      </c>
      <c r="AR162" s="974" t="e">
        <f>IF($F162="","",$F162*chronic_consumption!AM162/1000/$C$3)</f>
        <v>#DIV/0!</v>
      </c>
      <c r="AS162" s="974" t="e">
        <f>IF($F162="","",$F162*chronic_consumption!AN162/1000/$C$3)</f>
        <v>#DIV/0!</v>
      </c>
      <c r="AT162" s="974" t="e">
        <f>IF($F162="","",$F162*chronic_consumption!AO162/1000/$C$3)</f>
        <v>#DIV/0!</v>
      </c>
      <c r="AU162" s="974"/>
      <c r="AV162" s="974" t="e">
        <f>IF($F162="","",$F162*chronic_consumption!AQ162/1000/$C$3)</f>
        <v>#DIV/0!</v>
      </c>
      <c r="AW162" s="974" t="e">
        <f>IF($F162="","",$F162*chronic_consumption!AR162/1000/$C$3)</f>
        <v>#DIV/0!</v>
      </c>
      <c r="AX162" s="974" t="e">
        <f>IF($F162="","",$F162*chronic_consumption!AS162/1000/$C$3)</f>
        <v>#DIV/0!</v>
      </c>
      <c r="AY162" s="974" t="e">
        <f>IF($F162="","",$F162*chronic_consumption!AT162/1000/$C$3)</f>
        <v>#DIV/0!</v>
      </c>
      <c r="AZ162" s="973" t="s">
        <v>19</v>
      </c>
      <c r="BA162" s="969" t="e">
        <f t="shared" si="15"/>
        <v>#DIV/0!</v>
      </c>
      <c r="BB162" s="970" t="e">
        <f t="shared" si="16"/>
        <v>#DIV/0!</v>
      </c>
      <c r="BC162" s="971" t="e">
        <f t="shared" ca="1" si="17"/>
        <v>#DIV/0!</v>
      </c>
      <c r="BD162" s="228">
        <f>input_values!Z162</f>
        <v>4</v>
      </c>
      <c r="BE162" s="152">
        <f>input_values!L162</f>
        <v>0</v>
      </c>
      <c r="BF162" s="972" t="str">
        <f t="shared" si="18"/>
        <v/>
      </c>
    </row>
    <row r="163" spans="1:58" ht="12" customHeight="1" outlineLevel="3" x14ac:dyDescent="0.2">
      <c r="A163" s="21">
        <v>4</v>
      </c>
      <c r="B163" s="26">
        <v>251040</v>
      </c>
      <c r="C163" s="23" t="s">
        <v>724</v>
      </c>
      <c r="D163" s="965">
        <f>Table22[[#This Row],[MRL individual commodity]]</f>
        <v>0</v>
      </c>
      <c r="E163" s="300" t="str">
        <f>Table22[[#This Row],[LOQ_label]]</f>
        <v/>
      </c>
      <c r="F163" s="966">
        <f>Table22[[#This Row],[Chronic RA input value]]</f>
        <v>0</v>
      </c>
      <c r="G163" s="304" t="str">
        <f>Table22[[#This Row],[Chronic RA label]]</f>
        <v/>
      </c>
      <c r="H163" s="304">
        <f>Table22[[#This Row],[GAP under assessment]]</f>
        <v>0</v>
      </c>
      <c r="I163" s="1123"/>
      <c r="J163" s="974" t="e">
        <f>IF($F163="","",$F163*chronic_consumption!$E163/1000/$C$3)</f>
        <v>#DIV/0!</v>
      </c>
      <c r="K163" s="974" t="e">
        <f>IF($F163="","",$F163*chronic_consumption!F163/1000/$C$3)</f>
        <v>#DIV/0!</v>
      </c>
      <c r="L163" s="974" t="e">
        <f>IF($F163="","",$F163*chronic_consumption!G163/1000/$C$3)</f>
        <v>#DIV/0!</v>
      </c>
      <c r="M163" s="974" t="e">
        <f>IF($F163="","",$F163*chronic_consumption!H163/1000/$C$3)</f>
        <v>#DIV/0!</v>
      </c>
      <c r="N163" s="974" t="e">
        <f>IF($F163="","",$F163*chronic_consumption!I163/1000/$C$3)</f>
        <v>#DIV/0!</v>
      </c>
      <c r="O163" s="974" t="e">
        <f>IF($F163="","",$F163*chronic_consumption!J163/1000/$C$3)</f>
        <v>#DIV/0!</v>
      </c>
      <c r="P163" s="974" t="e">
        <f>IF($F163="","",$F163*chronic_consumption!K163/1000/$C$3)</f>
        <v>#DIV/0!</v>
      </c>
      <c r="Q163" s="974" t="e">
        <f>IF($F163="","",$F163*chronic_consumption!L163/1000/$C$3)</f>
        <v>#DIV/0!</v>
      </c>
      <c r="R163" s="974" t="e">
        <f>IF($F163="","",$F163*chronic_consumption!M163/1000/$C$3)</f>
        <v>#DIV/0!</v>
      </c>
      <c r="S163" s="974" t="e">
        <f>IF($F163="","",$F163*chronic_consumption!N163/1000/$C$3)</f>
        <v>#DIV/0!</v>
      </c>
      <c r="T163" s="974" t="e">
        <f>IF($F163="","",$F163*chronic_consumption!O163/1000/$C$3)</f>
        <v>#DIV/0!</v>
      </c>
      <c r="U163" s="974" t="e">
        <f>IF($F163="","",$F163*chronic_consumption!P163/1000/$C$3)</f>
        <v>#DIV/0!</v>
      </c>
      <c r="V163" s="974" t="e">
        <f>IF($F163="","",$F163*chronic_consumption!Q163/1000/$C$3)</f>
        <v>#DIV/0!</v>
      </c>
      <c r="W163" s="974" t="e">
        <f>IF($F163="","",$F163*chronic_consumption!R163/1000/$C$3)</f>
        <v>#DIV/0!</v>
      </c>
      <c r="X163" s="974" t="e">
        <f>IF($F163="","",$F163*chronic_consumption!S163/1000/$C$3)</f>
        <v>#DIV/0!</v>
      </c>
      <c r="Y163" s="974" t="e">
        <f>IF($F163="","",$F163*chronic_consumption!T163/1000/$C$3)</f>
        <v>#DIV/0!</v>
      </c>
      <c r="Z163" s="974" t="e">
        <f>IF($F163="","",$F163*chronic_consumption!U163/1000/$C$3)</f>
        <v>#DIV/0!</v>
      </c>
      <c r="AA163" s="974" t="e">
        <f>IF($F163="","",$F163*chronic_consumption!V163/1000/$C$3)</f>
        <v>#DIV/0!</v>
      </c>
      <c r="AB163" s="974" t="e">
        <f>IF($F163="","",$F163*chronic_consumption!W163/1000/$C$3)</f>
        <v>#DIV/0!</v>
      </c>
      <c r="AC163" s="974" t="e">
        <f>IF($F163="","",$F163*chronic_consumption!X163/1000/$C$3)</f>
        <v>#DIV/0!</v>
      </c>
      <c r="AD163" s="974" t="e">
        <f>IF($F163="","",$F163*chronic_consumption!Y163/1000/$C$3)</f>
        <v>#DIV/0!</v>
      </c>
      <c r="AE163" s="974" t="e">
        <f>IF($F163="","",$F163*chronic_consumption!Z163/1000/$C$3)</f>
        <v>#DIV/0!</v>
      </c>
      <c r="AF163" s="974" t="e">
        <f>IF($F163="","",$F163*chronic_consumption!AA163/1000/$C$3)</f>
        <v>#DIV/0!</v>
      </c>
      <c r="AG163" s="974" t="e">
        <f>IF($F163="","",$F163*chronic_consumption!AB163/1000/$C$3)</f>
        <v>#DIV/0!</v>
      </c>
      <c r="AH163" s="974" t="e">
        <f>IF($F163="","",$F163*chronic_consumption!AC163/1000/$C$3)</f>
        <v>#DIV/0!</v>
      </c>
      <c r="AI163" s="974" t="e">
        <f>IF($F163="","",$F163*chronic_consumption!AD163/1000/$C$3)</f>
        <v>#DIV/0!</v>
      </c>
      <c r="AJ163" s="974" t="e">
        <f>IF($F163="","",$F163*chronic_consumption!AE163/1000/$C$3)</f>
        <v>#DIV/0!</v>
      </c>
      <c r="AK163" s="974" t="e">
        <f>IF($F163="","",$F163*chronic_consumption!AF163/1000/$C$3)</f>
        <v>#DIV/0!</v>
      </c>
      <c r="AL163" s="974" t="e">
        <f>IF($F163="","",$F163*chronic_consumption!AG163/1000/$C$3)</f>
        <v>#DIV/0!</v>
      </c>
      <c r="AM163" s="974" t="e">
        <f>IF($F163="","",$F163*chronic_consumption!AH163/1000/$C$3)</f>
        <v>#DIV/0!</v>
      </c>
      <c r="AN163" s="974" t="e">
        <f>IF($F163="","",$F163*chronic_consumption!AI163/1000/$C$3)</f>
        <v>#DIV/0!</v>
      </c>
      <c r="AO163" s="974" t="e">
        <f>IF($F163="","",$F163*chronic_consumption!AJ163/1000/$C$3)</f>
        <v>#DIV/0!</v>
      </c>
      <c r="AP163" s="974" t="e">
        <f>IF($F163="","",$F163*chronic_consumption!AK163/1000/$C$3)</f>
        <v>#DIV/0!</v>
      </c>
      <c r="AQ163" s="974" t="e">
        <f>IF($F163="","",$F163*chronic_consumption!AL163/1000/$C$3)</f>
        <v>#DIV/0!</v>
      </c>
      <c r="AR163" s="974" t="e">
        <f>IF($F163="","",$F163*chronic_consumption!AM163/1000/$C$3)</f>
        <v>#DIV/0!</v>
      </c>
      <c r="AS163" s="974" t="e">
        <f>IF($F163="","",$F163*chronic_consumption!AN163/1000/$C$3)</f>
        <v>#DIV/0!</v>
      </c>
      <c r="AT163" s="974" t="e">
        <f>IF($F163="","",$F163*chronic_consumption!AO163/1000/$C$3)</f>
        <v>#DIV/0!</v>
      </c>
      <c r="AU163" s="974"/>
      <c r="AV163" s="974" t="e">
        <f>IF($F163="","",$F163*chronic_consumption!AQ163/1000/$C$3)</f>
        <v>#DIV/0!</v>
      </c>
      <c r="AW163" s="974" t="e">
        <f>IF($F163="","",$F163*chronic_consumption!AR163/1000/$C$3)</f>
        <v>#DIV/0!</v>
      </c>
      <c r="AX163" s="974" t="e">
        <f>IF($F163="","",$F163*chronic_consumption!AS163/1000/$C$3)</f>
        <v>#DIV/0!</v>
      </c>
      <c r="AY163" s="974" t="e">
        <f>IF($F163="","",$F163*chronic_consumption!AT163/1000/$C$3)</f>
        <v>#DIV/0!</v>
      </c>
      <c r="AZ163" s="973" t="s">
        <v>19</v>
      </c>
      <c r="BA163" s="969" t="e">
        <f t="shared" si="15"/>
        <v>#DIV/0!</v>
      </c>
      <c r="BB163" s="970" t="e">
        <f t="shared" si="16"/>
        <v>#DIV/0!</v>
      </c>
      <c r="BC163" s="971" t="e">
        <f t="shared" ca="1" si="17"/>
        <v>#DIV/0!</v>
      </c>
      <c r="BD163" s="228">
        <f>input_values!Z163</f>
        <v>4</v>
      </c>
      <c r="BE163" s="152">
        <f>input_values!L163</f>
        <v>0</v>
      </c>
      <c r="BF163" s="972" t="str">
        <f t="shared" si="18"/>
        <v/>
      </c>
    </row>
    <row r="164" spans="1:58" ht="12" customHeight="1" outlineLevel="3" x14ac:dyDescent="0.2">
      <c r="A164" s="21">
        <v>4</v>
      </c>
      <c r="B164" s="26">
        <v>251050</v>
      </c>
      <c r="C164" s="23" t="s">
        <v>127</v>
      </c>
      <c r="D164" s="965">
        <f>Table22[[#This Row],[MRL individual commodity]]</f>
        <v>0</v>
      </c>
      <c r="E164" s="300" t="str">
        <f>Table22[[#This Row],[LOQ_label]]</f>
        <v/>
      </c>
      <c r="F164" s="966">
        <f>Table22[[#This Row],[Chronic RA input value]]</f>
        <v>0</v>
      </c>
      <c r="G164" s="304" t="str">
        <f>Table22[[#This Row],[Chronic RA label]]</f>
        <v/>
      </c>
      <c r="H164" s="304">
        <f>Table22[[#This Row],[GAP under assessment]]</f>
        <v>0</v>
      </c>
      <c r="I164" s="1123"/>
      <c r="J164" s="974" t="e">
        <f>IF($F164="","",$F164*chronic_consumption!$E164/1000/$C$3)</f>
        <v>#DIV/0!</v>
      </c>
      <c r="K164" s="974" t="e">
        <f>IF($F164="","",$F164*chronic_consumption!F164/1000/$C$3)</f>
        <v>#DIV/0!</v>
      </c>
      <c r="L164" s="974" t="e">
        <f>IF($F164="","",$F164*chronic_consumption!G164/1000/$C$3)</f>
        <v>#DIV/0!</v>
      </c>
      <c r="M164" s="974" t="e">
        <f>IF($F164="","",$F164*chronic_consumption!H164/1000/$C$3)</f>
        <v>#DIV/0!</v>
      </c>
      <c r="N164" s="974" t="e">
        <f>IF($F164="","",$F164*chronic_consumption!I164/1000/$C$3)</f>
        <v>#DIV/0!</v>
      </c>
      <c r="O164" s="974" t="e">
        <f>IF($F164="","",$F164*chronic_consumption!J164/1000/$C$3)</f>
        <v>#DIV/0!</v>
      </c>
      <c r="P164" s="974" t="e">
        <f>IF($F164="","",$F164*chronic_consumption!K164/1000/$C$3)</f>
        <v>#DIV/0!</v>
      </c>
      <c r="Q164" s="974" t="e">
        <f>IF($F164="","",$F164*chronic_consumption!L164/1000/$C$3)</f>
        <v>#DIV/0!</v>
      </c>
      <c r="R164" s="974" t="e">
        <f>IF($F164="","",$F164*chronic_consumption!M164/1000/$C$3)</f>
        <v>#DIV/0!</v>
      </c>
      <c r="S164" s="974" t="e">
        <f>IF($F164="","",$F164*chronic_consumption!N164/1000/$C$3)</f>
        <v>#DIV/0!</v>
      </c>
      <c r="T164" s="974" t="e">
        <f>IF($F164="","",$F164*chronic_consumption!O164/1000/$C$3)</f>
        <v>#DIV/0!</v>
      </c>
      <c r="U164" s="974" t="e">
        <f>IF($F164="","",$F164*chronic_consumption!P164/1000/$C$3)</f>
        <v>#DIV/0!</v>
      </c>
      <c r="V164" s="974" t="e">
        <f>IF($F164="","",$F164*chronic_consumption!Q164/1000/$C$3)</f>
        <v>#DIV/0!</v>
      </c>
      <c r="W164" s="974" t="e">
        <f>IF($F164="","",$F164*chronic_consumption!R164/1000/$C$3)</f>
        <v>#DIV/0!</v>
      </c>
      <c r="X164" s="974" t="e">
        <f>IF($F164="","",$F164*chronic_consumption!S164/1000/$C$3)</f>
        <v>#DIV/0!</v>
      </c>
      <c r="Y164" s="974" t="e">
        <f>IF($F164="","",$F164*chronic_consumption!T164/1000/$C$3)</f>
        <v>#DIV/0!</v>
      </c>
      <c r="Z164" s="974" t="e">
        <f>IF($F164="","",$F164*chronic_consumption!U164/1000/$C$3)</f>
        <v>#DIV/0!</v>
      </c>
      <c r="AA164" s="974" t="e">
        <f>IF($F164="","",$F164*chronic_consumption!V164/1000/$C$3)</f>
        <v>#DIV/0!</v>
      </c>
      <c r="AB164" s="974" t="e">
        <f>IF($F164="","",$F164*chronic_consumption!W164/1000/$C$3)</f>
        <v>#DIV/0!</v>
      </c>
      <c r="AC164" s="974" t="e">
        <f>IF($F164="","",$F164*chronic_consumption!X164/1000/$C$3)</f>
        <v>#DIV/0!</v>
      </c>
      <c r="AD164" s="974" t="e">
        <f>IF($F164="","",$F164*chronic_consumption!Y164/1000/$C$3)</f>
        <v>#DIV/0!</v>
      </c>
      <c r="AE164" s="974" t="e">
        <f>IF($F164="","",$F164*chronic_consumption!Z164/1000/$C$3)</f>
        <v>#DIV/0!</v>
      </c>
      <c r="AF164" s="974" t="e">
        <f>IF($F164="","",$F164*chronic_consumption!AA164/1000/$C$3)</f>
        <v>#DIV/0!</v>
      </c>
      <c r="AG164" s="974" t="e">
        <f>IF($F164="","",$F164*chronic_consumption!AB164/1000/$C$3)</f>
        <v>#DIV/0!</v>
      </c>
      <c r="AH164" s="974" t="e">
        <f>IF($F164="","",$F164*chronic_consumption!AC164/1000/$C$3)</f>
        <v>#DIV/0!</v>
      </c>
      <c r="AI164" s="974" t="e">
        <f>IF($F164="","",$F164*chronic_consumption!AD164/1000/$C$3)</f>
        <v>#DIV/0!</v>
      </c>
      <c r="AJ164" s="974" t="e">
        <f>IF($F164="","",$F164*chronic_consumption!AE164/1000/$C$3)</f>
        <v>#DIV/0!</v>
      </c>
      <c r="AK164" s="974" t="e">
        <f>IF($F164="","",$F164*chronic_consumption!AF164/1000/$C$3)</f>
        <v>#DIV/0!</v>
      </c>
      <c r="AL164" s="974" t="e">
        <f>IF($F164="","",$F164*chronic_consumption!AG164/1000/$C$3)</f>
        <v>#DIV/0!</v>
      </c>
      <c r="AM164" s="974" t="e">
        <f>IF($F164="","",$F164*chronic_consumption!AH164/1000/$C$3)</f>
        <v>#DIV/0!</v>
      </c>
      <c r="AN164" s="974" t="e">
        <f>IF($F164="","",$F164*chronic_consumption!AI164/1000/$C$3)</f>
        <v>#DIV/0!</v>
      </c>
      <c r="AO164" s="974" t="e">
        <f>IF($F164="","",$F164*chronic_consumption!AJ164/1000/$C$3)</f>
        <v>#DIV/0!</v>
      </c>
      <c r="AP164" s="974" t="e">
        <f>IF($F164="","",$F164*chronic_consumption!AK164/1000/$C$3)</f>
        <v>#DIV/0!</v>
      </c>
      <c r="AQ164" s="974" t="e">
        <f>IF($F164="","",$F164*chronic_consumption!AL164/1000/$C$3)</f>
        <v>#DIV/0!</v>
      </c>
      <c r="AR164" s="974" t="e">
        <f>IF($F164="","",$F164*chronic_consumption!AM164/1000/$C$3)</f>
        <v>#DIV/0!</v>
      </c>
      <c r="AS164" s="974" t="e">
        <f>IF($F164="","",$F164*chronic_consumption!AN164/1000/$C$3)</f>
        <v>#DIV/0!</v>
      </c>
      <c r="AT164" s="974" t="e">
        <f>IF($F164="","",$F164*chronic_consumption!AO164/1000/$C$3)</f>
        <v>#DIV/0!</v>
      </c>
      <c r="AU164" s="974"/>
      <c r="AV164" s="974" t="e">
        <f>IF($F164="","",$F164*chronic_consumption!AQ164/1000/$C$3)</f>
        <v>#DIV/0!</v>
      </c>
      <c r="AW164" s="974" t="e">
        <f>IF($F164="","",$F164*chronic_consumption!AR164/1000/$C$3)</f>
        <v>#DIV/0!</v>
      </c>
      <c r="AX164" s="974" t="e">
        <f>IF($F164="","",$F164*chronic_consumption!AS164/1000/$C$3)</f>
        <v>#DIV/0!</v>
      </c>
      <c r="AY164" s="974" t="e">
        <f>IF($F164="","",$F164*chronic_consumption!AT164/1000/$C$3)</f>
        <v>#DIV/0!</v>
      </c>
      <c r="AZ164" s="973" t="s">
        <v>19</v>
      </c>
      <c r="BA164" s="969" t="e">
        <f t="shared" si="15"/>
        <v>#DIV/0!</v>
      </c>
      <c r="BB164" s="970" t="e">
        <f t="shared" si="16"/>
        <v>#DIV/0!</v>
      </c>
      <c r="BC164" s="971" t="e">
        <f t="shared" ca="1" si="17"/>
        <v>#DIV/0!</v>
      </c>
      <c r="BD164" s="228">
        <f>input_values!Z164</f>
        <v>4</v>
      </c>
      <c r="BE164" s="152">
        <f>input_values!L164</f>
        <v>0</v>
      </c>
      <c r="BF164" s="972" t="str">
        <f t="shared" si="18"/>
        <v/>
      </c>
    </row>
    <row r="165" spans="1:58" ht="12" customHeight="1" outlineLevel="3" x14ac:dyDescent="0.2">
      <c r="A165" s="21">
        <v>4</v>
      </c>
      <c r="B165" s="26">
        <v>251060</v>
      </c>
      <c r="C165" s="23" t="s">
        <v>725</v>
      </c>
      <c r="D165" s="965">
        <f>Table22[[#This Row],[MRL individual commodity]]</f>
        <v>0</v>
      </c>
      <c r="E165" s="300" t="str">
        <f>Table22[[#This Row],[LOQ_label]]</f>
        <v/>
      </c>
      <c r="F165" s="966">
        <f>Table22[[#This Row],[Chronic RA input value]]</f>
        <v>0</v>
      </c>
      <c r="G165" s="304" t="str">
        <f>Table22[[#This Row],[Chronic RA label]]</f>
        <v/>
      </c>
      <c r="H165" s="304">
        <f>Table22[[#This Row],[GAP under assessment]]</f>
        <v>0</v>
      </c>
      <c r="I165" s="1123"/>
      <c r="J165" s="974" t="e">
        <f>IF($F165="","",$F165*chronic_consumption!$E165/1000/$C$3)</f>
        <v>#DIV/0!</v>
      </c>
      <c r="K165" s="974" t="e">
        <f>IF($F165="","",$F165*chronic_consumption!F165/1000/$C$3)</f>
        <v>#DIV/0!</v>
      </c>
      <c r="L165" s="974" t="e">
        <f>IF($F165="","",$F165*chronic_consumption!G165/1000/$C$3)</f>
        <v>#DIV/0!</v>
      </c>
      <c r="M165" s="974" t="e">
        <f>IF($F165="","",$F165*chronic_consumption!H165/1000/$C$3)</f>
        <v>#DIV/0!</v>
      </c>
      <c r="N165" s="974" t="e">
        <f>IF($F165="","",$F165*chronic_consumption!I165/1000/$C$3)</f>
        <v>#DIV/0!</v>
      </c>
      <c r="O165" s="974" t="e">
        <f>IF($F165="","",$F165*chronic_consumption!J165/1000/$C$3)</f>
        <v>#DIV/0!</v>
      </c>
      <c r="P165" s="974" t="e">
        <f>IF($F165="","",$F165*chronic_consumption!K165/1000/$C$3)</f>
        <v>#DIV/0!</v>
      </c>
      <c r="Q165" s="974" t="e">
        <f>IF($F165="","",$F165*chronic_consumption!L165/1000/$C$3)</f>
        <v>#DIV/0!</v>
      </c>
      <c r="R165" s="974" t="e">
        <f>IF($F165="","",$F165*chronic_consumption!M165/1000/$C$3)</f>
        <v>#DIV/0!</v>
      </c>
      <c r="S165" s="974" t="e">
        <f>IF($F165="","",$F165*chronic_consumption!N165/1000/$C$3)</f>
        <v>#DIV/0!</v>
      </c>
      <c r="T165" s="974" t="e">
        <f>IF($F165="","",$F165*chronic_consumption!O165/1000/$C$3)</f>
        <v>#DIV/0!</v>
      </c>
      <c r="U165" s="974" t="e">
        <f>IF($F165="","",$F165*chronic_consumption!P165/1000/$C$3)</f>
        <v>#DIV/0!</v>
      </c>
      <c r="V165" s="974" t="e">
        <f>IF($F165="","",$F165*chronic_consumption!Q165/1000/$C$3)</f>
        <v>#DIV/0!</v>
      </c>
      <c r="W165" s="974" t="e">
        <f>IF($F165="","",$F165*chronic_consumption!R165/1000/$C$3)</f>
        <v>#DIV/0!</v>
      </c>
      <c r="X165" s="974" t="e">
        <f>IF($F165="","",$F165*chronic_consumption!S165/1000/$C$3)</f>
        <v>#DIV/0!</v>
      </c>
      <c r="Y165" s="974" t="e">
        <f>IF($F165="","",$F165*chronic_consumption!T165/1000/$C$3)</f>
        <v>#DIV/0!</v>
      </c>
      <c r="Z165" s="974" t="e">
        <f>IF($F165="","",$F165*chronic_consumption!U165/1000/$C$3)</f>
        <v>#DIV/0!</v>
      </c>
      <c r="AA165" s="974" t="e">
        <f>IF($F165="","",$F165*chronic_consumption!V165/1000/$C$3)</f>
        <v>#DIV/0!</v>
      </c>
      <c r="AB165" s="974" t="e">
        <f>IF($F165="","",$F165*chronic_consumption!W165/1000/$C$3)</f>
        <v>#DIV/0!</v>
      </c>
      <c r="AC165" s="974" t="e">
        <f>IF($F165="","",$F165*chronic_consumption!X165/1000/$C$3)</f>
        <v>#DIV/0!</v>
      </c>
      <c r="AD165" s="974" t="e">
        <f>IF($F165="","",$F165*chronic_consumption!Y165/1000/$C$3)</f>
        <v>#DIV/0!</v>
      </c>
      <c r="AE165" s="974" t="e">
        <f>IF($F165="","",$F165*chronic_consumption!Z165/1000/$C$3)</f>
        <v>#DIV/0!</v>
      </c>
      <c r="AF165" s="974" t="e">
        <f>IF($F165="","",$F165*chronic_consumption!AA165/1000/$C$3)</f>
        <v>#DIV/0!</v>
      </c>
      <c r="AG165" s="974" t="e">
        <f>IF($F165="","",$F165*chronic_consumption!AB165/1000/$C$3)</f>
        <v>#DIV/0!</v>
      </c>
      <c r="AH165" s="974" t="e">
        <f>IF($F165="","",$F165*chronic_consumption!AC165/1000/$C$3)</f>
        <v>#DIV/0!</v>
      </c>
      <c r="AI165" s="974" t="e">
        <f>IF($F165="","",$F165*chronic_consumption!AD165/1000/$C$3)</f>
        <v>#DIV/0!</v>
      </c>
      <c r="AJ165" s="974" t="e">
        <f>IF($F165="","",$F165*chronic_consumption!AE165/1000/$C$3)</f>
        <v>#DIV/0!</v>
      </c>
      <c r="AK165" s="974" t="e">
        <f>IF($F165="","",$F165*chronic_consumption!AF165/1000/$C$3)</f>
        <v>#DIV/0!</v>
      </c>
      <c r="AL165" s="974" t="e">
        <f>IF($F165="","",$F165*chronic_consumption!AG165/1000/$C$3)</f>
        <v>#DIV/0!</v>
      </c>
      <c r="AM165" s="974" t="e">
        <f>IF($F165="","",$F165*chronic_consumption!AH165/1000/$C$3)</f>
        <v>#DIV/0!</v>
      </c>
      <c r="AN165" s="974" t="e">
        <f>IF($F165="","",$F165*chronic_consumption!AI165/1000/$C$3)</f>
        <v>#DIV/0!</v>
      </c>
      <c r="AO165" s="974" t="e">
        <f>IF($F165="","",$F165*chronic_consumption!AJ165/1000/$C$3)</f>
        <v>#DIV/0!</v>
      </c>
      <c r="AP165" s="974" t="e">
        <f>IF($F165="","",$F165*chronic_consumption!AK165/1000/$C$3)</f>
        <v>#DIV/0!</v>
      </c>
      <c r="AQ165" s="974" t="e">
        <f>IF($F165="","",$F165*chronic_consumption!AL165/1000/$C$3)</f>
        <v>#DIV/0!</v>
      </c>
      <c r="AR165" s="974" t="e">
        <f>IF($F165="","",$F165*chronic_consumption!AM165/1000/$C$3)</f>
        <v>#DIV/0!</v>
      </c>
      <c r="AS165" s="974" t="e">
        <f>IF($F165="","",$F165*chronic_consumption!AN165/1000/$C$3)</f>
        <v>#DIV/0!</v>
      </c>
      <c r="AT165" s="974" t="e">
        <f>IF($F165="","",$F165*chronic_consumption!AO165/1000/$C$3)</f>
        <v>#DIV/0!</v>
      </c>
      <c r="AU165" s="974"/>
      <c r="AV165" s="974" t="e">
        <f>IF($F165="","",$F165*chronic_consumption!AQ165/1000/$C$3)</f>
        <v>#DIV/0!</v>
      </c>
      <c r="AW165" s="974" t="e">
        <f>IF($F165="","",$F165*chronic_consumption!AR165/1000/$C$3)</f>
        <v>#DIV/0!</v>
      </c>
      <c r="AX165" s="974" t="e">
        <f>IF($F165="","",$F165*chronic_consumption!AS165/1000/$C$3)</f>
        <v>#DIV/0!</v>
      </c>
      <c r="AY165" s="974" t="e">
        <f>IF($F165="","",$F165*chronic_consumption!AT165/1000/$C$3)</f>
        <v>#DIV/0!</v>
      </c>
      <c r="AZ165" s="973" t="s">
        <v>19</v>
      </c>
      <c r="BA165" s="969" t="e">
        <f t="shared" si="15"/>
        <v>#DIV/0!</v>
      </c>
      <c r="BB165" s="970" t="e">
        <f t="shared" si="16"/>
        <v>#DIV/0!</v>
      </c>
      <c r="BC165" s="971" t="e">
        <f t="shared" ca="1" si="17"/>
        <v>#DIV/0!</v>
      </c>
      <c r="BD165" s="228">
        <f>input_values!Z165</f>
        <v>4</v>
      </c>
      <c r="BE165" s="152">
        <f>input_values!L165</f>
        <v>0</v>
      </c>
      <c r="BF165" s="972" t="str">
        <f t="shared" si="18"/>
        <v/>
      </c>
    </row>
    <row r="166" spans="1:58" ht="12" customHeight="1" outlineLevel="3" x14ac:dyDescent="0.2">
      <c r="A166" s="21">
        <v>4</v>
      </c>
      <c r="B166" s="26">
        <v>251070</v>
      </c>
      <c r="C166" s="23" t="s">
        <v>726</v>
      </c>
      <c r="D166" s="965">
        <f>Table22[[#This Row],[MRL individual commodity]]</f>
        <v>0</v>
      </c>
      <c r="E166" s="300" t="str">
        <f>Table22[[#This Row],[LOQ_label]]</f>
        <v/>
      </c>
      <c r="F166" s="966">
        <f>Table22[[#This Row],[Chronic RA input value]]</f>
        <v>0</v>
      </c>
      <c r="G166" s="304" t="str">
        <f>Table22[[#This Row],[Chronic RA label]]</f>
        <v/>
      </c>
      <c r="H166" s="304">
        <f>Table22[[#This Row],[GAP under assessment]]</f>
        <v>0</v>
      </c>
      <c r="I166" s="1123"/>
      <c r="J166" s="974" t="e">
        <f>IF($F166="","",$F166*chronic_consumption!$E166/1000/$C$3)</f>
        <v>#DIV/0!</v>
      </c>
      <c r="K166" s="974" t="e">
        <f>IF($F166="","",$F166*chronic_consumption!F166/1000/$C$3)</f>
        <v>#DIV/0!</v>
      </c>
      <c r="L166" s="974" t="e">
        <f>IF($F166="","",$F166*chronic_consumption!G166/1000/$C$3)</f>
        <v>#DIV/0!</v>
      </c>
      <c r="M166" s="974" t="e">
        <f>IF($F166="","",$F166*chronic_consumption!H166/1000/$C$3)</f>
        <v>#DIV/0!</v>
      </c>
      <c r="N166" s="974" t="e">
        <f>IF($F166="","",$F166*chronic_consumption!I166/1000/$C$3)</f>
        <v>#DIV/0!</v>
      </c>
      <c r="O166" s="974" t="e">
        <f>IF($F166="","",$F166*chronic_consumption!J166/1000/$C$3)</f>
        <v>#DIV/0!</v>
      </c>
      <c r="P166" s="974" t="e">
        <f>IF($F166="","",$F166*chronic_consumption!K166/1000/$C$3)</f>
        <v>#DIV/0!</v>
      </c>
      <c r="Q166" s="974" t="e">
        <f>IF($F166="","",$F166*chronic_consumption!L166/1000/$C$3)</f>
        <v>#DIV/0!</v>
      </c>
      <c r="R166" s="974" t="e">
        <f>IF($F166="","",$F166*chronic_consumption!M166/1000/$C$3)</f>
        <v>#DIV/0!</v>
      </c>
      <c r="S166" s="974" t="e">
        <f>IF($F166="","",$F166*chronic_consumption!N166/1000/$C$3)</f>
        <v>#DIV/0!</v>
      </c>
      <c r="T166" s="974" t="e">
        <f>IF($F166="","",$F166*chronic_consumption!O166/1000/$C$3)</f>
        <v>#DIV/0!</v>
      </c>
      <c r="U166" s="974" t="e">
        <f>IF($F166="","",$F166*chronic_consumption!P166/1000/$C$3)</f>
        <v>#DIV/0!</v>
      </c>
      <c r="V166" s="974" t="e">
        <f>IF($F166="","",$F166*chronic_consumption!Q166/1000/$C$3)</f>
        <v>#DIV/0!</v>
      </c>
      <c r="W166" s="974" t="e">
        <f>IF($F166="","",$F166*chronic_consumption!R166/1000/$C$3)</f>
        <v>#DIV/0!</v>
      </c>
      <c r="X166" s="974" t="e">
        <f>IF($F166="","",$F166*chronic_consumption!S166/1000/$C$3)</f>
        <v>#DIV/0!</v>
      </c>
      <c r="Y166" s="974" t="e">
        <f>IF($F166="","",$F166*chronic_consumption!T166/1000/$C$3)</f>
        <v>#DIV/0!</v>
      </c>
      <c r="Z166" s="974" t="e">
        <f>IF($F166="","",$F166*chronic_consumption!U166/1000/$C$3)</f>
        <v>#DIV/0!</v>
      </c>
      <c r="AA166" s="974" t="e">
        <f>IF($F166="","",$F166*chronic_consumption!V166/1000/$C$3)</f>
        <v>#DIV/0!</v>
      </c>
      <c r="AB166" s="974" t="e">
        <f>IF($F166="","",$F166*chronic_consumption!W166/1000/$C$3)</f>
        <v>#DIV/0!</v>
      </c>
      <c r="AC166" s="974" t="e">
        <f>IF($F166="","",$F166*chronic_consumption!X166/1000/$C$3)</f>
        <v>#DIV/0!</v>
      </c>
      <c r="AD166" s="974" t="e">
        <f>IF($F166="","",$F166*chronic_consumption!Y166/1000/$C$3)</f>
        <v>#DIV/0!</v>
      </c>
      <c r="AE166" s="974" t="e">
        <f>IF($F166="","",$F166*chronic_consumption!Z166/1000/$C$3)</f>
        <v>#DIV/0!</v>
      </c>
      <c r="AF166" s="974" t="e">
        <f>IF($F166="","",$F166*chronic_consumption!AA166/1000/$C$3)</f>
        <v>#DIV/0!</v>
      </c>
      <c r="AG166" s="974" t="e">
        <f>IF($F166="","",$F166*chronic_consumption!AB166/1000/$C$3)</f>
        <v>#DIV/0!</v>
      </c>
      <c r="AH166" s="974" t="e">
        <f>IF($F166="","",$F166*chronic_consumption!AC166/1000/$C$3)</f>
        <v>#DIV/0!</v>
      </c>
      <c r="AI166" s="974" t="e">
        <f>IF($F166="","",$F166*chronic_consumption!AD166/1000/$C$3)</f>
        <v>#DIV/0!</v>
      </c>
      <c r="AJ166" s="974" t="e">
        <f>IF($F166="","",$F166*chronic_consumption!AE166/1000/$C$3)</f>
        <v>#DIV/0!</v>
      </c>
      <c r="AK166" s="974" t="e">
        <f>IF($F166="","",$F166*chronic_consumption!AF166/1000/$C$3)</f>
        <v>#DIV/0!</v>
      </c>
      <c r="AL166" s="974" t="e">
        <f>IF($F166="","",$F166*chronic_consumption!AG166/1000/$C$3)</f>
        <v>#DIV/0!</v>
      </c>
      <c r="AM166" s="974" t="e">
        <f>IF($F166="","",$F166*chronic_consumption!AH166/1000/$C$3)</f>
        <v>#DIV/0!</v>
      </c>
      <c r="AN166" s="974" t="e">
        <f>IF($F166="","",$F166*chronic_consumption!AI166/1000/$C$3)</f>
        <v>#DIV/0!</v>
      </c>
      <c r="AO166" s="974" t="e">
        <f>IF($F166="","",$F166*chronic_consumption!AJ166/1000/$C$3)</f>
        <v>#DIV/0!</v>
      </c>
      <c r="AP166" s="974" t="e">
        <f>IF($F166="","",$F166*chronic_consumption!AK166/1000/$C$3)</f>
        <v>#DIV/0!</v>
      </c>
      <c r="AQ166" s="974" t="e">
        <f>IF($F166="","",$F166*chronic_consumption!AL166/1000/$C$3)</f>
        <v>#DIV/0!</v>
      </c>
      <c r="AR166" s="974" t="e">
        <f>IF($F166="","",$F166*chronic_consumption!AM166/1000/$C$3)</f>
        <v>#DIV/0!</v>
      </c>
      <c r="AS166" s="974" t="e">
        <f>IF($F166="","",$F166*chronic_consumption!AN166/1000/$C$3)</f>
        <v>#DIV/0!</v>
      </c>
      <c r="AT166" s="974" t="e">
        <f>IF($F166="","",$F166*chronic_consumption!AO166/1000/$C$3)</f>
        <v>#DIV/0!</v>
      </c>
      <c r="AU166" s="974"/>
      <c r="AV166" s="974" t="e">
        <f>IF($F166="","",$F166*chronic_consumption!AQ166/1000/$C$3)</f>
        <v>#DIV/0!</v>
      </c>
      <c r="AW166" s="974" t="e">
        <f>IF($F166="","",$F166*chronic_consumption!AR166/1000/$C$3)</f>
        <v>#DIV/0!</v>
      </c>
      <c r="AX166" s="974" t="e">
        <f>IF($F166="","",$F166*chronic_consumption!AS166/1000/$C$3)</f>
        <v>#DIV/0!</v>
      </c>
      <c r="AY166" s="974" t="e">
        <f>IF($F166="","",$F166*chronic_consumption!AT166/1000/$C$3)</f>
        <v>#DIV/0!</v>
      </c>
      <c r="AZ166" s="973" t="s">
        <v>19</v>
      </c>
      <c r="BA166" s="969" t="e">
        <f t="shared" si="15"/>
        <v>#DIV/0!</v>
      </c>
      <c r="BB166" s="970" t="e">
        <f t="shared" si="16"/>
        <v>#DIV/0!</v>
      </c>
      <c r="BC166" s="971" t="e">
        <f t="shared" ca="1" si="17"/>
        <v>#DIV/0!</v>
      </c>
      <c r="BD166" s="228">
        <f>input_values!Z166</f>
        <v>4</v>
      </c>
      <c r="BE166" s="152">
        <f>input_values!L166</f>
        <v>0</v>
      </c>
      <c r="BF166" s="972" t="str">
        <f t="shared" si="18"/>
        <v/>
      </c>
    </row>
    <row r="167" spans="1:58" ht="12" customHeight="1" outlineLevel="3" x14ac:dyDescent="0.2">
      <c r="A167" s="21">
        <v>4</v>
      </c>
      <c r="B167" s="26">
        <v>251080</v>
      </c>
      <c r="C167" s="23" t="s">
        <v>727</v>
      </c>
      <c r="D167" s="965">
        <f>Table22[[#This Row],[MRL individual commodity]]</f>
        <v>0</v>
      </c>
      <c r="E167" s="300" t="str">
        <f>Table22[[#This Row],[LOQ_label]]</f>
        <v/>
      </c>
      <c r="F167" s="966">
        <f>Table22[[#This Row],[Chronic RA input value]]</f>
        <v>0</v>
      </c>
      <c r="G167" s="304" t="str">
        <f>Table22[[#This Row],[Chronic RA label]]</f>
        <v/>
      </c>
      <c r="H167" s="304">
        <f>Table22[[#This Row],[GAP under assessment]]</f>
        <v>0</v>
      </c>
      <c r="I167" s="1123"/>
      <c r="J167" s="974" t="e">
        <f>IF($F167="","",$F167*chronic_consumption!$E167/1000/$C$3)</f>
        <v>#DIV/0!</v>
      </c>
      <c r="K167" s="974" t="e">
        <f>IF($F167="","",$F167*chronic_consumption!F167/1000/$C$3)</f>
        <v>#DIV/0!</v>
      </c>
      <c r="L167" s="974" t="e">
        <f>IF($F167="","",$F167*chronic_consumption!G167/1000/$C$3)</f>
        <v>#DIV/0!</v>
      </c>
      <c r="M167" s="974" t="e">
        <f>IF($F167="","",$F167*chronic_consumption!H167/1000/$C$3)</f>
        <v>#DIV/0!</v>
      </c>
      <c r="N167" s="974" t="e">
        <f>IF($F167="","",$F167*chronic_consumption!I167/1000/$C$3)</f>
        <v>#DIV/0!</v>
      </c>
      <c r="O167" s="974" t="e">
        <f>IF($F167="","",$F167*chronic_consumption!J167/1000/$C$3)</f>
        <v>#DIV/0!</v>
      </c>
      <c r="P167" s="974" t="e">
        <f>IF($F167="","",$F167*chronic_consumption!K167/1000/$C$3)</f>
        <v>#DIV/0!</v>
      </c>
      <c r="Q167" s="974" t="e">
        <f>IF($F167="","",$F167*chronic_consumption!L167/1000/$C$3)</f>
        <v>#DIV/0!</v>
      </c>
      <c r="R167" s="974" t="e">
        <f>IF($F167="","",$F167*chronic_consumption!M167/1000/$C$3)</f>
        <v>#DIV/0!</v>
      </c>
      <c r="S167" s="974" t="e">
        <f>IF($F167="","",$F167*chronic_consumption!N167/1000/$C$3)</f>
        <v>#DIV/0!</v>
      </c>
      <c r="T167" s="974" t="e">
        <f>IF($F167="","",$F167*chronic_consumption!O167/1000/$C$3)</f>
        <v>#DIV/0!</v>
      </c>
      <c r="U167" s="974" t="e">
        <f>IF($F167="","",$F167*chronic_consumption!P167/1000/$C$3)</f>
        <v>#DIV/0!</v>
      </c>
      <c r="V167" s="974" t="e">
        <f>IF($F167="","",$F167*chronic_consumption!Q167/1000/$C$3)</f>
        <v>#DIV/0!</v>
      </c>
      <c r="W167" s="974" t="e">
        <f>IF($F167="","",$F167*chronic_consumption!R167/1000/$C$3)</f>
        <v>#DIV/0!</v>
      </c>
      <c r="X167" s="974" t="e">
        <f>IF($F167="","",$F167*chronic_consumption!S167/1000/$C$3)</f>
        <v>#DIV/0!</v>
      </c>
      <c r="Y167" s="974" t="e">
        <f>IF($F167="","",$F167*chronic_consumption!T167/1000/$C$3)</f>
        <v>#DIV/0!</v>
      </c>
      <c r="Z167" s="974" t="e">
        <f>IF($F167="","",$F167*chronic_consumption!U167/1000/$C$3)</f>
        <v>#DIV/0!</v>
      </c>
      <c r="AA167" s="974" t="e">
        <f>IF($F167="","",$F167*chronic_consumption!V167/1000/$C$3)</f>
        <v>#DIV/0!</v>
      </c>
      <c r="AB167" s="974" t="e">
        <f>IF($F167="","",$F167*chronic_consumption!W167/1000/$C$3)</f>
        <v>#DIV/0!</v>
      </c>
      <c r="AC167" s="974" t="e">
        <f>IF($F167="","",$F167*chronic_consumption!X167/1000/$C$3)</f>
        <v>#DIV/0!</v>
      </c>
      <c r="AD167" s="974" t="e">
        <f>IF($F167="","",$F167*chronic_consumption!Y167/1000/$C$3)</f>
        <v>#DIV/0!</v>
      </c>
      <c r="AE167" s="974" t="e">
        <f>IF($F167="","",$F167*chronic_consumption!Z167/1000/$C$3)</f>
        <v>#DIV/0!</v>
      </c>
      <c r="AF167" s="974" t="e">
        <f>IF($F167="","",$F167*chronic_consumption!AA167/1000/$C$3)</f>
        <v>#DIV/0!</v>
      </c>
      <c r="AG167" s="974" t="e">
        <f>IF($F167="","",$F167*chronic_consumption!AB167/1000/$C$3)</f>
        <v>#DIV/0!</v>
      </c>
      <c r="AH167" s="974" t="e">
        <f>IF($F167="","",$F167*chronic_consumption!AC167/1000/$C$3)</f>
        <v>#DIV/0!</v>
      </c>
      <c r="AI167" s="974" t="e">
        <f>IF($F167="","",$F167*chronic_consumption!AD167/1000/$C$3)</f>
        <v>#DIV/0!</v>
      </c>
      <c r="AJ167" s="974" t="e">
        <f>IF($F167="","",$F167*chronic_consumption!AE167/1000/$C$3)</f>
        <v>#DIV/0!</v>
      </c>
      <c r="AK167" s="974" t="e">
        <f>IF($F167="","",$F167*chronic_consumption!AF167/1000/$C$3)</f>
        <v>#DIV/0!</v>
      </c>
      <c r="AL167" s="974" t="e">
        <f>IF($F167="","",$F167*chronic_consumption!AG167/1000/$C$3)</f>
        <v>#DIV/0!</v>
      </c>
      <c r="AM167" s="974" t="e">
        <f>IF($F167="","",$F167*chronic_consumption!AH167/1000/$C$3)</f>
        <v>#DIV/0!</v>
      </c>
      <c r="AN167" s="974" t="e">
        <f>IF($F167="","",$F167*chronic_consumption!AI167/1000/$C$3)</f>
        <v>#DIV/0!</v>
      </c>
      <c r="AO167" s="974" t="e">
        <f>IF($F167="","",$F167*chronic_consumption!AJ167/1000/$C$3)</f>
        <v>#DIV/0!</v>
      </c>
      <c r="AP167" s="974" t="e">
        <f>IF($F167="","",$F167*chronic_consumption!AK167/1000/$C$3)</f>
        <v>#DIV/0!</v>
      </c>
      <c r="AQ167" s="974" t="e">
        <f>IF($F167="","",$F167*chronic_consumption!AL167/1000/$C$3)</f>
        <v>#DIV/0!</v>
      </c>
      <c r="AR167" s="974" t="e">
        <f>IF($F167="","",$F167*chronic_consumption!AM167/1000/$C$3)</f>
        <v>#DIV/0!</v>
      </c>
      <c r="AS167" s="974" t="e">
        <f>IF($F167="","",$F167*chronic_consumption!AN167/1000/$C$3)</f>
        <v>#DIV/0!</v>
      </c>
      <c r="AT167" s="974" t="e">
        <f>IF($F167="","",$F167*chronic_consumption!AO167/1000/$C$3)</f>
        <v>#DIV/0!</v>
      </c>
      <c r="AU167" s="974"/>
      <c r="AV167" s="974" t="e">
        <f>IF($F167="","",$F167*chronic_consumption!AQ167/1000/$C$3)</f>
        <v>#DIV/0!</v>
      </c>
      <c r="AW167" s="974" t="e">
        <f>IF($F167="","",$F167*chronic_consumption!AR167/1000/$C$3)</f>
        <v>#DIV/0!</v>
      </c>
      <c r="AX167" s="974" t="e">
        <f>IF($F167="","",$F167*chronic_consumption!AS167/1000/$C$3)</f>
        <v>#DIV/0!</v>
      </c>
      <c r="AY167" s="974" t="e">
        <f>IF($F167="","",$F167*chronic_consumption!AT167/1000/$C$3)</f>
        <v>#DIV/0!</v>
      </c>
      <c r="AZ167" s="973" t="s">
        <v>19</v>
      </c>
      <c r="BA167" s="969" t="e">
        <f t="shared" si="15"/>
        <v>#DIV/0!</v>
      </c>
      <c r="BB167" s="970" t="e">
        <f t="shared" si="16"/>
        <v>#DIV/0!</v>
      </c>
      <c r="BC167" s="971" t="e">
        <f t="shared" ca="1" si="17"/>
        <v>#DIV/0!</v>
      </c>
      <c r="BD167" s="228">
        <f>input_values!Z167</f>
        <v>4</v>
      </c>
      <c r="BE167" s="152">
        <f>input_values!L167</f>
        <v>0</v>
      </c>
      <c r="BF167" s="972" t="str">
        <f t="shared" si="18"/>
        <v/>
      </c>
    </row>
    <row r="168" spans="1:58" ht="12" customHeight="1" outlineLevel="3" x14ac:dyDescent="0.2">
      <c r="A168" s="21">
        <v>4</v>
      </c>
      <c r="B168" s="23">
        <v>251990</v>
      </c>
      <c r="C168" s="23" t="s">
        <v>173</v>
      </c>
      <c r="D168" s="965">
        <f>Table22[[#This Row],[MRL individual commodity]]</f>
        <v>0</v>
      </c>
      <c r="E168" s="300" t="str">
        <f>Table22[[#This Row],[LOQ_label]]</f>
        <v/>
      </c>
      <c r="F168" s="966">
        <f>Table22[[#This Row],[Chronic RA input value]]</f>
        <v>0</v>
      </c>
      <c r="G168" s="304" t="str">
        <f>Table22[[#This Row],[Chronic RA label]]</f>
        <v/>
      </c>
      <c r="H168" s="304">
        <f>Table22[[#This Row],[GAP under assessment]]</f>
        <v>0</v>
      </c>
      <c r="I168" s="1123"/>
      <c r="J168" s="974" t="e">
        <f>IF($F168="","",$F168*chronic_consumption!$E168/1000/$C$3)</f>
        <v>#DIV/0!</v>
      </c>
      <c r="K168" s="974" t="e">
        <f>IF($F168="","",$F168*chronic_consumption!F168/1000/$C$3)</f>
        <v>#DIV/0!</v>
      </c>
      <c r="L168" s="974" t="e">
        <f>IF($F168="","",$F168*chronic_consumption!G168/1000/$C$3)</f>
        <v>#DIV/0!</v>
      </c>
      <c r="M168" s="974" t="e">
        <f>IF($F168="","",$F168*chronic_consumption!H168/1000/$C$3)</f>
        <v>#DIV/0!</v>
      </c>
      <c r="N168" s="974" t="e">
        <f>IF($F168="","",$F168*chronic_consumption!I168/1000/$C$3)</f>
        <v>#DIV/0!</v>
      </c>
      <c r="O168" s="974" t="e">
        <f>IF($F168="","",$F168*chronic_consumption!J168/1000/$C$3)</f>
        <v>#DIV/0!</v>
      </c>
      <c r="P168" s="974" t="e">
        <f>IF($F168="","",$F168*chronic_consumption!K168/1000/$C$3)</f>
        <v>#DIV/0!</v>
      </c>
      <c r="Q168" s="974" t="e">
        <f>IF($F168="","",$F168*chronic_consumption!L168/1000/$C$3)</f>
        <v>#DIV/0!</v>
      </c>
      <c r="R168" s="974" t="e">
        <f>IF($F168="","",$F168*chronic_consumption!M168/1000/$C$3)</f>
        <v>#DIV/0!</v>
      </c>
      <c r="S168" s="974" t="e">
        <f>IF($F168="","",$F168*chronic_consumption!N168/1000/$C$3)</f>
        <v>#DIV/0!</v>
      </c>
      <c r="T168" s="974" t="e">
        <f>IF($F168="","",$F168*chronic_consumption!O168/1000/$C$3)</f>
        <v>#DIV/0!</v>
      </c>
      <c r="U168" s="974" t="e">
        <f>IF($F168="","",$F168*chronic_consumption!P168/1000/$C$3)</f>
        <v>#DIV/0!</v>
      </c>
      <c r="V168" s="974" t="e">
        <f>IF($F168="","",$F168*chronic_consumption!Q168/1000/$C$3)</f>
        <v>#DIV/0!</v>
      </c>
      <c r="W168" s="974" t="e">
        <f>IF($F168="","",$F168*chronic_consumption!R168/1000/$C$3)</f>
        <v>#DIV/0!</v>
      </c>
      <c r="X168" s="974" t="e">
        <f>IF($F168="","",$F168*chronic_consumption!S168/1000/$C$3)</f>
        <v>#DIV/0!</v>
      </c>
      <c r="Y168" s="974" t="e">
        <f>IF($F168="","",$F168*chronic_consumption!T168/1000/$C$3)</f>
        <v>#DIV/0!</v>
      </c>
      <c r="Z168" s="974" t="e">
        <f>IF($F168="","",$F168*chronic_consumption!U168/1000/$C$3)</f>
        <v>#DIV/0!</v>
      </c>
      <c r="AA168" s="974" t="e">
        <f>IF($F168="","",$F168*chronic_consumption!V168/1000/$C$3)</f>
        <v>#DIV/0!</v>
      </c>
      <c r="AB168" s="974" t="e">
        <f>IF($F168="","",$F168*chronic_consumption!W168/1000/$C$3)</f>
        <v>#DIV/0!</v>
      </c>
      <c r="AC168" s="974" t="e">
        <f>IF($F168="","",$F168*chronic_consumption!X168/1000/$C$3)</f>
        <v>#DIV/0!</v>
      </c>
      <c r="AD168" s="974" t="e">
        <f>IF($F168="","",$F168*chronic_consumption!Y168/1000/$C$3)</f>
        <v>#DIV/0!</v>
      </c>
      <c r="AE168" s="974" t="e">
        <f>IF($F168="","",$F168*chronic_consumption!Z168/1000/$C$3)</f>
        <v>#DIV/0!</v>
      </c>
      <c r="AF168" s="974" t="e">
        <f>IF($F168="","",$F168*chronic_consumption!AA168/1000/$C$3)</f>
        <v>#DIV/0!</v>
      </c>
      <c r="AG168" s="974" t="e">
        <f>IF($F168="","",$F168*chronic_consumption!AB168/1000/$C$3)</f>
        <v>#DIV/0!</v>
      </c>
      <c r="AH168" s="974" t="e">
        <f>IF($F168="","",$F168*chronic_consumption!AC168/1000/$C$3)</f>
        <v>#DIV/0!</v>
      </c>
      <c r="AI168" s="974" t="e">
        <f>IF($F168="","",$F168*chronic_consumption!AD168/1000/$C$3)</f>
        <v>#DIV/0!</v>
      </c>
      <c r="AJ168" s="974" t="e">
        <f>IF($F168="","",$F168*chronic_consumption!AE168/1000/$C$3)</f>
        <v>#DIV/0!</v>
      </c>
      <c r="AK168" s="974" t="e">
        <f>IF($F168="","",$F168*chronic_consumption!AF168/1000/$C$3)</f>
        <v>#DIV/0!</v>
      </c>
      <c r="AL168" s="974" t="e">
        <f>IF($F168="","",$F168*chronic_consumption!AG168/1000/$C$3)</f>
        <v>#DIV/0!</v>
      </c>
      <c r="AM168" s="974" t="e">
        <f>IF($F168="","",$F168*chronic_consumption!AH168/1000/$C$3)</f>
        <v>#DIV/0!</v>
      </c>
      <c r="AN168" s="974" t="e">
        <f>IF($F168="","",$F168*chronic_consumption!AI168/1000/$C$3)</f>
        <v>#DIV/0!</v>
      </c>
      <c r="AO168" s="974" t="e">
        <f>IF($F168="","",$F168*chronic_consumption!AJ168/1000/$C$3)</f>
        <v>#DIV/0!</v>
      </c>
      <c r="AP168" s="974" t="e">
        <f>IF($F168="","",$F168*chronic_consumption!AK168/1000/$C$3)</f>
        <v>#DIV/0!</v>
      </c>
      <c r="AQ168" s="974" t="e">
        <f>IF($F168="","",$F168*chronic_consumption!AL168/1000/$C$3)</f>
        <v>#DIV/0!</v>
      </c>
      <c r="AR168" s="974" t="e">
        <f>IF($F168="","",$F168*chronic_consumption!AM168/1000/$C$3)</f>
        <v>#DIV/0!</v>
      </c>
      <c r="AS168" s="974" t="e">
        <f>IF($F168="","",$F168*chronic_consumption!AN168/1000/$C$3)</f>
        <v>#DIV/0!</v>
      </c>
      <c r="AT168" s="974" t="e">
        <f>IF($F168="","",$F168*chronic_consumption!AO168/1000/$C$3)</f>
        <v>#DIV/0!</v>
      </c>
      <c r="AU168" s="974"/>
      <c r="AV168" s="974" t="e">
        <f>IF($F168="","",$F168*chronic_consumption!AQ168/1000/$C$3)</f>
        <v>#DIV/0!</v>
      </c>
      <c r="AW168" s="974" t="e">
        <f>IF($F168="","",$F168*chronic_consumption!AR168/1000/$C$3)</f>
        <v>#DIV/0!</v>
      </c>
      <c r="AX168" s="974" t="e">
        <f>IF($F168="","",$F168*chronic_consumption!AS168/1000/$C$3)</f>
        <v>#DIV/0!</v>
      </c>
      <c r="AY168" s="974" t="e">
        <f>IF($F168="","",$F168*chronic_consumption!AT168/1000/$C$3)</f>
        <v>#DIV/0!</v>
      </c>
      <c r="AZ168" s="973" t="s">
        <v>19</v>
      </c>
      <c r="BA168" s="969" t="e">
        <f t="shared" si="15"/>
        <v>#DIV/0!</v>
      </c>
      <c r="BB168" s="970" t="e">
        <f t="shared" si="16"/>
        <v>#DIV/0!</v>
      </c>
      <c r="BC168" s="971" t="e">
        <f t="shared" ca="1" si="17"/>
        <v>#DIV/0!</v>
      </c>
      <c r="BD168" s="228">
        <f>input_values!Z168</f>
        <v>4</v>
      </c>
      <c r="BE168" s="152">
        <f>input_values!L168</f>
        <v>0</v>
      </c>
      <c r="BF168" s="972" t="str">
        <f t="shared" si="18"/>
        <v/>
      </c>
    </row>
    <row r="169" spans="1:58" ht="12" customHeight="1" outlineLevel="2" x14ac:dyDescent="0.2">
      <c r="A169" s="341">
        <v>3</v>
      </c>
      <c r="B169" s="3">
        <v>252000</v>
      </c>
      <c r="C169" s="3" t="s">
        <v>234</v>
      </c>
      <c r="D169" s="965">
        <f>Table22[[#This Row],[MRL individual commodity]]</f>
        <v>0</v>
      </c>
      <c r="E169" s="300">
        <f>Table22[[#This Row],[LOQ_label]]</f>
        <v>0</v>
      </c>
      <c r="F169" s="966">
        <f>Table22[[#This Row],[Chronic RA input value]]</f>
        <v>0</v>
      </c>
      <c r="G169" s="304">
        <f>Table22[[#This Row],[Chronic RA label]]</f>
        <v>0</v>
      </c>
      <c r="H169" s="304">
        <f>Table22[[#This Row],[GAP under assessment]]</f>
        <v>0</v>
      </c>
      <c r="I169" s="1123"/>
      <c r="J169" s="967" t="e">
        <f>IF($F169="","",$F169*chronic_consumption!$E169/1000/$C$3)</f>
        <v>#DIV/0!</v>
      </c>
      <c r="K169" s="967" t="e">
        <f>IF($F169="","",$F169*chronic_consumption!F169/1000/$C$3)</f>
        <v>#DIV/0!</v>
      </c>
      <c r="L169" s="967" t="e">
        <f>IF($F169="","",$F169*chronic_consumption!G169/1000/$C$3)</f>
        <v>#DIV/0!</v>
      </c>
      <c r="M169" s="967" t="e">
        <f>IF($F169="","",$F169*chronic_consumption!H169/1000/$C$3)</f>
        <v>#DIV/0!</v>
      </c>
      <c r="N169" s="967" t="e">
        <f>IF($F169="","",$F169*chronic_consumption!I169/1000/$C$3)</f>
        <v>#DIV/0!</v>
      </c>
      <c r="O169" s="967" t="e">
        <f>IF($F169="","",$F169*chronic_consumption!J169/1000/$C$3)</f>
        <v>#DIV/0!</v>
      </c>
      <c r="P169" s="967" t="e">
        <f>IF($F169="","",$F169*chronic_consumption!K169/1000/$C$3)</f>
        <v>#DIV/0!</v>
      </c>
      <c r="Q169" s="967" t="e">
        <f>IF($F169="","",$F169*chronic_consumption!L169/1000/$C$3)</f>
        <v>#DIV/0!</v>
      </c>
      <c r="R169" s="967" t="e">
        <f>IF($F169="","",$F169*chronic_consumption!M169/1000/$C$3)</f>
        <v>#DIV/0!</v>
      </c>
      <c r="S169" s="967" t="e">
        <f>IF($F169="","",$F169*chronic_consumption!N169/1000/$C$3)</f>
        <v>#DIV/0!</v>
      </c>
      <c r="T169" s="967" t="e">
        <f>IF($F169="","",$F169*chronic_consumption!O169/1000/$C$3)</f>
        <v>#DIV/0!</v>
      </c>
      <c r="U169" s="967" t="e">
        <f>IF($F169="","",$F169*chronic_consumption!P169/1000/$C$3)</f>
        <v>#DIV/0!</v>
      </c>
      <c r="V169" s="967" t="e">
        <f>IF($F169="","",$F169*chronic_consumption!Q169/1000/$C$3)</f>
        <v>#DIV/0!</v>
      </c>
      <c r="W169" s="967" t="e">
        <f>IF($F169="","",$F169*chronic_consumption!R169/1000/$C$3)</f>
        <v>#DIV/0!</v>
      </c>
      <c r="X169" s="967" t="e">
        <f>IF($F169="","",$F169*chronic_consumption!S169/1000/$C$3)</f>
        <v>#DIV/0!</v>
      </c>
      <c r="Y169" s="967" t="e">
        <f>IF($F169="","",$F169*chronic_consumption!T169/1000/$C$3)</f>
        <v>#DIV/0!</v>
      </c>
      <c r="Z169" s="967" t="e">
        <f>IF($F169="","",$F169*chronic_consumption!U169/1000/$C$3)</f>
        <v>#DIV/0!</v>
      </c>
      <c r="AA169" s="967" t="e">
        <f>IF($F169="","",$F169*chronic_consumption!V169/1000/$C$3)</f>
        <v>#DIV/0!</v>
      </c>
      <c r="AB169" s="967" t="e">
        <f>IF($F169="","",$F169*chronic_consumption!W169/1000/$C$3)</f>
        <v>#DIV/0!</v>
      </c>
      <c r="AC169" s="967" t="e">
        <f>IF($F169="","",$F169*chronic_consumption!X169/1000/$C$3)</f>
        <v>#DIV/0!</v>
      </c>
      <c r="AD169" s="967" t="e">
        <f>IF($F169="","",$F169*chronic_consumption!Y169/1000/$C$3)</f>
        <v>#DIV/0!</v>
      </c>
      <c r="AE169" s="967" t="e">
        <f>IF($F169="","",$F169*chronic_consumption!Z169/1000/$C$3)</f>
        <v>#DIV/0!</v>
      </c>
      <c r="AF169" s="967" t="e">
        <f>IF($F169="","",$F169*chronic_consumption!AA169/1000/$C$3)</f>
        <v>#DIV/0!</v>
      </c>
      <c r="AG169" s="967" t="e">
        <f>IF($F169="","",$F169*chronic_consumption!AB169/1000/$C$3)</f>
        <v>#DIV/0!</v>
      </c>
      <c r="AH169" s="967" t="e">
        <f>IF($F169="","",$F169*chronic_consumption!AC169/1000/$C$3)</f>
        <v>#DIV/0!</v>
      </c>
      <c r="AI169" s="967" t="e">
        <f>IF($F169="","",$F169*chronic_consumption!AD169/1000/$C$3)</f>
        <v>#DIV/0!</v>
      </c>
      <c r="AJ169" s="967" t="e">
        <f>IF($F169="","",$F169*chronic_consumption!AE169/1000/$C$3)</f>
        <v>#DIV/0!</v>
      </c>
      <c r="AK169" s="967" t="e">
        <f>IF($F169="","",$F169*chronic_consumption!AF169/1000/$C$3)</f>
        <v>#DIV/0!</v>
      </c>
      <c r="AL169" s="967" t="e">
        <f>IF($F169="","",$F169*chronic_consumption!AG169/1000/$C$3)</f>
        <v>#DIV/0!</v>
      </c>
      <c r="AM169" s="967" t="e">
        <f>IF($F169="","",$F169*chronic_consumption!AH169/1000/$C$3)</f>
        <v>#DIV/0!</v>
      </c>
      <c r="AN169" s="967" t="e">
        <f>IF($F169="","",$F169*chronic_consumption!AI169/1000/$C$3)</f>
        <v>#DIV/0!</v>
      </c>
      <c r="AO169" s="967" t="e">
        <f>IF($F169="","",$F169*chronic_consumption!AJ169/1000/$C$3)</f>
        <v>#DIV/0!</v>
      </c>
      <c r="AP169" s="967" t="e">
        <f>IF($F169="","",$F169*chronic_consumption!AK169/1000/$C$3)</f>
        <v>#DIV/0!</v>
      </c>
      <c r="AQ169" s="967" t="e">
        <f>IF($F169="","",$F169*chronic_consumption!AL169/1000/$C$3)</f>
        <v>#DIV/0!</v>
      </c>
      <c r="AR169" s="967" t="e">
        <f>IF($F169="","",$F169*chronic_consumption!AM169/1000/$C$3)</f>
        <v>#DIV/0!</v>
      </c>
      <c r="AS169" s="967" t="e">
        <f>IF($F169="","",$F169*chronic_consumption!AN169/1000/$C$3)</f>
        <v>#DIV/0!</v>
      </c>
      <c r="AT169" s="967" t="e">
        <f>IF($F169="","",$F169*chronic_consumption!AO169/1000/$C$3)</f>
        <v>#DIV/0!</v>
      </c>
      <c r="AU169" s="967"/>
      <c r="AV169" s="967" t="e">
        <f>IF($F169="","",$F169*chronic_consumption!AQ169/1000/$C$3)</f>
        <v>#DIV/0!</v>
      </c>
      <c r="AW169" s="967" t="e">
        <f>IF($F169="","",$F169*chronic_consumption!AR169/1000/$C$3)</f>
        <v>#DIV/0!</v>
      </c>
      <c r="AX169" s="967" t="e">
        <f>IF($F169="","",$F169*chronic_consumption!AS169/1000/$C$3)</f>
        <v>#DIV/0!</v>
      </c>
      <c r="AY169" s="967" t="e">
        <f>IF($F169="","",$F169*chronic_consumption!AT169/1000/$C$3)</f>
        <v>#DIV/0!</v>
      </c>
      <c r="AZ169" s="973"/>
      <c r="BA169" s="969" t="e">
        <f t="shared" si="15"/>
        <v>#DIV/0!</v>
      </c>
      <c r="BB169" s="970" t="e">
        <f t="shared" si="16"/>
        <v>#DIV/0!</v>
      </c>
      <c r="BC169" s="971" t="e">
        <f t="shared" ca="1" si="17"/>
        <v>#DIV/0!</v>
      </c>
      <c r="BD169" s="228">
        <f>input_values!Z169</f>
        <v>4</v>
      </c>
      <c r="BE169" s="152">
        <f>input_values!L169</f>
        <v>0</v>
      </c>
      <c r="BF169" s="972" t="str">
        <f t="shared" si="18"/>
        <v/>
      </c>
    </row>
    <row r="170" spans="1:58" ht="12" customHeight="1" outlineLevel="3" x14ac:dyDescent="0.2">
      <c r="A170" s="21">
        <v>4</v>
      </c>
      <c r="B170" s="23">
        <v>252010</v>
      </c>
      <c r="C170" s="23" t="s">
        <v>728</v>
      </c>
      <c r="D170" s="965">
        <f>Table22[[#This Row],[MRL individual commodity]]</f>
        <v>0</v>
      </c>
      <c r="E170" s="300" t="str">
        <f>Table22[[#This Row],[LOQ_label]]</f>
        <v/>
      </c>
      <c r="F170" s="966">
        <f>Table22[[#This Row],[Chronic RA input value]]</f>
        <v>0</v>
      </c>
      <c r="G170" s="304" t="str">
        <f>Table22[[#This Row],[Chronic RA label]]</f>
        <v/>
      </c>
      <c r="H170" s="304">
        <f>Table22[[#This Row],[GAP under assessment]]</f>
        <v>0</v>
      </c>
      <c r="I170" s="1123"/>
      <c r="J170" s="974" t="e">
        <f>IF($F170="","",$F170*chronic_consumption!$E170/1000/$C$3)</f>
        <v>#DIV/0!</v>
      </c>
      <c r="K170" s="974" t="e">
        <f>IF($F170="","",$F170*chronic_consumption!F170/1000/$C$3)</f>
        <v>#DIV/0!</v>
      </c>
      <c r="L170" s="974" t="e">
        <f>IF($F170="","",$F170*chronic_consumption!G170/1000/$C$3)</f>
        <v>#DIV/0!</v>
      </c>
      <c r="M170" s="974" t="e">
        <f>IF($F170="","",$F170*chronic_consumption!H170/1000/$C$3)</f>
        <v>#DIV/0!</v>
      </c>
      <c r="N170" s="974" t="e">
        <f>IF($F170="","",$F170*chronic_consumption!I170/1000/$C$3)</f>
        <v>#DIV/0!</v>
      </c>
      <c r="O170" s="974" t="e">
        <f>IF($F170="","",$F170*chronic_consumption!J170/1000/$C$3)</f>
        <v>#DIV/0!</v>
      </c>
      <c r="P170" s="974" t="e">
        <f>IF($F170="","",$F170*chronic_consumption!K170/1000/$C$3)</f>
        <v>#DIV/0!</v>
      </c>
      <c r="Q170" s="974" t="e">
        <f>IF($F170="","",$F170*chronic_consumption!L170/1000/$C$3)</f>
        <v>#DIV/0!</v>
      </c>
      <c r="R170" s="974" t="e">
        <f>IF($F170="","",$F170*chronic_consumption!M170/1000/$C$3)</f>
        <v>#DIV/0!</v>
      </c>
      <c r="S170" s="974" t="e">
        <f>IF($F170="","",$F170*chronic_consumption!N170/1000/$C$3)</f>
        <v>#DIV/0!</v>
      </c>
      <c r="T170" s="974" t="e">
        <f>IF($F170="","",$F170*chronic_consumption!O170/1000/$C$3)</f>
        <v>#DIV/0!</v>
      </c>
      <c r="U170" s="974" t="e">
        <f>IF($F170="","",$F170*chronic_consumption!P170/1000/$C$3)</f>
        <v>#DIV/0!</v>
      </c>
      <c r="V170" s="974" t="e">
        <f>IF($F170="","",$F170*chronic_consumption!Q170/1000/$C$3)</f>
        <v>#DIV/0!</v>
      </c>
      <c r="W170" s="974" t="e">
        <f>IF($F170="","",$F170*chronic_consumption!R170/1000/$C$3)</f>
        <v>#DIV/0!</v>
      </c>
      <c r="X170" s="974" t="e">
        <f>IF($F170="","",$F170*chronic_consumption!S170/1000/$C$3)</f>
        <v>#DIV/0!</v>
      </c>
      <c r="Y170" s="974" t="e">
        <f>IF($F170="","",$F170*chronic_consumption!T170/1000/$C$3)</f>
        <v>#DIV/0!</v>
      </c>
      <c r="Z170" s="974" t="e">
        <f>IF($F170="","",$F170*chronic_consumption!U170/1000/$C$3)</f>
        <v>#DIV/0!</v>
      </c>
      <c r="AA170" s="974" t="e">
        <f>IF($F170="","",$F170*chronic_consumption!V170/1000/$C$3)</f>
        <v>#DIV/0!</v>
      </c>
      <c r="AB170" s="974" t="e">
        <f>IF($F170="","",$F170*chronic_consumption!W170/1000/$C$3)</f>
        <v>#DIV/0!</v>
      </c>
      <c r="AC170" s="974" t="e">
        <f>IF($F170="","",$F170*chronic_consumption!X170/1000/$C$3)</f>
        <v>#DIV/0!</v>
      </c>
      <c r="AD170" s="974" t="e">
        <f>IF($F170="","",$F170*chronic_consumption!Y170/1000/$C$3)</f>
        <v>#DIV/0!</v>
      </c>
      <c r="AE170" s="974" t="e">
        <f>IF($F170="","",$F170*chronic_consumption!Z170/1000/$C$3)</f>
        <v>#DIV/0!</v>
      </c>
      <c r="AF170" s="974" t="e">
        <f>IF($F170="","",$F170*chronic_consumption!AA170/1000/$C$3)</f>
        <v>#DIV/0!</v>
      </c>
      <c r="AG170" s="974" t="e">
        <f>IF($F170="","",$F170*chronic_consumption!AB170/1000/$C$3)</f>
        <v>#DIV/0!</v>
      </c>
      <c r="AH170" s="974" t="e">
        <f>IF($F170="","",$F170*chronic_consumption!AC170/1000/$C$3)</f>
        <v>#DIV/0!</v>
      </c>
      <c r="AI170" s="974" t="e">
        <f>IF($F170="","",$F170*chronic_consumption!AD170/1000/$C$3)</f>
        <v>#DIV/0!</v>
      </c>
      <c r="AJ170" s="974" t="e">
        <f>IF($F170="","",$F170*chronic_consumption!AE170/1000/$C$3)</f>
        <v>#DIV/0!</v>
      </c>
      <c r="AK170" s="974" t="e">
        <f>IF($F170="","",$F170*chronic_consumption!AF170/1000/$C$3)</f>
        <v>#DIV/0!</v>
      </c>
      <c r="AL170" s="974" t="e">
        <f>IF($F170="","",$F170*chronic_consumption!AG170/1000/$C$3)</f>
        <v>#DIV/0!</v>
      </c>
      <c r="AM170" s="974" t="e">
        <f>IF($F170="","",$F170*chronic_consumption!AH170/1000/$C$3)</f>
        <v>#DIV/0!</v>
      </c>
      <c r="AN170" s="974" t="e">
        <f>IF($F170="","",$F170*chronic_consumption!AI170/1000/$C$3)</f>
        <v>#DIV/0!</v>
      </c>
      <c r="AO170" s="974" t="e">
        <f>IF($F170="","",$F170*chronic_consumption!AJ170/1000/$C$3)</f>
        <v>#DIV/0!</v>
      </c>
      <c r="AP170" s="974" t="e">
        <f>IF($F170="","",$F170*chronic_consumption!AK170/1000/$C$3)</f>
        <v>#DIV/0!</v>
      </c>
      <c r="AQ170" s="974" t="e">
        <f>IF($F170="","",$F170*chronic_consumption!AL170/1000/$C$3)</f>
        <v>#DIV/0!</v>
      </c>
      <c r="AR170" s="974" t="e">
        <f>IF($F170="","",$F170*chronic_consumption!AM170/1000/$C$3)</f>
        <v>#DIV/0!</v>
      </c>
      <c r="AS170" s="974" t="e">
        <f>IF($F170="","",$F170*chronic_consumption!AN170/1000/$C$3)</f>
        <v>#DIV/0!</v>
      </c>
      <c r="AT170" s="974" t="e">
        <f>IF($F170="","",$F170*chronic_consumption!AO170/1000/$C$3)</f>
        <v>#DIV/0!</v>
      </c>
      <c r="AU170" s="974"/>
      <c r="AV170" s="974" t="e">
        <f>IF($F170="","",$F170*chronic_consumption!AQ170/1000/$C$3)</f>
        <v>#DIV/0!</v>
      </c>
      <c r="AW170" s="974" t="e">
        <f>IF($F170="","",$F170*chronic_consumption!AR170/1000/$C$3)</f>
        <v>#DIV/0!</v>
      </c>
      <c r="AX170" s="974" t="e">
        <f>IF($F170="","",$F170*chronic_consumption!AS170/1000/$C$3)</f>
        <v>#DIV/0!</v>
      </c>
      <c r="AY170" s="974" t="e">
        <f>IF($F170="","",$F170*chronic_consumption!AT170/1000/$C$3)</f>
        <v>#DIV/0!</v>
      </c>
      <c r="AZ170" s="973" t="s">
        <v>19</v>
      </c>
      <c r="BA170" s="969" t="e">
        <f t="shared" si="15"/>
        <v>#DIV/0!</v>
      </c>
      <c r="BB170" s="970" t="e">
        <f t="shared" si="16"/>
        <v>#DIV/0!</v>
      </c>
      <c r="BC170" s="971" t="e">
        <f t="shared" ca="1" si="17"/>
        <v>#DIV/0!</v>
      </c>
      <c r="BD170" s="228">
        <f>input_values!Z170</f>
        <v>4</v>
      </c>
      <c r="BE170" s="152">
        <f>input_values!L170</f>
        <v>0</v>
      </c>
      <c r="BF170" s="972" t="str">
        <f t="shared" si="18"/>
        <v/>
      </c>
    </row>
    <row r="171" spans="1:58" ht="12" customHeight="1" outlineLevel="3" x14ac:dyDescent="0.2">
      <c r="A171" s="21">
        <v>4</v>
      </c>
      <c r="B171" s="23">
        <v>252020</v>
      </c>
      <c r="C171" s="23" t="s">
        <v>729</v>
      </c>
      <c r="D171" s="965">
        <f>Table22[[#This Row],[MRL individual commodity]]</f>
        <v>0</v>
      </c>
      <c r="E171" s="300" t="str">
        <f>Table22[[#This Row],[LOQ_label]]</f>
        <v/>
      </c>
      <c r="F171" s="966">
        <f>Table22[[#This Row],[Chronic RA input value]]</f>
        <v>0</v>
      </c>
      <c r="G171" s="304" t="str">
        <f>Table22[[#This Row],[Chronic RA label]]</f>
        <v/>
      </c>
      <c r="H171" s="304">
        <f>Table22[[#This Row],[GAP under assessment]]</f>
        <v>0</v>
      </c>
      <c r="I171" s="1123"/>
      <c r="J171" s="974" t="e">
        <f>IF($F171="","",$F171*chronic_consumption!$E171/1000/$C$3)</f>
        <v>#DIV/0!</v>
      </c>
      <c r="K171" s="974" t="e">
        <f>IF($F171="","",$F171*chronic_consumption!F171/1000/$C$3)</f>
        <v>#DIV/0!</v>
      </c>
      <c r="L171" s="974" t="e">
        <f>IF($F171="","",$F171*chronic_consumption!G171/1000/$C$3)</f>
        <v>#DIV/0!</v>
      </c>
      <c r="M171" s="974" t="e">
        <f>IF($F171="","",$F171*chronic_consumption!H171/1000/$C$3)</f>
        <v>#DIV/0!</v>
      </c>
      <c r="N171" s="974" t="e">
        <f>IF($F171="","",$F171*chronic_consumption!I171/1000/$C$3)</f>
        <v>#DIV/0!</v>
      </c>
      <c r="O171" s="974" t="e">
        <f>IF($F171="","",$F171*chronic_consumption!J171/1000/$C$3)</f>
        <v>#DIV/0!</v>
      </c>
      <c r="P171" s="974" t="e">
        <f>IF($F171="","",$F171*chronic_consumption!K171/1000/$C$3)</f>
        <v>#DIV/0!</v>
      </c>
      <c r="Q171" s="974" t="e">
        <f>IF($F171="","",$F171*chronic_consumption!L171/1000/$C$3)</f>
        <v>#DIV/0!</v>
      </c>
      <c r="R171" s="974" t="e">
        <f>IF($F171="","",$F171*chronic_consumption!M171/1000/$C$3)</f>
        <v>#DIV/0!</v>
      </c>
      <c r="S171" s="974" t="e">
        <f>IF($F171="","",$F171*chronic_consumption!N171/1000/$C$3)</f>
        <v>#DIV/0!</v>
      </c>
      <c r="T171" s="974" t="e">
        <f>IF($F171="","",$F171*chronic_consumption!O171/1000/$C$3)</f>
        <v>#DIV/0!</v>
      </c>
      <c r="U171" s="974" t="e">
        <f>IF($F171="","",$F171*chronic_consumption!P171/1000/$C$3)</f>
        <v>#DIV/0!</v>
      </c>
      <c r="V171" s="974" t="e">
        <f>IF($F171="","",$F171*chronic_consumption!Q171/1000/$C$3)</f>
        <v>#DIV/0!</v>
      </c>
      <c r="W171" s="974" t="e">
        <f>IF($F171="","",$F171*chronic_consumption!R171/1000/$C$3)</f>
        <v>#DIV/0!</v>
      </c>
      <c r="X171" s="974" t="e">
        <f>IF($F171="","",$F171*chronic_consumption!S171/1000/$C$3)</f>
        <v>#DIV/0!</v>
      </c>
      <c r="Y171" s="974" t="e">
        <f>IF($F171="","",$F171*chronic_consumption!T171/1000/$C$3)</f>
        <v>#DIV/0!</v>
      </c>
      <c r="Z171" s="974" t="e">
        <f>IF($F171="","",$F171*chronic_consumption!U171/1000/$C$3)</f>
        <v>#DIV/0!</v>
      </c>
      <c r="AA171" s="974" t="e">
        <f>IF($F171="","",$F171*chronic_consumption!V171/1000/$C$3)</f>
        <v>#DIV/0!</v>
      </c>
      <c r="AB171" s="974" t="e">
        <f>IF($F171="","",$F171*chronic_consumption!W171/1000/$C$3)</f>
        <v>#DIV/0!</v>
      </c>
      <c r="AC171" s="974" t="e">
        <f>IF($F171="","",$F171*chronic_consumption!X171/1000/$C$3)</f>
        <v>#DIV/0!</v>
      </c>
      <c r="AD171" s="974" t="e">
        <f>IF($F171="","",$F171*chronic_consumption!Y171/1000/$C$3)</f>
        <v>#DIV/0!</v>
      </c>
      <c r="AE171" s="974" t="e">
        <f>IF($F171="","",$F171*chronic_consumption!Z171/1000/$C$3)</f>
        <v>#DIV/0!</v>
      </c>
      <c r="AF171" s="974" t="e">
        <f>IF($F171="","",$F171*chronic_consumption!AA171/1000/$C$3)</f>
        <v>#DIV/0!</v>
      </c>
      <c r="AG171" s="974" t="e">
        <f>IF($F171="","",$F171*chronic_consumption!AB171/1000/$C$3)</f>
        <v>#DIV/0!</v>
      </c>
      <c r="AH171" s="974" t="e">
        <f>IF($F171="","",$F171*chronic_consumption!AC171/1000/$C$3)</f>
        <v>#DIV/0!</v>
      </c>
      <c r="AI171" s="974" t="e">
        <f>IF($F171="","",$F171*chronic_consumption!AD171/1000/$C$3)</f>
        <v>#DIV/0!</v>
      </c>
      <c r="AJ171" s="974" t="e">
        <f>IF($F171="","",$F171*chronic_consumption!AE171/1000/$C$3)</f>
        <v>#DIV/0!</v>
      </c>
      <c r="AK171" s="974" t="e">
        <f>IF($F171="","",$F171*chronic_consumption!AF171/1000/$C$3)</f>
        <v>#DIV/0!</v>
      </c>
      <c r="AL171" s="974" t="e">
        <f>IF($F171="","",$F171*chronic_consumption!AG171/1000/$C$3)</f>
        <v>#DIV/0!</v>
      </c>
      <c r="AM171" s="974" t="e">
        <f>IF($F171="","",$F171*chronic_consumption!AH171/1000/$C$3)</f>
        <v>#DIV/0!</v>
      </c>
      <c r="AN171" s="974" t="e">
        <f>IF($F171="","",$F171*chronic_consumption!AI171/1000/$C$3)</f>
        <v>#DIV/0!</v>
      </c>
      <c r="AO171" s="974" t="e">
        <f>IF($F171="","",$F171*chronic_consumption!AJ171/1000/$C$3)</f>
        <v>#DIV/0!</v>
      </c>
      <c r="AP171" s="974" t="e">
        <f>IF($F171="","",$F171*chronic_consumption!AK171/1000/$C$3)</f>
        <v>#DIV/0!</v>
      </c>
      <c r="AQ171" s="974" t="e">
        <f>IF($F171="","",$F171*chronic_consumption!AL171/1000/$C$3)</f>
        <v>#DIV/0!</v>
      </c>
      <c r="AR171" s="974" t="e">
        <f>IF($F171="","",$F171*chronic_consumption!AM171/1000/$C$3)</f>
        <v>#DIV/0!</v>
      </c>
      <c r="AS171" s="974" t="e">
        <f>IF($F171="","",$F171*chronic_consumption!AN171/1000/$C$3)</f>
        <v>#DIV/0!</v>
      </c>
      <c r="AT171" s="974" t="e">
        <f>IF($F171="","",$F171*chronic_consumption!AO171/1000/$C$3)</f>
        <v>#DIV/0!</v>
      </c>
      <c r="AU171" s="974"/>
      <c r="AV171" s="974" t="e">
        <f>IF($F171="","",$F171*chronic_consumption!AQ171/1000/$C$3)</f>
        <v>#DIV/0!</v>
      </c>
      <c r="AW171" s="974" t="e">
        <f>IF($F171="","",$F171*chronic_consumption!AR171/1000/$C$3)</f>
        <v>#DIV/0!</v>
      </c>
      <c r="AX171" s="974" t="e">
        <f>IF($F171="","",$F171*chronic_consumption!AS171/1000/$C$3)</f>
        <v>#DIV/0!</v>
      </c>
      <c r="AY171" s="974" t="e">
        <f>IF($F171="","",$F171*chronic_consumption!AT171/1000/$C$3)</f>
        <v>#DIV/0!</v>
      </c>
      <c r="AZ171" s="973" t="s">
        <v>19</v>
      </c>
      <c r="BA171" s="969" t="e">
        <f t="shared" si="15"/>
        <v>#DIV/0!</v>
      </c>
      <c r="BB171" s="970" t="e">
        <f t="shared" si="16"/>
        <v>#DIV/0!</v>
      </c>
      <c r="BC171" s="971" t="e">
        <f t="shared" ca="1" si="17"/>
        <v>#DIV/0!</v>
      </c>
      <c r="BD171" s="228">
        <f>input_values!Z171</f>
        <v>4</v>
      </c>
      <c r="BE171" s="152">
        <f>input_values!L171</f>
        <v>0</v>
      </c>
      <c r="BF171" s="972" t="str">
        <f t="shared" si="18"/>
        <v/>
      </c>
    </row>
    <row r="172" spans="1:58" ht="12" customHeight="1" outlineLevel="3" x14ac:dyDescent="0.2">
      <c r="A172" s="21">
        <v>4</v>
      </c>
      <c r="B172" s="23">
        <v>252030</v>
      </c>
      <c r="C172" s="23" t="s">
        <v>730</v>
      </c>
      <c r="D172" s="965">
        <f>Table22[[#This Row],[MRL individual commodity]]</f>
        <v>0</v>
      </c>
      <c r="E172" s="300" t="str">
        <f>Table22[[#This Row],[LOQ_label]]</f>
        <v/>
      </c>
      <c r="F172" s="966">
        <f>Table22[[#This Row],[Chronic RA input value]]</f>
        <v>0</v>
      </c>
      <c r="G172" s="304" t="str">
        <f>Table22[[#This Row],[Chronic RA label]]</f>
        <v/>
      </c>
      <c r="H172" s="304">
        <f>Table22[[#This Row],[GAP under assessment]]</f>
        <v>0</v>
      </c>
      <c r="I172" s="1123"/>
      <c r="J172" s="974" t="e">
        <f>IF($F172="","",$F172*chronic_consumption!$E172/1000/$C$3)</f>
        <v>#DIV/0!</v>
      </c>
      <c r="K172" s="974" t="e">
        <f>IF($F172="","",$F172*chronic_consumption!F172/1000/$C$3)</f>
        <v>#DIV/0!</v>
      </c>
      <c r="L172" s="974" t="e">
        <f>IF($F172="","",$F172*chronic_consumption!G172/1000/$C$3)</f>
        <v>#DIV/0!</v>
      </c>
      <c r="M172" s="974" t="e">
        <f>IF($F172="","",$F172*chronic_consumption!H172/1000/$C$3)</f>
        <v>#DIV/0!</v>
      </c>
      <c r="N172" s="974" t="e">
        <f>IF($F172="","",$F172*chronic_consumption!I172/1000/$C$3)</f>
        <v>#DIV/0!</v>
      </c>
      <c r="O172" s="974" t="e">
        <f>IF($F172="","",$F172*chronic_consumption!J172/1000/$C$3)</f>
        <v>#DIV/0!</v>
      </c>
      <c r="P172" s="974" t="e">
        <f>IF($F172="","",$F172*chronic_consumption!K172/1000/$C$3)</f>
        <v>#DIV/0!</v>
      </c>
      <c r="Q172" s="974" t="e">
        <f>IF($F172="","",$F172*chronic_consumption!L172/1000/$C$3)</f>
        <v>#DIV/0!</v>
      </c>
      <c r="R172" s="974" t="e">
        <f>IF($F172="","",$F172*chronic_consumption!M172/1000/$C$3)</f>
        <v>#DIV/0!</v>
      </c>
      <c r="S172" s="974" t="e">
        <f>IF($F172="","",$F172*chronic_consumption!N172/1000/$C$3)</f>
        <v>#DIV/0!</v>
      </c>
      <c r="T172" s="974" t="e">
        <f>IF($F172="","",$F172*chronic_consumption!O172/1000/$C$3)</f>
        <v>#DIV/0!</v>
      </c>
      <c r="U172" s="974" t="e">
        <f>IF($F172="","",$F172*chronic_consumption!P172/1000/$C$3)</f>
        <v>#DIV/0!</v>
      </c>
      <c r="V172" s="974" t="e">
        <f>IF($F172="","",$F172*chronic_consumption!Q172/1000/$C$3)</f>
        <v>#DIV/0!</v>
      </c>
      <c r="W172" s="974" t="e">
        <f>IF($F172="","",$F172*chronic_consumption!R172/1000/$C$3)</f>
        <v>#DIV/0!</v>
      </c>
      <c r="X172" s="974" t="e">
        <f>IF($F172="","",$F172*chronic_consumption!S172/1000/$C$3)</f>
        <v>#DIV/0!</v>
      </c>
      <c r="Y172" s="974" t="e">
        <f>IF($F172="","",$F172*chronic_consumption!T172/1000/$C$3)</f>
        <v>#DIV/0!</v>
      </c>
      <c r="Z172" s="974" t="e">
        <f>IF($F172="","",$F172*chronic_consumption!U172/1000/$C$3)</f>
        <v>#DIV/0!</v>
      </c>
      <c r="AA172" s="974" t="e">
        <f>IF($F172="","",$F172*chronic_consumption!V172/1000/$C$3)</f>
        <v>#DIV/0!</v>
      </c>
      <c r="AB172" s="974" t="e">
        <f>IF($F172="","",$F172*chronic_consumption!W172/1000/$C$3)</f>
        <v>#DIV/0!</v>
      </c>
      <c r="AC172" s="974" t="e">
        <f>IF($F172="","",$F172*chronic_consumption!X172/1000/$C$3)</f>
        <v>#DIV/0!</v>
      </c>
      <c r="AD172" s="974" t="e">
        <f>IF($F172="","",$F172*chronic_consumption!Y172/1000/$C$3)</f>
        <v>#DIV/0!</v>
      </c>
      <c r="AE172" s="974" t="e">
        <f>IF($F172="","",$F172*chronic_consumption!Z172/1000/$C$3)</f>
        <v>#DIV/0!</v>
      </c>
      <c r="AF172" s="974" t="e">
        <f>IF($F172="","",$F172*chronic_consumption!AA172/1000/$C$3)</f>
        <v>#DIV/0!</v>
      </c>
      <c r="AG172" s="974" t="e">
        <f>IF($F172="","",$F172*chronic_consumption!AB172/1000/$C$3)</f>
        <v>#DIV/0!</v>
      </c>
      <c r="AH172" s="974" t="e">
        <f>IF($F172="","",$F172*chronic_consumption!AC172/1000/$C$3)</f>
        <v>#DIV/0!</v>
      </c>
      <c r="AI172" s="974" t="e">
        <f>IF($F172="","",$F172*chronic_consumption!AD172/1000/$C$3)</f>
        <v>#DIV/0!</v>
      </c>
      <c r="AJ172" s="974" t="e">
        <f>IF($F172="","",$F172*chronic_consumption!AE172/1000/$C$3)</f>
        <v>#DIV/0!</v>
      </c>
      <c r="AK172" s="974" t="e">
        <f>IF($F172="","",$F172*chronic_consumption!AF172/1000/$C$3)</f>
        <v>#DIV/0!</v>
      </c>
      <c r="AL172" s="974" t="e">
        <f>IF($F172="","",$F172*chronic_consumption!AG172/1000/$C$3)</f>
        <v>#DIV/0!</v>
      </c>
      <c r="AM172" s="974" t="e">
        <f>IF($F172="","",$F172*chronic_consumption!AH172/1000/$C$3)</f>
        <v>#DIV/0!</v>
      </c>
      <c r="AN172" s="974" t="e">
        <f>IF($F172="","",$F172*chronic_consumption!AI172/1000/$C$3)</f>
        <v>#DIV/0!</v>
      </c>
      <c r="AO172" s="974" t="e">
        <f>IF($F172="","",$F172*chronic_consumption!AJ172/1000/$C$3)</f>
        <v>#DIV/0!</v>
      </c>
      <c r="AP172" s="974" t="e">
        <f>IF($F172="","",$F172*chronic_consumption!AK172/1000/$C$3)</f>
        <v>#DIV/0!</v>
      </c>
      <c r="AQ172" s="974" t="e">
        <f>IF($F172="","",$F172*chronic_consumption!AL172/1000/$C$3)</f>
        <v>#DIV/0!</v>
      </c>
      <c r="AR172" s="974" t="e">
        <f>IF($F172="","",$F172*chronic_consumption!AM172/1000/$C$3)</f>
        <v>#DIV/0!</v>
      </c>
      <c r="AS172" s="974" t="e">
        <f>IF($F172="","",$F172*chronic_consumption!AN172/1000/$C$3)</f>
        <v>#DIV/0!</v>
      </c>
      <c r="AT172" s="974" t="e">
        <f>IF($F172="","",$F172*chronic_consumption!AO172/1000/$C$3)</f>
        <v>#DIV/0!</v>
      </c>
      <c r="AU172" s="974"/>
      <c r="AV172" s="974" t="e">
        <f>IF($F172="","",$F172*chronic_consumption!AQ172/1000/$C$3)</f>
        <v>#DIV/0!</v>
      </c>
      <c r="AW172" s="974" t="e">
        <f>IF($F172="","",$F172*chronic_consumption!AR172/1000/$C$3)</f>
        <v>#DIV/0!</v>
      </c>
      <c r="AX172" s="974" t="e">
        <f>IF($F172="","",$F172*chronic_consumption!AS172/1000/$C$3)</f>
        <v>#DIV/0!</v>
      </c>
      <c r="AY172" s="974" t="e">
        <f>IF($F172="","",$F172*chronic_consumption!AT172/1000/$C$3)</f>
        <v>#DIV/0!</v>
      </c>
      <c r="AZ172" s="973" t="s">
        <v>19</v>
      </c>
      <c r="BA172" s="969" t="e">
        <f t="shared" si="15"/>
        <v>#DIV/0!</v>
      </c>
      <c r="BB172" s="970" t="e">
        <f t="shared" si="16"/>
        <v>#DIV/0!</v>
      </c>
      <c r="BC172" s="971" t="e">
        <f t="shared" ca="1" si="17"/>
        <v>#DIV/0!</v>
      </c>
      <c r="BD172" s="228">
        <f>input_values!Z172</f>
        <v>4</v>
      </c>
      <c r="BE172" s="152">
        <f>input_values!L172</f>
        <v>0</v>
      </c>
      <c r="BF172" s="972" t="str">
        <f t="shared" si="18"/>
        <v/>
      </c>
    </row>
    <row r="173" spans="1:58" ht="12" customHeight="1" outlineLevel="3" x14ac:dyDescent="0.2">
      <c r="A173" s="21">
        <v>4</v>
      </c>
      <c r="B173" s="23">
        <v>252990</v>
      </c>
      <c r="C173" s="23" t="s">
        <v>174</v>
      </c>
      <c r="D173" s="965">
        <f>Table22[[#This Row],[MRL individual commodity]]</f>
        <v>0</v>
      </c>
      <c r="E173" s="300" t="str">
        <f>Table22[[#This Row],[LOQ_label]]</f>
        <v/>
      </c>
      <c r="F173" s="966">
        <f>Table22[[#This Row],[Chronic RA input value]]</f>
        <v>0</v>
      </c>
      <c r="G173" s="304" t="str">
        <f>Table22[[#This Row],[Chronic RA label]]</f>
        <v/>
      </c>
      <c r="H173" s="304">
        <f>Table22[[#This Row],[GAP under assessment]]</f>
        <v>0</v>
      </c>
      <c r="I173" s="1123"/>
      <c r="J173" s="974" t="e">
        <f>IF($F173="","",$F173*chronic_consumption!$E173/1000/$C$3)</f>
        <v>#DIV/0!</v>
      </c>
      <c r="K173" s="974" t="e">
        <f>IF($F173="","",$F173*chronic_consumption!F173/1000/$C$3)</f>
        <v>#DIV/0!</v>
      </c>
      <c r="L173" s="974" t="e">
        <f>IF($F173="","",$F173*chronic_consumption!G173/1000/$C$3)</f>
        <v>#DIV/0!</v>
      </c>
      <c r="M173" s="974" t="e">
        <f>IF($F173="","",$F173*chronic_consumption!H173/1000/$C$3)</f>
        <v>#DIV/0!</v>
      </c>
      <c r="N173" s="974" t="e">
        <f>IF($F173="","",$F173*chronic_consumption!I173/1000/$C$3)</f>
        <v>#DIV/0!</v>
      </c>
      <c r="O173" s="974" t="e">
        <f>IF($F173="","",$F173*chronic_consumption!J173/1000/$C$3)</f>
        <v>#DIV/0!</v>
      </c>
      <c r="P173" s="974" t="e">
        <f>IF($F173="","",$F173*chronic_consumption!K173/1000/$C$3)</f>
        <v>#DIV/0!</v>
      </c>
      <c r="Q173" s="974" t="e">
        <f>IF($F173="","",$F173*chronic_consumption!L173/1000/$C$3)</f>
        <v>#DIV/0!</v>
      </c>
      <c r="R173" s="974" t="e">
        <f>IF($F173="","",$F173*chronic_consumption!M173/1000/$C$3)</f>
        <v>#DIV/0!</v>
      </c>
      <c r="S173" s="974" t="e">
        <f>IF($F173="","",$F173*chronic_consumption!N173/1000/$C$3)</f>
        <v>#DIV/0!</v>
      </c>
      <c r="T173" s="974" t="e">
        <f>IF($F173="","",$F173*chronic_consumption!O173/1000/$C$3)</f>
        <v>#DIV/0!</v>
      </c>
      <c r="U173" s="974" t="e">
        <f>IF($F173="","",$F173*chronic_consumption!P173/1000/$C$3)</f>
        <v>#DIV/0!</v>
      </c>
      <c r="V173" s="974" t="e">
        <f>IF($F173="","",$F173*chronic_consumption!Q173/1000/$C$3)</f>
        <v>#DIV/0!</v>
      </c>
      <c r="W173" s="974" t="e">
        <f>IF($F173="","",$F173*chronic_consumption!R173/1000/$C$3)</f>
        <v>#DIV/0!</v>
      </c>
      <c r="X173" s="974" t="e">
        <f>IF($F173="","",$F173*chronic_consumption!S173/1000/$C$3)</f>
        <v>#DIV/0!</v>
      </c>
      <c r="Y173" s="974" t="e">
        <f>IF($F173="","",$F173*chronic_consumption!T173/1000/$C$3)</f>
        <v>#DIV/0!</v>
      </c>
      <c r="Z173" s="974" t="e">
        <f>IF($F173="","",$F173*chronic_consumption!U173/1000/$C$3)</f>
        <v>#DIV/0!</v>
      </c>
      <c r="AA173" s="974" t="e">
        <f>IF($F173="","",$F173*chronic_consumption!V173/1000/$C$3)</f>
        <v>#DIV/0!</v>
      </c>
      <c r="AB173" s="974" t="e">
        <f>IF($F173="","",$F173*chronic_consumption!W173/1000/$C$3)</f>
        <v>#DIV/0!</v>
      </c>
      <c r="AC173" s="974" t="e">
        <f>IF($F173="","",$F173*chronic_consumption!X173/1000/$C$3)</f>
        <v>#DIV/0!</v>
      </c>
      <c r="AD173" s="974" t="e">
        <f>IF($F173="","",$F173*chronic_consumption!Y173/1000/$C$3)</f>
        <v>#DIV/0!</v>
      </c>
      <c r="AE173" s="974" t="e">
        <f>IF($F173="","",$F173*chronic_consumption!Z173/1000/$C$3)</f>
        <v>#DIV/0!</v>
      </c>
      <c r="AF173" s="974" t="e">
        <f>IF($F173="","",$F173*chronic_consumption!AA173/1000/$C$3)</f>
        <v>#DIV/0!</v>
      </c>
      <c r="AG173" s="974" t="e">
        <f>IF($F173="","",$F173*chronic_consumption!AB173/1000/$C$3)</f>
        <v>#DIV/0!</v>
      </c>
      <c r="AH173" s="974" t="e">
        <f>IF($F173="","",$F173*chronic_consumption!AC173/1000/$C$3)</f>
        <v>#DIV/0!</v>
      </c>
      <c r="AI173" s="974" t="e">
        <f>IF($F173="","",$F173*chronic_consumption!AD173/1000/$C$3)</f>
        <v>#DIV/0!</v>
      </c>
      <c r="AJ173" s="974" t="e">
        <f>IF($F173="","",$F173*chronic_consumption!AE173/1000/$C$3)</f>
        <v>#DIV/0!</v>
      </c>
      <c r="AK173" s="974" t="e">
        <f>IF($F173="","",$F173*chronic_consumption!AF173/1000/$C$3)</f>
        <v>#DIV/0!</v>
      </c>
      <c r="AL173" s="974" t="e">
        <f>IF($F173="","",$F173*chronic_consumption!AG173/1000/$C$3)</f>
        <v>#DIV/0!</v>
      </c>
      <c r="AM173" s="974" t="e">
        <f>IF($F173="","",$F173*chronic_consumption!AH173/1000/$C$3)</f>
        <v>#DIV/0!</v>
      </c>
      <c r="AN173" s="974" t="e">
        <f>IF($F173="","",$F173*chronic_consumption!AI173/1000/$C$3)</f>
        <v>#DIV/0!</v>
      </c>
      <c r="AO173" s="974" t="e">
        <f>IF($F173="","",$F173*chronic_consumption!AJ173/1000/$C$3)</f>
        <v>#DIV/0!</v>
      </c>
      <c r="AP173" s="974" t="e">
        <f>IF($F173="","",$F173*chronic_consumption!AK173/1000/$C$3)</f>
        <v>#DIV/0!</v>
      </c>
      <c r="AQ173" s="974" t="e">
        <f>IF($F173="","",$F173*chronic_consumption!AL173/1000/$C$3)</f>
        <v>#DIV/0!</v>
      </c>
      <c r="AR173" s="974" t="e">
        <f>IF($F173="","",$F173*chronic_consumption!AM173/1000/$C$3)</f>
        <v>#DIV/0!</v>
      </c>
      <c r="AS173" s="974" t="e">
        <f>IF($F173="","",$F173*chronic_consumption!AN173/1000/$C$3)</f>
        <v>#DIV/0!</v>
      </c>
      <c r="AT173" s="974" t="e">
        <f>IF($F173="","",$F173*chronic_consumption!AO173/1000/$C$3)</f>
        <v>#DIV/0!</v>
      </c>
      <c r="AU173" s="974"/>
      <c r="AV173" s="974" t="e">
        <f>IF($F173="","",$F173*chronic_consumption!AQ173/1000/$C$3)</f>
        <v>#DIV/0!</v>
      </c>
      <c r="AW173" s="974" t="e">
        <f>IF($F173="","",$F173*chronic_consumption!AR173/1000/$C$3)</f>
        <v>#DIV/0!</v>
      </c>
      <c r="AX173" s="974" t="e">
        <f>IF($F173="","",$F173*chronic_consumption!AS173/1000/$C$3)</f>
        <v>#DIV/0!</v>
      </c>
      <c r="AY173" s="974" t="e">
        <f>IF($F173="","",$F173*chronic_consumption!AT173/1000/$C$3)</f>
        <v>#DIV/0!</v>
      </c>
      <c r="AZ173" s="973" t="s">
        <v>19</v>
      </c>
      <c r="BA173" s="969" t="e">
        <f t="shared" si="15"/>
        <v>#DIV/0!</v>
      </c>
      <c r="BB173" s="970" t="e">
        <f t="shared" si="16"/>
        <v>#DIV/0!</v>
      </c>
      <c r="BC173" s="971" t="e">
        <f t="shared" ca="1" si="17"/>
        <v>#DIV/0!</v>
      </c>
      <c r="BD173" s="228">
        <f>input_values!Z173</f>
        <v>4</v>
      </c>
      <c r="BE173" s="152">
        <f>input_values!L173</f>
        <v>0</v>
      </c>
      <c r="BF173" s="972" t="str">
        <f t="shared" si="18"/>
        <v/>
      </c>
    </row>
    <row r="174" spans="1:58" ht="12" customHeight="1" outlineLevel="2" x14ac:dyDescent="0.2">
      <c r="A174" s="341">
        <v>3</v>
      </c>
      <c r="B174" s="3">
        <v>253000</v>
      </c>
      <c r="C174" s="3" t="s">
        <v>731</v>
      </c>
      <c r="D174" s="965">
        <f>Table22[[#This Row],[MRL individual commodity]]</f>
        <v>0</v>
      </c>
      <c r="E174" s="300" t="str">
        <f>Table22[[#This Row],[LOQ_label]]</f>
        <v/>
      </c>
      <c r="F174" s="966">
        <f>Table22[[#This Row],[Chronic RA input value]]</f>
        <v>0</v>
      </c>
      <c r="G174" s="304" t="str">
        <f>Table22[[#This Row],[Chronic RA label]]</f>
        <v/>
      </c>
      <c r="H174" s="304">
        <f>Table22[[#This Row],[GAP under assessment]]</f>
        <v>0</v>
      </c>
      <c r="I174" s="1123"/>
      <c r="J174" s="974" t="e">
        <f>IF($F174="","",$F174*chronic_consumption!$E174/1000/$C$3)</f>
        <v>#DIV/0!</v>
      </c>
      <c r="K174" s="974" t="e">
        <f>IF($F174="","",$F174*chronic_consumption!F174/1000/$C$3)</f>
        <v>#DIV/0!</v>
      </c>
      <c r="L174" s="974" t="e">
        <f>IF($F174="","",$F174*chronic_consumption!G174/1000/$C$3)</f>
        <v>#DIV/0!</v>
      </c>
      <c r="M174" s="974" t="e">
        <f>IF($F174="","",$F174*chronic_consumption!H174/1000/$C$3)</f>
        <v>#DIV/0!</v>
      </c>
      <c r="N174" s="974" t="e">
        <f>IF($F174="","",$F174*chronic_consumption!I174/1000/$C$3)</f>
        <v>#DIV/0!</v>
      </c>
      <c r="O174" s="974" t="e">
        <f>IF($F174="","",$F174*chronic_consumption!J174/1000/$C$3)</f>
        <v>#DIV/0!</v>
      </c>
      <c r="P174" s="974" t="e">
        <f>IF($F174="","",$F174*chronic_consumption!K174/1000/$C$3)</f>
        <v>#DIV/0!</v>
      </c>
      <c r="Q174" s="974" t="e">
        <f>IF($F174="","",$F174*chronic_consumption!L174/1000/$C$3)</f>
        <v>#DIV/0!</v>
      </c>
      <c r="R174" s="974" t="e">
        <f>IF($F174="","",$F174*chronic_consumption!M174/1000/$C$3)</f>
        <v>#DIV/0!</v>
      </c>
      <c r="S174" s="974" t="e">
        <f>IF($F174="","",$F174*chronic_consumption!N174/1000/$C$3)</f>
        <v>#DIV/0!</v>
      </c>
      <c r="T174" s="974" t="e">
        <f>IF($F174="","",$F174*chronic_consumption!O174/1000/$C$3)</f>
        <v>#DIV/0!</v>
      </c>
      <c r="U174" s="974" t="e">
        <f>IF($F174="","",$F174*chronic_consumption!P174/1000/$C$3)</f>
        <v>#DIV/0!</v>
      </c>
      <c r="V174" s="974" t="e">
        <f>IF($F174="","",$F174*chronic_consumption!Q174/1000/$C$3)</f>
        <v>#DIV/0!</v>
      </c>
      <c r="W174" s="974" t="e">
        <f>IF($F174="","",$F174*chronic_consumption!R174/1000/$C$3)</f>
        <v>#DIV/0!</v>
      </c>
      <c r="X174" s="974" t="e">
        <f>IF($F174="","",$F174*chronic_consumption!S174/1000/$C$3)</f>
        <v>#DIV/0!</v>
      </c>
      <c r="Y174" s="974" t="e">
        <f>IF($F174="","",$F174*chronic_consumption!T174/1000/$C$3)</f>
        <v>#DIV/0!</v>
      </c>
      <c r="Z174" s="974" t="e">
        <f>IF($F174="","",$F174*chronic_consumption!U174/1000/$C$3)</f>
        <v>#DIV/0!</v>
      </c>
      <c r="AA174" s="974" t="e">
        <f>IF($F174="","",$F174*chronic_consumption!V174/1000/$C$3)</f>
        <v>#DIV/0!</v>
      </c>
      <c r="AB174" s="974" t="e">
        <f>IF($F174="","",$F174*chronic_consumption!W174/1000/$C$3)</f>
        <v>#DIV/0!</v>
      </c>
      <c r="AC174" s="974" t="e">
        <f>IF($F174="","",$F174*chronic_consumption!X174/1000/$C$3)</f>
        <v>#DIV/0!</v>
      </c>
      <c r="AD174" s="974" t="e">
        <f>IF($F174="","",$F174*chronic_consumption!Y174/1000/$C$3)</f>
        <v>#DIV/0!</v>
      </c>
      <c r="AE174" s="974" t="e">
        <f>IF($F174="","",$F174*chronic_consumption!Z174/1000/$C$3)</f>
        <v>#DIV/0!</v>
      </c>
      <c r="AF174" s="974" t="e">
        <f>IF($F174="","",$F174*chronic_consumption!AA174/1000/$C$3)</f>
        <v>#DIV/0!</v>
      </c>
      <c r="AG174" s="974" t="e">
        <f>IF($F174="","",$F174*chronic_consumption!AB174/1000/$C$3)</f>
        <v>#DIV/0!</v>
      </c>
      <c r="AH174" s="974" t="e">
        <f>IF($F174="","",$F174*chronic_consumption!AC174/1000/$C$3)</f>
        <v>#DIV/0!</v>
      </c>
      <c r="AI174" s="974" t="e">
        <f>IF($F174="","",$F174*chronic_consumption!AD174/1000/$C$3)</f>
        <v>#DIV/0!</v>
      </c>
      <c r="AJ174" s="974" t="e">
        <f>IF($F174="","",$F174*chronic_consumption!AE174/1000/$C$3)</f>
        <v>#DIV/0!</v>
      </c>
      <c r="AK174" s="974" t="e">
        <f>IF($F174="","",$F174*chronic_consumption!AF174/1000/$C$3)</f>
        <v>#DIV/0!</v>
      </c>
      <c r="AL174" s="974" t="e">
        <f>IF($F174="","",$F174*chronic_consumption!AG174/1000/$C$3)</f>
        <v>#DIV/0!</v>
      </c>
      <c r="AM174" s="974" t="e">
        <f>IF($F174="","",$F174*chronic_consumption!AH174/1000/$C$3)</f>
        <v>#DIV/0!</v>
      </c>
      <c r="AN174" s="974" t="e">
        <f>IF($F174="","",$F174*chronic_consumption!AI174/1000/$C$3)</f>
        <v>#DIV/0!</v>
      </c>
      <c r="AO174" s="974" t="e">
        <f>IF($F174="","",$F174*chronic_consumption!AJ174/1000/$C$3)</f>
        <v>#DIV/0!</v>
      </c>
      <c r="AP174" s="974" t="e">
        <f>IF($F174="","",$F174*chronic_consumption!AK174/1000/$C$3)</f>
        <v>#DIV/0!</v>
      </c>
      <c r="AQ174" s="974" t="e">
        <f>IF($F174="","",$F174*chronic_consumption!AL174/1000/$C$3)</f>
        <v>#DIV/0!</v>
      </c>
      <c r="AR174" s="974" t="e">
        <f>IF($F174="","",$F174*chronic_consumption!AM174/1000/$C$3)</f>
        <v>#DIV/0!</v>
      </c>
      <c r="AS174" s="974" t="e">
        <f>IF($F174="","",$F174*chronic_consumption!AN174/1000/$C$3)</f>
        <v>#DIV/0!</v>
      </c>
      <c r="AT174" s="974" t="e">
        <f>IF($F174="","",$F174*chronic_consumption!AO174/1000/$C$3)</f>
        <v>#DIV/0!</v>
      </c>
      <c r="AU174" s="974"/>
      <c r="AV174" s="974" t="e">
        <f>IF($F174="","",$F174*chronic_consumption!AQ174/1000/$C$3)</f>
        <v>#DIV/0!</v>
      </c>
      <c r="AW174" s="974" t="e">
        <f>IF($F174="","",$F174*chronic_consumption!AR174/1000/$C$3)</f>
        <v>#DIV/0!</v>
      </c>
      <c r="AX174" s="974" t="e">
        <f>IF($F174="","",$F174*chronic_consumption!AS174/1000/$C$3)</f>
        <v>#DIV/0!</v>
      </c>
      <c r="AY174" s="974" t="e">
        <f>IF($F174="","",$F174*chronic_consumption!AT174/1000/$C$3)</f>
        <v>#DIV/0!</v>
      </c>
      <c r="AZ174" s="973" t="s">
        <v>19</v>
      </c>
      <c r="BA174" s="969" t="e">
        <f t="shared" si="15"/>
        <v>#DIV/0!</v>
      </c>
      <c r="BB174" s="970" t="e">
        <f t="shared" si="16"/>
        <v>#DIV/0!</v>
      </c>
      <c r="BC174" s="971" t="e">
        <f t="shared" ca="1" si="17"/>
        <v>#DIV/0!</v>
      </c>
      <c r="BD174" s="228">
        <f>input_values!Z174</f>
        <v>3</v>
      </c>
      <c r="BE174" s="152">
        <f>input_values!L174</f>
        <v>0</v>
      </c>
      <c r="BF174" s="972" t="str">
        <f t="shared" si="18"/>
        <v/>
      </c>
    </row>
    <row r="175" spans="1:58" ht="12" customHeight="1" outlineLevel="2" x14ac:dyDescent="0.2">
      <c r="A175" s="341">
        <v>3</v>
      </c>
      <c r="B175" s="3">
        <v>254000</v>
      </c>
      <c r="C175" s="3" t="s">
        <v>732</v>
      </c>
      <c r="D175" s="965">
        <f>Table22[[#This Row],[MRL individual commodity]]</f>
        <v>0</v>
      </c>
      <c r="E175" s="300" t="str">
        <f>Table22[[#This Row],[LOQ_label]]</f>
        <v/>
      </c>
      <c r="F175" s="966">
        <f>Table22[[#This Row],[Chronic RA input value]]</f>
        <v>0</v>
      </c>
      <c r="G175" s="304" t="str">
        <f>Table22[[#This Row],[Chronic RA label]]</f>
        <v/>
      </c>
      <c r="H175" s="304">
        <f>Table22[[#This Row],[GAP under assessment]]</f>
        <v>0</v>
      </c>
      <c r="I175" s="1123"/>
      <c r="J175" s="974" t="e">
        <f>IF($F175="","",$F175*chronic_consumption!$E175/1000/$C$3)</f>
        <v>#DIV/0!</v>
      </c>
      <c r="K175" s="974" t="e">
        <f>IF($F175="","",$F175*chronic_consumption!F175/1000/$C$3)</f>
        <v>#DIV/0!</v>
      </c>
      <c r="L175" s="974" t="e">
        <f>IF($F175="","",$F175*chronic_consumption!G175/1000/$C$3)</f>
        <v>#DIV/0!</v>
      </c>
      <c r="M175" s="974" t="e">
        <f>IF($F175="","",$F175*chronic_consumption!H175/1000/$C$3)</f>
        <v>#DIV/0!</v>
      </c>
      <c r="N175" s="974" t="e">
        <f>IF($F175="","",$F175*chronic_consumption!I175/1000/$C$3)</f>
        <v>#DIV/0!</v>
      </c>
      <c r="O175" s="974" t="e">
        <f>IF($F175="","",$F175*chronic_consumption!J175/1000/$C$3)</f>
        <v>#DIV/0!</v>
      </c>
      <c r="P175" s="974" t="e">
        <f>IF($F175="","",$F175*chronic_consumption!K175/1000/$C$3)</f>
        <v>#DIV/0!</v>
      </c>
      <c r="Q175" s="974" t="e">
        <f>IF($F175="","",$F175*chronic_consumption!L175/1000/$C$3)</f>
        <v>#DIV/0!</v>
      </c>
      <c r="R175" s="974" t="e">
        <f>IF($F175="","",$F175*chronic_consumption!M175/1000/$C$3)</f>
        <v>#DIV/0!</v>
      </c>
      <c r="S175" s="974" t="e">
        <f>IF($F175="","",$F175*chronic_consumption!N175/1000/$C$3)</f>
        <v>#DIV/0!</v>
      </c>
      <c r="T175" s="974" t="e">
        <f>IF($F175="","",$F175*chronic_consumption!O175/1000/$C$3)</f>
        <v>#DIV/0!</v>
      </c>
      <c r="U175" s="974" t="e">
        <f>IF($F175="","",$F175*chronic_consumption!P175/1000/$C$3)</f>
        <v>#DIV/0!</v>
      </c>
      <c r="V175" s="974" t="e">
        <f>IF($F175="","",$F175*chronic_consumption!Q175/1000/$C$3)</f>
        <v>#DIV/0!</v>
      </c>
      <c r="W175" s="974" t="e">
        <f>IF($F175="","",$F175*chronic_consumption!R175/1000/$C$3)</f>
        <v>#DIV/0!</v>
      </c>
      <c r="X175" s="974" t="e">
        <f>IF($F175="","",$F175*chronic_consumption!S175/1000/$C$3)</f>
        <v>#DIV/0!</v>
      </c>
      <c r="Y175" s="974" t="e">
        <f>IF($F175="","",$F175*chronic_consumption!T175/1000/$C$3)</f>
        <v>#DIV/0!</v>
      </c>
      <c r="Z175" s="974" t="e">
        <f>IF($F175="","",$F175*chronic_consumption!U175/1000/$C$3)</f>
        <v>#DIV/0!</v>
      </c>
      <c r="AA175" s="974" t="e">
        <f>IF($F175="","",$F175*chronic_consumption!V175/1000/$C$3)</f>
        <v>#DIV/0!</v>
      </c>
      <c r="AB175" s="974" t="e">
        <f>IF($F175="","",$F175*chronic_consumption!W175/1000/$C$3)</f>
        <v>#DIV/0!</v>
      </c>
      <c r="AC175" s="974" t="e">
        <f>IF($F175="","",$F175*chronic_consumption!X175/1000/$C$3)</f>
        <v>#DIV/0!</v>
      </c>
      <c r="AD175" s="974" t="e">
        <f>IF($F175="","",$F175*chronic_consumption!Y175/1000/$C$3)</f>
        <v>#DIV/0!</v>
      </c>
      <c r="AE175" s="974" t="e">
        <f>IF($F175="","",$F175*chronic_consumption!Z175/1000/$C$3)</f>
        <v>#DIV/0!</v>
      </c>
      <c r="AF175" s="974" t="e">
        <f>IF($F175="","",$F175*chronic_consumption!AA175/1000/$C$3)</f>
        <v>#DIV/0!</v>
      </c>
      <c r="AG175" s="974" t="e">
        <f>IF($F175="","",$F175*chronic_consumption!AB175/1000/$C$3)</f>
        <v>#DIV/0!</v>
      </c>
      <c r="AH175" s="974" t="e">
        <f>IF($F175="","",$F175*chronic_consumption!AC175/1000/$C$3)</f>
        <v>#DIV/0!</v>
      </c>
      <c r="AI175" s="974" t="e">
        <f>IF($F175="","",$F175*chronic_consumption!AD175/1000/$C$3)</f>
        <v>#DIV/0!</v>
      </c>
      <c r="AJ175" s="974" t="e">
        <f>IF($F175="","",$F175*chronic_consumption!AE175/1000/$C$3)</f>
        <v>#DIV/0!</v>
      </c>
      <c r="AK175" s="974" t="e">
        <f>IF($F175="","",$F175*chronic_consumption!AF175/1000/$C$3)</f>
        <v>#DIV/0!</v>
      </c>
      <c r="AL175" s="974" t="e">
        <f>IF($F175="","",$F175*chronic_consumption!AG175/1000/$C$3)</f>
        <v>#DIV/0!</v>
      </c>
      <c r="AM175" s="974" t="e">
        <f>IF($F175="","",$F175*chronic_consumption!AH175/1000/$C$3)</f>
        <v>#DIV/0!</v>
      </c>
      <c r="AN175" s="974" t="e">
        <f>IF($F175="","",$F175*chronic_consumption!AI175/1000/$C$3)</f>
        <v>#DIV/0!</v>
      </c>
      <c r="AO175" s="974" t="e">
        <f>IF($F175="","",$F175*chronic_consumption!AJ175/1000/$C$3)</f>
        <v>#DIV/0!</v>
      </c>
      <c r="AP175" s="974" t="e">
        <f>IF($F175="","",$F175*chronic_consumption!AK175/1000/$C$3)</f>
        <v>#DIV/0!</v>
      </c>
      <c r="AQ175" s="974" t="e">
        <f>IF($F175="","",$F175*chronic_consumption!AL175/1000/$C$3)</f>
        <v>#DIV/0!</v>
      </c>
      <c r="AR175" s="974" t="e">
        <f>IF($F175="","",$F175*chronic_consumption!AM175/1000/$C$3)</f>
        <v>#DIV/0!</v>
      </c>
      <c r="AS175" s="974" t="e">
        <f>IF($F175="","",$F175*chronic_consumption!AN175/1000/$C$3)</f>
        <v>#DIV/0!</v>
      </c>
      <c r="AT175" s="974" t="e">
        <f>IF($F175="","",$F175*chronic_consumption!AO175/1000/$C$3)</f>
        <v>#DIV/0!</v>
      </c>
      <c r="AU175" s="974"/>
      <c r="AV175" s="974" t="e">
        <f>IF($F175="","",$F175*chronic_consumption!AQ175/1000/$C$3)</f>
        <v>#DIV/0!</v>
      </c>
      <c r="AW175" s="974" t="e">
        <f>IF($F175="","",$F175*chronic_consumption!AR175/1000/$C$3)</f>
        <v>#DIV/0!</v>
      </c>
      <c r="AX175" s="974" t="e">
        <f>IF($F175="","",$F175*chronic_consumption!AS175/1000/$C$3)</f>
        <v>#DIV/0!</v>
      </c>
      <c r="AY175" s="974" t="e">
        <f>IF($F175="","",$F175*chronic_consumption!AT175/1000/$C$3)</f>
        <v>#DIV/0!</v>
      </c>
      <c r="AZ175" s="973" t="s">
        <v>19</v>
      </c>
      <c r="BA175" s="969" t="e">
        <f t="shared" si="15"/>
        <v>#DIV/0!</v>
      </c>
      <c r="BB175" s="970" t="e">
        <f t="shared" si="16"/>
        <v>#DIV/0!</v>
      </c>
      <c r="BC175" s="971" t="e">
        <f t="shared" ca="1" si="17"/>
        <v>#DIV/0!</v>
      </c>
      <c r="BD175" s="228">
        <f>input_values!Z175</f>
        <v>3</v>
      </c>
      <c r="BE175" s="152">
        <f>input_values!L175</f>
        <v>0</v>
      </c>
      <c r="BF175" s="972" t="str">
        <f t="shared" si="18"/>
        <v/>
      </c>
    </row>
    <row r="176" spans="1:58" ht="12" customHeight="1" outlineLevel="2" x14ac:dyDescent="0.2">
      <c r="A176" s="341">
        <v>3</v>
      </c>
      <c r="B176" s="3">
        <v>255000</v>
      </c>
      <c r="C176" s="3" t="s">
        <v>733</v>
      </c>
      <c r="D176" s="965">
        <f>Table22[[#This Row],[MRL individual commodity]]</f>
        <v>0</v>
      </c>
      <c r="E176" s="300" t="str">
        <f>Table22[[#This Row],[LOQ_label]]</f>
        <v/>
      </c>
      <c r="F176" s="966">
        <f>Table22[[#This Row],[Chronic RA input value]]</f>
        <v>0</v>
      </c>
      <c r="G176" s="304" t="str">
        <f>Table22[[#This Row],[Chronic RA label]]</f>
        <v/>
      </c>
      <c r="H176" s="304">
        <f>Table22[[#This Row],[GAP under assessment]]</f>
        <v>0</v>
      </c>
      <c r="I176" s="1123"/>
      <c r="J176" s="974" t="e">
        <f>IF($F176="","",$F176*chronic_consumption!$E176/1000/$C$3)</f>
        <v>#DIV/0!</v>
      </c>
      <c r="K176" s="974" t="e">
        <f>IF($F176="","",$F176*chronic_consumption!F176/1000/$C$3)</f>
        <v>#DIV/0!</v>
      </c>
      <c r="L176" s="974" t="e">
        <f>IF($F176="","",$F176*chronic_consumption!G176/1000/$C$3)</f>
        <v>#DIV/0!</v>
      </c>
      <c r="M176" s="974" t="e">
        <f>IF($F176="","",$F176*chronic_consumption!H176/1000/$C$3)</f>
        <v>#DIV/0!</v>
      </c>
      <c r="N176" s="974" t="e">
        <f>IF($F176="","",$F176*chronic_consumption!I176/1000/$C$3)</f>
        <v>#DIV/0!</v>
      </c>
      <c r="O176" s="974" t="e">
        <f>IF($F176="","",$F176*chronic_consumption!J176/1000/$C$3)</f>
        <v>#DIV/0!</v>
      </c>
      <c r="P176" s="974" t="e">
        <f>IF($F176="","",$F176*chronic_consumption!K176/1000/$C$3)</f>
        <v>#DIV/0!</v>
      </c>
      <c r="Q176" s="974" t="e">
        <f>IF($F176="","",$F176*chronic_consumption!L176/1000/$C$3)</f>
        <v>#DIV/0!</v>
      </c>
      <c r="R176" s="974" t="e">
        <f>IF($F176="","",$F176*chronic_consumption!M176/1000/$C$3)</f>
        <v>#DIV/0!</v>
      </c>
      <c r="S176" s="974" t="e">
        <f>IF($F176="","",$F176*chronic_consumption!N176/1000/$C$3)</f>
        <v>#DIV/0!</v>
      </c>
      <c r="T176" s="974" t="e">
        <f>IF($F176="","",$F176*chronic_consumption!O176/1000/$C$3)</f>
        <v>#DIV/0!</v>
      </c>
      <c r="U176" s="974" t="e">
        <f>IF($F176="","",$F176*chronic_consumption!P176/1000/$C$3)</f>
        <v>#DIV/0!</v>
      </c>
      <c r="V176" s="974" t="e">
        <f>IF($F176="","",$F176*chronic_consumption!Q176/1000/$C$3)</f>
        <v>#DIV/0!</v>
      </c>
      <c r="W176" s="974" t="e">
        <f>IF($F176="","",$F176*chronic_consumption!R176/1000/$C$3)</f>
        <v>#DIV/0!</v>
      </c>
      <c r="X176" s="974" t="e">
        <f>IF($F176="","",$F176*chronic_consumption!S176/1000/$C$3)</f>
        <v>#DIV/0!</v>
      </c>
      <c r="Y176" s="974" t="e">
        <f>IF($F176="","",$F176*chronic_consumption!T176/1000/$C$3)</f>
        <v>#DIV/0!</v>
      </c>
      <c r="Z176" s="974" t="e">
        <f>IF($F176="","",$F176*chronic_consumption!U176/1000/$C$3)</f>
        <v>#DIV/0!</v>
      </c>
      <c r="AA176" s="974" t="e">
        <f>IF($F176="","",$F176*chronic_consumption!V176/1000/$C$3)</f>
        <v>#DIV/0!</v>
      </c>
      <c r="AB176" s="974" t="e">
        <f>IF($F176="","",$F176*chronic_consumption!W176/1000/$C$3)</f>
        <v>#DIV/0!</v>
      </c>
      <c r="AC176" s="974" t="e">
        <f>IF($F176="","",$F176*chronic_consumption!X176/1000/$C$3)</f>
        <v>#DIV/0!</v>
      </c>
      <c r="AD176" s="974" t="e">
        <f>IF($F176="","",$F176*chronic_consumption!Y176/1000/$C$3)</f>
        <v>#DIV/0!</v>
      </c>
      <c r="AE176" s="974" t="e">
        <f>IF($F176="","",$F176*chronic_consumption!Z176/1000/$C$3)</f>
        <v>#DIV/0!</v>
      </c>
      <c r="AF176" s="974" t="e">
        <f>IF($F176="","",$F176*chronic_consumption!AA176/1000/$C$3)</f>
        <v>#DIV/0!</v>
      </c>
      <c r="AG176" s="974" t="e">
        <f>IF($F176="","",$F176*chronic_consumption!AB176/1000/$C$3)</f>
        <v>#DIV/0!</v>
      </c>
      <c r="AH176" s="974" t="e">
        <f>IF($F176="","",$F176*chronic_consumption!AC176/1000/$C$3)</f>
        <v>#DIV/0!</v>
      </c>
      <c r="AI176" s="974" t="e">
        <f>IF($F176="","",$F176*chronic_consumption!AD176/1000/$C$3)</f>
        <v>#DIV/0!</v>
      </c>
      <c r="AJ176" s="974" t="e">
        <f>IF($F176="","",$F176*chronic_consumption!AE176/1000/$C$3)</f>
        <v>#DIV/0!</v>
      </c>
      <c r="AK176" s="974" t="e">
        <f>IF($F176="","",$F176*chronic_consumption!AF176/1000/$C$3)</f>
        <v>#DIV/0!</v>
      </c>
      <c r="AL176" s="974" t="e">
        <f>IF($F176="","",$F176*chronic_consumption!AG176/1000/$C$3)</f>
        <v>#DIV/0!</v>
      </c>
      <c r="AM176" s="974" t="e">
        <f>IF($F176="","",$F176*chronic_consumption!AH176/1000/$C$3)</f>
        <v>#DIV/0!</v>
      </c>
      <c r="AN176" s="974" t="e">
        <f>IF($F176="","",$F176*chronic_consumption!AI176/1000/$C$3)</f>
        <v>#DIV/0!</v>
      </c>
      <c r="AO176" s="974" t="e">
        <f>IF($F176="","",$F176*chronic_consumption!AJ176/1000/$C$3)</f>
        <v>#DIV/0!</v>
      </c>
      <c r="AP176" s="974" t="e">
        <f>IF($F176="","",$F176*chronic_consumption!AK176/1000/$C$3)</f>
        <v>#DIV/0!</v>
      </c>
      <c r="AQ176" s="974" t="e">
        <f>IF($F176="","",$F176*chronic_consumption!AL176/1000/$C$3)</f>
        <v>#DIV/0!</v>
      </c>
      <c r="AR176" s="974" t="e">
        <f>IF($F176="","",$F176*chronic_consumption!AM176/1000/$C$3)</f>
        <v>#DIV/0!</v>
      </c>
      <c r="AS176" s="974" t="e">
        <f>IF($F176="","",$F176*chronic_consumption!AN176/1000/$C$3)</f>
        <v>#DIV/0!</v>
      </c>
      <c r="AT176" s="974" t="e">
        <f>IF($F176="","",$F176*chronic_consumption!AO176/1000/$C$3)</f>
        <v>#DIV/0!</v>
      </c>
      <c r="AU176" s="974"/>
      <c r="AV176" s="974" t="e">
        <f>IF($F176="","",$F176*chronic_consumption!AQ176/1000/$C$3)</f>
        <v>#DIV/0!</v>
      </c>
      <c r="AW176" s="974" t="e">
        <f>IF($F176="","",$F176*chronic_consumption!AR176/1000/$C$3)</f>
        <v>#DIV/0!</v>
      </c>
      <c r="AX176" s="974" t="e">
        <f>IF($F176="","",$F176*chronic_consumption!AS176/1000/$C$3)</f>
        <v>#DIV/0!</v>
      </c>
      <c r="AY176" s="974" t="e">
        <f>IF($F176="","",$F176*chronic_consumption!AT176/1000/$C$3)</f>
        <v>#DIV/0!</v>
      </c>
      <c r="AZ176" s="973" t="s">
        <v>19</v>
      </c>
      <c r="BA176" s="969" t="e">
        <f t="shared" si="15"/>
        <v>#DIV/0!</v>
      </c>
      <c r="BB176" s="970" t="e">
        <f t="shared" si="16"/>
        <v>#DIV/0!</v>
      </c>
      <c r="BC176" s="971" t="e">
        <f t="shared" ca="1" si="17"/>
        <v>#DIV/0!</v>
      </c>
      <c r="BD176" s="228">
        <f>input_values!Z176</f>
        <v>3</v>
      </c>
      <c r="BE176" s="152">
        <f>input_values!L176</f>
        <v>0</v>
      </c>
      <c r="BF176" s="972" t="str">
        <f t="shared" si="18"/>
        <v/>
      </c>
    </row>
    <row r="177" spans="1:58" ht="12" customHeight="1" outlineLevel="2" x14ac:dyDescent="0.2">
      <c r="A177" s="341">
        <v>3</v>
      </c>
      <c r="B177" s="3">
        <v>256000</v>
      </c>
      <c r="C177" s="3" t="s">
        <v>734</v>
      </c>
      <c r="D177" s="965">
        <f>Table22[[#This Row],[MRL individual commodity]]</f>
        <v>0</v>
      </c>
      <c r="E177" s="300">
        <f>Table22[[#This Row],[LOQ_label]]</f>
        <v>0</v>
      </c>
      <c r="F177" s="966">
        <f>Table22[[#This Row],[Chronic RA input value]]</f>
        <v>0</v>
      </c>
      <c r="G177" s="304">
        <f>Table22[[#This Row],[Chronic RA label]]</f>
        <v>0</v>
      </c>
      <c r="H177" s="304">
        <f>Table22[[#This Row],[GAP under assessment]]</f>
        <v>0</v>
      </c>
      <c r="I177" s="1123"/>
      <c r="J177" s="967" t="e">
        <f>IF($F177="","",$F177*chronic_consumption!$E177/1000/$C$3)</f>
        <v>#DIV/0!</v>
      </c>
      <c r="K177" s="967" t="e">
        <f>IF($F177="","",$F177*chronic_consumption!F177/1000/$C$3)</f>
        <v>#DIV/0!</v>
      </c>
      <c r="L177" s="967" t="e">
        <f>IF($F177="","",$F177*chronic_consumption!G177/1000/$C$3)</f>
        <v>#DIV/0!</v>
      </c>
      <c r="M177" s="967" t="e">
        <f>IF($F177="","",$F177*chronic_consumption!H177/1000/$C$3)</f>
        <v>#DIV/0!</v>
      </c>
      <c r="N177" s="967" t="e">
        <f>IF($F177="","",$F177*chronic_consumption!I177/1000/$C$3)</f>
        <v>#DIV/0!</v>
      </c>
      <c r="O177" s="967" t="e">
        <f>IF($F177="","",$F177*chronic_consumption!J177/1000/$C$3)</f>
        <v>#DIV/0!</v>
      </c>
      <c r="P177" s="967" t="e">
        <f>IF($F177="","",$F177*chronic_consumption!K177/1000/$C$3)</f>
        <v>#DIV/0!</v>
      </c>
      <c r="Q177" s="967" t="e">
        <f>IF($F177="","",$F177*chronic_consumption!L177/1000/$C$3)</f>
        <v>#DIV/0!</v>
      </c>
      <c r="R177" s="967" t="e">
        <f>IF($F177="","",$F177*chronic_consumption!M177/1000/$C$3)</f>
        <v>#DIV/0!</v>
      </c>
      <c r="S177" s="967" t="e">
        <f>IF($F177="","",$F177*chronic_consumption!N177/1000/$C$3)</f>
        <v>#DIV/0!</v>
      </c>
      <c r="T177" s="967" t="e">
        <f>IF($F177="","",$F177*chronic_consumption!O177/1000/$C$3)</f>
        <v>#DIV/0!</v>
      </c>
      <c r="U177" s="967" t="e">
        <f>IF($F177="","",$F177*chronic_consumption!P177/1000/$C$3)</f>
        <v>#DIV/0!</v>
      </c>
      <c r="V177" s="967" t="e">
        <f>IF($F177="","",$F177*chronic_consumption!Q177/1000/$C$3)</f>
        <v>#DIV/0!</v>
      </c>
      <c r="W177" s="967" t="e">
        <f>IF($F177="","",$F177*chronic_consumption!R177/1000/$C$3)</f>
        <v>#DIV/0!</v>
      </c>
      <c r="X177" s="967" t="e">
        <f>IF($F177="","",$F177*chronic_consumption!S177/1000/$C$3)</f>
        <v>#DIV/0!</v>
      </c>
      <c r="Y177" s="967" t="e">
        <f>IF($F177="","",$F177*chronic_consumption!T177/1000/$C$3)</f>
        <v>#DIV/0!</v>
      </c>
      <c r="Z177" s="967" t="e">
        <f>IF($F177="","",$F177*chronic_consumption!U177/1000/$C$3)</f>
        <v>#DIV/0!</v>
      </c>
      <c r="AA177" s="967" t="e">
        <f>IF($F177="","",$F177*chronic_consumption!V177/1000/$C$3)</f>
        <v>#DIV/0!</v>
      </c>
      <c r="AB177" s="967" t="e">
        <f>IF($F177="","",$F177*chronic_consumption!W177/1000/$C$3)</f>
        <v>#DIV/0!</v>
      </c>
      <c r="AC177" s="967" t="e">
        <f>IF($F177="","",$F177*chronic_consumption!X177/1000/$C$3)</f>
        <v>#DIV/0!</v>
      </c>
      <c r="AD177" s="967" t="e">
        <f>IF($F177="","",$F177*chronic_consumption!Y177/1000/$C$3)</f>
        <v>#DIV/0!</v>
      </c>
      <c r="AE177" s="967" t="e">
        <f>IF($F177="","",$F177*chronic_consumption!Z177/1000/$C$3)</f>
        <v>#DIV/0!</v>
      </c>
      <c r="AF177" s="967" t="e">
        <f>IF($F177="","",$F177*chronic_consumption!AA177/1000/$C$3)</f>
        <v>#DIV/0!</v>
      </c>
      <c r="AG177" s="967" t="e">
        <f>IF($F177="","",$F177*chronic_consumption!AB177/1000/$C$3)</f>
        <v>#DIV/0!</v>
      </c>
      <c r="AH177" s="967" t="e">
        <f>IF($F177="","",$F177*chronic_consumption!AC177/1000/$C$3)</f>
        <v>#DIV/0!</v>
      </c>
      <c r="AI177" s="967" t="e">
        <f>IF($F177="","",$F177*chronic_consumption!AD177/1000/$C$3)</f>
        <v>#DIV/0!</v>
      </c>
      <c r="AJ177" s="967" t="e">
        <f>IF($F177="","",$F177*chronic_consumption!AE177/1000/$C$3)</f>
        <v>#DIV/0!</v>
      </c>
      <c r="AK177" s="967" t="e">
        <f>IF($F177="","",$F177*chronic_consumption!AF177/1000/$C$3)</f>
        <v>#DIV/0!</v>
      </c>
      <c r="AL177" s="967" t="e">
        <f>IF($F177="","",$F177*chronic_consumption!AG177/1000/$C$3)</f>
        <v>#DIV/0!</v>
      </c>
      <c r="AM177" s="967" t="e">
        <f>IF($F177="","",$F177*chronic_consumption!AH177/1000/$C$3)</f>
        <v>#DIV/0!</v>
      </c>
      <c r="AN177" s="967" t="e">
        <f>IF($F177="","",$F177*chronic_consumption!AI177/1000/$C$3)</f>
        <v>#DIV/0!</v>
      </c>
      <c r="AO177" s="967" t="e">
        <f>IF($F177="","",$F177*chronic_consumption!AJ177/1000/$C$3)</f>
        <v>#DIV/0!</v>
      </c>
      <c r="AP177" s="967" t="e">
        <f>IF($F177="","",$F177*chronic_consumption!AK177/1000/$C$3)</f>
        <v>#DIV/0!</v>
      </c>
      <c r="AQ177" s="967" t="e">
        <f>IF($F177="","",$F177*chronic_consumption!AL177/1000/$C$3)</f>
        <v>#DIV/0!</v>
      </c>
      <c r="AR177" s="967" t="e">
        <f>IF($F177="","",$F177*chronic_consumption!AM177/1000/$C$3)</f>
        <v>#DIV/0!</v>
      </c>
      <c r="AS177" s="967" t="e">
        <f>IF($F177="","",$F177*chronic_consumption!AN177/1000/$C$3)</f>
        <v>#DIV/0!</v>
      </c>
      <c r="AT177" s="967" t="e">
        <f>IF($F177="","",$F177*chronic_consumption!AO177/1000/$C$3)</f>
        <v>#DIV/0!</v>
      </c>
      <c r="AU177" s="967"/>
      <c r="AV177" s="967" t="e">
        <f>IF($F177="","",$F177*chronic_consumption!AQ177/1000/$C$3)</f>
        <v>#DIV/0!</v>
      </c>
      <c r="AW177" s="967" t="e">
        <f>IF($F177="","",$F177*chronic_consumption!AR177/1000/$C$3)</f>
        <v>#DIV/0!</v>
      </c>
      <c r="AX177" s="967" t="e">
        <f>IF($F177="","",$F177*chronic_consumption!AS177/1000/$C$3)</f>
        <v>#DIV/0!</v>
      </c>
      <c r="AY177" s="967" t="e">
        <f>IF($F177="","",$F177*chronic_consumption!AT177/1000/$C$3)</f>
        <v>#DIV/0!</v>
      </c>
      <c r="AZ177" s="973"/>
      <c r="BA177" s="969" t="e">
        <f t="shared" si="15"/>
        <v>#DIV/0!</v>
      </c>
      <c r="BB177" s="970" t="e">
        <f t="shared" si="16"/>
        <v>#DIV/0!</v>
      </c>
      <c r="BC177" s="971" t="e">
        <f t="shared" ca="1" si="17"/>
        <v>#DIV/0!</v>
      </c>
      <c r="BD177" s="228">
        <f>input_values!Z177</f>
        <v>4</v>
      </c>
      <c r="BE177" s="152">
        <f>input_values!L177</f>
        <v>0</v>
      </c>
      <c r="BF177" s="972" t="str">
        <f t="shared" si="18"/>
        <v/>
      </c>
    </row>
    <row r="178" spans="1:58" ht="12" customHeight="1" outlineLevel="3" x14ac:dyDescent="0.2">
      <c r="A178" s="21">
        <v>4</v>
      </c>
      <c r="B178" s="23">
        <v>256010</v>
      </c>
      <c r="C178" s="23" t="s">
        <v>128</v>
      </c>
      <c r="D178" s="965">
        <f>Table22[[#This Row],[MRL individual commodity]]</f>
        <v>0</v>
      </c>
      <c r="E178" s="300" t="str">
        <f>Table22[[#This Row],[LOQ_label]]</f>
        <v/>
      </c>
      <c r="F178" s="966">
        <f>Table22[[#This Row],[Chronic RA input value]]</f>
        <v>0</v>
      </c>
      <c r="G178" s="304" t="str">
        <f>Table22[[#This Row],[Chronic RA label]]</f>
        <v/>
      </c>
      <c r="H178" s="304">
        <f>Table22[[#This Row],[GAP under assessment]]</f>
        <v>0</v>
      </c>
      <c r="I178" s="1123"/>
      <c r="J178" s="974" t="e">
        <f>IF($F178="","",$F178*chronic_consumption!$E178/1000/$C$3)</f>
        <v>#DIV/0!</v>
      </c>
      <c r="K178" s="974" t="e">
        <f>IF($F178="","",$F178*chronic_consumption!F178/1000/$C$3)</f>
        <v>#DIV/0!</v>
      </c>
      <c r="L178" s="974" t="e">
        <f>IF($F178="","",$F178*chronic_consumption!G178/1000/$C$3)</f>
        <v>#DIV/0!</v>
      </c>
      <c r="M178" s="974" t="e">
        <f>IF($F178="","",$F178*chronic_consumption!H178/1000/$C$3)</f>
        <v>#DIV/0!</v>
      </c>
      <c r="N178" s="974" t="e">
        <f>IF($F178="","",$F178*chronic_consumption!I178/1000/$C$3)</f>
        <v>#DIV/0!</v>
      </c>
      <c r="O178" s="974" t="e">
        <f>IF($F178="","",$F178*chronic_consumption!J178/1000/$C$3)</f>
        <v>#DIV/0!</v>
      </c>
      <c r="P178" s="974" t="e">
        <f>IF($F178="","",$F178*chronic_consumption!K178/1000/$C$3)</f>
        <v>#DIV/0!</v>
      </c>
      <c r="Q178" s="974" t="e">
        <f>IF($F178="","",$F178*chronic_consumption!L178/1000/$C$3)</f>
        <v>#DIV/0!</v>
      </c>
      <c r="R178" s="974" t="e">
        <f>IF($F178="","",$F178*chronic_consumption!M178/1000/$C$3)</f>
        <v>#DIV/0!</v>
      </c>
      <c r="S178" s="974" t="e">
        <f>IF($F178="","",$F178*chronic_consumption!N178/1000/$C$3)</f>
        <v>#DIV/0!</v>
      </c>
      <c r="T178" s="974" t="e">
        <f>IF($F178="","",$F178*chronic_consumption!O178/1000/$C$3)</f>
        <v>#DIV/0!</v>
      </c>
      <c r="U178" s="974" t="e">
        <f>IF($F178="","",$F178*chronic_consumption!P178/1000/$C$3)</f>
        <v>#DIV/0!</v>
      </c>
      <c r="V178" s="974" t="e">
        <f>IF($F178="","",$F178*chronic_consumption!Q178/1000/$C$3)</f>
        <v>#DIV/0!</v>
      </c>
      <c r="W178" s="974" t="e">
        <f>IF($F178="","",$F178*chronic_consumption!R178/1000/$C$3)</f>
        <v>#DIV/0!</v>
      </c>
      <c r="X178" s="974" t="e">
        <f>IF($F178="","",$F178*chronic_consumption!S178/1000/$C$3)</f>
        <v>#DIV/0!</v>
      </c>
      <c r="Y178" s="974" t="e">
        <f>IF($F178="","",$F178*chronic_consumption!T178/1000/$C$3)</f>
        <v>#DIV/0!</v>
      </c>
      <c r="Z178" s="974" t="e">
        <f>IF($F178="","",$F178*chronic_consumption!U178/1000/$C$3)</f>
        <v>#DIV/0!</v>
      </c>
      <c r="AA178" s="974" t="e">
        <f>IF($F178="","",$F178*chronic_consumption!V178/1000/$C$3)</f>
        <v>#DIV/0!</v>
      </c>
      <c r="AB178" s="974" t="e">
        <f>IF($F178="","",$F178*chronic_consumption!W178/1000/$C$3)</f>
        <v>#DIV/0!</v>
      </c>
      <c r="AC178" s="974" t="e">
        <f>IF($F178="","",$F178*chronic_consumption!X178/1000/$C$3)</f>
        <v>#DIV/0!</v>
      </c>
      <c r="AD178" s="974" t="e">
        <f>IF($F178="","",$F178*chronic_consumption!Y178/1000/$C$3)</f>
        <v>#DIV/0!</v>
      </c>
      <c r="AE178" s="974" t="e">
        <f>IF($F178="","",$F178*chronic_consumption!Z178/1000/$C$3)</f>
        <v>#DIV/0!</v>
      </c>
      <c r="AF178" s="974" t="e">
        <f>IF($F178="","",$F178*chronic_consumption!AA178/1000/$C$3)</f>
        <v>#DIV/0!</v>
      </c>
      <c r="AG178" s="974" t="e">
        <f>IF($F178="","",$F178*chronic_consumption!AB178/1000/$C$3)</f>
        <v>#DIV/0!</v>
      </c>
      <c r="AH178" s="974" t="e">
        <f>IF($F178="","",$F178*chronic_consumption!AC178/1000/$C$3)</f>
        <v>#DIV/0!</v>
      </c>
      <c r="AI178" s="974" t="e">
        <f>IF($F178="","",$F178*chronic_consumption!AD178/1000/$C$3)</f>
        <v>#DIV/0!</v>
      </c>
      <c r="AJ178" s="974" t="e">
        <f>IF($F178="","",$F178*chronic_consumption!AE178/1000/$C$3)</f>
        <v>#DIV/0!</v>
      </c>
      <c r="AK178" s="974" t="e">
        <f>IF($F178="","",$F178*chronic_consumption!AF178/1000/$C$3)</f>
        <v>#DIV/0!</v>
      </c>
      <c r="AL178" s="974" t="e">
        <f>IF($F178="","",$F178*chronic_consumption!AG178/1000/$C$3)</f>
        <v>#DIV/0!</v>
      </c>
      <c r="AM178" s="974" t="e">
        <f>IF($F178="","",$F178*chronic_consumption!AH178/1000/$C$3)</f>
        <v>#DIV/0!</v>
      </c>
      <c r="AN178" s="974" t="e">
        <f>IF($F178="","",$F178*chronic_consumption!AI178/1000/$C$3)</f>
        <v>#DIV/0!</v>
      </c>
      <c r="AO178" s="974" t="e">
        <f>IF($F178="","",$F178*chronic_consumption!AJ178/1000/$C$3)</f>
        <v>#DIV/0!</v>
      </c>
      <c r="AP178" s="974" t="e">
        <f>IF($F178="","",$F178*chronic_consumption!AK178/1000/$C$3)</f>
        <v>#DIV/0!</v>
      </c>
      <c r="AQ178" s="974" t="e">
        <f>IF($F178="","",$F178*chronic_consumption!AL178/1000/$C$3)</f>
        <v>#DIV/0!</v>
      </c>
      <c r="AR178" s="974" t="e">
        <f>IF($F178="","",$F178*chronic_consumption!AM178/1000/$C$3)</f>
        <v>#DIV/0!</v>
      </c>
      <c r="AS178" s="974" t="e">
        <f>IF($F178="","",$F178*chronic_consumption!AN178/1000/$C$3)</f>
        <v>#DIV/0!</v>
      </c>
      <c r="AT178" s="974" t="e">
        <f>IF($F178="","",$F178*chronic_consumption!AO178/1000/$C$3)</f>
        <v>#DIV/0!</v>
      </c>
      <c r="AU178" s="974"/>
      <c r="AV178" s="974" t="e">
        <f>IF($F178="","",$F178*chronic_consumption!AQ178/1000/$C$3)</f>
        <v>#DIV/0!</v>
      </c>
      <c r="AW178" s="974" t="e">
        <f>IF($F178="","",$F178*chronic_consumption!AR178/1000/$C$3)</f>
        <v>#DIV/0!</v>
      </c>
      <c r="AX178" s="974" t="e">
        <f>IF($F178="","",$F178*chronic_consumption!AS178/1000/$C$3)</f>
        <v>#DIV/0!</v>
      </c>
      <c r="AY178" s="974" t="e">
        <f>IF($F178="","",$F178*chronic_consumption!AT178/1000/$C$3)</f>
        <v>#DIV/0!</v>
      </c>
      <c r="AZ178" s="973" t="s">
        <v>19</v>
      </c>
      <c r="BA178" s="969" t="e">
        <f t="shared" si="15"/>
        <v>#DIV/0!</v>
      </c>
      <c r="BB178" s="970" t="e">
        <f t="shared" si="16"/>
        <v>#DIV/0!</v>
      </c>
      <c r="BC178" s="971" t="e">
        <f t="shared" ca="1" si="17"/>
        <v>#DIV/0!</v>
      </c>
      <c r="BD178" s="228">
        <f>input_values!Z178</f>
        <v>4</v>
      </c>
      <c r="BE178" s="152">
        <f>input_values!L178</f>
        <v>0</v>
      </c>
      <c r="BF178" s="972" t="str">
        <f t="shared" si="18"/>
        <v/>
      </c>
    </row>
    <row r="179" spans="1:58" ht="12" customHeight="1" outlineLevel="3" x14ac:dyDescent="0.2">
      <c r="A179" s="21">
        <v>4</v>
      </c>
      <c r="B179" s="23">
        <v>256020</v>
      </c>
      <c r="C179" s="23" t="s">
        <v>129</v>
      </c>
      <c r="D179" s="965">
        <f>Table22[[#This Row],[MRL individual commodity]]</f>
        <v>0</v>
      </c>
      <c r="E179" s="300" t="str">
        <f>Table22[[#This Row],[LOQ_label]]</f>
        <v/>
      </c>
      <c r="F179" s="966">
        <f>Table22[[#This Row],[Chronic RA input value]]</f>
        <v>0</v>
      </c>
      <c r="G179" s="304" t="str">
        <f>Table22[[#This Row],[Chronic RA label]]</f>
        <v/>
      </c>
      <c r="H179" s="304">
        <f>Table22[[#This Row],[GAP under assessment]]</f>
        <v>0</v>
      </c>
      <c r="I179" s="1123"/>
      <c r="J179" s="974" t="e">
        <f>IF($F179="","",$F179*chronic_consumption!$E179/1000/$C$3)</f>
        <v>#DIV/0!</v>
      </c>
      <c r="K179" s="974" t="e">
        <f>IF($F179="","",$F179*chronic_consumption!F179/1000/$C$3)</f>
        <v>#DIV/0!</v>
      </c>
      <c r="L179" s="974" t="e">
        <f>IF($F179="","",$F179*chronic_consumption!G179/1000/$C$3)</f>
        <v>#DIV/0!</v>
      </c>
      <c r="M179" s="974" t="e">
        <f>IF($F179="","",$F179*chronic_consumption!H179/1000/$C$3)</f>
        <v>#DIV/0!</v>
      </c>
      <c r="N179" s="974" t="e">
        <f>IF($F179="","",$F179*chronic_consumption!I179/1000/$C$3)</f>
        <v>#DIV/0!</v>
      </c>
      <c r="O179" s="974" t="e">
        <f>IF($F179="","",$F179*chronic_consumption!J179/1000/$C$3)</f>
        <v>#DIV/0!</v>
      </c>
      <c r="P179" s="974" t="e">
        <f>IF($F179="","",$F179*chronic_consumption!K179/1000/$C$3)</f>
        <v>#DIV/0!</v>
      </c>
      <c r="Q179" s="974" t="e">
        <f>IF($F179="","",$F179*chronic_consumption!L179/1000/$C$3)</f>
        <v>#DIV/0!</v>
      </c>
      <c r="R179" s="974" t="e">
        <f>IF($F179="","",$F179*chronic_consumption!M179/1000/$C$3)</f>
        <v>#DIV/0!</v>
      </c>
      <c r="S179" s="974" t="e">
        <f>IF($F179="","",$F179*chronic_consumption!N179/1000/$C$3)</f>
        <v>#DIV/0!</v>
      </c>
      <c r="T179" s="974" t="e">
        <f>IF($F179="","",$F179*chronic_consumption!O179/1000/$C$3)</f>
        <v>#DIV/0!</v>
      </c>
      <c r="U179" s="974" t="e">
        <f>IF($F179="","",$F179*chronic_consumption!P179/1000/$C$3)</f>
        <v>#DIV/0!</v>
      </c>
      <c r="V179" s="974" t="e">
        <f>IF($F179="","",$F179*chronic_consumption!Q179/1000/$C$3)</f>
        <v>#DIV/0!</v>
      </c>
      <c r="W179" s="974" t="e">
        <f>IF($F179="","",$F179*chronic_consumption!R179/1000/$C$3)</f>
        <v>#DIV/0!</v>
      </c>
      <c r="X179" s="974" t="e">
        <f>IF($F179="","",$F179*chronic_consumption!S179/1000/$C$3)</f>
        <v>#DIV/0!</v>
      </c>
      <c r="Y179" s="974" t="e">
        <f>IF($F179="","",$F179*chronic_consumption!T179/1000/$C$3)</f>
        <v>#DIV/0!</v>
      </c>
      <c r="Z179" s="974" t="e">
        <f>IF($F179="","",$F179*chronic_consumption!U179/1000/$C$3)</f>
        <v>#DIV/0!</v>
      </c>
      <c r="AA179" s="974" t="e">
        <f>IF($F179="","",$F179*chronic_consumption!V179/1000/$C$3)</f>
        <v>#DIV/0!</v>
      </c>
      <c r="AB179" s="974" t="e">
        <f>IF($F179="","",$F179*chronic_consumption!W179/1000/$C$3)</f>
        <v>#DIV/0!</v>
      </c>
      <c r="AC179" s="974" t="e">
        <f>IF($F179="","",$F179*chronic_consumption!X179/1000/$C$3)</f>
        <v>#DIV/0!</v>
      </c>
      <c r="AD179" s="974" t="e">
        <f>IF($F179="","",$F179*chronic_consumption!Y179/1000/$C$3)</f>
        <v>#DIV/0!</v>
      </c>
      <c r="AE179" s="974" t="e">
        <f>IF($F179="","",$F179*chronic_consumption!Z179/1000/$C$3)</f>
        <v>#DIV/0!</v>
      </c>
      <c r="AF179" s="974" t="e">
        <f>IF($F179="","",$F179*chronic_consumption!AA179/1000/$C$3)</f>
        <v>#DIV/0!</v>
      </c>
      <c r="AG179" s="974" t="e">
        <f>IF($F179="","",$F179*chronic_consumption!AB179/1000/$C$3)</f>
        <v>#DIV/0!</v>
      </c>
      <c r="AH179" s="974" t="e">
        <f>IF($F179="","",$F179*chronic_consumption!AC179/1000/$C$3)</f>
        <v>#DIV/0!</v>
      </c>
      <c r="AI179" s="974" t="e">
        <f>IF($F179="","",$F179*chronic_consumption!AD179/1000/$C$3)</f>
        <v>#DIV/0!</v>
      </c>
      <c r="AJ179" s="974" t="e">
        <f>IF($F179="","",$F179*chronic_consumption!AE179/1000/$C$3)</f>
        <v>#DIV/0!</v>
      </c>
      <c r="AK179" s="974" t="e">
        <f>IF($F179="","",$F179*chronic_consumption!AF179/1000/$C$3)</f>
        <v>#DIV/0!</v>
      </c>
      <c r="AL179" s="974" t="e">
        <f>IF($F179="","",$F179*chronic_consumption!AG179/1000/$C$3)</f>
        <v>#DIV/0!</v>
      </c>
      <c r="AM179" s="974" t="e">
        <f>IF($F179="","",$F179*chronic_consumption!AH179/1000/$C$3)</f>
        <v>#DIV/0!</v>
      </c>
      <c r="AN179" s="974" t="e">
        <f>IF($F179="","",$F179*chronic_consumption!AI179/1000/$C$3)</f>
        <v>#DIV/0!</v>
      </c>
      <c r="AO179" s="974" t="e">
        <f>IF($F179="","",$F179*chronic_consumption!AJ179/1000/$C$3)</f>
        <v>#DIV/0!</v>
      </c>
      <c r="AP179" s="974" t="e">
        <f>IF($F179="","",$F179*chronic_consumption!AK179/1000/$C$3)</f>
        <v>#DIV/0!</v>
      </c>
      <c r="AQ179" s="974" t="e">
        <f>IF($F179="","",$F179*chronic_consumption!AL179/1000/$C$3)</f>
        <v>#DIV/0!</v>
      </c>
      <c r="AR179" s="974" t="e">
        <f>IF($F179="","",$F179*chronic_consumption!AM179/1000/$C$3)</f>
        <v>#DIV/0!</v>
      </c>
      <c r="AS179" s="974" t="e">
        <f>IF($F179="","",$F179*chronic_consumption!AN179/1000/$C$3)</f>
        <v>#DIV/0!</v>
      </c>
      <c r="AT179" s="974" t="e">
        <f>IF($F179="","",$F179*chronic_consumption!AO179/1000/$C$3)</f>
        <v>#DIV/0!</v>
      </c>
      <c r="AU179" s="974"/>
      <c r="AV179" s="974" t="e">
        <f>IF($F179="","",$F179*chronic_consumption!AQ179/1000/$C$3)</f>
        <v>#DIV/0!</v>
      </c>
      <c r="AW179" s="974" t="e">
        <f>IF($F179="","",$F179*chronic_consumption!AR179/1000/$C$3)</f>
        <v>#DIV/0!</v>
      </c>
      <c r="AX179" s="974" t="e">
        <f>IF($F179="","",$F179*chronic_consumption!AS179/1000/$C$3)</f>
        <v>#DIV/0!</v>
      </c>
      <c r="AY179" s="974" t="e">
        <f>IF($F179="","",$F179*chronic_consumption!AT179/1000/$C$3)</f>
        <v>#DIV/0!</v>
      </c>
      <c r="AZ179" s="973" t="s">
        <v>19</v>
      </c>
      <c r="BA179" s="969" t="e">
        <f t="shared" si="15"/>
        <v>#DIV/0!</v>
      </c>
      <c r="BB179" s="970" t="e">
        <f t="shared" si="16"/>
        <v>#DIV/0!</v>
      </c>
      <c r="BC179" s="971" t="e">
        <f t="shared" ca="1" si="17"/>
        <v>#DIV/0!</v>
      </c>
      <c r="BD179" s="228">
        <f>input_values!Z179</f>
        <v>4</v>
      </c>
      <c r="BE179" s="152">
        <f>input_values!L179</f>
        <v>0</v>
      </c>
      <c r="BF179" s="972" t="str">
        <f t="shared" si="18"/>
        <v/>
      </c>
    </row>
    <row r="180" spans="1:58" ht="12" customHeight="1" outlineLevel="3" x14ac:dyDescent="0.2">
      <c r="A180" s="21">
        <v>4</v>
      </c>
      <c r="B180" s="23">
        <v>256030</v>
      </c>
      <c r="C180" s="23" t="s">
        <v>130</v>
      </c>
      <c r="D180" s="965">
        <f>Table22[[#This Row],[MRL individual commodity]]</f>
        <v>0</v>
      </c>
      <c r="E180" s="300" t="str">
        <f>Table22[[#This Row],[LOQ_label]]</f>
        <v/>
      </c>
      <c r="F180" s="966">
        <f>Table22[[#This Row],[Chronic RA input value]]</f>
        <v>0</v>
      </c>
      <c r="G180" s="304" t="str">
        <f>Table22[[#This Row],[Chronic RA label]]</f>
        <v/>
      </c>
      <c r="H180" s="304">
        <f>Table22[[#This Row],[GAP under assessment]]</f>
        <v>0</v>
      </c>
      <c r="I180" s="1123"/>
      <c r="J180" s="974" t="e">
        <f>IF($F180="","",$F180*chronic_consumption!$E180/1000/$C$3)</f>
        <v>#DIV/0!</v>
      </c>
      <c r="K180" s="974" t="e">
        <f>IF($F180="","",$F180*chronic_consumption!F180/1000/$C$3)</f>
        <v>#DIV/0!</v>
      </c>
      <c r="L180" s="974" t="e">
        <f>IF($F180="","",$F180*chronic_consumption!G180/1000/$C$3)</f>
        <v>#DIV/0!</v>
      </c>
      <c r="M180" s="974" t="e">
        <f>IF($F180="","",$F180*chronic_consumption!H180/1000/$C$3)</f>
        <v>#DIV/0!</v>
      </c>
      <c r="N180" s="974" t="e">
        <f>IF($F180="","",$F180*chronic_consumption!I180/1000/$C$3)</f>
        <v>#DIV/0!</v>
      </c>
      <c r="O180" s="974" t="e">
        <f>IF($F180="","",$F180*chronic_consumption!J180/1000/$C$3)</f>
        <v>#DIV/0!</v>
      </c>
      <c r="P180" s="974" t="e">
        <f>IF($F180="","",$F180*chronic_consumption!K180/1000/$C$3)</f>
        <v>#DIV/0!</v>
      </c>
      <c r="Q180" s="974" t="e">
        <f>IF($F180="","",$F180*chronic_consumption!L180/1000/$C$3)</f>
        <v>#DIV/0!</v>
      </c>
      <c r="R180" s="974" t="e">
        <f>IF($F180="","",$F180*chronic_consumption!M180/1000/$C$3)</f>
        <v>#DIV/0!</v>
      </c>
      <c r="S180" s="974" t="e">
        <f>IF($F180="","",$F180*chronic_consumption!N180/1000/$C$3)</f>
        <v>#DIV/0!</v>
      </c>
      <c r="T180" s="974" t="e">
        <f>IF($F180="","",$F180*chronic_consumption!O180/1000/$C$3)</f>
        <v>#DIV/0!</v>
      </c>
      <c r="U180" s="974" t="e">
        <f>IF($F180="","",$F180*chronic_consumption!P180/1000/$C$3)</f>
        <v>#DIV/0!</v>
      </c>
      <c r="V180" s="974" t="e">
        <f>IF($F180="","",$F180*chronic_consumption!Q180/1000/$C$3)</f>
        <v>#DIV/0!</v>
      </c>
      <c r="W180" s="974" t="e">
        <f>IF($F180="","",$F180*chronic_consumption!R180/1000/$C$3)</f>
        <v>#DIV/0!</v>
      </c>
      <c r="X180" s="974" t="e">
        <f>IF($F180="","",$F180*chronic_consumption!S180/1000/$C$3)</f>
        <v>#DIV/0!</v>
      </c>
      <c r="Y180" s="974" t="e">
        <f>IF($F180="","",$F180*chronic_consumption!T180/1000/$C$3)</f>
        <v>#DIV/0!</v>
      </c>
      <c r="Z180" s="974" t="e">
        <f>IF($F180="","",$F180*chronic_consumption!U180/1000/$C$3)</f>
        <v>#DIV/0!</v>
      </c>
      <c r="AA180" s="974" t="e">
        <f>IF($F180="","",$F180*chronic_consumption!V180/1000/$C$3)</f>
        <v>#DIV/0!</v>
      </c>
      <c r="AB180" s="974" t="e">
        <f>IF($F180="","",$F180*chronic_consumption!W180/1000/$C$3)</f>
        <v>#DIV/0!</v>
      </c>
      <c r="AC180" s="974" t="e">
        <f>IF($F180="","",$F180*chronic_consumption!X180/1000/$C$3)</f>
        <v>#DIV/0!</v>
      </c>
      <c r="AD180" s="974" t="e">
        <f>IF($F180="","",$F180*chronic_consumption!Y180/1000/$C$3)</f>
        <v>#DIV/0!</v>
      </c>
      <c r="AE180" s="974" t="e">
        <f>IF($F180="","",$F180*chronic_consumption!Z180/1000/$C$3)</f>
        <v>#DIV/0!</v>
      </c>
      <c r="AF180" s="974" t="e">
        <f>IF($F180="","",$F180*chronic_consumption!AA180/1000/$C$3)</f>
        <v>#DIV/0!</v>
      </c>
      <c r="AG180" s="974" t="e">
        <f>IF($F180="","",$F180*chronic_consumption!AB180/1000/$C$3)</f>
        <v>#DIV/0!</v>
      </c>
      <c r="AH180" s="974" t="e">
        <f>IF($F180="","",$F180*chronic_consumption!AC180/1000/$C$3)</f>
        <v>#DIV/0!</v>
      </c>
      <c r="AI180" s="974" t="e">
        <f>IF($F180="","",$F180*chronic_consumption!AD180/1000/$C$3)</f>
        <v>#DIV/0!</v>
      </c>
      <c r="AJ180" s="974" t="e">
        <f>IF($F180="","",$F180*chronic_consumption!AE180/1000/$C$3)</f>
        <v>#DIV/0!</v>
      </c>
      <c r="AK180" s="974" t="e">
        <f>IF($F180="","",$F180*chronic_consumption!AF180/1000/$C$3)</f>
        <v>#DIV/0!</v>
      </c>
      <c r="AL180" s="974" t="e">
        <f>IF($F180="","",$F180*chronic_consumption!AG180/1000/$C$3)</f>
        <v>#DIV/0!</v>
      </c>
      <c r="AM180" s="974" t="e">
        <f>IF($F180="","",$F180*chronic_consumption!AH180/1000/$C$3)</f>
        <v>#DIV/0!</v>
      </c>
      <c r="AN180" s="974" t="e">
        <f>IF($F180="","",$F180*chronic_consumption!AI180/1000/$C$3)</f>
        <v>#DIV/0!</v>
      </c>
      <c r="AO180" s="974" t="e">
        <f>IF($F180="","",$F180*chronic_consumption!AJ180/1000/$C$3)</f>
        <v>#DIV/0!</v>
      </c>
      <c r="AP180" s="974" t="e">
        <f>IF($F180="","",$F180*chronic_consumption!AK180/1000/$C$3)</f>
        <v>#DIV/0!</v>
      </c>
      <c r="AQ180" s="974" t="e">
        <f>IF($F180="","",$F180*chronic_consumption!AL180/1000/$C$3)</f>
        <v>#DIV/0!</v>
      </c>
      <c r="AR180" s="974" t="e">
        <f>IF($F180="","",$F180*chronic_consumption!AM180/1000/$C$3)</f>
        <v>#DIV/0!</v>
      </c>
      <c r="AS180" s="974" t="e">
        <f>IF($F180="","",$F180*chronic_consumption!AN180/1000/$C$3)</f>
        <v>#DIV/0!</v>
      </c>
      <c r="AT180" s="974" t="e">
        <f>IF($F180="","",$F180*chronic_consumption!AO180/1000/$C$3)</f>
        <v>#DIV/0!</v>
      </c>
      <c r="AU180" s="974"/>
      <c r="AV180" s="974" t="e">
        <f>IF($F180="","",$F180*chronic_consumption!AQ180/1000/$C$3)</f>
        <v>#DIV/0!</v>
      </c>
      <c r="AW180" s="974" t="e">
        <f>IF($F180="","",$F180*chronic_consumption!AR180/1000/$C$3)</f>
        <v>#DIV/0!</v>
      </c>
      <c r="AX180" s="974" t="e">
        <f>IF($F180="","",$F180*chronic_consumption!AS180/1000/$C$3)</f>
        <v>#DIV/0!</v>
      </c>
      <c r="AY180" s="974" t="e">
        <f>IF($F180="","",$F180*chronic_consumption!AT180/1000/$C$3)</f>
        <v>#DIV/0!</v>
      </c>
      <c r="AZ180" s="973" t="s">
        <v>19</v>
      </c>
      <c r="BA180" s="969" t="e">
        <f t="shared" si="15"/>
        <v>#DIV/0!</v>
      </c>
      <c r="BB180" s="970" t="e">
        <f t="shared" si="16"/>
        <v>#DIV/0!</v>
      </c>
      <c r="BC180" s="971" t="e">
        <f t="shared" ca="1" si="17"/>
        <v>#DIV/0!</v>
      </c>
      <c r="BD180" s="228">
        <f>input_values!Z180</f>
        <v>4</v>
      </c>
      <c r="BE180" s="152">
        <f>input_values!L180</f>
        <v>0</v>
      </c>
      <c r="BF180" s="972" t="str">
        <f t="shared" si="18"/>
        <v/>
      </c>
    </row>
    <row r="181" spans="1:58" ht="12" customHeight="1" outlineLevel="3" x14ac:dyDescent="0.2">
      <c r="A181" s="21">
        <v>4</v>
      </c>
      <c r="B181" s="23">
        <v>256040</v>
      </c>
      <c r="C181" s="23" t="s">
        <v>131</v>
      </c>
      <c r="D181" s="965">
        <f>Table22[[#This Row],[MRL individual commodity]]</f>
        <v>0</v>
      </c>
      <c r="E181" s="300" t="str">
        <f>Table22[[#This Row],[LOQ_label]]</f>
        <v/>
      </c>
      <c r="F181" s="966">
        <f>Table22[[#This Row],[Chronic RA input value]]</f>
        <v>0</v>
      </c>
      <c r="G181" s="304" t="str">
        <f>Table22[[#This Row],[Chronic RA label]]</f>
        <v/>
      </c>
      <c r="H181" s="304">
        <f>Table22[[#This Row],[GAP under assessment]]</f>
        <v>0</v>
      </c>
      <c r="I181" s="1123"/>
      <c r="J181" s="974" t="e">
        <f>IF($F181="","",$F181*chronic_consumption!$E181/1000/$C$3)</f>
        <v>#DIV/0!</v>
      </c>
      <c r="K181" s="974" t="e">
        <f>IF($F181="","",$F181*chronic_consumption!F181/1000/$C$3)</f>
        <v>#DIV/0!</v>
      </c>
      <c r="L181" s="974" t="e">
        <f>IF($F181="","",$F181*chronic_consumption!G181/1000/$C$3)</f>
        <v>#DIV/0!</v>
      </c>
      <c r="M181" s="974" t="e">
        <f>IF($F181="","",$F181*chronic_consumption!H181/1000/$C$3)</f>
        <v>#DIV/0!</v>
      </c>
      <c r="N181" s="974" t="e">
        <f>IF($F181="","",$F181*chronic_consumption!I181/1000/$C$3)</f>
        <v>#DIV/0!</v>
      </c>
      <c r="O181" s="974" t="e">
        <f>IF($F181="","",$F181*chronic_consumption!J181/1000/$C$3)</f>
        <v>#DIV/0!</v>
      </c>
      <c r="P181" s="974" t="e">
        <f>IF($F181="","",$F181*chronic_consumption!K181/1000/$C$3)</f>
        <v>#DIV/0!</v>
      </c>
      <c r="Q181" s="974" t="e">
        <f>IF($F181="","",$F181*chronic_consumption!L181/1000/$C$3)</f>
        <v>#DIV/0!</v>
      </c>
      <c r="R181" s="974" t="e">
        <f>IF($F181="","",$F181*chronic_consumption!M181/1000/$C$3)</f>
        <v>#DIV/0!</v>
      </c>
      <c r="S181" s="974" t="e">
        <f>IF($F181="","",$F181*chronic_consumption!N181/1000/$C$3)</f>
        <v>#DIV/0!</v>
      </c>
      <c r="T181" s="974" t="e">
        <f>IF($F181="","",$F181*chronic_consumption!O181/1000/$C$3)</f>
        <v>#DIV/0!</v>
      </c>
      <c r="U181" s="974" t="e">
        <f>IF($F181="","",$F181*chronic_consumption!P181/1000/$C$3)</f>
        <v>#DIV/0!</v>
      </c>
      <c r="V181" s="974" t="e">
        <f>IF($F181="","",$F181*chronic_consumption!Q181/1000/$C$3)</f>
        <v>#DIV/0!</v>
      </c>
      <c r="W181" s="974" t="e">
        <f>IF($F181="","",$F181*chronic_consumption!R181/1000/$C$3)</f>
        <v>#DIV/0!</v>
      </c>
      <c r="X181" s="974" t="e">
        <f>IF($F181="","",$F181*chronic_consumption!S181/1000/$C$3)</f>
        <v>#DIV/0!</v>
      </c>
      <c r="Y181" s="974" t="e">
        <f>IF($F181="","",$F181*chronic_consumption!T181/1000/$C$3)</f>
        <v>#DIV/0!</v>
      </c>
      <c r="Z181" s="974" t="e">
        <f>IF($F181="","",$F181*chronic_consumption!U181/1000/$C$3)</f>
        <v>#DIV/0!</v>
      </c>
      <c r="AA181" s="974" t="e">
        <f>IF($F181="","",$F181*chronic_consumption!V181/1000/$C$3)</f>
        <v>#DIV/0!</v>
      </c>
      <c r="AB181" s="974" t="e">
        <f>IF($F181="","",$F181*chronic_consumption!W181/1000/$C$3)</f>
        <v>#DIV/0!</v>
      </c>
      <c r="AC181" s="974" t="e">
        <f>IF($F181="","",$F181*chronic_consumption!X181/1000/$C$3)</f>
        <v>#DIV/0!</v>
      </c>
      <c r="AD181" s="974" t="e">
        <f>IF($F181="","",$F181*chronic_consumption!Y181/1000/$C$3)</f>
        <v>#DIV/0!</v>
      </c>
      <c r="AE181" s="974" t="e">
        <f>IF($F181="","",$F181*chronic_consumption!Z181/1000/$C$3)</f>
        <v>#DIV/0!</v>
      </c>
      <c r="AF181" s="974" t="e">
        <f>IF($F181="","",$F181*chronic_consumption!AA181/1000/$C$3)</f>
        <v>#DIV/0!</v>
      </c>
      <c r="AG181" s="974" t="e">
        <f>IF($F181="","",$F181*chronic_consumption!AB181/1000/$C$3)</f>
        <v>#DIV/0!</v>
      </c>
      <c r="AH181" s="974" t="e">
        <f>IF($F181="","",$F181*chronic_consumption!AC181/1000/$C$3)</f>
        <v>#DIV/0!</v>
      </c>
      <c r="AI181" s="974" t="e">
        <f>IF($F181="","",$F181*chronic_consumption!AD181/1000/$C$3)</f>
        <v>#DIV/0!</v>
      </c>
      <c r="AJ181" s="974" t="e">
        <f>IF($F181="","",$F181*chronic_consumption!AE181/1000/$C$3)</f>
        <v>#DIV/0!</v>
      </c>
      <c r="AK181" s="974" t="e">
        <f>IF($F181="","",$F181*chronic_consumption!AF181/1000/$C$3)</f>
        <v>#DIV/0!</v>
      </c>
      <c r="AL181" s="974" t="e">
        <f>IF($F181="","",$F181*chronic_consumption!AG181/1000/$C$3)</f>
        <v>#DIV/0!</v>
      </c>
      <c r="AM181" s="974" t="e">
        <f>IF($F181="","",$F181*chronic_consumption!AH181/1000/$C$3)</f>
        <v>#DIV/0!</v>
      </c>
      <c r="AN181" s="974" t="e">
        <f>IF($F181="","",$F181*chronic_consumption!AI181/1000/$C$3)</f>
        <v>#DIV/0!</v>
      </c>
      <c r="AO181" s="974" t="e">
        <f>IF($F181="","",$F181*chronic_consumption!AJ181/1000/$C$3)</f>
        <v>#DIV/0!</v>
      </c>
      <c r="AP181" s="974" t="e">
        <f>IF($F181="","",$F181*chronic_consumption!AK181/1000/$C$3)</f>
        <v>#DIV/0!</v>
      </c>
      <c r="AQ181" s="974" t="e">
        <f>IF($F181="","",$F181*chronic_consumption!AL181/1000/$C$3)</f>
        <v>#DIV/0!</v>
      </c>
      <c r="AR181" s="974" t="e">
        <f>IF($F181="","",$F181*chronic_consumption!AM181/1000/$C$3)</f>
        <v>#DIV/0!</v>
      </c>
      <c r="AS181" s="974" t="e">
        <f>IF($F181="","",$F181*chronic_consumption!AN181/1000/$C$3)</f>
        <v>#DIV/0!</v>
      </c>
      <c r="AT181" s="974" t="e">
        <f>IF($F181="","",$F181*chronic_consumption!AO181/1000/$C$3)</f>
        <v>#DIV/0!</v>
      </c>
      <c r="AU181" s="974"/>
      <c r="AV181" s="974" t="e">
        <f>IF($F181="","",$F181*chronic_consumption!AQ181/1000/$C$3)</f>
        <v>#DIV/0!</v>
      </c>
      <c r="AW181" s="974" t="e">
        <f>IF($F181="","",$F181*chronic_consumption!AR181/1000/$C$3)</f>
        <v>#DIV/0!</v>
      </c>
      <c r="AX181" s="974" t="e">
        <f>IF($F181="","",$F181*chronic_consumption!AS181/1000/$C$3)</f>
        <v>#DIV/0!</v>
      </c>
      <c r="AY181" s="974" t="e">
        <f>IF($F181="","",$F181*chronic_consumption!AT181/1000/$C$3)</f>
        <v>#DIV/0!</v>
      </c>
      <c r="AZ181" s="973" t="s">
        <v>19</v>
      </c>
      <c r="BA181" s="969" t="e">
        <f t="shared" si="15"/>
        <v>#DIV/0!</v>
      </c>
      <c r="BB181" s="970" t="e">
        <f t="shared" si="16"/>
        <v>#DIV/0!</v>
      </c>
      <c r="BC181" s="971" t="e">
        <f t="shared" ca="1" si="17"/>
        <v>#DIV/0!</v>
      </c>
      <c r="BD181" s="228">
        <f>input_values!Z181</f>
        <v>4</v>
      </c>
      <c r="BE181" s="152">
        <f>input_values!L181</f>
        <v>0</v>
      </c>
      <c r="BF181" s="972" t="str">
        <f t="shared" si="18"/>
        <v/>
      </c>
    </row>
    <row r="182" spans="1:58" ht="12" customHeight="1" outlineLevel="3" x14ac:dyDescent="0.2">
      <c r="A182" s="21">
        <v>4</v>
      </c>
      <c r="B182" s="23">
        <v>256050</v>
      </c>
      <c r="C182" s="23" t="s">
        <v>132</v>
      </c>
      <c r="D182" s="965">
        <f>Table22[[#This Row],[MRL individual commodity]]</f>
        <v>0</v>
      </c>
      <c r="E182" s="300" t="str">
        <f>Table22[[#This Row],[LOQ_label]]</f>
        <v/>
      </c>
      <c r="F182" s="966">
        <f>Table22[[#This Row],[Chronic RA input value]]</f>
        <v>0</v>
      </c>
      <c r="G182" s="304" t="str">
        <f>Table22[[#This Row],[Chronic RA label]]</f>
        <v/>
      </c>
      <c r="H182" s="304">
        <f>Table22[[#This Row],[GAP under assessment]]</f>
        <v>0</v>
      </c>
      <c r="I182" s="1123"/>
      <c r="J182" s="974" t="e">
        <f>IF($F182="","",$F182*chronic_consumption!$E182/1000/$C$3)</f>
        <v>#DIV/0!</v>
      </c>
      <c r="K182" s="974" t="e">
        <f>IF($F182="","",$F182*chronic_consumption!F182/1000/$C$3)</f>
        <v>#DIV/0!</v>
      </c>
      <c r="L182" s="974" t="e">
        <f>IF($F182="","",$F182*chronic_consumption!G182/1000/$C$3)</f>
        <v>#DIV/0!</v>
      </c>
      <c r="M182" s="974" t="e">
        <f>IF($F182="","",$F182*chronic_consumption!H182/1000/$C$3)</f>
        <v>#DIV/0!</v>
      </c>
      <c r="N182" s="974" t="e">
        <f>IF($F182="","",$F182*chronic_consumption!I182/1000/$C$3)</f>
        <v>#DIV/0!</v>
      </c>
      <c r="O182" s="974" t="e">
        <f>IF($F182="","",$F182*chronic_consumption!J182/1000/$C$3)</f>
        <v>#DIV/0!</v>
      </c>
      <c r="P182" s="974" t="e">
        <f>IF($F182="","",$F182*chronic_consumption!K182/1000/$C$3)</f>
        <v>#DIV/0!</v>
      </c>
      <c r="Q182" s="974" t="e">
        <f>IF($F182="","",$F182*chronic_consumption!L182/1000/$C$3)</f>
        <v>#DIV/0!</v>
      </c>
      <c r="R182" s="974" t="e">
        <f>IF($F182="","",$F182*chronic_consumption!M182/1000/$C$3)</f>
        <v>#DIV/0!</v>
      </c>
      <c r="S182" s="974" t="e">
        <f>IF($F182="","",$F182*chronic_consumption!N182/1000/$C$3)</f>
        <v>#DIV/0!</v>
      </c>
      <c r="T182" s="974" t="e">
        <f>IF($F182="","",$F182*chronic_consumption!O182/1000/$C$3)</f>
        <v>#DIV/0!</v>
      </c>
      <c r="U182" s="974" t="e">
        <f>IF($F182="","",$F182*chronic_consumption!P182/1000/$C$3)</f>
        <v>#DIV/0!</v>
      </c>
      <c r="V182" s="974" t="e">
        <f>IF($F182="","",$F182*chronic_consumption!Q182/1000/$C$3)</f>
        <v>#DIV/0!</v>
      </c>
      <c r="W182" s="974" t="e">
        <f>IF($F182="","",$F182*chronic_consumption!R182/1000/$C$3)</f>
        <v>#DIV/0!</v>
      </c>
      <c r="X182" s="974" t="e">
        <f>IF($F182="","",$F182*chronic_consumption!S182/1000/$C$3)</f>
        <v>#DIV/0!</v>
      </c>
      <c r="Y182" s="974" t="e">
        <f>IF($F182="","",$F182*chronic_consumption!T182/1000/$C$3)</f>
        <v>#DIV/0!</v>
      </c>
      <c r="Z182" s="974" t="e">
        <f>IF($F182="","",$F182*chronic_consumption!U182/1000/$C$3)</f>
        <v>#DIV/0!</v>
      </c>
      <c r="AA182" s="974" t="e">
        <f>IF($F182="","",$F182*chronic_consumption!V182/1000/$C$3)</f>
        <v>#DIV/0!</v>
      </c>
      <c r="AB182" s="974" t="e">
        <f>IF($F182="","",$F182*chronic_consumption!W182/1000/$C$3)</f>
        <v>#DIV/0!</v>
      </c>
      <c r="AC182" s="974" t="e">
        <f>IF($F182="","",$F182*chronic_consumption!X182/1000/$C$3)</f>
        <v>#DIV/0!</v>
      </c>
      <c r="AD182" s="974" t="e">
        <f>IF($F182="","",$F182*chronic_consumption!Y182/1000/$C$3)</f>
        <v>#DIV/0!</v>
      </c>
      <c r="AE182" s="974" t="e">
        <f>IF($F182="","",$F182*chronic_consumption!Z182/1000/$C$3)</f>
        <v>#DIV/0!</v>
      </c>
      <c r="AF182" s="974" t="e">
        <f>IF($F182="","",$F182*chronic_consumption!AA182/1000/$C$3)</f>
        <v>#DIV/0!</v>
      </c>
      <c r="AG182" s="974" t="e">
        <f>IF($F182="","",$F182*chronic_consumption!AB182/1000/$C$3)</f>
        <v>#DIV/0!</v>
      </c>
      <c r="AH182" s="974" t="e">
        <f>IF($F182="","",$F182*chronic_consumption!AC182/1000/$C$3)</f>
        <v>#DIV/0!</v>
      </c>
      <c r="AI182" s="974" t="e">
        <f>IF($F182="","",$F182*chronic_consumption!AD182/1000/$C$3)</f>
        <v>#DIV/0!</v>
      </c>
      <c r="AJ182" s="974" t="e">
        <f>IF($F182="","",$F182*chronic_consumption!AE182/1000/$C$3)</f>
        <v>#DIV/0!</v>
      </c>
      <c r="AK182" s="974" t="e">
        <f>IF($F182="","",$F182*chronic_consumption!AF182/1000/$C$3)</f>
        <v>#DIV/0!</v>
      </c>
      <c r="AL182" s="974" t="e">
        <f>IF($F182="","",$F182*chronic_consumption!AG182/1000/$C$3)</f>
        <v>#DIV/0!</v>
      </c>
      <c r="AM182" s="974" t="e">
        <f>IF($F182="","",$F182*chronic_consumption!AH182/1000/$C$3)</f>
        <v>#DIV/0!</v>
      </c>
      <c r="AN182" s="974" t="e">
        <f>IF($F182="","",$F182*chronic_consumption!AI182/1000/$C$3)</f>
        <v>#DIV/0!</v>
      </c>
      <c r="AO182" s="974" t="e">
        <f>IF($F182="","",$F182*chronic_consumption!AJ182/1000/$C$3)</f>
        <v>#DIV/0!</v>
      </c>
      <c r="AP182" s="974" t="e">
        <f>IF($F182="","",$F182*chronic_consumption!AK182/1000/$C$3)</f>
        <v>#DIV/0!</v>
      </c>
      <c r="AQ182" s="974" t="e">
        <f>IF($F182="","",$F182*chronic_consumption!AL182/1000/$C$3)</f>
        <v>#DIV/0!</v>
      </c>
      <c r="AR182" s="974" t="e">
        <f>IF($F182="","",$F182*chronic_consumption!AM182/1000/$C$3)</f>
        <v>#DIV/0!</v>
      </c>
      <c r="AS182" s="974" t="e">
        <f>IF($F182="","",$F182*chronic_consumption!AN182/1000/$C$3)</f>
        <v>#DIV/0!</v>
      </c>
      <c r="AT182" s="974" t="e">
        <f>IF($F182="","",$F182*chronic_consumption!AO182/1000/$C$3)</f>
        <v>#DIV/0!</v>
      </c>
      <c r="AU182" s="974"/>
      <c r="AV182" s="974" t="e">
        <f>IF($F182="","",$F182*chronic_consumption!AQ182/1000/$C$3)</f>
        <v>#DIV/0!</v>
      </c>
      <c r="AW182" s="974" t="e">
        <f>IF($F182="","",$F182*chronic_consumption!AR182/1000/$C$3)</f>
        <v>#DIV/0!</v>
      </c>
      <c r="AX182" s="974" t="e">
        <f>IF($F182="","",$F182*chronic_consumption!AS182/1000/$C$3)</f>
        <v>#DIV/0!</v>
      </c>
      <c r="AY182" s="974" t="e">
        <f>IF($F182="","",$F182*chronic_consumption!AT182/1000/$C$3)</f>
        <v>#DIV/0!</v>
      </c>
      <c r="AZ182" s="973" t="s">
        <v>19</v>
      </c>
      <c r="BA182" s="969" t="e">
        <f t="shared" si="15"/>
        <v>#DIV/0!</v>
      </c>
      <c r="BB182" s="970" t="e">
        <f t="shared" si="16"/>
        <v>#DIV/0!</v>
      </c>
      <c r="BC182" s="971" t="e">
        <f t="shared" ca="1" si="17"/>
        <v>#DIV/0!</v>
      </c>
      <c r="BD182" s="228">
        <f>input_values!Z182</f>
        <v>4</v>
      </c>
      <c r="BE182" s="152">
        <f>input_values!L182</f>
        <v>0</v>
      </c>
      <c r="BF182" s="972" t="str">
        <f t="shared" si="18"/>
        <v/>
      </c>
    </row>
    <row r="183" spans="1:58" ht="12" customHeight="1" outlineLevel="3" x14ac:dyDescent="0.2">
      <c r="A183" s="21">
        <v>4</v>
      </c>
      <c r="B183" s="23">
        <v>256060</v>
      </c>
      <c r="C183" s="23" t="s">
        <v>133</v>
      </c>
      <c r="D183" s="965">
        <f>Table22[[#This Row],[MRL individual commodity]]</f>
        <v>0</v>
      </c>
      <c r="E183" s="300" t="str">
        <f>Table22[[#This Row],[LOQ_label]]</f>
        <v/>
      </c>
      <c r="F183" s="966">
        <f>Table22[[#This Row],[Chronic RA input value]]</f>
        <v>0</v>
      </c>
      <c r="G183" s="304" t="str">
        <f>Table22[[#This Row],[Chronic RA label]]</f>
        <v/>
      </c>
      <c r="H183" s="304">
        <f>Table22[[#This Row],[GAP under assessment]]</f>
        <v>0</v>
      </c>
      <c r="I183" s="1123"/>
      <c r="J183" s="974" t="e">
        <f>IF($F183="","",$F183*chronic_consumption!$E183/1000/$C$3)</f>
        <v>#DIV/0!</v>
      </c>
      <c r="K183" s="974" t="e">
        <f>IF($F183="","",$F183*chronic_consumption!F183/1000/$C$3)</f>
        <v>#DIV/0!</v>
      </c>
      <c r="L183" s="974" t="e">
        <f>IF($F183="","",$F183*chronic_consumption!G183/1000/$C$3)</f>
        <v>#DIV/0!</v>
      </c>
      <c r="M183" s="974" t="e">
        <f>IF($F183="","",$F183*chronic_consumption!H183/1000/$C$3)</f>
        <v>#DIV/0!</v>
      </c>
      <c r="N183" s="974" t="e">
        <f>IF($F183="","",$F183*chronic_consumption!I183/1000/$C$3)</f>
        <v>#DIV/0!</v>
      </c>
      <c r="O183" s="974" t="e">
        <f>IF($F183="","",$F183*chronic_consumption!J183/1000/$C$3)</f>
        <v>#DIV/0!</v>
      </c>
      <c r="P183" s="974" t="e">
        <f>IF($F183="","",$F183*chronic_consumption!K183/1000/$C$3)</f>
        <v>#DIV/0!</v>
      </c>
      <c r="Q183" s="974" t="e">
        <f>IF($F183="","",$F183*chronic_consumption!L183/1000/$C$3)</f>
        <v>#DIV/0!</v>
      </c>
      <c r="R183" s="974" t="e">
        <f>IF($F183="","",$F183*chronic_consumption!M183/1000/$C$3)</f>
        <v>#DIV/0!</v>
      </c>
      <c r="S183" s="974" t="e">
        <f>IF($F183="","",$F183*chronic_consumption!N183/1000/$C$3)</f>
        <v>#DIV/0!</v>
      </c>
      <c r="T183" s="974" t="e">
        <f>IF($F183="","",$F183*chronic_consumption!O183/1000/$C$3)</f>
        <v>#DIV/0!</v>
      </c>
      <c r="U183" s="974" t="e">
        <f>IF($F183="","",$F183*chronic_consumption!P183/1000/$C$3)</f>
        <v>#DIV/0!</v>
      </c>
      <c r="V183" s="974" t="e">
        <f>IF($F183="","",$F183*chronic_consumption!Q183/1000/$C$3)</f>
        <v>#DIV/0!</v>
      </c>
      <c r="W183" s="974" t="e">
        <f>IF($F183="","",$F183*chronic_consumption!R183/1000/$C$3)</f>
        <v>#DIV/0!</v>
      </c>
      <c r="X183" s="974" t="e">
        <f>IF($F183="","",$F183*chronic_consumption!S183/1000/$C$3)</f>
        <v>#DIV/0!</v>
      </c>
      <c r="Y183" s="974" t="e">
        <f>IF($F183="","",$F183*chronic_consumption!T183/1000/$C$3)</f>
        <v>#DIV/0!</v>
      </c>
      <c r="Z183" s="974" t="e">
        <f>IF($F183="","",$F183*chronic_consumption!U183/1000/$C$3)</f>
        <v>#DIV/0!</v>
      </c>
      <c r="AA183" s="974" t="e">
        <f>IF($F183="","",$F183*chronic_consumption!V183/1000/$C$3)</f>
        <v>#DIV/0!</v>
      </c>
      <c r="AB183" s="974" t="e">
        <f>IF($F183="","",$F183*chronic_consumption!W183/1000/$C$3)</f>
        <v>#DIV/0!</v>
      </c>
      <c r="AC183" s="974" t="e">
        <f>IF($F183="","",$F183*chronic_consumption!X183/1000/$C$3)</f>
        <v>#DIV/0!</v>
      </c>
      <c r="AD183" s="974" t="e">
        <f>IF($F183="","",$F183*chronic_consumption!Y183/1000/$C$3)</f>
        <v>#DIV/0!</v>
      </c>
      <c r="AE183" s="974" t="e">
        <f>IF($F183="","",$F183*chronic_consumption!Z183/1000/$C$3)</f>
        <v>#DIV/0!</v>
      </c>
      <c r="AF183" s="974" t="e">
        <f>IF($F183="","",$F183*chronic_consumption!AA183/1000/$C$3)</f>
        <v>#DIV/0!</v>
      </c>
      <c r="AG183" s="974" t="e">
        <f>IF($F183="","",$F183*chronic_consumption!AB183/1000/$C$3)</f>
        <v>#DIV/0!</v>
      </c>
      <c r="AH183" s="974" t="e">
        <f>IF($F183="","",$F183*chronic_consumption!AC183/1000/$C$3)</f>
        <v>#DIV/0!</v>
      </c>
      <c r="AI183" s="974" t="e">
        <f>IF($F183="","",$F183*chronic_consumption!AD183/1000/$C$3)</f>
        <v>#DIV/0!</v>
      </c>
      <c r="AJ183" s="974" t="e">
        <f>IF($F183="","",$F183*chronic_consumption!AE183/1000/$C$3)</f>
        <v>#DIV/0!</v>
      </c>
      <c r="AK183" s="974" t="e">
        <f>IF($F183="","",$F183*chronic_consumption!AF183/1000/$C$3)</f>
        <v>#DIV/0!</v>
      </c>
      <c r="AL183" s="974" t="e">
        <f>IF($F183="","",$F183*chronic_consumption!AG183/1000/$C$3)</f>
        <v>#DIV/0!</v>
      </c>
      <c r="AM183" s="974" t="e">
        <f>IF($F183="","",$F183*chronic_consumption!AH183/1000/$C$3)</f>
        <v>#DIV/0!</v>
      </c>
      <c r="AN183" s="974" t="e">
        <f>IF($F183="","",$F183*chronic_consumption!AI183/1000/$C$3)</f>
        <v>#DIV/0!</v>
      </c>
      <c r="AO183" s="974" t="e">
        <f>IF($F183="","",$F183*chronic_consumption!AJ183/1000/$C$3)</f>
        <v>#DIV/0!</v>
      </c>
      <c r="AP183" s="974" t="e">
        <f>IF($F183="","",$F183*chronic_consumption!AK183/1000/$C$3)</f>
        <v>#DIV/0!</v>
      </c>
      <c r="AQ183" s="974" t="e">
        <f>IF($F183="","",$F183*chronic_consumption!AL183/1000/$C$3)</f>
        <v>#DIV/0!</v>
      </c>
      <c r="AR183" s="974" t="e">
        <f>IF($F183="","",$F183*chronic_consumption!AM183/1000/$C$3)</f>
        <v>#DIV/0!</v>
      </c>
      <c r="AS183" s="974" t="e">
        <f>IF($F183="","",$F183*chronic_consumption!AN183/1000/$C$3)</f>
        <v>#DIV/0!</v>
      </c>
      <c r="AT183" s="974" t="e">
        <f>IF($F183="","",$F183*chronic_consumption!AO183/1000/$C$3)</f>
        <v>#DIV/0!</v>
      </c>
      <c r="AU183" s="974"/>
      <c r="AV183" s="974" t="e">
        <f>IF($F183="","",$F183*chronic_consumption!AQ183/1000/$C$3)</f>
        <v>#DIV/0!</v>
      </c>
      <c r="AW183" s="974" t="e">
        <f>IF($F183="","",$F183*chronic_consumption!AR183/1000/$C$3)</f>
        <v>#DIV/0!</v>
      </c>
      <c r="AX183" s="974" t="e">
        <f>IF($F183="","",$F183*chronic_consumption!AS183/1000/$C$3)</f>
        <v>#DIV/0!</v>
      </c>
      <c r="AY183" s="974" t="e">
        <f>IF($F183="","",$F183*chronic_consumption!AT183/1000/$C$3)</f>
        <v>#DIV/0!</v>
      </c>
      <c r="AZ183" s="973" t="s">
        <v>19</v>
      </c>
      <c r="BA183" s="969" t="e">
        <f t="shared" si="15"/>
        <v>#DIV/0!</v>
      </c>
      <c r="BB183" s="970" t="e">
        <f t="shared" si="16"/>
        <v>#DIV/0!</v>
      </c>
      <c r="BC183" s="971" t="e">
        <f t="shared" ca="1" si="17"/>
        <v>#DIV/0!</v>
      </c>
      <c r="BD183" s="228">
        <f>input_values!Z183</f>
        <v>4</v>
      </c>
      <c r="BE183" s="152">
        <f>input_values!L183</f>
        <v>0</v>
      </c>
      <c r="BF183" s="972" t="str">
        <f t="shared" si="18"/>
        <v/>
      </c>
    </row>
    <row r="184" spans="1:58" ht="12" customHeight="1" outlineLevel="3" x14ac:dyDescent="0.2">
      <c r="A184" s="21">
        <v>4</v>
      </c>
      <c r="B184" s="23">
        <v>256070</v>
      </c>
      <c r="C184" s="23" t="s">
        <v>134</v>
      </c>
      <c r="D184" s="965">
        <f>Table22[[#This Row],[MRL individual commodity]]</f>
        <v>0</v>
      </c>
      <c r="E184" s="300" t="str">
        <f>Table22[[#This Row],[LOQ_label]]</f>
        <v/>
      </c>
      <c r="F184" s="966">
        <f>Table22[[#This Row],[Chronic RA input value]]</f>
        <v>0</v>
      </c>
      <c r="G184" s="304" t="str">
        <f>Table22[[#This Row],[Chronic RA label]]</f>
        <v/>
      </c>
      <c r="H184" s="304">
        <f>Table22[[#This Row],[GAP under assessment]]</f>
        <v>0</v>
      </c>
      <c r="I184" s="1123"/>
      <c r="J184" s="974" t="e">
        <f>IF($F184="","",$F184*chronic_consumption!$E184/1000/$C$3)</f>
        <v>#DIV/0!</v>
      </c>
      <c r="K184" s="974" t="e">
        <f>IF($F184="","",$F184*chronic_consumption!F184/1000/$C$3)</f>
        <v>#DIV/0!</v>
      </c>
      <c r="L184" s="974" t="e">
        <f>IF($F184="","",$F184*chronic_consumption!G184/1000/$C$3)</f>
        <v>#DIV/0!</v>
      </c>
      <c r="M184" s="974" t="e">
        <f>IF($F184="","",$F184*chronic_consumption!H184/1000/$C$3)</f>
        <v>#DIV/0!</v>
      </c>
      <c r="N184" s="974" t="e">
        <f>IF($F184="","",$F184*chronic_consumption!I184/1000/$C$3)</f>
        <v>#DIV/0!</v>
      </c>
      <c r="O184" s="974" t="e">
        <f>IF($F184="","",$F184*chronic_consumption!J184/1000/$C$3)</f>
        <v>#DIV/0!</v>
      </c>
      <c r="P184" s="974" t="e">
        <f>IF($F184="","",$F184*chronic_consumption!K184/1000/$C$3)</f>
        <v>#DIV/0!</v>
      </c>
      <c r="Q184" s="974" t="e">
        <f>IF($F184="","",$F184*chronic_consumption!L184/1000/$C$3)</f>
        <v>#DIV/0!</v>
      </c>
      <c r="R184" s="974" t="e">
        <f>IF($F184="","",$F184*chronic_consumption!M184/1000/$C$3)</f>
        <v>#DIV/0!</v>
      </c>
      <c r="S184" s="974" t="e">
        <f>IF($F184="","",$F184*chronic_consumption!N184/1000/$C$3)</f>
        <v>#DIV/0!</v>
      </c>
      <c r="T184" s="974" t="e">
        <f>IF($F184="","",$F184*chronic_consumption!O184/1000/$C$3)</f>
        <v>#DIV/0!</v>
      </c>
      <c r="U184" s="974" t="e">
        <f>IF($F184="","",$F184*chronic_consumption!P184/1000/$C$3)</f>
        <v>#DIV/0!</v>
      </c>
      <c r="V184" s="974" t="e">
        <f>IF($F184="","",$F184*chronic_consumption!Q184/1000/$C$3)</f>
        <v>#DIV/0!</v>
      </c>
      <c r="W184" s="974" t="e">
        <f>IF($F184="","",$F184*chronic_consumption!R184/1000/$C$3)</f>
        <v>#DIV/0!</v>
      </c>
      <c r="X184" s="974" t="e">
        <f>IF($F184="","",$F184*chronic_consumption!S184/1000/$C$3)</f>
        <v>#DIV/0!</v>
      </c>
      <c r="Y184" s="974" t="e">
        <f>IF($F184="","",$F184*chronic_consumption!T184/1000/$C$3)</f>
        <v>#DIV/0!</v>
      </c>
      <c r="Z184" s="974" t="e">
        <f>IF($F184="","",$F184*chronic_consumption!U184/1000/$C$3)</f>
        <v>#DIV/0!</v>
      </c>
      <c r="AA184" s="974" t="e">
        <f>IF($F184="","",$F184*chronic_consumption!V184/1000/$C$3)</f>
        <v>#DIV/0!</v>
      </c>
      <c r="AB184" s="974" t="e">
        <f>IF($F184="","",$F184*chronic_consumption!W184/1000/$C$3)</f>
        <v>#DIV/0!</v>
      </c>
      <c r="AC184" s="974" t="e">
        <f>IF($F184="","",$F184*chronic_consumption!X184/1000/$C$3)</f>
        <v>#DIV/0!</v>
      </c>
      <c r="AD184" s="974" t="e">
        <f>IF($F184="","",$F184*chronic_consumption!Y184/1000/$C$3)</f>
        <v>#DIV/0!</v>
      </c>
      <c r="AE184" s="974" t="e">
        <f>IF($F184="","",$F184*chronic_consumption!Z184/1000/$C$3)</f>
        <v>#DIV/0!</v>
      </c>
      <c r="AF184" s="974" t="e">
        <f>IF($F184="","",$F184*chronic_consumption!AA184/1000/$C$3)</f>
        <v>#DIV/0!</v>
      </c>
      <c r="AG184" s="974" t="e">
        <f>IF($F184="","",$F184*chronic_consumption!AB184/1000/$C$3)</f>
        <v>#DIV/0!</v>
      </c>
      <c r="AH184" s="974" t="e">
        <f>IF($F184="","",$F184*chronic_consumption!AC184/1000/$C$3)</f>
        <v>#DIV/0!</v>
      </c>
      <c r="AI184" s="974" t="e">
        <f>IF($F184="","",$F184*chronic_consumption!AD184/1000/$C$3)</f>
        <v>#DIV/0!</v>
      </c>
      <c r="AJ184" s="974" t="e">
        <f>IF($F184="","",$F184*chronic_consumption!AE184/1000/$C$3)</f>
        <v>#DIV/0!</v>
      </c>
      <c r="AK184" s="974" t="e">
        <f>IF($F184="","",$F184*chronic_consumption!AF184/1000/$C$3)</f>
        <v>#DIV/0!</v>
      </c>
      <c r="AL184" s="974" t="e">
        <f>IF($F184="","",$F184*chronic_consumption!AG184/1000/$C$3)</f>
        <v>#DIV/0!</v>
      </c>
      <c r="AM184" s="974" t="e">
        <f>IF($F184="","",$F184*chronic_consumption!AH184/1000/$C$3)</f>
        <v>#DIV/0!</v>
      </c>
      <c r="AN184" s="974" t="e">
        <f>IF($F184="","",$F184*chronic_consumption!AI184/1000/$C$3)</f>
        <v>#DIV/0!</v>
      </c>
      <c r="AO184" s="974" t="e">
        <f>IF($F184="","",$F184*chronic_consumption!AJ184/1000/$C$3)</f>
        <v>#DIV/0!</v>
      </c>
      <c r="AP184" s="974" t="e">
        <f>IF($F184="","",$F184*chronic_consumption!AK184/1000/$C$3)</f>
        <v>#DIV/0!</v>
      </c>
      <c r="AQ184" s="974" t="e">
        <f>IF($F184="","",$F184*chronic_consumption!AL184/1000/$C$3)</f>
        <v>#DIV/0!</v>
      </c>
      <c r="AR184" s="974" t="e">
        <f>IF($F184="","",$F184*chronic_consumption!AM184/1000/$C$3)</f>
        <v>#DIV/0!</v>
      </c>
      <c r="AS184" s="974" t="e">
        <f>IF($F184="","",$F184*chronic_consumption!AN184/1000/$C$3)</f>
        <v>#DIV/0!</v>
      </c>
      <c r="AT184" s="974" t="e">
        <f>IF($F184="","",$F184*chronic_consumption!AO184/1000/$C$3)</f>
        <v>#DIV/0!</v>
      </c>
      <c r="AU184" s="974"/>
      <c r="AV184" s="974" t="e">
        <f>IF($F184="","",$F184*chronic_consumption!AQ184/1000/$C$3)</f>
        <v>#DIV/0!</v>
      </c>
      <c r="AW184" s="974" t="e">
        <f>IF($F184="","",$F184*chronic_consumption!AR184/1000/$C$3)</f>
        <v>#DIV/0!</v>
      </c>
      <c r="AX184" s="974" t="e">
        <f>IF($F184="","",$F184*chronic_consumption!AS184/1000/$C$3)</f>
        <v>#DIV/0!</v>
      </c>
      <c r="AY184" s="974" t="e">
        <f>IF($F184="","",$F184*chronic_consumption!AT184/1000/$C$3)</f>
        <v>#DIV/0!</v>
      </c>
      <c r="AZ184" s="973" t="s">
        <v>19</v>
      </c>
      <c r="BA184" s="969" t="e">
        <f t="shared" si="15"/>
        <v>#DIV/0!</v>
      </c>
      <c r="BB184" s="970" t="e">
        <f t="shared" si="16"/>
        <v>#DIV/0!</v>
      </c>
      <c r="BC184" s="971" t="e">
        <f t="shared" ca="1" si="17"/>
        <v>#DIV/0!</v>
      </c>
      <c r="BD184" s="228">
        <f>input_values!Z184</f>
        <v>4</v>
      </c>
      <c r="BE184" s="152">
        <f>input_values!L184</f>
        <v>0</v>
      </c>
      <c r="BF184" s="972" t="str">
        <f t="shared" si="18"/>
        <v/>
      </c>
    </row>
    <row r="185" spans="1:58" ht="12" customHeight="1" outlineLevel="3" x14ac:dyDescent="0.2">
      <c r="A185" s="21">
        <v>4</v>
      </c>
      <c r="B185" s="23">
        <v>256080</v>
      </c>
      <c r="C185" s="23" t="s">
        <v>735</v>
      </c>
      <c r="D185" s="965">
        <f>Table22[[#This Row],[MRL individual commodity]]</f>
        <v>0</v>
      </c>
      <c r="E185" s="300" t="str">
        <f>Table22[[#This Row],[LOQ_label]]</f>
        <v/>
      </c>
      <c r="F185" s="966">
        <f>Table22[[#This Row],[Chronic RA input value]]</f>
        <v>0</v>
      </c>
      <c r="G185" s="304" t="str">
        <f>Table22[[#This Row],[Chronic RA label]]</f>
        <v/>
      </c>
      <c r="H185" s="304">
        <f>Table22[[#This Row],[GAP under assessment]]</f>
        <v>0</v>
      </c>
      <c r="I185" s="1123"/>
      <c r="J185" s="974" t="e">
        <f>IF($F185="","",$F185*chronic_consumption!$E185/1000/$C$3)</f>
        <v>#DIV/0!</v>
      </c>
      <c r="K185" s="974" t="e">
        <f>IF($F185="","",$F185*chronic_consumption!F185/1000/$C$3)</f>
        <v>#DIV/0!</v>
      </c>
      <c r="L185" s="974" t="e">
        <f>IF($F185="","",$F185*chronic_consumption!G185/1000/$C$3)</f>
        <v>#DIV/0!</v>
      </c>
      <c r="M185" s="974" t="e">
        <f>IF($F185="","",$F185*chronic_consumption!H185/1000/$C$3)</f>
        <v>#DIV/0!</v>
      </c>
      <c r="N185" s="974" t="e">
        <f>IF($F185="","",$F185*chronic_consumption!I185/1000/$C$3)</f>
        <v>#DIV/0!</v>
      </c>
      <c r="O185" s="974" t="e">
        <f>IF($F185="","",$F185*chronic_consumption!J185/1000/$C$3)</f>
        <v>#DIV/0!</v>
      </c>
      <c r="P185" s="974" t="e">
        <f>IF($F185="","",$F185*chronic_consumption!K185/1000/$C$3)</f>
        <v>#DIV/0!</v>
      </c>
      <c r="Q185" s="974" t="e">
        <f>IF($F185="","",$F185*chronic_consumption!L185/1000/$C$3)</f>
        <v>#DIV/0!</v>
      </c>
      <c r="R185" s="974" t="e">
        <f>IF($F185="","",$F185*chronic_consumption!M185/1000/$C$3)</f>
        <v>#DIV/0!</v>
      </c>
      <c r="S185" s="974" t="e">
        <f>IF($F185="","",$F185*chronic_consumption!N185/1000/$C$3)</f>
        <v>#DIV/0!</v>
      </c>
      <c r="T185" s="974" t="e">
        <f>IF($F185="","",$F185*chronic_consumption!O185/1000/$C$3)</f>
        <v>#DIV/0!</v>
      </c>
      <c r="U185" s="974" t="e">
        <f>IF($F185="","",$F185*chronic_consumption!P185/1000/$C$3)</f>
        <v>#DIV/0!</v>
      </c>
      <c r="V185" s="974" t="e">
        <f>IF($F185="","",$F185*chronic_consumption!Q185/1000/$C$3)</f>
        <v>#DIV/0!</v>
      </c>
      <c r="W185" s="974" t="e">
        <f>IF($F185="","",$F185*chronic_consumption!R185/1000/$C$3)</f>
        <v>#DIV/0!</v>
      </c>
      <c r="X185" s="974" t="e">
        <f>IF($F185="","",$F185*chronic_consumption!S185/1000/$C$3)</f>
        <v>#DIV/0!</v>
      </c>
      <c r="Y185" s="974" t="e">
        <f>IF($F185="","",$F185*chronic_consumption!T185/1000/$C$3)</f>
        <v>#DIV/0!</v>
      </c>
      <c r="Z185" s="974" t="e">
        <f>IF($F185="","",$F185*chronic_consumption!U185/1000/$C$3)</f>
        <v>#DIV/0!</v>
      </c>
      <c r="AA185" s="974" t="e">
        <f>IF($F185="","",$F185*chronic_consumption!V185/1000/$C$3)</f>
        <v>#DIV/0!</v>
      </c>
      <c r="AB185" s="974" t="e">
        <f>IF($F185="","",$F185*chronic_consumption!W185/1000/$C$3)</f>
        <v>#DIV/0!</v>
      </c>
      <c r="AC185" s="974" t="e">
        <f>IF($F185="","",$F185*chronic_consumption!X185/1000/$C$3)</f>
        <v>#DIV/0!</v>
      </c>
      <c r="AD185" s="974" t="e">
        <f>IF($F185="","",$F185*chronic_consumption!Y185/1000/$C$3)</f>
        <v>#DIV/0!</v>
      </c>
      <c r="AE185" s="974" t="e">
        <f>IF($F185="","",$F185*chronic_consumption!Z185/1000/$C$3)</f>
        <v>#DIV/0!</v>
      </c>
      <c r="AF185" s="974" t="e">
        <f>IF($F185="","",$F185*chronic_consumption!AA185/1000/$C$3)</f>
        <v>#DIV/0!</v>
      </c>
      <c r="AG185" s="974" t="e">
        <f>IF($F185="","",$F185*chronic_consumption!AB185/1000/$C$3)</f>
        <v>#DIV/0!</v>
      </c>
      <c r="AH185" s="974" t="e">
        <f>IF($F185="","",$F185*chronic_consumption!AC185/1000/$C$3)</f>
        <v>#DIV/0!</v>
      </c>
      <c r="AI185" s="974" t="e">
        <f>IF($F185="","",$F185*chronic_consumption!AD185/1000/$C$3)</f>
        <v>#DIV/0!</v>
      </c>
      <c r="AJ185" s="974" t="e">
        <f>IF($F185="","",$F185*chronic_consumption!AE185/1000/$C$3)</f>
        <v>#DIV/0!</v>
      </c>
      <c r="AK185" s="974" t="e">
        <f>IF($F185="","",$F185*chronic_consumption!AF185/1000/$C$3)</f>
        <v>#DIV/0!</v>
      </c>
      <c r="AL185" s="974" t="e">
        <f>IF($F185="","",$F185*chronic_consumption!AG185/1000/$C$3)</f>
        <v>#DIV/0!</v>
      </c>
      <c r="AM185" s="974" t="e">
        <f>IF($F185="","",$F185*chronic_consumption!AH185/1000/$C$3)</f>
        <v>#DIV/0!</v>
      </c>
      <c r="AN185" s="974" t="e">
        <f>IF($F185="","",$F185*chronic_consumption!AI185/1000/$C$3)</f>
        <v>#DIV/0!</v>
      </c>
      <c r="AO185" s="974" t="e">
        <f>IF($F185="","",$F185*chronic_consumption!AJ185/1000/$C$3)</f>
        <v>#DIV/0!</v>
      </c>
      <c r="AP185" s="974" t="e">
        <f>IF($F185="","",$F185*chronic_consumption!AK185/1000/$C$3)</f>
        <v>#DIV/0!</v>
      </c>
      <c r="AQ185" s="974" t="e">
        <f>IF($F185="","",$F185*chronic_consumption!AL185/1000/$C$3)</f>
        <v>#DIV/0!</v>
      </c>
      <c r="AR185" s="974" t="e">
        <f>IF($F185="","",$F185*chronic_consumption!AM185/1000/$C$3)</f>
        <v>#DIV/0!</v>
      </c>
      <c r="AS185" s="974" t="e">
        <f>IF($F185="","",$F185*chronic_consumption!AN185/1000/$C$3)</f>
        <v>#DIV/0!</v>
      </c>
      <c r="AT185" s="974" t="e">
        <f>IF($F185="","",$F185*chronic_consumption!AO185/1000/$C$3)</f>
        <v>#DIV/0!</v>
      </c>
      <c r="AU185" s="974"/>
      <c r="AV185" s="974" t="e">
        <f>IF($F185="","",$F185*chronic_consumption!AQ185/1000/$C$3)</f>
        <v>#DIV/0!</v>
      </c>
      <c r="AW185" s="974" t="e">
        <f>IF($F185="","",$F185*chronic_consumption!AR185/1000/$C$3)</f>
        <v>#DIV/0!</v>
      </c>
      <c r="AX185" s="974" t="e">
        <f>IF($F185="","",$F185*chronic_consumption!AS185/1000/$C$3)</f>
        <v>#DIV/0!</v>
      </c>
      <c r="AY185" s="974" t="e">
        <f>IF($F185="","",$F185*chronic_consumption!AT185/1000/$C$3)</f>
        <v>#DIV/0!</v>
      </c>
      <c r="AZ185" s="973" t="s">
        <v>19</v>
      </c>
      <c r="BA185" s="969" t="e">
        <f t="shared" si="15"/>
        <v>#DIV/0!</v>
      </c>
      <c r="BB185" s="970" t="e">
        <f t="shared" si="16"/>
        <v>#DIV/0!</v>
      </c>
      <c r="BC185" s="971" t="e">
        <f t="shared" ca="1" si="17"/>
        <v>#DIV/0!</v>
      </c>
      <c r="BD185" s="228">
        <f>input_values!Z185</f>
        <v>4</v>
      </c>
      <c r="BE185" s="152">
        <f>input_values!L185</f>
        <v>0</v>
      </c>
      <c r="BF185" s="972" t="str">
        <f t="shared" si="18"/>
        <v/>
      </c>
    </row>
    <row r="186" spans="1:58" ht="12" customHeight="1" outlineLevel="3" x14ac:dyDescent="0.2">
      <c r="A186" s="21">
        <v>4</v>
      </c>
      <c r="B186" s="23">
        <v>256090</v>
      </c>
      <c r="C186" s="23" t="s">
        <v>736</v>
      </c>
      <c r="D186" s="965">
        <f>Table22[[#This Row],[MRL individual commodity]]</f>
        <v>0</v>
      </c>
      <c r="E186" s="300" t="str">
        <f>Table22[[#This Row],[LOQ_label]]</f>
        <v/>
      </c>
      <c r="F186" s="966">
        <f>Table22[[#This Row],[Chronic RA input value]]</f>
        <v>0</v>
      </c>
      <c r="G186" s="304" t="str">
        <f>Table22[[#This Row],[Chronic RA label]]</f>
        <v/>
      </c>
      <c r="H186" s="304">
        <f>Table22[[#This Row],[GAP under assessment]]</f>
        <v>0</v>
      </c>
      <c r="I186" s="1123"/>
      <c r="J186" s="974" t="e">
        <f>IF($F186="","",$F186*chronic_consumption!$E186/1000/$C$3)</f>
        <v>#DIV/0!</v>
      </c>
      <c r="K186" s="974" t="e">
        <f>IF($F186="","",$F186*chronic_consumption!F186/1000/$C$3)</f>
        <v>#DIV/0!</v>
      </c>
      <c r="L186" s="974" t="e">
        <f>IF($F186="","",$F186*chronic_consumption!G186/1000/$C$3)</f>
        <v>#DIV/0!</v>
      </c>
      <c r="M186" s="974" t="e">
        <f>IF($F186="","",$F186*chronic_consumption!H186/1000/$C$3)</f>
        <v>#DIV/0!</v>
      </c>
      <c r="N186" s="974" t="e">
        <f>IF($F186="","",$F186*chronic_consumption!I186/1000/$C$3)</f>
        <v>#DIV/0!</v>
      </c>
      <c r="O186" s="974" t="e">
        <f>IF($F186="","",$F186*chronic_consumption!J186/1000/$C$3)</f>
        <v>#DIV/0!</v>
      </c>
      <c r="P186" s="974" t="e">
        <f>IF($F186="","",$F186*chronic_consumption!K186/1000/$C$3)</f>
        <v>#DIV/0!</v>
      </c>
      <c r="Q186" s="974" t="e">
        <f>IF($F186="","",$F186*chronic_consumption!L186/1000/$C$3)</f>
        <v>#DIV/0!</v>
      </c>
      <c r="R186" s="974" t="e">
        <f>IF($F186="","",$F186*chronic_consumption!M186/1000/$C$3)</f>
        <v>#DIV/0!</v>
      </c>
      <c r="S186" s="974" t="e">
        <f>IF($F186="","",$F186*chronic_consumption!N186/1000/$C$3)</f>
        <v>#DIV/0!</v>
      </c>
      <c r="T186" s="974" t="e">
        <f>IF($F186="","",$F186*chronic_consumption!O186/1000/$C$3)</f>
        <v>#DIV/0!</v>
      </c>
      <c r="U186" s="974" t="e">
        <f>IF($F186="","",$F186*chronic_consumption!P186/1000/$C$3)</f>
        <v>#DIV/0!</v>
      </c>
      <c r="V186" s="974" t="e">
        <f>IF($F186="","",$F186*chronic_consumption!Q186/1000/$C$3)</f>
        <v>#DIV/0!</v>
      </c>
      <c r="W186" s="974" t="e">
        <f>IF($F186="","",$F186*chronic_consumption!R186/1000/$C$3)</f>
        <v>#DIV/0!</v>
      </c>
      <c r="X186" s="974" t="e">
        <f>IF($F186="","",$F186*chronic_consumption!S186/1000/$C$3)</f>
        <v>#DIV/0!</v>
      </c>
      <c r="Y186" s="974" t="e">
        <f>IF($F186="","",$F186*chronic_consumption!T186/1000/$C$3)</f>
        <v>#DIV/0!</v>
      </c>
      <c r="Z186" s="974" t="e">
        <f>IF($F186="","",$F186*chronic_consumption!U186/1000/$C$3)</f>
        <v>#DIV/0!</v>
      </c>
      <c r="AA186" s="974" t="e">
        <f>IF($F186="","",$F186*chronic_consumption!V186/1000/$C$3)</f>
        <v>#DIV/0!</v>
      </c>
      <c r="AB186" s="974" t="e">
        <f>IF($F186="","",$F186*chronic_consumption!W186/1000/$C$3)</f>
        <v>#DIV/0!</v>
      </c>
      <c r="AC186" s="974" t="e">
        <f>IF($F186="","",$F186*chronic_consumption!X186/1000/$C$3)</f>
        <v>#DIV/0!</v>
      </c>
      <c r="AD186" s="974" t="e">
        <f>IF($F186="","",$F186*chronic_consumption!Y186/1000/$C$3)</f>
        <v>#DIV/0!</v>
      </c>
      <c r="AE186" s="974" t="e">
        <f>IF($F186="","",$F186*chronic_consumption!Z186/1000/$C$3)</f>
        <v>#DIV/0!</v>
      </c>
      <c r="AF186" s="974" t="e">
        <f>IF($F186="","",$F186*chronic_consumption!AA186/1000/$C$3)</f>
        <v>#DIV/0!</v>
      </c>
      <c r="AG186" s="974" t="e">
        <f>IF($F186="","",$F186*chronic_consumption!AB186/1000/$C$3)</f>
        <v>#DIV/0!</v>
      </c>
      <c r="AH186" s="974" t="e">
        <f>IF($F186="","",$F186*chronic_consumption!AC186/1000/$C$3)</f>
        <v>#DIV/0!</v>
      </c>
      <c r="AI186" s="974" t="e">
        <f>IF($F186="","",$F186*chronic_consumption!AD186/1000/$C$3)</f>
        <v>#DIV/0!</v>
      </c>
      <c r="AJ186" s="974" t="e">
        <f>IF($F186="","",$F186*chronic_consumption!AE186/1000/$C$3)</f>
        <v>#DIV/0!</v>
      </c>
      <c r="AK186" s="974" t="e">
        <f>IF($F186="","",$F186*chronic_consumption!AF186/1000/$C$3)</f>
        <v>#DIV/0!</v>
      </c>
      <c r="AL186" s="974" t="e">
        <f>IF($F186="","",$F186*chronic_consumption!AG186/1000/$C$3)</f>
        <v>#DIV/0!</v>
      </c>
      <c r="AM186" s="974" t="e">
        <f>IF($F186="","",$F186*chronic_consumption!AH186/1000/$C$3)</f>
        <v>#DIV/0!</v>
      </c>
      <c r="AN186" s="974" t="e">
        <f>IF($F186="","",$F186*chronic_consumption!AI186/1000/$C$3)</f>
        <v>#DIV/0!</v>
      </c>
      <c r="AO186" s="974" t="e">
        <f>IF($F186="","",$F186*chronic_consumption!AJ186/1000/$C$3)</f>
        <v>#DIV/0!</v>
      </c>
      <c r="AP186" s="974" t="e">
        <f>IF($F186="","",$F186*chronic_consumption!AK186/1000/$C$3)</f>
        <v>#DIV/0!</v>
      </c>
      <c r="AQ186" s="974" t="e">
        <f>IF($F186="","",$F186*chronic_consumption!AL186/1000/$C$3)</f>
        <v>#DIV/0!</v>
      </c>
      <c r="AR186" s="974" t="e">
        <f>IF($F186="","",$F186*chronic_consumption!AM186/1000/$C$3)</f>
        <v>#DIV/0!</v>
      </c>
      <c r="AS186" s="974" t="e">
        <f>IF($F186="","",$F186*chronic_consumption!AN186/1000/$C$3)</f>
        <v>#DIV/0!</v>
      </c>
      <c r="AT186" s="974" t="e">
        <f>IF($F186="","",$F186*chronic_consumption!AO186/1000/$C$3)</f>
        <v>#DIV/0!</v>
      </c>
      <c r="AU186" s="974"/>
      <c r="AV186" s="974" t="e">
        <f>IF($F186="","",$F186*chronic_consumption!AQ186/1000/$C$3)</f>
        <v>#DIV/0!</v>
      </c>
      <c r="AW186" s="974" t="e">
        <f>IF($F186="","",$F186*chronic_consumption!AR186/1000/$C$3)</f>
        <v>#DIV/0!</v>
      </c>
      <c r="AX186" s="974" t="e">
        <f>IF($F186="","",$F186*chronic_consumption!AS186/1000/$C$3)</f>
        <v>#DIV/0!</v>
      </c>
      <c r="AY186" s="974" t="e">
        <f>IF($F186="","",$F186*chronic_consumption!AT186/1000/$C$3)</f>
        <v>#DIV/0!</v>
      </c>
      <c r="AZ186" s="973" t="s">
        <v>19</v>
      </c>
      <c r="BA186" s="969" t="e">
        <f t="shared" si="15"/>
        <v>#DIV/0!</v>
      </c>
      <c r="BB186" s="970" t="e">
        <f t="shared" si="16"/>
        <v>#DIV/0!</v>
      </c>
      <c r="BC186" s="971" t="e">
        <f t="shared" ca="1" si="17"/>
        <v>#DIV/0!</v>
      </c>
      <c r="BD186" s="228">
        <f>input_values!Z186</f>
        <v>4</v>
      </c>
      <c r="BE186" s="152">
        <f>input_values!L186</f>
        <v>0</v>
      </c>
      <c r="BF186" s="972" t="str">
        <f t="shared" si="18"/>
        <v/>
      </c>
    </row>
    <row r="187" spans="1:58" ht="12" customHeight="1" outlineLevel="3" x14ac:dyDescent="0.2">
      <c r="A187" s="21">
        <v>4</v>
      </c>
      <c r="B187" s="23">
        <v>256100</v>
      </c>
      <c r="C187" s="23" t="s">
        <v>31</v>
      </c>
      <c r="D187" s="965">
        <f>Table22[[#This Row],[MRL individual commodity]]</f>
        <v>0</v>
      </c>
      <c r="E187" s="300" t="str">
        <f>Table22[[#This Row],[LOQ_label]]</f>
        <v/>
      </c>
      <c r="F187" s="966">
        <f>Table22[[#This Row],[Chronic RA input value]]</f>
        <v>0</v>
      </c>
      <c r="G187" s="304" t="str">
        <f>Table22[[#This Row],[Chronic RA label]]</f>
        <v/>
      </c>
      <c r="H187" s="304">
        <f>Table22[[#This Row],[GAP under assessment]]</f>
        <v>0</v>
      </c>
      <c r="I187" s="1123"/>
      <c r="J187" s="974" t="e">
        <f>IF($F187="","",$F187*chronic_consumption!$E187/1000/$C$3)</f>
        <v>#DIV/0!</v>
      </c>
      <c r="K187" s="974" t="e">
        <f>IF($F187="","",$F187*chronic_consumption!F187/1000/$C$3)</f>
        <v>#DIV/0!</v>
      </c>
      <c r="L187" s="974" t="e">
        <f>IF($F187="","",$F187*chronic_consumption!G187/1000/$C$3)</f>
        <v>#DIV/0!</v>
      </c>
      <c r="M187" s="974" t="e">
        <f>IF($F187="","",$F187*chronic_consumption!H187/1000/$C$3)</f>
        <v>#DIV/0!</v>
      </c>
      <c r="N187" s="974" t="e">
        <f>IF($F187="","",$F187*chronic_consumption!I187/1000/$C$3)</f>
        <v>#DIV/0!</v>
      </c>
      <c r="O187" s="974" t="e">
        <f>IF($F187="","",$F187*chronic_consumption!J187/1000/$C$3)</f>
        <v>#DIV/0!</v>
      </c>
      <c r="P187" s="974" t="e">
        <f>IF($F187="","",$F187*chronic_consumption!K187/1000/$C$3)</f>
        <v>#DIV/0!</v>
      </c>
      <c r="Q187" s="974" t="e">
        <f>IF($F187="","",$F187*chronic_consumption!L187/1000/$C$3)</f>
        <v>#DIV/0!</v>
      </c>
      <c r="R187" s="974" t="e">
        <f>IF($F187="","",$F187*chronic_consumption!M187/1000/$C$3)</f>
        <v>#DIV/0!</v>
      </c>
      <c r="S187" s="974" t="e">
        <f>IF($F187="","",$F187*chronic_consumption!N187/1000/$C$3)</f>
        <v>#DIV/0!</v>
      </c>
      <c r="T187" s="974" t="e">
        <f>IF($F187="","",$F187*chronic_consumption!O187/1000/$C$3)</f>
        <v>#DIV/0!</v>
      </c>
      <c r="U187" s="974" t="e">
        <f>IF($F187="","",$F187*chronic_consumption!P187/1000/$C$3)</f>
        <v>#DIV/0!</v>
      </c>
      <c r="V187" s="974" t="e">
        <f>IF($F187="","",$F187*chronic_consumption!Q187/1000/$C$3)</f>
        <v>#DIV/0!</v>
      </c>
      <c r="W187" s="974" t="e">
        <f>IF($F187="","",$F187*chronic_consumption!R187/1000/$C$3)</f>
        <v>#DIV/0!</v>
      </c>
      <c r="X187" s="974" t="e">
        <f>IF($F187="","",$F187*chronic_consumption!S187/1000/$C$3)</f>
        <v>#DIV/0!</v>
      </c>
      <c r="Y187" s="974" t="e">
        <f>IF($F187="","",$F187*chronic_consumption!T187/1000/$C$3)</f>
        <v>#DIV/0!</v>
      </c>
      <c r="Z187" s="974" t="e">
        <f>IF($F187="","",$F187*chronic_consumption!U187/1000/$C$3)</f>
        <v>#DIV/0!</v>
      </c>
      <c r="AA187" s="974" t="e">
        <f>IF($F187="","",$F187*chronic_consumption!V187/1000/$C$3)</f>
        <v>#DIV/0!</v>
      </c>
      <c r="AB187" s="974" t="e">
        <f>IF($F187="","",$F187*chronic_consumption!W187/1000/$C$3)</f>
        <v>#DIV/0!</v>
      </c>
      <c r="AC187" s="974" t="e">
        <f>IF($F187="","",$F187*chronic_consumption!X187/1000/$C$3)</f>
        <v>#DIV/0!</v>
      </c>
      <c r="AD187" s="974" t="e">
        <f>IF($F187="","",$F187*chronic_consumption!Y187/1000/$C$3)</f>
        <v>#DIV/0!</v>
      </c>
      <c r="AE187" s="974" t="e">
        <f>IF($F187="","",$F187*chronic_consumption!Z187/1000/$C$3)</f>
        <v>#DIV/0!</v>
      </c>
      <c r="AF187" s="974" t="e">
        <f>IF($F187="","",$F187*chronic_consumption!AA187/1000/$C$3)</f>
        <v>#DIV/0!</v>
      </c>
      <c r="AG187" s="974" t="e">
        <f>IF($F187="","",$F187*chronic_consumption!AB187/1000/$C$3)</f>
        <v>#DIV/0!</v>
      </c>
      <c r="AH187" s="974" t="e">
        <f>IF($F187="","",$F187*chronic_consumption!AC187/1000/$C$3)</f>
        <v>#DIV/0!</v>
      </c>
      <c r="AI187" s="974" t="e">
        <f>IF($F187="","",$F187*chronic_consumption!AD187/1000/$C$3)</f>
        <v>#DIV/0!</v>
      </c>
      <c r="AJ187" s="974" t="e">
        <f>IF($F187="","",$F187*chronic_consumption!AE187/1000/$C$3)</f>
        <v>#DIV/0!</v>
      </c>
      <c r="AK187" s="974" t="e">
        <f>IF($F187="","",$F187*chronic_consumption!AF187/1000/$C$3)</f>
        <v>#DIV/0!</v>
      </c>
      <c r="AL187" s="974" t="e">
        <f>IF($F187="","",$F187*chronic_consumption!AG187/1000/$C$3)</f>
        <v>#DIV/0!</v>
      </c>
      <c r="AM187" s="974" t="e">
        <f>IF($F187="","",$F187*chronic_consumption!AH187/1000/$C$3)</f>
        <v>#DIV/0!</v>
      </c>
      <c r="AN187" s="974" t="e">
        <f>IF($F187="","",$F187*chronic_consumption!AI187/1000/$C$3)</f>
        <v>#DIV/0!</v>
      </c>
      <c r="AO187" s="974" t="e">
        <f>IF($F187="","",$F187*chronic_consumption!AJ187/1000/$C$3)</f>
        <v>#DIV/0!</v>
      </c>
      <c r="AP187" s="974" t="e">
        <f>IF($F187="","",$F187*chronic_consumption!AK187/1000/$C$3)</f>
        <v>#DIV/0!</v>
      </c>
      <c r="AQ187" s="974" t="e">
        <f>IF($F187="","",$F187*chronic_consumption!AL187/1000/$C$3)</f>
        <v>#DIV/0!</v>
      </c>
      <c r="AR187" s="974" t="e">
        <f>IF($F187="","",$F187*chronic_consumption!AM187/1000/$C$3)</f>
        <v>#DIV/0!</v>
      </c>
      <c r="AS187" s="974" t="e">
        <f>IF($F187="","",$F187*chronic_consumption!AN187/1000/$C$3)</f>
        <v>#DIV/0!</v>
      </c>
      <c r="AT187" s="974" t="e">
        <f>IF($F187="","",$F187*chronic_consumption!AO187/1000/$C$3)</f>
        <v>#DIV/0!</v>
      </c>
      <c r="AU187" s="974"/>
      <c r="AV187" s="974" t="e">
        <f>IF($F187="","",$F187*chronic_consumption!AQ187/1000/$C$3)</f>
        <v>#DIV/0!</v>
      </c>
      <c r="AW187" s="974" t="e">
        <f>IF($F187="","",$F187*chronic_consumption!AR187/1000/$C$3)</f>
        <v>#DIV/0!</v>
      </c>
      <c r="AX187" s="974" t="e">
        <f>IF($F187="","",$F187*chronic_consumption!AS187/1000/$C$3)</f>
        <v>#DIV/0!</v>
      </c>
      <c r="AY187" s="974" t="e">
        <f>IF($F187="","",$F187*chronic_consumption!AT187/1000/$C$3)</f>
        <v>#DIV/0!</v>
      </c>
      <c r="AZ187" s="973" t="s">
        <v>19</v>
      </c>
      <c r="BA187" s="969" t="e">
        <f t="shared" si="15"/>
        <v>#DIV/0!</v>
      </c>
      <c r="BB187" s="970" t="e">
        <f t="shared" si="16"/>
        <v>#DIV/0!</v>
      </c>
      <c r="BC187" s="971" t="e">
        <f t="shared" ca="1" si="17"/>
        <v>#DIV/0!</v>
      </c>
      <c r="BD187" s="228">
        <f>input_values!Z187</f>
        <v>4</v>
      </c>
      <c r="BE187" s="152">
        <f>input_values!L187</f>
        <v>0</v>
      </c>
      <c r="BF187" s="972" t="str">
        <f t="shared" si="18"/>
        <v/>
      </c>
    </row>
    <row r="188" spans="1:58" ht="12" customHeight="1" outlineLevel="3" x14ac:dyDescent="0.2">
      <c r="A188" s="21">
        <v>4</v>
      </c>
      <c r="B188" s="23">
        <v>256990</v>
      </c>
      <c r="C188" s="23" t="s">
        <v>175</v>
      </c>
      <c r="D188" s="965">
        <f>Table22[[#This Row],[MRL individual commodity]]</f>
        <v>0</v>
      </c>
      <c r="E188" s="300" t="str">
        <f>Table22[[#This Row],[LOQ_label]]</f>
        <v/>
      </c>
      <c r="F188" s="966">
        <f>Table22[[#This Row],[Chronic RA input value]]</f>
        <v>0</v>
      </c>
      <c r="G188" s="304" t="str">
        <f>Table22[[#This Row],[Chronic RA label]]</f>
        <v/>
      </c>
      <c r="H188" s="304">
        <f>Table22[[#This Row],[GAP under assessment]]</f>
        <v>0</v>
      </c>
      <c r="I188" s="1123"/>
      <c r="J188" s="974" t="e">
        <f>IF($F188="","",$F188*chronic_consumption!$E188/1000/$C$3)</f>
        <v>#DIV/0!</v>
      </c>
      <c r="K188" s="974" t="e">
        <f>IF($F188="","",$F188*chronic_consumption!F188/1000/$C$3)</f>
        <v>#DIV/0!</v>
      </c>
      <c r="L188" s="974" t="e">
        <f>IF($F188="","",$F188*chronic_consumption!G188/1000/$C$3)</f>
        <v>#DIV/0!</v>
      </c>
      <c r="M188" s="974" t="e">
        <f>IF($F188="","",$F188*chronic_consumption!H188/1000/$C$3)</f>
        <v>#DIV/0!</v>
      </c>
      <c r="N188" s="974" t="e">
        <f>IF($F188="","",$F188*chronic_consumption!I188/1000/$C$3)</f>
        <v>#DIV/0!</v>
      </c>
      <c r="O188" s="974" t="e">
        <f>IF($F188="","",$F188*chronic_consumption!J188/1000/$C$3)</f>
        <v>#DIV/0!</v>
      </c>
      <c r="P188" s="974" t="e">
        <f>IF($F188="","",$F188*chronic_consumption!K188/1000/$C$3)</f>
        <v>#DIV/0!</v>
      </c>
      <c r="Q188" s="974" t="e">
        <f>IF($F188="","",$F188*chronic_consumption!L188/1000/$C$3)</f>
        <v>#DIV/0!</v>
      </c>
      <c r="R188" s="974" t="e">
        <f>IF($F188="","",$F188*chronic_consumption!M188/1000/$C$3)</f>
        <v>#DIV/0!</v>
      </c>
      <c r="S188" s="974" t="e">
        <f>IF($F188="","",$F188*chronic_consumption!N188/1000/$C$3)</f>
        <v>#DIV/0!</v>
      </c>
      <c r="T188" s="974" t="e">
        <f>IF($F188="","",$F188*chronic_consumption!O188/1000/$C$3)</f>
        <v>#DIV/0!</v>
      </c>
      <c r="U188" s="974" t="e">
        <f>IF($F188="","",$F188*chronic_consumption!P188/1000/$C$3)</f>
        <v>#DIV/0!</v>
      </c>
      <c r="V188" s="974" t="e">
        <f>IF($F188="","",$F188*chronic_consumption!Q188/1000/$C$3)</f>
        <v>#DIV/0!</v>
      </c>
      <c r="W188" s="974" t="e">
        <f>IF($F188="","",$F188*chronic_consumption!R188/1000/$C$3)</f>
        <v>#DIV/0!</v>
      </c>
      <c r="X188" s="974" t="e">
        <f>IF($F188="","",$F188*chronic_consumption!S188/1000/$C$3)</f>
        <v>#DIV/0!</v>
      </c>
      <c r="Y188" s="974" t="e">
        <f>IF($F188="","",$F188*chronic_consumption!T188/1000/$C$3)</f>
        <v>#DIV/0!</v>
      </c>
      <c r="Z188" s="974" t="e">
        <f>IF($F188="","",$F188*chronic_consumption!U188/1000/$C$3)</f>
        <v>#DIV/0!</v>
      </c>
      <c r="AA188" s="974" t="e">
        <f>IF($F188="","",$F188*chronic_consumption!V188/1000/$C$3)</f>
        <v>#DIV/0!</v>
      </c>
      <c r="AB188" s="974" t="e">
        <f>IF($F188="","",$F188*chronic_consumption!W188/1000/$C$3)</f>
        <v>#DIV/0!</v>
      </c>
      <c r="AC188" s="974" t="e">
        <f>IF($F188="","",$F188*chronic_consumption!X188/1000/$C$3)</f>
        <v>#DIV/0!</v>
      </c>
      <c r="AD188" s="974" t="e">
        <f>IF($F188="","",$F188*chronic_consumption!Y188/1000/$C$3)</f>
        <v>#DIV/0!</v>
      </c>
      <c r="AE188" s="974" t="e">
        <f>IF($F188="","",$F188*chronic_consumption!Z188/1000/$C$3)</f>
        <v>#DIV/0!</v>
      </c>
      <c r="AF188" s="974" t="e">
        <f>IF($F188="","",$F188*chronic_consumption!AA188/1000/$C$3)</f>
        <v>#DIV/0!</v>
      </c>
      <c r="AG188" s="974" t="e">
        <f>IF($F188="","",$F188*chronic_consumption!AB188/1000/$C$3)</f>
        <v>#DIV/0!</v>
      </c>
      <c r="AH188" s="974" t="e">
        <f>IF($F188="","",$F188*chronic_consumption!AC188/1000/$C$3)</f>
        <v>#DIV/0!</v>
      </c>
      <c r="AI188" s="974" t="e">
        <f>IF($F188="","",$F188*chronic_consumption!AD188/1000/$C$3)</f>
        <v>#DIV/0!</v>
      </c>
      <c r="AJ188" s="974" t="e">
        <f>IF($F188="","",$F188*chronic_consumption!AE188/1000/$C$3)</f>
        <v>#DIV/0!</v>
      </c>
      <c r="AK188" s="974" t="e">
        <f>IF($F188="","",$F188*chronic_consumption!AF188/1000/$C$3)</f>
        <v>#DIV/0!</v>
      </c>
      <c r="AL188" s="974" t="e">
        <f>IF($F188="","",$F188*chronic_consumption!AG188/1000/$C$3)</f>
        <v>#DIV/0!</v>
      </c>
      <c r="AM188" s="974" t="e">
        <f>IF($F188="","",$F188*chronic_consumption!AH188/1000/$C$3)</f>
        <v>#DIV/0!</v>
      </c>
      <c r="AN188" s="974" t="e">
        <f>IF($F188="","",$F188*chronic_consumption!AI188/1000/$C$3)</f>
        <v>#DIV/0!</v>
      </c>
      <c r="AO188" s="974" t="e">
        <f>IF($F188="","",$F188*chronic_consumption!AJ188/1000/$C$3)</f>
        <v>#DIV/0!</v>
      </c>
      <c r="AP188" s="974" t="e">
        <f>IF($F188="","",$F188*chronic_consumption!AK188/1000/$C$3)</f>
        <v>#DIV/0!</v>
      </c>
      <c r="AQ188" s="974" t="e">
        <f>IF($F188="","",$F188*chronic_consumption!AL188/1000/$C$3)</f>
        <v>#DIV/0!</v>
      </c>
      <c r="AR188" s="974" t="e">
        <f>IF($F188="","",$F188*chronic_consumption!AM188/1000/$C$3)</f>
        <v>#DIV/0!</v>
      </c>
      <c r="AS188" s="974" t="e">
        <f>IF($F188="","",$F188*chronic_consumption!AN188/1000/$C$3)</f>
        <v>#DIV/0!</v>
      </c>
      <c r="AT188" s="974" t="e">
        <f>IF($F188="","",$F188*chronic_consumption!AO188/1000/$C$3)</f>
        <v>#DIV/0!</v>
      </c>
      <c r="AU188" s="974"/>
      <c r="AV188" s="974" t="e">
        <f>IF($F188="","",$F188*chronic_consumption!AQ188/1000/$C$3)</f>
        <v>#DIV/0!</v>
      </c>
      <c r="AW188" s="974" t="e">
        <f>IF($F188="","",$F188*chronic_consumption!AR188/1000/$C$3)</f>
        <v>#DIV/0!</v>
      </c>
      <c r="AX188" s="974" t="e">
        <f>IF($F188="","",$F188*chronic_consumption!AS188/1000/$C$3)</f>
        <v>#DIV/0!</v>
      </c>
      <c r="AY188" s="974" t="e">
        <f>IF($F188="","",$F188*chronic_consumption!AT188/1000/$C$3)</f>
        <v>#DIV/0!</v>
      </c>
      <c r="AZ188" s="973" t="s">
        <v>19</v>
      </c>
      <c r="BA188" s="969" t="e">
        <f t="shared" si="15"/>
        <v>#DIV/0!</v>
      </c>
      <c r="BB188" s="970" t="e">
        <f t="shared" si="16"/>
        <v>#DIV/0!</v>
      </c>
      <c r="BC188" s="971" t="e">
        <f t="shared" ca="1" si="17"/>
        <v>#DIV/0!</v>
      </c>
      <c r="BD188" s="228">
        <f>input_values!Z188</f>
        <v>4</v>
      </c>
      <c r="BE188" s="152">
        <f>input_values!L188</f>
        <v>0</v>
      </c>
      <c r="BF188" s="972" t="str">
        <f t="shared" si="18"/>
        <v/>
      </c>
    </row>
    <row r="189" spans="1:58" ht="12" customHeight="1" outlineLevel="1" x14ac:dyDescent="0.2">
      <c r="A189" s="314">
        <v>2</v>
      </c>
      <c r="B189" s="131">
        <v>260000</v>
      </c>
      <c r="C189" s="131" t="s">
        <v>354</v>
      </c>
      <c r="D189" s="965">
        <f>Table22[[#This Row],[MRL individual commodity]]</f>
        <v>0</v>
      </c>
      <c r="E189" s="300">
        <f>Table22[[#This Row],[LOQ_label]]</f>
        <v>0</v>
      </c>
      <c r="F189" s="966">
        <f>Table22[[#This Row],[Chronic RA input value]]</f>
        <v>0</v>
      </c>
      <c r="G189" s="304">
        <f>Table22[[#This Row],[Chronic RA label]]</f>
        <v>0</v>
      </c>
      <c r="H189" s="304">
        <f>Table22[[#This Row],[GAP under assessment]]</f>
        <v>0</v>
      </c>
      <c r="I189" s="1123"/>
      <c r="J189" s="967" t="e">
        <f>IF($F189="","",$F189*chronic_consumption!$E189/1000/$C$3)</f>
        <v>#DIV/0!</v>
      </c>
      <c r="K189" s="967" t="e">
        <f>IF($F189="","",$F189*chronic_consumption!F189/1000/$C$3)</f>
        <v>#DIV/0!</v>
      </c>
      <c r="L189" s="967" t="e">
        <f>IF($F189="","",$F189*chronic_consumption!G189/1000/$C$3)</f>
        <v>#DIV/0!</v>
      </c>
      <c r="M189" s="967" t="e">
        <f>IF($F189="","",$F189*chronic_consumption!H189/1000/$C$3)</f>
        <v>#DIV/0!</v>
      </c>
      <c r="N189" s="967" t="e">
        <f>IF($F189="","",$F189*chronic_consumption!I189/1000/$C$3)</f>
        <v>#DIV/0!</v>
      </c>
      <c r="O189" s="967" t="e">
        <f>IF($F189="","",$F189*chronic_consumption!J189/1000/$C$3)</f>
        <v>#DIV/0!</v>
      </c>
      <c r="P189" s="967" t="e">
        <f>IF($F189="","",$F189*chronic_consumption!K189/1000/$C$3)</f>
        <v>#DIV/0!</v>
      </c>
      <c r="Q189" s="967" t="e">
        <f>IF($F189="","",$F189*chronic_consumption!L189/1000/$C$3)</f>
        <v>#DIV/0!</v>
      </c>
      <c r="R189" s="967" t="e">
        <f>IF($F189="","",$F189*chronic_consumption!M189/1000/$C$3)</f>
        <v>#DIV/0!</v>
      </c>
      <c r="S189" s="967" t="e">
        <f>IF($F189="","",$F189*chronic_consumption!N189/1000/$C$3)</f>
        <v>#DIV/0!</v>
      </c>
      <c r="T189" s="967" t="e">
        <f>IF($F189="","",$F189*chronic_consumption!O189/1000/$C$3)</f>
        <v>#DIV/0!</v>
      </c>
      <c r="U189" s="967" t="e">
        <f>IF($F189="","",$F189*chronic_consumption!P189/1000/$C$3)</f>
        <v>#DIV/0!</v>
      </c>
      <c r="V189" s="967" t="e">
        <f>IF($F189="","",$F189*chronic_consumption!Q189/1000/$C$3)</f>
        <v>#DIV/0!</v>
      </c>
      <c r="W189" s="967" t="e">
        <f>IF($F189="","",$F189*chronic_consumption!R189/1000/$C$3)</f>
        <v>#DIV/0!</v>
      </c>
      <c r="X189" s="967" t="e">
        <f>IF($F189="","",$F189*chronic_consumption!S189/1000/$C$3)</f>
        <v>#DIV/0!</v>
      </c>
      <c r="Y189" s="967" t="e">
        <f>IF($F189="","",$F189*chronic_consumption!T189/1000/$C$3)</f>
        <v>#DIV/0!</v>
      </c>
      <c r="Z189" s="967" t="e">
        <f>IF($F189="","",$F189*chronic_consumption!U189/1000/$C$3)</f>
        <v>#DIV/0!</v>
      </c>
      <c r="AA189" s="967" t="e">
        <f>IF($F189="","",$F189*chronic_consumption!V189/1000/$C$3)</f>
        <v>#DIV/0!</v>
      </c>
      <c r="AB189" s="967" t="e">
        <f>IF($F189="","",$F189*chronic_consumption!W189/1000/$C$3)</f>
        <v>#DIV/0!</v>
      </c>
      <c r="AC189" s="967" t="e">
        <f>IF($F189="","",$F189*chronic_consumption!X189/1000/$C$3)</f>
        <v>#DIV/0!</v>
      </c>
      <c r="AD189" s="967" t="e">
        <f>IF($F189="","",$F189*chronic_consumption!Y189/1000/$C$3)</f>
        <v>#DIV/0!</v>
      </c>
      <c r="AE189" s="967" t="e">
        <f>IF($F189="","",$F189*chronic_consumption!Z189/1000/$C$3)</f>
        <v>#DIV/0!</v>
      </c>
      <c r="AF189" s="967" t="e">
        <f>IF($F189="","",$F189*chronic_consumption!AA189/1000/$C$3)</f>
        <v>#DIV/0!</v>
      </c>
      <c r="AG189" s="967" t="e">
        <f>IF($F189="","",$F189*chronic_consumption!AB189/1000/$C$3)</f>
        <v>#DIV/0!</v>
      </c>
      <c r="AH189" s="967" t="e">
        <f>IF($F189="","",$F189*chronic_consumption!AC189/1000/$C$3)</f>
        <v>#DIV/0!</v>
      </c>
      <c r="AI189" s="967" t="e">
        <f>IF($F189="","",$F189*chronic_consumption!AD189/1000/$C$3)</f>
        <v>#DIV/0!</v>
      </c>
      <c r="AJ189" s="967" t="e">
        <f>IF($F189="","",$F189*chronic_consumption!AE189/1000/$C$3)</f>
        <v>#DIV/0!</v>
      </c>
      <c r="AK189" s="967" t="e">
        <f>IF($F189="","",$F189*chronic_consumption!AF189/1000/$C$3)</f>
        <v>#DIV/0!</v>
      </c>
      <c r="AL189" s="967" t="e">
        <f>IF($F189="","",$F189*chronic_consumption!AG189/1000/$C$3)</f>
        <v>#DIV/0!</v>
      </c>
      <c r="AM189" s="967" t="e">
        <f>IF($F189="","",$F189*chronic_consumption!AH189/1000/$C$3)</f>
        <v>#DIV/0!</v>
      </c>
      <c r="AN189" s="967" t="e">
        <f>IF($F189="","",$F189*chronic_consumption!AI189/1000/$C$3)</f>
        <v>#DIV/0!</v>
      </c>
      <c r="AO189" s="967" t="e">
        <f>IF($F189="","",$F189*chronic_consumption!AJ189/1000/$C$3)</f>
        <v>#DIV/0!</v>
      </c>
      <c r="AP189" s="967" t="e">
        <f>IF($F189="","",$F189*chronic_consumption!AK189/1000/$C$3)</f>
        <v>#DIV/0!</v>
      </c>
      <c r="AQ189" s="967" t="e">
        <f>IF($F189="","",$F189*chronic_consumption!AL189/1000/$C$3)</f>
        <v>#DIV/0!</v>
      </c>
      <c r="AR189" s="967" t="e">
        <f>IF($F189="","",$F189*chronic_consumption!AM189/1000/$C$3)</f>
        <v>#DIV/0!</v>
      </c>
      <c r="AS189" s="967" t="e">
        <f>IF($F189="","",$F189*chronic_consumption!AN189/1000/$C$3)</f>
        <v>#DIV/0!</v>
      </c>
      <c r="AT189" s="967" t="e">
        <f>IF($F189="","",$F189*chronic_consumption!AO189/1000/$C$3)</f>
        <v>#DIV/0!</v>
      </c>
      <c r="AU189" s="967"/>
      <c r="AV189" s="967" t="e">
        <f>IF($F189="","",$F189*chronic_consumption!AQ189/1000/$C$3)</f>
        <v>#DIV/0!</v>
      </c>
      <c r="AW189" s="967" t="e">
        <f>IF($F189="","",$F189*chronic_consumption!AR189/1000/$C$3)</f>
        <v>#DIV/0!</v>
      </c>
      <c r="AX189" s="967" t="e">
        <f>IF($F189="","",$F189*chronic_consumption!AS189/1000/$C$3)</f>
        <v>#DIV/0!</v>
      </c>
      <c r="AY189" s="967" t="e">
        <f>IF($F189="","",$F189*chronic_consumption!AT189/1000/$C$3)</f>
        <v>#DIV/0!</v>
      </c>
      <c r="AZ189" s="973"/>
      <c r="BA189" s="969" t="e">
        <f t="shared" si="15"/>
        <v>#DIV/0!</v>
      </c>
      <c r="BB189" s="970" t="e">
        <f t="shared" si="16"/>
        <v>#DIV/0!</v>
      </c>
      <c r="BC189" s="971" t="e">
        <f t="shared" ca="1" si="17"/>
        <v>#DIV/0!</v>
      </c>
      <c r="BD189" s="228">
        <f>input_values!Z189</f>
        <v>4</v>
      </c>
      <c r="BE189" s="152">
        <f>input_values!L189</f>
        <v>0</v>
      </c>
      <c r="BF189" s="972" t="str">
        <f t="shared" si="18"/>
        <v/>
      </c>
    </row>
    <row r="190" spans="1:58" ht="12" customHeight="1" outlineLevel="3" x14ac:dyDescent="0.2">
      <c r="A190" s="21">
        <v>4</v>
      </c>
      <c r="B190" s="23">
        <v>260010</v>
      </c>
      <c r="C190" s="23" t="s">
        <v>32</v>
      </c>
      <c r="D190" s="965">
        <f>Table22[[#This Row],[MRL individual commodity]]</f>
        <v>0</v>
      </c>
      <c r="E190" s="300" t="str">
        <f>Table22[[#This Row],[LOQ_label]]</f>
        <v/>
      </c>
      <c r="F190" s="966">
        <f>Table22[[#This Row],[Chronic RA input value]]</f>
        <v>0</v>
      </c>
      <c r="G190" s="304" t="str">
        <f>Table22[[#This Row],[Chronic RA label]]</f>
        <v/>
      </c>
      <c r="H190" s="304">
        <f>Table22[[#This Row],[GAP under assessment]]</f>
        <v>0</v>
      </c>
      <c r="I190" s="1123"/>
      <c r="J190" s="974" t="e">
        <f>IF($F190="","",$F190*chronic_consumption!$E190/1000/$C$3)</f>
        <v>#DIV/0!</v>
      </c>
      <c r="K190" s="974" t="e">
        <f>IF($F190="","",$F190*chronic_consumption!F190/1000/$C$3)</f>
        <v>#DIV/0!</v>
      </c>
      <c r="L190" s="974" t="e">
        <f>IF($F190="","",$F190*chronic_consumption!G190/1000/$C$3)</f>
        <v>#DIV/0!</v>
      </c>
      <c r="M190" s="974" t="e">
        <f>IF($F190="","",$F190*chronic_consumption!H190/1000/$C$3)</f>
        <v>#DIV/0!</v>
      </c>
      <c r="N190" s="974" t="e">
        <f>IF($F190="","",$F190*chronic_consumption!I190/1000/$C$3)</f>
        <v>#DIV/0!</v>
      </c>
      <c r="O190" s="974" t="e">
        <f>IF($F190="","",$F190*chronic_consumption!J190/1000/$C$3)</f>
        <v>#DIV/0!</v>
      </c>
      <c r="P190" s="974" t="e">
        <f>IF($F190="","",$F190*chronic_consumption!K190/1000/$C$3)</f>
        <v>#DIV/0!</v>
      </c>
      <c r="Q190" s="974" t="e">
        <f>IF($F190="","",$F190*chronic_consumption!L190/1000/$C$3)</f>
        <v>#DIV/0!</v>
      </c>
      <c r="R190" s="974" t="e">
        <f>IF($F190="","",$F190*chronic_consumption!M190/1000/$C$3)</f>
        <v>#DIV/0!</v>
      </c>
      <c r="S190" s="974" t="e">
        <f>IF($F190="","",$F190*chronic_consumption!N190/1000/$C$3)</f>
        <v>#DIV/0!</v>
      </c>
      <c r="T190" s="974" t="e">
        <f>IF($F190="","",$F190*chronic_consumption!O190/1000/$C$3)</f>
        <v>#DIV/0!</v>
      </c>
      <c r="U190" s="974" t="e">
        <f>IF($F190="","",$F190*chronic_consumption!P190/1000/$C$3)</f>
        <v>#DIV/0!</v>
      </c>
      <c r="V190" s="974" t="e">
        <f>IF($F190="","",$F190*chronic_consumption!Q190/1000/$C$3)</f>
        <v>#DIV/0!</v>
      </c>
      <c r="W190" s="974" t="e">
        <f>IF($F190="","",$F190*chronic_consumption!R190/1000/$C$3)</f>
        <v>#DIV/0!</v>
      </c>
      <c r="X190" s="974" t="e">
        <f>IF($F190="","",$F190*chronic_consumption!S190/1000/$C$3)</f>
        <v>#DIV/0!</v>
      </c>
      <c r="Y190" s="974" t="e">
        <f>IF($F190="","",$F190*chronic_consumption!T190/1000/$C$3)</f>
        <v>#DIV/0!</v>
      </c>
      <c r="Z190" s="974" t="e">
        <f>IF($F190="","",$F190*chronic_consumption!U190/1000/$C$3)</f>
        <v>#DIV/0!</v>
      </c>
      <c r="AA190" s="974" t="e">
        <f>IF($F190="","",$F190*chronic_consumption!V190/1000/$C$3)</f>
        <v>#DIV/0!</v>
      </c>
      <c r="AB190" s="974" t="e">
        <f>IF($F190="","",$F190*chronic_consumption!W190/1000/$C$3)</f>
        <v>#DIV/0!</v>
      </c>
      <c r="AC190" s="974" t="e">
        <f>IF($F190="","",$F190*chronic_consumption!X190/1000/$C$3)</f>
        <v>#DIV/0!</v>
      </c>
      <c r="AD190" s="974" t="e">
        <f>IF($F190="","",$F190*chronic_consumption!Y190/1000/$C$3)</f>
        <v>#DIV/0!</v>
      </c>
      <c r="AE190" s="974" t="e">
        <f>IF($F190="","",$F190*chronic_consumption!Z190/1000/$C$3)</f>
        <v>#DIV/0!</v>
      </c>
      <c r="AF190" s="974" t="e">
        <f>IF($F190="","",$F190*chronic_consumption!AA190/1000/$C$3)</f>
        <v>#DIV/0!</v>
      </c>
      <c r="AG190" s="974" t="e">
        <f>IF($F190="","",$F190*chronic_consumption!AB190/1000/$C$3)</f>
        <v>#DIV/0!</v>
      </c>
      <c r="AH190" s="974" t="e">
        <f>IF($F190="","",$F190*chronic_consumption!AC190/1000/$C$3)</f>
        <v>#DIV/0!</v>
      </c>
      <c r="AI190" s="974" t="e">
        <f>IF($F190="","",$F190*chronic_consumption!AD190/1000/$C$3)</f>
        <v>#DIV/0!</v>
      </c>
      <c r="AJ190" s="974" t="e">
        <f>IF($F190="","",$F190*chronic_consumption!AE190/1000/$C$3)</f>
        <v>#DIV/0!</v>
      </c>
      <c r="AK190" s="974" t="e">
        <f>IF($F190="","",$F190*chronic_consumption!AF190/1000/$C$3)</f>
        <v>#DIV/0!</v>
      </c>
      <c r="AL190" s="974" t="e">
        <f>IF($F190="","",$F190*chronic_consumption!AG190/1000/$C$3)</f>
        <v>#DIV/0!</v>
      </c>
      <c r="AM190" s="974" t="e">
        <f>IF($F190="","",$F190*chronic_consumption!AH190/1000/$C$3)</f>
        <v>#DIV/0!</v>
      </c>
      <c r="AN190" s="974" t="e">
        <f>IF($F190="","",$F190*chronic_consumption!AI190/1000/$C$3)</f>
        <v>#DIV/0!</v>
      </c>
      <c r="AO190" s="974" t="e">
        <f>IF($F190="","",$F190*chronic_consumption!AJ190/1000/$C$3)</f>
        <v>#DIV/0!</v>
      </c>
      <c r="AP190" s="974" t="e">
        <f>IF($F190="","",$F190*chronic_consumption!AK190/1000/$C$3)</f>
        <v>#DIV/0!</v>
      </c>
      <c r="AQ190" s="974" t="e">
        <f>IF($F190="","",$F190*chronic_consumption!AL190/1000/$C$3)</f>
        <v>#DIV/0!</v>
      </c>
      <c r="AR190" s="974" t="e">
        <f>IF($F190="","",$F190*chronic_consumption!AM190/1000/$C$3)</f>
        <v>#DIV/0!</v>
      </c>
      <c r="AS190" s="974" t="e">
        <f>IF($F190="","",$F190*chronic_consumption!AN190/1000/$C$3)</f>
        <v>#DIV/0!</v>
      </c>
      <c r="AT190" s="974" t="e">
        <f>IF($F190="","",$F190*chronic_consumption!AO190/1000/$C$3)</f>
        <v>#DIV/0!</v>
      </c>
      <c r="AU190" s="974"/>
      <c r="AV190" s="974" t="e">
        <f>IF($F190="","",$F190*chronic_consumption!AQ190/1000/$C$3)</f>
        <v>#DIV/0!</v>
      </c>
      <c r="AW190" s="974" t="e">
        <f>IF($F190="","",$F190*chronic_consumption!AR190/1000/$C$3)</f>
        <v>#DIV/0!</v>
      </c>
      <c r="AX190" s="974" t="e">
        <f>IF($F190="","",$F190*chronic_consumption!AS190/1000/$C$3)</f>
        <v>#DIV/0!</v>
      </c>
      <c r="AY190" s="974" t="e">
        <f>IF($F190="","",$F190*chronic_consumption!AT190/1000/$C$3)</f>
        <v>#DIV/0!</v>
      </c>
      <c r="AZ190" s="973" t="s">
        <v>19</v>
      </c>
      <c r="BA190" s="969" t="e">
        <f t="shared" si="15"/>
        <v>#DIV/0!</v>
      </c>
      <c r="BB190" s="970" t="e">
        <f t="shared" si="16"/>
        <v>#DIV/0!</v>
      </c>
      <c r="BC190" s="971" t="e">
        <f t="shared" ca="1" si="17"/>
        <v>#DIV/0!</v>
      </c>
      <c r="BD190" s="228">
        <f>input_values!Z190</f>
        <v>4</v>
      </c>
      <c r="BE190" s="152">
        <f>input_values!L190</f>
        <v>0</v>
      </c>
      <c r="BF190" s="972" t="str">
        <f t="shared" si="18"/>
        <v/>
      </c>
    </row>
    <row r="191" spans="1:58" ht="12" customHeight="1" outlineLevel="3" x14ac:dyDescent="0.2">
      <c r="A191" s="21">
        <v>4</v>
      </c>
      <c r="B191" s="23">
        <v>260020</v>
      </c>
      <c r="C191" s="23" t="s">
        <v>33</v>
      </c>
      <c r="D191" s="965">
        <f>Table22[[#This Row],[MRL individual commodity]]</f>
        <v>0</v>
      </c>
      <c r="E191" s="300" t="str">
        <f>Table22[[#This Row],[LOQ_label]]</f>
        <v/>
      </c>
      <c r="F191" s="966">
        <f>Table22[[#This Row],[Chronic RA input value]]</f>
        <v>0</v>
      </c>
      <c r="G191" s="304" t="str">
        <f>Table22[[#This Row],[Chronic RA label]]</f>
        <v/>
      </c>
      <c r="H191" s="304">
        <f>Table22[[#This Row],[GAP under assessment]]</f>
        <v>0</v>
      </c>
      <c r="I191" s="1123"/>
      <c r="J191" s="974" t="e">
        <f>IF($F191="","",$F191*chronic_consumption!$E191/1000/$C$3)</f>
        <v>#DIV/0!</v>
      </c>
      <c r="K191" s="974" t="e">
        <f>IF($F191="","",$F191*chronic_consumption!F191/1000/$C$3)</f>
        <v>#DIV/0!</v>
      </c>
      <c r="L191" s="974" t="e">
        <f>IF($F191="","",$F191*chronic_consumption!G191/1000/$C$3)</f>
        <v>#DIV/0!</v>
      </c>
      <c r="M191" s="974" t="e">
        <f>IF($F191="","",$F191*chronic_consumption!H191/1000/$C$3)</f>
        <v>#DIV/0!</v>
      </c>
      <c r="N191" s="974" t="e">
        <f>IF($F191="","",$F191*chronic_consumption!I191/1000/$C$3)</f>
        <v>#DIV/0!</v>
      </c>
      <c r="O191" s="974" t="e">
        <f>IF($F191="","",$F191*chronic_consumption!J191/1000/$C$3)</f>
        <v>#DIV/0!</v>
      </c>
      <c r="P191" s="974" t="e">
        <f>IF($F191="","",$F191*chronic_consumption!K191/1000/$C$3)</f>
        <v>#DIV/0!</v>
      </c>
      <c r="Q191" s="974" t="e">
        <f>IF($F191="","",$F191*chronic_consumption!L191/1000/$C$3)</f>
        <v>#DIV/0!</v>
      </c>
      <c r="R191" s="974" t="e">
        <f>IF($F191="","",$F191*chronic_consumption!M191/1000/$C$3)</f>
        <v>#DIV/0!</v>
      </c>
      <c r="S191" s="974" t="e">
        <f>IF($F191="","",$F191*chronic_consumption!N191/1000/$C$3)</f>
        <v>#DIV/0!</v>
      </c>
      <c r="T191" s="974" t="e">
        <f>IF($F191="","",$F191*chronic_consumption!O191/1000/$C$3)</f>
        <v>#DIV/0!</v>
      </c>
      <c r="U191" s="974" t="e">
        <f>IF($F191="","",$F191*chronic_consumption!P191/1000/$C$3)</f>
        <v>#DIV/0!</v>
      </c>
      <c r="V191" s="974" t="e">
        <f>IF($F191="","",$F191*chronic_consumption!Q191/1000/$C$3)</f>
        <v>#DIV/0!</v>
      </c>
      <c r="W191" s="974" t="e">
        <f>IF($F191="","",$F191*chronic_consumption!R191/1000/$C$3)</f>
        <v>#DIV/0!</v>
      </c>
      <c r="X191" s="974" t="e">
        <f>IF($F191="","",$F191*chronic_consumption!S191/1000/$C$3)</f>
        <v>#DIV/0!</v>
      </c>
      <c r="Y191" s="974" t="e">
        <f>IF($F191="","",$F191*chronic_consumption!T191/1000/$C$3)</f>
        <v>#DIV/0!</v>
      </c>
      <c r="Z191" s="974" t="e">
        <f>IF($F191="","",$F191*chronic_consumption!U191/1000/$C$3)</f>
        <v>#DIV/0!</v>
      </c>
      <c r="AA191" s="974" t="e">
        <f>IF($F191="","",$F191*chronic_consumption!V191/1000/$C$3)</f>
        <v>#DIV/0!</v>
      </c>
      <c r="AB191" s="974" t="e">
        <f>IF($F191="","",$F191*chronic_consumption!W191/1000/$C$3)</f>
        <v>#DIV/0!</v>
      </c>
      <c r="AC191" s="974" t="e">
        <f>IF($F191="","",$F191*chronic_consumption!X191/1000/$C$3)</f>
        <v>#DIV/0!</v>
      </c>
      <c r="AD191" s="974" t="e">
        <f>IF($F191="","",$F191*chronic_consumption!Y191/1000/$C$3)</f>
        <v>#DIV/0!</v>
      </c>
      <c r="AE191" s="974" t="e">
        <f>IF($F191="","",$F191*chronic_consumption!Z191/1000/$C$3)</f>
        <v>#DIV/0!</v>
      </c>
      <c r="AF191" s="974" t="e">
        <f>IF($F191="","",$F191*chronic_consumption!AA191/1000/$C$3)</f>
        <v>#DIV/0!</v>
      </c>
      <c r="AG191" s="974" t="e">
        <f>IF($F191="","",$F191*chronic_consumption!AB191/1000/$C$3)</f>
        <v>#DIV/0!</v>
      </c>
      <c r="AH191" s="974" t="e">
        <f>IF($F191="","",$F191*chronic_consumption!AC191/1000/$C$3)</f>
        <v>#DIV/0!</v>
      </c>
      <c r="AI191" s="974" t="e">
        <f>IF($F191="","",$F191*chronic_consumption!AD191/1000/$C$3)</f>
        <v>#DIV/0!</v>
      </c>
      <c r="AJ191" s="974" t="e">
        <f>IF($F191="","",$F191*chronic_consumption!AE191/1000/$C$3)</f>
        <v>#DIV/0!</v>
      </c>
      <c r="AK191" s="974" t="e">
        <f>IF($F191="","",$F191*chronic_consumption!AF191/1000/$C$3)</f>
        <v>#DIV/0!</v>
      </c>
      <c r="AL191" s="974" t="e">
        <f>IF($F191="","",$F191*chronic_consumption!AG191/1000/$C$3)</f>
        <v>#DIV/0!</v>
      </c>
      <c r="AM191" s="974" t="e">
        <f>IF($F191="","",$F191*chronic_consumption!AH191/1000/$C$3)</f>
        <v>#DIV/0!</v>
      </c>
      <c r="AN191" s="974" t="e">
        <f>IF($F191="","",$F191*chronic_consumption!AI191/1000/$C$3)</f>
        <v>#DIV/0!</v>
      </c>
      <c r="AO191" s="974" t="e">
        <f>IF($F191="","",$F191*chronic_consumption!AJ191/1000/$C$3)</f>
        <v>#DIV/0!</v>
      </c>
      <c r="AP191" s="974" t="e">
        <f>IF($F191="","",$F191*chronic_consumption!AK191/1000/$C$3)</f>
        <v>#DIV/0!</v>
      </c>
      <c r="AQ191" s="974" t="e">
        <f>IF($F191="","",$F191*chronic_consumption!AL191/1000/$C$3)</f>
        <v>#DIV/0!</v>
      </c>
      <c r="AR191" s="974" t="e">
        <f>IF($F191="","",$F191*chronic_consumption!AM191/1000/$C$3)</f>
        <v>#DIV/0!</v>
      </c>
      <c r="AS191" s="974" t="e">
        <f>IF($F191="","",$F191*chronic_consumption!AN191/1000/$C$3)</f>
        <v>#DIV/0!</v>
      </c>
      <c r="AT191" s="974" t="e">
        <f>IF($F191="","",$F191*chronic_consumption!AO191/1000/$C$3)</f>
        <v>#DIV/0!</v>
      </c>
      <c r="AU191" s="974"/>
      <c r="AV191" s="974" t="e">
        <f>IF($F191="","",$F191*chronic_consumption!AQ191/1000/$C$3)</f>
        <v>#DIV/0!</v>
      </c>
      <c r="AW191" s="974" t="e">
        <f>IF($F191="","",$F191*chronic_consumption!AR191/1000/$C$3)</f>
        <v>#DIV/0!</v>
      </c>
      <c r="AX191" s="974" t="e">
        <f>IF($F191="","",$F191*chronic_consumption!AS191/1000/$C$3)</f>
        <v>#DIV/0!</v>
      </c>
      <c r="AY191" s="974" t="e">
        <f>IF($F191="","",$F191*chronic_consumption!AT191/1000/$C$3)</f>
        <v>#DIV/0!</v>
      </c>
      <c r="AZ191" s="973" t="s">
        <v>19</v>
      </c>
      <c r="BA191" s="969" t="e">
        <f t="shared" si="15"/>
        <v>#DIV/0!</v>
      </c>
      <c r="BB191" s="970" t="e">
        <f t="shared" si="16"/>
        <v>#DIV/0!</v>
      </c>
      <c r="BC191" s="971" t="e">
        <f t="shared" ca="1" si="17"/>
        <v>#DIV/0!</v>
      </c>
      <c r="BD191" s="228">
        <f>input_values!Z191</f>
        <v>4</v>
      </c>
      <c r="BE191" s="152">
        <f>input_values!L191</f>
        <v>0</v>
      </c>
      <c r="BF191" s="972" t="str">
        <f t="shared" si="18"/>
        <v/>
      </c>
    </row>
    <row r="192" spans="1:58" ht="12" customHeight="1" outlineLevel="3" x14ac:dyDescent="0.2">
      <c r="A192" s="21">
        <v>4</v>
      </c>
      <c r="B192" s="23">
        <v>260030</v>
      </c>
      <c r="C192" s="23" t="s">
        <v>57</v>
      </c>
      <c r="D192" s="965">
        <f>Table22[[#This Row],[MRL individual commodity]]</f>
        <v>0</v>
      </c>
      <c r="E192" s="300" t="str">
        <f>Table22[[#This Row],[LOQ_label]]</f>
        <v/>
      </c>
      <c r="F192" s="966">
        <f>Table22[[#This Row],[Chronic RA input value]]</f>
        <v>0</v>
      </c>
      <c r="G192" s="304" t="str">
        <f>Table22[[#This Row],[Chronic RA label]]</f>
        <v/>
      </c>
      <c r="H192" s="304">
        <f>Table22[[#This Row],[GAP under assessment]]</f>
        <v>0</v>
      </c>
      <c r="I192" s="1123"/>
      <c r="J192" s="974" t="e">
        <f>IF($F192="","",$F192*chronic_consumption!$E192/1000/$C$3)</f>
        <v>#DIV/0!</v>
      </c>
      <c r="K192" s="974" t="e">
        <f>IF($F192="","",$F192*chronic_consumption!F192/1000/$C$3)</f>
        <v>#DIV/0!</v>
      </c>
      <c r="L192" s="974" t="e">
        <f>IF($F192="","",$F192*chronic_consumption!G192/1000/$C$3)</f>
        <v>#DIV/0!</v>
      </c>
      <c r="M192" s="974" t="e">
        <f>IF($F192="","",$F192*chronic_consumption!H192/1000/$C$3)</f>
        <v>#DIV/0!</v>
      </c>
      <c r="N192" s="974" t="e">
        <f>IF($F192="","",$F192*chronic_consumption!I192/1000/$C$3)</f>
        <v>#DIV/0!</v>
      </c>
      <c r="O192" s="974" t="e">
        <f>IF($F192="","",$F192*chronic_consumption!J192/1000/$C$3)</f>
        <v>#DIV/0!</v>
      </c>
      <c r="P192" s="974" t="e">
        <f>IF($F192="","",$F192*chronic_consumption!K192/1000/$C$3)</f>
        <v>#DIV/0!</v>
      </c>
      <c r="Q192" s="974" t="e">
        <f>IF($F192="","",$F192*chronic_consumption!L192/1000/$C$3)</f>
        <v>#DIV/0!</v>
      </c>
      <c r="R192" s="974" t="e">
        <f>IF($F192="","",$F192*chronic_consumption!M192/1000/$C$3)</f>
        <v>#DIV/0!</v>
      </c>
      <c r="S192" s="974" t="e">
        <f>IF($F192="","",$F192*chronic_consumption!N192/1000/$C$3)</f>
        <v>#DIV/0!</v>
      </c>
      <c r="T192" s="974" t="e">
        <f>IF($F192="","",$F192*chronic_consumption!O192/1000/$C$3)</f>
        <v>#DIV/0!</v>
      </c>
      <c r="U192" s="974" t="e">
        <f>IF($F192="","",$F192*chronic_consumption!P192/1000/$C$3)</f>
        <v>#DIV/0!</v>
      </c>
      <c r="V192" s="974" t="e">
        <f>IF($F192="","",$F192*chronic_consumption!Q192/1000/$C$3)</f>
        <v>#DIV/0!</v>
      </c>
      <c r="W192" s="974" t="e">
        <f>IF($F192="","",$F192*chronic_consumption!R192/1000/$C$3)</f>
        <v>#DIV/0!</v>
      </c>
      <c r="X192" s="974" t="e">
        <f>IF($F192="","",$F192*chronic_consumption!S192/1000/$C$3)</f>
        <v>#DIV/0!</v>
      </c>
      <c r="Y192" s="974" t="e">
        <f>IF($F192="","",$F192*chronic_consumption!T192/1000/$C$3)</f>
        <v>#DIV/0!</v>
      </c>
      <c r="Z192" s="974" t="e">
        <f>IF($F192="","",$F192*chronic_consumption!U192/1000/$C$3)</f>
        <v>#DIV/0!</v>
      </c>
      <c r="AA192" s="974" t="e">
        <f>IF($F192="","",$F192*chronic_consumption!V192/1000/$C$3)</f>
        <v>#DIV/0!</v>
      </c>
      <c r="AB192" s="974" t="e">
        <f>IF($F192="","",$F192*chronic_consumption!W192/1000/$C$3)</f>
        <v>#DIV/0!</v>
      </c>
      <c r="AC192" s="974" t="e">
        <f>IF($F192="","",$F192*chronic_consumption!X192/1000/$C$3)</f>
        <v>#DIV/0!</v>
      </c>
      <c r="AD192" s="974" t="e">
        <f>IF($F192="","",$F192*chronic_consumption!Y192/1000/$C$3)</f>
        <v>#DIV/0!</v>
      </c>
      <c r="AE192" s="974" t="e">
        <f>IF($F192="","",$F192*chronic_consumption!Z192/1000/$C$3)</f>
        <v>#DIV/0!</v>
      </c>
      <c r="AF192" s="974" t="e">
        <f>IF($F192="","",$F192*chronic_consumption!AA192/1000/$C$3)</f>
        <v>#DIV/0!</v>
      </c>
      <c r="AG192" s="974" t="e">
        <f>IF($F192="","",$F192*chronic_consumption!AB192/1000/$C$3)</f>
        <v>#DIV/0!</v>
      </c>
      <c r="AH192" s="974" t="e">
        <f>IF($F192="","",$F192*chronic_consumption!AC192/1000/$C$3)</f>
        <v>#DIV/0!</v>
      </c>
      <c r="AI192" s="974" t="e">
        <f>IF($F192="","",$F192*chronic_consumption!AD192/1000/$C$3)</f>
        <v>#DIV/0!</v>
      </c>
      <c r="AJ192" s="974" t="e">
        <f>IF($F192="","",$F192*chronic_consumption!AE192/1000/$C$3)</f>
        <v>#DIV/0!</v>
      </c>
      <c r="AK192" s="974" t="e">
        <f>IF($F192="","",$F192*chronic_consumption!AF192/1000/$C$3)</f>
        <v>#DIV/0!</v>
      </c>
      <c r="AL192" s="974" t="e">
        <f>IF($F192="","",$F192*chronic_consumption!AG192/1000/$C$3)</f>
        <v>#DIV/0!</v>
      </c>
      <c r="AM192" s="974" t="e">
        <f>IF($F192="","",$F192*chronic_consumption!AH192/1000/$C$3)</f>
        <v>#DIV/0!</v>
      </c>
      <c r="AN192" s="974" t="e">
        <f>IF($F192="","",$F192*chronic_consumption!AI192/1000/$C$3)</f>
        <v>#DIV/0!</v>
      </c>
      <c r="AO192" s="974" t="e">
        <f>IF($F192="","",$F192*chronic_consumption!AJ192/1000/$C$3)</f>
        <v>#DIV/0!</v>
      </c>
      <c r="AP192" s="974" t="e">
        <f>IF($F192="","",$F192*chronic_consumption!AK192/1000/$C$3)</f>
        <v>#DIV/0!</v>
      </c>
      <c r="AQ192" s="974" t="e">
        <f>IF($F192="","",$F192*chronic_consumption!AL192/1000/$C$3)</f>
        <v>#DIV/0!</v>
      </c>
      <c r="AR192" s="974" t="e">
        <f>IF($F192="","",$F192*chronic_consumption!AM192/1000/$C$3)</f>
        <v>#DIV/0!</v>
      </c>
      <c r="AS192" s="974" t="e">
        <f>IF($F192="","",$F192*chronic_consumption!AN192/1000/$C$3)</f>
        <v>#DIV/0!</v>
      </c>
      <c r="AT192" s="974" t="e">
        <f>IF($F192="","",$F192*chronic_consumption!AO192/1000/$C$3)</f>
        <v>#DIV/0!</v>
      </c>
      <c r="AU192" s="974"/>
      <c r="AV192" s="974" t="e">
        <f>IF($F192="","",$F192*chronic_consumption!AQ192/1000/$C$3)</f>
        <v>#DIV/0!</v>
      </c>
      <c r="AW192" s="974" t="e">
        <f>IF($F192="","",$F192*chronic_consumption!AR192/1000/$C$3)</f>
        <v>#DIV/0!</v>
      </c>
      <c r="AX192" s="974" t="e">
        <f>IF($F192="","",$F192*chronic_consumption!AS192/1000/$C$3)</f>
        <v>#DIV/0!</v>
      </c>
      <c r="AY192" s="974" t="e">
        <f>IF($F192="","",$F192*chronic_consumption!AT192/1000/$C$3)</f>
        <v>#DIV/0!</v>
      </c>
      <c r="AZ192" s="973" t="s">
        <v>19</v>
      </c>
      <c r="BA192" s="969" t="e">
        <f t="shared" si="15"/>
        <v>#DIV/0!</v>
      </c>
      <c r="BB192" s="970" t="e">
        <f t="shared" si="16"/>
        <v>#DIV/0!</v>
      </c>
      <c r="BC192" s="971" t="e">
        <f t="shared" ca="1" si="17"/>
        <v>#DIV/0!</v>
      </c>
      <c r="BD192" s="228">
        <f>input_values!Z192</f>
        <v>4</v>
      </c>
      <c r="BE192" s="152">
        <f>input_values!L192</f>
        <v>0</v>
      </c>
      <c r="BF192" s="972" t="str">
        <f t="shared" si="18"/>
        <v/>
      </c>
    </row>
    <row r="193" spans="1:58" ht="12" customHeight="1" outlineLevel="3" x14ac:dyDescent="0.2">
      <c r="A193" s="21">
        <v>4</v>
      </c>
      <c r="B193" s="23">
        <v>260040</v>
      </c>
      <c r="C193" s="23" t="s">
        <v>58</v>
      </c>
      <c r="D193" s="965">
        <f>Table22[[#This Row],[MRL individual commodity]]</f>
        <v>0</v>
      </c>
      <c r="E193" s="300" t="str">
        <f>Table22[[#This Row],[LOQ_label]]</f>
        <v/>
      </c>
      <c r="F193" s="966">
        <f>Table22[[#This Row],[Chronic RA input value]]</f>
        <v>0</v>
      </c>
      <c r="G193" s="304" t="str">
        <f>Table22[[#This Row],[Chronic RA label]]</f>
        <v/>
      </c>
      <c r="H193" s="304">
        <f>Table22[[#This Row],[GAP under assessment]]</f>
        <v>0</v>
      </c>
      <c r="I193" s="1123"/>
      <c r="J193" s="974" t="e">
        <f>IF($F193="","",$F193*chronic_consumption!$E193/1000/$C$3)</f>
        <v>#DIV/0!</v>
      </c>
      <c r="K193" s="974" t="e">
        <f>IF($F193="","",$F193*chronic_consumption!F193/1000/$C$3)</f>
        <v>#DIV/0!</v>
      </c>
      <c r="L193" s="974" t="e">
        <f>IF($F193="","",$F193*chronic_consumption!G193/1000/$C$3)</f>
        <v>#DIV/0!</v>
      </c>
      <c r="M193" s="974" t="e">
        <f>IF($F193="","",$F193*chronic_consumption!H193/1000/$C$3)</f>
        <v>#DIV/0!</v>
      </c>
      <c r="N193" s="974" t="e">
        <f>IF($F193="","",$F193*chronic_consumption!I193/1000/$C$3)</f>
        <v>#DIV/0!</v>
      </c>
      <c r="O193" s="974" t="e">
        <f>IF($F193="","",$F193*chronic_consumption!J193/1000/$C$3)</f>
        <v>#DIV/0!</v>
      </c>
      <c r="P193" s="974" t="e">
        <f>IF($F193="","",$F193*chronic_consumption!K193/1000/$C$3)</f>
        <v>#DIV/0!</v>
      </c>
      <c r="Q193" s="974" t="e">
        <f>IF($F193="","",$F193*chronic_consumption!L193/1000/$C$3)</f>
        <v>#DIV/0!</v>
      </c>
      <c r="R193" s="974" t="e">
        <f>IF($F193="","",$F193*chronic_consumption!M193/1000/$C$3)</f>
        <v>#DIV/0!</v>
      </c>
      <c r="S193" s="974" t="e">
        <f>IF($F193="","",$F193*chronic_consumption!N193/1000/$C$3)</f>
        <v>#DIV/0!</v>
      </c>
      <c r="T193" s="974" t="e">
        <f>IF($F193="","",$F193*chronic_consumption!O193/1000/$C$3)</f>
        <v>#DIV/0!</v>
      </c>
      <c r="U193" s="974" t="e">
        <f>IF($F193="","",$F193*chronic_consumption!P193/1000/$C$3)</f>
        <v>#DIV/0!</v>
      </c>
      <c r="V193" s="974" t="e">
        <f>IF($F193="","",$F193*chronic_consumption!Q193/1000/$C$3)</f>
        <v>#DIV/0!</v>
      </c>
      <c r="W193" s="974" t="e">
        <f>IF($F193="","",$F193*chronic_consumption!R193/1000/$C$3)</f>
        <v>#DIV/0!</v>
      </c>
      <c r="X193" s="974" t="e">
        <f>IF($F193="","",$F193*chronic_consumption!S193/1000/$C$3)</f>
        <v>#DIV/0!</v>
      </c>
      <c r="Y193" s="974" t="e">
        <f>IF($F193="","",$F193*chronic_consumption!T193/1000/$C$3)</f>
        <v>#DIV/0!</v>
      </c>
      <c r="Z193" s="974" t="e">
        <f>IF($F193="","",$F193*chronic_consumption!U193/1000/$C$3)</f>
        <v>#DIV/0!</v>
      </c>
      <c r="AA193" s="974" t="e">
        <f>IF($F193="","",$F193*chronic_consumption!V193/1000/$C$3)</f>
        <v>#DIV/0!</v>
      </c>
      <c r="AB193" s="974" t="e">
        <f>IF($F193="","",$F193*chronic_consumption!W193/1000/$C$3)</f>
        <v>#DIV/0!</v>
      </c>
      <c r="AC193" s="974" t="e">
        <f>IF($F193="","",$F193*chronic_consumption!X193/1000/$C$3)</f>
        <v>#DIV/0!</v>
      </c>
      <c r="AD193" s="974" t="e">
        <f>IF($F193="","",$F193*chronic_consumption!Y193/1000/$C$3)</f>
        <v>#DIV/0!</v>
      </c>
      <c r="AE193" s="974" t="e">
        <f>IF($F193="","",$F193*chronic_consumption!Z193/1000/$C$3)</f>
        <v>#DIV/0!</v>
      </c>
      <c r="AF193" s="974" t="e">
        <f>IF($F193="","",$F193*chronic_consumption!AA193/1000/$C$3)</f>
        <v>#DIV/0!</v>
      </c>
      <c r="AG193" s="974" t="e">
        <f>IF($F193="","",$F193*chronic_consumption!AB193/1000/$C$3)</f>
        <v>#DIV/0!</v>
      </c>
      <c r="AH193" s="974" t="e">
        <f>IF($F193="","",$F193*chronic_consumption!AC193/1000/$C$3)</f>
        <v>#DIV/0!</v>
      </c>
      <c r="AI193" s="974" t="e">
        <f>IF($F193="","",$F193*chronic_consumption!AD193/1000/$C$3)</f>
        <v>#DIV/0!</v>
      </c>
      <c r="AJ193" s="974" t="e">
        <f>IF($F193="","",$F193*chronic_consumption!AE193/1000/$C$3)</f>
        <v>#DIV/0!</v>
      </c>
      <c r="AK193" s="974" t="e">
        <f>IF($F193="","",$F193*chronic_consumption!AF193/1000/$C$3)</f>
        <v>#DIV/0!</v>
      </c>
      <c r="AL193" s="974" t="e">
        <f>IF($F193="","",$F193*chronic_consumption!AG193/1000/$C$3)</f>
        <v>#DIV/0!</v>
      </c>
      <c r="AM193" s="974" t="e">
        <f>IF($F193="","",$F193*chronic_consumption!AH193/1000/$C$3)</f>
        <v>#DIV/0!</v>
      </c>
      <c r="AN193" s="974" t="e">
        <f>IF($F193="","",$F193*chronic_consumption!AI193/1000/$C$3)</f>
        <v>#DIV/0!</v>
      </c>
      <c r="AO193" s="974" t="e">
        <f>IF($F193="","",$F193*chronic_consumption!AJ193/1000/$C$3)</f>
        <v>#DIV/0!</v>
      </c>
      <c r="AP193" s="974" t="e">
        <f>IF($F193="","",$F193*chronic_consumption!AK193/1000/$C$3)</f>
        <v>#DIV/0!</v>
      </c>
      <c r="AQ193" s="974" t="e">
        <f>IF($F193="","",$F193*chronic_consumption!AL193/1000/$C$3)</f>
        <v>#DIV/0!</v>
      </c>
      <c r="AR193" s="974" t="e">
        <f>IF($F193="","",$F193*chronic_consumption!AM193/1000/$C$3)</f>
        <v>#DIV/0!</v>
      </c>
      <c r="AS193" s="974" t="e">
        <f>IF($F193="","",$F193*chronic_consumption!AN193/1000/$C$3)</f>
        <v>#DIV/0!</v>
      </c>
      <c r="AT193" s="974" t="e">
        <f>IF($F193="","",$F193*chronic_consumption!AO193/1000/$C$3)</f>
        <v>#DIV/0!</v>
      </c>
      <c r="AU193" s="974"/>
      <c r="AV193" s="974" t="e">
        <f>IF($F193="","",$F193*chronic_consumption!AQ193/1000/$C$3)</f>
        <v>#DIV/0!</v>
      </c>
      <c r="AW193" s="974" t="e">
        <f>IF($F193="","",$F193*chronic_consumption!AR193/1000/$C$3)</f>
        <v>#DIV/0!</v>
      </c>
      <c r="AX193" s="974" t="e">
        <f>IF($F193="","",$F193*chronic_consumption!AS193/1000/$C$3)</f>
        <v>#DIV/0!</v>
      </c>
      <c r="AY193" s="974" t="e">
        <f>IF($F193="","",$F193*chronic_consumption!AT193/1000/$C$3)</f>
        <v>#DIV/0!</v>
      </c>
      <c r="AZ193" s="973" t="s">
        <v>19</v>
      </c>
      <c r="BA193" s="969" t="e">
        <f t="shared" si="15"/>
        <v>#DIV/0!</v>
      </c>
      <c r="BB193" s="970" t="e">
        <f t="shared" si="16"/>
        <v>#DIV/0!</v>
      </c>
      <c r="BC193" s="971" t="e">
        <f t="shared" ca="1" si="17"/>
        <v>#DIV/0!</v>
      </c>
      <c r="BD193" s="228">
        <f>input_values!Z193</f>
        <v>4</v>
      </c>
      <c r="BE193" s="152">
        <f>input_values!L193</f>
        <v>0</v>
      </c>
      <c r="BF193" s="972" t="str">
        <f t="shared" si="18"/>
        <v/>
      </c>
    </row>
    <row r="194" spans="1:58" ht="12" customHeight="1" outlineLevel="3" x14ac:dyDescent="0.2">
      <c r="A194" s="21">
        <v>4</v>
      </c>
      <c r="B194" s="23">
        <v>260050</v>
      </c>
      <c r="C194" s="23" t="s">
        <v>269</v>
      </c>
      <c r="D194" s="965">
        <f>Table22[[#This Row],[MRL individual commodity]]</f>
        <v>0</v>
      </c>
      <c r="E194" s="300" t="str">
        <f>Table22[[#This Row],[LOQ_label]]</f>
        <v/>
      </c>
      <c r="F194" s="966">
        <f>Table22[[#This Row],[Chronic RA input value]]</f>
        <v>0</v>
      </c>
      <c r="G194" s="304" t="str">
        <f>Table22[[#This Row],[Chronic RA label]]</f>
        <v/>
      </c>
      <c r="H194" s="304">
        <f>Table22[[#This Row],[GAP under assessment]]</f>
        <v>0</v>
      </c>
      <c r="I194" s="1123"/>
      <c r="J194" s="974" t="e">
        <f>IF($F194="","",$F194*chronic_consumption!$E194/1000/$C$3)</f>
        <v>#DIV/0!</v>
      </c>
      <c r="K194" s="974" t="e">
        <f>IF($F194="","",$F194*chronic_consumption!F194/1000/$C$3)</f>
        <v>#DIV/0!</v>
      </c>
      <c r="L194" s="974" t="e">
        <f>IF($F194="","",$F194*chronic_consumption!G194/1000/$C$3)</f>
        <v>#DIV/0!</v>
      </c>
      <c r="M194" s="974" t="e">
        <f>IF($F194="","",$F194*chronic_consumption!H194/1000/$C$3)</f>
        <v>#DIV/0!</v>
      </c>
      <c r="N194" s="974" t="e">
        <f>IF($F194="","",$F194*chronic_consumption!I194/1000/$C$3)</f>
        <v>#DIV/0!</v>
      </c>
      <c r="O194" s="974" t="e">
        <f>IF($F194="","",$F194*chronic_consumption!J194/1000/$C$3)</f>
        <v>#DIV/0!</v>
      </c>
      <c r="P194" s="974" t="e">
        <f>IF($F194="","",$F194*chronic_consumption!K194/1000/$C$3)</f>
        <v>#DIV/0!</v>
      </c>
      <c r="Q194" s="974" t="e">
        <f>IF($F194="","",$F194*chronic_consumption!L194/1000/$C$3)</f>
        <v>#DIV/0!</v>
      </c>
      <c r="R194" s="974" t="e">
        <f>IF($F194="","",$F194*chronic_consumption!M194/1000/$C$3)</f>
        <v>#DIV/0!</v>
      </c>
      <c r="S194" s="974" t="e">
        <f>IF($F194="","",$F194*chronic_consumption!N194/1000/$C$3)</f>
        <v>#DIV/0!</v>
      </c>
      <c r="T194" s="974" t="e">
        <f>IF($F194="","",$F194*chronic_consumption!O194/1000/$C$3)</f>
        <v>#DIV/0!</v>
      </c>
      <c r="U194" s="974" t="e">
        <f>IF($F194="","",$F194*chronic_consumption!P194/1000/$C$3)</f>
        <v>#DIV/0!</v>
      </c>
      <c r="V194" s="974" t="e">
        <f>IF($F194="","",$F194*chronic_consumption!Q194/1000/$C$3)</f>
        <v>#DIV/0!</v>
      </c>
      <c r="W194" s="974" t="e">
        <f>IF($F194="","",$F194*chronic_consumption!R194/1000/$C$3)</f>
        <v>#DIV/0!</v>
      </c>
      <c r="X194" s="974" t="e">
        <f>IF($F194="","",$F194*chronic_consumption!S194/1000/$C$3)</f>
        <v>#DIV/0!</v>
      </c>
      <c r="Y194" s="974" t="e">
        <f>IF($F194="","",$F194*chronic_consumption!T194/1000/$C$3)</f>
        <v>#DIV/0!</v>
      </c>
      <c r="Z194" s="974" t="e">
        <f>IF($F194="","",$F194*chronic_consumption!U194/1000/$C$3)</f>
        <v>#DIV/0!</v>
      </c>
      <c r="AA194" s="974" t="e">
        <f>IF($F194="","",$F194*chronic_consumption!V194/1000/$C$3)</f>
        <v>#DIV/0!</v>
      </c>
      <c r="AB194" s="974" t="e">
        <f>IF($F194="","",$F194*chronic_consumption!W194/1000/$C$3)</f>
        <v>#DIV/0!</v>
      </c>
      <c r="AC194" s="974" t="e">
        <f>IF($F194="","",$F194*chronic_consumption!X194/1000/$C$3)</f>
        <v>#DIV/0!</v>
      </c>
      <c r="AD194" s="974" t="e">
        <f>IF($F194="","",$F194*chronic_consumption!Y194/1000/$C$3)</f>
        <v>#DIV/0!</v>
      </c>
      <c r="AE194" s="974" t="e">
        <f>IF($F194="","",$F194*chronic_consumption!Z194/1000/$C$3)</f>
        <v>#DIV/0!</v>
      </c>
      <c r="AF194" s="974" t="e">
        <f>IF($F194="","",$F194*chronic_consumption!AA194/1000/$C$3)</f>
        <v>#DIV/0!</v>
      </c>
      <c r="AG194" s="974" t="e">
        <f>IF($F194="","",$F194*chronic_consumption!AB194/1000/$C$3)</f>
        <v>#DIV/0!</v>
      </c>
      <c r="AH194" s="974" t="e">
        <f>IF($F194="","",$F194*chronic_consumption!AC194/1000/$C$3)</f>
        <v>#DIV/0!</v>
      </c>
      <c r="AI194" s="974" t="e">
        <f>IF($F194="","",$F194*chronic_consumption!AD194/1000/$C$3)</f>
        <v>#DIV/0!</v>
      </c>
      <c r="AJ194" s="974" t="e">
        <f>IF($F194="","",$F194*chronic_consumption!AE194/1000/$C$3)</f>
        <v>#DIV/0!</v>
      </c>
      <c r="AK194" s="974" t="e">
        <f>IF($F194="","",$F194*chronic_consumption!AF194/1000/$C$3)</f>
        <v>#DIV/0!</v>
      </c>
      <c r="AL194" s="974" t="e">
        <f>IF($F194="","",$F194*chronic_consumption!AG194/1000/$C$3)</f>
        <v>#DIV/0!</v>
      </c>
      <c r="AM194" s="974" t="e">
        <f>IF($F194="","",$F194*chronic_consumption!AH194/1000/$C$3)</f>
        <v>#DIV/0!</v>
      </c>
      <c r="AN194" s="974" t="e">
        <f>IF($F194="","",$F194*chronic_consumption!AI194/1000/$C$3)</f>
        <v>#DIV/0!</v>
      </c>
      <c r="AO194" s="974" t="e">
        <f>IF($F194="","",$F194*chronic_consumption!AJ194/1000/$C$3)</f>
        <v>#DIV/0!</v>
      </c>
      <c r="AP194" s="974" t="e">
        <f>IF($F194="","",$F194*chronic_consumption!AK194/1000/$C$3)</f>
        <v>#DIV/0!</v>
      </c>
      <c r="AQ194" s="974" t="e">
        <f>IF($F194="","",$F194*chronic_consumption!AL194/1000/$C$3)</f>
        <v>#DIV/0!</v>
      </c>
      <c r="AR194" s="974" t="e">
        <f>IF($F194="","",$F194*chronic_consumption!AM194/1000/$C$3)</f>
        <v>#DIV/0!</v>
      </c>
      <c r="AS194" s="974" t="e">
        <f>IF($F194="","",$F194*chronic_consumption!AN194/1000/$C$3)</f>
        <v>#DIV/0!</v>
      </c>
      <c r="AT194" s="974" t="e">
        <f>IF($F194="","",$F194*chronic_consumption!AO194/1000/$C$3)</f>
        <v>#DIV/0!</v>
      </c>
      <c r="AU194" s="974"/>
      <c r="AV194" s="974" t="e">
        <f>IF($F194="","",$F194*chronic_consumption!AQ194/1000/$C$3)</f>
        <v>#DIV/0!</v>
      </c>
      <c r="AW194" s="974" t="e">
        <f>IF($F194="","",$F194*chronic_consumption!AR194/1000/$C$3)</f>
        <v>#DIV/0!</v>
      </c>
      <c r="AX194" s="974" t="e">
        <f>IF($F194="","",$F194*chronic_consumption!AS194/1000/$C$3)</f>
        <v>#DIV/0!</v>
      </c>
      <c r="AY194" s="974" t="e">
        <f>IF($F194="","",$F194*chronic_consumption!AT194/1000/$C$3)</f>
        <v>#DIV/0!</v>
      </c>
      <c r="AZ194" s="973" t="s">
        <v>19</v>
      </c>
      <c r="BA194" s="969" t="e">
        <f t="shared" si="15"/>
        <v>#DIV/0!</v>
      </c>
      <c r="BB194" s="970" t="e">
        <f t="shared" si="16"/>
        <v>#DIV/0!</v>
      </c>
      <c r="BC194" s="971" t="e">
        <f t="shared" ca="1" si="17"/>
        <v>#DIV/0!</v>
      </c>
      <c r="BD194" s="228">
        <f>input_values!Z194</f>
        <v>4</v>
      </c>
      <c r="BE194" s="152">
        <f>input_values!L194</f>
        <v>0</v>
      </c>
      <c r="BF194" s="972" t="str">
        <f t="shared" si="18"/>
        <v/>
      </c>
    </row>
    <row r="195" spans="1:58" ht="12" customHeight="1" outlineLevel="3" x14ac:dyDescent="0.2">
      <c r="A195" s="21">
        <v>4</v>
      </c>
      <c r="B195" s="23">
        <v>260990</v>
      </c>
      <c r="C195" s="23" t="s">
        <v>176</v>
      </c>
      <c r="D195" s="965">
        <f>Table22[[#This Row],[MRL individual commodity]]</f>
        <v>0</v>
      </c>
      <c r="E195" s="300" t="str">
        <f>Table22[[#This Row],[LOQ_label]]</f>
        <v/>
      </c>
      <c r="F195" s="966">
        <f>Table22[[#This Row],[Chronic RA input value]]</f>
        <v>0</v>
      </c>
      <c r="G195" s="304" t="str">
        <f>Table22[[#This Row],[Chronic RA label]]</f>
        <v/>
      </c>
      <c r="H195" s="304">
        <f>Table22[[#This Row],[GAP under assessment]]</f>
        <v>0</v>
      </c>
      <c r="I195" s="1123"/>
      <c r="J195" s="974" t="e">
        <f>IF($F195="","",$F195*chronic_consumption!$E195/1000/$C$3)</f>
        <v>#DIV/0!</v>
      </c>
      <c r="K195" s="974" t="e">
        <f>IF($F195="","",$F195*chronic_consumption!F195/1000/$C$3)</f>
        <v>#DIV/0!</v>
      </c>
      <c r="L195" s="974" t="e">
        <f>IF($F195="","",$F195*chronic_consumption!G195/1000/$C$3)</f>
        <v>#DIV/0!</v>
      </c>
      <c r="M195" s="974" t="e">
        <f>IF($F195="","",$F195*chronic_consumption!H195/1000/$C$3)</f>
        <v>#DIV/0!</v>
      </c>
      <c r="N195" s="974" t="e">
        <f>IF($F195="","",$F195*chronic_consumption!I195/1000/$C$3)</f>
        <v>#DIV/0!</v>
      </c>
      <c r="O195" s="974" t="e">
        <f>IF($F195="","",$F195*chronic_consumption!J195/1000/$C$3)</f>
        <v>#DIV/0!</v>
      </c>
      <c r="P195" s="974" t="e">
        <f>IF($F195="","",$F195*chronic_consumption!K195/1000/$C$3)</f>
        <v>#DIV/0!</v>
      </c>
      <c r="Q195" s="974" t="e">
        <f>IF($F195="","",$F195*chronic_consumption!L195/1000/$C$3)</f>
        <v>#DIV/0!</v>
      </c>
      <c r="R195" s="974" t="e">
        <f>IF($F195="","",$F195*chronic_consumption!M195/1000/$C$3)</f>
        <v>#DIV/0!</v>
      </c>
      <c r="S195" s="974" t="e">
        <f>IF($F195="","",$F195*chronic_consumption!N195/1000/$C$3)</f>
        <v>#DIV/0!</v>
      </c>
      <c r="T195" s="974" t="e">
        <f>IF($F195="","",$F195*chronic_consumption!O195/1000/$C$3)</f>
        <v>#DIV/0!</v>
      </c>
      <c r="U195" s="974" t="e">
        <f>IF($F195="","",$F195*chronic_consumption!P195/1000/$C$3)</f>
        <v>#DIV/0!</v>
      </c>
      <c r="V195" s="974" t="e">
        <f>IF($F195="","",$F195*chronic_consumption!Q195/1000/$C$3)</f>
        <v>#DIV/0!</v>
      </c>
      <c r="W195" s="974" t="e">
        <f>IF($F195="","",$F195*chronic_consumption!R195/1000/$C$3)</f>
        <v>#DIV/0!</v>
      </c>
      <c r="X195" s="974" t="e">
        <f>IF($F195="","",$F195*chronic_consumption!S195/1000/$C$3)</f>
        <v>#DIV/0!</v>
      </c>
      <c r="Y195" s="974" t="e">
        <f>IF($F195="","",$F195*chronic_consumption!T195/1000/$C$3)</f>
        <v>#DIV/0!</v>
      </c>
      <c r="Z195" s="974" t="e">
        <f>IF($F195="","",$F195*chronic_consumption!U195/1000/$C$3)</f>
        <v>#DIV/0!</v>
      </c>
      <c r="AA195" s="974" t="e">
        <f>IF($F195="","",$F195*chronic_consumption!V195/1000/$C$3)</f>
        <v>#DIV/0!</v>
      </c>
      <c r="AB195" s="974" t="e">
        <f>IF($F195="","",$F195*chronic_consumption!W195/1000/$C$3)</f>
        <v>#DIV/0!</v>
      </c>
      <c r="AC195" s="974" t="e">
        <f>IF($F195="","",$F195*chronic_consumption!X195/1000/$C$3)</f>
        <v>#DIV/0!</v>
      </c>
      <c r="AD195" s="974" t="e">
        <f>IF($F195="","",$F195*chronic_consumption!Y195/1000/$C$3)</f>
        <v>#DIV/0!</v>
      </c>
      <c r="AE195" s="974" t="e">
        <f>IF($F195="","",$F195*chronic_consumption!Z195/1000/$C$3)</f>
        <v>#DIV/0!</v>
      </c>
      <c r="AF195" s="974" t="e">
        <f>IF($F195="","",$F195*chronic_consumption!AA195/1000/$C$3)</f>
        <v>#DIV/0!</v>
      </c>
      <c r="AG195" s="974" t="e">
        <f>IF($F195="","",$F195*chronic_consumption!AB195/1000/$C$3)</f>
        <v>#DIV/0!</v>
      </c>
      <c r="AH195" s="974" t="e">
        <f>IF($F195="","",$F195*chronic_consumption!AC195/1000/$C$3)</f>
        <v>#DIV/0!</v>
      </c>
      <c r="AI195" s="974" t="e">
        <f>IF($F195="","",$F195*chronic_consumption!AD195/1000/$C$3)</f>
        <v>#DIV/0!</v>
      </c>
      <c r="AJ195" s="974" t="e">
        <f>IF($F195="","",$F195*chronic_consumption!AE195/1000/$C$3)</f>
        <v>#DIV/0!</v>
      </c>
      <c r="AK195" s="974" t="e">
        <f>IF($F195="","",$F195*chronic_consumption!AF195/1000/$C$3)</f>
        <v>#DIV/0!</v>
      </c>
      <c r="AL195" s="974" t="e">
        <f>IF($F195="","",$F195*chronic_consumption!AG195/1000/$C$3)</f>
        <v>#DIV/0!</v>
      </c>
      <c r="AM195" s="974" t="e">
        <f>IF($F195="","",$F195*chronic_consumption!AH195/1000/$C$3)</f>
        <v>#DIV/0!</v>
      </c>
      <c r="AN195" s="974" t="e">
        <f>IF($F195="","",$F195*chronic_consumption!AI195/1000/$C$3)</f>
        <v>#DIV/0!</v>
      </c>
      <c r="AO195" s="974" t="e">
        <f>IF($F195="","",$F195*chronic_consumption!AJ195/1000/$C$3)</f>
        <v>#DIV/0!</v>
      </c>
      <c r="AP195" s="974" t="e">
        <f>IF($F195="","",$F195*chronic_consumption!AK195/1000/$C$3)</f>
        <v>#DIV/0!</v>
      </c>
      <c r="AQ195" s="974" t="e">
        <f>IF($F195="","",$F195*chronic_consumption!AL195/1000/$C$3)</f>
        <v>#DIV/0!</v>
      </c>
      <c r="AR195" s="974" t="e">
        <f>IF($F195="","",$F195*chronic_consumption!AM195/1000/$C$3)</f>
        <v>#DIV/0!</v>
      </c>
      <c r="AS195" s="974" t="e">
        <f>IF($F195="","",$F195*chronic_consumption!AN195/1000/$C$3)</f>
        <v>#DIV/0!</v>
      </c>
      <c r="AT195" s="974" t="e">
        <f>IF($F195="","",$F195*chronic_consumption!AO195/1000/$C$3)</f>
        <v>#DIV/0!</v>
      </c>
      <c r="AU195" s="974"/>
      <c r="AV195" s="974" t="e">
        <f>IF($F195="","",$F195*chronic_consumption!AQ195/1000/$C$3)</f>
        <v>#DIV/0!</v>
      </c>
      <c r="AW195" s="974" t="e">
        <f>IF($F195="","",$F195*chronic_consumption!AR195/1000/$C$3)</f>
        <v>#DIV/0!</v>
      </c>
      <c r="AX195" s="974" t="e">
        <f>IF($F195="","",$F195*chronic_consumption!AS195/1000/$C$3)</f>
        <v>#DIV/0!</v>
      </c>
      <c r="AY195" s="974" t="e">
        <f>IF($F195="","",$F195*chronic_consumption!AT195/1000/$C$3)</f>
        <v>#DIV/0!</v>
      </c>
      <c r="AZ195" s="973" t="s">
        <v>19</v>
      </c>
      <c r="BA195" s="969" t="e">
        <f t="shared" si="15"/>
        <v>#DIV/0!</v>
      </c>
      <c r="BB195" s="970" t="e">
        <f t="shared" si="16"/>
        <v>#DIV/0!</v>
      </c>
      <c r="BC195" s="971" t="e">
        <f t="shared" ca="1" si="17"/>
        <v>#DIV/0!</v>
      </c>
      <c r="BD195" s="228">
        <f>input_values!Z195</f>
        <v>4</v>
      </c>
      <c r="BE195" s="152">
        <f>input_values!L195</f>
        <v>0</v>
      </c>
      <c r="BF195" s="972" t="str">
        <f t="shared" si="18"/>
        <v/>
      </c>
    </row>
    <row r="196" spans="1:58" ht="12" customHeight="1" outlineLevel="1" x14ac:dyDescent="0.2">
      <c r="A196" s="314">
        <v>2</v>
      </c>
      <c r="B196" s="131">
        <v>270000</v>
      </c>
      <c r="C196" s="131" t="s">
        <v>353</v>
      </c>
      <c r="D196" s="965">
        <f>Table22[[#This Row],[MRL individual commodity]]</f>
        <v>0</v>
      </c>
      <c r="E196" s="300">
        <f>Table22[[#This Row],[LOQ_label]]</f>
        <v>0</v>
      </c>
      <c r="F196" s="966">
        <f>Table22[[#This Row],[Chronic RA input value]]</f>
        <v>0</v>
      </c>
      <c r="G196" s="304">
        <f>Table22[[#This Row],[Chronic RA label]]</f>
        <v>0</v>
      </c>
      <c r="H196" s="304">
        <f>Table22[[#This Row],[GAP under assessment]]</f>
        <v>0</v>
      </c>
      <c r="I196" s="1123"/>
      <c r="J196" s="967" t="e">
        <f>IF($F196="","",$F196*chronic_consumption!$E196/1000/$C$3)</f>
        <v>#DIV/0!</v>
      </c>
      <c r="K196" s="967" t="e">
        <f>IF($F196="","",$F196*chronic_consumption!F196/1000/$C$3)</f>
        <v>#DIV/0!</v>
      </c>
      <c r="L196" s="967" t="e">
        <f>IF($F196="","",$F196*chronic_consumption!G196/1000/$C$3)</f>
        <v>#DIV/0!</v>
      </c>
      <c r="M196" s="967" t="e">
        <f>IF($F196="","",$F196*chronic_consumption!H196/1000/$C$3)</f>
        <v>#DIV/0!</v>
      </c>
      <c r="N196" s="967" t="e">
        <f>IF($F196="","",$F196*chronic_consumption!I196/1000/$C$3)</f>
        <v>#DIV/0!</v>
      </c>
      <c r="O196" s="967" t="e">
        <f>IF($F196="","",$F196*chronic_consumption!J196/1000/$C$3)</f>
        <v>#DIV/0!</v>
      </c>
      <c r="P196" s="967" t="e">
        <f>IF($F196="","",$F196*chronic_consumption!K196/1000/$C$3)</f>
        <v>#DIV/0!</v>
      </c>
      <c r="Q196" s="967" t="e">
        <f>IF($F196="","",$F196*chronic_consumption!L196/1000/$C$3)</f>
        <v>#DIV/0!</v>
      </c>
      <c r="R196" s="967" t="e">
        <f>IF($F196="","",$F196*chronic_consumption!M196/1000/$C$3)</f>
        <v>#DIV/0!</v>
      </c>
      <c r="S196" s="967" t="e">
        <f>IF($F196="","",$F196*chronic_consumption!N196/1000/$C$3)</f>
        <v>#DIV/0!</v>
      </c>
      <c r="T196" s="967" t="e">
        <f>IF($F196="","",$F196*chronic_consumption!O196/1000/$C$3)</f>
        <v>#DIV/0!</v>
      </c>
      <c r="U196" s="967" t="e">
        <f>IF($F196="","",$F196*chronic_consumption!P196/1000/$C$3)</f>
        <v>#DIV/0!</v>
      </c>
      <c r="V196" s="967" t="e">
        <f>IF($F196="","",$F196*chronic_consumption!Q196/1000/$C$3)</f>
        <v>#DIV/0!</v>
      </c>
      <c r="W196" s="967" t="e">
        <f>IF($F196="","",$F196*chronic_consumption!R196/1000/$C$3)</f>
        <v>#DIV/0!</v>
      </c>
      <c r="X196" s="967" t="e">
        <f>IF($F196="","",$F196*chronic_consumption!S196/1000/$C$3)</f>
        <v>#DIV/0!</v>
      </c>
      <c r="Y196" s="967" t="e">
        <f>IF($F196="","",$F196*chronic_consumption!T196/1000/$C$3)</f>
        <v>#DIV/0!</v>
      </c>
      <c r="Z196" s="967" t="e">
        <f>IF($F196="","",$F196*chronic_consumption!U196/1000/$C$3)</f>
        <v>#DIV/0!</v>
      </c>
      <c r="AA196" s="967" t="e">
        <f>IF($F196="","",$F196*chronic_consumption!V196/1000/$C$3)</f>
        <v>#DIV/0!</v>
      </c>
      <c r="AB196" s="967" t="e">
        <f>IF($F196="","",$F196*chronic_consumption!W196/1000/$C$3)</f>
        <v>#DIV/0!</v>
      </c>
      <c r="AC196" s="967" t="e">
        <f>IF($F196="","",$F196*chronic_consumption!X196/1000/$C$3)</f>
        <v>#DIV/0!</v>
      </c>
      <c r="AD196" s="967" t="e">
        <f>IF($F196="","",$F196*chronic_consumption!Y196/1000/$C$3)</f>
        <v>#DIV/0!</v>
      </c>
      <c r="AE196" s="967" t="e">
        <f>IF($F196="","",$F196*chronic_consumption!Z196/1000/$C$3)</f>
        <v>#DIV/0!</v>
      </c>
      <c r="AF196" s="967" t="e">
        <f>IF($F196="","",$F196*chronic_consumption!AA196/1000/$C$3)</f>
        <v>#DIV/0!</v>
      </c>
      <c r="AG196" s="967" t="e">
        <f>IF($F196="","",$F196*chronic_consumption!AB196/1000/$C$3)</f>
        <v>#DIV/0!</v>
      </c>
      <c r="AH196" s="967" t="e">
        <f>IF($F196="","",$F196*chronic_consumption!AC196/1000/$C$3)</f>
        <v>#DIV/0!</v>
      </c>
      <c r="AI196" s="967" t="e">
        <f>IF($F196="","",$F196*chronic_consumption!AD196/1000/$C$3)</f>
        <v>#DIV/0!</v>
      </c>
      <c r="AJ196" s="967" t="e">
        <f>IF($F196="","",$F196*chronic_consumption!AE196/1000/$C$3)</f>
        <v>#DIV/0!</v>
      </c>
      <c r="AK196" s="967" t="e">
        <f>IF($F196="","",$F196*chronic_consumption!AF196/1000/$C$3)</f>
        <v>#DIV/0!</v>
      </c>
      <c r="AL196" s="967" t="e">
        <f>IF($F196="","",$F196*chronic_consumption!AG196/1000/$C$3)</f>
        <v>#DIV/0!</v>
      </c>
      <c r="AM196" s="967" t="e">
        <f>IF($F196="","",$F196*chronic_consumption!AH196/1000/$C$3)</f>
        <v>#DIV/0!</v>
      </c>
      <c r="AN196" s="967" t="e">
        <f>IF($F196="","",$F196*chronic_consumption!AI196/1000/$C$3)</f>
        <v>#DIV/0!</v>
      </c>
      <c r="AO196" s="967" t="e">
        <f>IF($F196="","",$F196*chronic_consumption!AJ196/1000/$C$3)</f>
        <v>#DIV/0!</v>
      </c>
      <c r="AP196" s="967" t="e">
        <f>IF($F196="","",$F196*chronic_consumption!AK196/1000/$C$3)</f>
        <v>#DIV/0!</v>
      </c>
      <c r="AQ196" s="967" t="e">
        <f>IF($F196="","",$F196*chronic_consumption!AL196/1000/$C$3)</f>
        <v>#DIV/0!</v>
      </c>
      <c r="AR196" s="967" t="e">
        <f>IF($F196="","",$F196*chronic_consumption!AM196/1000/$C$3)</f>
        <v>#DIV/0!</v>
      </c>
      <c r="AS196" s="967" t="e">
        <f>IF($F196="","",$F196*chronic_consumption!AN196/1000/$C$3)</f>
        <v>#DIV/0!</v>
      </c>
      <c r="AT196" s="967" t="e">
        <f>IF($F196="","",$F196*chronic_consumption!AO196/1000/$C$3)</f>
        <v>#DIV/0!</v>
      </c>
      <c r="AU196" s="967"/>
      <c r="AV196" s="967" t="e">
        <f>IF($F196="","",$F196*chronic_consumption!AQ196/1000/$C$3)</f>
        <v>#DIV/0!</v>
      </c>
      <c r="AW196" s="967" t="e">
        <f>IF($F196="","",$F196*chronic_consumption!AR196/1000/$C$3)</f>
        <v>#DIV/0!</v>
      </c>
      <c r="AX196" s="967" t="e">
        <f>IF($F196="","",$F196*chronic_consumption!AS196/1000/$C$3)</f>
        <v>#DIV/0!</v>
      </c>
      <c r="AY196" s="967" t="e">
        <f>IF($F196="","",$F196*chronic_consumption!AT196/1000/$C$3)</f>
        <v>#DIV/0!</v>
      </c>
      <c r="AZ196" s="973"/>
      <c r="BA196" s="969" t="e">
        <f t="shared" si="15"/>
        <v>#DIV/0!</v>
      </c>
      <c r="BB196" s="970" t="e">
        <f t="shared" si="16"/>
        <v>#DIV/0!</v>
      </c>
      <c r="BC196" s="971" t="e">
        <f t="shared" ca="1" si="17"/>
        <v>#DIV/0!</v>
      </c>
      <c r="BD196" s="228">
        <f>input_values!Z196</f>
        <v>4</v>
      </c>
      <c r="BE196" s="152">
        <f>input_values!L196</f>
        <v>0</v>
      </c>
      <c r="BF196" s="972" t="str">
        <f t="shared" si="18"/>
        <v/>
      </c>
    </row>
    <row r="197" spans="1:58" ht="12" customHeight="1" outlineLevel="3" x14ac:dyDescent="0.2">
      <c r="A197" s="21">
        <v>4</v>
      </c>
      <c r="B197" s="23">
        <v>270010</v>
      </c>
      <c r="C197" s="23" t="s">
        <v>60</v>
      </c>
      <c r="D197" s="965">
        <f>Table22[[#This Row],[MRL individual commodity]]</f>
        <v>0</v>
      </c>
      <c r="E197" s="300" t="str">
        <f>Table22[[#This Row],[LOQ_label]]</f>
        <v/>
      </c>
      <c r="F197" s="966">
        <f>Table22[[#This Row],[Chronic RA input value]]</f>
        <v>0</v>
      </c>
      <c r="G197" s="304" t="str">
        <f>Table22[[#This Row],[Chronic RA label]]</f>
        <v/>
      </c>
      <c r="H197" s="304">
        <f>Table22[[#This Row],[GAP under assessment]]</f>
        <v>0</v>
      </c>
      <c r="I197" s="1123"/>
      <c r="J197" s="974" t="e">
        <f>IF($F197="","",$F197*chronic_consumption!$E197/1000/$C$3)</f>
        <v>#DIV/0!</v>
      </c>
      <c r="K197" s="974" t="e">
        <f>IF($F197="","",$F197*chronic_consumption!F197/1000/$C$3)</f>
        <v>#DIV/0!</v>
      </c>
      <c r="L197" s="974" t="e">
        <f>IF($F197="","",$F197*chronic_consumption!G197/1000/$C$3)</f>
        <v>#DIV/0!</v>
      </c>
      <c r="M197" s="974" t="e">
        <f>IF($F197="","",$F197*chronic_consumption!H197/1000/$C$3)</f>
        <v>#DIV/0!</v>
      </c>
      <c r="N197" s="974" t="e">
        <f>IF($F197="","",$F197*chronic_consumption!I197/1000/$C$3)</f>
        <v>#DIV/0!</v>
      </c>
      <c r="O197" s="974" t="e">
        <f>IF($F197="","",$F197*chronic_consumption!J197/1000/$C$3)</f>
        <v>#DIV/0!</v>
      </c>
      <c r="P197" s="974" t="e">
        <f>IF($F197="","",$F197*chronic_consumption!K197/1000/$C$3)</f>
        <v>#DIV/0!</v>
      </c>
      <c r="Q197" s="974" t="e">
        <f>IF($F197="","",$F197*chronic_consumption!L197/1000/$C$3)</f>
        <v>#DIV/0!</v>
      </c>
      <c r="R197" s="974" t="e">
        <f>IF($F197="","",$F197*chronic_consumption!M197/1000/$C$3)</f>
        <v>#DIV/0!</v>
      </c>
      <c r="S197" s="974" t="e">
        <f>IF($F197="","",$F197*chronic_consumption!N197/1000/$C$3)</f>
        <v>#DIV/0!</v>
      </c>
      <c r="T197" s="974" t="e">
        <f>IF($F197="","",$F197*chronic_consumption!O197/1000/$C$3)</f>
        <v>#DIV/0!</v>
      </c>
      <c r="U197" s="974" t="e">
        <f>IF($F197="","",$F197*chronic_consumption!P197/1000/$C$3)</f>
        <v>#DIV/0!</v>
      </c>
      <c r="V197" s="974" t="e">
        <f>IF($F197="","",$F197*chronic_consumption!Q197/1000/$C$3)</f>
        <v>#DIV/0!</v>
      </c>
      <c r="W197" s="974" t="e">
        <f>IF($F197="","",$F197*chronic_consumption!R197/1000/$C$3)</f>
        <v>#DIV/0!</v>
      </c>
      <c r="X197" s="974" t="e">
        <f>IF($F197="","",$F197*chronic_consumption!S197/1000/$C$3)</f>
        <v>#DIV/0!</v>
      </c>
      <c r="Y197" s="974" t="e">
        <f>IF($F197="","",$F197*chronic_consumption!T197/1000/$C$3)</f>
        <v>#DIV/0!</v>
      </c>
      <c r="Z197" s="974" t="e">
        <f>IF($F197="","",$F197*chronic_consumption!U197/1000/$C$3)</f>
        <v>#DIV/0!</v>
      </c>
      <c r="AA197" s="974" t="e">
        <f>IF($F197="","",$F197*chronic_consumption!V197/1000/$C$3)</f>
        <v>#DIV/0!</v>
      </c>
      <c r="AB197" s="974" t="e">
        <f>IF($F197="","",$F197*chronic_consumption!W197/1000/$C$3)</f>
        <v>#DIV/0!</v>
      </c>
      <c r="AC197" s="974" t="e">
        <f>IF($F197="","",$F197*chronic_consumption!X197/1000/$C$3)</f>
        <v>#DIV/0!</v>
      </c>
      <c r="AD197" s="974" t="e">
        <f>IF($F197="","",$F197*chronic_consumption!Y197/1000/$C$3)</f>
        <v>#DIV/0!</v>
      </c>
      <c r="AE197" s="974" t="e">
        <f>IF($F197="","",$F197*chronic_consumption!Z197/1000/$C$3)</f>
        <v>#DIV/0!</v>
      </c>
      <c r="AF197" s="974" t="e">
        <f>IF($F197="","",$F197*chronic_consumption!AA197/1000/$C$3)</f>
        <v>#DIV/0!</v>
      </c>
      <c r="AG197" s="974" t="e">
        <f>IF($F197="","",$F197*chronic_consumption!AB197/1000/$C$3)</f>
        <v>#DIV/0!</v>
      </c>
      <c r="AH197" s="974" t="e">
        <f>IF($F197="","",$F197*chronic_consumption!AC197/1000/$C$3)</f>
        <v>#DIV/0!</v>
      </c>
      <c r="AI197" s="974" t="e">
        <f>IF($F197="","",$F197*chronic_consumption!AD197/1000/$C$3)</f>
        <v>#DIV/0!</v>
      </c>
      <c r="AJ197" s="974" t="e">
        <f>IF($F197="","",$F197*chronic_consumption!AE197/1000/$C$3)</f>
        <v>#DIV/0!</v>
      </c>
      <c r="AK197" s="974" t="e">
        <f>IF($F197="","",$F197*chronic_consumption!AF197/1000/$C$3)</f>
        <v>#DIV/0!</v>
      </c>
      <c r="AL197" s="974" t="e">
        <f>IF($F197="","",$F197*chronic_consumption!AG197/1000/$C$3)</f>
        <v>#DIV/0!</v>
      </c>
      <c r="AM197" s="974" t="e">
        <f>IF($F197="","",$F197*chronic_consumption!AH197/1000/$C$3)</f>
        <v>#DIV/0!</v>
      </c>
      <c r="AN197" s="974" t="e">
        <f>IF($F197="","",$F197*chronic_consumption!AI197/1000/$C$3)</f>
        <v>#DIV/0!</v>
      </c>
      <c r="AO197" s="974" t="e">
        <f>IF($F197="","",$F197*chronic_consumption!AJ197/1000/$C$3)</f>
        <v>#DIV/0!</v>
      </c>
      <c r="AP197" s="974" t="e">
        <f>IF($F197="","",$F197*chronic_consumption!AK197/1000/$C$3)</f>
        <v>#DIV/0!</v>
      </c>
      <c r="AQ197" s="974" t="e">
        <f>IF($F197="","",$F197*chronic_consumption!AL197/1000/$C$3)</f>
        <v>#DIV/0!</v>
      </c>
      <c r="AR197" s="974" t="e">
        <f>IF($F197="","",$F197*chronic_consumption!AM197/1000/$C$3)</f>
        <v>#DIV/0!</v>
      </c>
      <c r="AS197" s="974" t="e">
        <f>IF($F197="","",$F197*chronic_consumption!AN197/1000/$C$3)</f>
        <v>#DIV/0!</v>
      </c>
      <c r="AT197" s="974" t="e">
        <f>IF($F197="","",$F197*chronic_consumption!AO197/1000/$C$3)</f>
        <v>#DIV/0!</v>
      </c>
      <c r="AU197" s="974"/>
      <c r="AV197" s="974" t="e">
        <f>IF($F197="","",$F197*chronic_consumption!AQ197/1000/$C$3)</f>
        <v>#DIV/0!</v>
      </c>
      <c r="AW197" s="974" t="e">
        <f>IF($F197="","",$F197*chronic_consumption!AR197/1000/$C$3)</f>
        <v>#DIV/0!</v>
      </c>
      <c r="AX197" s="974" t="e">
        <f>IF($F197="","",$F197*chronic_consumption!AS197/1000/$C$3)</f>
        <v>#DIV/0!</v>
      </c>
      <c r="AY197" s="974" t="e">
        <f>IF($F197="","",$F197*chronic_consumption!AT197/1000/$C$3)</f>
        <v>#DIV/0!</v>
      </c>
      <c r="AZ197" s="973" t="s">
        <v>19</v>
      </c>
      <c r="BA197" s="969" t="e">
        <f t="shared" si="15"/>
        <v>#DIV/0!</v>
      </c>
      <c r="BB197" s="970" t="e">
        <f t="shared" si="16"/>
        <v>#DIV/0!</v>
      </c>
      <c r="BC197" s="971" t="e">
        <f t="shared" ca="1" si="17"/>
        <v>#DIV/0!</v>
      </c>
      <c r="BD197" s="228">
        <f>input_values!Z197</f>
        <v>4</v>
      </c>
      <c r="BE197" s="152">
        <f>input_values!L197</f>
        <v>0</v>
      </c>
      <c r="BF197" s="972" t="str">
        <f t="shared" si="18"/>
        <v/>
      </c>
    </row>
    <row r="198" spans="1:58" ht="12" customHeight="1" outlineLevel="3" x14ac:dyDescent="0.2">
      <c r="A198" s="21">
        <v>4</v>
      </c>
      <c r="B198" s="23">
        <v>270020</v>
      </c>
      <c r="C198" s="23" t="s">
        <v>61</v>
      </c>
      <c r="D198" s="965">
        <f>Table22[[#This Row],[MRL individual commodity]]</f>
        <v>0</v>
      </c>
      <c r="E198" s="300" t="str">
        <f>Table22[[#This Row],[LOQ_label]]</f>
        <v/>
      </c>
      <c r="F198" s="966">
        <f>Table22[[#This Row],[Chronic RA input value]]</f>
        <v>0</v>
      </c>
      <c r="G198" s="304" t="str">
        <f>Table22[[#This Row],[Chronic RA label]]</f>
        <v/>
      </c>
      <c r="H198" s="304">
        <f>Table22[[#This Row],[GAP under assessment]]</f>
        <v>0</v>
      </c>
      <c r="I198" s="1123"/>
      <c r="J198" s="974" t="e">
        <f>IF($F198="","",$F198*chronic_consumption!$E198/1000/$C$3)</f>
        <v>#DIV/0!</v>
      </c>
      <c r="K198" s="974" t="e">
        <f>IF($F198="","",$F198*chronic_consumption!F198/1000/$C$3)</f>
        <v>#DIV/0!</v>
      </c>
      <c r="L198" s="974" t="e">
        <f>IF($F198="","",$F198*chronic_consumption!G198/1000/$C$3)</f>
        <v>#DIV/0!</v>
      </c>
      <c r="M198" s="974" t="e">
        <f>IF($F198="","",$F198*chronic_consumption!H198/1000/$C$3)</f>
        <v>#DIV/0!</v>
      </c>
      <c r="N198" s="974" t="e">
        <f>IF($F198="","",$F198*chronic_consumption!I198/1000/$C$3)</f>
        <v>#DIV/0!</v>
      </c>
      <c r="O198" s="974" t="e">
        <f>IF($F198="","",$F198*chronic_consumption!J198/1000/$C$3)</f>
        <v>#DIV/0!</v>
      </c>
      <c r="P198" s="974" t="e">
        <f>IF($F198="","",$F198*chronic_consumption!K198/1000/$C$3)</f>
        <v>#DIV/0!</v>
      </c>
      <c r="Q198" s="974" t="e">
        <f>IF($F198="","",$F198*chronic_consumption!L198/1000/$C$3)</f>
        <v>#DIV/0!</v>
      </c>
      <c r="R198" s="974" t="e">
        <f>IF($F198="","",$F198*chronic_consumption!M198/1000/$C$3)</f>
        <v>#DIV/0!</v>
      </c>
      <c r="S198" s="974" t="e">
        <f>IF($F198="","",$F198*chronic_consumption!N198/1000/$C$3)</f>
        <v>#DIV/0!</v>
      </c>
      <c r="T198" s="974" t="e">
        <f>IF($F198="","",$F198*chronic_consumption!O198/1000/$C$3)</f>
        <v>#DIV/0!</v>
      </c>
      <c r="U198" s="974" t="e">
        <f>IF($F198="","",$F198*chronic_consumption!P198/1000/$C$3)</f>
        <v>#DIV/0!</v>
      </c>
      <c r="V198" s="974" t="e">
        <f>IF($F198="","",$F198*chronic_consumption!Q198/1000/$C$3)</f>
        <v>#DIV/0!</v>
      </c>
      <c r="W198" s="974" t="e">
        <f>IF($F198="","",$F198*chronic_consumption!R198/1000/$C$3)</f>
        <v>#DIV/0!</v>
      </c>
      <c r="X198" s="974" t="e">
        <f>IF($F198="","",$F198*chronic_consumption!S198/1000/$C$3)</f>
        <v>#DIV/0!</v>
      </c>
      <c r="Y198" s="974" t="e">
        <f>IF($F198="","",$F198*chronic_consumption!T198/1000/$C$3)</f>
        <v>#DIV/0!</v>
      </c>
      <c r="Z198" s="974" t="e">
        <f>IF($F198="","",$F198*chronic_consumption!U198/1000/$C$3)</f>
        <v>#DIV/0!</v>
      </c>
      <c r="AA198" s="974" t="e">
        <f>IF($F198="","",$F198*chronic_consumption!V198/1000/$C$3)</f>
        <v>#DIV/0!</v>
      </c>
      <c r="AB198" s="974" t="e">
        <f>IF($F198="","",$F198*chronic_consumption!W198/1000/$C$3)</f>
        <v>#DIV/0!</v>
      </c>
      <c r="AC198" s="974" t="e">
        <f>IF($F198="","",$F198*chronic_consumption!X198/1000/$C$3)</f>
        <v>#DIV/0!</v>
      </c>
      <c r="AD198" s="974" t="e">
        <f>IF($F198="","",$F198*chronic_consumption!Y198/1000/$C$3)</f>
        <v>#DIV/0!</v>
      </c>
      <c r="AE198" s="974" t="e">
        <f>IF($F198="","",$F198*chronic_consumption!Z198/1000/$C$3)</f>
        <v>#DIV/0!</v>
      </c>
      <c r="AF198" s="974" t="e">
        <f>IF($F198="","",$F198*chronic_consumption!AA198/1000/$C$3)</f>
        <v>#DIV/0!</v>
      </c>
      <c r="AG198" s="974" t="e">
        <f>IF($F198="","",$F198*chronic_consumption!AB198/1000/$C$3)</f>
        <v>#DIV/0!</v>
      </c>
      <c r="AH198" s="974" t="e">
        <f>IF($F198="","",$F198*chronic_consumption!AC198/1000/$C$3)</f>
        <v>#DIV/0!</v>
      </c>
      <c r="AI198" s="974" t="e">
        <f>IF($F198="","",$F198*chronic_consumption!AD198/1000/$C$3)</f>
        <v>#DIV/0!</v>
      </c>
      <c r="AJ198" s="974" t="e">
        <f>IF($F198="","",$F198*chronic_consumption!AE198/1000/$C$3)</f>
        <v>#DIV/0!</v>
      </c>
      <c r="AK198" s="974" t="e">
        <f>IF($F198="","",$F198*chronic_consumption!AF198/1000/$C$3)</f>
        <v>#DIV/0!</v>
      </c>
      <c r="AL198" s="974" t="e">
        <f>IF($F198="","",$F198*chronic_consumption!AG198/1000/$C$3)</f>
        <v>#DIV/0!</v>
      </c>
      <c r="AM198" s="974" t="e">
        <f>IF($F198="","",$F198*chronic_consumption!AH198/1000/$C$3)</f>
        <v>#DIV/0!</v>
      </c>
      <c r="AN198" s="974" t="e">
        <f>IF($F198="","",$F198*chronic_consumption!AI198/1000/$C$3)</f>
        <v>#DIV/0!</v>
      </c>
      <c r="AO198" s="974" t="e">
        <f>IF($F198="","",$F198*chronic_consumption!AJ198/1000/$C$3)</f>
        <v>#DIV/0!</v>
      </c>
      <c r="AP198" s="974" t="e">
        <f>IF($F198="","",$F198*chronic_consumption!AK198/1000/$C$3)</f>
        <v>#DIV/0!</v>
      </c>
      <c r="AQ198" s="974" t="e">
        <f>IF($F198="","",$F198*chronic_consumption!AL198/1000/$C$3)</f>
        <v>#DIV/0!</v>
      </c>
      <c r="AR198" s="974" t="e">
        <f>IF($F198="","",$F198*chronic_consumption!AM198/1000/$C$3)</f>
        <v>#DIV/0!</v>
      </c>
      <c r="AS198" s="974" t="e">
        <f>IF($F198="","",$F198*chronic_consumption!AN198/1000/$C$3)</f>
        <v>#DIV/0!</v>
      </c>
      <c r="AT198" s="974" t="e">
        <f>IF($F198="","",$F198*chronic_consumption!AO198/1000/$C$3)</f>
        <v>#DIV/0!</v>
      </c>
      <c r="AU198" s="974"/>
      <c r="AV198" s="974" t="e">
        <f>IF($F198="","",$F198*chronic_consumption!AQ198/1000/$C$3)</f>
        <v>#DIV/0!</v>
      </c>
      <c r="AW198" s="974" t="e">
        <f>IF($F198="","",$F198*chronic_consumption!AR198/1000/$C$3)</f>
        <v>#DIV/0!</v>
      </c>
      <c r="AX198" s="974" t="e">
        <f>IF($F198="","",$F198*chronic_consumption!AS198/1000/$C$3)</f>
        <v>#DIV/0!</v>
      </c>
      <c r="AY198" s="974" t="e">
        <f>IF($F198="","",$F198*chronic_consumption!AT198/1000/$C$3)</f>
        <v>#DIV/0!</v>
      </c>
      <c r="AZ198" s="973" t="s">
        <v>19</v>
      </c>
      <c r="BA198" s="969" t="e">
        <f t="shared" si="15"/>
        <v>#DIV/0!</v>
      </c>
      <c r="BB198" s="970" t="e">
        <f t="shared" si="16"/>
        <v>#DIV/0!</v>
      </c>
      <c r="BC198" s="971" t="e">
        <f t="shared" ca="1" si="17"/>
        <v>#DIV/0!</v>
      </c>
      <c r="BD198" s="228">
        <f>input_values!Z198</f>
        <v>4</v>
      </c>
      <c r="BE198" s="152">
        <f>input_values!L198</f>
        <v>0</v>
      </c>
      <c r="BF198" s="972" t="str">
        <f t="shared" si="18"/>
        <v/>
      </c>
    </row>
    <row r="199" spans="1:58" ht="12" customHeight="1" outlineLevel="3" x14ac:dyDescent="0.2">
      <c r="A199" s="21">
        <v>4</v>
      </c>
      <c r="B199" s="23">
        <v>270030</v>
      </c>
      <c r="C199" s="23" t="s">
        <v>737</v>
      </c>
      <c r="D199" s="965">
        <f>Table22[[#This Row],[MRL individual commodity]]</f>
        <v>0</v>
      </c>
      <c r="E199" s="300" t="str">
        <f>Table22[[#This Row],[LOQ_label]]</f>
        <v/>
      </c>
      <c r="F199" s="966">
        <f>Table22[[#This Row],[Chronic RA input value]]</f>
        <v>0</v>
      </c>
      <c r="G199" s="304" t="str">
        <f>Table22[[#This Row],[Chronic RA label]]</f>
        <v/>
      </c>
      <c r="H199" s="304">
        <f>Table22[[#This Row],[GAP under assessment]]</f>
        <v>0</v>
      </c>
      <c r="I199" s="1123"/>
      <c r="J199" s="974" t="e">
        <f>IF($F199="","",$F199*chronic_consumption!$E199/1000/$C$3)</f>
        <v>#DIV/0!</v>
      </c>
      <c r="K199" s="974" t="e">
        <f>IF($F199="","",$F199*chronic_consumption!F199/1000/$C$3)</f>
        <v>#DIV/0!</v>
      </c>
      <c r="L199" s="974" t="e">
        <f>IF($F199="","",$F199*chronic_consumption!G199/1000/$C$3)</f>
        <v>#DIV/0!</v>
      </c>
      <c r="M199" s="974" t="e">
        <f>IF($F199="","",$F199*chronic_consumption!H199/1000/$C$3)</f>
        <v>#DIV/0!</v>
      </c>
      <c r="N199" s="974" t="e">
        <f>IF($F199="","",$F199*chronic_consumption!I199/1000/$C$3)</f>
        <v>#DIV/0!</v>
      </c>
      <c r="O199" s="974" t="e">
        <f>IF($F199="","",$F199*chronic_consumption!J199/1000/$C$3)</f>
        <v>#DIV/0!</v>
      </c>
      <c r="P199" s="974" t="e">
        <f>IF($F199="","",$F199*chronic_consumption!K199/1000/$C$3)</f>
        <v>#DIV/0!</v>
      </c>
      <c r="Q199" s="974" t="e">
        <f>IF($F199="","",$F199*chronic_consumption!L199/1000/$C$3)</f>
        <v>#DIV/0!</v>
      </c>
      <c r="R199" s="974" t="e">
        <f>IF($F199="","",$F199*chronic_consumption!M199/1000/$C$3)</f>
        <v>#DIV/0!</v>
      </c>
      <c r="S199" s="974" t="e">
        <f>IF($F199="","",$F199*chronic_consumption!N199/1000/$C$3)</f>
        <v>#DIV/0!</v>
      </c>
      <c r="T199" s="974" t="e">
        <f>IF($F199="","",$F199*chronic_consumption!O199/1000/$C$3)</f>
        <v>#DIV/0!</v>
      </c>
      <c r="U199" s="974" t="e">
        <f>IF($F199="","",$F199*chronic_consumption!P199/1000/$C$3)</f>
        <v>#DIV/0!</v>
      </c>
      <c r="V199" s="974" t="e">
        <f>IF($F199="","",$F199*chronic_consumption!Q199/1000/$C$3)</f>
        <v>#DIV/0!</v>
      </c>
      <c r="W199" s="974" t="e">
        <f>IF($F199="","",$F199*chronic_consumption!R199/1000/$C$3)</f>
        <v>#DIV/0!</v>
      </c>
      <c r="X199" s="974" t="e">
        <f>IF($F199="","",$F199*chronic_consumption!S199/1000/$C$3)</f>
        <v>#DIV/0!</v>
      </c>
      <c r="Y199" s="974" t="e">
        <f>IF($F199="","",$F199*chronic_consumption!T199/1000/$C$3)</f>
        <v>#DIV/0!</v>
      </c>
      <c r="Z199" s="974" t="e">
        <f>IF($F199="","",$F199*chronic_consumption!U199/1000/$C$3)</f>
        <v>#DIV/0!</v>
      </c>
      <c r="AA199" s="974" t="e">
        <f>IF($F199="","",$F199*chronic_consumption!V199/1000/$C$3)</f>
        <v>#DIV/0!</v>
      </c>
      <c r="AB199" s="974" t="e">
        <f>IF($F199="","",$F199*chronic_consumption!W199/1000/$C$3)</f>
        <v>#DIV/0!</v>
      </c>
      <c r="AC199" s="974" t="e">
        <f>IF($F199="","",$F199*chronic_consumption!X199/1000/$C$3)</f>
        <v>#DIV/0!</v>
      </c>
      <c r="AD199" s="974" t="e">
        <f>IF($F199="","",$F199*chronic_consumption!Y199/1000/$C$3)</f>
        <v>#DIV/0!</v>
      </c>
      <c r="AE199" s="974" t="e">
        <f>IF($F199="","",$F199*chronic_consumption!Z199/1000/$C$3)</f>
        <v>#DIV/0!</v>
      </c>
      <c r="AF199" s="974" t="e">
        <f>IF($F199="","",$F199*chronic_consumption!AA199/1000/$C$3)</f>
        <v>#DIV/0!</v>
      </c>
      <c r="AG199" s="974" t="e">
        <f>IF($F199="","",$F199*chronic_consumption!AB199/1000/$C$3)</f>
        <v>#DIV/0!</v>
      </c>
      <c r="AH199" s="974" t="e">
        <f>IF($F199="","",$F199*chronic_consumption!AC199/1000/$C$3)</f>
        <v>#DIV/0!</v>
      </c>
      <c r="AI199" s="974" t="e">
        <f>IF($F199="","",$F199*chronic_consumption!AD199/1000/$C$3)</f>
        <v>#DIV/0!</v>
      </c>
      <c r="AJ199" s="974" t="e">
        <f>IF($F199="","",$F199*chronic_consumption!AE199/1000/$C$3)</f>
        <v>#DIV/0!</v>
      </c>
      <c r="AK199" s="974" t="e">
        <f>IF($F199="","",$F199*chronic_consumption!AF199/1000/$C$3)</f>
        <v>#DIV/0!</v>
      </c>
      <c r="AL199" s="974" t="e">
        <f>IF($F199="","",$F199*chronic_consumption!AG199/1000/$C$3)</f>
        <v>#DIV/0!</v>
      </c>
      <c r="AM199" s="974" t="e">
        <f>IF($F199="","",$F199*chronic_consumption!AH199/1000/$C$3)</f>
        <v>#DIV/0!</v>
      </c>
      <c r="AN199" s="974" t="e">
        <f>IF($F199="","",$F199*chronic_consumption!AI199/1000/$C$3)</f>
        <v>#DIV/0!</v>
      </c>
      <c r="AO199" s="974" t="e">
        <f>IF($F199="","",$F199*chronic_consumption!AJ199/1000/$C$3)</f>
        <v>#DIV/0!</v>
      </c>
      <c r="AP199" s="974" t="e">
        <f>IF($F199="","",$F199*chronic_consumption!AK199/1000/$C$3)</f>
        <v>#DIV/0!</v>
      </c>
      <c r="AQ199" s="974" t="e">
        <f>IF($F199="","",$F199*chronic_consumption!AL199/1000/$C$3)</f>
        <v>#DIV/0!</v>
      </c>
      <c r="AR199" s="974" t="e">
        <f>IF($F199="","",$F199*chronic_consumption!AM199/1000/$C$3)</f>
        <v>#DIV/0!</v>
      </c>
      <c r="AS199" s="974" t="e">
        <f>IF($F199="","",$F199*chronic_consumption!AN199/1000/$C$3)</f>
        <v>#DIV/0!</v>
      </c>
      <c r="AT199" s="974" t="e">
        <f>IF($F199="","",$F199*chronic_consumption!AO199/1000/$C$3)</f>
        <v>#DIV/0!</v>
      </c>
      <c r="AU199" s="974"/>
      <c r="AV199" s="974" t="e">
        <f>IF($F199="","",$F199*chronic_consumption!AQ199/1000/$C$3)</f>
        <v>#DIV/0!</v>
      </c>
      <c r="AW199" s="974" t="e">
        <f>IF($F199="","",$F199*chronic_consumption!AR199/1000/$C$3)</f>
        <v>#DIV/0!</v>
      </c>
      <c r="AX199" s="974" t="e">
        <f>IF($F199="","",$F199*chronic_consumption!AS199/1000/$C$3)</f>
        <v>#DIV/0!</v>
      </c>
      <c r="AY199" s="974" t="e">
        <f>IF($F199="","",$F199*chronic_consumption!AT199/1000/$C$3)</f>
        <v>#DIV/0!</v>
      </c>
      <c r="AZ199" s="973" t="s">
        <v>19</v>
      </c>
      <c r="BA199" s="969" t="e">
        <f t="shared" si="15"/>
        <v>#DIV/0!</v>
      </c>
      <c r="BB199" s="970" t="e">
        <f t="shared" si="16"/>
        <v>#DIV/0!</v>
      </c>
      <c r="BC199" s="971" t="e">
        <f t="shared" ca="1" si="17"/>
        <v>#DIV/0!</v>
      </c>
      <c r="BD199" s="228">
        <f>input_values!Z199</f>
        <v>4</v>
      </c>
      <c r="BE199" s="152">
        <f>input_values!L199</f>
        <v>0</v>
      </c>
      <c r="BF199" s="972" t="str">
        <f t="shared" si="18"/>
        <v/>
      </c>
    </row>
    <row r="200" spans="1:58" ht="12" customHeight="1" outlineLevel="3" x14ac:dyDescent="0.2">
      <c r="A200" s="21">
        <v>4</v>
      </c>
      <c r="B200" s="23">
        <v>270040</v>
      </c>
      <c r="C200" s="23" t="s">
        <v>932</v>
      </c>
      <c r="D200" s="965">
        <f>Table22[[#This Row],[MRL individual commodity]]</f>
        <v>0</v>
      </c>
      <c r="E200" s="300" t="str">
        <f>Table22[[#This Row],[LOQ_label]]</f>
        <v/>
      </c>
      <c r="F200" s="966">
        <f>Table22[[#This Row],[Chronic RA input value]]</f>
        <v>0</v>
      </c>
      <c r="G200" s="304" t="str">
        <f>Table22[[#This Row],[Chronic RA label]]</f>
        <v/>
      </c>
      <c r="H200" s="304">
        <f>Table22[[#This Row],[GAP under assessment]]</f>
        <v>0</v>
      </c>
      <c r="I200" s="1123"/>
      <c r="J200" s="974" t="e">
        <f>IF($F200="","",$F200*chronic_consumption!$E200/1000/$C$3)</f>
        <v>#DIV/0!</v>
      </c>
      <c r="K200" s="974" t="e">
        <f>IF($F200="","",$F200*chronic_consumption!F200/1000/$C$3)</f>
        <v>#DIV/0!</v>
      </c>
      <c r="L200" s="974" t="e">
        <f>IF($F200="","",$F200*chronic_consumption!G200/1000/$C$3)</f>
        <v>#DIV/0!</v>
      </c>
      <c r="M200" s="974" t="e">
        <f>IF($F200="","",$F200*chronic_consumption!H200/1000/$C$3)</f>
        <v>#DIV/0!</v>
      </c>
      <c r="N200" s="974" t="e">
        <f>IF($F200="","",$F200*chronic_consumption!I200/1000/$C$3)</f>
        <v>#DIV/0!</v>
      </c>
      <c r="O200" s="974" t="e">
        <f>IF($F200="","",$F200*chronic_consumption!J200/1000/$C$3)</f>
        <v>#DIV/0!</v>
      </c>
      <c r="P200" s="974" t="e">
        <f>IF($F200="","",$F200*chronic_consumption!K200/1000/$C$3)</f>
        <v>#DIV/0!</v>
      </c>
      <c r="Q200" s="974" t="e">
        <f>IF($F200="","",$F200*chronic_consumption!L200/1000/$C$3)</f>
        <v>#DIV/0!</v>
      </c>
      <c r="R200" s="974" t="e">
        <f>IF($F200="","",$F200*chronic_consumption!M200/1000/$C$3)</f>
        <v>#DIV/0!</v>
      </c>
      <c r="S200" s="974" t="e">
        <f>IF($F200="","",$F200*chronic_consumption!N200/1000/$C$3)</f>
        <v>#DIV/0!</v>
      </c>
      <c r="T200" s="974" t="e">
        <f>IF($F200="","",$F200*chronic_consumption!O200/1000/$C$3)</f>
        <v>#DIV/0!</v>
      </c>
      <c r="U200" s="974" t="e">
        <f>IF($F200="","",$F200*chronic_consumption!P200/1000/$C$3)</f>
        <v>#DIV/0!</v>
      </c>
      <c r="V200" s="974" t="e">
        <f>IF($F200="","",$F200*chronic_consumption!Q200/1000/$C$3)</f>
        <v>#DIV/0!</v>
      </c>
      <c r="W200" s="974" t="e">
        <f>IF($F200="","",$F200*chronic_consumption!R200/1000/$C$3)</f>
        <v>#DIV/0!</v>
      </c>
      <c r="X200" s="974" t="e">
        <f>IF($F200="","",$F200*chronic_consumption!S200/1000/$C$3)</f>
        <v>#DIV/0!</v>
      </c>
      <c r="Y200" s="974" t="e">
        <f>IF($F200="","",$F200*chronic_consumption!T200/1000/$C$3)</f>
        <v>#DIV/0!</v>
      </c>
      <c r="Z200" s="974" t="e">
        <f>IF($F200="","",$F200*chronic_consumption!U200/1000/$C$3)</f>
        <v>#DIV/0!</v>
      </c>
      <c r="AA200" s="974" t="e">
        <f>IF($F200="","",$F200*chronic_consumption!V200/1000/$C$3)</f>
        <v>#DIV/0!</v>
      </c>
      <c r="AB200" s="974" t="e">
        <f>IF($F200="","",$F200*chronic_consumption!W200/1000/$C$3)</f>
        <v>#DIV/0!</v>
      </c>
      <c r="AC200" s="974" t="e">
        <f>IF($F200="","",$F200*chronic_consumption!X200/1000/$C$3)</f>
        <v>#DIV/0!</v>
      </c>
      <c r="AD200" s="974" t="e">
        <f>IF($F200="","",$F200*chronic_consumption!Y200/1000/$C$3)</f>
        <v>#DIV/0!</v>
      </c>
      <c r="AE200" s="974" t="e">
        <f>IF($F200="","",$F200*chronic_consumption!Z200/1000/$C$3)</f>
        <v>#DIV/0!</v>
      </c>
      <c r="AF200" s="974" t="e">
        <f>IF($F200="","",$F200*chronic_consumption!AA200/1000/$C$3)</f>
        <v>#DIV/0!</v>
      </c>
      <c r="AG200" s="974" t="e">
        <f>IF($F200="","",$F200*chronic_consumption!AB200/1000/$C$3)</f>
        <v>#DIV/0!</v>
      </c>
      <c r="AH200" s="974" t="e">
        <f>IF($F200="","",$F200*chronic_consumption!AC200/1000/$C$3)</f>
        <v>#DIV/0!</v>
      </c>
      <c r="AI200" s="974" t="e">
        <f>IF($F200="","",$F200*chronic_consumption!AD200/1000/$C$3)</f>
        <v>#DIV/0!</v>
      </c>
      <c r="AJ200" s="974" t="e">
        <f>IF($F200="","",$F200*chronic_consumption!AE200/1000/$C$3)</f>
        <v>#DIV/0!</v>
      </c>
      <c r="AK200" s="974" t="e">
        <f>IF($F200="","",$F200*chronic_consumption!AF200/1000/$C$3)</f>
        <v>#DIV/0!</v>
      </c>
      <c r="AL200" s="974" t="e">
        <f>IF($F200="","",$F200*chronic_consumption!AG200/1000/$C$3)</f>
        <v>#DIV/0!</v>
      </c>
      <c r="AM200" s="974" t="e">
        <f>IF($F200="","",$F200*chronic_consumption!AH200/1000/$C$3)</f>
        <v>#DIV/0!</v>
      </c>
      <c r="AN200" s="974" t="e">
        <f>IF($F200="","",$F200*chronic_consumption!AI200/1000/$C$3)</f>
        <v>#DIV/0!</v>
      </c>
      <c r="AO200" s="974" t="e">
        <f>IF($F200="","",$F200*chronic_consumption!AJ200/1000/$C$3)</f>
        <v>#DIV/0!</v>
      </c>
      <c r="AP200" s="974" t="e">
        <f>IF($F200="","",$F200*chronic_consumption!AK200/1000/$C$3)</f>
        <v>#DIV/0!</v>
      </c>
      <c r="AQ200" s="974" t="e">
        <f>IF($F200="","",$F200*chronic_consumption!AL200/1000/$C$3)</f>
        <v>#DIV/0!</v>
      </c>
      <c r="AR200" s="974" t="e">
        <f>IF($F200="","",$F200*chronic_consumption!AM200/1000/$C$3)</f>
        <v>#DIV/0!</v>
      </c>
      <c r="AS200" s="974" t="e">
        <f>IF($F200="","",$F200*chronic_consumption!AN200/1000/$C$3)</f>
        <v>#DIV/0!</v>
      </c>
      <c r="AT200" s="974" t="e">
        <f>IF($F200="","",$F200*chronic_consumption!AO200/1000/$C$3)</f>
        <v>#DIV/0!</v>
      </c>
      <c r="AU200" s="974"/>
      <c r="AV200" s="974" t="e">
        <f>IF($F200="","",$F200*chronic_consumption!AQ200/1000/$C$3)</f>
        <v>#DIV/0!</v>
      </c>
      <c r="AW200" s="974" t="e">
        <f>IF($F200="","",$F200*chronic_consumption!AR200/1000/$C$3)</f>
        <v>#DIV/0!</v>
      </c>
      <c r="AX200" s="974" t="e">
        <f>IF($F200="","",$F200*chronic_consumption!AS200/1000/$C$3)</f>
        <v>#DIV/0!</v>
      </c>
      <c r="AY200" s="974" t="e">
        <f>IF($F200="","",$F200*chronic_consumption!AT200/1000/$C$3)</f>
        <v>#DIV/0!</v>
      </c>
      <c r="AZ200" s="973" t="s">
        <v>19</v>
      </c>
      <c r="BA200" s="969" t="e">
        <f t="shared" si="15"/>
        <v>#DIV/0!</v>
      </c>
      <c r="BB200" s="970" t="e">
        <f t="shared" si="16"/>
        <v>#DIV/0!</v>
      </c>
      <c r="BC200" s="971" t="e">
        <f t="shared" ca="1" si="17"/>
        <v>#DIV/0!</v>
      </c>
      <c r="BD200" s="228">
        <f>input_values!Z200</f>
        <v>4</v>
      </c>
      <c r="BE200" s="152">
        <f>input_values!L200</f>
        <v>0</v>
      </c>
      <c r="BF200" s="972" t="str">
        <f t="shared" si="18"/>
        <v/>
      </c>
    </row>
    <row r="201" spans="1:58" ht="12" customHeight="1" outlineLevel="3" x14ac:dyDescent="0.2">
      <c r="A201" s="21">
        <v>4</v>
      </c>
      <c r="B201" s="23">
        <v>270050</v>
      </c>
      <c r="C201" s="23" t="s">
        <v>62</v>
      </c>
      <c r="D201" s="965">
        <f>Table22[[#This Row],[MRL individual commodity]]</f>
        <v>0</v>
      </c>
      <c r="E201" s="300" t="str">
        <f>Table22[[#This Row],[LOQ_label]]</f>
        <v/>
      </c>
      <c r="F201" s="966">
        <f>Table22[[#This Row],[Chronic RA input value]]</f>
        <v>0</v>
      </c>
      <c r="G201" s="304" t="str">
        <f>Table22[[#This Row],[Chronic RA label]]</f>
        <v/>
      </c>
      <c r="H201" s="304">
        <f>Table22[[#This Row],[GAP under assessment]]</f>
        <v>0</v>
      </c>
      <c r="I201" s="1123"/>
      <c r="J201" s="974" t="e">
        <f>IF($F201="","",$F201*chronic_consumption!$E201/1000/$C$3)</f>
        <v>#DIV/0!</v>
      </c>
      <c r="K201" s="974" t="e">
        <f>IF($F201="","",$F201*chronic_consumption!F201/1000/$C$3)</f>
        <v>#DIV/0!</v>
      </c>
      <c r="L201" s="974" t="e">
        <f>IF($F201="","",$F201*chronic_consumption!G201/1000/$C$3)</f>
        <v>#DIV/0!</v>
      </c>
      <c r="M201" s="974" t="e">
        <f>IF($F201="","",$F201*chronic_consumption!H201/1000/$C$3)</f>
        <v>#DIV/0!</v>
      </c>
      <c r="N201" s="974" t="e">
        <f>IF($F201="","",$F201*chronic_consumption!I201/1000/$C$3)</f>
        <v>#DIV/0!</v>
      </c>
      <c r="O201" s="974" t="e">
        <f>IF($F201="","",$F201*chronic_consumption!J201/1000/$C$3)</f>
        <v>#DIV/0!</v>
      </c>
      <c r="P201" s="974" t="e">
        <f>IF($F201="","",$F201*chronic_consumption!K201/1000/$C$3)</f>
        <v>#DIV/0!</v>
      </c>
      <c r="Q201" s="974" t="e">
        <f>IF($F201="","",$F201*chronic_consumption!L201/1000/$C$3)</f>
        <v>#DIV/0!</v>
      </c>
      <c r="R201" s="974" t="e">
        <f>IF($F201="","",$F201*chronic_consumption!M201/1000/$C$3)</f>
        <v>#DIV/0!</v>
      </c>
      <c r="S201" s="974" t="e">
        <f>IF($F201="","",$F201*chronic_consumption!N201/1000/$C$3)</f>
        <v>#DIV/0!</v>
      </c>
      <c r="T201" s="974" t="e">
        <f>IF($F201="","",$F201*chronic_consumption!O201/1000/$C$3)</f>
        <v>#DIV/0!</v>
      </c>
      <c r="U201" s="974" t="e">
        <f>IF($F201="","",$F201*chronic_consumption!P201/1000/$C$3)</f>
        <v>#DIV/0!</v>
      </c>
      <c r="V201" s="974" t="e">
        <f>IF($F201="","",$F201*chronic_consumption!Q201/1000/$C$3)</f>
        <v>#DIV/0!</v>
      </c>
      <c r="W201" s="974" t="e">
        <f>IF($F201="","",$F201*chronic_consumption!R201/1000/$C$3)</f>
        <v>#DIV/0!</v>
      </c>
      <c r="X201" s="974" t="e">
        <f>IF($F201="","",$F201*chronic_consumption!S201/1000/$C$3)</f>
        <v>#DIV/0!</v>
      </c>
      <c r="Y201" s="974" t="e">
        <f>IF($F201="","",$F201*chronic_consumption!T201/1000/$C$3)</f>
        <v>#DIV/0!</v>
      </c>
      <c r="Z201" s="974" t="e">
        <f>IF($F201="","",$F201*chronic_consumption!U201/1000/$C$3)</f>
        <v>#DIV/0!</v>
      </c>
      <c r="AA201" s="974" t="e">
        <f>IF($F201="","",$F201*chronic_consumption!V201/1000/$C$3)</f>
        <v>#DIV/0!</v>
      </c>
      <c r="AB201" s="974" t="e">
        <f>IF($F201="","",$F201*chronic_consumption!W201/1000/$C$3)</f>
        <v>#DIV/0!</v>
      </c>
      <c r="AC201" s="974" t="e">
        <f>IF($F201="","",$F201*chronic_consumption!X201/1000/$C$3)</f>
        <v>#DIV/0!</v>
      </c>
      <c r="AD201" s="974" t="e">
        <f>IF($F201="","",$F201*chronic_consumption!Y201/1000/$C$3)</f>
        <v>#DIV/0!</v>
      </c>
      <c r="AE201" s="974" t="e">
        <f>IF($F201="","",$F201*chronic_consumption!Z201/1000/$C$3)</f>
        <v>#DIV/0!</v>
      </c>
      <c r="AF201" s="974" t="e">
        <f>IF($F201="","",$F201*chronic_consumption!AA201/1000/$C$3)</f>
        <v>#DIV/0!</v>
      </c>
      <c r="AG201" s="974" t="e">
        <f>IF($F201="","",$F201*chronic_consumption!AB201/1000/$C$3)</f>
        <v>#DIV/0!</v>
      </c>
      <c r="AH201" s="974" t="e">
        <f>IF($F201="","",$F201*chronic_consumption!AC201/1000/$C$3)</f>
        <v>#DIV/0!</v>
      </c>
      <c r="AI201" s="974" t="e">
        <f>IF($F201="","",$F201*chronic_consumption!AD201/1000/$C$3)</f>
        <v>#DIV/0!</v>
      </c>
      <c r="AJ201" s="974" t="e">
        <f>IF($F201="","",$F201*chronic_consumption!AE201/1000/$C$3)</f>
        <v>#DIV/0!</v>
      </c>
      <c r="AK201" s="974" t="e">
        <f>IF($F201="","",$F201*chronic_consumption!AF201/1000/$C$3)</f>
        <v>#DIV/0!</v>
      </c>
      <c r="AL201" s="974" t="e">
        <f>IF($F201="","",$F201*chronic_consumption!AG201/1000/$C$3)</f>
        <v>#DIV/0!</v>
      </c>
      <c r="AM201" s="974" t="e">
        <f>IF($F201="","",$F201*chronic_consumption!AH201/1000/$C$3)</f>
        <v>#DIV/0!</v>
      </c>
      <c r="AN201" s="974" t="e">
        <f>IF($F201="","",$F201*chronic_consumption!AI201/1000/$C$3)</f>
        <v>#DIV/0!</v>
      </c>
      <c r="AO201" s="974" t="e">
        <f>IF($F201="","",$F201*chronic_consumption!AJ201/1000/$C$3)</f>
        <v>#DIV/0!</v>
      </c>
      <c r="AP201" s="974" t="e">
        <f>IF($F201="","",$F201*chronic_consumption!AK201/1000/$C$3)</f>
        <v>#DIV/0!</v>
      </c>
      <c r="AQ201" s="974" t="e">
        <f>IF($F201="","",$F201*chronic_consumption!AL201/1000/$C$3)</f>
        <v>#DIV/0!</v>
      </c>
      <c r="AR201" s="974" t="e">
        <f>IF($F201="","",$F201*chronic_consumption!AM201/1000/$C$3)</f>
        <v>#DIV/0!</v>
      </c>
      <c r="AS201" s="974" t="e">
        <f>IF($F201="","",$F201*chronic_consumption!AN201/1000/$C$3)</f>
        <v>#DIV/0!</v>
      </c>
      <c r="AT201" s="974" t="e">
        <f>IF($F201="","",$F201*chronic_consumption!AO201/1000/$C$3)</f>
        <v>#DIV/0!</v>
      </c>
      <c r="AU201" s="974"/>
      <c r="AV201" s="974" t="e">
        <f>IF($F201="","",$F201*chronic_consumption!AQ201/1000/$C$3)</f>
        <v>#DIV/0!</v>
      </c>
      <c r="AW201" s="974" t="e">
        <f>IF($F201="","",$F201*chronic_consumption!AR201/1000/$C$3)</f>
        <v>#DIV/0!</v>
      </c>
      <c r="AX201" s="974" t="e">
        <f>IF($F201="","",$F201*chronic_consumption!AS201/1000/$C$3)</f>
        <v>#DIV/0!</v>
      </c>
      <c r="AY201" s="974" t="e">
        <f>IF($F201="","",$F201*chronic_consumption!AT201/1000/$C$3)</f>
        <v>#DIV/0!</v>
      </c>
      <c r="AZ201" s="973" t="s">
        <v>19</v>
      </c>
      <c r="BA201" s="969" t="e">
        <f t="shared" si="15"/>
        <v>#DIV/0!</v>
      </c>
      <c r="BB201" s="970" t="e">
        <f t="shared" si="16"/>
        <v>#DIV/0!</v>
      </c>
      <c r="BC201" s="971" t="e">
        <f t="shared" ca="1" si="17"/>
        <v>#DIV/0!</v>
      </c>
      <c r="BD201" s="228">
        <f>input_values!Z201</f>
        <v>4</v>
      </c>
      <c r="BE201" s="152">
        <f>input_values!L201</f>
        <v>0</v>
      </c>
      <c r="BF201" s="972" t="str">
        <f t="shared" si="18"/>
        <v/>
      </c>
    </row>
    <row r="202" spans="1:58" ht="12" customHeight="1" outlineLevel="3" x14ac:dyDescent="0.2">
      <c r="A202" s="21">
        <v>4</v>
      </c>
      <c r="B202" s="23">
        <v>270060</v>
      </c>
      <c r="C202" s="23" t="s">
        <v>738</v>
      </c>
      <c r="D202" s="965">
        <f>Table22[[#This Row],[MRL individual commodity]]</f>
        <v>0</v>
      </c>
      <c r="E202" s="300" t="str">
        <f>Table22[[#This Row],[LOQ_label]]</f>
        <v/>
      </c>
      <c r="F202" s="966">
        <f>Table22[[#This Row],[Chronic RA input value]]</f>
        <v>0</v>
      </c>
      <c r="G202" s="304" t="str">
        <f>Table22[[#This Row],[Chronic RA label]]</f>
        <v/>
      </c>
      <c r="H202" s="304">
        <f>Table22[[#This Row],[GAP under assessment]]</f>
        <v>0</v>
      </c>
      <c r="I202" s="1123"/>
      <c r="J202" s="974" t="e">
        <f>IF($F202="","",$F202*chronic_consumption!$E202/1000/$C$3)</f>
        <v>#DIV/0!</v>
      </c>
      <c r="K202" s="974" t="e">
        <f>IF($F202="","",$F202*chronic_consumption!F202/1000/$C$3)</f>
        <v>#DIV/0!</v>
      </c>
      <c r="L202" s="974" t="e">
        <f>IF($F202="","",$F202*chronic_consumption!G202/1000/$C$3)</f>
        <v>#DIV/0!</v>
      </c>
      <c r="M202" s="974" t="e">
        <f>IF($F202="","",$F202*chronic_consumption!H202/1000/$C$3)</f>
        <v>#DIV/0!</v>
      </c>
      <c r="N202" s="974" t="e">
        <f>IF($F202="","",$F202*chronic_consumption!I202/1000/$C$3)</f>
        <v>#DIV/0!</v>
      </c>
      <c r="O202" s="974" t="e">
        <f>IF($F202="","",$F202*chronic_consumption!J202/1000/$C$3)</f>
        <v>#DIV/0!</v>
      </c>
      <c r="P202" s="974" t="e">
        <f>IF($F202="","",$F202*chronic_consumption!K202/1000/$C$3)</f>
        <v>#DIV/0!</v>
      </c>
      <c r="Q202" s="974" t="e">
        <f>IF($F202="","",$F202*chronic_consumption!L202/1000/$C$3)</f>
        <v>#DIV/0!</v>
      </c>
      <c r="R202" s="974" t="e">
        <f>IF($F202="","",$F202*chronic_consumption!M202/1000/$C$3)</f>
        <v>#DIV/0!</v>
      </c>
      <c r="S202" s="974" t="e">
        <f>IF($F202="","",$F202*chronic_consumption!N202/1000/$C$3)</f>
        <v>#DIV/0!</v>
      </c>
      <c r="T202" s="974" t="e">
        <f>IF($F202="","",$F202*chronic_consumption!O202/1000/$C$3)</f>
        <v>#DIV/0!</v>
      </c>
      <c r="U202" s="974" t="e">
        <f>IF($F202="","",$F202*chronic_consumption!P202/1000/$C$3)</f>
        <v>#DIV/0!</v>
      </c>
      <c r="V202" s="974" t="e">
        <f>IF($F202="","",$F202*chronic_consumption!Q202/1000/$C$3)</f>
        <v>#DIV/0!</v>
      </c>
      <c r="W202" s="974" t="e">
        <f>IF($F202="","",$F202*chronic_consumption!R202/1000/$C$3)</f>
        <v>#DIV/0!</v>
      </c>
      <c r="X202" s="974" t="e">
        <f>IF($F202="","",$F202*chronic_consumption!S202/1000/$C$3)</f>
        <v>#DIV/0!</v>
      </c>
      <c r="Y202" s="974" t="e">
        <f>IF($F202="","",$F202*chronic_consumption!T202/1000/$C$3)</f>
        <v>#DIV/0!</v>
      </c>
      <c r="Z202" s="974" t="e">
        <f>IF($F202="","",$F202*chronic_consumption!U202/1000/$C$3)</f>
        <v>#DIV/0!</v>
      </c>
      <c r="AA202" s="974" t="e">
        <f>IF($F202="","",$F202*chronic_consumption!V202/1000/$C$3)</f>
        <v>#DIV/0!</v>
      </c>
      <c r="AB202" s="974" t="e">
        <f>IF($F202="","",$F202*chronic_consumption!W202/1000/$C$3)</f>
        <v>#DIV/0!</v>
      </c>
      <c r="AC202" s="974" t="e">
        <f>IF($F202="","",$F202*chronic_consumption!X202/1000/$C$3)</f>
        <v>#DIV/0!</v>
      </c>
      <c r="AD202" s="974" t="e">
        <f>IF($F202="","",$F202*chronic_consumption!Y202/1000/$C$3)</f>
        <v>#DIV/0!</v>
      </c>
      <c r="AE202" s="974" t="e">
        <f>IF($F202="","",$F202*chronic_consumption!Z202/1000/$C$3)</f>
        <v>#DIV/0!</v>
      </c>
      <c r="AF202" s="974" t="e">
        <f>IF($F202="","",$F202*chronic_consumption!AA202/1000/$C$3)</f>
        <v>#DIV/0!</v>
      </c>
      <c r="AG202" s="974" t="e">
        <f>IF($F202="","",$F202*chronic_consumption!AB202/1000/$C$3)</f>
        <v>#DIV/0!</v>
      </c>
      <c r="AH202" s="974" t="e">
        <f>IF($F202="","",$F202*chronic_consumption!AC202/1000/$C$3)</f>
        <v>#DIV/0!</v>
      </c>
      <c r="AI202" s="974" t="e">
        <f>IF($F202="","",$F202*chronic_consumption!AD202/1000/$C$3)</f>
        <v>#DIV/0!</v>
      </c>
      <c r="AJ202" s="974" t="e">
        <f>IF($F202="","",$F202*chronic_consumption!AE202/1000/$C$3)</f>
        <v>#DIV/0!</v>
      </c>
      <c r="AK202" s="974" t="e">
        <f>IF($F202="","",$F202*chronic_consumption!AF202/1000/$C$3)</f>
        <v>#DIV/0!</v>
      </c>
      <c r="AL202" s="974" t="e">
        <f>IF($F202="","",$F202*chronic_consumption!AG202/1000/$C$3)</f>
        <v>#DIV/0!</v>
      </c>
      <c r="AM202" s="974" t="e">
        <f>IF($F202="","",$F202*chronic_consumption!AH202/1000/$C$3)</f>
        <v>#DIV/0!</v>
      </c>
      <c r="AN202" s="974" t="e">
        <f>IF($F202="","",$F202*chronic_consumption!AI202/1000/$C$3)</f>
        <v>#DIV/0!</v>
      </c>
      <c r="AO202" s="974" t="e">
        <f>IF($F202="","",$F202*chronic_consumption!AJ202/1000/$C$3)</f>
        <v>#DIV/0!</v>
      </c>
      <c r="AP202" s="974" t="e">
        <f>IF($F202="","",$F202*chronic_consumption!AK202/1000/$C$3)</f>
        <v>#DIV/0!</v>
      </c>
      <c r="AQ202" s="974" t="e">
        <f>IF($F202="","",$F202*chronic_consumption!AL202/1000/$C$3)</f>
        <v>#DIV/0!</v>
      </c>
      <c r="AR202" s="974" t="e">
        <f>IF($F202="","",$F202*chronic_consumption!AM202/1000/$C$3)</f>
        <v>#DIV/0!</v>
      </c>
      <c r="AS202" s="974" t="e">
        <f>IF($F202="","",$F202*chronic_consumption!AN202/1000/$C$3)</f>
        <v>#DIV/0!</v>
      </c>
      <c r="AT202" s="974" t="e">
        <f>IF($F202="","",$F202*chronic_consumption!AO202/1000/$C$3)</f>
        <v>#DIV/0!</v>
      </c>
      <c r="AU202" s="974"/>
      <c r="AV202" s="974" t="e">
        <f>IF($F202="","",$F202*chronic_consumption!AQ202/1000/$C$3)</f>
        <v>#DIV/0!</v>
      </c>
      <c r="AW202" s="974" t="e">
        <f>IF($F202="","",$F202*chronic_consumption!AR202/1000/$C$3)</f>
        <v>#DIV/0!</v>
      </c>
      <c r="AX202" s="974" t="e">
        <f>IF($F202="","",$F202*chronic_consumption!AS202/1000/$C$3)</f>
        <v>#DIV/0!</v>
      </c>
      <c r="AY202" s="974" t="e">
        <f>IF($F202="","",$F202*chronic_consumption!AT202/1000/$C$3)</f>
        <v>#DIV/0!</v>
      </c>
      <c r="AZ202" s="973" t="s">
        <v>19</v>
      </c>
      <c r="BA202" s="969" t="e">
        <f t="shared" si="15"/>
        <v>#DIV/0!</v>
      </c>
      <c r="BB202" s="970" t="e">
        <f t="shared" si="16"/>
        <v>#DIV/0!</v>
      </c>
      <c r="BC202" s="971" t="e">
        <f t="shared" ca="1" si="17"/>
        <v>#DIV/0!</v>
      </c>
      <c r="BD202" s="228">
        <f>input_values!Z202</f>
        <v>4</v>
      </c>
      <c r="BE202" s="152">
        <f>input_values!L202</f>
        <v>0</v>
      </c>
      <c r="BF202" s="972" t="str">
        <f t="shared" si="18"/>
        <v/>
      </c>
    </row>
    <row r="203" spans="1:58" ht="12" customHeight="1" outlineLevel="3" x14ac:dyDescent="0.2">
      <c r="A203" s="21">
        <v>4</v>
      </c>
      <c r="B203" s="23">
        <v>270070</v>
      </c>
      <c r="C203" s="23" t="s">
        <v>739</v>
      </c>
      <c r="D203" s="965">
        <f>Table22[[#This Row],[MRL individual commodity]]</f>
        <v>0</v>
      </c>
      <c r="E203" s="300" t="str">
        <f>Table22[[#This Row],[LOQ_label]]</f>
        <v/>
      </c>
      <c r="F203" s="966">
        <f>Table22[[#This Row],[Chronic RA input value]]</f>
        <v>0</v>
      </c>
      <c r="G203" s="304" t="str">
        <f>Table22[[#This Row],[Chronic RA label]]</f>
        <v/>
      </c>
      <c r="H203" s="304">
        <f>Table22[[#This Row],[GAP under assessment]]</f>
        <v>0</v>
      </c>
      <c r="I203" s="1123"/>
      <c r="J203" s="974" t="e">
        <f>IF($F203="","",$F203*chronic_consumption!$E203/1000/$C$3)</f>
        <v>#DIV/0!</v>
      </c>
      <c r="K203" s="974" t="e">
        <f>IF($F203="","",$F203*chronic_consumption!F203/1000/$C$3)</f>
        <v>#DIV/0!</v>
      </c>
      <c r="L203" s="974" t="e">
        <f>IF($F203="","",$F203*chronic_consumption!G203/1000/$C$3)</f>
        <v>#DIV/0!</v>
      </c>
      <c r="M203" s="974" t="e">
        <f>IF($F203="","",$F203*chronic_consumption!H203/1000/$C$3)</f>
        <v>#DIV/0!</v>
      </c>
      <c r="N203" s="974" t="e">
        <f>IF($F203="","",$F203*chronic_consumption!I203/1000/$C$3)</f>
        <v>#DIV/0!</v>
      </c>
      <c r="O203" s="974" t="e">
        <f>IF($F203="","",$F203*chronic_consumption!J203/1000/$C$3)</f>
        <v>#DIV/0!</v>
      </c>
      <c r="P203" s="974" t="e">
        <f>IF($F203="","",$F203*chronic_consumption!K203/1000/$C$3)</f>
        <v>#DIV/0!</v>
      </c>
      <c r="Q203" s="974" t="e">
        <f>IF($F203="","",$F203*chronic_consumption!L203/1000/$C$3)</f>
        <v>#DIV/0!</v>
      </c>
      <c r="R203" s="974" t="e">
        <f>IF($F203="","",$F203*chronic_consumption!M203/1000/$C$3)</f>
        <v>#DIV/0!</v>
      </c>
      <c r="S203" s="974" t="e">
        <f>IF($F203="","",$F203*chronic_consumption!N203/1000/$C$3)</f>
        <v>#DIV/0!</v>
      </c>
      <c r="T203" s="974" t="e">
        <f>IF($F203="","",$F203*chronic_consumption!O203/1000/$C$3)</f>
        <v>#DIV/0!</v>
      </c>
      <c r="U203" s="974" t="e">
        <f>IF($F203="","",$F203*chronic_consumption!P203/1000/$C$3)</f>
        <v>#DIV/0!</v>
      </c>
      <c r="V203" s="974" t="e">
        <f>IF($F203="","",$F203*chronic_consumption!Q203/1000/$C$3)</f>
        <v>#DIV/0!</v>
      </c>
      <c r="W203" s="974" t="e">
        <f>IF($F203="","",$F203*chronic_consumption!R203/1000/$C$3)</f>
        <v>#DIV/0!</v>
      </c>
      <c r="X203" s="974" t="e">
        <f>IF($F203="","",$F203*chronic_consumption!S203/1000/$C$3)</f>
        <v>#DIV/0!</v>
      </c>
      <c r="Y203" s="974" t="e">
        <f>IF($F203="","",$F203*chronic_consumption!T203/1000/$C$3)</f>
        <v>#DIV/0!</v>
      </c>
      <c r="Z203" s="974" t="e">
        <f>IF($F203="","",$F203*chronic_consumption!U203/1000/$C$3)</f>
        <v>#DIV/0!</v>
      </c>
      <c r="AA203" s="974" t="e">
        <f>IF($F203="","",$F203*chronic_consumption!V203/1000/$C$3)</f>
        <v>#DIV/0!</v>
      </c>
      <c r="AB203" s="974" t="e">
        <f>IF($F203="","",$F203*chronic_consumption!W203/1000/$C$3)</f>
        <v>#DIV/0!</v>
      </c>
      <c r="AC203" s="974" t="e">
        <f>IF($F203="","",$F203*chronic_consumption!X203/1000/$C$3)</f>
        <v>#DIV/0!</v>
      </c>
      <c r="AD203" s="974" t="e">
        <f>IF($F203="","",$F203*chronic_consumption!Y203/1000/$C$3)</f>
        <v>#DIV/0!</v>
      </c>
      <c r="AE203" s="974" t="e">
        <f>IF($F203="","",$F203*chronic_consumption!Z203/1000/$C$3)</f>
        <v>#DIV/0!</v>
      </c>
      <c r="AF203" s="974" t="e">
        <f>IF($F203="","",$F203*chronic_consumption!AA203/1000/$C$3)</f>
        <v>#DIV/0!</v>
      </c>
      <c r="AG203" s="974" t="e">
        <f>IF($F203="","",$F203*chronic_consumption!AB203/1000/$C$3)</f>
        <v>#DIV/0!</v>
      </c>
      <c r="AH203" s="974" t="e">
        <f>IF($F203="","",$F203*chronic_consumption!AC203/1000/$C$3)</f>
        <v>#DIV/0!</v>
      </c>
      <c r="AI203" s="974" t="e">
        <f>IF($F203="","",$F203*chronic_consumption!AD203/1000/$C$3)</f>
        <v>#DIV/0!</v>
      </c>
      <c r="AJ203" s="974" t="e">
        <f>IF($F203="","",$F203*chronic_consumption!AE203/1000/$C$3)</f>
        <v>#DIV/0!</v>
      </c>
      <c r="AK203" s="974" t="e">
        <f>IF($F203="","",$F203*chronic_consumption!AF203/1000/$C$3)</f>
        <v>#DIV/0!</v>
      </c>
      <c r="AL203" s="974" t="e">
        <f>IF($F203="","",$F203*chronic_consumption!AG203/1000/$C$3)</f>
        <v>#DIV/0!</v>
      </c>
      <c r="AM203" s="974" t="e">
        <f>IF($F203="","",$F203*chronic_consumption!AH203/1000/$C$3)</f>
        <v>#DIV/0!</v>
      </c>
      <c r="AN203" s="974" t="e">
        <f>IF($F203="","",$F203*chronic_consumption!AI203/1000/$C$3)</f>
        <v>#DIV/0!</v>
      </c>
      <c r="AO203" s="974" t="e">
        <f>IF($F203="","",$F203*chronic_consumption!AJ203/1000/$C$3)</f>
        <v>#DIV/0!</v>
      </c>
      <c r="AP203" s="974" t="e">
        <f>IF($F203="","",$F203*chronic_consumption!AK203/1000/$C$3)</f>
        <v>#DIV/0!</v>
      </c>
      <c r="AQ203" s="974" t="e">
        <f>IF($F203="","",$F203*chronic_consumption!AL203/1000/$C$3)</f>
        <v>#DIV/0!</v>
      </c>
      <c r="AR203" s="974" t="e">
        <f>IF($F203="","",$F203*chronic_consumption!AM203/1000/$C$3)</f>
        <v>#DIV/0!</v>
      </c>
      <c r="AS203" s="974" t="e">
        <f>IF($F203="","",$F203*chronic_consumption!AN203/1000/$C$3)</f>
        <v>#DIV/0!</v>
      </c>
      <c r="AT203" s="974" t="e">
        <f>IF($F203="","",$F203*chronic_consumption!AO203/1000/$C$3)</f>
        <v>#DIV/0!</v>
      </c>
      <c r="AU203" s="974"/>
      <c r="AV203" s="974" t="e">
        <f>IF($F203="","",$F203*chronic_consumption!AQ203/1000/$C$3)</f>
        <v>#DIV/0!</v>
      </c>
      <c r="AW203" s="974" t="e">
        <f>IF($F203="","",$F203*chronic_consumption!AR203/1000/$C$3)</f>
        <v>#DIV/0!</v>
      </c>
      <c r="AX203" s="974" t="e">
        <f>IF($F203="","",$F203*chronic_consumption!AS203/1000/$C$3)</f>
        <v>#DIV/0!</v>
      </c>
      <c r="AY203" s="974" t="e">
        <f>IF($F203="","",$F203*chronic_consumption!AT203/1000/$C$3)</f>
        <v>#DIV/0!</v>
      </c>
      <c r="AZ203" s="973" t="s">
        <v>19</v>
      </c>
      <c r="BA203" s="969" t="e">
        <f t="shared" si="15"/>
        <v>#DIV/0!</v>
      </c>
      <c r="BB203" s="970" t="e">
        <f t="shared" si="16"/>
        <v>#DIV/0!</v>
      </c>
      <c r="BC203" s="971" t="e">
        <f t="shared" ca="1" si="17"/>
        <v>#DIV/0!</v>
      </c>
      <c r="BD203" s="228">
        <f>input_values!Z203</f>
        <v>4</v>
      </c>
      <c r="BE203" s="152">
        <f>input_values!L203</f>
        <v>0</v>
      </c>
      <c r="BF203" s="972" t="str">
        <f t="shared" si="18"/>
        <v/>
      </c>
    </row>
    <row r="204" spans="1:58" ht="12" customHeight="1" outlineLevel="3" x14ac:dyDescent="0.2">
      <c r="A204" s="21">
        <v>4</v>
      </c>
      <c r="B204" s="23">
        <v>270080</v>
      </c>
      <c r="C204" s="23" t="s">
        <v>63</v>
      </c>
      <c r="D204" s="965">
        <f>Table22[[#This Row],[MRL individual commodity]]</f>
        <v>0</v>
      </c>
      <c r="E204" s="300" t="str">
        <f>Table22[[#This Row],[LOQ_label]]</f>
        <v/>
      </c>
      <c r="F204" s="966">
        <f>Table22[[#This Row],[Chronic RA input value]]</f>
        <v>0</v>
      </c>
      <c r="G204" s="304" t="str">
        <f>Table22[[#This Row],[Chronic RA label]]</f>
        <v/>
      </c>
      <c r="H204" s="304">
        <f>Table22[[#This Row],[GAP under assessment]]</f>
        <v>0</v>
      </c>
      <c r="I204" s="1123"/>
      <c r="J204" s="974" t="e">
        <f>IF($F204="","",$F204*chronic_consumption!$E204/1000/$C$3)</f>
        <v>#DIV/0!</v>
      </c>
      <c r="K204" s="974" t="e">
        <f>IF($F204="","",$F204*chronic_consumption!F204/1000/$C$3)</f>
        <v>#DIV/0!</v>
      </c>
      <c r="L204" s="974" t="e">
        <f>IF($F204="","",$F204*chronic_consumption!G204/1000/$C$3)</f>
        <v>#DIV/0!</v>
      </c>
      <c r="M204" s="974" t="e">
        <f>IF($F204="","",$F204*chronic_consumption!H204/1000/$C$3)</f>
        <v>#DIV/0!</v>
      </c>
      <c r="N204" s="974" t="e">
        <f>IF($F204="","",$F204*chronic_consumption!I204/1000/$C$3)</f>
        <v>#DIV/0!</v>
      </c>
      <c r="O204" s="974" t="e">
        <f>IF($F204="","",$F204*chronic_consumption!J204/1000/$C$3)</f>
        <v>#DIV/0!</v>
      </c>
      <c r="P204" s="974" t="e">
        <f>IF($F204="","",$F204*chronic_consumption!K204/1000/$C$3)</f>
        <v>#DIV/0!</v>
      </c>
      <c r="Q204" s="974" t="e">
        <f>IF($F204="","",$F204*chronic_consumption!L204/1000/$C$3)</f>
        <v>#DIV/0!</v>
      </c>
      <c r="R204" s="974" t="e">
        <f>IF($F204="","",$F204*chronic_consumption!M204/1000/$C$3)</f>
        <v>#DIV/0!</v>
      </c>
      <c r="S204" s="974" t="e">
        <f>IF($F204="","",$F204*chronic_consumption!N204/1000/$C$3)</f>
        <v>#DIV/0!</v>
      </c>
      <c r="T204" s="974" t="e">
        <f>IF($F204="","",$F204*chronic_consumption!O204/1000/$C$3)</f>
        <v>#DIV/0!</v>
      </c>
      <c r="U204" s="974" t="e">
        <f>IF($F204="","",$F204*chronic_consumption!P204/1000/$C$3)</f>
        <v>#DIV/0!</v>
      </c>
      <c r="V204" s="974" t="e">
        <f>IF($F204="","",$F204*chronic_consumption!Q204/1000/$C$3)</f>
        <v>#DIV/0!</v>
      </c>
      <c r="W204" s="974" t="e">
        <f>IF($F204="","",$F204*chronic_consumption!R204/1000/$C$3)</f>
        <v>#DIV/0!</v>
      </c>
      <c r="X204" s="974" t="e">
        <f>IF($F204="","",$F204*chronic_consumption!S204/1000/$C$3)</f>
        <v>#DIV/0!</v>
      </c>
      <c r="Y204" s="974" t="e">
        <f>IF($F204="","",$F204*chronic_consumption!T204/1000/$C$3)</f>
        <v>#DIV/0!</v>
      </c>
      <c r="Z204" s="974" t="e">
        <f>IF($F204="","",$F204*chronic_consumption!U204/1000/$C$3)</f>
        <v>#DIV/0!</v>
      </c>
      <c r="AA204" s="974" t="e">
        <f>IF($F204="","",$F204*chronic_consumption!V204/1000/$C$3)</f>
        <v>#DIV/0!</v>
      </c>
      <c r="AB204" s="974" t="e">
        <f>IF($F204="","",$F204*chronic_consumption!W204/1000/$C$3)</f>
        <v>#DIV/0!</v>
      </c>
      <c r="AC204" s="974" t="e">
        <f>IF($F204="","",$F204*chronic_consumption!X204/1000/$C$3)</f>
        <v>#DIV/0!</v>
      </c>
      <c r="AD204" s="974" t="e">
        <f>IF($F204="","",$F204*chronic_consumption!Y204/1000/$C$3)</f>
        <v>#DIV/0!</v>
      </c>
      <c r="AE204" s="974" t="e">
        <f>IF($F204="","",$F204*chronic_consumption!Z204/1000/$C$3)</f>
        <v>#DIV/0!</v>
      </c>
      <c r="AF204" s="974" t="e">
        <f>IF($F204="","",$F204*chronic_consumption!AA204/1000/$C$3)</f>
        <v>#DIV/0!</v>
      </c>
      <c r="AG204" s="974" t="e">
        <f>IF($F204="","",$F204*chronic_consumption!AB204/1000/$C$3)</f>
        <v>#DIV/0!</v>
      </c>
      <c r="AH204" s="974" t="e">
        <f>IF($F204="","",$F204*chronic_consumption!AC204/1000/$C$3)</f>
        <v>#DIV/0!</v>
      </c>
      <c r="AI204" s="974" t="e">
        <f>IF($F204="","",$F204*chronic_consumption!AD204/1000/$C$3)</f>
        <v>#DIV/0!</v>
      </c>
      <c r="AJ204" s="974" t="e">
        <f>IF($F204="","",$F204*chronic_consumption!AE204/1000/$C$3)</f>
        <v>#DIV/0!</v>
      </c>
      <c r="AK204" s="974" t="e">
        <f>IF($F204="","",$F204*chronic_consumption!AF204/1000/$C$3)</f>
        <v>#DIV/0!</v>
      </c>
      <c r="AL204" s="974" t="e">
        <f>IF($F204="","",$F204*chronic_consumption!AG204/1000/$C$3)</f>
        <v>#DIV/0!</v>
      </c>
      <c r="AM204" s="974" t="e">
        <f>IF($F204="","",$F204*chronic_consumption!AH204/1000/$C$3)</f>
        <v>#DIV/0!</v>
      </c>
      <c r="AN204" s="974" t="e">
        <f>IF($F204="","",$F204*chronic_consumption!AI204/1000/$C$3)</f>
        <v>#DIV/0!</v>
      </c>
      <c r="AO204" s="974" t="e">
        <f>IF($F204="","",$F204*chronic_consumption!AJ204/1000/$C$3)</f>
        <v>#DIV/0!</v>
      </c>
      <c r="AP204" s="974" t="e">
        <f>IF($F204="","",$F204*chronic_consumption!AK204/1000/$C$3)</f>
        <v>#DIV/0!</v>
      </c>
      <c r="AQ204" s="974" t="e">
        <f>IF($F204="","",$F204*chronic_consumption!AL204/1000/$C$3)</f>
        <v>#DIV/0!</v>
      </c>
      <c r="AR204" s="974" t="e">
        <f>IF($F204="","",$F204*chronic_consumption!AM204/1000/$C$3)</f>
        <v>#DIV/0!</v>
      </c>
      <c r="AS204" s="974" t="e">
        <f>IF($F204="","",$F204*chronic_consumption!AN204/1000/$C$3)</f>
        <v>#DIV/0!</v>
      </c>
      <c r="AT204" s="974" t="e">
        <f>IF($F204="","",$F204*chronic_consumption!AO204/1000/$C$3)</f>
        <v>#DIV/0!</v>
      </c>
      <c r="AU204" s="974"/>
      <c r="AV204" s="974" t="e">
        <f>IF($F204="","",$F204*chronic_consumption!AQ204/1000/$C$3)</f>
        <v>#DIV/0!</v>
      </c>
      <c r="AW204" s="974" t="e">
        <f>IF($F204="","",$F204*chronic_consumption!AR204/1000/$C$3)</f>
        <v>#DIV/0!</v>
      </c>
      <c r="AX204" s="974" t="e">
        <f>IF($F204="","",$F204*chronic_consumption!AS204/1000/$C$3)</f>
        <v>#DIV/0!</v>
      </c>
      <c r="AY204" s="974" t="e">
        <f>IF($F204="","",$F204*chronic_consumption!AT204/1000/$C$3)</f>
        <v>#DIV/0!</v>
      </c>
      <c r="AZ204" s="973" t="s">
        <v>19</v>
      </c>
      <c r="BA204" s="969" t="e">
        <f t="shared" si="15"/>
        <v>#DIV/0!</v>
      </c>
      <c r="BB204" s="970" t="e">
        <f t="shared" si="16"/>
        <v>#DIV/0!</v>
      </c>
      <c r="BC204" s="971" t="e">
        <f t="shared" ca="1" si="17"/>
        <v>#DIV/0!</v>
      </c>
      <c r="BD204" s="228">
        <f>input_values!Z204</f>
        <v>4</v>
      </c>
      <c r="BE204" s="152">
        <f>input_values!L204</f>
        <v>0</v>
      </c>
      <c r="BF204" s="972" t="str">
        <f t="shared" si="18"/>
        <v/>
      </c>
    </row>
    <row r="205" spans="1:58" ht="12" customHeight="1" outlineLevel="3" x14ac:dyDescent="0.2">
      <c r="A205" s="21">
        <v>4</v>
      </c>
      <c r="B205" s="23">
        <v>270090</v>
      </c>
      <c r="C205" s="23" t="s">
        <v>64</v>
      </c>
      <c r="D205" s="965">
        <f>Table22[[#This Row],[MRL individual commodity]]</f>
        <v>0</v>
      </c>
      <c r="E205" s="300" t="str">
        <f>Table22[[#This Row],[LOQ_label]]</f>
        <v/>
      </c>
      <c r="F205" s="966">
        <f>Table22[[#This Row],[Chronic RA input value]]</f>
        <v>0</v>
      </c>
      <c r="G205" s="304" t="str">
        <f>Table22[[#This Row],[Chronic RA label]]</f>
        <v/>
      </c>
      <c r="H205" s="304">
        <f>Table22[[#This Row],[GAP under assessment]]</f>
        <v>0</v>
      </c>
      <c r="I205" s="1123"/>
      <c r="J205" s="974" t="e">
        <f>IF($F205="","",$F205*chronic_consumption!$E205/1000/$C$3)</f>
        <v>#DIV/0!</v>
      </c>
      <c r="K205" s="974" t="e">
        <f>IF($F205="","",$F205*chronic_consumption!F205/1000/$C$3)</f>
        <v>#DIV/0!</v>
      </c>
      <c r="L205" s="974" t="e">
        <f>IF($F205="","",$F205*chronic_consumption!G205/1000/$C$3)</f>
        <v>#DIV/0!</v>
      </c>
      <c r="M205" s="974" t="e">
        <f>IF($F205="","",$F205*chronic_consumption!H205/1000/$C$3)</f>
        <v>#DIV/0!</v>
      </c>
      <c r="N205" s="974" t="e">
        <f>IF($F205="","",$F205*chronic_consumption!I205/1000/$C$3)</f>
        <v>#DIV/0!</v>
      </c>
      <c r="O205" s="974" t="e">
        <f>IF($F205="","",$F205*chronic_consumption!J205/1000/$C$3)</f>
        <v>#DIV/0!</v>
      </c>
      <c r="P205" s="974" t="e">
        <f>IF($F205="","",$F205*chronic_consumption!K205/1000/$C$3)</f>
        <v>#DIV/0!</v>
      </c>
      <c r="Q205" s="974" t="e">
        <f>IF($F205="","",$F205*chronic_consumption!L205/1000/$C$3)</f>
        <v>#DIV/0!</v>
      </c>
      <c r="R205" s="974" t="e">
        <f>IF($F205="","",$F205*chronic_consumption!M205/1000/$C$3)</f>
        <v>#DIV/0!</v>
      </c>
      <c r="S205" s="974" t="e">
        <f>IF($F205="","",$F205*chronic_consumption!N205/1000/$C$3)</f>
        <v>#DIV/0!</v>
      </c>
      <c r="T205" s="974" t="e">
        <f>IF($F205="","",$F205*chronic_consumption!O205/1000/$C$3)</f>
        <v>#DIV/0!</v>
      </c>
      <c r="U205" s="974" t="e">
        <f>IF($F205="","",$F205*chronic_consumption!P205/1000/$C$3)</f>
        <v>#DIV/0!</v>
      </c>
      <c r="V205" s="974" t="e">
        <f>IF($F205="","",$F205*chronic_consumption!Q205/1000/$C$3)</f>
        <v>#DIV/0!</v>
      </c>
      <c r="W205" s="974" t="e">
        <f>IF($F205="","",$F205*chronic_consumption!R205/1000/$C$3)</f>
        <v>#DIV/0!</v>
      </c>
      <c r="X205" s="974" t="e">
        <f>IF($F205="","",$F205*chronic_consumption!S205/1000/$C$3)</f>
        <v>#DIV/0!</v>
      </c>
      <c r="Y205" s="974" t="e">
        <f>IF($F205="","",$F205*chronic_consumption!T205/1000/$C$3)</f>
        <v>#DIV/0!</v>
      </c>
      <c r="Z205" s="974" t="e">
        <f>IF($F205="","",$F205*chronic_consumption!U205/1000/$C$3)</f>
        <v>#DIV/0!</v>
      </c>
      <c r="AA205" s="974" t="e">
        <f>IF($F205="","",$F205*chronic_consumption!V205/1000/$C$3)</f>
        <v>#DIV/0!</v>
      </c>
      <c r="AB205" s="974" t="e">
        <f>IF($F205="","",$F205*chronic_consumption!W205/1000/$C$3)</f>
        <v>#DIV/0!</v>
      </c>
      <c r="AC205" s="974" t="e">
        <f>IF($F205="","",$F205*chronic_consumption!X205/1000/$C$3)</f>
        <v>#DIV/0!</v>
      </c>
      <c r="AD205" s="974" t="e">
        <f>IF($F205="","",$F205*chronic_consumption!Y205/1000/$C$3)</f>
        <v>#DIV/0!</v>
      </c>
      <c r="AE205" s="974" t="e">
        <f>IF($F205="","",$F205*chronic_consumption!Z205/1000/$C$3)</f>
        <v>#DIV/0!</v>
      </c>
      <c r="AF205" s="974" t="e">
        <f>IF($F205="","",$F205*chronic_consumption!AA205/1000/$C$3)</f>
        <v>#DIV/0!</v>
      </c>
      <c r="AG205" s="974" t="e">
        <f>IF($F205="","",$F205*chronic_consumption!AB205/1000/$C$3)</f>
        <v>#DIV/0!</v>
      </c>
      <c r="AH205" s="974" t="e">
        <f>IF($F205="","",$F205*chronic_consumption!AC205/1000/$C$3)</f>
        <v>#DIV/0!</v>
      </c>
      <c r="AI205" s="974" t="e">
        <f>IF($F205="","",$F205*chronic_consumption!AD205/1000/$C$3)</f>
        <v>#DIV/0!</v>
      </c>
      <c r="AJ205" s="974" t="e">
        <f>IF($F205="","",$F205*chronic_consumption!AE205/1000/$C$3)</f>
        <v>#DIV/0!</v>
      </c>
      <c r="AK205" s="974" t="e">
        <f>IF($F205="","",$F205*chronic_consumption!AF205/1000/$C$3)</f>
        <v>#DIV/0!</v>
      </c>
      <c r="AL205" s="974" t="e">
        <f>IF($F205="","",$F205*chronic_consumption!AG205/1000/$C$3)</f>
        <v>#DIV/0!</v>
      </c>
      <c r="AM205" s="974" t="e">
        <f>IF($F205="","",$F205*chronic_consumption!AH205/1000/$C$3)</f>
        <v>#DIV/0!</v>
      </c>
      <c r="AN205" s="974" t="e">
        <f>IF($F205="","",$F205*chronic_consumption!AI205/1000/$C$3)</f>
        <v>#DIV/0!</v>
      </c>
      <c r="AO205" s="974" t="e">
        <f>IF($F205="","",$F205*chronic_consumption!AJ205/1000/$C$3)</f>
        <v>#DIV/0!</v>
      </c>
      <c r="AP205" s="974" t="e">
        <f>IF($F205="","",$F205*chronic_consumption!AK205/1000/$C$3)</f>
        <v>#DIV/0!</v>
      </c>
      <c r="AQ205" s="974" t="e">
        <f>IF($F205="","",$F205*chronic_consumption!AL205/1000/$C$3)</f>
        <v>#DIV/0!</v>
      </c>
      <c r="AR205" s="974" t="e">
        <f>IF($F205="","",$F205*chronic_consumption!AM205/1000/$C$3)</f>
        <v>#DIV/0!</v>
      </c>
      <c r="AS205" s="974" t="e">
        <f>IF($F205="","",$F205*chronic_consumption!AN205/1000/$C$3)</f>
        <v>#DIV/0!</v>
      </c>
      <c r="AT205" s="974" t="e">
        <f>IF($F205="","",$F205*chronic_consumption!AO205/1000/$C$3)</f>
        <v>#DIV/0!</v>
      </c>
      <c r="AU205" s="974"/>
      <c r="AV205" s="974" t="e">
        <f>IF($F205="","",$F205*chronic_consumption!AQ205/1000/$C$3)</f>
        <v>#DIV/0!</v>
      </c>
      <c r="AW205" s="974" t="e">
        <f>IF($F205="","",$F205*chronic_consumption!AR205/1000/$C$3)</f>
        <v>#DIV/0!</v>
      </c>
      <c r="AX205" s="974" t="e">
        <f>IF($F205="","",$F205*chronic_consumption!AS205/1000/$C$3)</f>
        <v>#DIV/0!</v>
      </c>
      <c r="AY205" s="974" t="e">
        <f>IF($F205="","",$F205*chronic_consumption!AT205/1000/$C$3)</f>
        <v>#DIV/0!</v>
      </c>
      <c r="AZ205" s="973" t="s">
        <v>19</v>
      </c>
      <c r="BA205" s="969" t="e">
        <f t="shared" ref="BA205:BA268" si="19">MIN(J205:AY205)</f>
        <v>#DIV/0!</v>
      </c>
      <c r="BB205" s="970" t="e">
        <f t="shared" ref="BB205:BB268" si="20">MAX(J205:AY205)</f>
        <v>#DIV/0!</v>
      </c>
      <c r="BC205" s="971" t="e">
        <f t="shared" ref="BC205:BC268" ca="1" si="21">IF(BB205&gt;0,OFFSET($I$10,1,MATCH(BB205,J205:AY205,0)),"")</f>
        <v>#DIV/0!</v>
      </c>
      <c r="BD205" s="228">
        <f>input_values!Z205</f>
        <v>4</v>
      </c>
      <c r="BE205" s="152">
        <f>input_values!L205</f>
        <v>0</v>
      </c>
      <c r="BF205" s="972" t="str">
        <f t="shared" ref="BF205:BF268" si="22">IF(BE205="Y",BB205,"")</f>
        <v/>
      </c>
    </row>
    <row r="206" spans="1:58" ht="12" customHeight="1" outlineLevel="3" x14ac:dyDescent="0.2">
      <c r="A206" s="21">
        <v>4</v>
      </c>
      <c r="B206" s="23">
        <v>270990</v>
      </c>
      <c r="C206" s="23" t="s">
        <v>177</v>
      </c>
      <c r="D206" s="965">
        <f>Table22[[#This Row],[MRL individual commodity]]</f>
        <v>0</v>
      </c>
      <c r="E206" s="300" t="str">
        <f>Table22[[#This Row],[LOQ_label]]</f>
        <v/>
      </c>
      <c r="F206" s="966">
        <f>Table22[[#This Row],[Chronic RA input value]]</f>
        <v>0</v>
      </c>
      <c r="G206" s="304" t="str">
        <f>Table22[[#This Row],[Chronic RA label]]</f>
        <v/>
      </c>
      <c r="H206" s="304">
        <f>Table22[[#This Row],[GAP under assessment]]</f>
        <v>0</v>
      </c>
      <c r="I206" s="1123"/>
      <c r="J206" s="974" t="e">
        <f>IF($F206="","",$F206*chronic_consumption!$E206/1000/$C$3)</f>
        <v>#DIV/0!</v>
      </c>
      <c r="K206" s="974" t="e">
        <f>IF($F206="","",$F206*chronic_consumption!F206/1000/$C$3)</f>
        <v>#DIV/0!</v>
      </c>
      <c r="L206" s="974" t="e">
        <f>IF($F206="","",$F206*chronic_consumption!G206/1000/$C$3)</f>
        <v>#DIV/0!</v>
      </c>
      <c r="M206" s="974" t="e">
        <f>IF($F206="","",$F206*chronic_consumption!H206/1000/$C$3)</f>
        <v>#DIV/0!</v>
      </c>
      <c r="N206" s="974" t="e">
        <f>IF($F206="","",$F206*chronic_consumption!I206/1000/$C$3)</f>
        <v>#DIV/0!</v>
      </c>
      <c r="O206" s="974" t="e">
        <f>IF($F206="","",$F206*chronic_consumption!J206/1000/$C$3)</f>
        <v>#DIV/0!</v>
      </c>
      <c r="P206" s="974" t="e">
        <f>IF($F206="","",$F206*chronic_consumption!K206/1000/$C$3)</f>
        <v>#DIV/0!</v>
      </c>
      <c r="Q206" s="974" t="e">
        <f>IF($F206="","",$F206*chronic_consumption!L206/1000/$C$3)</f>
        <v>#DIV/0!</v>
      </c>
      <c r="R206" s="974" t="e">
        <f>IF($F206="","",$F206*chronic_consumption!M206/1000/$C$3)</f>
        <v>#DIV/0!</v>
      </c>
      <c r="S206" s="974" t="e">
        <f>IF($F206="","",$F206*chronic_consumption!N206/1000/$C$3)</f>
        <v>#DIV/0!</v>
      </c>
      <c r="T206" s="974" t="e">
        <f>IF($F206="","",$F206*chronic_consumption!O206/1000/$C$3)</f>
        <v>#DIV/0!</v>
      </c>
      <c r="U206" s="974" t="e">
        <f>IF($F206="","",$F206*chronic_consumption!P206/1000/$C$3)</f>
        <v>#DIV/0!</v>
      </c>
      <c r="V206" s="974" t="e">
        <f>IF($F206="","",$F206*chronic_consumption!Q206/1000/$C$3)</f>
        <v>#DIV/0!</v>
      </c>
      <c r="W206" s="974" t="e">
        <f>IF($F206="","",$F206*chronic_consumption!R206/1000/$C$3)</f>
        <v>#DIV/0!</v>
      </c>
      <c r="X206" s="974" t="e">
        <f>IF($F206="","",$F206*chronic_consumption!S206/1000/$C$3)</f>
        <v>#DIV/0!</v>
      </c>
      <c r="Y206" s="974" t="e">
        <f>IF($F206="","",$F206*chronic_consumption!T206/1000/$C$3)</f>
        <v>#DIV/0!</v>
      </c>
      <c r="Z206" s="974" t="e">
        <f>IF($F206="","",$F206*chronic_consumption!U206/1000/$C$3)</f>
        <v>#DIV/0!</v>
      </c>
      <c r="AA206" s="974" t="e">
        <f>IF($F206="","",$F206*chronic_consumption!V206/1000/$C$3)</f>
        <v>#DIV/0!</v>
      </c>
      <c r="AB206" s="974" t="e">
        <f>IF($F206="","",$F206*chronic_consumption!W206/1000/$C$3)</f>
        <v>#DIV/0!</v>
      </c>
      <c r="AC206" s="974" t="e">
        <f>IF($F206="","",$F206*chronic_consumption!X206/1000/$C$3)</f>
        <v>#DIV/0!</v>
      </c>
      <c r="AD206" s="974" t="e">
        <f>IF($F206="","",$F206*chronic_consumption!Y206/1000/$C$3)</f>
        <v>#DIV/0!</v>
      </c>
      <c r="AE206" s="974" t="e">
        <f>IF($F206="","",$F206*chronic_consumption!Z206/1000/$C$3)</f>
        <v>#DIV/0!</v>
      </c>
      <c r="AF206" s="974" t="e">
        <f>IF($F206="","",$F206*chronic_consumption!AA206/1000/$C$3)</f>
        <v>#DIV/0!</v>
      </c>
      <c r="AG206" s="974" t="e">
        <f>IF($F206="","",$F206*chronic_consumption!AB206/1000/$C$3)</f>
        <v>#DIV/0!</v>
      </c>
      <c r="AH206" s="974" t="e">
        <f>IF($F206="","",$F206*chronic_consumption!AC206/1000/$C$3)</f>
        <v>#DIV/0!</v>
      </c>
      <c r="AI206" s="974" t="e">
        <f>IF($F206="","",$F206*chronic_consumption!AD206/1000/$C$3)</f>
        <v>#DIV/0!</v>
      </c>
      <c r="AJ206" s="974" t="e">
        <f>IF($F206="","",$F206*chronic_consumption!AE206/1000/$C$3)</f>
        <v>#DIV/0!</v>
      </c>
      <c r="AK206" s="974" t="e">
        <f>IF($F206="","",$F206*chronic_consumption!AF206/1000/$C$3)</f>
        <v>#DIV/0!</v>
      </c>
      <c r="AL206" s="974" t="e">
        <f>IF($F206="","",$F206*chronic_consumption!AG206/1000/$C$3)</f>
        <v>#DIV/0!</v>
      </c>
      <c r="AM206" s="974" t="e">
        <f>IF($F206="","",$F206*chronic_consumption!AH206/1000/$C$3)</f>
        <v>#DIV/0!</v>
      </c>
      <c r="AN206" s="974" t="e">
        <f>IF($F206="","",$F206*chronic_consumption!AI206/1000/$C$3)</f>
        <v>#DIV/0!</v>
      </c>
      <c r="AO206" s="974" t="e">
        <f>IF($F206="","",$F206*chronic_consumption!AJ206/1000/$C$3)</f>
        <v>#DIV/0!</v>
      </c>
      <c r="AP206" s="974" t="e">
        <f>IF($F206="","",$F206*chronic_consumption!AK206/1000/$C$3)</f>
        <v>#DIV/0!</v>
      </c>
      <c r="AQ206" s="974" t="e">
        <f>IF($F206="","",$F206*chronic_consumption!AL206/1000/$C$3)</f>
        <v>#DIV/0!</v>
      </c>
      <c r="AR206" s="974" t="e">
        <f>IF($F206="","",$F206*chronic_consumption!AM206/1000/$C$3)</f>
        <v>#DIV/0!</v>
      </c>
      <c r="AS206" s="974" t="e">
        <f>IF($F206="","",$F206*chronic_consumption!AN206/1000/$C$3)</f>
        <v>#DIV/0!</v>
      </c>
      <c r="AT206" s="974" t="e">
        <f>IF($F206="","",$F206*chronic_consumption!AO206/1000/$C$3)</f>
        <v>#DIV/0!</v>
      </c>
      <c r="AU206" s="974"/>
      <c r="AV206" s="974" t="e">
        <f>IF($F206="","",$F206*chronic_consumption!AQ206/1000/$C$3)</f>
        <v>#DIV/0!</v>
      </c>
      <c r="AW206" s="974" t="e">
        <f>IF($F206="","",$F206*chronic_consumption!AR206/1000/$C$3)</f>
        <v>#DIV/0!</v>
      </c>
      <c r="AX206" s="974" t="e">
        <f>IF($F206="","",$F206*chronic_consumption!AS206/1000/$C$3)</f>
        <v>#DIV/0!</v>
      </c>
      <c r="AY206" s="974" t="e">
        <f>IF($F206="","",$F206*chronic_consumption!AT206/1000/$C$3)</f>
        <v>#DIV/0!</v>
      </c>
      <c r="AZ206" s="973" t="s">
        <v>19</v>
      </c>
      <c r="BA206" s="969" t="e">
        <f t="shared" si="19"/>
        <v>#DIV/0!</v>
      </c>
      <c r="BB206" s="970" t="e">
        <f t="shared" si="20"/>
        <v>#DIV/0!</v>
      </c>
      <c r="BC206" s="971" t="e">
        <f t="shared" ca="1" si="21"/>
        <v>#DIV/0!</v>
      </c>
      <c r="BD206" s="228">
        <f>input_values!Z206</f>
        <v>4</v>
      </c>
      <c r="BE206" s="152">
        <f>input_values!L206</f>
        <v>0</v>
      </c>
      <c r="BF206" s="972" t="str">
        <f t="shared" si="22"/>
        <v/>
      </c>
    </row>
    <row r="207" spans="1:58" ht="12" customHeight="1" outlineLevel="2" x14ac:dyDescent="0.2">
      <c r="A207" s="314">
        <v>2</v>
      </c>
      <c r="B207" s="131">
        <v>280000</v>
      </c>
      <c r="C207" s="131" t="s">
        <v>235</v>
      </c>
      <c r="D207" s="965">
        <f>Table22[[#This Row],[MRL individual commodity]]</f>
        <v>0</v>
      </c>
      <c r="E207" s="300">
        <f>Table22[[#This Row],[LOQ_label]]</f>
        <v>0</v>
      </c>
      <c r="F207" s="966">
        <f>Table22[[#This Row],[Chronic RA input value]]</f>
        <v>0</v>
      </c>
      <c r="G207" s="304">
        <f>Table22[[#This Row],[Chronic RA label]]</f>
        <v>0</v>
      </c>
      <c r="H207" s="304">
        <f>Table22[[#This Row],[GAP under assessment]]</f>
        <v>0</v>
      </c>
      <c r="I207" s="1123"/>
      <c r="J207" s="967" t="e">
        <f>IF($F207="","",$F207*chronic_consumption!$E207/1000/$C$3)</f>
        <v>#DIV/0!</v>
      </c>
      <c r="K207" s="967" t="e">
        <f>IF($F207="","",$F207*chronic_consumption!F207/1000/$C$3)</f>
        <v>#DIV/0!</v>
      </c>
      <c r="L207" s="967" t="e">
        <f>IF($F207="","",$F207*chronic_consumption!G207/1000/$C$3)</f>
        <v>#DIV/0!</v>
      </c>
      <c r="M207" s="967" t="e">
        <f>IF($F207="","",$F207*chronic_consumption!H207/1000/$C$3)</f>
        <v>#DIV/0!</v>
      </c>
      <c r="N207" s="967" t="e">
        <f>IF($F207="","",$F207*chronic_consumption!I207/1000/$C$3)</f>
        <v>#DIV/0!</v>
      </c>
      <c r="O207" s="967" t="e">
        <f>IF($F207="","",$F207*chronic_consumption!J207/1000/$C$3)</f>
        <v>#DIV/0!</v>
      </c>
      <c r="P207" s="967" t="e">
        <f>IF($F207="","",$F207*chronic_consumption!K207/1000/$C$3)</f>
        <v>#DIV/0!</v>
      </c>
      <c r="Q207" s="967" t="e">
        <f>IF($F207="","",$F207*chronic_consumption!L207/1000/$C$3)</f>
        <v>#DIV/0!</v>
      </c>
      <c r="R207" s="967" t="e">
        <f>IF($F207="","",$F207*chronic_consumption!M207/1000/$C$3)</f>
        <v>#DIV/0!</v>
      </c>
      <c r="S207" s="967" t="e">
        <f>IF($F207="","",$F207*chronic_consumption!N207/1000/$C$3)</f>
        <v>#DIV/0!</v>
      </c>
      <c r="T207" s="967" t="e">
        <f>IF($F207="","",$F207*chronic_consumption!O207/1000/$C$3)</f>
        <v>#DIV/0!</v>
      </c>
      <c r="U207" s="967" t="e">
        <f>IF($F207="","",$F207*chronic_consumption!P207/1000/$C$3)</f>
        <v>#DIV/0!</v>
      </c>
      <c r="V207" s="967" t="e">
        <f>IF($F207="","",$F207*chronic_consumption!Q207/1000/$C$3)</f>
        <v>#DIV/0!</v>
      </c>
      <c r="W207" s="967" t="e">
        <f>IF($F207="","",$F207*chronic_consumption!R207/1000/$C$3)</f>
        <v>#DIV/0!</v>
      </c>
      <c r="X207" s="967" t="e">
        <f>IF($F207="","",$F207*chronic_consumption!S207/1000/$C$3)</f>
        <v>#DIV/0!</v>
      </c>
      <c r="Y207" s="967" t="e">
        <f>IF($F207="","",$F207*chronic_consumption!T207/1000/$C$3)</f>
        <v>#DIV/0!</v>
      </c>
      <c r="Z207" s="967" t="e">
        <f>IF($F207="","",$F207*chronic_consumption!U207/1000/$C$3)</f>
        <v>#DIV/0!</v>
      </c>
      <c r="AA207" s="967" t="e">
        <f>IF($F207="","",$F207*chronic_consumption!V207/1000/$C$3)</f>
        <v>#DIV/0!</v>
      </c>
      <c r="AB207" s="967" t="e">
        <f>IF($F207="","",$F207*chronic_consumption!W207/1000/$C$3)</f>
        <v>#DIV/0!</v>
      </c>
      <c r="AC207" s="967" t="e">
        <f>IF($F207="","",$F207*chronic_consumption!X207/1000/$C$3)</f>
        <v>#DIV/0!</v>
      </c>
      <c r="AD207" s="967" t="e">
        <f>IF($F207="","",$F207*chronic_consumption!Y207/1000/$C$3)</f>
        <v>#DIV/0!</v>
      </c>
      <c r="AE207" s="967" t="e">
        <f>IF($F207="","",$F207*chronic_consumption!Z207/1000/$C$3)</f>
        <v>#DIV/0!</v>
      </c>
      <c r="AF207" s="967" t="e">
        <f>IF($F207="","",$F207*chronic_consumption!AA207/1000/$C$3)</f>
        <v>#DIV/0!</v>
      </c>
      <c r="AG207" s="967" t="e">
        <f>IF($F207="","",$F207*chronic_consumption!AB207/1000/$C$3)</f>
        <v>#DIV/0!</v>
      </c>
      <c r="AH207" s="967" t="e">
        <f>IF($F207="","",$F207*chronic_consumption!AC207/1000/$C$3)</f>
        <v>#DIV/0!</v>
      </c>
      <c r="AI207" s="967" t="e">
        <f>IF($F207="","",$F207*chronic_consumption!AD207/1000/$C$3)</f>
        <v>#DIV/0!</v>
      </c>
      <c r="AJ207" s="967" t="e">
        <f>IF($F207="","",$F207*chronic_consumption!AE207/1000/$C$3)</f>
        <v>#DIV/0!</v>
      </c>
      <c r="AK207" s="967" t="e">
        <f>IF($F207="","",$F207*chronic_consumption!AF207/1000/$C$3)</f>
        <v>#DIV/0!</v>
      </c>
      <c r="AL207" s="967" t="e">
        <f>IF($F207="","",$F207*chronic_consumption!AG207/1000/$C$3)</f>
        <v>#DIV/0!</v>
      </c>
      <c r="AM207" s="967" t="e">
        <f>IF($F207="","",$F207*chronic_consumption!AH207/1000/$C$3)</f>
        <v>#DIV/0!</v>
      </c>
      <c r="AN207" s="967" t="e">
        <f>IF($F207="","",$F207*chronic_consumption!AI207/1000/$C$3)</f>
        <v>#DIV/0!</v>
      </c>
      <c r="AO207" s="967" t="e">
        <f>IF($F207="","",$F207*chronic_consumption!AJ207/1000/$C$3)</f>
        <v>#DIV/0!</v>
      </c>
      <c r="AP207" s="967" t="e">
        <f>IF($F207="","",$F207*chronic_consumption!AK207/1000/$C$3)</f>
        <v>#DIV/0!</v>
      </c>
      <c r="AQ207" s="967" t="e">
        <f>IF($F207="","",$F207*chronic_consumption!AL207/1000/$C$3)</f>
        <v>#DIV/0!</v>
      </c>
      <c r="AR207" s="967" t="e">
        <f>IF($F207="","",$F207*chronic_consumption!AM207/1000/$C$3)</f>
        <v>#DIV/0!</v>
      </c>
      <c r="AS207" s="967" t="e">
        <f>IF($F207="","",$F207*chronic_consumption!AN207/1000/$C$3)</f>
        <v>#DIV/0!</v>
      </c>
      <c r="AT207" s="967" t="e">
        <f>IF($F207="","",$F207*chronic_consumption!AO207/1000/$C$3)</f>
        <v>#DIV/0!</v>
      </c>
      <c r="AU207" s="967"/>
      <c r="AV207" s="967" t="e">
        <f>IF($F207="","",$F207*chronic_consumption!AQ207/1000/$C$3)</f>
        <v>#DIV/0!</v>
      </c>
      <c r="AW207" s="967" t="e">
        <f>IF($F207="","",$F207*chronic_consumption!AR207/1000/$C$3)</f>
        <v>#DIV/0!</v>
      </c>
      <c r="AX207" s="967" t="e">
        <f>IF($F207="","",$F207*chronic_consumption!AS207/1000/$C$3)</f>
        <v>#DIV/0!</v>
      </c>
      <c r="AY207" s="967" t="e">
        <f>IF($F207="","",$F207*chronic_consumption!AT207/1000/$C$3)</f>
        <v>#DIV/0!</v>
      </c>
      <c r="AZ207" s="973"/>
      <c r="BA207" s="969" t="e">
        <f t="shared" si="19"/>
        <v>#DIV/0!</v>
      </c>
      <c r="BB207" s="970" t="e">
        <f t="shared" si="20"/>
        <v>#DIV/0!</v>
      </c>
      <c r="BC207" s="971" t="e">
        <f t="shared" ca="1" si="21"/>
        <v>#DIV/0!</v>
      </c>
      <c r="BD207" s="228">
        <f>input_values!Z207</f>
        <v>4</v>
      </c>
      <c r="BE207" s="152">
        <f>input_values!L207</f>
        <v>0</v>
      </c>
      <c r="BF207" s="972" t="str">
        <f t="shared" si="22"/>
        <v/>
      </c>
    </row>
    <row r="208" spans="1:58" ht="12" customHeight="1" outlineLevel="3" x14ac:dyDescent="0.2">
      <c r="A208" s="21">
        <v>4</v>
      </c>
      <c r="B208" s="23">
        <v>280010</v>
      </c>
      <c r="C208" s="23" t="s">
        <v>236</v>
      </c>
      <c r="D208" s="965">
        <f>Table22[[#This Row],[MRL individual commodity]]</f>
        <v>0</v>
      </c>
      <c r="E208" s="300" t="str">
        <f>Table22[[#This Row],[LOQ_label]]</f>
        <v/>
      </c>
      <c r="F208" s="966">
        <f>Table22[[#This Row],[Chronic RA input value]]</f>
        <v>0</v>
      </c>
      <c r="G208" s="304" t="str">
        <f>Table22[[#This Row],[Chronic RA label]]</f>
        <v/>
      </c>
      <c r="H208" s="304">
        <f>Table22[[#This Row],[GAP under assessment]]</f>
        <v>0</v>
      </c>
      <c r="I208" s="1123"/>
      <c r="J208" s="974" t="e">
        <f>IF($F208="","",$F208*chronic_consumption!$E208/1000/$C$3)</f>
        <v>#DIV/0!</v>
      </c>
      <c r="K208" s="974" t="e">
        <f>IF($F208="","",$F208*chronic_consumption!F208/1000/$C$3)</f>
        <v>#DIV/0!</v>
      </c>
      <c r="L208" s="974" t="e">
        <f>IF($F208="","",$F208*chronic_consumption!G208/1000/$C$3)</f>
        <v>#DIV/0!</v>
      </c>
      <c r="M208" s="974" t="e">
        <f>IF($F208="","",$F208*chronic_consumption!H208/1000/$C$3)</f>
        <v>#DIV/0!</v>
      </c>
      <c r="N208" s="974" t="e">
        <f>IF($F208="","",$F208*chronic_consumption!I208/1000/$C$3)</f>
        <v>#DIV/0!</v>
      </c>
      <c r="O208" s="974" t="e">
        <f>IF($F208="","",$F208*chronic_consumption!J208/1000/$C$3)</f>
        <v>#DIV/0!</v>
      </c>
      <c r="P208" s="974" t="e">
        <f>IF($F208="","",$F208*chronic_consumption!K208/1000/$C$3)</f>
        <v>#DIV/0!</v>
      </c>
      <c r="Q208" s="974" t="e">
        <f>IF($F208="","",$F208*chronic_consumption!L208/1000/$C$3)</f>
        <v>#DIV/0!</v>
      </c>
      <c r="R208" s="974" t="e">
        <f>IF($F208="","",$F208*chronic_consumption!M208/1000/$C$3)</f>
        <v>#DIV/0!</v>
      </c>
      <c r="S208" s="974" t="e">
        <f>IF($F208="","",$F208*chronic_consumption!N208/1000/$C$3)</f>
        <v>#DIV/0!</v>
      </c>
      <c r="T208" s="974" t="e">
        <f>IF($F208="","",$F208*chronic_consumption!O208/1000/$C$3)</f>
        <v>#DIV/0!</v>
      </c>
      <c r="U208" s="974" t="e">
        <f>IF($F208="","",$F208*chronic_consumption!P208/1000/$C$3)</f>
        <v>#DIV/0!</v>
      </c>
      <c r="V208" s="974" t="e">
        <f>IF($F208="","",$F208*chronic_consumption!Q208/1000/$C$3)</f>
        <v>#DIV/0!</v>
      </c>
      <c r="W208" s="974" t="e">
        <f>IF($F208="","",$F208*chronic_consumption!R208/1000/$C$3)</f>
        <v>#DIV/0!</v>
      </c>
      <c r="X208" s="974" t="e">
        <f>IF($F208="","",$F208*chronic_consumption!S208/1000/$C$3)</f>
        <v>#DIV/0!</v>
      </c>
      <c r="Y208" s="974" t="e">
        <f>IF($F208="","",$F208*chronic_consumption!T208/1000/$C$3)</f>
        <v>#DIV/0!</v>
      </c>
      <c r="Z208" s="974" t="e">
        <f>IF($F208="","",$F208*chronic_consumption!U208/1000/$C$3)</f>
        <v>#DIV/0!</v>
      </c>
      <c r="AA208" s="974" t="e">
        <f>IF($F208="","",$F208*chronic_consumption!V208/1000/$C$3)</f>
        <v>#DIV/0!</v>
      </c>
      <c r="AB208" s="974" t="e">
        <f>IF($F208="","",$F208*chronic_consumption!W208/1000/$C$3)</f>
        <v>#DIV/0!</v>
      </c>
      <c r="AC208" s="974" t="e">
        <f>IF($F208="","",$F208*chronic_consumption!X208/1000/$C$3)</f>
        <v>#DIV/0!</v>
      </c>
      <c r="AD208" s="974" t="e">
        <f>IF($F208="","",$F208*chronic_consumption!Y208/1000/$C$3)</f>
        <v>#DIV/0!</v>
      </c>
      <c r="AE208" s="974" t="e">
        <f>IF($F208="","",$F208*chronic_consumption!Z208/1000/$C$3)</f>
        <v>#DIV/0!</v>
      </c>
      <c r="AF208" s="974" t="e">
        <f>IF($F208="","",$F208*chronic_consumption!AA208/1000/$C$3)</f>
        <v>#DIV/0!</v>
      </c>
      <c r="AG208" s="974" t="e">
        <f>IF($F208="","",$F208*chronic_consumption!AB208/1000/$C$3)</f>
        <v>#DIV/0!</v>
      </c>
      <c r="AH208" s="974" t="e">
        <f>IF($F208="","",$F208*chronic_consumption!AC208/1000/$C$3)</f>
        <v>#DIV/0!</v>
      </c>
      <c r="AI208" s="974" t="e">
        <f>IF($F208="","",$F208*chronic_consumption!AD208/1000/$C$3)</f>
        <v>#DIV/0!</v>
      </c>
      <c r="AJ208" s="974" t="e">
        <f>IF($F208="","",$F208*chronic_consumption!AE208/1000/$C$3)</f>
        <v>#DIV/0!</v>
      </c>
      <c r="AK208" s="974" t="e">
        <f>IF($F208="","",$F208*chronic_consumption!AF208/1000/$C$3)</f>
        <v>#DIV/0!</v>
      </c>
      <c r="AL208" s="974" t="e">
        <f>IF($F208="","",$F208*chronic_consumption!AG208/1000/$C$3)</f>
        <v>#DIV/0!</v>
      </c>
      <c r="AM208" s="974" t="e">
        <f>IF($F208="","",$F208*chronic_consumption!AH208/1000/$C$3)</f>
        <v>#DIV/0!</v>
      </c>
      <c r="AN208" s="974" t="e">
        <f>IF($F208="","",$F208*chronic_consumption!AI208/1000/$C$3)</f>
        <v>#DIV/0!</v>
      </c>
      <c r="AO208" s="974" t="e">
        <f>IF($F208="","",$F208*chronic_consumption!AJ208/1000/$C$3)</f>
        <v>#DIV/0!</v>
      </c>
      <c r="AP208" s="974" t="e">
        <f>IF($F208="","",$F208*chronic_consumption!AK208/1000/$C$3)</f>
        <v>#DIV/0!</v>
      </c>
      <c r="AQ208" s="974" t="e">
        <f>IF($F208="","",$F208*chronic_consumption!AL208/1000/$C$3)</f>
        <v>#DIV/0!</v>
      </c>
      <c r="AR208" s="974" t="e">
        <f>IF($F208="","",$F208*chronic_consumption!AM208/1000/$C$3)</f>
        <v>#DIV/0!</v>
      </c>
      <c r="AS208" s="974" t="e">
        <f>IF($F208="","",$F208*chronic_consumption!AN208/1000/$C$3)</f>
        <v>#DIV/0!</v>
      </c>
      <c r="AT208" s="974" t="e">
        <f>IF($F208="","",$F208*chronic_consumption!AO208/1000/$C$3)</f>
        <v>#DIV/0!</v>
      </c>
      <c r="AU208" s="974"/>
      <c r="AV208" s="974" t="e">
        <f>IF($F208="","",$F208*chronic_consumption!AQ208/1000/$C$3)</f>
        <v>#DIV/0!</v>
      </c>
      <c r="AW208" s="974" t="e">
        <f>IF($F208="","",$F208*chronic_consumption!AR208/1000/$C$3)</f>
        <v>#DIV/0!</v>
      </c>
      <c r="AX208" s="974" t="e">
        <f>IF($F208="","",$F208*chronic_consumption!AS208/1000/$C$3)</f>
        <v>#DIV/0!</v>
      </c>
      <c r="AY208" s="974" t="e">
        <f>IF($F208="","",$F208*chronic_consumption!AT208/1000/$C$3)</f>
        <v>#DIV/0!</v>
      </c>
      <c r="AZ208" s="973" t="s">
        <v>19</v>
      </c>
      <c r="BA208" s="969" t="e">
        <f t="shared" si="19"/>
        <v>#DIV/0!</v>
      </c>
      <c r="BB208" s="970" t="e">
        <f t="shared" si="20"/>
        <v>#DIV/0!</v>
      </c>
      <c r="BC208" s="971" t="e">
        <f t="shared" ca="1" si="21"/>
        <v>#DIV/0!</v>
      </c>
      <c r="BD208" s="228">
        <f>input_values!Z208</f>
        <v>4</v>
      </c>
      <c r="BE208" s="152">
        <f>input_values!L208</f>
        <v>0</v>
      </c>
      <c r="BF208" s="972" t="str">
        <f t="shared" si="22"/>
        <v/>
      </c>
    </row>
    <row r="209" spans="1:58" ht="12" customHeight="1" outlineLevel="3" x14ac:dyDescent="0.2">
      <c r="A209" s="21">
        <v>4</v>
      </c>
      <c r="B209" s="23">
        <v>280020</v>
      </c>
      <c r="C209" s="23" t="s">
        <v>237</v>
      </c>
      <c r="D209" s="965">
        <f>Table22[[#This Row],[MRL individual commodity]]</f>
        <v>0</v>
      </c>
      <c r="E209" s="300" t="str">
        <f>Table22[[#This Row],[LOQ_label]]</f>
        <v/>
      </c>
      <c r="F209" s="966">
        <f>Table22[[#This Row],[Chronic RA input value]]</f>
        <v>0</v>
      </c>
      <c r="G209" s="304" t="str">
        <f>Table22[[#This Row],[Chronic RA label]]</f>
        <v/>
      </c>
      <c r="H209" s="304">
        <f>Table22[[#This Row],[GAP under assessment]]</f>
        <v>0</v>
      </c>
      <c r="I209" s="1123"/>
      <c r="J209" s="974" t="e">
        <f>IF($F209="","",$F209*chronic_consumption!$E209/1000/$C$3)</f>
        <v>#DIV/0!</v>
      </c>
      <c r="K209" s="974" t="e">
        <f>IF($F209="","",$F209*chronic_consumption!F209/1000/$C$3)</f>
        <v>#DIV/0!</v>
      </c>
      <c r="L209" s="974" t="e">
        <f>IF($F209="","",$F209*chronic_consumption!G209/1000/$C$3)</f>
        <v>#DIV/0!</v>
      </c>
      <c r="M209" s="974" t="e">
        <f>IF($F209="","",$F209*chronic_consumption!H209/1000/$C$3)</f>
        <v>#DIV/0!</v>
      </c>
      <c r="N209" s="974" t="e">
        <f>IF($F209="","",$F209*chronic_consumption!I209/1000/$C$3)</f>
        <v>#DIV/0!</v>
      </c>
      <c r="O209" s="974" t="e">
        <f>IF($F209="","",$F209*chronic_consumption!J209/1000/$C$3)</f>
        <v>#DIV/0!</v>
      </c>
      <c r="P209" s="974" t="e">
        <f>IF($F209="","",$F209*chronic_consumption!K209/1000/$C$3)</f>
        <v>#DIV/0!</v>
      </c>
      <c r="Q209" s="974" t="e">
        <f>IF($F209="","",$F209*chronic_consumption!L209/1000/$C$3)</f>
        <v>#DIV/0!</v>
      </c>
      <c r="R209" s="974" t="e">
        <f>IF($F209="","",$F209*chronic_consumption!M209/1000/$C$3)</f>
        <v>#DIV/0!</v>
      </c>
      <c r="S209" s="974" t="e">
        <f>IF($F209="","",$F209*chronic_consumption!N209/1000/$C$3)</f>
        <v>#DIV/0!</v>
      </c>
      <c r="T209" s="974" t="e">
        <f>IF($F209="","",$F209*chronic_consumption!O209/1000/$C$3)</f>
        <v>#DIV/0!</v>
      </c>
      <c r="U209" s="974" t="e">
        <f>IF($F209="","",$F209*chronic_consumption!P209/1000/$C$3)</f>
        <v>#DIV/0!</v>
      </c>
      <c r="V209" s="974" t="e">
        <f>IF($F209="","",$F209*chronic_consumption!Q209/1000/$C$3)</f>
        <v>#DIV/0!</v>
      </c>
      <c r="W209" s="974" t="e">
        <f>IF($F209="","",$F209*chronic_consumption!R209/1000/$C$3)</f>
        <v>#DIV/0!</v>
      </c>
      <c r="X209" s="974" t="e">
        <f>IF($F209="","",$F209*chronic_consumption!S209/1000/$C$3)</f>
        <v>#DIV/0!</v>
      </c>
      <c r="Y209" s="974" t="e">
        <f>IF($F209="","",$F209*chronic_consumption!T209/1000/$C$3)</f>
        <v>#DIV/0!</v>
      </c>
      <c r="Z209" s="974" t="e">
        <f>IF($F209="","",$F209*chronic_consumption!U209/1000/$C$3)</f>
        <v>#DIV/0!</v>
      </c>
      <c r="AA209" s="974" t="e">
        <f>IF($F209="","",$F209*chronic_consumption!V209/1000/$C$3)</f>
        <v>#DIV/0!</v>
      </c>
      <c r="AB209" s="974" t="e">
        <f>IF($F209="","",$F209*chronic_consumption!W209/1000/$C$3)</f>
        <v>#DIV/0!</v>
      </c>
      <c r="AC209" s="974" t="e">
        <f>IF($F209="","",$F209*chronic_consumption!X209/1000/$C$3)</f>
        <v>#DIV/0!</v>
      </c>
      <c r="AD209" s="974" t="e">
        <f>IF($F209="","",$F209*chronic_consumption!Y209/1000/$C$3)</f>
        <v>#DIV/0!</v>
      </c>
      <c r="AE209" s="974" t="e">
        <f>IF($F209="","",$F209*chronic_consumption!Z209/1000/$C$3)</f>
        <v>#DIV/0!</v>
      </c>
      <c r="AF209" s="974" t="e">
        <f>IF($F209="","",$F209*chronic_consumption!AA209/1000/$C$3)</f>
        <v>#DIV/0!</v>
      </c>
      <c r="AG209" s="974" t="e">
        <f>IF($F209="","",$F209*chronic_consumption!AB209/1000/$C$3)</f>
        <v>#DIV/0!</v>
      </c>
      <c r="AH209" s="974" t="e">
        <f>IF($F209="","",$F209*chronic_consumption!AC209/1000/$C$3)</f>
        <v>#DIV/0!</v>
      </c>
      <c r="AI209" s="974" t="e">
        <f>IF($F209="","",$F209*chronic_consumption!AD209/1000/$C$3)</f>
        <v>#DIV/0!</v>
      </c>
      <c r="AJ209" s="974" t="e">
        <f>IF($F209="","",$F209*chronic_consumption!AE209/1000/$C$3)</f>
        <v>#DIV/0!</v>
      </c>
      <c r="AK209" s="974" t="e">
        <f>IF($F209="","",$F209*chronic_consumption!AF209/1000/$C$3)</f>
        <v>#DIV/0!</v>
      </c>
      <c r="AL209" s="974" t="e">
        <f>IF($F209="","",$F209*chronic_consumption!AG209/1000/$C$3)</f>
        <v>#DIV/0!</v>
      </c>
      <c r="AM209" s="974" t="e">
        <f>IF($F209="","",$F209*chronic_consumption!AH209/1000/$C$3)</f>
        <v>#DIV/0!</v>
      </c>
      <c r="AN209" s="974" t="e">
        <f>IF($F209="","",$F209*chronic_consumption!AI209/1000/$C$3)</f>
        <v>#DIV/0!</v>
      </c>
      <c r="AO209" s="974" t="e">
        <f>IF($F209="","",$F209*chronic_consumption!AJ209/1000/$C$3)</f>
        <v>#DIV/0!</v>
      </c>
      <c r="AP209" s="974" t="e">
        <f>IF($F209="","",$F209*chronic_consumption!AK209/1000/$C$3)</f>
        <v>#DIV/0!</v>
      </c>
      <c r="AQ209" s="974" t="e">
        <f>IF($F209="","",$F209*chronic_consumption!AL209/1000/$C$3)</f>
        <v>#DIV/0!</v>
      </c>
      <c r="AR209" s="974" t="e">
        <f>IF($F209="","",$F209*chronic_consumption!AM209/1000/$C$3)</f>
        <v>#DIV/0!</v>
      </c>
      <c r="AS209" s="974" t="e">
        <f>IF($F209="","",$F209*chronic_consumption!AN209/1000/$C$3)</f>
        <v>#DIV/0!</v>
      </c>
      <c r="AT209" s="974" t="e">
        <f>IF($F209="","",$F209*chronic_consumption!AO209/1000/$C$3)</f>
        <v>#DIV/0!</v>
      </c>
      <c r="AU209" s="974"/>
      <c r="AV209" s="974" t="e">
        <f>IF($F209="","",$F209*chronic_consumption!AQ209/1000/$C$3)</f>
        <v>#DIV/0!</v>
      </c>
      <c r="AW209" s="974" t="e">
        <f>IF($F209="","",$F209*chronic_consumption!AR209/1000/$C$3)</f>
        <v>#DIV/0!</v>
      </c>
      <c r="AX209" s="974" t="e">
        <f>IF($F209="","",$F209*chronic_consumption!AS209/1000/$C$3)</f>
        <v>#DIV/0!</v>
      </c>
      <c r="AY209" s="974" t="e">
        <f>IF($F209="","",$F209*chronic_consumption!AT209/1000/$C$3)</f>
        <v>#DIV/0!</v>
      </c>
      <c r="AZ209" s="973" t="s">
        <v>19</v>
      </c>
      <c r="BA209" s="969" t="e">
        <f t="shared" si="19"/>
        <v>#DIV/0!</v>
      </c>
      <c r="BB209" s="970" t="e">
        <f t="shared" si="20"/>
        <v>#DIV/0!</v>
      </c>
      <c r="BC209" s="971" t="e">
        <f t="shared" ca="1" si="21"/>
        <v>#DIV/0!</v>
      </c>
      <c r="BD209" s="228">
        <f>input_values!Z209</f>
        <v>4</v>
      </c>
      <c r="BE209" s="152">
        <f>input_values!L209</f>
        <v>0</v>
      </c>
      <c r="BF209" s="972" t="str">
        <f t="shared" si="22"/>
        <v/>
      </c>
    </row>
    <row r="210" spans="1:58" ht="12" customHeight="1" outlineLevel="3" x14ac:dyDescent="0.2">
      <c r="A210" s="21">
        <v>4</v>
      </c>
      <c r="B210" s="23">
        <v>280990</v>
      </c>
      <c r="C210" s="23" t="s">
        <v>740</v>
      </c>
      <c r="D210" s="965">
        <f>Table22[[#This Row],[MRL individual commodity]]</f>
        <v>0</v>
      </c>
      <c r="E210" s="300" t="str">
        <f>Table22[[#This Row],[LOQ_label]]</f>
        <v/>
      </c>
      <c r="F210" s="966">
        <f>Table22[[#This Row],[Chronic RA input value]]</f>
        <v>0</v>
      </c>
      <c r="G210" s="304" t="str">
        <f>Table22[[#This Row],[Chronic RA label]]</f>
        <v/>
      </c>
      <c r="H210" s="304">
        <f>Table22[[#This Row],[GAP under assessment]]</f>
        <v>0</v>
      </c>
      <c r="I210" s="1123"/>
      <c r="J210" s="974" t="e">
        <f>IF($F210="","",$F210*chronic_consumption!$E210/1000/$C$3)</f>
        <v>#DIV/0!</v>
      </c>
      <c r="K210" s="974" t="e">
        <f>IF($F210="","",$F210*chronic_consumption!F210/1000/$C$3)</f>
        <v>#DIV/0!</v>
      </c>
      <c r="L210" s="974" t="e">
        <f>IF($F210="","",$F210*chronic_consumption!G210/1000/$C$3)</f>
        <v>#DIV/0!</v>
      </c>
      <c r="M210" s="974" t="e">
        <f>IF($F210="","",$F210*chronic_consumption!H210/1000/$C$3)</f>
        <v>#DIV/0!</v>
      </c>
      <c r="N210" s="974" t="e">
        <f>IF($F210="","",$F210*chronic_consumption!I210/1000/$C$3)</f>
        <v>#DIV/0!</v>
      </c>
      <c r="O210" s="974" t="e">
        <f>IF($F210="","",$F210*chronic_consumption!J210/1000/$C$3)</f>
        <v>#DIV/0!</v>
      </c>
      <c r="P210" s="974" t="e">
        <f>IF($F210="","",$F210*chronic_consumption!K210/1000/$C$3)</f>
        <v>#DIV/0!</v>
      </c>
      <c r="Q210" s="974" t="e">
        <f>IF($F210="","",$F210*chronic_consumption!L210/1000/$C$3)</f>
        <v>#DIV/0!</v>
      </c>
      <c r="R210" s="974" t="e">
        <f>IF($F210="","",$F210*chronic_consumption!M210/1000/$C$3)</f>
        <v>#DIV/0!</v>
      </c>
      <c r="S210" s="974" t="e">
        <f>IF($F210="","",$F210*chronic_consumption!N210/1000/$C$3)</f>
        <v>#DIV/0!</v>
      </c>
      <c r="T210" s="974" t="e">
        <f>IF($F210="","",$F210*chronic_consumption!O210/1000/$C$3)</f>
        <v>#DIV/0!</v>
      </c>
      <c r="U210" s="974" t="e">
        <f>IF($F210="","",$F210*chronic_consumption!P210/1000/$C$3)</f>
        <v>#DIV/0!</v>
      </c>
      <c r="V210" s="974" t="e">
        <f>IF($F210="","",$F210*chronic_consumption!Q210/1000/$C$3)</f>
        <v>#DIV/0!</v>
      </c>
      <c r="W210" s="974" t="e">
        <f>IF($F210="","",$F210*chronic_consumption!R210/1000/$C$3)</f>
        <v>#DIV/0!</v>
      </c>
      <c r="X210" s="974" t="e">
        <f>IF($F210="","",$F210*chronic_consumption!S210/1000/$C$3)</f>
        <v>#DIV/0!</v>
      </c>
      <c r="Y210" s="974" t="e">
        <f>IF($F210="","",$F210*chronic_consumption!T210/1000/$C$3)</f>
        <v>#DIV/0!</v>
      </c>
      <c r="Z210" s="974" t="e">
        <f>IF($F210="","",$F210*chronic_consumption!U210/1000/$C$3)</f>
        <v>#DIV/0!</v>
      </c>
      <c r="AA210" s="974" t="e">
        <f>IF($F210="","",$F210*chronic_consumption!V210/1000/$C$3)</f>
        <v>#DIV/0!</v>
      </c>
      <c r="AB210" s="974" t="e">
        <f>IF($F210="","",$F210*chronic_consumption!W210/1000/$C$3)</f>
        <v>#DIV/0!</v>
      </c>
      <c r="AC210" s="974" t="e">
        <f>IF($F210="","",$F210*chronic_consumption!X210/1000/$C$3)</f>
        <v>#DIV/0!</v>
      </c>
      <c r="AD210" s="974" t="e">
        <f>IF($F210="","",$F210*chronic_consumption!Y210/1000/$C$3)</f>
        <v>#DIV/0!</v>
      </c>
      <c r="AE210" s="974" t="e">
        <f>IF($F210="","",$F210*chronic_consumption!Z210/1000/$C$3)</f>
        <v>#DIV/0!</v>
      </c>
      <c r="AF210" s="974" t="e">
        <f>IF($F210="","",$F210*chronic_consumption!AA210/1000/$C$3)</f>
        <v>#DIV/0!</v>
      </c>
      <c r="AG210" s="974" t="e">
        <f>IF($F210="","",$F210*chronic_consumption!AB210/1000/$C$3)</f>
        <v>#DIV/0!</v>
      </c>
      <c r="AH210" s="974" t="e">
        <f>IF($F210="","",$F210*chronic_consumption!AC210/1000/$C$3)</f>
        <v>#DIV/0!</v>
      </c>
      <c r="AI210" s="974" t="e">
        <f>IF($F210="","",$F210*chronic_consumption!AD210/1000/$C$3)</f>
        <v>#DIV/0!</v>
      </c>
      <c r="AJ210" s="974" t="e">
        <f>IF($F210="","",$F210*chronic_consumption!AE210/1000/$C$3)</f>
        <v>#DIV/0!</v>
      </c>
      <c r="AK210" s="974" t="e">
        <f>IF($F210="","",$F210*chronic_consumption!AF210/1000/$C$3)</f>
        <v>#DIV/0!</v>
      </c>
      <c r="AL210" s="974" t="e">
        <f>IF($F210="","",$F210*chronic_consumption!AG210/1000/$C$3)</f>
        <v>#DIV/0!</v>
      </c>
      <c r="AM210" s="974" t="e">
        <f>IF($F210="","",$F210*chronic_consumption!AH210/1000/$C$3)</f>
        <v>#DIV/0!</v>
      </c>
      <c r="AN210" s="974" t="e">
        <f>IF($F210="","",$F210*chronic_consumption!AI210/1000/$C$3)</f>
        <v>#DIV/0!</v>
      </c>
      <c r="AO210" s="974" t="e">
        <f>IF($F210="","",$F210*chronic_consumption!AJ210/1000/$C$3)</f>
        <v>#DIV/0!</v>
      </c>
      <c r="AP210" s="974" t="e">
        <f>IF($F210="","",$F210*chronic_consumption!AK210/1000/$C$3)</f>
        <v>#DIV/0!</v>
      </c>
      <c r="AQ210" s="974" t="e">
        <f>IF($F210="","",$F210*chronic_consumption!AL210/1000/$C$3)</f>
        <v>#DIV/0!</v>
      </c>
      <c r="AR210" s="974" t="e">
        <f>IF($F210="","",$F210*chronic_consumption!AM210/1000/$C$3)</f>
        <v>#DIV/0!</v>
      </c>
      <c r="AS210" s="974" t="e">
        <f>IF($F210="","",$F210*chronic_consumption!AN210/1000/$C$3)</f>
        <v>#DIV/0!</v>
      </c>
      <c r="AT210" s="974" t="e">
        <f>IF($F210="","",$F210*chronic_consumption!AO210/1000/$C$3)</f>
        <v>#DIV/0!</v>
      </c>
      <c r="AU210" s="974"/>
      <c r="AV210" s="974" t="e">
        <f>IF($F210="","",$F210*chronic_consumption!AQ210/1000/$C$3)</f>
        <v>#DIV/0!</v>
      </c>
      <c r="AW210" s="974" t="e">
        <f>IF($F210="","",$F210*chronic_consumption!AR210/1000/$C$3)</f>
        <v>#DIV/0!</v>
      </c>
      <c r="AX210" s="974" t="e">
        <f>IF($F210="","",$F210*chronic_consumption!AS210/1000/$C$3)</f>
        <v>#DIV/0!</v>
      </c>
      <c r="AY210" s="974" t="e">
        <f>IF($F210="","",$F210*chronic_consumption!AT210/1000/$C$3)</f>
        <v>#DIV/0!</v>
      </c>
      <c r="AZ210" s="973" t="s">
        <v>19</v>
      </c>
      <c r="BA210" s="969" t="e">
        <f t="shared" si="19"/>
        <v>#DIV/0!</v>
      </c>
      <c r="BB210" s="970" t="e">
        <f t="shared" si="20"/>
        <v>#DIV/0!</v>
      </c>
      <c r="BC210" s="971" t="e">
        <f t="shared" ca="1" si="21"/>
        <v>#DIV/0!</v>
      </c>
      <c r="BD210" s="228">
        <f>input_values!Z210</f>
        <v>4</v>
      </c>
      <c r="BE210" s="152">
        <f>input_values!L210</f>
        <v>0</v>
      </c>
      <c r="BF210" s="972" t="str">
        <f t="shared" si="22"/>
        <v/>
      </c>
    </row>
    <row r="211" spans="1:58" ht="12" customHeight="1" outlineLevel="1" x14ac:dyDescent="0.2">
      <c r="A211" s="314">
        <v>2</v>
      </c>
      <c r="B211" s="131">
        <v>290000</v>
      </c>
      <c r="C211" s="131" t="s">
        <v>741</v>
      </c>
      <c r="D211" s="965">
        <f>Table22[[#This Row],[MRL individual commodity]]</f>
        <v>0</v>
      </c>
      <c r="E211" s="300" t="str">
        <f>Table22[[#This Row],[LOQ_label]]</f>
        <v/>
      </c>
      <c r="F211" s="966">
        <f>Table22[[#This Row],[Chronic RA input value]]</f>
        <v>0</v>
      </c>
      <c r="G211" s="304" t="str">
        <f>Table22[[#This Row],[Chronic RA label]]</f>
        <v/>
      </c>
      <c r="H211" s="304">
        <f>Table22[[#This Row],[GAP under assessment]]</f>
        <v>0</v>
      </c>
      <c r="I211" s="1123"/>
      <c r="J211" s="974" t="e">
        <f>IF($F211="","",$F211*chronic_consumption!$E211/1000/$C$3)</f>
        <v>#DIV/0!</v>
      </c>
      <c r="K211" s="974" t="e">
        <f>IF($F211="","",$F211*chronic_consumption!F211/1000/$C$3)</f>
        <v>#DIV/0!</v>
      </c>
      <c r="L211" s="974" t="e">
        <f>IF($F211="","",$F211*chronic_consumption!G211/1000/$C$3)</f>
        <v>#DIV/0!</v>
      </c>
      <c r="M211" s="974" t="e">
        <f>IF($F211="","",$F211*chronic_consumption!H211/1000/$C$3)</f>
        <v>#DIV/0!</v>
      </c>
      <c r="N211" s="974" t="e">
        <f>IF($F211="","",$F211*chronic_consumption!I211/1000/$C$3)</f>
        <v>#DIV/0!</v>
      </c>
      <c r="O211" s="974" t="e">
        <f>IF($F211="","",$F211*chronic_consumption!J211/1000/$C$3)</f>
        <v>#DIV/0!</v>
      </c>
      <c r="P211" s="974" t="e">
        <f>IF($F211="","",$F211*chronic_consumption!K211/1000/$C$3)</f>
        <v>#DIV/0!</v>
      </c>
      <c r="Q211" s="974" t="e">
        <f>IF($F211="","",$F211*chronic_consumption!L211/1000/$C$3)</f>
        <v>#DIV/0!</v>
      </c>
      <c r="R211" s="974" t="e">
        <f>IF($F211="","",$F211*chronic_consumption!M211/1000/$C$3)</f>
        <v>#DIV/0!</v>
      </c>
      <c r="S211" s="974" t="e">
        <f>IF($F211="","",$F211*chronic_consumption!N211/1000/$C$3)</f>
        <v>#DIV/0!</v>
      </c>
      <c r="T211" s="974" t="e">
        <f>IF($F211="","",$F211*chronic_consumption!O211/1000/$C$3)</f>
        <v>#DIV/0!</v>
      </c>
      <c r="U211" s="974" t="e">
        <f>IF($F211="","",$F211*chronic_consumption!P211/1000/$C$3)</f>
        <v>#DIV/0!</v>
      </c>
      <c r="V211" s="974" t="e">
        <f>IF($F211="","",$F211*chronic_consumption!Q211/1000/$C$3)</f>
        <v>#DIV/0!</v>
      </c>
      <c r="W211" s="974" t="e">
        <f>IF($F211="","",$F211*chronic_consumption!R211/1000/$C$3)</f>
        <v>#DIV/0!</v>
      </c>
      <c r="X211" s="974" t="e">
        <f>IF($F211="","",$F211*chronic_consumption!S211/1000/$C$3)</f>
        <v>#DIV/0!</v>
      </c>
      <c r="Y211" s="974" t="e">
        <f>IF($F211="","",$F211*chronic_consumption!T211/1000/$C$3)</f>
        <v>#DIV/0!</v>
      </c>
      <c r="Z211" s="974" t="e">
        <f>IF($F211="","",$F211*chronic_consumption!U211/1000/$C$3)</f>
        <v>#DIV/0!</v>
      </c>
      <c r="AA211" s="974" t="e">
        <f>IF($F211="","",$F211*chronic_consumption!V211/1000/$C$3)</f>
        <v>#DIV/0!</v>
      </c>
      <c r="AB211" s="974" t="e">
        <f>IF($F211="","",$F211*chronic_consumption!W211/1000/$C$3)</f>
        <v>#DIV/0!</v>
      </c>
      <c r="AC211" s="974" t="e">
        <f>IF($F211="","",$F211*chronic_consumption!X211/1000/$C$3)</f>
        <v>#DIV/0!</v>
      </c>
      <c r="AD211" s="974" t="e">
        <f>IF($F211="","",$F211*chronic_consumption!Y211/1000/$C$3)</f>
        <v>#DIV/0!</v>
      </c>
      <c r="AE211" s="974" t="e">
        <f>IF($F211="","",$F211*chronic_consumption!Z211/1000/$C$3)</f>
        <v>#DIV/0!</v>
      </c>
      <c r="AF211" s="974" t="e">
        <f>IF($F211="","",$F211*chronic_consumption!AA211/1000/$C$3)</f>
        <v>#DIV/0!</v>
      </c>
      <c r="AG211" s="974" t="e">
        <f>IF($F211="","",$F211*chronic_consumption!AB211/1000/$C$3)</f>
        <v>#DIV/0!</v>
      </c>
      <c r="AH211" s="974" t="e">
        <f>IF($F211="","",$F211*chronic_consumption!AC211/1000/$C$3)</f>
        <v>#DIV/0!</v>
      </c>
      <c r="AI211" s="974" t="e">
        <f>IF($F211="","",$F211*chronic_consumption!AD211/1000/$C$3)</f>
        <v>#DIV/0!</v>
      </c>
      <c r="AJ211" s="974" t="e">
        <f>IF($F211="","",$F211*chronic_consumption!AE211/1000/$C$3)</f>
        <v>#DIV/0!</v>
      </c>
      <c r="AK211" s="974" t="e">
        <f>IF($F211="","",$F211*chronic_consumption!AF211/1000/$C$3)</f>
        <v>#DIV/0!</v>
      </c>
      <c r="AL211" s="974" t="e">
        <f>IF($F211="","",$F211*chronic_consumption!AG211/1000/$C$3)</f>
        <v>#DIV/0!</v>
      </c>
      <c r="AM211" s="974" t="e">
        <f>IF($F211="","",$F211*chronic_consumption!AH211/1000/$C$3)</f>
        <v>#DIV/0!</v>
      </c>
      <c r="AN211" s="974" t="e">
        <f>IF($F211="","",$F211*chronic_consumption!AI211/1000/$C$3)</f>
        <v>#DIV/0!</v>
      </c>
      <c r="AO211" s="974" t="e">
        <f>IF($F211="","",$F211*chronic_consumption!AJ211/1000/$C$3)</f>
        <v>#DIV/0!</v>
      </c>
      <c r="AP211" s="974" t="e">
        <f>IF($F211="","",$F211*chronic_consumption!AK211/1000/$C$3)</f>
        <v>#DIV/0!</v>
      </c>
      <c r="AQ211" s="974" t="e">
        <f>IF($F211="","",$F211*chronic_consumption!AL211/1000/$C$3)</f>
        <v>#DIV/0!</v>
      </c>
      <c r="AR211" s="974" t="e">
        <f>IF($F211="","",$F211*chronic_consumption!AM211/1000/$C$3)</f>
        <v>#DIV/0!</v>
      </c>
      <c r="AS211" s="974" t="e">
        <f>IF($F211="","",$F211*chronic_consumption!AN211/1000/$C$3)</f>
        <v>#DIV/0!</v>
      </c>
      <c r="AT211" s="974" t="e">
        <f>IF($F211="","",$F211*chronic_consumption!AO211/1000/$C$3)</f>
        <v>#DIV/0!</v>
      </c>
      <c r="AU211" s="974"/>
      <c r="AV211" s="974" t="e">
        <f>IF($F211="","",$F211*chronic_consumption!AQ211/1000/$C$3)</f>
        <v>#DIV/0!</v>
      </c>
      <c r="AW211" s="974" t="e">
        <f>IF($F211="","",$F211*chronic_consumption!AR211/1000/$C$3)</f>
        <v>#DIV/0!</v>
      </c>
      <c r="AX211" s="974" t="e">
        <f>IF($F211="","",$F211*chronic_consumption!AS211/1000/$C$3)</f>
        <v>#DIV/0!</v>
      </c>
      <c r="AY211" s="974" t="e">
        <f>IF($F211="","",$F211*chronic_consumption!AT211/1000/$C$3)</f>
        <v>#DIV/0!</v>
      </c>
      <c r="AZ211" s="973" t="s">
        <v>19</v>
      </c>
      <c r="BA211" s="969" t="e">
        <f t="shared" si="19"/>
        <v>#DIV/0!</v>
      </c>
      <c r="BB211" s="970" t="e">
        <f t="shared" si="20"/>
        <v>#DIV/0!</v>
      </c>
      <c r="BC211" s="971" t="e">
        <f t="shared" ca="1" si="21"/>
        <v>#DIV/0!</v>
      </c>
      <c r="BD211" s="228">
        <f>input_values!Z211</f>
        <v>2</v>
      </c>
      <c r="BE211" s="152">
        <f>input_values!L211</f>
        <v>0</v>
      </c>
      <c r="BF211" s="972" t="str">
        <f t="shared" si="22"/>
        <v/>
      </c>
    </row>
    <row r="212" spans="1:58" ht="12" customHeight="1" x14ac:dyDescent="0.2">
      <c r="A212" s="299">
        <v>1</v>
      </c>
      <c r="B212" s="127">
        <v>300000</v>
      </c>
      <c r="C212" s="127" t="s">
        <v>742</v>
      </c>
      <c r="D212" s="965">
        <f>Table22[[#This Row],[MRL individual commodity]]</f>
        <v>0</v>
      </c>
      <c r="E212" s="300">
        <f>Table22[[#This Row],[LOQ_label]]</f>
        <v>0</v>
      </c>
      <c r="F212" s="966">
        <f>Table22[[#This Row],[Chronic RA input value]]</f>
        <v>0</v>
      </c>
      <c r="G212" s="304">
        <f>Table22[[#This Row],[Chronic RA label]]</f>
        <v>0</v>
      </c>
      <c r="H212" s="304">
        <f>Table22[[#This Row],[GAP under assessment]]</f>
        <v>0</v>
      </c>
      <c r="I212" s="1123"/>
      <c r="J212" s="967" t="e">
        <f>IF($F212="","",$F212*chronic_consumption!$E212/1000/$C$3)</f>
        <v>#DIV/0!</v>
      </c>
      <c r="K212" s="967" t="e">
        <f>IF($F212="","",$F212*chronic_consumption!F212/1000/$C$3)</f>
        <v>#DIV/0!</v>
      </c>
      <c r="L212" s="967" t="e">
        <f>IF($F212="","",$F212*chronic_consumption!G212/1000/$C$3)</f>
        <v>#DIV/0!</v>
      </c>
      <c r="M212" s="967" t="e">
        <f>IF($F212="","",$F212*chronic_consumption!H212/1000/$C$3)</f>
        <v>#DIV/0!</v>
      </c>
      <c r="N212" s="967" t="e">
        <f>IF($F212="","",$F212*chronic_consumption!I212/1000/$C$3)</f>
        <v>#DIV/0!</v>
      </c>
      <c r="O212" s="967" t="e">
        <f>IF($F212="","",$F212*chronic_consumption!J212/1000/$C$3)</f>
        <v>#DIV/0!</v>
      </c>
      <c r="P212" s="967" t="e">
        <f>IF($F212="","",$F212*chronic_consumption!K212/1000/$C$3)</f>
        <v>#DIV/0!</v>
      </c>
      <c r="Q212" s="967" t="e">
        <f>IF($F212="","",$F212*chronic_consumption!L212/1000/$C$3)</f>
        <v>#DIV/0!</v>
      </c>
      <c r="R212" s="967" t="e">
        <f>IF($F212="","",$F212*chronic_consumption!M212/1000/$C$3)</f>
        <v>#DIV/0!</v>
      </c>
      <c r="S212" s="967" t="e">
        <f>IF($F212="","",$F212*chronic_consumption!N212/1000/$C$3)</f>
        <v>#DIV/0!</v>
      </c>
      <c r="T212" s="967" t="e">
        <f>IF($F212="","",$F212*chronic_consumption!O212/1000/$C$3)</f>
        <v>#DIV/0!</v>
      </c>
      <c r="U212" s="967" t="e">
        <f>IF($F212="","",$F212*chronic_consumption!P212/1000/$C$3)</f>
        <v>#DIV/0!</v>
      </c>
      <c r="V212" s="967" t="e">
        <f>IF($F212="","",$F212*chronic_consumption!Q212/1000/$C$3)</f>
        <v>#DIV/0!</v>
      </c>
      <c r="W212" s="967" t="e">
        <f>IF($F212="","",$F212*chronic_consumption!R212/1000/$C$3)</f>
        <v>#DIV/0!</v>
      </c>
      <c r="X212" s="967" t="e">
        <f>IF($F212="","",$F212*chronic_consumption!S212/1000/$C$3)</f>
        <v>#DIV/0!</v>
      </c>
      <c r="Y212" s="967" t="e">
        <f>IF($F212="","",$F212*chronic_consumption!T212/1000/$C$3)</f>
        <v>#DIV/0!</v>
      </c>
      <c r="Z212" s="967" t="e">
        <f>IF($F212="","",$F212*chronic_consumption!U212/1000/$C$3)</f>
        <v>#DIV/0!</v>
      </c>
      <c r="AA212" s="967" t="e">
        <f>IF($F212="","",$F212*chronic_consumption!V212/1000/$C$3)</f>
        <v>#DIV/0!</v>
      </c>
      <c r="AB212" s="967" t="e">
        <f>IF($F212="","",$F212*chronic_consumption!W212/1000/$C$3)</f>
        <v>#DIV/0!</v>
      </c>
      <c r="AC212" s="967" t="e">
        <f>IF($F212="","",$F212*chronic_consumption!X212/1000/$C$3)</f>
        <v>#DIV/0!</v>
      </c>
      <c r="AD212" s="967" t="e">
        <f>IF($F212="","",$F212*chronic_consumption!Y212/1000/$C$3)</f>
        <v>#DIV/0!</v>
      </c>
      <c r="AE212" s="967" t="e">
        <f>IF($F212="","",$F212*chronic_consumption!Z212/1000/$C$3)</f>
        <v>#DIV/0!</v>
      </c>
      <c r="AF212" s="967" t="e">
        <f>IF($F212="","",$F212*chronic_consumption!AA212/1000/$C$3)</f>
        <v>#DIV/0!</v>
      </c>
      <c r="AG212" s="967" t="e">
        <f>IF($F212="","",$F212*chronic_consumption!AB212/1000/$C$3)</f>
        <v>#DIV/0!</v>
      </c>
      <c r="AH212" s="967" t="e">
        <f>IF($F212="","",$F212*chronic_consumption!AC212/1000/$C$3)</f>
        <v>#DIV/0!</v>
      </c>
      <c r="AI212" s="967" t="e">
        <f>IF($F212="","",$F212*chronic_consumption!AD212/1000/$C$3)</f>
        <v>#DIV/0!</v>
      </c>
      <c r="AJ212" s="967" t="e">
        <f>IF($F212="","",$F212*chronic_consumption!AE212/1000/$C$3)</f>
        <v>#DIV/0!</v>
      </c>
      <c r="AK212" s="967" t="e">
        <f>IF($F212="","",$F212*chronic_consumption!AF212/1000/$C$3)</f>
        <v>#DIV/0!</v>
      </c>
      <c r="AL212" s="967" t="e">
        <f>IF($F212="","",$F212*chronic_consumption!AG212/1000/$C$3)</f>
        <v>#DIV/0!</v>
      </c>
      <c r="AM212" s="967" t="e">
        <f>IF($F212="","",$F212*chronic_consumption!AH212/1000/$C$3)</f>
        <v>#DIV/0!</v>
      </c>
      <c r="AN212" s="967" t="e">
        <f>IF($F212="","",$F212*chronic_consumption!AI212/1000/$C$3)</f>
        <v>#DIV/0!</v>
      </c>
      <c r="AO212" s="967" t="e">
        <f>IF($F212="","",$F212*chronic_consumption!AJ212/1000/$C$3)</f>
        <v>#DIV/0!</v>
      </c>
      <c r="AP212" s="967" t="e">
        <f>IF($F212="","",$F212*chronic_consumption!AK212/1000/$C$3)</f>
        <v>#DIV/0!</v>
      </c>
      <c r="AQ212" s="967" t="e">
        <f>IF($F212="","",$F212*chronic_consumption!AL212/1000/$C$3)</f>
        <v>#DIV/0!</v>
      </c>
      <c r="AR212" s="967" t="e">
        <f>IF($F212="","",$F212*chronic_consumption!AM212/1000/$C$3)</f>
        <v>#DIV/0!</v>
      </c>
      <c r="AS212" s="967" t="e">
        <f>IF($F212="","",$F212*chronic_consumption!AN212/1000/$C$3)</f>
        <v>#DIV/0!</v>
      </c>
      <c r="AT212" s="967" t="e">
        <f>IF($F212="","",$F212*chronic_consumption!AO212/1000/$C$3)</f>
        <v>#DIV/0!</v>
      </c>
      <c r="AU212" s="967"/>
      <c r="AV212" s="967" t="e">
        <f>IF($F212="","",$F212*chronic_consumption!AQ212/1000/$C$3)</f>
        <v>#DIV/0!</v>
      </c>
      <c r="AW212" s="967" t="e">
        <f>IF($F212="","",$F212*chronic_consumption!AR212/1000/$C$3)</f>
        <v>#DIV/0!</v>
      </c>
      <c r="AX212" s="967" t="e">
        <f>IF($F212="","",$F212*chronic_consumption!AS212/1000/$C$3)</f>
        <v>#DIV/0!</v>
      </c>
      <c r="AY212" s="967" t="e">
        <f>IF($F212="","",$F212*chronic_consumption!AT212/1000/$C$3)</f>
        <v>#DIV/0!</v>
      </c>
      <c r="AZ212" s="973"/>
      <c r="BA212" s="969" t="e">
        <f t="shared" si="19"/>
        <v>#DIV/0!</v>
      </c>
      <c r="BB212" s="970" t="e">
        <f t="shared" si="20"/>
        <v>#DIV/0!</v>
      </c>
      <c r="BC212" s="971" t="e">
        <f t="shared" ca="1" si="21"/>
        <v>#DIV/0!</v>
      </c>
      <c r="BD212" s="228">
        <f>input_values!Z212</f>
        <v>4</v>
      </c>
      <c r="BE212" s="152">
        <f>input_values!L212</f>
        <v>0</v>
      </c>
      <c r="BF212" s="972" t="str">
        <f t="shared" si="22"/>
        <v/>
      </c>
    </row>
    <row r="213" spans="1:58" ht="12" customHeight="1" outlineLevel="3" x14ac:dyDescent="0.2">
      <c r="A213" s="21">
        <v>4</v>
      </c>
      <c r="B213" s="23">
        <v>300010</v>
      </c>
      <c r="C213" s="23" t="s">
        <v>291</v>
      </c>
      <c r="D213" s="965">
        <f>Table22[[#This Row],[MRL individual commodity]]</f>
        <v>0</v>
      </c>
      <c r="E213" s="300" t="str">
        <f>Table22[[#This Row],[LOQ_label]]</f>
        <v/>
      </c>
      <c r="F213" s="966">
        <f>Table22[[#This Row],[Chronic RA input value]]</f>
        <v>0</v>
      </c>
      <c r="G213" s="304" t="str">
        <f>Table22[[#This Row],[Chronic RA label]]</f>
        <v/>
      </c>
      <c r="H213" s="304">
        <f>Table22[[#This Row],[GAP under assessment]]</f>
        <v>0</v>
      </c>
      <c r="I213" s="1123"/>
      <c r="J213" s="974" t="e">
        <f>IF($F213="","",$F213*chronic_consumption!$E213/1000/$C$3)</f>
        <v>#DIV/0!</v>
      </c>
      <c r="K213" s="974" t="e">
        <f>IF($F213="","",$F213*chronic_consumption!F213/1000/$C$3)</f>
        <v>#DIV/0!</v>
      </c>
      <c r="L213" s="974" t="e">
        <f>IF($F213="","",$F213*chronic_consumption!G213/1000/$C$3)</f>
        <v>#DIV/0!</v>
      </c>
      <c r="M213" s="974" t="e">
        <f>IF($F213="","",$F213*chronic_consumption!H213/1000/$C$3)</f>
        <v>#DIV/0!</v>
      </c>
      <c r="N213" s="974" t="e">
        <f>IF($F213="","",$F213*chronic_consumption!I213/1000/$C$3)</f>
        <v>#DIV/0!</v>
      </c>
      <c r="O213" s="974" t="e">
        <f>IF($F213="","",$F213*chronic_consumption!J213/1000/$C$3)</f>
        <v>#DIV/0!</v>
      </c>
      <c r="P213" s="974" t="e">
        <f>IF($F213="","",$F213*chronic_consumption!K213/1000/$C$3)</f>
        <v>#DIV/0!</v>
      </c>
      <c r="Q213" s="974" t="e">
        <f>IF($F213="","",$F213*chronic_consumption!L213/1000/$C$3)</f>
        <v>#DIV/0!</v>
      </c>
      <c r="R213" s="974" t="e">
        <f>IF($F213="","",$F213*chronic_consumption!M213/1000/$C$3)</f>
        <v>#DIV/0!</v>
      </c>
      <c r="S213" s="974" t="e">
        <f>IF($F213="","",$F213*chronic_consumption!N213/1000/$C$3)</f>
        <v>#DIV/0!</v>
      </c>
      <c r="T213" s="974" t="e">
        <f>IF($F213="","",$F213*chronic_consumption!O213/1000/$C$3)</f>
        <v>#DIV/0!</v>
      </c>
      <c r="U213" s="974" t="e">
        <f>IF($F213="","",$F213*chronic_consumption!P213/1000/$C$3)</f>
        <v>#DIV/0!</v>
      </c>
      <c r="V213" s="974" t="e">
        <f>IF($F213="","",$F213*chronic_consumption!Q213/1000/$C$3)</f>
        <v>#DIV/0!</v>
      </c>
      <c r="W213" s="974" t="e">
        <f>IF($F213="","",$F213*chronic_consumption!R213/1000/$C$3)</f>
        <v>#DIV/0!</v>
      </c>
      <c r="X213" s="974" t="e">
        <f>IF($F213="","",$F213*chronic_consumption!S213/1000/$C$3)</f>
        <v>#DIV/0!</v>
      </c>
      <c r="Y213" s="974" t="e">
        <f>IF($F213="","",$F213*chronic_consumption!T213/1000/$C$3)</f>
        <v>#DIV/0!</v>
      </c>
      <c r="Z213" s="974" t="e">
        <f>IF($F213="","",$F213*chronic_consumption!U213/1000/$C$3)</f>
        <v>#DIV/0!</v>
      </c>
      <c r="AA213" s="974" t="e">
        <f>IF($F213="","",$F213*chronic_consumption!V213/1000/$C$3)</f>
        <v>#DIV/0!</v>
      </c>
      <c r="AB213" s="974" t="e">
        <f>IF($F213="","",$F213*chronic_consumption!W213/1000/$C$3)</f>
        <v>#DIV/0!</v>
      </c>
      <c r="AC213" s="974" t="e">
        <f>IF($F213="","",$F213*chronic_consumption!X213/1000/$C$3)</f>
        <v>#DIV/0!</v>
      </c>
      <c r="AD213" s="974" t="e">
        <f>IF($F213="","",$F213*chronic_consumption!Y213/1000/$C$3)</f>
        <v>#DIV/0!</v>
      </c>
      <c r="AE213" s="974" t="e">
        <f>IF($F213="","",$F213*chronic_consumption!Z213/1000/$C$3)</f>
        <v>#DIV/0!</v>
      </c>
      <c r="AF213" s="974" t="e">
        <f>IF($F213="","",$F213*chronic_consumption!AA213/1000/$C$3)</f>
        <v>#DIV/0!</v>
      </c>
      <c r="AG213" s="974" t="e">
        <f>IF($F213="","",$F213*chronic_consumption!AB213/1000/$C$3)</f>
        <v>#DIV/0!</v>
      </c>
      <c r="AH213" s="974" t="e">
        <f>IF($F213="","",$F213*chronic_consumption!AC213/1000/$C$3)</f>
        <v>#DIV/0!</v>
      </c>
      <c r="AI213" s="974" t="e">
        <f>IF($F213="","",$F213*chronic_consumption!AD213/1000/$C$3)</f>
        <v>#DIV/0!</v>
      </c>
      <c r="AJ213" s="974" t="e">
        <f>IF($F213="","",$F213*chronic_consumption!AE213/1000/$C$3)</f>
        <v>#DIV/0!</v>
      </c>
      <c r="AK213" s="974" t="e">
        <f>IF($F213="","",$F213*chronic_consumption!AF213/1000/$C$3)</f>
        <v>#DIV/0!</v>
      </c>
      <c r="AL213" s="974" t="e">
        <f>IF($F213="","",$F213*chronic_consumption!AG213/1000/$C$3)</f>
        <v>#DIV/0!</v>
      </c>
      <c r="AM213" s="974" t="e">
        <f>IF($F213="","",$F213*chronic_consumption!AH213/1000/$C$3)</f>
        <v>#DIV/0!</v>
      </c>
      <c r="AN213" s="974" t="e">
        <f>IF($F213="","",$F213*chronic_consumption!AI213/1000/$C$3)</f>
        <v>#DIV/0!</v>
      </c>
      <c r="AO213" s="974" t="e">
        <f>IF($F213="","",$F213*chronic_consumption!AJ213/1000/$C$3)</f>
        <v>#DIV/0!</v>
      </c>
      <c r="AP213" s="974" t="e">
        <f>IF($F213="","",$F213*chronic_consumption!AK213/1000/$C$3)</f>
        <v>#DIV/0!</v>
      </c>
      <c r="AQ213" s="974" t="e">
        <f>IF($F213="","",$F213*chronic_consumption!AL213/1000/$C$3)</f>
        <v>#DIV/0!</v>
      </c>
      <c r="AR213" s="974" t="e">
        <f>IF($F213="","",$F213*chronic_consumption!AM213/1000/$C$3)</f>
        <v>#DIV/0!</v>
      </c>
      <c r="AS213" s="974" t="e">
        <f>IF($F213="","",$F213*chronic_consumption!AN213/1000/$C$3)</f>
        <v>#DIV/0!</v>
      </c>
      <c r="AT213" s="974" t="e">
        <f>IF($F213="","",$F213*chronic_consumption!AO213/1000/$C$3)</f>
        <v>#DIV/0!</v>
      </c>
      <c r="AU213" s="974"/>
      <c r="AV213" s="974" t="e">
        <f>IF($F213="","",$F213*chronic_consumption!AQ213/1000/$C$3)</f>
        <v>#DIV/0!</v>
      </c>
      <c r="AW213" s="974" t="e">
        <f>IF($F213="","",$F213*chronic_consumption!AR213/1000/$C$3)</f>
        <v>#DIV/0!</v>
      </c>
      <c r="AX213" s="974" t="e">
        <f>IF($F213="","",$F213*chronic_consumption!AS213/1000/$C$3)</f>
        <v>#DIV/0!</v>
      </c>
      <c r="AY213" s="974" t="e">
        <f>IF($F213="","",$F213*chronic_consumption!AT213/1000/$C$3)</f>
        <v>#DIV/0!</v>
      </c>
      <c r="AZ213" s="973" t="s">
        <v>19</v>
      </c>
      <c r="BA213" s="969" t="e">
        <f t="shared" si="19"/>
        <v>#DIV/0!</v>
      </c>
      <c r="BB213" s="970" t="e">
        <f t="shared" si="20"/>
        <v>#DIV/0!</v>
      </c>
      <c r="BC213" s="971" t="e">
        <f t="shared" ca="1" si="21"/>
        <v>#DIV/0!</v>
      </c>
      <c r="BD213" s="228">
        <f>input_values!Z213</f>
        <v>4</v>
      </c>
      <c r="BE213" s="152">
        <f>input_values!L213</f>
        <v>0</v>
      </c>
      <c r="BF213" s="972" t="str">
        <f t="shared" si="22"/>
        <v/>
      </c>
    </row>
    <row r="214" spans="1:58" ht="12" customHeight="1" outlineLevel="3" x14ac:dyDescent="0.2">
      <c r="A214" s="21">
        <v>4</v>
      </c>
      <c r="B214" s="23">
        <v>300020</v>
      </c>
      <c r="C214" s="23" t="s">
        <v>59</v>
      </c>
      <c r="D214" s="965">
        <f>Table22[[#This Row],[MRL individual commodity]]</f>
        <v>0</v>
      </c>
      <c r="E214" s="300" t="str">
        <f>Table22[[#This Row],[LOQ_label]]</f>
        <v/>
      </c>
      <c r="F214" s="966">
        <f>Table22[[#This Row],[Chronic RA input value]]</f>
        <v>0</v>
      </c>
      <c r="G214" s="304" t="str">
        <f>Table22[[#This Row],[Chronic RA label]]</f>
        <v/>
      </c>
      <c r="H214" s="304">
        <f>Table22[[#This Row],[GAP under assessment]]</f>
        <v>0</v>
      </c>
      <c r="I214" s="1123"/>
      <c r="J214" s="974" t="e">
        <f>IF($F214="","",$F214*chronic_consumption!$E214/1000/$C$3)</f>
        <v>#DIV/0!</v>
      </c>
      <c r="K214" s="974" t="e">
        <f>IF($F214="","",$F214*chronic_consumption!F214/1000/$C$3)</f>
        <v>#DIV/0!</v>
      </c>
      <c r="L214" s="974" t="e">
        <f>IF($F214="","",$F214*chronic_consumption!G214/1000/$C$3)</f>
        <v>#DIV/0!</v>
      </c>
      <c r="M214" s="974" t="e">
        <f>IF($F214="","",$F214*chronic_consumption!H214/1000/$C$3)</f>
        <v>#DIV/0!</v>
      </c>
      <c r="N214" s="974" t="e">
        <f>IF($F214="","",$F214*chronic_consumption!I214/1000/$C$3)</f>
        <v>#DIV/0!</v>
      </c>
      <c r="O214" s="974" t="e">
        <f>IF($F214="","",$F214*chronic_consumption!J214/1000/$C$3)</f>
        <v>#DIV/0!</v>
      </c>
      <c r="P214" s="974" t="e">
        <f>IF($F214="","",$F214*chronic_consumption!K214/1000/$C$3)</f>
        <v>#DIV/0!</v>
      </c>
      <c r="Q214" s="974" t="e">
        <f>IF($F214="","",$F214*chronic_consumption!L214/1000/$C$3)</f>
        <v>#DIV/0!</v>
      </c>
      <c r="R214" s="974" t="e">
        <f>IF($F214="","",$F214*chronic_consumption!M214/1000/$C$3)</f>
        <v>#DIV/0!</v>
      </c>
      <c r="S214" s="974" t="e">
        <f>IF($F214="","",$F214*chronic_consumption!N214/1000/$C$3)</f>
        <v>#DIV/0!</v>
      </c>
      <c r="T214" s="974" t="e">
        <f>IF($F214="","",$F214*chronic_consumption!O214/1000/$C$3)</f>
        <v>#DIV/0!</v>
      </c>
      <c r="U214" s="974" t="e">
        <f>IF($F214="","",$F214*chronic_consumption!P214/1000/$C$3)</f>
        <v>#DIV/0!</v>
      </c>
      <c r="V214" s="974" t="e">
        <f>IF($F214="","",$F214*chronic_consumption!Q214/1000/$C$3)</f>
        <v>#DIV/0!</v>
      </c>
      <c r="W214" s="974" t="e">
        <f>IF($F214="","",$F214*chronic_consumption!R214/1000/$C$3)</f>
        <v>#DIV/0!</v>
      </c>
      <c r="X214" s="974" t="e">
        <f>IF($F214="","",$F214*chronic_consumption!S214/1000/$C$3)</f>
        <v>#DIV/0!</v>
      </c>
      <c r="Y214" s="974" t="e">
        <f>IF($F214="","",$F214*chronic_consumption!T214/1000/$C$3)</f>
        <v>#DIV/0!</v>
      </c>
      <c r="Z214" s="974" t="e">
        <f>IF($F214="","",$F214*chronic_consumption!U214/1000/$C$3)</f>
        <v>#DIV/0!</v>
      </c>
      <c r="AA214" s="974" t="e">
        <f>IF($F214="","",$F214*chronic_consumption!V214/1000/$C$3)</f>
        <v>#DIV/0!</v>
      </c>
      <c r="AB214" s="974" t="e">
        <f>IF($F214="","",$F214*chronic_consumption!W214/1000/$C$3)</f>
        <v>#DIV/0!</v>
      </c>
      <c r="AC214" s="974" t="e">
        <f>IF($F214="","",$F214*chronic_consumption!X214/1000/$C$3)</f>
        <v>#DIV/0!</v>
      </c>
      <c r="AD214" s="974" t="e">
        <f>IF($F214="","",$F214*chronic_consumption!Y214/1000/$C$3)</f>
        <v>#DIV/0!</v>
      </c>
      <c r="AE214" s="974" t="e">
        <f>IF($F214="","",$F214*chronic_consumption!Z214/1000/$C$3)</f>
        <v>#DIV/0!</v>
      </c>
      <c r="AF214" s="974" t="e">
        <f>IF($F214="","",$F214*chronic_consumption!AA214/1000/$C$3)</f>
        <v>#DIV/0!</v>
      </c>
      <c r="AG214" s="974" t="e">
        <f>IF($F214="","",$F214*chronic_consumption!AB214/1000/$C$3)</f>
        <v>#DIV/0!</v>
      </c>
      <c r="AH214" s="974" t="e">
        <f>IF($F214="","",$F214*chronic_consumption!AC214/1000/$C$3)</f>
        <v>#DIV/0!</v>
      </c>
      <c r="AI214" s="974" t="e">
        <f>IF($F214="","",$F214*chronic_consumption!AD214/1000/$C$3)</f>
        <v>#DIV/0!</v>
      </c>
      <c r="AJ214" s="974" t="e">
        <f>IF($F214="","",$F214*chronic_consumption!AE214/1000/$C$3)</f>
        <v>#DIV/0!</v>
      </c>
      <c r="AK214" s="974" t="e">
        <f>IF($F214="","",$F214*chronic_consumption!AF214/1000/$C$3)</f>
        <v>#DIV/0!</v>
      </c>
      <c r="AL214" s="974" t="e">
        <f>IF($F214="","",$F214*chronic_consumption!AG214/1000/$C$3)</f>
        <v>#DIV/0!</v>
      </c>
      <c r="AM214" s="974" t="e">
        <f>IF($F214="","",$F214*chronic_consumption!AH214/1000/$C$3)</f>
        <v>#DIV/0!</v>
      </c>
      <c r="AN214" s="974" t="e">
        <f>IF($F214="","",$F214*chronic_consumption!AI214/1000/$C$3)</f>
        <v>#DIV/0!</v>
      </c>
      <c r="AO214" s="974" t="e">
        <f>IF($F214="","",$F214*chronic_consumption!AJ214/1000/$C$3)</f>
        <v>#DIV/0!</v>
      </c>
      <c r="AP214" s="974" t="e">
        <f>IF($F214="","",$F214*chronic_consumption!AK214/1000/$C$3)</f>
        <v>#DIV/0!</v>
      </c>
      <c r="AQ214" s="974" t="e">
        <f>IF($F214="","",$F214*chronic_consumption!AL214/1000/$C$3)</f>
        <v>#DIV/0!</v>
      </c>
      <c r="AR214" s="974" t="e">
        <f>IF($F214="","",$F214*chronic_consumption!AM214/1000/$C$3)</f>
        <v>#DIV/0!</v>
      </c>
      <c r="AS214" s="974" t="e">
        <f>IF($F214="","",$F214*chronic_consumption!AN214/1000/$C$3)</f>
        <v>#DIV/0!</v>
      </c>
      <c r="AT214" s="974" t="e">
        <f>IF($F214="","",$F214*chronic_consumption!AO214/1000/$C$3)</f>
        <v>#DIV/0!</v>
      </c>
      <c r="AU214" s="974"/>
      <c r="AV214" s="974" t="e">
        <f>IF($F214="","",$F214*chronic_consumption!AQ214/1000/$C$3)</f>
        <v>#DIV/0!</v>
      </c>
      <c r="AW214" s="974" t="e">
        <f>IF($F214="","",$F214*chronic_consumption!AR214/1000/$C$3)</f>
        <v>#DIV/0!</v>
      </c>
      <c r="AX214" s="974" t="e">
        <f>IF($F214="","",$F214*chronic_consumption!AS214/1000/$C$3)</f>
        <v>#DIV/0!</v>
      </c>
      <c r="AY214" s="974" t="e">
        <f>IF($F214="","",$F214*chronic_consumption!AT214/1000/$C$3)</f>
        <v>#DIV/0!</v>
      </c>
      <c r="AZ214" s="973" t="s">
        <v>19</v>
      </c>
      <c r="BA214" s="969" t="e">
        <f t="shared" si="19"/>
        <v>#DIV/0!</v>
      </c>
      <c r="BB214" s="970" t="e">
        <f t="shared" si="20"/>
        <v>#DIV/0!</v>
      </c>
      <c r="BC214" s="971" t="e">
        <f t="shared" ca="1" si="21"/>
        <v>#DIV/0!</v>
      </c>
      <c r="BD214" s="228">
        <f>input_values!Z214</f>
        <v>4</v>
      </c>
      <c r="BE214" s="152">
        <f>input_values!L214</f>
        <v>0</v>
      </c>
      <c r="BF214" s="972" t="str">
        <f t="shared" si="22"/>
        <v/>
      </c>
    </row>
    <row r="215" spans="1:58" ht="12" customHeight="1" outlineLevel="3" x14ac:dyDescent="0.2">
      <c r="A215" s="21">
        <v>4</v>
      </c>
      <c r="B215" s="23">
        <v>300030</v>
      </c>
      <c r="C215" s="23" t="s">
        <v>292</v>
      </c>
      <c r="D215" s="965">
        <f>Table22[[#This Row],[MRL individual commodity]]</f>
        <v>0</v>
      </c>
      <c r="E215" s="300" t="str">
        <f>Table22[[#This Row],[LOQ_label]]</f>
        <v/>
      </c>
      <c r="F215" s="966">
        <f>Table22[[#This Row],[Chronic RA input value]]</f>
        <v>0</v>
      </c>
      <c r="G215" s="304" t="str">
        <f>Table22[[#This Row],[Chronic RA label]]</f>
        <v/>
      </c>
      <c r="H215" s="304">
        <f>Table22[[#This Row],[GAP under assessment]]</f>
        <v>0</v>
      </c>
      <c r="I215" s="1123"/>
      <c r="J215" s="974" t="e">
        <f>IF($F215="","",$F215*chronic_consumption!$E215/1000/$C$3)</f>
        <v>#DIV/0!</v>
      </c>
      <c r="K215" s="974" t="e">
        <f>IF($F215="","",$F215*chronic_consumption!F215/1000/$C$3)</f>
        <v>#DIV/0!</v>
      </c>
      <c r="L215" s="974" t="e">
        <f>IF($F215="","",$F215*chronic_consumption!G215/1000/$C$3)</f>
        <v>#DIV/0!</v>
      </c>
      <c r="M215" s="974" t="e">
        <f>IF($F215="","",$F215*chronic_consumption!H215/1000/$C$3)</f>
        <v>#DIV/0!</v>
      </c>
      <c r="N215" s="974" t="e">
        <f>IF($F215="","",$F215*chronic_consumption!I215/1000/$C$3)</f>
        <v>#DIV/0!</v>
      </c>
      <c r="O215" s="974" t="e">
        <f>IF($F215="","",$F215*chronic_consumption!J215/1000/$C$3)</f>
        <v>#DIV/0!</v>
      </c>
      <c r="P215" s="974" t="e">
        <f>IF($F215="","",$F215*chronic_consumption!K215/1000/$C$3)</f>
        <v>#DIV/0!</v>
      </c>
      <c r="Q215" s="974" t="e">
        <f>IF($F215="","",$F215*chronic_consumption!L215/1000/$C$3)</f>
        <v>#DIV/0!</v>
      </c>
      <c r="R215" s="974" t="e">
        <f>IF($F215="","",$F215*chronic_consumption!M215/1000/$C$3)</f>
        <v>#DIV/0!</v>
      </c>
      <c r="S215" s="974" t="e">
        <f>IF($F215="","",$F215*chronic_consumption!N215/1000/$C$3)</f>
        <v>#DIV/0!</v>
      </c>
      <c r="T215" s="974" t="e">
        <f>IF($F215="","",$F215*chronic_consumption!O215/1000/$C$3)</f>
        <v>#DIV/0!</v>
      </c>
      <c r="U215" s="974" t="e">
        <f>IF($F215="","",$F215*chronic_consumption!P215/1000/$C$3)</f>
        <v>#DIV/0!</v>
      </c>
      <c r="V215" s="974" t="e">
        <f>IF($F215="","",$F215*chronic_consumption!Q215/1000/$C$3)</f>
        <v>#DIV/0!</v>
      </c>
      <c r="W215" s="974" t="e">
        <f>IF($F215="","",$F215*chronic_consumption!R215/1000/$C$3)</f>
        <v>#DIV/0!</v>
      </c>
      <c r="X215" s="974" t="e">
        <f>IF($F215="","",$F215*chronic_consumption!S215/1000/$C$3)</f>
        <v>#DIV/0!</v>
      </c>
      <c r="Y215" s="974" t="e">
        <f>IF($F215="","",$F215*chronic_consumption!T215/1000/$C$3)</f>
        <v>#DIV/0!</v>
      </c>
      <c r="Z215" s="974" t="e">
        <f>IF($F215="","",$F215*chronic_consumption!U215/1000/$C$3)</f>
        <v>#DIV/0!</v>
      </c>
      <c r="AA215" s="974" t="e">
        <f>IF($F215="","",$F215*chronic_consumption!V215/1000/$C$3)</f>
        <v>#DIV/0!</v>
      </c>
      <c r="AB215" s="974" t="e">
        <f>IF($F215="","",$F215*chronic_consumption!W215/1000/$C$3)</f>
        <v>#DIV/0!</v>
      </c>
      <c r="AC215" s="974" t="e">
        <f>IF($F215="","",$F215*chronic_consumption!X215/1000/$C$3)</f>
        <v>#DIV/0!</v>
      </c>
      <c r="AD215" s="974" t="e">
        <f>IF($F215="","",$F215*chronic_consumption!Y215/1000/$C$3)</f>
        <v>#DIV/0!</v>
      </c>
      <c r="AE215" s="974" t="e">
        <f>IF($F215="","",$F215*chronic_consumption!Z215/1000/$C$3)</f>
        <v>#DIV/0!</v>
      </c>
      <c r="AF215" s="974" t="e">
        <f>IF($F215="","",$F215*chronic_consumption!AA215/1000/$C$3)</f>
        <v>#DIV/0!</v>
      </c>
      <c r="AG215" s="974" t="e">
        <f>IF($F215="","",$F215*chronic_consumption!AB215/1000/$C$3)</f>
        <v>#DIV/0!</v>
      </c>
      <c r="AH215" s="974" t="e">
        <f>IF($F215="","",$F215*chronic_consumption!AC215/1000/$C$3)</f>
        <v>#DIV/0!</v>
      </c>
      <c r="AI215" s="974" t="e">
        <f>IF($F215="","",$F215*chronic_consumption!AD215/1000/$C$3)</f>
        <v>#DIV/0!</v>
      </c>
      <c r="AJ215" s="974" t="e">
        <f>IF($F215="","",$F215*chronic_consumption!AE215/1000/$C$3)</f>
        <v>#DIV/0!</v>
      </c>
      <c r="AK215" s="974" t="e">
        <f>IF($F215="","",$F215*chronic_consumption!AF215/1000/$C$3)</f>
        <v>#DIV/0!</v>
      </c>
      <c r="AL215" s="974" t="e">
        <f>IF($F215="","",$F215*chronic_consumption!AG215/1000/$C$3)</f>
        <v>#DIV/0!</v>
      </c>
      <c r="AM215" s="974" t="e">
        <f>IF($F215="","",$F215*chronic_consumption!AH215/1000/$C$3)</f>
        <v>#DIV/0!</v>
      </c>
      <c r="AN215" s="974" t="e">
        <f>IF($F215="","",$F215*chronic_consumption!AI215/1000/$C$3)</f>
        <v>#DIV/0!</v>
      </c>
      <c r="AO215" s="974" t="e">
        <f>IF($F215="","",$F215*chronic_consumption!AJ215/1000/$C$3)</f>
        <v>#DIV/0!</v>
      </c>
      <c r="AP215" s="974" t="e">
        <f>IF($F215="","",$F215*chronic_consumption!AK215/1000/$C$3)</f>
        <v>#DIV/0!</v>
      </c>
      <c r="AQ215" s="974" t="e">
        <f>IF($F215="","",$F215*chronic_consumption!AL215/1000/$C$3)</f>
        <v>#DIV/0!</v>
      </c>
      <c r="AR215" s="974" t="e">
        <f>IF($F215="","",$F215*chronic_consumption!AM215/1000/$C$3)</f>
        <v>#DIV/0!</v>
      </c>
      <c r="AS215" s="974" t="e">
        <f>IF($F215="","",$F215*chronic_consumption!AN215/1000/$C$3)</f>
        <v>#DIV/0!</v>
      </c>
      <c r="AT215" s="974" t="e">
        <f>IF($F215="","",$F215*chronic_consumption!AO215/1000/$C$3)</f>
        <v>#DIV/0!</v>
      </c>
      <c r="AU215" s="974"/>
      <c r="AV215" s="974" t="e">
        <f>IF($F215="","",$F215*chronic_consumption!AQ215/1000/$C$3)</f>
        <v>#DIV/0!</v>
      </c>
      <c r="AW215" s="974" t="e">
        <f>IF($F215="","",$F215*chronic_consumption!AR215/1000/$C$3)</f>
        <v>#DIV/0!</v>
      </c>
      <c r="AX215" s="974" t="e">
        <f>IF($F215="","",$F215*chronic_consumption!AS215/1000/$C$3)</f>
        <v>#DIV/0!</v>
      </c>
      <c r="AY215" s="974" t="e">
        <f>IF($F215="","",$F215*chronic_consumption!AT215/1000/$C$3)</f>
        <v>#DIV/0!</v>
      </c>
      <c r="AZ215" s="973" t="s">
        <v>19</v>
      </c>
      <c r="BA215" s="969" t="e">
        <f t="shared" si="19"/>
        <v>#DIV/0!</v>
      </c>
      <c r="BB215" s="970" t="e">
        <f t="shared" si="20"/>
        <v>#DIV/0!</v>
      </c>
      <c r="BC215" s="971" t="e">
        <f t="shared" ca="1" si="21"/>
        <v>#DIV/0!</v>
      </c>
      <c r="BD215" s="228">
        <f>input_values!Z215</f>
        <v>4</v>
      </c>
      <c r="BE215" s="152">
        <f>input_values!L215</f>
        <v>0</v>
      </c>
      <c r="BF215" s="972" t="str">
        <f t="shared" si="22"/>
        <v/>
      </c>
    </row>
    <row r="216" spans="1:58" ht="12" customHeight="1" outlineLevel="3" x14ac:dyDescent="0.2">
      <c r="A216" s="21">
        <v>4</v>
      </c>
      <c r="B216" s="23">
        <v>300040</v>
      </c>
      <c r="C216" s="23" t="s">
        <v>743</v>
      </c>
      <c r="D216" s="965">
        <f>Table22[[#This Row],[MRL individual commodity]]</f>
        <v>0</v>
      </c>
      <c r="E216" s="300" t="str">
        <f>Table22[[#This Row],[LOQ_label]]</f>
        <v/>
      </c>
      <c r="F216" s="966">
        <f>Table22[[#This Row],[Chronic RA input value]]</f>
        <v>0</v>
      </c>
      <c r="G216" s="304" t="str">
        <f>Table22[[#This Row],[Chronic RA label]]</f>
        <v/>
      </c>
      <c r="H216" s="304">
        <f>Table22[[#This Row],[GAP under assessment]]</f>
        <v>0</v>
      </c>
      <c r="I216" s="1123"/>
      <c r="J216" s="974" t="e">
        <f>IF($F216="","",$F216*chronic_consumption!$E216/1000/$C$3)</f>
        <v>#DIV/0!</v>
      </c>
      <c r="K216" s="974" t="e">
        <f>IF($F216="","",$F216*chronic_consumption!F216/1000/$C$3)</f>
        <v>#DIV/0!</v>
      </c>
      <c r="L216" s="974" t="e">
        <f>IF($F216="","",$F216*chronic_consumption!G216/1000/$C$3)</f>
        <v>#DIV/0!</v>
      </c>
      <c r="M216" s="974" t="e">
        <f>IF($F216="","",$F216*chronic_consumption!H216/1000/$C$3)</f>
        <v>#DIV/0!</v>
      </c>
      <c r="N216" s="974" t="e">
        <f>IF($F216="","",$F216*chronic_consumption!I216/1000/$C$3)</f>
        <v>#DIV/0!</v>
      </c>
      <c r="O216" s="974" t="e">
        <f>IF($F216="","",$F216*chronic_consumption!J216/1000/$C$3)</f>
        <v>#DIV/0!</v>
      </c>
      <c r="P216" s="974" t="e">
        <f>IF($F216="","",$F216*chronic_consumption!K216/1000/$C$3)</f>
        <v>#DIV/0!</v>
      </c>
      <c r="Q216" s="974" t="e">
        <f>IF($F216="","",$F216*chronic_consumption!L216/1000/$C$3)</f>
        <v>#DIV/0!</v>
      </c>
      <c r="R216" s="974" t="e">
        <f>IF($F216="","",$F216*chronic_consumption!M216/1000/$C$3)</f>
        <v>#DIV/0!</v>
      </c>
      <c r="S216" s="974" t="e">
        <f>IF($F216="","",$F216*chronic_consumption!N216/1000/$C$3)</f>
        <v>#DIV/0!</v>
      </c>
      <c r="T216" s="974" t="e">
        <f>IF($F216="","",$F216*chronic_consumption!O216/1000/$C$3)</f>
        <v>#DIV/0!</v>
      </c>
      <c r="U216" s="974" t="e">
        <f>IF($F216="","",$F216*chronic_consumption!P216/1000/$C$3)</f>
        <v>#DIV/0!</v>
      </c>
      <c r="V216" s="974" t="e">
        <f>IF($F216="","",$F216*chronic_consumption!Q216/1000/$C$3)</f>
        <v>#DIV/0!</v>
      </c>
      <c r="W216" s="974" t="e">
        <f>IF($F216="","",$F216*chronic_consumption!R216/1000/$C$3)</f>
        <v>#DIV/0!</v>
      </c>
      <c r="X216" s="974" t="e">
        <f>IF($F216="","",$F216*chronic_consumption!S216/1000/$C$3)</f>
        <v>#DIV/0!</v>
      </c>
      <c r="Y216" s="974" t="e">
        <f>IF($F216="","",$F216*chronic_consumption!T216/1000/$C$3)</f>
        <v>#DIV/0!</v>
      </c>
      <c r="Z216" s="974" t="e">
        <f>IF($F216="","",$F216*chronic_consumption!U216/1000/$C$3)</f>
        <v>#DIV/0!</v>
      </c>
      <c r="AA216" s="974" t="e">
        <f>IF($F216="","",$F216*chronic_consumption!V216/1000/$C$3)</f>
        <v>#DIV/0!</v>
      </c>
      <c r="AB216" s="974" t="e">
        <f>IF($F216="","",$F216*chronic_consumption!W216/1000/$C$3)</f>
        <v>#DIV/0!</v>
      </c>
      <c r="AC216" s="974" t="e">
        <f>IF($F216="","",$F216*chronic_consumption!X216/1000/$C$3)</f>
        <v>#DIV/0!</v>
      </c>
      <c r="AD216" s="974" t="e">
        <f>IF($F216="","",$F216*chronic_consumption!Y216/1000/$C$3)</f>
        <v>#DIV/0!</v>
      </c>
      <c r="AE216" s="974" t="e">
        <f>IF($F216="","",$F216*chronic_consumption!Z216/1000/$C$3)</f>
        <v>#DIV/0!</v>
      </c>
      <c r="AF216" s="974" t="e">
        <f>IF($F216="","",$F216*chronic_consumption!AA216/1000/$C$3)</f>
        <v>#DIV/0!</v>
      </c>
      <c r="AG216" s="974" t="e">
        <f>IF($F216="","",$F216*chronic_consumption!AB216/1000/$C$3)</f>
        <v>#DIV/0!</v>
      </c>
      <c r="AH216" s="974" t="e">
        <f>IF($F216="","",$F216*chronic_consumption!AC216/1000/$C$3)</f>
        <v>#DIV/0!</v>
      </c>
      <c r="AI216" s="974" t="e">
        <f>IF($F216="","",$F216*chronic_consumption!AD216/1000/$C$3)</f>
        <v>#DIV/0!</v>
      </c>
      <c r="AJ216" s="974" t="e">
        <f>IF($F216="","",$F216*chronic_consumption!AE216/1000/$C$3)</f>
        <v>#DIV/0!</v>
      </c>
      <c r="AK216" s="974" t="e">
        <f>IF($F216="","",$F216*chronic_consumption!AF216/1000/$C$3)</f>
        <v>#DIV/0!</v>
      </c>
      <c r="AL216" s="974" t="e">
        <f>IF($F216="","",$F216*chronic_consumption!AG216/1000/$C$3)</f>
        <v>#DIV/0!</v>
      </c>
      <c r="AM216" s="974" t="e">
        <f>IF($F216="","",$F216*chronic_consumption!AH216/1000/$C$3)</f>
        <v>#DIV/0!</v>
      </c>
      <c r="AN216" s="974" t="e">
        <f>IF($F216="","",$F216*chronic_consumption!AI216/1000/$C$3)</f>
        <v>#DIV/0!</v>
      </c>
      <c r="AO216" s="974" t="e">
        <f>IF($F216="","",$F216*chronic_consumption!AJ216/1000/$C$3)</f>
        <v>#DIV/0!</v>
      </c>
      <c r="AP216" s="974" t="e">
        <f>IF($F216="","",$F216*chronic_consumption!AK216/1000/$C$3)</f>
        <v>#DIV/0!</v>
      </c>
      <c r="AQ216" s="974" t="e">
        <f>IF($F216="","",$F216*chronic_consumption!AL216/1000/$C$3)</f>
        <v>#DIV/0!</v>
      </c>
      <c r="AR216" s="974" t="e">
        <f>IF($F216="","",$F216*chronic_consumption!AM216/1000/$C$3)</f>
        <v>#DIV/0!</v>
      </c>
      <c r="AS216" s="974" t="e">
        <f>IF($F216="","",$F216*chronic_consumption!AN216/1000/$C$3)</f>
        <v>#DIV/0!</v>
      </c>
      <c r="AT216" s="974" t="e">
        <f>IF($F216="","",$F216*chronic_consumption!AO216/1000/$C$3)</f>
        <v>#DIV/0!</v>
      </c>
      <c r="AU216" s="974"/>
      <c r="AV216" s="974" t="e">
        <f>IF($F216="","",$F216*chronic_consumption!AQ216/1000/$C$3)</f>
        <v>#DIV/0!</v>
      </c>
      <c r="AW216" s="974" t="e">
        <f>IF($F216="","",$F216*chronic_consumption!AR216/1000/$C$3)</f>
        <v>#DIV/0!</v>
      </c>
      <c r="AX216" s="974" t="e">
        <f>IF($F216="","",$F216*chronic_consumption!AS216/1000/$C$3)</f>
        <v>#DIV/0!</v>
      </c>
      <c r="AY216" s="974" t="e">
        <f>IF($F216="","",$F216*chronic_consumption!AT216/1000/$C$3)</f>
        <v>#DIV/0!</v>
      </c>
      <c r="AZ216" s="973" t="s">
        <v>19</v>
      </c>
      <c r="BA216" s="969" t="e">
        <f t="shared" si="19"/>
        <v>#DIV/0!</v>
      </c>
      <c r="BB216" s="970" t="e">
        <f t="shared" si="20"/>
        <v>#DIV/0!</v>
      </c>
      <c r="BC216" s="971" t="e">
        <f t="shared" ca="1" si="21"/>
        <v>#DIV/0!</v>
      </c>
      <c r="BD216" s="228">
        <f>input_values!Z216</f>
        <v>4</v>
      </c>
      <c r="BE216" s="152">
        <f>input_values!L216</f>
        <v>0</v>
      </c>
      <c r="BF216" s="972" t="str">
        <f t="shared" si="22"/>
        <v/>
      </c>
    </row>
    <row r="217" spans="1:58" ht="12" customHeight="1" outlineLevel="3" x14ac:dyDescent="0.2">
      <c r="A217" s="21">
        <v>4</v>
      </c>
      <c r="B217" s="23">
        <v>300990</v>
      </c>
      <c r="C217" s="23" t="s">
        <v>744</v>
      </c>
      <c r="D217" s="965">
        <f>Table22[[#This Row],[MRL individual commodity]]</f>
        <v>0</v>
      </c>
      <c r="E217" s="300" t="str">
        <f>Table22[[#This Row],[LOQ_label]]</f>
        <v/>
      </c>
      <c r="F217" s="966">
        <f>Table22[[#This Row],[Chronic RA input value]]</f>
        <v>0</v>
      </c>
      <c r="G217" s="304" t="str">
        <f>Table22[[#This Row],[Chronic RA label]]</f>
        <v/>
      </c>
      <c r="H217" s="304">
        <f>Table22[[#This Row],[GAP under assessment]]</f>
        <v>0</v>
      </c>
      <c r="I217" s="1123"/>
      <c r="J217" s="974" t="e">
        <f>IF($F217="","",$F217*chronic_consumption!$E217/1000/$C$3)</f>
        <v>#DIV/0!</v>
      </c>
      <c r="K217" s="974" t="e">
        <f>IF($F217="","",$F217*chronic_consumption!F217/1000/$C$3)</f>
        <v>#DIV/0!</v>
      </c>
      <c r="L217" s="974" t="e">
        <f>IF($F217="","",$F217*chronic_consumption!G217/1000/$C$3)</f>
        <v>#DIV/0!</v>
      </c>
      <c r="M217" s="974" t="e">
        <f>IF($F217="","",$F217*chronic_consumption!H217/1000/$C$3)</f>
        <v>#DIV/0!</v>
      </c>
      <c r="N217" s="974" t="e">
        <f>IF($F217="","",$F217*chronic_consumption!I217/1000/$C$3)</f>
        <v>#DIV/0!</v>
      </c>
      <c r="O217" s="974" t="e">
        <f>IF($F217="","",$F217*chronic_consumption!J217/1000/$C$3)</f>
        <v>#DIV/0!</v>
      </c>
      <c r="P217" s="974" t="e">
        <f>IF($F217="","",$F217*chronic_consumption!K217/1000/$C$3)</f>
        <v>#DIV/0!</v>
      </c>
      <c r="Q217" s="974" t="e">
        <f>IF($F217="","",$F217*chronic_consumption!L217/1000/$C$3)</f>
        <v>#DIV/0!</v>
      </c>
      <c r="R217" s="974" t="e">
        <f>IF($F217="","",$F217*chronic_consumption!M217/1000/$C$3)</f>
        <v>#DIV/0!</v>
      </c>
      <c r="S217" s="974" t="e">
        <f>IF($F217="","",$F217*chronic_consumption!N217/1000/$C$3)</f>
        <v>#DIV/0!</v>
      </c>
      <c r="T217" s="974" t="e">
        <f>IF($F217="","",$F217*chronic_consumption!O217/1000/$C$3)</f>
        <v>#DIV/0!</v>
      </c>
      <c r="U217" s="974" t="e">
        <f>IF($F217="","",$F217*chronic_consumption!P217/1000/$C$3)</f>
        <v>#DIV/0!</v>
      </c>
      <c r="V217" s="974" t="e">
        <f>IF($F217="","",$F217*chronic_consumption!Q217/1000/$C$3)</f>
        <v>#DIV/0!</v>
      </c>
      <c r="W217" s="974" t="e">
        <f>IF($F217="","",$F217*chronic_consumption!R217/1000/$C$3)</f>
        <v>#DIV/0!</v>
      </c>
      <c r="X217" s="974" t="e">
        <f>IF($F217="","",$F217*chronic_consumption!S217/1000/$C$3)</f>
        <v>#DIV/0!</v>
      </c>
      <c r="Y217" s="974" t="e">
        <f>IF($F217="","",$F217*chronic_consumption!T217/1000/$C$3)</f>
        <v>#DIV/0!</v>
      </c>
      <c r="Z217" s="974" t="e">
        <f>IF($F217="","",$F217*chronic_consumption!U217/1000/$C$3)</f>
        <v>#DIV/0!</v>
      </c>
      <c r="AA217" s="974" t="e">
        <f>IF($F217="","",$F217*chronic_consumption!V217/1000/$C$3)</f>
        <v>#DIV/0!</v>
      </c>
      <c r="AB217" s="974" t="e">
        <f>IF($F217="","",$F217*chronic_consumption!W217/1000/$C$3)</f>
        <v>#DIV/0!</v>
      </c>
      <c r="AC217" s="974" t="e">
        <f>IF($F217="","",$F217*chronic_consumption!X217/1000/$C$3)</f>
        <v>#DIV/0!</v>
      </c>
      <c r="AD217" s="974" t="e">
        <f>IF($F217="","",$F217*chronic_consumption!Y217/1000/$C$3)</f>
        <v>#DIV/0!</v>
      </c>
      <c r="AE217" s="974" t="e">
        <f>IF($F217="","",$F217*chronic_consumption!Z217/1000/$C$3)</f>
        <v>#DIV/0!</v>
      </c>
      <c r="AF217" s="974" t="e">
        <f>IF($F217="","",$F217*chronic_consumption!AA217/1000/$C$3)</f>
        <v>#DIV/0!</v>
      </c>
      <c r="AG217" s="974" t="e">
        <f>IF($F217="","",$F217*chronic_consumption!AB217/1000/$C$3)</f>
        <v>#DIV/0!</v>
      </c>
      <c r="AH217" s="974" t="e">
        <f>IF($F217="","",$F217*chronic_consumption!AC217/1000/$C$3)</f>
        <v>#DIV/0!</v>
      </c>
      <c r="AI217" s="974" t="e">
        <f>IF($F217="","",$F217*chronic_consumption!AD217/1000/$C$3)</f>
        <v>#DIV/0!</v>
      </c>
      <c r="AJ217" s="974" t="e">
        <f>IF($F217="","",$F217*chronic_consumption!AE217/1000/$C$3)</f>
        <v>#DIV/0!</v>
      </c>
      <c r="AK217" s="974" t="e">
        <f>IF($F217="","",$F217*chronic_consumption!AF217/1000/$C$3)</f>
        <v>#DIV/0!</v>
      </c>
      <c r="AL217" s="974" t="e">
        <f>IF($F217="","",$F217*chronic_consumption!AG217/1000/$C$3)</f>
        <v>#DIV/0!</v>
      </c>
      <c r="AM217" s="974" t="e">
        <f>IF($F217="","",$F217*chronic_consumption!AH217/1000/$C$3)</f>
        <v>#DIV/0!</v>
      </c>
      <c r="AN217" s="974" t="e">
        <f>IF($F217="","",$F217*chronic_consumption!AI217/1000/$C$3)</f>
        <v>#DIV/0!</v>
      </c>
      <c r="AO217" s="974" t="e">
        <f>IF($F217="","",$F217*chronic_consumption!AJ217/1000/$C$3)</f>
        <v>#DIV/0!</v>
      </c>
      <c r="AP217" s="974" t="e">
        <f>IF($F217="","",$F217*chronic_consumption!AK217/1000/$C$3)</f>
        <v>#DIV/0!</v>
      </c>
      <c r="AQ217" s="974" t="e">
        <f>IF($F217="","",$F217*chronic_consumption!AL217/1000/$C$3)</f>
        <v>#DIV/0!</v>
      </c>
      <c r="AR217" s="974" t="e">
        <f>IF($F217="","",$F217*chronic_consumption!AM217/1000/$C$3)</f>
        <v>#DIV/0!</v>
      </c>
      <c r="AS217" s="974" t="e">
        <f>IF($F217="","",$F217*chronic_consumption!AN217/1000/$C$3)</f>
        <v>#DIV/0!</v>
      </c>
      <c r="AT217" s="974" t="e">
        <f>IF($F217="","",$F217*chronic_consumption!AO217/1000/$C$3)</f>
        <v>#DIV/0!</v>
      </c>
      <c r="AU217" s="974"/>
      <c r="AV217" s="974" t="e">
        <f>IF($F217="","",$F217*chronic_consumption!AQ217/1000/$C$3)</f>
        <v>#DIV/0!</v>
      </c>
      <c r="AW217" s="974" t="e">
        <f>IF($F217="","",$F217*chronic_consumption!AR217/1000/$C$3)</f>
        <v>#DIV/0!</v>
      </c>
      <c r="AX217" s="974" t="e">
        <f>IF($F217="","",$F217*chronic_consumption!AS217/1000/$C$3)</f>
        <v>#DIV/0!</v>
      </c>
      <c r="AY217" s="974" t="e">
        <f>IF($F217="","",$F217*chronic_consumption!AT217/1000/$C$3)</f>
        <v>#DIV/0!</v>
      </c>
      <c r="AZ217" s="973" t="s">
        <v>19</v>
      </c>
      <c r="BA217" s="969" t="e">
        <f t="shared" si="19"/>
        <v>#DIV/0!</v>
      </c>
      <c r="BB217" s="970" t="e">
        <f t="shared" si="20"/>
        <v>#DIV/0!</v>
      </c>
      <c r="BC217" s="971" t="e">
        <f t="shared" ca="1" si="21"/>
        <v>#DIV/0!</v>
      </c>
      <c r="BD217" s="228">
        <f>input_values!Z217</f>
        <v>4</v>
      </c>
      <c r="BE217" s="152">
        <f>input_values!L217</f>
        <v>0</v>
      </c>
      <c r="BF217" s="972" t="str">
        <f t="shared" si="22"/>
        <v/>
      </c>
    </row>
    <row r="218" spans="1:58" ht="12" customHeight="1" x14ac:dyDescent="0.2">
      <c r="A218" s="299">
        <v>1</v>
      </c>
      <c r="B218" s="127">
        <v>400000</v>
      </c>
      <c r="C218" s="127" t="s">
        <v>140</v>
      </c>
      <c r="D218" s="965">
        <f>Table22[[#This Row],[MRL individual commodity]]</f>
        <v>0</v>
      </c>
      <c r="E218" s="300">
        <f>Table22[[#This Row],[LOQ_label]]</f>
        <v>0</v>
      </c>
      <c r="F218" s="966">
        <f>Table22[[#This Row],[Chronic RA input value]]</f>
        <v>0</v>
      </c>
      <c r="G218" s="304">
        <f>Table22[[#This Row],[Chronic RA label]]</f>
        <v>0</v>
      </c>
      <c r="H218" s="304">
        <f>Table22[[#This Row],[GAP under assessment]]</f>
        <v>0</v>
      </c>
      <c r="I218" s="1123"/>
      <c r="J218" s="967" t="e">
        <f>IF($F218="","",$F218*chronic_consumption!$E218/1000/$C$3)</f>
        <v>#DIV/0!</v>
      </c>
      <c r="K218" s="967" t="e">
        <f>IF($F218="","",$F218*chronic_consumption!F218/1000/$C$3)</f>
        <v>#DIV/0!</v>
      </c>
      <c r="L218" s="967" t="e">
        <f>IF($F218="","",$F218*chronic_consumption!G218/1000/$C$3)</f>
        <v>#DIV/0!</v>
      </c>
      <c r="M218" s="967" t="e">
        <f>IF($F218="","",$F218*chronic_consumption!H218/1000/$C$3)</f>
        <v>#DIV/0!</v>
      </c>
      <c r="N218" s="967" t="e">
        <f>IF($F218="","",$F218*chronic_consumption!I218/1000/$C$3)</f>
        <v>#DIV/0!</v>
      </c>
      <c r="O218" s="967" t="e">
        <f>IF($F218="","",$F218*chronic_consumption!J218/1000/$C$3)</f>
        <v>#DIV/0!</v>
      </c>
      <c r="P218" s="967" t="e">
        <f>IF($F218="","",$F218*chronic_consumption!K218/1000/$C$3)</f>
        <v>#DIV/0!</v>
      </c>
      <c r="Q218" s="967" t="e">
        <f>IF($F218="","",$F218*chronic_consumption!L218/1000/$C$3)</f>
        <v>#DIV/0!</v>
      </c>
      <c r="R218" s="967" t="e">
        <f>IF($F218="","",$F218*chronic_consumption!M218/1000/$C$3)</f>
        <v>#DIV/0!</v>
      </c>
      <c r="S218" s="967" t="e">
        <f>IF($F218="","",$F218*chronic_consumption!N218/1000/$C$3)</f>
        <v>#DIV/0!</v>
      </c>
      <c r="T218" s="967" t="e">
        <f>IF($F218="","",$F218*chronic_consumption!O218/1000/$C$3)</f>
        <v>#DIV/0!</v>
      </c>
      <c r="U218" s="967" t="e">
        <f>IF($F218="","",$F218*chronic_consumption!P218/1000/$C$3)</f>
        <v>#DIV/0!</v>
      </c>
      <c r="V218" s="967" t="e">
        <f>IF($F218="","",$F218*chronic_consumption!Q218/1000/$C$3)</f>
        <v>#DIV/0!</v>
      </c>
      <c r="W218" s="967" t="e">
        <f>IF($F218="","",$F218*chronic_consumption!R218/1000/$C$3)</f>
        <v>#DIV/0!</v>
      </c>
      <c r="X218" s="967" t="e">
        <f>IF($F218="","",$F218*chronic_consumption!S218/1000/$C$3)</f>
        <v>#DIV/0!</v>
      </c>
      <c r="Y218" s="967" t="e">
        <f>IF($F218="","",$F218*chronic_consumption!T218/1000/$C$3)</f>
        <v>#DIV/0!</v>
      </c>
      <c r="Z218" s="967" t="e">
        <f>IF($F218="","",$F218*chronic_consumption!U218/1000/$C$3)</f>
        <v>#DIV/0!</v>
      </c>
      <c r="AA218" s="967" t="e">
        <f>IF($F218="","",$F218*chronic_consumption!V218/1000/$C$3)</f>
        <v>#DIV/0!</v>
      </c>
      <c r="AB218" s="967" t="e">
        <f>IF($F218="","",$F218*chronic_consumption!W218/1000/$C$3)</f>
        <v>#DIV/0!</v>
      </c>
      <c r="AC218" s="967" t="e">
        <f>IF($F218="","",$F218*chronic_consumption!X218/1000/$C$3)</f>
        <v>#DIV/0!</v>
      </c>
      <c r="AD218" s="967" t="e">
        <f>IF($F218="","",$F218*chronic_consumption!Y218/1000/$C$3)</f>
        <v>#DIV/0!</v>
      </c>
      <c r="AE218" s="967" t="e">
        <f>IF($F218="","",$F218*chronic_consumption!Z218/1000/$C$3)</f>
        <v>#DIV/0!</v>
      </c>
      <c r="AF218" s="967" t="e">
        <f>IF($F218="","",$F218*chronic_consumption!AA218/1000/$C$3)</f>
        <v>#DIV/0!</v>
      </c>
      <c r="AG218" s="967" t="e">
        <f>IF($F218="","",$F218*chronic_consumption!AB218/1000/$C$3)</f>
        <v>#DIV/0!</v>
      </c>
      <c r="AH218" s="967" t="e">
        <f>IF($F218="","",$F218*chronic_consumption!AC218/1000/$C$3)</f>
        <v>#DIV/0!</v>
      </c>
      <c r="AI218" s="967" t="e">
        <f>IF($F218="","",$F218*chronic_consumption!AD218/1000/$C$3)</f>
        <v>#DIV/0!</v>
      </c>
      <c r="AJ218" s="967" t="e">
        <f>IF($F218="","",$F218*chronic_consumption!AJ218/1000/$C$3)</f>
        <v>#DIV/0!</v>
      </c>
      <c r="AK218" s="967" t="e">
        <f>IF($F218="","",$F218*chronic_consumption!AF218/1000/$C$3)</f>
        <v>#DIV/0!</v>
      </c>
      <c r="AL218" s="967" t="e">
        <f>IF($F218="","",$F218*chronic_consumption!AG218/1000/$C$3)</f>
        <v>#DIV/0!</v>
      </c>
      <c r="AM218" s="967" t="e">
        <f>IF($F218="","",$F218*chronic_consumption!AH218/1000/$C$3)</f>
        <v>#DIV/0!</v>
      </c>
      <c r="AN218" s="967" t="e">
        <f>IF($F218="","",$F218*chronic_consumption!AI218/1000/$C$3)</f>
        <v>#DIV/0!</v>
      </c>
      <c r="AO218" s="967" t="e">
        <f>IF($F218="","",$F218*chronic_consumption!AJ218/1000/$C$3)</f>
        <v>#DIV/0!</v>
      </c>
      <c r="AP218" s="967" t="e">
        <f>IF($F218="","",$F218*chronic_consumption!AK218/1000/$C$3)</f>
        <v>#DIV/0!</v>
      </c>
      <c r="AQ218" s="967" t="e">
        <f>IF($F218="","",$F218*chronic_consumption!AL218/1000/$C$3)</f>
        <v>#DIV/0!</v>
      </c>
      <c r="AR218" s="967" t="e">
        <f>IF($F218="","",$F218*chronic_consumption!AM218/1000/$C$3)</f>
        <v>#DIV/0!</v>
      </c>
      <c r="AS218" s="967" t="e">
        <f>IF($F218="","",$F218*chronic_consumption!AN218/1000/$C$3)</f>
        <v>#DIV/0!</v>
      </c>
      <c r="AT218" s="967" t="e">
        <f>IF($F218="","",$F218*chronic_consumption!AO218/1000/$C$3)</f>
        <v>#DIV/0!</v>
      </c>
      <c r="AU218" s="967"/>
      <c r="AV218" s="967" t="e">
        <f>IF($F218="","",$F218*chronic_consumption!AQ218/1000/$C$3)</f>
        <v>#DIV/0!</v>
      </c>
      <c r="AW218" s="967" t="e">
        <f>IF($F218="","",$F218*chronic_consumption!AR218/1000/$C$3)</f>
        <v>#DIV/0!</v>
      </c>
      <c r="AX218" s="967" t="e">
        <f>IF($F218="","",$F218*chronic_consumption!AS218/1000/$C$3)</f>
        <v>#DIV/0!</v>
      </c>
      <c r="AY218" s="967" t="e">
        <f>IF($F218="","",$F218*chronic_consumption!AT218/1000/$C$3)</f>
        <v>#DIV/0!</v>
      </c>
      <c r="AZ218" s="973"/>
      <c r="BA218" s="969" t="e">
        <f t="shared" si="19"/>
        <v>#DIV/0!</v>
      </c>
      <c r="BB218" s="970" t="e">
        <f t="shared" si="20"/>
        <v>#DIV/0!</v>
      </c>
      <c r="BC218" s="971" t="e">
        <f t="shared" ca="1" si="21"/>
        <v>#DIV/0!</v>
      </c>
      <c r="BD218" s="228">
        <f>input_values!Z218</f>
        <v>4</v>
      </c>
      <c r="BE218" s="152">
        <f>input_values!L218</f>
        <v>0</v>
      </c>
      <c r="BF218" s="972" t="str">
        <f t="shared" si="22"/>
        <v/>
      </c>
    </row>
    <row r="219" spans="1:58" ht="12" customHeight="1" outlineLevel="1" x14ac:dyDescent="0.2">
      <c r="A219" s="314">
        <v>2</v>
      </c>
      <c r="B219" s="131">
        <v>401000</v>
      </c>
      <c r="C219" s="131" t="s">
        <v>141</v>
      </c>
      <c r="D219" s="965">
        <f>Table22[[#This Row],[MRL individual commodity]]</f>
        <v>0</v>
      </c>
      <c r="E219" s="300">
        <f>Table22[[#This Row],[LOQ_label]]</f>
        <v>0</v>
      </c>
      <c r="F219" s="966">
        <f>Table22[[#This Row],[Chronic RA input value]]</f>
        <v>0</v>
      </c>
      <c r="G219" s="304">
        <f>Table22[[#This Row],[Chronic RA label]]</f>
        <v>0</v>
      </c>
      <c r="H219" s="304">
        <f>Table22[[#This Row],[GAP under assessment]]</f>
        <v>0</v>
      </c>
      <c r="I219" s="1123"/>
      <c r="J219" s="967" t="e">
        <f>IF($F219="","",$F219*chronic_consumption!$E219/1000/$C$3)</f>
        <v>#DIV/0!</v>
      </c>
      <c r="K219" s="967" t="e">
        <f>IF($F219="","",$F219*chronic_consumption!F219/1000/$C$3)</f>
        <v>#DIV/0!</v>
      </c>
      <c r="L219" s="967" t="e">
        <f>IF($F219="","",$F219*chronic_consumption!G219/1000/$C$3)</f>
        <v>#DIV/0!</v>
      </c>
      <c r="M219" s="967" t="e">
        <f>IF($F219="","",$F219*chronic_consumption!H219/1000/$C$3)</f>
        <v>#DIV/0!</v>
      </c>
      <c r="N219" s="967" t="e">
        <f>IF($F219="","",$F219*chronic_consumption!I219/1000/$C$3)</f>
        <v>#DIV/0!</v>
      </c>
      <c r="O219" s="967" t="e">
        <f>IF($F219="","",$F219*chronic_consumption!J219/1000/$C$3)</f>
        <v>#DIV/0!</v>
      </c>
      <c r="P219" s="967" t="e">
        <f>IF($F219="","",$F219*chronic_consumption!K219/1000/$C$3)</f>
        <v>#DIV/0!</v>
      </c>
      <c r="Q219" s="967" t="e">
        <f>IF($F219="","",$F219*chronic_consumption!L219/1000/$C$3)</f>
        <v>#DIV/0!</v>
      </c>
      <c r="R219" s="967" t="e">
        <f>IF($F219="","",$F219*chronic_consumption!M219/1000/$C$3)</f>
        <v>#DIV/0!</v>
      </c>
      <c r="S219" s="967" t="e">
        <f>IF($F219="","",$F219*chronic_consumption!N219/1000/$C$3)</f>
        <v>#DIV/0!</v>
      </c>
      <c r="T219" s="967" t="e">
        <f>IF($F219="","",$F219*chronic_consumption!O219/1000/$C$3)</f>
        <v>#DIV/0!</v>
      </c>
      <c r="U219" s="967" t="e">
        <f>IF($F219="","",$F219*chronic_consumption!P219/1000/$C$3)</f>
        <v>#DIV/0!</v>
      </c>
      <c r="V219" s="967" t="e">
        <f>IF($F219="","",$F219*chronic_consumption!Q219/1000/$C$3)</f>
        <v>#DIV/0!</v>
      </c>
      <c r="W219" s="967" t="e">
        <f>IF($F219="","",$F219*chronic_consumption!R219/1000/$C$3)</f>
        <v>#DIV/0!</v>
      </c>
      <c r="X219" s="967" t="e">
        <f>IF($F219="","",$F219*chronic_consumption!S219/1000/$C$3)</f>
        <v>#DIV/0!</v>
      </c>
      <c r="Y219" s="967" t="e">
        <f>IF($F219="","",$F219*chronic_consumption!T219/1000/$C$3)</f>
        <v>#DIV/0!</v>
      </c>
      <c r="Z219" s="967" t="e">
        <f>IF($F219="","",$F219*chronic_consumption!U219/1000/$C$3)</f>
        <v>#DIV/0!</v>
      </c>
      <c r="AA219" s="967" t="e">
        <f>IF($F219="","",$F219*chronic_consumption!V219/1000/$C$3)</f>
        <v>#DIV/0!</v>
      </c>
      <c r="AB219" s="967" t="e">
        <f>IF($F219="","",$F219*chronic_consumption!W219/1000/$C$3)</f>
        <v>#DIV/0!</v>
      </c>
      <c r="AC219" s="967" t="e">
        <f>IF($F219="","",$F219*chronic_consumption!X219/1000/$C$3)</f>
        <v>#DIV/0!</v>
      </c>
      <c r="AD219" s="967" t="e">
        <f>IF($F219="","",$F219*chronic_consumption!Y219/1000/$C$3)</f>
        <v>#DIV/0!</v>
      </c>
      <c r="AE219" s="967" t="e">
        <f>IF($F219="","",$F219*chronic_consumption!Z219/1000/$C$3)</f>
        <v>#DIV/0!</v>
      </c>
      <c r="AF219" s="967" t="e">
        <f>IF($F219="","",$F219*chronic_consumption!AA219/1000/$C$3)</f>
        <v>#DIV/0!</v>
      </c>
      <c r="AG219" s="967" t="e">
        <f>IF($F219="","",$F219*chronic_consumption!AB219/1000/$C$3)</f>
        <v>#DIV/0!</v>
      </c>
      <c r="AH219" s="967" t="e">
        <f>IF($F219="","",$F219*chronic_consumption!AC219/1000/$C$3)</f>
        <v>#DIV/0!</v>
      </c>
      <c r="AI219" s="967" t="e">
        <f>IF($F219="","",$F219*chronic_consumption!AD219/1000/$C$3)</f>
        <v>#DIV/0!</v>
      </c>
      <c r="AJ219" s="967" t="e">
        <f>IF($F219="","",$F219*chronic_consumption!AE219/1000/$C$3)</f>
        <v>#DIV/0!</v>
      </c>
      <c r="AK219" s="967" t="e">
        <f>IF($F219="","",$F219*chronic_consumption!AF219/1000/$C$3)</f>
        <v>#DIV/0!</v>
      </c>
      <c r="AL219" s="967" t="e">
        <f>IF($F219="","",$F219*chronic_consumption!AG219/1000/$C$3)</f>
        <v>#DIV/0!</v>
      </c>
      <c r="AM219" s="967" t="e">
        <f>IF($F219="","",$F219*chronic_consumption!AH219/1000/$C$3)</f>
        <v>#DIV/0!</v>
      </c>
      <c r="AN219" s="967" t="e">
        <f>IF($F219="","",$F219*chronic_consumption!AI219/1000/$C$3)</f>
        <v>#DIV/0!</v>
      </c>
      <c r="AO219" s="967" t="e">
        <f>IF($F219="","",$F219*chronic_consumption!AJ219/1000/$C$3)</f>
        <v>#DIV/0!</v>
      </c>
      <c r="AP219" s="967" t="e">
        <f>IF($F219="","",$F219*chronic_consumption!AK219/1000/$C$3)</f>
        <v>#DIV/0!</v>
      </c>
      <c r="AQ219" s="967" t="e">
        <f>IF($F219="","",$F219*chronic_consumption!AL219/1000/$C$3)</f>
        <v>#DIV/0!</v>
      </c>
      <c r="AR219" s="967" t="e">
        <f>IF($F219="","",$F219*chronic_consumption!AM219/1000/$C$3)</f>
        <v>#DIV/0!</v>
      </c>
      <c r="AS219" s="967" t="e">
        <f>IF($F219="","",$F219*chronic_consumption!AN219/1000/$C$3)</f>
        <v>#DIV/0!</v>
      </c>
      <c r="AT219" s="967" t="e">
        <f>IF($F219="","",$F219*chronic_consumption!AO219/1000/$C$3)</f>
        <v>#DIV/0!</v>
      </c>
      <c r="AU219" s="967"/>
      <c r="AV219" s="967" t="e">
        <f>IF($F219="","",$F219*chronic_consumption!AQ219/1000/$C$3)</f>
        <v>#DIV/0!</v>
      </c>
      <c r="AW219" s="967" t="e">
        <f>IF($F219="","",$F219*chronic_consumption!AR219/1000/$C$3)</f>
        <v>#DIV/0!</v>
      </c>
      <c r="AX219" s="967" t="e">
        <f>IF($F219="","",$F219*chronic_consumption!AS219/1000/$C$3)</f>
        <v>#DIV/0!</v>
      </c>
      <c r="AY219" s="967" t="e">
        <f>IF($F219="","",$F219*chronic_consumption!AT219/1000/$C$3)</f>
        <v>#DIV/0!</v>
      </c>
      <c r="AZ219" s="973"/>
      <c r="BA219" s="969" t="e">
        <f t="shared" si="19"/>
        <v>#DIV/0!</v>
      </c>
      <c r="BB219" s="970" t="e">
        <f t="shared" si="20"/>
        <v>#DIV/0!</v>
      </c>
      <c r="BC219" s="971" t="e">
        <f t="shared" ca="1" si="21"/>
        <v>#DIV/0!</v>
      </c>
      <c r="BD219" s="228">
        <f>input_values!Z219</f>
        <v>4</v>
      </c>
      <c r="BE219" s="152">
        <f>input_values!L219</f>
        <v>0</v>
      </c>
      <c r="BF219" s="972" t="str">
        <f t="shared" si="22"/>
        <v/>
      </c>
    </row>
    <row r="220" spans="1:58" ht="12" customHeight="1" outlineLevel="3" x14ac:dyDescent="0.2">
      <c r="A220" s="21">
        <v>4</v>
      </c>
      <c r="B220" s="23">
        <v>401010</v>
      </c>
      <c r="C220" s="23" t="s">
        <v>745</v>
      </c>
      <c r="D220" s="965">
        <f>Table22[[#This Row],[MRL individual commodity]]</f>
        <v>0</v>
      </c>
      <c r="E220" s="300" t="str">
        <f>Table22[[#This Row],[LOQ_label]]</f>
        <v/>
      </c>
      <c r="F220" s="966">
        <f>Table22[[#This Row],[Chronic RA input value]]</f>
        <v>0</v>
      </c>
      <c r="G220" s="304" t="str">
        <f>Table22[[#This Row],[Chronic RA label]]</f>
        <v/>
      </c>
      <c r="H220" s="304">
        <f>Table22[[#This Row],[GAP under assessment]]</f>
        <v>0</v>
      </c>
      <c r="I220" s="1123"/>
      <c r="J220" s="974" t="e">
        <f>IF($F220="","",$F220*chronic_consumption!$E220/1000/$C$3)</f>
        <v>#DIV/0!</v>
      </c>
      <c r="K220" s="974" t="e">
        <f>IF($F220="","",$F220*chronic_consumption!F220/1000/$C$3)</f>
        <v>#DIV/0!</v>
      </c>
      <c r="L220" s="974" t="e">
        <f>IF($F220="","",$F220*chronic_consumption!G220/1000/$C$3)</f>
        <v>#DIV/0!</v>
      </c>
      <c r="M220" s="974" t="e">
        <f>IF($F220="","",$F220*chronic_consumption!H220/1000/$C$3)</f>
        <v>#DIV/0!</v>
      </c>
      <c r="N220" s="974" t="e">
        <f>IF($F220="","",$F220*chronic_consumption!I220/1000/$C$3)</f>
        <v>#DIV/0!</v>
      </c>
      <c r="O220" s="974" t="e">
        <f>IF($F220="","",$F220*chronic_consumption!J220/1000/$C$3)</f>
        <v>#DIV/0!</v>
      </c>
      <c r="P220" s="974" t="e">
        <f>IF($F220="","",$F220*chronic_consumption!K220/1000/$C$3)</f>
        <v>#DIV/0!</v>
      </c>
      <c r="Q220" s="974" t="e">
        <f>IF($F220="","",$F220*chronic_consumption!L220/1000/$C$3)</f>
        <v>#DIV/0!</v>
      </c>
      <c r="R220" s="974" t="e">
        <f>IF($F220="","",$F220*chronic_consumption!M220/1000/$C$3)</f>
        <v>#DIV/0!</v>
      </c>
      <c r="S220" s="974" t="e">
        <f>IF($F220="","",$F220*chronic_consumption!N220/1000/$C$3)</f>
        <v>#DIV/0!</v>
      </c>
      <c r="T220" s="974" t="e">
        <f>IF($F220="","",$F220*chronic_consumption!O220/1000/$C$3)</f>
        <v>#DIV/0!</v>
      </c>
      <c r="U220" s="974" t="e">
        <f>IF($F220="","",$F220*chronic_consumption!P220/1000/$C$3)</f>
        <v>#DIV/0!</v>
      </c>
      <c r="V220" s="974" t="e">
        <f>IF($F220="","",$F220*chronic_consumption!Q220/1000/$C$3)</f>
        <v>#DIV/0!</v>
      </c>
      <c r="W220" s="974" t="e">
        <f>IF($F220="","",$F220*chronic_consumption!R220/1000/$C$3)</f>
        <v>#DIV/0!</v>
      </c>
      <c r="X220" s="974" t="e">
        <f>IF($F220="","",$F220*chronic_consumption!S220/1000/$C$3)</f>
        <v>#DIV/0!</v>
      </c>
      <c r="Y220" s="974" t="e">
        <f>IF($F220="","",$F220*chronic_consumption!T220/1000/$C$3)</f>
        <v>#DIV/0!</v>
      </c>
      <c r="Z220" s="974" t="e">
        <f>IF($F220="","",$F220*chronic_consumption!U220/1000/$C$3)</f>
        <v>#DIV/0!</v>
      </c>
      <c r="AA220" s="974" t="e">
        <f>IF($F220="","",$F220*chronic_consumption!V220/1000/$C$3)</f>
        <v>#DIV/0!</v>
      </c>
      <c r="AB220" s="974" t="e">
        <f>IF($F220="","",$F220*chronic_consumption!W220/1000/$C$3)</f>
        <v>#DIV/0!</v>
      </c>
      <c r="AC220" s="974" t="e">
        <f>IF($F220="","",$F220*chronic_consumption!X220/1000/$C$3)</f>
        <v>#DIV/0!</v>
      </c>
      <c r="AD220" s="974" t="e">
        <f>IF($F220="","",$F220*chronic_consumption!Y220/1000/$C$3)</f>
        <v>#DIV/0!</v>
      </c>
      <c r="AE220" s="974" t="e">
        <f>IF($F220="","",$F220*chronic_consumption!Z220/1000/$C$3)</f>
        <v>#DIV/0!</v>
      </c>
      <c r="AF220" s="974" t="e">
        <f>IF($F220="","",$F220*chronic_consumption!AA220/1000/$C$3)</f>
        <v>#DIV/0!</v>
      </c>
      <c r="AG220" s="974" t="e">
        <f>IF($F220="","",$F220*chronic_consumption!AB220/1000/$C$3)</f>
        <v>#DIV/0!</v>
      </c>
      <c r="AH220" s="974" t="e">
        <f>IF($F220="","",$F220*chronic_consumption!AC220/1000/$C$3)</f>
        <v>#DIV/0!</v>
      </c>
      <c r="AI220" s="974" t="e">
        <f>IF($F220="","",$F220*chronic_consumption!AD220/1000/$C$3)</f>
        <v>#DIV/0!</v>
      </c>
      <c r="AJ220" s="974" t="e">
        <f>IF($F220="","",$F220*chronic_consumption!AE220/1000/$C$3)</f>
        <v>#DIV/0!</v>
      </c>
      <c r="AK220" s="974" t="e">
        <f>IF($F220="","",$F220*chronic_consumption!AF220/1000/$C$3)</f>
        <v>#DIV/0!</v>
      </c>
      <c r="AL220" s="974" t="e">
        <f>IF($F220="","",$F220*chronic_consumption!AG220/1000/$C$3)</f>
        <v>#DIV/0!</v>
      </c>
      <c r="AM220" s="974" t="e">
        <f>IF($F220="","",$F220*chronic_consumption!AH220/1000/$C$3)</f>
        <v>#DIV/0!</v>
      </c>
      <c r="AN220" s="974" t="e">
        <f>IF($F220="","",$F220*chronic_consumption!AI220/1000/$C$3)</f>
        <v>#DIV/0!</v>
      </c>
      <c r="AO220" s="974" t="e">
        <f>IF($F220="","",$F220*chronic_consumption!AJ220/1000/$C$3)</f>
        <v>#DIV/0!</v>
      </c>
      <c r="AP220" s="974" t="e">
        <f>IF($F220="","",$F220*chronic_consumption!AK220/1000/$C$3)</f>
        <v>#DIV/0!</v>
      </c>
      <c r="AQ220" s="974" t="e">
        <f>IF($F220="","",$F220*chronic_consumption!AL220/1000/$C$3)</f>
        <v>#DIV/0!</v>
      </c>
      <c r="AR220" s="974" t="e">
        <f>IF($F220="","",$F220*chronic_consumption!AM220/1000/$C$3)</f>
        <v>#DIV/0!</v>
      </c>
      <c r="AS220" s="974" t="e">
        <f>IF($F220="","",$F220*chronic_consumption!AN220/1000/$C$3)</f>
        <v>#DIV/0!</v>
      </c>
      <c r="AT220" s="974" t="e">
        <f>IF($F220="","",$F220*chronic_consumption!AO220/1000/$C$3)</f>
        <v>#DIV/0!</v>
      </c>
      <c r="AU220" s="974"/>
      <c r="AV220" s="974" t="e">
        <f>IF($F220="","",$F220*chronic_consumption!AQ220/1000/$C$3)</f>
        <v>#DIV/0!</v>
      </c>
      <c r="AW220" s="974" t="e">
        <f>IF($F220="","",$F220*chronic_consumption!AR220/1000/$C$3)</f>
        <v>#DIV/0!</v>
      </c>
      <c r="AX220" s="974" t="e">
        <f>IF($F220="","",$F220*chronic_consumption!AS220/1000/$C$3)</f>
        <v>#DIV/0!</v>
      </c>
      <c r="AY220" s="974" t="e">
        <f>IF($F220="","",$F220*chronic_consumption!AT220/1000/$C$3)</f>
        <v>#DIV/0!</v>
      </c>
      <c r="AZ220" s="973" t="s">
        <v>19</v>
      </c>
      <c r="BA220" s="969" t="e">
        <f t="shared" si="19"/>
        <v>#DIV/0!</v>
      </c>
      <c r="BB220" s="970" t="e">
        <f t="shared" si="20"/>
        <v>#DIV/0!</v>
      </c>
      <c r="BC220" s="971" t="e">
        <f t="shared" ca="1" si="21"/>
        <v>#DIV/0!</v>
      </c>
      <c r="BD220" s="228">
        <f>input_values!Z220</f>
        <v>4</v>
      </c>
      <c r="BE220" s="152">
        <f>input_values!L220</f>
        <v>0</v>
      </c>
      <c r="BF220" s="972" t="str">
        <f t="shared" si="22"/>
        <v/>
      </c>
    </row>
    <row r="221" spans="1:58" ht="12" customHeight="1" outlineLevel="3" x14ac:dyDescent="0.2">
      <c r="A221" s="21">
        <v>4</v>
      </c>
      <c r="B221" s="23">
        <v>401020</v>
      </c>
      <c r="C221" s="23" t="s">
        <v>746</v>
      </c>
      <c r="D221" s="965">
        <f>Table22[[#This Row],[MRL individual commodity]]</f>
        <v>0</v>
      </c>
      <c r="E221" s="300" t="str">
        <f>Table22[[#This Row],[LOQ_label]]</f>
        <v/>
      </c>
      <c r="F221" s="966">
        <f>Table22[[#This Row],[Chronic RA input value]]</f>
        <v>0</v>
      </c>
      <c r="G221" s="304" t="str">
        <f>Table22[[#This Row],[Chronic RA label]]</f>
        <v/>
      </c>
      <c r="H221" s="304">
        <f>Table22[[#This Row],[GAP under assessment]]</f>
        <v>0</v>
      </c>
      <c r="I221" s="1123"/>
      <c r="J221" s="974" t="e">
        <f>IF($F221="","",$F221*chronic_consumption!$E221/1000/$C$3)</f>
        <v>#DIV/0!</v>
      </c>
      <c r="K221" s="974" t="e">
        <f>IF($F221="","",$F221*chronic_consumption!F221/1000/$C$3)</f>
        <v>#DIV/0!</v>
      </c>
      <c r="L221" s="974" t="e">
        <f>IF($F221="","",$F221*chronic_consumption!G221/1000/$C$3)</f>
        <v>#DIV/0!</v>
      </c>
      <c r="M221" s="974" t="e">
        <f>IF($F221="","",$F221*chronic_consumption!H221/1000/$C$3)</f>
        <v>#DIV/0!</v>
      </c>
      <c r="N221" s="974" t="e">
        <f>IF($F221="","",$F221*chronic_consumption!I221/1000/$C$3)</f>
        <v>#DIV/0!</v>
      </c>
      <c r="O221" s="974" t="e">
        <f>IF($F221="","",$F221*chronic_consumption!J221/1000/$C$3)</f>
        <v>#DIV/0!</v>
      </c>
      <c r="P221" s="974" t="e">
        <f>IF($F221="","",$F221*chronic_consumption!K221/1000/$C$3)</f>
        <v>#DIV/0!</v>
      </c>
      <c r="Q221" s="974" t="e">
        <f>IF($F221="","",$F221*chronic_consumption!L221/1000/$C$3)</f>
        <v>#DIV/0!</v>
      </c>
      <c r="R221" s="974" t="e">
        <f>IF($F221="","",$F221*chronic_consumption!M221/1000/$C$3)</f>
        <v>#DIV/0!</v>
      </c>
      <c r="S221" s="974" t="e">
        <f>IF($F221="","",$F221*chronic_consumption!N221/1000/$C$3)</f>
        <v>#DIV/0!</v>
      </c>
      <c r="T221" s="974" t="e">
        <f>IF($F221="","",$F221*chronic_consumption!O221/1000/$C$3)</f>
        <v>#DIV/0!</v>
      </c>
      <c r="U221" s="974" t="e">
        <f>IF($F221="","",$F221*chronic_consumption!P221/1000/$C$3)</f>
        <v>#DIV/0!</v>
      </c>
      <c r="V221" s="974" t="e">
        <f>IF($F221="","",$F221*chronic_consumption!Q221/1000/$C$3)</f>
        <v>#DIV/0!</v>
      </c>
      <c r="W221" s="974" t="e">
        <f>IF($F221="","",$F221*chronic_consumption!R221/1000/$C$3)</f>
        <v>#DIV/0!</v>
      </c>
      <c r="X221" s="974" t="e">
        <f>IF($F221="","",$F221*chronic_consumption!S221/1000/$C$3)</f>
        <v>#DIV/0!</v>
      </c>
      <c r="Y221" s="974" t="e">
        <f>IF($F221="","",$F221*chronic_consumption!T221/1000/$C$3)</f>
        <v>#DIV/0!</v>
      </c>
      <c r="Z221" s="974" t="e">
        <f>IF($F221="","",$F221*chronic_consumption!U221/1000/$C$3)</f>
        <v>#DIV/0!</v>
      </c>
      <c r="AA221" s="974" t="e">
        <f>IF($F221="","",$F221*chronic_consumption!V221/1000/$C$3)</f>
        <v>#DIV/0!</v>
      </c>
      <c r="AB221" s="974" t="e">
        <f>IF($F221="","",$F221*chronic_consumption!W221/1000/$C$3)</f>
        <v>#DIV/0!</v>
      </c>
      <c r="AC221" s="974" t="e">
        <f>IF($F221="","",$F221*chronic_consumption!X221/1000/$C$3)</f>
        <v>#DIV/0!</v>
      </c>
      <c r="AD221" s="974" t="e">
        <f>IF($F221="","",$F221*chronic_consumption!Y221/1000/$C$3)</f>
        <v>#DIV/0!</v>
      </c>
      <c r="AE221" s="974" t="e">
        <f>IF($F221="","",$F221*chronic_consumption!Z221/1000/$C$3)</f>
        <v>#DIV/0!</v>
      </c>
      <c r="AF221" s="974" t="e">
        <f>IF($F221="","",$F221*chronic_consumption!AA221/1000/$C$3)</f>
        <v>#DIV/0!</v>
      </c>
      <c r="AG221" s="974" t="e">
        <f>IF($F221="","",$F221*chronic_consumption!AB221/1000/$C$3)</f>
        <v>#DIV/0!</v>
      </c>
      <c r="AH221" s="974" t="e">
        <f>IF($F221="","",$F221*chronic_consumption!AC221/1000/$C$3)</f>
        <v>#DIV/0!</v>
      </c>
      <c r="AI221" s="974" t="e">
        <f>IF($F221="","",$F221*chronic_consumption!AD221/1000/$C$3)</f>
        <v>#DIV/0!</v>
      </c>
      <c r="AJ221" s="974" t="e">
        <f>IF($F221="","",$F221*chronic_consumption!AE221/1000/$C$3)</f>
        <v>#DIV/0!</v>
      </c>
      <c r="AK221" s="974" t="e">
        <f>IF($F221="","",$F221*chronic_consumption!AF221/1000/$C$3)</f>
        <v>#DIV/0!</v>
      </c>
      <c r="AL221" s="974" t="e">
        <f>IF($F221="","",$F221*chronic_consumption!AG221/1000/$C$3)</f>
        <v>#DIV/0!</v>
      </c>
      <c r="AM221" s="974" t="e">
        <f>IF($F221="","",$F221*chronic_consumption!AH221/1000/$C$3)</f>
        <v>#DIV/0!</v>
      </c>
      <c r="AN221" s="974" t="e">
        <f>IF($F221="","",$F221*chronic_consumption!AI221/1000/$C$3)</f>
        <v>#DIV/0!</v>
      </c>
      <c r="AO221" s="974" t="e">
        <f>IF($F221="","",$F221*chronic_consumption!AJ221/1000/$C$3)</f>
        <v>#DIV/0!</v>
      </c>
      <c r="AP221" s="974" t="e">
        <f>IF($F221="","",$F221*chronic_consumption!AK221/1000/$C$3)</f>
        <v>#DIV/0!</v>
      </c>
      <c r="AQ221" s="974" t="e">
        <f>IF($F221="","",$F221*chronic_consumption!AL221/1000/$C$3)</f>
        <v>#DIV/0!</v>
      </c>
      <c r="AR221" s="974" t="e">
        <f>IF($F221="","",$F221*chronic_consumption!AM221/1000/$C$3)</f>
        <v>#DIV/0!</v>
      </c>
      <c r="AS221" s="974" t="e">
        <f>IF($F221="","",$F221*chronic_consumption!AN221/1000/$C$3)</f>
        <v>#DIV/0!</v>
      </c>
      <c r="AT221" s="974" t="e">
        <f>IF($F221="","",$F221*chronic_consumption!AO221/1000/$C$3)</f>
        <v>#DIV/0!</v>
      </c>
      <c r="AU221" s="974"/>
      <c r="AV221" s="974" t="e">
        <f>IF($F221="","",$F221*chronic_consumption!AQ221/1000/$C$3)</f>
        <v>#DIV/0!</v>
      </c>
      <c r="AW221" s="974" t="e">
        <f>IF($F221="","",$F221*chronic_consumption!AR221/1000/$C$3)</f>
        <v>#DIV/0!</v>
      </c>
      <c r="AX221" s="974" t="e">
        <f>IF($F221="","",$F221*chronic_consumption!AS221/1000/$C$3)</f>
        <v>#DIV/0!</v>
      </c>
      <c r="AY221" s="974" t="e">
        <f>IF($F221="","",$F221*chronic_consumption!AT221/1000/$C$3)</f>
        <v>#DIV/0!</v>
      </c>
      <c r="AZ221" s="973" t="s">
        <v>19</v>
      </c>
      <c r="BA221" s="969" t="e">
        <f t="shared" si="19"/>
        <v>#DIV/0!</v>
      </c>
      <c r="BB221" s="970" t="e">
        <f t="shared" si="20"/>
        <v>#DIV/0!</v>
      </c>
      <c r="BC221" s="971" t="e">
        <f t="shared" ca="1" si="21"/>
        <v>#DIV/0!</v>
      </c>
      <c r="BD221" s="228">
        <f>input_values!Z221</f>
        <v>4</v>
      </c>
      <c r="BE221" s="152">
        <f>input_values!L221</f>
        <v>0</v>
      </c>
      <c r="BF221" s="972" t="str">
        <f t="shared" si="22"/>
        <v/>
      </c>
    </row>
    <row r="222" spans="1:58" ht="12" customHeight="1" outlineLevel="3" x14ac:dyDescent="0.2">
      <c r="A222" s="21">
        <v>4</v>
      </c>
      <c r="B222" s="23">
        <v>401030</v>
      </c>
      <c r="C222" s="23" t="s">
        <v>747</v>
      </c>
      <c r="D222" s="965">
        <f>Table22[[#This Row],[MRL individual commodity]]</f>
        <v>0</v>
      </c>
      <c r="E222" s="300" t="str">
        <f>Table22[[#This Row],[LOQ_label]]</f>
        <v/>
      </c>
      <c r="F222" s="966">
        <f>Table22[[#This Row],[Chronic RA input value]]</f>
        <v>0</v>
      </c>
      <c r="G222" s="304" t="str">
        <f>Table22[[#This Row],[Chronic RA label]]</f>
        <v/>
      </c>
      <c r="H222" s="304">
        <f>Table22[[#This Row],[GAP under assessment]]</f>
        <v>0</v>
      </c>
      <c r="I222" s="1123"/>
      <c r="J222" s="974" t="e">
        <f>IF($F222="","",$F222*chronic_consumption!$E222/1000/$C$3)</f>
        <v>#DIV/0!</v>
      </c>
      <c r="K222" s="974" t="e">
        <f>IF($F222="","",$F222*chronic_consumption!F222/1000/$C$3)</f>
        <v>#DIV/0!</v>
      </c>
      <c r="L222" s="974" t="e">
        <f>IF($F222="","",$F222*chronic_consumption!G222/1000/$C$3)</f>
        <v>#DIV/0!</v>
      </c>
      <c r="M222" s="974" t="e">
        <f>IF($F222="","",$F222*chronic_consumption!H222/1000/$C$3)</f>
        <v>#DIV/0!</v>
      </c>
      <c r="N222" s="974" t="e">
        <f>IF($F222="","",$F222*chronic_consumption!I222/1000/$C$3)</f>
        <v>#DIV/0!</v>
      </c>
      <c r="O222" s="974" t="e">
        <f>IF($F222="","",$F222*chronic_consumption!J222/1000/$C$3)</f>
        <v>#DIV/0!</v>
      </c>
      <c r="P222" s="974" t="e">
        <f>IF($F222="","",$F222*chronic_consumption!K222/1000/$C$3)</f>
        <v>#DIV/0!</v>
      </c>
      <c r="Q222" s="974" t="e">
        <f>IF($F222="","",$F222*chronic_consumption!L222/1000/$C$3)</f>
        <v>#DIV/0!</v>
      </c>
      <c r="R222" s="974" t="e">
        <f>IF($F222="","",$F222*chronic_consumption!M222/1000/$C$3)</f>
        <v>#DIV/0!</v>
      </c>
      <c r="S222" s="974" t="e">
        <f>IF($F222="","",$F222*chronic_consumption!N222/1000/$C$3)</f>
        <v>#DIV/0!</v>
      </c>
      <c r="T222" s="974" t="e">
        <f>IF($F222="","",$F222*chronic_consumption!O222/1000/$C$3)</f>
        <v>#DIV/0!</v>
      </c>
      <c r="U222" s="974" t="e">
        <f>IF($F222="","",$F222*chronic_consumption!P222/1000/$C$3)</f>
        <v>#DIV/0!</v>
      </c>
      <c r="V222" s="974" t="e">
        <f>IF($F222="","",$F222*chronic_consumption!Q222/1000/$C$3)</f>
        <v>#DIV/0!</v>
      </c>
      <c r="W222" s="974" t="e">
        <f>IF($F222="","",$F222*chronic_consumption!R222/1000/$C$3)</f>
        <v>#DIV/0!</v>
      </c>
      <c r="X222" s="974" t="e">
        <f>IF($F222="","",$F222*chronic_consumption!S222/1000/$C$3)</f>
        <v>#DIV/0!</v>
      </c>
      <c r="Y222" s="974" t="e">
        <f>IF($F222="","",$F222*chronic_consumption!T222/1000/$C$3)</f>
        <v>#DIV/0!</v>
      </c>
      <c r="Z222" s="974" t="e">
        <f>IF($F222="","",$F222*chronic_consumption!U222/1000/$C$3)</f>
        <v>#DIV/0!</v>
      </c>
      <c r="AA222" s="974" t="e">
        <f>IF($F222="","",$F222*chronic_consumption!V222/1000/$C$3)</f>
        <v>#DIV/0!</v>
      </c>
      <c r="AB222" s="974" t="e">
        <f>IF($F222="","",$F222*chronic_consumption!W222/1000/$C$3)</f>
        <v>#DIV/0!</v>
      </c>
      <c r="AC222" s="974" t="e">
        <f>IF($F222="","",$F222*chronic_consumption!X222/1000/$C$3)</f>
        <v>#DIV/0!</v>
      </c>
      <c r="AD222" s="974" t="e">
        <f>IF($F222="","",$F222*chronic_consumption!Y222/1000/$C$3)</f>
        <v>#DIV/0!</v>
      </c>
      <c r="AE222" s="974" t="e">
        <f>IF($F222="","",$F222*chronic_consumption!Z222/1000/$C$3)</f>
        <v>#DIV/0!</v>
      </c>
      <c r="AF222" s="974" t="e">
        <f>IF($F222="","",$F222*chronic_consumption!AA222/1000/$C$3)</f>
        <v>#DIV/0!</v>
      </c>
      <c r="AG222" s="974" t="e">
        <f>IF($F222="","",$F222*chronic_consumption!AB222/1000/$C$3)</f>
        <v>#DIV/0!</v>
      </c>
      <c r="AH222" s="974" t="e">
        <f>IF($F222="","",$F222*chronic_consumption!AC222/1000/$C$3)</f>
        <v>#DIV/0!</v>
      </c>
      <c r="AI222" s="974" t="e">
        <f>IF($F222="","",$F222*chronic_consumption!AD222/1000/$C$3)</f>
        <v>#DIV/0!</v>
      </c>
      <c r="AJ222" s="974" t="e">
        <f>IF($F222="","",$F222*chronic_consumption!AE222/1000/$C$3)</f>
        <v>#DIV/0!</v>
      </c>
      <c r="AK222" s="974" t="e">
        <f>IF($F222="","",$F222*chronic_consumption!AF222/1000/$C$3)</f>
        <v>#DIV/0!</v>
      </c>
      <c r="AL222" s="974" t="e">
        <f>IF($F222="","",$F222*chronic_consumption!AG222/1000/$C$3)</f>
        <v>#DIV/0!</v>
      </c>
      <c r="AM222" s="974" t="e">
        <f>IF($F222="","",$F222*chronic_consumption!AH222/1000/$C$3)</f>
        <v>#DIV/0!</v>
      </c>
      <c r="AN222" s="974" t="e">
        <f>IF($F222="","",$F222*chronic_consumption!AI222/1000/$C$3)</f>
        <v>#DIV/0!</v>
      </c>
      <c r="AO222" s="974" t="e">
        <f>IF($F222="","",$F222*chronic_consumption!AJ222/1000/$C$3)</f>
        <v>#DIV/0!</v>
      </c>
      <c r="AP222" s="974" t="e">
        <f>IF($F222="","",$F222*chronic_consumption!AK222/1000/$C$3)</f>
        <v>#DIV/0!</v>
      </c>
      <c r="AQ222" s="974" t="e">
        <f>IF($F222="","",$F222*chronic_consumption!AL222/1000/$C$3)</f>
        <v>#DIV/0!</v>
      </c>
      <c r="AR222" s="974" t="e">
        <f>IF($F222="","",$F222*chronic_consumption!AM222/1000/$C$3)</f>
        <v>#DIV/0!</v>
      </c>
      <c r="AS222" s="974" t="e">
        <f>IF($F222="","",$F222*chronic_consumption!AN222/1000/$C$3)</f>
        <v>#DIV/0!</v>
      </c>
      <c r="AT222" s="974" t="e">
        <f>IF($F222="","",$F222*chronic_consumption!AO222/1000/$C$3)</f>
        <v>#DIV/0!</v>
      </c>
      <c r="AU222" s="974"/>
      <c r="AV222" s="974" t="e">
        <f>IF($F222="","",$F222*chronic_consumption!AQ222/1000/$C$3)</f>
        <v>#DIV/0!</v>
      </c>
      <c r="AW222" s="974" t="e">
        <f>IF($F222="","",$F222*chronic_consumption!AR222/1000/$C$3)</f>
        <v>#DIV/0!</v>
      </c>
      <c r="AX222" s="974" t="e">
        <f>IF($F222="","",$F222*chronic_consumption!AS222/1000/$C$3)</f>
        <v>#DIV/0!</v>
      </c>
      <c r="AY222" s="974" t="e">
        <f>IF($F222="","",$F222*chronic_consumption!AT222/1000/$C$3)</f>
        <v>#DIV/0!</v>
      </c>
      <c r="AZ222" s="973" t="s">
        <v>19</v>
      </c>
      <c r="BA222" s="969" t="e">
        <f t="shared" si="19"/>
        <v>#DIV/0!</v>
      </c>
      <c r="BB222" s="970" t="e">
        <f t="shared" si="20"/>
        <v>#DIV/0!</v>
      </c>
      <c r="BC222" s="971" t="e">
        <f t="shared" ca="1" si="21"/>
        <v>#DIV/0!</v>
      </c>
      <c r="BD222" s="228">
        <f>input_values!Z222</f>
        <v>4</v>
      </c>
      <c r="BE222" s="152">
        <f>input_values!L222</f>
        <v>0</v>
      </c>
      <c r="BF222" s="972" t="str">
        <f t="shared" si="22"/>
        <v/>
      </c>
    </row>
    <row r="223" spans="1:58" ht="12" customHeight="1" outlineLevel="3" x14ac:dyDescent="0.2">
      <c r="A223" s="21">
        <v>4</v>
      </c>
      <c r="B223" s="23">
        <v>401040</v>
      </c>
      <c r="C223" s="23" t="s">
        <v>748</v>
      </c>
      <c r="D223" s="965">
        <f>Table22[[#This Row],[MRL individual commodity]]</f>
        <v>0</v>
      </c>
      <c r="E223" s="300" t="str">
        <f>Table22[[#This Row],[LOQ_label]]</f>
        <v/>
      </c>
      <c r="F223" s="966">
        <f>Table22[[#This Row],[Chronic RA input value]]</f>
        <v>0</v>
      </c>
      <c r="G223" s="304" t="str">
        <f>Table22[[#This Row],[Chronic RA label]]</f>
        <v/>
      </c>
      <c r="H223" s="304">
        <f>Table22[[#This Row],[GAP under assessment]]</f>
        <v>0</v>
      </c>
      <c r="I223" s="1123"/>
      <c r="J223" s="974" t="e">
        <f>IF($F223="","",$F223*chronic_consumption!$E223/1000/$C$3)</f>
        <v>#DIV/0!</v>
      </c>
      <c r="K223" s="974" t="e">
        <f>IF($F223="","",$F223*chronic_consumption!F223/1000/$C$3)</f>
        <v>#DIV/0!</v>
      </c>
      <c r="L223" s="974" t="e">
        <f>IF($F223="","",$F223*chronic_consumption!G223/1000/$C$3)</f>
        <v>#DIV/0!</v>
      </c>
      <c r="M223" s="974" t="e">
        <f>IF($F223="","",$F223*chronic_consumption!H223/1000/$C$3)</f>
        <v>#DIV/0!</v>
      </c>
      <c r="N223" s="974" t="e">
        <f>IF($F223="","",$F223*chronic_consumption!I223/1000/$C$3)</f>
        <v>#DIV/0!</v>
      </c>
      <c r="O223" s="974" t="e">
        <f>IF($F223="","",$F223*chronic_consumption!J223/1000/$C$3)</f>
        <v>#DIV/0!</v>
      </c>
      <c r="P223" s="974" t="e">
        <f>IF($F223="","",$F223*chronic_consumption!K223/1000/$C$3)</f>
        <v>#DIV/0!</v>
      </c>
      <c r="Q223" s="974" t="e">
        <f>IF($F223="","",$F223*chronic_consumption!L223/1000/$C$3)</f>
        <v>#DIV/0!</v>
      </c>
      <c r="R223" s="974" t="e">
        <f>IF($F223="","",$F223*chronic_consumption!M223/1000/$C$3)</f>
        <v>#DIV/0!</v>
      </c>
      <c r="S223" s="974" t="e">
        <f>IF($F223="","",$F223*chronic_consumption!N223/1000/$C$3)</f>
        <v>#DIV/0!</v>
      </c>
      <c r="T223" s="974" t="e">
        <f>IF($F223="","",$F223*chronic_consumption!O223/1000/$C$3)</f>
        <v>#DIV/0!</v>
      </c>
      <c r="U223" s="974" t="e">
        <f>IF($F223="","",$F223*chronic_consumption!P223/1000/$C$3)</f>
        <v>#DIV/0!</v>
      </c>
      <c r="V223" s="974" t="e">
        <f>IF($F223="","",$F223*chronic_consumption!Q223/1000/$C$3)</f>
        <v>#DIV/0!</v>
      </c>
      <c r="W223" s="974" t="e">
        <f>IF($F223="","",$F223*chronic_consumption!R223/1000/$C$3)</f>
        <v>#DIV/0!</v>
      </c>
      <c r="X223" s="974" t="e">
        <f>IF($F223="","",$F223*chronic_consumption!S223/1000/$C$3)</f>
        <v>#DIV/0!</v>
      </c>
      <c r="Y223" s="974" t="e">
        <f>IF($F223="","",$F223*chronic_consumption!T223/1000/$C$3)</f>
        <v>#DIV/0!</v>
      </c>
      <c r="Z223" s="974" t="e">
        <f>IF($F223="","",$F223*chronic_consumption!U223/1000/$C$3)</f>
        <v>#DIV/0!</v>
      </c>
      <c r="AA223" s="974" t="e">
        <f>IF($F223="","",$F223*chronic_consumption!V223/1000/$C$3)</f>
        <v>#DIV/0!</v>
      </c>
      <c r="AB223" s="974" t="e">
        <f>IF($F223="","",$F223*chronic_consumption!W223/1000/$C$3)</f>
        <v>#DIV/0!</v>
      </c>
      <c r="AC223" s="974" t="e">
        <f>IF($F223="","",$F223*chronic_consumption!X223/1000/$C$3)</f>
        <v>#DIV/0!</v>
      </c>
      <c r="AD223" s="974" t="e">
        <f>IF($F223="","",$F223*chronic_consumption!Y223/1000/$C$3)</f>
        <v>#DIV/0!</v>
      </c>
      <c r="AE223" s="974" t="e">
        <f>IF($F223="","",$F223*chronic_consumption!Z223/1000/$C$3)</f>
        <v>#DIV/0!</v>
      </c>
      <c r="AF223" s="974" t="e">
        <f>IF($F223="","",$F223*chronic_consumption!AA223/1000/$C$3)</f>
        <v>#DIV/0!</v>
      </c>
      <c r="AG223" s="974" t="e">
        <f>IF($F223="","",$F223*chronic_consumption!AB223/1000/$C$3)</f>
        <v>#DIV/0!</v>
      </c>
      <c r="AH223" s="974" t="e">
        <f>IF($F223="","",$F223*chronic_consumption!AC223/1000/$C$3)</f>
        <v>#DIV/0!</v>
      </c>
      <c r="AI223" s="974" t="e">
        <f>IF($F223="","",$F223*chronic_consumption!AD223/1000/$C$3)</f>
        <v>#DIV/0!</v>
      </c>
      <c r="AJ223" s="974" t="e">
        <f>IF($F223="","",$F223*chronic_consumption!AE223/1000/$C$3)</f>
        <v>#DIV/0!</v>
      </c>
      <c r="AK223" s="974" t="e">
        <f>IF($F223="","",$F223*chronic_consumption!AF223/1000/$C$3)</f>
        <v>#DIV/0!</v>
      </c>
      <c r="AL223" s="974" t="e">
        <f>IF($F223="","",$F223*chronic_consumption!AG223/1000/$C$3)</f>
        <v>#DIV/0!</v>
      </c>
      <c r="AM223" s="974" t="e">
        <f>IF($F223="","",$F223*chronic_consumption!AH223/1000/$C$3)</f>
        <v>#DIV/0!</v>
      </c>
      <c r="AN223" s="974" t="e">
        <f>IF($F223="","",$F223*chronic_consumption!AI223/1000/$C$3)</f>
        <v>#DIV/0!</v>
      </c>
      <c r="AO223" s="974" t="e">
        <f>IF($F223="","",$F223*chronic_consumption!AJ223/1000/$C$3)</f>
        <v>#DIV/0!</v>
      </c>
      <c r="AP223" s="974" t="e">
        <f>IF($F223="","",$F223*chronic_consumption!AK223/1000/$C$3)</f>
        <v>#DIV/0!</v>
      </c>
      <c r="AQ223" s="974" t="e">
        <f>IF($F223="","",$F223*chronic_consumption!AL223/1000/$C$3)</f>
        <v>#DIV/0!</v>
      </c>
      <c r="AR223" s="974" t="e">
        <f>IF($F223="","",$F223*chronic_consumption!AM223/1000/$C$3)</f>
        <v>#DIV/0!</v>
      </c>
      <c r="AS223" s="974" t="e">
        <f>IF($F223="","",$F223*chronic_consumption!AN223/1000/$C$3)</f>
        <v>#DIV/0!</v>
      </c>
      <c r="AT223" s="974" t="e">
        <f>IF($F223="","",$F223*chronic_consumption!AO223/1000/$C$3)</f>
        <v>#DIV/0!</v>
      </c>
      <c r="AU223" s="974"/>
      <c r="AV223" s="974" t="e">
        <f>IF($F223="","",$F223*chronic_consumption!AQ223/1000/$C$3)</f>
        <v>#DIV/0!</v>
      </c>
      <c r="AW223" s="974" t="e">
        <f>IF($F223="","",$F223*chronic_consumption!AR223/1000/$C$3)</f>
        <v>#DIV/0!</v>
      </c>
      <c r="AX223" s="974" t="e">
        <f>IF($F223="","",$F223*chronic_consumption!AS223/1000/$C$3)</f>
        <v>#DIV/0!</v>
      </c>
      <c r="AY223" s="974" t="e">
        <f>IF($F223="","",$F223*chronic_consumption!AT223/1000/$C$3)</f>
        <v>#DIV/0!</v>
      </c>
      <c r="AZ223" s="973" t="s">
        <v>19</v>
      </c>
      <c r="BA223" s="969" t="e">
        <f t="shared" si="19"/>
        <v>#DIV/0!</v>
      </c>
      <c r="BB223" s="970" t="e">
        <f t="shared" si="20"/>
        <v>#DIV/0!</v>
      </c>
      <c r="BC223" s="971" t="e">
        <f t="shared" ca="1" si="21"/>
        <v>#DIV/0!</v>
      </c>
      <c r="BD223" s="228">
        <f>input_values!Z223</f>
        <v>4</v>
      </c>
      <c r="BE223" s="152">
        <f>input_values!L223</f>
        <v>0</v>
      </c>
      <c r="BF223" s="972" t="str">
        <f t="shared" si="22"/>
        <v/>
      </c>
    </row>
    <row r="224" spans="1:58" ht="12" customHeight="1" outlineLevel="3" x14ac:dyDescent="0.2">
      <c r="A224" s="21">
        <v>4</v>
      </c>
      <c r="B224" s="23">
        <v>401050</v>
      </c>
      <c r="C224" s="23" t="s">
        <v>749</v>
      </c>
      <c r="D224" s="965">
        <f>Table22[[#This Row],[MRL individual commodity]]</f>
        <v>0</v>
      </c>
      <c r="E224" s="300" t="str">
        <f>Table22[[#This Row],[LOQ_label]]</f>
        <v/>
      </c>
      <c r="F224" s="966">
        <f>Table22[[#This Row],[Chronic RA input value]]</f>
        <v>0</v>
      </c>
      <c r="G224" s="304" t="str">
        <f>Table22[[#This Row],[Chronic RA label]]</f>
        <v/>
      </c>
      <c r="H224" s="304">
        <f>Table22[[#This Row],[GAP under assessment]]</f>
        <v>0</v>
      </c>
      <c r="I224" s="1123"/>
      <c r="J224" s="974" t="e">
        <f>IF($F224="","",$F224*chronic_consumption!$E224/1000/$C$3)</f>
        <v>#DIV/0!</v>
      </c>
      <c r="K224" s="974" t="e">
        <f>IF($F224="","",$F224*chronic_consumption!F224/1000/$C$3)</f>
        <v>#DIV/0!</v>
      </c>
      <c r="L224" s="974" t="e">
        <f>IF($F224="","",$F224*chronic_consumption!G224/1000/$C$3)</f>
        <v>#DIV/0!</v>
      </c>
      <c r="M224" s="974" t="e">
        <f>IF($F224="","",$F224*chronic_consumption!H224/1000/$C$3)</f>
        <v>#DIV/0!</v>
      </c>
      <c r="N224" s="974" t="e">
        <f>IF($F224="","",$F224*chronic_consumption!I224/1000/$C$3)</f>
        <v>#DIV/0!</v>
      </c>
      <c r="O224" s="974" t="e">
        <f>IF($F224="","",$F224*chronic_consumption!J224/1000/$C$3)</f>
        <v>#DIV/0!</v>
      </c>
      <c r="P224" s="974" t="e">
        <f>IF($F224="","",$F224*chronic_consumption!K224/1000/$C$3)</f>
        <v>#DIV/0!</v>
      </c>
      <c r="Q224" s="974" t="e">
        <f>IF($F224="","",$F224*chronic_consumption!L224/1000/$C$3)</f>
        <v>#DIV/0!</v>
      </c>
      <c r="R224" s="974" t="e">
        <f>IF($F224="","",$F224*chronic_consumption!M224/1000/$C$3)</f>
        <v>#DIV/0!</v>
      </c>
      <c r="S224" s="974" t="e">
        <f>IF($F224="","",$F224*chronic_consumption!N224/1000/$C$3)</f>
        <v>#DIV/0!</v>
      </c>
      <c r="T224" s="974" t="e">
        <f>IF($F224="","",$F224*chronic_consumption!O224/1000/$C$3)</f>
        <v>#DIV/0!</v>
      </c>
      <c r="U224" s="974" t="e">
        <f>IF($F224="","",$F224*chronic_consumption!P224/1000/$C$3)</f>
        <v>#DIV/0!</v>
      </c>
      <c r="V224" s="974" t="e">
        <f>IF($F224="","",$F224*chronic_consumption!Q224/1000/$C$3)</f>
        <v>#DIV/0!</v>
      </c>
      <c r="W224" s="974" t="e">
        <f>IF($F224="","",$F224*chronic_consumption!R224/1000/$C$3)</f>
        <v>#DIV/0!</v>
      </c>
      <c r="X224" s="974" t="e">
        <f>IF($F224="","",$F224*chronic_consumption!S224/1000/$C$3)</f>
        <v>#DIV/0!</v>
      </c>
      <c r="Y224" s="974" t="e">
        <f>IF($F224="","",$F224*chronic_consumption!T224/1000/$C$3)</f>
        <v>#DIV/0!</v>
      </c>
      <c r="Z224" s="974" t="e">
        <f>IF($F224="","",$F224*chronic_consumption!U224/1000/$C$3)</f>
        <v>#DIV/0!</v>
      </c>
      <c r="AA224" s="974" t="e">
        <f>IF($F224="","",$F224*chronic_consumption!V224/1000/$C$3)</f>
        <v>#DIV/0!</v>
      </c>
      <c r="AB224" s="974" t="e">
        <f>IF($F224="","",$F224*chronic_consumption!W224/1000/$C$3)</f>
        <v>#DIV/0!</v>
      </c>
      <c r="AC224" s="974" t="e">
        <f>IF($F224="","",$F224*chronic_consumption!X224/1000/$C$3)</f>
        <v>#DIV/0!</v>
      </c>
      <c r="AD224" s="974" t="e">
        <f>IF($F224="","",$F224*chronic_consumption!Y224/1000/$C$3)</f>
        <v>#DIV/0!</v>
      </c>
      <c r="AE224" s="974" t="e">
        <f>IF($F224="","",$F224*chronic_consumption!Z224/1000/$C$3)</f>
        <v>#DIV/0!</v>
      </c>
      <c r="AF224" s="974" t="e">
        <f>IF($F224="","",$F224*chronic_consumption!AA224/1000/$C$3)</f>
        <v>#DIV/0!</v>
      </c>
      <c r="AG224" s="974" t="e">
        <f>IF($F224="","",$F224*chronic_consumption!AB224/1000/$C$3)</f>
        <v>#DIV/0!</v>
      </c>
      <c r="AH224" s="974" t="e">
        <f>IF($F224="","",$F224*chronic_consumption!AC224/1000/$C$3)</f>
        <v>#DIV/0!</v>
      </c>
      <c r="AI224" s="974" t="e">
        <f>IF($F224="","",$F224*chronic_consumption!AD224/1000/$C$3)</f>
        <v>#DIV/0!</v>
      </c>
      <c r="AJ224" s="974" t="e">
        <f>IF($F224="","",$F224*chronic_consumption!AE224/1000/$C$3)</f>
        <v>#DIV/0!</v>
      </c>
      <c r="AK224" s="974" t="e">
        <f>IF($F224="","",$F224*chronic_consumption!AF224/1000/$C$3)</f>
        <v>#DIV/0!</v>
      </c>
      <c r="AL224" s="974" t="e">
        <f>IF($F224="","",$F224*chronic_consumption!AG224/1000/$C$3)</f>
        <v>#DIV/0!</v>
      </c>
      <c r="AM224" s="974" t="e">
        <f>IF($F224="","",$F224*chronic_consumption!AH224/1000/$C$3)</f>
        <v>#DIV/0!</v>
      </c>
      <c r="AN224" s="974" t="e">
        <f>IF($F224="","",$F224*chronic_consumption!AI224/1000/$C$3)</f>
        <v>#DIV/0!</v>
      </c>
      <c r="AO224" s="974" t="e">
        <f>IF($F224="","",$F224*chronic_consumption!AJ224/1000/$C$3)</f>
        <v>#DIV/0!</v>
      </c>
      <c r="AP224" s="974" t="e">
        <f>IF($F224="","",$F224*chronic_consumption!AK224/1000/$C$3)</f>
        <v>#DIV/0!</v>
      </c>
      <c r="AQ224" s="974" t="e">
        <f>IF($F224="","",$F224*chronic_consumption!AL224/1000/$C$3)</f>
        <v>#DIV/0!</v>
      </c>
      <c r="AR224" s="974" t="e">
        <f>IF($F224="","",$F224*chronic_consumption!AM224/1000/$C$3)</f>
        <v>#DIV/0!</v>
      </c>
      <c r="AS224" s="974" t="e">
        <f>IF($F224="","",$F224*chronic_consumption!AN224/1000/$C$3)</f>
        <v>#DIV/0!</v>
      </c>
      <c r="AT224" s="974" t="e">
        <f>IF($F224="","",$F224*chronic_consumption!AO224/1000/$C$3)</f>
        <v>#DIV/0!</v>
      </c>
      <c r="AU224" s="974"/>
      <c r="AV224" s="974" t="e">
        <f>IF($F224="","",$F224*chronic_consumption!AQ224/1000/$C$3)</f>
        <v>#DIV/0!</v>
      </c>
      <c r="AW224" s="974" t="e">
        <f>IF($F224="","",$F224*chronic_consumption!AR224/1000/$C$3)</f>
        <v>#DIV/0!</v>
      </c>
      <c r="AX224" s="974" t="e">
        <f>IF($F224="","",$F224*chronic_consumption!AS224/1000/$C$3)</f>
        <v>#DIV/0!</v>
      </c>
      <c r="AY224" s="974" t="e">
        <f>IF($F224="","",$F224*chronic_consumption!AT224/1000/$C$3)</f>
        <v>#DIV/0!</v>
      </c>
      <c r="AZ224" s="973" t="s">
        <v>19</v>
      </c>
      <c r="BA224" s="969" t="e">
        <f t="shared" si="19"/>
        <v>#DIV/0!</v>
      </c>
      <c r="BB224" s="970" t="e">
        <f t="shared" si="20"/>
        <v>#DIV/0!</v>
      </c>
      <c r="BC224" s="971" t="e">
        <f t="shared" ca="1" si="21"/>
        <v>#DIV/0!</v>
      </c>
      <c r="BD224" s="228">
        <f>input_values!Z224</f>
        <v>4</v>
      </c>
      <c r="BE224" s="152">
        <f>input_values!L224</f>
        <v>0</v>
      </c>
      <c r="BF224" s="972" t="str">
        <f t="shared" si="22"/>
        <v/>
      </c>
    </row>
    <row r="225" spans="1:58" ht="12" customHeight="1" outlineLevel="3" x14ac:dyDescent="0.2">
      <c r="A225" s="21">
        <v>4</v>
      </c>
      <c r="B225" s="23">
        <v>401060</v>
      </c>
      <c r="C225" s="23" t="s">
        <v>750</v>
      </c>
      <c r="D225" s="965">
        <f>Table22[[#This Row],[MRL individual commodity]]</f>
        <v>0</v>
      </c>
      <c r="E225" s="300" t="str">
        <f>Table22[[#This Row],[LOQ_label]]</f>
        <v/>
      </c>
      <c r="F225" s="966">
        <f>Table22[[#This Row],[Chronic RA input value]]</f>
        <v>0</v>
      </c>
      <c r="G225" s="304" t="str">
        <f>Table22[[#This Row],[Chronic RA label]]</f>
        <v/>
      </c>
      <c r="H225" s="304">
        <f>Table22[[#This Row],[GAP under assessment]]</f>
        <v>0</v>
      </c>
      <c r="I225" s="1123"/>
      <c r="J225" s="974" t="e">
        <f>IF($F225="","",$F225*chronic_consumption!$E225/1000/$C$3)</f>
        <v>#DIV/0!</v>
      </c>
      <c r="K225" s="974" t="e">
        <f>IF($F225="","",$F225*chronic_consumption!F225/1000/$C$3)</f>
        <v>#DIV/0!</v>
      </c>
      <c r="L225" s="974" t="e">
        <f>IF($F225="","",$F225*chronic_consumption!G225/1000/$C$3)</f>
        <v>#DIV/0!</v>
      </c>
      <c r="M225" s="974" t="e">
        <f>IF($F225="","",$F225*chronic_consumption!H225/1000/$C$3)</f>
        <v>#DIV/0!</v>
      </c>
      <c r="N225" s="974" t="e">
        <f>IF($F225="","",$F225*chronic_consumption!I225/1000/$C$3)</f>
        <v>#DIV/0!</v>
      </c>
      <c r="O225" s="974" t="e">
        <f>IF($F225="","",$F225*chronic_consumption!J225/1000/$C$3)</f>
        <v>#DIV/0!</v>
      </c>
      <c r="P225" s="974" t="e">
        <f>IF($F225="","",$F225*chronic_consumption!K225/1000/$C$3)</f>
        <v>#DIV/0!</v>
      </c>
      <c r="Q225" s="974" t="e">
        <f>IF($F225="","",$F225*chronic_consumption!L225/1000/$C$3)</f>
        <v>#DIV/0!</v>
      </c>
      <c r="R225" s="974" t="e">
        <f>IF($F225="","",$F225*chronic_consumption!M225/1000/$C$3)</f>
        <v>#DIV/0!</v>
      </c>
      <c r="S225" s="974" t="e">
        <f>IF($F225="","",$F225*chronic_consumption!N225/1000/$C$3)</f>
        <v>#DIV/0!</v>
      </c>
      <c r="T225" s="974" t="e">
        <f>IF($F225="","",$F225*chronic_consumption!O225/1000/$C$3)</f>
        <v>#DIV/0!</v>
      </c>
      <c r="U225" s="974" t="e">
        <f>IF($F225="","",$F225*chronic_consumption!P225/1000/$C$3)</f>
        <v>#DIV/0!</v>
      </c>
      <c r="V225" s="974" t="e">
        <f>IF($F225="","",$F225*chronic_consumption!Q225/1000/$C$3)</f>
        <v>#DIV/0!</v>
      </c>
      <c r="W225" s="974" t="e">
        <f>IF($F225="","",$F225*chronic_consumption!R225/1000/$C$3)</f>
        <v>#DIV/0!</v>
      </c>
      <c r="X225" s="974" t="e">
        <f>IF($F225="","",$F225*chronic_consumption!S225/1000/$C$3)</f>
        <v>#DIV/0!</v>
      </c>
      <c r="Y225" s="974" t="e">
        <f>IF($F225="","",$F225*chronic_consumption!T225/1000/$C$3)</f>
        <v>#DIV/0!</v>
      </c>
      <c r="Z225" s="974" t="e">
        <f>IF($F225="","",$F225*chronic_consumption!U225/1000/$C$3)</f>
        <v>#DIV/0!</v>
      </c>
      <c r="AA225" s="974" t="e">
        <f>IF($F225="","",$F225*chronic_consumption!V225/1000/$C$3)</f>
        <v>#DIV/0!</v>
      </c>
      <c r="AB225" s="974" t="e">
        <f>IF($F225="","",$F225*chronic_consumption!W225/1000/$C$3)</f>
        <v>#DIV/0!</v>
      </c>
      <c r="AC225" s="974" t="e">
        <f>IF($F225="","",$F225*chronic_consumption!X225/1000/$C$3)</f>
        <v>#DIV/0!</v>
      </c>
      <c r="AD225" s="974" t="e">
        <f>IF($F225="","",$F225*chronic_consumption!Y225/1000/$C$3)</f>
        <v>#DIV/0!</v>
      </c>
      <c r="AE225" s="974" t="e">
        <f>IF($F225="","",$F225*chronic_consumption!Z225/1000/$C$3)</f>
        <v>#DIV/0!</v>
      </c>
      <c r="AF225" s="974" t="e">
        <f>IF($F225="","",$F225*chronic_consumption!AA225/1000/$C$3)</f>
        <v>#DIV/0!</v>
      </c>
      <c r="AG225" s="974" t="e">
        <f>IF($F225="","",$F225*chronic_consumption!AB225/1000/$C$3)</f>
        <v>#DIV/0!</v>
      </c>
      <c r="AH225" s="974" t="e">
        <f>IF($F225="","",$F225*chronic_consumption!AC225/1000/$C$3)</f>
        <v>#DIV/0!</v>
      </c>
      <c r="AI225" s="974" t="e">
        <f>IF($F225="","",$F225*chronic_consumption!AD225/1000/$C$3)</f>
        <v>#DIV/0!</v>
      </c>
      <c r="AJ225" s="974" t="e">
        <f>IF($F225="","",$F225*chronic_consumption!AE225/1000/$C$3)</f>
        <v>#DIV/0!</v>
      </c>
      <c r="AK225" s="974" t="e">
        <f>IF($F225="","",$F225*chronic_consumption!AF225/1000/$C$3)</f>
        <v>#DIV/0!</v>
      </c>
      <c r="AL225" s="974" t="e">
        <f>IF($F225="","",$F225*chronic_consumption!AG225/1000/$C$3)</f>
        <v>#DIV/0!</v>
      </c>
      <c r="AM225" s="974" t="e">
        <f>IF($F225="","",$F225*chronic_consumption!AH225/1000/$C$3)</f>
        <v>#DIV/0!</v>
      </c>
      <c r="AN225" s="974" t="e">
        <f>IF($F225="","",$F225*chronic_consumption!AI225/1000/$C$3)</f>
        <v>#DIV/0!</v>
      </c>
      <c r="AO225" s="974" t="e">
        <f>IF($F225="","",$F225*chronic_consumption!AJ225/1000/$C$3)</f>
        <v>#DIV/0!</v>
      </c>
      <c r="AP225" s="974" t="e">
        <f>IF($F225="","",$F225*chronic_consumption!AK225/1000/$C$3)</f>
        <v>#DIV/0!</v>
      </c>
      <c r="AQ225" s="974" t="e">
        <f>IF($F225="","",$F225*chronic_consumption!AL225/1000/$C$3)</f>
        <v>#DIV/0!</v>
      </c>
      <c r="AR225" s="974" t="e">
        <f>IF($F225="","",$F225*chronic_consumption!AM225/1000/$C$3)</f>
        <v>#DIV/0!</v>
      </c>
      <c r="AS225" s="974" t="e">
        <f>IF($F225="","",$F225*chronic_consumption!AN225/1000/$C$3)</f>
        <v>#DIV/0!</v>
      </c>
      <c r="AT225" s="974" t="e">
        <f>IF($F225="","",$F225*chronic_consumption!AO225/1000/$C$3)</f>
        <v>#DIV/0!</v>
      </c>
      <c r="AU225" s="974"/>
      <c r="AV225" s="974" t="e">
        <f>IF($F225="","",$F225*chronic_consumption!AQ225/1000/$C$3)</f>
        <v>#DIV/0!</v>
      </c>
      <c r="AW225" s="974" t="e">
        <f>IF($F225="","",$F225*chronic_consumption!AR225/1000/$C$3)</f>
        <v>#DIV/0!</v>
      </c>
      <c r="AX225" s="974" t="e">
        <f>IF($F225="","",$F225*chronic_consumption!AS225/1000/$C$3)</f>
        <v>#DIV/0!</v>
      </c>
      <c r="AY225" s="974" t="e">
        <f>IF($F225="","",$F225*chronic_consumption!AT225/1000/$C$3)</f>
        <v>#DIV/0!</v>
      </c>
      <c r="AZ225" s="973" t="s">
        <v>19</v>
      </c>
      <c r="BA225" s="969" t="e">
        <f t="shared" si="19"/>
        <v>#DIV/0!</v>
      </c>
      <c r="BB225" s="970" t="e">
        <f t="shared" si="20"/>
        <v>#DIV/0!</v>
      </c>
      <c r="BC225" s="971" t="e">
        <f t="shared" ca="1" si="21"/>
        <v>#DIV/0!</v>
      </c>
      <c r="BD225" s="228">
        <f>input_values!Z225</f>
        <v>4</v>
      </c>
      <c r="BE225" s="152">
        <f>input_values!L225</f>
        <v>0</v>
      </c>
      <c r="BF225" s="972" t="str">
        <f t="shared" si="22"/>
        <v/>
      </c>
    </row>
    <row r="226" spans="1:58" ht="12" customHeight="1" outlineLevel="3" x14ac:dyDescent="0.2">
      <c r="A226" s="21">
        <v>4</v>
      </c>
      <c r="B226" s="23">
        <v>401070</v>
      </c>
      <c r="C226" s="23" t="s">
        <v>751</v>
      </c>
      <c r="D226" s="965">
        <f>Table22[[#This Row],[MRL individual commodity]]</f>
        <v>0</v>
      </c>
      <c r="E226" s="300" t="str">
        <f>Table22[[#This Row],[LOQ_label]]</f>
        <v/>
      </c>
      <c r="F226" s="966">
        <f>Table22[[#This Row],[Chronic RA input value]]</f>
        <v>0</v>
      </c>
      <c r="G226" s="304" t="str">
        <f>Table22[[#This Row],[Chronic RA label]]</f>
        <v/>
      </c>
      <c r="H226" s="304">
        <f>Table22[[#This Row],[GAP under assessment]]</f>
        <v>0</v>
      </c>
      <c r="I226" s="1123"/>
      <c r="J226" s="974" t="e">
        <f>IF($F226="","",$F226*chronic_consumption!$E226/1000/$C$3)</f>
        <v>#DIV/0!</v>
      </c>
      <c r="K226" s="974" t="e">
        <f>IF($F226="","",$F226*chronic_consumption!F226/1000/$C$3)</f>
        <v>#DIV/0!</v>
      </c>
      <c r="L226" s="974" t="e">
        <f>IF($F226="","",$F226*chronic_consumption!G226/1000/$C$3)</f>
        <v>#DIV/0!</v>
      </c>
      <c r="M226" s="974" t="e">
        <f>IF($F226="","",$F226*chronic_consumption!H226/1000/$C$3)</f>
        <v>#DIV/0!</v>
      </c>
      <c r="N226" s="974" t="e">
        <f>IF($F226="","",$F226*chronic_consumption!I226/1000/$C$3)</f>
        <v>#DIV/0!</v>
      </c>
      <c r="O226" s="974" t="e">
        <f>IF($F226="","",$F226*chronic_consumption!J226/1000/$C$3)</f>
        <v>#DIV/0!</v>
      </c>
      <c r="P226" s="974" t="e">
        <f>IF($F226="","",$F226*chronic_consumption!K226/1000/$C$3)</f>
        <v>#DIV/0!</v>
      </c>
      <c r="Q226" s="974" t="e">
        <f>IF($F226="","",$F226*chronic_consumption!L226/1000/$C$3)</f>
        <v>#DIV/0!</v>
      </c>
      <c r="R226" s="974" t="e">
        <f>IF($F226="","",$F226*chronic_consumption!M226/1000/$C$3)</f>
        <v>#DIV/0!</v>
      </c>
      <c r="S226" s="974" t="e">
        <f>IF($F226="","",$F226*chronic_consumption!N226/1000/$C$3)</f>
        <v>#DIV/0!</v>
      </c>
      <c r="T226" s="974" t="e">
        <f>IF($F226="","",$F226*chronic_consumption!O226/1000/$C$3)</f>
        <v>#DIV/0!</v>
      </c>
      <c r="U226" s="974" t="e">
        <f>IF($F226="","",$F226*chronic_consumption!P226/1000/$C$3)</f>
        <v>#DIV/0!</v>
      </c>
      <c r="V226" s="974" t="e">
        <f>IF($F226="","",$F226*chronic_consumption!Q226/1000/$C$3)</f>
        <v>#DIV/0!</v>
      </c>
      <c r="W226" s="974" t="e">
        <f>IF($F226="","",$F226*chronic_consumption!R226/1000/$C$3)</f>
        <v>#DIV/0!</v>
      </c>
      <c r="X226" s="974" t="e">
        <f>IF($F226="","",$F226*chronic_consumption!S226/1000/$C$3)</f>
        <v>#DIV/0!</v>
      </c>
      <c r="Y226" s="974" t="e">
        <f>IF($F226="","",$F226*chronic_consumption!T226/1000/$C$3)</f>
        <v>#DIV/0!</v>
      </c>
      <c r="Z226" s="974" t="e">
        <f>IF($F226="","",$F226*chronic_consumption!U226/1000/$C$3)</f>
        <v>#DIV/0!</v>
      </c>
      <c r="AA226" s="974" t="e">
        <f>IF($F226="","",$F226*chronic_consumption!V226/1000/$C$3)</f>
        <v>#DIV/0!</v>
      </c>
      <c r="AB226" s="974" t="e">
        <f>IF($F226="","",$F226*chronic_consumption!W226/1000/$C$3)</f>
        <v>#DIV/0!</v>
      </c>
      <c r="AC226" s="974" t="e">
        <f>IF($F226="","",$F226*chronic_consumption!X226/1000/$C$3)</f>
        <v>#DIV/0!</v>
      </c>
      <c r="AD226" s="974" t="e">
        <f>IF($F226="","",$F226*chronic_consumption!Y226/1000/$C$3)</f>
        <v>#DIV/0!</v>
      </c>
      <c r="AE226" s="974" t="e">
        <f>IF($F226="","",$F226*chronic_consumption!Z226/1000/$C$3)</f>
        <v>#DIV/0!</v>
      </c>
      <c r="AF226" s="974" t="e">
        <f>IF($F226="","",$F226*chronic_consumption!AA226/1000/$C$3)</f>
        <v>#DIV/0!</v>
      </c>
      <c r="AG226" s="974" t="e">
        <f>IF($F226="","",$F226*chronic_consumption!AB226/1000/$C$3)</f>
        <v>#DIV/0!</v>
      </c>
      <c r="AH226" s="974" t="e">
        <f>IF($F226="","",$F226*chronic_consumption!AC226/1000/$C$3)</f>
        <v>#DIV/0!</v>
      </c>
      <c r="AI226" s="974" t="e">
        <f>IF($F226="","",$F226*chronic_consumption!AD226/1000/$C$3)</f>
        <v>#DIV/0!</v>
      </c>
      <c r="AJ226" s="974" t="e">
        <f>IF($F226="","",$F226*chronic_consumption!AE226/1000/$C$3)</f>
        <v>#DIV/0!</v>
      </c>
      <c r="AK226" s="974" t="e">
        <f>IF($F226="","",$F226*chronic_consumption!AF226/1000/$C$3)</f>
        <v>#DIV/0!</v>
      </c>
      <c r="AL226" s="974" t="e">
        <f>IF($F226="","",$F226*chronic_consumption!AG226/1000/$C$3)</f>
        <v>#DIV/0!</v>
      </c>
      <c r="AM226" s="974" t="e">
        <f>IF($F226="","",$F226*chronic_consumption!AH226/1000/$C$3)</f>
        <v>#DIV/0!</v>
      </c>
      <c r="AN226" s="974" t="e">
        <f>IF($F226="","",$F226*chronic_consumption!AI226/1000/$C$3)</f>
        <v>#DIV/0!</v>
      </c>
      <c r="AO226" s="974" t="e">
        <f>IF($F226="","",$F226*chronic_consumption!AJ226/1000/$C$3)</f>
        <v>#DIV/0!</v>
      </c>
      <c r="AP226" s="974" t="e">
        <f>IF($F226="","",$F226*chronic_consumption!AK226/1000/$C$3)</f>
        <v>#DIV/0!</v>
      </c>
      <c r="AQ226" s="974" t="e">
        <f>IF($F226="","",$F226*chronic_consumption!AL226/1000/$C$3)</f>
        <v>#DIV/0!</v>
      </c>
      <c r="AR226" s="974" t="e">
        <f>IF($F226="","",$F226*chronic_consumption!AM226/1000/$C$3)</f>
        <v>#DIV/0!</v>
      </c>
      <c r="AS226" s="974" t="e">
        <f>IF($F226="","",$F226*chronic_consumption!AN226/1000/$C$3)</f>
        <v>#DIV/0!</v>
      </c>
      <c r="AT226" s="974" t="e">
        <f>IF($F226="","",$F226*chronic_consumption!AO226/1000/$C$3)</f>
        <v>#DIV/0!</v>
      </c>
      <c r="AU226" s="974"/>
      <c r="AV226" s="974" t="e">
        <f>IF($F226="","",$F226*chronic_consumption!AQ226/1000/$C$3)</f>
        <v>#DIV/0!</v>
      </c>
      <c r="AW226" s="974" t="e">
        <f>IF($F226="","",$F226*chronic_consumption!AR226/1000/$C$3)</f>
        <v>#DIV/0!</v>
      </c>
      <c r="AX226" s="974" t="e">
        <f>IF($F226="","",$F226*chronic_consumption!AS226/1000/$C$3)</f>
        <v>#DIV/0!</v>
      </c>
      <c r="AY226" s="974" t="e">
        <f>IF($F226="","",$F226*chronic_consumption!AT226/1000/$C$3)</f>
        <v>#DIV/0!</v>
      </c>
      <c r="AZ226" s="973" t="s">
        <v>19</v>
      </c>
      <c r="BA226" s="969" t="e">
        <f t="shared" si="19"/>
        <v>#DIV/0!</v>
      </c>
      <c r="BB226" s="970" t="e">
        <f t="shared" si="20"/>
        <v>#DIV/0!</v>
      </c>
      <c r="BC226" s="971" t="e">
        <f t="shared" ca="1" si="21"/>
        <v>#DIV/0!</v>
      </c>
      <c r="BD226" s="228">
        <f>input_values!Z226</f>
        <v>4</v>
      </c>
      <c r="BE226" s="152">
        <f>input_values!L226</f>
        <v>0</v>
      </c>
      <c r="BF226" s="972" t="str">
        <f t="shared" si="22"/>
        <v/>
      </c>
    </row>
    <row r="227" spans="1:58" ht="12" customHeight="1" outlineLevel="3" x14ac:dyDescent="0.2">
      <c r="A227" s="21">
        <v>4</v>
      </c>
      <c r="B227" s="23">
        <v>401080</v>
      </c>
      <c r="C227" s="23" t="s">
        <v>752</v>
      </c>
      <c r="D227" s="965">
        <f>Table22[[#This Row],[MRL individual commodity]]</f>
        <v>0</v>
      </c>
      <c r="E227" s="300" t="str">
        <f>Table22[[#This Row],[LOQ_label]]</f>
        <v/>
      </c>
      <c r="F227" s="966">
        <f>Table22[[#This Row],[Chronic RA input value]]</f>
        <v>0</v>
      </c>
      <c r="G227" s="304" t="str">
        <f>Table22[[#This Row],[Chronic RA label]]</f>
        <v/>
      </c>
      <c r="H227" s="304">
        <f>Table22[[#This Row],[GAP under assessment]]</f>
        <v>0</v>
      </c>
      <c r="I227" s="1123"/>
      <c r="J227" s="974" t="e">
        <f>IF($F227="","",$F227*chronic_consumption!$E227/1000/$C$3)</f>
        <v>#DIV/0!</v>
      </c>
      <c r="K227" s="974" t="e">
        <f>IF($F227="","",$F227*chronic_consumption!F227/1000/$C$3)</f>
        <v>#DIV/0!</v>
      </c>
      <c r="L227" s="974" t="e">
        <f>IF($F227="","",$F227*chronic_consumption!G227/1000/$C$3)</f>
        <v>#DIV/0!</v>
      </c>
      <c r="M227" s="974" t="e">
        <f>IF($F227="","",$F227*chronic_consumption!H227/1000/$C$3)</f>
        <v>#DIV/0!</v>
      </c>
      <c r="N227" s="974" t="e">
        <f>IF($F227="","",$F227*chronic_consumption!I227/1000/$C$3)</f>
        <v>#DIV/0!</v>
      </c>
      <c r="O227" s="974" t="e">
        <f>IF($F227="","",$F227*chronic_consumption!J227/1000/$C$3)</f>
        <v>#DIV/0!</v>
      </c>
      <c r="P227" s="974" t="e">
        <f>IF($F227="","",$F227*chronic_consumption!K227/1000/$C$3)</f>
        <v>#DIV/0!</v>
      </c>
      <c r="Q227" s="974" t="e">
        <f>IF($F227="","",$F227*chronic_consumption!L227/1000/$C$3)</f>
        <v>#DIV/0!</v>
      </c>
      <c r="R227" s="974" t="e">
        <f>IF($F227="","",$F227*chronic_consumption!M227/1000/$C$3)</f>
        <v>#DIV/0!</v>
      </c>
      <c r="S227" s="974" t="e">
        <f>IF($F227="","",$F227*chronic_consumption!N227/1000/$C$3)</f>
        <v>#DIV/0!</v>
      </c>
      <c r="T227" s="974" t="e">
        <f>IF($F227="","",$F227*chronic_consumption!O227/1000/$C$3)</f>
        <v>#DIV/0!</v>
      </c>
      <c r="U227" s="974" t="e">
        <f>IF($F227="","",$F227*chronic_consumption!P227/1000/$C$3)</f>
        <v>#DIV/0!</v>
      </c>
      <c r="V227" s="974" t="e">
        <f>IF($F227="","",$F227*chronic_consumption!Q227/1000/$C$3)</f>
        <v>#DIV/0!</v>
      </c>
      <c r="W227" s="974" t="e">
        <f>IF($F227="","",$F227*chronic_consumption!R227/1000/$C$3)</f>
        <v>#DIV/0!</v>
      </c>
      <c r="X227" s="974" t="e">
        <f>IF($F227="","",$F227*chronic_consumption!S227/1000/$C$3)</f>
        <v>#DIV/0!</v>
      </c>
      <c r="Y227" s="974" t="e">
        <f>IF($F227="","",$F227*chronic_consumption!T227/1000/$C$3)</f>
        <v>#DIV/0!</v>
      </c>
      <c r="Z227" s="974" t="e">
        <f>IF($F227="","",$F227*chronic_consumption!U227/1000/$C$3)</f>
        <v>#DIV/0!</v>
      </c>
      <c r="AA227" s="974" t="e">
        <f>IF($F227="","",$F227*chronic_consumption!V227/1000/$C$3)</f>
        <v>#DIV/0!</v>
      </c>
      <c r="AB227" s="974" t="e">
        <f>IF($F227="","",$F227*chronic_consumption!W227/1000/$C$3)</f>
        <v>#DIV/0!</v>
      </c>
      <c r="AC227" s="974" t="e">
        <f>IF($F227="","",$F227*chronic_consumption!X227/1000/$C$3)</f>
        <v>#DIV/0!</v>
      </c>
      <c r="AD227" s="974" t="e">
        <f>IF($F227="","",$F227*chronic_consumption!Y227/1000/$C$3)</f>
        <v>#DIV/0!</v>
      </c>
      <c r="AE227" s="974" t="e">
        <f>IF($F227="","",$F227*chronic_consumption!Z227/1000/$C$3)</f>
        <v>#DIV/0!</v>
      </c>
      <c r="AF227" s="974" t="e">
        <f>IF($F227="","",$F227*chronic_consumption!AA227/1000/$C$3)</f>
        <v>#DIV/0!</v>
      </c>
      <c r="AG227" s="974" t="e">
        <f>IF($F227="","",$F227*chronic_consumption!AB227/1000/$C$3)</f>
        <v>#DIV/0!</v>
      </c>
      <c r="AH227" s="974" t="e">
        <f>IF($F227="","",$F227*chronic_consumption!AC227/1000/$C$3)</f>
        <v>#DIV/0!</v>
      </c>
      <c r="AI227" s="974" t="e">
        <f>IF($F227="","",$F227*chronic_consumption!AD227/1000/$C$3)</f>
        <v>#DIV/0!</v>
      </c>
      <c r="AJ227" s="974" t="e">
        <f>IF($F227="","",$F227*chronic_consumption!AE227/1000/$C$3)</f>
        <v>#DIV/0!</v>
      </c>
      <c r="AK227" s="974" t="e">
        <f>IF($F227="","",$F227*chronic_consumption!AF227/1000/$C$3)</f>
        <v>#DIV/0!</v>
      </c>
      <c r="AL227" s="974" t="e">
        <f>IF($F227="","",$F227*chronic_consumption!AG227/1000/$C$3)</f>
        <v>#DIV/0!</v>
      </c>
      <c r="AM227" s="974" t="e">
        <f>IF($F227="","",$F227*chronic_consumption!AH227/1000/$C$3)</f>
        <v>#DIV/0!</v>
      </c>
      <c r="AN227" s="974" t="e">
        <f>IF($F227="","",$F227*chronic_consumption!AI227/1000/$C$3)</f>
        <v>#DIV/0!</v>
      </c>
      <c r="AO227" s="974" t="e">
        <f>IF($F227="","",$F227*chronic_consumption!AJ227/1000/$C$3)</f>
        <v>#DIV/0!</v>
      </c>
      <c r="AP227" s="974" t="e">
        <f>IF($F227="","",$F227*chronic_consumption!AK227/1000/$C$3)</f>
        <v>#DIV/0!</v>
      </c>
      <c r="AQ227" s="974" t="e">
        <f>IF($F227="","",$F227*chronic_consumption!AL227/1000/$C$3)</f>
        <v>#DIV/0!</v>
      </c>
      <c r="AR227" s="974" t="e">
        <f>IF($F227="","",$F227*chronic_consumption!AM227/1000/$C$3)</f>
        <v>#DIV/0!</v>
      </c>
      <c r="AS227" s="974" t="e">
        <f>IF($F227="","",$F227*chronic_consumption!AN227/1000/$C$3)</f>
        <v>#DIV/0!</v>
      </c>
      <c r="AT227" s="974" t="e">
        <f>IF($F227="","",$F227*chronic_consumption!AO227/1000/$C$3)</f>
        <v>#DIV/0!</v>
      </c>
      <c r="AU227" s="974"/>
      <c r="AV227" s="974" t="e">
        <f>IF($F227="","",$F227*chronic_consumption!AQ227/1000/$C$3)</f>
        <v>#DIV/0!</v>
      </c>
      <c r="AW227" s="974" t="e">
        <f>IF($F227="","",$F227*chronic_consumption!AR227/1000/$C$3)</f>
        <v>#DIV/0!</v>
      </c>
      <c r="AX227" s="974" t="e">
        <f>IF($F227="","",$F227*chronic_consumption!AS227/1000/$C$3)</f>
        <v>#DIV/0!</v>
      </c>
      <c r="AY227" s="974" t="e">
        <f>IF($F227="","",$F227*chronic_consumption!AT227/1000/$C$3)</f>
        <v>#DIV/0!</v>
      </c>
      <c r="AZ227" s="973" t="s">
        <v>19</v>
      </c>
      <c r="BA227" s="969" t="e">
        <f t="shared" si="19"/>
        <v>#DIV/0!</v>
      </c>
      <c r="BB227" s="970" t="e">
        <f t="shared" si="20"/>
        <v>#DIV/0!</v>
      </c>
      <c r="BC227" s="971" t="e">
        <f t="shared" ca="1" si="21"/>
        <v>#DIV/0!</v>
      </c>
      <c r="BD227" s="228">
        <f>input_values!Z227</f>
        <v>4</v>
      </c>
      <c r="BE227" s="152">
        <f>input_values!L227</f>
        <v>0</v>
      </c>
      <c r="BF227" s="972" t="str">
        <f t="shared" si="22"/>
        <v/>
      </c>
    </row>
    <row r="228" spans="1:58" ht="12" customHeight="1" outlineLevel="3" x14ac:dyDescent="0.2">
      <c r="A228" s="21">
        <v>4</v>
      </c>
      <c r="B228" s="23">
        <v>401090</v>
      </c>
      <c r="C228" s="23" t="s">
        <v>753</v>
      </c>
      <c r="D228" s="965">
        <f>Table22[[#This Row],[MRL individual commodity]]</f>
        <v>0</v>
      </c>
      <c r="E228" s="300" t="str">
        <f>Table22[[#This Row],[LOQ_label]]</f>
        <v/>
      </c>
      <c r="F228" s="966">
        <f>Table22[[#This Row],[Chronic RA input value]]</f>
        <v>0</v>
      </c>
      <c r="G228" s="304" t="str">
        <f>Table22[[#This Row],[Chronic RA label]]</f>
        <v/>
      </c>
      <c r="H228" s="304">
        <f>Table22[[#This Row],[GAP under assessment]]</f>
        <v>0</v>
      </c>
      <c r="I228" s="1123"/>
      <c r="J228" s="974" t="e">
        <f>IF($F228="","",$F228*chronic_consumption!$E228/1000/$C$3)</f>
        <v>#DIV/0!</v>
      </c>
      <c r="K228" s="974" t="e">
        <f>IF($F228="","",$F228*chronic_consumption!F228/1000/$C$3)</f>
        <v>#DIV/0!</v>
      </c>
      <c r="L228" s="974" t="e">
        <f>IF($F228="","",$F228*chronic_consumption!G228/1000/$C$3)</f>
        <v>#DIV/0!</v>
      </c>
      <c r="M228" s="974" t="e">
        <f>IF($F228="","",$F228*chronic_consumption!H228/1000/$C$3)</f>
        <v>#DIV/0!</v>
      </c>
      <c r="N228" s="974" t="e">
        <f>IF($F228="","",$F228*chronic_consumption!I228/1000/$C$3)</f>
        <v>#DIV/0!</v>
      </c>
      <c r="O228" s="974" t="e">
        <f>IF($F228="","",$F228*chronic_consumption!J228/1000/$C$3)</f>
        <v>#DIV/0!</v>
      </c>
      <c r="P228" s="974" t="e">
        <f>IF($F228="","",$F228*chronic_consumption!K228/1000/$C$3)</f>
        <v>#DIV/0!</v>
      </c>
      <c r="Q228" s="974" t="e">
        <f>IF($F228="","",$F228*chronic_consumption!L228/1000/$C$3)</f>
        <v>#DIV/0!</v>
      </c>
      <c r="R228" s="974" t="e">
        <f>IF($F228="","",$F228*chronic_consumption!M228/1000/$C$3)</f>
        <v>#DIV/0!</v>
      </c>
      <c r="S228" s="974" t="e">
        <f>IF($F228="","",$F228*chronic_consumption!N228/1000/$C$3)</f>
        <v>#DIV/0!</v>
      </c>
      <c r="T228" s="974" t="e">
        <f>IF($F228="","",$F228*chronic_consumption!O228/1000/$C$3)</f>
        <v>#DIV/0!</v>
      </c>
      <c r="U228" s="974" t="e">
        <f>IF($F228="","",$F228*chronic_consumption!P228/1000/$C$3)</f>
        <v>#DIV/0!</v>
      </c>
      <c r="V228" s="974" t="e">
        <f>IF($F228="","",$F228*chronic_consumption!Q228/1000/$C$3)</f>
        <v>#DIV/0!</v>
      </c>
      <c r="W228" s="974" t="e">
        <f>IF($F228="","",$F228*chronic_consumption!R228/1000/$C$3)</f>
        <v>#DIV/0!</v>
      </c>
      <c r="X228" s="974" t="e">
        <f>IF($F228="","",$F228*chronic_consumption!S228/1000/$C$3)</f>
        <v>#DIV/0!</v>
      </c>
      <c r="Y228" s="974" t="e">
        <f>IF($F228="","",$F228*chronic_consumption!T228/1000/$C$3)</f>
        <v>#DIV/0!</v>
      </c>
      <c r="Z228" s="974" t="e">
        <f>IF($F228="","",$F228*chronic_consumption!U228/1000/$C$3)</f>
        <v>#DIV/0!</v>
      </c>
      <c r="AA228" s="974" t="e">
        <f>IF($F228="","",$F228*chronic_consumption!V228/1000/$C$3)</f>
        <v>#DIV/0!</v>
      </c>
      <c r="AB228" s="974" t="e">
        <f>IF($F228="","",$F228*chronic_consumption!W228/1000/$C$3)</f>
        <v>#DIV/0!</v>
      </c>
      <c r="AC228" s="974" t="e">
        <f>IF($F228="","",$F228*chronic_consumption!X228/1000/$C$3)</f>
        <v>#DIV/0!</v>
      </c>
      <c r="AD228" s="974" t="e">
        <f>IF($F228="","",$F228*chronic_consumption!Y228/1000/$C$3)</f>
        <v>#DIV/0!</v>
      </c>
      <c r="AE228" s="974" t="e">
        <f>IF($F228="","",$F228*chronic_consumption!Z228/1000/$C$3)</f>
        <v>#DIV/0!</v>
      </c>
      <c r="AF228" s="974" t="e">
        <f>IF($F228="","",$F228*chronic_consumption!AA228/1000/$C$3)</f>
        <v>#DIV/0!</v>
      </c>
      <c r="AG228" s="974" t="e">
        <f>IF($F228="","",$F228*chronic_consumption!AB228/1000/$C$3)</f>
        <v>#DIV/0!</v>
      </c>
      <c r="AH228" s="974" t="e">
        <f>IF($F228="","",$F228*chronic_consumption!AC228/1000/$C$3)</f>
        <v>#DIV/0!</v>
      </c>
      <c r="AI228" s="974" t="e">
        <f>IF($F228="","",$F228*chronic_consumption!AD228/1000/$C$3)</f>
        <v>#DIV/0!</v>
      </c>
      <c r="AJ228" s="974" t="e">
        <f>IF($F228="","",$F228*chronic_consumption!AE228/1000/$C$3)</f>
        <v>#DIV/0!</v>
      </c>
      <c r="AK228" s="974" t="e">
        <f>IF($F228="","",$F228*chronic_consumption!AF228/1000/$C$3)</f>
        <v>#DIV/0!</v>
      </c>
      <c r="AL228" s="974" t="e">
        <f>IF($F228="","",$F228*chronic_consumption!AG228/1000/$C$3)</f>
        <v>#DIV/0!</v>
      </c>
      <c r="AM228" s="974" t="e">
        <f>IF($F228="","",$F228*chronic_consumption!AH228/1000/$C$3)</f>
        <v>#DIV/0!</v>
      </c>
      <c r="AN228" s="974" t="e">
        <f>IF($F228="","",$F228*chronic_consumption!AI228/1000/$C$3)</f>
        <v>#DIV/0!</v>
      </c>
      <c r="AO228" s="974" t="e">
        <f>IF($F228="","",$F228*chronic_consumption!AJ228/1000/$C$3)</f>
        <v>#DIV/0!</v>
      </c>
      <c r="AP228" s="974" t="e">
        <f>IF($F228="","",$F228*chronic_consumption!AK228/1000/$C$3)</f>
        <v>#DIV/0!</v>
      </c>
      <c r="AQ228" s="974" t="e">
        <f>IF($F228="","",$F228*chronic_consumption!AL228/1000/$C$3)</f>
        <v>#DIV/0!</v>
      </c>
      <c r="AR228" s="974" t="e">
        <f>IF($F228="","",$F228*chronic_consumption!AM228/1000/$C$3)</f>
        <v>#DIV/0!</v>
      </c>
      <c r="AS228" s="974" t="e">
        <f>IF($F228="","",$F228*chronic_consumption!AN228/1000/$C$3)</f>
        <v>#DIV/0!</v>
      </c>
      <c r="AT228" s="974" t="e">
        <f>IF($F228="","",$F228*chronic_consumption!AO228/1000/$C$3)</f>
        <v>#DIV/0!</v>
      </c>
      <c r="AU228" s="974"/>
      <c r="AV228" s="974" t="e">
        <f>IF($F228="","",$F228*chronic_consumption!AQ228/1000/$C$3)</f>
        <v>#DIV/0!</v>
      </c>
      <c r="AW228" s="974" t="e">
        <f>IF($F228="","",$F228*chronic_consumption!AR228/1000/$C$3)</f>
        <v>#DIV/0!</v>
      </c>
      <c r="AX228" s="974" t="e">
        <f>IF($F228="","",$F228*chronic_consumption!AS228/1000/$C$3)</f>
        <v>#DIV/0!</v>
      </c>
      <c r="AY228" s="974" t="e">
        <f>IF($F228="","",$F228*chronic_consumption!AT228/1000/$C$3)</f>
        <v>#DIV/0!</v>
      </c>
      <c r="AZ228" s="973" t="s">
        <v>19</v>
      </c>
      <c r="BA228" s="969" t="e">
        <f t="shared" si="19"/>
        <v>#DIV/0!</v>
      </c>
      <c r="BB228" s="970" t="e">
        <f t="shared" si="20"/>
        <v>#DIV/0!</v>
      </c>
      <c r="BC228" s="971" t="e">
        <f t="shared" ca="1" si="21"/>
        <v>#DIV/0!</v>
      </c>
      <c r="BD228" s="228">
        <f>input_values!Z228</f>
        <v>4</v>
      </c>
      <c r="BE228" s="152">
        <f>input_values!L228</f>
        <v>0</v>
      </c>
      <c r="BF228" s="972" t="str">
        <f t="shared" si="22"/>
        <v/>
      </c>
    </row>
    <row r="229" spans="1:58" ht="12" customHeight="1" outlineLevel="3" x14ac:dyDescent="0.2">
      <c r="A229" s="21">
        <v>4</v>
      </c>
      <c r="B229" s="23">
        <v>401100</v>
      </c>
      <c r="C229" s="23" t="s">
        <v>154</v>
      </c>
      <c r="D229" s="965">
        <f>Table22[[#This Row],[MRL individual commodity]]</f>
        <v>0</v>
      </c>
      <c r="E229" s="300" t="str">
        <f>Table22[[#This Row],[LOQ_label]]</f>
        <v/>
      </c>
      <c r="F229" s="966">
        <f>Table22[[#This Row],[Chronic RA input value]]</f>
        <v>0</v>
      </c>
      <c r="G229" s="304" t="str">
        <f>Table22[[#This Row],[Chronic RA label]]</f>
        <v/>
      </c>
      <c r="H229" s="304">
        <f>Table22[[#This Row],[GAP under assessment]]</f>
        <v>0</v>
      </c>
      <c r="I229" s="1123"/>
      <c r="J229" s="974" t="e">
        <f>IF($F229="","",$F229*chronic_consumption!$E229/1000/$C$3)</f>
        <v>#DIV/0!</v>
      </c>
      <c r="K229" s="974" t="e">
        <f>IF($F229="","",$F229*chronic_consumption!F229/1000/$C$3)</f>
        <v>#DIV/0!</v>
      </c>
      <c r="L229" s="974" t="e">
        <f>IF($F229="","",$F229*chronic_consumption!G229/1000/$C$3)</f>
        <v>#DIV/0!</v>
      </c>
      <c r="M229" s="974" t="e">
        <f>IF($F229="","",$F229*chronic_consumption!H229/1000/$C$3)</f>
        <v>#DIV/0!</v>
      </c>
      <c r="N229" s="974" t="e">
        <f>IF($F229="","",$F229*chronic_consumption!I229/1000/$C$3)</f>
        <v>#DIV/0!</v>
      </c>
      <c r="O229" s="974" t="e">
        <f>IF($F229="","",$F229*chronic_consumption!J229/1000/$C$3)</f>
        <v>#DIV/0!</v>
      </c>
      <c r="P229" s="974" t="e">
        <f>IF($F229="","",$F229*chronic_consumption!K229/1000/$C$3)</f>
        <v>#DIV/0!</v>
      </c>
      <c r="Q229" s="974" t="e">
        <f>IF($F229="","",$F229*chronic_consumption!L229/1000/$C$3)</f>
        <v>#DIV/0!</v>
      </c>
      <c r="R229" s="974" t="e">
        <f>IF($F229="","",$F229*chronic_consumption!M229/1000/$C$3)</f>
        <v>#DIV/0!</v>
      </c>
      <c r="S229" s="974" t="e">
        <f>IF($F229="","",$F229*chronic_consumption!N229/1000/$C$3)</f>
        <v>#DIV/0!</v>
      </c>
      <c r="T229" s="974" t="e">
        <f>IF($F229="","",$F229*chronic_consumption!O229/1000/$C$3)</f>
        <v>#DIV/0!</v>
      </c>
      <c r="U229" s="974" t="e">
        <f>IF($F229="","",$F229*chronic_consumption!P229/1000/$C$3)</f>
        <v>#DIV/0!</v>
      </c>
      <c r="V229" s="974" t="e">
        <f>IF($F229="","",$F229*chronic_consumption!Q229/1000/$C$3)</f>
        <v>#DIV/0!</v>
      </c>
      <c r="W229" s="974" t="e">
        <f>IF($F229="","",$F229*chronic_consumption!R229/1000/$C$3)</f>
        <v>#DIV/0!</v>
      </c>
      <c r="X229" s="974" t="e">
        <f>IF($F229="","",$F229*chronic_consumption!S229/1000/$C$3)</f>
        <v>#DIV/0!</v>
      </c>
      <c r="Y229" s="974" t="e">
        <f>IF($F229="","",$F229*chronic_consumption!T229/1000/$C$3)</f>
        <v>#DIV/0!</v>
      </c>
      <c r="Z229" s="974" t="e">
        <f>IF($F229="","",$F229*chronic_consumption!U229/1000/$C$3)</f>
        <v>#DIV/0!</v>
      </c>
      <c r="AA229" s="974" t="e">
        <f>IF($F229="","",$F229*chronic_consumption!V229/1000/$C$3)</f>
        <v>#DIV/0!</v>
      </c>
      <c r="AB229" s="974" t="e">
        <f>IF($F229="","",$F229*chronic_consumption!W229/1000/$C$3)</f>
        <v>#DIV/0!</v>
      </c>
      <c r="AC229" s="974" t="e">
        <f>IF($F229="","",$F229*chronic_consumption!X229/1000/$C$3)</f>
        <v>#DIV/0!</v>
      </c>
      <c r="AD229" s="974" t="e">
        <f>IF($F229="","",$F229*chronic_consumption!Y229/1000/$C$3)</f>
        <v>#DIV/0!</v>
      </c>
      <c r="AE229" s="974" t="e">
        <f>IF($F229="","",$F229*chronic_consumption!Z229/1000/$C$3)</f>
        <v>#DIV/0!</v>
      </c>
      <c r="AF229" s="974" t="e">
        <f>IF($F229="","",$F229*chronic_consumption!AA229/1000/$C$3)</f>
        <v>#DIV/0!</v>
      </c>
      <c r="AG229" s="974" t="e">
        <f>IF($F229="","",$F229*chronic_consumption!AB229/1000/$C$3)</f>
        <v>#DIV/0!</v>
      </c>
      <c r="AH229" s="974" t="e">
        <f>IF($F229="","",$F229*chronic_consumption!AC229/1000/$C$3)</f>
        <v>#DIV/0!</v>
      </c>
      <c r="AI229" s="974" t="e">
        <f>IF($F229="","",$F229*chronic_consumption!AD229/1000/$C$3)</f>
        <v>#DIV/0!</v>
      </c>
      <c r="AJ229" s="974" t="e">
        <f>IF($F229="","",$F229*chronic_consumption!AE229/1000/$C$3)</f>
        <v>#DIV/0!</v>
      </c>
      <c r="AK229" s="974" t="e">
        <f>IF($F229="","",$F229*chronic_consumption!AF229/1000/$C$3)</f>
        <v>#DIV/0!</v>
      </c>
      <c r="AL229" s="974" t="e">
        <f>IF($F229="","",$F229*chronic_consumption!AG229/1000/$C$3)</f>
        <v>#DIV/0!</v>
      </c>
      <c r="AM229" s="974" t="e">
        <f>IF($F229="","",$F229*chronic_consumption!AH229/1000/$C$3)</f>
        <v>#DIV/0!</v>
      </c>
      <c r="AN229" s="974" t="e">
        <f>IF($F229="","",$F229*chronic_consumption!AI229/1000/$C$3)</f>
        <v>#DIV/0!</v>
      </c>
      <c r="AO229" s="974" t="e">
        <f>IF($F229="","",$F229*chronic_consumption!AJ229/1000/$C$3)</f>
        <v>#DIV/0!</v>
      </c>
      <c r="AP229" s="974" t="e">
        <f>IF($F229="","",$F229*chronic_consumption!AK229/1000/$C$3)</f>
        <v>#DIV/0!</v>
      </c>
      <c r="AQ229" s="974" t="e">
        <f>IF($F229="","",$F229*chronic_consumption!AL229/1000/$C$3)</f>
        <v>#DIV/0!</v>
      </c>
      <c r="AR229" s="974" t="e">
        <f>IF($F229="","",$F229*chronic_consumption!AM229/1000/$C$3)</f>
        <v>#DIV/0!</v>
      </c>
      <c r="AS229" s="974" t="e">
        <f>IF($F229="","",$F229*chronic_consumption!AN229/1000/$C$3)</f>
        <v>#DIV/0!</v>
      </c>
      <c r="AT229" s="974" t="e">
        <f>IF($F229="","",$F229*chronic_consumption!AO229/1000/$C$3)</f>
        <v>#DIV/0!</v>
      </c>
      <c r="AU229" s="974"/>
      <c r="AV229" s="974" t="e">
        <f>IF($F229="","",$F229*chronic_consumption!AQ229/1000/$C$3)</f>
        <v>#DIV/0!</v>
      </c>
      <c r="AW229" s="974" t="e">
        <f>IF($F229="","",$F229*chronic_consumption!AR229/1000/$C$3)</f>
        <v>#DIV/0!</v>
      </c>
      <c r="AX229" s="974" t="e">
        <f>IF($F229="","",$F229*chronic_consumption!AS229/1000/$C$3)</f>
        <v>#DIV/0!</v>
      </c>
      <c r="AY229" s="974" t="e">
        <f>IF($F229="","",$F229*chronic_consumption!AT229/1000/$C$3)</f>
        <v>#DIV/0!</v>
      </c>
      <c r="AZ229" s="973" t="s">
        <v>19</v>
      </c>
      <c r="BA229" s="969" t="e">
        <f t="shared" si="19"/>
        <v>#DIV/0!</v>
      </c>
      <c r="BB229" s="970" t="e">
        <f t="shared" si="20"/>
        <v>#DIV/0!</v>
      </c>
      <c r="BC229" s="971" t="e">
        <f t="shared" ca="1" si="21"/>
        <v>#DIV/0!</v>
      </c>
      <c r="BD229" s="228">
        <f>input_values!Z229</f>
        <v>4</v>
      </c>
      <c r="BE229" s="152">
        <f>input_values!L229</f>
        <v>0</v>
      </c>
      <c r="BF229" s="972" t="str">
        <f t="shared" si="22"/>
        <v/>
      </c>
    </row>
    <row r="230" spans="1:58" ht="12" customHeight="1" outlineLevel="3" x14ac:dyDescent="0.2">
      <c r="A230" s="21">
        <v>4</v>
      </c>
      <c r="B230" s="23">
        <v>401110</v>
      </c>
      <c r="C230" s="23" t="s">
        <v>754</v>
      </c>
      <c r="D230" s="965">
        <f>Table22[[#This Row],[MRL individual commodity]]</f>
        <v>0</v>
      </c>
      <c r="E230" s="300" t="str">
        <f>Table22[[#This Row],[LOQ_label]]</f>
        <v/>
      </c>
      <c r="F230" s="966">
        <f>Table22[[#This Row],[Chronic RA input value]]</f>
        <v>0</v>
      </c>
      <c r="G230" s="304" t="str">
        <f>Table22[[#This Row],[Chronic RA label]]</f>
        <v/>
      </c>
      <c r="H230" s="304">
        <f>Table22[[#This Row],[GAP under assessment]]</f>
        <v>0</v>
      </c>
      <c r="I230" s="1123"/>
      <c r="J230" s="974" t="e">
        <f>IF($F230="","",$F230*chronic_consumption!$E230/1000/$C$3)</f>
        <v>#DIV/0!</v>
      </c>
      <c r="K230" s="974" t="e">
        <f>IF($F230="","",$F230*chronic_consumption!F230/1000/$C$3)</f>
        <v>#DIV/0!</v>
      </c>
      <c r="L230" s="974" t="e">
        <f>IF($F230="","",$F230*chronic_consumption!G230/1000/$C$3)</f>
        <v>#DIV/0!</v>
      </c>
      <c r="M230" s="974" t="e">
        <f>IF($F230="","",$F230*chronic_consumption!H230/1000/$C$3)</f>
        <v>#DIV/0!</v>
      </c>
      <c r="N230" s="974" t="e">
        <f>IF($F230="","",$F230*chronic_consumption!I230/1000/$C$3)</f>
        <v>#DIV/0!</v>
      </c>
      <c r="O230" s="974" t="e">
        <f>IF($F230="","",$F230*chronic_consumption!J230/1000/$C$3)</f>
        <v>#DIV/0!</v>
      </c>
      <c r="P230" s="974" t="e">
        <f>IF($F230="","",$F230*chronic_consumption!K230/1000/$C$3)</f>
        <v>#DIV/0!</v>
      </c>
      <c r="Q230" s="974" t="e">
        <f>IF($F230="","",$F230*chronic_consumption!L230/1000/$C$3)</f>
        <v>#DIV/0!</v>
      </c>
      <c r="R230" s="974" t="e">
        <f>IF($F230="","",$F230*chronic_consumption!M230/1000/$C$3)</f>
        <v>#DIV/0!</v>
      </c>
      <c r="S230" s="974" t="e">
        <f>IF($F230="","",$F230*chronic_consumption!N230/1000/$C$3)</f>
        <v>#DIV/0!</v>
      </c>
      <c r="T230" s="974" t="e">
        <f>IF($F230="","",$F230*chronic_consumption!O230/1000/$C$3)</f>
        <v>#DIV/0!</v>
      </c>
      <c r="U230" s="974" t="e">
        <f>IF($F230="","",$F230*chronic_consumption!P230/1000/$C$3)</f>
        <v>#DIV/0!</v>
      </c>
      <c r="V230" s="974" t="e">
        <f>IF($F230="","",$F230*chronic_consumption!Q230/1000/$C$3)</f>
        <v>#DIV/0!</v>
      </c>
      <c r="W230" s="974" t="e">
        <f>IF($F230="","",$F230*chronic_consumption!R230/1000/$C$3)</f>
        <v>#DIV/0!</v>
      </c>
      <c r="X230" s="974" t="e">
        <f>IF($F230="","",$F230*chronic_consumption!S230/1000/$C$3)</f>
        <v>#DIV/0!</v>
      </c>
      <c r="Y230" s="974" t="e">
        <f>IF($F230="","",$F230*chronic_consumption!T230/1000/$C$3)</f>
        <v>#DIV/0!</v>
      </c>
      <c r="Z230" s="974" t="e">
        <f>IF($F230="","",$F230*chronic_consumption!U230/1000/$C$3)</f>
        <v>#DIV/0!</v>
      </c>
      <c r="AA230" s="974" t="e">
        <f>IF($F230="","",$F230*chronic_consumption!V230/1000/$C$3)</f>
        <v>#DIV/0!</v>
      </c>
      <c r="AB230" s="974" t="e">
        <f>IF($F230="","",$F230*chronic_consumption!W230/1000/$C$3)</f>
        <v>#DIV/0!</v>
      </c>
      <c r="AC230" s="974" t="e">
        <f>IF($F230="","",$F230*chronic_consumption!X230/1000/$C$3)</f>
        <v>#DIV/0!</v>
      </c>
      <c r="AD230" s="974" t="e">
        <f>IF($F230="","",$F230*chronic_consumption!Y230/1000/$C$3)</f>
        <v>#DIV/0!</v>
      </c>
      <c r="AE230" s="974" t="e">
        <f>IF($F230="","",$F230*chronic_consumption!Z230/1000/$C$3)</f>
        <v>#DIV/0!</v>
      </c>
      <c r="AF230" s="974" t="e">
        <f>IF($F230="","",$F230*chronic_consumption!AA230/1000/$C$3)</f>
        <v>#DIV/0!</v>
      </c>
      <c r="AG230" s="974" t="e">
        <f>IF($F230="","",$F230*chronic_consumption!AB230/1000/$C$3)</f>
        <v>#DIV/0!</v>
      </c>
      <c r="AH230" s="974" t="e">
        <f>IF($F230="","",$F230*chronic_consumption!AC230/1000/$C$3)</f>
        <v>#DIV/0!</v>
      </c>
      <c r="AI230" s="974" t="e">
        <f>IF($F230="","",$F230*chronic_consumption!AD230/1000/$C$3)</f>
        <v>#DIV/0!</v>
      </c>
      <c r="AJ230" s="974" t="e">
        <f>IF($F230="","",$F230*chronic_consumption!AE230/1000/$C$3)</f>
        <v>#DIV/0!</v>
      </c>
      <c r="AK230" s="974" t="e">
        <f>IF($F230="","",$F230*chronic_consumption!AF230/1000/$C$3)</f>
        <v>#DIV/0!</v>
      </c>
      <c r="AL230" s="974" t="e">
        <f>IF($F230="","",$F230*chronic_consumption!AG230/1000/$C$3)</f>
        <v>#DIV/0!</v>
      </c>
      <c r="AM230" s="974" t="e">
        <f>IF($F230="","",$F230*chronic_consumption!AH230/1000/$C$3)</f>
        <v>#DIV/0!</v>
      </c>
      <c r="AN230" s="974" t="e">
        <f>IF($F230="","",$F230*chronic_consumption!AI230/1000/$C$3)</f>
        <v>#DIV/0!</v>
      </c>
      <c r="AO230" s="974" t="e">
        <f>IF($F230="","",$F230*chronic_consumption!AJ230/1000/$C$3)</f>
        <v>#DIV/0!</v>
      </c>
      <c r="AP230" s="974" t="e">
        <f>IF($F230="","",$F230*chronic_consumption!AK230/1000/$C$3)</f>
        <v>#DIV/0!</v>
      </c>
      <c r="AQ230" s="974" t="e">
        <f>IF($F230="","",$F230*chronic_consumption!AL230/1000/$C$3)</f>
        <v>#DIV/0!</v>
      </c>
      <c r="AR230" s="974" t="e">
        <f>IF($F230="","",$F230*chronic_consumption!AM230/1000/$C$3)</f>
        <v>#DIV/0!</v>
      </c>
      <c r="AS230" s="974" t="e">
        <f>IF($F230="","",$F230*chronic_consumption!AN230/1000/$C$3)</f>
        <v>#DIV/0!</v>
      </c>
      <c r="AT230" s="974" t="e">
        <f>IF($F230="","",$F230*chronic_consumption!AO230/1000/$C$3)</f>
        <v>#DIV/0!</v>
      </c>
      <c r="AU230" s="974"/>
      <c r="AV230" s="974" t="e">
        <f>IF($F230="","",$F230*chronic_consumption!AQ230/1000/$C$3)</f>
        <v>#DIV/0!</v>
      </c>
      <c r="AW230" s="974" t="e">
        <f>IF($F230="","",$F230*chronic_consumption!AR230/1000/$C$3)</f>
        <v>#DIV/0!</v>
      </c>
      <c r="AX230" s="974" t="e">
        <f>IF($F230="","",$F230*chronic_consumption!AS230/1000/$C$3)</f>
        <v>#DIV/0!</v>
      </c>
      <c r="AY230" s="974" t="e">
        <f>IF($F230="","",$F230*chronic_consumption!AT230/1000/$C$3)</f>
        <v>#DIV/0!</v>
      </c>
      <c r="AZ230" s="973" t="s">
        <v>19</v>
      </c>
      <c r="BA230" s="969" t="e">
        <f t="shared" si="19"/>
        <v>#DIV/0!</v>
      </c>
      <c r="BB230" s="970" t="e">
        <f t="shared" si="20"/>
        <v>#DIV/0!</v>
      </c>
      <c r="BC230" s="971" t="e">
        <f t="shared" ca="1" si="21"/>
        <v>#DIV/0!</v>
      </c>
      <c r="BD230" s="228">
        <f>input_values!Z230</f>
        <v>4</v>
      </c>
      <c r="BE230" s="152">
        <f>input_values!L230</f>
        <v>0</v>
      </c>
      <c r="BF230" s="972" t="str">
        <f t="shared" si="22"/>
        <v/>
      </c>
    </row>
    <row r="231" spans="1:58" ht="12" customHeight="1" outlineLevel="3" x14ac:dyDescent="0.2">
      <c r="A231" s="21">
        <v>4</v>
      </c>
      <c r="B231" s="23">
        <v>401120</v>
      </c>
      <c r="C231" s="23" t="s">
        <v>755</v>
      </c>
      <c r="D231" s="965">
        <f>Table22[[#This Row],[MRL individual commodity]]</f>
        <v>0</v>
      </c>
      <c r="E231" s="300" t="str">
        <f>Table22[[#This Row],[LOQ_label]]</f>
        <v/>
      </c>
      <c r="F231" s="966">
        <f>Table22[[#This Row],[Chronic RA input value]]</f>
        <v>0</v>
      </c>
      <c r="G231" s="304" t="str">
        <f>Table22[[#This Row],[Chronic RA label]]</f>
        <v/>
      </c>
      <c r="H231" s="304">
        <f>Table22[[#This Row],[GAP under assessment]]</f>
        <v>0</v>
      </c>
      <c r="I231" s="1123"/>
      <c r="J231" s="974" t="e">
        <f>IF($F231="","",$F231*chronic_consumption!$E231/1000/$C$3)</f>
        <v>#DIV/0!</v>
      </c>
      <c r="K231" s="974" t="e">
        <f>IF($F231="","",$F231*chronic_consumption!F231/1000/$C$3)</f>
        <v>#DIV/0!</v>
      </c>
      <c r="L231" s="974" t="e">
        <f>IF($F231="","",$F231*chronic_consumption!G231/1000/$C$3)</f>
        <v>#DIV/0!</v>
      </c>
      <c r="M231" s="974" t="e">
        <f>IF($F231="","",$F231*chronic_consumption!H231/1000/$C$3)</f>
        <v>#DIV/0!</v>
      </c>
      <c r="N231" s="974" t="e">
        <f>IF($F231="","",$F231*chronic_consumption!I231/1000/$C$3)</f>
        <v>#DIV/0!</v>
      </c>
      <c r="O231" s="974" t="e">
        <f>IF($F231="","",$F231*chronic_consumption!J231/1000/$C$3)</f>
        <v>#DIV/0!</v>
      </c>
      <c r="P231" s="974" t="e">
        <f>IF($F231="","",$F231*chronic_consumption!K231/1000/$C$3)</f>
        <v>#DIV/0!</v>
      </c>
      <c r="Q231" s="974" t="e">
        <f>IF($F231="","",$F231*chronic_consumption!L231/1000/$C$3)</f>
        <v>#DIV/0!</v>
      </c>
      <c r="R231" s="974" t="e">
        <f>IF($F231="","",$F231*chronic_consumption!M231/1000/$C$3)</f>
        <v>#DIV/0!</v>
      </c>
      <c r="S231" s="974" t="e">
        <f>IF($F231="","",$F231*chronic_consumption!N231/1000/$C$3)</f>
        <v>#DIV/0!</v>
      </c>
      <c r="T231" s="974" t="e">
        <f>IF($F231="","",$F231*chronic_consumption!O231/1000/$C$3)</f>
        <v>#DIV/0!</v>
      </c>
      <c r="U231" s="974" t="e">
        <f>IF($F231="","",$F231*chronic_consumption!P231/1000/$C$3)</f>
        <v>#DIV/0!</v>
      </c>
      <c r="V231" s="974" t="e">
        <f>IF($F231="","",$F231*chronic_consumption!Q231/1000/$C$3)</f>
        <v>#DIV/0!</v>
      </c>
      <c r="W231" s="974" t="e">
        <f>IF($F231="","",$F231*chronic_consumption!R231/1000/$C$3)</f>
        <v>#DIV/0!</v>
      </c>
      <c r="X231" s="974" t="e">
        <f>IF($F231="","",$F231*chronic_consumption!S231/1000/$C$3)</f>
        <v>#DIV/0!</v>
      </c>
      <c r="Y231" s="974" t="e">
        <f>IF($F231="","",$F231*chronic_consumption!T231/1000/$C$3)</f>
        <v>#DIV/0!</v>
      </c>
      <c r="Z231" s="974" t="e">
        <f>IF($F231="","",$F231*chronic_consumption!U231/1000/$C$3)</f>
        <v>#DIV/0!</v>
      </c>
      <c r="AA231" s="974" t="e">
        <f>IF($F231="","",$F231*chronic_consumption!V231/1000/$C$3)</f>
        <v>#DIV/0!</v>
      </c>
      <c r="AB231" s="974" t="e">
        <f>IF($F231="","",$F231*chronic_consumption!W231/1000/$C$3)</f>
        <v>#DIV/0!</v>
      </c>
      <c r="AC231" s="974" t="e">
        <f>IF($F231="","",$F231*chronic_consumption!X231/1000/$C$3)</f>
        <v>#DIV/0!</v>
      </c>
      <c r="AD231" s="974" t="e">
        <f>IF($F231="","",$F231*chronic_consumption!Y231/1000/$C$3)</f>
        <v>#DIV/0!</v>
      </c>
      <c r="AE231" s="974" t="e">
        <f>IF($F231="","",$F231*chronic_consumption!Z231/1000/$C$3)</f>
        <v>#DIV/0!</v>
      </c>
      <c r="AF231" s="974" t="e">
        <f>IF($F231="","",$F231*chronic_consumption!AA231/1000/$C$3)</f>
        <v>#DIV/0!</v>
      </c>
      <c r="AG231" s="974" t="e">
        <f>IF($F231="","",$F231*chronic_consumption!AB231/1000/$C$3)</f>
        <v>#DIV/0!</v>
      </c>
      <c r="AH231" s="974" t="e">
        <f>IF($F231="","",$F231*chronic_consumption!AC231/1000/$C$3)</f>
        <v>#DIV/0!</v>
      </c>
      <c r="AI231" s="974" t="e">
        <f>IF($F231="","",$F231*chronic_consumption!AD231/1000/$C$3)</f>
        <v>#DIV/0!</v>
      </c>
      <c r="AJ231" s="974" t="e">
        <f>IF($F231="","",$F231*chronic_consumption!AE231/1000/$C$3)</f>
        <v>#DIV/0!</v>
      </c>
      <c r="AK231" s="974" t="e">
        <f>IF($F231="","",$F231*chronic_consumption!AF231/1000/$C$3)</f>
        <v>#DIV/0!</v>
      </c>
      <c r="AL231" s="974" t="e">
        <f>IF($F231="","",$F231*chronic_consumption!AG231/1000/$C$3)</f>
        <v>#DIV/0!</v>
      </c>
      <c r="AM231" s="974" t="e">
        <f>IF($F231="","",$F231*chronic_consumption!AH231/1000/$C$3)</f>
        <v>#DIV/0!</v>
      </c>
      <c r="AN231" s="974" t="e">
        <f>IF($F231="","",$F231*chronic_consumption!AI231/1000/$C$3)</f>
        <v>#DIV/0!</v>
      </c>
      <c r="AO231" s="974" t="e">
        <f>IF($F231="","",$F231*chronic_consumption!AJ231/1000/$C$3)</f>
        <v>#DIV/0!</v>
      </c>
      <c r="AP231" s="974" t="e">
        <f>IF($F231="","",$F231*chronic_consumption!AK231/1000/$C$3)</f>
        <v>#DIV/0!</v>
      </c>
      <c r="AQ231" s="974" t="e">
        <f>IF($F231="","",$F231*chronic_consumption!AL231/1000/$C$3)</f>
        <v>#DIV/0!</v>
      </c>
      <c r="AR231" s="974" t="e">
        <f>IF($F231="","",$F231*chronic_consumption!AM231/1000/$C$3)</f>
        <v>#DIV/0!</v>
      </c>
      <c r="AS231" s="974" t="e">
        <f>IF($F231="","",$F231*chronic_consumption!AN231/1000/$C$3)</f>
        <v>#DIV/0!</v>
      </c>
      <c r="AT231" s="974" t="e">
        <f>IF($F231="","",$F231*chronic_consumption!AO231/1000/$C$3)</f>
        <v>#DIV/0!</v>
      </c>
      <c r="AU231" s="974"/>
      <c r="AV231" s="974" t="e">
        <f>IF($F231="","",$F231*chronic_consumption!AQ231/1000/$C$3)</f>
        <v>#DIV/0!</v>
      </c>
      <c r="AW231" s="974" t="e">
        <f>IF($F231="","",$F231*chronic_consumption!AR231/1000/$C$3)</f>
        <v>#DIV/0!</v>
      </c>
      <c r="AX231" s="974" t="e">
        <f>IF($F231="","",$F231*chronic_consumption!AS231/1000/$C$3)</f>
        <v>#DIV/0!</v>
      </c>
      <c r="AY231" s="974" t="e">
        <f>IF($F231="","",$F231*chronic_consumption!AT231/1000/$C$3)</f>
        <v>#DIV/0!</v>
      </c>
      <c r="AZ231" s="973" t="s">
        <v>19</v>
      </c>
      <c r="BA231" s="969" t="e">
        <f t="shared" si="19"/>
        <v>#DIV/0!</v>
      </c>
      <c r="BB231" s="970" t="e">
        <f t="shared" si="20"/>
        <v>#DIV/0!</v>
      </c>
      <c r="BC231" s="971" t="e">
        <f t="shared" ca="1" si="21"/>
        <v>#DIV/0!</v>
      </c>
      <c r="BD231" s="228">
        <f>input_values!Z231</f>
        <v>4</v>
      </c>
      <c r="BE231" s="152">
        <f>input_values!L231</f>
        <v>0</v>
      </c>
      <c r="BF231" s="972" t="str">
        <f t="shared" si="22"/>
        <v/>
      </c>
    </row>
    <row r="232" spans="1:58" ht="12" customHeight="1" outlineLevel="3" x14ac:dyDescent="0.2">
      <c r="A232" s="21">
        <v>4</v>
      </c>
      <c r="B232" s="23">
        <v>401130</v>
      </c>
      <c r="C232" s="23" t="s">
        <v>756</v>
      </c>
      <c r="D232" s="965">
        <f>Table22[[#This Row],[MRL individual commodity]]</f>
        <v>0</v>
      </c>
      <c r="E232" s="300" t="str">
        <f>Table22[[#This Row],[LOQ_label]]</f>
        <v/>
      </c>
      <c r="F232" s="966">
        <f>Table22[[#This Row],[Chronic RA input value]]</f>
        <v>0</v>
      </c>
      <c r="G232" s="304" t="str">
        <f>Table22[[#This Row],[Chronic RA label]]</f>
        <v/>
      </c>
      <c r="H232" s="304">
        <f>Table22[[#This Row],[GAP under assessment]]</f>
        <v>0</v>
      </c>
      <c r="I232" s="1123"/>
      <c r="J232" s="974" t="e">
        <f>IF($F232="","",$F232*chronic_consumption!$E232/1000/$C$3)</f>
        <v>#DIV/0!</v>
      </c>
      <c r="K232" s="974" t="e">
        <f>IF($F232="","",$F232*chronic_consumption!F232/1000/$C$3)</f>
        <v>#DIV/0!</v>
      </c>
      <c r="L232" s="974" t="e">
        <f>IF($F232="","",$F232*chronic_consumption!G232/1000/$C$3)</f>
        <v>#DIV/0!</v>
      </c>
      <c r="M232" s="974" t="e">
        <f>IF($F232="","",$F232*chronic_consumption!H232/1000/$C$3)</f>
        <v>#DIV/0!</v>
      </c>
      <c r="N232" s="974" t="e">
        <f>IF($F232="","",$F232*chronic_consumption!I232/1000/$C$3)</f>
        <v>#DIV/0!</v>
      </c>
      <c r="O232" s="974" t="e">
        <f>IF($F232="","",$F232*chronic_consumption!J232/1000/$C$3)</f>
        <v>#DIV/0!</v>
      </c>
      <c r="P232" s="974" t="e">
        <f>IF($F232="","",$F232*chronic_consumption!K232/1000/$C$3)</f>
        <v>#DIV/0!</v>
      </c>
      <c r="Q232" s="974" t="e">
        <f>IF($F232="","",$F232*chronic_consumption!L232/1000/$C$3)</f>
        <v>#DIV/0!</v>
      </c>
      <c r="R232" s="974" t="e">
        <f>IF($F232="","",$F232*chronic_consumption!M232/1000/$C$3)</f>
        <v>#DIV/0!</v>
      </c>
      <c r="S232" s="974" t="e">
        <f>IF($F232="","",$F232*chronic_consumption!N232/1000/$C$3)</f>
        <v>#DIV/0!</v>
      </c>
      <c r="T232" s="974" t="e">
        <f>IF($F232="","",$F232*chronic_consumption!O232/1000/$C$3)</f>
        <v>#DIV/0!</v>
      </c>
      <c r="U232" s="974" t="e">
        <f>IF($F232="","",$F232*chronic_consumption!P232/1000/$C$3)</f>
        <v>#DIV/0!</v>
      </c>
      <c r="V232" s="974" t="e">
        <f>IF($F232="","",$F232*chronic_consumption!Q232/1000/$C$3)</f>
        <v>#DIV/0!</v>
      </c>
      <c r="W232" s="974" t="e">
        <f>IF($F232="","",$F232*chronic_consumption!R232/1000/$C$3)</f>
        <v>#DIV/0!</v>
      </c>
      <c r="X232" s="974" t="e">
        <f>IF($F232="","",$F232*chronic_consumption!S232/1000/$C$3)</f>
        <v>#DIV/0!</v>
      </c>
      <c r="Y232" s="974" t="e">
        <f>IF($F232="","",$F232*chronic_consumption!T232/1000/$C$3)</f>
        <v>#DIV/0!</v>
      </c>
      <c r="Z232" s="974" t="e">
        <f>IF($F232="","",$F232*chronic_consumption!U232/1000/$C$3)</f>
        <v>#DIV/0!</v>
      </c>
      <c r="AA232" s="974" t="e">
        <f>IF($F232="","",$F232*chronic_consumption!V232/1000/$C$3)</f>
        <v>#DIV/0!</v>
      </c>
      <c r="AB232" s="974" t="e">
        <f>IF($F232="","",$F232*chronic_consumption!W232/1000/$C$3)</f>
        <v>#DIV/0!</v>
      </c>
      <c r="AC232" s="974" t="e">
        <f>IF($F232="","",$F232*chronic_consumption!X232/1000/$C$3)</f>
        <v>#DIV/0!</v>
      </c>
      <c r="AD232" s="974" t="e">
        <f>IF($F232="","",$F232*chronic_consumption!Y232/1000/$C$3)</f>
        <v>#DIV/0!</v>
      </c>
      <c r="AE232" s="974" t="e">
        <f>IF($F232="","",$F232*chronic_consumption!Z232/1000/$C$3)</f>
        <v>#DIV/0!</v>
      </c>
      <c r="AF232" s="974" t="e">
        <f>IF($F232="","",$F232*chronic_consumption!AA232/1000/$C$3)</f>
        <v>#DIV/0!</v>
      </c>
      <c r="AG232" s="974" t="e">
        <f>IF($F232="","",$F232*chronic_consumption!AB232/1000/$C$3)</f>
        <v>#DIV/0!</v>
      </c>
      <c r="AH232" s="974" t="e">
        <f>IF($F232="","",$F232*chronic_consumption!AC232/1000/$C$3)</f>
        <v>#DIV/0!</v>
      </c>
      <c r="AI232" s="974" t="e">
        <f>IF($F232="","",$F232*chronic_consumption!AD232/1000/$C$3)</f>
        <v>#DIV/0!</v>
      </c>
      <c r="AJ232" s="974" t="e">
        <f>IF($F232="","",$F232*chronic_consumption!AE232/1000/$C$3)</f>
        <v>#DIV/0!</v>
      </c>
      <c r="AK232" s="974" t="e">
        <f>IF($F232="","",$F232*chronic_consumption!AF232/1000/$C$3)</f>
        <v>#DIV/0!</v>
      </c>
      <c r="AL232" s="974" t="e">
        <f>IF($F232="","",$F232*chronic_consumption!AG232/1000/$C$3)</f>
        <v>#DIV/0!</v>
      </c>
      <c r="AM232" s="974" t="e">
        <f>IF($F232="","",$F232*chronic_consumption!AH232/1000/$C$3)</f>
        <v>#DIV/0!</v>
      </c>
      <c r="AN232" s="974" t="e">
        <f>IF($F232="","",$F232*chronic_consumption!AI232/1000/$C$3)</f>
        <v>#DIV/0!</v>
      </c>
      <c r="AO232" s="974" t="e">
        <f>IF($F232="","",$F232*chronic_consumption!AJ232/1000/$C$3)</f>
        <v>#DIV/0!</v>
      </c>
      <c r="AP232" s="974" t="e">
        <f>IF($F232="","",$F232*chronic_consumption!AK232/1000/$C$3)</f>
        <v>#DIV/0!</v>
      </c>
      <c r="AQ232" s="974" t="e">
        <f>IF($F232="","",$F232*chronic_consumption!AL232/1000/$C$3)</f>
        <v>#DIV/0!</v>
      </c>
      <c r="AR232" s="974" t="e">
        <f>IF($F232="","",$F232*chronic_consumption!AM232/1000/$C$3)</f>
        <v>#DIV/0!</v>
      </c>
      <c r="AS232" s="974" t="e">
        <f>IF($F232="","",$F232*chronic_consumption!AN232/1000/$C$3)</f>
        <v>#DIV/0!</v>
      </c>
      <c r="AT232" s="974" t="e">
        <f>IF($F232="","",$F232*chronic_consumption!AO232/1000/$C$3)</f>
        <v>#DIV/0!</v>
      </c>
      <c r="AU232" s="974"/>
      <c r="AV232" s="974" t="e">
        <f>IF($F232="","",$F232*chronic_consumption!AQ232/1000/$C$3)</f>
        <v>#DIV/0!</v>
      </c>
      <c r="AW232" s="974" t="e">
        <f>IF($F232="","",$F232*chronic_consumption!AR232/1000/$C$3)</f>
        <v>#DIV/0!</v>
      </c>
      <c r="AX232" s="974" t="e">
        <f>IF($F232="","",$F232*chronic_consumption!AS232/1000/$C$3)</f>
        <v>#DIV/0!</v>
      </c>
      <c r="AY232" s="974" t="e">
        <f>IF($F232="","",$F232*chronic_consumption!AT232/1000/$C$3)</f>
        <v>#DIV/0!</v>
      </c>
      <c r="AZ232" s="973" t="s">
        <v>19</v>
      </c>
      <c r="BA232" s="969" t="e">
        <f t="shared" si="19"/>
        <v>#DIV/0!</v>
      </c>
      <c r="BB232" s="970" t="e">
        <f t="shared" si="20"/>
        <v>#DIV/0!</v>
      </c>
      <c r="BC232" s="971" t="e">
        <f t="shared" ca="1" si="21"/>
        <v>#DIV/0!</v>
      </c>
      <c r="BD232" s="228">
        <f>input_values!Z232</f>
        <v>4</v>
      </c>
      <c r="BE232" s="152">
        <f>input_values!L232</f>
        <v>0</v>
      </c>
      <c r="BF232" s="972" t="str">
        <f t="shared" si="22"/>
        <v/>
      </c>
    </row>
    <row r="233" spans="1:58" ht="12" customHeight="1" outlineLevel="3" x14ac:dyDescent="0.2">
      <c r="A233" s="21">
        <v>4</v>
      </c>
      <c r="B233" s="23">
        <v>401140</v>
      </c>
      <c r="C233" s="23" t="s">
        <v>757</v>
      </c>
      <c r="D233" s="965">
        <f>Table22[[#This Row],[MRL individual commodity]]</f>
        <v>0</v>
      </c>
      <c r="E233" s="300" t="str">
        <f>Table22[[#This Row],[LOQ_label]]</f>
        <v/>
      </c>
      <c r="F233" s="966">
        <f>Table22[[#This Row],[Chronic RA input value]]</f>
        <v>0</v>
      </c>
      <c r="G233" s="304" t="str">
        <f>Table22[[#This Row],[Chronic RA label]]</f>
        <v/>
      </c>
      <c r="H233" s="304">
        <f>Table22[[#This Row],[GAP under assessment]]</f>
        <v>0</v>
      </c>
      <c r="I233" s="1123"/>
      <c r="J233" s="974" t="e">
        <f>IF($F233="","",$F233*chronic_consumption!$E233/1000/$C$3)</f>
        <v>#DIV/0!</v>
      </c>
      <c r="K233" s="974" t="e">
        <f>IF($F233="","",$F233*chronic_consumption!F233/1000/$C$3)</f>
        <v>#DIV/0!</v>
      </c>
      <c r="L233" s="974" t="e">
        <f>IF($F233="","",$F233*chronic_consumption!G233/1000/$C$3)</f>
        <v>#DIV/0!</v>
      </c>
      <c r="M233" s="974" t="e">
        <f>IF($F233="","",$F233*chronic_consumption!H233/1000/$C$3)</f>
        <v>#DIV/0!</v>
      </c>
      <c r="N233" s="974" t="e">
        <f>IF($F233="","",$F233*chronic_consumption!I233/1000/$C$3)</f>
        <v>#DIV/0!</v>
      </c>
      <c r="O233" s="974" t="e">
        <f>IF($F233="","",$F233*chronic_consumption!J233/1000/$C$3)</f>
        <v>#DIV/0!</v>
      </c>
      <c r="P233" s="974" t="e">
        <f>IF($F233="","",$F233*chronic_consumption!K233/1000/$C$3)</f>
        <v>#DIV/0!</v>
      </c>
      <c r="Q233" s="974" t="e">
        <f>IF($F233="","",$F233*chronic_consumption!L233/1000/$C$3)</f>
        <v>#DIV/0!</v>
      </c>
      <c r="R233" s="974" t="e">
        <f>IF($F233="","",$F233*chronic_consumption!M233/1000/$C$3)</f>
        <v>#DIV/0!</v>
      </c>
      <c r="S233" s="974" t="e">
        <f>IF($F233="","",$F233*chronic_consumption!N233/1000/$C$3)</f>
        <v>#DIV/0!</v>
      </c>
      <c r="T233" s="974" t="e">
        <f>IF($F233="","",$F233*chronic_consumption!O233/1000/$C$3)</f>
        <v>#DIV/0!</v>
      </c>
      <c r="U233" s="974" t="e">
        <f>IF($F233="","",$F233*chronic_consumption!P233/1000/$C$3)</f>
        <v>#DIV/0!</v>
      </c>
      <c r="V233" s="974" t="e">
        <f>IF($F233="","",$F233*chronic_consumption!Q233/1000/$C$3)</f>
        <v>#DIV/0!</v>
      </c>
      <c r="W233" s="974" t="e">
        <f>IF($F233="","",$F233*chronic_consumption!R233/1000/$C$3)</f>
        <v>#DIV/0!</v>
      </c>
      <c r="X233" s="974" t="e">
        <f>IF($F233="","",$F233*chronic_consumption!S233/1000/$C$3)</f>
        <v>#DIV/0!</v>
      </c>
      <c r="Y233" s="974" t="e">
        <f>IF($F233="","",$F233*chronic_consumption!T233/1000/$C$3)</f>
        <v>#DIV/0!</v>
      </c>
      <c r="Z233" s="974" t="e">
        <f>IF($F233="","",$F233*chronic_consumption!U233/1000/$C$3)</f>
        <v>#DIV/0!</v>
      </c>
      <c r="AA233" s="974" t="e">
        <f>IF($F233="","",$F233*chronic_consumption!V233/1000/$C$3)</f>
        <v>#DIV/0!</v>
      </c>
      <c r="AB233" s="974" t="e">
        <f>IF($F233="","",$F233*chronic_consumption!W233/1000/$C$3)</f>
        <v>#DIV/0!</v>
      </c>
      <c r="AC233" s="974" t="e">
        <f>IF($F233="","",$F233*chronic_consumption!X233/1000/$C$3)</f>
        <v>#DIV/0!</v>
      </c>
      <c r="AD233" s="974" t="e">
        <f>IF($F233="","",$F233*chronic_consumption!Y233/1000/$C$3)</f>
        <v>#DIV/0!</v>
      </c>
      <c r="AE233" s="974" t="e">
        <f>IF($F233="","",$F233*chronic_consumption!Z233/1000/$C$3)</f>
        <v>#DIV/0!</v>
      </c>
      <c r="AF233" s="974" t="e">
        <f>IF($F233="","",$F233*chronic_consumption!AA233/1000/$C$3)</f>
        <v>#DIV/0!</v>
      </c>
      <c r="AG233" s="974" t="e">
        <f>IF($F233="","",$F233*chronic_consumption!AB233/1000/$C$3)</f>
        <v>#DIV/0!</v>
      </c>
      <c r="AH233" s="974" t="e">
        <f>IF($F233="","",$F233*chronic_consumption!AC233/1000/$C$3)</f>
        <v>#DIV/0!</v>
      </c>
      <c r="AI233" s="974" t="e">
        <f>IF($F233="","",$F233*chronic_consumption!AD233/1000/$C$3)</f>
        <v>#DIV/0!</v>
      </c>
      <c r="AJ233" s="974" t="e">
        <f>IF($F233="","",$F233*chronic_consumption!AE233/1000/$C$3)</f>
        <v>#DIV/0!</v>
      </c>
      <c r="AK233" s="974" t="e">
        <f>IF($F233="","",$F233*chronic_consumption!AF233/1000/$C$3)</f>
        <v>#DIV/0!</v>
      </c>
      <c r="AL233" s="974" t="e">
        <f>IF($F233="","",$F233*chronic_consumption!AG233/1000/$C$3)</f>
        <v>#DIV/0!</v>
      </c>
      <c r="AM233" s="974" t="e">
        <f>IF($F233="","",$F233*chronic_consumption!AH233/1000/$C$3)</f>
        <v>#DIV/0!</v>
      </c>
      <c r="AN233" s="974" t="e">
        <f>IF($F233="","",$F233*chronic_consumption!AI233/1000/$C$3)</f>
        <v>#DIV/0!</v>
      </c>
      <c r="AO233" s="974" t="e">
        <f>IF($F233="","",$F233*chronic_consumption!AJ233/1000/$C$3)</f>
        <v>#DIV/0!</v>
      </c>
      <c r="AP233" s="974" t="e">
        <f>IF($F233="","",$F233*chronic_consumption!AK233/1000/$C$3)</f>
        <v>#DIV/0!</v>
      </c>
      <c r="AQ233" s="974" t="e">
        <f>IF($F233="","",$F233*chronic_consumption!AL233/1000/$C$3)</f>
        <v>#DIV/0!</v>
      </c>
      <c r="AR233" s="974" t="e">
        <f>IF($F233="","",$F233*chronic_consumption!AM233/1000/$C$3)</f>
        <v>#DIV/0!</v>
      </c>
      <c r="AS233" s="974" t="e">
        <f>IF($F233="","",$F233*chronic_consumption!AN233/1000/$C$3)</f>
        <v>#DIV/0!</v>
      </c>
      <c r="AT233" s="974" t="e">
        <f>IF($F233="","",$F233*chronic_consumption!AO233/1000/$C$3)</f>
        <v>#DIV/0!</v>
      </c>
      <c r="AU233" s="974"/>
      <c r="AV233" s="974" t="e">
        <f>IF($F233="","",$F233*chronic_consumption!AQ233/1000/$C$3)</f>
        <v>#DIV/0!</v>
      </c>
      <c r="AW233" s="974" t="e">
        <f>IF($F233="","",$F233*chronic_consumption!AR233/1000/$C$3)</f>
        <v>#DIV/0!</v>
      </c>
      <c r="AX233" s="974" t="e">
        <f>IF($F233="","",$F233*chronic_consumption!AS233/1000/$C$3)</f>
        <v>#DIV/0!</v>
      </c>
      <c r="AY233" s="974" t="e">
        <f>IF($F233="","",$F233*chronic_consumption!AT233/1000/$C$3)</f>
        <v>#DIV/0!</v>
      </c>
      <c r="AZ233" s="973" t="s">
        <v>19</v>
      </c>
      <c r="BA233" s="969" t="e">
        <f t="shared" si="19"/>
        <v>#DIV/0!</v>
      </c>
      <c r="BB233" s="970" t="e">
        <f t="shared" si="20"/>
        <v>#DIV/0!</v>
      </c>
      <c r="BC233" s="971" t="e">
        <f t="shared" ca="1" si="21"/>
        <v>#DIV/0!</v>
      </c>
      <c r="BD233" s="228">
        <f>input_values!Z233</f>
        <v>4</v>
      </c>
      <c r="BE233" s="152">
        <f>input_values!L233</f>
        <v>0</v>
      </c>
      <c r="BF233" s="972" t="str">
        <f t="shared" si="22"/>
        <v/>
      </c>
    </row>
    <row r="234" spans="1:58" ht="12" customHeight="1" outlineLevel="3" x14ac:dyDescent="0.2">
      <c r="A234" s="21">
        <v>4</v>
      </c>
      <c r="B234" s="23">
        <v>401150</v>
      </c>
      <c r="C234" s="23" t="s">
        <v>758</v>
      </c>
      <c r="D234" s="965">
        <f>Table22[[#This Row],[MRL individual commodity]]</f>
        <v>0</v>
      </c>
      <c r="E234" s="300" t="str">
        <f>Table22[[#This Row],[LOQ_label]]</f>
        <v/>
      </c>
      <c r="F234" s="966">
        <f>Table22[[#This Row],[Chronic RA input value]]</f>
        <v>0</v>
      </c>
      <c r="G234" s="304" t="str">
        <f>Table22[[#This Row],[Chronic RA label]]</f>
        <v/>
      </c>
      <c r="H234" s="304">
        <f>Table22[[#This Row],[GAP under assessment]]</f>
        <v>0</v>
      </c>
      <c r="I234" s="1123"/>
      <c r="J234" s="974" t="e">
        <f>IF($F234="","",$F234*chronic_consumption!$E234/1000/$C$3)</f>
        <v>#DIV/0!</v>
      </c>
      <c r="K234" s="974" t="e">
        <f>IF($F234="","",$F234*chronic_consumption!F234/1000/$C$3)</f>
        <v>#DIV/0!</v>
      </c>
      <c r="L234" s="974" t="e">
        <f>IF($F234="","",$F234*chronic_consumption!G234/1000/$C$3)</f>
        <v>#DIV/0!</v>
      </c>
      <c r="M234" s="974" t="e">
        <f>IF($F234="","",$F234*chronic_consumption!H234/1000/$C$3)</f>
        <v>#DIV/0!</v>
      </c>
      <c r="N234" s="974" t="e">
        <f>IF($F234="","",$F234*chronic_consumption!I234/1000/$C$3)</f>
        <v>#DIV/0!</v>
      </c>
      <c r="O234" s="974" t="e">
        <f>IF($F234="","",$F234*chronic_consumption!J234/1000/$C$3)</f>
        <v>#DIV/0!</v>
      </c>
      <c r="P234" s="974" t="e">
        <f>IF($F234="","",$F234*chronic_consumption!K234/1000/$C$3)</f>
        <v>#DIV/0!</v>
      </c>
      <c r="Q234" s="974" t="e">
        <f>IF($F234="","",$F234*chronic_consumption!L234/1000/$C$3)</f>
        <v>#DIV/0!</v>
      </c>
      <c r="R234" s="974" t="e">
        <f>IF($F234="","",$F234*chronic_consumption!M234/1000/$C$3)</f>
        <v>#DIV/0!</v>
      </c>
      <c r="S234" s="974" t="e">
        <f>IF($F234="","",$F234*chronic_consumption!N234/1000/$C$3)</f>
        <v>#DIV/0!</v>
      </c>
      <c r="T234" s="974" t="e">
        <f>IF($F234="","",$F234*chronic_consumption!O234/1000/$C$3)</f>
        <v>#DIV/0!</v>
      </c>
      <c r="U234" s="974" t="e">
        <f>IF($F234="","",$F234*chronic_consumption!P234/1000/$C$3)</f>
        <v>#DIV/0!</v>
      </c>
      <c r="V234" s="974" t="e">
        <f>IF($F234="","",$F234*chronic_consumption!Q234/1000/$C$3)</f>
        <v>#DIV/0!</v>
      </c>
      <c r="W234" s="974" t="e">
        <f>IF($F234="","",$F234*chronic_consumption!R234/1000/$C$3)</f>
        <v>#DIV/0!</v>
      </c>
      <c r="X234" s="974" t="e">
        <f>IF($F234="","",$F234*chronic_consumption!S234/1000/$C$3)</f>
        <v>#DIV/0!</v>
      </c>
      <c r="Y234" s="974" t="e">
        <f>IF($F234="","",$F234*chronic_consumption!T234/1000/$C$3)</f>
        <v>#DIV/0!</v>
      </c>
      <c r="Z234" s="974" t="e">
        <f>IF($F234="","",$F234*chronic_consumption!U234/1000/$C$3)</f>
        <v>#DIV/0!</v>
      </c>
      <c r="AA234" s="974" t="e">
        <f>IF($F234="","",$F234*chronic_consumption!V234/1000/$C$3)</f>
        <v>#DIV/0!</v>
      </c>
      <c r="AB234" s="974" t="e">
        <f>IF($F234="","",$F234*chronic_consumption!W234/1000/$C$3)</f>
        <v>#DIV/0!</v>
      </c>
      <c r="AC234" s="974" t="e">
        <f>IF($F234="","",$F234*chronic_consumption!X234/1000/$C$3)</f>
        <v>#DIV/0!</v>
      </c>
      <c r="AD234" s="974" t="e">
        <f>IF($F234="","",$F234*chronic_consumption!Y234/1000/$C$3)</f>
        <v>#DIV/0!</v>
      </c>
      <c r="AE234" s="974" t="e">
        <f>IF($F234="","",$F234*chronic_consumption!Z234/1000/$C$3)</f>
        <v>#DIV/0!</v>
      </c>
      <c r="AF234" s="974" t="e">
        <f>IF($F234="","",$F234*chronic_consumption!AA234/1000/$C$3)</f>
        <v>#DIV/0!</v>
      </c>
      <c r="AG234" s="974" t="e">
        <f>IF($F234="","",$F234*chronic_consumption!AB234/1000/$C$3)</f>
        <v>#DIV/0!</v>
      </c>
      <c r="AH234" s="974" t="e">
        <f>IF($F234="","",$F234*chronic_consumption!AC234/1000/$C$3)</f>
        <v>#DIV/0!</v>
      </c>
      <c r="AI234" s="974" t="e">
        <f>IF($F234="","",$F234*chronic_consumption!AD234/1000/$C$3)</f>
        <v>#DIV/0!</v>
      </c>
      <c r="AJ234" s="974" t="e">
        <f>IF($F234="","",$F234*chronic_consumption!AE234/1000/$C$3)</f>
        <v>#DIV/0!</v>
      </c>
      <c r="AK234" s="974" t="e">
        <f>IF($F234="","",$F234*chronic_consumption!AF234/1000/$C$3)</f>
        <v>#DIV/0!</v>
      </c>
      <c r="AL234" s="974" t="e">
        <f>IF($F234="","",$F234*chronic_consumption!AG234/1000/$C$3)</f>
        <v>#DIV/0!</v>
      </c>
      <c r="AM234" s="974" t="e">
        <f>IF($F234="","",$F234*chronic_consumption!AH234/1000/$C$3)</f>
        <v>#DIV/0!</v>
      </c>
      <c r="AN234" s="974" t="e">
        <f>IF($F234="","",$F234*chronic_consumption!AI234/1000/$C$3)</f>
        <v>#DIV/0!</v>
      </c>
      <c r="AO234" s="974" t="e">
        <f>IF($F234="","",$F234*chronic_consumption!AJ234/1000/$C$3)</f>
        <v>#DIV/0!</v>
      </c>
      <c r="AP234" s="974" t="e">
        <f>IF($F234="","",$F234*chronic_consumption!AK234/1000/$C$3)</f>
        <v>#DIV/0!</v>
      </c>
      <c r="AQ234" s="974" t="e">
        <f>IF($F234="","",$F234*chronic_consumption!AL234/1000/$C$3)</f>
        <v>#DIV/0!</v>
      </c>
      <c r="AR234" s="974" t="e">
        <f>IF($F234="","",$F234*chronic_consumption!AM234/1000/$C$3)</f>
        <v>#DIV/0!</v>
      </c>
      <c r="AS234" s="974" t="e">
        <f>IF($F234="","",$F234*chronic_consumption!AN234/1000/$C$3)</f>
        <v>#DIV/0!</v>
      </c>
      <c r="AT234" s="974" t="e">
        <f>IF($F234="","",$F234*chronic_consumption!AO234/1000/$C$3)</f>
        <v>#DIV/0!</v>
      </c>
      <c r="AU234" s="974"/>
      <c r="AV234" s="974" t="e">
        <f>IF($F234="","",$F234*chronic_consumption!AQ234/1000/$C$3)</f>
        <v>#DIV/0!</v>
      </c>
      <c r="AW234" s="974" t="e">
        <f>IF($F234="","",$F234*chronic_consumption!AR234/1000/$C$3)</f>
        <v>#DIV/0!</v>
      </c>
      <c r="AX234" s="974" t="e">
        <f>IF($F234="","",$F234*chronic_consumption!AS234/1000/$C$3)</f>
        <v>#DIV/0!</v>
      </c>
      <c r="AY234" s="974" t="e">
        <f>IF($F234="","",$F234*chronic_consumption!AT234/1000/$C$3)</f>
        <v>#DIV/0!</v>
      </c>
      <c r="AZ234" s="973" t="s">
        <v>19</v>
      </c>
      <c r="BA234" s="969" t="e">
        <f t="shared" si="19"/>
        <v>#DIV/0!</v>
      </c>
      <c r="BB234" s="970" t="e">
        <f t="shared" si="20"/>
        <v>#DIV/0!</v>
      </c>
      <c r="BC234" s="971" t="e">
        <f t="shared" ca="1" si="21"/>
        <v>#DIV/0!</v>
      </c>
      <c r="BD234" s="228">
        <f>input_values!Z234</f>
        <v>4</v>
      </c>
      <c r="BE234" s="152">
        <f>input_values!L234</f>
        <v>0</v>
      </c>
      <c r="BF234" s="972" t="str">
        <f t="shared" si="22"/>
        <v/>
      </c>
    </row>
    <row r="235" spans="1:58" ht="12" customHeight="1" outlineLevel="3" x14ac:dyDescent="0.2">
      <c r="A235" s="21">
        <v>4</v>
      </c>
      <c r="B235" s="23">
        <v>401990</v>
      </c>
      <c r="C235" s="23" t="s">
        <v>178</v>
      </c>
      <c r="D235" s="965">
        <f>Table22[[#This Row],[MRL individual commodity]]</f>
        <v>0</v>
      </c>
      <c r="E235" s="300" t="str">
        <f>Table22[[#This Row],[LOQ_label]]</f>
        <v/>
      </c>
      <c r="F235" s="966">
        <f>Table22[[#This Row],[Chronic RA input value]]</f>
        <v>0</v>
      </c>
      <c r="G235" s="304" t="str">
        <f>Table22[[#This Row],[Chronic RA label]]</f>
        <v/>
      </c>
      <c r="H235" s="304">
        <f>Table22[[#This Row],[GAP under assessment]]</f>
        <v>0</v>
      </c>
      <c r="I235" s="1123"/>
      <c r="J235" s="974" t="e">
        <f>IF($F235="","",$F235*chronic_consumption!$E235/1000/$C$3)</f>
        <v>#DIV/0!</v>
      </c>
      <c r="K235" s="974" t="e">
        <f>IF($F235="","",$F235*chronic_consumption!F235/1000/$C$3)</f>
        <v>#DIV/0!</v>
      </c>
      <c r="L235" s="974" t="e">
        <f>IF($F235="","",$F235*chronic_consumption!G235/1000/$C$3)</f>
        <v>#DIV/0!</v>
      </c>
      <c r="M235" s="974" t="e">
        <f>IF($F235="","",$F235*chronic_consumption!H235/1000/$C$3)</f>
        <v>#DIV/0!</v>
      </c>
      <c r="N235" s="974" t="e">
        <f>IF($F235="","",$F235*chronic_consumption!I235/1000/$C$3)</f>
        <v>#DIV/0!</v>
      </c>
      <c r="O235" s="974" t="e">
        <f>IF($F235="","",$F235*chronic_consumption!J235/1000/$C$3)</f>
        <v>#DIV/0!</v>
      </c>
      <c r="P235" s="974" t="e">
        <f>IF($F235="","",$F235*chronic_consumption!K235/1000/$C$3)</f>
        <v>#DIV/0!</v>
      </c>
      <c r="Q235" s="974" t="e">
        <f>IF($F235="","",$F235*chronic_consumption!L235/1000/$C$3)</f>
        <v>#DIV/0!</v>
      </c>
      <c r="R235" s="974" t="e">
        <f>IF($F235="","",$F235*chronic_consumption!M235/1000/$C$3)</f>
        <v>#DIV/0!</v>
      </c>
      <c r="S235" s="974" t="e">
        <f>IF($F235="","",$F235*chronic_consumption!N235/1000/$C$3)</f>
        <v>#DIV/0!</v>
      </c>
      <c r="T235" s="974" t="e">
        <f>IF($F235="","",$F235*chronic_consumption!O235/1000/$C$3)</f>
        <v>#DIV/0!</v>
      </c>
      <c r="U235" s="974" t="e">
        <f>IF($F235="","",$F235*chronic_consumption!P235/1000/$C$3)</f>
        <v>#DIV/0!</v>
      </c>
      <c r="V235" s="974" t="e">
        <f>IF($F235="","",$F235*chronic_consumption!Q235/1000/$C$3)</f>
        <v>#DIV/0!</v>
      </c>
      <c r="W235" s="974" t="e">
        <f>IF($F235="","",$F235*chronic_consumption!R235/1000/$C$3)</f>
        <v>#DIV/0!</v>
      </c>
      <c r="X235" s="974" t="e">
        <f>IF($F235="","",$F235*chronic_consumption!S235/1000/$C$3)</f>
        <v>#DIV/0!</v>
      </c>
      <c r="Y235" s="974" t="e">
        <f>IF($F235="","",$F235*chronic_consumption!T235/1000/$C$3)</f>
        <v>#DIV/0!</v>
      </c>
      <c r="Z235" s="974" t="e">
        <f>IF($F235="","",$F235*chronic_consumption!U235/1000/$C$3)</f>
        <v>#DIV/0!</v>
      </c>
      <c r="AA235" s="974" t="e">
        <f>IF($F235="","",$F235*chronic_consumption!V235/1000/$C$3)</f>
        <v>#DIV/0!</v>
      </c>
      <c r="AB235" s="974" t="e">
        <f>IF($F235="","",$F235*chronic_consumption!W235/1000/$C$3)</f>
        <v>#DIV/0!</v>
      </c>
      <c r="AC235" s="974" t="e">
        <f>IF($F235="","",$F235*chronic_consumption!X235/1000/$C$3)</f>
        <v>#DIV/0!</v>
      </c>
      <c r="AD235" s="974" t="e">
        <f>IF($F235="","",$F235*chronic_consumption!Y235/1000/$C$3)</f>
        <v>#DIV/0!</v>
      </c>
      <c r="AE235" s="974" t="e">
        <f>IF($F235="","",$F235*chronic_consumption!Z235/1000/$C$3)</f>
        <v>#DIV/0!</v>
      </c>
      <c r="AF235" s="974" t="e">
        <f>IF($F235="","",$F235*chronic_consumption!AA235/1000/$C$3)</f>
        <v>#DIV/0!</v>
      </c>
      <c r="AG235" s="974" t="e">
        <f>IF($F235="","",$F235*chronic_consumption!AB235/1000/$C$3)</f>
        <v>#DIV/0!</v>
      </c>
      <c r="AH235" s="974" t="e">
        <f>IF($F235="","",$F235*chronic_consumption!AC235/1000/$C$3)</f>
        <v>#DIV/0!</v>
      </c>
      <c r="AI235" s="974" t="e">
        <f>IF($F235="","",$F235*chronic_consumption!AD235/1000/$C$3)</f>
        <v>#DIV/0!</v>
      </c>
      <c r="AJ235" s="974" t="e">
        <f>IF($F235="","",$F235*chronic_consumption!AE235/1000/$C$3)</f>
        <v>#DIV/0!</v>
      </c>
      <c r="AK235" s="974" t="e">
        <f>IF($F235="","",$F235*chronic_consumption!AF235/1000/$C$3)</f>
        <v>#DIV/0!</v>
      </c>
      <c r="AL235" s="974" t="e">
        <f>IF($F235="","",$F235*chronic_consumption!AG235/1000/$C$3)</f>
        <v>#DIV/0!</v>
      </c>
      <c r="AM235" s="974" t="e">
        <f>IF($F235="","",$F235*chronic_consumption!AH235/1000/$C$3)</f>
        <v>#DIV/0!</v>
      </c>
      <c r="AN235" s="974" t="e">
        <f>IF($F235="","",$F235*chronic_consumption!AI235/1000/$C$3)</f>
        <v>#DIV/0!</v>
      </c>
      <c r="AO235" s="974" t="e">
        <f>IF($F235="","",$F235*chronic_consumption!AJ235/1000/$C$3)</f>
        <v>#DIV/0!</v>
      </c>
      <c r="AP235" s="974" t="e">
        <f>IF($F235="","",$F235*chronic_consumption!AK235/1000/$C$3)</f>
        <v>#DIV/0!</v>
      </c>
      <c r="AQ235" s="974" t="e">
        <f>IF($F235="","",$F235*chronic_consumption!AL235/1000/$C$3)</f>
        <v>#DIV/0!</v>
      </c>
      <c r="AR235" s="974" t="e">
        <f>IF($F235="","",$F235*chronic_consumption!AM235/1000/$C$3)</f>
        <v>#DIV/0!</v>
      </c>
      <c r="AS235" s="974" t="e">
        <f>IF($F235="","",$F235*chronic_consumption!AN235/1000/$C$3)</f>
        <v>#DIV/0!</v>
      </c>
      <c r="AT235" s="974" t="e">
        <f>IF($F235="","",$F235*chronic_consumption!AO235/1000/$C$3)</f>
        <v>#DIV/0!</v>
      </c>
      <c r="AU235" s="974"/>
      <c r="AV235" s="974" t="e">
        <f>IF($F235="","",$F235*chronic_consumption!AQ235/1000/$C$3)</f>
        <v>#DIV/0!</v>
      </c>
      <c r="AW235" s="974" t="e">
        <f>IF($F235="","",$F235*chronic_consumption!AR235/1000/$C$3)</f>
        <v>#DIV/0!</v>
      </c>
      <c r="AX235" s="974" t="e">
        <f>IF($F235="","",$F235*chronic_consumption!AS235/1000/$C$3)</f>
        <v>#DIV/0!</v>
      </c>
      <c r="AY235" s="974" t="e">
        <f>IF($F235="","",$F235*chronic_consumption!AT235/1000/$C$3)</f>
        <v>#DIV/0!</v>
      </c>
      <c r="AZ235" s="973" t="s">
        <v>19</v>
      </c>
      <c r="BA235" s="969" t="e">
        <f t="shared" si="19"/>
        <v>#DIV/0!</v>
      </c>
      <c r="BB235" s="970" t="e">
        <f t="shared" si="20"/>
        <v>#DIV/0!</v>
      </c>
      <c r="BC235" s="971" t="e">
        <f t="shared" ca="1" si="21"/>
        <v>#DIV/0!</v>
      </c>
      <c r="BD235" s="228">
        <f>input_values!Z235</f>
        <v>4</v>
      </c>
      <c r="BE235" s="152">
        <f>input_values!L235</f>
        <v>0</v>
      </c>
      <c r="BF235" s="972" t="str">
        <f t="shared" si="22"/>
        <v/>
      </c>
    </row>
    <row r="236" spans="1:58" ht="12" customHeight="1" outlineLevel="1" x14ac:dyDescent="0.2">
      <c r="A236" s="314">
        <v>2</v>
      </c>
      <c r="B236" s="131">
        <v>402000</v>
      </c>
      <c r="C236" s="131" t="s">
        <v>759</v>
      </c>
      <c r="D236" s="965">
        <f>Table22[[#This Row],[MRL individual commodity]]</f>
        <v>0</v>
      </c>
      <c r="E236" s="300">
        <f>Table22[[#This Row],[LOQ_label]]</f>
        <v>0</v>
      </c>
      <c r="F236" s="966">
        <f>Table22[[#This Row],[Chronic RA input value]]</f>
        <v>0</v>
      </c>
      <c r="G236" s="304">
        <f>Table22[[#This Row],[Chronic RA label]]</f>
        <v>0</v>
      </c>
      <c r="H236" s="304">
        <f>Table22[[#This Row],[GAP under assessment]]</f>
        <v>0</v>
      </c>
      <c r="I236" s="1123"/>
      <c r="J236" s="967" t="e">
        <f>IF($F236="","",$F236*chronic_consumption!$E236/1000/$C$3)</f>
        <v>#DIV/0!</v>
      </c>
      <c r="K236" s="967" t="e">
        <f>IF($F236="","",$F236*chronic_consumption!F236/1000/$C$3)</f>
        <v>#DIV/0!</v>
      </c>
      <c r="L236" s="967" t="e">
        <f>IF($F236="","",$F236*chronic_consumption!G236/1000/$C$3)</f>
        <v>#DIV/0!</v>
      </c>
      <c r="M236" s="967" t="e">
        <f>IF($F236="","",$F236*chronic_consumption!H236/1000/$C$3)</f>
        <v>#DIV/0!</v>
      </c>
      <c r="N236" s="967" t="e">
        <f>IF($F236="","",$F236*chronic_consumption!I236/1000/$C$3)</f>
        <v>#DIV/0!</v>
      </c>
      <c r="O236" s="967" t="e">
        <f>IF($F236="","",$F236*chronic_consumption!J236/1000/$C$3)</f>
        <v>#DIV/0!</v>
      </c>
      <c r="P236" s="967" t="e">
        <f>IF($F236="","",$F236*chronic_consumption!K236/1000/$C$3)</f>
        <v>#DIV/0!</v>
      </c>
      <c r="Q236" s="967" t="e">
        <f>IF($F236="","",$F236*chronic_consumption!L236/1000/$C$3)</f>
        <v>#DIV/0!</v>
      </c>
      <c r="R236" s="967" t="e">
        <f>IF($F236="","",$F236*chronic_consumption!M236/1000/$C$3)</f>
        <v>#DIV/0!</v>
      </c>
      <c r="S236" s="967" t="e">
        <f>IF($F236="","",$F236*chronic_consumption!N236/1000/$C$3)</f>
        <v>#DIV/0!</v>
      </c>
      <c r="T236" s="967" t="e">
        <f>IF($F236="","",$F236*chronic_consumption!O236/1000/$C$3)</f>
        <v>#DIV/0!</v>
      </c>
      <c r="U236" s="967" t="e">
        <f>IF($F236="","",$F236*chronic_consumption!P236/1000/$C$3)</f>
        <v>#DIV/0!</v>
      </c>
      <c r="V236" s="967" t="e">
        <f>IF($F236="","",$F236*chronic_consumption!Q236/1000/$C$3)</f>
        <v>#DIV/0!</v>
      </c>
      <c r="W236" s="967" t="e">
        <f>IF($F236="","",$F236*chronic_consumption!R236/1000/$C$3)</f>
        <v>#DIV/0!</v>
      </c>
      <c r="X236" s="967" t="e">
        <f>IF($F236="","",$F236*chronic_consumption!S236/1000/$C$3)</f>
        <v>#DIV/0!</v>
      </c>
      <c r="Y236" s="967" t="e">
        <f>IF($F236="","",$F236*chronic_consumption!T236/1000/$C$3)</f>
        <v>#DIV/0!</v>
      </c>
      <c r="Z236" s="967" t="e">
        <f>IF($F236="","",$F236*chronic_consumption!U236/1000/$C$3)</f>
        <v>#DIV/0!</v>
      </c>
      <c r="AA236" s="967" t="e">
        <f>IF($F236="","",$F236*chronic_consumption!V236/1000/$C$3)</f>
        <v>#DIV/0!</v>
      </c>
      <c r="AB236" s="967" t="e">
        <f>IF($F236="","",$F236*chronic_consumption!W236/1000/$C$3)</f>
        <v>#DIV/0!</v>
      </c>
      <c r="AC236" s="967" t="e">
        <f>IF($F236="","",$F236*chronic_consumption!X236/1000/$C$3)</f>
        <v>#DIV/0!</v>
      </c>
      <c r="AD236" s="967" t="e">
        <f>IF($F236="","",$F236*chronic_consumption!Y236/1000/$C$3)</f>
        <v>#DIV/0!</v>
      </c>
      <c r="AE236" s="967" t="e">
        <f>IF($F236="","",$F236*chronic_consumption!Z236/1000/$C$3)</f>
        <v>#DIV/0!</v>
      </c>
      <c r="AF236" s="967" t="e">
        <f>IF($F236="","",$F236*chronic_consumption!AA236/1000/$C$3)</f>
        <v>#DIV/0!</v>
      </c>
      <c r="AG236" s="967" t="e">
        <f>IF($F236="","",$F236*chronic_consumption!AB236/1000/$C$3)</f>
        <v>#DIV/0!</v>
      </c>
      <c r="AH236" s="967" t="e">
        <f>IF($F236="","",$F236*chronic_consumption!AC236/1000/$C$3)</f>
        <v>#DIV/0!</v>
      </c>
      <c r="AI236" s="967" t="e">
        <f>IF($F236="","",$F236*chronic_consumption!AD236/1000/$C$3)</f>
        <v>#DIV/0!</v>
      </c>
      <c r="AJ236" s="967" t="e">
        <f>IF($F236="","",$F236*chronic_consumption!AE236/1000/$C$3)</f>
        <v>#DIV/0!</v>
      </c>
      <c r="AK236" s="967" t="e">
        <f>IF($F236="","",$F236*chronic_consumption!AF236/1000/$C$3)</f>
        <v>#DIV/0!</v>
      </c>
      <c r="AL236" s="967" t="e">
        <f>IF($F236="","",$F236*chronic_consumption!AG236/1000/$C$3)</f>
        <v>#DIV/0!</v>
      </c>
      <c r="AM236" s="967" t="e">
        <f>IF($F236="","",$F236*chronic_consumption!AH236/1000/$C$3)</f>
        <v>#DIV/0!</v>
      </c>
      <c r="AN236" s="967" t="e">
        <f>IF($F236="","",$F236*chronic_consumption!AI236/1000/$C$3)</f>
        <v>#DIV/0!</v>
      </c>
      <c r="AO236" s="967" t="e">
        <f>IF($F236="","",$F236*chronic_consumption!AJ236/1000/$C$3)</f>
        <v>#DIV/0!</v>
      </c>
      <c r="AP236" s="967" t="e">
        <f>IF($F236="","",$F236*chronic_consumption!AK236/1000/$C$3)</f>
        <v>#DIV/0!</v>
      </c>
      <c r="AQ236" s="967" t="e">
        <f>IF($F236="","",$F236*chronic_consumption!AL236/1000/$C$3)</f>
        <v>#DIV/0!</v>
      </c>
      <c r="AR236" s="967" t="e">
        <f>IF($F236="","",$F236*chronic_consumption!AM236/1000/$C$3)</f>
        <v>#DIV/0!</v>
      </c>
      <c r="AS236" s="967" t="e">
        <f>IF($F236="","",$F236*chronic_consumption!AN236/1000/$C$3)</f>
        <v>#DIV/0!</v>
      </c>
      <c r="AT236" s="967" t="e">
        <f>IF($F236="","",$F236*chronic_consumption!AO236/1000/$C$3)</f>
        <v>#DIV/0!</v>
      </c>
      <c r="AU236" s="967"/>
      <c r="AV236" s="967" t="e">
        <f>IF($F236="","",$F236*chronic_consumption!AQ236/1000/$C$3)</f>
        <v>#DIV/0!</v>
      </c>
      <c r="AW236" s="967" t="e">
        <f>IF($F236="","",$F236*chronic_consumption!AR236/1000/$C$3)</f>
        <v>#DIV/0!</v>
      </c>
      <c r="AX236" s="967" t="e">
        <f>IF($F236="","",$F236*chronic_consumption!AS236/1000/$C$3)</f>
        <v>#DIV/0!</v>
      </c>
      <c r="AY236" s="967" t="e">
        <f>IF($F236="","",$F236*chronic_consumption!AT236/1000/$C$3)</f>
        <v>#DIV/0!</v>
      </c>
      <c r="AZ236" s="973"/>
      <c r="BA236" s="969" t="e">
        <f t="shared" si="19"/>
        <v>#DIV/0!</v>
      </c>
      <c r="BB236" s="970" t="e">
        <f t="shared" si="20"/>
        <v>#DIV/0!</v>
      </c>
      <c r="BC236" s="971" t="e">
        <f t="shared" ca="1" si="21"/>
        <v>#DIV/0!</v>
      </c>
      <c r="BD236" s="228">
        <f>input_values!Z236</f>
        <v>4</v>
      </c>
      <c r="BE236" s="152">
        <f>input_values!L236</f>
        <v>0</v>
      </c>
      <c r="BF236" s="972" t="str">
        <f t="shared" si="22"/>
        <v/>
      </c>
    </row>
    <row r="237" spans="1:58" ht="12" customHeight="1" outlineLevel="3" x14ac:dyDescent="0.2">
      <c r="A237" s="21">
        <v>4</v>
      </c>
      <c r="B237" s="23">
        <v>402010</v>
      </c>
      <c r="C237" s="23" t="s">
        <v>155</v>
      </c>
      <c r="D237" s="965">
        <f>Table22[[#This Row],[MRL individual commodity]]</f>
        <v>0</v>
      </c>
      <c r="E237" s="300" t="str">
        <f>Table22[[#This Row],[LOQ_label]]</f>
        <v/>
      </c>
      <c r="F237" s="966">
        <f>Table22[[#This Row],[Chronic RA input value]]</f>
        <v>0</v>
      </c>
      <c r="G237" s="304" t="str">
        <f>Table22[[#This Row],[Chronic RA label]]</f>
        <v/>
      </c>
      <c r="H237" s="304">
        <f>Table22[[#This Row],[GAP under assessment]]</f>
        <v>0</v>
      </c>
      <c r="I237" s="1123"/>
      <c r="J237" s="974" t="e">
        <f>IF($F237="","",$F237*chronic_consumption!$E237/1000/$C$3)</f>
        <v>#DIV/0!</v>
      </c>
      <c r="K237" s="974" t="e">
        <f>IF($F237="","",$F237*chronic_consumption!F237/1000/$C$3)</f>
        <v>#DIV/0!</v>
      </c>
      <c r="L237" s="974" t="e">
        <f>IF($F237="","",$F237*chronic_consumption!G237/1000/$C$3)</f>
        <v>#DIV/0!</v>
      </c>
      <c r="M237" s="974" t="e">
        <f>IF($F237="","",$F237*chronic_consumption!H237/1000/$C$3)</f>
        <v>#DIV/0!</v>
      </c>
      <c r="N237" s="974" t="e">
        <f>IF($F237="","",$F237*chronic_consumption!I237/1000/$C$3)</f>
        <v>#DIV/0!</v>
      </c>
      <c r="O237" s="974" t="e">
        <f>IF($F237="","",$F237*chronic_consumption!J237/1000/$C$3)</f>
        <v>#DIV/0!</v>
      </c>
      <c r="P237" s="974" t="e">
        <f>IF($F237="","",$F237*chronic_consumption!K237/1000/$C$3)</f>
        <v>#DIV/0!</v>
      </c>
      <c r="Q237" s="974" t="e">
        <f>IF($F237="","",$F237*chronic_consumption!L237/1000/$C$3)</f>
        <v>#DIV/0!</v>
      </c>
      <c r="R237" s="974" t="e">
        <f>IF($F237="","",$F237*chronic_consumption!M237/1000/$C$3)</f>
        <v>#DIV/0!</v>
      </c>
      <c r="S237" s="974" t="e">
        <f>IF($F237="","",$F237*chronic_consumption!N237/1000/$C$3)</f>
        <v>#DIV/0!</v>
      </c>
      <c r="T237" s="974" t="e">
        <f>IF($F237="","",$F237*chronic_consumption!O237/1000/$C$3)</f>
        <v>#DIV/0!</v>
      </c>
      <c r="U237" s="974" t="e">
        <f>IF($F237="","",$F237*chronic_consumption!P237/1000/$C$3)</f>
        <v>#DIV/0!</v>
      </c>
      <c r="V237" s="974" t="e">
        <f>IF($F237="","",$F237*chronic_consumption!Q237/1000/$C$3)</f>
        <v>#DIV/0!</v>
      </c>
      <c r="W237" s="974" t="e">
        <f>IF($F237="","",$F237*chronic_consumption!R237/1000/$C$3)</f>
        <v>#DIV/0!</v>
      </c>
      <c r="X237" s="974" t="e">
        <f>IF($F237="","",$F237*chronic_consumption!S237/1000/$C$3)</f>
        <v>#DIV/0!</v>
      </c>
      <c r="Y237" s="974" t="e">
        <f>IF($F237="","",$F237*chronic_consumption!T237/1000/$C$3)</f>
        <v>#DIV/0!</v>
      </c>
      <c r="Z237" s="974" t="e">
        <f>IF($F237="","",$F237*chronic_consumption!U237/1000/$C$3)</f>
        <v>#DIV/0!</v>
      </c>
      <c r="AA237" s="974" t="e">
        <f>IF($F237="","",$F237*chronic_consumption!V237/1000/$C$3)</f>
        <v>#DIV/0!</v>
      </c>
      <c r="AB237" s="974" t="e">
        <f>IF($F237="","",$F237*chronic_consumption!W237/1000/$C$3)</f>
        <v>#DIV/0!</v>
      </c>
      <c r="AC237" s="974" t="e">
        <f>IF($F237="","",$F237*chronic_consumption!X237/1000/$C$3)</f>
        <v>#DIV/0!</v>
      </c>
      <c r="AD237" s="974" t="e">
        <f>IF($F237="","",$F237*chronic_consumption!Y237/1000/$C$3)</f>
        <v>#DIV/0!</v>
      </c>
      <c r="AE237" s="974" t="e">
        <f>IF($F237="","",$F237*chronic_consumption!Z237/1000/$C$3)</f>
        <v>#DIV/0!</v>
      </c>
      <c r="AF237" s="974" t="e">
        <f>IF($F237="","",$F237*chronic_consumption!AA237/1000/$C$3)</f>
        <v>#DIV/0!</v>
      </c>
      <c r="AG237" s="974" t="e">
        <f>IF($F237="","",$F237*chronic_consumption!AB237/1000/$C$3)</f>
        <v>#DIV/0!</v>
      </c>
      <c r="AH237" s="974" t="e">
        <f>IF($F237="","",$F237*chronic_consumption!AC237/1000/$C$3)</f>
        <v>#DIV/0!</v>
      </c>
      <c r="AI237" s="974" t="e">
        <f>IF($F237="","",$F237*chronic_consumption!AD237/1000/$C$3)</f>
        <v>#DIV/0!</v>
      </c>
      <c r="AJ237" s="974" t="e">
        <f>IF($F237="","",$F237*chronic_consumption!AE237/1000/$C$3)</f>
        <v>#DIV/0!</v>
      </c>
      <c r="AK237" s="974" t="e">
        <f>IF($F237="","",$F237*chronic_consumption!AF237/1000/$C$3)</f>
        <v>#DIV/0!</v>
      </c>
      <c r="AL237" s="974" t="e">
        <f>IF($F237="","",$F237*chronic_consumption!AG237/1000/$C$3)</f>
        <v>#DIV/0!</v>
      </c>
      <c r="AM237" s="974" t="e">
        <f>IF($F237="","",$F237*chronic_consumption!AH237/1000/$C$3)</f>
        <v>#DIV/0!</v>
      </c>
      <c r="AN237" s="974" t="e">
        <f>IF($F237="","",$F237*chronic_consumption!AI237/1000/$C$3)</f>
        <v>#DIV/0!</v>
      </c>
      <c r="AO237" s="974" t="e">
        <f>IF($F237="","",$F237*chronic_consumption!AJ237/1000/$C$3)</f>
        <v>#DIV/0!</v>
      </c>
      <c r="AP237" s="974" t="e">
        <f>IF($F237="","",$F237*chronic_consumption!AK237/1000/$C$3)</f>
        <v>#DIV/0!</v>
      </c>
      <c r="AQ237" s="974" t="e">
        <f>IF($F237="","",$F237*chronic_consumption!AL237/1000/$C$3)</f>
        <v>#DIV/0!</v>
      </c>
      <c r="AR237" s="974" t="e">
        <f>IF($F237="","",$F237*chronic_consumption!AM237/1000/$C$3)</f>
        <v>#DIV/0!</v>
      </c>
      <c r="AS237" s="974" t="e">
        <f>IF($F237="","",$F237*chronic_consumption!AN237/1000/$C$3)</f>
        <v>#DIV/0!</v>
      </c>
      <c r="AT237" s="974" t="e">
        <f>IF($F237="","",$F237*chronic_consumption!AO237/1000/$C$3)</f>
        <v>#DIV/0!</v>
      </c>
      <c r="AU237" s="974"/>
      <c r="AV237" s="974" t="e">
        <f>IF($F237="","",$F237*chronic_consumption!AQ237/1000/$C$3)</f>
        <v>#DIV/0!</v>
      </c>
      <c r="AW237" s="974" t="e">
        <f>IF($F237="","",$F237*chronic_consumption!AR237/1000/$C$3)</f>
        <v>#DIV/0!</v>
      </c>
      <c r="AX237" s="974" t="e">
        <f>IF($F237="","",$F237*chronic_consumption!AS237/1000/$C$3)</f>
        <v>#DIV/0!</v>
      </c>
      <c r="AY237" s="974" t="e">
        <f>IF($F237="","",$F237*chronic_consumption!AT237/1000/$C$3)</f>
        <v>#DIV/0!</v>
      </c>
      <c r="AZ237" s="973" t="s">
        <v>19</v>
      </c>
      <c r="BA237" s="969" t="e">
        <f t="shared" si="19"/>
        <v>#DIV/0!</v>
      </c>
      <c r="BB237" s="970" t="e">
        <f t="shared" si="20"/>
        <v>#DIV/0!</v>
      </c>
      <c r="BC237" s="971" t="e">
        <f t="shared" ca="1" si="21"/>
        <v>#DIV/0!</v>
      </c>
      <c r="BD237" s="228">
        <f>input_values!Z237</f>
        <v>4</v>
      </c>
      <c r="BE237" s="152">
        <f>input_values!L237</f>
        <v>0</v>
      </c>
      <c r="BF237" s="972" t="str">
        <f t="shared" si="22"/>
        <v/>
      </c>
    </row>
    <row r="238" spans="1:58" ht="12" customHeight="1" outlineLevel="3" x14ac:dyDescent="0.2">
      <c r="A238" s="21">
        <v>4</v>
      </c>
      <c r="B238" s="23">
        <v>402020</v>
      </c>
      <c r="C238" s="23" t="s">
        <v>760</v>
      </c>
      <c r="D238" s="965">
        <f>Table22[[#This Row],[MRL individual commodity]]</f>
        <v>0</v>
      </c>
      <c r="E238" s="300" t="str">
        <f>Table22[[#This Row],[LOQ_label]]</f>
        <v/>
      </c>
      <c r="F238" s="966">
        <f>Table22[[#This Row],[Chronic RA input value]]</f>
        <v>0</v>
      </c>
      <c r="G238" s="304" t="str">
        <f>Table22[[#This Row],[Chronic RA label]]</f>
        <v/>
      </c>
      <c r="H238" s="304">
        <f>Table22[[#This Row],[GAP under assessment]]</f>
        <v>0</v>
      </c>
      <c r="I238" s="1123"/>
      <c r="J238" s="974" t="e">
        <f>IF($F238="","",$F238*chronic_consumption!$E238/1000/$C$3)</f>
        <v>#DIV/0!</v>
      </c>
      <c r="K238" s="974" t="e">
        <f>IF($F238="","",$F238*chronic_consumption!F238/1000/$C$3)</f>
        <v>#DIV/0!</v>
      </c>
      <c r="L238" s="974" t="e">
        <f>IF($F238="","",$F238*chronic_consumption!G238/1000/$C$3)</f>
        <v>#DIV/0!</v>
      </c>
      <c r="M238" s="974" t="e">
        <f>IF($F238="","",$F238*chronic_consumption!H238/1000/$C$3)</f>
        <v>#DIV/0!</v>
      </c>
      <c r="N238" s="974" t="e">
        <f>IF($F238="","",$F238*chronic_consumption!I238/1000/$C$3)</f>
        <v>#DIV/0!</v>
      </c>
      <c r="O238" s="974" t="e">
        <f>IF($F238="","",$F238*chronic_consumption!J238/1000/$C$3)</f>
        <v>#DIV/0!</v>
      </c>
      <c r="P238" s="974" t="e">
        <f>IF($F238="","",$F238*chronic_consumption!K238/1000/$C$3)</f>
        <v>#DIV/0!</v>
      </c>
      <c r="Q238" s="974" t="e">
        <f>IF($F238="","",$F238*chronic_consumption!L238/1000/$C$3)</f>
        <v>#DIV/0!</v>
      </c>
      <c r="R238" s="974" t="e">
        <f>IF($F238="","",$F238*chronic_consumption!M238/1000/$C$3)</f>
        <v>#DIV/0!</v>
      </c>
      <c r="S238" s="974" t="e">
        <f>IF($F238="","",$F238*chronic_consumption!N238/1000/$C$3)</f>
        <v>#DIV/0!</v>
      </c>
      <c r="T238" s="974" t="e">
        <f>IF($F238="","",$F238*chronic_consumption!O238/1000/$C$3)</f>
        <v>#DIV/0!</v>
      </c>
      <c r="U238" s="974" t="e">
        <f>IF($F238="","",$F238*chronic_consumption!P238/1000/$C$3)</f>
        <v>#DIV/0!</v>
      </c>
      <c r="V238" s="974" t="e">
        <f>IF($F238="","",$F238*chronic_consumption!Q238/1000/$C$3)</f>
        <v>#DIV/0!</v>
      </c>
      <c r="W238" s="974" t="e">
        <f>IF($F238="","",$F238*chronic_consumption!R238/1000/$C$3)</f>
        <v>#DIV/0!</v>
      </c>
      <c r="X238" s="974" t="e">
        <f>IF($F238="","",$F238*chronic_consumption!S238/1000/$C$3)</f>
        <v>#DIV/0!</v>
      </c>
      <c r="Y238" s="974" t="e">
        <f>IF($F238="","",$F238*chronic_consumption!T238/1000/$C$3)</f>
        <v>#DIV/0!</v>
      </c>
      <c r="Z238" s="974" t="e">
        <f>IF($F238="","",$F238*chronic_consumption!U238/1000/$C$3)</f>
        <v>#DIV/0!</v>
      </c>
      <c r="AA238" s="974" t="e">
        <f>IF($F238="","",$F238*chronic_consumption!V238/1000/$C$3)</f>
        <v>#DIV/0!</v>
      </c>
      <c r="AB238" s="974" t="e">
        <f>IF($F238="","",$F238*chronic_consumption!W238/1000/$C$3)</f>
        <v>#DIV/0!</v>
      </c>
      <c r="AC238" s="974" t="e">
        <f>IF($F238="","",$F238*chronic_consumption!X238/1000/$C$3)</f>
        <v>#DIV/0!</v>
      </c>
      <c r="AD238" s="974" t="e">
        <f>IF($F238="","",$F238*chronic_consumption!Y238/1000/$C$3)</f>
        <v>#DIV/0!</v>
      </c>
      <c r="AE238" s="974" t="e">
        <f>IF($F238="","",$F238*chronic_consumption!Z238/1000/$C$3)</f>
        <v>#DIV/0!</v>
      </c>
      <c r="AF238" s="974" t="e">
        <f>IF($F238="","",$F238*chronic_consumption!AA238/1000/$C$3)</f>
        <v>#DIV/0!</v>
      </c>
      <c r="AG238" s="974" t="e">
        <f>IF($F238="","",$F238*chronic_consumption!AB238/1000/$C$3)</f>
        <v>#DIV/0!</v>
      </c>
      <c r="AH238" s="974" t="e">
        <f>IF($F238="","",$F238*chronic_consumption!AC238/1000/$C$3)</f>
        <v>#DIV/0!</v>
      </c>
      <c r="AI238" s="974" t="e">
        <f>IF($F238="","",$F238*chronic_consumption!AD238/1000/$C$3)</f>
        <v>#DIV/0!</v>
      </c>
      <c r="AJ238" s="974" t="e">
        <f>IF($F238="","",$F238*chronic_consumption!AE238/1000/$C$3)</f>
        <v>#DIV/0!</v>
      </c>
      <c r="AK238" s="974" t="e">
        <f>IF($F238="","",$F238*chronic_consumption!AF238/1000/$C$3)</f>
        <v>#DIV/0!</v>
      </c>
      <c r="AL238" s="974" t="e">
        <f>IF($F238="","",$F238*chronic_consumption!AG238/1000/$C$3)</f>
        <v>#DIV/0!</v>
      </c>
      <c r="AM238" s="974" t="e">
        <f>IF($F238="","",$F238*chronic_consumption!AH238/1000/$C$3)</f>
        <v>#DIV/0!</v>
      </c>
      <c r="AN238" s="974" t="e">
        <f>IF($F238="","",$F238*chronic_consumption!AI238/1000/$C$3)</f>
        <v>#DIV/0!</v>
      </c>
      <c r="AO238" s="974" t="e">
        <f>IF($F238="","",$F238*chronic_consumption!AJ238/1000/$C$3)</f>
        <v>#DIV/0!</v>
      </c>
      <c r="AP238" s="974" t="e">
        <f>IF($F238="","",$F238*chronic_consumption!AK238/1000/$C$3)</f>
        <v>#DIV/0!</v>
      </c>
      <c r="AQ238" s="974" t="e">
        <f>IF($F238="","",$F238*chronic_consumption!AL238/1000/$C$3)</f>
        <v>#DIV/0!</v>
      </c>
      <c r="AR238" s="974" t="e">
        <f>IF($F238="","",$F238*chronic_consumption!AM238/1000/$C$3)</f>
        <v>#DIV/0!</v>
      </c>
      <c r="AS238" s="974" t="e">
        <f>IF($F238="","",$F238*chronic_consumption!AN238/1000/$C$3)</f>
        <v>#DIV/0!</v>
      </c>
      <c r="AT238" s="974" t="e">
        <f>IF($F238="","",$F238*chronic_consumption!AO238/1000/$C$3)</f>
        <v>#DIV/0!</v>
      </c>
      <c r="AU238" s="974"/>
      <c r="AV238" s="974" t="e">
        <f>IF($F238="","",$F238*chronic_consumption!AQ238/1000/$C$3)</f>
        <v>#DIV/0!</v>
      </c>
      <c r="AW238" s="974" t="e">
        <f>IF($F238="","",$F238*chronic_consumption!AR238/1000/$C$3)</f>
        <v>#DIV/0!</v>
      </c>
      <c r="AX238" s="974" t="e">
        <f>IF($F238="","",$F238*chronic_consumption!AS238/1000/$C$3)</f>
        <v>#DIV/0!</v>
      </c>
      <c r="AY238" s="974" t="e">
        <f>IF($F238="","",$F238*chronic_consumption!AT238/1000/$C$3)</f>
        <v>#DIV/0!</v>
      </c>
      <c r="AZ238" s="973" t="s">
        <v>19</v>
      </c>
      <c r="BA238" s="969" t="e">
        <f t="shared" si="19"/>
        <v>#DIV/0!</v>
      </c>
      <c r="BB238" s="970" t="e">
        <f t="shared" si="20"/>
        <v>#DIV/0!</v>
      </c>
      <c r="BC238" s="971" t="e">
        <f t="shared" ca="1" si="21"/>
        <v>#DIV/0!</v>
      </c>
      <c r="BD238" s="228">
        <f>input_values!Z238</f>
        <v>4</v>
      </c>
      <c r="BE238" s="152">
        <f>input_values!L238</f>
        <v>0</v>
      </c>
      <c r="BF238" s="972" t="str">
        <f t="shared" si="22"/>
        <v/>
      </c>
    </row>
    <row r="239" spans="1:58" ht="12" customHeight="1" outlineLevel="3" x14ac:dyDescent="0.2">
      <c r="A239" s="21">
        <v>4</v>
      </c>
      <c r="B239" s="23">
        <v>402030</v>
      </c>
      <c r="C239" s="23" t="s">
        <v>761</v>
      </c>
      <c r="D239" s="965">
        <f>Table22[[#This Row],[MRL individual commodity]]</f>
        <v>0</v>
      </c>
      <c r="E239" s="300" t="str">
        <f>Table22[[#This Row],[LOQ_label]]</f>
        <v/>
      </c>
      <c r="F239" s="966">
        <f>Table22[[#This Row],[Chronic RA input value]]</f>
        <v>0</v>
      </c>
      <c r="G239" s="304" t="str">
        <f>Table22[[#This Row],[Chronic RA label]]</f>
        <v/>
      </c>
      <c r="H239" s="304">
        <f>Table22[[#This Row],[GAP under assessment]]</f>
        <v>0</v>
      </c>
      <c r="I239" s="1123"/>
      <c r="J239" s="974" t="e">
        <f>IF($F239="","",$F239*chronic_consumption!$E239/1000/$C$3)</f>
        <v>#DIV/0!</v>
      </c>
      <c r="K239" s="974" t="e">
        <f>IF($F239="","",$F239*chronic_consumption!F239/1000/$C$3)</f>
        <v>#DIV/0!</v>
      </c>
      <c r="L239" s="974" t="e">
        <f>IF($F239="","",$F239*chronic_consumption!G239/1000/$C$3)</f>
        <v>#DIV/0!</v>
      </c>
      <c r="M239" s="974" t="e">
        <f>IF($F239="","",$F239*chronic_consumption!H239/1000/$C$3)</f>
        <v>#DIV/0!</v>
      </c>
      <c r="N239" s="974" t="e">
        <f>IF($F239="","",$F239*chronic_consumption!I239/1000/$C$3)</f>
        <v>#DIV/0!</v>
      </c>
      <c r="O239" s="974" t="e">
        <f>IF($F239="","",$F239*chronic_consumption!J239/1000/$C$3)</f>
        <v>#DIV/0!</v>
      </c>
      <c r="P239" s="974" t="e">
        <f>IF($F239="","",$F239*chronic_consumption!K239/1000/$C$3)</f>
        <v>#DIV/0!</v>
      </c>
      <c r="Q239" s="974" t="e">
        <f>IF($F239="","",$F239*chronic_consumption!L239/1000/$C$3)</f>
        <v>#DIV/0!</v>
      </c>
      <c r="R239" s="974" t="e">
        <f>IF($F239="","",$F239*chronic_consumption!M239/1000/$C$3)</f>
        <v>#DIV/0!</v>
      </c>
      <c r="S239" s="974" t="e">
        <f>IF($F239="","",$F239*chronic_consumption!N239/1000/$C$3)</f>
        <v>#DIV/0!</v>
      </c>
      <c r="T239" s="974" t="e">
        <f>IF($F239="","",$F239*chronic_consumption!O239/1000/$C$3)</f>
        <v>#DIV/0!</v>
      </c>
      <c r="U239" s="974" t="e">
        <f>IF($F239="","",$F239*chronic_consumption!P239/1000/$C$3)</f>
        <v>#DIV/0!</v>
      </c>
      <c r="V239" s="974" t="e">
        <f>IF($F239="","",$F239*chronic_consumption!Q239/1000/$C$3)</f>
        <v>#DIV/0!</v>
      </c>
      <c r="W239" s="974" t="e">
        <f>IF($F239="","",$F239*chronic_consumption!R239/1000/$C$3)</f>
        <v>#DIV/0!</v>
      </c>
      <c r="X239" s="974" t="e">
        <f>IF($F239="","",$F239*chronic_consumption!S239/1000/$C$3)</f>
        <v>#DIV/0!</v>
      </c>
      <c r="Y239" s="974" t="e">
        <f>IF($F239="","",$F239*chronic_consumption!T239/1000/$C$3)</f>
        <v>#DIV/0!</v>
      </c>
      <c r="Z239" s="974" t="e">
        <f>IF($F239="","",$F239*chronic_consumption!U239/1000/$C$3)</f>
        <v>#DIV/0!</v>
      </c>
      <c r="AA239" s="974" t="e">
        <f>IF($F239="","",$F239*chronic_consumption!V239/1000/$C$3)</f>
        <v>#DIV/0!</v>
      </c>
      <c r="AB239" s="974" t="e">
        <f>IF($F239="","",$F239*chronic_consumption!W239/1000/$C$3)</f>
        <v>#DIV/0!</v>
      </c>
      <c r="AC239" s="974" t="e">
        <f>IF($F239="","",$F239*chronic_consumption!X239/1000/$C$3)</f>
        <v>#DIV/0!</v>
      </c>
      <c r="AD239" s="974" t="e">
        <f>IF($F239="","",$F239*chronic_consumption!Y239/1000/$C$3)</f>
        <v>#DIV/0!</v>
      </c>
      <c r="AE239" s="974" t="e">
        <f>IF($F239="","",$F239*chronic_consumption!Z239/1000/$C$3)</f>
        <v>#DIV/0!</v>
      </c>
      <c r="AF239" s="974" t="e">
        <f>IF($F239="","",$F239*chronic_consumption!AA239/1000/$C$3)</f>
        <v>#DIV/0!</v>
      </c>
      <c r="AG239" s="974" t="e">
        <f>IF($F239="","",$F239*chronic_consumption!AB239/1000/$C$3)</f>
        <v>#DIV/0!</v>
      </c>
      <c r="AH239" s="974" t="e">
        <f>IF($F239="","",$F239*chronic_consumption!AC239/1000/$C$3)</f>
        <v>#DIV/0!</v>
      </c>
      <c r="AI239" s="974" t="e">
        <f>IF($F239="","",$F239*chronic_consumption!AD239/1000/$C$3)</f>
        <v>#DIV/0!</v>
      </c>
      <c r="AJ239" s="974" t="e">
        <f>IF($F239="","",$F239*chronic_consumption!AE239/1000/$C$3)</f>
        <v>#DIV/0!</v>
      </c>
      <c r="AK239" s="974" t="e">
        <f>IF($F239="","",$F239*chronic_consumption!AF239/1000/$C$3)</f>
        <v>#DIV/0!</v>
      </c>
      <c r="AL239" s="974" t="e">
        <f>IF($F239="","",$F239*chronic_consumption!AG239/1000/$C$3)</f>
        <v>#DIV/0!</v>
      </c>
      <c r="AM239" s="974" t="e">
        <f>IF($F239="","",$F239*chronic_consumption!AH239/1000/$C$3)</f>
        <v>#DIV/0!</v>
      </c>
      <c r="AN239" s="974" t="e">
        <f>IF($F239="","",$F239*chronic_consumption!AI239/1000/$C$3)</f>
        <v>#DIV/0!</v>
      </c>
      <c r="AO239" s="974" t="e">
        <f>IF($F239="","",$F239*chronic_consumption!AJ239/1000/$C$3)</f>
        <v>#DIV/0!</v>
      </c>
      <c r="AP239" s="974" t="e">
        <f>IF($F239="","",$F239*chronic_consumption!AK239/1000/$C$3)</f>
        <v>#DIV/0!</v>
      </c>
      <c r="AQ239" s="974" t="e">
        <f>IF($F239="","",$F239*chronic_consumption!AL239/1000/$C$3)</f>
        <v>#DIV/0!</v>
      </c>
      <c r="AR239" s="974" t="e">
        <f>IF($F239="","",$F239*chronic_consumption!AM239/1000/$C$3)</f>
        <v>#DIV/0!</v>
      </c>
      <c r="AS239" s="974" t="e">
        <f>IF($F239="","",$F239*chronic_consumption!AN239/1000/$C$3)</f>
        <v>#DIV/0!</v>
      </c>
      <c r="AT239" s="974" t="e">
        <f>IF($F239="","",$F239*chronic_consumption!AO239/1000/$C$3)</f>
        <v>#DIV/0!</v>
      </c>
      <c r="AU239" s="974"/>
      <c r="AV239" s="974" t="e">
        <f>IF($F239="","",$F239*chronic_consumption!AQ239/1000/$C$3)</f>
        <v>#DIV/0!</v>
      </c>
      <c r="AW239" s="974" t="e">
        <f>IF($F239="","",$F239*chronic_consumption!AR239/1000/$C$3)</f>
        <v>#DIV/0!</v>
      </c>
      <c r="AX239" s="974" t="e">
        <f>IF($F239="","",$F239*chronic_consumption!AS239/1000/$C$3)</f>
        <v>#DIV/0!</v>
      </c>
      <c r="AY239" s="974" t="e">
        <f>IF($F239="","",$F239*chronic_consumption!AT239/1000/$C$3)</f>
        <v>#DIV/0!</v>
      </c>
      <c r="AZ239" s="973" t="s">
        <v>19</v>
      </c>
      <c r="BA239" s="969" t="e">
        <f t="shared" si="19"/>
        <v>#DIV/0!</v>
      </c>
      <c r="BB239" s="970" t="e">
        <f t="shared" si="20"/>
        <v>#DIV/0!</v>
      </c>
      <c r="BC239" s="971" t="e">
        <f t="shared" ca="1" si="21"/>
        <v>#DIV/0!</v>
      </c>
      <c r="BD239" s="228">
        <f>input_values!Z239</f>
        <v>4</v>
      </c>
      <c r="BE239" s="152">
        <f>input_values!L239</f>
        <v>0</v>
      </c>
      <c r="BF239" s="972" t="str">
        <f t="shared" si="22"/>
        <v/>
      </c>
    </row>
    <row r="240" spans="1:58" ht="12" customHeight="1" outlineLevel="3" x14ac:dyDescent="0.2">
      <c r="A240" s="21">
        <v>4</v>
      </c>
      <c r="B240" s="23">
        <v>402040</v>
      </c>
      <c r="C240" s="23" t="s">
        <v>156</v>
      </c>
      <c r="D240" s="965">
        <f>Table22[[#This Row],[MRL individual commodity]]</f>
        <v>0</v>
      </c>
      <c r="E240" s="300" t="str">
        <f>Table22[[#This Row],[LOQ_label]]</f>
        <v/>
      </c>
      <c r="F240" s="966">
        <f>Table22[[#This Row],[Chronic RA input value]]</f>
        <v>0</v>
      </c>
      <c r="G240" s="304" t="str">
        <f>Table22[[#This Row],[Chronic RA label]]</f>
        <v/>
      </c>
      <c r="H240" s="304">
        <f>Table22[[#This Row],[GAP under assessment]]</f>
        <v>0</v>
      </c>
      <c r="I240" s="1123"/>
      <c r="J240" s="974" t="e">
        <f>IF($F240="","",$F240*chronic_consumption!$E240/1000/$C$3)</f>
        <v>#DIV/0!</v>
      </c>
      <c r="K240" s="974" t="e">
        <f>IF($F240="","",$F240*chronic_consumption!F240/1000/$C$3)</f>
        <v>#DIV/0!</v>
      </c>
      <c r="L240" s="974" t="e">
        <f>IF($F240="","",$F240*chronic_consumption!G240/1000/$C$3)</f>
        <v>#DIV/0!</v>
      </c>
      <c r="M240" s="974" t="e">
        <f>IF($F240="","",$F240*chronic_consumption!H240/1000/$C$3)</f>
        <v>#DIV/0!</v>
      </c>
      <c r="N240" s="974" t="e">
        <f>IF($F240="","",$F240*chronic_consumption!I240/1000/$C$3)</f>
        <v>#DIV/0!</v>
      </c>
      <c r="O240" s="974" t="e">
        <f>IF($F240="","",$F240*chronic_consumption!J240/1000/$C$3)</f>
        <v>#DIV/0!</v>
      </c>
      <c r="P240" s="974" t="e">
        <f>IF($F240="","",$F240*chronic_consumption!K240/1000/$C$3)</f>
        <v>#DIV/0!</v>
      </c>
      <c r="Q240" s="974" t="e">
        <f>IF($F240="","",$F240*chronic_consumption!L240/1000/$C$3)</f>
        <v>#DIV/0!</v>
      </c>
      <c r="R240" s="974" t="e">
        <f>IF($F240="","",$F240*chronic_consumption!M240/1000/$C$3)</f>
        <v>#DIV/0!</v>
      </c>
      <c r="S240" s="974" t="e">
        <f>IF($F240="","",$F240*chronic_consumption!N240/1000/$C$3)</f>
        <v>#DIV/0!</v>
      </c>
      <c r="T240" s="974" t="e">
        <f>IF($F240="","",$F240*chronic_consumption!O240/1000/$C$3)</f>
        <v>#DIV/0!</v>
      </c>
      <c r="U240" s="974" t="e">
        <f>IF($F240="","",$F240*chronic_consumption!P240/1000/$C$3)</f>
        <v>#DIV/0!</v>
      </c>
      <c r="V240" s="974" t="e">
        <f>IF($F240="","",$F240*chronic_consumption!Q240/1000/$C$3)</f>
        <v>#DIV/0!</v>
      </c>
      <c r="W240" s="974" t="e">
        <f>IF($F240="","",$F240*chronic_consumption!R240/1000/$C$3)</f>
        <v>#DIV/0!</v>
      </c>
      <c r="X240" s="974" t="e">
        <f>IF($F240="","",$F240*chronic_consumption!S240/1000/$C$3)</f>
        <v>#DIV/0!</v>
      </c>
      <c r="Y240" s="974" t="e">
        <f>IF($F240="","",$F240*chronic_consumption!T240/1000/$C$3)</f>
        <v>#DIV/0!</v>
      </c>
      <c r="Z240" s="974" t="e">
        <f>IF($F240="","",$F240*chronic_consumption!U240/1000/$C$3)</f>
        <v>#DIV/0!</v>
      </c>
      <c r="AA240" s="974" t="e">
        <f>IF($F240="","",$F240*chronic_consumption!V240/1000/$C$3)</f>
        <v>#DIV/0!</v>
      </c>
      <c r="AB240" s="974" t="e">
        <f>IF($F240="","",$F240*chronic_consumption!W240/1000/$C$3)</f>
        <v>#DIV/0!</v>
      </c>
      <c r="AC240" s="974" t="e">
        <f>IF($F240="","",$F240*chronic_consumption!X240/1000/$C$3)</f>
        <v>#DIV/0!</v>
      </c>
      <c r="AD240" s="974" t="e">
        <f>IF($F240="","",$F240*chronic_consumption!Y240/1000/$C$3)</f>
        <v>#DIV/0!</v>
      </c>
      <c r="AE240" s="974" t="e">
        <f>IF($F240="","",$F240*chronic_consumption!Z240/1000/$C$3)</f>
        <v>#DIV/0!</v>
      </c>
      <c r="AF240" s="974" t="e">
        <f>IF($F240="","",$F240*chronic_consumption!AA240/1000/$C$3)</f>
        <v>#DIV/0!</v>
      </c>
      <c r="AG240" s="974" t="e">
        <f>IF($F240="","",$F240*chronic_consumption!AB240/1000/$C$3)</f>
        <v>#DIV/0!</v>
      </c>
      <c r="AH240" s="974" t="e">
        <f>IF($F240="","",$F240*chronic_consumption!AC240/1000/$C$3)</f>
        <v>#DIV/0!</v>
      </c>
      <c r="AI240" s="974" t="e">
        <f>IF($F240="","",$F240*chronic_consumption!AD240/1000/$C$3)</f>
        <v>#DIV/0!</v>
      </c>
      <c r="AJ240" s="974" t="e">
        <f>IF($F240="","",$F240*chronic_consumption!AE240/1000/$C$3)</f>
        <v>#DIV/0!</v>
      </c>
      <c r="AK240" s="974" t="e">
        <f>IF($F240="","",$F240*chronic_consumption!AF240/1000/$C$3)</f>
        <v>#DIV/0!</v>
      </c>
      <c r="AL240" s="974" t="e">
        <f>IF($F240="","",$F240*chronic_consumption!AG240/1000/$C$3)</f>
        <v>#DIV/0!</v>
      </c>
      <c r="AM240" s="974" t="e">
        <f>IF($F240="","",$F240*chronic_consumption!AH240/1000/$C$3)</f>
        <v>#DIV/0!</v>
      </c>
      <c r="AN240" s="974" t="e">
        <f>IF($F240="","",$F240*chronic_consumption!AI240/1000/$C$3)</f>
        <v>#DIV/0!</v>
      </c>
      <c r="AO240" s="974" t="e">
        <f>IF($F240="","",$F240*chronic_consumption!AJ240/1000/$C$3)</f>
        <v>#DIV/0!</v>
      </c>
      <c r="AP240" s="974" t="e">
        <f>IF($F240="","",$F240*chronic_consumption!AK240/1000/$C$3)</f>
        <v>#DIV/0!</v>
      </c>
      <c r="AQ240" s="974" t="e">
        <f>IF($F240="","",$F240*chronic_consumption!AL240/1000/$C$3)</f>
        <v>#DIV/0!</v>
      </c>
      <c r="AR240" s="974" t="e">
        <f>IF($F240="","",$F240*chronic_consumption!AM240/1000/$C$3)</f>
        <v>#DIV/0!</v>
      </c>
      <c r="AS240" s="974" t="e">
        <f>IF($F240="","",$F240*chronic_consumption!AN240/1000/$C$3)</f>
        <v>#DIV/0!</v>
      </c>
      <c r="AT240" s="974" t="e">
        <f>IF($F240="","",$F240*chronic_consumption!AO240/1000/$C$3)</f>
        <v>#DIV/0!</v>
      </c>
      <c r="AU240" s="974"/>
      <c r="AV240" s="974" t="e">
        <f>IF($F240="","",$F240*chronic_consumption!AQ240/1000/$C$3)</f>
        <v>#DIV/0!</v>
      </c>
      <c r="AW240" s="974" t="e">
        <f>IF($F240="","",$F240*chronic_consumption!AR240/1000/$C$3)</f>
        <v>#DIV/0!</v>
      </c>
      <c r="AX240" s="974" t="e">
        <f>IF($F240="","",$F240*chronic_consumption!AS240/1000/$C$3)</f>
        <v>#DIV/0!</v>
      </c>
      <c r="AY240" s="974" t="e">
        <f>IF($F240="","",$F240*chronic_consumption!AT240/1000/$C$3)</f>
        <v>#DIV/0!</v>
      </c>
      <c r="AZ240" s="973" t="s">
        <v>19</v>
      </c>
      <c r="BA240" s="969" t="e">
        <f t="shared" si="19"/>
        <v>#DIV/0!</v>
      </c>
      <c r="BB240" s="970" t="e">
        <f t="shared" si="20"/>
        <v>#DIV/0!</v>
      </c>
      <c r="BC240" s="971" t="e">
        <f t="shared" ca="1" si="21"/>
        <v>#DIV/0!</v>
      </c>
      <c r="BD240" s="228">
        <f>input_values!Z240</f>
        <v>4</v>
      </c>
      <c r="BE240" s="152">
        <f>input_values!L240</f>
        <v>0</v>
      </c>
      <c r="BF240" s="972" t="str">
        <f t="shared" si="22"/>
        <v/>
      </c>
    </row>
    <row r="241" spans="1:58" ht="12" customHeight="1" outlineLevel="3" x14ac:dyDescent="0.2">
      <c r="A241" s="21">
        <v>4</v>
      </c>
      <c r="B241" s="23">
        <v>402990</v>
      </c>
      <c r="C241" s="23" t="s">
        <v>179</v>
      </c>
      <c r="D241" s="965">
        <f>Table22[[#This Row],[MRL individual commodity]]</f>
        <v>0</v>
      </c>
      <c r="E241" s="300" t="str">
        <f>Table22[[#This Row],[LOQ_label]]</f>
        <v/>
      </c>
      <c r="F241" s="966">
        <f>Table22[[#This Row],[Chronic RA input value]]</f>
        <v>0</v>
      </c>
      <c r="G241" s="304" t="str">
        <f>Table22[[#This Row],[Chronic RA label]]</f>
        <v/>
      </c>
      <c r="H241" s="304">
        <f>Table22[[#This Row],[GAP under assessment]]</f>
        <v>0</v>
      </c>
      <c r="I241" s="1123"/>
      <c r="J241" s="974" t="e">
        <f>IF($F241="","",$F241*chronic_consumption!$E241/1000/$C$3)</f>
        <v>#DIV/0!</v>
      </c>
      <c r="K241" s="974" t="e">
        <f>IF($F241="","",$F241*chronic_consumption!F241/1000/$C$3)</f>
        <v>#DIV/0!</v>
      </c>
      <c r="L241" s="974" t="e">
        <f>IF($F241="","",$F241*chronic_consumption!G241/1000/$C$3)</f>
        <v>#DIV/0!</v>
      </c>
      <c r="M241" s="974" t="e">
        <f>IF($F241="","",$F241*chronic_consumption!H241/1000/$C$3)</f>
        <v>#DIV/0!</v>
      </c>
      <c r="N241" s="974" t="e">
        <f>IF($F241="","",$F241*chronic_consumption!I241/1000/$C$3)</f>
        <v>#DIV/0!</v>
      </c>
      <c r="O241" s="974" t="e">
        <f>IF($F241="","",$F241*chronic_consumption!J241/1000/$C$3)</f>
        <v>#DIV/0!</v>
      </c>
      <c r="P241" s="974" t="e">
        <f>IF($F241="","",$F241*chronic_consumption!K241/1000/$C$3)</f>
        <v>#DIV/0!</v>
      </c>
      <c r="Q241" s="974" t="e">
        <f>IF($F241="","",$F241*chronic_consumption!L241/1000/$C$3)</f>
        <v>#DIV/0!</v>
      </c>
      <c r="R241" s="974" t="e">
        <f>IF($F241="","",$F241*chronic_consumption!M241/1000/$C$3)</f>
        <v>#DIV/0!</v>
      </c>
      <c r="S241" s="974" t="e">
        <f>IF($F241="","",$F241*chronic_consumption!N241/1000/$C$3)</f>
        <v>#DIV/0!</v>
      </c>
      <c r="T241" s="974" t="e">
        <f>IF($F241="","",$F241*chronic_consumption!O241/1000/$C$3)</f>
        <v>#DIV/0!</v>
      </c>
      <c r="U241" s="974" t="e">
        <f>IF($F241="","",$F241*chronic_consumption!P241/1000/$C$3)</f>
        <v>#DIV/0!</v>
      </c>
      <c r="V241" s="974" t="e">
        <f>IF($F241="","",$F241*chronic_consumption!Q241/1000/$C$3)</f>
        <v>#DIV/0!</v>
      </c>
      <c r="W241" s="974" t="e">
        <f>IF($F241="","",$F241*chronic_consumption!R241/1000/$C$3)</f>
        <v>#DIV/0!</v>
      </c>
      <c r="X241" s="974" t="e">
        <f>IF($F241="","",$F241*chronic_consumption!S241/1000/$C$3)</f>
        <v>#DIV/0!</v>
      </c>
      <c r="Y241" s="974" t="e">
        <f>IF($F241="","",$F241*chronic_consumption!T241/1000/$C$3)</f>
        <v>#DIV/0!</v>
      </c>
      <c r="Z241" s="974" t="e">
        <f>IF($F241="","",$F241*chronic_consumption!U241/1000/$C$3)</f>
        <v>#DIV/0!</v>
      </c>
      <c r="AA241" s="974" t="e">
        <f>IF($F241="","",$F241*chronic_consumption!V241/1000/$C$3)</f>
        <v>#DIV/0!</v>
      </c>
      <c r="AB241" s="974" t="e">
        <f>IF($F241="","",$F241*chronic_consumption!W241/1000/$C$3)</f>
        <v>#DIV/0!</v>
      </c>
      <c r="AC241" s="974" t="e">
        <f>IF($F241="","",$F241*chronic_consumption!X241/1000/$C$3)</f>
        <v>#DIV/0!</v>
      </c>
      <c r="AD241" s="974" t="e">
        <f>IF($F241="","",$F241*chronic_consumption!Y241/1000/$C$3)</f>
        <v>#DIV/0!</v>
      </c>
      <c r="AE241" s="974" t="e">
        <f>IF($F241="","",$F241*chronic_consumption!Z241/1000/$C$3)</f>
        <v>#DIV/0!</v>
      </c>
      <c r="AF241" s="974" t="e">
        <f>IF($F241="","",$F241*chronic_consumption!AA241/1000/$C$3)</f>
        <v>#DIV/0!</v>
      </c>
      <c r="AG241" s="974" t="e">
        <f>IF($F241="","",$F241*chronic_consumption!AB241/1000/$C$3)</f>
        <v>#DIV/0!</v>
      </c>
      <c r="AH241" s="974" t="e">
        <f>IF($F241="","",$F241*chronic_consumption!AC241/1000/$C$3)</f>
        <v>#DIV/0!</v>
      </c>
      <c r="AI241" s="974" t="e">
        <f>IF($F241="","",$F241*chronic_consumption!AD241/1000/$C$3)</f>
        <v>#DIV/0!</v>
      </c>
      <c r="AJ241" s="974" t="e">
        <f>IF($F241="","",$F241*chronic_consumption!AE241/1000/$C$3)</f>
        <v>#DIV/0!</v>
      </c>
      <c r="AK241" s="974" t="e">
        <f>IF($F241="","",$F241*chronic_consumption!AF241/1000/$C$3)</f>
        <v>#DIV/0!</v>
      </c>
      <c r="AL241" s="974" t="e">
        <f>IF($F241="","",$F241*chronic_consumption!AG241/1000/$C$3)</f>
        <v>#DIV/0!</v>
      </c>
      <c r="AM241" s="974" t="e">
        <f>IF($F241="","",$F241*chronic_consumption!AH241/1000/$C$3)</f>
        <v>#DIV/0!</v>
      </c>
      <c r="AN241" s="974" t="e">
        <f>IF($F241="","",$F241*chronic_consumption!AI241/1000/$C$3)</f>
        <v>#DIV/0!</v>
      </c>
      <c r="AO241" s="974" t="e">
        <f>IF($F241="","",$F241*chronic_consumption!AJ241/1000/$C$3)</f>
        <v>#DIV/0!</v>
      </c>
      <c r="AP241" s="974" t="e">
        <f>IF($F241="","",$F241*chronic_consumption!AK241/1000/$C$3)</f>
        <v>#DIV/0!</v>
      </c>
      <c r="AQ241" s="974" t="e">
        <f>IF($F241="","",$F241*chronic_consumption!AL241/1000/$C$3)</f>
        <v>#DIV/0!</v>
      </c>
      <c r="AR241" s="974" t="e">
        <f>IF($F241="","",$F241*chronic_consumption!AM241/1000/$C$3)</f>
        <v>#DIV/0!</v>
      </c>
      <c r="AS241" s="974" t="e">
        <f>IF($F241="","",$F241*chronic_consumption!AN241/1000/$C$3)</f>
        <v>#DIV/0!</v>
      </c>
      <c r="AT241" s="974" t="e">
        <f>IF($F241="","",$F241*chronic_consumption!AO241/1000/$C$3)</f>
        <v>#DIV/0!</v>
      </c>
      <c r="AU241" s="974"/>
      <c r="AV241" s="974" t="e">
        <f>IF($F241="","",$F241*chronic_consumption!AQ241/1000/$C$3)</f>
        <v>#DIV/0!</v>
      </c>
      <c r="AW241" s="974" t="e">
        <f>IF($F241="","",$F241*chronic_consumption!AR241/1000/$C$3)</f>
        <v>#DIV/0!</v>
      </c>
      <c r="AX241" s="974" t="e">
        <f>IF($F241="","",$F241*chronic_consumption!AS241/1000/$C$3)</f>
        <v>#DIV/0!</v>
      </c>
      <c r="AY241" s="974" t="e">
        <f>IF($F241="","",$F241*chronic_consumption!AT241/1000/$C$3)</f>
        <v>#DIV/0!</v>
      </c>
      <c r="AZ241" s="973" t="s">
        <v>19</v>
      </c>
      <c r="BA241" s="969" t="e">
        <f t="shared" si="19"/>
        <v>#DIV/0!</v>
      </c>
      <c r="BB241" s="970" t="e">
        <f t="shared" si="20"/>
        <v>#DIV/0!</v>
      </c>
      <c r="BC241" s="971" t="e">
        <f t="shared" ca="1" si="21"/>
        <v>#DIV/0!</v>
      </c>
      <c r="BD241" s="228">
        <f>input_values!Z241</f>
        <v>4</v>
      </c>
      <c r="BE241" s="152">
        <f>input_values!L241</f>
        <v>0</v>
      </c>
      <c r="BF241" s="972" t="str">
        <f t="shared" si="22"/>
        <v/>
      </c>
    </row>
    <row r="242" spans="1:58" ht="12" customHeight="1" x14ac:dyDescent="0.2">
      <c r="A242" s="299">
        <v>1</v>
      </c>
      <c r="B242" s="127">
        <v>500000</v>
      </c>
      <c r="C242" s="127" t="s">
        <v>142</v>
      </c>
      <c r="D242" s="965">
        <f>Table22[[#This Row],[MRL individual commodity]]</f>
        <v>0</v>
      </c>
      <c r="E242" s="300">
        <f>Table22[[#This Row],[LOQ_label]]</f>
        <v>0</v>
      </c>
      <c r="F242" s="966">
        <f>Table22[[#This Row],[Chronic RA input value]]</f>
        <v>0</v>
      </c>
      <c r="G242" s="304">
        <f>Table22[[#This Row],[Chronic RA label]]</f>
        <v>0</v>
      </c>
      <c r="H242" s="304">
        <f>Table22[[#This Row],[GAP under assessment]]</f>
        <v>0</v>
      </c>
      <c r="I242" s="1123"/>
      <c r="J242" s="967" t="e">
        <f>IF($F242="","",$F242*chronic_consumption!$E242/1000/$C$3)</f>
        <v>#DIV/0!</v>
      </c>
      <c r="K242" s="967" t="e">
        <f>IF($F242="","",$F242*chronic_consumption!F242/1000/$C$3)</f>
        <v>#DIV/0!</v>
      </c>
      <c r="L242" s="967" t="e">
        <f>IF($F242="","",$F242*chronic_consumption!G242/1000/$C$3)</f>
        <v>#DIV/0!</v>
      </c>
      <c r="M242" s="967" t="e">
        <f>IF($F242="","",$F242*chronic_consumption!H242/1000/$C$3)</f>
        <v>#DIV/0!</v>
      </c>
      <c r="N242" s="967" t="e">
        <f>IF($F242="","",$F242*chronic_consumption!I242/1000/$C$3)</f>
        <v>#DIV/0!</v>
      </c>
      <c r="O242" s="967" t="e">
        <f>IF($F242="","",$F242*chronic_consumption!J242/1000/$C$3)</f>
        <v>#DIV/0!</v>
      </c>
      <c r="P242" s="967" t="e">
        <f>IF($F242="","",$F242*chronic_consumption!K242/1000/$C$3)</f>
        <v>#DIV/0!</v>
      </c>
      <c r="Q242" s="967" t="e">
        <f>IF($F242="","",$F242*chronic_consumption!L242/1000/$C$3)</f>
        <v>#DIV/0!</v>
      </c>
      <c r="R242" s="967" t="e">
        <f>IF($F242="","",$F242*chronic_consumption!M242/1000/$C$3)</f>
        <v>#DIV/0!</v>
      </c>
      <c r="S242" s="967" t="e">
        <f>IF($F242="","",$F242*chronic_consumption!N242/1000/$C$3)</f>
        <v>#DIV/0!</v>
      </c>
      <c r="T242" s="967" t="e">
        <f>IF($F242="","",$F242*chronic_consumption!O242/1000/$C$3)</f>
        <v>#DIV/0!</v>
      </c>
      <c r="U242" s="967" t="e">
        <f>IF($F242="","",$F242*chronic_consumption!P242/1000/$C$3)</f>
        <v>#DIV/0!</v>
      </c>
      <c r="V242" s="967" t="e">
        <f>IF($F242="","",$F242*chronic_consumption!Q242/1000/$C$3)</f>
        <v>#DIV/0!</v>
      </c>
      <c r="W242" s="967" t="e">
        <f>IF($F242="","",$F242*chronic_consumption!R242/1000/$C$3)</f>
        <v>#DIV/0!</v>
      </c>
      <c r="X242" s="967" t="e">
        <f>IF($F242="","",$F242*chronic_consumption!S242/1000/$C$3)</f>
        <v>#DIV/0!</v>
      </c>
      <c r="Y242" s="967" t="e">
        <f>IF($F242="","",$F242*chronic_consumption!T242/1000/$C$3)</f>
        <v>#DIV/0!</v>
      </c>
      <c r="Z242" s="967" t="e">
        <f>IF($F242="","",$F242*chronic_consumption!U242/1000/$C$3)</f>
        <v>#DIV/0!</v>
      </c>
      <c r="AA242" s="967" t="e">
        <f>IF($F242="","",$F242*chronic_consumption!V242/1000/$C$3)</f>
        <v>#DIV/0!</v>
      </c>
      <c r="AB242" s="967" t="e">
        <f>IF($F242="","",$F242*chronic_consumption!W242/1000/$C$3)</f>
        <v>#DIV/0!</v>
      </c>
      <c r="AC242" s="967" t="e">
        <f>IF($F242="","",$F242*chronic_consumption!X242/1000/$C$3)</f>
        <v>#DIV/0!</v>
      </c>
      <c r="AD242" s="967" t="e">
        <f>IF($F242="","",$F242*chronic_consumption!Y242/1000/$C$3)</f>
        <v>#DIV/0!</v>
      </c>
      <c r="AE242" s="967" t="e">
        <f>IF($F242="","",$F242*chronic_consumption!Z242/1000/$C$3)</f>
        <v>#DIV/0!</v>
      </c>
      <c r="AF242" s="967" t="e">
        <f>IF($F242="","",$F242*chronic_consumption!AA242/1000/$C$3)</f>
        <v>#DIV/0!</v>
      </c>
      <c r="AG242" s="967" t="e">
        <f>IF($F242="","",$F242*chronic_consumption!AB242/1000/$C$3)</f>
        <v>#DIV/0!</v>
      </c>
      <c r="AH242" s="967" t="e">
        <f>IF($F242="","",$F242*chronic_consumption!AC242/1000/$C$3)</f>
        <v>#DIV/0!</v>
      </c>
      <c r="AI242" s="967" t="e">
        <f>IF($F242="","",$F242*chronic_consumption!AD242/1000/$C$3)</f>
        <v>#DIV/0!</v>
      </c>
      <c r="AJ242" s="967" t="e">
        <f>IF($F242="","",$F242*chronic_consumption!AE242/1000/$C$3)</f>
        <v>#DIV/0!</v>
      </c>
      <c r="AK242" s="967" t="e">
        <f>IF($F242="","",$F242*chronic_consumption!AF242/1000/$C$3)</f>
        <v>#DIV/0!</v>
      </c>
      <c r="AL242" s="967" t="e">
        <f>IF($F242="","",$F242*chronic_consumption!AG242/1000/$C$3)</f>
        <v>#DIV/0!</v>
      </c>
      <c r="AM242" s="967" t="e">
        <f>IF($F242="","",$F242*chronic_consumption!AH242/1000/$C$3)</f>
        <v>#DIV/0!</v>
      </c>
      <c r="AN242" s="967" t="e">
        <f>IF($F242="","",$F242*chronic_consumption!AI242/1000/$C$3)</f>
        <v>#DIV/0!</v>
      </c>
      <c r="AO242" s="967" t="e">
        <f>IF($F242="","",$F242*chronic_consumption!AJ242/1000/$C$3)</f>
        <v>#DIV/0!</v>
      </c>
      <c r="AP242" s="967" t="e">
        <f>IF($F242="","",$F242*chronic_consumption!AK242/1000/$C$3)</f>
        <v>#DIV/0!</v>
      </c>
      <c r="AQ242" s="967" t="e">
        <f>IF($F242="","",$F242*chronic_consumption!AL242/1000/$C$3)</f>
        <v>#DIV/0!</v>
      </c>
      <c r="AR242" s="967" t="e">
        <f>IF($F242="","",$F242*chronic_consumption!AM242/1000/$C$3)</f>
        <v>#DIV/0!</v>
      </c>
      <c r="AS242" s="967" t="e">
        <f>IF($F242="","",$F242*chronic_consumption!AN242/1000/$C$3)</f>
        <v>#DIV/0!</v>
      </c>
      <c r="AT242" s="967" t="e">
        <f>IF($F242="","",$F242*chronic_consumption!AO242/1000/$C$3)</f>
        <v>#DIV/0!</v>
      </c>
      <c r="AU242" s="967"/>
      <c r="AV242" s="967" t="e">
        <f>IF($F242="","",$F242*chronic_consumption!AQ242/1000/$C$3)</f>
        <v>#DIV/0!</v>
      </c>
      <c r="AW242" s="967" t="e">
        <f>IF($F242="","",$F242*chronic_consumption!AR242/1000/$C$3)</f>
        <v>#DIV/0!</v>
      </c>
      <c r="AX242" s="967" t="e">
        <f>IF($F242="","",$F242*chronic_consumption!AS242/1000/$C$3)</f>
        <v>#DIV/0!</v>
      </c>
      <c r="AY242" s="967" t="e">
        <f>IF($F242="","",$F242*chronic_consumption!AT242/1000/$C$3)</f>
        <v>#DIV/0!</v>
      </c>
      <c r="AZ242" s="973"/>
      <c r="BA242" s="969" t="e">
        <f t="shared" si="19"/>
        <v>#DIV/0!</v>
      </c>
      <c r="BB242" s="970" t="e">
        <f t="shared" si="20"/>
        <v>#DIV/0!</v>
      </c>
      <c r="BC242" s="971" t="e">
        <f t="shared" ca="1" si="21"/>
        <v>#DIV/0!</v>
      </c>
      <c r="BD242" s="228">
        <f>input_values!Z242</f>
        <v>4</v>
      </c>
      <c r="BE242" s="152">
        <f>input_values!L242</f>
        <v>0</v>
      </c>
      <c r="BF242" s="972" t="str">
        <f t="shared" si="22"/>
        <v/>
      </c>
    </row>
    <row r="243" spans="1:58" ht="12" customHeight="1" outlineLevel="3" x14ac:dyDescent="0.2">
      <c r="A243" s="21">
        <v>4</v>
      </c>
      <c r="B243" s="23">
        <v>500010</v>
      </c>
      <c r="C243" s="23" t="s">
        <v>157</v>
      </c>
      <c r="D243" s="965">
        <f>Table22[[#This Row],[MRL individual commodity]]</f>
        <v>0</v>
      </c>
      <c r="E243" s="300" t="str">
        <f>Table22[[#This Row],[LOQ_label]]</f>
        <v/>
      </c>
      <c r="F243" s="966">
        <f>Table22[[#This Row],[Chronic RA input value]]</f>
        <v>0</v>
      </c>
      <c r="G243" s="304" t="str">
        <f>Table22[[#This Row],[Chronic RA label]]</f>
        <v/>
      </c>
      <c r="H243" s="304">
        <f>Table22[[#This Row],[GAP under assessment]]</f>
        <v>0</v>
      </c>
      <c r="I243" s="1123"/>
      <c r="J243" s="974" t="e">
        <f>IF($F243="","",$F243*chronic_consumption!$E243/1000/$C$3)</f>
        <v>#DIV/0!</v>
      </c>
      <c r="K243" s="974" t="e">
        <f>IF($F243="","",$F243*chronic_consumption!F243/1000/$C$3)</f>
        <v>#DIV/0!</v>
      </c>
      <c r="L243" s="974" t="e">
        <f>IF($F243="","",$F243*chronic_consumption!G243/1000/$C$3)</f>
        <v>#DIV/0!</v>
      </c>
      <c r="M243" s="974" t="e">
        <f>IF($F243="","",$F243*chronic_consumption!H243/1000/$C$3)</f>
        <v>#DIV/0!</v>
      </c>
      <c r="N243" s="974" t="e">
        <f>IF($F243="","",$F243*chronic_consumption!I243/1000/$C$3)</f>
        <v>#DIV/0!</v>
      </c>
      <c r="O243" s="974" t="e">
        <f>IF($F243="","",$F243*chronic_consumption!J243/1000/$C$3)</f>
        <v>#DIV/0!</v>
      </c>
      <c r="P243" s="974" t="e">
        <f>IF($F243="","",$F243*chronic_consumption!K243/1000/$C$3)</f>
        <v>#DIV/0!</v>
      </c>
      <c r="Q243" s="974" t="e">
        <f>IF($F243="","",$F243*chronic_consumption!L243/1000/$C$3)</f>
        <v>#DIV/0!</v>
      </c>
      <c r="R243" s="974" t="e">
        <f>IF($F243="","",$F243*chronic_consumption!M243/1000/$C$3)</f>
        <v>#DIV/0!</v>
      </c>
      <c r="S243" s="974" t="e">
        <f>IF($F243="","",$F243*chronic_consumption!N243/1000/$C$3)</f>
        <v>#DIV/0!</v>
      </c>
      <c r="T243" s="974" t="e">
        <f>IF($F243="","",$F243*chronic_consumption!O243/1000/$C$3)</f>
        <v>#DIV/0!</v>
      </c>
      <c r="U243" s="974" t="e">
        <f>IF($F243="","",$F243*chronic_consumption!P243/1000/$C$3)</f>
        <v>#DIV/0!</v>
      </c>
      <c r="V243" s="974" t="e">
        <f>IF($F243="","",$F243*chronic_consumption!Q243/1000/$C$3)</f>
        <v>#DIV/0!</v>
      </c>
      <c r="W243" s="974" t="e">
        <f>IF($F243="","",$F243*chronic_consumption!R243/1000/$C$3)</f>
        <v>#DIV/0!</v>
      </c>
      <c r="X243" s="974" t="e">
        <f>IF($F243="","",$F243*chronic_consumption!S243/1000/$C$3)</f>
        <v>#DIV/0!</v>
      </c>
      <c r="Y243" s="974" t="e">
        <f>IF($F243="","",$F243*chronic_consumption!T243/1000/$C$3)</f>
        <v>#DIV/0!</v>
      </c>
      <c r="Z243" s="974" t="e">
        <f>IF($F243="","",$F243*chronic_consumption!U243/1000/$C$3)</f>
        <v>#DIV/0!</v>
      </c>
      <c r="AA243" s="974" t="e">
        <f>IF($F243="","",$F243*chronic_consumption!V243/1000/$C$3)</f>
        <v>#DIV/0!</v>
      </c>
      <c r="AB243" s="974" t="e">
        <f>IF($F243="","",$F243*chronic_consumption!W243/1000/$C$3)</f>
        <v>#DIV/0!</v>
      </c>
      <c r="AC243" s="974" t="e">
        <f>IF($F243="","",$F243*chronic_consumption!X243/1000/$C$3)</f>
        <v>#DIV/0!</v>
      </c>
      <c r="AD243" s="974" t="e">
        <f>IF($F243="","",$F243*chronic_consumption!Y243/1000/$C$3)</f>
        <v>#DIV/0!</v>
      </c>
      <c r="AE243" s="974" t="e">
        <f>IF($F243="","",$F243*chronic_consumption!Z243/1000/$C$3)</f>
        <v>#DIV/0!</v>
      </c>
      <c r="AF243" s="974" t="e">
        <f>IF($F243="","",$F243*chronic_consumption!AA243/1000/$C$3)</f>
        <v>#DIV/0!</v>
      </c>
      <c r="AG243" s="974" t="e">
        <f>IF($F243="","",$F243*chronic_consumption!AB243/1000/$C$3)</f>
        <v>#DIV/0!</v>
      </c>
      <c r="AH243" s="974" t="e">
        <f>IF($F243="","",$F243*chronic_consumption!AC243/1000/$C$3)</f>
        <v>#DIV/0!</v>
      </c>
      <c r="AI243" s="974" t="e">
        <f>IF($F243="","",$F243*chronic_consumption!AD243/1000/$C$3)</f>
        <v>#DIV/0!</v>
      </c>
      <c r="AJ243" s="974" t="e">
        <f>IF($F243="","",$F243*chronic_consumption!AE243/1000/$C$3)</f>
        <v>#DIV/0!</v>
      </c>
      <c r="AK243" s="974" t="e">
        <f>IF($F243="","",$F243*chronic_consumption!AF243/1000/$C$3)</f>
        <v>#DIV/0!</v>
      </c>
      <c r="AL243" s="974" t="e">
        <f>IF($F243="","",$F243*chronic_consumption!AG243/1000/$C$3)</f>
        <v>#DIV/0!</v>
      </c>
      <c r="AM243" s="974" t="e">
        <f>IF($F243="","",$F243*chronic_consumption!AH243/1000/$C$3)</f>
        <v>#DIV/0!</v>
      </c>
      <c r="AN243" s="974" t="e">
        <f>IF($F243="","",$F243*chronic_consumption!AI243/1000/$C$3)</f>
        <v>#DIV/0!</v>
      </c>
      <c r="AO243" s="974" t="e">
        <f>IF($F243="","",$F243*chronic_consumption!AJ243/1000/$C$3)</f>
        <v>#DIV/0!</v>
      </c>
      <c r="AP243" s="974" t="e">
        <f>IF($F243="","",$F243*chronic_consumption!AK243/1000/$C$3)</f>
        <v>#DIV/0!</v>
      </c>
      <c r="AQ243" s="974" t="e">
        <f>IF($F243="","",$F243*chronic_consumption!AL243/1000/$C$3)</f>
        <v>#DIV/0!</v>
      </c>
      <c r="AR243" s="974" t="e">
        <f>IF($F243="","",$F243*chronic_consumption!AM243/1000/$C$3)</f>
        <v>#DIV/0!</v>
      </c>
      <c r="AS243" s="974" t="e">
        <f>IF($F243="","",$F243*chronic_consumption!AN243/1000/$C$3)</f>
        <v>#DIV/0!</v>
      </c>
      <c r="AT243" s="974" t="e">
        <f>IF($F243="","",$F243*chronic_consumption!AO243/1000/$C$3)</f>
        <v>#DIV/0!</v>
      </c>
      <c r="AU243" s="974"/>
      <c r="AV243" s="974" t="e">
        <f>IF($F243="","",$F243*chronic_consumption!AQ243/1000/$C$3)</f>
        <v>#DIV/0!</v>
      </c>
      <c r="AW243" s="974" t="e">
        <f>IF($F243="","",$F243*chronic_consumption!AR243/1000/$C$3)</f>
        <v>#DIV/0!</v>
      </c>
      <c r="AX243" s="974" t="e">
        <f>IF($F243="","",$F243*chronic_consumption!AS243/1000/$C$3)</f>
        <v>#DIV/0!</v>
      </c>
      <c r="AY243" s="974" t="e">
        <f>IF($F243="","",$F243*chronic_consumption!AT243/1000/$C$3)</f>
        <v>#DIV/0!</v>
      </c>
      <c r="AZ243" s="973" t="s">
        <v>19</v>
      </c>
      <c r="BA243" s="969" t="e">
        <f t="shared" si="19"/>
        <v>#DIV/0!</v>
      </c>
      <c r="BB243" s="970" t="e">
        <f t="shared" si="20"/>
        <v>#DIV/0!</v>
      </c>
      <c r="BC243" s="971" t="e">
        <f t="shared" ca="1" si="21"/>
        <v>#DIV/0!</v>
      </c>
      <c r="BD243" s="228">
        <f>input_values!Z243</f>
        <v>4</v>
      </c>
      <c r="BE243" s="152">
        <f>input_values!L243</f>
        <v>0</v>
      </c>
      <c r="BF243" s="972" t="str">
        <f t="shared" si="22"/>
        <v/>
      </c>
    </row>
    <row r="244" spans="1:58" ht="12" customHeight="1" outlineLevel="3" x14ac:dyDescent="0.2">
      <c r="A244" s="21">
        <v>4</v>
      </c>
      <c r="B244" s="23">
        <v>500020</v>
      </c>
      <c r="C244" s="23" t="s">
        <v>762</v>
      </c>
      <c r="D244" s="965">
        <f>Table22[[#This Row],[MRL individual commodity]]</f>
        <v>0</v>
      </c>
      <c r="E244" s="300" t="str">
        <f>Table22[[#This Row],[LOQ_label]]</f>
        <v/>
      </c>
      <c r="F244" s="966">
        <f>Table22[[#This Row],[Chronic RA input value]]</f>
        <v>0</v>
      </c>
      <c r="G244" s="304" t="str">
        <f>Table22[[#This Row],[Chronic RA label]]</f>
        <v/>
      </c>
      <c r="H244" s="304">
        <f>Table22[[#This Row],[GAP under assessment]]</f>
        <v>0</v>
      </c>
      <c r="I244" s="1123"/>
      <c r="J244" s="974" t="e">
        <f>IF($F244="","",$F244*chronic_consumption!$E244/1000/$C$3)</f>
        <v>#DIV/0!</v>
      </c>
      <c r="K244" s="974" t="e">
        <f>IF($F244="","",$F244*chronic_consumption!F244/1000/$C$3)</f>
        <v>#DIV/0!</v>
      </c>
      <c r="L244" s="974" t="e">
        <f>IF($F244="","",$F244*chronic_consumption!G244/1000/$C$3)</f>
        <v>#DIV/0!</v>
      </c>
      <c r="M244" s="974" t="e">
        <f>IF($F244="","",$F244*chronic_consumption!H244/1000/$C$3)</f>
        <v>#DIV/0!</v>
      </c>
      <c r="N244" s="974" t="e">
        <f>IF($F244="","",$F244*chronic_consumption!I244/1000/$C$3)</f>
        <v>#DIV/0!</v>
      </c>
      <c r="O244" s="974" t="e">
        <f>IF($F244="","",$F244*chronic_consumption!J244/1000/$C$3)</f>
        <v>#DIV/0!</v>
      </c>
      <c r="P244" s="974" t="e">
        <f>IF($F244="","",$F244*chronic_consumption!K244/1000/$C$3)</f>
        <v>#DIV/0!</v>
      </c>
      <c r="Q244" s="974" t="e">
        <f>IF($F244="","",$F244*chronic_consumption!L244/1000/$C$3)</f>
        <v>#DIV/0!</v>
      </c>
      <c r="R244" s="974" t="e">
        <f>IF($F244="","",$F244*chronic_consumption!M244/1000/$C$3)</f>
        <v>#DIV/0!</v>
      </c>
      <c r="S244" s="974" t="e">
        <f>IF($F244="","",$F244*chronic_consumption!N244/1000/$C$3)</f>
        <v>#DIV/0!</v>
      </c>
      <c r="T244" s="974" t="e">
        <f>IF($F244="","",$F244*chronic_consumption!O244/1000/$C$3)</f>
        <v>#DIV/0!</v>
      </c>
      <c r="U244" s="974" t="e">
        <f>IF($F244="","",$F244*chronic_consumption!P244/1000/$C$3)</f>
        <v>#DIV/0!</v>
      </c>
      <c r="V244" s="974" t="e">
        <f>IF($F244="","",$F244*chronic_consumption!Q244/1000/$C$3)</f>
        <v>#DIV/0!</v>
      </c>
      <c r="W244" s="974" t="e">
        <f>IF($F244="","",$F244*chronic_consumption!R244/1000/$C$3)</f>
        <v>#DIV/0!</v>
      </c>
      <c r="X244" s="974" t="e">
        <f>IF($F244="","",$F244*chronic_consumption!S244/1000/$C$3)</f>
        <v>#DIV/0!</v>
      </c>
      <c r="Y244" s="974" t="e">
        <f>IF($F244="","",$F244*chronic_consumption!T244/1000/$C$3)</f>
        <v>#DIV/0!</v>
      </c>
      <c r="Z244" s="974" t="e">
        <f>IF($F244="","",$F244*chronic_consumption!U244/1000/$C$3)</f>
        <v>#DIV/0!</v>
      </c>
      <c r="AA244" s="974" t="e">
        <f>IF($F244="","",$F244*chronic_consumption!V244/1000/$C$3)</f>
        <v>#DIV/0!</v>
      </c>
      <c r="AB244" s="974" t="e">
        <f>IF($F244="","",$F244*chronic_consumption!W244/1000/$C$3)</f>
        <v>#DIV/0!</v>
      </c>
      <c r="AC244" s="974" t="e">
        <f>IF($F244="","",$F244*chronic_consumption!X244/1000/$C$3)</f>
        <v>#DIV/0!</v>
      </c>
      <c r="AD244" s="974" t="e">
        <f>IF($F244="","",$F244*chronic_consumption!Y244/1000/$C$3)</f>
        <v>#DIV/0!</v>
      </c>
      <c r="AE244" s="974" t="e">
        <f>IF($F244="","",$F244*chronic_consumption!Z244/1000/$C$3)</f>
        <v>#DIV/0!</v>
      </c>
      <c r="AF244" s="974" t="e">
        <f>IF($F244="","",$F244*chronic_consumption!AA244/1000/$C$3)</f>
        <v>#DIV/0!</v>
      </c>
      <c r="AG244" s="974" t="e">
        <f>IF($F244="","",$F244*chronic_consumption!AB244/1000/$C$3)</f>
        <v>#DIV/0!</v>
      </c>
      <c r="AH244" s="974" t="e">
        <f>IF($F244="","",$F244*chronic_consumption!AC244/1000/$C$3)</f>
        <v>#DIV/0!</v>
      </c>
      <c r="AI244" s="974" t="e">
        <f>IF($F244="","",$F244*chronic_consumption!AD244/1000/$C$3)</f>
        <v>#DIV/0!</v>
      </c>
      <c r="AJ244" s="974" t="e">
        <f>IF($F244="","",$F244*chronic_consumption!AE244/1000/$C$3)</f>
        <v>#DIV/0!</v>
      </c>
      <c r="AK244" s="974" t="e">
        <f>IF($F244="","",$F244*chronic_consumption!AF244/1000/$C$3)</f>
        <v>#DIV/0!</v>
      </c>
      <c r="AL244" s="974" t="e">
        <f>IF($F244="","",$F244*chronic_consumption!AG244/1000/$C$3)</f>
        <v>#DIV/0!</v>
      </c>
      <c r="AM244" s="974" t="e">
        <f>IF($F244="","",$F244*chronic_consumption!AH244/1000/$C$3)</f>
        <v>#DIV/0!</v>
      </c>
      <c r="AN244" s="974" t="e">
        <f>IF($F244="","",$F244*chronic_consumption!AI244/1000/$C$3)</f>
        <v>#DIV/0!</v>
      </c>
      <c r="AO244" s="974" t="e">
        <f>IF($F244="","",$F244*chronic_consumption!AJ244/1000/$C$3)</f>
        <v>#DIV/0!</v>
      </c>
      <c r="AP244" s="974" t="e">
        <f>IF($F244="","",$F244*chronic_consumption!AK244/1000/$C$3)</f>
        <v>#DIV/0!</v>
      </c>
      <c r="AQ244" s="974" t="e">
        <f>IF($F244="","",$F244*chronic_consumption!AL244/1000/$C$3)</f>
        <v>#DIV/0!</v>
      </c>
      <c r="AR244" s="974" t="e">
        <f>IF($F244="","",$F244*chronic_consumption!AM244/1000/$C$3)</f>
        <v>#DIV/0!</v>
      </c>
      <c r="AS244" s="974" t="e">
        <f>IF($F244="","",$F244*chronic_consumption!AN244/1000/$C$3)</f>
        <v>#DIV/0!</v>
      </c>
      <c r="AT244" s="974" t="e">
        <f>IF($F244="","",$F244*chronic_consumption!AO244/1000/$C$3)</f>
        <v>#DIV/0!</v>
      </c>
      <c r="AU244" s="974"/>
      <c r="AV244" s="974" t="e">
        <f>IF($F244="","",$F244*chronic_consumption!AQ244/1000/$C$3)</f>
        <v>#DIV/0!</v>
      </c>
      <c r="AW244" s="974" t="e">
        <f>IF($F244="","",$F244*chronic_consumption!AR244/1000/$C$3)</f>
        <v>#DIV/0!</v>
      </c>
      <c r="AX244" s="974" t="e">
        <f>IF($F244="","",$F244*chronic_consumption!AS244/1000/$C$3)</f>
        <v>#DIV/0!</v>
      </c>
      <c r="AY244" s="974" t="e">
        <f>IF($F244="","",$F244*chronic_consumption!AT244/1000/$C$3)</f>
        <v>#DIV/0!</v>
      </c>
      <c r="AZ244" s="973" t="s">
        <v>19</v>
      </c>
      <c r="BA244" s="969" t="e">
        <f t="shared" si="19"/>
        <v>#DIV/0!</v>
      </c>
      <c r="BB244" s="970" t="e">
        <f t="shared" si="20"/>
        <v>#DIV/0!</v>
      </c>
      <c r="BC244" s="971" t="e">
        <f t="shared" ca="1" si="21"/>
        <v>#DIV/0!</v>
      </c>
      <c r="BD244" s="228">
        <f>input_values!Z244</f>
        <v>4</v>
      </c>
      <c r="BE244" s="152">
        <f>input_values!L244</f>
        <v>0</v>
      </c>
      <c r="BF244" s="972" t="str">
        <f t="shared" si="22"/>
        <v/>
      </c>
    </row>
    <row r="245" spans="1:58" ht="12" customHeight="1" outlineLevel="3" x14ac:dyDescent="0.2">
      <c r="A245" s="21">
        <v>4</v>
      </c>
      <c r="B245" s="23">
        <v>500030</v>
      </c>
      <c r="C245" s="23" t="s">
        <v>763</v>
      </c>
      <c r="D245" s="965">
        <f>Table22[[#This Row],[MRL individual commodity]]</f>
        <v>0</v>
      </c>
      <c r="E245" s="300" t="str">
        <f>Table22[[#This Row],[LOQ_label]]</f>
        <v/>
      </c>
      <c r="F245" s="966">
        <f>Table22[[#This Row],[Chronic RA input value]]</f>
        <v>0</v>
      </c>
      <c r="G245" s="304" t="str">
        <f>Table22[[#This Row],[Chronic RA label]]</f>
        <v/>
      </c>
      <c r="H245" s="304">
        <f>Table22[[#This Row],[GAP under assessment]]</f>
        <v>0</v>
      </c>
      <c r="I245" s="1123"/>
      <c r="J245" s="974" t="e">
        <f>IF($F245="","",$F245*chronic_consumption!$E245/1000/$C$3)</f>
        <v>#DIV/0!</v>
      </c>
      <c r="K245" s="974" t="e">
        <f>IF($F245="","",$F245*chronic_consumption!F245/1000/$C$3)</f>
        <v>#DIV/0!</v>
      </c>
      <c r="L245" s="974" t="e">
        <f>IF($F245="","",$F245*chronic_consumption!G245/1000/$C$3)</f>
        <v>#DIV/0!</v>
      </c>
      <c r="M245" s="974" t="e">
        <f>IF($F245="","",$F245*chronic_consumption!H245/1000/$C$3)</f>
        <v>#DIV/0!</v>
      </c>
      <c r="N245" s="974" t="e">
        <f>IF($F245="","",$F245*chronic_consumption!I245/1000/$C$3)</f>
        <v>#DIV/0!</v>
      </c>
      <c r="O245" s="974" t="e">
        <f>IF($F245="","",$F245*chronic_consumption!J245/1000/$C$3)</f>
        <v>#DIV/0!</v>
      </c>
      <c r="P245" s="974" t="e">
        <f>IF($F245="","",$F245*chronic_consumption!K245/1000/$C$3)</f>
        <v>#DIV/0!</v>
      </c>
      <c r="Q245" s="974" t="e">
        <f>IF($F245="","",$F245*chronic_consumption!L245/1000/$C$3)</f>
        <v>#DIV/0!</v>
      </c>
      <c r="R245" s="974" t="e">
        <f>IF($F245="","",$F245*chronic_consumption!M245/1000/$C$3)</f>
        <v>#DIV/0!</v>
      </c>
      <c r="S245" s="974" t="e">
        <f>IF($F245="","",$F245*chronic_consumption!N245/1000/$C$3)</f>
        <v>#DIV/0!</v>
      </c>
      <c r="T245" s="974" t="e">
        <f>IF($F245="","",$F245*chronic_consumption!O245/1000/$C$3)</f>
        <v>#DIV/0!</v>
      </c>
      <c r="U245" s="974" t="e">
        <f>IF($F245="","",$F245*chronic_consumption!P245/1000/$C$3)</f>
        <v>#DIV/0!</v>
      </c>
      <c r="V245" s="974" t="e">
        <f>IF($F245="","",$F245*chronic_consumption!Q245/1000/$C$3)</f>
        <v>#DIV/0!</v>
      </c>
      <c r="W245" s="974" t="e">
        <f>IF($F245="","",$F245*chronic_consumption!R245/1000/$C$3)</f>
        <v>#DIV/0!</v>
      </c>
      <c r="X245" s="974" t="e">
        <f>IF($F245="","",$F245*chronic_consumption!S245/1000/$C$3)</f>
        <v>#DIV/0!</v>
      </c>
      <c r="Y245" s="974" t="e">
        <f>IF($F245="","",$F245*chronic_consumption!T245/1000/$C$3)</f>
        <v>#DIV/0!</v>
      </c>
      <c r="Z245" s="974" t="e">
        <f>IF($F245="","",$F245*chronic_consumption!U245/1000/$C$3)</f>
        <v>#DIV/0!</v>
      </c>
      <c r="AA245" s="974" t="e">
        <f>IF($F245="","",$F245*chronic_consumption!V245/1000/$C$3)</f>
        <v>#DIV/0!</v>
      </c>
      <c r="AB245" s="974" t="e">
        <f>IF($F245="","",$F245*chronic_consumption!W245/1000/$C$3)</f>
        <v>#DIV/0!</v>
      </c>
      <c r="AC245" s="974" t="e">
        <f>IF($F245="","",$F245*chronic_consumption!X245/1000/$C$3)</f>
        <v>#DIV/0!</v>
      </c>
      <c r="AD245" s="974" t="e">
        <f>IF($F245="","",$F245*chronic_consumption!Y245/1000/$C$3)</f>
        <v>#DIV/0!</v>
      </c>
      <c r="AE245" s="974" t="e">
        <f>IF($F245="","",$F245*chronic_consumption!Z245/1000/$C$3)</f>
        <v>#DIV/0!</v>
      </c>
      <c r="AF245" s="974" t="e">
        <f>IF($F245="","",$F245*chronic_consumption!AA245/1000/$C$3)</f>
        <v>#DIV/0!</v>
      </c>
      <c r="AG245" s="974" t="e">
        <f>IF($F245="","",$F245*chronic_consumption!AB245/1000/$C$3)</f>
        <v>#DIV/0!</v>
      </c>
      <c r="AH245" s="974" t="e">
        <f>IF($F245="","",$F245*chronic_consumption!AC245/1000/$C$3)</f>
        <v>#DIV/0!</v>
      </c>
      <c r="AI245" s="974" t="e">
        <f>IF($F245="","",$F245*chronic_consumption!AD245/1000/$C$3)</f>
        <v>#DIV/0!</v>
      </c>
      <c r="AJ245" s="974" t="e">
        <f>IF($F245="","",$F245*chronic_consumption!AE245/1000/$C$3)</f>
        <v>#DIV/0!</v>
      </c>
      <c r="AK245" s="974" t="e">
        <f>IF($F245="","",$F245*chronic_consumption!AF245/1000/$C$3)</f>
        <v>#DIV/0!</v>
      </c>
      <c r="AL245" s="974" t="e">
        <f>IF($F245="","",$F245*chronic_consumption!AG245/1000/$C$3)</f>
        <v>#DIV/0!</v>
      </c>
      <c r="AM245" s="974" t="e">
        <f>IF($F245="","",$F245*chronic_consumption!AH245/1000/$C$3)</f>
        <v>#DIV/0!</v>
      </c>
      <c r="AN245" s="974" t="e">
        <f>IF($F245="","",$F245*chronic_consumption!AI245/1000/$C$3)</f>
        <v>#DIV/0!</v>
      </c>
      <c r="AO245" s="974" t="e">
        <f>IF($F245="","",$F245*chronic_consumption!AJ245/1000/$C$3)</f>
        <v>#DIV/0!</v>
      </c>
      <c r="AP245" s="974" t="e">
        <f>IF($F245="","",$F245*chronic_consumption!AK245/1000/$C$3)</f>
        <v>#DIV/0!</v>
      </c>
      <c r="AQ245" s="974" t="e">
        <f>IF($F245="","",$F245*chronic_consumption!AL245/1000/$C$3)</f>
        <v>#DIV/0!</v>
      </c>
      <c r="AR245" s="974" t="e">
        <f>IF($F245="","",$F245*chronic_consumption!AM245/1000/$C$3)</f>
        <v>#DIV/0!</v>
      </c>
      <c r="AS245" s="974" t="e">
        <f>IF($F245="","",$F245*chronic_consumption!AN245/1000/$C$3)</f>
        <v>#DIV/0!</v>
      </c>
      <c r="AT245" s="974" t="e">
        <f>IF($F245="","",$F245*chronic_consumption!AO245/1000/$C$3)</f>
        <v>#DIV/0!</v>
      </c>
      <c r="AU245" s="974"/>
      <c r="AV245" s="974" t="e">
        <f>IF($F245="","",$F245*chronic_consumption!AQ245/1000/$C$3)</f>
        <v>#DIV/0!</v>
      </c>
      <c r="AW245" s="974" t="e">
        <f>IF($F245="","",$F245*chronic_consumption!AR245/1000/$C$3)</f>
        <v>#DIV/0!</v>
      </c>
      <c r="AX245" s="974" t="e">
        <f>IF($F245="","",$F245*chronic_consumption!AS245/1000/$C$3)</f>
        <v>#DIV/0!</v>
      </c>
      <c r="AY245" s="974" t="e">
        <f>IF($F245="","",$F245*chronic_consumption!AT245/1000/$C$3)</f>
        <v>#DIV/0!</v>
      </c>
      <c r="AZ245" s="973" t="s">
        <v>19</v>
      </c>
      <c r="BA245" s="969" t="e">
        <f t="shared" si="19"/>
        <v>#DIV/0!</v>
      </c>
      <c r="BB245" s="970" t="e">
        <f t="shared" si="20"/>
        <v>#DIV/0!</v>
      </c>
      <c r="BC245" s="971" t="e">
        <f t="shared" ca="1" si="21"/>
        <v>#DIV/0!</v>
      </c>
      <c r="BD245" s="228">
        <f>input_values!Z245</f>
        <v>4</v>
      </c>
      <c r="BE245" s="152">
        <f>input_values!L245</f>
        <v>0</v>
      </c>
      <c r="BF245" s="972" t="str">
        <f t="shared" si="22"/>
        <v/>
      </c>
    </row>
    <row r="246" spans="1:58" ht="12" customHeight="1" outlineLevel="3" x14ac:dyDescent="0.2">
      <c r="A246" s="21">
        <v>4</v>
      </c>
      <c r="B246" s="23">
        <v>500040</v>
      </c>
      <c r="C246" s="23" t="s">
        <v>764</v>
      </c>
      <c r="D246" s="965">
        <f>Table22[[#This Row],[MRL individual commodity]]</f>
        <v>0</v>
      </c>
      <c r="E246" s="300" t="str">
        <f>Table22[[#This Row],[LOQ_label]]</f>
        <v/>
      </c>
      <c r="F246" s="966">
        <f>Table22[[#This Row],[Chronic RA input value]]</f>
        <v>0</v>
      </c>
      <c r="G246" s="304" t="str">
        <f>Table22[[#This Row],[Chronic RA label]]</f>
        <v/>
      </c>
      <c r="H246" s="304">
        <f>Table22[[#This Row],[GAP under assessment]]</f>
        <v>0</v>
      </c>
      <c r="I246" s="1123"/>
      <c r="J246" s="974" t="e">
        <f>IF($F246="","",$F246*chronic_consumption!$E246/1000/$C$3)</f>
        <v>#DIV/0!</v>
      </c>
      <c r="K246" s="974" t="e">
        <f>IF($F246="","",$F246*chronic_consumption!F246/1000/$C$3)</f>
        <v>#DIV/0!</v>
      </c>
      <c r="L246" s="974" t="e">
        <f>IF($F246="","",$F246*chronic_consumption!G246/1000/$C$3)</f>
        <v>#DIV/0!</v>
      </c>
      <c r="M246" s="974" t="e">
        <f>IF($F246="","",$F246*chronic_consumption!H246/1000/$C$3)</f>
        <v>#DIV/0!</v>
      </c>
      <c r="N246" s="974" t="e">
        <f>IF($F246="","",$F246*chronic_consumption!I246/1000/$C$3)</f>
        <v>#DIV/0!</v>
      </c>
      <c r="O246" s="974" t="e">
        <f>IF($F246="","",$F246*chronic_consumption!J246/1000/$C$3)</f>
        <v>#DIV/0!</v>
      </c>
      <c r="P246" s="974" t="e">
        <f>IF($F246="","",$F246*chronic_consumption!K246/1000/$C$3)</f>
        <v>#DIV/0!</v>
      </c>
      <c r="Q246" s="974" t="e">
        <f>IF($F246="","",$F246*chronic_consumption!L246/1000/$C$3)</f>
        <v>#DIV/0!</v>
      </c>
      <c r="R246" s="974" t="e">
        <f>IF($F246="","",$F246*chronic_consumption!M246/1000/$C$3)</f>
        <v>#DIV/0!</v>
      </c>
      <c r="S246" s="974" t="e">
        <f>IF($F246="","",$F246*chronic_consumption!N246/1000/$C$3)</f>
        <v>#DIV/0!</v>
      </c>
      <c r="T246" s="974" t="e">
        <f>IF($F246="","",$F246*chronic_consumption!O246/1000/$C$3)</f>
        <v>#DIV/0!</v>
      </c>
      <c r="U246" s="974" t="e">
        <f>IF($F246="","",$F246*chronic_consumption!P246/1000/$C$3)</f>
        <v>#DIV/0!</v>
      </c>
      <c r="V246" s="974" t="e">
        <f>IF($F246="","",$F246*chronic_consumption!Q246/1000/$C$3)</f>
        <v>#DIV/0!</v>
      </c>
      <c r="W246" s="974" t="e">
        <f>IF($F246="","",$F246*chronic_consumption!R246/1000/$C$3)</f>
        <v>#DIV/0!</v>
      </c>
      <c r="X246" s="974" t="e">
        <f>IF($F246="","",$F246*chronic_consumption!S246/1000/$C$3)</f>
        <v>#DIV/0!</v>
      </c>
      <c r="Y246" s="974" t="e">
        <f>IF($F246="","",$F246*chronic_consumption!T246/1000/$C$3)</f>
        <v>#DIV/0!</v>
      </c>
      <c r="Z246" s="974" t="e">
        <f>IF($F246="","",$F246*chronic_consumption!U246/1000/$C$3)</f>
        <v>#DIV/0!</v>
      </c>
      <c r="AA246" s="974" t="e">
        <f>IF($F246="","",$F246*chronic_consumption!V246/1000/$C$3)</f>
        <v>#DIV/0!</v>
      </c>
      <c r="AB246" s="974" t="e">
        <f>IF($F246="","",$F246*chronic_consumption!W246/1000/$C$3)</f>
        <v>#DIV/0!</v>
      </c>
      <c r="AC246" s="974" t="e">
        <f>IF($F246="","",$F246*chronic_consumption!X246/1000/$C$3)</f>
        <v>#DIV/0!</v>
      </c>
      <c r="AD246" s="974" t="e">
        <f>IF($F246="","",$F246*chronic_consumption!Y246/1000/$C$3)</f>
        <v>#DIV/0!</v>
      </c>
      <c r="AE246" s="974" t="e">
        <f>IF($F246="","",$F246*chronic_consumption!Z246/1000/$C$3)</f>
        <v>#DIV/0!</v>
      </c>
      <c r="AF246" s="974" t="e">
        <f>IF($F246="","",$F246*chronic_consumption!AA246/1000/$C$3)</f>
        <v>#DIV/0!</v>
      </c>
      <c r="AG246" s="974" t="e">
        <f>IF($F246="","",$F246*chronic_consumption!AB246/1000/$C$3)</f>
        <v>#DIV/0!</v>
      </c>
      <c r="AH246" s="974" t="e">
        <f>IF($F246="","",$F246*chronic_consumption!AC246/1000/$C$3)</f>
        <v>#DIV/0!</v>
      </c>
      <c r="AI246" s="974" t="e">
        <f>IF($F246="","",$F246*chronic_consumption!AD246/1000/$C$3)</f>
        <v>#DIV/0!</v>
      </c>
      <c r="AJ246" s="974" t="e">
        <f>IF($F246="","",$F246*chronic_consumption!AE246/1000/$C$3)</f>
        <v>#DIV/0!</v>
      </c>
      <c r="AK246" s="974" t="e">
        <f>IF($F246="","",$F246*chronic_consumption!AF246/1000/$C$3)</f>
        <v>#DIV/0!</v>
      </c>
      <c r="AL246" s="974" t="e">
        <f>IF($F246="","",$F246*chronic_consumption!AG246/1000/$C$3)</f>
        <v>#DIV/0!</v>
      </c>
      <c r="AM246" s="974" t="e">
        <f>IF($F246="","",$F246*chronic_consumption!AH246/1000/$C$3)</f>
        <v>#DIV/0!</v>
      </c>
      <c r="AN246" s="974" t="e">
        <f>IF($F246="","",$F246*chronic_consumption!AI246/1000/$C$3)</f>
        <v>#DIV/0!</v>
      </c>
      <c r="AO246" s="974" t="e">
        <f>IF($F246="","",$F246*chronic_consumption!AJ246/1000/$C$3)</f>
        <v>#DIV/0!</v>
      </c>
      <c r="AP246" s="974" t="e">
        <f>IF($F246="","",$F246*chronic_consumption!AK246/1000/$C$3)</f>
        <v>#DIV/0!</v>
      </c>
      <c r="AQ246" s="974" t="e">
        <f>IF($F246="","",$F246*chronic_consumption!AL246/1000/$C$3)</f>
        <v>#DIV/0!</v>
      </c>
      <c r="AR246" s="974" t="e">
        <f>IF($F246="","",$F246*chronic_consumption!AM246/1000/$C$3)</f>
        <v>#DIV/0!</v>
      </c>
      <c r="AS246" s="974" t="e">
        <f>IF($F246="","",$F246*chronic_consumption!AN246/1000/$C$3)</f>
        <v>#DIV/0!</v>
      </c>
      <c r="AT246" s="974" t="e">
        <f>IF($F246="","",$F246*chronic_consumption!AO246/1000/$C$3)</f>
        <v>#DIV/0!</v>
      </c>
      <c r="AU246" s="974"/>
      <c r="AV246" s="974" t="e">
        <f>IF($F246="","",$F246*chronic_consumption!AQ246/1000/$C$3)</f>
        <v>#DIV/0!</v>
      </c>
      <c r="AW246" s="974" t="e">
        <f>IF($F246="","",$F246*chronic_consumption!AR246/1000/$C$3)</f>
        <v>#DIV/0!</v>
      </c>
      <c r="AX246" s="974" t="e">
        <f>IF($F246="","",$F246*chronic_consumption!AS246/1000/$C$3)</f>
        <v>#DIV/0!</v>
      </c>
      <c r="AY246" s="974" t="e">
        <f>IF($F246="","",$F246*chronic_consumption!AT246/1000/$C$3)</f>
        <v>#DIV/0!</v>
      </c>
      <c r="AZ246" s="973" t="s">
        <v>19</v>
      </c>
      <c r="BA246" s="969" t="e">
        <f t="shared" si="19"/>
        <v>#DIV/0!</v>
      </c>
      <c r="BB246" s="970" t="e">
        <f t="shared" si="20"/>
        <v>#DIV/0!</v>
      </c>
      <c r="BC246" s="971" t="e">
        <f t="shared" ca="1" si="21"/>
        <v>#DIV/0!</v>
      </c>
      <c r="BD246" s="228">
        <f>input_values!Z246</f>
        <v>4</v>
      </c>
      <c r="BE246" s="152">
        <f>input_values!L246</f>
        <v>0</v>
      </c>
      <c r="BF246" s="972" t="str">
        <f t="shared" si="22"/>
        <v/>
      </c>
    </row>
    <row r="247" spans="1:58" ht="12" customHeight="1" outlineLevel="3" x14ac:dyDescent="0.2">
      <c r="A247" s="21">
        <v>4</v>
      </c>
      <c r="B247" s="23">
        <v>500050</v>
      </c>
      <c r="C247" s="23" t="s">
        <v>844</v>
      </c>
      <c r="D247" s="965">
        <f>Table22[[#This Row],[MRL individual commodity]]</f>
        <v>0</v>
      </c>
      <c r="E247" s="300" t="str">
        <f>Table22[[#This Row],[LOQ_label]]</f>
        <v/>
      </c>
      <c r="F247" s="966">
        <f>Table22[[#This Row],[Chronic RA input value]]</f>
        <v>0</v>
      </c>
      <c r="G247" s="304" t="str">
        <f>Table22[[#This Row],[Chronic RA label]]</f>
        <v/>
      </c>
      <c r="H247" s="304">
        <f>Table22[[#This Row],[GAP under assessment]]</f>
        <v>0</v>
      </c>
      <c r="I247" s="1123"/>
      <c r="J247" s="974" t="e">
        <f>IF($F247="","",$F247*chronic_consumption!$E247/1000/$C$3)</f>
        <v>#DIV/0!</v>
      </c>
      <c r="K247" s="974" t="e">
        <f>IF($F247="","",$F247*chronic_consumption!F247/1000/$C$3)</f>
        <v>#DIV/0!</v>
      </c>
      <c r="L247" s="974" t="e">
        <f>IF($F247="","",$F247*chronic_consumption!G247/1000/$C$3)</f>
        <v>#DIV/0!</v>
      </c>
      <c r="M247" s="974" t="e">
        <f>IF($F247="","",$F247*chronic_consumption!H247/1000/$C$3)</f>
        <v>#DIV/0!</v>
      </c>
      <c r="N247" s="974" t="e">
        <f>IF($F247="","",$F247*chronic_consumption!I247/1000/$C$3)</f>
        <v>#DIV/0!</v>
      </c>
      <c r="O247" s="974" t="e">
        <f>IF($F247="","",$F247*chronic_consumption!J247/1000/$C$3)</f>
        <v>#DIV/0!</v>
      </c>
      <c r="P247" s="974" t="e">
        <f>IF($F247="","",$F247*chronic_consumption!K247/1000/$C$3)</f>
        <v>#DIV/0!</v>
      </c>
      <c r="Q247" s="974" t="e">
        <f>IF($F247="","",$F247*chronic_consumption!L247/1000/$C$3)</f>
        <v>#DIV/0!</v>
      </c>
      <c r="R247" s="974" t="e">
        <f>IF($F247="","",$F247*chronic_consumption!M247/1000/$C$3)</f>
        <v>#DIV/0!</v>
      </c>
      <c r="S247" s="974" t="e">
        <f>IF($F247="","",$F247*chronic_consumption!N247/1000/$C$3)</f>
        <v>#DIV/0!</v>
      </c>
      <c r="T247" s="974" t="e">
        <f>IF($F247="","",$F247*chronic_consumption!O247/1000/$C$3)</f>
        <v>#DIV/0!</v>
      </c>
      <c r="U247" s="974" t="e">
        <f>IF($F247="","",$F247*chronic_consumption!P247/1000/$C$3)</f>
        <v>#DIV/0!</v>
      </c>
      <c r="V247" s="974" t="e">
        <f>IF($F247="","",$F247*chronic_consumption!Q247/1000/$C$3)</f>
        <v>#DIV/0!</v>
      </c>
      <c r="W247" s="974" t="e">
        <f>IF($F247="","",$F247*chronic_consumption!R247/1000/$C$3)</f>
        <v>#DIV/0!</v>
      </c>
      <c r="X247" s="974" t="e">
        <f>IF($F247="","",$F247*chronic_consumption!S247/1000/$C$3)</f>
        <v>#DIV/0!</v>
      </c>
      <c r="Y247" s="974" t="e">
        <f>IF($F247="","",$F247*chronic_consumption!T247/1000/$C$3)</f>
        <v>#DIV/0!</v>
      </c>
      <c r="Z247" s="974" t="e">
        <f>IF($F247="","",$F247*chronic_consumption!U247/1000/$C$3)</f>
        <v>#DIV/0!</v>
      </c>
      <c r="AA247" s="974" t="e">
        <f>IF($F247="","",$F247*chronic_consumption!V247/1000/$C$3)</f>
        <v>#DIV/0!</v>
      </c>
      <c r="AB247" s="974" t="e">
        <f>IF($F247="","",$F247*chronic_consumption!W247/1000/$C$3)</f>
        <v>#DIV/0!</v>
      </c>
      <c r="AC247" s="974" t="e">
        <f>IF($F247="","",$F247*chronic_consumption!X247/1000/$C$3)</f>
        <v>#DIV/0!</v>
      </c>
      <c r="AD247" s="974" t="e">
        <f>IF($F247="","",$F247*chronic_consumption!Y247/1000/$C$3)</f>
        <v>#DIV/0!</v>
      </c>
      <c r="AE247" s="974" t="e">
        <f>IF($F247="","",$F247*chronic_consumption!Z247/1000/$C$3)</f>
        <v>#DIV/0!</v>
      </c>
      <c r="AF247" s="974" t="e">
        <f>IF($F247="","",$F247*chronic_consumption!AA247/1000/$C$3)</f>
        <v>#DIV/0!</v>
      </c>
      <c r="AG247" s="974" t="e">
        <f>IF($F247="","",$F247*chronic_consumption!AB247/1000/$C$3)</f>
        <v>#DIV/0!</v>
      </c>
      <c r="AH247" s="974" t="e">
        <f>IF($F247="","",$F247*chronic_consumption!AC247/1000/$C$3)</f>
        <v>#DIV/0!</v>
      </c>
      <c r="AI247" s="974" t="e">
        <f>IF($F247="","",$F247*chronic_consumption!AD247/1000/$C$3)</f>
        <v>#DIV/0!</v>
      </c>
      <c r="AJ247" s="974" t="e">
        <f>IF($F247="","",$F247*chronic_consumption!AE247/1000/$C$3)</f>
        <v>#DIV/0!</v>
      </c>
      <c r="AK247" s="974" t="e">
        <f>IF($F247="","",$F247*chronic_consumption!AF247/1000/$C$3)</f>
        <v>#DIV/0!</v>
      </c>
      <c r="AL247" s="974" t="e">
        <f>IF($F247="","",$F247*chronic_consumption!AG247/1000/$C$3)</f>
        <v>#DIV/0!</v>
      </c>
      <c r="AM247" s="974" t="e">
        <f>IF($F247="","",$F247*chronic_consumption!AH247/1000/$C$3)</f>
        <v>#DIV/0!</v>
      </c>
      <c r="AN247" s="974" t="e">
        <f>IF($F247="","",$F247*chronic_consumption!AI247/1000/$C$3)</f>
        <v>#DIV/0!</v>
      </c>
      <c r="AO247" s="974" t="e">
        <f>IF($F247="","",$F247*chronic_consumption!AJ247/1000/$C$3)</f>
        <v>#DIV/0!</v>
      </c>
      <c r="AP247" s="974" t="e">
        <f>IF($F247="","",$F247*chronic_consumption!AK247/1000/$C$3)</f>
        <v>#DIV/0!</v>
      </c>
      <c r="AQ247" s="974" t="e">
        <f>IF($F247="","",$F247*chronic_consumption!AL247/1000/$C$3)</f>
        <v>#DIV/0!</v>
      </c>
      <c r="AR247" s="974" t="e">
        <f>IF($F247="","",$F247*chronic_consumption!AM247/1000/$C$3)</f>
        <v>#DIV/0!</v>
      </c>
      <c r="AS247" s="974" t="e">
        <f>IF($F247="","",$F247*chronic_consumption!AN247/1000/$C$3)</f>
        <v>#DIV/0!</v>
      </c>
      <c r="AT247" s="974" t="e">
        <f>IF($F247="","",$F247*chronic_consumption!AO247/1000/$C$3)</f>
        <v>#DIV/0!</v>
      </c>
      <c r="AU247" s="974"/>
      <c r="AV247" s="974" t="e">
        <f>IF($F247="","",$F247*chronic_consumption!AQ247/1000/$C$3)</f>
        <v>#DIV/0!</v>
      </c>
      <c r="AW247" s="974" t="e">
        <f>IF($F247="","",$F247*chronic_consumption!AR247/1000/$C$3)</f>
        <v>#DIV/0!</v>
      </c>
      <c r="AX247" s="974" t="e">
        <f>IF($F247="","",$F247*chronic_consumption!AS247/1000/$C$3)</f>
        <v>#DIV/0!</v>
      </c>
      <c r="AY247" s="974" t="e">
        <f>IF($F247="","",$F247*chronic_consumption!AT247/1000/$C$3)</f>
        <v>#DIV/0!</v>
      </c>
      <c r="AZ247" s="973" t="s">
        <v>19</v>
      </c>
      <c r="BA247" s="969" t="e">
        <f t="shared" si="19"/>
        <v>#DIV/0!</v>
      </c>
      <c r="BB247" s="970" t="e">
        <f t="shared" si="20"/>
        <v>#DIV/0!</v>
      </c>
      <c r="BC247" s="971" t="e">
        <f t="shared" ca="1" si="21"/>
        <v>#DIV/0!</v>
      </c>
      <c r="BD247" s="228">
        <f>input_values!Z247</f>
        <v>4</v>
      </c>
      <c r="BE247" s="152">
        <f>input_values!L247</f>
        <v>0</v>
      </c>
      <c r="BF247" s="972" t="str">
        <f t="shared" si="22"/>
        <v/>
      </c>
    </row>
    <row r="248" spans="1:58" ht="12" customHeight="1" outlineLevel="3" x14ac:dyDescent="0.2">
      <c r="A248" s="21">
        <v>4</v>
      </c>
      <c r="B248" s="23">
        <v>500060</v>
      </c>
      <c r="C248" s="23" t="s">
        <v>158</v>
      </c>
      <c r="D248" s="965">
        <f>Table22[[#This Row],[MRL individual commodity]]</f>
        <v>0</v>
      </c>
      <c r="E248" s="300" t="str">
        <f>Table22[[#This Row],[LOQ_label]]</f>
        <v/>
      </c>
      <c r="F248" s="966">
        <f>Table22[[#This Row],[Chronic RA input value]]</f>
        <v>0</v>
      </c>
      <c r="G248" s="304" t="str">
        <f>Table22[[#This Row],[Chronic RA label]]</f>
        <v/>
      </c>
      <c r="H248" s="304">
        <f>Table22[[#This Row],[GAP under assessment]]</f>
        <v>0</v>
      </c>
      <c r="I248" s="1123"/>
      <c r="J248" s="974" t="e">
        <f>IF($F248="","",$F248*chronic_consumption!$E248/1000/$C$3)</f>
        <v>#DIV/0!</v>
      </c>
      <c r="K248" s="974" t="e">
        <f>IF($F248="","",$F248*chronic_consumption!F248/1000/$C$3)</f>
        <v>#DIV/0!</v>
      </c>
      <c r="L248" s="974" t="e">
        <f>IF($F248="","",$F248*chronic_consumption!G248/1000/$C$3)</f>
        <v>#DIV/0!</v>
      </c>
      <c r="M248" s="974" t="e">
        <f>IF($F248="","",$F248*chronic_consumption!H248/1000/$C$3)</f>
        <v>#DIV/0!</v>
      </c>
      <c r="N248" s="974" t="e">
        <f>IF($F248="","",$F248*chronic_consumption!I248/1000/$C$3)</f>
        <v>#DIV/0!</v>
      </c>
      <c r="O248" s="974" t="e">
        <f>IF($F248="","",$F248*chronic_consumption!J248/1000/$C$3)</f>
        <v>#DIV/0!</v>
      </c>
      <c r="P248" s="974" t="e">
        <f>IF($F248="","",$F248*chronic_consumption!K248/1000/$C$3)</f>
        <v>#DIV/0!</v>
      </c>
      <c r="Q248" s="974" t="e">
        <f>IF($F248="","",$F248*chronic_consumption!L248/1000/$C$3)</f>
        <v>#DIV/0!</v>
      </c>
      <c r="R248" s="974" t="e">
        <f>IF($F248="","",$F248*chronic_consumption!M248/1000/$C$3)</f>
        <v>#DIV/0!</v>
      </c>
      <c r="S248" s="974" t="e">
        <f>IF($F248="","",$F248*chronic_consumption!N248/1000/$C$3)</f>
        <v>#DIV/0!</v>
      </c>
      <c r="T248" s="974" t="e">
        <f>IF($F248="","",$F248*chronic_consumption!O248/1000/$C$3)</f>
        <v>#DIV/0!</v>
      </c>
      <c r="U248" s="974" t="e">
        <f>IF($F248="","",$F248*chronic_consumption!P248/1000/$C$3)</f>
        <v>#DIV/0!</v>
      </c>
      <c r="V248" s="974" t="e">
        <f>IF($F248="","",$F248*chronic_consumption!Q248/1000/$C$3)</f>
        <v>#DIV/0!</v>
      </c>
      <c r="W248" s="974" t="e">
        <f>IF($F248="","",$F248*chronic_consumption!R248/1000/$C$3)</f>
        <v>#DIV/0!</v>
      </c>
      <c r="X248" s="974" t="e">
        <f>IF($F248="","",$F248*chronic_consumption!S248/1000/$C$3)</f>
        <v>#DIV/0!</v>
      </c>
      <c r="Y248" s="974" t="e">
        <f>IF($F248="","",$F248*chronic_consumption!T248/1000/$C$3)</f>
        <v>#DIV/0!</v>
      </c>
      <c r="Z248" s="974" t="e">
        <f>IF($F248="","",$F248*chronic_consumption!U248/1000/$C$3)</f>
        <v>#DIV/0!</v>
      </c>
      <c r="AA248" s="974" t="e">
        <f>IF($F248="","",$F248*chronic_consumption!V248/1000/$C$3)</f>
        <v>#DIV/0!</v>
      </c>
      <c r="AB248" s="974" t="e">
        <f>IF($F248="","",$F248*chronic_consumption!W248/1000/$C$3)</f>
        <v>#DIV/0!</v>
      </c>
      <c r="AC248" s="974" t="e">
        <f>IF($F248="","",$F248*chronic_consumption!X248/1000/$C$3)</f>
        <v>#DIV/0!</v>
      </c>
      <c r="AD248" s="974" t="e">
        <f>IF($F248="","",$F248*chronic_consumption!Y248/1000/$C$3)</f>
        <v>#DIV/0!</v>
      </c>
      <c r="AE248" s="974" t="e">
        <f>IF($F248="","",$F248*chronic_consumption!Z248/1000/$C$3)</f>
        <v>#DIV/0!</v>
      </c>
      <c r="AF248" s="974" t="e">
        <f>IF($F248="","",$F248*chronic_consumption!AA248/1000/$C$3)</f>
        <v>#DIV/0!</v>
      </c>
      <c r="AG248" s="974" t="e">
        <f>IF($F248="","",$F248*chronic_consumption!AB248/1000/$C$3)</f>
        <v>#DIV/0!</v>
      </c>
      <c r="AH248" s="974" t="e">
        <f>IF($F248="","",$F248*chronic_consumption!AC248/1000/$C$3)</f>
        <v>#DIV/0!</v>
      </c>
      <c r="AI248" s="974" t="e">
        <f>IF($F248="","",$F248*chronic_consumption!AD248/1000/$C$3)</f>
        <v>#DIV/0!</v>
      </c>
      <c r="AJ248" s="974" t="e">
        <f>IF($F248="","",$F248*chronic_consumption!AE248/1000/$C$3)</f>
        <v>#DIV/0!</v>
      </c>
      <c r="AK248" s="974" t="e">
        <f>IF($F248="","",$F248*chronic_consumption!AF248/1000/$C$3)</f>
        <v>#DIV/0!</v>
      </c>
      <c r="AL248" s="974" t="e">
        <f>IF($F248="","",$F248*chronic_consumption!AG248/1000/$C$3)</f>
        <v>#DIV/0!</v>
      </c>
      <c r="AM248" s="974" t="e">
        <f>IF($F248="","",$F248*chronic_consumption!AH248/1000/$C$3)</f>
        <v>#DIV/0!</v>
      </c>
      <c r="AN248" s="974" t="e">
        <f>IF($F248="","",$F248*chronic_consumption!AI248/1000/$C$3)</f>
        <v>#DIV/0!</v>
      </c>
      <c r="AO248" s="974" t="e">
        <f>IF($F248="","",$F248*chronic_consumption!AJ248/1000/$C$3)</f>
        <v>#DIV/0!</v>
      </c>
      <c r="AP248" s="974" t="e">
        <f>IF($F248="","",$F248*chronic_consumption!AK248/1000/$C$3)</f>
        <v>#DIV/0!</v>
      </c>
      <c r="AQ248" s="974" t="e">
        <f>IF($F248="","",$F248*chronic_consumption!AL248/1000/$C$3)</f>
        <v>#DIV/0!</v>
      </c>
      <c r="AR248" s="974" t="e">
        <f>IF($F248="","",$F248*chronic_consumption!AM248/1000/$C$3)</f>
        <v>#DIV/0!</v>
      </c>
      <c r="AS248" s="974" t="e">
        <f>IF($F248="","",$F248*chronic_consumption!AN248/1000/$C$3)</f>
        <v>#DIV/0!</v>
      </c>
      <c r="AT248" s="974" t="e">
        <f>IF($F248="","",$F248*chronic_consumption!AO248/1000/$C$3)</f>
        <v>#DIV/0!</v>
      </c>
      <c r="AU248" s="974"/>
      <c r="AV248" s="974" t="e">
        <f>IF($F248="","",$F248*chronic_consumption!AQ248/1000/$C$3)</f>
        <v>#DIV/0!</v>
      </c>
      <c r="AW248" s="974" t="e">
        <f>IF($F248="","",$F248*chronic_consumption!AR248/1000/$C$3)</f>
        <v>#DIV/0!</v>
      </c>
      <c r="AX248" s="974" t="e">
        <f>IF($F248="","",$F248*chronic_consumption!AS248/1000/$C$3)</f>
        <v>#DIV/0!</v>
      </c>
      <c r="AY248" s="974" t="e">
        <f>IF($F248="","",$F248*chronic_consumption!AT248/1000/$C$3)</f>
        <v>#DIV/0!</v>
      </c>
      <c r="AZ248" s="973" t="s">
        <v>19</v>
      </c>
      <c r="BA248" s="969" t="e">
        <f t="shared" si="19"/>
        <v>#DIV/0!</v>
      </c>
      <c r="BB248" s="970" t="e">
        <f t="shared" si="20"/>
        <v>#DIV/0!</v>
      </c>
      <c r="BC248" s="971" t="e">
        <f t="shared" ca="1" si="21"/>
        <v>#DIV/0!</v>
      </c>
      <c r="BD248" s="228">
        <f>input_values!Z248</f>
        <v>4</v>
      </c>
      <c r="BE248" s="152">
        <f>input_values!L248</f>
        <v>0</v>
      </c>
      <c r="BF248" s="972" t="str">
        <f t="shared" si="22"/>
        <v/>
      </c>
    </row>
    <row r="249" spans="1:58" ht="12" customHeight="1" outlineLevel="3" x14ac:dyDescent="0.2">
      <c r="A249" s="21">
        <v>4</v>
      </c>
      <c r="B249" s="23">
        <v>500070</v>
      </c>
      <c r="C249" s="23" t="s">
        <v>159</v>
      </c>
      <c r="D249" s="965">
        <f>Table22[[#This Row],[MRL individual commodity]]</f>
        <v>0</v>
      </c>
      <c r="E249" s="300" t="str">
        <f>Table22[[#This Row],[LOQ_label]]</f>
        <v/>
      </c>
      <c r="F249" s="966">
        <f>Table22[[#This Row],[Chronic RA input value]]</f>
        <v>0</v>
      </c>
      <c r="G249" s="304" t="str">
        <f>Table22[[#This Row],[Chronic RA label]]</f>
        <v/>
      </c>
      <c r="H249" s="304">
        <f>Table22[[#This Row],[GAP under assessment]]</f>
        <v>0</v>
      </c>
      <c r="I249" s="1123"/>
      <c r="J249" s="974" t="e">
        <f>IF($F249="","",$F249*chronic_consumption!$E249/1000/$C$3)</f>
        <v>#DIV/0!</v>
      </c>
      <c r="K249" s="974" t="e">
        <f>IF($F249="","",$F249*chronic_consumption!F249/1000/$C$3)</f>
        <v>#DIV/0!</v>
      </c>
      <c r="L249" s="974" t="e">
        <f>IF($F249="","",$F249*chronic_consumption!G249/1000/$C$3)</f>
        <v>#DIV/0!</v>
      </c>
      <c r="M249" s="974" t="e">
        <f>IF($F249="","",$F249*chronic_consumption!H249/1000/$C$3)</f>
        <v>#DIV/0!</v>
      </c>
      <c r="N249" s="974" t="e">
        <f>IF($F249="","",$F249*chronic_consumption!I249/1000/$C$3)</f>
        <v>#DIV/0!</v>
      </c>
      <c r="O249" s="974" t="e">
        <f>IF($F249="","",$F249*chronic_consumption!J249/1000/$C$3)</f>
        <v>#DIV/0!</v>
      </c>
      <c r="P249" s="974" t="e">
        <f>IF($F249="","",$F249*chronic_consumption!K249/1000/$C$3)</f>
        <v>#DIV/0!</v>
      </c>
      <c r="Q249" s="974" t="e">
        <f>IF($F249="","",$F249*chronic_consumption!L249/1000/$C$3)</f>
        <v>#DIV/0!</v>
      </c>
      <c r="R249" s="974" t="e">
        <f>IF($F249="","",$F249*chronic_consumption!M249/1000/$C$3)</f>
        <v>#DIV/0!</v>
      </c>
      <c r="S249" s="974" t="e">
        <f>IF($F249="","",$F249*chronic_consumption!N249/1000/$C$3)</f>
        <v>#DIV/0!</v>
      </c>
      <c r="T249" s="974" t="e">
        <f>IF($F249="","",$F249*chronic_consumption!O249/1000/$C$3)</f>
        <v>#DIV/0!</v>
      </c>
      <c r="U249" s="974" t="e">
        <f>IF($F249="","",$F249*chronic_consumption!P249/1000/$C$3)</f>
        <v>#DIV/0!</v>
      </c>
      <c r="V249" s="974" t="e">
        <f>IF($F249="","",$F249*chronic_consumption!Q249/1000/$C$3)</f>
        <v>#DIV/0!</v>
      </c>
      <c r="W249" s="974" t="e">
        <f>IF($F249="","",$F249*chronic_consumption!R249/1000/$C$3)</f>
        <v>#DIV/0!</v>
      </c>
      <c r="X249" s="974" t="e">
        <f>IF($F249="","",$F249*chronic_consumption!S249/1000/$C$3)</f>
        <v>#DIV/0!</v>
      </c>
      <c r="Y249" s="974" t="e">
        <f>IF($F249="","",$F249*chronic_consumption!T249/1000/$C$3)</f>
        <v>#DIV/0!</v>
      </c>
      <c r="Z249" s="974" t="e">
        <f>IF($F249="","",$F249*chronic_consumption!U249/1000/$C$3)</f>
        <v>#DIV/0!</v>
      </c>
      <c r="AA249" s="974" t="e">
        <f>IF($F249="","",$F249*chronic_consumption!V249/1000/$C$3)</f>
        <v>#DIV/0!</v>
      </c>
      <c r="AB249" s="974" t="e">
        <f>IF($F249="","",$F249*chronic_consumption!W249/1000/$C$3)</f>
        <v>#DIV/0!</v>
      </c>
      <c r="AC249" s="974" t="e">
        <f>IF($F249="","",$F249*chronic_consumption!X249/1000/$C$3)</f>
        <v>#DIV/0!</v>
      </c>
      <c r="AD249" s="974" t="e">
        <f>IF($F249="","",$F249*chronic_consumption!Y249/1000/$C$3)</f>
        <v>#DIV/0!</v>
      </c>
      <c r="AE249" s="974" t="e">
        <f>IF($F249="","",$F249*chronic_consumption!Z249/1000/$C$3)</f>
        <v>#DIV/0!</v>
      </c>
      <c r="AF249" s="974" t="e">
        <f>IF($F249="","",$F249*chronic_consumption!AA249/1000/$C$3)</f>
        <v>#DIV/0!</v>
      </c>
      <c r="AG249" s="974" t="e">
        <f>IF($F249="","",$F249*chronic_consumption!AB249/1000/$C$3)</f>
        <v>#DIV/0!</v>
      </c>
      <c r="AH249" s="974" t="e">
        <f>IF($F249="","",$F249*chronic_consumption!AC249/1000/$C$3)</f>
        <v>#DIV/0!</v>
      </c>
      <c r="AI249" s="974" t="e">
        <f>IF($F249="","",$F249*chronic_consumption!AD249/1000/$C$3)</f>
        <v>#DIV/0!</v>
      </c>
      <c r="AJ249" s="974" t="e">
        <f>IF($F249="","",$F249*chronic_consumption!AE249/1000/$C$3)</f>
        <v>#DIV/0!</v>
      </c>
      <c r="AK249" s="974" t="e">
        <f>IF($F249="","",$F249*chronic_consumption!AF249/1000/$C$3)</f>
        <v>#DIV/0!</v>
      </c>
      <c r="AL249" s="974" t="e">
        <f>IF($F249="","",$F249*chronic_consumption!AG249/1000/$C$3)</f>
        <v>#DIV/0!</v>
      </c>
      <c r="AM249" s="974" t="e">
        <f>IF($F249="","",$F249*chronic_consumption!AH249/1000/$C$3)</f>
        <v>#DIV/0!</v>
      </c>
      <c r="AN249" s="974" t="e">
        <f>IF($F249="","",$F249*chronic_consumption!AI249/1000/$C$3)</f>
        <v>#DIV/0!</v>
      </c>
      <c r="AO249" s="974" t="e">
        <f>IF($F249="","",$F249*chronic_consumption!AJ249/1000/$C$3)</f>
        <v>#DIV/0!</v>
      </c>
      <c r="AP249" s="974" t="e">
        <f>IF($F249="","",$F249*chronic_consumption!AK249/1000/$C$3)</f>
        <v>#DIV/0!</v>
      </c>
      <c r="AQ249" s="974" t="e">
        <f>IF($F249="","",$F249*chronic_consumption!AL249/1000/$C$3)</f>
        <v>#DIV/0!</v>
      </c>
      <c r="AR249" s="974" t="e">
        <f>IF($F249="","",$F249*chronic_consumption!AM249/1000/$C$3)</f>
        <v>#DIV/0!</v>
      </c>
      <c r="AS249" s="974" t="e">
        <f>IF($F249="","",$F249*chronic_consumption!AN249/1000/$C$3)</f>
        <v>#DIV/0!</v>
      </c>
      <c r="AT249" s="974" t="e">
        <f>IF($F249="","",$F249*chronic_consumption!AO249/1000/$C$3)</f>
        <v>#DIV/0!</v>
      </c>
      <c r="AU249" s="974"/>
      <c r="AV249" s="974" t="e">
        <f>IF($F249="","",$F249*chronic_consumption!AQ249/1000/$C$3)</f>
        <v>#DIV/0!</v>
      </c>
      <c r="AW249" s="974" t="e">
        <f>IF($F249="","",$F249*chronic_consumption!AR249/1000/$C$3)</f>
        <v>#DIV/0!</v>
      </c>
      <c r="AX249" s="974" t="e">
        <f>IF($F249="","",$F249*chronic_consumption!AS249/1000/$C$3)</f>
        <v>#DIV/0!</v>
      </c>
      <c r="AY249" s="974" t="e">
        <f>IF($F249="","",$F249*chronic_consumption!AT249/1000/$C$3)</f>
        <v>#DIV/0!</v>
      </c>
      <c r="AZ249" s="973" t="s">
        <v>19</v>
      </c>
      <c r="BA249" s="969" t="e">
        <f t="shared" si="19"/>
        <v>#DIV/0!</v>
      </c>
      <c r="BB249" s="970" t="e">
        <f t="shared" si="20"/>
        <v>#DIV/0!</v>
      </c>
      <c r="BC249" s="971" t="e">
        <f t="shared" ca="1" si="21"/>
        <v>#DIV/0!</v>
      </c>
      <c r="BD249" s="228">
        <f>input_values!Z249</f>
        <v>4</v>
      </c>
      <c r="BE249" s="152">
        <f>input_values!L249</f>
        <v>0</v>
      </c>
      <c r="BF249" s="972" t="str">
        <f t="shared" si="22"/>
        <v/>
      </c>
    </row>
    <row r="250" spans="1:58" ht="12" customHeight="1" outlineLevel="3" x14ac:dyDescent="0.2">
      <c r="A250" s="21">
        <v>4</v>
      </c>
      <c r="B250" s="23">
        <v>500080</v>
      </c>
      <c r="C250" s="23" t="s">
        <v>160</v>
      </c>
      <c r="D250" s="965">
        <f>Table22[[#This Row],[MRL individual commodity]]</f>
        <v>0</v>
      </c>
      <c r="E250" s="300" t="str">
        <f>Table22[[#This Row],[LOQ_label]]</f>
        <v/>
      </c>
      <c r="F250" s="966">
        <f>Table22[[#This Row],[Chronic RA input value]]</f>
        <v>0</v>
      </c>
      <c r="G250" s="304" t="str">
        <f>Table22[[#This Row],[Chronic RA label]]</f>
        <v/>
      </c>
      <c r="H250" s="304">
        <f>Table22[[#This Row],[GAP under assessment]]</f>
        <v>0</v>
      </c>
      <c r="I250" s="1123"/>
      <c r="J250" s="974" t="e">
        <f>IF($F250="","",$F250*chronic_consumption!$E250/1000/$C$3)</f>
        <v>#DIV/0!</v>
      </c>
      <c r="K250" s="974" t="e">
        <f>IF($F250="","",$F250*chronic_consumption!F250/1000/$C$3)</f>
        <v>#DIV/0!</v>
      </c>
      <c r="L250" s="974" t="e">
        <f>IF($F250="","",$F250*chronic_consumption!G250/1000/$C$3)</f>
        <v>#DIV/0!</v>
      </c>
      <c r="M250" s="974" t="e">
        <f>IF($F250="","",$F250*chronic_consumption!H250/1000/$C$3)</f>
        <v>#DIV/0!</v>
      </c>
      <c r="N250" s="974" t="e">
        <f>IF($F250="","",$F250*chronic_consumption!I250/1000/$C$3)</f>
        <v>#DIV/0!</v>
      </c>
      <c r="O250" s="974" t="e">
        <f>IF($F250="","",$F250*chronic_consumption!J250/1000/$C$3)</f>
        <v>#DIV/0!</v>
      </c>
      <c r="P250" s="974" t="e">
        <f>IF($F250="","",$F250*chronic_consumption!K250/1000/$C$3)</f>
        <v>#DIV/0!</v>
      </c>
      <c r="Q250" s="974" t="e">
        <f>IF($F250="","",$F250*chronic_consumption!L250/1000/$C$3)</f>
        <v>#DIV/0!</v>
      </c>
      <c r="R250" s="974" t="e">
        <f>IF($F250="","",$F250*chronic_consumption!M250/1000/$C$3)</f>
        <v>#DIV/0!</v>
      </c>
      <c r="S250" s="974" t="e">
        <f>IF($F250="","",$F250*chronic_consumption!N250/1000/$C$3)</f>
        <v>#DIV/0!</v>
      </c>
      <c r="T250" s="974" t="e">
        <f>IF($F250="","",$F250*chronic_consumption!O250/1000/$C$3)</f>
        <v>#DIV/0!</v>
      </c>
      <c r="U250" s="974" t="e">
        <f>IF($F250="","",$F250*chronic_consumption!P250/1000/$C$3)</f>
        <v>#DIV/0!</v>
      </c>
      <c r="V250" s="974" t="e">
        <f>IF($F250="","",$F250*chronic_consumption!Q250/1000/$C$3)</f>
        <v>#DIV/0!</v>
      </c>
      <c r="W250" s="974" t="e">
        <f>IF($F250="","",$F250*chronic_consumption!R250/1000/$C$3)</f>
        <v>#DIV/0!</v>
      </c>
      <c r="X250" s="974" t="e">
        <f>IF($F250="","",$F250*chronic_consumption!S250/1000/$C$3)</f>
        <v>#DIV/0!</v>
      </c>
      <c r="Y250" s="974" t="e">
        <f>IF($F250="","",$F250*chronic_consumption!T250/1000/$C$3)</f>
        <v>#DIV/0!</v>
      </c>
      <c r="Z250" s="974" t="e">
        <f>IF($F250="","",$F250*chronic_consumption!U250/1000/$C$3)</f>
        <v>#DIV/0!</v>
      </c>
      <c r="AA250" s="974" t="e">
        <f>IF($F250="","",$F250*chronic_consumption!V250/1000/$C$3)</f>
        <v>#DIV/0!</v>
      </c>
      <c r="AB250" s="974" t="e">
        <f>IF($F250="","",$F250*chronic_consumption!W250/1000/$C$3)</f>
        <v>#DIV/0!</v>
      </c>
      <c r="AC250" s="974" t="e">
        <f>IF($F250="","",$F250*chronic_consumption!X250/1000/$C$3)</f>
        <v>#DIV/0!</v>
      </c>
      <c r="AD250" s="974" t="e">
        <f>IF($F250="","",$F250*chronic_consumption!Y250/1000/$C$3)</f>
        <v>#DIV/0!</v>
      </c>
      <c r="AE250" s="974" t="e">
        <f>IF($F250="","",$F250*chronic_consumption!Z250/1000/$C$3)</f>
        <v>#DIV/0!</v>
      </c>
      <c r="AF250" s="974" t="e">
        <f>IF($F250="","",$F250*chronic_consumption!AA250/1000/$C$3)</f>
        <v>#DIV/0!</v>
      </c>
      <c r="AG250" s="974" t="e">
        <f>IF($F250="","",$F250*chronic_consumption!AB250/1000/$C$3)</f>
        <v>#DIV/0!</v>
      </c>
      <c r="AH250" s="974" t="e">
        <f>IF($F250="","",$F250*chronic_consumption!AC250/1000/$C$3)</f>
        <v>#DIV/0!</v>
      </c>
      <c r="AI250" s="974" t="e">
        <f>IF($F250="","",$F250*chronic_consumption!AD250/1000/$C$3)</f>
        <v>#DIV/0!</v>
      </c>
      <c r="AJ250" s="974" t="e">
        <f>IF($F250="","",$F250*chronic_consumption!AE250/1000/$C$3)</f>
        <v>#DIV/0!</v>
      </c>
      <c r="AK250" s="974" t="e">
        <f>IF($F250="","",$F250*chronic_consumption!AF250/1000/$C$3)</f>
        <v>#DIV/0!</v>
      </c>
      <c r="AL250" s="974" t="e">
        <f>IF($F250="","",$F250*chronic_consumption!AG250/1000/$C$3)</f>
        <v>#DIV/0!</v>
      </c>
      <c r="AM250" s="974" t="e">
        <f>IF($F250="","",$F250*chronic_consumption!AH250/1000/$C$3)</f>
        <v>#DIV/0!</v>
      </c>
      <c r="AN250" s="974" t="e">
        <f>IF($F250="","",$F250*chronic_consumption!AI250/1000/$C$3)</f>
        <v>#DIV/0!</v>
      </c>
      <c r="AO250" s="974" t="e">
        <f>IF($F250="","",$F250*chronic_consumption!AJ250/1000/$C$3)</f>
        <v>#DIV/0!</v>
      </c>
      <c r="AP250" s="974" t="e">
        <f>IF($F250="","",$F250*chronic_consumption!AK250/1000/$C$3)</f>
        <v>#DIV/0!</v>
      </c>
      <c r="AQ250" s="974" t="e">
        <f>IF($F250="","",$F250*chronic_consumption!AL250/1000/$C$3)</f>
        <v>#DIV/0!</v>
      </c>
      <c r="AR250" s="974" t="e">
        <f>IF($F250="","",$F250*chronic_consumption!AM250/1000/$C$3)</f>
        <v>#DIV/0!</v>
      </c>
      <c r="AS250" s="974" t="e">
        <f>IF($F250="","",$F250*chronic_consumption!AN250/1000/$C$3)</f>
        <v>#DIV/0!</v>
      </c>
      <c r="AT250" s="974" t="e">
        <f>IF($F250="","",$F250*chronic_consumption!AO250/1000/$C$3)</f>
        <v>#DIV/0!</v>
      </c>
      <c r="AU250" s="974"/>
      <c r="AV250" s="974" t="e">
        <f>IF($F250="","",$F250*chronic_consumption!AQ250/1000/$C$3)</f>
        <v>#DIV/0!</v>
      </c>
      <c r="AW250" s="974" t="e">
        <f>IF($F250="","",$F250*chronic_consumption!AR250/1000/$C$3)</f>
        <v>#DIV/0!</v>
      </c>
      <c r="AX250" s="974" t="e">
        <f>IF($F250="","",$F250*chronic_consumption!AS250/1000/$C$3)</f>
        <v>#DIV/0!</v>
      </c>
      <c r="AY250" s="974" t="e">
        <f>IF($F250="","",$F250*chronic_consumption!AT250/1000/$C$3)</f>
        <v>#DIV/0!</v>
      </c>
      <c r="AZ250" s="973" t="s">
        <v>19</v>
      </c>
      <c r="BA250" s="969" t="e">
        <f t="shared" si="19"/>
        <v>#DIV/0!</v>
      </c>
      <c r="BB250" s="970" t="e">
        <f t="shared" si="20"/>
        <v>#DIV/0!</v>
      </c>
      <c r="BC250" s="971" t="e">
        <f t="shared" ca="1" si="21"/>
        <v>#DIV/0!</v>
      </c>
      <c r="BD250" s="228">
        <f>input_values!Z250</f>
        <v>4</v>
      </c>
      <c r="BE250" s="152">
        <f>input_values!L250</f>
        <v>0</v>
      </c>
      <c r="BF250" s="972" t="str">
        <f t="shared" si="22"/>
        <v/>
      </c>
    </row>
    <row r="251" spans="1:58" ht="12" customHeight="1" outlineLevel="3" x14ac:dyDescent="0.2">
      <c r="A251" s="21">
        <v>4</v>
      </c>
      <c r="B251" s="23">
        <v>500090</v>
      </c>
      <c r="C251" s="23" t="s">
        <v>161</v>
      </c>
      <c r="D251" s="965">
        <f>Table22[[#This Row],[MRL individual commodity]]</f>
        <v>0</v>
      </c>
      <c r="E251" s="300" t="str">
        <f>Table22[[#This Row],[LOQ_label]]</f>
        <v/>
      </c>
      <c r="F251" s="966">
        <f>Table22[[#This Row],[Chronic RA input value]]</f>
        <v>0</v>
      </c>
      <c r="G251" s="304" t="str">
        <f>Table22[[#This Row],[Chronic RA label]]</f>
        <v/>
      </c>
      <c r="H251" s="304">
        <f>Table22[[#This Row],[GAP under assessment]]</f>
        <v>0</v>
      </c>
      <c r="I251" s="1123"/>
      <c r="J251" s="974" t="e">
        <f>IF($F251="","",$F251*chronic_consumption!$E251/1000/$C$3)</f>
        <v>#DIV/0!</v>
      </c>
      <c r="K251" s="974" t="e">
        <f>IF($F251="","",$F251*chronic_consumption!F251/1000/$C$3)</f>
        <v>#DIV/0!</v>
      </c>
      <c r="L251" s="974" t="e">
        <f>IF($F251="","",$F251*chronic_consumption!G251/1000/$C$3)</f>
        <v>#DIV/0!</v>
      </c>
      <c r="M251" s="974" t="e">
        <f>IF($F251="","",$F251*chronic_consumption!H251/1000/$C$3)</f>
        <v>#DIV/0!</v>
      </c>
      <c r="N251" s="974" t="e">
        <f>IF($F251="","",$F251*chronic_consumption!I251/1000/$C$3)</f>
        <v>#DIV/0!</v>
      </c>
      <c r="O251" s="974" t="e">
        <f>IF($F251="","",$F251*chronic_consumption!J251/1000/$C$3)</f>
        <v>#DIV/0!</v>
      </c>
      <c r="P251" s="974" t="e">
        <f>IF($F251="","",$F251*chronic_consumption!K251/1000/$C$3)</f>
        <v>#DIV/0!</v>
      </c>
      <c r="Q251" s="974" t="e">
        <f>IF($F251="","",$F251*chronic_consumption!L251/1000/$C$3)</f>
        <v>#DIV/0!</v>
      </c>
      <c r="R251" s="974" t="e">
        <f>IF($F251="","",$F251*chronic_consumption!M251/1000/$C$3)</f>
        <v>#DIV/0!</v>
      </c>
      <c r="S251" s="974" t="e">
        <f>IF($F251="","",$F251*chronic_consumption!N251/1000/$C$3)</f>
        <v>#DIV/0!</v>
      </c>
      <c r="T251" s="974" t="e">
        <f>IF($F251="","",$F251*chronic_consumption!O251/1000/$C$3)</f>
        <v>#DIV/0!</v>
      </c>
      <c r="U251" s="974" t="e">
        <f>IF($F251="","",$F251*chronic_consumption!P251/1000/$C$3)</f>
        <v>#DIV/0!</v>
      </c>
      <c r="V251" s="974" t="e">
        <f>IF($F251="","",$F251*chronic_consumption!Q251/1000/$C$3)</f>
        <v>#DIV/0!</v>
      </c>
      <c r="W251" s="974" t="e">
        <f>IF($F251="","",$F251*chronic_consumption!R251/1000/$C$3)</f>
        <v>#DIV/0!</v>
      </c>
      <c r="X251" s="974" t="e">
        <f>IF($F251="","",$F251*chronic_consumption!S251/1000/$C$3)</f>
        <v>#DIV/0!</v>
      </c>
      <c r="Y251" s="974" t="e">
        <f>IF($F251="","",$F251*chronic_consumption!T251/1000/$C$3)</f>
        <v>#DIV/0!</v>
      </c>
      <c r="Z251" s="974" t="e">
        <f>IF($F251="","",$F251*chronic_consumption!U251/1000/$C$3)</f>
        <v>#DIV/0!</v>
      </c>
      <c r="AA251" s="974" t="e">
        <f>IF($F251="","",$F251*chronic_consumption!V251/1000/$C$3)</f>
        <v>#DIV/0!</v>
      </c>
      <c r="AB251" s="974" t="e">
        <f>IF($F251="","",$F251*chronic_consumption!W251/1000/$C$3)</f>
        <v>#DIV/0!</v>
      </c>
      <c r="AC251" s="974" t="e">
        <f>IF($F251="","",$F251*chronic_consumption!X251/1000/$C$3)</f>
        <v>#DIV/0!</v>
      </c>
      <c r="AD251" s="974" t="e">
        <f>IF($F251="","",$F251*chronic_consumption!Y251/1000/$C$3)</f>
        <v>#DIV/0!</v>
      </c>
      <c r="AE251" s="974" t="e">
        <f>IF($F251="","",$F251*chronic_consumption!Z251/1000/$C$3)</f>
        <v>#DIV/0!</v>
      </c>
      <c r="AF251" s="974" t="e">
        <f>IF($F251="","",$F251*chronic_consumption!AA251/1000/$C$3)</f>
        <v>#DIV/0!</v>
      </c>
      <c r="AG251" s="974" t="e">
        <f>IF($F251="","",$F251*chronic_consumption!AB251/1000/$C$3)</f>
        <v>#DIV/0!</v>
      </c>
      <c r="AH251" s="974" t="e">
        <f>IF($F251="","",$F251*chronic_consumption!AC251/1000/$C$3)</f>
        <v>#DIV/0!</v>
      </c>
      <c r="AI251" s="974" t="e">
        <f>IF($F251="","",$F251*chronic_consumption!AD251/1000/$C$3)</f>
        <v>#DIV/0!</v>
      </c>
      <c r="AJ251" s="974" t="e">
        <f>IF($F251="","",$F251*chronic_consumption!AE251/1000/$C$3)</f>
        <v>#DIV/0!</v>
      </c>
      <c r="AK251" s="974" t="e">
        <f>IF($F251="","",$F251*chronic_consumption!AF251/1000/$C$3)</f>
        <v>#DIV/0!</v>
      </c>
      <c r="AL251" s="974" t="e">
        <f>IF($F251="","",$F251*chronic_consumption!AG251/1000/$C$3)</f>
        <v>#DIV/0!</v>
      </c>
      <c r="AM251" s="974" t="e">
        <f>IF($F251="","",$F251*chronic_consumption!AH251/1000/$C$3)</f>
        <v>#DIV/0!</v>
      </c>
      <c r="AN251" s="974" t="e">
        <f>IF($F251="","",$F251*chronic_consumption!AI251/1000/$C$3)</f>
        <v>#DIV/0!</v>
      </c>
      <c r="AO251" s="974" t="e">
        <f>IF($F251="","",$F251*chronic_consumption!AJ251/1000/$C$3)</f>
        <v>#DIV/0!</v>
      </c>
      <c r="AP251" s="974" t="e">
        <f>IF($F251="","",$F251*chronic_consumption!AK251/1000/$C$3)</f>
        <v>#DIV/0!</v>
      </c>
      <c r="AQ251" s="974" t="e">
        <f>IF($F251="","",$F251*chronic_consumption!AL251/1000/$C$3)</f>
        <v>#DIV/0!</v>
      </c>
      <c r="AR251" s="974" t="e">
        <f>IF($F251="","",$F251*chronic_consumption!AM251/1000/$C$3)</f>
        <v>#DIV/0!</v>
      </c>
      <c r="AS251" s="974" t="e">
        <f>IF($F251="","",$F251*chronic_consumption!AN251/1000/$C$3)</f>
        <v>#DIV/0!</v>
      </c>
      <c r="AT251" s="974" t="e">
        <f>IF($F251="","",$F251*chronic_consumption!AO251/1000/$C$3)</f>
        <v>#DIV/0!</v>
      </c>
      <c r="AU251" s="974"/>
      <c r="AV251" s="974" t="e">
        <f>IF($F251="","",$F251*chronic_consumption!AQ251/1000/$C$3)</f>
        <v>#DIV/0!</v>
      </c>
      <c r="AW251" s="974" t="e">
        <f>IF($F251="","",$F251*chronic_consumption!AR251/1000/$C$3)</f>
        <v>#DIV/0!</v>
      </c>
      <c r="AX251" s="974" t="e">
        <f>IF($F251="","",$F251*chronic_consumption!AS251/1000/$C$3)</f>
        <v>#DIV/0!</v>
      </c>
      <c r="AY251" s="974" t="e">
        <f>IF($F251="","",$F251*chronic_consumption!AT251/1000/$C$3)</f>
        <v>#DIV/0!</v>
      </c>
      <c r="AZ251" s="973" t="s">
        <v>19</v>
      </c>
      <c r="BA251" s="969" t="e">
        <f t="shared" si="19"/>
        <v>#DIV/0!</v>
      </c>
      <c r="BB251" s="970" t="e">
        <f t="shared" si="20"/>
        <v>#DIV/0!</v>
      </c>
      <c r="BC251" s="971" t="e">
        <f t="shared" ca="1" si="21"/>
        <v>#DIV/0!</v>
      </c>
      <c r="BD251" s="228">
        <f>input_values!Z251</f>
        <v>4</v>
      </c>
      <c r="BE251" s="152">
        <f>input_values!L251</f>
        <v>0</v>
      </c>
      <c r="BF251" s="972" t="str">
        <f t="shared" si="22"/>
        <v/>
      </c>
    </row>
    <row r="252" spans="1:58" ht="12" customHeight="1" outlineLevel="3" x14ac:dyDescent="0.2">
      <c r="A252" s="21">
        <v>4</v>
      </c>
      <c r="B252" s="23">
        <v>500990</v>
      </c>
      <c r="C252" s="23" t="s">
        <v>765</v>
      </c>
      <c r="D252" s="965">
        <f>Table22[[#This Row],[MRL individual commodity]]</f>
        <v>0</v>
      </c>
      <c r="E252" s="300" t="str">
        <f>Table22[[#This Row],[LOQ_label]]</f>
        <v/>
      </c>
      <c r="F252" s="966">
        <f>Table22[[#This Row],[Chronic RA input value]]</f>
        <v>0</v>
      </c>
      <c r="G252" s="304" t="str">
        <f>Table22[[#This Row],[Chronic RA label]]</f>
        <v/>
      </c>
      <c r="H252" s="304">
        <f>Table22[[#This Row],[GAP under assessment]]</f>
        <v>0</v>
      </c>
      <c r="I252" s="1123"/>
      <c r="J252" s="974" t="e">
        <f>IF($F252="","",$F252*chronic_consumption!$E252/1000/$C$3)</f>
        <v>#DIV/0!</v>
      </c>
      <c r="K252" s="974" t="e">
        <f>IF($F252="","",$F252*chronic_consumption!F252/1000/$C$3)</f>
        <v>#DIV/0!</v>
      </c>
      <c r="L252" s="974" t="e">
        <f>IF($F252="","",$F252*chronic_consumption!G252/1000/$C$3)</f>
        <v>#DIV/0!</v>
      </c>
      <c r="M252" s="974" t="e">
        <f>IF($F252="","",$F252*chronic_consumption!H252/1000/$C$3)</f>
        <v>#DIV/0!</v>
      </c>
      <c r="N252" s="974" t="e">
        <f>IF($F252="","",$F252*chronic_consumption!I252/1000/$C$3)</f>
        <v>#DIV/0!</v>
      </c>
      <c r="O252" s="974" t="e">
        <f>IF($F252="","",$F252*chronic_consumption!J252/1000/$C$3)</f>
        <v>#DIV/0!</v>
      </c>
      <c r="P252" s="974" t="e">
        <f>IF($F252="","",$F252*chronic_consumption!K252/1000/$C$3)</f>
        <v>#DIV/0!</v>
      </c>
      <c r="Q252" s="974" t="e">
        <f>IF($F252="","",$F252*chronic_consumption!L252/1000/$C$3)</f>
        <v>#DIV/0!</v>
      </c>
      <c r="R252" s="974" t="e">
        <f>IF($F252="","",$F252*chronic_consumption!M252/1000/$C$3)</f>
        <v>#DIV/0!</v>
      </c>
      <c r="S252" s="974" t="e">
        <f>IF($F252="","",$F252*chronic_consumption!N252/1000/$C$3)</f>
        <v>#DIV/0!</v>
      </c>
      <c r="T252" s="974" t="e">
        <f>IF($F252="","",$F252*chronic_consumption!O252/1000/$C$3)</f>
        <v>#DIV/0!</v>
      </c>
      <c r="U252" s="974" t="e">
        <f>IF($F252="","",$F252*chronic_consumption!P252/1000/$C$3)</f>
        <v>#DIV/0!</v>
      </c>
      <c r="V252" s="974" t="e">
        <f>IF($F252="","",$F252*chronic_consumption!Q252/1000/$C$3)</f>
        <v>#DIV/0!</v>
      </c>
      <c r="W252" s="974" t="e">
        <f>IF($F252="","",$F252*chronic_consumption!R252/1000/$C$3)</f>
        <v>#DIV/0!</v>
      </c>
      <c r="X252" s="974" t="e">
        <f>IF($F252="","",$F252*chronic_consumption!S252/1000/$C$3)</f>
        <v>#DIV/0!</v>
      </c>
      <c r="Y252" s="974" t="e">
        <f>IF($F252="","",$F252*chronic_consumption!T252/1000/$C$3)</f>
        <v>#DIV/0!</v>
      </c>
      <c r="Z252" s="974" t="e">
        <f>IF($F252="","",$F252*chronic_consumption!U252/1000/$C$3)</f>
        <v>#DIV/0!</v>
      </c>
      <c r="AA252" s="974" t="e">
        <f>IF($F252="","",$F252*chronic_consumption!V252/1000/$C$3)</f>
        <v>#DIV/0!</v>
      </c>
      <c r="AB252" s="974" t="e">
        <f>IF($F252="","",$F252*chronic_consumption!W252/1000/$C$3)</f>
        <v>#DIV/0!</v>
      </c>
      <c r="AC252" s="974" t="e">
        <f>IF($F252="","",$F252*chronic_consumption!X252/1000/$C$3)</f>
        <v>#DIV/0!</v>
      </c>
      <c r="AD252" s="974" t="e">
        <f>IF($F252="","",$F252*chronic_consumption!Y252/1000/$C$3)</f>
        <v>#DIV/0!</v>
      </c>
      <c r="AE252" s="974" t="e">
        <f>IF($F252="","",$F252*chronic_consumption!Z252/1000/$C$3)</f>
        <v>#DIV/0!</v>
      </c>
      <c r="AF252" s="974" t="e">
        <f>IF($F252="","",$F252*chronic_consumption!AA252/1000/$C$3)</f>
        <v>#DIV/0!</v>
      </c>
      <c r="AG252" s="974" t="e">
        <f>IF($F252="","",$F252*chronic_consumption!AB252/1000/$C$3)</f>
        <v>#DIV/0!</v>
      </c>
      <c r="AH252" s="974" t="e">
        <f>IF($F252="","",$F252*chronic_consumption!AC252/1000/$C$3)</f>
        <v>#DIV/0!</v>
      </c>
      <c r="AI252" s="974" t="e">
        <f>IF($F252="","",$F252*chronic_consumption!AD252/1000/$C$3)</f>
        <v>#DIV/0!</v>
      </c>
      <c r="AJ252" s="974" t="e">
        <f>IF($F252="","",$F252*chronic_consumption!AE252/1000/$C$3)</f>
        <v>#DIV/0!</v>
      </c>
      <c r="AK252" s="974" t="e">
        <f>IF($F252="","",$F252*chronic_consumption!AF252/1000/$C$3)</f>
        <v>#DIV/0!</v>
      </c>
      <c r="AL252" s="974" t="e">
        <f>IF($F252="","",$F252*chronic_consumption!AG252/1000/$C$3)</f>
        <v>#DIV/0!</v>
      </c>
      <c r="AM252" s="974" t="e">
        <f>IF($F252="","",$F252*chronic_consumption!AH252/1000/$C$3)</f>
        <v>#DIV/0!</v>
      </c>
      <c r="AN252" s="974" t="e">
        <f>IF($F252="","",$F252*chronic_consumption!AI252/1000/$C$3)</f>
        <v>#DIV/0!</v>
      </c>
      <c r="AO252" s="974" t="e">
        <f>IF($F252="","",$F252*chronic_consumption!AJ252/1000/$C$3)</f>
        <v>#DIV/0!</v>
      </c>
      <c r="AP252" s="974" t="e">
        <f>IF($F252="","",$F252*chronic_consumption!AK252/1000/$C$3)</f>
        <v>#DIV/0!</v>
      </c>
      <c r="AQ252" s="974" t="e">
        <f>IF($F252="","",$F252*chronic_consumption!AL252/1000/$C$3)</f>
        <v>#DIV/0!</v>
      </c>
      <c r="AR252" s="974" t="e">
        <f>IF($F252="","",$F252*chronic_consumption!AM252/1000/$C$3)</f>
        <v>#DIV/0!</v>
      </c>
      <c r="AS252" s="974" t="e">
        <f>IF($F252="","",$F252*chronic_consumption!AN252/1000/$C$3)</f>
        <v>#DIV/0!</v>
      </c>
      <c r="AT252" s="974" t="e">
        <f>IF($F252="","",$F252*chronic_consumption!AO252/1000/$C$3)</f>
        <v>#DIV/0!</v>
      </c>
      <c r="AU252" s="974"/>
      <c r="AV252" s="974" t="e">
        <f>IF($F252="","",$F252*chronic_consumption!AQ252/1000/$C$3)</f>
        <v>#DIV/0!</v>
      </c>
      <c r="AW252" s="974" t="e">
        <f>IF($F252="","",$F252*chronic_consumption!AR252/1000/$C$3)</f>
        <v>#DIV/0!</v>
      </c>
      <c r="AX252" s="974" t="e">
        <f>IF($F252="","",$F252*chronic_consumption!AS252/1000/$C$3)</f>
        <v>#DIV/0!</v>
      </c>
      <c r="AY252" s="974" t="e">
        <f>IF($F252="","",$F252*chronic_consumption!AT252/1000/$C$3)</f>
        <v>#DIV/0!</v>
      </c>
      <c r="AZ252" s="973" t="s">
        <v>19</v>
      </c>
      <c r="BA252" s="969" t="e">
        <f t="shared" si="19"/>
        <v>#DIV/0!</v>
      </c>
      <c r="BB252" s="970" t="e">
        <f t="shared" si="20"/>
        <v>#DIV/0!</v>
      </c>
      <c r="BC252" s="971" t="e">
        <f t="shared" ca="1" si="21"/>
        <v>#DIV/0!</v>
      </c>
      <c r="BD252" s="228">
        <f>input_values!Z252</f>
        <v>4</v>
      </c>
      <c r="BE252" s="152">
        <f>input_values!L252</f>
        <v>0</v>
      </c>
      <c r="BF252" s="972" t="str">
        <f t="shared" si="22"/>
        <v/>
      </c>
    </row>
    <row r="253" spans="1:58" ht="12" customHeight="1" x14ac:dyDescent="0.2">
      <c r="A253" s="299">
        <v>1</v>
      </c>
      <c r="B253" s="127">
        <v>600000</v>
      </c>
      <c r="C253" s="127" t="s">
        <v>351</v>
      </c>
      <c r="D253" s="965">
        <f>Table22[[#This Row],[MRL individual commodity]]</f>
        <v>0</v>
      </c>
      <c r="E253" s="300">
        <f>Table22[[#This Row],[LOQ_label]]</f>
        <v>0</v>
      </c>
      <c r="F253" s="966">
        <f>Table22[[#This Row],[Chronic RA input value]]</f>
        <v>0</v>
      </c>
      <c r="G253" s="304">
        <f>Table22[[#This Row],[Chronic RA label]]</f>
        <v>0</v>
      </c>
      <c r="H253" s="304">
        <f>Table22[[#This Row],[GAP under assessment]]</f>
        <v>0</v>
      </c>
      <c r="I253" s="1123"/>
      <c r="J253" s="967" t="e">
        <f>IF($F253="","",$F253*chronic_consumption!$E253/1000/$C$3)</f>
        <v>#DIV/0!</v>
      </c>
      <c r="K253" s="967" t="e">
        <f>IF($F253="","",$F253*chronic_consumption!F253/1000/$C$3)</f>
        <v>#DIV/0!</v>
      </c>
      <c r="L253" s="967" t="e">
        <f>IF($F253="","",$F253*chronic_consumption!G253/1000/$C$3)</f>
        <v>#DIV/0!</v>
      </c>
      <c r="M253" s="967" t="e">
        <f>IF($F253="","",$F253*chronic_consumption!H253/1000/$C$3)</f>
        <v>#DIV/0!</v>
      </c>
      <c r="N253" s="967" t="e">
        <f>IF($F253="","",$F253*chronic_consumption!I253/1000/$C$3)</f>
        <v>#DIV/0!</v>
      </c>
      <c r="O253" s="967" t="e">
        <f>IF($F253="","",$F253*chronic_consumption!J253/1000/$C$3)</f>
        <v>#DIV/0!</v>
      </c>
      <c r="P253" s="967" t="e">
        <f>IF($F253="","",$F253*chronic_consumption!K253/1000/$C$3)</f>
        <v>#DIV/0!</v>
      </c>
      <c r="Q253" s="967" t="e">
        <f>IF($F253="","",$F253*chronic_consumption!L253/1000/$C$3)</f>
        <v>#DIV/0!</v>
      </c>
      <c r="R253" s="967" t="e">
        <f>IF($F253="","",$F253*chronic_consumption!M253/1000/$C$3)</f>
        <v>#DIV/0!</v>
      </c>
      <c r="S253" s="967" t="e">
        <f>IF($F253="","",$F253*chronic_consumption!N253/1000/$C$3)</f>
        <v>#DIV/0!</v>
      </c>
      <c r="T253" s="967" t="e">
        <f>IF($F253="","",$F253*chronic_consumption!O253/1000/$C$3)</f>
        <v>#DIV/0!</v>
      </c>
      <c r="U253" s="967" t="e">
        <f>IF($F253="","",$F253*chronic_consumption!P253/1000/$C$3)</f>
        <v>#DIV/0!</v>
      </c>
      <c r="V253" s="967" t="e">
        <f>IF($F253="","",$F253*chronic_consumption!Q253/1000/$C$3)</f>
        <v>#DIV/0!</v>
      </c>
      <c r="W253" s="967" t="e">
        <f>IF($F253="","",$F253*chronic_consumption!R253/1000/$C$3)</f>
        <v>#DIV/0!</v>
      </c>
      <c r="X253" s="967" t="e">
        <f>IF($F253="","",$F253*chronic_consumption!S253/1000/$C$3)</f>
        <v>#DIV/0!</v>
      </c>
      <c r="Y253" s="967" t="e">
        <f>IF($F253="","",$F253*chronic_consumption!T253/1000/$C$3)</f>
        <v>#DIV/0!</v>
      </c>
      <c r="Z253" s="967" t="e">
        <f>IF($F253="","",$F253*chronic_consumption!U253/1000/$C$3)</f>
        <v>#DIV/0!</v>
      </c>
      <c r="AA253" s="967" t="e">
        <f>IF($F253="","",$F253*chronic_consumption!V253/1000/$C$3)</f>
        <v>#DIV/0!</v>
      </c>
      <c r="AB253" s="967" t="e">
        <f>IF($F253="","",$F253*chronic_consumption!W253/1000/$C$3)</f>
        <v>#DIV/0!</v>
      </c>
      <c r="AC253" s="967" t="e">
        <f>IF($F253="","",$F253*chronic_consumption!X253/1000/$C$3)</f>
        <v>#DIV/0!</v>
      </c>
      <c r="AD253" s="967" t="e">
        <f>IF($F253="","",$F253*chronic_consumption!Y253/1000/$C$3)</f>
        <v>#DIV/0!</v>
      </c>
      <c r="AE253" s="967" t="e">
        <f>IF($F253="","",$F253*chronic_consumption!Z253/1000/$C$3)</f>
        <v>#DIV/0!</v>
      </c>
      <c r="AF253" s="967" t="e">
        <f>IF($F253="","",$F253*chronic_consumption!AA253/1000/$C$3)</f>
        <v>#DIV/0!</v>
      </c>
      <c r="AG253" s="967" t="e">
        <f>IF($F253="","",$F253*chronic_consumption!AB253/1000/$C$3)</f>
        <v>#DIV/0!</v>
      </c>
      <c r="AH253" s="967" t="e">
        <f>IF($F253="","",$F253*chronic_consumption!AC253/1000/$C$3)</f>
        <v>#DIV/0!</v>
      </c>
      <c r="AI253" s="967" t="e">
        <f>IF($F253="","",$F253*chronic_consumption!AD253/1000/$C$3)</f>
        <v>#DIV/0!</v>
      </c>
      <c r="AJ253" s="967" t="e">
        <f>IF($F253="","",$F253*chronic_consumption!AE253/1000/$C$3)</f>
        <v>#DIV/0!</v>
      </c>
      <c r="AK253" s="967" t="e">
        <f>IF($F253="","",$F253*chronic_consumption!AF253/1000/$C$3)</f>
        <v>#DIV/0!</v>
      </c>
      <c r="AL253" s="967" t="e">
        <f>IF($F253="","",$F253*chronic_consumption!AG253/1000/$C$3)</f>
        <v>#DIV/0!</v>
      </c>
      <c r="AM253" s="967" t="e">
        <f>IF($F253="","",$F253*chronic_consumption!AH253/1000/$C$3)</f>
        <v>#DIV/0!</v>
      </c>
      <c r="AN253" s="967" t="e">
        <f>IF($F253="","",$F253*chronic_consumption!AI253/1000/$C$3)</f>
        <v>#DIV/0!</v>
      </c>
      <c r="AO253" s="967" t="e">
        <f>IF($F253="","",$F253*chronic_consumption!AJ253/1000/$C$3)</f>
        <v>#DIV/0!</v>
      </c>
      <c r="AP253" s="967" t="e">
        <f>IF($F253="","",$F253*chronic_consumption!AK253/1000/$C$3)</f>
        <v>#DIV/0!</v>
      </c>
      <c r="AQ253" s="967" t="e">
        <f>IF($F253="","",$F253*chronic_consumption!AL253/1000/$C$3)</f>
        <v>#DIV/0!</v>
      </c>
      <c r="AR253" s="967" t="e">
        <f>IF($F253="","",$F253*chronic_consumption!AM253/1000/$C$3)</f>
        <v>#DIV/0!</v>
      </c>
      <c r="AS253" s="967" t="e">
        <f>IF($F253="","",$F253*chronic_consumption!AN253/1000/$C$3)</f>
        <v>#DIV/0!</v>
      </c>
      <c r="AT253" s="967" t="e">
        <f>IF($F253="","",$F253*chronic_consumption!AO253/1000/$C$3)</f>
        <v>#DIV/0!</v>
      </c>
      <c r="AU253" s="967"/>
      <c r="AV253" s="967" t="e">
        <f>IF($F253="","",$F253*chronic_consumption!AQ253/1000/$C$3)</f>
        <v>#DIV/0!</v>
      </c>
      <c r="AW253" s="967" t="e">
        <f>IF($F253="","",$F253*chronic_consumption!AR253/1000/$C$3)</f>
        <v>#DIV/0!</v>
      </c>
      <c r="AX253" s="967" t="e">
        <f>IF($F253="","",$F253*chronic_consumption!AS253/1000/$C$3)</f>
        <v>#DIV/0!</v>
      </c>
      <c r="AY253" s="967" t="e">
        <f>IF($F253="","",$F253*chronic_consumption!AT253/1000/$C$3)</f>
        <v>#DIV/0!</v>
      </c>
      <c r="AZ253" s="973"/>
      <c r="BA253" s="969" t="e">
        <f t="shared" si="19"/>
        <v>#DIV/0!</v>
      </c>
      <c r="BB253" s="970" t="e">
        <f t="shared" si="20"/>
        <v>#DIV/0!</v>
      </c>
      <c r="BC253" s="971" t="e">
        <f t="shared" ca="1" si="21"/>
        <v>#DIV/0!</v>
      </c>
      <c r="BD253" s="228">
        <f>input_values!Z253</f>
        <v>2</v>
      </c>
      <c r="BE253" s="152">
        <f>input_values!L253</f>
        <v>0</v>
      </c>
      <c r="BF253" s="972" t="str">
        <f t="shared" si="22"/>
        <v/>
      </c>
    </row>
    <row r="254" spans="1:58" ht="12" customHeight="1" outlineLevel="1" x14ac:dyDescent="0.2">
      <c r="A254" s="314">
        <v>2</v>
      </c>
      <c r="B254" s="131">
        <v>610000</v>
      </c>
      <c r="C254" s="131" t="s">
        <v>678</v>
      </c>
      <c r="D254" s="965">
        <f>Table22[[#This Row],[MRL individual commodity]]</f>
        <v>0</v>
      </c>
      <c r="E254" s="300" t="str">
        <f>Table22[[#This Row],[LOQ_label]]</f>
        <v/>
      </c>
      <c r="F254" s="966">
        <f>Table22[[#This Row],[Chronic RA input value]]</f>
        <v>0</v>
      </c>
      <c r="G254" s="304" t="str">
        <f>Table22[[#This Row],[Chronic RA label]]</f>
        <v/>
      </c>
      <c r="H254" s="304">
        <f>Table22[[#This Row],[GAP under assessment]]</f>
        <v>0</v>
      </c>
      <c r="I254" s="1123"/>
      <c r="J254" s="974" t="e">
        <f>IF($F254="","",$F254*chronic_consumption!$E254/1000/$C$3)</f>
        <v>#DIV/0!</v>
      </c>
      <c r="K254" s="974" t="e">
        <f>IF($F254="","",$F254*chronic_consumption!F254/1000/$C$3)</f>
        <v>#DIV/0!</v>
      </c>
      <c r="L254" s="974" t="e">
        <f>IF($F254="","",$F254*chronic_consumption!G254/1000/$C$3)</f>
        <v>#DIV/0!</v>
      </c>
      <c r="M254" s="974" t="e">
        <f>IF($F254="","",$F254*chronic_consumption!H254/1000/$C$3)</f>
        <v>#DIV/0!</v>
      </c>
      <c r="N254" s="974" t="e">
        <f>IF($F254="","",$F254*chronic_consumption!I254/1000/$C$3)</f>
        <v>#DIV/0!</v>
      </c>
      <c r="O254" s="974" t="e">
        <f>IF($F254="","",$F254*chronic_consumption!J254/1000/$C$3)</f>
        <v>#DIV/0!</v>
      </c>
      <c r="P254" s="974" t="e">
        <f>IF($F254="","",$F254*chronic_consumption!K254/1000/$C$3)</f>
        <v>#DIV/0!</v>
      </c>
      <c r="Q254" s="974" t="e">
        <f>IF($F254="","",$F254*chronic_consumption!L254/1000/$C$3)</f>
        <v>#DIV/0!</v>
      </c>
      <c r="R254" s="974" t="e">
        <f>IF($F254="","",$F254*chronic_consumption!M254/1000/$C$3)</f>
        <v>#DIV/0!</v>
      </c>
      <c r="S254" s="974" t="e">
        <f>IF($F254="","",$F254*chronic_consumption!N254/1000/$C$3)</f>
        <v>#DIV/0!</v>
      </c>
      <c r="T254" s="974" t="e">
        <f>IF($F254="","",$F254*chronic_consumption!O254/1000/$C$3)</f>
        <v>#DIV/0!</v>
      </c>
      <c r="U254" s="974" t="e">
        <f>IF($F254="","",$F254*chronic_consumption!P254/1000/$C$3)</f>
        <v>#DIV/0!</v>
      </c>
      <c r="V254" s="974" t="e">
        <f>IF($F254="","",$F254*chronic_consumption!Q254/1000/$C$3)</f>
        <v>#DIV/0!</v>
      </c>
      <c r="W254" s="974" t="e">
        <f>IF($F254="","",$F254*chronic_consumption!R254/1000/$C$3)</f>
        <v>#DIV/0!</v>
      </c>
      <c r="X254" s="974" t="e">
        <f>IF($F254="","",$F254*chronic_consumption!S254/1000/$C$3)</f>
        <v>#DIV/0!</v>
      </c>
      <c r="Y254" s="974" t="e">
        <f>IF($F254="","",$F254*chronic_consumption!T254/1000/$C$3)</f>
        <v>#DIV/0!</v>
      </c>
      <c r="Z254" s="974" t="e">
        <f>IF($F254="","",$F254*chronic_consumption!U254/1000/$C$3)</f>
        <v>#DIV/0!</v>
      </c>
      <c r="AA254" s="974" t="e">
        <f>IF($F254="","",$F254*chronic_consumption!V254/1000/$C$3)</f>
        <v>#DIV/0!</v>
      </c>
      <c r="AB254" s="974" t="e">
        <f>IF($F254="","",$F254*chronic_consumption!W254/1000/$C$3)</f>
        <v>#DIV/0!</v>
      </c>
      <c r="AC254" s="974" t="e">
        <f>IF($F254="","",$F254*chronic_consumption!X254/1000/$C$3)</f>
        <v>#DIV/0!</v>
      </c>
      <c r="AD254" s="974" t="e">
        <f>IF($F254="","",$F254*chronic_consumption!Y254/1000/$C$3)</f>
        <v>#DIV/0!</v>
      </c>
      <c r="AE254" s="974" t="e">
        <f>IF($F254="","",$F254*chronic_consumption!Z254/1000/$C$3)</f>
        <v>#DIV/0!</v>
      </c>
      <c r="AF254" s="974" t="e">
        <f>IF($F254="","",$F254*chronic_consumption!AA254/1000/$C$3)</f>
        <v>#DIV/0!</v>
      </c>
      <c r="AG254" s="974" t="e">
        <f>IF($F254="","",$F254*chronic_consumption!AB254/1000/$C$3)</f>
        <v>#DIV/0!</v>
      </c>
      <c r="AH254" s="974" t="e">
        <f>IF($F254="","",$F254*chronic_consumption!AC254/1000/$C$3)</f>
        <v>#DIV/0!</v>
      </c>
      <c r="AI254" s="974" t="e">
        <f>IF($F254="","",$F254*chronic_consumption!AD254/1000/$C$3)</f>
        <v>#DIV/0!</v>
      </c>
      <c r="AJ254" s="974" t="e">
        <f>IF($F254="","",$F254*chronic_consumption!AE254/1000/$C$3)</f>
        <v>#DIV/0!</v>
      </c>
      <c r="AK254" s="974" t="e">
        <f>IF($F254="","",$F254*chronic_consumption!AF254/1000/$C$3)</f>
        <v>#DIV/0!</v>
      </c>
      <c r="AL254" s="974" t="e">
        <f>IF($F254="","",$F254*chronic_consumption!AG254/1000/$C$3)</f>
        <v>#DIV/0!</v>
      </c>
      <c r="AM254" s="974" t="e">
        <f>IF($F254="","",$F254*chronic_consumption!AH254/1000/$C$3)</f>
        <v>#DIV/0!</v>
      </c>
      <c r="AN254" s="974" t="e">
        <f>IF($F254="","",$F254*chronic_consumption!AI254/1000/$C$3)</f>
        <v>#DIV/0!</v>
      </c>
      <c r="AO254" s="974" t="e">
        <f>IF($F254="","",$F254*chronic_consumption!AJ254/1000/$C$3)</f>
        <v>#DIV/0!</v>
      </c>
      <c r="AP254" s="974" t="e">
        <f>IF($F254="","",$F254*chronic_consumption!AK254/1000/$C$3)</f>
        <v>#DIV/0!</v>
      </c>
      <c r="AQ254" s="974" t="e">
        <f>IF($F254="","",$F254*chronic_consumption!AL254/1000/$C$3)</f>
        <v>#DIV/0!</v>
      </c>
      <c r="AR254" s="974" t="e">
        <f>IF($F254="","",$F254*chronic_consumption!AM254/1000/$C$3)</f>
        <v>#DIV/0!</v>
      </c>
      <c r="AS254" s="974" t="e">
        <f>IF($F254="","",$F254*chronic_consumption!AN254/1000/$C$3)</f>
        <v>#DIV/0!</v>
      </c>
      <c r="AT254" s="974" t="e">
        <f>IF($F254="","",$F254*chronic_consumption!AO254/1000/$C$3)</f>
        <v>#DIV/0!</v>
      </c>
      <c r="AU254" s="974"/>
      <c r="AV254" s="974" t="e">
        <f>IF($F254="","",$F254*chronic_consumption!AQ254/1000/$C$3)</f>
        <v>#DIV/0!</v>
      </c>
      <c r="AW254" s="974" t="e">
        <f>IF($F254="","",$F254*chronic_consumption!AR254/1000/$C$3)</f>
        <v>#DIV/0!</v>
      </c>
      <c r="AX254" s="974" t="e">
        <f>IF($F254="","",$F254*chronic_consumption!AS254/1000/$C$3)</f>
        <v>#DIV/0!</v>
      </c>
      <c r="AY254" s="974" t="e">
        <f>IF($F254="","",$F254*chronic_consumption!AT254/1000/$C$3)</f>
        <v>#DIV/0!</v>
      </c>
      <c r="AZ254" s="973" t="s">
        <v>19</v>
      </c>
      <c r="BA254" s="969" t="e">
        <f t="shared" si="19"/>
        <v>#DIV/0!</v>
      </c>
      <c r="BB254" s="970" t="e">
        <f t="shared" si="20"/>
        <v>#DIV/0!</v>
      </c>
      <c r="BC254" s="971" t="e">
        <f t="shared" ca="1" si="21"/>
        <v>#DIV/0!</v>
      </c>
      <c r="BD254" s="228">
        <f>input_values!Z254</f>
        <v>2</v>
      </c>
      <c r="BE254" s="152">
        <f>input_values!L254</f>
        <v>0</v>
      </c>
      <c r="BF254" s="972" t="str">
        <f t="shared" si="22"/>
        <v/>
      </c>
    </row>
    <row r="255" spans="1:58" ht="12" customHeight="1" outlineLevel="1" x14ac:dyDescent="0.2">
      <c r="A255" s="314">
        <v>2</v>
      </c>
      <c r="B255" s="131">
        <v>620000</v>
      </c>
      <c r="C255" s="131" t="s">
        <v>143</v>
      </c>
      <c r="D255" s="965">
        <f>Table22[[#This Row],[MRL individual commodity]]</f>
        <v>0</v>
      </c>
      <c r="E255" s="300" t="str">
        <f>Table22[[#This Row],[LOQ_label]]</f>
        <v/>
      </c>
      <c r="F255" s="966">
        <f>Table22[[#This Row],[Chronic RA input value]]</f>
        <v>0</v>
      </c>
      <c r="G255" s="304" t="str">
        <f>Table22[[#This Row],[Chronic RA label]]</f>
        <v/>
      </c>
      <c r="H255" s="304">
        <f>Table22[[#This Row],[GAP under assessment]]</f>
        <v>0</v>
      </c>
      <c r="I255" s="1123"/>
      <c r="J255" s="974" t="e">
        <f>IF($F255="","",$F255*chronic_consumption!$E255/1000/$C$3)</f>
        <v>#DIV/0!</v>
      </c>
      <c r="K255" s="974" t="e">
        <f>IF($F255="","",$F255*chronic_consumption!F255/1000/$C$3)</f>
        <v>#DIV/0!</v>
      </c>
      <c r="L255" s="974" t="e">
        <f>IF($F255="","",$F255*chronic_consumption!G255/1000/$C$3)</f>
        <v>#DIV/0!</v>
      </c>
      <c r="M255" s="974" t="e">
        <f>IF($F255="","",$F255*chronic_consumption!H255/1000/$C$3)</f>
        <v>#DIV/0!</v>
      </c>
      <c r="N255" s="974" t="e">
        <f>IF($F255="","",$F255*chronic_consumption!I255/1000/$C$3)</f>
        <v>#DIV/0!</v>
      </c>
      <c r="O255" s="974" t="e">
        <f>IF($F255="","",$F255*chronic_consumption!J255/1000/$C$3)</f>
        <v>#DIV/0!</v>
      </c>
      <c r="P255" s="974" t="e">
        <f>IF($F255="","",$F255*chronic_consumption!K255/1000/$C$3)</f>
        <v>#DIV/0!</v>
      </c>
      <c r="Q255" s="974" t="e">
        <f>IF($F255="","",$F255*chronic_consumption!L255/1000/$C$3)</f>
        <v>#DIV/0!</v>
      </c>
      <c r="R255" s="974" t="e">
        <f>IF($F255="","",$F255*chronic_consumption!M255/1000/$C$3)</f>
        <v>#DIV/0!</v>
      </c>
      <c r="S255" s="974" t="e">
        <f>IF($F255="","",$F255*chronic_consumption!N255/1000/$C$3)</f>
        <v>#DIV/0!</v>
      </c>
      <c r="T255" s="974" t="e">
        <f>IF($F255="","",$F255*chronic_consumption!O255/1000/$C$3)</f>
        <v>#DIV/0!</v>
      </c>
      <c r="U255" s="974" t="e">
        <f>IF($F255="","",$F255*chronic_consumption!P255/1000/$C$3)</f>
        <v>#DIV/0!</v>
      </c>
      <c r="V255" s="974" t="e">
        <f>IF($F255="","",$F255*chronic_consumption!Q255/1000/$C$3)</f>
        <v>#DIV/0!</v>
      </c>
      <c r="W255" s="974" t="e">
        <f>IF($F255="","",$F255*chronic_consumption!R255/1000/$C$3)</f>
        <v>#DIV/0!</v>
      </c>
      <c r="X255" s="974" t="e">
        <f>IF($F255="","",$F255*chronic_consumption!S255/1000/$C$3)</f>
        <v>#DIV/0!</v>
      </c>
      <c r="Y255" s="974" t="e">
        <f>IF($F255="","",$F255*chronic_consumption!T255/1000/$C$3)</f>
        <v>#DIV/0!</v>
      </c>
      <c r="Z255" s="974" t="e">
        <f>IF($F255="","",$F255*chronic_consumption!U255/1000/$C$3)</f>
        <v>#DIV/0!</v>
      </c>
      <c r="AA255" s="974" t="e">
        <f>IF($F255="","",$F255*chronic_consumption!V255/1000/$C$3)</f>
        <v>#DIV/0!</v>
      </c>
      <c r="AB255" s="974" t="e">
        <f>IF($F255="","",$F255*chronic_consumption!W255/1000/$C$3)</f>
        <v>#DIV/0!</v>
      </c>
      <c r="AC255" s="974" t="e">
        <f>IF($F255="","",$F255*chronic_consumption!X255/1000/$C$3)</f>
        <v>#DIV/0!</v>
      </c>
      <c r="AD255" s="974" t="e">
        <f>IF($F255="","",$F255*chronic_consumption!Y255/1000/$C$3)</f>
        <v>#DIV/0!</v>
      </c>
      <c r="AE255" s="974" t="e">
        <f>IF($F255="","",$F255*chronic_consumption!Z255/1000/$C$3)</f>
        <v>#DIV/0!</v>
      </c>
      <c r="AF255" s="974" t="e">
        <f>IF($F255="","",$F255*chronic_consumption!AA255/1000/$C$3)</f>
        <v>#DIV/0!</v>
      </c>
      <c r="AG255" s="974" t="e">
        <f>IF($F255="","",$F255*chronic_consumption!AB255/1000/$C$3)</f>
        <v>#DIV/0!</v>
      </c>
      <c r="AH255" s="974" t="e">
        <f>IF($F255="","",$F255*chronic_consumption!AC255/1000/$C$3)</f>
        <v>#DIV/0!</v>
      </c>
      <c r="AI255" s="974" t="e">
        <f>IF($F255="","",$F255*chronic_consumption!AD255/1000/$C$3)</f>
        <v>#DIV/0!</v>
      </c>
      <c r="AJ255" s="974" t="e">
        <f>IF($F255="","",$F255*chronic_consumption!AE255/1000/$C$3)</f>
        <v>#DIV/0!</v>
      </c>
      <c r="AK255" s="974" t="e">
        <f>IF($F255="","",$F255*chronic_consumption!AF255/1000/$C$3)</f>
        <v>#DIV/0!</v>
      </c>
      <c r="AL255" s="974" t="e">
        <f>IF($F255="","",$F255*chronic_consumption!AG255/1000/$C$3)</f>
        <v>#DIV/0!</v>
      </c>
      <c r="AM255" s="974" t="e">
        <f>IF($F255="","",$F255*chronic_consumption!AH255/1000/$C$3)</f>
        <v>#DIV/0!</v>
      </c>
      <c r="AN255" s="974" t="e">
        <f>IF($F255="","",$F255*chronic_consumption!AI255/1000/$C$3)</f>
        <v>#DIV/0!</v>
      </c>
      <c r="AO255" s="974" t="e">
        <f>IF($F255="","",$F255*chronic_consumption!AJ255/1000/$C$3)</f>
        <v>#DIV/0!</v>
      </c>
      <c r="AP255" s="974" t="e">
        <f>IF($F255="","",$F255*chronic_consumption!AK255/1000/$C$3)</f>
        <v>#DIV/0!</v>
      </c>
      <c r="AQ255" s="974" t="e">
        <f>IF($F255="","",$F255*chronic_consumption!AL255/1000/$C$3)</f>
        <v>#DIV/0!</v>
      </c>
      <c r="AR255" s="974" t="e">
        <f>IF($F255="","",$F255*chronic_consumption!AM255/1000/$C$3)</f>
        <v>#DIV/0!</v>
      </c>
      <c r="AS255" s="974" t="e">
        <f>IF($F255="","",$F255*chronic_consumption!AN255/1000/$C$3)</f>
        <v>#DIV/0!</v>
      </c>
      <c r="AT255" s="974" t="e">
        <f>IF($F255="","",$F255*chronic_consumption!AO255/1000/$C$3)</f>
        <v>#DIV/0!</v>
      </c>
      <c r="AU255" s="974"/>
      <c r="AV255" s="974" t="e">
        <f>IF($F255="","",$F255*chronic_consumption!AQ255/1000/$C$3)</f>
        <v>#DIV/0!</v>
      </c>
      <c r="AW255" s="974" t="e">
        <f>IF($F255="","",$F255*chronic_consumption!AR255/1000/$C$3)</f>
        <v>#DIV/0!</v>
      </c>
      <c r="AX255" s="974" t="e">
        <f>IF($F255="","",$F255*chronic_consumption!AS255/1000/$C$3)</f>
        <v>#DIV/0!</v>
      </c>
      <c r="AY255" s="974" t="e">
        <f>IF($F255="","",$F255*chronic_consumption!AT255/1000/$C$3)</f>
        <v>#DIV/0!</v>
      </c>
      <c r="AZ255" s="973" t="s">
        <v>19</v>
      </c>
      <c r="BA255" s="969" t="e">
        <f t="shared" si="19"/>
        <v>#DIV/0!</v>
      </c>
      <c r="BB255" s="970" t="e">
        <f t="shared" si="20"/>
        <v>#DIV/0!</v>
      </c>
      <c r="BC255" s="971" t="e">
        <f t="shared" ca="1" si="21"/>
        <v>#DIV/0!</v>
      </c>
      <c r="BD255" s="228">
        <f>input_values!Z255</f>
        <v>2</v>
      </c>
      <c r="BE255" s="152">
        <f>input_values!L255</f>
        <v>0</v>
      </c>
      <c r="BF255" s="972" t="str">
        <f t="shared" si="22"/>
        <v/>
      </c>
    </row>
    <row r="256" spans="1:58" ht="12" customHeight="1" outlineLevel="1" x14ac:dyDescent="0.2">
      <c r="A256" s="314">
        <v>2</v>
      </c>
      <c r="B256" s="131">
        <v>630000</v>
      </c>
      <c r="C256" s="131" t="s">
        <v>365</v>
      </c>
      <c r="D256" s="965">
        <f>Table22[[#This Row],[MRL individual commodity]]</f>
        <v>0</v>
      </c>
      <c r="E256" s="300">
        <f>Table22[[#This Row],[LOQ_label]]</f>
        <v>0</v>
      </c>
      <c r="F256" s="966">
        <f>Table22[[#This Row],[Chronic RA input value]]</f>
        <v>0</v>
      </c>
      <c r="G256" s="304">
        <f>Table22[[#This Row],[Chronic RA label]]</f>
        <v>0</v>
      </c>
      <c r="H256" s="304">
        <f>Table22[[#This Row],[GAP under assessment]]</f>
        <v>0</v>
      </c>
      <c r="I256" s="1123"/>
      <c r="J256" s="967" t="e">
        <f>IF($F256="","",$F256*chronic_consumption!$E256/1000/$C$3)</f>
        <v>#DIV/0!</v>
      </c>
      <c r="K256" s="967" t="e">
        <f>IF($F256="","",$F256*chronic_consumption!F256/1000/$C$3)</f>
        <v>#DIV/0!</v>
      </c>
      <c r="L256" s="967" t="e">
        <f>IF($F256="","",$F256*chronic_consumption!G256/1000/$C$3)</f>
        <v>#DIV/0!</v>
      </c>
      <c r="M256" s="967" t="e">
        <f>IF($F256="","",$F256*chronic_consumption!H256/1000/$C$3)</f>
        <v>#DIV/0!</v>
      </c>
      <c r="N256" s="967" t="e">
        <f>IF($F256="","",$F256*chronic_consumption!I256/1000/$C$3)</f>
        <v>#DIV/0!</v>
      </c>
      <c r="O256" s="967" t="e">
        <f>IF($F256="","",$F256*chronic_consumption!J256/1000/$C$3)</f>
        <v>#DIV/0!</v>
      </c>
      <c r="P256" s="967" t="e">
        <f>IF($F256="","",$F256*chronic_consumption!K256/1000/$C$3)</f>
        <v>#DIV/0!</v>
      </c>
      <c r="Q256" s="967" t="e">
        <f>IF($F256="","",$F256*chronic_consumption!L256/1000/$C$3)</f>
        <v>#DIV/0!</v>
      </c>
      <c r="R256" s="967" t="e">
        <f>IF($F256="","",$F256*chronic_consumption!M256/1000/$C$3)</f>
        <v>#DIV/0!</v>
      </c>
      <c r="S256" s="967" t="e">
        <f>IF($F256="","",$F256*chronic_consumption!N256/1000/$C$3)</f>
        <v>#DIV/0!</v>
      </c>
      <c r="T256" s="967" t="e">
        <f>IF($F256="","",$F256*chronic_consumption!O256/1000/$C$3)</f>
        <v>#DIV/0!</v>
      </c>
      <c r="U256" s="967" t="e">
        <f>IF($F256="","",$F256*chronic_consumption!P256/1000/$C$3)</f>
        <v>#DIV/0!</v>
      </c>
      <c r="V256" s="967" t="e">
        <f>IF($F256="","",$F256*chronic_consumption!Q256/1000/$C$3)</f>
        <v>#DIV/0!</v>
      </c>
      <c r="W256" s="967" t="e">
        <f>IF($F256="","",$F256*chronic_consumption!R256/1000/$C$3)</f>
        <v>#DIV/0!</v>
      </c>
      <c r="X256" s="967" t="e">
        <f>IF($F256="","",$F256*chronic_consumption!S256/1000/$C$3)</f>
        <v>#DIV/0!</v>
      </c>
      <c r="Y256" s="967" t="e">
        <f>IF($F256="","",$F256*chronic_consumption!T256/1000/$C$3)</f>
        <v>#DIV/0!</v>
      </c>
      <c r="Z256" s="967" t="e">
        <f>IF($F256="","",$F256*chronic_consumption!U256/1000/$C$3)</f>
        <v>#DIV/0!</v>
      </c>
      <c r="AA256" s="967" t="e">
        <f>IF($F256="","",$F256*chronic_consumption!V256/1000/$C$3)</f>
        <v>#DIV/0!</v>
      </c>
      <c r="AB256" s="967" t="e">
        <f>IF($F256="","",$F256*chronic_consumption!W256/1000/$C$3)</f>
        <v>#DIV/0!</v>
      </c>
      <c r="AC256" s="967" t="e">
        <f>IF($F256="","",$F256*chronic_consumption!X256/1000/$C$3)</f>
        <v>#DIV/0!</v>
      </c>
      <c r="AD256" s="967" t="e">
        <f>IF($F256="","",$F256*chronic_consumption!Y256/1000/$C$3)</f>
        <v>#DIV/0!</v>
      </c>
      <c r="AE256" s="967" t="e">
        <f>IF($F256="","",$F256*chronic_consumption!Z256/1000/$C$3)</f>
        <v>#DIV/0!</v>
      </c>
      <c r="AF256" s="967" t="e">
        <f>IF($F256="","",$F256*chronic_consumption!AA256/1000/$C$3)</f>
        <v>#DIV/0!</v>
      </c>
      <c r="AG256" s="967" t="e">
        <f>IF($F256="","",$F256*chronic_consumption!AB256/1000/$C$3)</f>
        <v>#DIV/0!</v>
      </c>
      <c r="AH256" s="967" t="e">
        <f>IF($F256="","",$F256*chronic_consumption!AC256/1000/$C$3)</f>
        <v>#DIV/0!</v>
      </c>
      <c r="AI256" s="967" t="e">
        <f>IF($F256="","",$F256*chronic_consumption!AD256/1000/$C$3)</f>
        <v>#DIV/0!</v>
      </c>
      <c r="AJ256" s="967" t="e">
        <f>IF($F256="","",$F256*chronic_consumption!AE256/1000/$C$3)</f>
        <v>#DIV/0!</v>
      </c>
      <c r="AK256" s="967" t="e">
        <f>IF($F256="","",$F256*chronic_consumption!AF256/1000/$C$3)</f>
        <v>#DIV/0!</v>
      </c>
      <c r="AL256" s="967" t="e">
        <f>IF($F256="","",$F256*chronic_consumption!AG256/1000/$C$3)</f>
        <v>#DIV/0!</v>
      </c>
      <c r="AM256" s="967" t="e">
        <f>IF($F256="","",$F256*chronic_consumption!AH256/1000/$C$3)</f>
        <v>#DIV/0!</v>
      </c>
      <c r="AN256" s="967" t="e">
        <f>IF($F256="","",$F256*chronic_consumption!AI256/1000/$C$3)</f>
        <v>#DIV/0!</v>
      </c>
      <c r="AO256" s="967" t="e">
        <f>IF($F256="","",$F256*chronic_consumption!AJ256/1000/$C$3)</f>
        <v>#DIV/0!</v>
      </c>
      <c r="AP256" s="967" t="e">
        <f>IF($F256="","",$F256*chronic_consumption!AK256/1000/$C$3)</f>
        <v>#DIV/0!</v>
      </c>
      <c r="AQ256" s="967" t="e">
        <f>IF($F256="","",$F256*chronic_consumption!AL256/1000/$C$3)</f>
        <v>#DIV/0!</v>
      </c>
      <c r="AR256" s="967" t="e">
        <f>IF($F256="","",$F256*chronic_consumption!AM256/1000/$C$3)</f>
        <v>#DIV/0!</v>
      </c>
      <c r="AS256" s="967" t="e">
        <f>IF($F256="","",$F256*chronic_consumption!AN256/1000/$C$3)</f>
        <v>#DIV/0!</v>
      </c>
      <c r="AT256" s="967" t="e">
        <f>IF($F256="","",$F256*chronic_consumption!AO256/1000/$C$3)</f>
        <v>#DIV/0!</v>
      </c>
      <c r="AU256" s="967"/>
      <c r="AV256" s="967" t="e">
        <f>IF($F256="","",$F256*chronic_consumption!AQ256/1000/$C$3)</f>
        <v>#DIV/0!</v>
      </c>
      <c r="AW256" s="967" t="e">
        <f>IF($F256="","",$F256*chronic_consumption!AR256/1000/$C$3)</f>
        <v>#DIV/0!</v>
      </c>
      <c r="AX256" s="967" t="e">
        <f>IF($F256="","",$F256*chronic_consumption!AS256/1000/$C$3)</f>
        <v>#DIV/0!</v>
      </c>
      <c r="AY256" s="967" t="e">
        <f>IF($F256="","",$F256*chronic_consumption!AT256/1000/$C$3)</f>
        <v>#DIV/0!</v>
      </c>
      <c r="AZ256" s="973"/>
      <c r="BA256" s="969" t="e">
        <f t="shared" si="19"/>
        <v>#DIV/0!</v>
      </c>
      <c r="BB256" s="970" t="e">
        <f t="shared" si="20"/>
        <v>#DIV/0!</v>
      </c>
      <c r="BC256" s="971" t="e">
        <f t="shared" ca="1" si="21"/>
        <v>#DIV/0!</v>
      </c>
      <c r="BD256" s="228">
        <f>input_values!Z256</f>
        <v>4</v>
      </c>
      <c r="BE256" s="152">
        <f>input_values!L256</f>
        <v>0</v>
      </c>
      <c r="BF256" s="972" t="str">
        <f t="shared" si="22"/>
        <v/>
      </c>
    </row>
    <row r="257" spans="1:58" ht="12" customHeight="1" outlineLevel="2" x14ac:dyDescent="0.2">
      <c r="A257" s="341">
        <v>3</v>
      </c>
      <c r="B257" s="3">
        <v>631000</v>
      </c>
      <c r="C257" s="3" t="s">
        <v>74</v>
      </c>
      <c r="D257" s="965">
        <f>Table22[[#This Row],[MRL individual commodity]]</f>
        <v>0</v>
      </c>
      <c r="E257" s="300">
        <f>Table22[[#This Row],[LOQ_label]]</f>
        <v>0</v>
      </c>
      <c r="F257" s="966">
        <f>Table22[[#This Row],[Chronic RA input value]]</f>
        <v>0</v>
      </c>
      <c r="G257" s="304">
        <f>Table22[[#This Row],[Chronic RA label]]</f>
        <v>0</v>
      </c>
      <c r="H257" s="304">
        <f>Table22[[#This Row],[GAP under assessment]]</f>
        <v>0</v>
      </c>
      <c r="I257" s="1123"/>
      <c r="J257" s="967" t="e">
        <f>IF($F257="","",$F257*chronic_consumption!$E257/1000/$C$3)</f>
        <v>#DIV/0!</v>
      </c>
      <c r="K257" s="967" t="e">
        <f>IF($F257="","",$F257*chronic_consumption!F257/1000/$C$3)</f>
        <v>#DIV/0!</v>
      </c>
      <c r="L257" s="967" t="e">
        <f>IF($F257="","",$F257*chronic_consumption!G257/1000/$C$3)</f>
        <v>#DIV/0!</v>
      </c>
      <c r="M257" s="967" t="e">
        <f>IF($F257="","",$F257*chronic_consumption!H257/1000/$C$3)</f>
        <v>#DIV/0!</v>
      </c>
      <c r="N257" s="967" t="e">
        <f>IF($F257="","",$F257*chronic_consumption!I257/1000/$C$3)</f>
        <v>#DIV/0!</v>
      </c>
      <c r="O257" s="967" t="e">
        <f>IF($F257="","",$F257*chronic_consumption!J257/1000/$C$3)</f>
        <v>#DIV/0!</v>
      </c>
      <c r="P257" s="967" t="e">
        <f>IF($F257="","",$F257*chronic_consumption!K257/1000/$C$3)</f>
        <v>#DIV/0!</v>
      </c>
      <c r="Q257" s="967" t="e">
        <f>IF($F257="","",$F257*chronic_consumption!L257/1000/$C$3)</f>
        <v>#DIV/0!</v>
      </c>
      <c r="R257" s="967" t="e">
        <f>IF($F257="","",$F257*chronic_consumption!M257/1000/$C$3)</f>
        <v>#DIV/0!</v>
      </c>
      <c r="S257" s="967" t="e">
        <f>IF($F257="","",$F257*chronic_consumption!N257/1000/$C$3)</f>
        <v>#DIV/0!</v>
      </c>
      <c r="T257" s="967" t="e">
        <f>IF($F257="","",$F257*chronic_consumption!O257/1000/$C$3)</f>
        <v>#DIV/0!</v>
      </c>
      <c r="U257" s="967" t="e">
        <f>IF($F257="","",$F257*chronic_consumption!P257/1000/$C$3)</f>
        <v>#DIV/0!</v>
      </c>
      <c r="V257" s="967" t="e">
        <f>IF($F257="","",$F257*chronic_consumption!Q257/1000/$C$3)</f>
        <v>#DIV/0!</v>
      </c>
      <c r="W257" s="967" t="e">
        <f>IF($F257="","",$F257*chronic_consumption!R257/1000/$C$3)</f>
        <v>#DIV/0!</v>
      </c>
      <c r="X257" s="967" t="e">
        <f>IF($F257="","",$F257*chronic_consumption!S257/1000/$C$3)</f>
        <v>#DIV/0!</v>
      </c>
      <c r="Y257" s="967" t="e">
        <f>IF($F257="","",$F257*chronic_consumption!T257/1000/$C$3)</f>
        <v>#DIV/0!</v>
      </c>
      <c r="Z257" s="967" t="e">
        <f>IF($F257="","",$F257*chronic_consumption!U257/1000/$C$3)</f>
        <v>#DIV/0!</v>
      </c>
      <c r="AA257" s="967" t="e">
        <f>IF($F257="","",$F257*chronic_consumption!V257/1000/$C$3)</f>
        <v>#DIV/0!</v>
      </c>
      <c r="AB257" s="967" t="e">
        <f>IF($F257="","",$F257*chronic_consumption!W257/1000/$C$3)</f>
        <v>#DIV/0!</v>
      </c>
      <c r="AC257" s="967" t="e">
        <f>IF($F257="","",$F257*chronic_consumption!X257/1000/$C$3)</f>
        <v>#DIV/0!</v>
      </c>
      <c r="AD257" s="967" t="e">
        <f>IF($F257="","",$F257*chronic_consumption!Y257/1000/$C$3)</f>
        <v>#DIV/0!</v>
      </c>
      <c r="AE257" s="967" t="e">
        <f>IF($F257="","",$F257*chronic_consumption!Z257/1000/$C$3)</f>
        <v>#DIV/0!</v>
      </c>
      <c r="AF257" s="967" t="e">
        <f>IF($F257="","",$F257*chronic_consumption!AA257/1000/$C$3)</f>
        <v>#DIV/0!</v>
      </c>
      <c r="AG257" s="967" t="e">
        <f>IF($F257="","",$F257*chronic_consumption!AB257/1000/$C$3)</f>
        <v>#DIV/0!</v>
      </c>
      <c r="AH257" s="967" t="e">
        <f>IF($F257="","",$F257*chronic_consumption!AC257/1000/$C$3)</f>
        <v>#DIV/0!</v>
      </c>
      <c r="AI257" s="967" t="e">
        <f>IF($F257="","",$F257*chronic_consumption!AD257/1000/$C$3)</f>
        <v>#DIV/0!</v>
      </c>
      <c r="AJ257" s="967" t="e">
        <f>IF($F257="","",$F257*chronic_consumption!AE257/1000/$C$3)</f>
        <v>#DIV/0!</v>
      </c>
      <c r="AK257" s="967" t="e">
        <f>IF($F257="","",$F257*chronic_consumption!AF257/1000/$C$3)</f>
        <v>#DIV/0!</v>
      </c>
      <c r="AL257" s="967" t="e">
        <f>IF($F257="","",$F257*chronic_consumption!AG257/1000/$C$3)</f>
        <v>#DIV/0!</v>
      </c>
      <c r="AM257" s="967" t="e">
        <f>IF($F257="","",$F257*chronic_consumption!AH257/1000/$C$3)</f>
        <v>#DIV/0!</v>
      </c>
      <c r="AN257" s="967" t="e">
        <f>IF($F257="","",$F257*chronic_consumption!AI257/1000/$C$3)</f>
        <v>#DIV/0!</v>
      </c>
      <c r="AO257" s="967" t="e">
        <f>IF($F257="","",$F257*chronic_consumption!AJ257/1000/$C$3)</f>
        <v>#DIV/0!</v>
      </c>
      <c r="AP257" s="967" t="e">
        <f>IF($F257="","",$F257*chronic_consumption!AK257/1000/$C$3)</f>
        <v>#DIV/0!</v>
      </c>
      <c r="AQ257" s="967" t="e">
        <f>IF($F257="","",$F257*chronic_consumption!AL257/1000/$C$3)</f>
        <v>#DIV/0!</v>
      </c>
      <c r="AR257" s="967" t="e">
        <f>IF($F257="","",$F257*chronic_consumption!AM257/1000/$C$3)</f>
        <v>#DIV/0!</v>
      </c>
      <c r="AS257" s="967" t="e">
        <f>IF($F257="","",$F257*chronic_consumption!AN257/1000/$C$3)</f>
        <v>#DIV/0!</v>
      </c>
      <c r="AT257" s="967" t="e">
        <f>IF($F257="","",$F257*chronic_consumption!AO257/1000/$C$3)</f>
        <v>#DIV/0!</v>
      </c>
      <c r="AU257" s="967"/>
      <c r="AV257" s="967" t="e">
        <f>IF($F257="","",$F257*chronic_consumption!AQ257/1000/$C$3)</f>
        <v>#DIV/0!</v>
      </c>
      <c r="AW257" s="967" t="e">
        <f>IF($F257="","",$F257*chronic_consumption!AR257/1000/$C$3)</f>
        <v>#DIV/0!</v>
      </c>
      <c r="AX257" s="967" t="e">
        <f>IF($F257="","",$F257*chronic_consumption!AS257/1000/$C$3)</f>
        <v>#DIV/0!</v>
      </c>
      <c r="AY257" s="967" t="e">
        <f>IF($F257="","",$F257*chronic_consumption!AT257/1000/$C$3)</f>
        <v>#DIV/0!</v>
      </c>
      <c r="AZ257" s="973"/>
      <c r="BA257" s="969" t="e">
        <f t="shared" si="19"/>
        <v>#DIV/0!</v>
      </c>
      <c r="BB257" s="970" t="e">
        <f t="shared" si="20"/>
        <v>#DIV/0!</v>
      </c>
      <c r="BC257" s="971" t="e">
        <f t="shared" ca="1" si="21"/>
        <v>#DIV/0!</v>
      </c>
      <c r="BD257" s="228">
        <f>input_values!Z257</f>
        <v>4</v>
      </c>
      <c r="BE257" s="152">
        <f>input_values!L257</f>
        <v>0</v>
      </c>
      <c r="BF257" s="972" t="str">
        <f t="shared" si="22"/>
        <v/>
      </c>
    </row>
    <row r="258" spans="1:58" ht="12" customHeight="1" outlineLevel="3" x14ac:dyDescent="0.2">
      <c r="A258" s="21">
        <v>4</v>
      </c>
      <c r="B258" s="23">
        <v>631010</v>
      </c>
      <c r="C258" s="23" t="s">
        <v>767</v>
      </c>
      <c r="D258" s="965">
        <f>Table22[[#This Row],[MRL individual commodity]]</f>
        <v>0</v>
      </c>
      <c r="E258" s="300" t="str">
        <f>Table22[[#This Row],[LOQ_label]]</f>
        <v/>
      </c>
      <c r="F258" s="966">
        <f>Table22[[#This Row],[Chronic RA input value]]</f>
        <v>0</v>
      </c>
      <c r="G258" s="304" t="str">
        <f>Table22[[#This Row],[Chronic RA label]]</f>
        <v/>
      </c>
      <c r="H258" s="304">
        <f>Table22[[#This Row],[GAP under assessment]]</f>
        <v>0</v>
      </c>
      <c r="I258" s="1123"/>
      <c r="J258" s="974" t="e">
        <f>IF($F258="","",$F258*chronic_consumption!$E258/1000/$C$3)</f>
        <v>#DIV/0!</v>
      </c>
      <c r="K258" s="974" t="e">
        <f>IF($F258="","",$F258*chronic_consumption!F258/1000/$C$3)</f>
        <v>#DIV/0!</v>
      </c>
      <c r="L258" s="974" t="e">
        <f>IF($F258="","",$F258*chronic_consumption!G258/1000/$C$3)</f>
        <v>#DIV/0!</v>
      </c>
      <c r="M258" s="974" t="e">
        <f>IF($F258="","",$F258*chronic_consumption!H258/1000/$C$3)</f>
        <v>#DIV/0!</v>
      </c>
      <c r="N258" s="974" t="e">
        <f>IF($F258="","",$F258*chronic_consumption!I258/1000/$C$3)</f>
        <v>#DIV/0!</v>
      </c>
      <c r="O258" s="974" t="e">
        <f>IF($F258="","",$F258*chronic_consumption!J258/1000/$C$3)</f>
        <v>#DIV/0!</v>
      </c>
      <c r="P258" s="974" t="e">
        <f>IF($F258="","",$F258*chronic_consumption!K258/1000/$C$3)</f>
        <v>#DIV/0!</v>
      </c>
      <c r="Q258" s="974" t="e">
        <f>IF($F258="","",$F258*chronic_consumption!L258/1000/$C$3)</f>
        <v>#DIV/0!</v>
      </c>
      <c r="R258" s="974" t="e">
        <f>IF($F258="","",$F258*chronic_consumption!M258/1000/$C$3)</f>
        <v>#DIV/0!</v>
      </c>
      <c r="S258" s="974" t="e">
        <f>IF($F258="","",$F258*chronic_consumption!N258/1000/$C$3)</f>
        <v>#DIV/0!</v>
      </c>
      <c r="T258" s="974" t="e">
        <f>IF($F258="","",$F258*chronic_consumption!O258/1000/$C$3)</f>
        <v>#DIV/0!</v>
      </c>
      <c r="U258" s="974" t="e">
        <f>IF($F258="","",$F258*chronic_consumption!P258/1000/$C$3)</f>
        <v>#DIV/0!</v>
      </c>
      <c r="V258" s="974" t="e">
        <f>IF($F258="","",$F258*chronic_consumption!Q258/1000/$C$3)</f>
        <v>#DIV/0!</v>
      </c>
      <c r="W258" s="974" t="e">
        <f>IF($F258="","",$F258*chronic_consumption!R258/1000/$C$3)</f>
        <v>#DIV/0!</v>
      </c>
      <c r="X258" s="974" t="e">
        <f>IF($F258="","",$F258*chronic_consumption!S258/1000/$C$3)</f>
        <v>#DIV/0!</v>
      </c>
      <c r="Y258" s="974" t="e">
        <f>IF($F258="","",$F258*chronic_consumption!T258/1000/$C$3)</f>
        <v>#DIV/0!</v>
      </c>
      <c r="Z258" s="974" t="e">
        <f>IF($F258="","",$F258*chronic_consumption!U258/1000/$C$3)</f>
        <v>#DIV/0!</v>
      </c>
      <c r="AA258" s="974" t="e">
        <f>IF($F258="","",$F258*chronic_consumption!V258/1000/$C$3)</f>
        <v>#DIV/0!</v>
      </c>
      <c r="AB258" s="974" t="e">
        <f>IF($F258="","",$F258*chronic_consumption!W258/1000/$C$3)</f>
        <v>#DIV/0!</v>
      </c>
      <c r="AC258" s="974" t="e">
        <f>IF($F258="","",$F258*chronic_consumption!X258/1000/$C$3)</f>
        <v>#DIV/0!</v>
      </c>
      <c r="AD258" s="974" t="e">
        <f>IF($F258="","",$F258*chronic_consumption!Y258/1000/$C$3)</f>
        <v>#DIV/0!</v>
      </c>
      <c r="AE258" s="974" t="e">
        <f>IF($F258="","",$F258*chronic_consumption!Z258/1000/$C$3)</f>
        <v>#DIV/0!</v>
      </c>
      <c r="AF258" s="974" t="e">
        <f>IF($F258="","",$F258*chronic_consumption!AA258/1000/$C$3)</f>
        <v>#DIV/0!</v>
      </c>
      <c r="AG258" s="974" t="e">
        <f>IF($F258="","",$F258*chronic_consumption!AB258/1000/$C$3)</f>
        <v>#DIV/0!</v>
      </c>
      <c r="AH258" s="974" t="e">
        <f>IF($F258="","",$F258*chronic_consumption!AC258/1000/$C$3)</f>
        <v>#DIV/0!</v>
      </c>
      <c r="AI258" s="974" t="e">
        <f>IF($F258="","",$F258*chronic_consumption!AD258/1000/$C$3)</f>
        <v>#DIV/0!</v>
      </c>
      <c r="AJ258" s="974" t="e">
        <f>IF($F258="","",$F258*chronic_consumption!AE258/1000/$C$3)</f>
        <v>#DIV/0!</v>
      </c>
      <c r="AK258" s="974" t="e">
        <f>IF($F258="","",$F258*chronic_consumption!AF258/1000/$C$3)</f>
        <v>#DIV/0!</v>
      </c>
      <c r="AL258" s="974" t="e">
        <f>IF($F258="","",$F258*chronic_consumption!AG258/1000/$C$3)</f>
        <v>#DIV/0!</v>
      </c>
      <c r="AM258" s="974" t="e">
        <f>IF($F258="","",$F258*chronic_consumption!AH258/1000/$C$3)</f>
        <v>#DIV/0!</v>
      </c>
      <c r="AN258" s="974" t="e">
        <f>IF($F258="","",$F258*chronic_consumption!AI258/1000/$C$3)</f>
        <v>#DIV/0!</v>
      </c>
      <c r="AO258" s="974" t="e">
        <f>IF($F258="","",$F258*chronic_consumption!AJ258/1000/$C$3)</f>
        <v>#DIV/0!</v>
      </c>
      <c r="AP258" s="974" t="e">
        <f>IF($F258="","",$F258*chronic_consumption!AK258/1000/$C$3)</f>
        <v>#DIV/0!</v>
      </c>
      <c r="AQ258" s="974" t="e">
        <f>IF($F258="","",$F258*chronic_consumption!AL258/1000/$C$3)</f>
        <v>#DIV/0!</v>
      </c>
      <c r="AR258" s="974" t="e">
        <f>IF($F258="","",$F258*chronic_consumption!AM258/1000/$C$3)</f>
        <v>#DIV/0!</v>
      </c>
      <c r="AS258" s="974" t="e">
        <f>IF($F258="","",$F258*chronic_consumption!AN258/1000/$C$3)</f>
        <v>#DIV/0!</v>
      </c>
      <c r="AT258" s="974" t="e">
        <f>IF($F258="","",$F258*chronic_consumption!AO258/1000/$C$3)</f>
        <v>#DIV/0!</v>
      </c>
      <c r="AU258" s="974"/>
      <c r="AV258" s="974" t="e">
        <f>IF($F258="","",$F258*chronic_consumption!AQ258/1000/$C$3)</f>
        <v>#DIV/0!</v>
      </c>
      <c r="AW258" s="974" t="e">
        <f>IF($F258="","",$F258*chronic_consumption!AR258/1000/$C$3)</f>
        <v>#DIV/0!</v>
      </c>
      <c r="AX258" s="974" t="e">
        <f>IF($F258="","",$F258*chronic_consumption!AS258/1000/$C$3)</f>
        <v>#DIV/0!</v>
      </c>
      <c r="AY258" s="974" t="e">
        <f>IF($F258="","",$F258*chronic_consumption!AT258/1000/$C$3)</f>
        <v>#DIV/0!</v>
      </c>
      <c r="AZ258" s="973" t="s">
        <v>19</v>
      </c>
      <c r="BA258" s="969" t="e">
        <f t="shared" si="19"/>
        <v>#DIV/0!</v>
      </c>
      <c r="BB258" s="970" t="e">
        <f t="shared" si="20"/>
        <v>#DIV/0!</v>
      </c>
      <c r="BC258" s="971" t="e">
        <f t="shared" ca="1" si="21"/>
        <v>#DIV/0!</v>
      </c>
      <c r="BD258" s="228">
        <f>input_values!Z258</f>
        <v>4</v>
      </c>
      <c r="BE258" s="152">
        <f>input_values!L258</f>
        <v>0</v>
      </c>
      <c r="BF258" s="972" t="str">
        <f t="shared" si="22"/>
        <v/>
      </c>
    </row>
    <row r="259" spans="1:58" ht="12" customHeight="1" outlineLevel="3" x14ac:dyDescent="0.2">
      <c r="A259" s="21">
        <v>4</v>
      </c>
      <c r="B259" s="23">
        <v>631020</v>
      </c>
      <c r="C259" s="23" t="s">
        <v>768</v>
      </c>
      <c r="D259" s="965">
        <f>Table22[[#This Row],[MRL individual commodity]]</f>
        <v>0</v>
      </c>
      <c r="E259" s="300" t="str">
        <f>Table22[[#This Row],[LOQ_label]]</f>
        <v/>
      </c>
      <c r="F259" s="966">
        <f>Table22[[#This Row],[Chronic RA input value]]</f>
        <v>0</v>
      </c>
      <c r="G259" s="304" t="str">
        <f>Table22[[#This Row],[Chronic RA label]]</f>
        <v/>
      </c>
      <c r="H259" s="304">
        <f>Table22[[#This Row],[GAP under assessment]]</f>
        <v>0</v>
      </c>
      <c r="I259" s="1123"/>
      <c r="J259" s="974" t="e">
        <f>IF($F259="","",$F259*chronic_consumption!$E259/1000/$C$3)</f>
        <v>#DIV/0!</v>
      </c>
      <c r="K259" s="974" t="e">
        <f>IF($F259="","",$F259*chronic_consumption!F259/1000/$C$3)</f>
        <v>#DIV/0!</v>
      </c>
      <c r="L259" s="974" t="e">
        <f>IF($F259="","",$F259*chronic_consumption!G259/1000/$C$3)</f>
        <v>#DIV/0!</v>
      </c>
      <c r="M259" s="974" t="e">
        <f>IF($F259="","",$F259*chronic_consumption!H259/1000/$C$3)</f>
        <v>#DIV/0!</v>
      </c>
      <c r="N259" s="974" t="e">
        <f>IF($F259="","",$F259*chronic_consumption!I259/1000/$C$3)</f>
        <v>#DIV/0!</v>
      </c>
      <c r="O259" s="974" t="e">
        <f>IF($F259="","",$F259*chronic_consumption!J259/1000/$C$3)</f>
        <v>#DIV/0!</v>
      </c>
      <c r="P259" s="974" t="e">
        <f>IF($F259="","",$F259*chronic_consumption!K259/1000/$C$3)</f>
        <v>#DIV/0!</v>
      </c>
      <c r="Q259" s="974" t="e">
        <f>IF($F259="","",$F259*chronic_consumption!L259/1000/$C$3)</f>
        <v>#DIV/0!</v>
      </c>
      <c r="R259" s="974" t="e">
        <f>IF($F259="","",$F259*chronic_consumption!M259/1000/$C$3)</f>
        <v>#DIV/0!</v>
      </c>
      <c r="S259" s="974" t="e">
        <f>IF($F259="","",$F259*chronic_consumption!N259/1000/$C$3)</f>
        <v>#DIV/0!</v>
      </c>
      <c r="T259" s="974" t="e">
        <f>IF($F259="","",$F259*chronic_consumption!O259/1000/$C$3)</f>
        <v>#DIV/0!</v>
      </c>
      <c r="U259" s="974" t="e">
        <f>IF($F259="","",$F259*chronic_consumption!P259/1000/$C$3)</f>
        <v>#DIV/0!</v>
      </c>
      <c r="V259" s="974" t="e">
        <f>IF($F259="","",$F259*chronic_consumption!Q259/1000/$C$3)</f>
        <v>#DIV/0!</v>
      </c>
      <c r="W259" s="974" t="e">
        <f>IF($F259="","",$F259*chronic_consumption!R259/1000/$C$3)</f>
        <v>#DIV/0!</v>
      </c>
      <c r="X259" s="974" t="e">
        <f>IF($F259="","",$F259*chronic_consumption!S259/1000/$C$3)</f>
        <v>#DIV/0!</v>
      </c>
      <c r="Y259" s="974" t="e">
        <f>IF($F259="","",$F259*chronic_consumption!T259/1000/$C$3)</f>
        <v>#DIV/0!</v>
      </c>
      <c r="Z259" s="974" t="e">
        <f>IF($F259="","",$F259*chronic_consumption!U259/1000/$C$3)</f>
        <v>#DIV/0!</v>
      </c>
      <c r="AA259" s="974" t="e">
        <f>IF($F259="","",$F259*chronic_consumption!V259/1000/$C$3)</f>
        <v>#DIV/0!</v>
      </c>
      <c r="AB259" s="974" t="e">
        <f>IF($F259="","",$F259*chronic_consumption!W259/1000/$C$3)</f>
        <v>#DIV/0!</v>
      </c>
      <c r="AC259" s="974" t="e">
        <f>IF($F259="","",$F259*chronic_consumption!X259/1000/$C$3)</f>
        <v>#DIV/0!</v>
      </c>
      <c r="AD259" s="974" t="e">
        <f>IF($F259="","",$F259*chronic_consumption!Y259/1000/$C$3)</f>
        <v>#DIV/0!</v>
      </c>
      <c r="AE259" s="974" t="e">
        <f>IF($F259="","",$F259*chronic_consumption!Z259/1000/$C$3)</f>
        <v>#DIV/0!</v>
      </c>
      <c r="AF259" s="974" t="e">
        <f>IF($F259="","",$F259*chronic_consumption!AA259/1000/$C$3)</f>
        <v>#DIV/0!</v>
      </c>
      <c r="AG259" s="974" t="e">
        <f>IF($F259="","",$F259*chronic_consumption!AB259/1000/$C$3)</f>
        <v>#DIV/0!</v>
      </c>
      <c r="AH259" s="974" t="e">
        <f>IF($F259="","",$F259*chronic_consumption!AC259/1000/$C$3)</f>
        <v>#DIV/0!</v>
      </c>
      <c r="AI259" s="974" t="e">
        <f>IF($F259="","",$F259*chronic_consumption!AD259/1000/$C$3)</f>
        <v>#DIV/0!</v>
      </c>
      <c r="AJ259" s="974" t="e">
        <f>IF($F259="","",$F259*chronic_consumption!AE259/1000/$C$3)</f>
        <v>#DIV/0!</v>
      </c>
      <c r="AK259" s="974" t="e">
        <f>IF($F259="","",$F259*chronic_consumption!AF259/1000/$C$3)</f>
        <v>#DIV/0!</v>
      </c>
      <c r="AL259" s="974" t="e">
        <f>IF($F259="","",$F259*chronic_consumption!AG259/1000/$C$3)</f>
        <v>#DIV/0!</v>
      </c>
      <c r="AM259" s="974" t="e">
        <f>IF($F259="","",$F259*chronic_consumption!AH259/1000/$C$3)</f>
        <v>#DIV/0!</v>
      </c>
      <c r="AN259" s="974" t="e">
        <f>IF($F259="","",$F259*chronic_consumption!AI259/1000/$C$3)</f>
        <v>#DIV/0!</v>
      </c>
      <c r="AO259" s="974" t="e">
        <f>IF($F259="","",$F259*chronic_consumption!AJ259/1000/$C$3)</f>
        <v>#DIV/0!</v>
      </c>
      <c r="AP259" s="974" t="e">
        <f>IF($F259="","",$F259*chronic_consumption!AK259/1000/$C$3)</f>
        <v>#DIV/0!</v>
      </c>
      <c r="AQ259" s="974" t="e">
        <f>IF($F259="","",$F259*chronic_consumption!AL259/1000/$C$3)</f>
        <v>#DIV/0!</v>
      </c>
      <c r="AR259" s="974" t="e">
        <f>IF($F259="","",$F259*chronic_consumption!AM259/1000/$C$3)</f>
        <v>#DIV/0!</v>
      </c>
      <c r="AS259" s="974" t="e">
        <f>IF($F259="","",$F259*chronic_consumption!AN259/1000/$C$3)</f>
        <v>#DIV/0!</v>
      </c>
      <c r="AT259" s="974" t="e">
        <f>IF($F259="","",$F259*chronic_consumption!AO259/1000/$C$3)</f>
        <v>#DIV/0!</v>
      </c>
      <c r="AU259" s="974"/>
      <c r="AV259" s="974" t="e">
        <f>IF($F259="","",$F259*chronic_consumption!AQ259/1000/$C$3)</f>
        <v>#DIV/0!</v>
      </c>
      <c r="AW259" s="974" t="e">
        <f>IF($F259="","",$F259*chronic_consumption!AR259/1000/$C$3)</f>
        <v>#DIV/0!</v>
      </c>
      <c r="AX259" s="974" t="e">
        <f>IF($F259="","",$F259*chronic_consumption!AS259/1000/$C$3)</f>
        <v>#DIV/0!</v>
      </c>
      <c r="AY259" s="974" t="e">
        <f>IF($F259="","",$F259*chronic_consumption!AT259/1000/$C$3)</f>
        <v>#DIV/0!</v>
      </c>
      <c r="AZ259" s="973" t="s">
        <v>19</v>
      </c>
      <c r="BA259" s="969" t="e">
        <f t="shared" si="19"/>
        <v>#DIV/0!</v>
      </c>
      <c r="BB259" s="970" t="e">
        <f t="shared" si="20"/>
        <v>#DIV/0!</v>
      </c>
      <c r="BC259" s="971" t="e">
        <f t="shared" ca="1" si="21"/>
        <v>#DIV/0!</v>
      </c>
      <c r="BD259" s="228">
        <f>input_values!Z259</f>
        <v>4</v>
      </c>
      <c r="BE259" s="152">
        <f>input_values!L259</f>
        <v>0</v>
      </c>
      <c r="BF259" s="972" t="str">
        <f t="shared" si="22"/>
        <v/>
      </c>
    </row>
    <row r="260" spans="1:58" ht="12" customHeight="1" outlineLevel="3" x14ac:dyDescent="0.2">
      <c r="A260" s="21">
        <v>4</v>
      </c>
      <c r="B260" s="23">
        <v>631030</v>
      </c>
      <c r="C260" s="23" t="s">
        <v>769</v>
      </c>
      <c r="D260" s="965">
        <f>Table22[[#This Row],[MRL individual commodity]]</f>
        <v>0</v>
      </c>
      <c r="E260" s="300" t="str">
        <f>Table22[[#This Row],[LOQ_label]]</f>
        <v/>
      </c>
      <c r="F260" s="966">
        <f>Table22[[#This Row],[Chronic RA input value]]</f>
        <v>0</v>
      </c>
      <c r="G260" s="304" t="str">
        <f>Table22[[#This Row],[Chronic RA label]]</f>
        <v/>
      </c>
      <c r="H260" s="304">
        <f>Table22[[#This Row],[GAP under assessment]]</f>
        <v>0</v>
      </c>
      <c r="I260" s="1123"/>
      <c r="J260" s="974" t="e">
        <f>IF($F260="","",$F260*chronic_consumption!$E260/1000/$C$3)</f>
        <v>#DIV/0!</v>
      </c>
      <c r="K260" s="974" t="e">
        <f>IF($F260="","",$F260*chronic_consumption!F260/1000/$C$3)</f>
        <v>#DIV/0!</v>
      </c>
      <c r="L260" s="974" t="e">
        <f>IF($F260="","",$F260*chronic_consumption!G260/1000/$C$3)</f>
        <v>#DIV/0!</v>
      </c>
      <c r="M260" s="974" t="e">
        <f>IF($F260="","",$F260*chronic_consumption!H260/1000/$C$3)</f>
        <v>#DIV/0!</v>
      </c>
      <c r="N260" s="974" t="e">
        <f>IF($F260="","",$F260*chronic_consumption!I260/1000/$C$3)</f>
        <v>#DIV/0!</v>
      </c>
      <c r="O260" s="974" t="e">
        <f>IF($F260="","",$F260*chronic_consumption!J260/1000/$C$3)</f>
        <v>#DIV/0!</v>
      </c>
      <c r="P260" s="974" t="e">
        <f>IF($F260="","",$F260*chronic_consumption!K260/1000/$C$3)</f>
        <v>#DIV/0!</v>
      </c>
      <c r="Q260" s="974" t="e">
        <f>IF($F260="","",$F260*chronic_consumption!L260/1000/$C$3)</f>
        <v>#DIV/0!</v>
      </c>
      <c r="R260" s="974" t="e">
        <f>IF($F260="","",$F260*chronic_consumption!M260/1000/$C$3)</f>
        <v>#DIV/0!</v>
      </c>
      <c r="S260" s="974" t="e">
        <f>IF($F260="","",$F260*chronic_consumption!N260/1000/$C$3)</f>
        <v>#DIV/0!</v>
      </c>
      <c r="T260" s="974" t="e">
        <f>IF($F260="","",$F260*chronic_consumption!O260/1000/$C$3)</f>
        <v>#DIV/0!</v>
      </c>
      <c r="U260" s="974" t="e">
        <f>IF($F260="","",$F260*chronic_consumption!P260/1000/$C$3)</f>
        <v>#DIV/0!</v>
      </c>
      <c r="V260" s="974" t="e">
        <f>IF($F260="","",$F260*chronic_consumption!Q260/1000/$C$3)</f>
        <v>#DIV/0!</v>
      </c>
      <c r="W260" s="974" t="e">
        <f>IF($F260="","",$F260*chronic_consumption!R260/1000/$C$3)</f>
        <v>#DIV/0!</v>
      </c>
      <c r="X260" s="974" t="e">
        <f>IF($F260="","",$F260*chronic_consumption!S260/1000/$C$3)</f>
        <v>#DIV/0!</v>
      </c>
      <c r="Y260" s="974" t="e">
        <f>IF($F260="","",$F260*chronic_consumption!T260/1000/$C$3)</f>
        <v>#DIV/0!</v>
      </c>
      <c r="Z260" s="974" t="e">
        <f>IF($F260="","",$F260*chronic_consumption!U260/1000/$C$3)</f>
        <v>#DIV/0!</v>
      </c>
      <c r="AA260" s="974" t="e">
        <f>IF($F260="","",$F260*chronic_consumption!V260/1000/$C$3)</f>
        <v>#DIV/0!</v>
      </c>
      <c r="AB260" s="974" t="e">
        <f>IF($F260="","",$F260*chronic_consumption!W260/1000/$C$3)</f>
        <v>#DIV/0!</v>
      </c>
      <c r="AC260" s="974" t="e">
        <f>IF($F260="","",$F260*chronic_consumption!X260/1000/$C$3)</f>
        <v>#DIV/0!</v>
      </c>
      <c r="AD260" s="974" t="e">
        <f>IF($F260="","",$F260*chronic_consumption!Y260/1000/$C$3)</f>
        <v>#DIV/0!</v>
      </c>
      <c r="AE260" s="974" t="e">
        <f>IF($F260="","",$F260*chronic_consumption!Z260/1000/$C$3)</f>
        <v>#DIV/0!</v>
      </c>
      <c r="AF260" s="974" t="e">
        <f>IF($F260="","",$F260*chronic_consumption!AA260/1000/$C$3)</f>
        <v>#DIV/0!</v>
      </c>
      <c r="AG260" s="974" t="e">
        <f>IF($F260="","",$F260*chronic_consumption!AB260/1000/$C$3)</f>
        <v>#DIV/0!</v>
      </c>
      <c r="AH260" s="974" t="e">
        <f>IF($F260="","",$F260*chronic_consumption!AC260/1000/$C$3)</f>
        <v>#DIV/0!</v>
      </c>
      <c r="AI260" s="974" t="e">
        <f>IF($F260="","",$F260*chronic_consumption!AD260/1000/$C$3)</f>
        <v>#DIV/0!</v>
      </c>
      <c r="AJ260" s="974" t="e">
        <f>IF($F260="","",$F260*chronic_consumption!AE260/1000/$C$3)</f>
        <v>#DIV/0!</v>
      </c>
      <c r="AK260" s="974" t="e">
        <f>IF($F260="","",$F260*chronic_consumption!AF260/1000/$C$3)</f>
        <v>#DIV/0!</v>
      </c>
      <c r="AL260" s="974" t="e">
        <f>IF($F260="","",$F260*chronic_consumption!AG260/1000/$C$3)</f>
        <v>#DIV/0!</v>
      </c>
      <c r="AM260" s="974" t="e">
        <f>IF($F260="","",$F260*chronic_consumption!AH260/1000/$C$3)</f>
        <v>#DIV/0!</v>
      </c>
      <c r="AN260" s="974" t="e">
        <f>IF($F260="","",$F260*chronic_consumption!AI260/1000/$C$3)</f>
        <v>#DIV/0!</v>
      </c>
      <c r="AO260" s="974" t="e">
        <f>IF($F260="","",$F260*chronic_consumption!AJ260/1000/$C$3)</f>
        <v>#DIV/0!</v>
      </c>
      <c r="AP260" s="974" t="e">
        <f>IF($F260="","",$F260*chronic_consumption!AK260/1000/$C$3)</f>
        <v>#DIV/0!</v>
      </c>
      <c r="AQ260" s="974" t="e">
        <f>IF($F260="","",$F260*chronic_consumption!AL260/1000/$C$3)</f>
        <v>#DIV/0!</v>
      </c>
      <c r="AR260" s="974" t="e">
        <f>IF($F260="","",$F260*chronic_consumption!AM260/1000/$C$3)</f>
        <v>#DIV/0!</v>
      </c>
      <c r="AS260" s="974" t="e">
        <f>IF($F260="","",$F260*chronic_consumption!AN260/1000/$C$3)</f>
        <v>#DIV/0!</v>
      </c>
      <c r="AT260" s="974" t="e">
        <f>IF($F260="","",$F260*chronic_consumption!AO260/1000/$C$3)</f>
        <v>#DIV/0!</v>
      </c>
      <c r="AU260" s="974"/>
      <c r="AV260" s="974" t="e">
        <f>IF($F260="","",$F260*chronic_consumption!AQ260/1000/$C$3)</f>
        <v>#DIV/0!</v>
      </c>
      <c r="AW260" s="974" t="e">
        <f>IF($F260="","",$F260*chronic_consumption!AR260/1000/$C$3)</f>
        <v>#DIV/0!</v>
      </c>
      <c r="AX260" s="974" t="e">
        <f>IF($F260="","",$F260*chronic_consumption!AS260/1000/$C$3)</f>
        <v>#DIV/0!</v>
      </c>
      <c r="AY260" s="974" t="e">
        <f>IF($F260="","",$F260*chronic_consumption!AT260/1000/$C$3)</f>
        <v>#DIV/0!</v>
      </c>
      <c r="AZ260" s="973" t="s">
        <v>19</v>
      </c>
      <c r="BA260" s="969" t="e">
        <f t="shared" si="19"/>
        <v>#DIV/0!</v>
      </c>
      <c r="BB260" s="970" t="e">
        <f t="shared" si="20"/>
        <v>#DIV/0!</v>
      </c>
      <c r="BC260" s="971" t="e">
        <f t="shared" ca="1" si="21"/>
        <v>#DIV/0!</v>
      </c>
      <c r="BD260" s="228">
        <f>input_values!Z260</f>
        <v>4</v>
      </c>
      <c r="BE260" s="152">
        <f>input_values!L260</f>
        <v>0</v>
      </c>
      <c r="BF260" s="972" t="str">
        <f t="shared" si="22"/>
        <v/>
      </c>
    </row>
    <row r="261" spans="1:58" ht="12" customHeight="1" outlineLevel="3" x14ac:dyDescent="0.2">
      <c r="A261" s="21">
        <v>4</v>
      </c>
      <c r="B261" s="23">
        <v>631040</v>
      </c>
      <c r="C261" s="23" t="s">
        <v>770</v>
      </c>
      <c r="D261" s="965">
        <f>Table22[[#This Row],[MRL individual commodity]]</f>
        <v>0</v>
      </c>
      <c r="E261" s="300" t="str">
        <f>Table22[[#This Row],[LOQ_label]]</f>
        <v/>
      </c>
      <c r="F261" s="966">
        <f>Table22[[#This Row],[Chronic RA input value]]</f>
        <v>0</v>
      </c>
      <c r="G261" s="304" t="str">
        <f>Table22[[#This Row],[Chronic RA label]]</f>
        <v/>
      </c>
      <c r="H261" s="304">
        <f>Table22[[#This Row],[GAP under assessment]]</f>
        <v>0</v>
      </c>
      <c r="I261" s="1123"/>
      <c r="J261" s="974" t="e">
        <f>IF($F261="","",$F261*chronic_consumption!$E261/1000/$C$3)</f>
        <v>#DIV/0!</v>
      </c>
      <c r="K261" s="974" t="e">
        <f>IF($F261="","",$F261*chronic_consumption!F261/1000/$C$3)</f>
        <v>#DIV/0!</v>
      </c>
      <c r="L261" s="974" t="e">
        <f>IF($F261="","",$F261*chronic_consumption!G261/1000/$C$3)</f>
        <v>#DIV/0!</v>
      </c>
      <c r="M261" s="974" t="e">
        <f>IF($F261="","",$F261*chronic_consumption!H261/1000/$C$3)</f>
        <v>#DIV/0!</v>
      </c>
      <c r="N261" s="974" t="e">
        <f>IF($F261="","",$F261*chronic_consumption!I261/1000/$C$3)</f>
        <v>#DIV/0!</v>
      </c>
      <c r="O261" s="974" t="e">
        <f>IF($F261="","",$F261*chronic_consumption!J261/1000/$C$3)</f>
        <v>#DIV/0!</v>
      </c>
      <c r="P261" s="974" t="e">
        <f>IF($F261="","",$F261*chronic_consumption!K261/1000/$C$3)</f>
        <v>#DIV/0!</v>
      </c>
      <c r="Q261" s="974" t="e">
        <f>IF($F261="","",$F261*chronic_consumption!L261/1000/$C$3)</f>
        <v>#DIV/0!</v>
      </c>
      <c r="R261" s="974" t="e">
        <f>IF($F261="","",$F261*chronic_consumption!M261/1000/$C$3)</f>
        <v>#DIV/0!</v>
      </c>
      <c r="S261" s="974" t="e">
        <f>IF($F261="","",$F261*chronic_consumption!N261/1000/$C$3)</f>
        <v>#DIV/0!</v>
      </c>
      <c r="T261" s="974" t="e">
        <f>IF($F261="","",$F261*chronic_consumption!O261/1000/$C$3)</f>
        <v>#DIV/0!</v>
      </c>
      <c r="U261" s="974" t="e">
        <f>IF($F261="","",$F261*chronic_consumption!P261/1000/$C$3)</f>
        <v>#DIV/0!</v>
      </c>
      <c r="V261" s="974" t="e">
        <f>IF($F261="","",$F261*chronic_consumption!Q261/1000/$C$3)</f>
        <v>#DIV/0!</v>
      </c>
      <c r="W261" s="974" t="e">
        <f>IF($F261="","",$F261*chronic_consumption!R261/1000/$C$3)</f>
        <v>#DIV/0!</v>
      </c>
      <c r="X261" s="974" t="e">
        <f>IF($F261="","",$F261*chronic_consumption!S261/1000/$C$3)</f>
        <v>#DIV/0!</v>
      </c>
      <c r="Y261" s="974" t="e">
        <f>IF($F261="","",$F261*chronic_consumption!T261/1000/$C$3)</f>
        <v>#DIV/0!</v>
      </c>
      <c r="Z261" s="974" t="e">
        <f>IF($F261="","",$F261*chronic_consumption!U261/1000/$C$3)</f>
        <v>#DIV/0!</v>
      </c>
      <c r="AA261" s="974" t="e">
        <f>IF($F261="","",$F261*chronic_consumption!V261/1000/$C$3)</f>
        <v>#DIV/0!</v>
      </c>
      <c r="AB261" s="974" t="e">
        <f>IF($F261="","",$F261*chronic_consumption!W261/1000/$C$3)</f>
        <v>#DIV/0!</v>
      </c>
      <c r="AC261" s="974" t="e">
        <f>IF($F261="","",$F261*chronic_consumption!X261/1000/$C$3)</f>
        <v>#DIV/0!</v>
      </c>
      <c r="AD261" s="974" t="e">
        <f>IF($F261="","",$F261*chronic_consumption!Y261/1000/$C$3)</f>
        <v>#DIV/0!</v>
      </c>
      <c r="AE261" s="974" t="e">
        <f>IF($F261="","",$F261*chronic_consumption!Z261/1000/$C$3)</f>
        <v>#DIV/0!</v>
      </c>
      <c r="AF261" s="974" t="e">
        <f>IF($F261="","",$F261*chronic_consumption!AA261/1000/$C$3)</f>
        <v>#DIV/0!</v>
      </c>
      <c r="AG261" s="974" t="e">
        <f>IF($F261="","",$F261*chronic_consumption!AB261/1000/$C$3)</f>
        <v>#DIV/0!</v>
      </c>
      <c r="AH261" s="974" t="e">
        <f>IF($F261="","",$F261*chronic_consumption!AC261/1000/$C$3)</f>
        <v>#DIV/0!</v>
      </c>
      <c r="AI261" s="974" t="e">
        <f>IF($F261="","",$F261*chronic_consumption!AD261/1000/$C$3)</f>
        <v>#DIV/0!</v>
      </c>
      <c r="AJ261" s="974" t="e">
        <f>IF($F261="","",$F261*chronic_consumption!AE261/1000/$C$3)</f>
        <v>#DIV/0!</v>
      </c>
      <c r="AK261" s="974" t="e">
        <f>IF($F261="","",$F261*chronic_consumption!AF261/1000/$C$3)</f>
        <v>#DIV/0!</v>
      </c>
      <c r="AL261" s="974" t="e">
        <f>IF($F261="","",$F261*chronic_consumption!AG261/1000/$C$3)</f>
        <v>#DIV/0!</v>
      </c>
      <c r="AM261" s="974" t="e">
        <f>IF($F261="","",$F261*chronic_consumption!AH261/1000/$C$3)</f>
        <v>#DIV/0!</v>
      </c>
      <c r="AN261" s="974" t="e">
        <f>IF($F261="","",$F261*chronic_consumption!AI261/1000/$C$3)</f>
        <v>#DIV/0!</v>
      </c>
      <c r="AO261" s="974" t="e">
        <f>IF($F261="","",$F261*chronic_consumption!AJ261/1000/$C$3)</f>
        <v>#DIV/0!</v>
      </c>
      <c r="AP261" s="974" t="e">
        <f>IF($F261="","",$F261*chronic_consumption!AK261/1000/$C$3)</f>
        <v>#DIV/0!</v>
      </c>
      <c r="AQ261" s="974" t="e">
        <f>IF($F261="","",$F261*chronic_consumption!AL261/1000/$C$3)</f>
        <v>#DIV/0!</v>
      </c>
      <c r="AR261" s="974" t="e">
        <f>IF($F261="","",$F261*chronic_consumption!AM261/1000/$C$3)</f>
        <v>#DIV/0!</v>
      </c>
      <c r="AS261" s="974" t="e">
        <f>IF($F261="","",$F261*chronic_consumption!AN261/1000/$C$3)</f>
        <v>#DIV/0!</v>
      </c>
      <c r="AT261" s="974" t="e">
        <f>IF($F261="","",$F261*chronic_consumption!AO261/1000/$C$3)</f>
        <v>#DIV/0!</v>
      </c>
      <c r="AU261" s="974"/>
      <c r="AV261" s="974" t="e">
        <f>IF($F261="","",$F261*chronic_consumption!AQ261/1000/$C$3)</f>
        <v>#DIV/0!</v>
      </c>
      <c r="AW261" s="974" t="e">
        <f>IF($F261="","",$F261*chronic_consumption!AR261/1000/$C$3)</f>
        <v>#DIV/0!</v>
      </c>
      <c r="AX261" s="974" t="e">
        <f>IF($F261="","",$F261*chronic_consumption!AS261/1000/$C$3)</f>
        <v>#DIV/0!</v>
      </c>
      <c r="AY261" s="974" t="e">
        <f>IF($F261="","",$F261*chronic_consumption!AT261/1000/$C$3)</f>
        <v>#DIV/0!</v>
      </c>
      <c r="AZ261" s="973" t="s">
        <v>19</v>
      </c>
      <c r="BA261" s="969" t="e">
        <f t="shared" si="19"/>
        <v>#DIV/0!</v>
      </c>
      <c r="BB261" s="970" t="e">
        <f t="shared" si="20"/>
        <v>#DIV/0!</v>
      </c>
      <c r="BC261" s="971" t="e">
        <f t="shared" ca="1" si="21"/>
        <v>#DIV/0!</v>
      </c>
      <c r="BD261" s="228">
        <f>input_values!Z261</f>
        <v>4</v>
      </c>
      <c r="BE261" s="152">
        <f>input_values!L261</f>
        <v>0</v>
      </c>
      <c r="BF261" s="972" t="str">
        <f t="shared" si="22"/>
        <v/>
      </c>
    </row>
    <row r="262" spans="1:58" ht="12" customHeight="1" outlineLevel="3" x14ac:dyDescent="0.2">
      <c r="A262" s="21">
        <v>4</v>
      </c>
      <c r="B262" s="23">
        <v>631050</v>
      </c>
      <c r="C262" s="23" t="s">
        <v>766</v>
      </c>
      <c r="D262" s="965">
        <f>Table22[[#This Row],[MRL individual commodity]]</f>
        <v>0</v>
      </c>
      <c r="E262" s="300" t="str">
        <f>Table22[[#This Row],[LOQ_label]]</f>
        <v/>
      </c>
      <c r="F262" s="966">
        <f>Table22[[#This Row],[Chronic RA input value]]</f>
        <v>0</v>
      </c>
      <c r="G262" s="304" t="str">
        <f>Table22[[#This Row],[Chronic RA label]]</f>
        <v/>
      </c>
      <c r="H262" s="304">
        <f>Table22[[#This Row],[GAP under assessment]]</f>
        <v>0</v>
      </c>
      <c r="I262" s="1123"/>
      <c r="J262" s="974" t="e">
        <f>IF($F262="","",$F262*chronic_consumption!$E262/1000/$C$3)</f>
        <v>#DIV/0!</v>
      </c>
      <c r="K262" s="974" t="e">
        <f>IF($F262="","",$F262*chronic_consumption!F262/1000/$C$3)</f>
        <v>#DIV/0!</v>
      </c>
      <c r="L262" s="974" t="e">
        <f>IF($F262="","",$F262*chronic_consumption!G262/1000/$C$3)</f>
        <v>#DIV/0!</v>
      </c>
      <c r="M262" s="974" t="e">
        <f>IF($F262="","",$F262*chronic_consumption!H262/1000/$C$3)</f>
        <v>#DIV/0!</v>
      </c>
      <c r="N262" s="974" t="e">
        <f>IF($F262="","",$F262*chronic_consumption!I262/1000/$C$3)</f>
        <v>#DIV/0!</v>
      </c>
      <c r="O262" s="974" t="e">
        <f>IF($F262="","",$F262*chronic_consumption!J262/1000/$C$3)</f>
        <v>#DIV/0!</v>
      </c>
      <c r="P262" s="974" t="e">
        <f>IF($F262="","",$F262*chronic_consumption!K262/1000/$C$3)</f>
        <v>#DIV/0!</v>
      </c>
      <c r="Q262" s="974" t="e">
        <f>IF($F262="","",$F262*chronic_consumption!L262/1000/$C$3)</f>
        <v>#DIV/0!</v>
      </c>
      <c r="R262" s="974" t="e">
        <f>IF($F262="","",$F262*chronic_consumption!M262/1000/$C$3)</f>
        <v>#DIV/0!</v>
      </c>
      <c r="S262" s="974" t="e">
        <f>IF($F262="","",$F262*chronic_consumption!N262/1000/$C$3)</f>
        <v>#DIV/0!</v>
      </c>
      <c r="T262" s="974" t="e">
        <f>IF($F262="","",$F262*chronic_consumption!O262/1000/$C$3)</f>
        <v>#DIV/0!</v>
      </c>
      <c r="U262" s="974" t="e">
        <f>IF($F262="","",$F262*chronic_consumption!P262/1000/$C$3)</f>
        <v>#DIV/0!</v>
      </c>
      <c r="V262" s="974" t="e">
        <f>IF($F262="","",$F262*chronic_consumption!Q262/1000/$C$3)</f>
        <v>#DIV/0!</v>
      </c>
      <c r="W262" s="974" t="e">
        <f>IF($F262="","",$F262*chronic_consumption!R262/1000/$C$3)</f>
        <v>#DIV/0!</v>
      </c>
      <c r="X262" s="974" t="e">
        <f>IF($F262="","",$F262*chronic_consumption!S262/1000/$C$3)</f>
        <v>#DIV/0!</v>
      </c>
      <c r="Y262" s="974" t="e">
        <f>IF($F262="","",$F262*chronic_consumption!T262/1000/$C$3)</f>
        <v>#DIV/0!</v>
      </c>
      <c r="Z262" s="974" t="e">
        <f>IF($F262="","",$F262*chronic_consumption!U262/1000/$C$3)</f>
        <v>#DIV/0!</v>
      </c>
      <c r="AA262" s="974" t="e">
        <f>IF($F262="","",$F262*chronic_consumption!V262/1000/$C$3)</f>
        <v>#DIV/0!</v>
      </c>
      <c r="AB262" s="974" t="e">
        <f>IF($F262="","",$F262*chronic_consumption!W262/1000/$C$3)</f>
        <v>#DIV/0!</v>
      </c>
      <c r="AC262" s="974" t="e">
        <f>IF($F262="","",$F262*chronic_consumption!X262/1000/$C$3)</f>
        <v>#DIV/0!</v>
      </c>
      <c r="AD262" s="974" t="e">
        <f>IF($F262="","",$F262*chronic_consumption!Y262/1000/$C$3)</f>
        <v>#DIV/0!</v>
      </c>
      <c r="AE262" s="974" t="e">
        <f>IF($F262="","",$F262*chronic_consumption!Z262/1000/$C$3)</f>
        <v>#DIV/0!</v>
      </c>
      <c r="AF262" s="974" t="e">
        <f>IF($F262="","",$F262*chronic_consumption!AA262/1000/$C$3)</f>
        <v>#DIV/0!</v>
      </c>
      <c r="AG262" s="974" t="e">
        <f>IF($F262="","",$F262*chronic_consumption!AB262/1000/$C$3)</f>
        <v>#DIV/0!</v>
      </c>
      <c r="AH262" s="974" t="e">
        <f>IF($F262="","",$F262*chronic_consumption!AC262/1000/$C$3)</f>
        <v>#DIV/0!</v>
      </c>
      <c r="AI262" s="974" t="e">
        <f>IF($F262="","",$F262*chronic_consumption!AD262/1000/$C$3)</f>
        <v>#DIV/0!</v>
      </c>
      <c r="AJ262" s="974" t="e">
        <f>IF($F262="","",$F262*chronic_consumption!AE262/1000/$C$3)</f>
        <v>#DIV/0!</v>
      </c>
      <c r="AK262" s="974" t="e">
        <f>IF($F262="","",$F262*chronic_consumption!AF262/1000/$C$3)</f>
        <v>#DIV/0!</v>
      </c>
      <c r="AL262" s="974" t="e">
        <f>IF($F262="","",$F262*chronic_consumption!AG262/1000/$C$3)</f>
        <v>#DIV/0!</v>
      </c>
      <c r="AM262" s="974" t="e">
        <f>IF($F262="","",$F262*chronic_consumption!AH262/1000/$C$3)</f>
        <v>#DIV/0!</v>
      </c>
      <c r="AN262" s="974" t="e">
        <f>IF($F262="","",$F262*chronic_consumption!AI262/1000/$C$3)</f>
        <v>#DIV/0!</v>
      </c>
      <c r="AO262" s="974" t="e">
        <f>IF($F262="","",$F262*chronic_consumption!AJ262/1000/$C$3)</f>
        <v>#DIV/0!</v>
      </c>
      <c r="AP262" s="974" t="e">
        <f>IF($F262="","",$F262*chronic_consumption!AK262/1000/$C$3)</f>
        <v>#DIV/0!</v>
      </c>
      <c r="AQ262" s="974" t="e">
        <f>IF($F262="","",$F262*chronic_consumption!AL262/1000/$C$3)</f>
        <v>#DIV/0!</v>
      </c>
      <c r="AR262" s="974" t="e">
        <f>IF($F262="","",$F262*chronic_consumption!AM262/1000/$C$3)</f>
        <v>#DIV/0!</v>
      </c>
      <c r="AS262" s="974" t="e">
        <f>IF($F262="","",$F262*chronic_consumption!AN262/1000/$C$3)</f>
        <v>#DIV/0!</v>
      </c>
      <c r="AT262" s="974" t="e">
        <f>IF($F262="","",$F262*chronic_consumption!AO262/1000/$C$3)</f>
        <v>#DIV/0!</v>
      </c>
      <c r="AU262" s="974"/>
      <c r="AV262" s="974" t="e">
        <f>IF($F262="","",$F262*chronic_consumption!AQ262/1000/$C$3)</f>
        <v>#DIV/0!</v>
      </c>
      <c r="AW262" s="974" t="e">
        <f>IF($F262="","",$F262*chronic_consumption!AR262/1000/$C$3)</f>
        <v>#DIV/0!</v>
      </c>
      <c r="AX262" s="974" t="e">
        <f>IF($F262="","",$F262*chronic_consumption!AS262/1000/$C$3)</f>
        <v>#DIV/0!</v>
      </c>
      <c r="AY262" s="974" t="e">
        <f>IF($F262="","",$F262*chronic_consumption!AT262/1000/$C$3)</f>
        <v>#DIV/0!</v>
      </c>
      <c r="AZ262" s="973" t="s">
        <v>19</v>
      </c>
      <c r="BA262" s="969" t="e">
        <f t="shared" si="19"/>
        <v>#DIV/0!</v>
      </c>
      <c r="BB262" s="970" t="e">
        <f t="shared" si="20"/>
        <v>#DIV/0!</v>
      </c>
      <c r="BC262" s="971" t="e">
        <f t="shared" ca="1" si="21"/>
        <v>#DIV/0!</v>
      </c>
      <c r="BD262" s="228">
        <f>input_values!Z262</f>
        <v>4</v>
      </c>
      <c r="BE262" s="152">
        <f>input_values!L262</f>
        <v>0</v>
      </c>
      <c r="BF262" s="972" t="str">
        <f t="shared" si="22"/>
        <v/>
      </c>
    </row>
    <row r="263" spans="1:58" ht="12" customHeight="1" outlineLevel="3" x14ac:dyDescent="0.2">
      <c r="A263" s="21">
        <v>4</v>
      </c>
      <c r="B263" s="23">
        <v>631990</v>
      </c>
      <c r="C263" s="23" t="s">
        <v>180</v>
      </c>
      <c r="D263" s="965">
        <f>Table22[[#This Row],[MRL individual commodity]]</f>
        <v>0</v>
      </c>
      <c r="E263" s="300" t="str">
        <f>Table22[[#This Row],[LOQ_label]]</f>
        <v/>
      </c>
      <c r="F263" s="966">
        <f>Table22[[#This Row],[Chronic RA input value]]</f>
        <v>0</v>
      </c>
      <c r="G263" s="304" t="str">
        <f>Table22[[#This Row],[Chronic RA label]]</f>
        <v/>
      </c>
      <c r="H263" s="304">
        <f>Table22[[#This Row],[GAP under assessment]]</f>
        <v>0</v>
      </c>
      <c r="I263" s="1123"/>
      <c r="J263" s="974" t="e">
        <f>IF($F263="","",$F263*chronic_consumption!$E263/1000/$C$3)</f>
        <v>#DIV/0!</v>
      </c>
      <c r="K263" s="974" t="e">
        <f>IF($F263="","",$F263*chronic_consumption!F263/1000/$C$3)</f>
        <v>#DIV/0!</v>
      </c>
      <c r="L263" s="974" t="e">
        <f>IF($F263="","",$F263*chronic_consumption!G263/1000/$C$3)</f>
        <v>#DIV/0!</v>
      </c>
      <c r="M263" s="974" t="e">
        <f>IF($F263="","",$F263*chronic_consumption!H263/1000/$C$3)</f>
        <v>#DIV/0!</v>
      </c>
      <c r="N263" s="974" t="e">
        <f>IF($F263="","",$F263*chronic_consumption!I263/1000/$C$3)</f>
        <v>#DIV/0!</v>
      </c>
      <c r="O263" s="974" t="e">
        <f>IF($F263="","",$F263*chronic_consumption!J263/1000/$C$3)</f>
        <v>#DIV/0!</v>
      </c>
      <c r="P263" s="974" t="e">
        <f>IF($F263="","",$F263*chronic_consumption!K263/1000/$C$3)</f>
        <v>#DIV/0!</v>
      </c>
      <c r="Q263" s="974" t="e">
        <f>IF($F263="","",$F263*chronic_consumption!L263/1000/$C$3)</f>
        <v>#DIV/0!</v>
      </c>
      <c r="R263" s="974" t="e">
        <f>IF($F263="","",$F263*chronic_consumption!M263/1000/$C$3)</f>
        <v>#DIV/0!</v>
      </c>
      <c r="S263" s="974" t="e">
        <f>IF($F263="","",$F263*chronic_consumption!N263/1000/$C$3)</f>
        <v>#DIV/0!</v>
      </c>
      <c r="T263" s="974" t="e">
        <f>IF($F263="","",$F263*chronic_consumption!O263/1000/$C$3)</f>
        <v>#DIV/0!</v>
      </c>
      <c r="U263" s="974" t="e">
        <f>IF($F263="","",$F263*chronic_consumption!P263/1000/$C$3)</f>
        <v>#DIV/0!</v>
      </c>
      <c r="V263" s="974" t="e">
        <f>IF($F263="","",$F263*chronic_consumption!Q263/1000/$C$3)</f>
        <v>#DIV/0!</v>
      </c>
      <c r="W263" s="974" t="e">
        <f>IF($F263="","",$F263*chronic_consumption!R263/1000/$C$3)</f>
        <v>#DIV/0!</v>
      </c>
      <c r="X263" s="974" t="e">
        <f>IF($F263="","",$F263*chronic_consumption!S263/1000/$C$3)</f>
        <v>#DIV/0!</v>
      </c>
      <c r="Y263" s="974" t="e">
        <f>IF($F263="","",$F263*chronic_consumption!T263/1000/$C$3)</f>
        <v>#DIV/0!</v>
      </c>
      <c r="Z263" s="974" t="e">
        <f>IF($F263="","",$F263*chronic_consumption!U263/1000/$C$3)</f>
        <v>#DIV/0!</v>
      </c>
      <c r="AA263" s="974" t="e">
        <f>IF($F263="","",$F263*chronic_consumption!V263/1000/$C$3)</f>
        <v>#DIV/0!</v>
      </c>
      <c r="AB263" s="974" t="e">
        <f>IF($F263="","",$F263*chronic_consumption!W263/1000/$C$3)</f>
        <v>#DIV/0!</v>
      </c>
      <c r="AC263" s="974" t="e">
        <f>IF($F263="","",$F263*chronic_consumption!X263/1000/$C$3)</f>
        <v>#DIV/0!</v>
      </c>
      <c r="AD263" s="974" t="e">
        <f>IF($F263="","",$F263*chronic_consumption!Y263/1000/$C$3)</f>
        <v>#DIV/0!</v>
      </c>
      <c r="AE263" s="974" t="e">
        <f>IF($F263="","",$F263*chronic_consumption!Z263/1000/$C$3)</f>
        <v>#DIV/0!</v>
      </c>
      <c r="AF263" s="974" t="e">
        <f>IF($F263="","",$F263*chronic_consumption!AA263/1000/$C$3)</f>
        <v>#DIV/0!</v>
      </c>
      <c r="AG263" s="974" t="e">
        <f>IF($F263="","",$F263*chronic_consumption!AB263/1000/$C$3)</f>
        <v>#DIV/0!</v>
      </c>
      <c r="AH263" s="974" t="e">
        <f>IF($F263="","",$F263*chronic_consumption!AC263/1000/$C$3)</f>
        <v>#DIV/0!</v>
      </c>
      <c r="AI263" s="974" t="e">
        <f>IF($F263="","",$F263*chronic_consumption!AD263/1000/$C$3)</f>
        <v>#DIV/0!</v>
      </c>
      <c r="AJ263" s="974" t="e">
        <f>IF($F263="","",$F263*chronic_consumption!AE263/1000/$C$3)</f>
        <v>#DIV/0!</v>
      </c>
      <c r="AK263" s="974" t="e">
        <f>IF($F263="","",$F263*chronic_consumption!AF263/1000/$C$3)</f>
        <v>#DIV/0!</v>
      </c>
      <c r="AL263" s="974" t="e">
        <f>IF($F263="","",$F263*chronic_consumption!AG263/1000/$C$3)</f>
        <v>#DIV/0!</v>
      </c>
      <c r="AM263" s="974" t="e">
        <f>IF($F263="","",$F263*chronic_consumption!AH263/1000/$C$3)</f>
        <v>#DIV/0!</v>
      </c>
      <c r="AN263" s="974" t="e">
        <f>IF($F263="","",$F263*chronic_consumption!AI263/1000/$C$3)</f>
        <v>#DIV/0!</v>
      </c>
      <c r="AO263" s="974" t="e">
        <f>IF($F263="","",$F263*chronic_consumption!AJ263/1000/$C$3)</f>
        <v>#DIV/0!</v>
      </c>
      <c r="AP263" s="974" t="e">
        <f>IF($F263="","",$F263*chronic_consumption!AK263/1000/$C$3)</f>
        <v>#DIV/0!</v>
      </c>
      <c r="AQ263" s="974" t="e">
        <f>IF($F263="","",$F263*chronic_consumption!AL263/1000/$C$3)</f>
        <v>#DIV/0!</v>
      </c>
      <c r="AR263" s="974" t="e">
        <f>IF($F263="","",$F263*chronic_consumption!AM263/1000/$C$3)</f>
        <v>#DIV/0!</v>
      </c>
      <c r="AS263" s="974" t="e">
        <f>IF($F263="","",$F263*chronic_consumption!AN263/1000/$C$3)</f>
        <v>#DIV/0!</v>
      </c>
      <c r="AT263" s="974" t="e">
        <f>IF($F263="","",$F263*chronic_consumption!AO263/1000/$C$3)</f>
        <v>#DIV/0!</v>
      </c>
      <c r="AU263" s="974"/>
      <c r="AV263" s="974" t="e">
        <f>IF($F263="","",$F263*chronic_consumption!AQ263/1000/$C$3)</f>
        <v>#DIV/0!</v>
      </c>
      <c r="AW263" s="974" t="e">
        <f>IF($F263="","",$F263*chronic_consumption!AR263/1000/$C$3)</f>
        <v>#DIV/0!</v>
      </c>
      <c r="AX263" s="974" t="e">
        <f>IF($F263="","",$F263*chronic_consumption!AS263/1000/$C$3)</f>
        <v>#DIV/0!</v>
      </c>
      <c r="AY263" s="974" t="e">
        <f>IF($F263="","",$F263*chronic_consumption!AT263/1000/$C$3)</f>
        <v>#DIV/0!</v>
      </c>
      <c r="AZ263" s="973" t="s">
        <v>19</v>
      </c>
      <c r="BA263" s="969" t="e">
        <f t="shared" si="19"/>
        <v>#DIV/0!</v>
      </c>
      <c r="BB263" s="970" t="e">
        <f t="shared" si="20"/>
        <v>#DIV/0!</v>
      </c>
      <c r="BC263" s="971" t="e">
        <f t="shared" ca="1" si="21"/>
        <v>#DIV/0!</v>
      </c>
      <c r="BD263" s="228">
        <f>input_values!Z263</f>
        <v>4</v>
      </c>
      <c r="BE263" s="152">
        <f>input_values!L263</f>
        <v>0</v>
      </c>
      <c r="BF263" s="972" t="str">
        <f t="shared" si="22"/>
        <v/>
      </c>
    </row>
    <row r="264" spans="1:58" ht="12" customHeight="1" outlineLevel="2" x14ac:dyDescent="0.2">
      <c r="A264" s="341">
        <v>3</v>
      </c>
      <c r="B264" s="3">
        <v>632000</v>
      </c>
      <c r="C264" s="3" t="s">
        <v>75</v>
      </c>
      <c r="D264" s="965">
        <f>Table22[[#This Row],[MRL individual commodity]]</f>
        <v>0</v>
      </c>
      <c r="E264" s="300">
        <f>Table22[[#This Row],[LOQ_label]]</f>
        <v>0</v>
      </c>
      <c r="F264" s="966">
        <f>Table22[[#This Row],[Chronic RA input value]]</f>
        <v>0</v>
      </c>
      <c r="G264" s="304">
        <f>Table22[[#This Row],[Chronic RA label]]</f>
        <v>0</v>
      </c>
      <c r="H264" s="304">
        <f>Table22[[#This Row],[GAP under assessment]]</f>
        <v>0</v>
      </c>
      <c r="I264" s="1123"/>
      <c r="J264" s="967" t="e">
        <f>IF($F264="","",$F264*chronic_consumption!$E264/1000/$C$3)</f>
        <v>#DIV/0!</v>
      </c>
      <c r="K264" s="967" t="e">
        <f>IF($F264="","",$F264*chronic_consumption!F264/1000/$C$3)</f>
        <v>#DIV/0!</v>
      </c>
      <c r="L264" s="967" t="e">
        <f>IF($F264="","",$F264*chronic_consumption!G264/1000/$C$3)</f>
        <v>#DIV/0!</v>
      </c>
      <c r="M264" s="967" t="e">
        <f>IF($F264="","",$F264*chronic_consumption!H264/1000/$C$3)</f>
        <v>#DIV/0!</v>
      </c>
      <c r="N264" s="967" t="e">
        <f>IF($F264="","",$F264*chronic_consumption!I264/1000/$C$3)</f>
        <v>#DIV/0!</v>
      </c>
      <c r="O264" s="967" t="e">
        <f>IF($F264="","",$F264*chronic_consumption!J264/1000/$C$3)</f>
        <v>#DIV/0!</v>
      </c>
      <c r="P264" s="967" t="e">
        <f>IF($F264="","",$F264*chronic_consumption!K264/1000/$C$3)</f>
        <v>#DIV/0!</v>
      </c>
      <c r="Q264" s="967" t="e">
        <f>IF($F264="","",$F264*chronic_consumption!L264/1000/$C$3)</f>
        <v>#DIV/0!</v>
      </c>
      <c r="R264" s="967" t="e">
        <f>IF($F264="","",$F264*chronic_consumption!M264/1000/$C$3)</f>
        <v>#DIV/0!</v>
      </c>
      <c r="S264" s="967" t="e">
        <f>IF($F264="","",$F264*chronic_consumption!N264/1000/$C$3)</f>
        <v>#DIV/0!</v>
      </c>
      <c r="T264" s="967" t="e">
        <f>IF($F264="","",$F264*chronic_consumption!O264/1000/$C$3)</f>
        <v>#DIV/0!</v>
      </c>
      <c r="U264" s="967" t="e">
        <f>IF($F264="","",$F264*chronic_consumption!P264/1000/$C$3)</f>
        <v>#DIV/0!</v>
      </c>
      <c r="V264" s="967" t="e">
        <f>IF($F264="","",$F264*chronic_consumption!Q264/1000/$C$3)</f>
        <v>#DIV/0!</v>
      </c>
      <c r="W264" s="967" t="e">
        <f>IF($F264="","",$F264*chronic_consumption!R264/1000/$C$3)</f>
        <v>#DIV/0!</v>
      </c>
      <c r="X264" s="967" t="e">
        <f>IF($F264="","",$F264*chronic_consumption!S264/1000/$C$3)</f>
        <v>#DIV/0!</v>
      </c>
      <c r="Y264" s="967" t="e">
        <f>IF($F264="","",$F264*chronic_consumption!T264/1000/$C$3)</f>
        <v>#DIV/0!</v>
      </c>
      <c r="Z264" s="967" t="e">
        <f>IF($F264="","",$F264*chronic_consumption!U264/1000/$C$3)</f>
        <v>#DIV/0!</v>
      </c>
      <c r="AA264" s="967" t="e">
        <f>IF($F264="","",$F264*chronic_consumption!V264/1000/$C$3)</f>
        <v>#DIV/0!</v>
      </c>
      <c r="AB264" s="967" t="e">
        <f>IF($F264="","",$F264*chronic_consumption!W264/1000/$C$3)</f>
        <v>#DIV/0!</v>
      </c>
      <c r="AC264" s="967" t="e">
        <f>IF($F264="","",$F264*chronic_consumption!X264/1000/$C$3)</f>
        <v>#DIV/0!</v>
      </c>
      <c r="AD264" s="967" t="e">
        <f>IF($F264="","",$F264*chronic_consumption!Y264/1000/$C$3)</f>
        <v>#DIV/0!</v>
      </c>
      <c r="AE264" s="967" t="e">
        <f>IF($F264="","",$F264*chronic_consumption!Z264/1000/$C$3)</f>
        <v>#DIV/0!</v>
      </c>
      <c r="AF264" s="967" t="e">
        <f>IF($F264="","",$F264*chronic_consumption!AA264/1000/$C$3)</f>
        <v>#DIV/0!</v>
      </c>
      <c r="AG264" s="967" t="e">
        <f>IF($F264="","",$F264*chronic_consumption!AB264/1000/$C$3)</f>
        <v>#DIV/0!</v>
      </c>
      <c r="AH264" s="967" t="e">
        <f>IF($F264="","",$F264*chronic_consumption!AC264/1000/$C$3)</f>
        <v>#DIV/0!</v>
      </c>
      <c r="AI264" s="967" t="e">
        <f>IF($F264="","",$F264*chronic_consumption!AD264/1000/$C$3)</f>
        <v>#DIV/0!</v>
      </c>
      <c r="AJ264" s="967" t="e">
        <f>IF($F264="","",$F264*chronic_consumption!AE264/1000/$C$3)</f>
        <v>#DIV/0!</v>
      </c>
      <c r="AK264" s="967" t="e">
        <f>IF($F264="","",$F264*chronic_consumption!AF264/1000/$C$3)</f>
        <v>#DIV/0!</v>
      </c>
      <c r="AL264" s="967" t="e">
        <f>IF($F264="","",$F264*chronic_consumption!AG264/1000/$C$3)</f>
        <v>#DIV/0!</v>
      </c>
      <c r="AM264" s="967" t="e">
        <f>IF($F264="","",$F264*chronic_consumption!AH264/1000/$C$3)</f>
        <v>#DIV/0!</v>
      </c>
      <c r="AN264" s="967" t="e">
        <f>IF($F264="","",$F264*chronic_consumption!AI264/1000/$C$3)</f>
        <v>#DIV/0!</v>
      </c>
      <c r="AO264" s="967" t="e">
        <f>IF($F264="","",$F264*chronic_consumption!AJ264/1000/$C$3)</f>
        <v>#DIV/0!</v>
      </c>
      <c r="AP264" s="967" t="e">
        <f>IF($F264="","",$F264*chronic_consumption!AK264/1000/$C$3)</f>
        <v>#DIV/0!</v>
      </c>
      <c r="AQ264" s="967" t="e">
        <f>IF($F264="","",$F264*chronic_consumption!AL264/1000/$C$3)</f>
        <v>#DIV/0!</v>
      </c>
      <c r="AR264" s="967" t="e">
        <f>IF($F264="","",$F264*chronic_consumption!AM264/1000/$C$3)</f>
        <v>#DIV/0!</v>
      </c>
      <c r="AS264" s="967" t="e">
        <f>IF($F264="","",$F264*chronic_consumption!AN264/1000/$C$3)</f>
        <v>#DIV/0!</v>
      </c>
      <c r="AT264" s="967" t="e">
        <f>IF($F264="","",$F264*chronic_consumption!AO264/1000/$C$3)</f>
        <v>#DIV/0!</v>
      </c>
      <c r="AU264" s="967"/>
      <c r="AV264" s="967" t="e">
        <f>IF($F264="","",$F264*chronic_consumption!AQ264/1000/$C$3)</f>
        <v>#DIV/0!</v>
      </c>
      <c r="AW264" s="967" t="e">
        <f>IF($F264="","",$F264*chronic_consumption!AR264/1000/$C$3)</f>
        <v>#DIV/0!</v>
      </c>
      <c r="AX264" s="967" t="e">
        <f>IF($F264="","",$F264*chronic_consumption!AS264/1000/$C$3)</f>
        <v>#DIV/0!</v>
      </c>
      <c r="AY264" s="967" t="e">
        <f>IF($F264="","",$F264*chronic_consumption!AT264/1000/$C$3)</f>
        <v>#DIV/0!</v>
      </c>
      <c r="AZ264" s="973"/>
      <c r="BA264" s="969" t="e">
        <f t="shared" si="19"/>
        <v>#DIV/0!</v>
      </c>
      <c r="BB264" s="970" t="e">
        <f t="shared" si="20"/>
        <v>#DIV/0!</v>
      </c>
      <c r="BC264" s="971" t="e">
        <f t="shared" ca="1" si="21"/>
        <v>#DIV/0!</v>
      </c>
      <c r="BD264" s="228">
        <f>input_values!Z264</f>
        <v>4</v>
      </c>
      <c r="BE264" s="152">
        <f>input_values!L264</f>
        <v>0</v>
      </c>
      <c r="BF264" s="972" t="str">
        <f t="shared" si="22"/>
        <v/>
      </c>
    </row>
    <row r="265" spans="1:58" ht="12" customHeight="1" outlineLevel="3" x14ac:dyDescent="0.2">
      <c r="A265" s="21">
        <v>4</v>
      </c>
      <c r="B265" s="23">
        <v>632010</v>
      </c>
      <c r="C265" s="23" t="s">
        <v>162</v>
      </c>
      <c r="D265" s="965">
        <f>Table22[[#This Row],[MRL individual commodity]]</f>
        <v>0</v>
      </c>
      <c r="E265" s="300" t="str">
        <f>Table22[[#This Row],[LOQ_label]]</f>
        <v/>
      </c>
      <c r="F265" s="966">
        <f>Table22[[#This Row],[Chronic RA input value]]</f>
        <v>0</v>
      </c>
      <c r="G265" s="304" t="str">
        <f>Table22[[#This Row],[Chronic RA label]]</f>
        <v/>
      </c>
      <c r="H265" s="304">
        <f>Table22[[#This Row],[GAP under assessment]]</f>
        <v>0</v>
      </c>
      <c r="I265" s="1123"/>
      <c r="J265" s="974" t="e">
        <f>IF($F265="","",$F265*chronic_consumption!$E265/1000/$C$3)</f>
        <v>#DIV/0!</v>
      </c>
      <c r="K265" s="974" t="e">
        <f>IF($F265="","",$F265*chronic_consumption!F265/1000/$C$3)</f>
        <v>#DIV/0!</v>
      </c>
      <c r="L265" s="974" t="e">
        <f>IF($F265="","",$F265*chronic_consumption!G265/1000/$C$3)</f>
        <v>#DIV/0!</v>
      </c>
      <c r="M265" s="974" t="e">
        <f>IF($F265="","",$F265*chronic_consumption!H265/1000/$C$3)</f>
        <v>#DIV/0!</v>
      </c>
      <c r="N265" s="974" t="e">
        <f>IF($F265="","",$F265*chronic_consumption!I265/1000/$C$3)</f>
        <v>#DIV/0!</v>
      </c>
      <c r="O265" s="974" t="e">
        <f>IF($F265="","",$F265*chronic_consumption!J265/1000/$C$3)</f>
        <v>#DIV/0!</v>
      </c>
      <c r="P265" s="974" t="e">
        <f>IF($F265="","",$F265*chronic_consumption!K265/1000/$C$3)</f>
        <v>#DIV/0!</v>
      </c>
      <c r="Q265" s="974" t="e">
        <f>IF($F265="","",$F265*chronic_consumption!L265/1000/$C$3)</f>
        <v>#DIV/0!</v>
      </c>
      <c r="R265" s="974" t="e">
        <f>IF($F265="","",$F265*chronic_consumption!M265/1000/$C$3)</f>
        <v>#DIV/0!</v>
      </c>
      <c r="S265" s="974" t="e">
        <f>IF($F265="","",$F265*chronic_consumption!N265/1000/$C$3)</f>
        <v>#DIV/0!</v>
      </c>
      <c r="T265" s="974" t="e">
        <f>IF($F265="","",$F265*chronic_consumption!O265/1000/$C$3)</f>
        <v>#DIV/0!</v>
      </c>
      <c r="U265" s="974" t="e">
        <f>IF($F265="","",$F265*chronic_consumption!P265/1000/$C$3)</f>
        <v>#DIV/0!</v>
      </c>
      <c r="V265" s="974" t="e">
        <f>IF($F265="","",$F265*chronic_consumption!Q265/1000/$C$3)</f>
        <v>#DIV/0!</v>
      </c>
      <c r="W265" s="974" t="e">
        <f>IF($F265="","",$F265*chronic_consumption!R265/1000/$C$3)</f>
        <v>#DIV/0!</v>
      </c>
      <c r="X265" s="974" t="e">
        <f>IF($F265="","",$F265*chronic_consumption!S265/1000/$C$3)</f>
        <v>#DIV/0!</v>
      </c>
      <c r="Y265" s="974" t="e">
        <f>IF($F265="","",$F265*chronic_consumption!T265/1000/$C$3)</f>
        <v>#DIV/0!</v>
      </c>
      <c r="Z265" s="974" t="e">
        <f>IF($F265="","",$F265*chronic_consumption!U265/1000/$C$3)</f>
        <v>#DIV/0!</v>
      </c>
      <c r="AA265" s="974" t="e">
        <f>IF($F265="","",$F265*chronic_consumption!V265/1000/$C$3)</f>
        <v>#DIV/0!</v>
      </c>
      <c r="AB265" s="974" t="e">
        <f>IF($F265="","",$F265*chronic_consumption!W265/1000/$C$3)</f>
        <v>#DIV/0!</v>
      </c>
      <c r="AC265" s="974" t="e">
        <f>IF($F265="","",$F265*chronic_consumption!X265/1000/$C$3)</f>
        <v>#DIV/0!</v>
      </c>
      <c r="AD265" s="974" t="e">
        <f>IF($F265="","",$F265*chronic_consumption!Y265/1000/$C$3)</f>
        <v>#DIV/0!</v>
      </c>
      <c r="AE265" s="974" t="e">
        <f>IF($F265="","",$F265*chronic_consumption!Z265/1000/$C$3)</f>
        <v>#DIV/0!</v>
      </c>
      <c r="AF265" s="974" t="e">
        <f>IF($F265="","",$F265*chronic_consumption!AA265/1000/$C$3)</f>
        <v>#DIV/0!</v>
      </c>
      <c r="AG265" s="974" t="e">
        <f>IF($F265="","",$F265*chronic_consumption!AB265/1000/$C$3)</f>
        <v>#DIV/0!</v>
      </c>
      <c r="AH265" s="974" t="e">
        <f>IF($F265="","",$F265*chronic_consumption!AC265/1000/$C$3)</f>
        <v>#DIV/0!</v>
      </c>
      <c r="AI265" s="974" t="e">
        <f>IF($F265="","",$F265*chronic_consumption!AD265/1000/$C$3)</f>
        <v>#DIV/0!</v>
      </c>
      <c r="AJ265" s="974" t="e">
        <f>IF($F265="","",$F265*chronic_consumption!AE265/1000/$C$3)</f>
        <v>#DIV/0!</v>
      </c>
      <c r="AK265" s="974" t="e">
        <f>IF($F265="","",$F265*chronic_consumption!AF265/1000/$C$3)</f>
        <v>#DIV/0!</v>
      </c>
      <c r="AL265" s="974" t="e">
        <f>IF($F265="","",$F265*chronic_consumption!AG265/1000/$C$3)</f>
        <v>#DIV/0!</v>
      </c>
      <c r="AM265" s="974" t="e">
        <f>IF($F265="","",$F265*chronic_consumption!AH265/1000/$C$3)</f>
        <v>#DIV/0!</v>
      </c>
      <c r="AN265" s="974" t="e">
        <f>IF($F265="","",$F265*chronic_consumption!AI265/1000/$C$3)</f>
        <v>#DIV/0!</v>
      </c>
      <c r="AO265" s="974" t="e">
        <f>IF($F265="","",$F265*chronic_consumption!AJ265/1000/$C$3)</f>
        <v>#DIV/0!</v>
      </c>
      <c r="AP265" s="974" t="e">
        <f>IF($F265="","",$F265*chronic_consumption!AK265/1000/$C$3)</f>
        <v>#DIV/0!</v>
      </c>
      <c r="AQ265" s="974" t="e">
        <f>IF($F265="","",$F265*chronic_consumption!AL265/1000/$C$3)</f>
        <v>#DIV/0!</v>
      </c>
      <c r="AR265" s="974" t="e">
        <f>IF($F265="","",$F265*chronic_consumption!AM265/1000/$C$3)</f>
        <v>#DIV/0!</v>
      </c>
      <c r="AS265" s="974" t="e">
        <f>IF($F265="","",$F265*chronic_consumption!AN265/1000/$C$3)</f>
        <v>#DIV/0!</v>
      </c>
      <c r="AT265" s="974" t="e">
        <f>IF($F265="","",$F265*chronic_consumption!AO265/1000/$C$3)</f>
        <v>#DIV/0!</v>
      </c>
      <c r="AU265" s="974"/>
      <c r="AV265" s="974" t="e">
        <f>IF($F265="","",$F265*chronic_consumption!AQ265/1000/$C$3)</f>
        <v>#DIV/0!</v>
      </c>
      <c r="AW265" s="974" t="e">
        <f>IF($F265="","",$F265*chronic_consumption!AR265/1000/$C$3)</f>
        <v>#DIV/0!</v>
      </c>
      <c r="AX265" s="974" t="e">
        <f>IF($F265="","",$F265*chronic_consumption!AS265/1000/$C$3)</f>
        <v>#DIV/0!</v>
      </c>
      <c r="AY265" s="974" t="e">
        <f>IF($F265="","",$F265*chronic_consumption!AT265/1000/$C$3)</f>
        <v>#DIV/0!</v>
      </c>
      <c r="AZ265" s="973" t="s">
        <v>19</v>
      </c>
      <c r="BA265" s="969" t="e">
        <f t="shared" si="19"/>
        <v>#DIV/0!</v>
      </c>
      <c r="BB265" s="970" t="e">
        <f t="shared" si="20"/>
        <v>#DIV/0!</v>
      </c>
      <c r="BC265" s="971" t="e">
        <f t="shared" ca="1" si="21"/>
        <v>#DIV/0!</v>
      </c>
      <c r="BD265" s="228">
        <f>input_values!Z265</f>
        <v>4</v>
      </c>
      <c r="BE265" s="152">
        <f>input_values!L265</f>
        <v>0</v>
      </c>
      <c r="BF265" s="972" t="str">
        <f t="shared" si="22"/>
        <v/>
      </c>
    </row>
    <row r="266" spans="1:58" ht="12" customHeight="1" outlineLevel="3" x14ac:dyDescent="0.2">
      <c r="A266" s="21">
        <v>4</v>
      </c>
      <c r="B266" s="23">
        <v>632020</v>
      </c>
      <c r="C266" s="23" t="s">
        <v>771</v>
      </c>
      <c r="D266" s="965">
        <f>Table22[[#This Row],[MRL individual commodity]]</f>
        <v>0</v>
      </c>
      <c r="E266" s="300" t="str">
        <f>Table22[[#This Row],[LOQ_label]]</f>
        <v/>
      </c>
      <c r="F266" s="966">
        <f>Table22[[#This Row],[Chronic RA input value]]</f>
        <v>0</v>
      </c>
      <c r="G266" s="304" t="str">
        <f>Table22[[#This Row],[Chronic RA label]]</f>
        <v/>
      </c>
      <c r="H266" s="304">
        <f>Table22[[#This Row],[GAP under assessment]]</f>
        <v>0</v>
      </c>
      <c r="I266" s="1123"/>
      <c r="J266" s="974" t="e">
        <f>IF($F266="","",$F266*chronic_consumption!$E266/1000/$C$3)</f>
        <v>#DIV/0!</v>
      </c>
      <c r="K266" s="974" t="e">
        <f>IF($F266="","",$F266*chronic_consumption!F266/1000/$C$3)</f>
        <v>#DIV/0!</v>
      </c>
      <c r="L266" s="974" t="e">
        <f>IF($F266="","",$F266*chronic_consumption!G266/1000/$C$3)</f>
        <v>#DIV/0!</v>
      </c>
      <c r="M266" s="974" t="e">
        <f>IF($F266="","",$F266*chronic_consumption!H266/1000/$C$3)</f>
        <v>#DIV/0!</v>
      </c>
      <c r="N266" s="974" t="e">
        <f>IF($F266="","",$F266*chronic_consumption!I266/1000/$C$3)</f>
        <v>#DIV/0!</v>
      </c>
      <c r="O266" s="974" t="e">
        <f>IF($F266="","",$F266*chronic_consumption!J266/1000/$C$3)</f>
        <v>#DIV/0!</v>
      </c>
      <c r="P266" s="974" t="e">
        <f>IF($F266="","",$F266*chronic_consumption!K266/1000/$C$3)</f>
        <v>#DIV/0!</v>
      </c>
      <c r="Q266" s="974" t="e">
        <f>IF($F266="","",$F266*chronic_consumption!L266/1000/$C$3)</f>
        <v>#DIV/0!</v>
      </c>
      <c r="R266" s="974" t="e">
        <f>IF($F266="","",$F266*chronic_consumption!M266/1000/$C$3)</f>
        <v>#DIV/0!</v>
      </c>
      <c r="S266" s="974" t="e">
        <f>IF($F266="","",$F266*chronic_consumption!N266/1000/$C$3)</f>
        <v>#DIV/0!</v>
      </c>
      <c r="T266" s="974" t="e">
        <f>IF($F266="","",$F266*chronic_consumption!O266/1000/$C$3)</f>
        <v>#DIV/0!</v>
      </c>
      <c r="U266" s="974" t="e">
        <f>IF($F266="","",$F266*chronic_consumption!P266/1000/$C$3)</f>
        <v>#DIV/0!</v>
      </c>
      <c r="V266" s="974" t="e">
        <f>IF($F266="","",$F266*chronic_consumption!Q266/1000/$C$3)</f>
        <v>#DIV/0!</v>
      </c>
      <c r="W266" s="974" t="e">
        <f>IF($F266="","",$F266*chronic_consumption!R266/1000/$C$3)</f>
        <v>#DIV/0!</v>
      </c>
      <c r="X266" s="974" t="e">
        <f>IF($F266="","",$F266*chronic_consumption!S266/1000/$C$3)</f>
        <v>#DIV/0!</v>
      </c>
      <c r="Y266" s="974" t="e">
        <f>IF($F266="","",$F266*chronic_consumption!T266/1000/$C$3)</f>
        <v>#DIV/0!</v>
      </c>
      <c r="Z266" s="974" t="e">
        <f>IF($F266="","",$F266*chronic_consumption!U266/1000/$C$3)</f>
        <v>#DIV/0!</v>
      </c>
      <c r="AA266" s="974" t="e">
        <f>IF($F266="","",$F266*chronic_consumption!V266/1000/$C$3)</f>
        <v>#DIV/0!</v>
      </c>
      <c r="AB266" s="974" t="e">
        <f>IF($F266="","",$F266*chronic_consumption!W266/1000/$C$3)</f>
        <v>#DIV/0!</v>
      </c>
      <c r="AC266" s="974" t="e">
        <f>IF($F266="","",$F266*chronic_consumption!X266/1000/$C$3)</f>
        <v>#DIV/0!</v>
      </c>
      <c r="AD266" s="974" t="e">
        <f>IF($F266="","",$F266*chronic_consumption!Y266/1000/$C$3)</f>
        <v>#DIV/0!</v>
      </c>
      <c r="AE266" s="974" t="e">
        <f>IF($F266="","",$F266*chronic_consumption!Z266/1000/$C$3)</f>
        <v>#DIV/0!</v>
      </c>
      <c r="AF266" s="974" t="e">
        <f>IF($F266="","",$F266*chronic_consumption!AA266/1000/$C$3)</f>
        <v>#DIV/0!</v>
      </c>
      <c r="AG266" s="974" t="e">
        <f>IF($F266="","",$F266*chronic_consumption!AB266/1000/$C$3)</f>
        <v>#DIV/0!</v>
      </c>
      <c r="AH266" s="974" t="e">
        <f>IF($F266="","",$F266*chronic_consumption!AC266/1000/$C$3)</f>
        <v>#DIV/0!</v>
      </c>
      <c r="AI266" s="974" t="e">
        <f>IF($F266="","",$F266*chronic_consumption!AD266/1000/$C$3)</f>
        <v>#DIV/0!</v>
      </c>
      <c r="AJ266" s="974" t="e">
        <f>IF($F266="","",$F266*chronic_consumption!AE266/1000/$C$3)</f>
        <v>#DIV/0!</v>
      </c>
      <c r="AK266" s="974" t="e">
        <f>IF($F266="","",$F266*chronic_consumption!AF266/1000/$C$3)</f>
        <v>#DIV/0!</v>
      </c>
      <c r="AL266" s="974" t="e">
        <f>IF($F266="","",$F266*chronic_consumption!AG266/1000/$C$3)</f>
        <v>#DIV/0!</v>
      </c>
      <c r="AM266" s="974" t="e">
        <f>IF($F266="","",$F266*chronic_consumption!AH266/1000/$C$3)</f>
        <v>#DIV/0!</v>
      </c>
      <c r="AN266" s="974" t="e">
        <f>IF($F266="","",$F266*chronic_consumption!AI266/1000/$C$3)</f>
        <v>#DIV/0!</v>
      </c>
      <c r="AO266" s="974" t="e">
        <f>IF($F266="","",$F266*chronic_consumption!AJ266/1000/$C$3)</f>
        <v>#DIV/0!</v>
      </c>
      <c r="AP266" s="974" t="e">
        <f>IF($F266="","",$F266*chronic_consumption!AK266/1000/$C$3)</f>
        <v>#DIV/0!</v>
      </c>
      <c r="AQ266" s="974" t="e">
        <f>IF($F266="","",$F266*chronic_consumption!AL266/1000/$C$3)</f>
        <v>#DIV/0!</v>
      </c>
      <c r="AR266" s="974" t="e">
        <f>IF($F266="","",$F266*chronic_consumption!AM266/1000/$C$3)</f>
        <v>#DIV/0!</v>
      </c>
      <c r="AS266" s="974" t="e">
        <f>IF($F266="","",$F266*chronic_consumption!AN266/1000/$C$3)</f>
        <v>#DIV/0!</v>
      </c>
      <c r="AT266" s="974" t="e">
        <f>IF($F266="","",$F266*chronic_consumption!AO266/1000/$C$3)</f>
        <v>#DIV/0!</v>
      </c>
      <c r="AU266" s="974"/>
      <c r="AV266" s="974" t="e">
        <f>IF($F266="","",$F266*chronic_consumption!AQ266/1000/$C$3)</f>
        <v>#DIV/0!</v>
      </c>
      <c r="AW266" s="974" t="e">
        <f>IF($F266="","",$F266*chronic_consumption!AR266/1000/$C$3)</f>
        <v>#DIV/0!</v>
      </c>
      <c r="AX266" s="974" t="e">
        <f>IF($F266="","",$F266*chronic_consumption!AS266/1000/$C$3)</f>
        <v>#DIV/0!</v>
      </c>
      <c r="AY266" s="974" t="e">
        <f>IF($F266="","",$F266*chronic_consumption!AT266/1000/$C$3)</f>
        <v>#DIV/0!</v>
      </c>
      <c r="AZ266" s="973" t="s">
        <v>19</v>
      </c>
      <c r="BA266" s="969" t="e">
        <f t="shared" si="19"/>
        <v>#DIV/0!</v>
      </c>
      <c r="BB266" s="970" t="e">
        <f t="shared" si="20"/>
        <v>#DIV/0!</v>
      </c>
      <c r="BC266" s="971" t="e">
        <f t="shared" ca="1" si="21"/>
        <v>#DIV/0!</v>
      </c>
      <c r="BD266" s="228">
        <f>input_values!Z266</f>
        <v>4</v>
      </c>
      <c r="BE266" s="152">
        <f>input_values!L266</f>
        <v>0</v>
      </c>
      <c r="BF266" s="972" t="str">
        <f t="shared" si="22"/>
        <v/>
      </c>
    </row>
    <row r="267" spans="1:58" ht="12" customHeight="1" outlineLevel="3" x14ac:dyDescent="0.2">
      <c r="A267" s="21">
        <v>4</v>
      </c>
      <c r="B267" s="23">
        <v>632030</v>
      </c>
      <c r="C267" s="23" t="s">
        <v>772</v>
      </c>
      <c r="D267" s="965">
        <f>Table22[[#This Row],[MRL individual commodity]]</f>
        <v>0</v>
      </c>
      <c r="E267" s="300" t="str">
        <f>Table22[[#This Row],[LOQ_label]]</f>
        <v/>
      </c>
      <c r="F267" s="966">
        <f>Table22[[#This Row],[Chronic RA input value]]</f>
        <v>0</v>
      </c>
      <c r="G267" s="304" t="str">
        <f>Table22[[#This Row],[Chronic RA label]]</f>
        <v/>
      </c>
      <c r="H267" s="304">
        <f>Table22[[#This Row],[GAP under assessment]]</f>
        <v>0</v>
      </c>
      <c r="I267" s="1123"/>
      <c r="J267" s="974" t="e">
        <f>IF($F267="","",$F267*chronic_consumption!$E267/1000/$C$3)</f>
        <v>#DIV/0!</v>
      </c>
      <c r="K267" s="974" t="e">
        <f>IF($F267="","",$F267*chronic_consumption!F267/1000/$C$3)</f>
        <v>#DIV/0!</v>
      </c>
      <c r="L267" s="974" t="e">
        <f>IF($F267="","",$F267*chronic_consumption!G267/1000/$C$3)</f>
        <v>#DIV/0!</v>
      </c>
      <c r="M267" s="974" t="e">
        <f>IF($F267="","",$F267*chronic_consumption!H267/1000/$C$3)</f>
        <v>#DIV/0!</v>
      </c>
      <c r="N267" s="974" t="e">
        <f>IF($F267="","",$F267*chronic_consumption!I267/1000/$C$3)</f>
        <v>#DIV/0!</v>
      </c>
      <c r="O267" s="974" t="e">
        <f>IF($F267="","",$F267*chronic_consumption!J267/1000/$C$3)</f>
        <v>#DIV/0!</v>
      </c>
      <c r="P267" s="974" t="e">
        <f>IF($F267="","",$F267*chronic_consumption!K267/1000/$C$3)</f>
        <v>#DIV/0!</v>
      </c>
      <c r="Q267" s="974" t="e">
        <f>IF($F267="","",$F267*chronic_consumption!L267/1000/$C$3)</f>
        <v>#DIV/0!</v>
      </c>
      <c r="R267" s="974" t="e">
        <f>IF($F267="","",$F267*chronic_consumption!M267/1000/$C$3)</f>
        <v>#DIV/0!</v>
      </c>
      <c r="S267" s="974" t="e">
        <f>IF($F267="","",$F267*chronic_consumption!N267/1000/$C$3)</f>
        <v>#DIV/0!</v>
      </c>
      <c r="T267" s="974" t="e">
        <f>IF($F267="","",$F267*chronic_consumption!O267/1000/$C$3)</f>
        <v>#DIV/0!</v>
      </c>
      <c r="U267" s="974" t="e">
        <f>IF($F267="","",$F267*chronic_consumption!P267/1000/$C$3)</f>
        <v>#DIV/0!</v>
      </c>
      <c r="V267" s="974" t="e">
        <f>IF($F267="","",$F267*chronic_consumption!Q267/1000/$C$3)</f>
        <v>#DIV/0!</v>
      </c>
      <c r="W267" s="974" t="e">
        <f>IF($F267="","",$F267*chronic_consumption!R267/1000/$C$3)</f>
        <v>#DIV/0!</v>
      </c>
      <c r="X267" s="974" t="e">
        <f>IF($F267="","",$F267*chronic_consumption!S267/1000/$C$3)</f>
        <v>#DIV/0!</v>
      </c>
      <c r="Y267" s="974" t="e">
        <f>IF($F267="","",$F267*chronic_consumption!T267/1000/$C$3)</f>
        <v>#DIV/0!</v>
      </c>
      <c r="Z267" s="974" t="e">
        <f>IF($F267="","",$F267*chronic_consumption!U267/1000/$C$3)</f>
        <v>#DIV/0!</v>
      </c>
      <c r="AA267" s="974" t="e">
        <f>IF($F267="","",$F267*chronic_consumption!V267/1000/$C$3)</f>
        <v>#DIV/0!</v>
      </c>
      <c r="AB267" s="974" t="e">
        <f>IF($F267="","",$F267*chronic_consumption!W267/1000/$C$3)</f>
        <v>#DIV/0!</v>
      </c>
      <c r="AC267" s="974" t="e">
        <f>IF($F267="","",$F267*chronic_consumption!X267/1000/$C$3)</f>
        <v>#DIV/0!</v>
      </c>
      <c r="AD267" s="974" t="e">
        <f>IF($F267="","",$F267*chronic_consumption!Y267/1000/$C$3)</f>
        <v>#DIV/0!</v>
      </c>
      <c r="AE267" s="974" t="e">
        <f>IF($F267="","",$F267*chronic_consumption!Z267/1000/$C$3)</f>
        <v>#DIV/0!</v>
      </c>
      <c r="AF267" s="974" t="e">
        <f>IF($F267="","",$F267*chronic_consumption!AA267/1000/$C$3)</f>
        <v>#DIV/0!</v>
      </c>
      <c r="AG267" s="974" t="e">
        <f>IF($F267="","",$F267*chronic_consumption!AB267/1000/$C$3)</f>
        <v>#DIV/0!</v>
      </c>
      <c r="AH267" s="974" t="e">
        <f>IF($F267="","",$F267*chronic_consumption!AC267/1000/$C$3)</f>
        <v>#DIV/0!</v>
      </c>
      <c r="AI267" s="974" t="e">
        <f>IF($F267="","",$F267*chronic_consumption!AD267/1000/$C$3)</f>
        <v>#DIV/0!</v>
      </c>
      <c r="AJ267" s="974" t="e">
        <f>IF($F267="","",$F267*chronic_consumption!AE267/1000/$C$3)</f>
        <v>#DIV/0!</v>
      </c>
      <c r="AK267" s="974" t="e">
        <f>IF($F267="","",$F267*chronic_consumption!AF267/1000/$C$3)</f>
        <v>#DIV/0!</v>
      </c>
      <c r="AL267" s="974" t="e">
        <f>IF($F267="","",$F267*chronic_consumption!AG267/1000/$C$3)</f>
        <v>#DIV/0!</v>
      </c>
      <c r="AM267" s="974" t="e">
        <f>IF($F267="","",$F267*chronic_consumption!AH267/1000/$C$3)</f>
        <v>#DIV/0!</v>
      </c>
      <c r="AN267" s="974" t="e">
        <f>IF($F267="","",$F267*chronic_consumption!AI267/1000/$C$3)</f>
        <v>#DIV/0!</v>
      </c>
      <c r="AO267" s="974" t="e">
        <f>IF($F267="","",$F267*chronic_consumption!AJ267/1000/$C$3)</f>
        <v>#DIV/0!</v>
      </c>
      <c r="AP267" s="974" t="e">
        <f>IF($F267="","",$F267*chronic_consumption!AK267/1000/$C$3)</f>
        <v>#DIV/0!</v>
      </c>
      <c r="AQ267" s="974" t="e">
        <f>IF($F267="","",$F267*chronic_consumption!AL267/1000/$C$3)</f>
        <v>#DIV/0!</v>
      </c>
      <c r="AR267" s="974" t="e">
        <f>IF($F267="","",$F267*chronic_consumption!AM267/1000/$C$3)</f>
        <v>#DIV/0!</v>
      </c>
      <c r="AS267" s="974" t="e">
        <f>IF($F267="","",$F267*chronic_consumption!AN267/1000/$C$3)</f>
        <v>#DIV/0!</v>
      </c>
      <c r="AT267" s="974" t="e">
        <f>IF($F267="","",$F267*chronic_consumption!AO267/1000/$C$3)</f>
        <v>#DIV/0!</v>
      </c>
      <c r="AU267" s="974"/>
      <c r="AV267" s="974" t="e">
        <f>IF($F267="","",$F267*chronic_consumption!AQ267/1000/$C$3)</f>
        <v>#DIV/0!</v>
      </c>
      <c r="AW267" s="974" t="e">
        <f>IF($F267="","",$F267*chronic_consumption!AR267/1000/$C$3)</f>
        <v>#DIV/0!</v>
      </c>
      <c r="AX267" s="974" t="e">
        <f>IF($F267="","",$F267*chronic_consumption!AS267/1000/$C$3)</f>
        <v>#DIV/0!</v>
      </c>
      <c r="AY267" s="974" t="e">
        <f>IF($F267="","",$F267*chronic_consumption!AT267/1000/$C$3)</f>
        <v>#DIV/0!</v>
      </c>
      <c r="AZ267" s="973" t="s">
        <v>19</v>
      </c>
      <c r="BA267" s="969" t="e">
        <f t="shared" si="19"/>
        <v>#DIV/0!</v>
      </c>
      <c r="BB267" s="970" t="e">
        <f t="shared" si="20"/>
        <v>#DIV/0!</v>
      </c>
      <c r="BC267" s="971" t="e">
        <f t="shared" ca="1" si="21"/>
        <v>#DIV/0!</v>
      </c>
      <c r="BD267" s="228">
        <f>input_values!Z267</f>
        <v>4</v>
      </c>
      <c r="BE267" s="152">
        <f>input_values!L267</f>
        <v>0</v>
      </c>
      <c r="BF267" s="972" t="str">
        <f t="shared" si="22"/>
        <v/>
      </c>
    </row>
    <row r="268" spans="1:58" ht="12" customHeight="1" outlineLevel="3" x14ac:dyDescent="0.2">
      <c r="A268" s="21">
        <v>4</v>
      </c>
      <c r="B268" s="23">
        <v>632990</v>
      </c>
      <c r="C268" s="23" t="s">
        <v>181</v>
      </c>
      <c r="D268" s="965">
        <f>Table22[[#This Row],[MRL individual commodity]]</f>
        <v>0</v>
      </c>
      <c r="E268" s="300" t="str">
        <f>Table22[[#This Row],[LOQ_label]]</f>
        <v/>
      </c>
      <c r="F268" s="966">
        <f>Table22[[#This Row],[Chronic RA input value]]</f>
        <v>0</v>
      </c>
      <c r="G268" s="304" t="str">
        <f>Table22[[#This Row],[Chronic RA label]]</f>
        <v/>
      </c>
      <c r="H268" s="304">
        <f>Table22[[#This Row],[GAP under assessment]]</f>
        <v>0</v>
      </c>
      <c r="I268" s="1123"/>
      <c r="J268" s="974" t="e">
        <f>IF($F268="","",$F268*chronic_consumption!$E268/1000/$C$3)</f>
        <v>#DIV/0!</v>
      </c>
      <c r="K268" s="974" t="e">
        <f>IF($F268="","",$F268*chronic_consumption!F268/1000/$C$3)</f>
        <v>#DIV/0!</v>
      </c>
      <c r="L268" s="974" t="e">
        <f>IF($F268="","",$F268*chronic_consumption!G268/1000/$C$3)</f>
        <v>#DIV/0!</v>
      </c>
      <c r="M268" s="974" t="e">
        <f>IF($F268="","",$F268*chronic_consumption!H268/1000/$C$3)</f>
        <v>#DIV/0!</v>
      </c>
      <c r="N268" s="974" t="e">
        <f>IF($F268="","",$F268*chronic_consumption!I268/1000/$C$3)</f>
        <v>#DIV/0!</v>
      </c>
      <c r="O268" s="974" t="e">
        <f>IF($F268="","",$F268*chronic_consumption!J268/1000/$C$3)</f>
        <v>#DIV/0!</v>
      </c>
      <c r="P268" s="974" t="e">
        <f>IF($F268="","",$F268*chronic_consumption!K268/1000/$C$3)</f>
        <v>#DIV/0!</v>
      </c>
      <c r="Q268" s="974" t="e">
        <f>IF($F268="","",$F268*chronic_consumption!L268/1000/$C$3)</f>
        <v>#DIV/0!</v>
      </c>
      <c r="R268" s="974" t="e">
        <f>IF($F268="","",$F268*chronic_consumption!M268/1000/$C$3)</f>
        <v>#DIV/0!</v>
      </c>
      <c r="S268" s="974" t="e">
        <f>IF($F268="","",$F268*chronic_consumption!N268/1000/$C$3)</f>
        <v>#DIV/0!</v>
      </c>
      <c r="T268" s="974" t="e">
        <f>IF($F268="","",$F268*chronic_consumption!O268/1000/$C$3)</f>
        <v>#DIV/0!</v>
      </c>
      <c r="U268" s="974" t="e">
        <f>IF($F268="","",$F268*chronic_consumption!P268/1000/$C$3)</f>
        <v>#DIV/0!</v>
      </c>
      <c r="V268" s="974" t="e">
        <f>IF($F268="","",$F268*chronic_consumption!Q268/1000/$C$3)</f>
        <v>#DIV/0!</v>
      </c>
      <c r="W268" s="974" t="e">
        <f>IF($F268="","",$F268*chronic_consumption!R268/1000/$C$3)</f>
        <v>#DIV/0!</v>
      </c>
      <c r="X268" s="974" t="e">
        <f>IF($F268="","",$F268*chronic_consumption!S268/1000/$C$3)</f>
        <v>#DIV/0!</v>
      </c>
      <c r="Y268" s="974" t="e">
        <f>IF($F268="","",$F268*chronic_consumption!T268/1000/$C$3)</f>
        <v>#DIV/0!</v>
      </c>
      <c r="Z268" s="974" t="e">
        <f>IF($F268="","",$F268*chronic_consumption!U268/1000/$C$3)</f>
        <v>#DIV/0!</v>
      </c>
      <c r="AA268" s="974" t="e">
        <f>IF($F268="","",$F268*chronic_consumption!V268/1000/$C$3)</f>
        <v>#DIV/0!</v>
      </c>
      <c r="AB268" s="974" t="e">
        <f>IF($F268="","",$F268*chronic_consumption!W268/1000/$C$3)</f>
        <v>#DIV/0!</v>
      </c>
      <c r="AC268" s="974" t="e">
        <f>IF($F268="","",$F268*chronic_consumption!X268/1000/$C$3)</f>
        <v>#DIV/0!</v>
      </c>
      <c r="AD268" s="974" t="e">
        <f>IF($F268="","",$F268*chronic_consumption!Y268/1000/$C$3)</f>
        <v>#DIV/0!</v>
      </c>
      <c r="AE268" s="974" t="e">
        <f>IF($F268="","",$F268*chronic_consumption!Z268/1000/$C$3)</f>
        <v>#DIV/0!</v>
      </c>
      <c r="AF268" s="974" t="e">
        <f>IF($F268="","",$F268*chronic_consumption!AA268/1000/$C$3)</f>
        <v>#DIV/0!</v>
      </c>
      <c r="AG268" s="974" t="e">
        <f>IF($F268="","",$F268*chronic_consumption!AB268/1000/$C$3)</f>
        <v>#DIV/0!</v>
      </c>
      <c r="AH268" s="974" t="e">
        <f>IF($F268="","",$F268*chronic_consumption!AC268/1000/$C$3)</f>
        <v>#DIV/0!</v>
      </c>
      <c r="AI268" s="974" t="e">
        <f>IF($F268="","",$F268*chronic_consumption!AD268/1000/$C$3)</f>
        <v>#DIV/0!</v>
      </c>
      <c r="AJ268" s="974" t="e">
        <f>IF($F268="","",$F268*chronic_consumption!AE268/1000/$C$3)</f>
        <v>#DIV/0!</v>
      </c>
      <c r="AK268" s="974" t="e">
        <f>IF($F268="","",$F268*chronic_consumption!AF268/1000/$C$3)</f>
        <v>#DIV/0!</v>
      </c>
      <c r="AL268" s="974" t="e">
        <f>IF($F268="","",$F268*chronic_consumption!AG268/1000/$C$3)</f>
        <v>#DIV/0!</v>
      </c>
      <c r="AM268" s="974" t="e">
        <f>IF($F268="","",$F268*chronic_consumption!AH268/1000/$C$3)</f>
        <v>#DIV/0!</v>
      </c>
      <c r="AN268" s="974" t="e">
        <f>IF($F268="","",$F268*chronic_consumption!AI268/1000/$C$3)</f>
        <v>#DIV/0!</v>
      </c>
      <c r="AO268" s="974" t="e">
        <f>IF($F268="","",$F268*chronic_consumption!AJ268/1000/$C$3)</f>
        <v>#DIV/0!</v>
      </c>
      <c r="AP268" s="974" t="e">
        <f>IF($F268="","",$F268*chronic_consumption!AK268/1000/$C$3)</f>
        <v>#DIV/0!</v>
      </c>
      <c r="AQ268" s="974" t="e">
        <f>IF($F268="","",$F268*chronic_consumption!AL268/1000/$C$3)</f>
        <v>#DIV/0!</v>
      </c>
      <c r="AR268" s="974" t="e">
        <f>IF($F268="","",$F268*chronic_consumption!AM268/1000/$C$3)</f>
        <v>#DIV/0!</v>
      </c>
      <c r="AS268" s="974" t="e">
        <f>IF($F268="","",$F268*chronic_consumption!AN268/1000/$C$3)</f>
        <v>#DIV/0!</v>
      </c>
      <c r="AT268" s="974" t="e">
        <f>IF($F268="","",$F268*chronic_consumption!AO268/1000/$C$3)</f>
        <v>#DIV/0!</v>
      </c>
      <c r="AU268" s="974"/>
      <c r="AV268" s="974" t="e">
        <f>IF($F268="","",$F268*chronic_consumption!AQ268/1000/$C$3)</f>
        <v>#DIV/0!</v>
      </c>
      <c r="AW268" s="974" t="e">
        <f>IF($F268="","",$F268*chronic_consumption!AR268/1000/$C$3)</f>
        <v>#DIV/0!</v>
      </c>
      <c r="AX268" s="974" t="e">
        <f>IF($F268="","",$F268*chronic_consumption!AS268/1000/$C$3)</f>
        <v>#DIV/0!</v>
      </c>
      <c r="AY268" s="974" t="e">
        <f>IF($F268="","",$F268*chronic_consumption!AT268/1000/$C$3)</f>
        <v>#DIV/0!</v>
      </c>
      <c r="AZ268" s="973" t="s">
        <v>19</v>
      </c>
      <c r="BA268" s="969" t="e">
        <f t="shared" si="19"/>
        <v>#DIV/0!</v>
      </c>
      <c r="BB268" s="970" t="e">
        <f t="shared" si="20"/>
        <v>#DIV/0!</v>
      </c>
      <c r="BC268" s="971" t="e">
        <f t="shared" ca="1" si="21"/>
        <v>#DIV/0!</v>
      </c>
      <c r="BD268" s="228">
        <f>input_values!Z268</f>
        <v>4</v>
      </c>
      <c r="BE268" s="152">
        <f>input_values!L268</f>
        <v>0</v>
      </c>
      <c r="BF268" s="972" t="str">
        <f t="shared" si="22"/>
        <v/>
      </c>
    </row>
    <row r="269" spans="1:58" ht="12" customHeight="1" outlineLevel="2" x14ac:dyDescent="0.2">
      <c r="A269" s="341">
        <v>3</v>
      </c>
      <c r="B269" s="3">
        <v>633000</v>
      </c>
      <c r="C269" s="3" t="s">
        <v>76</v>
      </c>
      <c r="D269" s="965">
        <f>Table22[[#This Row],[MRL individual commodity]]</f>
        <v>0</v>
      </c>
      <c r="E269" s="300">
        <f>Table22[[#This Row],[LOQ_label]]</f>
        <v>0</v>
      </c>
      <c r="F269" s="966">
        <f>Table22[[#This Row],[Chronic RA input value]]</f>
        <v>0</v>
      </c>
      <c r="G269" s="304">
        <f>Table22[[#This Row],[Chronic RA label]]</f>
        <v>0</v>
      </c>
      <c r="H269" s="304">
        <f>Table22[[#This Row],[GAP under assessment]]</f>
        <v>0</v>
      </c>
      <c r="I269" s="1123"/>
      <c r="J269" s="967" t="e">
        <f>IF($F269="","",$F269*chronic_consumption!$E269/1000/$C$3)</f>
        <v>#DIV/0!</v>
      </c>
      <c r="K269" s="967" t="e">
        <f>IF($F269="","",$F269*chronic_consumption!F269/1000/$C$3)</f>
        <v>#DIV/0!</v>
      </c>
      <c r="L269" s="967" t="e">
        <f>IF($F269="","",$F269*chronic_consumption!G269/1000/$C$3)</f>
        <v>#DIV/0!</v>
      </c>
      <c r="M269" s="967" t="e">
        <f>IF($F269="","",$F269*chronic_consumption!H269/1000/$C$3)</f>
        <v>#DIV/0!</v>
      </c>
      <c r="N269" s="967" t="e">
        <f>IF($F269="","",$F269*chronic_consumption!I269/1000/$C$3)</f>
        <v>#DIV/0!</v>
      </c>
      <c r="O269" s="967" t="e">
        <f>IF($F269="","",$F269*chronic_consumption!J269/1000/$C$3)</f>
        <v>#DIV/0!</v>
      </c>
      <c r="P269" s="967" t="e">
        <f>IF($F269="","",$F269*chronic_consumption!K269/1000/$C$3)</f>
        <v>#DIV/0!</v>
      </c>
      <c r="Q269" s="967" t="e">
        <f>IF($F269="","",$F269*chronic_consumption!L269/1000/$C$3)</f>
        <v>#DIV/0!</v>
      </c>
      <c r="R269" s="967" t="e">
        <f>IF($F269="","",$F269*chronic_consumption!M269/1000/$C$3)</f>
        <v>#DIV/0!</v>
      </c>
      <c r="S269" s="967" t="e">
        <f>IF($F269="","",$F269*chronic_consumption!N269/1000/$C$3)</f>
        <v>#DIV/0!</v>
      </c>
      <c r="T269" s="967" t="e">
        <f>IF($F269="","",$F269*chronic_consumption!O269/1000/$C$3)</f>
        <v>#DIV/0!</v>
      </c>
      <c r="U269" s="967" t="e">
        <f>IF($F269="","",$F269*chronic_consumption!P269/1000/$C$3)</f>
        <v>#DIV/0!</v>
      </c>
      <c r="V269" s="967" t="e">
        <f>IF($F269="","",$F269*chronic_consumption!Q269/1000/$C$3)</f>
        <v>#DIV/0!</v>
      </c>
      <c r="W269" s="967" t="e">
        <f>IF($F269="","",$F269*chronic_consumption!R269/1000/$C$3)</f>
        <v>#DIV/0!</v>
      </c>
      <c r="X269" s="967" t="e">
        <f>IF($F269="","",$F269*chronic_consumption!S269/1000/$C$3)</f>
        <v>#DIV/0!</v>
      </c>
      <c r="Y269" s="967" t="e">
        <f>IF($F269="","",$F269*chronic_consumption!T269/1000/$C$3)</f>
        <v>#DIV/0!</v>
      </c>
      <c r="Z269" s="967" t="e">
        <f>IF($F269="","",$F269*chronic_consumption!U269/1000/$C$3)</f>
        <v>#DIV/0!</v>
      </c>
      <c r="AA269" s="967" t="e">
        <f>IF($F269="","",$F269*chronic_consumption!V269/1000/$C$3)</f>
        <v>#DIV/0!</v>
      </c>
      <c r="AB269" s="967" t="e">
        <f>IF($F269="","",$F269*chronic_consumption!W269/1000/$C$3)</f>
        <v>#DIV/0!</v>
      </c>
      <c r="AC269" s="967" t="e">
        <f>IF($F269="","",$F269*chronic_consumption!X269/1000/$C$3)</f>
        <v>#DIV/0!</v>
      </c>
      <c r="AD269" s="967" t="e">
        <f>IF($F269="","",$F269*chronic_consumption!Y269/1000/$C$3)</f>
        <v>#DIV/0!</v>
      </c>
      <c r="AE269" s="967" t="e">
        <f>IF($F269="","",$F269*chronic_consumption!Z269/1000/$C$3)</f>
        <v>#DIV/0!</v>
      </c>
      <c r="AF269" s="967" t="e">
        <f>IF($F269="","",$F269*chronic_consumption!AA269/1000/$C$3)</f>
        <v>#DIV/0!</v>
      </c>
      <c r="AG269" s="967" t="e">
        <f>IF($F269="","",$F269*chronic_consumption!AB269/1000/$C$3)</f>
        <v>#DIV/0!</v>
      </c>
      <c r="AH269" s="967" t="e">
        <f>IF($F269="","",$F269*chronic_consumption!AC269/1000/$C$3)</f>
        <v>#DIV/0!</v>
      </c>
      <c r="AI269" s="967" t="e">
        <f>IF($F269="","",$F269*chronic_consumption!AD269/1000/$C$3)</f>
        <v>#DIV/0!</v>
      </c>
      <c r="AJ269" s="967" t="e">
        <f>IF($F269="","",$F269*chronic_consumption!AE269/1000/$C$3)</f>
        <v>#DIV/0!</v>
      </c>
      <c r="AK269" s="967" t="e">
        <f>IF($F269="","",$F269*chronic_consumption!AF269/1000/$C$3)</f>
        <v>#DIV/0!</v>
      </c>
      <c r="AL269" s="967" t="e">
        <f>IF($F269="","",$F269*chronic_consumption!AG269/1000/$C$3)</f>
        <v>#DIV/0!</v>
      </c>
      <c r="AM269" s="967" t="e">
        <f>IF($F269="","",$F269*chronic_consumption!AH269/1000/$C$3)</f>
        <v>#DIV/0!</v>
      </c>
      <c r="AN269" s="967" t="e">
        <f>IF($F269="","",$F269*chronic_consumption!AI269/1000/$C$3)</f>
        <v>#DIV/0!</v>
      </c>
      <c r="AO269" s="967" t="e">
        <f>IF($F269="","",$F269*chronic_consumption!AJ269/1000/$C$3)</f>
        <v>#DIV/0!</v>
      </c>
      <c r="AP269" s="967" t="e">
        <f>IF($F269="","",$F269*chronic_consumption!AK269/1000/$C$3)</f>
        <v>#DIV/0!</v>
      </c>
      <c r="AQ269" s="967" t="e">
        <f>IF($F269="","",$F269*chronic_consumption!AL269/1000/$C$3)</f>
        <v>#DIV/0!</v>
      </c>
      <c r="AR269" s="967" t="e">
        <f>IF($F269="","",$F269*chronic_consumption!AM269/1000/$C$3)</f>
        <v>#DIV/0!</v>
      </c>
      <c r="AS269" s="967" t="e">
        <f>IF($F269="","",$F269*chronic_consumption!AN269/1000/$C$3)</f>
        <v>#DIV/0!</v>
      </c>
      <c r="AT269" s="967" t="e">
        <f>IF($F269="","",$F269*chronic_consumption!AO269/1000/$C$3)</f>
        <v>#DIV/0!</v>
      </c>
      <c r="AU269" s="967"/>
      <c r="AV269" s="967" t="e">
        <f>IF($F269="","",$F269*chronic_consumption!AQ269/1000/$C$3)</f>
        <v>#DIV/0!</v>
      </c>
      <c r="AW269" s="967" t="e">
        <f>IF($F269="","",$F269*chronic_consumption!AR269/1000/$C$3)</f>
        <v>#DIV/0!</v>
      </c>
      <c r="AX269" s="967" t="e">
        <f>IF($F269="","",$F269*chronic_consumption!AS269/1000/$C$3)</f>
        <v>#DIV/0!</v>
      </c>
      <c r="AY269" s="967" t="e">
        <f>IF($F269="","",$F269*chronic_consumption!AT269/1000/$C$3)</f>
        <v>#DIV/0!</v>
      </c>
      <c r="AZ269" s="973"/>
      <c r="BA269" s="969" t="e">
        <f t="shared" ref="BA269:BA332" si="23">MIN(J269:AY269)</f>
        <v>#DIV/0!</v>
      </c>
      <c r="BB269" s="970" t="e">
        <f t="shared" ref="BB269:BB332" si="24">MAX(J269:AY269)</f>
        <v>#DIV/0!</v>
      </c>
      <c r="BC269" s="971" t="e">
        <f t="shared" ref="BC269:BC332" ca="1" si="25">IF(BB269&gt;0,OFFSET($I$10,1,MATCH(BB269,J269:AY269,0)),"")</f>
        <v>#DIV/0!</v>
      </c>
      <c r="BD269" s="228">
        <f>input_values!Z269</f>
        <v>4</v>
      </c>
      <c r="BE269" s="152">
        <f>input_values!L269</f>
        <v>0</v>
      </c>
      <c r="BF269" s="972" t="str">
        <f t="shared" ref="BF269:BF332" si="26">IF(BE269="Y",BB269,"")</f>
        <v/>
      </c>
    </row>
    <row r="270" spans="1:58" ht="12" customHeight="1" outlineLevel="3" x14ac:dyDescent="0.2">
      <c r="A270" s="21">
        <v>4</v>
      </c>
      <c r="B270" s="23">
        <v>633010</v>
      </c>
      <c r="C270" s="23" t="s">
        <v>270</v>
      </c>
      <c r="D270" s="965">
        <f>Table22[[#This Row],[MRL individual commodity]]</f>
        <v>0</v>
      </c>
      <c r="E270" s="300" t="str">
        <f>Table22[[#This Row],[LOQ_label]]</f>
        <v/>
      </c>
      <c r="F270" s="966">
        <f>Table22[[#This Row],[Chronic RA input value]]</f>
        <v>0</v>
      </c>
      <c r="G270" s="304" t="str">
        <f>Table22[[#This Row],[Chronic RA label]]</f>
        <v/>
      </c>
      <c r="H270" s="304">
        <f>Table22[[#This Row],[GAP under assessment]]</f>
        <v>0</v>
      </c>
      <c r="I270" s="1123"/>
      <c r="J270" s="974" t="e">
        <f>IF($F270="","",$F270*chronic_consumption!$E270/1000/$C$3)</f>
        <v>#DIV/0!</v>
      </c>
      <c r="K270" s="974" t="e">
        <f>IF($F270="","",$F270*chronic_consumption!F270/1000/$C$3)</f>
        <v>#DIV/0!</v>
      </c>
      <c r="L270" s="974" t="e">
        <f>IF($F270="","",$F270*chronic_consumption!G270/1000/$C$3)</f>
        <v>#DIV/0!</v>
      </c>
      <c r="M270" s="974" t="e">
        <f>IF($F270="","",$F270*chronic_consumption!H270/1000/$C$3)</f>
        <v>#DIV/0!</v>
      </c>
      <c r="N270" s="974" t="e">
        <f>IF($F270="","",$F270*chronic_consumption!I270/1000/$C$3)</f>
        <v>#DIV/0!</v>
      </c>
      <c r="O270" s="974" t="e">
        <f>IF($F270="","",$F270*chronic_consumption!J270/1000/$C$3)</f>
        <v>#DIV/0!</v>
      </c>
      <c r="P270" s="974" t="e">
        <f>IF($F270="","",$F270*chronic_consumption!K270/1000/$C$3)</f>
        <v>#DIV/0!</v>
      </c>
      <c r="Q270" s="974" t="e">
        <f>IF($F270="","",$F270*chronic_consumption!L270/1000/$C$3)</f>
        <v>#DIV/0!</v>
      </c>
      <c r="R270" s="974" t="e">
        <f>IF($F270="","",$F270*chronic_consumption!M270/1000/$C$3)</f>
        <v>#DIV/0!</v>
      </c>
      <c r="S270" s="974" t="e">
        <f>IF($F270="","",$F270*chronic_consumption!N270/1000/$C$3)</f>
        <v>#DIV/0!</v>
      </c>
      <c r="T270" s="974" t="e">
        <f>IF($F270="","",$F270*chronic_consumption!O270/1000/$C$3)</f>
        <v>#DIV/0!</v>
      </c>
      <c r="U270" s="974" t="e">
        <f>IF($F270="","",$F270*chronic_consumption!P270/1000/$C$3)</f>
        <v>#DIV/0!</v>
      </c>
      <c r="V270" s="974" t="e">
        <f>IF($F270="","",$F270*chronic_consumption!Q270/1000/$C$3)</f>
        <v>#DIV/0!</v>
      </c>
      <c r="W270" s="974" t="e">
        <f>IF($F270="","",$F270*chronic_consumption!R270/1000/$C$3)</f>
        <v>#DIV/0!</v>
      </c>
      <c r="X270" s="974" t="e">
        <f>IF($F270="","",$F270*chronic_consumption!S270/1000/$C$3)</f>
        <v>#DIV/0!</v>
      </c>
      <c r="Y270" s="974" t="e">
        <f>IF($F270="","",$F270*chronic_consumption!T270/1000/$C$3)</f>
        <v>#DIV/0!</v>
      </c>
      <c r="Z270" s="974" t="e">
        <f>IF($F270="","",$F270*chronic_consumption!U270/1000/$C$3)</f>
        <v>#DIV/0!</v>
      </c>
      <c r="AA270" s="974" t="e">
        <f>IF($F270="","",$F270*chronic_consumption!V270/1000/$C$3)</f>
        <v>#DIV/0!</v>
      </c>
      <c r="AB270" s="974" t="e">
        <f>IF($F270="","",$F270*chronic_consumption!W270/1000/$C$3)</f>
        <v>#DIV/0!</v>
      </c>
      <c r="AC270" s="974" t="e">
        <f>IF($F270="","",$F270*chronic_consumption!X270/1000/$C$3)</f>
        <v>#DIV/0!</v>
      </c>
      <c r="AD270" s="974" t="e">
        <f>IF($F270="","",$F270*chronic_consumption!Y270/1000/$C$3)</f>
        <v>#DIV/0!</v>
      </c>
      <c r="AE270" s="974" t="e">
        <f>IF($F270="","",$F270*chronic_consumption!Z270/1000/$C$3)</f>
        <v>#DIV/0!</v>
      </c>
      <c r="AF270" s="974" t="e">
        <f>IF($F270="","",$F270*chronic_consumption!AA270/1000/$C$3)</f>
        <v>#DIV/0!</v>
      </c>
      <c r="AG270" s="974" t="e">
        <f>IF($F270="","",$F270*chronic_consumption!AB270/1000/$C$3)</f>
        <v>#DIV/0!</v>
      </c>
      <c r="AH270" s="974" t="e">
        <f>IF($F270="","",$F270*chronic_consumption!AC270/1000/$C$3)</f>
        <v>#DIV/0!</v>
      </c>
      <c r="AI270" s="974" t="e">
        <f>IF($F270="","",$F270*chronic_consumption!AD270/1000/$C$3)</f>
        <v>#DIV/0!</v>
      </c>
      <c r="AJ270" s="974" t="e">
        <f>IF($F270="","",$F270*chronic_consumption!AE270/1000/$C$3)</f>
        <v>#DIV/0!</v>
      </c>
      <c r="AK270" s="974" t="e">
        <f>IF($F270="","",$F270*chronic_consumption!AF270/1000/$C$3)</f>
        <v>#DIV/0!</v>
      </c>
      <c r="AL270" s="974" t="e">
        <f>IF($F270="","",$F270*chronic_consumption!AG270/1000/$C$3)</f>
        <v>#DIV/0!</v>
      </c>
      <c r="AM270" s="974" t="e">
        <f>IF($F270="","",$F270*chronic_consumption!AH270/1000/$C$3)</f>
        <v>#DIV/0!</v>
      </c>
      <c r="AN270" s="974" t="e">
        <f>IF($F270="","",$F270*chronic_consumption!AI270/1000/$C$3)</f>
        <v>#DIV/0!</v>
      </c>
      <c r="AO270" s="974" t="e">
        <f>IF($F270="","",$F270*chronic_consumption!AJ270/1000/$C$3)</f>
        <v>#DIV/0!</v>
      </c>
      <c r="AP270" s="974" t="e">
        <f>IF($F270="","",$F270*chronic_consumption!AK270/1000/$C$3)</f>
        <v>#DIV/0!</v>
      </c>
      <c r="AQ270" s="974" t="e">
        <f>IF($F270="","",$F270*chronic_consumption!AL270/1000/$C$3)</f>
        <v>#DIV/0!</v>
      </c>
      <c r="AR270" s="974" t="e">
        <f>IF($F270="","",$F270*chronic_consumption!AM270/1000/$C$3)</f>
        <v>#DIV/0!</v>
      </c>
      <c r="AS270" s="974" t="e">
        <f>IF($F270="","",$F270*chronic_consumption!AN270/1000/$C$3)</f>
        <v>#DIV/0!</v>
      </c>
      <c r="AT270" s="974" t="e">
        <f>IF($F270="","",$F270*chronic_consumption!AO270/1000/$C$3)</f>
        <v>#DIV/0!</v>
      </c>
      <c r="AU270" s="974"/>
      <c r="AV270" s="974" t="e">
        <f>IF($F270="","",$F270*chronic_consumption!AQ270/1000/$C$3)</f>
        <v>#DIV/0!</v>
      </c>
      <c r="AW270" s="974" t="e">
        <f>IF($F270="","",$F270*chronic_consumption!AR270/1000/$C$3)</f>
        <v>#DIV/0!</v>
      </c>
      <c r="AX270" s="974" t="e">
        <f>IF($F270="","",$F270*chronic_consumption!AS270/1000/$C$3)</f>
        <v>#DIV/0!</v>
      </c>
      <c r="AY270" s="974" t="e">
        <f>IF($F270="","",$F270*chronic_consumption!AT270/1000/$C$3)</f>
        <v>#DIV/0!</v>
      </c>
      <c r="AZ270" s="973" t="s">
        <v>19</v>
      </c>
      <c r="BA270" s="969" t="e">
        <f t="shared" si="23"/>
        <v>#DIV/0!</v>
      </c>
      <c r="BB270" s="970" t="e">
        <f t="shared" si="24"/>
        <v>#DIV/0!</v>
      </c>
      <c r="BC270" s="971" t="e">
        <f t="shared" ca="1" si="25"/>
        <v>#DIV/0!</v>
      </c>
      <c r="BD270" s="228">
        <f>input_values!Z270</f>
        <v>4</v>
      </c>
      <c r="BE270" s="152">
        <f>input_values!L270</f>
        <v>0</v>
      </c>
      <c r="BF270" s="972" t="str">
        <f t="shared" si="26"/>
        <v/>
      </c>
    </row>
    <row r="271" spans="1:58" ht="12" customHeight="1" outlineLevel="3" x14ac:dyDescent="0.2">
      <c r="A271" s="21">
        <v>4</v>
      </c>
      <c r="B271" s="23">
        <v>633020</v>
      </c>
      <c r="C271" s="23" t="s">
        <v>271</v>
      </c>
      <c r="D271" s="965">
        <f>Table22[[#This Row],[MRL individual commodity]]</f>
        <v>0</v>
      </c>
      <c r="E271" s="300" t="str">
        <f>Table22[[#This Row],[LOQ_label]]</f>
        <v/>
      </c>
      <c r="F271" s="966">
        <f>Table22[[#This Row],[Chronic RA input value]]</f>
        <v>0</v>
      </c>
      <c r="G271" s="304" t="str">
        <f>Table22[[#This Row],[Chronic RA label]]</f>
        <v/>
      </c>
      <c r="H271" s="304">
        <f>Table22[[#This Row],[GAP under assessment]]</f>
        <v>0</v>
      </c>
      <c r="I271" s="1123"/>
      <c r="J271" s="974" t="e">
        <f>IF($F271="","",$F271*chronic_consumption!$E271/1000/$C$3)</f>
        <v>#DIV/0!</v>
      </c>
      <c r="K271" s="974" t="e">
        <f>IF($F271="","",$F271*chronic_consumption!F271/1000/$C$3)</f>
        <v>#DIV/0!</v>
      </c>
      <c r="L271" s="974" t="e">
        <f>IF($F271="","",$F271*chronic_consumption!G271/1000/$C$3)</f>
        <v>#DIV/0!</v>
      </c>
      <c r="M271" s="974" t="e">
        <f>IF($F271="","",$F271*chronic_consumption!H271/1000/$C$3)</f>
        <v>#DIV/0!</v>
      </c>
      <c r="N271" s="974" t="e">
        <f>IF($F271="","",$F271*chronic_consumption!I271/1000/$C$3)</f>
        <v>#DIV/0!</v>
      </c>
      <c r="O271" s="974" t="e">
        <f>IF($F271="","",$F271*chronic_consumption!J271/1000/$C$3)</f>
        <v>#DIV/0!</v>
      </c>
      <c r="P271" s="974" t="e">
        <f>IF($F271="","",$F271*chronic_consumption!K271/1000/$C$3)</f>
        <v>#DIV/0!</v>
      </c>
      <c r="Q271" s="974" t="e">
        <f>IF($F271="","",$F271*chronic_consumption!L271/1000/$C$3)</f>
        <v>#DIV/0!</v>
      </c>
      <c r="R271" s="974" t="e">
        <f>IF($F271="","",$F271*chronic_consumption!M271/1000/$C$3)</f>
        <v>#DIV/0!</v>
      </c>
      <c r="S271" s="974" t="e">
        <f>IF($F271="","",$F271*chronic_consumption!N271/1000/$C$3)</f>
        <v>#DIV/0!</v>
      </c>
      <c r="T271" s="974" t="e">
        <f>IF($F271="","",$F271*chronic_consumption!O271/1000/$C$3)</f>
        <v>#DIV/0!</v>
      </c>
      <c r="U271" s="974" t="e">
        <f>IF($F271="","",$F271*chronic_consumption!P271/1000/$C$3)</f>
        <v>#DIV/0!</v>
      </c>
      <c r="V271" s="974" t="e">
        <f>IF($F271="","",$F271*chronic_consumption!Q271/1000/$C$3)</f>
        <v>#DIV/0!</v>
      </c>
      <c r="W271" s="974" t="e">
        <f>IF($F271="","",$F271*chronic_consumption!R271/1000/$C$3)</f>
        <v>#DIV/0!</v>
      </c>
      <c r="X271" s="974" t="e">
        <f>IF($F271="","",$F271*chronic_consumption!S271/1000/$C$3)</f>
        <v>#DIV/0!</v>
      </c>
      <c r="Y271" s="974" t="e">
        <f>IF($F271="","",$F271*chronic_consumption!T271/1000/$C$3)</f>
        <v>#DIV/0!</v>
      </c>
      <c r="Z271" s="974" t="e">
        <f>IF($F271="","",$F271*chronic_consumption!U271/1000/$C$3)</f>
        <v>#DIV/0!</v>
      </c>
      <c r="AA271" s="974" t="e">
        <f>IF($F271="","",$F271*chronic_consumption!V271/1000/$C$3)</f>
        <v>#DIV/0!</v>
      </c>
      <c r="AB271" s="974" t="e">
        <f>IF($F271="","",$F271*chronic_consumption!W271/1000/$C$3)</f>
        <v>#DIV/0!</v>
      </c>
      <c r="AC271" s="974" t="e">
        <f>IF($F271="","",$F271*chronic_consumption!X271/1000/$C$3)</f>
        <v>#DIV/0!</v>
      </c>
      <c r="AD271" s="974" t="e">
        <f>IF($F271="","",$F271*chronic_consumption!Y271/1000/$C$3)</f>
        <v>#DIV/0!</v>
      </c>
      <c r="AE271" s="974" t="e">
        <f>IF($F271="","",$F271*chronic_consumption!Z271/1000/$C$3)</f>
        <v>#DIV/0!</v>
      </c>
      <c r="AF271" s="974" t="e">
        <f>IF($F271="","",$F271*chronic_consumption!AA271/1000/$C$3)</f>
        <v>#DIV/0!</v>
      </c>
      <c r="AG271" s="974" t="e">
        <f>IF($F271="","",$F271*chronic_consumption!AB271/1000/$C$3)</f>
        <v>#DIV/0!</v>
      </c>
      <c r="AH271" s="974" t="e">
        <f>IF($F271="","",$F271*chronic_consumption!AC271/1000/$C$3)</f>
        <v>#DIV/0!</v>
      </c>
      <c r="AI271" s="974" t="e">
        <f>IF($F271="","",$F271*chronic_consumption!AD271/1000/$C$3)</f>
        <v>#DIV/0!</v>
      </c>
      <c r="AJ271" s="974" t="e">
        <f>IF($F271="","",$F271*chronic_consumption!AE271/1000/$C$3)</f>
        <v>#DIV/0!</v>
      </c>
      <c r="AK271" s="974" t="e">
        <f>IF($F271="","",$F271*chronic_consumption!AF271/1000/$C$3)</f>
        <v>#DIV/0!</v>
      </c>
      <c r="AL271" s="974" t="e">
        <f>IF($F271="","",$F271*chronic_consumption!AG271/1000/$C$3)</f>
        <v>#DIV/0!</v>
      </c>
      <c r="AM271" s="974" t="e">
        <f>IF($F271="","",$F271*chronic_consumption!AH271/1000/$C$3)</f>
        <v>#DIV/0!</v>
      </c>
      <c r="AN271" s="974" t="e">
        <f>IF($F271="","",$F271*chronic_consumption!AI271/1000/$C$3)</f>
        <v>#DIV/0!</v>
      </c>
      <c r="AO271" s="974" t="e">
        <f>IF($F271="","",$F271*chronic_consumption!AJ271/1000/$C$3)</f>
        <v>#DIV/0!</v>
      </c>
      <c r="AP271" s="974" t="e">
        <f>IF($F271="","",$F271*chronic_consumption!AK271/1000/$C$3)</f>
        <v>#DIV/0!</v>
      </c>
      <c r="AQ271" s="974" t="e">
        <f>IF($F271="","",$F271*chronic_consumption!AL271/1000/$C$3)</f>
        <v>#DIV/0!</v>
      </c>
      <c r="AR271" s="974" t="e">
        <f>IF($F271="","",$F271*chronic_consumption!AM271/1000/$C$3)</f>
        <v>#DIV/0!</v>
      </c>
      <c r="AS271" s="974" t="e">
        <f>IF($F271="","",$F271*chronic_consumption!AN271/1000/$C$3)</f>
        <v>#DIV/0!</v>
      </c>
      <c r="AT271" s="974" t="e">
        <f>IF($F271="","",$F271*chronic_consumption!AO271/1000/$C$3)</f>
        <v>#DIV/0!</v>
      </c>
      <c r="AU271" s="974"/>
      <c r="AV271" s="974" t="e">
        <f>IF($F271="","",$F271*chronic_consumption!AQ271/1000/$C$3)</f>
        <v>#DIV/0!</v>
      </c>
      <c r="AW271" s="974" t="e">
        <f>IF($F271="","",$F271*chronic_consumption!AR271/1000/$C$3)</f>
        <v>#DIV/0!</v>
      </c>
      <c r="AX271" s="974" t="e">
        <f>IF($F271="","",$F271*chronic_consumption!AS271/1000/$C$3)</f>
        <v>#DIV/0!</v>
      </c>
      <c r="AY271" s="974" t="e">
        <f>IF($F271="","",$F271*chronic_consumption!AT271/1000/$C$3)</f>
        <v>#DIV/0!</v>
      </c>
      <c r="AZ271" s="973" t="s">
        <v>19</v>
      </c>
      <c r="BA271" s="969" t="e">
        <f t="shared" si="23"/>
        <v>#DIV/0!</v>
      </c>
      <c r="BB271" s="970" t="e">
        <f t="shared" si="24"/>
        <v>#DIV/0!</v>
      </c>
      <c r="BC271" s="971" t="e">
        <f t="shared" ca="1" si="25"/>
        <v>#DIV/0!</v>
      </c>
      <c r="BD271" s="228">
        <f>input_values!Z271</f>
        <v>4</v>
      </c>
      <c r="BE271" s="152">
        <f>input_values!L271</f>
        <v>0</v>
      </c>
      <c r="BF271" s="972" t="str">
        <f t="shared" si="26"/>
        <v/>
      </c>
    </row>
    <row r="272" spans="1:58" ht="12" customHeight="1" outlineLevel="3" x14ac:dyDescent="0.2">
      <c r="A272" s="21">
        <v>4</v>
      </c>
      <c r="B272" s="23">
        <v>633990</v>
      </c>
      <c r="C272" s="23" t="s">
        <v>182</v>
      </c>
      <c r="D272" s="965">
        <f>Table22[[#This Row],[MRL individual commodity]]</f>
        <v>0</v>
      </c>
      <c r="E272" s="300" t="str">
        <f>Table22[[#This Row],[LOQ_label]]</f>
        <v/>
      </c>
      <c r="F272" s="966">
        <f>Table22[[#This Row],[Chronic RA input value]]</f>
        <v>0</v>
      </c>
      <c r="G272" s="304" t="str">
        <f>Table22[[#This Row],[Chronic RA label]]</f>
        <v/>
      </c>
      <c r="H272" s="304">
        <f>Table22[[#This Row],[GAP under assessment]]</f>
        <v>0</v>
      </c>
      <c r="I272" s="1123"/>
      <c r="J272" s="974" t="e">
        <f>IF($F272="","",$F272*chronic_consumption!$E272/1000/$C$3)</f>
        <v>#DIV/0!</v>
      </c>
      <c r="K272" s="974" t="e">
        <f>IF($F272="","",$F272*chronic_consumption!F272/1000/$C$3)</f>
        <v>#DIV/0!</v>
      </c>
      <c r="L272" s="974" t="e">
        <f>IF($F272="","",$F272*chronic_consumption!G272/1000/$C$3)</f>
        <v>#DIV/0!</v>
      </c>
      <c r="M272" s="974" t="e">
        <f>IF($F272="","",$F272*chronic_consumption!H272/1000/$C$3)</f>
        <v>#DIV/0!</v>
      </c>
      <c r="N272" s="974" t="e">
        <f>IF($F272="","",$F272*chronic_consumption!I272/1000/$C$3)</f>
        <v>#DIV/0!</v>
      </c>
      <c r="O272" s="974" t="e">
        <f>IF($F272="","",$F272*chronic_consumption!J272/1000/$C$3)</f>
        <v>#DIV/0!</v>
      </c>
      <c r="P272" s="974" t="e">
        <f>IF($F272="","",$F272*chronic_consumption!K272/1000/$C$3)</f>
        <v>#DIV/0!</v>
      </c>
      <c r="Q272" s="974" t="e">
        <f>IF($F272="","",$F272*chronic_consumption!L272/1000/$C$3)</f>
        <v>#DIV/0!</v>
      </c>
      <c r="R272" s="974" t="e">
        <f>IF($F272="","",$F272*chronic_consumption!M272/1000/$C$3)</f>
        <v>#DIV/0!</v>
      </c>
      <c r="S272" s="974" t="e">
        <f>IF($F272="","",$F272*chronic_consumption!N272/1000/$C$3)</f>
        <v>#DIV/0!</v>
      </c>
      <c r="T272" s="974" t="e">
        <f>IF($F272="","",$F272*chronic_consumption!O272/1000/$C$3)</f>
        <v>#DIV/0!</v>
      </c>
      <c r="U272" s="974" t="e">
        <f>IF($F272="","",$F272*chronic_consumption!P272/1000/$C$3)</f>
        <v>#DIV/0!</v>
      </c>
      <c r="V272" s="974" t="e">
        <f>IF($F272="","",$F272*chronic_consumption!Q272/1000/$C$3)</f>
        <v>#DIV/0!</v>
      </c>
      <c r="W272" s="974" t="e">
        <f>IF($F272="","",$F272*chronic_consumption!R272/1000/$C$3)</f>
        <v>#DIV/0!</v>
      </c>
      <c r="X272" s="974" t="e">
        <f>IF($F272="","",$F272*chronic_consumption!S272/1000/$C$3)</f>
        <v>#DIV/0!</v>
      </c>
      <c r="Y272" s="974" t="e">
        <f>IF($F272="","",$F272*chronic_consumption!T272/1000/$C$3)</f>
        <v>#DIV/0!</v>
      </c>
      <c r="Z272" s="974" t="e">
        <f>IF($F272="","",$F272*chronic_consumption!U272/1000/$C$3)</f>
        <v>#DIV/0!</v>
      </c>
      <c r="AA272" s="974" t="e">
        <f>IF($F272="","",$F272*chronic_consumption!V272/1000/$C$3)</f>
        <v>#DIV/0!</v>
      </c>
      <c r="AB272" s="974" t="e">
        <f>IF($F272="","",$F272*chronic_consumption!W272/1000/$C$3)</f>
        <v>#DIV/0!</v>
      </c>
      <c r="AC272" s="974" t="e">
        <f>IF($F272="","",$F272*chronic_consumption!X272/1000/$C$3)</f>
        <v>#DIV/0!</v>
      </c>
      <c r="AD272" s="974" t="e">
        <f>IF($F272="","",$F272*chronic_consumption!Y272/1000/$C$3)</f>
        <v>#DIV/0!</v>
      </c>
      <c r="AE272" s="974" t="e">
        <f>IF($F272="","",$F272*chronic_consumption!Z272/1000/$C$3)</f>
        <v>#DIV/0!</v>
      </c>
      <c r="AF272" s="974" t="e">
        <f>IF($F272="","",$F272*chronic_consumption!AA272/1000/$C$3)</f>
        <v>#DIV/0!</v>
      </c>
      <c r="AG272" s="974" t="e">
        <f>IF($F272="","",$F272*chronic_consumption!AB272/1000/$C$3)</f>
        <v>#DIV/0!</v>
      </c>
      <c r="AH272" s="974" t="e">
        <f>IF($F272="","",$F272*chronic_consumption!AC272/1000/$C$3)</f>
        <v>#DIV/0!</v>
      </c>
      <c r="AI272" s="974" t="e">
        <f>IF($F272="","",$F272*chronic_consumption!AD272/1000/$C$3)</f>
        <v>#DIV/0!</v>
      </c>
      <c r="AJ272" s="974" t="e">
        <f>IF($F272="","",$F272*chronic_consumption!AE272/1000/$C$3)</f>
        <v>#DIV/0!</v>
      </c>
      <c r="AK272" s="974" t="e">
        <f>IF($F272="","",$F272*chronic_consumption!AF272/1000/$C$3)</f>
        <v>#DIV/0!</v>
      </c>
      <c r="AL272" s="974" t="e">
        <f>IF($F272="","",$F272*chronic_consumption!AG272/1000/$C$3)</f>
        <v>#DIV/0!</v>
      </c>
      <c r="AM272" s="974" t="e">
        <f>IF($F272="","",$F272*chronic_consumption!AH272/1000/$C$3)</f>
        <v>#DIV/0!</v>
      </c>
      <c r="AN272" s="974" t="e">
        <f>IF($F272="","",$F272*chronic_consumption!AI272/1000/$C$3)</f>
        <v>#DIV/0!</v>
      </c>
      <c r="AO272" s="974" t="e">
        <f>IF($F272="","",$F272*chronic_consumption!AJ272/1000/$C$3)</f>
        <v>#DIV/0!</v>
      </c>
      <c r="AP272" s="974" t="e">
        <f>IF($F272="","",$F272*chronic_consumption!AK272/1000/$C$3)</f>
        <v>#DIV/0!</v>
      </c>
      <c r="AQ272" s="974" t="e">
        <f>IF($F272="","",$F272*chronic_consumption!AL272/1000/$C$3)</f>
        <v>#DIV/0!</v>
      </c>
      <c r="AR272" s="974" t="e">
        <f>IF($F272="","",$F272*chronic_consumption!AM272/1000/$C$3)</f>
        <v>#DIV/0!</v>
      </c>
      <c r="AS272" s="974" t="e">
        <f>IF($F272="","",$F272*chronic_consumption!AN272/1000/$C$3)</f>
        <v>#DIV/0!</v>
      </c>
      <c r="AT272" s="974" t="e">
        <f>IF($F272="","",$F272*chronic_consumption!AO272/1000/$C$3)</f>
        <v>#DIV/0!</v>
      </c>
      <c r="AU272" s="974"/>
      <c r="AV272" s="974" t="e">
        <f>IF($F272="","",$F272*chronic_consumption!AQ272/1000/$C$3)</f>
        <v>#DIV/0!</v>
      </c>
      <c r="AW272" s="974" t="e">
        <f>IF($F272="","",$F272*chronic_consumption!AR272/1000/$C$3)</f>
        <v>#DIV/0!</v>
      </c>
      <c r="AX272" s="974" t="e">
        <f>IF($F272="","",$F272*chronic_consumption!AS272/1000/$C$3)</f>
        <v>#DIV/0!</v>
      </c>
      <c r="AY272" s="974" t="e">
        <f>IF($F272="","",$F272*chronic_consumption!AT272/1000/$C$3)</f>
        <v>#DIV/0!</v>
      </c>
      <c r="AZ272" s="973" t="s">
        <v>19</v>
      </c>
      <c r="BA272" s="969" t="e">
        <f t="shared" si="23"/>
        <v>#DIV/0!</v>
      </c>
      <c r="BB272" s="970" t="e">
        <f t="shared" si="24"/>
        <v>#DIV/0!</v>
      </c>
      <c r="BC272" s="971" t="e">
        <f t="shared" ca="1" si="25"/>
        <v>#DIV/0!</v>
      </c>
      <c r="BD272" s="228">
        <f>input_values!Z272</f>
        <v>4</v>
      </c>
      <c r="BE272" s="152">
        <f>input_values!L272</f>
        <v>0</v>
      </c>
      <c r="BF272" s="972" t="str">
        <f t="shared" si="26"/>
        <v/>
      </c>
    </row>
    <row r="273" spans="1:58" ht="12" customHeight="1" outlineLevel="2" x14ac:dyDescent="0.2">
      <c r="A273" s="353">
        <v>3</v>
      </c>
      <c r="B273" s="5">
        <v>639000</v>
      </c>
      <c r="C273" s="5" t="s">
        <v>773</v>
      </c>
      <c r="D273" s="965">
        <f>Table22[[#This Row],[MRL individual commodity]]</f>
        <v>0</v>
      </c>
      <c r="E273" s="300">
        <f>Table22[[#This Row],[LOQ_label]]</f>
        <v>0</v>
      </c>
      <c r="F273" s="966">
        <f>Table22[[#This Row],[Chronic RA input value]]</f>
        <v>0</v>
      </c>
      <c r="G273" s="304">
        <f>Table22[[#This Row],[Chronic RA label]]</f>
        <v>0</v>
      </c>
      <c r="H273" s="304">
        <f>Table22[[#This Row],[GAP under assessment]]</f>
        <v>0</v>
      </c>
      <c r="I273" s="1123"/>
      <c r="J273" s="967" t="e">
        <f>IF($F273="","",$F273*chronic_consumption!$E273/1000/$C$3)</f>
        <v>#DIV/0!</v>
      </c>
      <c r="K273" s="967" t="e">
        <f>IF($F273="","",$F273*chronic_consumption!F273/1000/$C$3)</f>
        <v>#DIV/0!</v>
      </c>
      <c r="L273" s="967" t="e">
        <f>IF($F273="","",$F273*chronic_consumption!G273/1000/$C$3)</f>
        <v>#DIV/0!</v>
      </c>
      <c r="M273" s="967" t="e">
        <f>IF($F273="","",$F273*chronic_consumption!H273/1000/$C$3)</f>
        <v>#DIV/0!</v>
      </c>
      <c r="N273" s="967" t="e">
        <f>IF($F273="","",$F273*chronic_consumption!I273/1000/$C$3)</f>
        <v>#DIV/0!</v>
      </c>
      <c r="O273" s="967" t="e">
        <f>IF($F273="","",$F273*chronic_consumption!J273/1000/$C$3)</f>
        <v>#DIV/0!</v>
      </c>
      <c r="P273" s="967" t="e">
        <f>IF($F273="","",$F273*chronic_consumption!K273/1000/$C$3)</f>
        <v>#DIV/0!</v>
      </c>
      <c r="Q273" s="967" t="e">
        <f>IF($F273="","",$F273*chronic_consumption!L273/1000/$C$3)</f>
        <v>#DIV/0!</v>
      </c>
      <c r="R273" s="967" t="e">
        <f>IF($F273="","",$F273*chronic_consumption!M273/1000/$C$3)</f>
        <v>#DIV/0!</v>
      </c>
      <c r="S273" s="967" t="e">
        <f>IF($F273="","",$F273*chronic_consumption!N273/1000/$C$3)</f>
        <v>#DIV/0!</v>
      </c>
      <c r="T273" s="967" t="e">
        <f>IF($F273="","",$F273*chronic_consumption!O273/1000/$C$3)</f>
        <v>#DIV/0!</v>
      </c>
      <c r="U273" s="967" t="e">
        <f>IF($F273="","",$F273*chronic_consumption!P273/1000/$C$3)</f>
        <v>#DIV/0!</v>
      </c>
      <c r="V273" s="967" t="e">
        <f>IF($F273="","",$F273*chronic_consumption!Q273/1000/$C$3)</f>
        <v>#DIV/0!</v>
      </c>
      <c r="W273" s="967" t="e">
        <f>IF($F273="","",$F273*chronic_consumption!R273/1000/$C$3)</f>
        <v>#DIV/0!</v>
      </c>
      <c r="X273" s="967" t="e">
        <f>IF($F273="","",$F273*chronic_consumption!S273/1000/$C$3)</f>
        <v>#DIV/0!</v>
      </c>
      <c r="Y273" s="967" t="e">
        <f>IF($F273="","",$F273*chronic_consumption!T273/1000/$C$3)</f>
        <v>#DIV/0!</v>
      </c>
      <c r="Z273" s="967" t="e">
        <f>IF($F273="","",$F273*chronic_consumption!U273/1000/$C$3)</f>
        <v>#DIV/0!</v>
      </c>
      <c r="AA273" s="967" t="e">
        <f>IF($F273="","",$F273*chronic_consumption!V273/1000/$C$3)</f>
        <v>#DIV/0!</v>
      </c>
      <c r="AB273" s="967" t="e">
        <f>IF($F273="","",$F273*chronic_consumption!W273/1000/$C$3)</f>
        <v>#DIV/0!</v>
      </c>
      <c r="AC273" s="967" t="e">
        <f>IF($F273="","",$F273*chronic_consumption!X273/1000/$C$3)</f>
        <v>#DIV/0!</v>
      </c>
      <c r="AD273" s="967" t="e">
        <f>IF($F273="","",$F273*chronic_consumption!Y273/1000/$C$3)</f>
        <v>#DIV/0!</v>
      </c>
      <c r="AE273" s="967" t="e">
        <f>IF($F273="","",$F273*chronic_consumption!Z273/1000/$C$3)</f>
        <v>#DIV/0!</v>
      </c>
      <c r="AF273" s="967" t="e">
        <f>IF($F273="","",$F273*chronic_consumption!AA273/1000/$C$3)</f>
        <v>#DIV/0!</v>
      </c>
      <c r="AG273" s="967" t="e">
        <f>IF($F273="","",$F273*chronic_consumption!AB273/1000/$C$3)</f>
        <v>#DIV/0!</v>
      </c>
      <c r="AH273" s="967" t="e">
        <f>IF($F273="","",$F273*chronic_consumption!AC273/1000/$C$3)</f>
        <v>#DIV/0!</v>
      </c>
      <c r="AI273" s="967" t="e">
        <f>IF($F273="","",$F273*chronic_consumption!AD273/1000/$C$3)</f>
        <v>#DIV/0!</v>
      </c>
      <c r="AJ273" s="967" t="e">
        <f>IF($F273="","",$F273*chronic_consumption!AE273/1000/$C$3)</f>
        <v>#DIV/0!</v>
      </c>
      <c r="AK273" s="967" t="e">
        <f>IF($F273="","",$F273*chronic_consumption!AF273/1000/$C$3)</f>
        <v>#DIV/0!</v>
      </c>
      <c r="AL273" s="967" t="e">
        <f>IF($F273="","",$F273*chronic_consumption!AG273/1000/$C$3)</f>
        <v>#DIV/0!</v>
      </c>
      <c r="AM273" s="967" t="e">
        <f>IF($F273="","",$F273*chronic_consumption!AH273/1000/$C$3)</f>
        <v>#DIV/0!</v>
      </c>
      <c r="AN273" s="967" t="e">
        <f>IF($F273="","",$F273*chronic_consumption!AI273/1000/$C$3)</f>
        <v>#DIV/0!</v>
      </c>
      <c r="AO273" s="967" t="e">
        <f>IF($F273="","",$F273*chronic_consumption!AJ273/1000/$C$3)</f>
        <v>#DIV/0!</v>
      </c>
      <c r="AP273" s="967" t="e">
        <f>IF($F273="","",$F273*chronic_consumption!AK273/1000/$C$3)</f>
        <v>#DIV/0!</v>
      </c>
      <c r="AQ273" s="967" t="e">
        <f>IF($F273="","",$F273*chronic_consumption!AL273/1000/$C$3)</f>
        <v>#DIV/0!</v>
      </c>
      <c r="AR273" s="967" t="e">
        <f>IF($F273="","",$F273*chronic_consumption!AM273/1000/$C$3)</f>
        <v>#DIV/0!</v>
      </c>
      <c r="AS273" s="967" t="e">
        <f>IF($F273="","",$F273*chronic_consumption!AN273/1000/$C$3)</f>
        <v>#DIV/0!</v>
      </c>
      <c r="AT273" s="967" t="e">
        <f>IF($F273="","",$F273*chronic_consumption!AO273/1000/$C$3)</f>
        <v>#DIV/0!</v>
      </c>
      <c r="AU273" s="967"/>
      <c r="AV273" s="967" t="e">
        <f>IF($F273="","",$F273*chronic_consumption!AQ273/1000/$C$3)</f>
        <v>#DIV/0!</v>
      </c>
      <c r="AW273" s="967" t="e">
        <f>IF($F273="","",$F273*chronic_consumption!AR273/1000/$C$3)</f>
        <v>#DIV/0!</v>
      </c>
      <c r="AX273" s="967" t="e">
        <f>IF($F273="","",$F273*chronic_consumption!AS273/1000/$C$3)</f>
        <v>#DIV/0!</v>
      </c>
      <c r="AY273" s="967" t="e">
        <f>IF($F273="","",$F273*chronic_consumption!AT273/1000/$C$3)</f>
        <v>#DIV/0!</v>
      </c>
      <c r="AZ273" s="973"/>
      <c r="BA273" s="969" t="e">
        <f t="shared" si="23"/>
        <v>#DIV/0!</v>
      </c>
      <c r="BB273" s="970" t="e">
        <f t="shared" si="24"/>
        <v>#DIV/0!</v>
      </c>
      <c r="BC273" s="971" t="e">
        <f t="shared" ca="1" si="25"/>
        <v>#DIV/0!</v>
      </c>
      <c r="BD273" s="228">
        <f>input_values!Z273</f>
        <v>4</v>
      </c>
      <c r="BE273" s="152">
        <f>input_values!L273</f>
        <v>0</v>
      </c>
      <c r="BF273" s="972" t="str">
        <f t="shared" si="26"/>
        <v/>
      </c>
    </row>
    <row r="274" spans="1:58" ht="12" customHeight="1" outlineLevel="1" x14ac:dyDescent="0.2">
      <c r="A274" s="314">
        <v>2</v>
      </c>
      <c r="B274" s="131">
        <v>640000</v>
      </c>
      <c r="C274" s="131" t="s">
        <v>774</v>
      </c>
      <c r="D274" s="965">
        <f>Table22[[#This Row],[MRL individual commodity]]</f>
        <v>0</v>
      </c>
      <c r="E274" s="300" t="str">
        <f>Table22[[#This Row],[LOQ_label]]</f>
        <v/>
      </c>
      <c r="F274" s="966">
        <f>Table22[[#This Row],[Chronic RA input value]]</f>
        <v>0</v>
      </c>
      <c r="G274" s="304" t="str">
        <f>Table22[[#This Row],[Chronic RA label]]</f>
        <v/>
      </c>
      <c r="H274" s="304">
        <f>Table22[[#This Row],[GAP under assessment]]</f>
        <v>0</v>
      </c>
      <c r="I274" s="1123"/>
      <c r="J274" s="974" t="e">
        <f>IF($F274="","",$F274*chronic_consumption!$E274/1000/$C$3)</f>
        <v>#DIV/0!</v>
      </c>
      <c r="K274" s="974" t="e">
        <f>IF($F274="","",$F274*chronic_consumption!F274/1000/$C$3)</f>
        <v>#DIV/0!</v>
      </c>
      <c r="L274" s="974" t="e">
        <f>IF($F274="","",$F274*chronic_consumption!G274/1000/$C$3)</f>
        <v>#DIV/0!</v>
      </c>
      <c r="M274" s="974" t="e">
        <f>IF($F274="","",$F274*chronic_consumption!H274/1000/$C$3)</f>
        <v>#DIV/0!</v>
      </c>
      <c r="N274" s="974" t="e">
        <f>IF($F274="","",$F274*chronic_consumption!I274/1000/$C$3)</f>
        <v>#DIV/0!</v>
      </c>
      <c r="O274" s="974" t="e">
        <f>IF($F274="","",$F274*chronic_consumption!J274/1000/$C$3)</f>
        <v>#DIV/0!</v>
      </c>
      <c r="P274" s="974" t="e">
        <f>IF($F274="","",$F274*chronic_consumption!K274/1000/$C$3)</f>
        <v>#DIV/0!</v>
      </c>
      <c r="Q274" s="974" t="e">
        <f>IF($F274="","",$F274*chronic_consumption!L274/1000/$C$3)</f>
        <v>#DIV/0!</v>
      </c>
      <c r="R274" s="974" t="e">
        <f>IF($F274="","",$F274*chronic_consumption!M274/1000/$C$3)</f>
        <v>#DIV/0!</v>
      </c>
      <c r="S274" s="974" t="e">
        <f>IF($F274="","",$F274*chronic_consumption!N274/1000/$C$3)</f>
        <v>#DIV/0!</v>
      </c>
      <c r="T274" s="974" t="e">
        <f>IF($F274="","",$F274*chronic_consumption!O274/1000/$C$3)</f>
        <v>#DIV/0!</v>
      </c>
      <c r="U274" s="974" t="e">
        <f>IF($F274="","",$F274*chronic_consumption!P274/1000/$C$3)</f>
        <v>#DIV/0!</v>
      </c>
      <c r="V274" s="974" t="e">
        <f>IF($F274="","",$F274*chronic_consumption!Q274/1000/$C$3)</f>
        <v>#DIV/0!</v>
      </c>
      <c r="W274" s="974" t="e">
        <f>IF($F274="","",$F274*chronic_consumption!R274/1000/$C$3)</f>
        <v>#DIV/0!</v>
      </c>
      <c r="X274" s="974" t="e">
        <f>IF($F274="","",$F274*chronic_consumption!S274/1000/$C$3)</f>
        <v>#DIV/0!</v>
      </c>
      <c r="Y274" s="974" t="e">
        <f>IF($F274="","",$F274*chronic_consumption!T274/1000/$C$3)</f>
        <v>#DIV/0!</v>
      </c>
      <c r="Z274" s="974" t="e">
        <f>IF($F274="","",$F274*chronic_consumption!U274/1000/$C$3)</f>
        <v>#DIV/0!</v>
      </c>
      <c r="AA274" s="974" t="e">
        <f>IF($F274="","",$F274*chronic_consumption!V274/1000/$C$3)</f>
        <v>#DIV/0!</v>
      </c>
      <c r="AB274" s="974" t="e">
        <f>IF($F274="","",$F274*chronic_consumption!W274/1000/$C$3)</f>
        <v>#DIV/0!</v>
      </c>
      <c r="AC274" s="974" t="e">
        <f>IF($F274="","",$F274*chronic_consumption!X274/1000/$C$3)</f>
        <v>#DIV/0!</v>
      </c>
      <c r="AD274" s="974" t="e">
        <f>IF($F274="","",$F274*chronic_consumption!Y274/1000/$C$3)</f>
        <v>#DIV/0!</v>
      </c>
      <c r="AE274" s="974" t="e">
        <f>IF($F274="","",$F274*chronic_consumption!Z274/1000/$C$3)</f>
        <v>#DIV/0!</v>
      </c>
      <c r="AF274" s="974" t="e">
        <f>IF($F274="","",$F274*chronic_consumption!AA274/1000/$C$3)</f>
        <v>#DIV/0!</v>
      </c>
      <c r="AG274" s="974" t="e">
        <f>IF($F274="","",$F274*chronic_consumption!AB274/1000/$C$3)</f>
        <v>#DIV/0!</v>
      </c>
      <c r="AH274" s="974" t="e">
        <f>IF($F274="","",$F274*chronic_consumption!AC274/1000/$C$3)</f>
        <v>#DIV/0!</v>
      </c>
      <c r="AI274" s="974" t="e">
        <f>IF($F274="","",$F274*chronic_consumption!AD274/1000/$C$3)</f>
        <v>#DIV/0!</v>
      </c>
      <c r="AJ274" s="974" t="e">
        <f>IF($F274="","",$F274*chronic_consumption!AE274/1000/$C$3)</f>
        <v>#DIV/0!</v>
      </c>
      <c r="AK274" s="974" t="e">
        <f>IF($F274="","",$F274*chronic_consumption!AF274/1000/$C$3)</f>
        <v>#DIV/0!</v>
      </c>
      <c r="AL274" s="974" t="e">
        <f>IF($F274="","",$F274*chronic_consumption!AG274/1000/$C$3)</f>
        <v>#DIV/0!</v>
      </c>
      <c r="AM274" s="974" t="e">
        <f>IF($F274="","",$F274*chronic_consumption!AH274/1000/$C$3)</f>
        <v>#DIV/0!</v>
      </c>
      <c r="AN274" s="974" t="e">
        <f>IF($F274="","",$F274*chronic_consumption!AI274/1000/$C$3)</f>
        <v>#DIV/0!</v>
      </c>
      <c r="AO274" s="974" t="e">
        <f>IF($F274="","",$F274*chronic_consumption!AJ274/1000/$C$3)</f>
        <v>#DIV/0!</v>
      </c>
      <c r="AP274" s="974" t="e">
        <f>IF($F274="","",$F274*chronic_consumption!AK274/1000/$C$3)</f>
        <v>#DIV/0!</v>
      </c>
      <c r="AQ274" s="974" t="e">
        <f>IF($F274="","",$F274*chronic_consumption!AL274/1000/$C$3)</f>
        <v>#DIV/0!</v>
      </c>
      <c r="AR274" s="974" t="e">
        <f>IF($F274="","",$F274*chronic_consumption!AM274/1000/$C$3)</f>
        <v>#DIV/0!</v>
      </c>
      <c r="AS274" s="974" t="e">
        <f>IF($F274="","",$F274*chronic_consumption!AN274/1000/$C$3)</f>
        <v>#DIV/0!</v>
      </c>
      <c r="AT274" s="974" t="e">
        <f>IF($F274="","",$F274*chronic_consumption!AO274/1000/$C$3)</f>
        <v>#DIV/0!</v>
      </c>
      <c r="AU274" s="974"/>
      <c r="AV274" s="974" t="e">
        <f>IF($F274="","",$F274*chronic_consumption!AQ274/1000/$C$3)</f>
        <v>#DIV/0!</v>
      </c>
      <c r="AW274" s="974" t="e">
        <f>IF($F274="","",$F274*chronic_consumption!AR274/1000/$C$3)</f>
        <v>#DIV/0!</v>
      </c>
      <c r="AX274" s="974" t="e">
        <f>IF($F274="","",$F274*chronic_consumption!AS274/1000/$C$3)</f>
        <v>#DIV/0!</v>
      </c>
      <c r="AY274" s="974" t="e">
        <f>IF($F274="","",$F274*chronic_consumption!AT274/1000/$C$3)</f>
        <v>#DIV/0!</v>
      </c>
      <c r="AZ274" s="973" t="s">
        <v>19</v>
      </c>
      <c r="BA274" s="969" t="e">
        <f t="shared" si="23"/>
        <v>#DIV/0!</v>
      </c>
      <c r="BB274" s="970" t="e">
        <f t="shared" si="24"/>
        <v>#DIV/0!</v>
      </c>
      <c r="BC274" s="971" t="e">
        <f t="shared" ca="1" si="25"/>
        <v>#DIV/0!</v>
      </c>
      <c r="BD274" s="228">
        <f>input_values!Z274</f>
        <v>2</v>
      </c>
      <c r="BE274" s="152">
        <f>input_values!L274</f>
        <v>0</v>
      </c>
      <c r="BF274" s="972" t="str">
        <f t="shared" si="26"/>
        <v/>
      </c>
    </row>
    <row r="275" spans="1:58" ht="12" customHeight="1" outlineLevel="1" x14ac:dyDescent="0.2">
      <c r="A275" s="314">
        <v>2</v>
      </c>
      <c r="B275" s="131">
        <v>650000</v>
      </c>
      <c r="C275" s="131" t="s">
        <v>775</v>
      </c>
      <c r="D275" s="965">
        <f>Table22[[#This Row],[MRL individual commodity]]</f>
        <v>0</v>
      </c>
      <c r="E275" s="300" t="str">
        <f>Table22[[#This Row],[LOQ_label]]</f>
        <v/>
      </c>
      <c r="F275" s="966">
        <f>Table22[[#This Row],[Chronic RA input value]]</f>
        <v>0</v>
      </c>
      <c r="G275" s="304" t="str">
        <f>Table22[[#This Row],[Chronic RA label]]</f>
        <v/>
      </c>
      <c r="H275" s="304">
        <f>Table22[[#This Row],[GAP under assessment]]</f>
        <v>0</v>
      </c>
      <c r="I275" s="1123"/>
      <c r="J275" s="974" t="e">
        <f>IF($F275="","",$F275*chronic_consumption!$E275/1000/$C$3)</f>
        <v>#DIV/0!</v>
      </c>
      <c r="K275" s="974" t="e">
        <f>IF($F275="","",$F275*chronic_consumption!F275/1000/$C$3)</f>
        <v>#DIV/0!</v>
      </c>
      <c r="L275" s="974" t="e">
        <f>IF($F275="","",$F275*chronic_consumption!G275/1000/$C$3)</f>
        <v>#DIV/0!</v>
      </c>
      <c r="M275" s="974" t="e">
        <f>IF($F275="","",$F275*chronic_consumption!H275/1000/$C$3)</f>
        <v>#DIV/0!</v>
      </c>
      <c r="N275" s="974" t="e">
        <f>IF($F275="","",$F275*chronic_consumption!I275/1000/$C$3)</f>
        <v>#DIV/0!</v>
      </c>
      <c r="O275" s="974" t="e">
        <f>IF($F275="","",$F275*chronic_consumption!J275/1000/$C$3)</f>
        <v>#DIV/0!</v>
      </c>
      <c r="P275" s="974" t="e">
        <f>IF($F275="","",$F275*chronic_consumption!K275/1000/$C$3)</f>
        <v>#DIV/0!</v>
      </c>
      <c r="Q275" s="974" t="e">
        <f>IF($F275="","",$F275*chronic_consumption!L275/1000/$C$3)</f>
        <v>#DIV/0!</v>
      </c>
      <c r="R275" s="974" t="e">
        <f>IF($F275="","",$F275*chronic_consumption!M275/1000/$C$3)</f>
        <v>#DIV/0!</v>
      </c>
      <c r="S275" s="974" t="e">
        <f>IF($F275="","",$F275*chronic_consumption!N275/1000/$C$3)</f>
        <v>#DIV/0!</v>
      </c>
      <c r="T275" s="974" t="e">
        <f>IF($F275="","",$F275*chronic_consumption!O275/1000/$C$3)</f>
        <v>#DIV/0!</v>
      </c>
      <c r="U275" s="974" t="e">
        <f>IF($F275="","",$F275*chronic_consumption!P275/1000/$C$3)</f>
        <v>#DIV/0!</v>
      </c>
      <c r="V275" s="974" t="e">
        <f>IF($F275="","",$F275*chronic_consumption!Q275/1000/$C$3)</f>
        <v>#DIV/0!</v>
      </c>
      <c r="W275" s="974" t="e">
        <f>IF($F275="","",$F275*chronic_consumption!R275/1000/$C$3)</f>
        <v>#DIV/0!</v>
      </c>
      <c r="X275" s="974" t="e">
        <f>IF($F275="","",$F275*chronic_consumption!S275/1000/$C$3)</f>
        <v>#DIV/0!</v>
      </c>
      <c r="Y275" s="974" t="e">
        <f>IF($F275="","",$F275*chronic_consumption!T275/1000/$C$3)</f>
        <v>#DIV/0!</v>
      </c>
      <c r="Z275" s="974" t="e">
        <f>IF($F275="","",$F275*chronic_consumption!U275/1000/$C$3)</f>
        <v>#DIV/0!</v>
      </c>
      <c r="AA275" s="974" t="e">
        <f>IF($F275="","",$F275*chronic_consumption!V275/1000/$C$3)</f>
        <v>#DIV/0!</v>
      </c>
      <c r="AB275" s="974" t="e">
        <f>IF($F275="","",$F275*chronic_consumption!W275/1000/$C$3)</f>
        <v>#DIV/0!</v>
      </c>
      <c r="AC275" s="974" t="e">
        <f>IF($F275="","",$F275*chronic_consumption!X275/1000/$C$3)</f>
        <v>#DIV/0!</v>
      </c>
      <c r="AD275" s="974" t="e">
        <f>IF($F275="","",$F275*chronic_consumption!Y275/1000/$C$3)</f>
        <v>#DIV/0!</v>
      </c>
      <c r="AE275" s="974" t="e">
        <f>IF($F275="","",$F275*chronic_consumption!Z275/1000/$C$3)</f>
        <v>#DIV/0!</v>
      </c>
      <c r="AF275" s="974" t="e">
        <f>IF($F275="","",$F275*chronic_consumption!AA275/1000/$C$3)</f>
        <v>#DIV/0!</v>
      </c>
      <c r="AG275" s="974" t="e">
        <f>IF($F275="","",$F275*chronic_consumption!AB275/1000/$C$3)</f>
        <v>#DIV/0!</v>
      </c>
      <c r="AH275" s="974" t="e">
        <f>IF($F275="","",$F275*chronic_consumption!AC275/1000/$C$3)</f>
        <v>#DIV/0!</v>
      </c>
      <c r="AI275" s="974" t="e">
        <f>IF($F275="","",$F275*chronic_consumption!AD275/1000/$C$3)</f>
        <v>#DIV/0!</v>
      </c>
      <c r="AJ275" s="974" t="e">
        <f>IF($F275="","",$F275*chronic_consumption!AE275/1000/$C$3)</f>
        <v>#DIV/0!</v>
      </c>
      <c r="AK275" s="974" t="e">
        <f>IF($F275="","",$F275*chronic_consumption!AF275/1000/$C$3)</f>
        <v>#DIV/0!</v>
      </c>
      <c r="AL275" s="974" t="e">
        <f>IF($F275="","",$F275*chronic_consumption!AG275/1000/$C$3)</f>
        <v>#DIV/0!</v>
      </c>
      <c r="AM275" s="974" t="e">
        <f>IF($F275="","",$F275*chronic_consumption!AH275/1000/$C$3)</f>
        <v>#DIV/0!</v>
      </c>
      <c r="AN275" s="974" t="e">
        <f>IF($F275="","",$F275*chronic_consumption!AI275/1000/$C$3)</f>
        <v>#DIV/0!</v>
      </c>
      <c r="AO275" s="974" t="e">
        <f>IF($F275="","",$F275*chronic_consumption!AJ275/1000/$C$3)</f>
        <v>#DIV/0!</v>
      </c>
      <c r="AP275" s="974" t="e">
        <f>IF($F275="","",$F275*chronic_consumption!AK275/1000/$C$3)</f>
        <v>#DIV/0!</v>
      </c>
      <c r="AQ275" s="974" t="e">
        <f>IF($F275="","",$F275*chronic_consumption!AL275/1000/$C$3)</f>
        <v>#DIV/0!</v>
      </c>
      <c r="AR275" s="974" t="e">
        <f>IF($F275="","",$F275*chronic_consumption!AM275/1000/$C$3)</f>
        <v>#DIV/0!</v>
      </c>
      <c r="AS275" s="974" t="e">
        <f>IF($F275="","",$F275*chronic_consumption!AN275/1000/$C$3)</f>
        <v>#DIV/0!</v>
      </c>
      <c r="AT275" s="974" t="e">
        <f>IF($F275="","",$F275*chronic_consumption!AO275/1000/$C$3)</f>
        <v>#DIV/0!</v>
      </c>
      <c r="AU275" s="974"/>
      <c r="AV275" s="974" t="e">
        <f>IF($F275="","",$F275*chronic_consumption!AQ275/1000/$C$3)</f>
        <v>#DIV/0!</v>
      </c>
      <c r="AW275" s="974" t="e">
        <f>IF($F275="","",$F275*chronic_consumption!AR275/1000/$C$3)</f>
        <v>#DIV/0!</v>
      </c>
      <c r="AX275" s="974" t="e">
        <f>IF($F275="","",$F275*chronic_consumption!AS275/1000/$C$3)</f>
        <v>#DIV/0!</v>
      </c>
      <c r="AY275" s="974" t="e">
        <f>IF($F275="","",$F275*chronic_consumption!AT275/1000/$C$3)</f>
        <v>#DIV/0!</v>
      </c>
      <c r="AZ275" s="973" t="s">
        <v>19</v>
      </c>
      <c r="BA275" s="969" t="e">
        <f t="shared" si="23"/>
        <v>#DIV/0!</v>
      </c>
      <c r="BB275" s="970" t="e">
        <f t="shared" si="24"/>
        <v>#DIV/0!</v>
      </c>
      <c r="BC275" s="971" t="e">
        <f t="shared" ca="1" si="25"/>
        <v>#DIV/0!</v>
      </c>
      <c r="BD275" s="228">
        <f>input_values!Z275</f>
        <v>2</v>
      </c>
      <c r="BE275" s="152">
        <f>input_values!L275</f>
        <v>0</v>
      </c>
      <c r="BF275" s="972" t="str">
        <f t="shared" si="26"/>
        <v/>
      </c>
    </row>
    <row r="276" spans="1:58" ht="12" customHeight="1" x14ac:dyDescent="0.2">
      <c r="A276" s="299">
        <v>1</v>
      </c>
      <c r="B276" s="127">
        <v>700000</v>
      </c>
      <c r="C276" s="127" t="s">
        <v>366</v>
      </c>
      <c r="D276" s="965">
        <f>Table22[[#This Row],[MRL individual commodity]]</f>
        <v>0</v>
      </c>
      <c r="E276" s="300" t="str">
        <f>Table22[[#This Row],[LOQ_label]]</f>
        <v/>
      </c>
      <c r="F276" s="966">
        <f>Table22[[#This Row],[Chronic RA input value]]</f>
        <v>0</v>
      </c>
      <c r="G276" s="304" t="str">
        <f>Table22[[#This Row],[Chronic RA label]]</f>
        <v/>
      </c>
      <c r="H276" s="304">
        <f>Table22[[#This Row],[GAP under assessment]]</f>
        <v>0</v>
      </c>
      <c r="I276" s="1123"/>
      <c r="J276" s="974" t="e">
        <f>IF($F276="","",$F276*chronic_consumption!$E276/1000/$C$3)</f>
        <v>#DIV/0!</v>
      </c>
      <c r="K276" s="974" t="e">
        <f>IF($F276="","",$F276*chronic_consumption!F276/1000/$C$3)</f>
        <v>#DIV/0!</v>
      </c>
      <c r="L276" s="974" t="e">
        <f>IF($F276="","",$F276*chronic_consumption!G276/1000/$C$3)</f>
        <v>#DIV/0!</v>
      </c>
      <c r="M276" s="974" t="e">
        <f>IF($F276="","",$F276*chronic_consumption!H276/1000/$C$3)</f>
        <v>#DIV/0!</v>
      </c>
      <c r="N276" s="974" t="e">
        <f>IF($F276="","",$F276*chronic_consumption!I276/1000/$C$3)</f>
        <v>#DIV/0!</v>
      </c>
      <c r="O276" s="974" t="e">
        <f>IF($F276="","",$F276*chronic_consumption!J276/1000/$C$3)</f>
        <v>#DIV/0!</v>
      </c>
      <c r="P276" s="974" t="e">
        <f>IF($F276="","",$F276*chronic_consumption!K276/1000/$C$3)</f>
        <v>#DIV/0!</v>
      </c>
      <c r="Q276" s="974" t="e">
        <f>IF($F276="","",$F276*chronic_consumption!L276/1000/$C$3)</f>
        <v>#DIV/0!</v>
      </c>
      <c r="R276" s="974" t="e">
        <f>IF($F276="","",$F276*chronic_consumption!M276/1000/$C$3)</f>
        <v>#DIV/0!</v>
      </c>
      <c r="S276" s="974" t="e">
        <f>IF($F276="","",$F276*chronic_consumption!N276/1000/$C$3)</f>
        <v>#DIV/0!</v>
      </c>
      <c r="T276" s="974" t="e">
        <f>IF($F276="","",$F276*chronic_consumption!O276/1000/$C$3)</f>
        <v>#DIV/0!</v>
      </c>
      <c r="U276" s="974" t="e">
        <f>IF($F276="","",$F276*chronic_consumption!P276/1000/$C$3)</f>
        <v>#DIV/0!</v>
      </c>
      <c r="V276" s="974" t="e">
        <f>IF($F276="","",$F276*chronic_consumption!Q276/1000/$C$3)</f>
        <v>#DIV/0!</v>
      </c>
      <c r="W276" s="974" t="e">
        <f>IF($F276="","",$F276*chronic_consumption!R276/1000/$C$3)</f>
        <v>#DIV/0!</v>
      </c>
      <c r="X276" s="974" t="e">
        <f>IF($F276="","",$F276*chronic_consumption!S276/1000/$C$3)</f>
        <v>#DIV/0!</v>
      </c>
      <c r="Y276" s="974" t="e">
        <f>IF($F276="","",$F276*chronic_consumption!T276/1000/$C$3)</f>
        <v>#DIV/0!</v>
      </c>
      <c r="Z276" s="974" t="e">
        <f>IF($F276="","",$F276*chronic_consumption!U276/1000/$C$3)</f>
        <v>#DIV/0!</v>
      </c>
      <c r="AA276" s="974" t="e">
        <f>IF($F276="","",$F276*chronic_consumption!V276/1000/$C$3)</f>
        <v>#DIV/0!</v>
      </c>
      <c r="AB276" s="974" t="e">
        <f>IF($F276="","",$F276*chronic_consumption!W276/1000/$C$3)</f>
        <v>#DIV/0!</v>
      </c>
      <c r="AC276" s="974" t="e">
        <f>IF($F276="","",$F276*chronic_consumption!X276/1000/$C$3)</f>
        <v>#DIV/0!</v>
      </c>
      <c r="AD276" s="974" t="e">
        <f>IF($F276="","",$F276*chronic_consumption!Y276/1000/$C$3)</f>
        <v>#DIV/0!</v>
      </c>
      <c r="AE276" s="974" t="e">
        <f>IF($F276="","",$F276*chronic_consumption!Z276/1000/$C$3)</f>
        <v>#DIV/0!</v>
      </c>
      <c r="AF276" s="974" t="e">
        <f>IF($F276="","",$F276*chronic_consumption!AA276/1000/$C$3)</f>
        <v>#DIV/0!</v>
      </c>
      <c r="AG276" s="974" t="e">
        <f>IF($F276="","",$F276*chronic_consumption!AB276/1000/$C$3)</f>
        <v>#DIV/0!</v>
      </c>
      <c r="AH276" s="974" t="e">
        <f>IF($F276="","",$F276*chronic_consumption!AC276/1000/$C$3)</f>
        <v>#DIV/0!</v>
      </c>
      <c r="AI276" s="974" t="e">
        <f>IF($F276="","",$F276*chronic_consumption!AD276/1000/$C$3)</f>
        <v>#DIV/0!</v>
      </c>
      <c r="AJ276" s="974" t="e">
        <f>IF($F276="","",$F276*chronic_consumption!AE276/1000/$C$3)</f>
        <v>#DIV/0!</v>
      </c>
      <c r="AK276" s="974" t="e">
        <f>IF($F276="","",$F276*chronic_consumption!AF276/1000/$C$3)</f>
        <v>#DIV/0!</v>
      </c>
      <c r="AL276" s="974" t="e">
        <f>IF($F276="","",$F276*chronic_consumption!AG276/1000/$C$3)</f>
        <v>#DIV/0!</v>
      </c>
      <c r="AM276" s="974" t="e">
        <f>IF($F276="","",$F276*chronic_consumption!AH276/1000/$C$3)</f>
        <v>#DIV/0!</v>
      </c>
      <c r="AN276" s="974" t="e">
        <f>IF($F276="","",$F276*chronic_consumption!AI276/1000/$C$3)</f>
        <v>#DIV/0!</v>
      </c>
      <c r="AO276" s="974" t="e">
        <f>IF($F276="","",$F276*chronic_consumption!AJ276/1000/$C$3)</f>
        <v>#DIV/0!</v>
      </c>
      <c r="AP276" s="974" t="e">
        <f>IF($F276="","",$F276*chronic_consumption!AK276/1000/$C$3)</f>
        <v>#DIV/0!</v>
      </c>
      <c r="AQ276" s="974" t="e">
        <f>IF($F276="","",$F276*chronic_consumption!AL276/1000/$C$3)</f>
        <v>#DIV/0!</v>
      </c>
      <c r="AR276" s="974" t="e">
        <f>IF($F276="","",$F276*chronic_consumption!AM276/1000/$C$3)</f>
        <v>#DIV/0!</v>
      </c>
      <c r="AS276" s="974" t="e">
        <f>IF($F276="","",$F276*chronic_consumption!AN276/1000/$C$3)</f>
        <v>#DIV/0!</v>
      </c>
      <c r="AT276" s="974" t="e">
        <f>IF($F276="","",$F276*chronic_consumption!AO276/1000/$C$3)</f>
        <v>#DIV/0!</v>
      </c>
      <c r="AU276" s="974"/>
      <c r="AV276" s="974" t="e">
        <f>IF($F276="","",$F276*chronic_consumption!AQ276/1000/$C$3)</f>
        <v>#DIV/0!</v>
      </c>
      <c r="AW276" s="974" t="e">
        <f>IF($F276="","",$F276*chronic_consumption!AR276/1000/$C$3)</f>
        <v>#DIV/0!</v>
      </c>
      <c r="AX276" s="974" t="e">
        <f>IF($F276="","",$F276*chronic_consumption!AS276/1000/$C$3)</f>
        <v>#DIV/0!</v>
      </c>
      <c r="AY276" s="974" t="e">
        <f>IF($F276="","",$F276*chronic_consumption!AT276/1000/$C$3)</f>
        <v>#DIV/0!</v>
      </c>
      <c r="AZ276" s="973" t="s">
        <v>19</v>
      </c>
      <c r="BA276" s="969" t="e">
        <f t="shared" si="23"/>
        <v>#DIV/0!</v>
      </c>
      <c r="BB276" s="970" t="e">
        <f t="shared" si="24"/>
        <v>#DIV/0!</v>
      </c>
      <c r="BC276" s="971" t="e">
        <f t="shared" ca="1" si="25"/>
        <v>#DIV/0!</v>
      </c>
      <c r="BD276" s="228">
        <f>input_values!Z276</f>
        <v>1</v>
      </c>
      <c r="BE276" s="152">
        <f>input_values!L276</f>
        <v>0</v>
      </c>
      <c r="BF276" s="972" t="str">
        <f t="shared" si="26"/>
        <v/>
      </c>
    </row>
    <row r="277" spans="1:58" ht="12" customHeight="1" x14ac:dyDescent="0.2">
      <c r="A277" s="299">
        <v>1</v>
      </c>
      <c r="B277" s="127">
        <v>800000</v>
      </c>
      <c r="C277" s="127" t="s">
        <v>144</v>
      </c>
      <c r="D277" s="965">
        <f>Table22[[#This Row],[MRL individual commodity]]</f>
        <v>0</v>
      </c>
      <c r="E277" s="300">
        <f>Table22[[#This Row],[LOQ_label]]</f>
        <v>0</v>
      </c>
      <c r="F277" s="966">
        <f>Table22[[#This Row],[Chronic RA input value]]</f>
        <v>0</v>
      </c>
      <c r="G277" s="304">
        <f>Table22[[#This Row],[Chronic RA label]]</f>
        <v>0</v>
      </c>
      <c r="H277" s="304">
        <f>Table22[[#This Row],[GAP under assessment]]</f>
        <v>0</v>
      </c>
      <c r="I277" s="1123"/>
      <c r="J277" s="967" t="e">
        <f>IF($F277="","",$F277*chronic_consumption!$E277/1000/$C$3)</f>
        <v>#DIV/0!</v>
      </c>
      <c r="K277" s="967" t="e">
        <f>IF($F277="","",$F277*chronic_consumption!F277/1000/$C$3)</f>
        <v>#DIV/0!</v>
      </c>
      <c r="L277" s="967" t="e">
        <f>IF($F277="","",$F277*chronic_consumption!G277/1000/$C$3)</f>
        <v>#DIV/0!</v>
      </c>
      <c r="M277" s="967" t="e">
        <f>IF($F277="","",$F277*chronic_consumption!H277/1000/$C$3)</f>
        <v>#DIV/0!</v>
      </c>
      <c r="N277" s="967" t="e">
        <f>IF($F277="","",$F277*chronic_consumption!I277/1000/$C$3)</f>
        <v>#DIV/0!</v>
      </c>
      <c r="O277" s="967" t="e">
        <f>IF($F277="","",$F277*chronic_consumption!J277/1000/$C$3)</f>
        <v>#DIV/0!</v>
      </c>
      <c r="P277" s="967" t="e">
        <f>IF($F277="","",$F277*chronic_consumption!K277/1000/$C$3)</f>
        <v>#DIV/0!</v>
      </c>
      <c r="Q277" s="967" t="e">
        <f>IF($F277="","",$F277*chronic_consumption!L277/1000/$C$3)</f>
        <v>#DIV/0!</v>
      </c>
      <c r="R277" s="967" t="e">
        <f>IF($F277="","",$F277*chronic_consumption!M277/1000/$C$3)</f>
        <v>#DIV/0!</v>
      </c>
      <c r="S277" s="967" t="e">
        <f>IF($F277="","",$F277*chronic_consumption!N277/1000/$C$3)</f>
        <v>#DIV/0!</v>
      </c>
      <c r="T277" s="967" t="e">
        <f>IF($F277="","",$F277*chronic_consumption!O277/1000/$C$3)</f>
        <v>#DIV/0!</v>
      </c>
      <c r="U277" s="967" t="e">
        <f>IF($F277="","",$F277*chronic_consumption!P277/1000/$C$3)</f>
        <v>#DIV/0!</v>
      </c>
      <c r="V277" s="967" t="e">
        <f>IF($F277="","",$F277*chronic_consumption!Q277/1000/$C$3)</f>
        <v>#DIV/0!</v>
      </c>
      <c r="W277" s="967" t="e">
        <f>IF($F277="","",$F277*chronic_consumption!R277/1000/$C$3)</f>
        <v>#DIV/0!</v>
      </c>
      <c r="X277" s="967" t="e">
        <f>IF($F277="","",$F277*chronic_consumption!S277/1000/$C$3)</f>
        <v>#DIV/0!</v>
      </c>
      <c r="Y277" s="967" t="e">
        <f>IF($F277="","",$F277*chronic_consumption!T277/1000/$C$3)</f>
        <v>#DIV/0!</v>
      </c>
      <c r="Z277" s="967" t="e">
        <f>IF($F277="","",$F277*chronic_consumption!U277/1000/$C$3)</f>
        <v>#DIV/0!</v>
      </c>
      <c r="AA277" s="967" t="e">
        <f>IF($F277="","",$F277*chronic_consumption!V277/1000/$C$3)</f>
        <v>#DIV/0!</v>
      </c>
      <c r="AB277" s="967" t="e">
        <f>IF($F277="","",$F277*chronic_consumption!W277/1000/$C$3)</f>
        <v>#DIV/0!</v>
      </c>
      <c r="AC277" s="967" t="e">
        <f>IF($F277="","",$F277*chronic_consumption!X277/1000/$C$3)</f>
        <v>#DIV/0!</v>
      </c>
      <c r="AD277" s="967" t="e">
        <f>IF($F277="","",$F277*chronic_consumption!Y277/1000/$C$3)</f>
        <v>#DIV/0!</v>
      </c>
      <c r="AE277" s="967" t="e">
        <f>IF($F277="","",$F277*chronic_consumption!Z277/1000/$C$3)</f>
        <v>#DIV/0!</v>
      </c>
      <c r="AF277" s="967" t="e">
        <f>IF($F277="","",$F277*chronic_consumption!AA277/1000/$C$3)</f>
        <v>#DIV/0!</v>
      </c>
      <c r="AG277" s="967" t="e">
        <f>IF($F277="","",$F277*chronic_consumption!AB277/1000/$C$3)</f>
        <v>#DIV/0!</v>
      </c>
      <c r="AH277" s="967" t="e">
        <f>IF($F277="","",$F277*chronic_consumption!AC277/1000/$C$3)</f>
        <v>#DIV/0!</v>
      </c>
      <c r="AI277" s="967" t="e">
        <f>IF($F277="","",$F277*chronic_consumption!AD277/1000/$C$3)</f>
        <v>#DIV/0!</v>
      </c>
      <c r="AJ277" s="967" t="e">
        <f>IF($F277="","",$F277*chronic_consumption!AE277/1000/$C$3)</f>
        <v>#DIV/0!</v>
      </c>
      <c r="AK277" s="967" t="e">
        <f>IF($F277="","",$F277*chronic_consumption!AF277/1000/$C$3)</f>
        <v>#DIV/0!</v>
      </c>
      <c r="AL277" s="967" t="e">
        <f>IF($F277="","",$F277*chronic_consumption!AG277/1000/$C$3)</f>
        <v>#DIV/0!</v>
      </c>
      <c r="AM277" s="967" t="e">
        <f>IF($F277="","",$F277*chronic_consumption!AH277/1000/$C$3)</f>
        <v>#DIV/0!</v>
      </c>
      <c r="AN277" s="967" t="e">
        <f>IF($F277="","",$F277*chronic_consumption!AI277/1000/$C$3)</f>
        <v>#DIV/0!</v>
      </c>
      <c r="AO277" s="967" t="e">
        <f>IF($F277="","",$F277*chronic_consumption!AJ277/1000/$C$3)</f>
        <v>#DIV/0!</v>
      </c>
      <c r="AP277" s="967" t="e">
        <f>IF($F277="","",$F277*chronic_consumption!AK277/1000/$C$3)</f>
        <v>#DIV/0!</v>
      </c>
      <c r="AQ277" s="967" t="e">
        <f>IF($F277="","",$F277*chronic_consumption!AL277/1000/$C$3)</f>
        <v>#DIV/0!</v>
      </c>
      <c r="AR277" s="967" t="e">
        <f>IF($F277="","",$F277*chronic_consumption!AM277/1000/$C$3)</f>
        <v>#DIV/0!</v>
      </c>
      <c r="AS277" s="967" t="e">
        <f>IF($F277="","",$F277*chronic_consumption!AN277/1000/$C$3)</f>
        <v>#DIV/0!</v>
      </c>
      <c r="AT277" s="967" t="e">
        <f>IF($F277="","",$F277*chronic_consumption!AO277/1000/$C$3)</f>
        <v>#DIV/0!</v>
      </c>
      <c r="AU277" s="967"/>
      <c r="AV277" s="967" t="e">
        <f>IF($F277="","",$F277*chronic_consumption!AQ277/1000/$C$3)</f>
        <v>#DIV/0!</v>
      </c>
      <c r="AW277" s="967" t="e">
        <f>IF($F277="","",$F277*chronic_consumption!AR277/1000/$C$3)</f>
        <v>#DIV/0!</v>
      </c>
      <c r="AX277" s="967" t="e">
        <f>IF($F277="","",$F277*chronic_consumption!AS277/1000/$C$3)</f>
        <v>#DIV/0!</v>
      </c>
      <c r="AY277" s="967" t="e">
        <f>IF($F277="","",$F277*chronic_consumption!AT277/1000/$C$3)</f>
        <v>#DIV/0!</v>
      </c>
      <c r="AZ277" s="973"/>
      <c r="BA277" s="969" t="e">
        <f t="shared" si="23"/>
        <v>#DIV/0!</v>
      </c>
      <c r="BB277" s="970" t="e">
        <f t="shared" si="24"/>
        <v>#DIV/0!</v>
      </c>
      <c r="BC277" s="971" t="e">
        <f t="shared" ca="1" si="25"/>
        <v>#DIV/0!</v>
      </c>
      <c r="BD277" s="228">
        <f>input_values!Z277</f>
        <v>4</v>
      </c>
      <c r="BE277" s="152">
        <f>input_values!L277</f>
        <v>0</v>
      </c>
      <c r="BF277" s="972" t="str">
        <f t="shared" si="26"/>
        <v/>
      </c>
    </row>
    <row r="278" spans="1:58" ht="12" customHeight="1" outlineLevel="1" x14ac:dyDescent="0.2">
      <c r="A278" s="314">
        <v>2</v>
      </c>
      <c r="B278" s="131">
        <v>810000</v>
      </c>
      <c r="C278" s="131" t="s">
        <v>77</v>
      </c>
      <c r="D278" s="965">
        <f>Table22[[#This Row],[MRL individual commodity]]</f>
        <v>0</v>
      </c>
      <c r="E278" s="300">
        <f>Table22[[#This Row],[LOQ_label]]</f>
        <v>0</v>
      </c>
      <c r="F278" s="966">
        <f>Table22[[#This Row],[Chronic RA input value]]</f>
        <v>0</v>
      </c>
      <c r="G278" s="304">
        <f>Table22[[#This Row],[Chronic RA label]]</f>
        <v>0</v>
      </c>
      <c r="H278" s="304">
        <f>Table22[[#This Row],[GAP under assessment]]</f>
        <v>0</v>
      </c>
      <c r="I278" s="1123"/>
      <c r="J278" s="967" t="e">
        <f>IF($F278="","",$F278*chronic_consumption!$E278/1000/$C$3)</f>
        <v>#DIV/0!</v>
      </c>
      <c r="K278" s="967" t="e">
        <f>IF($F278="","",$F278*chronic_consumption!F278/1000/$C$3)</f>
        <v>#DIV/0!</v>
      </c>
      <c r="L278" s="967" t="e">
        <f>IF($F278="","",$F278*chronic_consumption!G278/1000/$C$3)</f>
        <v>#DIV/0!</v>
      </c>
      <c r="M278" s="967" t="e">
        <f>IF($F278="","",$F278*chronic_consumption!H278/1000/$C$3)</f>
        <v>#DIV/0!</v>
      </c>
      <c r="N278" s="967" t="e">
        <f>IF($F278="","",$F278*chronic_consumption!I278/1000/$C$3)</f>
        <v>#DIV/0!</v>
      </c>
      <c r="O278" s="967" t="e">
        <f>IF($F278="","",$F278*chronic_consumption!J278/1000/$C$3)</f>
        <v>#DIV/0!</v>
      </c>
      <c r="P278" s="967" t="e">
        <f>IF($F278="","",$F278*chronic_consumption!K278/1000/$C$3)</f>
        <v>#DIV/0!</v>
      </c>
      <c r="Q278" s="967" t="e">
        <f>IF($F278="","",$F278*chronic_consumption!L278/1000/$C$3)</f>
        <v>#DIV/0!</v>
      </c>
      <c r="R278" s="967" t="e">
        <f>IF($F278="","",$F278*chronic_consumption!M278/1000/$C$3)</f>
        <v>#DIV/0!</v>
      </c>
      <c r="S278" s="967" t="e">
        <f>IF($F278="","",$F278*chronic_consumption!N278/1000/$C$3)</f>
        <v>#DIV/0!</v>
      </c>
      <c r="T278" s="967" t="e">
        <f>IF($F278="","",$F278*chronic_consumption!O278/1000/$C$3)</f>
        <v>#DIV/0!</v>
      </c>
      <c r="U278" s="967" t="e">
        <f>IF($F278="","",$F278*chronic_consumption!P278/1000/$C$3)</f>
        <v>#DIV/0!</v>
      </c>
      <c r="V278" s="967" t="e">
        <f>IF($F278="","",$F278*chronic_consumption!Q278/1000/$C$3)</f>
        <v>#DIV/0!</v>
      </c>
      <c r="W278" s="967" t="e">
        <f>IF($F278="","",$F278*chronic_consumption!R278/1000/$C$3)</f>
        <v>#DIV/0!</v>
      </c>
      <c r="X278" s="967" t="e">
        <f>IF($F278="","",$F278*chronic_consumption!S278/1000/$C$3)</f>
        <v>#DIV/0!</v>
      </c>
      <c r="Y278" s="967" t="e">
        <f>IF($F278="","",$F278*chronic_consumption!T278/1000/$C$3)</f>
        <v>#DIV/0!</v>
      </c>
      <c r="Z278" s="967" t="e">
        <f>IF($F278="","",$F278*chronic_consumption!U278/1000/$C$3)</f>
        <v>#DIV/0!</v>
      </c>
      <c r="AA278" s="967" t="e">
        <f>IF($F278="","",$F278*chronic_consumption!V278/1000/$C$3)</f>
        <v>#DIV/0!</v>
      </c>
      <c r="AB278" s="967" t="e">
        <f>IF($F278="","",$F278*chronic_consumption!W278/1000/$C$3)</f>
        <v>#DIV/0!</v>
      </c>
      <c r="AC278" s="967" t="e">
        <f>IF($F278="","",$F278*chronic_consumption!X278/1000/$C$3)</f>
        <v>#DIV/0!</v>
      </c>
      <c r="AD278" s="967" t="e">
        <f>IF($F278="","",$F278*chronic_consumption!Y278/1000/$C$3)</f>
        <v>#DIV/0!</v>
      </c>
      <c r="AE278" s="967" t="e">
        <f>IF($F278="","",$F278*chronic_consumption!Z278/1000/$C$3)</f>
        <v>#DIV/0!</v>
      </c>
      <c r="AF278" s="967" t="e">
        <f>IF($F278="","",$F278*chronic_consumption!AA278/1000/$C$3)</f>
        <v>#DIV/0!</v>
      </c>
      <c r="AG278" s="967" t="e">
        <f>IF($F278="","",$F278*chronic_consumption!AB278/1000/$C$3)</f>
        <v>#DIV/0!</v>
      </c>
      <c r="AH278" s="967" t="e">
        <f>IF($F278="","",$F278*chronic_consumption!AC278/1000/$C$3)</f>
        <v>#DIV/0!</v>
      </c>
      <c r="AI278" s="967" t="e">
        <f>IF($F278="","",$F278*chronic_consumption!AD278/1000/$C$3)</f>
        <v>#DIV/0!</v>
      </c>
      <c r="AJ278" s="967" t="e">
        <f>IF($F278="","",$F278*chronic_consumption!AE278/1000/$C$3)</f>
        <v>#DIV/0!</v>
      </c>
      <c r="AK278" s="967" t="e">
        <f>IF($F278="","",$F278*chronic_consumption!AF278/1000/$C$3)</f>
        <v>#DIV/0!</v>
      </c>
      <c r="AL278" s="967" t="e">
        <f>IF($F278="","",$F278*chronic_consumption!AG278/1000/$C$3)</f>
        <v>#DIV/0!</v>
      </c>
      <c r="AM278" s="967" t="e">
        <f>IF($F278="","",$F278*chronic_consumption!AH278/1000/$C$3)</f>
        <v>#DIV/0!</v>
      </c>
      <c r="AN278" s="967" t="e">
        <f>IF($F278="","",$F278*chronic_consumption!AI278/1000/$C$3)</f>
        <v>#DIV/0!</v>
      </c>
      <c r="AO278" s="967" t="e">
        <f>IF($F278="","",$F278*chronic_consumption!AJ278/1000/$C$3)</f>
        <v>#DIV/0!</v>
      </c>
      <c r="AP278" s="967" t="e">
        <f>IF($F278="","",$F278*chronic_consumption!AK278/1000/$C$3)</f>
        <v>#DIV/0!</v>
      </c>
      <c r="AQ278" s="967" t="e">
        <f>IF($F278="","",$F278*chronic_consumption!AL278/1000/$C$3)</f>
        <v>#DIV/0!</v>
      </c>
      <c r="AR278" s="967" t="e">
        <f>IF($F278="","",$F278*chronic_consumption!AM278/1000/$C$3)</f>
        <v>#DIV/0!</v>
      </c>
      <c r="AS278" s="967" t="e">
        <f>IF($F278="","",$F278*chronic_consumption!AN278/1000/$C$3)</f>
        <v>#DIV/0!</v>
      </c>
      <c r="AT278" s="967" t="e">
        <f>IF($F278="","",$F278*chronic_consumption!AO278/1000/$C$3)</f>
        <v>#DIV/0!</v>
      </c>
      <c r="AU278" s="967"/>
      <c r="AV278" s="967" t="e">
        <f>IF($F278="","",$F278*chronic_consumption!AQ278/1000/$C$3)</f>
        <v>#DIV/0!</v>
      </c>
      <c r="AW278" s="967" t="e">
        <f>IF($F278="","",$F278*chronic_consumption!AR278/1000/$C$3)</f>
        <v>#DIV/0!</v>
      </c>
      <c r="AX278" s="967" t="e">
        <f>IF($F278="","",$F278*chronic_consumption!AS278/1000/$C$3)</f>
        <v>#DIV/0!</v>
      </c>
      <c r="AY278" s="967" t="e">
        <f>IF($F278="","",$F278*chronic_consumption!AT278/1000/$C$3)</f>
        <v>#DIV/0!</v>
      </c>
      <c r="AZ278" s="973"/>
      <c r="BA278" s="969" t="e">
        <f t="shared" si="23"/>
        <v>#DIV/0!</v>
      </c>
      <c r="BB278" s="970" t="e">
        <f t="shared" si="24"/>
        <v>#DIV/0!</v>
      </c>
      <c r="BC278" s="971" t="e">
        <f t="shared" ca="1" si="25"/>
        <v>#DIV/0!</v>
      </c>
      <c r="BD278" s="228">
        <f>input_values!Z278</f>
        <v>4</v>
      </c>
      <c r="BE278" s="152">
        <f>input_values!L278</f>
        <v>0</v>
      </c>
      <c r="BF278" s="972" t="str">
        <f t="shared" si="26"/>
        <v/>
      </c>
    </row>
    <row r="279" spans="1:58" ht="12" customHeight="1" outlineLevel="3" x14ac:dyDescent="0.2">
      <c r="A279" s="21">
        <v>4</v>
      </c>
      <c r="B279" s="23">
        <v>810010</v>
      </c>
      <c r="C279" s="23" t="s">
        <v>776</v>
      </c>
      <c r="D279" s="965">
        <f>Table22[[#This Row],[MRL individual commodity]]</f>
        <v>0</v>
      </c>
      <c r="E279" s="300" t="str">
        <f>Table22[[#This Row],[LOQ_label]]</f>
        <v/>
      </c>
      <c r="F279" s="966">
        <f>Table22[[#This Row],[Chronic RA input value]]</f>
        <v>0</v>
      </c>
      <c r="G279" s="304" t="str">
        <f>Table22[[#This Row],[Chronic RA label]]</f>
        <v/>
      </c>
      <c r="H279" s="304">
        <f>Table22[[#This Row],[GAP under assessment]]</f>
        <v>0</v>
      </c>
      <c r="I279" s="1123"/>
      <c r="J279" s="974" t="e">
        <f>IF($F279="","",$F279*chronic_consumption!$E279/1000/$C$3)</f>
        <v>#DIV/0!</v>
      </c>
      <c r="K279" s="974" t="e">
        <f>IF($F279="","",$F279*chronic_consumption!F279/1000/$C$3)</f>
        <v>#DIV/0!</v>
      </c>
      <c r="L279" s="974" t="e">
        <f>IF($F279="","",$F279*chronic_consumption!G279/1000/$C$3)</f>
        <v>#DIV/0!</v>
      </c>
      <c r="M279" s="974" t="e">
        <f>IF($F279="","",$F279*chronic_consumption!H279/1000/$C$3)</f>
        <v>#DIV/0!</v>
      </c>
      <c r="N279" s="974" t="e">
        <f>IF($F279="","",$F279*chronic_consumption!I279/1000/$C$3)</f>
        <v>#DIV/0!</v>
      </c>
      <c r="O279" s="974" t="e">
        <f>IF($F279="","",$F279*chronic_consumption!J279/1000/$C$3)</f>
        <v>#DIV/0!</v>
      </c>
      <c r="P279" s="974" t="e">
        <f>IF($F279="","",$F279*chronic_consumption!K279/1000/$C$3)</f>
        <v>#DIV/0!</v>
      </c>
      <c r="Q279" s="974" t="e">
        <f>IF($F279="","",$F279*chronic_consumption!L279/1000/$C$3)</f>
        <v>#DIV/0!</v>
      </c>
      <c r="R279" s="974" t="e">
        <f>IF($F279="","",$F279*chronic_consumption!M279/1000/$C$3)</f>
        <v>#DIV/0!</v>
      </c>
      <c r="S279" s="974" t="e">
        <f>IF($F279="","",$F279*chronic_consumption!N279/1000/$C$3)</f>
        <v>#DIV/0!</v>
      </c>
      <c r="T279" s="974" t="e">
        <f>IF($F279="","",$F279*chronic_consumption!O279/1000/$C$3)</f>
        <v>#DIV/0!</v>
      </c>
      <c r="U279" s="974" t="e">
        <f>IF($F279="","",$F279*chronic_consumption!P279/1000/$C$3)</f>
        <v>#DIV/0!</v>
      </c>
      <c r="V279" s="974" t="e">
        <f>IF($F279="","",$F279*chronic_consumption!Q279/1000/$C$3)</f>
        <v>#DIV/0!</v>
      </c>
      <c r="W279" s="974" t="e">
        <f>IF($F279="","",$F279*chronic_consumption!R279/1000/$C$3)</f>
        <v>#DIV/0!</v>
      </c>
      <c r="X279" s="974" t="e">
        <f>IF($F279="","",$F279*chronic_consumption!S279/1000/$C$3)</f>
        <v>#DIV/0!</v>
      </c>
      <c r="Y279" s="974" t="e">
        <f>IF($F279="","",$F279*chronic_consumption!T279/1000/$C$3)</f>
        <v>#DIV/0!</v>
      </c>
      <c r="Z279" s="974" t="e">
        <f>IF($F279="","",$F279*chronic_consumption!U279/1000/$C$3)</f>
        <v>#DIV/0!</v>
      </c>
      <c r="AA279" s="974" t="e">
        <f>IF($F279="","",$F279*chronic_consumption!V279/1000/$C$3)</f>
        <v>#DIV/0!</v>
      </c>
      <c r="AB279" s="974" t="e">
        <f>IF($F279="","",$F279*chronic_consumption!W279/1000/$C$3)</f>
        <v>#DIV/0!</v>
      </c>
      <c r="AC279" s="974" t="e">
        <f>IF($F279="","",$F279*chronic_consumption!X279/1000/$C$3)</f>
        <v>#DIV/0!</v>
      </c>
      <c r="AD279" s="974" t="e">
        <f>IF($F279="","",$F279*chronic_consumption!Y279/1000/$C$3)</f>
        <v>#DIV/0!</v>
      </c>
      <c r="AE279" s="974" t="e">
        <f>IF($F279="","",$F279*chronic_consumption!Z279/1000/$C$3)</f>
        <v>#DIV/0!</v>
      </c>
      <c r="AF279" s="974" t="e">
        <f>IF($F279="","",$F279*chronic_consumption!AA279/1000/$C$3)</f>
        <v>#DIV/0!</v>
      </c>
      <c r="AG279" s="974" t="e">
        <f>IF($F279="","",$F279*chronic_consumption!AB279/1000/$C$3)</f>
        <v>#DIV/0!</v>
      </c>
      <c r="AH279" s="974" t="e">
        <f>IF($F279="","",$F279*chronic_consumption!AC279/1000/$C$3)</f>
        <v>#DIV/0!</v>
      </c>
      <c r="AI279" s="974" t="e">
        <f>IF($F279="","",$F279*chronic_consumption!AD279/1000/$C$3)</f>
        <v>#DIV/0!</v>
      </c>
      <c r="AJ279" s="974" t="e">
        <f>IF($F279="","",$F279*chronic_consumption!AE279/1000/$C$3)</f>
        <v>#DIV/0!</v>
      </c>
      <c r="AK279" s="974" t="e">
        <f>IF($F279="","",$F279*chronic_consumption!AF279/1000/$C$3)</f>
        <v>#DIV/0!</v>
      </c>
      <c r="AL279" s="974" t="e">
        <f>IF($F279="","",$F279*chronic_consumption!AG279/1000/$C$3)</f>
        <v>#DIV/0!</v>
      </c>
      <c r="AM279" s="974" t="e">
        <f>IF($F279="","",$F279*chronic_consumption!AH279/1000/$C$3)</f>
        <v>#DIV/0!</v>
      </c>
      <c r="AN279" s="974" t="e">
        <f>IF($F279="","",$F279*chronic_consumption!AI279/1000/$C$3)</f>
        <v>#DIV/0!</v>
      </c>
      <c r="AO279" s="974" t="e">
        <f>IF($F279="","",$F279*chronic_consumption!AJ279/1000/$C$3)</f>
        <v>#DIV/0!</v>
      </c>
      <c r="AP279" s="974" t="e">
        <f>IF($F279="","",$F279*chronic_consumption!AK279/1000/$C$3)</f>
        <v>#DIV/0!</v>
      </c>
      <c r="AQ279" s="974" t="e">
        <f>IF($F279="","",$F279*chronic_consumption!AL279/1000/$C$3)</f>
        <v>#DIV/0!</v>
      </c>
      <c r="AR279" s="974" t="e">
        <f>IF($F279="","",$F279*chronic_consumption!AM279/1000/$C$3)</f>
        <v>#DIV/0!</v>
      </c>
      <c r="AS279" s="974" t="e">
        <f>IF($F279="","",$F279*chronic_consumption!AN279/1000/$C$3)</f>
        <v>#DIV/0!</v>
      </c>
      <c r="AT279" s="974" t="e">
        <f>IF($F279="","",$F279*chronic_consumption!AO279/1000/$C$3)</f>
        <v>#DIV/0!</v>
      </c>
      <c r="AU279" s="974"/>
      <c r="AV279" s="974" t="e">
        <f>IF($F279="","",$F279*chronic_consumption!AQ279/1000/$C$3)</f>
        <v>#DIV/0!</v>
      </c>
      <c r="AW279" s="974" t="e">
        <f>IF($F279="","",$F279*chronic_consumption!AR279/1000/$C$3)</f>
        <v>#DIV/0!</v>
      </c>
      <c r="AX279" s="974" t="e">
        <f>IF($F279="","",$F279*chronic_consumption!AS279/1000/$C$3)</f>
        <v>#DIV/0!</v>
      </c>
      <c r="AY279" s="974" t="e">
        <f>IF($F279="","",$F279*chronic_consumption!AT279/1000/$C$3)</f>
        <v>#DIV/0!</v>
      </c>
      <c r="AZ279" s="973" t="s">
        <v>19</v>
      </c>
      <c r="BA279" s="969" t="e">
        <f t="shared" si="23"/>
        <v>#DIV/0!</v>
      </c>
      <c r="BB279" s="970" t="e">
        <f t="shared" si="24"/>
        <v>#DIV/0!</v>
      </c>
      <c r="BC279" s="971" t="e">
        <f t="shared" ca="1" si="25"/>
        <v>#DIV/0!</v>
      </c>
      <c r="BD279" s="228">
        <f>input_values!Z279</f>
        <v>4</v>
      </c>
      <c r="BE279" s="152">
        <f>input_values!L279</f>
        <v>0</v>
      </c>
      <c r="BF279" s="972" t="str">
        <f t="shared" si="26"/>
        <v/>
      </c>
    </row>
    <row r="280" spans="1:58" ht="12" customHeight="1" outlineLevel="3" x14ac:dyDescent="0.2">
      <c r="A280" s="21">
        <v>4</v>
      </c>
      <c r="B280" s="23">
        <v>810020</v>
      </c>
      <c r="C280" s="23" t="s">
        <v>777</v>
      </c>
      <c r="D280" s="965">
        <f>Table22[[#This Row],[MRL individual commodity]]</f>
        <v>0</v>
      </c>
      <c r="E280" s="300" t="str">
        <f>Table22[[#This Row],[LOQ_label]]</f>
        <v/>
      </c>
      <c r="F280" s="966">
        <f>Table22[[#This Row],[Chronic RA input value]]</f>
        <v>0</v>
      </c>
      <c r="G280" s="304" t="str">
        <f>Table22[[#This Row],[Chronic RA label]]</f>
        <v/>
      </c>
      <c r="H280" s="304">
        <f>Table22[[#This Row],[GAP under assessment]]</f>
        <v>0</v>
      </c>
      <c r="I280" s="1123"/>
      <c r="J280" s="974" t="e">
        <f>IF($F280="","",$F280*chronic_consumption!$E280/1000/$C$3)</f>
        <v>#DIV/0!</v>
      </c>
      <c r="K280" s="974" t="e">
        <f>IF($F280="","",$F280*chronic_consumption!F280/1000/$C$3)</f>
        <v>#DIV/0!</v>
      </c>
      <c r="L280" s="974" t="e">
        <f>IF($F280="","",$F280*chronic_consumption!G280/1000/$C$3)</f>
        <v>#DIV/0!</v>
      </c>
      <c r="M280" s="974" t="e">
        <f>IF($F280="","",$F280*chronic_consumption!H280/1000/$C$3)</f>
        <v>#DIV/0!</v>
      </c>
      <c r="N280" s="974" t="e">
        <f>IF($F280="","",$F280*chronic_consumption!I280/1000/$C$3)</f>
        <v>#DIV/0!</v>
      </c>
      <c r="O280" s="974" t="e">
        <f>IF($F280="","",$F280*chronic_consumption!J280/1000/$C$3)</f>
        <v>#DIV/0!</v>
      </c>
      <c r="P280" s="974" t="e">
        <f>IF($F280="","",$F280*chronic_consumption!K280/1000/$C$3)</f>
        <v>#DIV/0!</v>
      </c>
      <c r="Q280" s="974" t="e">
        <f>IF($F280="","",$F280*chronic_consumption!L280/1000/$C$3)</f>
        <v>#DIV/0!</v>
      </c>
      <c r="R280" s="974" t="e">
        <f>IF($F280="","",$F280*chronic_consumption!M280/1000/$C$3)</f>
        <v>#DIV/0!</v>
      </c>
      <c r="S280" s="974" t="e">
        <f>IF($F280="","",$F280*chronic_consumption!N280/1000/$C$3)</f>
        <v>#DIV/0!</v>
      </c>
      <c r="T280" s="974" t="e">
        <f>IF($F280="","",$F280*chronic_consumption!O280/1000/$C$3)</f>
        <v>#DIV/0!</v>
      </c>
      <c r="U280" s="974" t="e">
        <f>IF($F280="","",$F280*chronic_consumption!P280/1000/$C$3)</f>
        <v>#DIV/0!</v>
      </c>
      <c r="V280" s="974" t="e">
        <f>IF($F280="","",$F280*chronic_consumption!Q280/1000/$C$3)</f>
        <v>#DIV/0!</v>
      </c>
      <c r="W280" s="974" t="e">
        <f>IF($F280="","",$F280*chronic_consumption!R280/1000/$C$3)</f>
        <v>#DIV/0!</v>
      </c>
      <c r="X280" s="974" t="e">
        <f>IF($F280="","",$F280*chronic_consumption!S280/1000/$C$3)</f>
        <v>#DIV/0!</v>
      </c>
      <c r="Y280" s="974" t="e">
        <f>IF($F280="","",$F280*chronic_consumption!T280/1000/$C$3)</f>
        <v>#DIV/0!</v>
      </c>
      <c r="Z280" s="974" t="e">
        <f>IF($F280="","",$F280*chronic_consumption!U280/1000/$C$3)</f>
        <v>#DIV/0!</v>
      </c>
      <c r="AA280" s="974" t="e">
        <f>IF($F280="","",$F280*chronic_consumption!V280/1000/$C$3)</f>
        <v>#DIV/0!</v>
      </c>
      <c r="AB280" s="974" t="e">
        <f>IF($F280="","",$F280*chronic_consumption!W280/1000/$C$3)</f>
        <v>#DIV/0!</v>
      </c>
      <c r="AC280" s="974" t="e">
        <f>IF($F280="","",$F280*chronic_consumption!X280/1000/$C$3)</f>
        <v>#DIV/0!</v>
      </c>
      <c r="AD280" s="974" t="e">
        <f>IF($F280="","",$F280*chronic_consumption!Y280/1000/$C$3)</f>
        <v>#DIV/0!</v>
      </c>
      <c r="AE280" s="974" t="e">
        <f>IF($F280="","",$F280*chronic_consumption!Z280/1000/$C$3)</f>
        <v>#DIV/0!</v>
      </c>
      <c r="AF280" s="974" t="e">
        <f>IF($F280="","",$F280*chronic_consumption!AA280/1000/$C$3)</f>
        <v>#DIV/0!</v>
      </c>
      <c r="AG280" s="974" t="e">
        <f>IF($F280="","",$F280*chronic_consumption!AB280/1000/$C$3)</f>
        <v>#DIV/0!</v>
      </c>
      <c r="AH280" s="974" t="e">
        <f>IF($F280="","",$F280*chronic_consumption!AC280/1000/$C$3)</f>
        <v>#DIV/0!</v>
      </c>
      <c r="AI280" s="974" t="e">
        <f>IF($F280="","",$F280*chronic_consumption!AD280/1000/$C$3)</f>
        <v>#DIV/0!</v>
      </c>
      <c r="AJ280" s="974" t="e">
        <f>IF($F280="","",$F280*chronic_consumption!AE280/1000/$C$3)</f>
        <v>#DIV/0!</v>
      </c>
      <c r="AK280" s="974" t="e">
        <f>IF($F280="","",$F280*chronic_consumption!AF280/1000/$C$3)</f>
        <v>#DIV/0!</v>
      </c>
      <c r="AL280" s="974" t="e">
        <f>IF($F280="","",$F280*chronic_consumption!AG280/1000/$C$3)</f>
        <v>#DIV/0!</v>
      </c>
      <c r="AM280" s="974" t="e">
        <f>IF($F280="","",$F280*chronic_consumption!AH280/1000/$C$3)</f>
        <v>#DIV/0!</v>
      </c>
      <c r="AN280" s="974" t="e">
        <f>IF($F280="","",$F280*chronic_consumption!AI280/1000/$C$3)</f>
        <v>#DIV/0!</v>
      </c>
      <c r="AO280" s="974" t="e">
        <f>IF($F280="","",$F280*chronic_consumption!AJ280/1000/$C$3)</f>
        <v>#DIV/0!</v>
      </c>
      <c r="AP280" s="974" t="e">
        <f>IF($F280="","",$F280*chronic_consumption!AK280/1000/$C$3)</f>
        <v>#DIV/0!</v>
      </c>
      <c r="AQ280" s="974" t="e">
        <f>IF($F280="","",$F280*chronic_consumption!AL280/1000/$C$3)</f>
        <v>#DIV/0!</v>
      </c>
      <c r="AR280" s="974" t="e">
        <f>IF($F280="","",$F280*chronic_consumption!AM280/1000/$C$3)</f>
        <v>#DIV/0!</v>
      </c>
      <c r="AS280" s="974" t="e">
        <f>IF($F280="","",$F280*chronic_consumption!AN280/1000/$C$3)</f>
        <v>#DIV/0!</v>
      </c>
      <c r="AT280" s="974" t="e">
        <f>IF($F280="","",$F280*chronic_consumption!AO280/1000/$C$3)</f>
        <v>#DIV/0!</v>
      </c>
      <c r="AU280" s="974"/>
      <c r="AV280" s="974" t="e">
        <f>IF($F280="","",$F280*chronic_consumption!AQ280/1000/$C$3)</f>
        <v>#DIV/0!</v>
      </c>
      <c r="AW280" s="974" t="e">
        <f>IF($F280="","",$F280*chronic_consumption!AR280/1000/$C$3)</f>
        <v>#DIV/0!</v>
      </c>
      <c r="AX280" s="974" t="e">
        <f>IF($F280="","",$F280*chronic_consumption!AS280/1000/$C$3)</f>
        <v>#DIV/0!</v>
      </c>
      <c r="AY280" s="974" t="e">
        <f>IF($F280="","",$F280*chronic_consumption!AT280/1000/$C$3)</f>
        <v>#DIV/0!</v>
      </c>
      <c r="AZ280" s="973" t="s">
        <v>19</v>
      </c>
      <c r="BA280" s="969" t="e">
        <f t="shared" si="23"/>
        <v>#DIV/0!</v>
      </c>
      <c r="BB280" s="970" t="e">
        <f t="shared" si="24"/>
        <v>#DIV/0!</v>
      </c>
      <c r="BC280" s="971" t="e">
        <f t="shared" ca="1" si="25"/>
        <v>#DIV/0!</v>
      </c>
      <c r="BD280" s="228">
        <f>input_values!Z280</f>
        <v>4</v>
      </c>
      <c r="BE280" s="152">
        <f>input_values!L280</f>
        <v>0</v>
      </c>
      <c r="BF280" s="972" t="str">
        <f t="shared" si="26"/>
        <v/>
      </c>
    </row>
    <row r="281" spans="1:58" ht="12" customHeight="1" outlineLevel="3" x14ac:dyDescent="0.2">
      <c r="A281" s="21">
        <v>4</v>
      </c>
      <c r="B281" s="23">
        <v>810030</v>
      </c>
      <c r="C281" s="23" t="s">
        <v>272</v>
      </c>
      <c r="D281" s="965">
        <f>Table22[[#This Row],[MRL individual commodity]]</f>
        <v>0</v>
      </c>
      <c r="E281" s="300" t="str">
        <f>Table22[[#This Row],[LOQ_label]]</f>
        <v/>
      </c>
      <c r="F281" s="966">
        <f>Table22[[#This Row],[Chronic RA input value]]</f>
        <v>0</v>
      </c>
      <c r="G281" s="304" t="str">
        <f>Table22[[#This Row],[Chronic RA label]]</f>
        <v/>
      </c>
      <c r="H281" s="304">
        <f>Table22[[#This Row],[GAP under assessment]]</f>
        <v>0</v>
      </c>
      <c r="I281" s="1123"/>
      <c r="J281" s="974" t="e">
        <f>IF($F281="","",$F281*chronic_consumption!$E281/1000/$C$3)</f>
        <v>#DIV/0!</v>
      </c>
      <c r="K281" s="974" t="e">
        <f>IF($F281="","",$F281*chronic_consumption!F281/1000/$C$3)</f>
        <v>#DIV/0!</v>
      </c>
      <c r="L281" s="974" t="e">
        <f>IF($F281="","",$F281*chronic_consumption!G281/1000/$C$3)</f>
        <v>#DIV/0!</v>
      </c>
      <c r="M281" s="974" t="e">
        <f>IF($F281="","",$F281*chronic_consumption!H281/1000/$C$3)</f>
        <v>#DIV/0!</v>
      </c>
      <c r="N281" s="974" t="e">
        <f>IF($F281="","",$F281*chronic_consumption!I281/1000/$C$3)</f>
        <v>#DIV/0!</v>
      </c>
      <c r="O281" s="974" t="e">
        <f>IF($F281="","",$F281*chronic_consumption!J281/1000/$C$3)</f>
        <v>#DIV/0!</v>
      </c>
      <c r="P281" s="974" t="e">
        <f>IF($F281="","",$F281*chronic_consumption!K281/1000/$C$3)</f>
        <v>#DIV/0!</v>
      </c>
      <c r="Q281" s="974" t="e">
        <f>IF($F281="","",$F281*chronic_consumption!L281/1000/$C$3)</f>
        <v>#DIV/0!</v>
      </c>
      <c r="R281" s="974" t="e">
        <f>IF($F281="","",$F281*chronic_consumption!M281/1000/$C$3)</f>
        <v>#DIV/0!</v>
      </c>
      <c r="S281" s="974" t="e">
        <f>IF($F281="","",$F281*chronic_consumption!N281/1000/$C$3)</f>
        <v>#DIV/0!</v>
      </c>
      <c r="T281" s="974" t="e">
        <f>IF($F281="","",$F281*chronic_consumption!O281/1000/$C$3)</f>
        <v>#DIV/0!</v>
      </c>
      <c r="U281" s="974" t="e">
        <f>IF($F281="","",$F281*chronic_consumption!P281/1000/$C$3)</f>
        <v>#DIV/0!</v>
      </c>
      <c r="V281" s="974" t="e">
        <f>IF($F281="","",$F281*chronic_consumption!Q281/1000/$C$3)</f>
        <v>#DIV/0!</v>
      </c>
      <c r="W281" s="974" t="e">
        <f>IF($F281="","",$F281*chronic_consumption!R281/1000/$C$3)</f>
        <v>#DIV/0!</v>
      </c>
      <c r="X281" s="974" t="e">
        <f>IF($F281="","",$F281*chronic_consumption!S281/1000/$C$3)</f>
        <v>#DIV/0!</v>
      </c>
      <c r="Y281" s="974" t="e">
        <f>IF($F281="","",$F281*chronic_consumption!T281/1000/$C$3)</f>
        <v>#DIV/0!</v>
      </c>
      <c r="Z281" s="974" t="e">
        <f>IF($F281="","",$F281*chronic_consumption!U281/1000/$C$3)</f>
        <v>#DIV/0!</v>
      </c>
      <c r="AA281" s="974" t="e">
        <f>IF($F281="","",$F281*chronic_consumption!V281/1000/$C$3)</f>
        <v>#DIV/0!</v>
      </c>
      <c r="AB281" s="974" t="e">
        <f>IF($F281="","",$F281*chronic_consumption!W281/1000/$C$3)</f>
        <v>#DIV/0!</v>
      </c>
      <c r="AC281" s="974" t="e">
        <f>IF($F281="","",$F281*chronic_consumption!X281/1000/$C$3)</f>
        <v>#DIV/0!</v>
      </c>
      <c r="AD281" s="974" t="e">
        <f>IF($F281="","",$F281*chronic_consumption!Y281/1000/$C$3)</f>
        <v>#DIV/0!</v>
      </c>
      <c r="AE281" s="974" t="e">
        <f>IF($F281="","",$F281*chronic_consumption!Z281/1000/$C$3)</f>
        <v>#DIV/0!</v>
      </c>
      <c r="AF281" s="974" t="e">
        <f>IF($F281="","",$F281*chronic_consumption!AA281/1000/$C$3)</f>
        <v>#DIV/0!</v>
      </c>
      <c r="AG281" s="974" t="e">
        <f>IF($F281="","",$F281*chronic_consumption!AB281/1000/$C$3)</f>
        <v>#DIV/0!</v>
      </c>
      <c r="AH281" s="974" t="e">
        <f>IF($F281="","",$F281*chronic_consumption!AC281/1000/$C$3)</f>
        <v>#DIV/0!</v>
      </c>
      <c r="AI281" s="974" t="e">
        <f>IF($F281="","",$F281*chronic_consumption!AD281/1000/$C$3)</f>
        <v>#DIV/0!</v>
      </c>
      <c r="AJ281" s="974" t="e">
        <f>IF($F281="","",$F281*chronic_consumption!AE281/1000/$C$3)</f>
        <v>#DIV/0!</v>
      </c>
      <c r="AK281" s="974" t="e">
        <f>IF($F281="","",$F281*chronic_consumption!AF281/1000/$C$3)</f>
        <v>#DIV/0!</v>
      </c>
      <c r="AL281" s="974" t="e">
        <f>IF($F281="","",$F281*chronic_consumption!AG281/1000/$C$3)</f>
        <v>#DIV/0!</v>
      </c>
      <c r="AM281" s="974" t="e">
        <f>IF($F281="","",$F281*chronic_consumption!AH281/1000/$C$3)</f>
        <v>#DIV/0!</v>
      </c>
      <c r="AN281" s="974" t="e">
        <f>IF($F281="","",$F281*chronic_consumption!AI281/1000/$C$3)</f>
        <v>#DIV/0!</v>
      </c>
      <c r="AO281" s="974" t="e">
        <f>IF($F281="","",$F281*chronic_consumption!AJ281/1000/$C$3)</f>
        <v>#DIV/0!</v>
      </c>
      <c r="AP281" s="974" t="e">
        <f>IF($F281="","",$F281*chronic_consumption!AK281/1000/$C$3)</f>
        <v>#DIV/0!</v>
      </c>
      <c r="AQ281" s="974" t="e">
        <f>IF($F281="","",$F281*chronic_consumption!AL281/1000/$C$3)</f>
        <v>#DIV/0!</v>
      </c>
      <c r="AR281" s="974" t="e">
        <f>IF($F281="","",$F281*chronic_consumption!AM281/1000/$C$3)</f>
        <v>#DIV/0!</v>
      </c>
      <c r="AS281" s="974" t="e">
        <f>IF($F281="","",$F281*chronic_consumption!AN281/1000/$C$3)</f>
        <v>#DIV/0!</v>
      </c>
      <c r="AT281" s="974" t="e">
        <f>IF($F281="","",$F281*chronic_consumption!AO281/1000/$C$3)</f>
        <v>#DIV/0!</v>
      </c>
      <c r="AU281" s="974"/>
      <c r="AV281" s="974" t="e">
        <f>IF($F281="","",$F281*chronic_consumption!AQ281/1000/$C$3)</f>
        <v>#DIV/0!</v>
      </c>
      <c r="AW281" s="974" t="e">
        <f>IF($F281="","",$F281*chronic_consumption!AR281/1000/$C$3)</f>
        <v>#DIV/0!</v>
      </c>
      <c r="AX281" s="974" t="e">
        <f>IF($F281="","",$F281*chronic_consumption!AS281/1000/$C$3)</f>
        <v>#DIV/0!</v>
      </c>
      <c r="AY281" s="974" t="e">
        <f>IF($F281="","",$F281*chronic_consumption!AT281/1000/$C$3)</f>
        <v>#DIV/0!</v>
      </c>
      <c r="AZ281" s="973" t="s">
        <v>19</v>
      </c>
      <c r="BA281" s="969" t="e">
        <f t="shared" si="23"/>
        <v>#DIV/0!</v>
      </c>
      <c r="BB281" s="970" t="e">
        <f t="shared" si="24"/>
        <v>#DIV/0!</v>
      </c>
      <c r="BC281" s="971" t="e">
        <f t="shared" ca="1" si="25"/>
        <v>#DIV/0!</v>
      </c>
      <c r="BD281" s="228">
        <f>input_values!Z281</f>
        <v>4</v>
      </c>
      <c r="BE281" s="152">
        <f>input_values!L281</f>
        <v>0</v>
      </c>
      <c r="BF281" s="972" t="str">
        <f t="shared" si="26"/>
        <v/>
      </c>
    </row>
    <row r="282" spans="1:58" ht="12" customHeight="1" outlineLevel="3" x14ac:dyDescent="0.2">
      <c r="A282" s="21">
        <v>4</v>
      </c>
      <c r="B282" s="23">
        <v>810040</v>
      </c>
      <c r="C282" s="23" t="s">
        <v>273</v>
      </c>
      <c r="D282" s="965">
        <f>Table22[[#This Row],[MRL individual commodity]]</f>
        <v>0</v>
      </c>
      <c r="E282" s="300" t="str">
        <f>Table22[[#This Row],[LOQ_label]]</f>
        <v/>
      </c>
      <c r="F282" s="966">
        <f>Table22[[#This Row],[Chronic RA input value]]</f>
        <v>0</v>
      </c>
      <c r="G282" s="304" t="str">
        <f>Table22[[#This Row],[Chronic RA label]]</f>
        <v/>
      </c>
      <c r="H282" s="304">
        <f>Table22[[#This Row],[GAP under assessment]]</f>
        <v>0</v>
      </c>
      <c r="I282" s="1123"/>
      <c r="J282" s="974" t="e">
        <f>IF($F282="","",$F282*chronic_consumption!$E282/1000/$C$3)</f>
        <v>#DIV/0!</v>
      </c>
      <c r="K282" s="974" t="e">
        <f>IF($F282="","",$F282*chronic_consumption!F282/1000/$C$3)</f>
        <v>#DIV/0!</v>
      </c>
      <c r="L282" s="974" t="e">
        <f>IF($F282="","",$F282*chronic_consumption!G282/1000/$C$3)</f>
        <v>#DIV/0!</v>
      </c>
      <c r="M282" s="974" t="e">
        <f>IF($F282="","",$F282*chronic_consumption!H282/1000/$C$3)</f>
        <v>#DIV/0!</v>
      </c>
      <c r="N282" s="974" t="e">
        <f>IF($F282="","",$F282*chronic_consumption!I282/1000/$C$3)</f>
        <v>#DIV/0!</v>
      </c>
      <c r="O282" s="974" t="e">
        <f>IF($F282="","",$F282*chronic_consumption!J282/1000/$C$3)</f>
        <v>#DIV/0!</v>
      </c>
      <c r="P282" s="974" t="e">
        <f>IF($F282="","",$F282*chronic_consumption!K282/1000/$C$3)</f>
        <v>#DIV/0!</v>
      </c>
      <c r="Q282" s="974" t="e">
        <f>IF($F282="","",$F282*chronic_consumption!L282/1000/$C$3)</f>
        <v>#DIV/0!</v>
      </c>
      <c r="R282" s="974" t="e">
        <f>IF($F282="","",$F282*chronic_consumption!M282/1000/$C$3)</f>
        <v>#DIV/0!</v>
      </c>
      <c r="S282" s="974" t="e">
        <f>IF($F282="","",$F282*chronic_consumption!N282/1000/$C$3)</f>
        <v>#DIV/0!</v>
      </c>
      <c r="T282" s="974" t="e">
        <f>IF($F282="","",$F282*chronic_consumption!O282/1000/$C$3)</f>
        <v>#DIV/0!</v>
      </c>
      <c r="U282" s="974" t="e">
        <f>IF($F282="","",$F282*chronic_consumption!P282/1000/$C$3)</f>
        <v>#DIV/0!</v>
      </c>
      <c r="V282" s="974" t="e">
        <f>IF($F282="","",$F282*chronic_consumption!Q282/1000/$C$3)</f>
        <v>#DIV/0!</v>
      </c>
      <c r="W282" s="974" t="e">
        <f>IF($F282="","",$F282*chronic_consumption!R282/1000/$C$3)</f>
        <v>#DIV/0!</v>
      </c>
      <c r="X282" s="974" t="e">
        <f>IF($F282="","",$F282*chronic_consumption!S282/1000/$C$3)</f>
        <v>#DIV/0!</v>
      </c>
      <c r="Y282" s="974" t="e">
        <f>IF($F282="","",$F282*chronic_consumption!T282/1000/$C$3)</f>
        <v>#DIV/0!</v>
      </c>
      <c r="Z282" s="974" t="e">
        <f>IF($F282="","",$F282*chronic_consumption!U282/1000/$C$3)</f>
        <v>#DIV/0!</v>
      </c>
      <c r="AA282" s="974" t="e">
        <f>IF($F282="","",$F282*chronic_consumption!V282/1000/$C$3)</f>
        <v>#DIV/0!</v>
      </c>
      <c r="AB282" s="974" t="e">
        <f>IF($F282="","",$F282*chronic_consumption!W282/1000/$C$3)</f>
        <v>#DIV/0!</v>
      </c>
      <c r="AC282" s="974" t="e">
        <f>IF($F282="","",$F282*chronic_consumption!X282/1000/$C$3)</f>
        <v>#DIV/0!</v>
      </c>
      <c r="AD282" s="974" t="e">
        <f>IF($F282="","",$F282*chronic_consumption!Y282/1000/$C$3)</f>
        <v>#DIV/0!</v>
      </c>
      <c r="AE282" s="974" t="e">
        <f>IF($F282="","",$F282*chronic_consumption!Z282/1000/$C$3)</f>
        <v>#DIV/0!</v>
      </c>
      <c r="AF282" s="974" t="e">
        <f>IF($F282="","",$F282*chronic_consumption!AA282/1000/$C$3)</f>
        <v>#DIV/0!</v>
      </c>
      <c r="AG282" s="974" t="e">
        <f>IF($F282="","",$F282*chronic_consumption!AB282/1000/$C$3)</f>
        <v>#DIV/0!</v>
      </c>
      <c r="AH282" s="974" t="e">
        <f>IF($F282="","",$F282*chronic_consumption!AC282/1000/$C$3)</f>
        <v>#DIV/0!</v>
      </c>
      <c r="AI282" s="974" t="e">
        <f>IF($F282="","",$F282*chronic_consumption!AD282/1000/$C$3)</f>
        <v>#DIV/0!</v>
      </c>
      <c r="AJ282" s="974" t="e">
        <f>IF($F282="","",$F282*chronic_consumption!AE282/1000/$C$3)</f>
        <v>#DIV/0!</v>
      </c>
      <c r="AK282" s="974" t="e">
        <f>IF($F282="","",$F282*chronic_consumption!AF282/1000/$C$3)</f>
        <v>#DIV/0!</v>
      </c>
      <c r="AL282" s="974" t="e">
        <f>IF($F282="","",$F282*chronic_consumption!AG282/1000/$C$3)</f>
        <v>#DIV/0!</v>
      </c>
      <c r="AM282" s="974" t="e">
        <f>IF($F282="","",$F282*chronic_consumption!AH282/1000/$C$3)</f>
        <v>#DIV/0!</v>
      </c>
      <c r="AN282" s="974" t="e">
        <f>IF($F282="","",$F282*chronic_consumption!AI282/1000/$C$3)</f>
        <v>#DIV/0!</v>
      </c>
      <c r="AO282" s="974" t="e">
        <f>IF($F282="","",$F282*chronic_consumption!AJ282/1000/$C$3)</f>
        <v>#DIV/0!</v>
      </c>
      <c r="AP282" s="974" t="e">
        <f>IF($F282="","",$F282*chronic_consumption!AK282/1000/$C$3)</f>
        <v>#DIV/0!</v>
      </c>
      <c r="AQ282" s="974" t="e">
        <f>IF($F282="","",$F282*chronic_consumption!AL282/1000/$C$3)</f>
        <v>#DIV/0!</v>
      </c>
      <c r="AR282" s="974" t="e">
        <f>IF($F282="","",$F282*chronic_consumption!AM282/1000/$C$3)</f>
        <v>#DIV/0!</v>
      </c>
      <c r="AS282" s="974" t="e">
        <f>IF($F282="","",$F282*chronic_consumption!AN282/1000/$C$3)</f>
        <v>#DIV/0!</v>
      </c>
      <c r="AT282" s="974" t="e">
        <f>IF($F282="","",$F282*chronic_consumption!AO282/1000/$C$3)</f>
        <v>#DIV/0!</v>
      </c>
      <c r="AU282" s="974"/>
      <c r="AV282" s="974" t="e">
        <f>IF($F282="","",$F282*chronic_consumption!AQ282/1000/$C$3)</f>
        <v>#DIV/0!</v>
      </c>
      <c r="AW282" s="974" t="e">
        <f>IF($F282="","",$F282*chronic_consumption!AR282/1000/$C$3)</f>
        <v>#DIV/0!</v>
      </c>
      <c r="AX282" s="974" t="e">
        <f>IF($F282="","",$F282*chronic_consumption!AS282/1000/$C$3)</f>
        <v>#DIV/0!</v>
      </c>
      <c r="AY282" s="974" t="e">
        <f>IF($F282="","",$F282*chronic_consumption!AT282/1000/$C$3)</f>
        <v>#DIV/0!</v>
      </c>
      <c r="AZ282" s="973" t="s">
        <v>19</v>
      </c>
      <c r="BA282" s="969" t="e">
        <f t="shared" si="23"/>
        <v>#DIV/0!</v>
      </c>
      <c r="BB282" s="970" t="e">
        <f t="shared" si="24"/>
        <v>#DIV/0!</v>
      </c>
      <c r="BC282" s="971" t="e">
        <f t="shared" ca="1" si="25"/>
        <v>#DIV/0!</v>
      </c>
      <c r="BD282" s="228">
        <f>input_values!Z282</f>
        <v>4</v>
      </c>
      <c r="BE282" s="152">
        <f>input_values!L282</f>
        <v>0</v>
      </c>
      <c r="BF282" s="972" t="str">
        <f t="shared" si="26"/>
        <v/>
      </c>
    </row>
    <row r="283" spans="1:58" ht="12" customHeight="1" outlineLevel="3" x14ac:dyDescent="0.2">
      <c r="A283" s="21">
        <v>4</v>
      </c>
      <c r="B283" s="23">
        <v>810050</v>
      </c>
      <c r="C283" s="23" t="s">
        <v>274</v>
      </c>
      <c r="D283" s="965">
        <f>Table22[[#This Row],[MRL individual commodity]]</f>
        <v>0</v>
      </c>
      <c r="E283" s="300" t="str">
        <f>Table22[[#This Row],[LOQ_label]]</f>
        <v/>
      </c>
      <c r="F283" s="966">
        <f>Table22[[#This Row],[Chronic RA input value]]</f>
        <v>0</v>
      </c>
      <c r="G283" s="304" t="str">
        <f>Table22[[#This Row],[Chronic RA label]]</f>
        <v/>
      </c>
      <c r="H283" s="304">
        <f>Table22[[#This Row],[GAP under assessment]]</f>
        <v>0</v>
      </c>
      <c r="I283" s="1123"/>
      <c r="J283" s="974" t="e">
        <f>IF($F283="","",$F283*chronic_consumption!$E283/1000/$C$3)</f>
        <v>#DIV/0!</v>
      </c>
      <c r="K283" s="974" t="e">
        <f>IF($F283="","",$F283*chronic_consumption!F283/1000/$C$3)</f>
        <v>#DIV/0!</v>
      </c>
      <c r="L283" s="974" t="e">
        <f>IF($F283="","",$F283*chronic_consumption!G283/1000/$C$3)</f>
        <v>#DIV/0!</v>
      </c>
      <c r="M283" s="974" t="e">
        <f>IF($F283="","",$F283*chronic_consumption!H283/1000/$C$3)</f>
        <v>#DIV/0!</v>
      </c>
      <c r="N283" s="974" t="e">
        <f>IF($F283="","",$F283*chronic_consumption!I283/1000/$C$3)</f>
        <v>#DIV/0!</v>
      </c>
      <c r="O283" s="974" t="e">
        <f>IF($F283="","",$F283*chronic_consumption!J283/1000/$C$3)</f>
        <v>#DIV/0!</v>
      </c>
      <c r="P283" s="974" t="e">
        <f>IF($F283="","",$F283*chronic_consumption!K283/1000/$C$3)</f>
        <v>#DIV/0!</v>
      </c>
      <c r="Q283" s="974" t="e">
        <f>IF($F283="","",$F283*chronic_consumption!L283/1000/$C$3)</f>
        <v>#DIV/0!</v>
      </c>
      <c r="R283" s="974" t="e">
        <f>IF($F283="","",$F283*chronic_consumption!M283/1000/$C$3)</f>
        <v>#DIV/0!</v>
      </c>
      <c r="S283" s="974" t="e">
        <f>IF($F283="","",$F283*chronic_consumption!N283/1000/$C$3)</f>
        <v>#DIV/0!</v>
      </c>
      <c r="T283" s="974" t="e">
        <f>IF($F283="","",$F283*chronic_consumption!O283/1000/$C$3)</f>
        <v>#DIV/0!</v>
      </c>
      <c r="U283" s="974" t="e">
        <f>IF($F283="","",$F283*chronic_consumption!P283/1000/$C$3)</f>
        <v>#DIV/0!</v>
      </c>
      <c r="V283" s="974" t="e">
        <f>IF($F283="","",$F283*chronic_consumption!Q283/1000/$C$3)</f>
        <v>#DIV/0!</v>
      </c>
      <c r="W283" s="974" t="e">
        <f>IF($F283="","",$F283*chronic_consumption!R283/1000/$C$3)</f>
        <v>#DIV/0!</v>
      </c>
      <c r="X283" s="974" t="e">
        <f>IF($F283="","",$F283*chronic_consumption!S283/1000/$C$3)</f>
        <v>#DIV/0!</v>
      </c>
      <c r="Y283" s="974" t="e">
        <f>IF($F283="","",$F283*chronic_consumption!T283/1000/$C$3)</f>
        <v>#DIV/0!</v>
      </c>
      <c r="Z283" s="974" t="e">
        <f>IF($F283="","",$F283*chronic_consumption!U283/1000/$C$3)</f>
        <v>#DIV/0!</v>
      </c>
      <c r="AA283" s="974" t="e">
        <f>IF($F283="","",$F283*chronic_consumption!V283/1000/$C$3)</f>
        <v>#DIV/0!</v>
      </c>
      <c r="AB283" s="974" t="e">
        <f>IF($F283="","",$F283*chronic_consumption!W283/1000/$C$3)</f>
        <v>#DIV/0!</v>
      </c>
      <c r="AC283" s="974" t="e">
        <f>IF($F283="","",$F283*chronic_consumption!X283/1000/$C$3)</f>
        <v>#DIV/0!</v>
      </c>
      <c r="AD283" s="974" t="e">
        <f>IF($F283="","",$F283*chronic_consumption!Y283/1000/$C$3)</f>
        <v>#DIV/0!</v>
      </c>
      <c r="AE283" s="974" t="e">
        <f>IF($F283="","",$F283*chronic_consumption!Z283/1000/$C$3)</f>
        <v>#DIV/0!</v>
      </c>
      <c r="AF283" s="974" t="e">
        <f>IF($F283="","",$F283*chronic_consumption!AA283/1000/$C$3)</f>
        <v>#DIV/0!</v>
      </c>
      <c r="AG283" s="974" t="e">
        <f>IF($F283="","",$F283*chronic_consumption!AB283/1000/$C$3)</f>
        <v>#DIV/0!</v>
      </c>
      <c r="AH283" s="974" t="e">
        <f>IF($F283="","",$F283*chronic_consumption!AC283/1000/$C$3)</f>
        <v>#DIV/0!</v>
      </c>
      <c r="AI283" s="974" t="e">
        <f>IF($F283="","",$F283*chronic_consumption!AD283/1000/$C$3)</f>
        <v>#DIV/0!</v>
      </c>
      <c r="AJ283" s="974" t="e">
        <f>IF($F283="","",$F283*chronic_consumption!AE283/1000/$C$3)</f>
        <v>#DIV/0!</v>
      </c>
      <c r="AK283" s="974" t="e">
        <f>IF($F283="","",$F283*chronic_consumption!AF283/1000/$C$3)</f>
        <v>#DIV/0!</v>
      </c>
      <c r="AL283" s="974" t="e">
        <f>IF($F283="","",$F283*chronic_consumption!AG283/1000/$C$3)</f>
        <v>#DIV/0!</v>
      </c>
      <c r="AM283" s="974" t="e">
        <f>IF($F283="","",$F283*chronic_consumption!AH283/1000/$C$3)</f>
        <v>#DIV/0!</v>
      </c>
      <c r="AN283" s="974" t="e">
        <f>IF($F283="","",$F283*chronic_consumption!AI283/1000/$C$3)</f>
        <v>#DIV/0!</v>
      </c>
      <c r="AO283" s="974" t="e">
        <f>IF($F283="","",$F283*chronic_consumption!AJ283/1000/$C$3)</f>
        <v>#DIV/0!</v>
      </c>
      <c r="AP283" s="974" t="e">
        <f>IF($F283="","",$F283*chronic_consumption!AK283/1000/$C$3)</f>
        <v>#DIV/0!</v>
      </c>
      <c r="AQ283" s="974" t="e">
        <f>IF($F283="","",$F283*chronic_consumption!AL283/1000/$C$3)</f>
        <v>#DIV/0!</v>
      </c>
      <c r="AR283" s="974" t="e">
        <f>IF($F283="","",$F283*chronic_consumption!AM283/1000/$C$3)</f>
        <v>#DIV/0!</v>
      </c>
      <c r="AS283" s="974" t="e">
        <f>IF($F283="","",$F283*chronic_consumption!AN283/1000/$C$3)</f>
        <v>#DIV/0!</v>
      </c>
      <c r="AT283" s="974" t="e">
        <f>IF($F283="","",$F283*chronic_consumption!AO283/1000/$C$3)</f>
        <v>#DIV/0!</v>
      </c>
      <c r="AU283" s="974"/>
      <c r="AV283" s="974" t="e">
        <f>IF($F283="","",$F283*chronic_consumption!AQ283/1000/$C$3)</f>
        <v>#DIV/0!</v>
      </c>
      <c r="AW283" s="974" t="e">
        <f>IF($F283="","",$F283*chronic_consumption!AR283/1000/$C$3)</f>
        <v>#DIV/0!</v>
      </c>
      <c r="AX283" s="974" t="e">
        <f>IF($F283="","",$F283*chronic_consumption!AS283/1000/$C$3)</f>
        <v>#DIV/0!</v>
      </c>
      <c r="AY283" s="974" t="e">
        <f>IF($F283="","",$F283*chronic_consumption!AT283/1000/$C$3)</f>
        <v>#DIV/0!</v>
      </c>
      <c r="AZ283" s="973" t="s">
        <v>19</v>
      </c>
      <c r="BA283" s="969" t="e">
        <f t="shared" si="23"/>
        <v>#DIV/0!</v>
      </c>
      <c r="BB283" s="970" t="e">
        <f t="shared" si="24"/>
        <v>#DIV/0!</v>
      </c>
      <c r="BC283" s="971" t="e">
        <f t="shared" ca="1" si="25"/>
        <v>#DIV/0!</v>
      </c>
      <c r="BD283" s="228">
        <f>input_values!Z283</f>
        <v>4</v>
      </c>
      <c r="BE283" s="152">
        <f>input_values!L283</f>
        <v>0</v>
      </c>
      <c r="BF283" s="972" t="str">
        <f t="shared" si="26"/>
        <v/>
      </c>
    </row>
    <row r="284" spans="1:58" ht="12" customHeight="1" outlineLevel="3" x14ac:dyDescent="0.2">
      <c r="A284" s="21">
        <v>4</v>
      </c>
      <c r="B284" s="23">
        <v>810060</v>
      </c>
      <c r="C284" s="23" t="s">
        <v>275</v>
      </c>
      <c r="D284" s="965">
        <f>Table22[[#This Row],[MRL individual commodity]]</f>
        <v>0</v>
      </c>
      <c r="E284" s="300" t="str">
        <f>Table22[[#This Row],[LOQ_label]]</f>
        <v/>
      </c>
      <c r="F284" s="966">
        <f>Table22[[#This Row],[Chronic RA input value]]</f>
        <v>0</v>
      </c>
      <c r="G284" s="304" t="str">
        <f>Table22[[#This Row],[Chronic RA label]]</f>
        <v/>
      </c>
      <c r="H284" s="304">
        <f>Table22[[#This Row],[GAP under assessment]]</f>
        <v>0</v>
      </c>
      <c r="I284" s="1123"/>
      <c r="J284" s="974" t="e">
        <f>IF($F284="","",$F284*chronic_consumption!$E284/1000/$C$3)</f>
        <v>#DIV/0!</v>
      </c>
      <c r="K284" s="974" t="e">
        <f>IF($F284="","",$F284*chronic_consumption!F284/1000/$C$3)</f>
        <v>#DIV/0!</v>
      </c>
      <c r="L284" s="974" t="e">
        <f>IF($F284="","",$F284*chronic_consumption!G284/1000/$C$3)</f>
        <v>#DIV/0!</v>
      </c>
      <c r="M284" s="974" t="e">
        <f>IF($F284="","",$F284*chronic_consumption!H284/1000/$C$3)</f>
        <v>#DIV/0!</v>
      </c>
      <c r="N284" s="974" t="e">
        <f>IF($F284="","",$F284*chronic_consumption!I284/1000/$C$3)</f>
        <v>#DIV/0!</v>
      </c>
      <c r="O284" s="974" t="e">
        <f>IF($F284="","",$F284*chronic_consumption!J284/1000/$C$3)</f>
        <v>#DIV/0!</v>
      </c>
      <c r="P284" s="974" t="e">
        <f>IF($F284="","",$F284*chronic_consumption!K284/1000/$C$3)</f>
        <v>#DIV/0!</v>
      </c>
      <c r="Q284" s="974" t="e">
        <f>IF($F284="","",$F284*chronic_consumption!L284/1000/$C$3)</f>
        <v>#DIV/0!</v>
      </c>
      <c r="R284" s="974" t="e">
        <f>IF($F284="","",$F284*chronic_consumption!M284/1000/$C$3)</f>
        <v>#DIV/0!</v>
      </c>
      <c r="S284" s="974" t="e">
        <f>IF($F284="","",$F284*chronic_consumption!N284/1000/$C$3)</f>
        <v>#DIV/0!</v>
      </c>
      <c r="T284" s="974" t="e">
        <f>IF($F284="","",$F284*chronic_consumption!O284/1000/$C$3)</f>
        <v>#DIV/0!</v>
      </c>
      <c r="U284" s="974" t="e">
        <f>IF($F284="","",$F284*chronic_consumption!P284/1000/$C$3)</f>
        <v>#DIV/0!</v>
      </c>
      <c r="V284" s="974" t="e">
        <f>IF($F284="","",$F284*chronic_consumption!Q284/1000/$C$3)</f>
        <v>#DIV/0!</v>
      </c>
      <c r="W284" s="974" t="e">
        <f>IF($F284="","",$F284*chronic_consumption!R284/1000/$C$3)</f>
        <v>#DIV/0!</v>
      </c>
      <c r="X284" s="974" t="e">
        <f>IF($F284="","",$F284*chronic_consumption!S284/1000/$C$3)</f>
        <v>#DIV/0!</v>
      </c>
      <c r="Y284" s="974" t="e">
        <f>IF($F284="","",$F284*chronic_consumption!T284/1000/$C$3)</f>
        <v>#DIV/0!</v>
      </c>
      <c r="Z284" s="974" t="e">
        <f>IF($F284="","",$F284*chronic_consumption!U284/1000/$C$3)</f>
        <v>#DIV/0!</v>
      </c>
      <c r="AA284" s="974" t="e">
        <f>IF($F284="","",$F284*chronic_consumption!V284/1000/$C$3)</f>
        <v>#DIV/0!</v>
      </c>
      <c r="AB284" s="974" t="e">
        <f>IF($F284="","",$F284*chronic_consumption!W284/1000/$C$3)</f>
        <v>#DIV/0!</v>
      </c>
      <c r="AC284" s="974" t="e">
        <f>IF($F284="","",$F284*chronic_consumption!X284/1000/$C$3)</f>
        <v>#DIV/0!</v>
      </c>
      <c r="AD284" s="974" t="e">
        <f>IF($F284="","",$F284*chronic_consumption!Y284/1000/$C$3)</f>
        <v>#DIV/0!</v>
      </c>
      <c r="AE284" s="974" t="e">
        <f>IF($F284="","",$F284*chronic_consumption!Z284/1000/$C$3)</f>
        <v>#DIV/0!</v>
      </c>
      <c r="AF284" s="974" t="e">
        <f>IF($F284="","",$F284*chronic_consumption!AA284/1000/$C$3)</f>
        <v>#DIV/0!</v>
      </c>
      <c r="AG284" s="974" t="e">
        <f>IF($F284="","",$F284*chronic_consumption!AB284/1000/$C$3)</f>
        <v>#DIV/0!</v>
      </c>
      <c r="AH284" s="974" t="e">
        <f>IF($F284="","",$F284*chronic_consumption!AC284/1000/$C$3)</f>
        <v>#DIV/0!</v>
      </c>
      <c r="AI284" s="974" t="e">
        <f>IF($F284="","",$F284*chronic_consumption!AD284/1000/$C$3)</f>
        <v>#DIV/0!</v>
      </c>
      <c r="AJ284" s="974" t="e">
        <f>IF($F284="","",$F284*chronic_consumption!AE284/1000/$C$3)</f>
        <v>#DIV/0!</v>
      </c>
      <c r="AK284" s="974" t="e">
        <f>IF($F284="","",$F284*chronic_consumption!AF284/1000/$C$3)</f>
        <v>#DIV/0!</v>
      </c>
      <c r="AL284" s="974" t="e">
        <f>IF($F284="","",$F284*chronic_consumption!AG284/1000/$C$3)</f>
        <v>#DIV/0!</v>
      </c>
      <c r="AM284" s="974" t="e">
        <f>IF($F284="","",$F284*chronic_consumption!AH284/1000/$C$3)</f>
        <v>#DIV/0!</v>
      </c>
      <c r="AN284" s="974" t="e">
        <f>IF($F284="","",$F284*chronic_consumption!AI284/1000/$C$3)</f>
        <v>#DIV/0!</v>
      </c>
      <c r="AO284" s="974" t="e">
        <f>IF($F284="","",$F284*chronic_consumption!AJ284/1000/$C$3)</f>
        <v>#DIV/0!</v>
      </c>
      <c r="AP284" s="974" t="e">
        <f>IF($F284="","",$F284*chronic_consumption!AK284/1000/$C$3)</f>
        <v>#DIV/0!</v>
      </c>
      <c r="AQ284" s="974" t="e">
        <f>IF($F284="","",$F284*chronic_consumption!AL284/1000/$C$3)</f>
        <v>#DIV/0!</v>
      </c>
      <c r="AR284" s="974" t="e">
        <f>IF($F284="","",$F284*chronic_consumption!AM284/1000/$C$3)</f>
        <v>#DIV/0!</v>
      </c>
      <c r="AS284" s="974" t="e">
        <f>IF($F284="","",$F284*chronic_consumption!AN284/1000/$C$3)</f>
        <v>#DIV/0!</v>
      </c>
      <c r="AT284" s="974" t="e">
        <f>IF($F284="","",$F284*chronic_consumption!AO284/1000/$C$3)</f>
        <v>#DIV/0!</v>
      </c>
      <c r="AU284" s="974"/>
      <c r="AV284" s="974" t="e">
        <f>IF($F284="","",$F284*chronic_consumption!AQ284/1000/$C$3)</f>
        <v>#DIV/0!</v>
      </c>
      <c r="AW284" s="974" t="e">
        <f>IF($F284="","",$F284*chronic_consumption!AR284/1000/$C$3)</f>
        <v>#DIV/0!</v>
      </c>
      <c r="AX284" s="974" t="e">
        <f>IF($F284="","",$F284*chronic_consumption!AS284/1000/$C$3)</f>
        <v>#DIV/0!</v>
      </c>
      <c r="AY284" s="974" t="e">
        <f>IF($F284="","",$F284*chronic_consumption!AT284/1000/$C$3)</f>
        <v>#DIV/0!</v>
      </c>
      <c r="AZ284" s="973" t="s">
        <v>19</v>
      </c>
      <c r="BA284" s="969" t="e">
        <f t="shared" si="23"/>
        <v>#DIV/0!</v>
      </c>
      <c r="BB284" s="970" t="e">
        <f t="shared" si="24"/>
        <v>#DIV/0!</v>
      </c>
      <c r="BC284" s="971" t="e">
        <f t="shared" ca="1" si="25"/>
        <v>#DIV/0!</v>
      </c>
      <c r="BD284" s="228">
        <f>input_values!Z284</f>
        <v>4</v>
      </c>
      <c r="BE284" s="152">
        <f>input_values!L284</f>
        <v>0</v>
      </c>
      <c r="BF284" s="972" t="str">
        <f t="shared" si="26"/>
        <v/>
      </c>
    </row>
    <row r="285" spans="1:58" ht="12" customHeight="1" outlineLevel="3" x14ac:dyDescent="0.2">
      <c r="A285" s="21">
        <v>4</v>
      </c>
      <c r="B285" s="23">
        <v>810070</v>
      </c>
      <c r="C285" s="23" t="s">
        <v>276</v>
      </c>
      <c r="D285" s="965">
        <f>Table22[[#This Row],[MRL individual commodity]]</f>
        <v>0</v>
      </c>
      <c r="E285" s="300" t="str">
        <f>Table22[[#This Row],[LOQ_label]]</f>
        <v/>
      </c>
      <c r="F285" s="966">
        <f>Table22[[#This Row],[Chronic RA input value]]</f>
        <v>0</v>
      </c>
      <c r="G285" s="304" t="str">
        <f>Table22[[#This Row],[Chronic RA label]]</f>
        <v/>
      </c>
      <c r="H285" s="304">
        <f>Table22[[#This Row],[GAP under assessment]]</f>
        <v>0</v>
      </c>
      <c r="I285" s="1123"/>
      <c r="J285" s="974" t="e">
        <f>IF($F285="","",$F285*chronic_consumption!$E285/1000/$C$3)</f>
        <v>#DIV/0!</v>
      </c>
      <c r="K285" s="974" t="e">
        <f>IF($F285="","",$F285*chronic_consumption!F285/1000/$C$3)</f>
        <v>#DIV/0!</v>
      </c>
      <c r="L285" s="974" t="e">
        <f>IF($F285="","",$F285*chronic_consumption!G285/1000/$C$3)</f>
        <v>#DIV/0!</v>
      </c>
      <c r="M285" s="974" t="e">
        <f>IF($F285="","",$F285*chronic_consumption!H285/1000/$C$3)</f>
        <v>#DIV/0!</v>
      </c>
      <c r="N285" s="974" t="e">
        <f>IF($F285="","",$F285*chronic_consumption!I285/1000/$C$3)</f>
        <v>#DIV/0!</v>
      </c>
      <c r="O285" s="974" t="e">
        <f>IF($F285="","",$F285*chronic_consumption!J285/1000/$C$3)</f>
        <v>#DIV/0!</v>
      </c>
      <c r="P285" s="974" t="e">
        <f>IF($F285="","",$F285*chronic_consumption!K285/1000/$C$3)</f>
        <v>#DIV/0!</v>
      </c>
      <c r="Q285" s="974" t="e">
        <f>IF($F285="","",$F285*chronic_consumption!L285/1000/$C$3)</f>
        <v>#DIV/0!</v>
      </c>
      <c r="R285" s="974" t="e">
        <f>IF($F285="","",$F285*chronic_consumption!M285/1000/$C$3)</f>
        <v>#DIV/0!</v>
      </c>
      <c r="S285" s="974" t="e">
        <f>IF($F285="","",$F285*chronic_consumption!N285/1000/$C$3)</f>
        <v>#DIV/0!</v>
      </c>
      <c r="T285" s="974" t="e">
        <f>IF($F285="","",$F285*chronic_consumption!O285/1000/$C$3)</f>
        <v>#DIV/0!</v>
      </c>
      <c r="U285" s="974" t="e">
        <f>IF($F285="","",$F285*chronic_consumption!P285/1000/$C$3)</f>
        <v>#DIV/0!</v>
      </c>
      <c r="V285" s="974" t="e">
        <f>IF($F285="","",$F285*chronic_consumption!Q285/1000/$C$3)</f>
        <v>#DIV/0!</v>
      </c>
      <c r="W285" s="974" t="e">
        <f>IF($F285="","",$F285*chronic_consumption!R285/1000/$C$3)</f>
        <v>#DIV/0!</v>
      </c>
      <c r="X285" s="974" t="e">
        <f>IF($F285="","",$F285*chronic_consumption!S285/1000/$C$3)</f>
        <v>#DIV/0!</v>
      </c>
      <c r="Y285" s="974" t="e">
        <f>IF($F285="","",$F285*chronic_consumption!T285/1000/$C$3)</f>
        <v>#DIV/0!</v>
      </c>
      <c r="Z285" s="974" t="e">
        <f>IF($F285="","",$F285*chronic_consumption!U285/1000/$C$3)</f>
        <v>#DIV/0!</v>
      </c>
      <c r="AA285" s="974" t="e">
        <f>IF($F285="","",$F285*chronic_consumption!V285/1000/$C$3)</f>
        <v>#DIV/0!</v>
      </c>
      <c r="AB285" s="974" t="e">
        <f>IF($F285="","",$F285*chronic_consumption!W285/1000/$C$3)</f>
        <v>#DIV/0!</v>
      </c>
      <c r="AC285" s="974" t="e">
        <f>IF($F285="","",$F285*chronic_consumption!X285/1000/$C$3)</f>
        <v>#DIV/0!</v>
      </c>
      <c r="AD285" s="974" t="e">
        <f>IF($F285="","",$F285*chronic_consumption!Y285/1000/$C$3)</f>
        <v>#DIV/0!</v>
      </c>
      <c r="AE285" s="974" t="e">
        <f>IF($F285="","",$F285*chronic_consumption!Z285/1000/$C$3)</f>
        <v>#DIV/0!</v>
      </c>
      <c r="AF285" s="974" t="e">
        <f>IF($F285="","",$F285*chronic_consumption!AA285/1000/$C$3)</f>
        <v>#DIV/0!</v>
      </c>
      <c r="AG285" s="974" t="e">
        <f>IF($F285="","",$F285*chronic_consumption!AB285/1000/$C$3)</f>
        <v>#DIV/0!</v>
      </c>
      <c r="AH285" s="974" t="e">
        <f>IF($F285="","",$F285*chronic_consumption!AC285/1000/$C$3)</f>
        <v>#DIV/0!</v>
      </c>
      <c r="AI285" s="974" t="e">
        <f>IF($F285="","",$F285*chronic_consumption!AD285/1000/$C$3)</f>
        <v>#DIV/0!</v>
      </c>
      <c r="AJ285" s="974" t="e">
        <f>IF($F285="","",$F285*chronic_consumption!AE285/1000/$C$3)</f>
        <v>#DIV/0!</v>
      </c>
      <c r="AK285" s="974" t="e">
        <f>IF($F285="","",$F285*chronic_consumption!AF285/1000/$C$3)</f>
        <v>#DIV/0!</v>
      </c>
      <c r="AL285" s="974" t="e">
        <f>IF($F285="","",$F285*chronic_consumption!AG285/1000/$C$3)</f>
        <v>#DIV/0!</v>
      </c>
      <c r="AM285" s="974" t="e">
        <f>IF($F285="","",$F285*chronic_consumption!AH285/1000/$C$3)</f>
        <v>#DIV/0!</v>
      </c>
      <c r="AN285" s="974" t="e">
        <f>IF($F285="","",$F285*chronic_consumption!AI285/1000/$C$3)</f>
        <v>#DIV/0!</v>
      </c>
      <c r="AO285" s="974" t="e">
        <f>IF($F285="","",$F285*chronic_consumption!AJ285/1000/$C$3)</f>
        <v>#DIV/0!</v>
      </c>
      <c r="AP285" s="974" t="e">
        <f>IF($F285="","",$F285*chronic_consumption!AK285/1000/$C$3)</f>
        <v>#DIV/0!</v>
      </c>
      <c r="AQ285" s="974" t="e">
        <f>IF($F285="","",$F285*chronic_consumption!AL285/1000/$C$3)</f>
        <v>#DIV/0!</v>
      </c>
      <c r="AR285" s="974" t="e">
        <f>IF($F285="","",$F285*chronic_consumption!AM285/1000/$C$3)</f>
        <v>#DIV/0!</v>
      </c>
      <c r="AS285" s="974" t="e">
        <f>IF($F285="","",$F285*chronic_consumption!AN285/1000/$C$3)</f>
        <v>#DIV/0!</v>
      </c>
      <c r="AT285" s="974" t="e">
        <f>IF($F285="","",$F285*chronic_consumption!AO285/1000/$C$3)</f>
        <v>#DIV/0!</v>
      </c>
      <c r="AU285" s="974"/>
      <c r="AV285" s="974" t="e">
        <f>IF($F285="","",$F285*chronic_consumption!AQ285/1000/$C$3)</f>
        <v>#DIV/0!</v>
      </c>
      <c r="AW285" s="974" t="e">
        <f>IF($F285="","",$F285*chronic_consumption!AR285/1000/$C$3)</f>
        <v>#DIV/0!</v>
      </c>
      <c r="AX285" s="974" t="e">
        <f>IF($F285="","",$F285*chronic_consumption!AS285/1000/$C$3)</f>
        <v>#DIV/0!</v>
      </c>
      <c r="AY285" s="974" t="e">
        <f>IF($F285="","",$F285*chronic_consumption!AT285/1000/$C$3)</f>
        <v>#DIV/0!</v>
      </c>
      <c r="AZ285" s="973" t="s">
        <v>19</v>
      </c>
      <c r="BA285" s="969" t="e">
        <f t="shared" si="23"/>
        <v>#DIV/0!</v>
      </c>
      <c r="BB285" s="970" t="e">
        <f t="shared" si="24"/>
        <v>#DIV/0!</v>
      </c>
      <c r="BC285" s="971" t="e">
        <f t="shared" ca="1" si="25"/>
        <v>#DIV/0!</v>
      </c>
      <c r="BD285" s="228">
        <f>input_values!Z285</f>
        <v>4</v>
      </c>
      <c r="BE285" s="152">
        <f>input_values!L285</f>
        <v>0</v>
      </c>
      <c r="BF285" s="972" t="str">
        <f t="shared" si="26"/>
        <v/>
      </c>
    </row>
    <row r="286" spans="1:58" ht="12" customHeight="1" outlineLevel="3" x14ac:dyDescent="0.2">
      <c r="A286" s="21">
        <v>4</v>
      </c>
      <c r="B286" s="23">
        <v>810080</v>
      </c>
      <c r="C286" s="23" t="s">
        <v>277</v>
      </c>
      <c r="D286" s="965">
        <f>Table22[[#This Row],[MRL individual commodity]]</f>
        <v>0</v>
      </c>
      <c r="E286" s="300" t="str">
        <f>Table22[[#This Row],[LOQ_label]]</f>
        <v/>
      </c>
      <c r="F286" s="966">
        <f>Table22[[#This Row],[Chronic RA input value]]</f>
        <v>0</v>
      </c>
      <c r="G286" s="304" t="str">
        <f>Table22[[#This Row],[Chronic RA label]]</f>
        <v/>
      </c>
      <c r="H286" s="304">
        <f>Table22[[#This Row],[GAP under assessment]]</f>
        <v>0</v>
      </c>
      <c r="I286" s="1123"/>
      <c r="J286" s="974" t="e">
        <f>IF($F286="","",$F286*chronic_consumption!$E286/1000/$C$3)</f>
        <v>#DIV/0!</v>
      </c>
      <c r="K286" s="974" t="e">
        <f>IF($F286="","",$F286*chronic_consumption!F286/1000/$C$3)</f>
        <v>#DIV/0!</v>
      </c>
      <c r="L286" s="974" t="e">
        <f>IF($F286="","",$F286*chronic_consumption!G286/1000/$C$3)</f>
        <v>#DIV/0!</v>
      </c>
      <c r="M286" s="974" t="e">
        <f>IF($F286="","",$F286*chronic_consumption!H286/1000/$C$3)</f>
        <v>#DIV/0!</v>
      </c>
      <c r="N286" s="974" t="e">
        <f>IF($F286="","",$F286*chronic_consumption!I286/1000/$C$3)</f>
        <v>#DIV/0!</v>
      </c>
      <c r="O286" s="974" t="e">
        <f>IF($F286="","",$F286*chronic_consumption!J286/1000/$C$3)</f>
        <v>#DIV/0!</v>
      </c>
      <c r="P286" s="974" t="e">
        <f>IF($F286="","",$F286*chronic_consumption!K286/1000/$C$3)</f>
        <v>#DIV/0!</v>
      </c>
      <c r="Q286" s="974" t="e">
        <f>IF($F286="","",$F286*chronic_consumption!L286/1000/$C$3)</f>
        <v>#DIV/0!</v>
      </c>
      <c r="R286" s="974" t="e">
        <f>IF($F286="","",$F286*chronic_consumption!M286/1000/$C$3)</f>
        <v>#DIV/0!</v>
      </c>
      <c r="S286" s="974" t="e">
        <f>IF($F286="","",$F286*chronic_consumption!N286/1000/$C$3)</f>
        <v>#DIV/0!</v>
      </c>
      <c r="T286" s="974" t="e">
        <f>IF($F286="","",$F286*chronic_consumption!O286/1000/$C$3)</f>
        <v>#DIV/0!</v>
      </c>
      <c r="U286" s="974" t="e">
        <f>IF($F286="","",$F286*chronic_consumption!P286/1000/$C$3)</f>
        <v>#DIV/0!</v>
      </c>
      <c r="V286" s="974" t="e">
        <f>IF($F286="","",$F286*chronic_consumption!Q286/1000/$C$3)</f>
        <v>#DIV/0!</v>
      </c>
      <c r="W286" s="974" t="e">
        <f>IF($F286="","",$F286*chronic_consumption!R286/1000/$C$3)</f>
        <v>#DIV/0!</v>
      </c>
      <c r="X286" s="974" t="e">
        <f>IF($F286="","",$F286*chronic_consumption!S286/1000/$C$3)</f>
        <v>#DIV/0!</v>
      </c>
      <c r="Y286" s="974" t="e">
        <f>IF($F286="","",$F286*chronic_consumption!T286/1000/$C$3)</f>
        <v>#DIV/0!</v>
      </c>
      <c r="Z286" s="974" t="e">
        <f>IF($F286="","",$F286*chronic_consumption!U286/1000/$C$3)</f>
        <v>#DIV/0!</v>
      </c>
      <c r="AA286" s="974" t="e">
        <f>IF($F286="","",$F286*chronic_consumption!V286/1000/$C$3)</f>
        <v>#DIV/0!</v>
      </c>
      <c r="AB286" s="974" t="e">
        <f>IF($F286="","",$F286*chronic_consumption!W286/1000/$C$3)</f>
        <v>#DIV/0!</v>
      </c>
      <c r="AC286" s="974" t="e">
        <f>IF($F286="","",$F286*chronic_consumption!X286/1000/$C$3)</f>
        <v>#DIV/0!</v>
      </c>
      <c r="AD286" s="974" t="e">
        <f>IF($F286="","",$F286*chronic_consumption!Y286/1000/$C$3)</f>
        <v>#DIV/0!</v>
      </c>
      <c r="AE286" s="974" t="e">
        <f>IF($F286="","",$F286*chronic_consumption!Z286/1000/$C$3)</f>
        <v>#DIV/0!</v>
      </c>
      <c r="AF286" s="974" t="e">
        <f>IF($F286="","",$F286*chronic_consumption!AA286/1000/$C$3)</f>
        <v>#DIV/0!</v>
      </c>
      <c r="AG286" s="974" t="e">
        <f>IF($F286="","",$F286*chronic_consumption!AB286/1000/$C$3)</f>
        <v>#DIV/0!</v>
      </c>
      <c r="AH286" s="974" t="e">
        <f>IF($F286="","",$F286*chronic_consumption!AC286/1000/$C$3)</f>
        <v>#DIV/0!</v>
      </c>
      <c r="AI286" s="974" t="e">
        <f>IF($F286="","",$F286*chronic_consumption!AD286/1000/$C$3)</f>
        <v>#DIV/0!</v>
      </c>
      <c r="AJ286" s="974" t="e">
        <f>IF($F286="","",$F286*chronic_consumption!AE286/1000/$C$3)</f>
        <v>#DIV/0!</v>
      </c>
      <c r="AK286" s="974" t="e">
        <f>IF($F286="","",$F286*chronic_consumption!AF286/1000/$C$3)</f>
        <v>#DIV/0!</v>
      </c>
      <c r="AL286" s="974" t="e">
        <f>IF($F286="","",$F286*chronic_consumption!AG286/1000/$C$3)</f>
        <v>#DIV/0!</v>
      </c>
      <c r="AM286" s="974" t="e">
        <f>IF($F286="","",$F286*chronic_consumption!AH286/1000/$C$3)</f>
        <v>#DIV/0!</v>
      </c>
      <c r="AN286" s="974" t="e">
        <f>IF($F286="","",$F286*chronic_consumption!AI286/1000/$C$3)</f>
        <v>#DIV/0!</v>
      </c>
      <c r="AO286" s="974" t="e">
        <f>IF($F286="","",$F286*chronic_consumption!AJ286/1000/$C$3)</f>
        <v>#DIV/0!</v>
      </c>
      <c r="AP286" s="974" t="e">
        <f>IF($F286="","",$F286*chronic_consumption!AK286/1000/$C$3)</f>
        <v>#DIV/0!</v>
      </c>
      <c r="AQ286" s="974" t="e">
        <f>IF($F286="","",$F286*chronic_consumption!AL286/1000/$C$3)</f>
        <v>#DIV/0!</v>
      </c>
      <c r="AR286" s="974" t="e">
        <f>IF($F286="","",$F286*chronic_consumption!AM286/1000/$C$3)</f>
        <v>#DIV/0!</v>
      </c>
      <c r="AS286" s="974" t="e">
        <f>IF($F286="","",$F286*chronic_consumption!AN286/1000/$C$3)</f>
        <v>#DIV/0!</v>
      </c>
      <c r="AT286" s="974" t="e">
        <f>IF($F286="","",$F286*chronic_consumption!AO286/1000/$C$3)</f>
        <v>#DIV/0!</v>
      </c>
      <c r="AU286" s="974"/>
      <c r="AV286" s="974" t="e">
        <f>IF($F286="","",$F286*chronic_consumption!AQ286/1000/$C$3)</f>
        <v>#DIV/0!</v>
      </c>
      <c r="AW286" s="974" t="e">
        <f>IF($F286="","",$F286*chronic_consumption!AR286/1000/$C$3)</f>
        <v>#DIV/0!</v>
      </c>
      <c r="AX286" s="974" t="e">
        <f>IF($F286="","",$F286*chronic_consumption!AS286/1000/$C$3)</f>
        <v>#DIV/0!</v>
      </c>
      <c r="AY286" s="974" t="e">
        <f>IF($F286="","",$F286*chronic_consumption!AT286/1000/$C$3)</f>
        <v>#DIV/0!</v>
      </c>
      <c r="AZ286" s="973" t="s">
        <v>19</v>
      </c>
      <c r="BA286" s="969" t="e">
        <f t="shared" si="23"/>
        <v>#DIV/0!</v>
      </c>
      <c r="BB286" s="970" t="e">
        <f t="shared" si="24"/>
        <v>#DIV/0!</v>
      </c>
      <c r="BC286" s="971" t="e">
        <f t="shared" ca="1" si="25"/>
        <v>#DIV/0!</v>
      </c>
      <c r="BD286" s="228">
        <f>input_values!Z286</f>
        <v>4</v>
      </c>
      <c r="BE286" s="152">
        <f>input_values!L286</f>
        <v>0</v>
      </c>
      <c r="BF286" s="972" t="str">
        <f t="shared" si="26"/>
        <v/>
      </c>
    </row>
    <row r="287" spans="1:58" ht="12" customHeight="1" outlineLevel="3" x14ac:dyDescent="0.2">
      <c r="A287" s="21">
        <v>4</v>
      </c>
      <c r="B287" s="23">
        <v>810090</v>
      </c>
      <c r="C287" s="23" t="s">
        <v>278</v>
      </c>
      <c r="D287" s="965">
        <f>Table22[[#This Row],[MRL individual commodity]]</f>
        <v>0</v>
      </c>
      <c r="E287" s="300" t="str">
        <f>Table22[[#This Row],[LOQ_label]]</f>
        <v/>
      </c>
      <c r="F287" s="966">
        <f>Table22[[#This Row],[Chronic RA input value]]</f>
        <v>0</v>
      </c>
      <c r="G287" s="304" t="str">
        <f>Table22[[#This Row],[Chronic RA label]]</f>
        <v/>
      </c>
      <c r="H287" s="304">
        <f>Table22[[#This Row],[GAP under assessment]]</f>
        <v>0</v>
      </c>
      <c r="I287" s="1123"/>
      <c r="J287" s="974" t="e">
        <f>IF($F287="","",$F287*chronic_consumption!$E287/1000/$C$3)</f>
        <v>#DIV/0!</v>
      </c>
      <c r="K287" s="974" t="e">
        <f>IF($F287="","",$F287*chronic_consumption!F287/1000/$C$3)</f>
        <v>#DIV/0!</v>
      </c>
      <c r="L287" s="974" t="e">
        <f>IF($F287="","",$F287*chronic_consumption!G287/1000/$C$3)</f>
        <v>#DIV/0!</v>
      </c>
      <c r="M287" s="974" t="e">
        <f>IF($F287="","",$F287*chronic_consumption!H287/1000/$C$3)</f>
        <v>#DIV/0!</v>
      </c>
      <c r="N287" s="974" t="e">
        <f>IF($F287="","",$F287*chronic_consumption!I287/1000/$C$3)</f>
        <v>#DIV/0!</v>
      </c>
      <c r="O287" s="974" t="e">
        <f>IF($F287="","",$F287*chronic_consumption!J287/1000/$C$3)</f>
        <v>#DIV/0!</v>
      </c>
      <c r="P287" s="974" t="e">
        <f>IF($F287="","",$F287*chronic_consumption!K287/1000/$C$3)</f>
        <v>#DIV/0!</v>
      </c>
      <c r="Q287" s="974" t="e">
        <f>IF($F287="","",$F287*chronic_consumption!L287/1000/$C$3)</f>
        <v>#DIV/0!</v>
      </c>
      <c r="R287" s="974" t="e">
        <f>IF($F287="","",$F287*chronic_consumption!M287/1000/$C$3)</f>
        <v>#DIV/0!</v>
      </c>
      <c r="S287" s="974" t="e">
        <f>IF($F287="","",$F287*chronic_consumption!N287/1000/$C$3)</f>
        <v>#DIV/0!</v>
      </c>
      <c r="T287" s="974" t="e">
        <f>IF($F287="","",$F287*chronic_consumption!O287/1000/$C$3)</f>
        <v>#DIV/0!</v>
      </c>
      <c r="U287" s="974" t="e">
        <f>IF($F287="","",$F287*chronic_consumption!P287/1000/$C$3)</f>
        <v>#DIV/0!</v>
      </c>
      <c r="V287" s="974" t="e">
        <f>IF($F287="","",$F287*chronic_consumption!Q287/1000/$C$3)</f>
        <v>#DIV/0!</v>
      </c>
      <c r="W287" s="974" t="e">
        <f>IF($F287="","",$F287*chronic_consumption!R287/1000/$C$3)</f>
        <v>#DIV/0!</v>
      </c>
      <c r="X287" s="974" t="e">
        <f>IF($F287="","",$F287*chronic_consumption!S287/1000/$C$3)</f>
        <v>#DIV/0!</v>
      </c>
      <c r="Y287" s="974" t="e">
        <f>IF($F287="","",$F287*chronic_consumption!T287/1000/$C$3)</f>
        <v>#DIV/0!</v>
      </c>
      <c r="Z287" s="974" t="e">
        <f>IF($F287="","",$F287*chronic_consumption!U287/1000/$C$3)</f>
        <v>#DIV/0!</v>
      </c>
      <c r="AA287" s="974" t="e">
        <f>IF($F287="","",$F287*chronic_consumption!V287/1000/$C$3)</f>
        <v>#DIV/0!</v>
      </c>
      <c r="AB287" s="974" t="e">
        <f>IF($F287="","",$F287*chronic_consumption!W287/1000/$C$3)</f>
        <v>#DIV/0!</v>
      </c>
      <c r="AC287" s="974" t="e">
        <f>IF($F287="","",$F287*chronic_consumption!X287/1000/$C$3)</f>
        <v>#DIV/0!</v>
      </c>
      <c r="AD287" s="974" t="e">
        <f>IF($F287="","",$F287*chronic_consumption!Y287/1000/$C$3)</f>
        <v>#DIV/0!</v>
      </c>
      <c r="AE287" s="974" t="e">
        <f>IF($F287="","",$F287*chronic_consumption!Z287/1000/$C$3)</f>
        <v>#DIV/0!</v>
      </c>
      <c r="AF287" s="974" t="e">
        <f>IF($F287="","",$F287*chronic_consumption!AA287/1000/$C$3)</f>
        <v>#DIV/0!</v>
      </c>
      <c r="AG287" s="974" t="e">
        <f>IF($F287="","",$F287*chronic_consumption!AB287/1000/$C$3)</f>
        <v>#DIV/0!</v>
      </c>
      <c r="AH287" s="974" t="e">
        <f>IF($F287="","",$F287*chronic_consumption!AC287/1000/$C$3)</f>
        <v>#DIV/0!</v>
      </c>
      <c r="AI287" s="974" t="e">
        <f>IF($F287="","",$F287*chronic_consumption!AD287/1000/$C$3)</f>
        <v>#DIV/0!</v>
      </c>
      <c r="AJ287" s="974" t="e">
        <f>IF($F287="","",$F287*chronic_consumption!AE287/1000/$C$3)</f>
        <v>#DIV/0!</v>
      </c>
      <c r="AK287" s="974" t="e">
        <f>IF($F287="","",$F287*chronic_consumption!AF287/1000/$C$3)</f>
        <v>#DIV/0!</v>
      </c>
      <c r="AL287" s="974" t="e">
        <f>IF($F287="","",$F287*chronic_consumption!AG287/1000/$C$3)</f>
        <v>#DIV/0!</v>
      </c>
      <c r="AM287" s="974" t="e">
        <f>IF($F287="","",$F287*chronic_consumption!AH287/1000/$C$3)</f>
        <v>#DIV/0!</v>
      </c>
      <c r="AN287" s="974" t="e">
        <f>IF($F287="","",$F287*chronic_consumption!AI287/1000/$C$3)</f>
        <v>#DIV/0!</v>
      </c>
      <c r="AO287" s="974" t="e">
        <f>IF($F287="","",$F287*chronic_consumption!AJ287/1000/$C$3)</f>
        <v>#DIV/0!</v>
      </c>
      <c r="AP287" s="974" t="e">
        <f>IF($F287="","",$F287*chronic_consumption!AK287/1000/$C$3)</f>
        <v>#DIV/0!</v>
      </c>
      <c r="AQ287" s="974" t="e">
        <f>IF($F287="","",$F287*chronic_consumption!AL287/1000/$C$3)</f>
        <v>#DIV/0!</v>
      </c>
      <c r="AR287" s="974" t="e">
        <f>IF($F287="","",$F287*chronic_consumption!AM287/1000/$C$3)</f>
        <v>#DIV/0!</v>
      </c>
      <c r="AS287" s="974" t="e">
        <f>IF($F287="","",$F287*chronic_consumption!AN287/1000/$C$3)</f>
        <v>#DIV/0!</v>
      </c>
      <c r="AT287" s="974" t="e">
        <f>IF($F287="","",$F287*chronic_consumption!AO287/1000/$C$3)</f>
        <v>#DIV/0!</v>
      </c>
      <c r="AU287" s="974"/>
      <c r="AV287" s="974" t="e">
        <f>IF($F287="","",$F287*chronic_consumption!AQ287/1000/$C$3)</f>
        <v>#DIV/0!</v>
      </c>
      <c r="AW287" s="974" t="e">
        <f>IF($F287="","",$F287*chronic_consumption!AR287/1000/$C$3)</f>
        <v>#DIV/0!</v>
      </c>
      <c r="AX287" s="974" t="e">
        <f>IF($F287="","",$F287*chronic_consumption!AS287/1000/$C$3)</f>
        <v>#DIV/0!</v>
      </c>
      <c r="AY287" s="974" t="e">
        <f>IF($F287="","",$F287*chronic_consumption!AT287/1000/$C$3)</f>
        <v>#DIV/0!</v>
      </c>
      <c r="AZ287" s="973" t="s">
        <v>19</v>
      </c>
      <c r="BA287" s="969" t="e">
        <f t="shared" si="23"/>
        <v>#DIV/0!</v>
      </c>
      <c r="BB287" s="970" t="e">
        <f t="shared" si="24"/>
        <v>#DIV/0!</v>
      </c>
      <c r="BC287" s="971" t="e">
        <f t="shared" ca="1" si="25"/>
        <v>#DIV/0!</v>
      </c>
      <c r="BD287" s="228">
        <f>input_values!Z287</f>
        <v>4</v>
      </c>
      <c r="BE287" s="152">
        <f>input_values!L287</f>
        <v>0</v>
      </c>
      <c r="BF287" s="972" t="str">
        <f t="shared" si="26"/>
        <v/>
      </c>
    </row>
    <row r="288" spans="1:58" ht="12" customHeight="1" outlineLevel="3" x14ac:dyDescent="0.2">
      <c r="A288" s="21">
        <v>4</v>
      </c>
      <c r="B288" s="23">
        <v>810990</v>
      </c>
      <c r="C288" s="23" t="s">
        <v>183</v>
      </c>
      <c r="D288" s="965">
        <f>Table22[[#This Row],[MRL individual commodity]]</f>
        <v>0</v>
      </c>
      <c r="E288" s="300" t="str">
        <f>Table22[[#This Row],[LOQ_label]]</f>
        <v/>
      </c>
      <c r="F288" s="966">
        <f>Table22[[#This Row],[Chronic RA input value]]</f>
        <v>0</v>
      </c>
      <c r="G288" s="304" t="str">
        <f>Table22[[#This Row],[Chronic RA label]]</f>
        <v/>
      </c>
      <c r="H288" s="304">
        <f>Table22[[#This Row],[GAP under assessment]]</f>
        <v>0</v>
      </c>
      <c r="I288" s="1123"/>
      <c r="J288" s="974" t="e">
        <f>IF($F288="","",$F288*chronic_consumption!$E288/1000/$C$3)</f>
        <v>#DIV/0!</v>
      </c>
      <c r="K288" s="974" t="e">
        <f>IF($F288="","",$F288*chronic_consumption!F288/1000/$C$3)</f>
        <v>#DIV/0!</v>
      </c>
      <c r="L288" s="974" t="e">
        <f>IF($F288="","",$F288*chronic_consumption!G288/1000/$C$3)</f>
        <v>#DIV/0!</v>
      </c>
      <c r="M288" s="974" t="e">
        <f>IF($F288="","",$F288*chronic_consumption!H288/1000/$C$3)</f>
        <v>#DIV/0!</v>
      </c>
      <c r="N288" s="974" t="e">
        <f>IF($F288="","",$F288*chronic_consumption!I288/1000/$C$3)</f>
        <v>#DIV/0!</v>
      </c>
      <c r="O288" s="974" t="e">
        <f>IF($F288="","",$F288*chronic_consumption!J288/1000/$C$3)</f>
        <v>#DIV/0!</v>
      </c>
      <c r="P288" s="974" t="e">
        <f>IF($F288="","",$F288*chronic_consumption!K288/1000/$C$3)</f>
        <v>#DIV/0!</v>
      </c>
      <c r="Q288" s="974" t="e">
        <f>IF($F288="","",$F288*chronic_consumption!L288/1000/$C$3)</f>
        <v>#DIV/0!</v>
      </c>
      <c r="R288" s="974" t="e">
        <f>IF($F288="","",$F288*chronic_consumption!M288/1000/$C$3)</f>
        <v>#DIV/0!</v>
      </c>
      <c r="S288" s="974" t="e">
        <f>IF($F288="","",$F288*chronic_consumption!N288/1000/$C$3)</f>
        <v>#DIV/0!</v>
      </c>
      <c r="T288" s="974" t="e">
        <f>IF($F288="","",$F288*chronic_consumption!O288/1000/$C$3)</f>
        <v>#DIV/0!</v>
      </c>
      <c r="U288" s="974" t="e">
        <f>IF($F288="","",$F288*chronic_consumption!P288/1000/$C$3)</f>
        <v>#DIV/0!</v>
      </c>
      <c r="V288" s="974" t="e">
        <f>IF($F288="","",$F288*chronic_consumption!Q288/1000/$C$3)</f>
        <v>#DIV/0!</v>
      </c>
      <c r="W288" s="974" t="e">
        <f>IF($F288="","",$F288*chronic_consumption!R288/1000/$C$3)</f>
        <v>#DIV/0!</v>
      </c>
      <c r="X288" s="974" t="e">
        <f>IF($F288="","",$F288*chronic_consumption!S288/1000/$C$3)</f>
        <v>#DIV/0!</v>
      </c>
      <c r="Y288" s="974" t="e">
        <f>IF($F288="","",$F288*chronic_consumption!T288/1000/$C$3)</f>
        <v>#DIV/0!</v>
      </c>
      <c r="Z288" s="974" t="e">
        <f>IF($F288="","",$F288*chronic_consumption!U288/1000/$C$3)</f>
        <v>#DIV/0!</v>
      </c>
      <c r="AA288" s="974" t="e">
        <f>IF($F288="","",$F288*chronic_consumption!V288/1000/$C$3)</f>
        <v>#DIV/0!</v>
      </c>
      <c r="AB288" s="974" t="e">
        <f>IF($F288="","",$F288*chronic_consumption!W288/1000/$C$3)</f>
        <v>#DIV/0!</v>
      </c>
      <c r="AC288" s="974" t="e">
        <f>IF($F288="","",$F288*chronic_consumption!X288/1000/$C$3)</f>
        <v>#DIV/0!</v>
      </c>
      <c r="AD288" s="974" t="e">
        <f>IF($F288="","",$F288*chronic_consumption!Y288/1000/$C$3)</f>
        <v>#DIV/0!</v>
      </c>
      <c r="AE288" s="974" t="e">
        <f>IF($F288="","",$F288*chronic_consumption!Z288/1000/$C$3)</f>
        <v>#DIV/0!</v>
      </c>
      <c r="AF288" s="974" t="e">
        <f>IF($F288="","",$F288*chronic_consumption!AA288/1000/$C$3)</f>
        <v>#DIV/0!</v>
      </c>
      <c r="AG288" s="974" t="e">
        <f>IF($F288="","",$F288*chronic_consumption!AB288/1000/$C$3)</f>
        <v>#DIV/0!</v>
      </c>
      <c r="AH288" s="974" t="e">
        <f>IF($F288="","",$F288*chronic_consumption!AC288/1000/$C$3)</f>
        <v>#DIV/0!</v>
      </c>
      <c r="AI288" s="974" t="e">
        <f>IF($F288="","",$F288*chronic_consumption!AD288/1000/$C$3)</f>
        <v>#DIV/0!</v>
      </c>
      <c r="AJ288" s="974" t="e">
        <f>IF($F288="","",$F288*chronic_consumption!AE288/1000/$C$3)</f>
        <v>#DIV/0!</v>
      </c>
      <c r="AK288" s="974" t="e">
        <f>IF($F288="","",$F288*chronic_consumption!AF288/1000/$C$3)</f>
        <v>#DIV/0!</v>
      </c>
      <c r="AL288" s="974" t="e">
        <f>IF($F288="","",$F288*chronic_consumption!AG288/1000/$C$3)</f>
        <v>#DIV/0!</v>
      </c>
      <c r="AM288" s="974" t="e">
        <f>IF($F288="","",$F288*chronic_consumption!AH288/1000/$C$3)</f>
        <v>#DIV/0!</v>
      </c>
      <c r="AN288" s="974" t="e">
        <f>IF($F288="","",$F288*chronic_consumption!AI288/1000/$C$3)</f>
        <v>#DIV/0!</v>
      </c>
      <c r="AO288" s="974" t="e">
        <f>IF($F288="","",$F288*chronic_consumption!AJ288/1000/$C$3)</f>
        <v>#DIV/0!</v>
      </c>
      <c r="AP288" s="974" t="e">
        <f>IF($F288="","",$F288*chronic_consumption!AK288/1000/$C$3)</f>
        <v>#DIV/0!</v>
      </c>
      <c r="AQ288" s="974" t="e">
        <f>IF($F288="","",$F288*chronic_consumption!AL288/1000/$C$3)</f>
        <v>#DIV/0!</v>
      </c>
      <c r="AR288" s="974" t="e">
        <f>IF($F288="","",$F288*chronic_consumption!AM288/1000/$C$3)</f>
        <v>#DIV/0!</v>
      </c>
      <c r="AS288" s="974" t="e">
        <f>IF($F288="","",$F288*chronic_consumption!AN288/1000/$C$3)</f>
        <v>#DIV/0!</v>
      </c>
      <c r="AT288" s="974" t="e">
        <f>IF($F288="","",$F288*chronic_consumption!AO288/1000/$C$3)</f>
        <v>#DIV/0!</v>
      </c>
      <c r="AU288" s="974"/>
      <c r="AV288" s="974" t="e">
        <f>IF($F288="","",$F288*chronic_consumption!AQ288/1000/$C$3)</f>
        <v>#DIV/0!</v>
      </c>
      <c r="AW288" s="974" t="e">
        <f>IF($F288="","",$F288*chronic_consumption!AR288/1000/$C$3)</f>
        <v>#DIV/0!</v>
      </c>
      <c r="AX288" s="974" t="e">
        <f>IF($F288="","",$F288*chronic_consumption!AS288/1000/$C$3)</f>
        <v>#DIV/0!</v>
      </c>
      <c r="AY288" s="974" t="e">
        <f>IF($F288="","",$F288*chronic_consumption!AT288/1000/$C$3)</f>
        <v>#DIV/0!</v>
      </c>
      <c r="AZ288" s="973" t="s">
        <v>19</v>
      </c>
      <c r="BA288" s="969" t="e">
        <f t="shared" si="23"/>
        <v>#DIV/0!</v>
      </c>
      <c r="BB288" s="970" t="e">
        <f t="shared" si="24"/>
        <v>#DIV/0!</v>
      </c>
      <c r="BC288" s="971" t="e">
        <f t="shared" ca="1" si="25"/>
        <v>#DIV/0!</v>
      </c>
      <c r="BD288" s="228">
        <f>input_values!Z288</f>
        <v>4</v>
      </c>
      <c r="BE288" s="152">
        <f>input_values!L288</f>
        <v>0</v>
      </c>
      <c r="BF288" s="972" t="str">
        <f t="shared" si="26"/>
        <v/>
      </c>
    </row>
    <row r="289" spans="1:58" ht="12" customHeight="1" outlineLevel="1" x14ac:dyDescent="0.2">
      <c r="A289" s="314">
        <v>2</v>
      </c>
      <c r="B289" s="131">
        <v>820000</v>
      </c>
      <c r="C289" s="131" t="s">
        <v>783</v>
      </c>
      <c r="D289" s="965">
        <f>Table22[[#This Row],[MRL individual commodity]]</f>
        <v>0</v>
      </c>
      <c r="E289" s="300">
        <f>Table22[[#This Row],[LOQ_label]]</f>
        <v>0</v>
      </c>
      <c r="F289" s="966">
        <f>Table22[[#This Row],[Chronic RA input value]]</f>
        <v>0</v>
      </c>
      <c r="G289" s="304">
        <f>Table22[[#This Row],[Chronic RA label]]</f>
        <v>0</v>
      </c>
      <c r="H289" s="304">
        <f>Table22[[#This Row],[GAP under assessment]]</f>
        <v>0</v>
      </c>
      <c r="I289" s="1123"/>
      <c r="J289" s="967" t="e">
        <f>IF($F289="","",$F289*chronic_consumption!$E289/1000/$C$3)</f>
        <v>#DIV/0!</v>
      </c>
      <c r="K289" s="967" t="e">
        <f>IF($F289="","",$F289*chronic_consumption!F289/1000/$C$3)</f>
        <v>#DIV/0!</v>
      </c>
      <c r="L289" s="967" t="e">
        <f>IF($F289="","",$F289*chronic_consumption!G289/1000/$C$3)</f>
        <v>#DIV/0!</v>
      </c>
      <c r="M289" s="967" t="e">
        <f>IF($F289="","",$F289*chronic_consumption!H289/1000/$C$3)</f>
        <v>#DIV/0!</v>
      </c>
      <c r="N289" s="967" t="e">
        <f>IF($F289="","",$F289*chronic_consumption!I289/1000/$C$3)</f>
        <v>#DIV/0!</v>
      </c>
      <c r="O289" s="967" t="e">
        <f>IF($F289="","",$F289*chronic_consumption!J289/1000/$C$3)</f>
        <v>#DIV/0!</v>
      </c>
      <c r="P289" s="967" t="e">
        <f>IF($F289="","",$F289*chronic_consumption!K289/1000/$C$3)</f>
        <v>#DIV/0!</v>
      </c>
      <c r="Q289" s="967" t="e">
        <f>IF($F289="","",$F289*chronic_consumption!L289/1000/$C$3)</f>
        <v>#DIV/0!</v>
      </c>
      <c r="R289" s="967" t="e">
        <f>IF($F289="","",$F289*chronic_consumption!M289/1000/$C$3)</f>
        <v>#DIV/0!</v>
      </c>
      <c r="S289" s="967" t="e">
        <f>IF($F289="","",$F289*chronic_consumption!N289/1000/$C$3)</f>
        <v>#DIV/0!</v>
      </c>
      <c r="T289" s="967" t="e">
        <f>IF($F289="","",$F289*chronic_consumption!O289/1000/$C$3)</f>
        <v>#DIV/0!</v>
      </c>
      <c r="U289" s="967" t="e">
        <f>IF($F289="","",$F289*chronic_consumption!P289/1000/$C$3)</f>
        <v>#DIV/0!</v>
      </c>
      <c r="V289" s="967" t="e">
        <f>IF($F289="","",$F289*chronic_consumption!Q289/1000/$C$3)</f>
        <v>#DIV/0!</v>
      </c>
      <c r="W289" s="967" t="e">
        <f>IF($F289="","",$F289*chronic_consumption!R289/1000/$C$3)</f>
        <v>#DIV/0!</v>
      </c>
      <c r="X289" s="967" t="e">
        <f>IF($F289="","",$F289*chronic_consumption!S289/1000/$C$3)</f>
        <v>#DIV/0!</v>
      </c>
      <c r="Y289" s="967" t="e">
        <f>IF($F289="","",$F289*chronic_consumption!T289/1000/$C$3)</f>
        <v>#DIV/0!</v>
      </c>
      <c r="Z289" s="967" t="e">
        <f>IF($F289="","",$F289*chronic_consumption!U289/1000/$C$3)</f>
        <v>#DIV/0!</v>
      </c>
      <c r="AA289" s="967" t="e">
        <f>IF($F289="","",$F289*chronic_consumption!V289/1000/$C$3)</f>
        <v>#DIV/0!</v>
      </c>
      <c r="AB289" s="967" t="e">
        <f>IF($F289="","",$F289*chronic_consumption!W289/1000/$C$3)</f>
        <v>#DIV/0!</v>
      </c>
      <c r="AC289" s="967" t="e">
        <f>IF($F289="","",$F289*chronic_consumption!X289/1000/$C$3)</f>
        <v>#DIV/0!</v>
      </c>
      <c r="AD289" s="967" t="e">
        <f>IF($F289="","",$F289*chronic_consumption!Y289/1000/$C$3)</f>
        <v>#DIV/0!</v>
      </c>
      <c r="AE289" s="967" t="e">
        <f>IF($F289="","",$F289*chronic_consumption!Z289/1000/$C$3)</f>
        <v>#DIV/0!</v>
      </c>
      <c r="AF289" s="967" t="e">
        <f>IF($F289="","",$F289*chronic_consumption!AA289/1000/$C$3)</f>
        <v>#DIV/0!</v>
      </c>
      <c r="AG289" s="967" t="e">
        <f>IF($F289="","",$F289*chronic_consumption!AB289/1000/$C$3)</f>
        <v>#DIV/0!</v>
      </c>
      <c r="AH289" s="967" t="e">
        <f>IF($F289="","",$F289*chronic_consumption!AC289/1000/$C$3)</f>
        <v>#DIV/0!</v>
      </c>
      <c r="AI289" s="967" t="e">
        <f>IF($F289="","",$F289*chronic_consumption!AD289/1000/$C$3)</f>
        <v>#DIV/0!</v>
      </c>
      <c r="AJ289" s="967" t="e">
        <f>IF($F289="","",$F289*chronic_consumption!AE289/1000/$C$3)</f>
        <v>#DIV/0!</v>
      </c>
      <c r="AK289" s="967" t="e">
        <f>IF($F289="","",$F289*chronic_consumption!AF289/1000/$C$3)</f>
        <v>#DIV/0!</v>
      </c>
      <c r="AL289" s="967" t="e">
        <f>IF($F289="","",$F289*chronic_consumption!AG289/1000/$C$3)</f>
        <v>#DIV/0!</v>
      </c>
      <c r="AM289" s="967" t="e">
        <f>IF($F289="","",$F289*chronic_consumption!AH289/1000/$C$3)</f>
        <v>#DIV/0!</v>
      </c>
      <c r="AN289" s="967" t="e">
        <f>IF($F289="","",$F289*chronic_consumption!AI289/1000/$C$3)</f>
        <v>#DIV/0!</v>
      </c>
      <c r="AO289" s="967" t="e">
        <f>IF($F289="","",$F289*chronic_consumption!AJ289/1000/$C$3)</f>
        <v>#DIV/0!</v>
      </c>
      <c r="AP289" s="967" t="e">
        <f>IF($F289="","",$F289*chronic_consumption!AK289/1000/$C$3)</f>
        <v>#DIV/0!</v>
      </c>
      <c r="AQ289" s="967" t="e">
        <f>IF($F289="","",$F289*chronic_consumption!AL289/1000/$C$3)</f>
        <v>#DIV/0!</v>
      </c>
      <c r="AR289" s="967" t="e">
        <f>IF($F289="","",$F289*chronic_consumption!AM289/1000/$C$3)</f>
        <v>#DIV/0!</v>
      </c>
      <c r="AS289" s="967" t="e">
        <f>IF($F289="","",$F289*chronic_consumption!AN289/1000/$C$3)</f>
        <v>#DIV/0!</v>
      </c>
      <c r="AT289" s="967" t="e">
        <f>IF($F289="","",$F289*chronic_consumption!AO289/1000/$C$3)</f>
        <v>#DIV/0!</v>
      </c>
      <c r="AU289" s="967"/>
      <c r="AV289" s="967" t="e">
        <f>IF($F289="","",$F289*chronic_consumption!AQ289/1000/$C$3)</f>
        <v>#DIV/0!</v>
      </c>
      <c r="AW289" s="967" t="e">
        <f>IF($F289="","",$F289*chronic_consumption!AR289/1000/$C$3)</f>
        <v>#DIV/0!</v>
      </c>
      <c r="AX289" s="967" t="e">
        <f>IF($F289="","",$F289*chronic_consumption!AS289/1000/$C$3)</f>
        <v>#DIV/0!</v>
      </c>
      <c r="AY289" s="967" t="e">
        <f>IF($F289="","",$F289*chronic_consumption!AT289/1000/$C$3)</f>
        <v>#DIV/0!</v>
      </c>
      <c r="AZ289" s="973"/>
      <c r="BA289" s="969" t="e">
        <f t="shared" si="23"/>
        <v>#DIV/0!</v>
      </c>
      <c r="BB289" s="970" t="e">
        <f t="shared" si="24"/>
        <v>#DIV/0!</v>
      </c>
      <c r="BC289" s="971" t="e">
        <f t="shared" ca="1" si="25"/>
        <v>#DIV/0!</v>
      </c>
      <c r="BD289" s="228">
        <f>input_values!Z289</f>
        <v>4</v>
      </c>
      <c r="BE289" s="152">
        <f>input_values!L289</f>
        <v>0</v>
      </c>
      <c r="BF289" s="972" t="str">
        <f t="shared" si="26"/>
        <v/>
      </c>
    </row>
    <row r="290" spans="1:58" ht="12" customHeight="1" outlineLevel="3" x14ac:dyDescent="0.2">
      <c r="A290" s="21">
        <v>4</v>
      </c>
      <c r="B290" s="23">
        <v>820010</v>
      </c>
      <c r="C290" s="23" t="s">
        <v>778</v>
      </c>
      <c r="D290" s="965">
        <f>Table22[[#This Row],[MRL individual commodity]]</f>
        <v>0</v>
      </c>
      <c r="E290" s="300" t="str">
        <f>Table22[[#This Row],[LOQ_label]]</f>
        <v/>
      </c>
      <c r="F290" s="966">
        <f>Table22[[#This Row],[Chronic RA input value]]</f>
        <v>0</v>
      </c>
      <c r="G290" s="304" t="str">
        <f>Table22[[#This Row],[Chronic RA label]]</f>
        <v/>
      </c>
      <c r="H290" s="304">
        <f>Table22[[#This Row],[GAP under assessment]]</f>
        <v>0</v>
      </c>
      <c r="I290" s="1123"/>
      <c r="J290" s="974" t="e">
        <f>IF($F290="","",$F290*chronic_consumption!$E290/1000/$C$3)</f>
        <v>#DIV/0!</v>
      </c>
      <c r="K290" s="974" t="e">
        <f>IF($F290="","",$F290*chronic_consumption!F290/1000/$C$3)</f>
        <v>#DIV/0!</v>
      </c>
      <c r="L290" s="974" t="e">
        <f>IF($F290="","",$F290*chronic_consumption!G290/1000/$C$3)</f>
        <v>#DIV/0!</v>
      </c>
      <c r="M290" s="974" t="e">
        <f>IF($F290="","",$F290*chronic_consumption!H290/1000/$C$3)</f>
        <v>#DIV/0!</v>
      </c>
      <c r="N290" s="974" t="e">
        <f>IF($F290="","",$F290*chronic_consumption!I290/1000/$C$3)</f>
        <v>#DIV/0!</v>
      </c>
      <c r="O290" s="974" t="e">
        <f>IF($F290="","",$F290*chronic_consumption!J290/1000/$C$3)</f>
        <v>#DIV/0!</v>
      </c>
      <c r="P290" s="974" t="e">
        <f>IF($F290="","",$F290*chronic_consumption!K290/1000/$C$3)</f>
        <v>#DIV/0!</v>
      </c>
      <c r="Q290" s="974" t="e">
        <f>IF($F290="","",$F290*chronic_consumption!L290/1000/$C$3)</f>
        <v>#DIV/0!</v>
      </c>
      <c r="R290" s="974" t="e">
        <f>IF($F290="","",$F290*chronic_consumption!M290/1000/$C$3)</f>
        <v>#DIV/0!</v>
      </c>
      <c r="S290" s="974" t="e">
        <f>IF($F290="","",$F290*chronic_consumption!N290/1000/$C$3)</f>
        <v>#DIV/0!</v>
      </c>
      <c r="T290" s="974" t="e">
        <f>IF($F290="","",$F290*chronic_consumption!O290/1000/$C$3)</f>
        <v>#DIV/0!</v>
      </c>
      <c r="U290" s="974" t="e">
        <f>IF($F290="","",$F290*chronic_consumption!P290/1000/$C$3)</f>
        <v>#DIV/0!</v>
      </c>
      <c r="V290" s="974" t="e">
        <f>IF($F290="","",$F290*chronic_consumption!Q290/1000/$C$3)</f>
        <v>#DIV/0!</v>
      </c>
      <c r="W290" s="974" t="e">
        <f>IF($F290="","",$F290*chronic_consumption!R290/1000/$C$3)</f>
        <v>#DIV/0!</v>
      </c>
      <c r="X290" s="974" t="e">
        <f>IF($F290="","",$F290*chronic_consumption!S290/1000/$C$3)</f>
        <v>#DIV/0!</v>
      </c>
      <c r="Y290" s="974" t="e">
        <f>IF($F290="","",$F290*chronic_consumption!T290/1000/$C$3)</f>
        <v>#DIV/0!</v>
      </c>
      <c r="Z290" s="974" t="e">
        <f>IF($F290="","",$F290*chronic_consumption!U290/1000/$C$3)</f>
        <v>#DIV/0!</v>
      </c>
      <c r="AA290" s="974" t="e">
        <f>IF($F290="","",$F290*chronic_consumption!V290/1000/$C$3)</f>
        <v>#DIV/0!</v>
      </c>
      <c r="AB290" s="974" t="e">
        <f>IF($F290="","",$F290*chronic_consumption!W290/1000/$C$3)</f>
        <v>#DIV/0!</v>
      </c>
      <c r="AC290" s="974" t="e">
        <f>IF($F290="","",$F290*chronic_consumption!X290/1000/$C$3)</f>
        <v>#DIV/0!</v>
      </c>
      <c r="AD290" s="974" t="e">
        <f>IF($F290="","",$F290*chronic_consumption!Y290/1000/$C$3)</f>
        <v>#DIV/0!</v>
      </c>
      <c r="AE290" s="974" t="e">
        <f>IF($F290="","",$F290*chronic_consumption!Z290/1000/$C$3)</f>
        <v>#DIV/0!</v>
      </c>
      <c r="AF290" s="974" t="e">
        <f>IF($F290="","",$F290*chronic_consumption!AA290/1000/$C$3)</f>
        <v>#DIV/0!</v>
      </c>
      <c r="AG290" s="974" t="e">
        <f>IF($F290="","",$F290*chronic_consumption!AB290/1000/$C$3)</f>
        <v>#DIV/0!</v>
      </c>
      <c r="AH290" s="974" t="e">
        <f>IF($F290="","",$F290*chronic_consumption!AC290/1000/$C$3)</f>
        <v>#DIV/0!</v>
      </c>
      <c r="AI290" s="974" t="e">
        <f>IF($F290="","",$F290*chronic_consumption!AD290/1000/$C$3)</f>
        <v>#DIV/0!</v>
      </c>
      <c r="AJ290" s="974" t="e">
        <f>IF($F290="","",$F290*chronic_consumption!AE290/1000/$C$3)</f>
        <v>#DIV/0!</v>
      </c>
      <c r="AK290" s="974" t="e">
        <f>IF($F290="","",$F290*chronic_consumption!AF290/1000/$C$3)</f>
        <v>#DIV/0!</v>
      </c>
      <c r="AL290" s="974" t="e">
        <f>IF($F290="","",$F290*chronic_consumption!AG290/1000/$C$3)</f>
        <v>#DIV/0!</v>
      </c>
      <c r="AM290" s="974" t="e">
        <f>IF($F290="","",$F290*chronic_consumption!AH290/1000/$C$3)</f>
        <v>#DIV/0!</v>
      </c>
      <c r="AN290" s="974" t="e">
        <f>IF($F290="","",$F290*chronic_consumption!AI290/1000/$C$3)</f>
        <v>#DIV/0!</v>
      </c>
      <c r="AO290" s="974" t="e">
        <f>IF($F290="","",$F290*chronic_consumption!AJ290/1000/$C$3)</f>
        <v>#DIV/0!</v>
      </c>
      <c r="AP290" s="974" t="e">
        <f>IF($F290="","",$F290*chronic_consumption!AK290/1000/$C$3)</f>
        <v>#DIV/0!</v>
      </c>
      <c r="AQ290" s="974" t="e">
        <f>IF($F290="","",$F290*chronic_consumption!AL290/1000/$C$3)</f>
        <v>#DIV/0!</v>
      </c>
      <c r="AR290" s="974" t="e">
        <f>IF($F290="","",$F290*chronic_consumption!AM290/1000/$C$3)</f>
        <v>#DIV/0!</v>
      </c>
      <c r="AS290" s="974" t="e">
        <f>IF($F290="","",$F290*chronic_consumption!AN290/1000/$C$3)</f>
        <v>#DIV/0!</v>
      </c>
      <c r="AT290" s="974" t="e">
        <f>IF($F290="","",$F290*chronic_consumption!AO290/1000/$C$3)</f>
        <v>#DIV/0!</v>
      </c>
      <c r="AU290" s="974"/>
      <c r="AV290" s="974" t="e">
        <f>IF($F290="","",$F290*chronic_consumption!AQ290/1000/$C$3)</f>
        <v>#DIV/0!</v>
      </c>
      <c r="AW290" s="974" t="e">
        <f>IF($F290="","",$F290*chronic_consumption!AR290/1000/$C$3)</f>
        <v>#DIV/0!</v>
      </c>
      <c r="AX290" s="974" t="e">
        <f>IF($F290="","",$F290*chronic_consumption!AS290/1000/$C$3)</f>
        <v>#DIV/0!</v>
      </c>
      <c r="AY290" s="974" t="e">
        <f>IF($F290="","",$F290*chronic_consumption!AT290/1000/$C$3)</f>
        <v>#DIV/0!</v>
      </c>
      <c r="AZ290" s="973" t="s">
        <v>19</v>
      </c>
      <c r="BA290" s="969" t="e">
        <f t="shared" si="23"/>
        <v>#DIV/0!</v>
      </c>
      <c r="BB290" s="970" t="e">
        <f t="shared" si="24"/>
        <v>#DIV/0!</v>
      </c>
      <c r="BC290" s="971" t="e">
        <f t="shared" ca="1" si="25"/>
        <v>#DIV/0!</v>
      </c>
      <c r="BD290" s="228">
        <f>input_values!Z290</f>
        <v>4</v>
      </c>
      <c r="BE290" s="152">
        <f>input_values!L290</f>
        <v>0</v>
      </c>
      <c r="BF290" s="972" t="str">
        <f t="shared" si="26"/>
        <v/>
      </c>
    </row>
    <row r="291" spans="1:58" ht="12" customHeight="1" outlineLevel="3" x14ac:dyDescent="0.2">
      <c r="A291" s="21">
        <v>4</v>
      </c>
      <c r="B291" s="23">
        <v>820020</v>
      </c>
      <c r="C291" s="23" t="s">
        <v>779</v>
      </c>
      <c r="D291" s="965">
        <f>Table22[[#This Row],[MRL individual commodity]]</f>
        <v>0</v>
      </c>
      <c r="E291" s="300" t="str">
        <f>Table22[[#This Row],[LOQ_label]]</f>
        <v/>
      </c>
      <c r="F291" s="966">
        <f>Table22[[#This Row],[Chronic RA input value]]</f>
        <v>0</v>
      </c>
      <c r="G291" s="304" t="str">
        <f>Table22[[#This Row],[Chronic RA label]]</f>
        <v/>
      </c>
      <c r="H291" s="304">
        <f>Table22[[#This Row],[GAP under assessment]]</f>
        <v>0</v>
      </c>
      <c r="I291" s="1123"/>
      <c r="J291" s="974" t="e">
        <f>IF($F291="","",$F291*chronic_consumption!$E291/1000/$C$3)</f>
        <v>#DIV/0!</v>
      </c>
      <c r="K291" s="974" t="e">
        <f>IF($F291="","",$F291*chronic_consumption!F291/1000/$C$3)</f>
        <v>#DIV/0!</v>
      </c>
      <c r="L291" s="974" t="e">
        <f>IF($F291="","",$F291*chronic_consumption!G291/1000/$C$3)</f>
        <v>#DIV/0!</v>
      </c>
      <c r="M291" s="974" t="e">
        <f>IF($F291="","",$F291*chronic_consumption!H291/1000/$C$3)</f>
        <v>#DIV/0!</v>
      </c>
      <c r="N291" s="974" t="e">
        <f>IF($F291="","",$F291*chronic_consumption!I291/1000/$C$3)</f>
        <v>#DIV/0!</v>
      </c>
      <c r="O291" s="974" t="e">
        <f>IF($F291="","",$F291*chronic_consumption!J291/1000/$C$3)</f>
        <v>#DIV/0!</v>
      </c>
      <c r="P291" s="974" t="e">
        <f>IF($F291="","",$F291*chronic_consumption!K291/1000/$C$3)</f>
        <v>#DIV/0!</v>
      </c>
      <c r="Q291" s="974" t="e">
        <f>IF($F291="","",$F291*chronic_consumption!L291/1000/$C$3)</f>
        <v>#DIV/0!</v>
      </c>
      <c r="R291" s="974" t="e">
        <f>IF($F291="","",$F291*chronic_consumption!M291/1000/$C$3)</f>
        <v>#DIV/0!</v>
      </c>
      <c r="S291" s="974" t="e">
        <f>IF($F291="","",$F291*chronic_consumption!N291/1000/$C$3)</f>
        <v>#DIV/0!</v>
      </c>
      <c r="T291" s="974" t="e">
        <f>IF($F291="","",$F291*chronic_consumption!O291/1000/$C$3)</f>
        <v>#DIV/0!</v>
      </c>
      <c r="U291" s="974" t="e">
        <f>IF($F291="","",$F291*chronic_consumption!P291/1000/$C$3)</f>
        <v>#DIV/0!</v>
      </c>
      <c r="V291" s="974" t="e">
        <f>IF($F291="","",$F291*chronic_consumption!Q291/1000/$C$3)</f>
        <v>#DIV/0!</v>
      </c>
      <c r="W291" s="974" t="e">
        <f>IF($F291="","",$F291*chronic_consumption!R291/1000/$C$3)</f>
        <v>#DIV/0!</v>
      </c>
      <c r="X291" s="974" t="e">
        <f>IF($F291="","",$F291*chronic_consumption!S291/1000/$C$3)</f>
        <v>#DIV/0!</v>
      </c>
      <c r="Y291" s="974" t="e">
        <f>IF($F291="","",$F291*chronic_consumption!T291/1000/$C$3)</f>
        <v>#DIV/0!</v>
      </c>
      <c r="Z291" s="974" t="e">
        <f>IF($F291="","",$F291*chronic_consumption!U291/1000/$C$3)</f>
        <v>#DIV/0!</v>
      </c>
      <c r="AA291" s="974" t="e">
        <f>IF($F291="","",$F291*chronic_consumption!V291/1000/$C$3)</f>
        <v>#DIV/0!</v>
      </c>
      <c r="AB291" s="974" t="e">
        <f>IF($F291="","",$F291*chronic_consumption!W291/1000/$C$3)</f>
        <v>#DIV/0!</v>
      </c>
      <c r="AC291" s="974" t="e">
        <f>IF($F291="","",$F291*chronic_consumption!X291/1000/$C$3)</f>
        <v>#DIV/0!</v>
      </c>
      <c r="AD291" s="974" t="e">
        <f>IF($F291="","",$F291*chronic_consumption!Y291/1000/$C$3)</f>
        <v>#DIV/0!</v>
      </c>
      <c r="AE291" s="974" t="e">
        <f>IF($F291="","",$F291*chronic_consumption!Z291/1000/$C$3)</f>
        <v>#DIV/0!</v>
      </c>
      <c r="AF291" s="974" t="e">
        <f>IF($F291="","",$F291*chronic_consumption!AA291/1000/$C$3)</f>
        <v>#DIV/0!</v>
      </c>
      <c r="AG291" s="974" t="e">
        <f>IF($F291="","",$F291*chronic_consumption!AB291/1000/$C$3)</f>
        <v>#DIV/0!</v>
      </c>
      <c r="AH291" s="974" t="e">
        <f>IF($F291="","",$F291*chronic_consumption!AC291/1000/$C$3)</f>
        <v>#DIV/0!</v>
      </c>
      <c r="AI291" s="974" t="e">
        <f>IF($F291="","",$F291*chronic_consumption!AD291/1000/$C$3)</f>
        <v>#DIV/0!</v>
      </c>
      <c r="AJ291" s="974" t="e">
        <f>IF($F291="","",$F291*chronic_consumption!AE291/1000/$C$3)</f>
        <v>#DIV/0!</v>
      </c>
      <c r="AK291" s="974" t="e">
        <f>IF($F291="","",$F291*chronic_consumption!AF291/1000/$C$3)</f>
        <v>#DIV/0!</v>
      </c>
      <c r="AL291" s="974" t="e">
        <f>IF($F291="","",$F291*chronic_consumption!AG291/1000/$C$3)</f>
        <v>#DIV/0!</v>
      </c>
      <c r="AM291" s="974" t="e">
        <f>IF($F291="","",$F291*chronic_consumption!AH291/1000/$C$3)</f>
        <v>#DIV/0!</v>
      </c>
      <c r="AN291" s="974" t="e">
        <f>IF($F291="","",$F291*chronic_consumption!AI291/1000/$C$3)</f>
        <v>#DIV/0!</v>
      </c>
      <c r="AO291" s="974" t="e">
        <f>IF($F291="","",$F291*chronic_consumption!AJ291/1000/$C$3)</f>
        <v>#DIV/0!</v>
      </c>
      <c r="AP291" s="974" t="e">
        <f>IF($F291="","",$F291*chronic_consumption!AK291/1000/$C$3)</f>
        <v>#DIV/0!</v>
      </c>
      <c r="AQ291" s="974" t="e">
        <f>IF($F291="","",$F291*chronic_consumption!AL291/1000/$C$3)</f>
        <v>#DIV/0!</v>
      </c>
      <c r="AR291" s="974" t="e">
        <f>IF($F291="","",$F291*chronic_consumption!AM291/1000/$C$3)</f>
        <v>#DIV/0!</v>
      </c>
      <c r="AS291" s="974" t="e">
        <f>IF($F291="","",$F291*chronic_consumption!AN291/1000/$C$3)</f>
        <v>#DIV/0!</v>
      </c>
      <c r="AT291" s="974" t="e">
        <f>IF($F291="","",$F291*chronic_consumption!AO291/1000/$C$3)</f>
        <v>#DIV/0!</v>
      </c>
      <c r="AU291" s="974"/>
      <c r="AV291" s="974" t="e">
        <f>IF($F291="","",$F291*chronic_consumption!AQ291/1000/$C$3)</f>
        <v>#DIV/0!</v>
      </c>
      <c r="AW291" s="974" t="e">
        <f>IF($F291="","",$F291*chronic_consumption!AR291/1000/$C$3)</f>
        <v>#DIV/0!</v>
      </c>
      <c r="AX291" s="974" t="e">
        <f>IF($F291="","",$F291*chronic_consumption!AS291/1000/$C$3)</f>
        <v>#DIV/0!</v>
      </c>
      <c r="AY291" s="974" t="e">
        <f>IF($F291="","",$F291*chronic_consumption!AT291/1000/$C$3)</f>
        <v>#DIV/0!</v>
      </c>
      <c r="AZ291" s="973" t="s">
        <v>19</v>
      </c>
      <c r="BA291" s="969" t="e">
        <f t="shared" si="23"/>
        <v>#DIV/0!</v>
      </c>
      <c r="BB291" s="970" t="e">
        <f t="shared" si="24"/>
        <v>#DIV/0!</v>
      </c>
      <c r="BC291" s="971" t="e">
        <f t="shared" ca="1" si="25"/>
        <v>#DIV/0!</v>
      </c>
      <c r="BD291" s="228">
        <f>input_values!Z291</f>
        <v>4</v>
      </c>
      <c r="BE291" s="152">
        <f>input_values!L291</f>
        <v>0</v>
      </c>
      <c r="BF291" s="972" t="str">
        <f t="shared" si="26"/>
        <v/>
      </c>
    </row>
    <row r="292" spans="1:58" ht="12" customHeight="1" outlineLevel="3" x14ac:dyDescent="0.2">
      <c r="A292" s="21">
        <v>4</v>
      </c>
      <c r="B292" s="23">
        <v>820030</v>
      </c>
      <c r="C292" s="23" t="s">
        <v>279</v>
      </c>
      <c r="D292" s="965">
        <f>Table22[[#This Row],[MRL individual commodity]]</f>
        <v>0</v>
      </c>
      <c r="E292" s="300" t="str">
        <f>Table22[[#This Row],[LOQ_label]]</f>
        <v/>
      </c>
      <c r="F292" s="966">
        <f>Table22[[#This Row],[Chronic RA input value]]</f>
        <v>0</v>
      </c>
      <c r="G292" s="304" t="str">
        <f>Table22[[#This Row],[Chronic RA label]]</f>
        <v/>
      </c>
      <c r="H292" s="304">
        <f>Table22[[#This Row],[GAP under assessment]]</f>
        <v>0</v>
      </c>
      <c r="I292" s="1123"/>
      <c r="J292" s="974" t="e">
        <f>IF($F292="","",$F292*chronic_consumption!$E292/1000/$C$3)</f>
        <v>#DIV/0!</v>
      </c>
      <c r="K292" s="974" t="e">
        <f>IF($F292="","",$F292*chronic_consumption!F292/1000/$C$3)</f>
        <v>#DIV/0!</v>
      </c>
      <c r="L292" s="974" t="e">
        <f>IF($F292="","",$F292*chronic_consumption!G292/1000/$C$3)</f>
        <v>#DIV/0!</v>
      </c>
      <c r="M292" s="974" t="e">
        <f>IF($F292="","",$F292*chronic_consumption!H292/1000/$C$3)</f>
        <v>#DIV/0!</v>
      </c>
      <c r="N292" s="974" t="e">
        <f>IF($F292="","",$F292*chronic_consumption!I292/1000/$C$3)</f>
        <v>#DIV/0!</v>
      </c>
      <c r="O292" s="974" t="e">
        <f>IF($F292="","",$F292*chronic_consumption!J292/1000/$C$3)</f>
        <v>#DIV/0!</v>
      </c>
      <c r="P292" s="974" t="e">
        <f>IF($F292="","",$F292*chronic_consumption!K292/1000/$C$3)</f>
        <v>#DIV/0!</v>
      </c>
      <c r="Q292" s="974" t="e">
        <f>IF($F292="","",$F292*chronic_consumption!L292/1000/$C$3)</f>
        <v>#DIV/0!</v>
      </c>
      <c r="R292" s="974" t="e">
        <f>IF($F292="","",$F292*chronic_consumption!M292/1000/$C$3)</f>
        <v>#DIV/0!</v>
      </c>
      <c r="S292" s="974" t="e">
        <f>IF($F292="","",$F292*chronic_consumption!N292/1000/$C$3)</f>
        <v>#DIV/0!</v>
      </c>
      <c r="T292" s="974" t="e">
        <f>IF($F292="","",$F292*chronic_consumption!O292/1000/$C$3)</f>
        <v>#DIV/0!</v>
      </c>
      <c r="U292" s="974" t="e">
        <f>IF($F292="","",$F292*chronic_consumption!P292/1000/$C$3)</f>
        <v>#DIV/0!</v>
      </c>
      <c r="V292" s="974" t="e">
        <f>IF($F292="","",$F292*chronic_consumption!Q292/1000/$C$3)</f>
        <v>#DIV/0!</v>
      </c>
      <c r="W292" s="974" t="e">
        <f>IF($F292="","",$F292*chronic_consumption!R292/1000/$C$3)</f>
        <v>#DIV/0!</v>
      </c>
      <c r="X292" s="974" t="e">
        <f>IF($F292="","",$F292*chronic_consumption!S292/1000/$C$3)</f>
        <v>#DIV/0!</v>
      </c>
      <c r="Y292" s="974" t="e">
        <f>IF($F292="","",$F292*chronic_consumption!T292/1000/$C$3)</f>
        <v>#DIV/0!</v>
      </c>
      <c r="Z292" s="974" t="e">
        <f>IF($F292="","",$F292*chronic_consumption!U292/1000/$C$3)</f>
        <v>#DIV/0!</v>
      </c>
      <c r="AA292" s="974" t="e">
        <f>IF($F292="","",$F292*chronic_consumption!V292/1000/$C$3)</f>
        <v>#DIV/0!</v>
      </c>
      <c r="AB292" s="974" t="e">
        <f>IF($F292="","",$F292*chronic_consumption!W292/1000/$C$3)</f>
        <v>#DIV/0!</v>
      </c>
      <c r="AC292" s="974" t="e">
        <f>IF($F292="","",$F292*chronic_consumption!X292/1000/$C$3)</f>
        <v>#DIV/0!</v>
      </c>
      <c r="AD292" s="974" t="e">
        <f>IF($F292="","",$F292*chronic_consumption!Y292/1000/$C$3)</f>
        <v>#DIV/0!</v>
      </c>
      <c r="AE292" s="974" t="e">
        <f>IF($F292="","",$F292*chronic_consumption!Z292/1000/$C$3)</f>
        <v>#DIV/0!</v>
      </c>
      <c r="AF292" s="974" t="e">
        <f>IF($F292="","",$F292*chronic_consumption!AA292/1000/$C$3)</f>
        <v>#DIV/0!</v>
      </c>
      <c r="AG292" s="974" t="e">
        <f>IF($F292="","",$F292*chronic_consumption!AB292/1000/$C$3)</f>
        <v>#DIV/0!</v>
      </c>
      <c r="AH292" s="974" t="e">
        <f>IF($F292="","",$F292*chronic_consumption!AC292/1000/$C$3)</f>
        <v>#DIV/0!</v>
      </c>
      <c r="AI292" s="974" t="e">
        <f>IF($F292="","",$F292*chronic_consumption!AD292/1000/$C$3)</f>
        <v>#DIV/0!</v>
      </c>
      <c r="AJ292" s="974" t="e">
        <f>IF($F292="","",$F292*chronic_consumption!AE292/1000/$C$3)</f>
        <v>#DIV/0!</v>
      </c>
      <c r="AK292" s="974" t="e">
        <f>IF($F292="","",$F292*chronic_consumption!AF292/1000/$C$3)</f>
        <v>#DIV/0!</v>
      </c>
      <c r="AL292" s="974" t="e">
        <f>IF($F292="","",$F292*chronic_consumption!AG292/1000/$C$3)</f>
        <v>#DIV/0!</v>
      </c>
      <c r="AM292" s="974" t="e">
        <f>IF($F292="","",$F292*chronic_consumption!AH292/1000/$C$3)</f>
        <v>#DIV/0!</v>
      </c>
      <c r="AN292" s="974" t="e">
        <f>IF($F292="","",$F292*chronic_consumption!AI292/1000/$C$3)</f>
        <v>#DIV/0!</v>
      </c>
      <c r="AO292" s="974" t="e">
        <f>IF($F292="","",$F292*chronic_consumption!AJ292/1000/$C$3)</f>
        <v>#DIV/0!</v>
      </c>
      <c r="AP292" s="974" t="e">
        <f>IF($F292="","",$F292*chronic_consumption!AK292/1000/$C$3)</f>
        <v>#DIV/0!</v>
      </c>
      <c r="AQ292" s="974" t="e">
        <f>IF($F292="","",$F292*chronic_consumption!AL292/1000/$C$3)</f>
        <v>#DIV/0!</v>
      </c>
      <c r="AR292" s="974" t="e">
        <f>IF($F292="","",$F292*chronic_consumption!AM292/1000/$C$3)</f>
        <v>#DIV/0!</v>
      </c>
      <c r="AS292" s="974" t="e">
        <f>IF($F292="","",$F292*chronic_consumption!AN292/1000/$C$3)</f>
        <v>#DIV/0!</v>
      </c>
      <c r="AT292" s="974" t="e">
        <f>IF($F292="","",$F292*chronic_consumption!AO292/1000/$C$3)</f>
        <v>#DIV/0!</v>
      </c>
      <c r="AU292" s="974"/>
      <c r="AV292" s="974" t="e">
        <f>IF($F292="","",$F292*chronic_consumption!AQ292/1000/$C$3)</f>
        <v>#DIV/0!</v>
      </c>
      <c r="AW292" s="974" t="e">
        <f>IF($F292="","",$F292*chronic_consumption!AR292/1000/$C$3)</f>
        <v>#DIV/0!</v>
      </c>
      <c r="AX292" s="974" t="e">
        <f>IF($F292="","",$F292*chronic_consumption!AS292/1000/$C$3)</f>
        <v>#DIV/0!</v>
      </c>
      <c r="AY292" s="974" t="e">
        <f>IF($F292="","",$F292*chronic_consumption!AT292/1000/$C$3)</f>
        <v>#DIV/0!</v>
      </c>
      <c r="AZ292" s="973" t="s">
        <v>19</v>
      </c>
      <c r="BA292" s="969" t="e">
        <f t="shared" si="23"/>
        <v>#DIV/0!</v>
      </c>
      <c r="BB292" s="970" t="e">
        <f t="shared" si="24"/>
        <v>#DIV/0!</v>
      </c>
      <c r="BC292" s="971" t="e">
        <f t="shared" ca="1" si="25"/>
        <v>#DIV/0!</v>
      </c>
      <c r="BD292" s="228">
        <f>input_values!Z292</f>
        <v>4</v>
      </c>
      <c r="BE292" s="152">
        <f>input_values!L292</f>
        <v>0</v>
      </c>
      <c r="BF292" s="972" t="str">
        <f t="shared" si="26"/>
        <v/>
      </c>
    </row>
    <row r="293" spans="1:58" ht="12" customHeight="1" outlineLevel="3" x14ac:dyDescent="0.2">
      <c r="A293" s="21">
        <v>4</v>
      </c>
      <c r="B293" s="23">
        <v>820040</v>
      </c>
      <c r="C293" s="23" t="s">
        <v>280</v>
      </c>
      <c r="D293" s="965">
        <f>Table22[[#This Row],[MRL individual commodity]]</f>
        <v>0</v>
      </c>
      <c r="E293" s="300" t="str">
        <f>Table22[[#This Row],[LOQ_label]]</f>
        <v/>
      </c>
      <c r="F293" s="966">
        <f>Table22[[#This Row],[Chronic RA input value]]</f>
        <v>0</v>
      </c>
      <c r="G293" s="304" t="str">
        <f>Table22[[#This Row],[Chronic RA label]]</f>
        <v/>
      </c>
      <c r="H293" s="304">
        <f>Table22[[#This Row],[GAP under assessment]]</f>
        <v>0</v>
      </c>
      <c r="I293" s="1123"/>
      <c r="J293" s="974" t="e">
        <f>IF($F293="","",$F293*chronic_consumption!$E293/1000/$C$3)</f>
        <v>#DIV/0!</v>
      </c>
      <c r="K293" s="974" t="e">
        <f>IF($F293="","",$F293*chronic_consumption!F293/1000/$C$3)</f>
        <v>#DIV/0!</v>
      </c>
      <c r="L293" s="974" t="e">
        <f>IF($F293="","",$F293*chronic_consumption!G293/1000/$C$3)</f>
        <v>#DIV/0!</v>
      </c>
      <c r="M293" s="974" t="e">
        <f>IF($F293="","",$F293*chronic_consumption!H293/1000/$C$3)</f>
        <v>#DIV/0!</v>
      </c>
      <c r="N293" s="974" t="e">
        <f>IF($F293="","",$F293*chronic_consumption!I293/1000/$C$3)</f>
        <v>#DIV/0!</v>
      </c>
      <c r="O293" s="974" t="e">
        <f>IF($F293="","",$F293*chronic_consumption!J293/1000/$C$3)</f>
        <v>#DIV/0!</v>
      </c>
      <c r="P293" s="974" t="e">
        <f>IF($F293="","",$F293*chronic_consumption!K293/1000/$C$3)</f>
        <v>#DIV/0!</v>
      </c>
      <c r="Q293" s="974" t="e">
        <f>IF($F293="","",$F293*chronic_consumption!L293/1000/$C$3)</f>
        <v>#DIV/0!</v>
      </c>
      <c r="R293" s="974" t="e">
        <f>IF($F293="","",$F293*chronic_consumption!M293/1000/$C$3)</f>
        <v>#DIV/0!</v>
      </c>
      <c r="S293" s="974" t="e">
        <f>IF($F293="","",$F293*chronic_consumption!N293/1000/$C$3)</f>
        <v>#DIV/0!</v>
      </c>
      <c r="T293" s="974" t="e">
        <f>IF($F293="","",$F293*chronic_consumption!O293/1000/$C$3)</f>
        <v>#DIV/0!</v>
      </c>
      <c r="U293" s="974" t="e">
        <f>IF($F293="","",$F293*chronic_consumption!P293/1000/$C$3)</f>
        <v>#DIV/0!</v>
      </c>
      <c r="V293" s="974" t="e">
        <f>IF($F293="","",$F293*chronic_consumption!Q293/1000/$C$3)</f>
        <v>#DIV/0!</v>
      </c>
      <c r="W293" s="974" t="e">
        <f>IF($F293="","",$F293*chronic_consumption!R293/1000/$C$3)</f>
        <v>#DIV/0!</v>
      </c>
      <c r="X293" s="974" t="e">
        <f>IF($F293="","",$F293*chronic_consumption!S293/1000/$C$3)</f>
        <v>#DIV/0!</v>
      </c>
      <c r="Y293" s="974" t="e">
        <f>IF($F293="","",$F293*chronic_consumption!T293/1000/$C$3)</f>
        <v>#DIV/0!</v>
      </c>
      <c r="Z293" s="974" t="e">
        <f>IF($F293="","",$F293*chronic_consumption!U293/1000/$C$3)</f>
        <v>#DIV/0!</v>
      </c>
      <c r="AA293" s="974" t="e">
        <f>IF($F293="","",$F293*chronic_consumption!V293/1000/$C$3)</f>
        <v>#DIV/0!</v>
      </c>
      <c r="AB293" s="974" t="e">
        <f>IF($F293="","",$F293*chronic_consumption!W293/1000/$C$3)</f>
        <v>#DIV/0!</v>
      </c>
      <c r="AC293" s="974" t="e">
        <f>IF($F293="","",$F293*chronic_consumption!X293/1000/$C$3)</f>
        <v>#DIV/0!</v>
      </c>
      <c r="AD293" s="974" t="e">
        <f>IF($F293="","",$F293*chronic_consumption!Y293/1000/$C$3)</f>
        <v>#DIV/0!</v>
      </c>
      <c r="AE293" s="974" t="e">
        <f>IF($F293="","",$F293*chronic_consumption!Z293/1000/$C$3)</f>
        <v>#DIV/0!</v>
      </c>
      <c r="AF293" s="974" t="e">
        <f>IF($F293="","",$F293*chronic_consumption!AA293/1000/$C$3)</f>
        <v>#DIV/0!</v>
      </c>
      <c r="AG293" s="974" t="e">
        <f>IF($F293="","",$F293*chronic_consumption!AB293/1000/$C$3)</f>
        <v>#DIV/0!</v>
      </c>
      <c r="AH293" s="974" t="e">
        <f>IF($F293="","",$F293*chronic_consumption!AC293/1000/$C$3)</f>
        <v>#DIV/0!</v>
      </c>
      <c r="AI293" s="974" t="e">
        <f>IF($F293="","",$F293*chronic_consumption!AD293/1000/$C$3)</f>
        <v>#DIV/0!</v>
      </c>
      <c r="AJ293" s="974" t="e">
        <f>IF($F293="","",$F293*chronic_consumption!AE293/1000/$C$3)</f>
        <v>#DIV/0!</v>
      </c>
      <c r="AK293" s="974" t="e">
        <f>IF($F293="","",$F293*chronic_consumption!AF293/1000/$C$3)</f>
        <v>#DIV/0!</v>
      </c>
      <c r="AL293" s="974" t="e">
        <f>IF($F293="","",$F293*chronic_consumption!AG293/1000/$C$3)</f>
        <v>#DIV/0!</v>
      </c>
      <c r="AM293" s="974" t="e">
        <f>IF($F293="","",$F293*chronic_consumption!AH293/1000/$C$3)</f>
        <v>#DIV/0!</v>
      </c>
      <c r="AN293" s="974" t="e">
        <f>IF($F293="","",$F293*chronic_consumption!AI293/1000/$C$3)</f>
        <v>#DIV/0!</v>
      </c>
      <c r="AO293" s="974" t="e">
        <f>IF($F293="","",$F293*chronic_consumption!AJ293/1000/$C$3)</f>
        <v>#DIV/0!</v>
      </c>
      <c r="AP293" s="974" t="e">
        <f>IF($F293="","",$F293*chronic_consumption!AK293/1000/$C$3)</f>
        <v>#DIV/0!</v>
      </c>
      <c r="AQ293" s="974" t="e">
        <f>IF($F293="","",$F293*chronic_consumption!AL293/1000/$C$3)</f>
        <v>#DIV/0!</v>
      </c>
      <c r="AR293" s="974" t="e">
        <f>IF($F293="","",$F293*chronic_consumption!AM293/1000/$C$3)</f>
        <v>#DIV/0!</v>
      </c>
      <c r="AS293" s="974" t="e">
        <f>IF($F293="","",$F293*chronic_consumption!AN293/1000/$C$3)</f>
        <v>#DIV/0!</v>
      </c>
      <c r="AT293" s="974" t="e">
        <f>IF($F293="","",$F293*chronic_consumption!AO293/1000/$C$3)</f>
        <v>#DIV/0!</v>
      </c>
      <c r="AU293" s="974"/>
      <c r="AV293" s="974" t="e">
        <f>IF($F293="","",$F293*chronic_consumption!AQ293/1000/$C$3)</f>
        <v>#DIV/0!</v>
      </c>
      <c r="AW293" s="974" t="e">
        <f>IF($F293="","",$F293*chronic_consumption!AR293/1000/$C$3)</f>
        <v>#DIV/0!</v>
      </c>
      <c r="AX293" s="974" t="e">
        <f>IF($F293="","",$F293*chronic_consumption!AS293/1000/$C$3)</f>
        <v>#DIV/0!</v>
      </c>
      <c r="AY293" s="974" t="e">
        <f>IF($F293="","",$F293*chronic_consumption!AT293/1000/$C$3)</f>
        <v>#DIV/0!</v>
      </c>
      <c r="AZ293" s="973" t="s">
        <v>19</v>
      </c>
      <c r="BA293" s="969" t="e">
        <f t="shared" si="23"/>
        <v>#DIV/0!</v>
      </c>
      <c r="BB293" s="970" t="e">
        <f t="shared" si="24"/>
        <v>#DIV/0!</v>
      </c>
      <c r="BC293" s="971" t="e">
        <f t="shared" ca="1" si="25"/>
        <v>#DIV/0!</v>
      </c>
      <c r="BD293" s="228">
        <f>input_values!Z293</f>
        <v>4</v>
      </c>
      <c r="BE293" s="152">
        <f>input_values!L293</f>
        <v>0</v>
      </c>
      <c r="BF293" s="972" t="str">
        <f t="shared" si="26"/>
        <v/>
      </c>
    </row>
    <row r="294" spans="1:58" ht="12" customHeight="1" outlineLevel="3" x14ac:dyDescent="0.2">
      <c r="A294" s="21">
        <v>4</v>
      </c>
      <c r="B294" s="23">
        <v>820050</v>
      </c>
      <c r="C294" s="23" t="s">
        <v>780</v>
      </c>
      <c r="D294" s="965">
        <f>Table22[[#This Row],[MRL individual commodity]]</f>
        <v>0</v>
      </c>
      <c r="E294" s="300" t="str">
        <f>Table22[[#This Row],[LOQ_label]]</f>
        <v/>
      </c>
      <c r="F294" s="966">
        <f>Table22[[#This Row],[Chronic RA input value]]</f>
        <v>0</v>
      </c>
      <c r="G294" s="304" t="str">
        <f>Table22[[#This Row],[Chronic RA label]]</f>
        <v/>
      </c>
      <c r="H294" s="304">
        <f>Table22[[#This Row],[GAP under assessment]]</f>
        <v>0</v>
      </c>
      <c r="I294" s="1123"/>
      <c r="J294" s="974" t="e">
        <f>IF($F294="","",$F294*chronic_consumption!$E294/1000/$C$3)</f>
        <v>#DIV/0!</v>
      </c>
      <c r="K294" s="974" t="e">
        <f>IF($F294="","",$F294*chronic_consumption!F294/1000/$C$3)</f>
        <v>#DIV/0!</v>
      </c>
      <c r="L294" s="974" t="e">
        <f>IF($F294="","",$F294*chronic_consumption!G294/1000/$C$3)</f>
        <v>#DIV/0!</v>
      </c>
      <c r="M294" s="974" t="e">
        <f>IF($F294="","",$F294*chronic_consumption!H294/1000/$C$3)</f>
        <v>#DIV/0!</v>
      </c>
      <c r="N294" s="974" t="e">
        <f>IF($F294="","",$F294*chronic_consumption!I294/1000/$C$3)</f>
        <v>#DIV/0!</v>
      </c>
      <c r="O294" s="974" t="e">
        <f>IF($F294="","",$F294*chronic_consumption!J294/1000/$C$3)</f>
        <v>#DIV/0!</v>
      </c>
      <c r="P294" s="974" t="e">
        <f>IF($F294="","",$F294*chronic_consumption!K294/1000/$C$3)</f>
        <v>#DIV/0!</v>
      </c>
      <c r="Q294" s="974" t="e">
        <f>IF($F294="","",$F294*chronic_consumption!L294/1000/$C$3)</f>
        <v>#DIV/0!</v>
      </c>
      <c r="R294" s="974" t="e">
        <f>IF($F294="","",$F294*chronic_consumption!M294/1000/$C$3)</f>
        <v>#DIV/0!</v>
      </c>
      <c r="S294" s="974" t="e">
        <f>IF($F294="","",$F294*chronic_consumption!N294/1000/$C$3)</f>
        <v>#DIV/0!</v>
      </c>
      <c r="T294" s="974" t="e">
        <f>IF($F294="","",$F294*chronic_consumption!O294/1000/$C$3)</f>
        <v>#DIV/0!</v>
      </c>
      <c r="U294" s="974" t="e">
        <f>IF($F294="","",$F294*chronic_consumption!P294/1000/$C$3)</f>
        <v>#DIV/0!</v>
      </c>
      <c r="V294" s="974" t="e">
        <f>IF($F294="","",$F294*chronic_consumption!Q294/1000/$C$3)</f>
        <v>#DIV/0!</v>
      </c>
      <c r="W294" s="974" t="e">
        <f>IF($F294="","",$F294*chronic_consumption!R294/1000/$C$3)</f>
        <v>#DIV/0!</v>
      </c>
      <c r="X294" s="974" t="e">
        <f>IF($F294="","",$F294*chronic_consumption!S294/1000/$C$3)</f>
        <v>#DIV/0!</v>
      </c>
      <c r="Y294" s="974" t="e">
        <f>IF($F294="","",$F294*chronic_consumption!T294/1000/$C$3)</f>
        <v>#DIV/0!</v>
      </c>
      <c r="Z294" s="974" t="e">
        <f>IF($F294="","",$F294*chronic_consumption!U294/1000/$C$3)</f>
        <v>#DIV/0!</v>
      </c>
      <c r="AA294" s="974" t="e">
        <f>IF($F294="","",$F294*chronic_consumption!V294/1000/$C$3)</f>
        <v>#DIV/0!</v>
      </c>
      <c r="AB294" s="974" t="e">
        <f>IF($F294="","",$F294*chronic_consumption!W294/1000/$C$3)</f>
        <v>#DIV/0!</v>
      </c>
      <c r="AC294" s="974" t="e">
        <f>IF($F294="","",$F294*chronic_consumption!X294/1000/$C$3)</f>
        <v>#DIV/0!</v>
      </c>
      <c r="AD294" s="974" t="e">
        <f>IF($F294="","",$F294*chronic_consumption!Y294/1000/$C$3)</f>
        <v>#DIV/0!</v>
      </c>
      <c r="AE294" s="974" t="e">
        <f>IF($F294="","",$F294*chronic_consumption!Z294/1000/$C$3)</f>
        <v>#DIV/0!</v>
      </c>
      <c r="AF294" s="974" t="e">
        <f>IF($F294="","",$F294*chronic_consumption!AA294/1000/$C$3)</f>
        <v>#DIV/0!</v>
      </c>
      <c r="AG294" s="974" t="e">
        <f>IF($F294="","",$F294*chronic_consumption!AB294/1000/$C$3)</f>
        <v>#DIV/0!</v>
      </c>
      <c r="AH294" s="974" t="e">
        <f>IF($F294="","",$F294*chronic_consumption!AC294/1000/$C$3)</f>
        <v>#DIV/0!</v>
      </c>
      <c r="AI294" s="974" t="e">
        <f>IF($F294="","",$F294*chronic_consumption!AD294/1000/$C$3)</f>
        <v>#DIV/0!</v>
      </c>
      <c r="AJ294" s="974" t="e">
        <f>IF($F294="","",$F294*chronic_consumption!AE294/1000/$C$3)</f>
        <v>#DIV/0!</v>
      </c>
      <c r="AK294" s="974" t="e">
        <f>IF($F294="","",$F294*chronic_consumption!AF294/1000/$C$3)</f>
        <v>#DIV/0!</v>
      </c>
      <c r="AL294" s="974" t="e">
        <f>IF($F294="","",$F294*chronic_consumption!AG294/1000/$C$3)</f>
        <v>#DIV/0!</v>
      </c>
      <c r="AM294" s="974" t="e">
        <f>IF($F294="","",$F294*chronic_consumption!AH294/1000/$C$3)</f>
        <v>#DIV/0!</v>
      </c>
      <c r="AN294" s="974" t="e">
        <f>IF($F294="","",$F294*chronic_consumption!AI294/1000/$C$3)</f>
        <v>#DIV/0!</v>
      </c>
      <c r="AO294" s="974" t="e">
        <f>IF($F294="","",$F294*chronic_consumption!AJ294/1000/$C$3)</f>
        <v>#DIV/0!</v>
      </c>
      <c r="AP294" s="974" t="e">
        <f>IF($F294="","",$F294*chronic_consumption!AK294/1000/$C$3)</f>
        <v>#DIV/0!</v>
      </c>
      <c r="AQ294" s="974" t="e">
        <f>IF($F294="","",$F294*chronic_consumption!AL294/1000/$C$3)</f>
        <v>#DIV/0!</v>
      </c>
      <c r="AR294" s="974" t="e">
        <f>IF($F294="","",$F294*chronic_consumption!AM294/1000/$C$3)</f>
        <v>#DIV/0!</v>
      </c>
      <c r="AS294" s="974" t="e">
        <f>IF($F294="","",$F294*chronic_consumption!AN294/1000/$C$3)</f>
        <v>#DIV/0!</v>
      </c>
      <c r="AT294" s="974" t="e">
        <f>IF($F294="","",$F294*chronic_consumption!AO294/1000/$C$3)</f>
        <v>#DIV/0!</v>
      </c>
      <c r="AU294" s="974"/>
      <c r="AV294" s="974" t="e">
        <f>IF($F294="","",$F294*chronic_consumption!AQ294/1000/$C$3)</f>
        <v>#DIV/0!</v>
      </c>
      <c r="AW294" s="974" t="e">
        <f>IF($F294="","",$F294*chronic_consumption!AR294/1000/$C$3)</f>
        <v>#DIV/0!</v>
      </c>
      <c r="AX294" s="974" t="e">
        <f>IF($F294="","",$F294*chronic_consumption!AS294/1000/$C$3)</f>
        <v>#DIV/0!</v>
      </c>
      <c r="AY294" s="974" t="e">
        <f>IF($F294="","",$F294*chronic_consumption!AT294/1000/$C$3)</f>
        <v>#DIV/0!</v>
      </c>
      <c r="AZ294" s="973" t="s">
        <v>19</v>
      </c>
      <c r="BA294" s="969" t="e">
        <f t="shared" si="23"/>
        <v>#DIV/0!</v>
      </c>
      <c r="BB294" s="970" t="e">
        <f t="shared" si="24"/>
        <v>#DIV/0!</v>
      </c>
      <c r="BC294" s="971" t="e">
        <f t="shared" ca="1" si="25"/>
        <v>#DIV/0!</v>
      </c>
      <c r="BD294" s="228">
        <f>input_values!Z294</f>
        <v>4</v>
      </c>
      <c r="BE294" s="152">
        <f>input_values!L294</f>
        <v>0</v>
      </c>
      <c r="BF294" s="972" t="str">
        <f t="shared" si="26"/>
        <v/>
      </c>
    </row>
    <row r="295" spans="1:58" ht="12" customHeight="1" outlineLevel="3" x14ac:dyDescent="0.2">
      <c r="A295" s="21">
        <v>4</v>
      </c>
      <c r="B295" s="23">
        <v>820060</v>
      </c>
      <c r="C295" s="23" t="s">
        <v>781</v>
      </c>
      <c r="D295" s="965">
        <f>Table22[[#This Row],[MRL individual commodity]]</f>
        <v>0</v>
      </c>
      <c r="E295" s="300" t="str">
        <f>Table22[[#This Row],[LOQ_label]]</f>
        <v/>
      </c>
      <c r="F295" s="966">
        <f>Table22[[#This Row],[Chronic RA input value]]</f>
        <v>0</v>
      </c>
      <c r="G295" s="304" t="str">
        <f>Table22[[#This Row],[Chronic RA label]]</f>
        <v/>
      </c>
      <c r="H295" s="304">
        <f>Table22[[#This Row],[GAP under assessment]]</f>
        <v>0</v>
      </c>
      <c r="I295" s="1123"/>
      <c r="J295" s="974" t="e">
        <f>IF($F295="","",$F295*chronic_consumption!$E295/1000/$C$3)</f>
        <v>#DIV/0!</v>
      </c>
      <c r="K295" s="974" t="e">
        <f>IF($F295="","",$F295*chronic_consumption!F295/1000/$C$3)</f>
        <v>#DIV/0!</v>
      </c>
      <c r="L295" s="974" t="e">
        <f>IF($F295="","",$F295*chronic_consumption!G295/1000/$C$3)</f>
        <v>#DIV/0!</v>
      </c>
      <c r="M295" s="974" t="e">
        <f>IF($F295="","",$F295*chronic_consumption!H295/1000/$C$3)</f>
        <v>#DIV/0!</v>
      </c>
      <c r="N295" s="974" t="e">
        <f>IF($F295="","",$F295*chronic_consumption!I295/1000/$C$3)</f>
        <v>#DIV/0!</v>
      </c>
      <c r="O295" s="974" t="e">
        <f>IF($F295="","",$F295*chronic_consumption!J295/1000/$C$3)</f>
        <v>#DIV/0!</v>
      </c>
      <c r="P295" s="974" t="e">
        <f>IF($F295="","",$F295*chronic_consumption!K295/1000/$C$3)</f>
        <v>#DIV/0!</v>
      </c>
      <c r="Q295" s="974" t="e">
        <f>IF($F295="","",$F295*chronic_consumption!L295/1000/$C$3)</f>
        <v>#DIV/0!</v>
      </c>
      <c r="R295" s="974" t="e">
        <f>IF($F295="","",$F295*chronic_consumption!M295/1000/$C$3)</f>
        <v>#DIV/0!</v>
      </c>
      <c r="S295" s="974" t="e">
        <f>IF($F295="","",$F295*chronic_consumption!N295/1000/$C$3)</f>
        <v>#DIV/0!</v>
      </c>
      <c r="T295" s="974" t="e">
        <f>IF($F295="","",$F295*chronic_consumption!O295/1000/$C$3)</f>
        <v>#DIV/0!</v>
      </c>
      <c r="U295" s="974" t="e">
        <f>IF($F295="","",$F295*chronic_consumption!P295/1000/$C$3)</f>
        <v>#DIV/0!</v>
      </c>
      <c r="V295" s="974" t="e">
        <f>IF($F295="","",$F295*chronic_consumption!Q295/1000/$C$3)</f>
        <v>#DIV/0!</v>
      </c>
      <c r="W295" s="974" t="e">
        <f>IF($F295="","",$F295*chronic_consumption!R295/1000/$C$3)</f>
        <v>#DIV/0!</v>
      </c>
      <c r="X295" s="974" t="e">
        <f>IF($F295="","",$F295*chronic_consumption!S295/1000/$C$3)</f>
        <v>#DIV/0!</v>
      </c>
      <c r="Y295" s="974" t="e">
        <f>IF($F295="","",$F295*chronic_consumption!T295/1000/$C$3)</f>
        <v>#DIV/0!</v>
      </c>
      <c r="Z295" s="974" t="e">
        <f>IF($F295="","",$F295*chronic_consumption!U295/1000/$C$3)</f>
        <v>#DIV/0!</v>
      </c>
      <c r="AA295" s="974" t="e">
        <f>IF($F295="","",$F295*chronic_consumption!V295/1000/$C$3)</f>
        <v>#DIV/0!</v>
      </c>
      <c r="AB295" s="974" t="e">
        <f>IF($F295="","",$F295*chronic_consumption!W295/1000/$C$3)</f>
        <v>#DIV/0!</v>
      </c>
      <c r="AC295" s="974" t="e">
        <f>IF($F295="","",$F295*chronic_consumption!X295/1000/$C$3)</f>
        <v>#DIV/0!</v>
      </c>
      <c r="AD295" s="974" t="e">
        <f>IF($F295="","",$F295*chronic_consumption!Y295/1000/$C$3)</f>
        <v>#DIV/0!</v>
      </c>
      <c r="AE295" s="974" t="e">
        <f>IF($F295="","",$F295*chronic_consumption!Z295/1000/$C$3)</f>
        <v>#DIV/0!</v>
      </c>
      <c r="AF295" s="974" t="e">
        <f>IF($F295="","",$F295*chronic_consumption!AA295/1000/$C$3)</f>
        <v>#DIV/0!</v>
      </c>
      <c r="AG295" s="974" t="e">
        <f>IF($F295="","",$F295*chronic_consumption!AB295/1000/$C$3)</f>
        <v>#DIV/0!</v>
      </c>
      <c r="AH295" s="974" t="e">
        <f>IF($F295="","",$F295*chronic_consumption!AC295/1000/$C$3)</f>
        <v>#DIV/0!</v>
      </c>
      <c r="AI295" s="974" t="e">
        <f>IF($F295="","",$F295*chronic_consumption!AD295/1000/$C$3)</f>
        <v>#DIV/0!</v>
      </c>
      <c r="AJ295" s="974" t="e">
        <f>IF($F295="","",$F295*chronic_consumption!AE295/1000/$C$3)</f>
        <v>#DIV/0!</v>
      </c>
      <c r="AK295" s="974" t="e">
        <f>IF($F295="","",$F295*chronic_consumption!AF295/1000/$C$3)</f>
        <v>#DIV/0!</v>
      </c>
      <c r="AL295" s="974" t="e">
        <f>IF($F295="","",$F295*chronic_consumption!AG295/1000/$C$3)</f>
        <v>#DIV/0!</v>
      </c>
      <c r="AM295" s="974" t="e">
        <f>IF($F295="","",$F295*chronic_consumption!AH295/1000/$C$3)</f>
        <v>#DIV/0!</v>
      </c>
      <c r="AN295" s="974" t="e">
        <f>IF($F295="","",$F295*chronic_consumption!AI295/1000/$C$3)</f>
        <v>#DIV/0!</v>
      </c>
      <c r="AO295" s="974" t="e">
        <f>IF($F295="","",$F295*chronic_consumption!AJ295/1000/$C$3)</f>
        <v>#DIV/0!</v>
      </c>
      <c r="AP295" s="974" t="e">
        <f>IF($F295="","",$F295*chronic_consumption!AK295/1000/$C$3)</f>
        <v>#DIV/0!</v>
      </c>
      <c r="AQ295" s="974" t="e">
        <f>IF($F295="","",$F295*chronic_consumption!AL295/1000/$C$3)</f>
        <v>#DIV/0!</v>
      </c>
      <c r="AR295" s="974" t="e">
        <f>IF($F295="","",$F295*chronic_consumption!AM295/1000/$C$3)</f>
        <v>#DIV/0!</v>
      </c>
      <c r="AS295" s="974" t="e">
        <f>IF($F295="","",$F295*chronic_consumption!AN295/1000/$C$3)</f>
        <v>#DIV/0!</v>
      </c>
      <c r="AT295" s="974" t="e">
        <f>IF($F295="","",$F295*chronic_consumption!AO295/1000/$C$3)</f>
        <v>#DIV/0!</v>
      </c>
      <c r="AU295" s="974"/>
      <c r="AV295" s="974" t="e">
        <f>IF($F295="","",$F295*chronic_consumption!AQ295/1000/$C$3)</f>
        <v>#DIV/0!</v>
      </c>
      <c r="AW295" s="974" t="e">
        <f>IF($F295="","",$F295*chronic_consumption!AR295/1000/$C$3)</f>
        <v>#DIV/0!</v>
      </c>
      <c r="AX295" s="974" t="e">
        <f>IF($F295="","",$F295*chronic_consumption!AS295/1000/$C$3)</f>
        <v>#DIV/0!</v>
      </c>
      <c r="AY295" s="974" t="e">
        <f>IF($F295="","",$F295*chronic_consumption!AT295/1000/$C$3)</f>
        <v>#DIV/0!</v>
      </c>
      <c r="AZ295" s="973" t="s">
        <v>19</v>
      </c>
      <c r="BA295" s="969" t="e">
        <f t="shared" si="23"/>
        <v>#DIV/0!</v>
      </c>
      <c r="BB295" s="970" t="e">
        <f t="shared" si="24"/>
        <v>#DIV/0!</v>
      </c>
      <c r="BC295" s="971" t="e">
        <f t="shared" ca="1" si="25"/>
        <v>#DIV/0!</v>
      </c>
      <c r="BD295" s="228">
        <f>input_values!Z295</f>
        <v>4</v>
      </c>
      <c r="BE295" s="152">
        <f>input_values!L295</f>
        <v>0</v>
      </c>
      <c r="BF295" s="972" t="str">
        <f t="shared" si="26"/>
        <v/>
      </c>
    </row>
    <row r="296" spans="1:58" ht="12" customHeight="1" outlineLevel="3" x14ac:dyDescent="0.2">
      <c r="A296" s="21">
        <v>4</v>
      </c>
      <c r="B296" s="23">
        <v>820070</v>
      </c>
      <c r="C296" s="23" t="s">
        <v>122</v>
      </c>
      <c r="D296" s="965">
        <f>Table22[[#This Row],[MRL individual commodity]]</f>
        <v>0</v>
      </c>
      <c r="E296" s="300" t="str">
        <f>Table22[[#This Row],[LOQ_label]]</f>
        <v/>
      </c>
      <c r="F296" s="966">
        <f>Table22[[#This Row],[Chronic RA input value]]</f>
        <v>0</v>
      </c>
      <c r="G296" s="304" t="str">
        <f>Table22[[#This Row],[Chronic RA label]]</f>
        <v/>
      </c>
      <c r="H296" s="304">
        <f>Table22[[#This Row],[GAP under assessment]]</f>
        <v>0</v>
      </c>
      <c r="I296" s="1123"/>
      <c r="J296" s="974" t="e">
        <f>IF($F296="","",$F296*chronic_consumption!$E296/1000/$C$3)</f>
        <v>#DIV/0!</v>
      </c>
      <c r="K296" s="974" t="e">
        <f>IF($F296="","",$F296*chronic_consumption!F296/1000/$C$3)</f>
        <v>#DIV/0!</v>
      </c>
      <c r="L296" s="974" t="e">
        <f>IF($F296="","",$F296*chronic_consumption!G296/1000/$C$3)</f>
        <v>#DIV/0!</v>
      </c>
      <c r="M296" s="974" t="e">
        <f>IF($F296="","",$F296*chronic_consumption!H296/1000/$C$3)</f>
        <v>#DIV/0!</v>
      </c>
      <c r="N296" s="974" t="e">
        <f>IF($F296="","",$F296*chronic_consumption!I296/1000/$C$3)</f>
        <v>#DIV/0!</v>
      </c>
      <c r="O296" s="974" t="e">
        <f>IF($F296="","",$F296*chronic_consumption!J296/1000/$C$3)</f>
        <v>#DIV/0!</v>
      </c>
      <c r="P296" s="974" t="e">
        <f>IF($F296="","",$F296*chronic_consumption!K296/1000/$C$3)</f>
        <v>#DIV/0!</v>
      </c>
      <c r="Q296" s="974" t="e">
        <f>IF($F296="","",$F296*chronic_consumption!L296/1000/$C$3)</f>
        <v>#DIV/0!</v>
      </c>
      <c r="R296" s="974" t="e">
        <f>IF($F296="","",$F296*chronic_consumption!M296/1000/$C$3)</f>
        <v>#DIV/0!</v>
      </c>
      <c r="S296" s="974" t="e">
        <f>IF($F296="","",$F296*chronic_consumption!N296/1000/$C$3)</f>
        <v>#DIV/0!</v>
      </c>
      <c r="T296" s="974" t="e">
        <f>IF($F296="","",$F296*chronic_consumption!O296/1000/$C$3)</f>
        <v>#DIV/0!</v>
      </c>
      <c r="U296" s="974" t="e">
        <f>IF($F296="","",$F296*chronic_consumption!P296/1000/$C$3)</f>
        <v>#DIV/0!</v>
      </c>
      <c r="V296" s="974" t="e">
        <f>IF($F296="","",$F296*chronic_consumption!Q296/1000/$C$3)</f>
        <v>#DIV/0!</v>
      </c>
      <c r="W296" s="974" t="e">
        <f>IF($F296="","",$F296*chronic_consumption!R296/1000/$C$3)</f>
        <v>#DIV/0!</v>
      </c>
      <c r="X296" s="974" t="e">
        <f>IF($F296="","",$F296*chronic_consumption!S296/1000/$C$3)</f>
        <v>#DIV/0!</v>
      </c>
      <c r="Y296" s="974" t="e">
        <f>IF($F296="","",$F296*chronic_consumption!T296/1000/$C$3)</f>
        <v>#DIV/0!</v>
      </c>
      <c r="Z296" s="974" t="e">
        <f>IF($F296="","",$F296*chronic_consumption!U296/1000/$C$3)</f>
        <v>#DIV/0!</v>
      </c>
      <c r="AA296" s="974" t="e">
        <f>IF($F296="","",$F296*chronic_consumption!V296/1000/$C$3)</f>
        <v>#DIV/0!</v>
      </c>
      <c r="AB296" s="974" t="e">
        <f>IF($F296="","",$F296*chronic_consumption!W296/1000/$C$3)</f>
        <v>#DIV/0!</v>
      </c>
      <c r="AC296" s="974" t="e">
        <f>IF($F296="","",$F296*chronic_consumption!X296/1000/$C$3)</f>
        <v>#DIV/0!</v>
      </c>
      <c r="AD296" s="974" t="e">
        <f>IF($F296="","",$F296*chronic_consumption!Y296/1000/$C$3)</f>
        <v>#DIV/0!</v>
      </c>
      <c r="AE296" s="974" t="e">
        <f>IF($F296="","",$F296*chronic_consumption!Z296/1000/$C$3)</f>
        <v>#DIV/0!</v>
      </c>
      <c r="AF296" s="974" t="e">
        <f>IF($F296="","",$F296*chronic_consumption!AA296/1000/$C$3)</f>
        <v>#DIV/0!</v>
      </c>
      <c r="AG296" s="974" t="e">
        <f>IF($F296="","",$F296*chronic_consumption!AB296/1000/$C$3)</f>
        <v>#DIV/0!</v>
      </c>
      <c r="AH296" s="974" t="e">
        <f>IF($F296="","",$F296*chronic_consumption!AC296/1000/$C$3)</f>
        <v>#DIV/0!</v>
      </c>
      <c r="AI296" s="974" t="e">
        <f>IF($F296="","",$F296*chronic_consumption!AD296/1000/$C$3)</f>
        <v>#DIV/0!</v>
      </c>
      <c r="AJ296" s="974" t="e">
        <f>IF($F296="","",$F296*chronic_consumption!AE296/1000/$C$3)</f>
        <v>#DIV/0!</v>
      </c>
      <c r="AK296" s="974" t="e">
        <f>IF($F296="","",$F296*chronic_consumption!AF296/1000/$C$3)</f>
        <v>#DIV/0!</v>
      </c>
      <c r="AL296" s="974" t="e">
        <f>IF($F296="","",$F296*chronic_consumption!AG296/1000/$C$3)</f>
        <v>#DIV/0!</v>
      </c>
      <c r="AM296" s="974" t="e">
        <f>IF($F296="","",$F296*chronic_consumption!AH296/1000/$C$3)</f>
        <v>#DIV/0!</v>
      </c>
      <c r="AN296" s="974" t="e">
        <f>IF($F296="","",$F296*chronic_consumption!AI296/1000/$C$3)</f>
        <v>#DIV/0!</v>
      </c>
      <c r="AO296" s="974" t="e">
        <f>IF($F296="","",$F296*chronic_consumption!AJ296/1000/$C$3)</f>
        <v>#DIV/0!</v>
      </c>
      <c r="AP296" s="974" t="e">
        <f>IF($F296="","",$F296*chronic_consumption!AK296/1000/$C$3)</f>
        <v>#DIV/0!</v>
      </c>
      <c r="AQ296" s="974" t="e">
        <f>IF($F296="","",$F296*chronic_consumption!AL296/1000/$C$3)</f>
        <v>#DIV/0!</v>
      </c>
      <c r="AR296" s="974" t="e">
        <f>IF($F296="","",$F296*chronic_consumption!AM296/1000/$C$3)</f>
        <v>#DIV/0!</v>
      </c>
      <c r="AS296" s="974" t="e">
        <f>IF($F296="","",$F296*chronic_consumption!AN296/1000/$C$3)</f>
        <v>#DIV/0!</v>
      </c>
      <c r="AT296" s="974" t="e">
        <f>IF($F296="","",$F296*chronic_consumption!AO296/1000/$C$3)</f>
        <v>#DIV/0!</v>
      </c>
      <c r="AU296" s="974"/>
      <c r="AV296" s="974" t="e">
        <f>IF($F296="","",$F296*chronic_consumption!AQ296/1000/$C$3)</f>
        <v>#DIV/0!</v>
      </c>
      <c r="AW296" s="974" t="e">
        <f>IF($F296="","",$F296*chronic_consumption!AR296/1000/$C$3)</f>
        <v>#DIV/0!</v>
      </c>
      <c r="AX296" s="974" t="e">
        <f>IF($F296="","",$F296*chronic_consumption!AS296/1000/$C$3)</f>
        <v>#DIV/0!</v>
      </c>
      <c r="AY296" s="974" t="e">
        <f>IF($F296="","",$F296*chronic_consumption!AT296/1000/$C$3)</f>
        <v>#DIV/0!</v>
      </c>
      <c r="AZ296" s="973" t="s">
        <v>19</v>
      </c>
      <c r="BA296" s="969" t="e">
        <f t="shared" si="23"/>
        <v>#DIV/0!</v>
      </c>
      <c r="BB296" s="970" t="e">
        <f t="shared" si="24"/>
        <v>#DIV/0!</v>
      </c>
      <c r="BC296" s="971" t="e">
        <f t="shared" ca="1" si="25"/>
        <v>#DIV/0!</v>
      </c>
      <c r="BD296" s="228">
        <f>input_values!Z296</f>
        <v>4</v>
      </c>
      <c r="BE296" s="152">
        <f>input_values!L296</f>
        <v>0</v>
      </c>
      <c r="BF296" s="972" t="str">
        <f t="shared" si="26"/>
        <v/>
      </c>
    </row>
    <row r="297" spans="1:58" ht="12" customHeight="1" outlineLevel="3" x14ac:dyDescent="0.2">
      <c r="A297" s="21">
        <v>4</v>
      </c>
      <c r="B297" s="23">
        <v>820080</v>
      </c>
      <c r="C297" s="23" t="s">
        <v>123</v>
      </c>
      <c r="D297" s="965">
        <f>Table22[[#This Row],[MRL individual commodity]]</f>
        <v>0</v>
      </c>
      <c r="E297" s="300" t="str">
        <f>Table22[[#This Row],[LOQ_label]]</f>
        <v/>
      </c>
      <c r="F297" s="966">
        <f>Table22[[#This Row],[Chronic RA input value]]</f>
        <v>0</v>
      </c>
      <c r="G297" s="304" t="str">
        <f>Table22[[#This Row],[Chronic RA label]]</f>
        <v/>
      </c>
      <c r="H297" s="304">
        <f>Table22[[#This Row],[GAP under assessment]]</f>
        <v>0</v>
      </c>
      <c r="I297" s="1123"/>
      <c r="J297" s="974" t="e">
        <f>IF($F297="","",$F297*chronic_consumption!$E297/1000/$C$3)</f>
        <v>#DIV/0!</v>
      </c>
      <c r="K297" s="974" t="e">
        <f>IF($F297="","",$F297*chronic_consumption!F297/1000/$C$3)</f>
        <v>#DIV/0!</v>
      </c>
      <c r="L297" s="974" t="e">
        <f>IF($F297="","",$F297*chronic_consumption!G297/1000/$C$3)</f>
        <v>#DIV/0!</v>
      </c>
      <c r="M297" s="974" t="e">
        <f>IF($F297="","",$F297*chronic_consumption!H297/1000/$C$3)</f>
        <v>#DIV/0!</v>
      </c>
      <c r="N297" s="974" t="e">
        <f>IF($F297="","",$F297*chronic_consumption!I297/1000/$C$3)</f>
        <v>#DIV/0!</v>
      </c>
      <c r="O297" s="974" t="e">
        <f>IF($F297="","",$F297*chronic_consumption!J297/1000/$C$3)</f>
        <v>#DIV/0!</v>
      </c>
      <c r="P297" s="974" t="e">
        <f>IF($F297="","",$F297*chronic_consumption!K297/1000/$C$3)</f>
        <v>#DIV/0!</v>
      </c>
      <c r="Q297" s="974" t="e">
        <f>IF($F297="","",$F297*chronic_consumption!L297/1000/$C$3)</f>
        <v>#DIV/0!</v>
      </c>
      <c r="R297" s="974" t="e">
        <f>IF($F297="","",$F297*chronic_consumption!M297/1000/$C$3)</f>
        <v>#DIV/0!</v>
      </c>
      <c r="S297" s="974" t="e">
        <f>IF($F297="","",$F297*chronic_consumption!N297/1000/$C$3)</f>
        <v>#DIV/0!</v>
      </c>
      <c r="T297" s="974" t="e">
        <f>IF($F297="","",$F297*chronic_consumption!O297/1000/$C$3)</f>
        <v>#DIV/0!</v>
      </c>
      <c r="U297" s="974" t="e">
        <f>IF($F297="","",$F297*chronic_consumption!P297/1000/$C$3)</f>
        <v>#DIV/0!</v>
      </c>
      <c r="V297" s="974" t="e">
        <f>IF($F297="","",$F297*chronic_consumption!Q297/1000/$C$3)</f>
        <v>#DIV/0!</v>
      </c>
      <c r="W297" s="974" t="e">
        <f>IF($F297="","",$F297*chronic_consumption!R297/1000/$C$3)</f>
        <v>#DIV/0!</v>
      </c>
      <c r="X297" s="974" t="e">
        <f>IF($F297="","",$F297*chronic_consumption!S297/1000/$C$3)</f>
        <v>#DIV/0!</v>
      </c>
      <c r="Y297" s="974" t="e">
        <f>IF($F297="","",$F297*chronic_consumption!T297/1000/$C$3)</f>
        <v>#DIV/0!</v>
      </c>
      <c r="Z297" s="974" t="e">
        <f>IF($F297="","",$F297*chronic_consumption!U297/1000/$C$3)</f>
        <v>#DIV/0!</v>
      </c>
      <c r="AA297" s="974" t="e">
        <f>IF($F297="","",$F297*chronic_consumption!V297/1000/$C$3)</f>
        <v>#DIV/0!</v>
      </c>
      <c r="AB297" s="974" t="e">
        <f>IF($F297="","",$F297*chronic_consumption!W297/1000/$C$3)</f>
        <v>#DIV/0!</v>
      </c>
      <c r="AC297" s="974" t="e">
        <f>IF($F297="","",$F297*chronic_consumption!X297/1000/$C$3)</f>
        <v>#DIV/0!</v>
      </c>
      <c r="AD297" s="974" t="e">
        <f>IF($F297="","",$F297*chronic_consumption!Y297/1000/$C$3)</f>
        <v>#DIV/0!</v>
      </c>
      <c r="AE297" s="974" t="e">
        <f>IF($F297="","",$F297*chronic_consumption!Z297/1000/$C$3)</f>
        <v>#DIV/0!</v>
      </c>
      <c r="AF297" s="974" t="e">
        <f>IF($F297="","",$F297*chronic_consumption!AA297/1000/$C$3)</f>
        <v>#DIV/0!</v>
      </c>
      <c r="AG297" s="974" t="e">
        <f>IF($F297="","",$F297*chronic_consumption!AB297/1000/$C$3)</f>
        <v>#DIV/0!</v>
      </c>
      <c r="AH297" s="974" t="e">
        <f>IF($F297="","",$F297*chronic_consumption!AC297/1000/$C$3)</f>
        <v>#DIV/0!</v>
      </c>
      <c r="AI297" s="974" t="e">
        <f>IF($F297="","",$F297*chronic_consumption!AD297/1000/$C$3)</f>
        <v>#DIV/0!</v>
      </c>
      <c r="AJ297" s="974" t="e">
        <f>IF($F297="","",$F297*chronic_consumption!AE297/1000/$C$3)</f>
        <v>#DIV/0!</v>
      </c>
      <c r="AK297" s="974" t="e">
        <f>IF($F297="","",$F297*chronic_consumption!AF297/1000/$C$3)</f>
        <v>#DIV/0!</v>
      </c>
      <c r="AL297" s="974" t="e">
        <f>IF($F297="","",$F297*chronic_consumption!AG297/1000/$C$3)</f>
        <v>#DIV/0!</v>
      </c>
      <c r="AM297" s="974" t="e">
        <f>IF($F297="","",$F297*chronic_consumption!AH297/1000/$C$3)</f>
        <v>#DIV/0!</v>
      </c>
      <c r="AN297" s="974" t="e">
        <f>IF($F297="","",$F297*chronic_consumption!AI297/1000/$C$3)</f>
        <v>#DIV/0!</v>
      </c>
      <c r="AO297" s="974" t="e">
        <f>IF($F297="","",$F297*chronic_consumption!AJ297/1000/$C$3)</f>
        <v>#DIV/0!</v>
      </c>
      <c r="AP297" s="974" t="e">
        <f>IF($F297="","",$F297*chronic_consumption!AK297/1000/$C$3)</f>
        <v>#DIV/0!</v>
      </c>
      <c r="AQ297" s="974" t="e">
        <f>IF($F297="","",$F297*chronic_consumption!AL297/1000/$C$3)</f>
        <v>#DIV/0!</v>
      </c>
      <c r="AR297" s="974" t="e">
        <f>IF($F297="","",$F297*chronic_consumption!AM297/1000/$C$3)</f>
        <v>#DIV/0!</v>
      </c>
      <c r="AS297" s="974" t="e">
        <f>IF($F297="","",$F297*chronic_consumption!AN297/1000/$C$3)</f>
        <v>#DIV/0!</v>
      </c>
      <c r="AT297" s="974" t="e">
        <f>IF($F297="","",$F297*chronic_consumption!AO297/1000/$C$3)</f>
        <v>#DIV/0!</v>
      </c>
      <c r="AU297" s="974"/>
      <c r="AV297" s="974" t="e">
        <f>IF($F297="","",$F297*chronic_consumption!AQ297/1000/$C$3)</f>
        <v>#DIV/0!</v>
      </c>
      <c r="AW297" s="974" t="e">
        <f>IF($F297="","",$F297*chronic_consumption!AR297/1000/$C$3)</f>
        <v>#DIV/0!</v>
      </c>
      <c r="AX297" s="974" t="e">
        <f>IF($F297="","",$F297*chronic_consumption!AS297/1000/$C$3)</f>
        <v>#DIV/0!</v>
      </c>
      <c r="AY297" s="974" t="e">
        <f>IF($F297="","",$F297*chronic_consumption!AT297/1000/$C$3)</f>
        <v>#DIV/0!</v>
      </c>
      <c r="AZ297" s="973" t="s">
        <v>19</v>
      </c>
      <c r="BA297" s="969" t="e">
        <f t="shared" si="23"/>
        <v>#DIV/0!</v>
      </c>
      <c r="BB297" s="970" t="e">
        <f t="shared" si="24"/>
        <v>#DIV/0!</v>
      </c>
      <c r="BC297" s="971" t="e">
        <f t="shared" ca="1" si="25"/>
        <v>#DIV/0!</v>
      </c>
      <c r="BD297" s="228">
        <f>input_values!Z297</f>
        <v>4</v>
      </c>
      <c r="BE297" s="152">
        <f>input_values!L297</f>
        <v>0</v>
      </c>
      <c r="BF297" s="972" t="str">
        <f t="shared" si="26"/>
        <v/>
      </c>
    </row>
    <row r="298" spans="1:58" ht="12" customHeight="1" outlineLevel="3" x14ac:dyDescent="0.2">
      <c r="A298" s="21">
        <v>4</v>
      </c>
      <c r="B298" s="23">
        <v>820990</v>
      </c>
      <c r="C298" s="23" t="s">
        <v>782</v>
      </c>
      <c r="D298" s="965">
        <f>Table22[[#This Row],[MRL individual commodity]]</f>
        <v>0</v>
      </c>
      <c r="E298" s="300" t="str">
        <f>Table22[[#This Row],[LOQ_label]]</f>
        <v/>
      </c>
      <c r="F298" s="966">
        <f>Table22[[#This Row],[Chronic RA input value]]</f>
        <v>0</v>
      </c>
      <c r="G298" s="304" t="str">
        <f>Table22[[#This Row],[Chronic RA label]]</f>
        <v/>
      </c>
      <c r="H298" s="304">
        <f>Table22[[#This Row],[GAP under assessment]]</f>
        <v>0</v>
      </c>
      <c r="I298" s="1123"/>
      <c r="J298" s="974" t="e">
        <f>IF($F298="","",$F298*chronic_consumption!$E298/1000/$C$3)</f>
        <v>#DIV/0!</v>
      </c>
      <c r="K298" s="974" t="e">
        <f>IF($F298="","",$F298*chronic_consumption!F298/1000/$C$3)</f>
        <v>#DIV/0!</v>
      </c>
      <c r="L298" s="974" t="e">
        <f>IF($F298="","",$F298*chronic_consumption!G298/1000/$C$3)</f>
        <v>#DIV/0!</v>
      </c>
      <c r="M298" s="974" t="e">
        <f>IF($F298="","",$F298*chronic_consumption!H298/1000/$C$3)</f>
        <v>#DIV/0!</v>
      </c>
      <c r="N298" s="974" t="e">
        <f>IF($F298="","",$F298*chronic_consumption!I298/1000/$C$3)</f>
        <v>#DIV/0!</v>
      </c>
      <c r="O298" s="974" t="e">
        <f>IF($F298="","",$F298*chronic_consumption!J298/1000/$C$3)</f>
        <v>#DIV/0!</v>
      </c>
      <c r="P298" s="974" t="e">
        <f>IF($F298="","",$F298*chronic_consumption!K298/1000/$C$3)</f>
        <v>#DIV/0!</v>
      </c>
      <c r="Q298" s="974" t="e">
        <f>IF($F298="","",$F298*chronic_consumption!L298/1000/$C$3)</f>
        <v>#DIV/0!</v>
      </c>
      <c r="R298" s="974" t="e">
        <f>IF($F298="","",$F298*chronic_consumption!M298/1000/$C$3)</f>
        <v>#DIV/0!</v>
      </c>
      <c r="S298" s="974" t="e">
        <f>IF($F298="","",$F298*chronic_consumption!N298/1000/$C$3)</f>
        <v>#DIV/0!</v>
      </c>
      <c r="T298" s="974" t="e">
        <f>IF($F298="","",$F298*chronic_consumption!O298/1000/$C$3)</f>
        <v>#DIV/0!</v>
      </c>
      <c r="U298" s="974" t="e">
        <f>IF($F298="","",$F298*chronic_consumption!P298/1000/$C$3)</f>
        <v>#DIV/0!</v>
      </c>
      <c r="V298" s="974" t="e">
        <f>IF($F298="","",$F298*chronic_consumption!Q298/1000/$C$3)</f>
        <v>#DIV/0!</v>
      </c>
      <c r="W298" s="974" t="e">
        <f>IF($F298="","",$F298*chronic_consumption!R298/1000/$C$3)</f>
        <v>#DIV/0!</v>
      </c>
      <c r="X298" s="974" t="e">
        <f>IF($F298="","",$F298*chronic_consumption!S298/1000/$C$3)</f>
        <v>#DIV/0!</v>
      </c>
      <c r="Y298" s="974" t="e">
        <f>IF($F298="","",$F298*chronic_consumption!T298/1000/$C$3)</f>
        <v>#DIV/0!</v>
      </c>
      <c r="Z298" s="974" t="e">
        <f>IF($F298="","",$F298*chronic_consumption!U298/1000/$C$3)</f>
        <v>#DIV/0!</v>
      </c>
      <c r="AA298" s="974" t="e">
        <f>IF($F298="","",$F298*chronic_consumption!V298/1000/$C$3)</f>
        <v>#DIV/0!</v>
      </c>
      <c r="AB298" s="974" t="e">
        <f>IF($F298="","",$F298*chronic_consumption!W298/1000/$C$3)</f>
        <v>#DIV/0!</v>
      </c>
      <c r="AC298" s="974" t="e">
        <f>IF($F298="","",$F298*chronic_consumption!X298/1000/$C$3)</f>
        <v>#DIV/0!</v>
      </c>
      <c r="AD298" s="974" t="e">
        <f>IF($F298="","",$F298*chronic_consumption!Y298/1000/$C$3)</f>
        <v>#DIV/0!</v>
      </c>
      <c r="AE298" s="974" t="e">
        <f>IF($F298="","",$F298*chronic_consumption!Z298/1000/$C$3)</f>
        <v>#DIV/0!</v>
      </c>
      <c r="AF298" s="974" t="e">
        <f>IF($F298="","",$F298*chronic_consumption!AA298/1000/$C$3)</f>
        <v>#DIV/0!</v>
      </c>
      <c r="AG298" s="974" t="e">
        <f>IF($F298="","",$F298*chronic_consumption!AB298/1000/$C$3)</f>
        <v>#DIV/0!</v>
      </c>
      <c r="AH298" s="974" t="e">
        <f>IF($F298="","",$F298*chronic_consumption!AC298/1000/$C$3)</f>
        <v>#DIV/0!</v>
      </c>
      <c r="AI298" s="974" t="e">
        <f>IF($F298="","",$F298*chronic_consumption!AD298/1000/$C$3)</f>
        <v>#DIV/0!</v>
      </c>
      <c r="AJ298" s="974" t="e">
        <f>IF($F298="","",$F298*chronic_consumption!AE298/1000/$C$3)</f>
        <v>#DIV/0!</v>
      </c>
      <c r="AK298" s="974" t="e">
        <f>IF($F298="","",$F298*chronic_consumption!AF298/1000/$C$3)</f>
        <v>#DIV/0!</v>
      </c>
      <c r="AL298" s="974" t="e">
        <f>IF($F298="","",$F298*chronic_consumption!AG298/1000/$C$3)</f>
        <v>#DIV/0!</v>
      </c>
      <c r="AM298" s="974" t="e">
        <f>IF($F298="","",$F298*chronic_consumption!AH298/1000/$C$3)</f>
        <v>#DIV/0!</v>
      </c>
      <c r="AN298" s="974" t="e">
        <f>IF($F298="","",$F298*chronic_consumption!AI298/1000/$C$3)</f>
        <v>#DIV/0!</v>
      </c>
      <c r="AO298" s="974" t="e">
        <f>IF($F298="","",$F298*chronic_consumption!AJ298/1000/$C$3)</f>
        <v>#DIV/0!</v>
      </c>
      <c r="AP298" s="974" t="e">
        <f>IF($F298="","",$F298*chronic_consumption!AK298/1000/$C$3)</f>
        <v>#DIV/0!</v>
      </c>
      <c r="AQ298" s="974" t="e">
        <f>IF($F298="","",$F298*chronic_consumption!AL298/1000/$C$3)</f>
        <v>#DIV/0!</v>
      </c>
      <c r="AR298" s="974" t="e">
        <f>IF($F298="","",$F298*chronic_consumption!AM298/1000/$C$3)</f>
        <v>#DIV/0!</v>
      </c>
      <c r="AS298" s="974" t="e">
        <f>IF($F298="","",$F298*chronic_consumption!AN298/1000/$C$3)</f>
        <v>#DIV/0!</v>
      </c>
      <c r="AT298" s="974" t="e">
        <f>IF($F298="","",$F298*chronic_consumption!AO298/1000/$C$3)</f>
        <v>#DIV/0!</v>
      </c>
      <c r="AU298" s="974"/>
      <c r="AV298" s="974" t="e">
        <f>IF($F298="","",$F298*chronic_consumption!AQ298/1000/$C$3)</f>
        <v>#DIV/0!</v>
      </c>
      <c r="AW298" s="974" t="e">
        <f>IF($F298="","",$F298*chronic_consumption!AR298/1000/$C$3)</f>
        <v>#DIV/0!</v>
      </c>
      <c r="AX298" s="974" t="e">
        <f>IF($F298="","",$F298*chronic_consumption!AS298/1000/$C$3)</f>
        <v>#DIV/0!</v>
      </c>
      <c r="AY298" s="974" t="e">
        <f>IF($F298="","",$F298*chronic_consumption!AT298/1000/$C$3)</f>
        <v>#DIV/0!</v>
      </c>
      <c r="AZ298" s="973" t="s">
        <v>19</v>
      </c>
      <c r="BA298" s="969" t="e">
        <f t="shared" si="23"/>
        <v>#DIV/0!</v>
      </c>
      <c r="BB298" s="970" t="e">
        <f t="shared" si="24"/>
        <v>#DIV/0!</v>
      </c>
      <c r="BC298" s="971" t="e">
        <f t="shared" ca="1" si="25"/>
        <v>#DIV/0!</v>
      </c>
      <c r="BD298" s="228">
        <f>input_values!Z298</f>
        <v>4</v>
      </c>
      <c r="BE298" s="152">
        <f>input_values!L298</f>
        <v>0</v>
      </c>
      <c r="BF298" s="972" t="str">
        <f t="shared" si="26"/>
        <v/>
      </c>
    </row>
    <row r="299" spans="1:58" ht="12" customHeight="1" outlineLevel="1" x14ac:dyDescent="0.2">
      <c r="A299" s="314">
        <v>2</v>
      </c>
      <c r="B299" s="131">
        <v>830000</v>
      </c>
      <c r="C299" s="131" t="s">
        <v>78</v>
      </c>
      <c r="D299" s="965">
        <f>Table22[[#This Row],[MRL individual commodity]]</f>
        <v>0</v>
      </c>
      <c r="E299" s="300">
        <f>Table22[[#This Row],[LOQ_label]]</f>
        <v>0</v>
      </c>
      <c r="F299" s="966">
        <f>Table22[[#This Row],[Chronic RA input value]]</f>
        <v>0</v>
      </c>
      <c r="G299" s="304">
        <f>Table22[[#This Row],[Chronic RA label]]</f>
        <v>0</v>
      </c>
      <c r="H299" s="304">
        <f>Table22[[#This Row],[GAP under assessment]]</f>
        <v>0</v>
      </c>
      <c r="I299" s="1123"/>
      <c r="J299" s="967" t="e">
        <f>IF($F299="","",$F299*chronic_consumption!$E299/1000/$C$3)</f>
        <v>#DIV/0!</v>
      </c>
      <c r="K299" s="967" t="e">
        <f>IF($F299="","",$F299*chronic_consumption!F299/1000/$C$3)</f>
        <v>#DIV/0!</v>
      </c>
      <c r="L299" s="967" t="e">
        <f>IF($F299="","",$F299*chronic_consumption!G299/1000/$C$3)</f>
        <v>#DIV/0!</v>
      </c>
      <c r="M299" s="967" t="e">
        <f>IF($F299="","",$F299*chronic_consumption!H299/1000/$C$3)</f>
        <v>#DIV/0!</v>
      </c>
      <c r="N299" s="967" t="e">
        <f>IF($F299="","",$F299*chronic_consumption!I299/1000/$C$3)</f>
        <v>#DIV/0!</v>
      </c>
      <c r="O299" s="967" t="e">
        <f>IF($F299="","",$F299*chronic_consumption!J299/1000/$C$3)</f>
        <v>#DIV/0!</v>
      </c>
      <c r="P299" s="967" t="e">
        <f>IF($F299="","",$F299*chronic_consumption!K299/1000/$C$3)</f>
        <v>#DIV/0!</v>
      </c>
      <c r="Q299" s="967" t="e">
        <f>IF($F299="","",$F299*chronic_consumption!L299/1000/$C$3)</f>
        <v>#DIV/0!</v>
      </c>
      <c r="R299" s="967" t="e">
        <f>IF($F299="","",$F299*chronic_consumption!M299/1000/$C$3)</f>
        <v>#DIV/0!</v>
      </c>
      <c r="S299" s="967" t="e">
        <f>IF($F299="","",$F299*chronic_consumption!N299/1000/$C$3)</f>
        <v>#DIV/0!</v>
      </c>
      <c r="T299" s="967" t="e">
        <f>IF($F299="","",$F299*chronic_consumption!O299/1000/$C$3)</f>
        <v>#DIV/0!</v>
      </c>
      <c r="U299" s="967" t="e">
        <f>IF($F299="","",$F299*chronic_consumption!P299/1000/$C$3)</f>
        <v>#DIV/0!</v>
      </c>
      <c r="V299" s="967" t="e">
        <f>IF($F299="","",$F299*chronic_consumption!Q299/1000/$C$3)</f>
        <v>#DIV/0!</v>
      </c>
      <c r="W299" s="967" t="e">
        <f>IF($F299="","",$F299*chronic_consumption!R299/1000/$C$3)</f>
        <v>#DIV/0!</v>
      </c>
      <c r="X299" s="967" t="e">
        <f>IF($F299="","",$F299*chronic_consumption!S299/1000/$C$3)</f>
        <v>#DIV/0!</v>
      </c>
      <c r="Y299" s="967" t="e">
        <f>IF($F299="","",$F299*chronic_consumption!T299/1000/$C$3)</f>
        <v>#DIV/0!</v>
      </c>
      <c r="Z299" s="967" t="e">
        <f>IF($F299="","",$F299*chronic_consumption!U299/1000/$C$3)</f>
        <v>#DIV/0!</v>
      </c>
      <c r="AA299" s="967" t="e">
        <f>IF($F299="","",$F299*chronic_consumption!V299/1000/$C$3)</f>
        <v>#DIV/0!</v>
      </c>
      <c r="AB299" s="967" t="e">
        <f>IF($F299="","",$F299*chronic_consumption!W299/1000/$C$3)</f>
        <v>#DIV/0!</v>
      </c>
      <c r="AC299" s="967" t="e">
        <f>IF($F299="","",$F299*chronic_consumption!X299/1000/$C$3)</f>
        <v>#DIV/0!</v>
      </c>
      <c r="AD299" s="967" t="e">
        <f>IF($F299="","",$F299*chronic_consumption!Y299/1000/$C$3)</f>
        <v>#DIV/0!</v>
      </c>
      <c r="AE299" s="967" t="e">
        <f>IF($F299="","",$F299*chronic_consumption!Z299/1000/$C$3)</f>
        <v>#DIV/0!</v>
      </c>
      <c r="AF299" s="967" t="e">
        <f>IF($F299="","",$F299*chronic_consumption!AA299/1000/$C$3)</f>
        <v>#DIV/0!</v>
      </c>
      <c r="AG299" s="967" t="e">
        <f>IF($F299="","",$F299*chronic_consumption!AB299/1000/$C$3)</f>
        <v>#DIV/0!</v>
      </c>
      <c r="AH299" s="967" t="e">
        <f>IF($F299="","",$F299*chronic_consumption!AC299/1000/$C$3)</f>
        <v>#DIV/0!</v>
      </c>
      <c r="AI299" s="967" t="e">
        <f>IF($F299="","",$F299*chronic_consumption!AD299/1000/$C$3)</f>
        <v>#DIV/0!</v>
      </c>
      <c r="AJ299" s="967" t="e">
        <f>IF($F299="","",$F299*chronic_consumption!AE299/1000/$C$3)</f>
        <v>#DIV/0!</v>
      </c>
      <c r="AK299" s="967" t="e">
        <f>IF($F299="","",$F299*chronic_consumption!AF299/1000/$C$3)</f>
        <v>#DIV/0!</v>
      </c>
      <c r="AL299" s="967" t="e">
        <f>IF($F299="","",$F299*chronic_consumption!AG299/1000/$C$3)</f>
        <v>#DIV/0!</v>
      </c>
      <c r="AM299" s="967" t="e">
        <f>IF($F299="","",$F299*chronic_consumption!AH299/1000/$C$3)</f>
        <v>#DIV/0!</v>
      </c>
      <c r="AN299" s="967" t="e">
        <f>IF($F299="","",$F299*chronic_consumption!AI299/1000/$C$3)</f>
        <v>#DIV/0!</v>
      </c>
      <c r="AO299" s="967" t="e">
        <f>IF($F299="","",$F299*chronic_consumption!AJ299/1000/$C$3)</f>
        <v>#DIV/0!</v>
      </c>
      <c r="AP299" s="967" t="e">
        <f>IF($F299="","",$F299*chronic_consumption!AK299/1000/$C$3)</f>
        <v>#DIV/0!</v>
      </c>
      <c r="AQ299" s="967" t="e">
        <f>IF($F299="","",$F299*chronic_consumption!AL299/1000/$C$3)</f>
        <v>#DIV/0!</v>
      </c>
      <c r="AR299" s="967" t="e">
        <f>IF($F299="","",$F299*chronic_consumption!AM299/1000/$C$3)</f>
        <v>#DIV/0!</v>
      </c>
      <c r="AS299" s="967" t="e">
        <f>IF($F299="","",$F299*chronic_consumption!AN299/1000/$C$3)</f>
        <v>#DIV/0!</v>
      </c>
      <c r="AT299" s="967" t="e">
        <f>IF($F299="","",$F299*chronic_consumption!AO299/1000/$C$3)</f>
        <v>#DIV/0!</v>
      </c>
      <c r="AU299" s="967"/>
      <c r="AV299" s="967" t="e">
        <f>IF($F299="","",$F299*chronic_consumption!AQ299/1000/$C$3)</f>
        <v>#DIV/0!</v>
      </c>
      <c r="AW299" s="967" t="e">
        <f>IF($F299="","",$F299*chronic_consumption!AR299/1000/$C$3)</f>
        <v>#DIV/0!</v>
      </c>
      <c r="AX299" s="967" t="e">
        <f>IF($F299="","",$F299*chronic_consumption!AS299/1000/$C$3)</f>
        <v>#DIV/0!</v>
      </c>
      <c r="AY299" s="967" t="e">
        <f>IF($F299="","",$F299*chronic_consumption!AT299/1000/$C$3)</f>
        <v>#DIV/0!</v>
      </c>
      <c r="AZ299" s="973"/>
      <c r="BA299" s="969" t="e">
        <f t="shared" si="23"/>
        <v>#DIV/0!</v>
      </c>
      <c r="BB299" s="970" t="e">
        <f t="shared" si="24"/>
        <v>#DIV/0!</v>
      </c>
      <c r="BC299" s="971" t="e">
        <f t="shared" ca="1" si="25"/>
        <v>#DIV/0!</v>
      </c>
      <c r="BD299" s="228">
        <f>input_values!Z299</f>
        <v>4</v>
      </c>
      <c r="BE299" s="152">
        <f>input_values!L299</f>
        <v>0</v>
      </c>
      <c r="BF299" s="972" t="str">
        <f t="shared" si="26"/>
        <v/>
      </c>
    </row>
    <row r="300" spans="1:58" ht="12" customHeight="1" outlineLevel="3" x14ac:dyDescent="0.2">
      <c r="A300" s="21">
        <v>4</v>
      </c>
      <c r="B300" s="23">
        <v>830010</v>
      </c>
      <c r="C300" s="23" t="s">
        <v>124</v>
      </c>
      <c r="D300" s="965">
        <f>Table22[[#This Row],[MRL individual commodity]]</f>
        <v>0</v>
      </c>
      <c r="E300" s="300" t="str">
        <f>Table22[[#This Row],[LOQ_label]]</f>
        <v/>
      </c>
      <c r="F300" s="966">
        <f>Table22[[#This Row],[Chronic RA input value]]</f>
        <v>0</v>
      </c>
      <c r="G300" s="304" t="str">
        <f>Table22[[#This Row],[Chronic RA label]]</f>
        <v/>
      </c>
      <c r="H300" s="304">
        <f>Table22[[#This Row],[GAP under assessment]]</f>
        <v>0</v>
      </c>
      <c r="I300" s="1123"/>
      <c r="J300" s="974" t="e">
        <f>IF($F300="","",$F300*chronic_consumption!$E300/1000/$C$3)</f>
        <v>#DIV/0!</v>
      </c>
      <c r="K300" s="974" t="e">
        <f>IF($F300="","",$F300*chronic_consumption!F300/1000/$C$3)</f>
        <v>#DIV/0!</v>
      </c>
      <c r="L300" s="974" t="e">
        <f>IF($F300="","",$F300*chronic_consumption!G300/1000/$C$3)</f>
        <v>#DIV/0!</v>
      </c>
      <c r="M300" s="974" t="e">
        <f>IF($F300="","",$F300*chronic_consumption!H300/1000/$C$3)</f>
        <v>#DIV/0!</v>
      </c>
      <c r="N300" s="974" t="e">
        <f>IF($F300="","",$F300*chronic_consumption!I300/1000/$C$3)</f>
        <v>#DIV/0!</v>
      </c>
      <c r="O300" s="974" t="e">
        <f>IF($F300="","",$F300*chronic_consumption!J300/1000/$C$3)</f>
        <v>#DIV/0!</v>
      </c>
      <c r="P300" s="974" t="e">
        <f>IF($F300="","",$F300*chronic_consumption!K300/1000/$C$3)</f>
        <v>#DIV/0!</v>
      </c>
      <c r="Q300" s="974" t="e">
        <f>IF($F300="","",$F300*chronic_consumption!L300/1000/$C$3)</f>
        <v>#DIV/0!</v>
      </c>
      <c r="R300" s="974" t="e">
        <f>IF($F300="","",$F300*chronic_consumption!M300/1000/$C$3)</f>
        <v>#DIV/0!</v>
      </c>
      <c r="S300" s="974" t="e">
        <f>IF($F300="","",$F300*chronic_consumption!N300/1000/$C$3)</f>
        <v>#DIV/0!</v>
      </c>
      <c r="T300" s="974" t="e">
        <f>IF($F300="","",$F300*chronic_consumption!O300/1000/$C$3)</f>
        <v>#DIV/0!</v>
      </c>
      <c r="U300" s="974" t="e">
        <f>IF($F300="","",$F300*chronic_consumption!P300/1000/$C$3)</f>
        <v>#DIV/0!</v>
      </c>
      <c r="V300" s="974" t="e">
        <f>IF($F300="","",$F300*chronic_consumption!Q300/1000/$C$3)</f>
        <v>#DIV/0!</v>
      </c>
      <c r="W300" s="974" t="e">
        <f>IF($F300="","",$F300*chronic_consumption!R300/1000/$C$3)</f>
        <v>#DIV/0!</v>
      </c>
      <c r="X300" s="974" t="e">
        <f>IF($F300="","",$F300*chronic_consumption!S300/1000/$C$3)</f>
        <v>#DIV/0!</v>
      </c>
      <c r="Y300" s="974" t="e">
        <f>IF($F300="","",$F300*chronic_consumption!T300/1000/$C$3)</f>
        <v>#DIV/0!</v>
      </c>
      <c r="Z300" s="974" t="e">
        <f>IF($F300="","",$F300*chronic_consumption!U300/1000/$C$3)</f>
        <v>#DIV/0!</v>
      </c>
      <c r="AA300" s="974" t="e">
        <f>IF($F300="","",$F300*chronic_consumption!V300/1000/$C$3)</f>
        <v>#DIV/0!</v>
      </c>
      <c r="AB300" s="974" t="e">
        <f>IF($F300="","",$F300*chronic_consumption!W300/1000/$C$3)</f>
        <v>#DIV/0!</v>
      </c>
      <c r="AC300" s="974" t="e">
        <f>IF($F300="","",$F300*chronic_consumption!X300/1000/$C$3)</f>
        <v>#DIV/0!</v>
      </c>
      <c r="AD300" s="974" t="e">
        <f>IF($F300="","",$F300*chronic_consumption!Y300/1000/$C$3)</f>
        <v>#DIV/0!</v>
      </c>
      <c r="AE300" s="974" t="e">
        <f>IF($F300="","",$F300*chronic_consumption!Z300/1000/$C$3)</f>
        <v>#DIV/0!</v>
      </c>
      <c r="AF300" s="974" t="e">
        <f>IF($F300="","",$F300*chronic_consumption!AA300/1000/$C$3)</f>
        <v>#DIV/0!</v>
      </c>
      <c r="AG300" s="974" t="e">
        <f>IF($F300="","",$F300*chronic_consumption!AB300/1000/$C$3)</f>
        <v>#DIV/0!</v>
      </c>
      <c r="AH300" s="974" t="e">
        <f>IF($F300="","",$F300*chronic_consumption!AC300/1000/$C$3)</f>
        <v>#DIV/0!</v>
      </c>
      <c r="AI300" s="974" t="e">
        <f>IF($F300="","",$F300*chronic_consumption!AD300/1000/$C$3)</f>
        <v>#DIV/0!</v>
      </c>
      <c r="AJ300" s="974" t="e">
        <f>IF($F300="","",$F300*chronic_consumption!AE300/1000/$C$3)</f>
        <v>#DIV/0!</v>
      </c>
      <c r="AK300" s="974" t="e">
        <f>IF($F300="","",$F300*chronic_consumption!AF300/1000/$C$3)</f>
        <v>#DIV/0!</v>
      </c>
      <c r="AL300" s="974" t="e">
        <f>IF($F300="","",$F300*chronic_consumption!AG300/1000/$C$3)</f>
        <v>#DIV/0!</v>
      </c>
      <c r="AM300" s="974" t="e">
        <f>IF($F300="","",$F300*chronic_consumption!AH300/1000/$C$3)</f>
        <v>#DIV/0!</v>
      </c>
      <c r="AN300" s="974" t="e">
        <f>IF($F300="","",$F300*chronic_consumption!AI300/1000/$C$3)</f>
        <v>#DIV/0!</v>
      </c>
      <c r="AO300" s="974" t="e">
        <f>IF($F300="","",$F300*chronic_consumption!AJ300/1000/$C$3)</f>
        <v>#DIV/0!</v>
      </c>
      <c r="AP300" s="974" t="e">
        <f>IF($F300="","",$F300*chronic_consumption!AK300/1000/$C$3)</f>
        <v>#DIV/0!</v>
      </c>
      <c r="AQ300" s="974" t="e">
        <f>IF($F300="","",$F300*chronic_consumption!AL300/1000/$C$3)</f>
        <v>#DIV/0!</v>
      </c>
      <c r="AR300" s="974" t="e">
        <f>IF($F300="","",$F300*chronic_consumption!AM300/1000/$C$3)</f>
        <v>#DIV/0!</v>
      </c>
      <c r="AS300" s="974" t="e">
        <f>IF($F300="","",$F300*chronic_consumption!AN300/1000/$C$3)</f>
        <v>#DIV/0!</v>
      </c>
      <c r="AT300" s="974" t="e">
        <f>IF($F300="","",$F300*chronic_consumption!AO300/1000/$C$3)</f>
        <v>#DIV/0!</v>
      </c>
      <c r="AU300" s="974"/>
      <c r="AV300" s="974" t="e">
        <f>IF($F300="","",$F300*chronic_consumption!AQ300/1000/$C$3)</f>
        <v>#DIV/0!</v>
      </c>
      <c r="AW300" s="974" t="e">
        <f>IF($F300="","",$F300*chronic_consumption!AR300/1000/$C$3)</f>
        <v>#DIV/0!</v>
      </c>
      <c r="AX300" s="974" t="e">
        <f>IF($F300="","",$F300*chronic_consumption!AS300/1000/$C$3)</f>
        <v>#DIV/0!</v>
      </c>
      <c r="AY300" s="974" t="e">
        <f>IF($F300="","",$F300*chronic_consumption!AT300/1000/$C$3)</f>
        <v>#DIV/0!</v>
      </c>
      <c r="AZ300" s="973" t="s">
        <v>19</v>
      </c>
      <c r="BA300" s="969" t="e">
        <f t="shared" si="23"/>
        <v>#DIV/0!</v>
      </c>
      <c r="BB300" s="970" t="e">
        <f t="shared" si="24"/>
        <v>#DIV/0!</v>
      </c>
      <c r="BC300" s="971" t="e">
        <f t="shared" ca="1" si="25"/>
        <v>#DIV/0!</v>
      </c>
      <c r="BD300" s="228">
        <f>input_values!Z300</f>
        <v>4</v>
      </c>
      <c r="BE300" s="152">
        <f>input_values!L300</f>
        <v>0</v>
      </c>
      <c r="BF300" s="972" t="str">
        <f t="shared" si="26"/>
        <v/>
      </c>
    </row>
    <row r="301" spans="1:58" ht="12" customHeight="1" outlineLevel="3" x14ac:dyDescent="0.2">
      <c r="A301" s="21">
        <v>4</v>
      </c>
      <c r="B301" s="23">
        <v>830990</v>
      </c>
      <c r="C301" s="23" t="s">
        <v>184</v>
      </c>
      <c r="D301" s="965">
        <f>Table22[[#This Row],[MRL individual commodity]]</f>
        <v>0</v>
      </c>
      <c r="E301" s="300" t="str">
        <f>Table22[[#This Row],[LOQ_label]]</f>
        <v/>
      </c>
      <c r="F301" s="966">
        <f>Table22[[#This Row],[Chronic RA input value]]</f>
        <v>0</v>
      </c>
      <c r="G301" s="304" t="str">
        <f>Table22[[#This Row],[Chronic RA label]]</f>
        <v/>
      </c>
      <c r="H301" s="304">
        <f>Table22[[#This Row],[GAP under assessment]]</f>
        <v>0</v>
      </c>
      <c r="I301" s="1123"/>
      <c r="J301" s="974" t="e">
        <f>IF($F301="","",$F301*chronic_consumption!$E301/1000/$C$3)</f>
        <v>#DIV/0!</v>
      </c>
      <c r="K301" s="974" t="e">
        <f>IF($F301="","",$F301*chronic_consumption!F301/1000/$C$3)</f>
        <v>#DIV/0!</v>
      </c>
      <c r="L301" s="974" t="e">
        <f>IF($F301="","",$F301*chronic_consumption!G301/1000/$C$3)</f>
        <v>#DIV/0!</v>
      </c>
      <c r="M301" s="974" t="e">
        <f>IF($F301="","",$F301*chronic_consumption!H301/1000/$C$3)</f>
        <v>#DIV/0!</v>
      </c>
      <c r="N301" s="974" t="e">
        <f>IF($F301="","",$F301*chronic_consumption!I301/1000/$C$3)</f>
        <v>#DIV/0!</v>
      </c>
      <c r="O301" s="974" t="e">
        <f>IF($F301="","",$F301*chronic_consumption!J301/1000/$C$3)</f>
        <v>#DIV/0!</v>
      </c>
      <c r="P301" s="974" t="e">
        <f>IF($F301="","",$F301*chronic_consumption!K301/1000/$C$3)</f>
        <v>#DIV/0!</v>
      </c>
      <c r="Q301" s="974" t="e">
        <f>IF($F301="","",$F301*chronic_consumption!L301/1000/$C$3)</f>
        <v>#DIV/0!</v>
      </c>
      <c r="R301" s="974" t="e">
        <f>IF($F301="","",$F301*chronic_consumption!M301/1000/$C$3)</f>
        <v>#DIV/0!</v>
      </c>
      <c r="S301" s="974" t="e">
        <f>IF($F301="","",$F301*chronic_consumption!N301/1000/$C$3)</f>
        <v>#DIV/0!</v>
      </c>
      <c r="T301" s="974" t="e">
        <f>IF($F301="","",$F301*chronic_consumption!O301/1000/$C$3)</f>
        <v>#DIV/0!</v>
      </c>
      <c r="U301" s="974" t="e">
        <f>IF($F301="","",$F301*chronic_consumption!P301/1000/$C$3)</f>
        <v>#DIV/0!</v>
      </c>
      <c r="V301" s="974" t="e">
        <f>IF($F301="","",$F301*chronic_consumption!Q301/1000/$C$3)</f>
        <v>#DIV/0!</v>
      </c>
      <c r="W301" s="974" t="e">
        <f>IF($F301="","",$F301*chronic_consumption!R301/1000/$C$3)</f>
        <v>#DIV/0!</v>
      </c>
      <c r="X301" s="974" t="e">
        <f>IF($F301="","",$F301*chronic_consumption!S301/1000/$C$3)</f>
        <v>#DIV/0!</v>
      </c>
      <c r="Y301" s="974" t="e">
        <f>IF($F301="","",$F301*chronic_consumption!T301/1000/$C$3)</f>
        <v>#DIV/0!</v>
      </c>
      <c r="Z301" s="974" t="e">
        <f>IF($F301="","",$F301*chronic_consumption!U301/1000/$C$3)</f>
        <v>#DIV/0!</v>
      </c>
      <c r="AA301" s="974" t="e">
        <f>IF($F301="","",$F301*chronic_consumption!V301/1000/$C$3)</f>
        <v>#DIV/0!</v>
      </c>
      <c r="AB301" s="974" t="e">
        <f>IF($F301="","",$F301*chronic_consumption!W301/1000/$C$3)</f>
        <v>#DIV/0!</v>
      </c>
      <c r="AC301" s="974" t="e">
        <f>IF($F301="","",$F301*chronic_consumption!X301/1000/$C$3)</f>
        <v>#DIV/0!</v>
      </c>
      <c r="AD301" s="974" t="e">
        <f>IF($F301="","",$F301*chronic_consumption!Y301/1000/$C$3)</f>
        <v>#DIV/0!</v>
      </c>
      <c r="AE301" s="974" t="e">
        <f>IF($F301="","",$F301*chronic_consumption!Z301/1000/$C$3)</f>
        <v>#DIV/0!</v>
      </c>
      <c r="AF301" s="974" t="e">
        <f>IF($F301="","",$F301*chronic_consumption!AA301/1000/$C$3)</f>
        <v>#DIV/0!</v>
      </c>
      <c r="AG301" s="974" t="e">
        <f>IF($F301="","",$F301*chronic_consumption!AB301/1000/$C$3)</f>
        <v>#DIV/0!</v>
      </c>
      <c r="AH301" s="974" t="e">
        <f>IF($F301="","",$F301*chronic_consumption!AC301/1000/$C$3)</f>
        <v>#DIV/0!</v>
      </c>
      <c r="AI301" s="974" t="e">
        <f>IF($F301="","",$F301*chronic_consumption!AD301/1000/$C$3)</f>
        <v>#DIV/0!</v>
      </c>
      <c r="AJ301" s="974" t="e">
        <f>IF($F301="","",$F301*chronic_consumption!AE301/1000/$C$3)</f>
        <v>#DIV/0!</v>
      </c>
      <c r="AK301" s="974" t="e">
        <f>IF($F301="","",$F301*chronic_consumption!AF301/1000/$C$3)</f>
        <v>#DIV/0!</v>
      </c>
      <c r="AL301" s="974" t="e">
        <f>IF($F301="","",$F301*chronic_consumption!AG301/1000/$C$3)</f>
        <v>#DIV/0!</v>
      </c>
      <c r="AM301" s="974" t="e">
        <f>IF($F301="","",$F301*chronic_consumption!AH301/1000/$C$3)</f>
        <v>#DIV/0!</v>
      </c>
      <c r="AN301" s="974" t="e">
        <f>IF($F301="","",$F301*chronic_consumption!AI301/1000/$C$3)</f>
        <v>#DIV/0!</v>
      </c>
      <c r="AO301" s="974" t="e">
        <f>IF($F301="","",$F301*chronic_consumption!AJ301/1000/$C$3)</f>
        <v>#DIV/0!</v>
      </c>
      <c r="AP301" s="974" t="e">
        <f>IF($F301="","",$F301*chronic_consumption!AK301/1000/$C$3)</f>
        <v>#DIV/0!</v>
      </c>
      <c r="AQ301" s="974" t="e">
        <f>IF($F301="","",$F301*chronic_consumption!AL301/1000/$C$3)</f>
        <v>#DIV/0!</v>
      </c>
      <c r="AR301" s="974" t="e">
        <f>IF($F301="","",$F301*chronic_consumption!AM301/1000/$C$3)</f>
        <v>#DIV/0!</v>
      </c>
      <c r="AS301" s="974" t="e">
        <f>IF($F301="","",$F301*chronic_consumption!AN301/1000/$C$3)</f>
        <v>#DIV/0!</v>
      </c>
      <c r="AT301" s="974" t="e">
        <f>IF($F301="","",$F301*chronic_consumption!AO301/1000/$C$3)</f>
        <v>#DIV/0!</v>
      </c>
      <c r="AU301" s="974"/>
      <c r="AV301" s="974" t="e">
        <f>IF($F301="","",$F301*chronic_consumption!AQ301/1000/$C$3)</f>
        <v>#DIV/0!</v>
      </c>
      <c r="AW301" s="974" t="e">
        <f>IF($F301="","",$F301*chronic_consumption!AR301/1000/$C$3)</f>
        <v>#DIV/0!</v>
      </c>
      <c r="AX301" s="974" t="e">
        <f>IF($F301="","",$F301*chronic_consumption!AS301/1000/$C$3)</f>
        <v>#DIV/0!</v>
      </c>
      <c r="AY301" s="974" t="e">
        <f>IF($F301="","",$F301*chronic_consumption!AT301/1000/$C$3)</f>
        <v>#DIV/0!</v>
      </c>
      <c r="AZ301" s="973" t="s">
        <v>19</v>
      </c>
      <c r="BA301" s="969" t="e">
        <f t="shared" si="23"/>
        <v>#DIV/0!</v>
      </c>
      <c r="BB301" s="970" t="e">
        <f t="shared" si="24"/>
        <v>#DIV/0!</v>
      </c>
      <c r="BC301" s="971" t="e">
        <f t="shared" ca="1" si="25"/>
        <v>#DIV/0!</v>
      </c>
      <c r="BD301" s="228">
        <f>input_values!Z301</f>
        <v>4</v>
      </c>
      <c r="BE301" s="152">
        <f>input_values!L301</f>
        <v>0</v>
      </c>
      <c r="BF301" s="972" t="str">
        <f t="shared" si="26"/>
        <v/>
      </c>
    </row>
    <row r="302" spans="1:58" ht="12" customHeight="1" outlineLevel="1" x14ac:dyDescent="0.2">
      <c r="A302" s="314">
        <v>2</v>
      </c>
      <c r="B302" s="131">
        <v>840000</v>
      </c>
      <c r="C302" s="131" t="s">
        <v>79</v>
      </c>
      <c r="D302" s="965">
        <f>Table22[[#This Row],[MRL individual commodity]]</f>
        <v>0</v>
      </c>
      <c r="E302" s="300">
        <f>Table22[[#This Row],[LOQ_label]]</f>
        <v>0</v>
      </c>
      <c r="F302" s="966">
        <f>Table22[[#This Row],[Chronic RA input value]]</f>
        <v>0</v>
      </c>
      <c r="G302" s="304">
        <f>Table22[[#This Row],[Chronic RA label]]</f>
        <v>0</v>
      </c>
      <c r="H302" s="304">
        <f>Table22[[#This Row],[GAP under assessment]]</f>
        <v>0</v>
      </c>
      <c r="I302" s="1123"/>
      <c r="J302" s="967" t="e">
        <f>IF($F302="","",$F302*chronic_consumption!$E302/1000/$C$3)</f>
        <v>#DIV/0!</v>
      </c>
      <c r="K302" s="967" t="e">
        <f>IF($F302="","",$F302*chronic_consumption!F302/1000/$C$3)</f>
        <v>#DIV/0!</v>
      </c>
      <c r="L302" s="967" t="e">
        <f>IF($F302="","",$F302*chronic_consumption!G302/1000/$C$3)</f>
        <v>#DIV/0!</v>
      </c>
      <c r="M302" s="967" t="e">
        <f>IF($F302="","",$F302*chronic_consumption!H302/1000/$C$3)</f>
        <v>#DIV/0!</v>
      </c>
      <c r="N302" s="967" t="e">
        <f>IF($F302="","",$F302*chronic_consumption!I302/1000/$C$3)</f>
        <v>#DIV/0!</v>
      </c>
      <c r="O302" s="967" t="e">
        <f>IF($F302="","",$F302*chronic_consumption!J302/1000/$C$3)</f>
        <v>#DIV/0!</v>
      </c>
      <c r="P302" s="967" t="e">
        <f>IF($F302="","",$F302*chronic_consumption!K302/1000/$C$3)</f>
        <v>#DIV/0!</v>
      </c>
      <c r="Q302" s="967" t="e">
        <f>IF($F302="","",$F302*chronic_consumption!L302/1000/$C$3)</f>
        <v>#DIV/0!</v>
      </c>
      <c r="R302" s="967" t="e">
        <f>IF($F302="","",$F302*chronic_consumption!M302/1000/$C$3)</f>
        <v>#DIV/0!</v>
      </c>
      <c r="S302" s="967" t="e">
        <f>IF($F302="","",$F302*chronic_consumption!N302/1000/$C$3)</f>
        <v>#DIV/0!</v>
      </c>
      <c r="T302" s="967" t="e">
        <f>IF($F302="","",$F302*chronic_consumption!O302/1000/$C$3)</f>
        <v>#DIV/0!</v>
      </c>
      <c r="U302" s="967" t="e">
        <f>IF($F302="","",$F302*chronic_consumption!P302/1000/$C$3)</f>
        <v>#DIV/0!</v>
      </c>
      <c r="V302" s="967" t="e">
        <f>IF($F302="","",$F302*chronic_consumption!Q302/1000/$C$3)</f>
        <v>#DIV/0!</v>
      </c>
      <c r="W302" s="967" t="e">
        <f>IF($F302="","",$F302*chronic_consumption!R302/1000/$C$3)</f>
        <v>#DIV/0!</v>
      </c>
      <c r="X302" s="967" t="e">
        <f>IF($F302="","",$F302*chronic_consumption!S302/1000/$C$3)</f>
        <v>#DIV/0!</v>
      </c>
      <c r="Y302" s="967" t="e">
        <f>IF($F302="","",$F302*chronic_consumption!T302/1000/$C$3)</f>
        <v>#DIV/0!</v>
      </c>
      <c r="Z302" s="967" t="e">
        <f>IF($F302="","",$F302*chronic_consumption!U302/1000/$C$3)</f>
        <v>#DIV/0!</v>
      </c>
      <c r="AA302" s="967" t="e">
        <f>IF($F302="","",$F302*chronic_consumption!V302/1000/$C$3)</f>
        <v>#DIV/0!</v>
      </c>
      <c r="AB302" s="967" t="e">
        <f>IF($F302="","",$F302*chronic_consumption!W302/1000/$C$3)</f>
        <v>#DIV/0!</v>
      </c>
      <c r="AC302" s="967" t="e">
        <f>IF($F302="","",$F302*chronic_consumption!X302/1000/$C$3)</f>
        <v>#DIV/0!</v>
      </c>
      <c r="AD302" s="967" t="e">
        <f>IF($F302="","",$F302*chronic_consumption!Y302/1000/$C$3)</f>
        <v>#DIV/0!</v>
      </c>
      <c r="AE302" s="967" t="e">
        <f>IF($F302="","",$F302*chronic_consumption!Z302/1000/$C$3)</f>
        <v>#DIV/0!</v>
      </c>
      <c r="AF302" s="967" t="e">
        <f>IF($F302="","",$F302*chronic_consumption!AA302/1000/$C$3)</f>
        <v>#DIV/0!</v>
      </c>
      <c r="AG302" s="967" t="e">
        <f>IF($F302="","",$F302*chronic_consumption!AB302/1000/$C$3)</f>
        <v>#DIV/0!</v>
      </c>
      <c r="AH302" s="967" t="e">
        <f>IF($F302="","",$F302*chronic_consumption!AC302/1000/$C$3)</f>
        <v>#DIV/0!</v>
      </c>
      <c r="AI302" s="967" t="e">
        <f>IF($F302="","",$F302*chronic_consumption!AD302/1000/$C$3)</f>
        <v>#DIV/0!</v>
      </c>
      <c r="AJ302" s="967" t="e">
        <f>IF($F302="","",$F302*chronic_consumption!AE302/1000/$C$3)</f>
        <v>#DIV/0!</v>
      </c>
      <c r="AK302" s="967" t="e">
        <f>IF($F302="","",$F302*chronic_consumption!AF302/1000/$C$3)</f>
        <v>#DIV/0!</v>
      </c>
      <c r="AL302" s="967" t="e">
        <f>IF($F302="","",$F302*chronic_consumption!AG302/1000/$C$3)</f>
        <v>#DIV/0!</v>
      </c>
      <c r="AM302" s="967" t="e">
        <f>IF($F302="","",$F302*chronic_consumption!AH302/1000/$C$3)</f>
        <v>#DIV/0!</v>
      </c>
      <c r="AN302" s="967" t="e">
        <f>IF($F302="","",$F302*chronic_consumption!AI302/1000/$C$3)</f>
        <v>#DIV/0!</v>
      </c>
      <c r="AO302" s="967" t="e">
        <f>IF($F302="","",$F302*chronic_consumption!AJ302/1000/$C$3)</f>
        <v>#DIV/0!</v>
      </c>
      <c r="AP302" s="967" t="e">
        <f>IF($F302="","",$F302*chronic_consumption!AK302/1000/$C$3)</f>
        <v>#DIV/0!</v>
      </c>
      <c r="AQ302" s="967" t="e">
        <f>IF($F302="","",$F302*chronic_consumption!AL302/1000/$C$3)</f>
        <v>#DIV/0!</v>
      </c>
      <c r="AR302" s="967" t="e">
        <f>IF($F302="","",$F302*chronic_consumption!AM302/1000/$C$3)</f>
        <v>#DIV/0!</v>
      </c>
      <c r="AS302" s="967" t="e">
        <f>IF($F302="","",$F302*chronic_consumption!AN302/1000/$C$3)</f>
        <v>#DIV/0!</v>
      </c>
      <c r="AT302" s="967" t="e">
        <f>IF($F302="","",$F302*chronic_consumption!AO302/1000/$C$3)</f>
        <v>#DIV/0!</v>
      </c>
      <c r="AU302" s="967"/>
      <c r="AV302" s="967" t="e">
        <f>IF($F302="","",$F302*chronic_consumption!AQ302/1000/$C$3)</f>
        <v>#DIV/0!</v>
      </c>
      <c r="AW302" s="967" t="e">
        <f>IF($F302="","",$F302*chronic_consumption!AR302/1000/$C$3)</f>
        <v>#DIV/0!</v>
      </c>
      <c r="AX302" s="967" t="e">
        <f>IF($F302="","",$F302*chronic_consumption!AS302/1000/$C$3)</f>
        <v>#DIV/0!</v>
      </c>
      <c r="AY302" s="967" t="e">
        <f>IF($F302="","",$F302*chronic_consumption!AT302/1000/$C$3)</f>
        <v>#DIV/0!</v>
      </c>
      <c r="AZ302" s="973"/>
      <c r="BA302" s="969" t="e">
        <f t="shared" si="23"/>
        <v>#DIV/0!</v>
      </c>
      <c r="BB302" s="970" t="e">
        <f t="shared" si="24"/>
        <v>#DIV/0!</v>
      </c>
      <c r="BC302" s="971" t="e">
        <f t="shared" ca="1" si="25"/>
        <v>#DIV/0!</v>
      </c>
      <c r="BD302" s="228">
        <f>input_values!Z302</f>
        <v>4</v>
      </c>
      <c r="BE302" s="152">
        <f>input_values!L302</f>
        <v>0</v>
      </c>
      <c r="BF302" s="972" t="str">
        <f t="shared" si="26"/>
        <v/>
      </c>
    </row>
    <row r="303" spans="1:58" ht="12" customHeight="1" outlineLevel="3" x14ac:dyDescent="0.2">
      <c r="A303" s="21">
        <v>4</v>
      </c>
      <c r="B303" s="23">
        <v>840010</v>
      </c>
      <c r="C303" s="23" t="s">
        <v>125</v>
      </c>
      <c r="D303" s="965">
        <f>Table22[[#This Row],[MRL individual commodity]]</f>
        <v>0</v>
      </c>
      <c r="E303" s="300" t="str">
        <f>Table22[[#This Row],[LOQ_label]]</f>
        <v/>
      </c>
      <c r="F303" s="966">
        <f>Table22[[#This Row],[Chronic RA input value]]</f>
        <v>0</v>
      </c>
      <c r="G303" s="304" t="str">
        <f>Table22[[#This Row],[Chronic RA label]]</f>
        <v/>
      </c>
      <c r="H303" s="304">
        <f>Table22[[#This Row],[GAP under assessment]]</f>
        <v>0</v>
      </c>
      <c r="I303" s="1123"/>
      <c r="J303" s="974" t="e">
        <f>IF($F303="","",$F303*chronic_consumption!$E303/1000/$C$3)</f>
        <v>#DIV/0!</v>
      </c>
      <c r="K303" s="974" t="e">
        <f>IF($F303="","",$F303*chronic_consumption!F303/1000/$C$3)</f>
        <v>#DIV/0!</v>
      </c>
      <c r="L303" s="974" t="e">
        <f>IF($F303="","",$F303*chronic_consumption!G303/1000/$C$3)</f>
        <v>#DIV/0!</v>
      </c>
      <c r="M303" s="974" t="e">
        <f>IF($F303="","",$F303*chronic_consumption!H303/1000/$C$3)</f>
        <v>#DIV/0!</v>
      </c>
      <c r="N303" s="974" t="e">
        <f>IF($F303="","",$F303*chronic_consumption!I303/1000/$C$3)</f>
        <v>#DIV/0!</v>
      </c>
      <c r="O303" s="974" t="e">
        <f>IF($F303="","",$F303*chronic_consumption!J303/1000/$C$3)</f>
        <v>#DIV/0!</v>
      </c>
      <c r="P303" s="974" t="e">
        <f>IF($F303="","",$F303*chronic_consumption!K303/1000/$C$3)</f>
        <v>#DIV/0!</v>
      </c>
      <c r="Q303" s="974" t="e">
        <f>IF($F303="","",$F303*chronic_consumption!L303/1000/$C$3)</f>
        <v>#DIV/0!</v>
      </c>
      <c r="R303" s="974" t="e">
        <f>IF($F303="","",$F303*chronic_consumption!M303/1000/$C$3)</f>
        <v>#DIV/0!</v>
      </c>
      <c r="S303" s="974" t="e">
        <f>IF($F303="","",$F303*chronic_consumption!N303/1000/$C$3)</f>
        <v>#DIV/0!</v>
      </c>
      <c r="T303" s="974" t="e">
        <f>IF($F303="","",$F303*chronic_consumption!O303/1000/$C$3)</f>
        <v>#DIV/0!</v>
      </c>
      <c r="U303" s="974" t="e">
        <f>IF($F303="","",$F303*chronic_consumption!P303/1000/$C$3)</f>
        <v>#DIV/0!</v>
      </c>
      <c r="V303" s="974" t="e">
        <f>IF($F303="","",$F303*chronic_consumption!Q303/1000/$C$3)</f>
        <v>#DIV/0!</v>
      </c>
      <c r="W303" s="974" t="e">
        <f>IF($F303="","",$F303*chronic_consumption!R303/1000/$C$3)</f>
        <v>#DIV/0!</v>
      </c>
      <c r="X303" s="974" t="e">
        <f>IF($F303="","",$F303*chronic_consumption!S303/1000/$C$3)</f>
        <v>#DIV/0!</v>
      </c>
      <c r="Y303" s="974" t="e">
        <f>IF($F303="","",$F303*chronic_consumption!T303/1000/$C$3)</f>
        <v>#DIV/0!</v>
      </c>
      <c r="Z303" s="974" t="e">
        <f>IF($F303="","",$F303*chronic_consumption!U303/1000/$C$3)</f>
        <v>#DIV/0!</v>
      </c>
      <c r="AA303" s="974" t="e">
        <f>IF($F303="","",$F303*chronic_consumption!V303/1000/$C$3)</f>
        <v>#DIV/0!</v>
      </c>
      <c r="AB303" s="974" t="e">
        <f>IF($F303="","",$F303*chronic_consumption!W303/1000/$C$3)</f>
        <v>#DIV/0!</v>
      </c>
      <c r="AC303" s="974" t="e">
        <f>IF($F303="","",$F303*chronic_consumption!X303/1000/$C$3)</f>
        <v>#DIV/0!</v>
      </c>
      <c r="AD303" s="974" t="e">
        <f>IF($F303="","",$F303*chronic_consumption!Y303/1000/$C$3)</f>
        <v>#DIV/0!</v>
      </c>
      <c r="AE303" s="974" t="e">
        <f>IF($F303="","",$F303*chronic_consumption!Z303/1000/$C$3)</f>
        <v>#DIV/0!</v>
      </c>
      <c r="AF303" s="974" t="e">
        <f>IF($F303="","",$F303*chronic_consumption!AA303/1000/$C$3)</f>
        <v>#DIV/0!</v>
      </c>
      <c r="AG303" s="974" t="e">
        <f>IF($F303="","",$F303*chronic_consumption!AB303/1000/$C$3)</f>
        <v>#DIV/0!</v>
      </c>
      <c r="AH303" s="974" t="e">
        <f>IF($F303="","",$F303*chronic_consumption!AC303/1000/$C$3)</f>
        <v>#DIV/0!</v>
      </c>
      <c r="AI303" s="974" t="e">
        <f>IF($F303="","",$F303*chronic_consumption!AD303/1000/$C$3)</f>
        <v>#DIV/0!</v>
      </c>
      <c r="AJ303" s="974" t="e">
        <f>IF($F303="","",$F303*chronic_consumption!AE303/1000/$C$3)</f>
        <v>#DIV/0!</v>
      </c>
      <c r="AK303" s="974" t="e">
        <f>IF($F303="","",$F303*chronic_consumption!AF303/1000/$C$3)</f>
        <v>#DIV/0!</v>
      </c>
      <c r="AL303" s="974" t="e">
        <f>IF($F303="","",$F303*chronic_consumption!AG303/1000/$C$3)</f>
        <v>#DIV/0!</v>
      </c>
      <c r="AM303" s="974" t="e">
        <f>IF($F303="","",$F303*chronic_consumption!AH303/1000/$C$3)</f>
        <v>#DIV/0!</v>
      </c>
      <c r="AN303" s="974" t="e">
        <f>IF($F303="","",$F303*chronic_consumption!AI303/1000/$C$3)</f>
        <v>#DIV/0!</v>
      </c>
      <c r="AO303" s="974" t="e">
        <f>IF($F303="","",$F303*chronic_consumption!AJ303/1000/$C$3)</f>
        <v>#DIV/0!</v>
      </c>
      <c r="AP303" s="974" t="e">
        <f>IF($F303="","",$F303*chronic_consumption!AK303/1000/$C$3)</f>
        <v>#DIV/0!</v>
      </c>
      <c r="AQ303" s="974" t="e">
        <f>IF($F303="","",$F303*chronic_consumption!AL303/1000/$C$3)</f>
        <v>#DIV/0!</v>
      </c>
      <c r="AR303" s="974" t="e">
        <f>IF($F303="","",$F303*chronic_consumption!AM303/1000/$C$3)</f>
        <v>#DIV/0!</v>
      </c>
      <c r="AS303" s="974" t="e">
        <f>IF($F303="","",$F303*chronic_consumption!AN303/1000/$C$3)</f>
        <v>#DIV/0!</v>
      </c>
      <c r="AT303" s="974" t="e">
        <f>IF($F303="","",$F303*chronic_consumption!AO303/1000/$C$3)</f>
        <v>#DIV/0!</v>
      </c>
      <c r="AU303" s="974"/>
      <c r="AV303" s="974" t="e">
        <f>IF($F303="","",$F303*chronic_consumption!AQ303/1000/$C$3)</f>
        <v>#DIV/0!</v>
      </c>
      <c r="AW303" s="974" t="e">
        <f>IF($F303="","",$F303*chronic_consumption!AR303/1000/$C$3)</f>
        <v>#DIV/0!</v>
      </c>
      <c r="AX303" s="974" t="e">
        <f>IF($F303="","",$F303*chronic_consumption!AS303/1000/$C$3)</f>
        <v>#DIV/0!</v>
      </c>
      <c r="AY303" s="974" t="e">
        <f>IF($F303="","",$F303*chronic_consumption!AT303/1000/$C$3)</f>
        <v>#DIV/0!</v>
      </c>
      <c r="AZ303" s="973" t="s">
        <v>19</v>
      </c>
      <c r="BA303" s="969" t="e">
        <f t="shared" si="23"/>
        <v>#DIV/0!</v>
      </c>
      <c r="BB303" s="970" t="e">
        <f t="shared" si="24"/>
        <v>#DIV/0!</v>
      </c>
      <c r="BC303" s="971" t="e">
        <f t="shared" ca="1" si="25"/>
        <v>#DIV/0!</v>
      </c>
      <c r="BD303" s="228">
        <f>input_values!Z303</f>
        <v>4</v>
      </c>
      <c r="BE303" s="152">
        <f>input_values!L303</f>
        <v>0</v>
      </c>
      <c r="BF303" s="972" t="str">
        <f t="shared" si="26"/>
        <v/>
      </c>
    </row>
    <row r="304" spans="1:58" ht="12" customHeight="1" outlineLevel="3" x14ac:dyDescent="0.2">
      <c r="A304" s="21">
        <v>4</v>
      </c>
      <c r="B304" s="23">
        <v>840020</v>
      </c>
      <c r="C304" s="23" t="s">
        <v>126</v>
      </c>
      <c r="D304" s="965">
        <f>Table22[[#This Row],[MRL individual commodity]]</f>
        <v>0</v>
      </c>
      <c r="E304" s="300" t="str">
        <f>Table22[[#This Row],[LOQ_label]]</f>
        <v/>
      </c>
      <c r="F304" s="966">
        <f>Table22[[#This Row],[Chronic RA input value]]</f>
        <v>0</v>
      </c>
      <c r="G304" s="304" t="str">
        <f>Table22[[#This Row],[Chronic RA label]]</f>
        <v/>
      </c>
      <c r="H304" s="304">
        <f>Table22[[#This Row],[GAP under assessment]]</f>
        <v>0</v>
      </c>
      <c r="I304" s="1123"/>
      <c r="J304" s="974" t="e">
        <f>IF($F304="","",$F304*chronic_consumption!$E304/1000/$C$3)</f>
        <v>#DIV/0!</v>
      </c>
      <c r="K304" s="974" t="e">
        <f>IF($F304="","",$F304*chronic_consumption!F304/1000/$C$3)</f>
        <v>#DIV/0!</v>
      </c>
      <c r="L304" s="974" t="e">
        <f>IF($F304="","",$F304*chronic_consumption!G304/1000/$C$3)</f>
        <v>#DIV/0!</v>
      </c>
      <c r="M304" s="974" t="e">
        <f>IF($F304="","",$F304*chronic_consumption!H304/1000/$C$3)</f>
        <v>#DIV/0!</v>
      </c>
      <c r="N304" s="974" t="e">
        <f>IF($F304="","",$F304*chronic_consumption!I304/1000/$C$3)</f>
        <v>#DIV/0!</v>
      </c>
      <c r="O304" s="974" t="e">
        <f>IF($F304="","",$F304*chronic_consumption!J304/1000/$C$3)</f>
        <v>#DIV/0!</v>
      </c>
      <c r="P304" s="974" t="e">
        <f>IF($F304="","",$F304*chronic_consumption!K304/1000/$C$3)</f>
        <v>#DIV/0!</v>
      </c>
      <c r="Q304" s="974" t="e">
        <f>IF($F304="","",$F304*chronic_consumption!L304/1000/$C$3)</f>
        <v>#DIV/0!</v>
      </c>
      <c r="R304" s="974" t="e">
        <f>IF($F304="","",$F304*chronic_consumption!M304/1000/$C$3)</f>
        <v>#DIV/0!</v>
      </c>
      <c r="S304" s="974" t="e">
        <f>IF($F304="","",$F304*chronic_consumption!N304/1000/$C$3)</f>
        <v>#DIV/0!</v>
      </c>
      <c r="T304" s="974" t="e">
        <f>IF($F304="","",$F304*chronic_consumption!O304/1000/$C$3)</f>
        <v>#DIV/0!</v>
      </c>
      <c r="U304" s="974" t="e">
        <f>IF($F304="","",$F304*chronic_consumption!P304/1000/$C$3)</f>
        <v>#DIV/0!</v>
      </c>
      <c r="V304" s="974" t="e">
        <f>IF($F304="","",$F304*chronic_consumption!Q304/1000/$C$3)</f>
        <v>#DIV/0!</v>
      </c>
      <c r="W304" s="974" t="e">
        <f>IF($F304="","",$F304*chronic_consumption!R304/1000/$C$3)</f>
        <v>#DIV/0!</v>
      </c>
      <c r="X304" s="974" t="e">
        <f>IF($F304="","",$F304*chronic_consumption!S304/1000/$C$3)</f>
        <v>#DIV/0!</v>
      </c>
      <c r="Y304" s="974" t="e">
        <f>IF($F304="","",$F304*chronic_consumption!T304/1000/$C$3)</f>
        <v>#DIV/0!</v>
      </c>
      <c r="Z304" s="974" t="e">
        <f>IF($F304="","",$F304*chronic_consumption!U304/1000/$C$3)</f>
        <v>#DIV/0!</v>
      </c>
      <c r="AA304" s="974" t="e">
        <f>IF($F304="","",$F304*chronic_consumption!V304/1000/$C$3)</f>
        <v>#DIV/0!</v>
      </c>
      <c r="AB304" s="974" t="e">
        <f>IF($F304="","",$F304*chronic_consumption!W304/1000/$C$3)</f>
        <v>#DIV/0!</v>
      </c>
      <c r="AC304" s="974" t="e">
        <f>IF($F304="","",$F304*chronic_consumption!X304/1000/$C$3)</f>
        <v>#DIV/0!</v>
      </c>
      <c r="AD304" s="974" t="e">
        <f>IF($F304="","",$F304*chronic_consumption!Y304/1000/$C$3)</f>
        <v>#DIV/0!</v>
      </c>
      <c r="AE304" s="974" t="e">
        <f>IF($F304="","",$F304*chronic_consumption!Z304/1000/$C$3)</f>
        <v>#DIV/0!</v>
      </c>
      <c r="AF304" s="974" t="e">
        <f>IF($F304="","",$F304*chronic_consumption!AA304/1000/$C$3)</f>
        <v>#DIV/0!</v>
      </c>
      <c r="AG304" s="974" t="e">
        <f>IF($F304="","",$F304*chronic_consumption!AB304/1000/$C$3)</f>
        <v>#DIV/0!</v>
      </c>
      <c r="AH304" s="974" t="e">
        <f>IF($F304="","",$F304*chronic_consumption!AC304/1000/$C$3)</f>
        <v>#DIV/0!</v>
      </c>
      <c r="AI304" s="974" t="e">
        <f>IF($F304="","",$F304*chronic_consumption!AD304/1000/$C$3)</f>
        <v>#DIV/0!</v>
      </c>
      <c r="AJ304" s="974" t="e">
        <f>IF($F304="","",$F304*chronic_consumption!AE304/1000/$C$3)</f>
        <v>#DIV/0!</v>
      </c>
      <c r="AK304" s="974" t="e">
        <f>IF($F304="","",$F304*chronic_consumption!AF304/1000/$C$3)</f>
        <v>#DIV/0!</v>
      </c>
      <c r="AL304" s="974" t="e">
        <f>IF($F304="","",$F304*chronic_consumption!AG304/1000/$C$3)</f>
        <v>#DIV/0!</v>
      </c>
      <c r="AM304" s="974" t="e">
        <f>IF($F304="","",$F304*chronic_consumption!AH304/1000/$C$3)</f>
        <v>#DIV/0!</v>
      </c>
      <c r="AN304" s="974" t="e">
        <f>IF($F304="","",$F304*chronic_consumption!AI304/1000/$C$3)</f>
        <v>#DIV/0!</v>
      </c>
      <c r="AO304" s="974" t="e">
        <f>IF($F304="","",$F304*chronic_consumption!AJ304/1000/$C$3)</f>
        <v>#DIV/0!</v>
      </c>
      <c r="AP304" s="974" t="e">
        <f>IF($F304="","",$F304*chronic_consumption!AK304/1000/$C$3)</f>
        <v>#DIV/0!</v>
      </c>
      <c r="AQ304" s="974" t="e">
        <f>IF($F304="","",$F304*chronic_consumption!AL304/1000/$C$3)</f>
        <v>#DIV/0!</v>
      </c>
      <c r="AR304" s="974" t="e">
        <f>IF($F304="","",$F304*chronic_consumption!AM304/1000/$C$3)</f>
        <v>#DIV/0!</v>
      </c>
      <c r="AS304" s="974" t="e">
        <f>IF($F304="","",$F304*chronic_consumption!AN304/1000/$C$3)</f>
        <v>#DIV/0!</v>
      </c>
      <c r="AT304" s="974" t="e">
        <f>IF($F304="","",$F304*chronic_consumption!AO304/1000/$C$3)</f>
        <v>#DIV/0!</v>
      </c>
      <c r="AU304" s="974"/>
      <c r="AV304" s="974" t="e">
        <f>IF($F304="","",$F304*chronic_consumption!AQ304/1000/$C$3)</f>
        <v>#DIV/0!</v>
      </c>
      <c r="AW304" s="974" t="e">
        <f>IF($F304="","",$F304*chronic_consumption!AR304/1000/$C$3)</f>
        <v>#DIV/0!</v>
      </c>
      <c r="AX304" s="974" t="e">
        <f>IF($F304="","",$F304*chronic_consumption!AS304/1000/$C$3)</f>
        <v>#DIV/0!</v>
      </c>
      <c r="AY304" s="974" t="e">
        <f>IF($F304="","",$F304*chronic_consumption!AT304/1000/$C$3)</f>
        <v>#DIV/0!</v>
      </c>
      <c r="AZ304" s="973" t="s">
        <v>19</v>
      </c>
      <c r="BA304" s="969" t="e">
        <f t="shared" si="23"/>
        <v>#DIV/0!</v>
      </c>
      <c r="BB304" s="970" t="e">
        <f t="shared" si="24"/>
        <v>#DIV/0!</v>
      </c>
      <c r="BC304" s="971" t="e">
        <f t="shared" ca="1" si="25"/>
        <v>#DIV/0!</v>
      </c>
      <c r="BD304" s="228">
        <f>input_values!Z304</f>
        <v>4</v>
      </c>
      <c r="BE304" s="152">
        <f>input_values!L304</f>
        <v>0</v>
      </c>
      <c r="BF304" s="972" t="str">
        <f t="shared" si="26"/>
        <v/>
      </c>
    </row>
    <row r="305" spans="1:58" ht="12" customHeight="1" outlineLevel="3" x14ac:dyDescent="0.2">
      <c r="A305" s="21">
        <v>4</v>
      </c>
      <c r="B305" s="23">
        <v>840030</v>
      </c>
      <c r="C305" s="23" t="s">
        <v>784</v>
      </c>
      <c r="D305" s="965">
        <f>Table22[[#This Row],[MRL individual commodity]]</f>
        <v>0</v>
      </c>
      <c r="E305" s="300" t="str">
        <f>Table22[[#This Row],[LOQ_label]]</f>
        <v/>
      </c>
      <c r="F305" s="966">
        <f>Table22[[#This Row],[Chronic RA input value]]</f>
        <v>0</v>
      </c>
      <c r="G305" s="304" t="str">
        <f>Table22[[#This Row],[Chronic RA label]]</f>
        <v/>
      </c>
      <c r="H305" s="304">
        <f>Table22[[#This Row],[GAP under assessment]]</f>
        <v>0</v>
      </c>
      <c r="I305" s="1123"/>
      <c r="J305" s="974" t="e">
        <f>IF($F305="","",$F305*chronic_consumption!$E305/1000/$C$3)</f>
        <v>#DIV/0!</v>
      </c>
      <c r="K305" s="974" t="e">
        <f>IF($F305="","",$F305*chronic_consumption!F305/1000/$C$3)</f>
        <v>#DIV/0!</v>
      </c>
      <c r="L305" s="974" t="e">
        <f>IF($F305="","",$F305*chronic_consumption!G305/1000/$C$3)</f>
        <v>#DIV/0!</v>
      </c>
      <c r="M305" s="974" t="e">
        <f>IF($F305="","",$F305*chronic_consumption!H305/1000/$C$3)</f>
        <v>#DIV/0!</v>
      </c>
      <c r="N305" s="974" t="e">
        <f>IF($F305="","",$F305*chronic_consumption!I305/1000/$C$3)</f>
        <v>#DIV/0!</v>
      </c>
      <c r="O305" s="974" t="e">
        <f>IF($F305="","",$F305*chronic_consumption!J305/1000/$C$3)</f>
        <v>#DIV/0!</v>
      </c>
      <c r="P305" s="974" t="e">
        <f>IF($F305="","",$F305*chronic_consumption!K305/1000/$C$3)</f>
        <v>#DIV/0!</v>
      </c>
      <c r="Q305" s="974" t="e">
        <f>IF($F305="","",$F305*chronic_consumption!L305/1000/$C$3)</f>
        <v>#DIV/0!</v>
      </c>
      <c r="R305" s="974" t="e">
        <f>IF($F305="","",$F305*chronic_consumption!M305/1000/$C$3)</f>
        <v>#DIV/0!</v>
      </c>
      <c r="S305" s="974" t="e">
        <f>IF($F305="","",$F305*chronic_consumption!N305/1000/$C$3)</f>
        <v>#DIV/0!</v>
      </c>
      <c r="T305" s="974" t="e">
        <f>IF($F305="","",$F305*chronic_consumption!O305/1000/$C$3)</f>
        <v>#DIV/0!</v>
      </c>
      <c r="U305" s="974" t="e">
        <f>IF($F305="","",$F305*chronic_consumption!P305/1000/$C$3)</f>
        <v>#DIV/0!</v>
      </c>
      <c r="V305" s="974" t="e">
        <f>IF($F305="","",$F305*chronic_consumption!Q305/1000/$C$3)</f>
        <v>#DIV/0!</v>
      </c>
      <c r="W305" s="974" t="e">
        <f>IF($F305="","",$F305*chronic_consumption!R305/1000/$C$3)</f>
        <v>#DIV/0!</v>
      </c>
      <c r="X305" s="974" t="e">
        <f>IF($F305="","",$F305*chronic_consumption!S305/1000/$C$3)</f>
        <v>#DIV/0!</v>
      </c>
      <c r="Y305" s="974" t="e">
        <f>IF($F305="","",$F305*chronic_consumption!T305/1000/$C$3)</f>
        <v>#DIV/0!</v>
      </c>
      <c r="Z305" s="974" t="e">
        <f>IF($F305="","",$F305*chronic_consumption!U305/1000/$C$3)</f>
        <v>#DIV/0!</v>
      </c>
      <c r="AA305" s="974" t="e">
        <f>IF($F305="","",$F305*chronic_consumption!V305/1000/$C$3)</f>
        <v>#DIV/0!</v>
      </c>
      <c r="AB305" s="974" t="e">
        <f>IF($F305="","",$F305*chronic_consumption!W305/1000/$C$3)</f>
        <v>#DIV/0!</v>
      </c>
      <c r="AC305" s="974" t="e">
        <f>IF($F305="","",$F305*chronic_consumption!X305/1000/$C$3)</f>
        <v>#DIV/0!</v>
      </c>
      <c r="AD305" s="974" t="e">
        <f>IF($F305="","",$F305*chronic_consumption!Y305/1000/$C$3)</f>
        <v>#DIV/0!</v>
      </c>
      <c r="AE305" s="974" t="e">
        <f>IF($F305="","",$F305*chronic_consumption!Z305/1000/$C$3)</f>
        <v>#DIV/0!</v>
      </c>
      <c r="AF305" s="974" t="e">
        <f>IF($F305="","",$F305*chronic_consumption!AA305/1000/$C$3)</f>
        <v>#DIV/0!</v>
      </c>
      <c r="AG305" s="974" t="e">
        <f>IF($F305="","",$F305*chronic_consumption!AB305/1000/$C$3)</f>
        <v>#DIV/0!</v>
      </c>
      <c r="AH305" s="974" t="e">
        <f>IF($F305="","",$F305*chronic_consumption!AC305/1000/$C$3)</f>
        <v>#DIV/0!</v>
      </c>
      <c r="AI305" s="974" t="e">
        <f>IF($F305="","",$F305*chronic_consumption!AD305/1000/$C$3)</f>
        <v>#DIV/0!</v>
      </c>
      <c r="AJ305" s="974" t="e">
        <f>IF($F305="","",$F305*chronic_consumption!AE305/1000/$C$3)</f>
        <v>#DIV/0!</v>
      </c>
      <c r="AK305" s="974" t="e">
        <f>IF($F305="","",$F305*chronic_consumption!AF305/1000/$C$3)</f>
        <v>#DIV/0!</v>
      </c>
      <c r="AL305" s="974" t="e">
        <f>IF($F305="","",$F305*chronic_consumption!AG305/1000/$C$3)</f>
        <v>#DIV/0!</v>
      </c>
      <c r="AM305" s="974" t="e">
        <f>IF($F305="","",$F305*chronic_consumption!AH305/1000/$C$3)</f>
        <v>#DIV/0!</v>
      </c>
      <c r="AN305" s="974" t="e">
        <f>IF($F305="","",$F305*chronic_consumption!AI305/1000/$C$3)</f>
        <v>#DIV/0!</v>
      </c>
      <c r="AO305" s="974" t="e">
        <f>IF($F305="","",$F305*chronic_consumption!AJ305/1000/$C$3)</f>
        <v>#DIV/0!</v>
      </c>
      <c r="AP305" s="974" t="e">
        <f>IF($F305="","",$F305*chronic_consumption!AK305/1000/$C$3)</f>
        <v>#DIV/0!</v>
      </c>
      <c r="AQ305" s="974" t="e">
        <f>IF($F305="","",$F305*chronic_consumption!AL305/1000/$C$3)</f>
        <v>#DIV/0!</v>
      </c>
      <c r="AR305" s="974" t="e">
        <f>IF($F305="","",$F305*chronic_consumption!AM305/1000/$C$3)</f>
        <v>#DIV/0!</v>
      </c>
      <c r="AS305" s="974" t="e">
        <f>IF($F305="","",$F305*chronic_consumption!AN305/1000/$C$3)</f>
        <v>#DIV/0!</v>
      </c>
      <c r="AT305" s="974" t="e">
        <f>IF($F305="","",$F305*chronic_consumption!AO305/1000/$C$3)</f>
        <v>#DIV/0!</v>
      </c>
      <c r="AU305" s="974"/>
      <c r="AV305" s="974" t="e">
        <f>IF($F305="","",$F305*chronic_consumption!AQ305/1000/$C$3)</f>
        <v>#DIV/0!</v>
      </c>
      <c r="AW305" s="974" t="e">
        <f>IF($F305="","",$F305*chronic_consumption!AR305/1000/$C$3)</f>
        <v>#DIV/0!</v>
      </c>
      <c r="AX305" s="974" t="e">
        <f>IF($F305="","",$F305*chronic_consumption!AS305/1000/$C$3)</f>
        <v>#DIV/0!</v>
      </c>
      <c r="AY305" s="974" t="e">
        <f>IF($F305="","",$F305*chronic_consumption!AT305/1000/$C$3)</f>
        <v>#DIV/0!</v>
      </c>
      <c r="AZ305" s="973" t="s">
        <v>19</v>
      </c>
      <c r="BA305" s="969" t="e">
        <f t="shared" si="23"/>
        <v>#DIV/0!</v>
      </c>
      <c r="BB305" s="970" t="e">
        <f t="shared" si="24"/>
        <v>#DIV/0!</v>
      </c>
      <c r="BC305" s="971" t="e">
        <f t="shared" ca="1" si="25"/>
        <v>#DIV/0!</v>
      </c>
      <c r="BD305" s="228">
        <f>input_values!Z305</f>
        <v>4</v>
      </c>
      <c r="BE305" s="152">
        <f>input_values!L305</f>
        <v>0</v>
      </c>
      <c r="BF305" s="972" t="str">
        <f t="shared" si="26"/>
        <v/>
      </c>
    </row>
    <row r="306" spans="1:58" ht="12" customHeight="1" outlineLevel="3" x14ac:dyDescent="0.2">
      <c r="A306" s="21">
        <v>4</v>
      </c>
      <c r="B306" s="23">
        <v>840040</v>
      </c>
      <c r="C306" s="23" t="s">
        <v>185</v>
      </c>
      <c r="D306" s="965">
        <f>Table22[[#This Row],[MRL individual commodity]]</f>
        <v>0</v>
      </c>
      <c r="E306" s="300" t="str">
        <f>Table22[[#This Row],[LOQ_label]]</f>
        <v/>
      </c>
      <c r="F306" s="966">
        <f>Table22[[#This Row],[Chronic RA input value]]</f>
        <v>0</v>
      </c>
      <c r="G306" s="304" t="str">
        <f>Table22[[#This Row],[Chronic RA label]]</f>
        <v/>
      </c>
      <c r="H306" s="304">
        <f>Table22[[#This Row],[GAP under assessment]]</f>
        <v>0</v>
      </c>
      <c r="I306" s="1123"/>
      <c r="J306" s="974" t="e">
        <f>IF($F306="","",$F306*chronic_consumption!$E306/1000/$C$3)</f>
        <v>#DIV/0!</v>
      </c>
      <c r="K306" s="974" t="e">
        <f>IF($F306="","",$F306*chronic_consumption!F306/1000/$C$3)</f>
        <v>#DIV/0!</v>
      </c>
      <c r="L306" s="974" t="e">
        <f>IF($F306="","",$F306*chronic_consumption!G306/1000/$C$3)</f>
        <v>#DIV/0!</v>
      </c>
      <c r="M306" s="974" t="e">
        <f>IF($F306="","",$F306*chronic_consumption!H306/1000/$C$3)</f>
        <v>#DIV/0!</v>
      </c>
      <c r="N306" s="974" t="e">
        <f>IF($F306="","",$F306*chronic_consumption!I306/1000/$C$3)</f>
        <v>#DIV/0!</v>
      </c>
      <c r="O306" s="974" t="e">
        <f>IF($F306="","",$F306*chronic_consumption!J306/1000/$C$3)</f>
        <v>#DIV/0!</v>
      </c>
      <c r="P306" s="974" t="e">
        <f>IF($F306="","",$F306*chronic_consumption!K306/1000/$C$3)</f>
        <v>#DIV/0!</v>
      </c>
      <c r="Q306" s="974" t="e">
        <f>IF($F306="","",$F306*chronic_consumption!L306/1000/$C$3)</f>
        <v>#DIV/0!</v>
      </c>
      <c r="R306" s="974" t="e">
        <f>IF($F306="","",$F306*chronic_consumption!M306/1000/$C$3)</f>
        <v>#DIV/0!</v>
      </c>
      <c r="S306" s="974" t="e">
        <f>IF($F306="","",$F306*chronic_consumption!N306/1000/$C$3)</f>
        <v>#DIV/0!</v>
      </c>
      <c r="T306" s="974" t="e">
        <f>IF($F306="","",$F306*chronic_consumption!O306/1000/$C$3)</f>
        <v>#DIV/0!</v>
      </c>
      <c r="U306" s="974" t="e">
        <f>IF($F306="","",$F306*chronic_consumption!P306/1000/$C$3)</f>
        <v>#DIV/0!</v>
      </c>
      <c r="V306" s="974" t="e">
        <f>IF($F306="","",$F306*chronic_consumption!Q306/1000/$C$3)</f>
        <v>#DIV/0!</v>
      </c>
      <c r="W306" s="974" t="e">
        <f>IF($F306="","",$F306*chronic_consumption!R306/1000/$C$3)</f>
        <v>#DIV/0!</v>
      </c>
      <c r="X306" s="974" t="e">
        <f>IF($F306="","",$F306*chronic_consumption!S306/1000/$C$3)</f>
        <v>#DIV/0!</v>
      </c>
      <c r="Y306" s="974" t="e">
        <f>IF($F306="","",$F306*chronic_consumption!T306/1000/$C$3)</f>
        <v>#DIV/0!</v>
      </c>
      <c r="Z306" s="974" t="e">
        <f>IF($F306="","",$F306*chronic_consumption!U306/1000/$C$3)</f>
        <v>#DIV/0!</v>
      </c>
      <c r="AA306" s="974" t="e">
        <f>IF($F306="","",$F306*chronic_consumption!V306/1000/$C$3)</f>
        <v>#DIV/0!</v>
      </c>
      <c r="AB306" s="974" t="e">
        <f>IF($F306="","",$F306*chronic_consumption!W306/1000/$C$3)</f>
        <v>#DIV/0!</v>
      </c>
      <c r="AC306" s="974" t="e">
        <f>IF($F306="","",$F306*chronic_consumption!X306/1000/$C$3)</f>
        <v>#DIV/0!</v>
      </c>
      <c r="AD306" s="974" t="e">
        <f>IF($F306="","",$F306*chronic_consumption!Y306/1000/$C$3)</f>
        <v>#DIV/0!</v>
      </c>
      <c r="AE306" s="974" t="e">
        <f>IF($F306="","",$F306*chronic_consumption!Z306/1000/$C$3)</f>
        <v>#DIV/0!</v>
      </c>
      <c r="AF306" s="974" t="e">
        <f>IF($F306="","",$F306*chronic_consumption!AA306/1000/$C$3)</f>
        <v>#DIV/0!</v>
      </c>
      <c r="AG306" s="974" t="e">
        <f>IF($F306="","",$F306*chronic_consumption!AB306/1000/$C$3)</f>
        <v>#DIV/0!</v>
      </c>
      <c r="AH306" s="974" t="e">
        <f>IF($F306="","",$F306*chronic_consumption!AC306/1000/$C$3)</f>
        <v>#DIV/0!</v>
      </c>
      <c r="AI306" s="974" t="e">
        <f>IF($F306="","",$F306*chronic_consumption!AD306/1000/$C$3)</f>
        <v>#DIV/0!</v>
      </c>
      <c r="AJ306" s="974" t="e">
        <f>IF($F306="","",$F306*chronic_consumption!AE306/1000/$C$3)</f>
        <v>#DIV/0!</v>
      </c>
      <c r="AK306" s="974" t="e">
        <f>IF($F306="","",$F306*chronic_consumption!AF306/1000/$C$3)</f>
        <v>#DIV/0!</v>
      </c>
      <c r="AL306" s="974" t="e">
        <f>IF($F306="","",$F306*chronic_consumption!AG306/1000/$C$3)</f>
        <v>#DIV/0!</v>
      </c>
      <c r="AM306" s="974" t="e">
        <f>IF($F306="","",$F306*chronic_consumption!AH306/1000/$C$3)</f>
        <v>#DIV/0!</v>
      </c>
      <c r="AN306" s="974" t="e">
        <f>IF($F306="","",$F306*chronic_consumption!AI306/1000/$C$3)</f>
        <v>#DIV/0!</v>
      </c>
      <c r="AO306" s="974" t="e">
        <f>IF($F306="","",$F306*chronic_consumption!AJ306/1000/$C$3)</f>
        <v>#DIV/0!</v>
      </c>
      <c r="AP306" s="974" t="e">
        <f>IF($F306="","",$F306*chronic_consumption!AK306/1000/$C$3)</f>
        <v>#DIV/0!</v>
      </c>
      <c r="AQ306" s="974" t="e">
        <f>IF($F306="","",$F306*chronic_consumption!AL306/1000/$C$3)</f>
        <v>#DIV/0!</v>
      </c>
      <c r="AR306" s="974" t="e">
        <f>IF($F306="","",$F306*chronic_consumption!AM306/1000/$C$3)</f>
        <v>#DIV/0!</v>
      </c>
      <c r="AS306" s="974" t="e">
        <f>IF($F306="","",$F306*chronic_consumption!AN306/1000/$C$3)</f>
        <v>#DIV/0!</v>
      </c>
      <c r="AT306" s="974" t="e">
        <f>IF($F306="","",$F306*chronic_consumption!AO306/1000/$C$3)</f>
        <v>#DIV/0!</v>
      </c>
      <c r="AU306" s="974"/>
      <c r="AV306" s="974" t="e">
        <f>IF($F306="","",$F306*chronic_consumption!AQ306/1000/$C$3)</f>
        <v>#DIV/0!</v>
      </c>
      <c r="AW306" s="974" t="e">
        <f>IF($F306="","",$F306*chronic_consumption!AR306/1000/$C$3)</f>
        <v>#DIV/0!</v>
      </c>
      <c r="AX306" s="974" t="e">
        <f>IF($F306="","",$F306*chronic_consumption!AS306/1000/$C$3)</f>
        <v>#DIV/0!</v>
      </c>
      <c r="AY306" s="974" t="e">
        <f>IF($F306="","",$F306*chronic_consumption!AT306/1000/$C$3)</f>
        <v>#DIV/0!</v>
      </c>
      <c r="AZ306" s="973" t="s">
        <v>19</v>
      </c>
      <c r="BA306" s="969" t="e">
        <f t="shared" si="23"/>
        <v>#DIV/0!</v>
      </c>
      <c r="BB306" s="970" t="e">
        <f t="shared" si="24"/>
        <v>#DIV/0!</v>
      </c>
      <c r="BC306" s="971" t="e">
        <f t="shared" ca="1" si="25"/>
        <v>#DIV/0!</v>
      </c>
      <c r="BD306" s="228">
        <f>input_values!Z306</f>
        <v>4</v>
      </c>
      <c r="BE306" s="152">
        <f>input_values!L306</f>
        <v>0</v>
      </c>
      <c r="BF306" s="972" t="str">
        <f t="shared" si="26"/>
        <v/>
      </c>
    </row>
    <row r="307" spans="1:58" ht="12" customHeight="1" outlineLevel="3" x14ac:dyDescent="0.2">
      <c r="A307" s="21">
        <v>4</v>
      </c>
      <c r="B307" s="23">
        <v>840990</v>
      </c>
      <c r="C307" s="23" t="s">
        <v>186</v>
      </c>
      <c r="D307" s="965">
        <f>Table22[[#This Row],[MRL individual commodity]]</f>
        <v>0</v>
      </c>
      <c r="E307" s="300" t="str">
        <f>Table22[[#This Row],[LOQ_label]]</f>
        <v/>
      </c>
      <c r="F307" s="966">
        <f>Table22[[#This Row],[Chronic RA input value]]</f>
        <v>0</v>
      </c>
      <c r="G307" s="304" t="str">
        <f>Table22[[#This Row],[Chronic RA label]]</f>
        <v/>
      </c>
      <c r="H307" s="304">
        <f>Table22[[#This Row],[GAP under assessment]]</f>
        <v>0</v>
      </c>
      <c r="I307" s="1123"/>
      <c r="J307" s="974" t="e">
        <f>IF($F307="","",$F307*chronic_consumption!$E307/1000/$C$3)</f>
        <v>#DIV/0!</v>
      </c>
      <c r="K307" s="974" t="e">
        <f>IF($F307="","",$F307*chronic_consumption!F307/1000/$C$3)</f>
        <v>#DIV/0!</v>
      </c>
      <c r="L307" s="974" t="e">
        <f>IF($F307="","",$F307*chronic_consumption!G307/1000/$C$3)</f>
        <v>#DIV/0!</v>
      </c>
      <c r="M307" s="974" t="e">
        <f>IF($F307="","",$F307*chronic_consumption!H307/1000/$C$3)</f>
        <v>#DIV/0!</v>
      </c>
      <c r="N307" s="974" t="e">
        <f>IF($F307="","",$F307*chronic_consumption!I307/1000/$C$3)</f>
        <v>#DIV/0!</v>
      </c>
      <c r="O307" s="974" t="e">
        <f>IF($F307="","",$F307*chronic_consumption!J307/1000/$C$3)</f>
        <v>#DIV/0!</v>
      </c>
      <c r="P307" s="974" t="e">
        <f>IF($F307="","",$F307*chronic_consumption!K307/1000/$C$3)</f>
        <v>#DIV/0!</v>
      </c>
      <c r="Q307" s="974" t="e">
        <f>IF($F307="","",$F307*chronic_consumption!L307/1000/$C$3)</f>
        <v>#DIV/0!</v>
      </c>
      <c r="R307" s="974" t="e">
        <f>IF($F307="","",$F307*chronic_consumption!M307/1000/$C$3)</f>
        <v>#DIV/0!</v>
      </c>
      <c r="S307" s="974" t="e">
        <f>IF($F307="","",$F307*chronic_consumption!N307/1000/$C$3)</f>
        <v>#DIV/0!</v>
      </c>
      <c r="T307" s="974" t="e">
        <f>IF($F307="","",$F307*chronic_consumption!O307/1000/$C$3)</f>
        <v>#DIV/0!</v>
      </c>
      <c r="U307" s="974" t="e">
        <f>IF($F307="","",$F307*chronic_consumption!P307/1000/$C$3)</f>
        <v>#DIV/0!</v>
      </c>
      <c r="V307" s="974" t="e">
        <f>IF($F307="","",$F307*chronic_consumption!Q307/1000/$C$3)</f>
        <v>#DIV/0!</v>
      </c>
      <c r="W307" s="974" t="e">
        <f>IF($F307="","",$F307*chronic_consumption!R307/1000/$C$3)</f>
        <v>#DIV/0!</v>
      </c>
      <c r="X307" s="974" t="e">
        <f>IF($F307="","",$F307*chronic_consumption!S307/1000/$C$3)</f>
        <v>#DIV/0!</v>
      </c>
      <c r="Y307" s="974" t="e">
        <f>IF($F307="","",$F307*chronic_consumption!T307/1000/$C$3)</f>
        <v>#DIV/0!</v>
      </c>
      <c r="Z307" s="974" t="e">
        <f>IF($F307="","",$F307*chronic_consumption!U307/1000/$C$3)</f>
        <v>#DIV/0!</v>
      </c>
      <c r="AA307" s="974" t="e">
        <f>IF($F307="","",$F307*chronic_consumption!V307/1000/$C$3)</f>
        <v>#DIV/0!</v>
      </c>
      <c r="AB307" s="974" t="e">
        <f>IF($F307="","",$F307*chronic_consumption!W307/1000/$C$3)</f>
        <v>#DIV/0!</v>
      </c>
      <c r="AC307" s="974" t="e">
        <f>IF($F307="","",$F307*chronic_consumption!X307/1000/$C$3)</f>
        <v>#DIV/0!</v>
      </c>
      <c r="AD307" s="974" t="e">
        <f>IF($F307="","",$F307*chronic_consumption!Y307/1000/$C$3)</f>
        <v>#DIV/0!</v>
      </c>
      <c r="AE307" s="974" t="e">
        <f>IF($F307="","",$F307*chronic_consumption!Z307/1000/$C$3)</f>
        <v>#DIV/0!</v>
      </c>
      <c r="AF307" s="974" t="e">
        <f>IF($F307="","",$F307*chronic_consumption!AA307/1000/$C$3)</f>
        <v>#DIV/0!</v>
      </c>
      <c r="AG307" s="974" t="e">
        <f>IF($F307="","",$F307*chronic_consumption!AB307/1000/$C$3)</f>
        <v>#DIV/0!</v>
      </c>
      <c r="AH307" s="974" t="e">
        <f>IF($F307="","",$F307*chronic_consumption!AC307/1000/$C$3)</f>
        <v>#DIV/0!</v>
      </c>
      <c r="AI307" s="974" t="e">
        <f>IF($F307="","",$F307*chronic_consumption!AD307/1000/$C$3)</f>
        <v>#DIV/0!</v>
      </c>
      <c r="AJ307" s="974" t="e">
        <f>IF($F307="","",$F307*chronic_consumption!AE307/1000/$C$3)</f>
        <v>#DIV/0!</v>
      </c>
      <c r="AK307" s="974" t="e">
        <f>IF($F307="","",$F307*chronic_consumption!AF307/1000/$C$3)</f>
        <v>#DIV/0!</v>
      </c>
      <c r="AL307" s="974" t="e">
        <f>IF($F307="","",$F307*chronic_consumption!AG307/1000/$C$3)</f>
        <v>#DIV/0!</v>
      </c>
      <c r="AM307" s="974" t="e">
        <f>IF($F307="","",$F307*chronic_consumption!AH307/1000/$C$3)</f>
        <v>#DIV/0!</v>
      </c>
      <c r="AN307" s="974" t="e">
        <f>IF($F307="","",$F307*chronic_consumption!AI307/1000/$C$3)</f>
        <v>#DIV/0!</v>
      </c>
      <c r="AO307" s="974" t="e">
        <f>IF($F307="","",$F307*chronic_consumption!AJ307/1000/$C$3)</f>
        <v>#DIV/0!</v>
      </c>
      <c r="AP307" s="974" t="e">
        <f>IF($F307="","",$F307*chronic_consumption!AK307/1000/$C$3)</f>
        <v>#DIV/0!</v>
      </c>
      <c r="AQ307" s="974" t="e">
        <f>IF($F307="","",$F307*chronic_consumption!AL307/1000/$C$3)</f>
        <v>#DIV/0!</v>
      </c>
      <c r="AR307" s="974" t="e">
        <f>IF($F307="","",$F307*chronic_consumption!AM307/1000/$C$3)</f>
        <v>#DIV/0!</v>
      </c>
      <c r="AS307" s="974" t="e">
        <f>IF($F307="","",$F307*chronic_consumption!AN307/1000/$C$3)</f>
        <v>#DIV/0!</v>
      </c>
      <c r="AT307" s="974" t="e">
        <f>IF($F307="","",$F307*chronic_consumption!AO307/1000/$C$3)</f>
        <v>#DIV/0!</v>
      </c>
      <c r="AU307" s="974"/>
      <c r="AV307" s="974" t="e">
        <f>IF($F307="","",$F307*chronic_consumption!AQ307/1000/$C$3)</f>
        <v>#DIV/0!</v>
      </c>
      <c r="AW307" s="974" t="e">
        <f>IF($F307="","",$F307*chronic_consumption!AR307/1000/$C$3)</f>
        <v>#DIV/0!</v>
      </c>
      <c r="AX307" s="974" t="e">
        <f>IF($F307="","",$F307*chronic_consumption!AS307/1000/$C$3)</f>
        <v>#DIV/0!</v>
      </c>
      <c r="AY307" s="974" t="e">
        <f>IF($F307="","",$F307*chronic_consumption!AT307/1000/$C$3)</f>
        <v>#DIV/0!</v>
      </c>
      <c r="AZ307" s="973" t="s">
        <v>19</v>
      </c>
      <c r="BA307" s="969" t="e">
        <f t="shared" si="23"/>
        <v>#DIV/0!</v>
      </c>
      <c r="BB307" s="970" t="e">
        <f t="shared" si="24"/>
        <v>#DIV/0!</v>
      </c>
      <c r="BC307" s="971" t="e">
        <f t="shared" ca="1" si="25"/>
        <v>#DIV/0!</v>
      </c>
      <c r="BD307" s="228">
        <f>input_values!Z307</f>
        <v>4</v>
      </c>
      <c r="BE307" s="152">
        <f>input_values!L307</f>
        <v>0</v>
      </c>
      <c r="BF307" s="972" t="str">
        <f t="shared" si="26"/>
        <v/>
      </c>
    </row>
    <row r="308" spans="1:58" ht="12" customHeight="1" outlineLevel="1" x14ac:dyDescent="0.2">
      <c r="A308" s="314">
        <v>2</v>
      </c>
      <c r="B308" s="131">
        <v>850000</v>
      </c>
      <c r="C308" s="131" t="s">
        <v>80</v>
      </c>
      <c r="D308" s="965">
        <f>Table22[[#This Row],[MRL individual commodity]]</f>
        <v>0</v>
      </c>
      <c r="E308" s="300">
        <f>Table22[[#This Row],[LOQ_label]]</f>
        <v>0</v>
      </c>
      <c r="F308" s="966">
        <f>Table22[[#This Row],[Chronic RA input value]]</f>
        <v>0</v>
      </c>
      <c r="G308" s="304">
        <f>Table22[[#This Row],[Chronic RA label]]</f>
        <v>0</v>
      </c>
      <c r="H308" s="304">
        <f>Table22[[#This Row],[GAP under assessment]]</f>
        <v>0</v>
      </c>
      <c r="I308" s="1123"/>
      <c r="J308" s="967" t="e">
        <f>IF($F308="","",$F308*chronic_consumption!$E308/1000/$C$3)</f>
        <v>#DIV/0!</v>
      </c>
      <c r="K308" s="967" t="e">
        <f>IF($F308="","",$F308*chronic_consumption!F308/1000/$C$3)</f>
        <v>#DIV/0!</v>
      </c>
      <c r="L308" s="967" t="e">
        <f>IF($F308="","",$F308*chronic_consumption!G308/1000/$C$3)</f>
        <v>#DIV/0!</v>
      </c>
      <c r="M308" s="967" t="e">
        <f>IF($F308="","",$F308*chronic_consumption!H308/1000/$C$3)</f>
        <v>#DIV/0!</v>
      </c>
      <c r="N308" s="967" t="e">
        <f>IF($F308="","",$F308*chronic_consumption!I308/1000/$C$3)</f>
        <v>#DIV/0!</v>
      </c>
      <c r="O308" s="967" t="e">
        <f>IF($F308="","",$F308*chronic_consumption!J308/1000/$C$3)</f>
        <v>#DIV/0!</v>
      </c>
      <c r="P308" s="967" t="e">
        <f>IF($F308="","",$F308*chronic_consumption!K308/1000/$C$3)</f>
        <v>#DIV/0!</v>
      </c>
      <c r="Q308" s="967" t="e">
        <f>IF($F308="","",$F308*chronic_consumption!L308/1000/$C$3)</f>
        <v>#DIV/0!</v>
      </c>
      <c r="R308" s="967" t="e">
        <f>IF($F308="","",$F308*chronic_consumption!M308/1000/$C$3)</f>
        <v>#DIV/0!</v>
      </c>
      <c r="S308" s="967" t="e">
        <f>IF($F308="","",$F308*chronic_consumption!N308/1000/$C$3)</f>
        <v>#DIV/0!</v>
      </c>
      <c r="T308" s="967" t="e">
        <f>IF($F308="","",$F308*chronic_consumption!O308/1000/$C$3)</f>
        <v>#DIV/0!</v>
      </c>
      <c r="U308" s="967" t="e">
        <f>IF($F308="","",$F308*chronic_consumption!P308/1000/$C$3)</f>
        <v>#DIV/0!</v>
      </c>
      <c r="V308" s="967" t="e">
        <f>IF($F308="","",$F308*chronic_consumption!Q308/1000/$C$3)</f>
        <v>#DIV/0!</v>
      </c>
      <c r="W308" s="967" t="e">
        <f>IF($F308="","",$F308*chronic_consumption!R308/1000/$C$3)</f>
        <v>#DIV/0!</v>
      </c>
      <c r="X308" s="967" t="e">
        <f>IF($F308="","",$F308*chronic_consumption!S308/1000/$C$3)</f>
        <v>#DIV/0!</v>
      </c>
      <c r="Y308" s="967" t="e">
        <f>IF($F308="","",$F308*chronic_consumption!T308/1000/$C$3)</f>
        <v>#DIV/0!</v>
      </c>
      <c r="Z308" s="967" t="e">
        <f>IF($F308="","",$F308*chronic_consumption!U308/1000/$C$3)</f>
        <v>#DIV/0!</v>
      </c>
      <c r="AA308" s="967" t="e">
        <f>IF($F308="","",$F308*chronic_consumption!V308/1000/$C$3)</f>
        <v>#DIV/0!</v>
      </c>
      <c r="AB308" s="967" t="e">
        <f>IF($F308="","",$F308*chronic_consumption!W308/1000/$C$3)</f>
        <v>#DIV/0!</v>
      </c>
      <c r="AC308" s="967" t="e">
        <f>IF($F308="","",$F308*chronic_consumption!X308/1000/$C$3)</f>
        <v>#DIV/0!</v>
      </c>
      <c r="AD308" s="967" t="e">
        <f>IF($F308="","",$F308*chronic_consumption!Y308/1000/$C$3)</f>
        <v>#DIV/0!</v>
      </c>
      <c r="AE308" s="967" t="e">
        <f>IF($F308="","",$F308*chronic_consumption!Z308/1000/$C$3)</f>
        <v>#DIV/0!</v>
      </c>
      <c r="AF308" s="967" t="e">
        <f>IF($F308="","",$F308*chronic_consumption!AA308/1000/$C$3)</f>
        <v>#DIV/0!</v>
      </c>
      <c r="AG308" s="967" t="e">
        <f>IF($F308="","",$F308*chronic_consumption!AB308/1000/$C$3)</f>
        <v>#DIV/0!</v>
      </c>
      <c r="AH308" s="967" t="e">
        <f>IF($F308="","",$F308*chronic_consumption!AC308/1000/$C$3)</f>
        <v>#DIV/0!</v>
      </c>
      <c r="AI308" s="967" t="e">
        <f>IF($F308="","",$F308*chronic_consumption!AD308/1000/$C$3)</f>
        <v>#DIV/0!</v>
      </c>
      <c r="AJ308" s="967" t="e">
        <f>IF($F308="","",$F308*chronic_consumption!AE308/1000/$C$3)</f>
        <v>#DIV/0!</v>
      </c>
      <c r="AK308" s="967" t="e">
        <f>IF($F308="","",$F308*chronic_consumption!AF308/1000/$C$3)</f>
        <v>#DIV/0!</v>
      </c>
      <c r="AL308" s="967" t="e">
        <f>IF($F308="","",$F308*chronic_consumption!AG308/1000/$C$3)</f>
        <v>#DIV/0!</v>
      </c>
      <c r="AM308" s="967" t="e">
        <f>IF($F308="","",$F308*chronic_consumption!AH308/1000/$C$3)</f>
        <v>#DIV/0!</v>
      </c>
      <c r="AN308" s="967" t="e">
        <f>IF($F308="","",$F308*chronic_consumption!AI308/1000/$C$3)</f>
        <v>#DIV/0!</v>
      </c>
      <c r="AO308" s="967" t="e">
        <f>IF($F308="","",$F308*chronic_consumption!AJ308/1000/$C$3)</f>
        <v>#DIV/0!</v>
      </c>
      <c r="AP308" s="967" t="e">
        <f>IF($F308="","",$F308*chronic_consumption!AK308/1000/$C$3)</f>
        <v>#DIV/0!</v>
      </c>
      <c r="AQ308" s="967" t="e">
        <f>IF($F308="","",$F308*chronic_consumption!AL308/1000/$C$3)</f>
        <v>#DIV/0!</v>
      </c>
      <c r="AR308" s="967" t="e">
        <f>IF($F308="","",$F308*chronic_consumption!AM308/1000/$C$3)</f>
        <v>#DIV/0!</v>
      </c>
      <c r="AS308" s="967" t="e">
        <f>IF($F308="","",$F308*chronic_consumption!AN308/1000/$C$3)</f>
        <v>#DIV/0!</v>
      </c>
      <c r="AT308" s="967" t="e">
        <f>IF($F308="","",$F308*chronic_consumption!AO308/1000/$C$3)</f>
        <v>#DIV/0!</v>
      </c>
      <c r="AU308" s="967"/>
      <c r="AV308" s="967" t="e">
        <f>IF($F308="","",$F308*chronic_consumption!AQ308/1000/$C$3)</f>
        <v>#DIV/0!</v>
      </c>
      <c r="AW308" s="967" t="e">
        <f>IF($F308="","",$F308*chronic_consumption!AR308/1000/$C$3)</f>
        <v>#DIV/0!</v>
      </c>
      <c r="AX308" s="967" t="e">
        <f>IF($F308="","",$F308*chronic_consumption!AS308/1000/$C$3)</f>
        <v>#DIV/0!</v>
      </c>
      <c r="AY308" s="967" t="e">
        <f>IF($F308="","",$F308*chronic_consumption!AT308/1000/$C$3)</f>
        <v>#DIV/0!</v>
      </c>
      <c r="AZ308" s="973"/>
      <c r="BA308" s="969" t="e">
        <f t="shared" si="23"/>
        <v>#DIV/0!</v>
      </c>
      <c r="BB308" s="970" t="e">
        <f t="shared" si="24"/>
        <v>#DIV/0!</v>
      </c>
      <c r="BC308" s="971" t="e">
        <f t="shared" ca="1" si="25"/>
        <v>#DIV/0!</v>
      </c>
      <c r="BD308" s="228">
        <f>input_values!Z308</f>
        <v>4</v>
      </c>
      <c r="BE308" s="152">
        <f>input_values!L308</f>
        <v>0</v>
      </c>
      <c r="BF308" s="972" t="str">
        <f t="shared" si="26"/>
        <v/>
      </c>
    </row>
    <row r="309" spans="1:58" ht="12" customHeight="1" outlineLevel="3" x14ac:dyDescent="0.2">
      <c r="A309" s="21">
        <v>4</v>
      </c>
      <c r="B309" s="23">
        <v>850010</v>
      </c>
      <c r="C309" s="23" t="s">
        <v>202</v>
      </c>
      <c r="D309" s="965">
        <f>Table22[[#This Row],[MRL individual commodity]]</f>
        <v>0</v>
      </c>
      <c r="E309" s="300" t="str">
        <f>Table22[[#This Row],[LOQ_label]]</f>
        <v/>
      </c>
      <c r="F309" s="966">
        <f>Table22[[#This Row],[Chronic RA input value]]</f>
        <v>0</v>
      </c>
      <c r="G309" s="304" t="str">
        <f>Table22[[#This Row],[Chronic RA label]]</f>
        <v/>
      </c>
      <c r="H309" s="304">
        <f>Table22[[#This Row],[GAP under assessment]]</f>
        <v>0</v>
      </c>
      <c r="I309" s="1123"/>
      <c r="J309" s="974" t="e">
        <f>IF($F309="","",$F309*chronic_consumption!$E309/1000/$C$3)</f>
        <v>#DIV/0!</v>
      </c>
      <c r="K309" s="974" t="e">
        <f>IF($F309="","",$F309*chronic_consumption!F309/1000/$C$3)</f>
        <v>#DIV/0!</v>
      </c>
      <c r="L309" s="974" t="e">
        <f>IF($F309="","",$F309*chronic_consumption!G309/1000/$C$3)</f>
        <v>#DIV/0!</v>
      </c>
      <c r="M309" s="974" t="e">
        <f>IF($F309="","",$F309*chronic_consumption!H309/1000/$C$3)</f>
        <v>#DIV/0!</v>
      </c>
      <c r="N309" s="974" t="e">
        <f>IF($F309="","",$F309*chronic_consumption!I309/1000/$C$3)</f>
        <v>#DIV/0!</v>
      </c>
      <c r="O309" s="974" t="e">
        <f>IF($F309="","",$F309*chronic_consumption!J309/1000/$C$3)</f>
        <v>#DIV/0!</v>
      </c>
      <c r="P309" s="974" t="e">
        <f>IF($F309="","",$F309*chronic_consumption!K309/1000/$C$3)</f>
        <v>#DIV/0!</v>
      </c>
      <c r="Q309" s="974" t="e">
        <f>IF($F309="","",$F309*chronic_consumption!L309/1000/$C$3)</f>
        <v>#DIV/0!</v>
      </c>
      <c r="R309" s="974" t="e">
        <f>IF($F309="","",$F309*chronic_consumption!M309/1000/$C$3)</f>
        <v>#DIV/0!</v>
      </c>
      <c r="S309" s="974" t="e">
        <f>IF($F309="","",$F309*chronic_consumption!N309/1000/$C$3)</f>
        <v>#DIV/0!</v>
      </c>
      <c r="T309" s="974" t="e">
        <f>IF($F309="","",$F309*chronic_consumption!O309/1000/$C$3)</f>
        <v>#DIV/0!</v>
      </c>
      <c r="U309" s="974" t="e">
        <f>IF($F309="","",$F309*chronic_consumption!P309/1000/$C$3)</f>
        <v>#DIV/0!</v>
      </c>
      <c r="V309" s="974" t="e">
        <f>IF($F309="","",$F309*chronic_consumption!Q309/1000/$C$3)</f>
        <v>#DIV/0!</v>
      </c>
      <c r="W309" s="974" t="e">
        <f>IF($F309="","",$F309*chronic_consumption!R309/1000/$C$3)</f>
        <v>#DIV/0!</v>
      </c>
      <c r="X309" s="974" t="e">
        <f>IF($F309="","",$F309*chronic_consumption!S309/1000/$C$3)</f>
        <v>#DIV/0!</v>
      </c>
      <c r="Y309" s="974" t="e">
        <f>IF($F309="","",$F309*chronic_consumption!T309/1000/$C$3)</f>
        <v>#DIV/0!</v>
      </c>
      <c r="Z309" s="974" t="e">
        <f>IF($F309="","",$F309*chronic_consumption!U309/1000/$C$3)</f>
        <v>#DIV/0!</v>
      </c>
      <c r="AA309" s="974" t="e">
        <f>IF($F309="","",$F309*chronic_consumption!V309/1000/$C$3)</f>
        <v>#DIV/0!</v>
      </c>
      <c r="AB309" s="974" t="e">
        <f>IF($F309="","",$F309*chronic_consumption!W309/1000/$C$3)</f>
        <v>#DIV/0!</v>
      </c>
      <c r="AC309" s="974" t="e">
        <f>IF($F309="","",$F309*chronic_consumption!X309/1000/$C$3)</f>
        <v>#DIV/0!</v>
      </c>
      <c r="AD309" s="974" t="e">
        <f>IF($F309="","",$F309*chronic_consumption!Y309/1000/$C$3)</f>
        <v>#DIV/0!</v>
      </c>
      <c r="AE309" s="974" t="e">
        <f>IF($F309="","",$F309*chronic_consumption!Z309/1000/$C$3)</f>
        <v>#DIV/0!</v>
      </c>
      <c r="AF309" s="974" t="e">
        <f>IF($F309="","",$F309*chronic_consumption!AA309/1000/$C$3)</f>
        <v>#DIV/0!</v>
      </c>
      <c r="AG309" s="974" t="e">
        <f>IF($F309="","",$F309*chronic_consumption!AB309/1000/$C$3)</f>
        <v>#DIV/0!</v>
      </c>
      <c r="AH309" s="974" t="e">
        <f>IF($F309="","",$F309*chronic_consumption!AC309/1000/$C$3)</f>
        <v>#DIV/0!</v>
      </c>
      <c r="AI309" s="974" t="e">
        <f>IF($F309="","",$F309*chronic_consumption!AD309/1000/$C$3)</f>
        <v>#DIV/0!</v>
      </c>
      <c r="AJ309" s="974" t="e">
        <f>IF($F309="","",$F309*chronic_consumption!AE309/1000/$C$3)</f>
        <v>#DIV/0!</v>
      </c>
      <c r="AK309" s="974" t="e">
        <f>IF($F309="","",$F309*chronic_consumption!AF309/1000/$C$3)</f>
        <v>#DIV/0!</v>
      </c>
      <c r="AL309" s="974" t="e">
        <f>IF($F309="","",$F309*chronic_consumption!AG309/1000/$C$3)</f>
        <v>#DIV/0!</v>
      </c>
      <c r="AM309" s="974" t="e">
        <f>IF($F309="","",$F309*chronic_consumption!AH309/1000/$C$3)</f>
        <v>#DIV/0!</v>
      </c>
      <c r="AN309" s="974" t="e">
        <f>IF($F309="","",$F309*chronic_consumption!AI309/1000/$C$3)</f>
        <v>#DIV/0!</v>
      </c>
      <c r="AO309" s="974" t="e">
        <f>IF($F309="","",$F309*chronic_consumption!AJ309/1000/$C$3)</f>
        <v>#DIV/0!</v>
      </c>
      <c r="AP309" s="974" t="e">
        <f>IF($F309="","",$F309*chronic_consumption!AK309/1000/$C$3)</f>
        <v>#DIV/0!</v>
      </c>
      <c r="AQ309" s="974" t="e">
        <f>IF($F309="","",$F309*chronic_consumption!AL309/1000/$C$3)</f>
        <v>#DIV/0!</v>
      </c>
      <c r="AR309" s="974" t="e">
        <f>IF($F309="","",$F309*chronic_consumption!AM309/1000/$C$3)</f>
        <v>#DIV/0!</v>
      </c>
      <c r="AS309" s="974" t="e">
        <f>IF($F309="","",$F309*chronic_consumption!AN309/1000/$C$3)</f>
        <v>#DIV/0!</v>
      </c>
      <c r="AT309" s="974" t="e">
        <f>IF($F309="","",$F309*chronic_consumption!AO309/1000/$C$3)</f>
        <v>#DIV/0!</v>
      </c>
      <c r="AU309" s="974"/>
      <c r="AV309" s="974" t="e">
        <f>IF($F309="","",$F309*chronic_consumption!AQ309/1000/$C$3)</f>
        <v>#DIV/0!</v>
      </c>
      <c r="AW309" s="974" t="e">
        <f>IF($F309="","",$F309*chronic_consumption!AR309/1000/$C$3)</f>
        <v>#DIV/0!</v>
      </c>
      <c r="AX309" s="974" t="e">
        <f>IF($F309="","",$F309*chronic_consumption!AS309/1000/$C$3)</f>
        <v>#DIV/0!</v>
      </c>
      <c r="AY309" s="974" t="e">
        <f>IF($F309="","",$F309*chronic_consumption!AT309/1000/$C$3)</f>
        <v>#DIV/0!</v>
      </c>
      <c r="AZ309" s="973" t="s">
        <v>19</v>
      </c>
      <c r="BA309" s="969" t="e">
        <f t="shared" si="23"/>
        <v>#DIV/0!</v>
      </c>
      <c r="BB309" s="970" t="e">
        <f t="shared" si="24"/>
        <v>#DIV/0!</v>
      </c>
      <c r="BC309" s="971" t="e">
        <f t="shared" ca="1" si="25"/>
        <v>#DIV/0!</v>
      </c>
      <c r="BD309" s="228">
        <f>input_values!Z309</f>
        <v>4</v>
      </c>
      <c r="BE309" s="152">
        <f>input_values!L309</f>
        <v>0</v>
      </c>
      <c r="BF309" s="972" t="str">
        <f t="shared" si="26"/>
        <v/>
      </c>
    </row>
    <row r="310" spans="1:58" ht="12" customHeight="1" outlineLevel="3" x14ac:dyDescent="0.2">
      <c r="A310" s="21">
        <v>4</v>
      </c>
      <c r="B310" s="23">
        <v>850020</v>
      </c>
      <c r="C310" s="23" t="s">
        <v>203</v>
      </c>
      <c r="D310" s="965">
        <f>Table22[[#This Row],[MRL individual commodity]]</f>
        <v>0</v>
      </c>
      <c r="E310" s="300" t="str">
        <f>Table22[[#This Row],[LOQ_label]]</f>
        <v/>
      </c>
      <c r="F310" s="966">
        <f>Table22[[#This Row],[Chronic RA input value]]</f>
        <v>0</v>
      </c>
      <c r="G310" s="304" t="str">
        <f>Table22[[#This Row],[Chronic RA label]]</f>
        <v/>
      </c>
      <c r="H310" s="304">
        <f>Table22[[#This Row],[GAP under assessment]]</f>
        <v>0</v>
      </c>
      <c r="I310" s="1123"/>
      <c r="J310" s="974" t="e">
        <f>IF($F310="","",$F310*chronic_consumption!$E310/1000/$C$3)</f>
        <v>#DIV/0!</v>
      </c>
      <c r="K310" s="974" t="e">
        <f>IF($F310="","",$F310*chronic_consumption!F310/1000/$C$3)</f>
        <v>#DIV/0!</v>
      </c>
      <c r="L310" s="974" t="e">
        <f>IF($F310="","",$F310*chronic_consumption!G310/1000/$C$3)</f>
        <v>#DIV/0!</v>
      </c>
      <c r="M310" s="974" t="e">
        <f>IF($F310="","",$F310*chronic_consumption!H310/1000/$C$3)</f>
        <v>#DIV/0!</v>
      </c>
      <c r="N310" s="974" t="e">
        <f>IF($F310="","",$F310*chronic_consumption!I310/1000/$C$3)</f>
        <v>#DIV/0!</v>
      </c>
      <c r="O310" s="974" t="e">
        <f>IF($F310="","",$F310*chronic_consumption!J310/1000/$C$3)</f>
        <v>#DIV/0!</v>
      </c>
      <c r="P310" s="974" t="e">
        <f>IF($F310="","",$F310*chronic_consumption!K310/1000/$C$3)</f>
        <v>#DIV/0!</v>
      </c>
      <c r="Q310" s="974" t="e">
        <f>IF($F310="","",$F310*chronic_consumption!L310/1000/$C$3)</f>
        <v>#DIV/0!</v>
      </c>
      <c r="R310" s="974" t="e">
        <f>IF($F310="","",$F310*chronic_consumption!M310/1000/$C$3)</f>
        <v>#DIV/0!</v>
      </c>
      <c r="S310" s="974" t="e">
        <f>IF($F310="","",$F310*chronic_consumption!N310/1000/$C$3)</f>
        <v>#DIV/0!</v>
      </c>
      <c r="T310" s="974" t="e">
        <f>IF($F310="","",$F310*chronic_consumption!O310/1000/$C$3)</f>
        <v>#DIV/0!</v>
      </c>
      <c r="U310" s="974" t="e">
        <f>IF($F310="","",$F310*chronic_consumption!P310/1000/$C$3)</f>
        <v>#DIV/0!</v>
      </c>
      <c r="V310" s="974" t="e">
        <f>IF($F310="","",$F310*chronic_consumption!Q310/1000/$C$3)</f>
        <v>#DIV/0!</v>
      </c>
      <c r="W310" s="974" t="e">
        <f>IF($F310="","",$F310*chronic_consumption!R310/1000/$C$3)</f>
        <v>#DIV/0!</v>
      </c>
      <c r="X310" s="974" t="e">
        <f>IF($F310="","",$F310*chronic_consumption!S310/1000/$C$3)</f>
        <v>#DIV/0!</v>
      </c>
      <c r="Y310" s="974" t="e">
        <f>IF($F310="","",$F310*chronic_consumption!T310/1000/$C$3)</f>
        <v>#DIV/0!</v>
      </c>
      <c r="Z310" s="974" t="e">
        <f>IF($F310="","",$F310*chronic_consumption!U310/1000/$C$3)</f>
        <v>#DIV/0!</v>
      </c>
      <c r="AA310" s="974" t="e">
        <f>IF($F310="","",$F310*chronic_consumption!V310/1000/$C$3)</f>
        <v>#DIV/0!</v>
      </c>
      <c r="AB310" s="974" t="e">
        <f>IF($F310="","",$F310*chronic_consumption!W310/1000/$C$3)</f>
        <v>#DIV/0!</v>
      </c>
      <c r="AC310" s="974" t="e">
        <f>IF($F310="","",$F310*chronic_consumption!X310/1000/$C$3)</f>
        <v>#DIV/0!</v>
      </c>
      <c r="AD310" s="974" t="e">
        <f>IF($F310="","",$F310*chronic_consumption!Y310/1000/$C$3)</f>
        <v>#DIV/0!</v>
      </c>
      <c r="AE310" s="974" t="e">
        <f>IF($F310="","",$F310*chronic_consumption!Z310/1000/$C$3)</f>
        <v>#DIV/0!</v>
      </c>
      <c r="AF310" s="974" t="e">
        <f>IF($F310="","",$F310*chronic_consumption!AA310/1000/$C$3)</f>
        <v>#DIV/0!</v>
      </c>
      <c r="AG310" s="974" t="e">
        <f>IF($F310="","",$F310*chronic_consumption!AB310/1000/$C$3)</f>
        <v>#DIV/0!</v>
      </c>
      <c r="AH310" s="974" t="e">
        <f>IF($F310="","",$F310*chronic_consumption!AC310/1000/$C$3)</f>
        <v>#DIV/0!</v>
      </c>
      <c r="AI310" s="974" t="e">
        <f>IF($F310="","",$F310*chronic_consumption!AD310/1000/$C$3)</f>
        <v>#DIV/0!</v>
      </c>
      <c r="AJ310" s="974" t="e">
        <f>IF($F310="","",$F310*chronic_consumption!AE310/1000/$C$3)</f>
        <v>#DIV/0!</v>
      </c>
      <c r="AK310" s="974" t="e">
        <f>IF($F310="","",$F310*chronic_consumption!AF310/1000/$C$3)</f>
        <v>#DIV/0!</v>
      </c>
      <c r="AL310" s="974" t="e">
        <f>IF($F310="","",$F310*chronic_consumption!AG310/1000/$C$3)</f>
        <v>#DIV/0!</v>
      </c>
      <c r="AM310" s="974" t="e">
        <f>IF($F310="","",$F310*chronic_consumption!AH310/1000/$C$3)</f>
        <v>#DIV/0!</v>
      </c>
      <c r="AN310" s="974" t="e">
        <f>IF($F310="","",$F310*chronic_consumption!AI310/1000/$C$3)</f>
        <v>#DIV/0!</v>
      </c>
      <c r="AO310" s="974" t="e">
        <f>IF($F310="","",$F310*chronic_consumption!AJ310/1000/$C$3)</f>
        <v>#DIV/0!</v>
      </c>
      <c r="AP310" s="974" t="e">
        <f>IF($F310="","",$F310*chronic_consumption!AK310/1000/$C$3)</f>
        <v>#DIV/0!</v>
      </c>
      <c r="AQ310" s="974" t="e">
        <f>IF($F310="","",$F310*chronic_consumption!AL310/1000/$C$3)</f>
        <v>#DIV/0!</v>
      </c>
      <c r="AR310" s="974" t="e">
        <f>IF($F310="","",$F310*chronic_consumption!AM310/1000/$C$3)</f>
        <v>#DIV/0!</v>
      </c>
      <c r="AS310" s="974" t="e">
        <f>IF($F310="","",$F310*chronic_consumption!AN310/1000/$C$3)</f>
        <v>#DIV/0!</v>
      </c>
      <c r="AT310" s="974" t="e">
        <f>IF($F310="","",$F310*chronic_consumption!AO310/1000/$C$3)</f>
        <v>#DIV/0!</v>
      </c>
      <c r="AU310" s="974"/>
      <c r="AV310" s="974" t="e">
        <f>IF($F310="","",$F310*chronic_consumption!AQ310/1000/$C$3)</f>
        <v>#DIV/0!</v>
      </c>
      <c r="AW310" s="974" t="e">
        <f>IF($F310="","",$F310*chronic_consumption!AR310/1000/$C$3)</f>
        <v>#DIV/0!</v>
      </c>
      <c r="AX310" s="974" t="e">
        <f>IF($F310="","",$F310*chronic_consumption!AS310/1000/$C$3)</f>
        <v>#DIV/0!</v>
      </c>
      <c r="AY310" s="974" t="e">
        <f>IF($F310="","",$F310*chronic_consumption!AT310/1000/$C$3)</f>
        <v>#DIV/0!</v>
      </c>
      <c r="AZ310" s="973" t="s">
        <v>19</v>
      </c>
      <c r="BA310" s="969" t="e">
        <f t="shared" si="23"/>
        <v>#DIV/0!</v>
      </c>
      <c r="BB310" s="970" t="e">
        <f t="shared" si="24"/>
        <v>#DIV/0!</v>
      </c>
      <c r="BC310" s="971" t="e">
        <f t="shared" ca="1" si="25"/>
        <v>#DIV/0!</v>
      </c>
      <c r="BD310" s="228">
        <f>input_values!Z310</f>
        <v>4</v>
      </c>
      <c r="BE310" s="152">
        <f>input_values!L310</f>
        <v>0</v>
      </c>
      <c r="BF310" s="972" t="str">
        <f t="shared" si="26"/>
        <v/>
      </c>
    </row>
    <row r="311" spans="1:58" ht="12" customHeight="1" outlineLevel="3" x14ac:dyDescent="0.2">
      <c r="A311" s="21">
        <v>4</v>
      </c>
      <c r="B311" s="23">
        <v>850990</v>
      </c>
      <c r="C311" s="23" t="s">
        <v>187</v>
      </c>
      <c r="D311" s="965">
        <f>Table22[[#This Row],[MRL individual commodity]]</f>
        <v>0</v>
      </c>
      <c r="E311" s="300" t="str">
        <f>Table22[[#This Row],[LOQ_label]]</f>
        <v/>
      </c>
      <c r="F311" s="966">
        <f>Table22[[#This Row],[Chronic RA input value]]</f>
        <v>0</v>
      </c>
      <c r="G311" s="304" t="str">
        <f>Table22[[#This Row],[Chronic RA label]]</f>
        <v/>
      </c>
      <c r="H311" s="304">
        <f>Table22[[#This Row],[GAP under assessment]]</f>
        <v>0</v>
      </c>
      <c r="I311" s="1123"/>
      <c r="J311" s="974" t="e">
        <f>IF($F311="","",$F311*chronic_consumption!$E311/1000/$C$3)</f>
        <v>#DIV/0!</v>
      </c>
      <c r="K311" s="974" t="e">
        <f>IF($F311="","",$F311*chronic_consumption!F311/1000/$C$3)</f>
        <v>#DIV/0!</v>
      </c>
      <c r="L311" s="974" t="e">
        <f>IF($F311="","",$F311*chronic_consumption!G311/1000/$C$3)</f>
        <v>#DIV/0!</v>
      </c>
      <c r="M311" s="974" t="e">
        <f>IF($F311="","",$F311*chronic_consumption!H311/1000/$C$3)</f>
        <v>#DIV/0!</v>
      </c>
      <c r="N311" s="974" t="e">
        <f>IF($F311="","",$F311*chronic_consumption!I311/1000/$C$3)</f>
        <v>#DIV/0!</v>
      </c>
      <c r="O311" s="974" t="e">
        <f>IF($F311="","",$F311*chronic_consumption!J311/1000/$C$3)</f>
        <v>#DIV/0!</v>
      </c>
      <c r="P311" s="974" t="e">
        <f>IF($F311="","",$F311*chronic_consumption!K311/1000/$C$3)</f>
        <v>#DIV/0!</v>
      </c>
      <c r="Q311" s="974" t="e">
        <f>IF($F311="","",$F311*chronic_consumption!L311/1000/$C$3)</f>
        <v>#DIV/0!</v>
      </c>
      <c r="R311" s="974" t="e">
        <f>IF($F311="","",$F311*chronic_consumption!M311/1000/$C$3)</f>
        <v>#DIV/0!</v>
      </c>
      <c r="S311" s="974" t="e">
        <f>IF($F311="","",$F311*chronic_consumption!N311/1000/$C$3)</f>
        <v>#DIV/0!</v>
      </c>
      <c r="T311" s="974" t="e">
        <f>IF($F311="","",$F311*chronic_consumption!O311/1000/$C$3)</f>
        <v>#DIV/0!</v>
      </c>
      <c r="U311" s="974" t="e">
        <f>IF($F311="","",$F311*chronic_consumption!P311/1000/$C$3)</f>
        <v>#DIV/0!</v>
      </c>
      <c r="V311" s="974" t="e">
        <f>IF($F311="","",$F311*chronic_consumption!Q311/1000/$C$3)</f>
        <v>#DIV/0!</v>
      </c>
      <c r="W311" s="974" t="e">
        <f>IF($F311="","",$F311*chronic_consumption!R311/1000/$C$3)</f>
        <v>#DIV/0!</v>
      </c>
      <c r="X311" s="974" t="e">
        <f>IF($F311="","",$F311*chronic_consumption!S311/1000/$C$3)</f>
        <v>#DIV/0!</v>
      </c>
      <c r="Y311" s="974" t="e">
        <f>IF($F311="","",$F311*chronic_consumption!T311/1000/$C$3)</f>
        <v>#DIV/0!</v>
      </c>
      <c r="Z311" s="974" t="e">
        <f>IF($F311="","",$F311*chronic_consumption!U311/1000/$C$3)</f>
        <v>#DIV/0!</v>
      </c>
      <c r="AA311" s="974" t="e">
        <f>IF($F311="","",$F311*chronic_consumption!V311/1000/$C$3)</f>
        <v>#DIV/0!</v>
      </c>
      <c r="AB311" s="974" t="e">
        <f>IF($F311="","",$F311*chronic_consumption!W311/1000/$C$3)</f>
        <v>#DIV/0!</v>
      </c>
      <c r="AC311" s="974" t="e">
        <f>IF($F311="","",$F311*chronic_consumption!X311/1000/$C$3)</f>
        <v>#DIV/0!</v>
      </c>
      <c r="AD311" s="974" t="e">
        <f>IF($F311="","",$F311*chronic_consumption!Y311/1000/$C$3)</f>
        <v>#DIV/0!</v>
      </c>
      <c r="AE311" s="974" t="e">
        <f>IF($F311="","",$F311*chronic_consumption!Z311/1000/$C$3)</f>
        <v>#DIV/0!</v>
      </c>
      <c r="AF311" s="974" t="e">
        <f>IF($F311="","",$F311*chronic_consumption!AA311/1000/$C$3)</f>
        <v>#DIV/0!</v>
      </c>
      <c r="AG311" s="974" t="e">
        <f>IF($F311="","",$F311*chronic_consumption!AB311/1000/$C$3)</f>
        <v>#DIV/0!</v>
      </c>
      <c r="AH311" s="974" t="e">
        <f>IF($F311="","",$F311*chronic_consumption!AC311/1000/$C$3)</f>
        <v>#DIV/0!</v>
      </c>
      <c r="AI311" s="974" t="e">
        <f>IF($F311="","",$F311*chronic_consumption!AD311/1000/$C$3)</f>
        <v>#DIV/0!</v>
      </c>
      <c r="AJ311" s="974" t="e">
        <f>IF($F311="","",$F311*chronic_consumption!AE311/1000/$C$3)</f>
        <v>#DIV/0!</v>
      </c>
      <c r="AK311" s="974" t="e">
        <f>IF($F311="","",$F311*chronic_consumption!AF311/1000/$C$3)</f>
        <v>#DIV/0!</v>
      </c>
      <c r="AL311" s="974" t="e">
        <f>IF($F311="","",$F311*chronic_consumption!AG311/1000/$C$3)</f>
        <v>#DIV/0!</v>
      </c>
      <c r="AM311" s="974" t="e">
        <f>IF($F311="","",$F311*chronic_consumption!AH311/1000/$C$3)</f>
        <v>#DIV/0!</v>
      </c>
      <c r="AN311" s="974" t="e">
        <f>IF($F311="","",$F311*chronic_consumption!AI311/1000/$C$3)</f>
        <v>#DIV/0!</v>
      </c>
      <c r="AO311" s="974" t="e">
        <f>IF($F311="","",$F311*chronic_consumption!AJ311/1000/$C$3)</f>
        <v>#DIV/0!</v>
      </c>
      <c r="AP311" s="974" t="e">
        <f>IF($F311="","",$F311*chronic_consumption!AK311/1000/$C$3)</f>
        <v>#DIV/0!</v>
      </c>
      <c r="AQ311" s="974" t="e">
        <f>IF($F311="","",$F311*chronic_consumption!AL311/1000/$C$3)</f>
        <v>#DIV/0!</v>
      </c>
      <c r="AR311" s="974" t="e">
        <f>IF($F311="","",$F311*chronic_consumption!AM311/1000/$C$3)</f>
        <v>#DIV/0!</v>
      </c>
      <c r="AS311" s="974" t="e">
        <f>IF($F311="","",$F311*chronic_consumption!AN311/1000/$C$3)</f>
        <v>#DIV/0!</v>
      </c>
      <c r="AT311" s="974" t="e">
        <f>IF($F311="","",$F311*chronic_consumption!AO311/1000/$C$3)</f>
        <v>#DIV/0!</v>
      </c>
      <c r="AU311" s="974"/>
      <c r="AV311" s="974" t="e">
        <f>IF($F311="","",$F311*chronic_consumption!AQ311/1000/$C$3)</f>
        <v>#DIV/0!</v>
      </c>
      <c r="AW311" s="974" t="e">
        <f>IF($F311="","",$F311*chronic_consumption!AR311/1000/$C$3)</f>
        <v>#DIV/0!</v>
      </c>
      <c r="AX311" s="974" t="e">
        <f>IF($F311="","",$F311*chronic_consumption!AS311/1000/$C$3)</f>
        <v>#DIV/0!</v>
      </c>
      <c r="AY311" s="974" t="e">
        <f>IF($F311="","",$F311*chronic_consumption!AT311/1000/$C$3)</f>
        <v>#DIV/0!</v>
      </c>
      <c r="AZ311" s="973" t="s">
        <v>19</v>
      </c>
      <c r="BA311" s="969" t="e">
        <f t="shared" si="23"/>
        <v>#DIV/0!</v>
      </c>
      <c r="BB311" s="970" t="e">
        <f t="shared" si="24"/>
        <v>#DIV/0!</v>
      </c>
      <c r="BC311" s="971" t="e">
        <f t="shared" ca="1" si="25"/>
        <v>#DIV/0!</v>
      </c>
      <c r="BD311" s="228">
        <f>input_values!Z311</f>
        <v>4</v>
      </c>
      <c r="BE311" s="152">
        <f>input_values!L311</f>
        <v>0</v>
      </c>
      <c r="BF311" s="972" t="str">
        <f t="shared" si="26"/>
        <v/>
      </c>
    </row>
    <row r="312" spans="1:58" ht="12" customHeight="1" outlineLevel="1" x14ac:dyDescent="0.2">
      <c r="A312" s="314">
        <v>2</v>
      </c>
      <c r="B312" s="131">
        <v>860000</v>
      </c>
      <c r="C312" s="131" t="s">
        <v>81</v>
      </c>
      <c r="D312" s="965">
        <f>Table22[[#This Row],[MRL individual commodity]]</f>
        <v>0</v>
      </c>
      <c r="E312" s="300">
        <f>Table22[[#This Row],[LOQ_label]]</f>
        <v>0</v>
      </c>
      <c r="F312" s="966">
        <f>Table22[[#This Row],[Chronic RA input value]]</f>
        <v>0</v>
      </c>
      <c r="G312" s="304">
        <f>Table22[[#This Row],[Chronic RA label]]</f>
        <v>0</v>
      </c>
      <c r="H312" s="304">
        <f>Table22[[#This Row],[GAP under assessment]]</f>
        <v>0</v>
      </c>
      <c r="I312" s="1123"/>
      <c r="J312" s="967" t="e">
        <f>IF($F312="","",$F312*chronic_consumption!$E312/1000/$C$3)</f>
        <v>#DIV/0!</v>
      </c>
      <c r="K312" s="967" t="e">
        <f>IF($F312="","",$F312*chronic_consumption!F312/1000/$C$3)</f>
        <v>#DIV/0!</v>
      </c>
      <c r="L312" s="967" t="e">
        <f>IF($F312="","",$F312*chronic_consumption!G312/1000/$C$3)</f>
        <v>#DIV/0!</v>
      </c>
      <c r="M312" s="967" t="e">
        <f>IF($F312="","",$F312*chronic_consumption!H312/1000/$C$3)</f>
        <v>#DIV/0!</v>
      </c>
      <c r="N312" s="967" t="e">
        <f>IF($F312="","",$F312*chronic_consumption!I312/1000/$C$3)</f>
        <v>#DIV/0!</v>
      </c>
      <c r="O312" s="967" t="e">
        <f>IF($F312="","",$F312*chronic_consumption!J312/1000/$C$3)</f>
        <v>#DIV/0!</v>
      </c>
      <c r="P312" s="967" t="e">
        <f>IF($F312="","",$F312*chronic_consumption!K312/1000/$C$3)</f>
        <v>#DIV/0!</v>
      </c>
      <c r="Q312" s="967" t="e">
        <f>IF($F312="","",$F312*chronic_consumption!L312/1000/$C$3)</f>
        <v>#DIV/0!</v>
      </c>
      <c r="R312" s="967" t="e">
        <f>IF($F312="","",$F312*chronic_consumption!M312/1000/$C$3)</f>
        <v>#DIV/0!</v>
      </c>
      <c r="S312" s="967" t="e">
        <f>IF($F312="","",$F312*chronic_consumption!N312/1000/$C$3)</f>
        <v>#DIV/0!</v>
      </c>
      <c r="T312" s="967" t="e">
        <f>IF($F312="","",$F312*chronic_consumption!O312/1000/$C$3)</f>
        <v>#DIV/0!</v>
      </c>
      <c r="U312" s="967" t="e">
        <f>IF($F312="","",$F312*chronic_consumption!P312/1000/$C$3)</f>
        <v>#DIV/0!</v>
      </c>
      <c r="V312" s="967" t="e">
        <f>IF($F312="","",$F312*chronic_consumption!Q312/1000/$C$3)</f>
        <v>#DIV/0!</v>
      </c>
      <c r="W312" s="967" t="e">
        <f>IF($F312="","",$F312*chronic_consumption!R312/1000/$C$3)</f>
        <v>#DIV/0!</v>
      </c>
      <c r="X312" s="967" t="e">
        <f>IF($F312="","",$F312*chronic_consumption!S312/1000/$C$3)</f>
        <v>#DIV/0!</v>
      </c>
      <c r="Y312" s="967" t="e">
        <f>IF($F312="","",$F312*chronic_consumption!T312/1000/$C$3)</f>
        <v>#DIV/0!</v>
      </c>
      <c r="Z312" s="967" t="e">
        <f>IF($F312="","",$F312*chronic_consumption!U312/1000/$C$3)</f>
        <v>#DIV/0!</v>
      </c>
      <c r="AA312" s="967" t="e">
        <f>IF($F312="","",$F312*chronic_consumption!V312/1000/$C$3)</f>
        <v>#DIV/0!</v>
      </c>
      <c r="AB312" s="967" t="e">
        <f>IF($F312="","",$F312*chronic_consumption!W312/1000/$C$3)</f>
        <v>#DIV/0!</v>
      </c>
      <c r="AC312" s="967" t="e">
        <f>IF($F312="","",$F312*chronic_consumption!X312/1000/$C$3)</f>
        <v>#DIV/0!</v>
      </c>
      <c r="AD312" s="967" t="e">
        <f>IF($F312="","",$F312*chronic_consumption!Y312/1000/$C$3)</f>
        <v>#DIV/0!</v>
      </c>
      <c r="AE312" s="967" t="e">
        <f>IF($F312="","",$F312*chronic_consumption!Z312/1000/$C$3)</f>
        <v>#DIV/0!</v>
      </c>
      <c r="AF312" s="967" t="e">
        <f>IF($F312="","",$F312*chronic_consumption!AA312/1000/$C$3)</f>
        <v>#DIV/0!</v>
      </c>
      <c r="AG312" s="967" t="e">
        <f>IF($F312="","",$F312*chronic_consumption!AB312/1000/$C$3)</f>
        <v>#DIV/0!</v>
      </c>
      <c r="AH312" s="967" t="e">
        <f>IF($F312="","",$F312*chronic_consumption!AC312/1000/$C$3)</f>
        <v>#DIV/0!</v>
      </c>
      <c r="AI312" s="967" t="e">
        <f>IF($F312="","",$F312*chronic_consumption!AD312/1000/$C$3)</f>
        <v>#DIV/0!</v>
      </c>
      <c r="AJ312" s="967" t="e">
        <f>IF($F312="","",$F312*chronic_consumption!AE312/1000/$C$3)</f>
        <v>#DIV/0!</v>
      </c>
      <c r="AK312" s="967" t="e">
        <f>IF($F312="","",$F312*chronic_consumption!AF312/1000/$C$3)</f>
        <v>#DIV/0!</v>
      </c>
      <c r="AL312" s="967" t="e">
        <f>IF($F312="","",$F312*chronic_consumption!AG312/1000/$C$3)</f>
        <v>#DIV/0!</v>
      </c>
      <c r="AM312" s="967" t="e">
        <f>IF($F312="","",$F312*chronic_consumption!AH312/1000/$C$3)</f>
        <v>#DIV/0!</v>
      </c>
      <c r="AN312" s="967" t="e">
        <f>IF($F312="","",$F312*chronic_consumption!AI312/1000/$C$3)</f>
        <v>#DIV/0!</v>
      </c>
      <c r="AO312" s="967" t="e">
        <f>IF($F312="","",$F312*chronic_consumption!AJ312/1000/$C$3)</f>
        <v>#DIV/0!</v>
      </c>
      <c r="AP312" s="967" t="e">
        <f>IF($F312="","",$F312*chronic_consumption!AK312/1000/$C$3)</f>
        <v>#DIV/0!</v>
      </c>
      <c r="AQ312" s="967" t="e">
        <f>IF($F312="","",$F312*chronic_consumption!AL312/1000/$C$3)</f>
        <v>#DIV/0!</v>
      </c>
      <c r="AR312" s="967" t="e">
        <f>IF($F312="","",$F312*chronic_consumption!AM312/1000/$C$3)</f>
        <v>#DIV/0!</v>
      </c>
      <c r="AS312" s="967" t="e">
        <f>IF($F312="","",$F312*chronic_consumption!AN312/1000/$C$3)</f>
        <v>#DIV/0!</v>
      </c>
      <c r="AT312" s="967" t="e">
        <f>IF($F312="","",$F312*chronic_consumption!AO312/1000/$C$3)</f>
        <v>#DIV/0!</v>
      </c>
      <c r="AU312" s="967"/>
      <c r="AV312" s="967" t="e">
        <f>IF($F312="","",$F312*chronic_consumption!AQ312/1000/$C$3)</f>
        <v>#DIV/0!</v>
      </c>
      <c r="AW312" s="967" t="e">
        <f>IF($F312="","",$F312*chronic_consumption!AR312/1000/$C$3)</f>
        <v>#DIV/0!</v>
      </c>
      <c r="AX312" s="967" t="e">
        <f>IF($F312="","",$F312*chronic_consumption!AS312/1000/$C$3)</f>
        <v>#DIV/0!</v>
      </c>
      <c r="AY312" s="967" t="e">
        <f>IF($F312="","",$F312*chronic_consumption!AT312/1000/$C$3)</f>
        <v>#DIV/0!</v>
      </c>
      <c r="AZ312" s="973"/>
      <c r="BA312" s="969" t="e">
        <f t="shared" si="23"/>
        <v>#DIV/0!</v>
      </c>
      <c r="BB312" s="970" t="e">
        <f t="shared" si="24"/>
        <v>#DIV/0!</v>
      </c>
      <c r="BC312" s="971" t="e">
        <f t="shared" ca="1" si="25"/>
        <v>#DIV/0!</v>
      </c>
      <c r="BD312" s="228">
        <f>input_values!Z312</f>
        <v>4</v>
      </c>
      <c r="BE312" s="152">
        <f>input_values!L312</f>
        <v>0</v>
      </c>
      <c r="BF312" s="972" t="str">
        <f t="shared" si="26"/>
        <v/>
      </c>
    </row>
    <row r="313" spans="1:58" ht="12" customHeight="1" outlineLevel="3" x14ac:dyDescent="0.2">
      <c r="A313" s="21">
        <v>4</v>
      </c>
      <c r="B313" s="23">
        <v>860010</v>
      </c>
      <c r="C313" s="23" t="s">
        <v>204</v>
      </c>
      <c r="D313" s="965">
        <f>Table22[[#This Row],[MRL individual commodity]]</f>
        <v>0</v>
      </c>
      <c r="E313" s="300" t="str">
        <f>Table22[[#This Row],[LOQ_label]]</f>
        <v/>
      </c>
      <c r="F313" s="966">
        <f>Table22[[#This Row],[Chronic RA input value]]</f>
        <v>0</v>
      </c>
      <c r="G313" s="304" t="str">
        <f>Table22[[#This Row],[Chronic RA label]]</f>
        <v/>
      </c>
      <c r="H313" s="304">
        <f>Table22[[#This Row],[GAP under assessment]]</f>
        <v>0</v>
      </c>
      <c r="I313" s="1123"/>
      <c r="J313" s="974" t="e">
        <f>IF($F313="","",$F313*chronic_consumption!$E313/1000/$C$3)</f>
        <v>#DIV/0!</v>
      </c>
      <c r="K313" s="974" t="e">
        <f>IF($F313="","",$F313*chronic_consumption!F313/1000/$C$3)</f>
        <v>#DIV/0!</v>
      </c>
      <c r="L313" s="974" t="e">
        <f>IF($F313="","",$F313*chronic_consumption!G313/1000/$C$3)</f>
        <v>#DIV/0!</v>
      </c>
      <c r="M313" s="974" t="e">
        <f>IF($F313="","",$F313*chronic_consumption!H313/1000/$C$3)</f>
        <v>#DIV/0!</v>
      </c>
      <c r="N313" s="974" t="e">
        <f>IF($F313="","",$F313*chronic_consumption!I313/1000/$C$3)</f>
        <v>#DIV/0!</v>
      </c>
      <c r="O313" s="974" t="e">
        <f>IF($F313="","",$F313*chronic_consumption!J313/1000/$C$3)</f>
        <v>#DIV/0!</v>
      </c>
      <c r="P313" s="974" t="e">
        <f>IF($F313="","",$F313*chronic_consumption!K313/1000/$C$3)</f>
        <v>#DIV/0!</v>
      </c>
      <c r="Q313" s="974" t="e">
        <f>IF($F313="","",$F313*chronic_consumption!L313/1000/$C$3)</f>
        <v>#DIV/0!</v>
      </c>
      <c r="R313" s="974" t="e">
        <f>IF($F313="","",$F313*chronic_consumption!M313/1000/$C$3)</f>
        <v>#DIV/0!</v>
      </c>
      <c r="S313" s="974" t="e">
        <f>IF($F313="","",$F313*chronic_consumption!N313/1000/$C$3)</f>
        <v>#DIV/0!</v>
      </c>
      <c r="T313" s="974" t="e">
        <f>IF($F313="","",$F313*chronic_consumption!O313/1000/$C$3)</f>
        <v>#DIV/0!</v>
      </c>
      <c r="U313" s="974" t="e">
        <f>IF($F313="","",$F313*chronic_consumption!P313/1000/$C$3)</f>
        <v>#DIV/0!</v>
      </c>
      <c r="V313" s="974" t="e">
        <f>IF($F313="","",$F313*chronic_consumption!Q313/1000/$C$3)</f>
        <v>#DIV/0!</v>
      </c>
      <c r="W313" s="974" t="e">
        <f>IF($F313="","",$F313*chronic_consumption!R313/1000/$C$3)</f>
        <v>#DIV/0!</v>
      </c>
      <c r="X313" s="974" t="e">
        <f>IF($F313="","",$F313*chronic_consumption!S313/1000/$C$3)</f>
        <v>#DIV/0!</v>
      </c>
      <c r="Y313" s="974" t="e">
        <f>IF($F313="","",$F313*chronic_consumption!T313/1000/$C$3)</f>
        <v>#DIV/0!</v>
      </c>
      <c r="Z313" s="974" t="e">
        <f>IF($F313="","",$F313*chronic_consumption!U313/1000/$C$3)</f>
        <v>#DIV/0!</v>
      </c>
      <c r="AA313" s="974" t="e">
        <f>IF($F313="","",$F313*chronic_consumption!V313/1000/$C$3)</f>
        <v>#DIV/0!</v>
      </c>
      <c r="AB313" s="974" t="e">
        <f>IF($F313="","",$F313*chronic_consumption!W313/1000/$C$3)</f>
        <v>#DIV/0!</v>
      </c>
      <c r="AC313" s="974" t="e">
        <f>IF($F313="","",$F313*chronic_consumption!X313/1000/$C$3)</f>
        <v>#DIV/0!</v>
      </c>
      <c r="AD313" s="974" t="e">
        <f>IF($F313="","",$F313*chronic_consumption!Y313/1000/$C$3)</f>
        <v>#DIV/0!</v>
      </c>
      <c r="AE313" s="974" t="e">
        <f>IF($F313="","",$F313*chronic_consumption!Z313/1000/$C$3)</f>
        <v>#DIV/0!</v>
      </c>
      <c r="AF313" s="974" t="e">
        <f>IF($F313="","",$F313*chronic_consumption!AA313/1000/$C$3)</f>
        <v>#DIV/0!</v>
      </c>
      <c r="AG313" s="974" t="e">
        <f>IF($F313="","",$F313*chronic_consumption!AB313/1000/$C$3)</f>
        <v>#DIV/0!</v>
      </c>
      <c r="AH313" s="974" t="e">
        <f>IF($F313="","",$F313*chronic_consumption!AC313/1000/$C$3)</f>
        <v>#DIV/0!</v>
      </c>
      <c r="AI313" s="974" t="e">
        <f>IF($F313="","",$F313*chronic_consumption!AD313/1000/$C$3)</f>
        <v>#DIV/0!</v>
      </c>
      <c r="AJ313" s="974" t="e">
        <f>IF($F313="","",$F313*chronic_consumption!AE313/1000/$C$3)</f>
        <v>#DIV/0!</v>
      </c>
      <c r="AK313" s="974" t="e">
        <f>IF($F313="","",$F313*chronic_consumption!AF313/1000/$C$3)</f>
        <v>#DIV/0!</v>
      </c>
      <c r="AL313" s="974" t="e">
        <f>IF($F313="","",$F313*chronic_consumption!AG313/1000/$C$3)</f>
        <v>#DIV/0!</v>
      </c>
      <c r="AM313" s="974" t="e">
        <f>IF($F313="","",$F313*chronic_consumption!AH313/1000/$C$3)</f>
        <v>#DIV/0!</v>
      </c>
      <c r="AN313" s="974" t="e">
        <f>IF($F313="","",$F313*chronic_consumption!AI313/1000/$C$3)</f>
        <v>#DIV/0!</v>
      </c>
      <c r="AO313" s="974" t="e">
        <f>IF($F313="","",$F313*chronic_consumption!AJ313/1000/$C$3)</f>
        <v>#DIV/0!</v>
      </c>
      <c r="AP313" s="974" t="e">
        <f>IF($F313="","",$F313*chronic_consumption!AK313/1000/$C$3)</f>
        <v>#DIV/0!</v>
      </c>
      <c r="AQ313" s="974" t="e">
        <f>IF($F313="","",$F313*chronic_consumption!AL313/1000/$C$3)</f>
        <v>#DIV/0!</v>
      </c>
      <c r="AR313" s="974" t="e">
        <f>IF($F313="","",$F313*chronic_consumption!AM313/1000/$C$3)</f>
        <v>#DIV/0!</v>
      </c>
      <c r="AS313" s="974" t="e">
        <f>IF($F313="","",$F313*chronic_consumption!AN313/1000/$C$3)</f>
        <v>#DIV/0!</v>
      </c>
      <c r="AT313" s="974" t="e">
        <f>IF($F313="","",$F313*chronic_consumption!AO313/1000/$C$3)</f>
        <v>#DIV/0!</v>
      </c>
      <c r="AU313" s="974"/>
      <c r="AV313" s="974" t="e">
        <f>IF($F313="","",$F313*chronic_consumption!AQ313/1000/$C$3)</f>
        <v>#DIV/0!</v>
      </c>
      <c r="AW313" s="974" t="e">
        <f>IF($F313="","",$F313*chronic_consumption!AR313/1000/$C$3)</f>
        <v>#DIV/0!</v>
      </c>
      <c r="AX313" s="974" t="e">
        <f>IF($F313="","",$F313*chronic_consumption!AS313/1000/$C$3)</f>
        <v>#DIV/0!</v>
      </c>
      <c r="AY313" s="974" t="e">
        <f>IF($F313="","",$F313*chronic_consumption!AT313/1000/$C$3)</f>
        <v>#DIV/0!</v>
      </c>
      <c r="AZ313" s="973" t="s">
        <v>19</v>
      </c>
      <c r="BA313" s="969" t="e">
        <f t="shared" si="23"/>
        <v>#DIV/0!</v>
      </c>
      <c r="BB313" s="970" t="e">
        <f t="shared" si="24"/>
        <v>#DIV/0!</v>
      </c>
      <c r="BC313" s="971" t="e">
        <f t="shared" ca="1" si="25"/>
        <v>#DIV/0!</v>
      </c>
      <c r="BD313" s="228">
        <f>input_values!Z313</f>
        <v>4</v>
      </c>
      <c r="BE313" s="152">
        <f>input_values!L313</f>
        <v>0</v>
      </c>
      <c r="BF313" s="972" t="str">
        <f t="shared" si="26"/>
        <v/>
      </c>
    </row>
    <row r="314" spans="1:58" ht="12" customHeight="1" outlineLevel="3" x14ac:dyDescent="0.2">
      <c r="A314" s="21">
        <v>4</v>
      </c>
      <c r="B314" s="23">
        <v>860990</v>
      </c>
      <c r="C314" s="23" t="s">
        <v>188</v>
      </c>
      <c r="D314" s="965">
        <f>Table22[[#This Row],[MRL individual commodity]]</f>
        <v>0</v>
      </c>
      <c r="E314" s="300" t="str">
        <f>Table22[[#This Row],[LOQ_label]]</f>
        <v/>
      </c>
      <c r="F314" s="966">
        <f>Table22[[#This Row],[Chronic RA input value]]</f>
        <v>0</v>
      </c>
      <c r="G314" s="304" t="str">
        <f>Table22[[#This Row],[Chronic RA label]]</f>
        <v/>
      </c>
      <c r="H314" s="304">
        <f>Table22[[#This Row],[GAP under assessment]]</f>
        <v>0</v>
      </c>
      <c r="I314" s="1123"/>
      <c r="J314" s="974" t="e">
        <f>IF($F314="","",$F314*chronic_consumption!$E314/1000/$C$3)</f>
        <v>#DIV/0!</v>
      </c>
      <c r="K314" s="974" t="e">
        <f>IF($F314="","",$F314*chronic_consumption!F314/1000/$C$3)</f>
        <v>#DIV/0!</v>
      </c>
      <c r="L314" s="974" t="e">
        <f>IF($F314="","",$F314*chronic_consumption!G314/1000/$C$3)</f>
        <v>#DIV/0!</v>
      </c>
      <c r="M314" s="974" t="e">
        <f>IF($F314="","",$F314*chronic_consumption!H314/1000/$C$3)</f>
        <v>#DIV/0!</v>
      </c>
      <c r="N314" s="974" t="e">
        <f>IF($F314="","",$F314*chronic_consumption!I314/1000/$C$3)</f>
        <v>#DIV/0!</v>
      </c>
      <c r="O314" s="974" t="e">
        <f>IF($F314="","",$F314*chronic_consumption!J314/1000/$C$3)</f>
        <v>#DIV/0!</v>
      </c>
      <c r="P314" s="974" t="e">
        <f>IF($F314="","",$F314*chronic_consumption!K314/1000/$C$3)</f>
        <v>#DIV/0!</v>
      </c>
      <c r="Q314" s="974" t="e">
        <f>IF($F314="","",$F314*chronic_consumption!L314/1000/$C$3)</f>
        <v>#DIV/0!</v>
      </c>
      <c r="R314" s="974" t="e">
        <f>IF($F314="","",$F314*chronic_consumption!M314/1000/$C$3)</f>
        <v>#DIV/0!</v>
      </c>
      <c r="S314" s="974" t="e">
        <f>IF($F314="","",$F314*chronic_consumption!N314/1000/$C$3)</f>
        <v>#DIV/0!</v>
      </c>
      <c r="T314" s="974" t="e">
        <f>IF($F314="","",$F314*chronic_consumption!O314/1000/$C$3)</f>
        <v>#DIV/0!</v>
      </c>
      <c r="U314" s="974" t="e">
        <f>IF($F314="","",$F314*chronic_consumption!P314/1000/$C$3)</f>
        <v>#DIV/0!</v>
      </c>
      <c r="V314" s="974" t="e">
        <f>IF($F314="","",$F314*chronic_consumption!Q314/1000/$C$3)</f>
        <v>#DIV/0!</v>
      </c>
      <c r="W314" s="974" t="e">
        <f>IF($F314="","",$F314*chronic_consumption!R314/1000/$C$3)</f>
        <v>#DIV/0!</v>
      </c>
      <c r="X314" s="974" t="e">
        <f>IF($F314="","",$F314*chronic_consumption!S314/1000/$C$3)</f>
        <v>#DIV/0!</v>
      </c>
      <c r="Y314" s="974" t="e">
        <f>IF($F314="","",$F314*chronic_consumption!T314/1000/$C$3)</f>
        <v>#DIV/0!</v>
      </c>
      <c r="Z314" s="974" t="e">
        <f>IF($F314="","",$F314*chronic_consumption!U314/1000/$C$3)</f>
        <v>#DIV/0!</v>
      </c>
      <c r="AA314" s="974" t="e">
        <f>IF($F314="","",$F314*chronic_consumption!V314/1000/$C$3)</f>
        <v>#DIV/0!</v>
      </c>
      <c r="AB314" s="974" t="e">
        <f>IF($F314="","",$F314*chronic_consumption!W314/1000/$C$3)</f>
        <v>#DIV/0!</v>
      </c>
      <c r="AC314" s="974" t="e">
        <f>IF($F314="","",$F314*chronic_consumption!X314/1000/$C$3)</f>
        <v>#DIV/0!</v>
      </c>
      <c r="AD314" s="974" t="e">
        <f>IF($F314="","",$F314*chronic_consumption!Y314/1000/$C$3)</f>
        <v>#DIV/0!</v>
      </c>
      <c r="AE314" s="974" t="e">
        <f>IF($F314="","",$F314*chronic_consumption!Z314/1000/$C$3)</f>
        <v>#DIV/0!</v>
      </c>
      <c r="AF314" s="974" t="e">
        <f>IF($F314="","",$F314*chronic_consumption!AA314/1000/$C$3)</f>
        <v>#DIV/0!</v>
      </c>
      <c r="AG314" s="974" t="e">
        <f>IF($F314="","",$F314*chronic_consumption!AB314/1000/$C$3)</f>
        <v>#DIV/0!</v>
      </c>
      <c r="AH314" s="974" t="e">
        <f>IF($F314="","",$F314*chronic_consumption!AC314/1000/$C$3)</f>
        <v>#DIV/0!</v>
      </c>
      <c r="AI314" s="974" t="e">
        <f>IF($F314="","",$F314*chronic_consumption!AD314/1000/$C$3)</f>
        <v>#DIV/0!</v>
      </c>
      <c r="AJ314" s="974" t="e">
        <f>IF($F314="","",$F314*chronic_consumption!AE314/1000/$C$3)</f>
        <v>#DIV/0!</v>
      </c>
      <c r="AK314" s="974" t="e">
        <f>IF($F314="","",$F314*chronic_consumption!AF314/1000/$C$3)</f>
        <v>#DIV/0!</v>
      </c>
      <c r="AL314" s="974" t="e">
        <f>IF($F314="","",$F314*chronic_consumption!AG314/1000/$C$3)</f>
        <v>#DIV/0!</v>
      </c>
      <c r="AM314" s="974" t="e">
        <f>IF($F314="","",$F314*chronic_consumption!AH314/1000/$C$3)</f>
        <v>#DIV/0!</v>
      </c>
      <c r="AN314" s="974" t="e">
        <f>IF($F314="","",$F314*chronic_consumption!AI314/1000/$C$3)</f>
        <v>#DIV/0!</v>
      </c>
      <c r="AO314" s="974" t="e">
        <f>IF($F314="","",$F314*chronic_consumption!AJ314/1000/$C$3)</f>
        <v>#DIV/0!</v>
      </c>
      <c r="AP314" s="974" t="e">
        <f>IF($F314="","",$F314*chronic_consumption!AK314/1000/$C$3)</f>
        <v>#DIV/0!</v>
      </c>
      <c r="AQ314" s="974" t="e">
        <f>IF($F314="","",$F314*chronic_consumption!AL314/1000/$C$3)</f>
        <v>#DIV/0!</v>
      </c>
      <c r="AR314" s="974" t="e">
        <f>IF($F314="","",$F314*chronic_consumption!AM314/1000/$C$3)</f>
        <v>#DIV/0!</v>
      </c>
      <c r="AS314" s="974" t="e">
        <f>IF($F314="","",$F314*chronic_consumption!AN314/1000/$C$3)</f>
        <v>#DIV/0!</v>
      </c>
      <c r="AT314" s="974" t="e">
        <f>IF($F314="","",$F314*chronic_consumption!AO314/1000/$C$3)</f>
        <v>#DIV/0!</v>
      </c>
      <c r="AU314" s="974"/>
      <c r="AV314" s="974" t="e">
        <f>IF($F314="","",$F314*chronic_consumption!AQ314/1000/$C$3)</f>
        <v>#DIV/0!</v>
      </c>
      <c r="AW314" s="974" t="e">
        <f>IF($F314="","",$F314*chronic_consumption!AR314/1000/$C$3)</f>
        <v>#DIV/0!</v>
      </c>
      <c r="AX314" s="974" t="e">
        <f>IF($F314="","",$F314*chronic_consumption!AS314/1000/$C$3)</f>
        <v>#DIV/0!</v>
      </c>
      <c r="AY314" s="974" t="e">
        <f>IF($F314="","",$F314*chronic_consumption!AT314/1000/$C$3)</f>
        <v>#DIV/0!</v>
      </c>
      <c r="AZ314" s="973" t="s">
        <v>19</v>
      </c>
      <c r="BA314" s="969" t="e">
        <f t="shared" si="23"/>
        <v>#DIV/0!</v>
      </c>
      <c r="BB314" s="970" t="e">
        <f t="shared" si="24"/>
        <v>#DIV/0!</v>
      </c>
      <c r="BC314" s="971" t="e">
        <f t="shared" ca="1" si="25"/>
        <v>#DIV/0!</v>
      </c>
      <c r="BD314" s="228">
        <f>input_values!Z314</f>
        <v>4</v>
      </c>
      <c r="BE314" s="152">
        <f>input_values!L314</f>
        <v>0</v>
      </c>
      <c r="BF314" s="972" t="str">
        <f t="shared" si="26"/>
        <v/>
      </c>
    </row>
    <row r="315" spans="1:58" ht="12" customHeight="1" outlineLevel="1" x14ac:dyDescent="0.2">
      <c r="A315" s="314">
        <v>2</v>
      </c>
      <c r="B315" s="131">
        <v>870000</v>
      </c>
      <c r="C315" s="131" t="s">
        <v>82</v>
      </c>
      <c r="D315" s="965">
        <f>Table22[[#This Row],[MRL individual commodity]]</f>
        <v>0</v>
      </c>
      <c r="E315" s="300">
        <f>Table22[[#This Row],[LOQ_label]]</f>
        <v>0</v>
      </c>
      <c r="F315" s="966">
        <f>Table22[[#This Row],[Chronic RA input value]]</f>
        <v>0</v>
      </c>
      <c r="G315" s="304">
        <f>Table22[[#This Row],[Chronic RA label]]</f>
        <v>0</v>
      </c>
      <c r="H315" s="304">
        <f>Table22[[#This Row],[GAP under assessment]]</f>
        <v>0</v>
      </c>
      <c r="I315" s="1123"/>
      <c r="J315" s="967" t="e">
        <f>IF($F315="","",$F315*chronic_consumption!$E315/1000/$C$3)</f>
        <v>#DIV/0!</v>
      </c>
      <c r="K315" s="967" t="e">
        <f>IF($F315="","",$F315*chronic_consumption!F315/1000/$C$3)</f>
        <v>#DIV/0!</v>
      </c>
      <c r="L315" s="967" t="e">
        <f>IF($F315="","",$F315*chronic_consumption!G315/1000/$C$3)</f>
        <v>#DIV/0!</v>
      </c>
      <c r="M315" s="967" t="e">
        <f>IF($F315="","",$F315*chronic_consumption!H315/1000/$C$3)</f>
        <v>#DIV/0!</v>
      </c>
      <c r="N315" s="967" t="e">
        <f>IF($F315="","",$F315*chronic_consumption!I315/1000/$C$3)</f>
        <v>#DIV/0!</v>
      </c>
      <c r="O315" s="967" t="e">
        <f>IF($F315="","",$F315*chronic_consumption!J315/1000/$C$3)</f>
        <v>#DIV/0!</v>
      </c>
      <c r="P315" s="967" t="e">
        <f>IF($F315="","",$F315*chronic_consumption!K315/1000/$C$3)</f>
        <v>#DIV/0!</v>
      </c>
      <c r="Q315" s="967" t="e">
        <f>IF($F315="","",$F315*chronic_consumption!L315/1000/$C$3)</f>
        <v>#DIV/0!</v>
      </c>
      <c r="R315" s="967" t="e">
        <f>IF($F315="","",$F315*chronic_consumption!M315/1000/$C$3)</f>
        <v>#DIV/0!</v>
      </c>
      <c r="S315" s="967" t="e">
        <f>IF($F315="","",$F315*chronic_consumption!N315/1000/$C$3)</f>
        <v>#DIV/0!</v>
      </c>
      <c r="T315" s="967" t="e">
        <f>IF($F315="","",$F315*chronic_consumption!O315/1000/$C$3)</f>
        <v>#DIV/0!</v>
      </c>
      <c r="U315" s="967" t="e">
        <f>IF($F315="","",$F315*chronic_consumption!P315/1000/$C$3)</f>
        <v>#DIV/0!</v>
      </c>
      <c r="V315" s="967" t="e">
        <f>IF($F315="","",$F315*chronic_consumption!Q315/1000/$C$3)</f>
        <v>#DIV/0!</v>
      </c>
      <c r="W315" s="967" t="e">
        <f>IF($F315="","",$F315*chronic_consumption!R315/1000/$C$3)</f>
        <v>#DIV/0!</v>
      </c>
      <c r="X315" s="967" t="e">
        <f>IF($F315="","",$F315*chronic_consumption!S315/1000/$C$3)</f>
        <v>#DIV/0!</v>
      </c>
      <c r="Y315" s="967" t="e">
        <f>IF($F315="","",$F315*chronic_consumption!T315/1000/$C$3)</f>
        <v>#DIV/0!</v>
      </c>
      <c r="Z315" s="967" t="e">
        <f>IF($F315="","",$F315*chronic_consumption!U315/1000/$C$3)</f>
        <v>#DIV/0!</v>
      </c>
      <c r="AA315" s="967" t="e">
        <f>IF($F315="","",$F315*chronic_consumption!V315/1000/$C$3)</f>
        <v>#DIV/0!</v>
      </c>
      <c r="AB315" s="967" t="e">
        <f>IF($F315="","",$F315*chronic_consumption!W315/1000/$C$3)</f>
        <v>#DIV/0!</v>
      </c>
      <c r="AC315" s="967" t="e">
        <f>IF($F315="","",$F315*chronic_consumption!X315/1000/$C$3)</f>
        <v>#DIV/0!</v>
      </c>
      <c r="AD315" s="967" t="e">
        <f>IF($F315="","",$F315*chronic_consumption!Y315/1000/$C$3)</f>
        <v>#DIV/0!</v>
      </c>
      <c r="AE315" s="967" t="e">
        <f>IF($F315="","",$F315*chronic_consumption!Z315/1000/$C$3)</f>
        <v>#DIV/0!</v>
      </c>
      <c r="AF315" s="967" t="e">
        <f>IF($F315="","",$F315*chronic_consumption!AA315/1000/$C$3)</f>
        <v>#DIV/0!</v>
      </c>
      <c r="AG315" s="967" t="e">
        <f>IF($F315="","",$F315*chronic_consumption!AB315/1000/$C$3)</f>
        <v>#DIV/0!</v>
      </c>
      <c r="AH315" s="967" t="e">
        <f>IF($F315="","",$F315*chronic_consumption!AC315/1000/$C$3)</f>
        <v>#DIV/0!</v>
      </c>
      <c r="AI315" s="967" t="e">
        <f>IF($F315="","",$F315*chronic_consumption!AD315/1000/$C$3)</f>
        <v>#DIV/0!</v>
      </c>
      <c r="AJ315" s="967" t="e">
        <f>IF($F315="","",$F315*chronic_consumption!AE315/1000/$C$3)</f>
        <v>#DIV/0!</v>
      </c>
      <c r="AK315" s="967" t="e">
        <f>IF($F315="","",$F315*chronic_consumption!AF315/1000/$C$3)</f>
        <v>#DIV/0!</v>
      </c>
      <c r="AL315" s="967" t="e">
        <f>IF($F315="","",$F315*chronic_consumption!AG315/1000/$C$3)</f>
        <v>#DIV/0!</v>
      </c>
      <c r="AM315" s="967" t="e">
        <f>IF($F315="","",$F315*chronic_consumption!AH315/1000/$C$3)</f>
        <v>#DIV/0!</v>
      </c>
      <c r="AN315" s="967" t="e">
        <f>IF($F315="","",$F315*chronic_consumption!AI315/1000/$C$3)</f>
        <v>#DIV/0!</v>
      </c>
      <c r="AO315" s="967" t="e">
        <f>IF($F315="","",$F315*chronic_consumption!AJ315/1000/$C$3)</f>
        <v>#DIV/0!</v>
      </c>
      <c r="AP315" s="967" t="e">
        <f>IF($F315="","",$F315*chronic_consumption!AK315/1000/$C$3)</f>
        <v>#DIV/0!</v>
      </c>
      <c r="AQ315" s="967" t="e">
        <f>IF($F315="","",$F315*chronic_consumption!AL315/1000/$C$3)</f>
        <v>#DIV/0!</v>
      </c>
      <c r="AR315" s="967" t="e">
        <f>IF($F315="","",$F315*chronic_consumption!AM315/1000/$C$3)</f>
        <v>#DIV/0!</v>
      </c>
      <c r="AS315" s="967" t="e">
        <f>IF($F315="","",$F315*chronic_consumption!AN315/1000/$C$3)</f>
        <v>#DIV/0!</v>
      </c>
      <c r="AT315" s="967" t="e">
        <f>IF($F315="","",$F315*chronic_consumption!AO315/1000/$C$3)</f>
        <v>#DIV/0!</v>
      </c>
      <c r="AU315" s="967"/>
      <c r="AV315" s="967" t="e">
        <f>IF($F315="","",$F315*chronic_consumption!AQ315/1000/$C$3)</f>
        <v>#DIV/0!</v>
      </c>
      <c r="AW315" s="967" t="e">
        <f>IF($F315="","",$F315*chronic_consumption!AR315/1000/$C$3)</f>
        <v>#DIV/0!</v>
      </c>
      <c r="AX315" s="967" t="e">
        <f>IF($F315="","",$F315*chronic_consumption!AS315/1000/$C$3)</f>
        <v>#DIV/0!</v>
      </c>
      <c r="AY315" s="967" t="e">
        <f>IF($F315="","",$F315*chronic_consumption!AT315/1000/$C$3)</f>
        <v>#DIV/0!</v>
      </c>
      <c r="AZ315" s="973"/>
      <c r="BA315" s="969" t="e">
        <f t="shared" si="23"/>
        <v>#DIV/0!</v>
      </c>
      <c r="BB315" s="970" t="e">
        <f t="shared" si="24"/>
        <v>#DIV/0!</v>
      </c>
      <c r="BC315" s="971" t="e">
        <f t="shared" ca="1" si="25"/>
        <v>#DIV/0!</v>
      </c>
      <c r="BD315" s="228">
        <f>input_values!Z315</f>
        <v>4</v>
      </c>
      <c r="BE315" s="152">
        <f>input_values!L315</f>
        <v>0</v>
      </c>
      <c r="BF315" s="972" t="str">
        <f t="shared" si="26"/>
        <v/>
      </c>
    </row>
    <row r="316" spans="1:58" ht="12" customHeight="1" outlineLevel="3" x14ac:dyDescent="0.2">
      <c r="A316" s="21">
        <v>4</v>
      </c>
      <c r="B316" s="23">
        <v>870010</v>
      </c>
      <c r="C316" s="23" t="s">
        <v>205</v>
      </c>
      <c r="D316" s="965">
        <f>Table22[[#This Row],[MRL individual commodity]]</f>
        <v>0</v>
      </c>
      <c r="E316" s="300" t="str">
        <f>Table22[[#This Row],[LOQ_label]]</f>
        <v/>
      </c>
      <c r="F316" s="966">
        <f>Table22[[#This Row],[Chronic RA input value]]</f>
        <v>0</v>
      </c>
      <c r="G316" s="304" t="str">
        <f>Table22[[#This Row],[Chronic RA label]]</f>
        <v/>
      </c>
      <c r="H316" s="304">
        <f>Table22[[#This Row],[GAP under assessment]]</f>
        <v>0</v>
      </c>
      <c r="I316" s="1123"/>
      <c r="J316" s="974" t="e">
        <f>IF($F316="","",$F316*chronic_consumption!$E316/1000/$C$3)</f>
        <v>#DIV/0!</v>
      </c>
      <c r="K316" s="974" t="e">
        <f>IF($F316="","",$F316*chronic_consumption!F316/1000/$C$3)</f>
        <v>#DIV/0!</v>
      </c>
      <c r="L316" s="974" t="e">
        <f>IF($F316="","",$F316*chronic_consumption!G316/1000/$C$3)</f>
        <v>#DIV/0!</v>
      </c>
      <c r="M316" s="974" t="e">
        <f>IF($F316="","",$F316*chronic_consumption!H316/1000/$C$3)</f>
        <v>#DIV/0!</v>
      </c>
      <c r="N316" s="974" t="e">
        <f>IF($F316="","",$F316*chronic_consumption!I316/1000/$C$3)</f>
        <v>#DIV/0!</v>
      </c>
      <c r="O316" s="974" t="e">
        <f>IF($F316="","",$F316*chronic_consumption!J316/1000/$C$3)</f>
        <v>#DIV/0!</v>
      </c>
      <c r="P316" s="974" t="e">
        <f>IF($F316="","",$F316*chronic_consumption!K316/1000/$C$3)</f>
        <v>#DIV/0!</v>
      </c>
      <c r="Q316" s="974" t="e">
        <f>IF($F316="","",$F316*chronic_consumption!L316/1000/$C$3)</f>
        <v>#DIV/0!</v>
      </c>
      <c r="R316" s="974" t="e">
        <f>IF($F316="","",$F316*chronic_consumption!M316/1000/$C$3)</f>
        <v>#DIV/0!</v>
      </c>
      <c r="S316" s="974" t="e">
        <f>IF($F316="","",$F316*chronic_consumption!N316/1000/$C$3)</f>
        <v>#DIV/0!</v>
      </c>
      <c r="T316" s="974" t="e">
        <f>IF($F316="","",$F316*chronic_consumption!O316/1000/$C$3)</f>
        <v>#DIV/0!</v>
      </c>
      <c r="U316" s="974" t="e">
        <f>IF($F316="","",$F316*chronic_consumption!P316/1000/$C$3)</f>
        <v>#DIV/0!</v>
      </c>
      <c r="V316" s="974" t="e">
        <f>IF($F316="","",$F316*chronic_consumption!Q316/1000/$C$3)</f>
        <v>#DIV/0!</v>
      </c>
      <c r="W316" s="974" t="e">
        <f>IF($F316="","",$F316*chronic_consumption!R316/1000/$C$3)</f>
        <v>#DIV/0!</v>
      </c>
      <c r="X316" s="974" t="e">
        <f>IF($F316="","",$F316*chronic_consumption!S316/1000/$C$3)</f>
        <v>#DIV/0!</v>
      </c>
      <c r="Y316" s="974" t="e">
        <f>IF($F316="","",$F316*chronic_consumption!T316/1000/$C$3)</f>
        <v>#DIV/0!</v>
      </c>
      <c r="Z316" s="974" t="e">
        <f>IF($F316="","",$F316*chronic_consumption!U316/1000/$C$3)</f>
        <v>#DIV/0!</v>
      </c>
      <c r="AA316" s="974" t="e">
        <f>IF($F316="","",$F316*chronic_consumption!V316/1000/$C$3)</f>
        <v>#DIV/0!</v>
      </c>
      <c r="AB316" s="974" t="e">
        <f>IF($F316="","",$F316*chronic_consumption!W316/1000/$C$3)</f>
        <v>#DIV/0!</v>
      </c>
      <c r="AC316" s="974" t="e">
        <f>IF($F316="","",$F316*chronic_consumption!X316/1000/$C$3)</f>
        <v>#DIV/0!</v>
      </c>
      <c r="AD316" s="974" t="e">
        <f>IF($F316="","",$F316*chronic_consumption!Y316/1000/$C$3)</f>
        <v>#DIV/0!</v>
      </c>
      <c r="AE316" s="974" t="e">
        <f>IF($F316="","",$F316*chronic_consumption!Z316/1000/$C$3)</f>
        <v>#DIV/0!</v>
      </c>
      <c r="AF316" s="974" t="e">
        <f>IF($F316="","",$F316*chronic_consumption!AA316/1000/$C$3)</f>
        <v>#DIV/0!</v>
      </c>
      <c r="AG316" s="974" t="e">
        <f>IF($F316="","",$F316*chronic_consumption!AB316/1000/$C$3)</f>
        <v>#DIV/0!</v>
      </c>
      <c r="AH316" s="974" t="e">
        <f>IF($F316="","",$F316*chronic_consumption!AC316/1000/$C$3)</f>
        <v>#DIV/0!</v>
      </c>
      <c r="AI316" s="974" t="e">
        <f>IF($F316="","",$F316*chronic_consumption!AD316/1000/$C$3)</f>
        <v>#DIV/0!</v>
      </c>
      <c r="AJ316" s="974" t="e">
        <f>IF($F316="","",$F316*chronic_consumption!AE316/1000/$C$3)</f>
        <v>#DIV/0!</v>
      </c>
      <c r="AK316" s="974" t="e">
        <f>IF($F316="","",$F316*chronic_consumption!AF316/1000/$C$3)</f>
        <v>#DIV/0!</v>
      </c>
      <c r="AL316" s="974" t="e">
        <f>IF($F316="","",$F316*chronic_consumption!AG316/1000/$C$3)</f>
        <v>#DIV/0!</v>
      </c>
      <c r="AM316" s="974" t="e">
        <f>IF($F316="","",$F316*chronic_consumption!AH316/1000/$C$3)</f>
        <v>#DIV/0!</v>
      </c>
      <c r="AN316" s="974" t="e">
        <f>IF($F316="","",$F316*chronic_consumption!AI316/1000/$C$3)</f>
        <v>#DIV/0!</v>
      </c>
      <c r="AO316" s="974" t="e">
        <f>IF($F316="","",$F316*chronic_consumption!AJ316/1000/$C$3)</f>
        <v>#DIV/0!</v>
      </c>
      <c r="AP316" s="974" t="e">
        <f>IF($F316="","",$F316*chronic_consumption!AK316/1000/$C$3)</f>
        <v>#DIV/0!</v>
      </c>
      <c r="AQ316" s="974" t="e">
        <f>IF($F316="","",$F316*chronic_consumption!AL316/1000/$C$3)</f>
        <v>#DIV/0!</v>
      </c>
      <c r="AR316" s="974" t="e">
        <f>IF($F316="","",$F316*chronic_consumption!AM316/1000/$C$3)</f>
        <v>#DIV/0!</v>
      </c>
      <c r="AS316" s="974" t="e">
        <f>IF($F316="","",$F316*chronic_consumption!AN316/1000/$C$3)</f>
        <v>#DIV/0!</v>
      </c>
      <c r="AT316" s="974" t="e">
        <f>IF($F316="","",$F316*chronic_consumption!AO316/1000/$C$3)</f>
        <v>#DIV/0!</v>
      </c>
      <c r="AU316" s="974"/>
      <c r="AV316" s="974" t="e">
        <f>IF($F316="","",$F316*chronic_consumption!AQ316/1000/$C$3)</f>
        <v>#DIV/0!</v>
      </c>
      <c r="AW316" s="974" t="e">
        <f>IF($F316="","",$F316*chronic_consumption!AR316/1000/$C$3)</f>
        <v>#DIV/0!</v>
      </c>
      <c r="AX316" s="974" t="e">
        <f>IF($F316="","",$F316*chronic_consumption!AS316/1000/$C$3)</f>
        <v>#DIV/0!</v>
      </c>
      <c r="AY316" s="974" t="e">
        <f>IF($F316="","",$F316*chronic_consumption!AT316/1000/$C$3)</f>
        <v>#DIV/0!</v>
      </c>
      <c r="AZ316" s="973" t="s">
        <v>19</v>
      </c>
      <c r="BA316" s="969" t="e">
        <f t="shared" si="23"/>
        <v>#DIV/0!</v>
      </c>
      <c r="BB316" s="970" t="e">
        <f t="shared" si="24"/>
        <v>#DIV/0!</v>
      </c>
      <c r="BC316" s="971" t="e">
        <f t="shared" ca="1" si="25"/>
        <v>#DIV/0!</v>
      </c>
      <c r="BD316" s="228">
        <f>input_values!Z316</f>
        <v>4</v>
      </c>
      <c r="BE316" s="152">
        <f>input_values!L316</f>
        <v>0</v>
      </c>
      <c r="BF316" s="972" t="str">
        <f t="shared" si="26"/>
        <v/>
      </c>
    </row>
    <row r="317" spans="1:58" ht="12" customHeight="1" outlineLevel="3" x14ac:dyDescent="0.2">
      <c r="A317" s="21">
        <v>4</v>
      </c>
      <c r="B317" s="23">
        <v>870990</v>
      </c>
      <c r="C317" s="23" t="s">
        <v>189</v>
      </c>
      <c r="D317" s="965">
        <f>Table22[[#This Row],[MRL individual commodity]]</f>
        <v>0</v>
      </c>
      <c r="E317" s="300" t="str">
        <f>Table22[[#This Row],[LOQ_label]]</f>
        <v/>
      </c>
      <c r="F317" s="966">
        <f>Table22[[#This Row],[Chronic RA input value]]</f>
        <v>0</v>
      </c>
      <c r="G317" s="304" t="str">
        <f>Table22[[#This Row],[Chronic RA label]]</f>
        <v/>
      </c>
      <c r="H317" s="304">
        <f>Table22[[#This Row],[GAP under assessment]]</f>
        <v>0</v>
      </c>
      <c r="I317" s="1123"/>
      <c r="J317" s="974" t="e">
        <f>IF($F317="","",$F317*chronic_consumption!$E317/1000/$C$3)</f>
        <v>#DIV/0!</v>
      </c>
      <c r="K317" s="974" t="e">
        <f>IF($F317="","",$F317*chronic_consumption!F317/1000/$C$3)</f>
        <v>#DIV/0!</v>
      </c>
      <c r="L317" s="974" t="e">
        <f>IF($F317="","",$F317*chronic_consumption!G317/1000/$C$3)</f>
        <v>#DIV/0!</v>
      </c>
      <c r="M317" s="974" t="e">
        <f>IF($F317="","",$F317*chronic_consumption!H317/1000/$C$3)</f>
        <v>#DIV/0!</v>
      </c>
      <c r="N317" s="974" t="e">
        <f>IF($F317="","",$F317*chronic_consumption!I317/1000/$C$3)</f>
        <v>#DIV/0!</v>
      </c>
      <c r="O317" s="974" t="e">
        <f>IF($F317="","",$F317*chronic_consumption!J317/1000/$C$3)</f>
        <v>#DIV/0!</v>
      </c>
      <c r="P317" s="974" t="e">
        <f>IF($F317="","",$F317*chronic_consumption!K317/1000/$C$3)</f>
        <v>#DIV/0!</v>
      </c>
      <c r="Q317" s="974" t="e">
        <f>IF($F317="","",$F317*chronic_consumption!L317/1000/$C$3)</f>
        <v>#DIV/0!</v>
      </c>
      <c r="R317" s="974" t="e">
        <f>IF($F317="","",$F317*chronic_consumption!M317/1000/$C$3)</f>
        <v>#DIV/0!</v>
      </c>
      <c r="S317" s="974" t="e">
        <f>IF($F317="","",$F317*chronic_consumption!N317/1000/$C$3)</f>
        <v>#DIV/0!</v>
      </c>
      <c r="T317" s="974" t="e">
        <f>IF($F317="","",$F317*chronic_consumption!O317/1000/$C$3)</f>
        <v>#DIV/0!</v>
      </c>
      <c r="U317" s="974" t="e">
        <f>IF($F317="","",$F317*chronic_consumption!P317/1000/$C$3)</f>
        <v>#DIV/0!</v>
      </c>
      <c r="V317" s="974" t="e">
        <f>IF($F317="","",$F317*chronic_consumption!Q317/1000/$C$3)</f>
        <v>#DIV/0!</v>
      </c>
      <c r="W317" s="974" t="e">
        <f>IF($F317="","",$F317*chronic_consumption!R317/1000/$C$3)</f>
        <v>#DIV/0!</v>
      </c>
      <c r="X317" s="974" t="e">
        <f>IF($F317="","",$F317*chronic_consumption!S317/1000/$C$3)</f>
        <v>#DIV/0!</v>
      </c>
      <c r="Y317" s="974" t="e">
        <f>IF($F317="","",$F317*chronic_consumption!T317/1000/$C$3)</f>
        <v>#DIV/0!</v>
      </c>
      <c r="Z317" s="974" t="e">
        <f>IF($F317="","",$F317*chronic_consumption!U317/1000/$C$3)</f>
        <v>#DIV/0!</v>
      </c>
      <c r="AA317" s="974" t="e">
        <f>IF($F317="","",$F317*chronic_consumption!V317/1000/$C$3)</f>
        <v>#DIV/0!</v>
      </c>
      <c r="AB317" s="974" t="e">
        <f>IF($F317="","",$F317*chronic_consumption!W317/1000/$C$3)</f>
        <v>#DIV/0!</v>
      </c>
      <c r="AC317" s="974" t="e">
        <f>IF($F317="","",$F317*chronic_consumption!X317/1000/$C$3)</f>
        <v>#DIV/0!</v>
      </c>
      <c r="AD317" s="974" t="e">
        <f>IF($F317="","",$F317*chronic_consumption!Y317/1000/$C$3)</f>
        <v>#DIV/0!</v>
      </c>
      <c r="AE317" s="974" t="e">
        <f>IF($F317="","",$F317*chronic_consumption!Z317/1000/$C$3)</f>
        <v>#DIV/0!</v>
      </c>
      <c r="AF317" s="974" t="e">
        <f>IF($F317="","",$F317*chronic_consumption!AA317/1000/$C$3)</f>
        <v>#DIV/0!</v>
      </c>
      <c r="AG317" s="974" t="e">
        <f>IF($F317="","",$F317*chronic_consumption!AB317/1000/$C$3)</f>
        <v>#DIV/0!</v>
      </c>
      <c r="AH317" s="974" t="e">
        <f>IF($F317="","",$F317*chronic_consumption!AC317/1000/$C$3)</f>
        <v>#DIV/0!</v>
      </c>
      <c r="AI317" s="974" t="e">
        <f>IF($F317="","",$F317*chronic_consumption!AD317/1000/$C$3)</f>
        <v>#DIV/0!</v>
      </c>
      <c r="AJ317" s="974" t="e">
        <f>IF($F317="","",$F317*chronic_consumption!AE317/1000/$C$3)</f>
        <v>#DIV/0!</v>
      </c>
      <c r="AK317" s="974" t="e">
        <f>IF($F317="","",$F317*chronic_consumption!AF317/1000/$C$3)</f>
        <v>#DIV/0!</v>
      </c>
      <c r="AL317" s="974" t="e">
        <f>IF($F317="","",$F317*chronic_consumption!AG317/1000/$C$3)</f>
        <v>#DIV/0!</v>
      </c>
      <c r="AM317" s="974" t="e">
        <f>IF($F317="","",$F317*chronic_consumption!AH317/1000/$C$3)</f>
        <v>#DIV/0!</v>
      </c>
      <c r="AN317" s="974" t="e">
        <f>IF($F317="","",$F317*chronic_consumption!AI317/1000/$C$3)</f>
        <v>#DIV/0!</v>
      </c>
      <c r="AO317" s="974" t="e">
        <f>IF($F317="","",$F317*chronic_consumption!AJ317/1000/$C$3)</f>
        <v>#DIV/0!</v>
      </c>
      <c r="AP317" s="974" t="e">
        <f>IF($F317="","",$F317*chronic_consumption!AK317/1000/$C$3)</f>
        <v>#DIV/0!</v>
      </c>
      <c r="AQ317" s="974" t="e">
        <f>IF($F317="","",$F317*chronic_consumption!AL317/1000/$C$3)</f>
        <v>#DIV/0!</v>
      </c>
      <c r="AR317" s="974" t="e">
        <f>IF($F317="","",$F317*chronic_consumption!AM317/1000/$C$3)</f>
        <v>#DIV/0!</v>
      </c>
      <c r="AS317" s="974" t="e">
        <f>IF($F317="","",$F317*chronic_consumption!AN317/1000/$C$3)</f>
        <v>#DIV/0!</v>
      </c>
      <c r="AT317" s="974" t="e">
        <f>IF($F317="","",$F317*chronic_consumption!AO317/1000/$C$3)</f>
        <v>#DIV/0!</v>
      </c>
      <c r="AU317" s="974"/>
      <c r="AV317" s="974" t="e">
        <f>IF($F317="","",$F317*chronic_consumption!AQ317/1000/$C$3)</f>
        <v>#DIV/0!</v>
      </c>
      <c r="AW317" s="974" t="e">
        <f>IF($F317="","",$F317*chronic_consumption!AR317/1000/$C$3)</f>
        <v>#DIV/0!</v>
      </c>
      <c r="AX317" s="974" t="e">
        <f>IF($F317="","",$F317*chronic_consumption!AS317/1000/$C$3)</f>
        <v>#DIV/0!</v>
      </c>
      <c r="AY317" s="974" t="e">
        <f>IF($F317="","",$F317*chronic_consumption!AT317/1000/$C$3)</f>
        <v>#DIV/0!</v>
      </c>
      <c r="AZ317" s="973" t="s">
        <v>19</v>
      </c>
      <c r="BA317" s="969" t="e">
        <f t="shared" si="23"/>
        <v>#DIV/0!</v>
      </c>
      <c r="BB317" s="970" t="e">
        <f t="shared" si="24"/>
        <v>#DIV/0!</v>
      </c>
      <c r="BC317" s="971" t="e">
        <f t="shared" ca="1" si="25"/>
        <v>#DIV/0!</v>
      </c>
      <c r="BD317" s="228">
        <f>input_values!Z317</f>
        <v>4</v>
      </c>
      <c r="BE317" s="152">
        <f>input_values!L317</f>
        <v>0</v>
      </c>
      <c r="BF317" s="972" t="str">
        <f t="shared" si="26"/>
        <v/>
      </c>
    </row>
    <row r="318" spans="1:58" ht="12" customHeight="1" x14ac:dyDescent="0.2">
      <c r="A318" s="299">
        <v>1</v>
      </c>
      <c r="B318" s="127">
        <v>900000</v>
      </c>
      <c r="C318" s="127" t="s">
        <v>145</v>
      </c>
      <c r="D318" s="965">
        <f>Table22[[#This Row],[MRL individual commodity]]</f>
        <v>0</v>
      </c>
      <c r="E318" s="300">
        <f>Table22[[#This Row],[LOQ_label]]</f>
        <v>0</v>
      </c>
      <c r="F318" s="966">
        <f>Table22[[#This Row],[Chronic RA input value]]</f>
        <v>0</v>
      </c>
      <c r="G318" s="304">
        <f>Table22[[#This Row],[Chronic RA label]]</f>
        <v>0</v>
      </c>
      <c r="H318" s="304">
        <f>Table22[[#This Row],[GAP under assessment]]</f>
        <v>0</v>
      </c>
      <c r="I318" s="1123"/>
      <c r="J318" s="967" t="e">
        <f>IF($F318="","",$F318*chronic_consumption!$E318/1000/$C$3)</f>
        <v>#DIV/0!</v>
      </c>
      <c r="K318" s="967" t="e">
        <f>IF($F318="","",$F318*chronic_consumption!F318/1000/$C$3)</f>
        <v>#DIV/0!</v>
      </c>
      <c r="L318" s="967" t="e">
        <f>IF($F318="","",$F318*chronic_consumption!G318/1000/$C$3)</f>
        <v>#DIV/0!</v>
      </c>
      <c r="M318" s="967" t="e">
        <f>IF($F318="","",$F318*chronic_consumption!H318/1000/$C$3)</f>
        <v>#DIV/0!</v>
      </c>
      <c r="N318" s="967" t="e">
        <f>IF($F318="","",$F318*chronic_consumption!I318/1000/$C$3)</f>
        <v>#DIV/0!</v>
      </c>
      <c r="O318" s="967" t="e">
        <f>IF($F318="","",$F318*chronic_consumption!J318/1000/$C$3)</f>
        <v>#DIV/0!</v>
      </c>
      <c r="P318" s="967" t="e">
        <f>IF($F318="","",$F318*chronic_consumption!K318/1000/$C$3)</f>
        <v>#DIV/0!</v>
      </c>
      <c r="Q318" s="967" t="e">
        <f>IF($F318="","",$F318*chronic_consumption!L318/1000/$C$3)</f>
        <v>#DIV/0!</v>
      </c>
      <c r="R318" s="967" t="e">
        <f>IF($F318="","",$F318*chronic_consumption!M318/1000/$C$3)</f>
        <v>#DIV/0!</v>
      </c>
      <c r="S318" s="967" t="e">
        <f>IF($F318="","",$F318*chronic_consumption!N318/1000/$C$3)</f>
        <v>#DIV/0!</v>
      </c>
      <c r="T318" s="967" t="e">
        <f>IF($F318="","",$F318*chronic_consumption!O318/1000/$C$3)</f>
        <v>#DIV/0!</v>
      </c>
      <c r="U318" s="967" t="e">
        <f>IF($F318="","",$F318*chronic_consumption!P318/1000/$C$3)</f>
        <v>#DIV/0!</v>
      </c>
      <c r="V318" s="967" t="e">
        <f>IF($F318="","",$F318*chronic_consumption!Q318/1000/$C$3)</f>
        <v>#DIV/0!</v>
      </c>
      <c r="W318" s="967" t="e">
        <f>IF($F318="","",$F318*chronic_consumption!R318/1000/$C$3)</f>
        <v>#DIV/0!</v>
      </c>
      <c r="X318" s="967" t="e">
        <f>IF($F318="","",$F318*chronic_consumption!S318/1000/$C$3)</f>
        <v>#DIV/0!</v>
      </c>
      <c r="Y318" s="967" t="e">
        <f>IF($F318="","",$F318*chronic_consumption!T318/1000/$C$3)</f>
        <v>#DIV/0!</v>
      </c>
      <c r="Z318" s="967" t="e">
        <f>IF($F318="","",$F318*chronic_consumption!U318/1000/$C$3)</f>
        <v>#DIV/0!</v>
      </c>
      <c r="AA318" s="967" t="e">
        <f>IF($F318="","",$F318*chronic_consumption!V318/1000/$C$3)</f>
        <v>#DIV/0!</v>
      </c>
      <c r="AB318" s="967" t="e">
        <f>IF($F318="","",$F318*chronic_consumption!W318/1000/$C$3)</f>
        <v>#DIV/0!</v>
      </c>
      <c r="AC318" s="967" t="e">
        <f>IF($F318="","",$F318*chronic_consumption!X318/1000/$C$3)</f>
        <v>#DIV/0!</v>
      </c>
      <c r="AD318" s="967" t="e">
        <f>IF($F318="","",$F318*chronic_consumption!Y318/1000/$C$3)</f>
        <v>#DIV/0!</v>
      </c>
      <c r="AE318" s="967" t="e">
        <f>IF($F318="","",$F318*chronic_consumption!Z318/1000/$C$3)</f>
        <v>#DIV/0!</v>
      </c>
      <c r="AF318" s="967" t="e">
        <f>IF($F318="","",$F318*chronic_consumption!AA318/1000/$C$3)</f>
        <v>#DIV/0!</v>
      </c>
      <c r="AG318" s="967" t="e">
        <f>IF($F318="","",$F318*chronic_consumption!AB318/1000/$C$3)</f>
        <v>#DIV/0!</v>
      </c>
      <c r="AH318" s="967" t="e">
        <f>IF($F318="","",$F318*chronic_consumption!AC318/1000/$C$3)</f>
        <v>#DIV/0!</v>
      </c>
      <c r="AI318" s="967" t="e">
        <f>IF($F318="","",$F318*chronic_consumption!AD318/1000/$C$3)</f>
        <v>#DIV/0!</v>
      </c>
      <c r="AJ318" s="967" t="e">
        <f>IF($F318="","",$F318*chronic_consumption!AE318/1000/$C$3)</f>
        <v>#DIV/0!</v>
      </c>
      <c r="AK318" s="967" t="e">
        <f>IF($F318="","",$F318*chronic_consumption!AF318/1000/$C$3)</f>
        <v>#DIV/0!</v>
      </c>
      <c r="AL318" s="967" t="e">
        <f>IF($F318="","",$F318*chronic_consumption!AG318/1000/$C$3)</f>
        <v>#DIV/0!</v>
      </c>
      <c r="AM318" s="967" t="e">
        <f>IF($F318="","",$F318*chronic_consumption!AH318/1000/$C$3)</f>
        <v>#DIV/0!</v>
      </c>
      <c r="AN318" s="967" t="e">
        <f>IF($F318="","",$F318*chronic_consumption!AI318/1000/$C$3)</f>
        <v>#DIV/0!</v>
      </c>
      <c r="AO318" s="967" t="e">
        <f>IF($F318="","",$F318*chronic_consumption!AJ318/1000/$C$3)</f>
        <v>#DIV/0!</v>
      </c>
      <c r="AP318" s="967" t="e">
        <f>IF($F318="","",$F318*chronic_consumption!AK318/1000/$C$3)</f>
        <v>#DIV/0!</v>
      </c>
      <c r="AQ318" s="967" t="e">
        <f>IF($F318="","",$F318*chronic_consumption!AL318/1000/$C$3)</f>
        <v>#DIV/0!</v>
      </c>
      <c r="AR318" s="967" t="e">
        <f>IF($F318="","",$F318*chronic_consumption!AM318/1000/$C$3)</f>
        <v>#DIV/0!</v>
      </c>
      <c r="AS318" s="967" t="e">
        <f>IF($F318="","",$F318*chronic_consumption!AN318/1000/$C$3)</f>
        <v>#DIV/0!</v>
      </c>
      <c r="AT318" s="967" t="e">
        <f>IF($F318="","",$F318*chronic_consumption!AO318/1000/$C$3)</f>
        <v>#DIV/0!</v>
      </c>
      <c r="AU318" s="967"/>
      <c r="AV318" s="967" t="e">
        <f>IF($F318="","",$F318*chronic_consumption!AQ318/1000/$C$3)</f>
        <v>#DIV/0!</v>
      </c>
      <c r="AW318" s="967" t="e">
        <f>IF($F318="","",$F318*chronic_consumption!AR318/1000/$C$3)</f>
        <v>#DIV/0!</v>
      </c>
      <c r="AX318" s="967" t="e">
        <f>IF($F318="","",$F318*chronic_consumption!AS318/1000/$C$3)</f>
        <v>#DIV/0!</v>
      </c>
      <c r="AY318" s="967" t="e">
        <f>IF($F318="","",$F318*chronic_consumption!AT318/1000/$C$3)</f>
        <v>#DIV/0!</v>
      </c>
      <c r="AZ318" s="973"/>
      <c r="BA318" s="969" t="e">
        <f t="shared" si="23"/>
        <v>#DIV/0!</v>
      </c>
      <c r="BB318" s="970" t="e">
        <f t="shared" si="24"/>
        <v>#DIV/0!</v>
      </c>
      <c r="BC318" s="971" t="e">
        <f t="shared" ca="1" si="25"/>
        <v>#DIV/0!</v>
      </c>
      <c r="BD318" s="228">
        <f>input_values!Z318</f>
        <v>4</v>
      </c>
      <c r="BE318" s="152">
        <f>input_values!L318</f>
        <v>0</v>
      </c>
      <c r="BF318" s="972" t="str">
        <f t="shared" si="26"/>
        <v/>
      </c>
    </row>
    <row r="319" spans="1:58" ht="12" customHeight="1" outlineLevel="3" x14ac:dyDescent="0.2">
      <c r="A319" s="21">
        <v>4</v>
      </c>
      <c r="B319" s="23">
        <v>900010</v>
      </c>
      <c r="C319" s="23" t="s">
        <v>785</v>
      </c>
      <c r="D319" s="965">
        <f>Table22[[#This Row],[MRL individual commodity]]</f>
        <v>0</v>
      </c>
      <c r="E319" s="300" t="str">
        <f>Table22[[#This Row],[LOQ_label]]</f>
        <v/>
      </c>
      <c r="F319" s="966">
        <f>Table22[[#This Row],[Chronic RA input value]]</f>
        <v>0</v>
      </c>
      <c r="G319" s="304" t="str">
        <f>Table22[[#This Row],[Chronic RA label]]</f>
        <v/>
      </c>
      <c r="H319" s="304">
        <f>Table22[[#This Row],[GAP under assessment]]</f>
        <v>0</v>
      </c>
      <c r="I319" s="1123"/>
      <c r="J319" s="974" t="e">
        <f>IF($F319="","",$F319*chronic_consumption!$E319/1000/$C$3)</f>
        <v>#DIV/0!</v>
      </c>
      <c r="K319" s="974" t="e">
        <f>IF($F319="","",$F319*chronic_consumption!F319/1000/$C$3)</f>
        <v>#DIV/0!</v>
      </c>
      <c r="L319" s="974" t="e">
        <f>IF($F319="","",$F319*chronic_consumption!G319/1000/$C$3)</f>
        <v>#DIV/0!</v>
      </c>
      <c r="M319" s="974" t="e">
        <f>IF($F319="","",$F319*chronic_consumption!H319/1000/$C$3)</f>
        <v>#DIV/0!</v>
      </c>
      <c r="N319" s="974" t="e">
        <f>IF($F319="","",$F319*chronic_consumption!I319/1000/$C$3)</f>
        <v>#DIV/0!</v>
      </c>
      <c r="O319" s="974" t="e">
        <f>IF($F319="","",$F319*chronic_consumption!J319/1000/$C$3)</f>
        <v>#DIV/0!</v>
      </c>
      <c r="P319" s="974" t="e">
        <f>IF($F319="","",$F319*chronic_consumption!K319/1000/$C$3)</f>
        <v>#DIV/0!</v>
      </c>
      <c r="Q319" s="974" t="e">
        <f>IF($F319="","",$F319*chronic_consumption!L319/1000/$C$3)</f>
        <v>#DIV/0!</v>
      </c>
      <c r="R319" s="974" t="e">
        <f>IF($F319="","",$F319*chronic_consumption!M319/1000/$C$3)</f>
        <v>#DIV/0!</v>
      </c>
      <c r="S319" s="974" t="e">
        <f>IF($F319="","",$F319*chronic_consumption!N319/1000/$C$3)</f>
        <v>#DIV/0!</v>
      </c>
      <c r="T319" s="974" t="e">
        <f>IF($F319="","",$F319*chronic_consumption!O319/1000/$C$3)</f>
        <v>#DIV/0!</v>
      </c>
      <c r="U319" s="974" t="e">
        <f>IF($F319="","",$F319*chronic_consumption!P319/1000/$C$3)</f>
        <v>#DIV/0!</v>
      </c>
      <c r="V319" s="974" t="e">
        <f>IF($F319="","",$F319*chronic_consumption!Q319/1000/$C$3)</f>
        <v>#DIV/0!</v>
      </c>
      <c r="W319" s="974" t="e">
        <f>IF($F319="","",$F319*chronic_consumption!R319/1000/$C$3)</f>
        <v>#DIV/0!</v>
      </c>
      <c r="X319" s="974" t="e">
        <f>IF($F319="","",$F319*chronic_consumption!S319/1000/$C$3)</f>
        <v>#DIV/0!</v>
      </c>
      <c r="Y319" s="974" t="e">
        <f>IF($F319="","",$F319*chronic_consumption!T319/1000/$C$3)</f>
        <v>#DIV/0!</v>
      </c>
      <c r="Z319" s="974" t="e">
        <f>IF($F319="","",$F319*chronic_consumption!U319/1000/$C$3)</f>
        <v>#DIV/0!</v>
      </c>
      <c r="AA319" s="974" t="e">
        <f>IF($F319="","",$F319*chronic_consumption!V319/1000/$C$3)</f>
        <v>#DIV/0!</v>
      </c>
      <c r="AB319" s="974" t="e">
        <f>IF($F319="","",$F319*chronic_consumption!W319/1000/$C$3)</f>
        <v>#DIV/0!</v>
      </c>
      <c r="AC319" s="974" t="e">
        <f>IF($F319="","",$F319*chronic_consumption!X319/1000/$C$3)</f>
        <v>#DIV/0!</v>
      </c>
      <c r="AD319" s="974" t="e">
        <f>IF($F319="","",$F319*chronic_consumption!Y319/1000/$C$3)</f>
        <v>#DIV/0!</v>
      </c>
      <c r="AE319" s="974" t="e">
        <f>IF($F319="","",$F319*chronic_consumption!Z319/1000/$C$3)</f>
        <v>#DIV/0!</v>
      </c>
      <c r="AF319" s="974" t="e">
        <f>IF($F319="","",$F319*chronic_consumption!AA319/1000/$C$3)</f>
        <v>#DIV/0!</v>
      </c>
      <c r="AG319" s="974" t="e">
        <f>IF($F319="","",$F319*chronic_consumption!AB319/1000/$C$3)</f>
        <v>#DIV/0!</v>
      </c>
      <c r="AH319" s="974" t="e">
        <f>IF($F319="","",$F319*chronic_consumption!AC319/1000/$C$3)</f>
        <v>#DIV/0!</v>
      </c>
      <c r="AI319" s="974" t="e">
        <f>IF($F319="","",$F319*chronic_consumption!AD319/1000/$C$3)</f>
        <v>#DIV/0!</v>
      </c>
      <c r="AJ319" s="974" t="e">
        <f>IF($F319="","",$F319*chronic_consumption!AE319/1000/$C$3)</f>
        <v>#DIV/0!</v>
      </c>
      <c r="AK319" s="974" t="e">
        <f>IF($F319="","",$F319*chronic_consumption!AF319/1000/$C$3)</f>
        <v>#DIV/0!</v>
      </c>
      <c r="AL319" s="974" t="e">
        <f>IF($F319="","",$F319*chronic_consumption!AG319/1000/$C$3)</f>
        <v>#DIV/0!</v>
      </c>
      <c r="AM319" s="974" t="e">
        <f>IF($F319="","",$F319*chronic_consumption!AH319/1000/$C$3)</f>
        <v>#DIV/0!</v>
      </c>
      <c r="AN319" s="974" t="e">
        <f>IF($F319="","",$F319*chronic_consumption!AI319/1000/$C$3)</f>
        <v>#DIV/0!</v>
      </c>
      <c r="AO319" s="974" t="e">
        <f>IF($F319="","",$F319*chronic_consumption!AJ319/1000/$C$3)</f>
        <v>#DIV/0!</v>
      </c>
      <c r="AP319" s="974" t="e">
        <f>IF($F319="","",$F319*chronic_consumption!AK319/1000/$C$3)</f>
        <v>#DIV/0!</v>
      </c>
      <c r="AQ319" s="974" t="e">
        <f>IF($F319="","",$F319*chronic_consumption!AL319/1000/$C$3)</f>
        <v>#DIV/0!</v>
      </c>
      <c r="AR319" s="974" t="e">
        <f>IF($F319="","",$F319*chronic_consumption!AM319/1000/$C$3)</f>
        <v>#DIV/0!</v>
      </c>
      <c r="AS319" s="974" t="e">
        <f>IF($F319="","",$F319*chronic_consumption!AN319/1000/$C$3)</f>
        <v>#DIV/0!</v>
      </c>
      <c r="AT319" s="974" t="e">
        <f>IF($F319="","",$F319*chronic_consumption!AO319/1000/$C$3)</f>
        <v>#DIV/0!</v>
      </c>
      <c r="AU319" s="974"/>
      <c r="AV319" s="974" t="e">
        <f>IF($F319="","",$F319*chronic_consumption!AQ319/1000/$C$3)</f>
        <v>#DIV/0!</v>
      </c>
      <c r="AW319" s="974" t="e">
        <f>IF($F319="","",$F319*chronic_consumption!AR319/1000/$C$3)</f>
        <v>#DIV/0!</v>
      </c>
      <c r="AX319" s="974" t="e">
        <f>IF($F319="","",$F319*chronic_consumption!AS319/1000/$C$3)</f>
        <v>#DIV/0!</v>
      </c>
      <c r="AY319" s="974" t="e">
        <f>IF($F319="","",$F319*chronic_consumption!AT319/1000/$C$3)</f>
        <v>#DIV/0!</v>
      </c>
      <c r="AZ319" s="973" t="s">
        <v>19</v>
      </c>
      <c r="BA319" s="969" t="e">
        <f t="shared" si="23"/>
        <v>#DIV/0!</v>
      </c>
      <c r="BB319" s="970" t="e">
        <f t="shared" si="24"/>
        <v>#DIV/0!</v>
      </c>
      <c r="BC319" s="971" t="e">
        <f t="shared" ca="1" si="25"/>
        <v>#DIV/0!</v>
      </c>
      <c r="BD319" s="228">
        <f>input_values!Z319</f>
        <v>4</v>
      </c>
      <c r="BE319" s="152">
        <f>input_values!L319</f>
        <v>0</v>
      </c>
      <c r="BF319" s="972" t="str">
        <f t="shared" si="26"/>
        <v/>
      </c>
    </row>
    <row r="320" spans="1:58" ht="12" customHeight="1" outlineLevel="3" x14ac:dyDescent="0.2">
      <c r="A320" s="21">
        <v>4</v>
      </c>
      <c r="B320" s="23">
        <v>900020</v>
      </c>
      <c r="C320" s="23" t="s">
        <v>786</v>
      </c>
      <c r="D320" s="965">
        <f>Table22[[#This Row],[MRL individual commodity]]</f>
        <v>0</v>
      </c>
      <c r="E320" s="300" t="str">
        <f>Table22[[#This Row],[LOQ_label]]</f>
        <v/>
      </c>
      <c r="F320" s="966">
        <f>Table22[[#This Row],[Chronic RA input value]]</f>
        <v>0</v>
      </c>
      <c r="G320" s="304" t="str">
        <f>Table22[[#This Row],[Chronic RA label]]</f>
        <v/>
      </c>
      <c r="H320" s="304">
        <f>Table22[[#This Row],[GAP under assessment]]</f>
        <v>0</v>
      </c>
      <c r="I320" s="1123"/>
      <c r="J320" s="974" t="e">
        <f>IF($F320="","",$F320*chronic_consumption!$E320/1000/$C$3)</f>
        <v>#DIV/0!</v>
      </c>
      <c r="K320" s="974" t="e">
        <f>IF($F320="","",$F320*chronic_consumption!F320/1000/$C$3)</f>
        <v>#DIV/0!</v>
      </c>
      <c r="L320" s="974" t="e">
        <f>IF($F320="","",$F320*chronic_consumption!G320/1000/$C$3)</f>
        <v>#DIV/0!</v>
      </c>
      <c r="M320" s="974" t="e">
        <f>IF($F320="","",$F320*chronic_consumption!H320/1000/$C$3)</f>
        <v>#DIV/0!</v>
      </c>
      <c r="N320" s="974" t="e">
        <f>IF($F320="","",$F320*chronic_consumption!I320/1000/$C$3)</f>
        <v>#DIV/0!</v>
      </c>
      <c r="O320" s="974" t="e">
        <f>IF($F320="","",$F320*chronic_consumption!J320/1000/$C$3)</f>
        <v>#DIV/0!</v>
      </c>
      <c r="P320" s="974" t="e">
        <f>IF($F320="","",$F320*chronic_consumption!K320/1000/$C$3)</f>
        <v>#DIV/0!</v>
      </c>
      <c r="Q320" s="974" t="e">
        <f>IF($F320="","",$F320*chronic_consumption!L320/1000/$C$3)</f>
        <v>#DIV/0!</v>
      </c>
      <c r="R320" s="974" t="e">
        <f>IF($F320="","",$F320*chronic_consumption!M320/1000/$C$3)</f>
        <v>#DIV/0!</v>
      </c>
      <c r="S320" s="974" t="e">
        <f>IF($F320="","",$F320*chronic_consumption!N320/1000/$C$3)</f>
        <v>#DIV/0!</v>
      </c>
      <c r="T320" s="974" t="e">
        <f>IF($F320="","",$F320*chronic_consumption!O320/1000/$C$3)</f>
        <v>#DIV/0!</v>
      </c>
      <c r="U320" s="974" t="e">
        <f>IF($F320="","",$F320*chronic_consumption!P320/1000/$C$3)</f>
        <v>#DIV/0!</v>
      </c>
      <c r="V320" s="974" t="e">
        <f>IF($F320="","",$F320*chronic_consumption!Q320/1000/$C$3)</f>
        <v>#DIV/0!</v>
      </c>
      <c r="W320" s="974" t="e">
        <f>IF($F320="","",$F320*chronic_consumption!R320/1000/$C$3)</f>
        <v>#DIV/0!</v>
      </c>
      <c r="X320" s="974" t="e">
        <f>IF($F320="","",$F320*chronic_consumption!S320/1000/$C$3)</f>
        <v>#DIV/0!</v>
      </c>
      <c r="Y320" s="974" t="e">
        <f>IF($F320="","",$F320*chronic_consumption!T320/1000/$C$3)</f>
        <v>#DIV/0!</v>
      </c>
      <c r="Z320" s="974" t="e">
        <f>IF($F320="","",$F320*chronic_consumption!U320/1000/$C$3)</f>
        <v>#DIV/0!</v>
      </c>
      <c r="AA320" s="974" t="e">
        <f>IF($F320="","",$F320*chronic_consumption!V320/1000/$C$3)</f>
        <v>#DIV/0!</v>
      </c>
      <c r="AB320" s="974" t="e">
        <f>IF($F320="","",$F320*chronic_consumption!W320/1000/$C$3)</f>
        <v>#DIV/0!</v>
      </c>
      <c r="AC320" s="974" t="e">
        <f>IF($F320="","",$F320*chronic_consumption!X320/1000/$C$3)</f>
        <v>#DIV/0!</v>
      </c>
      <c r="AD320" s="974" t="e">
        <f>IF($F320="","",$F320*chronic_consumption!Y320/1000/$C$3)</f>
        <v>#DIV/0!</v>
      </c>
      <c r="AE320" s="974" t="e">
        <f>IF($F320="","",$F320*chronic_consumption!Z320/1000/$C$3)</f>
        <v>#DIV/0!</v>
      </c>
      <c r="AF320" s="974" t="e">
        <f>IF($F320="","",$F320*chronic_consumption!AA320/1000/$C$3)</f>
        <v>#DIV/0!</v>
      </c>
      <c r="AG320" s="974" t="e">
        <f>IF($F320="","",$F320*chronic_consumption!AB320/1000/$C$3)</f>
        <v>#DIV/0!</v>
      </c>
      <c r="AH320" s="974" t="e">
        <f>IF($F320="","",$F320*chronic_consumption!AC320/1000/$C$3)</f>
        <v>#DIV/0!</v>
      </c>
      <c r="AI320" s="974" t="e">
        <f>IF($F320="","",$F320*chronic_consumption!AD320/1000/$C$3)</f>
        <v>#DIV/0!</v>
      </c>
      <c r="AJ320" s="974" t="e">
        <f>IF($F320="","",$F320*chronic_consumption!AE320/1000/$C$3)</f>
        <v>#DIV/0!</v>
      </c>
      <c r="AK320" s="974" t="e">
        <f>IF($F320="","",$F320*chronic_consumption!AF320/1000/$C$3)</f>
        <v>#DIV/0!</v>
      </c>
      <c r="AL320" s="974" t="e">
        <f>IF($F320="","",$F320*chronic_consumption!AG320/1000/$C$3)</f>
        <v>#DIV/0!</v>
      </c>
      <c r="AM320" s="974" t="e">
        <f>IF($F320="","",$F320*chronic_consumption!AH320/1000/$C$3)</f>
        <v>#DIV/0!</v>
      </c>
      <c r="AN320" s="974" t="e">
        <f>IF($F320="","",$F320*chronic_consumption!AI320/1000/$C$3)</f>
        <v>#DIV/0!</v>
      </c>
      <c r="AO320" s="974" t="e">
        <f>IF($F320="","",$F320*chronic_consumption!AJ320/1000/$C$3)</f>
        <v>#DIV/0!</v>
      </c>
      <c r="AP320" s="974" t="e">
        <f>IF($F320="","",$F320*chronic_consumption!AK320/1000/$C$3)</f>
        <v>#DIV/0!</v>
      </c>
      <c r="AQ320" s="974" t="e">
        <f>IF($F320="","",$F320*chronic_consumption!AL320/1000/$C$3)</f>
        <v>#DIV/0!</v>
      </c>
      <c r="AR320" s="974" t="e">
        <f>IF($F320="","",$F320*chronic_consumption!AM320/1000/$C$3)</f>
        <v>#DIV/0!</v>
      </c>
      <c r="AS320" s="974" t="e">
        <f>IF($F320="","",$F320*chronic_consumption!AN320/1000/$C$3)</f>
        <v>#DIV/0!</v>
      </c>
      <c r="AT320" s="974" t="e">
        <f>IF($F320="","",$F320*chronic_consumption!AO320/1000/$C$3)</f>
        <v>#DIV/0!</v>
      </c>
      <c r="AU320" s="974"/>
      <c r="AV320" s="974" t="e">
        <f>IF($F320="","",$F320*chronic_consumption!AQ320/1000/$C$3)</f>
        <v>#DIV/0!</v>
      </c>
      <c r="AW320" s="974" t="e">
        <f>IF($F320="","",$F320*chronic_consumption!AR320/1000/$C$3)</f>
        <v>#DIV/0!</v>
      </c>
      <c r="AX320" s="974" t="e">
        <f>IF($F320="","",$F320*chronic_consumption!AS320/1000/$C$3)</f>
        <v>#DIV/0!</v>
      </c>
      <c r="AY320" s="974" t="e">
        <f>IF($F320="","",$F320*chronic_consumption!AT320/1000/$C$3)</f>
        <v>#DIV/0!</v>
      </c>
      <c r="AZ320" s="973" t="s">
        <v>19</v>
      </c>
      <c r="BA320" s="969" t="e">
        <f t="shared" si="23"/>
        <v>#DIV/0!</v>
      </c>
      <c r="BB320" s="970" t="e">
        <f t="shared" si="24"/>
        <v>#DIV/0!</v>
      </c>
      <c r="BC320" s="971" t="e">
        <f t="shared" ca="1" si="25"/>
        <v>#DIV/0!</v>
      </c>
      <c r="BD320" s="228">
        <f>input_values!Z320</f>
        <v>4</v>
      </c>
      <c r="BE320" s="152">
        <f>input_values!L320</f>
        <v>0</v>
      </c>
      <c r="BF320" s="972" t="str">
        <f t="shared" si="26"/>
        <v/>
      </c>
    </row>
    <row r="321" spans="1:58" ht="12" customHeight="1" outlineLevel="3" x14ac:dyDescent="0.2">
      <c r="A321" s="21">
        <v>4</v>
      </c>
      <c r="B321" s="23">
        <v>900030</v>
      </c>
      <c r="C321" s="23" t="s">
        <v>206</v>
      </c>
      <c r="D321" s="965">
        <f>Table22[[#This Row],[MRL individual commodity]]</f>
        <v>0</v>
      </c>
      <c r="E321" s="300" t="str">
        <f>Table22[[#This Row],[LOQ_label]]</f>
        <v/>
      </c>
      <c r="F321" s="966">
        <f>Table22[[#This Row],[Chronic RA input value]]</f>
        <v>0</v>
      </c>
      <c r="G321" s="304" t="str">
        <f>Table22[[#This Row],[Chronic RA label]]</f>
        <v/>
      </c>
      <c r="H321" s="304">
        <f>Table22[[#This Row],[GAP under assessment]]</f>
        <v>0</v>
      </c>
      <c r="I321" s="1123"/>
      <c r="J321" s="974" t="e">
        <f>IF($F321="","",$F321*chronic_consumption!$E321/1000/$C$3)</f>
        <v>#DIV/0!</v>
      </c>
      <c r="K321" s="974" t="e">
        <f>IF($F321="","",$F321*chronic_consumption!F321/1000/$C$3)</f>
        <v>#DIV/0!</v>
      </c>
      <c r="L321" s="974" t="e">
        <f>IF($F321="","",$F321*chronic_consumption!G321/1000/$C$3)</f>
        <v>#DIV/0!</v>
      </c>
      <c r="M321" s="974" t="e">
        <f>IF($F321="","",$F321*chronic_consumption!H321/1000/$C$3)</f>
        <v>#DIV/0!</v>
      </c>
      <c r="N321" s="974" t="e">
        <f>IF($F321="","",$F321*chronic_consumption!I321/1000/$C$3)</f>
        <v>#DIV/0!</v>
      </c>
      <c r="O321" s="974" t="e">
        <f>IF($F321="","",$F321*chronic_consumption!J321/1000/$C$3)</f>
        <v>#DIV/0!</v>
      </c>
      <c r="P321" s="974" t="e">
        <f>IF($F321="","",$F321*chronic_consumption!K321/1000/$C$3)</f>
        <v>#DIV/0!</v>
      </c>
      <c r="Q321" s="974" t="e">
        <f>IF($F321="","",$F321*chronic_consumption!L321/1000/$C$3)</f>
        <v>#DIV/0!</v>
      </c>
      <c r="R321" s="974" t="e">
        <f>IF($F321="","",$F321*chronic_consumption!M321/1000/$C$3)</f>
        <v>#DIV/0!</v>
      </c>
      <c r="S321" s="974" t="e">
        <f>IF($F321="","",$F321*chronic_consumption!N321/1000/$C$3)</f>
        <v>#DIV/0!</v>
      </c>
      <c r="T321" s="974" t="e">
        <f>IF($F321="","",$F321*chronic_consumption!O321/1000/$C$3)</f>
        <v>#DIV/0!</v>
      </c>
      <c r="U321" s="974" t="e">
        <f>IF($F321="","",$F321*chronic_consumption!P321/1000/$C$3)</f>
        <v>#DIV/0!</v>
      </c>
      <c r="V321" s="974" t="e">
        <f>IF($F321="","",$F321*chronic_consumption!Q321/1000/$C$3)</f>
        <v>#DIV/0!</v>
      </c>
      <c r="W321" s="974" t="e">
        <f>IF($F321="","",$F321*chronic_consumption!R321/1000/$C$3)</f>
        <v>#DIV/0!</v>
      </c>
      <c r="X321" s="974" t="e">
        <f>IF($F321="","",$F321*chronic_consumption!S321/1000/$C$3)</f>
        <v>#DIV/0!</v>
      </c>
      <c r="Y321" s="974" t="e">
        <f>IF($F321="","",$F321*chronic_consumption!T321/1000/$C$3)</f>
        <v>#DIV/0!</v>
      </c>
      <c r="Z321" s="974" t="e">
        <f>IF($F321="","",$F321*chronic_consumption!U321/1000/$C$3)</f>
        <v>#DIV/0!</v>
      </c>
      <c r="AA321" s="974" t="e">
        <f>IF($F321="","",$F321*chronic_consumption!V321/1000/$C$3)</f>
        <v>#DIV/0!</v>
      </c>
      <c r="AB321" s="974" t="e">
        <f>IF($F321="","",$F321*chronic_consumption!W321/1000/$C$3)</f>
        <v>#DIV/0!</v>
      </c>
      <c r="AC321" s="974" t="e">
        <f>IF($F321="","",$F321*chronic_consumption!X321/1000/$C$3)</f>
        <v>#DIV/0!</v>
      </c>
      <c r="AD321" s="974" t="e">
        <f>IF($F321="","",$F321*chronic_consumption!Y321/1000/$C$3)</f>
        <v>#DIV/0!</v>
      </c>
      <c r="AE321" s="974" t="e">
        <f>IF($F321="","",$F321*chronic_consumption!Z321/1000/$C$3)</f>
        <v>#DIV/0!</v>
      </c>
      <c r="AF321" s="974" t="e">
        <f>IF($F321="","",$F321*chronic_consumption!AA321/1000/$C$3)</f>
        <v>#DIV/0!</v>
      </c>
      <c r="AG321" s="974" t="e">
        <f>IF($F321="","",$F321*chronic_consumption!AB321/1000/$C$3)</f>
        <v>#DIV/0!</v>
      </c>
      <c r="AH321" s="974" t="e">
        <f>IF($F321="","",$F321*chronic_consumption!AC321/1000/$C$3)</f>
        <v>#DIV/0!</v>
      </c>
      <c r="AI321" s="974" t="e">
        <f>IF($F321="","",$F321*chronic_consumption!AD321/1000/$C$3)</f>
        <v>#DIV/0!</v>
      </c>
      <c r="AJ321" s="974" t="e">
        <f>IF($F321="","",$F321*chronic_consumption!AE321/1000/$C$3)</f>
        <v>#DIV/0!</v>
      </c>
      <c r="AK321" s="974" t="e">
        <f>IF($F321="","",$F321*chronic_consumption!AF321/1000/$C$3)</f>
        <v>#DIV/0!</v>
      </c>
      <c r="AL321" s="974" t="e">
        <f>IF($F321="","",$F321*chronic_consumption!AG321/1000/$C$3)</f>
        <v>#DIV/0!</v>
      </c>
      <c r="AM321" s="974" t="e">
        <f>IF($F321="","",$F321*chronic_consumption!AH321/1000/$C$3)</f>
        <v>#DIV/0!</v>
      </c>
      <c r="AN321" s="974" t="e">
        <f>IF($F321="","",$F321*chronic_consumption!AI321/1000/$C$3)</f>
        <v>#DIV/0!</v>
      </c>
      <c r="AO321" s="974" t="e">
        <f>IF($F321="","",$F321*chronic_consumption!AJ321/1000/$C$3)</f>
        <v>#DIV/0!</v>
      </c>
      <c r="AP321" s="974" t="e">
        <f>IF($F321="","",$F321*chronic_consumption!AK321/1000/$C$3)</f>
        <v>#DIV/0!</v>
      </c>
      <c r="AQ321" s="974" t="e">
        <f>IF($F321="","",$F321*chronic_consumption!AL321/1000/$C$3)</f>
        <v>#DIV/0!</v>
      </c>
      <c r="AR321" s="974" t="e">
        <f>IF($F321="","",$F321*chronic_consumption!AM321/1000/$C$3)</f>
        <v>#DIV/0!</v>
      </c>
      <c r="AS321" s="974" t="e">
        <f>IF($F321="","",$F321*chronic_consumption!AN321/1000/$C$3)</f>
        <v>#DIV/0!</v>
      </c>
      <c r="AT321" s="974" t="e">
        <f>IF($F321="","",$F321*chronic_consumption!AO321/1000/$C$3)</f>
        <v>#DIV/0!</v>
      </c>
      <c r="AU321" s="974"/>
      <c r="AV321" s="974" t="e">
        <f>IF($F321="","",$F321*chronic_consumption!AQ321/1000/$C$3)</f>
        <v>#DIV/0!</v>
      </c>
      <c r="AW321" s="974" t="e">
        <f>IF($F321="","",$F321*chronic_consumption!AR321/1000/$C$3)</f>
        <v>#DIV/0!</v>
      </c>
      <c r="AX321" s="974" t="e">
        <f>IF($F321="","",$F321*chronic_consumption!AS321/1000/$C$3)</f>
        <v>#DIV/0!</v>
      </c>
      <c r="AY321" s="974" t="e">
        <f>IF($F321="","",$F321*chronic_consumption!AT321/1000/$C$3)</f>
        <v>#DIV/0!</v>
      </c>
      <c r="AZ321" s="973" t="s">
        <v>19</v>
      </c>
      <c r="BA321" s="969" t="e">
        <f t="shared" si="23"/>
        <v>#DIV/0!</v>
      </c>
      <c r="BB321" s="970" t="e">
        <f t="shared" si="24"/>
        <v>#DIV/0!</v>
      </c>
      <c r="BC321" s="971" t="e">
        <f t="shared" ca="1" si="25"/>
        <v>#DIV/0!</v>
      </c>
      <c r="BD321" s="228">
        <f>input_values!Z321</f>
        <v>4</v>
      </c>
      <c r="BE321" s="152">
        <f>input_values!L321</f>
        <v>0</v>
      </c>
      <c r="BF321" s="972" t="str">
        <f t="shared" si="26"/>
        <v/>
      </c>
    </row>
    <row r="322" spans="1:58" ht="12" customHeight="1" outlineLevel="3" x14ac:dyDescent="0.2">
      <c r="A322" s="21">
        <v>4</v>
      </c>
      <c r="B322" s="23">
        <v>900990</v>
      </c>
      <c r="C322" s="23" t="s">
        <v>190</v>
      </c>
      <c r="D322" s="965">
        <f>Table22[[#This Row],[MRL individual commodity]]</f>
        <v>0</v>
      </c>
      <c r="E322" s="300" t="str">
        <f>Table22[[#This Row],[LOQ_label]]</f>
        <v/>
      </c>
      <c r="F322" s="966">
        <f>Table22[[#This Row],[Chronic RA input value]]</f>
        <v>0</v>
      </c>
      <c r="G322" s="304" t="str">
        <f>Table22[[#This Row],[Chronic RA label]]</f>
        <v/>
      </c>
      <c r="H322" s="304">
        <f>Table22[[#This Row],[GAP under assessment]]</f>
        <v>0</v>
      </c>
      <c r="I322" s="1123"/>
      <c r="J322" s="974" t="e">
        <f>IF($F322="","",$F322*chronic_consumption!$E322/1000/$C$3)</f>
        <v>#DIV/0!</v>
      </c>
      <c r="K322" s="974" t="e">
        <f>IF($F322="","",$F322*chronic_consumption!F322/1000/$C$3)</f>
        <v>#DIV/0!</v>
      </c>
      <c r="L322" s="974" t="e">
        <f>IF($F322="","",$F322*chronic_consumption!G322/1000/$C$3)</f>
        <v>#DIV/0!</v>
      </c>
      <c r="M322" s="974" t="e">
        <f>IF($F322="","",$F322*chronic_consumption!H322/1000/$C$3)</f>
        <v>#DIV/0!</v>
      </c>
      <c r="N322" s="974" t="e">
        <f>IF($F322="","",$F322*chronic_consumption!I322/1000/$C$3)</f>
        <v>#DIV/0!</v>
      </c>
      <c r="O322" s="974" t="e">
        <f>IF($F322="","",$F322*chronic_consumption!J322/1000/$C$3)</f>
        <v>#DIV/0!</v>
      </c>
      <c r="P322" s="974" t="e">
        <f>IF($F322="","",$F322*chronic_consumption!K322/1000/$C$3)</f>
        <v>#DIV/0!</v>
      </c>
      <c r="Q322" s="974" t="e">
        <f>IF($F322="","",$F322*chronic_consumption!L322/1000/$C$3)</f>
        <v>#DIV/0!</v>
      </c>
      <c r="R322" s="974" t="e">
        <f>IF($F322="","",$F322*chronic_consumption!M322/1000/$C$3)</f>
        <v>#DIV/0!</v>
      </c>
      <c r="S322" s="974" t="e">
        <f>IF($F322="","",$F322*chronic_consumption!N322/1000/$C$3)</f>
        <v>#DIV/0!</v>
      </c>
      <c r="T322" s="974" t="e">
        <f>IF($F322="","",$F322*chronic_consumption!O322/1000/$C$3)</f>
        <v>#DIV/0!</v>
      </c>
      <c r="U322" s="974" t="e">
        <f>IF($F322="","",$F322*chronic_consumption!P322/1000/$C$3)</f>
        <v>#DIV/0!</v>
      </c>
      <c r="V322" s="974" t="e">
        <f>IF($F322="","",$F322*chronic_consumption!Q322/1000/$C$3)</f>
        <v>#DIV/0!</v>
      </c>
      <c r="W322" s="974" t="e">
        <f>IF($F322="","",$F322*chronic_consumption!R322/1000/$C$3)</f>
        <v>#DIV/0!</v>
      </c>
      <c r="X322" s="974" t="e">
        <f>IF($F322="","",$F322*chronic_consumption!S322/1000/$C$3)</f>
        <v>#DIV/0!</v>
      </c>
      <c r="Y322" s="974" t="e">
        <f>IF($F322="","",$F322*chronic_consumption!T322/1000/$C$3)</f>
        <v>#DIV/0!</v>
      </c>
      <c r="Z322" s="974" t="e">
        <f>IF($F322="","",$F322*chronic_consumption!U322/1000/$C$3)</f>
        <v>#DIV/0!</v>
      </c>
      <c r="AA322" s="974" t="e">
        <f>IF($F322="","",$F322*chronic_consumption!V322/1000/$C$3)</f>
        <v>#DIV/0!</v>
      </c>
      <c r="AB322" s="974" t="e">
        <f>IF($F322="","",$F322*chronic_consumption!W322/1000/$C$3)</f>
        <v>#DIV/0!</v>
      </c>
      <c r="AC322" s="974" t="e">
        <f>IF($F322="","",$F322*chronic_consumption!X322/1000/$C$3)</f>
        <v>#DIV/0!</v>
      </c>
      <c r="AD322" s="974" t="e">
        <f>IF($F322="","",$F322*chronic_consumption!Y322/1000/$C$3)</f>
        <v>#DIV/0!</v>
      </c>
      <c r="AE322" s="974" t="e">
        <f>IF($F322="","",$F322*chronic_consumption!Z322/1000/$C$3)</f>
        <v>#DIV/0!</v>
      </c>
      <c r="AF322" s="974" t="e">
        <f>IF($F322="","",$F322*chronic_consumption!AA322/1000/$C$3)</f>
        <v>#DIV/0!</v>
      </c>
      <c r="AG322" s="974" t="e">
        <f>IF($F322="","",$F322*chronic_consumption!AB322/1000/$C$3)</f>
        <v>#DIV/0!</v>
      </c>
      <c r="AH322" s="974" t="e">
        <f>IF($F322="","",$F322*chronic_consumption!AC322/1000/$C$3)</f>
        <v>#DIV/0!</v>
      </c>
      <c r="AI322" s="974" t="e">
        <f>IF($F322="","",$F322*chronic_consumption!AD322/1000/$C$3)</f>
        <v>#DIV/0!</v>
      </c>
      <c r="AJ322" s="974" t="e">
        <f>IF($F322="","",$F322*chronic_consumption!AE322/1000/$C$3)</f>
        <v>#DIV/0!</v>
      </c>
      <c r="AK322" s="974" t="e">
        <f>IF($F322="","",$F322*chronic_consumption!AF322/1000/$C$3)</f>
        <v>#DIV/0!</v>
      </c>
      <c r="AL322" s="974" t="e">
        <f>IF($F322="","",$F322*chronic_consumption!AG322/1000/$C$3)</f>
        <v>#DIV/0!</v>
      </c>
      <c r="AM322" s="974" t="e">
        <f>IF($F322="","",$F322*chronic_consumption!AH322/1000/$C$3)</f>
        <v>#DIV/0!</v>
      </c>
      <c r="AN322" s="974" t="e">
        <f>IF($F322="","",$F322*chronic_consumption!AI322/1000/$C$3)</f>
        <v>#DIV/0!</v>
      </c>
      <c r="AO322" s="974" t="e">
        <f>IF($F322="","",$F322*chronic_consumption!AJ322/1000/$C$3)</f>
        <v>#DIV/0!</v>
      </c>
      <c r="AP322" s="974" t="e">
        <f>IF($F322="","",$F322*chronic_consumption!AK322/1000/$C$3)</f>
        <v>#DIV/0!</v>
      </c>
      <c r="AQ322" s="974" t="e">
        <f>IF($F322="","",$F322*chronic_consumption!AL322/1000/$C$3)</f>
        <v>#DIV/0!</v>
      </c>
      <c r="AR322" s="974" t="e">
        <f>IF($F322="","",$F322*chronic_consumption!AM322/1000/$C$3)</f>
        <v>#DIV/0!</v>
      </c>
      <c r="AS322" s="974" t="e">
        <f>IF($F322="","",$F322*chronic_consumption!AN322/1000/$C$3)</f>
        <v>#DIV/0!</v>
      </c>
      <c r="AT322" s="974" t="e">
        <f>IF($F322="","",$F322*chronic_consumption!AO322/1000/$C$3)</f>
        <v>#DIV/0!</v>
      </c>
      <c r="AU322" s="974"/>
      <c r="AV322" s="974" t="e">
        <f>IF($F322="","",$F322*chronic_consumption!AQ322/1000/$C$3)</f>
        <v>#DIV/0!</v>
      </c>
      <c r="AW322" s="974" t="e">
        <f>IF($F322="","",$F322*chronic_consumption!AR322/1000/$C$3)</f>
        <v>#DIV/0!</v>
      </c>
      <c r="AX322" s="974" t="e">
        <f>IF($F322="","",$F322*chronic_consumption!AS322/1000/$C$3)</f>
        <v>#DIV/0!</v>
      </c>
      <c r="AY322" s="974" t="e">
        <f>IF($F322="","",$F322*chronic_consumption!AT322/1000/$C$3)</f>
        <v>#DIV/0!</v>
      </c>
      <c r="AZ322" s="973" t="s">
        <v>19</v>
      </c>
      <c r="BA322" s="969" t="e">
        <f t="shared" si="23"/>
        <v>#DIV/0!</v>
      </c>
      <c r="BB322" s="970" t="e">
        <f t="shared" si="24"/>
        <v>#DIV/0!</v>
      </c>
      <c r="BC322" s="971" t="e">
        <f t="shared" ca="1" si="25"/>
        <v>#DIV/0!</v>
      </c>
      <c r="BD322" s="228">
        <f>input_values!Z322</f>
        <v>4</v>
      </c>
      <c r="BE322" s="152">
        <f>input_values!L322</f>
        <v>0</v>
      </c>
      <c r="BF322" s="972" t="str">
        <f t="shared" si="26"/>
        <v/>
      </c>
    </row>
    <row r="323" spans="1:58" ht="12" customHeight="1" x14ac:dyDescent="0.2">
      <c r="A323" s="299">
        <v>1</v>
      </c>
      <c r="B323" s="127">
        <v>1000000</v>
      </c>
      <c r="C323" s="127" t="s">
        <v>139</v>
      </c>
      <c r="D323" s="965">
        <f>Table22[[#This Row],[MRL individual commodity]]</f>
        <v>0</v>
      </c>
      <c r="E323" s="300">
        <f>Table22[[#This Row],[LOQ_label]]</f>
        <v>0</v>
      </c>
      <c r="F323" s="966">
        <f>Table22[[#This Row],[Chronic RA input value]]</f>
        <v>0</v>
      </c>
      <c r="G323" s="304">
        <f>Table22[[#This Row],[Chronic RA label]]</f>
        <v>0</v>
      </c>
      <c r="H323" s="304">
        <f>Table22[[#This Row],[GAP under assessment]]</f>
        <v>0</v>
      </c>
      <c r="I323" s="1123"/>
      <c r="J323" s="967" t="e">
        <f>IF($F323="","",$F323*chronic_consumption!$E323/1000/$C$3)</f>
        <v>#DIV/0!</v>
      </c>
      <c r="K323" s="967" t="e">
        <f>IF($F323="","",$F323*chronic_consumption!F323/1000/$C$3)</f>
        <v>#DIV/0!</v>
      </c>
      <c r="L323" s="967" t="e">
        <f>IF($F323="","",$F323*chronic_consumption!G323/1000/$C$3)</f>
        <v>#DIV/0!</v>
      </c>
      <c r="M323" s="967" t="e">
        <f>IF($F323="","",$F323*chronic_consumption!H323/1000/$C$3)</f>
        <v>#DIV/0!</v>
      </c>
      <c r="N323" s="967" t="e">
        <f>IF($F323="","",$F323*chronic_consumption!I323/1000/$C$3)</f>
        <v>#DIV/0!</v>
      </c>
      <c r="O323" s="967" t="e">
        <f>IF($F323="","",$F323*chronic_consumption!J323/1000/$C$3)</f>
        <v>#DIV/0!</v>
      </c>
      <c r="P323" s="967" t="e">
        <f>IF($F323="","",$F323*chronic_consumption!K323/1000/$C$3)</f>
        <v>#DIV/0!</v>
      </c>
      <c r="Q323" s="967" t="e">
        <f>IF($F323="","",$F323*chronic_consumption!L323/1000/$C$3)</f>
        <v>#DIV/0!</v>
      </c>
      <c r="R323" s="967" t="e">
        <f>IF($F323="","",$F323*chronic_consumption!M323/1000/$C$3)</f>
        <v>#DIV/0!</v>
      </c>
      <c r="S323" s="967" t="e">
        <f>IF($F323="","",$F323*chronic_consumption!N323/1000/$C$3)</f>
        <v>#DIV/0!</v>
      </c>
      <c r="T323" s="967" t="e">
        <f>IF($F323="","",$F323*chronic_consumption!O323/1000/$C$3)</f>
        <v>#DIV/0!</v>
      </c>
      <c r="U323" s="967" t="e">
        <f>IF($F323="","",$F323*chronic_consumption!P323/1000/$C$3)</f>
        <v>#DIV/0!</v>
      </c>
      <c r="V323" s="967" t="e">
        <f>IF($F323="","",$F323*chronic_consumption!Q323/1000/$C$3)</f>
        <v>#DIV/0!</v>
      </c>
      <c r="W323" s="967" t="e">
        <f>IF($F323="","",$F323*chronic_consumption!R323/1000/$C$3)</f>
        <v>#DIV/0!</v>
      </c>
      <c r="X323" s="967" t="e">
        <f>IF($F323="","",$F323*chronic_consumption!S323/1000/$C$3)</f>
        <v>#DIV/0!</v>
      </c>
      <c r="Y323" s="967" t="e">
        <f>IF($F323="","",$F323*chronic_consumption!T323/1000/$C$3)</f>
        <v>#DIV/0!</v>
      </c>
      <c r="Z323" s="967" t="e">
        <f>IF($F323="","",$F323*chronic_consumption!U323/1000/$C$3)</f>
        <v>#DIV/0!</v>
      </c>
      <c r="AA323" s="967" t="e">
        <f>IF($F323="","",$F323*chronic_consumption!V323/1000/$C$3)</f>
        <v>#DIV/0!</v>
      </c>
      <c r="AB323" s="967" t="e">
        <f>IF($F323="","",$F323*chronic_consumption!W323/1000/$C$3)</f>
        <v>#DIV/0!</v>
      </c>
      <c r="AC323" s="967" t="e">
        <f>IF($F323="","",$F323*chronic_consumption!X323/1000/$C$3)</f>
        <v>#DIV/0!</v>
      </c>
      <c r="AD323" s="967" t="e">
        <f>IF($F323="","",$F323*chronic_consumption!Y323/1000/$C$3)</f>
        <v>#DIV/0!</v>
      </c>
      <c r="AE323" s="967" t="e">
        <f>IF($F323="","",$F323*chronic_consumption!Z323/1000/$C$3)</f>
        <v>#DIV/0!</v>
      </c>
      <c r="AF323" s="967" t="e">
        <f>IF($F323="","",$F323*chronic_consumption!AA323/1000/$C$3)</f>
        <v>#DIV/0!</v>
      </c>
      <c r="AG323" s="967" t="e">
        <f>IF($F323="","",$F323*chronic_consumption!AB323/1000/$C$3)</f>
        <v>#DIV/0!</v>
      </c>
      <c r="AH323" s="967" t="e">
        <f>IF($F323="","",$F323*chronic_consumption!AC323/1000/$C$3)</f>
        <v>#DIV/0!</v>
      </c>
      <c r="AI323" s="967" t="e">
        <f>IF($F323="","",$F323*chronic_consumption!AD323/1000/$C$3)</f>
        <v>#DIV/0!</v>
      </c>
      <c r="AJ323" s="967" t="e">
        <f>IF($F323="","",$F323*chronic_consumption!AE323/1000/$C$3)</f>
        <v>#DIV/0!</v>
      </c>
      <c r="AK323" s="967" t="e">
        <f>IF($F323="","",$F323*chronic_consumption!AF323/1000/$C$3)</f>
        <v>#DIV/0!</v>
      </c>
      <c r="AL323" s="967" t="e">
        <f>IF($F323="","",$F323*chronic_consumption!AG323/1000/$C$3)</f>
        <v>#DIV/0!</v>
      </c>
      <c r="AM323" s="967" t="e">
        <f>IF($F323="","",$F323*chronic_consumption!AH323/1000/$C$3)</f>
        <v>#DIV/0!</v>
      </c>
      <c r="AN323" s="967" t="e">
        <f>IF($F323="","",$F323*chronic_consumption!AI323/1000/$C$3)</f>
        <v>#DIV/0!</v>
      </c>
      <c r="AO323" s="967" t="e">
        <f>IF($F323="","",$F323*chronic_consumption!AJ323/1000/$C$3)</f>
        <v>#DIV/0!</v>
      </c>
      <c r="AP323" s="967" t="e">
        <f>IF($F323="","",$F323*chronic_consumption!AK323/1000/$C$3)</f>
        <v>#DIV/0!</v>
      </c>
      <c r="AQ323" s="967" t="e">
        <f>IF($F323="","",$F323*chronic_consumption!AL323/1000/$C$3)</f>
        <v>#DIV/0!</v>
      </c>
      <c r="AR323" s="967" t="e">
        <f>IF($F323="","",$F323*chronic_consumption!AM323/1000/$C$3)</f>
        <v>#DIV/0!</v>
      </c>
      <c r="AS323" s="967" t="e">
        <f>IF($F323="","",$F323*chronic_consumption!AN323/1000/$C$3)</f>
        <v>#DIV/0!</v>
      </c>
      <c r="AT323" s="967" t="e">
        <f>IF($F323="","",$F323*chronic_consumption!AO323/1000/$C$3)</f>
        <v>#DIV/0!</v>
      </c>
      <c r="AU323" s="967"/>
      <c r="AV323" s="967" t="e">
        <f>IF($F323="","",$F323*chronic_consumption!AQ323/1000/$C$3)</f>
        <v>#DIV/0!</v>
      </c>
      <c r="AW323" s="967" t="e">
        <f>IF($F323="","",$F323*chronic_consumption!AR323/1000/$C$3)</f>
        <v>#DIV/0!</v>
      </c>
      <c r="AX323" s="967" t="e">
        <f>IF($F323="","",$F323*chronic_consumption!AS323/1000/$C$3)</f>
        <v>#DIV/0!</v>
      </c>
      <c r="AY323" s="967" t="e">
        <f>IF($F323="","",$F323*chronic_consumption!AT323/1000/$C$3)</f>
        <v>#DIV/0!</v>
      </c>
      <c r="AZ323" s="973"/>
      <c r="BA323" s="969" t="e">
        <f t="shared" si="23"/>
        <v>#DIV/0!</v>
      </c>
      <c r="BB323" s="970" t="e">
        <f t="shared" si="24"/>
        <v>#DIV/0!</v>
      </c>
      <c r="BC323" s="971" t="e">
        <f t="shared" ca="1" si="25"/>
        <v>#DIV/0!</v>
      </c>
      <c r="BD323" s="228">
        <f>input_values!Z323</f>
        <v>4</v>
      </c>
      <c r="BE323" s="152">
        <f>input_values!L323</f>
        <v>0</v>
      </c>
      <c r="BF323" s="972" t="str">
        <f t="shared" si="26"/>
        <v/>
      </c>
    </row>
    <row r="324" spans="1:58" ht="12" customHeight="1" outlineLevel="1" x14ac:dyDescent="0.2">
      <c r="A324" s="314">
        <v>2</v>
      </c>
      <c r="B324" s="131">
        <v>1010000</v>
      </c>
      <c r="C324" s="131" t="s">
        <v>625</v>
      </c>
      <c r="D324" s="965">
        <f>Table22[[#This Row],[MRL individual commodity]]</f>
        <v>0</v>
      </c>
      <c r="E324" s="300">
        <f>Table22[[#This Row],[LOQ_label]]</f>
        <v>0</v>
      </c>
      <c r="F324" s="966">
        <f>Table22[[#This Row],[Chronic RA input value]]</f>
        <v>0</v>
      </c>
      <c r="G324" s="304">
        <f>Table22[[#This Row],[Chronic RA label]]</f>
        <v>0</v>
      </c>
      <c r="H324" s="304">
        <f>Table22[[#This Row],[GAP under assessment]]</f>
        <v>0</v>
      </c>
      <c r="I324" s="1123"/>
      <c r="J324" s="967" t="e">
        <f>IF($F324="","",$F324*chronic_consumption!$E324/1000/$C$3)</f>
        <v>#DIV/0!</v>
      </c>
      <c r="K324" s="967" t="e">
        <f>IF($F324="","",$F324*chronic_consumption!F324/1000/$C$3)</f>
        <v>#DIV/0!</v>
      </c>
      <c r="L324" s="967" t="e">
        <f>IF($F324="","",$F324*chronic_consumption!G324/1000/$C$3)</f>
        <v>#DIV/0!</v>
      </c>
      <c r="M324" s="967" t="e">
        <f>IF($F324="","",$F324*chronic_consumption!H324/1000/$C$3)</f>
        <v>#DIV/0!</v>
      </c>
      <c r="N324" s="967" t="e">
        <f>IF($F324="","",$F324*chronic_consumption!I324/1000/$C$3)</f>
        <v>#DIV/0!</v>
      </c>
      <c r="O324" s="967" t="e">
        <f>IF($F324="","",$F324*chronic_consumption!J324/1000/$C$3)</f>
        <v>#DIV/0!</v>
      </c>
      <c r="P324" s="967" t="e">
        <f>IF($F324="","",$F324*chronic_consumption!K324/1000/$C$3)</f>
        <v>#DIV/0!</v>
      </c>
      <c r="Q324" s="967" t="e">
        <f>IF($F324="","",$F324*chronic_consumption!L324/1000/$C$3)</f>
        <v>#DIV/0!</v>
      </c>
      <c r="R324" s="967" t="e">
        <f>IF($F324="","",$F324*chronic_consumption!M324/1000/$C$3)</f>
        <v>#DIV/0!</v>
      </c>
      <c r="S324" s="967" t="e">
        <f>IF($F324="","",$F324*chronic_consumption!N324/1000/$C$3)</f>
        <v>#DIV/0!</v>
      </c>
      <c r="T324" s="967" t="e">
        <f>IF($F324="","",$F324*chronic_consumption!O324/1000/$C$3)</f>
        <v>#DIV/0!</v>
      </c>
      <c r="U324" s="967" t="e">
        <f>IF($F324="","",$F324*chronic_consumption!P324/1000/$C$3)</f>
        <v>#DIV/0!</v>
      </c>
      <c r="V324" s="967" t="e">
        <f>IF($F324="","",$F324*chronic_consumption!Q324/1000/$C$3)</f>
        <v>#DIV/0!</v>
      </c>
      <c r="W324" s="967" t="e">
        <f>IF($F324="","",$F324*chronic_consumption!R324/1000/$C$3)</f>
        <v>#DIV/0!</v>
      </c>
      <c r="X324" s="967" t="e">
        <f>IF($F324="","",$F324*chronic_consumption!S324/1000/$C$3)</f>
        <v>#DIV/0!</v>
      </c>
      <c r="Y324" s="967" t="e">
        <f>IF($F324="","",$F324*chronic_consumption!T324/1000/$C$3)</f>
        <v>#DIV/0!</v>
      </c>
      <c r="Z324" s="967" t="e">
        <f>IF($F324="","",$F324*chronic_consumption!U324/1000/$C$3)</f>
        <v>#DIV/0!</v>
      </c>
      <c r="AA324" s="967" t="e">
        <f>IF($F324="","",$F324*chronic_consumption!V324/1000/$C$3)</f>
        <v>#DIV/0!</v>
      </c>
      <c r="AB324" s="967" t="e">
        <f>IF($F324="","",$F324*chronic_consumption!W324/1000/$C$3)</f>
        <v>#DIV/0!</v>
      </c>
      <c r="AC324" s="967" t="e">
        <f>IF($F324="","",$F324*chronic_consumption!X324/1000/$C$3)</f>
        <v>#DIV/0!</v>
      </c>
      <c r="AD324" s="967" t="e">
        <f>IF($F324="","",$F324*chronic_consumption!Y324/1000/$C$3)</f>
        <v>#DIV/0!</v>
      </c>
      <c r="AE324" s="967" t="e">
        <f>IF($F324="","",$F324*chronic_consumption!Z324/1000/$C$3)</f>
        <v>#DIV/0!</v>
      </c>
      <c r="AF324" s="967" t="e">
        <f>IF($F324="","",$F324*chronic_consumption!AA324/1000/$C$3)</f>
        <v>#DIV/0!</v>
      </c>
      <c r="AG324" s="967" t="e">
        <f>IF($F324="","",$F324*chronic_consumption!AB324/1000/$C$3)</f>
        <v>#DIV/0!</v>
      </c>
      <c r="AH324" s="967" t="e">
        <f>IF($F324="","",$F324*chronic_consumption!AC324/1000/$C$3)</f>
        <v>#DIV/0!</v>
      </c>
      <c r="AI324" s="967" t="e">
        <f>IF($F324="","",$F324*chronic_consumption!AD324/1000/$C$3)</f>
        <v>#DIV/0!</v>
      </c>
      <c r="AJ324" s="967" t="e">
        <f>IF($F324="","",$F324*chronic_consumption!AE324/1000/$C$3)</f>
        <v>#DIV/0!</v>
      </c>
      <c r="AK324" s="967" t="e">
        <f>IF($F324="","",$F324*chronic_consumption!AF324/1000/$C$3)</f>
        <v>#DIV/0!</v>
      </c>
      <c r="AL324" s="967" t="e">
        <f>IF($F324="","",$F324*chronic_consumption!AG324/1000/$C$3)</f>
        <v>#DIV/0!</v>
      </c>
      <c r="AM324" s="967" t="e">
        <f>IF($F324="","",$F324*chronic_consumption!AH324/1000/$C$3)</f>
        <v>#DIV/0!</v>
      </c>
      <c r="AN324" s="967" t="e">
        <f>IF($F324="","",$F324*chronic_consumption!AI324/1000/$C$3)</f>
        <v>#DIV/0!</v>
      </c>
      <c r="AO324" s="967" t="e">
        <f>IF($F324="","",$F324*chronic_consumption!AJ324/1000/$C$3)</f>
        <v>#DIV/0!</v>
      </c>
      <c r="AP324" s="967" t="e">
        <f>IF($F324="","",$F324*chronic_consumption!AK324/1000/$C$3)</f>
        <v>#DIV/0!</v>
      </c>
      <c r="AQ324" s="967" t="e">
        <f>IF($F324="","",$F324*chronic_consumption!AL324/1000/$C$3)</f>
        <v>#DIV/0!</v>
      </c>
      <c r="AR324" s="967" t="e">
        <f>IF($F324="","",$F324*chronic_consumption!AM324/1000/$C$3)</f>
        <v>#DIV/0!</v>
      </c>
      <c r="AS324" s="967" t="e">
        <f>IF($F324="","",$F324*chronic_consumption!AN324/1000/$C$3)</f>
        <v>#DIV/0!</v>
      </c>
      <c r="AT324" s="967" t="e">
        <f>IF($F324="","",$F324*chronic_consumption!AO324/1000/$C$3)</f>
        <v>#DIV/0!</v>
      </c>
      <c r="AU324" s="967"/>
      <c r="AV324" s="967" t="e">
        <f>IF($F324="","",$F324*chronic_consumption!AQ324/1000/$C$3)</f>
        <v>#DIV/0!</v>
      </c>
      <c r="AW324" s="967" t="e">
        <f>IF($F324="","",$F324*chronic_consumption!AR324/1000/$C$3)</f>
        <v>#DIV/0!</v>
      </c>
      <c r="AX324" s="967" t="e">
        <f>IF($F324="","",$F324*chronic_consumption!AS324/1000/$C$3)</f>
        <v>#DIV/0!</v>
      </c>
      <c r="AY324" s="967" t="e">
        <f>IF($F324="","",$F324*chronic_consumption!AT324/1000/$C$3)</f>
        <v>#DIV/0!</v>
      </c>
      <c r="AZ324" s="973"/>
      <c r="BA324" s="969" t="e">
        <f t="shared" si="23"/>
        <v>#DIV/0!</v>
      </c>
      <c r="BB324" s="970" t="e">
        <f t="shared" si="24"/>
        <v>#DIV/0!</v>
      </c>
      <c r="BC324" s="971" t="e">
        <f t="shared" ca="1" si="25"/>
        <v>#DIV/0!</v>
      </c>
      <c r="BD324" s="228">
        <f>input_values!Z324</f>
        <v>4</v>
      </c>
      <c r="BE324" s="152">
        <f>input_values!L324</f>
        <v>0</v>
      </c>
      <c r="BF324" s="972" t="str">
        <f t="shared" si="26"/>
        <v/>
      </c>
    </row>
    <row r="325" spans="1:58" ht="12" customHeight="1" outlineLevel="2" x14ac:dyDescent="0.2">
      <c r="A325" s="353">
        <v>3</v>
      </c>
      <c r="B325" s="5">
        <v>1011000</v>
      </c>
      <c r="C325" s="5" t="s">
        <v>146</v>
      </c>
      <c r="D325" s="965">
        <f>Table22[[#This Row],[MRL individual commodity]]</f>
        <v>0</v>
      </c>
      <c r="E325" s="300">
        <f>Table22[[#This Row],[LOQ_label]]</f>
        <v>0</v>
      </c>
      <c r="F325" s="966">
        <f>Table22[[#This Row],[Chronic RA input value]]</f>
        <v>0</v>
      </c>
      <c r="G325" s="304">
        <f>Table22[[#This Row],[Chronic RA label]]</f>
        <v>0</v>
      </c>
      <c r="H325" s="304">
        <f>Table22[[#This Row],[GAP under assessment]]</f>
        <v>0</v>
      </c>
      <c r="I325" s="1123"/>
      <c r="J325" s="967" t="e">
        <f>IF($F325="","",$F325*chronic_consumption!$E325/1000/$C$3)</f>
        <v>#DIV/0!</v>
      </c>
      <c r="K325" s="967" t="e">
        <f>IF($F325="","",$F325*chronic_consumption!F325/1000/$C$3)</f>
        <v>#DIV/0!</v>
      </c>
      <c r="L325" s="967" t="e">
        <f>IF($F325="","",$F325*chronic_consumption!G325/1000/$C$3)</f>
        <v>#DIV/0!</v>
      </c>
      <c r="M325" s="967" t="e">
        <f>IF($F325="","",$F325*chronic_consumption!H325/1000/$C$3)</f>
        <v>#DIV/0!</v>
      </c>
      <c r="N325" s="967" t="e">
        <f>IF($F325="","",$F325*chronic_consumption!I325/1000/$C$3)</f>
        <v>#DIV/0!</v>
      </c>
      <c r="O325" s="967" t="e">
        <f>IF($F325="","",$F325*chronic_consumption!J325/1000/$C$3)</f>
        <v>#DIV/0!</v>
      </c>
      <c r="P325" s="967" t="e">
        <f>IF($F325="","",$F325*chronic_consumption!K325/1000/$C$3)</f>
        <v>#DIV/0!</v>
      </c>
      <c r="Q325" s="967" t="e">
        <f>IF($F325="","",$F325*chronic_consumption!L325/1000/$C$3)</f>
        <v>#DIV/0!</v>
      </c>
      <c r="R325" s="967" t="e">
        <f>IF($F325="","",$F325*chronic_consumption!M325/1000/$C$3)</f>
        <v>#DIV/0!</v>
      </c>
      <c r="S325" s="967" t="e">
        <f>IF($F325="","",$F325*chronic_consumption!N325/1000/$C$3)</f>
        <v>#DIV/0!</v>
      </c>
      <c r="T325" s="967" t="e">
        <f>IF($F325="","",$F325*chronic_consumption!O325/1000/$C$3)</f>
        <v>#DIV/0!</v>
      </c>
      <c r="U325" s="967" t="e">
        <f>IF($F325="","",$F325*chronic_consumption!P325/1000/$C$3)</f>
        <v>#DIV/0!</v>
      </c>
      <c r="V325" s="967" t="e">
        <f>IF($F325="","",$F325*chronic_consumption!Q325/1000/$C$3)</f>
        <v>#DIV/0!</v>
      </c>
      <c r="W325" s="967" t="e">
        <f>IF($F325="","",$F325*chronic_consumption!R325/1000/$C$3)</f>
        <v>#DIV/0!</v>
      </c>
      <c r="X325" s="967" t="e">
        <f>IF($F325="","",$F325*chronic_consumption!S325/1000/$C$3)</f>
        <v>#DIV/0!</v>
      </c>
      <c r="Y325" s="967" t="e">
        <f>IF($F325="","",$F325*chronic_consumption!T325/1000/$C$3)</f>
        <v>#DIV/0!</v>
      </c>
      <c r="Z325" s="967" t="e">
        <f>IF($F325="","",$F325*chronic_consumption!U325/1000/$C$3)</f>
        <v>#DIV/0!</v>
      </c>
      <c r="AA325" s="967" t="e">
        <f>IF($F325="","",$F325*chronic_consumption!V325/1000/$C$3)</f>
        <v>#DIV/0!</v>
      </c>
      <c r="AB325" s="967" t="e">
        <f>IF($F325="","",$F325*chronic_consumption!W325/1000/$C$3)</f>
        <v>#DIV/0!</v>
      </c>
      <c r="AC325" s="967" t="e">
        <f>IF($F325="","",$F325*chronic_consumption!X325/1000/$C$3)</f>
        <v>#DIV/0!</v>
      </c>
      <c r="AD325" s="967" t="e">
        <f>IF($F325="","",$F325*chronic_consumption!Y325/1000/$C$3)</f>
        <v>#DIV/0!</v>
      </c>
      <c r="AE325" s="967" t="e">
        <f>IF($F325="","",$F325*chronic_consumption!Z325/1000/$C$3)</f>
        <v>#DIV/0!</v>
      </c>
      <c r="AF325" s="967" t="e">
        <f>IF($F325="","",$F325*chronic_consumption!AA325/1000/$C$3)</f>
        <v>#DIV/0!</v>
      </c>
      <c r="AG325" s="967" t="e">
        <f>IF($F325="","",$F325*chronic_consumption!AB325/1000/$C$3)</f>
        <v>#DIV/0!</v>
      </c>
      <c r="AH325" s="967" t="e">
        <f>IF($F325="","",$F325*chronic_consumption!AC325/1000/$C$3)</f>
        <v>#DIV/0!</v>
      </c>
      <c r="AI325" s="967" t="e">
        <f>IF($F325="","",$F325*chronic_consumption!AD325/1000/$C$3)</f>
        <v>#DIV/0!</v>
      </c>
      <c r="AJ325" s="967" t="e">
        <f>IF($F325="","",$F325*chronic_consumption!AE325/1000/$C$3)</f>
        <v>#DIV/0!</v>
      </c>
      <c r="AK325" s="967" t="e">
        <f>IF($F325="","",$F325*chronic_consumption!AF325/1000/$C$3)</f>
        <v>#DIV/0!</v>
      </c>
      <c r="AL325" s="967" t="e">
        <f>IF($F325="","",$F325*chronic_consumption!AG325/1000/$C$3)</f>
        <v>#DIV/0!</v>
      </c>
      <c r="AM325" s="967" t="e">
        <f>IF($F325="","",$F325*chronic_consumption!AH325/1000/$C$3)</f>
        <v>#DIV/0!</v>
      </c>
      <c r="AN325" s="967" t="e">
        <f>IF($F325="","",$F325*chronic_consumption!AI325/1000/$C$3)</f>
        <v>#DIV/0!</v>
      </c>
      <c r="AO325" s="967" t="e">
        <f>IF($F325="","",$F325*chronic_consumption!AJ325/1000/$C$3)</f>
        <v>#DIV/0!</v>
      </c>
      <c r="AP325" s="967" t="e">
        <f>IF($F325="","",$F325*chronic_consumption!AK325/1000/$C$3)</f>
        <v>#DIV/0!</v>
      </c>
      <c r="AQ325" s="967" t="e">
        <f>IF($F325="","",$F325*chronic_consumption!AL325/1000/$C$3)</f>
        <v>#DIV/0!</v>
      </c>
      <c r="AR325" s="967" t="e">
        <f>IF($F325="","",$F325*chronic_consumption!AM325/1000/$C$3)</f>
        <v>#DIV/0!</v>
      </c>
      <c r="AS325" s="967" t="e">
        <f>IF($F325="","",$F325*chronic_consumption!AN325/1000/$C$3)</f>
        <v>#DIV/0!</v>
      </c>
      <c r="AT325" s="967" t="e">
        <f>IF($F325="","",$F325*chronic_consumption!AO325/1000/$C$3)</f>
        <v>#DIV/0!</v>
      </c>
      <c r="AU325" s="967"/>
      <c r="AV325" s="967" t="e">
        <f>IF($F325="","",$F325*chronic_consumption!AQ325/1000/$C$3)</f>
        <v>#DIV/0!</v>
      </c>
      <c r="AW325" s="967" t="e">
        <f>IF($F325="","",$F325*chronic_consumption!AR325/1000/$C$3)</f>
        <v>#DIV/0!</v>
      </c>
      <c r="AX325" s="967" t="e">
        <f>IF($F325="","",$F325*chronic_consumption!AS325/1000/$C$3)</f>
        <v>#DIV/0!</v>
      </c>
      <c r="AY325" s="967" t="e">
        <f>IF($F325="","",$F325*chronic_consumption!AT325/1000/$C$3)</f>
        <v>#DIV/0!</v>
      </c>
      <c r="AZ325" s="973"/>
      <c r="BA325" s="969" t="e">
        <f t="shared" si="23"/>
        <v>#DIV/0!</v>
      </c>
      <c r="BB325" s="970" t="e">
        <f t="shared" si="24"/>
        <v>#DIV/0!</v>
      </c>
      <c r="BC325" s="971" t="e">
        <f t="shared" ca="1" si="25"/>
        <v>#DIV/0!</v>
      </c>
      <c r="BD325" s="228">
        <f>input_values!Z325</f>
        <v>4</v>
      </c>
      <c r="BE325" s="152">
        <f>input_values!L325</f>
        <v>0</v>
      </c>
      <c r="BF325" s="972" t="str">
        <f t="shared" si="26"/>
        <v/>
      </c>
    </row>
    <row r="326" spans="1:58" ht="12" customHeight="1" outlineLevel="3" x14ac:dyDescent="0.2">
      <c r="A326" s="21">
        <v>4</v>
      </c>
      <c r="B326" s="23">
        <v>1011010</v>
      </c>
      <c r="C326" s="23" t="s">
        <v>862</v>
      </c>
      <c r="D326" s="965">
        <f>Table22[[#This Row],[MRL individual commodity]]</f>
        <v>0</v>
      </c>
      <c r="E326" s="300" t="str">
        <f>Table22[[#This Row],[LOQ_label]]</f>
        <v/>
      </c>
      <c r="F326" s="966">
        <f>Table22[[#This Row],[Chronic RA input value]]</f>
        <v>0</v>
      </c>
      <c r="G326" s="304" t="str">
        <f>Table22[[#This Row],[Chronic RA label]]</f>
        <v/>
      </c>
      <c r="H326" s="304">
        <f>Table22[[#This Row],[GAP under assessment]]</f>
        <v>0</v>
      </c>
      <c r="I326" s="1123"/>
      <c r="J326" s="974" t="e">
        <f>IF($F326="","",$F326*chronic_consumption!$E326/1000/$C$3)</f>
        <v>#DIV/0!</v>
      </c>
      <c r="K326" s="974" t="e">
        <f>IF($F326="","",$F326*chronic_consumption!F326/1000/$C$3)</f>
        <v>#DIV/0!</v>
      </c>
      <c r="L326" s="974" t="e">
        <f>IF($F326="","",$F326*chronic_consumption!G326/1000/$C$3)</f>
        <v>#DIV/0!</v>
      </c>
      <c r="M326" s="974" t="e">
        <f>IF($F326="","",$F326*chronic_consumption!H326/1000/$C$3)</f>
        <v>#DIV/0!</v>
      </c>
      <c r="N326" s="974" t="e">
        <f>IF($F326="","",$F326*chronic_consumption!I326/1000/$C$3)</f>
        <v>#DIV/0!</v>
      </c>
      <c r="O326" s="974" t="e">
        <f>IF($F326="","",$F326*chronic_consumption!J326/1000/$C$3)</f>
        <v>#DIV/0!</v>
      </c>
      <c r="P326" s="974" t="e">
        <f>IF($F326="","",$F326*chronic_consumption!K326/1000/$C$3)</f>
        <v>#DIV/0!</v>
      </c>
      <c r="Q326" s="974" t="e">
        <f>IF($F326="","",$F326*chronic_consumption!L326/1000/$C$3)</f>
        <v>#DIV/0!</v>
      </c>
      <c r="R326" s="974" t="e">
        <f>IF($F326="","",$F326*chronic_consumption!M326/1000/$C$3)</f>
        <v>#DIV/0!</v>
      </c>
      <c r="S326" s="974" t="e">
        <f>IF($F326="","",$F326*chronic_consumption!N326/1000/$C$3)</f>
        <v>#DIV/0!</v>
      </c>
      <c r="T326" s="974" t="e">
        <f>IF($F326="","",$F326*chronic_consumption!O326/1000/$C$3)</f>
        <v>#DIV/0!</v>
      </c>
      <c r="U326" s="974" t="e">
        <f>IF($F326="","",$F326*chronic_consumption!P326/1000/$C$3)</f>
        <v>#DIV/0!</v>
      </c>
      <c r="V326" s="974" t="e">
        <f>IF($F326="","",$F326*chronic_consumption!Q326/1000/$C$3)</f>
        <v>#DIV/0!</v>
      </c>
      <c r="W326" s="974" t="e">
        <f>IF($F326="","",$F326*chronic_consumption!R326/1000/$C$3)</f>
        <v>#DIV/0!</v>
      </c>
      <c r="X326" s="974" t="e">
        <f>IF($F326="","",$F326*chronic_consumption!S326/1000/$C$3)</f>
        <v>#DIV/0!</v>
      </c>
      <c r="Y326" s="974" t="e">
        <f>IF($F326="","",$F326*chronic_consumption!T326/1000/$C$3)</f>
        <v>#DIV/0!</v>
      </c>
      <c r="Z326" s="974" t="e">
        <f>IF($F326="","",$F326*chronic_consumption!U326/1000/$C$3)</f>
        <v>#DIV/0!</v>
      </c>
      <c r="AA326" s="974" t="e">
        <f>IF($F326="","",$F326*chronic_consumption!V326/1000/$C$3)</f>
        <v>#DIV/0!</v>
      </c>
      <c r="AB326" s="974" t="e">
        <f>IF($F326="","",$F326*chronic_consumption!W326/1000/$C$3)</f>
        <v>#DIV/0!</v>
      </c>
      <c r="AC326" s="974" t="e">
        <f>IF($F326="","",$F326*chronic_consumption!X326/1000/$C$3)</f>
        <v>#DIV/0!</v>
      </c>
      <c r="AD326" s="974" t="e">
        <f>IF($F326="","",$F326*chronic_consumption!Y326/1000/$C$3)</f>
        <v>#DIV/0!</v>
      </c>
      <c r="AE326" s="974" t="e">
        <f>IF($F326="","",$F326*chronic_consumption!Z326/1000/$C$3)</f>
        <v>#DIV/0!</v>
      </c>
      <c r="AF326" s="974" t="e">
        <f>IF($F326="","",$F326*chronic_consumption!AA326/1000/$C$3)</f>
        <v>#DIV/0!</v>
      </c>
      <c r="AG326" s="974" t="e">
        <f>IF($F326="","",$F326*chronic_consumption!AB326/1000/$C$3)</f>
        <v>#DIV/0!</v>
      </c>
      <c r="AH326" s="974" t="e">
        <f>IF($F326="","",$F326*chronic_consumption!AC326/1000/$C$3)</f>
        <v>#DIV/0!</v>
      </c>
      <c r="AI326" s="974" t="e">
        <f>IF($F326="","",$F326*chronic_consumption!AD326/1000/$C$3)</f>
        <v>#DIV/0!</v>
      </c>
      <c r="AJ326" s="974" t="e">
        <f>IF($F326="","",$F326*chronic_consumption!AE326/1000/$C$3)</f>
        <v>#DIV/0!</v>
      </c>
      <c r="AK326" s="974" t="e">
        <f>IF($F326="","",$F326*chronic_consumption!AF326/1000/$C$3)</f>
        <v>#DIV/0!</v>
      </c>
      <c r="AL326" s="974" t="e">
        <f>IF($F326="","",$F326*chronic_consumption!AG326/1000/$C$3)</f>
        <v>#DIV/0!</v>
      </c>
      <c r="AM326" s="974" t="e">
        <f>IF($F326="","",$F326*chronic_consumption!AH326/1000/$C$3)</f>
        <v>#DIV/0!</v>
      </c>
      <c r="AN326" s="974" t="e">
        <f>IF($F326="","",$F326*chronic_consumption!AI326/1000/$C$3)</f>
        <v>#DIV/0!</v>
      </c>
      <c r="AO326" s="974" t="e">
        <f>IF($F326="","",$F326*chronic_consumption!AJ326/1000/$C$3)</f>
        <v>#DIV/0!</v>
      </c>
      <c r="AP326" s="974" t="e">
        <f>IF($F326="","",$F326*chronic_consumption!AK326/1000/$C$3)</f>
        <v>#DIV/0!</v>
      </c>
      <c r="AQ326" s="974" t="e">
        <f>IF($F326="","",$F326*chronic_consumption!AL326/1000/$C$3)</f>
        <v>#DIV/0!</v>
      </c>
      <c r="AR326" s="974" t="e">
        <f>IF($F326="","",$F326*chronic_consumption!AM326/1000/$C$3)</f>
        <v>#DIV/0!</v>
      </c>
      <c r="AS326" s="974" t="e">
        <f>IF($F326="","",$F326*chronic_consumption!AN326/1000/$C$3)</f>
        <v>#DIV/0!</v>
      </c>
      <c r="AT326" s="974" t="e">
        <f>IF($F326="","",$F326*chronic_consumption!AO326/1000/$C$3)</f>
        <v>#DIV/0!</v>
      </c>
      <c r="AU326" s="974"/>
      <c r="AV326" s="974" t="e">
        <f>IF($F326="","",$F326*chronic_consumption!AQ326/1000/$C$3)</f>
        <v>#DIV/0!</v>
      </c>
      <c r="AW326" s="974" t="e">
        <f>IF($F326="","",$F326*chronic_consumption!AR326/1000/$C$3)</f>
        <v>#DIV/0!</v>
      </c>
      <c r="AX326" s="974" t="e">
        <f>IF($F326="","",$F326*chronic_consumption!AS326/1000/$C$3)</f>
        <v>#DIV/0!</v>
      </c>
      <c r="AY326" s="974" t="e">
        <f>IF($F326="","",$F326*chronic_consumption!AT326/1000/$C$3)</f>
        <v>#DIV/0!</v>
      </c>
      <c r="AZ326" s="973" t="s">
        <v>19</v>
      </c>
      <c r="BA326" s="969" t="e">
        <f t="shared" si="23"/>
        <v>#DIV/0!</v>
      </c>
      <c r="BB326" s="970" t="e">
        <f t="shared" si="24"/>
        <v>#DIV/0!</v>
      </c>
      <c r="BC326" s="971" t="e">
        <f t="shared" ca="1" si="25"/>
        <v>#DIV/0!</v>
      </c>
      <c r="BD326" s="228">
        <f>input_values!Z326</f>
        <v>4</v>
      </c>
      <c r="BE326" s="152">
        <f>input_values!L326</f>
        <v>0</v>
      </c>
      <c r="BF326" s="972" t="str">
        <f t="shared" si="26"/>
        <v/>
      </c>
    </row>
    <row r="327" spans="1:58" ht="12" customHeight="1" outlineLevel="3" x14ac:dyDescent="0.2">
      <c r="A327" s="21">
        <v>4</v>
      </c>
      <c r="B327" s="23">
        <v>1011020</v>
      </c>
      <c r="C327" s="23" t="s">
        <v>787</v>
      </c>
      <c r="D327" s="965">
        <f>Table22[[#This Row],[MRL individual commodity]]</f>
        <v>0</v>
      </c>
      <c r="E327" s="300" t="str">
        <f>Table22[[#This Row],[LOQ_label]]</f>
        <v/>
      </c>
      <c r="F327" s="966">
        <f>Table22[[#This Row],[Chronic RA input value]]</f>
        <v>0</v>
      </c>
      <c r="G327" s="304" t="str">
        <f>Table22[[#This Row],[Chronic RA label]]</f>
        <v/>
      </c>
      <c r="H327" s="304">
        <f>Table22[[#This Row],[GAP under assessment]]</f>
        <v>0</v>
      </c>
      <c r="I327" s="1123"/>
      <c r="J327" s="974" t="e">
        <f>IF($F327="","",$F327*chronic_consumption!$E327/1000/$C$3)</f>
        <v>#DIV/0!</v>
      </c>
      <c r="K327" s="974" t="e">
        <f>IF($F327="","",$F327*chronic_consumption!F327/1000/$C$3)</f>
        <v>#DIV/0!</v>
      </c>
      <c r="L327" s="974" t="e">
        <f>IF($F327="","",$F327*chronic_consumption!G327/1000/$C$3)</f>
        <v>#DIV/0!</v>
      </c>
      <c r="M327" s="974" t="e">
        <f>IF($F327="","",$F327*chronic_consumption!H327/1000/$C$3)</f>
        <v>#DIV/0!</v>
      </c>
      <c r="N327" s="974" t="e">
        <f>IF($F327="","",$F327*chronic_consumption!I327/1000/$C$3)</f>
        <v>#DIV/0!</v>
      </c>
      <c r="O327" s="974" t="e">
        <f>IF($F327="","",$F327*chronic_consumption!J327/1000/$C$3)</f>
        <v>#DIV/0!</v>
      </c>
      <c r="P327" s="974" t="e">
        <f>IF($F327="","",$F327*chronic_consumption!K327/1000/$C$3)</f>
        <v>#DIV/0!</v>
      </c>
      <c r="Q327" s="974" t="e">
        <f>IF($F327="","",$F327*chronic_consumption!L327/1000/$C$3)</f>
        <v>#DIV/0!</v>
      </c>
      <c r="R327" s="974" t="e">
        <f>IF($F327="","",$F327*chronic_consumption!M327/1000/$C$3)</f>
        <v>#DIV/0!</v>
      </c>
      <c r="S327" s="974" t="e">
        <f>IF($F327="","",$F327*chronic_consumption!N327/1000/$C$3)</f>
        <v>#DIV/0!</v>
      </c>
      <c r="T327" s="974" t="e">
        <f>IF($F327="","",$F327*chronic_consumption!O327/1000/$C$3)</f>
        <v>#DIV/0!</v>
      </c>
      <c r="U327" s="974" t="e">
        <f>IF($F327="","",$F327*chronic_consumption!P327/1000/$C$3)</f>
        <v>#DIV/0!</v>
      </c>
      <c r="V327" s="974" t="e">
        <f>IF($F327="","",$F327*chronic_consumption!Q327/1000/$C$3)</f>
        <v>#DIV/0!</v>
      </c>
      <c r="W327" s="974" t="e">
        <f>IF($F327="","",$F327*chronic_consumption!R327/1000/$C$3)</f>
        <v>#DIV/0!</v>
      </c>
      <c r="X327" s="974" t="e">
        <f>IF($F327="","",$F327*chronic_consumption!S327/1000/$C$3)</f>
        <v>#DIV/0!</v>
      </c>
      <c r="Y327" s="974" t="e">
        <f>IF($F327="","",$F327*chronic_consumption!T327/1000/$C$3)</f>
        <v>#DIV/0!</v>
      </c>
      <c r="Z327" s="974" t="e">
        <f>IF($F327="","",$F327*chronic_consumption!U327/1000/$C$3)</f>
        <v>#DIV/0!</v>
      </c>
      <c r="AA327" s="974" t="e">
        <f>IF($F327="","",$F327*chronic_consumption!V327/1000/$C$3)</f>
        <v>#DIV/0!</v>
      </c>
      <c r="AB327" s="974" t="e">
        <f>IF($F327="","",$F327*chronic_consumption!W327/1000/$C$3)</f>
        <v>#DIV/0!</v>
      </c>
      <c r="AC327" s="974" t="e">
        <f>IF($F327="","",$F327*chronic_consumption!X327/1000/$C$3)</f>
        <v>#DIV/0!</v>
      </c>
      <c r="AD327" s="974" t="e">
        <f>IF($F327="","",$F327*chronic_consumption!Y327/1000/$C$3)</f>
        <v>#DIV/0!</v>
      </c>
      <c r="AE327" s="974" t="e">
        <f>IF($F327="","",$F327*chronic_consumption!Z327/1000/$C$3)</f>
        <v>#DIV/0!</v>
      </c>
      <c r="AF327" s="974" t="e">
        <f>IF($F327="","",$F327*chronic_consumption!AA327/1000/$C$3)</f>
        <v>#DIV/0!</v>
      </c>
      <c r="AG327" s="974" t="e">
        <f>IF($F327="","",$F327*chronic_consumption!AB327/1000/$C$3)</f>
        <v>#DIV/0!</v>
      </c>
      <c r="AH327" s="974" t="e">
        <f>IF($F327="","",$F327*chronic_consumption!AC327/1000/$C$3)</f>
        <v>#DIV/0!</v>
      </c>
      <c r="AI327" s="974" t="e">
        <f>IF($F327="","",$F327*chronic_consumption!AD327/1000/$C$3)</f>
        <v>#DIV/0!</v>
      </c>
      <c r="AJ327" s="974" t="e">
        <f>IF($F327="","",$F327*chronic_consumption!AE327/1000/$C$3)</f>
        <v>#DIV/0!</v>
      </c>
      <c r="AK327" s="974" t="e">
        <f>IF($F327="","",$F327*chronic_consumption!AF327/1000/$C$3)</f>
        <v>#DIV/0!</v>
      </c>
      <c r="AL327" s="974" t="e">
        <f>IF($F327="","",$F327*chronic_consumption!AG327/1000/$C$3)</f>
        <v>#DIV/0!</v>
      </c>
      <c r="AM327" s="974" t="e">
        <f>IF($F327="","",$F327*chronic_consumption!AH327/1000/$C$3)</f>
        <v>#DIV/0!</v>
      </c>
      <c r="AN327" s="974" t="e">
        <f>IF($F327="","",$F327*chronic_consumption!AI327/1000/$C$3)</f>
        <v>#DIV/0!</v>
      </c>
      <c r="AO327" s="974" t="e">
        <f>IF($F327="","",$F327*chronic_consumption!AJ327/1000/$C$3)</f>
        <v>#DIV/0!</v>
      </c>
      <c r="AP327" s="974" t="e">
        <f>IF($F327="","",$F327*chronic_consumption!AK327/1000/$C$3)</f>
        <v>#DIV/0!</v>
      </c>
      <c r="AQ327" s="974" t="e">
        <f>IF($F327="","",$F327*chronic_consumption!AL327/1000/$C$3)</f>
        <v>#DIV/0!</v>
      </c>
      <c r="AR327" s="974" t="e">
        <f>IF($F327="","",$F327*chronic_consumption!AM327/1000/$C$3)</f>
        <v>#DIV/0!</v>
      </c>
      <c r="AS327" s="974" t="e">
        <f>IF($F327="","",$F327*chronic_consumption!AN327/1000/$C$3)</f>
        <v>#DIV/0!</v>
      </c>
      <c r="AT327" s="974" t="e">
        <f>IF($F327="","",$F327*chronic_consumption!AO327/1000/$C$3)</f>
        <v>#DIV/0!</v>
      </c>
      <c r="AU327" s="974"/>
      <c r="AV327" s="974" t="e">
        <f>IF($F327="","",$F327*chronic_consumption!AQ327/1000/$C$3)</f>
        <v>#DIV/0!</v>
      </c>
      <c r="AW327" s="974" t="e">
        <f>IF($F327="","",$F327*chronic_consumption!AR327/1000/$C$3)</f>
        <v>#DIV/0!</v>
      </c>
      <c r="AX327" s="974" t="e">
        <f>IF($F327="","",$F327*chronic_consumption!AS327/1000/$C$3)</f>
        <v>#DIV/0!</v>
      </c>
      <c r="AY327" s="974" t="e">
        <f>IF($F327="","",$F327*chronic_consumption!AT327/1000/$C$3)</f>
        <v>#DIV/0!</v>
      </c>
      <c r="AZ327" s="973" t="s">
        <v>19</v>
      </c>
      <c r="BA327" s="969" t="e">
        <f t="shared" si="23"/>
        <v>#DIV/0!</v>
      </c>
      <c r="BB327" s="970" t="e">
        <f t="shared" si="24"/>
        <v>#DIV/0!</v>
      </c>
      <c r="BC327" s="971" t="e">
        <f t="shared" ca="1" si="25"/>
        <v>#DIV/0!</v>
      </c>
      <c r="BD327" s="228">
        <f>input_values!Z327</f>
        <v>4</v>
      </c>
      <c r="BE327" s="152">
        <f>input_values!L327</f>
        <v>0</v>
      </c>
      <c r="BF327" s="972" t="str">
        <f t="shared" si="26"/>
        <v/>
      </c>
    </row>
    <row r="328" spans="1:58" ht="12" customHeight="1" outlineLevel="3" x14ac:dyDescent="0.2">
      <c r="A328" s="21">
        <v>4</v>
      </c>
      <c r="B328" s="23">
        <v>1011030</v>
      </c>
      <c r="C328" s="23" t="s">
        <v>191</v>
      </c>
      <c r="D328" s="965">
        <f>Table22[[#This Row],[MRL individual commodity]]</f>
        <v>0</v>
      </c>
      <c r="E328" s="300" t="str">
        <f>Table22[[#This Row],[LOQ_label]]</f>
        <v/>
      </c>
      <c r="F328" s="966">
        <f>Table22[[#This Row],[Chronic RA input value]]</f>
        <v>0</v>
      </c>
      <c r="G328" s="304" t="str">
        <f>Table22[[#This Row],[Chronic RA label]]</f>
        <v/>
      </c>
      <c r="H328" s="304">
        <f>Table22[[#This Row],[GAP under assessment]]</f>
        <v>0</v>
      </c>
      <c r="I328" s="1123"/>
      <c r="J328" s="974" t="e">
        <f>IF($F328="","",$F328*chronic_consumption!$E328/1000/$C$3)</f>
        <v>#DIV/0!</v>
      </c>
      <c r="K328" s="974" t="e">
        <f>IF($F328="","",$F328*chronic_consumption!F328/1000/$C$3)</f>
        <v>#DIV/0!</v>
      </c>
      <c r="L328" s="974" t="e">
        <f>IF($F328="","",$F328*chronic_consumption!G328/1000/$C$3)</f>
        <v>#DIV/0!</v>
      </c>
      <c r="M328" s="974" t="e">
        <f>IF($F328="","",$F328*chronic_consumption!H328/1000/$C$3)</f>
        <v>#DIV/0!</v>
      </c>
      <c r="N328" s="974" t="e">
        <f>IF($F328="","",$F328*chronic_consumption!I328/1000/$C$3)</f>
        <v>#DIV/0!</v>
      </c>
      <c r="O328" s="974" t="e">
        <f>IF($F328="","",$F328*chronic_consumption!J328/1000/$C$3)</f>
        <v>#DIV/0!</v>
      </c>
      <c r="P328" s="974" t="e">
        <f>IF($F328="","",$F328*chronic_consumption!K328/1000/$C$3)</f>
        <v>#DIV/0!</v>
      </c>
      <c r="Q328" s="974" t="e">
        <f>IF($F328="","",$F328*chronic_consumption!L328/1000/$C$3)</f>
        <v>#DIV/0!</v>
      </c>
      <c r="R328" s="974" t="e">
        <f>IF($F328="","",$F328*chronic_consumption!M328/1000/$C$3)</f>
        <v>#DIV/0!</v>
      </c>
      <c r="S328" s="974" t="e">
        <f>IF($F328="","",$F328*chronic_consumption!N328/1000/$C$3)</f>
        <v>#DIV/0!</v>
      </c>
      <c r="T328" s="974" t="e">
        <f>IF($F328="","",$F328*chronic_consumption!O328/1000/$C$3)</f>
        <v>#DIV/0!</v>
      </c>
      <c r="U328" s="974" t="e">
        <f>IF($F328="","",$F328*chronic_consumption!P328/1000/$C$3)</f>
        <v>#DIV/0!</v>
      </c>
      <c r="V328" s="974" t="e">
        <f>IF($F328="","",$F328*chronic_consumption!Q328/1000/$C$3)</f>
        <v>#DIV/0!</v>
      </c>
      <c r="W328" s="974" t="e">
        <f>IF($F328="","",$F328*chronic_consumption!R328/1000/$C$3)</f>
        <v>#DIV/0!</v>
      </c>
      <c r="X328" s="974" t="e">
        <f>IF($F328="","",$F328*chronic_consumption!S328/1000/$C$3)</f>
        <v>#DIV/0!</v>
      </c>
      <c r="Y328" s="974" t="e">
        <f>IF($F328="","",$F328*chronic_consumption!T328/1000/$C$3)</f>
        <v>#DIV/0!</v>
      </c>
      <c r="Z328" s="974" t="e">
        <f>IF($F328="","",$F328*chronic_consumption!U328/1000/$C$3)</f>
        <v>#DIV/0!</v>
      </c>
      <c r="AA328" s="974" t="e">
        <f>IF($F328="","",$F328*chronic_consumption!V328/1000/$C$3)</f>
        <v>#DIV/0!</v>
      </c>
      <c r="AB328" s="974" t="e">
        <f>IF($F328="","",$F328*chronic_consumption!W328/1000/$C$3)</f>
        <v>#DIV/0!</v>
      </c>
      <c r="AC328" s="974" t="e">
        <f>IF($F328="","",$F328*chronic_consumption!X328/1000/$C$3)</f>
        <v>#DIV/0!</v>
      </c>
      <c r="AD328" s="974" t="e">
        <f>IF($F328="","",$F328*chronic_consumption!Y328/1000/$C$3)</f>
        <v>#DIV/0!</v>
      </c>
      <c r="AE328" s="974" t="e">
        <f>IF($F328="","",$F328*chronic_consumption!Z328/1000/$C$3)</f>
        <v>#DIV/0!</v>
      </c>
      <c r="AF328" s="974" t="e">
        <f>IF($F328="","",$F328*chronic_consumption!AA328/1000/$C$3)</f>
        <v>#DIV/0!</v>
      </c>
      <c r="AG328" s="974" t="e">
        <f>IF($F328="","",$F328*chronic_consumption!AB328/1000/$C$3)</f>
        <v>#DIV/0!</v>
      </c>
      <c r="AH328" s="974" t="e">
        <f>IF($F328="","",$F328*chronic_consumption!AC328/1000/$C$3)</f>
        <v>#DIV/0!</v>
      </c>
      <c r="AI328" s="974" t="e">
        <f>IF($F328="","",$F328*chronic_consumption!AD328/1000/$C$3)</f>
        <v>#DIV/0!</v>
      </c>
      <c r="AJ328" s="974" t="e">
        <f>IF($F328="","",$F328*chronic_consumption!AE328/1000/$C$3)</f>
        <v>#DIV/0!</v>
      </c>
      <c r="AK328" s="974" t="e">
        <f>IF($F328="","",$F328*chronic_consumption!AF328/1000/$C$3)</f>
        <v>#DIV/0!</v>
      </c>
      <c r="AL328" s="974" t="e">
        <f>IF($F328="","",$F328*chronic_consumption!AG328/1000/$C$3)</f>
        <v>#DIV/0!</v>
      </c>
      <c r="AM328" s="974" t="e">
        <f>IF($F328="","",$F328*chronic_consumption!AH328/1000/$C$3)</f>
        <v>#DIV/0!</v>
      </c>
      <c r="AN328" s="974" t="e">
        <f>IF($F328="","",$F328*chronic_consumption!AI328/1000/$C$3)</f>
        <v>#DIV/0!</v>
      </c>
      <c r="AO328" s="974" t="e">
        <f>IF($F328="","",$F328*chronic_consumption!AJ328/1000/$C$3)</f>
        <v>#DIV/0!</v>
      </c>
      <c r="AP328" s="974" t="e">
        <f>IF($F328="","",$F328*chronic_consumption!AK328/1000/$C$3)</f>
        <v>#DIV/0!</v>
      </c>
      <c r="AQ328" s="974" t="e">
        <f>IF($F328="","",$F328*chronic_consumption!AL328/1000/$C$3)</f>
        <v>#DIV/0!</v>
      </c>
      <c r="AR328" s="974" t="e">
        <f>IF($F328="","",$F328*chronic_consumption!AM328/1000/$C$3)</f>
        <v>#DIV/0!</v>
      </c>
      <c r="AS328" s="974" t="e">
        <f>IF($F328="","",$F328*chronic_consumption!AN328/1000/$C$3)</f>
        <v>#DIV/0!</v>
      </c>
      <c r="AT328" s="974" t="e">
        <f>IF($F328="","",$F328*chronic_consumption!AO328/1000/$C$3)</f>
        <v>#DIV/0!</v>
      </c>
      <c r="AU328" s="974"/>
      <c r="AV328" s="974" t="e">
        <f>IF($F328="","",$F328*chronic_consumption!AQ328/1000/$C$3)</f>
        <v>#DIV/0!</v>
      </c>
      <c r="AW328" s="974" t="e">
        <f>IF($F328="","",$F328*chronic_consumption!AR328/1000/$C$3)</f>
        <v>#DIV/0!</v>
      </c>
      <c r="AX328" s="974" t="e">
        <f>IF($F328="","",$F328*chronic_consumption!AS328/1000/$C$3)</f>
        <v>#DIV/0!</v>
      </c>
      <c r="AY328" s="974" t="e">
        <f>IF($F328="","",$F328*chronic_consumption!AT328/1000/$C$3)</f>
        <v>#DIV/0!</v>
      </c>
      <c r="AZ328" s="973" t="s">
        <v>19</v>
      </c>
      <c r="BA328" s="969" t="e">
        <f t="shared" si="23"/>
        <v>#DIV/0!</v>
      </c>
      <c r="BB328" s="970" t="e">
        <f t="shared" si="24"/>
        <v>#DIV/0!</v>
      </c>
      <c r="BC328" s="971" t="e">
        <f t="shared" ca="1" si="25"/>
        <v>#DIV/0!</v>
      </c>
      <c r="BD328" s="228">
        <f>input_values!Z328</f>
        <v>4</v>
      </c>
      <c r="BE328" s="152">
        <f>input_values!L328</f>
        <v>0</v>
      </c>
      <c r="BF328" s="972" t="str">
        <f t="shared" si="26"/>
        <v/>
      </c>
    </row>
    <row r="329" spans="1:58" ht="12" customHeight="1" outlineLevel="3" x14ac:dyDescent="0.2">
      <c r="A329" s="21">
        <v>4</v>
      </c>
      <c r="B329" s="23">
        <v>1011040</v>
      </c>
      <c r="C329" s="23" t="s">
        <v>192</v>
      </c>
      <c r="D329" s="965">
        <f>Table22[[#This Row],[MRL individual commodity]]</f>
        <v>0</v>
      </c>
      <c r="E329" s="300" t="str">
        <f>Table22[[#This Row],[LOQ_label]]</f>
        <v/>
      </c>
      <c r="F329" s="966">
        <f>Table22[[#This Row],[Chronic RA input value]]</f>
        <v>0</v>
      </c>
      <c r="G329" s="304" t="str">
        <f>Table22[[#This Row],[Chronic RA label]]</f>
        <v/>
      </c>
      <c r="H329" s="304">
        <f>Table22[[#This Row],[GAP under assessment]]</f>
        <v>0</v>
      </c>
      <c r="I329" s="1123"/>
      <c r="J329" s="974" t="e">
        <f>IF($F329="","",$F329*chronic_consumption!$E329/1000/$C$3)</f>
        <v>#DIV/0!</v>
      </c>
      <c r="K329" s="974" t="e">
        <f>IF($F329="","",$F329*chronic_consumption!F329/1000/$C$3)</f>
        <v>#DIV/0!</v>
      </c>
      <c r="L329" s="974" t="e">
        <f>IF($F329="","",$F329*chronic_consumption!G329/1000/$C$3)</f>
        <v>#DIV/0!</v>
      </c>
      <c r="M329" s="974" t="e">
        <f>IF($F329="","",$F329*chronic_consumption!H329/1000/$C$3)</f>
        <v>#DIV/0!</v>
      </c>
      <c r="N329" s="974" t="e">
        <f>IF($F329="","",$F329*chronic_consumption!I329/1000/$C$3)</f>
        <v>#DIV/0!</v>
      </c>
      <c r="O329" s="974" t="e">
        <f>IF($F329="","",$F329*chronic_consumption!J329/1000/$C$3)</f>
        <v>#DIV/0!</v>
      </c>
      <c r="P329" s="974" t="e">
        <f>IF($F329="","",$F329*chronic_consumption!K329/1000/$C$3)</f>
        <v>#DIV/0!</v>
      </c>
      <c r="Q329" s="974" t="e">
        <f>IF($F329="","",$F329*chronic_consumption!L329/1000/$C$3)</f>
        <v>#DIV/0!</v>
      </c>
      <c r="R329" s="974" t="e">
        <f>IF($F329="","",$F329*chronic_consumption!M329/1000/$C$3)</f>
        <v>#DIV/0!</v>
      </c>
      <c r="S329" s="974" t="e">
        <f>IF($F329="","",$F329*chronic_consumption!N329/1000/$C$3)</f>
        <v>#DIV/0!</v>
      </c>
      <c r="T329" s="974" t="e">
        <f>IF($F329="","",$F329*chronic_consumption!O329/1000/$C$3)</f>
        <v>#DIV/0!</v>
      </c>
      <c r="U329" s="974" t="e">
        <f>IF($F329="","",$F329*chronic_consumption!P329/1000/$C$3)</f>
        <v>#DIV/0!</v>
      </c>
      <c r="V329" s="974" t="e">
        <f>IF($F329="","",$F329*chronic_consumption!Q329/1000/$C$3)</f>
        <v>#DIV/0!</v>
      </c>
      <c r="W329" s="974" t="e">
        <f>IF($F329="","",$F329*chronic_consumption!R329/1000/$C$3)</f>
        <v>#DIV/0!</v>
      </c>
      <c r="X329" s="974" t="e">
        <f>IF($F329="","",$F329*chronic_consumption!S329/1000/$C$3)</f>
        <v>#DIV/0!</v>
      </c>
      <c r="Y329" s="974" t="e">
        <f>IF($F329="","",$F329*chronic_consumption!T329/1000/$C$3)</f>
        <v>#DIV/0!</v>
      </c>
      <c r="Z329" s="974" t="e">
        <f>IF($F329="","",$F329*chronic_consumption!U329/1000/$C$3)</f>
        <v>#DIV/0!</v>
      </c>
      <c r="AA329" s="974" t="e">
        <f>IF($F329="","",$F329*chronic_consumption!V329/1000/$C$3)</f>
        <v>#DIV/0!</v>
      </c>
      <c r="AB329" s="974" t="e">
        <f>IF($F329="","",$F329*chronic_consumption!W329/1000/$C$3)</f>
        <v>#DIV/0!</v>
      </c>
      <c r="AC329" s="974" t="e">
        <f>IF($F329="","",$F329*chronic_consumption!X329/1000/$C$3)</f>
        <v>#DIV/0!</v>
      </c>
      <c r="AD329" s="974" t="e">
        <f>IF($F329="","",$F329*chronic_consumption!Y329/1000/$C$3)</f>
        <v>#DIV/0!</v>
      </c>
      <c r="AE329" s="974" t="e">
        <f>IF($F329="","",$F329*chronic_consumption!Z329/1000/$C$3)</f>
        <v>#DIV/0!</v>
      </c>
      <c r="AF329" s="974" t="e">
        <f>IF($F329="","",$F329*chronic_consumption!AA329/1000/$C$3)</f>
        <v>#DIV/0!</v>
      </c>
      <c r="AG329" s="974" t="e">
        <f>IF($F329="","",$F329*chronic_consumption!AB329/1000/$C$3)</f>
        <v>#DIV/0!</v>
      </c>
      <c r="AH329" s="974" t="e">
        <f>IF($F329="","",$F329*chronic_consumption!AC329/1000/$C$3)</f>
        <v>#DIV/0!</v>
      </c>
      <c r="AI329" s="974" t="e">
        <f>IF($F329="","",$F329*chronic_consumption!AD329/1000/$C$3)</f>
        <v>#DIV/0!</v>
      </c>
      <c r="AJ329" s="974" t="e">
        <f>IF($F329="","",$F329*chronic_consumption!AE329/1000/$C$3)</f>
        <v>#DIV/0!</v>
      </c>
      <c r="AK329" s="974" t="e">
        <f>IF($F329="","",$F329*chronic_consumption!AF329/1000/$C$3)</f>
        <v>#DIV/0!</v>
      </c>
      <c r="AL329" s="974" t="e">
        <f>IF($F329="","",$F329*chronic_consumption!AG329/1000/$C$3)</f>
        <v>#DIV/0!</v>
      </c>
      <c r="AM329" s="974" t="e">
        <f>IF($F329="","",$F329*chronic_consumption!AH329/1000/$C$3)</f>
        <v>#DIV/0!</v>
      </c>
      <c r="AN329" s="974" t="e">
        <f>IF($F329="","",$F329*chronic_consumption!AI329/1000/$C$3)</f>
        <v>#DIV/0!</v>
      </c>
      <c r="AO329" s="974" t="e">
        <f>IF($F329="","",$F329*chronic_consumption!AJ329/1000/$C$3)</f>
        <v>#DIV/0!</v>
      </c>
      <c r="AP329" s="974" t="e">
        <f>IF($F329="","",$F329*chronic_consumption!AK329/1000/$C$3)</f>
        <v>#DIV/0!</v>
      </c>
      <c r="AQ329" s="974" t="e">
        <f>IF($F329="","",$F329*chronic_consumption!AL329/1000/$C$3)</f>
        <v>#DIV/0!</v>
      </c>
      <c r="AR329" s="974" t="e">
        <f>IF($F329="","",$F329*chronic_consumption!AM329/1000/$C$3)</f>
        <v>#DIV/0!</v>
      </c>
      <c r="AS329" s="974" t="e">
        <f>IF($F329="","",$F329*chronic_consumption!AN329/1000/$C$3)</f>
        <v>#DIV/0!</v>
      </c>
      <c r="AT329" s="974" t="e">
        <f>IF($F329="","",$F329*chronic_consumption!AO329/1000/$C$3)</f>
        <v>#DIV/0!</v>
      </c>
      <c r="AU329" s="974"/>
      <c r="AV329" s="974" t="e">
        <f>IF($F329="","",$F329*chronic_consumption!AQ329/1000/$C$3)</f>
        <v>#DIV/0!</v>
      </c>
      <c r="AW329" s="974" t="e">
        <f>IF($F329="","",$F329*chronic_consumption!AR329/1000/$C$3)</f>
        <v>#DIV/0!</v>
      </c>
      <c r="AX329" s="974" t="e">
        <f>IF($F329="","",$F329*chronic_consumption!AS329/1000/$C$3)</f>
        <v>#DIV/0!</v>
      </c>
      <c r="AY329" s="974" t="e">
        <f>IF($F329="","",$F329*chronic_consumption!AT329/1000/$C$3)</f>
        <v>#DIV/0!</v>
      </c>
      <c r="AZ329" s="973" t="s">
        <v>19</v>
      </c>
      <c r="BA329" s="969" t="e">
        <f t="shared" si="23"/>
        <v>#DIV/0!</v>
      </c>
      <c r="BB329" s="970" t="e">
        <f t="shared" si="24"/>
        <v>#DIV/0!</v>
      </c>
      <c r="BC329" s="971" t="e">
        <f t="shared" ca="1" si="25"/>
        <v>#DIV/0!</v>
      </c>
      <c r="BD329" s="228">
        <f>input_values!Z329</f>
        <v>4</v>
      </c>
      <c r="BE329" s="152">
        <f>input_values!L329</f>
        <v>0</v>
      </c>
      <c r="BF329" s="972" t="str">
        <f t="shared" si="26"/>
        <v/>
      </c>
    </row>
    <row r="330" spans="1:58" ht="12" customHeight="1" outlineLevel="3" x14ac:dyDescent="0.2">
      <c r="A330" s="21">
        <v>4</v>
      </c>
      <c r="B330" s="23">
        <v>1011050</v>
      </c>
      <c r="C330" s="23" t="s">
        <v>788</v>
      </c>
      <c r="D330" s="965">
        <f>Table22[[#This Row],[MRL individual commodity]]</f>
        <v>0</v>
      </c>
      <c r="E330" s="300" t="str">
        <f>Table22[[#This Row],[LOQ_label]]</f>
        <v/>
      </c>
      <c r="F330" s="966">
        <f>Table22[[#This Row],[Chronic RA input value]]</f>
        <v>0</v>
      </c>
      <c r="G330" s="304" t="str">
        <f>Table22[[#This Row],[Chronic RA label]]</f>
        <v/>
      </c>
      <c r="H330" s="304">
        <f>Table22[[#This Row],[GAP under assessment]]</f>
        <v>0</v>
      </c>
      <c r="I330" s="1123"/>
      <c r="J330" s="974" t="e">
        <f>IF($F330="","",$F330*chronic_consumption!$E330/1000/$C$3)</f>
        <v>#DIV/0!</v>
      </c>
      <c r="K330" s="974" t="e">
        <f>IF($F330="","",$F330*chronic_consumption!F330/1000/$C$3)</f>
        <v>#DIV/0!</v>
      </c>
      <c r="L330" s="974" t="e">
        <f>IF($F330="","",$F330*chronic_consumption!G330/1000/$C$3)</f>
        <v>#DIV/0!</v>
      </c>
      <c r="M330" s="974" t="e">
        <f>IF($F330="","",$F330*chronic_consumption!H330/1000/$C$3)</f>
        <v>#DIV/0!</v>
      </c>
      <c r="N330" s="974" t="e">
        <f>IF($F330="","",$F330*chronic_consumption!I330/1000/$C$3)</f>
        <v>#DIV/0!</v>
      </c>
      <c r="O330" s="974" t="e">
        <f>IF($F330="","",$F330*chronic_consumption!J330/1000/$C$3)</f>
        <v>#DIV/0!</v>
      </c>
      <c r="P330" s="974" t="e">
        <f>IF($F330="","",$F330*chronic_consumption!K330/1000/$C$3)</f>
        <v>#DIV/0!</v>
      </c>
      <c r="Q330" s="974" t="e">
        <f>IF($F330="","",$F330*chronic_consumption!L330/1000/$C$3)</f>
        <v>#DIV/0!</v>
      </c>
      <c r="R330" s="974" t="e">
        <f>IF($F330="","",$F330*chronic_consumption!M330/1000/$C$3)</f>
        <v>#DIV/0!</v>
      </c>
      <c r="S330" s="974" t="e">
        <f>IF($F330="","",$F330*chronic_consumption!N330/1000/$C$3)</f>
        <v>#DIV/0!</v>
      </c>
      <c r="T330" s="974" t="e">
        <f>IF($F330="","",$F330*chronic_consumption!O330/1000/$C$3)</f>
        <v>#DIV/0!</v>
      </c>
      <c r="U330" s="974" t="e">
        <f>IF($F330="","",$F330*chronic_consumption!P330/1000/$C$3)</f>
        <v>#DIV/0!</v>
      </c>
      <c r="V330" s="974" t="e">
        <f>IF($F330="","",$F330*chronic_consumption!Q330/1000/$C$3)</f>
        <v>#DIV/0!</v>
      </c>
      <c r="W330" s="974" t="e">
        <f>IF($F330="","",$F330*chronic_consumption!R330/1000/$C$3)</f>
        <v>#DIV/0!</v>
      </c>
      <c r="X330" s="974" t="e">
        <f>IF($F330="","",$F330*chronic_consumption!S330/1000/$C$3)</f>
        <v>#DIV/0!</v>
      </c>
      <c r="Y330" s="974" t="e">
        <f>IF($F330="","",$F330*chronic_consumption!T330/1000/$C$3)</f>
        <v>#DIV/0!</v>
      </c>
      <c r="Z330" s="974" t="e">
        <f>IF($F330="","",$F330*chronic_consumption!U330/1000/$C$3)</f>
        <v>#DIV/0!</v>
      </c>
      <c r="AA330" s="974" t="e">
        <f>IF($F330="","",$F330*chronic_consumption!V330/1000/$C$3)</f>
        <v>#DIV/0!</v>
      </c>
      <c r="AB330" s="974" t="e">
        <f>IF($F330="","",$F330*chronic_consumption!W330/1000/$C$3)</f>
        <v>#DIV/0!</v>
      </c>
      <c r="AC330" s="974" t="e">
        <f>IF($F330="","",$F330*chronic_consumption!X330/1000/$C$3)</f>
        <v>#DIV/0!</v>
      </c>
      <c r="AD330" s="974" t="e">
        <f>IF($F330="","",$F330*chronic_consumption!Y330/1000/$C$3)</f>
        <v>#DIV/0!</v>
      </c>
      <c r="AE330" s="974" t="e">
        <f>IF($F330="","",$F330*chronic_consumption!Z330/1000/$C$3)</f>
        <v>#DIV/0!</v>
      </c>
      <c r="AF330" s="974" t="e">
        <f>IF($F330="","",$F330*chronic_consumption!AA330/1000/$C$3)</f>
        <v>#DIV/0!</v>
      </c>
      <c r="AG330" s="974" t="e">
        <f>IF($F330="","",$F330*chronic_consumption!AB330/1000/$C$3)</f>
        <v>#DIV/0!</v>
      </c>
      <c r="AH330" s="974" t="e">
        <f>IF($F330="","",$F330*chronic_consumption!AC330/1000/$C$3)</f>
        <v>#DIV/0!</v>
      </c>
      <c r="AI330" s="974" t="e">
        <f>IF($F330="","",$F330*chronic_consumption!AD330/1000/$C$3)</f>
        <v>#DIV/0!</v>
      </c>
      <c r="AJ330" s="974" t="e">
        <f>IF($F330="","",$F330*chronic_consumption!AE330/1000/$C$3)</f>
        <v>#DIV/0!</v>
      </c>
      <c r="AK330" s="974" t="e">
        <f>IF($F330="","",$F330*chronic_consumption!AF330/1000/$C$3)</f>
        <v>#DIV/0!</v>
      </c>
      <c r="AL330" s="974" t="e">
        <f>IF($F330="","",$F330*chronic_consumption!AG330/1000/$C$3)</f>
        <v>#DIV/0!</v>
      </c>
      <c r="AM330" s="974" t="e">
        <f>IF($F330="","",$F330*chronic_consumption!AH330/1000/$C$3)</f>
        <v>#DIV/0!</v>
      </c>
      <c r="AN330" s="974" t="e">
        <f>IF($F330="","",$F330*chronic_consumption!AI330/1000/$C$3)</f>
        <v>#DIV/0!</v>
      </c>
      <c r="AO330" s="974" t="e">
        <f>IF($F330="","",$F330*chronic_consumption!AJ330/1000/$C$3)</f>
        <v>#DIV/0!</v>
      </c>
      <c r="AP330" s="974" t="e">
        <f>IF($F330="","",$F330*chronic_consumption!AK330/1000/$C$3)</f>
        <v>#DIV/0!</v>
      </c>
      <c r="AQ330" s="974" t="e">
        <f>IF($F330="","",$F330*chronic_consumption!AL330/1000/$C$3)</f>
        <v>#DIV/0!</v>
      </c>
      <c r="AR330" s="974" t="e">
        <f>IF($F330="","",$F330*chronic_consumption!AM330/1000/$C$3)</f>
        <v>#DIV/0!</v>
      </c>
      <c r="AS330" s="974" t="e">
        <f>IF($F330="","",$F330*chronic_consumption!AN330/1000/$C$3)</f>
        <v>#DIV/0!</v>
      </c>
      <c r="AT330" s="974" t="e">
        <f>IF($F330="","",$F330*chronic_consumption!AO330/1000/$C$3)</f>
        <v>#DIV/0!</v>
      </c>
      <c r="AU330" s="974"/>
      <c r="AV330" s="974" t="e">
        <f>IF($F330="","",$F330*chronic_consumption!AQ330/1000/$C$3)</f>
        <v>#DIV/0!</v>
      </c>
      <c r="AW330" s="974" t="e">
        <f>IF($F330="","",$F330*chronic_consumption!AR330/1000/$C$3)</f>
        <v>#DIV/0!</v>
      </c>
      <c r="AX330" s="974" t="e">
        <f>IF($F330="","",$F330*chronic_consumption!AS330/1000/$C$3)</f>
        <v>#DIV/0!</v>
      </c>
      <c r="AY330" s="974" t="e">
        <f>IF($F330="","",$F330*chronic_consumption!AT330/1000/$C$3)</f>
        <v>#DIV/0!</v>
      </c>
      <c r="AZ330" s="973" t="s">
        <v>19</v>
      </c>
      <c r="BA330" s="969" t="e">
        <f t="shared" si="23"/>
        <v>#DIV/0!</v>
      </c>
      <c r="BB330" s="970" t="e">
        <f t="shared" si="24"/>
        <v>#DIV/0!</v>
      </c>
      <c r="BC330" s="971" t="e">
        <f t="shared" ca="1" si="25"/>
        <v>#DIV/0!</v>
      </c>
      <c r="BD330" s="228">
        <f>input_values!Z330</f>
        <v>4</v>
      </c>
      <c r="BE330" s="152">
        <f>input_values!L330</f>
        <v>0</v>
      </c>
      <c r="BF330" s="972" t="str">
        <f t="shared" si="26"/>
        <v/>
      </c>
    </row>
    <row r="331" spans="1:58" ht="12" customHeight="1" outlineLevel="3" x14ac:dyDescent="0.2">
      <c r="A331" s="21">
        <v>4</v>
      </c>
      <c r="B331" s="23">
        <v>1011990</v>
      </c>
      <c r="C331" s="23" t="s">
        <v>634</v>
      </c>
      <c r="D331" s="965">
        <f>Table22[[#This Row],[MRL individual commodity]]</f>
        <v>0</v>
      </c>
      <c r="E331" s="300" t="str">
        <f>Table22[[#This Row],[LOQ_label]]</f>
        <v/>
      </c>
      <c r="F331" s="966">
        <f>Table22[[#This Row],[Chronic RA input value]]</f>
        <v>0</v>
      </c>
      <c r="G331" s="304" t="str">
        <f>Table22[[#This Row],[Chronic RA label]]</f>
        <v/>
      </c>
      <c r="H331" s="304">
        <f>Table22[[#This Row],[GAP under assessment]]</f>
        <v>0</v>
      </c>
      <c r="I331" s="1123"/>
      <c r="J331" s="974" t="e">
        <f>IF($F331="","",$F331*chronic_consumption!$E331/1000/$C$3)</f>
        <v>#DIV/0!</v>
      </c>
      <c r="K331" s="974" t="e">
        <f>IF($F331="","",$F331*chronic_consumption!F331/1000/$C$3)</f>
        <v>#DIV/0!</v>
      </c>
      <c r="L331" s="974" t="e">
        <f>IF($F331="","",$F331*chronic_consumption!G331/1000/$C$3)</f>
        <v>#DIV/0!</v>
      </c>
      <c r="M331" s="974" t="e">
        <f>IF($F331="","",$F331*chronic_consumption!H331/1000/$C$3)</f>
        <v>#DIV/0!</v>
      </c>
      <c r="N331" s="974" t="e">
        <f>IF($F331="","",$F331*chronic_consumption!I331/1000/$C$3)</f>
        <v>#DIV/0!</v>
      </c>
      <c r="O331" s="974" t="e">
        <f>IF($F331="","",$F331*chronic_consumption!J331/1000/$C$3)</f>
        <v>#DIV/0!</v>
      </c>
      <c r="P331" s="974" t="e">
        <f>IF($F331="","",$F331*chronic_consumption!K331/1000/$C$3)</f>
        <v>#DIV/0!</v>
      </c>
      <c r="Q331" s="974" t="e">
        <f>IF($F331="","",$F331*chronic_consumption!L331/1000/$C$3)</f>
        <v>#DIV/0!</v>
      </c>
      <c r="R331" s="974" t="e">
        <f>IF($F331="","",$F331*chronic_consumption!M331/1000/$C$3)</f>
        <v>#DIV/0!</v>
      </c>
      <c r="S331" s="974" t="e">
        <f>IF($F331="","",$F331*chronic_consumption!N331/1000/$C$3)</f>
        <v>#DIV/0!</v>
      </c>
      <c r="T331" s="974" t="e">
        <f>IF($F331="","",$F331*chronic_consumption!O331/1000/$C$3)</f>
        <v>#DIV/0!</v>
      </c>
      <c r="U331" s="974" t="e">
        <f>IF($F331="","",$F331*chronic_consumption!P331/1000/$C$3)</f>
        <v>#DIV/0!</v>
      </c>
      <c r="V331" s="974" t="e">
        <f>IF($F331="","",$F331*chronic_consumption!Q331/1000/$C$3)</f>
        <v>#DIV/0!</v>
      </c>
      <c r="W331" s="974" t="e">
        <f>IF($F331="","",$F331*chronic_consumption!R331/1000/$C$3)</f>
        <v>#DIV/0!</v>
      </c>
      <c r="X331" s="974" t="e">
        <f>IF($F331="","",$F331*chronic_consumption!S331/1000/$C$3)</f>
        <v>#DIV/0!</v>
      </c>
      <c r="Y331" s="974" t="e">
        <f>IF($F331="","",$F331*chronic_consumption!T331/1000/$C$3)</f>
        <v>#DIV/0!</v>
      </c>
      <c r="Z331" s="974" t="e">
        <f>IF($F331="","",$F331*chronic_consumption!U331/1000/$C$3)</f>
        <v>#DIV/0!</v>
      </c>
      <c r="AA331" s="974" t="e">
        <f>IF($F331="","",$F331*chronic_consumption!V331/1000/$C$3)</f>
        <v>#DIV/0!</v>
      </c>
      <c r="AB331" s="974" t="e">
        <f>IF($F331="","",$F331*chronic_consumption!W331/1000/$C$3)</f>
        <v>#DIV/0!</v>
      </c>
      <c r="AC331" s="974" t="e">
        <f>IF($F331="","",$F331*chronic_consumption!X331/1000/$C$3)</f>
        <v>#DIV/0!</v>
      </c>
      <c r="AD331" s="974" t="e">
        <f>IF($F331="","",$F331*chronic_consumption!Y331/1000/$C$3)</f>
        <v>#DIV/0!</v>
      </c>
      <c r="AE331" s="974" t="e">
        <f>IF($F331="","",$F331*chronic_consumption!Z331/1000/$C$3)</f>
        <v>#DIV/0!</v>
      </c>
      <c r="AF331" s="974" t="e">
        <f>IF($F331="","",$F331*chronic_consumption!AA331/1000/$C$3)</f>
        <v>#DIV/0!</v>
      </c>
      <c r="AG331" s="974" t="e">
        <f>IF($F331="","",$F331*chronic_consumption!AB331/1000/$C$3)</f>
        <v>#DIV/0!</v>
      </c>
      <c r="AH331" s="974" t="e">
        <f>IF($F331="","",$F331*chronic_consumption!AC331/1000/$C$3)</f>
        <v>#DIV/0!</v>
      </c>
      <c r="AI331" s="974" t="e">
        <f>IF($F331="","",$F331*chronic_consumption!AD331/1000/$C$3)</f>
        <v>#DIV/0!</v>
      </c>
      <c r="AJ331" s="974" t="e">
        <f>IF($F331="","",$F331*chronic_consumption!AE331/1000/$C$3)</f>
        <v>#DIV/0!</v>
      </c>
      <c r="AK331" s="974" t="e">
        <f>IF($F331="","",$F331*chronic_consumption!AF331/1000/$C$3)</f>
        <v>#DIV/0!</v>
      </c>
      <c r="AL331" s="974" t="e">
        <f>IF($F331="","",$F331*chronic_consumption!AG331/1000/$C$3)</f>
        <v>#DIV/0!</v>
      </c>
      <c r="AM331" s="974" t="e">
        <f>IF($F331="","",$F331*chronic_consumption!AH331/1000/$C$3)</f>
        <v>#DIV/0!</v>
      </c>
      <c r="AN331" s="974" t="e">
        <f>IF($F331="","",$F331*chronic_consumption!AI331/1000/$C$3)</f>
        <v>#DIV/0!</v>
      </c>
      <c r="AO331" s="974" t="e">
        <f>IF($F331="","",$F331*chronic_consumption!AJ331/1000/$C$3)</f>
        <v>#DIV/0!</v>
      </c>
      <c r="AP331" s="974" t="e">
        <f>IF($F331="","",$F331*chronic_consumption!AK331/1000/$C$3)</f>
        <v>#DIV/0!</v>
      </c>
      <c r="AQ331" s="974" t="e">
        <f>IF($F331="","",$F331*chronic_consumption!AL331/1000/$C$3)</f>
        <v>#DIV/0!</v>
      </c>
      <c r="AR331" s="974" t="e">
        <f>IF($F331="","",$F331*chronic_consumption!AM331/1000/$C$3)</f>
        <v>#DIV/0!</v>
      </c>
      <c r="AS331" s="974" t="e">
        <f>IF($F331="","",$F331*chronic_consumption!AN331/1000/$C$3)</f>
        <v>#DIV/0!</v>
      </c>
      <c r="AT331" s="974" t="e">
        <f>IF($F331="","",$F331*chronic_consumption!AO331/1000/$C$3)</f>
        <v>#DIV/0!</v>
      </c>
      <c r="AU331" s="974"/>
      <c r="AV331" s="974" t="e">
        <f>IF($F331="","",$F331*chronic_consumption!AQ331/1000/$C$3)</f>
        <v>#DIV/0!</v>
      </c>
      <c r="AW331" s="974" t="e">
        <f>IF($F331="","",$F331*chronic_consumption!AR331/1000/$C$3)</f>
        <v>#DIV/0!</v>
      </c>
      <c r="AX331" s="974" t="e">
        <f>IF($F331="","",$F331*chronic_consumption!AS331/1000/$C$3)</f>
        <v>#DIV/0!</v>
      </c>
      <c r="AY331" s="974" t="e">
        <f>IF($F331="","",$F331*chronic_consumption!AT331/1000/$C$3)</f>
        <v>#DIV/0!</v>
      </c>
      <c r="AZ331" s="973" t="s">
        <v>19</v>
      </c>
      <c r="BA331" s="969" t="e">
        <f t="shared" si="23"/>
        <v>#DIV/0!</v>
      </c>
      <c r="BB331" s="970" t="e">
        <f t="shared" si="24"/>
        <v>#DIV/0!</v>
      </c>
      <c r="BC331" s="971" t="e">
        <f t="shared" ca="1" si="25"/>
        <v>#DIV/0!</v>
      </c>
      <c r="BD331" s="228">
        <f>input_values!Z331</f>
        <v>4</v>
      </c>
      <c r="BE331" s="152">
        <f>input_values!L331</f>
        <v>0</v>
      </c>
      <c r="BF331" s="972" t="str">
        <f t="shared" si="26"/>
        <v/>
      </c>
    </row>
    <row r="332" spans="1:58" ht="12" customHeight="1" outlineLevel="2" x14ac:dyDescent="0.2">
      <c r="A332" s="353">
        <v>3</v>
      </c>
      <c r="B332" s="5">
        <v>1012000</v>
      </c>
      <c r="C332" s="5" t="s">
        <v>193</v>
      </c>
      <c r="D332" s="965">
        <f>Table22[[#This Row],[MRL individual commodity]]</f>
        <v>0</v>
      </c>
      <c r="E332" s="300">
        <f>Table22[[#This Row],[LOQ_label]]</f>
        <v>0</v>
      </c>
      <c r="F332" s="966">
        <f>Table22[[#This Row],[Chronic RA input value]]</f>
        <v>0</v>
      </c>
      <c r="G332" s="304">
        <f>Table22[[#This Row],[Chronic RA label]]</f>
        <v>0</v>
      </c>
      <c r="H332" s="304">
        <f>Table22[[#This Row],[GAP under assessment]]</f>
        <v>0</v>
      </c>
      <c r="I332" s="1123"/>
      <c r="J332" s="967" t="e">
        <f>IF($F332="","",$F332*chronic_consumption!$E332/1000/$C$3)</f>
        <v>#DIV/0!</v>
      </c>
      <c r="K332" s="967" t="e">
        <f>IF($F332="","",$F332*chronic_consumption!F332/1000/$C$3)</f>
        <v>#DIV/0!</v>
      </c>
      <c r="L332" s="967" t="e">
        <f>IF($F332="","",$F332*chronic_consumption!G332/1000/$C$3)</f>
        <v>#DIV/0!</v>
      </c>
      <c r="M332" s="967" t="e">
        <f>IF($F332="","",$F332*chronic_consumption!H332/1000/$C$3)</f>
        <v>#DIV/0!</v>
      </c>
      <c r="N332" s="967" t="e">
        <f>IF($F332="","",$F332*chronic_consumption!I332/1000/$C$3)</f>
        <v>#DIV/0!</v>
      </c>
      <c r="O332" s="967" t="e">
        <f>IF($F332="","",$F332*chronic_consumption!J332/1000/$C$3)</f>
        <v>#DIV/0!</v>
      </c>
      <c r="P332" s="967" t="e">
        <f>IF($F332="","",$F332*chronic_consumption!K332/1000/$C$3)</f>
        <v>#DIV/0!</v>
      </c>
      <c r="Q332" s="967" t="e">
        <f>IF($F332="","",$F332*chronic_consumption!L332/1000/$C$3)</f>
        <v>#DIV/0!</v>
      </c>
      <c r="R332" s="967" t="e">
        <f>IF($F332="","",$F332*chronic_consumption!M332/1000/$C$3)</f>
        <v>#DIV/0!</v>
      </c>
      <c r="S332" s="967" t="e">
        <f>IF($F332="","",$F332*chronic_consumption!N332/1000/$C$3)</f>
        <v>#DIV/0!</v>
      </c>
      <c r="T332" s="967" t="e">
        <f>IF($F332="","",$F332*chronic_consumption!O332/1000/$C$3)</f>
        <v>#DIV/0!</v>
      </c>
      <c r="U332" s="967" t="e">
        <f>IF($F332="","",$F332*chronic_consumption!P332/1000/$C$3)</f>
        <v>#DIV/0!</v>
      </c>
      <c r="V332" s="967" t="e">
        <f>IF($F332="","",$F332*chronic_consumption!Q332/1000/$C$3)</f>
        <v>#DIV/0!</v>
      </c>
      <c r="W332" s="967" t="e">
        <f>IF($F332="","",$F332*chronic_consumption!R332/1000/$C$3)</f>
        <v>#DIV/0!</v>
      </c>
      <c r="X332" s="967" t="e">
        <f>IF($F332="","",$F332*chronic_consumption!S332/1000/$C$3)</f>
        <v>#DIV/0!</v>
      </c>
      <c r="Y332" s="967" t="e">
        <f>IF($F332="","",$F332*chronic_consumption!T332/1000/$C$3)</f>
        <v>#DIV/0!</v>
      </c>
      <c r="Z332" s="967" t="e">
        <f>IF($F332="","",$F332*chronic_consumption!U332/1000/$C$3)</f>
        <v>#DIV/0!</v>
      </c>
      <c r="AA332" s="967" t="e">
        <f>IF($F332="","",$F332*chronic_consumption!V332/1000/$C$3)</f>
        <v>#DIV/0!</v>
      </c>
      <c r="AB332" s="967" t="e">
        <f>IF($F332="","",$F332*chronic_consumption!W332/1000/$C$3)</f>
        <v>#DIV/0!</v>
      </c>
      <c r="AC332" s="967" t="e">
        <f>IF($F332="","",$F332*chronic_consumption!X332/1000/$C$3)</f>
        <v>#DIV/0!</v>
      </c>
      <c r="AD332" s="967" t="e">
        <f>IF($F332="","",$F332*chronic_consumption!Y332/1000/$C$3)</f>
        <v>#DIV/0!</v>
      </c>
      <c r="AE332" s="967" t="e">
        <f>IF($F332="","",$F332*chronic_consumption!Z332/1000/$C$3)</f>
        <v>#DIV/0!</v>
      </c>
      <c r="AF332" s="967" t="e">
        <f>IF($F332="","",$F332*chronic_consumption!AA332/1000/$C$3)</f>
        <v>#DIV/0!</v>
      </c>
      <c r="AG332" s="967" t="e">
        <f>IF($F332="","",$F332*chronic_consumption!AB332/1000/$C$3)</f>
        <v>#DIV/0!</v>
      </c>
      <c r="AH332" s="967" t="e">
        <f>IF($F332="","",$F332*chronic_consumption!AC332/1000/$C$3)</f>
        <v>#DIV/0!</v>
      </c>
      <c r="AI332" s="967" t="e">
        <f>IF($F332="","",$F332*chronic_consumption!AD332/1000/$C$3)</f>
        <v>#DIV/0!</v>
      </c>
      <c r="AJ332" s="967" t="e">
        <f>IF($F332="","",$F332*chronic_consumption!AE332/1000/$C$3)</f>
        <v>#DIV/0!</v>
      </c>
      <c r="AK332" s="967" t="e">
        <f>IF($F332="","",$F332*chronic_consumption!AF332/1000/$C$3)</f>
        <v>#DIV/0!</v>
      </c>
      <c r="AL332" s="967" t="e">
        <f>IF($F332="","",$F332*chronic_consumption!AG332/1000/$C$3)</f>
        <v>#DIV/0!</v>
      </c>
      <c r="AM332" s="967" t="e">
        <f>IF($F332="","",$F332*chronic_consumption!AH332/1000/$C$3)</f>
        <v>#DIV/0!</v>
      </c>
      <c r="AN332" s="967" t="e">
        <f>IF($F332="","",$F332*chronic_consumption!AI332/1000/$C$3)</f>
        <v>#DIV/0!</v>
      </c>
      <c r="AO332" s="967" t="e">
        <f>IF($F332="","",$F332*chronic_consumption!AJ332/1000/$C$3)</f>
        <v>#DIV/0!</v>
      </c>
      <c r="AP332" s="967" t="e">
        <f>IF($F332="","",$F332*chronic_consumption!AK332/1000/$C$3)</f>
        <v>#DIV/0!</v>
      </c>
      <c r="AQ332" s="967" t="e">
        <f>IF($F332="","",$F332*chronic_consumption!AL332/1000/$C$3)</f>
        <v>#DIV/0!</v>
      </c>
      <c r="AR332" s="967" t="e">
        <f>IF($F332="","",$F332*chronic_consumption!AM332/1000/$C$3)</f>
        <v>#DIV/0!</v>
      </c>
      <c r="AS332" s="967" t="e">
        <f>IF($F332="","",$F332*chronic_consumption!AN332/1000/$C$3)</f>
        <v>#DIV/0!</v>
      </c>
      <c r="AT332" s="967" t="e">
        <f>IF($F332="","",$F332*chronic_consumption!AO332/1000/$C$3)</f>
        <v>#DIV/0!</v>
      </c>
      <c r="AU332" s="967"/>
      <c r="AV332" s="967" t="e">
        <f>IF($F332="","",$F332*chronic_consumption!AQ332/1000/$C$3)</f>
        <v>#DIV/0!</v>
      </c>
      <c r="AW332" s="967" t="e">
        <f>IF($F332="","",$F332*chronic_consumption!AR332/1000/$C$3)</f>
        <v>#DIV/0!</v>
      </c>
      <c r="AX332" s="967" t="e">
        <f>IF($F332="","",$F332*chronic_consumption!AS332/1000/$C$3)</f>
        <v>#DIV/0!</v>
      </c>
      <c r="AY332" s="967" t="e">
        <f>IF($F332="","",$F332*chronic_consumption!AT332/1000/$C$3)</f>
        <v>#DIV/0!</v>
      </c>
      <c r="AZ332" s="973"/>
      <c r="BA332" s="969" t="e">
        <f t="shared" si="23"/>
        <v>#DIV/0!</v>
      </c>
      <c r="BB332" s="970" t="e">
        <f t="shared" si="24"/>
        <v>#DIV/0!</v>
      </c>
      <c r="BC332" s="971" t="e">
        <f t="shared" ca="1" si="25"/>
        <v>#DIV/0!</v>
      </c>
      <c r="BD332" s="228">
        <f>input_values!Z332</f>
        <v>4</v>
      </c>
      <c r="BE332" s="152">
        <f>input_values!L332</f>
        <v>0</v>
      </c>
      <c r="BF332" s="972" t="str">
        <f t="shared" si="26"/>
        <v/>
      </c>
    </row>
    <row r="333" spans="1:58" ht="12" customHeight="1" outlineLevel="3" x14ac:dyDescent="0.2">
      <c r="A333" s="21">
        <v>4</v>
      </c>
      <c r="B333" s="23">
        <v>1012010</v>
      </c>
      <c r="C333" s="23" t="s">
        <v>863</v>
      </c>
      <c r="D333" s="965">
        <f>Table22[[#This Row],[MRL individual commodity]]</f>
        <v>0</v>
      </c>
      <c r="E333" s="300" t="str">
        <f>Table22[[#This Row],[LOQ_label]]</f>
        <v/>
      </c>
      <c r="F333" s="966">
        <f>Table22[[#This Row],[Chronic RA input value]]</f>
        <v>0</v>
      </c>
      <c r="G333" s="304" t="str">
        <f>Table22[[#This Row],[Chronic RA label]]</f>
        <v/>
      </c>
      <c r="H333" s="304">
        <f>Table22[[#This Row],[GAP under assessment]]</f>
        <v>0</v>
      </c>
      <c r="I333" s="1123"/>
      <c r="J333" s="974" t="e">
        <f>IF($F333="","",$F333*chronic_consumption!$E333/1000/$C$3)</f>
        <v>#DIV/0!</v>
      </c>
      <c r="K333" s="974" t="e">
        <f>IF($F333="","",$F333*chronic_consumption!F333/1000/$C$3)</f>
        <v>#DIV/0!</v>
      </c>
      <c r="L333" s="974" t="e">
        <f>IF($F333="","",$F333*chronic_consumption!G333/1000/$C$3)</f>
        <v>#DIV/0!</v>
      </c>
      <c r="M333" s="974" t="e">
        <f>IF($F333="","",$F333*chronic_consumption!H333/1000/$C$3)</f>
        <v>#DIV/0!</v>
      </c>
      <c r="N333" s="974" t="e">
        <f>IF($F333="","",$F333*chronic_consumption!I333/1000/$C$3)</f>
        <v>#DIV/0!</v>
      </c>
      <c r="O333" s="974" t="e">
        <f>IF($F333="","",$F333*chronic_consumption!J333/1000/$C$3)</f>
        <v>#DIV/0!</v>
      </c>
      <c r="P333" s="974" t="e">
        <f>IF($F333="","",$F333*chronic_consumption!K333/1000/$C$3)</f>
        <v>#DIV/0!</v>
      </c>
      <c r="Q333" s="974" t="e">
        <f>IF($F333="","",$F333*chronic_consumption!L333/1000/$C$3)</f>
        <v>#DIV/0!</v>
      </c>
      <c r="R333" s="974" t="e">
        <f>IF($F333="","",$F333*chronic_consumption!M333/1000/$C$3)</f>
        <v>#DIV/0!</v>
      </c>
      <c r="S333" s="974" t="e">
        <f>IF($F333="","",$F333*chronic_consumption!N333/1000/$C$3)</f>
        <v>#DIV/0!</v>
      </c>
      <c r="T333" s="974" t="e">
        <f>IF($F333="","",$F333*chronic_consumption!O333/1000/$C$3)</f>
        <v>#DIV/0!</v>
      </c>
      <c r="U333" s="974" t="e">
        <f>IF($F333="","",$F333*chronic_consumption!P333/1000/$C$3)</f>
        <v>#DIV/0!</v>
      </c>
      <c r="V333" s="974" t="e">
        <f>IF($F333="","",$F333*chronic_consumption!Q333/1000/$C$3)</f>
        <v>#DIV/0!</v>
      </c>
      <c r="W333" s="974" t="e">
        <f>IF($F333="","",$F333*chronic_consumption!R333/1000/$C$3)</f>
        <v>#DIV/0!</v>
      </c>
      <c r="X333" s="974" t="e">
        <f>IF($F333="","",$F333*chronic_consumption!S333/1000/$C$3)</f>
        <v>#DIV/0!</v>
      </c>
      <c r="Y333" s="974" t="e">
        <f>IF($F333="","",$F333*chronic_consumption!T333/1000/$C$3)</f>
        <v>#DIV/0!</v>
      </c>
      <c r="Z333" s="974" t="e">
        <f>IF($F333="","",$F333*chronic_consumption!U333/1000/$C$3)</f>
        <v>#DIV/0!</v>
      </c>
      <c r="AA333" s="974" t="e">
        <f>IF($F333="","",$F333*chronic_consumption!V333/1000/$C$3)</f>
        <v>#DIV/0!</v>
      </c>
      <c r="AB333" s="974" t="e">
        <f>IF($F333="","",$F333*chronic_consumption!W333/1000/$C$3)</f>
        <v>#DIV/0!</v>
      </c>
      <c r="AC333" s="974" t="e">
        <f>IF($F333="","",$F333*chronic_consumption!X333/1000/$C$3)</f>
        <v>#DIV/0!</v>
      </c>
      <c r="AD333" s="974" t="e">
        <f>IF($F333="","",$F333*chronic_consumption!Y333/1000/$C$3)</f>
        <v>#DIV/0!</v>
      </c>
      <c r="AE333" s="974" t="e">
        <f>IF($F333="","",$F333*chronic_consumption!Z333/1000/$C$3)</f>
        <v>#DIV/0!</v>
      </c>
      <c r="AF333" s="974" t="e">
        <f>IF($F333="","",$F333*chronic_consumption!AA333/1000/$C$3)</f>
        <v>#DIV/0!</v>
      </c>
      <c r="AG333" s="974" t="e">
        <f>IF($F333="","",$F333*chronic_consumption!AB333/1000/$C$3)</f>
        <v>#DIV/0!</v>
      </c>
      <c r="AH333" s="974" t="e">
        <f>IF($F333="","",$F333*chronic_consumption!AC333/1000/$C$3)</f>
        <v>#DIV/0!</v>
      </c>
      <c r="AI333" s="974" t="e">
        <f>IF($F333="","",$F333*chronic_consumption!AD333/1000/$C$3)</f>
        <v>#DIV/0!</v>
      </c>
      <c r="AJ333" s="974" t="e">
        <f>IF($F333="","",$F333*chronic_consumption!AE333/1000/$C$3)</f>
        <v>#DIV/0!</v>
      </c>
      <c r="AK333" s="974" t="e">
        <f>IF($F333="","",$F333*chronic_consumption!AF333/1000/$C$3)</f>
        <v>#DIV/0!</v>
      </c>
      <c r="AL333" s="974" t="e">
        <f>IF($F333="","",$F333*chronic_consumption!AG333/1000/$C$3)</f>
        <v>#DIV/0!</v>
      </c>
      <c r="AM333" s="974" t="e">
        <f>IF($F333="","",$F333*chronic_consumption!AH333/1000/$C$3)</f>
        <v>#DIV/0!</v>
      </c>
      <c r="AN333" s="974" t="e">
        <f>IF($F333="","",$F333*chronic_consumption!AI333/1000/$C$3)</f>
        <v>#DIV/0!</v>
      </c>
      <c r="AO333" s="974" t="e">
        <f>IF($F333="","",$F333*chronic_consumption!AJ333/1000/$C$3)</f>
        <v>#DIV/0!</v>
      </c>
      <c r="AP333" s="974" t="e">
        <f>IF($F333="","",$F333*chronic_consumption!AK333/1000/$C$3)</f>
        <v>#DIV/0!</v>
      </c>
      <c r="AQ333" s="974" t="e">
        <f>IF($F333="","",$F333*chronic_consumption!AL333/1000/$C$3)</f>
        <v>#DIV/0!</v>
      </c>
      <c r="AR333" s="974" t="e">
        <f>IF($F333="","",$F333*chronic_consumption!AM333/1000/$C$3)</f>
        <v>#DIV/0!</v>
      </c>
      <c r="AS333" s="974" t="e">
        <f>IF($F333="","",$F333*chronic_consumption!AN333/1000/$C$3)</f>
        <v>#DIV/0!</v>
      </c>
      <c r="AT333" s="974" t="e">
        <f>IF($F333="","",$F333*chronic_consumption!AO333/1000/$C$3)</f>
        <v>#DIV/0!</v>
      </c>
      <c r="AU333" s="974"/>
      <c r="AV333" s="974" t="e">
        <f>IF($F333="","",$F333*chronic_consumption!AQ333/1000/$C$3)</f>
        <v>#DIV/0!</v>
      </c>
      <c r="AW333" s="974" t="e">
        <f>IF($F333="","",$F333*chronic_consumption!AR333/1000/$C$3)</f>
        <v>#DIV/0!</v>
      </c>
      <c r="AX333" s="974" t="e">
        <f>IF($F333="","",$F333*chronic_consumption!AS333/1000/$C$3)</f>
        <v>#DIV/0!</v>
      </c>
      <c r="AY333" s="974" t="e">
        <f>IF($F333="","",$F333*chronic_consumption!AT333/1000/$C$3)</f>
        <v>#DIV/0!</v>
      </c>
      <c r="AZ333" s="973" t="s">
        <v>19</v>
      </c>
      <c r="BA333" s="969" t="e">
        <f t="shared" ref="BA333:BA391" si="27">MIN(J333:AY333)</f>
        <v>#DIV/0!</v>
      </c>
      <c r="BB333" s="970" t="e">
        <f t="shared" ref="BB333:BB391" si="28">MAX(J333:AY333)</f>
        <v>#DIV/0!</v>
      </c>
      <c r="BC333" s="971" t="e">
        <f t="shared" ref="BC333:BC391" ca="1" si="29">IF(BB333&gt;0,OFFSET($I$10,1,MATCH(BB333,J333:AY333,0)),"")</f>
        <v>#DIV/0!</v>
      </c>
      <c r="BD333" s="228">
        <f>input_values!Z333</f>
        <v>4</v>
      </c>
      <c r="BE333" s="152">
        <f>input_values!L333</f>
        <v>0</v>
      </c>
      <c r="BF333" s="972" t="str">
        <f t="shared" ref="BF333:BF390" si="30">IF(BE333="Y",BB333,"")</f>
        <v/>
      </c>
    </row>
    <row r="334" spans="1:58" ht="12" customHeight="1" outlineLevel="3" x14ac:dyDescent="0.2">
      <c r="A334" s="21">
        <v>4</v>
      </c>
      <c r="B334" s="23">
        <v>1012020</v>
      </c>
      <c r="C334" s="23" t="s">
        <v>789</v>
      </c>
      <c r="D334" s="965">
        <f>Table22[[#This Row],[MRL individual commodity]]</f>
        <v>0</v>
      </c>
      <c r="E334" s="300" t="str">
        <f>Table22[[#This Row],[LOQ_label]]</f>
        <v/>
      </c>
      <c r="F334" s="966">
        <f>Table22[[#This Row],[Chronic RA input value]]</f>
        <v>0</v>
      </c>
      <c r="G334" s="304" t="str">
        <f>Table22[[#This Row],[Chronic RA label]]</f>
        <v/>
      </c>
      <c r="H334" s="304">
        <f>Table22[[#This Row],[GAP under assessment]]</f>
        <v>0</v>
      </c>
      <c r="I334" s="1123"/>
      <c r="J334" s="974" t="e">
        <f>IF($F334="","",$F334*chronic_consumption!$E334/1000/$C$3)</f>
        <v>#DIV/0!</v>
      </c>
      <c r="K334" s="974" t="e">
        <f>IF($F334="","",$F334*chronic_consumption!F334/1000/$C$3)</f>
        <v>#DIV/0!</v>
      </c>
      <c r="L334" s="974" t="e">
        <f>IF($F334="","",$F334*chronic_consumption!G334/1000/$C$3)</f>
        <v>#DIV/0!</v>
      </c>
      <c r="M334" s="974" t="e">
        <f>IF($F334="","",$F334*chronic_consumption!H334/1000/$C$3)</f>
        <v>#DIV/0!</v>
      </c>
      <c r="N334" s="974" t="e">
        <f>IF($F334="","",$F334*chronic_consumption!I334/1000/$C$3)</f>
        <v>#DIV/0!</v>
      </c>
      <c r="O334" s="974" t="e">
        <f>IF($F334="","",$F334*chronic_consumption!J334/1000/$C$3)</f>
        <v>#DIV/0!</v>
      </c>
      <c r="P334" s="974" t="e">
        <f>IF($F334="","",$F334*chronic_consumption!K334/1000/$C$3)</f>
        <v>#DIV/0!</v>
      </c>
      <c r="Q334" s="974" t="e">
        <f>IF($F334="","",$F334*chronic_consumption!L334/1000/$C$3)</f>
        <v>#DIV/0!</v>
      </c>
      <c r="R334" s="974" t="e">
        <f>IF($F334="","",$F334*chronic_consumption!M334/1000/$C$3)</f>
        <v>#DIV/0!</v>
      </c>
      <c r="S334" s="974" t="e">
        <f>IF($F334="","",$F334*chronic_consumption!N334/1000/$C$3)</f>
        <v>#DIV/0!</v>
      </c>
      <c r="T334" s="974" t="e">
        <f>IF($F334="","",$F334*chronic_consumption!O334/1000/$C$3)</f>
        <v>#DIV/0!</v>
      </c>
      <c r="U334" s="974" t="e">
        <f>IF($F334="","",$F334*chronic_consumption!P334/1000/$C$3)</f>
        <v>#DIV/0!</v>
      </c>
      <c r="V334" s="974" t="e">
        <f>IF($F334="","",$F334*chronic_consumption!Q334/1000/$C$3)</f>
        <v>#DIV/0!</v>
      </c>
      <c r="W334" s="974" t="e">
        <f>IF($F334="","",$F334*chronic_consumption!R334/1000/$C$3)</f>
        <v>#DIV/0!</v>
      </c>
      <c r="X334" s="974" t="e">
        <f>IF($F334="","",$F334*chronic_consumption!S334/1000/$C$3)</f>
        <v>#DIV/0!</v>
      </c>
      <c r="Y334" s="974" t="e">
        <f>IF($F334="","",$F334*chronic_consumption!T334/1000/$C$3)</f>
        <v>#DIV/0!</v>
      </c>
      <c r="Z334" s="974" t="e">
        <f>IF($F334="","",$F334*chronic_consumption!U334/1000/$C$3)</f>
        <v>#DIV/0!</v>
      </c>
      <c r="AA334" s="974" t="e">
        <f>IF($F334="","",$F334*chronic_consumption!V334/1000/$C$3)</f>
        <v>#DIV/0!</v>
      </c>
      <c r="AB334" s="974" t="e">
        <f>IF($F334="","",$F334*chronic_consumption!W334/1000/$C$3)</f>
        <v>#DIV/0!</v>
      </c>
      <c r="AC334" s="974" t="e">
        <f>IF($F334="","",$F334*chronic_consumption!X334/1000/$C$3)</f>
        <v>#DIV/0!</v>
      </c>
      <c r="AD334" s="974" t="e">
        <f>IF($F334="","",$F334*chronic_consumption!Y334/1000/$C$3)</f>
        <v>#DIV/0!</v>
      </c>
      <c r="AE334" s="974" t="e">
        <f>IF($F334="","",$F334*chronic_consumption!Z334/1000/$C$3)</f>
        <v>#DIV/0!</v>
      </c>
      <c r="AF334" s="974" t="e">
        <f>IF($F334="","",$F334*chronic_consumption!AA334/1000/$C$3)</f>
        <v>#DIV/0!</v>
      </c>
      <c r="AG334" s="974" t="e">
        <f>IF($F334="","",$F334*chronic_consumption!AB334/1000/$C$3)</f>
        <v>#DIV/0!</v>
      </c>
      <c r="AH334" s="974" t="e">
        <f>IF($F334="","",$F334*chronic_consumption!AC334/1000/$C$3)</f>
        <v>#DIV/0!</v>
      </c>
      <c r="AI334" s="974" t="e">
        <f>IF($F334="","",$F334*chronic_consumption!AD334/1000/$C$3)</f>
        <v>#DIV/0!</v>
      </c>
      <c r="AJ334" s="974" t="e">
        <f>IF($F334="","",$F334*chronic_consumption!AE334/1000/$C$3)</f>
        <v>#DIV/0!</v>
      </c>
      <c r="AK334" s="974" t="e">
        <f>IF($F334="","",$F334*chronic_consumption!AF334/1000/$C$3)</f>
        <v>#DIV/0!</v>
      </c>
      <c r="AL334" s="974" t="e">
        <f>IF($F334="","",$F334*chronic_consumption!AG334/1000/$C$3)</f>
        <v>#DIV/0!</v>
      </c>
      <c r="AM334" s="974" t="e">
        <f>IF($F334="","",$F334*chronic_consumption!AH334/1000/$C$3)</f>
        <v>#DIV/0!</v>
      </c>
      <c r="AN334" s="974" t="e">
        <f>IF($F334="","",$F334*chronic_consumption!AI334/1000/$C$3)</f>
        <v>#DIV/0!</v>
      </c>
      <c r="AO334" s="974" t="e">
        <f>IF($F334="","",$F334*chronic_consumption!AJ334/1000/$C$3)</f>
        <v>#DIV/0!</v>
      </c>
      <c r="AP334" s="974" t="e">
        <f>IF($F334="","",$F334*chronic_consumption!AK334/1000/$C$3)</f>
        <v>#DIV/0!</v>
      </c>
      <c r="AQ334" s="974" t="e">
        <f>IF($F334="","",$F334*chronic_consumption!AL334/1000/$C$3)</f>
        <v>#DIV/0!</v>
      </c>
      <c r="AR334" s="974" t="e">
        <f>IF($F334="","",$F334*chronic_consumption!AM334/1000/$C$3)</f>
        <v>#DIV/0!</v>
      </c>
      <c r="AS334" s="974" t="e">
        <f>IF($F334="","",$F334*chronic_consumption!AN334/1000/$C$3)</f>
        <v>#DIV/0!</v>
      </c>
      <c r="AT334" s="974" t="e">
        <f>IF($F334="","",$F334*chronic_consumption!AO334/1000/$C$3)</f>
        <v>#DIV/0!</v>
      </c>
      <c r="AU334" s="974"/>
      <c r="AV334" s="974" t="e">
        <f>IF($F334="","",$F334*chronic_consumption!AQ334/1000/$C$3)</f>
        <v>#DIV/0!</v>
      </c>
      <c r="AW334" s="974" t="e">
        <f>IF($F334="","",$F334*chronic_consumption!AR334/1000/$C$3)</f>
        <v>#DIV/0!</v>
      </c>
      <c r="AX334" s="974" t="e">
        <f>IF($F334="","",$F334*chronic_consumption!AS334/1000/$C$3)</f>
        <v>#DIV/0!</v>
      </c>
      <c r="AY334" s="974" t="e">
        <f>IF($F334="","",$F334*chronic_consumption!AT334/1000/$C$3)</f>
        <v>#DIV/0!</v>
      </c>
      <c r="AZ334" s="973" t="s">
        <v>19</v>
      </c>
      <c r="BA334" s="969" t="e">
        <f t="shared" si="27"/>
        <v>#DIV/0!</v>
      </c>
      <c r="BB334" s="970" t="e">
        <f t="shared" si="28"/>
        <v>#DIV/0!</v>
      </c>
      <c r="BC334" s="971" t="e">
        <f t="shared" ca="1" si="29"/>
        <v>#DIV/0!</v>
      </c>
      <c r="BD334" s="228">
        <f>input_values!Z334</f>
        <v>4</v>
      </c>
      <c r="BE334" s="152">
        <f>input_values!L334</f>
        <v>0</v>
      </c>
      <c r="BF334" s="972" t="str">
        <f t="shared" si="30"/>
        <v/>
      </c>
    </row>
    <row r="335" spans="1:58" ht="12" customHeight="1" outlineLevel="3" x14ac:dyDescent="0.2">
      <c r="A335" s="21">
        <v>4</v>
      </c>
      <c r="B335" s="23">
        <v>1012030</v>
      </c>
      <c r="C335" s="23" t="s">
        <v>194</v>
      </c>
      <c r="D335" s="965">
        <f>Table22[[#This Row],[MRL individual commodity]]</f>
        <v>0</v>
      </c>
      <c r="E335" s="300" t="str">
        <f>Table22[[#This Row],[LOQ_label]]</f>
        <v/>
      </c>
      <c r="F335" s="966">
        <f>Table22[[#This Row],[Chronic RA input value]]</f>
        <v>0</v>
      </c>
      <c r="G335" s="304" t="str">
        <f>Table22[[#This Row],[Chronic RA label]]</f>
        <v/>
      </c>
      <c r="H335" s="304">
        <f>Table22[[#This Row],[GAP under assessment]]</f>
        <v>0</v>
      </c>
      <c r="I335" s="1123"/>
      <c r="J335" s="974" t="e">
        <f>IF($F335="","",$F335*chronic_consumption!$E335/1000/$C$3)</f>
        <v>#DIV/0!</v>
      </c>
      <c r="K335" s="974" t="e">
        <f>IF($F335="","",$F335*chronic_consumption!F335/1000/$C$3)</f>
        <v>#DIV/0!</v>
      </c>
      <c r="L335" s="974" t="e">
        <f>IF($F335="","",$F335*chronic_consumption!G335/1000/$C$3)</f>
        <v>#DIV/0!</v>
      </c>
      <c r="M335" s="974" t="e">
        <f>IF($F335="","",$F335*chronic_consumption!H335/1000/$C$3)</f>
        <v>#DIV/0!</v>
      </c>
      <c r="N335" s="974" t="e">
        <f>IF($F335="","",$F335*chronic_consumption!I335/1000/$C$3)</f>
        <v>#DIV/0!</v>
      </c>
      <c r="O335" s="974" t="e">
        <f>IF($F335="","",$F335*chronic_consumption!J335/1000/$C$3)</f>
        <v>#DIV/0!</v>
      </c>
      <c r="P335" s="974" t="e">
        <f>IF($F335="","",$F335*chronic_consumption!K335/1000/$C$3)</f>
        <v>#DIV/0!</v>
      </c>
      <c r="Q335" s="974" t="e">
        <f>IF($F335="","",$F335*chronic_consumption!L335/1000/$C$3)</f>
        <v>#DIV/0!</v>
      </c>
      <c r="R335" s="974" t="e">
        <f>IF($F335="","",$F335*chronic_consumption!M335/1000/$C$3)</f>
        <v>#DIV/0!</v>
      </c>
      <c r="S335" s="974" t="e">
        <f>IF($F335="","",$F335*chronic_consumption!N335/1000/$C$3)</f>
        <v>#DIV/0!</v>
      </c>
      <c r="T335" s="974" t="e">
        <f>IF($F335="","",$F335*chronic_consumption!O335/1000/$C$3)</f>
        <v>#DIV/0!</v>
      </c>
      <c r="U335" s="974" t="e">
        <f>IF($F335="","",$F335*chronic_consumption!P335/1000/$C$3)</f>
        <v>#DIV/0!</v>
      </c>
      <c r="V335" s="974" t="e">
        <f>IF($F335="","",$F335*chronic_consumption!Q335/1000/$C$3)</f>
        <v>#DIV/0!</v>
      </c>
      <c r="W335" s="974" t="e">
        <f>IF($F335="","",$F335*chronic_consumption!R335/1000/$C$3)</f>
        <v>#DIV/0!</v>
      </c>
      <c r="X335" s="974" t="e">
        <f>IF($F335="","",$F335*chronic_consumption!S335/1000/$C$3)</f>
        <v>#DIV/0!</v>
      </c>
      <c r="Y335" s="974" t="e">
        <f>IF($F335="","",$F335*chronic_consumption!T335/1000/$C$3)</f>
        <v>#DIV/0!</v>
      </c>
      <c r="Z335" s="974" t="e">
        <f>IF($F335="","",$F335*chronic_consumption!U335/1000/$C$3)</f>
        <v>#DIV/0!</v>
      </c>
      <c r="AA335" s="974" t="e">
        <f>IF($F335="","",$F335*chronic_consumption!V335/1000/$C$3)</f>
        <v>#DIV/0!</v>
      </c>
      <c r="AB335" s="974" t="e">
        <f>IF($F335="","",$F335*chronic_consumption!W335/1000/$C$3)</f>
        <v>#DIV/0!</v>
      </c>
      <c r="AC335" s="974" t="e">
        <f>IF($F335="","",$F335*chronic_consumption!X335/1000/$C$3)</f>
        <v>#DIV/0!</v>
      </c>
      <c r="AD335" s="974" t="e">
        <f>IF($F335="","",$F335*chronic_consumption!Y335/1000/$C$3)</f>
        <v>#DIV/0!</v>
      </c>
      <c r="AE335" s="974" t="e">
        <f>IF($F335="","",$F335*chronic_consumption!Z335/1000/$C$3)</f>
        <v>#DIV/0!</v>
      </c>
      <c r="AF335" s="974" t="e">
        <f>IF($F335="","",$F335*chronic_consumption!AA335/1000/$C$3)</f>
        <v>#DIV/0!</v>
      </c>
      <c r="AG335" s="974" t="e">
        <f>IF($F335="","",$F335*chronic_consumption!AB335/1000/$C$3)</f>
        <v>#DIV/0!</v>
      </c>
      <c r="AH335" s="974" t="e">
        <f>IF($F335="","",$F335*chronic_consumption!AC335/1000/$C$3)</f>
        <v>#DIV/0!</v>
      </c>
      <c r="AI335" s="974" t="e">
        <f>IF($F335="","",$F335*chronic_consumption!AD335/1000/$C$3)</f>
        <v>#DIV/0!</v>
      </c>
      <c r="AJ335" s="974" t="e">
        <f>IF($F335="","",$F335*chronic_consumption!AE335/1000/$C$3)</f>
        <v>#DIV/0!</v>
      </c>
      <c r="AK335" s="974" t="e">
        <f>IF($F335="","",$F335*chronic_consumption!AF335/1000/$C$3)</f>
        <v>#DIV/0!</v>
      </c>
      <c r="AL335" s="974" t="e">
        <f>IF($F335="","",$F335*chronic_consumption!AG335/1000/$C$3)</f>
        <v>#DIV/0!</v>
      </c>
      <c r="AM335" s="974" t="e">
        <f>IF($F335="","",$F335*chronic_consumption!AH335/1000/$C$3)</f>
        <v>#DIV/0!</v>
      </c>
      <c r="AN335" s="974" t="e">
        <f>IF($F335="","",$F335*chronic_consumption!AI335/1000/$C$3)</f>
        <v>#DIV/0!</v>
      </c>
      <c r="AO335" s="974" t="e">
        <f>IF($F335="","",$F335*chronic_consumption!AJ335/1000/$C$3)</f>
        <v>#DIV/0!</v>
      </c>
      <c r="AP335" s="974" t="e">
        <f>IF($F335="","",$F335*chronic_consumption!AK335/1000/$C$3)</f>
        <v>#DIV/0!</v>
      </c>
      <c r="AQ335" s="974" t="e">
        <f>IF($F335="","",$F335*chronic_consumption!AL335/1000/$C$3)</f>
        <v>#DIV/0!</v>
      </c>
      <c r="AR335" s="974" t="e">
        <f>IF($F335="","",$F335*chronic_consumption!AM335/1000/$C$3)</f>
        <v>#DIV/0!</v>
      </c>
      <c r="AS335" s="974" t="e">
        <f>IF($F335="","",$F335*chronic_consumption!AN335/1000/$C$3)</f>
        <v>#DIV/0!</v>
      </c>
      <c r="AT335" s="974" t="e">
        <f>IF($F335="","",$F335*chronic_consumption!AO335/1000/$C$3)</f>
        <v>#DIV/0!</v>
      </c>
      <c r="AU335" s="974"/>
      <c r="AV335" s="974" t="e">
        <f>IF($F335="","",$F335*chronic_consumption!AQ335/1000/$C$3)</f>
        <v>#DIV/0!</v>
      </c>
      <c r="AW335" s="974" t="e">
        <f>IF($F335="","",$F335*chronic_consumption!AR335/1000/$C$3)</f>
        <v>#DIV/0!</v>
      </c>
      <c r="AX335" s="974" t="e">
        <f>IF($F335="","",$F335*chronic_consumption!AS335/1000/$C$3)</f>
        <v>#DIV/0!</v>
      </c>
      <c r="AY335" s="974" t="e">
        <f>IF($F335="","",$F335*chronic_consumption!AT335/1000/$C$3)</f>
        <v>#DIV/0!</v>
      </c>
      <c r="AZ335" s="973" t="s">
        <v>19</v>
      </c>
      <c r="BA335" s="969" t="e">
        <f t="shared" si="27"/>
        <v>#DIV/0!</v>
      </c>
      <c r="BB335" s="970" t="e">
        <f t="shared" si="28"/>
        <v>#DIV/0!</v>
      </c>
      <c r="BC335" s="971" t="e">
        <f t="shared" ca="1" si="29"/>
        <v>#DIV/0!</v>
      </c>
      <c r="BD335" s="228">
        <f>input_values!Z335</f>
        <v>4</v>
      </c>
      <c r="BE335" s="152">
        <f>input_values!L335</f>
        <v>0</v>
      </c>
      <c r="BF335" s="972" t="str">
        <f t="shared" si="30"/>
        <v/>
      </c>
    </row>
    <row r="336" spans="1:58" ht="12" customHeight="1" outlineLevel="3" x14ac:dyDescent="0.2">
      <c r="A336" s="21">
        <v>4</v>
      </c>
      <c r="B336" s="23">
        <v>1012040</v>
      </c>
      <c r="C336" s="23" t="s">
        <v>195</v>
      </c>
      <c r="D336" s="965">
        <f>Table22[[#This Row],[MRL individual commodity]]</f>
        <v>0</v>
      </c>
      <c r="E336" s="300" t="str">
        <f>Table22[[#This Row],[LOQ_label]]</f>
        <v/>
      </c>
      <c r="F336" s="966">
        <f>Table22[[#This Row],[Chronic RA input value]]</f>
        <v>0</v>
      </c>
      <c r="G336" s="304" t="str">
        <f>Table22[[#This Row],[Chronic RA label]]</f>
        <v/>
      </c>
      <c r="H336" s="304">
        <f>Table22[[#This Row],[GAP under assessment]]</f>
        <v>0</v>
      </c>
      <c r="I336" s="1123"/>
      <c r="J336" s="974" t="e">
        <f>IF($F336="","",$F336*chronic_consumption!$E336/1000/$C$3)</f>
        <v>#DIV/0!</v>
      </c>
      <c r="K336" s="974" t="e">
        <f>IF($F336="","",$F336*chronic_consumption!F336/1000/$C$3)</f>
        <v>#DIV/0!</v>
      </c>
      <c r="L336" s="974" t="e">
        <f>IF($F336="","",$F336*chronic_consumption!G336/1000/$C$3)</f>
        <v>#DIV/0!</v>
      </c>
      <c r="M336" s="974" t="e">
        <f>IF($F336="","",$F336*chronic_consumption!H336/1000/$C$3)</f>
        <v>#DIV/0!</v>
      </c>
      <c r="N336" s="974" t="e">
        <f>IF($F336="","",$F336*chronic_consumption!I336/1000/$C$3)</f>
        <v>#DIV/0!</v>
      </c>
      <c r="O336" s="974" t="e">
        <f>IF($F336="","",$F336*chronic_consumption!J336/1000/$C$3)</f>
        <v>#DIV/0!</v>
      </c>
      <c r="P336" s="974" t="e">
        <f>IF($F336="","",$F336*chronic_consumption!K336/1000/$C$3)</f>
        <v>#DIV/0!</v>
      </c>
      <c r="Q336" s="974" t="e">
        <f>IF($F336="","",$F336*chronic_consumption!L336/1000/$C$3)</f>
        <v>#DIV/0!</v>
      </c>
      <c r="R336" s="974" t="e">
        <f>IF($F336="","",$F336*chronic_consumption!M336/1000/$C$3)</f>
        <v>#DIV/0!</v>
      </c>
      <c r="S336" s="974" t="e">
        <f>IF($F336="","",$F336*chronic_consumption!N336/1000/$C$3)</f>
        <v>#DIV/0!</v>
      </c>
      <c r="T336" s="974" t="e">
        <f>IF($F336="","",$F336*chronic_consumption!O336/1000/$C$3)</f>
        <v>#DIV/0!</v>
      </c>
      <c r="U336" s="974" t="e">
        <f>IF($F336="","",$F336*chronic_consumption!P336/1000/$C$3)</f>
        <v>#DIV/0!</v>
      </c>
      <c r="V336" s="974" t="e">
        <f>IF($F336="","",$F336*chronic_consumption!Q336/1000/$C$3)</f>
        <v>#DIV/0!</v>
      </c>
      <c r="W336" s="974" t="e">
        <f>IF($F336="","",$F336*chronic_consumption!R336/1000/$C$3)</f>
        <v>#DIV/0!</v>
      </c>
      <c r="X336" s="974" t="e">
        <f>IF($F336="","",$F336*chronic_consumption!S336/1000/$C$3)</f>
        <v>#DIV/0!</v>
      </c>
      <c r="Y336" s="974" t="e">
        <f>IF($F336="","",$F336*chronic_consumption!T336/1000/$C$3)</f>
        <v>#DIV/0!</v>
      </c>
      <c r="Z336" s="974" t="e">
        <f>IF($F336="","",$F336*chronic_consumption!U336/1000/$C$3)</f>
        <v>#DIV/0!</v>
      </c>
      <c r="AA336" s="974" t="e">
        <f>IF($F336="","",$F336*chronic_consumption!V336/1000/$C$3)</f>
        <v>#DIV/0!</v>
      </c>
      <c r="AB336" s="974" t="e">
        <f>IF($F336="","",$F336*chronic_consumption!W336/1000/$C$3)</f>
        <v>#DIV/0!</v>
      </c>
      <c r="AC336" s="974" t="e">
        <f>IF($F336="","",$F336*chronic_consumption!X336/1000/$C$3)</f>
        <v>#DIV/0!</v>
      </c>
      <c r="AD336" s="974" t="e">
        <f>IF($F336="","",$F336*chronic_consumption!Y336/1000/$C$3)</f>
        <v>#DIV/0!</v>
      </c>
      <c r="AE336" s="974" t="e">
        <f>IF($F336="","",$F336*chronic_consumption!Z336/1000/$C$3)</f>
        <v>#DIV/0!</v>
      </c>
      <c r="AF336" s="974" t="e">
        <f>IF($F336="","",$F336*chronic_consumption!AA336/1000/$C$3)</f>
        <v>#DIV/0!</v>
      </c>
      <c r="AG336" s="974" t="e">
        <f>IF($F336="","",$F336*chronic_consumption!AB336/1000/$C$3)</f>
        <v>#DIV/0!</v>
      </c>
      <c r="AH336" s="974" t="e">
        <f>IF($F336="","",$F336*chronic_consumption!AC336/1000/$C$3)</f>
        <v>#DIV/0!</v>
      </c>
      <c r="AI336" s="974" t="e">
        <f>IF($F336="","",$F336*chronic_consumption!AD336/1000/$C$3)</f>
        <v>#DIV/0!</v>
      </c>
      <c r="AJ336" s="974" t="e">
        <f>IF($F336="","",$F336*chronic_consumption!AE336/1000/$C$3)</f>
        <v>#DIV/0!</v>
      </c>
      <c r="AK336" s="974" t="e">
        <f>IF($F336="","",$F336*chronic_consumption!AF336/1000/$C$3)</f>
        <v>#DIV/0!</v>
      </c>
      <c r="AL336" s="974" t="e">
        <f>IF($F336="","",$F336*chronic_consumption!AG336/1000/$C$3)</f>
        <v>#DIV/0!</v>
      </c>
      <c r="AM336" s="974" t="e">
        <f>IF($F336="","",$F336*chronic_consumption!AH336/1000/$C$3)</f>
        <v>#DIV/0!</v>
      </c>
      <c r="AN336" s="974" t="e">
        <f>IF($F336="","",$F336*chronic_consumption!AI336/1000/$C$3)</f>
        <v>#DIV/0!</v>
      </c>
      <c r="AO336" s="974" t="e">
        <f>IF($F336="","",$F336*chronic_consumption!AJ336/1000/$C$3)</f>
        <v>#DIV/0!</v>
      </c>
      <c r="AP336" s="974" t="e">
        <f>IF($F336="","",$F336*chronic_consumption!AK336/1000/$C$3)</f>
        <v>#DIV/0!</v>
      </c>
      <c r="AQ336" s="974" t="e">
        <f>IF($F336="","",$F336*chronic_consumption!AL336/1000/$C$3)</f>
        <v>#DIV/0!</v>
      </c>
      <c r="AR336" s="974" t="e">
        <f>IF($F336="","",$F336*chronic_consumption!AM336/1000/$C$3)</f>
        <v>#DIV/0!</v>
      </c>
      <c r="AS336" s="974" t="e">
        <f>IF($F336="","",$F336*chronic_consumption!AN336/1000/$C$3)</f>
        <v>#DIV/0!</v>
      </c>
      <c r="AT336" s="974" t="e">
        <f>IF($F336="","",$F336*chronic_consumption!AO336/1000/$C$3)</f>
        <v>#DIV/0!</v>
      </c>
      <c r="AU336" s="974"/>
      <c r="AV336" s="974" t="e">
        <f>IF($F336="","",$F336*chronic_consumption!AQ336/1000/$C$3)</f>
        <v>#DIV/0!</v>
      </c>
      <c r="AW336" s="974" t="e">
        <f>IF($F336="","",$F336*chronic_consumption!AR336/1000/$C$3)</f>
        <v>#DIV/0!</v>
      </c>
      <c r="AX336" s="974" t="e">
        <f>IF($F336="","",$F336*chronic_consumption!AS336/1000/$C$3)</f>
        <v>#DIV/0!</v>
      </c>
      <c r="AY336" s="974" t="e">
        <f>IF($F336="","",$F336*chronic_consumption!AT336/1000/$C$3)</f>
        <v>#DIV/0!</v>
      </c>
      <c r="AZ336" s="973" t="s">
        <v>19</v>
      </c>
      <c r="BA336" s="969" t="e">
        <f t="shared" si="27"/>
        <v>#DIV/0!</v>
      </c>
      <c r="BB336" s="970" t="e">
        <f t="shared" si="28"/>
        <v>#DIV/0!</v>
      </c>
      <c r="BC336" s="971" t="e">
        <f t="shared" ca="1" si="29"/>
        <v>#DIV/0!</v>
      </c>
      <c r="BD336" s="228">
        <f>input_values!Z336</f>
        <v>4</v>
      </c>
      <c r="BE336" s="152">
        <f>input_values!L336</f>
        <v>0</v>
      </c>
      <c r="BF336" s="972" t="str">
        <f t="shared" si="30"/>
        <v/>
      </c>
    </row>
    <row r="337" spans="1:58" ht="12" customHeight="1" outlineLevel="3" x14ac:dyDescent="0.2">
      <c r="A337" s="21">
        <v>4</v>
      </c>
      <c r="B337" s="23">
        <v>1012050</v>
      </c>
      <c r="C337" s="23" t="s">
        <v>790</v>
      </c>
      <c r="D337" s="965">
        <f>Table22[[#This Row],[MRL individual commodity]]</f>
        <v>0</v>
      </c>
      <c r="E337" s="300" t="str">
        <f>Table22[[#This Row],[LOQ_label]]</f>
        <v/>
      </c>
      <c r="F337" s="966">
        <f>Table22[[#This Row],[Chronic RA input value]]</f>
        <v>0</v>
      </c>
      <c r="G337" s="304" t="str">
        <f>Table22[[#This Row],[Chronic RA label]]</f>
        <v/>
      </c>
      <c r="H337" s="304">
        <f>Table22[[#This Row],[GAP under assessment]]</f>
        <v>0</v>
      </c>
      <c r="I337" s="1123"/>
      <c r="J337" s="974" t="e">
        <f>IF($F337="","",$F337*chronic_consumption!$E337/1000/$C$3)</f>
        <v>#DIV/0!</v>
      </c>
      <c r="K337" s="974" t="e">
        <f>IF($F337="","",$F337*chronic_consumption!F337/1000/$C$3)</f>
        <v>#DIV/0!</v>
      </c>
      <c r="L337" s="974" t="e">
        <f>IF($F337="","",$F337*chronic_consumption!G337/1000/$C$3)</f>
        <v>#DIV/0!</v>
      </c>
      <c r="M337" s="974" t="e">
        <f>IF($F337="","",$F337*chronic_consumption!H337/1000/$C$3)</f>
        <v>#DIV/0!</v>
      </c>
      <c r="N337" s="974" t="e">
        <f>IF($F337="","",$F337*chronic_consumption!I337/1000/$C$3)</f>
        <v>#DIV/0!</v>
      </c>
      <c r="O337" s="974" t="e">
        <f>IF($F337="","",$F337*chronic_consumption!J337/1000/$C$3)</f>
        <v>#DIV/0!</v>
      </c>
      <c r="P337" s="974" t="e">
        <f>IF($F337="","",$F337*chronic_consumption!K337/1000/$C$3)</f>
        <v>#DIV/0!</v>
      </c>
      <c r="Q337" s="974" t="e">
        <f>IF($F337="","",$F337*chronic_consumption!L337/1000/$C$3)</f>
        <v>#DIV/0!</v>
      </c>
      <c r="R337" s="974" t="e">
        <f>IF($F337="","",$F337*chronic_consumption!M337/1000/$C$3)</f>
        <v>#DIV/0!</v>
      </c>
      <c r="S337" s="974" t="e">
        <f>IF($F337="","",$F337*chronic_consumption!N337/1000/$C$3)</f>
        <v>#DIV/0!</v>
      </c>
      <c r="T337" s="974" t="e">
        <f>IF($F337="","",$F337*chronic_consumption!O337/1000/$C$3)</f>
        <v>#DIV/0!</v>
      </c>
      <c r="U337" s="974" t="e">
        <f>IF($F337="","",$F337*chronic_consumption!P337/1000/$C$3)</f>
        <v>#DIV/0!</v>
      </c>
      <c r="V337" s="974" t="e">
        <f>IF($F337="","",$F337*chronic_consumption!Q337/1000/$C$3)</f>
        <v>#DIV/0!</v>
      </c>
      <c r="W337" s="974" t="e">
        <f>IF($F337="","",$F337*chronic_consumption!R337/1000/$C$3)</f>
        <v>#DIV/0!</v>
      </c>
      <c r="X337" s="974" t="e">
        <f>IF($F337="","",$F337*chronic_consumption!S337/1000/$C$3)</f>
        <v>#DIV/0!</v>
      </c>
      <c r="Y337" s="974" t="e">
        <f>IF($F337="","",$F337*chronic_consumption!T337/1000/$C$3)</f>
        <v>#DIV/0!</v>
      </c>
      <c r="Z337" s="974" t="e">
        <f>IF($F337="","",$F337*chronic_consumption!U337/1000/$C$3)</f>
        <v>#DIV/0!</v>
      </c>
      <c r="AA337" s="974" t="e">
        <f>IF($F337="","",$F337*chronic_consumption!V337/1000/$C$3)</f>
        <v>#DIV/0!</v>
      </c>
      <c r="AB337" s="974" t="e">
        <f>IF($F337="","",$F337*chronic_consumption!W337/1000/$C$3)</f>
        <v>#DIV/0!</v>
      </c>
      <c r="AC337" s="974" t="e">
        <f>IF($F337="","",$F337*chronic_consumption!X337/1000/$C$3)</f>
        <v>#DIV/0!</v>
      </c>
      <c r="AD337" s="974" t="e">
        <f>IF($F337="","",$F337*chronic_consumption!Y337/1000/$C$3)</f>
        <v>#DIV/0!</v>
      </c>
      <c r="AE337" s="974" t="e">
        <f>IF($F337="","",$F337*chronic_consumption!Z337/1000/$C$3)</f>
        <v>#DIV/0!</v>
      </c>
      <c r="AF337" s="974" t="e">
        <f>IF($F337="","",$F337*chronic_consumption!AA337/1000/$C$3)</f>
        <v>#DIV/0!</v>
      </c>
      <c r="AG337" s="974" t="e">
        <f>IF($F337="","",$F337*chronic_consumption!AB337/1000/$C$3)</f>
        <v>#DIV/0!</v>
      </c>
      <c r="AH337" s="974" t="e">
        <f>IF($F337="","",$F337*chronic_consumption!AC337/1000/$C$3)</f>
        <v>#DIV/0!</v>
      </c>
      <c r="AI337" s="974" t="e">
        <f>IF($F337="","",$F337*chronic_consumption!AD337/1000/$C$3)</f>
        <v>#DIV/0!</v>
      </c>
      <c r="AJ337" s="974" t="e">
        <f>IF($F337="","",$F337*chronic_consumption!AE337/1000/$C$3)</f>
        <v>#DIV/0!</v>
      </c>
      <c r="AK337" s="974" t="e">
        <f>IF($F337="","",$F337*chronic_consumption!AF337/1000/$C$3)</f>
        <v>#DIV/0!</v>
      </c>
      <c r="AL337" s="974" t="e">
        <f>IF($F337="","",$F337*chronic_consumption!AG337/1000/$C$3)</f>
        <v>#DIV/0!</v>
      </c>
      <c r="AM337" s="974" t="e">
        <f>IF($F337="","",$F337*chronic_consumption!AH337/1000/$C$3)</f>
        <v>#DIV/0!</v>
      </c>
      <c r="AN337" s="974" t="e">
        <f>IF($F337="","",$F337*chronic_consumption!AI337/1000/$C$3)</f>
        <v>#DIV/0!</v>
      </c>
      <c r="AO337" s="974" t="e">
        <f>IF($F337="","",$F337*chronic_consumption!AJ337/1000/$C$3)</f>
        <v>#DIV/0!</v>
      </c>
      <c r="AP337" s="974" t="e">
        <f>IF($F337="","",$F337*chronic_consumption!AK337/1000/$C$3)</f>
        <v>#DIV/0!</v>
      </c>
      <c r="AQ337" s="974" t="e">
        <f>IF($F337="","",$F337*chronic_consumption!AL337/1000/$C$3)</f>
        <v>#DIV/0!</v>
      </c>
      <c r="AR337" s="974" t="e">
        <f>IF($F337="","",$F337*chronic_consumption!AM337/1000/$C$3)</f>
        <v>#DIV/0!</v>
      </c>
      <c r="AS337" s="974" t="e">
        <f>IF($F337="","",$F337*chronic_consumption!AN337/1000/$C$3)</f>
        <v>#DIV/0!</v>
      </c>
      <c r="AT337" s="974" t="e">
        <f>IF($F337="","",$F337*chronic_consumption!AO337/1000/$C$3)</f>
        <v>#DIV/0!</v>
      </c>
      <c r="AU337" s="974"/>
      <c r="AV337" s="974" t="e">
        <f>IF($F337="","",$F337*chronic_consumption!AQ337/1000/$C$3)</f>
        <v>#DIV/0!</v>
      </c>
      <c r="AW337" s="974" t="e">
        <f>IF($F337="","",$F337*chronic_consumption!AR337/1000/$C$3)</f>
        <v>#DIV/0!</v>
      </c>
      <c r="AX337" s="974" t="e">
        <f>IF($F337="","",$F337*chronic_consumption!AS337/1000/$C$3)</f>
        <v>#DIV/0!</v>
      </c>
      <c r="AY337" s="974" t="e">
        <f>IF($F337="","",$F337*chronic_consumption!AT337/1000/$C$3)</f>
        <v>#DIV/0!</v>
      </c>
      <c r="AZ337" s="973" t="s">
        <v>19</v>
      </c>
      <c r="BA337" s="969" t="e">
        <f t="shared" si="27"/>
        <v>#DIV/0!</v>
      </c>
      <c r="BB337" s="970" t="e">
        <f t="shared" si="28"/>
        <v>#DIV/0!</v>
      </c>
      <c r="BC337" s="971" t="e">
        <f t="shared" ca="1" si="29"/>
        <v>#DIV/0!</v>
      </c>
      <c r="BD337" s="228">
        <f>input_values!Z337</f>
        <v>4</v>
      </c>
      <c r="BE337" s="152">
        <f>input_values!L337</f>
        <v>0</v>
      </c>
      <c r="BF337" s="972" t="str">
        <f t="shared" si="30"/>
        <v/>
      </c>
    </row>
    <row r="338" spans="1:58" ht="12" customHeight="1" outlineLevel="3" x14ac:dyDescent="0.2">
      <c r="A338" s="21">
        <v>4</v>
      </c>
      <c r="B338" s="23">
        <v>1012990</v>
      </c>
      <c r="C338" s="23" t="s">
        <v>635</v>
      </c>
      <c r="D338" s="965">
        <f>Table22[[#This Row],[MRL individual commodity]]</f>
        <v>0</v>
      </c>
      <c r="E338" s="300" t="str">
        <f>Table22[[#This Row],[LOQ_label]]</f>
        <v/>
      </c>
      <c r="F338" s="966">
        <f>Table22[[#This Row],[Chronic RA input value]]</f>
        <v>0</v>
      </c>
      <c r="G338" s="304" t="str">
        <f>Table22[[#This Row],[Chronic RA label]]</f>
        <v/>
      </c>
      <c r="H338" s="304">
        <f>Table22[[#This Row],[GAP under assessment]]</f>
        <v>0</v>
      </c>
      <c r="I338" s="1123"/>
      <c r="J338" s="974" t="e">
        <f>IF($F338="","",$F338*chronic_consumption!$E338/1000/$C$3)</f>
        <v>#DIV/0!</v>
      </c>
      <c r="K338" s="974" t="e">
        <f>IF($F338="","",$F338*chronic_consumption!F338/1000/$C$3)</f>
        <v>#DIV/0!</v>
      </c>
      <c r="L338" s="974" t="e">
        <f>IF($F338="","",$F338*chronic_consumption!G338/1000/$C$3)</f>
        <v>#DIV/0!</v>
      </c>
      <c r="M338" s="974" t="e">
        <f>IF($F338="","",$F338*chronic_consumption!H338/1000/$C$3)</f>
        <v>#DIV/0!</v>
      </c>
      <c r="N338" s="974" t="e">
        <f>IF($F338="","",$F338*chronic_consumption!I338/1000/$C$3)</f>
        <v>#DIV/0!</v>
      </c>
      <c r="O338" s="974" t="e">
        <f>IF($F338="","",$F338*chronic_consumption!J338/1000/$C$3)</f>
        <v>#DIV/0!</v>
      </c>
      <c r="P338" s="974" t="e">
        <f>IF($F338="","",$F338*chronic_consumption!K338/1000/$C$3)</f>
        <v>#DIV/0!</v>
      </c>
      <c r="Q338" s="974" t="e">
        <f>IF($F338="","",$F338*chronic_consumption!L338/1000/$C$3)</f>
        <v>#DIV/0!</v>
      </c>
      <c r="R338" s="974" t="e">
        <f>IF($F338="","",$F338*chronic_consumption!M338/1000/$C$3)</f>
        <v>#DIV/0!</v>
      </c>
      <c r="S338" s="974" t="e">
        <f>IF($F338="","",$F338*chronic_consumption!N338/1000/$C$3)</f>
        <v>#DIV/0!</v>
      </c>
      <c r="T338" s="974" t="e">
        <f>IF($F338="","",$F338*chronic_consumption!O338/1000/$C$3)</f>
        <v>#DIV/0!</v>
      </c>
      <c r="U338" s="974" t="e">
        <f>IF($F338="","",$F338*chronic_consumption!P338/1000/$C$3)</f>
        <v>#DIV/0!</v>
      </c>
      <c r="V338" s="974" t="e">
        <f>IF($F338="","",$F338*chronic_consumption!Q338/1000/$C$3)</f>
        <v>#DIV/0!</v>
      </c>
      <c r="W338" s="974" t="e">
        <f>IF($F338="","",$F338*chronic_consumption!R338/1000/$C$3)</f>
        <v>#DIV/0!</v>
      </c>
      <c r="X338" s="974" t="e">
        <f>IF($F338="","",$F338*chronic_consumption!S338/1000/$C$3)</f>
        <v>#DIV/0!</v>
      </c>
      <c r="Y338" s="974" t="e">
        <f>IF($F338="","",$F338*chronic_consumption!T338/1000/$C$3)</f>
        <v>#DIV/0!</v>
      </c>
      <c r="Z338" s="974" t="e">
        <f>IF($F338="","",$F338*chronic_consumption!U338/1000/$C$3)</f>
        <v>#DIV/0!</v>
      </c>
      <c r="AA338" s="974" t="e">
        <f>IF($F338="","",$F338*chronic_consumption!V338/1000/$C$3)</f>
        <v>#DIV/0!</v>
      </c>
      <c r="AB338" s="974" t="e">
        <f>IF($F338="","",$F338*chronic_consumption!W338/1000/$C$3)</f>
        <v>#DIV/0!</v>
      </c>
      <c r="AC338" s="974" t="e">
        <f>IF($F338="","",$F338*chronic_consumption!X338/1000/$C$3)</f>
        <v>#DIV/0!</v>
      </c>
      <c r="AD338" s="974" t="e">
        <f>IF($F338="","",$F338*chronic_consumption!Y338/1000/$C$3)</f>
        <v>#DIV/0!</v>
      </c>
      <c r="AE338" s="974" t="e">
        <f>IF($F338="","",$F338*chronic_consumption!Z338/1000/$C$3)</f>
        <v>#DIV/0!</v>
      </c>
      <c r="AF338" s="974" t="e">
        <f>IF($F338="","",$F338*chronic_consumption!AA338/1000/$C$3)</f>
        <v>#DIV/0!</v>
      </c>
      <c r="AG338" s="974" t="e">
        <f>IF($F338="","",$F338*chronic_consumption!AB338/1000/$C$3)</f>
        <v>#DIV/0!</v>
      </c>
      <c r="AH338" s="974" t="e">
        <f>IF($F338="","",$F338*chronic_consumption!AC338/1000/$C$3)</f>
        <v>#DIV/0!</v>
      </c>
      <c r="AI338" s="974" t="e">
        <f>IF($F338="","",$F338*chronic_consumption!AD338/1000/$C$3)</f>
        <v>#DIV/0!</v>
      </c>
      <c r="AJ338" s="974" t="e">
        <f>IF($F338="","",$F338*chronic_consumption!AE338/1000/$C$3)</f>
        <v>#DIV/0!</v>
      </c>
      <c r="AK338" s="974" t="e">
        <f>IF($F338="","",$F338*chronic_consumption!AF338/1000/$C$3)</f>
        <v>#DIV/0!</v>
      </c>
      <c r="AL338" s="974" t="e">
        <f>IF($F338="","",$F338*chronic_consumption!AG338/1000/$C$3)</f>
        <v>#DIV/0!</v>
      </c>
      <c r="AM338" s="974" t="e">
        <f>IF($F338="","",$F338*chronic_consumption!AH338/1000/$C$3)</f>
        <v>#DIV/0!</v>
      </c>
      <c r="AN338" s="974" t="e">
        <f>IF($F338="","",$F338*chronic_consumption!AI338/1000/$C$3)</f>
        <v>#DIV/0!</v>
      </c>
      <c r="AO338" s="974" t="e">
        <f>IF($F338="","",$F338*chronic_consumption!AJ338/1000/$C$3)</f>
        <v>#DIV/0!</v>
      </c>
      <c r="AP338" s="974" t="e">
        <f>IF($F338="","",$F338*chronic_consumption!AK338/1000/$C$3)</f>
        <v>#DIV/0!</v>
      </c>
      <c r="AQ338" s="974" t="e">
        <f>IF($F338="","",$F338*chronic_consumption!AL338/1000/$C$3)</f>
        <v>#DIV/0!</v>
      </c>
      <c r="AR338" s="974" t="e">
        <f>IF($F338="","",$F338*chronic_consumption!AM338/1000/$C$3)</f>
        <v>#DIV/0!</v>
      </c>
      <c r="AS338" s="974" t="e">
        <f>IF($F338="","",$F338*chronic_consumption!AN338/1000/$C$3)</f>
        <v>#DIV/0!</v>
      </c>
      <c r="AT338" s="974" t="e">
        <f>IF($F338="","",$F338*chronic_consumption!AO338/1000/$C$3)</f>
        <v>#DIV/0!</v>
      </c>
      <c r="AU338" s="974"/>
      <c r="AV338" s="974" t="e">
        <f>IF($F338="","",$F338*chronic_consumption!AQ338/1000/$C$3)</f>
        <v>#DIV/0!</v>
      </c>
      <c r="AW338" s="974" t="e">
        <f>IF($F338="","",$F338*chronic_consumption!AR338/1000/$C$3)</f>
        <v>#DIV/0!</v>
      </c>
      <c r="AX338" s="974" t="e">
        <f>IF($F338="","",$F338*chronic_consumption!AS338/1000/$C$3)</f>
        <v>#DIV/0!</v>
      </c>
      <c r="AY338" s="974" t="e">
        <f>IF($F338="","",$F338*chronic_consumption!AT338/1000/$C$3)</f>
        <v>#DIV/0!</v>
      </c>
      <c r="AZ338" s="973" t="s">
        <v>19</v>
      </c>
      <c r="BA338" s="969" t="e">
        <f t="shared" si="27"/>
        <v>#DIV/0!</v>
      </c>
      <c r="BB338" s="970" t="e">
        <f t="shared" si="28"/>
        <v>#DIV/0!</v>
      </c>
      <c r="BC338" s="971" t="e">
        <f t="shared" ca="1" si="29"/>
        <v>#DIV/0!</v>
      </c>
      <c r="BD338" s="228">
        <f>input_values!Z338</f>
        <v>4</v>
      </c>
      <c r="BE338" s="152">
        <f>input_values!L338</f>
        <v>0</v>
      </c>
      <c r="BF338" s="972" t="str">
        <f t="shared" si="30"/>
        <v/>
      </c>
    </row>
    <row r="339" spans="1:58" ht="12" customHeight="1" outlineLevel="2" x14ac:dyDescent="0.2">
      <c r="A339" s="353">
        <v>3</v>
      </c>
      <c r="B339" s="5">
        <v>1013000</v>
      </c>
      <c r="C339" s="5" t="s">
        <v>264</v>
      </c>
      <c r="D339" s="965">
        <f>Table22[[#This Row],[MRL individual commodity]]</f>
        <v>0</v>
      </c>
      <c r="E339" s="300">
        <f>Table22[[#This Row],[LOQ_label]]</f>
        <v>0</v>
      </c>
      <c r="F339" s="966">
        <f>Table22[[#This Row],[Chronic RA input value]]</f>
        <v>0</v>
      </c>
      <c r="G339" s="304">
        <f>Table22[[#This Row],[Chronic RA label]]</f>
        <v>0</v>
      </c>
      <c r="H339" s="304">
        <f>Table22[[#This Row],[GAP under assessment]]</f>
        <v>0</v>
      </c>
      <c r="I339" s="1123"/>
      <c r="J339" s="967" t="e">
        <f>IF($F339="","",$F339*chronic_consumption!$E339/1000/$C$3)</f>
        <v>#DIV/0!</v>
      </c>
      <c r="K339" s="967" t="e">
        <f>IF($F339="","",$F339*chronic_consumption!F339/1000/$C$3)</f>
        <v>#DIV/0!</v>
      </c>
      <c r="L339" s="967" t="e">
        <f>IF($F339="","",$F339*chronic_consumption!G339/1000/$C$3)</f>
        <v>#DIV/0!</v>
      </c>
      <c r="M339" s="967" t="e">
        <f>IF($F339="","",$F339*chronic_consumption!H339/1000/$C$3)</f>
        <v>#DIV/0!</v>
      </c>
      <c r="N339" s="967" t="e">
        <f>IF($F339="","",$F339*chronic_consumption!I339/1000/$C$3)</f>
        <v>#DIV/0!</v>
      </c>
      <c r="O339" s="967" t="e">
        <f>IF($F339="","",$F339*chronic_consumption!J339/1000/$C$3)</f>
        <v>#DIV/0!</v>
      </c>
      <c r="P339" s="967" t="e">
        <f>IF($F339="","",$F339*chronic_consumption!K339/1000/$C$3)</f>
        <v>#DIV/0!</v>
      </c>
      <c r="Q339" s="967" t="e">
        <f>IF($F339="","",$F339*chronic_consumption!L339/1000/$C$3)</f>
        <v>#DIV/0!</v>
      </c>
      <c r="R339" s="967" t="e">
        <f>IF($F339="","",$F339*chronic_consumption!M339/1000/$C$3)</f>
        <v>#DIV/0!</v>
      </c>
      <c r="S339" s="967" t="e">
        <f>IF($F339="","",$F339*chronic_consumption!N339/1000/$C$3)</f>
        <v>#DIV/0!</v>
      </c>
      <c r="T339" s="967" t="e">
        <f>IF($F339="","",$F339*chronic_consumption!O339/1000/$C$3)</f>
        <v>#DIV/0!</v>
      </c>
      <c r="U339" s="967" t="e">
        <f>IF($F339="","",$F339*chronic_consumption!P339/1000/$C$3)</f>
        <v>#DIV/0!</v>
      </c>
      <c r="V339" s="967" t="e">
        <f>IF($F339="","",$F339*chronic_consumption!Q339/1000/$C$3)</f>
        <v>#DIV/0!</v>
      </c>
      <c r="W339" s="967" t="e">
        <f>IF($F339="","",$F339*chronic_consumption!R339/1000/$C$3)</f>
        <v>#DIV/0!</v>
      </c>
      <c r="X339" s="967" t="e">
        <f>IF($F339="","",$F339*chronic_consumption!S339/1000/$C$3)</f>
        <v>#DIV/0!</v>
      </c>
      <c r="Y339" s="967" t="e">
        <f>IF($F339="","",$F339*chronic_consumption!T339/1000/$C$3)</f>
        <v>#DIV/0!</v>
      </c>
      <c r="Z339" s="967" t="e">
        <f>IF($F339="","",$F339*chronic_consumption!U339/1000/$C$3)</f>
        <v>#DIV/0!</v>
      </c>
      <c r="AA339" s="967" t="e">
        <f>IF($F339="","",$F339*chronic_consumption!V339/1000/$C$3)</f>
        <v>#DIV/0!</v>
      </c>
      <c r="AB339" s="967" t="e">
        <f>IF($F339="","",$F339*chronic_consumption!W339/1000/$C$3)</f>
        <v>#DIV/0!</v>
      </c>
      <c r="AC339" s="967" t="e">
        <f>IF($F339="","",$F339*chronic_consumption!X339/1000/$C$3)</f>
        <v>#DIV/0!</v>
      </c>
      <c r="AD339" s="967" t="e">
        <f>IF($F339="","",$F339*chronic_consumption!Y339/1000/$C$3)</f>
        <v>#DIV/0!</v>
      </c>
      <c r="AE339" s="967" t="e">
        <f>IF($F339="","",$F339*chronic_consumption!Z339/1000/$C$3)</f>
        <v>#DIV/0!</v>
      </c>
      <c r="AF339" s="967" t="e">
        <f>IF($F339="","",$F339*chronic_consumption!AA339/1000/$C$3)</f>
        <v>#DIV/0!</v>
      </c>
      <c r="AG339" s="967" t="e">
        <f>IF($F339="","",$F339*chronic_consumption!AB339/1000/$C$3)</f>
        <v>#DIV/0!</v>
      </c>
      <c r="AH339" s="967" t="e">
        <f>IF($F339="","",$F339*chronic_consumption!AC339/1000/$C$3)</f>
        <v>#DIV/0!</v>
      </c>
      <c r="AI339" s="967" t="e">
        <f>IF($F339="","",$F339*chronic_consumption!AD339/1000/$C$3)</f>
        <v>#DIV/0!</v>
      </c>
      <c r="AJ339" s="967" t="e">
        <f>IF($F339="","",$F339*chronic_consumption!AE339/1000/$C$3)</f>
        <v>#DIV/0!</v>
      </c>
      <c r="AK339" s="967" t="e">
        <f>IF($F339="","",$F339*chronic_consumption!AF339/1000/$C$3)</f>
        <v>#DIV/0!</v>
      </c>
      <c r="AL339" s="967" t="e">
        <f>IF($F339="","",$F339*chronic_consumption!AG339/1000/$C$3)</f>
        <v>#DIV/0!</v>
      </c>
      <c r="AM339" s="967" t="e">
        <f>IF($F339="","",$F339*chronic_consumption!AH339/1000/$C$3)</f>
        <v>#DIV/0!</v>
      </c>
      <c r="AN339" s="967" t="e">
        <f>IF($F339="","",$F339*chronic_consumption!AI339/1000/$C$3)</f>
        <v>#DIV/0!</v>
      </c>
      <c r="AO339" s="967" t="e">
        <f>IF($F339="","",$F339*chronic_consumption!AJ339/1000/$C$3)</f>
        <v>#DIV/0!</v>
      </c>
      <c r="AP339" s="967" t="e">
        <f>IF($F339="","",$F339*chronic_consumption!AK339/1000/$C$3)</f>
        <v>#DIV/0!</v>
      </c>
      <c r="AQ339" s="967" t="e">
        <f>IF($F339="","",$F339*chronic_consumption!AL339/1000/$C$3)</f>
        <v>#DIV/0!</v>
      </c>
      <c r="AR339" s="967" t="e">
        <f>IF($F339="","",$F339*chronic_consumption!AM339/1000/$C$3)</f>
        <v>#DIV/0!</v>
      </c>
      <c r="AS339" s="967" t="e">
        <f>IF($F339="","",$F339*chronic_consumption!AN339/1000/$C$3)</f>
        <v>#DIV/0!</v>
      </c>
      <c r="AT339" s="967" t="e">
        <f>IF($F339="","",$F339*chronic_consumption!AO339/1000/$C$3)</f>
        <v>#DIV/0!</v>
      </c>
      <c r="AU339" s="967"/>
      <c r="AV339" s="967" t="e">
        <f>IF($F339="","",$F339*chronic_consumption!AQ339/1000/$C$3)</f>
        <v>#DIV/0!</v>
      </c>
      <c r="AW339" s="967" t="e">
        <f>IF($F339="","",$F339*chronic_consumption!AR339/1000/$C$3)</f>
        <v>#DIV/0!</v>
      </c>
      <c r="AX339" s="967" t="e">
        <f>IF($F339="","",$F339*chronic_consumption!AS339/1000/$C$3)</f>
        <v>#DIV/0!</v>
      </c>
      <c r="AY339" s="967" t="e">
        <f>IF($F339="","",$F339*chronic_consumption!AT339/1000/$C$3)</f>
        <v>#DIV/0!</v>
      </c>
      <c r="AZ339" s="973"/>
      <c r="BA339" s="969" t="e">
        <f t="shared" si="27"/>
        <v>#DIV/0!</v>
      </c>
      <c r="BB339" s="970" t="e">
        <f t="shared" si="28"/>
        <v>#DIV/0!</v>
      </c>
      <c r="BC339" s="971" t="e">
        <f t="shared" ca="1" si="29"/>
        <v>#DIV/0!</v>
      </c>
      <c r="BD339" s="228">
        <f>input_values!Z339</f>
        <v>4</v>
      </c>
      <c r="BE339" s="152">
        <f>input_values!L339</f>
        <v>0</v>
      </c>
      <c r="BF339" s="972" t="str">
        <f t="shared" si="30"/>
        <v/>
      </c>
    </row>
    <row r="340" spans="1:58" ht="12" customHeight="1" outlineLevel="3" x14ac:dyDescent="0.2">
      <c r="A340" s="21">
        <v>4</v>
      </c>
      <c r="B340" s="23">
        <v>1013010</v>
      </c>
      <c r="C340" s="23" t="s">
        <v>864</v>
      </c>
      <c r="D340" s="965">
        <f>Table22[[#This Row],[MRL individual commodity]]</f>
        <v>0</v>
      </c>
      <c r="E340" s="300" t="str">
        <f>Table22[[#This Row],[LOQ_label]]</f>
        <v/>
      </c>
      <c r="F340" s="966">
        <f>Table22[[#This Row],[Chronic RA input value]]</f>
        <v>0</v>
      </c>
      <c r="G340" s="304" t="str">
        <f>Table22[[#This Row],[Chronic RA label]]</f>
        <v/>
      </c>
      <c r="H340" s="304">
        <f>Table22[[#This Row],[GAP under assessment]]</f>
        <v>0</v>
      </c>
      <c r="I340" s="1123"/>
      <c r="J340" s="974" t="e">
        <f>IF($F340="","",$F340*chronic_consumption!$E340/1000/$C$3)</f>
        <v>#DIV/0!</v>
      </c>
      <c r="K340" s="974" t="e">
        <f>IF($F340="","",$F340*chronic_consumption!F340/1000/$C$3)</f>
        <v>#DIV/0!</v>
      </c>
      <c r="L340" s="974" t="e">
        <f>IF($F340="","",$F340*chronic_consumption!G340/1000/$C$3)</f>
        <v>#DIV/0!</v>
      </c>
      <c r="M340" s="974" t="e">
        <f>IF($F340="","",$F340*chronic_consumption!H340/1000/$C$3)</f>
        <v>#DIV/0!</v>
      </c>
      <c r="N340" s="974" t="e">
        <f>IF($F340="","",$F340*chronic_consumption!I340/1000/$C$3)</f>
        <v>#DIV/0!</v>
      </c>
      <c r="O340" s="974" t="e">
        <f>IF($F340="","",$F340*chronic_consumption!J340/1000/$C$3)</f>
        <v>#DIV/0!</v>
      </c>
      <c r="P340" s="974" t="e">
        <f>IF($F340="","",$F340*chronic_consumption!K340/1000/$C$3)</f>
        <v>#DIV/0!</v>
      </c>
      <c r="Q340" s="974" t="e">
        <f>IF($F340="","",$F340*chronic_consumption!L340/1000/$C$3)</f>
        <v>#DIV/0!</v>
      </c>
      <c r="R340" s="974" t="e">
        <f>IF($F340="","",$F340*chronic_consumption!M340/1000/$C$3)</f>
        <v>#DIV/0!</v>
      </c>
      <c r="S340" s="974" t="e">
        <f>IF($F340="","",$F340*chronic_consumption!N340/1000/$C$3)</f>
        <v>#DIV/0!</v>
      </c>
      <c r="T340" s="974" t="e">
        <f>IF($F340="","",$F340*chronic_consumption!O340/1000/$C$3)</f>
        <v>#DIV/0!</v>
      </c>
      <c r="U340" s="974" t="e">
        <f>IF($F340="","",$F340*chronic_consumption!P340/1000/$C$3)</f>
        <v>#DIV/0!</v>
      </c>
      <c r="V340" s="974" t="e">
        <f>IF($F340="","",$F340*chronic_consumption!Q340/1000/$C$3)</f>
        <v>#DIV/0!</v>
      </c>
      <c r="W340" s="974" t="e">
        <f>IF($F340="","",$F340*chronic_consumption!R340/1000/$C$3)</f>
        <v>#DIV/0!</v>
      </c>
      <c r="X340" s="974" t="e">
        <f>IF($F340="","",$F340*chronic_consumption!S340/1000/$C$3)</f>
        <v>#DIV/0!</v>
      </c>
      <c r="Y340" s="974" t="e">
        <f>IF($F340="","",$F340*chronic_consumption!T340/1000/$C$3)</f>
        <v>#DIV/0!</v>
      </c>
      <c r="Z340" s="974" t="e">
        <f>IF($F340="","",$F340*chronic_consumption!U340/1000/$C$3)</f>
        <v>#DIV/0!</v>
      </c>
      <c r="AA340" s="974" t="e">
        <f>IF($F340="","",$F340*chronic_consumption!V340/1000/$C$3)</f>
        <v>#DIV/0!</v>
      </c>
      <c r="AB340" s="974" t="e">
        <f>IF($F340="","",$F340*chronic_consumption!W340/1000/$C$3)</f>
        <v>#DIV/0!</v>
      </c>
      <c r="AC340" s="974" t="e">
        <f>IF($F340="","",$F340*chronic_consumption!X340/1000/$C$3)</f>
        <v>#DIV/0!</v>
      </c>
      <c r="AD340" s="974" t="e">
        <f>IF($F340="","",$F340*chronic_consumption!Y340/1000/$C$3)</f>
        <v>#DIV/0!</v>
      </c>
      <c r="AE340" s="974" t="e">
        <f>IF($F340="","",$F340*chronic_consumption!Z340/1000/$C$3)</f>
        <v>#DIV/0!</v>
      </c>
      <c r="AF340" s="974" t="e">
        <f>IF($F340="","",$F340*chronic_consumption!AA340/1000/$C$3)</f>
        <v>#DIV/0!</v>
      </c>
      <c r="AG340" s="974" t="e">
        <f>IF($F340="","",$F340*chronic_consumption!AB340/1000/$C$3)</f>
        <v>#DIV/0!</v>
      </c>
      <c r="AH340" s="974" t="e">
        <f>IF($F340="","",$F340*chronic_consumption!AC340/1000/$C$3)</f>
        <v>#DIV/0!</v>
      </c>
      <c r="AI340" s="974" t="e">
        <f>IF($F340="","",$F340*chronic_consumption!AD340/1000/$C$3)</f>
        <v>#DIV/0!</v>
      </c>
      <c r="AJ340" s="974" t="e">
        <f>IF($F340="","",$F340*chronic_consumption!AE340/1000/$C$3)</f>
        <v>#DIV/0!</v>
      </c>
      <c r="AK340" s="974" t="e">
        <f>IF($F340="","",$F340*chronic_consumption!AF340/1000/$C$3)</f>
        <v>#DIV/0!</v>
      </c>
      <c r="AL340" s="974" t="e">
        <f>IF($F340="","",$F340*chronic_consumption!AG340/1000/$C$3)</f>
        <v>#DIV/0!</v>
      </c>
      <c r="AM340" s="974" t="e">
        <f>IF($F340="","",$F340*chronic_consumption!AH340/1000/$C$3)</f>
        <v>#DIV/0!</v>
      </c>
      <c r="AN340" s="974" t="e">
        <f>IF($F340="","",$F340*chronic_consumption!AI340/1000/$C$3)</f>
        <v>#DIV/0!</v>
      </c>
      <c r="AO340" s="974" t="e">
        <f>IF($F340="","",$F340*chronic_consumption!AJ340/1000/$C$3)</f>
        <v>#DIV/0!</v>
      </c>
      <c r="AP340" s="974" t="e">
        <f>IF($F340="","",$F340*chronic_consumption!AK340/1000/$C$3)</f>
        <v>#DIV/0!</v>
      </c>
      <c r="AQ340" s="974" t="e">
        <f>IF($F340="","",$F340*chronic_consumption!AL340/1000/$C$3)</f>
        <v>#DIV/0!</v>
      </c>
      <c r="AR340" s="974" t="e">
        <f>IF($F340="","",$F340*chronic_consumption!AM340/1000/$C$3)</f>
        <v>#DIV/0!</v>
      </c>
      <c r="AS340" s="974" t="e">
        <f>IF($F340="","",$F340*chronic_consumption!AN340/1000/$C$3)</f>
        <v>#DIV/0!</v>
      </c>
      <c r="AT340" s="974" t="e">
        <f>IF($F340="","",$F340*chronic_consumption!AO340/1000/$C$3)</f>
        <v>#DIV/0!</v>
      </c>
      <c r="AU340" s="974"/>
      <c r="AV340" s="974" t="e">
        <f>IF($F340="","",$F340*chronic_consumption!AQ340/1000/$C$3)</f>
        <v>#DIV/0!</v>
      </c>
      <c r="AW340" s="974" t="e">
        <f>IF($F340="","",$F340*chronic_consumption!AR340/1000/$C$3)</f>
        <v>#DIV/0!</v>
      </c>
      <c r="AX340" s="974" t="e">
        <f>IF($F340="","",$F340*chronic_consumption!AS340/1000/$C$3)</f>
        <v>#DIV/0!</v>
      </c>
      <c r="AY340" s="974" t="e">
        <f>IF($F340="","",$F340*chronic_consumption!AT340/1000/$C$3)</f>
        <v>#DIV/0!</v>
      </c>
      <c r="AZ340" s="973" t="s">
        <v>19</v>
      </c>
      <c r="BA340" s="969" t="e">
        <f t="shared" si="27"/>
        <v>#DIV/0!</v>
      </c>
      <c r="BB340" s="970" t="e">
        <f t="shared" si="28"/>
        <v>#DIV/0!</v>
      </c>
      <c r="BC340" s="971" t="e">
        <f t="shared" ca="1" si="29"/>
        <v>#DIV/0!</v>
      </c>
      <c r="BD340" s="228">
        <f>input_values!Z340</f>
        <v>4</v>
      </c>
      <c r="BE340" s="152">
        <f>input_values!L340</f>
        <v>0</v>
      </c>
      <c r="BF340" s="972" t="str">
        <f t="shared" si="30"/>
        <v/>
      </c>
    </row>
    <row r="341" spans="1:58" ht="12" customHeight="1" outlineLevel="3" x14ac:dyDescent="0.2">
      <c r="A341" s="21">
        <v>4</v>
      </c>
      <c r="B341" s="23">
        <v>1013020</v>
      </c>
      <c r="C341" s="23" t="s">
        <v>791</v>
      </c>
      <c r="D341" s="965">
        <f>Table22[[#This Row],[MRL individual commodity]]</f>
        <v>0</v>
      </c>
      <c r="E341" s="300" t="str">
        <f>Table22[[#This Row],[LOQ_label]]</f>
        <v/>
      </c>
      <c r="F341" s="966">
        <f>Table22[[#This Row],[Chronic RA input value]]</f>
        <v>0</v>
      </c>
      <c r="G341" s="304" t="str">
        <f>Table22[[#This Row],[Chronic RA label]]</f>
        <v/>
      </c>
      <c r="H341" s="304">
        <f>Table22[[#This Row],[GAP under assessment]]</f>
        <v>0</v>
      </c>
      <c r="I341" s="1123"/>
      <c r="J341" s="974" t="e">
        <f>IF($F341="","",$F341*chronic_consumption!$E341/1000/$C$3)</f>
        <v>#DIV/0!</v>
      </c>
      <c r="K341" s="974" t="e">
        <f>IF($F341="","",$F341*chronic_consumption!F341/1000/$C$3)</f>
        <v>#DIV/0!</v>
      </c>
      <c r="L341" s="974" t="e">
        <f>IF($F341="","",$F341*chronic_consumption!G341/1000/$C$3)</f>
        <v>#DIV/0!</v>
      </c>
      <c r="M341" s="974" t="e">
        <f>IF($F341="","",$F341*chronic_consumption!H341/1000/$C$3)</f>
        <v>#DIV/0!</v>
      </c>
      <c r="N341" s="974" t="e">
        <f>IF($F341="","",$F341*chronic_consumption!I341/1000/$C$3)</f>
        <v>#DIV/0!</v>
      </c>
      <c r="O341" s="974" t="e">
        <f>IF($F341="","",$F341*chronic_consumption!J341/1000/$C$3)</f>
        <v>#DIV/0!</v>
      </c>
      <c r="P341" s="974" t="e">
        <f>IF($F341="","",$F341*chronic_consumption!K341/1000/$C$3)</f>
        <v>#DIV/0!</v>
      </c>
      <c r="Q341" s="974" t="e">
        <f>IF($F341="","",$F341*chronic_consumption!L341/1000/$C$3)</f>
        <v>#DIV/0!</v>
      </c>
      <c r="R341" s="974" t="e">
        <f>IF($F341="","",$F341*chronic_consumption!M341/1000/$C$3)</f>
        <v>#DIV/0!</v>
      </c>
      <c r="S341" s="974" t="e">
        <f>IF($F341="","",$F341*chronic_consumption!N341/1000/$C$3)</f>
        <v>#DIV/0!</v>
      </c>
      <c r="T341" s="974" t="e">
        <f>IF($F341="","",$F341*chronic_consumption!O341/1000/$C$3)</f>
        <v>#DIV/0!</v>
      </c>
      <c r="U341" s="974" t="e">
        <f>IF($F341="","",$F341*chronic_consumption!P341/1000/$C$3)</f>
        <v>#DIV/0!</v>
      </c>
      <c r="V341" s="974" t="e">
        <f>IF($F341="","",$F341*chronic_consumption!Q341/1000/$C$3)</f>
        <v>#DIV/0!</v>
      </c>
      <c r="W341" s="974" t="e">
        <f>IF($F341="","",$F341*chronic_consumption!R341/1000/$C$3)</f>
        <v>#DIV/0!</v>
      </c>
      <c r="X341" s="974" t="e">
        <f>IF($F341="","",$F341*chronic_consumption!S341/1000/$C$3)</f>
        <v>#DIV/0!</v>
      </c>
      <c r="Y341" s="974" t="e">
        <f>IF($F341="","",$F341*chronic_consumption!T341/1000/$C$3)</f>
        <v>#DIV/0!</v>
      </c>
      <c r="Z341" s="974" t="e">
        <f>IF($F341="","",$F341*chronic_consumption!U341/1000/$C$3)</f>
        <v>#DIV/0!</v>
      </c>
      <c r="AA341" s="974" t="e">
        <f>IF($F341="","",$F341*chronic_consumption!V341/1000/$C$3)</f>
        <v>#DIV/0!</v>
      </c>
      <c r="AB341" s="974" t="e">
        <f>IF($F341="","",$F341*chronic_consumption!W341/1000/$C$3)</f>
        <v>#DIV/0!</v>
      </c>
      <c r="AC341" s="974" t="e">
        <f>IF($F341="","",$F341*chronic_consumption!X341/1000/$C$3)</f>
        <v>#DIV/0!</v>
      </c>
      <c r="AD341" s="974" t="e">
        <f>IF($F341="","",$F341*chronic_consumption!Y341/1000/$C$3)</f>
        <v>#DIV/0!</v>
      </c>
      <c r="AE341" s="974" t="e">
        <f>IF($F341="","",$F341*chronic_consumption!Z341/1000/$C$3)</f>
        <v>#DIV/0!</v>
      </c>
      <c r="AF341" s="974" t="e">
        <f>IF($F341="","",$F341*chronic_consumption!AA341/1000/$C$3)</f>
        <v>#DIV/0!</v>
      </c>
      <c r="AG341" s="974" t="e">
        <f>IF($F341="","",$F341*chronic_consumption!AB341/1000/$C$3)</f>
        <v>#DIV/0!</v>
      </c>
      <c r="AH341" s="974" t="e">
        <f>IF($F341="","",$F341*chronic_consumption!AC341/1000/$C$3)</f>
        <v>#DIV/0!</v>
      </c>
      <c r="AI341" s="974" t="e">
        <f>IF($F341="","",$F341*chronic_consumption!AD341/1000/$C$3)</f>
        <v>#DIV/0!</v>
      </c>
      <c r="AJ341" s="974" t="e">
        <f>IF($F341="","",$F341*chronic_consumption!AE341/1000/$C$3)</f>
        <v>#DIV/0!</v>
      </c>
      <c r="AK341" s="974" t="e">
        <f>IF($F341="","",$F341*chronic_consumption!AF341/1000/$C$3)</f>
        <v>#DIV/0!</v>
      </c>
      <c r="AL341" s="974" t="e">
        <f>IF($F341="","",$F341*chronic_consumption!AG341/1000/$C$3)</f>
        <v>#DIV/0!</v>
      </c>
      <c r="AM341" s="974" t="e">
        <f>IF($F341="","",$F341*chronic_consumption!AH341/1000/$C$3)</f>
        <v>#DIV/0!</v>
      </c>
      <c r="AN341" s="974" t="e">
        <f>IF($F341="","",$F341*chronic_consumption!AI341/1000/$C$3)</f>
        <v>#DIV/0!</v>
      </c>
      <c r="AO341" s="974" t="e">
        <f>IF($F341="","",$F341*chronic_consumption!AJ341/1000/$C$3)</f>
        <v>#DIV/0!</v>
      </c>
      <c r="AP341" s="974" t="e">
        <f>IF($F341="","",$F341*chronic_consumption!AK341/1000/$C$3)</f>
        <v>#DIV/0!</v>
      </c>
      <c r="AQ341" s="974" t="e">
        <f>IF($F341="","",$F341*chronic_consumption!AL341/1000/$C$3)</f>
        <v>#DIV/0!</v>
      </c>
      <c r="AR341" s="974" t="e">
        <f>IF($F341="","",$F341*chronic_consumption!AM341/1000/$C$3)</f>
        <v>#DIV/0!</v>
      </c>
      <c r="AS341" s="974" t="e">
        <f>IF($F341="","",$F341*chronic_consumption!AN341/1000/$C$3)</f>
        <v>#DIV/0!</v>
      </c>
      <c r="AT341" s="974" t="e">
        <f>IF($F341="","",$F341*chronic_consumption!AO341/1000/$C$3)</f>
        <v>#DIV/0!</v>
      </c>
      <c r="AU341" s="974"/>
      <c r="AV341" s="974" t="e">
        <f>IF($F341="","",$F341*chronic_consumption!AQ341/1000/$C$3)</f>
        <v>#DIV/0!</v>
      </c>
      <c r="AW341" s="974" t="e">
        <f>IF($F341="","",$F341*chronic_consumption!AR341/1000/$C$3)</f>
        <v>#DIV/0!</v>
      </c>
      <c r="AX341" s="974" t="e">
        <f>IF($F341="","",$F341*chronic_consumption!AS341/1000/$C$3)</f>
        <v>#DIV/0!</v>
      </c>
      <c r="AY341" s="974" t="e">
        <f>IF($F341="","",$F341*chronic_consumption!AT341/1000/$C$3)</f>
        <v>#DIV/0!</v>
      </c>
      <c r="AZ341" s="973" t="s">
        <v>19</v>
      </c>
      <c r="BA341" s="969" t="e">
        <f t="shared" si="27"/>
        <v>#DIV/0!</v>
      </c>
      <c r="BB341" s="970" t="e">
        <f t="shared" si="28"/>
        <v>#DIV/0!</v>
      </c>
      <c r="BC341" s="971" t="e">
        <f t="shared" ca="1" si="29"/>
        <v>#DIV/0!</v>
      </c>
      <c r="BD341" s="228">
        <f>input_values!Z341</f>
        <v>4</v>
      </c>
      <c r="BE341" s="152">
        <f>input_values!L341</f>
        <v>0</v>
      </c>
      <c r="BF341" s="972" t="str">
        <f t="shared" si="30"/>
        <v/>
      </c>
    </row>
    <row r="342" spans="1:58" ht="12" customHeight="1" outlineLevel="3" x14ac:dyDescent="0.2">
      <c r="A342" s="21">
        <v>4</v>
      </c>
      <c r="B342" s="23">
        <v>1013030</v>
      </c>
      <c r="C342" s="23" t="s">
        <v>196</v>
      </c>
      <c r="D342" s="965">
        <f>Table22[[#This Row],[MRL individual commodity]]</f>
        <v>0</v>
      </c>
      <c r="E342" s="300" t="str">
        <f>Table22[[#This Row],[LOQ_label]]</f>
        <v/>
      </c>
      <c r="F342" s="966">
        <f>Table22[[#This Row],[Chronic RA input value]]</f>
        <v>0</v>
      </c>
      <c r="G342" s="304" t="str">
        <f>Table22[[#This Row],[Chronic RA label]]</f>
        <v/>
      </c>
      <c r="H342" s="304">
        <f>Table22[[#This Row],[GAP under assessment]]</f>
        <v>0</v>
      </c>
      <c r="I342" s="1123"/>
      <c r="J342" s="974" t="e">
        <f>IF($F342="","",$F342*chronic_consumption!$E342/1000/$C$3)</f>
        <v>#DIV/0!</v>
      </c>
      <c r="K342" s="974" t="e">
        <f>IF($F342="","",$F342*chronic_consumption!F342/1000/$C$3)</f>
        <v>#DIV/0!</v>
      </c>
      <c r="L342" s="974" t="e">
        <f>IF($F342="","",$F342*chronic_consumption!G342/1000/$C$3)</f>
        <v>#DIV/0!</v>
      </c>
      <c r="M342" s="974" t="e">
        <f>IF($F342="","",$F342*chronic_consumption!H342/1000/$C$3)</f>
        <v>#DIV/0!</v>
      </c>
      <c r="N342" s="974" t="e">
        <f>IF($F342="","",$F342*chronic_consumption!I342/1000/$C$3)</f>
        <v>#DIV/0!</v>
      </c>
      <c r="O342" s="974" t="e">
        <f>IF($F342="","",$F342*chronic_consumption!J342/1000/$C$3)</f>
        <v>#DIV/0!</v>
      </c>
      <c r="P342" s="974" t="e">
        <f>IF($F342="","",$F342*chronic_consumption!K342/1000/$C$3)</f>
        <v>#DIV/0!</v>
      </c>
      <c r="Q342" s="974" t="e">
        <f>IF($F342="","",$F342*chronic_consumption!L342/1000/$C$3)</f>
        <v>#DIV/0!</v>
      </c>
      <c r="R342" s="974" t="e">
        <f>IF($F342="","",$F342*chronic_consumption!M342/1000/$C$3)</f>
        <v>#DIV/0!</v>
      </c>
      <c r="S342" s="974" t="e">
        <f>IF($F342="","",$F342*chronic_consumption!N342/1000/$C$3)</f>
        <v>#DIV/0!</v>
      </c>
      <c r="T342" s="974" t="e">
        <f>IF($F342="","",$F342*chronic_consumption!O342/1000/$C$3)</f>
        <v>#DIV/0!</v>
      </c>
      <c r="U342" s="974" t="e">
        <f>IF($F342="","",$F342*chronic_consumption!P342/1000/$C$3)</f>
        <v>#DIV/0!</v>
      </c>
      <c r="V342" s="974" t="e">
        <f>IF($F342="","",$F342*chronic_consumption!Q342/1000/$C$3)</f>
        <v>#DIV/0!</v>
      </c>
      <c r="W342" s="974" t="e">
        <f>IF($F342="","",$F342*chronic_consumption!R342/1000/$C$3)</f>
        <v>#DIV/0!</v>
      </c>
      <c r="X342" s="974" t="e">
        <f>IF($F342="","",$F342*chronic_consumption!S342/1000/$C$3)</f>
        <v>#DIV/0!</v>
      </c>
      <c r="Y342" s="974" t="e">
        <f>IF($F342="","",$F342*chronic_consumption!T342/1000/$C$3)</f>
        <v>#DIV/0!</v>
      </c>
      <c r="Z342" s="974" t="e">
        <f>IF($F342="","",$F342*chronic_consumption!U342/1000/$C$3)</f>
        <v>#DIV/0!</v>
      </c>
      <c r="AA342" s="974" t="e">
        <f>IF($F342="","",$F342*chronic_consumption!V342/1000/$C$3)</f>
        <v>#DIV/0!</v>
      </c>
      <c r="AB342" s="974" t="e">
        <f>IF($F342="","",$F342*chronic_consumption!W342/1000/$C$3)</f>
        <v>#DIV/0!</v>
      </c>
      <c r="AC342" s="974" t="e">
        <f>IF($F342="","",$F342*chronic_consumption!X342/1000/$C$3)</f>
        <v>#DIV/0!</v>
      </c>
      <c r="AD342" s="974" t="e">
        <f>IF($F342="","",$F342*chronic_consumption!Y342/1000/$C$3)</f>
        <v>#DIV/0!</v>
      </c>
      <c r="AE342" s="974" t="e">
        <f>IF($F342="","",$F342*chronic_consumption!Z342/1000/$C$3)</f>
        <v>#DIV/0!</v>
      </c>
      <c r="AF342" s="974" t="e">
        <f>IF($F342="","",$F342*chronic_consumption!AA342/1000/$C$3)</f>
        <v>#DIV/0!</v>
      </c>
      <c r="AG342" s="974" t="e">
        <f>IF($F342="","",$F342*chronic_consumption!AB342/1000/$C$3)</f>
        <v>#DIV/0!</v>
      </c>
      <c r="AH342" s="974" t="e">
        <f>IF($F342="","",$F342*chronic_consumption!AC342/1000/$C$3)</f>
        <v>#DIV/0!</v>
      </c>
      <c r="AI342" s="974" t="e">
        <f>IF($F342="","",$F342*chronic_consumption!AD342/1000/$C$3)</f>
        <v>#DIV/0!</v>
      </c>
      <c r="AJ342" s="974" t="e">
        <f>IF($F342="","",$F342*chronic_consumption!AE342/1000/$C$3)</f>
        <v>#DIV/0!</v>
      </c>
      <c r="AK342" s="974" t="e">
        <f>IF($F342="","",$F342*chronic_consumption!AF342/1000/$C$3)</f>
        <v>#DIV/0!</v>
      </c>
      <c r="AL342" s="974" t="e">
        <f>IF($F342="","",$F342*chronic_consumption!AG342/1000/$C$3)</f>
        <v>#DIV/0!</v>
      </c>
      <c r="AM342" s="974" t="e">
        <f>IF($F342="","",$F342*chronic_consumption!AH342/1000/$C$3)</f>
        <v>#DIV/0!</v>
      </c>
      <c r="AN342" s="974" t="e">
        <f>IF($F342="","",$F342*chronic_consumption!AI342/1000/$C$3)</f>
        <v>#DIV/0!</v>
      </c>
      <c r="AO342" s="974" t="e">
        <f>IF($F342="","",$F342*chronic_consumption!AJ342/1000/$C$3)</f>
        <v>#DIV/0!</v>
      </c>
      <c r="AP342" s="974" t="e">
        <f>IF($F342="","",$F342*chronic_consumption!AK342/1000/$C$3)</f>
        <v>#DIV/0!</v>
      </c>
      <c r="AQ342" s="974" t="e">
        <f>IF($F342="","",$F342*chronic_consumption!AL342/1000/$C$3)</f>
        <v>#DIV/0!</v>
      </c>
      <c r="AR342" s="974" t="e">
        <f>IF($F342="","",$F342*chronic_consumption!AM342/1000/$C$3)</f>
        <v>#DIV/0!</v>
      </c>
      <c r="AS342" s="974" t="e">
        <f>IF($F342="","",$F342*chronic_consumption!AN342/1000/$C$3)</f>
        <v>#DIV/0!</v>
      </c>
      <c r="AT342" s="974" t="e">
        <f>IF($F342="","",$F342*chronic_consumption!AO342/1000/$C$3)</f>
        <v>#DIV/0!</v>
      </c>
      <c r="AU342" s="974"/>
      <c r="AV342" s="974" t="e">
        <f>IF($F342="","",$F342*chronic_consumption!AQ342/1000/$C$3)</f>
        <v>#DIV/0!</v>
      </c>
      <c r="AW342" s="974" t="e">
        <f>IF($F342="","",$F342*chronic_consumption!AR342/1000/$C$3)</f>
        <v>#DIV/0!</v>
      </c>
      <c r="AX342" s="974" t="e">
        <f>IF($F342="","",$F342*chronic_consumption!AS342/1000/$C$3)</f>
        <v>#DIV/0!</v>
      </c>
      <c r="AY342" s="974" t="e">
        <f>IF($F342="","",$F342*chronic_consumption!AT342/1000/$C$3)</f>
        <v>#DIV/0!</v>
      </c>
      <c r="AZ342" s="973" t="s">
        <v>19</v>
      </c>
      <c r="BA342" s="969" t="e">
        <f t="shared" si="27"/>
        <v>#DIV/0!</v>
      </c>
      <c r="BB342" s="970" t="e">
        <f t="shared" si="28"/>
        <v>#DIV/0!</v>
      </c>
      <c r="BC342" s="971" t="e">
        <f t="shared" ca="1" si="29"/>
        <v>#DIV/0!</v>
      </c>
      <c r="BD342" s="228">
        <f>input_values!Z342</f>
        <v>4</v>
      </c>
      <c r="BE342" s="152">
        <f>input_values!L342</f>
        <v>0</v>
      </c>
      <c r="BF342" s="972" t="str">
        <f t="shared" si="30"/>
        <v/>
      </c>
    </row>
    <row r="343" spans="1:58" ht="12" customHeight="1" outlineLevel="3" x14ac:dyDescent="0.2">
      <c r="A343" s="21">
        <v>4</v>
      </c>
      <c r="B343" s="23">
        <v>1013040</v>
      </c>
      <c r="C343" s="23" t="s">
        <v>197</v>
      </c>
      <c r="D343" s="965">
        <f>Table22[[#This Row],[MRL individual commodity]]</f>
        <v>0</v>
      </c>
      <c r="E343" s="300" t="str">
        <f>Table22[[#This Row],[LOQ_label]]</f>
        <v/>
      </c>
      <c r="F343" s="966">
        <f>Table22[[#This Row],[Chronic RA input value]]</f>
        <v>0</v>
      </c>
      <c r="G343" s="304" t="str">
        <f>Table22[[#This Row],[Chronic RA label]]</f>
        <v/>
      </c>
      <c r="H343" s="304">
        <f>Table22[[#This Row],[GAP under assessment]]</f>
        <v>0</v>
      </c>
      <c r="I343" s="1123"/>
      <c r="J343" s="974" t="e">
        <f>IF($F343="","",$F343*chronic_consumption!$E343/1000/$C$3)</f>
        <v>#DIV/0!</v>
      </c>
      <c r="K343" s="974" t="e">
        <f>IF($F343="","",$F343*chronic_consumption!F343/1000/$C$3)</f>
        <v>#DIV/0!</v>
      </c>
      <c r="L343" s="974" t="e">
        <f>IF($F343="","",$F343*chronic_consumption!G343/1000/$C$3)</f>
        <v>#DIV/0!</v>
      </c>
      <c r="M343" s="974" t="e">
        <f>IF($F343="","",$F343*chronic_consumption!H343/1000/$C$3)</f>
        <v>#DIV/0!</v>
      </c>
      <c r="N343" s="974" t="e">
        <f>IF($F343="","",$F343*chronic_consumption!I343/1000/$C$3)</f>
        <v>#DIV/0!</v>
      </c>
      <c r="O343" s="974" t="e">
        <f>IF($F343="","",$F343*chronic_consumption!J343/1000/$C$3)</f>
        <v>#DIV/0!</v>
      </c>
      <c r="P343" s="974" t="e">
        <f>IF($F343="","",$F343*chronic_consumption!K343/1000/$C$3)</f>
        <v>#DIV/0!</v>
      </c>
      <c r="Q343" s="974" t="e">
        <f>IF($F343="","",$F343*chronic_consumption!L343/1000/$C$3)</f>
        <v>#DIV/0!</v>
      </c>
      <c r="R343" s="974" t="e">
        <f>IF($F343="","",$F343*chronic_consumption!M343/1000/$C$3)</f>
        <v>#DIV/0!</v>
      </c>
      <c r="S343" s="974" t="e">
        <f>IF($F343="","",$F343*chronic_consumption!N343/1000/$C$3)</f>
        <v>#DIV/0!</v>
      </c>
      <c r="T343" s="974" t="e">
        <f>IF($F343="","",$F343*chronic_consumption!O343/1000/$C$3)</f>
        <v>#DIV/0!</v>
      </c>
      <c r="U343" s="974" t="e">
        <f>IF($F343="","",$F343*chronic_consumption!P343/1000/$C$3)</f>
        <v>#DIV/0!</v>
      </c>
      <c r="V343" s="974" t="e">
        <f>IF($F343="","",$F343*chronic_consumption!Q343/1000/$C$3)</f>
        <v>#DIV/0!</v>
      </c>
      <c r="W343" s="974" t="e">
        <f>IF($F343="","",$F343*chronic_consumption!R343/1000/$C$3)</f>
        <v>#DIV/0!</v>
      </c>
      <c r="X343" s="974" t="e">
        <f>IF($F343="","",$F343*chronic_consumption!S343/1000/$C$3)</f>
        <v>#DIV/0!</v>
      </c>
      <c r="Y343" s="974" t="e">
        <f>IF($F343="","",$F343*chronic_consumption!T343/1000/$C$3)</f>
        <v>#DIV/0!</v>
      </c>
      <c r="Z343" s="974" t="e">
        <f>IF($F343="","",$F343*chronic_consumption!U343/1000/$C$3)</f>
        <v>#DIV/0!</v>
      </c>
      <c r="AA343" s="974" t="e">
        <f>IF($F343="","",$F343*chronic_consumption!V343/1000/$C$3)</f>
        <v>#DIV/0!</v>
      </c>
      <c r="AB343" s="974" t="e">
        <f>IF($F343="","",$F343*chronic_consumption!W343/1000/$C$3)</f>
        <v>#DIV/0!</v>
      </c>
      <c r="AC343" s="974" t="e">
        <f>IF($F343="","",$F343*chronic_consumption!X343/1000/$C$3)</f>
        <v>#DIV/0!</v>
      </c>
      <c r="AD343" s="974" t="e">
        <f>IF($F343="","",$F343*chronic_consumption!Y343/1000/$C$3)</f>
        <v>#DIV/0!</v>
      </c>
      <c r="AE343" s="974" t="e">
        <f>IF($F343="","",$F343*chronic_consumption!Z343/1000/$C$3)</f>
        <v>#DIV/0!</v>
      </c>
      <c r="AF343" s="974" t="e">
        <f>IF($F343="","",$F343*chronic_consumption!AA343/1000/$C$3)</f>
        <v>#DIV/0!</v>
      </c>
      <c r="AG343" s="974" t="e">
        <f>IF($F343="","",$F343*chronic_consumption!AB343/1000/$C$3)</f>
        <v>#DIV/0!</v>
      </c>
      <c r="AH343" s="974" t="e">
        <f>IF($F343="","",$F343*chronic_consumption!AC343/1000/$C$3)</f>
        <v>#DIV/0!</v>
      </c>
      <c r="AI343" s="974" t="e">
        <f>IF($F343="","",$F343*chronic_consumption!AD343/1000/$C$3)</f>
        <v>#DIV/0!</v>
      </c>
      <c r="AJ343" s="974" t="e">
        <f>IF($F343="","",$F343*chronic_consumption!AE343/1000/$C$3)</f>
        <v>#DIV/0!</v>
      </c>
      <c r="AK343" s="974" t="e">
        <f>IF($F343="","",$F343*chronic_consumption!AF343/1000/$C$3)</f>
        <v>#DIV/0!</v>
      </c>
      <c r="AL343" s="974" t="e">
        <f>IF($F343="","",$F343*chronic_consumption!AG343/1000/$C$3)</f>
        <v>#DIV/0!</v>
      </c>
      <c r="AM343" s="974" t="e">
        <f>IF($F343="","",$F343*chronic_consumption!AH343/1000/$C$3)</f>
        <v>#DIV/0!</v>
      </c>
      <c r="AN343" s="974" t="e">
        <f>IF($F343="","",$F343*chronic_consumption!AI343/1000/$C$3)</f>
        <v>#DIV/0!</v>
      </c>
      <c r="AO343" s="974" t="e">
        <f>IF($F343="","",$F343*chronic_consumption!AJ343/1000/$C$3)</f>
        <v>#DIV/0!</v>
      </c>
      <c r="AP343" s="974" t="e">
        <f>IF($F343="","",$F343*chronic_consumption!AK343/1000/$C$3)</f>
        <v>#DIV/0!</v>
      </c>
      <c r="AQ343" s="974" t="e">
        <f>IF($F343="","",$F343*chronic_consumption!AL343/1000/$C$3)</f>
        <v>#DIV/0!</v>
      </c>
      <c r="AR343" s="974" t="e">
        <f>IF($F343="","",$F343*chronic_consumption!AM343/1000/$C$3)</f>
        <v>#DIV/0!</v>
      </c>
      <c r="AS343" s="974" t="e">
        <f>IF($F343="","",$F343*chronic_consumption!AN343/1000/$C$3)</f>
        <v>#DIV/0!</v>
      </c>
      <c r="AT343" s="974" t="e">
        <f>IF($F343="","",$F343*chronic_consumption!AO343/1000/$C$3)</f>
        <v>#DIV/0!</v>
      </c>
      <c r="AU343" s="974"/>
      <c r="AV343" s="974" t="e">
        <f>IF($F343="","",$F343*chronic_consumption!AQ343/1000/$C$3)</f>
        <v>#DIV/0!</v>
      </c>
      <c r="AW343" s="974" t="e">
        <f>IF($F343="","",$F343*chronic_consumption!AR343/1000/$C$3)</f>
        <v>#DIV/0!</v>
      </c>
      <c r="AX343" s="974" t="e">
        <f>IF($F343="","",$F343*chronic_consumption!AS343/1000/$C$3)</f>
        <v>#DIV/0!</v>
      </c>
      <c r="AY343" s="974" t="e">
        <f>IF($F343="","",$F343*chronic_consumption!AT343/1000/$C$3)</f>
        <v>#DIV/0!</v>
      </c>
      <c r="AZ343" s="973" t="s">
        <v>19</v>
      </c>
      <c r="BA343" s="969" t="e">
        <f t="shared" si="27"/>
        <v>#DIV/0!</v>
      </c>
      <c r="BB343" s="970" t="e">
        <f t="shared" si="28"/>
        <v>#DIV/0!</v>
      </c>
      <c r="BC343" s="971" t="e">
        <f t="shared" ca="1" si="29"/>
        <v>#DIV/0!</v>
      </c>
      <c r="BD343" s="228">
        <f>input_values!Z343</f>
        <v>4</v>
      </c>
      <c r="BE343" s="152">
        <f>input_values!L343</f>
        <v>0</v>
      </c>
      <c r="BF343" s="972" t="str">
        <f t="shared" si="30"/>
        <v/>
      </c>
    </row>
    <row r="344" spans="1:58" ht="12" customHeight="1" outlineLevel="3" x14ac:dyDescent="0.2">
      <c r="A344" s="21">
        <v>4</v>
      </c>
      <c r="B344" s="23">
        <v>1013050</v>
      </c>
      <c r="C344" s="23" t="s">
        <v>794</v>
      </c>
      <c r="D344" s="965">
        <f>Table22[[#This Row],[MRL individual commodity]]</f>
        <v>0</v>
      </c>
      <c r="E344" s="300" t="str">
        <f>Table22[[#This Row],[LOQ_label]]</f>
        <v/>
      </c>
      <c r="F344" s="966">
        <f>Table22[[#This Row],[Chronic RA input value]]</f>
        <v>0</v>
      </c>
      <c r="G344" s="304" t="str">
        <f>Table22[[#This Row],[Chronic RA label]]</f>
        <v/>
      </c>
      <c r="H344" s="304">
        <f>Table22[[#This Row],[GAP under assessment]]</f>
        <v>0</v>
      </c>
      <c r="I344" s="1123"/>
      <c r="J344" s="974" t="e">
        <f>IF($F344="","",$F344*chronic_consumption!$E344/1000/$C$3)</f>
        <v>#DIV/0!</v>
      </c>
      <c r="K344" s="974" t="e">
        <f>IF($F344="","",$F344*chronic_consumption!F344/1000/$C$3)</f>
        <v>#DIV/0!</v>
      </c>
      <c r="L344" s="974" t="e">
        <f>IF($F344="","",$F344*chronic_consumption!G344/1000/$C$3)</f>
        <v>#DIV/0!</v>
      </c>
      <c r="M344" s="974" t="e">
        <f>IF($F344="","",$F344*chronic_consumption!H344/1000/$C$3)</f>
        <v>#DIV/0!</v>
      </c>
      <c r="N344" s="974" t="e">
        <f>IF($F344="","",$F344*chronic_consumption!I344/1000/$C$3)</f>
        <v>#DIV/0!</v>
      </c>
      <c r="O344" s="974" t="e">
        <f>IF($F344="","",$F344*chronic_consumption!J344/1000/$C$3)</f>
        <v>#DIV/0!</v>
      </c>
      <c r="P344" s="974" t="e">
        <f>IF($F344="","",$F344*chronic_consumption!K344/1000/$C$3)</f>
        <v>#DIV/0!</v>
      </c>
      <c r="Q344" s="974" t="e">
        <f>IF($F344="","",$F344*chronic_consumption!L344/1000/$C$3)</f>
        <v>#DIV/0!</v>
      </c>
      <c r="R344" s="974" t="e">
        <f>IF($F344="","",$F344*chronic_consumption!M344/1000/$C$3)</f>
        <v>#DIV/0!</v>
      </c>
      <c r="S344" s="974" t="e">
        <f>IF($F344="","",$F344*chronic_consumption!N344/1000/$C$3)</f>
        <v>#DIV/0!</v>
      </c>
      <c r="T344" s="974" t="e">
        <f>IF($F344="","",$F344*chronic_consumption!O344/1000/$C$3)</f>
        <v>#DIV/0!</v>
      </c>
      <c r="U344" s="974" t="e">
        <f>IF($F344="","",$F344*chronic_consumption!P344/1000/$C$3)</f>
        <v>#DIV/0!</v>
      </c>
      <c r="V344" s="974" t="e">
        <f>IF($F344="","",$F344*chronic_consumption!Q344/1000/$C$3)</f>
        <v>#DIV/0!</v>
      </c>
      <c r="W344" s="974" t="e">
        <f>IF($F344="","",$F344*chronic_consumption!R344/1000/$C$3)</f>
        <v>#DIV/0!</v>
      </c>
      <c r="X344" s="974" t="e">
        <f>IF($F344="","",$F344*chronic_consumption!S344/1000/$C$3)</f>
        <v>#DIV/0!</v>
      </c>
      <c r="Y344" s="974" t="e">
        <f>IF($F344="","",$F344*chronic_consumption!T344/1000/$C$3)</f>
        <v>#DIV/0!</v>
      </c>
      <c r="Z344" s="974" t="e">
        <f>IF($F344="","",$F344*chronic_consumption!U344/1000/$C$3)</f>
        <v>#DIV/0!</v>
      </c>
      <c r="AA344" s="974" t="e">
        <f>IF($F344="","",$F344*chronic_consumption!V344/1000/$C$3)</f>
        <v>#DIV/0!</v>
      </c>
      <c r="AB344" s="974" t="e">
        <f>IF($F344="","",$F344*chronic_consumption!W344/1000/$C$3)</f>
        <v>#DIV/0!</v>
      </c>
      <c r="AC344" s="974" t="e">
        <f>IF($F344="","",$F344*chronic_consumption!X344/1000/$C$3)</f>
        <v>#DIV/0!</v>
      </c>
      <c r="AD344" s="974" t="e">
        <f>IF($F344="","",$F344*chronic_consumption!Y344/1000/$C$3)</f>
        <v>#DIV/0!</v>
      </c>
      <c r="AE344" s="974" t="e">
        <f>IF($F344="","",$F344*chronic_consumption!Z344/1000/$C$3)</f>
        <v>#DIV/0!</v>
      </c>
      <c r="AF344" s="974" t="e">
        <f>IF($F344="","",$F344*chronic_consumption!AA344/1000/$C$3)</f>
        <v>#DIV/0!</v>
      </c>
      <c r="AG344" s="974" t="e">
        <f>IF($F344="","",$F344*chronic_consumption!AB344/1000/$C$3)</f>
        <v>#DIV/0!</v>
      </c>
      <c r="AH344" s="974" t="e">
        <f>IF($F344="","",$F344*chronic_consumption!AC344/1000/$C$3)</f>
        <v>#DIV/0!</v>
      </c>
      <c r="AI344" s="974" t="e">
        <f>IF($F344="","",$F344*chronic_consumption!AD344/1000/$C$3)</f>
        <v>#DIV/0!</v>
      </c>
      <c r="AJ344" s="974" t="e">
        <f>IF($F344="","",$F344*chronic_consumption!AE344/1000/$C$3)</f>
        <v>#DIV/0!</v>
      </c>
      <c r="AK344" s="974" t="e">
        <f>IF($F344="","",$F344*chronic_consumption!AF344/1000/$C$3)</f>
        <v>#DIV/0!</v>
      </c>
      <c r="AL344" s="974" t="e">
        <f>IF($F344="","",$F344*chronic_consumption!AG344/1000/$C$3)</f>
        <v>#DIV/0!</v>
      </c>
      <c r="AM344" s="974" t="e">
        <f>IF($F344="","",$F344*chronic_consumption!AH344/1000/$C$3)</f>
        <v>#DIV/0!</v>
      </c>
      <c r="AN344" s="974" t="e">
        <f>IF($F344="","",$F344*chronic_consumption!AI344/1000/$C$3)</f>
        <v>#DIV/0!</v>
      </c>
      <c r="AO344" s="974" t="e">
        <f>IF($F344="","",$F344*chronic_consumption!AJ344/1000/$C$3)</f>
        <v>#DIV/0!</v>
      </c>
      <c r="AP344" s="974" t="e">
        <f>IF($F344="","",$F344*chronic_consumption!AK344/1000/$C$3)</f>
        <v>#DIV/0!</v>
      </c>
      <c r="AQ344" s="974" t="e">
        <f>IF($F344="","",$F344*chronic_consumption!AL344/1000/$C$3)</f>
        <v>#DIV/0!</v>
      </c>
      <c r="AR344" s="974" t="e">
        <f>IF($F344="","",$F344*chronic_consumption!AM344/1000/$C$3)</f>
        <v>#DIV/0!</v>
      </c>
      <c r="AS344" s="974" t="e">
        <f>IF($F344="","",$F344*chronic_consumption!AN344/1000/$C$3)</f>
        <v>#DIV/0!</v>
      </c>
      <c r="AT344" s="974" t="e">
        <f>IF($F344="","",$F344*chronic_consumption!AO344/1000/$C$3)</f>
        <v>#DIV/0!</v>
      </c>
      <c r="AU344" s="974"/>
      <c r="AV344" s="974" t="e">
        <f>IF($F344="","",$F344*chronic_consumption!AQ344/1000/$C$3)</f>
        <v>#DIV/0!</v>
      </c>
      <c r="AW344" s="974" t="e">
        <f>IF($F344="","",$F344*chronic_consumption!AR344/1000/$C$3)</f>
        <v>#DIV/0!</v>
      </c>
      <c r="AX344" s="974" t="e">
        <f>IF($F344="","",$F344*chronic_consumption!AS344/1000/$C$3)</f>
        <v>#DIV/0!</v>
      </c>
      <c r="AY344" s="974" t="e">
        <f>IF($F344="","",$F344*chronic_consumption!AT344/1000/$C$3)</f>
        <v>#DIV/0!</v>
      </c>
      <c r="AZ344" s="973" t="s">
        <v>19</v>
      </c>
      <c r="BA344" s="969" t="e">
        <f t="shared" si="27"/>
        <v>#DIV/0!</v>
      </c>
      <c r="BB344" s="970" t="e">
        <f t="shared" si="28"/>
        <v>#DIV/0!</v>
      </c>
      <c r="BC344" s="971" t="e">
        <f t="shared" ca="1" si="29"/>
        <v>#DIV/0!</v>
      </c>
      <c r="BD344" s="228">
        <f>input_values!Z344</f>
        <v>4</v>
      </c>
      <c r="BE344" s="152">
        <f>input_values!L344</f>
        <v>0</v>
      </c>
      <c r="BF344" s="972" t="str">
        <f t="shared" si="30"/>
        <v/>
      </c>
    </row>
    <row r="345" spans="1:58" ht="12" customHeight="1" outlineLevel="3" x14ac:dyDescent="0.2">
      <c r="A345" s="21">
        <v>4</v>
      </c>
      <c r="B345" s="23">
        <v>1013990</v>
      </c>
      <c r="C345" s="23" t="s">
        <v>636</v>
      </c>
      <c r="D345" s="965">
        <f>Table22[[#This Row],[MRL individual commodity]]</f>
        <v>0</v>
      </c>
      <c r="E345" s="300" t="str">
        <f>Table22[[#This Row],[LOQ_label]]</f>
        <v/>
      </c>
      <c r="F345" s="966">
        <f>Table22[[#This Row],[Chronic RA input value]]</f>
        <v>0</v>
      </c>
      <c r="G345" s="304" t="str">
        <f>Table22[[#This Row],[Chronic RA label]]</f>
        <v/>
      </c>
      <c r="H345" s="304">
        <f>Table22[[#This Row],[GAP under assessment]]</f>
        <v>0</v>
      </c>
      <c r="I345" s="1123"/>
      <c r="J345" s="974" t="e">
        <f>IF($F345="","",$F345*chronic_consumption!$E345/1000/$C$3)</f>
        <v>#DIV/0!</v>
      </c>
      <c r="K345" s="974" t="e">
        <f>IF($F345="","",$F345*chronic_consumption!F345/1000/$C$3)</f>
        <v>#DIV/0!</v>
      </c>
      <c r="L345" s="974" t="e">
        <f>IF($F345="","",$F345*chronic_consumption!G345/1000/$C$3)</f>
        <v>#DIV/0!</v>
      </c>
      <c r="M345" s="974" t="e">
        <f>IF($F345="","",$F345*chronic_consumption!H345/1000/$C$3)</f>
        <v>#DIV/0!</v>
      </c>
      <c r="N345" s="974" t="e">
        <f>IF($F345="","",$F345*chronic_consumption!I345/1000/$C$3)</f>
        <v>#DIV/0!</v>
      </c>
      <c r="O345" s="974" t="e">
        <f>IF($F345="","",$F345*chronic_consumption!J345/1000/$C$3)</f>
        <v>#DIV/0!</v>
      </c>
      <c r="P345" s="974" t="e">
        <f>IF($F345="","",$F345*chronic_consumption!K345/1000/$C$3)</f>
        <v>#DIV/0!</v>
      </c>
      <c r="Q345" s="974" t="e">
        <f>IF($F345="","",$F345*chronic_consumption!L345/1000/$C$3)</f>
        <v>#DIV/0!</v>
      </c>
      <c r="R345" s="974" t="e">
        <f>IF($F345="","",$F345*chronic_consumption!M345/1000/$C$3)</f>
        <v>#DIV/0!</v>
      </c>
      <c r="S345" s="974" t="e">
        <f>IF($F345="","",$F345*chronic_consumption!N345/1000/$C$3)</f>
        <v>#DIV/0!</v>
      </c>
      <c r="T345" s="974" t="e">
        <f>IF($F345="","",$F345*chronic_consumption!O345/1000/$C$3)</f>
        <v>#DIV/0!</v>
      </c>
      <c r="U345" s="974" t="e">
        <f>IF($F345="","",$F345*chronic_consumption!P345/1000/$C$3)</f>
        <v>#DIV/0!</v>
      </c>
      <c r="V345" s="974" t="e">
        <f>IF($F345="","",$F345*chronic_consumption!Q345/1000/$C$3)</f>
        <v>#DIV/0!</v>
      </c>
      <c r="W345" s="974" t="e">
        <f>IF($F345="","",$F345*chronic_consumption!R345/1000/$C$3)</f>
        <v>#DIV/0!</v>
      </c>
      <c r="X345" s="974" t="e">
        <f>IF($F345="","",$F345*chronic_consumption!S345/1000/$C$3)</f>
        <v>#DIV/0!</v>
      </c>
      <c r="Y345" s="974" t="e">
        <f>IF($F345="","",$F345*chronic_consumption!T345/1000/$C$3)</f>
        <v>#DIV/0!</v>
      </c>
      <c r="Z345" s="974" t="e">
        <f>IF($F345="","",$F345*chronic_consumption!U345/1000/$C$3)</f>
        <v>#DIV/0!</v>
      </c>
      <c r="AA345" s="974" t="e">
        <f>IF($F345="","",$F345*chronic_consumption!V345/1000/$C$3)</f>
        <v>#DIV/0!</v>
      </c>
      <c r="AB345" s="974" t="e">
        <f>IF($F345="","",$F345*chronic_consumption!W345/1000/$C$3)</f>
        <v>#DIV/0!</v>
      </c>
      <c r="AC345" s="974" t="e">
        <f>IF($F345="","",$F345*chronic_consumption!X345/1000/$C$3)</f>
        <v>#DIV/0!</v>
      </c>
      <c r="AD345" s="974" t="e">
        <f>IF($F345="","",$F345*chronic_consumption!Y345/1000/$C$3)</f>
        <v>#DIV/0!</v>
      </c>
      <c r="AE345" s="974" t="e">
        <f>IF($F345="","",$F345*chronic_consumption!Z345/1000/$C$3)</f>
        <v>#DIV/0!</v>
      </c>
      <c r="AF345" s="974" t="e">
        <f>IF($F345="","",$F345*chronic_consumption!AA345/1000/$C$3)</f>
        <v>#DIV/0!</v>
      </c>
      <c r="AG345" s="974" t="e">
        <f>IF($F345="","",$F345*chronic_consumption!AB345/1000/$C$3)</f>
        <v>#DIV/0!</v>
      </c>
      <c r="AH345" s="974" t="e">
        <f>IF($F345="","",$F345*chronic_consumption!AC345/1000/$C$3)</f>
        <v>#DIV/0!</v>
      </c>
      <c r="AI345" s="974" t="e">
        <f>IF($F345="","",$F345*chronic_consumption!AD345/1000/$C$3)</f>
        <v>#DIV/0!</v>
      </c>
      <c r="AJ345" s="974" t="e">
        <f>IF($F345="","",$F345*chronic_consumption!AE345/1000/$C$3)</f>
        <v>#DIV/0!</v>
      </c>
      <c r="AK345" s="974" t="e">
        <f>IF($F345="","",$F345*chronic_consumption!AF345/1000/$C$3)</f>
        <v>#DIV/0!</v>
      </c>
      <c r="AL345" s="974" t="e">
        <f>IF($F345="","",$F345*chronic_consumption!AG345/1000/$C$3)</f>
        <v>#DIV/0!</v>
      </c>
      <c r="AM345" s="974" t="e">
        <f>IF($F345="","",$F345*chronic_consumption!AH345/1000/$C$3)</f>
        <v>#DIV/0!</v>
      </c>
      <c r="AN345" s="974" t="e">
        <f>IF($F345="","",$F345*chronic_consumption!AI345/1000/$C$3)</f>
        <v>#DIV/0!</v>
      </c>
      <c r="AO345" s="974" t="e">
        <f>IF($F345="","",$F345*chronic_consumption!AJ345/1000/$C$3)</f>
        <v>#DIV/0!</v>
      </c>
      <c r="AP345" s="974" t="e">
        <f>IF($F345="","",$F345*chronic_consumption!AK345/1000/$C$3)</f>
        <v>#DIV/0!</v>
      </c>
      <c r="AQ345" s="974" t="e">
        <f>IF($F345="","",$F345*chronic_consumption!AL345/1000/$C$3)</f>
        <v>#DIV/0!</v>
      </c>
      <c r="AR345" s="974" t="e">
        <f>IF($F345="","",$F345*chronic_consumption!AM345/1000/$C$3)</f>
        <v>#DIV/0!</v>
      </c>
      <c r="AS345" s="974" t="e">
        <f>IF($F345="","",$F345*chronic_consumption!AN345/1000/$C$3)</f>
        <v>#DIV/0!</v>
      </c>
      <c r="AT345" s="974" t="e">
        <f>IF($F345="","",$F345*chronic_consumption!AO345/1000/$C$3)</f>
        <v>#DIV/0!</v>
      </c>
      <c r="AU345" s="974"/>
      <c r="AV345" s="974" t="e">
        <f>IF($F345="","",$F345*chronic_consumption!AQ345/1000/$C$3)</f>
        <v>#DIV/0!</v>
      </c>
      <c r="AW345" s="974" t="e">
        <f>IF($F345="","",$F345*chronic_consumption!AR345/1000/$C$3)</f>
        <v>#DIV/0!</v>
      </c>
      <c r="AX345" s="974" t="e">
        <f>IF($F345="","",$F345*chronic_consumption!AS345/1000/$C$3)</f>
        <v>#DIV/0!</v>
      </c>
      <c r="AY345" s="974" t="e">
        <f>IF($F345="","",$F345*chronic_consumption!AT345/1000/$C$3)</f>
        <v>#DIV/0!</v>
      </c>
      <c r="AZ345" s="973" t="s">
        <v>19</v>
      </c>
      <c r="BA345" s="969" t="e">
        <f t="shared" si="27"/>
        <v>#DIV/0!</v>
      </c>
      <c r="BB345" s="970" t="e">
        <f t="shared" si="28"/>
        <v>#DIV/0!</v>
      </c>
      <c r="BC345" s="971" t="e">
        <f t="shared" ca="1" si="29"/>
        <v>#DIV/0!</v>
      </c>
      <c r="BD345" s="228">
        <f>input_values!Z345</f>
        <v>4</v>
      </c>
      <c r="BE345" s="152">
        <f>input_values!L345</f>
        <v>0</v>
      </c>
      <c r="BF345" s="972" t="str">
        <f t="shared" si="30"/>
        <v/>
      </c>
    </row>
    <row r="346" spans="1:58" ht="12" customHeight="1" outlineLevel="2" x14ac:dyDescent="0.2">
      <c r="A346" s="353">
        <v>3</v>
      </c>
      <c r="B346" s="5">
        <v>1014000</v>
      </c>
      <c r="C346" s="5" t="s">
        <v>198</v>
      </c>
      <c r="D346" s="965">
        <f>Table22[[#This Row],[MRL individual commodity]]</f>
        <v>0</v>
      </c>
      <c r="E346" s="300">
        <f>Table22[[#This Row],[LOQ_label]]</f>
        <v>0</v>
      </c>
      <c r="F346" s="966">
        <f>Table22[[#This Row],[Chronic RA input value]]</f>
        <v>0</v>
      </c>
      <c r="G346" s="304">
        <f>Table22[[#This Row],[Chronic RA label]]</f>
        <v>0</v>
      </c>
      <c r="H346" s="304">
        <f>Table22[[#This Row],[GAP under assessment]]</f>
        <v>0</v>
      </c>
      <c r="I346" s="1123"/>
      <c r="J346" s="967" t="e">
        <f>IF($F346="","",$F346*chronic_consumption!$E346/1000/$C$3)</f>
        <v>#DIV/0!</v>
      </c>
      <c r="K346" s="967" t="e">
        <f>IF($F346="","",$F346*chronic_consumption!F346/1000/$C$3)</f>
        <v>#DIV/0!</v>
      </c>
      <c r="L346" s="967" t="e">
        <f>IF($F346="","",$F346*chronic_consumption!G346/1000/$C$3)</f>
        <v>#DIV/0!</v>
      </c>
      <c r="M346" s="967" t="e">
        <f>IF($F346="","",$F346*chronic_consumption!H346/1000/$C$3)</f>
        <v>#DIV/0!</v>
      </c>
      <c r="N346" s="967" t="e">
        <f>IF($F346="","",$F346*chronic_consumption!I346/1000/$C$3)</f>
        <v>#DIV/0!</v>
      </c>
      <c r="O346" s="967" t="e">
        <f>IF($F346="","",$F346*chronic_consumption!J346/1000/$C$3)</f>
        <v>#DIV/0!</v>
      </c>
      <c r="P346" s="967" t="e">
        <f>IF($F346="","",$F346*chronic_consumption!K346/1000/$C$3)</f>
        <v>#DIV/0!</v>
      </c>
      <c r="Q346" s="967" t="e">
        <f>IF($F346="","",$F346*chronic_consumption!L346/1000/$C$3)</f>
        <v>#DIV/0!</v>
      </c>
      <c r="R346" s="967" t="e">
        <f>IF($F346="","",$F346*chronic_consumption!M346/1000/$C$3)</f>
        <v>#DIV/0!</v>
      </c>
      <c r="S346" s="967" t="e">
        <f>IF($F346="","",$F346*chronic_consumption!N346/1000/$C$3)</f>
        <v>#DIV/0!</v>
      </c>
      <c r="T346" s="967" t="e">
        <f>IF($F346="","",$F346*chronic_consumption!O346/1000/$C$3)</f>
        <v>#DIV/0!</v>
      </c>
      <c r="U346" s="967" t="e">
        <f>IF($F346="","",$F346*chronic_consumption!P346/1000/$C$3)</f>
        <v>#DIV/0!</v>
      </c>
      <c r="V346" s="967" t="e">
        <f>IF($F346="","",$F346*chronic_consumption!Q346/1000/$C$3)</f>
        <v>#DIV/0!</v>
      </c>
      <c r="W346" s="967" t="e">
        <f>IF($F346="","",$F346*chronic_consumption!R346/1000/$C$3)</f>
        <v>#DIV/0!</v>
      </c>
      <c r="X346" s="967" t="e">
        <f>IF($F346="","",$F346*chronic_consumption!S346/1000/$C$3)</f>
        <v>#DIV/0!</v>
      </c>
      <c r="Y346" s="967" t="e">
        <f>IF($F346="","",$F346*chronic_consumption!T346/1000/$C$3)</f>
        <v>#DIV/0!</v>
      </c>
      <c r="Z346" s="967" t="e">
        <f>IF($F346="","",$F346*chronic_consumption!U346/1000/$C$3)</f>
        <v>#DIV/0!</v>
      </c>
      <c r="AA346" s="967" t="e">
        <f>IF($F346="","",$F346*chronic_consumption!V346/1000/$C$3)</f>
        <v>#DIV/0!</v>
      </c>
      <c r="AB346" s="967" t="e">
        <f>IF($F346="","",$F346*chronic_consumption!W346/1000/$C$3)</f>
        <v>#DIV/0!</v>
      </c>
      <c r="AC346" s="967" t="e">
        <f>IF($F346="","",$F346*chronic_consumption!X346/1000/$C$3)</f>
        <v>#DIV/0!</v>
      </c>
      <c r="AD346" s="967" t="e">
        <f>IF($F346="","",$F346*chronic_consumption!Y346/1000/$C$3)</f>
        <v>#DIV/0!</v>
      </c>
      <c r="AE346" s="967" t="e">
        <f>IF($F346="","",$F346*chronic_consumption!Z346/1000/$C$3)</f>
        <v>#DIV/0!</v>
      </c>
      <c r="AF346" s="967" t="e">
        <f>IF($F346="","",$F346*chronic_consumption!AA346/1000/$C$3)</f>
        <v>#DIV/0!</v>
      </c>
      <c r="AG346" s="967" t="e">
        <f>IF($F346="","",$F346*chronic_consumption!AB346/1000/$C$3)</f>
        <v>#DIV/0!</v>
      </c>
      <c r="AH346" s="967" t="e">
        <f>IF($F346="","",$F346*chronic_consumption!AC346/1000/$C$3)</f>
        <v>#DIV/0!</v>
      </c>
      <c r="AI346" s="967" t="e">
        <f>IF($F346="","",$F346*chronic_consumption!AD346/1000/$C$3)</f>
        <v>#DIV/0!</v>
      </c>
      <c r="AJ346" s="967" t="e">
        <f>IF($F346="","",$F346*chronic_consumption!AE346/1000/$C$3)</f>
        <v>#DIV/0!</v>
      </c>
      <c r="AK346" s="967" t="e">
        <f>IF($F346="","",$F346*chronic_consumption!AF346/1000/$C$3)</f>
        <v>#DIV/0!</v>
      </c>
      <c r="AL346" s="967" t="e">
        <f>IF($F346="","",$F346*chronic_consumption!AG346/1000/$C$3)</f>
        <v>#DIV/0!</v>
      </c>
      <c r="AM346" s="967" t="e">
        <f>IF($F346="","",$F346*chronic_consumption!AH346/1000/$C$3)</f>
        <v>#DIV/0!</v>
      </c>
      <c r="AN346" s="967" t="e">
        <f>IF($F346="","",$F346*chronic_consumption!AI346/1000/$C$3)</f>
        <v>#DIV/0!</v>
      </c>
      <c r="AO346" s="967" t="e">
        <f>IF($F346="","",$F346*chronic_consumption!AJ346/1000/$C$3)</f>
        <v>#DIV/0!</v>
      </c>
      <c r="AP346" s="967" t="e">
        <f>IF($F346="","",$F346*chronic_consumption!AK346/1000/$C$3)</f>
        <v>#DIV/0!</v>
      </c>
      <c r="AQ346" s="967" t="e">
        <f>IF($F346="","",$F346*chronic_consumption!AL346/1000/$C$3)</f>
        <v>#DIV/0!</v>
      </c>
      <c r="AR346" s="967" t="e">
        <f>IF($F346="","",$F346*chronic_consumption!AM346/1000/$C$3)</f>
        <v>#DIV/0!</v>
      </c>
      <c r="AS346" s="967" t="e">
        <f>IF($F346="","",$F346*chronic_consumption!AN346/1000/$C$3)</f>
        <v>#DIV/0!</v>
      </c>
      <c r="AT346" s="967" t="e">
        <f>IF($F346="","",$F346*chronic_consumption!AO346/1000/$C$3)</f>
        <v>#DIV/0!</v>
      </c>
      <c r="AU346" s="967"/>
      <c r="AV346" s="967" t="e">
        <f>IF($F346="","",$F346*chronic_consumption!AQ346/1000/$C$3)</f>
        <v>#DIV/0!</v>
      </c>
      <c r="AW346" s="967" t="e">
        <f>IF($F346="","",$F346*chronic_consumption!AR346/1000/$C$3)</f>
        <v>#DIV/0!</v>
      </c>
      <c r="AX346" s="967" t="e">
        <f>IF($F346="","",$F346*chronic_consumption!AS346/1000/$C$3)</f>
        <v>#DIV/0!</v>
      </c>
      <c r="AY346" s="967" t="e">
        <f>IF($F346="","",$F346*chronic_consumption!AT346/1000/$C$3)</f>
        <v>#DIV/0!</v>
      </c>
      <c r="AZ346" s="973"/>
      <c r="BA346" s="969" t="e">
        <f t="shared" si="27"/>
        <v>#DIV/0!</v>
      </c>
      <c r="BB346" s="970" t="e">
        <f t="shared" si="28"/>
        <v>#DIV/0!</v>
      </c>
      <c r="BC346" s="971" t="e">
        <f t="shared" ca="1" si="29"/>
        <v>#DIV/0!</v>
      </c>
      <c r="BD346" s="228">
        <f>input_values!Z346</f>
        <v>4</v>
      </c>
      <c r="BE346" s="152">
        <f>input_values!L346</f>
        <v>0</v>
      </c>
      <c r="BF346" s="972" t="str">
        <f t="shared" si="30"/>
        <v/>
      </c>
    </row>
    <row r="347" spans="1:58" ht="12" customHeight="1" outlineLevel="3" x14ac:dyDescent="0.2">
      <c r="A347" s="21">
        <v>4</v>
      </c>
      <c r="B347" s="23">
        <v>1014010</v>
      </c>
      <c r="C347" s="23" t="s">
        <v>865</v>
      </c>
      <c r="D347" s="965">
        <f>Table22[[#This Row],[MRL individual commodity]]</f>
        <v>0</v>
      </c>
      <c r="E347" s="300" t="str">
        <f>Table22[[#This Row],[LOQ_label]]</f>
        <v/>
      </c>
      <c r="F347" s="966">
        <f>Table22[[#This Row],[Chronic RA input value]]</f>
        <v>0</v>
      </c>
      <c r="G347" s="304" t="str">
        <f>Table22[[#This Row],[Chronic RA label]]</f>
        <v/>
      </c>
      <c r="H347" s="304">
        <f>Table22[[#This Row],[GAP under assessment]]</f>
        <v>0</v>
      </c>
      <c r="I347" s="1123"/>
      <c r="J347" s="974" t="e">
        <f>IF($F347="","",$F347*chronic_consumption!$E347/1000/$C$3)</f>
        <v>#DIV/0!</v>
      </c>
      <c r="K347" s="974" t="e">
        <f>IF($F347="","",$F347*chronic_consumption!F347/1000/$C$3)</f>
        <v>#DIV/0!</v>
      </c>
      <c r="L347" s="974" t="e">
        <f>IF($F347="","",$F347*chronic_consumption!G347/1000/$C$3)</f>
        <v>#DIV/0!</v>
      </c>
      <c r="M347" s="974" t="e">
        <f>IF($F347="","",$F347*chronic_consumption!H347/1000/$C$3)</f>
        <v>#DIV/0!</v>
      </c>
      <c r="N347" s="974" t="e">
        <f>IF($F347="","",$F347*chronic_consumption!I347/1000/$C$3)</f>
        <v>#DIV/0!</v>
      </c>
      <c r="O347" s="974" t="e">
        <f>IF($F347="","",$F347*chronic_consumption!J347/1000/$C$3)</f>
        <v>#DIV/0!</v>
      </c>
      <c r="P347" s="974" t="e">
        <f>IF($F347="","",$F347*chronic_consumption!K347/1000/$C$3)</f>
        <v>#DIV/0!</v>
      </c>
      <c r="Q347" s="974" t="e">
        <f>IF($F347="","",$F347*chronic_consumption!L347/1000/$C$3)</f>
        <v>#DIV/0!</v>
      </c>
      <c r="R347" s="974" t="e">
        <f>IF($F347="","",$F347*chronic_consumption!M347/1000/$C$3)</f>
        <v>#DIV/0!</v>
      </c>
      <c r="S347" s="974" t="e">
        <f>IF($F347="","",$F347*chronic_consumption!N347/1000/$C$3)</f>
        <v>#DIV/0!</v>
      </c>
      <c r="T347" s="974" t="e">
        <f>IF($F347="","",$F347*chronic_consumption!O347/1000/$C$3)</f>
        <v>#DIV/0!</v>
      </c>
      <c r="U347" s="974" t="e">
        <f>IF($F347="","",$F347*chronic_consumption!P347/1000/$C$3)</f>
        <v>#DIV/0!</v>
      </c>
      <c r="V347" s="974" t="e">
        <f>IF($F347="","",$F347*chronic_consumption!Q347/1000/$C$3)</f>
        <v>#DIV/0!</v>
      </c>
      <c r="W347" s="974" t="e">
        <f>IF($F347="","",$F347*chronic_consumption!R347/1000/$C$3)</f>
        <v>#DIV/0!</v>
      </c>
      <c r="X347" s="974" t="e">
        <f>IF($F347="","",$F347*chronic_consumption!S347/1000/$C$3)</f>
        <v>#DIV/0!</v>
      </c>
      <c r="Y347" s="974" t="e">
        <f>IF($F347="","",$F347*chronic_consumption!T347/1000/$C$3)</f>
        <v>#DIV/0!</v>
      </c>
      <c r="Z347" s="974" t="e">
        <f>IF($F347="","",$F347*chronic_consumption!U347/1000/$C$3)</f>
        <v>#DIV/0!</v>
      </c>
      <c r="AA347" s="974" t="e">
        <f>IF($F347="","",$F347*chronic_consumption!V347/1000/$C$3)</f>
        <v>#DIV/0!</v>
      </c>
      <c r="AB347" s="974" t="e">
        <f>IF($F347="","",$F347*chronic_consumption!W347/1000/$C$3)</f>
        <v>#DIV/0!</v>
      </c>
      <c r="AC347" s="974" t="e">
        <f>IF($F347="","",$F347*chronic_consumption!X347/1000/$C$3)</f>
        <v>#DIV/0!</v>
      </c>
      <c r="AD347" s="974" t="e">
        <f>IF($F347="","",$F347*chronic_consumption!Y347/1000/$C$3)</f>
        <v>#DIV/0!</v>
      </c>
      <c r="AE347" s="974" t="e">
        <f>IF($F347="","",$F347*chronic_consumption!Z347/1000/$C$3)</f>
        <v>#DIV/0!</v>
      </c>
      <c r="AF347" s="974" t="e">
        <f>IF($F347="","",$F347*chronic_consumption!AA347/1000/$C$3)</f>
        <v>#DIV/0!</v>
      </c>
      <c r="AG347" s="974" t="e">
        <f>IF($F347="","",$F347*chronic_consumption!AB347/1000/$C$3)</f>
        <v>#DIV/0!</v>
      </c>
      <c r="AH347" s="974" t="e">
        <f>IF($F347="","",$F347*chronic_consumption!AC347/1000/$C$3)</f>
        <v>#DIV/0!</v>
      </c>
      <c r="AI347" s="974" t="e">
        <f>IF($F347="","",$F347*chronic_consumption!AD347/1000/$C$3)</f>
        <v>#DIV/0!</v>
      </c>
      <c r="AJ347" s="974" t="e">
        <f>IF($F347="","",$F347*chronic_consumption!AE347/1000/$C$3)</f>
        <v>#DIV/0!</v>
      </c>
      <c r="AK347" s="974" t="e">
        <f>IF($F347="","",$F347*chronic_consumption!AF347/1000/$C$3)</f>
        <v>#DIV/0!</v>
      </c>
      <c r="AL347" s="974" t="e">
        <f>IF($F347="","",$F347*chronic_consumption!AG347/1000/$C$3)</f>
        <v>#DIV/0!</v>
      </c>
      <c r="AM347" s="974" t="e">
        <f>IF($F347="","",$F347*chronic_consumption!AH347/1000/$C$3)</f>
        <v>#DIV/0!</v>
      </c>
      <c r="AN347" s="974" t="e">
        <f>IF($F347="","",$F347*chronic_consumption!AI347/1000/$C$3)</f>
        <v>#DIV/0!</v>
      </c>
      <c r="AO347" s="974" t="e">
        <f>IF($F347="","",$F347*chronic_consumption!AJ347/1000/$C$3)</f>
        <v>#DIV/0!</v>
      </c>
      <c r="AP347" s="974" t="e">
        <f>IF($F347="","",$F347*chronic_consumption!AK347/1000/$C$3)</f>
        <v>#DIV/0!</v>
      </c>
      <c r="AQ347" s="974" t="e">
        <f>IF($F347="","",$F347*chronic_consumption!AL347/1000/$C$3)</f>
        <v>#DIV/0!</v>
      </c>
      <c r="AR347" s="974" t="e">
        <f>IF($F347="","",$F347*chronic_consumption!AM347/1000/$C$3)</f>
        <v>#DIV/0!</v>
      </c>
      <c r="AS347" s="974" t="e">
        <f>IF($F347="","",$F347*chronic_consumption!AN347/1000/$C$3)</f>
        <v>#DIV/0!</v>
      </c>
      <c r="AT347" s="974" t="e">
        <f>IF($F347="","",$F347*chronic_consumption!AO347/1000/$C$3)</f>
        <v>#DIV/0!</v>
      </c>
      <c r="AU347" s="974"/>
      <c r="AV347" s="974" t="e">
        <f>IF($F347="","",$F347*chronic_consumption!AQ347/1000/$C$3)</f>
        <v>#DIV/0!</v>
      </c>
      <c r="AW347" s="974" t="e">
        <f>IF($F347="","",$F347*chronic_consumption!AR347/1000/$C$3)</f>
        <v>#DIV/0!</v>
      </c>
      <c r="AX347" s="974" t="e">
        <f>IF($F347="","",$F347*chronic_consumption!AS347/1000/$C$3)</f>
        <v>#DIV/0!</v>
      </c>
      <c r="AY347" s="974" t="e">
        <f>IF($F347="","",$F347*chronic_consumption!AT347/1000/$C$3)</f>
        <v>#DIV/0!</v>
      </c>
      <c r="AZ347" s="973" t="s">
        <v>19</v>
      </c>
      <c r="BA347" s="969" t="e">
        <f t="shared" si="27"/>
        <v>#DIV/0!</v>
      </c>
      <c r="BB347" s="970" t="e">
        <f t="shared" si="28"/>
        <v>#DIV/0!</v>
      </c>
      <c r="BC347" s="971" t="e">
        <f t="shared" ca="1" si="29"/>
        <v>#DIV/0!</v>
      </c>
      <c r="BD347" s="228">
        <f>input_values!Z347</f>
        <v>4</v>
      </c>
      <c r="BE347" s="152">
        <f>input_values!L347</f>
        <v>0</v>
      </c>
      <c r="BF347" s="972" t="str">
        <f t="shared" si="30"/>
        <v/>
      </c>
    </row>
    <row r="348" spans="1:58" ht="12" customHeight="1" outlineLevel="3" x14ac:dyDescent="0.2">
      <c r="A348" s="21">
        <v>4</v>
      </c>
      <c r="B348" s="23">
        <v>1014020</v>
      </c>
      <c r="C348" s="23" t="s">
        <v>792</v>
      </c>
      <c r="D348" s="965">
        <f>Table22[[#This Row],[MRL individual commodity]]</f>
        <v>0</v>
      </c>
      <c r="E348" s="300" t="str">
        <f>Table22[[#This Row],[LOQ_label]]</f>
        <v/>
      </c>
      <c r="F348" s="966">
        <f>Table22[[#This Row],[Chronic RA input value]]</f>
        <v>0</v>
      </c>
      <c r="G348" s="304" t="str">
        <f>Table22[[#This Row],[Chronic RA label]]</f>
        <v/>
      </c>
      <c r="H348" s="304">
        <f>Table22[[#This Row],[GAP under assessment]]</f>
        <v>0</v>
      </c>
      <c r="I348" s="1123"/>
      <c r="J348" s="974" t="e">
        <f>IF($F348="","",$F348*chronic_consumption!$E348/1000/$C$3)</f>
        <v>#DIV/0!</v>
      </c>
      <c r="K348" s="974" t="e">
        <f>IF($F348="","",$F348*chronic_consumption!F348/1000/$C$3)</f>
        <v>#DIV/0!</v>
      </c>
      <c r="L348" s="974" t="e">
        <f>IF($F348="","",$F348*chronic_consumption!G348/1000/$C$3)</f>
        <v>#DIV/0!</v>
      </c>
      <c r="M348" s="974" t="e">
        <f>IF($F348="","",$F348*chronic_consumption!H348/1000/$C$3)</f>
        <v>#DIV/0!</v>
      </c>
      <c r="N348" s="974" t="e">
        <f>IF($F348="","",$F348*chronic_consumption!I348/1000/$C$3)</f>
        <v>#DIV/0!</v>
      </c>
      <c r="O348" s="974" t="e">
        <f>IF($F348="","",$F348*chronic_consumption!J348/1000/$C$3)</f>
        <v>#DIV/0!</v>
      </c>
      <c r="P348" s="974" t="e">
        <f>IF($F348="","",$F348*chronic_consumption!K348/1000/$C$3)</f>
        <v>#DIV/0!</v>
      </c>
      <c r="Q348" s="974" t="e">
        <f>IF($F348="","",$F348*chronic_consumption!L348/1000/$C$3)</f>
        <v>#DIV/0!</v>
      </c>
      <c r="R348" s="974" t="e">
        <f>IF($F348="","",$F348*chronic_consumption!M348/1000/$C$3)</f>
        <v>#DIV/0!</v>
      </c>
      <c r="S348" s="974" t="e">
        <f>IF($F348="","",$F348*chronic_consumption!N348/1000/$C$3)</f>
        <v>#DIV/0!</v>
      </c>
      <c r="T348" s="974" t="e">
        <f>IF($F348="","",$F348*chronic_consumption!O348/1000/$C$3)</f>
        <v>#DIV/0!</v>
      </c>
      <c r="U348" s="974" t="e">
        <f>IF($F348="","",$F348*chronic_consumption!P348/1000/$C$3)</f>
        <v>#DIV/0!</v>
      </c>
      <c r="V348" s="974" t="e">
        <f>IF($F348="","",$F348*chronic_consumption!Q348/1000/$C$3)</f>
        <v>#DIV/0!</v>
      </c>
      <c r="W348" s="974" t="e">
        <f>IF($F348="","",$F348*chronic_consumption!R348/1000/$C$3)</f>
        <v>#DIV/0!</v>
      </c>
      <c r="X348" s="974" t="e">
        <f>IF($F348="","",$F348*chronic_consumption!S348/1000/$C$3)</f>
        <v>#DIV/0!</v>
      </c>
      <c r="Y348" s="974" t="e">
        <f>IF($F348="","",$F348*chronic_consumption!T348/1000/$C$3)</f>
        <v>#DIV/0!</v>
      </c>
      <c r="Z348" s="974" t="e">
        <f>IF($F348="","",$F348*chronic_consumption!U348/1000/$C$3)</f>
        <v>#DIV/0!</v>
      </c>
      <c r="AA348" s="974" t="e">
        <f>IF($F348="","",$F348*chronic_consumption!V348/1000/$C$3)</f>
        <v>#DIV/0!</v>
      </c>
      <c r="AB348" s="974" t="e">
        <f>IF($F348="","",$F348*chronic_consumption!W348/1000/$C$3)</f>
        <v>#DIV/0!</v>
      </c>
      <c r="AC348" s="974" t="e">
        <f>IF($F348="","",$F348*chronic_consumption!X348/1000/$C$3)</f>
        <v>#DIV/0!</v>
      </c>
      <c r="AD348" s="974" t="e">
        <f>IF($F348="","",$F348*chronic_consumption!Y348/1000/$C$3)</f>
        <v>#DIV/0!</v>
      </c>
      <c r="AE348" s="974" t="e">
        <f>IF($F348="","",$F348*chronic_consumption!Z348/1000/$C$3)</f>
        <v>#DIV/0!</v>
      </c>
      <c r="AF348" s="974" t="e">
        <f>IF($F348="","",$F348*chronic_consumption!AA348/1000/$C$3)</f>
        <v>#DIV/0!</v>
      </c>
      <c r="AG348" s="974" t="e">
        <f>IF($F348="","",$F348*chronic_consumption!AB348/1000/$C$3)</f>
        <v>#DIV/0!</v>
      </c>
      <c r="AH348" s="974" t="e">
        <f>IF($F348="","",$F348*chronic_consumption!AC348/1000/$C$3)</f>
        <v>#DIV/0!</v>
      </c>
      <c r="AI348" s="974" t="e">
        <f>IF($F348="","",$F348*chronic_consumption!AD348/1000/$C$3)</f>
        <v>#DIV/0!</v>
      </c>
      <c r="AJ348" s="974" t="e">
        <f>IF($F348="","",$F348*chronic_consumption!AE348/1000/$C$3)</f>
        <v>#DIV/0!</v>
      </c>
      <c r="AK348" s="974" t="e">
        <f>IF($F348="","",$F348*chronic_consumption!AF348/1000/$C$3)</f>
        <v>#DIV/0!</v>
      </c>
      <c r="AL348" s="974" t="e">
        <f>IF($F348="","",$F348*chronic_consumption!AG348/1000/$C$3)</f>
        <v>#DIV/0!</v>
      </c>
      <c r="AM348" s="974" t="e">
        <f>IF($F348="","",$F348*chronic_consumption!AH348/1000/$C$3)</f>
        <v>#DIV/0!</v>
      </c>
      <c r="AN348" s="974" t="e">
        <f>IF($F348="","",$F348*chronic_consumption!AI348/1000/$C$3)</f>
        <v>#DIV/0!</v>
      </c>
      <c r="AO348" s="974" t="e">
        <f>IF($F348="","",$F348*chronic_consumption!AJ348/1000/$C$3)</f>
        <v>#DIV/0!</v>
      </c>
      <c r="AP348" s="974" t="e">
        <f>IF($F348="","",$F348*chronic_consumption!AK348/1000/$C$3)</f>
        <v>#DIV/0!</v>
      </c>
      <c r="AQ348" s="974" t="e">
        <f>IF($F348="","",$F348*chronic_consumption!AL348/1000/$C$3)</f>
        <v>#DIV/0!</v>
      </c>
      <c r="AR348" s="974" t="e">
        <f>IF($F348="","",$F348*chronic_consumption!AM348/1000/$C$3)</f>
        <v>#DIV/0!</v>
      </c>
      <c r="AS348" s="974" t="e">
        <f>IF($F348="","",$F348*chronic_consumption!AN348/1000/$C$3)</f>
        <v>#DIV/0!</v>
      </c>
      <c r="AT348" s="974" t="e">
        <f>IF($F348="","",$F348*chronic_consumption!AO348/1000/$C$3)</f>
        <v>#DIV/0!</v>
      </c>
      <c r="AU348" s="974"/>
      <c r="AV348" s="974" t="e">
        <f>IF($F348="","",$F348*chronic_consumption!AQ348/1000/$C$3)</f>
        <v>#DIV/0!</v>
      </c>
      <c r="AW348" s="974" t="e">
        <f>IF($F348="","",$F348*chronic_consumption!AR348/1000/$C$3)</f>
        <v>#DIV/0!</v>
      </c>
      <c r="AX348" s="974" t="e">
        <f>IF($F348="","",$F348*chronic_consumption!AS348/1000/$C$3)</f>
        <v>#DIV/0!</v>
      </c>
      <c r="AY348" s="974" t="e">
        <f>IF($F348="","",$F348*chronic_consumption!AT348/1000/$C$3)</f>
        <v>#DIV/0!</v>
      </c>
      <c r="AZ348" s="973" t="s">
        <v>19</v>
      </c>
      <c r="BA348" s="969" t="e">
        <f t="shared" si="27"/>
        <v>#DIV/0!</v>
      </c>
      <c r="BB348" s="970" t="e">
        <f t="shared" si="28"/>
        <v>#DIV/0!</v>
      </c>
      <c r="BC348" s="971" t="e">
        <f t="shared" ca="1" si="29"/>
        <v>#DIV/0!</v>
      </c>
      <c r="BD348" s="228">
        <f>input_values!Z348</f>
        <v>4</v>
      </c>
      <c r="BE348" s="152">
        <f>input_values!L348</f>
        <v>0</v>
      </c>
      <c r="BF348" s="972" t="str">
        <f t="shared" si="30"/>
        <v/>
      </c>
    </row>
    <row r="349" spans="1:58" ht="12" customHeight="1" outlineLevel="3" x14ac:dyDescent="0.2">
      <c r="A349" s="21">
        <v>4</v>
      </c>
      <c r="B349" s="23">
        <v>1014030</v>
      </c>
      <c r="C349" s="23" t="s">
        <v>199</v>
      </c>
      <c r="D349" s="965">
        <f>Table22[[#This Row],[MRL individual commodity]]</f>
        <v>0</v>
      </c>
      <c r="E349" s="300" t="str">
        <f>Table22[[#This Row],[LOQ_label]]</f>
        <v/>
      </c>
      <c r="F349" s="966">
        <f>Table22[[#This Row],[Chronic RA input value]]</f>
        <v>0</v>
      </c>
      <c r="G349" s="304" t="str">
        <f>Table22[[#This Row],[Chronic RA label]]</f>
        <v/>
      </c>
      <c r="H349" s="304">
        <f>Table22[[#This Row],[GAP under assessment]]</f>
        <v>0</v>
      </c>
      <c r="I349" s="1123"/>
      <c r="J349" s="974" t="e">
        <f>IF($F349="","",$F349*chronic_consumption!$E349/1000/$C$3)</f>
        <v>#DIV/0!</v>
      </c>
      <c r="K349" s="974" t="e">
        <f>IF($F349="","",$F349*chronic_consumption!F349/1000/$C$3)</f>
        <v>#DIV/0!</v>
      </c>
      <c r="L349" s="974" t="e">
        <f>IF($F349="","",$F349*chronic_consumption!G349/1000/$C$3)</f>
        <v>#DIV/0!</v>
      </c>
      <c r="M349" s="974" t="e">
        <f>IF($F349="","",$F349*chronic_consumption!H349/1000/$C$3)</f>
        <v>#DIV/0!</v>
      </c>
      <c r="N349" s="974" t="e">
        <f>IF($F349="","",$F349*chronic_consumption!I349/1000/$C$3)</f>
        <v>#DIV/0!</v>
      </c>
      <c r="O349" s="974" t="e">
        <f>IF($F349="","",$F349*chronic_consumption!J349/1000/$C$3)</f>
        <v>#DIV/0!</v>
      </c>
      <c r="P349" s="974" t="e">
        <f>IF($F349="","",$F349*chronic_consumption!K349/1000/$C$3)</f>
        <v>#DIV/0!</v>
      </c>
      <c r="Q349" s="974" t="e">
        <f>IF($F349="","",$F349*chronic_consumption!L349/1000/$C$3)</f>
        <v>#DIV/0!</v>
      </c>
      <c r="R349" s="974" t="e">
        <f>IF($F349="","",$F349*chronic_consumption!M349/1000/$C$3)</f>
        <v>#DIV/0!</v>
      </c>
      <c r="S349" s="974" t="e">
        <f>IF($F349="","",$F349*chronic_consumption!N349/1000/$C$3)</f>
        <v>#DIV/0!</v>
      </c>
      <c r="T349" s="974" t="e">
        <f>IF($F349="","",$F349*chronic_consumption!O349/1000/$C$3)</f>
        <v>#DIV/0!</v>
      </c>
      <c r="U349" s="974" t="e">
        <f>IF($F349="","",$F349*chronic_consumption!P349/1000/$C$3)</f>
        <v>#DIV/0!</v>
      </c>
      <c r="V349" s="974" t="e">
        <f>IF($F349="","",$F349*chronic_consumption!Q349/1000/$C$3)</f>
        <v>#DIV/0!</v>
      </c>
      <c r="W349" s="974" t="e">
        <f>IF($F349="","",$F349*chronic_consumption!R349/1000/$C$3)</f>
        <v>#DIV/0!</v>
      </c>
      <c r="X349" s="974" t="e">
        <f>IF($F349="","",$F349*chronic_consumption!S349/1000/$C$3)</f>
        <v>#DIV/0!</v>
      </c>
      <c r="Y349" s="974" t="e">
        <f>IF($F349="","",$F349*chronic_consumption!T349/1000/$C$3)</f>
        <v>#DIV/0!</v>
      </c>
      <c r="Z349" s="974" t="e">
        <f>IF($F349="","",$F349*chronic_consumption!U349/1000/$C$3)</f>
        <v>#DIV/0!</v>
      </c>
      <c r="AA349" s="974" t="e">
        <f>IF($F349="","",$F349*chronic_consumption!V349/1000/$C$3)</f>
        <v>#DIV/0!</v>
      </c>
      <c r="AB349" s="974" t="e">
        <f>IF($F349="","",$F349*chronic_consumption!W349/1000/$C$3)</f>
        <v>#DIV/0!</v>
      </c>
      <c r="AC349" s="974" t="e">
        <f>IF($F349="","",$F349*chronic_consumption!X349/1000/$C$3)</f>
        <v>#DIV/0!</v>
      </c>
      <c r="AD349" s="974" t="e">
        <f>IF($F349="","",$F349*chronic_consumption!Y349/1000/$C$3)</f>
        <v>#DIV/0!</v>
      </c>
      <c r="AE349" s="974" t="e">
        <f>IF($F349="","",$F349*chronic_consumption!Z349/1000/$C$3)</f>
        <v>#DIV/0!</v>
      </c>
      <c r="AF349" s="974" t="e">
        <f>IF($F349="","",$F349*chronic_consumption!AA349/1000/$C$3)</f>
        <v>#DIV/0!</v>
      </c>
      <c r="AG349" s="974" t="e">
        <f>IF($F349="","",$F349*chronic_consumption!AB349/1000/$C$3)</f>
        <v>#DIV/0!</v>
      </c>
      <c r="AH349" s="974" t="e">
        <f>IF($F349="","",$F349*chronic_consumption!AC349/1000/$C$3)</f>
        <v>#DIV/0!</v>
      </c>
      <c r="AI349" s="974" t="e">
        <f>IF($F349="","",$F349*chronic_consumption!AD349/1000/$C$3)</f>
        <v>#DIV/0!</v>
      </c>
      <c r="AJ349" s="974" t="e">
        <f>IF($F349="","",$F349*chronic_consumption!AE349/1000/$C$3)</f>
        <v>#DIV/0!</v>
      </c>
      <c r="AK349" s="974" t="e">
        <f>IF($F349="","",$F349*chronic_consumption!AF349/1000/$C$3)</f>
        <v>#DIV/0!</v>
      </c>
      <c r="AL349" s="974" t="e">
        <f>IF($F349="","",$F349*chronic_consumption!AG349/1000/$C$3)</f>
        <v>#DIV/0!</v>
      </c>
      <c r="AM349" s="974" t="e">
        <f>IF($F349="","",$F349*chronic_consumption!AH349/1000/$C$3)</f>
        <v>#DIV/0!</v>
      </c>
      <c r="AN349" s="974" t="e">
        <f>IF($F349="","",$F349*chronic_consumption!AI349/1000/$C$3)</f>
        <v>#DIV/0!</v>
      </c>
      <c r="AO349" s="974" t="e">
        <f>IF($F349="","",$F349*chronic_consumption!AJ349/1000/$C$3)</f>
        <v>#DIV/0!</v>
      </c>
      <c r="AP349" s="974" t="e">
        <f>IF($F349="","",$F349*chronic_consumption!AK349/1000/$C$3)</f>
        <v>#DIV/0!</v>
      </c>
      <c r="AQ349" s="974" t="e">
        <f>IF($F349="","",$F349*chronic_consumption!AL349/1000/$C$3)</f>
        <v>#DIV/0!</v>
      </c>
      <c r="AR349" s="974" t="e">
        <f>IF($F349="","",$F349*chronic_consumption!AM349/1000/$C$3)</f>
        <v>#DIV/0!</v>
      </c>
      <c r="AS349" s="974" t="e">
        <f>IF($F349="","",$F349*chronic_consumption!AN349/1000/$C$3)</f>
        <v>#DIV/0!</v>
      </c>
      <c r="AT349" s="974" t="e">
        <f>IF($F349="","",$F349*chronic_consumption!AO349/1000/$C$3)</f>
        <v>#DIV/0!</v>
      </c>
      <c r="AU349" s="974"/>
      <c r="AV349" s="974" t="e">
        <f>IF($F349="","",$F349*chronic_consumption!AQ349/1000/$C$3)</f>
        <v>#DIV/0!</v>
      </c>
      <c r="AW349" s="974" t="e">
        <f>IF($F349="","",$F349*chronic_consumption!AR349/1000/$C$3)</f>
        <v>#DIV/0!</v>
      </c>
      <c r="AX349" s="974" t="e">
        <f>IF($F349="","",$F349*chronic_consumption!AS349/1000/$C$3)</f>
        <v>#DIV/0!</v>
      </c>
      <c r="AY349" s="974" t="e">
        <f>IF($F349="","",$F349*chronic_consumption!AT349/1000/$C$3)</f>
        <v>#DIV/0!</v>
      </c>
      <c r="AZ349" s="973" t="s">
        <v>19</v>
      </c>
      <c r="BA349" s="969" t="e">
        <f t="shared" si="27"/>
        <v>#DIV/0!</v>
      </c>
      <c r="BB349" s="970" t="e">
        <f t="shared" si="28"/>
        <v>#DIV/0!</v>
      </c>
      <c r="BC349" s="971" t="e">
        <f t="shared" ca="1" si="29"/>
        <v>#DIV/0!</v>
      </c>
      <c r="BD349" s="228">
        <f>input_values!Z349</f>
        <v>4</v>
      </c>
      <c r="BE349" s="152">
        <f>input_values!L349</f>
        <v>0</v>
      </c>
      <c r="BF349" s="972" t="str">
        <f t="shared" si="30"/>
        <v/>
      </c>
    </row>
    <row r="350" spans="1:58" ht="12" customHeight="1" outlineLevel="3" x14ac:dyDescent="0.2">
      <c r="A350" s="21">
        <v>4</v>
      </c>
      <c r="B350" s="23">
        <v>1014040</v>
      </c>
      <c r="C350" s="23" t="s">
        <v>200</v>
      </c>
      <c r="D350" s="965">
        <f>Table22[[#This Row],[MRL individual commodity]]</f>
        <v>0</v>
      </c>
      <c r="E350" s="300" t="str">
        <f>Table22[[#This Row],[LOQ_label]]</f>
        <v/>
      </c>
      <c r="F350" s="966">
        <f>Table22[[#This Row],[Chronic RA input value]]</f>
        <v>0</v>
      </c>
      <c r="G350" s="304" t="str">
        <f>Table22[[#This Row],[Chronic RA label]]</f>
        <v/>
      </c>
      <c r="H350" s="304">
        <f>Table22[[#This Row],[GAP under assessment]]</f>
        <v>0</v>
      </c>
      <c r="I350" s="1123"/>
      <c r="J350" s="974" t="e">
        <f>IF($F350="","",$F350*chronic_consumption!$E350/1000/$C$3)</f>
        <v>#DIV/0!</v>
      </c>
      <c r="K350" s="974" t="e">
        <f>IF($F350="","",$F350*chronic_consumption!F350/1000/$C$3)</f>
        <v>#DIV/0!</v>
      </c>
      <c r="L350" s="974" t="e">
        <f>IF($F350="","",$F350*chronic_consumption!G350/1000/$C$3)</f>
        <v>#DIV/0!</v>
      </c>
      <c r="M350" s="974" t="e">
        <f>IF($F350="","",$F350*chronic_consumption!H350/1000/$C$3)</f>
        <v>#DIV/0!</v>
      </c>
      <c r="N350" s="974" t="e">
        <f>IF($F350="","",$F350*chronic_consumption!I350/1000/$C$3)</f>
        <v>#DIV/0!</v>
      </c>
      <c r="O350" s="974" t="e">
        <f>IF($F350="","",$F350*chronic_consumption!J350/1000/$C$3)</f>
        <v>#DIV/0!</v>
      </c>
      <c r="P350" s="974" t="e">
        <f>IF($F350="","",$F350*chronic_consumption!K350/1000/$C$3)</f>
        <v>#DIV/0!</v>
      </c>
      <c r="Q350" s="974" t="e">
        <f>IF($F350="","",$F350*chronic_consumption!L350/1000/$C$3)</f>
        <v>#DIV/0!</v>
      </c>
      <c r="R350" s="974" t="e">
        <f>IF($F350="","",$F350*chronic_consumption!M350/1000/$C$3)</f>
        <v>#DIV/0!</v>
      </c>
      <c r="S350" s="974" t="e">
        <f>IF($F350="","",$F350*chronic_consumption!N350/1000/$C$3)</f>
        <v>#DIV/0!</v>
      </c>
      <c r="T350" s="974" t="e">
        <f>IF($F350="","",$F350*chronic_consumption!O350/1000/$C$3)</f>
        <v>#DIV/0!</v>
      </c>
      <c r="U350" s="974" t="e">
        <f>IF($F350="","",$F350*chronic_consumption!P350/1000/$C$3)</f>
        <v>#DIV/0!</v>
      </c>
      <c r="V350" s="974" t="e">
        <f>IF($F350="","",$F350*chronic_consumption!Q350/1000/$C$3)</f>
        <v>#DIV/0!</v>
      </c>
      <c r="W350" s="974" t="e">
        <f>IF($F350="","",$F350*chronic_consumption!R350/1000/$C$3)</f>
        <v>#DIV/0!</v>
      </c>
      <c r="X350" s="974" t="e">
        <f>IF($F350="","",$F350*chronic_consumption!S350/1000/$C$3)</f>
        <v>#DIV/0!</v>
      </c>
      <c r="Y350" s="974" t="e">
        <f>IF($F350="","",$F350*chronic_consumption!T350/1000/$C$3)</f>
        <v>#DIV/0!</v>
      </c>
      <c r="Z350" s="974" t="e">
        <f>IF($F350="","",$F350*chronic_consumption!U350/1000/$C$3)</f>
        <v>#DIV/0!</v>
      </c>
      <c r="AA350" s="974" t="e">
        <f>IF($F350="","",$F350*chronic_consumption!V350/1000/$C$3)</f>
        <v>#DIV/0!</v>
      </c>
      <c r="AB350" s="974" t="e">
        <f>IF($F350="","",$F350*chronic_consumption!W350/1000/$C$3)</f>
        <v>#DIV/0!</v>
      </c>
      <c r="AC350" s="974" t="e">
        <f>IF($F350="","",$F350*chronic_consumption!X350/1000/$C$3)</f>
        <v>#DIV/0!</v>
      </c>
      <c r="AD350" s="974" t="e">
        <f>IF($F350="","",$F350*chronic_consumption!Y350/1000/$C$3)</f>
        <v>#DIV/0!</v>
      </c>
      <c r="AE350" s="974" t="e">
        <f>IF($F350="","",$F350*chronic_consumption!Z350/1000/$C$3)</f>
        <v>#DIV/0!</v>
      </c>
      <c r="AF350" s="974" t="e">
        <f>IF($F350="","",$F350*chronic_consumption!AA350/1000/$C$3)</f>
        <v>#DIV/0!</v>
      </c>
      <c r="AG350" s="974" t="e">
        <f>IF($F350="","",$F350*chronic_consumption!AB350/1000/$C$3)</f>
        <v>#DIV/0!</v>
      </c>
      <c r="AH350" s="974" t="e">
        <f>IF($F350="","",$F350*chronic_consumption!AC350/1000/$C$3)</f>
        <v>#DIV/0!</v>
      </c>
      <c r="AI350" s="974" t="e">
        <f>IF($F350="","",$F350*chronic_consumption!AD350/1000/$C$3)</f>
        <v>#DIV/0!</v>
      </c>
      <c r="AJ350" s="974" t="e">
        <f>IF($F350="","",$F350*chronic_consumption!AE350/1000/$C$3)</f>
        <v>#DIV/0!</v>
      </c>
      <c r="AK350" s="974" t="e">
        <f>IF($F350="","",$F350*chronic_consumption!AF350/1000/$C$3)</f>
        <v>#DIV/0!</v>
      </c>
      <c r="AL350" s="974" t="e">
        <f>IF($F350="","",$F350*chronic_consumption!AG350/1000/$C$3)</f>
        <v>#DIV/0!</v>
      </c>
      <c r="AM350" s="974" t="e">
        <f>IF($F350="","",$F350*chronic_consumption!AH350/1000/$C$3)</f>
        <v>#DIV/0!</v>
      </c>
      <c r="AN350" s="974" t="e">
        <f>IF($F350="","",$F350*chronic_consumption!AI350/1000/$C$3)</f>
        <v>#DIV/0!</v>
      </c>
      <c r="AO350" s="974" t="e">
        <f>IF($F350="","",$F350*chronic_consumption!AJ350/1000/$C$3)</f>
        <v>#DIV/0!</v>
      </c>
      <c r="AP350" s="974" t="e">
        <f>IF($F350="","",$F350*chronic_consumption!AK350/1000/$C$3)</f>
        <v>#DIV/0!</v>
      </c>
      <c r="AQ350" s="974" t="e">
        <f>IF($F350="","",$F350*chronic_consumption!AL350/1000/$C$3)</f>
        <v>#DIV/0!</v>
      </c>
      <c r="AR350" s="974" t="e">
        <f>IF($F350="","",$F350*chronic_consumption!AM350/1000/$C$3)</f>
        <v>#DIV/0!</v>
      </c>
      <c r="AS350" s="974" t="e">
        <f>IF($F350="","",$F350*chronic_consumption!AN350/1000/$C$3)</f>
        <v>#DIV/0!</v>
      </c>
      <c r="AT350" s="974" t="e">
        <f>IF($F350="","",$F350*chronic_consumption!AO350/1000/$C$3)</f>
        <v>#DIV/0!</v>
      </c>
      <c r="AU350" s="974"/>
      <c r="AV350" s="974" t="e">
        <f>IF($F350="","",$F350*chronic_consumption!AQ350/1000/$C$3)</f>
        <v>#DIV/0!</v>
      </c>
      <c r="AW350" s="974" t="e">
        <f>IF($F350="","",$F350*chronic_consumption!AR350/1000/$C$3)</f>
        <v>#DIV/0!</v>
      </c>
      <c r="AX350" s="974" t="e">
        <f>IF($F350="","",$F350*chronic_consumption!AS350/1000/$C$3)</f>
        <v>#DIV/0!</v>
      </c>
      <c r="AY350" s="974" t="e">
        <f>IF($F350="","",$F350*chronic_consumption!AT350/1000/$C$3)</f>
        <v>#DIV/0!</v>
      </c>
      <c r="AZ350" s="973" t="s">
        <v>19</v>
      </c>
      <c r="BA350" s="969" t="e">
        <f t="shared" si="27"/>
        <v>#DIV/0!</v>
      </c>
      <c r="BB350" s="970" t="e">
        <f t="shared" si="28"/>
        <v>#DIV/0!</v>
      </c>
      <c r="BC350" s="971" t="e">
        <f t="shared" ca="1" si="29"/>
        <v>#DIV/0!</v>
      </c>
      <c r="BD350" s="228">
        <f>input_values!Z350</f>
        <v>4</v>
      </c>
      <c r="BE350" s="152">
        <f>input_values!L350</f>
        <v>0</v>
      </c>
      <c r="BF350" s="972" t="str">
        <f t="shared" si="30"/>
        <v/>
      </c>
    </row>
    <row r="351" spans="1:58" ht="12" customHeight="1" outlineLevel="3" x14ac:dyDescent="0.2">
      <c r="A351" s="21">
        <v>4</v>
      </c>
      <c r="B351" s="23">
        <v>1014050</v>
      </c>
      <c r="C351" s="23" t="s">
        <v>795</v>
      </c>
      <c r="D351" s="965">
        <f>Table22[[#This Row],[MRL individual commodity]]</f>
        <v>0</v>
      </c>
      <c r="E351" s="300" t="str">
        <f>Table22[[#This Row],[LOQ_label]]</f>
        <v/>
      </c>
      <c r="F351" s="966">
        <f>Table22[[#This Row],[Chronic RA input value]]</f>
        <v>0</v>
      </c>
      <c r="G351" s="304" t="str">
        <f>Table22[[#This Row],[Chronic RA label]]</f>
        <v/>
      </c>
      <c r="H351" s="304">
        <f>Table22[[#This Row],[GAP under assessment]]</f>
        <v>0</v>
      </c>
      <c r="I351" s="1123"/>
      <c r="J351" s="974" t="e">
        <f>IF($F351="","",$F351*chronic_consumption!$E351/1000/$C$3)</f>
        <v>#DIV/0!</v>
      </c>
      <c r="K351" s="974" t="e">
        <f>IF($F351="","",$F351*chronic_consumption!F351/1000/$C$3)</f>
        <v>#DIV/0!</v>
      </c>
      <c r="L351" s="974" t="e">
        <f>IF($F351="","",$F351*chronic_consumption!G351/1000/$C$3)</f>
        <v>#DIV/0!</v>
      </c>
      <c r="M351" s="974" t="e">
        <f>IF($F351="","",$F351*chronic_consumption!H351/1000/$C$3)</f>
        <v>#DIV/0!</v>
      </c>
      <c r="N351" s="974" t="e">
        <f>IF($F351="","",$F351*chronic_consumption!I351/1000/$C$3)</f>
        <v>#DIV/0!</v>
      </c>
      <c r="O351" s="974" t="e">
        <f>IF($F351="","",$F351*chronic_consumption!J351/1000/$C$3)</f>
        <v>#DIV/0!</v>
      </c>
      <c r="P351" s="974" t="e">
        <f>IF($F351="","",$F351*chronic_consumption!K351/1000/$C$3)</f>
        <v>#DIV/0!</v>
      </c>
      <c r="Q351" s="974" t="e">
        <f>IF($F351="","",$F351*chronic_consumption!L351/1000/$C$3)</f>
        <v>#DIV/0!</v>
      </c>
      <c r="R351" s="974" t="e">
        <f>IF($F351="","",$F351*chronic_consumption!M351/1000/$C$3)</f>
        <v>#DIV/0!</v>
      </c>
      <c r="S351" s="974" t="e">
        <f>IF($F351="","",$F351*chronic_consumption!N351/1000/$C$3)</f>
        <v>#DIV/0!</v>
      </c>
      <c r="T351" s="974" t="e">
        <f>IF($F351="","",$F351*chronic_consumption!O351/1000/$C$3)</f>
        <v>#DIV/0!</v>
      </c>
      <c r="U351" s="974" t="e">
        <f>IF($F351="","",$F351*chronic_consumption!P351/1000/$C$3)</f>
        <v>#DIV/0!</v>
      </c>
      <c r="V351" s="974" t="e">
        <f>IF($F351="","",$F351*chronic_consumption!Q351/1000/$C$3)</f>
        <v>#DIV/0!</v>
      </c>
      <c r="W351" s="974" t="e">
        <f>IF($F351="","",$F351*chronic_consumption!R351/1000/$C$3)</f>
        <v>#DIV/0!</v>
      </c>
      <c r="X351" s="974" t="e">
        <f>IF($F351="","",$F351*chronic_consumption!S351/1000/$C$3)</f>
        <v>#DIV/0!</v>
      </c>
      <c r="Y351" s="974" t="e">
        <f>IF($F351="","",$F351*chronic_consumption!T351/1000/$C$3)</f>
        <v>#DIV/0!</v>
      </c>
      <c r="Z351" s="974" t="e">
        <f>IF($F351="","",$F351*chronic_consumption!U351/1000/$C$3)</f>
        <v>#DIV/0!</v>
      </c>
      <c r="AA351" s="974" t="e">
        <f>IF($F351="","",$F351*chronic_consumption!V351/1000/$C$3)</f>
        <v>#DIV/0!</v>
      </c>
      <c r="AB351" s="974" t="e">
        <f>IF($F351="","",$F351*chronic_consumption!W351/1000/$C$3)</f>
        <v>#DIV/0!</v>
      </c>
      <c r="AC351" s="974" t="e">
        <f>IF($F351="","",$F351*chronic_consumption!X351/1000/$C$3)</f>
        <v>#DIV/0!</v>
      </c>
      <c r="AD351" s="974" t="e">
        <f>IF($F351="","",$F351*chronic_consumption!Y351/1000/$C$3)</f>
        <v>#DIV/0!</v>
      </c>
      <c r="AE351" s="974" t="e">
        <f>IF($F351="","",$F351*chronic_consumption!Z351/1000/$C$3)</f>
        <v>#DIV/0!</v>
      </c>
      <c r="AF351" s="974" t="e">
        <f>IF($F351="","",$F351*chronic_consumption!AA351/1000/$C$3)</f>
        <v>#DIV/0!</v>
      </c>
      <c r="AG351" s="974" t="e">
        <f>IF($F351="","",$F351*chronic_consumption!AB351/1000/$C$3)</f>
        <v>#DIV/0!</v>
      </c>
      <c r="AH351" s="974" t="e">
        <f>IF($F351="","",$F351*chronic_consumption!AC351/1000/$C$3)</f>
        <v>#DIV/0!</v>
      </c>
      <c r="AI351" s="974" t="e">
        <f>IF($F351="","",$F351*chronic_consumption!AD351/1000/$C$3)</f>
        <v>#DIV/0!</v>
      </c>
      <c r="AJ351" s="974" t="e">
        <f>IF($F351="","",$F351*chronic_consumption!AE351/1000/$C$3)</f>
        <v>#DIV/0!</v>
      </c>
      <c r="AK351" s="974" t="e">
        <f>IF($F351="","",$F351*chronic_consumption!AF351/1000/$C$3)</f>
        <v>#DIV/0!</v>
      </c>
      <c r="AL351" s="974" t="e">
        <f>IF($F351="","",$F351*chronic_consumption!AG351/1000/$C$3)</f>
        <v>#DIV/0!</v>
      </c>
      <c r="AM351" s="974" t="e">
        <f>IF($F351="","",$F351*chronic_consumption!AH351/1000/$C$3)</f>
        <v>#DIV/0!</v>
      </c>
      <c r="AN351" s="974" t="e">
        <f>IF($F351="","",$F351*chronic_consumption!AI351/1000/$C$3)</f>
        <v>#DIV/0!</v>
      </c>
      <c r="AO351" s="974" t="e">
        <f>IF($F351="","",$F351*chronic_consumption!AJ351/1000/$C$3)</f>
        <v>#DIV/0!</v>
      </c>
      <c r="AP351" s="974" t="e">
        <f>IF($F351="","",$F351*chronic_consumption!AK351/1000/$C$3)</f>
        <v>#DIV/0!</v>
      </c>
      <c r="AQ351" s="974" t="e">
        <f>IF($F351="","",$F351*chronic_consumption!AL351/1000/$C$3)</f>
        <v>#DIV/0!</v>
      </c>
      <c r="AR351" s="974" t="e">
        <f>IF($F351="","",$F351*chronic_consumption!AM351/1000/$C$3)</f>
        <v>#DIV/0!</v>
      </c>
      <c r="AS351" s="974" t="e">
        <f>IF($F351="","",$F351*chronic_consumption!AN351/1000/$C$3)</f>
        <v>#DIV/0!</v>
      </c>
      <c r="AT351" s="974" t="e">
        <f>IF($F351="","",$F351*chronic_consumption!AO351/1000/$C$3)</f>
        <v>#DIV/0!</v>
      </c>
      <c r="AU351" s="974"/>
      <c r="AV351" s="974" t="e">
        <f>IF($F351="","",$F351*chronic_consumption!AQ351/1000/$C$3)</f>
        <v>#DIV/0!</v>
      </c>
      <c r="AW351" s="974" t="e">
        <f>IF($F351="","",$F351*chronic_consumption!AR351/1000/$C$3)</f>
        <v>#DIV/0!</v>
      </c>
      <c r="AX351" s="974" t="e">
        <f>IF($F351="","",$F351*chronic_consumption!AS351/1000/$C$3)</f>
        <v>#DIV/0!</v>
      </c>
      <c r="AY351" s="974" t="e">
        <f>IF($F351="","",$F351*chronic_consumption!AT351/1000/$C$3)</f>
        <v>#DIV/0!</v>
      </c>
      <c r="AZ351" s="973" t="s">
        <v>19</v>
      </c>
      <c r="BA351" s="969" t="e">
        <f t="shared" si="27"/>
        <v>#DIV/0!</v>
      </c>
      <c r="BB351" s="970" t="e">
        <f t="shared" si="28"/>
        <v>#DIV/0!</v>
      </c>
      <c r="BC351" s="971" t="e">
        <f t="shared" ca="1" si="29"/>
        <v>#DIV/0!</v>
      </c>
      <c r="BD351" s="228">
        <f>input_values!Z351</f>
        <v>4</v>
      </c>
      <c r="BE351" s="152">
        <f>input_values!L351</f>
        <v>0</v>
      </c>
      <c r="BF351" s="972" t="str">
        <f t="shared" si="30"/>
        <v/>
      </c>
    </row>
    <row r="352" spans="1:58" ht="12" customHeight="1" outlineLevel="3" x14ac:dyDescent="0.2">
      <c r="A352" s="21">
        <v>4</v>
      </c>
      <c r="B352" s="23">
        <v>1014990</v>
      </c>
      <c r="C352" s="23" t="s">
        <v>637</v>
      </c>
      <c r="D352" s="965">
        <f>Table22[[#This Row],[MRL individual commodity]]</f>
        <v>0</v>
      </c>
      <c r="E352" s="300" t="str">
        <f>Table22[[#This Row],[LOQ_label]]</f>
        <v/>
      </c>
      <c r="F352" s="966">
        <f>Table22[[#This Row],[Chronic RA input value]]</f>
        <v>0</v>
      </c>
      <c r="G352" s="304" t="str">
        <f>Table22[[#This Row],[Chronic RA label]]</f>
        <v/>
      </c>
      <c r="H352" s="304">
        <f>Table22[[#This Row],[GAP under assessment]]</f>
        <v>0</v>
      </c>
      <c r="I352" s="1123"/>
      <c r="J352" s="974" t="e">
        <f>IF($F352="","",$F352*chronic_consumption!$E352/1000/$C$3)</f>
        <v>#DIV/0!</v>
      </c>
      <c r="K352" s="974" t="e">
        <f>IF($F352="","",$F352*chronic_consumption!F352/1000/$C$3)</f>
        <v>#DIV/0!</v>
      </c>
      <c r="L352" s="974" t="e">
        <f>IF($F352="","",$F352*chronic_consumption!G352/1000/$C$3)</f>
        <v>#DIV/0!</v>
      </c>
      <c r="M352" s="974" t="e">
        <f>IF($F352="","",$F352*chronic_consumption!H352/1000/$C$3)</f>
        <v>#DIV/0!</v>
      </c>
      <c r="N352" s="974" t="e">
        <f>IF($F352="","",$F352*chronic_consumption!I352/1000/$C$3)</f>
        <v>#DIV/0!</v>
      </c>
      <c r="O352" s="974" t="e">
        <f>IF($F352="","",$F352*chronic_consumption!J352/1000/$C$3)</f>
        <v>#DIV/0!</v>
      </c>
      <c r="P352" s="974" t="e">
        <f>IF($F352="","",$F352*chronic_consumption!K352/1000/$C$3)</f>
        <v>#DIV/0!</v>
      </c>
      <c r="Q352" s="974" t="e">
        <f>IF($F352="","",$F352*chronic_consumption!L352/1000/$C$3)</f>
        <v>#DIV/0!</v>
      </c>
      <c r="R352" s="974" t="e">
        <f>IF($F352="","",$F352*chronic_consumption!M352/1000/$C$3)</f>
        <v>#DIV/0!</v>
      </c>
      <c r="S352" s="974" t="e">
        <f>IF($F352="","",$F352*chronic_consumption!N352/1000/$C$3)</f>
        <v>#DIV/0!</v>
      </c>
      <c r="T352" s="974" t="e">
        <f>IF($F352="","",$F352*chronic_consumption!O352/1000/$C$3)</f>
        <v>#DIV/0!</v>
      </c>
      <c r="U352" s="974" t="e">
        <f>IF($F352="","",$F352*chronic_consumption!P352/1000/$C$3)</f>
        <v>#DIV/0!</v>
      </c>
      <c r="V352" s="974" t="e">
        <f>IF($F352="","",$F352*chronic_consumption!Q352/1000/$C$3)</f>
        <v>#DIV/0!</v>
      </c>
      <c r="W352" s="974" t="e">
        <f>IF($F352="","",$F352*chronic_consumption!R352/1000/$C$3)</f>
        <v>#DIV/0!</v>
      </c>
      <c r="X352" s="974" t="e">
        <f>IF($F352="","",$F352*chronic_consumption!S352/1000/$C$3)</f>
        <v>#DIV/0!</v>
      </c>
      <c r="Y352" s="974" t="e">
        <f>IF($F352="","",$F352*chronic_consumption!T352/1000/$C$3)</f>
        <v>#DIV/0!</v>
      </c>
      <c r="Z352" s="974" t="e">
        <f>IF($F352="","",$F352*chronic_consumption!U352/1000/$C$3)</f>
        <v>#DIV/0!</v>
      </c>
      <c r="AA352" s="974" t="e">
        <f>IF($F352="","",$F352*chronic_consumption!V352/1000/$C$3)</f>
        <v>#DIV/0!</v>
      </c>
      <c r="AB352" s="974" t="e">
        <f>IF($F352="","",$F352*chronic_consumption!W352/1000/$C$3)</f>
        <v>#DIV/0!</v>
      </c>
      <c r="AC352" s="974" t="e">
        <f>IF($F352="","",$F352*chronic_consumption!X352/1000/$C$3)</f>
        <v>#DIV/0!</v>
      </c>
      <c r="AD352" s="974" t="e">
        <f>IF($F352="","",$F352*chronic_consumption!Y352/1000/$C$3)</f>
        <v>#DIV/0!</v>
      </c>
      <c r="AE352" s="974" t="e">
        <f>IF($F352="","",$F352*chronic_consumption!Z352/1000/$C$3)</f>
        <v>#DIV/0!</v>
      </c>
      <c r="AF352" s="974" t="e">
        <f>IF($F352="","",$F352*chronic_consumption!AA352/1000/$C$3)</f>
        <v>#DIV/0!</v>
      </c>
      <c r="AG352" s="974" t="e">
        <f>IF($F352="","",$F352*chronic_consumption!AB352/1000/$C$3)</f>
        <v>#DIV/0!</v>
      </c>
      <c r="AH352" s="974" t="e">
        <f>IF($F352="","",$F352*chronic_consumption!AC352/1000/$C$3)</f>
        <v>#DIV/0!</v>
      </c>
      <c r="AI352" s="974" t="e">
        <f>IF($F352="","",$F352*chronic_consumption!AD352/1000/$C$3)</f>
        <v>#DIV/0!</v>
      </c>
      <c r="AJ352" s="974" t="e">
        <f>IF($F352="","",$F352*chronic_consumption!AE352/1000/$C$3)</f>
        <v>#DIV/0!</v>
      </c>
      <c r="AK352" s="974" t="e">
        <f>IF($F352="","",$F352*chronic_consumption!AF352/1000/$C$3)</f>
        <v>#DIV/0!</v>
      </c>
      <c r="AL352" s="974" t="e">
        <f>IF($F352="","",$F352*chronic_consumption!AG352/1000/$C$3)</f>
        <v>#DIV/0!</v>
      </c>
      <c r="AM352" s="974" t="e">
        <f>IF($F352="","",$F352*chronic_consumption!AH352/1000/$C$3)</f>
        <v>#DIV/0!</v>
      </c>
      <c r="AN352" s="974" t="e">
        <f>IF($F352="","",$F352*chronic_consumption!AI352/1000/$C$3)</f>
        <v>#DIV/0!</v>
      </c>
      <c r="AO352" s="974" t="e">
        <f>IF($F352="","",$F352*chronic_consumption!AJ352/1000/$C$3)</f>
        <v>#DIV/0!</v>
      </c>
      <c r="AP352" s="974" t="e">
        <f>IF($F352="","",$F352*chronic_consumption!AK352/1000/$C$3)</f>
        <v>#DIV/0!</v>
      </c>
      <c r="AQ352" s="974" t="e">
        <f>IF($F352="","",$F352*chronic_consumption!AL352/1000/$C$3)</f>
        <v>#DIV/0!</v>
      </c>
      <c r="AR352" s="974" t="e">
        <f>IF($F352="","",$F352*chronic_consumption!AM352/1000/$C$3)</f>
        <v>#DIV/0!</v>
      </c>
      <c r="AS352" s="974" t="e">
        <f>IF($F352="","",$F352*chronic_consumption!AN352/1000/$C$3)</f>
        <v>#DIV/0!</v>
      </c>
      <c r="AT352" s="974" t="e">
        <f>IF($F352="","",$F352*chronic_consumption!AO352/1000/$C$3)</f>
        <v>#DIV/0!</v>
      </c>
      <c r="AU352" s="974"/>
      <c r="AV352" s="974" t="e">
        <f>IF($F352="","",$F352*chronic_consumption!AQ352/1000/$C$3)</f>
        <v>#DIV/0!</v>
      </c>
      <c r="AW352" s="974" t="e">
        <f>IF($F352="","",$F352*chronic_consumption!AR352/1000/$C$3)</f>
        <v>#DIV/0!</v>
      </c>
      <c r="AX352" s="974" t="e">
        <f>IF($F352="","",$F352*chronic_consumption!AS352/1000/$C$3)</f>
        <v>#DIV/0!</v>
      </c>
      <c r="AY352" s="974" t="e">
        <f>IF($F352="","",$F352*chronic_consumption!AT352/1000/$C$3)</f>
        <v>#DIV/0!</v>
      </c>
      <c r="AZ352" s="973" t="s">
        <v>19</v>
      </c>
      <c r="BA352" s="969" t="e">
        <f t="shared" si="27"/>
        <v>#DIV/0!</v>
      </c>
      <c r="BB352" s="970" t="e">
        <f t="shared" si="28"/>
        <v>#DIV/0!</v>
      </c>
      <c r="BC352" s="971" t="e">
        <f t="shared" ca="1" si="29"/>
        <v>#DIV/0!</v>
      </c>
      <c r="BD352" s="228">
        <f>input_values!Z352</f>
        <v>4</v>
      </c>
      <c r="BE352" s="152">
        <f>input_values!L352</f>
        <v>0</v>
      </c>
      <c r="BF352" s="972" t="str">
        <f t="shared" si="30"/>
        <v/>
      </c>
    </row>
    <row r="353" spans="1:58" ht="12" customHeight="1" outlineLevel="2" x14ac:dyDescent="0.2">
      <c r="A353" s="353">
        <v>3</v>
      </c>
      <c r="B353" s="5">
        <v>1015000</v>
      </c>
      <c r="C353" s="5" t="s">
        <v>796</v>
      </c>
      <c r="D353" s="965">
        <f>Table22[[#This Row],[MRL individual commodity]]</f>
        <v>0</v>
      </c>
      <c r="E353" s="300">
        <f>Table22[[#This Row],[LOQ_label]]</f>
        <v>0</v>
      </c>
      <c r="F353" s="966">
        <f>Table22[[#This Row],[Chronic RA input value]]</f>
        <v>0</v>
      </c>
      <c r="G353" s="304">
        <f>Table22[[#This Row],[Chronic RA label]]</f>
        <v>0</v>
      </c>
      <c r="H353" s="304">
        <f>Table22[[#This Row],[GAP under assessment]]</f>
        <v>0</v>
      </c>
      <c r="I353" s="1123"/>
      <c r="J353" s="967" t="e">
        <f>IF($F353="","",$F353*chronic_consumption!$E353/1000/$C$3)</f>
        <v>#DIV/0!</v>
      </c>
      <c r="K353" s="967" t="e">
        <f>IF($F353="","",$F353*chronic_consumption!F353/1000/$C$3)</f>
        <v>#DIV/0!</v>
      </c>
      <c r="L353" s="967" t="e">
        <f>IF($F353="","",$F353*chronic_consumption!G353/1000/$C$3)</f>
        <v>#DIV/0!</v>
      </c>
      <c r="M353" s="967" t="e">
        <f>IF($F353="","",$F353*chronic_consumption!H353/1000/$C$3)</f>
        <v>#DIV/0!</v>
      </c>
      <c r="N353" s="967" t="e">
        <f>IF($F353="","",$F353*chronic_consumption!I353/1000/$C$3)</f>
        <v>#DIV/0!</v>
      </c>
      <c r="O353" s="967" t="e">
        <f>IF($F353="","",$F353*chronic_consumption!J353/1000/$C$3)</f>
        <v>#DIV/0!</v>
      </c>
      <c r="P353" s="967" t="e">
        <f>IF($F353="","",$F353*chronic_consumption!K353/1000/$C$3)</f>
        <v>#DIV/0!</v>
      </c>
      <c r="Q353" s="967" t="e">
        <f>IF($F353="","",$F353*chronic_consumption!L353/1000/$C$3)</f>
        <v>#DIV/0!</v>
      </c>
      <c r="R353" s="967" t="e">
        <f>IF($F353="","",$F353*chronic_consumption!M353/1000/$C$3)</f>
        <v>#DIV/0!</v>
      </c>
      <c r="S353" s="967" t="e">
        <f>IF($F353="","",$F353*chronic_consumption!N353/1000/$C$3)</f>
        <v>#DIV/0!</v>
      </c>
      <c r="T353" s="967" t="e">
        <f>IF($F353="","",$F353*chronic_consumption!O353/1000/$C$3)</f>
        <v>#DIV/0!</v>
      </c>
      <c r="U353" s="967" t="e">
        <f>IF($F353="","",$F353*chronic_consumption!P353/1000/$C$3)</f>
        <v>#DIV/0!</v>
      </c>
      <c r="V353" s="967" t="e">
        <f>IF($F353="","",$F353*chronic_consumption!Q353/1000/$C$3)</f>
        <v>#DIV/0!</v>
      </c>
      <c r="W353" s="967" t="e">
        <f>IF($F353="","",$F353*chronic_consumption!R353/1000/$C$3)</f>
        <v>#DIV/0!</v>
      </c>
      <c r="X353" s="967" t="e">
        <f>IF($F353="","",$F353*chronic_consumption!S353/1000/$C$3)</f>
        <v>#DIV/0!</v>
      </c>
      <c r="Y353" s="967" t="e">
        <f>IF($F353="","",$F353*chronic_consumption!T353/1000/$C$3)</f>
        <v>#DIV/0!</v>
      </c>
      <c r="Z353" s="967" t="e">
        <f>IF($F353="","",$F353*chronic_consumption!U353/1000/$C$3)</f>
        <v>#DIV/0!</v>
      </c>
      <c r="AA353" s="967" t="e">
        <f>IF($F353="","",$F353*chronic_consumption!V353/1000/$C$3)</f>
        <v>#DIV/0!</v>
      </c>
      <c r="AB353" s="967" t="e">
        <f>IF($F353="","",$F353*chronic_consumption!W353/1000/$C$3)</f>
        <v>#DIV/0!</v>
      </c>
      <c r="AC353" s="967" t="e">
        <f>IF($F353="","",$F353*chronic_consumption!X353/1000/$C$3)</f>
        <v>#DIV/0!</v>
      </c>
      <c r="AD353" s="967" t="e">
        <f>IF($F353="","",$F353*chronic_consumption!Y353/1000/$C$3)</f>
        <v>#DIV/0!</v>
      </c>
      <c r="AE353" s="967" t="e">
        <f>IF($F353="","",$F353*chronic_consumption!Z353/1000/$C$3)</f>
        <v>#DIV/0!</v>
      </c>
      <c r="AF353" s="967" t="e">
        <f>IF($F353="","",$F353*chronic_consumption!AA353/1000/$C$3)</f>
        <v>#DIV/0!</v>
      </c>
      <c r="AG353" s="967" t="e">
        <f>IF($F353="","",$F353*chronic_consumption!AB353/1000/$C$3)</f>
        <v>#DIV/0!</v>
      </c>
      <c r="AH353" s="967" t="e">
        <f>IF($F353="","",$F353*chronic_consumption!AC353/1000/$C$3)</f>
        <v>#DIV/0!</v>
      </c>
      <c r="AI353" s="967" t="e">
        <f>IF($F353="","",$F353*chronic_consumption!AD353/1000/$C$3)</f>
        <v>#DIV/0!</v>
      </c>
      <c r="AJ353" s="967" t="e">
        <f>IF($F353="","",$F353*chronic_consumption!AE353/1000/$C$3)</f>
        <v>#DIV/0!</v>
      </c>
      <c r="AK353" s="967" t="e">
        <f>IF($F353="","",$F353*chronic_consumption!AF353/1000/$C$3)</f>
        <v>#DIV/0!</v>
      </c>
      <c r="AL353" s="967" t="e">
        <f>IF($F353="","",$F353*chronic_consumption!AG353/1000/$C$3)</f>
        <v>#DIV/0!</v>
      </c>
      <c r="AM353" s="967" t="e">
        <f>IF($F353="","",$F353*chronic_consumption!AH353/1000/$C$3)</f>
        <v>#DIV/0!</v>
      </c>
      <c r="AN353" s="967" t="e">
        <f>IF($F353="","",$F353*chronic_consumption!AI353/1000/$C$3)</f>
        <v>#DIV/0!</v>
      </c>
      <c r="AO353" s="967" t="e">
        <f>IF($F353="","",$F353*chronic_consumption!AJ353/1000/$C$3)</f>
        <v>#DIV/0!</v>
      </c>
      <c r="AP353" s="967" t="e">
        <f>IF($F353="","",$F353*chronic_consumption!AK353/1000/$C$3)</f>
        <v>#DIV/0!</v>
      </c>
      <c r="AQ353" s="967" t="e">
        <f>IF($F353="","",$F353*chronic_consumption!AL353/1000/$C$3)</f>
        <v>#DIV/0!</v>
      </c>
      <c r="AR353" s="967" t="e">
        <f>IF($F353="","",$F353*chronic_consumption!AM353/1000/$C$3)</f>
        <v>#DIV/0!</v>
      </c>
      <c r="AS353" s="967" t="e">
        <f>IF($F353="","",$F353*chronic_consumption!AN353/1000/$C$3)</f>
        <v>#DIV/0!</v>
      </c>
      <c r="AT353" s="967" t="e">
        <f>IF($F353="","",$F353*chronic_consumption!AO353/1000/$C$3)</f>
        <v>#DIV/0!</v>
      </c>
      <c r="AU353" s="967"/>
      <c r="AV353" s="967" t="e">
        <f>IF($F353="","",$F353*chronic_consumption!AQ353/1000/$C$3)</f>
        <v>#DIV/0!</v>
      </c>
      <c r="AW353" s="967" t="e">
        <f>IF($F353="","",$F353*chronic_consumption!AR353/1000/$C$3)</f>
        <v>#DIV/0!</v>
      </c>
      <c r="AX353" s="967" t="e">
        <f>IF($F353="","",$F353*chronic_consumption!AS353/1000/$C$3)</f>
        <v>#DIV/0!</v>
      </c>
      <c r="AY353" s="967" t="e">
        <f>IF($F353="","",$F353*chronic_consumption!AT353/1000/$C$3)</f>
        <v>#DIV/0!</v>
      </c>
      <c r="AZ353" s="973"/>
      <c r="BA353" s="969" t="e">
        <f t="shared" si="27"/>
        <v>#DIV/0!</v>
      </c>
      <c r="BB353" s="970" t="e">
        <f t="shared" si="28"/>
        <v>#DIV/0!</v>
      </c>
      <c r="BC353" s="971" t="e">
        <f t="shared" ca="1" si="29"/>
        <v>#DIV/0!</v>
      </c>
      <c r="BD353" s="228">
        <f>input_values!Z353</f>
        <v>4</v>
      </c>
      <c r="BE353" s="152">
        <f>input_values!L353</f>
        <v>0</v>
      </c>
      <c r="BF353" s="972" t="str">
        <f t="shared" si="30"/>
        <v/>
      </c>
    </row>
    <row r="354" spans="1:58" ht="12" customHeight="1" outlineLevel="3" x14ac:dyDescent="0.2">
      <c r="A354" s="21">
        <v>4</v>
      </c>
      <c r="B354" s="23">
        <v>1015010</v>
      </c>
      <c r="C354" s="23" t="s">
        <v>866</v>
      </c>
      <c r="D354" s="965">
        <f>Table22[[#This Row],[MRL individual commodity]]</f>
        <v>0</v>
      </c>
      <c r="E354" s="300" t="str">
        <f>Table22[[#This Row],[LOQ_label]]</f>
        <v/>
      </c>
      <c r="F354" s="966">
        <f>Table22[[#This Row],[Chronic RA input value]]</f>
        <v>0</v>
      </c>
      <c r="G354" s="304" t="str">
        <f>Table22[[#This Row],[Chronic RA label]]</f>
        <v/>
      </c>
      <c r="H354" s="304">
        <f>Table22[[#This Row],[GAP under assessment]]</f>
        <v>0</v>
      </c>
      <c r="I354" s="1123"/>
      <c r="J354" s="974" t="e">
        <f>IF($F354="","",$F354*chronic_consumption!$E354/1000/$C$3)</f>
        <v>#DIV/0!</v>
      </c>
      <c r="K354" s="974" t="e">
        <f>IF($F354="","",$F354*chronic_consumption!F354/1000/$C$3)</f>
        <v>#DIV/0!</v>
      </c>
      <c r="L354" s="974" t="e">
        <f>IF($F354="","",$F354*chronic_consumption!G354/1000/$C$3)</f>
        <v>#DIV/0!</v>
      </c>
      <c r="M354" s="974" t="e">
        <f>IF($F354="","",$F354*chronic_consumption!H354/1000/$C$3)</f>
        <v>#DIV/0!</v>
      </c>
      <c r="N354" s="974" t="e">
        <f>IF($F354="","",$F354*chronic_consumption!I354/1000/$C$3)</f>
        <v>#DIV/0!</v>
      </c>
      <c r="O354" s="974" t="e">
        <f>IF($F354="","",$F354*chronic_consumption!J354/1000/$C$3)</f>
        <v>#DIV/0!</v>
      </c>
      <c r="P354" s="974" t="e">
        <f>IF($F354="","",$F354*chronic_consumption!K354/1000/$C$3)</f>
        <v>#DIV/0!</v>
      </c>
      <c r="Q354" s="974" t="e">
        <f>IF($F354="","",$F354*chronic_consumption!L354/1000/$C$3)</f>
        <v>#DIV/0!</v>
      </c>
      <c r="R354" s="974" t="e">
        <f>IF($F354="","",$F354*chronic_consumption!M354/1000/$C$3)</f>
        <v>#DIV/0!</v>
      </c>
      <c r="S354" s="974" t="e">
        <f>IF($F354="","",$F354*chronic_consumption!N354/1000/$C$3)</f>
        <v>#DIV/0!</v>
      </c>
      <c r="T354" s="974" t="e">
        <f>IF($F354="","",$F354*chronic_consumption!O354/1000/$C$3)</f>
        <v>#DIV/0!</v>
      </c>
      <c r="U354" s="974" t="e">
        <f>IF($F354="","",$F354*chronic_consumption!P354/1000/$C$3)</f>
        <v>#DIV/0!</v>
      </c>
      <c r="V354" s="974" t="e">
        <f>IF($F354="","",$F354*chronic_consumption!Q354/1000/$C$3)</f>
        <v>#DIV/0!</v>
      </c>
      <c r="W354" s="974" t="e">
        <f>IF($F354="","",$F354*chronic_consumption!R354/1000/$C$3)</f>
        <v>#DIV/0!</v>
      </c>
      <c r="X354" s="974" t="e">
        <f>IF($F354="","",$F354*chronic_consumption!S354/1000/$C$3)</f>
        <v>#DIV/0!</v>
      </c>
      <c r="Y354" s="974" t="e">
        <f>IF($F354="","",$F354*chronic_consumption!T354/1000/$C$3)</f>
        <v>#DIV/0!</v>
      </c>
      <c r="Z354" s="974" t="e">
        <f>IF($F354="","",$F354*chronic_consumption!U354/1000/$C$3)</f>
        <v>#DIV/0!</v>
      </c>
      <c r="AA354" s="974" t="e">
        <f>IF($F354="","",$F354*chronic_consumption!V354/1000/$C$3)</f>
        <v>#DIV/0!</v>
      </c>
      <c r="AB354" s="974" t="e">
        <f>IF($F354="","",$F354*chronic_consumption!W354/1000/$C$3)</f>
        <v>#DIV/0!</v>
      </c>
      <c r="AC354" s="974" t="e">
        <f>IF($F354="","",$F354*chronic_consumption!X354/1000/$C$3)</f>
        <v>#DIV/0!</v>
      </c>
      <c r="AD354" s="974" t="e">
        <f>IF($F354="","",$F354*chronic_consumption!Y354/1000/$C$3)</f>
        <v>#DIV/0!</v>
      </c>
      <c r="AE354" s="974" t="e">
        <f>IF($F354="","",$F354*chronic_consumption!Z354/1000/$C$3)</f>
        <v>#DIV/0!</v>
      </c>
      <c r="AF354" s="974" t="e">
        <f>IF($F354="","",$F354*chronic_consumption!AA354/1000/$C$3)</f>
        <v>#DIV/0!</v>
      </c>
      <c r="AG354" s="974" t="e">
        <f>IF($F354="","",$F354*chronic_consumption!AB354/1000/$C$3)</f>
        <v>#DIV/0!</v>
      </c>
      <c r="AH354" s="974" t="e">
        <f>IF($F354="","",$F354*chronic_consumption!AC354/1000/$C$3)</f>
        <v>#DIV/0!</v>
      </c>
      <c r="AI354" s="974" t="e">
        <f>IF($F354="","",$F354*chronic_consumption!AD354/1000/$C$3)</f>
        <v>#DIV/0!</v>
      </c>
      <c r="AJ354" s="974" t="e">
        <f>IF($F354="","",$F354*chronic_consumption!AE354/1000/$C$3)</f>
        <v>#DIV/0!</v>
      </c>
      <c r="AK354" s="974" t="e">
        <f>IF($F354="","",$F354*chronic_consumption!AF354/1000/$C$3)</f>
        <v>#DIV/0!</v>
      </c>
      <c r="AL354" s="974" t="e">
        <f>IF($F354="","",$F354*chronic_consumption!AG354/1000/$C$3)</f>
        <v>#DIV/0!</v>
      </c>
      <c r="AM354" s="974" t="e">
        <f>IF($F354="","",$F354*chronic_consumption!AH354/1000/$C$3)</f>
        <v>#DIV/0!</v>
      </c>
      <c r="AN354" s="974" t="e">
        <f>IF($F354="","",$F354*chronic_consumption!AI354/1000/$C$3)</f>
        <v>#DIV/0!</v>
      </c>
      <c r="AO354" s="974" t="e">
        <f>IF($F354="","",$F354*chronic_consumption!AJ354/1000/$C$3)</f>
        <v>#DIV/0!</v>
      </c>
      <c r="AP354" s="974" t="e">
        <f>IF($F354="","",$F354*chronic_consumption!AK354/1000/$C$3)</f>
        <v>#DIV/0!</v>
      </c>
      <c r="AQ354" s="974" t="e">
        <f>IF($F354="","",$F354*chronic_consumption!AL354/1000/$C$3)</f>
        <v>#DIV/0!</v>
      </c>
      <c r="AR354" s="974" t="e">
        <f>IF($F354="","",$F354*chronic_consumption!AM354/1000/$C$3)</f>
        <v>#DIV/0!</v>
      </c>
      <c r="AS354" s="974" t="e">
        <f>IF($F354="","",$F354*chronic_consumption!AN354/1000/$C$3)</f>
        <v>#DIV/0!</v>
      </c>
      <c r="AT354" s="974" t="e">
        <f>IF($F354="","",$F354*chronic_consumption!AO354/1000/$C$3)</f>
        <v>#DIV/0!</v>
      </c>
      <c r="AU354" s="974"/>
      <c r="AV354" s="974" t="e">
        <f>IF($F354="","",$F354*chronic_consumption!AQ354/1000/$C$3)</f>
        <v>#DIV/0!</v>
      </c>
      <c r="AW354" s="974" t="e">
        <f>IF($F354="","",$F354*chronic_consumption!AR354/1000/$C$3)</f>
        <v>#DIV/0!</v>
      </c>
      <c r="AX354" s="974" t="e">
        <f>IF($F354="","",$F354*chronic_consumption!AS354/1000/$C$3)</f>
        <v>#DIV/0!</v>
      </c>
      <c r="AY354" s="974" t="e">
        <f>IF($F354="","",$F354*chronic_consumption!AT354/1000/$C$3)</f>
        <v>#DIV/0!</v>
      </c>
      <c r="AZ354" s="973" t="s">
        <v>19</v>
      </c>
      <c r="BA354" s="969" t="e">
        <f t="shared" si="27"/>
        <v>#DIV/0!</v>
      </c>
      <c r="BB354" s="970" t="e">
        <f t="shared" si="28"/>
        <v>#DIV/0!</v>
      </c>
      <c r="BC354" s="971" t="e">
        <f t="shared" ca="1" si="29"/>
        <v>#DIV/0!</v>
      </c>
      <c r="BD354" s="228">
        <f>input_values!Z354</f>
        <v>4</v>
      </c>
      <c r="BE354" s="152">
        <f>input_values!L354</f>
        <v>0</v>
      </c>
      <c r="BF354" s="972" t="str">
        <f t="shared" si="30"/>
        <v/>
      </c>
    </row>
    <row r="355" spans="1:58" ht="12" customHeight="1" outlineLevel="3" x14ac:dyDescent="0.2">
      <c r="A355" s="21">
        <v>4</v>
      </c>
      <c r="B355" s="23">
        <v>1015020</v>
      </c>
      <c r="C355" s="23" t="s">
        <v>797</v>
      </c>
      <c r="D355" s="965">
        <f>Table22[[#This Row],[MRL individual commodity]]</f>
        <v>0</v>
      </c>
      <c r="E355" s="300" t="str">
        <f>Table22[[#This Row],[LOQ_label]]</f>
        <v/>
      </c>
      <c r="F355" s="966">
        <f>Table22[[#This Row],[Chronic RA input value]]</f>
        <v>0</v>
      </c>
      <c r="G355" s="304" t="str">
        <f>Table22[[#This Row],[Chronic RA label]]</f>
        <v/>
      </c>
      <c r="H355" s="304">
        <f>Table22[[#This Row],[GAP under assessment]]</f>
        <v>0</v>
      </c>
      <c r="I355" s="1123"/>
      <c r="J355" s="974" t="e">
        <f>IF($F355="","",$F355*chronic_consumption!$E355/1000/$C$3)</f>
        <v>#DIV/0!</v>
      </c>
      <c r="K355" s="974" t="e">
        <f>IF($F355="","",$F355*chronic_consumption!F355/1000/$C$3)</f>
        <v>#DIV/0!</v>
      </c>
      <c r="L355" s="974" t="e">
        <f>IF($F355="","",$F355*chronic_consumption!G355/1000/$C$3)</f>
        <v>#DIV/0!</v>
      </c>
      <c r="M355" s="974" t="e">
        <f>IF($F355="","",$F355*chronic_consumption!H355/1000/$C$3)</f>
        <v>#DIV/0!</v>
      </c>
      <c r="N355" s="974" t="e">
        <f>IF($F355="","",$F355*chronic_consumption!I355/1000/$C$3)</f>
        <v>#DIV/0!</v>
      </c>
      <c r="O355" s="974" t="e">
        <f>IF($F355="","",$F355*chronic_consumption!J355/1000/$C$3)</f>
        <v>#DIV/0!</v>
      </c>
      <c r="P355" s="974" t="e">
        <f>IF($F355="","",$F355*chronic_consumption!K355/1000/$C$3)</f>
        <v>#DIV/0!</v>
      </c>
      <c r="Q355" s="974" t="e">
        <f>IF($F355="","",$F355*chronic_consumption!L355/1000/$C$3)</f>
        <v>#DIV/0!</v>
      </c>
      <c r="R355" s="974" t="e">
        <f>IF($F355="","",$F355*chronic_consumption!M355/1000/$C$3)</f>
        <v>#DIV/0!</v>
      </c>
      <c r="S355" s="974" t="e">
        <f>IF($F355="","",$F355*chronic_consumption!N355/1000/$C$3)</f>
        <v>#DIV/0!</v>
      </c>
      <c r="T355" s="974" t="e">
        <f>IF($F355="","",$F355*chronic_consumption!O355/1000/$C$3)</f>
        <v>#DIV/0!</v>
      </c>
      <c r="U355" s="974" t="e">
        <f>IF($F355="","",$F355*chronic_consumption!P355/1000/$C$3)</f>
        <v>#DIV/0!</v>
      </c>
      <c r="V355" s="974" t="e">
        <f>IF($F355="","",$F355*chronic_consumption!Q355/1000/$C$3)</f>
        <v>#DIV/0!</v>
      </c>
      <c r="W355" s="974" t="e">
        <f>IF($F355="","",$F355*chronic_consumption!R355/1000/$C$3)</f>
        <v>#DIV/0!</v>
      </c>
      <c r="X355" s="974" t="e">
        <f>IF($F355="","",$F355*chronic_consumption!S355/1000/$C$3)</f>
        <v>#DIV/0!</v>
      </c>
      <c r="Y355" s="974" t="e">
        <f>IF($F355="","",$F355*chronic_consumption!T355/1000/$C$3)</f>
        <v>#DIV/0!</v>
      </c>
      <c r="Z355" s="974" t="e">
        <f>IF($F355="","",$F355*chronic_consumption!U355/1000/$C$3)</f>
        <v>#DIV/0!</v>
      </c>
      <c r="AA355" s="974" t="e">
        <f>IF($F355="","",$F355*chronic_consumption!V355/1000/$C$3)</f>
        <v>#DIV/0!</v>
      </c>
      <c r="AB355" s="974" t="e">
        <f>IF($F355="","",$F355*chronic_consumption!W355/1000/$C$3)</f>
        <v>#DIV/0!</v>
      </c>
      <c r="AC355" s="974" t="e">
        <f>IF($F355="","",$F355*chronic_consumption!X355/1000/$C$3)</f>
        <v>#DIV/0!</v>
      </c>
      <c r="AD355" s="974" t="e">
        <f>IF($F355="","",$F355*chronic_consumption!Y355/1000/$C$3)</f>
        <v>#DIV/0!</v>
      </c>
      <c r="AE355" s="974" t="e">
        <f>IF($F355="","",$F355*chronic_consumption!Z355/1000/$C$3)</f>
        <v>#DIV/0!</v>
      </c>
      <c r="AF355" s="974" t="e">
        <f>IF($F355="","",$F355*chronic_consumption!AA355/1000/$C$3)</f>
        <v>#DIV/0!</v>
      </c>
      <c r="AG355" s="974" t="e">
        <f>IF($F355="","",$F355*chronic_consumption!AB355/1000/$C$3)</f>
        <v>#DIV/0!</v>
      </c>
      <c r="AH355" s="974" t="e">
        <f>IF($F355="","",$F355*chronic_consumption!AC355/1000/$C$3)</f>
        <v>#DIV/0!</v>
      </c>
      <c r="AI355" s="974" t="e">
        <f>IF($F355="","",$F355*chronic_consumption!AD355/1000/$C$3)</f>
        <v>#DIV/0!</v>
      </c>
      <c r="AJ355" s="974" t="e">
        <f>IF($F355="","",$F355*chronic_consumption!AE355/1000/$C$3)</f>
        <v>#DIV/0!</v>
      </c>
      <c r="AK355" s="974" t="e">
        <f>IF($F355="","",$F355*chronic_consumption!AF355/1000/$C$3)</f>
        <v>#DIV/0!</v>
      </c>
      <c r="AL355" s="974" t="e">
        <f>IF($F355="","",$F355*chronic_consumption!AG355/1000/$C$3)</f>
        <v>#DIV/0!</v>
      </c>
      <c r="AM355" s="974" t="e">
        <f>IF($F355="","",$F355*chronic_consumption!AH355/1000/$C$3)</f>
        <v>#DIV/0!</v>
      </c>
      <c r="AN355" s="974" t="e">
        <f>IF($F355="","",$F355*chronic_consumption!AI355/1000/$C$3)</f>
        <v>#DIV/0!</v>
      </c>
      <c r="AO355" s="974" t="e">
        <f>IF($F355="","",$F355*chronic_consumption!AJ355/1000/$C$3)</f>
        <v>#DIV/0!</v>
      </c>
      <c r="AP355" s="974" t="e">
        <f>IF($F355="","",$F355*chronic_consumption!AK355/1000/$C$3)</f>
        <v>#DIV/0!</v>
      </c>
      <c r="AQ355" s="974" t="e">
        <f>IF($F355="","",$F355*chronic_consumption!AL355/1000/$C$3)</f>
        <v>#DIV/0!</v>
      </c>
      <c r="AR355" s="974" t="e">
        <f>IF($F355="","",$F355*chronic_consumption!AM355/1000/$C$3)</f>
        <v>#DIV/0!</v>
      </c>
      <c r="AS355" s="974" t="e">
        <f>IF($F355="","",$F355*chronic_consumption!AN355/1000/$C$3)</f>
        <v>#DIV/0!</v>
      </c>
      <c r="AT355" s="974" t="e">
        <f>IF($F355="","",$F355*chronic_consumption!AO355/1000/$C$3)</f>
        <v>#DIV/0!</v>
      </c>
      <c r="AU355" s="974"/>
      <c r="AV355" s="974" t="e">
        <f>IF($F355="","",$F355*chronic_consumption!AQ355/1000/$C$3)</f>
        <v>#DIV/0!</v>
      </c>
      <c r="AW355" s="974" t="e">
        <f>IF($F355="","",$F355*chronic_consumption!AR355/1000/$C$3)</f>
        <v>#DIV/0!</v>
      </c>
      <c r="AX355" s="974" t="e">
        <f>IF($F355="","",$F355*chronic_consumption!AS355/1000/$C$3)</f>
        <v>#DIV/0!</v>
      </c>
      <c r="AY355" s="974" t="e">
        <f>IF($F355="","",$F355*chronic_consumption!AT355/1000/$C$3)</f>
        <v>#DIV/0!</v>
      </c>
      <c r="AZ355" s="973" t="s">
        <v>19</v>
      </c>
      <c r="BA355" s="969" t="e">
        <f t="shared" si="27"/>
        <v>#DIV/0!</v>
      </c>
      <c r="BB355" s="970" t="e">
        <f t="shared" si="28"/>
        <v>#DIV/0!</v>
      </c>
      <c r="BC355" s="971" t="e">
        <f t="shared" ca="1" si="29"/>
        <v>#DIV/0!</v>
      </c>
      <c r="BD355" s="228">
        <f>input_values!Z355</f>
        <v>4</v>
      </c>
      <c r="BE355" s="152">
        <f>input_values!L355</f>
        <v>0</v>
      </c>
      <c r="BF355" s="972" t="str">
        <f t="shared" si="30"/>
        <v/>
      </c>
    </row>
    <row r="356" spans="1:58" ht="12" customHeight="1" outlineLevel="3" x14ac:dyDescent="0.2">
      <c r="A356" s="21">
        <v>4</v>
      </c>
      <c r="B356" s="23">
        <v>1015030</v>
      </c>
      <c r="C356" s="23" t="s">
        <v>798</v>
      </c>
      <c r="D356" s="965">
        <f>Table22[[#This Row],[MRL individual commodity]]</f>
        <v>0</v>
      </c>
      <c r="E356" s="300" t="str">
        <f>Table22[[#This Row],[LOQ_label]]</f>
        <v/>
      </c>
      <c r="F356" s="966">
        <f>Table22[[#This Row],[Chronic RA input value]]</f>
        <v>0</v>
      </c>
      <c r="G356" s="304" t="str">
        <f>Table22[[#This Row],[Chronic RA label]]</f>
        <v/>
      </c>
      <c r="H356" s="304">
        <f>Table22[[#This Row],[GAP under assessment]]</f>
        <v>0</v>
      </c>
      <c r="I356" s="1123"/>
      <c r="J356" s="974" t="e">
        <f>IF($F356="","",$F356*chronic_consumption!$E356/1000/$C$3)</f>
        <v>#DIV/0!</v>
      </c>
      <c r="K356" s="974" t="e">
        <f>IF($F356="","",$F356*chronic_consumption!F356/1000/$C$3)</f>
        <v>#DIV/0!</v>
      </c>
      <c r="L356" s="974" t="e">
        <f>IF($F356="","",$F356*chronic_consumption!G356/1000/$C$3)</f>
        <v>#DIV/0!</v>
      </c>
      <c r="M356" s="974" t="e">
        <f>IF($F356="","",$F356*chronic_consumption!H356/1000/$C$3)</f>
        <v>#DIV/0!</v>
      </c>
      <c r="N356" s="974" t="e">
        <f>IF($F356="","",$F356*chronic_consumption!I356/1000/$C$3)</f>
        <v>#DIV/0!</v>
      </c>
      <c r="O356" s="974" t="e">
        <f>IF($F356="","",$F356*chronic_consumption!J356/1000/$C$3)</f>
        <v>#DIV/0!</v>
      </c>
      <c r="P356" s="974" t="e">
        <f>IF($F356="","",$F356*chronic_consumption!K356/1000/$C$3)</f>
        <v>#DIV/0!</v>
      </c>
      <c r="Q356" s="974" t="e">
        <f>IF($F356="","",$F356*chronic_consumption!L356/1000/$C$3)</f>
        <v>#DIV/0!</v>
      </c>
      <c r="R356" s="974" t="e">
        <f>IF($F356="","",$F356*chronic_consumption!M356/1000/$C$3)</f>
        <v>#DIV/0!</v>
      </c>
      <c r="S356" s="974" t="e">
        <f>IF($F356="","",$F356*chronic_consumption!N356/1000/$C$3)</f>
        <v>#DIV/0!</v>
      </c>
      <c r="T356" s="974" t="e">
        <f>IF($F356="","",$F356*chronic_consumption!O356/1000/$C$3)</f>
        <v>#DIV/0!</v>
      </c>
      <c r="U356" s="974" t="e">
        <f>IF($F356="","",$F356*chronic_consumption!P356/1000/$C$3)</f>
        <v>#DIV/0!</v>
      </c>
      <c r="V356" s="974" t="e">
        <f>IF($F356="","",$F356*chronic_consumption!Q356/1000/$C$3)</f>
        <v>#DIV/0!</v>
      </c>
      <c r="W356" s="974" t="e">
        <f>IF($F356="","",$F356*chronic_consumption!R356/1000/$C$3)</f>
        <v>#DIV/0!</v>
      </c>
      <c r="X356" s="974" t="e">
        <f>IF($F356="","",$F356*chronic_consumption!S356/1000/$C$3)</f>
        <v>#DIV/0!</v>
      </c>
      <c r="Y356" s="974" t="e">
        <f>IF($F356="","",$F356*chronic_consumption!T356/1000/$C$3)</f>
        <v>#DIV/0!</v>
      </c>
      <c r="Z356" s="974" t="e">
        <f>IF($F356="","",$F356*chronic_consumption!U356/1000/$C$3)</f>
        <v>#DIV/0!</v>
      </c>
      <c r="AA356" s="974" t="e">
        <f>IF($F356="","",$F356*chronic_consumption!V356/1000/$C$3)</f>
        <v>#DIV/0!</v>
      </c>
      <c r="AB356" s="974" t="e">
        <f>IF($F356="","",$F356*chronic_consumption!W356/1000/$C$3)</f>
        <v>#DIV/0!</v>
      </c>
      <c r="AC356" s="974" t="e">
        <f>IF($F356="","",$F356*chronic_consumption!X356/1000/$C$3)</f>
        <v>#DIV/0!</v>
      </c>
      <c r="AD356" s="974" t="e">
        <f>IF($F356="","",$F356*chronic_consumption!Y356/1000/$C$3)</f>
        <v>#DIV/0!</v>
      </c>
      <c r="AE356" s="974" t="e">
        <f>IF($F356="","",$F356*chronic_consumption!Z356/1000/$C$3)</f>
        <v>#DIV/0!</v>
      </c>
      <c r="AF356" s="974" t="e">
        <f>IF($F356="","",$F356*chronic_consumption!AA356/1000/$C$3)</f>
        <v>#DIV/0!</v>
      </c>
      <c r="AG356" s="974" t="e">
        <f>IF($F356="","",$F356*chronic_consumption!AB356/1000/$C$3)</f>
        <v>#DIV/0!</v>
      </c>
      <c r="AH356" s="974" t="e">
        <f>IF($F356="","",$F356*chronic_consumption!AC356/1000/$C$3)</f>
        <v>#DIV/0!</v>
      </c>
      <c r="AI356" s="974" t="e">
        <f>IF($F356="","",$F356*chronic_consumption!AD356/1000/$C$3)</f>
        <v>#DIV/0!</v>
      </c>
      <c r="AJ356" s="974" t="e">
        <f>IF($F356="","",$F356*chronic_consumption!AE356/1000/$C$3)</f>
        <v>#DIV/0!</v>
      </c>
      <c r="AK356" s="974" t="e">
        <f>IF($F356="","",$F356*chronic_consumption!AF356/1000/$C$3)</f>
        <v>#DIV/0!</v>
      </c>
      <c r="AL356" s="974" t="e">
        <f>IF($F356="","",$F356*chronic_consumption!AG356/1000/$C$3)</f>
        <v>#DIV/0!</v>
      </c>
      <c r="AM356" s="974" t="e">
        <f>IF($F356="","",$F356*chronic_consumption!AH356/1000/$C$3)</f>
        <v>#DIV/0!</v>
      </c>
      <c r="AN356" s="974" t="e">
        <f>IF($F356="","",$F356*chronic_consumption!AI356/1000/$C$3)</f>
        <v>#DIV/0!</v>
      </c>
      <c r="AO356" s="974" t="e">
        <f>IF($F356="","",$F356*chronic_consumption!AJ356/1000/$C$3)</f>
        <v>#DIV/0!</v>
      </c>
      <c r="AP356" s="974" t="e">
        <f>IF($F356="","",$F356*chronic_consumption!AK356/1000/$C$3)</f>
        <v>#DIV/0!</v>
      </c>
      <c r="AQ356" s="974" t="e">
        <f>IF($F356="","",$F356*chronic_consumption!AL356/1000/$C$3)</f>
        <v>#DIV/0!</v>
      </c>
      <c r="AR356" s="974" t="e">
        <f>IF($F356="","",$F356*chronic_consumption!AM356/1000/$C$3)</f>
        <v>#DIV/0!</v>
      </c>
      <c r="AS356" s="974" t="e">
        <f>IF($F356="","",$F356*chronic_consumption!AN356/1000/$C$3)</f>
        <v>#DIV/0!</v>
      </c>
      <c r="AT356" s="974" t="e">
        <f>IF($F356="","",$F356*chronic_consumption!AO356/1000/$C$3)</f>
        <v>#DIV/0!</v>
      </c>
      <c r="AU356" s="974"/>
      <c r="AV356" s="974" t="e">
        <f>IF($F356="","",$F356*chronic_consumption!AQ356/1000/$C$3)</f>
        <v>#DIV/0!</v>
      </c>
      <c r="AW356" s="974" t="e">
        <f>IF($F356="","",$F356*chronic_consumption!AR356/1000/$C$3)</f>
        <v>#DIV/0!</v>
      </c>
      <c r="AX356" s="974" t="e">
        <f>IF($F356="","",$F356*chronic_consumption!AS356/1000/$C$3)</f>
        <v>#DIV/0!</v>
      </c>
      <c r="AY356" s="974" t="e">
        <f>IF($F356="","",$F356*chronic_consumption!AT356/1000/$C$3)</f>
        <v>#DIV/0!</v>
      </c>
      <c r="AZ356" s="973" t="s">
        <v>19</v>
      </c>
      <c r="BA356" s="969" t="e">
        <f t="shared" si="27"/>
        <v>#DIV/0!</v>
      </c>
      <c r="BB356" s="970" t="e">
        <f t="shared" si="28"/>
        <v>#DIV/0!</v>
      </c>
      <c r="BC356" s="971" t="e">
        <f t="shared" ca="1" si="29"/>
        <v>#DIV/0!</v>
      </c>
      <c r="BD356" s="228">
        <f>input_values!Z356</f>
        <v>4</v>
      </c>
      <c r="BE356" s="152">
        <f>input_values!L356</f>
        <v>0</v>
      </c>
      <c r="BF356" s="972" t="str">
        <f t="shared" si="30"/>
        <v/>
      </c>
    </row>
    <row r="357" spans="1:58" ht="12" customHeight="1" outlineLevel="3" x14ac:dyDescent="0.2">
      <c r="A357" s="21">
        <v>4</v>
      </c>
      <c r="B357" s="23">
        <v>1015040</v>
      </c>
      <c r="C357" s="23" t="s">
        <v>799</v>
      </c>
      <c r="D357" s="965">
        <f>Table22[[#This Row],[MRL individual commodity]]</f>
        <v>0</v>
      </c>
      <c r="E357" s="300" t="str">
        <f>Table22[[#This Row],[LOQ_label]]</f>
        <v/>
      </c>
      <c r="F357" s="966">
        <f>Table22[[#This Row],[Chronic RA input value]]</f>
        <v>0</v>
      </c>
      <c r="G357" s="304" t="str">
        <f>Table22[[#This Row],[Chronic RA label]]</f>
        <v/>
      </c>
      <c r="H357" s="304">
        <f>Table22[[#This Row],[GAP under assessment]]</f>
        <v>0</v>
      </c>
      <c r="I357" s="1123"/>
      <c r="J357" s="974" t="e">
        <f>IF($F357="","",$F357*chronic_consumption!$E357/1000/$C$3)</f>
        <v>#DIV/0!</v>
      </c>
      <c r="K357" s="974" t="e">
        <f>IF($F357="","",$F357*chronic_consumption!F357/1000/$C$3)</f>
        <v>#DIV/0!</v>
      </c>
      <c r="L357" s="974" t="e">
        <f>IF($F357="","",$F357*chronic_consumption!G357/1000/$C$3)</f>
        <v>#DIV/0!</v>
      </c>
      <c r="M357" s="974" t="e">
        <f>IF($F357="","",$F357*chronic_consumption!H357/1000/$C$3)</f>
        <v>#DIV/0!</v>
      </c>
      <c r="N357" s="974" t="e">
        <f>IF($F357="","",$F357*chronic_consumption!I357/1000/$C$3)</f>
        <v>#DIV/0!</v>
      </c>
      <c r="O357" s="974" t="e">
        <f>IF($F357="","",$F357*chronic_consumption!J357/1000/$C$3)</f>
        <v>#DIV/0!</v>
      </c>
      <c r="P357" s="974" t="e">
        <f>IF($F357="","",$F357*chronic_consumption!K357/1000/$C$3)</f>
        <v>#DIV/0!</v>
      </c>
      <c r="Q357" s="974" t="e">
        <f>IF($F357="","",$F357*chronic_consumption!L357/1000/$C$3)</f>
        <v>#DIV/0!</v>
      </c>
      <c r="R357" s="974" t="e">
        <f>IF($F357="","",$F357*chronic_consumption!M357/1000/$C$3)</f>
        <v>#DIV/0!</v>
      </c>
      <c r="S357" s="974" t="e">
        <f>IF($F357="","",$F357*chronic_consumption!N357/1000/$C$3)</f>
        <v>#DIV/0!</v>
      </c>
      <c r="T357" s="974" t="e">
        <f>IF($F357="","",$F357*chronic_consumption!O357/1000/$C$3)</f>
        <v>#DIV/0!</v>
      </c>
      <c r="U357" s="974" t="e">
        <f>IF($F357="","",$F357*chronic_consumption!P357/1000/$C$3)</f>
        <v>#DIV/0!</v>
      </c>
      <c r="V357" s="974" t="e">
        <f>IF($F357="","",$F357*chronic_consumption!Q357/1000/$C$3)</f>
        <v>#DIV/0!</v>
      </c>
      <c r="W357" s="974" t="e">
        <f>IF($F357="","",$F357*chronic_consumption!R357/1000/$C$3)</f>
        <v>#DIV/0!</v>
      </c>
      <c r="X357" s="974" t="e">
        <f>IF($F357="","",$F357*chronic_consumption!S357/1000/$C$3)</f>
        <v>#DIV/0!</v>
      </c>
      <c r="Y357" s="974" t="e">
        <f>IF($F357="","",$F357*chronic_consumption!T357/1000/$C$3)</f>
        <v>#DIV/0!</v>
      </c>
      <c r="Z357" s="974" t="e">
        <f>IF($F357="","",$F357*chronic_consumption!U357/1000/$C$3)</f>
        <v>#DIV/0!</v>
      </c>
      <c r="AA357" s="974" t="e">
        <f>IF($F357="","",$F357*chronic_consumption!V357/1000/$C$3)</f>
        <v>#DIV/0!</v>
      </c>
      <c r="AB357" s="974" t="e">
        <f>IF($F357="","",$F357*chronic_consumption!W357/1000/$C$3)</f>
        <v>#DIV/0!</v>
      </c>
      <c r="AC357" s="974" t="e">
        <f>IF($F357="","",$F357*chronic_consumption!X357/1000/$C$3)</f>
        <v>#DIV/0!</v>
      </c>
      <c r="AD357" s="974" t="e">
        <f>IF($F357="","",$F357*chronic_consumption!Y357/1000/$C$3)</f>
        <v>#DIV/0!</v>
      </c>
      <c r="AE357" s="974" t="e">
        <f>IF($F357="","",$F357*chronic_consumption!Z357/1000/$C$3)</f>
        <v>#DIV/0!</v>
      </c>
      <c r="AF357" s="974" t="e">
        <f>IF($F357="","",$F357*chronic_consumption!AA357/1000/$C$3)</f>
        <v>#DIV/0!</v>
      </c>
      <c r="AG357" s="974" t="e">
        <f>IF($F357="","",$F357*chronic_consumption!AB357/1000/$C$3)</f>
        <v>#DIV/0!</v>
      </c>
      <c r="AH357" s="974" t="e">
        <f>IF($F357="","",$F357*chronic_consumption!AC357/1000/$C$3)</f>
        <v>#DIV/0!</v>
      </c>
      <c r="AI357" s="974" t="e">
        <f>IF($F357="","",$F357*chronic_consumption!AD357/1000/$C$3)</f>
        <v>#DIV/0!</v>
      </c>
      <c r="AJ357" s="974" t="e">
        <f>IF($F357="","",$F357*chronic_consumption!AE357/1000/$C$3)</f>
        <v>#DIV/0!</v>
      </c>
      <c r="AK357" s="974" t="e">
        <f>IF($F357="","",$F357*chronic_consumption!AF357/1000/$C$3)</f>
        <v>#DIV/0!</v>
      </c>
      <c r="AL357" s="974" t="e">
        <f>IF($F357="","",$F357*chronic_consumption!AG357/1000/$C$3)</f>
        <v>#DIV/0!</v>
      </c>
      <c r="AM357" s="974" t="e">
        <f>IF($F357="","",$F357*chronic_consumption!AH357/1000/$C$3)</f>
        <v>#DIV/0!</v>
      </c>
      <c r="AN357" s="974" t="e">
        <f>IF($F357="","",$F357*chronic_consumption!AI357/1000/$C$3)</f>
        <v>#DIV/0!</v>
      </c>
      <c r="AO357" s="974" t="e">
        <f>IF($F357="","",$F357*chronic_consumption!AJ357/1000/$C$3)</f>
        <v>#DIV/0!</v>
      </c>
      <c r="AP357" s="974" t="e">
        <f>IF($F357="","",$F357*chronic_consumption!AK357/1000/$C$3)</f>
        <v>#DIV/0!</v>
      </c>
      <c r="AQ357" s="974" t="e">
        <f>IF($F357="","",$F357*chronic_consumption!AL357/1000/$C$3)</f>
        <v>#DIV/0!</v>
      </c>
      <c r="AR357" s="974" t="e">
        <f>IF($F357="","",$F357*chronic_consumption!AM357/1000/$C$3)</f>
        <v>#DIV/0!</v>
      </c>
      <c r="AS357" s="974" t="e">
        <f>IF($F357="","",$F357*chronic_consumption!AN357/1000/$C$3)</f>
        <v>#DIV/0!</v>
      </c>
      <c r="AT357" s="974" t="e">
        <f>IF($F357="","",$F357*chronic_consumption!AO357/1000/$C$3)</f>
        <v>#DIV/0!</v>
      </c>
      <c r="AU357" s="974"/>
      <c r="AV357" s="974" t="e">
        <f>IF($F357="","",$F357*chronic_consumption!AQ357/1000/$C$3)</f>
        <v>#DIV/0!</v>
      </c>
      <c r="AW357" s="974" t="e">
        <f>IF($F357="","",$F357*chronic_consumption!AR357/1000/$C$3)</f>
        <v>#DIV/0!</v>
      </c>
      <c r="AX357" s="974" t="e">
        <f>IF($F357="","",$F357*chronic_consumption!AS357/1000/$C$3)</f>
        <v>#DIV/0!</v>
      </c>
      <c r="AY357" s="974" t="e">
        <f>IF($F357="","",$F357*chronic_consumption!AT357/1000/$C$3)</f>
        <v>#DIV/0!</v>
      </c>
      <c r="AZ357" s="973" t="s">
        <v>19</v>
      </c>
      <c r="BA357" s="969" t="e">
        <f t="shared" si="27"/>
        <v>#DIV/0!</v>
      </c>
      <c r="BB357" s="970" t="e">
        <f t="shared" si="28"/>
        <v>#DIV/0!</v>
      </c>
      <c r="BC357" s="971" t="e">
        <f t="shared" ca="1" si="29"/>
        <v>#DIV/0!</v>
      </c>
      <c r="BD357" s="228">
        <f>input_values!Z357</f>
        <v>4</v>
      </c>
      <c r="BE357" s="152">
        <f>input_values!L357</f>
        <v>0</v>
      </c>
      <c r="BF357" s="972" t="str">
        <f t="shared" si="30"/>
        <v/>
      </c>
    </row>
    <row r="358" spans="1:58" ht="12" customHeight="1" outlineLevel="3" x14ac:dyDescent="0.2">
      <c r="A358" s="21">
        <v>4</v>
      </c>
      <c r="B358" s="23">
        <v>1015050</v>
      </c>
      <c r="C358" s="23" t="s">
        <v>801</v>
      </c>
      <c r="D358" s="965">
        <f>Table22[[#This Row],[MRL individual commodity]]</f>
        <v>0</v>
      </c>
      <c r="E358" s="300" t="str">
        <f>Table22[[#This Row],[LOQ_label]]</f>
        <v/>
      </c>
      <c r="F358" s="966">
        <f>Table22[[#This Row],[Chronic RA input value]]</f>
        <v>0</v>
      </c>
      <c r="G358" s="304" t="str">
        <f>Table22[[#This Row],[Chronic RA label]]</f>
        <v/>
      </c>
      <c r="H358" s="304">
        <f>Table22[[#This Row],[GAP under assessment]]</f>
        <v>0</v>
      </c>
      <c r="I358" s="1123"/>
      <c r="J358" s="974" t="e">
        <f>IF($F358="","",$F358*chronic_consumption!$E358/1000/$C$3)</f>
        <v>#DIV/0!</v>
      </c>
      <c r="K358" s="974" t="e">
        <f>IF($F358="","",$F358*chronic_consumption!F358/1000/$C$3)</f>
        <v>#DIV/0!</v>
      </c>
      <c r="L358" s="974" t="e">
        <f>IF($F358="","",$F358*chronic_consumption!G358/1000/$C$3)</f>
        <v>#DIV/0!</v>
      </c>
      <c r="M358" s="974" t="e">
        <f>IF($F358="","",$F358*chronic_consumption!H358/1000/$C$3)</f>
        <v>#DIV/0!</v>
      </c>
      <c r="N358" s="974" t="e">
        <f>IF($F358="","",$F358*chronic_consumption!I358/1000/$C$3)</f>
        <v>#DIV/0!</v>
      </c>
      <c r="O358" s="974" t="e">
        <f>IF($F358="","",$F358*chronic_consumption!J358/1000/$C$3)</f>
        <v>#DIV/0!</v>
      </c>
      <c r="P358" s="974" t="e">
        <f>IF($F358="","",$F358*chronic_consumption!K358/1000/$C$3)</f>
        <v>#DIV/0!</v>
      </c>
      <c r="Q358" s="974" t="e">
        <f>IF($F358="","",$F358*chronic_consumption!L358/1000/$C$3)</f>
        <v>#DIV/0!</v>
      </c>
      <c r="R358" s="974" t="e">
        <f>IF($F358="","",$F358*chronic_consumption!M358/1000/$C$3)</f>
        <v>#DIV/0!</v>
      </c>
      <c r="S358" s="974" t="e">
        <f>IF($F358="","",$F358*chronic_consumption!N358/1000/$C$3)</f>
        <v>#DIV/0!</v>
      </c>
      <c r="T358" s="974" t="e">
        <f>IF($F358="","",$F358*chronic_consumption!O358/1000/$C$3)</f>
        <v>#DIV/0!</v>
      </c>
      <c r="U358" s="974" t="e">
        <f>IF($F358="","",$F358*chronic_consumption!P358/1000/$C$3)</f>
        <v>#DIV/0!</v>
      </c>
      <c r="V358" s="974" t="e">
        <f>IF($F358="","",$F358*chronic_consumption!Q358/1000/$C$3)</f>
        <v>#DIV/0!</v>
      </c>
      <c r="W358" s="974" t="e">
        <f>IF($F358="","",$F358*chronic_consumption!R358/1000/$C$3)</f>
        <v>#DIV/0!</v>
      </c>
      <c r="X358" s="974" t="e">
        <f>IF($F358="","",$F358*chronic_consumption!S358/1000/$C$3)</f>
        <v>#DIV/0!</v>
      </c>
      <c r="Y358" s="974" t="e">
        <f>IF($F358="","",$F358*chronic_consumption!T358/1000/$C$3)</f>
        <v>#DIV/0!</v>
      </c>
      <c r="Z358" s="974" t="e">
        <f>IF($F358="","",$F358*chronic_consumption!U358/1000/$C$3)</f>
        <v>#DIV/0!</v>
      </c>
      <c r="AA358" s="974" t="e">
        <f>IF($F358="","",$F358*chronic_consumption!V358/1000/$C$3)</f>
        <v>#DIV/0!</v>
      </c>
      <c r="AB358" s="974" t="e">
        <f>IF($F358="","",$F358*chronic_consumption!W358/1000/$C$3)</f>
        <v>#DIV/0!</v>
      </c>
      <c r="AC358" s="974" t="e">
        <f>IF($F358="","",$F358*chronic_consumption!X358/1000/$C$3)</f>
        <v>#DIV/0!</v>
      </c>
      <c r="AD358" s="974" t="e">
        <f>IF($F358="","",$F358*chronic_consumption!Y358/1000/$C$3)</f>
        <v>#DIV/0!</v>
      </c>
      <c r="AE358" s="974" t="e">
        <f>IF($F358="","",$F358*chronic_consumption!Z358/1000/$C$3)</f>
        <v>#DIV/0!</v>
      </c>
      <c r="AF358" s="974" t="e">
        <f>IF($F358="","",$F358*chronic_consumption!AA358/1000/$C$3)</f>
        <v>#DIV/0!</v>
      </c>
      <c r="AG358" s="974" t="e">
        <f>IF($F358="","",$F358*chronic_consumption!AB358/1000/$C$3)</f>
        <v>#DIV/0!</v>
      </c>
      <c r="AH358" s="974" t="e">
        <f>IF($F358="","",$F358*chronic_consumption!AC358/1000/$C$3)</f>
        <v>#DIV/0!</v>
      </c>
      <c r="AI358" s="974" t="e">
        <f>IF($F358="","",$F358*chronic_consumption!AD358/1000/$C$3)</f>
        <v>#DIV/0!</v>
      </c>
      <c r="AJ358" s="974" t="e">
        <f>IF($F358="","",$F358*chronic_consumption!AE358/1000/$C$3)</f>
        <v>#DIV/0!</v>
      </c>
      <c r="AK358" s="974" t="e">
        <f>IF($F358="","",$F358*chronic_consumption!AF358/1000/$C$3)</f>
        <v>#DIV/0!</v>
      </c>
      <c r="AL358" s="974" t="e">
        <f>IF($F358="","",$F358*chronic_consumption!AG358/1000/$C$3)</f>
        <v>#DIV/0!</v>
      </c>
      <c r="AM358" s="974" t="e">
        <f>IF($F358="","",$F358*chronic_consumption!AH358/1000/$C$3)</f>
        <v>#DIV/0!</v>
      </c>
      <c r="AN358" s="974" t="e">
        <f>IF($F358="","",$F358*chronic_consumption!AI358/1000/$C$3)</f>
        <v>#DIV/0!</v>
      </c>
      <c r="AO358" s="974" t="e">
        <f>IF($F358="","",$F358*chronic_consumption!AJ358/1000/$C$3)</f>
        <v>#DIV/0!</v>
      </c>
      <c r="AP358" s="974" t="e">
        <f>IF($F358="","",$F358*chronic_consumption!AK358/1000/$C$3)</f>
        <v>#DIV/0!</v>
      </c>
      <c r="AQ358" s="974" t="e">
        <f>IF($F358="","",$F358*chronic_consumption!AL358/1000/$C$3)</f>
        <v>#DIV/0!</v>
      </c>
      <c r="AR358" s="974" t="e">
        <f>IF($F358="","",$F358*chronic_consumption!AM358/1000/$C$3)</f>
        <v>#DIV/0!</v>
      </c>
      <c r="AS358" s="974" t="e">
        <f>IF($F358="","",$F358*chronic_consumption!AN358/1000/$C$3)</f>
        <v>#DIV/0!</v>
      </c>
      <c r="AT358" s="974" t="e">
        <f>IF($F358="","",$F358*chronic_consumption!AO358/1000/$C$3)</f>
        <v>#DIV/0!</v>
      </c>
      <c r="AU358" s="974"/>
      <c r="AV358" s="974" t="e">
        <f>IF($F358="","",$F358*chronic_consumption!AQ358/1000/$C$3)</f>
        <v>#DIV/0!</v>
      </c>
      <c r="AW358" s="974" t="e">
        <f>IF($F358="","",$F358*chronic_consumption!AR358/1000/$C$3)</f>
        <v>#DIV/0!</v>
      </c>
      <c r="AX358" s="974" t="e">
        <f>IF($F358="","",$F358*chronic_consumption!AS358/1000/$C$3)</f>
        <v>#DIV/0!</v>
      </c>
      <c r="AY358" s="974" t="e">
        <f>IF($F358="","",$F358*chronic_consumption!AT358/1000/$C$3)</f>
        <v>#DIV/0!</v>
      </c>
      <c r="AZ358" s="973" t="s">
        <v>19</v>
      </c>
      <c r="BA358" s="969" t="e">
        <f t="shared" si="27"/>
        <v>#DIV/0!</v>
      </c>
      <c r="BB358" s="970" t="e">
        <f t="shared" si="28"/>
        <v>#DIV/0!</v>
      </c>
      <c r="BC358" s="971" t="e">
        <f t="shared" ca="1" si="29"/>
        <v>#DIV/0!</v>
      </c>
      <c r="BD358" s="228">
        <f>input_values!Z358</f>
        <v>4</v>
      </c>
      <c r="BE358" s="152">
        <f>input_values!L358</f>
        <v>0</v>
      </c>
      <c r="BF358" s="972" t="str">
        <f t="shared" si="30"/>
        <v/>
      </c>
    </row>
    <row r="359" spans="1:58" ht="12" customHeight="1" outlineLevel="3" x14ac:dyDescent="0.2">
      <c r="A359" s="21">
        <v>4</v>
      </c>
      <c r="B359" s="23">
        <v>1015990</v>
      </c>
      <c r="C359" s="23" t="s">
        <v>800</v>
      </c>
      <c r="D359" s="965">
        <f>Table22[[#This Row],[MRL individual commodity]]</f>
        <v>0</v>
      </c>
      <c r="E359" s="300" t="str">
        <f>Table22[[#This Row],[LOQ_label]]</f>
        <v/>
      </c>
      <c r="F359" s="966">
        <f>Table22[[#This Row],[Chronic RA input value]]</f>
        <v>0</v>
      </c>
      <c r="G359" s="304" t="str">
        <f>Table22[[#This Row],[Chronic RA label]]</f>
        <v/>
      </c>
      <c r="H359" s="304">
        <f>Table22[[#This Row],[GAP under assessment]]</f>
        <v>0</v>
      </c>
      <c r="I359" s="1123"/>
      <c r="J359" s="974" t="e">
        <f>IF($F359="","",$F359*chronic_consumption!$E359/1000/$C$3)</f>
        <v>#DIV/0!</v>
      </c>
      <c r="K359" s="974" t="e">
        <f>IF($F359="","",$F359*chronic_consumption!F359/1000/$C$3)</f>
        <v>#DIV/0!</v>
      </c>
      <c r="L359" s="974" t="e">
        <f>IF($F359="","",$F359*chronic_consumption!G359/1000/$C$3)</f>
        <v>#DIV/0!</v>
      </c>
      <c r="M359" s="974" t="e">
        <f>IF($F359="","",$F359*chronic_consumption!H359/1000/$C$3)</f>
        <v>#DIV/0!</v>
      </c>
      <c r="N359" s="974" t="e">
        <f>IF($F359="","",$F359*chronic_consumption!I359/1000/$C$3)</f>
        <v>#DIV/0!</v>
      </c>
      <c r="O359" s="974" t="e">
        <f>IF($F359="","",$F359*chronic_consumption!J359/1000/$C$3)</f>
        <v>#DIV/0!</v>
      </c>
      <c r="P359" s="974" t="e">
        <f>IF($F359="","",$F359*chronic_consumption!K359/1000/$C$3)</f>
        <v>#DIV/0!</v>
      </c>
      <c r="Q359" s="974" t="e">
        <f>IF($F359="","",$F359*chronic_consumption!L359/1000/$C$3)</f>
        <v>#DIV/0!</v>
      </c>
      <c r="R359" s="974" t="e">
        <f>IF($F359="","",$F359*chronic_consumption!M359/1000/$C$3)</f>
        <v>#DIV/0!</v>
      </c>
      <c r="S359" s="974" t="e">
        <f>IF($F359="","",$F359*chronic_consumption!N359/1000/$C$3)</f>
        <v>#DIV/0!</v>
      </c>
      <c r="T359" s="974" t="e">
        <f>IF($F359="","",$F359*chronic_consumption!O359/1000/$C$3)</f>
        <v>#DIV/0!</v>
      </c>
      <c r="U359" s="974" t="e">
        <f>IF($F359="","",$F359*chronic_consumption!P359/1000/$C$3)</f>
        <v>#DIV/0!</v>
      </c>
      <c r="V359" s="974" t="e">
        <f>IF($F359="","",$F359*chronic_consumption!Q359/1000/$C$3)</f>
        <v>#DIV/0!</v>
      </c>
      <c r="W359" s="974" t="e">
        <f>IF($F359="","",$F359*chronic_consumption!R359/1000/$C$3)</f>
        <v>#DIV/0!</v>
      </c>
      <c r="X359" s="974" t="e">
        <f>IF($F359="","",$F359*chronic_consumption!S359/1000/$C$3)</f>
        <v>#DIV/0!</v>
      </c>
      <c r="Y359" s="974" t="e">
        <f>IF($F359="","",$F359*chronic_consumption!T359/1000/$C$3)</f>
        <v>#DIV/0!</v>
      </c>
      <c r="Z359" s="974" t="e">
        <f>IF($F359="","",$F359*chronic_consumption!U359/1000/$C$3)</f>
        <v>#DIV/0!</v>
      </c>
      <c r="AA359" s="974" t="e">
        <f>IF($F359="","",$F359*chronic_consumption!V359/1000/$C$3)</f>
        <v>#DIV/0!</v>
      </c>
      <c r="AB359" s="974" t="e">
        <f>IF($F359="","",$F359*chronic_consumption!W359/1000/$C$3)</f>
        <v>#DIV/0!</v>
      </c>
      <c r="AC359" s="974" t="e">
        <f>IF($F359="","",$F359*chronic_consumption!X359/1000/$C$3)</f>
        <v>#DIV/0!</v>
      </c>
      <c r="AD359" s="974" t="e">
        <f>IF($F359="","",$F359*chronic_consumption!Y359/1000/$C$3)</f>
        <v>#DIV/0!</v>
      </c>
      <c r="AE359" s="974" t="e">
        <f>IF($F359="","",$F359*chronic_consumption!Z359/1000/$C$3)</f>
        <v>#DIV/0!</v>
      </c>
      <c r="AF359" s="974" t="e">
        <f>IF($F359="","",$F359*chronic_consumption!AA359/1000/$C$3)</f>
        <v>#DIV/0!</v>
      </c>
      <c r="AG359" s="974" t="e">
        <f>IF($F359="","",$F359*chronic_consumption!AB359/1000/$C$3)</f>
        <v>#DIV/0!</v>
      </c>
      <c r="AH359" s="974" t="e">
        <f>IF($F359="","",$F359*chronic_consumption!AC359/1000/$C$3)</f>
        <v>#DIV/0!</v>
      </c>
      <c r="AI359" s="974" t="e">
        <f>IF($F359="","",$F359*chronic_consumption!AD359/1000/$C$3)</f>
        <v>#DIV/0!</v>
      </c>
      <c r="AJ359" s="974" t="e">
        <f>IF($F359="","",$F359*chronic_consumption!AE359/1000/$C$3)</f>
        <v>#DIV/0!</v>
      </c>
      <c r="AK359" s="974" t="e">
        <f>IF($F359="","",$F359*chronic_consumption!AF359/1000/$C$3)</f>
        <v>#DIV/0!</v>
      </c>
      <c r="AL359" s="974" t="e">
        <f>IF($F359="","",$F359*chronic_consumption!AG359/1000/$C$3)</f>
        <v>#DIV/0!</v>
      </c>
      <c r="AM359" s="974" t="e">
        <f>IF($F359="","",$F359*chronic_consumption!AH359/1000/$C$3)</f>
        <v>#DIV/0!</v>
      </c>
      <c r="AN359" s="974" t="e">
        <f>IF($F359="","",$F359*chronic_consumption!AI359/1000/$C$3)</f>
        <v>#DIV/0!</v>
      </c>
      <c r="AO359" s="974" t="e">
        <f>IF($F359="","",$F359*chronic_consumption!AJ359/1000/$C$3)</f>
        <v>#DIV/0!</v>
      </c>
      <c r="AP359" s="974" t="e">
        <f>IF($F359="","",$F359*chronic_consumption!AK359/1000/$C$3)</f>
        <v>#DIV/0!</v>
      </c>
      <c r="AQ359" s="974" t="e">
        <f>IF($F359="","",$F359*chronic_consumption!AL359/1000/$C$3)</f>
        <v>#DIV/0!</v>
      </c>
      <c r="AR359" s="974" t="e">
        <f>IF($F359="","",$F359*chronic_consumption!AM359/1000/$C$3)</f>
        <v>#DIV/0!</v>
      </c>
      <c r="AS359" s="974" t="e">
        <f>IF($F359="","",$F359*chronic_consumption!AN359/1000/$C$3)</f>
        <v>#DIV/0!</v>
      </c>
      <c r="AT359" s="974" t="e">
        <f>IF($F359="","",$F359*chronic_consumption!AO359/1000/$C$3)</f>
        <v>#DIV/0!</v>
      </c>
      <c r="AU359" s="974"/>
      <c r="AV359" s="974" t="e">
        <f>IF($F359="","",$F359*chronic_consumption!AQ359/1000/$C$3)</f>
        <v>#DIV/0!</v>
      </c>
      <c r="AW359" s="974" t="e">
        <f>IF($F359="","",$F359*chronic_consumption!AR359/1000/$C$3)</f>
        <v>#DIV/0!</v>
      </c>
      <c r="AX359" s="974" t="e">
        <f>IF($F359="","",$F359*chronic_consumption!AS359/1000/$C$3)</f>
        <v>#DIV/0!</v>
      </c>
      <c r="AY359" s="974" t="e">
        <f>IF($F359="","",$F359*chronic_consumption!AT359/1000/$C$3)</f>
        <v>#DIV/0!</v>
      </c>
      <c r="AZ359" s="973" t="s">
        <v>19</v>
      </c>
      <c r="BA359" s="969" t="e">
        <f t="shared" si="27"/>
        <v>#DIV/0!</v>
      </c>
      <c r="BB359" s="970" t="e">
        <f t="shared" si="28"/>
        <v>#DIV/0!</v>
      </c>
      <c r="BC359" s="971" t="e">
        <f t="shared" ca="1" si="29"/>
        <v>#DIV/0!</v>
      </c>
      <c r="BD359" s="228">
        <f>input_values!Z359</f>
        <v>4</v>
      </c>
      <c r="BE359" s="152">
        <f>input_values!L359</f>
        <v>0</v>
      </c>
      <c r="BF359" s="972" t="str">
        <f t="shared" si="30"/>
        <v/>
      </c>
    </row>
    <row r="360" spans="1:58" ht="12" customHeight="1" outlineLevel="2" x14ac:dyDescent="0.2">
      <c r="A360" s="353">
        <v>3</v>
      </c>
      <c r="B360" s="5">
        <v>1016000</v>
      </c>
      <c r="C360" s="5" t="s">
        <v>802</v>
      </c>
      <c r="D360" s="965">
        <f>Table22[[#This Row],[MRL individual commodity]]</f>
        <v>0</v>
      </c>
      <c r="E360" s="300">
        <f>Table22[[#This Row],[LOQ_label]]</f>
        <v>0</v>
      </c>
      <c r="F360" s="966">
        <f>Table22[[#This Row],[Chronic RA input value]]</f>
        <v>0</v>
      </c>
      <c r="G360" s="304">
        <f>Table22[[#This Row],[Chronic RA label]]</f>
        <v>0</v>
      </c>
      <c r="H360" s="304">
        <f>Table22[[#This Row],[GAP under assessment]]</f>
        <v>0</v>
      </c>
      <c r="I360" s="1123"/>
      <c r="J360" s="967" t="e">
        <f>IF($F360="","",$F360*chronic_consumption!$E360/1000/$C$3)</f>
        <v>#DIV/0!</v>
      </c>
      <c r="K360" s="967" t="e">
        <f>IF($F360="","",$F360*chronic_consumption!F360/1000/$C$3)</f>
        <v>#DIV/0!</v>
      </c>
      <c r="L360" s="967" t="e">
        <f>IF($F360="","",$F360*chronic_consumption!G360/1000/$C$3)</f>
        <v>#DIV/0!</v>
      </c>
      <c r="M360" s="967" t="e">
        <f>IF($F360="","",$F360*chronic_consumption!H360/1000/$C$3)</f>
        <v>#DIV/0!</v>
      </c>
      <c r="N360" s="967" t="e">
        <f>IF($F360="","",$F360*chronic_consumption!I360/1000/$C$3)</f>
        <v>#DIV/0!</v>
      </c>
      <c r="O360" s="967" t="e">
        <f>IF($F360="","",$F360*chronic_consumption!J360/1000/$C$3)</f>
        <v>#DIV/0!</v>
      </c>
      <c r="P360" s="967" t="e">
        <f>IF($F360="","",$F360*chronic_consumption!K360/1000/$C$3)</f>
        <v>#DIV/0!</v>
      </c>
      <c r="Q360" s="967" t="e">
        <f>IF($F360="","",$F360*chronic_consumption!L360/1000/$C$3)</f>
        <v>#DIV/0!</v>
      </c>
      <c r="R360" s="967" t="e">
        <f>IF($F360="","",$F360*chronic_consumption!M360/1000/$C$3)</f>
        <v>#DIV/0!</v>
      </c>
      <c r="S360" s="967" t="e">
        <f>IF($F360="","",$F360*chronic_consumption!N360/1000/$C$3)</f>
        <v>#DIV/0!</v>
      </c>
      <c r="T360" s="967" t="e">
        <f>IF($F360="","",$F360*chronic_consumption!O360/1000/$C$3)</f>
        <v>#DIV/0!</v>
      </c>
      <c r="U360" s="967" t="e">
        <f>IF($F360="","",$F360*chronic_consumption!P360/1000/$C$3)</f>
        <v>#DIV/0!</v>
      </c>
      <c r="V360" s="967" t="e">
        <f>IF($F360="","",$F360*chronic_consumption!Q360/1000/$C$3)</f>
        <v>#DIV/0!</v>
      </c>
      <c r="W360" s="967" t="e">
        <f>IF($F360="","",$F360*chronic_consumption!R360/1000/$C$3)</f>
        <v>#DIV/0!</v>
      </c>
      <c r="X360" s="967" t="e">
        <f>IF($F360="","",$F360*chronic_consumption!S360/1000/$C$3)</f>
        <v>#DIV/0!</v>
      </c>
      <c r="Y360" s="967" t="e">
        <f>IF($F360="","",$F360*chronic_consumption!T360/1000/$C$3)</f>
        <v>#DIV/0!</v>
      </c>
      <c r="Z360" s="967" t="e">
        <f>IF($F360="","",$F360*chronic_consumption!U360/1000/$C$3)</f>
        <v>#DIV/0!</v>
      </c>
      <c r="AA360" s="967" t="e">
        <f>IF($F360="","",$F360*chronic_consumption!V360/1000/$C$3)</f>
        <v>#DIV/0!</v>
      </c>
      <c r="AB360" s="967" t="e">
        <f>IF($F360="","",$F360*chronic_consumption!W360/1000/$C$3)</f>
        <v>#DIV/0!</v>
      </c>
      <c r="AC360" s="967" t="e">
        <f>IF($F360="","",$F360*chronic_consumption!X360/1000/$C$3)</f>
        <v>#DIV/0!</v>
      </c>
      <c r="AD360" s="967" t="e">
        <f>IF($F360="","",$F360*chronic_consumption!Y360/1000/$C$3)</f>
        <v>#DIV/0!</v>
      </c>
      <c r="AE360" s="967" t="e">
        <f>IF($F360="","",$F360*chronic_consumption!Z360/1000/$C$3)</f>
        <v>#DIV/0!</v>
      </c>
      <c r="AF360" s="967" t="e">
        <f>IF($F360="","",$F360*chronic_consumption!AA360/1000/$C$3)</f>
        <v>#DIV/0!</v>
      </c>
      <c r="AG360" s="967" t="e">
        <f>IF($F360="","",$F360*chronic_consumption!AB360/1000/$C$3)</f>
        <v>#DIV/0!</v>
      </c>
      <c r="AH360" s="967" t="e">
        <f>IF($F360="","",$F360*chronic_consumption!AC360/1000/$C$3)</f>
        <v>#DIV/0!</v>
      </c>
      <c r="AI360" s="967" t="e">
        <f>IF($F360="","",$F360*chronic_consumption!AD360/1000/$C$3)</f>
        <v>#DIV/0!</v>
      </c>
      <c r="AJ360" s="967" t="e">
        <f>IF($F360="","",$F360*chronic_consumption!AE360/1000/$C$3)</f>
        <v>#DIV/0!</v>
      </c>
      <c r="AK360" s="967" t="e">
        <f>IF($F360="","",$F360*chronic_consumption!AF360/1000/$C$3)</f>
        <v>#DIV/0!</v>
      </c>
      <c r="AL360" s="967" t="e">
        <f>IF($F360="","",$F360*chronic_consumption!AG360/1000/$C$3)</f>
        <v>#DIV/0!</v>
      </c>
      <c r="AM360" s="967" t="e">
        <f>IF($F360="","",$F360*chronic_consumption!AH360/1000/$C$3)</f>
        <v>#DIV/0!</v>
      </c>
      <c r="AN360" s="967" t="e">
        <f>IF($F360="","",$F360*chronic_consumption!AI360/1000/$C$3)</f>
        <v>#DIV/0!</v>
      </c>
      <c r="AO360" s="967" t="e">
        <f>IF($F360="","",$F360*chronic_consumption!AJ360/1000/$C$3)</f>
        <v>#DIV/0!</v>
      </c>
      <c r="AP360" s="967" t="e">
        <f>IF($F360="","",$F360*chronic_consumption!AK360/1000/$C$3)</f>
        <v>#DIV/0!</v>
      </c>
      <c r="AQ360" s="967" t="e">
        <f>IF($F360="","",$F360*chronic_consumption!AL360/1000/$C$3)</f>
        <v>#DIV/0!</v>
      </c>
      <c r="AR360" s="967" t="e">
        <f>IF($F360="","",$F360*chronic_consumption!AM360/1000/$C$3)</f>
        <v>#DIV/0!</v>
      </c>
      <c r="AS360" s="967" t="e">
        <f>IF($F360="","",$F360*chronic_consumption!AN360/1000/$C$3)</f>
        <v>#DIV/0!</v>
      </c>
      <c r="AT360" s="967" t="e">
        <f>IF($F360="","",$F360*chronic_consumption!AO360/1000/$C$3)</f>
        <v>#DIV/0!</v>
      </c>
      <c r="AU360" s="967"/>
      <c r="AV360" s="967" t="e">
        <f>IF($F360="","",$F360*chronic_consumption!AQ360/1000/$C$3)</f>
        <v>#DIV/0!</v>
      </c>
      <c r="AW360" s="967" t="e">
        <f>IF($F360="","",$F360*chronic_consumption!AR360/1000/$C$3)</f>
        <v>#DIV/0!</v>
      </c>
      <c r="AX360" s="967" t="e">
        <f>IF($F360="","",$F360*chronic_consumption!AS360/1000/$C$3)</f>
        <v>#DIV/0!</v>
      </c>
      <c r="AY360" s="967" t="e">
        <f>IF($F360="","",$F360*chronic_consumption!AT360/1000/$C$3)</f>
        <v>#DIV/0!</v>
      </c>
      <c r="AZ360" s="973"/>
      <c r="BA360" s="969" t="e">
        <f t="shared" si="27"/>
        <v>#DIV/0!</v>
      </c>
      <c r="BB360" s="970" t="e">
        <f t="shared" si="28"/>
        <v>#DIV/0!</v>
      </c>
      <c r="BC360" s="971" t="e">
        <f t="shared" ca="1" si="29"/>
        <v>#DIV/0!</v>
      </c>
      <c r="BD360" s="228">
        <f>input_values!Z360</f>
        <v>4</v>
      </c>
      <c r="BE360" s="152">
        <f>input_values!L360</f>
        <v>0</v>
      </c>
      <c r="BF360" s="972" t="str">
        <f t="shared" si="30"/>
        <v/>
      </c>
    </row>
    <row r="361" spans="1:58" ht="12" customHeight="1" outlineLevel="3" x14ac:dyDescent="0.2">
      <c r="A361" s="21">
        <v>4</v>
      </c>
      <c r="B361" s="23">
        <v>1016010</v>
      </c>
      <c r="C361" s="23" t="s">
        <v>867</v>
      </c>
      <c r="D361" s="965">
        <f>Table22[[#This Row],[MRL individual commodity]]</f>
        <v>0</v>
      </c>
      <c r="E361" s="300" t="str">
        <f>Table22[[#This Row],[LOQ_label]]</f>
        <v/>
      </c>
      <c r="F361" s="975">
        <f>Table22[[#This Row],[Chronic RA input value]]</f>
        <v>0</v>
      </c>
      <c r="G361" s="304" t="str">
        <f>Table22[[#This Row],[Chronic RA label]]</f>
        <v/>
      </c>
      <c r="H361" s="304">
        <f>Table22[[#This Row],[GAP under assessment]]</f>
        <v>0</v>
      </c>
      <c r="I361" s="1123"/>
      <c r="J361" s="974" t="e">
        <f>IF($F361="","",$F361*chronic_consumption!$E361/1000/$C$3)</f>
        <v>#DIV/0!</v>
      </c>
      <c r="K361" s="974" t="e">
        <f>IF($F361="","",$F361*chronic_consumption!F361/1000/$C$3)</f>
        <v>#DIV/0!</v>
      </c>
      <c r="L361" s="974" t="e">
        <f>IF($F361="","",$F361*chronic_consumption!G361/1000/$C$3)</f>
        <v>#DIV/0!</v>
      </c>
      <c r="M361" s="974" t="e">
        <f>IF($F361="","",$F361*chronic_consumption!H361/1000/$C$3)</f>
        <v>#DIV/0!</v>
      </c>
      <c r="N361" s="974" t="e">
        <f>IF($F361="","",$F361*chronic_consumption!I361/1000/$C$3)</f>
        <v>#DIV/0!</v>
      </c>
      <c r="O361" s="974" t="e">
        <f>IF($F361="","",$F361*chronic_consumption!J361/1000/$C$3)</f>
        <v>#DIV/0!</v>
      </c>
      <c r="P361" s="974" t="e">
        <f>IF($F361="","",$F361*chronic_consumption!K361/1000/$C$3)</f>
        <v>#DIV/0!</v>
      </c>
      <c r="Q361" s="974" t="e">
        <f>IF($F361="","",$F361*chronic_consumption!L361/1000/$C$3)</f>
        <v>#DIV/0!</v>
      </c>
      <c r="R361" s="974" t="e">
        <f>IF($F361="","",$F361*chronic_consumption!M361/1000/$C$3)</f>
        <v>#DIV/0!</v>
      </c>
      <c r="S361" s="974" t="e">
        <f>IF($F361="","",$F361*chronic_consumption!N361/1000/$C$3)</f>
        <v>#DIV/0!</v>
      </c>
      <c r="T361" s="974" t="e">
        <f>IF($F361="","",$F361*chronic_consumption!O361/1000/$C$3)</f>
        <v>#DIV/0!</v>
      </c>
      <c r="U361" s="974" t="e">
        <f>IF($F361="","",$F361*chronic_consumption!P361/1000/$C$3)</f>
        <v>#DIV/0!</v>
      </c>
      <c r="V361" s="974" t="e">
        <f>IF($F361="","",$F361*chronic_consumption!Q361/1000/$C$3)</f>
        <v>#DIV/0!</v>
      </c>
      <c r="W361" s="974" t="e">
        <f>IF($F361="","",$F361*chronic_consumption!R361/1000/$C$3)</f>
        <v>#DIV/0!</v>
      </c>
      <c r="X361" s="974" t="e">
        <f>IF($F361="","",$F361*chronic_consumption!S361/1000/$C$3)</f>
        <v>#DIV/0!</v>
      </c>
      <c r="Y361" s="974" t="e">
        <f>IF($F361="","",$F361*chronic_consumption!T361/1000/$C$3)</f>
        <v>#DIV/0!</v>
      </c>
      <c r="Z361" s="974" t="e">
        <f>IF($F361="","",$F361*chronic_consumption!U361/1000/$C$3)</f>
        <v>#DIV/0!</v>
      </c>
      <c r="AA361" s="974" t="e">
        <f>IF($F361="","",$F361*chronic_consumption!V361/1000/$C$3)</f>
        <v>#DIV/0!</v>
      </c>
      <c r="AB361" s="974" t="e">
        <f>IF($F361="","",$F361*chronic_consumption!W361/1000/$C$3)</f>
        <v>#DIV/0!</v>
      </c>
      <c r="AC361" s="974" t="e">
        <f>IF($F361="","",$F361*chronic_consumption!X361/1000/$C$3)</f>
        <v>#DIV/0!</v>
      </c>
      <c r="AD361" s="974" t="e">
        <f>IF($F361="","",$F361*chronic_consumption!Y361/1000/$C$3)</f>
        <v>#DIV/0!</v>
      </c>
      <c r="AE361" s="974" t="e">
        <f>IF($F361="","",$F361*chronic_consumption!Z361/1000/$C$3)</f>
        <v>#DIV/0!</v>
      </c>
      <c r="AF361" s="974" t="e">
        <f>IF($F361="","",$F361*chronic_consumption!AA361/1000/$C$3)</f>
        <v>#DIV/0!</v>
      </c>
      <c r="AG361" s="974" t="e">
        <f>IF($F361="","",$F361*chronic_consumption!AB361/1000/$C$3)</f>
        <v>#DIV/0!</v>
      </c>
      <c r="AH361" s="974" t="e">
        <f>IF($F361="","",$F361*chronic_consumption!AC361/1000/$C$3)</f>
        <v>#DIV/0!</v>
      </c>
      <c r="AI361" s="974" t="e">
        <f>IF($F361="","",$F361*chronic_consumption!AD361/1000/$C$3)</f>
        <v>#DIV/0!</v>
      </c>
      <c r="AJ361" s="974" t="e">
        <f>IF($F361="","",$F361*chronic_consumption!AE361/1000/$C$3)</f>
        <v>#DIV/0!</v>
      </c>
      <c r="AK361" s="974" t="e">
        <f>IF($F361="","",$F361*chronic_consumption!AF361/1000/$C$3)</f>
        <v>#DIV/0!</v>
      </c>
      <c r="AL361" s="974" t="e">
        <f>IF($F361="","",$F361*chronic_consumption!AG361/1000/$C$3)</f>
        <v>#DIV/0!</v>
      </c>
      <c r="AM361" s="974" t="e">
        <f>IF($F361="","",$F361*chronic_consumption!AH361/1000/$C$3)</f>
        <v>#DIV/0!</v>
      </c>
      <c r="AN361" s="974" t="e">
        <f>IF($F361="","",$F361*chronic_consumption!AI361/1000/$C$3)</f>
        <v>#DIV/0!</v>
      </c>
      <c r="AO361" s="974" t="e">
        <f>IF($F361="","",$F361*chronic_consumption!AJ361/1000/$C$3)</f>
        <v>#DIV/0!</v>
      </c>
      <c r="AP361" s="974" t="e">
        <f>IF($F361="","",$F361*chronic_consumption!AK361/1000/$C$3)</f>
        <v>#DIV/0!</v>
      </c>
      <c r="AQ361" s="974" t="e">
        <f>IF($F361="","",$F361*chronic_consumption!AL361/1000/$C$3)</f>
        <v>#DIV/0!</v>
      </c>
      <c r="AR361" s="974" t="e">
        <f>IF($F361="","",$F361*chronic_consumption!AM361/1000/$C$3)</f>
        <v>#DIV/0!</v>
      </c>
      <c r="AS361" s="974" t="e">
        <f>IF($F361="","",$F361*chronic_consumption!AN361/1000/$C$3)</f>
        <v>#DIV/0!</v>
      </c>
      <c r="AT361" s="974" t="e">
        <f>IF($F361="","",$F361*chronic_consumption!AO361/1000/$C$3)</f>
        <v>#DIV/0!</v>
      </c>
      <c r="AU361" s="974"/>
      <c r="AV361" s="974" t="e">
        <f>IF($F361="","",$F361*chronic_consumption!AQ361/1000/$C$3)</f>
        <v>#DIV/0!</v>
      </c>
      <c r="AW361" s="974" t="e">
        <f>IF($F361="","",$F361*chronic_consumption!AR361/1000/$C$3)</f>
        <v>#DIV/0!</v>
      </c>
      <c r="AX361" s="974" t="e">
        <f>IF($F361="","",$F361*chronic_consumption!AS361/1000/$C$3)</f>
        <v>#DIV/0!</v>
      </c>
      <c r="AY361" s="974" t="e">
        <f>IF($F361="","",$F361*chronic_consumption!AT361/1000/$C$3)</f>
        <v>#DIV/0!</v>
      </c>
      <c r="AZ361" s="973" t="s">
        <v>19</v>
      </c>
      <c r="BA361" s="969" t="e">
        <f t="shared" si="27"/>
        <v>#DIV/0!</v>
      </c>
      <c r="BB361" s="970" t="e">
        <f t="shared" si="28"/>
        <v>#DIV/0!</v>
      </c>
      <c r="BC361" s="971" t="e">
        <f t="shared" ca="1" si="29"/>
        <v>#DIV/0!</v>
      </c>
      <c r="BD361" s="228">
        <f>input_values!Z361</f>
        <v>4</v>
      </c>
      <c r="BE361" s="152">
        <f>input_values!L361</f>
        <v>0</v>
      </c>
      <c r="BF361" s="972" t="str">
        <f t="shared" si="30"/>
        <v/>
      </c>
    </row>
    <row r="362" spans="1:58" ht="12" customHeight="1" outlineLevel="3" x14ac:dyDescent="0.2">
      <c r="A362" s="21">
        <v>4</v>
      </c>
      <c r="B362" s="23">
        <v>1016020</v>
      </c>
      <c r="C362" s="23" t="s">
        <v>793</v>
      </c>
      <c r="D362" s="965">
        <f>Table22[[#This Row],[MRL individual commodity]]</f>
        <v>0</v>
      </c>
      <c r="E362" s="300" t="str">
        <f>Table22[[#This Row],[LOQ_label]]</f>
        <v/>
      </c>
      <c r="F362" s="966">
        <f>Table22[[#This Row],[Chronic RA input value]]</f>
        <v>0</v>
      </c>
      <c r="G362" s="304" t="str">
        <f>Table22[[#This Row],[Chronic RA label]]</f>
        <v/>
      </c>
      <c r="H362" s="304">
        <f>Table22[[#This Row],[GAP under assessment]]</f>
        <v>0</v>
      </c>
      <c r="I362" s="1123"/>
      <c r="J362" s="974" t="e">
        <f>IF($F362="","",$F362*chronic_consumption!$E362/1000/$C$3)</f>
        <v>#DIV/0!</v>
      </c>
      <c r="K362" s="974" t="e">
        <f>IF($F362="","",$F362*chronic_consumption!F362/1000/$C$3)</f>
        <v>#DIV/0!</v>
      </c>
      <c r="L362" s="974" t="e">
        <f>IF($F362="","",$F362*chronic_consumption!G362/1000/$C$3)</f>
        <v>#DIV/0!</v>
      </c>
      <c r="M362" s="974" t="e">
        <f>IF($F362="","",$F362*chronic_consumption!H362/1000/$C$3)</f>
        <v>#DIV/0!</v>
      </c>
      <c r="N362" s="974" t="e">
        <f>IF($F362="","",$F362*chronic_consumption!I362/1000/$C$3)</f>
        <v>#DIV/0!</v>
      </c>
      <c r="O362" s="974" t="e">
        <f>IF($F362="","",$F362*chronic_consumption!J362/1000/$C$3)</f>
        <v>#DIV/0!</v>
      </c>
      <c r="P362" s="974" t="e">
        <f>IF($F362="","",$F362*chronic_consumption!K362/1000/$C$3)</f>
        <v>#DIV/0!</v>
      </c>
      <c r="Q362" s="974" t="e">
        <f>IF($F362="","",$F362*chronic_consumption!L362/1000/$C$3)</f>
        <v>#DIV/0!</v>
      </c>
      <c r="R362" s="974" t="e">
        <f>IF($F362="","",$F362*chronic_consumption!M362/1000/$C$3)</f>
        <v>#DIV/0!</v>
      </c>
      <c r="S362" s="974" t="e">
        <f>IF($F362="","",$F362*chronic_consumption!N362/1000/$C$3)</f>
        <v>#DIV/0!</v>
      </c>
      <c r="T362" s="974" t="e">
        <f>IF($F362="","",$F362*chronic_consumption!O362/1000/$C$3)</f>
        <v>#DIV/0!</v>
      </c>
      <c r="U362" s="974" t="e">
        <f>IF($F362="","",$F362*chronic_consumption!P362/1000/$C$3)</f>
        <v>#DIV/0!</v>
      </c>
      <c r="V362" s="974" t="e">
        <f>IF($F362="","",$F362*chronic_consumption!Q362/1000/$C$3)</f>
        <v>#DIV/0!</v>
      </c>
      <c r="W362" s="974" t="e">
        <f>IF($F362="","",$F362*chronic_consumption!R362/1000/$C$3)</f>
        <v>#DIV/0!</v>
      </c>
      <c r="X362" s="974" t="e">
        <f>IF($F362="","",$F362*chronic_consumption!S362/1000/$C$3)</f>
        <v>#DIV/0!</v>
      </c>
      <c r="Y362" s="974" t="e">
        <f>IF($F362="","",$F362*chronic_consumption!T362/1000/$C$3)</f>
        <v>#DIV/0!</v>
      </c>
      <c r="Z362" s="974" t="e">
        <f>IF($F362="","",$F362*chronic_consumption!U362/1000/$C$3)</f>
        <v>#DIV/0!</v>
      </c>
      <c r="AA362" s="974" t="e">
        <f>IF($F362="","",$F362*chronic_consumption!V362/1000/$C$3)</f>
        <v>#DIV/0!</v>
      </c>
      <c r="AB362" s="974" t="e">
        <f>IF($F362="","",$F362*chronic_consumption!W362/1000/$C$3)</f>
        <v>#DIV/0!</v>
      </c>
      <c r="AC362" s="974" t="e">
        <f>IF($F362="","",$F362*chronic_consumption!X362/1000/$C$3)</f>
        <v>#DIV/0!</v>
      </c>
      <c r="AD362" s="974" t="e">
        <f>IF($F362="","",$F362*chronic_consumption!Y362/1000/$C$3)</f>
        <v>#DIV/0!</v>
      </c>
      <c r="AE362" s="974" t="e">
        <f>IF($F362="","",$F362*chronic_consumption!Z362/1000/$C$3)</f>
        <v>#DIV/0!</v>
      </c>
      <c r="AF362" s="974" t="e">
        <f>IF($F362="","",$F362*chronic_consumption!AA362/1000/$C$3)</f>
        <v>#DIV/0!</v>
      </c>
      <c r="AG362" s="974" t="e">
        <f>IF($F362="","",$F362*chronic_consumption!AB362/1000/$C$3)</f>
        <v>#DIV/0!</v>
      </c>
      <c r="AH362" s="974" t="e">
        <f>IF($F362="","",$F362*chronic_consumption!AC362/1000/$C$3)</f>
        <v>#DIV/0!</v>
      </c>
      <c r="AI362" s="974" t="e">
        <f>IF($F362="","",$F362*chronic_consumption!AD362/1000/$C$3)</f>
        <v>#DIV/0!</v>
      </c>
      <c r="AJ362" s="974" t="e">
        <f>IF($F362="","",$F362*chronic_consumption!AE362/1000/$C$3)</f>
        <v>#DIV/0!</v>
      </c>
      <c r="AK362" s="974" t="e">
        <f>IF($F362="","",$F362*chronic_consumption!AF362/1000/$C$3)</f>
        <v>#DIV/0!</v>
      </c>
      <c r="AL362" s="974" t="e">
        <f>IF($F362="","",$F362*chronic_consumption!AG362/1000/$C$3)</f>
        <v>#DIV/0!</v>
      </c>
      <c r="AM362" s="974" t="e">
        <f>IF($F362="","",$F362*chronic_consumption!AH362/1000/$C$3)</f>
        <v>#DIV/0!</v>
      </c>
      <c r="AN362" s="974" t="e">
        <f>IF($F362="","",$F362*chronic_consumption!AI362/1000/$C$3)</f>
        <v>#DIV/0!</v>
      </c>
      <c r="AO362" s="974" t="e">
        <f>IF($F362="","",$F362*chronic_consumption!AJ362/1000/$C$3)</f>
        <v>#DIV/0!</v>
      </c>
      <c r="AP362" s="974" t="e">
        <f>IF($F362="","",$F362*chronic_consumption!AK362/1000/$C$3)</f>
        <v>#DIV/0!</v>
      </c>
      <c r="AQ362" s="974" t="e">
        <f>IF($F362="","",$F362*chronic_consumption!AL362/1000/$C$3)</f>
        <v>#DIV/0!</v>
      </c>
      <c r="AR362" s="974" t="e">
        <f>IF($F362="","",$F362*chronic_consumption!AM362/1000/$C$3)</f>
        <v>#DIV/0!</v>
      </c>
      <c r="AS362" s="974" t="e">
        <f>IF($F362="","",$F362*chronic_consumption!AN362/1000/$C$3)</f>
        <v>#DIV/0!</v>
      </c>
      <c r="AT362" s="974" t="e">
        <f>IF($F362="","",$F362*chronic_consumption!AO362/1000/$C$3)</f>
        <v>#DIV/0!</v>
      </c>
      <c r="AU362" s="974"/>
      <c r="AV362" s="974" t="e">
        <f>IF($F362="","",$F362*chronic_consumption!AQ362/1000/$C$3)</f>
        <v>#DIV/0!</v>
      </c>
      <c r="AW362" s="974" t="e">
        <f>IF($F362="","",$F362*chronic_consumption!AR362/1000/$C$3)</f>
        <v>#DIV/0!</v>
      </c>
      <c r="AX362" s="974" t="e">
        <f>IF($F362="","",$F362*chronic_consumption!AS362/1000/$C$3)</f>
        <v>#DIV/0!</v>
      </c>
      <c r="AY362" s="974" t="e">
        <f>IF($F362="","",$F362*chronic_consumption!AT362/1000/$C$3)</f>
        <v>#DIV/0!</v>
      </c>
      <c r="AZ362" s="973" t="s">
        <v>19</v>
      </c>
      <c r="BA362" s="969" t="e">
        <f t="shared" si="27"/>
        <v>#DIV/0!</v>
      </c>
      <c r="BB362" s="970" t="e">
        <f t="shared" si="28"/>
        <v>#DIV/0!</v>
      </c>
      <c r="BC362" s="971" t="e">
        <f t="shared" ca="1" si="29"/>
        <v>#DIV/0!</v>
      </c>
      <c r="BD362" s="228">
        <f>input_values!Z362</f>
        <v>4</v>
      </c>
      <c r="BE362" s="152">
        <f>input_values!L362</f>
        <v>0</v>
      </c>
      <c r="BF362" s="972" t="str">
        <f t="shared" si="30"/>
        <v/>
      </c>
    </row>
    <row r="363" spans="1:58" ht="12" customHeight="1" outlineLevel="3" x14ac:dyDescent="0.2">
      <c r="A363" s="21">
        <v>4</v>
      </c>
      <c r="B363" s="23">
        <v>1016030</v>
      </c>
      <c r="C363" s="23" t="s">
        <v>201</v>
      </c>
      <c r="D363" s="965">
        <f>Table22[[#This Row],[MRL individual commodity]]</f>
        <v>0</v>
      </c>
      <c r="E363" s="300" t="str">
        <f>Table22[[#This Row],[LOQ_label]]</f>
        <v/>
      </c>
      <c r="F363" s="966">
        <f>Table22[[#This Row],[Chronic RA input value]]</f>
        <v>0</v>
      </c>
      <c r="G363" s="304" t="str">
        <f>Table22[[#This Row],[Chronic RA label]]</f>
        <v/>
      </c>
      <c r="H363" s="304">
        <f>Table22[[#This Row],[GAP under assessment]]</f>
        <v>0</v>
      </c>
      <c r="I363" s="1123"/>
      <c r="J363" s="974" t="e">
        <f>IF($F363="","",$F363*chronic_consumption!$E363/1000/$C$3)</f>
        <v>#DIV/0!</v>
      </c>
      <c r="K363" s="974" t="e">
        <f>IF($F363="","",$F363*chronic_consumption!F363/1000/$C$3)</f>
        <v>#DIV/0!</v>
      </c>
      <c r="L363" s="974" t="e">
        <f>IF($F363="","",$F363*chronic_consumption!G363/1000/$C$3)</f>
        <v>#DIV/0!</v>
      </c>
      <c r="M363" s="974" t="e">
        <f>IF($F363="","",$F363*chronic_consumption!H363/1000/$C$3)</f>
        <v>#DIV/0!</v>
      </c>
      <c r="N363" s="974" t="e">
        <f>IF($F363="","",$F363*chronic_consumption!I363/1000/$C$3)</f>
        <v>#DIV/0!</v>
      </c>
      <c r="O363" s="974" t="e">
        <f>IF($F363="","",$F363*chronic_consumption!J363/1000/$C$3)</f>
        <v>#DIV/0!</v>
      </c>
      <c r="P363" s="974" t="e">
        <f>IF($F363="","",$F363*chronic_consumption!K363/1000/$C$3)</f>
        <v>#DIV/0!</v>
      </c>
      <c r="Q363" s="974" t="e">
        <f>IF($F363="","",$F363*chronic_consumption!L363/1000/$C$3)</f>
        <v>#DIV/0!</v>
      </c>
      <c r="R363" s="974" t="e">
        <f>IF($F363="","",$F363*chronic_consumption!M363/1000/$C$3)</f>
        <v>#DIV/0!</v>
      </c>
      <c r="S363" s="974" t="e">
        <f>IF($F363="","",$F363*chronic_consumption!N363/1000/$C$3)</f>
        <v>#DIV/0!</v>
      </c>
      <c r="T363" s="974" t="e">
        <f>IF($F363="","",$F363*chronic_consumption!O363/1000/$C$3)</f>
        <v>#DIV/0!</v>
      </c>
      <c r="U363" s="974" t="e">
        <f>IF($F363="","",$F363*chronic_consumption!P363/1000/$C$3)</f>
        <v>#DIV/0!</v>
      </c>
      <c r="V363" s="974" t="e">
        <f>IF($F363="","",$F363*chronic_consumption!Q363/1000/$C$3)</f>
        <v>#DIV/0!</v>
      </c>
      <c r="W363" s="974" t="e">
        <f>IF($F363="","",$F363*chronic_consumption!R363/1000/$C$3)</f>
        <v>#DIV/0!</v>
      </c>
      <c r="X363" s="974" t="e">
        <f>IF($F363="","",$F363*chronic_consumption!S363/1000/$C$3)</f>
        <v>#DIV/0!</v>
      </c>
      <c r="Y363" s="974" t="e">
        <f>IF($F363="","",$F363*chronic_consumption!T363/1000/$C$3)</f>
        <v>#DIV/0!</v>
      </c>
      <c r="Z363" s="974" t="e">
        <f>IF($F363="","",$F363*chronic_consumption!U363/1000/$C$3)</f>
        <v>#DIV/0!</v>
      </c>
      <c r="AA363" s="974" t="e">
        <f>IF($F363="","",$F363*chronic_consumption!V363/1000/$C$3)</f>
        <v>#DIV/0!</v>
      </c>
      <c r="AB363" s="974" t="e">
        <f>IF($F363="","",$F363*chronic_consumption!W363/1000/$C$3)</f>
        <v>#DIV/0!</v>
      </c>
      <c r="AC363" s="974" t="e">
        <f>IF($F363="","",$F363*chronic_consumption!X363/1000/$C$3)</f>
        <v>#DIV/0!</v>
      </c>
      <c r="AD363" s="974" t="e">
        <f>IF($F363="","",$F363*chronic_consumption!Y363/1000/$C$3)</f>
        <v>#DIV/0!</v>
      </c>
      <c r="AE363" s="974" t="e">
        <f>IF($F363="","",$F363*chronic_consumption!Z363/1000/$C$3)</f>
        <v>#DIV/0!</v>
      </c>
      <c r="AF363" s="974" t="e">
        <f>IF($F363="","",$F363*chronic_consumption!AA363/1000/$C$3)</f>
        <v>#DIV/0!</v>
      </c>
      <c r="AG363" s="974" t="e">
        <f>IF($F363="","",$F363*chronic_consumption!AB363/1000/$C$3)</f>
        <v>#DIV/0!</v>
      </c>
      <c r="AH363" s="974" t="e">
        <f>IF($F363="","",$F363*chronic_consumption!AC363/1000/$C$3)</f>
        <v>#DIV/0!</v>
      </c>
      <c r="AI363" s="974" t="e">
        <f>IF($F363="","",$F363*chronic_consumption!AD363/1000/$C$3)</f>
        <v>#DIV/0!</v>
      </c>
      <c r="AJ363" s="974" t="e">
        <f>IF($F363="","",$F363*chronic_consumption!AE363/1000/$C$3)</f>
        <v>#DIV/0!</v>
      </c>
      <c r="AK363" s="974" t="e">
        <f>IF($F363="","",$F363*chronic_consumption!AF363/1000/$C$3)</f>
        <v>#DIV/0!</v>
      </c>
      <c r="AL363" s="974" t="e">
        <f>IF($F363="","",$F363*chronic_consumption!AG363/1000/$C$3)</f>
        <v>#DIV/0!</v>
      </c>
      <c r="AM363" s="974" t="e">
        <f>IF($F363="","",$F363*chronic_consumption!AH363/1000/$C$3)</f>
        <v>#DIV/0!</v>
      </c>
      <c r="AN363" s="974" t="e">
        <f>IF($F363="","",$F363*chronic_consumption!AI363/1000/$C$3)</f>
        <v>#DIV/0!</v>
      </c>
      <c r="AO363" s="974" t="e">
        <f>IF($F363="","",$F363*chronic_consumption!AJ363/1000/$C$3)</f>
        <v>#DIV/0!</v>
      </c>
      <c r="AP363" s="974" t="e">
        <f>IF($F363="","",$F363*chronic_consumption!AK363/1000/$C$3)</f>
        <v>#DIV/0!</v>
      </c>
      <c r="AQ363" s="974" t="e">
        <f>IF($F363="","",$F363*chronic_consumption!AL363/1000/$C$3)</f>
        <v>#DIV/0!</v>
      </c>
      <c r="AR363" s="974" t="e">
        <f>IF($F363="","",$F363*chronic_consumption!AM363/1000/$C$3)</f>
        <v>#DIV/0!</v>
      </c>
      <c r="AS363" s="974" t="e">
        <f>IF($F363="","",$F363*chronic_consumption!AN363/1000/$C$3)</f>
        <v>#DIV/0!</v>
      </c>
      <c r="AT363" s="974" t="e">
        <f>IF($F363="","",$F363*chronic_consumption!AO363/1000/$C$3)</f>
        <v>#DIV/0!</v>
      </c>
      <c r="AU363" s="974"/>
      <c r="AV363" s="974" t="e">
        <f>IF($F363="","",$F363*chronic_consumption!AQ363/1000/$C$3)</f>
        <v>#DIV/0!</v>
      </c>
      <c r="AW363" s="974" t="e">
        <f>IF($F363="","",$F363*chronic_consumption!AR363/1000/$C$3)</f>
        <v>#DIV/0!</v>
      </c>
      <c r="AX363" s="974" t="e">
        <f>IF($F363="","",$F363*chronic_consumption!AS363/1000/$C$3)</f>
        <v>#DIV/0!</v>
      </c>
      <c r="AY363" s="974" t="e">
        <f>IF($F363="","",$F363*chronic_consumption!AT363/1000/$C$3)</f>
        <v>#DIV/0!</v>
      </c>
      <c r="AZ363" s="973" t="s">
        <v>19</v>
      </c>
      <c r="BA363" s="969" t="e">
        <f t="shared" si="27"/>
        <v>#DIV/0!</v>
      </c>
      <c r="BB363" s="970" t="e">
        <f t="shared" si="28"/>
        <v>#DIV/0!</v>
      </c>
      <c r="BC363" s="971" t="e">
        <f t="shared" ca="1" si="29"/>
        <v>#DIV/0!</v>
      </c>
      <c r="BD363" s="228">
        <f>input_values!Z363</f>
        <v>4</v>
      </c>
      <c r="BE363" s="152">
        <f>input_values!L363</f>
        <v>0</v>
      </c>
      <c r="BF363" s="972" t="str">
        <f t="shared" si="30"/>
        <v/>
      </c>
    </row>
    <row r="364" spans="1:58" ht="12" customHeight="1" outlineLevel="3" x14ac:dyDescent="0.2">
      <c r="A364" s="21">
        <v>4</v>
      </c>
      <c r="B364" s="23">
        <v>1016040</v>
      </c>
      <c r="C364" s="23" t="s">
        <v>147</v>
      </c>
      <c r="D364" s="965">
        <f>Table22[[#This Row],[MRL individual commodity]]</f>
        <v>0</v>
      </c>
      <c r="E364" s="300" t="str">
        <f>Table22[[#This Row],[LOQ_label]]</f>
        <v/>
      </c>
      <c r="F364" s="966">
        <f>Table22[[#This Row],[Chronic RA input value]]</f>
        <v>0</v>
      </c>
      <c r="G364" s="304" t="str">
        <f>Table22[[#This Row],[Chronic RA label]]</f>
        <v/>
      </c>
      <c r="H364" s="304">
        <f>Table22[[#This Row],[GAP under assessment]]</f>
        <v>0</v>
      </c>
      <c r="I364" s="1123"/>
      <c r="J364" s="974" t="e">
        <f>IF($F364="","",$F364*chronic_consumption!$E364/1000/$C$3)</f>
        <v>#DIV/0!</v>
      </c>
      <c r="K364" s="974" t="e">
        <f>IF($F364="","",$F364*chronic_consumption!F364/1000/$C$3)</f>
        <v>#DIV/0!</v>
      </c>
      <c r="L364" s="974" t="e">
        <f>IF($F364="","",$F364*chronic_consumption!G364/1000/$C$3)</f>
        <v>#DIV/0!</v>
      </c>
      <c r="M364" s="974" t="e">
        <f>IF($F364="","",$F364*chronic_consumption!H364/1000/$C$3)</f>
        <v>#DIV/0!</v>
      </c>
      <c r="N364" s="974" t="e">
        <f>IF($F364="","",$F364*chronic_consumption!I364/1000/$C$3)</f>
        <v>#DIV/0!</v>
      </c>
      <c r="O364" s="974" t="e">
        <f>IF($F364="","",$F364*chronic_consumption!J364/1000/$C$3)</f>
        <v>#DIV/0!</v>
      </c>
      <c r="P364" s="974" t="e">
        <f>IF($F364="","",$F364*chronic_consumption!K364/1000/$C$3)</f>
        <v>#DIV/0!</v>
      </c>
      <c r="Q364" s="974" t="e">
        <f>IF($F364="","",$F364*chronic_consumption!L364/1000/$C$3)</f>
        <v>#DIV/0!</v>
      </c>
      <c r="R364" s="974" t="e">
        <f>IF($F364="","",$F364*chronic_consumption!M364/1000/$C$3)</f>
        <v>#DIV/0!</v>
      </c>
      <c r="S364" s="974" t="e">
        <f>IF($F364="","",$F364*chronic_consumption!N364/1000/$C$3)</f>
        <v>#DIV/0!</v>
      </c>
      <c r="T364" s="974" t="e">
        <f>IF($F364="","",$F364*chronic_consumption!O364/1000/$C$3)</f>
        <v>#DIV/0!</v>
      </c>
      <c r="U364" s="974" t="e">
        <f>IF($F364="","",$F364*chronic_consumption!P364/1000/$C$3)</f>
        <v>#DIV/0!</v>
      </c>
      <c r="V364" s="974" t="e">
        <f>IF($F364="","",$F364*chronic_consumption!Q364/1000/$C$3)</f>
        <v>#DIV/0!</v>
      </c>
      <c r="W364" s="974" t="e">
        <f>IF($F364="","",$F364*chronic_consumption!R364/1000/$C$3)</f>
        <v>#DIV/0!</v>
      </c>
      <c r="X364" s="974" t="e">
        <f>IF($F364="","",$F364*chronic_consumption!S364/1000/$C$3)</f>
        <v>#DIV/0!</v>
      </c>
      <c r="Y364" s="974" t="e">
        <f>IF($F364="","",$F364*chronic_consumption!T364/1000/$C$3)</f>
        <v>#DIV/0!</v>
      </c>
      <c r="Z364" s="974" t="e">
        <f>IF($F364="","",$F364*chronic_consumption!U364/1000/$C$3)</f>
        <v>#DIV/0!</v>
      </c>
      <c r="AA364" s="974" t="e">
        <f>IF($F364="","",$F364*chronic_consumption!V364/1000/$C$3)</f>
        <v>#DIV/0!</v>
      </c>
      <c r="AB364" s="974" t="e">
        <f>IF($F364="","",$F364*chronic_consumption!W364/1000/$C$3)</f>
        <v>#DIV/0!</v>
      </c>
      <c r="AC364" s="974" t="e">
        <f>IF($F364="","",$F364*chronic_consumption!X364/1000/$C$3)</f>
        <v>#DIV/0!</v>
      </c>
      <c r="AD364" s="974" t="e">
        <f>IF($F364="","",$F364*chronic_consumption!Y364/1000/$C$3)</f>
        <v>#DIV/0!</v>
      </c>
      <c r="AE364" s="974" t="e">
        <f>IF($F364="","",$F364*chronic_consumption!Z364/1000/$C$3)</f>
        <v>#DIV/0!</v>
      </c>
      <c r="AF364" s="974" t="e">
        <f>IF($F364="","",$F364*chronic_consumption!AA364/1000/$C$3)</f>
        <v>#DIV/0!</v>
      </c>
      <c r="AG364" s="974" t="e">
        <f>IF($F364="","",$F364*chronic_consumption!AB364/1000/$C$3)</f>
        <v>#DIV/0!</v>
      </c>
      <c r="AH364" s="974" t="e">
        <f>IF($F364="","",$F364*chronic_consumption!AC364/1000/$C$3)</f>
        <v>#DIV/0!</v>
      </c>
      <c r="AI364" s="974" t="e">
        <f>IF($F364="","",$F364*chronic_consumption!AD364/1000/$C$3)</f>
        <v>#DIV/0!</v>
      </c>
      <c r="AJ364" s="974" t="e">
        <f>IF($F364="","",$F364*chronic_consumption!AE364/1000/$C$3)</f>
        <v>#DIV/0!</v>
      </c>
      <c r="AK364" s="974" t="e">
        <f>IF($F364="","",$F364*chronic_consumption!AF364/1000/$C$3)</f>
        <v>#DIV/0!</v>
      </c>
      <c r="AL364" s="974" t="e">
        <f>IF($F364="","",$F364*chronic_consumption!AG364/1000/$C$3)</f>
        <v>#DIV/0!</v>
      </c>
      <c r="AM364" s="974" t="e">
        <f>IF($F364="","",$F364*chronic_consumption!AH364/1000/$C$3)</f>
        <v>#DIV/0!</v>
      </c>
      <c r="AN364" s="974" t="e">
        <f>IF($F364="","",$F364*chronic_consumption!AI364/1000/$C$3)</f>
        <v>#DIV/0!</v>
      </c>
      <c r="AO364" s="974" t="e">
        <f>IF($F364="","",$F364*chronic_consumption!AJ364/1000/$C$3)</f>
        <v>#DIV/0!</v>
      </c>
      <c r="AP364" s="974" t="e">
        <f>IF($F364="","",$F364*chronic_consumption!AK364/1000/$C$3)</f>
        <v>#DIV/0!</v>
      </c>
      <c r="AQ364" s="974" t="e">
        <f>IF($F364="","",$F364*chronic_consumption!AL364/1000/$C$3)</f>
        <v>#DIV/0!</v>
      </c>
      <c r="AR364" s="974" t="e">
        <f>IF($F364="","",$F364*chronic_consumption!AM364/1000/$C$3)</f>
        <v>#DIV/0!</v>
      </c>
      <c r="AS364" s="974" t="e">
        <f>IF($F364="","",$F364*chronic_consumption!AN364/1000/$C$3)</f>
        <v>#DIV/0!</v>
      </c>
      <c r="AT364" s="974" t="e">
        <f>IF($F364="","",$F364*chronic_consumption!AO364/1000/$C$3)</f>
        <v>#DIV/0!</v>
      </c>
      <c r="AU364" s="974"/>
      <c r="AV364" s="974" t="e">
        <f>IF($F364="","",$F364*chronic_consumption!AQ364/1000/$C$3)</f>
        <v>#DIV/0!</v>
      </c>
      <c r="AW364" s="974" t="e">
        <f>IF($F364="","",$F364*chronic_consumption!AR364/1000/$C$3)</f>
        <v>#DIV/0!</v>
      </c>
      <c r="AX364" s="974" t="e">
        <f>IF($F364="","",$F364*chronic_consumption!AS364/1000/$C$3)</f>
        <v>#DIV/0!</v>
      </c>
      <c r="AY364" s="974" t="e">
        <f>IF($F364="","",$F364*chronic_consumption!AT364/1000/$C$3)</f>
        <v>#DIV/0!</v>
      </c>
      <c r="AZ364" s="973" t="s">
        <v>19</v>
      </c>
      <c r="BA364" s="969" t="e">
        <f t="shared" si="27"/>
        <v>#DIV/0!</v>
      </c>
      <c r="BB364" s="970" t="e">
        <f t="shared" si="28"/>
        <v>#DIV/0!</v>
      </c>
      <c r="BC364" s="971" t="e">
        <f t="shared" ca="1" si="29"/>
        <v>#DIV/0!</v>
      </c>
      <c r="BD364" s="228">
        <f>input_values!Z364</f>
        <v>4</v>
      </c>
      <c r="BE364" s="152">
        <f>input_values!L364</f>
        <v>0</v>
      </c>
      <c r="BF364" s="972" t="str">
        <f t="shared" si="30"/>
        <v/>
      </c>
    </row>
    <row r="365" spans="1:58" ht="12" customHeight="1" outlineLevel="3" x14ac:dyDescent="0.2">
      <c r="A365" s="21">
        <v>4</v>
      </c>
      <c r="B365" s="23">
        <v>1016050</v>
      </c>
      <c r="C365" s="23" t="s">
        <v>803</v>
      </c>
      <c r="D365" s="965">
        <f>Table22[[#This Row],[MRL individual commodity]]</f>
        <v>0</v>
      </c>
      <c r="E365" s="300" t="str">
        <f>Table22[[#This Row],[LOQ_label]]</f>
        <v/>
      </c>
      <c r="F365" s="966">
        <f>Table22[[#This Row],[Chronic RA input value]]</f>
        <v>0</v>
      </c>
      <c r="G365" s="304" t="str">
        <f>Table22[[#This Row],[Chronic RA label]]</f>
        <v/>
      </c>
      <c r="H365" s="304">
        <f>Table22[[#This Row],[GAP under assessment]]</f>
        <v>0</v>
      </c>
      <c r="I365" s="1123"/>
      <c r="J365" s="974" t="e">
        <f>IF($F365="","",$F365*chronic_consumption!$E365/1000/$C$3)</f>
        <v>#DIV/0!</v>
      </c>
      <c r="K365" s="974" t="e">
        <f>IF($F365="","",$F365*chronic_consumption!F365/1000/$C$3)</f>
        <v>#DIV/0!</v>
      </c>
      <c r="L365" s="974" t="e">
        <f>IF($F365="","",$F365*chronic_consumption!G365/1000/$C$3)</f>
        <v>#DIV/0!</v>
      </c>
      <c r="M365" s="974" t="e">
        <f>IF($F365="","",$F365*chronic_consumption!H365/1000/$C$3)</f>
        <v>#DIV/0!</v>
      </c>
      <c r="N365" s="974" t="e">
        <f>IF($F365="","",$F365*chronic_consumption!I365/1000/$C$3)</f>
        <v>#DIV/0!</v>
      </c>
      <c r="O365" s="974" t="e">
        <f>IF($F365="","",$F365*chronic_consumption!J365/1000/$C$3)</f>
        <v>#DIV/0!</v>
      </c>
      <c r="P365" s="974" t="e">
        <f>IF($F365="","",$F365*chronic_consumption!K365/1000/$C$3)</f>
        <v>#DIV/0!</v>
      </c>
      <c r="Q365" s="974" t="e">
        <f>IF($F365="","",$F365*chronic_consumption!L365/1000/$C$3)</f>
        <v>#DIV/0!</v>
      </c>
      <c r="R365" s="974" t="e">
        <f>IF($F365="","",$F365*chronic_consumption!M365/1000/$C$3)</f>
        <v>#DIV/0!</v>
      </c>
      <c r="S365" s="974" t="e">
        <f>IF($F365="","",$F365*chronic_consumption!N365/1000/$C$3)</f>
        <v>#DIV/0!</v>
      </c>
      <c r="T365" s="974" t="e">
        <f>IF($F365="","",$F365*chronic_consumption!O365/1000/$C$3)</f>
        <v>#DIV/0!</v>
      </c>
      <c r="U365" s="974" t="e">
        <f>IF($F365="","",$F365*chronic_consumption!P365/1000/$C$3)</f>
        <v>#DIV/0!</v>
      </c>
      <c r="V365" s="974" t="e">
        <f>IF($F365="","",$F365*chronic_consumption!Q365/1000/$C$3)</f>
        <v>#DIV/0!</v>
      </c>
      <c r="W365" s="974" t="e">
        <f>IF($F365="","",$F365*chronic_consumption!R365/1000/$C$3)</f>
        <v>#DIV/0!</v>
      </c>
      <c r="X365" s="974" t="e">
        <f>IF($F365="","",$F365*chronic_consumption!S365/1000/$C$3)</f>
        <v>#DIV/0!</v>
      </c>
      <c r="Y365" s="974" t="e">
        <f>IF($F365="","",$F365*chronic_consumption!T365/1000/$C$3)</f>
        <v>#DIV/0!</v>
      </c>
      <c r="Z365" s="974" t="e">
        <f>IF($F365="","",$F365*chronic_consumption!U365/1000/$C$3)</f>
        <v>#DIV/0!</v>
      </c>
      <c r="AA365" s="974" t="e">
        <f>IF($F365="","",$F365*chronic_consumption!V365/1000/$C$3)</f>
        <v>#DIV/0!</v>
      </c>
      <c r="AB365" s="974" t="e">
        <f>IF($F365="","",$F365*chronic_consumption!W365/1000/$C$3)</f>
        <v>#DIV/0!</v>
      </c>
      <c r="AC365" s="974" t="e">
        <f>IF($F365="","",$F365*chronic_consumption!X365/1000/$C$3)</f>
        <v>#DIV/0!</v>
      </c>
      <c r="AD365" s="974" t="e">
        <f>IF($F365="","",$F365*chronic_consumption!Y365/1000/$C$3)</f>
        <v>#DIV/0!</v>
      </c>
      <c r="AE365" s="974" t="e">
        <f>IF($F365="","",$F365*chronic_consumption!Z365/1000/$C$3)</f>
        <v>#DIV/0!</v>
      </c>
      <c r="AF365" s="974" t="e">
        <f>IF($F365="","",$F365*chronic_consumption!AA365/1000/$C$3)</f>
        <v>#DIV/0!</v>
      </c>
      <c r="AG365" s="974" t="e">
        <f>IF($F365="","",$F365*chronic_consumption!AB365/1000/$C$3)</f>
        <v>#DIV/0!</v>
      </c>
      <c r="AH365" s="974" t="e">
        <f>IF($F365="","",$F365*chronic_consumption!AC365/1000/$C$3)</f>
        <v>#DIV/0!</v>
      </c>
      <c r="AI365" s="974" t="e">
        <f>IF($F365="","",$F365*chronic_consumption!AD365/1000/$C$3)</f>
        <v>#DIV/0!</v>
      </c>
      <c r="AJ365" s="974" t="e">
        <f>IF($F365="","",$F365*chronic_consumption!AE365/1000/$C$3)</f>
        <v>#DIV/0!</v>
      </c>
      <c r="AK365" s="974" t="e">
        <f>IF($F365="","",$F365*chronic_consumption!AF365/1000/$C$3)</f>
        <v>#DIV/0!</v>
      </c>
      <c r="AL365" s="974" t="e">
        <f>IF($F365="","",$F365*chronic_consumption!AG365/1000/$C$3)</f>
        <v>#DIV/0!</v>
      </c>
      <c r="AM365" s="974" t="e">
        <f>IF($F365="","",$F365*chronic_consumption!AH365/1000/$C$3)</f>
        <v>#DIV/0!</v>
      </c>
      <c r="AN365" s="974" t="e">
        <f>IF($F365="","",$F365*chronic_consumption!AI365/1000/$C$3)</f>
        <v>#DIV/0!</v>
      </c>
      <c r="AO365" s="974" t="e">
        <f>IF($F365="","",$F365*chronic_consumption!AJ365/1000/$C$3)</f>
        <v>#DIV/0!</v>
      </c>
      <c r="AP365" s="974" t="e">
        <f>IF($F365="","",$F365*chronic_consumption!AK365/1000/$C$3)</f>
        <v>#DIV/0!</v>
      </c>
      <c r="AQ365" s="974" t="e">
        <f>IF($F365="","",$F365*chronic_consumption!AL365/1000/$C$3)</f>
        <v>#DIV/0!</v>
      </c>
      <c r="AR365" s="974" t="e">
        <f>IF($F365="","",$F365*chronic_consumption!AM365/1000/$C$3)</f>
        <v>#DIV/0!</v>
      </c>
      <c r="AS365" s="974" t="e">
        <f>IF($F365="","",$F365*chronic_consumption!AN365/1000/$C$3)</f>
        <v>#DIV/0!</v>
      </c>
      <c r="AT365" s="974" t="e">
        <f>IF($F365="","",$F365*chronic_consumption!AO365/1000/$C$3)</f>
        <v>#DIV/0!</v>
      </c>
      <c r="AU365" s="974"/>
      <c r="AV365" s="974" t="e">
        <f>IF($F365="","",$F365*chronic_consumption!AQ365/1000/$C$3)</f>
        <v>#DIV/0!</v>
      </c>
      <c r="AW365" s="974" t="e">
        <f>IF($F365="","",$F365*chronic_consumption!AR365/1000/$C$3)</f>
        <v>#DIV/0!</v>
      </c>
      <c r="AX365" s="974" t="e">
        <f>IF($F365="","",$F365*chronic_consumption!AS365/1000/$C$3)</f>
        <v>#DIV/0!</v>
      </c>
      <c r="AY365" s="974" t="e">
        <f>IF($F365="","",$F365*chronic_consumption!AT365/1000/$C$3)</f>
        <v>#DIV/0!</v>
      </c>
      <c r="AZ365" s="973" t="s">
        <v>19</v>
      </c>
      <c r="BA365" s="969" t="e">
        <f t="shared" si="27"/>
        <v>#DIV/0!</v>
      </c>
      <c r="BB365" s="970" t="e">
        <f t="shared" si="28"/>
        <v>#DIV/0!</v>
      </c>
      <c r="BC365" s="971" t="e">
        <f t="shared" ca="1" si="29"/>
        <v>#DIV/0!</v>
      </c>
      <c r="BD365" s="228">
        <f>input_values!Z365</f>
        <v>4</v>
      </c>
      <c r="BE365" s="152">
        <f>input_values!L365</f>
        <v>0</v>
      </c>
      <c r="BF365" s="972" t="str">
        <f t="shared" si="30"/>
        <v/>
      </c>
    </row>
    <row r="366" spans="1:58" ht="12" customHeight="1" outlineLevel="3" x14ac:dyDescent="0.2">
      <c r="A366" s="21">
        <v>4</v>
      </c>
      <c r="B366" s="23">
        <v>1016990</v>
      </c>
      <c r="C366" s="23" t="s">
        <v>638</v>
      </c>
      <c r="D366" s="965">
        <f>Table22[[#This Row],[MRL individual commodity]]</f>
        <v>0</v>
      </c>
      <c r="E366" s="300" t="str">
        <f>Table22[[#This Row],[LOQ_label]]</f>
        <v/>
      </c>
      <c r="F366" s="966">
        <f>Table22[[#This Row],[Chronic RA input value]]</f>
        <v>0</v>
      </c>
      <c r="G366" s="304" t="str">
        <f>Table22[[#This Row],[Chronic RA label]]</f>
        <v/>
      </c>
      <c r="H366" s="304">
        <f>Table22[[#This Row],[GAP under assessment]]</f>
        <v>0</v>
      </c>
      <c r="I366" s="1123"/>
      <c r="J366" s="974" t="e">
        <f>IF($F366="","",$F366*chronic_consumption!$E366/1000/$C$3)</f>
        <v>#DIV/0!</v>
      </c>
      <c r="K366" s="974" t="e">
        <f>IF($F366="","",$F366*chronic_consumption!F366/1000/$C$3)</f>
        <v>#DIV/0!</v>
      </c>
      <c r="L366" s="974" t="e">
        <f>IF($F366="","",$F366*chronic_consumption!G366/1000/$C$3)</f>
        <v>#DIV/0!</v>
      </c>
      <c r="M366" s="974" t="e">
        <f>IF($F366="","",$F366*chronic_consumption!H366/1000/$C$3)</f>
        <v>#DIV/0!</v>
      </c>
      <c r="N366" s="974" t="e">
        <f>IF($F366="","",$F366*chronic_consumption!I366/1000/$C$3)</f>
        <v>#DIV/0!</v>
      </c>
      <c r="O366" s="974" t="e">
        <f>IF($F366="","",$F366*chronic_consumption!J366/1000/$C$3)</f>
        <v>#DIV/0!</v>
      </c>
      <c r="P366" s="974" t="e">
        <f>IF($F366="","",$F366*chronic_consumption!K366/1000/$C$3)</f>
        <v>#DIV/0!</v>
      </c>
      <c r="Q366" s="974" t="e">
        <f>IF($F366="","",$F366*chronic_consumption!L366/1000/$C$3)</f>
        <v>#DIV/0!</v>
      </c>
      <c r="R366" s="974" t="e">
        <f>IF($F366="","",$F366*chronic_consumption!M366/1000/$C$3)</f>
        <v>#DIV/0!</v>
      </c>
      <c r="S366" s="974" t="e">
        <f>IF($F366="","",$F366*chronic_consumption!N366/1000/$C$3)</f>
        <v>#DIV/0!</v>
      </c>
      <c r="T366" s="974" t="e">
        <f>IF($F366="","",$F366*chronic_consumption!O366/1000/$C$3)</f>
        <v>#DIV/0!</v>
      </c>
      <c r="U366" s="974" t="e">
        <f>IF($F366="","",$F366*chronic_consumption!P366/1000/$C$3)</f>
        <v>#DIV/0!</v>
      </c>
      <c r="V366" s="974" t="e">
        <f>IF($F366="","",$F366*chronic_consumption!Q366/1000/$C$3)</f>
        <v>#DIV/0!</v>
      </c>
      <c r="W366" s="974" t="e">
        <f>IF($F366="","",$F366*chronic_consumption!R366/1000/$C$3)</f>
        <v>#DIV/0!</v>
      </c>
      <c r="X366" s="974" t="e">
        <f>IF($F366="","",$F366*chronic_consumption!S366/1000/$C$3)</f>
        <v>#DIV/0!</v>
      </c>
      <c r="Y366" s="974" t="e">
        <f>IF($F366="","",$F366*chronic_consumption!T366/1000/$C$3)</f>
        <v>#DIV/0!</v>
      </c>
      <c r="Z366" s="974" t="e">
        <f>IF($F366="","",$F366*chronic_consumption!U366/1000/$C$3)</f>
        <v>#DIV/0!</v>
      </c>
      <c r="AA366" s="974" t="e">
        <f>IF($F366="","",$F366*chronic_consumption!V366/1000/$C$3)</f>
        <v>#DIV/0!</v>
      </c>
      <c r="AB366" s="974" t="e">
        <f>IF($F366="","",$F366*chronic_consumption!W366/1000/$C$3)</f>
        <v>#DIV/0!</v>
      </c>
      <c r="AC366" s="974" t="e">
        <f>IF($F366="","",$F366*chronic_consumption!X366/1000/$C$3)</f>
        <v>#DIV/0!</v>
      </c>
      <c r="AD366" s="974" t="e">
        <f>IF($F366="","",$F366*chronic_consumption!Y366/1000/$C$3)</f>
        <v>#DIV/0!</v>
      </c>
      <c r="AE366" s="974" t="e">
        <f>IF($F366="","",$F366*chronic_consumption!Z366/1000/$C$3)</f>
        <v>#DIV/0!</v>
      </c>
      <c r="AF366" s="974" t="e">
        <f>IF($F366="","",$F366*chronic_consumption!AA366/1000/$C$3)</f>
        <v>#DIV/0!</v>
      </c>
      <c r="AG366" s="974" t="e">
        <f>IF($F366="","",$F366*chronic_consumption!AB366/1000/$C$3)</f>
        <v>#DIV/0!</v>
      </c>
      <c r="AH366" s="974" t="e">
        <f>IF($F366="","",$F366*chronic_consumption!AC366/1000/$C$3)</f>
        <v>#DIV/0!</v>
      </c>
      <c r="AI366" s="974" t="e">
        <f>IF($F366="","",$F366*chronic_consumption!AD366/1000/$C$3)</f>
        <v>#DIV/0!</v>
      </c>
      <c r="AJ366" s="974" t="e">
        <f>IF($F366="","",$F366*chronic_consumption!AE366/1000/$C$3)</f>
        <v>#DIV/0!</v>
      </c>
      <c r="AK366" s="974" t="e">
        <f>IF($F366="","",$F366*chronic_consumption!AF366/1000/$C$3)</f>
        <v>#DIV/0!</v>
      </c>
      <c r="AL366" s="974" t="e">
        <f>IF($F366="","",$F366*chronic_consumption!AG366/1000/$C$3)</f>
        <v>#DIV/0!</v>
      </c>
      <c r="AM366" s="974" t="e">
        <f>IF($F366="","",$F366*chronic_consumption!AH366/1000/$C$3)</f>
        <v>#DIV/0!</v>
      </c>
      <c r="AN366" s="974" t="e">
        <f>IF($F366="","",$F366*chronic_consumption!AI366/1000/$C$3)</f>
        <v>#DIV/0!</v>
      </c>
      <c r="AO366" s="974" t="e">
        <f>IF($F366="","",$F366*chronic_consumption!AJ366/1000/$C$3)</f>
        <v>#DIV/0!</v>
      </c>
      <c r="AP366" s="974" t="e">
        <f>IF($F366="","",$F366*chronic_consumption!AK366/1000/$C$3)</f>
        <v>#DIV/0!</v>
      </c>
      <c r="AQ366" s="974" t="e">
        <f>IF($F366="","",$F366*chronic_consumption!AL366/1000/$C$3)</f>
        <v>#DIV/0!</v>
      </c>
      <c r="AR366" s="974" t="e">
        <f>IF($F366="","",$F366*chronic_consumption!AM366/1000/$C$3)</f>
        <v>#DIV/0!</v>
      </c>
      <c r="AS366" s="974" t="e">
        <f>IF($F366="","",$F366*chronic_consumption!AN366/1000/$C$3)</f>
        <v>#DIV/0!</v>
      </c>
      <c r="AT366" s="974" t="e">
        <f>IF($F366="","",$F366*chronic_consumption!AO366/1000/$C$3)</f>
        <v>#DIV/0!</v>
      </c>
      <c r="AU366" s="974"/>
      <c r="AV366" s="974" t="e">
        <f>IF($F366="","",$F366*chronic_consumption!AQ366/1000/$C$3)</f>
        <v>#DIV/0!</v>
      </c>
      <c r="AW366" s="974" t="e">
        <f>IF($F366="","",$F366*chronic_consumption!AR366/1000/$C$3)</f>
        <v>#DIV/0!</v>
      </c>
      <c r="AX366" s="974" t="e">
        <f>IF($F366="","",$F366*chronic_consumption!AS366/1000/$C$3)</f>
        <v>#DIV/0!</v>
      </c>
      <c r="AY366" s="974" t="e">
        <f>IF($F366="","",$F366*chronic_consumption!AT366/1000/$C$3)</f>
        <v>#DIV/0!</v>
      </c>
      <c r="AZ366" s="973" t="s">
        <v>19</v>
      </c>
      <c r="BA366" s="969" t="e">
        <f t="shared" si="27"/>
        <v>#DIV/0!</v>
      </c>
      <c r="BB366" s="970" t="e">
        <f t="shared" si="28"/>
        <v>#DIV/0!</v>
      </c>
      <c r="BC366" s="971" t="e">
        <f t="shared" ca="1" si="29"/>
        <v>#DIV/0!</v>
      </c>
      <c r="BD366" s="228">
        <f>input_values!Z366</f>
        <v>4</v>
      </c>
      <c r="BE366" s="152">
        <f>input_values!L366</f>
        <v>0</v>
      </c>
      <c r="BF366" s="972" t="str">
        <f t="shared" si="30"/>
        <v/>
      </c>
    </row>
    <row r="367" spans="1:58" ht="12" customHeight="1" outlineLevel="2" x14ac:dyDescent="0.2">
      <c r="A367" s="353">
        <v>3</v>
      </c>
      <c r="B367" s="5">
        <v>1017000</v>
      </c>
      <c r="C367" s="5" t="s">
        <v>804</v>
      </c>
      <c r="D367" s="965">
        <f>Table22[[#This Row],[MRL individual commodity]]</f>
        <v>0</v>
      </c>
      <c r="E367" s="300">
        <f>Table22[[#This Row],[LOQ_label]]</f>
        <v>0</v>
      </c>
      <c r="F367" s="966">
        <f>Table22[[#This Row],[Chronic RA input value]]</f>
        <v>0</v>
      </c>
      <c r="G367" s="304">
        <f>Table22[[#This Row],[Chronic RA label]]</f>
        <v>0</v>
      </c>
      <c r="H367" s="304">
        <f>Table22[[#This Row],[GAP under assessment]]</f>
        <v>0</v>
      </c>
      <c r="I367" s="1123"/>
      <c r="J367" s="967" t="e">
        <f>IF($F367="","",$F367*chronic_consumption!$E367/1000/$C$3)</f>
        <v>#DIV/0!</v>
      </c>
      <c r="K367" s="967" t="e">
        <f>IF($F367="","",$F367*chronic_consumption!F367/1000/$C$3)</f>
        <v>#DIV/0!</v>
      </c>
      <c r="L367" s="967" t="e">
        <f>IF($F367="","",$F367*chronic_consumption!G367/1000/$C$3)</f>
        <v>#DIV/0!</v>
      </c>
      <c r="M367" s="967" t="e">
        <f>IF($F367="","",$F367*chronic_consumption!H367/1000/$C$3)</f>
        <v>#DIV/0!</v>
      </c>
      <c r="N367" s="967" t="e">
        <f>IF($F367="","",$F367*chronic_consumption!I367/1000/$C$3)</f>
        <v>#DIV/0!</v>
      </c>
      <c r="O367" s="967" t="e">
        <f>IF($F367="","",$F367*chronic_consumption!J367/1000/$C$3)</f>
        <v>#DIV/0!</v>
      </c>
      <c r="P367" s="967" t="e">
        <f>IF($F367="","",$F367*chronic_consumption!K367/1000/$C$3)</f>
        <v>#DIV/0!</v>
      </c>
      <c r="Q367" s="967" t="e">
        <f>IF($F367="","",$F367*chronic_consumption!L367/1000/$C$3)</f>
        <v>#DIV/0!</v>
      </c>
      <c r="R367" s="967" t="e">
        <f>IF($F367="","",$F367*chronic_consumption!M367/1000/$C$3)</f>
        <v>#DIV/0!</v>
      </c>
      <c r="S367" s="967" t="e">
        <f>IF($F367="","",$F367*chronic_consumption!N367/1000/$C$3)</f>
        <v>#DIV/0!</v>
      </c>
      <c r="T367" s="967" t="e">
        <f>IF($F367="","",$F367*chronic_consumption!O367/1000/$C$3)</f>
        <v>#DIV/0!</v>
      </c>
      <c r="U367" s="967" t="e">
        <f>IF($F367="","",$F367*chronic_consumption!P367/1000/$C$3)</f>
        <v>#DIV/0!</v>
      </c>
      <c r="V367" s="967" t="e">
        <f>IF($F367="","",$F367*chronic_consumption!Q367/1000/$C$3)</f>
        <v>#DIV/0!</v>
      </c>
      <c r="W367" s="967" t="e">
        <f>IF($F367="","",$F367*chronic_consumption!R367/1000/$C$3)</f>
        <v>#DIV/0!</v>
      </c>
      <c r="X367" s="967" t="e">
        <f>IF($F367="","",$F367*chronic_consumption!S367/1000/$C$3)</f>
        <v>#DIV/0!</v>
      </c>
      <c r="Y367" s="967" t="e">
        <f>IF($F367="","",$F367*chronic_consumption!T367/1000/$C$3)</f>
        <v>#DIV/0!</v>
      </c>
      <c r="Z367" s="967" t="e">
        <f>IF($F367="","",$F367*chronic_consumption!U367/1000/$C$3)</f>
        <v>#DIV/0!</v>
      </c>
      <c r="AA367" s="967" t="e">
        <f>IF($F367="","",$F367*chronic_consumption!V367/1000/$C$3)</f>
        <v>#DIV/0!</v>
      </c>
      <c r="AB367" s="967" t="e">
        <f>IF($F367="","",$F367*chronic_consumption!W367/1000/$C$3)</f>
        <v>#DIV/0!</v>
      </c>
      <c r="AC367" s="967" t="e">
        <f>IF($F367="","",$F367*chronic_consumption!X367/1000/$C$3)</f>
        <v>#DIV/0!</v>
      </c>
      <c r="AD367" s="967" t="e">
        <f>IF($F367="","",$F367*chronic_consumption!Y367/1000/$C$3)</f>
        <v>#DIV/0!</v>
      </c>
      <c r="AE367" s="967" t="e">
        <f>IF($F367="","",$F367*chronic_consumption!Z367/1000/$C$3)</f>
        <v>#DIV/0!</v>
      </c>
      <c r="AF367" s="967" t="e">
        <f>IF($F367="","",$F367*chronic_consumption!AA367/1000/$C$3)</f>
        <v>#DIV/0!</v>
      </c>
      <c r="AG367" s="967" t="e">
        <f>IF($F367="","",$F367*chronic_consumption!AB367/1000/$C$3)</f>
        <v>#DIV/0!</v>
      </c>
      <c r="AH367" s="967" t="e">
        <f>IF($F367="","",$F367*chronic_consumption!AC367/1000/$C$3)</f>
        <v>#DIV/0!</v>
      </c>
      <c r="AI367" s="967" t="e">
        <f>IF($F367="","",$F367*chronic_consumption!AD367/1000/$C$3)</f>
        <v>#DIV/0!</v>
      </c>
      <c r="AJ367" s="967" t="e">
        <f>IF($F367="","",$F367*chronic_consumption!AE367/1000/$C$3)</f>
        <v>#DIV/0!</v>
      </c>
      <c r="AK367" s="967" t="e">
        <f>IF($F367="","",$F367*chronic_consumption!AF367/1000/$C$3)</f>
        <v>#DIV/0!</v>
      </c>
      <c r="AL367" s="967" t="e">
        <f>IF($F367="","",$F367*chronic_consumption!AG367/1000/$C$3)</f>
        <v>#DIV/0!</v>
      </c>
      <c r="AM367" s="967" t="e">
        <f>IF($F367="","",$F367*chronic_consumption!AH367/1000/$C$3)</f>
        <v>#DIV/0!</v>
      </c>
      <c r="AN367" s="967" t="e">
        <f>IF($F367="","",$F367*chronic_consumption!AI367/1000/$C$3)</f>
        <v>#DIV/0!</v>
      </c>
      <c r="AO367" s="967" t="e">
        <f>IF($F367="","",$F367*chronic_consumption!AJ367/1000/$C$3)</f>
        <v>#DIV/0!</v>
      </c>
      <c r="AP367" s="967" t="e">
        <f>IF($F367="","",$F367*chronic_consumption!AK367/1000/$C$3)</f>
        <v>#DIV/0!</v>
      </c>
      <c r="AQ367" s="967" t="e">
        <f>IF($F367="","",$F367*chronic_consumption!AL367/1000/$C$3)</f>
        <v>#DIV/0!</v>
      </c>
      <c r="AR367" s="967" t="e">
        <f>IF($F367="","",$F367*chronic_consumption!AM367/1000/$C$3)</f>
        <v>#DIV/0!</v>
      </c>
      <c r="AS367" s="967" t="e">
        <f>IF($F367="","",$F367*chronic_consumption!AN367/1000/$C$3)</f>
        <v>#DIV/0!</v>
      </c>
      <c r="AT367" s="967" t="e">
        <f>IF($F367="","",$F367*chronic_consumption!AO367/1000/$C$3)</f>
        <v>#DIV/0!</v>
      </c>
      <c r="AU367" s="967"/>
      <c r="AV367" s="967" t="e">
        <f>IF($F367="","",$F367*chronic_consumption!AQ367/1000/$C$3)</f>
        <v>#DIV/0!</v>
      </c>
      <c r="AW367" s="967" t="e">
        <f>IF($F367="","",$F367*chronic_consumption!AR367/1000/$C$3)</f>
        <v>#DIV/0!</v>
      </c>
      <c r="AX367" s="967" t="e">
        <f>IF($F367="","",$F367*chronic_consumption!AS367/1000/$C$3)</f>
        <v>#DIV/0!</v>
      </c>
      <c r="AY367" s="967" t="e">
        <f>IF($F367="","",$F367*chronic_consumption!AT367/1000/$C$3)</f>
        <v>#DIV/0!</v>
      </c>
      <c r="AZ367" s="973"/>
      <c r="BA367" s="969" t="e">
        <f t="shared" si="27"/>
        <v>#DIV/0!</v>
      </c>
      <c r="BB367" s="970" t="e">
        <f t="shared" si="28"/>
        <v>#DIV/0!</v>
      </c>
      <c r="BC367" s="971" t="e">
        <f t="shared" ca="1" si="29"/>
        <v>#DIV/0!</v>
      </c>
      <c r="BD367" s="228">
        <f>input_values!Z367</f>
        <v>4</v>
      </c>
      <c r="BE367" s="152">
        <f>input_values!L367</f>
        <v>0</v>
      </c>
      <c r="BF367" s="972" t="str">
        <f t="shared" si="30"/>
        <v/>
      </c>
    </row>
    <row r="368" spans="1:58" ht="12" customHeight="1" outlineLevel="3" x14ac:dyDescent="0.2">
      <c r="A368" s="21">
        <v>4</v>
      </c>
      <c r="B368" s="23">
        <v>1017010</v>
      </c>
      <c r="C368" s="23" t="s">
        <v>868</v>
      </c>
      <c r="D368" s="965">
        <f>Table22[[#This Row],[MRL individual commodity]]</f>
        <v>0</v>
      </c>
      <c r="E368" s="300" t="str">
        <f>Table22[[#This Row],[LOQ_label]]</f>
        <v/>
      </c>
      <c r="F368" s="966">
        <f>Table22[[#This Row],[Chronic RA input value]]</f>
        <v>0</v>
      </c>
      <c r="G368" s="304" t="str">
        <f>Table22[[#This Row],[Chronic RA label]]</f>
        <v/>
      </c>
      <c r="H368" s="304">
        <f>Table22[[#This Row],[GAP under assessment]]</f>
        <v>0</v>
      </c>
      <c r="I368" s="1123"/>
      <c r="J368" s="974" t="e">
        <f>IF($F368="","",$F368*chronic_consumption!$E368/1000/$C$3)</f>
        <v>#DIV/0!</v>
      </c>
      <c r="K368" s="974" t="e">
        <f>IF($F368="","",$F368*chronic_consumption!F368/1000/$C$3)</f>
        <v>#DIV/0!</v>
      </c>
      <c r="L368" s="974" t="e">
        <f>IF($F368="","",$F368*chronic_consumption!G368/1000/$C$3)</f>
        <v>#DIV/0!</v>
      </c>
      <c r="M368" s="974" t="e">
        <f>IF($F368="","",$F368*chronic_consumption!H368/1000/$C$3)</f>
        <v>#DIV/0!</v>
      </c>
      <c r="N368" s="974" t="e">
        <f>IF($F368="","",$F368*chronic_consumption!I368/1000/$C$3)</f>
        <v>#DIV/0!</v>
      </c>
      <c r="O368" s="974" t="e">
        <f>IF($F368="","",$F368*chronic_consumption!J368/1000/$C$3)</f>
        <v>#DIV/0!</v>
      </c>
      <c r="P368" s="974" t="e">
        <f>IF($F368="","",$F368*chronic_consumption!K368/1000/$C$3)</f>
        <v>#DIV/0!</v>
      </c>
      <c r="Q368" s="974" t="e">
        <f>IF($F368="","",$F368*chronic_consumption!L368/1000/$C$3)</f>
        <v>#DIV/0!</v>
      </c>
      <c r="R368" s="974" t="e">
        <f>IF($F368="","",$F368*chronic_consumption!M368/1000/$C$3)</f>
        <v>#DIV/0!</v>
      </c>
      <c r="S368" s="974" t="e">
        <f>IF($F368="","",$F368*chronic_consumption!N368/1000/$C$3)</f>
        <v>#DIV/0!</v>
      </c>
      <c r="T368" s="974" t="e">
        <f>IF($F368="","",$F368*chronic_consumption!O368/1000/$C$3)</f>
        <v>#DIV/0!</v>
      </c>
      <c r="U368" s="974" t="e">
        <f>IF($F368="","",$F368*chronic_consumption!P368/1000/$C$3)</f>
        <v>#DIV/0!</v>
      </c>
      <c r="V368" s="974" t="e">
        <f>IF($F368="","",$F368*chronic_consumption!Q368/1000/$C$3)</f>
        <v>#DIV/0!</v>
      </c>
      <c r="W368" s="974" t="e">
        <f>IF($F368="","",$F368*chronic_consumption!R368/1000/$C$3)</f>
        <v>#DIV/0!</v>
      </c>
      <c r="X368" s="974" t="e">
        <f>IF($F368="","",$F368*chronic_consumption!S368/1000/$C$3)</f>
        <v>#DIV/0!</v>
      </c>
      <c r="Y368" s="974" t="e">
        <f>IF($F368="","",$F368*chronic_consumption!T368/1000/$C$3)</f>
        <v>#DIV/0!</v>
      </c>
      <c r="Z368" s="974" t="e">
        <f>IF($F368="","",$F368*chronic_consumption!U368/1000/$C$3)</f>
        <v>#DIV/0!</v>
      </c>
      <c r="AA368" s="974" t="e">
        <f>IF($F368="","",$F368*chronic_consumption!V368/1000/$C$3)</f>
        <v>#DIV/0!</v>
      </c>
      <c r="AB368" s="974" t="e">
        <f>IF($F368="","",$F368*chronic_consumption!W368/1000/$C$3)</f>
        <v>#DIV/0!</v>
      </c>
      <c r="AC368" s="974" t="e">
        <f>IF($F368="","",$F368*chronic_consumption!X368/1000/$C$3)</f>
        <v>#DIV/0!</v>
      </c>
      <c r="AD368" s="974" t="e">
        <f>IF($F368="","",$F368*chronic_consumption!Y368/1000/$C$3)</f>
        <v>#DIV/0!</v>
      </c>
      <c r="AE368" s="974" t="e">
        <f>IF($F368="","",$F368*chronic_consumption!Z368/1000/$C$3)</f>
        <v>#DIV/0!</v>
      </c>
      <c r="AF368" s="974" t="e">
        <f>IF($F368="","",$F368*chronic_consumption!AA368/1000/$C$3)</f>
        <v>#DIV/0!</v>
      </c>
      <c r="AG368" s="974" t="e">
        <f>IF($F368="","",$F368*chronic_consumption!AB368/1000/$C$3)</f>
        <v>#DIV/0!</v>
      </c>
      <c r="AH368" s="974" t="e">
        <f>IF($F368="","",$F368*chronic_consumption!AC368/1000/$C$3)</f>
        <v>#DIV/0!</v>
      </c>
      <c r="AI368" s="974" t="e">
        <f>IF($F368="","",$F368*chronic_consumption!AD368/1000/$C$3)</f>
        <v>#DIV/0!</v>
      </c>
      <c r="AJ368" s="974" t="e">
        <f>IF($F368="","",$F368*chronic_consumption!AE368/1000/$C$3)</f>
        <v>#DIV/0!</v>
      </c>
      <c r="AK368" s="974" t="e">
        <f>IF($F368="","",$F368*chronic_consumption!AF368/1000/$C$3)</f>
        <v>#DIV/0!</v>
      </c>
      <c r="AL368" s="974" t="e">
        <f>IF($F368="","",$F368*chronic_consumption!AG368/1000/$C$3)</f>
        <v>#DIV/0!</v>
      </c>
      <c r="AM368" s="974" t="e">
        <f>IF($F368="","",$F368*chronic_consumption!AH368/1000/$C$3)</f>
        <v>#DIV/0!</v>
      </c>
      <c r="AN368" s="974" t="e">
        <f>IF($F368="","",$F368*chronic_consumption!AI368/1000/$C$3)</f>
        <v>#DIV/0!</v>
      </c>
      <c r="AO368" s="974" t="e">
        <f>IF($F368="","",$F368*chronic_consumption!AJ368/1000/$C$3)</f>
        <v>#DIV/0!</v>
      </c>
      <c r="AP368" s="974" t="e">
        <f>IF($F368="","",$F368*chronic_consumption!AK368/1000/$C$3)</f>
        <v>#DIV/0!</v>
      </c>
      <c r="AQ368" s="974" t="e">
        <f>IF($F368="","",$F368*chronic_consumption!AL368/1000/$C$3)</f>
        <v>#DIV/0!</v>
      </c>
      <c r="AR368" s="974" t="e">
        <f>IF($F368="","",$F368*chronic_consumption!AM368/1000/$C$3)</f>
        <v>#DIV/0!</v>
      </c>
      <c r="AS368" s="974" t="e">
        <f>IF($F368="","",$F368*chronic_consumption!AN368/1000/$C$3)</f>
        <v>#DIV/0!</v>
      </c>
      <c r="AT368" s="974" t="e">
        <f>IF($F368="","",$F368*chronic_consumption!AO368/1000/$C$3)</f>
        <v>#DIV/0!</v>
      </c>
      <c r="AU368" s="974"/>
      <c r="AV368" s="974" t="e">
        <f>IF($F368="","",$F368*chronic_consumption!AQ368/1000/$C$3)</f>
        <v>#DIV/0!</v>
      </c>
      <c r="AW368" s="974" t="e">
        <f>IF($F368="","",$F368*chronic_consumption!AR368/1000/$C$3)</f>
        <v>#DIV/0!</v>
      </c>
      <c r="AX368" s="974" t="e">
        <f>IF($F368="","",$F368*chronic_consumption!AS368/1000/$C$3)</f>
        <v>#DIV/0!</v>
      </c>
      <c r="AY368" s="974" t="e">
        <f>IF($F368="","",$F368*chronic_consumption!AT368/1000/$C$3)</f>
        <v>#DIV/0!</v>
      </c>
      <c r="AZ368" s="973" t="s">
        <v>19</v>
      </c>
      <c r="BA368" s="969" t="e">
        <f t="shared" si="27"/>
        <v>#DIV/0!</v>
      </c>
      <c r="BB368" s="970" t="e">
        <f t="shared" si="28"/>
        <v>#DIV/0!</v>
      </c>
      <c r="BC368" s="971" t="e">
        <f t="shared" ca="1" si="29"/>
        <v>#DIV/0!</v>
      </c>
      <c r="BD368" s="228">
        <f>input_values!Z369</f>
        <v>4</v>
      </c>
      <c r="BE368" s="152">
        <f>input_values!L368</f>
        <v>0</v>
      </c>
      <c r="BF368" s="972" t="str">
        <f t="shared" si="30"/>
        <v/>
      </c>
    </row>
    <row r="369" spans="1:58" ht="12" customHeight="1" outlineLevel="3" x14ac:dyDescent="0.2">
      <c r="A369" s="21">
        <v>4</v>
      </c>
      <c r="B369" s="23">
        <v>1017020</v>
      </c>
      <c r="C369" s="23" t="s">
        <v>805</v>
      </c>
      <c r="D369" s="965">
        <f>Table22[[#This Row],[MRL individual commodity]]</f>
        <v>0</v>
      </c>
      <c r="E369" s="300" t="str">
        <f>Table22[[#This Row],[LOQ_label]]</f>
        <v/>
      </c>
      <c r="F369" s="966">
        <f>Table22[[#This Row],[Chronic RA input value]]</f>
        <v>0</v>
      </c>
      <c r="G369" s="304" t="str">
        <f>Table22[[#This Row],[Chronic RA label]]</f>
        <v/>
      </c>
      <c r="H369" s="304">
        <f>Table22[[#This Row],[GAP under assessment]]</f>
        <v>0</v>
      </c>
      <c r="I369" s="1123"/>
      <c r="J369" s="974" t="e">
        <f>IF($F369="","",$F369*chronic_consumption!$E369/1000/$C$3)</f>
        <v>#DIV/0!</v>
      </c>
      <c r="K369" s="974" t="e">
        <f>IF($F369="","",$F369*chronic_consumption!F369/1000/$C$3)</f>
        <v>#DIV/0!</v>
      </c>
      <c r="L369" s="974" t="e">
        <f>IF($F369="","",$F369*chronic_consumption!G369/1000/$C$3)</f>
        <v>#DIV/0!</v>
      </c>
      <c r="M369" s="974" t="e">
        <f>IF($F369="","",$F369*chronic_consumption!H369/1000/$C$3)</f>
        <v>#DIV/0!</v>
      </c>
      <c r="N369" s="974" t="e">
        <f>IF($F369="","",$F369*chronic_consumption!I369/1000/$C$3)</f>
        <v>#DIV/0!</v>
      </c>
      <c r="O369" s="974" t="e">
        <f>IF($F369="","",$F369*chronic_consumption!J369/1000/$C$3)</f>
        <v>#DIV/0!</v>
      </c>
      <c r="P369" s="974" t="e">
        <f>IF($F369="","",$F369*chronic_consumption!K369/1000/$C$3)</f>
        <v>#DIV/0!</v>
      </c>
      <c r="Q369" s="974" t="e">
        <f>IF($F369="","",$F369*chronic_consumption!L369/1000/$C$3)</f>
        <v>#DIV/0!</v>
      </c>
      <c r="R369" s="974" t="e">
        <f>IF($F369="","",$F369*chronic_consumption!M369/1000/$C$3)</f>
        <v>#DIV/0!</v>
      </c>
      <c r="S369" s="974" t="e">
        <f>IF($F369="","",$F369*chronic_consumption!N369/1000/$C$3)</f>
        <v>#DIV/0!</v>
      </c>
      <c r="T369" s="974" t="e">
        <f>IF($F369="","",$F369*chronic_consumption!O369/1000/$C$3)</f>
        <v>#DIV/0!</v>
      </c>
      <c r="U369" s="974" t="e">
        <f>IF($F369="","",$F369*chronic_consumption!P369/1000/$C$3)</f>
        <v>#DIV/0!</v>
      </c>
      <c r="V369" s="974" t="e">
        <f>IF($F369="","",$F369*chronic_consumption!Q369/1000/$C$3)</f>
        <v>#DIV/0!</v>
      </c>
      <c r="W369" s="974" t="e">
        <f>IF($F369="","",$F369*chronic_consumption!R369/1000/$C$3)</f>
        <v>#DIV/0!</v>
      </c>
      <c r="X369" s="974" t="e">
        <f>IF($F369="","",$F369*chronic_consumption!S369/1000/$C$3)</f>
        <v>#DIV/0!</v>
      </c>
      <c r="Y369" s="974" t="e">
        <f>IF($F369="","",$F369*chronic_consumption!T369/1000/$C$3)</f>
        <v>#DIV/0!</v>
      </c>
      <c r="Z369" s="974" t="e">
        <f>IF($F369="","",$F369*chronic_consumption!U369/1000/$C$3)</f>
        <v>#DIV/0!</v>
      </c>
      <c r="AA369" s="974" t="e">
        <f>IF($F369="","",$F369*chronic_consumption!V369/1000/$C$3)</f>
        <v>#DIV/0!</v>
      </c>
      <c r="AB369" s="974" t="e">
        <f>IF($F369="","",$F369*chronic_consumption!W369/1000/$C$3)</f>
        <v>#DIV/0!</v>
      </c>
      <c r="AC369" s="974" t="e">
        <f>IF($F369="","",$F369*chronic_consumption!X369/1000/$C$3)</f>
        <v>#DIV/0!</v>
      </c>
      <c r="AD369" s="974" t="e">
        <f>IF($F369="","",$F369*chronic_consumption!Y369/1000/$C$3)</f>
        <v>#DIV/0!</v>
      </c>
      <c r="AE369" s="974" t="e">
        <f>IF($F369="","",$F369*chronic_consumption!Z369/1000/$C$3)</f>
        <v>#DIV/0!</v>
      </c>
      <c r="AF369" s="974" t="e">
        <f>IF($F369="","",$F369*chronic_consumption!AA369/1000/$C$3)</f>
        <v>#DIV/0!</v>
      </c>
      <c r="AG369" s="974" t="e">
        <f>IF($F369="","",$F369*chronic_consumption!AB369/1000/$C$3)</f>
        <v>#DIV/0!</v>
      </c>
      <c r="AH369" s="974" t="e">
        <f>IF($F369="","",$F369*chronic_consumption!AC369/1000/$C$3)</f>
        <v>#DIV/0!</v>
      </c>
      <c r="AI369" s="974" t="e">
        <f>IF($F369="","",$F369*chronic_consumption!AD369/1000/$C$3)</f>
        <v>#DIV/0!</v>
      </c>
      <c r="AJ369" s="974" t="e">
        <f>IF($F369="","",$F369*chronic_consumption!AE369/1000/$C$3)</f>
        <v>#DIV/0!</v>
      </c>
      <c r="AK369" s="974" t="e">
        <f>IF($F369="","",$F369*chronic_consumption!AF369/1000/$C$3)</f>
        <v>#DIV/0!</v>
      </c>
      <c r="AL369" s="974" t="e">
        <f>IF($F369="","",$F369*chronic_consumption!AG369/1000/$C$3)</f>
        <v>#DIV/0!</v>
      </c>
      <c r="AM369" s="974" t="e">
        <f>IF($F369="","",$F369*chronic_consumption!AH369/1000/$C$3)</f>
        <v>#DIV/0!</v>
      </c>
      <c r="AN369" s="974" t="e">
        <f>IF($F369="","",$F369*chronic_consumption!AI369/1000/$C$3)</f>
        <v>#DIV/0!</v>
      </c>
      <c r="AO369" s="974" t="e">
        <f>IF($F369="","",$F369*chronic_consumption!AJ369/1000/$C$3)</f>
        <v>#DIV/0!</v>
      </c>
      <c r="AP369" s="974" t="e">
        <f>IF($F369="","",$F369*chronic_consumption!AK369/1000/$C$3)</f>
        <v>#DIV/0!</v>
      </c>
      <c r="AQ369" s="974" t="e">
        <f>IF($F369="","",$F369*chronic_consumption!AL369/1000/$C$3)</f>
        <v>#DIV/0!</v>
      </c>
      <c r="AR369" s="974" t="e">
        <f>IF($F369="","",$F369*chronic_consumption!AM369/1000/$C$3)</f>
        <v>#DIV/0!</v>
      </c>
      <c r="AS369" s="974" t="e">
        <f>IF($F369="","",$F369*chronic_consumption!AN369/1000/$C$3)</f>
        <v>#DIV/0!</v>
      </c>
      <c r="AT369" s="974" t="e">
        <f>IF($F369="","",$F369*chronic_consumption!AO369/1000/$C$3)</f>
        <v>#DIV/0!</v>
      </c>
      <c r="AU369" s="974"/>
      <c r="AV369" s="974" t="e">
        <f>IF($F369="","",$F369*chronic_consumption!AQ369/1000/$C$3)</f>
        <v>#DIV/0!</v>
      </c>
      <c r="AW369" s="974" t="e">
        <f>IF($F369="","",$F369*chronic_consumption!AR369/1000/$C$3)</f>
        <v>#DIV/0!</v>
      </c>
      <c r="AX369" s="974" t="e">
        <f>IF($F369="","",$F369*chronic_consumption!AS369/1000/$C$3)</f>
        <v>#DIV/0!</v>
      </c>
      <c r="AY369" s="974" t="e">
        <f>IF($F369="","",$F369*chronic_consumption!AT369/1000/$C$3)</f>
        <v>#DIV/0!</v>
      </c>
      <c r="AZ369" s="973" t="s">
        <v>19</v>
      </c>
      <c r="BA369" s="969" t="e">
        <f t="shared" si="27"/>
        <v>#DIV/0!</v>
      </c>
      <c r="BB369" s="970" t="e">
        <f t="shared" si="28"/>
        <v>#DIV/0!</v>
      </c>
      <c r="BC369" s="971" t="e">
        <f t="shared" ca="1" si="29"/>
        <v>#DIV/0!</v>
      </c>
      <c r="BD369" s="228">
        <f>input_values!Z369</f>
        <v>4</v>
      </c>
      <c r="BE369" s="152">
        <f>input_values!L369</f>
        <v>0</v>
      </c>
      <c r="BF369" s="972" t="str">
        <f t="shared" si="30"/>
        <v/>
      </c>
    </row>
    <row r="370" spans="1:58" ht="12" customHeight="1" outlineLevel="3" x14ac:dyDescent="0.2">
      <c r="A370" s="21">
        <v>4</v>
      </c>
      <c r="B370" s="23">
        <v>1017030</v>
      </c>
      <c r="C370" s="23" t="s">
        <v>806</v>
      </c>
      <c r="D370" s="965">
        <f>Table22[[#This Row],[MRL individual commodity]]</f>
        <v>0</v>
      </c>
      <c r="E370" s="300" t="str">
        <f>Table22[[#This Row],[LOQ_label]]</f>
        <v/>
      </c>
      <c r="F370" s="966">
        <f>Table22[[#This Row],[Chronic RA input value]]</f>
        <v>0</v>
      </c>
      <c r="G370" s="304" t="str">
        <f>Table22[[#This Row],[Chronic RA label]]</f>
        <v/>
      </c>
      <c r="H370" s="304">
        <f>Table22[[#This Row],[GAP under assessment]]</f>
        <v>0</v>
      </c>
      <c r="I370" s="1123"/>
      <c r="J370" s="974" t="e">
        <f>IF($F370="","",$F370*chronic_consumption!$E370/1000/$C$3)</f>
        <v>#DIV/0!</v>
      </c>
      <c r="K370" s="974" t="e">
        <f>IF($F370="","",$F370*chronic_consumption!F370/1000/$C$3)</f>
        <v>#DIV/0!</v>
      </c>
      <c r="L370" s="974" t="e">
        <f>IF($F370="","",$F370*chronic_consumption!G370/1000/$C$3)</f>
        <v>#DIV/0!</v>
      </c>
      <c r="M370" s="974" t="e">
        <f>IF($F370="","",$F370*chronic_consumption!H370/1000/$C$3)</f>
        <v>#DIV/0!</v>
      </c>
      <c r="N370" s="974" t="e">
        <f>IF($F370="","",$F370*chronic_consumption!I370/1000/$C$3)</f>
        <v>#DIV/0!</v>
      </c>
      <c r="O370" s="974" t="e">
        <f>IF($F370="","",$F370*chronic_consumption!J370/1000/$C$3)</f>
        <v>#DIV/0!</v>
      </c>
      <c r="P370" s="974" t="e">
        <f>IF($F370="","",$F370*chronic_consumption!K370/1000/$C$3)</f>
        <v>#DIV/0!</v>
      </c>
      <c r="Q370" s="974" t="e">
        <f>IF($F370="","",$F370*chronic_consumption!L370/1000/$C$3)</f>
        <v>#DIV/0!</v>
      </c>
      <c r="R370" s="974" t="e">
        <f>IF($F370="","",$F370*chronic_consumption!M370/1000/$C$3)</f>
        <v>#DIV/0!</v>
      </c>
      <c r="S370" s="974" t="e">
        <f>IF($F370="","",$F370*chronic_consumption!N370/1000/$C$3)</f>
        <v>#DIV/0!</v>
      </c>
      <c r="T370" s="974" t="e">
        <f>IF($F370="","",$F370*chronic_consumption!O370/1000/$C$3)</f>
        <v>#DIV/0!</v>
      </c>
      <c r="U370" s="974" t="e">
        <f>IF($F370="","",$F370*chronic_consumption!P370/1000/$C$3)</f>
        <v>#DIV/0!</v>
      </c>
      <c r="V370" s="974" t="e">
        <f>IF($F370="","",$F370*chronic_consumption!Q370/1000/$C$3)</f>
        <v>#DIV/0!</v>
      </c>
      <c r="W370" s="974" t="e">
        <f>IF($F370="","",$F370*chronic_consumption!R370/1000/$C$3)</f>
        <v>#DIV/0!</v>
      </c>
      <c r="X370" s="974" t="e">
        <f>IF($F370="","",$F370*chronic_consumption!S370/1000/$C$3)</f>
        <v>#DIV/0!</v>
      </c>
      <c r="Y370" s="974" t="e">
        <f>IF($F370="","",$F370*chronic_consumption!T370/1000/$C$3)</f>
        <v>#DIV/0!</v>
      </c>
      <c r="Z370" s="974" t="e">
        <f>IF($F370="","",$F370*chronic_consumption!U370/1000/$C$3)</f>
        <v>#DIV/0!</v>
      </c>
      <c r="AA370" s="974" t="e">
        <f>IF($F370="","",$F370*chronic_consumption!V370/1000/$C$3)</f>
        <v>#DIV/0!</v>
      </c>
      <c r="AB370" s="974" t="e">
        <f>IF($F370="","",$F370*chronic_consumption!W370/1000/$C$3)</f>
        <v>#DIV/0!</v>
      </c>
      <c r="AC370" s="974" t="e">
        <f>IF($F370="","",$F370*chronic_consumption!X370/1000/$C$3)</f>
        <v>#DIV/0!</v>
      </c>
      <c r="AD370" s="974" t="e">
        <f>IF($F370="","",$F370*chronic_consumption!Y370/1000/$C$3)</f>
        <v>#DIV/0!</v>
      </c>
      <c r="AE370" s="974" t="e">
        <f>IF($F370="","",$F370*chronic_consumption!Z370/1000/$C$3)</f>
        <v>#DIV/0!</v>
      </c>
      <c r="AF370" s="974" t="e">
        <f>IF($F370="","",$F370*chronic_consumption!AA370/1000/$C$3)</f>
        <v>#DIV/0!</v>
      </c>
      <c r="AG370" s="974" t="e">
        <f>IF($F370="","",$F370*chronic_consumption!AB370/1000/$C$3)</f>
        <v>#DIV/0!</v>
      </c>
      <c r="AH370" s="974" t="e">
        <f>IF($F370="","",$F370*chronic_consumption!AC370/1000/$C$3)</f>
        <v>#DIV/0!</v>
      </c>
      <c r="AI370" s="974" t="e">
        <f>IF($F370="","",$F370*chronic_consumption!AD370/1000/$C$3)</f>
        <v>#DIV/0!</v>
      </c>
      <c r="AJ370" s="974" t="e">
        <f>IF($F370="","",$F370*chronic_consumption!AE370/1000/$C$3)</f>
        <v>#DIV/0!</v>
      </c>
      <c r="AK370" s="974" t="e">
        <f>IF($F370="","",$F370*chronic_consumption!AF370/1000/$C$3)</f>
        <v>#DIV/0!</v>
      </c>
      <c r="AL370" s="974" t="e">
        <f>IF($F370="","",$F370*chronic_consumption!AG370/1000/$C$3)</f>
        <v>#DIV/0!</v>
      </c>
      <c r="AM370" s="974" t="e">
        <f>IF($F370="","",$F370*chronic_consumption!AH370/1000/$C$3)</f>
        <v>#DIV/0!</v>
      </c>
      <c r="AN370" s="974" t="e">
        <f>IF($F370="","",$F370*chronic_consumption!AI370/1000/$C$3)</f>
        <v>#DIV/0!</v>
      </c>
      <c r="AO370" s="974" t="e">
        <f>IF($F370="","",$F370*chronic_consumption!AJ370/1000/$C$3)</f>
        <v>#DIV/0!</v>
      </c>
      <c r="AP370" s="974" t="e">
        <f>IF($F370="","",$F370*chronic_consumption!AK370/1000/$C$3)</f>
        <v>#DIV/0!</v>
      </c>
      <c r="AQ370" s="974" t="e">
        <f>IF($F370="","",$F370*chronic_consumption!AL370/1000/$C$3)</f>
        <v>#DIV/0!</v>
      </c>
      <c r="AR370" s="974" t="e">
        <f>IF($F370="","",$F370*chronic_consumption!AM370/1000/$C$3)</f>
        <v>#DIV/0!</v>
      </c>
      <c r="AS370" s="974" t="e">
        <f>IF($F370="","",$F370*chronic_consumption!AN370/1000/$C$3)</f>
        <v>#DIV/0!</v>
      </c>
      <c r="AT370" s="974" t="e">
        <f>IF($F370="","",$F370*chronic_consumption!AO370/1000/$C$3)</f>
        <v>#DIV/0!</v>
      </c>
      <c r="AU370" s="974"/>
      <c r="AV370" s="974" t="e">
        <f>IF($F370="","",$F370*chronic_consumption!AQ370/1000/$C$3)</f>
        <v>#DIV/0!</v>
      </c>
      <c r="AW370" s="974" t="e">
        <f>IF($F370="","",$F370*chronic_consumption!AR370/1000/$C$3)</f>
        <v>#DIV/0!</v>
      </c>
      <c r="AX370" s="974" t="e">
        <f>IF($F370="","",$F370*chronic_consumption!AS370/1000/$C$3)</f>
        <v>#DIV/0!</v>
      </c>
      <c r="AY370" s="974" t="e">
        <f>IF($F370="","",$F370*chronic_consumption!AT370/1000/$C$3)</f>
        <v>#DIV/0!</v>
      </c>
      <c r="AZ370" s="973" t="s">
        <v>19</v>
      </c>
      <c r="BA370" s="969" t="e">
        <f t="shared" si="27"/>
        <v>#DIV/0!</v>
      </c>
      <c r="BB370" s="970" t="e">
        <f t="shared" si="28"/>
        <v>#DIV/0!</v>
      </c>
      <c r="BC370" s="971" t="e">
        <f t="shared" ca="1" si="29"/>
        <v>#DIV/0!</v>
      </c>
      <c r="BD370" s="228">
        <f>input_values!Z370</f>
        <v>4</v>
      </c>
      <c r="BE370" s="152">
        <f>input_values!L370</f>
        <v>0</v>
      </c>
      <c r="BF370" s="972" t="str">
        <f t="shared" si="30"/>
        <v/>
      </c>
    </row>
    <row r="371" spans="1:58" ht="12" customHeight="1" outlineLevel="3" x14ac:dyDescent="0.2">
      <c r="A371" s="21">
        <v>4</v>
      </c>
      <c r="B371" s="23">
        <v>1017040</v>
      </c>
      <c r="C371" s="23" t="s">
        <v>807</v>
      </c>
      <c r="D371" s="965">
        <f>Table22[[#This Row],[MRL individual commodity]]</f>
        <v>0</v>
      </c>
      <c r="E371" s="300" t="str">
        <f>Table22[[#This Row],[LOQ_label]]</f>
        <v/>
      </c>
      <c r="F371" s="966">
        <f>Table22[[#This Row],[Chronic RA input value]]</f>
        <v>0</v>
      </c>
      <c r="G371" s="304" t="str">
        <f>Table22[[#This Row],[Chronic RA label]]</f>
        <v/>
      </c>
      <c r="H371" s="304">
        <f>Table22[[#This Row],[GAP under assessment]]</f>
        <v>0</v>
      </c>
      <c r="I371" s="1123"/>
      <c r="J371" s="974" t="e">
        <f>IF($F371="","",$F371*chronic_consumption!$E371/1000/$C$3)</f>
        <v>#DIV/0!</v>
      </c>
      <c r="K371" s="974" t="e">
        <f>IF($F371="","",$F371*chronic_consumption!F371/1000/$C$3)</f>
        <v>#DIV/0!</v>
      </c>
      <c r="L371" s="974" t="e">
        <f>IF($F371="","",$F371*chronic_consumption!G371/1000/$C$3)</f>
        <v>#DIV/0!</v>
      </c>
      <c r="M371" s="974" t="e">
        <f>IF($F371="","",$F371*chronic_consumption!H371/1000/$C$3)</f>
        <v>#DIV/0!</v>
      </c>
      <c r="N371" s="974" t="e">
        <f>IF($F371="","",$F371*chronic_consumption!I371/1000/$C$3)</f>
        <v>#DIV/0!</v>
      </c>
      <c r="O371" s="974" t="e">
        <f>IF($F371="","",$F371*chronic_consumption!J371/1000/$C$3)</f>
        <v>#DIV/0!</v>
      </c>
      <c r="P371" s="974" t="e">
        <f>IF($F371="","",$F371*chronic_consumption!K371/1000/$C$3)</f>
        <v>#DIV/0!</v>
      </c>
      <c r="Q371" s="974" t="e">
        <f>IF($F371="","",$F371*chronic_consumption!L371/1000/$C$3)</f>
        <v>#DIV/0!</v>
      </c>
      <c r="R371" s="974" t="e">
        <f>IF($F371="","",$F371*chronic_consumption!M371/1000/$C$3)</f>
        <v>#DIV/0!</v>
      </c>
      <c r="S371" s="974" t="e">
        <f>IF($F371="","",$F371*chronic_consumption!N371/1000/$C$3)</f>
        <v>#DIV/0!</v>
      </c>
      <c r="T371" s="974" t="e">
        <f>IF($F371="","",$F371*chronic_consumption!O371/1000/$C$3)</f>
        <v>#DIV/0!</v>
      </c>
      <c r="U371" s="974" t="e">
        <f>IF($F371="","",$F371*chronic_consumption!P371/1000/$C$3)</f>
        <v>#DIV/0!</v>
      </c>
      <c r="V371" s="974" t="e">
        <f>IF($F371="","",$F371*chronic_consumption!Q371/1000/$C$3)</f>
        <v>#DIV/0!</v>
      </c>
      <c r="W371" s="974" t="e">
        <f>IF($F371="","",$F371*chronic_consumption!R371/1000/$C$3)</f>
        <v>#DIV/0!</v>
      </c>
      <c r="X371" s="974" t="e">
        <f>IF($F371="","",$F371*chronic_consumption!S371/1000/$C$3)</f>
        <v>#DIV/0!</v>
      </c>
      <c r="Y371" s="974" t="e">
        <f>IF($F371="","",$F371*chronic_consumption!T371/1000/$C$3)</f>
        <v>#DIV/0!</v>
      </c>
      <c r="Z371" s="974" t="e">
        <f>IF($F371="","",$F371*chronic_consumption!U371/1000/$C$3)</f>
        <v>#DIV/0!</v>
      </c>
      <c r="AA371" s="974" t="e">
        <f>IF($F371="","",$F371*chronic_consumption!V371/1000/$C$3)</f>
        <v>#DIV/0!</v>
      </c>
      <c r="AB371" s="974" t="e">
        <f>IF($F371="","",$F371*chronic_consumption!W371/1000/$C$3)</f>
        <v>#DIV/0!</v>
      </c>
      <c r="AC371" s="974" t="e">
        <f>IF($F371="","",$F371*chronic_consumption!X371/1000/$C$3)</f>
        <v>#DIV/0!</v>
      </c>
      <c r="AD371" s="974" t="e">
        <f>IF($F371="","",$F371*chronic_consumption!Y371/1000/$C$3)</f>
        <v>#DIV/0!</v>
      </c>
      <c r="AE371" s="974" t="e">
        <f>IF($F371="","",$F371*chronic_consumption!Z371/1000/$C$3)</f>
        <v>#DIV/0!</v>
      </c>
      <c r="AF371" s="974" t="e">
        <f>IF($F371="","",$F371*chronic_consumption!AA371/1000/$C$3)</f>
        <v>#DIV/0!</v>
      </c>
      <c r="AG371" s="974" t="e">
        <f>IF($F371="","",$F371*chronic_consumption!AB371/1000/$C$3)</f>
        <v>#DIV/0!</v>
      </c>
      <c r="AH371" s="974" t="e">
        <f>IF($F371="","",$F371*chronic_consumption!AC371/1000/$C$3)</f>
        <v>#DIV/0!</v>
      </c>
      <c r="AI371" s="974" t="e">
        <f>IF($F371="","",$F371*chronic_consumption!AD371/1000/$C$3)</f>
        <v>#DIV/0!</v>
      </c>
      <c r="AJ371" s="974" t="e">
        <f>IF($F371="","",$F371*chronic_consumption!AE371/1000/$C$3)</f>
        <v>#DIV/0!</v>
      </c>
      <c r="AK371" s="974" t="e">
        <f>IF($F371="","",$F371*chronic_consumption!AF371/1000/$C$3)</f>
        <v>#DIV/0!</v>
      </c>
      <c r="AL371" s="974" t="e">
        <f>IF($F371="","",$F371*chronic_consumption!AG371/1000/$C$3)</f>
        <v>#DIV/0!</v>
      </c>
      <c r="AM371" s="974" t="e">
        <f>IF($F371="","",$F371*chronic_consumption!AH371/1000/$C$3)</f>
        <v>#DIV/0!</v>
      </c>
      <c r="AN371" s="974" t="e">
        <f>IF($F371="","",$F371*chronic_consumption!AI371/1000/$C$3)</f>
        <v>#DIV/0!</v>
      </c>
      <c r="AO371" s="974" t="e">
        <f>IF($F371="","",$F371*chronic_consumption!AJ371/1000/$C$3)</f>
        <v>#DIV/0!</v>
      </c>
      <c r="AP371" s="974" t="e">
        <f>IF($F371="","",$F371*chronic_consumption!AK371/1000/$C$3)</f>
        <v>#DIV/0!</v>
      </c>
      <c r="AQ371" s="974" t="e">
        <f>IF($F371="","",$F371*chronic_consumption!AL371/1000/$C$3)</f>
        <v>#DIV/0!</v>
      </c>
      <c r="AR371" s="974" t="e">
        <f>IF($F371="","",$F371*chronic_consumption!AM371/1000/$C$3)</f>
        <v>#DIV/0!</v>
      </c>
      <c r="AS371" s="974" t="e">
        <f>IF($F371="","",$F371*chronic_consumption!AN371/1000/$C$3)</f>
        <v>#DIV/0!</v>
      </c>
      <c r="AT371" s="974" t="e">
        <f>IF($F371="","",$F371*chronic_consumption!AO371/1000/$C$3)</f>
        <v>#DIV/0!</v>
      </c>
      <c r="AU371" s="974"/>
      <c r="AV371" s="974" t="e">
        <f>IF($F371="","",$F371*chronic_consumption!AQ371/1000/$C$3)</f>
        <v>#DIV/0!</v>
      </c>
      <c r="AW371" s="974" t="e">
        <f>IF($F371="","",$F371*chronic_consumption!AR371/1000/$C$3)</f>
        <v>#DIV/0!</v>
      </c>
      <c r="AX371" s="974" t="e">
        <f>IF($F371="","",$F371*chronic_consumption!AS371/1000/$C$3)</f>
        <v>#DIV/0!</v>
      </c>
      <c r="AY371" s="974" t="e">
        <f>IF($F371="","",$F371*chronic_consumption!AT371/1000/$C$3)</f>
        <v>#DIV/0!</v>
      </c>
      <c r="AZ371" s="973" t="s">
        <v>19</v>
      </c>
      <c r="BA371" s="969" t="e">
        <f t="shared" si="27"/>
        <v>#DIV/0!</v>
      </c>
      <c r="BB371" s="970" t="e">
        <f t="shared" si="28"/>
        <v>#DIV/0!</v>
      </c>
      <c r="BC371" s="971" t="e">
        <f t="shared" ca="1" si="29"/>
        <v>#DIV/0!</v>
      </c>
      <c r="BD371" s="228">
        <f>input_values!Z371</f>
        <v>4</v>
      </c>
      <c r="BE371" s="152">
        <f>input_values!L371</f>
        <v>0</v>
      </c>
      <c r="BF371" s="972" t="str">
        <f t="shared" si="30"/>
        <v/>
      </c>
    </row>
    <row r="372" spans="1:58" ht="12" customHeight="1" outlineLevel="3" x14ac:dyDescent="0.2">
      <c r="A372" s="21">
        <v>4</v>
      </c>
      <c r="B372" s="23">
        <v>1017050</v>
      </c>
      <c r="C372" s="23" t="s">
        <v>809</v>
      </c>
      <c r="D372" s="965">
        <f>Table22[[#This Row],[MRL individual commodity]]</f>
        <v>0</v>
      </c>
      <c r="E372" s="300" t="str">
        <f>Table22[[#This Row],[LOQ_label]]</f>
        <v/>
      </c>
      <c r="F372" s="966">
        <f>Table22[[#This Row],[Chronic RA input value]]</f>
        <v>0</v>
      </c>
      <c r="G372" s="304" t="str">
        <f>Table22[[#This Row],[Chronic RA label]]</f>
        <v/>
      </c>
      <c r="H372" s="304">
        <f>Table22[[#This Row],[GAP under assessment]]</f>
        <v>0</v>
      </c>
      <c r="I372" s="1123"/>
      <c r="J372" s="974" t="e">
        <f>IF($F372="","",$F372*chronic_consumption!$E372/1000/$C$3)</f>
        <v>#DIV/0!</v>
      </c>
      <c r="K372" s="974" t="e">
        <f>IF($F372="","",$F372*chronic_consumption!F372/1000/$C$3)</f>
        <v>#DIV/0!</v>
      </c>
      <c r="L372" s="974" t="e">
        <f>IF($F372="","",$F372*chronic_consumption!G372/1000/$C$3)</f>
        <v>#DIV/0!</v>
      </c>
      <c r="M372" s="974" t="e">
        <f>IF($F372="","",$F372*chronic_consumption!H372/1000/$C$3)</f>
        <v>#DIV/0!</v>
      </c>
      <c r="N372" s="974" t="e">
        <f>IF($F372="","",$F372*chronic_consumption!I372/1000/$C$3)</f>
        <v>#DIV/0!</v>
      </c>
      <c r="O372" s="974" t="e">
        <f>IF($F372="","",$F372*chronic_consumption!J372/1000/$C$3)</f>
        <v>#DIV/0!</v>
      </c>
      <c r="P372" s="974" t="e">
        <f>IF($F372="","",$F372*chronic_consumption!K372/1000/$C$3)</f>
        <v>#DIV/0!</v>
      </c>
      <c r="Q372" s="974" t="e">
        <f>IF($F372="","",$F372*chronic_consumption!L372/1000/$C$3)</f>
        <v>#DIV/0!</v>
      </c>
      <c r="R372" s="974" t="e">
        <f>IF($F372="","",$F372*chronic_consumption!M372/1000/$C$3)</f>
        <v>#DIV/0!</v>
      </c>
      <c r="S372" s="974" t="e">
        <f>IF($F372="","",$F372*chronic_consumption!N372/1000/$C$3)</f>
        <v>#DIV/0!</v>
      </c>
      <c r="T372" s="974" t="e">
        <f>IF($F372="","",$F372*chronic_consumption!O372/1000/$C$3)</f>
        <v>#DIV/0!</v>
      </c>
      <c r="U372" s="974" t="e">
        <f>IF($F372="","",$F372*chronic_consumption!P372/1000/$C$3)</f>
        <v>#DIV/0!</v>
      </c>
      <c r="V372" s="974" t="e">
        <f>IF($F372="","",$F372*chronic_consumption!Q372/1000/$C$3)</f>
        <v>#DIV/0!</v>
      </c>
      <c r="W372" s="974" t="e">
        <f>IF($F372="","",$F372*chronic_consumption!R372/1000/$C$3)</f>
        <v>#DIV/0!</v>
      </c>
      <c r="X372" s="974" t="e">
        <f>IF($F372="","",$F372*chronic_consumption!S372/1000/$C$3)</f>
        <v>#DIV/0!</v>
      </c>
      <c r="Y372" s="974" t="e">
        <f>IF($F372="","",$F372*chronic_consumption!T372/1000/$C$3)</f>
        <v>#DIV/0!</v>
      </c>
      <c r="Z372" s="974" t="e">
        <f>IF($F372="","",$F372*chronic_consumption!U372/1000/$C$3)</f>
        <v>#DIV/0!</v>
      </c>
      <c r="AA372" s="974" t="e">
        <f>IF($F372="","",$F372*chronic_consumption!V372/1000/$C$3)</f>
        <v>#DIV/0!</v>
      </c>
      <c r="AB372" s="974" t="e">
        <f>IF($F372="","",$F372*chronic_consumption!W372/1000/$C$3)</f>
        <v>#DIV/0!</v>
      </c>
      <c r="AC372" s="974" t="e">
        <f>IF($F372="","",$F372*chronic_consumption!X372/1000/$C$3)</f>
        <v>#DIV/0!</v>
      </c>
      <c r="AD372" s="974" t="e">
        <f>IF($F372="","",$F372*chronic_consumption!Y372/1000/$C$3)</f>
        <v>#DIV/0!</v>
      </c>
      <c r="AE372" s="974" t="e">
        <f>IF($F372="","",$F372*chronic_consumption!Z372/1000/$C$3)</f>
        <v>#DIV/0!</v>
      </c>
      <c r="AF372" s="974" t="e">
        <f>IF($F372="","",$F372*chronic_consumption!AA372/1000/$C$3)</f>
        <v>#DIV/0!</v>
      </c>
      <c r="AG372" s="974" t="e">
        <f>IF($F372="","",$F372*chronic_consumption!AB372/1000/$C$3)</f>
        <v>#DIV/0!</v>
      </c>
      <c r="AH372" s="974" t="e">
        <f>IF($F372="","",$F372*chronic_consumption!AC372/1000/$C$3)</f>
        <v>#DIV/0!</v>
      </c>
      <c r="AI372" s="974" t="e">
        <f>IF($F372="","",$F372*chronic_consumption!AD372/1000/$C$3)</f>
        <v>#DIV/0!</v>
      </c>
      <c r="AJ372" s="974" t="e">
        <f>IF($F372="","",$F372*chronic_consumption!AE372/1000/$C$3)</f>
        <v>#DIV/0!</v>
      </c>
      <c r="AK372" s="974" t="e">
        <f>IF($F372="","",$F372*chronic_consumption!AF372/1000/$C$3)</f>
        <v>#DIV/0!</v>
      </c>
      <c r="AL372" s="974" t="e">
        <f>IF($F372="","",$F372*chronic_consumption!AG372/1000/$C$3)</f>
        <v>#DIV/0!</v>
      </c>
      <c r="AM372" s="974" t="e">
        <f>IF($F372="","",$F372*chronic_consumption!AH372/1000/$C$3)</f>
        <v>#DIV/0!</v>
      </c>
      <c r="AN372" s="974" t="e">
        <f>IF($F372="","",$F372*chronic_consumption!AI372/1000/$C$3)</f>
        <v>#DIV/0!</v>
      </c>
      <c r="AO372" s="974" t="e">
        <f>IF($F372="","",$F372*chronic_consumption!AJ372/1000/$C$3)</f>
        <v>#DIV/0!</v>
      </c>
      <c r="AP372" s="974" t="e">
        <f>IF($F372="","",$F372*chronic_consumption!AK372/1000/$C$3)</f>
        <v>#DIV/0!</v>
      </c>
      <c r="AQ372" s="974" t="e">
        <f>IF($F372="","",$F372*chronic_consumption!AL372/1000/$C$3)</f>
        <v>#DIV/0!</v>
      </c>
      <c r="AR372" s="974" t="e">
        <f>IF($F372="","",$F372*chronic_consumption!AM372/1000/$C$3)</f>
        <v>#DIV/0!</v>
      </c>
      <c r="AS372" s="974" t="e">
        <f>IF($F372="","",$F372*chronic_consumption!AN372/1000/$C$3)</f>
        <v>#DIV/0!</v>
      </c>
      <c r="AT372" s="974" t="e">
        <f>IF($F372="","",$F372*chronic_consumption!AO372/1000/$C$3)</f>
        <v>#DIV/0!</v>
      </c>
      <c r="AU372" s="974"/>
      <c r="AV372" s="974" t="e">
        <f>IF($F372="","",$F372*chronic_consumption!AQ372/1000/$C$3)</f>
        <v>#DIV/0!</v>
      </c>
      <c r="AW372" s="974" t="e">
        <f>IF($F372="","",$F372*chronic_consumption!AR372/1000/$C$3)</f>
        <v>#DIV/0!</v>
      </c>
      <c r="AX372" s="974" t="e">
        <f>IF($F372="","",$F372*chronic_consumption!AS372/1000/$C$3)</f>
        <v>#DIV/0!</v>
      </c>
      <c r="AY372" s="974" t="e">
        <f>IF($F372="","",$F372*chronic_consumption!AT372/1000/$C$3)</f>
        <v>#DIV/0!</v>
      </c>
      <c r="AZ372" s="973" t="s">
        <v>19</v>
      </c>
      <c r="BA372" s="969" t="e">
        <f t="shared" si="27"/>
        <v>#DIV/0!</v>
      </c>
      <c r="BB372" s="970" t="e">
        <f t="shared" si="28"/>
        <v>#DIV/0!</v>
      </c>
      <c r="BC372" s="971" t="e">
        <f t="shared" ca="1" si="29"/>
        <v>#DIV/0!</v>
      </c>
      <c r="BD372" s="228">
        <f>input_values!Z372</f>
        <v>4</v>
      </c>
      <c r="BE372" s="152">
        <f>input_values!L372</f>
        <v>0</v>
      </c>
      <c r="BF372" s="972" t="str">
        <f t="shared" si="30"/>
        <v/>
      </c>
    </row>
    <row r="373" spans="1:58" ht="12" customHeight="1" outlineLevel="3" x14ac:dyDescent="0.2">
      <c r="A373" s="21">
        <v>4</v>
      </c>
      <c r="B373" s="23">
        <v>1017990</v>
      </c>
      <c r="C373" s="23" t="s">
        <v>808</v>
      </c>
      <c r="D373" s="965">
        <f>Table22[[#This Row],[MRL individual commodity]]</f>
        <v>0</v>
      </c>
      <c r="E373" s="300" t="str">
        <f>Table22[[#This Row],[LOQ_label]]</f>
        <v/>
      </c>
      <c r="F373" s="966">
        <f>Table22[[#This Row],[Chronic RA input value]]</f>
        <v>0</v>
      </c>
      <c r="G373" s="304" t="str">
        <f>Table22[[#This Row],[Chronic RA label]]</f>
        <v/>
      </c>
      <c r="H373" s="304">
        <f>Table22[[#This Row],[GAP under assessment]]</f>
        <v>0</v>
      </c>
      <c r="I373" s="1123"/>
      <c r="J373" s="974" t="e">
        <f>IF($F373="","",$F373*chronic_consumption!$E373/1000/$C$3)</f>
        <v>#DIV/0!</v>
      </c>
      <c r="K373" s="974" t="e">
        <f>IF($F373="","",$F373*chronic_consumption!F373/1000/$C$3)</f>
        <v>#DIV/0!</v>
      </c>
      <c r="L373" s="974" t="e">
        <f>IF($F373="","",$F373*chronic_consumption!G373/1000/$C$3)</f>
        <v>#DIV/0!</v>
      </c>
      <c r="M373" s="974" t="e">
        <f>IF($F373="","",$F373*chronic_consumption!H373/1000/$C$3)</f>
        <v>#DIV/0!</v>
      </c>
      <c r="N373" s="974" t="e">
        <f>IF($F373="","",$F373*chronic_consumption!I373/1000/$C$3)</f>
        <v>#DIV/0!</v>
      </c>
      <c r="O373" s="974" t="e">
        <f>IF($F373="","",$F373*chronic_consumption!J373/1000/$C$3)</f>
        <v>#DIV/0!</v>
      </c>
      <c r="P373" s="974" t="e">
        <f>IF($F373="","",$F373*chronic_consumption!K373/1000/$C$3)</f>
        <v>#DIV/0!</v>
      </c>
      <c r="Q373" s="974" t="e">
        <f>IF($F373="","",$F373*chronic_consumption!L373/1000/$C$3)</f>
        <v>#DIV/0!</v>
      </c>
      <c r="R373" s="974" t="e">
        <f>IF($F373="","",$F373*chronic_consumption!M373/1000/$C$3)</f>
        <v>#DIV/0!</v>
      </c>
      <c r="S373" s="974" t="e">
        <f>IF($F373="","",$F373*chronic_consumption!N373/1000/$C$3)</f>
        <v>#DIV/0!</v>
      </c>
      <c r="T373" s="974" t="e">
        <f>IF($F373="","",$F373*chronic_consumption!O373/1000/$C$3)</f>
        <v>#DIV/0!</v>
      </c>
      <c r="U373" s="974" t="e">
        <f>IF($F373="","",$F373*chronic_consumption!P373/1000/$C$3)</f>
        <v>#DIV/0!</v>
      </c>
      <c r="V373" s="974" t="e">
        <f>IF($F373="","",$F373*chronic_consumption!Q373/1000/$C$3)</f>
        <v>#DIV/0!</v>
      </c>
      <c r="W373" s="974" t="e">
        <f>IF($F373="","",$F373*chronic_consumption!R373/1000/$C$3)</f>
        <v>#DIV/0!</v>
      </c>
      <c r="X373" s="974" t="e">
        <f>IF($F373="","",$F373*chronic_consumption!S373/1000/$C$3)</f>
        <v>#DIV/0!</v>
      </c>
      <c r="Y373" s="974" t="e">
        <f>IF($F373="","",$F373*chronic_consumption!T373/1000/$C$3)</f>
        <v>#DIV/0!</v>
      </c>
      <c r="Z373" s="974" t="e">
        <f>IF($F373="","",$F373*chronic_consumption!U373/1000/$C$3)</f>
        <v>#DIV/0!</v>
      </c>
      <c r="AA373" s="974" t="e">
        <f>IF($F373="","",$F373*chronic_consumption!V373/1000/$C$3)</f>
        <v>#DIV/0!</v>
      </c>
      <c r="AB373" s="974" t="e">
        <f>IF($F373="","",$F373*chronic_consumption!W373/1000/$C$3)</f>
        <v>#DIV/0!</v>
      </c>
      <c r="AC373" s="974" t="e">
        <f>IF($F373="","",$F373*chronic_consumption!X373/1000/$C$3)</f>
        <v>#DIV/0!</v>
      </c>
      <c r="AD373" s="974" t="e">
        <f>IF($F373="","",$F373*chronic_consumption!Y373/1000/$C$3)</f>
        <v>#DIV/0!</v>
      </c>
      <c r="AE373" s="974" t="e">
        <f>IF($F373="","",$F373*chronic_consumption!Z373/1000/$C$3)</f>
        <v>#DIV/0!</v>
      </c>
      <c r="AF373" s="974" t="e">
        <f>IF($F373="","",$F373*chronic_consumption!AA373/1000/$C$3)</f>
        <v>#DIV/0!</v>
      </c>
      <c r="AG373" s="974" t="e">
        <f>IF($F373="","",$F373*chronic_consumption!AB373/1000/$C$3)</f>
        <v>#DIV/0!</v>
      </c>
      <c r="AH373" s="974" t="e">
        <f>IF($F373="","",$F373*chronic_consumption!AC373/1000/$C$3)</f>
        <v>#DIV/0!</v>
      </c>
      <c r="AI373" s="974" t="e">
        <f>IF($F373="","",$F373*chronic_consumption!AD373/1000/$C$3)</f>
        <v>#DIV/0!</v>
      </c>
      <c r="AJ373" s="974" t="e">
        <f>IF($F373="","",$F373*chronic_consumption!AE373/1000/$C$3)</f>
        <v>#DIV/0!</v>
      </c>
      <c r="AK373" s="974" t="e">
        <f>IF($F373="","",$F373*chronic_consumption!AF373/1000/$C$3)</f>
        <v>#DIV/0!</v>
      </c>
      <c r="AL373" s="974" t="e">
        <f>IF($F373="","",$F373*chronic_consumption!AG373/1000/$C$3)</f>
        <v>#DIV/0!</v>
      </c>
      <c r="AM373" s="974" t="e">
        <f>IF($F373="","",$F373*chronic_consumption!AH373/1000/$C$3)</f>
        <v>#DIV/0!</v>
      </c>
      <c r="AN373" s="974" t="e">
        <f>IF($F373="","",$F373*chronic_consumption!AI373/1000/$C$3)</f>
        <v>#DIV/0!</v>
      </c>
      <c r="AO373" s="974" t="e">
        <f>IF($F373="","",$F373*chronic_consumption!AJ373/1000/$C$3)</f>
        <v>#DIV/0!</v>
      </c>
      <c r="AP373" s="974" t="e">
        <f>IF($F373="","",$F373*chronic_consumption!AK373/1000/$C$3)</f>
        <v>#DIV/0!</v>
      </c>
      <c r="AQ373" s="974" t="e">
        <f>IF($F373="","",$F373*chronic_consumption!AL373/1000/$C$3)</f>
        <v>#DIV/0!</v>
      </c>
      <c r="AR373" s="974" t="e">
        <f>IF($F373="","",$F373*chronic_consumption!AM373/1000/$C$3)</f>
        <v>#DIV/0!</v>
      </c>
      <c r="AS373" s="974" t="e">
        <f>IF($F373="","",$F373*chronic_consumption!AN373/1000/$C$3)</f>
        <v>#DIV/0!</v>
      </c>
      <c r="AT373" s="974" t="e">
        <f>IF($F373="","",$F373*chronic_consumption!AO373/1000/$C$3)</f>
        <v>#DIV/0!</v>
      </c>
      <c r="AU373" s="974"/>
      <c r="AV373" s="974" t="e">
        <f>IF($F373="","",$F373*chronic_consumption!AQ373/1000/$C$3)</f>
        <v>#DIV/0!</v>
      </c>
      <c r="AW373" s="974" t="e">
        <f>IF($F373="","",$F373*chronic_consumption!AR373/1000/$C$3)</f>
        <v>#DIV/0!</v>
      </c>
      <c r="AX373" s="974" t="e">
        <f>IF($F373="","",$F373*chronic_consumption!AS373/1000/$C$3)</f>
        <v>#DIV/0!</v>
      </c>
      <c r="AY373" s="974" t="e">
        <f>IF($F373="","",$F373*chronic_consumption!AT373/1000/$C$3)</f>
        <v>#DIV/0!</v>
      </c>
      <c r="AZ373" s="973" t="s">
        <v>19</v>
      </c>
      <c r="BA373" s="969" t="e">
        <f t="shared" si="27"/>
        <v>#DIV/0!</v>
      </c>
      <c r="BB373" s="970" t="e">
        <f t="shared" si="28"/>
        <v>#DIV/0!</v>
      </c>
      <c r="BC373" s="971" t="e">
        <f t="shared" ca="1" si="29"/>
        <v>#DIV/0!</v>
      </c>
      <c r="BD373" s="228">
        <f>input_values!Z373</f>
        <v>4</v>
      </c>
      <c r="BE373" s="152">
        <f>input_values!L373</f>
        <v>0</v>
      </c>
      <c r="BF373" s="972" t="str">
        <f t="shared" si="30"/>
        <v/>
      </c>
    </row>
    <row r="374" spans="1:58" ht="12" customHeight="1" outlineLevel="1" x14ac:dyDescent="0.2">
      <c r="A374" s="314">
        <v>2</v>
      </c>
      <c r="B374" s="131">
        <v>1020000</v>
      </c>
      <c r="C374" s="131" t="s">
        <v>628</v>
      </c>
      <c r="D374" s="965">
        <f>Table22[[#This Row],[MRL individual commodity]]</f>
        <v>0</v>
      </c>
      <c r="E374" s="300">
        <f>Table22[[#This Row],[LOQ_label]]</f>
        <v>0</v>
      </c>
      <c r="F374" s="966">
        <f>Table22[[#This Row],[Chronic RA input value]]</f>
        <v>0</v>
      </c>
      <c r="G374" s="304">
        <f>Table22[[#This Row],[Chronic RA label]]</f>
        <v>0</v>
      </c>
      <c r="H374" s="304">
        <f>Table22[[#This Row],[GAP under assessment]]</f>
        <v>0</v>
      </c>
      <c r="I374" s="1123"/>
      <c r="J374" s="967" t="e">
        <f>IF($F374="","",$F374*chronic_consumption!$E374/1000/$C$3)</f>
        <v>#DIV/0!</v>
      </c>
      <c r="K374" s="967" t="e">
        <f>IF($F374="","",$F374*chronic_consumption!F374/1000/$C$3)</f>
        <v>#DIV/0!</v>
      </c>
      <c r="L374" s="967" t="e">
        <f>IF($F374="","",$F374*chronic_consumption!G374/1000/$C$3)</f>
        <v>#DIV/0!</v>
      </c>
      <c r="M374" s="967" t="e">
        <f>IF($F374="","",$F374*chronic_consumption!H374/1000/$C$3)</f>
        <v>#DIV/0!</v>
      </c>
      <c r="N374" s="967" t="e">
        <f>IF($F374="","",$F374*chronic_consumption!I374/1000/$C$3)</f>
        <v>#DIV/0!</v>
      </c>
      <c r="O374" s="967" t="e">
        <f>IF($F374="","",$F374*chronic_consumption!J374/1000/$C$3)</f>
        <v>#DIV/0!</v>
      </c>
      <c r="P374" s="967" t="e">
        <f>IF($F374="","",$F374*chronic_consumption!K374/1000/$C$3)</f>
        <v>#DIV/0!</v>
      </c>
      <c r="Q374" s="967" t="e">
        <f>IF($F374="","",$F374*chronic_consumption!L374/1000/$C$3)</f>
        <v>#DIV/0!</v>
      </c>
      <c r="R374" s="967" t="e">
        <f>IF($F374="","",$F374*chronic_consumption!M374/1000/$C$3)</f>
        <v>#DIV/0!</v>
      </c>
      <c r="S374" s="967" t="e">
        <f>IF($F374="","",$F374*chronic_consumption!N374/1000/$C$3)</f>
        <v>#DIV/0!</v>
      </c>
      <c r="T374" s="967" t="e">
        <f>IF($F374="","",$F374*chronic_consumption!O374/1000/$C$3)</f>
        <v>#DIV/0!</v>
      </c>
      <c r="U374" s="967" t="e">
        <f>IF($F374="","",$F374*chronic_consumption!P374/1000/$C$3)</f>
        <v>#DIV/0!</v>
      </c>
      <c r="V374" s="967" t="e">
        <f>IF($F374="","",$F374*chronic_consumption!Q374/1000/$C$3)</f>
        <v>#DIV/0!</v>
      </c>
      <c r="W374" s="967" t="e">
        <f>IF($F374="","",$F374*chronic_consumption!R374/1000/$C$3)</f>
        <v>#DIV/0!</v>
      </c>
      <c r="X374" s="967" t="e">
        <f>IF($F374="","",$F374*chronic_consumption!S374/1000/$C$3)</f>
        <v>#DIV/0!</v>
      </c>
      <c r="Y374" s="967" t="e">
        <f>IF($F374="","",$F374*chronic_consumption!T374/1000/$C$3)</f>
        <v>#DIV/0!</v>
      </c>
      <c r="Z374" s="967" t="e">
        <f>IF($F374="","",$F374*chronic_consumption!U374/1000/$C$3)</f>
        <v>#DIV/0!</v>
      </c>
      <c r="AA374" s="967" t="e">
        <f>IF($F374="","",$F374*chronic_consumption!V374/1000/$C$3)</f>
        <v>#DIV/0!</v>
      </c>
      <c r="AB374" s="967" t="e">
        <f>IF($F374="","",$F374*chronic_consumption!W374/1000/$C$3)</f>
        <v>#DIV/0!</v>
      </c>
      <c r="AC374" s="967" t="e">
        <f>IF($F374="","",$F374*chronic_consumption!X374/1000/$C$3)</f>
        <v>#DIV/0!</v>
      </c>
      <c r="AD374" s="967" t="e">
        <f>IF($F374="","",$F374*chronic_consumption!Y374/1000/$C$3)</f>
        <v>#DIV/0!</v>
      </c>
      <c r="AE374" s="967" t="e">
        <f>IF($F374="","",$F374*chronic_consumption!Z374/1000/$C$3)</f>
        <v>#DIV/0!</v>
      </c>
      <c r="AF374" s="967" t="e">
        <f>IF($F374="","",$F374*chronic_consumption!AA374/1000/$C$3)</f>
        <v>#DIV/0!</v>
      </c>
      <c r="AG374" s="967" t="e">
        <f>IF($F374="","",$F374*chronic_consumption!AB374/1000/$C$3)</f>
        <v>#DIV/0!</v>
      </c>
      <c r="AH374" s="967" t="e">
        <f>IF($F374="","",$F374*chronic_consumption!AC374/1000/$C$3)</f>
        <v>#DIV/0!</v>
      </c>
      <c r="AI374" s="967" t="e">
        <f>IF($F374="","",$F374*chronic_consumption!AD374/1000/$C$3)</f>
        <v>#DIV/0!</v>
      </c>
      <c r="AJ374" s="967" t="e">
        <f>IF($F374="","",$F374*chronic_consumption!AE374/1000/$C$3)</f>
        <v>#DIV/0!</v>
      </c>
      <c r="AK374" s="967" t="e">
        <f>IF($F374="","",$F374*chronic_consumption!AF374/1000/$C$3)</f>
        <v>#DIV/0!</v>
      </c>
      <c r="AL374" s="967" t="e">
        <f>IF($F374="","",$F374*chronic_consumption!AG374/1000/$C$3)</f>
        <v>#DIV/0!</v>
      </c>
      <c r="AM374" s="967" t="e">
        <f>IF($F374="","",$F374*chronic_consumption!AH374/1000/$C$3)</f>
        <v>#DIV/0!</v>
      </c>
      <c r="AN374" s="967" t="e">
        <f>IF($F374="","",$F374*chronic_consumption!AI374/1000/$C$3)</f>
        <v>#DIV/0!</v>
      </c>
      <c r="AO374" s="967" t="e">
        <f>IF($F374="","",$F374*chronic_consumption!AJ374/1000/$C$3)</f>
        <v>#DIV/0!</v>
      </c>
      <c r="AP374" s="967" t="e">
        <f>IF($F374="","",$F374*chronic_consumption!AK374/1000/$C$3)</f>
        <v>#DIV/0!</v>
      </c>
      <c r="AQ374" s="967" t="e">
        <f>IF($F374="","",$F374*chronic_consumption!AL374/1000/$C$3)</f>
        <v>#DIV/0!</v>
      </c>
      <c r="AR374" s="967" t="e">
        <f>IF($F374="","",$F374*chronic_consumption!AM374/1000/$C$3)</f>
        <v>#DIV/0!</v>
      </c>
      <c r="AS374" s="967" t="e">
        <f>IF($F374="","",$F374*chronic_consumption!AN374/1000/$C$3)</f>
        <v>#DIV/0!</v>
      </c>
      <c r="AT374" s="967" t="e">
        <f>IF($F374="","",$F374*chronic_consumption!AO374/1000/$C$3)</f>
        <v>#DIV/0!</v>
      </c>
      <c r="AU374" s="967"/>
      <c r="AV374" s="967" t="e">
        <f>IF($F374="","",$F374*chronic_consumption!AQ374/1000/$C$3)</f>
        <v>#DIV/0!</v>
      </c>
      <c r="AW374" s="967" t="e">
        <f>IF($F374="","",$F374*chronic_consumption!AR374/1000/$C$3)</f>
        <v>#DIV/0!</v>
      </c>
      <c r="AX374" s="967" t="e">
        <f>IF($F374="","",$F374*chronic_consumption!AS374/1000/$C$3)</f>
        <v>#DIV/0!</v>
      </c>
      <c r="AY374" s="967" t="e">
        <f>IF($F374="","",$F374*chronic_consumption!AT374/1000/$C$3)</f>
        <v>#DIV/0!</v>
      </c>
      <c r="AZ374" s="973"/>
      <c r="BA374" s="969" t="e">
        <f t="shared" si="27"/>
        <v>#DIV/0!</v>
      </c>
      <c r="BB374" s="970" t="e">
        <f t="shared" si="28"/>
        <v>#DIV/0!</v>
      </c>
      <c r="BC374" s="971" t="e">
        <f t="shared" ca="1" si="29"/>
        <v>#DIV/0!</v>
      </c>
      <c r="BD374" s="228">
        <f>input_values!Z374</f>
        <v>4</v>
      </c>
      <c r="BE374" s="152">
        <f>input_values!L374</f>
        <v>0</v>
      </c>
      <c r="BF374" s="972" t="str">
        <f t="shared" si="30"/>
        <v/>
      </c>
    </row>
    <row r="375" spans="1:58" ht="12" customHeight="1" outlineLevel="3" x14ac:dyDescent="0.2">
      <c r="A375" s="21">
        <v>4</v>
      </c>
      <c r="B375" s="23">
        <v>1020010</v>
      </c>
      <c r="C375" s="23" t="s">
        <v>629</v>
      </c>
      <c r="D375" s="965">
        <f>Table22[[#This Row],[MRL individual commodity]]</f>
        <v>0</v>
      </c>
      <c r="E375" s="300" t="str">
        <f>Table22[[#This Row],[LOQ_label]]</f>
        <v/>
      </c>
      <c r="F375" s="966">
        <f>Table22[[#This Row],[Chronic RA input value]]</f>
        <v>0</v>
      </c>
      <c r="G375" s="304" t="str">
        <f>Table22[[#This Row],[Chronic RA label]]</f>
        <v/>
      </c>
      <c r="H375" s="304">
        <f>Table22[[#This Row],[GAP under assessment]]</f>
        <v>0</v>
      </c>
      <c r="I375" s="1123"/>
      <c r="J375" s="974" t="e">
        <f>IF($F375="","",$F375*chronic_consumption!$E375/1000/$C$3)</f>
        <v>#DIV/0!</v>
      </c>
      <c r="K375" s="974" t="e">
        <f>IF($F375="","",$F375*chronic_consumption!F375/1000/$C$3)</f>
        <v>#DIV/0!</v>
      </c>
      <c r="L375" s="974" t="e">
        <f>IF($F375="","",$F375*chronic_consumption!G375/1000/$C$3)</f>
        <v>#DIV/0!</v>
      </c>
      <c r="M375" s="974" t="e">
        <f>IF($F375="","",$F375*chronic_consumption!H375/1000/$C$3)</f>
        <v>#DIV/0!</v>
      </c>
      <c r="N375" s="974" t="e">
        <f>IF($F375="","",$F375*chronic_consumption!I375/1000/$C$3)</f>
        <v>#DIV/0!</v>
      </c>
      <c r="O375" s="974" t="e">
        <f>IF($F375="","",$F375*chronic_consumption!J375/1000/$C$3)</f>
        <v>#DIV/0!</v>
      </c>
      <c r="P375" s="974" t="e">
        <f>IF($F375="","",$F375*chronic_consumption!K375/1000/$C$3)</f>
        <v>#DIV/0!</v>
      </c>
      <c r="Q375" s="974" t="e">
        <f>IF($F375="","",$F375*chronic_consumption!L375/1000/$C$3)</f>
        <v>#DIV/0!</v>
      </c>
      <c r="R375" s="974" t="e">
        <f>IF($F375="","",$F375*chronic_consumption!M375/1000/$C$3)</f>
        <v>#DIV/0!</v>
      </c>
      <c r="S375" s="974" t="e">
        <f>IF($F375="","",$F375*chronic_consumption!N375/1000/$C$3)</f>
        <v>#DIV/0!</v>
      </c>
      <c r="T375" s="974" t="e">
        <f>IF($F375="","",$F375*chronic_consumption!O375/1000/$C$3)</f>
        <v>#DIV/0!</v>
      </c>
      <c r="U375" s="974" t="e">
        <f>IF($F375="","",$F375*chronic_consumption!P375/1000/$C$3)</f>
        <v>#DIV/0!</v>
      </c>
      <c r="V375" s="974" t="e">
        <f>IF($F375="","",$F375*chronic_consumption!Q375/1000/$C$3)</f>
        <v>#DIV/0!</v>
      </c>
      <c r="W375" s="974" t="e">
        <f>IF($F375="","",$F375*chronic_consumption!R375/1000/$C$3)</f>
        <v>#DIV/0!</v>
      </c>
      <c r="X375" s="974" t="e">
        <f>IF($F375="","",$F375*chronic_consumption!S375/1000/$C$3)</f>
        <v>#DIV/0!</v>
      </c>
      <c r="Y375" s="974" t="e">
        <f>IF($F375="","",$F375*chronic_consumption!T375/1000/$C$3)</f>
        <v>#DIV/0!</v>
      </c>
      <c r="Z375" s="974" t="e">
        <f>IF($F375="","",$F375*chronic_consumption!U375/1000/$C$3)</f>
        <v>#DIV/0!</v>
      </c>
      <c r="AA375" s="974" t="e">
        <f>IF($F375="","",$F375*chronic_consumption!V375/1000/$C$3)</f>
        <v>#DIV/0!</v>
      </c>
      <c r="AB375" s="974" t="e">
        <f>IF($F375="","",$F375*chronic_consumption!W375/1000/$C$3)</f>
        <v>#DIV/0!</v>
      </c>
      <c r="AC375" s="974" t="e">
        <f>IF($F375="","",$F375*chronic_consumption!X375/1000/$C$3)</f>
        <v>#DIV/0!</v>
      </c>
      <c r="AD375" s="974" t="e">
        <f>IF($F375="","",$F375*chronic_consumption!Y375/1000/$C$3)</f>
        <v>#DIV/0!</v>
      </c>
      <c r="AE375" s="974" t="e">
        <f>IF($F375="","",$F375*chronic_consumption!Z375/1000/$C$3)</f>
        <v>#DIV/0!</v>
      </c>
      <c r="AF375" s="974" t="e">
        <f>IF($F375="","",$F375*chronic_consumption!AA375/1000/$C$3)</f>
        <v>#DIV/0!</v>
      </c>
      <c r="AG375" s="974" t="e">
        <f>IF($F375="","",$F375*chronic_consumption!AB375/1000/$C$3)</f>
        <v>#DIV/0!</v>
      </c>
      <c r="AH375" s="974" t="e">
        <f>IF($F375="","",$F375*chronic_consumption!AC375/1000/$C$3)</f>
        <v>#DIV/0!</v>
      </c>
      <c r="AI375" s="974" t="e">
        <f>IF($F375="","",$F375*chronic_consumption!AD375/1000/$C$3)</f>
        <v>#DIV/0!</v>
      </c>
      <c r="AJ375" s="974" t="e">
        <f>IF($F375="","",$F375*chronic_consumption!AE375/1000/$C$3)</f>
        <v>#DIV/0!</v>
      </c>
      <c r="AK375" s="974" t="e">
        <f>IF($F375="","",$F375*chronic_consumption!AF375/1000/$C$3)</f>
        <v>#DIV/0!</v>
      </c>
      <c r="AL375" s="974" t="e">
        <f>IF($F375="","",$F375*chronic_consumption!AG375/1000/$C$3)</f>
        <v>#DIV/0!</v>
      </c>
      <c r="AM375" s="974" t="e">
        <f>IF($F375="","",$F375*chronic_consumption!AH375/1000/$C$3)</f>
        <v>#DIV/0!</v>
      </c>
      <c r="AN375" s="974" t="e">
        <f>IF($F375="","",$F375*chronic_consumption!AI375/1000/$C$3)</f>
        <v>#DIV/0!</v>
      </c>
      <c r="AO375" s="974" t="e">
        <f>IF($F375="","",$F375*chronic_consumption!AJ375/1000/$C$3)</f>
        <v>#DIV/0!</v>
      </c>
      <c r="AP375" s="974" t="e">
        <f>IF($F375="","",$F375*chronic_consumption!AK375/1000/$C$3)</f>
        <v>#DIV/0!</v>
      </c>
      <c r="AQ375" s="974" t="e">
        <f>IF($F375="","",$F375*chronic_consumption!AL375/1000/$C$3)</f>
        <v>#DIV/0!</v>
      </c>
      <c r="AR375" s="974" t="e">
        <f>IF($F375="","",$F375*chronic_consumption!AM375/1000/$C$3)</f>
        <v>#DIV/0!</v>
      </c>
      <c r="AS375" s="974" t="e">
        <f>IF($F375="","",$F375*chronic_consumption!AN375/1000/$C$3)</f>
        <v>#DIV/0!</v>
      </c>
      <c r="AT375" s="974" t="e">
        <f>IF($F375="","",$F375*chronic_consumption!AO375/1000/$C$3)</f>
        <v>#DIV/0!</v>
      </c>
      <c r="AU375" s="974"/>
      <c r="AV375" s="974" t="e">
        <f>IF($F375="","",$F375*chronic_consumption!AQ375/1000/$C$3)</f>
        <v>#DIV/0!</v>
      </c>
      <c r="AW375" s="974" t="e">
        <f>IF($F375="","",$F375*chronic_consumption!AR375/1000/$C$3)</f>
        <v>#DIV/0!</v>
      </c>
      <c r="AX375" s="974" t="e">
        <f>IF($F375="","",$F375*chronic_consumption!AS375/1000/$C$3)</f>
        <v>#DIV/0!</v>
      </c>
      <c r="AY375" s="974" t="e">
        <f>IF($F375="","",$F375*chronic_consumption!AT375/1000/$C$3)</f>
        <v>#DIV/0!</v>
      </c>
      <c r="AZ375" s="973" t="s">
        <v>19</v>
      </c>
      <c r="BA375" s="969" t="e">
        <f t="shared" si="27"/>
        <v>#DIV/0!</v>
      </c>
      <c r="BB375" s="970" t="e">
        <f t="shared" si="28"/>
        <v>#DIV/0!</v>
      </c>
      <c r="BC375" s="971" t="e">
        <f t="shared" ca="1" si="29"/>
        <v>#DIV/0!</v>
      </c>
      <c r="BD375" s="228">
        <f>input_values!Z375</f>
        <v>4</v>
      </c>
      <c r="BE375" s="152">
        <f>input_values!L375</f>
        <v>0</v>
      </c>
      <c r="BF375" s="972" t="str">
        <f t="shared" si="30"/>
        <v/>
      </c>
    </row>
    <row r="376" spans="1:58" ht="12" customHeight="1" outlineLevel="3" x14ac:dyDescent="0.2">
      <c r="A376" s="21">
        <v>4</v>
      </c>
      <c r="B376" s="23">
        <v>1020020</v>
      </c>
      <c r="C376" s="23" t="s">
        <v>630</v>
      </c>
      <c r="D376" s="965">
        <f>Table22[[#This Row],[MRL individual commodity]]</f>
        <v>0</v>
      </c>
      <c r="E376" s="300" t="str">
        <f>Table22[[#This Row],[LOQ_label]]</f>
        <v/>
      </c>
      <c r="F376" s="966">
        <f>Table22[[#This Row],[Chronic RA input value]]</f>
        <v>0</v>
      </c>
      <c r="G376" s="304" t="str">
        <f>Table22[[#This Row],[Chronic RA label]]</f>
        <v/>
      </c>
      <c r="H376" s="304">
        <f>Table22[[#This Row],[GAP under assessment]]</f>
        <v>0</v>
      </c>
      <c r="I376" s="1123"/>
      <c r="J376" s="974" t="e">
        <f>IF($F376="","",$F376*chronic_consumption!$E376/1000/$C$3)</f>
        <v>#DIV/0!</v>
      </c>
      <c r="K376" s="974" t="e">
        <f>IF($F376="","",$F376*chronic_consumption!F376/1000/$C$3)</f>
        <v>#DIV/0!</v>
      </c>
      <c r="L376" s="974" t="e">
        <f>IF($F376="","",$F376*chronic_consumption!G376/1000/$C$3)</f>
        <v>#DIV/0!</v>
      </c>
      <c r="M376" s="974" t="e">
        <f>IF($F376="","",$F376*chronic_consumption!H376/1000/$C$3)</f>
        <v>#DIV/0!</v>
      </c>
      <c r="N376" s="974" t="e">
        <f>IF($F376="","",$F376*chronic_consumption!I376/1000/$C$3)</f>
        <v>#DIV/0!</v>
      </c>
      <c r="O376" s="974" t="e">
        <f>IF($F376="","",$F376*chronic_consumption!J376/1000/$C$3)</f>
        <v>#DIV/0!</v>
      </c>
      <c r="P376" s="974" t="e">
        <f>IF($F376="","",$F376*chronic_consumption!K376/1000/$C$3)</f>
        <v>#DIV/0!</v>
      </c>
      <c r="Q376" s="974" t="e">
        <f>IF($F376="","",$F376*chronic_consumption!L376/1000/$C$3)</f>
        <v>#DIV/0!</v>
      </c>
      <c r="R376" s="974" t="e">
        <f>IF($F376="","",$F376*chronic_consumption!M376/1000/$C$3)</f>
        <v>#DIV/0!</v>
      </c>
      <c r="S376" s="974" t="e">
        <f>IF($F376="","",$F376*chronic_consumption!N376/1000/$C$3)</f>
        <v>#DIV/0!</v>
      </c>
      <c r="T376" s="974" t="e">
        <f>IF($F376="","",$F376*chronic_consumption!O376/1000/$C$3)</f>
        <v>#DIV/0!</v>
      </c>
      <c r="U376" s="974" t="e">
        <f>IF($F376="","",$F376*chronic_consumption!P376/1000/$C$3)</f>
        <v>#DIV/0!</v>
      </c>
      <c r="V376" s="974" t="e">
        <f>IF($F376="","",$F376*chronic_consumption!Q376/1000/$C$3)</f>
        <v>#DIV/0!</v>
      </c>
      <c r="W376" s="974" t="e">
        <f>IF($F376="","",$F376*chronic_consumption!R376/1000/$C$3)</f>
        <v>#DIV/0!</v>
      </c>
      <c r="X376" s="974" t="e">
        <f>IF($F376="","",$F376*chronic_consumption!S376/1000/$C$3)</f>
        <v>#DIV/0!</v>
      </c>
      <c r="Y376" s="974" t="e">
        <f>IF($F376="","",$F376*chronic_consumption!T376/1000/$C$3)</f>
        <v>#DIV/0!</v>
      </c>
      <c r="Z376" s="974" t="e">
        <f>IF($F376="","",$F376*chronic_consumption!U376/1000/$C$3)</f>
        <v>#DIV/0!</v>
      </c>
      <c r="AA376" s="974" t="e">
        <f>IF($F376="","",$F376*chronic_consumption!V376/1000/$C$3)</f>
        <v>#DIV/0!</v>
      </c>
      <c r="AB376" s="974" t="e">
        <f>IF($F376="","",$F376*chronic_consumption!W376/1000/$C$3)</f>
        <v>#DIV/0!</v>
      </c>
      <c r="AC376" s="974" t="e">
        <f>IF($F376="","",$F376*chronic_consumption!X376/1000/$C$3)</f>
        <v>#DIV/0!</v>
      </c>
      <c r="AD376" s="974" t="e">
        <f>IF($F376="","",$F376*chronic_consumption!Y376/1000/$C$3)</f>
        <v>#DIV/0!</v>
      </c>
      <c r="AE376" s="974" t="e">
        <f>IF($F376="","",$F376*chronic_consumption!Z376/1000/$C$3)</f>
        <v>#DIV/0!</v>
      </c>
      <c r="AF376" s="974" t="e">
        <f>IF($F376="","",$F376*chronic_consumption!AA376/1000/$C$3)</f>
        <v>#DIV/0!</v>
      </c>
      <c r="AG376" s="974" t="e">
        <f>IF($F376="","",$F376*chronic_consumption!AB376/1000/$C$3)</f>
        <v>#DIV/0!</v>
      </c>
      <c r="AH376" s="974" t="e">
        <f>IF($F376="","",$F376*chronic_consumption!AC376/1000/$C$3)</f>
        <v>#DIV/0!</v>
      </c>
      <c r="AI376" s="974" t="e">
        <f>IF($F376="","",$F376*chronic_consumption!AD376/1000/$C$3)</f>
        <v>#DIV/0!</v>
      </c>
      <c r="AJ376" s="974" t="e">
        <f>IF($F376="","",$F376*chronic_consumption!AE376/1000/$C$3)</f>
        <v>#DIV/0!</v>
      </c>
      <c r="AK376" s="974" t="e">
        <f>IF($F376="","",$F376*chronic_consumption!AF376/1000/$C$3)</f>
        <v>#DIV/0!</v>
      </c>
      <c r="AL376" s="974" t="e">
        <f>IF($F376="","",$F376*chronic_consumption!AG376/1000/$C$3)</f>
        <v>#DIV/0!</v>
      </c>
      <c r="AM376" s="974" t="e">
        <f>IF($F376="","",$F376*chronic_consumption!AH376/1000/$C$3)</f>
        <v>#DIV/0!</v>
      </c>
      <c r="AN376" s="974" t="e">
        <f>IF($F376="","",$F376*chronic_consumption!AI376/1000/$C$3)</f>
        <v>#DIV/0!</v>
      </c>
      <c r="AO376" s="974" t="e">
        <f>IF($F376="","",$F376*chronic_consumption!AJ376/1000/$C$3)</f>
        <v>#DIV/0!</v>
      </c>
      <c r="AP376" s="974" t="e">
        <f>IF($F376="","",$F376*chronic_consumption!AK376/1000/$C$3)</f>
        <v>#DIV/0!</v>
      </c>
      <c r="AQ376" s="974" t="e">
        <f>IF($F376="","",$F376*chronic_consumption!AL376/1000/$C$3)</f>
        <v>#DIV/0!</v>
      </c>
      <c r="AR376" s="974" t="e">
        <f>IF($F376="","",$F376*chronic_consumption!AM376/1000/$C$3)</f>
        <v>#DIV/0!</v>
      </c>
      <c r="AS376" s="974" t="e">
        <f>IF($F376="","",$F376*chronic_consumption!AN376/1000/$C$3)</f>
        <v>#DIV/0!</v>
      </c>
      <c r="AT376" s="974" t="e">
        <f>IF($F376="","",$F376*chronic_consumption!AO376/1000/$C$3)</f>
        <v>#DIV/0!</v>
      </c>
      <c r="AU376" s="974"/>
      <c r="AV376" s="974" t="e">
        <f>IF($F376="","",$F376*chronic_consumption!AQ376/1000/$C$3)</f>
        <v>#DIV/0!</v>
      </c>
      <c r="AW376" s="974" t="e">
        <f>IF($F376="","",$F376*chronic_consumption!AR376/1000/$C$3)</f>
        <v>#DIV/0!</v>
      </c>
      <c r="AX376" s="974" t="e">
        <f>IF($F376="","",$F376*chronic_consumption!AS376/1000/$C$3)</f>
        <v>#DIV/0!</v>
      </c>
      <c r="AY376" s="974" t="e">
        <f>IF($F376="","",$F376*chronic_consumption!AT376/1000/$C$3)</f>
        <v>#DIV/0!</v>
      </c>
      <c r="AZ376" s="973" t="s">
        <v>19</v>
      </c>
      <c r="BA376" s="969" t="e">
        <f t="shared" si="27"/>
        <v>#DIV/0!</v>
      </c>
      <c r="BB376" s="970" t="e">
        <f t="shared" si="28"/>
        <v>#DIV/0!</v>
      </c>
      <c r="BC376" s="971" t="e">
        <f t="shared" ca="1" si="29"/>
        <v>#DIV/0!</v>
      </c>
      <c r="BD376" s="228">
        <f>input_values!Z376</f>
        <v>4</v>
      </c>
      <c r="BE376" s="152">
        <f>input_values!L376</f>
        <v>0</v>
      </c>
      <c r="BF376" s="972" t="str">
        <f t="shared" si="30"/>
        <v/>
      </c>
    </row>
    <row r="377" spans="1:58" ht="12" customHeight="1" outlineLevel="3" x14ac:dyDescent="0.2">
      <c r="A377" s="21">
        <v>4</v>
      </c>
      <c r="B377" s="23">
        <v>1020030</v>
      </c>
      <c r="C377" s="23" t="s">
        <v>631</v>
      </c>
      <c r="D377" s="965">
        <f>Table22[[#This Row],[MRL individual commodity]]</f>
        <v>0</v>
      </c>
      <c r="E377" s="300" t="str">
        <f>Table22[[#This Row],[LOQ_label]]</f>
        <v/>
      </c>
      <c r="F377" s="966">
        <f>Table22[[#This Row],[Chronic RA input value]]</f>
        <v>0</v>
      </c>
      <c r="G377" s="304" t="str">
        <f>Table22[[#This Row],[Chronic RA label]]</f>
        <v/>
      </c>
      <c r="H377" s="304">
        <f>Table22[[#This Row],[GAP under assessment]]</f>
        <v>0</v>
      </c>
      <c r="I377" s="1123"/>
      <c r="J377" s="974" t="e">
        <f>IF($F377="","",$F377*chronic_consumption!$E377/1000/$C$3)</f>
        <v>#DIV/0!</v>
      </c>
      <c r="K377" s="974" t="e">
        <f>IF($F377="","",$F377*chronic_consumption!F377/1000/$C$3)</f>
        <v>#DIV/0!</v>
      </c>
      <c r="L377" s="974" t="e">
        <f>IF($F377="","",$F377*chronic_consumption!G377/1000/$C$3)</f>
        <v>#DIV/0!</v>
      </c>
      <c r="M377" s="974" t="e">
        <f>IF($F377="","",$F377*chronic_consumption!H377/1000/$C$3)</f>
        <v>#DIV/0!</v>
      </c>
      <c r="N377" s="974" t="e">
        <f>IF($F377="","",$F377*chronic_consumption!I377/1000/$C$3)</f>
        <v>#DIV/0!</v>
      </c>
      <c r="O377" s="974" t="e">
        <f>IF($F377="","",$F377*chronic_consumption!J377/1000/$C$3)</f>
        <v>#DIV/0!</v>
      </c>
      <c r="P377" s="974" t="e">
        <f>IF($F377="","",$F377*chronic_consumption!K377/1000/$C$3)</f>
        <v>#DIV/0!</v>
      </c>
      <c r="Q377" s="974" t="e">
        <f>IF($F377="","",$F377*chronic_consumption!L377/1000/$C$3)</f>
        <v>#DIV/0!</v>
      </c>
      <c r="R377" s="974" t="e">
        <f>IF($F377="","",$F377*chronic_consumption!M377/1000/$C$3)</f>
        <v>#DIV/0!</v>
      </c>
      <c r="S377" s="974" t="e">
        <f>IF($F377="","",$F377*chronic_consumption!N377/1000/$C$3)</f>
        <v>#DIV/0!</v>
      </c>
      <c r="T377" s="974" t="e">
        <f>IF($F377="","",$F377*chronic_consumption!O377/1000/$C$3)</f>
        <v>#DIV/0!</v>
      </c>
      <c r="U377" s="974" t="e">
        <f>IF($F377="","",$F377*chronic_consumption!P377/1000/$C$3)</f>
        <v>#DIV/0!</v>
      </c>
      <c r="V377" s="974" t="e">
        <f>IF($F377="","",$F377*chronic_consumption!Q377/1000/$C$3)</f>
        <v>#DIV/0!</v>
      </c>
      <c r="W377" s="974" t="e">
        <f>IF($F377="","",$F377*chronic_consumption!R377/1000/$C$3)</f>
        <v>#DIV/0!</v>
      </c>
      <c r="X377" s="974" t="e">
        <f>IF($F377="","",$F377*chronic_consumption!S377/1000/$C$3)</f>
        <v>#DIV/0!</v>
      </c>
      <c r="Y377" s="974" t="e">
        <f>IF($F377="","",$F377*chronic_consumption!T377/1000/$C$3)</f>
        <v>#DIV/0!</v>
      </c>
      <c r="Z377" s="974" t="e">
        <f>IF($F377="","",$F377*chronic_consumption!U377/1000/$C$3)</f>
        <v>#DIV/0!</v>
      </c>
      <c r="AA377" s="974" t="e">
        <f>IF($F377="","",$F377*chronic_consumption!V377/1000/$C$3)</f>
        <v>#DIV/0!</v>
      </c>
      <c r="AB377" s="974" t="e">
        <f>IF($F377="","",$F377*chronic_consumption!W377/1000/$C$3)</f>
        <v>#DIV/0!</v>
      </c>
      <c r="AC377" s="974" t="e">
        <f>IF($F377="","",$F377*chronic_consumption!X377/1000/$C$3)</f>
        <v>#DIV/0!</v>
      </c>
      <c r="AD377" s="974" t="e">
        <f>IF($F377="","",$F377*chronic_consumption!Y377/1000/$C$3)</f>
        <v>#DIV/0!</v>
      </c>
      <c r="AE377" s="974" t="e">
        <f>IF($F377="","",$F377*chronic_consumption!Z377/1000/$C$3)</f>
        <v>#DIV/0!</v>
      </c>
      <c r="AF377" s="974" t="e">
        <f>IF($F377="","",$F377*chronic_consumption!AA377/1000/$C$3)</f>
        <v>#DIV/0!</v>
      </c>
      <c r="AG377" s="974" t="e">
        <f>IF($F377="","",$F377*chronic_consumption!AB377/1000/$C$3)</f>
        <v>#DIV/0!</v>
      </c>
      <c r="AH377" s="974" t="e">
        <f>IF($F377="","",$F377*chronic_consumption!AC377/1000/$C$3)</f>
        <v>#DIV/0!</v>
      </c>
      <c r="AI377" s="974" t="e">
        <f>IF($F377="","",$F377*chronic_consumption!AD377/1000/$C$3)</f>
        <v>#DIV/0!</v>
      </c>
      <c r="AJ377" s="974" t="e">
        <f>IF($F377="","",$F377*chronic_consumption!AE377/1000/$C$3)</f>
        <v>#DIV/0!</v>
      </c>
      <c r="AK377" s="974" t="e">
        <f>IF($F377="","",$F377*chronic_consumption!AF377/1000/$C$3)</f>
        <v>#DIV/0!</v>
      </c>
      <c r="AL377" s="974" t="e">
        <f>IF($F377="","",$F377*chronic_consumption!AG377/1000/$C$3)</f>
        <v>#DIV/0!</v>
      </c>
      <c r="AM377" s="974" t="e">
        <f>IF($F377="","",$F377*chronic_consumption!AH377/1000/$C$3)</f>
        <v>#DIV/0!</v>
      </c>
      <c r="AN377" s="974" t="e">
        <f>IF($F377="","",$F377*chronic_consumption!AI377/1000/$C$3)</f>
        <v>#DIV/0!</v>
      </c>
      <c r="AO377" s="974" t="e">
        <f>IF($F377="","",$F377*chronic_consumption!AJ377/1000/$C$3)</f>
        <v>#DIV/0!</v>
      </c>
      <c r="AP377" s="974" t="e">
        <f>IF($F377="","",$F377*chronic_consumption!AK377/1000/$C$3)</f>
        <v>#DIV/0!</v>
      </c>
      <c r="AQ377" s="974" t="e">
        <f>IF($F377="","",$F377*chronic_consumption!AL377/1000/$C$3)</f>
        <v>#DIV/0!</v>
      </c>
      <c r="AR377" s="974" t="e">
        <f>IF($F377="","",$F377*chronic_consumption!AM377/1000/$C$3)</f>
        <v>#DIV/0!</v>
      </c>
      <c r="AS377" s="974" t="e">
        <f>IF($F377="","",$F377*chronic_consumption!AN377/1000/$C$3)</f>
        <v>#DIV/0!</v>
      </c>
      <c r="AT377" s="974" t="e">
        <f>IF($F377="","",$F377*chronic_consumption!AO377/1000/$C$3)</f>
        <v>#DIV/0!</v>
      </c>
      <c r="AU377" s="974"/>
      <c r="AV377" s="974" t="e">
        <f>IF($F377="","",$F377*chronic_consumption!AQ377/1000/$C$3)</f>
        <v>#DIV/0!</v>
      </c>
      <c r="AW377" s="974" t="e">
        <f>IF($F377="","",$F377*chronic_consumption!AR377/1000/$C$3)</f>
        <v>#DIV/0!</v>
      </c>
      <c r="AX377" s="974" t="e">
        <f>IF($F377="","",$F377*chronic_consumption!AS377/1000/$C$3)</f>
        <v>#DIV/0!</v>
      </c>
      <c r="AY377" s="974" t="e">
        <f>IF($F377="","",$F377*chronic_consumption!AT377/1000/$C$3)</f>
        <v>#DIV/0!</v>
      </c>
      <c r="AZ377" s="973" t="s">
        <v>19</v>
      </c>
      <c r="BA377" s="969" t="e">
        <f t="shared" si="27"/>
        <v>#DIV/0!</v>
      </c>
      <c r="BB377" s="970" t="e">
        <f t="shared" si="28"/>
        <v>#DIV/0!</v>
      </c>
      <c r="BC377" s="971" t="e">
        <f t="shared" ca="1" si="29"/>
        <v>#DIV/0!</v>
      </c>
      <c r="BD377" s="228">
        <f>input_values!Z377</f>
        <v>4</v>
      </c>
      <c r="BE377" s="152">
        <f>input_values!L377</f>
        <v>0</v>
      </c>
      <c r="BF377" s="972" t="str">
        <f t="shared" si="30"/>
        <v/>
      </c>
    </row>
    <row r="378" spans="1:58" ht="12" customHeight="1" outlineLevel="3" x14ac:dyDescent="0.2">
      <c r="A378" s="21">
        <v>4</v>
      </c>
      <c r="B378" s="23">
        <v>1020040</v>
      </c>
      <c r="C378" s="23" t="s">
        <v>639</v>
      </c>
      <c r="D378" s="965">
        <f>Table22[[#This Row],[MRL individual commodity]]</f>
        <v>0</v>
      </c>
      <c r="E378" s="300" t="str">
        <f>Table22[[#This Row],[LOQ_label]]</f>
        <v/>
      </c>
      <c r="F378" s="966">
        <f>Table22[[#This Row],[Chronic RA input value]]</f>
        <v>0</v>
      </c>
      <c r="G378" s="304" t="str">
        <f>Table22[[#This Row],[Chronic RA label]]</f>
        <v/>
      </c>
      <c r="H378" s="304">
        <f>Table22[[#This Row],[GAP under assessment]]</f>
        <v>0</v>
      </c>
      <c r="I378" s="1123"/>
      <c r="J378" s="974" t="e">
        <f>IF($F378="","",$F378*chronic_consumption!$E378/1000/$C$3)</f>
        <v>#DIV/0!</v>
      </c>
      <c r="K378" s="974" t="e">
        <f>IF($F378="","",$F378*chronic_consumption!F378/1000/$C$3)</f>
        <v>#DIV/0!</v>
      </c>
      <c r="L378" s="974" t="e">
        <f>IF($F378="","",$F378*chronic_consumption!G378/1000/$C$3)</f>
        <v>#DIV/0!</v>
      </c>
      <c r="M378" s="974" t="e">
        <f>IF($F378="","",$F378*chronic_consumption!H378/1000/$C$3)</f>
        <v>#DIV/0!</v>
      </c>
      <c r="N378" s="974" t="e">
        <f>IF($F378="","",$F378*chronic_consumption!I378/1000/$C$3)</f>
        <v>#DIV/0!</v>
      </c>
      <c r="O378" s="974" t="e">
        <f>IF($F378="","",$F378*chronic_consumption!J378/1000/$C$3)</f>
        <v>#DIV/0!</v>
      </c>
      <c r="P378" s="974" t="e">
        <f>IF($F378="","",$F378*chronic_consumption!K378/1000/$C$3)</f>
        <v>#DIV/0!</v>
      </c>
      <c r="Q378" s="974" t="e">
        <f>IF($F378="","",$F378*chronic_consumption!L378/1000/$C$3)</f>
        <v>#DIV/0!</v>
      </c>
      <c r="R378" s="974" t="e">
        <f>IF($F378="","",$F378*chronic_consumption!M378/1000/$C$3)</f>
        <v>#DIV/0!</v>
      </c>
      <c r="S378" s="974" t="e">
        <f>IF($F378="","",$F378*chronic_consumption!N378/1000/$C$3)</f>
        <v>#DIV/0!</v>
      </c>
      <c r="T378" s="974" t="e">
        <f>IF($F378="","",$F378*chronic_consumption!O378/1000/$C$3)</f>
        <v>#DIV/0!</v>
      </c>
      <c r="U378" s="974" t="e">
        <f>IF($F378="","",$F378*chronic_consumption!P378/1000/$C$3)</f>
        <v>#DIV/0!</v>
      </c>
      <c r="V378" s="974" t="e">
        <f>IF($F378="","",$F378*chronic_consumption!Q378/1000/$C$3)</f>
        <v>#DIV/0!</v>
      </c>
      <c r="W378" s="974" t="e">
        <f>IF($F378="","",$F378*chronic_consumption!R378/1000/$C$3)</f>
        <v>#DIV/0!</v>
      </c>
      <c r="X378" s="974" t="e">
        <f>IF($F378="","",$F378*chronic_consumption!S378/1000/$C$3)</f>
        <v>#DIV/0!</v>
      </c>
      <c r="Y378" s="974" t="e">
        <f>IF($F378="","",$F378*chronic_consumption!T378/1000/$C$3)</f>
        <v>#DIV/0!</v>
      </c>
      <c r="Z378" s="974" t="e">
        <f>IF($F378="","",$F378*chronic_consumption!U378/1000/$C$3)</f>
        <v>#DIV/0!</v>
      </c>
      <c r="AA378" s="974" t="e">
        <f>IF($F378="","",$F378*chronic_consumption!V378/1000/$C$3)</f>
        <v>#DIV/0!</v>
      </c>
      <c r="AB378" s="974" t="e">
        <f>IF($F378="","",$F378*chronic_consumption!W378/1000/$C$3)</f>
        <v>#DIV/0!</v>
      </c>
      <c r="AC378" s="974" t="e">
        <f>IF($F378="","",$F378*chronic_consumption!X378/1000/$C$3)</f>
        <v>#DIV/0!</v>
      </c>
      <c r="AD378" s="974" t="e">
        <f>IF($F378="","",$F378*chronic_consumption!Y378/1000/$C$3)</f>
        <v>#DIV/0!</v>
      </c>
      <c r="AE378" s="974" t="e">
        <f>IF($F378="","",$F378*chronic_consumption!Z378/1000/$C$3)</f>
        <v>#DIV/0!</v>
      </c>
      <c r="AF378" s="974" t="e">
        <f>IF($F378="","",$F378*chronic_consumption!AA378/1000/$C$3)</f>
        <v>#DIV/0!</v>
      </c>
      <c r="AG378" s="974" t="e">
        <f>IF($F378="","",$F378*chronic_consumption!AB378/1000/$C$3)</f>
        <v>#DIV/0!</v>
      </c>
      <c r="AH378" s="974" t="e">
        <f>IF($F378="","",$F378*chronic_consumption!AC378/1000/$C$3)</f>
        <v>#DIV/0!</v>
      </c>
      <c r="AI378" s="974" t="e">
        <f>IF($F378="","",$F378*chronic_consumption!AD378/1000/$C$3)</f>
        <v>#DIV/0!</v>
      </c>
      <c r="AJ378" s="974" t="e">
        <f>IF($F378="","",$F378*chronic_consumption!AE378/1000/$C$3)</f>
        <v>#DIV/0!</v>
      </c>
      <c r="AK378" s="974" t="e">
        <f>IF($F378="","",$F378*chronic_consumption!AF378/1000/$C$3)</f>
        <v>#DIV/0!</v>
      </c>
      <c r="AL378" s="974" t="e">
        <f>IF($F378="","",$F378*chronic_consumption!AG378/1000/$C$3)</f>
        <v>#DIV/0!</v>
      </c>
      <c r="AM378" s="974" t="e">
        <f>IF($F378="","",$F378*chronic_consumption!AH378/1000/$C$3)</f>
        <v>#DIV/0!</v>
      </c>
      <c r="AN378" s="974" t="e">
        <f>IF($F378="","",$F378*chronic_consumption!AI378/1000/$C$3)</f>
        <v>#DIV/0!</v>
      </c>
      <c r="AO378" s="974" t="e">
        <f>IF($F378="","",$F378*chronic_consumption!AJ378/1000/$C$3)</f>
        <v>#DIV/0!</v>
      </c>
      <c r="AP378" s="974" t="e">
        <f>IF($F378="","",$F378*chronic_consumption!AK378/1000/$C$3)</f>
        <v>#DIV/0!</v>
      </c>
      <c r="AQ378" s="974" t="e">
        <f>IF($F378="","",$F378*chronic_consumption!AL378/1000/$C$3)</f>
        <v>#DIV/0!</v>
      </c>
      <c r="AR378" s="974" t="e">
        <f>IF($F378="","",$F378*chronic_consumption!AM378/1000/$C$3)</f>
        <v>#DIV/0!</v>
      </c>
      <c r="AS378" s="974" t="e">
        <f>IF($F378="","",$F378*chronic_consumption!AN378/1000/$C$3)</f>
        <v>#DIV/0!</v>
      </c>
      <c r="AT378" s="974" t="e">
        <f>IF($F378="","",$F378*chronic_consumption!AO378/1000/$C$3)</f>
        <v>#DIV/0!</v>
      </c>
      <c r="AU378" s="974"/>
      <c r="AV378" s="974" t="e">
        <f>IF($F378="","",$F378*chronic_consumption!AQ378/1000/$C$3)</f>
        <v>#DIV/0!</v>
      </c>
      <c r="AW378" s="974" t="e">
        <f>IF($F378="","",$F378*chronic_consumption!AR378/1000/$C$3)</f>
        <v>#DIV/0!</v>
      </c>
      <c r="AX378" s="974" t="e">
        <f>IF($F378="","",$F378*chronic_consumption!AS378/1000/$C$3)</f>
        <v>#DIV/0!</v>
      </c>
      <c r="AY378" s="974" t="e">
        <f>IF($F378="","",$F378*chronic_consumption!AT378/1000/$C$3)</f>
        <v>#DIV/0!</v>
      </c>
      <c r="AZ378" s="973" t="s">
        <v>19</v>
      </c>
      <c r="BA378" s="969" t="e">
        <f t="shared" si="27"/>
        <v>#DIV/0!</v>
      </c>
      <c r="BB378" s="970" t="e">
        <f t="shared" si="28"/>
        <v>#DIV/0!</v>
      </c>
      <c r="BC378" s="971" t="e">
        <f t="shared" ca="1" si="29"/>
        <v>#DIV/0!</v>
      </c>
      <c r="BD378" s="228">
        <f>input_values!Z378</f>
        <v>4</v>
      </c>
      <c r="BE378" s="152">
        <f>input_values!L378</f>
        <v>0</v>
      </c>
      <c r="BF378" s="972" t="str">
        <f t="shared" si="30"/>
        <v/>
      </c>
    </row>
    <row r="379" spans="1:58" ht="12" customHeight="1" outlineLevel="3" x14ac:dyDescent="0.2">
      <c r="A379" s="21">
        <v>4</v>
      </c>
      <c r="B379" s="23">
        <v>1020990</v>
      </c>
      <c r="C379" s="23" t="s">
        <v>632</v>
      </c>
      <c r="D379" s="965">
        <f>Table22[[#This Row],[MRL individual commodity]]</f>
        <v>0</v>
      </c>
      <c r="E379" s="300" t="str">
        <f>Table22[[#This Row],[LOQ_label]]</f>
        <v/>
      </c>
      <c r="F379" s="966">
        <f>Table22[[#This Row],[Chronic RA input value]]</f>
        <v>0</v>
      </c>
      <c r="G379" s="304" t="str">
        <f>Table22[[#This Row],[Chronic RA label]]</f>
        <v/>
      </c>
      <c r="H379" s="304">
        <f>Table22[[#This Row],[GAP under assessment]]</f>
        <v>0</v>
      </c>
      <c r="I379" s="1123"/>
      <c r="J379" s="974" t="e">
        <f>IF($F379="","",$F379*chronic_consumption!$E379/1000/$C$3)</f>
        <v>#DIV/0!</v>
      </c>
      <c r="K379" s="974" t="e">
        <f>IF($F379="","",$F379*chronic_consumption!F379/1000/$C$3)</f>
        <v>#DIV/0!</v>
      </c>
      <c r="L379" s="974" t="e">
        <f>IF($F379="","",$F379*chronic_consumption!G379/1000/$C$3)</f>
        <v>#DIV/0!</v>
      </c>
      <c r="M379" s="974" t="e">
        <f>IF($F379="","",$F379*chronic_consumption!H379/1000/$C$3)</f>
        <v>#DIV/0!</v>
      </c>
      <c r="N379" s="974" t="e">
        <f>IF($F379="","",$F379*chronic_consumption!I379/1000/$C$3)</f>
        <v>#DIV/0!</v>
      </c>
      <c r="O379" s="974" t="e">
        <f>IF($F379="","",$F379*chronic_consumption!J379/1000/$C$3)</f>
        <v>#DIV/0!</v>
      </c>
      <c r="P379" s="974" t="e">
        <f>IF($F379="","",$F379*chronic_consumption!K379/1000/$C$3)</f>
        <v>#DIV/0!</v>
      </c>
      <c r="Q379" s="974" t="e">
        <f>IF($F379="","",$F379*chronic_consumption!L379/1000/$C$3)</f>
        <v>#DIV/0!</v>
      </c>
      <c r="R379" s="974" t="e">
        <f>IF($F379="","",$F379*chronic_consumption!M379/1000/$C$3)</f>
        <v>#DIV/0!</v>
      </c>
      <c r="S379" s="974" t="e">
        <f>IF($F379="","",$F379*chronic_consumption!N379/1000/$C$3)</f>
        <v>#DIV/0!</v>
      </c>
      <c r="T379" s="974" t="e">
        <f>IF($F379="","",$F379*chronic_consumption!O379/1000/$C$3)</f>
        <v>#DIV/0!</v>
      </c>
      <c r="U379" s="974" t="e">
        <f>IF($F379="","",$F379*chronic_consumption!P379/1000/$C$3)</f>
        <v>#DIV/0!</v>
      </c>
      <c r="V379" s="974" t="e">
        <f>IF($F379="","",$F379*chronic_consumption!Q379/1000/$C$3)</f>
        <v>#DIV/0!</v>
      </c>
      <c r="W379" s="974" t="e">
        <f>IF($F379="","",$F379*chronic_consumption!R379/1000/$C$3)</f>
        <v>#DIV/0!</v>
      </c>
      <c r="X379" s="974" t="e">
        <f>IF($F379="","",$F379*chronic_consumption!S379/1000/$C$3)</f>
        <v>#DIV/0!</v>
      </c>
      <c r="Y379" s="974" t="e">
        <f>IF($F379="","",$F379*chronic_consumption!T379/1000/$C$3)</f>
        <v>#DIV/0!</v>
      </c>
      <c r="Z379" s="974" t="e">
        <f>IF($F379="","",$F379*chronic_consumption!U379/1000/$C$3)</f>
        <v>#DIV/0!</v>
      </c>
      <c r="AA379" s="974" t="e">
        <f>IF($F379="","",$F379*chronic_consumption!V379/1000/$C$3)</f>
        <v>#DIV/0!</v>
      </c>
      <c r="AB379" s="974" t="e">
        <f>IF($F379="","",$F379*chronic_consumption!W379/1000/$C$3)</f>
        <v>#DIV/0!</v>
      </c>
      <c r="AC379" s="974" t="e">
        <f>IF($F379="","",$F379*chronic_consumption!X379/1000/$C$3)</f>
        <v>#DIV/0!</v>
      </c>
      <c r="AD379" s="974" t="e">
        <f>IF($F379="","",$F379*chronic_consumption!Y379/1000/$C$3)</f>
        <v>#DIV/0!</v>
      </c>
      <c r="AE379" s="974" t="e">
        <f>IF($F379="","",$F379*chronic_consumption!Z379/1000/$C$3)</f>
        <v>#DIV/0!</v>
      </c>
      <c r="AF379" s="974" t="e">
        <f>IF($F379="","",$F379*chronic_consumption!AA379/1000/$C$3)</f>
        <v>#DIV/0!</v>
      </c>
      <c r="AG379" s="974" t="e">
        <f>IF($F379="","",$F379*chronic_consumption!AB379/1000/$C$3)</f>
        <v>#DIV/0!</v>
      </c>
      <c r="AH379" s="974" t="e">
        <f>IF($F379="","",$F379*chronic_consumption!AC379/1000/$C$3)</f>
        <v>#DIV/0!</v>
      </c>
      <c r="AI379" s="974" t="e">
        <f>IF($F379="","",$F379*chronic_consumption!AD379/1000/$C$3)</f>
        <v>#DIV/0!</v>
      </c>
      <c r="AJ379" s="974" t="e">
        <f>IF($F379="","",$F379*chronic_consumption!AE379/1000/$C$3)</f>
        <v>#DIV/0!</v>
      </c>
      <c r="AK379" s="974" t="e">
        <f>IF($F379="","",$F379*chronic_consumption!AF379/1000/$C$3)</f>
        <v>#DIV/0!</v>
      </c>
      <c r="AL379" s="974" t="e">
        <f>IF($F379="","",$F379*chronic_consumption!AG379/1000/$C$3)</f>
        <v>#DIV/0!</v>
      </c>
      <c r="AM379" s="974" t="e">
        <f>IF($F379="","",$F379*chronic_consumption!AH379/1000/$C$3)</f>
        <v>#DIV/0!</v>
      </c>
      <c r="AN379" s="974" t="e">
        <f>IF($F379="","",$F379*chronic_consumption!AI379/1000/$C$3)</f>
        <v>#DIV/0!</v>
      </c>
      <c r="AO379" s="974" t="e">
        <f>IF($F379="","",$F379*chronic_consumption!AJ379/1000/$C$3)</f>
        <v>#DIV/0!</v>
      </c>
      <c r="AP379" s="974" t="e">
        <f>IF($F379="","",$F379*chronic_consumption!AK379/1000/$C$3)</f>
        <v>#DIV/0!</v>
      </c>
      <c r="AQ379" s="974" t="e">
        <f>IF($F379="","",$F379*chronic_consumption!AL379/1000/$C$3)</f>
        <v>#DIV/0!</v>
      </c>
      <c r="AR379" s="974" t="e">
        <f>IF($F379="","",$F379*chronic_consumption!AM379/1000/$C$3)</f>
        <v>#DIV/0!</v>
      </c>
      <c r="AS379" s="974" t="e">
        <f>IF($F379="","",$F379*chronic_consumption!AN379/1000/$C$3)</f>
        <v>#DIV/0!</v>
      </c>
      <c r="AT379" s="974" t="e">
        <f>IF($F379="","",$F379*chronic_consumption!AO379/1000/$C$3)</f>
        <v>#DIV/0!</v>
      </c>
      <c r="AU379" s="974"/>
      <c r="AV379" s="974" t="e">
        <f>IF($F379="","",$F379*chronic_consumption!AQ379/1000/$C$3)</f>
        <v>#DIV/0!</v>
      </c>
      <c r="AW379" s="974" t="e">
        <f>IF($F379="","",$F379*chronic_consumption!AR379/1000/$C$3)</f>
        <v>#DIV/0!</v>
      </c>
      <c r="AX379" s="974" t="e">
        <f>IF($F379="","",$F379*chronic_consumption!AS379/1000/$C$3)</f>
        <v>#DIV/0!</v>
      </c>
      <c r="AY379" s="974" t="e">
        <f>IF($F379="","",$F379*chronic_consumption!AT379/1000/$C$3)</f>
        <v>#DIV/0!</v>
      </c>
      <c r="AZ379" s="973" t="s">
        <v>19</v>
      </c>
      <c r="BA379" s="969" t="e">
        <f t="shared" si="27"/>
        <v>#DIV/0!</v>
      </c>
      <c r="BB379" s="970" t="e">
        <f t="shared" si="28"/>
        <v>#DIV/0!</v>
      </c>
      <c r="BC379" s="971" t="e">
        <f t="shared" ca="1" si="29"/>
        <v>#DIV/0!</v>
      </c>
      <c r="BD379" s="228">
        <f>input_values!Z379</f>
        <v>4</v>
      </c>
      <c r="BE379" s="152">
        <f>input_values!L379</f>
        <v>0</v>
      </c>
      <c r="BF379" s="972" t="str">
        <f t="shared" si="30"/>
        <v/>
      </c>
    </row>
    <row r="380" spans="1:58" ht="12" customHeight="1" outlineLevel="1" x14ac:dyDescent="0.2">
      <c r="A380" s="314">
        <v>2</v>
      </c>
      <c r="B380" s="131">
        <v>1030000</v>
      </c>
      <c r="C380" s="131" t="s">
        <v>810</v>
      </c>
      <c r="D380" s="965">
        <f>Table22[[#This Row],[MRL individual commodity]]</f>
        <v>0</v>
      </c>
      <c r="E380" s="300">
        <f>Table22[[#This Row],[LOQ_label]]</f>
        <v>0</v>
      </c>
      <c r="F380" s="966">
        <f>Table22[[#This Row],[Chronic RA input value]]</f>
        <v>0</v>
      </c>
      <c r="G380" s="304">
        <f>Table22[[#This Row],[Chronic RA label]]</f>
        <v>0</v>
      </c>
      <c r="H380" s="304">
        <f>Table22[[#This Row],[GAP under assessment]]</f>
        <v>0</v>
      </c>
      <c r="I380" s="1123"/>
      <c r="J380" s="967" t="e">
        <f>IF($F380="","",$F380*chronic_consumption!$E380/1000/$C$3)</f>
        <v>#DIV/0!</v>
      </c>
      <c r="K380" s="967" t="e">
        <f>IF($F380="","",$F380*chronic_consumption!F380/1000/$C$3)</f>
        <v>#DIV/0!</v>
      </c>
      <c r="L380" s="967" t="e">
        <f>IF($F380="","",$F380*chronic_consumption!G380/1000/$C$3)</f>
        <v>#DIV/0!</v>
      </c>
      <c r="M380" s="967" t="e">
        <f>IF($F380="","",$F380*chronic_consumption!H380/1000/$C$3)</f>
        <v>#DIV/0!</v>
      </c>
      <c r="N380" s="967" t="e">
        <f>IF($F380="","",$F380*chronic_consumption!I380/1000/$C$3)</f>
        <v>#DIV/0!</v>
      </c>
      <c r="O380" s="967" t="e">
        <f>IF($F380="","",$F380*chronic_consumption!J380/1000/$C$3)</f>
        <v>#DIV/0!</v>
      </c>
      <c r="P380" s="967" t="e">
        <f>IF($F380="","",$F380*chronic_consumption!K380/1000/$C$3)</f>
        <v>#DIV/0!</v>
      </c>
      <c r="Q380" s="967" t="e">
        <f>IF($F380="","",$F380*chronic_consumption!L380/1000/$C$3)</f>
        <v>#DIV/0!</v>
      </c>
      <c r="R380" s="967" t="e">
        <f>IF($F380="","",$F380*chronic_consumption!M380/1000/$C$3)</f>
        <v>#DIV/0!</v>
      </c>
      <c r="S380" s="967" t="e">
        <f>IF($F380="","",$F380*chronic_consumption!N380/1000/$C$3)</f>
        <v>#DIV/0!</v>
      </c>
      <c r="T380" s="967" t="e">
        <f>IF($F380="","",$F380*chronic_consumption!O380/1000/$C$3)</f>
        <v>#DIV/0!</v>
      </c>
      <c r="U380" s="967" t="e">
        <f>IF($F380="","",$F380*chronic_consumption!P380/1000/$C$3)</f>
        <v>#DIV/0!</v>
      </c>
      <c r="V380" s="967" t="e">
        <f>IF($F380="","",$F380*chronic_consumption!Q380/1000/$C$3)</f>
        <v>#DIV/0!</v>
      </c>
      <c r="W380" s="967" t="e">
        <f>IF($F380="","",$F380*chronic_consumption!R380/1000/$C$3)</f>
        <v>#DIV/0!</v>
      </c>
      <c r="X380" s="967" t="e">
        <f>IF($F380="","",$F380*chronic_consumption!S380/1000/$C$3)</f>
        <v>#DIV/0!</v>
      </c>
      <c r="Y380" s="967" t="e">
        <f>IF($F380="","",$F380*chronic_consumption!T380/1000/$C$3)</f>
        <v>#DIV/0!</v>
      </c>
      <c r="Z380" s="967" t="e">
        <f>IF($F380="","",$F380*chronic_consumption!U380/1000/$C$3)</f>
        <v>#DIV/0!</v>
      </c>
      <c r="AA380" s="967" t="e">
        <f>IF($F380="","",$F380*chronic_consumption!V380/1000/$C$3)</f>
        <v>#DIV/0!</v>
      </c>
      <c r="AB380" s="967" t="e">
        <f>IF($F380="","",$F380*chronic_consumption!W380/1000/$C$3)</f>
        <v>#DIV/0!</v>
      </c>
      <c r="AC380" s="967" t="e">
        <f>IF($F380="","",$F380*chronic_consumption!X380/1000/$C$3)</f>
        <v>#DIV/0!</v>
      </c>
      <c r="AD380" s="967" t="e">
        <f>IF($F380="","",$F380*chronic_consumption!Y380/1000/$C$3)</f>
        <v>#DIV/0!</v>
      </c>
      <c r="AE380" s="967" t="e">
        <f>IF($F380="","",$F380*chronic_consumption!Z380/1000/$C$3)</f>
        <v>#DIV/0!</v>
      </c>
      <c r="AF380" s="967" t="e">
        <f>IF($F380="","",$F380*chronic_consumption!AA380/1000/$C$3)</f>
        <v>#DIV/0!</v>
      </c>
      <c r="AG380" s="967" t="e">
        <f>IF($F380="","",$F380*chronic_consumption!AB380/1000/$C$3)</f>
        <v>#DIV/0!</v>
      </c>
      <c r="AH380" s="967" t="e">
        <f>IF($F380="","",$F380*chronic_consumption!AC380/1000/$C$3)</f>
        <v>#DIV/0!</v>
      </c>
      <c r="AI380" s="967" t="e">
        <f>IF($F380="","",$F380*chronic_consumption!AD380/1000/$C$3)</f>
        <v>#DIV/0!</v>
      </c>
      <c r="AJ380" s="967" t="e">
        <f>IF($F380="","",$F380*chronic_consumption!AE380/1000/$C$3)</f>
        <v>#DIV/0!</v>
      </c>
      <c r="AK380" s="967" t="e">
        <f>IF($F380="","",$F380*chronic_consumption!AF380/1000/$C$3)</f>
        <v>#DIV/0!</v>
      </c>
      <c r="AL380" s="967" t="e">
        <f>IF($F380="","",$F380*chronic_consumption!AG380/1000/$C$3)</f>
        <v>#DIV/0!</v>
      </c>
      <c r="AM380" s="967" t="e">
        <f>IF($F380="","",$F380*chronic_consumption!AH380/1000/$C$3)</f>
        <v>#DIV/0!</v>
      </c>
      <c r="AN380" s="967" t="e">
        <f>IF($F380="","",$F380*chronic_consumption!AI380/1000/$C$3)</f>
        <v>#DIV/0!</v>
      </c>
      <c r="AO380" s="967" t="e">
        <f>IF($F380="","",$F380*chronic_consumption!AJ380/1000/$C$3)</f>
        <v>#DIV/0!</v>
      </c>
      <c r="AP380" s="967" t="e">
        <f>IF($F380="","",$F380*chronic_consumption!AK380/1000/$C$3)</f>
        <v>#DIV/0!</v>
      </c>
      <c r="AQ380" s="967" t="e">
        <f>IF($F380="","",$F380*chronic_consumption!AL380/1000/$C$3)</f>
        <v>#DIV/0!</v>
      </c>
      <c r="AR380" s="967" t="e">
        <f>IF($F380="","",$F380*chronic_consumption!AM380/1000/$C$3)</f>
        <v>#DIV/0!</v>
      </c>
      <c r="AS380" s="967" t="e">
        <f>IF($F380="","",$F380*chronic_consumption!AN380/1000/$C$3)</f>
        <v>#DIV/0!</v>
      </c>
      <c r="AT380" s="967" t="e">
        <f>IF($F380="","",$F380*chronic_consumption!AO380/1000/$C$3)</f>
        <v>#DIV/0!</v>
      </c>
      <c r="AU380" s="967"/>
      <c r="AV380" s="967" t="e">
        <f>IF($F380="","",$F380*chronic_consumption!AQ380/1000/$C$3)</f>
        <v>#DIV/0!</v>
      </c>
      <c r="AW380" s="967" t="e">
        <f>IF($F380="","",$F380*chronic_consumption!AR380/1000/$C$3)</f>
        <v>#DIV/0!</v>
      </c>
      <c r="AX380" s="967" t="e">
        <f>IF($F380="","",$F380*chronic_consumption!AS380/1000/$C$3)</f>
        <v>#DIV/0!</v>
      </c>
      <c r="AY380" s="967" t="e">
        <f>IF($F380="","",$F380*chronic_consumption!AT380/1000/$C$3)</f>
        <v>#DIV/0!</v>
      </c>
      <c r="AZ380" s="973"/>
      <c r="BA380" s="969" t="e">
        <f t="shared" si="27"/>
        <v>#DIV/0!</v>
      </c>
      <c r="BB380" s="970" t="e">
        <f t="shared" si="28"/>
        <v>#DIV/0!</v>
      </c>
      <c r="BC380" s="971" t="e">
        <f t="shared" ca="1" si="29"/>
        <v>#DIV/0!</v>
      </c>
      <c r="BD380" s="228">
        <f>input_values!Z380</f>
        <v>4</v>
      </c>
      <c r="BE380" s="152">
        <f>input_values!L380</f>
        <v>0</v>
      </c>
      <c r="BF380" s="972" t="str">
        <f t="shared" si="30"/>
        <v/>
      </c>
    </row>
    <row r="381" spans="1:58" ht="12" customHeight="1" outlineLevel="3" x14ac:dyDescent="0.2">
      <c r="A381" s="21">
        <v>4</v>
      </c>
      <c r="B381" s="23">
        <v>1030010</v>
      </c>
      <c r="C381" s="23" t="s">
        <v>148</v>
      </c>
      <c r="D381" s="965">
        <f>Table22[[#This Row],[MRL individual commodity]]</f>
        <v>0</v>
      </c>
      <c r="E381" s="300" t="str">
        <f>Table22[[#This Row],[LOQ_label]]</f>
        <v/>
      </c>
      <c r="F381" s="966">
        <f>Table22[[#This Row],[Chronic RA input value]]</f>
        <v>0</v>
      </c>
      <c r="G381" s="304" t="str">
        <f>Table22[[#This Row],[Chronic RA label]]</f>
        <v/>
      </c>
      <c r="H381" s="304">
        <f>Table22[[#This Row],[GAP under assessment]]</f>
        <v>0</v>
      </c>
      <c r="I381" s="1123"/>
      <c r="J381" s="974" t="e">
        <f>IF($F381="","",$F381*chronic_consumption!$E381/1000/$C$3)</f>
        <v>#DIV/0!</v>
      </c>
      <c r="K381" s="974" t="e">
        <f>IF($F381="","",$F381*chronic_consumption!F381/1000/$C$3)</f>
        <v>#DIV/0!</v>
      </c>
      <c r="L381" s="974" t="e">
        <f>IF($F381="","",$F381*chronic_consumption!G381/1000/$C$3)</f>
        <v>#DIV/0!</v>
      </c>
      <c r="M381" s="974" t="e">
        <f>IF($F381="","",$F381*chronic_consumption!H381/1000/$C$3)</f>
        <v>#DIV/0!</v>
      </c>
      <c r="N381" s="974" t="e">
        <f>IF($F381="","",$F381*chronic_consumption!I381/1000/$C$3)</f>
        <v>#DIV/0!</v>
      </c>
      <c r="O381" s="974" t="e">
        <f>IF($F381="","",$F381*chronic_consumption!J381/1000/$C$3)</f>
        <v>#DIV/0!</v>
      </c>
      <c r="P381" s="974" t="e">
        <f>IF($F381="","",$F381*chronic_consumption!K381/1000/$C$3)</f>
        <v>#DIV/0!</v>
      </c>
      <c r="Q381" s="974" t="e">
        <f>IF($F381="","",$F381*chronic_consumption!L381/1000/$C$3)</f>
        <v>#DIV/0!</v>
      </c>
      <c r="R381" s="974" t="e">
        <f>IF($F381="","",$F381*chronic_consumption!M381/1000/$C$3)</f>
        <v>#DIV/0!</v>
      </c>
      <c r="S381" s="974" t="e">
        <f>IF($F381="","",$F381*chronic_consumption!N381/1000/$C$3)</f>
        <v>#DIV/0!</v>
      </c>
      <c r="T381" s="974" t="e">
        <f>IF($F381="","",$F381*chronic_consumption!O381/1000/$C$3)</f>
        <v>#DIV/0!</v>
      </c>
      <c r="U381" s="974" t="e">
        <f>IF($F381="","",$F381*chronic_consumption!P381/1000/$C$3)</f>
        <v>#DIV/0!</v>
      </c>
      <c r="V381" s="974" t="e">
        <f>IF($F381="","",$F381*chronic_consumption!Q381/1000/$C$3)</f>
        <v>#DIV/0!</v>
      </c>
      <c r="W381" s="974" t="e">
        <f>IF($F381="","",$F381*chronic_consumption!R381/1000/$C$3)</f>
        <v>#DIV/0!</v>
      </c>
      <c r="X381" s="974" t="e">
        <f>IF($F381="","",$F381*chronic_consumption!S381/1000/$C$3)</f>
        <v>#DIV/0!</v>
      </c>
      <c r="Y381" s="974" t="e">
        <f>IF($F381="","",$F381*chronic_consumption!T381/1000/$C$3)</f>
        <v>#DIV/0!</v>
      </c>
      <c r="Z381" s="974" t="e">
        <f>IF($F381="","",$F381*chronic_consumption!U381/1000/$C$3)</f>
        <v>#DIV/0!</v>
      </c>
      <c r="AA381" s="974" t="e">
        <f>IF($F381="","",$F381*chronic_consumption!V381/1000/$C$3)</f>
        <v>#DIV/0!</v>
      </c>
      <c r="AB381" s="974" t="e">
        <f>IF($F381="","",$F381*chronic_consumption!W381/1000/$C$3)</f>
        <v>#DIV/0!</v>
      </c>
      <c r="AC381" s="974" t="e">
        <f>IF($F381="","",$F381*chronic_consumption!X381/1000/$C$3)</f>
        <v>#DIV/0!</v>
      </c>
      <c r="AD381" s="974" t="e">
        <f>IF($F381="","",$F381*chronic_consumption!Y381/1000/$C$3)</f>
        <v>#DIV/0!</v>
      </c>
      <c r="AE381" s="974" t="e">
        <f>IF($F381="","",$F381*chronic_consumption!Z381/1000/$C$3)</f>
        <v>#DIV/0!</v>
      </c>
      <c r="AF381" s="974" t="e">
        <f>IF($F381="","",$F381*chronic_consumption!AA381/1000/$C$3)</f>
        <v>#DIV/0!</v>
      </c>
      <c r="AG381" s="974" t="e">
        <f>IF($F381="","",$F381*chronic_consumption!AB381/1000/$C$3)</f>
        <v>#DIV/0!</v>
      </c>
      <c r="AH381" s="974" t="e">
        <f>IF($F381="","",$F381*chronic_consumption!AC381/1000/$C$3)</f>
        <v>#DIV/0!</v>
      </c>
      <c r="AI381" s="974" t="e">
        <f>IF($F381="","",$F381*chronic_consumption!AD381/1000/$C$3)</f>
        <v>#DIV/0!</v>
      </c>
      <c r="AJ381" s="974" t="e">
        <f>IF($F381="","",$F381*chronic_consumption!AE381/1000/$C$3)</f>
        <v>#DIV/0!</v>
      </c>
      <c r="AK381" s="974" t="e">
        <f>IF($F381="","",$F381*chronic_consumption!AF381/1000/$C$3)</f>
        <v>#DIV/0!</v>
      </c>
      <c r="AL381" s="974" t="e">
        <f>IF($F381="","",$F381*chronic_consumption!AG381/1000/$C$3)</f>
        <v>#DIV/0!</v>
      </c>
      <c r="AM381" s="974" t="e">
        <f>IF($F381="","",$F381*chronic_consumption!AH381/1000/$C$3)</f>
        <v>#DIV/0!</v>
      </c>
      <c r="AN381" s="974" t="e">
        <f>IF($F381="","",$F381*chronic_consumption!AI381/1000/$C$3)</f>
        <v>#DIV/0!</v>
      </c>
      <c r="AO381" s="974" t="e">
        <f>IF($F381="","",$F381*chronic_consumption!AJ381/1000/$C$3)</f>
        <v>#DIV/0!</v>
      </c>
      <c r="AP381" s="974" t="e">
        <f>IF($F381="","",$F381*chronic_consumption!AK381/1000/$C$3)</f>
        <v>#DIV/0!</v>
      </c>
      <c r="AQ381" s="974" t="e">
        <f>IF($F381="","",$F381*chronic_consumption!AL381/1000/$C$3)</f>
        <v>#DIV/0!</v>
      </c>
      <c r="AR381" s="974" t="e">
        <f>IF($F381="","",$F381*chronic_consumption!AM381/1000/$C$3)</f>
        <v>#DIV/0!</v>
      </c>
      <c r="AS381" s="974" t="e">
        <f>IF($F381="","",$F381*chronic_consumption!AN381/1000/$C$3)</f>
        <v>#DIV/0!</v>
      </c>
      <c r="AT381" s="974" t="e">
        <f>IF($F381="","",$F381*chronic_consumption!AO381/1000/$C$3)</f>
        <v>#DIV/0!</v>
      </c>
      <c r="AU381" s="974"/>
      <c r="AV381" s="974" t="e">
        <f>IF($F381="","",$F381*chronic_consumption!AQ381/1000/$C$3)</f>
        <v>#DIV/0!</v>
      </c>
      <c r="AW381" s="974" t="e">
        <f>IF($F381="","",$F381*chronic_consumption!AR381/1000/$C$3)</f>
        <v>#DIV/0!</v>
      </c>
      <c r="AX381" s="974" t="e">
        <f>IF($F381="","",$F381*chronic_consumption!AS381/1000/$C$3)</f>
        <v>#DIV/0!</v>
      </c>
      <c r="AY381" s="974" t="e">
        <f>IF($F381="","",$F381*chronic_consumption!AT381/1000/$C$3)</f>
        <v>#DIV/0!</v>
      </c>
      <c r="AZ381" s="973" t="s">
        <v>19</v>
      </c>
      <c r="BA381" s="969" t="e">
        <f t="shared" si="27"/>
        <v>#DIV/0!</v>
      </c>
      <c r="BB381" s="970" t="e">
        <f t="shared" si="28"/>
        <v>#DIV/0!</v>
      </c>
      <c r="BC381" s="971" t="e">
        <f t="shared" ca="1" si="29"/>
        <v>#DIV/0!</v>
      </c>
      <c r="BD381" s="228">
        <f>input_values!Z381</f>
        <v>4</v>
      </c>
      <c r="BE381" s="152">
        <f>input_values!L381</f>
        <v>0</v>
      </c>
      <c r="BF381" s="972" t="str">
        <f t="shared" si="30"/>
        <v/>
      </c>
    </row>
    <row r="382" spans="1:58" ht="12" customHeight="1" outlineLevel="3" x14ac:dyDescent="0.2">
      <c r="A382" s="21">
        <v>4</v>
      </c>
      <c r="B382" s="23">
        <v>1030020</v>
      </c>
      <c r="C382" s="23" t="s">
        <v>149</v>
      </c>
      <c r="D382" s="965">
        <f>Table22[[#This Row],[MRL individual commodity]]</f>
        <v>0</v>
      </c>
      <c r="E382" s="300" t="str">
        <f>Table22[[#This Row],[LOQ_label]]</f>
        <v/>
      </c>
      <c r="F382" s="966">
        <f>Table22[[#This Row],[Chronic RA input value]]</f>
        <v>0</v>
      </c>
      <c r="G382" s="304" t="str">
        <f>Table22[[#This Row],[Chronic RA label]]</f>
        <v/>
      </c>
      <c r="H382" s="304">
        <f>Table22[[#This Row],[GAP under assessment]]</f>
        <v>0</v>
      </c>
      <c r="I382" s="1123"/>
      <c r="J382" s="974" t="e">
        <f>IF($F382="","",$F382*chronic_consumption!$E382/1000/$C$3)</f>
        <v>#DIV/0!</v>
      </c>
      <c r="K382" s="974" t="e">
        <f>IF($F382="","",$F382*chronic_consumption!F382/1000/$C$3)</f>
        <v>#DIV/0!</v>
      </c>
      <c r="L382" s="974" t="e">
        <f>IF($F382="","",$F382*chronic_consumption!G382/1000/$C$3)</f>
        <v>#DIV/0!</v>
      </c>
      <c r="M382" s="974" t="e">
        <f>IF($F382="","",$F382*chronic_consumption!H382/1000/$C$3)</f>
        <v>#DIV/0!</v>
      </c>
      <c r="N382" s="974" t="e">
        <f>IF($F382="","",$F382*chronic_consumption!I382/1000/$C$3)</f>
        <v>#DIV/0!</v>
      </c>
      <c r="O382" s="974" t="e">
        <f>IF($F382="","",$F382*chronic_consumption!J382/1000/$C$3)</f>
        <v>#DIV/0!</v>
      </c>
      <c r="P382" s="974" t="e">
        <f>IF($F382="","",$F382*chronic_consumption!K382/1000/$C$3)</f>
        <v>#DIV/0!</v>
      </c>
      <c r="Q382" s="974" t="e">
        <f>IF($F382="","",$F382*chronic_consumption!L382/1000/$C$3)</f>
        <v>#DIV/0!</v>
      </c>
      <c r="R382" s="974" t="e">
        <f>IF($F382="","",$F382*chronic_consumption!M382/1000/$C$3)</f>
        <v>#DIV/0!</v>
      </c>
      <c r="S382" s="974" t="e">
        <f>IF($F382="","",$F382*chronic_consumption!N382/1000/$C$3)</f>
        <v>#DIV/0!</v>
      </c>
      <c r="T382" s="974" t="e">
        <f>IF($F382="","",$F382*chronic_consumption!O382/1000/$C$3)</f>
        <v>#DIV/0!</v>
      </c>
      <c r="U382" s="974" t="e">
        <f>IF($F382="","",$F382*chronic_consumption!P382/1000/$C$3)</f>
        <v>#DIV/0!</v>
      </c>
      <c r="V382" s="974" t="e">
        <f>IF($F382="","",$F382*chronic_consumption!Q382/1000/$C$3)</f>
        <v>#DIV/0!</v>
      </c>
      <c r="W382" s="974" t="e">
        <f>IF($F382="","",$F382*chronic_consumption!R382/1000/$C$3)</f>
        <v>#DIV/0!</v>
      </c>
      <c r="X382" s="974" t="e">
        <f>IF($F382="","",$F382*chronic_consumption!S382/1000/$C$3)</f>
        <v>#DIV/0!</v>
      </c>
      <c r="Y382" s="974" t="e">
        <f>IF($F382="","",$F382*chronic_consumption!T382/1000/$C$3)</f>
        <v>#DIV/0!</v>
      </c>
      <c r="Z382" s="974" t="e">
        <f>IF($F382="","",$F382*chronic_consumption!U382/1000/$C$3)</f>
        <v>#DIV/0!</v>
      </c>
      <c r="AA382" s="974" t="e">
        <f>IF($F382="","",$F382*chronic_consumption!V382/1000/$C$3)</f>
        <v>#DIV/0!</v>
      </c>
      <c r="AB382" s="974" t="e">
        <f>IF($F382="","",$F382*chronic_consumption!W382/1000/$C$3)</f>
        <v>#DIV/0!</v>
      </c>
      <c r="AC382" s="974" t="e">
        <f>IF($F382="","",$F382*chronic_consumption!X382/1000/$C$3)</f>
        <v>#DIV/0!</v>
      </c>
      <c r="AD382" s="974" t="e">
        <f>IF($F382="","",$F382*chronic_consumption!Y382/1000/$C$3)</f>
        <v>#DIV/0!</v>
      </c>
      <c r="AE382" s="974" t="e">
        <f>IF($F382="","",$F382*chronic_consumption!Z382/1000/$C$3)</f>
        <v>#DIV/0!</v>
      </c>
      <c r="AF382" s="974" t="e">
        <f>IF($F382="","",$F382*chronic_consumption!AA382/1000/$C$3)</f>
        <v>#DIV/0!</v>
      </c>
      <c r="AG382" s="974" t="e">
        <f>IF($F382="","",$F382*chronic_consumption!AB382/1000/$C$3)</f>
        <v>#DIV/0!</v>
      </c>
      <c r="AH382" s="974" t="e">
        <f>IF($F382="","",$F382*chronic_consumption!AC382/1000/$C$3)</f>
        <v>#DIV/0!</v>
      </c>
      <c r="AI382" s="974" t="e">
        <f>IF($F382="","",$F382*chronic_consumption!AD382/1000/$C$3)</f>
        <v>#DIV/0!</v>
      </c>
      <c r="AJ382" s="974" t="e">
        <f>IF($F382="","",$F382*chronic_consumption!AE382/1000/$C$3)</f>
        <v>#DIV/0!</v>
      </c>
      <c r="AK382" s="974" t="e">
        <f>IF($F382="","",$F382*chronic_consumption!AF382/1000/$C$3)</f>
        <v>#DIV/0!</v>
      </c>
      <c r="AL382" s="974" t="e">
        <f>IF($F382="","",$F382*chronic_consumption!AG382/1000/$C$3)</f>
        <v>#DIV/0!</v>
      </c>
      <c r="AM382" s="974" t="e">
        <f>IF($F382="","",$F382*chronic_consumption!AH382/1000/$C$3)</f>
        <v>#DIV/0!</v>
      </c>
      <c r="AN382" s="974" t="e">
        <f>IF($F382="","",$F382*chronic_consumption!AI382/1000/$C$3)</f>
        <v>#DIV/0!</v>
      </c>
      <c r="AO382" s="974" t="e">
        <f>IF($F382="","",$F382*chronic_consumption!AJ382/1000/$C$3)</f>
        <v>#DIV/0!</v>
      </c>
      <c r="AP382" s="974" t="e">
        <f>IF($F382="","",$F382*chronic_consumption!AK382/1000/$C$3)</f>
        <v>#DIV/0!</v>
      </c>
      <c r="AQ382" s="974" t="e">
        <f>IF($F382="","",$F382*chronic_consumption!AL382/1000/$C$3)</f>
        <v>#DIV/0!</v>
      </c>
      <c r="AR382" s="974" t="e">
        <f>IF($F382="","",$F382*chronic_consumption!AM382/1000/$C$3)</f>
        <v>#DIV/0!</v>
      </c>
      <c r="AS382" s="974" t="e">
        <f>IF($F382="","",$F382*chronic_consumption!AN382/1000/$C$3)</f>
        <v>#DIV/0!</v>
      </c>
      <c r="AT382" s="974" t="e">
        <f>IF($F382="","",$F382*chronic_consumption!AO382/1000/$C$3)</f>
        <v>#DIV/0!</v>
      </c>
      <c r="AU382" s="974"/>
      <c r="AV382" s="974" t="e">
        <f>IF($F382="","",$F382*chronic_consumption!AQ382/1000/$C$3)</f>
        <v>#DIV/0!</v>
      </c>
      <c r="AW382" s="974" t="e">
        <f>IF($F382="","",$F382*chronic_consumption!AR382/1000/$C$3)</f>
        <v>#DIV/0!</v>
      </c>
      <c r="AX382" s="974" t="e">
        <f>IF($F382="","",$F382*chronic_consumption!AS382/1000/$C$3)</f>
        <v>#DIV/0!</v>
      </c>
      <c r="AY382" s="974" t="e">
        <f>IF($F382="","",$F382*chronic_consumption!AT382/1000/$C$3)</f>
        <v>#DIV/0!</v>
      </c>
      <c r="AZ382" s="973" t="s">
        <v>19</v>
      </c>
      <c r="BA382" s="969" t="e">
        <f t="shared" si="27"/>
        <v>#DIV/0!</v>
      </c>
      <c r="BB382" s="970" t="e">
        <f t="shared" si="28"/>
        <v>#DIV/0!</v>
      </c>
      <c r="BC382" s="971" t="e">
        <f t="shared" ca="1" si="29"/>
        <v>#DIV/0!</v>
      </c>
      <c r="BD382" s="228">
        <f>input_values!Z382</f>
        <v>4</v>
      </c>
      <c r="BE382" s="152">
        <f>input_values!L382</f>
        <v>0</v>
      </c>
      <c r="BF382" s="972" t="str">
        <f t="shared" si="30"/>
        <v/>
      </c>
    </row>
    <row r="383" spans="1:58" ht="12" customHeight="1" outlineLevel="3" x14ac:dyDescent="0.2">
      <c r="A383" s="21">
        <v>4</v>
      </c>
      <c r="B383" s="23">
        <v>1030030</v>
      </c>
      <c r="C383" s="23" t="s">
        <v>150</v>
      </c>
      <c r="D383" s="965">
        <f>Table22[[#This Row],[MRL individual commodity]]</f>
        <v>0</v>
      </c>
      <c r="E383" s="300" t="str">
        <f>Table22[[#This Row],[LOQ_label]]</f>
        <v/>
      </c>
      <c r="F383" s="966">
        <f>Table22[[#This Row],[Chronic RA input value]]</f>
        <v>0</v>
      </c>
      <c r="G383" s="304" t="str">
        <f>Table22[[#This Row],[Chronic RA label]]</f>
        <v/>
      </c>
      <c r="H383" s="304">
        <f>Table22[[#This Row],[GAP under assessment]]</f>
        <v>0</v>
      </c>
      <c r="I383" s="1123"/>
      <c r="J383" s="974" t="e">
        <f>IF($F383="","",$F383*chronic_consumption!$E383/1000/$C$3)</f>
        <v>#DIV/0!</v>
      </c>
      <c r="K383" s="974" t="e">
        <f>IF($F383="","",$F383*chronic_consumption!F383/1000/$C$3)</f>
        <v>#DIV/0!</v>
      </c>
      <c r="L383" s="974" t="e">
        <f>IF($F383="","",$F383*chronic_consumption!G383/1000/$C$3)</f>
        <v>#DIV/0!</v>
      </c>
      <c r="M383" s="974" t="e">
        <f>IF($F383="","",$F383*chronic_consumption!H383/1000/$C$3)</f>
        <v>#DIV/0!</v>
      </c>
      <c r="N383" s="974" t="e">
        <f>IF($F383="","",$F383*chronic_consumption!I383/1000/$C$3)</f>
        <v>#DIV/0!</v>
      </c>
      <c r="O383" s="974" t="e">
        <f>IF($F383="","",$F383*chronic_consumption!J383/1000/$C$3)</f>
        <v>#DIV/0!</v>
      </c>
      <c r="P383" s="974" t="e">
        <f>IF($F383="","",$F383*chronic_consumption!K383/1000/$C$3)</f>
        <v>#DIV/0!</v>
      </c>
      <c r="Q383" s="974" t="e">
        <f>IF($F383="","",$F383*chronic_consumption!L383/1000/$C$3)</f>
        <v>#DIV/0!</v>
      </c>
      <c r="R383" s="974" t="e">
        <f>IF($F383="","",$F383*chronic_consumption!M383/1000/$C$3)</f>
        <v>#DIV/0!</v>
      </c>
      <c r="S383" s="974" t="e">
        <f>IF($F383="","",$F383*chronic_consumption!N383/1000/$C$3)</f>
        <v>#DIV/0!</v>
      </c>
      <c r="T383" s="974" t="e">
        <f>IF($F383="","",$F383*chronic_consumption!O383/1000/$C$3)</f>
        <v>#DIV/0!</v>
      </c>
      <c r="U383" s="974" t="e">
        <f>IF($F383="","",$F383*chronic_consumption!P383/1000/$C$3)</f>
        <v>#DIV/0!</v>
      </c>
      <c r="V383" s="974" t="e">
        <f>IF($F383="","",$F383*chronic_consumption!Q383/1000/$C$3)</f>
        <v>#DIV/0!</v>
      </c>
      <c r="W383" s="974" t="e">
        <f>IF($F383="","",$F383*chronic_consumption!R383/1000/$C$3)</f>
        <v>#DIV/0!</v>
      </c>
      <c r="X383" s="974" t="e">
        <f>IF($F383="","",$F383*chronic_consumption!S383/1000/$C$3)</f>
        <v>#DIV/0!</v>
      </c>
      <c r="Y383" s="974" t="e">
        <f>IF($F383="","",$F383*chronic_consumption!T383/1000/$C$3)</f>
        <v>#DIV/0!</v>
      </c>
      <c r="Z383" s="974" t="e">
        <f>IF($F383="","",$F383*chronic_consumption!U383/1000/$C$3)</f>
        <v>#DIV/0!</v>
      </c>
      <c r="AA383" s="974" t="e">
        <f>IF($F383="","",$F383*chronic_consumption!V383/1000/$C$3)</f>
        <v>#DIV/0!</v>
      </c>
      <c r="AB383" s="974" t="e">
        <f>IF($F383="","",$F383*chronic_consumption!W383/1000/$C$3)</f>
        <v>#DIV/0!</v>
      </c>
      <c r="AC383" s="974" t="e">
        <f>IF($F383="","",$F383*chronic_consumption!X383/1000/$C$3)</f>
        <v>#DIV/0!</v>
      </c>
      <c r="AD383" s="974" t="e">
        <f>IF($F383="","",$F383*chronic_consumption!Y383/1000/$C$3)</f>
        <v>#DIV/0!</v>
      </c>
      <c r="AE383" s="974" t="e">
        <f>IF($F383="","",$F383*chronic_consumption!Z383/1000/$C$3)</f>
        <v>#DIV/0!</v>
      </c>
      <c r="AF383" s="974" t="e">
        <f>IF($F383="","",$F383*chronic_consumption!AA383/1000/$C$3)</f>
        <v>#DIV/0!</v>
      </c>
      <c r="AG383" s="974" t="e">
        <f>IF($F383="","",$F383*chronic_consumption!AB383/1000/$C$3)</f>
        <v>#DIV/0!</v>
      </c>
      <c r="AH383" s="974" t="e">
        <f>IF($F383="","",$F383*chronic_consumption!AC383/1000/$C$3)</f>
        <v>#DIV/0!</v>
      </c>
      <c r="AI383" s="974" t="e">
        <f>IF($F383="","",$F383*chronic_consumption!AD383/1000/$C$3)</f>
        <v>#DIV/0!</v>
      </c>
      <c r="AJ383" s="974" t="e">
        <f>IF($F383="","",$F383*chronic_consumption!AE383/1000/$C$3)</f>
        <v>#DIV/0!</v>
      </c>
      <c r="AK383" s="974" t="e">
        <f>IF($F383="","",$F383*chronic_consumption!AF383/1000/$C$3)</f>
        <v>#DIV/0!</v>
      </c>
      <c r="AL383" s="974" t="e">
        <f>IF($F383="","",$F383*chronic_consumption!AG383/1000/$C$3)</f>
        <v>#DIV/0!</v>
      </c>
      <c r="AM383" s="974" t="e">
        <f>IF($F383="","",$F383*chronic_consumption!AH383/1000/$C$3)</f>
        <v>#DIV/0!</v>
      </c>
      <c r="AN383" s="974" t="e">
        <f>IF($F383="","",$F383*chronic_consumption!AI383/1000/$C$3)</f>
        <v>#DIV/0!</v>
      </c>
      <c r="AO383" s="974" t="e">
        <f>IF($F383="","",$F383*chronic_consumption!AJ383/1000/$C$3)</f>
        <v>#DIV/0!</v>
      </c>
      <c r="AP383" s="974" t="e">
        <f>IF($F383="","",$F383*chronic_consumption!AK383/1000/$C$3)</f>
        <v>#DIV/0!</v>
      </c>
      <c r="AQ383" s="974" t="e">
        <f>IF($F383="","",$F383*chronic_consumption!AL383/1000/$C$3)</f>
        <v>#DIV/0!</v>
      </c>
      <c r="AR383" s="974" t="e">
        <f>IF($F383="","",$F383*chronic_consumption!AM383/1000/$C$3)</f>
        <v>#DIV/0!</v>
      </c>
      <c r="AS383" s="974" t="e">
        <f>IF($F383="","",$F383*chronic_consumption!AN383/1000/$C$3)</f>
        <v>#DIV/0!</v>
      </c>
      <c r="AT383" s="974" t="e">
        <f>IF($F383="","",$F383*chronic_consumption!AO383/1000/$C$3)</f>
        <v>#DIV/0!</v>
      </c>
      <c r="AU383" s="974"/>
      <c r="AV383" s="974" t="e">
        <f>IF($F383="","",$F383*chronic_consumption!AQ383/1000/$C$3)</f>
        <v>#DIV/0!</v>
      </c>
      <c r="AW383" s="974" t="e">
        <f>IF($F383="","",$F383*chronic_consumption!AR383/1000/$C$3)</f>
        <v>#DIV/0!</v>
      </c>
      <c r="AX383" s="974" t="e">
        <f>IF($F383="","",$F383*chronic_consumption!AS383/1000/$C$3)</f>
        <v>#DIV/0!</v>
      </c>
      <c r="AY383" s="974" t="e">
        <f>IF($F383="","",$F383*chronic_consumption!AT383/1000/$C$3)</f>
        <v>#DIV/0!</v>
      </c>
      <c r="AZ383" s="973" t="s">
        <v>19</v>
      </c>
      <c r="BA383" s="969" t="e">
        <f t="shared" si="27"/>
        <v>#DIV/0!</v>
      </c>
      <c r="BB383" s="970" t="e">
        <f t="shared" si="28"/>
        <v>#DIV/0!</v>
      </c>
      <c r="BC383" s="971" t="e">
        <f t="shared" ca="1" si="29"/>
        <v>#DIV/0!</v>
      </c>
      <c r="BD383" s="228">
        <f>input_values!Z383</f>
        <v>4</v>
      </c>
      <c r="BE383" s="152">
        <f>input_values!L383</f>
        <v>0</v>
      </c>
      <c r="BF383" s="972" t="str">
        <f t="shared" si="30"/>
        <v/>
      </c>
    </row>
    <row r="384" spans="1:58" ht="12" customHeight="1" outlineLevel="3" x14ac:dyDescent="0.2">
      <c r="A384" s="21">
        <v>4</v>
      </c>
      <c r="B384" s="23">
        <v>1030040</v>
      </c>
      <c r="C384" s="23" t="s">
        <v>151</v>
      </c>
      <c r="D384" s="965">
        <f>Table22[[#This Row],[MRL individual commodity]]</f>
        <v>0</v>
      </c>
      <c r="E384" s="300" t="str">
        <f>Table22[[#This Row],[LOQ_label]]</f>
        <v/>
      </c>
      <c r="F384" s="966">
        <f>Table22[[#This Row],[Chronic RA input value]]</f>
        <v>0</v>
      </c>
      <c r="G384" s="304" t="str">
        <f>Table22[[#This Row],[Chronic RA label]]</f>
        <v/>
      </c>
      <c r="H384" s="304">
        <f>Table22[[#This Row],[GAP under assessment]]</f>
        <v>0</v>
      </c>
      <c r="I384" s="1123"/>
      <c r="J384" s="974" t="e">
        <f>IF($F384="","",$F384*chronic_consumption!$E384/1000/$C$3)</f>
        <v>#DIV/0!</v>
      </c>
      <c r="K384" s="974" t="e">
        <f>IF($F384="","",$F384*chronic_consumption!F384/1000/$C$3)</f>
        <v>#DIV/0!</v>
      </c>
      <c r="L384" s="974" t="e">
        <f>IF($F384="","",$F384*chronic_consumption!G384/1000/$C$3)</f>
        <v>#DIV/0!</v>
      </c>
      <c r="M384" s="974" t="e">
        <f>IF($F384="","",$F384*chronic_consumption!H384/1000/$C$3)</f>
        <v>#DIV/0!</v>
      </c>
      <c r="N384" s="974" t="e">
        <f>IF($F384="","",$F384*chronic_consumption!I384/1000/$C$3)</f>
        <v>#DIV/0!</v>
      </c>
      <c r="O384" s="974" t="e">
        <f>IF($F384="","",$F384*chronic_consumption!J384/1000/$C$3)</f>
        <v>#DIV/0!</v>
      </c>
      <c r="P384" s="974" t="e">
        <f>IF($F384="","",$F384*chronic_consumption!K384/1000/$C$3)</f>
        <v>#DIV/0!</v>
      </c>
      <c r="Q384" s="974" t="e">
        <f>IF($F384="","",$F384*chronic_consumption!L384/1000/$C$3)</f>
        <v>#DIV/0!</v>
      </c>
      <c r="R384" s="974" t="e">
        <f>IF($F384="","",$F384*chronic_consumption!M384/1000/$C$3)</f>
        <v>#DIV/0!</v>
      </c>
      <c r="S384" s="974" t="e">
        <f>IF($F384="","",$F384*chronic_consumption!N384/1000/$C$3)</f>
        <v>#DIV/0!</v>
      </c>
      <c r="T384" s="974" t="e">
        <f>IF($F384="","",$F384*chronic_consumption!O384/1000/$C$3)</f>
        <v>#DIV/0!</v>
      </c>
      <c r="U384" s="974" t="e">
        <f>IF($F384="","",$F384*chronic_consumption!P384/1000/$C$3)</f>
        <v>#DIV/0!</v>
      </c>
      <c r="V384" s="974" t="e">
        <f>IF($F384="","",$F384*chronic_consumption!Q384/1000/$C$3)</f>
        <v>#DIV/0!</v>
      </c>
      <c r="W384" s="974" t="e">
        <f>IF($F384="","",$F384*chronic_consumption!R384/1000/$C$3)</f>
        <v>#DIV/0!</v>
      </c>
      <c r="X384" s="974" t="e">
        <f>IF($F384="","",$F384*chronic_consumption!S384/1000/$C$3)</f>
        <v>#DIV/0!</v>
      </c>
      <c r="Y384" s="974" t="e">
        <f>IF($F384="","",$F384*chronic_consumption!T384/1000/$C$3)</f>
        <v>#DIV/0!</v>
      </c>
      <c r="Z384" s="974" t="e">
        <f>IF($F384="","",$F384*chronic_consumption!U384/1000/$C$3)</f>
        <v>#DIV/0!</v>
      </c>
      <c r="AA384" s="974" t="e">
        <f>IF($F384="","",$F384*chronic_consumption!V384/1000/$C$3)</f>
        <v>#DIV/0!</v>
      </c>
      <c r="AB384" s="974" t="e">
        <f>IF($F384="","",$F384*chronic_consumption!W384/1000/$C$3)</f>
        <v>#DIV/0!</v>
      </c>
      <c r="AC384" s="974" t="e">
        <f>IF($F384="","",$F384*chronic_consumption!X384/1000/$C$3)</f>
        <v>#DIV/0!</v>
      </c>
      <c r="AD384" s="974" t="e">
        <f>IF($F384="","",$F384*chronic_consumption!Y384/1000/$C$3)</f>
        <v>#DIV/0!</v>
      </c>
      <c r="AE384" s="974" t="e">
        <f>IF($F384="","",$F384*chronic_consumption!Z384/1000/$C$3)</f>
        <v>#DIV/0!</v>
      </c>
      <c r="AF384" s="974" t="e">
        <f>IF($F384="","",$F384*chronic_consumption!AA384/1000/$C$3)</f>
        <v>#DIV/0!</v>
      </c>
      <c r="AG384" s="974" t="e">
        <f>IF($F384="","",$F384*chronic_consumption!AB384/1000/$C$3)</f>
        <v>#DIV/0!</v>
      </c>
      <c r="AH384" s="974" t="e">
        <f>IF($F384="","",$F384*chronic_consumption!AC384/1000/$C$3)</f>
        <v>#DIV/0!</v>
      </c>
      <c r="AI384" s="974" t="e">
        <f>IF($F384="","",$F384*chronic_consumption!AD384/1000/$C$3)</f>
        <v>#DIV/0!</v>
      </c>
      <c r="AJ384" s="974" t="e">
        <f>IF($F384="","",$F384*chronic_consumption!AE384/1000/$C$3)</f>
        <v>#DIV/0!</v>
      </c>
      <c r="AK384" s="974" t="e">
        <f>IF($F384="","",$F384*chronic_consumption!AF384/1000/$C$3)</f>
        <v>#DIV/0!</v>
      </c>
      <c r="AL384" s="974" t="e">
        <f>IF($F384="","",$F384*chronic_consumption!AG384/1000/$C$3)</f>
        <v>#DIV/0!</v>
      </c>
      <c r="AM384" s="974" t="e">
        <f>IF($F384="","",$F384*chronic_consumption!AH384/1000/$C$3)</f>
        <v>#DIV/0!</v>
      </c>
      <c r="AN384" s="974" t="e">
        <f>IF($F384="","",$F384*chronic_consumption!AI384/1000/$C$3)</f>
        <v>#DIV/0!</v>
      </c>
      <c r="AO384" s="974" t="e">
        <f>IF($F384="","",$F384*chronic_consumption!AJ384/1000/$C$3)</f>
        <v>#DIV/0!</v>
      </c>
      <c r="AP384" s="974" t="e">
        <f>IF($F384="","",$F384*chronic_consumption!AK384/1000/$C$3)</f>
        <v>#DIV/0!</v>
      </c>
      <c r="AQ384" s="974" t="e">
        <f>IF($F384="","",$F384*chronic_consumption!AL384/1000/$C$3)</f>
        <v>#DIV/0!</v>
      </c>
      <c r="AR384" s="974" t="e">
        <f>IF($F384="","",$F384*chronic_consumption!AM384/1000/$C$3)</f>
        <v>#DIV/0!</v>
      </c>
      <c r="AS384" s="974" t="e">
        <f>IF($F384="","",$F384*chronic_consumption!AN384/1000/$C$3)</f>
        <v>#DIV/0!</v>
      </c>
      <c r="AT384" s="974" t="e">
        <f>IF($F384="","",$F384*chronic_consumption!AO384/1000/$C$3)</f>
        <v>#DIV/0!</v>
      </c>
      <c r="AU384" s="974"/>
      <c r="AV384" s="974" t="e">
        <f>IF($F384="","",$F384*chronic_consumption!AQ384/1000/$C$3)</f>
        <v>#DIV/0!</v>
      </c>
      <c r="AW384" s="974" t="e">
        <f>IF($F384="","",$F384*chronic_consumption!AR384/1000/$C$3)</f>
        <v>#DIV/0!</v>
      </c>
      <c r="AX384" s="974" t="e">
        <f>IF($F384="","",$F384*chronic_consumption!AS384/1000/$C$3)</f>
        <v>#DIV/0!</v>
      </c>
      <c r="AY384" s="974" t="e">
        <f>IF($F384="","",$F384*chronic_consumption!AT384/1000/$C$3)</f>
        <v>#DIV/0!</v>
      </c>
      <c r="AZ384" s="973" t="s">
        <v>19</v>
      </c>
      <c r="BA384" s="969" t="e">
        <f t="shared" si="27"/>
        <v>#DIV/0!</v>
      </c>
      <c r="BB384" s="970" t="e">
        <f t="shared" si="28"/>
        <v>#DIV/0!</v>
      </c>
      <c r="BC384" s="971" t="e">
        <f t="shared" ca="1" si="29"/>
        <v>#DIV/0!</v>
      </c>
      <c r="BD384" s="228">
        <f>input_values!Z384</f>
        <v>4</v>
      </c>
      <c r="BE384" s="152">
        <f>input_values!L384</f>
        <v>0</v>
      </c>
      <c r="BF384" s="972" t="str">
        <f t="shared" si="30"/>
        <v/>
      </c>
    </row>
    <row r="385" spans="1:58" ht="12" customHeight="1" outlineLevel="3" x14ac:dyDescent="0.2">
      <c r="A385" s="21">
        <v>4</v>
      </c>
      <c r="B385" s="23">
        <v>1030990</v>
      </c>
      <c r="C385" s="23" t="s">
        <v>633</v>
      </c>
      <c r="D385" s="965">
        <f>Table22[[#This Row],[MRL individual commodity]]</f>
        <v>0</v>
      </c>
      <c r="E385" s="300" t="str">
        <f>Table22[[#This Row],[LOQ_label]]</f>
        <v/>
      </c>
      <c r="F385" s="966">
        <f>Table22[[#This Row],[Chronic RA input value]]</f>
        <v>0</v>
      </c>
      <c r="G385" s="304" t="str">
        <f>Table22[[#This Row],[Chronic RA label]]</f>
        <v/>
      </c>
      <c r="H385" s="304">
        <f>Table22[[#This Row],[GAP under assessment]]</f>
        <v>0</v>
      </c>
      <c r="I385" s="1123"/>
      <c r="J385" s="974" t="e">
        <f>IF($F385="","",$F385*chronic_consumption!$E385/1000/$C$3)</f>
        <v>#DIV/0!</v>
      </c>
      <c r="K385" s="974" t="e">
        <f>IF($F385="","",$F385*chronic_consumption!F385/1000/$C$3)</f>
        <v>#DIV/0!</v>
      </c>
      <c r="L385" s="974" t="e">
        <f>IF($F385="","",$F385*chronic_consumption!G385/1000/$C$3)</f>
        <v>#DIV/0!</v>
      </c>
      <c r="M385" s="974" t="e">
        <f>IF($F385="","",$F385*chronic_consumption!H385/1000/$C$3)</f>
        <v>#DIV/0!</v>
      </c>
      <c r="N385" s="974" t="e">
        <f>IF($F385="","",$F385*chronic_consumption!I385/1000/$C$3)</f>
        <v>#DIV/0!</v>
      </c>
      <c r="O385" s="974" t="e">
        <f>IF($F385="","",$F385*chronic_consumption!J385/1000/$C$3)</f>
        <v>#DIV/0!</v>
      </c>
      <c r="P385" s="974" t="e">
        <f>IF($F385="","",$F385*chronic_consumption!K385/1000/$C$3)</f>
        <v>#DIV/0!</v>
      </c>
      <c r="Q385" s="974" t="e">
        <f>IF($F385="","",$F385*chronic_consumption!L385/1000/$C$3)</f>
        <v>#DIV/0!</v>
      </c>
      <c r="R385" s="974" t="e">
        <f>IF($F385="","",$F385*chronic_consumption!M385/1000/$C$3)</f>
        <v>#DIV/0!</v>
      </c>
      <c r="S385" s="974" t="e">
        <f>IF($F385="","",$F385*chronic_consumption!N385/1000/$C$3)</f>
        <v>#DIV/0!</v>
      </c>
      <c r="T385" s="974" t="e">
        <f>IF($F385="","",$F385*chronic_consumption!O385/1000/$C$3)</f>
        <v>#DIV/0!</v>
      </c>
      <c r="U385" s="974" t="e">
        <f>IF($F385="","",$F385*chronic_consumption!P385/1000/$C$3)</f>
        <v>#DIV/0!</v>
      </c>
      <c r="V385" s="974" t="e">
        <f>IF($F385="","",$F385*chronic_consumption!Q385/1000/$C$3)</f>
        <v>#DIV/0!</v>
      </c>
      <c r="W385" s="974" t="e">
        <f>IF($F385="","",$F385*chronic_consumption!R385/1000/$C$3)</f>
        <v>#DIV/0!</v>
      </c>
      <c r="X385" s="974" t="e">
        <f>IF($F385="","",$F385*chronic_consumption!S385/1000/$C$3)</f>
        <v>#DIV/0!</v>
      </c>
      <c r="Y385" s="974" t="e">
        <f>IF($F385="","",$F385*chronic_consumption!T385/1000/$C$3)</f>
        <v>#DIV/0!</v>
      </c>
      <c r="Z385" s="974" t="e">
        <f>IF($F385="","",$F385*chronic_consumption!U385/1000/$C$3)</f>
        <v>#DIV/0!</v>
      </c>
      <c r="AA385" s="974" t="e">
        <f>IF($F385="","",$F385*chronic_consumption!V385/1000/$C$3)</f>
        <v>#DIV/0!</v>
      </c>
      <c r="AB385" s="974" t="e">
        <f>IF($F385="","",$F385*chronic_consumption!W385/1000/$C$3)</f>
        <v>#DIV/0!</v>
      </c>
      <c r="AC385" s="974" t="e">
        <f>IF($F385="","",$F385*chronic_consumption!X385/1000/$C$3)</f>
        <v>#DIV/0!</v>
      </c>
      <c r="AD385" s="974" t="e">
        <f>IF($F385="","",$F385*chronic_consumption!Y385/1000/$C$3)</f>
        <v>#DIV/0!</v>
      </c>
      <c r="AE385" s="974" t="e">
        <f>IF($F385="","",$F385*chronic_consumption!Z385/1000/$C$3)</f>
        <v>#DIV/0!</v>
      </c>
      <c r="AF385" s="974" t="e">
        <f>IF($F385="","",$F385*chronic_consumption!AA385/1000/$C$3)</f>
        <v>#DIV/0!</v>
      </c>
      <c r="AG385" s="974" t="e">
        <f>IF($F385="","",$F385*chronic_consumption!AB385/1000/$C$3)</f>
        <v>#DIV/0!</v>
      </c>
      <c r="AH385" s="974" t="e">
        <f>IF($F385="","",$F385*chronic_consumption!AC385/1000/$C$3)</f>
        <v>#DIV/0!</v>
      </c>
      <c r="AI385" s="974" t="e">
        <f>IF($F385="","",$F385*chronic_consumption!AD385/1000/$C$3)</f>
        <v>#DIV/0!</v>
      </c>
      <c r="AJ385" s="974" t="e">
        <f>IF($F385="","",$F385*chronic_consumption!AE385/1000/$C$3)</f>
        <v>#DIV/0!</v>
      </c>
      <c r="AK385" s="974" t="e">
        <f>IF($F385="","",$F385*chronic_consumption!AF385/1000/$C$3)</f>
        <v>#DIV/0!</v>
      </c>
      <c r="AL385" s="974" t="e">
        <f>IF($F385="","",$F385*chronic_consumption!AG385/1000/$C$3)</f>
        <v>#DIV/0!</v>
      </c>
      <c r="AM385" s="974" t="e">
        <f>IF($F385="","",$F385*chronic_consumption!AH385/1000/$C$3)</f>
        <v>#DIV/0!</v>
      </c>
      <c r="AN385" s="974" t="e">
        <f>IF($F385="","",$F385*chronic_consumption!AI385/1000/$C$3)</f>
        <v>#DIV/0!</v>
      </c>
      <c r="AO385" s="974" t="e">
        <f>IF($F385="","",$F385*chronic_consumption!AJ385/1000/$C$3)</f>
        <v>#DIV/0!</v>
      </c>
      <c r="AP385" s="974" t="e">
        <f>IF($F385="","",$F385*chronic_consumption!AK385/1000/$C$3)</f>
        <v>#DIV/0!</v>
      </c>
      <c r="AQ385" s="974" t="e">
        <f>IF($F385="","",$F385*chronic_consumption!AL385/1000/$C$3)</f>
        <v>#DIV/0!</v>
      </c>
      <c r="AR385" s="974" t="e">
        <f>IF($F385="","",$F385*chronic_consumption!AM385/1000/$C$3)</f>
        <v>#DIV/0!</v>
      </c>
      <c r="AS385" s="974" t="e">
        <f>IF($F385="","",$F385*chronic_consumption!AN385/1000/$C$3)</f>
        <v>#DIV/0!</v>
      </c>
      <c r="AT385" s="974" t="e">
        <f>IF($F385="","",$F385*chronic_consumption!AO385/1000/$C$3)</f>
        <v>#DIV/0!</v>
      </c>
      <c r="AU385" s="974"/>
      <c r="AV385" s="974" t="e">
        <f>IF($F385="","",$F385*chronic_consumption!AQ385/1000/$C$3)</f>
        <v>#DIV/0!</v>
      </c>
      <c r="AW385" s="974" t="e">
        <f>IF($F385="","",$F385*chronic_consumption!AR385/1000/$C$3)</f>
        <v>#DIV/0!</v>
      </c>
      <c r="AX385" s="974" t="e">
        <f>IF($F385="","",$F385*chronic_consumption!AS385/1000/$C$3)</f>
        <v>#DIV/0!</v>
      </c>
      <c r="AY385" s="974" t="e">
        <f>IF($F385="","",$F385*chronic_consumption!AT385/1000/$C$3)</f>
        <v>#DIV/0!</v>
      </c>
      <c r="AZ385" s="973" t="s">
        <v>19</v>
      </c>
      <c r="BA385" s="969" t="e">
        <f t="shared" si="27"/>
        <v>#DIV/0!</v>
      </c>
      <c r="BB385" s="970" t="e">
        <f t="shared" si="28"/>
        <v>#DIV/0!</v>
      </c>
      <c r="BC385" s="971" t="e">
        <f t="shared" ca="1" si="29"/>
        <v>#DIV/0!</v>
      </c>
      <c r="BD385" s="228">
        <f>input_values!Z385</f>
        <v>4</v>
      </c>
      <c r="BE385" s="152">
        <f>input_values!L385</f>
        <v>0</v>
      </c>
      <c r="BF385" s="972" t="str">
        <f t="shared" si="30"/>
        <v/>
      </c>
    </row>
    <row r="386" spans="1:58" ht="12" customHeight="1" outlineLevel="1" x14ac:dyDescent="0.2">
      <c r="A386" s="314">
        <v>2</v>
      </c>
      <c r="B386" s="131">
        <v>1040000</v>
      </c>
      <c r="C386" s="131" t="s">
        <v>811</v>
      </c>
      <c r="D386" s="965">
        <f>Table22[[#This Row],[MRL individual commodity]]</f>
        <v>0</v>
      </c>
      <c r="E386" s="300" t="str">
        <f>Table22[[#This Row],[LOQ_label]]</f>
        <v/>
      </c>
      <c r="F386" s="966">
        <f>Table22[[#This Row],[Chronic RA input value]]</f>
        <v>0</v>
      </c>
      <c r="G386" s="304" t="str">
        <f>Table22[[#This Row],[Chronic RA label]]</f>
        <v/>
      </c>
      <c r="H386" s="304">
        <f>Table22[[#This Row],[GAP under assessment]]</f>
        <v>0</v>
      </c>
      <c r="I386" s="1123"/>
      <c r="J386" s="974" t="e">
        <f>IF($F386="","",$F386*chronic_consumption!$E386/1000/$C$3)</f>
        <v>#DIV/0!</v>
      </c>
      <c r="K386" s="974" t="e">
        <f>IF($F386="","",$F386*chronic_consumption!F386/1000/$C$3)</f>
        <v>#DIV/0!</v>
      </c>
      <c r="L386" s="974" t="e">
        <f>IF($F386="","",$F386*chronic_consumption!G386/1000/$C$3)</f>
        <v>#DIV/0!</v>
      </c>
      <c r="M386" s="974" t="e">
        <f>IF($F386="","",$F386*chronic_consumption!H386/1000/$C$3)</f>
        <v>#DIV/0!</v>
      </c>
      <c r="N386" s="974" t="e">
        <f>IF($F386="","",$F386*chronic_consumption!I386/1000/$C$3)</f>
        <v>#DIV/0!</v>
      </c>
      <c r="O386" s="974" t="e">
        <f>IF($F386="","",$F386*chronic_consumption!J386/1000/$C$3)</f>
        <v>#DIV/0!</v>
      </c>
      <c r="P386" s="974" t="e">
        <f>IF($F386="","",$F386*chronic_consumption!K386/1000/$C$3)</f>
        <v>#DIV/0!</v>
      </c>
      <c r="Q386" s="974" t="e">
        <f>IF($F386="","",$F386*chronic_consumption!L386/1000/$C$3)</f>
        <v>#DIV/0!</v>
      </c>
      <c r="R386" s="974" t="e">
        <f>IF($F386="","",$F386*chronic_consumption!M386/1000/$C$3)</f>
        <v>#DIV/0!</v>
      </c>
      <c r="S386" s="974" t="e">
        <f>IF($F386="","",$F386*chronic_consumption!N386/1000/$C$3)</f>
        <v>#DIV/0!</v>
      </c>
      <c r="T386" s="974" t="e">
        <f>IF($F386="","",$F386*chronic_consumption!O386/1000/$C$3)</f>
        <v>#DIV/0!</v>
      </c>
      <c r="U386" s="974" t="e">
        <f>IF($F386="","",$F386*chronic_consumption!P386/1000/$C$3)</f>
        <v>#DIV/0!</v>
      </c>
      <c r="V386" s="974" t="e">
        <f>IF($F386="","",$F386*chronic_consumption!Q386/1000/$C$3)</f>
        <v>#DIV/0!</v>
      </c>
      <c r="W386" s="974" t="e">
        <f>IF($F386="","",$F386*chronic_consumption!R386/1000/$C$3)</f>
        <v>#DIV/0!</v>
      </c>
      <c r="X386" s="974" t="e">
        <f>IF($F386="","",$F386*chronic_consumption!S386/1000/$C$3)</f>
        <v>#DIV/0!</v>
      </c>
      <c r="Y386" s="974" t="e">
        <f>IF($F386="","",$F386*chronic_consumption!T386/1000/$C$3)</f>
        <v>#DIV/0!</v>
      </c>
      <c r="Z386" s="974" t="e">
        <f>IF($F386="","",$F386*chronic_consumption!U386/1000/$C$3)</f>
        <v>#DIV/0!</v>
      </c>
      <c r="AA386" s="974" t="e">
        <f>IF($F386="","",$F386*chronic_consumption!V386/1000/$C$3)</f>
        <v>#DIV/0!</v>
      </c>
      <c r="AB386" s="974" t="e">
        <f>IF($F386="","",$F386*chronic_consumption!W386/1000/$C$3)</f>
        <v>#DIV/0!</v>
      </c>
      <c r="AC386" s="974" t="e">
        <f>IF($F386="","",$F386*chronic_consumption!X386/1000/$C$3)</f>
        <v>#DIV/0!</v>
      </c>
      <c r="AD386" s="974" t="e">
        <f>IF($F386="","",$F386*chronic_consumption!Y386/1000/$C$3)</f>
        <v>#DIV/0!</v>
      </c>
      <c r="AE386" s="974" t="e">
        <f>IF($F386="","",$F386*chronic_consumption!Z386/1000/$C$3)</f>
        <v>#DIV/0!</v>
      </c>
      <c r="AF386" s="974" t="e">
        <f>IF($F386="","",$F386*chronic_consumption!AA386/1000/$C$3)</f>
        <v>#DIV/0!</v>
      </c>
      <c r="AG386" s="974" t="e">
        <f>IF($F386="","",$F386*chronic_consumption!AB386/1000/$C$3)</f>
        <v>#DIV/0!</v>
      </c>
      <c r="AH386" s="974" t="e">
        <f>IF($F386="","",$F386*chronic_consumption!AC386/1000/$C$3)</f>
        <v>#DIV/0!</v>
      </c>
      <c r="AI386" s="974" t="e">
        <f>IF($F386="","",$F386*chronic_consumption!AD386/1000/$C$3)</f>
        <v>#DIV/0!</v>
      </c>
      <c r="AJ386" s="974" t="e">
        <f>IF($F386="","",$F386*chronic_consumption!AE386/1000/$C$3)</f>
        <v>#DIV/0!</v>
      </c>
      <c r="AK386" s="974" t="e">
        <f>IF($F386="","",$F386*chronic_consumption!AF386/1000/$C$3)</f>
        <v>#DIV/0!</v>
      </c>
      <c r="AL386" s="974" t="e">
        <f>IF($F386="","",$F386*chronic_consumption!AG386/1000/$C$3)</f>
        <v>#DIV/0!</v>
      </c>
      <c r="AM386" s="974" t="e">
        <f>IF($F386="","",$F386*chronic_consumption!AH386/1000/$C$3)</f>
        <v>#DIV/0!</v>
      </c>
      <c r="AN386" s="974" t="e">
        <f>IF($F386="","",$F386*chronic_consumption!AI386/1000/$C$3)</f>
        <v>#DIV/0!</v>
      </c>
      <c r="AO386" s="974" t="e">
        <f>IF($F386="","",$F386*chronic_consumption!AJ386/1000/$C$3)</f>
        <v>#DIV/0!</v>
      </c>
      <c r="AP386" s="974" t="e">
        <f>IF($F386="","",$F386*chronic_consumption!AK386/1000/$C$3)</f>
        <v>#DIV/0!</v>
      </c>
      <c r="AQ386" s="974" t="e">
        <f>IF($F386="","",$F386*chronic_consumption!AL386/1000/$C$3)</f>
        <v>#DIV/0!</v>
      </c>
      <c r="AR386" s="974" t="e">
        <f>IF($F386="","",$F386*chronic_consumption!AM386/1000/$C$3)</f>
        <v>#DIV/0!</v>
      </c>
      <c r="AS386" s="974" t="e">
        <f>IF($F386="","",$F386*chronic_consumption!AN386/1000/$C$3)</f>
        <v>#DIV/0!</v>
      </c>
      <c r="AT386" s="974" t="e">
        <f>IF($F386="","",$F386*chronic_consumption!AO386/1000/$C$3)</f>
        <v>#DIV/0!</v>
      </c>
      <c r="AU386" s="974"/>
      <c r="AV386" s="974" t="e">
        <f>IF($F386="","",$F386*chronic_consumption!AQ386/1000/$C$3)</f>
        <v>#DIV/0!</v>
      </c>
      <c r="AW386" s="974" t="e">
        <f>IF($F386="","",$F386*chronic_consumption!AR386/1000/$C$3)</f>
        <v>#DIV/0!</v>
      </c>
      <c r="AX386" s="974" t="e">
        <f>IF($F386="","",$F386*chronic_consumption!AS386/1000/$C$3)</f>
        <v>#DIV/0!</v>
      </c>
      <c r="AY386" s="974" t="e">
        <f>IF($F386="","",$F386*chronic_consumption!AT386/1000/$C$3)</f>
        <v>#DIV/0!</v>
      </c>
      <c r="AZ386" s="973" t="s">
        <v>19</v>
      </c>
      <c r="BA386" s="969" t="e">
        <f t="shared" si="27"/>
        <v>#DIV/0!</v>
      </c>
      <c r="BB386" s="970" t="e">
        <f t="shared" si="28"/>
        <v>#DIV/0!</v>
      </c>
      <c r="BC386" s="971" t="e">
        <f t="shared" ca="1" si="29"/>
        <v>#DIV/0!</v>
      </c>
      <c r="BD386" s="228">
        <f>input_values!Z386</f>
        <v>2</v>
      </c>
      <c r="BE386" s="152">
        <f>input_values!L386</f>
        <v>0</v>
      </c>
      <c r="BF386" s="972" t="str">
        <f t="shared" si="30"/>
        <v/>
      </c>
    </row>
    <row r="387" spans="1:58" ht="12" customHeight="1" outlineLevel="1" x14ac:dyDescent="0.2">
      <c r="A387" s="314">
        <v>2</v>
      </c>
      <c r="B387" s="131">
        <v>1050000</v>
      </c>
      <c r="C387" s="131" t="s">
        <v>38</v>
      </c>
      <c r="D387" s="965">
        <f>Table22[[#This Row],[MRL individual commodity]]</f>
        <v>0</v>
      </c>
      <c r="E387" s="300" t="str">
        <f>Table22[[#This Row],[LOQ_label]]</f>
        <v/>
      </c>
      <c r="F387" s="966">
        <f>Table22[[#This Row],[Chronic RA input value]]</f>
        <v>0</v>
      </c>
      <c r="G387" s="304" t="str">
        <f>Table22[[#This Row],[Chronic RA label]]</f>
        <v/>
      </c>
      <c r="H387" s="304">
        <f>Table22[[#This Row],[GAP under assessment]]</f>
        <v>0</v>
      </c>
      <c r="I387" s="1123"/>
      <c r="J387" s="967" t="e">
        <f>IF($F387="","",$F387*chronic_consumption!$E387/1000/$C$3)</f>
        <v>#DIV/0!</v>
      </c>
      <c r="K387" s="967" t="e">
        <f>IF($F387="","",$F387*chronic_consumption!F387/1000/$C$3)</f>
        <v>#DIV/0!</v>
      </c>
      <c r="L387" s="967" t="e">
        <f>IF($F387="","",$F387*chronic_consumption!G387/1000/$C$3)</f>
        <v>#DIV/0!</v>
      </c>
      <c r="M387" s="967" t="e">
        <f>IF($F387="","",$F387*chronic_consumption!H387/1000/$C$3)</f>
        <v>#DIV/0!</v>
      </c>
      <c r="N387" s="967" t="e">
        <f>IF($F387="","",$F387*chronic_consumption!I387/1000/$C$3)</f>
        <v>#DIV/0!</v>
      </c>
      <c r="O387" s="967" t="e">
        <f>IF($F387="","",$F387*chronic_consumption!J387/1000/$C$3)</f>
        <v>#DIV/0!</v>
      </c>
      <c r="P387" s="967" t="e">
        <f>IF($F387="","",$F387*chronic_consumption!K387/1000/$C$3)</f>
        <v>#DIV/0!</v>
      </c>
      <c r="Q387" s="967" t="e">
        <f>IF($F387="","",$F387*chronic_consumption!L387/1000/$C$3)</f>
        <v>#DIV/0!</v>
      </c>
      <c r="R387" s="967" t="e">
        <f>IF($F387="","",$F387*chronic_consumption!M387/1000/$C$3)</f>
        <v>#DIV/0!</v>
      </c>
      <c r="S387" s="967" t="e">
        <f>IF($F387="","",$F387*chronic_consumption!N387/1000/$C$3)</f>
        <v>#DIV/0!</v>
      </c>
      <c r="T387" s="967" t="e">
        <f>IF($F387="","",$F387*chronic_consumption!O387/1000/$C$3)</f>
        <v>#DIV/0!</v>
      </c>
      <c r="U387" s="967" t="e">
        <f>IF($F387="","",$F387*chronic_consumption!P387/1000/$C$3)</f>
        <v>#DIV/0!</v>
      </c>
      <c r="V387" s="967" t="e">
        <f>IF($F387="","",$F387*chronic_consumption!Q387/1000/$C$3)</f>
        <v>#DIV/0!</v>
      </c>
      <c r="W387" s="967" t="e">
        <f>IF($F387="","",$F387*chronic_consumption!R387/1000/$C$3)</f>
        <v>#DIV/0!</v>
      </c>
      <c r="X387" s="967" t="e">
        <f>IF($F387="","",$F387*chronic_consumption!S387/1000/$C$3)</f>
        <v>#DIV/0!</v>
      </c>
      <c r="Y387" s="967" t="e">
        <f>IF($F387="","",$F387*chronic_consumption!T387/1000/$C$3)</f>
        <v>#DIV/0!</v>
      </c>
      <c r="Z387" s="967" t="e">
        <f>IF($F387="","",$F387*chronic_consumption!U387/1000/$C$3)</f>
        <v>#DIV/0!</v>
      </c>
      <c r="AA387" s="967" t="e">
        <f>IF($F387="","",$F387*chronic_consumption!V387/1000/$C$3)</f>
        <v>#DIV/0!</v>
      </c>
      <c r="AB387" s="967" t="e">
        <f>IF($F387="","",$F387*chronic_consumption!W387/1000/$C$3)</f>
        <v>#DIV/0!</v>
      </c>
      <c r="AC387" s="967" t="e">
        <f>IF($F387="","",$F387*chronic_consumption!X387/1000/$C$3)</f>
        <v>#DIV/0!</v>
      </c>
      <c r="AD387" s="967" t="e">
        <f>IF($F387="","",$F387*chronic_consumption!Y387/1000/$C$3)</f>
        <v>#DIV/0!</v>
      </c>
      <c r="AE387" s="967" t="e">
        <f>IF($F387="","",$F387*chronic_consumption!Z387/1000/$C$3)</f>
        <v>#DIV/0!</v>
      </c>
      <c r="AF387" s="967" t="e">
        <f>IF($F387="","",$F387*chronic_consumption!AA387/1000/$C$3)</f>
        <v>#DIV/0!</v>
      </c>
      <c r="AG387" s="967" t="e">
        <f>IF($F387="","",$F387*chronic_consumption!AB387/1000/$C$3)</f>
        <v>#DIV/0!</v>
      </c>
      <c r="AH387" s="967" t="e">
        <f>IF($F387="","",$F387*chronic_consumption!AC387/1000/$C$3)</f>
        <v>#DIV/0!</v>
      </c>
      <c r="AI387" s="967" t="e">
        <f>IF($F387="","",$F387*chronic_consumption!AD387/1000/$C$3)</f>
        <v>#DIV/0!</v>
      </c>
      <c r="AJ387" s="967" t="e">
        <f>IF($F387="","",$F387*chronic_consumption!AE387/1000/$C$3)</f>
        <v>#DIV/0!</v>
      </c>
      <c r="AK387" s="967" t="e">
        <f>IF($F387="","",$F387*chronic_consumption!AF387/1000/$C$3)</f>
        <v>#DIV/0!</v>
      </c>
      <c r="AL387" s="967" t="e">
        <f>IF($F387="","",$F387*chronic_consumption!AG387/1000/$C$3)</f>
        <v>#DIV/0!</v>
      </c>
      <c r="AM387" s="967" t="e">
        <f>IF($F387="","",$F387*chronic_consumption!AH387/1000/$C$3)</f>
        <v>#DIV/0!</v>
      </c>
      <c r="AN387" s="967" t="e">
        <f>IF($F387="","",$F387*chronic_consumption!AI387/1000/$C$3)</f>
        <v>#DIV/0!</v>
      </c>
      <c r="AO387" s="967" t="e">
        <f>IF($F387="","",$F387*chronic_consumption!AJ387/1000/$C$3)</f>
        <v>#DIV/0!</v>
      </c>
      <c r="AP387" s="967" t="e">
        <f>IF($F387="","",$F387*chronic_consumption!AK387/1000/$C$3)</f>
        <v>#DIV/0!</v>
      </c>
      <c r="AQ387" s="967" t="e">
        <f>IF($F387="","",$F387*chronic_consumption!AL387/1000/$C$3)</f>
        <v>#DIV/0!</v>
      </c>
      <c r="AR387" s="967" t="e">
        <f>IF($F387="","",$F387*chronic_consumption!AM387/1000/$C$3)</f>
        <v>#DIV/0!</v>
      </c>
      <c r="AS387" s="967" t="e">
        <f>IF($F387="","",$F387*chronic_consumption!AN387/1000/$C$3)</f>
        <v>#DIV/0!</v>
      </c>
      <c r="AT387" s="967" t="e">
        <f>IF($F387="","",$F387*chronic_consumption!AO387/1000/$C$3)</f>
        <v>#DIV/0!</v>
      </c>
      <c r="AU387" s="967"/>
      <c r="AV387" s="967" t="e">
        <f>IF($F387="","",$F387*chronic_consumption!AQ387/1000/$C$3)</f>
        <v>#DIV/0!</v>
      </c>
      <c r="AW387" s="967" t="e">
        <f>IF($F387="","",$F387*chronic_consumption!AR387/1000/$C$3)</f>
        <v>#DIV/0!</v>
      </c>
      <c r="AX387" s="967" t="e">
        <f>IF($F387="","",$F387*chronic_consumption!AS387/1000/$C$3)</f>
        <v>#DIV/0!</v>
      </c>
      <c r="AY387" s="967" t="e">
        <f>IF($F387="","",$F387*chronic_consumption!AT387/1000/$C$3)</f>
        <v>#DIV/0!</v>
      </c>
      <c r="AZ387" s="973"/>
      <c r="BA387" s="969" t="e">
        <f t="shared" si="27"/>
        <v>#DIV/0!</v>
      </c>
      <c r="BB387" s="970" t="e">
        <f t="shared" si="28"/>
        <v>#DIV/0!</v>
      </c>
      <c r="BC387" s="971" t="e">
        <f t="shared" ca="1" si="29"/>
        <v>#DIV/0!</v>
      </c>
      <c r="BD387" s="228">
        <f>input_values!Z387</f>
        <v>2</v>
      </c>
      <c r="BE387" s="152">
        <f>input_values!L387</f>
        <v>0</v>
      </c>
      <c r="BF387" s="972" t="str">
        <f t="shared" si="30"/>
        <v/>
      </c>
    </row>
    <row r="388" spans="1:58" ht="12" customHeight="1" outlineLevel="1" x14ac:dyDescent="0.2">
      <c r="A388" s="314">
        <v>2</v>
      </c>
      <c r="B388" s="131">
        <v>1060000</v>
      </c>
      <c r="C388" s="131" t="s">
        <v>812</v>
      </c>
      <c r="D388" s="965">
        <f>Table22[[#This Row],[MRL individual commodity]]</f>
        <v>0</v>
      </c>
      <c r="E388" s="300" t="str">
        <f>Table22[[#This Row],[LOQ_label]]</f>
        <v/>
      </c>
      <c r="F388" s="966">
        <f>Table22[[#This Row],[Chronic RA input value]]</f>
        <v>0</v>
      </c>
      <c r="G388" s="304" t="str">
        <f>Table22[[#This Row],[Chronic RA label]]</f>
        <v/>
      </c>
      <c r="H388" s="304">
        <f>Table22[[#This Row],[GAP under assessment]]</f>
        <v>0</v>
      </c>
      <c r="I388" s="1123"/>
      <c r="J388" s="974" t="e">
        <f>IF($F388="","",$F388*chronic_consumption!$E388/1000/$C$3)</f>
        <v>#DIV/0!</v>
      </c>
      <c r="K388" s="974" t="e">
        <f>IF($F388="","",$F388*chronic_consumption!F388/1000/$C$3)</f>
        <v>#DIV/0!</v>
      </c>
      <c r="L388" s="974" t="e">
        <f>IF($F388="","",$F388*chronic_consumption!G388/1000/$C$3)</f>
        <v>#DIV/0!</v>
      </c>
      <c r="M388" s="974" t="e">
        <f>IF($F388="","",$F388*chronic_consumption!H388/1000/$C$3)</f>
        <v>#DIV/0!</v>
      </c>
      <c r="N388" s="974" t="e">
        <f>IF($F388="","",$F388*chronic_consumption!I388/1000/$C$3)</f>
        <v>#DIV/0!</v>
      </c>
      <c r="O388" s="974" t="e">
        <f>IF($F388="","",$F388*chronic_consumption!J388/1000/$C$3)</f>
        <v>#DIV/0!</v>
      </c>
      <c r="P388" s="974" t="e">
        <f>IF($F388="","",$F388*chronic_consumption!K388/1000/$C$3)</f>
        <v>#DIV/0!</v>
      </c>
      <c r="Q388" s="974" t="e">
        <f>IF($F388="","",$F388*chronic_consumption!L388/1000/$C$3)</f>
        <v>#DIV/0!</v>
      </c>
      <c r="R388" s="974" t="e">
        <f>IF($F388="","",$F388*chronic_consumption!M388/1000/$C$3)</f>
        <v>#DIV/0!</v>
      </c>
      <c r="S388" s="974" t="e">
        <f>IF($F388="","",$F388*chronic_consumption!N388/1000/$C$3)</f>
        <v>#DIV/0!</v>
      </c>
      <c r="T388" s="974" t="e">
        <f>IF($F388="","",$F388*chronic_consumption!O388/1000/$C$3)</f>
        <v>#DIV/0!</v>
      </c>
      <c r="U388" s="974" t="e">
        <f>IF($F388="","",$F388*chronic_consumption!P388/1000/$C$3)</f>
        <v>#DIV/0!</v>
      </c>
      <c r="V388" s="974" t="e">
        <f>IF($F388="","",$F388*chronic_consumption!Q388/1000/$C$3)</f>
        <v>#DIV/0!</v>
      </c>
      <c r="W388" s="974" t="e">
        <f>IF($F388="","",$F388*chronic_consumption!R388/1000/$C$3)</f>
        <v>#DIV/0!</v>
      </c>
      <c r="X388" s="974" t="e">
        <f>IF($F388="","",$F388*chronic_consumption!S388/1000/$C$3)</f>
        <v>#DIV/0!</v>
      </c>
      <c r="Y388" s="974" t="e">
        <f>IF($F388="","",$F388*chronic_consumption!T388/1000/$C$3)</f>
        <v>#DIV/0!</v>
      </c>
      <c r="Z388" s="974" t="e">
        <f>IF($F388="","",$F388*chronic_consumption!U388/1000/$C$3)</f>
        <v>#DIV/0!</v>
      </c>
      <c r="AA388" s="974" t="e">
        <f>IF($F388="","",$F388*chronic_consumption!V388/1000/$C$3)</f>
        <v>#DIV/0!</v>
      </c>
      <c r="AB388" s="974" t="e">
        <f>IF($F388="","",$F388*chronic_consumption!W388/1000/$C$3)</f>
        <v>#DIV/0!</v>
      </c>
      <c r="AC388" s="974" t="e">
        <f>IF($F388="","",$F388*chronic_consumption!X388/1000/$C$3)</f>
        <v>#DIV/0!</v>
      </c>
      <c r="AD388" s="974" t="e">
        <f>IF($F388="","",$F388*chronic_consumption!Y388/1000/$C$3)</f>
        <v>#DIV/0!</v>
      </c>
      <c r="AE388" s="974" t="e">
        <f>IF($F388="","",$F388*chronic_consumption!Z388/1000/$C$3)</f>
        <v>#DIV/0!</v>
      </c>
      <c r="AF388" s="974" t="e">
        <f>IF($F388="","",$F388*chronic_consumption!AA388/1000/$C$3)</f>
        <v>#DIV/0!</v>
      </c>
      <c r="AG388" s="974" t="e">
        <f>IF($F388="","",$F388*chronic_consumption!AB388/1000/$C$3)</f>
        <v>#DIV/0!</v>
      </c>
      <c r="AH388" s="974" t="e">
        <f>IF($F388="","",$F388*chronic_consumption!AC388/1000/$C$3)</f>
        <v>#DIV/0!</v>
      </c>
      <c r="AI388" s="974" t="e">
        <f>IF($F388="","",$F388*chronic_consumption!AD388/1000/$C$3)</f>
        <v>#DIV/0!</v>
      </c>
      <c r="AJ388" s="974" t="e">
        <f>IF($F388="","",$F388*chronic_consumption!AE388/1000/$C$3)</f>
        <v>#DIV/0!</v>
      </c>
      <c r="AK388" s="974" t="e">
        <f>IF($F388="","",$F388*chronic_consumption!AF388/1000/$C$3)</f>
        <v>#DIV/0!</v>
      </c>
      <c r="AL388" s="974" t="e">
        <f>IF($F388="","",$F388*chronic_consumption!AG388/1000/$C$3)</f>
        <v>#DIV/0!</v>
      </c>
      <c r="AM388" s="974" t="e">
        <f>IF($F388="","",$F388*chronic_consumption!AH388/1000/$C$3)</f>
        <v>#DIV/0!</v>
      </c>
      <c r="AN388" s="974" t="e">
        <f>IF($F388="","",$F388*chronic_consumption!AI388/1000/$C$3)</f>
        <v>#DIV/0!</v>
      </c>
      <c r="AO388" s="974" t="e">
        <f>IF($F388="","",$F388*chronic_consumption!AJ388/1000/$C$3)</f>
        <v>#DIV/0!</v>
      </c>
      <c r="AP388" s="974" t="e">
        <f>IF($F388="","",$F388*chronic_consumption!AK388/1000/$C$3)</f>
        <v>#DIV/0!</v>
      </c>
      <c r="AQ388" s="974" t="e">
        <f>IF($F388="","",$F388*chronic_consumption!AL388/1000/$C$3)</f>
        <v>#DIV/0!</v>
      </c>
      <c r="AR388" s="974" t="e">
        <f>IF($F388="","",$F388*chronic_consumption!AM388/1000/$C$3)</f>
        <v>#DIV/0!</v>
      </c>
      <c r="AS388" s="974" t="e">
        <f>IF($F388="","",$F388*chronic_consumption!AN388/1000/$C$3)</f>
        <v>#DIV/0!</v>
      </c>
      <c r="AT388" s="974" t="e">
        <f>IF($F388="","",$F388*chronic_consumption!AO388/1000/$C$3)</f>
        <v>#DIV/0!</v>
      </c>
      <c r="AU388" s="974"/>
      <c r="AV388" s="974" t="e">
        <f>IF($F388="","",$F388*chronic_consumption!AQ388/1000/$C$3)</f>
        <v>#DIV/0!</v>
      </c>
      <c r="AW388" s="974" t="e">
        <f>IF($F388="","",$F388*chronic_consumption!AR388/1000/$C$3)</f>
        <v>#DIV/0!</v>
      </c>
      <c r="AX388" s="974" t="e">
        <f>IF($F388="","",$F388*chronic_consumption!AS388/1000/$C$3)</f>
        <v>#DIV/0!</v>
      </c>
      <c r="AY388" s="974" t="e">
        <f>IF($F388="","",$F388*chronic_consumption!AT388/1000/$C$3)</f>
        <v>#DIV/0!</v>
      </c>
      <c r="AZ388" s="973" t="s">
        <v>19</v>
      </c>
      <c r="BA388" s="969" t="e">
        <f t="shared" si="27"/>
        <v>#DIV/0!</v>
      </c>
      <c r="BB388" s="970" t="e">
        <f t="shared" si="28"/>
        <v>#DIV/0!</v>
      </c>
      <c r="BC388" s="971" t="e">
        <f t="shared" ca="1" si="29"/>
        <v>#DIV/0!</v>
      </c>
      <c r="BD388" s="228">
        <f>input_values!Z388</f>
        <v>2</v>
      </c>
      <c r="BE388" s="152">
        <f>input_values!L388</f>
        <v>0</v>
      </c>
      <c r="BF388" s="972" t="str">
        <f t="shared" si="30"/>
        <v/>
      </c>
    </row>
    <row r="389" spans="1:58" ht="12" customHeight="1" outlineLevel="1" x14ac:dyDescent="0.2">
      <c r="A389" s="314">
        <v>2</v>
      </c>
      <c r="B389" s="131">
        <v>1070000</v>
      </c>
      <c r="C389" s="131" t="s">
        <v>813</v>
      </c>
      <c r="D389" s="965">
        <f>Table22[[#This Row],[MRL individual commodity]]</f>
        <v>0</v>
      </c>
      <c r="E389" s="300" t="str">
        <f>Table22[[#This Row],[LOQ_label]]</f>
        <v/>
      </c>
      <c r="F389" s="966">
        <f>Table22[[#This Row],[Chronic RA input value]]</f>
        <v>0</v>
      </c>
      <c r="G389" s="304" t="str">
        <f>Table22[[#This Row],[Chronic RA label]]</f>
        <v/>
      </c>
      <c r="H389" s="304">
        <f>Table22[[#This Row],[GAP under assessment]]</f>
        <v>0</v>
      </c>
      <c r="I389" s="1123"/>
      <c r="J389" s="974" t="e">
        <f>IF($F389="","",$F389*chronic_consumption!$E389/1000/$C$3)</f>
        <v>#DIV/0!</v>
      </c>
      <c r="K389" s="974" t="e">
        <f>IF($F389="","",$F389*chronic_consumption!F389/1000/$C$3)</f>
        <v>#DIV/0!</v>
      </c>
      <c r="L389" s="974" t="e">
        <f>IF($F389="","",$F389*chronic_consumption!G389/1000/$C$3)</f>
        <v>#DIV/0!</v>
      </c>
      <c r="M389" s="974" t="e">
        <f>IF($F389="","",$F389*chronic_consumption!H389/1000/$C$3)</f>
        <v>#DIV/0!</v>
      </c>
      <c r="N389" s="974" t="e">
        <f>IF($F389="","",$F389*chronic_consumption!I389/1000/$C$3)</f>
        <v>#DIV/0!</v>
      </c>
      <c r="O389" s="974" t="e">
        <f>IF($F389="","",$F389*chronic_consumption!J389/1000/$C$3)</f>
        <v>#DIV/0!</v>
      </c>
      <c r="P389" s="974" t="e">
        <f>IF($F389="","",$F389*chronic_consumption!K389/1000/$C$3)</f>
        <v>#DIV/0!</v>
      </c>
      <c r="Q389" s="974" t="e">
        <f>IF($F389="","",$F389*chronic_consumption!L389/1000/$C$3)</f>
        <v>#DIV/0!</v>
      </c>
      <c r="R389" s="974" t="e">
        <f>IF($F389="","",$F389*chronic_consumption!M389/1000/$C$3)</f>
        <v>#DIV/0!</v>
      </c>
      <c r="S389" s="974" t="e">
        <f>IF($F389="","",$F389*chronic_consumption!N389/1000/$C$3)</f>
        <v>#DIV/0!</v>
      </c>
      <c r="T389" s="974" t="e">
        <f>IF($F389="","",$F389*chronic_consumption!O389/1000/$C$3)</f>
        <v>#DIV/0!</v>
      </c>
      <c r="U389" s="974" t="e">
        <f>IF($F389="","",$F389*chronic_consumption!P389/1000/$C$3)</f>
        <v>#DIV/0!</v>
      </c>
      <c r="V389" s="974" t="e">
        <f>IF($F389="","",$F389*chronic_consumption!Q389/1000/$C$3)</f>
        <v>#DIV/0!</v>
      </c>
      <c r="W389" s="974" t="e">
        <f>IF($F389="","",$F389*chronic_consumption!R389/1000/$C$3)</f>
        <v>#DIV/0!</v>
      </c>
      <c r="X389" s="974" t="e">
        <f>IF($F389="","",$F389*chronic_consumption!S389/1000/$C$3)</f>
        <v>#DIV/0!</v>
      </c>
      <c r="Y389" s="974" t="e">
        <f>IF($F389="","",$F389*chronic_consumption!T389/1000/$C$3)</f>
        <v>#DIV/0!</v>
      </c>
      <c r="Z389" s="974" t="e">
        <f>IF($F389="","",$F389*chronic_consumption!U389/1000/$C$3)</f>
        <v>#DIV/0!</v>
      </c>
      <c r="AA389" s="974" t="e">
        <f>IF($F389="","",$F389*chronic_consumption!V389/1000/$C$3)</f>
        <v>#DIV/0!</v>
      </c>
      <c r="AB389" s="974" t="e">
        <f>IF($F389="","",$F389*chronic_consumption!W389/1000/$C$3)</f>
        <v>#DIV/0!</v>
      </c>
      <c r="AC389" s="974" t="e">
        <f>IF($F389="","",$F389*chronic_consumption!X389/1000/$C$3)</f>
        <v>#DIV/0!</v>
      </c>
      <c r="AD389" s="974" t="e">
        <f>IF($F389="","",$F389*chronic_consumption!Y389/1000/$C$3)</f>
        <v>#DIV/0!</v>
      </c>
      <c r="AE389" s="974" t="e">
        <f>IF($F389="","",$F389*chronic_consumption!Z389/1000/$C$3)</f>
        <v>#DIV/0!</v>
      </c>
      <c r="AF389" s="974" t="e">
        <f>IF($F389="","",$F389*chronic_consumption!AA389/1000/$C$3)</f>
        <v>#DIV/0!</v>
      </c>
      <c r="AG389" s="974" t="e">
        <f>IF($F389="","",$F389*chronic_consumption!AB389/1000/$C$3)</f>
        <v>#DIV/0!</v>
      </c>
      <c r="AH389" s="974" t="e">
        <f>IF($F389="","",$F389*chronic_consumption!AC389/1000/$C$3)</f>
        <v>#DIV/0!</v>
      </c>
      <c r="AI389" s="974" t="e">
        <f>IF($F389="","",$F389*chronic_consumption!AD389/1000/$C$3)</f>
        <v>#DIV/0!</v>
      </c>
      <c r="AJ389" s="974" t="e">
        <f>IF($F389="","",$F389*chronic_consumption!AE389/1000/$C$3)</f>
        <v>#DIV/0!</v>
      </c>
      <c r="AK389" s="974" t="e">
        <f>IF($F389="","",$F389*chronic_consumption!AF389/1000/$C$3)</f>
        <v>#DIV/0!</v>
      </c>
      <c r="AL389" s="974" t="e">
        <f>IF($F389="","",$F389*chronic_consumption!AG389/1000/$C$3)</f>
        <v>#DIV/0!</v>
      </c>
      <c r="AM389" s="974" t="e">
        <f>IF($F389="","",$F389*chronic_consumption!AH389/1000/$C$3)</f>
        <v>#DIV/0!</v>
      </c>
      <c r="AN389" s="974" t="e">
        <f>IF($F389="","",$F389*chronic_consumption!AI389/1000/$C$3)</f>
        <v>#DIV/0!</v>
      </c>
      <c r="AO389" s="974" t="e">
        <f>IF($F389="","",$F389*chronic_consumption!AJ389/1000/$C$3)</f>
        <v>#DIV/0!</v>
      </c>
      <c r="AP389" s="974" t="e">
        <f>IF($F389="","",$F389*chronic_consumption!AK389/1000/$C$3)</f>
        <v>#DIV/0!</v>
      </c>
      <c r="AQ389" s="974" t="e">
        <f>IF($F389="","",$F389*chronic_consumption!AL389/1000/$C$3)</f>
        <v>#DIV/0!</v>
      </c>
      <c r="AR389" s="974" t="e">
        <f>IF($F389="","",$F389*chronic_consumption!AM389/1000/$C$3)</f>
        <v>#DIV/0!</v>
      </c>
      <c r="AS389" s="974" t="e">
        <f>IF($F389="","",$F389*chronic_consumption!AN389/1000/$C$3)</f>
        <v>#DIV/0!</v>
      </c>
      <c r="AT389" s="974" t="e">
        <f>IF($F389="","",$F389*chronic_consumption!AO389/1000/$C$3)</f>
        <v>#DIV/0!</v>
      </c>
      <c r="AU389" s="974"/>
      <c r="AV389" s="974" t="e">
        <f>IF($F389="","",$F389*chronic_consumption!AQ389/1000/$C$3)</f>
        <v>#DIV/0!</v>
      </c>
      <c r="AW389" s="974" t="e">
        <f>IF($F389="","",$F389*chronic_consumption!AR389/1000/$C$3)</f>
        <v>#DIV/0!</v>
      </c>
      <c r="AX389" s="974" t="e">
        <f>IF($F389="","",$F389*chronic_consumption!AS389/1000/$C$3)</f>
        <v>#DIV/0!</v>
      </c>
      <c r="AY389" s="974" t="e">
        <f>IF($F389="","",$F389*chronic_consumption!AT389/1000/$C$3)</f>
        <v>#DIV/0!</v>
      </c>
      <c r="AZ389" s="973" t="s">
        <v>19</v>
      </c>
      <c r="BA389" s="969" t="e">
        <f t="shared" si="27"/>
        <v>#DIV/0!</v>
      </c>
      <c r="BB389" s="970" t="e">
        <f t="shared" si="28"/>
        <v>#DIV/0!</v>
      </c>
      <c r="BC389" s="971" t="e">
        <f t="shared" ca="1" si="29"/>
        <v>#DIV/0!</v>
      </c>
      <c r="BD389" s="228">
        <f>input_values!Z389</f>
        <v>2</v>
      </c>
      <c r="BE389" s="152">
        <f>input_values!L389</f>
        <v>0</v>
      </c>
      <c r="BF389" s="972" t="str">
        <f t="shared" si="30"/>
        <v/>
      </c>
    </row>
    <row r="390" spans="1:58" ht="12" customHeight="1" x14ac:dyDescent="0.2">
      <c r="A390" s="299">
        <v>1</v>
      </c>
      <c r="B390" s="127">
        <v>1100000</v>
      </c>
      <c r="C390" s="127" t="s">
        <v>814</v>
      </c>
      <c r="D390" s="965">
        <f>Table22[[#This Row],[MRL individual commodity]]</f>
        <v>0</v>
      </c>
      <c r="E390" s="300">
        <f>Table22[[#This Row],[LOQ_label]]</f>
        <v>0</v>
      </c>
      <c r="F390" s="966">
        <f>Table22[[#This Row],[Chronic RA input value]]</f>
        <v>0</v>
      </c>
      <c r="G390" s="304">
        <f>Table22[[#This Row],[Chronic RA label]]</f>
        <v>0</v>
      </c>
      <c r="H390" s="304">
        <f>Table22[[#This Row],[GAP under assessment]]</f>
        <v>0</v>
      </c>
      <c r="I390" s="1123"/>
      <c r="J390" s="967" t="e">
        <f>IF($F390="","",$F390*chronic_consumption!$E390/1000/$C$3)</f>
        <v>#DIV/0!</v>
      </c>
      <c r="K390" s="967" t="e">
        <f>IF($F390="","",$F390*chronic_consumption!F390/1000/$C$3)</f>
        <v>#DIV/0!</v>
      </c>
      <c r="L390" s="967" t="e">
        <f>IF($F390="","",$F390*chronic_consumption!G390/1000/$C$3)</f>
        <v>#DIV/0!</v>
      </c>
      <c r="M390" s="967" t="e">
        <f>IF($F390="","",$F390*chronic_consumption!H390/1000/$C$3)</f>
        <v>#DIV/0!</v>
      </c>
      <c r="N390" s="967" t="e">
        <f>IF($F390="","",$F390*chronic_consumption!I390/1000/$C$3)</f>
        <v>#DIV/0!</v>
      </c>
      <c r="O390" s="967" t="e">
        <f>IF($F390="","",$F390*chronic_consumption!J390/1000/$C$3)</f>
        <v>#DIV/0!</v>
      </c>
      <c r="P390" s="967" t="e">
        <f>IF($F390="","",$F390*chronic_consumption!K390/1000/$C$3)</f>
        <v>#DIV/0!</v>
      </c>
      <c r="Q390" s="967" t="e">
        <f>IF($F390="","",$F390*chronic_consumption!L390/1000/$C$3)</f>
        <v>#DIV/0!</v>
      </c>
      <c r="R390" s="967" t="e">
        <f>IF($F390="","",$F390*chronic_consumption!M390/1000/$C$3)</f>
        <v>#DIV/0!</v>
      </c>
      <c r="S390" s="967" t="e">
        <f>IF($F390="","",$F390*chronic_consumption!N390/1000/$C$3)</f>
        <v>#DIV/0!</v>
      </c>
      <c r="T390" s="967" t="e">
        <f>IF($F390="","",$F390*chronic_consumption!O390/1000/$C$3)</f>
        <v>#DIV/0!</v>
      </c>
      <c r="U390" s="967" t="e">
        <f>IF($F390="","",$F390*chronic_consumption!P390/1000/$C$3)</f>
        <v>#DIV/0!</v>
      </c>
      <c r="V390" s="967" t="e">
        <f>IF($F390="","",$F390*chronic_consumption!Q390/1000/$C$3)</f>
        <v>#DIV/0!</v>
      </c>
      <c r="W390" s="967" t="e">
        <f>IF($F390="","",$F390*chronic_consumption!R390/1000/$C$3)</f>
        <v>#DIV/0!</v>
      </c>
      <c r="X390" s="967" t="e">
        <f>IF($F390="","",$F390*chronic_consumption!S390/1000/$C$3)</f>
        <v>#DIV/0!</v>
      </c>
      <c r="Y390" s="967" t="e">
        <f>IF($F390="","",$F390*chronic_consumption!T390/1000/$C$3)</f>
        <v>#DIV/0!</v>
      </c>
      <c r="Z390" s="967" t="e">
        <f>IF($F390="","",$F390*chronic_consumption!U390/1000/$C$3)</f>
        <v>#DIV/0!</v>
      </c>
      <c r="AA390" s="967" t="e">
        <f>IF($F390="","",$F390*chronic_consumption!V390/1000/$C$3)</f>
        <v>#DIV/0!</v>
      </c>
      <c r="AB390" s="967" t="e">
        <f>IF($F390="","",$F390*chronic_consumption!W390/1000/$C$3)</f>
        <v>#DIV/0!</v>
      </c>
      <c r="AC390" s="967" t="e">
        <f>IF($F390="","",$F390*chronic_consumption!X390/1000/$C$3)</f>
        <v>#DIV/0!</v>
      </c>
      <c r="AD390" s="967" t="e">
        <f>IF($F390="","",$F390*chronic_consumption!Y390/1000/$C$3)</f>
        <v>#DIV/0!</v>
      </c>
      <c r="AE390" s="967" t="e">
        <f>IF($F390="","",$F390*chronic_consumption!Z390/1000/$C$3)</f>
        <v>#DIV/0!</v>
      </c>
      <c r="AF390" s="967" t="e">
        <f>IF($F390="","",$F390*chronic_consumption!AA390/1000/$C$3)</f>
        <v>#DIV/0!</v>
      </c>
      <c r="AG390" s="967" t="e">
        <f>IF($F390="","",$F390*chronic_consumption!AB390/1000/$C$3)</f>
        <v>#DIV/0!</v>
      </c>
      <c r="AH390" s="967" t="e">
        <f>IF($F390="","",$F390*chronic_consumption!AC390/1000/$C$3)</f>
        <v>#DIV/0!</v>
      </c>
      <c r="AI390" s="967" t="e">
        <f>IF($F390="","",$F390*chronic_consumption!AD390/1000/$C$3)</f>
        <v>#DIV/0!</v>
      </c>
      <c r="AJ390" s="967" t="e">
        <f>IF($F390="","",$F390*chronic_consumption!AE390/1000/$C$3)</f>
        <v>#DIV/0!</v>
      </c>
      <c r="AK390" s="967" t="e">
        <f>IF($F390="","",$F390*chronic_consumption!AF390/1000/$C$3)</f>
        <v>#DIV/0!</v>
      </c>
      <c r="AL390" s="967" t="e">
        <f>IF($F390="","",$F390*chronic_consumption!AG390/1000/$C$3)</f>
        <v>#DIV/0!</v>
      </c>
      <c r="AM390" s="967" t="e">
        <f>IF($F390="","",$F390*chronic_consumption!AH390/1000/$C$3)</f>
        <v>#DIV/0!</v>
      </c>
      <c r="AN390" s="967" t="e">
        <f>IF($F390="","",$F390*chronic_consumption!AI390/1000/$C$3)</f>
        <v>#DIV/0!</v>
      </c>
      <c r="AO390" s="967" t="e">
        <f>IF($F390="","",$F390*chronic_consumption!AJ390/1000/$C$3)</f>
        <v>#DIV/0!</v>
      </c>
      <c r="AP390" s="967" t="e">
        <f>IF($F390="","",$F390*chronic_consumption!AK390/1000/$C$3)</f>
        <v>#DIV/0!</v>
      </c>
      <c r="AQ390" s="967" t="e">
        <f>IF($F390="","",$F390*chronic_consumption!AL390/1000/$C$3)</f>
        <v>#DIV/0!</v>
      </c>
      <c r="AR390" s="967" t="e">
        <f>IF($F390="","",$F390*chronic_consumption!AM390/1000/$C$3)</f>
        <v>#DIV/0!</v>
      </c>
      <c r="AS390" s="967" t="e">
        <f>IF($F390="","",$F390*chronic_consumption!AN390/1000/$C$3)</f>
        <v>#DIV/0!</v>
      </c>
      <c r="AT390" s="967" t="e">
        <f>IF($F390="","",$F390*chronic_consumption!AO390/1000/$C$3)</f>
        <v>#DIV/0!</v>
      </c>
      <c r="AU390" s="967"/>
      <c r="AV390" s="967" t="e">
        <f>IF($F390="","",$F390*chronic_consumption!AQ390/1000/$C$3)</f>
        <v>#DIV/0!</v>
      </c>
      <c r="AW390" s="967" t="e">
        <f>IF($F390="","",$F390*chronic_consumption!AR390/1000/$C$3)</f>
        <v>#DIV/0!</v>
      </c>
      <c r="AX390" s="967" t="e">
        <f>IF($F390="","",$F390*chronic_consumption!AS390/1000/$C$3)</f>
        <v>#DIV/0!</v>
      </c>
      <c r="AY390" s="967" t="e">
        <f>IF($F390="","",$F390*chronic_consumption!AT390/1000/$C$3)</f>
        <v>#DIV/0!</v>
      </c>
      <c r="AZ390" s="973"/>
      <c r="BA390" s="969" t="e">
        <f t="shared" si="27"/>
        <v>#DIV/0!</v>
      </c>
      <c r="BB390" s="970" t="e">
        <f t="shared" si="28"/>
        <v>#DIV/0!</v>
      </c>
      <c r="BC390" s="971" t="e">
        <f t="shared" ca="1" si="29"/>
        <v>#DIV/0!</v>
      </c>
      <c r="BD390" s="228">
        <f>input_values!Z390</f>
        <v>0</v>
      </c>
      <c r="BE390" s="152">
        <f>input_values!L390</f>
        <v>0</v>
      </c>
      <c r="BF390" s="972" t="str">
        <f t="shared" si="30"/>
        <v/>
      </c>
    </row>
    <row r="391" spans="1:58" s="29" customFormat="1" ht="14.25" customHeight="1" x14ac:dyDescent="0.2">
      <c r="A391" s="653" t="s">
        <v>456</v>
      </c>
      <c r="B391" s="28"/>
      <c r="C391" s="135"/>
      <c r="D391" s="28"/>
      <c r="E391" s="27"/>
      <c r="F391" s="603"/>
      <c r="G391" s="456"/>
      <c r="H391" s="976"/>
      <c r="I391" s="88"/>
      <c r="J391" s="977" t="str">
        <f>IF($F391="","",$F391*chronic_consumption!E391/1000/$C$3)</f>
        <v/>
      </c>
      <c r="K391" s="87"/>
      <c r="L391" s="87"/>
      <c r="M391" s="87"/>
      <c r="N391" s="87"/>
      <c r="O391" s="87"/>
      <c r="P391" s="87"/>
      <c r="Q391" s="87"/>
      <c r="R391" s="87"/>
      <c r="S391" s="87"/>
      <c r="T391" s="87"/>
      <c r="U391" s="978"/>
      <c r="V391" s="978"/>
      <c r="W391" s="978"/>
      <c r="X391" s="978"/>
      <c r="Y391" s="978"/>
      <c r="Z391" s="978"/>
      <c r="AA391" s="978"/>
      <c r="AB391" s="978"/>
      <c r="AC391" s="978"/>
      <c r="AD391" s="978"/>
      <c r="AE391" s="978"/>
      <c r="AF391" s="978"/>
      <c r="AG391" s="978"/>
      <c r="AH391" s="978"/>
      <c r="AI391" s="978"/>
      <c r="AJ391" s="978"/>
      <c r="AK391" s="978"/>
      <c r="AL391" s="978"/>
      <c r="AM391" s="978"/>
      <c r="AN391" s="978"/>
      <c r="AO391" s="978"/>
      <c r="AP391" s="978"/>
      <c r="AQ391" s="978"/>
      <c r="AR391" s="978"/>
      <c r="AS391" s="978"/>
      <c r="AT391" s="978"/>
      <c r="AU391" s="978"/>
      <c r="AV391" s="978"/>
      <c r="AW391" s="978"/>
      <c r="AX391" s="978"/>
      <c r="AY391" s="978"/>
      <c r="AZ391" s="979"/>
      <c r="BA391" s="969">
        <f t="shared" si="27"/>
        <v>0</v>
      </c>
      <c r="BB391" s="970">
        <f t="shared" si="28"/>
        <v>0</v>
      </c>
      <c r="BC391" s="971" t="str">
        <f t="shared" ca="1" si="29"/>
        <v/>
      </c>
      <c r="BD391" s="228"/>
      <c r="BE391" s="152">
        <f>input_values!L391</f>
        <v>0</v>
      </c>
      <c r="BF391" s="980"/>
    </row>
    <row r="392" spans="1:58" outlineLevel="1" x14ac:dyDescent="0.2">
      <c r="A392" s="21" t="s">
        <v>456</v>
      </c>
      <c r="B392" s="23"/>
      <c r="C392" s="981"/>
      <c r="D392" s="981"/>
      <c r="E392" s="982"/>
      <c r="F392" s="983"/>
      <c r="G392" s="984"/>
      <c r="H392" s="985"/>
      <c r="I392" s="986"/>
      <c r="J392" s="987"/>
      <c r="K392" s="333"/>
      <c r="L392" s="333"/>
      <c r="M392" s="333"/>
      <c r="N392" s="333"/>
      <c r="O392" s="333"/>
      <c r="P392" s="333"/>
      <c r="Q392" s="333"/>
      <c r="R392" s="333"/>
      <c r="S392" s="333"/>
      <c r="T392" s="333"/>
      <c r="U392" s="333"/>
      <c r="V392" s="333"/>
      <c r="W392" s="333"/>
      <c r="X392" s="333"/>
      <c r="Y392" s="333"/>
      <c r="Z392" s="333"/>
      <c r="AA392" s="333"/>
      <c r="AB392" s="333"/>
      <c r="AC392" s="333"/>
      <c r="AD392" s="333"/>
      <c r="AE392" s="333"/>
      <c r="AF392" s="333"/>
      <c r="AG392" s="333"/>
      <c r="AH392" s="333"/>
      <c r="AI392" s="333"/>
      <c r="AJ392" s="333"/>
      <c r="AK392" s="333"/>
      <c r="AL392" s="333"/>
      <c r="AM392" s="333"/>
      <c r="AN392" s="333"/>
      <c r="AO392" s="333"/>
      <c r="AP392" s="333"/>
      <c r="AQ392" s="333"/>
      <c r="AR392" s="333"/>
      <c r="AS392" s="333"/>
      <c r="AT392" s="333"/>
      <c r="AU392" s="333"/>
      <c r="AV392" s="333"/>
      <c r="AW392" s="333"/>
      <c r="AX392" s="333"/>
      <c r="AY392" s="333"/>
      <c r="AZ392" s="979"/>
      <c r="BA392" s="980"/>
      <c r="BB392" s="980"/>
      <c r="BC392" s="980"/>
      <c r="BD392" s="228"/>
      <c r="BE392" s="152">
        <f>input_values!L392</f>
        <v>0</v>
      </c>
      <c r="BF392" s="980"/>
    </row>
    <row r="393" spans="1:58" s="1001" customFormat="1" ht="24.75" customHeight="1" outlineLevel="1" x14ac:dyDescent="0.2">
      <c r="A393" s="988">
        <v>1</v>
      </c>
      <c r="B393" s="989"/>
      <c r="C393" s="990" t="s">
        <v>1137</v>
      </c>
      <c r="D393" s="991"/>
      <c r="E393" s="992"/>
      <c r="F393" s="993"/>
      <c r="G393" s="994"/>
      <c r="H393" s="992"/>
      <c r="I393" s="992"/>
      <c r="J393" s="995" t="e">
        <f>SUM(J12:J390)</f>
        <v>#DIV/0!</v>
      </c>
      <c r="K393" s="996" t="e">
        <f t="shared" ref="K393:AY393" si="31">SUM(K12:K390)</f>
        <v>#DIV/0!</v>
      </c>
      <c r="L393" s="996" t="e">
        <f t="shared" si="31"/>
        <v>#DIV/0!</v>
      </c>
      <c r="M393" s="996" t="e">
        <f t="shared" si="31"/>
        <v>#DIV/0!</v>
      </c>
      <c r="N393" s="996" t="e">
        <f t="shared" si="31"/>
        <v>#DIV/0!</v>
      </c>
      <c r="O393" s="996" t="e">
        <f t="shared" si="31"/>
        <v>#DIV/0!</v>
      </c>
      <c r="P393" s="996" t="e">
        <f t="shared" si="31"/>
        <v>#DIV/0!</v>
      </c>
      <c r="Q393" s="996" t="e">
        <f t="shared" si="31"/>
        <v>#DIV/0!</v>
      </c>
      <c r="R393" s="996" t="e">
        <f t="shared" si="31"/>
        <v>#DIV/0!</v>
      </c>
      <c r="S393" s="996" t="e">
        <f t="shared" si="31"/>
        <v>#DIV/0!</v>
      </c>
      <c r="T393" s="996" t="e">
        <f t="shared" si="31"/>
        <v>#DIV/0!</v>
      </c>
      <c r="U393" s="996" t="e">
        <f t="shared" si="31"/>
        <v>#DIV/0!</v>
      </c>
      <c r="V393" s="996" t="e">
        <f t="shared" si="31"/>
        <v>#DIV/0!</v>
      </c>
      <c r="W393" s="996" t="e">
        <f t="shared" si="31"/>
        <v>#DIV/0!</v>
      </c>
      <c r="X393" s="996" t="e">
        <f t="shared" si="31"/>
        <v>#DIV/0!</v>
      </c>
      <c r="Y393" s="996" t="e">
        <f t="shared" si="31"/>
        <v>#DIV/0!</v>
      </c>
      <c r="Z393" s="996" t="e">
        <f t="shared" si="31"/>
        <v>#DIV/0!</v>
      </c>
      <c r="AA393" s="996" t="e">
        <f t="shared" si="31"/>
        <v>#DIV/0!</v>
      </c>
      <c r="AB393" s="996" t="e">
        <f t="shared" si="31"/>
        <v>#DIV/0!</v>
      </c>
      <c r="AC393" s="996" t="e">
        <f t="shared" si="31"/>
        <v>#DIV/0!</v>
      </c>
      <c r="AD393" s="996" t="e">
        <f t="shared" si="31"/>
        <v>#DIV/0!</v>
      </c>
      <c r="AE393" s="996" t="e">
        <f t="shared" si="31"/>
        <v>#DIV/0!</v>
      </c>
      <c r="AF393" s="996" t="e">
        <f t="shared" si="31"/>
        <v>#DIV/0!</v>
      </c>
      <c r="AG393" s="996" t="e">
        <f t="shared" si="31"/>
        <v>#DIV/0!</v>
      </c>
      <c r="AH393" s="996" t="e">
        <f t="shared" si="31"/>
        <v>#DIV/0!</v>
      </c>
      <c r="AI393" s="996" t="e">
        <f t="shared" si="31"/>
        <v>#DIV/0!</v>
      </c>
      <c r="AJ393" s="996" t="e">
        <f>SUM(AJ12:AJ390)</f>
        <v>#DIV/0!</v>
      </c>
      <c r="AK393" s="996" t="e">
        <f t="shared" si="31"/>
        <v>#DIV/0!</v>
      </c>
      <c r="AL393" s="996" t="e">
        <f t="shared" si="31"/>
        <v>#DIV/0!</v>
      </c>
      <c r="AM393" s="996" t="e">
        <f t="shared" si="31"/>
        <v>#DIV/0!</v>
      </c>
      <c r="AN393" s="996" t="e">
        <f t="shared" si="31"/>
        <v>#DIV/0!</v>
      </c>
      <c r="AO393" s="996" t="e">
        <f t="shared" si="31"/>
        <v>#DIV/0!</v>
      </c>
      <c r="AP393" s="996" t="e">
        <f t="shared" si="31"/>
        <v>#DIV/0!</v>
      </c>
      <c r="AQ393" s="996" t="e">
        <f t="shared" si="31"/>
        <v>#DIV/0!</v>
      </c>
      <c r="AR393" s="996" t="e">
        <f t="shared" si="31"/>
        <v>#DIV/0!</v>
      </c>
      <c r="AS393" s="996" t="e">
        <f t="shared" si="31"/>
        <v>#DIV/0!</v>
      </c>
      <c r="AT393" s="996" t="e">
        <f t="shared" si="31"/>
        <v>#DIV/0!</v>
      </c>
      <c r="AU393" s="996">
        <f t="shared" si="31"/>
        <v>0</v>
      </c>
      <c r="AV393" s="996" t="e">
        <f t="shared" si="31"/>
        <v>#DIV/0!</v>
      </c>
      <c r="AW393" s="996" t="e">
        <f t="shared" si="31"/>
        <v>#DIV/0!</v>
      </c>
      <c r="AX393" s="996" t="e">
        <f t="shared" si="31"/>
        <v>#DIV/0!</v>
      </c>
      <c r="AY393" s="996" t="e">
        <f t="shared" si="31"/>
        <v>#DIV/0!</v>
      </c>
      <c r="AZ393" s="997" t="s">
        <v>19</v>
      </c>
      <c r="BA393" s="998" t="e">
        <f>MIN(J393:AY393)</f>
        <v>#DIV/0!</v>
      </c>
      <c r="BB393" s="998" t="e">
        <f>MAX(J393:AY393)</f>
        <v>#DIV/0!</v>
      </c>
      <c r="BC393" s="971" t="e">
        <f>IF(BB393=0,"",INDEX($J$11:$AR$11,MATCH(BB393,J393:AY393,0)))</f>
        <v>#DIV/0!</v>
      </c>
      <c r="BD393" s="999"/>
      <c r="BE393" s="937">
        <f>input_values!L393</f>
        <v>0</v>
      </c>
      <c r="BF393" s="1000"/>
    </row>
    <row r="394" spans="1:58" s="999" customFormat="1" ht="42.6" customHeight="1" outlineLevel="1" x14ac:dyDescent="0.2">
      <c r="A394" s="1002">
        <v>1</v>
      </c>
      <c r="B394" s="1003"/>
      <c r="C394" s="1004" t="s">
        <v>1138</v>
      </c>
      <c r="D394" s="1005"/>
      <c r="E394" s="1005"/>
      <c r="F394" s="1005"/>
      <c r="G394" s="1006"/>
      <c r="H394" s="1007"/>
      <c r="I394" s="1007"/>
      <c r="J394" s="1008">
        <f>SUMIF($G12:$G390,"LOQ",J12:J390)</f>
        <v>0</v>
      </c>
      <c r="K394" s="1008">
        <f t="shared" ref="K394:AY394" si="32">SUMIF($G12:$G390,"LOQ",K12:K390)</f>
        <v>0</v>
      </c>
      <c r="L394" s="1008">
        <f t="shared" si="32"/>
        <v>0</v>
      </c>
      <c r="M394" s="1008">
        <f t="shared" si="32"/>
        <v>0</v>
      </c>
      <c r="N394" s="1008">
        <f t="shared" si="32"/>
        <v>0</v>
      </c>
      <c r="O394" s="1008">
        <f t="shared" si="32"/>
        <v>0</v>
      </c>
      <c r="P394" s="1008">
        <f t="shared" si="32"/>
        <v>0</v>
      </c>
      <c r="Q394" s="1008">
        <f t="shared" si="32"/>
        <v>0</v>
      </c>
      <c r="R394" s="1008">
        <f t="shared" si="32"/>
        <v>0</v>
      </c>
      <c r="S394" s="1008">
        <f t="shared" si="32"/>
        <v>0</v>
      </c>
      <c r="T394" s="1008">
        <f t="shared" si="32"/>
        <v>0</v>
      </c>
      <c r="U394" s="1008">
        <f t="shared" si="32"/>
        <v>0</v>
      </c>
      <c r="V394" s="1008">
        <f t="shared" si="32"/>
        <v>0</v>
      </c>
      <c r="W394" s="1008">
        <f t="shared" si="32"/>
        <v>0</v>
      </c>
      <c r="X394" s="1008">
        <f t="shared" si="32"/>
        <v>0</v>
      </c>
      <c r="Y394" s="1008">
        <f t="shared" si="32"/>
        <v>0</v>
      </c>
      <c r="Z394" s="1008">
        <f t="shared" si="32"/>
        <v>0</v>
      </c>
      <c r="AA394" s="1008">
        <f t="shared" si="32"/>
        <v>0</v>
      </c>
      <c r="AB394" s="1008">
        <f t="shared" si="32"/>
        <v>0</v>
      </c>
      <c r="AC394" s="1008">
        <f t="shared" si="32"/>
        <v>0</v>
      </c>
      <c r="AD394" s="1008">
        <f t="shared" si="32"/>
        <v>0</v>
      </c>
      <c r="AE394" s="1008">
        <f t="shared" si="32"/>
        <v>0</v>
      </c>
      <c r="AF394" s="1008">
        <f t="shared" si="32"/>
        <v>0</v>
      </c>
      <c r="AG394" s="1008">
        <f t="shared" si="32"/>
        <v>0</v>
      </c>
      <c r="AH394" s="1008">
        <f t="shared" si="32"/>
        <v>0</v>
      </c>
      <c r="AI394" s="1008">
        <f t="shared" si="32"/>
        <v>0</v>
      </c>
      <c r="AJ394" s="1008">
        <f t="shared" si="32"/>
        <v>0</v>
      </c>
      <c r="AK394" s="1008">
        <f t="shared" si="32"/>
        <v>0</v>
      </c>
      <c r="AL394" s="1008">
        <f t="shared" si="32"/>
        <v>0</v>
      </c>
      <c r="AM394" s="1008">
        <f t="shared" si="32"/>
        <v>0</v>
      </c>
      <c r="AN394" s="1008">
        <f t="shared" si="32"/>
        <v>0</v>
      </c>
      <c r="AO394" s="1008">
        <f t="shared" si="32"/>
        <v>0</v>
      </c>
      <c r="AP394" s="1008">
        <f t="shared" si="32"/>
        <v>0</v>
      </c>
      <c r="AQ394" s="1008">
        <f t="shared" si="32"/>
        <v>0</v>
      </c>
      <c r="AR394" s="1008">
        <f t="shared" si="32"/>
        <v>0</v>
      </c>
      <c r="AS394" s="1008">
        <f t="shared" si="32"/>
        <v>0</v>
      </c>
      <c r="AT394" s="1008">
        <f t="shared" si="32"/>
        <v>0</v>
      </c>
      <c r="AU394" s="1008">
        <f t="shared" si="32"/>
        <v>0</v>
      </c>
      <c r="AV394" s="1008">
        <f t="shared" si="32"/>
        <v>0</v>
      </c>
      <c r="AW394" s="1008">
        <f t="shared" si="32"/>
        <v>0</v>
      </c>
      <c r="AX394" s="1008">
        <f t="shared" si="32"/>
        <v>0</v>
      </c>
      <c r="AY394" s="1008">
        <f t="shared" si="32"/>
        <v>0</v>
      </c>
      <c r="AZ394" s="1009" t="s">
        <v>19</v>
      </c>
      <c r="BA394" s="1000"/>
      <c r="BB394" s="1000"/>
      <c r="BC394" s="1000"/>
      <c r="BE394" s="937">
        <f>input_values!L394</f>
        <v>0</v>
      </c>
      <c r="BF394" s="1000"/>
    </row>
    <row r="395" spans="1:58" s="1001" customFormat="1" ht="28.5" customHeight="1" outlineLevel="1" x14ac:dyDescent="0.2">
      <c r="A395" s="1002">
        <v>1</v>
      </c>
      <c r="B395" s="1003"/>
      <c r="C395" s="1004" t="s">
        <v>1139</v>
      </c>
      <c r="D395" s="1005"/>
      <c r="E395" s="1005"/>
      <c r="F395" s="1005"/>
      <c r="G395" s="1006"/>
      <c r="H395" s="1007"/>
      <c r="I395" s="1007"/>
      <c r="J395" s="1008">
        <f>SUMIF($H12:$H390,"Y",J12:J390)</f>
        <v>0</v>
      </c>
      <c r="K395" s="1008">
        <f t="shared" ref="K395:AY395" si="33">SUMIF($H12:$H390,"Y",K12:K390)</f>
        <v>0</v>
      </c>
      <c r="L395" s="1008">
        <f t="shared" si="33"/>
        <v>0</v>
      </c>
      <c r="M395" s="1008">
        <f t="shared" si="33"/>
        <v>0</v>
      </c>
      <c r="N395" s="1008">
        <f t="shared" si="33"/>
        <v>0</v>
      </c>
      <c r="O395" s="1008">
        <f t="shared" si="33"/>
        <v>0</v>
      </c>
      <c r="P395" s="1008">
        <f t="shared" si="33"/>
        <v>0</v>
      </c>
      <c r="Q395" s="1008">
        <f t="shared" si="33"/>
        <v>0</v>
      </c>
      <c r="R395" s="1008">
        <f t="shared" si="33"/>
        <v>0</v>
      </c>
      <c r="S395" s="1008">
        <f t="shared" si="33"/>
        <v>0</v>
      </c>
      <c r="T395" s="1008">
        <f t="shared" si="33"/>
        <v>0</v>
      </c>
      <c r="U395" s="1008">
        <f t="shared" si="33"/>
        <v>0</v>
      </c>
      <c r="V395" s="1008">
        <f t="shared" si="33"/>
        <v>0</v>
      </c>
      <c r="W395" s="1008">
        <f t="shared" si="33"/>
        <v>0</v>
      </c>
      <c r="X395" s="1008">
        <f t="shared" si="33"/>
        <v>0</v>
      </c>
      <c r="Y395" s="1008">
        <f t="shared" si="33"/>
        <v>0</v>
      </c>
      <c r="Z395" s="1008">
        <f t="shared" si="33"/>
        <v>0</v>
      </c>
      <c r="AA395" s="1008">
        <f t="shared" si="33"/>
        <v>0</v>
      </c>
      <c r="AB395" s="1008">
        <f t="shared" si="33"/>
        <v>0</v>
      </c>
      <c r="AC395" s="1008">
        <f t="shared" si="33"/>
        <v>0</v>
      </c>
      <c r="AD395" s="1008">
        <f t="shared" si="33"/>
        <v>0</v>
      </c>
      <c r="AE395" s="1008">
        <f t="shared" si="33"/>
        <v>0</v>
      </c>
      <c r="AF395" s="1008">
        <f t="shared" si="33"/>
        <v>0</v>
      </c>
      <c r="AG395" s="1008">
        <f t="shared" si="33"/>
        <v>0</v>
      </c>
      <c r="AH395" s="1008">
        <f t="shared" si="33"/>
        <v>0</v>
      </c>
      <c r="AI395" s="1008">
        <f t="shared" si="33"/>
        <v>0</v>
      </c>
      <c r="AJ395" s="1008">
        <f t="shared" si="33"/>
        <v>0</v>
      </c>
      <c r="AK395" s="1008">
        <f t="shared" si="33"/>
        <v>0</v>
      </c>
      <c r="AL395" s="1008">
        <f t="shared" si="33"/>
        <v>0</v>
      </c>
      <c r="AM395" s="1008">
        <f t="shared" si="33"/>
        <v>0</v>
      </c>
      <c r="AN395" s="1008">
        <f t="shared" si="33"/>
        <v>0</v>
      </c>
      <c r="AO395" s="1008">
        <f t="shared" si="33"/>
        <v>0</v>
      </c>
      <c r="AP395" s="1008">
        <f t="shared" si="33"/>
        <v>0</v>
      </c>
      <c r="AQ395" s="1008">
        <f t="shared" si="33"/>
        <v>0</v>
      </c>
      <c r="AR395" s="1008">
        <f t="shared" si="33"/>
        <v>0</v>
      </c>
      <c r="AS395" s="1008">
        <f t="shared" si="33"/>
        <v>0</v>
      </c>
      <c r="AT395" s="1008">
        <f t="shared" si="33"/>
        <v>0</v>
      </c>
      <c r="AU395" s="1008">
        <f t="shared" si="33"/>
        <v>0</v>
      </c>
      <c r="AV395" s="1008">
        <f t="shared" si="33"/>
        <v>0</v>
      </c>
      <c r="AW395" s="1008">
        <f t="shared" si="33"/>
        <v>0</v>
      </c>
      <c r="AX395" s="1008">
        <f t="shared" si="33"/>
        <v>0</v>
      </c>
      <c r="AY395" s="1008">
        <f t="shared" si="33"/>
        <v>0</v>
      </c>
      <c r="AZ395" s="1010"/>
      <c r="BA395" s="1000"/>
      <c r="BB395" s="1000"/>
      <c r="BC395" s="1000"/>
      <c r="BD395" s="999"/>
      <c r="BE395" s="937">
        <f>input_values!L395</f>
        <v>0</v>
      </c>
      <c r="BF395" s="1000"/>
    </row>
    <row r="396" spans="1:58" ht="24" outlineLevel="1" x14ac:dyDescent="0.2">
      <c r="A396" s="1002">
        <v>1</v>
      </c>
      <c r="B396" s="1003"/>
      <c r="C396" s="1004" t="s">
        <v>1144</v>
      </c>
      <c r="D396" s="1005"/>
      <c r="E396" s="1005"/>
      <c r="F396" s="1005"/>
      <c r="G396" s="1006"/>
      <c r="H396" s="1007"/>
      <c r="I396" s="1007"/>
      <c r="J396" s="1008" t="e">
        <f>J393-J395</f>
        <v>#DIV/0!</v>
      </c>
      <c r="K396" s="1008" t="e">
        <f t="shared" ref="K396:AY396" si="34">K393-K395</f>
        <v>#DIV/0!</v>
      </c>
      <c r="L396" s="1008" t="e">
        <f t="shared" si="34"/>
        <v>#DIV/0!</v>
      </c>
      <c r="M396" s="1008" t="e">
        <f t="shared" si="34"/>
        <v>#DIV/0!</v>
      </c>
      <c r="N396" s="1008" t="e">
        <f t="shared" si="34"/>
        <v>#DIV/0!</v>
      </c>
      <c r="O396" s="1008" t="e">
        <f t="shared" si="34"/>
        <v>#DIV/0!</v>
      </c>
      <c r="P396" s="1008" t="e">
        <f t="shared" si="34"/>
        <v>#DIV/0!</v>
      </c>
      <c r="Q396" s="1008" t="e">
        <f t="shared" si="34"/>
        <v>#DIV/0!</v>
      </c>
      <c r="R396" s="1008" t="e">
        <f t="shared" si="34"/>
        <v>#DIV/0!</v>
      </c>
      <c r="S396" s="1008" t="e">
        <f t="shared" si="34"/>
        <v>#DIV/0!</v>
      </c>
      <c r="T396" s="1008" t="e">
        <f t="shared" si="34"/>
        <v>#DIV/0!</v>
      </c>
      <c r="U396" s="1008" t="e">
        <f t="shared" si="34"/>
        <v>#DIV/0!</v>
      </c>
      <c r="V396" s="1008" t="e">
        <f t="shared" si="34"/>
        <v>#DIV/0!</v>
      </c>
      <c r="W396" s="1008" t="e">
        <f t="shared" si="34"/>
        <v>#DIV/0!</v>
      </c>
      <c r="X396" s="1008" t="e">
        <f t="shared" si="34"/>
        <v>#DIV/0!</v>
      </c>
      <c r="Y396" s="1008" t="e">
        <f t="shared" si="34"/>
        <v>#DIV/0!</v>
      </c>
      <c r="Z396" s="1008" t="e">
        <f t="shared" si="34"/>
        <v>#DIV/0!</v>
      </c>
      <c r="AA396" s="1008" t="e">
        <f t="shared" si="34"/>
        <v>#DIV/0!</v>
      </c>
      <c r="AB396" s="1008" t="e">
        <f t="shared" si="34"/>
        <v>#DIV/0!</v>
      </c>
      <c r="AC396" s="1008" t="e">
        <f t="shared" si="34"/>
        <v>#DIV/0!</v>
      </c>
      <c r="AD396" s="1008" t="e">
        <f t="shared" si="34"/>
        <v>#DIV/0!</v>
      </c>
      <c r="AE396" s="1008" t="e">
        <f t="shared" si="34"/>
        <v>#DIV/0!</v>
      </c>
      <c r="AF396" s="1008" t="e">
        <f t="shared" si="34"/>
        <v>#DIV/0!</v>
      </c>
      <c r="AG396" s="1008" t="e">
        <f t="shared" si="34"/>
        <v>#DIV/0!</v>
      </c>
      <c r="AH396" s="1008" t="e">
        <f t="shared" si="34"/>
        <v>#DIV/0!</v>
      </c>
      <c r="AI396" s="1008" t="e">
        <f t="shared" si="34"/>
        <v>#DIV/0!</v>
      </c>
      <c r="AJ396" s="1008" t="e">
        <f t="shared" si="34"/>
        <v>#DIV/0!</v>
      </c>
      <c r="AK396" s="1008" t="e">
        <f t="shared" si="34"/>
        <v>#DIV/0!</v>
      </c>
      <c r="AL396" s="1008" t="e">
        <f t="shared" si="34"/>
        <v>#DIV/0!</v>
      </c>
      <c r="AM396" s="1008" t="e">
        <f t="shared" si="34"/>
        <v>#DIV/0!</v>
      </c>
      <c r="AN396" s="1008" t="e">
        <f t="shared" si="34"/>
        <v>#DIV/0!</v>
      </c>
      <c r="AO396" s="1008" t="e">
        <f t="shared" si="34"/>
        <v>#DIV/0!</v>
      </c>
      <c r="AP396" s="1008" t="e">
        <f t="shared" si="34"/>
        <v>#DIV/0!</v>
      </c>
      <c r="AQ396" s="1008" t="e">
        <f t="shared" si="34"/>
        <v>#DIV/0!</v>
      </c>
      <c r="AR396" s="1008" t="e">
        <f t="shared" si="34"/>
        <v>#DIV/0!</v>
      </c>
      <c r="AS396" s="1008" t="e">
        <f t="shared" si="34"/>
        <v>#DIV/0!</v>
      </c>
      <c r="AT396" s="1008" t="e">
        <f t="shared" si="34"/>
        <v>#DIV/0!</v>
      </c>
      <c r="AU396" s="1008">
        <f t="shared" si="34"/>
        <v>0</v>
      </c>
      <c r="AV396" s="1008" t="e">
        <f t="shared" si="34"/>
        <v>#DIV/0!</v>
      </c>
      <c r="AW396" s="1008" t="e">
        <f t="shared" si="34"/>
        <v>#DIV/0!</v>
      </c>
      <c r="AX396" s="1008" t="e">
        <f t="shared" si="34"/>
        <v>#DIV/0!</v>
      </c>
      <c r="AY396" s="1008" t="e">
        <f t="shared" si="34"/>
        <v>#DIV/0!</v>
      </c>
      <c r="AZ396" s="33"/>
      <c r="BD396" s="228"/>
      <c r="BE396" s="152">
        <f>input_values!L396</f>
        <v>0</v>
      </c>
    </row>
    <row r="397" spans="1:58" ht="22.5" customHeight="1" outlineLevel="1" x14ac:dyDescent="0.2">
      <c r="A397" s="1002">
        <v>1</v>
      </c>
      <c r="B397" s="1011"/>
      <c r="C397" s="1012" t="s">
        <v>319</v>
      </c>
      <c r="D397" s="1013"/>
      <c r="E397" s="1013"/>
      <c r="F397" s="1013"/>
      <c r="G397" s="1014"/>
      <c r="H397" s="1015"/>
      <c r="I397" s="1015"/>
      <c r="J397" s="1016" t="e">
        <f>SUBTOTAL(9,J12:J390)</f>
        <v>#DIV/0!</v>
      </c>
      <c r="K397" s="1016" t="e">
        <f t="shared" ref="K397:AZ397" si="35">SUBTOTAL(9,K12:K390)</f>
        <v>#DIV/0!</v>
      </c>
      <c r="L397" s="1016" t="e">
        <f t="shared" si="35"/>
        <v>#DIV/0!</v>
      </c>
      <c r="M397" s="1016" t="e">
        <f t="shared" si="35"/>
        <v>#DIV/0!</v>
      </c>
      <c r="N397" s="1016" t="e">
        <f t="shared" si="35"/>
        <v>#DIV/0!</v>
      </c>
      <c r="O397" s="1016" t="e">
        <f t="shared" si="35"/>
        <v>#DIV/0!</v>
      </c>
      <c r="P397" s="1016" t="e">
        <f t="shared" si="35"/>
        <v>#DIV/0!</v>
      </c>
      <c r="Q397" s="1016" t="e">
        <f t="shared" si="35"/>
        <v>#DIV/0!</v>
      </c>
      <c r="R397" s="1016" t="e">
        <f t="shared" si="35"/>
        <v>#DIV/0!</v>
      </c>
      <c r="S397" s="1016" t="e">
        <f t="shared" si="35"/>
        <v>#DIV/0!</v>
      </c>
      <c r="T397" s="1016" t="e">
        <f t="shared" si="35"/>
        <v>#DIV/0!</v>
      </c>
      <c r="U397" s="1016" t="e">
        <f t="shared" si="35"/>
        <v>#DIV/0!</v>
      </c>
      <c r="V397" s="1016" t="e">
        <f t="shared" si="35"/>
        <v>#DIV/0!</v>
      </c>
      <c r="W397" s="1016" t="e">
        <f t="shared" si="35"/>
        <v>#DIV/0!</v>
      </c>
      <c r="X397" s="1016" t="e">
        <f t="shared" si="35"/>
        <v>#DIV/0!</v>
      </c>
      <c r="Y397" s="1016" t="e">
        <f t="shared" si="35"/>
        <v>#DIV/0!</v>
      </c>
      <c r="Z397" s="1016" t="e">
        <f t="shared" si="35"/>
        <v>#DIV/0!</v>
      </c>
      <c r="AA397" s="1016" t="e">
        <f t="shared" si="35"/>
        <v>#DIV/0!</v>
      </c>
      <c r="AB397" s="1016" t="e">
        <f t="shared" si="35"/>
        <v>#DIV/0!</v>
      </c>
      <c r="AC397" s="1016" t="e">
        <f t="shared" si="35"/>
        <v>#DIV/0!</v>
      </c>
      <c r="AD397" s="1016" t="e">
        <f t="shared" si="35"/>
        <v>#DIV/0!</v>
      </c>
      <c r="AE397" s="1016" t="e">
        <f t="shared" si="35"/>
        <v>#DIV/0!</v>
      </c>
      <c r="AF397" s="1016" t="e">
        <f t="shared" si="35"/>
        <v>#DIV/0!</v>
      </c>
      <c r="AG397" s="1016" t="e">
        <f t="shared" si="35"/>
        <v>#DIV/0!</v>
      </c>
      <c r="AH397" s="1016" t="e">
        <f t="shared" si="35"/>
        <v>#DIV/0!</v>
      </c>
      <c r="AI397" s="1016" t="e">
        <f t="shared" si="35"/>
        <v>#DIV/0!</v>
      </c>
      <c r="AJ397" s="1016" t="e">
        <f t="shared" si="35"/>
        <v>#DIV/0!</v>
      </c>
      <c r="AK397" s="1016" t="e">
        <f t="shared" si="35"/>
        <v>#DIV/0!</v>
      </c>
      <c r="AL397" s="1016" t="e">
        <f t="shared" si="35"/>
        <v>#DIV/0!</v>
      </c>
      <c r="AM397" s="1016" t="e">
        <f t="shared" si="35"/>
        <v>#DIV/0!</v>
      </c>
      <c r="AN397" s="1016" t="e">
        <f t="shared" si="35"/>
        <v>#DIV/0!</v>
      </c>
      <c r="AO397" s="1016" t="e">
        <f t="shared" si="35"/>
        <v>#DIV/0!</v>
      </c>
      <c r="AP397" s="1016" t="e">
        <f t="shared" si="35"/>
        <v>#DIV/0!</v>
      </c>
      <c r="AQ397" s="1016" t="e">
        <f t="shared" si="35"/>
        <v>#DIV/0!</v>
      </c>
      <c r="AR397" s="1016" t="e">
        <f t="shared" si="35"/>
        <v>#DIV/0!</v>
      </c>
      <c r="AS397" s="1016" t="e">
        <f t="shared" si="35"/>
        <v>#DIV/0!</v>
      </c>
      <c r="AT397" s="1016" t="e">
        <f t="shared" si="35"/>
        <v>#DIV/0!</v>
      </c>
      <c r="AU397" s="1016">
        <f t="shared" si="35"/>
        <v>0</v>
      </c>
      <c r="AV397" s="1016" t="e">
        <f t="shared" si="35"/>
        <v>#DIV/0!</v>
      </c>
      <c r="AW397" s="1016" t="e">
        <f t="shared" si="35"/>
        <v>#DIV/0!</v>
      </c>
      <c r="AX397" s="1016" t="e">
        <f t="shared" si="35"/>
        <v>#DIV/0!</v>
      </c>
      <c r="AY397" s="1016" t="e">
        <f t="shared" si="35"/>
        <v>#DIV/0!</v>
      </c>
      <c r="AZ397" s="33">
        <f t="shared" si="35"/>
        <v>0</v>
      </c>
      <c r="BD397" s="228"/>
      <c r="BE397" s="152">
        <f>input_values!L397</f>
        <v>0</v>
      </c>
    </row>
    <row r="398" spans="1:58" x14ac:dyDescent="0.2">
      <c r="E398" s="946"/>
      <c r="F398" s="367"/>
      <c r="G398" s="856"/>
    </row>
    <row r="399" spans="1:58" x14ac:dyDescent="0.2">
      <c r="C399" s="273"/>
      <c r="D399" s="273"/>
      <c r="E399" s="946"/>
      <c r="F399" s="367"/>
      <c r="G399" s="856"/>
    </row>
    <row r="400" spans="1:58" x14ac:dyDescent="0.2">
      <c r="E400" s="946"/>
      <c r="F400" s="367"/>
      <c r="G400" s="856"/>
    </row>
    <row r="401" spans="1:57" x14ac:dyDescent="0.2">
      <c r="E401" s="946"/>
      <c r="F401" s="367"/>
      <c r="G401" s="856"/>
    </row>
    <row r="402" spans="1:57" x14ac:dyDescent="0.2">
      <c r="E402" s="946"/>
      <c r="F402" s="367"/>
      <c r="G402" s="856"/>
    </row>
    <row r="403" spans="1:57" x14ac:dyDescent="0.2">
      <c r="E403" s="946"/>
      <c r="F403" s="367"/>
      <c r="G403" s="856"/>
    </row>
    <row r="404" spans="1:57" x14ac:dyDescent="0.2">
      <c r="E404" s="946"/>
      <c r="F404" s="367"/>
      <c r="G404" s="856"/>
    </row>
    <row r="405" spans="1:57" ht="12.75" customHeight="1" x14ac:dyDescent="0.2">
      <c r="C405" s="1652"/>
      <c r="D405" s="1590"/>
      <c r="E405" s="946"/>
      <c r="F405" s="367"/>
      <c r="G405" s="856"/>
    </row>
    <row r="406" spans="1:57" customFormat="1" ht="12.75" x14ac:dyDescent="0.2">
      <c r="BE406" s="105"/>
    </row>
    <row r="407" spans="1:57" x14ac:dyDescent="0.2">
      <c r="E407" s="946"/>
      <c r="F407" s="367"/>
      <c r="G407" s="856"/>
    </row>
    <row r="408" spans="1:57" x14ac:dyDescent="0.2">
      <c r="E408" s="946"/>
      <c r="F408" s="367"/>
      <c r="G408" s="856"/>
    </row>
    <row r="409" spans="1:57" ht="31.9" customHeight="1" x14ac:dyDescent="0.3">
      <c r="B409" s="1657" t="s">
        <v>1014</v>
      </c>
      <c r="C409" s="1657"/>
      <c r="D409" s="1657"/>
      <c r="E409" s="1657"/>
      <c r="F409" s="1657"/>
      <c r="G409" s="1657"/>
      <c r="H409" s="1657"/>
      <c r="I409" s="1657"/>
      <c r="J409" s="1657"/>
      <c r="K409" s="1657"/>
      <c r="L409" s="1657"/>
      <c r="M409" s="1657"/>
      <c r="N409" s="1657"/>
      <c r="O409" s="1657"/>
      <c r="P409" s="1657"/>
      <c r="Q409" s="1657"/>
      <c r="R409" s="1657"/>
      <c r="S409" s="1657"/>
      <c r="T409" s="1657"/>
      <c r="U409" s="1657"/>
      <c r="V409" s="1657"/>
      <c r="W409" s="1657"/>
      <c r="X409" s="1657"/>
      <c r="Y409" s="1657"/>
      <c r="Z409" s="1657"/>
      <c r="AA409" s="1657"/>
      <c r="AB409" s="1657"/>
      <c r="AC409" s="1657"/>
      <c r="AD409" s="1657"/>
      <c r="AE409" s="1657"/>
      <c r="AF409" s="1657"/>
      <c r="AG409" s="1657"/>
      <c r="AH409" s="1657"/>
      <c r="AI409" s="1657"/>
      <c r="AJ409" s="1657"/>
      <c r="AK409" s="1657"/>
      <c r="AL409" s="1657"/>
      <c r="AM409" s="1657"/>
      <c r="AN409" s="1657"/>
      <c r="AO409" s="1657"/>
      <c r="AP409" s="1657"/>
      <c r="AQ409" s="1657"/>
      <c r="AR409" s="1657"/>
      <c r="AS409" s="1657"/>
      <c r="AT409" s="1657"/>
      <c r="AU409" s="1657"/>
      <c r="AV409" s="1657"/>
      <c r="AW409" s="1657"/>
      <c r="AX409" s="1657"/>
      <c r="AY409" s="1657"/>
      <c r="AZ409" s="1657"/>
    </row>
    <row r="410" spans="1:57" ht="12" customHeight="1" x14ac:dyDescent="0.2">
      <c r="B410" s="11"/>
      <c r="C410" s="1017"/>
      <c r="D410" s="1017"/>
      <c r="E410" s="152"/>
      <c r="F410" s="153"/>
      <c r="G410" s="152"/>
      <c r="H410" s="152"/>
      <c r="J410" s="1018" t="s">
        <v>42</v>
      </c>
      <c r="K410" s="1019"/>
      <c r="L410" s="1020"/>
      <c r="M410" s="1020"/>
      <c r="N410" s="1020"/>
      <c r="O410" s="1020"/>
      <c r="P410" s="1020"/>
      <c r="Q410" s="1020"/>
      <c r="R410" s="1020"/>
      <c r="S410" s="1020"/>
      <c r="T410" s="1020"/>
      <c r="U410" s="1020"/>
      <c r="V410" s="1020"/>
      <c r="W410" s="1020"/>
      <c r="X410" s="1020"/>
      <c r="Y410" s="1020"/>
      <c r="Z410" s="1020"/>
      <c r="AA410" s="1020"/>
      <c r="AB410" s="1020"/>
      <c r="AC410" s="1020"/>
      <c r="AD410" s="1020"/>
      <c r="AE410" s="1020"/>
      <c r="AF410" s="1021"/>
      <c r="AG410" s="1021"/>
      <c r="AH410" s="1021"/>
      <c r="AI410" s="1021"/>
      <c r="AJ410" s="1021" t="s">
        <v>17</v>
      </c>
      <c r="AK410" s="1021"/>
      <c r="AL410" s="1021"/>
      <c r="AM410" s="1021"/>
      <c r="AN410" s="1021"/>
      <c r="AO410" s="1021"/>
      <c r="AP410" s="1021"/>
      <c r="AQ410" s="1021"/>
      <c r="AR410" s="1021"/>
      <c r="AS410" s="1021"/>
    </row>
    <row r="411" spans="1:57" ht="88.5" x14ac:dyDescent="0.2">
      <c r="A411" s="1022" t="s">
        <v>43</v>
      </c>
      <c r="B411" s="1022" t="s">
        <v>44</v>
      </c>
      <c r="C411" s="1023" t="str">
        <f>acute_overview_children!C411</f>
        <v>Commodity or group of commodities to which the MRLs apply</v>
      </c>
      <c r="D411" s="1022" t="s">
        <v>364</v>
      </c>
      <c r="E411" s="161" t="s">
        <v>303</v>
      </c>
      <c r="F411" s="161" t="s">
        <v>667</v>
      </c>
      <c r="G411" s="161" t="s">
        <v>668</v>
      </c>
      <c r="H411" s="161" t="s">
        <v>922</v>
      </c>
      <c r="I411" s="161" t="s">
        <v>344</v>
      </c>
      <c r="J411" s="1024" t="s">
        <v>256</v>
      </c>
      <c r="K411" s="1025" t="s">
        <v>257</v>
      </c>
      <c r="L411" s="1025" t="s">
        <v>1</v>
      </c>
      <c r="M411" s="1025" t="s">
        <v>258</v>
      </c>
      <c r="N411" s="1025" t="s">
        <v>309</v>
      </c>
      <c r="O411" s="1025" t="s">
        <v>310</v>
      </c>
      <c r="P411" s="1025" t="s">
        <v>311</v>
      </c>
      <c r="Q411" s="1025" t="s">
        <v>329</v>
      </c>
      <c r="R411" s="1025" t="s">
        <v>259</v>
      </c>
      <c r="S411" s="1025" t="s">
        <v>89</v>
      </c>
      <c r="T411" s="1025" t="s">
        <v>91</v>
      </c>
      <c r="U411" s="1025" t="s">
        <v>252</v>
      </c>
      <c r="V411" s="1025" t="s">
        <v>0</v>
      </c>
      <c r="W411" s="1025" t="s">
        <v>312</v>
      </c>
      <c r="X411" s="1025" t="s">
        <v>313</v>
      </c>
      <c r="Y411" s="1025" t="s">
        <v>1134</v>
      </c>
      <c r="Z411" s="1025" t="s">
        <v>253</v>
      </c>
      <c r="AA411" s="1025" t="s">
        <v>244</v>
      </c>
      <c r="AB411" s="1025" t="s">
        <v>254</v>
      </c>
      <c r="AC411" s="1025" t="s">
        <v>338</v>
      </c>
      <c r="AD411" s="1025" t="s">
        <v>314</v>
      </c>
      <c r="AE411" s="1025" t="s">
        <v>315</v>
      </c>
      <c r="AF411" s="1025" t="s">
        <v>316</v>
      </c>
      <c r="AG411" s="1025" t="s">
        <v>317</v>
      </c>
      <c r="AH411" s="1025" t="s">
        <v>105</v>
      </c>
      <c r="AI411" s="1025" t="s">
        <v>255</v>
      </c>
      <c r="AJ411" s="1025" t="s">
        <v>854</v>
      </c>
      <c r="AK411" s="1025" t="s">
        <v>855</v>
      </c>
      <c r="AL411" s="1025" t="s">
        <v>856</v>
      </c>
      <c r="AM411" s="1025" t="s">
        <v>857</v>
      </c>
      <c r="AN411" s="1025" t="s">
        <v>858</v>
      </c>
      <c r="AO411" s="1025" t="s">
        <v>859</v>
      </c>
      <c r="AP411" s="1025" t="s">
        <v>339</v>
      </c>
      <c r="AQ411" s="1025" t="s">
        <v>340</v>
      </c>
      <c r="AR411" s="1025" t="s">
        <v>330</v>
      </c>
      <c r="AS411" s="1025" t="s">
        <v>944</v>
      </c>
      <c r="AT411" s="1025" t="s">
        <v>945</v>
      </c>
      <c r="AU411" s="1025" t="s">
        <v>951</v>
      </c>
      <c r="AV411" s="1025" t="s">
        <v>950</v>
      </c>
      <c r="AW411" s="1025" t="s">
        <v>946</v>
      </c>
      <c r="AX411" s="1025" t="s">
        <v>938</v>
      </c>
      <c r="AY411" s="1025" t="s">
        <v>860</v>
      </c>
      <c r="AZ411" s="1025" t="s">
        <v>644</v>
      </c>
      <c r="BC411" s="29"/>
      <c r="BD411" s="29"/>
    </row>
    <row r="412" spans="1:57" ht="12" customHeight="1" x14ac:dyDescent="0.2">
      <c r="A412" s="1">
        <f>acute_overview_children!A12</f>
        <v>1</v>
      </c>
      <c r="B412" s="1026">
        <f t="shared" ref="B412:C431" si="36">B12</f>
        <v>100000</v>
      </c>
      <c r="C412" s="1026" t="str">
        <f t="shared" si="36"/>
        <v>FRUIT AND TREE NUTS</v>
      </c>
      <c r="D412" s="134"/>
      <c r="E412" s="1027"/>
      <c r="F412" s="1028"/>
      <c r="G412" s="1027"/>
      <c r="H412" s="1029"/>
      <c r="I412" s="1030"/>
      <c r="J412" s="1031" t="e">
        <f>IF($F12="","",$F12*chronic_consumption!E412/1000/$C$3)</f>
        <v>#DIV/0!</v>
      </c>
      <c r="K412" s="1032" t="e">
        <f>IF($F12="","",$F12*chronic_consumption!F412/1000/$C$3)</f>
        <v>#DIV/0!</v>
      </c>
      <c r="L412" s="1032" t="e">
        <f>IF($F12="","",$F12*chronic_consumption!G412/1000/$C$3)</f>
        <v>#DIV/0!</v>
      </c>
      <c r="M412" s="1032" t="e">
        <f>IF($F12="","",$F12*chronic_consumption!H412/1000/$C$3)</f>
        <v>#DIV/0!</v>
      </c>
      <c r="N412" s="1032" t="e">
        <f>IF($F12="","",$F12*chronic_consumption!I412/1000/$C$3)</f>
        <v>#DIV/0!</v>
      </c>
      <c r="O412" s="1032" t="e">
        <f>IF($F12="","",$F12*chronic_consumption!J412/1000/$C$3)</f>
        <v>#DIV/0!</v>
      </c>
      <c r="P412" s="1032" t="e">
        <f>IF($F12="","",$F12*chronic_consumption!K412/1000/$C$3)</f>
        <v>#DIV/0!</v>
      </c>
      <c r="Q412" s="1032" t="e">
        <f>IF($F12="","",$F12*chronic_consumption!L412/1000/$C$3)</f>
        <v>#DIV/0!</v>
      </c>
      <c r="R412" s="1032" t="e">
        <f>IF($F12="","",$F12*chronic_consumption!M412/1000/$C$3)</f>
        <v>#DIV/0!</v>
      </c>
      <c r="S412" s="1032" t="e">
        <f>IF($F12="","",$F12*chronic_consumption!N412/1000/$C$3)</f>
        <v>#DIV/0!</v>
      </c>
      <c r="T412" s="1032" t="e">
        <f>IF($F12="","",$F12*chronic_consumption!O412/1000/$C$3)</f>
        <v>#DIV/0!</v>
      </c>
      <c r="U412" s="1032" t="e">
        <f>IF($F12="","",$F12*chronic_consumption!P412/1000/$C$3)</f>
        <v>#DIV/0!</v>
      </c>
      <c r="V412" s="1032" t="e">
        <f>IF($F12="","",$F12*chronic_consumption!Q412/1000/$C$3)</f>
        <v>#DIV/0!</v>
      </c>
      <c r="W412" s="1032" t="e">
        <f>IF($F12="","",$F12*chronic_consumption!R412/1000/$C$3)</f>
        <v>#DIV/0!</v>
      </c>
      <c r="X412" s="1032" t="e">
        <f>IF($F12="","",$F12*chronic_consumption!S412/1000/$C$3)</f>
        <v>#DIV/0!</v>
      </c>
      <c r="Y412" s="1032" t="e">
        <f>IF($F12="","",$F12*chronic_consumption!T412/1000/$C$3)</f>
        <v>#DIV/0!</v>
      </c>
      <c r="Z412" s="1032" t="e">
        <f>IF($F12="","",$F12*chronic_consumption!U412/1000/$C$3)</f>
        <v>#DIV/0!</v>
      </c>
      <c r="AA412" s="1032" t="e">
        <f>IF($F12="","",$F12*chronic_consumption!V412/1000/$C$3)</f>
        <v>#DIV/0!</v>
      </c>
      <c r="AB412" s="1032" t="e">
        <f>IF($F12="","",$F12*chronic_consumption!W412/1000/$C$3)</f>
        <v>#DIV/0!</v>
      </c>
      <c r="AC412" s="1032" t="e">
        <f>IF($F12="","",$F12*chronic_consumption!X412/1000/$C$3)</f>
        <v>#DIV/0!</v>
      </c>
      <c r="AD412" s="1032" t="e">
        <f>IF($F12="","",$F12*chronic_consumption!Y412/1000/$C$3)</f>
        <v>#DIV/0!</v>
      </c>
      <c r="AE412" s="1032" t="e">
        <f>IF($F12="","",$F12*chronic_consumption!Z412/1000/$C$3)</f>
        <v>#DIV/0!</v>
      </c>
      <c r="AF412" s="1032" t="e">
        <f>IF($F12="","",$F12*chronic_consumption!AA412/1000/$C$3)</f>
        <v>#DIV/0!</v>
      </c>
      <c r="AG412" s="1032" t="e">
        <f>IF($F12="","",$F12*chronic_consumption!AB412/1000/$C$3)</f>
        <v>#DIV/0!</v>
      </c>
      <c r="AH412" s="1032" t="e">
        <f>IF($F12="","",$F12*chronic_consumption!AC412/1000/$C$3)</f>
        <v>#DIV/0!</v>
      </c>
      <c r="AI412" s="1032" t="e">
        <f>IF($F12="","",$F12*chronic_consumption!AD412/1000/$C$3)</f>
        <v>#DIV/0!</v>
      </c>
      <c r="AJ412" s="1032" t="e">
        <f>IF($F12="","",$F12*chronic_consumption!AE412/1000/$C$3)</f>
        <v>#DIV/0!</v>
      </c>
      <c r="AK412" s="1032" t="e">
        <f>IF($F12="","",$F12*chronic_consumption!AF412/1000/$C$3)</f>
        <v>#DIV/0!</v>
      </c>
      <c r="AL412" s="1032" t="e">
        <f>IF($F12="","",$F12*chronic_consumption!AG412/1000/$C$3)</f>
        <v>#DIV/0!</v>
      </c>
      <c r="AM412" s="1032" t="e">
        <f>IF($F12="","",$F12*chronic_consumption!AH412/1000/$C$3)</f>
        <v>#DIV/0!</v>
      </c>
      <c r="AN412" s="1032" t="e">
        <f>IF($F12="","",$F12*chronic_consumption!AI412/1000/$C$3)</f>
        <v>#DIV/0!</v>
      </c>
      <c r="AO412" s="1032" t="e">
        <f>IF($F12="","",$F12*chronic_consumption!AJ412/1000/$C$3)</f>
        <v>#DIV/0!</v>
      </c>
      <c r="AP412" s="1032" t="e">
        <f>IF($F12="","",$F12*chronic_consumption!AK412/1000/$C$3)</f>
        <v>#DIV/0!</v>
      </c>
      <c r="AQ412" s="1032" t="e">
        <f>IF($F12="","",$F12*chronic_consumption!AL412/1000/$C$3)</f>
        <v>#DIV/0!</v>
      </c>
      <c r="AR412" s="1032" t="e">
        <f>IF($F12="","",$F12*chronic_consumption!AM412/1000/$C$3)</f>
        <v>#DIV/0!</v>
      </c>
      <c r="AS412" s="1032" t="e">
        <f>IF($F12="","",$F12*chronic_consumption!AN412/1000/$C$3)</f>
        <v>#DIV/0!</v>
      </c>
      <c r="AT412" s="1032" t="e">
        <f>IF($F12="","",$F12*chronic_consumption!AO412/1000/$C$3)</f>
        <v>#DIV/0!</v>
      </c>
      <c r="AU412" s="1032" t="e">
        <f>IF($F12="","",$F12*chronic_consumption!AP412/1000/$C$3)</f>
        <v>#DIV/0!</v>
      </c>
      <c r="AV412" s="1032" t="e">
        <f>IF($F12="","",$F12*chronic_consumption!AQ412/1000/$C$3)</f>
        <v>#DIV/0!</v>
      </c>
      <c r="AW412" s="1032" t="e">
        <f>IF($F12="","",$F12*chronic_consumption!AR412/1000/$C$3)</f>
        <v>#DIV/0!</v>
      </c>
      <c r="AX412" s="1032" t="e">
        <f>IF($F12="","",$F12*chronic_consumption!AS412/1000/$C$3)</f>
        <v>#DIV/0!</v>
      </c>
      <c r="AY412" s="1032" t="e">
        <f>IF($F12="","",$F12*chronic_consumption!AT412/1000/$C$3)</f>
        <v>#DIV/0!</v>
      </c>
      <c r="AZ412" s="44" t="s">
        <v>20</v>
      </c>
      <c r="BC412" s="29"/>
      <c r="BD412" s="29"/>
    </row>
    <row r="413" spans="1:57" ht="12" customHeight="1" outlineLevel="1" x14ac:dyDescent="0.2">
      <c r="A413" s="1033">
        <f>acute_overview_children!A13</f>
        <v>2</v>
      </c>
      <c r="B413" s="1034">
        <f t="shared" si="36"/>
        <v>110000</v>
      </c>
      <c r="C413" s="1034" t="str">
        <f t="shared" si="36"/>
        <v>Citrus fruit</v>
      </c>
      <c r="D413" s="1035"/>
      <c r="E413" s="1027"/>
      <c r="F413" s="1036"/>
      <c r="G413" s="1027"/>
      <c r="H413" s="1029"/>
      <c r="I413" s="1030"/>
      <c r="J413" s="1037" t="e">
        <f>IF($F13="","",$F13*chronic_consumption!E413/1000/$C$3)</f>
        <v>#DIV/0!</v>
      </c>
      <c r="K413" s="1038" t="e">
        <f>IF($F13="","",$F13*chronic_consumption!F413/1000/$C$3)</f>
        <v>#DIV/0!</v>
      </c>
      <c r="L413" s="1038" t="e">
        <f>IF($F13="","",$F13*chronic_consumption!G413/1000/$C$3)</f>
        <v>#DIV/0!</v>
      </c>
      <c r="M413" s="1038" t="e">
        <f>IF($F13="","",$F13*chronic_consumption!H413/1000/$C$3)</f>
        <v>#DIV/0!</v>
      </c>
      <c r="N413" s="1038" t="e">
        <f>IF($F13="","",$F13*chronic_consumption!I413/1000/$C$3)</f>
        <v>#DIV/0!</v>
      </c>
      <c r="O413" s="1038" t="e">
        <f>IF($F13="","",$F13*chronic_consumption!J413/1000/$C$3)</f>
        <v>#DIV/0!</v>
      </c>
      <c r="P413" s="1038" t="e">
        <f>IF($F13="","",$F13*chronic_consumption!K413/1000/$C$3)</f>
        <v>#DIV/0!</v>
      </c>
      <c r="Q413" s="1038" t="e">
        <f>IF($F13="","",$F13*chronic_consumption!L413/1000/$C$3)</f>
        <v>#DIV/0!</v>
      </c>
      <c r="R413" s="1038" t="e">
        <f>IF($F13="","",$F13*chronic_consumption!M413/1000/$C$3)</f>
        <v>#DIV/0!</v>
      </c>
      <c r="S413" s="1038" t="e">
        <f>IF($F13="","",$F13*chronic_consumption!N413/1000/$C$3)</f>
        <v>#DIV/0!</v>
      </c>
      <c r="T413" s="1038" t="e">
        <f>IF($F13="","",$F13*chronic_consumption!O413/1000/$C$3)</f>
        <v>#DIV/0!</v>
      </c>
      <c r="U413" s="1038" t="e">
        <f>IF($F13="","",$F13*chronic_consumption!P413/1000/$C$3)</f>
        <v>#DIV/0!</v>
      </c>
      <c r="V413" s="1038" t="e">
        <f>IF($F13="","",$F13*chronic_consumption!Q413/1000/$C$3)</f>
        <v>#DIV/0!</v>
      </c>
      <c r="W413" s="1038" t="e">
        <f>IF($F13="","",$F13*chronic_consumption!R413/1000/$C$3)</f>
        <v>#DIV/0!</v>
      </c>
      <c r="X413" s="1038" t="e">
        <f>IF($F13="","",$F13*chronic_consumption!S413/1000/$C$3)</f>
        <v>#DIV/0!</v>
      </c>
      <c r="Y413" s="1038" t="e">
        <f>IF($F13="","",$F13*chronic_consumption!T413/1000/$C$3)</f>
        <v>#DIV/0!</v>
      </c>
      <c r="Z413" s="1038" t="e">
        <f>IF($F13="","",$F13*chronic_consumption!U413/1000/$C$3)</f>
        <v>#DIV/0!</v>
      </c>
      <c r="AA413" s="1038" t="e">
        <f>IF($F13="","",$F13*chronic_consumption!V413/1000/$C$3)</f>
        <v>#DIV/0!</v>
      </c>
      <c r="AB413" s="1038" t="e">
        <f>IF($F13="","",$F13*chronic_consumption!W413/1000/$C$3)</f>
        <v>#DIV/0!</v>
      </c>
      <c r="AC413" s="1038" t="e">
        <f>IF($F13="","",$F13*chronic_consumption!X413/1000/$C$3)</f>
        <v>#DIV/0!</v>
      </c>
      <c r="AD413" s="1038" t="e">
        <f>IF($F13="","",$F13*chronic_consumption!Y413/1000/$C$3)</f>
        <v>#DIV/0!</v>
      </c>
      <c r="AE413" s="1038" t="e">
        <f>IF($F13="","",$F13*chronic_consumption!Z413/1000/$C$3)</f>
        <v>#DIV/0!</v>
      </c>
      <c r="AF413" s="1038" t="e">
        <f>IF($F13="","",$F13*chronic_consumption!AA413/1000/$C$3)</f>
        <v>#DIV/0!</v>
      </c>
      <c r="AG413" s="1038" t="e">
        <f>IF($F13="","",$F13*chronic_consumption!AB413/1000/$C$3)</f>
        <v>#DIV/0!</v>
      </c>
      <c r="AH413" s="1038" t="e">
        <f>IF($F13="","",$F13*chronic_consumption!AC413/1000/$C$3)</f>
        <v>#DIV/0!</v>
      </c>
      <c r="AI413" s="1038" t="e">
        <f>IF($F13="","",$F13*chronic_consumption!AD413/1000/$C$3)</f>
        <v>#DIV/0!</v>
      </c>
      <c r="AJ413" s="1038" t="e">
        <f>IF($F13="","",$F13*chronic_consumption!AE413/1000/$C$3)</f>
        <v>#DIV/0!</v>
      </c>
      <c r="AK413" s="1038" t="e">
        <f>IF($F13="","",$F13*chronic_consumption!AF413/1000/$C$3)</f>
        <v>#DIV/0!</v>
      </c>
      <c r="AL413" s="1038" t="e">
        <f>IF($F13="","",$F13*chronic_consumption!AG413/1000/$C$3)</f>
        <v>#DIV/0!</v>
      </c>
      <c r="AM413" s="1038" t="e">
        <f>IF($F13="","",$F13*chronic_consumption!AH413/1000/$C$3)</f>
        <v>#DIV/0!</v>
      </c>
      <c r="AN413" s="1038" t="e">
        <f>IF($F13="","",$F13*chronic_consumption!AI413/1000/$C$3)</f>
        <v>#DIV/0!</v>
      </c>
      <c r="AO413" s="1038" t="e">
        <f>IF($F13="","",$F13*chronic_consumption!AJ413/1000/$C$3)</f>
        <v>#DIV/0!</v>
      </c>
      <c r="AP413" s="1038" t="e">
        <f>IF($F13="","",$F13*chronic_consumption!AK413/1000/$C$3)</f>
        <v>#DIV/0!</v>
      </c>
      <c r="AQ413" s="1038" t="e">
        <f>IF($F13="","",$F13*chronic_consumption!AL413/1000/$C$3)</f>
        <v>#DIV/0!</v>
      </c>
      <c r="AR413" s="1038" t="e">
        <f>IF($F13="","",$F13*chronic_consumption!AM413/1000/$C$3)</f>
        <v>#DIV/0!</v>
      </c>
      <c r="AS413" s="1038" t="e">
        <f>IF($F13="","",$F13*chronic_consumption!AN413/1000/$C$3)</f>
        <v>#DIV/0!</v>
      </c>
      <c r="AT413" s="1038" t="e">
        <f>IF($F13="","",$F13*chronic_consumption!AO413/1000/$C$3)</f>
        <v>#DIV/0!</v>
      </c>
      <c r="AU413" s="1038" t="e">
        <f>IF($F13="","",$F13*chronic_consumption!AP413/1000/$C$3)</f>
        <v>#DIV/0!</v>
      </c>
      <c r="AV413" s="1038" t="e">
        <f>IF($F13="","",$F13*chronic_consumption!AQ413/1000/$C$3)</f>
        <v>#DIV/0!</v>
      </c>
      <c r="AW413" s="1038" t="e">
        <f>IF($F13="","",$F13*chronic_consumption!AR413/1000/$C$3)</f>
        <v>#DIV/0!</v>
      </c>
      <c r="AX413" s="1038" t="e">
        <f>IF($F13="","",$F13*chronic_consumption!AS413/1000/$C$3)</f>
        <v>#DIV/0!</v>
      </c>
      <c r="AY413" s="1038" t="e">
        <f>IF($F13="","",$F13*chronic_consumption!AT413/1000/$C$3)</f>
        <v>#DIV/0!</v>
      </c>
      <c r="AZ413" s="44" t="s">
        <v>20</v>
      </c>
      <c r="BC413" s="29"/>
      <c r="BD413" s="29"/>
    </row>
    <row r="414" spans="1:57" ht="12" customHeight="1" outlineLevel="3" x14ac:dyDescent="0.2">
      <c r="A414" s="21">
        <f>acute_overview_children!A14</f>
        <v>4</v>
      </c>
      <c r="B414" s="325">
        <f t="shared" si="36"/>
        <v>110010</v>
      </c>
      <c r="C414" s="325" t="str">
        <f t="shared" si="36"/>
        <v>Grapefruits</v>
      </c>
      <c r="D414" s="135"/>
      <c r="E414" s="1027"/>
      <c r="F414" s="87"/>
      <c r="G414" s="1027"/>
      <c r="H414" s="1029"/>
      <c r="I414" s="1030"/>
      <c r="J414" s="1039" t="e">
        <f>IF($F14="","",$F14*chronic_consumption!E414/1000/$C$3)</f>
        <v>#DIV/0!</v>
      </c>
      <c r="K414" s="1040" t="e">
        <f>IF($F14="","",$F14*chronic_consumption!F414/1000/$C$3)</f>
        <v>#DIV/0!</v>
      </c>
      <c r="L414" s="1040" t="e">
        <f>IF($F14="","",$F14*chronic_consumption!G414/1000/$C$3)</f>
        <v>#DIV/0!</v>
      </c>
      <c r="M414" s="1040" t="e">
        <f>IF($F14="","",$F14*chronic_consumption!H414/1000/$C$3)</f>
        <v>#DIV/0!</v>
      </c>
      <c r="N414" s="1040" t="e">
        <f>IF($F14="","",$F14*chronic_consumption!I414/1000/$C$3)</f>
        <v>#DIV/0!</v>
      </c>
      <c r="O414" s="1040" t="e">
        <f>IF($F14="","",$F14*chronic_consumption!J414/1000/$C$3)</f>
        <v>#DIV/0!</v>
      </c>
      <c r="P414" s="1040" t="e">
        <f>IF($F14="","",$F14*chronic_consumption!K414/1000/$C$3)</f>
        <v>#DIV/0!</v>
      </c>
      <c r="Q414" s="1040" t="e">
        <f>IF($F14="","",$F14*chronic_consumption!L414/1000/$C$3)</f>
        <v>#DIV/0!</v>
      </c>
      <c r="R414" s="1040" t="e">
        <f>IF($F14="","",$F14*chronic_consumption!M414/1000/$C$3)</f>
        <v>#DIV/0!</v>
      </c>
      <c r="S414" s="1040" t="e">
        <f>IF($F14="","",$F14*chronic_consumption!N414/1000/$C$3)</f>
        <v>#DIV/0!</v>
      </c>
      <c r="T414" s="1040" t="e">
        <f>IF($F14="","",$F14*chronic_consumption!O414/1000/$C$3)</f>
        <v>#DIV/0!</v>
      </c>
      <c r="U414" s="1040" t="e">
        <f>IF($F14="","",$F14*chronic_consumption!P414/1000/$C$3)</f>
        <v>#DIV/0!</v>
      </c>
      <c r="V414" s="1040" t="e">
        <f>IF($F14="","",$F14*chronic_consumption!Q414/1000/$C$3)</f>
        <v>#DIV/0!</v>
      </c>
      <c r="W414" s="1040" t="e">
        <f>IF($F14="","",$F14*chronic_consumption!R414/1000/$C$3)</f>
        <v>#DIV/0!</v>
      </c>
      <c r="X414" s="1040" t="e">
        <f>IF($F14="","",$F14*chronic_consumption!S414/1000/$C$3)</f>
        <v>#DIV/0!</v>
      </c>
      <c r="Y414" s="1040" t="e">
        <f>IF($F14="","",$F14*chronic_consumption!T414/1000/$C$3)</f>
        <v>#DIV/0!</v>
      </c>
      <c r="Z414" s="1040" t="e">
        <f>IF($F14="","",$F14*chronic_consumption!U414/1000/$C$3)</f>
        <v>#DIV/0!</v>
      </c>
      <c r="AA414" s="1040" t="e">
        <f>IF($F14="","",$F14*chronic_consumption!V414/1000/$C$3)</f>
        <v>#DIV/0!</v>
      </c>
      <c r="AB414" s="1040" t="e">
        <f>IF($F14="","",$F14*chronic_consumption!W414/1000/$C$3)</f>
        <v>#DIV/0!</v>
      </c>
      <c r="AC414" s="1040" t="e">
        <f>IF($F14="","",$F14*chronic_consumption!X414/1000/$C$3)</f>
        <v>#DIV/0!</v>
      </c>
      <c r="AD414" s="1040" t="e">
        <f>IF($F14="","",$F14*chronic_consumption!Y414/1000/$C$3)</f>
        <v>#DIV/0!</v>
      </c>
      <c r="AE414" s="1040" t="e">
        <f>IF($F14="","",$F14*chronic_consumption!Z414/1000/$C$3)</f>
        <v>#DIV/0!</v>
      </c>
      <c r="AF414" s="1040" t="e">
        <f>IF($F14="","",$F14*chronic_consumption!AA414/1000/$C$3)</f>
        <v>#DIV/0!</v>
      </c>
      <c r="AG414" s="1040" t="e">
        <f>IF($F14="","",$F14*chronic_consumption!AB414/1000/$C$3)</f>
        <v>#DIV/0!</v>
      </c>
      <c r="AH414" s="1040" t="e">
        <f>IF($F14="","",$F14*chronic_consumption!AC414/1000/$C$3)</f>
        <v>#DIV/0!</v>
      </c>
      <c r="AI414" s="1040" t="e">
        <f>IF($F14="","",$F14*chronic_consumption!AD414/1000/$C$3)</f>
        <v>#DIV/0!</v>
      </c>
      <c r="AJ414" s="1040" t="e">
        <f>IF($F14="","",$F14*chronic_consumption!AE414/1000/$C$3)</f>
        <v>#DIV/0!</v>
      </c>
      <c r="AK414" s="1040" t="e">
        <f>IF($F14="","",$F14*chronic_consumption!AF414/1000/$C$3)</f>
        <v>#DIV/0!</v>
      </c>
      <c r="AL414" s="1040" t="e">
        <f>IF($F14="","",$F14*chronic_consumption!AG414/1000/$C$3)</f>
        <v>#DIV/0!</v>
      </c>
      <c r="AM414" s="1040" t="e">
        <f>IF($F14="","",$F14*chronic_consumption!AH414/1000/$C$3)</f>
        <v>#DIV/0!</v>
      </c>
      <c r="AN414" s="1040" t="e">
        <f>IF($F14="","",$F14*chronic_consumption!AI414/1000/$C$3)</f>
        <v>#DIV/0!</v>
      </c>
      <c r="AO414" s="1040" t="e">
        <f>IF($F14="","",$F14*chronic_consumption!AJ414/1000/$C$3)</f>
        <v>#DIV/0!</v>
      </c>
      <c r="AP414" s="1040" t="e">
        <f>IF($F14="","",$F14*chronic_consumption!AK414/1000/$C$3)</f>
        <v>#DIV/0!</v>
      </c>
      <c r="AQ414" s="1040" t="e">
        <f>IF($F14="","",$F14*chronic_consumption!AL414/1000/$C$3)</f>
        <v>#DIV/0!</v>
      </c>
      <c r="AR414" s="1040" t="e">
        <f>IF($F14="","",$F14*chronic_consumption!AM414/1000/$C$3)</f>
        <v>#DIV/0!</v>
      </c>
      <c r="AS414" s="1040" t="e">
        <f>IF($F14="","",$F14*chronic_consumption!AN414/1000/$C$3)</f>
        <v>#DIV/0!</v>
      </c>
      <c r="AT414" s="1040" t="e">
        <f>IF($F14="","",$F14*chronic_consumption!AO414/1000/$C$3)</f>
        <v>#DIV/0!</v>
      </c>
      <c r="AU414" s="1040" t="e">
        <f>IF($F14="","",$F14*chronic_consumption!AP414/1000/$C$3)</f>
        <v>#DIV/0!</v>
      </c>
      <c r="AV414" s="1040" t="e">
        <f>IF($F14="","",$F14*chronic_consumption!AQ414/1000/$C$3)</f>
        <v>#DIV/0!</v>
      </c>
      <c r="AW414" s="1040" t="e">
        <f>IF($F14="","",$F14*chronic_consumption!AR414/1000/$C$3)</f>
        <v>#DIV/0!</v>
      </c>
      <c r="AX414" s="1040" t="e">
        <f>IF($F14="","",$F14*chronic_consumption!AS414/1000/$C$3)</f>
        <v>#DIV/0!</v>
      </c>
      <c r="AY414" s="1040" t="e">
        <f>IF($F14="","",$F14*chronic_consumption!AT414/1000/$C$3)</f>
        <v>#DIV/0!</v>
      </c>
      <c r="AZ414" s="44" t="s">
        <v>20</v>
      </c>
      <c r="BC414" s="29"/>
      <c r="BD414" s="29"/>
    </row>
    <row r="415" spans="1:57" ht="12" customHeight="1" outlineLevel="3" x14ac:dyDescent="0.2">
      <c r="A415" s="21">
        <f>acute_overview_children!A15</f>
        <v>4</v>
      </c>
      <c r="B415" s="325">
        <f t="shared" si="36"/>
        <v>110020</v>
      </c>
      <c r="C415" s="325" t="str">
        <f t="shared" si="36"/>
        <v>Oranges</v>
      </c>
      <c r="D415" s="135"/>
      <c r="E415" s="1027"/>
      <c r="F415" s="87"/>
      <c r="G415" s="1027"/>
      <c r="H415" s="1029"/>
      <c r="I415" s="1030"/>
      <c r="J415" s="1039" t="e">
        <f>IF($F15="","",$F15*chronic_consumption!E415/1000/$C$3)</f>
        <v>#DIV/0!</v>
      </c>
      <c r="K415" s="1040" t="e">
        <f>IF($F15="","",$F15*chronic_consumption!F415/1000/$C$3)</f>
        <v>#DIV/0!</v>
      </c>
      <c r="L415" s="1040" t="e">
        <f>IF($F15="","",$F15*chronic_consumption!G415/1000/$C$3)</f>
        <v>#DIV/0!</v>
      </c>
      <c r="M415" s="1040" t="e">
        <f>IF($F15="","",$F15*chronic_consumption!H415/1000/$C$3)</f>
        <v>#DIV/0!</v>
      </c>
      <c r="N415" s="1040" t="e">
        <f>IF($F15="","",$F15*chronic_consumption!I415/1000/$C$3)</f>
        <v>#DIV/0!</v>
      </c>
      <c r="O415" s="1040" t="e">
        <f>IF($F15="","",$F15*chronic_consumption!J415/1000/$C$3)</f>
        <v>#DIV/0!</v>
      </c>
      <c r="P415" s="1040" t="e">
        <f>IF($F15="","",$F15*chronic_consumption!K415/1000/$C$3)</f>
        <v>#DIV/0!</v>
      </c>
      <c r="Q415" s="1040" t="e">
        <f>IF($F15="","",$F15*chronic_consumption!L415/1000/$C$3)</f>
        <v>#DIV/0!</v>
      </c>
      <c r="R415" s="1040" t="e">
        <f>IF($F15="","",$F15*chronic_consumption!M415/1000/$C$3)</f>
        <v>#DIV/0!</v>
      </c>
      <c r="S415" s="1040" t="e">
        <f>IF($F15="","",$F15*chronic_consumption!N415/1000/$C$3)</f>
        <v>#DIV/0!</v>
      </c>
      <c r="T415" s="1040" t="e">
        <f>IF($F15="","",$F15*chronic_consumption!O415/1000/$C$3)</f>
        <v>#DIV/0!</v>
      </c>
      <c r="U415" s="1040" t="e">
        <f>IF($F15="","",$F15*chronic_consumption!P415/1000/$C$3)</f>
        <v>#DIV/0!</v>
      </c>
      <c r="V415" s="1040" t="e">
        <f>IF($F15="","",$F15*chronic_consumption!Q415/1000/$C$3)</f>
        <v>#DIV/0!</v>
      </c>
      <c r="W415" s="1040" t="e">
        <f>IF($F15="","",$F15*chronic_consumption!R415/1000/$C$3)</f>
        <v>#DIV/0!</v>
      </c>
      <c r="X415" s="1040" t="e">
        <f>IF($F15="","",$F15*chronic_consumption!S415/1000/$C$3)</f>
        <v>#DIV/0!</v>
      </c>
      <c r="Y415" s="1040" t="e">
        <f>IF($F15="","",$F15*chronic_consumption!T415/1000/$C$3)</f>
        <v>#DIV/0!</v>
      </c>
      <c r="Z415" s="1040" t="e">
        <f>IF($F15="","",$F15*chronic_consumption!U415/1000/$C$3)</f>
        <v>#DIV/0!</v>
      </c>
      <c r="AA415" s="1040" t="e">
        <f>IF($F15="","",$F15*chronic_consumption!V415/1000/$C$3)</f>
        <v>#DIV/0!</v>
      </c>
      <c r="AB415" s="1040" t="e">
        <f>IF($F15="","",$F15*chronic_consumption!W415/1000/$C$3)</f>
        <v>#DIV/0!</v>
      </c>
      <c r="AC415" s="1040" t="e">
        <f>IF($F15="","",$F15*chronic_consumption!X415/1000/$C$3)</f>
        <v>#DIV/0!</v>
      </c>
      <c r="AD415" s="1040" t="e">
        <f>IF($F15="","",$F15*chronic_consumption!Y415/1000/$C$3)</f>
        <v>#DIV/0!</v>
      </c>
      <c r="AE415" s="1040" t="e">
        <f>IF($F15="","",$F15*chronic_consumption!Z415/1000/$C$3)</f>
        <v>#DIV/0!</v>
      </c>
      <c r="AF415" s="1040" t="e">
        <f>IF($F15="","",$F15*chronic_consumption!AA415/1000/$C$3)</f>
        <v>#DIV/0!</v>
      </c>
      <c r="AG415" s="1040" t="e">
        <f>IF($F15="","",$F15*chronic_consumption!AB415/1000/$C$3)</f>
        <v>#DIV/0!</v>
      </c>
      <c r="AH415" s="1040" t="e">
        <f>IF($F15="","",$F15*chronic_consumption!AC415/1000/$C$3)</f>
        <v>#DIV/0!</v>
      </c>
      <c r="AI415" s="1040" t="e">
        <f>IF($F15="","",$F15*chronic_consumption!AD415/1000/$C$3)</f>
        <v>#DIV/0!</v>
      </c>
      <c r="AJ415" s="1040" t="e">
        <f>IF($F15="","",$F15*chronic_consumption!AE415/1000/$C$3)</f>
        <v>#DIV/0!</v>
      </c>
      <c r="AK415" s="1040" t="e">
        <f>IF($F15="","",$F15*chronic_consumption!AF415/1000/$C$3)</f>
        <v>#DIV/0!</v>
      </c>
      <c r="AL415" s="1040" t="e">
        <f>IF($F15="","",$F15*chronic_consumption!AG415/1000/$C$3)</f>
        <v>#DIV/0!</v>
      </c>
      <c r="AM415" s="1040" t="e">
        <f>IF($F15="","",$F15*chronic_consumption!AH415/1000/$C$3)</f>
        <v>#DIV/0!</v>
      </c>
      <c r="AN415" s="1040" t="e">
        <f>IF($F15="","",$F15*chronic_consumption!AI415/1000/$C$3)</f>
        <v>#DIV/0!</v>
      </c>
      <c r="AO415" s="1040" t="e">
        <f>IF($F15="","",$F15*chronic_consumption!AJ415/1000/$C$3)</f>
        <v>#DIV/0!</v>
      </c>
      <c r="AP415" s="1040" t="e">
        <f>IF($F15="","",$F15*chronic_consumption!AK415/1000/$C$3)</f>
        <v>#DIV/0!</v>
      </c>
      <c r="AQ415" s="1040" t="e">
        <f>IF($F15="","",$F15*chronic_consumption!AL415/1000/$C$3)</f>
        <v>#DIV/0!</v>
      </c>
      <c r="AR415" s="1040" t="e">
        <f>IF($F15="","",$F15*chronic_consumption!AM415/1000/$C$3)</f>
        <v>#DIV/0!</v>
      </c>
      <c r="AS415" s="1040" t="e">
        <f>IF($F15="","",$F15*chronic_consumption!AN415/1000/$C$3)</f>
        <v>#DIV/0!</v>
      </c>
      <c r="AT415" s="1040" t="e">
        <f>IF($F15="","",$F15*chronic_consumption!AO415/1000/$C$3)</f>
        <v>#DIV/0!</v>
      </c>
      <c r="AU415" s="1040" t="e">
        <f>IF($F15="","",$F15*chronic_consumption!AP415/1000/$C$3)</f>
        <v>#DIV/0!</v>
      </c>
      <c r="AV415" s="1040" t="e">
        <f>IF($F15="","",$F15*chronic_consumption!AQ415/1000/$C$3)</f>
        <v>#DIV/0!</v>
      </c>
      <c r="AW415" s="1040" t="e">
        <f>IF($F15="","",$F15*chronic_consumption!AR415/1000/$C$3)</f>
        <v>#DIV/0!</v>
      </c>
      <c r="AX415" s="1040" t="e">
        <f>IF($F15="","",$F15*chronic_consumption!AS415/1000/$C$3)</f>
        <v>#DIV/0!</v>
      </c>
      <c r="AY415" s="1040" t="e">
        <f>IF($F15="","",$F15*chronic_consumption!AT415/1000/$C$3)</f>
        <v>#DIV/0!</v>
      </c>
      <c r="AZ415" s="44" t="s">
        <v>20</v>
      </c>
      <c r="BC415" s="29"/>
      <c r="BD415" s="29"/>
    </row>
    <row r="416" spans="1:57" ht="12" customHeight="1" outlineLevel="3" x14ac:dyDescent="0.2">
      <c r="A416" s="21">
        <f>acute_overview_children!A16</f>
        <v>4</v>
      </c>
      <c r="B416" s="325">
        <f t="shared" si="36"/>
        <v>110030</v>
      </c>
      <c r="C416" s="325" t="str">
        <f t="shared" si="36"/>
        <v>Lemons</v>
      </c>
      <c r="D416" s="135"/>
      <c r="E416" s="1027"/>
      <c r="F416" s="87"/>
      <c r="G416" s="1027"/>
      <c r="H416" s="1029"/>
      <c r="I416" s="1030"/>
      <c r="J416" s="1039" t="e">
        <f>IF($F16="","",$F16*chronic_consumption!E416/1000/$C$3)</f>
        <v>#DIV/0!</v>
      </c>
      <c r="K416" s="1040" t="e">
        <f>IF($F16="","",$F16*chronic_consumption!F416/1000/$C$3)</f>
        <v>#DIV/0!</v>
      </c>
      <c r="L416" s="1040" t="e">
        <f>IF($F16="","",$F16*chronic_consumption!G416/1000/$C$3)</f>
        <v>#DIV/0!</v>
      </c>
      <c r="M416" s="1040" t="e">
        <f>IF($F16="","",$F16*chronic_consumption!H416/1000/$C$3)</f>
        <v>#DIV/0!</v>
      </c>
      <c r="N416" s="1040" t="e">
        <f>IF($F16="","",$F16*chronic_consumption!I416/1000/$C$3)</f>
        <v>#DIV/0!</v>
      </c>
      <c r="O416" s="1040" t="e">
        <f>IF($F16="","",$F16*chronic_consumption!J416/1000/$C$3)</f>
        <v>#DIV/0!</v>
      </c>
      <c r="P416" s="1040" t="e">
        <f>IF($F16="","",$F16*chronic_consumption!K416/1000/$C$3)</f>
        <v>#DIV/0!</v>
      </c>
      <c r="Q416" s="1040" t="e">
        <f>IF($F16="","",$F16*chronic_consumption!L416/1000/$C$3)</f>
        <v>#DIV/0!</v>
      </c>
      <c r="R416" s="1040" t="e">
        <f>IF($F16="","",$F16*chronic_consumption!M416/1000/$C$3)</f>
        <v>#DIV/0!</v>
      </c>
      <c r="S416" s="1040" t="e">
        <f>IF($F16="","",$F16*chronic_consumption!N416/1000/$C$3)</f>
        <v>#DIV/0!</v>
      </c>
      <c r="T416" s="1040" t="e">
        <f>IF($F16="","",$F16*chronic_consumption!O416/1000/$C$3)</f>
        <v>#DIV/0!</v>
      </c>
      <c r="U416" s="1040" t="e">
        <f>IF($F16="","",$F16*chronic_consumption!P416/1000/$C$3)</f>
        <v>#DIV/0!</v>
      </c>
      <c r="V416" s="1040" t="e">
        <f>IF($F16="","",$F16*chronic_consumption!Q416/1000/$C$3)</f>
        <v>#DIV/0!</v>
      </c>
      <c r="W416" s="1040" t="e">
        <f>IF($F16="","",$F16*chronic_consumption!R416/1000/$C$3)</f>
        <v>#DIV/0!</v>
      </c>
      <c r="X416" s="1040" t="e">
        <f>IF($F16="","",$F16*chronic_consumption!S416/1000/$C$3)</f>
        <v>#DIV/0!</v>
      </c>
      <c r="Y416" s="1040" t="e">
        <f>IF($F16="","",$F16*chronic_consumption!T416/1000/$C$3)</f>
        <v>#DIV/0!</v>
      </c>
      <c r="Z416" s="1040" t="e">
        <f>IF($F16="","",$F16*chronic_consumption!U416/1000/$C$3)</f>
        <v>#DIV/0!</v>
      </c>
      <c r="AA416" s="1040" t="e">
        <f>IF($F16="","",$F16*chronic_consumption!V416/1000/$C$3)</f>
        <v>#DIV/0!</v>
      </c>
      <c r="AB416" s="1040" t="e">
        <f>IF($F16="","",$F16*chronic_consumption!W416/1000/$C$3)</f>
        <v>#DIV/0!</v>
      </c>
      <c r="AC416" s="1040" t="e">
        <f>IF($F16="","",$F16*chronic_consumption!X416/1000/$C$3)</f>
        <v>#DIV/0!</v>
      </c>
      <c r="AD416" s="1040" t="e">
        <f>IF($F16="","",$F16*chronic_consumption!Y416/1000/$C$3)</f>
        <v>#DIV/0!</v>
      </c>
      <c r="AE416" s="1040" t="e">
        <f>IF($F16="","",$F16*chronic_consumption!Z416/1000/$C$3)</f>
        <v>#DIV/0!</v>
      </c>
      <c r="AF416" s="1040" t="e">
        <f>IF($F16="","",$F16*chronic_consumption!AA416/1000/$C$3)</f>
        <v>#DIV/0!</v>
      </c>
      <c r="AG416" s="1040" t="e">
        <f>IF($F16="","",$F16*chronic_consumption!AB416/1000/$C$3)</f>
        <v>#DIV/0!</v>
      </c>
      <c r="AH416" s="1040" t="e">
        <f>IF($F16="","",$F16*chronic_consumption!AC416/1000/$C$3)</f>
        <v>#DIV/0!</v>
      </c>
      <c r="AI416" s="1040" t="e">
        <f>IF($F16="","",$F16*chronic_consumption!AD416/1000/$C$3)</f>
        <v>#DIV/0!</v>
      </c>
      <c r="AJ416" s="1040" t="e">
        <f>IF($F16="","",$F16*chronic_consumption!AE416/1000/$C$3)</f>
        <v>#DIV/0!</v>
      </c>
      <c r="AK416" s="1040" t="e">
        <f>IF($F16="","",$F16*chronic_consumption!AF416/1000/$C$3)</f>
        <v>#DIV/0!</v>
      </c>
      <c r="AL416" s="1040" t="e">
        <f>IF($F16="","",$F16*chronic_consumption!AG416/1000/$C$3)</f>
        <v>#DIV/0!</v>
      </c>
      <c r="AM416" s="1040" t="e">
        <f>IF($F16="","",$F16*chronic_consumption!AH416/1000/$C$3)</f>
        <v>#DIV/0!</v>
      </c>
      <c r="AN416" s="1040" t="e">
        <f>IF($F16="","",$F16*chronic_consumption!AI416/1000/$C$3)</f>
        <v>#DIV/0!</v>
      </c>
      <c r="AO416" s="1040" t="e">
        <f>IF($F16="","",$F16*chronic_consumption!AJ416/1000/$C$3)</f>
        <v>#DIV/0!</v>
      </c>
      <c r="AP416" s="1040" t="e">
        <f>IF($F16="","",$F16*chronic_consumption!AK416/1000/$C$3)</f>
        <v>#DIV/0!</v>
      </c>
      <c r="AQ416" s="1040" t="e">
        <f>IF($F16="","",$F16*chronic_consumption!AL416/1000/$C$3)</f>
        <v>#DIV/0!</v>
      </c>
      <c r="AR416" s="1040" t="e">
        <f>IF($F16="","",$F16*chronic_consumption!AM416/1000/$C$3)</f>
        <v>#DIV/0!</v>
      </c>
      <c r="AS416" s="1040" t="e">
        <f>IF($F16="","",$F16*chronic_consumption!AN416/1000/$C$3)</f>
        <v>#DIV/0!</v>
      </c>
      <c r="AT416" s="1040" t="e">
        <f>IF($F16="","",$F16*chronic_consumption!AO416/1000/$C$3)</f>
        <v>#DIV/0!</v>
      </c>
      <c r="AU416" s="1040" t="e">
        <f>IF($F16="","",$F16*chronic_consumption!AP416/1000/$C$3)</f>
        <v>#DIV/0!</v>
      </c>
      <c r="AV416" s="1040" t="e">
        <f>IF($F16="","",$F16*chronic_consumption!AQ416/1000/$C$3)</f>
        <v>#DIV/0!</v>
      </c>
      <c r="AW416" s="1040" t="e">
        <f>IF($F16="","",$F16*chronic_consumption!AR416/1000/$C$3)</f>
        <v>#DIV/0!</v>
      </c>
      <c r="AX416" s="1040" t="e">
        <f>IF($F16="","",$F16*chronic_consumption!AS416/1000/$C$3)</f>
        <v>#DIV/0!</v>
      </c>
      <c r="AY416" s="1040" t="e">
        <f>IF($F16="","",$F16*chronic_consumption!AT416/1000/$C$3)</f>
        <v>#DIV/0!</v>
      </c>
      <c r="AZ416" s="44" t="s">
        <v>20</v>
      </c>
      <c r="BC416" s="29"/>
      <c r="BD416" s="29"/>
    </row>
    <row r="417" spans="1:56" ht="12" customHeight="1" outlineLevel="3" x14ac:dyDescent="0.2">
      <c r="A417" s="21">
        <f>acute_overview_children!A17</f>
        <v>4</v>
      </c>
      <c r="B417" s="325">
        <f t="shared" si="36"/>
        <v>110040</v>
      </c>
      <c r="C417" s="325" t="str">
        <f t="shared" si="36"/>
        <v>Limes</v>
      </c>
      <c r="D417" s="135"/>
      <c r="E417" s="1027"/>
      <c r="F417" s="87"/>
      <c r="G417" s="1027"/>
      <c r="H417" s="1029"/>
      <c r="I417" s="1030"/>
      <c r="J417" s="1039" t="e">
        <f>IF($F17="","",$F17*chronic_consumption!E417/1000/$C$3)</f>
        <v>#DIV/0!</v>
      </c>
      <c r="K417" s="1040" t="e">
        <f>IF($F17="","",$F17*chronic_consumption!F417/1000/$C$3)</f>
        <v>#DIV/0!</v>
      </c>
      <c r="L417" s="1040" t="e">
        <f>IF($F17="","",$F17*chronic_consumption!G417/1000/$C$3)</f>
        <v>#DIV/0!</v>
      </c>
      <c r="M417" s="1040" t="e">
        <f>IF($F17="","",$F17*chronic_consumption!H417/1000/$C$3)</f>
        <v>#DIV/0!</v>
      </c>
      <c r="N417" s="1040" t="e">
        <f>IF($F17="","",$F17*chronic_consumption!I417/1000/$C$3)</f>
        <v>#DIV/0!</v>
      </c>
      <c r="O417" s="1040" t="e">
        <f>IF($F17="","",$F17*chronic_consumption!J417/1000/$C$3)</f>
        <v>#DIV/0!</v>
      </c>
      <c r="P417" s="1040" t="e">
        <f>IF($F17="","",$F17*chronic_consumption!K417/1000/$C$3)</f>
        <v>#DIV/0!</v>
      </c>
      <c r="Q417" s="1040" t="e">
        <f>IF($F17="","",$F17*chronic_consumption!L417/1000/$C$3)</f>
        <v>#DIV/0!</v>
      </c>
      <c r="R417" s="1040" t="e">
        <f>IF($F17="","",$F17*chronic_consumption!M417/1000/$C$3)</f>
        <v>#DIV/0!</v>
      </c>
      <c r="S417" s="1040" t="e">
        <f>IF($F17="","",$F17*chronic_consumption!N417/1000/$C$3)</f>
        <v>#DIV/0!</v>
      </c>
      <c r="T417" s="1040" t="e">
        <f>IF($F17="","",$F17*chronic_consumption!O417/1000/$C$3)</f>
        <v>#DIV/0!</v>
      </c>
      <c r="U417" s="1040" t="e">
        <f>IF($F17="","",$F17*chronic_consumption!P417/1000/$C$3)</f>
        <v>#DIV/0!</v>
      </c>
      <c r="V417" s="1040" t="e">
        <f>IF($F17="","",$F17*chronic_consumption!Q417/1000/$C$3)</f>
        <v>#DIV/0!</v>
      </c>
      <c r="W417" s="1040" t="e">
        <f>IF($F17="","",$F17*chronic_consumption!R417/1000/$C$3)</f>
        <v>#DIV/0!</v>
      </c>
      <c r="X417" s="1040" t="e">
        <f>IF($F17="","",$F17*chronic_consumption!S417/1000/$C$3)</f>
        <v>#DIV/0!</v>
      </c>
      <c r="Y417" s="1040" t="e">
        <f>IF($F17="","",$F17*chronic_consumption!T417/1000/$C$3)</f>
        <v>#DIV/0!</v>
      </c>
      <c r="Z417" s="1040" t="e">
        <f>IF($F17="","",$F17*chronic_consumption!U417/1000/$C$3)</f>
        <v>#DIV/0!</v>
      </c>
      <c r="AA417" s="1040" t="e">
        <f>IF($F17="","",$F17*chronic_consumption!V417/1000/$C$3)</f>
        <v>#DIV/0!</v>
      </c>
      <c r="AB417" s="1040" t="e">
        <f>IF($F17="","",$F17*chronic_consumption!W417/1000/$C$3)</f>
        <v>#DIV/0!</v>
      </c>
      <c r="AC417" s="1040" t="e">
        <f>IF($F17="","",$F17*chronic_consumption!X417/1000/$C$3)</f>
        <v>#DIV/0!</v>
      </c>
      <c r="AD417" s="1040" t="e">
        <f>IF($F17="","",$F17*chronic_consumption!Y417/1000/$C$3)</f>
        <v>#DIV/0!</v>
      </c>
      <c r="AE417" s="1040" t="e">
        <f>IF($F17="","",$F17*chronic_consumption!Z417/1000/$C$3)</f>
        <v>#DIV/0!</v>
      </c>
      <c r="AF417" s="1040" t="e">
        <f>IF($F17="","",$F17*chronic_consumption!AA417/1000/$C$3)</f>
        <v>#DIV/0!</v>
      </c>
      <c r="AG417" s="1040" t="e">
        <f>IF($F17="","",$F17*chronic_consumption!AB417/1000/$C$3)</f>
        <v>#DIV/0!</v>
      </c>
      <c r="AH417" s="1040" t="e">
        <f>IF($F17="","",$F17*chronic_consumption!AC417/1000/$C$3)</f>
        <v>#DIV/0!</v>
      </c>
      <c r="AI417" s="1040" t="e">
        <f>IF($F17="","",$F17*chronic_consumption!AD417/1000/$C$3)</f>
        <v>#DIV/0!</v>
      </c>
      <c r="AJ417" s="1040" t="e">
        <f>IF($F17="","",$F17*chronic_consumption!AE417/1000/$C$3)</f>
        <v>#DIV/0!</v>
      </c>
      <c r="AK417" s="1040" t="e">
        <f>IF($F17="","",$F17*chronic_consumption!AF417/1000/$C$3)</f>
        <v>#DIV/0!</v>
      </c>
      <c r="AL417" s="1040" t="e">
        <f>IF($F17="","",$F17*chronic_consumption!AG417/1000/$C$3)</f>
        <v>#DIV/0!</v>
      </c>
      <c r="AM417" s="1040" t="e">
        <f>IF($F17="","",$F17*chronic_consumption!AH417/1000/$C$3)</f>
        <v>#DIV/0!</v>
      </c>
      <c r="AN417" s="1040" t="e">
        <f>IF($F17="","",$F17*chronic_consumption!AI417/1000/$C$3)</f>
        <v>#DIV/0!</v>
      </c>
      <c r="AO417" s="1040" t="e">
        <f>IF($F17="","",$F17*chronic_consumption!AJ417/1000/$C$3)</f>
        <v>#DIV/0!</v>
      </c>
      <c r="AP417" s="1040" t="e">
        <f>IF($F17="","",$F17*chronic_consumption!AK417/1000/$C$3)</f>
        <v>#DIV/0!</v>
      </c>
      <c r="AQ417" s="1040" t="e">
        <f>IF($F17="","",$F17*chronic_consumption!AL417/1000/$C$3)</f>
        <v>#DIV/0!</v>
      </c>
      <c r="AR417" s="1040" t="e">
        <f>IF($F17="","",$F17*chronic_consumption!AM417/1000/$C$3)</f>
        <v>#DIV/0!</v>
      </c>
      <c r="AS417" s="1040" t="e">
        <f>IF($F17="","",$F17*chronic_consumption!AN417/1000/$C$3)</f>
        <v>#DIV/0!</v>
      </c>
      <c r="AT417" s="1040" t="e">
        <f>IF($F17="","",$F17*chronic_consumption!AO417/1000/$C$3)</f>
        <v>#DIV/0!</v>
      </c>
      <c r="AU417" s="1040" t="e">
        <f>IF($F17="","",$F17*chronic_consumption!AP417/1000/$C$3)</f>
        <v>#DIV/0!</v>
      </c>
      <c r="AV417" s="1040" t="e">
        <f>IF($F17="","",$F17*chronic_consumption!AQ417/1000/$C$3)</f>
        <v>#DIV/0!</v>
      </c>
      <c r="AW417" s="1040" t="e">
        <f>IF($F17="","",$F17*chronic_consumption!AR417/1000/$C$3)</f>
        <v>#DIV/0!</v>
      </c>
      <c r="AX417" s="1040" t="e">
        <f>IF($F17="","",$F17*chronic_consumption!AS417/1000/$C$3)</f>
        <v>#DIV/0!</v>
      </c>
      <c r="AY417" s="1040" t="e">
        <f>IF($F17="","",$F17*chronic_consumption!AT417/1000/$C$3)</f>
        <v>#DIV/0!</v>
      </c>
      <c r="AZ417" s="44" t="s">
        <v>20</v>
      </c>
      <c r="BC417" s="29"/>
      <c r="BD417" s="29"/>
    </row>
    <row r="418" spans="1:56" ht="12" customHeight="1" outlineLevel="3" x14ac:dyDescent="0.2">
      <c r="A418" s="21">
        <f>acute_overview_children!A18</f>
        <v>4</v>
      </c>
      <c r="B418" s="325">
        <f t="shared" si="36"/>
        <v>110050</v>
      </c>
      <c r="C418" s="325" t="str">
        <f t="shared" si="36"/>
        <v xml:space="preserve">Mandarins </v>
      </c>
      <c r="D418" s="135"/>
      <c r="E418" s="1027"/>
      <c r="F418" s="87"/>
      <c r="G418" s="1027"/>
      <c r="H418" s="1029"/>
      <c r="I418" s="1030"/>
      <c r="J418" s="1039" t="e">
        <f>IF($F18="","",$F18*chronic_consumption!E418/1000/$C$3)</f>
        <v>#DIV/0!</v>
      </c>
      <c r="K418" s="1040" t="e">
        <f>IF($F18="","",$F18*chronic_consumption!F418/1000/$C$3)</f>
        <v>#DIV/0!</v>
      </c>
      <c r="L418" s="1040" t="e">
        <f>IF($F18="","",$F18*chronic_consumption!G418/1000/$C$3)</f>
        <v>#DIV/0!</v>
      </c>
      <c r="M418" s="1040" t="e">
        <f>IF($F18="","",$F18*chronic_consumption!H418/1000/$C$3)</f>
        <v>#DIV/0!</v>
      </c>
      <c r="N418" s="1040" t="e">
        <f>IF($F18="","",$F18*chronic_consumption!I418/1000/$C$3)</f>
        <v>#DIV/0!</v>
      </c>
      <c r="O418" s="1040" t="e">
        <f>IF($F18="","",$F18*chronic_consumption!J418/1000/$C$3)</f>
        <v>#DIV/0!</v>
      </c>
      <c r="P418" s="1040" t="e">
        <f>IF($F18="","",$F18*chronic_consumption!K418/1000/$C$3)</f>
        <v>#DIV/0!</v>
      </c>
      <c r="Q418" s="1040" t="e">
        <f>IF($F18="","",$F18*chronic_consumption!L418/1000/$C$3)</f>
        <v>#DIV/0!</v>
      </c>
      <c r="R418" s="1040" t="e">
        <f>IF($F18="","",$F18*chronic_consumption!M418/1000/$C$3)</f>
        <v>#DIV/0!</v>
      </c>
      <c r="S418" s="1040" t="e">
        <f>IF($F18="","",$F18*chronic_consumption!N418/1000/$C$3)</f>
        <v>#DIV/0!</v>
      </c>
      <c r="T418" s="1040" t="e">
        <f>IF($F18="","",$F18*chronic_consumption!O418/1000/$C$3)</f>
        <v>#DIV/0!</v>
      </c>
      <c r="U418" s="1040" t="e">
        <f>IF($F18="","",$F18*chronic_consumption!P418/1000/$C$3)</f>
        <v>#DIV/0!</v>
      </c>
      <c r="V418" s="1040" t="e">
        <f>IF($F18="","",$F18*chronic_consumption!Q418/1000/$C$3)</f>
        <v>#DIV/0!</v>
      </c>
      <c r="W418" s="1040" t="e">
        <f>IF($F18="","",$F18*chronic_consumption!R418/1000/$C$3)</f>
        <v>#DIV/0!</v>
      </c>
      <c r="X418" s="1040" t="e">
        <f>IF($F18="","",$F18*chronic_consumption!S418/1000/$C$3)</f>
        <v>#DIV/0!</v>
      </c>
      <c r="Y418" s="1040" t="e">
        <f>IF($F18="","",$F18*chronic_consumption!T418/1000/$C$3)</f>
        <v>#DIV/0!</v>
      </c>
      <c r="Z418" s="1040" t="e">
        <f>IF($F18="","",$F18*chronic_consumption!U418/1000/$C$3)</f>
        <v>#DIV/0!</v>
      </c>
      <c r="AA418" s="1040" t="e">
        <f>IF($F18="","",$F18*chronic_consumption!V418/1000/$C$3)</f>
        <v>#DIV/0!</v>
      </c>
      <c r="AB418" s="1040" t="e">
        <f>IF($F18="","",$F18*chronic_consumption!W418/1000/$C$3)</f>
        <v>#DIV/0!</v>
      </c>
      <c r="AC418" s="1040" t="e">
        <f>IF($F18="","",$F18*chronic_consumption!X418/1000/$C$3)</f>
        <v>#DIV/0!</v>
      </c>
      <c r="AD418" s="1040" t="e">
        <f>IF($F18="","",$F18*chronic_consumption!Y418/1000/$C$3)</f>
        <v>#DIV/0!</v>
      </c>
      <c r="AE418" s="1040" t="e">
        <f>IF($F18="","",$F18*chronic_consumption!Z418/1000/$C$3)</f>
        <v>#DIV/0!</v>
      </c>
      <c r="AF418" s="1040" t="e">
        <f>IF($F18="","",$F18*chronic_consumption!AA418/1000/$C$3)</f>
        <v>#DIV/0!</v>
      </c>
      <c r="AG418" s="1040" t="e">
        <f>IF($F18="","",$F18*chronic_consumption!AB418/1000/$C$3)</f>
        <v>#DIV/0!</v>
      </c>
      <c r="AH418" s="1040" t="e">
        <f>IF($F18="","",$F18*chronic_consumption!AC418/1000/$C$3)</f>
        <v>#DIV/0!</v>
      </c>
      <c r="AI418" s="1040" t="e">
        <f>IF($F18="","",$F18*chronic_consumption!AD418/1000/$C$3)</f>
        <v>#DIV/0!</v>
      </c>
      <c r="AJ418" s="1040" t="e">
        <f>IF($F18="","",$F18*chronic_consumption!AE418/1000/$C$3)</f>
        <v>#DIV/0!</v>
      </c>
      <c r="AK418" s="1040" t="e">
        <f>IF($F18="","",$F18*chronic_consumption!AF418/1000/$C$3)</f>
        <v>#DIV/0!</v>
      </c>
      <c r="AL418" s="1040" t="e">
        <f>IF($F18="","",$F18*chronic_consumption!AG418/1000/$C$3)</f>
        <v>#DIV/0!</v>
      </c>
      <c r="AM418" s="1040" t="e">
        <f>IF($F18="","",$F18*chronic_consumption!AH418/1000/$C$3)</f>
        <v>#DIV/0!</v>
      </c>
      <c r="AN418" s="1040" t="e">
        <f>IF($F18="","",$F18*chronic_consumption!AI418/1000/$C$3)</f>
        <v>#DIV/0!</v>
      </c>
      <c r="AO418" s="1040" t="e">
        <f>IF($F18="","",$F18*chronic_consumption!AJ418/1000/$C$3)</f>
        <v>#DIV/0!</v>
      </c>
      <c r="AP418" s="1040" t="e">
        <f>IF($F18="","",$F18*chronic_consumption!AK418/1000/$C$3)</f>
        <v>#DIV/0!</v>
      </c>
      <c r="AQ418" s="1040" t="e">
        <f>IF($F18="","",$F18*chronic_consumption!AL418/1000/$C$3)</f>
        <v>#DIV/0!</v>
      </c>
      <c r="AR418" s="1040" t="e">
        <f>IF($F18="","",$F18*chronic_consumption!AM418/1000/$C$3)</f>
        <v>#DIV/0!</v>
      </c>
      <c r="AS418" s="1040" t="e">
        <f>IF($F18="","",$F18*chronic_consumption!AN418/1000/$C$3)</f>
        <v>#DIV/0!</v>
      </c>
      <c r="AT418" s="1040" t="e">
        <f>IF($F18="","",$F18*chronic_consumption!AO418/1000/$C$3)</f>
        <v>#DIV/0!</v>
      </c>
      <c r="AU418" s="1040" t="e">
        <f>IF($F18="","",$F18*chronic_consumption!AP418/1000/$C$3)</f>
        <v>#DIV/0!</v>
      </c>
      <c r="AV418" s="1040" t="e">
        <f>IF($F18="","",$F18*chronic_consumption!AQ418/1000/$C$3)</f>
        <v>#DIV/0!</v>
      </c>
      <c r="AW418" s="1040" t="e">
        <f>IF($F18="","",$F18*chronic_consumption!AR418/1000/$C$3)</f>
        <v>#DIV/0!</v>
      </c>
      <c r="AX418" s="1040" t="e">
        <f>IF($F18="","",$F18*chronic_consumption!AS418/1000/$C$3)</f>
        <v>#DIV/0!</v>
      </c>
      <c r="AY418" s="1040" t="e">
        <f>IF($F18="","",$F18*chronic_consumption!AT418/1000/$C$3)</f>
        <v>#DIV/0!</v>
      </c>
      <c r="AZ418" s="44" t="s">
        <v>20</v>
      </c>
      <c r="BC418" s="29"/>
      <c r="BD418" s="29"/>
    </row>
    <row r="419" spans="1:56" ht="12" customHeight="1" outlineLevel="3" x14ac:dyDescent="0.2">
      <c r="A419" s="21">
        <f>acute_overview_children!A19</f>
        <v>4</v>
      </c>
      <c r="B419" s="325">
        <f t="shared" si="36"/>
        <v>110990</v>
      </c>
      <c r="C419" s="325" t="str">
        <f t="shared" si="36"/>
        <v>Other citrus fruit</v>
      </c>
      <c r="D419" s="135"/>
      <c r="E419" s="1027"/>
      <c r="F419" s="87"/>
      <c r="G419" s="1027"/>
      <c r="H419" s="1029"/>
      <c r="I419" s="1030"/>
      <c r="J419" s="1039" t="e">
        <f>IF($F19="","",$F19*chronic_consumption!E419/1000/$C$3)</f>
        <v>#DIV/0!</v>
      </c>
      <c r="K419" s="1040" t="e">
        <f>IF($F19="","",$F19*chronic_consumption!F419/1000/$C$3)</f>
        <v>#DIV/0!</v>
      </c>
      <c r="L419" s="1040" t="e">
        <f>IF($F19="","",$F19*chronic_consumption!G419/1000/$C$3)</f>
        <v>#DIV/0!</v>
      </c>
      <c r="M419" s="1040" t="e">
        <f>IF($F19="","",$F19*chronic_consumption!H419/1000/$C$3)</f>
        <v>#DIV/0!</v>
      </c>
      <c r="N419" s="1040" t="e">
        <f>IF($F19="","",$F19*chronic_consumption!I419/1000/$C$3)</f>
        <v>#DIV/0!</v>
      </c>
      <c r="O419" s="1040" t="e">
        <f>IF($F19="","",$F19*chronic_consumption!J419/1000/$C$3)</f>
        <v>#DIV/0!</v>
      </c>
      <c r="P419" s="1040" t="e">
        <f>IF($F19="","",$F19*chronic_consumption!K419/1000/$C$3)</f>
        <v>#DIV/0!</v>
      </c>
      <c r="Q419" s="1040" t="e">
        <f>IF($F19="","",$F19*chronic_consumption!L419/1000/$C$3)</f>
        <v>#DIV/0!</v>
      </c>
      <c r="R419" s="1040" t="e">
        <f>IF($F19="","",$F19*chronic_consumption!M419/1000/$C$3)</f>
        <v>#DIV/0!</v>
      </c>
      <c r="S419" s="1040" t="e">
        <f>IF($F19="","",$F19*chronic_consumption!N419/1000/$C$3)</f>
        <v>#DIV/0!</v>
      </c>
      <c r="T419" s="1040" t="e">
        <f>IF($F19="","",$F19*chronic_consumption!O419/1000/$C$3)</f>
        <v>#DIV/0!</v>
      </c>
      <c r="U419" s="1040" t="e">
        <f>IF($F19="","",$F19*chronic_consumption!P419/1000/$C$3)</f>
        <v>#DIV/0!</v>
      </c>
      <c r="V419" s="1040" t="e">
        <f>IF($F19="","",$F19*chronic_consumption!Q419/1000/$C$3)</f>
        <v>#DIV/0!</v>
      </c>
      <c r="W419" s="1040" t="e">
        <f>IF($F19="","",$F19*chronic_consumption!R419/1000/$C$3)</f>
        <v>#DIV/0!</v>
      </c>
      <c r="X419" s="1040" t="e">
        <f>IF($F19="","",$F19*chronic_consumption!S419/1000/$C$3)</f>
        <v>#DIV/0!</v>
      </c>
      <c r="Y419" s="1040" t="e">
        <f>IF($F19="","",$F19*chronic_consumption!T419/1000/$C$3)</f>
        <v>#DIV/0!</v>
      </c>
      <c r="Z419" s="1040" t="e">
        <f>IF($F19="","",$F19*chronic_consumption!U419/1000/$C$3)</f>
        <v>#DIV/0!</v>
      </c>
      <c r="AA419" s="1040" t="e">
        <f>IF($F19="","",$F19*chronic_consumption!V419/1000/$C$3)</f>
        <v>#DIV/0!</v>
      </c>
      <c r="AB419" s="1040" t="e">
        <f>IF($F19="","",$F19*chronic_consumption!W419/1000/$C$3)</f>
        <v>#DIV/0!</v>
      </c>
      <c r="AC419" s="1040" t="e">
        <f>IF($F19="","",$F19*chronic_consumption!X419/1000/$C$3)</f>
        <v>#DIV/0!</v>
      </c>
      <c r="AD419" s="1040" t="e">
        <f>IF($F19="","",$F19*chronic_consumption!Y419/1000/$C$3)</f>
        <v>#DIV/0!</v>
      </c>
      <c r="AE419" s="1040" t="e">
        <f>IF($F19="","",$F19*chronic_consumption!Z419/1000/$C$3)</f>
        <v>#DIV/0!</v>
      </c>
      <c r="AF419" s="1040" t="e">
        <f>IF($F19="","",$F19*chronic_consumption!AA419/1000/$C$3)</f>
        <v>#DIV/0!</v>
      </c>
      <c r="AG419" s="1040" t="e">
        <f>IF($F19="","",$F19*chronic_consumption!AB419/1000/$C$3)</f>
        <v>#DIV/0!</v>
      </c>
      <c r="AH419" s="1040" t="e">
        <f>IF($F19="","",$F19*chronic_consumption!AC419/1000/$C$3)</f>
        <v>#DIV/0!</v>
      </c>
      <c r="AI419" s="1040" t="e">
        <f>IF($F19="","",$F19*chronic_consumption!AD419/1000/$C$3)</f>
        <v>#DIV/0!</v>
      </c>
      <c r="AJ419" s="1040" t="e">
        <f>IF($F19="","",$F19*chronic_consumption!AE419/1000/$C$3)</f>
        <v>#DIV/0!</v>
      </c>
      <c r="AK419" s="1040" t="e">
        <f>IF($F19="","",$F19*chronic_consumption!AF419/1000/$C$3)</f>
        <v>#DIV/0!</v>
      </c>
      <c r="AL419" s="1040" t="e">
        <f>IF($F19="","",$F19*chronic_consumption!AG419/1000/$C$3)</f>
        <v>#DIV/0!</v>
      </c>
      <c r="AM419" s="1040" t="e">
        <f>IF($F19="","",$F19*chronic_consumption!AH419/1000/$C$3)</f>
        <v>#DIV/0!</v>
      </c>
      <c r="AN419" s="1040" t="e">
        <f>IF($F19="","",$F19*chronic_consumption!AI419/1000/$C$3)</f>
        <v>#DIV/0!</v>
      </c>
      <c r="AO419" s="1040" t="e">
        <f>IF($F19="","",$F19*chronic_consumption!AJ419/1000/$C$3)</f>
        <v>#DIV/0!</v>
      </c>
      <c r="AP419" s="1040" t="e">
        <f>IF($F19="","",$F19*chronic_consumption!AK419/1000/$C$3)</f>
        <v>#DIV/0!</v>
      </c>
      <c r="AQ419" s="1040" t="e">
        <f>IF($F19="","",$F19*chronic_consumption!AL419/1000/$C$3)</f>
        <v>#DIV/0!</v>
      </c>
      <c r="AR419" s="1040" t="e">
        <f>IF($F19="","",$F19*chronic_consumption!AM419/1000/$C$3)</f>
        <v>#DIV/0!</v>
      </c>
      <c r="AS419" s="1040" t="e">
        <f>IF($F19="","",$F19*chronic_consumption!AN419/1000/$C$3)</f>
        <v>#DIV/0!</v>
      </c>
      <c r="AT419" s="1040" t="e">
        <f>IF($F19="","",$F19*chronic_consumption!AO419/1000/$C$3)</f>
        <v>#DIV/0!</v>
      </c>
      <c r="AU419" s="1040" t="e">
        <f>IF($F19="","",$F19*chronic_consumption!AP419/1000/$C$3)</f>
        <v>#DIV/0!</v>
      </c>
      <c r="AV419" s="1040" t="e">
        <f>IF($F19="","",$F19*chronic_consumption!AQ419/1000/$C$3)</f>
        <v>#DIV/0!</v>
      </c>
      <c r="AW419" s="1040" t="e">
        <f>IF($F19="","",$F19*chronic_consumption!AR419/1000/$C$3)</f>
        <v>#DIV/0!</v>
      </c>
      <c r="AX419" s="1040" t="e">
        <f>IF($F19="","",$F19*chronic_consumption!AS419/1000/$C$3)</f>
        <v>#DIV/0!</v>
      </c>
      <c r="AY419" s="1040" t="e">
        <f>IF($F19="","",$F19*chronic_consumption!AT419/1000/$C$3)</f>
        <v>#DIV/0!</v>
      </c>
      <c r="AZ419" s="44" t="s">
        <v>20</v>
      </c>
      <c r="BC419" s="29"/>
      <c r="BD419" s="29"/>
    </row>
    <row r="420" spans="1:56" ht="12" customHeight="1" outlineLevel="1" x14ac:dyDescent="0.2">
      <c r="A420" s="1033">
        <f>acute_overview_children!A20</f>
        <v>2</v>
      </c>
      <c r="B420" s="1034">
        <f t="shared" si="36"/>
        <v>120000</v>
      </c>
      <c r="C420" s="1034" t="str">
        <f t="shared" si="36"/>
        <v xml:space="preserve">Tree nuts </v>
      </c>
      <c r="D420" s="1035"/>
      <c r="E420" s="1027"/>
      <c r="F420" s="87"/>
      <c r="G420" s="1027"/>
      <c r="H420" s="1029"/>
      <c r="I420" s="1030"/>
      <c r="J420" s="1037" t="e">
        <f>IF($F20="","",$F20*chronic_consumption!E420/1000/$C$3)</f>
        <v>#DIV/0!</v>
      </c>
      <c r="K420" s="1038" t="e">
        <f>IF($F20="","",$F20*chronic_consumption!F420/1000/$C$3)</f>
        <v>#DIV/0!</v>
      </c>
      <c r="L420" s="1038" t="e">
        <f>IF($F20="","",$F20*chronic_consumption!G420/1000/$C$3)</f>
        <v>#DIV/0!</v>
      </c>
      <c r="M420" s="1038" t="e">
        <f>IF($F20="","",$F20*chronic_consumption!H420/1000/$C$3)</f>
        <v>#DIV/0!</v>
      </c>
      <c r="N420" s="1038" t="e">
        <f>IF($F20="","",$F20*chronic_consumption!I420/1000/$C$3)</f>
        <v>#DIV/0!</v>
      </c>
      <c r="O420" s="1038" t="e">
        <f>IF($F20="","",$F20*chronic_consumption!J420/1000/$C$3)</f>
        <v>#DIV/0!</v>
      </c>
      <c r="P420" s="1038" t="e">
        <f>IF($F20="","",$F20*chronic_consumption!K420/1000/$C$3)</f>
        <v>#DIV/0!</v>
      </c>
      <c r="Q420" s="1038" t="e">
        <f>IF($F20="","",$F20*chronic_consumption!L420/1000/$C$3)</f>
        <v>#DIV/0!</v>
      </c>
      <c r="R420" s="1038" t="e">
        <f>IF($F20="","",$F20*chronic_consumption!M420/1000/$C$3)</f>
        <v>#DIV/0!</v>
      </c>
      <c r="S420" s="1038" t="e">
        <f>IF($F20="","",$F20*chronic_consumption!N420/1000/$C$3)</f>
        <v>#DIV/0!</v>
      </c>
      <c r="T420" s="1038" t="e">
        <f>IF($F20="","",$F20*chronic_consumption!O420/1000/$C$3)</f>
        <v>#DIV/0!</v>
      </c>
      <c r="U420" s="1038" t="e">
        <f>IF($F20="","",$F20*chronic_consumption!P420/1000/$C$3)</f>
        <v>#DIV/0!</v>
      </c>
      <c r="V420" s="1038" t="e">
        <f>IF($F20="","",$F20*chronic_consumption!Q420/1000/$C$3)</f>
        <v>#DIV/0!</v>
      </c>
      <c r="W420" s="1038" t="e">
        <f>IF($F20="","",$F20*chronic_consumption!R420/1000/$C$3)</f>
        <v>#DIV/0!</v>
      </c>
      <c r="X420" s="1038" t="e">
        <f>IF($F20="","",$F20*chronic_consumption!S420/1000/$C$3)</f>
        <v>#DIV/0!</v>
      </c>
      <c r="Y420" s="1038" t="e">
        <f>IF($F20="","",$F20*chronic_consumption!T420/1000/$C$3)</f>
        <v>#DIV/0!</v>
      </c>
      <c r="Z420" s="1038" t="e">
        <f>IF($F20="","",$F20*chronic_consumption!U420/1000/$C$3)</f>
        <v>#DIV/0!</v>
      </c>
      <c r="AA420" s="1038" t="e">
        <f>IF($F20="","",$F20*chronic_consumption!V420/1000/$C$3)</f>
        <v>#DIV/0!</v>
      </c>
      <c r="AB420" s="1038" t="e">
        <f>IF($F20="","",$F20*chronic_consumption!W420/1000/$C$3)</f>
        <v>#DIV/0!</v>
      </c>
      <c r="AC420" s="1038" t="e">
        <f>IF($F20="","",$F20*chronic_consumption!X420/1000/$C$3)</f>
        <v>#DIV/0!</v>
      </c>
      <c r="AD420" s="1038" t="e">
        <f>IF($F20="","",$F20*chronic_consumption!Y420/1000/$C$3)</f>
        <v>#DIV/0!</v>
      </c>
      <c r="AE420" s="1038" t="e">
        <f>IF($F20="","",$F20*chronic_consumption!Z420/1000/$C$3)</f>
        <v>#DIV/0!</v>
      </c>
      <c r="AF420" s="1038" t="e">
        <f>IF($F20="","",$F20*chronic_consumption!AA420/1000/$C$3)</f>
        <v>#DIV/0!</v>
      </c>
      <c r="AG420" s="1038" t="e">
        <f>IF($F20="","",$F20*chronic_consumption!AB420/1000/$C$3)</f>
        <v>#DIV/0!</v>
      </c>
      <c r="AH420" s="1038" t="e">
        <f>IF($F20="","",$F20*chronic_consumption!AC420/1000/$C$3)</f>
        <v>#DIV/0!</v>
      </c>
      <c r="AI420" s="1038" t="e">
        <f>IF($F20="","",$F20*chronic_consumption!AD420/1000/$C$3)</f>
        <v>#DIV/0!</v>
      </c>
      <c r="AJ420" s="1038" t="e">
        <f>IF($F20="","",$F20*chronic_consumption!AE420/1000/$C$3)</f>
        <v>#DIV/0!</v>
      </c>
      <c r="AK420" s="1038" t="e">
        <f>IF($F20="","",$F20*chronic_consumption!AF420/1000/$C$3)</f>
        <v>#DIV/0!</v>
      </c>
      <c r="AL420" s="1038" t="e">
        <f>IF($F20="","",$F20*chronic_consumption!AG420/1000/$C$3)</f>
        <v>#DIV/0!</v>
      </c>
      <c r="AM420" s="1038" t="e">
        <f>IF($F20="","",$F20*chronic_consumption!AH420/1000/$C$3)</f>
        <v>#DIV/0!</v>
      </c>
      <c r="AN420" s="1038" t="e">
        <f>IF($F20="","",$F20*chronic_consumption!AI420/1000/$C$3)</f>
        <v>#DIV/0!</v>
      </c>
      <c r="AO420" s="1038" t="e">
        <f>IF($F20="","",$F20*chronic_consumption!AJ420/1000/$C$3)</f>
        <v>#DIV/0!</v>
      </c>
      <c r="AP420" s="1038" t="e">
        <f>IF($F20="","",$F20*chronic_consumption!AK420/1000/$C$3)</f>
        <v>#DIV/0!</v>
      </c>
      <c r="AQ420" s="1038" t="e">
        <f>IF($F20="","",$F20*chronic_consumption!AL420/1000/$C$3)</f>
        <v>#DIV/0!</v>
      </c>
      <c r="AR420" s="1038" t="e">
        <f>IF($F20="","",$F20*chronic_consumption!AM420/1000/$C$3)</f>
        <v>#DIV/0!</v>
      </c>
      <c r="AS420" s="1038" t="e">
        <f>IF($F20="","",$F20*chronic_consumption!AN420/1000/$C$3)</f>
        <v>#DIV/0!</v>
      </c>
      <c r="AT420" s="1038" t="e">
        <f>IF($F20="","",$F20*chronic_consumption!AO420/1000/$C$3)</f>
        <v>#DIV/0!</v>
      </c>
      <c r="AU420" s="1038" t="e">
        <f>IF($F20="","",$F20*chronic_consumption!AP420/1000/$C$3)</f>
        <v>#DIV/0!</v>
      </c>
      <c r="AV420" s="1038" t="e">
        <f>IF($F20="","",$F20*chronic_consumption!AQ420/1000/$C$3)</f>
        <v>#DIV/0!</v>
      </c>
      <c r="AW420" s="1038" t="e">
        <f>IF($F20="","",$F20*chronic_consumption!AR420/1000/$C$3)</f>
        <v>#DIV/0!</v>
      </c>
      <c r="AX420" s="1038" t="e">
        <f>IF($F20="","",$F20*chronic_consumption!AS420/1000/$C$3)</f>
        <v>#DIV/0!</v>
      </c>
      <c r="AY420" s="1038" t="e">
        <f>IF($F20="","",$F20*chronic_consumption!AT420/1000/$C$3)</f>
        <v>#DIV/0!</v>
      </c>
      <c r="AZ420" s="44" t="s">
        <v>20</v>
      </c>
      <c r="BC420" s="29"/>
      <c r="BD420" s="29"/>
    </row>
    <row r="421" spans="1:56" ht="12" customHeight="1" outlineLevel="3" x14ac:dyDescent="0.2">
      <c r="A421" s="21">
        <f>acute_overview_children!A21</f>
        <v>4</v>
      </c>
      <c r="B421" s="325">
        <f t="shared" si="36"/>
        <v>120010</v>
      </c>
      <c r="C421" s="325" t="str">
        <f t="shared" si="36"/>
        <v>Almonds</v>
      </c>
      <c r="D421" s="135"/>
      <c r="E421" s="1027"/>
      <c r="F421" s="87"/>
      <c r="G421" s="1027"/>
      <c r="H421" s="1029"/>
      <c r="I421" s="1030"/>
      <c r="J421" s="1039" t="e">
        <f>IF($F21="","",$F21*chronic_consumption!E421/1000/$C$3)</f>
        <v>#DIV/0!</v>
      </c>
      <c r="K421" s="1040" t="e">
        <f>IF($F21="","",$F21*chronic_consumption!F421/1000/$C$3)</f>
        <v>#DIV/0!</v>
      </c>
      <c r="L421" s="1040" t="e">
        <f>IF($F21="","",$F21*chronic_consumption!G421/1000/$C$3)</f>
        <v>#DIV/0!</v>
      </c>
      <c r="M421" s="1040" t="e">
        <f>IF($F21="","",$F21*chronic_consumption!H421/1000/$C$3)</f>
        <v>#DIV/0!</v>
      </c>
      <c r="N421" s="1040" t="e">
        <f>IF($F21="","",$F21*chronic_consumption!I421/1000/$C$3)</f>
        <v>#DIV/0!</v>
      </c>
      <c r="O421" s="1040" t="e">
        <f>IF($F21="","",$F21*chronic_consumption!J421/1000/$C$3)</f>
        <v>#DIV/0!</v>
      </c>
      <c r="P421" s="1040" t="e">
        <f>IF($F21="","",$F21*chronic_consumption!K421/1000/$C$3)</f>
        <v>#DIV/0!</v>
      </c>
      <c r="Q421" s="1040" t="e">
        <f>IF($F21="","",$F21*chronic_consumption!L421/1000/$C$3)</f>
        <v>#DIV/0!</v>
      </c>
      <c r="R421" s="1040" t="e">
        <f>IF($F21="","",$F21*chronic_consumption!M421/1000/$C$3)</f>
        <v>#DIV/0!</v>
      </c>
      <c r="S421" s="1040" t="e">
        <f>IF($F21="","",$F21*chronic_consumption!N421/1000/$C$3)</f>
        <v>#DIV/0!</v>
      </c>
      <c r="T421" s="1040" t="e">
        <f>IF($F21="","",$F21*chronic_consumption!O421/1000/$C$3)</f>
        <v>#DIV/0!</v>
      </c>
      <c r="U421" s="1040" t="e">
        <f>IF($F21="","",$F21*chronic_consumption!P421/1000/$C$3)</f>
        <v>#DIV/0!</v>
      </c>
      <c r="V421" s="1040" t="e">
        <f>IF($F21="","",$F21*chronic_consumption!Q421/1000/$C$3)</f>
        <v>#DIV/0!</v>
      </c>
      <c r="W421" s="1040" t="e">
        <f>IF($F21="","",$F21*chronic_consumption!R421/1000/$C$3)</f>
        <v>#DIV/0!</v>
      </c>
      <c r="X421" s="1040" t="e">
        <f>IF($F21="","",$F21*chronic_consumption!S421/1000/$C$3)</f>
        <v>#DIV/0!</v>
      </c>
      <c r="Y421" s="1040" t="e">
        <f>IF($F21="","",$F21*chronic_consumption!T421/1000/$C$3)</f>
        <v>#DIV/0!</v>
      </c>
      <c r="Z421" s="1040" t="e">
        <f>IF($F21="","",$F21*chronic_consumption!U421/1000/$C$3)</f>
        <v>#DIV/0!</v>
      </c>
      <c r="AA421" s="1040" t="e">
        <f>IF($F21="","",$F21*chronic_consumption!V421/1000/$C$3)</f>
        <v>#DIV/0!</v>
      </c>
      <c r="AB421" s="1040" t="e">
        <f>IF($F21="","",$F21*chronic_consumption!W421/1000/$C$3)</f>
        <v>#DIV/0!</v>
      </c>
      <c r="AC421" s="1040" t="e">
        <f>IF($F21="","",$F21*chronic_consumption!X421/1000/$C$3)</f>
        <v>#DIV/0!</v>
      </c>
      <c r="AD421" s="1040" t="e">
        <f>IF($F21="","",$F21*chronic_consumption!Y421/1000/$C$3)</f>
        <v>#DIV/0!</v>
      </c>
      <c r="AE421" s="1040" t="e">
        <f>IF($F21="","",$F21*chronic_consumption!Z421/1000/$C$3)</f>
        <v>#DIV/0!</v>
      </c>
      <c r="AF421" s="1040" t="e">
        <f>IF($F21="","",$F21*chronic_consumption!AA421/1000/$C$3)</f>
        <v>#DIV/0!</v>
      </c>
      <c r="AG421" s="1040" t="e">
        <f>IF($F21="","",$F21*chronic_consumption!AB421/1000/$C$3)</f>
        <v>#DIV/0!</v>
      </c>
      <c r="AH421" s="1040" t="e">
        <f>IF($F21="","",$F21*chronic_consumption!AC421/1000/$C$3)</f>
        <v>#DIV/0!</v>
      </c>
      <c r="AI421" s="1040" t="e">
        <f>IF($F21="","",$F21*chronic_consumption!AD421/1000/$C$3)</f>
        <v>#DIV/0!</v>
      </c>
      <c r="AJ421" s="1040" t="e">
        <f>IF($F21="","",$F21*chronic_consumption!AE421/1000/$C$3)</f>
        <v>#DIV/0!</v>
      </c>
      <c r="AK421" s="1040" t="e">
        <f>IF($F21="","",$F21*chronic_consumption!AF421/1000/$C$3)</f>
        <v>#DIV/0!</v>
      </c>
      <c r="AL421" s="1040" t="e">
        <f>IF($F21="","",$F21*chronic_consumption!AG421/1000/$C$3)</f>
        <v>#DIV/0!</v>
      </c>
      <c r="AM421" s="1040" t="e">
        <f>IF($F21="","",$F21*chronic_consumption!AH421/1000/$C$3)</f>
        <v>#DIV/0!</v>
      </c>
      <c r="AN421" s="1040" t="e">
        <f>IF($F21="","",$F21*chronic_consumption!AI421/1000/$C$3)</f>
        <v>#DIV/0!</v>
      </c>
      <c r="AO421" s="1040" t="e">
        <f>IF($F21="","",$F21*chronic_consumption!AJ421/1000/$C$3)</f>
        <v>#DIV/0!</v>
      </c>
      <c r="AP421" s="1040" t="e">
        <f>IF($F21="","",$F21*chronic_consumption!AK421/1000/$C$3)</f>
        <v>#DIV/0!</v>
      </c>
      <c r="AQ421" s="1040" t="e">
        <f>IF($F21="","",$F21*chronic_consumption!AL421/1000/$C$3)</f>
        <v>#DIV/0!</v>
      </c>
      <c r="AR421" s="1040" t="e">
        <f>IF($F21="","",$F21*chronic_consumption!AM421/1000/$C$3)</f>
        <v>#DIV/0!</v>
      </c>
      <c r="AS421" s="1040" t="e">
        <f>IF($F21="","",$F21*chronic_consumption!AN421/1000/$C$3)</f>
        <v>#DIV/0!</v>
      </c>
      <c r="AT421" s="1040" t="e">
        <f>IF($F21="","",$F21*chronic_consumption!AO421/1000/$C$3)</f>
        <v>#DIV/0!</v>
      </c>
      <c r="AU421" s="1040" t="e">
        <f>IF($F21="","",$F21*chronic_consumption!AP421/1000/$C$3)</f>
        <v>#DIV/0!</v>
      </c>
      <c r="AV421" s="1040" t="e">
        <f>IF($F21="","",$F21*chronic_consumption!AQ421/1000/$C$3)</f>
        <v>#DIV/0!</v>
      </c>
      <c r="AW421" s="1040" t="e">
        <f>IF($F21="","",$F21*chronic_consumption!AR421/1000/$C$3)</f>
        <v>#DIV/0!</v>
      </c>
      <c r="AX421" s="1040" t="e">
        <f>IF($F21="","",$F21*chronic_consumption!AS421/1000/$C$3)</f>
        <v>#DIV/0!</v>
      </c>
      <c r="AY421" s="1040" t="e">
        <f>IF($F21="","",$F21*chronic_consumption!AT421/1000/$C$3)</f>
        <v>#DIV/0!</v>
      </c>
      <c r="AZ421" s="44" t="s">
        <v>20</v>
      </c>
      <c r="BC421" s="29"/>
      <c r="BD421" s="29"/>
    </row>
    <row r="422" spans="1:56" ht="12" customHeight="1" outlineLevel="3" x14ac:dyDescent="0.2">
      <c r="A422" s="21">
        <f>acute_overview_children!A22</f>
        <v>4</v>
      </c>
      <c r="B422" s="325">
        <f t="shared" si="36"/>
        <v>120020</v>
      </c>
      <c r="C422" s="325" t="str">
        <f t="shared" si="36"/>
        <v>Brazil nuts</v>
      </c>
      <c r="D422" s="135"/>
      <c r="E422" s="1027"/>
      <c r="F422" s="87"/>
      <c r="G422" s="1027"/>
      <c r="H422" s="1029"/>
      <c r="I422" s="1030"/>
      <c r="J422" s="1039" t="e">
        <f>IF($F22="","",$F22*chronic_consumption!E422/1000/$C$3)</f>
        <v>#DIV/0!</v>
      </c>
      <c r="K422" s="1040" t="e">
        <f>IF($F22="","",$F22*chronic_consumption!F422/1000/$C$3)</f>
        <v>#DIV/0!</v>
      </c>
      <c r="L422" s="1040" t="e">
        <f>IF($F22="","",$F22*chronic_consumption!G422/1000/$C$3)</f>
        <v>#DIV/0!</v>
      </c>
      <c r="M422" s="1040" t="e">
        <f>IF($F22="","",$F22*chronic_consumption!H422/1000/$C$3)</f>
        <v>#DIV/0!</v>
      </c>
      <c r="N422" s="1040" t="e">
        <f>IF($F22="","",$F22*chronic_consumption!I422/1000/$C$3)</f>
        <v>#DIV/0!</v>
      </c>
      <c r="O422" s="1040" t="e">
        <f>IF($F22="","",$F22*chronic_consumption!J422/1000/$C$3)</f>
        <v>#DIV/0!</v>
      </c>
      <c r="P422" s="1040" t="e">
        <f>IF($F22="","",$F22*chronic_consumption!K422/1000/$C$3)</f>
        <v>#DIV/0!</v>
      </c>
      <c r="Q422" s="1040" t="e">
        <f>IF($F22="","",$F22*chronic_consumption!L422/1000/$C$3)</f>
        <v>#DIV/0!</v>
      </c>
      <c r="R422" s="1040" t="e">
        <f>IF($F22="","",$F22*chronic_consumption!M422/1000/$C$3)</f>
        <v>#DIV/0!</v>
      </c>
      <c r="S422" s="1040" t="e">
        <f>IF($F22="","",$F22*chronic_consumption!N422/1000/$C$3)</f>
        <v>#DIV/0!</v>
      </c>
      <c r="T422" s="1040" t="e">
        <f>IF($F22="","",$F22*chronic_consumption!O422/1000/$C$3)</f>
        <v>#DIV/0!</v>
      </c>
      <c r="U422" s="1040" t="e">
        <f>IF($F22="","",$F22*chronic_consumption!P422/1000/$C$3)</f>
        <v>#DIV/0!</v>
      </c>
      <c r="V422" s="1040" t="e">
        <f>IF($F22="","",$F22*chronic_consumption!Q422/1000/$C$3)</f>
        <v>#DIV/0!</v>
      </c>
      <c r="W422" s="1040" t="e">
        <f>IF($F22="","",$F22*chronic_consumption!R422/1000/$C$3)</f>
        <v>#DIV/0!</v>
      </c>
      <c r="X422" s="1040" t="e">
        <f>IF($F22="","",$F22*chronic_consumption!S422/1000/$C$3)</f>
        <v>#DIV/0!</v>
      </c>
      <c r="Y422" s="1040" t="e">
        <f>IF($F22="","",$F22*chronic_consumption!T422/1000/$C$3)</f>
        <v>#DIV/0!</v>
      </c>
      <c r="Z422" s="1040" t="e">
        <f>IF($F22="","",$F22*chronic_consumption!U422/1000/$C$3)</f>
        <v>#DIV/0!</v>
      </c>
      <c r="AA422" s="1040" t="e">
        <f>IF($F22="","",$F22*chronic_consumption!V422/1000/$C$3)</f>
        <v>#DIV/0!</v>
      </c>
      <c r="AB422" s="1040" t="e">
        <f>IF($F22="","",$F22*chronic_consumption!W422/1000/$C$3)</f>
        <v>#DIV/0!</v>
      </c>
      <c r="AC422" s="1040" t="e">
        <f>IF($F22="","",$F22*chronic_consumption!X422/1000/$C$3)</f>
        <v>#DIV/0!</v>
      </c>
      <c r="AD422" s="1040" t="e">
        <f>IF($F22="","",$F22*chronic_consumption!Y422/1000/$C$3)</f>
        <v>#DIV/0!</v>
      </c>
      <c r="AE422" s="1040" t="e">
        <f>IF($F22="","",$F22*chronic_consumption!Z422/1000/$C$3)</f>
        <v>#DIV/0!</v>
      </c>
      <c r="AF422" s="1040" t="e">
        <f>IF($F22="","",$F22*chronic_consumption!AA422/1000/$C$3)</f>
        <v>#DIV/0!</v>
      </c>
      <c r="AG422" s="1040" t="e">
        <f>IF($F22="","",$F22*chronic_consumption!AB422/1000/$C$3)</f>
        <v>#DIV/0!</v>
      </c>
      <c r="AH422" s="1040" t="e">
        <f>IF($F22="","",$F22*chronic_consumption!AC422/1000/$C$3)</f>
        <v>#DIV/0!</v>
      </c>
      <c r="AI422" s="1040" t="e">
        <f>IF($F22="","",$F22*chronic_consumption!AD422/1000/$C$3)</f>
        <v>#DIV/0!</v>
      </c>
      <c r="AJ422" s="1040" t="e">
        <f>IF($F22="","",$F22*chronic_consumption!AE422/1000/$C$3)</f>
        <v>#DIV/0!</v>
      </c>
      <c r="AK422" s="1040" t="e">
        <f>IF($F22="","",$F22*chronic_consumption!AF422/1000/$C$3)</f>
        <v>#DIV/0!</v>
      </c>
      <c r="AL422" s="1040" t="e">
        <f>IF($F22="","",$F22*chronic_consumption!AG422/1000/$C$3)</f>
        <v>#DIV/0!</v>
      </c>
      <c r="AM422" s="1040" t="e">
        <f>IF($F22="","",$F22*chronic_consumption!AH422/1000/$C$3)</f>
        <v>#DIV/0!</v>
      </c>
      <c r="AN422" s="1040" t="e">
        <f>IF($F22="","",$F22*chronic_consumption!AI422/1000/$C$3)</f>
        <v>#DIV/0!</v>
      </c>
      <c r="AO422" s="1040" t="e">
        <f>IF($F22="","",$F22*chronic_consumption!AJ422/1000/$C$3)</f>
        <v>#DIV/0!</v>
      </c>
      <c r="AP422" s="1040" t="e">
        <f>IF($F22="","",$F22*chronic_consumption!AK422/1000/$C$3)</f>
        <v>#DIV/0!</v>
      </c>
      <c r="AQ422" s="1040" t="e">
        <f>IF($F22="","",$F22*chronic_consumption!AL422/1000/$C$3)</f>
        <v>#DIV/0!</v>
      </c>
      <c r="AR422" s="1040" t="e">
        <f>IF($F22="","",$F22*chronic_consumption!AM422/1000/$C$3)</f>
        <v>#DIV/0!</v>
      </c>
      <c r="AS422" s="1040" t="e">
        <f>IF($F22="","",$F22*chronic_consumption!AN422/1000/$C$3)</f>
        <v>#DIV/0!</v>
      </c>
      <c r="AT422" s="1040" t="e">
        <f>IF($F22="","",$F22*chronic_consumption!AO422/1000/$C$3)</f>
        <v>#DIV/0!</v>
      </c>
      <c r="AU422" s="1040" t="e">
        <f>IF($F22="","",$F22*chronic_consumption!AP422/1000/$C$3)</f>
        <v>#DIV/0!</v>
      </c>
      <c r="AV422" s="1040" t="e">
        <f>IF($F22="","",$F22*chronic_consumption!AQ422/1000/$C$3)</f>
        <v>#DIV/0!</v>
      </c>
      <c r="AW422" s="1040" t="e">
        <f>IF($F22="","",$F22*chronic_consumption!AR422/1000/$C$3)</f>
        <v>#DIV/0!</v>
      </c>
      <c r="AX422" s="1040" t="e">
        <f>IF($F22="","",$F22*chronic_consumption!AS422/1000/$C$3)</f>
        <v>#DIV/0!</v>
      </c>
      <c r="AY422" s="1040" t="e">
        <f>IF($F22="","",$F22*chronic_consumption!AT422/1000/$C$3)</f>
        <v>#DIV/0!</v>
      </c>
      <c r="AZ422" s="44" t="s">
        <v>20</v>
      </c>
      <c r="BC422" s="29"/>
      <c r="BD422" s="29"/>
    </row>
    <row r="423" spans="1:56" ht="12" customHeight="1" outlineLevel="3" x14ac:dyDescent="0.2">
      <c r="A423" s="21">
        <f>acute_overview_children!A23</f>
        <v>4</v>
      </c>
      <c r="B423" s="325">
        <f t="shared" si="36"/>
        <v>120030</v>
      </c>
      <c r="C423" s="325" t="str">
        <f t="shared" si="36"/>
        <v>Cashew nuts</v>
      </c>
      <c r="D423" s="135"/>
      <c r="E423" s="1027"/>
      <c r="F423" s="87"/>
      <c r="G423" s="1027"/>
      <c r="H423" s="1029"/>
      <c r="I423" s="1030"/>
      <c r="J423" s="1039" t="e">
        <f>IF($F23="","",$F23*chronic_consumption!E423/1000/$C$3)</f>
        <v>#DIV/0!</v>
      </c>
      <c r="K423" s="1040" t="e">
        <f>IF($F23="","",$F23*chronic_consumption!F423/1000/$C$3)</f>
        <v>#DIV/0!</v>
      </c>
      <c r="L423" s="1040" t="e">
        <f>IF($F23="","",$F23*chronic_consumption!G423/1000/$C$3)</f>
        <v>#DIV/0!</v>
      </c>
      <c r="M423" s="1040" t="e">
        <f>IF($F23="","",$F23*chronic_consumption!H423/1000/$C$3)</f>
        <v>#DIV/0!</v>
      </c>
      <c r="N423" s="1040" t="e">
        <f>IF($F23="","",$F23*chronic_consumption!I423/1000/$C$3)</f>
        <v>#DIV/0!</v>
      </c>
      <c r="O423" s="1040" t="e">
        <f>IF($F23="","",$F23*chronic_consumption!J423/1000/$C$3)</f>
        <v>#DIV/0!</v>
      </c>
      <c r="P423" s="1040" t="e">
        <f>IF($F23="","",$F23*chronic_consumption!K423/1000/$C$3)</f>
        <v>#DIV/0!</v>
      </c>
      <c r="Q423" s="1040" t="e">
        <f>IF($F23="","",$F23*chronic_consumption!L423/1000/$C$3)</f>
        <v>#DIV/0!</v>
      </c>
      <c r="R423" s="1040" t="e">
        <f>IF($F23="","",$F23*chronic_consumption!M423/1000/$C$3)</f>
        <v>#DIV/0!</v>
      </c>
      <c r="S423" s="1040" t="e">
        <f>IF($F23="","",$F23*chronic_consumption!N423/1000/$C$3)</f>
        <v>#DIV/0!</v>
      </c>
      <c r="T423" s="1040" t="e">
        <f>IF($F23="","",$F23*chronic_consumption!O423/1000/$C$3)</f>
        <v>#DIV/0!</v>
      </c>
      <c r="U423" s="1040" t="e">
        <f>IF($F23="","",$F23*chronic_consumption!P423/1000/$C$3)</f>
        <v>#DIV/0!</v>
      </c>
      <c r="V423" s="1040" t="e">
        <f>IF($F23="","",$F23*chronic_consumption!Q423/1000/$C$3)</f>
        <v>#DIV/0!</v>
      </c>
      <c r="W423" s="1040" t="e">
        <f>IF($F23="","",$F23*chronic_consumption!R423/1000/$C$3)</f>
        <v>#DIV/0!</v>
      </c>
      <c r="X423" s="1040" t="e">
        <f>IF($F23="","",$F23*chronic_consumption!S423/1000/$C$3)</f>
        <v>#DIV/0!</v>
      </c>
      <c r="Y423" s="1040" t="e">
        <f>IF($F23="","",$F23*chronic_consumption!T423/1000/$C$3)</f>
        <v>#DIV/0!</v>
      </c>
      <c r="Z423" s="1040" t="e">
        <f>IF($F23="","",$F23*chronic_consumption!U423/1000/$C$3)</f>
        <v>#DIV/0!</v>
      </c>
      <c r="AA423" s="1040" t="e">
        <f>IF($F23="","",$F23*chronic_consumption!V423/1000/$C$3)</f>
        <v>#DIV/0!</v>
      </c>
      <c r="AB423" s="1040" t="e">
        <f>IF($F23="","",$F23*chronic_consumption!W423/1000/$C$3)</f>
        <v>#DIV/0!</v>
      </c>
      <c r="AC423" s="1040" t="e">
        <f>IF($F23="","",$F23*chronic_consumption!X423/1000/$C$3)</f>
        <v>#DIV/0!</v>
      </c>
      <c r="AD423" s="1040" t="e">
        <f>IF($F23="","",$F23*chronic_consumption!Y423/1000/$C$3)</f>
        <v>#DIV/0!</v>
      </c>
      <c r="AE423" s="1040" t="e">
        <f>IF($F23="","",$F23*chronic_consumption!Z423/1000/$C$3)</f>
        <v>#DIV/0!</v>
      </c>
      <c r="AF423" s="1040" t="e">
        <f>IF($F23="","",$F23*chronic_consumption!AA423/1000/$C$3)</f>
        <v>#DIV/0!</v>
      </c>
      <c r="AG423" s="1040" t="e">
        <f>IF($F23="","",$F23*chronic_consumption!AB423/1000/$C$3)</f>
        <v>#DIV/0!</v>
      </c>
      <c r="AH423" s="1040" t="e">
        <f>IF($F23="","",$F23*chronic_consumption!AC423/1000/$C$3)</f>
        <v>#DIV/0!</v>
      </c>
      <c r="AI423" s="1040" t="e">
        <f>IF($F23="","",$F23*chronic_consumption!AD423/1000/$C$3)</f>
        <v>#DIV/0!</v>
      </c>
      <c r="AJ423" s="1040" t="e">
        <f>IF($F23="","",$F23*chronic_consumption!AE423/1000/$C$3)</f>
        <v>#DIV/0!</v>
      </c>
      <c r="AK423" s="1040" t="e">
        <f>IF($F23="","",$F23*chronic_consumption!AF423/1000/$C$3)</f>
        <v>#DIV/0!</v>
      </c>
      <c r="AL423" s="1040" t="e">
        <f>IF($F23="","",$F23*chronic_consumption!AG423/1000/$C$3)</f>
        <v>#DIV/0!</v>
      </c>
      <c r="AM423" s="1040" t="e">
        <f>IF($F23="","",$F23*chronic_consumption!AH423/1000/$C$3)</f>
        <v>#DIV/0!</v>
      </c>
      <c r="AN423" s="1040" t="e">
        <f>IF($F23="","",$F23*chronic_consumption!AI423/1000/$C$3)</f>
        <v>#DIV/0!</v>
      </c>
      <c r="AO423" s="1040" t="e">
        <f>IF($F23="","",$F23*chronic_consumption!AJ423/1000/$C$3)</f>
        <v>#DIV/0!</v>
      </c>
      <c r="AP423" s="1040" t="e">
        <f>IF($F23="","",$F23*chronic_consumption!AK423/1000/$C$3)</f>
        <v>#DIV/0!</v>
      </c>
      <c r="AQ423" s="1040" t="e">
        <f>IF($F23="","",$F23*chronic_consumption!AL423/1000/$C$3)</f>
        <v>#DIV/0!</v>
      </c>
      <c r="AR423" s="1040" t="e">
        <f>IF($F23="","",$F23*chronic_consumption!AM423/1000/$C$3)</f>
        <v>#DIV/0!</v>
      </c>
      <c r="AS423" s="1040" t="e">
        <f>IF($F23="","",$F23*chronic_consumption!AN423/1000/$C$3)</f>
        <v>#DIV/0!</v>
      </c>
      <c r="AT423" s="1040" t="e">
        <f>IF($F23="","",$F23*chronic_consumption!AO423/1000/$C$3)</f>
        <v>#DIV/0!</v>
      </c>
      <c r="AU423" s="1040" t="e">
        <f>IF($F23="","",$F23*chronic_consumption!AP423/1000/$C$3)</f>
        <v>#DIV/0!</v>
      </c>
      <c r="AV423" s="1040" t="e">
        <f>IF($F23="","",$F23*chronic_consumption!AQ423/1000/$C$3)</f>
        <v>#DIV/0!</v>
      </c>
      <c r="AW423" s="1040" t="e">
        <f>IF($F23="","",$F23*chronic_consumption!AR423/1000/$C$3)</f>
        <v>#DIV/0!</v>
      </c>
      <c r="AX423" s="1040" t="e">
        <f>IF($F23="","",$F23*chronic_consumption!AS423/1000/$C$3)</f>
        <v>#DIV/0!</v>
      </c>
      <c r="AY423" s="1040" t="e">
        <f>IF($F23="","",$F23*chronic_consumption!AT423/1000/$C$3)</f>
        <v>#DIV/0!</v>
      </c>
      <c r="AZ423" s="44" t="s">
        <v>20</v>
      </c>
      <c r="BC423" s="29"/>
      <c r="BD423" s="29"/>
    </row>
    <row r="424" spans="1:56" ht="12" customHeight="1" outlineLevel="3" x14ac:dyDescent="0.2">
      <c r="A424" s="21">
        <f>acute_overview_children!A24</f>
        <v>4</v>
      </c>
      <c r="B424" s="325">
        <f t="shared" si="36"/>
        <v>120040</v>
      </c>
      <c r="C424" s="325" t="str">
        <f t="shared" si="36"/>
        <v>Chestnuts</v>
      </c>
      <c r="D424" s="135"/>
      <c r="E424" s="1027"/>
      <c r="F424" s="87"/>
      <c r="G424" s="1027"/>
      <c r="H424" s="1029"/>
      <c r="I424" s="1030"/>
      <c r="J424" s="1039" t="e">
        <f>IF($F24="","",$F24*chronic_consumption!E424/1000/$C$3)</f>
        <v>#DIV/0!</v>
      </c>
      <c r="K424" s="1040" t="e">
        <f>IF($F24="","",$F24*chronic_consumption!F424/1000/$C$3)</f>
        <v>#DIV/0!</v>
      </c>
      <c r="L424" s="1040" t="e">
        <f>IF($F24="","",$F24*chronic_consumption!G424/1000/$C$3)</f>
        <v>#DIV/0!</v>
      </c>
      <c r="M424" s="1040" t="e">
        <f>IF($F24="","",$F24*chronic_consumption!H424/1000/$C$3)</f>
        <v>#DIV/0!</v>
      </c>
      <c r="N424" s="1040" t="e">
        <f>IF($F24="","",$F24*chronic_consumption!I424/1000/$C$3)</f>
        <v>#DIV/0!</v>
      </c>
      <c r="O424" s="1040" t="e">
        <f>IF($F24="","",$F24*chronic_consumption!J424/1000/$C$3)</f>
        <v>#DIV/0!</v>
      </c>
      <c r="P424" s="1040" t="e">
        <f>IF($F24="","",$F24*chronic_consumption!K424/1000/$C$3)</f>
        <v>#DIV/0!</v>
      </c>
      <c r="Q424" s="1040" t="e">
        <f>IF($F24="","",$F24*chronic_consumption!L424/1000/$C$3)</f>
        <v>#DIV/0!</v>
      </c>
      <c r="R424" s="1040" t="e">
        <f>IF($F24="","",$F24*chronic_consumption!M424/1000/$C$3)</f>
        <v>#DIV/0!</v>
      </c>
      <c r="S424" s="1040" t="e">
        <f>IF($F24="","",$F24*chronic_consumption!N424/1000/$C$3)</f>
        <v>#DIV/0!</v>
      </c>
      <c r="T424" s="1040" t="e">
        <f>IF($F24="","",$F24*chronic_consumption!O424/1000/$C$3)</f>
        <v>#DIV/0!</v>
      </c>
      <c r="U424" s="1040" t="e">
        <f>IF($F24="","",$F24*chronic_consumption!P424/1000/$C$3)</f>
        <v>#DIV/0!</v>
      </c>
      <c r="V424" s="1040" t="e">
        <f>IF($F24="","",$F24*chronic_consumption!Q424/1000/$C$3)</f>
        <v>#DIV/0!</v>
      </c>
      <c r="W424" s="1040" t="e">
        <f>IF($F24="","",$F24*chronic_consumption!R424/1000/$C$3)</f>
        <v>#DIV/0!</v>
      </c>
      <c r="X424" s="1040" t="e">
        <f>IF($F24="","",$F24*chronic_consumption!S424/1000/$C$3)</f>
        <v>#DIV/0!</v>
      </c>
      <c r="Y424" s="1040" t="e">
        <f>IF($F24="","",$F24*chronic_consumption!T424/1000/$C$3)</f>
        <v>#DIV/0!</v>
      </c>
      <c r="Z424" s="1040" t="e">
        <f>IF($F24="","",$F24*chronic_consumption!U424/1000/$C$3)</f>
        <v>#DIV/0!</v>
      </c>
      <c r="AA424" s="1040" t="e">
        <f>IF($F24="","",$F24*chronic_consumption!V424/1000/$C$3)</f>
        <v>#DIV/0!</v>
      </c>
      <c r="AB424" s="1040" t="e">
        <f>IF($F24="","",$F24*chronic_consumption!W424/1000/$C$3)</f>
        <v>#DIV/0!</v>
      </c>
      <c r="AC424" s="1040" t="e">
        <f>IF($F24="","",$F24*chronic_consumption!X424/1000/$C$3)</f>
        <v>#DIV/0!</v>
      </c>
      <c r="AD424" s="1040" t="e">
        <f>IF($F24="","",$F24*chronic_consumption!Y424/1000/$C$3)</f>
        <v>#DIV/0!</v>
      </c>
      <c r="AE424" s="1040" t="e">
        <f>IF($F24="","",$F24*chronic_consumption!Z424/1000/$C$3)</f>
        <v>#DIV/0!</v>
      </c>
      <c r="AF424" s="1040" t="e">
        <f>IF($F24="","",$F24*chronic_consumption!AA424/1000/$C$3)</f>
        <v>#DIV/0!</v>
      </c>
      <c r="AG424" s="1040" t="e">
        <f>IF($F24="","",$F24*chronic_consumption!AB424/1000/$C$3)</f>
        <v>#DIV/0!</v>
      </c>
      <c r="AH424" s="1040" t="e">
        <f>IF($F24="","",$F24*chronic_consumption!AC424/1000/$C$3)</f>
        <v>#DIV/0!</v>
      </c>
      <c r="AI424" s="1040" t="e">
        <f>IF($F24="","",$F24*chronic_consumption!AD424/1000/$C$3)</f>
        <v>#DIV/0!</v>
      </c>
      <c r="AJ424" s="1040" t="e">
        <f>IF($F24="","",$F24*chronic_consumption!AE424/1000/$C$3)</f>
        <v>#DIV/0!</v>
      </c>
      <c r="AK424" s="1040" t="e">
        <f>IF($F24="","",$F24*chronic_consumption!AF424/1000/$C$3)</f>
        <v>#DIV/0!</v>
      </c>
      <c r="AL424" s="1040" t="e">
        <f>IF($F24="","",$F24*chronic_consumption!AG424/1000/$C$3)</f>
        <v>#DIV/0!</v>
      </c>
      <c r="AM424" s="1040" t="e">
        <f>IF($F24="","",$F24*chronic_consumption!AH424/1000/$C$3)</f>
        <v>#DIV/0!</v>
      </c>
      <c r="AN424" s="1040" t="e">
        <f>IF($F24="","",$F24*chronic_consumption!AI424/1000/$C$3)</f>
        <v>#DIV/0!</v>
      </c>
      <c r="AO424" s="1040" t="e">
        <f>IF($F24="","",$F24*chronic_consumption!AJ424/1000/$C$3)</f>
        <v>#DIV/0!</v>
      </c>
      <c r="AP424" s="1040" t="e">
        <f>IF($F24="","",$F24*chronic_consumption!AK424/1000/$C$3)</f>
        <v>#DIV/0!</v>
      </c>
      <c r="AQ424" s="1040" t="e">
        <f>IF($F24="","",$F24*chronic_consumption!AL424/1000/$C$3)</f>
        <v>#DIV/0!</v>
      </c>
      <c r="AR424" s="1040" t="e">
        <f>IF($F24="","",$F24*chronic_consumption!AM424/1000/$C$3)</f>
        <v>#DIV/0!</v>
      </c>
      <c r="AS424" s="1040" t="e">
        <f>IF($F24="","",$F24*chronic_consumption!AN424/1000/$C$3)</f>
        <v>#DIV/0!</v>
      </c>
      <c r="AT424" s="1040" t="e">
        <f>IF($F24="","",$F24*chronic_consumption!AO424/1000/$C$3)</f>
        <v>#DIV/0!</v>
      </c>
      <c r="AU424" s="1040" t="e">
        <f>IF($F24="","",$F24*chronic_consumption!AP424/1000/$C$3)</f>
        <v>#DIV/0!</v>
      </c>
      <c r="AV424" s="1040" t="e">
        <f>IF($F24="","",$F24*chronic_consumption!AQ424/1000/$C$3)</f>
        <v>#DIV/0!</v>
      </c>
      <c r="AW424" s="1040" t="e">
        <f>IF($F24="","",$F24*chronic_consumption!AR424/1000/$C$3)</f>
        <v>#DIV/0!</v>
      </c>
      <c r="AX424" s="1040" t="e">
        <f>IF($F24="","",$F24*chronic_consumption!AS424/1000/$C$3)</f>
        <v>#DIV/0!</v>
      </c>
      <c r="AY424" s="1040" t="e">
        <f>IF($F24="","",$F24*chronic_consumption!AT424/1000/$C$3)</f>
        <v>#DIV/0!</v>
      </c>
      <c r="AZ424" s="44" t="s">
        <v>20</v>
      </c>
      <c r="BC424" s="29"/>
      <c r="BD424" s="29"/>
    </row>
    <row r="425" spans="1:56" ht="12" customHeight="1" outlineLevel="3" x14ac:dyDescent="0.2">
      <c r="A425" s="21">
        <f>acute_overview_children!A25</f>
        <v>4</v>
      </c>
      <c r="B425" s="325">
        <f t="shared" si="36"/>
        <v>120050</v>
      </c>
      <c r="C425" s="325" t="str">
        <f t="shared" si="36"/>
        <v>Coconuts</v>
      </c>
      <c r="D425" s="135"/>
      <c r="E425" s="1027"/>
      <c r="F425" s="87"/>
      <c r="G425" s="1027"/>
      <c r="H425" s="1029"/>
      <c r="I425" s="1030"/>
      <c r="J425" s="1039" t="e">
        <f>IF($F25="","",$F25*chronic_consumption!E425/1000/$C$3)</f>
        <v>#DIV/0!</v>
      </c>
      <c r="K425" s="1040" t="e">
        <f>IF($F25="","",$F25*chronic_consumption!F425/1000/$C$3)</f>
        <v>#DIV/0!</v>
      </c>
      <c r="L425" s="1040" t="e">
        <f>IF($F25="","",$F25*chronic_consumption!G425/1000/$C$3)</f>
        <v>#DIV/0!</v>
      </c>
      <c r="M425" s="1040" t="e">
        <f>IF($F25="","",$F25*chronic_consumption!H425/1000/$C$3)</f>
        <v>#DIV/0!</v>
      </c>
      <c r="N425" s="1040" t="e">
        <f>IF($F25="","",$F25*chronic_consumption!I425/1000/$C$3)</f>
        <v>#DIV/0!</v>
      </c>
      <c r="O425" s="1040" t="e">
        <f>IF($F25="","",$F25*chronic_consumption!J425/1000/$C$3)</f>
        <v>#DIV/0!</v>
      </c>
      <c r="P425" s="1040" t="e">
        <f>IF($F25="","",$F25*chronic_consumption!K425/1000/$C$3)</f>
        <v>#DIV/0!</v>
      </c>
      <c r="Q425" s="1040" t="e">
        <f>IF($F25="","",$F25*chronic_consumption!L425/1000/$C$3)</f>
        <v>#DIV/0!</v>
      </c>
      <c r="R425" s="1040" t="e">
        <f>IF($F25="","",$F25*chronic_consumption!M425/1000/$C$3)</f>
        <v>#DIV/0!</v>
      </c>
      <c r="S425" s="1040" t="e">
        <f>IF($F25="","",$F25*chronic_consumption!N425/1000/$C$3)</f>
        <v>#DIV/0!</v>
      </c>
      <c r="T425" s="1040" t="e">
        <f>IF($F25="","",$F25*chronic_consumption!O425/1000/$C$3)</f>
        <v>#DIV/0!</v>
      </c>
      <c r="U425" s="1040" t="e">
        <f>IF($F25="","",$F25*chronic_consumption!P425/1000/$C$3)</f>
        <v>#DIV/0!</v>
      </c>
      <c r="V425" s="1040" t="e">
        <f>IF($F25="","",$F25*chronic_consumption!Q425/1000/$C$3)</f>
        <v>#DIV/0!</v>
      </c>
      <c r="W425" s="1040" t="e">
        <f>IF($F25="","",$F25*chronic_consumption!R425/1000/$C$3)</f>
        <v>#DIV/0!</v>
      </c>
      <c r="X425" s="1040" t="e">
        <f>IF($F25="","",$F25*chronic_consumption!S425/1000/$C$3)</f>
        <v>#DIV/0!</v>
      </c>
      <c r="Y425" s="1040" t="e">
        <f>IF($F25="","",$F25*chronic_consumption!T425/1000/$C$3)</f>
        <v>#DIV/0!</v>
      </c>
      <c r="Z425" s="1040" t="e">
        <f>IF($F25="","",$F25*chronic_consumption!U425/1000/$C$3)</f>
        <v>#DIV/0!</v>
      </c>
      <c r="AA425" s="1040" t="e">
        <f>IF($F25="","",$F25*chronic_consumption!V425/1000/$C$3)</f>
        <v>#DIV/0!</v>
      </c>
      <c r="AB425" s="1040" t="e">
        <f>IF($F25="","",$F25*chronic_consumption!W425/1000/$C$3)</f>
        <v>#DIV/0!</v>
      </c>
      <c r="AC425" s="1040" t="e">
        <f>IF($F25="","",$F25*chronic_consumption!X425/1000/$C$3)</f>
        <v>#DIV/0!</v>
      </c>
      <c r="AD425" s="1040" t="e">
        <f>IF($F25="","",$F25*chronic_consumption!Y425/1000/$C$3)</f>
        <v>#DIV/0!</v>
      </c>
      <c r="AE425" s="1040" t="e">
        <f>IF($F25="","",$F25*chronic_consumption!Z425/1000/$C$3)</f>
        <v>#DIV/0!</v>
      </c>
      <c r="AF425" s="1040" t="e">
        <f>IF($F25="","",$F25*chronic_consumption!AA425/1000/$C$3)</f>
        <v>#DIV/0!</v>
      </c>
      <c r="AG425" s="1040" t="e">
        <f>IF($F25="","",$F25*chronic_consumption!AB425/1000/$C$3)</f>
        <v>#DIV/0!</v>
      </c>
      <c r="AH425" s="1040" t="e">
        <f>IF($F25="","",$F25*chronic_consumption!AC425/1000/$C$3)</f>
        <v>#DIV/0!</v>
      </c>
      <c r="AI425" s="1040" t="e">
        <f>IF($F25="","",$F25*chronic_consumption!AD425/1000/$C$3)</f>
        <v>#DIV/0!</v>
      </c>
      <c r="AJ425" s="1040" t="e">
        <f>IF($F25="","",$F25*chronic_consumption!AE425/1000/$C$3)</f>
        <v>#DIV/0!</v>
      </c>
      <c r="AK425" s="1040" t="e">
        <f>IF($F25="","",$F25*chronic_consumption!AF425/1000/$C$3)</f>
        <v>#DIV/0!</v>
      </c>
      <c r="AL425" s="1040" t="e">
        <f>IF($F25="","",$F25*chronic_consumption!AG425/1000/$C$3)</f>
        <v>#DIV/0!</v>
      </c>
      <c r="AM425" s="1040" t="e">
        <f>IF($F25="","",$F25*chronic_consumption!AH425/1000/$C$3)</f>
        <v>#DIV/0!</v>
      </c>
      <c r="AN425" s="1040" t="e">
        <f>IF($F25="","",$F25*chronic_consumption!AI425/1000/$C$3)</f>
        <v>#DIV/0!</v>
      </c>
      <c r="AO425" s="1040" t="e">
        <f>IF($F25="","",$F25*chronic_consumption!AJ425/1000/$C$3)</f>
        <v>#DIV/0!</v>
      </c>
      <c r="AP425" s="1040" t="e">
        <f>IF($F25="","",$F25*chronic_consumption!AK425/1000/$C$3)</f>
        <v>#DIV/0!</v>
      </c>
      <c r="AQ425" s="1040" t="e">
        <f>IF($F25="","",$F25*chronic_consumption!AL425/1000/$C$3)</f>
        <v>#DIV/0!</v>
      </c>
      <c r="AR425" s="1040" t="e">
        <f>IF($F25="","",$F25*chronic_consumption!AM425/1000/$C$3)</f>
        <v>#DIV/0!</v>
      </c>
      <c r="AS425" s="1040" t="e">
        <f>IF($F25="","",$F25*chronic_consumption!AN425/1000/$C$3)</f>
        <v>#DIV/0!</v>
      </c>
      <c r="AT425" s="1040" t="e">
        <f>IF($F25="","",$F25*chronic_consumption!AO425/1000/$C$3)</f>
        <v>#DIV/0!</v>
      </c>
      <c r="AU425" s="1040" t="e">
        <f>IF($F25="","",$F25*chronic_consumption!AP425/1000/$C$3)</f>
        <v>#DIV/0!</v>
      </c>
      <c r="AV425" s="1040" t="e">
        <f>IF($F25="","",$F25*chronic_consumption!AQ425/1000/$C$3)</f>
        <v>#DIV/0!</v>
      </c>
      <c r="AW425" s="1040" t="e">
        <f>IF($F25="","",$F25*chronic_consumption!AR425/1000/$C$3)</f>
        <v>#DIV/0!</v>
      </c>
      <c r="AX425" s="1040" t="e">
        <f>IF($F25="","",$F25*chronic_consumption!AS425/1000/$C$3)</f>
        <v>#DIV/0!</v>
      </c>
      <c r="AY425" s="1040" t="e">
        <f>IF($F25="","",$F25*chronic_consumption!AT425/1000/$C$3)</f>
        <v>#DIV/0!</v>
      </c>
      <c r="AZ425" s="44" t="s">
        <v>20</v>
      </c>
      <c r="BC425" s="29"/>
      <c r="BD425" s="29"/>
    </row>
    <row r="426" spans="1:56" ht="12" customHeight="1" outlineLevel="3" x14ac:dyDescent="0.2">
      <c r="A426" s="21">
        <f>acute_overview_children!A26</f>
        <v>4</v>
      </c>
      <c r="B426" s="325">
        <f t="shared" si="36"/>
        <v>120060</v>
      </c>
      <c r="C426" s="325" t="str">
        <f t="shared" si="36"/>
        <v>Hazelnuts/cobnuts</v>
      </c>
      <c r="D426" s="135"/>
      <c r="E426" s="1027"/>
      <c r="F426" s="87"/>
      <c r="G426" s="1027"/>
      <c r="H426" s="1029"/>
      <c r="I426" s="1030"/>
      <c r="J426" s="1039" t="e">
        <f>IF($F26="","",$F26*chronic_consumption!E426/1000/$C$3)</f>
        <v>#DIV/0!</v>
      </c>
      <c r="K426" s="1040" t="e">
        <f>IF($F26="","",$F26*chronic_consumption!F426/1000/$C$3)</f>
        <v>#DIV/0!</v>
      </c>
      <c r="L426" s="1040" t="e">
        <f>IF($F26="","",$F26*chronic_consumption!G426/1000/$C$3)</f>
        <v>#DIV/0!</v>
      </c>
      <c r="M426" s="1040" t="e">
        <f>IF($F26="","",$F26*chronic_consumption!H426/1000/$C$3)</f>
        <v>#DIV/0!</v>
      </c>
      <c r="N426" s="1040" t="e">
        <f>IF($F26="","",$F26*chronic_consumption!I426/1000/$C$3)</f>
        <v>#DIV/0!</v>
      </c>
      <c r="O426" s="1040" t="e">
        <f>IF($F26="","",$F26*chronic_consumption!J426/1000/$C$3)</f>
        <v>#DIV/0!</v>
      </c>
      <c r="P426" s="1040" t="e">
        <f>IF($F26="","",$F26*chronic_consumption!K426/1000/$C$3)</f>
        <v>#DIV/0!</v>
      </c>
      <c r="Q426" s="1040" t="e">
        <f>IF($F26="","",$F26*chronic_consumption!L426/1000/$C$3)</f>
        <v>#DIV/0!</v>
      </c>
      <c r="R426" s="1040" t="e">
        <f>IF($F26="","",$F26*chronic_consumption!M426/1000/$C$3)</f>
        <v>#DIV/0!</v>
      </c>
      <c r="S426" s="1040" t="e">
        <f>IF($F26="","",$F26*chronic_consumption!N426/1000/$C$3)</f>
        <v>#DIV/0!</v>
      </c>
      <c r="T426" s="1040" t="e">
        <f>IF($F26="","",$F26*chronic_consumption!O426/1000/$C$3)</f>
        <v>#DIV/0!</v>
      </c>
      <c r="U426" s="1040" t="e">
        <f>IF($F26="","",$F26*chronic_consumption!P426/1000/$C$3)</f>
        <v>#DIV/0!</v>
      </c>
      <c r="V426" s="1040" t="e">
        <f>IF($F26="","",$F26*chronic_consumption!Q426/1000/$C$3)</f>
        <v>#DIV/0!</v>
      </c>
      <c r="W426" s="1040" t="e">
        <f>IF($F26="","",$F26*chronic_consumption!R426/1000/$C$3)</f>
        <v>#DIV/0!</v>
      </c>
      <c r="X426" s="1040" t="e">
        <f>IF($F26="","",$F26*chronic_consumption!S426/1000/$C$3)</f>
        <v>#DIV/0!</v>
      </c>
      <c r="Y426" s="1040" t="e">
        <f>IF($F26="","",$F26*chronic_consumption!T426/1000/$C$3)</f>
        <v>#DIV/0!</v>
      </c>
      <c r="Z426" s="1040" t="e">
        <f>IF($F26="","",$F26*chronic_consumption!U426/1000/$C$3)</f>
        <v>#DIV/0!</v>
      </c>
      <c r="AA426" s="1040" t="e">
        <f>IF($F26="","",$F26*chronic_consumption!V426/1000/$C$3)</f>
        <v>#DIV/0!</v>
      </c>
      <c r="AB426" s="1040" t="e">
        <f>IF($F26="","",$F26*chronic_consumption!W426/1000/$C$3)</f>
        <v>#DIV/0!</v>
      </c>
      <c r="AC426" s="1040" t="e">
        <f>IF($F26="","",$F26*chronic_consumption!X426/1000/$C$3)</f>
        <v>#DIV/0!</v>
      </c>
      <c r="AD426" s="1040" t="e">
        <f>IF($F26="","",$F26*chronic_consumption!Y426/1000/$C$3)</f>
        <v>#DIV/0!</v>
      </c>
      <c r="AE426" s="1040" t="e">
        <f>IF($F26="","",$F26*chronic_consumption!Z426/1000/$C$3)</f>
        <v>#DIV/0!</v>
      </c>
      <c r="AF426" s="1040" t="e">
        <f>IF($F26="","",$F26*chronic_consumption!AA426/1000/$C$3)</f>
        <v>#DIV/0!</v>
      </c>
      <c r="AG426" s="1040" t="e">
        <f>IF($F26="","",$F26*chronic_consumption!AB426/1000/$C$3)</f>
        <v>#DIV/0!</v>
      </c>
      <c r="AH426" s="1040" t="e">
        <f>IF($F26="","",$F26*chronic_consumption!AC426/1000/$C$3)</f>
        <v>#DIV/0!</v>
      </c>
      <c r="AI426" s="1040" t="e">
        <f>IF($F26="","",$F26*chronic_consumption!AD426/1000/$C$3)</f>
        <v>#DIV/0!</v>
      </c>
      <c r="AJ426" s="1040" t="e">
        <f>IF($F26="","",$F26*chronic_consumption!AE426/1000/$C$3)</f>
        <v>#DIV/0!</v>
      </c>
      <c r="AK426" s="1040" t="e">
        <f>IF($F26="","",$F26*chronic_consumption!AF426/1000/$C$3)</f>
        <v>#DIV/0!</v>
      </c>
      <c r="AL426" s="1040" t="e">
        <f>IF($F26="","",$F26*chronic_consumption!AG426/1000/$C$3)</f>
        <v>#DIV/0!</v>
      </c>
      <c r="AM426" s="1040" t="e">
        <f>IF($F26="","",$F26*chronic_consumption!AH426/1000/$C$3)</f>
        <v>#DIV/0!</v>
      </c>
      <c r="AN426" s="1040" t="e">
        <f>IF($F26="","",$F26*chronic_consumption!AI426/1000/$C$3)</f>
        <v>#DIV/0!</v>
      </c>
      <c r="AO426" s="1040" t="e">
        <f>IF($F26="","",$F26*chronic_consumption!AJ426/1000/$C$3)</f>
        <v>#DIV/0!</v>
      </c>
      <c r="AP426" s="1040" t="e">
        <f>IF($F26="","",$F26*chronic_consumption!AK426/1000/$C$3)</f>
        <v>#DIV/0!</v>
      </c>
      <c r="AQ426" s="1040" t="e">
        <f>IF($F26="","",$F26*chronic_consumption!AL426/1000/$C$3)</f>
        <v>#DIV/0!</v>
      </c>
      <c r="AR426" s="1040" t="e">
        <f>IF($F26="","",$F26*chronic_consumption!AM426/1000/$C$3)</f>
        <v>#DIV/0!</v>
      </c>
      <c r="AS426" s="1040" t="e">
        <f>IF($F26="","",$F26*chronic_consumption!AN426/1000/$C$3)</f>
        <v>#DIV/0!</v>
      </c>
      <c r="AT426" s="1040" t="e">
        <f>IF($F26="","",$F26*chronic_consumption!AO426/1000/$C$3)</f>
        <v>#DIV/0!</v>
      </c>
      <c r="AU426" s="1040" t="e">
        <f>IF($F26="","",$F26*chronic_consumption!AP426/1000/$C$3)</f>
        <v>#DIV/0!</v>
      </c>
      <c r="AV426" s="1040" t="e">
        <f>IF($F26="","",$F26*chronic_consumption!AQ426/1000/$C$3)</f>
        <v>#DIV/0!</v>
      </c>
      <c r="AW426" s="1040" t="e">
        <f>IF($F26="","",$F26*chronic_consumption!AR426/1000/$C$3)</f>
        <v>#DIV/0!</v>
      </c>
      <c r="AX426" s="1040" t="e">
        <f>IF($F26="","",$F26*chronic_consumption!AS426/1000/$C$3)</f>
        <v>#DIV/0!</v>
      </c>
      <c r="AY426" s="1040" t="e">
        <f>IF($F26="","",$F26*chronic_consumption!AT426/1000/$C$3)</f>
        <v>#DIV/0!</v>
      </c>
      <c r="AZ426" s="44" t="s">
        <v>20</v>
      </c>
      <c r="BC426" s="29"/>
      <c r="BD426" s="29"/>
    </row>
    <row r="427" spans="1:56" ht="12" customHeight="1" outlineLevel="3" x14ac:dyDescent="0.2">
      <c r="A427" s="21">
        <f>acute_overview_children!A27</f>
        <v>4</v>
      </c>
      <c r="B427" s="325">
        <f t="shared" si="36"/>
        <v>120070</v>
      </c>
      <c r="C427" s="325" t="str">
        <f t="shared" si="36"/>
        <v>Macadamia</v>
      </c>
      <c r="D427" s="135"/>
      <c r="E427" s="1027"/>
      <c r="F427" s="87"/>
      <c r="G427" s="1027"/>
      <c r="H427" s="1029"/>
      <c r="I427" s="1030"/>
      <c r="J427" s="1039" t="e">
        <f>IF($F27="","",$F27*chronic_consumption!E427/1000/$C$3)</f>
        <v>#DIV/0!</v>
      </c>
      <c r="K427" s="1040" t="e">
        <f>IF($F27="","",$F27*chronic_consumption!F427/1000/$C$3)</f>
        <v>#DIV/0!</v>
      </c>
      <c r="L427" s="1040" t="e">
        <f>IF($F27="","",$F27*chronic_consumption!G427/1000/$C$3)</f>
        <v>#DIV/0!</v>
      </c>
      <c r="M427" s="1040" t="e">
        <f>IF($F27="","",$F27*chronic_consumption!H427/1000/$C$3)</f>
        <v>#DIV/0!</v>
      </c>
      <c r="N427" s="1040" t="e">
        <f>IF($F27="","",$F27*chronic_consumption!I427/1000/$C$3)</f>
        <v>#DIV/0!</v>
      </c>
      <c r="O427" s="1040" t="e">
        <f>IF($F27="","",$F27*chronic_consumption!J427/1000/$C$3)</f>
        <v>#DIV/0!</v>
      </c>
      <c r="P427" s="1040" t="e">
        <f>IF($F27="","",$F27*chronic_consumption!K427/1000/$C$3)</f>
        <v>#DIV/0!</v>
      </c>
      <c r="Q427" s="1040" t="e">
        <f>IF($F27="","",$F27*chronic_consumption!L427/1000/$C$3)</f>
        <v>#DIV/0!</v>
      </c>
      <c r="R427" s="1040" t="e">
        <f>IF($F27="","",$F27*chronic_consumption!M427/1000/$C$3)</f>
        <v>#DIV/0!</v>
      </c>
      <c r="S427" s="1040" t="e">
        <f>IF($F27="","",$F27*chronic_consumption!N427/1000/$C$3)</f>
        <v>#DIV/0!</v>
      </c>
      <c r="T427" s="1040" t="e">
        <f>IF($F27="","",$F27*chronic_consumption!O427/1000/$C$3)</f>
        <v>#DIV/0!</v>
      </c>
      <c r="U427" s="1040" t="e">
        <f>IF($F27="","",$F27*chronic_consumption!P427/1000/$C$3)</f>
        <v>#DIV/0!</v>
      </c>
      <c r="V427" s="1040" t="e">
        <f>IF($F27="","",$F27*chronic_consumption!Q427/1000/$C$3)</f>
        <v>#DIV/0!</v>
      </c>
      <c r="W427" s="1040" t="e">
        <f>IF($F27="","",$F27*chronic_consumption!R427/1000/$C$3)</f>
        <v>#DIV/0!</v>
      </c>
      <c r="X427" s="1040" t="e">
        <f>IF($F27="","",$F27*chronic_consumption!S427/1000/$C$3)</f>
        <v>#DIV/0!</v>
      </c>
      <c r="Y427" s="1040" t="e">
        <f>IF($F27="","",$F27*chronic_consumption!T427/1000/$C$3)</f>
        <v>#DIV/0!</v>
      </c>
      <c r="Z427" s="1040" t="e">
        <f>IF($F27="","",$F27*chronic_consumption!U427/1000/$C$3)</f>
        <v>#DIV/0!</v>
      </c>
      <c r="AA427" s="1040" t="e">
        <f>IF($F27="","",$F27*chronic_consumption!V427/1000/$C$3)</f>
        <v>#DIV/0!</v>
      </c>
      <c r="AB427" s="1040" t="e">
        <f>IF($F27="","",$F27*chronic_consumption!W427/1000/$C$3)</f>
        <v>#DIV/0!</v>
      </c>
      <c r="AC427" s="1040" t="e">
        <f>IF($F27="","",$F27*chronic_consumption!X427/1000/$C$3)</f>
        <v>#DIV/0!</v>
      </c>
      <c r="AD427" s="1040" t="e">
        <f>IF($F27="","",$F27*chronic_consumption!Y427/1000/$C$3)</f>
        <v>#DIV/0!</v>
      </c>
      <c r="AE427" s="1040" t="e">
        <f>IF($F27="","",$F27*chronic_consumption!Z427/1000/$C$3)</f>
        <v>#DIV/0!</v>
      </c>
      <c r="AF427" s="1040" t="e">
        <f>IF($F27="","",$F27*chronic_consumption!AA427/1000/$C$3)</f>
        <v>#DIV/0!</v>
      </c>
      <c r="AG427" s="1040" t="e">
        <f>IF($F27="","",$F27*chronic_consumption!AB427/1000/$C$3)</f>
        <v>#DIV/0!</v>
      </c>
      <c r="AH427" s="1040" t="e">
        <f>IF($F27="","",$F27*chronic_consumption!AC427/1000/$C$3)</f>
        <v>#DIV/0!</v>
      </c>
      <c r="AI427" s="1040" t="e">
        <f>IF($F27="","",$F27*chronic_consumption!AD427/1000/$C$3)</f>
        <v>#DIV/0!</v>
      </c>
      <c r="AJ427" s="1040" t="e">
        <f>IF($F27="","",$F27*chronic_consumption!AE427/1000/$C$3)</f>
        <v>#DIV/0!</v>
      </c>
      <c r="AK427" s="1040" t="e">
        <f>IF($F27="","",$F27*chronic_consumption!AF427/1000/$C$3)</f>
        <v>#DIV/0!</v>
      </c>
      <c r="AL427" s="1040" t="e">
        <f>IF($F27="","",$F27*chronic_consumption!AG427/1000/$C$3)</f>
        <v>#DIV/0!</v>
      </c>
      <c r="AM427" s="1040" t="e">
        <f>IF($F27="","",$F27*chronic_consumption!AH427/1000/$C$3)</f>
        <v>#DIV/0!</v>
      </c>
      <c r="AN427" s="1040" t="e">
        <f>IF($F27="","",$F27*chronic_consumption!AI427/1000/$C$3)</f>
        <v>#DIV/0!</v>
      </c>
      <c r="AO427" s="1040" t="e">
        <f>IF($F27="","",$F27*chronic_consumption!AJ427/1000/$C$3)</f>
        <v>#DIV/0!</v>
      </c>
      <c r="AP427" s="1040" t="e">
        <f>IF($F27="","",$F27*chronic_consumption!AK427/1000/$C$3)</f>
        <v>#DIV/0!</v>
      </c>
      <c r="AQ427" s="1040" t="e">
        <f>IF($F27="","",$F27*chronic_consumption!AL427/1000/$C$3)</f>
        <v>#DIV/0!</v>
      </c>
      <c r="AR427" s="1040" t="e">
        <f>IF($F27="","",$F27*chronic_consumption!AM427/1000/$C$3)</f>
        <v>#DIV/0!</v>
      </c>
      <c r="AS427" s="1040" t="e">
        <f>IF($F27="","",$F27*chronic_consumption!AN427/1000/$C$3)</f>
        <v>#DIV/0!</v>
      </c>
      <c r="AT427" s="1040" t="e">
        <f>IF($F27="","",$F27*chronic_consumption!AO427/1000/$C$3)</f>
        <v>#DIV/0!</v>
      </c>
      <c r="AU427" s="1040" t="e">
        <f>IF($F27="","",$F27*chronic_consumption!AP427/1000/$C$3)</f>
        <v>#DIV/0!</v>
      </c>
      <c r="AV427" s="1040" t="e">
        <f>IF($F27="","",$F27*chronic_consumption!AQ427/1000/$C$3)</f>
        <v>#DIV/0!</v>
      </c>
      <c r="AW427" s="1040" t="e">
        <f>IF($F27="","",$F27*chronic_consumption!AR427/1000/$C$3)</f>
        <v>#DIV/0!</v>
      </c>
      <c r="AX427" s="1040" t="e">
        <f>IF($F27="","",$F27*chronic_consumption!AS427/1000/$C$3)</f>
        <v>#DIV/0!</v>
      </c>
      <c r="AY427" s="1040" t="e">
        <f>IF($F27="","",$F27*chronic_consumption!AT427/1000/$C$3)</f>
        <v>#DIV/0!</v>
      </c>
      <c r="AZ427" s="44" t="s">
        <v>20</v>
      </c>
      <c r="BC427" s="29"/>
      <c r="BD427" s="29"/>
    </row>
    <row r="428" spans="1:56" ht="12" customHeight="1" outlineLevel="3" x14ac:dyDescent="0.2">
      <c r="A428" s="21">
        <f>acute_overview_children!A28</f>
        <v>4</v>
      </c>
      <c r="B428" s="325">
        <f t="shared" si="36"/>
        <v>120080</v>
      </c>
      <c r="C428" s="325" t="str">
        <f t="shared" si="36"/>
        <v>Pecans</v>
      </c>
      <c r="D428" s="135"/>
      <c r="E428" s="1027"/>
      <c r="F428" s="87"/>
      <c r="G428" s="1027"/>
      <c r="H428" s="1029"/>
      <c r="I428" s="1030"/>
      <c r="J428" s="1039" t="e">
        <f>IF($F28="","",$F28*chronic_consumption!E428/1000/$C$3)</f>
        <v>#DIV/0!</v>
      </c>
      <c r="K428" s="1040" t="e">
        <f>IF($F28="","",$F28*chronic_consumption!F428/1000/$C$3)</f>
        <v>#DIV/0!</v>
      </c>
      <c r="L428" s="1040" t="e">
        <f>IF($F28="","",$F28*chronic_consumption!G428/1000/$C$3)</f>
        <v>#DIV/0!</v>
      </c>
      <c r="M428" s="1040" t="e">
        <f>IF($F28="","",$F28*chronic_consumption!H428/1000/$C$3)</f>
        <v>#DIV/0!</v>
      </c>
      <c r="N428" s="1040" t="e">
        <f>IF($F28="","",$F28*chronic_consumption!I428/1000/$C$3)</f>
        <v>#DIV/0!</v>
      </c>
      <c r="O428" s="1040" t="e">
        <f>IF($F28="","",$F28*chronic_consumption!J428/1000/$C$3)</f>
        <v>#DIV/0!</v>
      </c>
      <c r="P428" s="1040" t="e">
        <f>IF($F28="","",$F28*chronic_consumption!K428/1000/$C$3)</f>
        <v>#DIV/0!</v>
      </c>
      <c r="Q428" s="1040" t="e">
        <f>IF($F28="","",$F28*chronic_consumption!L428/1000/$C$3)</f>
        <v>#DIV/0!</v>
      </c>
      <c r="R428" s="1040" t="e">
        <f>IF($F28="","",$F28*chronic_consumption!M428/1000/$C$3)</f>
        <v>#DIV/0!</v>
      </c>
      <c r="S428" s="1040" t="e">
        <f>IF($F28="","",$F28*chronic_consumption!N428/1000/$C$3)</f>
        <v>#DIV/0!</v>
      </c>
      <c r="T428" s="1040" t="e">
        <f>IF($F28="","",$F28*chronic_consumption!O428/1000/$C$3)</f>
        <v>#DIV/0!</v>
      </c>
      <c r="U428" s="1040" t="e">
        <f>IF($F28="","",$F28*chronic_consumption!P428/1000/$C$3)</f>
        <v>#DIV/0!</v>
      </c>
      <c r="V428" s="1040" t="e">
        <f>IF($F28="","",$F28*chronic_consumption!Q428/1000/$C$3)</f>
        <v>#DIV/0!</v>
      </c>
      <c r="W428" s="1040" t="e">
        <f>IF($F28="","",$F28*chronic_consumption!R428/1000/$C$3)</f>
        <v>#DIV/0!</v>
      </c>
      <c r="X428" s="1040" t="e">
        <f>IF($F28="","",$F28*chronic_consumption!S428/1000/$C$3)</f>
        <v>#DIV/0!</v>
      </c>
      <c r="Y428" s="1040" t="e">
        <f>IF($F28="","",$F28*chronic_consumption!T428/1000/$C$3)</f>
        <v>#DIV/0!</v>
      </c>
      <c r="Z428" s="1040" t="e">
        <f>IF($F28="","",$F28*chronic_consumption!U428/1000/$C$3)</f>
        <v>#DIV/0!</v>
      </c>
      <c r="AA428" s="1040" t="e">
        <f>IF($F28="","",$F28*chronic_consumption!V428/1000/$C$3)</f>
        <v>#DIV/0!</v>
      </c>
      <c r="AB428" s="1040" t="e">
        <f>IF($F28="","",$F28*chronic_consumption!W428/1000/$C$3)</f>
        <v>#DIV/0!</v>
      </c>
      <c r="AC428" s="1040" t="e">
        <f>IF($F28="","",$F28*chronic_consumption!X428/1000/$C$3)</f>
        <v>#DIV/0!</v>
      </c>
      <c r="AD428" s="1040" t="e">
        <f>IF($F28="","",$F28*chronic_consumption!Y428/1000/$C$3)</f>
        <v>#DIV/0!</v>
      </c>
      <c r="AE428" s="1040" t="e">
        <f>IF($F28="","",$F28*chronic_consumption!Z428/1000/$C$3)</f>
        <v>#DIV/0!</v>
      </c>
      <c r="AF428" s="1040" t="e">
        <f>IF($F28="","",$F28*chronic_consumption!AA428/1000/$C$3)</f>
        <v>#DIV/0!</v>
      </c>
      <c r="AG428" s="1040" t="e">
        <f>IF($F28="","",$F28*chronic_consumption!AB428/1000/$C$3)</f>
        <v>#DIV/0!</v>
      </c>
      <c r="AH428" s="1040" t="e">
        <f>IF($F28="","",$F28*chronic_consumption!AC428/1000/$C$3)</f>
        <v>#DIV/0!</v>
      </c>
      <c r="AI428" s="1040" t="e">
        <f>IF($F28="","",$F28*chronic_consumption!AD428/1000/$C$3)</f>
        <v>#DIV/0!</v>
      </c>
      <c r="AJ428" s="1040" t="e">
        <f>IF($F28="","",$F28*chronic_consumption!AE428/1000/$C$3)</f>
        <v>#DIV/0!</v>
      </c>
      <c r="AK428" s="1040" t="e">
        <f>IF($F28="","",$F28*chronic_consumption!AF428/1000/$C$3)</f>
        <v>#DIV/0!</v>
      </c>
      <c r="AL428" s="1040" t="e">
        <f>IF($F28="","",$F28*chronic_consumption!AG428/1000/$C$3)</f>
        <v>#DIV/0!</v>
      </c>
      <c r="AM428" s="1040" t="e">
        <f>IF($F28="","",$F28*chronic_consumption!AH428/1000/$C$3)</f>
        <v>#DIV/0!</v>
      </c>
      <c r="AN428" s="1040" t="e">
        <f>IF($F28="","",$F28*chronic_consumption!AI428/1000/$C$3)</f>
        <v>#DIV/0!</v>
      </c>
      <c r="AO428" s="1040" t="e">
        <f>IF($F28="","",$F28*chronic_consumption!AJ428/1000/$C$3)</f>
        <v>#DIV/0!</v>
      </c>
      <c r="AP428" s="1040" t="e">
        <f>IF($F28="","",$F28*chronic_consumption!AK428/1000/$C$3)</f>
        <v>#DIV/0!</v>
      </c>
      <c r="AQ428" s="1040" t="e">
        <f>IF($F28="","",$F28*chronic_consumption!AL428/1000/$C$3)</f>
        <v>#DIV/0!</v>
      </c>
      <c r="AR428" s="1040" t="e">
        <f>IF($F28="","",$F28*chronic_consumption!AM428/1000/$C$3)</f>
        <v>#DIV/0!</v>
      </c>
      <c r="AS428" s="1040" t="e">
        <f>IF($F28="","",$F28*chronic_consumption!AN428/1000/$C$3)</f>
        <v>#DIV/0!</v>
      </c>
      <c r="AT428" s="1040" t="e">
        <f>IF($F28="","",$F28*chronic_consumption!AO428/1000/$C$3)</f>
        <v>#DIV/0!</v>
      </c>
      <c r="AU428" s="1040" t="e">
        <f>IF($F28="","",$F28*chronic_consumption!AP428/1000/$C$3)</f>
        <v>#DIV/0!</v>
      </c>
      <c r="AV428" s="1040" t="e">
        <f>IF($F28="","",$F28*chronic_consumption!AQ428/1000/$C$3)</f>
        <v>#DIV/0!</v>
      </c>
      <c r="AW428" s="1040" t="e">
        <f>IF($F28="","",$F28*chronic_consumption!AR428/1000/$C$3)</f>
        <v>#DIV/0!</v>
      </c>
      <c r="AX428" s="1040" t="e">
        <f>IF($F28="","",$F28*chronic_consumption!AS428/1000/$C$3)</f>
        <v>#DIV/0!</v>
      </c>
      <c r="AY428" s="1040" t="e">
        <f>IF($F28="","",$F28*chronic_consumption!AT428/1000/$C$3)</f>
        <v>#DIV/0!</v>
      </c>
      <c r="AZ428" s="44" t="s">
        <v>20</v>
      </c>
      <c r="BC428" s="29"/>
      <c r="BD428" s="29"/>
    </row>
    <row r="429" spans="1:56" ht="12" customHeight="1" outlineLevel="3" x14ac:dyDescent="0.2">
      <c r="A429" s="21">
        <f>acute_overview_children!A29</f>
        <v>4</v>
      </c>
      <c r="B429" s="325">
        <f t="shared" si="36"/>
        <v>120090</v>
      </c>
      <c r="C429" s="325" t="str">
        <f t="shared" si="36"/>
        <v>Pine nut kernels</v>
      </c>
      <c r="D429" s="135"/>
      <c r="E429" s="1027"/>
      <c r="F429" s="87"/>
      <c r="G429" s="1027"/>
      <c r="H429" s="1029"/>
      <c r="I429" s="1030"/>
      <c r="J429" s="1039" t="e">
        <f>IF($F29="","",$F29*chronic_consumption!E429/1000/$C$3)</f>
        <v>#DIV/0!</v>
      </c>
      <c r="K429" s="1040" t="e">
        <f>IF($F29="","",$F29*chronic_consumption!F429/1000/$C$3)</f>
        <v>#DIV/0!</v>
      </c>
      <c r="L429" s="1040" t="e">
        <f>IF($F29="","",$F29*chronic_consumption!G429/1000/$C$3)</f>
        <v>#DIV/0!</v>
      </c>
      <c r="M429" s="1040" t="e">
        <f>IF($F29="","",$F29*chronic_consumption!H429/1000/$C$3)</f>
        <v>#DIV/0!</v>
      </c>
      <c r="N429" s="1040" t="e">
        <f>IF($F29="","",$F29*chronic_consumption!I429/1000/$C$3)</f>
        <v>#DIV/0!</v>
      </c>
      <c r="O429" s="1040" t="e">
        <f>IF($F29="","",$F29*chronic_consumption!J429/1000/$C$3)</f>
        <v>#DIV/0!</v>
      </c>
      <c r="P429" s="1040" t="e">
        <f>IF($F29="","",$F29*chronic_consumption!K429/1000/$C$3)</f>
        <v>#DIV/0!</v>
      </c>
      <c r="Q429" s="1040" t="e">
        <f>IF($F29="","",$F29*chronic_consumption!L429/1000/$C$3)</f>
        <v>#DIV/0!</v>
      </c>
      <c r="R429" s="1040" t="e">
        <f>IF($F29="","",$F29*chronic_consumption!M429/1000/$C$3)</f>
        <v>#DIV/0!</v>
      </c>
      <c r="S429" s="1040" t="e">
        <f>IF($F29="","",$F29*chronic_consumption!N429/1000/$C$3)</f>
        <v>#DIV/0!</v>
      </c>
      <c r="T429" s="1040" t="e">
        <f>IF($F29="","",$F29*chronic_consumption!O429/1000/$C$3)</f>
        <v>#DIV/0!</v>
      </c>
      <c r="U429" s="1040" t="e">
        <f>IF($F29="","",$F29*chronic_consumption!P429/1000/$C$3)</f>
        <v>#DIV/0!</v>
      </c>
      <c r="V429" s="1040" t="e">
        <f>IF($F29="","",$F29*chronic_consumption!Q429/1000/$C$3)</f>
        <v>#DIV/0!</v>
      </c>
      <c r="W429" s="1040" t="e">
        <f>IF($F29="","",$F29*chronic_consumption!R429/1000/$C$3)</f>
        <v>#DIV/0!</v>
      </c>
      <c r="X429" s="1040" t="e">
        <f>IF($F29="","",$F29*chronic_consumption!S429/1000/$C$3)</f>
        <v>#DIV/0!</v>
      </c>
      <c r="Y429" s="1040" t="e">
        <f>IF($F29="","",$F29*chronic_consumption!T429/1000/$C$3)</f>
        <v>#DIV/0!</v>
      </c>
      <c r="Z429" s="1040" t="e">
        <f>IF($F29="","",$F29*chronic_consumption!U429/1000/$C$3)</f>
        <v>#DIV/0!</v>
      </c>
      <c r="AA429" s="1040" t="e">
        <f>IF($F29="","",$F29*chronic_consumption!V429/1000/$C$3)</f>
        <v>#DIV/0!</v>
      </c>
      <c r="AB429" s="1040" t="e">
        <f>IF($F29="","",$F29*chronic_consumption!W429/1000/$C$3)</f>
        <v>#DIV/0!</v>
      </c>
      <c r="AC429" s="1040" t="e">
        <f>IF($F29="","",$F29*chronic_consumption!X429/1000/$C$3)</f>
        <v>#DIV/0!</v>
      </c>
      <c r="AD429" s="1040" t="e">
        <f>IF($F29="","",$F29*chronic_consumption!Y429/1000/$C$3)</f>
        <v>#DIV/0!</v>
      </c>
      <c r="AE429" s="1040" t="e">
        <f>IF($F29="","",$F29*chronic_consumption!Z429/1000/$C$3)</f>
        <v>#DIV/0!</v>
      </c>
      <c r="AF429" s="1040" t="e">
        <f>IF($F29="","",$F29*chronic_consumption!AA429/1000/$C$3)</f>
        <v>#DIV/0!</v>
      </c>
      <c r="AG429" s="1040" t="e">
        <f>IF($F29="","",$F29*chronic_consumption!AB429/1000/$C$3)</f>
        <v>#DIV/0!</v>
      </c>
      <c r="AH429" s="1040" t="e">
        <f>IF($F29="","",$F29*chronic_consumption!AC429/1000/$C$3)</f>
        <v>#DIV/0!</v>
      </c>
      <c r="AI429" s="1040" t="e">
        <f>IF($F29="","",$F29*chronic_consumption!AD429/1000/$C$3)</f>
        <v>#DIV/0!</v>
      </c>
      <c r="AJ429" s="1040" t="e">
        <f>IF($F29="","",$F29*chronic_consumption!AE429/1000/$C$3)</f>
        <v>#DIV/0!</v>
      </c>
      <c r="AK429" s="1040" t="e">
        <f>IF($F29="","",$F29*chronic_consumption!AF429/1000/$C$3)</f>
        <v>#DIV/0!</v>
      </c>
      <c r="AL429" s="1040" t="e">
        <f>IF($F29="","",$F29*chronic_consumption!AG429/1000/$C$3)</f>
        <v>#DIV/0!</v>
      </c>
      <c r="AM429" s="1040" t="e">
        <f>IF($F29="","",$F29*chronic_consumption!AH429/1000/$C$3)</f>
        <v>#DIV/0!</v>
      </c>
      <c r="AN429" s="1040" t="e">
        <f>IF($F29="","",$F29*chronic_consumption!AI429/1000/$C$3)</f>
        <v>#DIV/0!</v>
      </c>
      <c r="AO429" s="1040" t="e">
        <f>IF($F29="","",$F29*chronic_consumption!AJ429/1000/$C$3)</f>
        <v>#DIV/0!</v>
      </c>
      <c r="AP429" s="1040" t="e">
        <f>IF($F29="","",$F29*chronic_consumption!AK429/1000/$C$3)</f>
        <v>#DIV/0!</v>
      </c>
      <c r="AQ429" s="1040" t="e">
        <f>IF($F29="","",$F29*chronic_consumption!AL429/1000/$C$3)</f>
        <v>#DIV/0!</v>
      </c>
      <c r="AR429" s="1040" t="e">
        <f>IF($F29="","",$F29*chronic_consumption!AM429/1000/$C$3)</f>
        <v>#DIV/0!</v>
      </c>
      <c r="AS429" s="1040" t="e">
        <f>IF($F29="","",$F29*chronic_consumption!AN429/1000/$C$3)</f>
        <v>#DIV/0!</v>
      </c>
      <c r="AT429" s="1040" t="e">
        <f>IF($F29="","",$F29*chronic_consumption!AO429/1000/$C$3)</f>
        <v>#DIV/0!</v>
      </c>
      <c r="AU429" s="1040" t="e">
        <f>IF($F29="","",$F29*chronic_consumption!AP429/1000/$C$3)</f>
        <v>#DIV/0!</v>
      </c>
      <c r="AV429" s="1040" t="e">
        <f>IF($F29="","",$F29*chronic_consumption!AQ429/1000/$C$3)</f>
        <v>#DIV/0!</v>
      </c>
      <c r="AW429" s="1040" t="e">
        <f>IF($F29="","",$F29*chronic_consumption!AR429/1000/$C$3)</f>
        <v>#DIV/0!</v>
      </c>
      <c r="AX429" s="1040" t="e">
        <f>IF($F29="","",$F29*chronic_consumption!AS429/1000/$C$3)</f>
        <v>#DIV/0!</v>
      </c>
      <c r="AY429" s="1040" t="e">
        <f>IF($F29="","",$F29*chronic_consumption!AT429/1000/$C$3)</f>
        <v>#DIV/0!</v>
      </c>
      <c r="AZ429" s="44" t="s">
        <v>20</v>
      </c>
      <c r="BC429" s="29"/>
      <c r="BD429" s="29"/>
    </row>
    <row r="430" spans="1:56" ht="12" customHeight="1" outlineLevel="3" x14ac:dyDescent="0.2">
      <c r="A430" s="21">
        <f>acute_overview_children!A30</f>
        <v>4</v>
      </c>
      <c r="B430" s="325">
        <f t="shared" si="36"/>
        <v>120100</v>
      </c>
      <c r="C430" s="325" t="str">
        <f t="shared" si="36"/>
        <v>Pistachios</v>
      </c>
      <c r="D430" s="135"/>
      <c r="E430" s="1027"/>
      <c r="F430" s="87"/>
      <c r="G430" s="1027"/>
      <c r="H430" s="1029"/>
      <c r="I430" s="1030"/>
      <c r="J430" s="1039" t="e">
        <f>IF($F30="","",$F30*chronic_consumption!E430/1000/$C$3)</f>
        <v>#DIV/0!</v>
      </c>
      <c r="K430" s="1040" t="e">
        <f>IF($F30="","",$F30*chronic_consumption!F430/1000/$C$3)</f>
        <v>#DIV/0!</v>
      </c>
      <c r="L430" s="1040" t="e">
        <f>IF($F30="","",$F30*chronic_consumption!G430/1000/$C$3)</f>
        <v>#DIV/0!</v>
      </c>
      <c r="M430" s="1040" t="e">
        <f>IF($F30="","",$F30*chronic_consumption!H430/1000/$C$3)</f>
        <v>#DIV/0!</v>
      </c>
      <c r="N430" s="1040" t="e">
        <f>IF($F30="","",$F30*chronic_consumption!I430/1000/$C$3)</f>
        <v>#DIV/0!</v>
      </c>
      <c r="O430" s="1040" t="e">
        <f>IF($F30="","",$F30*chronic_consumption!J430/1000/$C$3)</f>
        <v>#DIV/0!</v>
      </c>
      <c r="P430" s="1040" t="e">
        <f>IF($F30="","",$F30*chronic_consumption!K430/1000/$C$3)</f>
        <v>#DIV/0!</v>
      </c>
      <c r="Q430" s="1040" t="e">
        <f>IF($F30="","",$F30*chronic_consumption!L430/1000/$C$3)</f>
        <v>#DIV/0!</v>
      </c>
      <c r="R430" s="1040" t="e">
        <f>IF($F30="","",$F30*chronic_consumption!M430/1000/$C$3)</f>
        <v>#DIV/0!</v>
      </c>
      <c r="S430" s="1040" t="e">
        <f>IF($F30="","",$F30*chronic_consumption!N430/1000/$C$3)</f>
        <v>#DIV/0!</v>
      </c>
      <c r="T430" s="1040" t="e">
        <f>IF($F30="","",$F30*chronic_consumption!O430/1000/$C$3)</f>
        <v>#DIV/0!</v>
      </c>
      <c r="U430" s="1040" t="e">
        <f>IF($F30="","",$F30*chronic_consumption!P430/1000/$C$3)</f>
        <v>#DIV/0!</v>
      </c>
      <c r="V430" s="1040" t="e">
        <f>IF($F30="","",$F30*chronic_consumption!Q430/1000/$C$3)</f>
        <v>#DIV/0!</v>
      </c>
      <c r="W430" s="1040" t="e">
        <f>IF($F30="","",$F30*chronic_consumption!R430/1000/$C$3)</f>
        <v>#DIV/0!</v>
      </c>
      <c r="X430" s="1040" t="e">
        <f>IF($F30="","",$F30*chronic_consumption!S430/1000/$C$3)</f>
        <v>#DIV/0!</v>
      </c>
      <c r="Y430" s="1040" t="e">
        <f>IF($F30="","",$F30*chronic_consumption!T430/1000/$C$3)</f>
        <v>#DIV/0!</v>
      </c>
      <c r="Z430" s="1040" t="e">
        <f>IF($F30="","",$F30*chronic_consumption!U430/1000/$C$3)</f>
        <v>#DIV/0!</v>
      </c>
      <c r="AA430" s="1040" t="e">
        <f>IF($F30="","",$F30*chronic_consumption!V430/1000/$C$3)</f>
        <v>#DIV/0!</v>
      </c>
      <c r="AB430" s="1040" t="e">
        <f>IF($F30="","",$F30*chronic_consumption!W430/1000/$C$3)</f>
        <v>#DIV/0!</v>
      </c>
      <c r="AC430" s="1040" t="e">
        <f>IF($F30="","",$F30*chronic_consumption!X430/1000/$C$3)</f>
        <v>#DIV/0!</v>
      </c>
      <c r="AD430" s="1040" t="e">
        <f>IF($F30="","",$F30*chronic_consumption!Y430/1000/$C$3)</f>
        <v>#DIV/0!</v>
      </c>
      <c r="AE430" s="1040" t="e">
        <f>IF($F30="","",$F30*chronic_consumption!Z430/1000/$C$3)</f>
        <v>#DIV/0!</v>
      </c>
      <c r="AF430" s="1040" t="e">
        <f>IF($F30="","",$F30*chronic_consumption!AA430/1000/$C$3)</f>
        <v>#DIV/0!</v>
      </c>
      <c r="AG430" s="1040" t="e">
        <f>IF($F30="","",$F30*chronic_consumption!AB430/1000/$C$3)</f>
        <v>#DIV/0!</v>
      </c>
      <c r="AH430" s="1040" t="e">
        <f>IF($F30="","",$F30*chronic_consumption!AC430/1000/$C$3)</f>
        <v>#DIV/0!</v>
      </c>
      <c r="AI430" s="1040" t="e">
        <f>IF($F30="","",$F30*chronic_consumption!AD430/1000/$C$3)</f>
        <v>#DIV/0!</v>
      </c>
      <c r="AJ430" s="1040" t="e">
        <f>IF($F30="","",$F30*chronic_consumption!AE430/1000/$C$3)</f>
        <v>#DIV/0!</v>
      </c>
      <c r="AK430" s="1040" t="e">
        <f>IF($F30="","",$F30*chronic_consumption!AF430/1000/$C$3)</f>
        <v>#DIV/0!</v>
      </c>
      <c r="AL430" s="1040" t="e">
        <f>IF($F30="","",$F30*chronic_consumption!AG430/1000/$C$3)</f>
        <v>#DIV/0!</v>
      </c>
      <c r="AM430" s="1040" t="e">
        <f>IF($F30="","",$F30*chronic_consumption!AH430/1000/$C$3)</f>
        <v>#DIV/0!</v>
      </c>
      <c r="AN430" s="1040" t="e">
        <f>IF($F30="","",$F30*chronic_consumption!AI430/1000/$C$3)</f>
        <v>#DIV/0!</v>
      </c>
      <c r="AO430" s="1040" t="e">
        <f>IF($F30="","",$F30*chronic_consumption!AJ430/1000/$C$3)</f>
        <v>#DIV/0!</v>
      </c>
      <c r="AP430" s="1040" t="e">
        <f>IF($F30="","",$F30*chronic_consumption!AK430/1000/$C$3)</f>
        <v>#DIV/0!</v>
      </c>
      <c r="AQ430" s="1040" t="e">
        <f>IF($F30="","",$F30*chronic_consumption!AL430/1000/$C$3)</f>
        <v>#DIV/0!</v>
      </c>
      <c r="AR430" s="1040" t="e">
        <f>IF($F30="","",$F30*chronic_consumption!AM430/1000/$C$3)</f>
        <v>#DIV/0!</v>
      </c>
      <c r="AS430" s="1040" t="e">
        <f>IF($F30="","",$F30*chronic_consumption!AN430/1000/$C$3)</f>
        <v>#DIV/0!</v>
      </c>
      <c r="AT430" s="1040" t="e">
        <f>IF($F30="","",$F30*chronic_consumption!AO430/1000/$C$3)</f>
        <v>#DIV/0!</v>
      </c>
      <c r="AU430" s="1040" t="e">
        <f>IF($F30="","",$F30*chronic_consumption!AP430/1000/$C$3)</f>
        <v>#DIV/0!</v>
      </c>
      <c r="AV430" s="1040" t="e">
        <f>IF($F30="","",$F30*chronic_consumption!AQ430/1000/$C$3)</f>
        <v>#DIV/0!</v>
      </c>
      <c r="AW430" s="1040" t="e">
        <f>IF($F30="","",$F30*chronic_consumption!AR430/1000/$C$3)</f>
        <v>#DIV/0!</v>
      </c>
      <c r="AX430" s="1040" t="e">
        <f>IF($F30="","",$F30*chronic_consumption!AS430/1000/$C$3)</f>
        <v>#DIV/0!</v>
      </c>
      <c r="AY430" s="1040" t="e">
        <f>IF($F30="","",$F30*chronic_consumption!AT430/1000/$C$3)</f>
        <v>#DIV/0!</v>
      </c>
      <c r="AZ430" s="44" t="s">
        <v>20</v>
      </c>
      <c r="BC430" s="29"/>
      <c r="BD430" s="29"/>
    </row>
    <row r="431" spans="1:56" ht="12" customHeight="1" outlineLevel="3" x14ac:dyDescent="0.2">
      <c r="A431" s="21">
        <f>acute_overview_children!A31</f>
        <v>4</v>
      </c>
      <c r="B431" s="325">
        <f t="shared" si="36"/>
        <v>120110</v>
      </c>
      <c r="C431" s="325" t="str">
        <f t="shared" si="36"/>
        <v>Walnuts</v>
      </c>
      <c r="D431" s="135"/>
      <c r="E431" s="1027"/>
      <c r="F431" s="87"/>
      <c r="G431" s="1027"/>
      <c r="H431" s="1029"/>
      <c r="I431" s="1030"/>
      <c r="J431" s="1039" t="e">
        <f>IF($F31="","",$F31*chronic_consumption!E431/1000/$C$3)</f>
        <v>#DIV/0!</v>
      </c>
      <c r="K431" s="1040" t="e">
        <f>IF($F31="","",$F31*chronic_consumption!F431/1000/$C$3)</f>
        <v>#DIV/0!</v>
      </c>
      <c r="L431" s="1040" t="e">
        <f>IF($F31="","",$F31*chronic_consumption!G431/1000/$C$3)</f>
        <v>#DIV/0!</v>
      </c>
      <c r="M431" s="1040" t="e">
        <f>IF($F31="","",$F31*chronic_consumption!H431/1000/$C$3)</f>
        <v>#DIV/0!</v>
      </c>
      <c r="N431" s="1040" t="e">
        <f>IF($F31="","",$F31*chronic_consumption!I431/1000/$C$3)</f>
        <v>#DIV/0!</v>
      </c>
      <c r="O431" s="1040" t="e">
        <f>IF($F31="","",$F31*chronic_consumption!J431/1000/$C$3)</f>
        <v>#DIV/0!</v>
      </c>
      <c r="P431" s="1040" t="e">
        <f>IF($F31="","",$F31*chronic_consumption!K431/1000/$C$3)</f>
        <v>#DIV/0!</v>
      </c>
      <c r="Q431" s="1040" t="e">
        <f>IF($F31="","",$F31*chronic_consumption!L431/1000/$C$3)</f>
        <v>#DIV/0!</v>
      </c>
      <c r="R431" s="1040" t="e">
        <f>IF($F31="","",$F31*chronic_consumption!M431/1000/$C$3)</f>
        <v>#DIV/0!</v>
      </c>
      <c r="S431" s="1040" t="e">
        <f>IF($F31="","",$F31*chronic_consumption!N431/1000/$C$3)</f>
        <v>#DIV/0!</v>
      </c>
      <c r="T431" s="1040" t="e">
        <f>IF($F31="","",$F31*chronic_consumption!O431/1000/$C$3)</f>
        <v>#DIV/0!</v>
      </c>
      <c r="U431" s="1040" t="e">
        <f>IF($F31="","",$F31*chronic_consumption!P431/1000/$C$3)</f>
        <v>#DIV/0!</v>
      </c>
      <c r="V431" s="1040" t="e">
        <f>IF($F31="","",$F31*chronic_consumption!Q431/1000/$C$3)</f>
        <v>#DIV/0!</v>
      </c>
      <c r="W431" s="1040" t="e">
        <f>IF($F31="","",$F31*chronic_consumption!R431/1000/$C$3)</f>
        <v>#DIV/0!</v>
      </c>
      <c r="X431" s="1040" t="e">
        <f>IF($F31="","",$F31*chronic_consumption!S431/1000/$C$3)</f>
        <v>#DIV/0!</v>
      </c>
      <c r="Y431" s="1040" t="e">
        <f>IF($F31="","",$F31*chronic_consumption!T431/1000/$C$3)</f>
        <v>#DIV/0!</v>
      </c>
      <c r="Z431" s="1040" t="e">
        <f>IF($F31="","",$F31*chronic_consumption!U431/1000/$C$3)</f>
        <v>#DIV/0!</v>
      </c>
      <c r="AA431" s="1040" t="e">
        <f>IF($F31="","",$F31*chronic_consumption!V431/1000/$C$3)</f>
        <v>#DIV/0!</v>
      </c>
      <c r="AB431" s="1040" t="e">
        <f>IF($F31="","",$F31*chronic_consumption!W431/1000/$C$3)</f>
        <v>#DIV/0!</v>
      </c>
      <c r="AC431" s="1040" t="e">
        <f>IF($F31="","",$F31*chronic_consumption!X431/1000/$C$3)</f>
        <v>#DIV/0!</v>
      </c>
      <c r="AD431" s="1040" t="e">
        <f>IF($F31="","",$F31*chronic_consumption!Y431/1000/$C$3)</f>
        <v>#DIV/0!</v>
      </c>
      <c r="AE431" s="1040" t="e">
        <f>IF($F31="","",$F31*chronic_consumption!Z431/1000/$C$3)</f>
        <v>#DIV/0!</v>
      </c>
      <c r="AF431" s="1040" t="e">
        <f>IF($F31="","",$F31*chronic_consumption!AA431/1000/$C$3)</f>
        <v>#DIV/0!</v>
      </c>
      <c r="AG431" s="1040" t="e">
        <f>IF($F31="","",$F31*chronic_consumption!AB431/1000/$C$3)</f>
        <v>#DIV/0!</v>
      </c>
      <c r="AH431" s="1040" t="e">
        <f>IF($F31="","",$F31*chronic_consumption!AC431/1000/$C$3)</f>
        <v>#DIV/0!</v>
      </c>
      <c r="AI431" s="1040" t="e">
        <f>IF($F31="","",$F31*chronic_consumption!AD431/1000/$C$3)</f>
        <v>#DIV/0!</v>
      </c>
      <c r="AJ431" s="1040" t="e">
        <f>IF($F31="","",$F31*chronic_consumption!AE431/1000/$C$3)</f>
        <v>#DIV/0!</v>
      </c>
      <c r="AK431" s="1040" t="e">
        <f>IF($F31="","",$F31*chronic_consumption!AF431/1000/$C$3)</f>
        <v>#DIV/0!</v>
      </c>
      <c r="AL431" s="1040" t="e">
        <f>IF($F31="","",$F31*chronic_consumption!AG431/1000/$C$3)</f>
        <v>#DIV/0!</v>
      </c>
      <c r="AM431" s="1040" t="e">
        <f>IF($F31="","",$F31*chronic_consumption!AH431/1000/$C$3)</f>
        <v>#DIV/0!</v>
      </c>
      <c r="AN431" s="1040" t="e">
        <f>IF($F31="","",$F31*chronic_consumption!AI431/1000/$C$3)</f>
        <v>#DIV/0!</v>
      </c>
      <c r="AO431" s="1040" t="e">
        <f>IF($F31="","",$F31*chronic_consumption!AJ431/1000/$C$3)</f>
        <v>#DIV/0!</v>
      </c>
      <c r="AP431" s="1040" t="e">
        <f>IF($F31="","",$F31*chronic_consumption!AK431/1000/$C$3)</f>
        <v>#DIV/0!</v>
      </c>
      <c r="AQ431" s="1040" t="e">
        <f>IF($F31="","",$F31*chronic_consumption!AL431/1000/$C$3)</f>
        <v>#DIV/0!</v>
      </c>
      <c r="AR431" s="1040" t="e">
        <f>IF($F31="","",$F31*chronic_consumption!AM431/1000/$C$3)</f>
        <v>#DIV/0!</v>
      </c>
      <c r="AS431" s="1040" t="e">
        <f>IF($F31="","",$F31*chronic_consumption!AN431/1000/$C$3)</f>
        <v>#DIV/0!</v>
      </c>
      <c r="AT431" s="1040" t="e">
        <f>IF($F31="","",$F31*chronic_consumption!AO431/1000/$C$3)</f>
        <v>#DIV/0!</v>
      </c>
      <c r="AU431" s="1040" t="e">
        <f>IF($F31="","",$F31*chronic_consumption!AP431/1000/$C$3)</f>
        <v>#DIV/0!</v>
      </c>
      <c r="AV431" s="1040" t="e">
        <f>IF($F31="","",$F31*chronic_consumption!AQ431/1000/$C$3)</f>
        <v>#DIV/0!</v>
      </c>
      <c r="AW431" s="1040" t="e">
        <f>IF($F31="","",$F31*chronic_consumption!AR431/1000/$C$3)</f>
        <v>#DIV/0!</v>
      </c>
      <c r="AX431" s="1040" t="e">
        <f>IF($F31="","",$F31*chronic_consumption!AS431/1000/$C$3)</f>
        <v>#DIV/0!</v>
      </c>
      <c r="AY431" s="1040" t="e">
        <f>IF($F31="","",$F31*chronic_consumption!AT431/1000/$C$3)</f>
        <v>#DIV/0!</v>
      </c>
      <c r="AZ431" s="44" t="s">
        <v>20</v>
      </c>
      <c r="BC431" s="29"/>
      <c r="BD431" s="29"/>
    </row>
    <row r="432" spans="1:56" ht="12" customHeight="1" outlineLevel="3" x14ac:dyDescent="0.2">
      <c r="A432" s="21">
        <f>acute_overview_children!A32</f>
        <v>4</v>
      </c>
      <c r="B432" s="325">
        <f t="shared" ref="B432:C451" si="37">B32</f>
        <v>120990</v>
      </c>
      <c r="C432" s="325" t="str">
        <f t="shared" si="37"/>
        <v>Other tree nuts</v>
      </c>
      <c r="D432" s="135"/>
      <c r="E432" s="1027"/>
      <c r="F432" s="87"/>
      <c r="G432" s="1027"/>
      <c r="H432" s="1029"/>
      <c r="I432" s="1030"/>
      <c r="J432" s="1039" t="e">
        <f>IF($F32="","",$F32*chronic_consumption!E432/1000/$C$3)</f>
        <v>#DIV/0!</v>
      </c>
      <c r="K432" s="1040" t="e">
        <f>IF($F32="","",$F32*chronic_consumption!F432/1000/$C$3)</f>
        <v>#DIV/0!</v>
      </c>
      <c r="L432" s="1040" t="e">
        <f>IF($F32="","",$F32*chronic_consumption!G432/1000/$C$3)</f>
        <v>#DIV/0!</v>
      </c>
      <c r="M432" s="1040" t="e">
        <f>IF($F32="","",$F32*chronic_consumption!H432/1000/$C$3)</f>
        <v>#DIV/0!</v>
      </c>
      <c r="N432" s="1040" t="e">
        <f>IF($F32="","",$F32*chronic_consumption!I432/1000/$C$3)</f>
        <v>#DIV/0!</v>
      </c>
      <c r="O432" s="1040" t="e">
        <f>IF($F32="","",$F32*chronic_consumption!J432/1000/$C$3)</f>
        <v>#DIV/0!</v>
      </c>
      <c r="P432" s="1040" t="e">
        <f>IF($F32="","",$F32*chronic_consumption!K432/1000/$C$3)</f>
        <v>#DIV/0!</v>
      </c>
      <c r="Q432" s="1040" t="e">
        <f>IF($F32="","",$F32*chronic_consumption!L432/1000/$C$3)</f>
        <v>#DIV/0!</v>
      </c>
      <c r="R432" s="1040" t="e">
        <f>IF($F32="","",$F32*chronic_consumption!M432/1000/$C$3)</f>
        <v>#DIV/0!</v>
      </c>
      <c r="S432" s="1040" t="e">
        <f>IF($F32="","",$F32*chronic_consumption!N432/1000/$C$3)</f>
        <v>#DIV/0!</v>
      </c>
      <c r="T432" s="1040" t="e">
        <f>IF($F32="","",$F32*chronic_consumption!O432/1000/$C$3)</f>
        <v>#DIV/0!</v>
      </c>
      <c r="U432" s="1040" t="e">
        <f>IF($F32="","",$F32*chronic_consumption!P432/1000/$C$3)</f>
        <v>#DIV/0!</v>
      </c>
      <c r="V432" s="1040" t="e">
        <f>IF($F32="","",$F32*chronic_consumption!Q432/1000/$C$3)</f>
        <v>#DIV/0!</v>
      </c>
      <c r="W432" s="1040" t="e">
        <f>IF($F32="","",$F32*chronic_consumption!R432/1000/$C$3)</f>
        <v>#DIV/0!</v>
      </c>
      <c r="X432" s="1040" t="e">
        <f>IF($F32="","",$F32*chronic_consumption!S432/1000/$C$3)</f>
        <v>#DIV/0!</v>
      </c>
      <c r="Y432" s="1040" t="e">
        <f>IF($F32="","",$F32*chronic_consumption!T432/1000/$C$3)</f>
        <v>#DIV/0!</v>
      </c>
      <c r="Z432" s="1040" t="e">
        <f>IF($F32="","",$F32*chronic_consumption!U432/1000/$C$3)</f>
        <v>#DIV/0!</v>
      </c>
      <c r="AA432" s="1040" t="e">
        <f>IF($F32="","",$F32*chronic_consumption!V432/1000/$C$3)</f>
        <v>#DIV/0!</v>
      </c>
      <c r="AB432" s="1040" t="e">
        <f>IF($F32="","",$F32*chronic_consumption!W432/1000/$C$3)</f>
        <v>#DIV/0!</v>
      </c>
      <c r="AC432" s="1040" t="e">
        <f>IF($F32="","",$F32*chronic_consumption!X432/1000/$C$3)</f>
        <v>#DIV/0!</v>
      </c>
      <c r="AD432" s="1040" t="e">
        <f>IF($F32="","",$F32*chronic_consumption!Y432/1000/$C$3)</f>
        <v>#DIV/0!</v>
      </c>
      <c r="AE432" s="1040" t="e">
        <f>IF($F32="","",$F32*chronic_consumption!Z432/1000/$C$3)</f>
        <v>#DIV/0!</v>
      </c>
      <c r="AF432" s="1040" t="e">
        <f>IF($F32="","",$F32*chronic_consumption!AA432/1000/$C$3)</f>
        <v>#DIV/0!</v>
      </c>
      <c r="AG432" s="1040" t="e">
        <f>IF($F32="","",$F32*chronic_consumption!AB432/1000/$C$3)</f>
        <v>#DIV/0!</v>
      </c>
      <c r="AH432" s="1040" t="e">
        <f>IF($F32="","",$F32*chronic_consumption!AC432/1000/$C$3)</f>
        <v>#DIV/0!</v>
      </c>
      <c r="AI432" s="1040" t="e">
        <f>IF($F32="","",$F32*chronic_consumption!AD432/1000/$C$3)</f>
        <v>#DIV/0!</v>
      </c>
      <c r="AJ432" s="1040" t="e">
        <f>IF($F32="","",$F32*chronic_consumption!AE432/1000/$C$3)</f>
        <v>#DIV/0!</v>
      </c>
      <c r="AK432" s="1040" t="e">
        <f>IF($F32="","",$F32*chronic_consumption!AF432/1000/$C$3)</f>
        <v>#DIV/0!</v>
      </c>
      <c r="AL432" s="1040" t="e">
        <f>IF($F32="","",$F32*chronic_consumption!AG432/1000/$C$3)</f>
        <v>#DIV/0!</v>
      </c>
      <c r="AM432" s="1040" t="e">
        <f>IF($F32="","",$F32*chronic_consumption!AH432/1000/$C$3)</f>
        <v>#DIV/0!</v>
      </c>
      <c r="AN432" s="1040" t="e">
        <f>IF($F32="","",$F32*chronic_consumption!AI432/1000/$C$3)</f>
        <v>#DIV/0!</v>
      </c>
      <c r="AO432" s="1040" t="e">
        <f>IF($F32="","",$F32*chronic_consumption!AJ432/1000/$C$3)</f>
        <v>#DIV/0!</v>
      </c>
      <c r="AP432" s="1040" t="e">
        <f>IF($F32="","",$F32*chronic_consumption!AK432/1000/$C$3)</f>
        <v>#DIV/0!</v>
      </c>
      <c r="AQ432" s="1040" t="e">
        <f>IF($F32="","",$F32*chronic_consumption!AL432/1000/$C$3)</f>
        <v>#DIV/0!</v>
      </c>
      <c r="AR432" s="1040" t="e">
        <f>IF($F32="","",$F32*chronic_consumption!AM432/1000/$C$3)</f>
        <v>#DIV/0!</v>
      </c>
      <c r="AS432" s="1040" t="e">
        <f>IF($F32="","",$F32*chronic_consumption!AN432/1000/$C$3)</f>
        <v>#DIV/0!</v>
      </c>
      <c r="AT432" s="1040" t="e">
        <f>IF($F32="","",$F32*chronic_consumption!AO432/1000/$C$3)</f>
        <v>#DIV/0!</v>
      </c>
      <c r="AU432" s="1040" t="e">
        <f>IF($F32="","",$F32*chronic_consumption!AP432/1000/$C$3)</f>
        <v>#DIV/0!</v>
      </c>
      <c r="AV432" s="1040" t="e">
        <f>IF($F32="","",$F32*chronic_consumption!AQ432/1000/$C$3)</f>
        <v>#DIV/0!</v>
      </c>
      <c r="AW432" s="1040" t="e">
        <f>IF($F32="","",$F32*chronic_consumption!AR432/1000/$C$3)</f>
        <v>#DIV/0!</v>
      </c>
      <c r="AX432" s="1040" t="e">
        <f>IF($F32="","",$F32*chronic_consumption!AS432/1000/$C$3)</f>
        <v>#DIV/0!</v>
      </c>
      <c r="AY432" s="1040" t="e">
        <f>IF($F32="","",$F32*chronic_consumption!AT432/1000/$C$3)</f>
        <v>#DIV/0!</v>
      </c>
      <c r="AZ432" s="44" t="s">
        <v>20</v>
      </c>
      <c r="BC432" s="29"/>
      <c r="BD432" s="29"/>
    </row>
    <row r="433" spans="1:56" ht="12" customHeight="1" outlineLevel="1" x14ac:dyDescent="0.2">
      <c r="A433" s="1033">
        <f>acute_overview_children!A33</f>
        <v>2</v>
      </c>
      <c r="B433" s="1034">
        <f t="shared" si="37"/>
        <v>130000</v>
      </c>
      <c r="C433" s="1034" t="str">
        <f t="shared" si="37"/>
        <v xml:space="preserve"> Pome fruit</v>
      </c>
      <c r="D433" s="1035"/>
      <c r="E433" s="1027"/>
      <c r="F433" s="87"/>
      <c r="G433" s="1027"/>
      <c r="H433" s="1029"/>
      <c r="I433" s="1030"/>
      <c r="J433" s="1037" t="e">
        <f>IF($F33="","",$F33*chronic_consumption!E433/1000/$C$3)</f>
        <v>#DIV/0!</v>
      </c>
      <c r="K433" s="1038" t="e">
        <f>IF($F33="","",$F33*chronic_consumption!F433/1000/$C$3)</f>
        <v>#DIV/0!</v>
      </c>
      <c r="L433" s="1038" t="e">
        <f>IF($F33="","",$F33*chronic_consumption!G433/1000/$C$3)</f>
        <v>#DIV/0!</v>
      </c>
      <c r="M433" s="1038" t="e">
        <f>IF($F33="","",$F33*chronic_consumption!H433/1000/$C$3)</f>
        <v>#DIV/0!</v>
      </c>
      <c r="N433" s="1038" t="e">
        <f>IF($F33="","",$F33*chronic_consumption!I433/1000/$C$3)</f>
        <v>#DIV/0!</v>
      </c>
      <c r="O433" s="1038" t="e">
        <f>IF($F33="","",$F33*chronic_consumption!J433/1000/$C$3)</f>
        <v>#DIV/0!</v>
      </c>
      <c r="P433" s="1038" t="e">
        <f>IF($F33="","",$F33*chronic_consumption!K433/1000/$C$3)</f>
        <v>#DIV/0!</v>
      </c>
      <c r="Q433" s="1038" t="e">
        <f>IF($F33="","",$F33*chronic_consumption!L433/1000/$C$3)</f>
        <v>#DIV/0!</v>
      </c>
      <c r="R433" s="1038" t="e">
        <f>IF($F33="","",$F33*chronic_consumption!M433/1000/$C$3)</f>
        <v>#DIV/0!</v>
      </c>
      <c r="S433" s="1038" t="e">
        <f>IF($F33="","",$F33*chronic_consumption!N433/1000/$C$3)</f>
        <v>#DIV/0!</v>
      </c>
      <c r="T433" s="1038" t="e">
        <f>IF($F33="","",$F33*chronic_consumption!O433/1000/$C$3)</f>
        <v>#DIV/0!</v>
      </c>
      <c r="U433" s="1038" t="e">
        <f>IF($F33="","",$F33*chronic_consumption!P433/1000/$C$3)</f>
        <v>#DIV/0!</v>
      </c>
      <c r="V433" s="1038" t="e">
        <f>IF($F33="","",$F33*chronic_consumption!Q433/1000/$C$3)</f>
        <v>#DIV/0!</v>
      </c>
      <c r="W433" s="1038" t="e">
        <f>IF($F33="","",$F33*chronic_consumption!R433/1000/$C$3)</f>
        <v>#DIV/0!</v>
      </c>
      <c r="X433" s="1038" t="e">
        <f>IF($F33="","",$F33*chronic_consumption!S433/1000/$C$3)</f>
        <v>#DIV/0!</v>
      </c>
      <c r="Y433" s="1038" t="e">
        <f>IF($F33="","",$F33*chronic_consumption!T433/1000/$C$3)</f>
        <v>#DIV/0!</v>
      </c>
      <c r="Z433" s="1038" t="e">
        <f>IF($F33="","",$F33*chronic_consumption!U433/1000/$C$3)</f>
        <v>#DIV/0!</v>
      </c>
      <c r="AA433" s="1038" t="e">
        <f>IF($F33="","",$F33*chronic_consumption!V433/1000/$C$3)</f>
        <v>#DIV/0!</v>
      </c>
      <c r="AB433" s="1038" t="e">
        <f>IF($F33="","",$F33*chronic_consumption!W433/1000/$C$3)</f>
        <v>#DIV/0!</v>
      </c>
      <c r="AC433" s="1038" t="e">
        <f>IF($F33="","",$F33*chronic_consumption!X433/1000/$C$3)</f>
        <v>#DIV/0!</v>
      </c>
      <c r="AD433" s="1038" t="e">
        <f>IF($F33="","",$F33*chronic_consumption!Y433/1000/$C$3)</f>
        <v>#DIV/0!</v>
      </c>
      <c r="AE433" s="1038" t="e">
        <f>IF($F33="","",$F33*chronic_consumption!Z433/1000/$C$3)</f>
        <v>#DIV/0!</v>
      </c>
      <c r="AF433" s="1038" t="e">
        <f>IF($F33="","",$F33*chronic_consumption!AA433/1000/$C$3)</f>
        <v>#DIV/0!</v>
      </c>
      <c r="AG433" s="1038" t="e">
        <f>IF($F33="","",$F33*chronic_consumption!AB433/1000/$C$3)</f>
        <v>#DIV/0!</v>
      </c>
      <c r="AH433" s="1038" t="e">
        <f>IF($F33="","",$F33*chronic_consumption!AC433/1000/$C$3)</f>
        <v>#DIV/0!</v>
      </c>
      <c r="AI433" s="1038" t="e">
        <f>IF($F33="","",$F33*chronic_consumption!AD433/1000/$C$3)</f>
        <v>#DIV/0!</v>
      </c>
      <c r="AJ433" s="1038" t="e">
        <f>IF($F33="","",$F33*chronic_consumption!AE433/1000/$C$3)</f>
        <v>#DIV/0!</v>
      </c>
      <c r="AK433" s="1038" t="e">
        <f>IF($F33="","",$F33*chronic_consumption!AF433/1000/$C$3)</f>
        <v>#DIV/0!</v>
      </c>
      <c r="AL433" s="1038" t="e">
        <f>IF($F33="","",$F33*chronic_consumption!AG433/1000/$C$3)</f>
        <v>#DIV/0!</v>
      </c>
      <c r="AM433" s="1038" t="e">
        <f>IF($F33="","",$F33*chronic_consumption!AH433/1000/$C$3)</f>
        <v>#DIV/0!</v>
      </c>
      <c r="AN433" s="1038" t="e">
        <f>IF($F33="","",$F33*chronic_consumption!AI433/1000/$C$3)</f>
        <v>#DIV/0!</v>
      </c>
      <c r="AO433" s="1038" t="e">
        <f>IF($F33="","",$F33*chronic_consumption!AJ433/1000/$C$3)</f>
        <v>#DIV/0!</v>
      </c>
      <c r="AP433" s="1038" t="e">
        <f>IF($F33="","",$F33*chronic_consumption!AK433/1000/$C$3)</f>
        <v>#DIV/0!</v>
      </c>
      <c r="AQ433" s="1038" t="e">
        <f>IF($F33="","",$F33*chronic_consumption!AL433/1000/$C$3)</f>
        <v>#DIV/0!</v>
      </c>
      <c r="AR433" s="1038" t="e">
        <f>IF($F33="","",$F33*chronic_consumption!AM433/1000/$C$3)</f>
        <v>#DIV/0!</v>
      </c>
      <c r="AS433" s="1038" t="e">
        <f>IF($F33="","",$F33*chronic_consumption!AN433/1000/$C$3)</f>
        <v>#DIV/0!</v>
      </c>
      <c r="AT433" s="1038" t="e">
        <f>IF($F33="","",$F33*chronic_consumption!AO433/1000/$C$3)</f>
        <v>#DIV/0!</v>
      </c>
      <c r="AU433" s="1038" t="e">
        <f>IF($F33="","",$F33*chronic_consumption!AP433/1000/$C$3)</f>
        <v>#DIV/0!</v>
      </c>
      <c r="AV433" s="1038" t="e">
        <f>IF($F33="","",$F33*chronic_consumption!AQ433/1000/$C$3)</f>
        <v>#DIV/0!</v>
      </c>
      <c r="AW433" s="1038" t="e">
        <f>IF($F33="","",$F33*chronic_consumption!AR433/1000/$C$3)</f>
        <v>#DIV/0!</v>
      </c>
      <c r="AX433" s="1038" t="e">
        <f>IF($F33="","",$F33*chronic_consumption!AS433/1000/$C$3)</f>
        <v>#DIV/0!</v>
      </c>
      <c r="AY433" s="1038" t="e">
        <f>IF($F33="","",$F33*chronic_consumption!AT433/1000/$C$3)</f>
        <v>#DIV/0!</v>
      </c>
      <c r="AZ433" s="44" t="s">
        <v>20</v>
      </c>
      <c r="BC433" s="29"/>
      <c r="BD433" s="29"/>
    </row>
    <row r="434" spans="1:56" ht="12" customHeight="1" outlineLevel="3" x14ac:dyDescent="0.2">
      <c r="A434" s="21">
        <f>acute_overview_children!A34</f>
        <v>4</v>
      </c>
      <c r="B434" s="325">
        <f t="shared" si="37"/>
        <v>130010</v>
      </c>
      <c r="C434" s="325" t="str">
        <f t="shared" si="37"/>
        <v>Apples</v>
      </c>
      <c r="D434" s="135"/>
      <c r="E434" s="1027"/>
      <c r="F434" s="87"/>
      <c r="G434" s="1027"/>
      <c r="H434" s="1029"/>
      <c r="I434" s="1030"/>
      <c r="J434" s="1039" t="e">
        <f>IF($F34="","",$F34*chronic_consumption!E434/1000/$C$3)</f>
        <v>#DIV/0!</v>
      </c>
      <c r="K434" s="1040" t="e">
        <f>IF($F34="","",$F34*chronic_consumption!F434/1000/$C$3)</f>
        <v>#DIV/0!</v>
      </c>
      <c r="L434" s="1040" t="e">
        <f>IF($F34="","",$F34*chronic_consumption!G434/1000/$C$3)</f>
        <v>#DIV/0!</v>
      </c>
      <c r="M434" s="1040" t="e">
        <f>IF($F34="","",$F34*chronic_consumption!H434/1000/$C$3)</f>
        <v>#DIV/0!</v>
      </c>
      <c r="N434" s="1040" t="e">
        <f>IF($F34="","",$F34*chronic_consumption!I434/1000/$C$3)</f>
        <v>#DIV/0!</v>
      </c>
      <c r="O434" s="1040" t="e">
        <f>IF($F34="","",$F34*chronic_consumption!J434/1000/$C$3)</f>
        <v>#DIV/0!</v>
      </c>
      <c r="P434" s="1040" t="e">
        <f>IF($F34="","",$F34*chronic_consumption!K434/1000/$C$3)</f>
        <v>#DIV/0!</v>
      </c>
      <c r="Q434" s="1040" t="e">
        <f>IF($F34="","",$F34*chronic_consumption!L434/1000/$C$3)</f>
        <v>#DIV/0!</v>
      </c>
      <c r="R434" s="1040" t="e">
        <f>IF($F34="","",$F34*chronic_consumption!M434/1000/$C$3)</f>
        <v>#DIV/0!</v>
      </c>
      <c r="S434" s="1040" t="e">
        <f>IF($F34="","",$F34*chronic_consumption!N434/1000/$C$3)</f>
        <v>#DIV/0!</v>
      </c>
      <c r="T434" s="1040" t="e">
        <f>IF($F34="","",$F34*chronic_consumption!O434/1000/$C$3)</f>
        <v>#DIV/0!</v>
      </c>
      <c r="U434" s="1040" t="e">
        <f>IF($F34="","",$F34*chronic_consumption!P434/1000/$C$3)</f>
        <v>#DIV/0!</v>
      </c>
      <c r="V434" s="1040" t="e">
        <f>IF($F34="","",$F34*chronic_consumption!Q434/1000/$C$3)</f>
        <v>#DIV/0!</v>
      </c>
      <c r="W434" s="1040" t="e">
        <f>IF($F34="","",$F34*chronic_consumption!R434/1000/$C$3)</f>
        <v>#DIV/0!</v>
      </c>
      <c r="X434" s="1040" t="e">
        <f>IF($F34="","",$F34*chronic_consumption!S434/1000/$C$3)</f>
        <v>#DIV/0!</v>
      </c>
      <c r="Y434" s="1040" t="e">
        <f>IF($F34="","",$F34*chronic_consumption!T434/1000/$C$3)</f>
        <v>#DIV/0!</v>
      </c>
      <c r="Z434" s="1040" t="e">
        <f>IF($F34="","",$F34*chronic_consumption!U434/1000/$C$3)</f>
        <v>#DIV/0!</v>
      </c>
      <c r="AA434" s="1040" t="e">
        <f>IF($F34="","",$F34*chronic_consumption!V434/1000/$C$3)</f>
        <v>#DIV/0!</v>
      </c>
      <c r="AB434" s="1040" t="e">
        <f>IF($F34="","",$F34*chronic_consumption!W434/1000/$C$3)</f>
        <v>#DIV/0!</v>
      </c>
      <c r="AC434" s="1040" t="e">
        <f>IF($F34="","",$F34*chronic_consumption!X434/1000/$C$3)</f>
        <v>#DIV/0!</v>
      </c>
      <c r="AD434" s="1040" t="e">
        <f>IF($F34="","",$F34*chronic_consumption!Y434/1000/$C$3)</f>
        <v>#DIV/0!</v>
      </c>
      <c r="AE434" s="1040" t="e">
        <f>IF($F34="","",$F34*chronic_consumption!Z434/1000/$C$3)</f>
        <v>#DIV/0!</v>
      </c>
      <c r="AF434" s="1040" t="e">
        <f>IF($F34="","",$F34*chronic_consumption!AA434/1000/$C$3)</f>
        <v>#DIV/0!</v>
      </c>
      <c r="AG434" s="1040" t="e">
        <f>IF($F34="","",$F34*chronic_consumption!AB434/1000/$C$3)</f>
        <v>#DIV/0!</v>
      </c>
      <c r="AH434" s="1040" t="e">
        <f>IF($F34="","",$F34*chronic_consumption!AC434/1000/$C$3)</f>
        <v>#DIV/0!</v>
      </c>
      <c r="AI434" s="1040" t="e">
        <f>IF($F34="","",$F34*chronic_consumption!AD434/1000/$C$3)</f>
        <v>#DIV/0!</v>
      </c>
      <c r="AJ434" s="1040" t="e">
        <f>IF($F34="","",$F34*chronic_consumption!AE434/1000/$C$3)</f>
        <v>#DIV/0!</v>
      </c>
      <c r="AK434" s="1040" t="e">
        <f>IF($F34="","",$F34*chronic_consumption!AF434/1000/$C$3)</f>
        <v>#DIV/0!</v>
      </c>
      <c r="AL434" s="1040" t="e">
        <f>IF($F34="","",$F34*chronic_consumption!AG434/1000/$C$3)</f>
        <v>#DIV/0!</v>
      </c>
      <c r="AM434" s="1040" t="e">
        <f>IF($F34="","",$F34*chronic_consumption!AH434/1000/$C$3)</f>
        <v>#DIV/0!</v>
      </c>
      <c r="AN434" s="1040" t="e">
        <f>IF($F34="","",$F34*chronic_consumption!AI434/1000/$C$3)</f>
        <v>#DIV/0!</v>
      </c>
      <c r="AO434" s="1040" t="e">
        <f>IF($F34="","",$F34*chronic_consumption!AJ434/1000/$C$3)</f>
        <v>#DIV/0!</v>
      </c>
      <c r="AP434" s="1040" t="e">
        <f>IF($F34="","",$F34*chronic_consumption!AK434/1000/$C$3)</f>
        <v>#DIV/0!</v>
      </c>
      <c r="AQ434" s="1040" t="e">
        <f>IF($F34="","",$F34*chronic_consumption!AL434/1000/$C$3)</f>
        <v>#DIV/0!</v>
      </c>
      <c r="AR434" s="1040" t="e">
        <f>IF($F34="","",$F34*chronic_consumption!AM434/1000/$C$3)</f>
        <v>#DIV/0!</v>
      </c>
      <c r="AS434" s="1040" t="e">
        <f>IF($F34="","",$F34*chronic_consumption!AN434/1000/$C$3)</f>
        <v>#DIV/0!</v>
      </c>
      <c r="AT434" s="1040" t="e">
        <f>IF($F34="","",$F34*chronic_consumption!AO434/1000/$C$3)</f>
        <v>#DIV/0!</v>
      </c>
      <c r="AU434" s="1040" t="e">
        <f>IF($F34="","",$F34*chronic_consumption!AP434/1000/$C$3)</f>
        <v>#DIV/0!</v>
      </c>
      <c r="AV434" s="1040" t="e">
        <f>IF($F34="","",$F34*chronic_consumption!AQ434/1000/$C$3)</f>
        <v>#DIV/0!</v>
      </c>
      <c r="AW434" s="1040" t="e">
        <f>IF($F34="","",$F34*chronic_consumption!AR434/1000/$C$3)</f>
        <v>#DIV/0!</v>
      </c>
      <c r="AX434" s="1040" t="e">
        <f>IF($F34="","",$F34*chronic_consumption!AS434/1000/$C$3)</f>
        <v>#DIV/0!</v>
      </c>
      <c r="AY434" s="1040" t="e">
        <f>IF($F34="","",$F34*chronic_consumption!AT434/1000/$C$3)</f>
        <v>#DIV/0!</v>
      </c>
      <c r="AZ434" s="44" t="s">
        <v>20</v>
      </c>
      <c r="BC434" s="29"/>
      <c r="BD434" s="29"/>
    </row>
    <row r="435" spans="1:56" ht="12" customHeight="1" outlineLevel="3" x14ac:dyDescent="0.2">
      <c r="A435" s="21">
        <f>acute_overview_children!A35</f>
        <v>4</v>
      </c>
      <c r="B435" s="325">
        <f t="shared" si="37"/>
        <v>130020</v>
      </c>
      <c r="C435" s="325" t="str">
        <f t="shared" si="37"/>
        <v>Pears</v>
      </c>
      <c r="D435" s="135"/>
      <c r="E435" s="1027"/>
      <c r="F435" s="87"/>
      <c r="G435" s="1027"/>
      <c r="H435" s="1029"/>
      <c r="I435" s="1030"/>
      <c r="J435" s="1039" t="e">
        <f>IF($F35="","",$F35*chronic_consumption!E435/1000/$C$3)</f>
        <v>#DIV/0!</v>
      </c>
      <c r="K435" s="1040" t="e">
        <f>IF($F35="","",$F35*chronic_consumption!F435/1000/$C$3)</f>
        <v>#DIV/0!</v>
      </c>
      <c r="L435" s="1040" t="e">
        <f>IF($F35="","",$F35*chronic_consumption!G435/1000/$C$3)</f>
        <v>#DIV/0!</v>
      </c>
      <c r="M435" s="1040" t="e">
        <f>IF($F35="","",$F35*chronic_consumption!H435/1000/$C$3)</f>
        <v>#DIV/0!</v>
      </c>
      <c r="N435" s="1040" t="e">
        <f>IF($F35="","",$F35*chronic_consumption!I435/1000/$C$3)</f>
        <v>#DIV/0!</v>
      </c>
      <c r="O435" s="1040" t="e">
        <f>IF($F35="","",$F35*chronic_consumption!J435/1000/$C$3)</f>
        <v>#DIV/0!</v>
      </c>
      <c r="P435" s="1040" t="e">
        <f>IF($F35="","",$F35*chronic_consumption!K435/1000/$C$3)</f>
        <v>#DIV/0!</v>
      </c>
      <c r="Q435" s="1040" t="e">
        <f>IF($F35="","",$F35*chronic_consumption!L435/1000/$C$3)</f>
        <v>#DIV/0!</v>
      </c>
      <c r="R435" s="1040" t="e">
        <f>IF($F35="","",$F35*chronic_consumption!M435/1000/$C$3)</f>
        <v>#DIV/0!</v>
      </c>
      <c r="S435" s="1040" t="e">
        <f>IF($F35="","",$F35*chronic_consumption!N435/1000/$C$3)</f>
        <v>#DIV/0!</v>
      </c>
      <c r="T435" s="1040" t="e">
        <f>IF($F35="","",$F35*chronic_consumption!O435/1000/$C$3)</f>
        <v>#DIV/0!</v>
      </c>
      <c r="U435" s="1040" t="e">
        <f>IF($F35="","",$F35*chronic_consumption!P435/1000/$C$3)</f>
        <v>#DIV/0!</v>
      </c>
      <c r="V435" s="1040" t="e">
        <f>IF($F35="","",$F35*chronic_consumption!Q435/1000/$C$3)</f>
        <v>#DIV/0!</v>
      </c>
      <c r="W435" s="1040" t="e">
        <f>IF($F35="","",$F35*chronic_consumption!R435/1000/$C$3)</f>
        <v>#DIV/0!</v>
      </c>
      <c r="X435" s="1040" t="e">
        <f>IF($F35="","",$F35*chronic_consumption!S435/1000/$C$3)</f>
        <v>#DIV/0!</v>
      </c>
      <c r="Y435" s="1040" t="e">
        <f>IF($F35="","",$F35*chronic_consumption!T435/1000/$C$3)</f>
        <v>#DIV/0!</v>
      </c>
      <c r="Z435" s="1040" t="e">
        <f>IF($F35="","",$F35*chronic_consumption!U435/1000/$C$3)</f>
        <v>#DIV/0!</v>
      </c>
      <c r="AA435" s="1040" t="e">
        <f>IF($F35="","",$F35*chronic_consumption!V435/1000/$C$3)</f>
        <v>#DIV/0!</v>
      </c>
      <c r="AB435" s="1040" t="e">
        <f>IF($F35="","",$F35*chronic_consumption!W435/1000/$C$3)</f>
        <v>#DIV/0!</v>
      </c>
      <c r="AC435" s="1040" t="e">
        <f>IF($F35="","",$F35*chronic_consumption!X435/1000/$C$3)</f>
        <v>#DIV/0!</v>
      </c>
      <c r="AD435" s="1040" t="e">
        <f>IF($F35="","",$F35*chronic_consumption!Y435/1000/$C$3)</f>
        <v>#DIV/0!</v>
      </c>
      <c r="AE435" s="1040" t="e">
        <f>IF($F35="","",$F35*chronic_consumption!Z435/1000/$C$3)</f>
        <v>#DIV/0!</v>
      </c>
      <c r="AF435" s="1040" t="e">
        <f>IF($F35="","",$F35*chronic_consumption!AA435/1000/$C$3)</f>
        <v>#DIV/0!</v>
      </c>
      <c r="AG435" s="1040" t="e">
        <f>IF($F35="","",$F35*chronic_consumption!AB435/1000/$C$3)</f>
        <v>#DIV/0!</v>
      </c>
      <c r="AH435" s="1040" t="e">
        <f>IF($F35="","",$F35*chronic_consumption!AC435/1000/$C$3)</f>
        <v>#DIV/0!</v>
      </c>
      <c r="AI435" s="1040" t="e">
        <f>IF($F35="","",$F35*chronic_consumption!AD435/1000/$C$3)</f>
        <v>#DIV/0!</v>
      </c>
      <c r="AJ435" s="1040" t="e">
        <f>IF($F35="","",$F35*chronic_consumption!AE435/1000/$C$3)</f>
        <v>#DIV/0!</v>
      </c>
      <c r="AK435" s="1040" t="e">
        <f>IF($F35="","",$F35*chronic_consumption!AF435/1000/$C$3)</f>
        <v>#DIV/0!</v>
      </c>
      <c r="AL435" s="1040" t="e">
        <f>IF($F35="","",$F35*chronic_consumption!AG435/1000/$C$3)</f>
        <v>#DIV/0!</v>
      </c>
      <c r="AM435" s="1040" t="e">
        <f>IF($F35="","",$F35*chronic_consumption!AH435/1000/$C$3)</f>
        <v>#DIV/0!</v>
      </c>
      <c r="AN435" s="1040" t="e">
        <f>IF($F35="","",$F35*chronic_consumption!AI435/1000/$C$3)</f>
        <v>#DIV/0!</v>
      </c>
      <c r="AO435" s="1040" t="e">
        <f>IF($F35="","",$F35*chronic_consumption!AJ435/1000/$C$3)</f>
        <v>#DIV/0!</v>
      </c>
      <c r="AP435" s="1040" t="e">
        <f>IF($F35="","",$F35*chronic_consumption!AK435/1000/$C$3)</f>
        <v>#DIV/0!</v>
      </c>
      <c r="AQ435" s="1040" t="e">
        <f>IF($F35="","",$F35*chronic_consumption!AL435/1000/$C$3)</f>
        <v>#DIV/0!</v>
      </c>
      <c r="AR435" s="1040" t="e">
        <f>IF($F35="","",$F35*chronic_consumption!AM435/1000/$C$3)</f>
        <v>#DIV/0!</v>
      </c>
      <c r="AS435" s="1040" t="e">
        <f>IF($F35="","",$F35*chronic_consumption!AN435/1000/$C$3)</f>
        <v>#DIV/0!</v>
      </c>
      <c r="AT435" s="1040" t="e">
        <f>IF($F35="","",$F35*chronic_consumption!AO435/1000/$C$3)</f>
        <v>#DIV/0!</v>
      </c>
      <c r="AU435" s="1040" t="e">
        <f>IF($F35="","",$F35*chronic_consumption!AP435/1000/$C$3)</f>
        <v>#DIV/0!</v>
      </c>
      <c r="AV435" s="1040" t="e">
        <f>IF($F35="","",$F35*chronic_consumption!AQ435/1000/$C$3)</f>
        <v>#DIV/0!</v>
      </c>
      <c r="AW435" s="1040" t="e">
        <f>IF($F35="","",$F35*chronic_consumption!AR435/1000/$C$3)</f>
        <v>#DIV/0!</v>
      </c>
      <c r="AX435" s="1040" t="e">
        <f>IF($F35="","",$F35*chronic_consumption!AS435/1000/$C$3)</f>
        <v>#DIV/0!</v>
      </c>
      <c r="AY435" s="1040" t="e">
        <f>IF($F35="","",$F35*chronic_consumption!AT435/1000/$C$3)</f>
        <v>#DIV/0!</v>
      </c>
      <c r="AZ435" s="44" t="s">
        <v>20</v>
      </c>
      <c r="BC435" s="29"/>
      <c r="BD435" s="29"/>
    </row>
    <row r="436" spans="1:56" ht="12" customHeight="1" outlineLevel="3" x14ac:dyDescent="0.2">
      <c r="A436" s="21">
        <f>acute_overview_children!A36</f>
        <v>4</v>
      </c>
      <c r="B436" s="325">
        <f t="shared" si="37"/>
        <v>130030</v>
      </c>
      <c r="C436" s="325" t="str">
        <f t="shared" si="37"/>
        <v>Quinces</v>
      </c>
      <c r="D436" s="135"/>
      <c r="E436" s="1027"/>
      <c r="F436" s="87"/>
      <c r="G436" s="1027"/>
      <c r="H436" s="1029"/>
      <c r="I436" s="1030"/>
      <c r="J436" s="1039" t="e">
        <f>IF($F36="","",$F36*chronic_consumption!E436/1000/$C$3)</f>
        <v>#DIV/0!</v>
      </c>
      <c r="K436" s="1040" t="e">
        <f>IF($F36="","",$F36*chronic_consumption!F436/1000/$C$3)</f>
        <v>#DIV/0!</v>
      </c>
      <c r="L436" s="1040" t="e">
        <f>IF($F36="","",$F36*chronic_consumption!G436/1000/$C$3)</f>
        <v>#DIV/0!</v>
      </c>
      <c r="M436" s="1040" t="e">
        <f>IF($F36="","",$F36*chronic_consumption!H436/1000/$C$3)</f>
        <v>#DIV/0!</v>
      </c>
      <c r="N436" s="1040" t="e">
        <f>IF($F36="","",$F36*chronic_consumption!I436/1000/$C$3)</f>
        <v>#DIV/0!</v>
      </c>
      <c r="O436" s="1040" t="e">
        <f>IF($F36="","",$F36*chronic_consumption!J436/1000/$C$3)</f>
        <v>#DIV/0!</v>
      </c>
      <c r="P436" s="1040" t="e">
        <f>IF($F36="","",$F36*chronic_consumption!K436/1000/$C$3)</f>
        <v>#DIV/0!</v>
      </c>
      <c r="Q436" s="1040" t="e">
        <f>IF($F36="","",$F36*chronic_consumption!L436/1000/$C$3)</f>
        <v>#DIV/0!</v>
      </c>
      <c r="R436" s="1040" t="e">
        <f>IF($F36="","",$F36*chronic_consumption!M436/1000/$C$3)</f>
        <v>#DIV/0!</v>
      </c>
      <c r="S436" s="1040" t="e">
        <f>IF($F36="","",$F36*chronic_consumption!N436/1000/$C$3)</f>
        <v>#DIV/0!</v>
      </c>
      <c r="T436" s="1040" t="e">
        <f>IF($F36="","",$F36*chronic_consumption!O436/1000/$C$3)</f>
        <v>#DIV/0!</v>
      </c>
      <c r="U436" s="1040" t="e">
        <f>IF($F36="","",$F36*chronic_consumption!P436/1000/$C$3)</f>
        <v>#DIV/0!</v>
      </c>
      <c r="V436" s="1040" t="e">
        <f>IF($F36="","",$F36*chronic_consumption!Q436/1000/$C$3)</f>
        <v>#DIV/0!</v>
      </c>
      <c r="W436" s="1040" t="e">
        <f>IF($F36="","",$F36*chronic_consumption!R436/1000/$C$3)</f>
        <v>#DIV/0!</v>
      </c>
      <c r="X436" s="1040" t="e">
        <f>IF($F36="","",$F36*chronic_consumption!S436/1000/$C$3)</f>
        <v>#DIV/0!</v>
      </c>
      <c r="Y436" s="1040" t="e">
        <f>IF($F36="","",$F36*chronic_consumption!T436/1000/$C$3)</f>
        <v>#DIV/0!</v>
      </c>
      <c r="Z436" s="1040" t="e">
        <f>IF($F36="","",$F36*chronic_consumption!U436/1000/$C$3)</f>
        <v>#DIV/0!</v>
      </c>
      <c r="AA436" s="1040" t="e">
        <f>IF($F36="","",$F36*chronic_consumption!V436/1000/$C$3)</f>
        <v>#DIV/0!</v>
      </c>
      <c r="AB436" s="1040" t="e">
        <f>IF($F36="","",$F36*chronic_consumption!W436/1000/$C$3)</f>
        <v>#DIV/0!</v>
      </c>
      <c r="AC436" s="1040" t="e">
        <f>IF($F36="","",$F36*chronic_consumption!X436/1000/$C$3)</f>
        <v>#DIV/0!</v>
      </c>
      <c r="AD436" s="1040" t="e">
        <f>IF($F36="","",$F36*chronic_consumption!Y436/1000/$C$3)</f>
        <v>#DIV/0!</v>
      </c>
      <c r="AE436" s="1040" t="e">
        <f>IF($F36="","",$F36*chronic_consumption!Z436/1000/$C$3)</f>
        <v>#DIV/0!</v>
      </c>
      <c r="AF436" s="1040" t="e">
        <f>IF($F36="","",$F36*chronic_consumption!AA436/1000/$C$3)</f>
        <v>#DIV/0!</v>
      </c>
      <c r="AG436" s="1040" t="e">
        <f>IF($F36="","",$F36*chronic_consumption!AB436/1000/$C$3)</f>
        <v>#DIV/0!</v>
      </c>
      <c r="AH436" s="1040" t="e">
        <f>IF($F36="","",$F36*chronic_consumption!AC436/1000/$C$3)</f>
        <v>#DIV/0!</v>
      </c>
      <c r="AI436" s="1040" t="e">
        <f>IF($F36="","",$F36*chronic_consumption!AD436/1000/$C$3)</f>
        <v>#DIV/0!</v>
      </c>
      <c r="AJ436" s="1040" t="e">
        <f>IF($F36="","",$F36*chronic_consumption!AE436/1000/$C$3)</f>
        <v>#DIV/0!</v>
      </c>
      <c r="AK436" s="1040" t="e">
        <f>IF($F36="","",$F36*chronic_consumption!AF436/1000/$C$3)</f>
        <v>#DIV/0!</v>
      </c>
      <c r="AL436" s="1040" t="e">
        <f>IF($F36="","",$F36*chronic_consumption!AG436/1000/$C$3)</f>
        <v>#DIV/0!</v>
      </c>
      <c r="AM436" s="1040" t="e">
        <f>IF($F36="","",$F36*chronic_consumption!AH436/1000/$C$3)</f>
        <v>#DIV/0!</v>
      </c>
      <c r="AN436" s="1040" t="e">
        <f>IF($F36="","",$F36*chronic_consumption!AI436/1000/$C$3)</f>
        <v>#DIV/0!</v>
      </c>
      <c r="AO436" s="1040" t="e">
        <f>IF($F36="","",$F36*chronic_consumption!AJ436/1000/$C$3)</f>
        <v>#DIV/0!</v>
      </c>
      <c r="AP436" s="1040" t="e">
        <f>IF($F36="","",$F36*chronic_consumption!AK436/1000/$C$3)</f>
        <v>#DIV/0!</v>
      </c>
      <c r="AQ436" s="1040" t="e">
        <f>IF($F36="","",$F36*chronic_consumption!AL436/1000/$C$3)</f>
        <v>#DIV/0!</v>
      </c>
      <c r="AR436" s="1040" t="e">
        <f>IF($F36="","",$F36*chronic_consumption!AM436/1000/$C$3)</f>
        <v>#DIV/0!</v>
      </c>
      <c r="AS436" s="1040" t="e">
        <f>IF($F36="","",$F36*chronic_consumption!AN436/1000/$C$3)</f>
        <v>#DIV/0!</v>
      </c>
      <c r="AT436" s="1040" t="e">
        <f>IF($F36="","",$F36*chronic_consumption!AO436/1000/$C$3)</f>
        <v>#DIV/0!</v>
      </c>
      <c r="AU436" s="1040" t="e">
        <f>IF($F36="","",$F36*chronic_consumption!AP436/1000/$C$3)</f>
        <v>#DIV/0!</v>
      </c>
      <c r="AV436" s="1040" t="e">
        <f>IF($F36="","",$F36*chronic_consumption!AQ436/1000/$C$3)</f>
        <v>#DIV/0!</v>
      </c>
      <c r="AW436" s="1040" t="e">
        <f>IF($F36="","",$F36*chronic_consumption!AR436/1000/$C$3)</f>
        <v>#DIV/0!</v>
      </c>
      <c r="AX436" s="1040" t="e">
        <f>IF($F36="","",$F36*chronic_consumption!AS436/1000/$C$3)</f>
        <v>#DIV/0!</v>
      </c>
      <c r="AY436" s="1040" t="e">
        <f>IF($F36="","",$F36*chronic_consumption!AT436/1000/$C$3)</f>
        <v>#DIV/0!</v>
      </c>
      <c r="AZ436" s="44" t="s">
        <v>20</v>
      </c>
      <c r="BC436" s="29"/>
      <c r="BD436" s="29"/>
    </row>
    <row r="437" spans="1:56" ht="12" customHeight="1" outlineLevel="3" x14ac:dyDescent="0.2">
      <c r="A437" s="21">
        <f>acute_overview_children!A37</f>
        <v>4</v>
      </c>
      <c r="B437" s="325">
        <f t="shared" si="37"/>
        <v>130040</v>
      </c>
      <c r="C437" s="325" t="str">
        <f t="shared" si="37"/>
        <v xml:space="preserve">Medlar </v>
      </c>
      <c r="D437" s="135"/>
      <c r="E437" s="1027"/>
      <c r="F437" s="87"/>
      <c r="G437" s="1027"/>
      <c r="H437" s="1029"/>
      <c r="I437" s="1030"/>
      <c r="J437" s="1039" t="e">
        <f>IF($F37="","",$F37*chronic_consumption!E437/1000/$C$3)</f>
        <v>#DIV/0!</v>
      </c>
      <c r="K437" s="1040" t="e">
        <f>IF($F37="","",$F37*chronic_consumption!F437/1000/$C$3)</f>
        <v>#DIV/0!</v>
      </c>
      <c r="L437" s="1040" t="e">
        <f>IF($F37="","",$F37*chronic_consumption!G437/1000/$C$3)</f>
        <v>#DIV/0!</v>
      </c>
      <c r="M437" s="1040" t="e">
        <f>IF($F37="","",$F37*chronic_consumption!H437/1000/$C$3)</f>
        <v>#DIV/0!</v>
      </c>
      <c r="N437" s="1040" t="e">
        <f>IF($F37="","",$F37*chronic_consumption!I437/1000/$C$3)</f>
        <v>#DIV/0!</v>
      </c>
      <c r="O437" s="1040" t="e">
        <f>IF($F37="","",$F37*chronic_consumption!J437/1000/$C$3)</f>
        <v>#DIV/0!</v>
      </c>
      <c r="P437" s="1040" t="e">
        <f>IF($F37="","",$F37*chronic_consumption!K437/1000/$C$3)</f>
        <v>#DIV/0!</v>
      </c>
      <c r="Q437" s="1040" t="e">
        <f>IF($F37="","",$F37*chronic_consumption!L437/1000/$C$3)</f>
        <v>#DIV/0!</v>
      </c>
      <c r="R437" s="1040" t="e">
        <f>IF($F37="","",$F37*chronic_consumption!M437/1000/$C$3)</f>
        <v>#DIV/0!</v>
      </c>
      <c r="S437" s="1040" t="e">
        <f>IF($F37="","",$F37*chronic_consumption!N437/1000/$C$3)</f>
        <v>#DIV/0!</v>
      </c>
      <c r="T437" s="1040" t="e">
        <f>IF($F37="","",$F37*chronic_consumption!O437/1000/$C$3)</f>
        <v>#DIV/0!</v>
      </c>
      <c r="U437" s="1040" t="e">
        <f>IF($F37="","",$F37*chronic_consumption!P437/1000/$C$3)</f>
        <v>#DIV/0!</v>
      </c>
      <c r="V437" s="1040" t="e">
        <f>IF($F37="","",$F37*chronic_consumption!Q437/1000/$C$3)</f>
        <v>#DIV/0!</v>
      </c>
      <c r="W437" s="1040" t="e">
        <f>IF($F37="","",$F37*chronic_consumption!R437/1000/$C$3)</f>
        <v>#DIV/0!</v>
      </c>
      <c r="X437" s="1040" t="e">
        <f>IF($F37="","",$F37*chronic_consumption!S437/1000/$C$3)</f>
        <v>#DIV/0!</v>
      </c>
      <c r="Y437" s="1040" t="e">
        <f>IF($F37="","",$F37*chronic_consumption!T437/1000/$C$3)</f>
        <v>#DIV/0!</v>
      </c>
      <c r="Z437" s="1040" t="e">
        <f>IF($F37="","",$F37*chronic_consumption!U437/1000/$C$3)</f>
        <v>#DIV/0!</v>
      </c>
      <c r="AA437" s="1040" t="e">
        <f>IF($F37="","",$F37*chronic_consumption!V437/1000/$C$3)</f>
        <v>#DIV/0!</v>
      </c>
      <c r="AB437" s="1040" t="e">
        <f>IF($F37="","",$F37*chronic_consumption!W437/1000/$C$3)</f>
        <v>#DIV/0!</v>
      </c>
      <c r="AC437" s="1040" t="e">
        <f>IF($F37="","",$F37*chronic_consumption!X437/1000/$C$3)</f>
        <v>#DIV/0!</v>
      </c>
      <c r="AD437" s="1040" t="e">
        <f>IF($F37="","",$F37*chronic_consumption!Y437/1000/$C$3)</f>
        <v>#DIV/0!</v>
      </c>
      <c r="AE437" s="1040" t="e">
        <f>IF($F37="","",$F37*chronic_consumption!Z437/1000/$C$3)</f>
        <v>#DIV/0!</v>
      </c>
      <c r="AF437" s="1040" t="e">
        <f>IF($F37="","",$F37*chronic_consumption!AA437/1000/$C$3)</f>
        <v>#DIV/0!</v>
      </c>
      <c r="AG437" s="1040" t="e">
        <f>IF($F37="","",$F37*chronic_consumption!AB437/1000/$C$3)</f>
        <v>#DIV/0!</v>
      </c>
      <c r="AH437" s="1040" t="e">
        <f>IF($F37="","",$F37*chronic_consumption!AC437/1000/$C$3)</f>
        <v>#DIV/0!</v>
      </c>
      <c r="AI437" s="1040" t="e">
        <f>IF($F37="","",$F37*chronic_consumption!AD437/1000/$C$3)</f>
        <v>#DIV/0!</v>
      </c>
      <c r="AJ437" s="1040" t="e">
        <f>IF($F37="","",$F37*chronic_consumption!AE437/1000/$C$3)</f>
        <v>#DIV/0!</v>
      </c>
      <c r="AK437" s="1040" t="e">
        <f>IF($F37="","",$F37*chronic_consumption!AF437/1000/$C$3)</f>
        <v>#DIV/0!</v>
      </c>
      <c r="AL437" s="1040" t="e">
        <f>IF($F37="","",$F37*chronic_consumption!AG437/1000/$C$3)</f>
        <v>#DIV/0!</v>
      </c>
      <c r="AM437" s="1040" t="e">
        <f>IF($F37="","",$F37*chronic_consumption!AH437/1000/$C$3)</f>
        <v>#DIV/0!</v>
      </c>
      <c r="AN437" s="1040" t="e">
        <f>IF($F37="","",$F37*chronic_consumption!AI437/1000/$C$3)</f>
        <v>#DIV/0!</v>
      </c>
      <c r="AO437" s="1040" t="e">
        <f>IF($F37="","",$F37*chronic_consumption!AJ437/1000/$C$3)</f>
        <v>#DIV/0!</v>
      </c>
      <c r="AP437" s="1040" t="e">
        <f>IF($F37="","",$F37*chronic_consumption!AK437/1000/$C$3)</f>
        <v>#DIV/0!</v>
      </c>
      <c r="AQ437" s="1040" t="e">
        <f>IF($F37="","",$F37*chronic_consumption!AL437/1000/$C$3)</f>
        <v>#DIV/0!</v>
      </c>
      <c r="AR437" s="1040" t="e">
        <f>IF($F37="","",$F37*chronic_consumption!AM437/1000/$C$3)</f>
        <v>#DIV/0!</v>
      </c>
      <c r="AS437" s="1040" t="e">
        <f>IF($F37="","",$F37*chronic_consumption!AN437/1000/$C$3)</f>
        <v>#DIV/0!</v>
      </c>
      <c r="AT437" s="1040" t="e">
        <f>IF($F37="","",$F37*chronic_consumption!AO437/1000/$C$3)</f>
        <v>#DIV/0!</v>
      </c>
      <c r="AU437" s="1040" t="e">
        <f>IF($F37="","",$F37*chronic_consumption!AP437/1000/$C$3)</f>
        <v>#DIV/0!</v>
      </c>
      <c r="AV437" s="1040" t="e">
        <f>IF($F37="","",$F37*chronic_consumption!AQ437/1000/$C$3)</f>
        <v>#DIV/0!</v>
      </c>
      <c r="AW437" s="1040" t="e">
        <f>IF($F37="","",$F37*chronic_consumption!AR437/1000/$C$3)</f>
        <v>#DIV/0!</v>
      </c>
      <c r="AX437" s="1040" t="e">
        <f>IF($F37="","",$F37*chronic_consumption!AS437/1000/$C$3)</f>
        <v>#DIV/0!</v>
      </c>
      <c r="AY437" s="1040" t="e">
        <f>IF($F37="","",$F37*chronic_consumption!AT437/1000/$C$3)</f>
        <v>#DIV/0!</v>
      </c>
      <c r="AZ437" s="44" t="s">
        <v>20</v>
      </c>
      <c r="BC437" s="29"/>
      <c r="BD437" s="29"/>
    </row>
    <row r="438" spans="1:56" ht="12" customHeight="1" outlineLevel="3" x14ac:dyDescent="0.2">
      <c r="A438" s="21">
        <f>acute_overview_children!A38</f>
        <v>4</v>
      </c>
      <c r="B438" s="325">
        <f t="shared" si="37"/>
        <v>130050</v>
      </c>
      <c r="C438" s="325" t="str">
        <f t="shared" si="37"/>
        <v>Loquats/Japanese medlars</v>
      </c>
      <c r="D438" s="135"/>
      <c r="E438" s="1027"/>
      <c r="F438" s="87"/>
      <c r="G438" s="1027"/>
      <c r="H438" s="1029"/>
      <c r="I438" s="1030"/>
      <c r="J438" s="1039" t="e">
        <f>IF($F38="","",$F38*chronic_consumption!E438/1000/$C$3)</f>
        <v>#DIV/0!</v>
      </c>
      <c r="K438" s="1040" t="e">
        <f>IF($F38="","",$F38*chronic_consumption!F438/1000/$C$3)</f>
        <v>#DIV/0!</v>
      </c>
      <c r="L438" s="1040" t="e">
        <f>IF($F38="","",$F38*chronic_consumption!G438/1000/$C$3)</f>
        <v>#DIV/0!</v>
      </c>
      <c r="M438" s="1040" t="e">
        <f>IF($F38="","",$F38*chronic_consumption!H438/1000/$C$3)</f>
        <v>#DIV/0!</v>
      </c>
      <c r="N438" s="1040" t="e">
        <f>IF($F38="","",$F38*chronic_consumption!I438/1000/$C$3)</f>
        <v>#DIV/0!</v>
      </c>
      <c r="O438" s="1040" t="e">
        <f>IF($F38="","",$F38*chronic_consumption!J438/1000/$C$3)</f>
        <v>#DIV/0!</v>
      </c>
      <c r="P438" s="1040" t="e">
        <f>IF($F38="","",$F38*chronic_consumption!K438/1000/$C$3)</f>
        <v>#DIV/0!</v>
      </c>
      <c r="Q438" s="1040" t="e">
        <f>IF($F38="","",$F38*chronic_consumption!L438/1000/$C$3)</f>
        <v>#DIV/0!</v>
      </c>
      <c r="R438" s="1040" t="e">
        <f>IF($F38="","",$F38*chronic_consumption!M438/1000/$C$3)</f>
        <v>#DIV/0!</v>
      </c>
      <c r="S438" s="1040" t="e">
        <f>IF($F38="","",$F38*chronic_consumption!N438/1000/$C$3)</f>
        <v>#DIV/0!</v>
      </c>
      <c r="T438" s="1040" t="e">
        <f>IF($F38="","",$F38*chronic_consumption!O438/1000/$C$3)</f>
        <v>#DIV/0!</v>
      </c>
      <c r="U438" s="1040" t="e">
        <f>IF($F38="","",$F38*chronic_consumption!P438/1000/$C$3)</f>
        <v>#DIV/0!</v>
      </c>
      <c r="V438" s="1040" t="e">
        <f>IF($F38="","",$F38*chronic_consumption!Q438/1000/$C$3)</f>
        <v>#DIV/0!</v>
      </c>
      <c r="W438" s="1040" t="e">
        <f>IF($F38="","",$F38*chronic_consumption!R438/1000/$C$3)</f>
        <v>#DIV/0!</v>
      </c>
      <c r="X438" s="1040" t="e">
        <f>IF($F38="","",$F38*chronic_consumption!S438/1000/$C$3)</f>
        <v>#DIV/0!</v>
      </c>
      <c r="Y438" s="1040" t="e">
        <f>IF($F38="","",$F38*chronic_consumption!T438/1000/$C$3)</f>
        <v>#DIV/0!</v>
      </c>
      <c r="Z438" s="1040" t="e">
        <f>IF($F38="","",$F38*chronic_consumption!U438/1000/$C$3)</f>
        <v>#DIV/0!</v>
      </c>
      <c r="AA438" s="1040" t="e">
        <f>IF($F38="","",$F38*chronic_consumption!V438/1000/$C$3)</f>
        <v>#DIV/0!</v>
      </c>
      <c r="AB438" s="1040" t="e">
        <f>IF($F38="","",$F38*chronic_consumption!W438/1000/$C$3)</f>
        <v>#DIV/0!</v>
      </c>
      <c r="AC438" s="1040" t="e">
        <f>IF($F38="","",$F38*chronic_consumption!X438/1000/$C$3)</f>
        <v>#DIV/0!</v>
      </c>
      <c r="AD438" s="1040" t="e">
        <f>IF($F38="","",$F38*chronic_consumption!Y438/1000/$C$3)</f>
        <v>#DIV/0!</v>
      </c>
      <c r="AE438" s="1040" t="e">
        <f>IF($F38="","",$F38*chronic_consumption!Z438/1000/$C$3)</f>
        <v>#DIV/0!</v>
      </c>
      <c r="AF438" s="1040" t="e">
        <f>IF($F38="","",$F38*chronic_consumption!AA438/1000/$C$3)</f>
        <v>#DIV/0!</v>
      </c>
      <c r="AG438" s="1040" t="e">
        <f>IF($F38="","",$F38*chronic_consumption!AB438/1000/$C$3)</f>
        <v>#DIV/0!</v>
      </c>
      <c r="AH438" s="1040" t="e">
        <f>IF($F38="","",$F38*chronic_consumption!AC438/1000/$C$3)</f>
        <v>#DIV/0!</v>
      </c>
      <c r="AI438" s="1040" t="e">
        <f>IF($F38="","",$F38*chronic_consumption!AD438/1000/$C$3)</f>
        <v>#DIV/0!</v>
      </c>
      <c r="AJ438" s="1040" t="e">
        <f>IF($F38="","",$F38*chronic_consumption!AE438/1000/$C$3)</f>
        <v>#DIV/0!</v>
      </c>
      <c r="AK438" s="1040" t="e">
        <f>IF($F38="","",$F38*chronic_consumption!AF438/1000/$C$3)</f>
        <v>#DIV/0!</v>
      </c>
      <c r="AL438" s="1040" t="e">
        <f>IF($F38="","",$F38*chronic_consumption!AG438/1000/$C$3)</f>
        <v>#DIV/0!</v>
      </c>
      <c r="AM438" s="1040" t="e">
        <f>IF($F38="","",$F38*chronic_consumption!AH438/1000/$C$3)</f>
        <v>#DIV/0!</v>
      </c>
      <c r="AN438" s="1040" t="e">
        <f>IF($F38="","",$F38*chronic_consumption!AI438/1000/$C$3)</f>
        <v>#DIV/0!</v>
      </c>
      <c r="AO438" s="1040" t="e">
        <f>IF($F38="","",$F38*chronic_consumption!AJ438/1000/$C$3)</f>
        <v>#DIV/0!</v>
      </c>
      <c r="AP438" s="1040" t="e">
        <f>IF($F38="","",$F38*chronic_consumption!AK438/1000/$C$3)</f>
        <v>#DIV/0!</v>
      </c>
      <c r="AQ438" s="1040" t="e">
        <f>IF($F38="","",$F38*chronic_consumption!AL438/1000/$C$3)</f>
        <v>#DIV/0!</v>
      </c>
      <c r="AR438" s="1040" t="e">
        <f>IF($F38="","",$F38*chronic_consumption!AM438/1000/$C$3)</f>
        <v>#DIV/0!</v>
      </c>
      <c r="AS438" s="1040" t="e">
        <f>IF($F38="","",$F38*chronic_consumption!AN438/1000/$C$3)</f>
        <v>#DIV/0!</v>
      </c>
      <c r="AT438" s="1040" t="e">
        <f>IF($F38="","",$F38*chronic_consumption!AO438/1000/$C$3)</f>
        <v>#DIV/0!</v>
      </c>
      <c r="AU438" s="1040" t="e">
        <f>IF($F38="","",$F38*chronic_consumption!AP438/1000/$C$3)</f>
        <v>#DIV/0!</v>
      </c>
      <c r="AV438" s="1040" t="e">
        <f>IF($F38="","",$F38*chronic_consumption!AQ438/1000/$C$3)</f>
        <v>#DIV/0!</v>
      </c>
      <c r="AW438" s="1040" t="e">
        <f>IF($F38="","",$F38*chronic_consumption!AR438/1000/$C$3)</f>
        <v>#DIV/0!</v>
      </c>
      <c r="AX438" s="1040" t="e">
        <f>IF($F38="","",$F38*chronic_consumption!AS438/1000/$C$3)</f>
        <v>#DIV/0!</v>
      </c>
      <c r="AY438" s="1040" t="e">
        <f>IF($F38="","",$F38*chronic_consumption!AT438/1000/$C$3)</f>
        <v>#DIV/0!</v>
      </c>
      <c r="AZ438" s="44" t="s">
        <v>20</v>
      </c>
      <c r="BC438" s="29"/>
      <c r="BD438" s="29"/>
    </row>
    <row r="439" spans="1:56" ht="12" customHeight="1" outlineLevel="3" x14ac:dyDescent="0.2">
      <c r="A439" s="21">
        <f>acute_overview_children!A39</f>
        <v>4</v>
      </c>
      <c r="B439" s="325">
        <f t="shared" si="37"/>
        <v>130990</v>
      </c>
      <c r="C439" s="325" t="str">
        <f t="shared" si="37"/>
        <v>Other pome fruit</v>
      </c>
      <c r="D439" s="135"/>
      <c r="E439" s="1027"/>
      <c r="F439" s="87"/>
      <c r="G439" s="1027"/>
      <c r="H439" s="1029"/>
      <c r="I439" s="1030"/>
      <c r="J439" s="1039" t="e">
        <f>IF($F39="","",$F39*chronic_consumption!E439/1000/$C$3)</f>
        <v>#DIV/0!</v>
      </c>
      <c r="K439" s="1040" t="e">
        <f>IF($F39="","",$F39*chronic_consumption!F439/1000/$C$3)</f>
        <v>#DIV/0!</v>
      </c>
      <c r="L439" s="1040" t="e">
        <f>IF($F39="","",$F39*chronic_consumption!G439/1000/$C$3)</f>
        <v>#DIV/0!</v>
      </c>
      <c r="M439" s="1040" t="e">
        <f>IF($F39="","",$F39*chronic_consumption!H439/1000/$C$3)</f>
        <v>#DIV/0!</v>
      </c>
      <c r="N439" s="1040" t="e">
        <f>IF($F39="","",$F39*chronic_consumption!I439/1000/$C$3)</f>
        <v>#DIV/0!</v>
      </c>
      <c r="O439" s="1040" t="e">
        <f>IF($F39="","",$F39*chronic_consumption!J439/1000/$C$3)</f>
        <v>#DIV/0!</v>
      </c>
      <c r="P439" s="1040" t="e">
        <f>IF($F39="","",$F39*chronic_consumption!K439/1000/$C$3)</f>
        <v>#DIV/0!</v>
      </c>
      <c r="Q439" s="1040" t="e">
        <f>IF($F39="","",$F39*chronic_consumption!L439/1000/$C$3)</f>
        <v>#DIV/0!</v>
      </c>
      <c r="R439" s="1040" t="e">
        <f>IF($F39="","",$F39*chronic_consumption!M439/1000/$C$3)</f>
        <v>#DIV/0!</v>
      </c>
      <c r="S439" s="1040" t="e">
        <f>IF($F39="","",$F39*chronic_consumption!N439/1000/$C$3)</f>
        <v>#DIV/0!</v>
      </c>
      <c r="T439" s="1040" t="e">
        <f>IF($F39="","",$F39*chronic_consumption!O439/1000/$C$3)</f>
        <v>#DIV/0!</v>
      </c>
      <c r="U439" s="1040" t="e">
        <f>IF($F39="","",$F39*chronic_consumption!P439/1000/$C$3)</f>
        <v>#DIV/0!</v>
      </c>
      <c r="V439" s="1040" t="e">
        <f>IF($F39="","",$F39*chronic_consumption!Q439/1000/$C$3)</f>
        <v>#DIV/0!</v>
      </c>
      <c r="W439" s="1040" t="e">
        <f>IF($F39="","",$F39*chronic_consumption!R439/1000/$C$3)</f>
        <v>#DIV/0!</v>
      </c>
      <c r="X439" s="1040" t="e">
        <f>IF($F39="","",$F39*chronic_consumption!S439/1000/$C$3)</f>
        <v>#DIV/0!</v>
      </c>
      <c r="Y439" s="1040" t="e">
        <f>IF($F39="","",$F39*chronic_consumption!T439/1000/$C$3)</f>
        <v>#DIV/0!</v>
      </c>
      <c r="Z439" s="1040" t="e">
        <f>IF($F39="","",$F39*chronic_consumption!U439/1000/$C$3)</f>
        <v>#DIV/0!</v>
      </c>
      <c r="AA439" s="1040" t="e">
        <f>IF($F39="","",$F39*chronic_consumption!V439/1000/$C$3)</f>
        <v>#DIV/0!</v>
      </c>
      <c r="AB439" s="1040" t="e">
        <f>IF($F39="","",$F39*chronic_consumption!W439/1000/$C$3)</f>
        <v>#DIV/0!</v>
      </c>
      <c r="AC439" s="1040" t="e">
        <f>IF($F39="","",$F39*chronic_consumption!X439/1000/$C$3)</f>
        <v>#DIV/0!</v>
      </c>
      <c r="AD439" s="1040" t="e">
        <f>IF($F39="","",$F39*chronic_consumption!Y439/1000/$C$3)</f>
        <v>#DIV/0!</v>
      </c>
      <c r="AE439" s="1040" t="e">
        <f>IF($F39="","",$F39*chronic_consumption!Z439/1000/$C$3)</f>
        <v>#DIV/0!</v>
      </c>
      <c r="AF439" s="1040" t="e">
        <f>IF($F39="","",$F39*chronic_consumption!AA439/1000/$C$3)</f>
        <v>#DIV/0!</v>
      </c>
      <c r="AG439" s="1040" t="e">
        <f>IF($F39="","",$F39*chronic_consumption!AB439/1000/$C$3)</f>
        <v>#DIV/0!</v>
      </c>
      <c r="AH439" s="1040" t="e">
        <f>IF($F39="","",$F39*chronic_consumption!AC439/1000/$C$3)</f>
        <v>#DIV/0!</v>
      </c>
      <c r="AI439" s="1040" t="e">
        <f>IF($F39="","",$F39*chronic_consumption!AD439/1000/$C$3)</f>
        <v>#DIV/0!</v>
      </c>
      <c r="AJ439" s="1040" t="e">
        <f>IF($F39="","",$F39*chronic_consumption!AE439/1000/$C$3)</f>
        <v>#DIV/0!</v>
      </c>
      <c r="AK439" s="1040" t="e">
        <f>IF($F39="","",$F39*chronic_consumption!AF439/1000/$C$3)</f>
        <v>#DIV/0!</v>
      </c>
      <c r="AL439" s="1040" t="e">
        <f>IF($F39="","",$F39*chronic_consumption!AG439/1000/$C$3)</f>
        <v>#DIV/0!</v>
      </c>
      <c r="AM439" s="1040" t="e">
        <f>IF($F39="","",$F39*chronic_consumption!AH439/1000/$C$3)</f>
        <v>#DIV/0!</v>
      </c>
      <c r="AN439" s="1040" t="e">
        <f>IF($F39="","",$F39*chronic_consumption!AI439/1000/$C$3)</f>
        <v>#DIV/0!</v>
      </c>
      <c r="AO439" s="1040" t="e">
        <f>IF($F39="","",$F39*chronic_consumption!AJ439/1000/$C$3)</f>
        <v>#DIV/0!</v>
      </c>
      <c r="AP439" s="1040" t="e">
        <f>IF($F39="","",$F39*chronic_consumption!AK439/1000/$C$3)</f>
        <v>#DIV/0!</v>
      </c>
      <c r="AQ439" s="1040" t="e">
        <f>IF($F39="","",$F39*chronic_consumption!AL439/1000/$C$3)</f>
        <v>#DIV/0!</v>
      </c>
      <c r="AR439" s="1040" t="e">
        <f>IF($F39="","",$F39*chronic_consumption!AM439/1000/$C$3)</f>
        <v>#DIV/0!</v>
      </c>
      <c r="AS439" s="1040" t="e">
        <f>IF($F39="","",$F39*chronic_consumption!AN439/1000/$C$3)</f>
        <v>#DIV/0!</v>
      </c>
      <c r="AT439" s="1040" t="e">
        <f>IF($F39="","",$F39*chronic_consumption!AO439/1000/$C$3)</f>
        <v>#DIV/0!</v>
      </c>
      <c r="AU439" s="1040" t="e">
        <f>IF($F39="","",$F39*chronic_consumption!AP439/1000/$C$3)</f>
        <v>#DIV/0!</v>
      </c>
      <c r="AV439" s="1040" t="e">
        <f>IF($F39="","",$F39*chronic_consumption!AQ439/1000/$C$3)</f>
        <v>#DIV/0!</v>
      </c>
      <c r="AW439" s="1040" t="e">
        <f>IF($F39="","",$F39*chronic_consumption!AR439/1000/$C$3)</f>
        <v>#DIV/0!</v>
      </c>
      <c r="AX439" s="1040" t="e">
        <f>IF($F39="","",$F39*chronic_consumption!AS439/1000/$C$3)</f>
        <v>#DIV/0!</v>
      </c>
      <c r="AY439" s="1040" t="e">
        <f>IF($F39="","",$F39*chronic_consumption!AT439/1000/$C$3)</f>
        <v>#DIV/0!</v>
      </c>
      <c r="AZ439" s="44" t="s">
        <v>20</v>
      </c>
      <c r="BC439" s="29"/>
      <c r="BD439" s="29"/>
    </row>
    <row r="440" spans="1:56" ht="12" customHeight="1" outlineLevel="1" x14ac:dyDescent="0.2">
      <c r="A440" s="1033">
        <f>acute_overview_children!A40</f>
        <v>2</v>
      </c>
      <c r="B440" s="1034">
        <f t="shared" si="37"/>
        <v>140000</v>
      </c>
      <c r="C440" s="1034" t="str">
        <f t="shared" si="37"/>
        <v>Stone fruit</v>
      </c>
      <c r="D440" s="1035"/>
      <c r="E440" s="1027"/>
      <c r="F440" s="87"/>
      <c r="G440" s="1027"/>
      <c r="H440" s="1029"/>
      <c r="I440" s="1030"/>
      <c r="J440" s="1037" t="e">
        <f>IF($F40="","",$F40*chronic_consumption!E440/1000/$C$3)</f>
        <v>#DIV/0!</v>
      </c>
      <c r="K440" s="1038" t="e">
        <f>IF($F40="","",$F40*chronic_consumption!F440/1000/$C$3)</f>
        <v>#DIV/0!</v>
      </c>
      <c r="L440" s="1038" t="e">
        <f>IF($F40="","",$F40*chronic_consumption!G440/1000/$C$3)</f>
        <v>#DIV/0!</v>
      </c>
      <c r="M440" s="1038" t="e">
        <f>IF($F40="","",$F40*chronic_consumption!H440/1000/$C$3)</f>
        <v>#DIV/0!</v>
      </c>
      <c r="N440" s="1038" t="e">
        <f>IF($F40="","",$F40*chronic_consumption!I440/1000/$C$3)</f>
        <v>#DIV/0!</v>
      </c>
      <c r="O440" s="1038" t="e">
        <f>IF($F40="","",$F40*chronic_consumption!J440/1000/$C$3)</f>
        <v>#DIV/0!</v>
      </c>
      <c r="P440" s="1038" t="e">
        <f>IF($F40="","",$F40*chronic_consumption!K440/1000/$C$3)</f>
        <v>#DIV/0!</v>
      </c>
      <c r="Q440" s="1038" t="e">
        <f>IF($F40="","",$F40*chronic_consumption!L440/1000/$C$3)</f>
        <v>#DIV/0!</v>
      </c>
      <c r="R440" s="1038" t="e">
        <f>IF($F40="","",$F40*chronic_consumption!M440/1000/$C$3)</f>
        <v>#DIV/0!</v>
      </c>
      <c r="S440" s="1038" t="e">
        <f>IF($F40="","",$F40*chronic_consumption!N440/1000/$C$3)</f>
        <v>#DIV/0!</v>
      </c>
      <c r="T440" s="1038" t="e">
        <f>IF($F40="","",$F40*chronic_consumption!O440/1000/$C$3)</f>
        <v>#DIV/0!</v>
      </c>
      <c r="U440" s="1038" t="e">
        <f>IF($F40="","",$F40*chronic_consumption!P440/1000/$C$3)</f>
        <v>#DIV/0!</v>
      </c>
      <c r="V440" s="1038" t="e">
        <f>IF($F40="","",$F40*chronic_consumption!Q440/1000/$C$3)</f>
        <v>#DIV/0!</v>
      </c>
      <c r="W440" s="1038" t="e">
        <f>IF($F40="","",$F40*chronic_consumption!R440/1000/$C$3)</f>
        <v>#DIV/0!</v>
      </c>
      <c r="X440" s="1038" t="e">
        <f>IF($F40="","",$F40*chronic_consumption!S440/1000/$C$3)</f>
        <v>#DIV/0!</v>
      </c>
      <c r="Y440" s="1038" t="e">
        <f>IF($F40="","",$F40*chronic_consumption!T440/1000/$C$3)</f>
        <v>#DIV/0!</v>
      </c>
      <c r="Z440" s="1038" t="e">
        <f>IF($F40="","",$F40*chronic_consumption!U440/1000/$C$3)</f>
        <v>#DIV/0!</v>
      </c>
      <c r="AA440" s="1038" t="e">
        <f>IF($F40="","",$F40*chronic_consumption!V440/1000/$C$3)</f>
        <v>#DIV/0!</v>
      </c>
      <c r="AB440" s="1038" t="e">
        <f>IF($F40="","",$F40*chronic_consumption!W440/1000/$C$3)</f>
        <v>#DIV/0!</v>
      </c>
      <c r="AC440" s="1038" t="e">
        <f>IF($F40="","",$F40*chronic_consumption!X440/1000/$C$3)</f>
        <v>#DIV/0!</v>
      </c>
      <c r="AD440" s="1038" t="e">
        <f>IF($F40="","",$F40*chronic_consumption!Y440/1000/$C$3)</f>
        <v>#DIV/0!</v>
      </c>
      <c r="AE440" s="1038" t="e">
        <f>IF($F40="","",$F40*chronic_consumption!Z440/1000/$C$3)</f>
        <v>#DIV/0!</v>
      </c>
      <c r="AF440" s="1038" t="e">
        <f>IF($F40="","",$F40*chronic_consumption!AA440/1000/$C$3)</f>
        <v>#DIV/0!</v>
      </c>
      <c r="AG440" s="1038" t="e">
        <f>IF($F40="","",$F40*chronic_consumption!AB440/1000/$C$3)</f>
        <v>#DIV/0!</v>
      </c>
      <c r="AH440" s="1038" t="e">
        <f>IF($F40="","",$F40*chronic_consumption!AC440/1000/$C$3)</f>
        <v>#DIV/0!</v>
      </c>
      <c r="AI440" s="1038" t="e">
        <f>IF($F40="","",$F40*chronic_consumption!AD440/1000/$C$3)</f>
        <v>#DIV/0!</v>
      </c>
      <c r="AJ440" s="1038" t="e">
        <f>IF($F40="","",$F40*chronic_consumption!AE440/1000/$C$3)</f>
        <v>#DIV/0!</v>
      </c>
      <c r="AK440" s="1038" t="e">
        <f>IF($F40="","",$F40*chronic_consumption!AF440/1000/$C$3)</f>
        <v>#DIV/0!</v>
      </c>
      <c r="AL440" s="1038" t="e">
        <f>IF($F40="","",$F40*chronic_consumption!AG440/1000/$C$3)</f>
        <v>#DIV/0!</v>
      </c>
      <c r="AM440" s="1038" t="e">
        <f>IF($F40="","",$F40*chronic_consumption!AH440/1000/$C$3)</f>
        <v>#DIV/0!</v>
      </c>
      <c r="AN440" s="1038" t="e">
        <f>IF($F40="","",$F40*chronic_consumption!AI440/1000/$C$3)</f>
        <v>#DIV/0!</v>
      </c>
      <c r="AO440" s="1038" t="e">
        <f>IF($F40="","",$F40*chronic_consumption!AJ440/1000/$C$3)</f>
        <v>#DIV/0!</v>
      </c>
      <c r="AP440" s="1038" t="e">
        <f>IF($F40="","",$F40*chronic_consumption!AK440/1000/$C$3)</f>
        <v>#DIV/0!</v>
      </c>
      <c r="AQ440" s="1038" t="e">
        <f>IF($F40="","",$F40*chronic_consumption!AL440/1000/$C$3)</f>
        <v>#DIV/0!</v>
      </c>
      <c r="AR440" s="1038" t="e">
        <f>IF($F40="","",$F40*chronic_consumption!AM440/1000/$C$3)</f>
        <v>#DIV/0!</v>
      </c>
      <c r="AS440" s="1038" t="e">
        <f>IF($F40="","",$F40*chronic_consumption!AN440/1000/$C$3)</f>
        <v>#DIV/0!</v>
      </c>
      <c r="AT440" s="1038" t="e">
        <f>IF($F40="","",$F40*chronic_consumption!AO440/1000/$C$3)</f>
        <v>#DIV/0!</v>
      </c>
      <c r="AU440" s="1038" t="e">
        <f>IF($F40="","",$F40*chronic_consumption!AP440/1000/$C$3)</f>
        <v>#DIV/0!</v>
      </c>
      <c r="AV440" s="1038" t="e">
        <f>IF($F40="","",$F40*chronic_consumption!AQ440/1000/$C$3)</f>
        <v>#DIV/0!</v>
      </c>
      <c r="AW440" s="1038" t="e">
        <f>IF($F40="","",$F40*chronic_consumption!AR440/1000/$C$3)</f>
        <v>#DIV/0!</v>
      </c>
      <c r="AX440" s="1038" t="e">
        <f>IF($F40="","",$F40*chronic_consumption!AS440/1000/$C$3)</f>
        <v>#DIV/0!</v>
      </c>
      <c r="AY440" s="1038" t="e">
        <f>IF($F40="","",$F40*chronic_consumption!AT440/1000/$C$3)</f>
        <v>#DIV/0!</v>
      </c>
      <c r="AZ440" s="44" t="s">
        <v>20</v>
      </c>
      <c r="BC440" s="29"/>
      <c r="BD440" s="29"/>
    </row>
    <row r="441" spans="1:56" ht="12" customHeight="1" outlineLevel="3" x14ac:dyDescent="0.2">
      <c r="A441" s="21">
        <f>acute_overview_children!A41</f>
        <v>4</v>
      </c>
      <c r="B441" s="325">
        <f t="shared" si="37"/>
        <v>140010</v>
      </c>
      <c r="C441" s="325" t="str">
        <f t="shared" si="37"/>
        <v>Apricots</v>
      </c>
      <c r="D441" s="135"/>
      <c r="E441" s="1027"/>
      <c r="F441" s="87"/>
      <c r="G441" s="1027"/>
      <c r="H441" s="1029"/>
      <c r="I441" s="1030"/>
      <c r="J441" s="1039" t="e">
        <f>IF($F41="","",$F41*chronic_consumption!E441/1000/$C$3)</f>
        <v>#DIV/0!</v>
      </c>
      <c r="K441" s="1040" t="e">
        <f>IF($F41="","",$F41*chronic_consumption!F441/1000/$C$3)</f>
        <v>#DIV/0!</v>
      </c>
      <c r="L441" s="1040" t="e">
        <f>IF($F41="","",$F41*chronic_consumption!G441/1000/$C$3)</f>
        <v>#DIV/0!</v>
      </c>
      <c r="M441" s="1040" t="e">
        <f>IF($F41="","",$F41*chronic_consumption!H441/1000/$C$3)</f>
        <v>#DIV/0!</v>
      </c>
      <c r="N441" s="1040" t="e">
        <f>IF($F41="","",$F41*chronic_consumption!I441/1000/$C$3)</f>
        <v>#DIV/0!</v>
      </c>
      <c r="O441" s="1040" t="e">
        <f>IF($F41="","",$F41*chronic_consumption!J441/1000/$C$3)</f>
        <v>#DIV/0!</v>
      </c>
      <c r="P441" s="1040" t="e">
        <f>IF($F41="","",$F41*chronic_consumption!K441/1000/$C$3)</f>
        <v>#DIV/0!</v>
      </c>
      <c r="Q441" s="1040" t="e">
        <f>IF($F41="","",$F41*chronic_consumption!L441/1000/$C$3)</f>
        <v>#DIV/0!</v>
      </c>
      <c r="R441" s="1040" t="e">
        <f>IF($F41="","",$F41*chronic_consumption!M441/1000/$C$3)</f>
        <v>#DIV/0!</v>
      </c>
      <c r="S441" s="1040" t="e">
        <f>IF($F41="","",$F41*chronic_consumption!N441/1000/$C$3)</f>
        <v>#DIV/0!</v>
      </c>
      <c r="T441" s="1040" t="e">
        <f>IF($F41="","",$F41*chronic_consumption!O441/1000/$C$3)</f>
        <v>#DIV/0!</v>
      </c>
      <c r="U441" s="1040" t="e">
        <f>IF($F41="","",$F41*chronic_consumption!P441/1000/$C$3)</f>
        <v>#DIV/0!</v>
      </c>
      <c r="V441" s="1040" t="e">
        <f>IF($F41="","",$F41*chronic_consumption!Q441/1000/$C$3)</f>
        <v>#DIV/0!</v>
      </c>
      <c r="W441" s="1040" t="e">
        <f>IF($F41="","",$F41*chronic_consumption!R441/1000/$C$3)</f>
        <v>#DIV/0!</v>
      </c>
      <c r="X441" s="1040" t="e">
        <f>IF($F41="","",$F41*chronic_consumption!S441/1000/$C$3)</f>
        <v>#DIV/0!</v>
      </c>
      <c r="Y441" s="1040" t="e">
        <f>IF($F41="","",$F41*chronic_consumption!T441/1000/$C$3)</f>
        <v>#DIV/0!</v>
      </c>
      <c r="Z441" s="1040" t="e">
        <f>IF($F41="","",$F41*chronic_consumption!U441/1000/$C$3)</f>
        <v>#DIV/0!</v>
      </c>
      <c r="AA441" s="1040" t="e">
        <f>IF($F41="","",$F41*chronic_consumption!V441/1000/$C$3)</f>
        <v>#DIV/0!</v>
      </c>
      <c r="AB441" s="1040" t="e">
        <f>IF($F41="","",$F41*chronic_consumption!W441/1000/$C$3)</f>
        <v>#DIV/0!</v>
      </c>
      <c r="AC441" s="1040" t="e">
        <f>IF($F41="","",$F41*chronic_consumption!X441/1000/$C$3)</f>
        <v>#DIV/0!</v>
      </c>
      <c r="AD441" s="1040" t="e">
        <f>IF($F41="","",$F41*chronic_consumption!Y441/1000/$C$3)</f>
        <v>#DIV/0!</v>
      </c>
      <c r="AE441" s="1040" t="e">
        <f>IF($F41="","",$F41*chronic_consumption!Z441/1000/$C$3)</f>
        <v>#DIV/0!</v>
      </c>
      <c r="AF441" s="1040" t="e">
        <f>IF($F41="","",$F41*chronic_consumption!AA441/1000/$C$3)</f>
        <v>#DIV/0!</v>
      </c>
      <c r="AG441" s="1040" t="e">
        <f>IF($F41="","",$F41*chronic_consumption!AB441/1000/$C$3)</f>
        <v>#DIV/0!</v>
      </c>
      <c r="AH441" s="1040" t="e">
        <f>IF($F41="","",$F41*chronic_consumption!AC441/1000/$C$3)</f>
        <v>#DIV/0!</v>
      </c>
      <c r="AI441" s="1040" t="e">
        <f>IF($F41="","",$F41*chronic_consumption!AD441/1000/$C$3)</f>
        <v>#DIV/0!</v>
      </c>
      <c r="AJ441" s="1040" t="e">
        <f>IF($F41="","",$F41*chronic_consumption!AE441/1000/$C$3)</f>
        <v>#DIV/0!</v>
      </c>
      <c r="AK441" s="1040" t="e">
        <f>IF($F41="","",$F41*chronic_consumption!AF441/1000/$C$3)</f>
        <v>#DIV/0!</v>
      </c>
      <c r="AL441" s="1040" t="e">
        <f>IF($F41="","",$F41*chronic_consumption!AG441/1000/$C$3)</f>
        <v>#DIV/0!</v>
      </c>
      <c r="AM441" s="1040" t="e">
        <f>IF($F41="","",$F41*chronic_consumption!AH441/1000/$C$3)</f>
        <v>#DIV/0!</v>
      </c>
      <c r="AN441" s="1040" t="e">
        <f>IF($F41="","",$F41*chronic_consumption!AI441/1000/$C$3)</f>
        <v>#DIV/0!</v>
      </c>
      <c r="AO441" s="1040" t="e">
        <f>IF($F41="","",$F41*chronic_consumption!AJ441/1000/$C$3)</f>
        <v>#DIV/0!</v>
      </c>
      <c r="AP441" s="1040" t="e">
        <f>IF($F41="","",$F41*chronic_consumption!AK441/1000/$C$3)</f>
        <v>#DIV/0!</v>
      </c>
      <c r="AQ441" s="1040" t="e">
        <f>IF($F41="","",$F41*chronic_consumption!AL441/1000/$C$3)</f>
        <v>#DIV/0!</v>
      </c>
      <c r="AR441" s="1040" t="e">
        <f>IF($F41="","",$F41*chronic_consumption!AM441/1000/$C$3)</f>
        <v>#DIV/0!</v>
      </c>
      <c r="AS441" s="1040" t="e">
        <f>IF($F41="","",$F41*chronic_consumption!AN441/1000/$C$3)</f>
        <v>#DIV/0!</v>
      </c>
      <c r="AT441" s="1040" t="e">
        <f>IF($F41="","",$F41*chronic_consumption!AO441/1000/$C$3)</f>
        <v>#DIV/0!</v>
      </c>
      <c r="AU441" s="1040" t="e">
        <f>IF($F41="","",$F41*chronic_consumption!AP441/1000/$C$3)</f>
        <v>#DIV/0!</v>
      </c>
      <c r="AV441" s="1040" t="e">
        <f>IF($F41="","",$F41*chronic_consumption!AQ441/1000/$C$3)</f>
        <v>#DIV/0!</v>
      </c>
      <c r="AW441" s="1040" t="e">
        <f>IF($F41="","",$F41*chronic_consumption!AR441/1000/$C$3)</f>
        <v>#DIV/0!</v>
      </c>
      <c r="AX441" s="1040" t="e">
        <f>IF($F41="","",$F41*chronic_consumption!AS441/1000/$C$3)</f>
        <v>#DIV/0!</v>
      </c>
      <c r="AY441" s="1040" t="e">
        <f>IF($F41="","",$F41*chronic_consumption!AT441/1000/$C$3)</f>
        <v>#DIV/0!</v>
      </c>
      <c r="AZ441" s="44" t="s">
        <v>20</v>
      </c>
      <c r="BC441" s="29"/>
      <c r="BD441" s="29"/>
    </row>
    <row r="442" spans="1:56" ht="12" customHeight="1" outlineLevel="3" x14ac:dyDescent="0.2">
      <c r="A442" s="21">
        <f>acute_overview_children!A42</f>
        <v>4</v>
      </c>
      <c r="B442" s="325">
        <f t="shared" si="37"/>
        <v>140020</v>
      </c>
      <c r="C442" s="325" t="str">
        <f t="shared" si="37"/>
        <v>Cherries (sweet)</v>
      </c>
      <c r="D442" s="135"/>
      <c r="E442" s="1027"/>
      <c r="F442" s="87"/>
      <c r="G442" s="1027"/>
      <c r="H442" s="1029"/>
      <c r="I442" s="1030"/>
      <c r="J442" s="1039" t="e">
        <f>IF($F42="","",$F42*chronic_consumption!E442/1000/$C$3)</f>
        <v>#DIV/0!</v>
      </c>
      <c r="K442" s="1040" t="e">
        <f>IF($F42="","",$F42*chronic_consumption!F442/1000/$C$3)</f>
        <v>#DIV/0!</v>
      </c>
      <c r="L442" s="1040" t="e">
        <f>IF($F42="","",$F42*chronic_consumption!G442/1000/$C$3)</f>
        <v>#DIV/0!</v>
      </c>
      <c r="M442" s="1040" t="e">
        <f>IF($F42="","",$F42*chronic_consumption!H442/1000/$C$3)</f>
        <v>#DIV/0!</v>
      </c>
      <c r="N442" s="1040" t="e">
        <f>IF($F42="","",$F42*chronic_consumption!I442/1000/$C$3)</f>
        <v>#DIV/0!</v>
      </c>
      <c r="O442" s="1040" t="e">
        <f>IF($F42="","",$F42*chronic_consumption!J442/1000/$C$3)</f>
        <v>#DIV/0!</v>
      </c>
      <c r="P442" s="1040" t="e">
        <f>IF($F42="","",$F42*chronic_consumption!K442/1000/$C$3)</f>
        <v>#DIV/0!</v>
      </c>
      <c r="Q442" s="1040" t="e">
        <f>IF($F42="","",$F42*chronic_consumption!L442/1000/$C$3)</f>
        <v>#DIV/0!</v>
      </c>
      <c r="R442" s="1040" t="e">
        <f>IF($F42="","",$F42*chronic_consumption!M442/1000/$C$3)</f>
        <v>#DIV/0!</v>
      </c>
      <c r="S442" s="1040" t="e">
        <f>IF($F42="","",$F42*chronic_consumption!N442/1000/$C$3)</f>
        <v>#DIV/0!</v>
      </c>
      <c r="T442" s="1040" t="e">
        <f>IF($F42="","",$F42*chronic_consumption!O442/1000/$C$3)</f>
        <v>#DIV/0!</v>
      </c>
      <c r="U442" s="1040" t="e">
        <f>IF($F42="","",$F42*chronic_consumption!P442/1000/$C$3)</f>
        <v>#DIV/0!</v>
      </c>
      <c r="V442" s="1040" t="e">
        <f>IF($F42="","",$F42*chronic_consumption!Q442/1000/$C$3)</f>
        <v>#DIV/0!</v>
      </c>
      <c r="W442" s="1040" t="e">
        <f>IF($F42="","",$F42*chronic_consumption!R442/1000/$C$3)</f>
        <v>#DIV/0!</v>
      </c>
      <c r="X442" s="1040" t="e">
        <f>IF($F42="","",$F42*chronic_consumption!S442/1000/$C$3)</f>
        <v>#DIV/0!</v>
      </c>
      <c r="Y442" s="1040" t="e">
        <f>IF($F42="","",$F42*chronic_consumption!T442/1000/$C$3)</f>
        <v>#DIV/0!</v>
      </c>
      <c r="Z442" s="1040" t="e">
        <f>IF($F42="","",$F42*chronic_consumption!U442/1000/$C$3)</f>
        <v>#DIV/0!</v>
      </c>
      <c r="AA442" s="1040" t="e">
        <f>IF($F42="","",$F42*chronic_consumption!V442/1000/$C$3)</f>
        <v>#DIV/0!</v>
      </c>
      <c r="AB442" s="1040" t="e">
        <f>IF($F42="","",$F42*chronic_consumption!W442/1000/$C$3)</f>
        <v>#DIV/0!</v>
      </c>
      <c r="AC442" s="1040" t="e">
        <f>IF($F42="","",$F42*chronic_consumption!X442/1000/$C$3)</f>
        <v>#DIV/0!</v>
      </c>
      <c r="AD442" s="1040" t="e">
        <f>IF($F42="","",$F42*chronic_consumption!Y442/1000/$C$3)</f>
        <v>#DIV/0!</v>
      </c>
      <c r="AE442" s="1040" t="e">
        <f>IF($F42="","",$F42*chronic_consumption!Z442/1000/$C$3)</f>
        <v>#DIV/0!</v>
      </c>
      <c r="AF442" s="1040" t="e">
        <f>IF($F42="","",$F42*chronic_consumption!AA442/1000/$C$3)</f>
        <v>#DIV/0!</v>
      </c>
      <c r="AG442" s="1040" t="e">
        <f>IF($F42="","",$F42*chronic_consumption!AB442/1000/$C$3)</f>
        <v>#DIV/0!</v>
      </c>
      <c r="AH442" s="1040" t="e">
        <f>IF($F42="","",$F42*chronic_consumption!AC442/1000/$C$3)</f>
        <v>#DIV/0!</v>
      </c>
      <c r="AI442" s="1040" t="e">
        <f>IF($F42="","",$F42*chronic_consumption!AD442/1000/$C$3)</f>
        <v>#DIV/0!</v>
      </c>
      <c r="AJ442" s="1040" t="e">
        <f>IF($F42="","",$F42*chronic_consumption!AE442/1000/$C$3)</f>
        <v>#DIV/0!</v>
      </c>
      <c r="AK442" s="1040" t="e">
        <f>IF($F42="","",$F42*chronic_consumption!AF442/1000/$C$3)</f>
        <v>#DIV/0!</v>
      </c>
      <c r="AL442" s="1040" t="e">
        <f>IF($F42="","",$F42*chronic_consumption!AG442/1000/$C$3)</f>
        <v>#DIV/0!</v>
      </c>
      <c r="AM442" s="1040" t="e">
        <f>IF($F42="","",$F42*chronic_consumption!AH442/1000/$C$3)</f>
        <v>#DIV/0!</v>
      </c>
      <c r="AN442" s="1040" t="e">
        <f>IF($F42="","",$F42*chronic_consumption!AI442/1000/$C$3)</f>
        <v>#DIV/0!</v>
      </c>
      <c r="AO442" s="1040" t="e">
        <f>IF($F42="","",$F42*chronic_consumption!AJ442/1000/$C$3)</f>
        <v>#DIV/0!</v>
      </c>
      <c r="AP442" s="1040" t="e">
        <f>IF($F42="","",$F42*chronic_consumption!AK442/1000/$C$3)</f>
        <v>#DIV/0!</v>
      </c>
      <c r="AQ442" s="1040" t="e">
        <f>IF($F42="","",$F42*chronic_consumption!AL442/1000/$C$3)</f>
        <v>#DIV/0!</v>
      </c>
      <c r="AR442" s="1040" t="e">
        <f>IF($F42="","",$F42*chronic_consumption!AM442/1000/$C$3)</f>
        <v>#DIV/0!</v>
      </c>
      <c r="AS442" s="1040" t="e">
        <f>IF($F42="","",$F42*chronic_consumption!AN442/1000/$C$3)</f>
        <v>#DIV/0!</v>
      </c>
      <c r="AT442" s="1040" t="e">
        <f>IF($F42="","",$F42*chronic_consumption!AO442/1000/$C$3)</f>
        <v>#DIV/0!</v>
      </c>
      <c r="AU442" s="1040" t="e">
        <f>IF($F42="","",$F42*chronic_consumption!AP442/1000/$C$3)</f>
        <v>#DIV/0!</v>
      </c>
      <c r="AV442" s="1040" t="e">
        <f>IF($F42="","",$F42*chronic_consumption!AQ442/1000/$C$3)</f>
        <v>#DIV/0!</v>
      </c>
      <c r="AW442" s="1040" t="e">
        <f>IF($F42="","",$F42*chronic_consumption!AR442/1000/$C$3)</f>
        <v>#DIV/0!</v>
      </c>
      <c r="AX442" s="1040" t="e">
        <f>IF($F42="","",$F42*chronic_consumption!AS442/1000/$C$3)</f>
        <v>#DIV/0!</v>
      </c>
      <c r="AY442" s="1040" t="e">
        <f>IF($F42="","",$F42*chronic_consumption!AT442/1000/$C$3)</f>
        <v>#DIV/0!</v>
      </c>
      <c r="AZ442" s="44" t="s">
        <v>20</v>
      </c>
      <c r="BC442" s="29"/>
      <c r="BD442" s="29"/>
    </row>
    <row r="443" spans="1:56" ht="12" customHeight="1" outlineLevel="3" x14ac:dyDescent="0.2">
      <c r="A443" s="21">
        <f>acute_overview_children!A43</f>
        <v>4</v>
      </c>
      <c r="B443" s="325">
        <f t="shared" si="37"/>
        <v>140030</v>
      </c>
      <c r="C443" s="325" t="str">
        <f t="shared" si="37"/>
        <v>Peaches</v>
      </c>
      <c r="D443" s="135"/>
      <c r="E443" s="1027"/>
      <c r="F443" s="87"/>
      <c r="G443" s="1027"/>
      <c r="H443" s="1029"/>
      <c r="I443" s="1030"/>
      <c r="J443" s="1039" t="e">
        <f>IF($F43="","",$F43*chronic_consumption!E443/1000/$C$3)</f>
        <v>#DIV/0!</v>
      </c>
      <c r="K443" s="1040" t="e">
        <f>IF($F43="","",$F43*chronic_consumption!F443/1000/$C$3)</f>
        <v>#DIV/0!</v>
      </c>
      <c r="L443" s="1040" t="e">
        <f>IF($F43="","",$F43*chronic_consumption!G443/1000/$C$3)</f>
        <v>#DIV/0!</v>
      </c>
      <c r="M443" s="1040" t="e">
        <f>IF($F43="","",$F43*chronic_consumption!H443/1000/$C$3)</f>
        <v>#DIV/0!</v>
      </c>
      <c r="N443" s="1040" t="e">
        <f>IF($F43="","",$F43*chronic_consumption!I443/1000/$C$3)</f>
        <v>#DIV/0!</v>
      </c>
      <c r="O443" s="1040" t="e">
        <f>IF($F43="","",$F43*chronic_consumption!J443/1000/$C$3)</f>
        <v>#DIV/0!</v>
      </c>
      <c r="P443" s="1040" t="e">
        <f>IF($F43="","",$F43*chronic_consumption!K443/1000/$C$3)</f>
        <v>#DIV/0!</v>
      </c>
      <c r="Q443" s="1040" t="e">
        <f>IF($F43="","",$F43*chronic_consumption!L443/1000/$C$3)</f>
        <v>#DIV/0!</v>
      </c>
      <c r="R443" s="1040" t="e">
        <f>IF($F43="","",$F43*chronic_consumption!M443/1000/$C$3)</f>
        <v>#DIV/0!</v>
      </c>
      <c r="S443" s="1040" t="e">
        <f>IF($F43="","",$F43*chronic_consumption!N443/1000/$C$3)</f>
        <v>#DIV/0!</v>
      </c>
      <c r="T443" s="1040" t="e">
        <f>IF($F43="","",$F43*chronic_consumption!O443/1000/$C$3)</f>
        <v>#DIV/0!</v>
      </c>
      <c r="U443" s="1040" t="e">
        <f>IF($F43="","",$F43*chronic_consumption!P443/1000/$C$3)</f>
        <v>#DIV/0!</v>
      </c>
      <c r="V443" s="1040" t="e">
        <f>IF($F43="","",$F43*chronic_consumption!Q443/1000/$C$3)</f>
        <v>#DIV/0!</v>
      </c>
      <c r="W443" s="1040" t="e">
        <f>IF($F43="","",$F43*chronic_consumption!R443/1000/$C$3)</f>
        <v>#DIV/0!</v>
      </c>
      <c r="X443" s="1040" t="e">
        <f>IF($F43="","",$F43*chronic_consumption!S443/1000/$C$3)</f>
        <v>#DIV/0!</v>
      </c>
      <c r="Y443" s="1040" t="e">
        <f>IF($F43="","",$F43*chronic_consumption!T443/1000/$C$3)</f>
        <v>#DIV/0!</v>
      </c>
      <c r="Z443" s="1040" t="e">
        <f>IF($F43="","",$F43*chronic_consumption!U443/1000/$C$3)</f>
        <v>#DIV/0!</v>
      </c>
      <c r="AA443" s="1040" t="e">
        <f>IF($F43="","",$F43*chronic_consumption!V443/1000/$C$3)</f>
        <v>#DIV/0!</v>
      </c>
      <c r="AB443" s="1040" t="e">
        <f>IF($F43="","",$F43*chronic_consumption!W443/1000/$C$3)</f>
        <v>#DIV/0!</v>
      </c>
      <c r="AC443" s="1040" t="e">
        <f>IF($F43="","",$F43*chronic_consumption!X443/1000/$C$3)</f>
        <v>#DIV/0!</v>
      </c>
      <c r="AD443" s="1040" t="e">
        <f>IF($F43="","",$F43*chronic_consumption!Y443/1000/$C$3)</f>
        <v>#DIV/0!</v>
      </c>
      <c r="AE443" s="1040" t="e">
        <f>IF($F43="","",$F43*chronic_consumption!Z443/1000/$C$3)</f>
        <v>#DIV/0!</v>
      </c>
      <c r="AF443" s="1040" t="e">
        <f>IF($F43="","",$F43*chronic_consumption!AA443/1000/$C$3)</f>
        <v>#DIV/0!</v>
      </c>
      <c r="AG443" s="1040" t="e">
        <f>IF($F43="","",$F43*chronic_consumption!AB443/1000/$C$3)</f>
        <v>#DIV/0!</v>
      </c>
      <c r="AH443" s="1040" t="e">
        <f>IF($F43="","",$F43*chronic_consumption!AC443/1000/$C$3)</f>
        <v>#DIV/0!</v>
      </c>
      <c r="AI443" s="1040" t="e">
        <f>IF($F43="","",$F43*chronic_consumption!AD443/1000/$C$3)</f>
        <v>#DIV/0!</v>
      </c>
      <c r="AJ443" s="1040" t="e">
        <f>IF($F43="","",$F43*chronic_consumption!AE443/1000/$C$3)</f>
        <v>#DIV/0!</v>
      </c>
      <c r="AK443" s="1040" t="e">
        <f>IF($F43="","",$F43*chronic_consumption!AF443/1000/$C$3)</f>
        <v>#DIV/0!</v>
      </c>
      <c r="AL443" s="1040" t="e">
        <f>IF($F43="","",$F43*chronic_consumption!AG443/1000/$C$3)</f>
        <v>#DIV/0!</v>
      </c>
      <c r="AM443" s="1040" t="e">
        <f>IF($F43="","",$F43*chronic_consumption!AH443/1000/$C$3)</f>
        <v>#DIV/0!</v>
      </c>
      <c r="AN443" s="1040" t="e">
        <f>IF($F43="","",$F43*chronic_consumption!AI443/1000/$C$3)</f>
        <v>#DIV/0!</v>
      </c>
      <c r="AO443" s="1040" t="e">
        <f>IF($F43="","",$F43*chronic_consumption!AJ443/1000/$C$3)</f>
        <v>#DIV/0!</v>
      </c>
      <c r="AP443" s="1040" t="e">
        <f>IF($F43="","",$F43*chronic_consumption!AK443/1000/$C$3)</f>
        <v>#DIV/0!</v>
      </c>
      <c r="AQ443" s="1040" t="e">
        <f>IF($F43="","",$F43*chronic_consumption!AL443/1000/$C$3)</f>
        <v>#DIV/0!</v>
      </c>
      <c r="AR443" s="1040" t="e">
        <f>IF($F43="","",$F43*chronic_consumption!AM443/1000/$C$3)</f>
        <v>#DIV/0!</v>
      </c>
      <c r="AS443" s="1040" t="e">
        <f>IF($F43="","",$F43*chronic_consumption!AN443/1000/$C$3)</f>
        <v>#DIV/0!</v>
      </c>
      <c r="AT443" s="1040" t="e">
        <f>IF($F43="","",$F43*chronic_consumption!AO443/1000/$C$3)</f>
        <v>#DIV/0!</v>
      </c>
      <c r="AU443" s="1040" t="e">
        <f>IF($F43="","",$F43*chronic_consumption!AP443/1000/$C$3)</f>
        <v>#DIV/0!</v>
      </c>
      <c r="AV443" s="1040" t="e">
        <f>IF($F43="","",$F43*chronic_consumption!AQ443/1000/$C$3)</f>
        <v>#DIV/0!</v>
      </c>
      <c r="AW443" s="1040" t="e">
        <f>IF($F43="","",$F43*chronic_consumption!AR443/1000/$C$3)</f>
        <v>#DIV/0!</v>
      </c>
      <c r="AX443" s="1040" t="e">
        <f>IF($F43="","",$F43*chronic_consumption!AS443/1000/$C$3)</f>
        <v>#DIV/0!</v>
      </c>
      <c r="AY443" s="1040" t="e">
        <f>IF($F43="","",$F43*chronic_consumption!AT443/1000/$C$3)</f>
        <v>#DIV/0!</v>
      </c>
      <c r="AZ443" s="44" t="s">
        <v>20</v>
      </c>
      <c r="BC443" s="29"/>
      <c r="BD443" s="29"/>
    </row>
    <row r="444" spans="1:56" ht="12" customHeight="1" outlineLevel="3" x14ac:dyDescent="0.2">
      <c r="A444" s="21">
        <f>acute_overview_children!A44</f>
        <v>4</v>
      </c>
      <c r="B444" s="325">
        <f t="shared" si="37"/>
        <v>140040</v>
      </c>
      <c r="C444" s="325" t="str">
        <f t="shared" si="37"/>
        <v>Plums</v>
      </c>
      <c r="D444" s="135"/>
      <c r="E444" s="1027"/>
      <c r="F444" s="87"/>
      <c r="G444" s="1027"/>
      <c r="H444" s="1029"/>
      <c r="I444" s="1030"/>
      <c r="J444" s="1039" t="e">
        <f>IF($F44="","",$F44*chronic_consumption!E444/1000/$C$3)</f>
        <v>#DIV/0!</v>
      </c>
      <c r="K444" s="1040" t="e">
        <f>IF($F44="","",$F44*chronic_consumption!F444/1000/$C$3)</f>
        <v>#DIV/0!</v>
      </c>
      <c r="L444" s="1040" t="e">
        <f>IF($F44="","",$F44*chronic_consumption!G444/1000/$C$3)</f>
        <v>#DIV/0!</v>
      </c>
      <c r="M444" s="1040" t="e">
        <f>IF($F44="","",$F44*chronic_consumption!H444/1000/$C$3)</f>
        <v>#DIV/0!</v>
      </c>
      <c r="N444" s="1040" t="e">
        <f>IF($F44="","",$F44*chronic_consumption!I444/1000/$C$3)</f>
        <v>#DIV/0!</v>
      </c>
      <c r="O444" s="1040" t="e">
        <f>IF($F44="","",$F44*chronic_consumption!J444/1000/$C$3)</f>
        <v>#DIV/0!</v>
      </c>
      <c r="P444" s="1040" t="e">
        <f>IF($F44="","",$F44*chronic_consumption!K444/1000/$C$3)</f>
        <v>#DIV/0!</v>
      </c>
      <c r="Q444" s="1040" t="e">
        <f>IF($F44="","",$F44*chronic_consumption!L444/1000/$C$3)</f>
        <v>#DIV/0!</v>
      </c>
      <c r="R444" s="1040" t="e">
        <f>IF($F44="","",$F44*chronic_consumption!M444/1000/$C$3)</f>
        <v>#DIV/0!</v>
      </c>
      <c r="S444" s="1040" t="e">
        <f>IF($F44="","",$F44*chronic_consumption!N444/1000/$C$3)</f>
        <v>#DIV/0!</v>
      </c>
      <c r="T444" s="1040" t="e">
        <f>IF($F44="","",$F44*chronic_consumption!O444/1000/$C$3)</f>
        <v>#DIV/0!</v>
      </c>
      <c r="U444" s="1040" t="e">
        <f>IF($F44="","",$F44*chronic_consumption!P444/1000/$C$3)</f>
        <v>#DIV/0!</v>
      </c>
      <c r="V444" s="1040" t="e">
        <f>IF($F44="","",$F44*chronic_consumption!Q444/1000/$C$3)</f>
        <v>#DIV/0!</v>
      </c>
      <c r="W444" s="1040" t="e">
        <f>IF($F44="","",$F44*chronic_consumption!R444/1000/$C$3)</f>
        <v>#DIV/0!</v>
      </c>
      <c r="X444" s="1040" t="e">
        <f>IF($F44="","",$F44*chronic_consumption!S444/1000/$C$3)</f>
        <v>#DIV/0!</v>
      </c>
      <c r="Y444" s="1040" t="e">
        <f>IF($F44="","",$F44*chronic_consumption!T444/1000/$C$3)</f>
        <v>#DIV/0!</v>
      </c>
      <c r="Z444" s="1040" t="e">
        <f>IF($F44="","",$F44*chronic_consumption!U444/1000/$C$3)</f>
        <v>#DIV/0!</v>
      </c>
      <c r="AA444" s="1040" t="e">
        <f>IF($F44="","",$F44*chronic_consumption!V444/1000/$C$3)</f>
        <v>#DIV/0!</v>
      </c>
      <c r="AB444" s="1040" t="e">
        <f>IF($F44="","",$F44*chronic_consumption!W444/1000/$C$3)</f>
        <v>#DIV/0!</v>
      </c>
      <c r="AC444" s="1040" t="e">
        <f>IF($F44="","",$F44*chronic_consumption!X444/1000/$C$3)</f>
        <v>#DIV/0!</v>
      </c>
      <c r="AD444" s="1040" t="e">
        <f>IF($F44="","",$F44*chronic_consumption!Y444/1000/$C$3)</f>
        <v>#DIV/0!</v>
      </c>
      <c r="AE444" s="1040" t="e">
        <f>IF($F44="","",$F44*chronic_consumption!Z444/1000/$C$3)</f>
        <v>#DIV/0!</v>
      </c>
      <c r="AF444" s="1040" t="e">
        <f>IF($F44="","",$F44*chronic_consumption!AA444/1000/$C$3)</f>
        <v>#DIV/0!</v>
      </c>
      <c r="AG444" s="1040" t="e">
        <f>IF($F44="","",$F44*chronic_consumption!AB444/1000/$C$3)</f>
        <v>#DIV/0!</v>
      </c>
      <c r="AH444" s="1040" t="e">
        <f>IF($F44="","",$F44*chronic_consumption!AC444/1000/$C$3)</f>
        <v>#DIV/0!</v>
      </c>
      <c r="AI444" s="1040" t="e">
        <f>IF($F44="","",$F44*chronic_consumption!AD444/1000/$C$3)</f>
        <v>#DIV/0!</v>
      </c>
      <c r="AJ444" s="1040" t="e">
        <f>IF($F44="","",$F44*chronic_consumption!AE444/1000/$C$3)</f>
        <v>#DIV/0!</v>
      </c>
      <c r="AK444" s="1040" t="e">
        <f>IF($F44="","",$F44*chronic_consumption!AF444/1000/$C$3)</f>
        <v>#DIV/0!</v>
      </c>
      <c r="AL444" s="1040" t="e">
        <f>IF($F44="","",$F44*chronic_consumption!AG444/1000/$C$3)</f>
        <v>#DIV/0!</v>
      </c>
      <c r="AM444" s="1040" t="e">
        <f>IF($F44="","",$F44*chronic_consumption!AH444/1000/$C$3)</f>
        <v>#DIV/0!</v>
      </c>
      <c r="AN444" s="1040" t="e">
        <f>IF($F44="","",$F44*chronic_consumption!AI444/1000/$C$3)</f>
        <v>#DIV/0!</v>
      </c>
      <c r="AO444" s="1040" t="e">
        <f>IF($F44="","",$F44*chronic_consumption!AJ444/1000/$C$3)</f>
        <v>#DIV/0!</v>
      </c>
      <c r="AP444" s="1040" t="e">
        <f>IF($F44="","",$F44*chronic_consumption!AK444/1000/$C$3)</f>
        <v>#DIV/0!</v>
      </c>
      <c r="AQ444" s="1040" t="e">
        <f>IF($F44="","",$F44*chronic_consumption!AL444/1000/$C$3)</f>
        <v>#DIV/0!</v>
      </c>
      <c r="AR444" s="1040" t="e">
        <f>IF($F44="","",$F44*chronic_consumption!AM444/1000/$C$3)</f>
        <v>#DIV/0!</v>
      </c>
      <c r="AS444" s="1040" t="e">
        <f>IF($F44="","",$F44*chronic_consumption!AN444/1000/$C$3)</f>
        <v>#DIV/0!</v>
      </c>
      <c r="AT444" s="1040" t="e">
        <f>IF($F44="","",$F44*chronic_consumption!AO444/1000/$C$3)</f>
        <v>#DIV/0!</v>
      </c>
      <c r="AU444" s="1040" t="e">
        <f>IF($F44="","",$F44*chronic_consumption!AP444/1000/$C$3)</f>
        <v>#DIV/0!</v>
      </c>
      <c r="AV444" s="1040" t="e">
        <f>IF($F44="","",$F44*chronic_consumption!AQ444/1000/$C$3)</f>
        <v>#DIV/0!</v>
      </c>
      <c r="AW444" s="1040" t="e">
        <f>IF($F44="","",$F44*chronic_consumption!AR444/1000/$C$3)</f>
        <v>#DIV/0!</v>
      </c>
      <c r="AX444" s="1040" t="e">
        <f>IF($F44="","",$F44*chronic_consumption!AS444/1000/$C$3)</f>
        <v>#DIV/0!</v>
      </c>
      <c r="AY444" s="1040" t="e">
        <f>IF($F44="","",$F44*chronic_consumption!AT444/1000/$C$3)</f>
        <v>#DIV/0!</v>
      </c>
      <c r="AZ444" s="44" t="s">
        <v>20</v>
      </c>
      <c r="BC444" s="29"/>
      <c r="BD444" s="29"/>
    </row>
    <row r="445" spans="1:56" ht="12" customHeight="1" outlineLevel="3" x14ac:dyDescent="0.2">
      <c r="A445" s="21">
        <f>acute_overview_children!A45</f>
        <v>4</v>
      </c>
      <c r="B445" s="325">
        <f t="shared" si="37"/>
        <v>140990</v>
      </c>
      <c r="C445" s="325" t="str">
        <f t="shared" si="37"/>
        <v>Other stone fruit</v>
      </c>
      <c r="D445" s="135"/>
      <c r="E445" s="1027"/>
      <c r="F445" s="87"/>
      <c r="G445" s="1027"/>
      <c r="H445" s="1029"/>
      <c r="I445" s="1030"/>
      <c r="J445" s="1039" t="e">
        <f>IF($F45="","",$F45*chronic_consumption!E445/1000/$C$3)</f>
        <v>#DIV/0!</v>
      </c>
      <c r="K445" s="1040" t="e">
        <f>IF($F45="","",$F45*chronic_consumption!F445/1000/$C$3)</f>
        <v>#DIV/0!</v>
      </c>
      <c r="L445" s="1040" t="e">
        <f>IF($F45="","",$F45*chronic_consumption!G445/1000/$C$3)</f>
        <v>#DIV/0!</v>
      </c>
      <c r="M445" s="1040" t="e">
        <f>IF($F45="","",$F45*chronic_consumption!H445/1000/$C$3)</f>
        <v>#DIV/0!</v>
      </c>
      <c r="N445" s="1040" t="e">
        <f>IF($F45="","",$F45*chronic_consumption!I445/1000/$C$3)</f>
        <v>#DIV/0!</v>
      </c>
      <c r="O445" s="1040" t="e">
        <f>IF($F45="","",$F45*chronic_consumption!J445/1000/$C$3)</f>
        <v>#DIV/0!</v>
      </c>
      <c r="P445" s="1040" t="e">
        <f>IF($F45="","",$F45*chronic_consumption!K445/1000/$C$3)</f>
        <v>#DIV/0!</v>
      </c>
      <c r="Q445" s="1040" t="e">
        <f>IF($F45="","",$F45*chronic_consumption!L445/1000/$C$3)</f>
        <v>#DIV/0!</v>
      </c>
      <c r="R445" s="1040" t="e">
        <f>IF($F45="","",$F45*chronic_consumption!M445/1000/$C$3)</f>
        <v>#DIV/0!</v>
      </c>
      <c r="S445" s="1040" t="e">
        <f>IF($F45="","",$F45*chronic_consumption!N445/1000/$C$3)</f>
        <v>#DIV/0!</v>
      </c>
      <c r="T445" s="1040" t="e">
        <f>IF($F45="","",$F45*chronic_consumption!O445/1000/$C$3)</f>
        <v>#DIV/0!</v>
      </c>
      <c r="U445" s="1040" t="e">
        <f>IF($F45="","",$F45*chronic_consumption!P445/1000/$C$3)</f>
        <v>#DIV/0!</v>
      </c>
      <c r="V445" s="1040" t="e">
        <f>IF($F45="","",$F45*chronic_consumption!Q445/1000/$C$3)</f>
        <v>#DIV/0!</v>
      </c>
      <c r="W445" s="1040" t="e">
        <f>IF($F45="","",$F45*chronic_consumption!R445/1000/$C$3)</f>
        <v>#DIV/0!</v>
      </c>
      <c r="X445" s="1040" t="e">
        <f>IF($F45="","",$F45*chronic_consumption!S445/1000/$C$3)</f>
        <v>#DIV/0!</v>
      </c>
      <c r="Y445" s="1040" t="e">
        <f>IF($F45="","",$F45*chronic_consumption!T445/1000/$C$3)</f>
        <v>#DIV/0!</v>
      </c>
      <c r="Z445" s="1040" t="e">
        <f>IF($F45="","",$F45*chronic_consumption!U445/1000/$C$3)</f>
        <v>#DIV/0!</v>
      </c>
      <c r="AA445" s="1040" t="e">
        <f>IF($F45="","",$F45*chronic_consumption!V445/1000/$C$3)</f>
        <v>#DIV/0!</v>
      </c>
      <c r="AB445" s="1040" t="e">
        <f>IF($F45="","",$F45*chronic_consumption!W445/1000/$C$3)</f>
        <v>#DIV/0!</v>
      </c>
      <c r="AC445" s="1040" t="e">
        <f>IF($F45="","",$F45*chronic_consumption!X445/1000/$C$3)</f>
        <v>#DIV/0!</v>
      </c>
      <c r="AD445" s="1040" t="e">
        <f>IF($F45="","",$F45*chronic_consumption!Y445/1000/$C$3)</f>
        <v>#DIV/0!</v>
      </c>
      <c r="AE445" s="1040" t="e">
        <f>IF($F45="","",$F45*chronic_consumption!Z445/1000/$C$3)</f>
        <v>#DIV/0!</v>
      </c>
      <c r="AF445" s="1040" t="e">
        <f>IF($F45="","",$F45*chronic_consumption!AA445/1000/$C$3)</f>
        <v>#DIV/0!</v>
      </c>
      <c r="AG445" s="1040" t="e">
        <f>IF($F45="","",$F45*chronic_consumption!AB445/1000/$C$3)</f>
        <v>#DIV/0!</v>
      </c>
      <c r="AH445" s="1040" t="e">
        <f>IF($F45="","",$F45*chronic_consumption!AC445/1000/$C$3)</f>
        <v>#DIV/0!</v>
      </c>
      <c r="AI445" s="1040" t="e">
        <f>IF($F45="","",$F45*chronic_consumption!AD445/1000/$C$3)</f>
        <v>#DIV/0!</v>
      </c>
      <c r="AJ445" s="1040" t="e">
        <f>IF($F45="","",$F45*chronic_consumption!AE445/1000/$C$3)</f>
        <v>#DIV/0!</v>
      </c>
      <c r="AK445" s="1040" t="e">
        <f>IF($F45="","",$F45*chronic_consumption!AF445/1000/$C$3)</f>
        <v>#DIV/0!</v>
      </c>
      <c r="AL445" s="1040" t="e">
        <f>IF($F45="","",$F45*chronic_consumption!AG445/1000/$C$3)</f>
        <v>#DIV/0!</v>
      </c>
      <c r="AM445" s="1040" t="e">
        <f>IF($F45="","",$F45*chronic_consumption!AH445/1000/$C$3)</f>
        <v>#DIV/0!</v>
      </c>
      <c r="AN445" s="1040" t="e">
        <f>IF($F45="","",$F45*chronic_consumption!AI445/1000/$C$3)</f>
        <v>#DIV/0!</v>
      </c>
      <c r="AO445" s="1040" t="e">
        <f>IF($F45="","",$F45*chronic_consumption!AJ445/1000/$C$3)</f>
        <v>#DIV/0!</v>
      </c>
      <c r="AP445" s="1040" t="e">
        <f>IF($F45="","",$F45*chronic_consumption!AK445/1000/$C$3)</f>
        <v>#DIV/0!</v>
      </c>
      <c r="AQ445" s="1040" t="e">
        <f>IF($F45="","",$F45*chronic_consumption!AL445/1000/$C$3)</f>
        <v>#DIV/0!</v>
      </c>
      <c r="AR445" s="1040" t="e">
        <f>IF($F45="","",$F45*chronic_consumption!AM445/1000/$C$3)</f>
        <v>#DIV/0!</v>
      </c>
      <c r="AS445" s="1040" t="e">
        <f>IF($F45="","",$F45*chronic_consumption!AN445/1000/$C$3)</f>
        <v>#DIV/0!</v>
      </c>
      <c r="AT445" s="1040" t="e">
        <f>IF($F45="","",$F45*chronic_consumption!AO445/1000/$C$3)</f>
        <v>#DIV/0!</v>
      </c>
      <c r="AU445" s="1040" t="e">
        <f>IF($F45="","",$F45*chronic_consumption!AP445/1000/$C$3)</f>
        <v>#DIV/0!</v>
      </c>
      <c r="AV445" s="1040" t="e">
        <f>IF($F45="","",$F45*chronic_consumption!AQ445/1000/$C$3)</f>
        <v>#DIV/0!</v>
      </c>
      <c r="AW445" s="1040" t="e">
        <f>IF($F45="","",$F45*chronic_consumption!AR445/1000/$C$3)</f>
        <v>#DIV/0!</v>
      </c>
      <c r="AX445" s="1040" t="e">
        <f>IF($F45="","",$F45*chronic_consumption!AS445/1000/$C$3)</f>
        <v>#DIV/0!</v>
      </c>
      <c r="AY445" s="1040" t="e">
        <f>IF($F45="","",$F45*chronic_consumption!AT445/1000/$C$3)</f>
        <v>#DIV/0!</v>
      </c>
      <c r="AZ445" s="44" t="s">
        <v>20</v>
      </c>
      <c r="BC445" s="29"/>
      <c r="BD445" s="29"/>
    </row>
    <row r="446" spans="1:56" ht="12" customHeight="1" outlineLevel="1" x14ac:dyDescent="0.2">
      <c r="A446" s="1033">
        <f>acute_overview_children!A46</f>
        <v>2</v>
      </c>
      <c r="B446" s="1034">
        <f t="shared" si="37"/>
        <v>150000</v>
      </c>
      <c r="C446" s="1034" t="str">
        <f t="shared" si="37"/>
        <v>Berries &amp; small fruit</v>
      </c>
      <c r="D446" s="1035"/>
      <c r="E446" s="1027"/>
      <c r="F446" s="87"/>
      <c r="G446" s="1027"/>
      <c r="H446" s="1029"/>
      <c r="I446" s="1030"/>
      <c r="J446" s="1037" t="e">
        <f>IF($F46="","",$F46*chronic_consumption!E446/1000/$C$3)</f>
        <v>#DIV/0!</v>
      </c>
      <c r="K446" s="1038" t="e">
        <f>IF($F46="","",$F46*chronic_consumption!F446/1000/$C$3)</f>
        <v>#DIV/0!</v>
      </c>
      <c r="L446" s="1038" t="e">
        <f>IF($F46="","",$F46*chronic_consumption!G446/1000/$C$3)</f>
        <v>#DIV/0!</v>
      </c>
      <c r="M446" s="1038" t="e">
        <f>IF($F46="","",$F46*chronic_consumption!H446/1000/$C$3)</f>
        <v>#DIV/0!</v>
      </c>
      <c r="N446" s="1038" t="e">
        <f>IF($F46="","",$F46*chronic_consumption!I446/1000/$C$3)</f>
        <v>#DIV/0!</v>
      </c>
      <c r="O446" s="1038" t="e">
        <f>IF($F46="","",$F46*chronic_consumption!J446/1000/$C$3)</f>
        <v>#DIV/0!</v>
      </c>
      <c r="P446" s="1038" t="e">
        <f>IF($F46="","",$F46*chronic_consumption!K446/1000/$C$3)</f>
        <v>#DIV/0!</v>
      </c>
      <c r="Q446" s="1038" t="e">
        <f>IF($F46="","",$F46*chronic_consumption!L446/1000/$C$3)</f>
        <v>#DIV/0!</v>
      </c>
      <c r="R446" s="1038" t="e">
        <f>IF($F46="","",$F46*chronic_consumption!M446/1000/$C$3)</f>
        <v>#DIV/0!</v>
      </c>
      <c r="S446" s="1038" t="e">
        <f>IF($F46="","",$F46*chronic_consumption!N446/1000/$C$3)</f>
        <v>#DIV/0!</v>
      </c>
      <c r="T446" s="1038" t="e">
        <f>IF($F46="","",$F46*chronic_consumption!O446/1000/$C$3)</f>
        <v>#DIV/0!</v>
      </c>
      <c r="U446" s="1038" t="e">
        <f>IF($F46="","",$F46*chronic_consumption!P446/1000/$C$3)</f>
        <v>#DIV/0!</v>
      </c>
      <c r="V446" s="1038" t="e">
        <f>IF($F46="","",$F46*chronic_consumption!Q446/1000/$C$3)</f>
        <v>#DIV/0!</v>
      </c>
      <c r="W446" s="1038" t="e">
        <f>IF($F46="","",$F46*chronic_consumption!R446/1000/$C$3)</f>
        <v>#DIV/0!</v>
      </c>
      <c r="X446" s="1038" t="e">
        <f>IF($F46="","",$F46*chronic_consumption!S446/1000/$C$3)</f>
        <v>#DIV/0!</v>
      </c>
      <c r="Y446" s="1038" t="e">
        <f>IF($F46="","",$F46*chronic_consumption!T446/1000/$C$3)</f>
        <v>#DIV/0!</v>
      </c>
      <c r="Z446" s="1038" t="e">
        <f>IF($F46="","",$F46*chronic_consumption!U446/1000/$C$3)</f>
        <v>#DIV/0!</v>
      </c>
      <c r="AA446" s="1038" t="e">
        <f>IF($F46="","",$F46*chronic_consumption!V446/1000/$C$3)</f>
        <v>#DIV/0!</v>
      </c>
      <c r="AB446" s="1038" t="e">
        <f>IF($F46="","",$F46*chronic_consumption!W446/1000/$C$3)</f>
        <v>#DIV/0!</v>
      </c>
      <c r="AC446" s="1038" t="e">
        <f>IF($F46="","",$F46*chronic_consumption!X446/1000/$C$3)</f>
        <v>#DIV/0!</v>
      </c>
      <c r="AD446" s="1038" t="e">
        <f>IF($F46="","",$F46*chronic_consumption!Y446/1000/$C$3)</f>
        <v>#DIV/0!</v>
      </c>
      <c r="AE446" s="1038" t="e">
        <f>IF($F46="","",$F46*chronic_consumption!Z446/1000/$C$3)</f>
        <v>#DIV/0!</v>
      </c>
      <c r="AF446" s="1038" t="e">
        <f>IF($F46="","",$F46*chronic_consumption!AA446/1000/$C$3)</f>
        <v>#DIV/0!</v>
      </c>
      <c r="AG446" s="1038" t="e">
        <f>IF($F46="","",$F46*chronic_consumption!AB446/1000/$C$3)</f>
        <v>#DIV/0!</v>
      </c>
      <c r="AH446" s="1038" t="e">
        <f>IF($F46="","",$F46*chronic_consumption!AC446/1000/$C$3)</f>
        <v>#DIV/0!</v>
      </c>
      <c r="AI446" s="1038" t="e">
        <f>IF($F46="","",$F46*chronic_consumption!AD446/1000/$C$3)</f>
        <v>#DIV/0!</v>
      </c>
      <c r="AJ446" s="1038" t="e">
        <f>IF($F46="","",$F46*chronic_consumption!AE446/1000/$C$3)</f>
        <v>#DIV/0!</v>
      </c>
      <c r="AK446" s="1038" t="e">
        <f>IF($F46="","",$F46*chronic_consumption!AF446/1000/$C$3)</f>
        <v>#DIV/0!</v>
      </c>
      <c r="AL446" s="1038" t="e">
        <f>IF($F46="","",$F46*chronic_consumption!AG446/1000/$C$3)</f>
        <v>#DIV/0!</v>
      </c>
      <c r="AM446" s="1038" t="e">
        <f>IF($F46="","",$F46*chronic_consumption!AH446/1000/$C$3)</f>
        <v>#DIV/0!</v>
      </c>
      <c r="AN446" s="1038" t="e">
        <f>IF($F46="","",$F46*chronic_consumption!AI446/1000/$C$3)</f>
        <v>#DIV/0!</v>
      </c>
      <c r="AO446" s="1038" t="e">
        <f>IF($F46="","",$F46*chronic_consumption!AJ446/1000/$C$3)</f>
        <v>#DIV/0!</v>
      </c>
      <c r="AP446" s="1038" t="e">
        <f>IF($F46="","",$F46*chronic_consumption!AK446/1000/$C$3)</f>
        <v>#DIV/0!</v>
      </c>
      <c r="AQ446" s="1038" t="e">
        <f>IF($F46="","",$F46*chronic_consumption!AL446/1000/$C$3)</f>
        <v>#DIV/0!</v>
      </c>
      <c r="AR446" s="1038" t="e">
        <f>IF($F46="","",$F46*chronic_consumption!AM446/1000/$C$3)</f>
        <v>#DIV/0!</v>
      </c>
      <c r="AS446" s="1038" t="e">
        <f>IF($F46="","",$F46*chronic_consumption!AN446/1000/$C$3)</f>
        <v>#DIV/0!</v>
      </c>
      <c r="AT446" s="1038" t="e">
        <f>IF($F46="","",$F46*chronic_consumption!AO446/1000/$C$3)</f>
        <v>#DIV/0!</v>
      </c>
      <c r="AU446" s="1038" t="e">
        <f>IF($F46="","",$F46*chronic_consumption!AP446/1000/$C$3)</f>
        <v>#DIV/0!</v>
      </c>
      <c r="AV446" s="1038" t="e">
        <f>IF($F46="","",$F46*chronic_consumption!AQ446/1000/$C$3)</f>
        <v>#DIV/0!</v>
      </c>
      <c r="AW446" s="1038" t="e">
        <f>IF($F46="","",$F46*chronic_consumption!AR446/1000/$C$3)</f>
        <v>#DIV/0!</v>
      </c>
      <c r="AX446" s="1038" t="e">
        <f>IF($F46="","",$F46*chronic_consumption!AS446/1000/$C$3)</f>
        <v>#DIV/0!</v>
      </c>
      <c r="AY446" s="1038" t="e">
        <f>IF($F46="","",$F46*chronic_consumption!AT446/1000/$C$3)</f>
        <v>#DIV/0!</v>
      </c>
      <c r="AZ446" s="44" t="s">
        <v>20</v>
      </c>
      <c r="BC446" s="29"/>
      <c r="BD446" s="29"/>
    </row>
    <row r="447" spans="1:56" ht="12" customHeight="1" outlineLevel="2" x14ac:dyDescent="0.2">
      <c r="A447" s="341">
        <f>acute_overview_children!A47</f>
        <v>3</v>
      </c>
      <c r="B447" s="1041">
        <f t="shared" si="37"/>
        <v>151000</v>
      </c>
      <c r="C447" s="1041" t="str">
        <f t="shared" si="37"/>
        <v xml:space="preserve">Table and wine grapes </v>
      </c>
      <c r="D447" s="1042"/>
      <c r="E447" s="1027"/>
      <c r="F447" s="87"/>
      <c r="G447" s="1027"/>
      <c r="H447" s="1029"/>
      <c r="I447" s="1030"/>
      <c r="J447" s="1043" t="e">
        <f>IF($F47="","",$F47*chronic_consumption!E447/1000/$C$3)</f>
        <v>#DIV/0!</v>
      </c>
      <c r="K447" s="1044" t="e">
        <f>IF($F47="","",$F47*chronic_consumption!F447/1000/$C$3)</f>
        <v>#DIV/0!</v>
      </c>
      <c r="L447" s="1044" t="e">
        <f>IF($F47="","",$F47*chronic_consumption!G447/1000/$C$3)</f>
        <v>#DIV/0!</v>
      </c>
      <c r="M447" s="1044" t="e">
        <f>IF($F47="","",$F47*chronic_consumption!H447/1000/$C$3)</f>
        <v>#DIV/0!</v>
      </c>
      <c r="N447" s="1044" t="e">
        <f>IF($F47="","",$F47*chronic_consumption!I447/1000/$C$3)</f>
        <v>#DIV/0!</v>
      </c>
      <c r="O447" s="1044" t="e">
        <f>IF($F47="","",$F47*chronic_consumption!J447/1000/$C$3)</f>
        <v>#DIV/0!</v>
      </c>
      <c r="P447" s="1044" t="e">
        <f>IF($F47="","",$F47*chronic_consumption!K447/1000/$C$3)</f>
        <v>#DIV/0!</v>
      </c>
      <c r="Q447" s="1044" t="e">
        <f>IF($F47="","",$F47*chronic_consumption!L447/1000/$C$3)</f>
        <v>#DIV/0!</v>
      </c>
      <c r="R447" s="1044" t="e">
        <f>IF($F47="","",$F47*chronic_consumption!M447/1000/$C$3)</f>
        <v>#DIV/0!</v>
      </c>
      <c r="S447" s="1044" t="e">
        <f>IF($F47="","",$F47*chronic_consumption!N447/1000/$C$3)</f>
        <v>#DIV/0!</v>
      </c>
      <c r="T447" s="1044" t="e">
        <f>IF($F47="","",$F47*chronic_consumption!O447/1000/$C$3)</f>
        <v>#DIV/0!</v>
      </c>
      <c r="U447" s="1044" t="e">
        <f>IF($F47="","",$F47*chronic_consumption!P447/1000/$C$3)</f>
        <v>#DIV/0!</v>
      </c>
      <c r="V447" s="1044" t="e">
        <f>IF($F47="","",$F47*chronic_consumption!Q447/1000/$C$3)</f>
        <v>#DIV/0!</v>
      </c>
      <c r="W447" s="1044" t="e">
        <f>IF($F47="","",$F47*chronic_consumption!R447/1000/$C$3)</f>
        <v>#DIV/0!</v>
      </c>
      <c r="X447" s="1044" t="e">
        <f>IF($F47="","",$F47*chronic_consumption!S447/1000/$C$3)</f>
        <v>#DIV/0!</v>
      </c>
      <c r="Y447" s="1044" t="e">
        <f>IF($F47="","",$F47*chronic_consumption!T447/1000/$C$3)</f>
        <v>#DIV/0!</v>
      </c>
      <c r="Z447" s="1044" t="e">
        <f>IF($F47="","",$F47*chronic_consumption!U447/1000/$C$3)</f>
        <v>#DIV/0!</v>
      </c>
      <c r="AA447" s="1044" t="e">
        <f>IF($F47="","",$F47*chronic_consumption!V447/1000/$C$3)</f>
        <v>#DIV/0!</v>
      </c>
      <c r="AB447" s="1044" t="e">
        <f>IF($F47="","",$F47*chronic_consumption!W447/1000/$C$3)</f>
        <v>#DIV/0!</v>
      </c>
      <c r="AC447" s="1044" t="e">
        <f>IF($F47="","",$F47*chronic_consumption!X447/1000/$C$3)</f>
        <v>#DIV/0!</v>
      </c>
      <c r="AD447" s="1044" t="e">
        <f>IF($F47="","",$F47*chronic_consumption!Y447/1000/$C$3)</f>
        <v>#DIV/0!</v>
      </c>
      <c r="AE447" s="1044" t="e">
        <f>IF($F47="","",$F47*chronic_consumption!Z447/1000/$C$3)</f>
        <v>#DIV/0!</v>
      </c>
      <c r="AF447" s="1044" t="e">
        <f>IF($F47="","",$F47*chronic_consumption!AA447/1000/$C$3)</f>
        <v>#DIV/0!</v>
      </c>
      <c r="AG447" s="1044" t="e">
        <f>IF($F47="","",$F47*chronic_consumption!AB447/1000/$C$3)</f>
        <v>#DIV/0!</v>
      </c>
      <c r="AH447" s="1044" t="e">
        <f>IF($F47="","",$F47*chronic_consumption!AC447/1000/$C$3)</f>
        <v>#DIV/0!</v>
      </c>
      <c r="AI447" s="1044" t="e">
        <f>IF($F47="","",$F47*chronic_consumption!AD447/1000/$C$3)</f>
        <v>#DIV/0!</v>
      </c>
      <c r="AJ447" s="1044" t="e">
        <f>IF($F47="","",$F47*chronic_consumption!AE447/1000/$C$3)</f>
        <v>#DIV/0!</v>
      </c>
      <c r="AK447" s="1044" t="e">
        <f>IF($F47="","",$F47*chronic_consumption!AF447/1000/$C$3)</f>
        <v>#DIV/0!</v>
      </c>
      <c r="AL447" s="1044" t="e">
        <f>IF($F47="","",$F47*chronic_consumption!AG447/1000/$C$3)</f>
        <v>#DIV/0!</v>
      </c>
      <c r="AM447" s="1044" t="e">
        <f>IF($F47="","",$F47*chronic_consumption!AH447/1000/$C$3)</f>
        <v>#DIV/0!</v>
      </c>
      <c r="AN447" s="1044" t="e">
        <f>IF($F47="","",$F47*chronic_consumption!AI447/1000/$C$3)</f>
        <v>#DIV/0!</v>
      </c>
      <c r="AO447" s="1044" t="e">
        <f>IF($F47="","",$F47*chronic_consumption!AJ447/1000/$C$3)</f>
        <v>#DIV/0!</v>
      </c>
      <c r="AP447" s="1044" t="e">
        <f>IF($F47="","",$F47*chronic_consumption!AK447/1000/$C$3)</f>
        <v>#DIV/0!</v>
      </c>
      <c r="AQ447" s="1044" t="e">
        <f>IF($F47="","",$F47*chronic_consumption!AL447/1000/$C$3)</f>
        <v>#DIV/0!</v>
      </c>
      <c r="AR447" s="1044" t="e">
        <f>IF($F47="","",$F47*chronic_consumption!AM447/1000/$C$3)</f>
        <v>#DIV/0!</v>
      </c>
      <c r="AS447" s="1044" t="e">
        <f>IF($F47="","",$F47*chronic_consumption!AN447/1000/$C$3)</f>
        <v>#DIV/0!</v>
      </c>
      <c r="AT447" s="1044" t="e">
        <f>IF($F47="","",$F47*chronic_consumption!AO447/1000/$C$3)</f>
        <v>#DIV/0!</v>
      </c>
      <c r="AU447" s="1044" t="e">
        <f>IF($F47="","",$F47*chronic_consumption!AP447/1000/$C$3)</f>
        <v>#DIV/0!</v>
      </c>
      <c r="AV447" s="1044" t="e">
        <f>IF($F47="","",$F47*chronic_consumption!AQ447/1000/$C$3)</f>
        <v>#DIV/0!</v>
      </c>
      <c r="AW447" s="1044" t="e">
        <f>IF($F47="","",$F47*chronic_consumption!AR447/1000/$C$3)</f>
        <v>#DIV/0!</v>
      </c>
      <c r="AX447" s="1044" t="e">
        <f>IF($F47="","",$F47*chronic_consumption!AS447/1000/$C$3)</f>
        <v>#DIV/0!</v>
      </c>
      <c r="AY447" s="1044" t="e">
        <f>IF($F47="","",$F47*chronic_consumption!AT447/1000/$C$3)</f>
        <v>#DIV/0!</v>
      </c>
      <c r="AZ447" s="44" t="s">
        <v>20</v>
      </c>
      <c r="BC447" s="29"/>
      <c r="BD447" s="29"/>
    </row>
    <row r="448" spans="1:56" ht="12" customHeight="1" outlineLevel="3" x14ac:dyDescent="0.2">
      <c r="A448" s="21">
        <f>acute_overview_children!A48</f>
        <v>4</v>
      </c>
      <c r="B448" s="325">
        <f t="shared" si="37"/>
        <v>151010</v>
      </c>
      <c r="C448" s="325" t="str">
        <f t="shared" si="37"/>
        <v>Table grapes</v>
      </c>
      <c r="D448" s="135"/>
      <c r="E448" s="1027"/>
      <c r="F448" s="87"/>
      <c r="G448" s="1027"/>
      <c r="H448" s="1029"/>
      <c r="I448" s="1030"/>
      <c r="J448" s="1039" t="e">
        <f>IF($F48="","",$F48*chronic_consumption!E448/1000/$C$3)</f>
        <v>#DIV/0!</v>
      </c>
      <c r="K448" s="1040" t="e">
        <f>IF($F48="","",$F48*chronic_consumption!F448/1000/$C$3)</f>
        <v>#DIV/0!</v>
      </c>
      <c r="L448" s="1040" t="e">
        <f>IF($F48="","",$F48*chronic_consumption!G448/1000/$C$3)</f>
        <v>#DIV/0!</v>
      </c>
      <c r="M448" s="1040" t="e">
        <f>IF($F48="","",$F48*chronic_consumption!H448/1000/$C$3)</f>
        <v>#DIV/0!</v>
      </c>
      <c r="N448" s="1040" t="e">
        <f>IF($F48="","",$F48*chronic_consumption!I448/1000/$C$3)</f>
        <v>#DIV/0!</v>
      </c>
      <c r="O448" s="1040" t="e">
        <f>IF($F48="","",$F48*chronic_consumption!J448/1000/$C$3)</f>
        <v>#DIV/0!</v>
      </c>
      <c r="P448" s="1040" t="e">
        <f>IF($F48="","",$F48*chronic_consumption!K448/1000/$C$3)</f>
        <v>#DIV/0!</v>
      </c>
      <c r="Q448" s="1040" t="e">
        <f>IF($F48="","",$F48*chronic_consumption!L448/1000/$C$3)</f>
        <v>#DIV/0!</v>
      </c>
      <c r="R448" s="1040" t="e">
        <f>IF($F48="","",$F48*chronic_consumption!M448/1000/$C$3)</f>
        <v>#DIV/0!</v>
      </c>
      <c r="S448" s="1040" t="e">
        <f>IF($F48="","",$F48*chronic_consumption!N448/1000/$C$3)</f>
        <v>#DIV/0!</v>
      </c>
      <c r="T448" s="1040" t="e">
        <f>IF($F48="","",$F48*chronic_consumption!O448/1000/$C$3)</f>
        <v>#DIV/0!</v>
      </c>
      <c r="U448" s="1040" t="e">
        <f>IF($F48="","",$F48*chronic_consumption!P448/1000/$C$3)</f>
        <v>#DIV/0!</v>
      </c>
      <c r="V448" s="1040" t="e">
        <f>IF($F48="","",$F48*chronic_consumption!Q448/1000/$C$3)</f>
        <v>#DIV/0!</v>
      </c>
      <c r="W448" s="1040" t="e">
        <f>IF($F48="","",$F48*chronic_consumption!R448/1000/$C$3)</f>
        <v>#DIV/0!</v>
      </c>
      <c r="X448" s="1040" t="e">
        <f>IF($F48="","",$F48*chronic_consumption!S448/1000/$C$3)</f>
        <v>#DIV/0!</v>
      </c>
      <c r="Y448" s="1040" t="e">
        <f>IF($F48="","",$F48*chronic_consumption!T448/1000/$C$3)</f>
        <v>#DIV/0!</v>
      </c>
      <c r="Z448" s="1040" t="e">
        <f>IF($F48="","",$F48*chronic_consumption!U448/1000/$C$3)</f>
        <v>#DIV/0!</v>
      </c>
      <c r="AA448" s="1040" t="e">
        <f>IF($F48="","",$F48*chronic_consumption!V448/1000/$C$3)</f>
        <v>#DIV/0!</v>
      </c>
      <c r="AB448" s="1040" t="e">
        <f>IF($F48="","",$F48*chronic_consumption!W448/1000/$C$3)</f>
        <v>#DIV/0!</v>
      </c>
      <c r="AC448" s="1040" t="e">
        <f>IF($F48="","",$F48*chronic_consumption!X448/1000/$C$3)</f>
        <v>#DIV/0!</v>
      </c>
      <c r="AD448" s="1040" t="e">
        <f>IF($F48="","",$F48*chronic_consumption!Y448/1000/$C$3)</f>
        <v>#DIV/0!</v>
      </c>
      <c r="AE448" s="1040" t="e">
        <f>IF($F48="","",$F48*chronic_consumption!Z448/1000/$C$3)</f>
        <v>#DIV/0!</v>
      </c>
      <c r="AF448" s="1040" t="e">
        <f>IF($F48="","",$F48*chronic_consumption!AA448/1000/$C$3)</f>
        <v>#DIV/0!</v>
      </c>
      <c r="AG448" s="1040" t="e">
        <f>IF($F48="","",$F48*chronic_consumption!AB448/1000/$C$3)</f>
        <v>#DIV/0!</v>
      </c>
      <c r="AH448" s="1040" t="e">
        <f>IF($F48="","",$F48*chronic_consumption!AC448/1000/$C$3)</f>
        <v>#DIV/0!</v>
      </c>
      <c r="AI448" s="1040" t="e">
        <f>IF($F48="","",$F48*chronic_consumption!AD448/1000/$C$3)</f>
        <v>#DIV/0!</v>
      </c>
      <c r="AJ448" s="1040" t="e">
        <f>IF($F48="","",$F48*chronic_consumption!AE448/1000/$C$3)</f>
        <v>#DIV/0!</v>
      </c>
      <c r="AK448" s="1040" t="e">
        <f>IF($F48="","",$F48*chronic_consumption!AF448/1000/$C$3)</f>
        <v>#DIV/0!</v>
      </c>
      <c r="AL448" s="1040" t="e">
        <f>IF($F48="","",$F48*chronic_consumption!AG448/1000/$C$3)</f>
        <v>#DIV/0!</v>
      </c>
      <c r="AM448" s="1040" t="e">
        <f>IF($F48="","",$F48*chronic_consumption!AH448/1000/$C$3)</f>
        <v>#DIV/0!</v>
      </c>
      <c r="AN448" s="1040" t="e">
        <f>IF($F48="","",$F48*chronic_consumption!AI448/1000/$C$3)</f>
        <v>#DIV/0!</v>
      </c>
      <c r="AO448" s="1040" t="e">
        <f>IF($F48="","",$F48*chronic_consumption!AJ448/1000/$C$3)</f>
        <v>#DIV/0!</v>
      </c>
      <c r="AP448" s="1040" t="e">
        <f>IF($F48="","",$F48*chronic_consumption!AK448/1000/$C$3)</f>
        <v>#DIV/0!</v>
      </c>
      <c r="AQ448" s="1040" t="e">
        <f>IF($F48="","",$F48*chronic_consumption!AL448/1000/$C$3)</f>
        <v>#DIV/0!</v>
      </c>
      <c r="AR448" s="1040" t="e">
        <f>IF($F48="","",$F48*chronic_consumption!AM448/1000/$C$3)</f>
        <v>#DIV/0!</v>
      </c>
      <c r="AS448" s="1040" t="e">
        <f>IF($F48="","",$F48*chronic_consumption!AN448/1000/$C$3)</f>
        <v>#DIV/0!</v>
      </c>
      <c r="AT448" s="1040" t="e">
        <f>IF($F48="","",$F48*chronic_consumption!AO448/1000/$C$3)</f>
        <v>#DIV/0!</v>
      </c>
      <c r="AU448" s="1040" t="e">
        <f>IF($F48="","",$F48*chronic_consumption!AP448/1000/$C$3)</f>
        <v>#DIV/0!</v>
      </c>
      <c r="AV448" s="1040" t="e">
        <f>IF($F48="","",$F48*chronic_consumption!AQ448/1000/$C$3)</f>
        <v>#DIV/0!</v>
      </c>
      <c r="AW448" s="1040" t="e">
        <f>IF($F48="","",$F48*chronic_consumption!AR448/1000/$C$3)</f>
        <v>#DIV/0!</v>
      </c>
      <c r="AX448" s="1040" t="e">
        <f>IF($F48="","",$F48*chronic_consumption!AS448/1000/$C$3)</f>
        <v>#DIV/0!</v>
      </c>
      <c r="AY448" s="1040" t="e">
        <f>IF($F48="","",$F48*chronic_consumption!AT448/1000/$C$3)</f>
        <v>#DIV/0!</v>
      </c>
      <c r="AZ448" s="44" t="s">
        <v>20</v>
      </c>
      <c r="BC448" s="29"/>
      <c r="BD448" s="29"/>
    </row>
    <row r="449" spans="1:56" ht="12" customHeight="1" outlineLevel="3" x14ac:dyDescent="0.2">
      <c r="A449" s="21">
        <f>acute_overview_children!A49</f>
        <v>4</v>
      </c>
      <c r="B449" s="325">
        <f t="shared" si="37"/>
        <v>151020</v>
      </c>
      <c r="C449" s="325" t="str">
        <f t="shared" si="37"/>
        <v>Wine grapes</v>
      </c>
      <c r="D449" s="135"/>
      <c r="E449" s="1027"/>
      <c r="F449" s="87"/>
      <c r="G449" s="1027"/>
      <c r="H449" s="1029"/>
      <c r="I449" s="1030"/>
      <c r="J449" s="1039" t="e">
        <f>IF($F49="","",$F49*chronic_consumption!E449/1000/$C$3)</f>
        <v>#DIV/0!</v>
      </c>
      <c r="K449" s="1040" t="e">
        <f>IF($F49="","",$F49*chronic_consumption!F449/1000/$C$3)</f>
        <v>#DIV/0!</v>
      </c>
      <c r="L449" s="1040" t="e">
        <f>IF($F49="","",$F49*chronic_consumption!G449/1000/$C$3)</f>
        <v>#DIV/0!</v>
      </c>
      <c r="M449" s="1040" t="e">
        <f>IF($F49="","",$F49*chronic_consumption!H449/1000/$C$3)</f>
        <v>#DIV/0!</v>
      </c>
      <c r="N449" s="1040" t="e">
        <f>IF($F49="","",$F49*chronic_consumption!I449/1000/$C$3)</f>
        <v>#DIV/0!</v>
      </c>
      <c r="O449" s="1040" t="e">
        <f>IF($F49="","",$F49*chronic_consumption!J449/1000/$C$3)</f>
        <v>#DIV/0!</v>
      </c>
      <c r="P449" s="1040" t="e">
        <f>IF($F49="","",$F49*chronic_consumption!K449/1000/$C$3)</f>
        <v>#DIV/0!</v>
      </c>
      <c r="Q449" s="1040" t="e">
        <f>IF($F49="","",$F49*chronic_consumption!L449/1000/$C$3)</f>
        <v>#DIV/0!</v>
      </c>
      <c r="R449" s="1040" t="e">
        <f>IF($F49="","",$F49*chronic_consumption!M449/1000/$C$3)</f>
        <v>#DIV/0!</v>
      </c>
      <c r="S449" s="1040" t="e">
        <f>IF($F49="","",$F49*chronic_consumption!N449/1000/$C$3)</f>
        <v>#DIV/0!</v>
      </c>
      <c r="T449" s="1040" t="e">
        <f>IF($F49="","",$F49*chronic_consumption!O449/1000/$C$3)</f>
        <v>#DIV/0!</v>
      </c>
      <c r="U449" s="1040" t="e">
        <f>IF($F49="","",$F49*chronic_consumption!P449/1000/$C$3)</f>
        <v>#DIV/0!</v>
      </c>
      <c r="V449" s="1040" t="e">
        <f>IF($F49="","",$F49*chronic_consumption!Q449/1000/$C$3)</f>
        <v>#DIV/0!</v>
      </c>
      <c r="W449" s="1040" t="e">
        <f>IF($F49="","",$F49*chronic_consumption!R449/1000/$C$3)</f>
        <v>#DIV/0!</v>
      </c>
      <c r="X449" s="1040" t="e">
        <f>IF($F49="","",$F49*chronic_consumption!S449/1000/$C$3)</f>
        <v>#DIV/0!</v>
      </c>
      <c r="Y449" s="1040" t="e">
        <f>IF($F49="","",$F49*chronic_consumption!T449/1000/$C$3)</f>
        <v>#DIV/0!</v>
      </c>
      <c r="Z449" s="1040" t="e">
        <f>IF($F49="","",$F49*chronic_consumption!U449/1000/$C$3)</f>
        <v>#DIV/0!</v>
      </c>
      <c r="AA449" s="1040" t="e">
        <f>IF($F49="","",$F49*chronic_consumption!V449/1000/$C$3)</f>
        <v>#DIV/0!</v>
      </c>
      <c r="AB449" s="1040" t="e">
        <f>IF($F49="","",$F49*chronic_consumption!W449/1000/$C$3)</f>
        <v>#DIV/0!</v>
      </c>
      <c r="AC449" s="1040" t="e">
        <f>IF($F49="","",$F49*chronic_consumption!X449/1000/$C$3)</f>
        <v>#DIV/0!</v>
      </c>
      <c r="AD449" s="1040" t="e">
        <f>IF($F49="","",$F49*chronic_consumption!Y449/1000/$C$3)</f>
        <v>#DIV/0!</v>
      </c>
      <c r="AE449" s="1040" t="e">
        <f>IF($F49="","",$F49*chronic_consumption!Z449/1000/$C$3)</f>
        <v>#DIV/0!</v>
      </c>
      <c r="AF449" s="1040" t="e">
        <f>IF($F49="","",$F49*chronic_consumption!AA449/1000/$C$3)</f>
        <v>#DIV/0!</v>
      </c>
      <c r="AG449" s="1040" t="e">
        <f>IF($F49="","",$F49*chronic_consumption!AB449/1000/$C$3)</f>
        <v>#DIV/0!</v>
      </c>
      <c r="AH449" s="1040" t="e">
        <f>IF($F49="","",$F49*chronic_consumption!AC449/1000/$C$3)</f>
        <v>#DIV/0!</v>
      </c>
      <c r="AI449" s="1040" t="e">
        <f>IF($F49="","",$F49*chronic_consumption!AD449/1000/$C$3)</f>
        <v>#DIV/0!</v>
      </c>
      <c r="AJ449" s="1040" t="e">
        <f>IF($F49="","",$F49*chronic_consumption!AE449/1000/$C$3)</f>
        <v>#DIV/0!</v>
      </c>
      <c r="AK449" s="1040" t="e">
        <f>IF($F49="","",$F49*chronic_consumption!AF449/1000/$C$3)</f>
        <v>#DIV/0!</v>
      </c>
      <c r="AL449" s="1040" t="e">
        <f>IF($F49="","",$F49*chronic_consumption!AG449/1000/$C$3)</f>
        <v>#DIV/0!</v>
      </c>
      <c r="AM449" s="1040" t="e">
        <f>IF($F49="","",$F49*chronic_consumption!AH449/1000/$C$3)</f>
        <v>#DIV/0!</v>
      </c>
      <c r="AN449" s="1040" t="e">
        <f>IF($F49="","",$F49*chronic_consumption!AI449/1000/$C$3)</f>
        <v>#DIV/0!</v>
      </c>
      <c r="AO449" s="1040" t="e">
        <f>IF($F49="","",$F49*chronic_consumption!AJ449/1000/$C$3)</f>
        <v>#DIV/0!</v>
      </c>
      <c r="AP449" s="1040" t="e">
        <f>IF($F49="","",$F49*chronic_consumption!AK449/1000/$C$3)</f>
        <v>#DIV/0!</v>
      </c>
      <c r="AQ449" s="1040" t="e">
        <f>IF($F49="","",$F49*chronic_consumption!AL449/1000/$C$3)</f>
        <v>#DIV/0!</v>
      </c>
      <c r="AR449" s="1040" t="e">
        <f>IF($F49="","",$F49*chronic_consumption!AM449/1000/$C$3)</f>
        <v>#DIV/0!</v>
      </c>
      <c r="AS449" s="1040" t="e">
        <f>IF($F49="","",$F49*chronic_consumption!AN449/1000/$C$3)</f>
        <v>#DIV/0!</v>
      </c>
      <c r="AT449" s="1040" t="e">
        <f>IF($F49="","",$F49*chronic_consumption!AO449/1000/$C$3)</f>
        <v>#DIV/0!</v>
      </c>
      <c r="AU449" s="1040" t="e">
        <f>IF($F49="","",$F49*chronic_consumption!AP449/1000/$C$3)</f>
        <v>#DIV/0!</v>
      </c>
      <c r="AV449" s="1040" t="e">
        <f>IF($F49="","",$F49*chronic_consumption!AQ449/1000/$C$3)</f>
        <v>#DIV/0!</v>
      </c>
      <c r="AW449" s="1040" t="e">
        <f>IF($F49="","",$F49*chronic_consumption!AR449/1000/$C$3)</f>
        <v>#DIV/0!</v>
      </c>
      <c r="AX449" s="1040" t="e">
        <f>IF($F49="","",$F49*chronic_consumption!AS449/1000/$C$3)</f>
        <v>#DIV/0!</v>
      </c>
      <c r="AY449" s="1040" t="e">
        <f>IF($F49="","",$F49*chronic_consumption!AT449/1000/$C$3)</f>
        <v>#DIV/0!</v>
      </c>
      <c r="AZ449" s="44" t="s">
        <v>20</v>
      </c>
      <c r="BC449" s="29"/>
      <c r="BD449" s="29"/>
    </row>
    <row r="450" spans="1:56" ht="12" customHeight="1" outlineLevel="2" x14ac:dyDescent="0.2">
      <c r="A450" s="341">
        <f>acute_overview_children!A50</f>
        <v>3</v>
      </c>
      <c r="B450" s="1041">
        <f t="shared" si="37"/>
        <v>152000</v>
      </c>
      <c r="C450" s="1041" t="str">
        <f t="shared" si="37"/>
        <v xml:space="preserve">Strawberries </v>
      </c>
      <c r="D450" s="1042"/>
      <c r="E450" s="1027"/>
      <c r="F450" s="87"/>
      <c r="G450" s="1027"/>
      <c r="H450" s="1029"/>
      <c r="I450" s="1030"/>
      <c r="J450" s="1043" t="e">
        <f>IF($F50="","",$F50*chronic_consumption!E450/1000/$C$3)</f>
        <v>#DIV/0!</v>
      </c>
      <c r="K450" s="1044" t="e">
        <f>IF($F50="","",$F50*chronic_consumption!F450/1000/$C$3)</f>
        <v>#DIV/0!</v>
      </c>
      <c r="L450" s="1044" t="e">
        <f>IF($F50="","",$F50*chronic_consumption!G450/1000/$C$3)</f>
        <v>#DIV/0!</v>
      </c>
      <c r="M450" s="1044" t="e">
        <f>IF($F50="","",$F50*chronic_consumption!H450/1000/$C$3)</f>
        <v>#DIV/0!</v>
      </c>
      <c r="N450" s="1044" t="e">
        <f>IF($F50="","",$F50*chronic_consumption!I450/1000/$C$3)</f>
        <v>#DIV/0!</v>
      </c>
      <c r="O450" s="1044" t="e">
        <f>IF($F50="","",$F50*chronic_consumption!J450/1000/$C$3)</f>
        <v>#DIV/0!</v>
      </c>
      <c r="P450" s="1044" t="e">
        <f>IF($F50="","",$F50*chronic_consumption!K450/1000/$C$3)</f>
        <v>#DIV/0!</v>
      </c>
      <c r="Q450" s="1044" t="e">
        <f>IF($F50="","",$F50*chronic_consumption!L450/1000/$C$3)</f>
        <v>#DIV/0!</v>
      </c>
      <c r="R450" s="1044" t="e">
        <f>IF($F50="","",$F50*chronic_consumption!M450/1000/$C$3)</f>
        <v>#DIV/0!</v>
      </c>
      <c r="S450" s="1044" t="e">
        <f>IF($F50="","",$F50*chronic_consumption!N450/1000/$C$3)</f>
        <v>#DIV/0!</v>
      </c>
      <c r="T450" s="1044" t="e">
        <f>IF($F50="","",$F50*chronic_consumption!O450/1000/$C$3)</f>
        <v>#DIV/0!</v>
      </c>
      <c r="U450" s="1044" t="e">
        <f>IF($F50="","",$F50*chronic_consumption!P450/1000/$C$3)</f>
        <v>#DIV/0!</v>
      </c>
      <c r="V450" s="1044" t="e">
        <f>IF($F50="","",$F50*chronic_consumption!Q450/1000/$C$3)</f>
        <v>#DIV/0!</v>
      </c>
      <c r="W450" s="1044" t="e">
        <f>IF($F50="","",$F50*chronic_consumption!R450/1000/$C$3)</f>
        <v>#DIV/0!</v>
      </c>
      <c r="X450" s="1044" t="e">
        <f>IF($F50="","",$F50*chronic_consumption!S450/1000/$C$3)</f>
        <v>#DIV/0!</v>
      </c>
      <c r="Y450" s="1044" t="e">
        <f>IF($F50="","",$F50*chronic_consumption!T450/1000/$C$3)</f>
        <v>#DIV/0!</v>
      </c>
      <c r="Z450" s="1044" t="e">
        <f>IF($F50="","",$F50*chronic_consumption!U450/1000/$C$3)</f>
        <v>#DIV/0!</v>
      </c>
      <c r="AA450" s="1044" t="e">
        <f>IF($F50="","",$F50*chronic_consumption!V450/1000/$C$3)</f>
        <v>#DIV/0!</v>
      </c>
      <c r="AB450" s="1044" t="e">
        <f>IF($F50="","",$F50*chronic_consumption!W450/1000/$C$3)</f>
        <v>#DIV/0!</v>
      </c>
      <c r="AC450" s="1044" t="e">
        <f>IF($F50="","",$F50*chronic_consumption!X450/1000/$C$3)</f>
        <v>#DIV/0!</v>
      </c>
      <c r="AD450" s="1044" t="e">
        <f>IF($F50="","",$F50*chronic_consumption!Y450/1000/$C$3)</f>
        <v>#DIV/0!</v>
      </c>
      <c r="AE450" s="1044" t="e">
        <f>IF($F50="","",$F50*chronic_consumption!Z450/1000/$C$3)</f>
        <v>#DIV/0!</v>
      </c>
      <c r="AF450" s="1044" t="e">
        <f>IF($F50="","",$F50*chronic_consumption!AA450/1000/$C$3)</f>
        <v>#DIV/0!</v>
      </c>
      <c r="AG450" s="1044" t="e">
        <f>IF($F50="","",$F50*chronic_consumption!AB450/1000/$C$3)</f>
        <v>#DIV/0!</v>
      </c>
      <c r="AH450" s="1044" t="e">
        <f>IF($F50="","",$F50*chronic_consumption!AC450/1000/$C$3)</f>
        <v>#DIV/0!</v>
      </c>
      <c r="AI450" s="1044" t="e">
        <f>IF($F50="","",$F50*chronic_consumption!AD450/1000/$C$3)</f>
        <v>#DIV/0!</v>
      </c>
      <c r="AJ450" s="1044" t="e">
        <f>IF($F50="","",$F50*chronic_consumption!AE450/1000/$C$3)</f>
        <v>#DIV/0!</v>
      </c>
      <c r="AK450" s="1044" t="e">
        <f>IF($F50="","",$F50*chronic_consumption!AF450/1000/$C$3)</f>
        <v>#DIV/0!</v>
      </c>
      <c r="AL450" s="1044" t="e">
        <f>IF($F50="","",$F50*chronic_consumption!AG450/1000/$C$3)</f>
        <v>#DIV/0!</v>
      </c>
      <c r="AM450" s="1044" t="e">
        <f>IF($F50="","",$F50*chronic_consumption!AH450/1000/$C$3)</f>
        <v>#DIV/0!</v>
      </c>
      <c r="AN450" s="1044" t="e">
        <f>IF($F50="","",$F50*chronic_consumption!AI450/1000/$C$3)</f>
        <v>#DIV/0!</v>
      </c>
      <c r="AO450" s="1044" t="e">
        <f>IF($F50="","",$F50*chronic_consumption!AJ450/1000/$C$3)</f>
        <v>#DIV/0!</v>
      </c>
      <c r="AP450" s="1044" t="e">
        <f>IF($F50="","",$F50*chronic_consumption!AK450/1000/$C$3)</f>
        <v>#DIV/0!</v>
      </c>
      <c r="AQ450" s="1044" t="e">
        <f>IF($F50="","",$F50*chronic_consumption!AL450/1000/$C$3)</f>
        <v>#DIV/0!</v>
      </c>
      <c r="AR450" s="1044" t="e">
        <f>IF($F50="","",$F50*chronic_consumption!AM450/1000/$C$3)</f>
        <v>#DIV/0!</v>
      </c>
      <c r="AS450" s="1044" t="e">
        <f>IF($F50="","",$F50*chronic_consumption!AN450/1000/$C$3)</f>
        <v>#DIV/0!</v>
      </c>
      <c r="AT450" s="1044" t="e">
        <f>IF($F50="","",$F50*chronic_consumption!AO450/1000/$C$3)</f>
        <v>#DIV/0!</v>
      </c>
      <c r="AU450" s="1044" t="e">
        <f>IF($F50="","",$F50*chronic_consumption!AP450/1000/$C$3)</f>
        <v>#DIV/0!</v>
      </c>
      <c r="AV450" s="1044" t="e">
        <f>IF($F50="","",$F50*chronic_consumption!AQ450/1000/$C$3)</f>
        <v>#DIV/0!</v>
      </c>
      <c r="AW450" s="1044" t="e">
        <f>IF($F50="","",$F50*chronic_consumption!AR450/1000/$C$3)</f>
        <v>#DIV/0!</v>
      </c>
      <c r="AX450" s="1044" t="e">
        <f>IF($F50="","",$F50*chronic_consumption!AS450/1000/$C$3)</f>
        <v>#DIV/0!</v>
      </c>
      <c r="AY450" s="1044" t="e">
        <f>IF($F50="","",$F50*chronic_consumption!AT450/1000/$C$3)</f>
        <v>#DIV/0!</v>
      </c>
      <c r="AZ450" s="44" t="s">
        <v>20</v>
      </c>
      <c r="BC450" s="29"/>
      <c r="BD450" s="29"/>
    </row>
    <row r="451" spans="1:56" ht="12" customHeight="1" outlineLevel="2" x14ac:dyDescent="0.2">
      <c r="A451" s="341">
        <f>acute_overview_children!A51</f>
        <v>3</v>
      </c>
      <c r="B451" s="1041">
        <f t="shared" si="37"/>
        <v>153000</v>
      </c>
      <c r="C451" s="1041" t="str">
        <f t="shared" si="37"/>
        <v xml:space="preserve">Cane fruit </v>
      </c>
      <c r="D451" s="1042"/>
      <c r="E451" s="1027"/>
      <c r="F451" s="87"/>
      <c r="G451" s="1027"/>
      <c r="H451" s="1029"/>
      <c r="I451" s="1030"/>
      <c r="J451" s="1043" t="e">
        <f>IF($F51="","",$F51*chronic_consumption!E451/1000/$C$3)</f>
        <v>#DIV/0!</v>
      </c>
      <c r="K451" s="1044" t="e">
        <f>IF($F51="","",$F51*chronic_consumption!F451/1000/$C$3)</f>
        <v>#DIV/0!</v>
      </c>
      <c r="L451" s="1044" t="e">
        <f>IF($F51="","",$F51*chronic_consumption!G451/1000/$C$3)</f>
        <v>#DIV/0!</v>
      </c>
      <c r="M451" s="1044" t="e">
        <f>IF($F51="","",$F51*chronic_consumption!H451/1000/$C$3)</f>
        <v>#DIV/0!</v>
      </c>
      <c r="N451" s="1044" t="e">
        <f>IF($F51="","",$F51*chronic_consumption!I451/1000/$C$3)</f>
        <v>#DIV/0!</v>
      </c>
      <c r="O451" s="1044" t="e">
        <f>IF($F51="","",$F51*chronic_consumption!J451/1000/$C$3)</f>
        <v>#DIV/0!</v>
      </c>
      <c r="P451" s="1044" t="e">
        <f>IF($F51="","",$F51*chronic_consumption!K451/1000/$C$3)</f>
        <v>#DIV/0!</v>
      </c>
      <c r="Q451" s="1044" t="e">
        <f>IF($F51="","",$F51*chronic_consumption!L451/1000/$C$3)</f>
        <v>#DIV/0!</v>
      </c>
      <c r="R451" s="1044" t="e">
        <f>IF($F51="","",$F51*chronic_consumption!M451/1000/$C$3)</f>
        <v>#DIV/0!</v>
      </c>
      <c r="S451" s="1044" t="e">
        <f>IF($F51="","",$F51*chronic_consumption!N451/1000/$C$3)</f>
        <v>#DIV/0!</v>
      </c>
      <c r="T451" s="1044" t="e">
        <f>IF($F51="","",$F51*chronic_consumption!O451/1000/$C$3)</f>
        <v>#DIV/0!</v>
      </c>
      <c r="U451" s="1044" t="e">
        <f>IF($F51="","",$F51*chronic_consumption!P451/1000/$C$3)</f>
        <v>#DIV/0!</v>
      </c>
      <c r="V451" s="1044" t="e">
        <f>IF($F51="","",$F51*chronic_consumption!Q451/1000/$C$3)</f>
        <v>#DIV/0!</v>
      </c>
      <c r="W451" s="1044" t="e">
        <f>IF($F51="","",$F51*chronic_consumption!R451/1000/$C$3)</f>
        <v>#DIV/0!</v>
      </c>
      <c r="X451" s="1044" t="e">
        <f>IF($F51="","",$F51*chronic_consumption!S451/1000/$C$3)</f>
        <v>#DIV/0!</v>
      </c>
      <c r="Y451" s="1044" t="e">
        <f>IF($F51="","",$F51*chronic_consumption!T451/1000/$C$3)</f>
        <v>#DIV/0!</v>
      </c>
      <c r="Z451" s="1044" t="e">
        <f>IF($F51="","",$F51*chronic_consumption!U451/1000/$C$3)</f>
        <v>#DIV/0!</v>
      </c>
      <c r="AA451" s="1044" t="e">
        <f>IF($F51="","",$F51*chronic_consumption!V451/1000/$C$3)</f>
        <v>#DIV/0!</v>
      </c>
      <c r="AB451" s="1044" t="e">
        <f>IF($F51="","",$F51*chronic_consumption!W451/1000/$C$3)</f>
        <v>#DIV/0!</v>
      </c>
      <c r="AC451" s="1044" t="e">
        <f>IF($F51="","",$F51*chronic_consumption!X451/1000/$C$3)</f>
        <v>#DIV/0!</v>
      </c>
      <c r="AD451" s="1044" t="e">
        <f>IF($F51="","",$F51*chronic_consumption!Y451/1000/$C$3)</f>
        <v>#DIV/0!</v>
      </c>
      <c r="AE451" s="1044" t="e">
        <f>IF($F51="","",$F51*chronic_consumption!Z451/1000/$C$3)</f>
        <v>#DIV/0!</v>
      </c>
      <c r="AF451" s="1044" t="e">
        <f>IF($F51="","",$F51*chronic_consumption!AA451/1000/$C$3)</f>
        <v>#DIV/0!</v>
      </c>
      <c r="AG451" s="1044" t="e">
        <f>IF($F51="","",$F51*chronic_consumption!AB451/1000/$C$3)</f>
        <v>#DIV/0!</v>
      </c>
      <c r="AH451" s="1044" t="e">
        <f>IF($F51="","",$F51*chronic_consumption!AC451/1000/$C$3)</f>
        <v>#DIV/0!</v>
      </c>
      <c r="AI451" s="1044" t="e">
        <f>IF($F51="","",$F51*chronic_consumption!AD451/1000/$C$3)</f>
        <v>#DIV/0!</v>
      </c>
      <c r="AJ451" s="1044" t="e">
        <f>IF($F51="","",$F51*chronic_consumption!AE451/1000/$C$3)</f>
        <v>#DIV/0!</v>
      </c>
      <c r="AK451" s="1044" t="e">
        <f>IF($F51="","",$F51*chronic_consumption!AF451/1000/$C$3)</f>
        <v>#DIV/0!</v>
      </c>
      <c r="AL451" s="1044" t="e">
        <f>IF($F51="","",$F51*chronic_consumption!AG451/1000/$C$3)</f>
        <v>#DIV/0!</v>
      </c>
      <c r="AM451" s="1044" t="e">
        <f>IF($F51="","",$F51*chronic_consumption!AH451/1000/$C$3)</f>
        <v>#DIV/0!</v>
      </c>
      <c r="AN451" s="1044" t="e">
        <f>IF($F51="","",$F51*chronic_consumption!AI451/1000/$C$3)</f>
        <v>#DIV/0!</v>
      </c>
      <c r="AO451" s="1044" t="e">
        <f>IF($F51="","",$F51*chronic_consumption!AJ451/1000/$C$3)</f>
        <v>#DIV/0!</v>
      </c>
      <c r="AP451" s="1044" t="e">
        <f>IF($F51="","",$F51*chronic_consumption!AK451/1000/$C$3)</f>
        <v>#DIV/0!</v>
      </c>
      <c r="AQ451" s="1044" t="e">
        <f>IF($F51="","",$F51*chronic_consumption!AL451/1000/$C$3)</f>
        <v>#DIV/0!</v>
      </c>
      <c r="AR451" s="1044" t="e">
        <f>IF($F51="","",$F51*chronic_consumption!AM451/1000/$C$3)</f>
        <v>#DIV/0!</v>
      </c>
      <c r="AS451" s="1044" t="e">
        <f>IF($F51="","",$F51*chronic_consumption!AN451/1000/$C$3)</f>
        <v>#DIV/0!</v>
      </c>
      <c r="AT451" s="1044" t="e">
        <f>IF($F51="","",$F51*chronic_consumption!AO451/1000/$C$3)</f>
        <v>#DIV/0!</v>
      </c>
      <c r="AU451" s="1044" t="e">
        <f>IF($F51="","",$F51*chronic_consumption!AP451/1000/$C$3)</f>
        <v>#DIV/0!</v>
      </c>
      <c r="AV451" s="1044" t="e">
        <f>IF($F51="","",$F51*chronic_consumption!AQ451/1000/$C$3)</f>
        <v>#DIV/0!</v>
      </c>
      <c r="AW451" s="1044" t="e">
        <f>IF($F51="","",$F51*chronic_consumption!AR451/1000/$C$3)</f>
        <v>#DIV/0!</v>
      </c>
      <c r="AX451" s="1044" t="e">
        <f>IF($F51="","",$F51*chronic_consumption!AS451/1000/$C$3)</f>
        <v>#DIV/0!</v>
      </c>
      <c r="AY451" s="1044" t="e">
        <f>IF($F51="","",$F51*chronic_consumption!AT451/1000/$C$3)</f>
        <v>#DIV/0!</v>
      </c>
      <c r="AZ451" s="44" t="s">
        <v>20</v>
      </c>
      <c r="BC451" s="29"/>
      <c r="BD451" s="29"/>
    </row>
    <row r="452" spans="1:56" ht="12" customHeight="1" outlineLevel="3" x14ac:dyDescent="0.2">
      <c r="A452" s="21">
        <f>acute_overview_children!A52</f>
        <v>4</v>
      </c>
      <c r="B452" s="325">
        <f t="shared" ref="B452:C471" si="38">B52</f>
        <v>153010</v>
      </c>
      <c r="C452" s="325" t="str">
        <f t="shared" si="38"/>
        <v>Blackberries</v>
      </c>
      <c r="D452" s="135"/>
      <c r="E452" s="1027"/>
      <c r="F452" s="87"/>
      <c r="G452" s="1027"/>
      <c r="H452" s="1029"/>
      <c r="I452" s="1030"/>
      <c r="J452" s="1039" t="e">
        <f>IF($F52="","",$F52*chronic_consumption!E452/1000/$C$3)</f>
        <v>#DIV/0!</v>
      </c>
      <c r="K452" s="1040" t="e">
        <f>IF($F52="","",$F52*chronic_consumption!F452/1000/$C$3)</f>
        <v>#DIV/0!</v>
      </c>
      <c r="L452" s="1040" t="e">
        <f>IF($F52="","",$F52*chronic_consumption!G452/1000/$C$3)</f>
        <v>#DIV/0!</v>
      </c>
      <c r="M452" s="1040" t="e">
        <f>IF($F52="","",$F52*chronic_consumption!H452/1000/$C$3)</f>
        <v>#DIV/0!</v>
      </c>
      <c r="N452" s="1040" t="e">
        <f>IF($F52="","",$F52*chronic_consumption!I452/1000/$C$3)</f>
        <v>#DIV/0!</v>
      </c>
      <c r="O452" s="1040" t="e">
        <f>IF($F52="","",$F52*chronic_consumption!J452/1000/$C$3)</f>
        <v>#DIV/0!</v>
      </c>
      <c r="P452" s="1040" t="e">
        <f>IF($F52="","",$F52*chronic_consumption!K452/1000/$C$3)</f>
        <v>#DIV/0!</v>
      </c>
      <c r="Q452" s="1040" t="e">
        <f>IF($F52="","",$F52*chronic_consumption!L452/1000/$C$3)</f>
        <v>#DIV/0!</v>
      </c>
      <c r="R452" s="1040" t="e">
        <f>IF($F52="","",$F52*chronic_consumption!M452/1000/$C$3)</f>
        <v>#DIV/0!</v>
      </c>
      <c r="S452" s="1040" t="e">
        <f>IF($F52="","",$F52*chronic_consumption!N452/1000/$C$3)</f>
        <v>#DIV/0!</v>
      </c>
      <c r="T452" s="1040" t="e">
        <f>IF($F52="","",$F52*chronic_consumption!O452/1000/$C$3)</f>
        <v>#DIV/0!</v>
      </c>
      <c r="U452" s="1040" t="e">
        <f>IF($F52="","",$F52*chronic_consumption!P452/1000/$C$3)</f>
        <v>#DIV/0!</v>
      </c>
      <c r="V452" s="1040" t="e">
        <f>IF($F52="","",$F52*chronic_consumption!Q452/1000/$C$3)</f>
        <v>#DIV/0!</v>
      </c>
      <c r="W452" s="1040" t="e">
        <f>IF($F52="","",$F52*chronic_consumption!R452/1000/$C$3)</f>
        <v>#DIV/0!</v>
      </c>
      <c r="X452" s="1040" t="e">
        <f>IF($F52="","",$F52*chronic_consumption!S452/1000/$C$3)</f>
        <v>#DIV/0!</v>
      </c>
      <c r="Y452" s="1040" t="e">
        <f>IF($F52="","",$F52*chronic_consumption!T452/1000/$C$3)</f>
        <v>#DIV/0!</v>
      </c>
      <c r="Z452" s="1040" t="e">
        <f>IF($F52="","",$F52*chronic_consumption!U452/1000/$C$3)</f>
        <v>#DIV/0!</v>
      </c>
      <c r="AA452" s="1040" t="e">
        <f>IF($F52="","",$F52*chronic_consumption!V452/1000/$C$3)</f>
        <v>#DIV/0!</v>
      </c>
      <c r="AB452" s="1040" t="e">
        <f>IF($F52="","",$F52*chronic_consumption!W452/1000/$C$3)</f>
        <v>#DIV/0!</v>
      </c>
      <c r="AC452" s="1040" t="e">
        <f>IF($F52="","",$F52*chronic_consumption!X452/1000/$C$3)</f>
        <v>#DIV/0!</v>
      </c>
      <c r="AD452" s="1040" t="e">
        <f>IF($F52="","",$F52*chronic_consumption!Y452/1000/$C$3)</f>
        <v>#DIV/0!</v>
      </c>
      <c r="AE452" s="1040" t="e">
        <f>IF($F52="","",$F52*chronic_consumption!Z452/1000/$C$3)</f>
        <v>#DIV/0!</v>
      </c>
      <c r="AF452" s="1040" t="e">
        <f>IF($F52="","",$F52*chronic_consumption!AA452/1000/$C$3)</f>
        <v>#DIV/0!</v>
      </c>
      <c r="AG452" s="1040" t="e">
        <f>IF($F52="","",$F52*chronic_consumption!AB452/1000/$C$3)</f>
        <v>#DIV/0!</v>
      </c>
      <c r="AH452" s="1040" t="e">
        <f>IF($F52="","",$F52*chronic_consumption!AC452/1000/$C$3)</f>
        <v>#DIV/0!</v>
      </c>
      <c r="AI452" s="1040" t="e">
        <f>IF($F52="","",$F52*chronic_consumption!AD452/1000/$C$3)</f>
        <v>#DIV/0!</v>
      </c>
      <c r="AJ452" s="1040" t="e">
        <f>IF($F52="","",$F52*chronic_consumption!AE452/1000/$C$3)</f>
        <v>#DIV/0!</v>
      </c>
      <c r="AK452" s="1040" t="e">
        <f>IF($F52="","",$F52*chronic_consumption!AF452/1000/$C$3)</f>
        <v>#DIV/0!</v>
      </c>
      <c r="AL452" s="1040" t="e">
        <f>IF($F52="","",$F52*chronic_consumption!AG452/1000/$C$3)</f>
        <v>#DIV/0!</v>
      </c>
      <c r="AM452" s="1040" t="e">
        <f>IF($F52="","",$F52*chronic_consumption!AH452/1000/$C$3)</f>
        <v>#DIV/0!</v>
      </c>
      <c r="AN452" s="1040" t="e">
        <f>IF($F52="","",$F52*chronic_consumption!AI452/1000/$C$3)</f>
        <v>#DIV/0!</v>
      </c>
      <c r="AO452" s="1040" t="e">
        <f>IF($F52="","",$F52*chronic_consumption!AJ452/1000/$C$3)</f>
        <v>#DIV/0!</v>
      </c>
      <c r="AP452" s="1040" t="e">
        <f>IF($F52="","",$F52*chronic_consumption!AK452/1000/$C$3)</f>
        <v>#DIV/0!</v>
      </c>
      <c r="AQ452" s="1040" t="e">
        <f>IF($F52="","",$F52*chronic_consumption!AL452/1000/$C$3)</f>
        <v>#DIV/0!</v>
      </c>
      <c r="AR452" s="1040" t="e">
        <f>IF($F52="","",$F52*chronic_consumption!AM452/1000/$C$3)</f>
        <v>#DIV/0!</v>
      </c>
      <c r="AS452" s="1040" t="e">
        <f>IF($F52="","",$F52*chronic_consumption!AN452/1000/$C$3)</f>
        <v>#DIV/0!</v>
      </c>
      <c r="AT452" s="1040" t="e">
        <f>IF($F52="","",$F52*chronic_consumption!AO452/1000/$C$3)</f>
        <v>#DIV/0!</v>
      </c>
      <c r="AU452" s="1040" t="e">
        <f>IF($F52="","",$F52*chronic_consumption!AP452/1000/$C$3)</f>
        <v>#DIV/0!</v>
      </c>
      <c r="AV452" s="1040" t="e">
        <f>IF($F52="","",$F52*chronic_consumption!AQ452/1000/$C$3)</f>
        <v>#DIV/0!</v>
      </c>
      <c r="AW452" s="1040" t="e">
        <f>IF($F52="","",$F52*chronic_consumption!AR452/1000/$C$3)</f>
        <v>#DIV/0!</v>
      </c>
      <c r="AX452" s="1040" t="e">
        <f>IF($F52="","",$F52*chronic_consumption!AS452/1000/$C$3)</f>
        <v>#DIV/0!</v>
      </c>
      <c r="AY452" s="1040" t="e">
        <f>IF($F52="","",$F52*chronic_consumption!AT452/1000/$C$3)</f>
        <v>#DIV/0!</v>
      </c>
      <c r="AZ452" s="44" t="s">
        <v>20</v>
      </c>
      <c r="BC452" s="29"/>
      <c r="BD452" s="29"/>
    </row>
    <row r="453" spans="1:56" ht="12" customHeight="1" outlineLevel="3" x14ac:dyDescent="0.2">
      <c r="A453" s="21">
        <f>acute_overview_children!A53</f>
        <v>4</v>
      </c>
      <c r="B453" s="325">
        <f t="shared" si="38"/>
        <v>153020</v>
      </c>
      <c r="C453" s="325" t="str">
        <f t="shared" si="38"/>
        <v>Dewberries</v>
      </c>
      <c r="D453" s="135"/>
      <c r="E453" s="1027"/>
      <c r="F453" s="87"/>
      <c r="G453" s="1027"/>
      <c r="H453" s="1029"/>
      <c r="I453" s="1030"/>
      <c r="J453" s="1039" t="e">
        <f>IF($F53="","",$F53*chronic_consumption!E453/1000/$C$3)</f>
        <v>#DIV/0!</v>
      </c>
      <c r="K453" s="1040" t="e">
        <f>IF($F53="","",$F53*chronic_consumption!F453/1000/$C$3)</f>
        <v>#DIV/0!</v>
      </c>
      <c r="L453" s="1040" t="e">
        <f>IF($F53="","",$F53*chronic_consumption!G453/1000/$C$3)</f>
        <v>#DIV/0!</v>
      </c>
      <c r="M453" s="1040" t="e">
        <f>IF($F53="","",$F53*chronic_consumption!H453/1000/$C$3)</f>
        <v>#DIV/0!</v>
      </c>
      <c r="N453" s="1040" t="e">
        <f>IF($F53="","",$F53*chronic_consumption!I453/1000/$C$3)</f>
        <v>#DIV/0!</v>
      </c>
      <c r="O453" s="1040" t="e">
        <f>IF($F53="","",$F53*chronic_consumption!J453/1000/$C$3)</f>
        <v>#DIV/0!</v>
      </c>
      <c r="P453" s="1040" t="e">
        <f>IF($F53="","",$F53*chronic_consumption!K453/1000/$C$3)</f>
        <v>#DIV/0!</v>
      </c>
      <c r="Q453" s="1040" t="e">
        <f>IF($F53="","",$F53*chronic_consumption!L453/1000/$C$3)</f>
        <v>#DIV/0!</v>
      </c>
      <c r="R453" s="1040" t="e">
        <f>IF($F53="","",$F53*chronic_consumption!M453/1000/$C$3)</f>
        <v>#DIV/0!</v>
      </c>
      <c r="S453" s="1040" t="e">
        <f>IF($F53="","",$F53*chronic_consumption!N453/1000/$C$3)</f>
        <v>#DIV/0!</v>
      </c>
      <c r="T453" s="1040" t="e">
        <f>IF($F53="","",$F53*chronic_consumption!O453/1000/$C$3)</f>
        <v>#DIV/0!</v>
      </c>
      <c r="U453" s="1040" t="e">
        <f>IF($F53="","",$F53*chronic_consumption!P453/1000/$C$3)</f>
        <v>#DIV/0!</v>
      </c>
      <c r="V453" s="1040" t="e">
        <f>IF($F53="","",$F53*chronic_consumption!Q453/1000/$C$3)</f>
        <v>#DIV/0!</v>
      </c>
      <c r="W453" s="1040" t="e">
        <f>IF($F53="","",$F53*chronic_consumption!R453/1000/$C$3)</f>
        <v>#DIV/0!</v>
      </c>
      <c r="X453" s="1040" t="e">
        <f>IF($F53="","",$F53*chronic_consumption!S453/1000/$C$3)</f>
        <v>#DIV/0!</v>
      </c>
      <c r="Y453" s="1040" t="e">
        <f>IF($F53="","",$F53*chronic_consumption!T453/1000/$C$3)</f>
        <v>#DIV/0!</v>
      </c>
      <c r="Z453" s="1040" t="e">
        <f>IF($F53="","",$F53*chronic_consumption!U453/1000/$C$3)</f>
        <v>#DIV/0!</v>
      </c>
      <c r="AA453" s="1040" t="e">
        <f>IF($F53="","",$F53*chronic_consumption!V453/1000/$C$3)</f>
        <v>#DIV/0!</v>
      </c>
      <c r="AB453" s="1040" t="e">
        <f>IF($F53="","",$F53*chronic_consumption!W453/1000/$C$3)</f>
        <v>#DIV/0!</v>
      </c>
      <c r="AC453" s="1040" t="e">
        <f>IF($F53="","",$F53*chronic_consumption!X453/1000/$C$3)</f>
        <v>#DIV/0!</v>
      </c>
      <c r="AD453" s="1040" t="e">
        <f>IF($F53="","",$F53*chronic_consumption!Y453/1000/$C$3)</f>
        <v>#DIV/0!</v>
      </c>
      <c r="AE453" s="1040" t="e">
        <f>IF($F53="","",$F53*chronic_consumption!Z453/1000/$C$3)</f>
        <v>#DIV/0!</v>
      </c>
      <c r="AF453" s="1040" t="e">
        <f>IF($F53="","",$F53*chronic_consumption!AA453/1000/$C$3)</f>
        <v>#DIV/0!</v>
      </c>
      <c r="AG453" s="1040" t="e">
        <f>IF($F53="","",$F53*chronic_consumption!AB453/1000/$C$3)</f>
        <v>#DIV/0!</v>
      </c>
      <c r="AH453" s="1040" t="e">
        <f>IF($F53="","",$F53*chronic_consumption!AC453/1000/$C$3)</f>
        <v>#DIV/0!</v>
      </c>
      <c r="AI453" s="1040" t="e">
        <f>IF($F53="","",$F53*chronic_consumption!AD453/1000/$C$3)</f>
        <v>#DIV/0!</v>
      </c>
      <c r="AJ453" s="1040" t="e">
        <f>IF($F53="","",$F53*chronic_consumption!AE453/1000/$C$3)</f>
        <v>#DIV/0!</v>
      </c>
      <c r="AK453" s="1040" t="e">
        <f>IF($F53="","",$F53*chronic_consumption!AF453/1000/$C$3)</f>
        <v>#DIV/0!</v>
      </c>
      <c r="AL453" s="1040" t="e">
        <f>IF($F53="","",$F53*chronic_consumption!AG453/1000/$C$3)</f>
        <v>#DIV/0!</v>
      </c>
      <c r="AM453" s="1040" t="e">
        <f>IF($F53="","",$F53*chronic_consumption!AH453/1000/$C$3)</f>
        <v>#DIV/0!</v>
      </c>
      <c r="AN453" s="1040" t="e">
        <f>IF($F53="","",$F53*chronic_consumption!AI453/1000/$C$3)</f>
        <v>#DIV/0!</v>
      </c>
      <c r="AO453" s="1040" t="e">
        <f>IF($F53="","",$F53*chronic_consumption!AJ453/1000/$C$3)</f>
        <v>#DIV/0!</v>
      </c>
      <c r="AP453" s="1040" t="e">
        <f>IF($F53="","",$F53*chronic_consumption!AK453/1000/$C$3)</f>
        <v>#DIV/0!</v>
      </c>
      <c r="AQ453" s="1040" t="e">
        <f>IF($F53="","",$F53*chronic_consumption!AL453/1000/$C$3)</f>
        <v>#DIV/0!</v>
      </c>
      <c r="AR453" s="1040" t="e">
        <f>IF($F53="","",$F53*chronic_consumption!AM453/1000/$C$3)</f>
        <v>#DIV/0!</v>
      </c>
      <c r="AS453" s="1040" t="e">
        <f>IF($F53="","",$F53*chronic_consumption!AN453/1000/$C$3)</f>
        <v>#DIV/0!</v>
      </c>
      <c r="AT453" s="1040" t="e">
        <f>IF($F53="","",$F53*chronic_consumption!AO453/1000/$C$3)</f>
        <v>#DIV/0!</v>
      </c>
      <c r="AU453" s="1040" t="e">
        <f>IF($F53="","",$F53*chronic_consumption!AP453/1000/$C$3)</f>
        <v>#DIV/0!</v>
      </c>
      <c r="AV453" s="1040" t="e">
        <f>IF($F53="","",$F53*chronic_consumption!AQ453/1000/$C$3)</f>
        <v>#DIV/0!</v>
      </c>
      <c r="AW453" s="1040" t="e">
        <f>IF($F53="","",$F53*chronic_consumption!AR453/1000/$C$3)</f>
        <v>#DIV/0!</v>
      </c>
      <c r="AX453" s="1040" t="e">
        <f>IF($F53="","",$F53*chronic_consumption!AS453/1000/$C$3)</f>
        <v>#DIV/0!</v>
      </c>
      <c r="AY453" s="1040" t="e">
        <f>IF($F53="","",$F53*chronic_consumption!AT453/1000/$C$3)</f>
        <v>#DIV/0!</v>
      </c>
      <c r="AZ453" s="44" t="s">
        <v>20</v>
      </c>
      <c r="BC453" s="29"/>
      <c r="BD453" s="29"/>
    </row>
    <row r="454" spans="1:56" ht="12" customHeight="1" outlineLevel="3" x14ac:dyDescent="0.2">
      <c r="A454" s="21">
        <f>acute_overview_children!A54</f>
        <v>4</v>
      </c>
      <c r="B454" s="325">
        <f t="shared" si="38"/>
        <v>153030</v>
      </c>
      <c r="C454" s="325" t="str">
        <f t="shared" si="38"/>
        <v>Raspberries (red and yellow)</v>
      </c>
      <c r="D454" s="135"/>
      <c r="E454" s="1027"/>
      <c r="F454" s="87"/>
      <c r="G454" s="1027"/>
      <c r="H454" s="1029"/>
      <c r="I454" s="1030"/>
      <c r="J454" s="1039" t="e">
        <f>IF($F54="","",$F54*chronic_consumption!E454/1000/$C$3)</f>
        <v>#DIV/0!</v>
      </c>
      <c r="K454" s="1040" t="e">
        <f>IF($F54="","",$F54*chronic_consumption!F454/1000/$C$3)</f>
        <v>#DIV/0!</v>
      </c>
      <c r="L454" s="1040" t="e">
        <f>IF($F54="","",$F54*chronic_consumption!G454/1000/$C$3)</f>
        <v>#DIV/0!</v>
      </c>
      <c r="M454" s="1040" t="e">
        <f>IF($F54="","",$F54*chronic_consumption!H454/1000/$C$3)</f>
        <v>#DIV/0!</v>
      </c>
      <c r="N454" s="1040" t="e">
        <f>IF($F54="","",$F54*chronic_consumption!I454/1000/$C$3)</f>
        <v>#DIV/0!</v>
      </c>
      <c r="O454" s="1040" t="e">
        <f>IF($F54="","",$F54*chronic_consumption!J454/1000/$C$3)</f>
        <v>#DIV/0!</v>
      </c>
      <c r="P454" s="1040" t="e">
        <f>IF($F54="","",$F54*chronic_consumption!K454/1000/$C$3)</f>
        <v>#DIV/0!</v>
      </c>
      <c r="Q454" s="1040" t="e">
        <f>IF($F54="","",$F54*chronic_consumption!L454/1000/$C$3)</f>
        <v>#DIV/0!</v>
      </c>
      <c r="R454" s="1040" t="e">
        <f>IF($F54="","",$F54*chronic_consumption!M454/1000/$C$3)</f>
        <v>#DIV/0!</v>
      </c>
      <c r="S454" s="1040" t="e">
        <f>IF($F54="","",$F54*chronic_consumption!N454/1000/$C$3)</f>
        <v>#DIV/0!</v>
      </c>
      <c r="T454" s="1040" t="e">
        <f>IF($F54="","",$F54*chronic_consumption!O454/1000/$C$3)</f>
        <v>#DIV/0!</v>
      </c>
      <c r="U454" s="1040" t="e">
        <f>IF($F54="","",$F54*chronic_consumption!P454/1000/$C$3)</f>
        <v>#DIV/0!</v>
      </c>
      <c r="V454" s="1040" t="e">
        <f>IF($F54="","",$F54*chronic_consumption!Q454/1000/$C$3)</f>
        <v>#DIV/0!</v>
      </c>
      <c r="W454" s="1040" t="e">
        <f>IF($F54="","",$F54*chronic_consumption!R454/1000/$C$3)</f>
        <v>#DIV/0!</v>
      </c>
      <c r="X454" s="1040" t="e">
        <f>IF($F54="","",$F54*chronic_consumption!S454/1000/$C$3)</f>
        <v>#DIV/0!</v>
      </c>
      <c r="Y454" s="1040" t="e">
        <f>IF($F54="","",$F54*chronic_consumption!T454/1000/$C$3)</f>
        <v>#DIV/0!</v>
      </c>
      <c r="Z454" s="1040" t="e">
        <f>IF($F54="","",$F54*chronic_consumption!U454/1000/$C$3)</f>
        <v>#DIV/0!</v>
      </c>
      <c r="AA454" s="1040" t="e">
        <f>IF($F54="","",$F54*chronic_consumption!V454/1000/$C$3)</f>
        <v>#DIV/0!</v>
      </c>
      <c r="AB454" s="1040" t="e">
        <f>IF($F54="","",$F54*chronic_consumption!W454/1000/$C$3)</f>
        <v>#DIV/0!</v>
      </c>
      <c r="AC454" s="1040" t="e">
        <f>IF($F54="","",$F54*chronic_consumption!X454/1000/$C$3)</f>
        <v>#DIV/0!</v>
      </c>
      <c r="AD454" s="1040" t="e">
        <f>IF($F54="","",$F54*chronic_consumption!Y454/1000/$C$3)</f>
        <v>#DIV/0!</v>
      </c>
      <c r="AE454" s="1040" t="e">
        <f>IF($F54="","",$F54*chronic_consumption!Z454/1000/$C$3)</f>
        <v>#DIV/0!</v>
      </c>
      <c r="AF454" s="1040" t="e">
        <f>IF($F54="","",$F54*chronic_consumption!AA454/1000/$C$3)</f>
        <v>#DIV/0!</v>
      </c>
      <c r="AG454" s="1040" t="e">
        <f>IF($F54="","",$F54*chronic_consumption!AB454/1000/$C$3)</f>
        <v>#DIV/0!</v>
      </c>
      <c r="AH454" s="1040" t="e">
        <f>IF($F54="","",$F54*chronic_consumption!AC454/1000/$C$3)</f>
        <v>#DIV/0!</v>
      </c>
      <c r="AI454" s="1040" t="e">
        <f>IF($F54="","",$F54*chronic_consumption!AD454/1000/$C$3)</f>
        <v>#DIV/0!</v>
      </c>
      <c r="AJ454" s="1040" t="e">
        <f>IF($F54="","",$F54*chronic_consumption!AE454/1000/$C$3)</f>
        <v>#DIV/0!</v>
      </c>
      <c r="AK454" s="1040" t="e">
        <f>IF($F54="","",$F54*chronic_consumption!AF454/1000/$C$3)</f>
        <v>#DIV/0!</v>
      </c>
      <c r="AL454" s="1040" t="e">
        <f>IF($F54="","",$F54*chronic_consumption!AG454/1000/$C$3)</f>
        <v>#DIV/0!</v>
      </c>
      <c r="AM454" s="1040" t="e">
        <f>IF($F54="","",$F54*chronic_consumption!AH454/1000/$C$3)</f>
        <v>#DIV/0!</v>
      </c>
      <c r="AN454" s="1040" t="e">
        <f>IF($F54="","",$F54*chronic_consumption!AI454/1000/$C$3)</f>
        <v>#DIV/0!</v>
      </c>
      <c r="AO454" s="1040" t="e">
        <f>IF($F54="","",$F54*chronic_consumption!AJ454/1000/$C$3)</f>
        <v>#DIV/0!</v>
      </c>
      <c r="AP454" s="1040" t="e">
        <f>IF($F54="","",$F54*chronic_consumption!AK454/1000/$C$3)</f>
        <v>#DIV/0!</v>
      </c>
      <c r="AQ454" s="1040" t="e">
        <f>IF($F54="","",$F54*chronic_consumption!AL454/1000/$C$3)</f>
        <v>#DIV/0!</v>
      </c>
      <c r="AR454" s="1040" t="e">
        <f>IF($F54="","",$F54*chronic_consumption!AM454/1000/$C$3)</f>
        <v>#DIV/0!</v>
      </c>
      <c r="AS454" s="1040" t="e">
        <f>IF($F54="","",$F54*chronic_consumption!AN454/1000/$C$3)</f>
        <v>#DIV/0!</v>
      </c>
      <c r="AT454" s="1040" t="e">
        <f>IF($F54="","",$F54*chronic_consumption!AO454/1000/$C$3)</f>
        <v>#DIV/0!</v>
      </c>
      <c r="AU454" s="1040" t="e">
        <f>IF($F54="","",$F54*chronic_consumption!AP454/1000/$C$3)</f>
        <v>#DIV/0!</v>
      </c>
      <c r="AV454" s="1040" t="e">
        <f>IF($F54="","",$F54*chronic_consumption!AQ454/1000/$C$3)</f>
        <v>#DIV/0!</v>
      </c>
      <c r="AW454" s="1040" t="e">
        <f>IF($F54="","",$F54*chronic_consumption!AR454/1000/$C$3)</f>
        <v>#DIV/0!</v>
      </c>
      <c r="AX454" s="1040" t="e">
        <f>IF($F54="","",$F54*chronic_consumption!AS454/1000/$C$3)</f>
        <v>#DIV/0!</v>
      </c>
      <c r="AY454" s="1040" t="e">
        <f>IF($F54="","",$F54*chronic_consumption!AT454/1000/$C$3)</f>
        <v>#DIV/0!</v>
      </c>
      <c r="AZ454" s="44" t="s">
        <v>20</v>
      </c>
      <c r="BC454" s="29"/>
      <c r="BD454" s="29"/>
    </row>
    <row r="455" spans="1:56" ht="12" customHeight="1" outlineLevel="3" x14ac:dyDescent="0.2">
      <c r="A455" s="21">
        <f>acute_overview_children!A55</f>
        <v>4</v>
      </c>
      <c r="B455" s="325">
        <f t="shared" si="38"/>
        <v>153990</v>
      </c>
      <c r="C455" s="325" t="str">
        <f t="shared" si="38"/>
        <v>Other cane fruit</v>
      </c>
      <c r="D455" s="135"/>
      <c r="E455" s="1027"/>
      <c r="F455" s="87"/>
      <c r="G455" s="1027"/>
      <c r="H455" s="1029"/>
      <c r="I455" s="1030"/>
      <c r="J455" s="1039" t="e">
        <f>IF($F55="","",$F55*chronic_consumption!E455/1000/$C$3)</f>
        <v>#DIV/0!</v>
      </c>
      <c r="K455" s="1040" t="e">
        <f>IF($F55="","",$F55*chronic_consumption!F455/1000/$C$3)</f>
        <v>#DIV/0!</v>
      </c>
      <c r="L455" s="1040" t="e">
        <f>IF($F55="","",$F55*chronic_consumption!G455/1000/$C$3)</f>
        <v>#DIV/0!</v>
      </c>
      <c r="M455" s="1040" t="e">
        <f>IF($F55="","",$F55*chronic_consumption!H455/1000/$C$3)</f>
        <v>#DIV/0!</v>
      </c>
      <c r="N455" s="1040" t="e">
        <f>IF($F55="","",$F55*chronic_consumption!I455/1000/$C$3)</f>
        <v>#DIV/0!</v>
      </c>
      <c r="O455" s="1040" t="e">
        <f>IF($F55="","",$F55*chronic_consumption!J455/1000/$C$3)</f>
        <v>#DIV/0!</v>
      </c>
      <c r="P455" s="1040" t="e">
        <f>IF($F55="","",$F55*chronic_consumption!K455/1000/$C$3)</f>
        <v>#DIV/0!</v>
      </c>
      <c r="Q455" s="1040" t="e">
        <f>IF($F55="","",$F55*chronic_consumption!L455/1000/$C$3)</f>
        <v>#DIV/0!</v>
      </c>
      <c r="R455" s="1040" t="e">
        <f>IF($F55="","",$F55*chronic_consumption!M455/1000/$C$3)</f>
        <v>#DIV/0!</v>
      </c>
      <c r="S455" s="1040" t="e">
        <f>IF($F55="","",$F55*chronic_consumption!N455/1000/$C$3)</f>
        <v>#DIV/0!</v>
      </c>
      <c r="T455" s="1040" t="e">
        <f>IF($F55="","",$F55*chronic_consumption!O455/1000/$C$3)</f>
        <v>#DIV/0!</v>
      </c>
      <c r="U455" s="1040" t="e">
        <f>IF($F55="","",$F55*chronic_consumption!P455/1000/$C$3)</f>
        <v>#DIV/0!</v>
      </c>
      <c r="V455" s="1040" t="e">
        <f>IF($F55="","",$F55*chronic_consumption!Q455/1000/$C$3)</f>
        <v>#DIV/0!</v>
      </c>
      <c r="W455" s="1040" t="e">
        <f>IF($F55="","",$F55*chronic_consumption!R455/1000/$C$3)</f>
        <v>#DIV/0!</v>
      </c>
      <c r="X455" s="1040" t="e">
        <f>IF($F55="","",$F55*chronic_consumption!S455/1000/$C$3)</f>
        <v>#DIV/0!</v>
      </c>
      <c r="Y455" s="1040" t="e">
        <f>IF($F55="","",$F55*chronic_consumption!T455/1000/$C$3)</f>
        <v>#DIV/0!</v>
      </c>
      <c r="Z455" s="1040" t="e">
        <f>IF($F55="","",$F55*chronic_consumption!U455/1000/$C$3)</f>
        <v>#DIV/0!</v>
      </c>
      <c r="AA455" s="1040" t="e">
        <f>IF($F55="","",$F55*chronic_consumption!V455/1000/$C$3)</f>
        <v>#DIV/0!</v>
      </c>
      <c r="AB455" s="1040" t="e">
        <f>IF($F55="","",$F55*chronic_consumption!W455/1000/$C$3)</f>
        <v>#DIV/0!</v>
      </c>
      <c r="AC455" s="1040" t="e">
        <f>IF($F55="","",$F55*chronic_consumption!X455/1000/$C$3)</f>
        <v>#DIV/0!</v>
      </c>
      <c r="AD455" s="1040" t="e">
        <f>IF($F55="","",$F55*chronic_consumption!Y455/1000/$C$3)</f>
        <v>#DIV/0!</v>
      </c>
      <c r="AE455" s="1040" t="e">
        <f>IF($F55="","",$F55*chronic_consumption!Z455/1000/$C$3)</f>
        <v>#DIV/0!</v>
      </c>
      <c r="AF455" s="1040" t="e">
        <f>IF($F55="","",$F55*chronic_consumption!AA455/1000/$C$3)</f>
        <v>#DIV/0!</v>
      </c>
      <c r="AG455" s="1040" t="e">
        <f>IF($F55="","",$F55*chronic_consumption!AB455/1000/$C$3)</f>
        <v>#DIV/0!</v>
      </c>
      <c r="AH455" s="1040" t="e">
        <f>IF($F55="","",$F55*chronic_consumption!AC455/1000/$C$3)</f>
        <v>#DIV/0!</v>
      </c>
      <c r="AI455" s="1040" t="e">
        <f>IF($F55="","",$F55*chronic_consumption!AD455/1000/$C$3)</f>
        <v>#DIV/0!</v>
      </c>
      <c r="AJ455" s="1040" t="e">
        <f>IF($F55="","",$F55*chronic_consumption!AE455/1000/$C$3)</f>
        <v>#DIV/0!</v>
      </c>
      <c r="AK455" s="1040" t="e">
        <f>IF($F55="","",$F55*chronic_consumption!AF455/1000/$C$3)</f>
        <v>#DIV/0!</v>
      </c>
      <c r="AL455" s="1040" t="e">
        <f>IF($F55="","",$F55*chronic_consumption!AG455/1000/$C$3)</f>
        <v>#DIV/0!</v>
      </c>
      <c r="AM455" s="1040" t="e">
        <f>IF($F55="","",$F55*chronic_consumption!AH455/1000/$C$3)</f>
        <v>#DIV/0!</v>
      </c>
      <c r="AN455" s="1040" t="e">
        <f>IF($F55="","",$F55*chronic_consumption!AI455/1000/$C$3)</f>
        <v>#DIV/0!</v>
      </c>
      <c r="AO455" s="1040" t="e">
        <f>IF($F55="","",$F55*chronic_consumption!AJ455/1000/$C$3)</f>
        <v>#DIV/0!</v>
      </c>
      <c r="AP455" s="1040" t="e">
        <f>IF($F55="","",$F55*chronic_consumption!AK455/1000/$C$3)</f>
        <v>#DIV/0!</v>
      </c>
      <c r="AQ455" s="1040" t="e">
        <f>IF($F55="","",$F55*chronic_consumption!AL455/1000/$C$3)</f>
        <v>#DIV/0!</v>
      </c>
      <c r="AR455" s="1040" t="e">
        <f>IF($F55="","",$F55*chronic_consumption!AM455/1000/$C$3)</f>
        <v>#DIV/0!</v>
      </c>
      <c r="AS455" s="1040" t="e">
        <f>IF($F55="","",$F55*chronic_consumption!AN455/1000/$C$3)</f>
        <v>#DIV/0!</v>
      </c>
      <c r="AT455" s="1040" t="e">
        <f>IF($F55="","",$F55*chronic_consumption!AO455/1000/$C$3)</f>
        <v>#DIV/0!</v>
      </c>
      <c r="AU455" s="1040" t="e">
        <f>IF($F55="","",$F55*chronic_consumption!AP455/1000/$C$3)</f>
        <v>#DIV/0!</v>
      </c>
      <c r="AV455" s="1040" t="e">
        <f>IF($F55="","",$F55*chronic_consumption!AQ455/1000/$C$3)</f>
        <v>#DIV/0!</v>
      </c>
      <c r="AW455" s="1040" t="e">
        <f>IF($F55="","",$F55*chronic_consumption!AR455/1000/$C$3)</f>
        <v>#DIV/0!</v>
      </c>
      <c r="AX455" s="1040" t="e">
        <f>IF($F55="","",$F55*chronic_consumption!AS455/1000/$C$3)</f>
        <v>#DIV/0!</v>
      </c>
      <c r="AY455" s="1040" t="e">
        <f>IF($F55="","",$F55*chronic_consumption!AT455/1000/$C$3)</f>
        <v>#DIV/0!</v>
      </c>
      <c r="AZ455" s="44" t="s">
        <v>20</v>
      </c>
      <c r="BC455" s="29"/>
      <c r="BD455" s="29"/>
    </row>
    <row r="456" spans="1:56" ht="12" customHeight="1" outlineLevel="2" x14ac:dyDescent="0.2">
      <c r="A456" s="341">
        <f>acute_overview_children!A56</f>
        <v>3</v>
      </c>
      <c r="B456" s="1041">
        <f t="shared" si="38"/>
        <v>154000</v>
      </c>
      <c r="C456" s="1041" t="str">
        <f t="shared" si="38"/>
        <v xml:space="preserve">Other small fruit &amp; berries </v>
      </c>
      <c r="D456" s="1042"/>
      <c r="E456" s="1027"/>
      <c r="F456" s="87"/>
      <c r="G456" s="1027"/>
      <c r="H456" s="1029"/>
      <c r="I456" s="1030"/>
      <c r="J456" s="1043" t="e">
        <f>IF($F56="","",$F56*chronic_consumption!E456/1000/$C$3)</f>
        <v>#DIV/0!</v>
      </c>
      <c r="K456" s="1044" t="e">
        <f>IF($F56="","",$F56*chronic_consumption!F456/1000/$C$3)</f>
        <v>#DIV/0!</v>
      </c>
      <c r="L456" s="1044" t="e">
        <f>IF($F56="","",$F56*chronic_consumption!G456/1000/$C$3)</f>
        <v>#DIV/0!</v>
      </c>
      <c r="M456" s="1044" t="e">
        <f>IF($F56="","",$F56*chronic_consumption!H456/1000/$C$3)</f>
        <v>#DIV/0!</v>
      </c>
      <c r="N456" s="1044" t="e">
        <f>IF($F56="","",$F56*chronic_consumption!I456/1000/$C$3)</f>
        <v>#DIV/0!</v>
      </c>
      <c r="O456" s="1044" t="e">
        <f>IF($F56="","",$F56*chronic_consumption!J456/1000/$C$3)</f>
        <v>#DIV/0!</v>
      </c>
      <c r="P456" s="1044" t="e">
        <f>IF($F56="","",$F56*chronic_consumption!K456/1000/$C$3)</f>
        <v>#DIV/0!</v>
      </c>
      <c r="Q456" s="1044" t="e">
        <f>IF($F56="","",$F56*chronic_consumption!L456/1000/$C$3)</f>
        <v>#DIV/0!</v>
      </c>
      <c r="R456" s="1044" t="e">
        <f>IF($F56="","",$F56*chronic_consumption!M456/1000/$C$3)</f>
        <v>#DIV/0!</v>
      </c>
      <c r="S456" s="1044" t="e">
        <f>IF($F56="","",$F56*chronic_consumption!N456/1000/$C$3)</f>
        <v>#DIV/0!</v>
      </c>
      <c r="T456" s="1044" t="e">
        <f>IF($F56="","",$F56*chronic_consumption!O456/1000/$C$3)</f>
        <v>#DIV/0!</v>
      </c>
      <c r="U456" s="1044" t="e">
        <f>IF($F56="","",$F56*chronic_consumption!P456/1000/$C$3)</f>
        <v>#DIV/0!</v>
      </c>
      <c r="V456" s="1044" t="e">
        <f>IF($F56="","",$F56*chronic_consumption!Q456/1000/$C$3)</f>
        <v>#DIV/0!</v>
      </c>
      <c r="W456" s="1044" t="e">
        <f>IF($F56="","",$F56*chronic_consumption!R456/1000/$C$3)</f>
        <v>#DIV/0!</v>
      </c>
      <c r="X456" s="1044" t="e">
        <f>IF($F56="","",$F56*chronic_consumption!S456/1000/$C$3)</f>
        <v>#DIV/0!</v>
      </c>
      <c r="Y456" s="1044" t="e">
        <f>IF($F56="","",$F56*chronic_consumption!T456/1000/$C$3)</f>
        <v>#DIV/0!</v>
      </c>
      <c r="Z456" s="1044" t="e">
        <f>IF($F56="","",$F56*chronic_consumption!U456/1000/$C$3)</f>
        <v>#DIV/0!</v>
      </c>
      <c r="AA456" s="1044" t="e">
        <f>IF($F56="","",$F56*chronic_consumption!V456/1000/$C$3)</f>
        <v>#DIV/0!</v>
      </c>
      <c r="AB456" s="1044" t="e">
        <f>IF($F56="","",$F56*chronic_consumption!W456/1000/$C$3)</f>
        <v>#DIV/0!</v>
      </c>
      <c r="AC456" s="1044" t="e">
        <f>IF($F56="","",$F56*chronic_consumption!X456/1000/$C$3)</f>
        <v>#DIV/0!</v>
      </c>
      <c r="AD456" s="1044" t="e">
        <f>IF($F56="","",$F56*chronic_consumption!Y456/1000/$C$3)</f>
        <v>#DIV/0!</v>
      </c>
      <c r="AE456" s="1044" t="e">
        <f>IF($F56="","",$F56*chronic_consumption!Z456/1000/$C$3)</f>
        <v>#DIV/0!</v>
      </c>
      <c r="AF456" s="1044" t="e">
        <f>IF($F56="","",$F56*chronic_consumption!AA456/1000/$C$3)</f>
        <v>#DIV/0!</v>
      </c>
      <c r="AG456" s="1044" t="e">
        <f>IF($F56="","",$F56*chronic_consumption!AB456/1000/$C$3)</f>
        <v>#DIV/0!</v>
      </c>
      <c r="AH456" s="1044" t="e">
        <f>IF($F56="","",$F56*chronic_consumption!AC456/1000/$C$3)</f>
        <v>#DIV/0!</v>
      </c>
      <c r="AI456" s="1044" t="e">
        <f>IF($F56="","",$F56*chronic_consumption!AD456/1000/$C$3)</f>
        <v>#DIV/0!</v>
      </c>
      <c r="AJ456" s="1044" t="e">
        <f>IF($F56="","",$F56*chronic_consumption!AE456/1000/$C$3)</f>
        <v>#DIV/0!</v>
      </c>
      <c r="AK456" s="1044" t="e">
        <f>IF($F56="","",$F56*chronic_consumption!AF456/1000/$C$3)</f>
        <v>#DIV/0!</v>
      </c>
      <c r="AL456" s="1044" t="e">
        <f>IF($F56="","",$F56*chronic_consumption!AG456/1000/$C$3)</f>
        <v>#DIV/0!</v>
      </c>
      <c r="AM456" s="1044" t="e">
        <f>IF($F56="","",$F56*chronic_consumption!AH456/1000/$C$3)</f>
        <v>#DIV/0!</v>
      </c>
      <c r="AN456" s="1044" t="e">
        <f>IF($F56="","",$F56*chronic_consumption!AI456/1000/$C$3)</f>
        <v>#DIV/0!</v>
      </c>
      <c r="AO456" s="1044" t="e">
        <f>IF($F56="","",$F56*chronic_consumption!AJ456/1000/$C$3)</f>
        <v>#DIV/0!</v>
      </c>
      <c r="AP456" s="1044" t="e">
        <f>IF($F56="","",$F56*chronic_consumption!AK456/1000/$C$3)</f>
        <v>#DIV/0!</v>
      </c>
      <c r="AQ456" s="1044" t="e">
        <f>IF($F56="","",$F56*chronic_consumption!AL456/1000/$C$3)</f>
        <v>#DIV/0!</v>
      </c>
      <c r="AR456" s="1044" t="e">
        <f>IF($F56="","",$F56*chronic_consumption!AM456/1000/$C$3)</f>
        <v>#DIV/0!</v>
      </c>
      <c r="AS456" s="1044" t="e">
        <f>IF($F56="","",$F56*chronic_consumption!AN456/1000/$C$3)</f>
        <v>#DIV/0!</v>
      </c>
      <c r="AT456" s="1044" t="e">
        <f>IF($F56="","",$F56*chronic_consumption!AO456/1000/$C$3)</f>
        <v>#DIV/0!</v>
      </c>
      <c r="AU456" s="1044" t="e">
        <f>IF($F56="","",$F56*chronic_consumption!AP456/1000/$C$3)</f>
        <v>#DIV/0!</v>
      </c>
      <c r="AV456" s="1044" t="e">
        <f>IF($F56="","",$F56*chronic_consumption!AQ456/1000/$C$3)</f>
        <v>#DIV/0!</v>
      </c>
      <c r="AW456" s="1044" t="e">
        <f>IF($F56="","",$F56*chronic_consumption!AR456/1000/$C$3)</f>
        <v>#DIV/0!</v>
      </c>
      <c r="AX456" s="1044" t="e">
        <f>IF($F56="","",$F56*chronic_consumption!AS456/1000/$C$3)</f>
        <v>#DIV/0!</v>
      </c>
      <c r="AY456" s="1044" t="e">
        <f>IF($F56="","",$F56*chronic_consumption!AT456/1000/$C$3)</f>
        <v>#DIV/0!</v>
      </c>
      <c r="AZ456" s="44" t="s">
        <v>20</v>
      </c>
      <c r="BC456" s="29"/>
      <c r="BD456" s="29"/>
    </row>
    <row r="457" spans="1:56" ht="12" customHeight="1" outlineLevel="3" x14ac:dyDescent="0.2">
      <c r="A457" s="21">
        <f>acute_overview_children!A57</f>
        <v>4</v>
      </c>
      <c r="B457" s="325">
        <f t="shared" si="38"/>
        <v>154010</v>
      </c>
      <c r="C457" s="325" t="str">
        <f t="shared" si="38"/>
        <v>Blueberries</v>
      </c>
      <c r="D457" s="135"/>
      <c r="E457" s="1027"/>
      <c r="F457" s="87"/>
      <c r="G457" s="1027"/>
      <c r="H457" s="1029"/>
      <c r="I457" s="1030"/>
      <c r="J457" s="1039" t="e">
        <f>IF($F57="","",$F57*chronic_consumption!E457/1000/$C$3)</f>
        <v>#DIV/0!</v>
      </c>
      <c r="K457" s="1040" t="e">
        <f>IF($F57="","",$F57*chronic_consumption!F457/1000/$C$3)</f>
        <v>#DIV/0!</v>
      </c>
      <c r="L457" s="1040" t="e">
        <f>IF($F57="","",$F57*chronic_consumption!G457/1000/$C$3)</f>
        <v>#DIV/0!</v>
      </c>
      <c r="M457" s="1040" t="e">
        <f>IF($F57="","",$F57*chronic_consumption!H457/1000/$C$3)</f>
        <v>#DIV/0!</v>
      </c>
      <c r="N457" s="1040" t="e">
        <f>IF($F57="","",$F57*chronic_consumption!I457/1000/$C$3)</f>
        <v>#DIV/0!</v>
      </c>
      <c r="O457" s="1040" t="e">
        <f>IF($F57="","",$F57*chronic_consumption!J457/1000/$C$3)</f>
        <v>#DIV/0!</v>
      </c>
      <c r="P457" s="1040" t="e">
        <f>IF($F57="","",$F57*chronic_consumption!K457/1000/$C$3)</f>
        <v>#DIV/0!</v>
      </c>
      <c r="Q457" s="1040" t="e">
        <f>IF($F57="","",$F57*chronic_consumption!L457/1000/$C$3)</f>
        <v>#DIV/0!</v>
      </c>
      <c r="R457" s="1040" t="e">
        <f>IF($F57="","",$F57*chronic_consumption!M457/1000/$C$3)</f>
        <v>#DIV/0!</v>
      </c>
      <c r="S457" s="1040" t="e">
        <f>IF($F57="","",$F57*chronic_consumption!N457/1000/$C$3)</f>
        <v>#DIV/0!</v>
      </c>
      <c r="T457" s="1040" t="e">
        <f>IF($F57="","",$F57*chronic_consumption!O457/1000/$C$3)</f>
        <v>#DIV/0!</v>
      </c>
      <c r="U457" s="1040" t="e">
        <f>IF($F57="","",$F57*chronic_consumption!P457/1000/$C$3)</f>
        <v>#DIV/0!</v>
      </c>
      <c r="V457" s="1040" t="e">
        <f>IF($F57="","",$F57*chronic_consumption!Q457/1000/$C$3)</f>
        <v>#DIV/0!</v>
      </c>
      <c r="W457" s="1040" t="e">
        <f>IF($F57="","",$F57*chronic_consumption!R457/1000/$C$3)</f>
        <v>#DIV/0!</v>
      </c>
      <c r="X457" s="1040" t="e">
        <f>IF($F57="","",$F57*chronic_consumption!S457/1000/$C$3)</f>
        <v>#DIV/0!</v>
      </c>
      <c r="Y457" s="1040" t="e">
        <f>IF($F57="","",$F57*chronic_consumption!T457/1000/$C$3)</f>
        <v>#DIV/0!</v>
      </c>
      <c r="Z457" s="1040" t="e">
        <f>IF($F57="","",$F57*chronic_consumption!U457/1000/$C$3)</f>
        <v>#DIV/0!</v>
      </c>
      <c r="AA457" s="1040" t="e">
        <f>IF($F57="","",$F57*chronic_consumption!V457/1000/$C$3)</f>
        <v>#DIV/0!</v>
      </c>
      <c r="AB457" s="1040" t="e">
        <f>IF($F57="","",$F57*chronic_consumption!W457/1000/$C$3)</f>
        <v>#DIV/0!</v>
      </c>
      <c r="AC457" s="1040" t="e">
        <f>IF($F57="","",$F57*chronic_consumption!X457/1000/$C$3)</f>
        <v>#DIV/0!</v>
      </c>
      <c r="AD457" s="1040" t="e">
        <f>IF($F57="","",$F57*chronic_consumption!Y457/1000/$C$3)</f>
        <v>#DIV/0!</v>
      </c>
      <c r="AE457" s="1040" t="e">
        <f>IF($F57="","",$F57*chronic_consumption!Z457/1000/$C$3)</f>
        <v>#DIV/0!</v>
      </c>
      <c r="AF457" s="1040" t="e">
        <f>IF($F57="","",$F57*chronic_consumption!AA457/1000/$C$3)</f>
        <v>#DIV/0!</v>
      </c>
      <c r="AG457" s="1040" t="e">
        <f>IF($F57="","",$F57*chronic_consumption!AB457/1000/$C$3)</f>
        <v>#DIV/0!</v>
      </c>
      <c r="AH457" s="1040" t="e">
        <f>IF($F57="","",$F57*chronic_consumption!AC457/1000/$C$3)</f>
        <v>#DIV/0!</v>
      </c>
      <c r="AI457" s="1040" t="e">
        <f>IF($F57="","",$F57*chronic_consumption!AD457/1000/$C$3)</f>
        <v>#DIV/0!</v>
      </c>
      <c r="AJ457" s="1040" t="e">
        <f>IF($F57="","",$F57*chronic_consumption!AE457/1000/$C$3)</f>
        <v>#DIV/0!</v>
      </c>
      <c r="AK457" s="1040" t="e">
        <f>IF($F57="","",$F57*chronic_consumption!AF457/1000/$C$3)</f>
        <v>#DIV/0!</v>
      </c>
      <c r="AL457" s="1040" t="e">
        <f>IF($F57="","",$F57*chronic_consumption!AG457/1000/$C$3)</f>
        <v>#DIV/0!</v>
      </c>
      <c r="AM457" s="1040" t="e">
        <f>IF($F57="","",$F57*chronic_consumption!AH457/1000/$C$3)</f>
        <v>#DIV/0!</v>
      </c>
      <c r="AN457" s="1040" t="e">
        <f>IF($F57="","",$F57*chronic_consumption!AI457/1000/$C$3)</f>
        <v>#DIV/0!</v>
      </c>
      <c r="AO457" s="1040" t="e">
        <f>IF($F57="","",$F57*chronic_consumption!AJ457/1000/$C$3)</f>
        <v>#DIV/0!</v>
      </c>
      <c r="AP457" s="1040" t="e">
        <f>IF($F57="","",$F57*chronic_consumption!AK457/1000/$C$3)</f>
        <v>#DIV/0!</v>
      </c>
      <c r="AQ457" s="1040" t="e">
        <f>IF($F57="","",$F57*chronic_consumption!AL457/1000/$C$3)</f>
        <v>#DIV/0!</v>
      </c>
      <c r="AR457" s="1040" t="e">
        <f>IF($F57="","",$F57*chronic_consumption!AM457/1000/$C$3)</f>
        <v>#DIV/0!</v>
      </c>
      <c r="AS457" s="1040" t="e">
        <f>IF($F57="","",$F57*chronic_consumption!AN457/1000/$C$3)</f>
        <v>#DIV/0!</v>
      </c>
      <c r="AT457" s="1040" t="e">
        <f>IF($F57="","",$F57*chronic_consumption!AO457/1000/$C$3)</f>
        <v>#DIV/0!</v>
      </c>
      <c r="AU457" s="1040" t="e">
        <f>IF($F57="","",$F57*chronic_consumption!AP457/1000/$C$3)</f>
        <v>#DIV/0!</v>
      </c>
      <c r="AV457" s="1040" t="e">
        <f>IF($F57="","",$F57*chronic_consumption!AQ457/1000/$C$3)</f>
        <v>#DIV/0!</v>
      </c>
      <c r="AW457" s="1040" t="e">
        <f>IF($F57="","",$F57*chronic_consumption!AR457/1000/$C$3)</f>
        <v>#DIV/0!</v>
      </c>
      <c r="AX457" s="1040" t="e">
        <f>IF($F57="","",$F57*chronic_consumption!AS457/1000/$C$3)</f>
        <v>#DIV/0!</v>
      </c>
      <c r="AY457" s="1040" t="e">
        <f>IF($F57="","",$F57*chronic_consumption!AT457/1000/$C$3)</f>
        <v>#DIV/0!</v>
      </c>
      <c r="AZ457" s="44" t="s">
        <v>20</v>
      </c>
      <c r="BC457" s="29"/>
      <c r="BD457" s="29"/>
    </row>
    <row r="458" spans="1:56" ht="12" customHeight="1" outlineLevel="3" x14ac:dyDescent="0.2">
      <c r="A458" s="21">
        <f>acute_overview_children!A58</f>
        <v>4</v>
      </c>
      <c r="B458" s="325">
        <f t="shared" si="38"/>
        <v>154020</v>
      </c>
      <c r="C458" s="325" t="str">
        <f t="shared" si="38"/>
        <v>Cranberries</v>
      </c>
      <c r="D458" s="135"/>
      <c r="E458" s="1027"/>
      <c r="F458" s="87"/>
      <c r="G458" s="1027"/>
      <c r="H458" s="1029"/>
      <c r="I458" s="1030"/>
      <c r="J458" s="1039" t="e">
        <f>IF($F58="","",$F58*chronic_consumption!E458/1000/$C$3)</f>
        <v>#DIV/0!</v>
      </c>
      <c r="K458" s="1040" t="e">
        <f>IF($F58="","",$F58*chronic_consumption!F458/1000/$C$3)</f>
        <v>#DIV/0!</v>
      </c>
      <c r="L458" s="1040" t="e">
        <f>IF($F58="","",$F58*chronic_consumption!G458/1000/$C$3)</f>
        <v>#DIV/0!</v>
      </c>
      <c r="M458" s="1040" t="e">
        <f>IF($F58="","",$F58*chronic_consumption!H458/1000/$C$3)</f>
        <v>#DIV/0!</v>
      </c>
      <c r="N458" s="1040" t="e">
        <f>IF($F58="","",$F58*chronic_consumption!I458/1000/$C$3)</f>
        <v>#DIV/0!</v>
      </c>
      <c r="O458" s="1040" t="e">
        <f>IF($F58="","",$F58*chronic_consumption!J458/1000/$C$3)</f>
        <v>#DIV/0!</v>
      </c>
      <c r="P458" s="1040" t="e">
        <f>IF($F58="","",$F58*chronic_consumption!K458/1000/$C$3)</f>
        <v>#DIV/0!</v>
      </c>
      <c r="Q458" s="1040" t="e">
        <f>IF($F58="","",$F58*chronic_consumption!L458/1000/$C$3)</f>
        <v>#DIV/0!</v>
      </c>
      <c r="R458" s="1040" t="e">
        <f>IF($F58="","",$F58*chronic_consumption!M458/1000/$C$3)</f>
        <v>#DIV/0!</v>
      </c>
      <c r="S458" s="1040" t="e">
        <f>IF($F58="","",$F58*chronic_consumption!N458/1000/$C$3)</f>
        <v>#DIV/0!</v>
      </c>
      <c r="T458" s="1040" t="e">
        <f>IF($F58="","",$F58*chronic_consumption!O458/1000/$C$3)</f>
        <v>#DIV/0!</v>
      </c>
      <c r="U458" s="1040" t="e">
        <f>IF($F58="","",$F58*chronic_consumption!P458/1000/$C$3)</f>
        <v>#DIV/0!</v>
      </c>
      <c r="V458" s="1040" t="e">
        <f>IF($F58="","",$F58*chronic_consumption!Q458/1000/$C$3)</f>
        <v>#DIV/0!</v>
      </c>
      <c r="W458" s="1040" t="e">
        <f>IF($F58="","",$F58*chronic_consumption!R458/1000/$C$3)</f>
        <v>#DIV/0!</v>
      </c>
      <c r="X458" s="1040" t="e">
        <f>IF($F58="","",$F58*chronic_consumption!S458/1000/$C$3)</f>
        <v>#DIV/0!</v>
      </c>
      <c r="Y458" s="1040" t="e">
        <f>IF($F58="","",$F58*chronic_consumption!T458/1000/$C$3)</f>
        <v>#DIV/0!</v>
      </c>
      <c r="Z458" s="1040" t="e">
        <f>IF($F58="","",$F58*chronic_consumption!U458/1000/$C$3)</f>
        <v>#DIV/0!</v>
      </c>
      <c r="AA458" s="1040" t="e">
        <f>IF($F58="","",$F58*chronic_consumption!V458/1000/$C$3)</f>
        <v>#DIV/0!</v>
      </c>
      <c r="AB458" s="1040" t="e">
        <f>IF($F58="","",$F58*chronic_consumption!W458/1000/$C$3)</f>
        <v>#DIV/0!</v>
      </c>
      <c r="AC458" s="1040" t="e">
        <f>IF($F58="","",$F58*chronic_consumption!X458/1000/$C$3)</f>
        <v>#DIV/0!</v>
      </c>
      <c r="AD458" s="1040" t="e">
        <f>IF($F58="","",$F58*chronic_consumption!Y458/1000/$C$3)</f>
        <v>#DIV/0!</v>
      </c>
      <c r="AE458" s="1040" t="e">
        <f>IF($F58="","",$F58*chronic_consumption!Z458/1000/$C$3)</f>
        <v>#DIV/0!</v>
      </c>
      <c r="AF458" s="1040" t="e">
        <f>IF($F58="","",$F58*chronic_consumption!AA458/1000/$C$3)</f>
        <v>#DIV/0!</v>
      </c>
      <c r="AG458" s="1040" t="e">
        <f>IF($F58="","",$F58*chronic_consumption!AB458/1000/$C$3)</f>
        <v>#DIV/0!</v>
      </c>
      <c r="AH458" s="1040" t="e">
        <f>IF($F58="","",$F58*chronic_consumption!AC458/1000/$C$3)</f>
        <v>#DIV/0!</v>
      </c>
      <c r="AI458" s="1040" t="e">
        <f>IF($F58="","",$F58*chronic_consumption!AD458/1000/$C$3)</f>
        <v>#DIV/0!</v>
      </c>
      <c r="AJ458" s="1040" t="e">
        <f>IF($F58="","",$F58*chronic_consumption!AE458/1000/$C$3)</f>
        <v>#DIV/0!</v>
      </c>
      <c r="AK458" s="1040" t="e">
        <f>IF($F58="","",$F58*chronic_consumption!AF458/1000/$C$3)</f>
        <v>#DIV/0!</v>
      </c>
      <c r="AL458" s="1040" t="e">
        <f>IF($F58="","",$F58*chronic_consumption!AG458/1000/$C$3)</f>
        <v>#DIV/0!</v>
      </c>
      <c r="AM458" s="1040" t="e">
        <f>IF($F58="","",$F58*chronic_consumption!AH458/1000/$C$3)</f>
        <v>#DIV/0!</v>
      </c>
      <c r="AN458" s="1040" t="e">
        <f>IF($F58="","",$F58*chronic_consumption!AI458/1000/$C$3)</f>
        <v>#DIV/0!</v>
      </c>
      <c r="AO458" s="1040" t="e">
        <f>IF($F58="","",$F58*chronic_consumption!AJ458/1000/$C$3)</f>
        <v>#DIV/0!</v>
      </c>
      <c r="AP458" s="1040" t="e">
        <f>IF($F58="","",$F58*chronic_consumption!AK458/1000/$C$3)</f>
        <v>#DIV/0!</v>
      </c>
      <c r="AQ458" s="1040" t="e">
        <f>IF($F58="","",$F58*chronic_consumption!AL458/1000/$C$3)</f>
        <v>#DIV/0!</v>
      </c>
      <c r="AR458" s="1040" t="e">
        <f>IF($F58="","",$F58*chronic_consumption!AM458/1000/$C$3)</f>
        <v>#DIV/0!</v>
      </c>
      <c r="AS458" s="1040" t="e">
        <f>IF($F58="","",$F58*chronic_consumption!AN458/1000/$C$3)</f>
        <v>#DIV/0!</v>
      </c>
      <c r="AT458" s="1040" t="e">
        <f>IF($F58="","",$F58*chronic_consumption!AO458/1000/$C$3)</f>
        <v>#DIV/0!</v>
      </c>
      <c r="AU458" s="1040" t="e">
        <f>IF($F58="","",$F58*chronic_consumption!AP458/1000/$C$3)</f>
        <v>#DIV/0!</v>
      </c>
      <c r="AV458" s="1040" t="e">
        <f>IF($F58="","",$F58*chronic_consumption!AQ458/1000/$C$3)</f>
        <v>#DIV/0!</v>
      </c>
      <c r="AW458" s="1040" t="e">
        <f>IF($F58="","",$F58*chronic_consumption!AR458/1000/$C$3)</f>
        <v>#DIV/0!</v>
      </c>
      <c r="AX458" s="1040" t="e">
        <f>IF($F58="","",$F58*chronic_consumption!AS458/1000/$C$3)</f>
        <v>#DIV/0!</v>
      </c>
      <c r="AY458" s="1040" t="e">
        <f>IF($F58="","",$F58*chronic_consumption!AT458/1000/$C$3)</f>
        <v>#DIV/0!</v>
      </c>
      <c r="AZ458" s="44" t="s">
        <v>20</v>
      </c>
      <c r="BC458" s="29"/>
      <c r="BD458" s="29"/>
    </row>
    <row r="459" spans="1:56" ht="12" customHeight="1" outlineLevel="3" x14ac:dyDescent="0.2">
      <c r="A459" s="21">
        <f>acute_overview_children!A59</f>
        <v>4</v>
      </c>
      <c r="B459" s="325">
        <f t="shared" si="38"/>
        <v>154030</v>
      </c>
      <c r="C459" s="325" t="str">
        <f t="shared" si="38"/>
        <v>Currants (red, black and white)</v>
      </c>
      <c r="D459" s="135"/>
      <c r="E459" s="1027"/>
      <c r="F459" s="87"/>
      <c r="G459" s="1027"/>
      <c r="H459" s="1029"/>
      <c r="I459" s="1030"/>
      <c r="J459" s="1039" t="e">
        <f>IF($F59="","",$F59*chronic_consumption!E459/1000/$C$3)</f>
        <v>#DIV/0!</v>
      </c>
      <c r="K459" s="1040" t="e">
        <f>IF($F59="","",$F59*chronic_consumption!F459/1000/$C$3)</f>
        <v>#DIV/0!</v>
      </c>
      <c r="L459" s="1040" t="e">
        <f>IF($F59="","",$F59*chronic_consumption!G459/1000/$C$3)</f>
        <v>#DIV/0!</v>
      </c>
      <c r="M459" s="1040" t="e">
        <f>IF($F59="","",$F59*chronic_consumption!H459/1000/$C$3)</f>
        <v>#DIV/0!</v>
      </c>
      <c r="N459" s="1040" t="e">
        <f>IF($F59="","",$F59*chronic_consumption!I459/1000/$C$3)</f>
        <v>#DIV/0!</v>
      </c>
      <c r="O459" s="1040" t="e">
        <f>IF($F59="","",$F59*chronic_consumption!J459/1000/$C$3)</f>
        <v>#DIV/0!</v>
      </c>
      <c r="P459" s="1040" t="e">
        <f>IF($F59="","",$F59*chronic_consumption!K459/1000/$C$3)</f>
        <v>#DIV/0!</v>
      </c>
      <c r="Q459" s="1040" t="e">
        <f>IF($F59="","",$F59*chronic_consumption!L459/1000/$C$3)</f>
        <v>#DIV/0!</v>
      </c>
      <c r="R459" s="1040" t="e">
        <f>IF($F59="","",$F59*chronic_consumption!M459/1000/$C$3)</f>
        <v>#DIV/0!</v>
      </c>
      <c r="S459" s="1040" t="e">
        <f>IF($F59="","",$F59*chronic_consumption!N459/1000/$C$3)</f>
        <v>#DIV/0!</v>
      </c>
      <c r="T459" s="1040" t="e">
        <f>IF($F59="","",$F59*chronic_consumption!O459/1000/$C$3)</f>
        <v>#DIV/0!</v>
      </c>
      <c r="U459" s="1040" t="e">
        <f>IF($F59="","",$F59*chronic_consumption!P459/1000/$C$3)</f>
        <v>#DIV/0!</v>
      </c>
      <c r="V459" s="1040" t="e">
        <f>IF($F59="","",$F59*chronic_consumption!Q459/1000/$C$3)</f>
        <v>#DIV/0!</v>
      </c>
      <c r="W459" s="1040" t="e">
        <f>IF($F59="","",$F59*chronic_consumption!R459/1000/$C$3)</f>
        <v>#DIV/0!</v>
      </c>
      <c r="X459" s="1040" t="e">
        <f>IF($F59="","",$F59*chronic_consumption!S459/1000/$C$3)</f>
        <v>#DIV/0!</v>
      </c>
      <c r="Y459" s="1040" t="e">
        <f>IF($F59="","",$F59*chronic_consumption!T459/1000/$C$3)</f>
        <v>#DIV/0!</v>
      </c>
      <c r="Z459" s="1040" t="e">
        <f>IF($F59="","",$F59*chronic_consumption!U459/1000/$C$3)</f>
        <v>#DIV/0!</v>
      </c>
      <c r="AA459" s="1040" t="e">
        <f>IF($F59="","",$F59*chronic_consumption!V459/1000/$C$3)</f>
        <v>#DIV/0!</v>
      </c>
      <c r="AB459" s="1040" t="e">
        <f>IF($F59="","",$F59*chronic_consumption!W459/1000/$C$3)</f>
        <v>#DIV/0!</v>
      </c>
      <c r="AC459" s="1040" t="e">
        <f>IF($F59="","",$F59*chronic_consumption!X459/1000/$C$3)</f>
        <v>#DIV/0!</v>
      </c>
      <c r="AD459" s="1040" t="e">
        <f>IF($F59="","",$F59*chronic_consumption!Y459/1000/$C$3)</f>
        <v>#DIV/0!</v>
      </c>
      <c r="AE459" s="1040" t="e">
        <f>IF($F59="","",$F59*chronic_consumption!Z459/1000/$C$3)</f>
        <v>#DIV/0!</v>
      </c>
      <c r="AF459" s="1040" t="e">
        <f>IF($F59="","",$F59*chronic_consumption!AA459/1000/$C$3)</f>
        <v>#DIV/0!</v>
      </c>
      <c r="AG459" s="1040" t="e">
        <f>IF($F59="","",$F59*chronic_consumption!AB459/1000/$C$3)</f>
        <v>#DIV/0!</v>
      </c>
      <c r="AH459" s="1040" t="e">
        <f>IF($F59="","",$F59*chronic_consumption!AC459/1000/$C$3)</f>
        <v>#DIV/0!</v>
      </c>
      <c r="AI459" s="1040" t="e">
        <f>IF($F59="","",$F59*chronic_consumption!AD459/1000/$C$3)</f>
        <v>#DIV/0!</v>
      </c>
      <c r="AJ459" s="1040" t="e">
        <f>IF($F59="","",$F59*chronic_consumption!AE459/1000/$C$3)</f>
        <v>#DIV/0!</v>
      </c>
      <c r="AK459" s="1040" t="e">
        <f>IF($F59="","",$F59*chronic_consumption!AF459/1000/$C$3)</f>
        <v>#DIV/0!</v>
      </c>
      <c r="AL459" s="1040" t="e">
        <f>IF($F59="","",$F59*chronic_consumption!AG459/1000/$C$3)</f>
        <v>#DIV/0!</v>
      </c>
      <c r="AM459" s="1040" t="e">
        <f>IF($F59="","",$F59*chronic_consumption!AH459/1000/$C$3)</f>
        <v>#DIV/0!</v>
      </c>
      <c r="AN459" s="1040" t="e">
        <f>IF($F59="","",$F59*chronic_consumption!AI459/1000/$C$3)</f>
        <v>#DIV/0!</v>
      </c>
      <c r="AO459" s="1040" t="e">
        <f>IF($F59="","",$F59*chronic_consumption!AJ459/1000/$C$3)</f>
        <v>#DIV/0!</v>
      </c>
      <c r="AP459" s="1040" t="e">
        <f>IF($F59="","",$F59*chronic_consumption!AK459/1000/$C$3)</f>
        <v>#DIV/0!</v>
      </c>
      <c r="AQ459" s="1040" t="e">
        <f>IF($F59="","",$F59*chronic_consumption!AL459/1000/$C$3)</f>
        <v>#DIV/0!</v>
      </c>
      <c r="AR459" s="1040" t="e">
        <f>IF($F59="","",$F59*chronic_consumption!AM459/1000/$C$3)</f>
        <v>#DIV/0!</v>
      </c>
      <c r="AS459" s="1040" t="e">
        <f>IF($F59="","",$F59*chronic_consumption!AN459/1000/$C$3)</f>
        <v>#DIV/0!</v>
      </c>
      <c r="AT459" s="1040" t="e">
        <f>IF($F59="","",$F59*chronic_consumption!AO459/1000/$C$3)</f>
        <v>#DIV/0!</v>
      </c>
      <c r="AU459" s="1040" t="e">
        <f>IF($F59="","",$F59*chronic_consumption!AP459/1000/$C$3)</f>
        <v>#DIV/0!</v>
      </c>
      <c r="AV459" s="1040" t="e">
        <f>IF($F59="","",$F59*chronic_consumption!AQ459/1000/$C$3)</f>
        <v>#DIV/0!</v>
      </c>
      <c r="AW459" s="1040" t="e">
        <f>IF($F59="","",$F59*chronic_consumption!AR459/1000/$C$3)</f>
        <v>#DIV/0!</v>
      </c>
      <c r="AX459" s="1040" t="e">
        <f>IF($F59="","",$F59*chronic_consumption!AS459/1000/$C$3)</f>
        <v>#DIV/0!</v>
      </c>
      <c r="AY459" s="1040" t="e">
        <f>IF($F59="","",$F59*chronic_consumption!AT459/1000/$C$3)</f>
        <v>#DIV/0!</v>
      </c>
      <c r="AZ459" s="44" t="s">
        <v>20</v>
      </c>
      <c r="BC459" s="29"/>
      <c r="BD459" s="29"/>
    </row>
    <row r="460" spans="1:56" ht="12" customHeight="1" outlineLevel="3" x14ac:dyDescent="0.2">
      <c r="A460" s="21">
        <f>acute_overview_children!A60</f>
        <v>4</v>
      </c>
      <c r="B460" s="325">
        <f t="shared" si="38"/>
        <v>154040</v>
      </c>
      <c r="C460" s="325" t="str">
        <f t="shared" si="38"/>
        <v>Gooseberries (green, red and yellow)</v>
      </c>
      <c r="D460" s="135"/>
      <c r="E460" s="1027"/>
      <c r="F460" s="87"/>
      <c r="G460" s="1027"/>
      <c r="H460" s="1029"/>
      <c r="I460" s="1030"/>
      <c r="J460" s="1039" t="e">
        <f>IF($F60="","",$F60*chronic_consumption!E460/1000/$C$3)</f>
        <v>#DIV/0!</v>
      </c>
      <c r="K460" s="1040" t="e">
        <f>IF($F60="","",$F60*chronic_consumption!F460/1000/$C$3)</f>
        <v>#DIV/0!</v>
      </c>
      <c r="L460" s="1040" t="e">
        <f>IF($F60="","",$F60*chronic_consumption!G460/1000/$C$3)</f>
        <v>#DIV/0!</v>
      </c>
      <c r="M460" s="1040" t="e">
        <f>IF($F60="","",$F60*chronic_consumption!H460/1000/$C$3)</f>
        <v>#DIV/0!</v>
      </c>
      <c r="N460" s="1040" t="e">
        <f>IF($F60="","",$F60*chronic_consumption!I460/1000/$C$3)</f>
        <v>#DIV/0!</v>
      </c>
      <c r="O460" s="1040" t="e">
        <f>IF($F60="","",$F60*chronic_consumption!J460/1000/$C$3)</f>
        <v>#DIV/0!</v>
      </c>
      <c r="P460" s="1040" t="e">
        <f>IF($F60="","",$F60*chronic_consumption!K460/1000/$C$3)</f>
        <v>#DIV/0!</v>
      </c>
      <c r="Q460" s="1040" t="e">
        <f>IF($F60="","",$F60*chronic_consumption!L460/1000/$C$3)</f>
        <v>#DIV/0!</v>
      </c>
      <c r="R460" s="1040" t="e">
        <f>IF($F60="","",$F60*chronic_consumption!M460/1000/$C$3)</f>
        <v>#DIV/0!</v>
      </c>
      <c r="S460" s="1040" t="e">
        <f>IF($F60="","",$F60*chronic_consumption!N460/1000/$C$3)</f>
        <v>#DIV/0!</v>
      </c>
      <c r="T460" s="1040" t="e">
        <f>IF($F60="","",$F60*chronic_consumption!O460/1000/$C$3)</f>
        <v>#DIV/0!</v>
      </c>
      <c r="U460" s="1040" t="e">
        <f>IF($F60="","",$F60*chronic_consumption!P460/1000/$C$3)</f>
        <v>#DIV/0!</v>
      </c>
      <c r="V460" s="1040" t="e">
        <f>IF($F60="","",$F60*chronic_consumption!Q460/1000/$C$3)</f>
        <v>#DIV/0!</v>
      </c>
      <c r="W460" s="1040" t="e">
        <f>IF($F60="","",$F60*chronic_consumption!R460/1000/$C$3)</f>
        <v>#DIV/0!</v>
      </c>
      <c r="X460" s="1040" t="e">
        <f>IF($F60="","",$F60*chronic_consumption!S460/1000/$C$3)</f>
        <v>#DIV/0!</v>
      </c>
      <c r="Y460" s="1040" t="e">
        <f>IF($F60="","",$F60*chronic_consumption!T460/1000/$C$3)</f>
        <v>#DIV/0!</v>
      </c>
      <c r="Z460" s="1040" t="e">
        <f>IF($F60="","",$F60*chronic_consumption!U460/1000/$C$3)</f>
        <v>#DIV/0!</v>
      </c>
      <c r="AA460" s="1040" t="e">
        <f>IF($F60="","",$F60*chronic_consumption!V460/1000/$C$3)</f>
        <v>#DIV/0!</v>
      </c>
      <c r="AB460" s="1040" t="e">
        <f>IF($F60="","",$F60*chronic_consumption!W460/1000/$C$3)</f>
        <v>#DIV/0!</v>
      </c>
      <c r="AC460" s="1040" t="e">
        <f>IF($F60="","",$F60*chronic_consumption!X460/1000/$C$3)</f>
        <v>#DIV/0!</v>
      </c>
      <c r="AD460" s="1040" t="e">
        <f>IF($F60="","",$F60*chronic_consumption!Y460/1000/$C$3)</f>
        <v>#DIV/0!</v>
      </c>
      <c r="AE460" s="1040" t="e">
        <f>IF($F60="","",$F60*chronic_consumption!Z460/1000/$C$3)</f>
        <v>#DIV/0!</v>
      </c>
      <c r="AF460" s="1040" t="e">
        <f>IF($F60="","",$F60*chronic_consumption!AA460/1000/$C$3)</f>
        <v>#DIV/0!</v>
      </c>
      <c r="AG460" s="1040" t="e">
        <f>IF($F60="","",$F60*chronic_consumption!AB460/1000/$C$3)</f>
        <v>#DIV/0!</v>
      </c>
      <c r="AH460" s="1040" t="e">
        <f>IF($F60="","",$F60*chronic_consumption!AC460/1000/$C$3)</f>
        <v>#DIV/0!</v>
      </c>
      <c r="AI460" s="1040" t="e">
        <f>IF($F60="","",$F60*chronic_consumption!AD460/1000/$C$3)</f>
        <v>#DIV/0!</v>
      </c>
      <c r="AJ460" s="1040" t="e">
        <f>IF($F60="","",$F60*chronic_consumption!AE460/1000/$C$3)</f>
        <v>#DIV/0!</v>
      </c>
      <c r="AK460" s="1040" t="e">
        <f>IF($F60="","",$F60*chronic_consumption!AF460/1000/$C$3)</f>
        <v>#DIV/0!</v>
      </c>
      <c r="AL460" s="1040" t="e">
        <f>IF($F60="","",$F60*chronic_consumption!AG460/1000/$C$3)</f>
        <v>#DIV/0!</v>
      </c>
      <c r="AM460" s="1040" t="e">
        <f>IF($F60="","",$F60*chronic_consumption!AH460/1000/$C$3)</f>
        <v>#DIV/0!</v>
      </c>
      <c r="AN460" s="1040" t="e">
        <f>IF($F60="","",$F60*chronic_consumption!AI460/1000/$C$3)</f>
        <v>#DIV/0!</v>
      </c>
      <c r="AO460" s="1040" t="e">
        <f>IF($F60="","",$F60*chronic_consumption!AJ460/1000/$C$3)</f>
        <v>#DIV/0!</v>
      </c>
      <c r="AP460" s="1040" t="e">
        <f>IF($F60="","",$F60*chronic_consumption!AK460/1000/$C$3)</f>
        <v>#DIV/0!</v>
      </c>
      <c r="AQ460" s="1040" t="e">
        <f>IF($F60="","",$F60*chronic_consumption!AL460/1000/$C$3)</f>
        <v>#DIV/0!</v>
      </c>
      <c r="AR460" s="1040" t="e">
        <f>IF($F60="","",$F60*chronic_consumption!AM460/1000/$C$3)</f>
        <v>#DIV/0!</v>
      </c>
      <c r="AS460" s="1040" t="e">
        <f>IF($F60="","",$F60*chronic_consumption!AN460/1000/$C$3)</f>
        <v>#DIV/0!</v>
      </c>
      <c r="AT460" s="1040" t="e">
        <f>IF($F60="","",$F60*chronic_consumption!AO460/1000/$C$3)</f>
        <v>#DIV/0!</v>
      </c>
      <c r="AU460" s="1040" t="e">
        <f>IF($F60="","",$F60*chronic_consumption!AP460/1000/$C$3)</f>
        <v>#DIV/0!</v>
      </c>
      <c r="AV460" s="1040" t="e">
        <f>IF($F60="","",$F60*chronic_consumption!AQ460/1000/$C$3)</f>
        <v>#DIV/0!</v>
      </c>
      <c r="AW460" s="1040" t="e">
        <f>IF($F60="","",$F60*chronic_consumption!AR460/1000/$C$3)</f>
        <v>#DIV/0!</v>
      </c>
      <c r="AX460" s="1040" t="e">
        <f>IF($F60="","",$F60*chronic_consumption!AS460/1000/$C$3)</f>
        <v>#DIV/0!</v>
      </c>
      <c r="AY460" s="1040" t="e">
        <f>IF($F60="","",$F60*chronic_consumption!AT460/1000/$C$3)</f>
        <v>#DIV/0!</v>
      </c>
      <c r="AZ460" s="44" t="s">
        <v>20</v>
      </c>
      <c r="BC460" s="29"/>
      <c r="BD460" s="29"/>
    </row>
    <row r="461" spans="1:56" ht="12" customHeight="1" outlineLevel="3" x14ac:dyDescent="0.2">
      <c r="A461" s="21">
        <f>acute_overview_children!A61</f>
        <v>4</v>
      </c>
      <c r="B461" s="325">
        <f t="shared" si="38"/>
        <v>154050</v>
      </c>
      <c r="C461" s="325" t="str">
        <f t="shared" si="38"/>
        <v>Rose hips</v>
      </c>
      <c r="D461" s="135"/>
      <c r="E461" s="1027"/>
      <c r="F461" s="87"/>
      <c r="G461" s="1027"/>
      <c r="H461" s="1029"/>
      <c r="I461" s="1030"/>
      <c r="J461" s="1039" t="e">
        <f>IF($F61="","",$F61*chronic_consumption!E461/1000/$C$3)</f>
        <v>#DIV/0!</v>
      </c>
      <c r="K461" s="1040" t="e">
        <f>IF($F61="","",$F61*chronic_consumption!F461/1000/$C$3)</f>
        <v>#DIV/0!</v>
      </c>
      <c r="L461" s="1040" t="e">
        <f>IF($F61="","",$F61*chronic_consumption!G461/1000/$C$3)</f>
        <v>#DIV/0!</v>
      </c>
      <c r="M461" s="1040" t="e">
        <f>IF($F61="","",$F61*chronic_consumption!H461/1000/$C$3)</f>
        <v>#DIV/0!</v>
      </c>
      <c r="N461" s="1040" t="e">
        <f>IF($F61="","",$F61*chronic_consumption!I461/1000/$C$3)</f>
        <v>#DIV/0!</v>
      </c>
      <c r="O461" s="1040" t="e">
        <f>IF($F61="","",$F61*chronic_consumption!J461/1000/$C$3)</f>
        <v>#DIV/0!</v>
      </c>
      <c r="P461" s="1040" t="e">
        <f>IF($F61="","",$F61*chronic_consumption!K461/1000/$C$3)</f>
        <v>#DIV/0!</v>
      </c>
      <c r="Q461" s="1040" t="e">
        <f>IF($F61="","",$F61*chronic_consumption!L461/1000/$C$3)</f>
        <v>#DIV/0!</v>
      </c>
      <c r="R461" s="1040" t="e">
        <f>IF($F61="","",$F61*chronic_consumption!M461/1000/$C$3)</f>
        <v>#DIV/0!</v>
      </c>
      <c r="S461" s="1040" t="e">
        <f>IF($F61="","",$F61*chronic_consumption!N461/1000/$C$3)</f>
        <v>#DIV/0!</v>
      </c>
      <c r="T461" s="1040" t="e">
        <f>IF($F61="","",$F61*chronic_consumption!O461/1000/$C$3)</f>
        <v>#DIV/0!</v>
      </c>
      <c r="U461" s="1040" t="e">
        <f>IF($F61="","",$F61*chronic_consumption!P461/1000/$C$3)</f>
        <v>#DIV/0!</v>
      </c>
      <c r="V461" s="1040" t="e">
        <f>IF($F61="","",$F61*chronic_consumption!Q461/1000/$C$3)</f>
        <v>#DIV/0!</v>
      </c>
      <c r="W461" s="1040" t="e">
        <f>IF($F61="","",$F61*chronic_consumption!R461/1000/$C$3)</f>
        <v>#DIV/0!</v>
      </c>
      <c r="X461" s="1040" t="e">
        <f>IF($F61="","",$F61*chronic_consumption!S461/1000/$C$3)</f>
        <v>#DIV/0!</v>
      </c>
      <c r="Y461" s="1040" t="e">
        <f>IF($F61="","",$F61*chronic_consumption!T461/1000/$C$3)</f>
        <v>#DIV/0!</v>
      </c>
      <c r="Z461" s="1040" t="e">
        <f>IF($F61="","",$F61*chronic_consumption!U461/1000/$C$3)</f>
        <v>#DIV/0!</v>
      </c>
      <c r="AA461" s="1040" t="e">
        <f>IF($F61="","",$F61*chronic_consumption!V461/1000/$C$3)</f>
        <v>#DIV/0!</v>
      </c>
      <c r="AB461" s="1040" t="e">
        <f>IF($F61="","",$F61*chronic_consumption!W461/1000/$C$3)</f>
        <v>#DIV/0!</v>
      </c>
      <c r="AC461" s="1040" t="e">
        <f>IF($F61="","",$F61*chronic_consumption!X461/1000/$C$3)</f>
        <v>#DIV/0!</v>
      </c>
      <c r="AD461" s="1040" t="e">
        <f>IF($F61="","",$F61*chronic_consumption!Y461/1000/$C$3)</f>
        <v>#DIV/0!</v>
      </c>
      <c r="AE461" s="1040" t="e">
        <f>IF($F61="","",$F61*chronic_consumption!Z461/1000/$C$3)</f>
        <v>#DIV/0!</v>
      </c>
      <c r="AF461" s="1040" t="e">
        <f>IF($F61="","",$F61*chronic_consumption!AA461/1000/$C$3)</f>
        <v>#DIV/0!</v>
      </c>
      <c r="AG461" s="1040" t="e">
        <f>IF($F61="","",$F61*chronic_consumption!AB461/1000/$C$3)</f>
        <v>#DIV/0!</v>
      </c>
      <c r="AH461" s="1040" t="e">
        <f>IF($F61="","",$F61*chronic_consumption!AC461/1000/$C$3)</f>
        <v>#DIV/0!</v>
      </c>
      <c r="AI461" s="1040" t="e">
        <f>IF($F61="","",$F61*chronic_consumption!AD461/1000/$C$3)</f>
        <v>#DIV/0!</v>
      </c>
      <c r="AJ461" s="1040" t="e">
        <f>IF($F61="","",$F61*chronic_consumption!AE461/1000/$C$3)</f>
        <v>#DIV/0!</v>
      </c>
      <c r="AK461" s="1040" t="e">
        <f>IF($F61="","",$F61*chronic_consumption!AF461/1000/$C$3)</f>
        <v>#DIV/0!</v>
      </c>
      <c r="AL461" s="1040" t="e">
        <f>IF($F61="","",$F61*chronic_consumption!AG461/1000/$C$3)</f>
        <v>#DIV/0!</v>
      </c>
      <c r="AM461" s="1040" t="e">
        <f>IF($F61="","",$F61*chronic_consumption!AH461/1000/$C$3)</f>
        <v>#DIV/0!</v>
      </c>
      <c r="AN461" s="1040" t="e">
        <f>IF($F61="","",$F61*chronic_consumption!AI461/1000/$C$3)</f>
        <v>#DIV/0!</v>
      </c>
      <c r="AO461" s="1040" t="e">
        <f>IF($F61="","",$F61*chronic_consumption!AJ461/1000/$C$3)</f>
        <v>#DIV/0!</v>
      </c>
      <c r="AP461" s="1040" t="e">
        <f>IF($F61="","",$F61*chronic_consumption!AK461/1000/$C$3)</f>
        <v>#DIV/0!</v>
      </c>
      <c r="AQ461" s="1040" t="e">
        <f>IF($F61="","",$F61*chronic_consumption!AL461/1000/$C$3)</f>
        <v>#DIV/0!</v>
      </c>
      <c r="AR461" s="1040" t="e">
        <f>IF($F61="","",$F61*chronic_consumption!AM461/1000/$C$3)</f>
        <v>#DIV/0!</v>
      </c>
      <c r="AS461" s="1040" t="e">
        <f>IF($F61="","",$F61*chronic_consumption!AN461/1000/$C$3)</f>
        <v>#DIV/0!</v>
      </c>
      <c r="AT461" s="1040" t="e">
        <f>IF($F61="","",$F61*chronic_consumption!AO461/1000/$C$3)</f>
        <v>#DIV/0!</v>
      </c>
      <c r="AU461" s="1040" t="e">
        <f>IF($F61="","",$F61*chronic_consumption!AP461/1000/$C$3)</f>
        <v>#DIV/0!</v>
      </c>
      <c r="AV461" s="1040" t="e">
        <f>IF($F61="","",$F61*chronic_consumption!AQ461/1000/$C$3)</f>
        <v>#DIV/0!</v>
      </c>
      <c r="AW461" s="1040" t="e">
        <f>IF($F61="","",$F61*chronic_consumption!AR461/1000/$C$3)</f>
        <v>#DIV/0!</v>
      </c>
      <c r="AX461" s="1040" t="e">
        <f>IF($F61="","",$F61*chronic_consumption!AS461/1000/$C$3)</f>
        <v>#DIV/0!</v>
      </c>
      <c r="AY461" s="1040" t="e">
        <f>IF($F61="","",$F61*chronic_consumption!AT461/1000/$C$3)</f>
        <v>#DIV/0!</v>
      </c>
      <c r="AZ461" s="44" t="s">
        <v>20</v>
      </c>
      <c r="BC461" s="29"/>
      <c r="BD461" s="29"/>
    </row>
    <row r="462" spans="1:56" ht="12" customHeight="1" outlineLevel="3" x14ac:dyDescent="0.2">
      <c r="A462" s="21">
        <f>acute_overview_children!A62</f>
        <v>4</v>
      </c>
      <c r="B462" s="325">
        <f t="shared" si="38"/>
        <v>154060</v>
      </c>
      <c r="C462" s="325" t="str">
        <f t="shared" si="38"/>
        <v>Mulberries (black and white)</v>
      </c>
      <c r="D462" s="135"/>
      <c r="E462" s="1027"/>
      <c r="F462" s="87"/>
      <c r="G462" s="1027"/>
      <c r="H462" s="1029"/>
      <c r="I462" s="1030"/>
      <c r="J462" s="1039" t="e">
        <f>IF($F62="","",$F62*chronic_consumption!E462/1000/$C$3)</f>
        <v>#DIV/0!</v>
      </c>
      <c r="K462" s="1040" t="e">
        <f>IF($F62="","",$F62*chronic_consumption!F462/1000/$C$3)</f>
        <v>#DIV/0!</v>
      </c>
      <c r="L462" s="1040" t="e">
        <f>IF($F62="","",$F62*chronic_consumption!G462/1000/$C$3)</f>
        <v>#DIV/0!</v>
      </c>
      <c r="M462" s="1040" t="e">
        <f>IF($F62="","",$F62*chronic_consumption!H462/1000/$C$3)</f>
        <v>#DIV/0!</v>
      </c>
      <c r="N462" s="1040" t="e">
        <f>IF($F62="","",$F62*chronic_consumption!I462/1000/$C$3)</f>
        <v>#DIV/0!</v>
      </c>
      <c r="O462" s="1040" t="e">
        <f>IF($F62="","",$F62*chronic_consumption!J462/1000/$C$3)</f>
        <v>#DIV/0!</v>
      </c>
      <c r="P462" s="1040" t="e">
        <f>IF($F62="","",$F62*chronic_consumption!K462/1000/$C$3)</f>
        <v>#DIV/0!</v>
      </c>
      <c r="Q462" s="1040" t="e">
        <f>IF($F62="","",$F62*chronic_consumption!L462/1000/$C$3)</f>
        <v>#DIV/0!</v>
      </c>
      <c r="R462" s="1040" t="e">
        <f>IF($F62="","",$F62*chronic_consumption!M462/1000/$C$3)</f>
        <v>#DIV/0!</v>
      </c>
      <c r="S462" s="1040" t="e">
        <f>IF($F62="","",$F62*chronic_consumption!N462/1000/$C$3)</f>
        <v>#DIV/0!</v>
      </c>
      <c r="T462" s="1040" t="e">
        <f>IF($F62="","",$F62*chronic_consumption!O462/1000/$C$3)</f>
        <v>#DIV/0!</v>
      </c>
      <c r="U462" s="1040" t="e">
        <f>IF($F62="","",$F62*chronic_consumption!P462/1000/$C$3)</f>
        <v>#DIV/0!</v>
      </c>
      <c r="V462" s="1040" t="e">
        <f>IF($F62="","",$F62*chronic_consumption!Q462/1000/$C$3)</f>
        <v>#DIV/0!</v>
      </c>
      <c r="W462" s="1040" t="e">
        <f>IF($F62="","",$F62*chronic_consumption!R462/1000/$C$3)</f>
        <v>#DIV/0!</v>
      </c>
      <c r="X462" s="1040" t="e">
        <f>IF($F62="","",$F62*chronic_consumption!S462/1000/$C$3)</f>
        <v>#DIV/0!</v>
      </c>
      <c r="Y462" s="1040" t="e">
        <f>IF($F62="","",$F62*chronic_consumption!T462/1000/$C$3)</f>
        <v>#DIV/0!</v>
      </c>
      <c r="Z462" s="1040" t="e">
        <f>IF($F62="","",$F62*chronic_consumption!U462/1000/$C$3)</f>
        <v>#DIV/0!</v>
      </c>
      <c r="AA462" s="1040" t="e">
        <f>IF($F62="","",$F62*chronic_consumption!V462/1000/$C$3)</f>
        <v>#DIV/0!</v>
      </c>
      <c r="AB462" s="1040" t="e">
        <f>IF($F62="","",$F62*chronic_consumption!W462/1000/$C$3)</f>
        <v>#DIV/0!</v>
      </c>
      <c r="AC462" s="1040" t="e">
        <f>IF($F62="","",$F62*chronic_consumption!X462/1000/$C$3)</f>
        <v>#DIV/0!</v>
      </c>
      <c r="AD462" s="1040" t="e">
        <f>IF($F62="","",$F62*chronic_consumption!Y462/1000/$C$3)</f>
        <v>#DIV/0!</v>
      </c>
      <c r="AE462" s="1040" t="e">
        <f>IF($F62="","",$F62*chronic_consumption!Z462/1000/$C$3)</f>
        <v>#DIV/0!</v>
      </c>
      <c r="AF462" s="1040" t="e">
        <f>IF($F62="","",$F62*chronic_consumption!AA462/1000/$C$3)</f>
        <v>#DIV/0!</v>
      </c>
      <c r="AG462" s="1040" t="e">
        <f>IF($F62="","",$F62*chronic_consumption!AB462/1000/$C$3)</f>
        <v>#DIV/0!</v>
      </c>
      <c r="AH462" s="1040" t="e">
        <f>IF($F62="","",$F62*chronic_consumption!AC462/1000/$C$3)</f>
        <v>#DIV/0!</v>
      </c>
      <c r="AI462" s="1040" t="e">
        <f>IF($F62="","",$F62*chronic_consumption!AD462/1000/$C$3)</f>
        <v>#DIV/0!</v>
      </c>
      <c r="AJ462" s="1040" t="e">
        <f>IF($F62="","",$F62*chronic_consumption!AE462/1000/$C$3)</f>
        <v>#DIV/0!</v>
      </c>
      <c r="AK462" s="1040" t="e">
        <f>IF($F62="","",$F62*chronic_consumption!AF462/1000/$C$3)</f>
        <v>#DIV/0!</v>
      </c>
      <c r="AL462" s="1040" t="e">
        <f>IF($F62="","",$F62*chronic_consumption!AG462/1000/$C$3)</f>
        <v>#DIV/0!</v>
      </c>
      <c r="AM462" s="1040" t="e">
        <f>IF($F62="","",$F62*chronic_consumption!AH462/1000/$C$3)</f>
        <v>#DIV/0!</v>
      </c>
      <c r="AN462" s="1040" t="e">
        <f>IF($F62="","",$F62*chronic_consumption!AI462/1000/$C$3)</f>
        <v>#DIV/0!</v>
      </c>
      <c r="AO462" s="1040" t="e">
        <f>IF($F62="","",$F62*chronic_consumption!AJ462/1000/$C$3)</f>
        <v>#DIV/0!</v>
      </c>
      <c r="AP462" s="1040" t="e">
        <f>IF($F62="","",$F62*chronic_consumption!AK462/1000/$C$3)</f>
        <v>#DIV/0!</v>
      </c>
      <c r="AQ462" s="1040" t="e">
        <f>IF($F62="","",$F62*chronic_consumption!AL462/1000/$C$3)</f>
        <v>#DIV/0!</v>
      </c>
      <c r="AR462" s="1040" t="e">
        <f>IF($F62="","",$F62*chronic_consumption!AM462/1000/$C$3)</f>
        <v>#DIV/0!</v>
      </c>
      <c r="AS462" s="1040" t="e">
        <f>IF($F62="","",$F62*chronic_consumption!AN462/1000/$C$3)</f>
        <v>#DIV/0!</v>
      </c>
      <c r="AT462" s="1040" t="e">
        <f>IF($F62="","",$F62*chronic_consumption!AO462/1000/$C$3)</f>
        <v>#DIV/0!</v>
      </c>
      <c r="AU462" s="1040" t="e">
        <f>IF($F62="","",$F62*chronic_consumption!AP462/1000/$C$3)</f>
        <v>#DIV/0!</v>
      </c>
      <c r="AV462" s="1040" t="e">
        <f>IF($F62="","",$F62*chronic_consumption!AQ462/1000/$C$3)</f>
        <v>#DIV/0!</v>
      </c>
      <c r="AW462" s="1040" t="e">
        <f>IF($F62="","",$F62*chronic_consumption!AR462/1000/$C$3)</f>
        <v>#DIV/0!</v>
      </c>
      <c r="AX462" s="1040" t="e">
        <f>IF($F62="","",$F62*chronic_consumption!AS462/1000/$C$3)</f>
        <v>#DIV/0!</v>
      </c>
      <c r="AY462" s="1040" t="e">
        <f>IF($F62="","",$F62*chronic_consumption!AT462/1000/$C$3)</f>
        <v>#DIV/0!</v>
      </c>
      <c r="AZ462" s="44" t="s">
        <v>20</v>
      </c>
      <c r="BC462" s="29"/>
      <c r="BD462" s="29"/>
    </row>
    <row r="463" spans="1:56" ht="12" customHeight="1" outlineLevel="3" x14ac:dyDescent="0.2">
      <c r="A463" s="21">
        <f>acute_overview_children!A63</f>
        <v>4</v>
      </c>
      <c r="B463" s="325">
        <f t="shared" si="38"/>
        <v>154070</v>
      </c>
      <c r="C463" s="325" t="str">
        <f t="shared" si="38"/>
        <v>Azarole/Mediteranean medlar</v>
      </c>
      <c r="D463" s="135"/>
      <c r="E463" s="1027"/>
      <c r="F463" s="87"/>
      <c r="G463" s="1027"/>
      <c r="H463" s="1029"/>
      <c r="I463" s="1030"/>
      <c r="J463" s="1039" t="e">
        <f>IF($F63="","",$F63*chronic_consumption!E463/1000/$C$3)</f>
        <v>#DIV/0!</v>
      </c>
      <c r="K463" s="1040" t="e">
        <f>IF($F63="","",$F63*chronic_consumption!F463/1000/$C$3)</f>
        <v>#DIV/0!</v>
      </c>
      <c r="L463" s="1040" t="e">
        <f>IF($F63="","",$F63*chronic_consumption!G463/1000/$C$3)</f>
        <v>#DIV/0!</v>
      </c>
      <c r="M463" s="1040" t="e">
        <f>IF($F63="","",$F63*chronic_consumption!H463/1000/$C$3)</f>
        <v>#DIV/0!</v>
      </c>
      <c r="N463" s="1040" t="e">
        <f>IF($F63="","",$F63*chronic_consumption!I463/1000/$C$3)</f>
        <v>#DIV/0!</v>
      </c>
      <c r="O463" s="1040" t="e">
        <f>IF($F63="","",$F63*chronic_consumption!J463/1000/$C$3)</f>
        <v>#DIV/0!</v>
      </c>
      <c r="P463" s="1040" t="e">
        <f>IF($F63="","",$F63*chronic_consumption!K463/1000/$C$3)</f>
        <v>#DIV/0!</v>
      </c>
      <c r="Q463" s="1040" t="e">
        <f>IF($F63="","",$F63*chronic_consumption!L463/1000/$C$3)</f>
        <v>#DIV/0!</v>
      </c>
      <c r="R463" s="1040" t="e">
        <f>IF($F63="","",$F63*chronic_consumption!M463/1000/$C$3)</f>
        <v>#DIV/0!</v>
      </c>
      <c r="S463" s="1040" t="e">
        <f>IF($F63="","",$F63*chronic_consumption!N463/1000/$C$3)</f>
        <v>#DIV/0!</v>
      </c>
      <c r="T463" s="1040" t="e">
        <f>IF($F63="","",$F63*chronic_consumption!O463/1000/$C$3)</f>
        <v>#DIV/0!</v>
      </c>
      <c r="U463" s="1040" t="e">
        <f>IF($F63="","",$F63*chronic_consumption!P463/1000/$C$3)</f>
        <v>#DIV/0!</v>
      </c>
      <c r="V463" s="1040" t="e">
        <f>IF($F63="","",$F63*chronic_consumption!Q463/1000/$C$3)</f>
        <v>#DIV/0!</v>
      </c>
      <c r="W463" s="1040" t="e">
        <f>IF($F63="","",$F63*chronic_consumption!R463/1000/$C$3)</f>
        <v>#DIV/0!</v>
      </c>
      <c r="X463" s="1040" t="e">
        <f>IF($F63="","",$F63*chronic_consumption!S463/1000/$C$3)</f>
        <v>#DIV/0!</v>
      </c>
      <c r="Y463" s="1040" t="e">
        <f>IF($F63="","",$F63*chronic_consumption!T463/1000/$C$3)</f>
        <v>#DIV/0!</v>
      </c>
      <c r="Z463" s="1040" t="e">
        <f>IF($F63="","",$F63*chronic_consumption!U463/1000/$C$3)</f>
        <v>#DIV/0!</v>
      </c>
      <c r="AA463" s="1040" t="e">
        <f>IF($F63="","",$F63*chronic_consumption!V463/1000/$C$3)</f>
        <v>#DIV/0!</v>
      </c>
      <c r="AB463" s="1040" t="e">
        <f>IF($F63="","",$F63*chronic_consumption!W463/1000/$C$3)</f>
        <v>#DIV/0!</v>
      </c>
      <c r="AC463" s="1040" t="e">
        <f>IF($F63="","",$F63*chronic_consumption!X463/1000/$C$3)</f>
        <v>#DIV/0!</v>
      </c>
      <c r="AD463" s="1040" t="e">
        <f>IF($F63="","",$F63*chronic_consumption!Y463/1000/$C$3)</f>
        <v>#DIV/0!</v>
      </c>
      <c r="AE463" s="1040" t="e">
        <f>IF($F63="","",$F63*chronic_consumption!Z463/1000/$C$3)</f>
        <v>#DIV/0!</v>
      </c>
      <c r="AF463" s="1040" t="e">
        <f>IF($F63="","",$F63*chronic_consumption!AA463/1000/$C$3)</f>
        <v>#DIV/0!</v>
      </c>
      <c r="AG463" s="1040" t="e">
        <f>IF($F63="","",$F63*chronic_consumption!AB463/1000/$C$3)</f>
        <v>#DIV/0!</v>
      </c>
      <c r="AH463" s="1040" t="e">
        <f>IF($F63="","",$F63*chronic_consumption!AC463/1000/$C$3)</f>
        <v>#DIV/0!</v>
      </c>
      <c r="AI463" s="1040" t="e">
        <f>IF($F63="","",$F63*chronic_consumption!AD463/1000/$C$3)</f>
        <v>#DIV/0!</v>
      </c>
      <c r="AJ463" s="1040" t="e">
        <f>IF($F63="","",$F63*chronic_consumption!AE463/1000/$C$3)</f>
        <v>#DIV/0!</v>
      </c>
      <c r="AK463" s="1040" t="e">
        <f>IF($F63="","",$F63*chronic_consumption!AF463/1000/$C$3)</f>
        <v>#DIV/0!</v>
      </c>
      <c r="AL463" s="1040" t="e">
        <f>IF($F63="","",$F63*chronic_consumption!AG463/1000/$C$3)</f>
        <v>#DIV/0!</v>
      </c>
      <c r="AM463" s="1040" t="e">
        <f>IF($F63="","",$F63*chronic_consumption!AH463/1000/$C$3)</f>
        <v>#DIV/0!</v>
      </c>
      <c r="AN463" s="1040" t="e">
        <f>IF($F63="","",$F63*chronic_consumption!AI463/1000/$C$3)</f>
        <v>#DIV/0!</v>
      </c>
      <c r="AO463" s="1040" t="e">
        <f>IF($F63="","",$F63*chronic_consumption!AJ463/1000/$C$3)</f>
        <v>#DIV/0!</v>
      </c>
      <c r="AP463" s="1040" t="e">
        <f>IF($F63="","",$F63*chronic_consumption!AK463/1000/$C$3)</f>
        <v>#DIV/0!</v>
      </c>
      <c r="AQ463" s="1040" t="e">
        <f>IF($F63="","",$F63*chronic_consumption!AL463/1000/$C$3)</f>
        <v>#DIV/0!</v>
      </c>
      <c r="AR463" s="1040" t="e">
        <f>IF($F63="","",$F63*chronic_consumption!AM463/1000/$C$3)</f>
        <v>#DIV/0!</v>
      </c>
      <c r="AS463" s="1040" t="e">
        <f>IF($F63="","",$F63*chronic_consumption!AN463/1000/$C$3)</f>
        <v>#DIV/0!</v>
      </c>
      <c r="AT463" s="1040" t="e">
        <f>IF($F63="","",$F63*chronic_consumption!AO463/1000/$C$3)</f>
        <v>#DIV/0!</v>
      </c>
      <c r="AU463" s="1040" t="e">
        <f>IF($F63="","",$F63*chronic_consumption!AP463/1000/$C$3)</f>
        <v>#DIV/0!</v>
      </c>
      <c r="AV463" s="1040" t="e">
        <f>IF($F63="","",$F63*chronic_consumption!AQ463/1000/$C$3)</f>
        <v>#DIV/0!</v>
      </c>
      <c r="AW463" s="1040" t="e">
        <f>IF($F63="","",$F63*chronic_consumption!AR463/1000/$C$3)</f>
        <v>#DIV/0!</v>
      </c>
      <c r="AX463" s="1040" t="e">
        <f>IF($F63="","",$F63*chronic_consumption!AS463/1000/$C$3)</f>
        <v>#DIV/0!</v>
      </c>
      <c r="AY463" s="1040" t="e">
        <f>IF($F63="","",$F63*chronic_consumption!AT463/1000/$C$3)</f>
        <v>#DIV/0!</v>
      </c>
      <c r="AZ463" s="44" t="s">
        <v>20</v>
      </c>
      <c r="BC463" s="29"/>
      <c r="BD463" s="29"/>
    </row>
    <row r="464" spans="1:56" ht="12" customHeight="1" outlineLevel="3" x14ac:dyDescent="0.2">
      <c r="A464" s="21">
        <f>acute_overview_children!A64</f>
        <v>4</v>
      </c>
      <c r="B464" s="325">
        <f t="shared" si="38"/>
        <v>154080</v>
      </c>
      <c r="C464" s="325" t="str">
        <f t="shared" si="38"/>
        <v>Elderberries</v>
      </c>
      <c r="D464" s="135"/>
      <c r="E464" s="1027"/>
      <c r="F464" s="87"/>
      <c r="G464" s="1027"/>
      <c r="H464" s="1029"/>
      <c r="I464" s="1030"/>
      <c r="J464" s="1039" t="e">
        <f>IF($F64="","",$F64*chronic_consumption!E464/1000/$C$3)</f>
        <v>#DIV/0!</v>
      </c>
      <c r="K464" s="1040" t="e">
        <f>IF($F64="","",$F64*chronic_consumption!F464/1000/$C$3)</f>
        <v>#DIV/0!</v>
      </c>
      <c r="L464" s="1040" t="e">
        <f>IF($F64="","",$F64*chronic_consumption!G464/1000/$C$3)</f>
        <v>#DIV/0!</v>
      </c>
      <c r="M464" s="1040" t="e">
        <f>IF($F64="","",$F64*chronic_consumption!H464/1000/$C$3)</f>
        <v>#DIV/0!</v>
      </c>
      <c r="N464" s="1040" t="e">
        <f>IF($F64="","",$F64*chronic_consumption!I464/1000/$C$3)</f>
        <v>#DIV/0!</v>
      </c>
      <c r="O464" s="1040" t="e">
        <f>IF($F64="","",$F64*chronic_consumption!J464/1000/$C$3)</f>
        <v>#DIV/0!</v>
      </c>
      <c r="P464" s="1040" t="e">
        <f>IF($F64="","",$F64*chronic_consumption!K464/1000/$C$3)</f>
        <v>#DIV/0!</v>
      </c>
      <c r="Q464" s="1040" t="e">
        <f>IF($F64="","",$F64*chronic_consumption!L464/1000/$C$3)</f>
        <v>#DIV/0!</v>
      </c>
      <c r="R464" s="1040" t="e">
        <f>IF($F64="","",$F64*chronic_consumption!M464/1000/$C$3)</f>
        <v>#DIV/0!</v>
      </c>
      <c r="S464" s="1040" t="e">
        <f>IF($F64="","",$F64*chronic_consumption!N464/1000/$C$3)</f>
        <v>#DIV/0!</v>
      </c>
      <c r="T464" s="1040" t="e">
        <f>IF($F64="","",$F64*chronic_consumption!O464/1000/$C$3)</f>
        <v>#DIV/0!</v>
      </c>
      <c r="U464" s="1040" t="e">
        <f>IF($F64="","",$F64*chronic_consumption!P464/1000/$C$3)</f>
        <v>#DIV/0!</v>
      </c>
      <c r="V464" s="1040" t="e">
        <f>IF($F64="","",$F64*chronic_consumption!Q464/1000/$C$3)</f>
        <v>#DIV/0!</v>
      </c>
      <c r="W464" s="1040" t="e">
        <f>IF($F64="","",$F64*chronic_consumption!R464/1000/$C$3)</f>
        <v>#DIV/0!</v>
      </c>
      <c r="X464" s="1040" t="e">
        <f>IF($F64="","",$F64*chronic_consumption!S464/1000/$C$3)</f>
        <v>#DIV/0!</v>
      </c>
      <c r="Y464" s="1040" t="e">
        <f>IF($F64="","",$F64*chronic_consumption!T464/1000/$C$3)</f>
        <v>#DIV/0!</v>
      </c>
      <c r="Z464" s="1040" t="e">
        <f>IF($F64="","",$F64*chronic_consumption!U464/1000/$C$3)</f>
        <v>#DIV/0!</v>
      </c>
      <c r="AA464" s="1040" t="e">
        <f>IF($F64="","",$F64*chronic_consumption!V464/1000/$C$3)</f>
        <v>#DIV/0!</v>
      </c>
      <c r="AB464" s="1040" t="e">
        <f>IF($F64="","",$F64*chronic_consumption!W464/1000/$C$3)</f>
        <v>#DIV/0!</v>
      </c>
      <c r="AC464" s="1040" t="e">
        <f>IF($F64="","",$F64*chronic_consumption!X464/1000/$C$3)</f>
        <v>#DIV/0!</v>
      </c>
      <c r="AD464" s="1040" t="e">
        <f>IF($F64="","",$F64*chronic_consumption!Y464/1000/$C$3)</f>
        <v>#DIV/0!</v>
      </c>
      <c r="AE464" s="1040" t="e">
        <f>IF($F64="","",$F64*chronic_consumption!Z464/1000/$C$3)</f>
        <v>#DIV/0!</v>
      </c>
      <c r="AF464" s="1040" t="e">
        <f>IF($F64="","",$F64*chronic_consumption!AA464/1000/$C$3)</f>
        <v>#DIV/0!</v>
      </c>
      <c r="AG464" s="1040" t="e">
        <f>IF($F64="","",$F64*chronic_consumption!AB464/1000/$C$3)</f>
        <v>#DIV/0!</v>
      </c>
      <c r="AH464" s="1040" t="e">
        <f>IF($F64="","",$F64*chronic_consumption!AC464/1000/$C$3)</f>
        <v>#DIV/0!</v>
      </c>
      <c r="AI464" s="1040" t="e">
        <f>IF($F64="","",$F64*chronic_consumption!AD464/1000/$C$3)</f>
        <v>#DIV/0!</v>
      </c>
      <c r="AJ464" s="1040" t="e">
        <f>IF($F64="","",$F64*chronic_consumption!AE464/1000/$C$3)</f>
        <v>#DIV/0!</v>
      </c>
      <c r="AK464" s="1040" t="e">
        <f>IF($F64="","",$F64*chronic_consumption!AF464/1000/$C$3)</f>
        <v>#DIV/0!</v>
      </c>
      <c r="AL464" s="1040" t="e">
        <f>IF($F64="","",$F64*chronic_consumption!AG464/1000/$C$3)</f>
        <v>#DIV/0!</v>
      </c>
      <c r="AM464" s="1040" t="e">
        <f>IF($F64="","",$F64*chronic_consumption!AH464/1000/$C$3)</f>
        <v>#DIV/0!</v>
      </c>
      <c r="AN464" s="1040" t="e">
        <f>IF($F64="","",$F64*chronic_consumption!AI464/1000/$C$3)</f>
        <v>#DIV/0!</v>
      </c>
      <c r="AO464" s="1040" t="e">
        <f>IF($F64="","",$F64*chronic_consumption!AJ464/1000/$C$3)</f>
        <v>#DIV/0!</v>
      </c>
      <c r="AP464" s="1040" t="e">
        <f>IF($F64="","",$F64*chronic_consumption!AK464/1000/$C$3)</f>
        <v>#DIV/0!</v>
      </c>
      <c r="AQ464" s="1040" t="e">
        <f>IF($F64="","",$F64*chronic_consumption!AL464/1000/$C$3)</f>
        <v>#DIV/0!</v>
      </c>
      <c r="AR464" s="1040" t="e">
        <f>IF($F64="","",$F64*chronic_consumption!AM464/1000/$C$3)</f>
        <v>#DIV/0!</v>
      </c>
      <c r="AS464" s="1040" t="e">
        <f>IF($F64="","",$F64*chronic_consumption!AN464/1000/$C$3)</f>
        <v>#DIV/0!</v>
      </c>
      <c r="AT464" s="1040" t="e">
        <f>IF($F64="","",$F64*chronic_consumption!AO464/1000/$C$3)</f>
        <v>#DIV/0!</v>
      </c>
      <c r="AU464" s="1040" t="e">
        <f>IF($F64="","",$F64*chronic_consumption!AP464/1000/$C$3)</f>
        <v>#DIV/0!</v>
      </c>
      <c r="AV464" s="1040" t="e">
        <f>IF($F64="","",$F64*chronic_consumption!AQ464/1000/$C$3)</f>
        <v>#DIV/0!</v>
      </c>
      <c r="AW464" s="1040" t="e">
        <f>IF($F64="","",$F64*chronic_consumption!AR464/1000/$C$3)</f>
        <v>#DIV/0!</v>
      </c>
      <c r="AX464" s="1040" t="e">
        <f>IF($F64="","",$F64*chronic_consumption!AS464/1000/$C$3)</f>
        <v>#DIV/0!</v>
      </c>
      <c r="AY464" s="1040" t="e">
        <f>IF($F64="","",$F64*chronic_consumption!AT464/1000/$C$3)</f>
        <v>#DIV/0!</v>
      </c>
      <c r="AZ464" s="44" t="s">
        <v>20</v>
      </c>
      <c r="BC464" s="29"/>
      <c r="BD464" s="29"/>
    </row>
    <row r="465" spans="1:56" ht="12" customHeight="1" outlineLevel="3" x14ac:dyDescent="0.2">
      <c r="A465" s="21">
        <f>acute_overview_children!A65</f>
        <v>4</v>
      </c>
      <c r="B465" s="325">
        <f t="shared" si="38"/>
        <v>154990</v>
      </c>
      <c r="C465" s="325" t="str">
        <f t="shared" si="38"/>
        <v xml:space="preserve">Other other small fruit &amp; berries </v>
      </c>
      <c r="D465" s="135"/>
      <c r="E465" s="1027"/>
      <c r="F465" s="87"/>
      <c r="G465" s="1027"/>
      <c r="H465" s="1029"/>
      <c r="I465" s="1030"/>
      <c r="J465" s="1039" t="e">
        <f>IF($F65="","",$F65*chronic_consumption!E465/1000/$C$3)</f>
        <v>#DIV/0!</v>
      </c>
      <c r="K465" s="1040" t="e">
        <f>IF($F65="","",$F65*chronic_consumption!F465/1000/$C$3)</f>
        <v>#DIV/0!</v>
      </c>
      <c r="L465" s="1040" t="e">
        <f>IF($F65="","",$F65*chronic_consumption!G465/1000/$C$3)</f>
        <v>#DIV/0!</v>
      </c>
      <c r="M465" s="1040" t="e">
        <f>IF($F65="","",$F65*chronic_consumption!H465/1000/$C$3)</f>
        <v>#DIV/0!</v>
      </c>
      <c r="N465" s="1040" t="e">
        <f>IF($F65="","",$F65*chronic_consumption!I465/1000/$C$3)</f>
        <v>#DIV/0!</v>
      </c>
      <c r="O465" s="1040" t="e">
        <f>IF($F65="","",$F65*chronic_consumption!J465/1000/$C$3)</f>
        <v>#DIV/0!</v>
      </c>
      <c r="P465" s="1040" t="e">
        <f>IF($F65="","",$F65*chronic_consumption!K465/1000/$C$3)</f>
        <v>#DIV/0!</v>
      </c>
      <c r="Q465" s="1040" t="e">
        <f>IF($F65="","",$F65*chronic_consumption!L465/1000/$C$3)</f>
        <v>#DIV/0!</v>
      </c>
      <c r="R465" s="1040" t="e">
        <f>IF($F65="","",$F65*chronic_consumption!M465/1000/$C$3)</f>
        <v>#DIV/0!</v>
      </c>
      <c r="S465" s="1040" t="e">
        <f>IF($F65="","",$F65*chronic_consumption!N465/1000/$C$3)</f>
        <v>#DIV/0!</v>
      </c>
      <c r="T465" s="1040" t="e">
        <f>IF($F65="","",$F65*chronic_consumption!O465/1000/$C$3)</f>
        <v>#DIV/0!</v>
      </c>
      <c r="U465" s="1040" t="e">
        <f>IF($F65="","",$F65*chronic_consumption!P465/1000/$C$3)</f>
        <v>#DIV/0!</v>
      </c>
      <c r="V465" s="1040" t="e">
        <f>IF($F65="","",$F65*chronic_consumption!Q465/1000/$C$3)</f>
        <v>#DIV/0!</v>
      </c>
      <c r="W465" s="1040" t="e">
        <f>IF($F65="","",$F65*chronic_consumption!R465/1000/$C$3)</f>
        <v>#DIV/0!</v>
      </c>
      <c r="X465" s="1040" t="e">
        <f>IF($F65="","",$F65*chronic_consumption!S465/1000/$C$3)</f>
        <v>#DIV/0!</v>
      </c>
      <c r="Y465" s="1040" t="e">
        <f>IF($F65="","",$F65*chronic_consumption!T465/1000/$C$3)</f>
        <v>#DIV/0!</v>
      </c>
      <c r="Z465" s="1040" t="e">
        <f>IF($F65="","",$F65*chronic_consumption!U465/1000/$C$3)</f>
        <v>#DIV/0!</v>
      </c>
      <c r="AA465" s="1040" t="e">
        <f>IF($F65="","",$F65*chronic_consumption!V465/1000/$C$3)</f>
        <v>#DIV/0!</v>
      </c>
      <c r="AB465" s="1040" t="e">
        <f>IF($F65="","",$F65*chronic_consumption!W465/1000/$C$3)</f>
        <v>#DIV/0!</v>
      </c>
      <c r="AC465" s="1040" t="e">
        <f>IF($F65="","",$F65*chronic_consumption!X465/1000/$C$3)</f>
        <v>#DIV/0!</v>
      </c>
      <c r="AD465" s="1040" t="e">
        <f>IF($F65="","",$F65*chronic_consumption!Y465/1000/$C$3)</f>
        <v>#DIV/0!</v>
      </c>
      <c r="AE465" s="1040" t="e">
        <f>IF($F65="","",$F65*chronic_consumption!Z465/1000/$C$3)</f>
        <v>#DIV/0!</v>
      </c>
      <c r="AF465" s="1040" t="e">
        <f>IF($F65="","",$F65*chronic_consumption!AA465/1000/$C$3)</f>
        <v>#DIV/0!</v>
      </c>
      <c r="AG465" s="1040" t="e">
        <f>IF($F65="","",$F65*chronic_consumption!AB465/1000/$C$3)</f>
        <v>#DIV/0!</v>
      </c>
      <c r="AH465" s="1040" t="e">
        <f>IF($F65="","",$F65*chronic_consumption!AC465/1000/$C$3)</f>
        <v>#DIV/0!</v>
      </c>
      <c r="AI465" s="1040" t="e">
        <f>IF($F65="","",$F65*chronic_consumption!AD465/1000/$C$3)</f>
        <v>#DIV/0!</v>
      </c>
      <c r="AJ465" s="1040" t="e">
        <f>IF($F65="","",$F65*chronic_consumption!AE465/1000/$C$3)</f>
        <v>#DIV/0!</v>
      </c>
      <c r="AK465" s="1040" t="e">
        <f>IF($F65="","",$F65*chronic_consumption!AF465/1000/$C$3)</f>
        <v>#DIV/0!</v>
      </c>
      <c r="AL465" s="1040" t="e">
        <f>IF($F65="","",$F65*chronic_consumption!AG465/1000/$C$3)</f>
        <v>#DIV/0!</v>
      </c>
      <c r="AM465" s="1040" t="e">
        <f>IF($F65="","",$F65*chronic_consumption!AH465/1000/$C$3)</f>
        <v>#DIV/0!</v>
      </c>
      <c r="AN465" s="1040" t="e">
        <f>IF($F65="","",$F65*chronic_consumption!AI465/1000/$C$3)</f>
        <v>#DIV/0!</v>
      </c>
      <c r="AO465" s="1040" t="e">
        <f>IF($F65="","",$F65*chronic_consumption!AJ465/1000/$C$3)</f>
        <v>#DIV/0!</v>
      </c>
      <c r="AP465" s="1040" t="e">
        <f>IF($F65="","",$F65*chronic_consumption!AK465/1000/$C$3)</f>
        <v>#DIV/0!</v>
      </c>
      <c r="AQ465" s="1040" t="e">
        <f>IF($F65="","",$F65*chronic_consumption!AL465/1000/$C$3)</f>
        <v>#DIV/0!</v>
      </c>
      <c r="AR465" s="1040" t="e">
        <f>IF($F65="","",$F65*chronic_consumption!AM465/1000/$C$3)</f>
        <v>#DIV/0!</v>
      </c>
      <c r="AS465" s="1040" t="e">
        <f>IF($F65="","",$F65*chronic_consumption!AN465/1000/$C$3)</f>
        <v>#DIV/0!</v>
      </c>
      <c r="AT465" s="1040" t="e">
        <f>IF($F65="","",$F65*chronic_consumption!AO465/1000/$C$3)</f>
        <v>#DIV/0!</v>
      </c>
      <c r="AU465" s="1040" t="e">
        <f>IF($F65="","",$F65*chronic_consumption!AP465/1000/$C$3)</f>
        <v>#DIV/0!</v>
      </c>
      <c r="AV465" s="1040" t="e">
        <f>IF($F65="","",$F65*chronic_consumption!AQ465/1000/$C$3)</f>
        <v>#DIV/0!</v>
      </c>
      <c r="AW465" s="1040" t="e">
        <f>IF($F65="","",$F65*chronic_consumption!AR465/1000/$C$3)</f>
        <v>#DIV/0!</v>
      </c>
      <c r="AX465" s="1040" t="e">
        <f>IF($F65="","",$F65*chronic_consumption!AS465/1000/$C$3)</f>
        <v>#DIV/0!</v>
      </c>
      <c r="AY465" s="1040" t="e">
        <f>IF($F65="","",$F65*chronic_consumption!AT465/1000/$C$3)</f>
        <v>#DIV/0!</v>
      </c>
      <c r="AZ465" s="44" t="s">
        <v>20</v>
      </c>
      <c r="BC465" s="29"/>
      <c r="BD465" s="29"/>
    </row>
    <row r="466" spans="1:56" ht="12" customHeight="1" outlineLevel="1" x14ac:dyDescent="0.2">
      <c r="A466" s="1033">
        <f>acute_overview_children!A66</f>
        <v>2</v>
      </c>
      <c r="B466" s="1034">
        <f t="shared" si="38"/>
        <v>160000</v>
      </c>
      <c r="C466" s="1034" t="str">
        <f t="shared" si="38"/>
        <v>Miscellaneous fruit</v>
      </c>
      <c r="D466" s="1035"/>
      <c r="E466" s="1027"/>
      <c r="F466" s="87"/>
      <c r="G466" s="1027"/>
      <c r="H466" s="1029"/>
      <c r="I466" s="1030"/>
      <c r="J466" s="1037" t="e">
        <f>IF($F66="","",$F66*chronic_consumption!E466/1000/$C$3)</f>
        <v>#DIV/0!</v>
      </c>
      <c r="K466" s="1038" t="e">
        <f>IF($F66="","",$F66*chronic_consumption!F466/1000/$C$3)</f>
        <v>#DIV/0!</v>
      </c>
      <c r="L466" s="1038" t="e">
        <f>IF($F66="","",$F66*chronic_consumption!G466/1000/$C$3)</f>
        <v>#DIV/0!</v>
      </c>
      <c r="M466" s="1038" t="e">
        <f>IF($F66="","",$F66*chronic_consumption!H466/1000/$C$3)</f>
        <v>#DIV/0!</v>
      </c>
      <c r="N466" s="1038" t="e">
        <f>IF($F66="","",$F66*chronic_consumption!I466/1000/$C$3)</f>
        <v>#DIV/0!</v>
      </c>
      <c r="O466" s="1038" t="e">
        <f>IF($F66="","",$F66*chronic_consumption!J466/1000/$C$3)</f>
        <v>#DIV/0!</v>
      </c>
      <c r="P466" s="1038" t="e">
        <f>IF($F66="","",$F66*chronic_consumption!K466/1000/$C$3)</f>
        <v>#DIV/0!</v>
      </c>
      <c r="Q466" s="1038" t="e">
        <f>IF($F66="","",$F66*chronic_consumption!L466/1000/$C$3)</f>
        <v>#DIV/0!</v>
      </c>
      <c r="R466" s="1038" t="e">
        <f>IF($F66="","",$F66*chronic_consumption!M466/1000/$C$3)</f>
        <v>#DIV/0!</v>
      </c>
      <c r="S466" s="1038" t="e">
        <f>IF($F66="","",$F66*chronic_consumption!N466/1000/$C$3)</f>
        <v>#DIV/0!</v>
      </c>
      <c r="T466" s="1038" t="e">
        <f>IF($F66="","",$F66*chronic_consumption!O466/1000/$C$3)</f>
        <v>#DIV/0!</v>
      </c>
      <c r="U466" s="1038" t="e">
        <f>IF($F66="","",$F66*chronic_consumption!P466/1000/$C$3)</f>
        <v>#DIV/0!</v>
      </c>
      <c r="V466" s="1038" t="e">
        <f>IF($F66="","",$F66*chronic_consumption!Q466/1000/$C$3)</f>
        <v>#DIV/0!</v>
      </c>
      <c r="W466" s="1038" t="e">
        <f>IF($F66="","",$F66*chronic_consumption!R466/1000/$C$3)</f>
        <v>#DIV/0!</v>
      </c>
      <c r="X466" s="1038" t="e">
        <f>IF($F66="","",$F66*chronic_consumption!S466/1000/$C$3)</f>
        <v>#DIV/0!</v>
      </c>
      <c r="Y466" s="1038" t="e">
        <f>IF($F66="","",$F66*chronic_consumption!T466/1000/$C$3)</f>
        <v>#DIV/0!</v>
      </c>
      <c r="Z466" s="1038" t="e">
        <f>IF($F66="","",$F66*chronic_consumption!U466/1000/$C$3)</f>
        <v>#DIV/0!</v>
      </c>
      <c r="AA466" s="1038" t="e">
        <f>IF($F66="","",$F66*chronic_consumption!V466/1000/$C$3)</f>
        <v>#DIV/0!</v>
      </c>
      <c r="AB466" s="1038" t="e">
        <f>IF($F66="","",$F66*chronic_consumption!W466/1000/$C$3)</f>
        <v>#DIV/0!</v>
      </c>
      <c r="AC466" s="1038" t="e">
        <f>IF($F66="","",$F66*chronic_consumption!X466/1000/$C$3)</f>
        <v>#DIV/0!</v>
      </c>
      <c r="AD466" s="1038" t="e">
        <f>IF($F66="","",$F66*chronic_consumption!Y466/1000/$C$3)</f>
        <v>#DIV/0!</v>
      </c>
      <c r="AE466" s="1038" t="e">
        <f>IF($F66="","",$F66*chronic_consumption!Z466/1000/$C$3)</f>
        <v>#DIV/0!</v>
      </c>
      <c r="AF466" s="1038" t="e">
        <f>IF($F66="","",$F66*chronic_consumption!AA466/1000/$C$3)</f>
        <v>#DIV/0!</v>
      </c>
      <c r="AG466" s="1038" t="e">
        <f>IF($F66="","",$F66*chronic_consumption!AB466/1000/$C$3)</f>
        <v>#DIV/0!</v>
      </c>
      <c r="AH466" s="1038" t="e">
        <f>IF($F66="","",$F66*chronic_consumption!AC466/1000/$C$3)</f>
        <v>#DIV/0!</v>
      </c>
      <c r="AI466" s="1038" t="e">
        <f>IF($F66="","",$F66*chronic_consumption!AD466/1000/$C$3)</f>
        <v>#DIV/0!</v>
      </c>
      <c r="AJ466" s="1038" t="e">
        <f>IF($F66="","",$F66*chronic_consumption!AE466/1000/$C$3)</f>
        <v>#DIV/0!</v>
      </c>
      <c r="AK466" s="1038" t="e">
        <f>IF($F66="","",$F66*chronic_consumption!AF466/1000/$C$3)</f>
        <v>#DIV/0!</v>
      </c>
      <c r="AL466" s="1038" t="e">
        <f>IF($F66="","",$F66*chronic_consumption!AG466/1000/$C$3)</f>
        <v>#DIV/0!</v>
      </c>
      <c r="AM466" s="1038" t="e">
        <f>IF($F66="","",$F66*chronic_consumption!AH466/1000/$C$3)</f>
        <v>#DIV/0!</v>
      </c>
      <c r="AN466" s="1038" t="e">
        <f>IF($F66="","",$F66*chronic_consumption!AI466/1000/$C$3)</f>
        <v>#DIV/0!</v>
      </c>
      <c r="AO466" s="1038" t="e">
        <f>IF($F66="","",$F66*chronic_consumption!AJ466/1000/$C$3)</f>
        <v>#DIV/0!</v>
      </c>
      <c r="AP466" s="1038" t="e">
        <f>IF($F66="","",$F66*chronic_consumption!AK466/1000/$C$3)</f>
        <v>#DIV/0!</v>
      </c>
      <c r="AQ466" s="1038" t="e">
        <f>IF($F66="","",$F66*chronic_consumption!AL466/1000/$C$3)</f>
        <v>#DIV/0!</v>
      </c>
      <c r="AR466" s="1038" t="e">
        <f>IF($F66="","",$F66*chronic_consumption!AM466/1000/$C$3)</f>
        <v>#DIV/0!</v>
      </c>
      <c r="AS466" s="1038" t="e">
        <f>IF($F66="","",$F66*chronic_consumption!AN466/1000/$C$3)</f>
        <v>#DIV/0!</v>
      </c>
      <c r="AT466" s="1038" t="e">
        <f>IF($F66="","",$F66*chronic_consumption!AO466/1000/$C$3)</f>
        <v>#DIV/0!</v>
      </c>
      <c r="AU466" s="1038" t="e">
        <f>IF($F66="","",$F66*chronic_consumption!AP466/1000/$C$3)</f>
        <v>#DIV/0!</v>
      </c>
      <c r="AV466" s="1038" t="e">
        <f>IF($F66="","",$F66*chronic_consumption!AQ466/1000/$C$3)</f>
        <v>#DIV/0!</v>
      </c>
      <c r="AW466" s="1038" t="e">
        <f>IF($F66="","",$F66*chronic_consumption!AR466/1000/$C$3)</f>
        <v>#DIV/0!</v>
      </c>
      <c r="AX466" s="1038" t="e">
        <f>IF($F66="","",$F66*chronic_consumption!AS466/1000/$C$3)</f>
        <v>#DIV/0!</v>
      </c>
      <c r="AY466" s="1038" t="e">
        <f>IF($F66="","",$F66*chronic_consumption!AT466/1000/$C$3)</f>
        <v>#DIV/0!</v>
      </c>
      <c r="AZ466" s="44" t="s">
        <v>20</v>
      </c>
      <c r="BC466" s="29"/>
      <c r="BD466" s="29"/>
    </row>
    <row r="467" spans="1:56" ht="12" customHeight="1" outlineLevel="2" x14ac:dyDescent="0.2">
      <c r="A467" s="341">
        <f>acute_overview_children!A67</f>
        <v>3</v>
      </c>
      <c r="B467" s="1041">
        <f t="shared" si="38"/>
        <v>161000</v>
      </c>
      <c r="C467" s="1041" t="str">
        <f t="shared" si="38"/>
        <v>Miscellaneous fruit (edible peel)</v>
      </c>
      <c r="D467" s="1042"/>
      <c r="E467" s="1027"/>
      <c r="F467" s="87"/>
      <c r="G467" s="1027"/>
      <c r="H467" s="1029"/>
      <c r="I467" s="1030"/>
      <c r="J467" s="1043" t="e">
        <f>IF($F67="","",$F67*chronic_consumption!E467/1000/$C$3)</f>
        <v>#DIV/0!</v>
      </c>
      <c r="K467" s="1044" t="e">
        <f>IF($F67="","",$F67*chronic_consumption!F467/1000/$C$3)</f>
        <v>#DIV/0!</v>
      </c>
      <c r="L467" s="1044" t="e">
        <f>IF($F67="","",$F67*chronic_consumption!G467/1000/$C$3)</f>
        <v>#DIV/0!</v>
      </c>
      <c r="M467" s="1044" t="e">
        <f>IF($F67="","",$F67*chronic_consumption!H467/1000/$C$3)</f>
        <v>#DIV/0!</v>
      </c>
      <c r="N467" s="1044" t="e">
        <f>IF($F67="","",$F67*chronic_consumption!I467/1000/$C$3)</f>
        <v>#DIV/0!</v>
      </c>
      <c r="O467" s="1044" t="e">
        <f>IF($F67="","",$F67*chronic_consumption!J467/1000/$C$3)</f>
        <v>#DIV/0!</v>
      </c>
      <c r="P467" s="1044" t="e">
        <f>IF($F67="","",$F67*chronic_consumption!K467/1000/$C$3)</f>
        <v>#DIV/0!</v>
      </c>
      <c r="Q467" s="1044" t="e">
        <f>IF($F67="","",$F67*chronic_consumption!L467/1000/$C$3)</f>
        <v>#DIV/0!</v>
      </c>
      <c r="R467" s="1044" t="e">
        <f>IF($F67="","",$F67*chronic_consumption!M467/1000/$C$3)</f>
        <v>#DIV/0!</v>
      </c>
      <c r="S467" s="1044" t="e">
        <f>IF($F67="","",$F67*chronic_consumption!N467/1000/$C$3)</f>
        <v>#DIV/0!</v>
      </c>
      <c r="T467" s="1044" t="e">
        <f>IF($F67="","",$F67*chronic_consumption!O467/1000/$C$3)</f>
        <v>#DIV/0!</v>
      </c>
      <c r="U467" s="1044" t="e">
        <f>IF($F67="","",$F67*chronic_consumption!P467/1000/$C$3)</f>
        <v>#DIV/0!</v>
      </c>
      <c r="V467" s="1044" t="e">
        <f>IF($F67="","",$F67*chronic_consumption!Q467/1000/$C$3)</f>
        <v>#DIV/0!</v>
      </c>
      <c r="W467" s="1044" t="e">
        <f>IF($F67="","",$F67*chronic_consumption!R467/1000/$C$3)</f>
        <v>#DIV/0!</v>
      </c>
      <c r="X467" s="1044" t="e">
        <f>IF($F67="","",$F67*chronic_consumption!S467/1000/$C$3)</f>
        <v>#DIV/0!</v>
      </c>
      <c r="Y467" s="1044" t="e">
        <f>IF($F67="","",$F67*chronic_consumption!T467/1000/$C$3)</f>
        <v>#DIV/0!</v>
      </c>
      <c r="Z467" s="1044" t="e">
        <f>IF($F67="","",$F67*chronic_consumption!U467/1000/$C$3)</f>
        <v>#DIV/0!</v>
      </c>
      <c r="AA467" s="1044" t="e">
        <f>IF($F67="","",$F67*chronic_consumption!V467/1000/$C$3)</f>
        <v>#DIV/0!</v>
      </c>
      <c r="AB467" s="1044" t="e">
        <f>IF($F67="","",$F67*chronic_consumption!W467/1000/$C$3)</f>
        <v>#DIV/0!</v>
      </c>
      <c r="AC467" s="1044" t="e">
        <f>IF($F67="","",$F67*chronic_consumption!X467/1000/$C$3)</f>
        <v>#DIV/0!</v>
      </c>
      <c r="AD467" s="1044" t="e">
        <f>IF($F67="","",$F67*chronic_consumption!Y467/1000/$C$3)</f>
        <v>#DIV/0!</v>
      </c>
      <c r="AE467" s="1044" t="e">
        <f>IF($F67="","",$F67*chronic_consumption!Z467/1000/$C$3)</f>
        <v>#DIV/0!</v>
      </c>
      <c r="AF467" s="1044" t="e">
        <f>IF($F67="","",$F67*chronic_consumption!AA467/1000/$C$3)</f>
        <v>#DIV/0!</v>
      </c>
      <c r="AG467" s="1044" t="e">
        <f>IF($F67="","",$F67*chronic_consumption!AB467/1000/$C$3)</f>
        <v>#DIV/0!</v>
      </c>
      <c r="AH467" s="1044" t="e">
        <f>IF($F67="","",$F67*chronic_consumption!AC467/1000/$C$3)</f>
        <v>#DIV/0!</v>
      </c>
      <c r="AI467" s="1044" t="e">
        <f>IF($F67="","",$F67*chronic_consumption!AD467/1000/$C$3)</f>
        <v>#DIV/0!</v>
      </c>
      <c r="AJ467" s="1044" t="e">
        <f>IF($F67="","",$F67*chronic_consumption!AE467/1000/$C$3)</f>
        <v>#DIV/0!</v>
      </c>
      <c r="AK467" s="1044" t="e">
        <f>IF($F67="","",$F67*chronic_consumption!AF467/1000/$C$3)</f>
        <v>#DIV/0!</v>
      </c>
      <c r="AL467" s="1044" t="e">
        <f>IF($F67="","",$F67*chronic_consumption!AG467/1000/$C$3)</f>
        <v>#DIV/0!</v>
      </c>
      <c r="AM467" s="1044" t="e">
        <f>IF($F67="","",$F67*chronic_consumption!AH467/1000/$C$3)</f>
        <v>#DIV/0!</v>
      </c>
      <c r="AN467" s="1044" t="e">
        <f>IF($F67="","",$F67*chronic_consumption!AI467/1000/$C$3)</f>
        <v>#DIV/0!</v>
      </c>
      <c r="AO467" s="1044" t="e">
        <f>IF($F67="","",$F67*chronic_consumption!AJ467/1000/$C$3)</f>
        <v>#DIV/0!</v>
      </c>
      <c r="AP467" s="1044" t="e">
        <f>IF($F67="","",$F67*chronic_consumption!AK467/1000/$C$3)</f>
        <v>#DIV/0!</v>
      </c>
      <c r="AQ467" s="1044" t="e">
        <f>IF($F67="","",$F67*chronic_consumption!AL467/1000/$C$3)</f>
        <v>#DIV/0!</v>
      </c>
      <c r="AR467" s="1044" t="e">
        <f>IF($F67="","",$F67*chronic_consumption!AM467/1000/$C$3)</f>
        <v>#DIV/0!</v>
      </c>
      <c r="AS467" s="1044" t="e">
        <f>IF($F67="","",$F67*chronic_consumption!AN467/1000/$C$3)</f>
        <v>#DIV/0!</v>
      </c>
      <c r="AT467" s="1044" t="e">
        <f>IF($F67="","",$F67*chronic_consumption!AO467/1000/$C$3)</f>
        <v>#DIV/0!</v>
      </c>
      <c r="AU467" s="1044" t="e">
        <f>IF($F67="","",$F67*chronic_consumption!AP467/1000/$C$3)</f>
        <v>#DIV/0!</v>
      </c>
      <c r="AV467" s="1044" t="e">
        <f>IF($F67="","",$F67*chronic_consumption!AQ467/1000/$C$3)</f>
        <v>#DIV/0!</v>
      </c>
      <c r="AW467" s="1044" t="e">
        <f>IF($F67="","",$F67*chronic_consumption!AR467/1000/$C$3)</f>
        <v>#DIV/0!</v>
      </c>
      <c r="AX467" s="1044" t="e">
        <f>IF($F67="","",$F67*chronic_consumption!AS467/1000/$C$3)</f>
        <v>#DIV/0!</v>
      </c>
      <c r="AY467" s="1044" t="e">
        <f>IF($F67="","",$F67*chronic_consumption!AT467/1000/$C$3)</f>
        <v>#DIV/0!</v>
      </c>
      <c r="AZ467" s="44" t="s">
        <v>20</v>
      </c>
      <c r="BC467" s="29"/>
      <c r="BD467" s="29"/>
    </row>
    <row r="468" spans="1:56" ht="12" customHeight="1" outlineLevel="3" x14ac:dyDescent="0.2">
      <c r="A468" s="21">
        <f>acute_overview_children!A68</f>
        <v>4</v>
      </c>
      <c r="B468" s="325">
        <f t="shared" si="38"/>
        <v>161010</v>
      </c>
      <c r="C468" s="325" t="str">
        <f t="shared" si="38"/>
        <v>Dates</v>
      </c>
      <c r="D468" s="135"/>
      <c r="E468" s="1027"/>
      <c r="F468" s="87"/>
      <c r="G468" s="1027"/>
      <c r="H468" s="1029"/>
      <c r="I468" s="1030"/>
      <c r="J468" s="1039" t="e">
        <f>IF($F68="","",$F68*chronic_consumption!E468/1000/$C$3)</f>
        <v>#DIV/0!</v>
      </c>
      <c r="K468" s="1040" t="e">
        <f>IF($F68="","",$F68*chronic_consumption!F468/1000/$C$3)</f>
        <v>#DIV/0!</v>
      </c>
      <c r="L468" s="1040" t="e">
        <f>IF($F68="","",$F68*chronic_consumption!G468/1000/$C$3)</f>
        <v>#DIV/0!</v>
      </c>
      <c r="M468" s="1040" t="e">
        <f>IF($F68="","",$F68*chronic_consumption!H468/1000/$C$3)</f>
        <v>#DIV/0!</v>
      </c>
      <c r="N468" s="1040" t="e">
        <f>IF($F68="","",$F68*chronic_consumption!I468/1000/$C$3)</f>
        <v>#DIV/0!</v>
      </c>
      <c r="O468" s="1040" t="e">
        <f>IF($F68="","",$F68*chronic_consumption!J468/1000/$C$3)</f>
        <v>#DIV/0!</v>
      </c>
      <c r="P468" s="1040" t="e">
        <f>IF($F68="","",$F68*chronic_consumption!K468/1000/$C$3)</f>
        <v>#DIV/0!</v>
      </c>
      <c r="Q468" s="1040" t="e">
        <f>IF($F68="","",$F68*chronic_consumption!L468/1000/$C$3)</f>
        <v>#DIV/0!</v>
      </c>
      <c r="R468" s="1040" t="e">
        <f>IF($F68="","",$F68*chronic_consumption!M468/1000/$C$3)</f>
        <v>#DIV/0!</v>
      </c>
      <c r="S468" s="1040" t="e">
        <f>IF($F68="","",$F68*chronic_consumption!N468/1000/$C$3)</f>
        <v>#DIV/0!</v>
      </c>
      <c r="T468" s="1040" t="e">
        <f>IF($F68="","",$F68*chronic_consumption!O468/1000/$C$3)</f>
        <v>#DIV/0!</v>
      </c>
      <c r="U468" s="1040" t="e">
        <f>IF($F68="","",$F68*chronic_consumption!P468/1000/$C$3)</f>
        <v>#DIV/0!</v>
      </c>
      <c r="V468" s="1040" t="e">
        <f>IF($F68="","",$F68*chronic_consumption!Q468/1000/$C$3)</f>
        <v>#DIV/0!</v>
      </c>
      <c r="W468" s="1040" t="e">
        <f>IF($F68="","",$F68*chronic_consumption!R468/1000/$C$3)</f>
        <v>#DIV/0!</v>
      </c>
      <c r="X468" s="1040" t="e">
        <f>IF($F68="","",$F68*chronic_consumption!S468/1000/$C$3)</f>
        <v>#DIV/0!</v>
      </c>
      <c r="Y468" s="1040" t="e">
        <f>IF($F68="","",$F68*chronic_consumption!T468/1000/$C$3)</f>
        <v>#DIV/0!</v>
      </c>
      <c r="Z468" s="1040" t="e">
        <f>IF($F68="","",$F68*chronic_consumption!U468/1000/$C$3)</f>
        <v>#DIV/0!</v>
      </c>
      <c r="AA468" s="1040" t="e">
        <f>IF($F68="","",$F68*chronic_consumption!V468/1000/$C$3)</f>
        <v>#DIV/0!</v>
      </c>
      <c r="AB468" s="1040" t="e">
        <f>IF($F68="","",$F68*chronic_consumption!W468/1000/$C$3)</f>
        <v>#DIV/0!</v>
      </c>
      <c r="AC468" s="1040" t="e">
        <f>IF($F68="","",$F68*chronic_consumption!X468/1000/$C$3)</f>
        <v>#DIV/0!</v>
      </c>
      <c r="AD468" s="1040" t="e">
        <f>IF($F68="","",$F68*chronic_consumption!Y468/1000/$C$3)</f>
        <v>#DIV/0!</v>
      </c>
      <c r="AE468" s="1040" t="e">
        <f>IF($F68="","",$F68*chronic_consumption!Z468/1000/$C$3)</f>
        <v>#DIV/0!</v>
      </c>
      <c r="AF468" s="1040" t="e">
        <f>IF($F68="","",$F68*chronic_consumption!AA468/1000/$C$3)</f>
        <v>#DIV/0!</v>
      </c>
      <c r="AG468" s="1040" t="e">
        <f>IF($F68="","",$F68*chronic_consumption!AB468/1000/$C$3)</f>
        <v>#DIV/0!</v>
      </c>
      <c r="AH468" s="1040" t="e">
        <f>IF($F68="","",$F68*chronic_consumption!AC468/1000/$C$3)</f>
        <v>#DIV/0!</v>
      </c>
      <c r="AI468" s="1040" t="e">
        <f>IF($F68="","",$F68*chronic_consumption!AD468/1000/$C$3)</f>
        <v>#DIV/0!</v>
      </c>
      <c r="AJ468" s="1040" t="e">
        <f>IF($F68="","",$F68*chronic_consumption!AE468/1000/$C$3)</f>
        <v>#DIV/0!</v>
      </c>
      <c r="AK468" s="1040" t="e">
        <f>IF($F68="","",$F68*chronic_consumption!AF468/1000/$C$3)</f>
        <v>#DIV/0!</v>
      </c>
      <c r="AL468" s="1040" t="e">
        <f>IF($F68="","",$F68*chronic_consumption!AG468/1000/$C$3)</f>
        <v>#DIV/0!</v>
      </c>
      <c r="AM468" s="1040" t="e">
        <f>IF($F68="","",$F68*chronic_consumption!AH468/1000/$C$3)</f>
        <v>#DIV/0!</v>
      </c>
      <c r="AN468" s="1040" t="e">
        <f>IF($F68="","",$F68*chronic_consumption!AI468/1000/$C$3)</f>
        <v>#DIV/0!</v>
      </c>
      <c r="AO468" s="1040" t="e">
        <f>IF($F68="","",$F68*chronic_consumption!AJ468/1000/$C$3)</f>
        <v>#DIV/0!</v>
      </c>
      <c r="AP468" s="1040" t="e">
        <f>IF($F68="","",$F68*chronic_consumption!AK468/1000/$C$3)</f>
        <v>#DIV/0!</v>
      </c>
      <c r="AQ468" s="1040" t="e">
        <f>IF($F68="","",$F68*chronic_consumption!AL468/1000/$C$3)</f>
        <v>#DIV/0!</v>
      </c>
      <c r="AR468" s="1040" t="e">
        <f>IF($F68="","",$F68*chronic_consumption!AM468/1000/$C$3)</f>
        <v>#DIV/0!</v>
      </c>
      <c r="AS468" s="1040" t="e">
        <f>IF($F68="","",$F68*chronic_consumption!AN468/1000/$C$3)</f>
        <v>#DIV/0!</v>
      </c>
      <c r="AT468" s="1040" t="e">
        <f>IF($F68="","",$F68*chronic_consumption!AO468/1000/$C$3)</f>
        <v>#DIV/0!</v>
      </c>
      <c r="AU468" s="1040" t="e">
        <f>IF($F68="","",$F68*chronic_consumption!AP468/1000/$C$3)</f>
        <v>#DIV/0!</v>
      </c>
      <c r="AV468" s="1040" t="e">
        <f>IF($F68="","",$F68*chronic_consumption!AQ468/1000/$C$3)</f>
        <v>#DIV/0!</v>
      </c>
      <c r="AW468" s="1040" t="e">
        <f>IF($F68="","",$F68*chronic_consumption!AR468/1000/$C$3)</f>
        <v>#DIV/0!</v>
      </c>
      <c r="AX468" s="1040" t="e">
        <f>IF($F68="","",$F68*chronic_consumption!AS468/1000/$C$3)</f>
        <v>#DIV/0!</v>
      </c>
      <c r="AY468" s="1040" t="e">
        <f>IF($F68="","",$F68*chronic_consumption!AT468/1000/$C$3)</f>
        <v>#DIV/0!</v>
      </c>
      <c r="AZ468" s="44" t="s">
        <v>20</v>
      </c>
      <c r="BC468" s="29"/>
      <c r="BD468" s="29"/>
    </row>
    <row r="469" spans="1:56" ht="12" customHeight="1" outlineLevel="3" x14ac:dyDescent="0.2">
      <c r="A469" s="21">
        <f>acute_overview_children!A69</f>
        <v>4</v>
      </c>
      <c r="B469" s="325">
        <f t="shared" si="38"/>
        <v>161020</v>
      </c>
      <c r="C469" s="325" t="str">
        <f t="shared" si="38"/>
        <v>Figs</v>
      </c>
      <c r="D469" s="135"/>
      <c r="E469" s="1027"/>
      <c r="F469" s="87"/>
      <c r="G469" s="1027"/>
      <c r="H469" s="1029"/>
      <c r="I469" s="1030"/>
      <c r="J469" s="1039" t="e">
        <f>IF($F69="","",$F69*chronic_consumption!E469/1000/$C$3)</f>
        <v>#DIV/0!</v>
      </c>
      <c r="K469" s="1040" t="e">
        <f>IF($F69="","",$F69*chronic_consumption!F469/1000/$C$3)</f>
        <v>#DIV/0!</v>
      </c>
      <c r="L469" s="1040" t="e">
        <f>IF($F69="","",$F69*chronic_consumption!G469/1000/$C$3)</f>
        <v>#DIV/0!</v>
      </c>
      <c r="M469" s="1040" t="e">
        <f>IF($F69="","",$F69*chronic_consumption!H469/1000/$C$3)</f>
        <v>#DIV/0!</v>
      </c>
      <c r="N469" s="1040" t="e">
        <f>IF($F69="","",$F69*chronic_consumption!I469/1000/$C$3)</f>
        <v>#DIV/0!</v>
      </c>
      <c r="O469" s="1040" t="e">
        <f>IF($F69="","",$F69*chronic_consumption!J469/1000/$C$3)</f>
        <v>#DIV/0!</v>
      </c>
      <c r="P469" s="1040" t="e">
        <f>IF($F69="","",$F69*chronic_consumption!K469/1000/$C$3)</f>
        <v>#DIV/0!</v>
      </c>
      <c r="Q469" s="1040" t="e">
        <f>IF($F69="","",$F69*chronic_consumption!L469/1000/$C$3)</f>
        <v>#DIV/0!</v>
      </c>
      <c r="R469" s="1040" t="e">
        <f>IF($F69="","",$F69*chronic_consumption!M469/1000/$C$3)</f>
        <v>#DIV/0!</v>
      </c>
      <c r="S469" s="1040" t="e">
        <f>IF($F69="","",$F69*chronic_consumption!N469/1000/$C$3)</f>
        <v>#DIV/0!</v>
      </c>
      <c r="T469" s="1040" t="e">
        <f>IF($F69="","",$F69*chronic_consumption!O469/1000/$C$3)</f>
        <v>#DIV/0!</v>
      </c>
      <c r="U469" s="1040" t="e">
        <f>IF($F69="","",$F69*chronic_consumption!P469/1000/$C$3)</f>
        <v>#DIV/0!</v>
      </c>
      <c r="V469" s="1040" t="e">
        <f>IF($F69="","",$F69*chronic_consumption!Q469/1000/$C$3)</f>
        <v>#DIV/0!</v>
      </c>
      <c r="W469" s="1040" t="e">
        <f>IF($F69="","",$F69*chronic_consumption!R469/1000/$C$3)</f>
        <v>#DIV/0!</v>
      </c>
      <c r="X469" s="1040" t="e">
        <f>IF($F69="","",$F69*chronic_consumption!S469/1000/$C$3)</f>
        <v>#DIV/0!</v>
      </c>
      <c r="Y469" s="1040" t="e">
        <f>IF($F69="","",$F69*chronic_consumption!T469/1000/$C$3)</f>
        <v>#DIV/0!</v>
      </c>
      <c r="Z469" s="1040" t="e">
        <f>IF($F69="","",$F69*chronic_consumption!U469/1000/$C$3)</f>
        <v>#DIV/0!</v>
      </c>
      <c r="AA469" s="1040" t="e">
        <f>IF($F69="","",$F69*chronic_consumption!V469/1000/$C$3)</f>
        <v>#DIV/0!</v>
      </c>
      <c r="AB469" s="1040" t="e">
        <f>IF($F69="","",$F69*chronic_consumption!W469/1000/$C$3)</f>
        <v>#DIV/0!</v>
      </c>
      <c r="AC469" s="1040" t="e">
        <f>IF($F69="","",$F69*chronic_consumption!X469/1000/$C$3)</f>
        <v>#DIV/0!</v>
      </c>
      <c r="AD469" s="1040" t="e">
        <f>IF($F69="","",$F69*chronic_consumption!Y469/1000/$C$3)</f>
        <v>#DIV/0!</v>
      </c>
      <c r="AE469" s="1040" t="e">
        <f>IF($F69="","",$F69*chronic_consumption!Z469/1000/$C$3)</f>
        <v>#DIV/0!</v>
      </c>
      <c r="AF469" s="1040" t="e">
        <f>IF($F69="","",$F69*chronic_consumption!AA469/1000/$C$3)</f>
        <v>#DIV/0!</v>
      </c>
      <c r="AG469" s="1040" t="e">
        <f>IF($F69="","",$F69*chronic_consumption!AB469/1000/$C$3)</f>
        <v>#DIV/0!</v>
      </c>
      <c r="AH469" s="1040" t="e">
        <f>IF($F69="","",$F69*chronic_consumption!AC469/1000/$C$3)</f>
        <v>#DIV/0!</v>
      </c>
      <c r="AI469" s="1040" t="e">
        <f>IF($F69="","",$F69*chronic_consumption!AD469/1000/$C$3)</f>
        <v>#DIV/0!</v>
      </c>
      <c r="AJ469" s="1040" t="e">
        <f>IF($F69="","",$F69*chronic_consumption!AE469/1000/$C$3)</f>
        <v>#DIV/0!</v>
      </c>
      <c r="AK469" s="1040" t="e">
        <f>IF($F69="","",$F69*chronic_consumption!AF469/1000/$C$3)</f>
        <v>#DIV/0!</v>
      </c>
      <c r="AL469" s="1040" t="e">
        <f>IF($F69="","",$F69*chronic_consumption!AG469/1000/$C$3)</f>
        <v>#DIV/0!</v>
      </c>
      <c r="AM469" s="1040" t="e">
        <f>IF($F69="","",$F69*chronic_consumption!AH469/1000/$C$3)</f>
        <v>#DIV/0!</v>
      </c>
      <c r="AN469" s="1040" t="e">
        <f>IF($F69="","",$F69*chronic_consumption!AI469/1000/$C$3)</f>
        <v>#DIV/0!</v>
      </c>
      <c r="AO469" s="1040" t="e">
        <f>IF($F69="","",$F69*chronic_consumption!AJ469/1000/$C$3)</f>
        <v>#DIV/0!</v>
      </c>
      <c r="AP469" s="1040" t="e">
        <f>IF($F69="","",$F69*chronic_consumption!AK469/1000/$C$3)</f>
        <v>#DIV/0!</v>
      </c>
      <c r="AQ469" s="1040" t="e">
        <f>IF($F69="","",$F69*chronic_consumption!AL469/1000/$C$3)</f>
        <v>#DIV/0!</v>
      </c>
      <c r="AR469" s="1040" t="e">
        <f>IF($F69="","",$F69*chronic_consumption!AM469/1000/$C$3)</f>
        <v>#DIV/0!</v>
      </c>
      <c r="AS469" s="1040" t="e">
        <f>IF($F69="","",$F69*chronic_consumption!AN469/1000/$C$3)</f>
        <v>#DIV/0!</v>
      </c>
      <c r="AT469" s="1040" t="e">
        <f>IF($F69="","",$F69*chronic_consumption!AO469/1000/$C$3)</f>
        <v>#DIV/0!</v>
      </c>
      <c r="AU469" s="1040" t="e">
        <f>IF($F69="","",$F69*chronic_consumption!AP469/1000/$C$3)</f>
        <v>#DIV/0!</v>
      </c>
      <c r="AV469" s="1040" t="e">
        <f>IF($F69="","",$F69*chronic_consumption!AQ469/1000/$C$3)</f>
        <v>#DIV/0!</v>
      </c>
      <c r="AW469" s="1040" t="e">
        <f>IF($F69="","",$F69*chronic_consumption!AR469/1000/$C$3)</f>
        <v>#DIV/0!</v>
      </c>
      <c r="AX469" s="1040" t="e">
        <f>IF($F69="","",$F69*chronic_consumption!AS469/1000/$C$3)</f>
        <v>#DIV/0!</v>
      </c>
      <c r="AY469" s="1040" t="e">
        <f>IF($F69="","",$F69*chronic_consumption!AT469/1000/$C$3)</f>
        <v>#DIV/0!</v>
      </c>
      <c r="AZ469" s="44" t="s">
        <v>20</v>
      </c>
      <c r="BC469" s="29"/>
      <c r="BD469" s="29"/>
    </row>
    <row r="470" spans="1:56" ht="12" customHeight="1" outlineLevel="3" x14ac:dyDescent="0.2">
      <c r="A470" s="21">
        <f>acute_overview_children!A70</f>
        <v>4</v>
      </c>
      <c r="B470" s="325">
        <f t="shared" si="38"/>
        <v>161030</v>
      </c>
      <c r="C470" s="325" t="str">
        <f t="shared" si="38"/>
        <v xml:space="preserve">Table olives </v>
      </c>
      <c r="D470" s="135"/>
      <c r="E470" s="1027"/>
      <c r="F470" s="87"/>
      <c r="G470" s="1027"/>
      <c r="H470" s="1029"/>
      <c r="I470" s="1030"/>
      <c r="J470" s="1039" t="e">
        <f>IF($F70="","",$F70*chronic_consumption!E470/1000/$C$3)</f>
        <v>#DIV/0!</v>
      </c>
      <c r="K470" s="1040" t="e">
        <f>IF($F70="","",$F70*chronic_consumption!F470/1000/$C$3)</f>
        <v>#DIV/0!</v>
      </c>
      <c r="L470" s="1040" t="e">
        <f>IF($F70="","",$F70*chronic_consumption!G470/1000/$C$3)</f>
        <v>#DIV/0!</v>
      </c>
      <c r="M470" s="1040" t="e">
        <f>IF($F70="","",$F70*chronic_consumption!H470/1000/$C$3)</f>
        <v>#DIV/0!</v>
      </c>
      <c r="N470" s="1040" t="e">
        <f>IF($F70="","",$F70*chronic_consumption!I470/1000/$C$3)</f>
        <v>#DIV/0!</v>
      </c>
      <c r="O470" s="1040" t="e">
        <f>IF($F70="","",$F70*chronic_consumption!J470/1000/$C$3)</f>
        <v>#DIV/0!</v>
      </c>
      <c r="P470" s="1040" t="e">
        <f>IF($F70="","",$F70*chronic_consumption!K470/1000/$C$3)</f>
        <v>#DIV/0!</v>
      </c>
      <c r="Q470" s="1040" t="e">
        <f>IF($F70="","",$F70*chronic_consumption!L470/1000/$C$3)</f>
        <v>#DIV/0!</v>
      </c>
      <c r="R470" s="1040" t="e">
        <f>IF($F70="","",$F70*chronic_consumption!M470/1000/$C$3)</f>
        <v>#DIV/0!</v>
      </c>
      <c r="S470" s="1040" t="e">
        <f>IF($F70="","",$F70*chronic_consumption!N470/1000/$C$3)</f>
        <v>#DIV/0!</v>
      </c>
      <c r="T470" s="1040" t="e">
        <f>IF($F70="","",$F70*chronic_consumption!O470/1000/$C$3)</f>
        <v>#DIV/0!</v>
      </c>
      <c r="U470" s="1040" t="e">
        <f>IF($F70="","",$F70*chronic_consumption!P470/1000/$C$3)</f>
        <v>#DIV/0!</v>
      </c>
      <c r="V470" s="1040" t="e">
        <f>IF($F70="","",$F70*chronic_consumption!Q470/1000/$C$3)</f>
        <v>#DIV/0!</v>
      </c>
      <c r="W470" s="1040" t="e">
        <f>IF($F70="","",$F70*chronic_consumption!R470/1000/$C$3)</f>
        <v>#DIV/0!</v>
      </c>
      <c r="X470" s="1040" t="e">
        <f>IF($F70="","",$F70*chronic_consumption!S470/1000/$C$3)</f>
        <v>#DIV/0!</v>
      </c>
      <c r="Y470" s="1040" t="e">
        <f>IF($F70="","",$F70*chronic_consumption!T470/1000/$C$3)</f>
        <v>#DIV/0!</v>
      </c>
      <c r="Z470" s="1040" t="e">
        <f>IF($F70="","",$F70*chronic_consumption!U470/1000/$C$3)</f>
        <v>#DIV/0!</v>
      </c>
      <c r="AA470" s="1040" t="e">
        <f>IF($F70="","",$F70*chronic_consumption!V470/1000/$C$3)</f>
        <v>#DIV/0!</v>
      </c>
      <c r="AB470" s="1040" t="e">
        <f>IF($F70="","",$F70*chronic_consumption!W470/1000/$C$3)</f>
        <v>#DIV/0!</v>
      </c>
      <c r="AC470" s="1040" t="e">
        <f>IF($F70="","",$F70*chronic_consumption!X470/1000/$C$3)</f>
        <v>#DIV/0!</v>
      </c>
      <c r="AD470" s="1040" t="e">
        <f>IF($F70="","",$F70*chronic_consumption!Y470/1000/$C$3)</f>
        <v>#DIV/0!</v>
      </c>
      <c r="AE470" s="1040" t="e">
        <f>IF($F70="","",$F70*chronic_consumption!Z470/1000/$C$3)</f>
        <v>#DIV/0!</v>
      </c>
      <c r="AF470" s="1040" t="e">
        <f>IF($F70="","",$F70*chronic_consumption!AA470/1000/$C$3)</f>
        <v>#DIV/0!</v>
      </c>
      <c r="AG470" s="1040" t="e">
        <f>IF($F70="","",$F70*chronic_consumption!AB470/1000/$C$3)</f>
        <v>#DIV/0!</v>
      </c>
      <c r="AH470" s="1040" t="e">
        <f>IF($F70="","",$F70*chronic_consumption!AC470/1000/$C$3)</f>
        <v>#DIV/0!</v>
      </c>
      <c r="AI470" s="1040" t="e">
        <f>IF($F70="","",$F70*chronic_consumption!AD470/1000/$C$3)</f>
        <v>#DIV/0!</v>
      </c>
      <c r="AJ470" s="1040" t="e">
        <f>IF($F70="","",$F70*chronic_consumption!AE470/1000/$C$3)</f>
        <v>#DIV/0!</v>
      </c>
      <c r="AK470" s="1040" t="e">
        <f>IF($F70="","",$F70*chronic_consumption!AF470/1000/$C$3)</f>
        <v>#DIV/0!</v>
      </c>
      <c r="AL470" s="1040" t="e">
        <f>IF($F70="","",$F70*chronic_consumption!AG470/1000/$C$3)</f>
        <v>#DIV/0!</v>
      </c>
      <c r="AM470" s="1040" t="e">
        <f>IF($F70="","",$F70*chronic_consumption!AH470/1000/$C$3)</f>
        <v>#DIV/0!</v>
      </c>
      <c r="AN470" s="1040" t="e">
        <f>IF($F70="","",$F70*chronic_consumption!AI470/1000/$C$3)</f>
        <v>#DIV/0!</v>
      </c>
      <c r="AO470" s="1040" t="e">
        <f>IF($F70="","",$F70*chronic_consumption!AJ470/1000/$C$3)</f>
        <v>#DIV/0!</v>
      </c>
      <c r="AP470" s="1040" t="e">
        <f>IF($F70="","",$F70*chronic_consumption!AK470/1000/$C$3)</f>
        <v>#DIV/0!</v>
      </c>
      <c r="AQ470" s="1040" t="e">
        <f>IF($F70="","",$F70*chronic_consumption!AL470/1000/$C$3)</f>
        <v>#DIV/0!</v>
      </c>
      <c r="AR470" s="1040" t="e">
        <f>IF($F70="","",$F70*chronic_consumption!AM470/1000/$C$3)</f>
        <v>#DIV/0!</v>
      </c>
      <c r="AS470" s="1040" t="e">
        <f>IF($F70="","",$F70*chronic_consumption!AN470/1000/$C$3)</f>
        <v>#DIV/0!</v>
      </c>
      <c r="AT470" s="1040" t="e">
        <f>IF($F70="","",$F70*chronic_consumption!AO470/1000/$C$3)</f>
        <v>#DIV/0!</v>
      </c>
      <c r="AU470" s="1040" t="e">
        <f>IF($F70="","",$F70*chronic_consumption!AP470/1000/$C$3)</f>
        <v>#DIV/0!</v>
      </c>
      <c r="AV470" s="1040" t="e">
        <f>IF($F70="","",$F70*chronic_consumption!AQ470/1000/$C$3)</f>
        <v>#DIV/0!</v>
      </c>
      <c r="AW470" s="1040" t="e">
        <f>IF($F70="","",$F70*chronic_consumption!AR470/1000/$C$3)</f>
        <v>#DIV/0!</v>
      </c>
      <c r="AX470" s="1040" t="e">
        <f>IF($F70="","",$F70*chronic_consumption!AS470/1000/$C$3)</f>
        <v>#DIV/0!</v>
      </c>
      <c r="AY470" s="1040" t="e">
        <f>IF($F70="","",$F70*chronic_consumption!AT470/1000/$C$3)</f>
        <v>#DIV/0!</v>
      </c>
      <c r="AZ470" s="44" t="s">
        <v>20</v>
      </c>
      <c r="BC470" s="29"/>
      <c r="BD470" s="29"/>
    </row>
    <row r="471" spans="1:56" ht="12" customHeight="1" outlineLevel="3" x14ac:dyDescent="0.2">
      <c r="A471" s="21">
        <f>acute_overview_children!A71</f>
        <v>4</v>
      </c>
      <c r="B471" s="325">
        <f t="shared" si="38"/>
        <v>161040</v>
      </c>
      <c r="C471" s="325" t="str">
        <f t="shared" si="38"/>
        <v>Kumquats</v>
      </c>
      <c r="D471" s="135"/>
      <c r="E471" s="1027"/>
      <c r="F471" s="87"/>
      <c r="G471" s="1027"/>
      <c r="H471" s="1029"/>
      <c r="I471" s="1030"/>
      <c r="J471" s="1039" t="e">
        <f>IF($F71="","",$F71*chronic_consumption!E471/1000/$C$3)</f>
        <v>#DIV/0!</v>
      </c>
      <c r="K471" s="1040" t="e">
        <f>IF($F71="","",$F71*chronic_consumption!F471/1000/$C$3)</f>
        <v>#DIV/0!</v>
      </c>
      <c r="L471" s="1040" t="e">
        <f>IF($F71="","",$F71*chronic_consumption!G471/1000/$C$3)</f>
        <v>#DIV/0!</v>
      </c>
      <c r="M471" s="1040" t="e">
        <f>IF($F71="","",$F71*chronic_consumption!H471/1000/$C$3)</f>
        <v>#DIV/0!</v>
      </c>
      <c r="N471" s="1040" t="e">
        <f>IF($F71="","",$F71*chronic_consumption!I471/1000/$C$3)</f>
        <v>#DIV/0!</v>
      </c>
      <c r="O471" s="1040" t="e">
        <f>IF($F71="","",$F71*chronic_consumption!J471/1000/$C$3)</f>
        <v>#DIV/0!</v>
      </c>
      <c r="P471" s="1040" t="e">
        <f>IF($F71="","",$F71*chronic_consumption!K471/1000/$C$3)</f>
        <v>#DIV/0!</v>
      </c>
      <c r="Q471" s="1040" t="e">
        <f>IF($F71="","",$F71*chronic_consumption!L471/1000/$C$3)</f>
        <v>#DIV/0!</v>
      </c>
      <c r="R471" s="1040" t="e">
        <f>IF($F71="","",$F71*chronic_consumption!M471/1000/$C$3)</f>
        <v>#DIV/0!</v>
      </c>
      <c r="S471" s="1040" t="e">
        <f>IF($F71="","",$F71*chronic_consumption!N471/1000/$C$3)</f>
        <v>#DIV/0!</v>
      </c>
      <c r="T471" s="1040" t="e">
        <f>IF($F71="","",$F71*chronic_consumption!O471/1000/$C$3)</f>
        <v>#DIV/0!</v>
      </c>
      <c r="U471" s="1040" t="e">
        <f>IF($F71="","",$F71*chronic_consumption!P471/1000/$C$3)</f>
        <v>#DIV/0!</v>
      </c>
      <c r="V471" s="1040" t="e">
        <f>IF($F71="","",$F71*chronic_consumption!Q471/1000/$C$3)</f>
        <v>#DIV/0!</v>
      </c>
      <c r="W471" s="1040" t="e">
        <f>IF($F71="","",$F71*chronic_consumption!R471/1000/$C$3)</f>
        <v>#DIV/0!</v>
      </c>
      <c r="X471" s="1040" t="e">
        <f>IF($F71="","",$F71*chronic_consumption!S471/1000/$C$3)</f>
        <v>#DIV/0!</v>
      </c>
      <c r="Y471" s="1040" t="e">
        <f>IF($F71="","",$F71*chronic_consumption!T471/1000/$C$3)</f>
        <v>#DIV/0!</v>
      </c>
      <c r="Z471" s="1040" t="e">
        <f>IF($F71="","",$F71*chronic_consumption!U471/1000/$C$3)</f>
        <v>#DIV/0!</v>
      </c>
      <c r="AA471" s="1040" t="e">
        <f>IF($F71="","",$F71*chronic_consumption!V471/1000/$C$3)</f>
        <v>#DIV/0!</v>
      </c>
      <c r="AB471" s="1040" t="e">
        <f>IF($F71="","",$F71*chronic_consumption!W471/1000/$C$3)</f>
        <v>#DIV/0!</v>
      </c>
      <c r="AC471" s="1040" t="e">
        <f>IF($F71="","",$F71*chronic_consumption!X471/1000/$C$3)</f>
        <v>#DIV/0!</v>
      </c>
      <c r="AD471" s="1040" t="e">
        <f>IF($F71="","",$F71*chronic_consumption!Y471/1000/$C$3)</f>
        <v>#DIV/0!</v>
      </c>
      <c r="AE471" s="1040" t="e">
        <f>IF($F71="","",$F71*chronic_consumption!Z471/1000/$C$3)</f>
        <v>#DIV/0!</v>
      </c>
      <c r="AF471" s="1040" t="e">
        <f>IF($F71="","",$F71*chronic_consumption!AA471/1000/$C$3)</f>
        <v>#DIV/0!</v>
      </c>
      <c r="AG471" s="1040" t="e">
        <f>IF($F71="","",$F71*chronic_consumption!AB471/1000/$C$3)</f>
        <v>#DIV/0!</v>
      </c>
      <c r="AH471" s="1040" t="e">
        <f>IF($F71="","",$F71*chronic_consumption!AC471/1000/$C$3)</f>
        <v>#DIV/0!</v>
      </c>
      <c r="AI471" s="1040" t="e">
        <f>IF($F71="","",$F71*chronic_consumption!AD471/1000/$C$3)</f>
        <v>#DIV/0!</v>
      </c>
      <c r="AJ471" s="1040" t="e">
        <f>IF($F71="","",$F71*chronic_consumption!AE471/1000/$C$3)</f>
        <v>#DIV/0!</v>
      </c>
      <c r="AK471" s="1040" t="e">
        <f>IF($F71="","",$F71*chronic_consumption!AF471/1000/$C$3)</f>
        <v>#DIV/0!</v>
      </c>
      <c r="AL471" s="1040" t="e">
        <f>IF($F71="","",$F71*chronic_consumption!AG471/1000/$C$3)</f>
        <v>#DIV/0!</v>
      </c>
      <c r="AM471" s="1040" t="e">
        <f>IF($F71="","",$F71*chronic_consumption!AH471/1000/$C$3)</f>
        <v>#DIV/0!</v>
      </c>
      <c r="AN471" s="1040" t="e">
        <f>IF($F71="","",$F71*chronic_consumption!AI471/1000/$C$3)</f>
        <v>#DIV/0!</v>
      </c>
      <c r="AO471" s="1040" t="e">
        <f>IF($F71="","",$F71*chronic_consumption!AJ471/1000/$C$3)</f>
        <v>#DIV/0!</v>
      </c>
      <c r="AP471" s="1040" t="e">
        <f>IF($F71="","",$F71*chronic_consumption!AK471/1000/$C$3)</f>
        <v>#DIV/0!</v>
      </c>
      <c r="AQ471" s="1040" t="e">
        <f>IF($F71="","",$F71*chronic_consumption!AL471/1000/$C$3)</f>
        <v>#DIV/0!</v>
      </c>
      <c r="AR471" s="1040" t="e">
        <f>IF($F71="","",$F71*chronic_consumption!AM471/1000/$C$3)</f>
        <v>#DIV/0!</v>
      </c>
      <c r="AS471" s="1040" t="e">
        <f>IF($F71="","",$F71*chronic_consumption!AN471/1000/$C$3)</f>
        <v>#DIV/0!</v>
      </c>
      <c r="AT471" s="1040" t="e">
        <f>IF($F71="","",$F71*chronic_consumption!AO471/1000/$C$3)</f>
        <v>#DIV/0!</v>
      </c>
      <c r="AU471" s="1040" t="e">
        <f>IF($F71="","",$F71*chronic_consumption!AP471/1000/$C$3)</f>
        <v>#DIV/0!</v>
      </c>
      <c r="AV471" s="1040" t="e">
        <f>IF($F71="","",$F71*chronic_consumption!AQ471/1000/$C$3)</f>
        <v>#DIV/0!</v>
      </c>
      <c r="AW471" s="1040" t="e">
        <f>IF($F71="","",$F71*chronic_consumption!AR471/1000/$C$3)</f>
        <v>#DIV/0!</v>
      </c>
      <c r="AX471" s="1040" t="e">
        <f>IF($F71="","",$F71*chronic_consumption!AS471/1000/$C$3)</f>
        <v>#DIV/0!</v>
      </c>
      <c r="AY471" s="1040" t="e">
        <f>IF($F71="","",$F71*chronic_consumption!AT471/1000/$C$3)</f>
        <v>#DIV/0!</v>
      </c>
      <c r="AZ471" s="44" t="s">
        <v>20</v>
      </c>
      <c r="BC471" s="29"/>
      <c r="BD471" s="29"/>
    </row>
    <row r="472" spans="1:56" ht="12" customHeight="1" outlineLevel="3" x14ac:dyDescent="0.2">
      <c r="A472" s="21">
        <f>acute_overview_children!A72</f>
        <v>4</v>
      </c>
      <c r="B472" s="325">
        <f t="shared" ref="B472:C491" si="39">B72</f>
        <v>161050</v>
      </c>
      <c r="C472" s="325" t="str">
        <f t="shared" si="39"/>
        <v>Carambolas</v>
      </c>
      <c r="D472" s="135"/>
      <c r="E472" s="1027"/>
      <c r="F472" s="87"/>
      <c r="G472" s="1027"/>
      <c r="H472" s="1029"/>
      <c r="I472" s="1030"/>
      <c r="J472" s="1039" t="e">
        <f>IF($F72="","",$F72*chronic_consumption!E472/1000/$C$3)</f>
        <v>#DIV/0!</v>
      </c>
      <c r="K472" s="1040" t="e">
        <f>IF($F72="","",$F72*chronic_consumption!F472/1000/$C$3)</f>
        <v>#DIV/0!</v>
      </c>
      <c r="L472" s="1040" t="e">
        <f>IF($F72="","",$F72*chronic_consumption!G472/1000/$C$3)</f>
        <v>#DIV/0!</v>
      </c>
      <c r="M472" s="1040" t="e">
        <f>IF($F72="","",$F72*chronic_consumption!H472/1000/$C$3)</f>
        <v>#DIV/0!</v>
      </c>
      <c r="N472" s="1040" t="e">
        <f>IF($F72="","",$F72*chronic_consumption!I472/1000/$C$3)</f>
        <v>#DIV/0!</v>
      </c>
      <c r="O472" s="1040" t="e">
        <f>IF($F72="","",$F72*chronic_consumption!J472/1000/$C$3)</f>
        <v>#DIV/0!</v>
      </c>
      <c r="P472" s="1040" t="e">
        <f>IF($F72="","",$F72*chronic_consumption!K472/1000/$C$3)</f>
        <v>#DIV/0!</v>
      </c>
      <c r="Q472" s="1040" t="e">
        <f>IF($F72="","",$F72*chronic_consumption!L472/1000/$C$3)</f>
        <v>#DIV/0!</v>
      </c>
      <c r="R472" s="1040" t="e">
        <f>IF($F72="","",$F72*chronic_consumption!M472/1000/$C$3)</f>
        <v>#DIV/0!</v>
      </c>
      <c r="S472" s="1040" t="e">
        <f>IF($F72="","",$F72*chronic_consumption!N472/1000/$C$3)</f>
        <v>#DIV/0!</v>
      </c>
      <c r="T472" s="1040" t="e">
        <f>IF($F72="","",$F72*chronic_consumption!O472/1000/$C$3)</f>
        <v>#DIV/0!</v>
      </c>
      <c r="U472" s="1040" t="e">
        <f>IF($F72="","",$F72*chronic_consumption!P472/1000/$C$3)</f>
        <v>#DIV/0!</v>
      </c>
      <c r="V472" s="1040" t="e">
        <f>IF($F72="","",$F72*chronic_consumption!Q472/1000/$C$3)</f>
        <v>#DIV/0!</v>
      </c>
      <c r="W472" s="1040" t="e">
        <f>IF($F72="","",$F72*chronic_consumption!R472/1000/$C$3)</f>
        <v>#DIV/0!</v>
      </c>
      <c r="X472" s="1040" t="e">
        <f>IF($F72="","",$F72*chronic_consumption!S472/1000/$C$3)</f>
        <v>#DIV/0!</v>
      </c>
      <c r="Y472" s="1040" t="e">
        <f>IF($F72="","",$F72*chronic_consumption!T472/1000/$C$3)</f>
        <v>#DIV/0!</v>
      </c>
      <c r="Z472" s="1040" t="e">
        <f>IF($F72="","",$F72*chronic_consumption!U472/1000/$C$3)</f>
        <v>#DIV/0!</v>
      </c>
      <c r="AA472" s="1040" t="e">
        <f>IF($F72="","",$F72*chronic_consumption!V472/1000/$C$3)</f>
        <v>#DIV/0!</v>
      </c>
      <c r="AB472" s="1040" t="e">
        <f>IF($F72="","",$F72*chronic_consumption!W472/1000/$C$3)</f>
        <v>#DIV/0!</v>
      </c>
      <c r="AC472" s="1040" t="e">
        <f>IF($F72="","",$F72*chronic_consumption!X472/1000/$C$3)</f>
        <v>#DIV/0!</v>
      </c>
      <c r="AD472" s="1040" t="e">
        <f>IF($F72="","",$F72*chronic_consumption!Y472/1000/$C$3)</f>
        <v>#DIV/0!</v>
      </c>
      <c r="AE472" s="1040" t="e">
        <f>IF($F72="","",$F72*chronic_consumption!Z472/1000/$C$3)</f>
        <v>#DIV/0!</v>
      </c>
      <c r="AF472" s="1040" t="e">
        <f>IF($F72="","",$F72*chronic_consumption!AA472/1000/$C$3)</f>
        <v>#DIV/0!</v>
      </c>
      <c r="AG472" s="1040" t="e">
        <f>IF($F72="","",$F72*chronic_consumption!AB472/1000/$C$3)</f>
        <v>#DIV/0!</v>
      </c>
      <c r="AH472" s="1040" t="e">
        <f>IF($F72="","",$F72*chronic_consumption!AC472/1000/$C$3)</f>
        <v>#DIV/0!</v>
      </c>
      <c r="AI472" s="1040" t="e">
        <f>IF($F72="","",$F72*chronic_consumption!AD472/1000/$C$3)</f>
        <v>#DIV/0!</v>
      </c>
      <c r="AJ472" s="1040" t="e">
        <f>IF($F72="","",$F72*chronic_consumption!AE472/1000/$C$3)</f>
        <v>#DIV/0!</v>
      </c>
      <c r="AK472" s="1040" t="e">
        <f>IF($F72="","",$F72*chronic_consumption!AF472/1000/$C$3)</f>
        <v>#DIV/0!</v>
      </c>
      <c r="AL472" s="1040" t="e">
        <f>IF($F72="","",$F72*chronic_consumption!AG472/1000/$C$3)</f>
        <v>#DIV/0!</v>
      </c>
      <c r="AM472" s="1040" t="e">
        <f>IF($F72="","",$F72*chronic_consumption!AH472/1000/$C$3)</f>
        <v>#DIV/0!</v>
      </c>
      <c r="AN472" s="1040" t="e">
        <f>IF($F72="","",$F72*chronic_consumption!AI472/1000/$C$3)</f>
        <v>#DIV/0!</v>
      </c>
      <c r="AO472" s="1040" t="e">
        <f>IF($F72="","",$F72*chronic_consumption!AJ472/1000/$C$3)</f>
        <v>#DIV/0!</v>
      </c>
      <c r="AP472" s="1040" t="e">
        <f>IF($F72="","",$F72*chronic_consumption!AK472/1000/$C$3)</f>
        <v>#DIV/0!</v>
      </c>
      <c r="AQ472" s="1040" t="e">
        <f>IF($F72="","",$F72*chronic_consumption!AL472/1000/$C$3)</f>
        <v>#DIV/0!</v>
      </c>
      <c r="AR472" s="1040" t="e">
        <f>IF($F72="","",$F72*chronic_consumption!AM472/1000/$C$3)</f>
        <v>#DIV/0!</v>
      </c>
      <c r="AS472" s="1040" t="e">
        <f>IF($F72="","",$F72*chronic_consumption!AN472/1000/$C$3)</f>
        <v>#DIV/0!</v>
      </c>
      <c r="AT472" s="1040" t="e">
        <f>IF($F72="","",$F72*chronic_consumption!AO472/1000/$C$3)</f>
        <v>#DIV/0!</v>
      </c>
      <c r="AU472" s="1040" t="e">
        <f>IF($F72="","",$F72*chronic_consumption!AP472/1000/$C$3)</f>
        <v>#DIV/0!</v>
      </c>
      <c r="AV472" s="1040" t="e">
        <f>IF($F72="","",$F72*chronic_consumption!AQ472/1000/$C$3)</f>
        <v>#DIV/0!</v>
      </c>
      <c r="AW472" s="1040" t="e">
        <f>IF($F72="","",$F72*chronic_consumption!AR472/1000/$C$3)</f>
        <v>#DIV/0!</v>
      </c>
      <c r="AX472" s="1040" t="e">
        <f>IF($F72="","",$F72*chronic_consumption!AS472/1000/$C$3)</f>
        <v>#DIV/0!</v>
      </c>
      <c r="AY472" s="1040" t="e">
        <f>IF($F72="","",$F72*chronic_consumption!AT472/1000/$C$3)</f>
        <v>#DIV/0!</v>
      </c>
      <c r="AZ472" s="44" t="s">
        <v>20</v>
      </c>
      <c r="BC472" s="29"/>
      <c r="BD472" s="29"/>
    </row>
    <row r="473" spans="1:56" ht="12" customHeight="1" outlineLevel="3" x14ac:dyDescent="0.2">
      <c r="A473" s="21">
        <f>acute_overview_children!A73</f>
        <v>4</v>
      </c>
      <c r="B473" s="325">
        <f t="shared" si="39"/>
        <v>161060</v>
      </c>
      <c r="C473" s="325" t="str">
        <f t="shared" si="39"/>
        <v xml:space="preserve">Kaki/Japanese persimmons </v>
      </c>
      <c r="D473" s="135"/>
      <c r="E473" s="1027"/>
      <c r="F473" s="87"/>
      <c r="G473" s="1027"/>
      <c r="H473" s="1029"/>
      <c r="I473" s="1030"/>
      <c r="J473" s="1039" t="e">
        <f>IF($F73="","",$F73*chronic_consumption!E473/1000/$C$3)</f>
        <v>#DIV/0!</v>
      </c>
      <c r="K473" s="1040" t="e">
        <f>IF($F73="","",$F73*chronic_consumption!F473/1000/$C$3)</f>
        <v>#DIV/0!</v>
      </c>
      <c r="L473" s="1040" t="e">
        <f>IF($F73="","",$F73*chronic_consumption!G473/1000/$C$3)</f>
        <v>#DIV/0!</v>
      </c>
      <c r="M473" s="1040" t="e">
        <f>IF($F73="","",$F73*chronic_consumption!H473/1000/$C$3)</f>
        <v>#DIV/0!</v>
      </c>
      <c r="N473" s="1040" t="e">
        <f>IF($F73="","",$F73*chronic_consumption!I473/1000/$C$3)</f>
        <v>#DIV/0!</v>
      </c>
      <c r="O473" s="1040" t="e">
        <f>IF($F73="","",$F73*chronic_consumption!J473/1000/$C$3)</f>
        <v>#DIV/0!</v>
      </c>
      <c r="P473" s="1040" t="e">
        <f>IF($F73="","",$F73*chronic_consumption!K473/1000/$C$3)</f>
        <v>#DIV/0!</v>
      </c>
      <c r="Q473" s="1040" t="e">
        <f>IF($F73="","",$F73*chronic_consumption!L473/1000/$C$3)</f>
        <v>#DIV/0!</v>
      </c>
      <c r="R473" s="1040" t="e">
        <f>IF($F73="","",$F73*chronic_consumption!M473/1000/$C$3)</f>
        <v>#DIV/0!</v>
      </c>
      <c r="S473" s="1040" t="e">
        <f>IF($F73="","",$F73*chronic_consumption!N473/1000/$C$3)</f>
        <v>#DIV/0!</v>
      </c>
      <c r="T473" s="1040" t="e">
        <f>IF($F73="","",$F73*chronic_consumption!O473/1000/$C$3)</f>
        <v>#DIV/0!</v>
      </c>
      <c r="U473" s="1040" t="e">
        <f>IF($F73="","",$F73*chronic_consumption!P473/1000/$C$3)</f>
        <v>#DIV/0!</v>
      </c>
      <c r="V473" s="1040" t="e">
        <f>IF($F73="","",$F73*chronic_consumption!Q473/1000/$C$3)</f>
        <v>#DIV/0!</v>
      </c>
      <c r="W473" s="1040" t="e">
        <f>IF($F73="","",$F73*chronic_consumption!R473/1000/$C$3)</f>
        <v>#DIV/0!</v>
      </c>
      <c r="X473" s="1040" t="e">
        <f>IF($F73="","",$F73*chronic_consumption!S473/1000/$C$3)</f>
        <v>#DIV/0!</v>
      </c>
      <c r="Y473" s="1040" t="e">
        <f>IF($F73="","",$F73*chronic_consumption!T473/1000/$C$3)</f>
        <v>#DIV/0!</v>
      </c>
      <c r="Z473" s="1040" t="e">
        <f>IF($F73="","",$F73*chronic_consumption!U473/1000/$C$3)</f>
        <v>#DIV/0!</v>
      </c>
      <c r="AA473" s="1040" t="e">
        <f>IF($F73="","",$F73*chronic_consumption!V473/1000/$C$3)</f>
        <v>#DIV/0!</v>
      </c>
      <c r="AB473" s="1040" t="e">
        <f>IF($F73="","",$F73*chronic_consumption!W473/1000/$C$3)</f>
        <v>#DIV/0!</v>
      </c>
      <c r="AC473" s="1040" t="e">
        <f>IF($F73="","",$F73*chronic_consumption!X473/1000/$C$3)</f>
        <v>#DIV/0!</v>
      </c>
      <c r="AD473" s="1040" t="e">
        <f>IF($F73="","",$F73*chronic_consumption!Y473/1000/$C$3)</f>
        <v>#DIV/0!</v>
      </c>
      <c r="AE473" s="1040" t="e">
        <f>IF($F73="","",$F73*chronic_consumption!Z473/1000/$C$3)</f>
        <v>#DIV/0!</v>
      </c>
      <c r="AF473" s="1040" t="e">
        <f>IF($F73="","",$F73*chronic_consumption!AA473/1000/$C$3)</f>
        <v>#DIV/0!</v>
      </c>
      <c r="AG473" s="1040" t="e">
        <f>IF($F73="","",$F73*chronic_consumption!AB473/1000/$C$3)</f>
        <v>#DIV/0!</v>
      </c>
      <c r="AH473" s="1040" t="e">
        <f>IF($F73="","",$F73*chronic_consumption!AC473/1000/$C$3)</f>
        <v>#DIV/0!</v>
      </c>
      <c r="AI473" s="1040" t="e">
        <f>IF($F73="","",$F73*chronic_consumption!AD473/1000/$C$3)</f>
        <v>#DIV/0!</v>
      </c>
      <c r="AJ473" s="1040" t="e">
        <f>IF($F73="","",$F73*chronic_consumption!AE473/1000/$C$3)</f>
        <v>#DIV/0!</v>
      </c>
      <c r="AK473" s="1040" t="e">
        <f>IF($F73="","",$F73*chronic_consumption!AF473/1000/$C$3)</f>
        <v>#DIV/0!</v>
      </c>
      <c r="AL473" s="1040" t="e">
        <f>IF($F73="","",$F73*chronic_consumption!AG473/1000/$C$3)</f>
        <v>#DIV/0!</v>
      </c>
      <c r="AM473" s="1040" t="e">
        <f>IF($F73="","",$F73*chronic_consumption!AH473/1000/$C$3)</f>
        <v>#DIV/0!</v>
      </c>
      <c r="AN473" s="1040" t="e">
        <f>IF($F73="","",$F73*chronic_consumption!AI473/1000/$C$3)</f>
        <v>#DIV/0!</v>
      </c>
      <c r="AO473" s="1040" t="e">
        <f>IF($F73="","",$F73*chronic_consumption!AJ473/1000/$C$3)</f>
        <v>#DIV/0!</v>
      </c>
      <c r="AP473" s="1040" t="e">
        <f>IF($F73="","",$F73*chronic_consumption!AK473/1000/$C$3)</f>
        <v>#DIV/0!</v>
      </c>
      <c r="AQ473" s="1040" t="e">
        <f>IF($F73="","",$F73*chronic_consumption!AL473/1000/$C$3)</f>
        <v>#DIV/0!</v>
      </c>
      <c r="AR473" s="1040" t="e">
        <f>IF($F73="","",$F73*chronic_consumption!AM473/1000/$C$3)</f>
        <v>#DIV/0!</v>
      </c>
      <c r="AS473" s="1040" t="e">
        <f>IF($F73="","",$F73*chronic_consumption!AN473/1000/$C$3)</f>
        <v>#DIV/0!</v>
      </c>
      <c r="AT473" s="1040" t="e">
        <f>IF($F73="","",$F73*chronic_consumption!AO473/1000/$C$3)</f>
        <v>#DIV/0!</v>
      </c>
      <c r="AU473" s="1040" t="e">
        <f>IF($F73="","",$F73*chronic_consumption!AP473/1000/$C$3)</f>
        <v>#DIV/0!</v>
      </c>
      <c r="AV473" s="1040" t="e">
        <f>IF($F73="","",$F73*chronic_consumption!AQ473/1000/$C$3)</f>
        <v>#DIV/0!</v>
      </c>
      <c r="AW473" s="1040" t="e">
        <f>IF($F73="","",$F73*chronic_consumption!AR473/1000/$C$3)</f>
        <v>#DIV/0!</v>
      </c>
      <c r="AX473" s="1040" t="e">
        <f>IF($F73="","",$F73*chronic_consumption!AS473/1000/$C$3)</f>
        <v>#DIV/0!</v>
      </c>
      <c r="AY473" s="1040" t="e">
        <f>IF($F73="","",$F73*chronic_consumption!AT473/1000/$C$3)</f>
        <v>#DIV/0!</v>
      </c>
      <c r="AZ473" s="44" t="s">
        <v>20</v>
      </c>
      <c r="BC473" s="29"/>
      <c r="BD473" s="29"/>
    </row>
    <row r="474" spans="1:56" ht="12" customHeight="1" outlineLevel="3" x14ac:dyDescent="0.2">
      <c r="A474" s="21">
        <f>acute_overview_children!A74</f>
        <v>4</v>
      </c>
      <c r="B474" s="325">
        <f t="shared" si="39"/>
        <v>161070</v>
      </c>
      <c r="C474" s="325" t="str">
        <f t="shared" si="39"/>
        <v>Jambuls/jambolans</v>
      </c>
      <c r="D474" s="135"/>
      <c r="E474" s="1027"/>
      <c r="F474" s="87"/>
      <c r="G474" s="1027"/>
      <c r="H474" s="1029"/>
      <c r="I474" s="1030"/>
      <c r="J474" s="1039" t="e">
        <f>IF($F74="","",$F74*chronic_consumption!E474/1000/$C$3)</f>
        <v>#DIV/0!</v>
      </c>
      <c r="K474" s="1040" t="e">
        <f>IF($F74="","",$F74*chronic_consumption!F474/1000/$C$3)</f>
        <v>#DIV/0!</v>
      </c>
      <c r="L474" s="1040" t="e">
        <f>IF($F74="","",$F74*chronic_consumption!G474/1000/$C$3)</f>
        <v>#DIV/0!</v>
      </c>
      <c r="M474" s="1040" t="e">
        <f>IF($F74="","",$F74*chronic_consumption!H474/1000/$C$3)</f>
        <v>#DIV/0!</v>
      </c>
      <c r="N474" s="1040" t="e">
        <f>IF($F74="","",$F74*chronic_consumption!I474/1000/$C$3)</f>
        <v>#DIV/0!</v>
      </c>
      <c r="O474" s="1040" t="e">
        <f>IF($F74="","",$F74*chronic_consumption!J474/1000/$C$3)</f>
        <v>#DIV/0!</v>
      </c>
      <c r="P474" s="1040" t="e">
        <f>IF($F74="","",$F74*chronic_consumption!K474/1000/$C$3)</f>
        <v>#DIV/0!</v>
      </c>
      <c r="Q474" s="1040" t="e">
        <f>IF($F74="","",$F74*chronic_consumption!L474/1000/$C$3)</f>
        <v>#DIV/0!</v>
      </c>
      <c r="R474" s="1040" t="e">
        <f>IF($F74="","",$F74*chronic_consumption!M474/1000/$C$3)</f>
        <v>#DIV/0!</v>
      </c>
      <c r="S474" s="1040" t="e">
        <f>IF($F74="","",$F74*chronic_consumption!N474/1000/$C$3)</f>
        <v>#DIV/0!</v>
      </c>
      <c r="T474" s="1040" t="e">
        <f>IF($F74="","",$F74*chronic_consumption!O474/1000/$C$3)</f>
        <v>#DIV/0!</v>
      </c>
      <c r="U474" s="1040" t="e">
        <f>IF($F74="","",$F74*chronic_consumption!P474/1000/$C$3)</f>
        <v>#DIV/0!</v>
      </c>
      <c r="V474" s="1040" t="e">
        <f>IF($F74="","",$F74*chronic_consumption!Q474/1000/$C$3)</f>
        <v>#DIV/0!</v>
      </c>
      <c r="W474" s="1040" t="e">
        <f>IF($F74="","",$F74*chronic_consumption!R474/1000/$C$3)</f>
        <v>#DIV/0!</v>
      </c>
      <c r="X474" s="1040" t="e">
        <f>IF($F74="","",$F74*chronic_consumption!S474/1000/$C$3)</f>
        <v>#DIV/0!</v>
      </c>
      <c r="Y474" s="1040" t="e">
        <f>IF($F74="","",$F74*chronic_consumption!T474/1000/$C$3)</f>
        <v>#DIV/0!</v>
      </c>
      <c r="Z474" s="1040" t="e">
        <f>IF($F74="","",$F74*chronic_consumption!U474/1000/$C$3)</f>
        <v>#DIV/0!</v>
      </c>
      <c r="AA474" s="1040" t="e">
        <f>IF($F74="","",$F74*chronic_consumption!V474/1000/$C$3)</f>
        <v>#DIV/0!</v>
      </c>
      <c r="AB474" s="1040" t="e">
        <f>IF($F74="","",$F74*chronic_consumption!W474/1000/$C$3)</f>
        <v>#DIV/0!</v>
      </c>
      <c r="AC474" s="1040" t="e">
        <f>IF($F74="","",$F74*chronic_consumption!X474/1000/$C$3)</f>
        <v>#DIV/0!</v>
      </c>
      <c r="AD474" s="1040" t="e">
        <f>IF($F74="","",$F74*chronic_consumption!Y474/1000/$C$3)</f>
        <v>#DIV/0!</v>
      </c>
      <c r="AE474" s="1040" t="e">
        <f>IF($F74="","",$F74*chronic_consumption!Z474/1000/$C$3)</f>
        <v>#DIV/0!</v>
      </c>
      <c r="AF474" s="1040" t="e">
        <f>IF($F74="","",$F74*chronic_consumption!AA474/1000/$C$3)</f>
        <v>#DIV/0!</v>
      </c>
      <c r="AG474" s="1040" t="e">
        <f>IF($F74="","",$F74*chronic_consumption!AB474/1000/$C$3)</f>
        <v>#DIV/0!</v>
      </c>
      <c r="AH474" s="1040" t="e">
        <f>IF($F74="","",$F74*chronic_consumption!AC474/1000/$C$3)</f>
        <v>#DIV/0!</v>
      </c>
      <c r="AI474" s="1040" t="e">
        <f>IF($F74="","",$F74*chronic_consumption!AD474/1000/$C$3)</f>
        <v>#DIV/0!</v>
      </c>
      <c r="AJ474" s="1040" t="e">
        <f>IF($F74="","",$F74*chronic_consumption!AE474/1000/$C$3)</f>
        <v>#DIV/0!</v>
      </c>
      <c r="AK474" s="1040" t="e">
        <f>IF($F74="","",$F74*chronic_consumption!AF474/1000/$C$3)</f>
        <v>#DIV/0!</v>
      </c>
      <c r="AL474" s="1040" t="e">
        <f>IF($F74="","",$F74*chronic_consumption!AG474/1000/$C$3)</f>
        <v>#DIV/0!</v>
      </c>
      <c r="AM474" s="1040" t="e">
        <f>IF($F74="","",$F74*chronic_consumption!AH474/1000/$C$3)</f>
        <v>#DIV/0!</v>
      </c>
      <c r="AN474" s="1040" t="e">
        <f>IF($F74="","",$F74*chronic_consumption!AI474/1000/$C$3)</f>
        <v>#DIV/0!</v>
      </c>
      <c r="AO474" s="1040" t="e">
        <f>IF($F74="","",$F74*chronic_consumption!AJ474/1000/$C$3)</f>
        <v>#DIV/0!</v>
      </c>
      <c r="AP474" s="1040" t="e">
        <f>IF($F74="","",$F74*chronic_consumption!AK474/1000/$C$3)</f>
        <v>#DIV/0!</v>
      </c>
      <c r="AQ474" s="1040" t="e">
        <f>IF($F74="","",$F74*chronic_consumption!AL474/1000/$C$3)</f>
        <v>#DIV/0!</v>
      </c>
      <c r="AR474" s="1040" t="e">
        <f>IF($F74="","",$F74*chronic_consumption!AM474/1000/$C$3)</f>
        <v>#DIV/0!</v>
      </c>
      <c r="AS474" s="1040" t="e">
        <f>IF($F74="","",$F74*chronic_consumption!AN474/1000/$C$3)</f>
        <v>#DIV/0!</v>
      </c>
      <c r="AT474" s="1040" t="e">
        <f>IF($F74="","",$F74*chronic_consumption!AO474/1000/$C$3)</f>
        <v>#DIV/0!</v>
      </c>
      <c r="AU474" s="1040" t="e">
        <f>IF($F74="","",$F74*chronic_consumption!AP474/1000/$C$3)</f>
        <v>#DIV/0!</v>
      </c>
      <c r="AV474" s="1040" t="e">
        <f>IF($F74="","",$F74*chronic_consumption!AQ474/1000/$C$3)</f>
        <v>#DIV/0!</v>
      </c>
      <c r="AW474" s="1040" t="e">
        <f>IF($F74="","",$F74*chronic_consumption!AR474/1000/$C$3)</f>
        <v>#DIV/0!</v>
      </c>
      <c r="AX474" s="1040" t="e">
        <f>IF($F74="","",$F74*chronic_consumption!AS474/1000/$C$3)</f>
        <v>#DIV/0!</v>
      </c>
      <c r="AY474" s="1040" t="e">
        <f>IF($F74="","",$F74*chronic_consumption!AT474/1000/$C$3)</f>
        <v>#DIV/0!</v>
      </c>
      <c r="AZ474" s="44" t="s">
        <v>20</v>
      </c>
      <c r="BC474" s="29"/>
      <c r="BD474" s="29"/>
    </row>
    <row r="475" spans="1:56" ht="12" customHeight="1" outlineLevel="3" x14ac:dyDescent="0.2">
      <c r="A475" s="21">
        <f>acute_overview_children!A75</f>
        <v>4</v>
      </c>
      <c r="B475" s="325">
        <f t="shared" si="39"/>
        <v>161990</v>
      </c>
      <c r="C475" s="325" t="str">
        <f t="shared" si="39"/>
        <v>Other miscellaneous fruit (edible peel)</v>
      </c>
      <c r="D475" s="135"/>
      <c r="E475" s="1027"/>
      <c r="F475" s="87"/>
      <c r="G475" s="1027"/>
      <c r="H475" s="1029"/>
      <c r="I475" s="1030"/>
      <c r="J475" s="1039" t="e">
        <f>IF($F75="","",$F75*chronic_consumption!E475/1000/$C$3)</f>
        <v>#DIV/0!</v>
      </c>
      <c r="K475" s="1040" t="e">
        <f>IF($F75="","",$F75*chronic_consumption!F475/1000/$C$3)</f>
        <v>#DIV/0!</v>
      </c>
      <c r="L475" s="1040" t="e">
        <f>IF($F75="","",$F75*chronic_consumption!G475/1000/$C$3)</f>
        <v>#DIV/0!</v>
      </c>
      <c r="M475" s="1040" t="e">
        <f>IF($F75="","",$F75*chronic_consumption!H475/1000/$C$3)</f>
        <v>#DIV/0!</v>
      </c>
      <c r="N475" s="1040" t="e">
        <f>IF($F75="","",$F75*chronic_consumption!I475/1000/$C$3)</f>
        <v>#DIV/0!</v>
      </c>
      <c r="O475" s="1040" t="e">
        <f>IF($F75="","",$F75*chronic_consumption!J475/1000/$C$3)</f>
        <v>#DIV/0!</v>
      </c>
      <c r="P475" s="1040" t="e">
        <f>IF($F75="","",$F75*chronic_consumption!K475/1000/$C$3)</f>
        <v>#DIV/0!</v>
      </c>
      <c r="Q475" s="1040" t="e">
        <f>IF($F75="","",$F75*chronic_consumption!L475/1000/$C$3)</f>
        <v>#DIV/0!</v>
      </c>
      <c r="R475" s="1040" t="e">
        <f>IF($F75="","",$F75*chronic_consumption!M475/1000/$C$3)</f>
        <v>#DIV/0!</v>
      </c>
      <c r="S475" s="1040" t="e">
        <f>IF($F75="","",$F75*chronic_consumption!N475/1000/$C$3)</f>
        <v>#DIV/0!</v>
      </c>
      <c r="T475" s="1040" t="e">
        <f>IF($F75="","",$F75*chronic_consumption!O475/1000/$C$3)</f>
        <v>#DIV/0!</v>
      </c>
      <c r="U475" s="1040" t="e">
        <f>IF($F75="","",$F75*chronic_consumption!P475/1000/$C$3)</f>
        <v>#DIV/0!</v>
      </c>
      <c r="V475" s="1040" t="e">
        <f>IF($F75="","",$F75*chronic_consumption!Q475/1000/$C$3)</f>
        <v>#DIV/0!</v>
      </c>
      <c r="W475" s="1040" t="e">
        <f>IF($F75="","",$F75*chronic_consumption!R475/1000/$C$3)</f>
        <v>#DIV/0!</v>
      </c>
      <c r="X475" s="1040" t="e">
        <f>IF($F75="","",$F75*chronic_consumption!S475/1000/$C$3)</f>
        <v>#DIV/0!</v>
      </c>
      <c r="Y475" s="1040" t="e">
        <f>IF($F75="","",$F75*chronic_consumption!T475/1000/$C$3)</f>
        <v>#DIV/0!</v>
      </c>
      <c r="Z475" s="1040" t="e">
        <f>IF($F75="","",$F75*chronic_consumption!U475/1000/$C$3)</f>
        <v>#DIV/0!</v>
      </c>
      <c r="AA475" s="1040" t="e">
        <f>IF($F75="","",$F75*chronic_consumption!V475/1000/$C$3)</f>
        <v>#DIV/0!</v>
      </c>
      <c r="AB475" s="1040" t="e">
        <f>IF($F75="","",$F75*chronic_consumption!W475/1000/$C$3)</f>
        <v>#DIV/0!</v>
      </c>
      <c r="AC475" s="1040" t="e">
        <f>IF($F75="","",$F75*chronic_consumption!X475/1000/$C$3)</f>
        <v>#DIV/0!</v>
      </c>
      <c r="AD475" s="1040" t="e">
        <f>IF($F75="","",$F75*chronic_consumption!Y475/1000/$C$3)</f>
        <v>#DIV/0!</v>
      </c>
      <c r="AE475" s="1040" t="e">
        <f>IF($F75="","",$F75*chronic_consumption!Z475/1000/$C$3)</f>
        <v>#DIV/0!</v>
      </c>
      <c r="AF475" s="1040" t="e">
        <f>IF($F75="","",$F75*chronic_consumption!AA475/1000/$C$3)</f>
        <v>#DIV/0!</v>
      </c>
      <c r="AG475" s="1040" t="e">
        <f>IF($F75="","",$F75*chronic_consumption!AB475/1000/$C$3)</f>
        <v>#DIV/0!</v>
      </c>
      <c r="AH475" s="1040" t="e">
        <f>IF($F75="","",$F75*chronic_consumption!AC475/1000/$C$3)</f>
        <v>#DIV/0!</v>
      </c>
      <c r="AI475" s="1040" t="e">
        <f>IF($F75="","",$F75*chronic_consumption!AD475/1000/$C$3)</f>
        <v>#DIV/0!</v>
      </c>
      <c r="AJ475" s="1040" t="e">
        <f>IF($F75="","",$F75*chronic_consumption!AE475/1000/$C$3)</f>
        <v>#DIV/0!</v>
      </c>
      <c r="AK475" s="1040" t="e">
        <f>IF($F75="","",$F75*chronic_consumption!AF475/1000/$C$3)</f>
        <v>#DIV/0!</v>
      </c>
      <c r="AL475" s="1040" t="e">
        <f>IF($F75="","",$F75*chronic_consumption!AG475/1000/$C$3)</f>
        <v>#DIV/0!</v>
      </c>
      <c r="AM475" s="1040" t="e">
        <f>IF($F75="","",$F75*chronic_consumption!AH475/1000/$C$3)</f>
        <v>#DIV/0!</v>
      </c>
      <c r="AN475" s="1040" t="e">
        <f>IF($F75="","",$F75*chronic_consumption!AI475/1000/$C$3)</f>
        <v>#DIV/0!</v>
      </c>
      <c r="AO475" s="1040" t="e">
        <f>IF($F75="","",$F75*chronic_consumption!AJ475/1000/$C$3)</f>
        <v>#DIV/0!</v>
      </c>
      <c r="AP475" s="1040" t="e">
        <f>IF($F75="","",$F75*chronic_consumption!AK475/1000/$C$3)</f>
        <v>#DIV/0!</v>
      </c>
      <c r="AQ475" s="1040" t="e">
        <f>IF($F75="","",$F75*chronic_consumption!AL475/1000/$C$3)</f>
        <v>#DIV/0!</v>
      </c>
      <c r="AR475" s="1040" t="e">
        <f>IF($F75="","",$F75*chronic_consumption!AM475/1000/$C$3)</f>
        <v>#DIV/0!</v>
      </c>
      <c r="AS475" s="1040" t="e">
        <f>IF($F75="","",$F75*chronic_consumption!AN475/1000/$C$3)</f>
        <v>#DIV/0!</v>
      </c>
      <c r="AT475" s="1040" t="e">
        <f>IF($F75="","",$F75*chronic_consumption!AO475/1000/$C$3)</f>
        <v>#DIV/0!</v>
      </c>
      <c r="AU475" s="1040" t="e">
        <f>IF($F75="","",$F75*chronic_consumption!AP475/1000/$C$3)</f>
        <v>#DIV/0!</v>
      </c>
      <c r="AV475" s="1040" t="e">
        <f>IF($F75="","",$F75*chronic_consumption!AQ475/1000/$C$3)</f>
        <v>#DIV/0!</v>
      </c>
      <c r="AW475" s="1040" t="e">
        <f>IF($F75="","",$F75*chronic_consumption!AR475/1000/$C$3)</f>
        <v>#DIV/0!</v>
      </c>
      <c r="AX475" s="1040" t="e">
        <f>IF($F75="","",$F75*chronic_consumption!AS475/1000/$C$3)</f>
        <v>#DIV/0!</v>
      </c>
      <c r="AY475" s="1040" t="e">
        <f>IF($F75="","",$F75*chronic_consumption!AT475/1000/$C$3)</f>
        <v>#DIV/0!</v>
      </c>
      <c r="AZ475" s="44" t="s">
        <v>20</v>
      </c>
      <c r="BC475" s="29"/>
      <c r="BD475" s="29"/>
    </row>
    <row r="476" spans="1:56" ht="12" customHeight="1" outlineLevel="2" x14ac:dyDescent="0.2">
      <c r="A476" s="341">
        <f>acute_overview_children!A76</f>
        <v>3</v>
      </c>
      <c r="B476" s="1041">
        <f t="shared" si="39"/>
        <v>162000</v>
      </c>
      <c r="C476" s="1041" t="str">
        <f t="shared" si="39"/>
        <v>Miscellaneous fruit (inedible peel,
small)</v>
      </c>
      <c r="D476" s="1042"/>
      <c r="E476" s="1027"/>
      <c r="F476" s="87"/>
      <c r="G476" s="1027"/>
      <c r="H476" s="1029"/>
      <c r="I476" s="1030"/>
      <c r="J476" s="1043" t="e">
        <f>IF($F76="","",$F76*chronic_consumption!E476/1000/$C$3)</f>
        <v>#DIV/0!</v>
      </c>
      <c r="K476" s="1044" t="e">
        <f>IF($F76="","",$F76*chronic_consumption!F476/1000/$C$3)</f>
        <v>#DIV/0!</v>
      </c>
      <c r="L476" s="1044" t="e">
        <f>IF($F76="","",$F76*chronic_consumption!G476/1000/$C$3)</f>
        <v>#DIV/0!</v>
      </c>
      <c r="M476" s="1044" t="e">
        <f>IF($F76="","",$F76*chronic_consumption!H476/1000/$C$3)</f>
        <v>#DIV/0!</v>
      </c>
      <c r="N476" s="1044" t="e">
        <f>IF($F76="","",$F76*chronic_consumption!I476/1000/$C$3)</f>
        <v>#DIV/0!</v>
      </c>
      <c r="O476" s="1044" t="e">
        <f>IF($F76="","",$F76*chronic_consumption!J476/1000/$C$3)</f>
        <v>#DIV/0!</v>
      </c>
      <c r="P476" s="1044" t="e">
        <f>IF($F76="","",$F76*chronic_consumption!K476/1000/$C$3)</f>
        <v>#DIV/0!</v>
      </c>
      <c r="Q476" s="1044" t="e">
        <f>IF($F76="","",$F76*chronic_consumption!L476/1000/$C$3)</f>
        <v>#DIV/0!</v>
      </c>
      <c r="R476" s="1044" t="e">
        <f>IF($F76="","",$F76*chronic_consumption!M476/1000/$C$3)</f>
        <v>#DIV/0!</v>
      </c>
      <c r="S476" s="1044" t="e">
        <f>IF($F76="","",$F76*chronic_consumption!N476/1000/$C$3)</f>
        <v>#DIV/0!</v>
      </c>
      <c r="T476" s="1044" t="e">
        <f>IF($F76="","",$F76*chronic_consumption!O476/1000/$C$3)</f>
        <v>#DIV/0!</v>
      </c>
      <c r="U476" s="1044" t="e">
        <f>IF($F76="","",$F76*chronic_consumption!P476/1000/$C$3)</f>
        <v>#DIV/0!</v>
      </c>
      <c r="V476" s="1044" t="e">
        <f>IF($F76="","",$F76*chronic_consumption!Q476/1000/$C$3)</f>
        <v>#DIV/0!</v>
      </c>
      <c r="W476" s="1044" t="e">
        <f>IF($F76="","",$F76*chronic_consumption!R476/1000/$C$3)</f>
        <v>#DIV/0!</v>
      </c>
      <c r="X476" s="1044" t="e">
        <f>IF($F76="","",$F76*chronic_consumption!S476/1000/$C$3)</f>
        <v>#DIV/0!</v>
      </c>
      <c r="Y476" s="1044" t="e">
        <f>IF($F76="","",$F76*chronic_consumption!T476/1000/$C$3)</f>
        <v>#DIV/0!</v>
      </c>
      <c r="Z476" s="1044" t="e">
        <f>IF($F76="","",$F76*chronic_consumption!U476/1000/$C$3)</f>
        <v>#DIV/0!</v>
      </c>
      <c r="AA476" s="1044" t="e">
        <f>IF($F76="","",$F76*chronic_consumption!V476/1000/$C$3)</f>
        <v>#DIV/0!</v>
      </c>
      <c r="AB476" s="1044" t="e">
        <f>IF($F76="","",$F76*chronic_consumption!W476/1000/$C$3)</f>
        <v>#DIV/0!</v>
      </c>
      <c r="AC476" s="1044" t="e">
        <f>IF($F76="","",$F76*chronic_consumption!X476/1000/$C$3)</f>
        <v>#DIV/0!</v>
      </c>
      <c r="AD476" s="1044" t="e">
        <f>IF($F76="","",$F76*chronic_consumption!Y476/1000/$C$3)</f>
        <v>#DIV/0!</v>
      </c>
      <c r="AE476" s="1044" t="e">
        <f>IF($F76="","",$F76*chronic_consumption!Z476/1000/$C$3)</f>
        <v>#DIV/0!</v>
      </c>
      <c r="AF476" s="1044" t="e">
        <f>IF($F76="","",$F76*chronic_consumption!AA476/1000/$C$3)</f>
        <v>#DIV/0!</v>
      </c>
      <c r="AG476" s="1044" t="e">
        <f>IF($F76="","",$F76*chronic_consumption!AB476/1000/$C$3)</f>
        <v>#DIV/0!</v>
      </c>
      <c r="AH476" s="1044" t="e">
        <f>IF($F76="","",$F76*chronic_consumption!AC476/1000/$C$3)</f>
        <v>#DIV/0!</v>
      </c>
      <c r="AI476" s="1044" t="e">
        <f>IF($F76="","",$F76*chronic_consumption!AD476/1000/$C$3)</f>
        <v>#DIV/0!</v>
      </c>
      <c r="AJ476" s="1044" t="e">
        <f>IF($F76="","",$F76*chronic_consumption!AE476/1000/$C$3)</f>
        <v>#DIV/0!</v>
      </c>
      <c r="AK476" s="1044" t="e">
        <f>IF($F76="","",$F76*chronic_consumption!AF476/1000/$C$3)</f>
        <v>#DIV/0!</v>
      </c>
      <c r="AL476" s="1044" t="e">
        <f>IF($F76="","",$F76*chronic_consumption!AG476/1000/$C$3)</f>
        <v>#DIV/0!</v>
      </c>
      <c r="AM476" s="1044" t="e">
        <f>IF($F76="","",$F76*chronic_consumption!AH476/1000/$C$3)</f>
        <v>#DIV/0!</v>
      </c>
      <c r="AN476" s="1044" t="e">
        <f>IF($F76="","",$F76*chronic_consumption!AI476/1000/$C$3)</f>
        <v>#DIV/0!</v>
      </c>
      <c r="AO476" s="1044" t="e">
        <f>IF($F76="","",$F76*chronic_consumption!AJ476/1000/$C$3)</f>
        <v>#DIV/0!</v>
      </c>
      <c r="AP476" s="1044" t="e">
        <f>IF($F76="","",$F76*chronic_consumption!AK476/1000/$C$3)</f>
        <v>#DIV/0!</v>
      </c>
      <c r="AQ476" s="1044" t="e">
        <f>IF($F76="","",$F76*chronic_consumption!AL476/1000/$C$3)</f>
        <v>#DIV/0!</v>
      </c>
      <c r="AR476" s="1044" t="e">
        <f>IF($F76="","",$F76*chronic_consumption!AM476/1000/$C$3)</f>
        <v>#DIV/0!</v>
      </c>
      <c r="AS476" s="1044" t="e">
        <f>IF($F76="","",$F76*chronic_consumption!AN476/1000/$C$3)</f>
        <v>#DIV/0!</v>
      </c>
      <c r="AT476" s="1044" t="e">
        <f>IF($F76="","",$F76*chronic_consumption!AO476/1000/$C$3)</f>
        <v>#DIV/0!</v>
      </c>
      <c r="AU476" s="1044" t="e">
        <f>IF($F76="","",$F76*chronic_consumption!AP476/1000/$C$3)</f>
        <v>#DIV/0!</v>
      </c>
      <c r="AV476" s="1044" t="e">
        <f>IF($F76="","",$F76*chronic_consumption!AQ476/1000/$C$3)</f>
        <v>#DIV/0!</v>
      </c>
      <c r="AW476" s="1044" t="e">
        <f>IF($F76="","",$F76*chronic_consumption!AR476/1000/$C$3)</f>
        <v>#DIV/0!</v>
      </c>
      <c r="AX476" s="1044" t="e">
        <f>IF($F76="","",$F76*chronic_consumption!AS476/1000/$C$3)</f>
        <v>#DIV/0!</v>
      </c>
      <c r="AY476" s="1044" t="e">
        <f>IF($F76="","",$F76*chronic_consumption!AT476/1000/$C$3)</f>
        <v>#DIV/0!</v>
      </c>
      <c r="AZ476" s="44" t="s">
        <v>20</v>
      </c>
      <c r="BC476" s="29"/>
      <c r="BD476" s="29"/>
    </row>
    <row r="477" spans="1:56" ht="12" customHeight="1" outlineLevel="3" x14ac:dyDescent="0.2">
      <c r="A477" s="21">
        <f>acute_overview_children!A77</f>
        <v>4</v>
      </c>
      <c r="B477" s="325">
        <f t="shared" si="39"/>
        <v>162010</v>
      </c>
      <c r="C477" s="325" t="str">
        <f t="shared" si="39"/>
        <v>Kiwi fruits (green, red, yellow)</v>
      </c>
      <c r="D477" s="135"/>
      <c r="E477" s="1027"/>
      <c r="F477" s="87"/>
      <c r="G477" s="1027"/>
      <c r="H477" s="1029"/>
      <c r="I477" s="1030"/>
      <c r="J477" s="1039" t="e">
        <f>IF($F77="","",$F77*chronic_consumption!E477/1000/$C$3)</f>
        <v>#DIV/0!</v>
      </c>
      <c r="K477" s="1040" t="e">
        <f>IF($F77="","",$F77*chronic_consumption!F477/1000/$C$3)</f>
        <v>#DIV/0!</v>
      </c>
      <c r="L477" s="1040" t="e">
        <f>IF($F77="","",$F77*chronic_consumption!G477/1000/$C$3)</f>
        <v>#DIV/0!</v>
      </c>
      <c r="M477" s="1040" t="e">
        <f>IF($F77="","",$F77*chronic_consumption!H477/1000/$C$3)</f>
        <v>#DIV/0!</v>
      </c>
      <c r="N477" s="1040" t="e">
        <f>IF($F77="","",$F77*chronic_consumption!I477/1000/$C$3)</f>
        <v>#DIV/0!</v>
      </c>
      <c r="O477" s="1040" t="e">
        <f>IF($F77="","",$F77*chronic_consumption!J477/1000/$C$3)</f>
        <v>#DIV/0!</v>
      </c>
      <c r="P477" s="1040" t="e">
        <f>IF($F77="","",$F77*chronic_consumption!K477/1000/$C$3)</f>
        <v>#DIV/0!</v>
      </c>
      <c r="Q477" s="1040" t="e">
        <f>IF($F77="","",$F77*chronic_consumption!L477/1000/$C$3)</f>
        <v>#DIV/0!</v>
      </c>
      <c r="R477" s="1040" t="e">
        <f>IF($F77="","",$F77*chronic_consumption!M477/1000/$C$3)</f>
        <v>#DIV/0!</v>
      </c>
      <c r="S477" s="1040" t="e">
        <f>IF($F77="","",$F77*chronic_consumption!N477/1000/$C$3)</f>
        <v>#DIV/0!</v>
      </c>
      <c r="T477" s="1040" t="e">
        <f>IF($F77="","",$F77*chronic_consumption!O477/1000/$C$3)</f>
        <v>#DIV/0!</v>
      </c>
      <c r="U477" s="1040" t="e">
        <f>IF($F77="","",$F77*chronic_consumption!P477/1000/$C$3)</f>
        <v>#DIV/0!</v>
      </c>
      <c r="V477" s="1040" t="e">
        <f>IF($F77="","",$F77*chronic_consumption!Q477/1000/$C$3)</f>
        <v>#DIV/0!</v>
      </c>
      <c r="W477" s="1040" t="e">
        <f>IF($F77="","",$F77*chronic_consumption!R477/1000/$C$3)</f>
        <v>#DIV/0!</v>
      </c>
      <c r="X477" s="1040" t="e">
        <f>IF($F77="","",$F77*chronic_consumption!S477/1000/$C$3)</f>
        <v>#DIV/0!</v>
      </c>
      <c r="Y477" s="1040" t="e">
        <f>IF($F77="","",$F77*chronic_consumption!T477/1000/$C$3)</f>
        <v>#DIV/0!</v>
      </c>
      <c r="Z477" s="1040" t="e">
        <f>IF($F77="","",$F77*chronic_consumption!U477/1000/$C$3)</f>
        <v>#DIV/0!</v>
      </c>
      <c r="AA477" s="1040" t="e">
        <f>IF($F77="","",$F77*chronic_consumption!V477/1000/$C$3)</f>
        <v>#DIV/0!</v>
      </c>
      <c r="AB477" s="1040" t="e">
        <f>IF($F77="","",$F77*chronic_consumption!W477/1000/$C$3)</f>
        <v>#DIV/0!</v>
      </c>
      <c r="AC477" s="1040" t="e">
        <f>IF($F77="","",$F77*chronic_consumption!X477/1000/$C$3)</f>
        <v>#DIV/0!</v>
      </c>
      <c r="AD477" s="1040" t="e">
        <f>IF($F77="","",$F77*chronic_consumption!Y477/1000/$C$3)</f>
        <v>#DIV/0!</v>
      </c>
      <c r="AE477" s="1040" t="e">
        <f>IF($F77="","",$F77*chronic_consumption!Z477/1000/$C$3)</f>
        <v>#DIV/0!</v>
      </c>
      <c r="AF477" s="1040" t="e">
        <f>IF($F77="","",$F77*chronic_consumption!AA477/1000/$C$3)</f>
        <v>#DIV/0!</v>
      </c>
      <c r="AG477" s="1040" t="e">
        <f>IF($F77="","",$F77*chronic_consumption!AB477/1000/$C$3)</f>
        <v>#DIV/0!</v>
      </c>
      <c r="AH477" s="1040" t="e">
        <f>IF($F77="","",$F77*chronic_consumption!AC477/1000/$C$3)</f>
        <v>#DIV/0!</v>
      </c>
      <c r="AI477" s="1040" t="e">
        <f>IF($F77="","",$F77*chronic_consumption!AD477/1000/$C$3)</f>
        <v>#DIV/0!</v>
      </c>
      <c r="AJ477" s="1040" t="e">
        <f>IF($F77="","",$F77*chronic_consumption!AE477/1000/$C$3)</f>
        <v>#DIV/0!</v>
      </c>
      <c r="AK477" s="1040" t="e">
        <f>IF($F77="","",$F77*chronic_consumption!AF477/1000/$C$3)</f>
        <v>#DIV/0!</v>
      </c>
      <c r="AL477" s="1040" t="e">
        <f>IF($F77="","",$F77*chronic_consumption!AG477/1000/$C$3)</f>
        <v>#DIV/0!</v>
      </c>
      <c r="AM477" s="1040" t="e">
        <f>IF($F77="","",$F77*chronic_consumption!AH477/1000/$C$3)</f>
        <v>#DIV/0!</v>
      </c>
      <c r="AN477" s="1040" t="e">
        <f>IF($F77="","",$F77*chronic_consumption!AI477/1000/$C$3)</f>
        <v>#DIV/0!</v>
      </c>
      <c r="AO477" s="1040" t="e">
        <f>IF($F77="","",$F77*chronic_consumption!AJ477/1000/$C$3)</f>
        <v>#DIV/0!</v>
      </c>
      <c r="AP477" s="1040" t="e">
        <f>IF($F77="","",$F77*chronic_consumption!AK477/1000/$C$3)</f>
        <v>#DIV/0!</v>
      </c>
      <c r="AQ477" s="1040" t="e">
        <f>IF($F77="","",$F77*chronic_consumption!AL477/1000/$C$3)</f>
        <v>#DIV/0!</v>
      </c>
      <c r="AR477" s="1040" t="e">
        <f>IF($F77="","",$F77*chronic_consumption!AM477/1000/$C$3)</f>
        <v>#DIV/0!</v>
      </c>
      <c r="AS477" s="1040" t="e">
        <f>IF($F77="","",$F77*chronic_consumption!AN477/1000/$C$3)</f>
        <v>#DIV/0!</v>
      </c>
      <c r="AT477" s="1040" t="e">
        <f>IF($F77="","",$F77*chronic_consumption!AO477/1000/$C$3)</f>
        <v>#DIV/0!</v>
      </c>
      <c r="AU477" s="1040" t="e">
        <f>IF($F77="","",$F77*chronic_consumption!AP477/1000/$C$3)</f>
        <v>#DIV/0!</v>
      </c>
      <c r="AV477" s="1040" t="e">
        <f>IF($F77="","",$F77*chronic_consumption!AQ477/1000/$C$3)</f>
        <v>#DIV/0!</v>
      </c>
      <c r="AW477" s="1040" t="e">
        <f>IF($F77="","",$F77*chronic_consumption!AR477/1000/$C$3)</f>
        <v>#DIV/0!</v>
      </c>
      <c r="AX477" s="1040" t="e">
        <f>IF($F77="","",$F77*chronic_consumption!AS477/1000/$C$3)</f>
        <v>#DIV/0!</v>
      </c>
      <c r="AY477" s="1040" t="e">
        <f>IF($F77="","",$F77*chronic_consumption!AT477/1000/$C$3)</f>
        <v>#DIV/0!</v>
      </c>
      <c r="AZ477" s="44" t="s">
        <v>20</v>
      </c>
      <c r="BC477" s="29"/>
      <c r="BD477" s="29"/>
    </row>
    <row r="478" spans="1:56" ht="12" customHeight="1" outlineLevel="3" x14ac:dyDescent="0.2">
      <c r="A478" s="21">
        <f>acute_overview_children!A78</f>
        <v>4</v>
      </c>
      <c r="B478" s="325">
        <f t="shared" si="39"/>
        <v>162020</v>
      </c>
      <c r="C478" s="325" t="str">
        <f t="shared" si="39"/>
        <v>Litchis/lychees</v>
      </c>
      <c r="D478" s="135"/>
      <c r="E478" s="1027"/>
      <c r="F478" s="87"/>
      <c r="G478" s="1027"/>
      <c r="H478" s="1029"/>
      <c r="I478" s="1030"/>
      <c r="J478" s="1039" t="e">
        <f>IF($F78="","",$F78*chronic_consumption!E478/1000/$C$3)</f>
        <v>#DIV/0!</v>
      </c>
      <c r="K478" s="1040" t="e">
        <f>IF($F78="","",$F78*chronic_consumption!F478/1000/$C$3)</f>
        <v>#DIV/0!</v>
      </c>
      <c r="L478" s="1040" t="e">
        <f>IF($F78="","",$F78*chronic_consumption!G478/1000/$C$3)</f>
        <v>#DIV/0!</v>
      </c>
      <c r="M478" s="1040" t="e">
        <f>IF($F78="","",$F78*chronic_consumption!H478/1000/$C$3)</f>
        <v>#DIV/0!</v>
      </c>
      <c r="N478" s="1040" t="e">
        <f>IF($F78="","",$F78*chronic_consumption!I478/1000/$C$3)</f>
        <v>#DIV/0!</v>
      </c>
      <c r="O478" s="1040" t="e">
        <f>IF($F78="","",$F78*chronic_consumption!J478/1000/$C$3)</f>
        <v>#DIV/0!</v>
      </c>
      <c r="P478" s="1040" t="e">
        <f>IF($F78="","",$F78*chronic_consumption!K478/1000/$C$3)</f>
        <v>#DIV/0!</v>
      </c>
      <c r="Q478" s="1040" t="e">
        <f>IF($F78="","",$F78*chronic_consumption!L478/1000/$C$3)</f>
        <v>#DIV/0!</v>
      </c>
      <c r="R478" s="1040" t="e">
        <f>IF($F78="","",$F78*chronic_consumption!M478/1000/$C$3)</f>
        <v>#DIV/0!</v>
      </c>
      <c r="S478" s="1040" t="e">
        <f>IF($F78="","",$F78*chronic_consumption!N478/1000/$C$3)</f>
        <v>#DIV/0!</v>
      </c>
      <c r="T478" s="1040" t="e">
        <f>IF($F78="","",$F78*chronic_consumption!O478/1000/$C$3)</f>
        <v>#DIV/0!</v>
      </c>
      <c r="U478" s="1040" t="e">
        <f>IF($F78="","",$F78*chronic_consumption!P478/1000/$C$3)</f>
        <v>#DIV/0!</v>
      </c>
      <c r="V478" s="1040" t="e">
        <f>IF($F78="","",$F78*chronic_consumption!Q478/1000/$C$3)</f>
        <v>#DIV/0!</v>
      </c>
      <c r="W478" s="1040" t="e">
        <f>IF($F78="","",$F78*chronic_consumption!R478/1000/$C$3)</f>
        <v>#DIV/0!</v>
      </c>
      <c r="X478" s="1040" t="e">
        <f>IF($F78="","",$F78*chronic_consumption!S478/1000/$C$3)</f>
        <v>#DIV/0!</v>
      </c>
      <c r="Y478" s="1040" t="e">
        <f>IF($F78="","",$F78*chronic_consumption!T478/1000/$C$3)</f>
        <v>#DIV/0!</v>
      </c>
      <c r="Z478" s="1040" t="e">
        <f>IF($F78="","",$F78*chronic_consumption!U478/1000/$C$3)</f>
        <v>#DIV/0!</v>
      </c>
      <c r="AA478" s="1040" t="e">
        <f>IF($F78="","",$F78*chronic_consumption!V478/1000/$C$3)</f>
        <v>#DIV/0!</v>
      </c>
      <c r="AB478" s="1040" t="e">
        <f>IF($F78="","",$F78*chronic_consumption!W478/1000/$C$3)</f>
        <v>#DIV/0!</v>
      </c>
      <c r="AC478" s="1040" t="e">
        <f>IF($F78="","",$F78*chronic_consumption!X478/1000/$C$3)</f>
        <v>#DIV/0!</v>
      </c>
      <c r="AD478" s="1040" t="e">
        <f>IF($F78="","",$F78*chronic_consumption!Y478/1000/$C$3)</f>
        <v>#DIV/0!</v>
      </c>
      <c r="AE478" s="1040" t="e">
        <f>IF($F78="","",$F78*chronic_consumption!Z478/1000/$C$3)</f>
        <v>#DIV/0!</v>
      </c>
      <c r="AF478" s="1040" t="e">
        <f>IF($F78="","",$F78*chronic_consumption!AA478/1000/$C$3)</f>
        <v>#DIV/0!</v>
      </c>
      <c r="AG478" s="1040" t="e">
        <f>IF($F78="","",$F78*chronic_consumption!AB478/1000/$C$3)</f>
        <v>#DIV/0!</v>
      </c>
      <c r="AH478" s="1040" t="e">
        <f>IF($F78="","",$F78*chronic_consumption!AC478/1000/$C$3)</f>
        <v>#DIV/0!</v>
      </c>
      <c r="AI478" s="1040" t="e">
        <f>IF($F78="","",$F78*chronic_consumption!AD478/1000/$C$3)</f>
        <v>#DIV/0!</v>
      </c>
      <c r="AJ478" s="1040" t="e">
        <f>IF($F78="","",$F78*chronic_consumption!AE478/1000/$C$3)</f>
        <v>#DIV/0!</v>
      </c>
      <c r="AK478" s="1040" t="e">
        <f>IF($F78="","",$F78*chronic_consumption!AF478/1000/$C$3)</f>
        <v>#DIV/0!</v>
      </c>
      <c r="AL478" s="1040" t="e">
        <f>IF($F78="","",$F78*chronic_consumption!AG478/1000/$C$3)</f>
        <v>#DIV/0!</v>
      </c>
      <c r="AM478" s="1040" t="e">
        <f>IF($F78="","",$F78*chronic_consumption!AH478/1000/$C$3)</f>
        <v>#DIV/0!</v>
      </c>
      <c r="AN478" s="1040" t="e">
        <f>IF($F78="","",$F78*chronic_consumption!AI478/1000/$C$3)</f>
        <v>#DIV/0!</v>
      </c>
      <c r="AO478" s="1040" t="e">
        <f>IF($F78="","",$F78*chronic_consumption!AJ478/1000/$C$3)</f>
        <v>#DIV/0!</v>
      </c>
      <c r="AP478" s="1040" t="e">
        <f>IF($F78="","",$F78*chronic_consumption!AK478/1000/$C$3)</f>
        <v>#DIV/0!</v>
      </c>
      <c r="AQ478" s="1040" t="e">
        <f>IF($F78="","",$F78*chronic_consumption!AL478/1000/$C$3)</f>
        <v>#DIV/0!</v>
      </c>
      <c r="AR478" s="1040" t="e">
        <f>IF($F78="","",$F78*chronic_consumption!AM478/1000/$C$3)</f>
        <v>#DIV/0!</v>
      </c>
      <c r="AS478" s="1040" t="e">
        <f>IF($F78="","",$F78*chronic_consumption!AN478/1000/$C$3)</f>
        <v>#DIV/0!</v>
      </c>
      <c r="AT478" s="1040" t="e">
        <f>IF($F78="","",$F78*chronic_consumption!AO478/1000/$C$3)</f>
        <v>#DIV/0!</v>
      </c>
      <c r="AU478" s="1040" t="e">
        <f>IF($F78="","",$F78*chronic_consumption!AP478/1000/$C$3)</f>
        <v>#DIV/0!</v>
      </c>
      <c r="AV478" s="1040" t="e">
        <f>IF($F78="","",$F78*chronic_consumption!AQ478/1000/$C$3)</f>
        <v>#DIV/0!</v>
      </c>
      <c r="AW478" s="1040" t="e">
        <f>IF($F78="","",$F78*chronic_consumption!AR478/1000/$C$3)</f>
        <v>#DIV/0!</v>
      </c>
      <c r="AX478" s="1040" t="e">
        <f>IF($F78="","",$F78*chronic_consumption!AS478/1000/$C$3)</f>
        <v>#DIV/0!</v>
      </c>
      <c r="AY478" s="1040" t="e">
        <f>IF($F78="","",$F78*chronic_consumption!AT478/1000/$C$3)</f>
        <v>#DIV/0!</v>
      </c>
      <c r="AZ478" s="44" t="s">
        <v>20</v>
      </c>
      <c r="BC478" s="29"/>
      <c r="BD478" s="29"/>
    </row>
    <row r="479" spans="1:56" ht="12" customHeight="1" outlineLevel="3" x14ac:dyDescent="0.2">
      <c r="A479" s="21">
        <f>acute_overview_children!A79</f>
        <v>4</v>
      </c>
      <c r="B479" s="325">
        <f t="shared" si="39"/>
        <v>162030</v>
      </c>
      <c r="C479" s="325" t="str">
        <f t="shared" si="39"/>
        <v>Passionfruits/maracujas</v>
      </c>
      <c r="D479" s="135"/>
      <c r="E479" s="1027"/>
      <c r="F479" s="87"/>
      <c r="G479" s="1027"/>
      <c r="H479" s="1029"/>
      <c r="I479" s="1030"/>
      <c r="J479" s="1039" t="e">
        <f>IF($F79="","",$F79*chronic_consumption!E479/1000/$C$3)</f>
        <v>#DIV/0!</v>
      </c>
      <c r="K479" s="1040" t="e">
        <f>IF($F79="","",$F79*chronic_consumption!F479/1000/$C$3)</f>
        <v>#DIV/0!</v>
      </c>
      <c r="L479" s="1040" t="e">
        <f>IF($F79="","",$F79*chronic_consumption!G479/1000/$C$3)</f>
        <v>#DIV/0!</v>
      </c>
      <c r="M479" s="1040" t="e">
        <f>IF($F79="","",$F79*chronic_consumption!H479/1000/$C$3)</f>
        <v>#DIV/0!</v>
      </c>
      <c r="N479" s="1040" t="e">
        <f>IF($F79="","",$F79*chronic_consumption!I479/1000/$C$3)</f>
        <v>#DIV/0!</v>
      </c>
      <c r="O479" s="1040" t="e">
        <f>IF($F79="","",$F79*chronic_consumption!J479/1000/$C$3)</f>
        <v>#DIV/0!</v>
      </c>
      <c r="P479" s="1040" t="e">
        <f>IF($F79="","",$F79*chronic_consumption!K479/1000/$C$3)</f>
        <v>#DIV/0!</v>
      </c>
      <c r="Q479" s="1040" t="e">
        <f>IF($F79="","",$F79*chronic_consumption!L479/1000/$C$3)</f>
        <v>#DIV/0!</v>
      </c>
      <c r="R479" s="1040" t="e">
        <f>IF($F79="","",$F79*chronic_consumption!M479/1000/$C$3)</f>
        <v>#DIV/0!</v>
      </c>
      <c r="S479" s="1040" t="e">
        <f>IF($F79="","",$F79*chronic_consumption!N479/1000/$C$3)</f>
        <v>#DIV/0!</v>
      </c>
      <c r="T479" s="1040" t="e">
        <f>IF($F79="","",$F79*chronic_consumption!O479/1000/$C$3)</f>
        <v>#DIV/0!</v>
      </c>
      <c r="U479" s="1040" t="e">
        <f>IF($F79="","",$F79*chronic_consumption!P479/1000/$C$3)</f>
        <v>#DIV/0!</v>
      </c>
      <c r="V479" s="1040" t="e">
        <f>IF($F79="","",$F79*chronic_consumption!Q479/1000/$C$3)</f>
        <v>#DIV/0!</v>
      </c>
      <c r="W479" s="1040" t="e">
        <f>IF($F79="","",$F79*chronic_consumption!R479/1000/$C$3)</f>
        <v>#DIV/0!</v>
      </c>
      <c r="X479" s="1040" t="e">
        <f>IF($F79="","",$F79*chronic_consumption!S479/1000/$C$3)</f>
        <v>#DIV/0!</v>
      </c>
      <c r="Y479" s="1040" t="e">
        <f>IF($F79="","",$F79*chronic_consumption!T479/1000/$C$3)</f>
        <v>#DIV/0!</v>
      </c>
      <c r="Z479" s="1040" t="e">
        <f>IF($F79="","",$F79*chronic_consumption!U479/1000/$C$3)</f>
        <v>#DIV/0!</v>
      </c>
      <c r="AA479" s="1040" t="e">
        <f>IF($F79="","",$F79*chronic_consumption!V479/1000/$C$3)</f>
        <v>#DIV/0!</v>
      </c>
      <c r="AB479" s="1040" t="e">
        <f>IF($F79="","",$F79*chronic_consumption!W479/1000/$C$3)</f>
        <v>#DIV/0!</v>
      </c>
      <c r="AC479" s="1040" t="e">
        <f>IF($F79="","",$F79*chronic_consumption!X479/1000/$C$3)</f>
        <v>#DIV/0!</v>
      </c>
      <c r="AD479" s="1040" t="e">
        <f>IF($F79="","",$F79*chronic_consumption!Y479/1000/$C$3)</f>
        <v>#DIV/0!</v>
      </c>
      <c r="AE479" s="1040" t="e">
        <f>IF($F79="","",$F79*chronic_consumption!Z479/1000/$C$3)</f>
        <v>#DIV/0!</v>
      </c>
      <c r="AF479" s="1040" t="e">
        <f>IF($F79="","",$F79*chronic_consumption!AA479/1000/$C$3)</f>
        <v>#DIV/0!</v>
      </c>
      <c r="AG479" s="1040" t="e">
        <f>IF($F79="","",$F79*chronic_consumption!AB479/1000/$C$3)</f>
        <v>#DIV/0!</v>
      </c>
      <c r="AH479" s="1040" t="e">
        <f>IF($F79="","",$F79*chronic_consumption!AC479/1000/$C$3)</f>
        <v>#DIV/0!</v>
      </c>
      <c r="AI479" s="1040" t="e">
        <f>IF($F79="","",$F79*chronic_consumption!AD479/1000/$C$3)</f>
        <v>#DIV/0!</v>
      </c>
      <c r="AJ479" s="1040" t="e">
        <f>IF($F79="","",$F79*chronic_consumption!AE479/1000/$C$3)</f>
        <v>#DIV/0!</v>
      </c>
      <c r="AK479" s="1040" t="e">
        <f>IF($F79="","",$F79*chronic_consumption!AF479/1000/$C$3)</f>
        <v>#DIV/0!</v>
      </c>
      <c r="AL479" s="1040" t="e">
        <f>IF($F79="","",$F79*chronic_consumption!AG479/1000/$C$3)</f>
        <v>#DIV/0!</v>
      </c>
      <c r="AM479" s="1040" t="e">
        <f>IF($F79="","",$F79*chronic_consumption!AH479/1000/$C$3)</f>
        <v>#DIV/0!</v>
      </c>
      <c r="AN479" s="1040" t="e">
        <f>IF($F79="","",$F79*chronic_consumption!AI479/1000/$C$3)</f>
        <v>#DIV/0!</v>
      </c>
      <c r="AO479" s="1040" t="e">
        <f>IF($F79="","",$F79*chronic_consumption!AJ479/1000/$C$3)</f>
        <v>#DIV/0!</v>
      </c>
      <c r="AP479" s="1040" t="e">
        <f>IF($F79="","",$F79*chronic_consumption!AK479/1000/$C$3)</f>
        <v>#DIV/0!</v>
      </c>
      <c r="AQ479" s="1040" t="e">
        <f>IF($F79="","",$F79*chronic_consumption!AL479/1000/$C$3)</f>
        <v>#DIV/0!</v>
      </c>
      <c r="AR479" s="1040" t="e">
        <f>IF($F79="","",$F79*chronic_consumption!AM479/1000/$C$3)</f>
        <v>#DIV/0!</v>
      </c>
      <c r="AS479" s="1040" t="e">
        <f>IF($F79="","",$F79*chronic_consumption!AN479/1000/$C$3)</f>
        <v>#DIV/0!</v>
      </c>
      <c r="AT479" s="1040" t="e">
        <f>IF($F79="","",$F79*chronic_consumption!AO479/1000/$C$3)</f>
        <v>#DIV/0!</v>
      </c>
      <c r="AU479" s="1040" t="e">
        <f>IF($F79="","",$F79*chronic_consumption!AP479/1000/$C$3)</f>
        <v>#DIV/0!</v>
      </c>
      <c r="AV479" s="1040" t="e">
        <f>IF($F79="","",$F79*chronic_consumption!AQ479/1000/$C$3)</f>
        <v>#DIV/0!</v>
      </c>
      <c r="AW479" s="1040" t="e">
        <f>IF($F79="","",$F79*chronic_consumption!AR479/1000/$C$3)</f>
        <v>#DIV/0!</v>
      </c>
      <c r="AX479" s="1040" t="e">
        <f>IF($F79="","",$F79*chronic_consumption!AS479/1000/$C$3)</f>
        <v>#DIV/0!</v>
      </c>
      <c r="AY479" s="1040" t="e">
        <f>IF($F79="","",$F79*chronic_consumption!AT479/1000/$C$3)</f>
        <v>#DIV/0!</v>
      </c>
      <c r="AZ479" s="44" t="s">
        <v>20</v>
      </c>
      <c r="BC479" s="29"/>
      <c r="BD479" s="29"/>
    </row>
    <row r="480" spans="1:56" ht="12" customHeight="1" outlineLevel="3" x14ac:dyDescent="0.2">
      <c r="A480" s="21">
        <f>acute_overview_children!A80</f>
        <v>4</v>
      </c>
      <c r="B480" s="325">
        <f t="shared" si="39"/>
        <v>162040</v>
      </c>
      <c r="C480" s="325" t="str">
        <f t="shared" si="39"/>
        <v>Prickly pears/cactus fruits</v>
      </c>
      <c r="D480" s="135"/>
      <c r="E480" s="1027"/>
      <c r="F480" s="87"/>
      <c r="G480" s="1027"/>
      <c r="H480" s="1029"/>
      <c r="I480" s="1030"/>
      <c r="J480" s="1039" t="e">
        <f>IF($F80="","",$F80*chronic_consumption!E480/1000/$C$3)</f>
        <v>#DIV/0!</v>
      </c>
      <c r="K480" s="1040" t="e">
        <f>IF($F80="","",$F80*chronic_consumption!F480/1000/$C$3)</f>
        <v>#DIV/0!</v>
      </c>
      <c r="L480" s="1040" t="e">
        <f>IF($F80="","",$F80*chronic_consumption!G480/1000/$C$3)</f>
        <v>#DIV/0!</v>
      </c>
      <c r="M480" s="1040" t="e">
        <f>IF($F80="","",$F80*chronic_consumption!H480/1000/$C$3)</f>
        <v>#DIV/0!</v>
      </c>
      <c r="N480" s="1040" t="e">
        <f>IF($F80="","",$F80*chronic_consumption!I480/1000/$C$3)</f>
        <v>#DIV/0!</v>
      </c>
      <c r="O480" s="1040" t="e">
        <f>IF($F80="","",$F80*chronic_consumption!J480/1000/$C$3)</f>
        <v>#DIV/0!</v>
      </c>
      <c r="P480" s="1040" t="e">
        <f>IF($F80="","",$F80*chronic_consumption!K480/1000/$C$3)</f>
        <v>#DIV/0!</v>
      </c>
      <c r="Q480" s="1040" t="e">
        <f>IF($F80="","",$F80*chronic_consumption!L480/1000/$C$3)</f>
        <v>#DIV/0!</v>
      </c>
      <c r="R480" s="1040" t="e">
        <f>IF($F80="","",$F80*chronic_consumption!M480/1000/$C$3)</f>
        <v>#DIV/0!</v>
      </c>
      <c r="S480" s="1040" t="e">
        <f>IF($F80="","",$F80*chronic_consumption!N480/1000/$C$3)</f>
        <v>#DIV/0!</v>
      </c>
      <c r="T480" s="1040" t="e">
        <f>IF($F80="","",$F80*chronic_consumption!O480/1000/$C$3)</f>
        <v>#DIV/0!</v>
      </c>
      <c r="U480" s="1040" t="e">
        <f>IF($F80="","",$F80*chronic_consumption!P480/1000/$C$3)</f>
        <v>#DIV/0!</v>
      </c>
      <c r="V480" s="1040" t="e">
        <f>IF($F80="","",$F80*chronic_consumption!Q480/1000/$C$3)</f>
        <v>#DIV/0!</v>
      </c>
      <c r="W480" s="1040" t="e">
        <f>IF($F80="","",$F80*chronic_consumption!R480/1000/$C$3)</f>
        <v>#DIV/0!</v>
      </c>
      <c r="X480" s="1040" t="e">
        <f>IF($F80="","",$F80*chronic_consumption!S480/1000/$C$3)</f>
        <v>#DIV/0!</v>
      </c>
      <c r="Y480" s="1040" t="e">
        <f>IF($F80="","",$F80*chronic_consumption!T480/1000/$C$3)</f>
        <v>#DIV/0!</v>
      </c>
      <c r="Z480" s="1040" t="e">
        <f>IF($F80="","",$F80*chronic_consumption!U480/1000/$C$3)</f>
        <v>#DIV/0!</v>
      </c>
      <c r="AA480" s="1040" t="e">
        <f>IF($F80="","",$F80*chronic_consumption!V480/1000/$C$3)</f>
        <v>#DIV/0!</v>
      </c>
      <c r="AB480" s="1040" t="e">
        <f>IF($F80="","",$F80*chronic_consumption!W480/1000/$C$3)</f>
        <v>#DIV/0!</v>
      </c>
      <c r="AC480" s="1040" t="e">
        <f>IF($F80="","",$F80*chronic_consumption!X480/1000/$C$3)</f>
        <v>#DIV/0!</v>
      </c>
      <c r="AD480" s="1040" t="e">
        <f>IF($F80="","",$F80*chronic_consumption!Y480/1000/$C$3)</f>
        <v>#DIV/0!</v>
      </c>
      <c r="AE480" s="1040" t="e">
        <f>IF($F80="","",$F80*chronic_consumption!Z480/1000/$C$3)</f>
        <v>#DIV/0!</v>
      </c>
      <c r="AF480" s="1040" t="e">
        <f>IF($F80="","",$F80*chronic_consumption!AA480/1000/$C$3)</f>
        <v>#DIV/0!</v>
      </c>
      <c r="AG480" s="1040" t="e">
        <f>IF($F80="","",$F80*chronic_consumption!AB480/1000/$C$3)</f>
        <v>#DIV/0!</v>
      </c>
      <c r="AH480" s="1040" t="e">
        <f>IF($F80="","",$F80*chronic_consumption!AC480/1000/$C$3)</f>
        <v>#DIV/0!</v>
      </c>
      <c r="AI480" s="1040" t="e">
        <f>IF($F80="","",$F80*chronic_consumption!AD480/1000/$C$3)</f>
        <v>#DIV/0!</v>
      </c>
      <c r="AJ480" s="1040" t="e">
        <f>IF($F80="","",$F80*chronic_consumption!AE480/1000/$C$3)</f>
        <v>#DIV/0!</v>
      </c>
      <c r="AK480" s="1040" t="e">
        <f>IF($F80="","",$F80*chronic_consumption!AF480/1000/$C$3)</f>
        <v>#DIV/0!</v>
      </c>
      <c r="AL480" s="1040" t="e">
        <f>IF($F80="","",$F80*chronic_consumption!AG480/1000/$C$3)</f>
        <v>#DIV/0!</v>
      </c>
      <c r="AM480" s="1040" t="e">
        <f>IF($F80="","",$F80*chronic_consumption!AH480/1000/$C$3)</f>
        <v>#DIV/0!</v>
      </c>
      <c r="AN480" s="1040" t="e">
        <f>IF($F80="","",$F80*chronic_consumption!AI480/1000/$C$3)</f>
        <v>#DIV/0!</v>
      </c>
      <c r="AO480" s="1040" t="e">
        <f>IF($F80="","",$F80*chronic_consumption!AJ480/1000/$C$3)</f>
        <v>#DIV/0!</v>
      </c>
      <c r="AP480" s="1040" t="e">
        <f>IF($F80="","",$F80*chronic_consumption!AK480/1000/$C$3)</f>
        <v>#DIV/0!</v>
      </c>
      <c r="AQ480" s="1040" t="e">
        <f>IF($F80="","",$F80*chronic_consumption!AL480/1000/$C$3)</f>
        <v>#DIV/0!</v>
      </c>
      <c r="AR480" s="1040" t="e">
        <f>IF($F80="","",$F80*chronic_consumption!AM480/1000/$C$3)</f>
        <v>#DIV/0!</v>
      </c>
      <c r="AS480" s="1040" t="e">
        <f>IF($F80="","",$F80*chronic_consumption!AN480/1000/$C$3)</f>
        <v>#DIV/0!</v>
      </c>
      <c r="AT480" s="1040" t="e">
        <f>IF($F80="","",$F80*chronic_consumption!AO480/1000/$C$3)</f>
        <v>#DIV/0!</v>
      </c>
      <c r="AU480" s="1040" t="e">
        <f>IF($F80="","",$F80*chronic_consumption!AP480/1000/$C$3)</f>
        <v>#DIV/0!</v>
      </c>
      <c r="AV480" s="1040" t="e">
        <f>IF($F80="","",$F80*chronic_consumption!AQ480/1000/$C$3)</f>
        <v>#DIV/0!</v>
      </c>
      <c r="AW480" s="1040" t="e">
        <f>IF($F80="","",$F80*chronic_consumption!AR480/1000/$C$3)</f>
        <v>#DIV/0!</v>
      </c>
      <c r="AX480" s="1040" t="e">
        <f>IF($F80="","",$F80*chronic_consumption!AS480/1000/$C$3)</f>
        <v>#DIV/0!</v>
      </c>
      <c r="AY480" s="1040" t="e">
        <f>IF($F80="","",$F80*chronic_consumption!AT480/1000/$C$3)</f>
        <v>#DIV/0!</v>
      </c>
      <c r="AZ480" s="44" t="s">
        <v>20</v>
      </c>
      <c r="BC480" s="29"/>
      <c r="BD480" s="29"/>
    </row>
    <row r="481" spans="1:56" ht="12" customHeight="1" outlineLevel="3" x14ac:dyDescent="0.2">
      <c r="A481" s="21">
        <f>acute_overview_children!A81</f>
        <v>4</v>
      </c>
      <c r="B481" s="325">
        <f t="shared" si="39"/>
        <v>162050</v>
      </c>
      <c r="C481" s="325" t="str">
        <f t="shared" si="39"/>
        <v>Star apples/cainitos</v>
      </c>
      <c r="D481" s="135"/>
      <c r="E481" s="1027"/>
      <c r="F481" s="87"/>
      <c r="G481" s="1027"/>
      <c r="H481" s="1029"/>
      <c r="I481" s="1030"/>
      <c r="J481" s="1039" t="e">
        <f>IF($F81="","",$F81*chronic_consumption!E481/1000/$C$3)</f>
        <v>#DIV/0!</v>
      </c>
      <c r="K481" s="1040" t="e">
        <f>IF($F81="","",$F81*chronic_consumption!F481/1000/$C$3)</f>
        <v>#DIV/0!</v>
      </c>
      <c r="L481" s="1040" t="e">
        <f>IF($F81="","",$F81*chronic_consumption!G481/1000/$C$3)</f>
        <v>#DIV/0!</v>
      </c>
      <c r="M481" s="1040" t="e">
        <f>IF($F81="","",$F81*chronic_consumption!H481/1000/$C$3)</f>
        <v>#DIV/0!</v>
      </c>
      <c r="N481" s="1040" t="e">
        <f>IF($F81="","",$F81*chronic_consumption!I481/1000/$C$3)</f>
        <v>#DIV/0!</v>
      </c>
      <c r="O481" s="1040" t="e">
        <f>IF($F81="","",$F81*chronic_consumption!J481/1000/$C$3)</f>
        <v>#DIV/0!</v>
      </c>
      <c r="P481" s="1040" t="e">
        <f>IF($F81="","",$F81*chronic_consumption!K481/1000/$C$3)</f>
        <v>#DIV/0!</v>
      </c>
      <c r="Q481" s="1040" t="e">
        <f>IF($F81="","",$F81*chronic_consumption!L481/1000/$C$3)</f>
        <v>#DIV/0!</v>
      </c>
      <c r="R481" s="1040" t="e">
        <f>IF($F81="","",$F81*chronic_consumption!M481/1000/$C$3)</f>
        <v>#DIV/0!</v>
      </c>
      <c r="S481" s="1040" t="e">
        <f>IF($F81="","",$F81*chronic_consumption!N481/1000/$C$3)</f>
        <v>#DIV/0!</v>
      </c>
      <c r="T481" s="1040" t="e">
        <f>IF($F81="","",$F81*chronic_consumption!O481/1000/$C$3)</f>
        <v>#DIV/0!</v>
      </c>
      <c r="U481" s="1040" t="e">
        <f>IF($F81="","",$F81*chronic_consumption!P481/1000/$C$3)</f>
        <v>#DIV/0!</v>
      </c>
      <c r="V481" s="1040" t="e">
        <f>IF($F81="","",$F81*chronic_consumption!Q481/1000/$C$3)</f>
        <v>#DIV/0!</v>
      </c>
      <c r="W481" s="1040" t="e">
        <f>IF($F81="","",$F81*chronic_consumption!R481/1000/$C$3)</f>
        <v>#DIV/0!</v>
      </c>
      <c r="X481" s="1040" t="e">
        <f>IF($F81="","",$F81*chronic_consumption!S481/1000/$C$3)</f>
        <v>#DIV/0!</v>
      </c>
      <c r="Y481" s="1040" t="e">
        <f>IF($F81="","",$F81*chronic_consumption!T481/1000/$C$3)</f>
        <v>#DIV/0!</v>
      </c>
      <c r="Z481" s="1040" t="e">
        <f>IF($F81="","",$F81*chronic_consumption!U481/1000/$C$3)</f>
        <v>#DIV/0!</v>
      </c>
      <c r="AA481" s="1040" t="e">
        <f>IF($F81="","",$F81*chronic_consumption!V481/1000/$C$3)</f>
        <v>#DIV/0!</v>
      </c>
      <c r="AB481" s="1040" t="e">
        <f>IF($F81="","",$F81*chronic_consumption!W481/1000/$C$3)</f>
        <v>#DIV/0!</v>
      </c>
      <c r="AC481" s="1040" t="e">
        <f>IF($F81="","",$F81*chronic_consumption!X481/1000/$C$3)</f>
        <v>#DIV/0!</v>
      </c>
      <c r="AD481" s="1040" t="e">
        <f>IF($F81="","",$F81*chronic_consumption!Y481/1000/$C$3)</f>
        <v>#DIV/0!</v>
      </c>
      <c r="AE481" s="1040" t="e">
        <f>IF($F81="","",$F81*chronic_consumption!Z481/1000/$C$3)</f>
        <v>#DIV/0!</v>
      </c>
      <c r="AF481" s="1040" t="e">
        <f>IF($F81="","",$F81*chronic_consumption!AA481/1000/$C$3)</f>
        <v>#DIV/0!</v>
      </c>
      <c r="AG481" s="1040" t="e">
        <f>IF($F81="","",$F81*chronic_consumption!AB481/1000/$C$3)</f>
        <v>#DIV/0!</v>
      </c>
      <c r="AH481" s="1040" t="e">
        <f>IF($F81="","",$F81*chronic_consumption!AC481/1000/$C$3)</f>
        <v>#DIV/0!</v>
      </c>
      <c r="AI481" s="1040" t="e">
        <f>IF($F81="","",$F81*chronic_consumption!AD481/1000/$C$3)</f>
        <v>#DIV/0!</v>
      </c>
      <c r="AJ481" s="1040" t="e">
        <f>IF($F81="","",$F81*chronic_consumption!AE481/1000/$C$3)</f>
        <v>#DIV/0!</v>
      </c>
      <c r="AK481" s="1040" t="e">
        <f>IF($F81="","",$F81*chronic_consumption!AF481/1000/$C$3)</f>
        <v>#DIV/0!</v>
      </c>
      <c r="AL481" s="1040" t="e">
        <f>IF($F81="","",$F81*chronic_consumption!AG481/1000/$C$3)</f>
        <v>#DIV/0!</v>
      </c>
      <c r="AM481" s="1040" t="e">
        <f>IF($F81="","",$F81*chronic_consumption!AH481/1000/$C$3)</f>
        <v>#DIV/0!</v>
      </c>
      <c r="AN481" s="1040" t="e">
        <f>IF($F81="","",$F81*chronic_consumption!AI481/1000/$C$3)</f>
        <v>#DIV/0!</v>
      </c>
      <c r="AO481" s="1040" t="e">
        <f>IF($F81="","",$F81*chronic_consumption!AJ481/1000/$C$3)</f>
        <v>#DIV/0!</v>
      </c>
      <c r="AP481" s="1040" t="e">
        <f>IF($F81="","",$F81*chronic_consumption!AK481/1000/$C$3)</f>
        <v>#DIV/0!</v>
      </c>
      <c r="AQ481" s="1040" t="e">
        <f>IF($F81="","",$F81*chronic_consumption!AL481/1000/$C$3)</f>
        <v>#DIV/0!</v>
      </c>
      <c r="AR481" s="1040" t="e">
        <f>IF($F81="","",$F81*chronic_consumption!AM481/1000/$C$3)</f>
        <v>#DIV/0!</v>
      </c>
      <c r="AS481" s="1040" t="e">
        <f>IF($F81="","",$F81*chronic_consumption!AN481/1000/$C$3)</f>
        <v>#DIV/0!</v>
      </c>
      <c r="AT481" s="1040" t="e">
        <f>IF($F81="","",$F81*chronic_consumption!AO481/1000/$C$3)</f>
        <v>#DIV/0!</v>
      </c>
      <c r="AU481" s="1040" t="e">
        <f>IF($F81="","",$F81*chronic_consumption!AP481/1000/$C$3)</f>
        <v>#DIV/0!</v>
      </c>
      <c r="AV481" s="1040" t="e">
        <f>IF($F81="","",$F81*chronic_consumption!AQ481/1000/$C$3)</f>
        <v>#DIV/0!</v>
      </c>
      <c r="AW481" s="1040" t="e">
        <f>IF($F81="","",$F81*chronic_consumption!AR481/1000/$C$3)</f>
        <v>#DIV/0!</v>
      </c>
      <c r="AX481" s="1040" t="e">
        <f>IF($F81="","",$F81*chronic_consumption!AS481/1000/$C$3)</f>
        <v>#DIV/0!</v>
      </c>
      <c r="AY481" s="1040" t="e">
        <f>IF($F81="","",$F81*chronic_consumption!AT481/1000/$C$3)</f>
        <v>#DIV/0!</v>
      </c>
      <c r="AZ481" s="44" t="s">
        <v>20</v>
      </c>
      <c r="BC481" s="29"/>
      <c r="BD481" s="29"/>
    </row>
    <row r="482" spans="1:56" ht="12" customHeight="1" outlineLevel="3" x14ac:dyDescent="0.2">
      <c r="A482" s="21">
        <f>acute_overview_children!A82</f>
        <v>4</v>
      </c>
      <c r="B482" s="325">
        <f t="shared" si="39"/>
        <v>162060</v>
      </c>
      <c r="C482" s="325" t="str">
        <f t="shared" si="39"/>
        <v>American persimmon/Virginia kaki</v>
      </c>
      <c r="D482" s="135"/>
      <c r="E482" s="1027"/>
      <c r="F482" s="87"/>
      <c r="G482" s="1027"/>
      <c r="H482" s="1029"/>
      <c r="I482" s="1030"/>
      <c r="J482" s="1039" t="e">
        <f>IF($F82="","",$F82*chronic_consumption!E482/1000/$C$3)</f>
        <v>#DIV/0!</v>
      </c>
      <c r="K482" s="1040" t="e">
        <f>IF($F82="","",$F82*chronic_consumption!F482/1000/$C$3)</f>
        <v>#DIV/0!</v>
      </c>
      <c r="L482" s="1040" t="e">
        <f>IF($F82="","",$F82*chronic_consumption!G482/1000/$C$3)</f>
        <v>#DIV/0!</v>
      </c>
      <c r="M482" s="1040" t="e">
        <f>IF($F82="","",$F82*chronic_consumption!H482/1000/$C$3)</f>
        <v>#DIV/0!</v>
      </c>
      <c r="N482" s="1040" t="e">
        <f>IF($F82="","",$F82*chronic_consumption!I482/1000/$C$3)</f>
        <v>#DIV/0!</v>
      </c>
      <c r="O482" s="1040" t="e">
        <f>IF($F82="","",$F82*chronic_consumption!J482/1000/$C$3)</f>
        <v>#DIV/0!</v>
      </c>
      <c r="P482" s="1040" t="e">
        <f>IF($F82="","",$F82*chronic_consumption!K482/1000/$C$3)</f>
        <v>#DIV/0!</v>
      </c>
      <c r="Q482" s="1040" t="e">
        <f>IF($F82="","",$F82*chronic_consumption!L482/1000/$C$3)</f>
        <v>#DIV/0!</v>
      </c>
      <c r="R482" s="1040" t="e">
        <f>IF($F82="","",$F82*chronic_consumption!M482/1000/$C$3)</f>
        <v>#DIV/0!</v>
      </c>
      <c r="S482" s="1040" t="e">
        <f>IF($F82="","",$F82*chronic_consumption!N482/1000/$C$3)</f>
        <v>#DIV/0!</v>
      </c>
      <c r="T482" s="1040" t="e">
        <f>IF($F82="","",$F82*chronic_consumption!O482/1000/$C$3)</f>
        <v>#DIV/0!</v>
      </c>
      <c r="U482" s="1040" t="e">
        <f>IF($F82="","",$F82*chronic_consumption!P482/1000/$C$3)</f>
        <v>#DIV/0!</v>
      </c>
      <c r="V482" s="1040" t="e">
        <f>IF($F82="","",$F82*chronic_consumption!Q482/1000/$C$3)</f>
        <v>#DIV/0!</v>
      </c>
      <c r="W482" s="1040" t="e">
        <f>IF($F82="","",$F82*chronic_consumption!R482/1000/$C$3)</f>
        <v>#DIV/0!</v>
      </c>
      <c r="X482" s="1040" t="e">
        <f>IF($F82="","",$F82*chronic_consumption!S482/1000/$C$3)</f>
        <v>#DIV/0!</v>
      </c>
      <c r="Y482" s="1040" t="e">
        <f>IF($F82="","",$F82*chronic_consumption!T482/1000/$C$3)</f>
        <v>#DIV/0!</v>
      </c>
      <c r="Z482" s="1040" t="e">
        <f>IF($F82="","",$F82*chronic_consumption!U482/1000/$C$3)</f>
        <v>#DIV/0!</v>
      </c>
      <c r="AA482" s="1040" t="e">
        <f>IF($F82="","",$F82*chronic_consumption!V482/1000/$C$3)</f>
        <v>#DIV/0!</v>
      </c>
      <c r="AB482" s="1040" t="e">
        <f>IF($F82="","",$F82*chronic_consumption!W482/1000/$C$3)</f>
        <v>#DIV/0!</v>
      </c>
      <c r="AC482" s="1040" t="e">
        <f>IF($F82="","",$F82*chronic_consumption!X482/1000/$C$3)</f>
        <v>#DIV/0!</v>
      </c>
      <c r="AD482" s="1040" t="e">
        <f>IF($F82="","",$F82*chronic_consumption!Y482/1000/$C$3)</f>
        <v>#DIV/0!</v>
      </c>
      <c r="AE482" s="1040" t="e">
        <f>IF($F82="","",$F82*chronic_consumption!Z482/1000/$C$3)</f>
        <v>#DIV/0!</v>
      </c>
      <c r="AF482" s="1040" t="e">
        <f>IF($F82="","",$F82*chronic_consumption!AA482/1000/$C$3)</f>
        <v>#DIV/0!</v>
      </c>
      <c r="AG482" s="1040" t="e">
        <f>IF($F82="","",$F82*chronic_consumption!AB482/1000/$C$3)</f>
        <v>#DIV/0!</v>
      </c>
      <c r="AH482" s="1040" t="e">
        <f>IF($F82="","",$F82*chronic_consumption!AC482/1000/$C$3)</f>
        <v>#DIV/0!</v>
      </c>
      <c r="AI482" s="1040" t="e">
        <f>IF($F82="","",$F82*chronic_consumption!AD482/1000/$C$3)</f>
        <v>#DIV/0!</v>
      </c>
      <c r="AJ482" s="1040" t="e">
        <f>IF($F82="","",$F82*chronic_consumption!AE482/1000/$C$3)</f>
        <v>#DIV/0!</v>
      </c>
      <c r="AK482" s="1040" t="e">
        <f>IF($F82="","",$F82*chronic_consumption!AF482/1000/$C$3)</f>
        <v>#DIV/0!</v>
      </c>
      <c r="AL482" s="1040" t="e">
        <f>IF($F82="","",$F82*chronic_consumption!AG482/1000/$C$3)</f>
        <v>#DIV/0!</v>
      </c>
      <c r="AM482" s="1040" t="e">
        <f>IF($F82="","",$F82*chronic_consumption!AH482/1000/$C$3)</f>
        <v>#DIV/0!</v>
      </c>
      <c r="AN482" s="1040" t="e">
        <f>IF($F82="","",$F82*chronic_consumption!AI482/1000/$C$3)</f>
        <v>#DIV/0!</v>
      </c>
      <c r="AO482" s="1040" t="e">
        <f>IF($F82="","",$F82*chronic_consumption!AJ482/1000/$C$3)</f>
        <v>#DIV/0!</v>
      </c>
      <c r="AP482" s="1040" t="e">
        <f>IF($F82="","",$F82*chronic_consumption!AK482/1000/$C$3)</f>
        <v>#DIV/0!</v>
      </c>
      <c r="AQ482" s="1040" t="e">
        <f>IF($F82="","",$F82*chronic_consumption!AL482/1000/$C$3)</f>
        <v>#DIV/0!</v>
      </c>
      <c r="AR482" s="1040" t="e">
        <f>IF($F82="","",$F82*chronic_consumption!AM482/1000/$C$3)</f>
        <v>#DIV/0!</v>
      </c>
      <c r="AS482" s="1040" t="e">
        <f>IF($F82="","",$F82*chronic_consumption!AN482/1000/$C$3)</f>
        <v>#DIV/0!</v>
      </c>
      <c r="AT482" s="1040" t="e">
        <f>IF($F82="","",$F82*chronic_consumption!AO482/1000/$C$3)</f>
        <v>#DIV/0!</v>
      </c>
      <c r="AU482" s="1040" t="e">
        <f>IF($F82="","",$F82*chronic_consumption!AP482/1000/$C$3)</f>
        <v>#DIV/0!</v>
      </c>
      <c r="AV482" s="1040" t="e">
        <f>IF($F82="","",$F82*chronic_consumption!AQ482/1000/$C$3)</f>
        <v>#DIV/0!</v>
      </c>
      <c r="AW482" s="1040" t="e">
        <f>IF($F82="","",$F82*chronic_consumption!AR482/1000/$C$3)</f>
        <v>#DIV/0!</v>
      </c>
      <c r="AX482" s="1040" t="e">
        <f>IF($F82="","",$F82*chronic_consumption!AS482/1000/$C$3)</f>
        <v>#DIV/0!</v>
      </c>
      <c r="AY482" s="1040" t="e">
        <f>IF($F82="","",$F82*chronic_consumption!AT482/1000/$C$3)</f>
        <v>#DIV/0!</v>
      </c>
      <c r="AZ482" s="44" t="s">
        <v>20</v>
      </c>
      <c r="BC482" s="29"/>
      <c r="BD482" s="29"/>
    </row>
    <row r="483" spans="1:56" ht="12" customHeight="1" outlineLevel="3" x14ac:dyDescent="0.2">
      <c r="A483" s="21">
        <f>acute_overview_children!A83</f>
        <v>4</v>
      </c>
      <c r="B483" s="325">
        <f t="shared" si="39"/>
        <v>162990</v>
      </c>
      <c r="C483" s="325" t="str">
        <f t="shared" si="39"/>
        <v>Other miscellaneous fruit (inedible peel, small)</v>
      </c>
      <c r="D483" s="135"/>
      <c r="E483" s="1027"/>
      <c r="F483" s="87"/>
      <c r="G483" s="1027"/>
      <c r="H483" s="1029"/>
      <c r="I483" s="1030"/>
      <c r="J483" s="1039" t="e">
        <f>IF($F83="","",$F83*chronic_consumption!E483/1000/$C$3)</f>
        <v>#DIV/0!</v>
      </c>
      <c r="K483" s="1040" t="e">
        <f>IF($F83="","",$F83*chronic_consumption!F483/1000/$C$3)</f>
        <v>#DIV/0!</v>
      </c>
      <c r="L483" s="1040" t="e">
        <f>IF($F83="","",$F83*chronic_consumption!G483/1000/$C$3)</f>
        <v>#DIV/0!</v>
      </c>
      <c r="M483" s="1040" t="e">
        <f>IF($F83="","",$F83*chronic_consumption!H483/1000/$C$3)</f>
        <v>#DIV/0!</v>
      </c>
      <c r="N483" s="1040" t="e">
        <f>IF($F83="","",$F83*chronic_consumption!I483/1000/$C$3)</f>
        <v>#DIV/0!</v>
      </c>
      <c r="O483" s="1040" t="e">
        <f>IF($F83="","",$F83*chronic_consumption!J483/1000/$C$3)</f>
        <v>#DIV/0!</v>
      </c>
      <c r="P483" s="1040" t="e">
        <f>IF($F83="","",$F83*chronic_consumption!K483/1000/$C$3)</f>
        <v>#DIV/0!</v>
      </c>
      <c r="Q483" s="1040" t="e">
        <f>IF($F83="","",$F83*chronic_consumption!L483/1000/$C$3)</f>
        <v>#DIV/0!</v>
      </c>
      <c r="R483" s="1040" t="e">
        <f>IF($F83="","",$F83*chronic_consumption!M483/1000/$C$3)</f>
        <v>#DIV/0!</v>
      </c>
      <c r="S483" s="1040" t="e">
        <f>IF($F83="","",$F83*chronic_consumption!N483/1000/$C$3)</f>
        <v>#DIV/0!</v>
      </c>
      <c r="T483" s="1040" t="e">
        <f>IF($F83="","",$F83*chronic_consumption!O483/1000/$C$3)</f>
        <v>#DIV/0!</v>
      </c>
      <c r="U483" s="1040" t="e">
        <f>IF($F83="","",$F83*chronic_consumption!P483/1000/$C$3)</f>
        <v>#DIV/0!</v>
      </c>
      <c r="V483" s="1040" t="e">
        <f>IF($F83="","",$F83*chronic_consumption!Q483/1000/$C$3)</f>
        <v>#DIV/0!</v>
      </c>
      <c r="W483" s="1040" t="e">
        <f>IF($F83="","",$F83*chronic_consumption!R483/1000/$C$3)</f>
        <v>#DIV/0!</v>
      </c>
      <c r="X483" s="1040" t="e">
        <f>IF($F83="","",$F83*chronic_consumption!S483/1000/$C$3)</f>
        <v>#DIV/0!</v>
      </c>
      <c r="Y483" s="1040" t="e">
        <f>IF($F83="","",$F83*chronic_consumption!T483/1000/$C$3)</f>
        <v>#DIV/0!</v>
      </c>
      <c r="Z483" s="1040" t="e">
        <f>IF($F83="","",$F83*chronic_consumption!U483/1000/$C$3)</f>
        <v>#DIV/0!</v>
      </c>
      <c r="AA483" s="1040" t="e">
        <f>IF($F83="","",$F83*chronic_consumption!V483/1000/$C$3)</f>
        <v>#DIV/0!</v>
      </c>
      <c r="AB483" s="1040" t="e">
        <f>IF($F83="","",$F83*chronic_consumption!W483/1000/$C$3)</f>
        <v>#DIV/0!</v>
      </c>
      <c r="AC483" s="1040" t="e">
        <f>IF($F83="","",$F83*chronic_consumption!X483/1000/$C$3)</f>
        <v>#DIV/0!</v>
      </c>
      <c r="AD483" s="1040" t="e">
        <f>IF($F83="","",$F83*chronic_consumption!Y483/1000/$C$3)</f>
        <v>#DIV/0!</v>
      </c>
      <c r="AE483" s="1040" t="e">
        <f>IF($F83="","",$F83*chronic_consumption!Z483/1000/$C$3)</f>
        <v>#DIV/0!</v>
      </c>
      <c r="AF483" s="1040" t="e">
        <f>IF($F83="","",$F83*chronic_consumption!AA483/1000/$C$3)</f>
        <v>#DIV/0!</v>
      </c>
      <c r="AG483" s="1040" t="e">
        <f>IF($F83="","",$F83*chronic_consumption!AB483/1000/$C$3)</f>
        <v>#DIV/0!</v>
      </c>
      <c r="AH483" s="1040" t="e">
        <f>IF($F83="","",$F83*chronic_consumption!AC483/1000/$C$3)</f>
        <v>#DIV/0!</v>
      </c>
      <c r="AI483" s="1040" t="e">
        <f>IF($F83="","",$F83*chronic_consumption!AD483/1000/$C$3)</f>
        <v>#DIV/0!</v>
      </c>
      <c r="AJ483" s="1040" t="e">
        <f>IF($F83="","",$F83*chronic_consumption!AE483/1000/$C$3)</f>
        <v>#DIV/0!</v>
      </c>
      <c r="AK483" s="1040" t="e">
        <f>IF($F83="","",$F83*chronic_consumption!AF483/1000/$C$3)</f>
        <v>#DIV/0!</v>
      </c>
      <c r="AL483" s="1040" t="e">
        <f>IF($F83="","",$F83*chronic_consumption!AG483/1000/$C$3)</f>
        <v>#DIV/0!</v>
      </c>
      <c r="AM483" s="1040" t="e">
        <f>IF($F83="","",$F83*chronic_consumption!AH483/1000/$C$3)</f>
        <v>#DIV/0!</v>
      </c>
      <c r="AN483" s="1040" t="e">
        <f>IF($F83="","",$F83*chronic_consumption!AI483/1000/$C$3)</f>
        <v>#DIV/0!</v>
      </c>
      <c r="AO483" s="1040" t="e">
        <f>IF($F83="","",$F83*chronic_consumption!AJ483/1000/$C$3)</f>
        <v>#DIV/0!</v>
      </c>
      <c r="AP483" s="1040" t="e">
        <f>IF($F83="","",$F83*chronic_consumption!AK483/1000/$C$3)</f>
        <v>#DIV/0!</v>
      </c>
      <c r="AQ483" s="1040" t="e">
        <f>IF($F83="","",$F83*chronic_consumption!AL483/1000/$C$3)</f>
        <v>#DIV/0!</v>
      </c>
      <c r="AR483" s="1040" t="e">
        <f>IF($F83="","",$F83*chronic_consumption!AM483/1000/$C$3)</f>
        <v>#DIV/0!</v>
      </c>
      <c r="AS483" s="1040" t="e">
        <f>IF($F83="","",$F83*chronic_consumption!AN483/1000/$C$3)</f>
        <v>#DIV/0!</v>
      </c>
      <c r="AT483" s="1040" t="e">
        <f>IF($F83="","",$F83*chronic_consumption!AO483/1000/$C$3)</f>
        <v>#DIV/0!</v>
      </c>
      <c r="AU483" s="1040" t="e">
        <f>IF($F83="","",$F83*chronic_consumption!AP483/1000/$C$3)</f>
        <v>#DIV/0!</v>
      </c>
      <c r="AV483" s="1040" t="e">
        <f>IF($F83="","",$F83*chronic_consumption!AQ483/1000/$C$3)</f>
        <v>#DIV/0!</v>
      </c>
      <c r="AW483" s="1040" t="e">
        <f>IF($F83="","",$F83*chronic_consumption!AR483/1000/$C$3)</f>
        <v>#DIV/0!</v>
      </c>
      <c r="AX483" s="1040" t="e">
        <f>IF($F83="","",$F83*chronic_consumption!AS483/1000/$C$3)</f>
        <v>#DIV/0!</v>
      </c>
      <c r="AY483" s="1040" t="e">
        <f>IF($F83="","",$F83*chronic_consumption!AT483/1000/$C$3)</f>
        <v>#DIV/0!</v>
      </c>
      <c r="AZ483" s="44" t="s">
        <v>20</v>
      </c>
      <c r="BC483" s="29"/>
      <c r="BD483" s="29"/>
    </row>
    <row r="484" spans="1:56" ht="12" customHeight="1" outlineLevel="2" x14ac:dyDescent="0.2">
      <c r="A484" s="341">
        <f>acute_overview_children!A84</f>
        <v>3</v>
      </c>
      <c r="B484" s="1041">
        <f t="shared" si="39"/>
        <v>163000</v>
      </c>
      <c r="C484" s="1041" t="str">
        <f t="shared" si="39"/>
        <v>Miscellaneous fruit (inedible peel,
large)</v>
      </c>
      <c r="D484" s="1042"/>
      <c r="E484" s="1027"/>
      <c r="F484" s="87"/>
      <c r="G484" s="1027"/>
      <c r="H484" s="1029"/>
      <c r="I484" s="1030"/>
      <c r="J484" s="1043" t="e">
        <f>IF($F84="","",$F84*chronic_consumption!E484/1000/$C$3)</f>
        <v>#DIV/0!</v>
      </c>
      <c r="K484" s="1044" t="e">
        <f>IF($F84="","",$F84*chronic_consumption!F484/1000/$C$3)</f>
        <v>#DIV/0!</v>
      </c>
      <c r="L484" s="1044" t="e">
        <f>IF($F84="","",$F84*chronic_consumption!G484/1000/$C$3)</f>
        <v>#DIV/0!</v>
      </c>
      <c r="M484" s="1044" t="e">
        <f>IF($F84="","",$F84*chronic_consumption!H484/1000/$C$3)</f>
        <v>#DIV/0!</v>
      </c>
      <c r="N484" s="1044" t="e">
        <f>IF($F84="","",$F84*chronic_consumption!I484/1000/$C$3)</f>
        <v>#DIV/0!</v>
      </c>
      <c r="O484" s="1044" t="e">
        <f>IF($F84="","",$F84*chronic_consumption!J484/1000/$C$3)</f>
        <v>#DIV/0!</v>
      </c>
      <c r="P484" s="1044" t="e">
        <f>IF($F84="","",$F84*chronic_consumption!K484/1000/$C$3)</f>
        <v>#DIV/0!</v>
      </c>
      <c r="Q484" s="1044" t="e">
        <f>IF($F84="","",$F84*chronic_consumption!L484/1000/$C$3)</f>
        <v>#DIV/0!</v>
      </c>
      <c r="R484" s="1044" t="e">
        <f>IF($F84="","",$F84*chronic_consumption!M484/1000/$C$3)</f>
        <v>#DIV/0!</v>
      </c>
      <c r="S484" s="1044" t="e">
        <f>IF($F84="","",$F84*chronic_consumption!N484/1000/$C$3)</f>
        <v>#DIV/0!</v>
      </c>
      <c r="T484" s="1044" t="e">
        <f>IF($F84="","",$F84*chronic_consumption!O484/1000/$C$3)</f>
        <v>#DIV/0!</v>
      </c>
      <c r="U484" s="1044" t="e">
        <f>IF($F84="","",$F84*chronic_consumption!P484/1000/$C$3)</f>
        <v>#DIV/0!</v>
      </c>
      <c r="V484" s="1044" t="e">
        <f>IF($F84="","",$F84*chronic_consumption!Q484/1000/$C$3)</f>
        <v>#DIV/0!</v>
      </c>
      <c r="W484" s="1044" t="e">
        <f>IF($F84="","",$F84*chronic_consumption!R484/1000/$C$3)</f>
        <v>#DIV/0!</v>
      </c>
      <c r="X484" s="1044" t="e">
        <f>IF($F84="","",$F84*chronic_consumption!S484/1000/$C$3)</f>
        <v>#DIV/0!</v>
      </c>
      <c r="Y484" s="1044" t="e">
        <f>IF($F84="","",$F84*chronic_consumption!T484/1000/$C$3)</f>
        <v>#DIV/0!</v>
      </c>
      <c r="Z484" s="1044" t="e">
        <f>IF($F84="","",$F84*chronic_consumption!U484/1000/$C$3)</f>
        <v>#DIV/0!</v>
      </c>
      <c r="AA484" s="1044" t="e">
        <f>IF($F84="","",$F84*chronic_consumption!V484/1000/$C$3)</f>
        <v>#DIV/0!</v>
      </c>
      <c r="AB484" s="1044" t="e">
        <f>IF($F84="","",$F84*chronic_consumption!W484/1000/$C$3)</f>
        <v>#DIV/0!</v>
      </c>
      <c r="AC484" s="1044" t="e">
        <f>IF($F84="","",$F84*chronic_consumption!X484/1000/$C$3)</f>
        <v>#DIV/0!</v>
      </c>
      <c r="AD484" s="1044" t="e">
        <f>IF($F84="","",$F84*chronic_consumption!Y484/1000/$C$3)</f>
        <v>#DIV/0!</v>
      </c>
      <c r="AE484" s="1044" t="e">
        <f>IF($F84="","",$F84*chronic_consumption!Z484/1000/$C$3)</f>
        <v>#DIV/0!</v>
      </c>
      <c r="AF484" s="1044" t="e">
        <f>IF($F84="","",$F84*chronic_consumption!AA484/1000/$C$3)</f>
        <v>#DIV/0!</v>
      </c>
      <c r="AG484" s="1044" t="e">
        <f>IF($F84="","",$F84*chronic_consumption!AB484/1000/$C$3)</f>
        <v>#DIV/0!</v>
      </c>
      <c r="AH484" s="1044" t="e">
        <f>IF($F84="","",$F84*chronic_consumption!AC484/1000/$C$3)</f>
        <v>#DIV/0!</v>
      </c>
      <c r="AI484" s="1044" t="e">
        <f>IF($F84="","",$F84*chronic_consumption!AD484/1000/$C$3)</f>
        <v>#DIV/0!</v>
      </c>
      <c r="AJ484" s="1044" t="e">
        <f>IF($F84="","",$F84*chronic_consumption!AE484/1000/$C$3)</f>
        <v>#DIV/0!</v>
      </c>
      <c r="AK484" s="1044" t="e">
        <f>IF($F84="","",$F84*chronic_consumption!AF484/1000/$C$3)</f>
        <v>#DIV/0!</v>
      </c>
      <c r="AL484" s="1044" t="e">
        <f>IF($F84="","",$F84*chronic_consumption!AG484/1000/$C$3)</f>
        <v>#DIV/0!</v>
      </c>
      <c r="AM484" s="1044" t="e">
        <f>IF($F84="","",$F84*chronic_consumption!AH484/1000/$C$3)</f>
        <v>#DIV/0!</v>
      </c>
      <c r="AN484" s="1044" t="e">
        <f>IF($F84="","",$F84*chronic_consumption!AI484/1000/$C$3)</f>
        <v>#DIV/0!</v>
      </c>
      <c r="AO484" s="1044" t="e">
        <f>IF($F84="","",$F84*chronic_consumption!AJ484/1000/$C$3)</f>
        <v>#DIV/0!</v>
      </c>
      <c r="AP484" s="1044" t="e">
        <f>IF($F84="","",$F84*chronic_consumption!AK484/1000/$C$3)</f>
        <v>#DIV/0!</v>
      </c>
      <c r="AQ484" s="1044" t="e">
        <f>IF($F84="","",$F84*chronic_consumption!AL484/1000/$C$3)</f>
        <v>#DIV/0!</v>
      </c>
      <c r="AR484" s="1044" t="e">
        <f>IF($F84="","",$F84*chronic_consumption!AM484/1000/$C$3)</f>
        <v>#DIV/0!</v>
      </c>
      <c r="AS484" s="1044" t="e">
        <f>IF($F84="","",$F84*chronic_consumption!AN484/1000/$C$3)</f>
        <v>#DIV/0!</v>
      </c>
      <c r="AT484" s="1044" t="e">
        <f>IF($F84="","",$F84*chronic_consumption!AO484/1000/$C$3)</f>
        <v>#DIV/0!</v>
      </c>
      <c r="AU484" s="1044" t="e">
        <f>IF($F84="","",$F84*chronic_consumption!AP484/1000/$C$3)</f>
        <v>#DIV/0!</v>
      </c>
      <c r="AV484" s="1044" t="e">
        <f>IF($F84="","",$F84*chronic_consumption!AQ484/1000/$C$3)</f>
        <v>#DIV/0!</v>
      </c>
      <c r="AW484" s="1044" t="e">
        <f>IF($F84="","",$F84*chronic_consumption!AR484/1000/$C$3)</f>
        <v>#DIV/0!</v>
      </c>
      <c r="AX484" s="1044" t="e">
        <f>IF($F84="","",$F84*chronic_consumption!AS484/1000/$C$3)</f>
        <v>#DIV/0!</v>
      </c>
      <c r="AY484" s="1044" t="e">
        <f>IF($F84="","",$F84*chronic_consumption!AT484/1000/$C$3)</f>
        <v>#DIV/0!</v>
      </c>
      <c r="AZ484" s="44" t="s">
        <v>20</v>
      </c>
      <c r="BC484" s="29"/>
      <c r="BD484" s="29"/>
    </row>
    <row r="485" spans="1:56" ht="12" customHeight="1" outlineLevel="3" x14ac:dyDescent="0.2">
      <c r="A485" s="21">
        <f>acute_overview_children!A85</f>
        <v>4</v>
      </c>
      <c r="B485" s="325">
        <f t="shared" si="39"/>
        <v>163010</v>
      </c>
      <c r="C485" s="325" t="str">
        <f t="shared" si="39"/>
        <v>Avocados</v>
      </c>
      <c r="D485" s="135"/>
      <c r="E485" s="1027"/>
      <c r="F485" s="87"/>
      <c r="G485" s="1027"/>
      <c r="H485" s="1029"/>
      <c r="I485" s="1030"/>
      <c r="J485" s="1039" t="e">
        <f>IF($F85="","",$F85*chronic_consumption!E485/1000/$C$3)</f>
        <v>#DIV/0!</v>
      </c>
      <c r="K485" s="1040" t="e">
        <f>IF($F85="","",$F85*chronic_consumption!F485/1000/$C$3)</f>
        <v>#DIV/0!</v>
      </c>
      <c r="L485" s="1040" t="e">
        <f>IF($F85="","",$F85*chronic_consumption!G485/1000/$C$3)</f>
        <v>#DIV/0!</v>
      </c>
      <c r="M485" s="1040" t="e">
        <f>IF($F85="","",$F85*chronic_consumption!H485/1000/$C$3)</f>
        <v>#DIV/0!</v>
      </c>
      <c r="N485" s="1040" t="e">
        <f>IF($F85="","",$F85*chronic_consumption!I485/1000/$C$3)</f>
        <v>#DIV/0!</v>
      </c>
      <c r="O485" s="1040" t="e">
        <f>IF($F85="","",$F85*chronic_consumption!J485/1000/$C$3)</f>
        <v>#DIV/0!</v>
      </c>
      <c r="P485" s="1040" t="e">
        <f>IF($F85="","",$F85*chronic_consumption!K485/1000/$C$3)</f>
        <v>#DIV/0!</v>
      </c>
      <c r="Q485" s="1040" t="e">
        <f>IF($F85="","",$F85*chronic_consumption!L485/1000/$C$3)</f>
        <v>#DIV/0!</v>
      </c>
      <c r="R485" s="1040" t="e">
        <f>IF($F85="","",$F85*chronic_consumption!M485/1000/$C$3)</f>
        <v>#DIV/0!</v>
      </c>
      <c r="S485" s="1040" t="e">
        <f>IF($F85="","",$F85*chronic_consumption!N485/1000/$C$3)</f>
        <v>#DIV/0!</v>
      </c>
      <c r="T485" s="1040" t="e">
        <f>IF($F85="","",$F85*chronic_consumption!O485/1000/$C$3)</f>
        <v>#DIV/0!</v>
      </c>
      <c r="U485" s="1040" t="e">
        <f>IF($F85="","",$F85*chronic_consumption!P485/1000/$C$3)</f>
        <v>#DIV/0!</v>
      </c>
      <c r="V485" s="1040" t="e">
        <f>IF($F85="","",$F85*chronic_consumption!Q485/1000/$C$3)</f>
        <v>#DIV/0!</v>
      </c>
      <c r="W485" s="1040" t="e">
        <f>IF($F85="","",$F85*chronic_consumption!R485/1000/$C$3)</f>
        <v>#DIV/0!</v>
      </c>
      <c r="X485" s="1040" t="e">
        <f>IF($F85="","",$F85*chronic_consumption!S485/1000/$C$3)</f>
        <v>#DIV/0!</v>
      </c>
      <c r="Y485" s="1040" t="e">
        <f>IF($F85="","",$F85*chronic_consumption!T485/1000/$C$3)</f>
        <v>#DIV/0!</v>
      </c>
      <c r="Z485" s="1040" t="e">
        <f>IF($F85="","",$F85*chronic_consumption!U485/1000/$C$3)</f>
        <v>#DIV/0!</v>
      </c>
      <c r="AA485" s="1040" t="e">
        <f>IF($F85="","",$F85*chronic_consumption!V485/1000/$C$3)</f>
        <v>#DIV/0!</v>
      </c>
      <c r="AB485" s="1040" t="e">
        <f>IF($F85="","",$F85*chronic_consumption!W485/1000/$C$3)</f>
        <v>#DIV/0!</v>
      </c>
      <c r="AC485" s="1040" t="e">
        <f>IF($F85="","",$F85*chronic_consumption!X485/1000/$C$3)</f>
        <v>#DIV/0!</v>
      </c>
      <c r="AD485" s="1040" t="e">
        <f>IF($F85="","",$F85*chronic_consumption!Y485/1000/$C$3)</f>
        <v>#DIV/0!</v>
      </c>
      <c r="AE485" s="1040" t="e">
        <f>IF($F85="","",$F85*chronic_consumption!Z485/1000/$C$3)</f>
        <v>#DIV/0!</v>
      </c>
      <c r="AF485" s="1040" t="e">
        <f>IF($F85="","",$F85*chronic_consumption!AA485/1000/$C$3)</f>
        <v>#DIV/0!</v>
      </c>
      <c r="AG485" s="1040" t="e">
        <f>IF($F85="","",$F85*chronic_consumption!AB485/1000/$C$3)</f>
        <v>#DIV/0!</v>
      </c>
      <c r="AH485" s="1040" t="e">
        <f>IF($F85="","",$F85*chronic_consumption!AC485/1000/$C$3)</f>
        <v>#DIV/0!</v>
      </c>
      <c r="AI485" s="1040" t="e">
        <f>IF($F85="","",$F85*chronic_consumption!AD485/1000/$C$3)</f>
        <v>#DIV/0!</v>
      </c>
      <c r="AJ485" s="1040" t="e">
        <f>IF($F85="","",$F85*chronic_consumption!AE485/1000/$C$3)</f>
        <v>#DIV/0!</v>
      </c>
      <c r="AK485" s="1040" t="e">
        <f>IF($F85="","",$F85*chronic_consumption!AF485/1000/$C$3)</f>
        <v>#DIV/0!</v>
      </c>
      <c r="AL485" s="1040" t="e">
        <f>IF($F85="","",$F85*chronic_consumption!AG485/1000/$C$3)</f>
        <v>#DIV/0!</v>
      </c>
      <c r="AM485" s="1040" t="e">
        <f>IF($F85="","",$F85*chronic_consumption!AH485/1000/$C$3)</f>
        <v>#DIV/0!</v>
      </c>
      <c r="AN485" s="1040" t="e">
        <f>IF($F85="","",$F85*chronic_consumption!AI485/1000/$C$3)</f>
        <v>#DIV/0!</v>
      </c>
      <c r="AO485" s="1040" t="e">
        <f>IF($F85="","",$F85*chronic_consumption!AJ485/1000/$C$3)</f>
        <v>#DIV/0!</v>
      </c>
      <c r="AP485" s="1040" t="e">
        <f>IF($F85="","",$F85*chronic_consumption!AK485/1000/$C$3)</f>
        <v>#DIV/0!</v>
      </c>
      <c r="AQ485" s="1040" t="e">
        <f>IF($F85="","",$F85*chronic_consumption!AL485/1000/$C$3)</f>
        <v>#DIV/0!</v>
      </c>
      <c r="AR485" s="1040" t="e">
        <f>IF($F85="","",$F85*chronic_consumption!AM485/1000/$C$3)</f>
        <v>#DIV/0!</v>
      </c>
      <c r="AS485" s="1040" t="e">
        <f>IF($F85="","",$F85*chronic_consumption!AN485/1000/$C$3)</f>
        <v>#DIV/0!</v>
      </c>
      <c r="AT485" s="1040" t="e">
        <f>IF($F85="","",$F85*chronic_consumption!AO485/1000/$C$3)</f>
        <v>#DIV/0!</v>
      </c>
      <c r="AU485" s="1040" t="e">
        <f>IF($F85="","",$F85*chronic_consumption!AP485/1000/$C$3)</f>
        <v>#DIV/0!</v>
      </c>
      <c r="AV485" s="1040" t="e">
        <f>IF($F85="","",$F85*chronic_consumption!AQ485/1000/$C$3)</f>
        <v>#DIV/0!</v>
      </c>
      <c r="AW485" s="1040" t="e">
        <f>IF($F85="","",$F85*chronic_consumption!AR485/1000/$C$3)</f>
        <v>#DIV/0!</v>
      </c>
      <c r="AX485" s="1040" t="e">
        <f>IF($F85="","",$F85*chronic_consumption!AS485/1000/$C$3)</f>
        <v>#DIV/0!</v>
      </c>
      <c r="AY485" s="1040" t="e">
        <f>IF($F85="","",$F85*chronic_consumption!AT485/1000/$C$3)</f>
        <v>#DIV/0!</v>
      </c>
      <c r="AZ485" s="44" t="s">
        <v>20</v>
      </c>
      <c r="BC485" s="29"/>
      <c r="BD485" s="29"/>
    </row>
    <row r="486" spans="1:56" ht="12" customHeight="1" outlineLevel="3" x14ac:dyDescent="0.2">
      <c r="A486" s="21">
        <f>acute_overview_children!A86</f>
        <v>4</v>
      </c>
      <c r="B486" s="325">
        <f t="shared" si="39"/>
        <v>163020</v>
      </c>
      <c r="C486" s="325" t="str">
        <f t="shared" si="39"/>
        <v>Bananas</v>
      </c>
      <c r="D486" s="135"/>
      <c r="E486" s="1027"/>
      <c r="F486" s="87"/>
      <c r="G486" s="1027"/>
      <c r="H486" s="1029"/>
      <c r="I486" s="1030"/>
      <c r="J486" s="1039" t="e">
        <f>IF($F86="","",$F86*chronic_consumption!E486/1000/$C$3)</f>
        <v>#DIV/0!</v>
      </c>
      <c r="K486" s="1040" t="e">
        <f>IF($F86="","",$F86*chronic_consumption!F486/1000/$C$3)</f>
        <v>#DIV/0!</v>
      </c>
      <c r="L486" s="1040" t="e">
        <f>IF($F86="","",$F86*chronic_consumption!G486/1000/$C$3)</f>
        <v>#DIV/0!</v>
      </c>
      <c r="M486" s="1040" t="e">
        <f>IF($F86="","",$F86*chronic_consumption!H486/1000/$C$3)</f>
        <v>#DIV/0!</v>
      </c>
      <c r="N486" s="1040" t="e">
        <f>IF($F86="","",$F86*chronic_consumption!I486/1000/$C$3)</f>
        <v>#DIV/0!</v>
      </c>
      <c r="O486" s="1040" t="e">
        <f>IF($F86="","",$F86*chronic_consumption!J486/1000/$C$3)</f>
        <v>#DIV/0!</v>
      </c>
      <c r="P486" s="1040" t="e">
        <f>IF($F86="","",$F86*chronic_consumption!K486/1000/$C$3)</f>
        <v>#DIV/0!</v>
      </c>
      <c r="Q486" s="1040" t="e">
        <f>IF($F86="","",$F86*chronic_consumption!L486/1000/$C$3)</f>
        <v>#DIV/0!</v>
      </c>
      <c r="R486" s="1040" t="e">
        <f>IF($F86="","",$F86*chronic_consumption!M486/1000/$C$3)</f>
        <v>#DIV/0!</v>
      </c>
      <c r="S486" s="1040" t="e">
        <f>IF($F86="","",$F86*chronic_consumption!N486/1000/$C$3)</f>
        <v>#DIV/0!</v>
      </c>
      <c r="T486" s="1040" t="e">
        <f>IF($F86="","",$F86*chronic_consumption!O486/1000/$C$3)</f>
        <v>#DIV/0!</v>
      </c>
      <c r="U486" s="1040" t="e">
        <f>IF($F86="","",$F86*chronic_consumption!P486/1000/$C$3)</f>
        <v>#DIV/0!</v>
      </c>
      <c r="V486" s="1040" t="e">
        <f>IF($F86="","",$F86*chronic_consumption!Q486/1000/$C$3)</f>
        <v>#DIV/0!</v>
      </c>
      <c r="W486" s="1040" t="e">
        <f>IF($F86="","",$F86*chronic_consumption!R486/1000/$C$3)</f>
        <v>#DIV/0!</v>
      </c>
      <c r="X486" s="1040" t="e">
        <f>IF($F86="","",$F86*chronic_consumption!S486/1000/$C$3)</f>
        <v>#DIV/0!</v>
      </c>
      <c r="Y486" s="1040" t="e">
        <f>IF($F86="","",$F86*chronic_consumption!T486/1000/$C$3)</f>
        <v>#DIV/0!</v>
      </c>
      <c r="Z486" s="1040" t="e">
        <f>IF($F86="","",$F86*chronic_consumption!U486/1000/$C$3)</f>
        <v>#DIV/0!</v>
      </c>
      <c r="AA486" s="1040" t="e">
        <f>IF($F86="","",$F86*chronic_consumption!V486/1000/$C$3)</f>
        <v>#DIV/0!</v>
      </c>
      <c r="AB486" s="1040" t="e">
        <f>IF($F86="","",$F86*chronic_consumption!W486/1000/$C$3)</f>
        <v>#DIV/0!</v>
      </c>
      <c r="AC486" s="1040" t="e">
        <f>IF($F86="","",$F86*chronic_consumption!X486/1000/$C$3)</f>
        <v>#DIV/0!</v>
      </c>
      <c r="AD486" s="1040" t="e">
        <f>IF($F86="","",$F86*chronic_consumption!Y486/1000/$C$3)</f>
        <v>#DIV/0!</v>
      </c>
      <c r="AE486" s="1040" t="e">
        <f>IF($F86="","",$F86*chronic_consumption!Z486/1000/$C$3)</f>
        <v>#DIV/0!</v>
      </c>
      <c r="AF486" s="1040" t="e">
        <f>IF($F86="","",$F86*chronic_consumption!AA486/1000/$C$3)</f>
        <v>#DIV/0!</v>
      </c>
      <c r="AG486" s="1040" t="e">
        <f>IF($F86="","",$F86*chronic_consumption!AB486/1000/$C$3)</f>
        <v>#DIV/0!</v>
      </c>
      <c r="AH486" s="1040" t="e">
        <f>IF($F86="","",$F86*chronic_consumption!AC486/1000/$C$3)</f>
        <v>#DIV/0!</v>
      </c>
      <c r="AI486" s="1040" t="e">
        <f>IF($F86="","",$F86*chronic_consumption!AD486/1000/$C$3)</f>
        <v>#DIV/0!</v>
      </c>
      <c r="AJ486" s="1040" t="e">
        <f>IF($F86="","",$F86*chronic_consumption!AE486/1000/$C$3)</f>
        <v>#DIV/0!</v>
      </c>
      <c r="AK486" s="1040" t="e">
        <f>IF($F86="","",$F86*chronic_consumption!AF486/1000/$C$3)</f>
        <v>#DIV/0!</v>
      </c>
      <c r="AL486" s="1040" t="e">
        <f>IF($F86="","",$F86*chronic_consumption!AG486/1000/$C$3)</f>
        <v>#DIV/0!</v>
      </c>
      <c r="AM486" s="1040" t="e">
        <f>IF($F86="","",$F86*chronic_consumption!AH486/1000/$C$3)</f>
        <v>#DIV/0!</v>
      </c>
      <c r="AN486" s="1040" t="e">
        <f>IF($F86="","",$F86*chronic_consumption!AI486/1000/$C$3)</f>
        <v>#DIV/0!</v>
      </c>
      <c r="AO486" s="1040" t="e">
        <f>IF($F86="","",$F86*chronic_consumption!AJ486/1000/$C$3)</f>
        <v>#DIV/0!</v>
      </c>
      <c r="AP486" s="1040" t="e">
        <f>IF($F86="","",$F86*chronic_consumption!AK486/1000/$C$3)</f>
        <v>#DIV/0!</v>
      </c>
      <c r="AQ486" s="1040" t="e">
        <f>IF($F86="","",$F86*chronic_consumption!AL486/1000/$C$3)</f>
        <v>#DIV/0!</v>
      </c>
      <c r="AR486" s="1040" t="e">
        <f>IF($F86="","",$F86*chronic_consumption!AM486/1000/$C$3)</f>
        <v>#DIV/0!</v>
      </c>
      <c r="AS486" s="1040" t="e">
        <f>IF($F86="","",$F86*chronic_consumption!AN486/1000/$C$3)</f>
        <v>#DIV/0!</v>
      </c>
      <c r="AT486" s="1040" t="e">
        <f>IF($F86="","",$F86*chronic_consumption!AO486/1000/$C$3)</f>
        <v>#DIV/0!</v>
      </c>
      <c r="AU486" s="1040" t="e">
        <f>IF($F86="","",$F86*chronic_consumption!AP486/1000/$C$3)</f>
        <v>#DIV/0!</v>
      </c>
      <c r="AV486" s="1040" t="e">
        <f>IF($F86="","",$F86*chronic_consumption!AQ486/1000/$C$3)</f>
        <v>#DIV/0!</v>
      </c>
      <c r="AW486" s="1040" t="e">
        <f>IF($F86="","",$F86*chronic_consumption!AR486/1000/$C$3)</f>
        <v>#DIV/0!</v>
      </c>
      <c r="AX486" s="1040" t="e">
        <f>IF($F86="","",$F86*chronic_consumption!AS486/1000/$C$3)</f>
        <v>#DIV/0!</v>
      </c>
      <c r="AY486" s="1040" t="e">
        <f>IF($F86="","",$F86*chronic_consumption!AT486/1000/$C$3)</f>
        <v>#DIV/0!</v>
      </c>
      <c r="AZ486" s="44" t="s">
        <v>20</v>
      </c>
      <c r="BC486" s="29"/>
      <c r="BD486" s="29"/>
    </row>
    <row r="487" spans="1:56" ht="12" customHeight="1" outlineLevel="3" x14ac:dyDescent="0.2">
      <c r="A487" s="21">
        <f>acute_overview_children!A87</f>
        <v>4</v>
      </c>
      <c r="B487" s="325">
        <f t="shared" si="39"/>
        <v>163030</v>
      </c>
      <c r="C487" s="325" t="str">
        <f t="shared" si="39"/>
        <v>Mangoes</v>
      </c>
      <c r="D487" s="135"/>
      <c r="E487" s="1027"/>
      <c r="F487" s="87"/>
      <c r="G487" s="1027"/>
      <c r="H487" s="1029"/>
      <c r="I487" s="1030"/>
      <c r="J487" s="1039" t="e">
        <f>IF($F87="","",$F87*chronic_consumption!E487/1000/$C$3)</f>
        <v>#DIV/0!</v>
      </c>
      <c r="K487" s="1040" t="e">
        <f>IF($F87="","",$F87*chronic_consumption!F487/1000/$C$3)</f>
        <v>#DIV/0!</v>
      </c>
      <c r="L487" s="1040" t="e">
        <f>IF($F87="","",$F87*chronic_consumption!G487/1000/$C$3)</f>
        <v>#DIV/0!</v>
      </c>
      <c r="M487" s="1040" t="e">
        <f>IF($F87="","",$F87*chronic_consumption!H487/1000/$C$3)</f>
        <v>#DIV/0!</v>
      </c>
      <c r="N487" s="1040" t="e">
        <f>IF($F87="","",$F87*chronic_consumption!I487/1000/$C$3)</f>
        <v>#DIV/0!</v>
      </c>
      <c r="O487" s="1040" t="e">
        <f>IF($F87="","",$F87*chronic_consumption!J487/1000/$C$3)</f>
        <v>#DIV/0!</v>
      </c>
      <c r="P487" s="1040" t="e">
        <f>IF($F87="","",$F87*chronic_consumption!K487/1000/$C$3)</f>
        <v>#DIV/0!</v>
      </c>
      <c r="Q487" s="1040" t="e">
        <f>IF($F87="","",$F87*chronic_consumption!L487/1000/$C$3)</f>
        <v>#DIV/0!</v>
      </c>
      <c r="R487" s="1040" t="e">
        <f>IF($F87="","",$F87*chronic_consumption!M487/1000/$C$3)</f>
        <v>#DIV/0!</v>
      </c>
      <c r="S487" s="1040" t="e">
        <f>IF($F87="","",$F87*chronic_consumption!N487/1000/$C$3)</f>
        <v>#DIV/0!</v>
      </c>
      <c r="T487" s="1040" t="e">
        <f>IF($F87="","",$F87*chronic_consumption!O487/1000/$C$3)</f>
        <v>#DIV/0!</v>
      </c>
      <c r="U487" s="1040" t="e">
        <f>IF($F87="","",$F87*chronic_consumption!P487/1000/$C$3)</f>
        <v>#DIV/0!</v>
      </c>
      <c r="V487" s="1040" t="e">
        <f>IF($F87="","",$F87*chronic_consumption!Q487/1000/$C$3)</f>
        <v>#DIV/0!</v>
      </c>
      <c r="W487" s="1040" t="e">
        <f>IF($F87="","",$F87*chronic_consumption!R487/1000/$C$3)</f>
        <v>#DIV/0!</v>
      </c>
      <c r="X487" s="1040" t="e">
        <f>IF($F87="","",$F87*chronic_consumption!S487/1000/$C$3)</f>
        <v>#DIV/0!</v>
      </c>
      <c r="Y487" s="1040" t="e">
        <f>IF($F87="","",$F87*chronic_consumption!T487/1000/$C$3)</f>
        <v>#DIV/0!</v>
      </c>
      <c r="Z487" s="1040" t="e">
        <f>IF($F87="","",$F87*chronic_consumption!U487/1000/$C$3)</f>
        <v>#DIV/0!</v>
      </c>
      <c r="AA487" s="1040" t="e">
        <f>IF($F87="","",$F87*chronic_consumption!V487/1000/$C$3)</f>
        <v>#DIV/0!</v>
      </c>
      <c r="AB487" s="1040" t="e">
        <f>IF($F87="","",$F87*chronic_consumption!W487/1000/$C$3)</f>
        <v>#DIV/0!</v>
      </c>
      <c r="AC487" s="1040" t="e">
        <f>IF($F87="","",$F87*chronic_consumption!X487/1000/$C$3)</f>
        <v>#DIV/0!</v>
      </c>
      <c r="AD487" s="1040" t="e">
        <f>IF($F87="","",$F87*chronic_consumption!Y487/1000/$C$3)</f>
        <v>#DIV/0!</v>
      </c>
      <c r="AE487" s="1040" t="e">
        <f>IF($F87="","",$F87*chronic_consumption!Z487/1000/$C$3)</f>
        <v>#DIV/0!</v>
      </c>
      <c r="AF487" s="1040" t="e">
        <f>IF($F87="","",$F87*chronic_consumption!AA487/1000/$C$3)</f>
        <v>#DIV/0!</v>
      </c>
      <c r="AG487" s="1040" t="e">
        <f>IF($F87="","",$F87*chronic_consumption!AB487/1000/$C$3)</f>
        <v>#DIV/0!</v>
      </c>
      <c r="AH487" s="1040" t="e">
        <f>IF($F87="","",$F87*chronic_consumption!AC487/1000/$C$3)</f>
        <v>#DIV/0!</v>
      </c>
      <c r="AI487" s="1040" t="e">
        <f>IF($F87="","",$F87*chronic_consumption!AD487/1000/$C$3)</f>
        <v>#DIV/0!</v>
      </c>
      <c r="AJ487" s="1040" t="e">
        <f>IF($F87="","",$F87*chronic_consumption!AE487/1000/$C$3)</f>
        <v>#DIV/0!</v>
      </c>
      <c r="AK487" s="1040" t="e">
        <f>IF($F87="","",$F87*chronic_consumption!AF487/1000/$C$3)</f>
        <v>#DIV/0!</v>
      </c>
      <c r="AL487" s="1040" t="e">
        <f>IF($F87="","",$F87*chronic_consumption!AG487/1000/$C$3)</f>
        <v>#DIV/0!</v>
      </c>
      <c r="AM487" s="1040" t="e">
        <f>IF($F87="","",$F87*chronic_consumption!AH487/1000/$C$3)</f>
        <v>#DIV/0!</v>
      </c>
      <c r="AN487" s="1040" t="e">
        <f>IF($F87="","",$F87*chronic_consumption!AI487/1000/$C$3)</f>
        <v>#DIV/0!</v>
      </c>
      <c r="AO487" s="1040" t="e">
        <f>IF($F87="","",$F87*chronic_consumption!AJ487/1000/$C$3)</f>
        <v>#DIV/0!</v>
      </c>
      <c r="AP487" s="1040" t="e">
        <f>IF($F87="","",$F87*chronic_consumption!AK487/1000/$C$3)</f>
        <v>#DIV/0!</v>
      </c>
      <c r="AQ487" s="1040" t="e">
        <f>IF($F87="","",$F87*chronic_consumption!AL487/1000/$C$3)</f>
        <v>#DIV/0!</v>
      </c>
      <c r="AR487" s="1040" t="e">
        <f>IF($F87="","",$F87*chronic_consumption!AM487/1000/$C$3)</f>
        <v>#DIV/0!</v>
      </c>
      <c r="AS487" s="1040" t="e">
        <f>IF($F87="","",$F87*chronic_consumption!AN487/1000/$C$3)</f>
        <v>#DIV/0!</v>
      </c>
      <c r="AT487" s="1040" t="e">
        <f>IF($F87="","",$F87*chronic_consumption!AO487/1000/$C$3)</f>
        <v>#DIV/0!</v>
      </c>
      <c r="AU487" s="1040" t="e">
        <f>IF($F87="","",$F87*chronic_consumption!AP487/1000/$C$3)</f>
        <v>#DIV/0!</v>
      </c>
      <c r="AV487" s="1040" t="e">
        <f>IF($F87="","",$F87*chronic_consumption!AQ487/1000/$C$3)</f>
        <v>#DIV/0!</v>
      </c>
      <c r="AW487" s="1040" t="e">
        <f>IF($F87="","",$F87*chronic_consumption!AR487/1000/$C$3)</f>
        <v>#DIV/0!</v>
      </c>
      <c r="AX487" s="1040" t="e">
        <f>IF($F87="","",$F87*chronic_consumption!AS487/1000/$C$3)</f>
        <v>#DIV/0!</v>
      </c>
      <c r="AY487" s="1040" t="e">
        <f>IF($F87="","",$F87*chronic_consumption!AT487/1000/$C$3)</f>
        <v>#DIV/0!</v>
      </c>
      <c r="AZ487" s="44" t="s">
        <v>20</v>
      </c>
      <c r="BC487" s="29"/>
      <c r="BD487" s="29"/>
    </row>
    <row r="488" spans="1:56" ht="12" customHeight="1" outlineLevel="3" x14ac:dyDescent="0.2">
      <c r="A488" s="21">
        <f>acute_overview_children!A88</f>
        <v>4</v>
      </c>
      <c r="B488" s="325">
        <f t="shared" si="39"/>
        <v>163040</v>
      </c>
      <c r="C488" s="325" t="str">
        <f t="shared" si="39"/>
        <v>Papayas</v>
      </c>
      <c r="D488" s="135"/>
      <c r="E488" s="1027"/>
      <c r="F488" s="87"/>
      <c r="G488" s="1027"/>
      <c r="H488" s="1029"/>
      <c r="I488" s="1030"/>
      <c r="J488" s="1039" t="e">
        <f>IF($F88="","",$F88*chronic_consumption!E488/1000/$C$3)</f>
        <v>#DIV/0!</v>
      </c>
      <c r="K488" s="1040" t="e">
        <f>IF($F88="","",$F88*chronic_consumption!F488/1000/$C$3)</f>
        <v>#DIV/0!</v>
      </c>
      <c r="L488" s="1040" t="e">
        <f>IF($F88="","",$F88*chronic_consumption!G488/1000/$C$3)</f>
        <v>#DIV/0!</v>
      </c>
      <c r="M488" s="1040" t="e">
        <f>IF($F88="","",$F88*chronic_consumption!H488/1000/$C$3)</f>
        <v>#DIV/0!</v>
      </c>
      <c r="N488" s="1040" t="e">
        <f>IF($F88="","",$F88*chronic_consumption!I488/1000/$C$3)</f>
        <v>#DIV/0!</v>
      </c>
      <c r="O488" s="1040" t="e">
        <f>IF($F88="","",$F88*chronic_consumption!J488/1000/$C$3)</f>
        <v>#DIV/0!</v>
      </c>
      <c r="P488" s="1040" t="e">
        <f>IF($F88="","",$F88*chronic_consumption!K488/1000/$C$3)</f>
        <v>#DIV/0!</v>
      </c>
      <c r="Q488" s="1040" t="e">
        <f>IF($F88="","",$F88*chronic_consumption!L488/1000/$C$3)</f>
        <v>#DIV/0!</v>
      </c>
      <c r="R488" s="1040" t="e">
        <f>IF($F88="","",$F88*chronic_consumption!M488/1000/$C$3)</f>
        <v>#DIV/0!</v>
      </c>
      <c r="S488" s="1040" t="e">
        <f>IF($F88="","",$F88*chronic_consumption!N488/1000/$C$3)</f>
        <v>#DIV/0!</v>
      </c>
      <c r="T488" s="1040" t="e">
        <f>IF($F88="","",$F88*chronic_consumption!O488/1000/$C$3)</f>
        <v>#DIV/0!</v>
      </c>
      <c r="U488" s="1040" t="e">
        <f>IF($F88="","",$F88*chronic_consumption!P488/1000/$C$3)</f>
        <v>#DIV/0!</v>
      </c>
      <c r="V488" s="1040" t="e">
        <f>IF($F88="","",$F88*chronic_consumption!Q488/1000/$C$3)</f>
        <v>#DIV/0!</v>
      </c>
      <c r="W488" s="1040" t="e">
        <f>IF($F88="","",$F88*chronic_consumption!R488/1000/$C$3)</f>
        <v>#DIV/0!</v>
      </c>
      <c r="X488" s="1040" t="e">
        <f>IF($F88="","",$F88*chronic_consumption!S488/1000/$C$3)</f>
        <v>#DIV/0!</v>
      </c>
      <c r="Y488" s="1040" t="e">
        <f>IF($F88="","",$F88*chronic_consumption!T488/1000/$C$3)</f>
        <v>#DIV/0!</v>
      </c>
      <c r="Z488" s="1040" t="e">
        <f>IF($F88="","",$F88*chronic_consumption!U488/1000/$C$3)</f>
        <v>#DIV/0!</v>
      </c>
      <c r="AA488" s="1040" t="e">
        <f>IF($F88="","",$F88*chronic_consumption!V488/1000/$C$3)</f>
        <v>#DIV/0!</v>
      </c>
      <c r="AB488" s="1040" t="e">
        <f>IF($F88="","",$F88*chronic_consumption!W488/1000/$C$3)</f>
        <v>#DIV/0!</v>
      </c>
      <c r="AC488" s="1040" t="e">
        <f>IF($F88="","",$F88*chronic_consumption!X488/1000/$C$3)</f>
        <v>#DIV/0!</v>
      </c>
      <c r="AD488" s="1040" t="e">
        <f>IF($F88="","",$F88*chronic_consumption!Y488/1000/$C$3)</f>
        <v>#DIV/0!</v>
      </c>
      <c r="AE488" s="1040" t="e">
        <f>IF($F88="","",$F88*chronic_consumption!Z488/1000/$C$3)</f>
        <v>#DIV/0!</v>
      </c>
      <c r="AF488" s="1040" t="e">
        <f>IF($F88="","",$F88*chronic_consumption!AA488/1000/$C$3)</f>
        <v>#DIV/0!</v>
      </c>
      <c r="AG488" s="1040" t="e">
        <f>IF($F88="","",$F88*chronic_consumption!AB488/1000/$C$3)</f>
        <v>#DIV/0!</v>
      </c>
      <c r="AH488" s="1040" t="e">
        <f>IF($F88="","",$F88*chronic_consumption!AC488/1000/$C$3)</f>
        <v>#DIV/0!</v>
      </c>
      <c r="AI488" s="1040" t="e">
        <f>IF($F88="","",$F88*chronic_consumption!AD488/1000/$C$3)</f>
        <v>#DIV/0!</v>
      </c>
      <c r="AJ488" s="1040" t="e">
        <f>IF($F88="","",$F88*chronic_consumption!AE488/1000/$C$3)</f>
        <v>#DIV/0!</v>
      </c>
      <c r="AK488" s="1040" t="e">
        <f>IF($F88="","",$F88*chronic_consumption!AF488/1000/$C$3)</f>
        <v>#DIV/0!</v>
      </c>
      <c r="AL488" s="1040" t="e">
        <f>IF($F88="","",$F88*chronic_consumption!AG488/1000/$C$3)</f>
        <v>#DIV/0!</v>
      </c>
      <c r="AM488" s="1040" t="e">
        <f>IF($F88="","",$F88*chronic_consumption!AH488/1000/$C$3)</f>
        <v>#DIV/0!</v>
      </c>
      <c r="AN488" s="1040" t="e">
        <f>IF($F88="","",$F88*chronic_consumption!AI488/1000/$C$3)</f>
        <v>#DIV/0!</v>
      </c>
      <c r="AO488" s="1040" t="e">
        <f>IF($F88="","",$F88*chronic_consumption!AJ488/1000/$C$3)</f>
        <v>#DIV/0!</v>
      </c>
      <c r="AP488" s="1040" t="e">
        <f>IF($F88="","",$F88*chronic_consumption!AK488/1000/$C$3)</f>
        <v>#DIV/0!</v>
      </c>
      <c r="AQ488" s="1040" t="e">
        <f>IF($F88="","",$F88*chronic_consumption!AL488/1000/$C$3)</f>
        <v>#DIV/0!</v>
      </c>
      <c r="AR488" s="1040" t="e">
        <f>IF($F88="","",$F88*chronic_consumption!AM488/1000/$C$3)</f>
        <v>#DIV/0!</v>
      </c>
      <c r="AS488" s="1040" t="e">
        <f>IF($F88="","",$F88*chronic_consumption!AN488/1000/$C$3)</f>
        <v>#DIV/0!</v>
      </c>
      <c r="AT488" s="1040" t="e">
        <f>IF($F88="","",$F88*chronic_consumption!AO488/1000/$C$3)</f>
        <v>#DIV/0!</v>
      </c>
      <c r="AU488" s="1040" t="e">
        <f>IF($F88="","",$F88*chronic_consumption!AP488/1000/$C$3)</f>
        <v>#DIV/0!</v>
      </c>
      <c r="AV488" s="1040" t="e">
        <f>IF($F88="","",$F88*chronic_consumption!AQ488/1000/$C$3)</f>
        <v>#DIV/0!</v>
      </c>
      <c r="AW488" s="1040" t="e">
        <f>IF($F88="","",$F88*chronic_consumption!AR488/1000/$C$3)</f>
        <v>#DIV/0!</v>
      </c>
      <c r="AX488" s="1040" t="e">
        <f>IF($F88="","",$F88*chronic_consumption!AS488/1000/$C$3)</f>
        <v>#DIV/0!</v>
      </c>
      <c r="AY488" s="1040" t="e">
        <f>IF($F88="","",$F88*chronic_consumption!AT488/1000/$C$3)</f>
        <v>#DIV/0!</v>
      </c>
      <c r="AZ488" s="44" t="s">
        <v>20</v>
      </c>
      <c r="BC488" s="29"/>
      <c r="BD488" s="29"/>
    </row>
    <row r="489" spans="1:56" ht="12" customHeight="1" outlineLevel="3" x14ac:dyDescent="0.2">
      <c r="A489" s="21">
        <f>acute_overview_children!A89</f>
        <v>4</v>
      </c>
      <c r="B489" s="325">
        <f t="shared" si="39"/>
        <v>163050</v>
      </c>
      <c r="C489" s="325" t="str">
        <f t="shared" si="39"/>
        <v>Granate apples/pomegranates</v>
      </c>
      <c r="D489" s="135"/>
      <c r="E489" s="1027"/>
      <c r="F489" s="87"/>
      <c r="G489" s="1027"/>
      <c r="H489" s="1029"/>
      <c r="I489" s="1030"/>
      <c r="J489" s="1039" t="e">
        <f>IF($F89="","",$F89*chronic_consumption!E489/1000/$C$3)</f>
        <v>#DIV/0!</v>
      </c>
      <c r="K489" s="1040" t="e">
        <f>IF($F89="","",$F89*chronic_consumption!F489/1000/$C$3)</f>
        <v>#DIV/0!</v>
      </c>
      <c r="L489" s="1040" t="e">
        <f>IF($F89="","",$F89*chronic_consumption!G489/1000/$C$3)</f>
        <v>#DIV/0!</v>
      </c>
      <c r="M489" s="1040" t="e">
        <f>IF($F89="","",$F89*chronic_consumption!H489/1000/$C$3)</f>
        <v>#DIV/0!</v>
      </c>
      <c r="N489" s="1040" t="e">
        <f>IF($F89="","",$F89*chronic_consumption!I489/1000/$C$3)</f>
        <v>#DIV/0!</v>
      </c>
      <c r="O489" s="1040" t="e">
        <f>IF($F89="","",$F89*chronic_consumption!J489/1000/$C$3)</f>
        <v>#DIV/0!</v>
      </c>
      <c r="P489" s="1040" t="e">
        <f>IF($F89="","",$F89*chronic_consumption!K489/1000/$C$3)</f>
        <v>#DIV/0!</v>
      </c>
      <c r="Q489" s="1040" t="e">
        <f>IF($F89="","",$F89*chronic_consumption!L489/1000/$C$3)</f>
        <v>#DIV/0!</v>
      </c>
      <c r="R489" s="1040" t="e">
        <f>IF($F89="","",$F89*chronic_consumption!M489/1000/$C$3)</f>
        <v>#DIV/0!</v>
      </c>
      <c r="S489" s="1040" t="e">
        <f>IF($F89="","",$F89*chronic_consumption!N489/1000/$C$3)</f>
        <v>#DIV/0!</v>
      </c>
      <c r="T489" s="1040" t="e">
        <f>IF($F89="","",$F89*chronic_consumption!O489/1000/$C$3)</f>
        <v>#DIV/0!</v>
      </c>
      <c r="U489" s="1040" t="e">
        <f>IF($F89="","",$F89*chronic_consumption!P489/1000/$C$3)</f>
        <v>#DIV/0!</v>
      </c>
      <c r="V489" s="1040" t="e">
        <f>IF($F89="","",$F89*chronic_consumption!Q489/1000/$C$3)</f>
        <v>#DIV/0!</v>
      </c>
      <c r="W489" s="1040" t="e">
        <f>IF($F89="","",$F89*chronic_consumption!R489/1000/$C$3)</f>
        <v>#DIV/0!</v>
      </c>
      <c r="X489" s="1040" t="e">
        <f>IF($F89="","",$F89*chronic_consumption!S489/1000/$C$3)</f>
        <v>#DIV/0!</v>
      </c>
      <c r="Y489" s="1040" t="e">
        <f>IF($F89="","",$F89*chronic_consumption!T489/1000/$C$3)</f>
        <v>#DIV/0!</v>
      </c>
      <c r="Z489" s="1040" t="e">
        <f>IF($F89="","",$F89*chronic_consumption!U489/1000/$C$3)</f>
        <v>#DIV/0!</v>
      </c>
      <c r="AA489" s="1040" t="e">
        <f>IF($F89="","",$F89*chronic_consumption!V489/1000/$C$3)</f>
        <v>#DIV/0!</v>
      </c>
      <c r="AB489" s="1040" t="e">
        <f>IF($F89="","",$F89*chronic_consumption!W489/1000/$C$3)</f>
        <v>#DIV/0!</v>
      </c>
      <c r="AC489" s="1040" t="e">
        <f>IF($F89="","",$F89*chronic_consumption!X489/1000/$C$3)</f>
        <v>#DIV/0!</v>
      </c>
      <c r="AD489" s="1040" t="e">
        <f>IF($F89="","",$F89*chronic_consumption!Y489/1000/$C$3)</f>
        <v>#DIV/0!</v>
      </c>
      <c r="AE489" s="1040" t="e">
        <f>IF($F89="","",$F89*chronic_consumption!Z489/1000/$C$3)</f>
        <v>#DIV/0!</v>
      </c>
      <c r="AF489" s="1040" t="e">
        <f>IF($F89="","",$F89*chronic_consumption!AA489/1000/$C$3)</f>
        <v>#DIV/0!</v>
      </c>
      <c r="AG489" s="1040" t="e">
        <f>IF($F89="","",$F89*chronic_consumption!AB489/1000/$C$3)</f>
        <v>#DIV/0!</v>
      </c>
      <c r="AH489" s="1040" t="e">
        <f>IF($F89="","",$F89*chronic_consumption!AC489/1000/$C$3)</f>
        <v>#DIV/0!</v>
      </c>
      <c r="AI489" s="1040" t="e">
        <f>IF($F89="","",$F89*chronic_consumption!AD489/1000/$C$3)</f>
        <v>#DIV/0!</v>
      </c>
      <c r="AJ489" s="1040" t="e">
        <f>IF($F89="","",$F89*chronic_consumption!AE489/1000/$C$3)</f>
        <v>#DIV/0!</v>
      </c>
      <c r="AK489" s="1040" t="e">
        <f>IF($F89="","",$F89*chronic_consumption!AF489/1000/$C$3)</f>
        <v>#DIV/0!</v>
      </c>
      <c r="AL489" s="1040" t="e">
        <f>IF($F89="","",$F89*chronic_consumption!AG489/1000/$C$3)</f>
        <v>#DIV/0!</v>
      </c>
      <c r="AM489" s="1040" t="e">
        <f>IF($F89="","",$F89*chronic_consumption!AH489/1000/$C$3)</f>
        <v>#DIV/0!</v>
      </c>
      <c r="AN489" s="1040" t="e">
        <f>IF($F89="","",$F89*chronic_consumption!AI489/1000/$C$3)</f>
        <v>#DIV/0!</v>
      </c>
      <c r="AO489" s="1040" t="e">
        <f>IF($F89="","",$F89*chronic_consumption!AJ489/1000/$C$3)</f>
        <v>#DIV/0!</v>
      </c>
      <c r="AP489" s="1040" t="e">
        <f>IF($F89="","",$F89*chronic_consumption!AK489/1000/$C$3)</f>
        <v>#DIV/0!</v>
      </c>
      <c r="AQ489" s="1040" t="e">
        <f>IF($F89="","",$F89*chronic_consumption!AL489/1000/$C$3)</f>
        <v>#DIV/0!</v>
      </c>
      <c r="AR489" s="1040" t="e">
        <f>IF($F89="","",$F89*chronic_consumption!AM489/1000/$C$3)</f>
        <v>#DIV/0!</v>
      </c>
      <c r="AS489" s="1040" t="e">
        <f>IF($F89="","",$F89*chronic_consumption!AN489/1000/$C$3)</f>
        <v>#DIV/0!</v>
      </c>
      <c r="AT489" s="1040" t="e">
        <f>IF($F89="","",$F89*chronic_consumption!AO489/1000/$C$3)</f>
        <v>#DIV/0!</v>
      </c>
      <c r="AU489" s="1040" t="e">
        <f>IF($F89="","",$F89*chronic_consumption!AP489/1000/$C$3)</f>
        <v>#DIV/0!</v>
      </c>
      <c r="AV489" s="1040" t="e">
        <f>IF($F89="","",$F89*chronic_consumption!AQ489/1000/$C$3)</f>
        <v>#DIV/0!</v>
      </c>
      <c r="AW489" s="1040" t="e">
        <f>IF($F89="","",$F89*chronic_consumption!AR489/1000/$C$3)</f>
        <v>#DIV/0!</v>
      </c>
      <c r="AX489" s="1040" t="e">
        <f>IF($F89="","",$F89*chronic_consumption!AS489/1000/$C$3)</f>
        <v>#DIV/0!</v>
      </c>
      <c r="AY489" s="1040" t="e">
        <f>IF($F89="","",$F89*chronic_consumption!AT489/1000/$C$3)</f>
        <v>#DIV/0!</v>
      </c>
      <c r="AZ489" s="44" t="s">
        <v>20</v>
      </c>
      <c r="BC489" s="29"/>
      <c r="BD489" s="29"/>
    </row>
    <row r="490" spans="1:56" ht="12" customHeight="1" outlineLevel="3" x14ac:dyDescent="0.2">
      <c r="A490" s="21">
        <f>acute_overview_children!A90</f>
        <v>4</v>
      </c>
      <c r="B490" s="325">
        <f t="shared" si="39"/>
        <v>163060</v>
      </c>
      <c r="C490" s="325" t="str">
        <f t="shared" si="39"/>
        <v>Cherimoyas</v>
      </c>
      <c r="D490" s="135"/>
      <c r="E490" s="1027"/>
      <c r="F490" s="87"/>
      <c r="G490" s="1027"/>
      <c r="H490" s="1029"/>
      <c r="I490" s="1030"/>
      <c r="J490" s="1039" t="e">
        <f>IF($F90="","",$F90*chronic_consumption!E490/1000/$C$3)</f>
        <v>#DIV/0!</v>
      </c>
      <c r="K490" s="1040" t="e">
        <f>IF($F90="","",$F90*chronic_consumption!F490/1000/$C$3)</f>
        <v>#DIV/0!</v>
      </c>
      <c r="L490" s="1040" t="e">
        <f>IF($F90="","",$F90*chronic_consumption!G490/1000/$C$3)</f>
        <v>#DIV/0!</v>
      </c>
      <c r="M490" s="1040" t="e">
        <f>IF($F90="","",$F90*chronic_consumption!H490/1000/$C$3)</f>
        <v>#DIV/0!</v>
      </c>
      <c r="N490" s="1040" t="e">
        <f>IF($F90="","",$F90*chronic_consumption!I490/1000/$C$3)</f>
        <v>#DIV/0!</v>
      </c>
      <c r="O490" s="1040" t="e">
        <f>IF($F90="","",$F90*chronic_consumption!J490/1000/$C$3)</f>
        <v>#DIV/0!</v>
      </c>
      <c r="P490" s="1040" t="e">
        <f>IF($F90="","",$F90*chronic_consumption!K490/1000/$C$3)</f>
        <v>#DIV/0!</v>
      </c>
      <c r="Q490" s="1040" t="e">
        <f>IF($F90="","",$F90*chronic_consumption!L490/1000/$C$3)</f>
        <v>#DIV/0!</v>
      </c>
      <c r="R490" s="1040" t="e">
        <f>IF($F90="","",$F90*chronic_consumption!M490/1000/$C$3)</f>
        <v>#DIV/0!</v>
      </c>
      <c r="S490" s="1040" t="e">
        <f>IF($F90="","",$F90*chronic_consumption!N490/1000/$C$3)</f>
        <v>#DIV/0!</v>
      </c>
      <c r="T490" s="1040" t="e">
        <f>IF($F90="","",$F90*chronic_consumption!O490/1000/$C$3)</f>
        <v>#DIV/0!</v>
      </c>
      <c r="U490" s="1040" t="e">
        <f>IF($F90="","",$F90*chronic_consumption!P490/1000/$C$3)</f>
        <v>#DIV/0!</v>
      </c>
      <c r="V490" s="1040" t="e">
        <f>IF($F90="","",$F90*chronic_consumption!Q490/1000/$C$3)</f>
        <v>#DIV/0!</v>
      </c>
      <c r="W490" s="1040" t="e">
        <f>IF($F90="","",$F90*chronic_consumption!R490/1000/$C$3)</f>
        <v>#DIV/0!</v>
      </c>
      <c r="X490" s="1040" t="e">
        <f>IF($F90="","",$F90*chronic_consumption!S490/1000/$C$3)</f>
        <v>#DIV/0!</v>
      </c>
      <c r="Y490" s="1040" t="e">
        <f>IF($F90="","",$F90*chronic_consumption!T490/1000/$C$3)</f>
        <v>#DIV/0!</v>
      </c>
      <c r="Z490" s="1040" t="e">
        <f>IF($F90="","",$F90*chronic_consumption!U490/1000/$C$3)</f>
        <v>#DIV/0!</v>
      </c>
      <c r="AA490" s="1040" t="e">
        <f>IF($F90="","",$F90*chronic_consumption!V490/1000/$C$3)</f>
        <v>#DIV/0!</v>
      </c>
      <c r="AB490" s="1040" t="e">
        <f>IF($F90="","",$F90*chronic_consumption!W490/1000/$C$3)</f>
        <v>#DIV/0!</v>
      </c>
      <c r="AC490" s="1040" t="e">
        <f>IF($F90="","",$F90*chronic_consumption!X490/1000/$C$3)</f>
        <v>#DIV/0!</v>
      </c>
      <c r="AD490" s="1040" t="e">
        <f>IF($F90="","",$F90*chronic_consumption!Y490/1000/$C$3)</f>
        <v>#DIV/0!</v>
      </c>
      <c r="AE490" s="1040" t="e">
        <f>IF($F90="","",$F90*chronic_consumption!Z490/1000/$C$3)</f>
        <v>#DIV/0!</v>
      </c>
      <c r="AF490" s="1040" t="e">
        <f>IF($F90="","",$F90*chronic_consumption!AA490/1000/$C$3)</f>
        <v>#DIV/0!</v>
      </c>
      <c r="AG490" s="1040" t="e">
        <f>IF($F90="","",$F90*chronic_consumption!AB490/1000/$C$3)</f>
        <v>#DIV/0!</v>
      </c>
      <c r="AH490" s="1040" t="e">
        <f>IF($F90="","",$F90*chronic_consumption!AC490/1000/$C$3)</f>
        <v>#DIV/0!</v>
      </c>
      <c r="AI490" s="1040" t="e">
        <f>IF($F90="","",$F90*chronic_consumption!AD490/1000/$C$3)</f>
        <v>#DIV/0!</v>
      </c>
      <c r="AJ490" s="1040" t="e">
        <f>IF($F90="","",$F90*chronic_consumption!AE490/1000/$C$3)</f>
        <v>#DIV/0!</v>
      </c>
      <c r="AK490" s="1040" t="e">
        <f>IF($F90="","",$F90*chronic_consumption!AF490/1000/$C$3)</f>
        <v>#DIV/0!</v>
      </c>
      <c r="AL490" s="1040" t="e">
        <f>IF($F90="","",$F90*chronic_consumption!AG490/1000/$C$3)</f>
        <v>#DIV/0!</v>
      </c>
      <c r="AM490" s="1040" t="e">
        <f>IF($F90="","",$F90*chronic_consumption!AH490/1000/$C$3)</f>
        <v>#DIV/0!</v>
      </c>
      <c r="AN490" s="1040" t="e">
        <f>IF($F90="","",$F90*chronic_consumption!AI490/1000/$C$3)</f>
        <v>#DIV/0!</v>
      </c>
      <c r="AO490" s="1040" t="e">
        <f>IF($F90="","",$F90*chronic_consumption!AJ490/1000/$C$3)</f>
        <v>#DIV/0!</v>
      </c>
      <c r="AP490" s="1040" t="e">
        <f>IF($F90="","",$F90*chronic_consumption!AK490/1000/$C$3)</f>
        <v>#DIV/0!</v>
      </c>
      <c r="AQ490" s="1040" t="e">
        <f>IF($F90="","",$F90*chronic_consumption!AL490/1000/$C$3)</f>
        <v>#DIV/0!</v>
      </c>
      <c r="AR490" s="1040" t="e">
        <f>IF($F90="","",$F90*chronic_consumption!AM490/1000/$C$3)</f>
        <v>#DIV/0!</v>
      </c>
      <c r="AS490" s="1040" t="e">
        <f>IF($F90="","",$F90*chronic_consumption!AN490/1000/$C$3)</f>
        <v>#DIV/0!</v>
      </c>
      <c r="AT490" s="1040" t="e">
        <f>IF($F90="","",$F90*chronic_consumption!AO490/1000/$C$3)</f>
        <v>#DIV/0!</v>
      </c>
      <c r="AU490" s="1040" t="e">
        <f>IF($F90="","",$F90*chronic_consumption!AP490/1000/$C$3)</f>
        <v>#DIV/0!</v>
      </c>
      <c r="AV490" s="1040" t="e">
        <f>IF($F90="","",$F90*chronic_consumption!AQ490/1000/$C$3)</f>
        <v>#DIV/0!</v>
      </c>
      <c r="AW490" s="1040" t="e">
        <f>IF($F90="","",$F90*chronic_consumption!AR490/1000/$C$3)</f>
        <v>#DIV/0!</v>
      </c>
      <c r="AX490" s="1040" t="e">
        <f>IF($F90="","",$F90*chronic_consumption!AS490/1000/$C$3)</f>
        <v>#DIV/0!</v>
      </c>
      <c r="AY490" s="1040" t="e">
        <f>IF($F90="","",$F90*chronic_consumption!AT490/1000/$C$3)</f>
        <v>#DIV/0!</v>
      </c>
      <c r="AZ490" s="44" t="s">
        <v>20</v>
      </c>
      <c r="BC490" s="29"/>
      <c r="BD490" s="29"/>
    </row>
    <row r="491" spans="1:56" ht="12" customHeight="1" outlineLevel="3" x14ac:dyDescent="0.2">
      <c r="A491" s="21">
        <f>acute_overview_children!A91</f>
        <v>4</v>
      </c>
      <c r="B491" s="325">
        <f t="shared" si="39"/>
        <v>163070</v>
      </c>
      <c r="C491" s="325" t="str">
        <f t="shared" si="39"/>
        <v>Guavas</v>
      </c>
      <c r="D491" s="135"/>
      <c r="E491" s="1027"/>
      <c r="F491" s="87"/>
      <c r="G491" s="1027"/>
      <c r="H491" s="1029"/>
      <c r="I491" s="1030"/>
      <c r="J491" s="1039" t="e">
        <f>IF($F91="","",$F91*chronic_consumption!E491/1000/$C$3)</f>
        <v>#DIV/0!</v>
      </c>
      <c r="K491" s="1040" t="e">
        <f>IF($F91="","",$F91*chronic_consumption!F491/1000/$C$3)</f>
        <v>#DIV/0!</v>
      </c>
      <c r="L491" s="1040" t="e">
        <f>IF($F91="","",$F91*chronic_consumption!G491/1000/$C$3)</f>
        <v>#DIV/0!</v>
      </c>
      <c r="M491" s="1040" t="e">
        <f>IF($F91="","",$F91*chronic_consumption!H491/1000/$C$3)</f>
        <v>#DIV/0!</v>
      </c>
      <c r="N491" s="1040" t="e">
        <f>IF($F91="","",$F91*chronic_consumption!I491/1000/$C$3)</f>
        <v>#DIV/0!</v>
      </c>
      <c r="O491" s="1040" t="e">
        <f>IF($F91="","",$F91*chronic_consumption!J491/1000/$C$3)</f>
        <v>#DIV/0!</v>
      </c>
      <c r="P491" s="1040" t="e">
        <f>IF($F91="","",$F91*chronic_consumption!K491/1000/$C$3)</f>
        <v>#DIV/0!</v>
      </c>
      <c r="Q491" s="1040" t="e">
        <f>IF($F91="","",$F91*chronic_consumption!L491/1000/$C$3)</f>
        <v>#DIV/0!</v>
      </c>
      <c r="R491" s="1040" t="e">
        <f>IF($F91="","",$F91*chronic_consumption!M491/1000/$C$3)</f>
        <v>#DIV/0!</v>
      </c>
      <c r="S491" s="1040" t="e">
        <f>IF($F91="","",$F91*chronic_consumption!N491/1000/$C$3)</f>
        <v>#DIV/0!</v>
      </c>
      <c r="T491" s="1040" t="e">
        <f>IF($F91="","",$F91*chronic_consumption!O491/1000/$C$3)</f>
        <v>#DIV/0!</v>
      </c>
      <c r="U491" s="1040" t="e">
        <f>IF($F91="","",$F91*chronic_consumption!P491/1000/$C$3)</f>
        <v>#DIV/0!</v>
      </c>
      <c r="V491" s="1040" t="e">
        <f>IF($F91="","",$F91*chronic_consumption!Q491/1000/$C$3)</f>
        <v>#DIV/0!</v>
      </c>
      <c r="W491" s="1040" t="e">
        <f>IF($F91="","",$F91*chronic_consumption!R491/1000/$C$3)</f>
        <v>#DIV/0!</v>
      </c>
      <c r="X491" s="1040" t="e">
        <f>IF($F91="","",$F91*chronic_consumption!S491/1000/$C$3)</f>
        <v>#DIV/0!</v>
      </c>
      <c r="Y491" s="1040" t="e">
        <f>IF($F91="","",$F91*chronic_consumption!T491/1000/$C$3)</f>
        <v>#DIV/0!</v>
      </c>
      <c r="Z491" s="1040" t="e">
        <f>IF($F91="","",$F91*chronic_consumption!U491/1000/$C$3)</f>
        <v>#DIV/0!</v>
      </c>
      <c r="AA491" s="1040" t="e">
        <f>IF($F91="","",$F91*chronic_consumption!V491/1000/$C$3)</f>
        <v>#DIV/0!</v>
      </c>
      <c r="AB491" s="1040" t="e">
        <f>IF($F91="","",$F91*chronic_consumption!W491/1000/$C$3)</f>
        <v>#DIV/0!</v>
      </c>
      <c r="AC491" s="1040" t="e">
        <f>IF($F91="","",$F91*chronic_consumption!X491/1000/$C$3)</f>
        <v>#DIV/0!</v>
      </c>
      <c r="AD491" s="1040" t="e">
        <f>IF($F91="","",$F91*chronic_consumption!Y491/1000/$C$3)</f>
        <v>#DIV/0!</v>
      </c>
      <c r="AE491" s="1040" t="e">
        <f>IF($F91="","",$F91*chronic_consumption!Z491/1000/$C$3)</f>
        <v>#DIV/0!</v>
      </c>
      <c r="AF491" s="1040" t="e">
        <f>IF($F91="","",$F91*chronic_consumption!AA491/1000/$C$3)</f>
        <v>#DIV/0!</v>
      </c>
      <c r="AG491" s="1040" t="e">
        <f>IF($F91="","",$F91*chronic_consumption!AB491/1000/$C$3)</f>
        <v>#DIV/0!</v>
      </c>
      <c r="AH491" s="1040" t="e">
        <f>IF($F91="","",$F91*chronic_consumption!AC491/1000/$C$3)</f>
        <v>#DIV/0!</v>
      </c>
      <c r="AI491" s="1040" t="e">
        <f>IF($F91="","",$F91*chronic_consumption!AD491/1000/$C$3)</f>
        <v>#DIV/0!</v>
      </c>
      <c r="AJ491" s="1040" t="e">
        <f>IF($F91="","",$F91*chronic_consumption!AE491/1000/$C$3)</f>
        <v>#DIV/0!</v>
      </c>
      <c r="AK491" s="1040" t="e">
        <f>IF($F91="","",$F91*chronic_consumption!AF491/1000/$C$3)</f>
        <v>#DIV/0!</v>
      </c>
      <c r="AL491" s="1040" t="e">
        <f>IF($F91="","",$F91*chronic_consumption!AG491/1000/$C$3)</f>
        <v>#DIV/0!</v>
      </c>
      <c r="AM491" s="1040" t="e">
        <f>IF($F91="","",$F91*chronic_consumption!AH491/1000/$C$3)</f>
        <v>#DIV/0!</v>
      </c>
      <c r="AN491" s="1040" t="e">
        <f>IF($F91="","",$F91*chronic_consumption!AI491/1000/$C$3)</f>
        <v>#DIV/0!</v>
      </c>
      <c r="AO491" s="1040" t="e">
        <f>IF($F91="","",$F91*chronic_consumption!AJ491/1000/$C$3)</f>
        <v>#DIV/0!</v>
      </c>
      <c r="AP491" s="1040" t="e">
        <f>IF($F91="","",$F91*chronic_consumption!AK491/1000/$C$3)</f>
        <v>#DIV/0!</v>
      </c>
      <c r="AQ491" s="1040" t="e">
        <f>IF($F91="","",$F91*chronic_consumption!AL491/1000/$C$3)</f>
        <v>#DIV/0!</v>
      </c>
      <c r="AR491" s="1040" t="e">
        <f>IF($F91="","",$F91*chronic_consumption!AM491/1000/$C$3)</f>
        <v>#DIV/0!</v>
      </c>
      <c r="AS491" s="1040" t="e">
        <f>IF($F91="","",$F91*chronic_consumption!AN491/1000/$C$3)</f>
        <v>#DIV/0!</v>
      </c>
      <c r="AT491" s="1040" t="e">
        <f>IF($F91="","",$F91*chronic_consumption!AO491/1000/$C$3)</f>
        <v>#DIV/0!</v>
      </c>
      <c r="AU491" s="1040" t="e">
        <f>IF($F91="","",$F91*chronic_consumption!AP491/1000/$C$3)</f>
        <v>#DIV/0!</v>
      </c>
      <c r="AV491" s="1040" t="e">
        <f>IF($F91="","",$F91*chronic_consumption!AQ491/1000/$C$3)</f>
        <v>#DIV/0!</v>
      </c>
      <c r="AW491" s="1040" t="e">
        <f>IF($F91="","",$F91*chronic_consumption!AR491/1000/$C$3)</f>
        <v>#DIV/0!</v>
      </c>
      <c r="AX491" s="1040" t="e">
        <f>IF($F91="","",$F91*chronic_consumption!AS491/1000/$C$3)</f>
        <v>#DIV/0!</v>
      </c>
      <c r="AY491" s="1040" t="e">
        <f>IF($F91="","",$F91*chronic_consumption!AT491/1000/$C$3)</f>
        <v>#DIV/0!</v>
      </c>
      <c r="AZ491" s="44" t="s">
        <v>20</v>
      </c>
      <c r="BC491" s="29"/>
      <c r="BD491" s="29"/>
    </row>
    <row r="492" spans="1:56" ht="12" customHeight="1" outlineLevel="3" x14ac:dyDescent="0.2">
      <c r="A492" s="21">
        <f>acute_overview_children!A92</f>
        <v>4</v>
      </c>
      <c r="B492" s="325">
        <f t="shared" ref="B492:C511" si="40">B92</f>
        <v>163080</v>
      </c>
      <c r="C492" s="325" t="str">
        <f t="shared" si="40"/>
        <v>Pineapples</v>
      </c>
      <c r="D492" s="135"/>
      <c r="E492" s="1027"/>
      <c r="F492" s="87"/>
      <c r="G492" s="1027"/>
      <c r="H492" s="1029"/>
      <c r="I492" s="1030"/>
      <c r="J492" s="1039" t="e">
        <f>IF($F92="","",$F92*chronic_consumption!E492/1000/$C$3)</f>
        <v>#DIV/0!</v>
      </c>
      <c r="K492" s="1040" t="e">
        <f>IF($F92="","",$F92*chronic_consumption!F492/1000/$C$3)</f>
        <v>#DIV/0!</v>
      </c>
      <c r="L492" s="1040" t="e">
        <f>IF($F92="","",$F92*chronic_consumption!G492/1000/$C$3)</f>
        <v>#DIV/0!</v>
      </c>
      <c r="M492" s="1040" t="e">
        <f>IF($F92="","",$F92*chronic_consumption!H492/1000/$C$3)</f>
        <v>#DIV/0!</v>
      </c>
      <c r="N492" s="1040" t="e">
        <f>IF($F92="","",$F92*chronic_consumption!I492/1000/$C$3)</f>
        <v>#DIV/0!</v>
      </c>
      <c r="O492" s="1040" t="e">
        <f>IF($F92="","",$F92*chronic_consumption!J492/1000/$C$3)</f>
        <v>#DIV/0!</v>
      </c>
      <c r="P492" s="1040" t="e">
        <f>IF($F92="","",$F92*chronic_consumption!K492/1000/$C$3)</f>
        <v>#DIV/0!</v>
      </c>
      <c r="Q492" s="1040" t="e">
        <f>IF($F92="","",$F92*chronic_consumption!L492/1000/$C$3)</f>
        <v>#DIV/0!</v>
      </c>
      <c r="R492" s="1040" t="e">
        <f>IF($F92="","",$F92*chronic_consumption!M492/1000/$C$3)</f>
        <v>#DIV/0!</v>
      </c>
      <c r="S492" s="1040" t="e">
        <f>IF($F92="","",$F92*chronic_consumption!N492/1000/$C$3)</f>
        <v>#DIV/0!</v>
      </c>
      <c r="T492" s="1040" t="e">
        <f>IF($F92="","",$F92*chronic_consumption!O492/1000/$C$3)</f>
        <v>#DIV/0!</v>
      </c>
      <c r="U492" s="1040" t="e">
        <f>IF($F92="","",$F92*chronic_consumption!P492/1000/$C$3)</f>
        <v>#DIV/0!</v>
      </c>
      <c r="V492" s="1040" t="e">
        <f>IF($F92="","",$F92*chronic_consumption!Q492/1000/$C$3)</f>
        <v>#DIV/0!</v>
      </c>
      <c r="W492" s="1040" t="e">
        <f>IF($F92="","",$F92*chronic_consumption!R492/1000/$C$3)</f>
        <v>#DIV/0!</v>
      </c>
      <c r="X492" s="1040" t="e">
        <f>IF($F92="","",$F92*chronic_consumption!S492/1000/$C$3)</f>
        <v>#DIV/0!</v>
      </c>
      <c r="Y492" s="1040" t="e">
        <f>IF($F92="","",$F92*chronic_consumption!T492/1000/$C$3)</f>
        <v>#DIV/0!</v>
      </c>
      <c r="Z492" s="1040" t="e">
        <f>IF($F92="","",$F92*chronic_consumption!U492/1000/$C$3)</f>
        <v>#DIV/0!</v>
      </c>
      <c r="AA492" s="1040" t="e">
        <f>IF($F92="","",$F92*chronic_consumption!V492/1000/$C$3)</f>
        <v>#DIV/0!</v>
      </c>
      <c r="AB492" s="1040" t="e">
        <f>IF($F92="","",$F92*chronic_consumption!W492/1000/$C$3)</f>
        <v>#DIV/0!</v>
      </c>
      <c r="AC492" s="1040" t="e">
        <f>IF($F92="","",$F92*chronic_consumption!X492/1000/$C$3)</f>
        <v>#DIV/0!</v>
      </c>
      <c r="AD492" s="1040" t="e">
        <f>IF($F92="","",$F92*chronic_consumption!Y492/1000/$C$3)</f>
        <v>#DIV/0!</v>
      </c>
      <c r="AE492" s="1040" t="e">
        <f>IF($F92="","",$F92*chronic_consumption!Z492/1000/$C$3)</f>
        <v>#DIV/0!</v>
      </c>
      <c r="AF492" s="1040" t="e">
        <f>IF($F92="","",$F92*chronic_consumption!AA492/1000/$C$3)</f>
        <v>#DIV/0!</v>
      </c>
      <c r="AG492" s="1040" t="e">
        <f>IF($F92="","",$F92*chronic_consumption!AB492/1000/$C$3)</f>
        <v>#DIV/0!</v>
      </c>
      <c r="AH492" s="1040" t="e">
        <f>IF($F92="","",$F92*chronic_consumption!AC492/1000/$C$3)</f>
        <v>#DIV/0!</v>
      </c>
      <c r="AI492" s="1040" t="e">
        <f>IF($F92="","",$F92*chronic_consumption!AD492/1000/$C$3)</f>
        <v>#DIV/0!</v>
      </c>
      <c r="AJ492" s="1040" t="e">
        <f>IF($F92="","",$F92*chronic_consumption!AE492/1000/$C$3)</f>
        <v>#DIV/0!</v>
      </c>
      <c r="AK492" s="1040" t="e">
        <f>IF($F92="","",$F92*chronic_consumption!AF492/1000/$C$3)</f>
        <v>#DIV/0!</v>
      </c>
      <c r="AL492" s="1040" t="e">
        <f>IF($F92="","",$F92*chronic_consumption!AG492/1000/$C$3)</f>
        <v>#DIV/0!</v>
      </c>
      <c r="AM492" s="1040" t="e">
        <f>IF($F92="","",$F92*chronic_consumption!AH492/1000/$C$3)</f>
        <v>#DIV/0!</v>
      </c>
      <c r="AN492" s="1040" t="e">
        <f>IF($F92="","",$F92*chronic_consumption!AI492/1000/$C$3)</f>
        <v>#DIV/0!</v>
      </c>
      <c r="AO492" s="1040" t="e">
        <f>IF($F92="","",$F92*chronic_consumption!AJ492/1000/$C$3)</f>
        <v>#DIV/0!</v>
      </c>
      <c r="AP492" s="1040" t="e">
        <f>IF($F92="","",$F92*chronic_consumption!AK492/1000/$C$3)</f>
        <v>#DIV/0!</v>
      </c>
      <c r="AQ492" s="1040" t="e">
        <f>IF($F92="","",$F92*chronic_consumption!AL492/1000/$C$3)</f>
        <v>#DIV/0!</v>
      </c>
      <c r="AR492" s="1040" t="e">
        <f>IF($F92="","",$F92*chronic_consumption!AM492/1000/$C$3)</f>
        <v>#DIV/0!</v>
      </c>
      <c r="AS492" s="1040" t="e">
        <f>IF($F92="","",$F92*chronic_consumption!AN492/1000/$C$3)</f>
        <v>#DIV/0!</v>
      </c>
      <c r="AT492" s="1040" t="e">
        <f>IF($F92="","",$F92*chronic_consumption!AO492/1000/$C$3)</f>
        <v>#DIV/0!</v>
      </c>
      <c r="AU492" s="1040" t="e">
        <f>IF($F92="","",$F92*chronic_consumption!AP492/1000/$C$3)</f>
        <v>#DIV/0!</v>
      </c>
      <c r="AV492" s="1040" t="e">
        <f>IF($F92="","",$F92*chronic_consumption!AQ492/1000/$C$3)</f>
        <v>#DIV/0!</v>
      </c>
      <c r="AW492" s="1040" t="e">
        <f>IF($F92="","",$F92*chronic_consumption!AR492/1000/$C$3)</f>
        <v>#DIV/0!</v>
      </c>
      <c r="AX492" s="1040" t="e">
        <f>IF($F92="","",$F92*chronic_consumption!AS492/1000/$C$3)</f>
        <v>#DIV/0!</v>
      </c>
      <c r="AY492" s="1040" t="e">
        <f>IF($F92="","",$F92*chronic_consumption!AT492/1000/$C$3)</f>
        <v>#DIV/0!</v>
      </c>
      <c r="AZ492" s="44" t="s">
        <v>20</v>
      </c>
      <c r="BC492" s="29"/>
      <c r="BD492" s="29"/>
    </row>
    <row r="493" spans="1:56" ht="12" customHeight="1" outlineLevel="3" x14ac:dyDescent="0.2">
      <c r="A493" s="21">
        <f>acute_overview_children!A93</f>
        <v>4</v>
      </c>
      <c r="B493" s="325">
        <f t="shared" si="40"/>
        <v>163090</v>
      </c>
      <c r="C493" s="325" t="str">
        <f t="shared" si="40"/>
        <v>Breadfruits</v>
      </c>
      <c r="D493" s="135"/>
      <c r="E493" s="1027"/>
      <c r="F493" s="87"/>
      <c r="G493" s="1027"/>
      <c r="H493" s="1029"/>
      <c r="I493" s="1030"/>
      <c r="J493" s="1039" t="e">
        <f>IF($F93="","",$F93*chronic_consumption!E493/1000/$C$3)</f>
        <v>#DIV/0!</v>
      </c>
      <c r="K493" s="1040" t="e">
        <f>IF($F93="","",$F93*chronic_consumption!F493/1000/$C$3)</f>
        <v>#DIV/0!</v>
      </c>
      <c r="L493" s="1040" t="e">
        <f>IF($F93="","",$F93*chronic_consumption!G493/1000/$C$3)</f>
        <v>#DIV/0!</v>
      </c>
      <c r="M493" s="1040" t="e">
        <f>IF($F93="","",$F93*chronic_consumption!H493/1000/$C$3)</f>
        <v>#DIV/0!</v>
      </c>
      <c r="N493" s="1040" t="e">
        <f>IF($F93="","",$F93*chronic_consumption!I493/1000/$C$3)</f>
        <v>#DIV/0!</v>
      </c>
      <c r="O493" s="1040" t="e">
        <f>IF($F93="","",$F93*chronic_consumption!J493/1000/$C$3)</f>
        <v>#DIV/0!</v>
      </c>
      <c r="P493" s="1040" t="e">
        <f>IF($F93="","",$F93*chronic_consumption!K493/1000/$C$3)</f>
        <v>#DIV/0!</v>
      </c>
      <c r="Q493" s="1040" t="e">
        <f>IF($F93="","",$F93*chronic_consumption!L493/1000/$C$3)</f>
        <v>#DIV/0!</v>
      </c>
      <c r="R493" s="1040" t="e">
        <f>IF($F93="","",$F93*chronic_consumption!M493/1000/$C$3)</f>
        <v>#DIV/0!</v>
      </c>
      <c r="S493" s="1040" t="e">
        <f>IF($F93="","",$F93*chronic_consumption!N493/1000/$C$3)</f>
        <v>#DIV/0!</v>
      </c>
      <c r="T493" s="1040" t="e">
        <f>IF($F93="","",$F93*chronic_consumption!O493/1000/$C$3)</f>
        <v>#DIV/0!</v>
      </c>
      <c r="U493" s="1040" t="e">
        <f>IF($F93="","",$F93*chronic_consumption!P493/1000/$C$3)</f>
        <v>#DIV/0!</v>
      </c>
      <c r="V493" s="1040" t="e">
        <f>IF($F93="","",$F93*chronic_consumption!Q493/1000/$C$3)</f>
        <v>#DIV/0!</v>
      </c>
      <c r="W493" s="1040" t="e">
        <f>IF($F93="","",$F93*chronic_consumption!R493/1000/$C$3)</f>
        <v>#DIV/0!</v>
      </c>
      <c r="X493" s="1040" t="e">
        <f>IF($F93="","",$F93*chronic_consumption!S493/1000/$C$3)</f>
        <v>#DIV/0!</v>
      </c>
      <c r="Y493" s="1040" t="e">
        <f>IF($F93="","",$F93*chronic_consumption!T493/1000/$C$3)</f>
        <v>#DIV/0!</v>
      </c>
      <c r="Z493" s="1040" t="e">
        <f>IF($F93="","",$F93*chronic_consumption!U493/1000/$C$3)</f>
        <v>#DIV/0!</v>
      </c>
      <c r="AA493" s="1040" t="e">
        <f>IF($F93="","",$F93*chronic_consumption!V493/1000/$C$3)</f>
        <v>#DIV/0!</v>
      </c>
      <c r="AB493" s="1040" t="e">
        <f>IF($F93="","",$F93*chronic_consumption!W493/1000/$C$3)</f>
        <v>#DIV/0!</v>
      </c>
      <c r="AC493" s="1040" t="e">
        <f>IF($F93="","",$F93*chronic_consumption!X493/1000/$C$3)</f>
        <v>#DIV/0!</v>
      </c>
      <c r="AD493" s="1040" t="e">
        <f>IF($F93="","",$F93*chronic_consumption!Y493/1000/$C$3)</f>
        <v>#DIV/0!</v>
      </c>
      <c r="AE493" s="1040" t="e">
        <f>IF($F93="","",$F93*chronic_consumption!Z493/1000/$C$3)</f>
        <v>#DIV/0!</v>
      </c>
      <c r="AF493" s="1040" t="e">
        <f>IF($F93="","",$F93*chronic_consumption!AA493/1000/$C$3)</f>
        <v>#DIV/0!</v>
      </c>
      <c r="AG493" s="1040" t="e">
        <f>IF($F93="","",$F93*chronic_consumption!AB493/1000/$C$3)</f>
        <v>#DIV/0!</v>
      </c>
      <c r="AH493" s="1040" t="e">
        <f>IF($F93="","",$F93*chronic_consumption!AC493/1000/$C$3)</f>
        <v>#DIV/0!</v>
      </c>
      <c r="AI493" s="1040" t="e">
        <f>IF($F93="","",$F93*chronic_consumption!AD493/1000/$C$3)</f>
        <v>#DIV/0!</v>
      </c>
      <c r="AJ493" s="1040" t="e">
        <f>IF($F93="","",$F93*chronic_consumption!AE493/1000/$C$3)</f>
        <v>#DIV/0!</v>
      </c>
      <c r="AK493" s="1040" t="e">
        <f>IF($F93="","",$F93*chronic_consumption!AF493/1000/$C$3)</f>
        <v>#DIV/0!</v>
      </c>
      <c r="AL493" s="1040" t="e">
        <f>IF($F93="","",$F93*chronic_consumption!AG493/1000/$C$3)</f>
        <v>#DIV/0!</v>
      </c>
      <c r="AM493" s="1040" t="e">
        <f>IF($F93="","",$F93*chronic_consumption!AH493/1000/$C$3)</f>
        <v>#DIV/0!</v>
      </c>
      <c r="AN493" s="1040" t="e">
        <f>IF($F93="","",$F93*chronic_consumption!AI493/1000/$C$3)</f>
        <v>#DIV/0!</v>
      </c>
      <c r="AO493" s="1040" t="e">
        <f>IF($F93="","",$F93*chronic_consumption!AJ493/1000/$C$3)</f>
        <v>#DIV/0!</v>
      </c>
      <c r="AP493" s="1040" t="e">
        <f>IF($F93="","",$F93*chronic_consumption!AK493/1000/$C$3)</f>
        <v>#DIV/0!</v>
      </c>
      <c r="AQ493" s="1040" t="e">
        <f>IF($F93="","",$F93*chronic_consumption!AL493/1000/$C$3)</f>
        <v>#DIV/0!</v>
      </c>
      <c r="AR493" s="1040" t="e">
        <f>IF($F93="","",$F93*chronic_consumption!AM493/1000/$C$3)</f>
        <v>#DIV/0!</v>
      </c>
      <c r="AS493" s="1040" t="e">
        <f>IF($F93="","",$F93*chronic_consumption!AN493/1000/$C$3)</f>
        <v>#DIV/0!</v>
      </c>
      <c r="AT493" s="1040" t="e">
        <f>IF($F93="","",$F93*chronic_consumption!AO493/1000/$C$3)</f>
        <v>#DIV/0!</v>
      </c>
      <c r="AU493" s="1040" t="e">
        <f>IF($F93="","",$F93*chronic_consumption!AP493/1000/$C$3)</f>
        <v>#DIV/0!</v>
      </c>
      <c r="AV493" s="1040" t="e">
        <f>IF($F93="","",$F93*chronic_consumption!AQ493/1000/$C$3)</f>
        <v>#DIV/0!</v>
      </c>
      <c r="AW493" s="1040" t="e">
        <f>IF($F93="","",$F93*chronic_consumption!AR493/1000/$C$3)</f>
        <v>#DIV/0!</v>
      </c>
      <c r="AX493" s="1040" t="e">
        <f>IF($F93="","",$F93*chronic_consumption!AS493/1000/$C$3)</f>
        <v>#DIV/0!</v>
      </c>
      <c r="AY493" s="1040" t="e">
        <f>IF($F93="","",$F93*chronic_consumption!AT493/1000/$C$3)</f>
        <v>#DIV/0!</v>
      </c>
      <c r="AZ493" s="44" t="s">
        <v>20</v>
      </c>
      <c r="BC493" s="29"/>
      <c r="BD493" s="29"/>
    </row>
    <row r="494" spans="1:56" ht="12" customHeight="1" outlineLevel="3" x14ac:dyDescent="0.2">
      <c r="A494" s="21">
        <f>acute_overview_children!A94</f>
        <v>4</v>
      </c>
      <c r="B494" s="325">
        <f t="shared" si="40"/>
        <v>163100</v>
      </c>
      <c r="C494" s="325" t="str">
        <f t="shared" si="40"/>
        <v>Durians</v>
      </c>
      <c r="D494" s="135"/>
      <c r="E494" s="1027"/>
      <c r="F494" s="87"/>
      <c r="G494" s="1027"/>
      <c r="H494" s="1029"/>
      <c r="I494" s="1030"/>
      <c r="J494" s="1039" t="e">
        <f>IF($F94="","",$F94*chronic_consumption!E494/1000/$C$3)</f>
        <v>#DIV/0!</v>
      </c>
      <c r="K494" s="1040" t="e">
        <f>IF($F94="","",$F94*chronic_consumption!F494/1000/$C$3)</f>
        <v>#DIV/0!</v>
      </c>
      <c r="L494" s="1040" t="e">
        <f>IF($F94="","",$F94*chronic_consumption!G494/1000/$C$3)</f>
        <v>#DIV/0!</v>
      </c>
      <c r="M494" s="1040" t="e">
        <f>IF($F94="","",$F94*chronic_consumption!H494/1000/$C$3)</f>
        <v>#DIV/0!</v>
      </c>
      <c r="N494" s="1040" t="e">
        <f>IF($F94="","",$F94*chronic_consumption!I494/1000/$C$3)</f>
        <v>#DIV/0!</v>
      </c>
      <c r="O494" s="1040" t="e">
        <f>IF($F94="","",$F94*chronic_consumption!J494/1000/$C$3)</f>
        <v>#DIV/0!</v>
      </c>
      <c r="P494" s="1040" t="e">
        <f>IF($F94="","",$F94*chronic_consumption!K494/1000/$C$3)</f>
        <v>#DIV/0!</v>
      </c>
      <c r="Q494" s="1040" t="e">
        <f>IF($F94="","",$F94*chronic_consumption!L494/1000/$C$3)</f>
        <v>#DIV/0!</v>
      </c>
      <c r="R494" s="1040" t="e">
        <f>IF($F94="","",$F94*chronic_consumption!M494/1000/$C$3)</f>
        <v>#DIV/0!</v>
      </c>
      <c r="S494" s="1040" t="e">
        <f>IF($F94="","",$F94*chronic_consumption!N494/1000/$C$3)</f>
        <v>#DIV/0!</v>
      </c>
      <c r="T494" s="1040" t="e">
        <f>IF($F94="","",$F94*chronic_consumption!O494/1000/$C$3)</f>
        <v>#DIV/0!</v>
      </c>
      <c r="U494" s="1040" t="e">
        <f>IF($F94="","",$F94*chronic_consumption!P494/1000/$C$3)</f>
        <v>#DIV/0!</v>
      </c>
      <c r="V494" s="1040" t="e">
        <f>IF($F94="","",$F94*chronic_consumption!Q494/1000/$C$3)</f>
        <v>#DIV/0!</v>
      </c>
      <c r="W494" s="1040" t="e">
        <f>IF($F94="","",$F94*chronic_consumption!R494/1000/$C$3)</f>
        <v>#DIV/0!</v>
      </c>
      <c r="X494" s="1040" t="e">
        <f>IF($F94="","",$F94*chronic_consumption!S494/1000/$C$3)</f>
        <v>#DIV/0!</v>
      </c>
      <c r="Y494" s="1040" t="e">
        <f>IF($F94="","",$F94*chronic_consumption!T494/1000/$C$3)</f>
        <v>#DIV/0!</v>
      </c>
      <c r="Z494" s="1040" t="e">
        <f>IF($F94="","",$F94*chronic_consumption!U494/1000/$C$3)</f>
        <v>#DIV/0!</v>
      </c>
      <c r="AA494" s="1040" t="e">
        <f>IF($F94="","",$F94*chronic_consumption!V494/1000/$C$3)</f>
        <v>#DIV/0!</v>
      </c>
      <c r="AB494" s="1040" t="e">
        <f>IF($F94="","",$F94*chronic_consumption!W494/1000/$C$3)</f>
        <v>#DIV/0!</v>
      </c>
      <c r="AC494" s="1040" t="e">
        <f>IF($F94="","",$F94*chronic_consumption!X494/1000/$C$3)</f>
        <v>#DIV/0!</v>
      </c>
      <c r="AD494" s="1040" t="e">
        <f>IF($F94="","",$F94*chronic_consumption!Y494/1000/$C$3)</f>
        <v>#DIV/0!</v>
      </c>
      <c r="AE494" s="1040" t="e">
        <f>IF($F94="","",$F94*chronic_consumption!Z494/1000/$C$3)</f>
        <v>#DIV/0!</v>
      </c>
      <c r="AF494" s="1040" t="e">
        <f>IF($F94="","",$F94*chronic_consumption!AA494/1000/$C$3)</f>
        <v>#DIV/0!</v>
      </c>
      <c r="AG494" s="1040" t="e">
        <f>IF($F94="","",$F94*chronic_consumption!AB494/1000/$C$3)</f>
        <v>#DIV/0!</v>
      </c>
      <c r="AH494" s="1040" t="e">
        <f>IF($F94="","",$F94*chronic_consumption!AC494/1000/$C$3)</f>
        <v>#DIV/0!</v>
      </c>
      <c r="AI494" s="1040" t="e">
        <f>IF($F94="","",$F94*chronic_consumption!AD494/1000/$C$3)</f>
        <v>#DIV/0!</v>
      </c>
      <c r="AJ494" s="1040" t="e">
        <f>IF($F94="","",$F94*chronic_consumption!AE494/1000/$C$3)</f>
        <v>#DIV/0!</v>
      </c>
      <c r="AK494" s="1040" t="e">
        <f>IF($F94="","",$F94*chronic_consumption!AF494/1000/$C$3)</f>
        <v>#DIV/0!</v>
      </c>
      <c r="AL494" s="1040" t="e">
        <f>IF($F94="","",$F94*chronic_consumption!AG494/1000/$C$3)</f>
        <v>#DIV/0!</v>
      </c>
      <c r="AM494" s="1040" t="e">
        <f>IF($F94="","",$F94*chronic_consumption!AH494/1000/$C$3)</f>
        <v>#DIV/0!</v>
      </c>
      <c r="AN494" s="1040" t="e">
        <f>IF($F94="","",$F94*chronic_consumption!AI494/1000/$C$3)</f>
        <v>#DIV/0!</v>
      </c>
      <c r="AO494" s="1040" t="e">
        <f>IF($F94="","",$F94*chronic_consumption!AJ494/1000/$C$3)</f>
        <v>#DIV/0!</v>
      </c>
      <c r="AP494" s="1040" t="e">
        <f>IF($F94="","",$F94*chronic_consumption!AK494/1000/$C$3)</f>
        <v>#DIV/0!</v>
      </c>
      <c r="AQ494" s="1040" t="e">
        <f>IF($F94="","",$F94*chronic_consumption!AL494/1000/$C$3)</f>
        <v>#DIV/0!</v>
      </c>
      <c r="AR494" s="1040" t="e">
        <f>IF($F94="","",$F94*chronic_consumption!AM494/1000/$C$3)</f>
        <v>#DIV/0!</v>
      </c>
      <c r="AS494" s="1040" t="e">
        <f>IF($F94="","",$F94*chronic_consumption!AN494/1000/$C$3)</f>
        <v>#DIV/0!</v>
      </c>
      <c r="AT494" s="1040" t="e">
        <f>IF($F94="","",$F94*chronic_consumption!AO494/1000/$C$3)</f>
        <v>#DIV/0!</v>
      </c>
      <c r="AU494" s="1040" t="e">
        <f>IF($F94="","",$F94*chronic_consumption!AP494/1000/$C$3)</f>
        <v>#DIV/0!</v>
      </c>
      <c r="AV494" s="1040" t="e">
        <f>IF($F94="","",$F94*chronic_consumption!AQ494/1000/$C$3)</f>
        <v>#DIV/0!</v>
      </c>
      <c r="AW494" s="1040" t="e">
        <f>IF($F94="","",$F94*chronic_consumption!AR494/1000/$C$3)</f>
        <v>#DIV/0!</v>
      </c>
      <c r="AX494" s="1040" t="e">
        <f>IF($F94="","",$F94*chronic_consumption!AS494/1000/$C$3)</f>
        <v>#DIV/0!</v>
      </c>
      <c r="AY494" s="1040" t="e">
        <f>IF($F94="","",$F94*chronic_consumption!AT494/1000/$C$3)</f>
        <v>#DIV/0!</v>
      </c>
      <c r="AZ494" s="44" t="s">
        <v>20</v>
      </c>
      <c r="BC494" s="29"/>
      <c r="BD494" s="29"/>
    </row>
    <row r="495" spans="1:56" ht="12" customHeight="1" outlineLevel="3" x14ac:dyDescent="0.2">
      <c r="A495" s="21">
        <f>acute_overview_children!A95</f>
        <v>4</v>
      </c>
      <c r="B495" s="325">
        <f t="shared" si="40"/>
        <v>163110</v>
      </c>
      <c r="C495" s="325" t="str">
        <f t="shared" si="40"/>
        <v>Soursops/guanabanas</v>
      </c>
      <c r="D495" s="135"/>
      <c r="E495" s="1027"/>
      <c r="F495" s="87"/>
      <c r="G495" s="1027"/>
      <c r="H495" s="1029"/>
      <c r="I495" s="1030"/>
      <c r="J495" s="1039" t="e">
        <f>IF($F95="","",$F95*chronic_consumption!E495/1000/$C$3)</f>
        <v>#DIV/0!</v>
      </c>
      <c r="K495" s="1040" t="e">
        <f>IF($F95="","",$F95*chronic_consumption!F495/1000/$C$3)</f>
        <v>#DIV/0!</v>
      </c>
      <c r="L495" s="1040" t="e">
        <f>IF($F95="","",$F95*chronic_consumption!G495/1000/$C$3)</f>
        <v>#DIV/0!</v>
      </c>
      <c r="M495" s="1040" t="e">
        <f>IF($F95="","",$F95*chronic_consumption!H495/1000/$C$3)</f>
        <v>#DIV/0!</v>
      </c>
      <c r="N495" s="1040" t="e">
        <f>IF($F95="","",$F95*chronic_consumption!I495/1000/$C$3)</f>
        <v>#DIV/0!</v>
      </c>
      <c r="O495" s="1040" t="e">
        <f>IF($F95="","",$F95*chronic_consumption!J495/1000/$C$3)</f>
        <v>#DIV/0!</v>
      </c>
      <c r="P495" s="1040" t="e">
        <f>IF($F95="","",$F95*chronic_consumption!K495/1000/$C$3)</f>
        <v>#DIV/0!</v>
      </c>
      <c r="Q495" s="1040" t="e">
        <f>IF($F95="","",$F95*chronic_consumption!L495/1000/$C$3)</f>
        <v>#DIV/0!</v>
      </c>
      <c r="R495" s="1040" t="e">
        <f>IF($F95="","",$F95*chronic_consumption!M495/1000/$C$3)</f>
        <v>#DIV/0!</v>
      </c>
      <c r="S495" s="1040" t="e">
        <f>IF($F95="","",$F95*chronic_consumption!N495/1000/$C$3)</f>
        <v>#DIV/0!</v>
      </c>
      <c r="T495" s="1040" t="e">
        <f>IF($F95="","",$F95*chronic_consumption!O495/1000/$C$3)</f>
        <v>#DIV/0!</v>
      </c>
      <c r="U495" s="1040" t="e">
        <f>IF($F95="","",$F95*chronic_consumption!P495/1000/$C$3)</f>
        <v>#DIV/0!</v>
      </c>
      <c r="V495" s="1040" t="e">
        <f>IF($F95="","",$F95*chronic_consumption!Q495/1000/$C$3)</f>
        <v>#DIV/0!</v>
      </c>
      <c r="W495" s="1040" t="e">
        <f>IF($F95="","",$F95*chronic_consumption!R495/1000/$C$3)</f>
        <v>#DIV/0!</v>
      </c>
      <c r="X495" s="1040" t="e">
        <f>IF($F95="","",$F95*chronic_consumption!S495/1000/$C$3)</f>
        <v>#DIV/0!</v>
      </c>
      <c r="Y495" s="1040" t="e">
        <f>IF($F95="","",$F95*chronic_consumption!T495/1000/$C$3)</f>
        <v>#DIV/0!</v>
      </c>
      <c r="Z495" s="1040" t="e">
        <f>IF($F95="","",$F95*chronic_consumption!U495/1000/$C$3)</f>
        <v>#DIV/0!</v>
      </c>
      <c r="AA495" s="1040" t="e">
        <f>IF($F95="","",$F95*chronic_consumption!V495/1000/$C$3)</f>
        <v>#DIV/0!</v>
      </c>
      <c r="AB495" s="1040" t="e">
        <f>IF($F95="","",$F95*chronic_consumption!W495/1000/$C$3)</f>
        <v>#DIV/0!</v>
      </c>
      <c r="AC495" s="1040" t="e">
        <f>IF($F95="","",$F95*chronic_consumption!X495/1000/$C$3)</f>
        <v>#DIV/0!</v>
      </c>
      <c r="AD495" s="1040" t="e">
        <f>IF($F95="","",$F95*chronic_consumption!Y495/1000/$C$3)</f>
        <v>#DIV/0!</v>
      </c>
      <c r="AE495" s="1040" t="e">
        <f>IF($F95="","",$F95*chronic_consumption!Z495/1000/$C$3)</f>
        <v>#DIV/0!</v>
      </c>
      <c r="AF495" s="1040" t="e">
        <f>IF($F95="","",$F95*chronic_consumption!AA495/1000/$C$3)</f>
        <v>#DIV/0!</v>
      </c>
      <c r="AG495" s="1040" t="e">
        <f>IF($F95="","",$F95*chronic_consumption!AB495/1000/$C$3)</f>
        <v>#DIV/0!</v>
      </c>
      <c r="AH495" s="1040" t="e">
        <f>IF($F95="","",$F95*chronic_consumption!AC495/1000/$C$3)</f>
        <v>#DIV/0!</v>
      </c>
      <c r="AI495" s="1040" t="e">
        <f>IF($F95="","",$F95*chronic_consumption!AD495/1000/$C$3)</f>
        <v>#DIV/0!</v>
      </c>
      <c r="AJ495" s="1040" t="e">
        <f>IF($F95="","",$F95*chronic_consumption!AE495/1000/$C$3)</f>
        <v>#DIV/0!</v>
      </c>
      <c r="AK495" s="1040" t="e">
        <f>IF($F95="","",$F95*chronic_consumption!AF495/1000/$C$3)</f>
        <v>#DIV/0!</v>
      </c>
      <c r="AL495" s="1040" t="e">
        <f>IF($F95="","",$F95*chronic_consumption!AG495/1000/$C$3)</f>
        <v>#DIV/0!</v>
      </c>
      <c r="AM495" s="1040" t="e">
        <f>IF($F95="","",$F95*chronic_consumption!AH495/1000/$C$3)</f>
        <v>#DIV/0!</v>
      </c>
      <c r="AN495" s="1040" t="e">
        <f>IF($F95="","",$F95*chronic_consumption!AI495/1000/$C$3)</f>
        <v>#DIV/0!</v>
      </c>
      <c r="AO495" s="1040" t="e">
        <f>IF($F95="","",$F95*chronic_consumption!AJ495/1000/$C$3)</f>
        <v>#DIV/0!</v>
      </c>
      <c r="AP495" s="1040" t="e">
        <f>IF($F95="","",$F95*chronic_consumption!AK495/1000/$C$3)</f>
        <v>#DIV/0!</v>
      </c>
      <c r="AQ495" s="1040" t="e">
        <f>IF($F95="","",$F95*chronic_consumption!AL495/1000/$C$3)</f>
        <v>#DIV/0!</v>
      </c>
      <c r="AR495" s="1040" t="e">
        <f>IF($F95="","",$F95*chronic_consumption!AM495/1000/$C$3)</f>
        <v>#DIV/0!</v>
      </c>
      <c r="AS495" s="1040" t="e">
        <f>IF($F95="","",$F95*chronic_consumption!AN495/1000/$C$3)</f>
        <v>#DIV/0!</v>
      </c>
      <c r="AT495" s="1040" t="e">
        <f>IF($F95="","",$F95*chronic_consumption!AO495/1000/$C$3)</f>
        <v>#DIV/0!</v>
      </c>
      <c r="AU495" s="1040" t="e">
        <f>IF($F95="","",$F95*chronic_consumption!AP495/1000/$C$3)</f>
        <v>#DIV/0!</v>
      </c>
      <c r="AV495" s="1040" t="e">
        <f>IF($F95="","",$F95*chronic_consumption!AQ495/1000/$C$3)</f>
        <v>#DIV/0!</v>
      </c>
      <c r="AW495" s="1040" t="e">
        <f>IF($F95="","",$F95*chronic_consumption!AR495/1000/$C$3)</f>
        <v>#DIV/0!</v>
      </c>
      <c r="AX495" s="1040" t="e">
        <f>IF($F95="","",$F95*chronic_consumption!AS495/1000/$C$3)</f>
        <v>#DIV/0!</v>
      </c>
      <c r="AY495" s="1040" t="e">
        <f>IF($F95="","",$F95*chronic_consumption!AT495/1000/$C$3)</f>
        <v>#DIV/0!</v>
      </c>
      <c r="AZ495" s="44" t="s">
        <v>20</v>
      </c>
      <c r="BC495" s="29"/>
      <c r="BD495" s="29"/>
    </row>
    <row r="496" spans="1:56" ht="12" customHeight="1" outlineLevel="3" x14ac:dyDescent="0.2">
      <c r="A496" s="21">
        <f>acute_overview_children!A96</f>
        <v>4</v>
      </c>
      <c r="B496" s="325">
        <f t="shared" si="40"/>
        <v>163990</v>
      </c>
      <c r="C496" s="325" t="str">
        <f t="shared" si="40"/>
        <v>Other miscallaneous fruit (inedible peel, large)</v>
      </c>
      <c r="D496" s="135"/>
      <c r="E496" s="1027"/>
      <c r="F496" s="87"/>
      <c r="G496" s="1027"/>
      <c r="H496" s="1029"/>
      <c r="I496" s="1030"/>
      <c r="J496" s="1039" t="e">
        <f>IF($F96="","",$F96*chronic_consumption!E496/1000/$C$3)</f>
        <v>#DIV/0!</v>
      </c>
      <c r="K496" s="1040" t="e">
        <f>IF($F96="","",$F96*chronic_consumption!F496/1000/$C$3)</f>
        <v>#DIV/0!</v>
      </c>
      <c r="L496" s="1040" t="e">
        <f>IF($F96="","",$F96*chronic_consumption!G496/1000/$C$3)</f>
        <v>#DIV/0!</v>
      </c>
      <c r="M496" s="1040" t="e">
        <f>IF($F96="","",$F96*chronic_consumption!H496/1000/$C$3)</f>
        <v>#DIV/0!</v>
      </c>
      <c r="N496" s="1040" t="e">
        <f>IF($F96="","",$F96*chronic_consumption!I496/1000/$C$3)</f>
        <v>#DIV/0!</v>
      </c>
      <c r="O496" s="1040" t="e">
        <f>IF($F96="","",$F96*chronic_consumption!J496/1000/$C$3)</f>
        <v>#DIV/0!</v>
      </c>
      <c r="P496" s="1040" t="e">
        <f>IF($F96="","",$F96*chronic_consumption!K496/1000/$C$3)</f>
        <v>#DIV/0!</v>
      </c>
      <c r="Q496" s="1040" t="e">
        <f>IF($F96="","",$F96*chronic_consumption!L496/1000/$C$3)</f>
        <v>#DIV/0!</v>
      </c>
      <c r="R496" s="1040" t="e">
        <f>IF($F96="","",$F96*chronic_consumption!M496/1000/$C$3)</f>
        <v>#DIV/0!</v>
      </c>
      <c r="S496" s="1040" t="e">
        <f>IF($F96="","",$F96*chronic_consumption!N496/1000/$C$3)</f>
        <v>#DIV/0!</v>
      </c>
      <c r="T496" s="1040" t="e">
        <f>IF($F96="","",$F96*chronic_consumption!O496/1000/$C$3)</f>
        <v>#DIV/0!</v>
      </c>
      <c r="U496" s="1040" t="e">
        <f>IF($F96="","",$F96*chronic_consumption!P496/1000/$C$3)</f>
        <v>#DIV/0!</v>
      </c>
      <c r="V496" s="1040" t="e">
        <f>IF($F96="","",$F96*chronic_consumption!Q496/1000/$C$3)</f>
        <v>#DIV/0!</v>
      </c>
      <c r="W496" s="1040" t="e">
        <f>IF($F96="","",$F96*chronic_consumption!R496/1000/$C$3)</f>
        <v>#DIV/0!</v>
      </c>
      <c r="X496" s="1040" t="e">
        <f>IF($F96="","",$F96*chronic_consumption!S496/1000/$C$3)</f>
        <v>#DIV/0!</v>
      </c>
      <c r="Y496" s="1040" t="e">
        <f>IF($F96="","",$F96*chronic_consumption!T496/1000/$C$3)</f>
        <v>#DIV/0!</v>
      </c>
      <c r="Z496" s="1040" t="e">
        <f>IF($F96="","",$F96*chronic_consumption!U496/1000/$C$3)</f>
        <v>#DIV/0!</v>
      </c>
      <c r="AA496" s="1040" t="e">
        <f>IF($F96="","",$F96*chronic_consumption!V496/1000/$C$3)</f>
        <v>#DIV/0!</v>
      </c>
      <c r="AB496" s="1040" t="e">
        <f>IF($F96="","",$F96*chronic_consumption!W496/1000/$C$3)</f>
        <v>#DIV/0!</v>
      </c>
      <c r="AC496" s="1040" t="e">
        <f>IF($F96="","",$F96*chronic_consumption!X496/1000/$C$3)</f>
        <v>#DIV/0!</v>
      </c>
      <c r="AD496" s="1040" t="e">
        <f>IF($F96="","",$F96*chronic_consumption!Y496/1000/$C$3)</f>
        <v>#DIV/0!</v>
      </c>
      <c r="AE496" s="1040" t="e">
        <f>IF($F96="","",$F96*chronic_consumption!Z496/1000/$C$3)</f>
        <v>#DIV/0!</v>
      </c>
      <c r="AF496" s="1040" t="e">
        <f>IF($F96="","",$F96*chronic_consumption!AA496/1000/$C$3)</f>
        <v>#DIV/0!</v>
      </c>
      <c r="AG496" s="1040" t="e">
        <f>IF($F96="","",$F96*chronic_consumption!AB496/1000/$C$3)</f>
        <v>#DIV/0!</v>
      </c>
      <c r="AH496" s="1040" t="e">
        <f>IF($F96="","",$F96*chronic_consumption!AC496/1000/$C$3)</f>
        <v>#DIV/0!</v>
      </c>
      <c r="AI496" s="1040" t="e">
        <f>IF($F96="","",$F96*chronic_consumption!AD496/1000/$C$3)</f>
        <v>#DIV/0!</v>
      </c>
      <c r="AJ496" s="1040" t="e">
        <f>IF($F96="","",$F96*chronic_consumption!AE496/1000/$C$3)</f>
        <v>#DIV/0!</v>
      </c>
      <c r="AK496" s="1040" t="e">
        <f>IF($F96="","",$F96*chronic_consumption!AF496/1000/$C$3)</f>
        <v>#DIV/0!</v>
      </c>
      <c r="AL496" s="1040" t="e">
        <f>IF($F96="","",$F96*chronic_consumption!AG496/1000/$C$3)</f>
        <v>#DIV/0!</v>
      </c>
      <c r="AM496" s="1040" t="e">
        <f>IF($F96="","",$F96*chronic_consumption!AH496/1000/$C$3)</f>
        <v>#DIV/0!</v>
      </c>
      <c r="AN496" s="1040" t="e">
        <f>IF($F96="","",$F96*chronic_consumption!AI496/1000/$C$3)</f>
        <v>#DIV/0!</v>
      </c>
      <c r="AO496" s="1040" t="e">
        <f>IF($F96="","",$F96*chronic_consumption!AJ496/1000/$C$3)</f>
        <v>#DIV/0!</v>
      </c>
      <c r="AP496" s="1040" t="e">
        <f>IF($F96="","",$F96*chronic_consumption!AK496/1000/$C$3)</f>
        <v>#DIV/0!</v>
      </c>
      <c r="AQ496" s="1040" t="e">
        <f>IF($F96="","",$F96*chronic_consumption!AL496/1000/$C$3)</f>
        <v>#DIV/0!</v>
      </c>
      <c r="AR496" s="1040" t="e">
        <f>IF($F96="","",$F96*chronic_consumption!AM496/1000/$C$3)</f>
        <v>#DIV/0!</v>
      </c>
      <c r="AS496" s="1040" t="e">
        <f>IF($F96="","",$F96*chronic_consumption!AN496/1000/$C$3)</f>
        <v>#DIV/0!</v>
      </c>
      <c r="AT496" s="1040" t="e">
        <f>IF($F96="","",$F96*chronic_consumption!AO496/1000/$C$3)</f>
        <v>#DIV/0!</v>
      </c>
      <c r="AU496" s="1040" t="e">
        <f>IF($F96="","",$F96*chronic_consumption!AP496/1000/$C$3)</f>
        <v>#DIV/0!</v>
      </c>
      <c r="AV496" s="1040" t="e">
        <f>IF($F96="","",$F96*chronic_consumption!AQ496/1000/$C$3)</f>
        <v>#DIV/0!</v>
      </c>
      <c r="AW496" s="1040" t="e">
        <f>IF($F96="","",$F96*chronic_consumption!AR496/1000/$C$3)</f>
        <v>#DIV/0!</v>
      </c>
      <c r="AX496" s="1040" t="e">
        <f>IF($F96="","",$F96*chronic_consumption!AS496/1000/$C$3)</f>
        <v>#DIV/0!</v>
      </c>
      <c r="AY496" s="1040" t="e">
        <f>IF($F96="","",$F96*chronic_consumption!AT496/1000/$C$3)</f>
        <v>#DIV/0!</v>
      </c>
      <c r="AZ496" s="44" t="s">
        <v>20</v>
      </c>
      <c r="BC496" s="29"/>
      <c r="BD496" s="29"/>
    </row>
    <row r="497" spans="1:56" ht="12" customHeight="1" x14ac:dyDescent="0.2">
      <c r="A497" s="1">
        <f>acute_overview_children!A97</f>
        <v>1</v>
      </c>
      <c r="B497" s="1026">
        <f t="shared" si="40"/>
        <v>200000</v>
      </c>
      <c r="C497" s="1026" t="str">
        <f t="shared" si="40"/>
        <v xml:space="preserve">VEGETABLES 
FRESH OR FROZEN </v>
      </c>
      <c r="D497" s="135"/>
      <c r="E497" s="1027"/>
      <c r="F497" s="87"/>
      <c r="G497" s="1027"/>
      <c r="H497" s="1029"/>
      <c r="I497" s="1030"/>
      <c r="J497" s="1031" t="e">
        <f>IF($F97="","",$F97*chronic_consumption!E497/1000/$C$3)</f>
        <v>#DIV/0!</v>
      </c>
      <c r="K497" s="1032" t="e">
        <f>IF($F97="","",$F97*chronic_consumption!F497/1000/$C$3)</f>
        <v>#DIV/0!</v>
      </c>
      <c r="L497" s="1032" t="e">
        <f>IF($F97="","",$F97*chronic_consumption!G497/1000/$C$3)</f>
        <v>#DIV/0!</v>
      </c>
      <c r="M497" s="1032" t="e">
        <f>IF($F97="","",$F97*chronic_consumption!H497/1000/$C$3)</f>
        <v>#DIV/0!</v>
      </c>
      <c r="N497" s="1032" t="e">
        <f>IF($F97="","",$F97*chronic_consumption!I497/1000/$C$3)</f>
        <v>#DIV/0!</v>
      </c>
      <c r="O497" s="1032" t="e">
        <f>IF($F97="","",$F97*chronic_consumption!J497/1000/$C$3)</f>
        <v>#DIV/0!</v>
      </c>
      <c r="P497" s="1032" t="e">
        <f>IF($F97="","",$F97*chronic_consumption!K497/1000/$C$3)</f>
        <v>#DIV/0!</v>
      </c>
      <c r="Q497" s="1032" t="e">
        <f>IF($F97="","",$F97*chronic_consumption!L497/1000/$C$3)</f>
        <v>#DIV/0!</v>
      </c>
      <c r="R497" s="1032" t="e">
        <f>IF($F97="","",$F97*chronic_consumption!M497/1000/$C$3)</f>
        <v>#DIV/0!</v>
      </c>
      <c r="S497" s="1032" t="e">
        <f>IF($F97="","",$F97*chronic_consumption!N497/1000/$C$3)</f>
        <v>#DIV/0!</v>
      </c>
      <c r="T497" s="1032" t="e">
        <f>IF($F97="","",$F97*chronic_consumption!O497/1000/$C$3)</f>
        <v>#DIV/0!</v>
      </c>
      <c r="U497" s="1032" t="e">
        <f>IF($F97="","",$F97*chronic_consumption!P497/1000/$C$3)</f>
        <v>#DIV/0!</v>
      </c>
      <c r="V497" s="1032" t="e">
        <f>IF($F97="","",$F97*chronic_consumption!Q497/1000/$C$3)</f>
        <v>#DIV/0!</v>
      </c>
      <c r="W497" s="1032" t="e">
        <f>IF($F97="","",$F97*chronic_consumption!R497/1000/$C$3)</f>
        <v>#DIV/0!</v>
      </c>
      <c r="X497" s="1032" t="e">
        <f>IF($F97="","",$F97*chronic_consumption!S497/1000/$C$3)</f>
        <v>#DIV/0!</v>
      </c>
      <c r="Y497" s="1032" t="e">
        <f>IF($F97="","",$F97*chronic_consumption!T497/1000/$C$3)</f>
        <v>#DIV/0!</v>
      </c>
      <c r="Z497" s="1032" t="e">
        <f>IF($F97="","",$F97*chronic_consumption!U497/1000/$C$3)</f>
        <v>#DIV/0!</v>
      </c>
      <c r="AA497" s="1032" t="e">
        <f>IF($F97="","",$F97*chronic_consumption!V497/1000/$C$3)</f>
        <v>#DIV/0!</v>
      </c>
      <c r="AB497" s="1032" t="e">
        <f>IF($F97="","",$F97*chronic_consumption!W497/1000/$C$3)</f>
        <v>#DIV/0!</v>
      </c>
      <c r="AC497" s="1032" t="e">
        <f>IF($F97="","",$F97*chronic_consumption!X497/1000/$C$3)</f>
        <v>#DIV/0!</v>
      </c>
      <c r="AD497" s="1032" t="e">
        <f>IF($F97="","",$F97*chronic_consumption!Y497/1000/$C$3)</f>
        <v>#DIV/0!</v>
      </c>
      <c r="AE497" s="1032" t="e">
        <f>IF($F97="","",$F97*chronic_consumption!Z497/1000/$C$3)</f>
        <v>#DIV/0!</v>
      </c>
      <c r="AF497" s="1032" t="e">
        <f>IF($F97="","",$F97*chronic_consumption!AA497/1000/$C$3)</f>
        <v>#DIV/0!</v>
      </c>
      <c r="AG497" s="1032" t="e">
        <f>IF($F97="","",$F97*chronic_consumption!AB497/1000/$C$3)</f>
        <v>#DIV/0!</v>
      </c>
      <c r="AH497" s="1032" t="e">
        <f>IF($F97="","",$F97*chronic_consumption!AC497/1000/$C$3)</f>
        <v>#DIV/0!</v>
      </c>
      <c r="AI497" s="1032" t="e">
        <f>IF($F97="","",$F97*chronic_consumption!AD497/1000/$C$3)</f>
        <v>#DIV/0!</v>
      </c>
      <c r="AJ497" s="1032" t="e">
        <f>IF($F97="","",$F97*chronic_consumption!AE497/1000/$C$3)</f>
        <v>#DIV/0!</v>
      </c>
      <c r="AK497" s="1032" t="e">
        <f>IF($F97="","",$F97*chronic_consumption!AF497/1000/$C$3)</f>
        <v>#DIV/0!</v>
      </c>
      <c r="AL497" s="1032" t="e">
        <f>IF($F97="","",$F97*chronic_consumption!AG497/1000/$C$3)</f>
        <v>#DIV/0!</v>
      </c>
      <c r="AM497" s="1032" t="e">
        <f>IF($F97="","",$F97*chronic_consumption!AH497/1000/$C$3)</f>
        <v>#DIV/0!</v>
      </c>
      <c r="AN497" s="1032" t="e">
        <f>IF($F97="","",$F97*chronic_consumption!AI497/1000/$C$3)</f>
        <v>#DIV/0!</v>
      </c>
      <c r="AO497" s="1032" t="e">
        <f>IF($F97="","",$F97*chronic_consumption!AJ497/1000/$C$3)</f>
        <v>#DIV/0!</v>
      </c>
      <c r="AP497" s="1032" t="e">
        <f>IF($F97="","",$F97*chronic_consumption!AK497/1000/$C$3)</f>
        <v>#DIV/0!</v>
      </c>
      <c r="AQ497" s="1032" t="e">
        <f>IF($F97="","",$F97*chronic_consumption!AL497/1000/$C$3)</f>
        <v>#DIV/0!</v>
      </c>
      <c r="AR497" s="1032" t="e">
        <f>IF($F97="","",$F97*chronic_consumption!AM497/1000/$C$3)</f>
        <v>#DIV/0!</v>
      </c>
      <c r="AS497" s="1032" t="e">
        <f>IF($F97="","",$F97*chronic_consumption!AN497/1000/$C$3)</f>
        <v>#DIV/0!</v>
      </c>
      <c r="AT497" s="1032" t="e">
        <f>IF($F97="","",$F97*chronic_consumption!AO497/1000/$C$3)</f>
        <v>#DIV/0!</v>
      </c>
      <c r="AU497" s="1032" t="e">
        <f>IF($F97="","",$F97*chronic_consumption!AP497/1000/$C$3)</f>
        <v>#DIV/0!</v>
      </c>
      <c r="AV497" s="1032" t="e">
        <f>IF($F97="","",$F97*chronic_consumption!AQ497/1000/$C$3)</f>
        <v>#DIV/0!</v>
      </c>
      <c r="AW497" s="1032" t="e">
        <f>IF($F97="","",$F97*chronic_consumption!AR497/1000/$C$3)</f>
        <v>#DIV/0!</v>
      </c>
      <c r="AX497" s="1032" t="e">
        <f>IF($F97="","",$F97*chronic_consumption!AS497/1000/$C$3)</f>
        <v>#DIV/0!</v>
      </c>
      <c r="AY497" s="1032" t="e">
        <f>IF($F97="","",$F97*chronic_consumption!AT497/1000/$C$3)</f>
        <v>#DIV/0!</v>
      </c>
      <c r="AZ497" s="44" t="s">
        <v>20</v>
      </c>
      <c r="BC497" s="29"/>
      <c r="BD497" s="29"/>
    </row>
    <row r="498" spans="1:56" ht="12" customHeight="1" outlineLevel="1" x14ac:dyDescent="0.2">
      <c r="A498" s="1033">
        <f>acute_overview_children!A98</f>
        <v>2</v>
      </c>
      <c r="B498" s="1034">
        <f t="shared" si="40"/>
        <v>210000</v>
      </c>
      <c r="C498" s="1034" t="str">
        <f t="shared" si="40"/>
        <v>Root and tuber vegetables
incl. potaotes)</v>
      </c>
      <c r="D498" s="1035"/>
      <c r="E498" s="1027"/>
      <c r="F498" s="87"/>
      <c r="G498" s="1027"/>
      <c r="H498" s="1029"/>
      <c r="I498" s="1030"/>
      <c r="J498" s="1037" t="e">
        <f>IF($F98="","",$F98*chronic_consumption!E498/1000/$C$3)</f>
        <v>#DIV/0!</v>
      </c>
      <c r="K498" s="1038" t="e">
        <f>IF($F98="","",$F98*chronic_consumption!F498/1000/$C$3)</f>
        <v>#DIV/0!</v>
      </c>
      <c r="L498" s="1038" t="e">
        <f>IF($F98="","",$F98*chronic_consumption!G498/1000/$C$3)</f>
        <v>#DIV/0!</v>
      </c>
      <c r="M498" s="1038" t="e">
        <f>IF($F98="","",$F98*chronic_consumption!H498/1000/$C$3)</f>
        <v>#DIV/0!</v>
      </c>
      <c r="N498" s="1038" t="e">
        <f>IF($F98="","",$F98*chronic_consumption!I498/1000/$C$3)</f>
        <v>#DIV/0!</v>
      </c>
      <c r="O498" s="1038" t="e">
        <f>IF($F98="","",$F98*chronic_consumption!J498/1000/$C$3)</f>
        <v>#DIV/0!</v>
      </c>
      <c r="P498" s="1038" t="e">
        <f>IF($F98="","",$F98*chronic_consumption!K498/1000/$C$3)</f>
        <v>#DIV/0!</v>
      </c>
      <c r="Q498" s="1038" t="e">
        <f>IF($F98="","",$F98*chronic_consumption!L498/1000/$C$3)</f>
        <v>#DIV/0!</v>
      </c>
      <c r="R498" s="1038" t="e">
        <f>IF($F98="","",$F98*chronic_consumption!M498/1000/$C$3)</f>
        <v>#DIV/0!</v>
      </c>
      <c r="S498" s="1038" t="e">
        <f>IF($F98="","",$F98*chronic_consumption!N498/1000/$C$3)</f>
        <v>#DIV/0!</v>
      </c>
      <c r="T498" s="1038" t="e">
        <f>IF($F98="","",$F98*chronic_consumption!O498/1000/$C$3)</f>
        <v>#DIV/0!</v>
      </c>
      <c r="U498" s="1038" t="e">
        <f>IF($F98="","",$F98*chronic_consumption!P498/1000/$C$3)</f>
        <v>#DIV/0!</v>
      </c>
      <c r="V498" s="1038" t="e">
        <f>IF($F98="","",$F98*chronic_consumption!Q498/1000/$C$3)</f>
        <v>#DIV/0!</v>
      </c>
      <c r="W498" s="1038" t="e">
        <f>IF($F98="","",$F98*chronic_consumption!R498/1000/$C$3)</f>
        <v>#DIV/0!</v>
      </c>
      <c r="X498" s="1038" t="e">
        <f>IF($F98="","",$F98*chronic_consumption!S498/1000/$C$3)</f>
        <v>#DIV/0!</v>
      </c>
      <c r="Y498" s="1038" t="e">
        <f>IF($F98="","",$F98*chronic_consumption!T498/1000/$C$3)</f>
        <v>#DIV/0!</v>
      </c>
      <c r="Z498" s="1038" t="e">
        <f>IF($F98="","",$F98*chronic_consumption!U498/1000/$C$3)</f>
        <v>#DIV/0!</v>
      </c>
      <c r="AA498" s="1038" t="e">
        <f>IF($F98="","",$F98*chronic_consumption!V498/1000/$C$3)</f>
        <v>#DIV/0!</v>
      </c>
      <c r="AB498" s="1038" t="e">
        <f>IF($F98="","",$F98*chronic_consumption!W498/1000/$C$3)</f>
        <v>#DIV/0!</v>
      </c>
      <c r="AC498" s="1038" t="e">
        <f>IF($F98="","",$F98*chronic_consumption!X498/1000/$C$3)</f>
        <v>#DIV/0!</v>
      </c>
      <c r="AD498" s="1038" t="e">
        <f>IF($F98="","",$F98*chronic_consumption!Y498/1000/$C$3)</f>
        <v>#DIV/0!</v>
      </c>
      <c r="AE498" s="1038" t="e">
        <f>IF($F98="","",$F98*chronic_consumption!Z498/1000/$C$3)</f>
        <v>#DIV/0!</v>
      </c>
      <c r="AF498" s="1038" t="e">
        <f>IF($F98="","",$F98*chronic_consumption!AA498/1000/$C$3)</f>
        <v>#DIV/0!</v>
      </c>
      <c r="AG498" s="1038" t="e">
        <f>IF($F98="","",$F98*chronic_consumption!AB498/1000/$C$3)</f>
        <v>#DIV/0!</v>
      </c>
      <c r="AH498" s="1038" t="e">
        <f>IF($F98="","",$F98*chronic_consumption!AC498/1000/$C$3)</f>
        <v>#DIV/0!</v>
      </c>
      <c r="AI498" s="1038" t="e">
        <f>IF($F98="","",$F98*chronic_consumption!AD498/1000/$C$3)</f>
        <v>#DIV/0!</v>
      </c>
      <c r="AJ498" s="1038" t="e">
        <f>IF($F98="","",$F98*chronic_consumption!AE498/1000/$C$3)</f>
        <v>#DIV/0!</v>
      </c>
      <c r="AK498" s="1038" t="e">
        <f>IF($F98="","",$F98*chronic_consumption!AF498/1000/$C$3)</f>
        <v>#DIV/0!</v>
      </c>
      <c r="AL498" s="1038" t="e">
        <f>IF($F98="","",$F98*chronic_consumption!AG498/1000/$C$3)</f>
        <v>#DIV/0!</v>
      </c>
      <c r="AM498" s="1038" t="e">
        <f>IF($F98="","",$F98*chronic_consumption!AH498/1000/$C$3)</f>
        <v>#DIV/0!</v>
      </c>
      <c r="AN498" s="1038" t="e">
        <f>IF($F98="","",$F98*chronic_consumption!AI498/1000/$C$3)</f>
        <v>#DIV/0!</v>
      </c>
      <c r="AO498" s="1038" t="e">
        <f>IF($F98="","",$F98*chronic_consumption!AJ498/1000/$C$3)</f>
        <v>#DIV/0!</v>
      </c>
      <c r="AP498" s="1038" t="e">
        <f>IF($F98="","",$F98*chronic_consumption!AK498/1000/$C$3)</f>
        <v>#DIV/0!</v>
      </c>
      <c r="AQ498" s="1038" t="e">
        <f>IF($F98="","",$F98*chronic_consumption!AL498/1000/$C$3)</f>
        <v>#DIV/0!</v>
      </c>
      <c r="AR498" s="1038" t="e">
        <f>IF($F98="","",$F98*chronic_consumption!AM498/1000/$C$3)</f>
        <v>#DIV/0!</v>
      </c>
      <c r="AS498" s="1038" t="e">
        <f>IF($F98="","",$F98*chronic_consumption!AN498/1000/$C$3)</f>
        <v>#DIV/0!</v>
      </c>
      <c r="AT498" s="1038" t="e">
        <f>IF($F98="","",$F98*chronic_consumption!AO498/1000/$C$3)</f>
        <v>#DIV/0!</v>
      </c>
      <c r="AU498" s="1038" t="e">
        <f>IF($F98="","",$F98*chronic_consumption!AP498/1000/$C$3)</f>
        <v>#DIV/0!</v>
      </c>
      <c r="AV498" s="1038" t="e">
        <f>IF($F98="","",$F98*chronic_consumption!AQ498/1000/$C$3)</f>
        <v>#DIV/0!</v>
      </c>
      <c r="AW498" s="1038" t="e">
        <f>IF($F98="","",$F98*chronic_consumption!AR498/1000/$C$3)</f>
        <v>#DIV/0!</v>
      </c>
      <c r="AX498" s="1038" t="e">
        <f>IF($F98="","",$F98*chronic_consumption!AS498/1000/$C$3)</f>
        <v>#DIV/0!</v>
      </c>
      <c r="AY498" s="1038" t="e">
        <f>IF($F98="","",$F98*chronic_consumption!AT498/1000/$C$3)</f>
        <v>#DIV/0!</v>
      </c>
      <c r="AZ498" s="44" t="s">
        <v>20</v>
      </c>
      <c r="BC498" s="29"/>
      <c r="BD498" s="29"/>
    </row>
    <row r="499" spans="1:56" ht="12" customHeight="1" outlineLevel="2" x14ac:dyDescent="0.2">
      <c r="A499" s="341">
        <f>acute_overview_children!A99</f>
        <v>3</v>
      </c>
      <c r="B499" s="1041">
        <f t="shared" si="40"/>
        <v>211000</v>
      </c>
      <c r="C499" s="1041" t="str">
        <f t="shared" si="40"/>
        <v>Potatoes</v>
      </c>
      <c r="D499" s="1042"/>
      <c r="E499" s="1027"/>
      <c r="F499" s="87"/>
      <c r="G499" s="1027"/>
      <c r="H499" s="1029"/>
      <c r="I499" s="1030"/>
      <c r="J499" s="1043" t="e">
        <f>IF($F99="","",$F99*chronic_consumption!E499/1000/$C$3)</f>
        <v>#DIV/0!</v>
      </c>
      <c r="K499" s="1044" t="e">
        <f>IF($F99="","",$F99*chronic_consumption!F499/1000/$C$3)</f>
        <v>#DIV/0!</v>
      </c>
      <c r="L499" s="1044" t="e">
        <f>IF($F99="","",$F99*chronic_consumption!G499/1000/$C$3)</f>
        <v>#DIV/0!</v>
      </c>
      <c r="M499" s="1044" t="e">
        <f>IF($F99="","",$F99*chronic_consumption!H499/1000/$C$3)</f>
        <v>#DIV/0!</v>
      </c>
      <c r="N499" s="1044" t="e">
        <f>IF($F99="","",$F99*chronic_consumption!I499/1000/$C$3)</f>
        <v>#DIV/0!</v>
      </c>
      <c r="O499" s="1044" t="e">
        <f>IF($F99="","",$F99*chronic_consumption!J499/1000/$C$3)</f>
        <v>#DIV/0!</v>
      </c>
      <c r="P499" s="1044" t="e">
        <f>IF($F99="","",$F99*chronic_consumption!K499/1000/$C$3)</f>
        <v>#DIV/0!</v>
      </c>
      <c r="Q499" s="1044" t="e">
        <f>IF($F99="","",$F99*chronic_consumption!L499/1000/$C$3)</f>
        <v>#DIV/0!</v>
      </c>
      <c r="R499" s="1044" t="e">
        <f>IF($F99="","",$F99*chronic_consumption!M499/1000/$C$3)</f>
        <v>#DIV/0!</v>
      </c>
      <c r="S499" s="1044" t="e">
        <f>IF($F99="","",$F99*chronic_consumption!N499/1000/$C$3)</f>
        <v>#DIV/0!</v>
      </c>
      <c r="T499" s="1044" t="e">
        <f>IF($F99="","",$F99*chronic_consumption!O499/1000/$C$3)</f>
        <v>#DIV/0!</v>
      </c>
      <c r="U499" s="1044" t="e">
        <f>IF($F99="","",$F99*chronic_consumption!P499/1000/$C$3)</f>
        <v>#DIV/0!</v>
      </c>
      <c r="V499" s="1044" t="e">
        <f>IF($F99="","",$F99*chronic_consumption!Q499/1000/$C$3)</f>
        <v>#DIV/0!</v>
      </c>
      <c r="W499" s="1044" t="e">
        <f>IF($F99="","",$F99*chronic_consumption!R499/1000/$C$3)</f>
        <v>#DIV/0!</v>
      </c>
      <c r="X499" s="1044" t="e">
        <f>IF($F99="","",$F99*chronic_consumption!S499/1000/$C$3)</f>
        <v>#DIV/0!</v>
      </c>
      <c r="Y499" s="1044" t="e">
        <f>IF($F99="","",$F99*chronic_consumption!T499/1000/$C$3)</f>
        <v>#DIV/0!</v>
      </c>
      <c r="Z499" s="1044" t="e">
        <f>IF($F99="","",$F99*chronic_consumption!U499/1000/$C$3)</f>
        <v>#DIV/0!</v>
      </c>
      <c r="AA499" s="1044" t="e">
        <f>IF($F99="","",$F99*chronic_consumption!V499/1000/$C$3)</f>
        <v>#DIV/0!</v>
      </c>
      <c r="AB499" s="1044" t="e">
        <f>IF($F99="","",$F99*chronic_consumption!W499/1000/$C$3)</f>
        <v>#DIV/0!</v>
      </c>
      <c r="AC499" s="1044" t="e">
        <f>IF($F99="","",$F99*chronic_consumption!X499/1000/$C$3)</f>
        <v>#DIV/0!</v>
      </c>
      <c r="AD499" s="1044" t="e">
        <f>IF($F99="","",$F99*chronic_consumption!Y499/1000/$C$3)</f>
        <v>#DIV/0!</v>
      </c>
      <c r="AE499" s="1044" t="e">
        <f>IF($F99="","",$F99*chronic_consumption!Z499/1000/$C$3)</f>
        <v>#DIV/0!</v>
      </c>
      <c r="AF499" s="1044" t="e">
        <f>IF($F99="","",$F99*chronic_consumption!AA499/1000/$C$3)</f>
        <v>#DIV/0!</v>
      </c>
      <c r="AG499" s="1044" t="e">
        <f>IF($F99="","",$F99*chronic_consumption!AB499/1000/$C$3)</f>
        <v>#DIV/0!</v>
      </c>
      <c r="AH499" s="1044" t="e">
        <f>IF($F99="","",$F99*chronic_consumption!AC499/1000/$C$3)</f>
        <v>#DIV/0!</v>
      </c>
      <c r="AI499" s="1044" t="e">
        <f>IF($F99="","",$F99*chronic_consumption!AD499/1000/$C$3)</f>
        <v>#DIV/0!</v>
      </c>
      <c r="AJ499" s="1044" t="e">
        <f>IF($F99="","",$F99*chronic_consumption!AE499/1000/$C$3)</f>
        <v>#DIV/0!</v>
      </c>
      <c r="AK499" s="1044" t="e">
        <f>IF($F99="","",$F99*chronic_consumption!AF499/1000/$C$3)</f>
        <v>#DIV/0!</v>
      </c>
      <c r="AL499" s="1044" t="e">
        <f>IF($F99="","",$F99*chronic_consumption!AG499/1000/$C$3)</f>
        <v>#DIV/0!</v>
      </c>
      <c r="AM499" s="1044" t="e">
        <f>IF($F99="","",$F99*chronic_consumption!AH499/1000/$C$3)</f>
        <v>#DIV/0!</v>
      </c>
      <c r="AN499" s="1044" t="e">
        <f>IF($F99="","",$F99*chronic_consumption!AI499/1000/$C$3)</f>
        <v>#DIV/0!</v>
      </c>
      <c r="AO499" s="1044" t="e">
        <f>IF($F99="","",$F99*chronic_consumption!AJ499/1000/$C$3)</f>
        <v>#DIV/0!</v>
      </c>
      <c r="AP499" s="1044" t="e">
        <f>IF($F99="","",$F99*chronic_consumption!AK499/1000/$C$3)</f>
        <v>#DIV/0!</v>
      </c>
      <c r="AQ499" s="1044" t="e">
        <f>IF($F99="","",$F99*chronic_consumption!AL499/1000/$C$3)</f>
        <v>#DIV/0!</v>
      </c>
      <c r="AR499" s="1044" t="e">
        <f>IF($F99="","",$F99*chronic_consumption!AM499/1000/$C$3)</f>
        <v>#DIV/0!</v>
      </c>
      <c r="AS499" s="1044" t="e">
        <f>IF($F99="","",$F99*chronic_consumption!AN499/1000/$C$3)</f>
        <v>#DIV/0!</v>
      </c>
      <c r="AT499" s="1044" t="e">
        <f>IF($F99="","",$F99*chronic_consumption!AO499/1000/$C$3)</f>
        <v>#DIV/0!</v>
      </c>
      <c r="AU499" s="1044" t="e">
        <f>IF($F99="","",$F99*chronic_consumption!AP499/1000/$C$3)</f>
        <v>#DIV/0!</v>
      </c>
      <c r="AV499" s="1044" t="e">
        <f>IF($F99="","",$F99*chronic_consumption!AQ499/1000/$C$3)</f>
        <v>#DIV/0!</v>
      </c>
      <c r="AW499" s="1044" t="e">
        <f>IF($F99="","",$F99*chronic_consumption!AR499/1000/$C$3)</f>
        <v>#DIV/0!</v>
      </c>
      <c r="AX499" s="1044" t="e">
        <f>IF($F99="","",$F99*chronic_consumption!AS499/1000/$C$3)</f>
        <v>#DIV/0!</v>
      </c>
      <c r="AY499" s="1044" t="e">
        <f>IF($F99="","",$F99*chronic_consumption!AT499/1000/$C$3)</f>
        <v>#DIV/0!</v>
      </c>
      <c r="AZ499" s="44" t="s">
        <v>20</v>
      </c>
      <c r="BC499" s="29"/>
      <c r="BD499" s="29"/>
    </row>
    <row r="500" spans="1:56" ht="12" customHeight="1" outlineLevel="2" x14ac:dyDescent="0.2">
      <c r="A500" s="341">
        <f>acute_overview_children!A100</f>
        <v>3</v>
      </c>
      <c r="B500" s="1041">
        <f t="shared" si="40"/>
        <v>212000</v>
      </c>
      <c r="C500" s="1041" t="str">
        <f t="shared" si="40"/>
        <v>Tropical root and tuber vegetables</v>
      </c>
      <c r="D500" s="1042"/>
      <c r="E500" s="1027"/>
      <c r="F500" s="87"/>
      <c r="G500" s="1027"/>
      <c r="H500" s="1029"/>
      <c r="I500" s="1030"/>
      <c r="J500" s="1043" t="e">
        <f>IF($F100="","",$F100*chronic_consumption!E500/1000/$C$3)</f>
        <v>#DIV/0!</v>
      </c>
      <c r="K500" s="1044" t="e">
        <f>IF($F100="","",$F100*chronic_consumption!F500/1000/$C$3)</f>
        <v>#DIV/0!</v>
      </c>
      <c r="L500" s="1044" t="e">
        <f>IF($F100="","",$F100*chronic_consumption!G500/1000/$C$3)</f>
        <v>#DIV/0!</v>
      </c>
      <c r="M500" s="1044" t="e">
        <f>IF($F100="","",$F100*chronic_consumption!H500/1000/$C$3)</f>
        <v>#DIV/0!</v>
      </c>
      <c r="N500" s="1044" t="e">
        <f>IF($F100="","",$F100*chronic_consumption!I500/1000/$C$3)</f>
        <v>#DIV/0!</v>
      </c>
      <c r="O500" s="1044" t="e">
        <f>IF($F100="","",$F100*chronic_consumption!J500/1000/$C$3)</f>
        <v>#DIV/0!</v>
      </c>
      <c r="P500" s="1044" t="e">
        <f>IF($F100="","",$F100*chronic_consumption!K500/1000/$C$3)</f>
        <v>#DIV/0!</v>
      </c>
      <c r="Q500" s="1044" t="e">
        <f>IF($F100="","",$F100*chronic_consumption!L500/1000/$C$3)</f>
        <v>#DIV/0!</v>
      </c>
      <c r="R500" s="1044" t="e">
        <f>IF($F100="","",$F100*chronic_consumption!M500/1000/$C$3)</f>
        <v>#DIV/0!</v>
      </c>
      <c r="S500" s="1044" t="e">
        <f>IF($F100="","",$F100*chronic_consumption!N500/1000/$C$3)</f>
        <v>#DIV/0!</v>
      </c>
      <c r="T500" s="1044" t="e">
        <f>IF($F100="","",$F100*chronic_consumption!O500/1000/$C$3)</f>
        <v>#DIV/0!</v>
      </c>
      <c r="U500" s="1044" t="e">
        <f>IF($F100="","",$F100*chronic_consumption!P500/1000/$C$3)</f>
        <v>#DIV/0!</v>
      </c>
      <c r="V500" s="1044" t="e">
        <f>IF($F100="","",$F100*chronic_consumption!Q500/1000/$C$3)</f>
        <v>#DIV/0!</v>
      </c>
      <c r="W500" s="1044" t="e">
        <f>IF($F100="","",$F100*chronic_consumption!R500/1000/$C$3)</f>
        <v>#DIV/0!</v>
      </c>
      <c r="X500" s="1044" t="e">
        <f>IF($F100="","",$F100*chronic_consumption!S500/1000/$C$3)</f>
        <v>#DIV/0!</v>
      </c>
      <c r="Y500" s="1044" t="e">
        <f>IF($F100="","",$F100*chronic_consumption!T500/1000/$C$3)</f>
        <v>#DIV/0!</v>
      </c>
      <c r="Z500" s="1044" t="e">
        <f>IF($F100="","",$F100*chronic_consumption!U500/1000/$C$3)</f>
        <v>#DIV/0!</v>
      </c>
      <c r="AA500" s="1044" t="e">
        <f>IF($F100="","",$F100*chronic_consumption!V500/1000/$C$3)</f>
        <v>#DIV/0!</v>
      </c>
      <c r="AB500" s="1044" t="e">
        <f>IF($F100="","",$F100*chronic_consumption!W500/1000/$C$3)</f>
        <v>#DIV/0!</v>
      </c>
      <c r="AC500" s="1044" t="e">
        <f>IF($F100="","",$F100*chronic_consumption!X500/1000/$C$3)</f>
        <v>#DIV/0!</v>
      </c>
      <c r="AD500" s="1044" t="e">
        <f>IF($F100="","",$F100*chronic_consumption!Y500/1000/$C$3)</f>
        <v>#DIV/0!</v>
      </c>
      <c r="AE500" s="1044" t="e">
        <f>IF($F100="","",$F100*chronic_consumption!Z500/1000/$C$3)</f>
        <v>#DIV/0!</v>
      </c>
      <c r="AF500" s="1044" t="e">
        <f>IF($F100="","",$F100*chronic_consumption!AA500/1000/$C$3)</f>
        <v>#DIV/0!</v>
      </c>
      <c r="AG500" s="1044" t="e">
        <f>IF($F100="","",$F100*chronic_consumption!AB500/1000/$C$3)</f>
        <v>#DIV/0!</v>
      </c>
      <c r="AH500" s="1044" t="e">
        <f>IF($F100="","",$F100*chronic_consumption!AC500/1000/$C$3)</f>
        <v>#DIV/0!</v>
      </c>
      <c r="AI500" s="1044" t="e">
        <f>IF($F100="","",$F100*chronic_consumption!AD500/1000/$C$3)</f>
        <v>#DIV/0!</v>
      </c>
      <c r="AJ500" s="1044" t="e">
        <f>IF($F100="","",$F100*chronic_consumption!AE500/1000/$C$3)</f>
        <v>#DIV/0!</v>
      </c>
      <c r="AK500" s="1044" t="e">
        <f>IF($F100="","",$F100*chronic_consumption!AF500/1000/$C$3)</f>
        <v>#DIV/0!</v>
      </c>
      <c r="AL500" s="1044" t="e">
        <f>IF($F100="","",$F100*chronic_consumption!AG500/1000/$C$3)</f>
        <v>#DIV/0!</v>
      </c>
      <c r="AM500" s="1044" t="e">
        <f>IF($F100="","",$F100*chronic_consumption!AH500/1000/$C$3)</f>
        <v>#DIV/0!</v>
      </c>
      <c r="AN500" s="1044" t="e">
        <f>IF($F100="","",$F100*chronic_consumption!AI500/1000/$C$3)</f>
        <v>#DIV/0!</v>
      </c>
      <c r="AO500" s="1044" t="e">
        <f>IF($F100="","",$F100*chronic_consumption!AJ500/1000/$C$3)</f>
        <v>#DIV/0!</v>
      </c>
      <c r="AP500" s="1044" t="e">
        <f>IF($F100="","",$F100*chronic_consumption!AK500/1000/$C$3)</f>
        <v>#DIV/0!</v>
      </c>
      <c r="AQ500" s="1044" t="e">
        <f>IF($F100="","",$F100*chronic_consumption!AL500/1000/$C$3)</f>
        <v>#DIV/0!</v>
      </c>
      <c r="AR500" s="1044" t="e">
        <f>IF($F100="","",$F100*chronic_consumption!AM500/1000/$C$3)</f>
        <v>#DIV/0!</v>
      </c>
      <c r="AS500" s="1044" t="e">
        <f>IF($F100="","",$F100*chronic_consumption!AN500/1000/$C$3)</f>
        <v>#DIV/0!</v>
      </c>
      <c r="AT500" s="1044" t="e">
        <f>IF($F100="","",$F100*chronic_consumption!AO500/1000/$C$3)</f>
        <v>#DIV/0!</v>
      </c>
      <c r="AU500" s="1044" t="e">
        <f>IF($F100="","",$F100*chronic_consumption!AP500/1000/$C$3)</f>
        <v>#DIV/0!</v>
      </c>
      <c r="AV500" s="1044" t="e">
        <f>IF($F100="","",$F100*chronic_consumption!AQ500/1000/$C$3)</f>
        <v>#DIV/0!</v>
      </c>
      <c r="AW500" s="1044" t="e">
        <f>IF($F100="","",$F100*chronic_consumption!AR500/1000/$C$3)</f>
        <v>#DIV/0!</v>
      </c>
      <c r="AX500" s="1044" t="e">
        <f>IF($F100="","",$F100*chronic_consumption!AS500/1000/$C$3)</f>
        <v>#DIV/0!</v>
      </c>
      <c r="AY500" s="1044" t="e">
        <f>IF($F100="","",$F100*chronic_consumption!AT500/1000/$C$3)</f>
        <v>#DIV/0!</v>
      </c>
      <c r="AZ500" s="44" t="s">
        <v>20</v>
      </c>
      <c r="BC500" s="29"/>
      <c r="BD500" s="29"/>
    </row>
    <row r="501" spans="1:56" ht="12" customHeight="1" outlineLevel="3" x14ac:dyDescent="0.2">
      <c r="A501" s="21">
        <f>acute_overview_children!A101</f>
        <v>4</v>
      </c>
      <c r="B501" s="325">
        <f t="shared" si="40"/>
        <v>212010</v>
      </c>
      <c r="C501" s="325" t="str">
        <f t="shared" si="40"/>
        <v>Cassava roots/manioc</v>
      </c>
      <c r="D501" s="135"/>
      <c r="E501" s="1027"/>
      <c r="F501" s="87"/>
      <c r="G501" s="1027"/>
      <c r="H501" s="1029"/>
      <c r="I501" s="1030"/>
      <c r="J501" s="1039" t="e">
        <f>IF($F101="","",$F101*chronic_consumption!E501/1000/$C$3)</f>
        <v>#DIV/0!</v>
      </c>
      <c r="K501" s="1040" t="e">
        <f>IF($F101="","",$F101*chronic_consumption!F501/1000/$C$3)</f>
        <v>#DIV/0!</v>
      </c>
      <c r="L501" s="1040" t="e">
        <f>IF($F101="","",$F101*chronic_consumption!G501/1000/$C$3)</f>
        <v>#DIV/0!</v>
      </c>
      <c r="M501" s="1040" t="e">
        <f>IF($F101="","",$F101*chronic_consumption!H501/1000/$C$3)</f>
        <v>#DIV/0!</v>
      </c>
      <c r="N501" s="1040" t="e">
        <f>IF($F101="","",$F101*chronic_consumption!I501/1000/$C$3)</f>
        <v>#DIV/0!</v>
      </c>
      <c r="O501" s="1040" t="e">
        <f>IF($F101="","",$F101*chronic_consumption!J501/1000/$C$3)</f>
        <v>#DIV/0!</v>
      </c>
      <c r="P501" s="1040" t="e">
        <f>IF($F101="","",$F101*chronic_consumption!K501/1000/$C$3)</f>
        <v>#DIV/0!</v>
      </c>
      <c r="Q501" s="1040" t="e">
        <f>IF($F101="","",$F101*chronic_consumption!L501/1000/$C$3)</f>
        <v>#DIV/0!</v>
      </c>
      <c r="R501" s="1040" t="e">
        <f>IF($F101="","",$F101*chronic_consumption!M501/1000/$C$3)</f>
        <v>#DIV/0!</v>
      </c>
      <c r="S501" s="1040" t="e">
        <f>IF($F101="","",$F101*chronic_consumption!N501/1000/$C$3)</f>
        <v>#DIV/0!</v>
      </c>
      <c r="T501" s="1040" t="e">
        <f>IF($F101="","",$F101*chronic_consumption!O501/1000/$C$3)</f>
        <v>#DIV/0!</v>
      </c>
      <c r="U501" s="1040" t="e">
        <f>IF($F101="","",$F101*chronic_consumption!P501/1000/$C$3)</f>
        <v>#DIV/0!</v>
      </c>
      <c r="V501" s="1040" t="e">
        <f>IF($F101="","",$F101*chronic_consumption!Q501/1000/$C$3)</f>
        <v>#DIV/0!</v>
      </c>
      <c r="W501" s="1040" t="e">
        <f>IF($F101="","",$F101*chronic_consumption!R501/1000/$C$3)</f>
        <v>#DIV/0!</v>
      </c>
      <c r="X501" s="1040" t="e">
        <f>IF($F101="","",$F101*chronic_consumption!S501/1000/$C$3)</f>
        <v>#DIV/0!</v>
      </c>
      <c r="Y501" s="1040" t="e">
        <f>IF($F101="","",$F101*chronic_consumption!T501/1000/$C$3)</f>
        <v>#DIV/0!</v>
      </c>
      <c r="Z501" s="1040" t="e">
        <f>IF($F101="","",$F101*chronic_consumption!U501/1000/$C$3)</f>
        <v>#DIV/0!</v>
      </c>
      <c r="AA501" s="1040" t="e">
        <f>IF($F101="","",$F101*chronic_consumption!V501/1000/$C$3)</f>
        <v>#DIV/0!</v>
      </c>
      <c r="AB501" s="1040" t="e">
        <f>IF($F101="","",$F101*chronic_consumption!W501/1000/$C$3)</f>
        <v>#DIV/0!</v>
      </c>
      <c r="AC501" s="1040" t="e">
        <f>IF($F101="","",$F101*chronic_consumption!X501/1000/$C$3)</f>
        <v>#DIV/0!</v>
      </c>
      <c r="AD501" s="1040" t="e">
        <f>IF($F101="","",$F101*chronic_consumption!Y501/1000/$C$3)</f>
        <v>#DIV/0!</v>
      </c>
      <c r="AE501" s="1040" t="e">
        <f>IF($F101="","",$F101*chronic_consumption!Z501/1000/$C$3)</f>
        <v>#DIV/0!</v>
      </c>
      <c r="AF501" s="1040" t="e">
        <f>IF($F101="","",$F101*chronic_consumption!AA501/1000/$C$3)</f>
        <v>#DIV/0!</v>
      </c>
      <c r="AG501" s="1040" t="e">
        <f>IF($F101="","",$F101*chronic_consumption!AB501/1000/$C$3)</f>
        <v>#DIV/0!</v>
      </c>
      <c r="AH501" s="1040" t="e">
        <f>IF($F101="","",$F101*chronic_consumption!AC501/1000/$C$3)</f>
        <v>#DIV/0!</v>
      </c>
      <c r="AI501" s="1040" t="e">
        <f>IF($F101="","",$F101*chronic_consumption!AD501/1000/$C$3)</f>
        <v>#DIV/0!</v>
      </c>
      <c r="AJ501" s="1040" t="e">
        <f>IF($F101="","",$F101*chronic_consumption!AE501/1000/$C$3)</f>
        <v>#DIV/0!</v>
      </c>
      <c r="AK501" s="1040" t="e">
        <f>IF($F101="","",$F101*chronic_consumption!AF501/1000/$C$3)</f>
        <v>#DIV/0!</v>
      </c>
      <c r="AL501" s="1040" t="e">
        <f>IF($F101="","",$F101*chronic_consumption!AG501/1000/$C$3)</f>
        <v>#DIV/0!</v>
      </c>
      <c r="AM501" s="1040" t="e">
        <f>IF($F101="","",$F101*chronic_consumption!AH501/1000/$C$3)</f>
        <v>#DIV/0!</v>
      </c>
      <c r="AN501" s="1040" t="e">
        <f>IF($F101="","",$F101*chronic_consumption!AI501/1000/$C$3)</f>
        <v>#DIV/0!</v>
      </c>
      <c r="AO501" s="1040" t="e">
        <f>IF($F101="","",$F101*chronic_consumption!AJ501/1000/$C$3)</f>
        <v>#DIV/0!</v>
      </c>
      <c r="AP501" s="1040" t="e">
        <f>IF($F101="","",$F101*chronic_consumption!AK501/1000/$C$3)</f>
        <v>#DIV/0!</v>
      </c>
      <c r="AQ501" s="1040" t="e">
        <f>IF($F101="","",$F101*chronic_consumption!AL501/1000/$C$3)</f>
        <v>#DIV/0!</v>
      </c>
      <c r="AR501" s="1040" t="e">
        <f>IF($F101="","",$F101*chronic_consumption!AM501/1000/$C$3)</f>
        <v>#DIV/0!</v>
      </c>
      <c r="AS501" s="1040" t="e">
        <f>IF($F101="","",$F101*chronic_consumption!AN501/1000/$C$3)</f>
        <v>#DIV/0!</v>
      </c>
      <c r="AT501" s="1040" t="e">
        <f>IF($F101="","",$F101*chronic_consumption!AO501/1000/$C$3)</f>
        <v>#DIV/0!</v>
      </c>
      <c r="AU501" s="1040" t="e">
        <f>IF($F101="","",$F101*chronic_consumption!AP501/1000/$C$3)</f>
        <v>#DIV/0!</v>
      </c>
      <c r="AV501" s="1040" t="e">
        <f>IF($F101="","",$F101*chronic_consumption!AQ501/1000/$C$3)</f>
        <v>#DIV/0!</v>
      </c>
      <c r="AW501" s="1040" t="e">
        <f>IF($F101="","",$F101*chronic_consumption!AR501/1000/$C$3)</f>
        <v>#DIV/0!</v>
      </c>
      <c r="AX501" s="1040" t="e">
        <f>IF($F101="","",$F101*chronic_consumption!AS501/1000/$C$3)</f>
        <v>#DIV/0!</v>
      </c>
      <c r="AY501" s="1040" t="e">
        <f>IF($F101="","",$F101*chronic_consumption!AT501/1000/$C$3)</f>
        <v>#DIV/0!</v>
      </c>
      <c r="AZ501" s="44" t="s">
        <v>20</v>
      </c>
      <c r="BC501" s="29"/>
      <c r="BD501" s="29"/>
    </row>
    <row r="502" spans="1:56" ht="12" customHeight="1" outlineLevel="3" x14ac:dyDescent="0.2">
      <c r="A502" s="21">
        <f>acute_overview_children!A102</f>
        <v>4</v>
      </c>
      <c r="B502" s="325">
        <f t="shared" si="40"/>
        <v>212020</v>
      </c>
      <c r="C502" s="325" t="str">
        <f t="shared" si="40"/>
        <v>Sweet potatoes</v>
      </c>
      <c r="D502" s="135"/>
      <c r="E502" s="1027"/>
      <c r="F502" s="87"/>
      <c r="G502" s="1027"/>
      <c r="H502" s="1029"/>
      <c r="I502" s="1030"/>
      <c r="J502" s="1039" t="e">
        <f>IF($F102="","",$F102*chronic_consumption!E502/1000/$C$3)</f>
        <v>#DIV/0!</v>
      </c>
      <c r="K502" s="1040" t="e">
        <f>IF($F102="","",$F102*chronic_consumption!F502/1000/$C$3)</f>
        <v>#DIV/0!</v>
      </c>
      <c r="L502" s="1040" t="e">
        <f>IF($F102="","",$F102*chronic_consumption!G502/1000/$C$3)</f>
        <v>#DIV/0!</v>
      </c>
      <c r="M502" s="1040" t="e">
        <f>IF($F102="","",$F102*chronic_consumption!H502/1000/$C$3)</f>
        <v>#DIV/0!</v>
      </c>
      <c r="N502" s="1040" t="e">
        <f>IF($F102="","",$F102*chronic_consumption!I502/1000/$C$3)</f>
        <v>#DIV/0!</v>
      </c>
      <c r="O502" s="1040" t="e">
        <f>IF($F102="","",$F102*chronic_consumption!J502/1000/$C$3)</f>
        <v>#DIV/0!</v>
      </c>
      <c r="P502" s="1040" t="e">
        <f>IF($F102="","",$F102*chronic_consumption!K502/1000/$C$3)</f>
        <v>#DIV/0!</v>
      </c>
      <c r="Q502" s="1040" t="e">
        <f>IF($F102="","",$F102*chronic_consumption!L502/1000/$C$3)</f>
        <v>#DIV/0!</v>
      </c>
      <c r="R502" s="1040" t="e">
        <f>IF($F102="","",$F102*chronic_consumption!M502/1000/$C$3)</f>
        <v>#DIV/0!</v>
      </c>
      <c r="S502" s="1040" t="e">
        <f>IF($F102="","",$F102*chronic_consumption!N502/1000/$C$3)</f>
        <v>#DIV/0!</v>
      </c>
      <c r="T502" s="1040" t="e">
        <f>IF($F102="","",$F102*chronic_consumption!O502/1000/$C$3)</f>
        <v>#DIV/0!</v>
      </c>
      <c r="U502" s="1040" t="e">
        <f>IF($F102="","",$F102*chronic_consumption!P502/1000/$C$3)</f>
        <v>#DIV/0!</v>
      </c>
      <c r="V502" s="1040" t="e">
        <f>IF($F102="","",$F102*chronic_consumption!Q502/1000/$C$3)</f>
        <v>#DIV/0!</v>
      </c>
      <c r="W502" s="1040" t="e">
        <f>IF($F102="","",$F102*chronic_consumption!R502/1000/$C$3)</f>
        <v>#DIV/0!</v>
      </c>
      <c r="X502" s="1040" t="e">
        <f>IF($F102="","",$F102*chronic_consumption!S502/1000/$C$3)</f>
        <v>#DIV/0!</v>
      </c>
      <c r="Y502" s="1040" t="e">
        <f>IF($F102="","",$F102*chronic_consumption!T502/1000/$C$3)</f>
        <v>#DIV/0!</v>
      </c>
      <c r="Z502" s="1040" t="e">
        <f>IF($F102="","",$F102*chronic_consumption!U502/1000/$C$3)</f>
        <v>#DIV/0!</v>
      </c>
      <c r="AA502" s="1040" t="e">
        <f>IF($F102="","",$F102*chronic_consumption!V502/1000/$C$3)</f>
        <v>#DIV/0!</v>
      </c>
      <c r="AB502" s="1040" t="e">
        <f>IF($F102="","",$F102*chronic_consumption!W502/1000/$C$3)</f>
        <v>#DIV/0!</v>
      </c>
      <c r="AC502" s="1040" t="e">
        <f>IF($F102="","",$F102*chronic_consumption!X502/1000/$C$3)</f>
        <v>#DIV/0!</v>
      </c>
      <c r="AD502" s="1040" t="e">
        <f>IF($F102="","",$F102*chronic_consumption!Y502/1000/$C$3)</f>
        <v>#DIV/0!</v>
      </c>
      <c r="AE502" s="1040" t="e">
        <f>IF($F102="","",$F102*chronic_consumption!Z502/1000/$C$3)</f>
        <v>#DIV/0!</v>
      </c>
      <c r="AF502" s="1040" t="e">
        <f>IF($F102="","",$F102*chronic_consumption!AA502/1000/$C$3)</f>
        <v>#DIV/0!</v>
      </c>
      <c r="AG502" s="1040" t="e">
        <f>IF($F102="","",$F102*chronic_consumption!AB502/1000/$C$3)</f>
        <v>#DIV/0!</v>
      </c>
      <c r="AH502" s="1040" t="e">
        <f>IF($F102="","",$F102*chronic_consumption!AC502/1000/$C$3)</f>
        <v>#DIV/0!</v>
      </c>
      <c r="AI502" s="1040" t="e">
        <f>IF($F102="","",$F102*chronic_consumption!AD502/1000/$C$3)</f>
        <v>#DIV/0!</v>
      </c>
      <c r="AJ502" s="1040" t="e">
        <f>IF($F102="","",$F102*chronic_consumption!AE502/1000/$C$3)</f>
        <v>#DIV/0!</v>
      </c>
      <c r="AK502" s="1040" t="e">
        <f>IF($F102="","",$F102*chronic_consumption!AF502/1000/$C$3)</f>
        <v>#DIV/0!</v>
      </c>
      <c r="AL502" s="1040" t="e">
        <f>IF($F102="","",$F102*chronic_consumption!AG502/1000/$C$3)</f>
        <v>#DIV/0!</v>
      </c>
      <c r="AM502" s="1040" t="e">
        <f>IF($F102="","",$F102*chronic_consumption!AH502/1000/$C$3)</f>
        <v>#DIV/0!</v>
      </c>
      <c r="AN502" s="1040" t="e">
        <f>IF($F102="","",$F102*chronic_consumption!AI502/1000/$C$3)</f>
        <v>#DIV/0!</v>
      </c>
      <c r="AO502" s="1040" t="e">
        <f>IF($F102="","",$F102*chronic_consumption!AJ502/1000/$C$3)</f>
        <v>#DIV/0!</v>
      </c>
      <c r="AP502" s="1040" t="e">
        <f>IF($F102="","",$F102*chronic_consumption!AK502/1000/$C$3)</f>
        <v>#DIV/0!</v>
      </c>
      <c r="AQ502" s="1040" t="e">
        <f>IF($F102="","",$F102*chronic_consumption!AL502/1000/$C$3)</f>
        <v>#DIV/0!</v>
      </c>
      <c r="AR502" s="1040" t="e">
        <f>IF($F102="","",$F102*chronic_consumption!AM502/1000/$C$3)</f>
        <v>#DIV/0!</v>
      </c>
      <c r="AS502" s="1040" t="e">
        <f>IF($F102="","",$F102*chronic_consumption!AN502/1000/$C$3)</f>
        <v>#DIV/0!</v>
      </c>
      <c r="AT502" s="1040" t="e">
        <f>IF($F102="","",$F102*chronic_consumption!AO502/1000/$C$3)</f>
        <v>#DIV/0!</v>
      </c>
      <c r="AU502" s="1040" t="e">
        <f>IF($F102="","",$F102*chronic_consumption!AP502/1000/$C$3)</f>
        <v>#DIV/0!</v>
      </c>
      <c r="AV502" s="1040" t="e">
        <f>IF($F102="","",$F102*chronic_consumption!AQ502/1000/$C$3)</f>
        <v>#DIV/0!</v>
      </c>
      <c r="AW502" s="1040" t="e">
        <f>IF($F102="","",$F102*chronic_consumption!AR502/1000/$C$3)</f>
        <v>#DIV/0!</v>
      </c>
      <c r="AX502" s="1040" t="e">
        <f>IF($F102="","",$F102*chronic_consumption!AS502/1000/$C$3)</f>
        <v>#DIV/0!</v>
      </c>
      <c r="AY502" s="1040" t="e">
        <f>IF($F102="","",$F102*chronic_consumption!AT502/1000/$C$3)</f>
        <v>#DIV/0!</v>
      </c>
      <c r="AZ502" s="44" t="s">
        <v>20</v>
      </c>
      <c r="BC502" s="29"/>
      <c r="BD502" s="29"/>
    </row>
    <row r="503" spans="1:56" ht="12" customHeight="1" outlineLevel="3" x14ac:dyDescent="0.2">
      <c r="A503" s="21">
        <f>acute_overview_children!A103</f>
        <v>4</v>
      </c>
      <c r="B503" s="325">
        <f t="shared" si="40"/>
        <v>212030</v>
      </c>
      <c r="C503" s="325" t="str">
        <f t="shared" si="40"/>
        <v>Yams</v>
      </c>
      <c r="D503" s="135"/>
      <c r="E503" s="1027"/>
      <c r="F503" s="87"/>
      <c r="G503" s="1027"/>
      <c r="H503" s="1029"/>
      <c r="I503" s="1030"/>
      <c r="J503" s="1039" t="e">
        <f>IF($F103="","",$F103*chronic_consumption!E503/1000/$C$3)</f>
        <v>#DIV/0!</v>
      </c>
      <c r="K503" s="1040" t="e">
        <f>IF($F103="","",$F103*chronic_consumption!F503/1000/$C$3)</f>
        <v>#DIV/0!</v>
      </c>
      <c r="L503" s="1040" t="e">
        <f>IF($F103="","",$F103*chronic_consumption!G503/1000/$C$3)</f>
        <v>#DIV/0!</v>
      </c>
      <c r="M503" s="1040" t="e">
        <f>IF($F103="","",$F103*chronic_consumption!H503/1000/$C$3)</f>
        <v>#DIV/0!</v>
      </c>
      <c r="N503" s="1040" t="e">
        <f>IF($F103="","",$F103*chronic_consumption!I503/1000/$C$3)</f>
        <v>#DIV/0!</v>
      </c>
      <c r="O503" s="1040" t="e">
        <f>IF($F103="","",$F103*chronic_consumption!J503/1000/$C$3)</f>
        <v>#DIV/0!</v>
      </c>
      <c r="P503" s="1040" t="e">
        <f>IF($F103="","",$F103*chronic_consumption!K503/1000/$C$3)</f>
        <v>#DIV/0!</v>
      </c>
      <c r="Q503" s="1040" t="e">
        <f>IF($F103="","",$F103*chronic_consumption!L503/1000/$C$3)</f>
        <v>#DIV/0!</v>
      </c>
      <c r="R503" s="1040" t="e">
        <f>IF($F103="","",$F103*chronic_consumption!M503/1000/$C$3)</f>
        <v>#DIV/0!</v>
      </c>
      <c r="S503" s="1040" t="e">
        <f>IF($F103="","",$F103*chronic_consumption!N503/1000/$C$3)</f>
        <v>#DIV/0!</v>
      </c>
      <c r="T503" s="1040" t="e">
        <f>IF($F103="","",$F103*chronic_consumption!O503/1000/$C$3)</f>
        <v>#DIV/0!</v>
      </c>
      <c r="U503" s="1040" t="e">
        <f>IF($F103="","",$F103*chronic_consumption!P503/1000/$C$3)</f>
        <v>#DIV/0!</v>
      </c>
      <c r="V503" s="1040" t="e">
        <f>IF($F103="","",$F103*chronic_consumption!Q503/1000/$C$3)</f>
        <v>#DIV/0!</v>
      </c>
      <c r="W503" s="1040" t="e">
        <f>IF($F103="","",$F103*chronic_consumption!R503/1000/$C$3)</f>
        <v>#DIV/0!</v>
      </c>
      <c r="X503" s="1040" t="e">
        <f>IF($F103="","",$F103*chronic_consumption!S503/1000/$C$3)</f>
        <v>#DIV/0!</v>
      </c>
      <c r="Y503" s="1040" t="e">
        <f>IF($F103="","",$F103*chronic_consumption!T503/1000/$C$3)</f>
        <v>#DIV/0!</v>
      </c>
      <c r="Z503" s="1040" t="e">
        <f>IF($F103="","",$F103*chronic_consumption!U503/1000/$C$3)</f>
        <v>#DIV/0!</v>
      </c>
      <c r="AA503" s="1040" t="e">
        <f>IF($F103="","",$F103*chronic_consumption!V503/1000/$C$3)</f>
        <v>#DIV/0!</v>
      </c>
      <c r="AB503" s="1040" t="e">
        <f>IF($F103="","",$F103*chronic_consumption!W503/1000/$C$3)</f>
        <v>#DIV/0!</v>
      </c>
      <c r="AC503" s="1040" t="e">
        <f>IF($F103="","",$F103*chronic_consumption!X503/1000/$C$3)</f>
        <v>#DIV/0!</v>
      </c>
      <c r="AD503" s="1040" t="e">
        <f>IF($F103="","",$F103*chronic_consumption!Y503/1000/$C$3)</f>
        <v>#DIV/0!</v>
      </c>
      <c r="AE503" s="1040" t="e">
        <f>IF($F103="","",$F103*chronic_consumption!Z503/1000/$C$3)</f>
        <v>#DIV/0!</v>
      </c>
      <c r="AF503" s="1040" t="e">
        <f>IF($F103="","",$F103*chronic_consumption!AA503/1000/$C$3)</f>
        <v>#DIV/0!</v>
      </c>
      <c r="AG503" s="1040" t="e">
        <f>IF($F103="","",$F103*chronic_consumption!AB503/1000/$C$3)</f>
        <v>#DIV/0!</v>
      </c>
      <c r="AH503" s="1040" t="e">
        <f>IF($F103="","",$F103*chronic_consumption!AC503/1000/$C$3)</f>
        <v>#DIV/0!</v>
      </c>
      <c r="AI503" s="1040" t="e">
        <f>IF($F103="","",$F103*chronic_consumption!AD503/1000/$C$3)</f>
        <v>#DIV/0!</v>
      </c>
      <c r="AJ503" s="1040" t="e">
        <f>IF($F103="","",$F103*chronic_consumption!AE503/1000/$C$3)</f>
        <v>#DIV/0!</v>
      </c>
      <c r="AK503" s="1040" t="e">
        <f>IF($F103="","",$F103*chronic_consumption!AF503/1000/$C$3)</f>
        <v>#DIV/0!</v>
      </c>
      <c r="AL503" s="1040" t="e">
        <f>IF($F103="","",$F103*chronic_consumption!AG503/1000/$C$3)</f>
        <v>#DIV/0!</v>
      </c>
      <c r="AM503" s="1040" t="e">
        <f>IF($F103="","",$F103*chronic_consumption!AH503/1000/$C$3)</f>
        <v>#DIV/0!</v>
      </c>
      <c r="AN503" s="1040" t="e">
        <f>IF($F103="","",$F103*chronic_consumption!AI503/1000/$C$3)</f>
        <v>#DIV/0!</v>
      </c>
      <c r="AO503" s="1040" t="e">
        <f>IF($F103="","",$F103*chronic_consumption!AJ503/1000/$C$3)</f>
        <v>#DIV/0!</v>
      </c>
      <c r="AP503" s="1040" t="e">
        <f>IF($F103="","",$F103*chronic_consumption!AK503/1000/$C$3)</f>
        <v>#DIV/0!</v>
      </c>
      <c r="AQ503" s="1040" t="e">
        <f>IF($F103="","",$F103*chronic_consumption!AL503/1000/$C$3)</f>
        <v>#DIV/0!</v>
      </c>
      <c r="AR503" s="1040" t="e">
        <f>IF($F103="","",$F103*chronic_consumption!AM503/1000/$C$3)</f>
        <v>#DIV/0!</v>
      </c>
      <c r="AS503" s="1040" t="e">
        <f>IF($F103="","",$F103*chronic_consumption!AN503/1000/$C$3)</f>
        <v>#DIV/0!</v>
      </c>
      <c r="AT503" s="1040" t="e">
        <f>IF($F103="","",$F103*chronic_consumption!AO503/1000/$C$3)</f>
        <v>#DIV/0!</v>
      </c>
      <c r="AU503" s="1040" t="e">
        <f>IF($F103="","",$F103*chronic_consumption!AP503/1000/$C$3)</f>
        <v>#DIV/0!</v>
      </c>
      <c r="AV503" s="1040" t="e">
        <f>IF($F103="","",$F103*chronic_consumption!AQ503/1000/$C$3)</f>
        <v>#DIV/0!</v>
      </c>
      <c r="AW503" s="1040" t="e">
        <f>IF($F103="","",$F103*chronic_consumption!AR503/1000/$C$3)</f>
        <v>#DIV/0!</v>
      </c>
      <c r="AX503" s="1040" t="e">
        <f>IF($F103="","",$F103*chronic_consumption!AS503/1000/$C$3)</f>
        <v>#DIV/0!</v>
      </c>
      <c r="AY503" s="1040" t="e">
        <f>IF($F103="","",$F103*chronic_consumption!AT503/1000/$C$3)</f>
        <v>#DIV/0!</v>
      </c>
      <c r="AZ503" s="44" t="s">
        <v>20</v>
      </c>
      <c r="BC503" s="29"/>
      <c r="BD503" s="29"/>
    </row>
    <row r="504" spans="1:56" ht="12" customHeight="1" outlineLevel="3" x14ac:dyDescent="0.2">
      <c r="A504" s="21">
        <f>acute_overview_children!A104</f>
        <v>4</v>
      </c>
      <c r="B504" s="325">
        <f t="shared" si="40"/>
        <v>212040</v>
      </c>
      <c r="C504" s="325" t="str">
        <f t="shared" si="40"/>
        <v>Arrowroots</v>
      </c>
      <c r="D504" s="135"/>
      <c r="E504" s="1027"/>
      <c r="F504" s="87"/>
      <c r="G504" s="1027"/>
      <c r="H504" s="1029"/>
      <c r="I504" s="1030"/>
      <c r="J504" s="1039" t="e">
        <f>IF($F104="","",$F104*chronic_consumption!E504/1000/$C$3)</f>
        <v>#DIV/0!</v>
      </c>
      <c r="K504" s="1040" t="e">
        <f>IF($F104="","",$F104*chronic_consumption!F504/1000/$C$3)</f>
        <v>#DIV/0!</v>
      </c>
      <c r="L504" s="1040" t="e">
        <f>IF($F104="","",$F104*chronic_consumption!G504/1000/$C$3)</f>
        <v>#DIV/0!</v>
      </c>
      <c r="M504" s="1040" t="e">
        <f>IF($F104="","",$F104*chronic_consumption!H504/1000/$C$3)</f>
        <v>#DIV/0!</v>
      </c>
      <c r="N504" s="1040" t="e">
        <f>IF($F104="","",$F104*chronic_consumption!I504/1000/$C$3)</f>
        <v>#DIV/0!</v>
      </c>
      <c r="O504" s="1040" t="e">
        <f>IF($F104="","",$F104*chronic_consumption!J504/1000/$C$3)</f>
        <v>#DIV/0!</v>
      </c>
      <c r="P504" s="1040" t="e">
        <f>IF($F104="","",$F104*chronic_consumption!K504/1000/$C$3)</f>
        <v>#DIV/0!</v>
      </c>
      <c r="Q504" s="1040" t="e">
        <f>IF($F104="","",$F104*chronic_consumption!L504/1000/$C$3)</f>
        <v>#DIV/0!</v>
      </c>
      <c r="R504" s="1040" t="e">
        <f>IF($F104="","",$F104*chronic_consumption!M504/1000/$C$3)</f>
        <v>#DIV/0!</v>
      </c>
      <c r="S504" s="1040" t="e">
        <f>IF($F104="","",$F104*chronic_consumption!N504/1000/$C$3)</f>
        <v>#DIV/0!</v>
      </c>
      <c r="T504" s="1040" t="e">
        <f>IF($F104="","",$F104*chronic_consumption!O504/1000/$C$3)</f>
        <v>#DIV/0!</v>
      </c>
      <c r="U504" s="1040" t="e">
        <f>IF($F104="","",$F104*chronic_consumption!P504/1000/$C$3)</f>
        <v>#DIV/0!</v>
      </c>
      <c r="V504" s="1040" t="e">
        <f>IF($F104="","",$F104*chronic_consumption!Q504/1000/$C$3)</f>
        <v>#DIV/0!</v>
      </c>
      <c r="W504" s="1040" t="e">
        <f>IF($F104="","",$F104*chronic_consumption!R504/1000/$C$3)</f>
        <v>#DIV/0!</v>
      </c>
      <c r="X504" s="1040" t="e">
        <f>IF($F104="","",$F104*chronic_consumption!S504/1000/$C$3)</f>
        <v>#DIV/0!</v>
      </c>
      <c r="Y504" s="1040" t="e">
        <f>IF($F104="","",$F104*chronic_consumption!T504/1000/$C$3)</f>
        <v>#DIV/0!</v>
      </c>
      <c r="Z504" s="1040" t="e">
        <f>IF($F104="","",$F104*chronic_consumption!U504/1000/$C$3)</f>
        <v>#DIV/0!</v>
      </c>
      <c r="AA504" s="1040" t="e">
        <f>IF($F104="","",$F104*chronic_consumption!V504/1000/$C$3)</f>
        <v>#DIV/0!</v>
      </c>
      <c r="AB504" s="1040" t="e">
        <f>IF($F104="","",$F104*chronic_consumption!W504/1000/$C$3)</f>
        <v>#DIV/0!</v>
      </c>
      <c r="AC504" s="1040" t="e">
        <f>IF($F104="","",$F104*chronic_consumption!X504/1000/$C$3)</f>
        <v>#DIV/0!</v>
      </c>
      <c r="AD504" s="1040" t="e">
        <f>IF($F104="","",$F104*chronic_consumption!Y504/1000/$C$3)</f>
        <v>#DIV/0!</v>
      </c>
      <c r="AE504" s="1040" t="e">
        <f>IF($F104="","",$F104*chronic_consumption!Z504/1000/$C$3)</f>
        <v>#DIV/0!</v>
      </c>
      <c r="AF504" s="1040" t="e">
        <f>IF($F104="","",$F104*chronic_consumption!AA504/1000/$C$3)</f>
        <v>#DIV/0!</v>
      </c>
      <c r="AG504" s="1040" t="e">
        <f>IF($F104="","",$F104*chronic_consumption!AB504/1000/$C$3)</f>
        <v>#DIV/0!</v>
      </c>
      <c r="AH504" s="1040" t="e">
        <f>IF($F104="","",$F104*chronic_consumption!AC504/1000/$C$3)</f>
        <v>#DIV/0!</v>
      </c>
      <c r="AI504" s="1040" t="e">
        <f>IF($F104="","",$F104*chronic_consumption!AD504/1000/$C$3)</f>
        <v>#DIV/0!</v>
      </c>
      <c r="AJ504" s="1040" t="e">
        <f>IF($F104="","",$F104*chronic_consumption!AE504/1000/$C$3)</f>
        <v>#DIV/0!</v>
      </c>
      <c r="AK504" s="1040" t="e">
        <f>IF($F104="","",$F104*chronic_consumption!AF504/1000/$C$3)</f>
        <v>#DIV/0!</v>
      </c>
      <c r="AL504" s="1040" t="e">
        <f>IF($F104="","",$F104*chronic_consumption!AG504/1000/$C$3)</f>
        <v>#DIV/0!</v>
      </c>
      <c r="AM504" s="1040" t="e">
        <f>IF($F104="","",$F104*chronic_consumption!AH504/1000/$C$3)</f>
        <v>#DIV/0!</v>
      </c>
      <c r="AN504" s="1040" t="e">
        <f>IF($F104="","",$F104*chronic_consumption!AI504/1000/$C$3)</f>
        <v>#DIV/0!</v>
      </c>
      <c r="AO504" s="1040" t="e">
        <f>IF($F104="","",$F104*chronic_consumption!AJ504/1000/$C$3)</f>
        <v>#DIV/0!</v>
      </c>
      <c r="AP504" s="1040" t="e">
        <f>IF($F104="","",$F104*chronic_consumption!AK504/1000/$C$3)</f>
        <v>#DIV/0!</v>
      </c>
      <c r="AQ504" s="1040" t="e">
        <f>IF($F104="","",$F104*chronic_consumption!AL504/1000/$C$3)</f>
        <v>#DIV/0!</v>
      </c>
      <c r="AR504" s="1040" t="e">
        <f>IF($F104="","",$F104*chronic_consumption!AM504/1000/$C$3)</f>
        <v>#DIV/0!</v>
      </c>
      <c r="AS504" s="1040" t="e">
        <f>IF($F104="","",$F104*chronic_consumption!AN504/1000/$C$3)</f>
        <v>#DIV/0!</v>
      </c>
      <c r="AT504" s="1040" t="e">
        <f>IF($F104="","",$F104*chronic_consumption!AO504/1000/$C$3)</f>
        <v>#DIV/0!</v>
      </c>
      <c r="AU504" s="1040" t="e">
        <f>IF($F104="","",$F104*chronic_consumption!AP504/1000/$C$3)</f>
        <v>#DIV/0!</v>
      </c>
      <c r="AV504" s="1040" t="e">
        <f>IF($F104="","",$F104*chronic_consumption!AQ504/1000/$C$3)</f>
        <v>#DIV/0!</v>
      </c>
      <c r="AW504" s="1040" t="e">
        <f>IF($F104="","",$F104*chronic_consumption!AR504/1000/$C$3)</f>
        <v>#DIV/0!</v>
      </c>
      <c r="AX504" s="1040" t="e">
        <f>IF($F104="","",$F104*chronic_consumption!AS504/1000/$C$3)</f>
        <v>#DIV/0!</v>
      </c>
      <c r="AY504" s="1040" t="e">
        <f>IF($F104="","",$F104*chronic_consumption!AT504/1000/$C$3)</f>
        <v>#DIV/0!</v>
      </c>
      <c r="AZ504" s="44" t="s">
        <v>20</v>
      </c>
      <c r="BC504" s="29"/>
      <c r="BD504" s="29"/>
    </row>
    <row r="505" spans="1:56" ht="12" customHeight="1" outlineLevel="3" x14ac:dyDescent="0.2">
      <c r="A505" s="21">
        <f>acute_overview_children!A105</f>
        <v>4</v>
      </c>
      <c r="B505" s="325">
        <f t="shared" si="40"/>
        <v>212990</v>
      </c>
      <c r="C505" s="325" t="str">
        <f t="shared" si="40"/>
        <v>Other tropical root and tuber vegetables</v>
      </c>
      <c r="D505" s="135"/>
      <c r="E505" s="1027"/>
      <c r="F505" s="87"/>
      <c r="G505" s="1027"/>
      <c r="H505" s="1029"/>
      <c r="I505" s="1030"/>
      <c r="J505" s="1039" t="e">
        <f>IF($F105="","",$F105*chronic_consumption!E505/1000/$C$3)</f>
        <v>#DIV/0!</v>
      </c>
      <c r="K505" s="1040" t="e">
        <f>IF($F105="","",$F105*chronic_consumption!F505/1000/$C$3)</f>
        <v>#DIV/0!</v>
      </c>
      <c r="L505" s="1040" t="e">
        <f>IF($F105="","",$F105*chronic_consumption!G505/1000/$C$3)</f>
        <v>#DIV/0!</v>
      </c>
      <c r="M505" s="1040" t="e">
        <f>IF($F105="","",$F105*chronic_consumption!H505/1000/$C$3)</f>
        <v>#DIV/0!</v>
      </c>
      <c r="N505" s="1040" t="e">
        <f>IF($F105="","",$F105*chronic_consumption!I505/1000/$C$3)</f>
        <v>#DIV/0!</v>
      </c>
      <c r="O505" s="1040" t="e">
        <f>IF($F105="","",$F105*chronic_consumption!J505/1000/$C$3)</f>
        <v>#DIV/0!</v>
      </c>
      <c r="P505" s="1040" t="e">
        <f>IF($F105="","",$F105*chronic_consumption!K505/1000/$C$3)</f>
        <v>#DIV/0!</v>
      </c>
      <c r="Q505" s="1040" t="e">
        <f>IF($F105="","",$F105*chronic_consumption!L505/1000/$C$3)</f>
        <v>#DIV/0!</v>
      </c>
      <c r="R505" s="1040" t="e">
        <f>IF($F105="","",$F105*chronic_consumption!M505/1000/$C$3)</f>
        <v>#DIV/0!</v>
      </c>
      <c r="S505" s="1040" t="e">
        <f>IF($F105="","",$F105*chronic_consumption!N505/1000/$C$3)</f>
        <v>#DIV/0!</v>
      </c>
      <c r="T505" s="1040" t="e">
        <f>IF($F105="","",$F105*chronic_consumption!O505/1000/$C$3)</f>
        <v>#DIV/0!</v>
      </c>
      <c r="U505" s="1040" t="e">
        <f>IF($F105="","",$F105*chronic_consumption!P505/1000/$C$3)</f>
        <v>#DIV/0!</v>
      </c>
      <c r="V505" s="1040" t="e">
        <f>IF($F105="","",$F105*chronic_consumption!Q505/1000/$C$3)</f>
        <v>#DIV/0!</v>
      </c>
      <c r="W505" s="1040" t="e">
        <f>IF($F105="","",$F105*chronic_consumption!R505/1000/$C$3)</f>
        <v>#DIV/0!</v>
      </c>
      <c r="X505" s="1040" t="e">
        <f>IF($F105="","",$F105*chronic_consumption!S505/1000/$C$3)</f>
        <v>#DIV/0!</v>
      </c>
      <c r="Y505" s="1040" t="e">
        <f>IF($F105="","",$F105*chronic_consumption!T505/1000/$C$3)</f>
        <v>#DIV/0!</v>
      </c>
      <c r="Z505" s="1040" t="e">
        <f>IF($F105="","",$F105*chronic_consumption!U505/1000/$C$3)</f>
        <v>#DIV/0!</v>
      </c>
      <c r="AA505" s="1040" t="e">
        <f>IF($F105="","",$F105*chronic_consumption!V505/1000/$C$3)</f>
        <v>#DIV/0!</v>
      </c>
      <c r="AB505" s="1040" t="e">
        <f>IF($F105="","",$F105*chronic_consumption!W505/1000/$C$3)</f>
        <v>#DIV/0!</v>
      </c>
      <c r="AC505" s="1040" t="e">
        <f>IF($F105="","",$F105*chronic_consumption!X505/1000/$C$3)</f>
        <v>#DIV/0!</v>
      </c>
      <c r="AD505" s="1040" t="e">
        <f>IF($F105="","",$F105*chronic_consumption!Y505/1000/$C$3)</f>
        <v>#DIV/0!</v>
      </c>
      <c r="AE505" s="1040" t="e">
        <f>IF($F105="","",$F105*chronic_consumption!Z505/1000/$C$3)</f>
        <v>#DIV/0!</v>
      </c>
      <c r="AF505" s="1040" t="e">
        <f>IF($F105="","",$F105*chronic_consumption!AA505/1000/$C$3)</f>
        <v>#DIV/0!</v>
      </c>
      <c r="AG505" s="1040" t="e">
        <f>IF($F105="","",$F105*chronic_consumption!AB505/1000/$C$3)</f>
        <v>#DIV/0!</v>
      </c>
      <c r="AH505" s="1040" t="e">
        <f>IF($F105="","",$F105*chronic_consumption!AC505/1000/$C$3)</f>
        <v>#DIV/0!</v>
      </c>
      <c r="AI505" s="1040" t="e">
        <f>IF($F105="","",$F105*chronic_consumption!AD505/1000/$C$3)</f>
        <v>#DIV/0!</v>
      </c>
      <c r="AJ505" s="1040" t="e">
        <f>IF($F105="","",$F105*chronic_consumption!AE505/1000/$C$3)</f>
        <v>#DIV/0!</v>
      </c>
      <c r="AK505" s="1040" t="e">
        <f>IF($F105="","",$F105*chronic_consumption!AF505/1000/$C$3)</f>
        <v>#DIV/0!</v>
      </c>
      <c r="AL505" s="1040" t="e">
        <f>IF($F105="","",$F105*chronic_consumption!AG505/1000/$C$3)</f>
        <v>#DIV/0!</v>
      </c>
      <c r="AM505" s="1040" t="e">
        <f>IF($F105="","",$F105*chronic_consumption!AH505/1000/$C$3)</f>
        <v>#DIV/0!</v>
      </c>
      <c r="AN505" s="1040" t="e">
        <f>IF($F105="","",$F105*chronic_consumption!AI505/1000/$C$3)</f>
        <v>#DIV/0!</v>
      </c>
      <c r="AO505" s="1040" t="e">
        <f>IF($F105="","",$F105*chronic_consumption!AJ505/1000/$C$3)</f>
        <v>#DIV/0!</v>
      </c>
      <c r="AP505" s="1040" t="e">
        <f>IF($F105="","",$F105*chronic_consumption!AK505/1000/$C$3)</f>
        <v>#DIV/0!</v>
      </c>
      <c r="AQ505" s="1040" t="e">
        <f>IF($F105="","",$F105*chronic_consumption!AL505/1000/$C$3)</f>
        <v>#DIV/0!</v>
      </c>
      <c r="AR505" s="1040" t="e">
        <f>IF($F105="","",$F105*chronic_consumption!AM505/1000/$C$3)</f>
        <v>#DIV/0!</v>
      </c>
      <c r="AS505" s="1040" t="e">
        <f>IF($F105="","",$F105*chronic_consumption!AN505/1000/$C$3)</f>
        <v>#DIV/0!</v>
      </c>
      <c r="AT505" s="1040" t="e">
        <f>IF($F105="","",$F105*chronic_consumption!AO505/1000/$C$3)</f>
        <v>#DIV/0!</v>
      </c>
      <c r="AU505" s="1040" t="e">
        <f>IF($F105="","",$F105*chronic_consumption!AP505/1000/$C$3)</f>
        <v>#DIV/0!</v>
      </c>
      <c r="AV505" s="1040" t="e">
        <f>IF($F105="","",$F105*chronic_consumption!AQ505/1000/$C$3)</f>
        <v>#DIV/0!</v>
      </c>
      <c r="AW505" s="1040" t="e">
        <f>IF($F105="","",$F105*chronic_consumption!AR505/1000/$C$3)</f>
        <v>#DIV/0!</v>
      </c>
      <c r="AX505" s="1040" t="e">
        <f>IF($F105="","",$F105*chronic_consumption!AS505/1000/$C$3)</f>
        <v>#DIV/0!</v>
      </c>
      <c r="AY505" s="1040" t="e">
        <f>IF($F105="","",$F105*chronic_consumption!AT505/1000/$C$3)</f>
        <v>#DIV/0!</v>
      </c>
      <c r="AZ505" s="44" t="s">
        <v>20</v>
      </c>
      <c r="BC505" s="29"/>
      <c r="BD505" s="29"/>
    </row>
    <row r="506" spans="1:56" ht="12" customHeight="1" outlineLevel="2" x14ac:dyDescent="0.2">
      <c r="A506" s="341">
        <f>acute_overview_children!A106</f>
        <v>3</v>
      </c>
      <c r="B506" s="1041">
        <f t="shared" si="40"/>
        <v>213000</v>
      </c>
      <c r="C506" s="1041" t="str">
        <f t="shared" si="40"/>
        <v>Other root and tuber vegetables except sugar beet</v>
      </c>
      <c r="D506" s="1042"/>
      <c r="E506" s="1027"/>
      <c r="F506" s="87"/>
      <c r="G506" s="1027"/>
      <c r="H506" s="1029"/>
      <c r="I506" s="1030"/>
      <c r="J506" s="1043" t="e">
        <f>IF($F106="","",$F106*chronic_consumption!E506/1000/$C$3)</f>
        <v>#DIV/0!</v>
      </c>
      <c r="K506" s="1044" t="e">
        <f>IF($F106="","",$F106*chronic_consumption!F506/1000/$C$3)</f>
        <v>#DIV/0!</v>
      </c>
      <c r="L506" s="1044" t="e">
        <f>IF($F106="","",$F106*chronic_consumption!G506/1000/$C$3)</f>
        <v>#DIV/0!</v>
      </c>
      <c r="M506" s="1044" t="e">
        <f>IF($F106="","",$F106*chronic_consumption!H506/1000/$C$3)</f>
        <v>#DIV/0!</v>
      </c>
      <c r="N506" s="1044" t="e">
        <f>IF($F106="","",$F106*chronic_consumption!I506/1000/$C$3)</f>
        <v>#DIV/0!</v>
      </c>
      <c r="O506" s="1044" t="e">
        <f>IF($F106="","",$F106*chronic_consumption!J506/1000/$C$3)</f>
        <v>#DIV/0!</v>
      </c>
      <c r="P506" s="1044" t="e">
        <f>IF($F106="","",$F106*chronic_consumption!K506/1000/$C$3)</f>
        <v>#DIV/0!</v>
      </c>
      <c r="Q506" s="1044" t="e">
        <f>IF($F106="","",$F106*chronic_consumption!L506/1000/$C$3)</f>
        <v>#DIV/0!</v>
      </c>
      <c r="R506" s="1044" t="e">
        <f>IF($F106="","",$F106*chronic_consumption!M506/1000/$C$3)</f>
        <v>#DIV/0!</v>
      </c>
      <c r="S506" s="1044" t="e">
        <f>IF($F106="","",$F106*chronic_consumption!N506/1000/$C$3)</f>
        <v>#DIV/0!</v>
      </c>
      <c r="T506" s="1044" t="e">
        <f>IF($F106="","",$F106*chronic_consumption!O506/1000/$C$3)</f>
        <v>#DIV/0!</v>
      </c>
      <c r="U506" s="1044" t="e">
        <f>IF($F106="","",$F106*chronic_consumption!P506/1000/$C$3)</f>
        <v>#DIV/0!</v>
      </c>
      <c r="V506" s="1044" t="e">
        <f>IF($F106="","",$F106*chronic_consumption!Q506/1000/$C$3)</f>
        <v>#DIV/0!</v>
      </c>
      <c r="W506" s="1044" t="e">
        <f>IF($F106="","",$F106*chronic_consumption!R506/1000/$C$3)</f>
        <v>#DIV/0!</v>
      </c>
      <c r="X506" s="1044" t="e">
        <f>IF($F106="","",$F106*chronic_consumption!S506/1000/$C$3)</f>
        <v>#DIV/0!</v>
      </c>
      <c r="Y506" s="1044" t="e">
        <f>IF($F106="","",$F106*chronic_consumption!T506/1000/$C$3)</f>
        <v>#DIV/0!</v>
      </c>
      <c r="Z506" s="1044" t="e">
        <f>IF($F106="","",$F106*chronic_consumption!U506/1000/$C$3)</f>
        <v>#DIV/0!</v>
      </c>
      <c r="AA506" s="1044" t="e">
        <f>IF($F106="","",$F106*chronic_consumption!V506/1000/$C$3)</f>
        <v>#DIV/0!</v>
      </c>
      <c r="AB506" s="1044" t="e">
        <f>IF($F106="","",$F106*chronic_consumption!W506/1000/$C$3)</f>
        <v>#DIV/0!</v>
      </c>
      <c r="AC506" s="1044" t="e">
        <f>IF($F106="","",$F106*chronic_consumption!X506/1000/$C$3)</f>
        <v>#DIV/0!</v>
      </c>
      <c r="AD506" s="1044" t="e">
        <f>IF($F106="","",$F106*chronic_consumption!Y506/1000/$C$3)</f>
        <v>#DIV/0!</v>
      </c>
      <c r="AE506" s="1044" t="e">
        <f>IF($F106="","",$F106*chronic_consumption!Z506/1000/$C$3)</f>
        <v>#DIV/0!</v>
      </c>
      <c r="AF506" s="1044" t="e">
        <f>IF($F106="","",$F106*chronic_consumption!AA506/1000/$C$3)</f>
        <v>#DIV/0!</v>
      </c>
      <c r="AG506" s="1044" t="e">
        <f>IF($F106="","",$F106*chronic_consumption!AB506/1000/$C$3)</f>
        <v>#DIV/0!</v>
      </c>
      <c r="AH506" s="1044" t="e">
        <f>IF($F106="","",$F106*chronic_consumption!AC506/1000/$C$3)</f>
        <v>#DIV/0!</v>
      </c>
      <c r="AI506" s="1044" t="e">
        <f>IF($F106="","",$F106*chronic_consumption!AD506/1000/$C$3)</f>
        <v>#DIV/0!</v>
      </c>
      <c r="AJ506" s="1044" t="e">
        <f>IF($F106="","",$F106*chronic_consumption!AE506/1000/$C$3)</f>
        <v>#DIV/0!</v>
      </c>
      <c r="AK506" s="1044" t="e">
        <f>IF($F106="","",$F106*chronic_consumption!AF506/1000/$C$3)</f>
        <v>#DIV/0!</v>
      </c>
      <c r="AL506" s="1044" t="e">
        <f>IF($F106="","",$F106*chronic_consumption!AG506/1000/$C$3)</f>
        <v>#DIV/0!</v>
      </c>
      <c r="AM506" s="1044" t="e">
        <f>IF($F106="","",$F106*chronic_consumption!AH506/1000/$C$3)</f>
        <v>#DIV/0!</v>
      </c>
      <c r="AN506" s="1044" t="e">
        <f>IF($F106="","",$F106*chronic_consumption!AI506/1000/$C$3)</f>
        <v>#DIV/0!</v>
      </c>
      <c r="AO506" s="1044" t="e">
        <f>IF($F106="","",$F106*chronic_consumption!AJ506/1000/$C$3)</f>
        <v>#DIV/0!</v>
      </c>
      <c r="AP506" s="1044" t="e">
        <f>IF($F106="","",$F106*chronic_consumption!AK506/1000/$C$3)</f>
        <v>#DIV/0!</v>
      </c>
      <c r="AQ506" s="1044" t="e">
        <f>IF($F106="","",$F106*chronic_consumption!AL506/1000/$C$3)</f>
        <v>#DIV/0!</v>
      </c>
      <c r="AR506" s="1044" t="e">
        <f>IF($F106="","",$F106*chronic_consumption!AM506/1000/$C$3)</f>
        <v>#DIV/0!</v>
      </c>
      <c r="AS506" s="1044" t="e">
        <f>IF($F106="","",$F106*chronic_consumption!AN506/1000/$C$3)</f>
        <v>#DIV/0!</v>
      </c>
      <c r="AT506" s="1044" t="e">
        <f>IF($F106="","",$F106*chronic_consumption!AO506/1000/$C$3)</f>
        <v>#DIV/0!</v>
      </c>
      <c r="AU506" s="1044" t="e">
        <f>IF($F106="","",$F106*chronic_consumption!AP506/1000/$C$3)</f>
        <v>#DIV/0!</v>
      </c>
      <c r="AV506" s="1044" t="e">
        <f>IF($F106="","",$F106*chronic_consumption!AQ506/1000/$C$3)</f>
        <v>#DIV/0!</v>
      </c>
      <c r="AW506" s="1044" t="e">
        <f>IF($F106="","",$F106*chronic_consumption!AR506/1000/$C$3)</f>
        <v>#DIV/0!</v>
      </c>
      <c r="AX506" s="1044" t="e">
        <f>IF($F106="","",$F106*chronic_consumption!AS506/1000/$C$3)</f>
        <v>#DIV/0!</v>
      </c>
      <c r="AY506" s="1044" t="e">
        <f>IF($F106="","",$F106*chronic_consumption!AT506/1000/$C$3)</f>
        <v>#DIV/0!</v>
      </c>
      <c r="AZ506" s="44" t="s">
        <v>20</v>
      </c>
      <c r="BC506" s="29"/>
      <c r="BD506" s="29"/>
    </row>
    <row r="507" spans="1:56" ht="12" customHeight="1" outlineLevel="3" x14ac:dyDescent="0.2">
      <c r="A507" s="21">
        <f>acute_overview_children!A107</f>
        <v>4</v>
      </c>
      <c r="B507" s="325">
        <f t="shared" si="40"/>
        <v>213010</v>
      </c>
      <c r="C507" s="325" t="str">
        <f t="shared" si="40"/>
        <v>Beetroots</v>
      </c>
      <c r="D507" s="135"/>
      <c r="E507" s="1027"/>
      <c r="F507" s="87"/>
      <c r="G507" s="1027"/>
      <c r="H507" s="1029"/>
      <c r="I507" s="1030"/>
      <c r="J507" s="1039" t="e">
        <f>IF($F107="","",$F107*chronic_consumption!E507/1000/$C$3)</f>
        <v>#DIV/0!</v>
      </c>
      <c r="K507" s="1040" t="e">
        <f>IF($F107="","",$F107*chronic_consumption!F507/1000/$C$3)</f>
        <v>#DIV/0!</v>
      </c>
      <c r="L507" s="1040" t="e">
        <f>IF($F107="","",$F107*chronic_consumption!G507/1000/$C$3)</f>
        <v>#DIV/0!</v>
      </c>
      <c r="M507" s="1040" t="e">
        <f>IF($F107="","",$F107*chronic_consumption!H507/1000/$C$3)</f>
        <v>#DIV/0!</v>
      </c>
      <c r="N507" s="1040" t="e">
        <f>IF($F107="","",$F107*chronic_consumption!I507/1000/$C$3)</f>
        <v>#DIV/0!</v>
      </c>
      <c r="O507" s="1040" t="e">
        <f>IF($F107="","",$F107*chronic_consumption!J507/1000/$C$3)</f>
        <v>#DIV/0!</v>
      </c>
      <c r="P507" s="1040" t="e">
        <f>IF($F107="","",$F107*chronic_consumption!K507/1000/$C$3)</f>
        <v>#DIV/0!</v>
      </c>
      <c r="Q507" s="1040" t="e">
        <f>IF($F107="","",$F107*chronic_consumption!L507/1000/$C$3)</f>
        <v>#DIV/0!</v>
      </c>
      <c r="R507" s="1040" t="e">
        <f>IF($F107="","",$F107*chronic_consumption!M507/1000/$C$3)</f>
        <v>#DIV/0!</v>
      </c>
      <c r="S507" s="1040" t="e">
        <f>IF($F107="","",$F107*chronic_consumption!N507/1000/$C$3)</f>
        <v>#DIV/0!</v>
      </c>
      <c r="T507" s="1040" t="e">
        <f>IF($F107="","",$F107*chronic_consumption!O507/1000/$C$3)</f>
        <v>#DIV/0!</v>
      </c>
      <c r="U507" s="1040" t="e">
        <f>IF($F107="","",$F107*chronic_consumption!P507/1000/$C$3)</f>
        <v>#DIV/0!</v>
      </c>
      <c r="V507" s="1040" t="e">
        <f>IF($F107="","",$F107*chronic_consumption!Q507/1000/$C$3)</f>
        <v>#DIV/0!</v>
      </c>
      <c r="W507" s="1040" t="e">
        <f>IF($F107="","",$F107*chronic_consumption!R507/1000/$C$3)</f>
        <v>#DIV/0!</v>
      </c>
      <c r="X507" s="1040" t="e">
        <f>IF($F107="","",$F107*chronic_consumption!S507/1000/$C$3)</f>
        <v>#DIV/0!</v>
      </c>
      <c r="Y507" s="1040" t="e">
        <f>IF($F107="","",$F107*chronic_consumption!T507/1000/$C$3)</f>
        <v>#DIV/0!</v>
      </c>
      <c r="Z507" s="1040" t="e">
        <f>IF($F107="","",$F107*chronic_consumption!U507/1000/$C$3)</f>
        <v>#DIV/0!</v>
      </c>
      <c r="AA507" s="1040" t="e">
        <f>IF($F107="","",$F107*chronic_consumption!V507/1000/$C$3)</f>
        <v>#DIV/0!</v>
      </c>
      <c r="AB507" s="1040" t="e">
        <f>IF($F107="","",$F107*chronic_consumption!W507/1000/$C$3)</f>
        <v>#DIV/0!</v>
      </c>
      <c r="AC507" s="1040" t="e">
        <f>IF($F107="","",$F107*chronic_consumption!X507/1000/$C$3)</f>
        <v>#DIV/0!</v>
      </c>
      <c r="AD507" s="1040" t="e">
        <f>IF($F107="","",$F107*chronic_consumption!Y507/1000/$C$3)</f>
        <v>#DIV/0!</v>
      </c>
      <c r="AE507" s="1040" t="e">
        <f>IF($F107="","",$F107*chronic_consumption!Z507/1000/$C$3)</f>
        <v>#DIV/0!</v>
      </c>
      <c r="AF507" s="1040" t="e">
        <f>IF($F107="","",$F107*chronic_consumption!AA507/1000/$C$3)</f>
        <v>#DIV/0!</v>
      </c>
      <c r="AG507" s="1040" t="e">
        <f>IF($F107="","",$F107*chronic_consumption!AB507/1000/$C$3)</f>
        <v>#DIV/0!</v>
      </c>
      <c r="AH507" s="1040" t="e">
        <f>IF($F107="","",$F107*chronic_consumption!AC507/1000/$C$3)</f>
        <v>#DIV/0!</v>
      </c>
      <c r="AI507" s="1040" t="e">
        <f>IF($F107="","",$F107*chronic_consumption!AD507/1000/$C$3)</f>
        <v>#DIV/0!</v>
      </c>
      <c r="AJ507" s="1040" t="e">
        <f>IF($F107="","",$F107*chronic_consumption!AE507/1000/$C$3)</f>
        <v>#DIV/0!</v>
      </c>
      <c r="AK507" s="1040" t="e">
        <f>IF($F107="","",$F107*chronic_consumption!AF507/1000/$C$3)</f>
        <v>#DIV/0!</v>
      </c>
      <c r="AL507" s="1040" t="e">
        <f>IF($F107="","",$F107*chronic_consumption!AG507/1000/$C$3)</f>
        <v>#DIV/0!</v>
      </c>
      <c r="AM507" s="1040" t="e">
        <f>IF($F107="","",$F107*chronic_consumption!AH507/1000/$C$3)</f>
        <v>#DIV/0!</v>
      </c>
      <c r="AN507" s="1040" t="e">
        <f>IF($F107="","",$F107*chronic_consumption!AI507/1000/$C$3)</f>
        <v>#DIV/0!</v>
      </c>
      <c r="AO507" s="1040" t="e">
        <f>IF($F107="","",$F107*chronic_consumption!AJ507/1000/$C$3)</f>
        <v>#DIV/0!</v>
      </c>
      <c r="AP507" s="1040" t="e">
        <f>IF($F107="","",$F107*chronic_consumption!AK507/1000/$C$3)</f>
        <v>#DIV/0!</v>
      </c>
      <c r="AQ507" s="1040" t="e">
        <f>IF($F107="","",$F107*chronic_consumption!AL507/1000/$C$3)</f>
        <v>#DIV/0!</v>
      </c>
      <c r="AR507" s="1040" t="e">
        <f>IF($F107="","",$F107*chronic_consumption!AM507/1000/$C$3)</f>
        <v>#DIV/0!</v>
      </c>
      <c r="AS507" s="1040" t="e">
        <f>IF($F107="","",$F107*chronic_consumption!AN507/1000/$C$3)</f>
        <v>#DIV/0!</v>
      </c>
      <c r="AT507" s="1040" t="e">
        <f>IF($F107="","",$F107*chronic_consumption!AO507/1000/$C$3)</f>
        <v>#DIV/0!</v>
      </c>
      <c r="AU507" s="1040" t="e">
        <f>IF($F107="","",$F107*chronic_consumption!AP507/1000/$C$3)</f>
        <v>#DIV/0!</v>
      </c>
      <c r="AV507" s="1040" t="e">
        <f>IF($F107="","",$F107*chronic_consumption!AQ507/1000/$C$3)</f>
        <v>#DIV/0!</v>
      </c>
      <c r="AW507" s="1040" t="e">
        <f>IF($F107="","",$F107*chronic_consumption!AR507/1000/$C$3)</f>
        <v>#DIV/0!</v>
      </c>
      <c r="AX507" s="1040" t="e">
        <f>IF($F107="","",$F107*chronic_consumption!AS507/1000/$C$3)</f>
        <v>#DIV/0!</v>
      </c>
      <c r="AY507" s="1040" t="e">
        <f>IF($F107="","",$F107*chronic_consumption!AT507/1000/$C$3)</f>
        <v>#DIV/0!</v>
      </c>
      <c r="AZ507" s="44" t="s">
        <v>20</v>
      </c>
      <c r="BC507" s="29"/>
      <c r="BD507" s="29"/>
    </row>
    <row r="508" spans="1:56" ht="12" customHeight="1" outlineLevel="3" x14ac:dyDescent="0.2">
      <c r="A508" s="21">
        <f>acute_overview_children!A108</f>
        <v>4</v>
      </c>
      <c r="B508" s="325">
        <f t="shared" si="40"/>
        <v>213020</v>
      </c>
      <c r="C508" s="325" t="str">
        <f t="shared" si="40"/>
        <v>Carrots</v>
      </c>
      <c r="D508" s="135"/>
      <c r="E508" s="1027"/>
      <c r="F508" s="87"/>
      <c r="G508" s="1027"/>
      <c r="H508" s="1029"/>
      <c r="I508" s="1030"/>
      <c r="J508" s="1039" t="e">
        <f>IF($F108="","",$F108*chronic_consumption!E508/1000/$C$3)</f>
        <v>#DIV/0!</v>
      </c>
      <c r="K508" s="1040" t="e">
        <f>IF($F108="","",$F108*chronic_consumption!F508/1000/$C$3)</f>
        <v>#DIV/0!</v>
      </c>
      <c r="L508" s="1040" t="e">
        <f>IF($F108="","",$F108*chronic_consumption!G508/1000/$C$3)</f>
        <v>#DIV/0!</v>
      </c>
      <c r="M508" s="1040" t="e">
        <f>IF($F108="","",$F108*chronic_consumption!H508/1000/$C$3)</f>
        <v>#DIV/0!</v>
      </c>
      <c r="N508" s="1040" t="e">
        <f>IF($F108="","",$F108*chronic_consumption!I508/1000/$C$3)</f>
        <v>#DIV/0!</v>
      </c>
      <c r="O508" s="1040" t="e">
        <f>IF($F108="","",$F108*chronic_consumption!J508/1000/$C$3)</f>
        <v>#DIV/0!</v>
      </c>
      <c r="P508" s="1040" t="e">
        <f>IF($F108="","",$F108*chronic_consumption!K508/1000/$C$3)</f>
        <v>#DIV/0!</v>
      </c>
      <c r="Q508" s="1040" t="e">
        <f>IF($F108="","",$F108*chronic_consumption!L508/1000/$C$3)</f>
        <v>#DIV/0!</v>
      </c>
      <c r="R508" s="1040" t="e">
        <f>IF($F108="","",$F108*chronic_consumption!M508/1000/$C$3)</f>
        <v>#DIV/0!</v>
      </c>
      <c r="S508" s="1040" t="e">
        <f>IF($F108="","",$F108*chronic_consumption!N508/1000/$C$3)</f>
        <v>#DIV/0!</v>
      </c>
      <c r="T508" s="1040" t="e">
        <f>IF($F108="","",$F108*chronic_consumption!O508/1000/$C$3)</f>
        <v>#DIV/0!</v>
      </c>
      <c r="U508" s="1040" t="e">
        <f>IF($F108="","",$F108*chronic_consumption!P508/1000/$C$3)</f>
        <v>#DIV/0!</v>
      </c>
      <c r="V508" s="1040" t="e">
        <f>IF($F108="","",$F108*chronic_consumption!Q508/1000/$C$3)</f>
        <v>#DIV/0!</v>
      </c>
      <c r="W508" s="1040" t="e">
        <f>IF($F108="","",$F108*chronic_consumption!R508/1000/$C$3)</f>
        <v>#DIV/0!</v>
      </c>
      <c r="X508" s="1040" t="e">
        <f>IF($F108="","",$F108*chronic_consumption!S508/1000/$C$3)</f>
        <v>#DIV/0!</v>
      </c>
      <c r="Y508" s="1040" t="e">
        <f>IF($F108="","",$F108*chronic_consumption!T508/1000/$C$3)</f>
        <v>#DIV/0!</v>
      </c>
      <c r="Z508" s="1040" t="e">
        <f>IF($F108="","",$F108*chronic_consumption!U508/1000/$C$3)</f>
        <v>#DIV/0!</v>
      </c>
      <c r="AA508" s="1040" t="e">
        <f>IF($F108="","",$F108*chronic_consumption!V508/1000/$C$3)</f>
        <v>#DIV/0!</v>
      </c>
      <c r="AB508" s="1040" t="e">
        <f>IF($F108="","",$F108*chronic_consumption!W508/1000/$C$3)</f>
        <v>#DIV/0!</v>
      </c>
      <c r="AC508" s="1040" t="e">
        <f>IF($F108="","",$F108*chronic_consumption!X508/1000/$C$3)</f>
        <v>#DIV/0!</v>
      </c>
      <c r="AD508" s="1040" t="e">
        <f>IF($F108="","",$F108*chronic_consumption!Y508/1000/$C$3)</f>
        <v>#DIV/0!</v>
      </c>
      <c r="AE508" s="1040" t="e">
        <f>IF($F108="","",$F108*chronic_consumption!Z508/1000/$C$3)</f>
        <v>#DIV/0!</v>
      </c>
      <c r="AF508" s="1040" t="e">
        <f>IF($F108="","",$F108*chronic_consumption!AA508/1000/$C$3)</f>
        <v>#DIV/0!</v>
      </c>
      <c r="AG508" s="1040" t="e">
        <f>IF($F108="","",$F108*chronic_consumption!AB508/1000/$C$3)</f>
        <v>#DIV/0!</v>
      </c>
      <c r="AH508" s="1040" t="e">
        <f>IF($F108="","",$F108*chronic_consumption!AC508/1000/$C$3)</f>
        <v>#DIV/0!</v>
      </c>
      <c r="AI508" s="1040" t="e">
        <f>IF($F108="","",$F108*chronic_consumption!AD508/1000/$C$3)</f>
        <v>#DIV/0!</v>
      </c>
      <c r="AJ508" s="1040" t="e">
        <f>IF($F108="","",$F108*chronic_consumption!AE508/1000/$C$3)</f>
        <v>#DIV/0!</v>
      </c>
      <c r="AK508" s="1040" t="e">
        <f>IF($F108="","",$F108*chronic_consumption!AF508/1000/$C$3)</f>
        <v>#DIV/0!</v>
      </c>
      <c r="AL508" s="1040" t="e">
        <f>IF($F108="","",$F108*chronic_consumption!AG508/1000/$C$3)</f>
        <v>#DIV/0!</v>
      </c>
      <c r="AM508" s="1040" t="e">
        <f>IF($F108="","",$F108*chronic_consumption!AH508/1000/$C$3)</f>
        <v>#DIV/0!</v>
      </c>
      <c r="AN508" s="1040" t="e">
        <f>IF($F108="","",$F108*chronic_consumption!AI508/1000/$C$3)</f>
        <v>#DIV/0!</v>
      </c>
      <c r="AO508" s="1040" t="e">
        <f>IF($F108="","",$F108*chronic_consumption!AJ508/1000/$C$3)</f>
        <v>#DIV/0!</v>
      </c>
      <c r="AP508" s="1040" t="e">
        <f>IF($F108="","",$F108*chronic_consumption!AK508/1000/$C$3)</f>
        <v>#DIV/0!</v>
      </c>
      <c r="AQ508" s="1040" t="e">
        <f>IF($F108="","",$F108*chronic_consumption!AL508/1000/$C$3)</f>
        <v>#DIV/0!</v>
      </c>
      <c r="AR508" s="1040" t="e">
        <f>IF($F108="","",$F108*chronic_consumption!AM508/1000/$C$3)</f>
        <v>#DIV/0!</v>
      </c>
      <c r="AS508" s="1040" t="e">
        <f>IF($F108="","",$F108*chronic_consumption!AN508/1000/$C$3)</f>
        <v>#DIV/0!</v>
      </c>
      <c r="AT508" s="1040" t="e">
        <f>IF($F108="","",$F108*chronic_consumption!AO508/1000/$C$3)</f>
        <v>#DIV/0!</v>
      </c>
      <c r="AU508" s="1040" t="e">
        <f>IF($F108="","",$F108*chronic_consumption!AP508/1000/$C$3)</f>
        <v>#DIV/0!</v>
      </c>
      <c r="AV508" s="1040" t="e">
        <f>IF($F108="","",$F108*chronic_consumption!AQ508/1000/$C$3)</f>
        <v>#DIV/0!</v>
      </c>
      <c r="AW508" s="1040" t="e">
        <f>IF($F108="","",$F108*chronic_consumption!AR508/1000/$C$3)</f>
        <v>#DIV/0!</v>
      </c>
      <c r="AX508" s="1040" t="e">
        <f>IF($F108="","",$F108*chronic_consumption!AS508/1000/$C$3)</f>
        <v>#DIV/0!</v>
      </c>
      <c r="AY508" s="1040" t="e">
        <f>IF($F108="","",$F108*chronic_consumption!AT508/1000/$C$3)</f>
        <v>#DIV/0!</v>
      </c>
      <c r="AZ508" s="44" t="s">
        <v>20</v>
      </c>
      <c r="BC508" s="29"/>
      <c r="BD508" s="29"/>
    </row>
    <row r="509" spans="1:56" ht="12" customHeight="1" outlineLevel="3" x14ac:dyDescent="0.2">
      <c r="A509" s="21">
        <f>acute_overview_children!A109</f>
        <v>4</v>
      </c>
      <c r="B509" s="325">
        <f t="shared" si="40"/>
        <v>213030</v>
      </c>
      <c r="C509" s="325" t="str">
        <f t="shared" si="40"/>
        <v>Celeriacs/turnip rooted celeries</v>
      </c>
      <c r="D509" s="135"/>
      <c r="E509" s="1027"/>
      <c r="F509" s="87"/>
      <c r="G509" s="1027"/>
      <c r="H509" s="1029"/>
      <c r="I509" s="1030"/>
      <c r="J509" s="1039" t="e">
        <f>IF($F109="","",$F109*chronic_consumption!E509/1000/$C$3)</f>
        <v>#DIV/0!</v>
      </c>
      <c r="K509" s="1040" t="e">
        <f>IF($F109="","",$F109*chronic_consumption!F509/1000/$C$3)</f>
        <v>#DIV/0!</v>
      </c>
      <c r="L509" s="1040" t="e">
        <f>IF($F109="","",$F109*chronic_consumption!G509/1000/$C$3)</f>
        <v>#DIV/0!</v>
      </c>
      <c r="M509" s="1040" t="e">
        <f>IF($F109="","",$F109*chronic_consumption!H509/1000/$C$3)</f>
        <v>#DIV/0!</v>
      </c>
      <c r="N509" s="1040" t="e">
        <f>IF($F109="","",$F109*chronic_consumption!I509/1000/$C$3)</f>
        <v>#DIV/0!</v>
      </c>
      <c r="O509" s="1040" t="e">
        <f>IF($F109="","",$F109*chronic_consumption!J509/1000/$C$3)</f>
        <v>#DIV/0!</v>
      </c>
      <c r="P509" s="1040" t="e">
        <f>IF($F109="","",$F109*chronic_consumption!K509/1000/$C$3)</f>
        <v>#DIV/0!</v>
      </c>
      <c r="Q509" s="1040" t="e">
        <f>IF($F109="","",$F109*chronic_consumption!L509/1000/$C$3)</f>
        <v>#DIV/0!</v>
      </c>
      <c r="R509" s="1040" t="e">
        <f>IF($F109="","",$F109*chronic_consumption!M509/1000/$C$3)</f>
        <v>#DIV/0!</v>
      </c>
      <c r="S509" s="1040" t="e">
        <f>IF($F109="","",$F109*chronic_consumption!N509/1000/$C$3)</f>
        <v>#DIV/0!</v>
      </c>
      <c r="T509" s="1040" t="e">
        <f>IF($F109="","",$F109*chronic_consumption!O509/1000/$C$3)</f>
        <v>#DIV/0!</v>
      </c>
      <c r="U509" s="1040" t="e">
        <f>IF($F109="","",$F109*chronic_consumption!P509/1000/$C$3)</f>
        <v>#DIV/0!</v>
      </c>
      <c r="V509" s="1040" t="e">
        <f>IF($F109="","",$F109*chronic_consumption!Q509/1000/$C$3)</f>
        <v>#DIV/0!</v>
      </c>
      <c r="W509" s="1040" t="e">
        <f>IF($F109="","",$F109*chronic_consumption!R509/1000/$C$3)</f>
        <v>#DIV/0!</v>
      </c>
      <c r="X509" s="1040" t="e">
        <f>IF($F109="","",$F109*chronic_consumption!S509/1000/$C$3)</f>
        <v>#DIV/0!</v>
      </c>
      <c r="Y509" s="1040" t="e">
        <f>IF($F109="","",$F109*chronic_consumption!T509/1000/$C$3)</f>
        <v>#DIV/0!</v>
      </c>
      <c r="Z509" s="1040" t="e">
        <f>IF($F109="","",$F109*chronic_consumption!U509/1000/$C$3)</f>
        <v>#DIV/0!</v>
      </c>
      <c r="AA509" s="1040" t="e">
        <f>IF($F109="","",$F109*chronic_consumption!V509/1000/$C$3)</f>
        <v>#DIV/0!</v>
      </c>
      <c r="AB509" s="1040" t="e">
        <f>IF($F109="","",$F109*chronic_consumption!W509/1000/$C$3)</f>
        <v>#DIV/0!</v>
      </c>
      <c r="AC509" s="1040" t="e">
        <f>IF($F109="","",$F109*chronic_consumption!X509/1000/$C$3)</f>
        <v>#DIV/0!</v>
      </c>
      <c r="AD509" s="1040" t="e">
        <f>IF($F109="","",$F109*chronic_consumption!Y509/1000/$C$3)</f>
        <v>#DIV/0!</v>
      </c>
      <c r="AE509" s="1040" t="e">
        <f>IF($F109="","",$F109*chronic_consumption!Z509/1000/$C$3)</f>
        <v>#DIV/0!</v>
      </c>
      <c r="AF509" s="1040" t="e">
        <f>IF($F109="","",$F109*chronic_consumption!AA509/1000/$C$3)</f>
        <v>#DIV/0!</v>
      </c>
      <c r="AG509" s="1040" t="e">
        <f>IF($F109="","",$F109*chronic_consumption!AB509/1000/$C$3)</f>
        <v>#DIV/0!</v>
      </c>
      <c r="AH509" s="1040" t="e">
        <f>IF($F109="","",$F109*chronic_consumption!AC509/1000/$C$3)</f>
        <v>#DIV/0!</v>
      </c>
      <c r="AI509" s="1040" t="e">
        <f>IF($F109="","",$F109*chronic_consumption!AD509/1000/$C$3)</f>
        <v>#DIV/0!</v>
      </c>
      <c r="AJ509" s="1040" t="e">
        <f>IF($F109="","",$F109*chronic_consumption!AE509/1000/$C$3)</f>
        <v>#DIV/0!</v>
      </c>
      <c r="AK509" s="1040" t="e">
        <f>IF($F109="","",$F109*chronic_consumption!AF509/1000/$C$3)</f>
        <v>#DIV/0!</v>
      </c>
      <c r="AL509" s="1040" t="e">
        <f>IF($F109="","",$F109*chronic_consumption!AG509/1000/$C$3)</f>
        <v>#DIV/0!</v>
      </c>
      <c r="AM509" s="1040" t="e">
        <f>IF($F109="","",$F109*chronic_consumption!AH509/1000/$C$3)</f>
        <v>#DIV/0!</v>
      </c>
      <c r="AN509" s="1040" t="e">
        <f>IF($F109="","",$F109*chronic_consumption!AI509/1000/$C$3)</f>
        <v>#DIV/0!</v>
      </c>
      <c r="AO509" s="1040" t="e">
        <f>IF($F109="","",$F109*chronic_consumption!AJ509/1000/$C$3)</f>
        <v>#DIV/0!</v>
      </c>
      <c r="AP509" s="1040" t="e">
        <f>IF($F109="","",$F109*chronic_consumption!AK509/1000/$C$3)</f>
        <v>#DIV/0!</v>
      </c>
      <c r="AQ509" s="1040" t="e">
        <f>IF($F109="","",$F109*chronic_consumption!AL509/1000/$C$3)</f>
        <v>#DIV/0!</v>
      </c>
      <c r="AR509" s="1040" t="e">
        <f>IF($F109="","",$F109*chronic_consumption!AM509/1000/$C$3)</f>
        <v>#DIV/0!</v>
      </c>
      <c r="AS509" s="1040" t="e">
        <f>IF($F109="","",$F109*chronic_consumption!AN509/1000/$C$3)</f>
        <v>#DIV/0!</v>
      </c>
      <c r="AT509" s="1040" t="e">
        <f>IF($F109="","",$F109*chronic_consumption!AO509/1000/$C$3)</f>
        <v>#DIV/0!</v>
      </c>
      <c r="AU509" s="1040" t="e">
        <f>IF($F109="","",$F109*chronic_consumption!AP509/1000/$C$3)</f>
        <v>#DIV/0!</v>
      </c>
      <c r="AV509" s="1040" t="e">
        <f>IF($F109="","",$F109*chronic_consumption!AQ509/1000/$C$3)</f>
        <v>#DIV/0!</v>
      </c>
      <c r="AW509" s="1040" t="e">
        <f>IF($F109="","",$F109*chronic_consumption!AR509/1000/$C$3)</f>
        <v>#DIV/0!</v>
      </c>
      <c r="AX509" s="1040" t="e">
        <f>IF($F109="","",$F109*chronic_consumption!AS509/1000/$C$3)</f>
        <v>#DIV/0!</v>
      </c>
      <c r="AY509" s="1040" t="e">
        <f>IF($F109="","",$F109*chronic_consumption!AT509/1000/$C$3)</f>
        <v>#DIV/0!</v>
      </c>
      <c r="AZ509" s="44" t="s">
        <v>20</v>
      </c>
      <c r="BC509" s="29"/>
      <c r="BD509" s="29"/>
    </row>
    <row r="510" spans="1:56" ht="12" customHeight="1" outlineLevel="3" x14ac:dyDescent="0.2">
      <c r="A510" s="21">
        <f>acute_overview_children!A110</f>
        <v>4</v>
      </c>
      <c r="B510" s="325">
        <f t="shared" si="40"/>
        <v>213040</v>
      </c>
      <c r="C510" s="325" t="str">
        <f t="shared" si="40"/>
        <v>Horseradishes</v>
      </c>
      <c r="D510" s="135"/>
      <c r="E510" s="1027"/>
      <c r="F510" s="87"/>
      <c r="G510" s="1027"/>
      <c r="H510" s="1029"/>
      <c r="I510" s="1030"/>
      <c r="J510" s="1039" t="e">
        <f>IF($F110="","",$F110*chronic_consumption!E510/1000/$C$3)</f>
        <v>#DIV/0!</v>
      </c>
      <c r="K510" s="1040" t="e">
        <f>IF($F110="","",$F110*chronic_consumption!F510/1000/$C$3)</f>
        <v>#DIV/0!</v>
      </c>
      <c r="L510" s="1040" t="e">
        <f>IF($F110="","",$F110*chronic_consumption!G510/1000/$C$3)</f>
        <v>#DIV/0!</v>
      </c>
      <c r="M510" s="1040" t="e">
        <f>IF($F110="","",$F110*chronic_consumption!H510/1000/$C$3)</f>
        <v>#DIV/0!</v>
      </c>
      <c r="N510" s="1040" t="e">
        <f>IF($F110="","",$F110*chronic_consumption!I510/1000/$C$3)</f>
        <v>#DIV/0!</v>
      </c>
      <c r="O510" s="1040" t="e">
        <f>IF($F110="","",$F110*chronic_consumption!J510/1000/$C$3)</f>
        <v>#DIV/0!</v>
      </c>
      <c r="P510" s="1040" t="e">
        <f>IF($F110="","",$F110*chronic_consumption!K510/1000/$C$3)</f>
        <v>#DIV/0!</v>
      </c>
      <c r="Q510" s="1040" t="e">
        <f>IF($F110="","",$F110*chronic_consumption!L510/1000/$C$3)</f>
        <v>#DIV/0!</v>
      </c>
      <c r="R510" s="1040" t="e">
        <f>IF($F110="","",$F110*chronic_consumption!M510/1000/$C$3)</f>
        <v>#DIV/0!</v>
      </c>
      <c r="S510" s="1040" t="e">
        <f>IF($F110="","",$F110*chronic_consumption!N510/1000/$C$3)</f>
        <v>#DIV/0!</v>
      </c>
      <c r="T510" s="1040" t="e">
        <f>IF($F110="","",$F110*chronic_consumption!O510/1000/$C$3)</f>
        <v>#DIV/0!</v>
      </c>
      <c r="U510" s="1040" t="e">
        <f>IF($F110="","",$F110*chronic_consumption!P510/1000/$C$3)</f>
        <v>#DIV/0!</v>
      </c>
      <c r="V510" s="1040" t="e">
        <f>IF($F110="","",$F110*chronic_consumption!Q510/1000/$C$3)</f>
        <v>#DIV/0!</v>
      </c>
      <c r="W510" s="1040" t="e">
        <f>IF($F110="","",$F110*chronic_consumption!R510/1000/$C$3)</f>
        <v>#DIV/0!</v>
      </c>
      <c r="X510" s="1040" t="e">
        <f>IF($F110="","",$F110*chronic_consumption!S510/1000/$C$3)</f>
        <v>#DIV/0!</v>
      </c>
      <c r="Y510" s="1040" t="e">
        <f>IF($F110="","",$F110*chronic_consumption!T510/1000/$C$3)</f>
        <v>#DIV/0!</v>
      </c>
      <c r="Z510" s="1040" t="e">
        <f>IF($F110="","",$F110*chronic_consumption!U510/1000/$C$3)</f>
        <v>#DIV/0!</v>
      </c>
      <c r="AA510" s="1040" t="e">
        <f>IF($F110="","",$F110*chronic_consumption!V510/1000/$C$3)</f>
        <v>#DIV/0!</v>
      </c>
      <c r="AB510" s="1040" t="e">
        <f>IF($F110="","",$F110*chronic_consumption!W510/1000/$C$3)</f>
        <v>#DIV/0!</v>
      </c>
      <c r="AC510" s="1040" t="e">
        <f>IF($F110="","",$F110*chronic_consumption!X510/1000/$C$3)</f>
        <v>#DIV/0!</v>
      </c>
      <c r="AD510" s="1040" t="e">
        <f>IF($F110="","",$F110*chronic_consumption!Y510/1000/$C$3)</f>
        <v>#DIV/0!</v>
      </c>
      <c r="AE510" s="1040" t="e">
        <f>IF($F110="","",$F110*chronic_consumption!Z510/1000/$C$3)</f>
        <v>#DIV/0!</v>
      </c>
      <c r="AF510" s="1040" t="e">
        <f>IF($F110="","",$F110*chronic_consumption!AA510/1000/$C$3)</f>
        <v>#DIV/0!</v>
      </c>
      <c r="AG510" s="1040" t="e">
        <f>IF($F110="","",$F110*chronic_consumption!AB510/1000/$C$3)</f>
        <v>#DIV/0!</v>
      </c>
      <c r="AH510" s="1040" t="e">
        <f>IF($F110="","",$F110*chronic_consumption!AC510/1000/$C$3)</f>
        <v>#DIV/0!</v>
      </c>
      <c r="AI510" s="1040" t="e">
        <f>IF($F110="","",$F110*chronic_consumption!AD510/1000/$C$3)</f>
        <v>#DIV/0!</v>
      </c>
      <c r="AJ510" s="1040" t="e">
        <f>IF($F110="","",$F110*chronic_consumption!AE510/1000/$C$3)</f>
        <v>#DIV/0!</v>
      </c>
      <c r="AK510" s="1040" t="e">
        <f>IF($F110="","",$F110*chronic_consumption!AF510/1000/$C$3)</f>
        <v>#DIV/0!</v>
      </c>
      <c r="AL510" s="1040" t="e">
        <f>IF($F110="","",$F110*chronic_consumption!AG510/1000/$C$3)</f>
        <v>#DIV/0!</v>
      </c>
      <c r="AM510" s="1040" t="e">
        <f>IF($F110="","",$F110*chronic_consumption!AH510/1000/$C$3)</f>
        <v>#DIV/0!</v>
      </c>
      <c r="AN510" s="1040" t="e">
        <f>IF($F110="","",$F110*chronic_consumption!AI510/1000/$C$3)</f>
        <v>#DIV/0!</v>
      </c>
      <c r="AO510" s="1040" t="e">
        <f>IF($F110="","",$F110*chronic_consumption!AJ510/1000/$C$3)</f>
        <v>#DIV/0!</v>
      </c>
      <c r="AP510" s="1040" t="e">
        <f>IF($F110="","",$F110*chronic_consumption!AK510/1000/$C$3)</f>
        <v>#DIV/0!</v>
      </c>
      <c r="AQ510" s="1040" t="e">
        <f>IF($F110="","",$F110*chronic_consumption!AL510/1000/$C$3)</f>
        <v>#DIV/0!</v>
      </c>
      <c r="AR510" s="1040" t="e">
        <f>IF($F110="","",$F110*chronic_consumption!AM510/1000/$C$3)</f>
        <v>#DIV/0!</v>
      </c>
      <c r="AS510" s="1040" t="e">
        <f>IF($F110="","",$F110*chronic_consumption!AN510/1000/$C$3)</f>
        <v>#DIV/0!</v>
      </c>
      <c r="AT510" s="1040" t="e">
        <f>IF($F110="","",$F110*chronic_consumption!AO510/1000/$C$3)</f>
        <v>#DIV/0!</v>
      </c>
      <c r="AU510" s="1040" t="e">
        <f>IF($F110="","",$F110*chronic_consumption!AP510/1000/$C$3)</f>
        <v>#DIV/0!</v>
      </c>
      <c r="AV510" s="1040" t="e">
        <f>IF($F110="","",$F110*chronic_consumption!AQ510/1000/$C$3)</f>
        <v>#DIV/0!</v>
      </c>
      <c r="AW510" s="1040" t="e">
        <f>IF($F110="","",$F110*chronic_consumption!AR510/1000/$C$3)</f>
        <v>#DIV/0!</v>
      </c>
      <c r="AX510" s="1040" t="e">
        <f>IF($F110="","",$F110*chronic_consumption!AS510/1000/$C$3)</f>
        <v>#DIV/0!</v>
      </c>
      <c r="AY510" s="1040" t="e">
        <f>IF($F110="","",$F110*chronic_consumption!AT510/1000/$C$3)</f>
        <v>#DIV/0!</v>
      </c>
      <c r="AZ510" s="44" t="s">
        <v>20</v>
      </c>
      <c r="BC510" s="29"/>
      <c r="BD510" s="29"/>
    </row>
    <row r="511" spans="1:56" ht="12" customHeight="1" outlineLevel="3" x14ac:dyDescent="0.2">
      <c r="A511" s="21">
        <f>acute_overview_children!A111</f>
        <v>4</v>
      </c>
      <c r="B511" s="325">
        <f t="shared" si="40"/>
        <v>213050</v>
      </c>
      <c r="C511" s="325" t="str">
        <f t="shared" si="40"/>
        <v>Jerusalem artichokes</v>
      </c>
      <c r="D511" s="135"/>
      <c r="E511" s="1027"/>
      <c r="F511" s="87"/>
      <c r="G511" s="1027"/>
      <c r="H511" s="1029"/>
      <c r="I511" s="1030"/>
      <c r="J511" s="1039" t="e">
        <f>IF($F111="","",$F111*chronic_consumption!E511/1000/$C$3)</f>
        <v>#DIV/0!</v>
      </c>
      <c r="K511" s="1040" t="e">
        <f>IF($F111="","",$F111*chronic_consumption!F511/1000/$C$3)</f>
        <v>#DIV/0!</v>
      </c>
      <c r="L511" s="1040" t="e">
        <f>IF($F111="","",$F111*chronic_consumption!G511/1000/$C$3)</f>
        <v>#DIV/0!</v>
      </c>
      <c r="M511" s="1040" t="e">
        <f>IF($F111="","",$F111*chronic_consumption!H511/1000/$C$3)</f>
        <v>#DIV/0!</v>
      </c>
      <c r="N511" s="1040" t="e">
        <f>IF($F111="","",$F111*chronic_consumption!I511/1000/$C$3)</f>
        <v>#DIV/0!</v>
      </c>
      <c r="O511" s="1040" t="e">
        <f>IF($F111="","",$F111*chronic_consumption!J511/1000/$C$3)</f>
        <v>#DIV/0!</v>
      </c>
      <c r="P511" s="1040" t="e">
        <f>IF($F111="","",$F111*chronic_consumption!K511/1000/$C$3)</f>
        <v>#DIV/0!</v>
      </c>
      <c r="Q511" s="1040" t="e">
        <f>IF($F111="","",$F111*chronic_consumption!L511/1000/$C$3)</f>
        <v>#DIV/0!</v>
      </c>
      <c r="R511" s="1040" t="e">
        <f>IF($F111="","",$F111*chronic_consumption!M511/1000/$C$3)</f>
        <v>#DIV/0!</v>
      </c>
      <c r="S511" s="1040" t="e">
        <f>IF($F111="","",$F111*chronic_consumption!N511/1000/$C$3)</f>
        <v>#DIV/0!</v>
      </c>
      <c r="T511" s="1040" t="e">
        <f>IF($F111="","",$F111*chronic_consumption!O511/1000/$C$3)</f>
        <v>#DIV/0!</v>
      </c>
      <c r="U511" s="1040" t="e">
        <f>IF($F111="","",$F111*chronic_consumption!P511/1000/$C$3)</f>
        <v>#DIV/0!</v>
      </c>
      <c r="V511" s="1040" t="e">
        <f>IF($F111="","",$F111*chronic_consumption!Q511/1000/$C$3)</f>
        <v>#DIV/0!</v>
      </c>
      <c r="W511" s="1040" t="e">
        <f>IF($F111="","",$F111*chronic_consumption!R511/1000/$C$3)</f>
        <v>#DIV/0!</v>
      </c>
      <c r="X511" s="1040" t="e">
        <f>IF($F111="","",$F111*chronic_consumption!S511/1000/$C$3)</f>
        <v>#DIV/0!</v>
      </c>
      <c r="Y511" s="1040" t="e">
        <f>IF($F111="","",$F111*chronic_consumption!T511/1000/$C$3)</f>
        <v>#DIV/0!</v>
      </c>
      <c r="Z511" s="1040" t="e">
        <f>IF($F111="","",$F111*chronic_consumption!U511/1000/$C$3)</f>
        <v>#DIV/0!</v>
      </c>
      <c r="AA511" s="1040" t="e">
        <f>IF($F111="","",$F111*chronic_consumption!V511/1000/$C$3)</f>
        <v>#DIV/0!</v>
      </c>
      <c r="AB511" s="1040" t="e">
        <f>IF($F111="","",$F111*chronic_consumption!W511/1000/$C$3)</f>
        <v>#DIV/0!</v>
      </c>
      <c r="AC511" s="1040" t="e">
        <f>IF($F111="","",$F111*chronic_consumption!X511/1000/$C$3)</f>
        <v>#DIV/0!</v>
      </c>
      <c r="AD511" s="1040" t="e">
        <f>IF($F111="","",$F111*chronic_consumption!Y511/1000/$C$3)</f>
        <v>#DIV/0!</v>
      </c>
      <c r="AE511" s="1040" t="e">
        <f>IF($F111="","",$F111*chronic_consumption!Z511/1000/$C$3)</f>
        <v>#DIV/0!</v>
      </c>
      <c r="AF511" s="1040" t="e">
        <f>IF($F111="","",$F111*chronic_consumption!AA511/1000/$C$3)</f>
        <v>#DIV/0!</v>
      </c>
      <c r="AG511" s="1040" t="e">
        <f>IF($F111="","",$F111*chronic_consumption!AB511/1000/$C$3)</f>
        <v>#DIV/0!</v>
      </c>
      <c r="AH511" s="1040" t="e">
        <f>IF($F111="","",$F111*chronic_consumption!AC511/1000/$C$3)</f>
        <v>#DIV/0!</v>
      </c>
      <c r="AI511" s="1040" t="e">
        <f>IF($F111="","",$F111*chronic_consumption!AD511/1000/$C$3)</f>
        <v>#DIV/0!</v>
      </c>
      <c r="AJ511" s="1040" t="e">
        <f>IF($F111="","",$F111*chronic_consumption!AE511/1000/$C$3)</f>
        <v>#DIV/0!</v>
      </c>
      <c r="AK511" s="1040" t="e">
        <f>IF($F111="","",$F111*chronic_consumption!AF511/1000/$C$3)</f>
        <v>#DIV/0!</v>
      </c>
      <c r="AL511" s="1040" t="e">
        <f>IF($F111="","",$F111*chronic_consumption!AG511/1000/$C$3)</f>
        <v>#DIV/0!</v>
      </c>
      <c r="AM511" s="1040" t="e">
        <f>IF($F111="","",$F111*chronic_consumption!AH511/1000/$C$3)</f>
        <v>#DIV/0!</v>
      </c>
      <c r="AN511" s="1040" t="e">
        <f>IF($F111="","",$F111*chronic_consumption!AI511/1000/$C$3)</f>
        <v>#DIV/0!</v>
      </c>
      <c r="AO511" s="1040" t="e">
        <f>IF($F111="","",$F111*chronic_consumption!AJ511/1000/$C$3)</f>
        <v>#DIV/0!</v>
      </c>
      <c r="AP511" s="1040" t="e">
        <f>IF($F111="","",$F111*chronic_consumption!AK511/1000/$C$3)</f>
        <v>#DIV/0!</v>
      </c>
      <c r="AQ511" s="1040" t="e">
        <f>IF($F111="","",$F111*chronic_consumption!AL511/1000/$C$3)</f>
        <v>#DIV/0!</v>
      </c>
      <c r="AR511" s="1040" t="e">
        <f>IF($F111="","",$F111*chronic_consumption!AM511/1000/$C$3)</f>
        <v>#DIV/0!</v>
      </c>
      <c r="AS511" s="1040" t="e">
        <f>IF($F111="","",$F111*chronic_consumption!AN511/1000/$C$3)</f>
        <v>#DIV/0!</v>
      </c>
      <c r="AT511" s="1040" t="e">
        <f>IF($F111="","",$F111*chronic_consumption!AO511/1000/$C$3)</f>
        <v>#DIV/0!</v>
      </c>
      <c r="AU511" s="1040" t="e">
        <f>IF($F111="","",$F111*chronic_consumption!AP511/1000/$C$3)</f>
        <v>#DIV/0!</v>
      </c>
      <c r="AV511" s="1040" t="e">
        <f>IF($F111="","",$F111*chronic_consumption!AQ511/1000/$C$3)</f>
        <v>#DIV/0!</v>
      </c>
      <c r="AW511" s="1040" t="e">
        <f>IF($F111="","",$F111*chronic_consumption!AR511/1000/$C$3)</f>
        <v>#DIV/0!</v>
      </c>
      <c r="AX511" s="1040" t="e">
        <f>IF($F111="","",$F111*chronic_consumption!AS511/1000/$C$3)</f>
        <v>#DIV/0!</v>
      </c>
      <c r="AY511" s="1040" t="e">
        <f>IF($F111="","",$F111*chronic_consumption!AT511/1000/$C$3)</f>
        <v>#DIV/0!</v>
      </c>
      <c r="AZ511" s="44" t="s">
        <v>20</v>
      </c>
      <c r="BC511" s="29"/>
      <c r="BD511" s="29"/>
    </row>
    <row r="512" spans="1:56" ht="12" customHeight="1" outlineLevel="3" x14ac:dyDescent="0.2">
      <c r="A512" s="21">
        <f>acute_overview_children!A112</f>
        <v>4</v>
      </c>
      <c r="B512" s="325">
        <f t="shared" ref="B512:C531" si="41">B112</f>
        <v>213060</v>
      </c>
      <c r="C512" s="325" t="str">
        <f t="shared" si="41"/>
        <v>Parsnips</v>
      </c>
      <c r="D512" s="135"/>
      <c r="E512" s="1027"/>
      <c r="F512" s="87"/>
      <c r="G512" s="1027"/>
      <c r="H512" s="1029"/>
      <c r="I512" s="1030"/>
      <c r="J512" s="1039" t="e">
        <f>IF($F112="","",$F112*chronic_consumption!E512/1000/$C$3)</f>
        <v>#DIV/0!</v>
      </c>
      <c r="K512" s="1040" t="e">
        <f>IF($F112="","",$F112*chronic_consumption!F512/1000/$C$3)</f>
        <v>#DIV/0!</v>
      </c>
      <c r="L512" s="1040" t="e">
        <f>IF($F112="","",$F112*chronic_consumption!G512/1000/$C$3)</f>
        <v>#DIV/0!</v>
      </c>
      <c r="M512" s="1040" t="e">
        <f>IF($F112="","",$F112*chronic_consumption!H512/1000/$C$3)</f>
        <v>#DIV/0!</v>
      </c>
      <c r="N512" s="1040" t="e">
        <f>IF($F112="","",$F112*chronic_consumption!I512/1000/$C$3)</f>
        <v>#DIV/0!</v>
      </c>
      <c r="O512" s="1040" t="e">
        <f>IF($F112="","",$F112*chronic_consumption!J512/1000/$C$3)</f>
        <v>#DIV/0!</v>
      </c>
      <c r="P512" s="1040" t="e">
        <f>IF($F112="","",$F112*chronic_consumption!K512/1000/$C$3)</f>
        <v>#DIV/0!</v>
      </c>
      <c r="Q512" s="1040" t="e">
        <f>IF($F112="","",$F112*chronic_consumption!L512/1000/$C$3)</f>
        <v>#DIV/0!</v>
      </c>
      <c r="R512" s="1040" t="e">
        <f>IF($F112="","",$F112*chronic_consumption!M512/1000/$C$3)</f>
        <v>#DIV/0!</v>
      </c>
      <c r="S512" s="1040" t="e">
        <f>IF($F112="","",$F112*chronic_consumption!N512/1000/$C$3)</f>
        <v>#DIV/0!</v>
      </c>
      <c r="T512" s="1040" t="e">
        <f>IF($F112="","",$F112*chronic_consumption!O512/1000/$C$3)</f>
        <v>#DIV/0!</v>
      </c>
      <c r="U512" s="1040" t="e">
        <f>IF($F112="","",$F112*chronic_consumption!P512/1000/$C$3)</f>
        <v>#DIV/0!</v>
      </c>
      <c r="V512" s="1040" t="e">
        <f>IF($F112="","",$F112*chronic_consumption!Q512/1000/$C$3)</f>
        <v>#DIV/0!</v>
      </c>
      <c r="W512" s="1040" t="e">
        <f>IF($F112="","",$F112*chronic_consumption!R512/1000/$C$3)</f>
        <v>#DIV/0!</v>
      </c>
      <c r="X512" s="1040" t="e">
        <f>IF($F112="","",$F112*chronic_consumption!S512/1000/$C$3)</f>
        <v>#DIV/0!</v>
      </c>
      <c r="Y512" s="1040" t="e">
        <f>IF($F112="","",$F112*chronic_consumption!T512/1000/$C$3)</f>
        <v>#DIV/0!</v>
      </c>
      <c r="Z512" s="1040" t="e">
        <f>IF($F112="","",$F112*chronic_consumption!U512/1000/$C$3)</f>
        <v>#DIV/0!</v>
      </c>
      <c r="AA512" s="1040" t="e">
        <f>IF($F112="","",$F112*chronic_consumption!V512/1000/$C$3)</f>
        <v>#DIV/0!</v>
      </c>
      <c r="AB512" s="1040" t="e">
        <f>IF($F112="","",$F112*chronic_consumption!W512/1000/$C$3)</f>
        <v>#DIV/0!</v>
      </c>
      <c r="AC512" s="1040" t="e">
        <f>IF($F112="","",$F112*chronic_consumption!X512/1000/$C$3)</f>
        <v>#DIV/0!</v>
      </c>
      <c r="AD512" s="1040" t="e">
        <f>IF($F112="","",$F112*chronic_consumption!Y512/1000/$C$3)</f>
        <v>#DIV/0!</v>
      </c>
      <c r="AE512" s="1040" t="e">
        <f>IF($F112="","",$F112*chronic_consumption!Z512/1000/$C$3)</f>
        <v>#DIV/0!</v>
      </c>
      <c r="AF512" s="1040" t="e">
        <f>IF($F112="","",$F112*chronic_consumption!AA512/1000/$C$3)</f>
        <v>#DIV/0!</v>
      </c>
      <c r="AG512" s="1040" t="e">
        <f>IF($F112="","",$F112*chronic_consumption!AB512/1000/$C$3)</f>
        <v>#DIV/0!</v>
      </c>
      <c r="AH512" s="1040" t="e">
        <f>IF($F112="","",$F112*chronic_consumption!AC512/1000/$C$3)</f>
        <v>#DIV/0!</v>
      </c>
      <c r="AI512" s="1040" t="e">
        <f>IF($F112="","",$F112*chronic_consumption!AD512/1000/$C$3)</f>
        <v>#DIV/0!</v>
      </c>
      <c r="AJ512" s="1040" t="e">
        <f>IF($F112="","",$F112*chronic_consumption!AE512/1000/$C$3)</f>
        <v>#DIV/0!</v>
      </c>
      <c r="AK512" s="1040" t="e">
        <f>IF($F112="","",$F112*chronic_consumption!AF512/1000/$C$3)</f>
        <v>#DIV/0!</v>
      </c>
      <c r="AL512" s="1040" t="e">
        <f>IF($F112="","",$F112*chronic_consumption!AG512/1000/$C$3)</f>
        <v>#DIV/0!</v>
      </c>
      <c r="AM512" s="1040" t="e">
        <f>IF($F112="","",$F112*chronic_consumption!AH512/1000/$C$3)</f>
        <v>#DIV/0!</v>
      </c>
      <c r="AN512" s="1040" t="e">
        <f>IF($F112="","",$F112*chronic_consumption!AI512/1000/$C$3)</f>
        <v>#DIV/0!</v>
      </c>
      <c r="AO512" s="1040" t="e">
        <f>IF($F112="","",$F112*chronic_consumption!AJ512/1000/$C$3)</f>
        <v>#DIV/0!</v>
      </c>
      <c r="AP512" s="1040" t="e">
        <f>IF($F112="","",$F112*chronic_consumption!AK512/1000/$C$3)</f>
        <v>#DIV/0!</v>
      </c>
      <c r="AQ512" s="1040" t="e">
        <f>IF($F112="","",$F112*chronic_consumption!AL512/1000/$C$3)</f>
        <v>#DIV/0!</v>
      </c>
      <c r="AR512" s="1040" t="e">
        <f>IF($F112="","",$F112*chronic_consumption!AM512/1000/$C$3)</f>
        <v>#DIV/0!</v>
      </c>
      <c r="AS512" s="1040" t="e">
        <f>IF($F112="","",$F112*chronic_consumption!AN512/1000/$C$3)</f>
        <v>#DIV/0!</v>
      </c>
      <c r="AT512" s="1040" t="e">
        <f>IF($F112="","",$F112*chronic_consumption!AO512/1000/$C$3)</f>
        <v>#DIV/0!</v>
      </c>
      <c r="AU512" s="1040" t="e">
        <f>IF($F112="","",$F112*chronic_consumption!AP512/1000/$C$3)</f>
        <v>#DIV/0!</v>
      </c>
      <c r="AV512" s="1040" t="e">
        <f>IF($F112="","",$F112*chronic_consumption!AQ512/1000/$C$3)</f>
        <v>#DIV/0!</v>
      </c>
      <c r="AW512" s="1040" t="e">
        <f>IF($F112="","",$F112*chronic_consumption!AR512/1000/$C$3)</f>
        <v>#DIV/0!</v>
      </c>
      <c r="AX512" s="1040" t="e">
        <f>IF($F112="","",$F112*chronic_consumption!AS512/1000/$C$3)</f>
        <v>#DIV/0!</v>
      </c>
      <c r="AY512" s="1040" t="e">
        <f>IF($F112="","",$F112*chronic_consumption!AT512/1000/$C$3)</f>
        <v>#DIV/0!</v>
      </c>
      <c r="AZ512" s="44" t="s">
        <v>20</v>
      </c>
      <c r="BC512" s="29"/>
      <c r="BD512" s="29"/>
    </row>
    <row r="513" spans="1:56" ht="12" customHeight="1" outlineLevel="3" x14ac:dyDescent="0.2">
      <c r="A513" s="21">
        <f>acute_overview_children!A113</f>
        <v>4</v>
      </c>
      <c r="B513" s="325">
        <f t="shared" si="41"/>
        <v>213070</v>
      </c>
      <c r="C513" s="325" t="str">
        <f t="shared" si="41"/>
        <v>Parsley roots/Hamburg roots parsley</v>
      </c>
      <c r="D513" s="135"/>
      <c r="E513" s="1027"/>
      <c r="F513" s="87"/>
      <c r="G513" s="1027"/>
      <c r="H513" s="1029"/>
      <c r="I513" s="1030"/>
      <c r="J513" s="1039" t="e">
        <f>IF($F113="","",$F113*chronic_consumption!E513/1000/$C$3)</f>
        <v>#DIV/0!</v>
      </c>
      <c r="K513" s="1040" t="e">
        <f>IF($F113="","",$F113*chronic_consumption!F513/1000/$C$3)</f>
        <v>#DIV/0!</v>
      </c>
      <c r="L513" s="1040" t="e">
        <f>IF($F113="","",$F113*chronic_consumption!G513/1000/$C$3)</f>
        <v>#DIV/0!</v>
      </c>
      <c r="M513" s="1040" t="e">
        <f>IF($F113="","",$F113*chronic_consumption!H513/1000/$C$3)</f>
        <v>#DIV/0!</v>
      </c>
      <c r="N513" s="1040" t="e">
        <f>IF($F113="","",$F113*chronic_consumption!I513/1000/$C$3)</f>
        <v>#DIV/0!</v>
      </c>
      <c r="O513" s="1040" t="e">
        <f>IF($F113="","",$F113*chronic_consumption!J513/1000/$C$3)</f>
        <v>#DIV/0!</v>
      </c>
      <c r="P513" s="1040" t="e">
        <f>IF($F113="","",$F113*chronic_consumption!K513/1000/$C$3)</f>
        <v>#DIV/0!</v>
      </c>
      <c r="Q513" s="1040" t="e">
        <f>IF($F113="","",$F113*chronic_consumption!L513/1000/$C$3)</f>
        <v>#DIV/0!</v>
      </c>
      <c r="R513" s="1040" t="e">
        <f>IF($F113="","",$F113*chronic_consumption!M513/1000/$C$3)</f>
        <v>#DIV/0!</v>
      </c>
      <c r="S513" s="1040" t="e">
        <f>IF($F113="","",$F113*chronic_consumption!N513/1000/$C$3)</f>
        <v>#DIV/0!</v>
      </c>
      <c r="T513" s="1040" t="e">
        <f>IF($F113="","",$F113*chronic_consumption!O513/1000/$C$3)</f>
        <v>#DIV/0!</v>
      </c>
      <c r="U513" s="1040" t="e">
        <f>IF($F113="","",$F113*chronic_consumption!P513/1000/$C$3)</f>
        <v>#DIV/0!</v>
      </c>
      <c r="V513" s="1040" t="e">
        <f>IF($F113="","",$F113*chronic_consumption!Q513/1000/$C$3)</f>
        <v>#DIV/0!</v>
      </c>
      <c r="W513" s="1040" t="e">
        <f>IF($F113="","",$F113*chronic_consumption!R513/1000/$C$3)</f>
        <v>#DIV/0!</v>
      </c>
      <c r="X513" s="1040" t="e">
        <f>IF($F113="","",$F113*chronic_consumption!S513/1000/$C$3)</f>
        <v>#DIV/0!</v>
      </c>
      <c r="Y513" s="1040" t="e">
        <f>IF($F113="","",$F113*chronic_consumption!T513/1000/$C$3)</f>
        <v>#DIV/0!</v>
      </c>
      <c r="Z513" s="1040" t="e">
        <f>IF($F113="","",$F113*chronic_consumption!U513/1000/$C$3)</f>
        <v>#DIV/0!</v>
      </c>
      <c r="AA513" s="1040" t="e">
        <f>IF($F113="","",$F113*chronic_consumption!V513/1000/$C$3)</f>
        <v>#DIV/0!</v>
      </c>
      <c r="AB513" s="1040" t="e">
        <f>IF($F113="","",$F113*chronic_consumption!W513/1000/$C$3)</f>
        <v>#DIV/0!</v>
      </c>
      <c r="AC513" s="1040" t="e">
        <f>IF($F113="","",$F113*chronic_consumption!X513/1000/$C$3)</f>
        <v>#DIV/0!</v>
      </c>
      <c r="AD513" s="1040" t="e">
        <f>IF($F113="","",$F113*chronic_consumption!Y513/1000/$C$3)</f>
        <v>#DIV/0!</v>
      </c>
      <c r="AE513" s="1040" t="e">
        <f>IF($F113="","",$F113*chronic_consumption!Z513/1000/$C$3)</f>
        <v>#DIV/0!</v>
      </c>
      <c r="AF513" s="1040" t="e">
        <f>IF($F113="","",$F113*chronic_consumption!AA513/1000/$C$3)</f>
        <v>#DIV/0!</v>
      </c>
      <c r="AG513" s="1040" t="e">
        <f>IF($F113="","",$F113*chronic_consumption!AB513/1000/$C$3)</f>
        <v>#DIV/0!</v>
      </c>
      <c r="AH513" s="1040" t="e">
        <f>IF($F113="","",$F113*chronic_consumption!AC513/1000/$C$3)</f>
        <v>#DIV/0!</v>
      </c>
      <c r="AI513" s="1040" t="e">
        <f>IF($F113="","",$F113*chronic_consumption!AD513/1000/$C$3)</f>
        <v>#DIV/0!</v>
      </c>
      <c r="AJ513" s="1040" t="e">
        <f>IF($F113="","",$F113*chronic_consumption!AE513/1000/$C$3)</f>
        <v>#DIV/0!</v>
      </c>
      <c r="AK513" s="1040" t="e">
        <f>IF($F113="","",$F113*chronic_consumption!AF513/1000/$C$3)</f>
        <v>#DIV/0!</v>
      </c>
      <c r="AL513" s="1040" t="e">
        <f>IF($F113="","",$F113*chronic_consumption!AG513/1000/$C$3)</f>
        <v>#DIV/0!</v>
      </c>
      <c r="AM513" s="1040" t="e">
        <f>IF($F113="","",$F113*chronic_consumption!AH513/1000/$C$3)</f>
        <v>#DIV/0!</v>
      </c>
      <c r="AN513" s="1040" t="e">
        <f>IF($F113="","",$F113*chronic_consumption!AI513/1000/$C$3)</f>
        <v>#DIV/0!</v>
      </c>
      <c r="AO513" s="1040" t="e">
        <f>IF($F113="","",$F113*chronic_consumption!AJ513/1000/$C$3)</f>
        <v>#DIV/0!</v>
      </c>
      <c r="AP513" s="1040" t="e">
        <f>IF($F113="","",$F113*chronic_consumption!AK513/1000/$C$3)</f>
        <v>#DIV/0!</v>
      </c>
      <c r="AQ513" s="1040" t="e">
        <f>IF($F113="","",$F113*chronic_consumption!AL513/1000/$C$3)</f>
        <v>#DIV/0!</v>
      </c>
      <c r="AR513" s="1040" t="e">
        <f>IF($F113="","",$F113*chronic_consumption!AM513/1000/$C$3)</f>
        <v>#DIV/0!</v>
      </c>
      <c r="AS513" s="1040" t="e">
        <f>IF($F113="","",$F113*chronic_consumption!AN513/1000/$C$3)</f>
        <v>#DIV/0!</v>
      </c>
      <c r="AT513" s="1040" t="e">
        <f>IF($F113="","",$F113*chronic_consumption!AO513/1000/$C$3)</f>
        <v>#DIV/0!</v>
      </c>
      <c r="AU513" s="1040" t="e">
        <f>IF($F113="","",$F113*chronic_consumption!AP513/1000/$C$3)</f>
        <v>#DIV/0!</v>
      </c>
      <c r="AV513" s="1040" t="e">
        <f>IF($F113="","",$F113*chronic_consumption!AQ513/1000/$C$3)</f>
        <v>#DIV/0!</v>
      </c>
      <c r="AW513" s="1040" t="e">
        <f>IF($F113="","",$F113*chronic_consumption!AR513/1000/$C$3)</f>
        <v>#DIV/0!</v>
      </c>
      <c r="AX513" s="1040" t="e">
        <f>IF($F113="","",$F113*chronic_consumption!AS513/1000/$C$3)</f>
        <v>#DIV/0!</v>
      </c>
      <c r="AY513" s="1040" t="e">
        <f>IF($F113="","",$F113*chronic_consumption!AT513/1000/$C$3)</f>
        <v>#DIV/0!</v>
      </c>
      <c r="AZ513" s="44" t="s">
        <v>20</v>
      </c>
      <c r="BC513" s="29"/>
      <c r="BD513" s="29"/>
    </row>
    <row r="514" spans="1:56" ht="12" customHeight="1" outlineLevel="3" x14ac:dyDescent="0.2">
      <c r="A514" s="21">
        <f>acute_overview_children!A114</f>
        <v>4</v>
      </c>
      <c r="B514" s="325">
        <f t="shared" si="41"/>
        <v>213080</v>
      </c>
      <c r="C514" s="325" t="str">
        <f t="shared" si="41"/>
        <v>Radishes</v>
      </c>
      <c r="D514" s="135"/>
      <c r="E514" s="1027"/>
      <c r="F514" s="87"/>
      <c r="G514" s="1027"/>
      <c r="H514" s="1029"/>
      <c r="I514" s="1030"/>
      <c r="J514" s="1039" t="e">
        <f>IF($F114="","",$F114*chronic_consumption!E514/1000/$C$3)</f>
        <v>#DIV/0!</v>
      </c>
      <c r="K514" s="1040" t="e">
        <f>IF($F114="","",$F114*chronic_consumption!F514/1000/$C$3)</f>
        <v>#DIV/0!</v>
      </c>
      <c r="L514" s="1040" t="e">
        <f>IF($F114="","",$F114*chronic_consumption!G514/1000/$C$3)</f>
        <v>#DIV/0!</v>
      </c>
      <c r="M514" s="1040" t="e">
        <f>IF($F114="","",$F114*chronic_consumption!H514/1000/$C$3)</f>
        <v>#DIV/0!</v>
      </c>
      <c r="N514" s="1040" t="e">
        <f>IF($F114="","",$F114*chronic_consumption!I514/1000/$C$3)</f>
        <v>#DIV/0!</v>
      </c>
      <c r="O514" s="1040" t="e">
        <f>IF($F114="","",$F114*chronic_consumption!J514/1000/$C$3)</f>
        <v>#DIV/0!</v>
      </c>
      <c r="P514" s="1040" t="e">
        <f>IF($F114="","",$F114*chronic_consumption!K514/1000/$C$3)</f>
        <v>#DIV/0!</v>
      </c>
      <c r="Q514" s="1040" t="e">
        <f>IF($F114="","",$F114*chronic_consumption!L514/1000/$C$3)</f>
        <v>#DIV/0!</v>
      </c>
      <c r="R514" s="1040" t="e">
        <f>IF($F114="","",$F114*chronic_consumption!M514/1000/$C$3)</f>
        <v>#DIV/0!</v>
      </c>
      <c r="S514" s="1040" t="e">
        <f>IF($F114="","",$F114*chronic_consumption!N514/1000/$C$3)</f>
        <v>#DIV/0!</v>
      </c>
      <c r="T514" s="1040" t="e">
        <f>IF($F114="","",$F114*chronic_consumption!O514/1000/$C$3)</f>
        <v>#DIV/0!</v>
      </c>
      <c r="U514" s="1040" t="e">
        <f>IF($F114="","",$F114*chronic_consumption!P514/1000/$C$3)</f>
        <v>#DIV/0!</v>
      </c>
      <c r="V514" s="1040" t="e">
        <f>IF($F114="","",$F114*chronic_consumption!Q514/1000/$C$3)</f>
        <v>#DIV/0!</v>
      </c>
      <c r="W514" s="1040" t="e">
        <f>IF($F114="","",$F114*chronic_consumption!R514/1000/$C$3)</f>
        <v>#DIV/0!</v>
      </c>
      <c r="X514" s="1040" t="e">
        <f>IF($F114="","",$F114*chronic_consumption!S514/1000/$C$3)</f>
        <v>#DIV/0!</v>
      </c>
      <c r="Y514" s="1040" t="e">
        <f>IF($F114="","",$F114*chronic_consumption!T514/1000/$C$3)</f>
        <v>#DIV/0!</v>
      </c>
      <c r="Z514" s="1040" t="e">
        <f>IF($F114="","",$F114*chronic_consumption!U514/1000/$C$3)</f>
        <v>#DIV/0!</v>
      </c>
      <c r="AA514" s="1040" t="e">
        <f>IF($F114="","",$F114*chronic_consumption!V514/1000/$C$3)</f>
        <v>#DIV/0!</v>
      </c>
      <c r="AB514" s="1040" t="e">
        <f>IF($F114="","",$F114*chronic_consumption!W514/1000/$C$3)</f>
        <v>#DIV/0!</v>
      </c>
      <c r="AC514" s="1040" t="e">
        <f>IF($F114="","",$F114*chronic_consumption!X514/1000/$C$3)</f>
        <v>#DIV/0!</v>
      </c>
      <c r="AD514" s="1040" t="e">
        <f>IF($F114="","",$F114*chronic_consumption!Y514/1000/$C$3)</f>
        <v>#DIV/0!</v>
      </c>
      <c r="AE514" s="1040" t="e">
        <f>IF($F114="","",$F114*chronic_consumption!Z514/1000/$C$3)</f>
        <v>#DIV/0!</v>
      </c>
      <c r="AF514" s="1040" t="e">
        <f>IF($F114="","",$F114*chronic_consumption!AA514/1000/$C$3)</f>
        <v>#DIV/0!</v>
      </c>
      <c r="AG514" s="1040" t="e">
        <f>IF($F114="","",$F114*chronic_consumption!AB514/1000/$C$3)</f>
        <v>#DIV/0!</v>
      </c>
      <c r="AH514" s="1040" t="e">
        <f>IF($F114="","",$F114*chronic_consumption!AC514/1000/$C$3)</f>
        <v>#DIV/0!</v>
      </c>
      <c r="AI514" s="1040" t="e">
        <f>IF($F114="","",$F114*chronic_consumption!AD514/1000/$C$3)</f>
        <v>#DIV/0!</v>
      </c>
      <c r="AJ514" s="1040" t="e">
        <f>IF($F114="","",$F114*chronic_consumption!AE514/1000/$C$3)</f>
        <v>#DIV/0!</v>
      </c>
      <c r="AK514" s="1040" t="e">
        <f>IF($F114="","",$F114*chronic_consumption!AF514/1000/$C$3)</f>
        <v>#DIV/0!</v>
      </c>
      <c r="AL514" s="1040" t="e">
        <f>IF($F114="","",$F114*chronic_consumption!AG514/1000/$C$3)</f>
        <v>#DIV/0!</v>
      </c>
      <c r="AM514" s="1040" t="e">
        <f>IF($F114="","",$F114*chronic_consumption!AH514/1000/$C$3)</f>
        <v>#DIV/0!</v>
      </c>
      <c r="AN514" s="1040" t="e">
        <f>IF($F114="","",$F114*chronic_consumption!AI514/1000/$C$3)</f>
        <v>#DIV/0!</v>
      </c>
      <c r="AO514" s="1040" t="e">
        <f>IF($F114="","",$F114*chronic_consumption!AJ514/1000/$C$3)</f>
        <v>#DIV/0!</v>
      </c>
      <c r="AP514" s="1040" t="e">
        <f>IF($F114="","",$F114*chronic_consumption!AK514/1000/$C$3)</f>
        <v>#DIV/0!</v>
      </c>
      <c r="AQ514" s="1040" t="e">
        <f>IF($F114="","",$F114*chronic_consumption!AL514/1000/$C$3)</f>
        <v>#DIV/0!</v>
      </c>
      <c r="AR514" s="1040" t="e">
        <f>IF($F114="","",$F114*chronic_consumption!AM514/1000/$C$3)</f>
        <v>#DIV/0!</v>
      </c>
      <c r="AS514" s="1040" t="e">
        <f>IF($F114="","",$F114*chronic_consumption!AN514/1000/$C$3)</f>
        <v>#DIV/0!</v>
      </c>
      <c r="AT514" s="1040" t="e">
        <f>IF($F114="","",$F114*chronic_consumption!AO514/1000/$C$3)</f>
        <v>#DIV/0!</v>
      </c>
      <c r="AU514" s="1040" t="e">
        <f>IF($F114="","",$F114*chronic_consumption!AP514/1000/$C$3)</f>
        <v>#DIV/0!</v>
      </c>
      <c r="AV514" s="1040" t="e">
        <f>IF($F114="","",$F114*chronic_consumption!AQ514/1000/$C$3)</f>
        <v>#DIV/0!</v>
      </c>
      <c r="AW514" s="1040" t="e">
        <f>IF($F114="","",$F114*chronic_consumption!AR514/1000/$C$3)</f>
        <v>#DIV/0!</v>
      </c>
      <c r="AX514" s="1040" t="e">
        <f>IF($F114="","",$F114*chronic_consumption!AS514/1000/$C$3)</f>
        <v>#DIV/0!</v>
      </c>
      <c r="AY514" s="1040" t="e">
        <f>IF($F114="","",$F114*chronic_consumption!AT514/1000/$C$3)</f>
        <v>#DIV/0!</v>
      </c>
      <c r="AZ514" s="44" t="s">
        <v>20</v>
      </c>
      <c r="BC514" s="29"/>
      <c r="BD514" s="29"/>
    </row>
    <row r="515" spans="1:56" ht="12" customHeight="1" outlineLevel="3" x14ac:dyDescent="0.2">
      <c r="A515" s="21">
        <f>acute_overview_children!A115</f>
        <v>4</v>
      </c>
      <c r="B515" s="325">
        <f t="shared" si="41"/>
        <v>213090</v>
      </c>
      <c r="C515" s="325" t="str">
        <f t="shared" si="41"/>
        <v>Salsifies</v>
      </c>
      <c r="D515" s="135"/>
      <c r="E515" s="1027"/>
      <c r="F515" s="87"/>
      <c r="G515" s="1027"/>
      <c r="H515" s="1029"/>
      <c r="I515" s="1030"/>
      <c r="J515" s="1039" t="e">
        <f>IF($F115="","",$F115*chronic_consumption!E515/1000/$C$3)</f>
        <v>#DIV/0!</v>
      </c>
      <c r="K515" s="1040" t="e">
        <f>IF($F115="","",$F115*chronic_consumption!F515/1000/$C$3)</f>
        <v>#DIV/0!</v>
      </c>
      <c r="L515" s="1040" t="e">
        <f>IF($F115="","",$F115*chronic_consumption!G515/1000/$C$3)</f>
        <v>#DIV/0!</v>
      </c>
      <c r="M515" s="1040" t="e">
        <f>IF($F115="","",$F115*chronic_consumption!H515/1000/$C$3)</f>
        <v>#DIV/0!</v>
      </c>
      <c r="N515" s="1040" t="e">
        <f>IF($F115="","",$F115*chronic_consumption!I515/1000/$C$3)</f>
        <v>#DIV/0!</v>
      </c>
      <c r="O515" s="1040" t="e">
        <f>IF($F115="","",$F115*chronic_consumption!J515/1000/$C$3)</f>
        <v>#DIV/0!</v>
      </c>
      <c r="P515" s="1040" t="e">
        <f>IF($F115="","",$F115*chronic_consumption!K515/1000/$C$3)</f>
        <v>#DIV/0!</v>
      </c>
      <c r="Q515" s="1040" t="e">
        <f>IF($F115="","",$F115*chronic_consumption!L515/1000/$C$3)</f>
        <v>#DIV/0!</v>
      </c>
      <c r="R515" s="1040" t="e">
        <f>IF($F115="","",$F115*chronic_consumption!M515/1000/$C$3)</f>
        <v>#DIV/0!</v>
      </c>
      <c r="S515" s="1040" t="e">
        <f>IF($F115="","",$F115*chronic_consumption!N515/1000/$C$3)</f>
        <v>#DIV/0!</v>
      </c>
      <c r="T515" s="1040" t="e">
        <f>IF($F115="","",$F115*chronic_consumption!O515/1000/$C$3)</f>
        <v>#DIV/0!</v>
      </c>
      <c r="U515" s="1040" t="e">
        <f>IF($F115="","",$F115*chronic_consumption!P515/1000/$C$3)</f>
        <v>#DIV/0!</v>
      </c>
      <c r="V515" s="1040" t="e">
        <f>IF($F115="","",$F115*chronic_consumption!Q515/1000/$C$3)</f>
        <v>#DIV/0!</v>
      </c>
      <c r="W515" s="1040" t="e">
        <f>IF($F115="","",$F115*chronic_consumption!R515/1000/$C$3)</f>
        <v>#DIV/0!</v>
      </c>
      <c r="X515" s="1040" t="e">
        <f>IF($F115="","",$F115*chronic_consumption!S515/1000/$C$3)</f>
        <v>#DIV/0!</v>
      </c>
      <c r="Y515" s="1040" t="e">
        <f>IF($F115="","",$F115*chronic_consumption!T515/1000/$C$3)</f>
        <v>#DIV/0!</v>
      </c>
      <c r="Z515" s="1040" t="e">
        <f>IF($F115="","",$F115*chronic_consumption!U515/1000/$C$3)</f>
        <v>#DIV/0!</v>
      </c>
      <c r="AA515" s="1040" t="e">
        <f>IF($F115="","",$F115*chronic_consumption!V515/1000/$C$3)</f>
        <v>#DIV/0!</v>
      </c>
      <c r="AB515" s="1040" t="e">
        <f>IF($F115="","",$F115*chronic_consumption!W515/1000/$C$3)</f>
        <v>#DIV/0!</v>
      </c>
      <c r="AC515" s="1040" t="e">
        <f>IF($F115="","",$F115*chronic_consumption!X515/1000/$C$3)</f>
        <v>#DIV/0!</v>
      </c>
      <c r="AD515" s="1040" t="e">
        <f>IF($F115="","",$F115*chronic_consumption!Y515/1000/$C$3)</f>
        <v>#DIV/0!</v>
      </c>
      <c r="AE515" s="1040" t="e">
        <f>IF($F115="","",$F115*chronic_consumption!Z515/1000/$C$3)</f>
        <v>#DIV/0!</v>
      </c>
      <c r="AF515" s="1040" t="e">
        <f>IF($F115="","",$F115*chronic_consumption!AA515/1000/$C$3)</f>
        <v>#DIV/0!</v>
      </c>
      <c r="AG515" s="1040" t="e">
        <f>IF($F115="","",$F115*chronic_consumption!AB515/1000/$C$3)</f>
        <v>#DIV/0!</v>
      </c>
      <c r="AH515" s="1040" t="e">
        <f>IF($F115="","",$F115*chronic_consumption!AC515/1000/$C$3)</f>
        <v>#DIV/0!</v>
      </c>
      <c r="AI515" s="1040" t="e">
        <f>IF($F115="","",$F115*chronic_consumption!AD515/1000/$C$3)</f>
        <v>#DIV/0!</v>
      </c>
      <c r="AJ515" s="1040" t="e">
        <f>IF($F115="","",$F115*chronic_consumption!AE515/1000/$C$3)</f>
        <v>#DIV/0!</v>
      </c>
      <c r="AK515" s="1040" t="e">
        <f>IF($F115="","",$F115*chronic_consumption!AF515/1000/$C$3)</f>
        <v>#DIV/0!</v>
      </c>
      <c r="AL515" s="1040" t="e">
        <f>IF($F115="","",$F115*chronic_consumption!AG515/1000/$C$3)</f>
        <v>#DIV/0!</v>
      </c>
      <c r="AM515" s="1040" t="e">
        <f>IF($F115="","",$F115*chronic_consumption!AH515/1000/$C$3)</f>
        <v>#DIV/0!</v>
      </c>
      <c r="AN515" s="1040" t="e">
        <f>IF($F115="","",$F115*chronic_consumption!AI515/1000/$C$3)</f>
        <v>#DIV/0!</v>
      </c>
      <c r="AO515" s="1040" t="e">
        <f>IF($F115="","",$F115*chronic_consumption!AJ515/1000/$C$3)</f>
        <v>#DIV/0!</v>
      </c>
      <c r="AP515" s="1040" t="e">
        <f>IF($F115="","",$F115*chronic_consumption!AK515/1000/$C$3)</f>
        <v>#DIV/0!</v>
      </c>
      <c r="AQ515" s="1040" t="e">
        <f>IF($F115="","",$F115*chronic_consumption!AL515/1000/$C$3)</f>
        <v>#DIV/0!</v>
      </c>
      <c r="AR515" s="1040" t="e">
        <f>IF($F115="","",$F115*chronic_consumption!AM515/1000/$C$3)</f>
        <v>#DIV/0!</v>
      </c>
      <c r="AS515" s="1040" t="e">
        <f>IF($F115="","",$F115*chronic_consumption!AN515/1000/$C$3)</f>
        <v>#DIV/0!</v>
      </c>
      <c r="AT515" s="1040" t="e">
        <f>IF($F115="","",$F115*chronic_consumption!AO515/1000/$C$3)</f>
        <v>#DIV/0!</v>
      </c>
      <c r="AU515" s="1040" t="e">
        <f>IF($F115="","",$F115*chronic_consumption!AP515/1000/$C$3)</f>
        <v>#DIV/0!</v>
      </c>
      <c r="AV515" s="1040" t="e">
        <f>IF($F115="","",$F115*chronic_consumption!AQ515/1000/$C$3)</f>
        <v>#DIV/0!</v>
      </c>
      <c r="AW515" s="1040" t="e">
        <f>IF($F115="","",$F115*chronic_consumption!AR515/1000/$C$3)</f>
        <v>#DIV/0!</v>
      </c>
      <c r="AX515" s="1040" t="e">
        <f>IF($F115="","",$F115*chronic_consumption!AS515/1000/$C$3)</f>
        <v>#DIV/0!</v>
      </c>
      <c r="AY515" s="1040" t="e">
        <f>IF($F115="","",$F115*chronic_consumption!AT515/1000/$C$3)</f>
        <v>#DIV/0!</v>
      </c>
      <c r="AZ515" s="44" t="s">
        <v>20</v>
      </c>
      <c r="BC515" s="29"/>
      <c r="BD515" s="29"/>
    </row>
    <row r="516" spans="1:56" ht="12" customHeight="1" outlineLevel="3" x14ac:dyDescent="0.2">
      <c r="A516" s="21">
        <f>acute_overview_children!A116</f>
        <v>4</v>
      </c>
      <c r="B516" s="325">
        <f t="shared" si="41"/>
        <v>213100</v>
      </c>
      <c r="C516" s="325" t="str">
        <f t="shared" si="41"/>
        <v>Swedes/rutabagas</v>
      </c>
      <c r="D516" s="135"/>
      <c r="E516" s="1027"/>
      <c r="F516" s="87"/>
      <c r="G516" s="1027"/>
      <c r="H516" s="1029"/>
      <c r="I516" s="1030"/>
      <c r="J516" s="1039" t="e">
        <f>IF($F116="","",$F116*chronic_consumption!E516/1000/$C$3)</f>
        <v>#DIV/0!</v>
      </c>
      <c r="K516" s="1040" t="e">
        <f>IF($F116="","",$F116*chronic_consumption!F516/1000/$C$3)</f>
        <v>#DIV/0!</v>
      </c>
      <c r="L516" s="1040" t="e">
        <f>IF($F116="","",$F116*chronic_consumption!G516/1000/$C$3)</f>
        <v>#DIV/0!</v>
      </c>
      <c r="M516" s="1040" t="e">
        <f>IF($F116="","",$F116*chronic_consumption!H516/1000/$C$3)</f>
        <v>#DIV/0!</v>
      </c>
      <c r="N516" s="1040" t="e">
        <f>IF($F116="","",$F116*chronic_consumption!I516/1000/$C$3)</f>
        <v>#DIV/0!</v>
      </c>
      <c r="O516" s="1040" t="e">
        <f>IF($F116="","",$F116*chronic_consumption!J516/1000/$C$3)</f>
        <v>#DIV/0!</v>
      </c>
      <c r="P516" s="1040" t="e">
        <f>IF($F116="","",$F116*chronic_consumption!K516/1000/$C$3)</f>
        <v>#DIV/0!</v>
      </c>
      <c r="Q516" s="1040" t="e">
        <f>IF($F116="","",$F116*chronic_consumption!L516/1000/$C$3)</f>
        <v>#DIV/0!</v>
      </c>
      <c r="R516" s="1040" t="e">
        <f>IF($F116="","",$F116*chronic_consumption!M516/1000/$C$3)</f>
        <v>#DIV/0!</v>
      </c>
      <c r="S516" s="1040" t="e">
        <f>IF($F116="","",$F116*chronic_consumption!N516/1000/$C$3)</f>
        <v>#DIV/0!</v>
      </c>
      <c r="T516" s="1040" t="e">
        <f>IF($F116="","",$F116*chronic_consumption!O516/1000/$C$3)</f>
        <v>#DIV/0!</v>
      </c>
      <c r="U516" s="1040" t="e">
        <f>IF($F116="","",$F116*chronic_consumption!P516/1000/$C$3)</f>
        <v>#DIV/0!</v>
      </c>
      <c r="V516" s="1040" t="e">
        <f>IF($F116="","",$F116*chronic_consumption!Q516/1000/$C$3)</f>
        <v>#DIV/0!</v>
      </c>
      <c r="W516" s="1040" t="e">
        <f>IF($F116="","",$F116*chronic_consumption!R516/1000/$C$3)</f>
        <v>#DIV/0!</v>
      </c>
      <c r="X516" s="1040" t="e">
        <f>IF($F116="","",$F116*chronic_consumption!S516/1000/$C$3)</f>
        <v>#DIV/0!</v>
      </c>
      <c r="Y516" s="1040" t="e">
        <f>IF($F116="","",$F116*chronic_consumption!T516/1000/$C$3)</f>
        <v>#DIV/0!</v>
      </c>
      <c r="Z516" s="1040" t="e">
        <f>IF($F116="","",$F116*chronic_consumption!U516/1000/$C$3)</f>
        <v>#DIV/0!</v>
      </c>
      <c r="AA516" s="1040" t="e">
        <f>IF($F116="","",$F116*chronic_consumption!V516/1000/$C$3)</f>
        <v>#DIV/0!</v>
      </c>
      <c r="AB516" s="1040" t="e">
        <f>IF($F116="","",$F116*chronic_consumption!W516/1000/$C$3)</f>
        <v>#DIV/0!</v>
      </c>
      <c r="AC516" s="1040" t="e">
        <f>IF($F116="","",$F116*chronic_consumption!X516/1000/$C$3)</f>
        <v>#DIV/0!</v>
      </c>
      <c r="AD516" s="1040" t="e">
        <f>IF($F116="","",$F116*chronic_consumption!Y516/1000/$C$3)</f>
        <v>#DIV/0!</v>
      </c>
      <c r="AE516" s="1040" t="e">
        <f>IF($F116="","",$F116*chronic_consumption!Z516/1000/$C$3)</f>
        <v>#DIV/0!</v>
      </c>
      <c r="AF516" s="1040" t="e">
        <f>IF($F116="","",$F116*chronic_consumption!AA516/1000/$C$3)</f>
        <v>#DIV/0!</v>
      </c>
      <c r="AG516" s="1040" t="e">
        <f>IF($F116="","",$F116*chronic_consumption!AB516/1000/$C$3)</f>
        <v>#DIV/0!</v>
      </c>
      <c r="AH516" s="1040" t="e">
        <f>IF($F116="","",$F116*chronic_consumption!AC516/1000/$C$3)</f>
        <v>#DIV/0!</v>
      </c>
      <c r="AI516" s="1040" t="e">
        <f>IF($F116="","",$F116*chronic_consumption!AD516/1000/$C$3)</f>
        <v>#DIV/0!</v>
      </c>
      <c r="AJ516" s="1040" t="e">
        <f>IF($F116="","",$F116*chronic_consumption!AE516/1000/$C$3)</f>
        <v>#DIV/0!</v>
      </c>
      <c r="AK516" s="1040" t="e">
        <f>IF($F116="","",$F116*chronic_consumption!AF516/1000/$C$3)</f>
        <v>#DIV/0!</v>
      </c>
      <c r="AL516" s="1040" t="e">
        <f>IF($F116="","",$F116*chronic_consumption!AG516/1000/$C$3)</f>
        <v>#DIV/0!</v>
      </c>
      <c r="AM516" s="1040" t="e">
        <f>IF($F116="","",$F116*chronic_consumption!AH516/1000/$C$3)</f>
        <v>#DIV/0!</v>
      </c>
      <c r="AN516" s="1040" t="e">
        <f>IF($F116="","",$F116*chronic_consumption!AI516/1000/$C$3)</f>
        <v>#DIV/0!</v>
      </c>
      <c r="AO516" s="1040" t="e">
        <f>IF($F116="","",$F116*chronic_consumption!AJ516/1000/$C$3)</f>
        <v>#DIV/0!</v>
      </c>
      <c r="AP516" s="1040" t="e">
        <f>IF($F116="","",$F116*chronic_consumption!AK516/1000/$C$3)</f>
        <v>#DIV/0!</v>
      </c>
      <c r="AQ516" s="1040" t="e">
        <f>IF($F116="","",$F116*chronic_consumption!AL516/1000/$C$3)</f>
        <v>#DIV/0!</v>
      </c>
      <c r="AR516" s="1040" t="e">
        <f>IF($F116="","",$F116*chronic_consumption!AM516/1000/$C$3)</f>
        <v>#DIV/0!</v>
      </c>
      <c r="AS516" s="1040" t="e">
        <f>IF($F116="","",$F116*chronic_consumption!AN516/1000/$C$3)</f>
        <v>#DIV/0!</v>
      </c>
      <c r="AT516" s="1040" t="e">
        <f>IF($F116="","",$F116*chronic_consumption!AO516/1000/$C$3)</f>
        <v>#DIV/0!</v>
      </c>
      <c r="AU516" s="1040" t="e">
        <f>IF($F116="","",$F116*chronic_consumption!AP516/1000/$C$3)</f>
        <v>#DIV/0!</v>
      </c>
      <c r="AV516" s="1040" t="e">
        <f>IF($F116="","",$F116*chronic_consumption!AQ516/1000/$C$3)</f>
        <v>#DIV/0!</v>
      </c>
      <c r="AW516" s="1040" t="e">
        <f>IF($F116="","",$F116*chronic_consumption!AR516/1000/$C$3)</f>
        <v>#DIV/0!</v>
      </c>
      <c r="AX516" s="1040" t="e">
        <f>IF($F116="","",$F116*chronic_consumption!AS516/1000/$C$3)</f>
        <v>#DIV/0!</v>
      </c>
      <c r="AY516" s="1040" t="e">
        <f>IF($F116="","",$F116*chronic_consumption!AT516/1000/$C$3)</f>
        <v>#DIV/0!</v>
      </c>
      <c r="AZ516" s="44" t="s">
        <v>20</v>
      </c>
      <c r="BC516" s="29"/>
      <c r="BD516" s="29"/>
    </row>
    <row r="517" spans="1:56" ht="12" customHeight="1" outlineLevel="3" x14ac:dyDescent="0.2">
      <c r="A517" s="21">
        <f>acute_overview_children!A117</f>
        <v>4</v>
      </c>
      <c r="B517" s="325">
        <f t="shared" si="41"/>
        <v>213110</v>
      </c>
      <c r="C517" s="325" t="str">
        <f t="shared" si="41"/>
        <v>Turnips</v>
      </c>
      <c r="D517" s="135"/>
      <c r="E517" s="1027"/>
      <c r="F517" s="87"/>
      <c r="G517" s="1027"/>
      <c r="H517" s="1029"/>
      <c r="I517" s="1030"/>
      <c r="J517" s="1039" t="e">
        <f>IF($F117="","",$F117*chronic_consumption!E517/1000/$C$3)</f>
        <v>#DIV/0!</v>
      </c>
      <c r="K517" s="1040" t="e">
        <f>IF($F117="","",$F117*chronic_consumption!F517/1000/$C$3)</f>
        <v>#DIV/0!</v>
      </c>
      <c r="L517" s="1040" t="e">
        <f>IF($F117="","",$F117*chronic_consumption!G517/1000/$C$3)</f>
        <v>#DIV/0!</v>
      </c>
      <c r="M517" s="1040" t="e">
        <f>IF($F117="","",$F117*chronic_consumption!H517/1000/$C$3)</f>
        <v>#DIV/0!</v>
      </c>
      <c r="N517" s="1040" t="e">
        <f>IF($F117="","",$F117*chronic_consumption!I517/1000/$C$3)</f>
        <v>#DIV/0!</v>
      </c>
      <c r="O517" s="1040" t="e">
        <f>IF($F117="","",$F117*chronic_consumption!J517/1000/$C$3)</f>
        <v>#DIV/0!</v>
      </c>
      <c r="P517" s="1040" t="e">
        <f>IF($F117="","",$F117*chronic_consumption!K517/1000/$C$3)</f>
        <v>#DIV/0!</v>
      </c>
      <c r="Q517" s="1040" t="e">
        <f>IF($F117="","",$F117*chronic_consumption!L517/1000/$C$3)</f>
        <v>#DIV/0!</v>
      </c>
      <c r="R517" s="1040" t="e">
        <f>IF($F117="","",$F117*chronic_consumption!M517/1000/$C$3)</f>
        <v>#DIV/0!</v>
      </c>
      <c r="S517" s="1040" t="e">
        <f>IF($F117="","",$F117*chronic_consumption!N517/1000/$C$3)</f>
        <v>#DIV/0!</v>
      </c>
      <c r="T517" s="1040" t="e">
        <f>IF($F117="","",$F117*chronic_consumption!O517/1000/$C$3)</f>
        <v>#DIV/0!</v>
      </c>
      <c r="U517" s="1040" t="e">
        <f>IF($F117="","",$F117*chronic_consumption!P517/1000/$C$3)</f>
        <v>#DIV/0!</v>
      </c>
      <c r="V517" s="1040" t="e">
        <f>IF($F117="","",$F117*chronic_consumption!Q517/1000/$C$3)</f>
        <v>#DIV/0!</v>
      </c>
      <c r="W517" s="1040" t="e">
        <f>IF($F117="","",$F117*chronic_consumption!R517/1000/$C$3)</f>
        <v>#DIV/0!</v>
      </c>
      <c r="X517" s="1040" t="e">
        <f>IF($F117="","",$F117*chronic_consumption!S517/1000/$C$3)</f>
        <v>#DIV/0!</v>
      </c>
      <c r="Y517" s="1040" t="e">
        <f>IF($F117="","",$F117*chronic_consumption!T517/1000/$C$3)</f>
        <v>#DIV/0!</v>
      </c>
      <c r="Z517" s="1040" t="e">
        <f>IF($F117="","",$F117*chronic_consumption!U517/1000/$C$3)</f>
        <v>#DIV/0!</v>
      </c>
      <c r="AA517" s="1040" t="e">
        <f>IF($F117="","",$F117*chronic_consumption!V517/1000/$C$3)</f>
        <v>#DIV/0!</v>
      </c>
      <c r="AB517" s="1040" t="e">
        <f>IF($F117="","",$F117*chronic_consumption!W517/1000/$C$3)</f>
        <v>#DIV/0!</v>
      </c>
      <c r="AC517" s="1040" t="e">
        <f>IF($F117="","",$F117*chronic_consumption!X517/1000/$C$3)</f>
        <v>#DIV/0!</v>
      </c>
      <c r="AD517" s="1040" t="e">
        <f>IF($F117="","",$F117*chronic_consumption!Y517/1000/$C$3)</f>
        <v>#DIV/0!</v>
      </c>
      <c r="AE517" s="1040" t="e">
        <f>IF($F117="","",$F117*chronic_consumption!Z517/1000/$C$3)</f>
        <v>#DIV/0!</v>
      </c>
      <c r="AF517" s="1040" t="e">
        <f>IF($F117="","",$F117*chronic_consumption!AA517/1000/$C$3)</f>
        <v>#DIV/0!</v>
      </c>
      <c r="AG517" s="1040" t="e">
        <f>IF($F117="","",$F117*chronic_consumption!AB517/1000/$C$3)</f>
        <v>#DIV/0!</v>
      </c>
      <c r="AH517" s="1040" t="e">
        <f>IF($F117="","",$F117*chronic_consumption!AC517/1000/$C$3)</f>
        <v>#DIV/0!</v>
      </c>
      <c r="AI517" s="1040" t="e">
        <f>IF($F117="","",$F117*chronic_consumption!AD517/1000/$C$3)</f>
        <v>#DIV/0!</v>
      </c>
      <c r="AJ517" s="1040" t="e">
        <f>IF($F117="","",$F117*chronic_consumption!AE517/1000/$C$3)</f>
        <v>#DIV/0!</v>
      </c>
      <c r="AK517" s="1040" t="e">
        <f>IF($F117="","",$F117*chronic_consumption!AF517/1000/$C$3)</f>
        <v>#DIV/0!</v>
      </c>
      <c r="AL517" s="1040" t="e">
        <f>IF($F117="","",$F117*chronic_consumption!AG517/1000/$C$3)</f>
        <v>#DIV/0!</v>
      </c>
      <c r="AM517" s="1040" t="e">
        <f>IF($F117="","",$F117*chronic_consumption!AH517/1000/$C$3)</f>
        <v>#DIV/0!</v>
      </c>
      <c r="AN517" s="1040" t="e">
        <f>IF($F117="","",$F117*chronic_consumption!AI517/1000/$C$3)</f>
        <v>#DIV/0!</v>
      </c>
      <c r="AO517" s="1040" t="e">
        <f>IF($F117="","",$F117*chronic_consumption!AJ517/1000/$C$3)</f>
        <v>#DIV/0!</v>
      </c>
      <c r="AP517" s="1040" t="e">
        <f>IF($F117="","",$F117*chronic_consumption!AK517/1000/$C$3)</f>
        <v>#DIV/0!</v>
      </c>
      <c r="AQ517" s="1040" t="e">
        <f>IF($F117="","",$F117*chronic_consumption!AL517/1000/$C$3)</f>
        <v>#DIV/0!</v>
      </c>
      <c r="AR517" s="1040" t="e">
        <f>IF($F117="","",$F117*chronic_consumption!AM517/1000/$C$3)</f>
        <v>#DIV/0!</v>
      </c>
      <c r="AS517" s="1040" t="e">
        <f>IF($F117="","",$F117*chronic_consumption!AN517/1000/$C$3)</f>
        <v>#DIV/0!</v>
      </c>
      <c r="AT517" s="1040" t="e">
        <f>IF($F117="","",$F117*chronic_consumption!AO517/1000/$C$3)</f>
        <v>#DIV/0!</v>
      </c>
      <c r="AU517" s="1040" t="e">
        <f>IF($F117="","",$F117*chronic_consumption!AP517/1000/$C$3)</f>
        <v>#DIV/0!</v>
      </c>
      <c r="AV517" s="1040" t="e">
        <f>IF($F117="","",$F117*chronic_consumption!AQ517/1000/$C$3)</f>
        <v>#DIV/0!</v>
      </c>
      <c r="AW517" s="1040" t="e">
        <f>IF($F117="","",$F117*chronic_consumption!AR517/1000/$C$3)</f>
        <v>#DIV/0!</v>
      </c>
      <c r="AX517" s="1040" t="e">
        <f>IF($F117="","",$F117*chronic_consumption!AS517/1000/$C$3)</f>
        <v>#DIV/0!</v>
      </c>
      <c r="AY517" s="1040" t="e">
        <f>IF($F117="","",$F117*chronic_consumption!AT517/1000/$C$3)</f>
        <v>#DIV/0!</v>
      </c>
      <c r="AZ517" s="44" t="s">
        <v>20</v>
      </c>
      <c r="BC517" s="29"/>
      <c r="BD517" s="29"/>
    </row>
    <row r="518" spans="1:56" ht="12" customHeight="1" outlineLevel="3" x14ac:dyDescent="0.2">
      <c r="A518" s="21">
        <f>acute_overview_children!A118</f>
        <v>4</v>
      </c>
      <c r="B518" s="325">
        <f t="shared" si="41"/>
        <v>213990</v>
      </c>
      <c r="C518" s="325" t="str">
        <f t="shared" si="41"/>
        <v xml:space="preserve">Other other root and tuber vegetables </v>
      </c>
      <c r="D518" s="135"/>
      <c r="E518" s="1027"/>
      <c r="F518" s="87"/>
      <c r="G518" s="1027"/>
      <c r="H518" s="1029"/>
      <c r="I518" s="1030"/>
      <c r="J518" s="1039" t="e">
        <f>IF($F118="","",$F118*chronic_consumption!E518/1000/$C$3)</f>
        <v>#DIV/0!</v>
      </c>
      <c r="K518" s="1040" t="e">
        <f>IF($F118="","",$F118*chronic_consumption!F518/1000/$C$3)</f>
        <v>#DIV/0!</v>
      </c>
      <c r="L518" s="1040" t="e">
        <f>IF($F118="","",$F118*chronic_consumption!G518/1000/$C$3)</f>
        <v>#DIV/0!</v>
      </c>
      <c r="M518" s="1040" t="e">
        <f>IF($F118="","",$F118*chronic_consumption!H518/1000/$C$3)</f>
        <v>#DIV/0!</v>
      </c>
      <c r="N518" s="1040" t="e">
        <f>IF($F118="","",$F118*chronic_consumption!I518/1000/$C$3)</f>
        <v>#DIV/0!</v>
      </c>
      <c r="O518" s="1040" t="e">
        <f>IF($F118="","",$F118*chronic_consumption!J518/1000/$C$3)</f>
        <v>#DIV/0!</v>
      </c>
      <c r="P518" s="1040" t="e">
        <f>IF($F118="","",$F118*chronic_consumption!K518/1000/$C$3)</f>
        <v>#DIV/0!</v>
      </c>
      <c r="Q518" s="1040" t="e">
        <f>IF($F118="","",$F118*chronic_consumption!L518/1000/$C$3)</f>
        <v>#DIV/0!</v>
      </c>
      <c r="R518" s="1040" t="e">
        <f>IF($F118="","",$F118*chronic_consumption!M518/1000/$C$3)</f>
        <v>#DIV/0!</v>
      </c>
      <c r="S518" s="1040" t="e">
        <f>IF($F118="","",$F118*chronic_consumption!N518/1000/$C$3)</f>
        <v>#DIV/0!</v>
      </c>
      <c r="T518" s="1040" t="e">
        <f>IF($F118="","",$F118*chronic_consumption!O518/1000/$C$3)</f>
        <v>#DIV/0!</v>
      </c>
      <c r="U518" s="1040" t="e">
        <f>IF($F118="","",$F118*chronic_consumption!P518/1000/$C$3)</f>
        <v>#DIV/0!</v>
      </c>
      <c r="V518" s="1040" t="e">
        <f>IF($F118="","",$F118*chronic_consumption!Q518/1000/$C$3)</f>
        <v>#DIV/0!</v>
      </c>
      <c r="W518" s="1040" t="e">
        <f>IF($F118="","",$F118*chronic_consumption!R518/1000/$C$3)</f>
        <v>#DIV/0!</v>
      </c>
      <c r="X518" s="1040" t="e">
        <f>IF($F118="","",$F118*chronic_consumption!S518/1000/$C$3)</f>
        <v>#DIV/0!</v>
      </c>
      <c r="Y518" s="1040" t="e">
        <f>IF($F118="","",$F118*chronic_consumption!T518/1000/$C$3)</f>
        <v>#DIV/0!</v>
      </c>
      <c r="Z518" s="1040" t="e">
        <f>IF($F118="","",$F118*chronic_consumption!U518/1000/$C$3)</f>
        <v>#DIV/0!</v>
      </c>
      <c r="AA518" s="1040" t="e">
        <f>IF($F118="","",$F118*chronic_consumption!V518/1000/$C$3)</f>
        <v>#DIV/0!</v>
      </c>
      <c r="AB518" s="1040" t="e">
        <f>IF($F118="","",$F118*chronic_consumption!W518/1000/$C$3)</f>
        <v>#DIV/0!</v>
      </c>
      <c r="AC518" s="1040" t="e">
        <f>IF($F118="","",$F118*chronic_consumption!X518/1000/$C$3)</f>
        <v>#DIV/0!</v>
      </c>
      <c r="AD518" s="1040" t="e">
        <f>IF($F118="","",$F118*chronic_consumption!Y518/1000/$C$3)</f>
        <v>#DIV/0!</v>
      </c>
      <c r="AE518" s="1040" t="e">
        <f>IF($F118="","",$F118*chronic_consumption!Z518/1000/$C$3)</f>
        <v>#DIV/0!</v>
      </c>
      <c r="AF518" s="1040" t="e">
        <f>IF($F118="","",$F118*chronic_consumption!AA518/1000/$C$3)</f>
        <v>#DIV/0!</v>
      </c>
      <c r="AG518" s="1040" t="e">
        <f>IF($F118="","",$F118*chronic_consumption!AB518/1000/$C$3)</f>
        <v>#DIV/0!</v>
      </c>
      <c r="AH518" s="1040" t="e">
        <f>IF($F118="","",$F118*chronic_consumption!AC518/1000/$C$3)</f>
        <v>#DIV/0!</v>
      </c>
      <c r="AI518" s="1040" t="e">
        <f>IF($F118="","",$F118*chronic_consumption!AD518/1000/$C$3)</f>
        <v>#DIV/0!</v>
      </c>
      <c r="AJ518" s="1040" t="e">
        <f>IF($F118="","",$F118*chronic_consumption!AE518/1000/$C$3)</f>
        <v>#DIV/0!</v>
      </c>
      <c r="AK518" s="1040" t="e">
        <f>IF($F118="","",$F118*chronic_consumption!AF518/1000/$C$3)</f>
        <v>#DIV/0!</v>
      </c>
      <c r="AL518" s="1040" t="e">
        <f>IF($F118="","",$F118*chronic_consumption!AG518/1000/$C$3)</f>
        <v>#DIV/0!</v>
      </c>
      <c r="AM518" s="1040" t="e">
        <f>IF($F118="","",$F118*chronic_consumption!AH518/1000/$C$3)</f>
        <v>#DIV/0!</v>
      </c>
      <c r="AN518" s="1040" t="e">
        <f>IF($F118="","",$F118*chronic_consumption!AI518/1000/$C$3)</f>
        <v>#DIV/0!</v>
      </c>
      <c r="AO518" s="1040" t="e">
        <f>IF($F118="","",$F118*chronic_consumption!AJ518/1000/$C$3)</f>
        <v>#DIV/0!</v>
      </c>
      <c r="AP518" s="1040" t="e">
        <f>IF($F118="","",$F118*chronic_consumption!AK518/1000/$C$3)</f>
        <v>#DIV/0!</v>
      </c>
      <c r="AQ518" s="1040" t="e">
        <f>IF($F118="","",$F118*chronic_consumption!AL518/1000/$C$3)</f>
        <v>#DIV/0!</v>
      </c>
      <c r="AR518" s="1040" t="e">
        <f>IF($F118="","",$F118*chronic_consumption!AM518/1000/$C$3)</f>
        <v>#DIV/0!</v>
      </c>
      <c r="AS518" s="1040" t="e">
        <f>IF($F118="","",$F118*chronic_consumption!AN518/1000/$C$3)</f>
        <v>#DIV/0!</v>
      </c>
      <c r="AT518" s="1040" t="e">
        <f>IF($F118="","",$F118*chronic_consumption!AO518/1000/$C$3)</f>
        <v>#DIV/0!</v>
      </c>
      <c r="AU518" s="1040" t="e">
        <f>IF($F118="","",$F118*chronic_consumption!AP518/1000/$C$3)</f>
        <v>#DIV/0!</v>
      </c>
      <c r="AV518" s="1040" t="e">
        <f>IF($F118="","",$F118*chronic_consumption!AQ518/1000/$C$3)</f>
        <v>#DIV/0!</v>
      </c>
      <c r="AW518" s="1040" t="e">
        <f>IF($F118="","",$F118*chronic_consumption!AR518/1000/$C$3)</f>
        <v>#DIV/0!</v>
      </c>
      <c r="AX518" s="1040" t="e">
        <f>IF($F118="","",$F118*chronic_consumption!AS518/1000/$C$3)</f>
        <v>#DIV/0!</v>
      </c>
      <c r="AY518" s="1040" t="e">
        <f>IF($F118="","",$F118*chronic_consumption!AT518/1000/$C$3)</f>
        <v>#DIV/0!</v>
      </c>
      <c r="AZ518" s="44" t="s">
        <v>20</v>
      </c>
      <c r="BC518" s="29"/>
      <c r="BD518" s="29"/>
    </row>
    <row r="519" spans="1:56" ht="12" customHeight="1" outlineLevel="1" x14ac:dyDescent="0.2">
      <c r="A519" s="1033">
        <f>acute_overview_children!A119</f>
        <v>2</v>
      </c>
      <c r="B519" s="1034">
        <f t="shared" si="41"/>
        <v>220000</v>
      </c>
      <c r="C519" s="1034" t="str">
        <f t="shared" si="41"/>
        <v>Bulb vegetables</v>
      </c>
      <c r="D519" s="1035"/>
      <c r="E519" s="1027"/>
      <c r="F519" s="87"/>
      <c r="G519" s="1027"/>
      <c r="H519" s="1029"/>
      <c r="I519" s="1030"/>
      <c r="J519" s="1037" t="e">
        <f>IF($F119="","",$F119*chronic_consumption!E519/1000/$C$3)</f>
        <v>#DIV/0!</v>
      </c>
      <c r="K519" s="1038" t="e">
        <f>IF($F119="","",$F119*chronic_consumption!F519/1000/$C$3)</f>
        <v>#DIV/0!</v>
      </c>
      <c r="L519" s="1038" t="e">
        <f>IF($F119="","",$F119*chronic_consumption!G519/1000/$C$3)</f>
        <v>#DIV/0!</v>
      </c>
      <c r="M519" s="1038" t="e">
        <f>IF($F119="","",$F119*chronic_consumption!H519/1000/$C$3)</f>
        <v>#DIV/0!</v>
      </c>
      <c r="N519" s="1038" t="e">
        <f>IF($F119="","",$F119*chronic_consumption!I519/1000/$C$3)</f>
        <v>#DIV/0!</v>
      </c>
      <c r="O519" s="1038" t="e">
        <f>IF($F119="","",$F119*chronic_consumption!J519/1000/$C$3)</f>
        <v>#DIV/0!</v>
      </c>
      <c r="P519" s="1038" t="e">
        <f>IF($F119="","",$F119*chronic_consumption!K519/1000/$C$3)</f>
        <v>#DIV/0!</v>
      </c>
      <c r="Q519" s="1038" t="e">
        <f>IF($F119="","",$F119*chronic_consumption!L519/1000/$C$3)</f>
        <v>#DIV/0!</v>
      </c>
      <c r="R519" s="1038" t="e">
        <f>IF($F119="","",$F119*chronic_consumption!M519/1000/$C$3)</f>
        <v>#DIV/0!</v>
      </c>
      <c r="S519" s="1038" t="e">
        <f>IF($F119="","",$F119*chronic_consumption!N519/1000/$C$3)</f>
        <v>#DIV/0!</v>
      </c>
      <c r="T519" s="1038" t="e">
        <f>IF($F119="","",$F119*chronic_consumption!O519/1000/$C$3)</f>
        <v>#DIV/0!</v>
      </c>
      <c r="U519" s="1038" t="e">
        <f>IF($F119="","",$F119*chronic_consumption!P519/1000/$C$3)</f>
        <v>#DIV/0!</v>
      </c>
      <c r="V519" s="1038" t="e">
        <f>IF($F119="","",$F119*chronic_consumption!Q519/1000/$C$3)</f>
        <v>#DIV/0!</v>
      </c>
      <c r="W519" s="1038" t="e">
        <f>IF($F119="","",$F119*chronic_consumption!R519/1000/$C$3)</f>
        <v>#DIV/0!</v>
      </c>
      <c r="X519" s="1038" t="e">
        <f>IF($F119="","",$F119*chronic_consumption!S519/1000/$C$3)</f>
        <v>#DIV/0!</v>
      </c>
      <c r="Y519" s="1038" t="e">
        <f>IF($F119="","",$F119*chronic_consumption!T519/1000/$C$3)</f>
        <v>#DIV/0!</v>
      </c>
      <c r="Z519" s="1038" t="e">
        <f>IF($F119="","",$F119*chronic_consumption!U519/1000/$C$3)</f>
        <v>#DIV/0!</v>
      </c>
      <c r="AA519" s="1038" t="e">
        <f>IF($F119="","",$F119*chronic_consumption!V519/1000/$C$3)</f>
        <v>#DIV/0!</v>
      </c>
      <c r="AB519" s="1038" t="e">
        <f>IF($F119="","",$F119*chronic_consumption!W519/1000/$C$3)</f>
        <v>#DIV/0!</v>
      </c>
      <c r="AC519" s="1038" t="e">
        <f>IF($F119="","",$F119*chronic_consumption!X519/1000/$C$3)</f>
        <v>#DIV/0!</v>
      </c>
      <c r="AD519" s="1038" t="e">
        <f>IF($F119="","",$F119*chronic_consumption!Y519/1000/$C$3)</f>
        <v>#DIV/0!</v>
      </c>
      <c r="AE519" s="1038" t="e">
        <f>IF($F119="","",$F119*chronic_consumption!Z519/1000/$C$3)</f>
        <v>#DIV/0!</v>
      </c>
      <c r="AF519" s="1038" t="e">
        <f>IF($F119="","",$F119*chronic_consumption!AA519/1000/$C$3)</f>
        <v>#DIV/0!</v>
      </c>
      <c r="AG519" s="1038" t="e">
        <f>IF($F119="","",$F119*chronic_consumption!AB519/1000/$C$3)</f>
        <v>#DIV/0!</v>
      </c>
      <c r="AH519" s="1038" t="e">
        <f>IF($F119="","",$F119*chronic_consumption!AC519/1000/$C$3)</f>
        <v>#DIV/0!</v>
      </c>
      <c r="AI519" s="1038" t="e">
        <f>IF($F119="","",$F119*chronic_consumption!AD519/1000/$C$3)</f>
        <v>#DIV/0!</v>
      </c>
      <c r="AJ519" s="1038" t="e">
        <f>IF($F119="","",$F119*chronic_consumption!AE519/1000/$C$3)</f>
        <v>#DIV/0!</v>
      </c>
      <c r="AK519" s="1038" t="e">
        <f>IF($F119="","",$F119*chronic_consumption!AF519/1000/$C$3)</f>
        <v>#DIV/0!</v>
      </c>
      <c r="AL519" s="1038" t="e">
        <f>IF($F119="","",$F119*chronic_consumption!AG519/1000/$C$3)</f>
        <v>#DIV/0!</v>
      </c>
      <c r="AM519" s="1038" t="e">
        <f>IF($F119="","",$F119*chronic_consumption!AH519/1000/$C$3)</f>
        <v>#DIV/0!</v>
      </c>
      <c r="AN519" s="1038" t="e">
        <f>IF($F119="","",$F119*chronic_consumption!AI519/1000/$C$3)</f>
        <v>#DIV/0!</v>
      </c>
      <c r="AO519" s="1038" t="e">
        <f>IF($F119="","",$F119*chronic_consumption!AJ519/1000/$C$3)</f>
        <v>#DIV/0!</v>
      </c>
      <c r="AP519" s="1038" t="e">
        <f>IF($F119="","",$F119*chronic_consumption!AK519/1000/$C$3)</f>
        <v>#DIV/0!</v>
      </c>
      <c r="AQ519" s="1038" t="e">
        <f>IF($F119="","",$F119*chronic_consumption!AL519/1000/$C$3)</f>
        <v>#DIV/0!</v>
      </c>
      <c r="AR519" s="1038" t="e">
        <f>IF($F119="","",$F119*chronic_consumption!AM519/1000/$C$3)</f>
        <v>#DIV/0!</v>
      </c>
      <c r="AS519" s="1038" t="e">
        <f>IF($F119="","",$F119*chronic_consumption!AN519/1000/$C$3)</f>
        <v>#DIV/0!</v>
      </c>
      <c r="AT519" s="1038" t="e">
        <f>IF($F119="","",$F119*chronic_consumption!AO519/1000/$C$3)</f>
        <v>#DIV/0!</v>
      </c>
      <c r="AU519" s="1038" t="e">
        <f>IF($F119="","",$F119*chronic_consumption!AP519/1000/$C$3)</f>
        <v>#DIV/0!</v>
      </c>
      <c r="AV519" s="1038" t="e">
        <f>IF($F119="","",$F119*chronic_consumption!AQ519/1000/$C$3)</f>
        <v>#DIV/0!</v>
      </c>
      <c r="AW519" s="1038" t="e">
        <f>IF($F119="","",$F119*chronic_consumption!AR519/1000/$C$3)</f>
        <v>#DIV/0!</v>
      </c>
      <c r="AX519" s="1038" t="e">
        <f>IF($F119="","",$F119*chronic_consumption!AS519/1000/$C$3)</f>
        <v>#DIV/0!</v>
      </c>
      <c r="AY519" s="1038" t="e">
        <f>IF($F119="","",$F119*chronic_consumption!AT519/1000/$C$3)</f>
        <v>#DIV/0!</v>
      </c>
      <c r="AZ519" s="44" t="s">
        <v>20</v>
      </c>
      <c r="BC519" s="29"/>
      <c r="BD519" s="29"/>
    </row>
    <row r="520" spans="1:56" ht="12" customHeight="1" outlineLevel="3" x14ac:dyDescent="0.2">
      <c r="A520" s="21">
        <f>acute_overview_children!A120</f>
        <v>4</v>
      </c>
      <c r="B520" s="325">
        <f t="shared" si="41"/>
        <v>220010</v>
      </c>
      <c r="C520" s="325" t="str">
        <f t="shared" si="41"/>
        <v>Garlic</v>
      </c>
      <c r="D520" s="135"/>
      <c r="E520" s="1027"/>
      <c r="F520" s="87"/>
      <c r="G520" s="1027"/>
      <c r="H520" s="1029"/>
      <c r="I520" s="1030"/>
      <c r="J520" s="1039" t="e">
        <f>IF($F120="","",$F120*chronic_consumption!E520/1000/$C$3)</f>
        <v>#DIV/0!</v>
      </c>
      <c r="K520" s="1040" t="e">
        <f>IF($F120="","",$F120*chronic_consumption!F520/1000/$C$3)</f>
        <v>#DIV/0!</v>
      </c>
      <c r="L520" s="1040" t="e">
        <f>IF($F120="","",$F120*chronic_consumption!G520/1000/$C$3)</f>
        <v>#DIV/0!</v>
      </c>
      <c r="M520" s="1040" t="e">
        <f>IF($F120="","",$F120*chronic_consumption!H520/1000/$C$3)</f>
        <v>#DIV/0!</v>
      </c>
      <c r="N520" s="1040" t="e">
        <f>IF($F120="","",$F120*chronic_consumption!I520/1000/$C$3)</f>
        <v>#DIV/0!</v>
      </c>
      <c r="O520" s="1040" t="e">
        <f>IF($F120="","",$F120*chronic_consumption!J520/1000/$C$3)</f>
        <v>#DIV/0!</v>
      </c>
      <c r="P520" s="1040" t="e">
        <f>IF($F120="","",$F120*chronic_consumption!K520/1000/$C$3)</f>
        <v>#DIV/0!</v>
      </c>
      <c r="Q520" s="1040" t="e">
        <f>IF($F120="","",$F120*chronic_consumption!L520/1000/$C$3)</f>
        <v>#DIV/0!</v>
      </c>
      <c r="R520" s="1040" t="e">
        <f>IF($F120="","",$F120*chronic_consumption!M520/1000/$C$3)</f>
        <v>#DIV/0!</v>
      </c>
      <c r="S520" s="1040" t="e">
        <f>IF($F120="","",$F120*chronic_consumption!N520/1000/$C$3)</f>
        <v>#DIV/0!</v>
      </c>
      <c r="T520" s="1040" t="e">
        <f>IF($F120="","",$F120*chronic_consumption!O520/1000/$C$3)</f>
        <v>#DIV/0!</v>
      </c>
      <c r="U520" s="1040" t="e">
        <f>IF($F120="","",$F120*chronic_consumption!P520/1000/$C$3)</f>
        <v>#DIV/0!</v>
      </c>
      <c r="V520" s="1040" t="e">
        <f>IF($F120="","",$F120*chronic_consumption!Q520/1000/$C$3)</f>
        <v>#DIV/0!</v>
      </c>
      <c r="W520" s="1040" t="e">
        <f>IF($F120="","",$F120*chronic_consumption!R520/1000/$C$3)</f>
        <v>#DIV/0!</v>
      </c>
      <c r="X520" s="1040" t="e">
        <f>IF($F120="","",$F120*chronic_consumption!S520/1000/$C$3)</f>
        <v>#DIV/0!</v>
      </c>
      <c r="Y520" s="1040" t="e">
        <f>IF($F120="","",$F120*chronic_consumption!T520/1000/$C$3)</f>
        <v>#DIV/0!</v>
      </c>
      <c r="Z520" s="1040" t="e">
        <f>IF($F120="","",$F120*chronic_consumption!U520/1000/$C$3)</f>
        <v>#DIV/0!</v>
      </c>
      <c r="AA520" s="1040" t="e">
        <f>IF($F120="","",$F120*chronic_consumption!V520/1000/$C$3)</f>
        <v>#DIV/0!</v>
      </c>
      <c r="AB520" s="1040" t="e">
        <f>IF($F120="","",$F120*chronic_consumption!W520/1000/$C$3)</f>
        <v>#DIV/0!</v>
      </c>
      <c r="AC520" s="1040" t="e">
        <f>IF($F120="","",$F120*chronic_consumption!X520/1000/$C$3)</f>
        <v>#DIV/0!</v>
      </c>
      <c r="AD520" s="1040" t="e">
        <f>IF($F120="","",$F120*chronic_consumption!Y520/1000/$C$3)</f>
        <v>#DIV/0!</v>
      </c>
      <c r="AE520" s="1040" t="e">
        <f>IF($F120="","",$F120*chronic_consumption!Z520/1000/$C$3)</f>
        <v>#DIV/0!</v>
      </c>
      <c r="AF520" s="1040" t="e">
        <f>IF($F120="","",$F120*chronic_consumption!AA520/1000/$C$3)</f>
        <v>#DIV/0!</v>
      </c>
      <c r="AG520" s="1040" t="e">
        <f>IF($F120="","",$F120*chronic_consumption!AB520/1000/$C$3)</f>
        <v>#DIV/0!</v>
      </c>
      <c r="AH520" s="1040" t="e">
        <f>IF($F120="","",$F120*chronic_consumption!AC520/1000/$C$3)</f>
        <v>#DIV/0!</v>
      </c>
      <c r="AI520" s="1040" t="e">
        <f>IF($F120="","",$F120*chronic_consumption!AD520/1000/$C$3)</f>
        <v>#DIV/0!</v>
      </c>
      <c r="AJ520" s="1040" t="e">
        <f>IF($F120="","",$F120*chronic_consumption!AE520/1000/$C$3)</f>
        <v>#DIV/0!</v>
      </c>
      <c r="AK520" s="1040" t="e">
        <f>IF($F120="","",$F120*chronic_consumption!AF520/1000/$C$3)</f>
        <v>#DIV/0!</v>
      </c>
      <c r="AL520" s="1040" t="e">
        <f>IF($F120="","",$F120*chronic_consumption!AG520/1000/$C$3)</f>
        <v>#DIV/0!</v>
      </c>
      <c r="AM520" s="1040" t="e">
        <f>IF($F120="","",$F120*chronic_consumption!AH520/1000/$C$3)</f>
        <v>#DIV/0!</v>
      </c>
      <c r="AN520" s="1040" t="e">
        <f>IF($F120="","",$F120*chronic_consumption!AI520/1000/$C$3)</f>
        <v>#DIV/0!</v>
      </c>
      <c r="AO520" s="1040" t="e">
        <f>IF($F120="","",$F120*chronic_consumption!AJ520/1000/$C$3)</f>
        <v>#DIV/0!</v>
      </c>
      <c r="AP520" s="1040" t="e">
        <f>IF($F120="","",$F120*chronic_consumption!AK520/1000/$C$3)</f>
        <v>#DIV/0!</v>
      </c>
      <c r="AQ520" s="1040" t="e">
        <f>IF($F120="","",$F120*chronic_consumption!AL520/1000/$C$3)</f>
        <v>#DIV/0!</v>
      </c>
      <c r="AR520" s="1040" t="e">
        <f>IF($F120="","",$F120*chronic_consumption!AM520/1000/$C$3)</f>
        <v>#DIV/0!</v>
      </c>
      <c r="AS520" s="1040" t="e">
        <f>IF($F120="","",$F120*chronic_consumption!AN520/1000/$C$3)</f>
        <v>#DIV/0!</v>
      </c>
      <c r="AT520" s="1040" t="e">
        <f>IF($F120="","",$F120*chronic_consumption!AO520/1000/$C$3)</f>
        <v>#DIV/0!</v>
      </c>
      <c r="AU520" s="1040" t="e">
        <f>IF($F120="","",$F120*chronic_consumption!AP520/1000/$C$3)</f>
        <v>#DIV/0!</v>
      </c>
      <c r="AV520" s="1040" t="e">
        <f>IF($F120="","",$F120*chronic_consumption!AQ520/1000/$C$3)</f>
        <v>#DIV/0!</v>
      </c>
      <c r="AW520" s="1040" t="e">
        <f>IF($F120="","",$F120*chronic_consumption!AR520/1000/$C$3)</f>
        <v>#DIV/0!</v>
      </c>
      <c r="AX520" s="1040" t="e">
        <f>IF($F120="","",$F120*chronic_consumption!AS520/1000/$C$3)</f>
        <v>#DIV/0!</v>
      </c>
      <c r="AY520" s="1040" t="e">
        <f>IF($F120="","",$F120*chronic_consumption!AT520/1000/$C$3)</f>
        <v>#DIV/0!</v>
      </c>
      <c r="AZ520" s="44" t="s">
        <v>20</v>
      </c>
      <c r="BC520" s="29"/>
      <c r="BD520" s="29"/>
    </row>
    <row r="521" spans="1:56" ht="12" customHeight="1" outlineLevel="3" x14ac:dyDescent="0.2">
      <c r="A521" s="21">
        <f>acute_overview_children!A121</f>
        <v>4</v>
      </c>
      <c r="B521" s="325">
        <f t="shared" si="41"/>
        <v>220020</v>
      </c>
      <c r="C521" s="325" t="str">
        <f t="shared" si="41"/>
        <v>Onions</v>
      </c>
      <c r="D521" s="135"/>
      <c r="E521" s="1027"/>
      <c r="F521" s="87"/>
      <c r="G521" s="1027"/>
      <c r="H521" s="1029"/>
      <c r="I521" s="1030"/>
      <c r="J521" s="1039" t="e">
        <f>IF($F121="","",$F121*chronic_consumption!E521/1000/$C$3)</f>
        <v>#DIV/0!</v>
      </c>
      <c r="K521" s="1040" t="e">
        <f>IF($F121="","",$F121*chronic_consumption!F521/1000/$C$3)</f>
        <v>#DIV/0!</v>
      </c>
      <c r="L521" s="1040" t="e">
        <f>IF($F121="","",$F121*chronic_consumption!G521/1000/$C$3)</f>
        <v>#DIV/0!</v>
      </c>
      <c r="M521" s="1040" t="e">
        <f>IF($F121="","",$F121*chronic_consumption!H521/1000/$C$3)</f>
        <v>#DIV/0!</v>
      </c>
      <c r="N521" s="1040" t="e">
        <f>IF($F121="","",$F121*chronic_consumption!I521/1000/$C$3)</f>
        <v>#DIV/0!</v>
      </c>
      <c r="O521" s="1040" t="e">
        <f>IF($F121="","",$F121*chronic_consumption!J521/1000/$C$3)</f>
        <v>#DIV/0!</v>
      </c>
      <c r="P521" s="1040" t="e">
        <f>IF($F121="","",$F121*chronic_consumption!K521/1000/$C$3)</f>
        <v>#DIV/0!</v>
      </c>
      <c r="Q521" s="1040" t="e">
        <f>IF($F121="","",$F121*chronic_consumption!L521/1000/$C$3)</f>
        <v>#DIV/0!</v>
      </c>
      <c r="R521" s="1040" t="e">
        <f>IF($F121="","",$F121*chronic_consumption!M521/1000/$C$3)</f>
        <v>#DIV/0!</v>
      </c>
      <c r="S521" s="1040" t="e">
        <f>IF($F121="","",$F121*chronic_consumption!N521/1000/$C$3)</f>
        <v>#DIV/0!</v>
      </c>
      <c r="T521" s="1040" t="e">
        <f>IF($F121="","",$F121*chronic_consumption!O521/1000/$C$3)</f>
        <v>#DIV/0!</v>
      </c>
      <c r="U521" s="1040" t="e">
        <f>IF($F121="","",$F121*chronic_consumption!P521/1000/$C$3)</f>
        <v>#DIV/0!</v>
      </c>
      <c r="V521" s="1040" t="e">
        <f>IF($F121="","",$F121*chronic_consumption!Q521/1000/$C$3)</f>
        <v>#DIV/0!</v>
      </c>
      <c r="W521" s="1040" t="e">
        <f>IF($F121="","",$F121*chronic_consumption!R521/1000/$C$3)</f>
        <v>#DIV/0!</v>
      </c>
      <c r="X521" s="1040" t="e">
        <f>IF($F121="","",$F121*chronic_consumption!S521/1000/$C$3)</f>
        <v>#DIV/0!</v>
      </c>
      <c r="Y521" s="1040" t="e">
        <f>IF($F121="","",$F121*chronic_consumption!T521/1000/$C$3)</f>
        <v>#DIV/0!</v>
      </c>
      <c r="Z521" s="1040" t="e">
        <f>IF($F121="","",$F121*chronic_consumption!U521/1000/$C$3)</f>
        <v>#DIV/0!</v>
      </c>
      <c r="AA521" s="1040" t="e">
        <f>IF($F121="","",$F121*chronic_consumption!V521/1000/$C$3)</f>
        <v>#DIV/0!</v>
      </c>
      <c r="AB521" s="1040" t="e">
        <f>IF($F121="","",$F121*chronic_consumption!W521/1000/$C$3)</f>
        <v>#DIV/0!</v>
      </c>
      <c r="AC521" s="1040" t="e">
        <f>IF($F121="","",$F121*chronic_consumption!X521/1000/$C$3)</f>
        <v>#DIV/0!</v>
      </c>
      <c r="AD521" s="1040" t="e">
        <f>IF($F121="","",$F121*chronic_consumption!Y521/1000/$C$3)</f>
        <v>#DIV/0!</v>
      </c>
      <c r="AE521" s="1040" t="e">
        <f>IF($F121="","",$F121*chronic_consumption!Z521/1000/$C$3)</f>
        <v>#DIV/0!</v>
      </c>
      <c r="AF521" s="1040" t="e">
        <f>IF($F121="","",$F121*chronic_consumption!AA521/1000/$C$3)</f>
        <v>#DIV/0!</v>
      </c>
      <c r="AG521" s="1040" t="e">
        <f>IF($F121="","",$F121*chronic_consumption!AB521/1000/$C$3)</f>
        <v>#DIV/0!</v>
      </c>
      <c r="AH521" s="1040" t="e">
        <f>IF($F121="","",$F121*chronic_consumption!AC521/1000/$C$3)</f>
        <v>#DIV/0!</v>
      </c>
      <c r="AI521" s="1040" t="e">
        <f>IF($F121="","",$F121*chronic_consumption!AD521/1000/$C$3)</f>
        <v>#DIV/0!</v>
      </c>
      <c r="AJ521" s="1040" t="e">
        <f>IF($F121="","",$F121*chronic_consumption!AE521/1000/$C$3)</f>
        <v>#DIV/0!</v>
      </c>
      <c r="AK521" s="1040" t="e">
        <f>IF($F121="","",$F121*chronic_consumption!AF521/1000/$C$3)</f>
        <v>#DIV/0!</v>
      </c>
      <c r="AL521" s="1040" t="e">
        <f>IF($F121="","",$F121*chronic_consumption!AG521/1000/$C$3)</f>
        <v>#DIV/0!</v>
      </c>
      <c r="AM521" s="1040" t="e">
        <f>IF($F121="","",$F121*chronic_consumption!AH521/1000/$C$3)</f>
        <v>#DIV/0!</v>
      </c>
      <c r="AN521" s="1040" t="e">
        <f>IF($F121="","",$F121*chronic_consumption!AI521/1000/$C$3)</f>
        <v>#DIV/0!</v>
      </c>
      <c r="AO521" s="1040" t="e">
        <f>IF($F121="","",$F121*chronic_consumption!AJ521/1000/$C$3)</f>
        <v>#DIV/0!</v>
      </c>
      <c r="AP521" s="1040" t="e">
        <f>IF($F121="","",$F121*chronic_consumption!AK521/1000/$C$3)</f>
        <v>#DIV/0!</v>
      </c>
      <c r="AQ521" s="1040" t="e">
        <f>IF($F121="","",$F121*chronic_consumption!AL521/1000/$C$3)</f>
        <v>#DIV/0!</v>
      </c>
      <c r="AR521" s="1040" t="e">
        <f>IF($F121="","",$F121*chronic_consumption!AM521/1000/$C$3)</f>
        <v>#DIV/0!</v>
      </c>
      <c r="AS521" s="1040" t="e">
        <f>IF($F121="","",$F121*chronic_consumption!AN521/1000/$C$3)</f>
        <v>#DIV/0!</v>
      </c>
      <c r="AT521" s="1040" t="e">
        <f>IF($F121="","",$F121*chronic_consumption!AO521/1000/$C$3)</f>
        <v>#DIV/0!</v>
      </c>
      <c r="AU521" s="1040" t="e">
        <f>IF($F121="","",$F121*chronic_consumption!AP521/1000/$C$3)</f>
        <v>#DIV/0!</v>
      </c>
      <c r="AV521" s="1040" t="e">
        <f>IF($F121="","",$F121*chronic_consumption!AQ521/1000/$C$3)</f>
        <v>#DIV/0!</v>
      </c>
      <c r="AW521" s="1040" t="e">
        <f>IF($F121="","",$F121*chronic_consumption!AR521/1000/$C$3)</f>
        <v>#DIV/0!</v>
      </c>
      <c r="AX521" s="1040" t="e">
        <f>IF($F121="","",$F121*chronic_consumption!AS521/1000/$C$3)</f>
        <v>#DIV/0!</v>
      </c>
      <c r="AY521" s="1040" t="e">
        <f>IF($F121="","",$F121*chronic_consumption!AT521/1000/$C$3)</f>
        <v>#DIV/0!</v>
      </c>
      <c r="AZ521" s="44" t="s">
        <v>20</v>
      </c>
      <c r="BC521" s="29"/>
      <c r="BD521" s="29"/>
    </row>
    <row r="522" spans="1:56" ht="12" customHeight="1" outlineLevel="3" x14ac:dyDescent="0.2">
      <c r="A522" s="21">
        <f>acute_overview_children!A122</f>
        <v>4</v>
      </c>
      <c r="B522" s="325">
        <f t="shared" si="41"/>
        <v>220030</v>
      </c>
      <c r="C522" s="325" t="str">
        <f t="shared" si="41"/>
        <v>Shallots</v>
      </c>
      <c r="D522" s="135"/>
      <c r="E522" s="1027"/>
      <c r="F522" s="87"/>
      <c r="G522" s="1027"/>
      <c r="H522" s="1029"/>
      <c r="I522" s="1030"/>
      <c r="J522" s="1039" t="e">
        <f>IF($F122="","",$F122*chronic_consumption!E522/1000/$C$3)</f>
        <v>#DIV/0!</v>
      </c>
      <c r="K522" s="1040" t="e">
        <f>IF($F122="","",$F122*chronic_consumption!F522/1000/$C$3)</f>
        <v>#DIV/0!</v>
      </c>
      <c r="L522" s="1040" t="e">
        <f>IF($F122="","",$F122*chronic_consumption!G522/1000/$C$3)</f>
        <v>#DIV/0!</v>
      </c>
      <c r="M522" s="1040" t="e">
        <f>IF($F122="","",$F122*chronic_consumption!H522/1000/$C$3)</f>
        <v>#DIV/0!</v>
      </c>
      <c r="N522" s="1040" t="e">
        <f>IF($F122="","",$F122*chronic_consumption!I522/1000/$C$3)</f>
        <v>#DIV/0!</v>
      </c>
      <c r="O522" s="1040" t="e">
        <f>IF($F122="","",$F122*chronic_consumption!J522/1000/$C$3)</f>
        <v>#DIV/0!</v>
      </c>
      <c r="P522" s="1040" t="e">
        <f>IF($F122="","",$F122*chronic_consumption!K522/1000/$C$3)</f>
        <v>#DIV/0!</v>
      </c>
      <c r="Q522" s="1040" t="e">
        <f>IF($F122="","",$F122*chronic_consumption!L522/1000/$C$3)</f>
        <v>#DIV/0!</v>
      </c>
      <c r="R522" s="1040" t="e">
        <f>IF($F122="","",$F122*chronic_consumption!M522/1000/$C$3)</f>
        <v>#DIV/0!</v>
      </c>
      <c r="S522" s="1040" t="e">
        <f>IF($F122="","",$F122*chronic_consumption!N522/1000/$C$3)</f>
        <v>#DIV/0!</v>
      </c>
      <c r="T522" s="1040" t="e">
        <f>IF($F122="","",$F122*chronic_consumption!O522/1000/$C$3)</f>
        <v>#DIV/0!</v>
      </c>
      <c r="U522" s="1040" t="e">
        <f>IF($F122="","",$F122*chronic_consumption!P522/1000/$C$3)</f>
        <v>#DIV/0!</v>
      </c>
      <c r="V522" s="1040" t="e">
        <f>IF($F122="","",$F122*chronic_consumption!Q522/1000/$C$3)</f>
        <v>#DIV/0!</v>
      </c>
      <c r="W522" s="1040" t="e">
        <f>IF($F122="","",$F122*chronic_consumption!R522/1000/$C$3)</f>
        <v>#DIV/0!</v>
      </c>
      <c r="X522" s="1040" t="e">
        <f>IF($F122="","",$F122*chronic_consumption!S522/1000/$C$3)</f>
        <v>#DIV/0!</v>
      </c>
      <c r="Y522" s="1040" t="e">
        <f>IF($F122="","",$F122*chronic_consumption!T522/1000/$C$3)</f>
        <v>#DIV/0!</v>
      </c>
      <c r="Z522" s="1040" t="e">
        <f>IF($F122="","",$F122*chronic_consumption!U522/1000/$C$3)</f>
        <v>#DIV/0!</v>
      </c>
      <c r="AA522" s="1040" t="e">
        <f>IF($F122="","",$F122*chronic_consumption!V522/1000/$C$3)</f>
        <v>#DIV/0!</v>
      </c>
      <c r="AB522" s="1040" t="e">
        <f>IF($F122="","",$F122*chronic_consumption!W522/1000/$C$3)</f>
        <v>#DIV/0!</v>
      </c>
      <c r="AC522" s="1040" t="e">
        <f>IF($F122="","",$F122*chronic_consumption!X522/1000/$C$3)</f>
        <v>#DIV/0!</v>
      </c>
      <c r="AD522" s="1040" t="e">
        <f>IF($F122="","",$F122*chronic_consumption!Y522/1000/$C$3)</f>
        <v>#DIV/0!</v>
      </c>
      <c r="AE522" s="1040" t="e">
        <f>IF($F122="","",$F122*chronic_consumption!Z522/1000/$C$3)</f>
        <v>#DIV/0!</v>
      </c>
      <c r="AF522" s="1040" t="e">
        <f>IF($F122="","",$F122*chronic_consumption!AA522/1000/$C$3)</f>
        <v>#DIV/0!</v>
      </c>
      <c r="AG522" s="1040" t="e">
        <f>IF($F122="","",$F122*chronic_consumption!AB522/1000/$C$3)</f>
        <v>#DIV/0!</v>
      </c>
      <c r="AH522" s="1040" t="e">
        <f>IF($F122="","",$F122*chronic_consumption!AC522/1000/$C$3)</f>
        <v>#DIV/0!</v>
      </c>
      <c r="AI522" s="1040" t="e">
        <f>IF($F122="","",$F122*chronic_consumption!AD522/1000/$C$3)</f>
        <v>#DIV/0!</v>
      </c>
      <c r="AJ522" s="1040" t="e">
        <f>IF($F122="","",$F122*chronic_consumption!AE522/1000/$C$3)</f>
        <v>#DIV/0!</v>
      </c>
      <c r="AK522" s="1040" t="e">
        <f>IF($F122="","",$F122*chronic_consumption!AF522/1000/$C$3)</f>
        <v>#DIV/0!</v>
      </c>
      <c r="AL522" s="1040" t="e">
        <f>IF($F122="","",$F122*chronic_consumption!AG522/1000/$C$3)</f>
        <v>#DIV/0!</v>
      </c>
      <c r="AM522" s="1040" t="e">
        <f>IF($F122="","",$F122*chronic_consumption!AH522/1000/$C$3)</f>
        <v>#DIV/0!</v>
      </c>
      <c r="AN522" s="1040" t="e">
        <f>IF($F122="","",$F122*chronic_consumption!AI522/1000/$C$3)</f>
        <v>#DIV/0!</v>
      </c>
      <c r="AO522" s="1040" t="e">
        <f>IF($F122="","",$F122*chronic_consumption!AJ522/1000/$C$3)</f>
        <v>#DIV/0!</v>
      </c>
      <c r="AP522" s="1040" t="e">
        <f>IF($F122="","",$F122*chronic_consumption!AK522/1000/$C$3)</f>
        <v>#DIV/0!</v>
      </c>
      <c r="AQ522" s="1040" t="e">
        <f>IF($F122="","",$F122*chronic_consumption!AL522/1000/$C$3)</f>
        <v>#DIV/0!</v>
      </c>
      <c r="AR522" s="1040" t="e">
        <f>IF($F122="","",$F122*chronic_consumption!AM522/1000/$C$3)</f>
        <v>#DIV/0!</v>
      </c>
      <c r="AS522" s="1040" t="e">
        <f>IF($F122="","",$F122*chronic_consumption!AN522/1000/$C$3)</f>
        <v>#DIV/0!</v>
      </c>
      <c r="AT522" s="1040" t="e">
        <f>IF($F122="","",$F122*chronic_consumption!AO522/1000/$C$3)</f>
        <v>#DIV/0!</v>
      </c>
      <c r="AU522" s="1040" t="e">
        <f>IF($F122="","",$F122*chronic_consumption!AP522/1000/$C$3)</f>
        <v>#DIV/0!</v>
      </c>
      <c r="AV522" s="1040" t="e">
        <f>IF($F122="","",$F122*chronic_consumption!AQ522/1000/$C$3)</f>
        <v>#DIV/0!</v>
      </c>
      <c r="AW522" s="1040" t="e">
        <f>IF($F122="","",$F122*chronic_consumption!AR522/1000/$C$3)</f>
        <v>#DIV/0!</v>
      </c>
      <c r="AX522" s="1040" t="e">
        <f>IF($F122="","",$F122*chronic_consumption!AS522/1000/$C$3)</f>
        <v>#DIV/0!</v>
      </c>
      <c r="AY522" s="1040" t="e">
        <f>IF($F122="","",$F122*chronic_consumption!AT522/1000/$C$3)</f>
        <v>#DIV/0!</v>
      </c>
      <c r="AZ522" s="44" t="s">
        <v>20</v>
      </c>
      <c r="BC522" s="29"/>
      <c r="BD522" s="29"/>
    </row>
    <row r="523" spans="1:56" ht="12" customHeight="1" outlineLevel="3" x14ac:dyDescent="0.2">
      <c r="A523" s="21">
        <f>acute_overview_children!A123</f>
        <v>4</v>
      </c>
      <c r="B523" s="325">
        <f t="shared" si="41"/>
        <v>220040</v>
      </c>
      <c r="C523" s="325" t="str">
        <f t="shared" si="41"/>
        <v>Spring onions/green onions and Welsh onions</v>
      </c>
      <c r="D523" s="135"/>
      <c r="E523" s="1027"/>
      <c r="F523" s="87"/>
      <c r="G523" s="1027"/>
      <c r="H523" s="1029"/>
      <c r="I523" s="1030"/>
      <c r="J523" s="1039" t="e">
        <f>IF($F123="","",$F123*chronic_consumption!E523/1000/$C$3)</f>
        <v>#DIV/0!</v>
      </c>
      <c r="K523" s="1040" t="e">
        <f>IF($F123="","",$F123*chronic_consumption!F523/1000/$C$3)</f>
        <v>#DIV/0!</v>
      </c>
      <c r="L523" s="1040" t="e">
        <f>IF($F123="","",$F123*chronic_consumption!G523/1000/$C$3)</f>
        <v>#DIV/0!</v>
      </c>
      <c r="M523" s="1040" t="e">
        <f>IF($F123="","",$F123*chronic_consumption!H523/1000/$C$3)</f>
        <v>#DIV/0!</v>
      </c>
      <c r="N523" s="1040" t="e">
        <f>IF($F123="","",$F123*chronic_consumption!I523/1000/$C$3)</f>
        <v>#DIV/0!</v>
      </c>
      <c r="O523" s="1040" t="e">
        <f>IF($F123="","",$F123*chronic_consumption!J523/1000/$C$3)</f>
        <v>#DIV/0!</v>
      </c>
      <c r="P523" s="1040" t="e">
        <f>IF($F123="","",$F123*chronic_consumption!K523/1000/$C$3)</f>
        <v>#DIV/0!</v>
      </c>
      <c r="Q523" s="1040" t="e">
        <f>IF($F123="","",$F123*chronic_consumption!L523/1000/$C$3)</f>
        <v>#DIV/0!</v>
      </c>
      <c r="R523" s="1040" t="e">
        <f>IF($F123="","",$F123*chronic_consumption!M523/1000/$C$3)</f>
        <v>#DIV/0!</v>
      </c>
      <c r="S523" s="1040" t="e">
        <f>IF($F123="","",$F123*chronic_consumption!N523/1000/$C$3)</f>
        <v>#DIV/0!</v>
      </c>
      <c r="T523" s="1040" t="e">
        <f>IF($F123="","",$F123*chronic_consumption!O523/1000/$C$3)</f>
        <v>#DIV/0!</v>
      </c>
      <c r="U523" s="1040" t="e">
        <f>IF($F123="","",$F123*chronic_consumption!P523/1000/$C$3)</f>
        <v>#DIV/0!</v>
      </c>
      <c r="V523" s="1040" t="e">
        <f>IF($F123="","",$F123*chronic_consumption!Q523/1000/$C$3)</f>
        <v>#DIV/0!</v>
      </c>
      <c r="W523" s="1040" t="e">
        <f>IF($F123="","",$F123*chronic_consumption!R523/1000/$C$3)</f>
        <v>#DIV/0!</v>
      </c>
      <c r="X523" s="1040" t="e">
        <f>IF($F123="","",$F123*chronic_consumption!S523/1000/$C$3)</f>
        <v>#DIV/0!</v>
      </c>
      <c r="Y523" s="1040" t="e">
        <f>IF($F123="","",$F123*chronic_consumption!T523/1000/$C$3)</f>
        <v>#DIV/0!</v>
      </c>
      <c r="Z523" s="1040" t="e">
        <f>IF($F123="","",$F123*chronic_consumption!U523/1000/$C$3)</f>
        <v>#DIV/0!</v>
      </c>
      <c r="AA523" s="1040" t="e">
        <f>IF($F123="","",$F123*chronic_consumption!V523/1000/$C$3)</f>
        <v>#DIV/0!</v>
      </c>
      <c r="AB523" s="1040" t="e">
        <f>IF($F123="","",$F123*chronic_consumption!W523/1000/$C$3)</f>
        <v>#DIV/0!</v>
      </c>
      <c r="AC523" s="1040" t="e">
        <f>IF($F123="","",$F123*chronic_consumption!X523/1000/$C$3)</f>
        <v>#DIV/0!</v>
      </c>
      <c r="AD523" s="1040" t="e">
        <f>IF($F123="","",$F123*chronic_consumption!Y523/1000/$C$3)</f>
        <v>#DIV/0!</v>
      </c>
      <c r="AE523" s="1040" t="e">
        <f>IF($F123="","",$F123*chronic_consumption!Z523/1000/$C$3)</f>
        <v>#DIV/0!</v>
      </c>
      <c r="AF523" s="1040" t="e">
        <f>IF($F123="","",$F123*chronic_consumption!AA523/1000/$C$3)</f>
        <v>#DIV/0!</v>
      </c>
      <c r="AG523" s="1040" t="e">
        <f>IF($F123="","",$F123*chronic_consumption!AB523/1000/$C$3)</f>
        <v>#DIV/0!</v>
      </c>
      <c r="AH523" s="1040" t="e">
        <f>IF($F123="","",$F123*chronic_consumption!AC523/1000/$C$3)</f>
        <v>#DIV/0!</v>
      </c>
      <c r="AI523" s="1040" t="e">
        <f>IF($F123="","",$F123*chronic_consumption!AD523/1000/$C$3)</f>
        <v>#DIV/0!</v>
      </c>
      <c r="AJ523" s="1040" t="e">
        <f>IF($F123="","",$F123*chronic_consumption!AE523/1000/$C$3)</f>
        <v>#DIV/0!</v>
      </c>
      <c r="AK523" s="1040" t="e">
        <f>IF($F123="","",$F123*chronic_consumption!AF523/1000/$C$3)</f>
        <v>#DIV/0!</v>
      </c>
      <c r="AL523" s="1040" t="e">
        <f>IF($F123="","",$F123*chronic_consumption!AG523/1000/$C$3)</f>
        <v>#DIV/0!</v>
      </c>
      <c r="AM523" s="1040" t="e">
        <f>IF($F123="","",$F123*chronic_consumption!AH523/1000/$C$3)</f>
        <v>#DIV/0!</v>
      </c>
      <c r="AN523" s="1040" t="e">
        <f>IF($F123="","",$F123*chronic_consumption!AI523/1000/$C$3)</f>
        <v>#DIV/0!</v>
      </c>
      <c r="AO523" s="1040" t="e">
        <f>IF($F123="","",$F123*chronic_consumption!AJ523/1000/$C$3)</f>
        <v>#DIV/0!</v>
      </c>
      <c r="AP523" s="1040" t="e">
        <f>IF($F123="","",$F123*chronic_consumption!AK523/1000/$C$3)</f>
        <v>#DIV/0!</v>
      </c>
      <c r="AQ523" s="1040" t="e">
        <f>IF($F123="","",$F123*chronic_consumption!AL523/1000/$C$3)</f>
        <v>#DIV/0!</v>
      </c>
      <c r="AR523" s="1040" t="e">
        <f>IF($F123="","",$F123*chronic_consumption!AM523/1000/$C$3)</f>
        <v>#DIV/0!</v>
      </c>
      <c r="AS523" s="1040" t="e">
        <f>IF($F123="","",$F123*chronic_consumption!AN523/1000/$C$3)</f>
        <v>#DIV/0!</v>
      </c>
      <c r="AT523" s="1040" t="e">
        <f>IF($F123="","",$F123*chronic_consumption!AO523/1000/$C$3)</f>
        <v>#DIV/0!</v>
      </c>
      <c r="AU523" s="1040" t="e">
        <f>IF($F123="","",$F123*chronic_consumption!AP523/1000/$C$3)</f>
        <v>#DIV/0!</v>
      </c>
      <c r="AV523" s="1040" t="e">
        <f>IF($F123="","",$F123*chronic_consumption!AQ523/1000/$C$3)</f>
        <v>#DIV/0!</v>
      </c>
      <c r="AW523" s="1040" t="e">
        <f>IF($F123="","",$F123*chronic_consumption!AR523/1000/$C$3)</f>
        <v>#DIV/0!</v>
      </c>
      <c r="AX523" s="1040" t="e">
        <f>IF($F123="","",$F123*chronic_consumption!AS523/1000/$C$3)</f>
        <v>#DIV/0!</v>
      </c>
      <c r="AY523" s="1040" t="e">
        <f>IF($F123="","",$F123*chronic_consumption!AT523/1000/$C$3)</f>
        <v>#DIV/0!</v>
      </c>
      <c r="AZ523" s="44" t="s">
        <v>20</v>
      </c>
      <c r="BC523" s="29"/>
      <c r="BD523" s="29"/>
    </row>
    <row r="524" spans="1:56" ht="12" customHeight="1" outlineLevel="3" x14ac:dyDescent="0.2">
      <c r="A524" s="21">
        <f>acute_overview_children!A124</f>
        <v>4</v>
      </c>
      <c r="B524" s="325">
        <f t="shared" si="41"/>
        <v>220990</v>
      </c>
      <c r="C524" s="325" t="str">
        <f t="shared" si="41"/>
        <v>Other bulb vegetables</v>
      </c>
      <c r="D524" s="135"/>
      <c r="E524" s="1027"/>
      <c r="F524" s="87"/>
      <c r="G524" s="1027"/>
      <c r="H524" s="1029"/>
      <c r="I524" s="1030"/>
      <c r="J524" s="1039" t="e">
        <f>IF($F124="","",$F124*chronic_consumption!E524/1000/$C$3)</f>
        <v>#DIV/0!</v>
      </c>
      <c r="K524" s="1040" t="e">
        <f>IF($F124="","",$F124*chronic_consumption!F524/1000/$C$3)</f>
        <v>#DIV/0!</v>
      </c>
      <c r="L524" s="1040" t="e">
        <f>IF($F124="","",$F124*chronic_consumption!G524/1000/$C$3)</f>
        <v>#DIV/0!</v>
      </c>
      <c r="M524" s="1040" t="e">
        <f>IF($F124="","",$F124*chronic_consumption!H524/1000/$C$3)</f>
        <v>#DIV/0!</v>
      </c>
      <c r="N524" s="1040" t="e">
        <f>IF($F124="","",$F124*chronic_consumption!I524/1000/$C$3)</f>
        <v>#DIV/0!</v>
      </c>
      <c r="O524" s="1040" t="e">
        <f>IF($F124="","",$F124*chronic_consumption!J524/1000/$C$3)</f>
        <v>#DIV/0!</v>
      </c>
      <c r="P524" s="1040" t="e">
        <f>IF($F124="","",$F124*chronic_consumption!K524/1000/$C$3)</f>
        <v>#DIV/0!</v>
      </c>
      <c r="Q524" s="1040" t="e">
        <f>IF($F124="","",$F124*chronic_consumption!L524/1000/$C$3)</f>
        <v>#DIV/0!</v>
      </c>
      <c r="R524" s="1040" t="e">
        <f>IF($F124="","",$F124*chronic_consumption!M524/1000/$C$3)</f>
        <v>#DIV/0!</v>
      </c>
      <c r="S524" s="1040" t="e">
        <f>IF($F124="","",$F124*chronic_consumption!N524/1000/$C$3)</f>
        <v>#DIV/0!</v>
      </c>
      <c r="T524" s="1040" t="e">
        <f>IF($F124="","",$F124*chronic_consumption!O524/1000/$C$3)</f>
        <v>#DIV/0!</v>
      </c>
      <c r="U524" s="1040" t="e">
        <f>IF($F124="","",$F124*chronic_consumption!P524/1000/$C$3)</f>
        <v>#DIV/0!</v>
      </c>
      <c r="V524" s="1040" t="e">
        <f>IF($F124="","",$F124*chronic_consumption!Q524/1000/$C$3)</f>
        <v>#DIV/0!</v>
      </c>
      <c r="W524" s="1040" t="e">
        <f>IF($F124="","",$F124*chronic_consumption!R524/1000/$C$3)</f>
        <v>#DIV/0!</v>
      </c>
      <c r="X524" s="1040" t="e">
        <f>IF($F124="","",$F124*chronic_consumption!S524/1000/$C$3)</f>
        <v>#DIV/0!</v>
      </c>
      <c r="Y524" s="1040" t="e">
        <f>IF($F124="","",$F124*chronic_consumption!T524/1000/$C$3)</f>
        <v>#DIV/0!</v>
      </c>
      <c r="Z524" s="1040" t="e">
        <f>IF($F124="","",$F124*chronic_consumption!U524/1000/$C$3)</f>
        <v>#DIV/0!</v>
      </c>
      <c r="AA524" s="1040" t="e">
        <f>IF($F124="","",$F124*chronic_consumption!V524/1000/$C$3)</f>
        <v>#DIV/0!</v>
      </c>
      <c r="AB524" s="1040" t="e">
        <f>IF($F124="","",$F124*chronic_consumption!W524/1000/$C$3)</f>
        <v>#DIV/0!</v>
      </c>
      <c r="AC524" s="1040" t="e">
        <f>IF($F124="","",$F124*chronic_consumption!X524/1000/$C$3)</f>
        <v>#DIV/0!</v>
      </c>
      <c r="AD524" s="1040" t="e">
        <f>IF($F124="","",$F124*chronic_consumption!Y524/1000/$C$3)</f>
        <v>#DIV/0!</v>
      </c>
      <c r="AE524" s="1040" t="e">
        <f>IF($F124="","",$F124*chronic_consumption!Z524/1000/$C$3)</f>
        <v>#DIV/0!</v>
      </c>
      <c r="AF524" s="1040" t="e">
        <f>IF($F124="","",$F124*chronic_consumption!AA524/1000/$C$3)</f>
        <v>#DIV/0!</v>
      </c>
      <c r="AG524" s="1040" t="e">
        <f>IF($F124="","",$F124*chronic_consumption!AB524/1000/$C$3)</f>
        <v>#DIV/0!</v>
      </c>
      <c r="AH524" s="1040" t="e">
        <f>IF($F124="","",$F124*chronic_consumption!AC524/1000/$C$3)</f>
        <v>#DIV/0!</v>
      </c>
      <c r="AI524" s="1040" t="e">
        <f>IF($F124="","",$F124*chronic_consumption!AD524/1000/$C$3)</f>
        <v>#DIV/0!</v>
      </c>
      <c r="AJ524" s="1040" t="e">
        <f>IF($F124="","",$F124*chronic_consumption!AE524/1000/$C$3)</f>
        <v>#DIV/0!</v>
      </c>
      <c r="AK524" s="1040" t="e">
        <f>IF($F124="","",$F124*chronic_consumption!AF524/1000/$C$3)</f>
        <v>#DIV/0!</v>
      </c>
      <c r="AL524" s="1040" t="e">
        <f>IF($F124="","",$F124*chronic_consumption!AG524/1000/$C$3)</f>
        <v>#DIV/0!</v>
      </c>
      <c r="AM524" s="1040" t="e">
        <f>IF($F124="","",$F124*chronic_consumption!AH524/1000/$C$3)</f>
        <v>#DIV/0!</v>
      </c>
      <c r="AN524" s="1040" t="e">
        <f>IF($F124="","",$F124*chronic_consumption!AI524/1000/$C$3)</f>
        <v>#DIV/0!</v>
      </c>
      <c r="AO524" s="1040" t="e">
        <f>IF($F124="","",$F124*chronic_consumption!AJ524/1000/$C$3)</f>
        <v>#DIV/0!</v>
      </c>
      <c r="AP524" s="1040" t="e">
        <f>IF($F124="","",$F124*chronic_consumption!AK524/1000/$C$3)</f>
        <v>#DIV/0!</v>
      </c>
      <c r="AQ524" s="1040" t="e">
        <f>IF($F124="","",$F124*chronic_consumption!AL524/1000/$C$3)</f>
        <v>#DIV/0!</v>
      </c>
      <c r="AR524" s="1040" t="e">
        <f>IF($F124="","",$F124*chronic_consumption!AM524/1000/$C$3)</f>
        <v>#DIV/0!</v>
      </c>
      <c r="AS524" s="1040" t="e">
        <f>IF($F124="","",$F124*chronic_consumption!AN524/1000/$C$3)</f>
        <v>#DIV/0!</v>
      </c>
      <c r="AT524" s="1040" t="e">
        <f>IF($F124="","",$F124*chronic_consumption!AO524/1000/$C$3)</f>
        <v>#DIV/0!</v>
      </c>
      <c r="AU524" s="1040" t="e">
        <f>IF($F124="","",$F124*chronic_consumption!AP524/1000/$C$3)</f>
        <v>#DIV/0!</v>
      </c>
      <c r="AV524" s="1040" t="e">
        <f>IF($F124="","",$F124*chronic_consumption!AQ524/1000/$C$3)</f>
        <v>#DIV/0!</v>
      </c>
      <c r="AW524" s="1040" t="e">
        <f>IF($F124="","",$F124*chronic_consumption!AR524/1000/$C$3)</f>
        <v>#DIV/0!</v>
      </c>
      <c r="AX524" s="1040" t="e">
        <f>IF($F124="","",$F124*chronic_consumption!AS524/1000/$C$3)</f>
        <v>#DIV/0!</v>
      </c>
      <c r="AY524" s="1040" t="e">
        <f>IF($F124="","",$F124*chronic_consumption!AT524/1000/$C$3)</f>
        <v>#DIV/0!</v>
      </c>
      <c r="AZ524" s="44" t="s">
        <v>20</v>
      </c>
      <c r="BC524" s="29"/>
      <c r="BD524" s="29"/>
    </row>
    <row r="525" spans="1:56" ht="12" customHeight="1" outlineLevel="1" x14ac:dyDescent="0.2">
      <c r="A525" s="1033">
        <f>acute_overview_children!A125</f>
        <v>2</v>
      </c>
      <c r="B525" s="1034">
        <f t="shared" si="41"/>
        <v>230000</v>
      </c>
      <c r="C525" s="1034" t="str">
        <f t="shared" si="41"/>
        <v>Fruiting vegetables</v>
      </c>
      <c r="D525" s="1035"/>
      <c r="E525" s="1027"/>
      <c r="F525" s="87"/>
      <c r="G525" s="1027"/>
      <c r="H525" s="1029"/>
      <c r="I525" s="1030"/>
      <c r="J525" s="1037" t="e">
        <f>IF($F125="","",$F125*chronic_consumption!E525/1000/$C$3)</f>
        <v>#DIV/0!</v>
      </c>
      <c r="K525" s="1038" t="e">
        <f>IF($F125="","",$F125*chronic_consumption!F525/1000/$C$3)</f>
        <v>#DIV/0!</v>
      </c>
      <c r="L525" s="1038" t="e">
        <f>IF($F125="","",$F125*chronic_consumption!G525/1000/$C$3)</f>
        <v>#DIV/0!</v>
      </c>
      <c r="M525" s="1038" t="e">
        <f>IF($F125="","",$F125*chronic_consumption!H525/1000/$C$3)</f>
        <v>#DIV/0!</v>
      </c>
      <c r="N525" s="1038" t="e">
        <f>IF($F125="","",$F125*chronic_consumption!I525/1000/$C$3)</f>
        <v>#DIV/0!</v>
      </c>
      <c r="O525" s="1038" t="e">
        <f>IF($F125="","",$F125*chronic_consumption!J525/1000/$C$3)</f>
        <v>#DIV/0!</v>
      </c>
      <c r="P525" s="1038" t="e">
        <f>IF($F125="","",$F125*chronic_consumption!K525/1000/$C$3)</f>
        <v>#DIV/0!</v>
      </c>
      <c r="Q525" s="1038" t="e">
        <f>IF($F125="","",$F125*chronic_consumption!L525/1000/$C$3)</f>
        <v>#DIV/0!</v>
      </c>
      <c r="R525" s="1038" t="e">
        <f>IF($F125="","",$F125*chronic_consumption!M525/1000/$C$3)</f>
        <v>#DIV/0!</v>
      </c>
      <c r="S525" s="1038" t="e">
        <f>IF($F125="","",$F125*chronic_consumption!N525/1000/$C$3)</f>
        <v>#DIV/0!</v>
      </c>
      <c r="T525" s="1038" t="e">
        <f>IF($F125="","",$F125*chronic_consumption!O525/1000/$C$3)</f>
        <v>#DIV/0!</v>
      </c>
      <c r="U525" s="1038" t="e">
        <f>IF($F125="","",$F125*chronic_consumption!P525/1000/$C$3)</f>
        <v>#DIV/0!</v>
      </c>
      <c r="V525" s="1038" t="e">
        <f>IF($F125="","",$F125*chronic_consumption!Q525/1000/$C$3)</f>
        <v>#DIV/0!</v>
      </c>
      <c r="W525" s="1038" t="e">
        <f>IF($F125="","",$F125*chronic_consumption!R525/1000/$C$3)</f>
        <v>#DIV/0!</v>
      </c>
      <c r="X525" s="1038" t="e">
        <f>IF($F125="","",$F125*chronic_consumption!S525/1000/$C$3)</f>
        <v>#DIV/0!</v>
      </c>
      <c r="Y525" s="1038" t="e">
        <f>IF($F125="","",$F125*chronic_consumption!T525/1000/$C$3)</f>
        <v>#DIV/0!</v>
      </c>
      <c r="Z525" s="1038" t="e">
        <f>IF($F125="","",$F125*chronic_consumption!U525/1000/$C$3)</f>
        <v>#DIV/0!</v>
      </c>
      <c r="AA525" s="1038" t="e">
        <f>IF($F125="","",$F125*chronic_consumption!V525/1000/$C$3)</f>
        <v>#DIV/0!</v>
      </c>
      <c r="AB525" s="1038" t="e">
        <f>IF($F125="","",$F125*chronic_consumption!W525/1000/$C$3)</f>
        <v>#DIV/0!</v>
      </c>
      <c r="AC525" s="1038" t="e">
        <f>IF($F125="","",$F125*chronic_consumption!X525/1000/$C$3)</f>
        <v>#DIV/0!</v>
      </c>
      <c r="AD525" s="1038" t="e">
        <f>IF($F125="","",$F125*chronic_consumption!Y525/1000/$C$3)</f>
        <v>#DIV/0!</v>
      </c>
      <c r="AE525" s="1038" t="e">
        <f>IF($F125="","",$F125*chronic_consumption!Z525/1000/$C$3)</f>
        <v>#DIV/0!</v>
      </c>
      <c r="AF525" s="1038" t="e">
        <f>IF($F125="","",$F125*chronic_consumption!AA525/1000/$C$3)</f>
        <v>#DIV/0!</v>
      </c>
      <c r="AG525" s="1038" t="e">
        <f>IF($F125="","",$F125*chronic_consumption!AB525/1000/$C$3)</f>
        <v>#DIV/0!</v>
      </c>
      <c r="AH525" s="1038" t="e">
        <f>IF($F125="","",$F125*chronic_consumption!AC525/1000/$C$3)</f>
        <v>#DIV/0!</v>
      </c>
      <c r="AI525" s="1038" t="e">
        <f>IF($F125="","",$F125*chronic_consumption!AD525/1000/$C$3)</f>
        <v>#DIV/0!</v>
      </c>
      <c r="AJ525" s="1038" t="e">
        <f>IF($F125="","",$F125*chronic_consumption!AE525/1000/$C$3)</f>
        <v>#DIV/0!</v>
      </c>
      <c r="AK525" s="1038" t="e">
        <f>IF($F125="","",$F125*chronic_consumption!AF525/1000/$C$3)</f>
        <v>#DIV/0!</v>
      </c>
      <c r="AL525" s="1038" t="e">
        <f>IF($F125="","",$F125*chronic_consumption!AG525/1000/$C$3)</f>
        <v>#DIV/0!</v>
      </c>
      <c r="AM525" s="1038" t="e">
        <f>IF($F125="","",$F125*chronic_consumption!AH525/1000/$C$3)</f>
        <v>#DIV/0!</v>
      </c>
      <c r="AN525" s="1038" t="e">
        <f>IF($F125="","",$F125*chronic_consumption!AI525/1000/$C$3)</f>
        <v>#DIV/0!</v>
      </c>
      <c r="AO525" s="1038" t="e">
        <f>IF($F125="","",$F125*chronic_consumption!AJ525/1000/$C$3)</f>
        <v>#DIV/0!</v>
      </c>
      <c r="AP525" s="1038" t="e">
        <f>IF($F125="","",$F125*chronic_consumption!AK525/1000/$C$3)</f>
        <v>#DIV/0!</v>
      </c>
      <c r="AQ525" s="1038" t="e">
        <f>IF($F125="","",$F125*chronic_consumption!AL525/1000/$C$3)</f>
        <v>#DIV/0!</v>
      </c>
      <c r="AR525" s="1038" t="e">
        <f>IF($F125="","",$F125*chronic_consumption!AM525/1000/$C$3)</f>
        <v>#DIV/0!</v>
      </c>
      <c r="AS525" s="1038" t="e">
        <f>IF($F125="","",$F125*chronic_consumption!AN525/1000/$C$3)</f>
        <v>#DIV/0!</v>
      </c>
      <c r="AT525" s="1038" t="e">
        <f>IF($F125="","",$F125*chronic_consumption!AO525/1000/$C$3)</f>
        <v>#DIV/0!</v>
      </c>
      <c r="AU525" s="1038" t="e">
        <f>IF($F125="","",$F125*chronic_consumption!AP525/1000/$C$3)</f>
        <v>#DIV/0!</v>
      </c>
      <c r="AV525" s="1038" t="e">
        <f>IF($F125="","",$F125*chronic_consumption!AQ525/1000/$C$3)</f>
        <v>#DIV/0!</v>
      </c>
      <c r="AW525" s="1038" t="e">
        <f>IF($F125="","",$F125*chronic_consumption!AR525/1000/$C$3)</f>
        <v>#DIV/0!</v>
      </c>
      <c r="AX525" s="1038" t="e">
        <f>IF($F125="","",$F125*chronic_consumption!AS525/1000/$C$3)</f>
        <v>#DIV/0!</v>
      </c>
      <c r="AY525" s="1038" t="e">
        <f>IF($F125="","",$F125*chronic_consumption!AT525/1000/$C$3)</f>
        <v>#DIV/0!</v>
      </c>
      <c r="AZ525" s="44" t="s">
        <v>20</v>
      </c>
      <c r="BC525" s="29"/>
      <c r="BD525" s="29"/>
    </row>
    <row r="526" spans="1:56" ht="12" customHeight="1" outlineLevel="2" x14ac:dyDescent="0.2">
      <c r="A526" s="341">
        <f>acute_overview_children!A126</f>
        <v>3</v>
      </c>
      <c r="B526" s="1041">
        <f t="shared" si="41"/>
        <v>231000</v>
      </c>
      <c r="C526" s="1041" t="str">
        <f t="shared" si="41"/>
        <v>Solanacea</v>
      </c>
      <c r="D526" s="1042"/>
      <c r="E526" s="1027"/>
      <c r="F526" s="87"/>
      <c r="G526" s="1027"/>
      <c r="H526" s="1029"/>
      <c r="I526" s="1030"/>
      <c r="J526" s="1043" t="e">
        <f>IF($F126="","",$F126*chronic_consumption!E526/1000/$C$3)</f>
        <v>#DIV/0!</v>
      </c>
      <c r="K526" s="1044" t="e">
        <f>IF($F126="","",$F126*chronic_consumption!F526/1000/$C$3)</f>
        <v>#DIV/0!</v>
      </c>
      <c r="L526" s="1044" t="e">
        <f>IF($F126="","",$F126*chronic_consumption!G526/1000/$C$3)</f>
        <v>#DIV/0!</v>
      </c>
      <c r="M526" s="1044" t="e">
        <f>IF($F126="","",$F126*chronic_consumption!H526/1000/$C$3)</f>
        <v>#DIV/0!</v>
      </c>
      <c r="N526" s="1044" t="e">
        <f>IF($F126="","",$F126*chronic_consumption!I526/1000/$C$3)</f>
        <v>#DIV/0!</v>
      </c>
      <c r="O526" s="1044" t="e">
        <f>IF($F126="","",$F126*chronic_consumption!J526/1000/$C$3)</f>
        <v>#DIV/0!</v>
      </c>
      <c r="P526" s="1044" t="e">
        <f>IF($F126="","",$F126*chronic_consumption!K526/1000/$C$3)</f>
        <v>#DIV/0!</v>
      </c>
      <c r="Q526" s="1044" t="e">
        <f>IF($F126="","",$F126*chronic_consumption!L526/1000/$C$3)</f>
        <v>#DIV/0!</v>
      </c>
      <c r="R526" s="1044" t="e">
        <f>IF($F126="","",$F126*chronic_consumption!M526/1000/$C$3)</f>
        <v>#DIV/0!</v>
      </c>
      <c r="S526" s="1044" t="e">
        <f>IF($F126="","",$F126*chronic_consumption!N526/1000/$C$3)</f>
        <v>#DIV/0!</v>
      </c>
      <c r="T526" s="1044" t="e">
        <f>IF($F126="","",$F126*chronic_consumption!O526/1000/$C$3)</f>
        <v>#DIV/0!</v>
      </c>
      <c r="U526" s="1044" t="e">
        <f>IF($F126="","",$F126*chronic_consumption!P526/1000/$C$3)</f>
        <v>#DIV/0!</v>
      </c>
      <c r="V526" s="1044" t="e">
        <f>IF($F126="","",$F126*chronic_consumption!Q526/1000/$C$3)</f>
        <v>#DIV/0!</v>
      </c>
      <c r="W526" s="1044" t="e">
        <f>IF($F126="","",$F126*chronic_consumption!R526/1000/$C$3)</f>
        <v>#DIV/0!</v>
      </c>
      <c r="X526" s="1044" t="e">
        <f>IF($F126="","",$F126*chronic_consumption!S526/1000/$C$3)</f>
        <v>#DIV/0!</v>
      </c>
      <c r="Y526" s="1044" t="e">
        <f>IF($F126="","",$F126*chronic_consumption!T526/1000/$C$3)</f>
        <v>#DIV/0!</v>
      </c>
      <c r="Z526" s="1044" t="e">
        <f>IF($F126="","",$F126*chronic_consumption!U526/1000/$C$3)</f>
        <v>#DIV/0!</v>
      </c>
      <c r="AA526" s="1044" t="e">
        <f>IF($F126="","",$F126*chronic_consumption!V526/1000/$C$3)</f>
        <v>#DIV/0!</v>
      </c>
      <c r="AB526" s="1044" t="e">
        <f>IF($F126="","",$F126*chronic_consumption!W526/1000/$C$3)</f>
        <v>#DIV/0!</v>
      </c>
      <c r="AC526" s="1044" t="e">
        <f>IF($F126="","",$F126*chronic_consumption!X526/1000/$C$3)</f>
        <v>#DIV/0!</v>
      </c>
      <c r="AD526" s="1044" t="e">
        <f>IF($F126="","",$F126*chronic_consumption!Y526/1000/$C$3)</f>
        <v>#DIV/0!</v>
      </c>
      <c r="AE526" s="1044" t="e">
        <f>IF($F126="","",$F126*chronic_consumption!Z526/1000/$C$3)</f>
        <v>#DIV/0!</v>
      </c>
      <c r="AF526" s="1044" t="e">
        <f>IF($F126="","",$F126*chronic_consumption!AA526/1000/$C$3)</f>
        <v>#DIV/0!</v>
      </c>
      <c r="AG526" s="1044" t="e">
        <f>IF($F126="","",$F126*chronic_consumption!AB526/1000/$C$3)</f>
        <v>#DIV/0!</v>
      </c>
      <c r="AH526" s="1044" t="e">
        <f>IF($F126="","",$F126*chronic_consumption!AC526/1000/$C$3)</f>
        <v>#DIV/0!</v>
      </c>
      <c r="AI526" s="1044" t="e">
        <f>IF($F126="","",$F126*chronic_consumption!AD526/1000/$C$3)</f>
        <v>#DIV/0!</v>
      </c>
      <c r="AJ526" s="1044" t="e">
        <f>IF($F126="","",$F126*chronic_consumption!AE526/1000/$C$3)</f>
        <v>#DIV/0!</v>
      </c>
      <c r="AK526" s="1044" t="e">
        <f>IF($F126="","",$F126*chronic_consumption!AF526/1000/$C$3)</f>
        <v>#DIV/0!</v>
      </c>
      <c r="AL526" s="1044" t="e">
        <f>IF($F126="","",$F126*chronic_consumption!AG526/1000/$C$3)</f>
        <v>#DIV/0!</v>
      </c>
      <c r="AM526" s="1044" t="e">
        <f>IF($F126="","",$F126*chronic_consumption!AH526/1000/$C$3)</f>
        <v>#DIV/0!</v>
      </c>
      <c r="AN526" s="1044" t="e">
        <f>IF($F126="","",$F126*chronic_consumption!AI526/1000/$C$3)</f>
        <v>#DIV/0!</v>
      </c>
      <c r="AO526" s="1044" t="e">
        <f>IF($F126="","",$F126*chronic_consumption!AJ526/1000/$C$3)</f>
        <v>#DIV/0!</v>
      </c>
      <c r="AP526" s="1044" t="e">
        <f>IF($F126="","",$F126*chronic_consumption!AK526/1000/$C$3)</f>
        <v>#DIV/0!</v>
      </c>
      <c r="AQ526" s="1044" t="e">
        <f>IF($F126="","",$F126*chronic_consumption!AL526/1000/$C$3)</f>
        <v>#DIV/0!</v>
      </c>
      <c r="AR526" s="1044" t="e">
        <f>IF($F126="","",$F126*chronic_consumption!AM526/1000/$C$3)</f>
        <v>#DIV/0!</v>
      </c>
      <c r="AS526" s="1044" t="e">
        <f>IF($F126="","",$F126*chronic_consumption!AN526/1000/$C$3)</f>
        <v>#DIV/0!</v>
      </c>
      <c r="AT526" s="1044" t="e">
        <f>IF($F126="","",$F126*chronic_consumption!AO526/1000/$C$3)</f>
        <v>#DIV/0!</v>
      </c>
      <c r="AU526" s="1044" t="e">
        <f>IF($F126="","",$F126*chronic_consumption!AP526/1000/$C$3)</f>
        <v>#DIV/0!</v>
      </c>
      <c r="AV526" s="1044" t="e">
        <f>IF($F126="","",$F126*chronic_consumption!AQ526/1000/$C$3)</f>
        <v>#DIV/0!</v>
      </c>
      <c r="AW526" s="1044" t="e">
        <f>IF($F126="","",$F126*chronic_consumption!AR526/1000/$C$3)</f>
        <v>#DIV/0!</v>
      </c>
      <c r="AX526" s="1044" t="e">
        <f>IF($F126="","",$F126*chronic_consumption!AS526/1000/$C$3)</f>
        <v>#DIV/0!</v>
      </c>
      <c r="AY526" s="1044" t="e">
        <f>IF($F126="","",$F126*chronic_consumption!AT526/1000/$C$3)</f>
        <v>#DIV/0!</v>
      </c>
      <c r="AZ526" s="44" t="s">
        <v>20</v>
      </c>
      <c r="BC526" s="29"/>
      <c r="BD526" s="29"/>
    </row>
    <row r="527" spans="1:56" ht="12" customHeight="1" outlineLevel="3" x14ac:dyDescent="0.2">
      <c r="A527" s="21">
        <f>acute_overview_children!A127</f>
        <v>4</v>
      </c>
      <c r="B527" s="325">
        <f t="shared" si="41"/>
        <v>231010</v>
      </c>
      <c r="C527" s="325" t="str">
        <f t="shared" si="41"/>
        <v>Tomatoes</v>
      </c>
      <c r="D527" s="135"/>
      <c r="E527" s="1027"/>
      <c r="F527" s="87"/>
      <c r="G527" s="1027"/>
      <c r="H527" s="1029"/>
      <c r="I527" s="1030"/>
      <c r="J527" s="1039" t="e">
        <f>IF($F127="","",$F127*chronic_consumption!E527/1000/$C$3)</f>
        <v>#DIV/0!</v>
      </c>
      <c r="K527" s="1040" t="e">
        <f>IF($F127="","",$F127*chronic_consumption!F527/1000/$C$3)</f>
        <v>#DIV/0!</v>
      </c>
      <c r="L527" s="1040" t="e">
        <f>IF($F127="","",$F127*chronic_consumption!G527/1000/$C$3)</f>
        <v>#DIV/0!</v>
      </c>
      <c r="M527" s="1040" t="e">
        <f>IF($F127="","",$F127*chronic_consumption!H527/1000/$C$3)</f>
        <v>#DIV/0!</v>
      </c>
      <c r="N527" s="1040" t="e">
        <f>IF($F127="","",$F127*chronic_consumption!I527/1000/$C$3)</f>
        <v>#DIV/0!</v>
      </c>
      <c r="O527" s="1040" t="e">
        <f>IF($F127="","",$F127*chronic_consumption!J527/1000/$C$3)</f>
        <v>#DIV/0!</v>
      </c>
      <c r="P527" s="1040" t="e">
        <f>IF($F127="","",$F127*chronic_consumption!K527/1000/$C$3)</f>
        <v>#DIV/0!</v>
      </c>
      <c r="Q527" s="1040" t="e">
        <f>IF($F127="","",$F127*chronic_consumption!L527/1000/$C$3)</f>
        <v>#DIV/0!</v>
      </c>
      <c r="R527" s="1040" t="e">
        <f>IF($F127="","",$F127*chronic_consumption!M527/1000/$C$3)</f>
        <v>#DIV/0!</v>
      </c>
      <c r="S527" s="1040" t="e">
        <f>IF($F127="","",$F127*chronic_consumption!N527/1000/$C$3)</f>
        <v>#DIV/0!</v>
      </c>
      <c r="T527" s="1040" t="e">
        <f>IF($F127="","",$F127*chronic_consumption!O527/1000/$C$3)</f>
        <v>#DIV/0!</v>
      </c>
      <c r="U527" s="1040" t="e">
        <f>IF($F127="","",$F127*chronic_consumption!P527/1000/$C$3)</f>
        <v>#DIV/0!</v>
      </c>
      <c r="V527" s="1040" t="e">
        <f>IF($F127="","",$F127*chronic_consumption!Q527/1000/$C$3)</f>
        <v>#DIV/0!</v>
      </c>
      <c r="W527" s="1040" t="e">
        <f>IF($F127="","",$F127*chronic_consumption!R527/1000/$C$3)</f>
        <v>#DIV/0!</v>
      </c>
      <c r="X527" s="1040" t="e">
        <f>IF($F127="","",$F127*chronic_consumption!S527/1000/$C$3)</f>
        <v>#DIV/0!</v>
      </c>
      <c r="Y527" s="1040" t="e">
        <f>IF($F127="","",$F127*chronic_consumption!T527/1000/$C$3)</f>
        <v>#DIV/0!</v>
      </c>
      <c r="Z527" s="1040" t="e">
        <f>IF($F127="","",$F127*chronic_consumption!U527/1000/$C$3)</f>
        <v>#DIV/0!</v>
      </c>
      <c r="AA527" s="1040" t="e">
        <f>IF($F127="","",$F127*chronic_consumption!V527/1000/$C$3)</f>
        <v>#DIV/0!</v>
      </c>
      <c r="AB527" s="1040" t="e">
        <f>IF($F127="","",$F127*chronic_consumption!W527/1000/$C$3)</f>
        <v>#DIV/0!</v>
      </c>
      <c r="AC527" s="1040" t="e">
        <f>IF($F127="","",$F127*chronic_consumption!X527/1000/$C$3)</f>
        <v>#DIV/0!</v>
      </c>
      <c r="AD527" s="1040" t="e">
        <f>IF($F127="","",$F127*chronic_consumption!Y527/1000/$C$3)</f>
        <v>#DIV/0!</v>
      </c>
      <c r="AE527" s="1040" t="e">
        <f>IF($F127="","",$F127*chronic_consumption!Z527/1000/$C$3)</f>
        <v>#DIV/0!</v>
      </c>
      <c r="AF527" s="1040" t="e">
        <f>IF($F127="","",$F127*chronic_consumption!AA527/1000/$C$3)</f>
        <v>#DIV/0!</v>
      </c>
      <c r="AG527" s="1040" t="e">
        <f>IF($F127="","",$F127*chronic_consumption!AB527/1000/$C$3)</f>
        <v>#DIV/0!</v>
      </c>
      <c r="AH527" s="1040" t="e">
        <f>IF($F127="","",$F127*chronic_consumption!AC527/1000/$C$3)</f>
        <v>#DIV/0!</v>
      </c>
      <c r="AI527" s="1040" t="e">
        <f>IF($F127="","",$F127*chronic_consumption!AD527/1000/$C$3)</f>
        <v>#DIV/0!</v>
      </c>
      <c r="AJ527" s="1040" t="e">
        <f>IF($F127="","",$F127*chronic_consumption!AE527/1000/$C$3)</f>
        <v>#DIV/0!</v>
      </c>
      <c r="AK527" s="1040" t="e">
        <f>IF($F127="","",$F127*chronic_consumption!AF527/1000/$C$3)</f>
        <v>#DIV/0!</v>
      </c>
      <c r="AL527" s="1040" t="e">
        <f>IF($F127="","",$F127*chronic_consumption!AG527/1000/$C$3)</f>
        <v>#DIV/0!</v>
      </c>
      <c r="AM527" s="1040" t="e">
        <f>IF($F127="","",$F127*chronic_consumption!AH527/1000/$C$3)</f>
        <v>#DIV/0!</v>
      </c>
      <c r="AN527" s="1040" t="e">
        <f>IF($F127="","",$F127*chronic_consumption!AI527/1000/$C$3)</f>
        <v>#DIV/0!</v>
      </c>
      <c r="AO527" s="1040" t="e">
        <f>IF($F127="","",$F127*chronic_consumption!AJ527/1000/$C$3)</f>
        <v>#DIV/0!</v>
      </c>
      <c r="AP527" s="1040" t="e">
        <f>IF($F127="","",$F127*chronic_consumption!AK527/1000/$C$3)</f>
        <v>#DIV/0!</v>
      </c>
      <c r="AQ527" s="1040" t="e">
        <f>IF($F127="","",$F127*chronic_consumption!AL527/1000/$C$3)</f>
        <v>#DIV/0!</v>
      </c>
      <c r="AR527" s="1040" t="e">
        <f>IF($F127="","",$F127*chronic_consumption!AM527/1000/$C$3)</f>
        <v>#DIV/0!</v>
      </c>
      <c r="AS527" s="1040" t="e">
        <f>IF($F127="","",$F127*chronic_consumption!AN527/1000/$C$3)</f>
        <v>#DIV/0!</v>
      </c>
      <c r="AT527" s="1040" t="e">
        <f>IF($F127="","",$F127*chronic_consumption!AO527/1000/$C$3)</f>
        <v>#DIV/0!</v>
      </c>
      <c r="AU527" s="1040" t="e">
        <f>IF($F127="","",$F127*chronic_consumption!AP527/1000/$C$3)</f>
        <v>#DIV/0!</v>
      </c>
      <c r="AV527" s="1040" t="e">
        <f>IF($F127="","",$F127*chronic_consumption!AQ527/1000/$C$3)</f>
        <v>#DIV/0!</v>
      </c>
      <c r="AW527" s="1040" t="e">
        <f>IF($F127="","",$F127*chronic_consumption!AR527/1000/$C$3)</f>
        <v>#DIV/0!</v>
      </c>
      <c r="AX527" s="1040" t="e">
        <f>IF($F127="","",$F127*chronic_consumption!AS527/1000/$C$3)</f>
        <v>#DIV/0!</v>
      </c>
      <c r="AY527" s="1040" t="e">
        <f>IF($F127="","",$F127*chronic_consumption!AT527/1000/$C$3)</f>
        <v>#DIV/0!</v>
      </c>
      <c r="AZ527" s="44" t="s">
        <v>20</v>
      </c>
      <c r="BC527" s="29"/>
      <c r="BD527" s="29"/>
    </row>
    <row r="528" spans="1:56" ht="12" customHeight="1" outlineLevel="3" x14ac:dyDescent="0.2">
      <c r="A528" s="21">
        <f>acute_overview_children!A128</f>
        <v>4</v>
      </c>
      <c r="B528" s="325">
        <f t="shared" si="41"/>
        <v>231020</v>
      </c>
      <c r="C528" s="325" t="str">
        <f t="shared" si="41"/>
        <v>Sweet peppers/bell peppers</v>
      </c>
      <c r="D528" s="135"/>
      <c r="E528" s="1027"/>
      <c r="F528" s="87"/>
      <c r="G528" s="1027"/>
      <c r="H528" s="1029"/>
      <c r="I528" s="1030"/>
      <c r="J528" s="1039" t="e">
        <f>IF($F128="","",$F128*chronic_consumption!E528/1000/$C$3)</f>
        <v>#DIV/0!</v>
      </c>
      <c r="K528" s="1040" t="e">
        <f>IF($F128="","",$F128*chronic_consumption!F528/1000/$C$3)</f>
        <v>#DIV/0!</v>
      </c>
      <c r="L528" s="1040" t="e">
        <f>IF($F128="","",$F128*chronic_consumption!G528/1000/$C$3)</f>
        <v>#DIV/0!</v>
      </c>
      <c r="M528" s="1040" t="e">
        <f>IF($F128="","",$F128*chronic_consumption!H528/1000/$C$3)</f>
        <v>#DIV/0!</v>
      </c>
      <c r="N528" s="1040" t="e">
        <f>IF($F128="","",$F128*chronic_consumption!I528/1000/$C$3)</f>
        <v>#DIV/0!</v>
      </c>
      <c r="O528" s="1040" t="e">
        <f>IF($F128="","",$F128*chronic_consumption!J528/1000/$C$3)</f>
        <v>#DIV/0!</v>
      </c>
      <c r="P528" s="1040" t="e">
        <f>IF($F128="","",$F128*chronic_consumption!K528/1000/$C$3)</f>
        <v>#DIV/0!</v>
      </c>
      <c r="Q528" s="1040" t="e">
        <f>IF($F128="","",$F128*chronic_consumption!L528/1000/$C$3)</f>
        <v>#DIV/0!</v>
      </c>
      <c r="R528" s="1040" t="e">
        <f>IF($F128="","",$F128*chronic_consumption!M528/1000/$C$3)</f>
        <v>#DIV/0!</v>
      </c>
      <c r="S528" s="1040" t="e">
        <f>IF($F128="","",$F128*chronic_consumption!N528/1000/$C$3)</f>
        <v>#DIV/0!</v>
      </c>
      <c r="T528" s="1040" t="e">
        <f>IF($F128="","",$F128*chronic_consumption!O528/1000/$C$3)</f>
        <v>#DIV/0!</v>
      </c>
      <c r="U528" s="1040" t="e">
        <f>IF($F128="","",$F128*chronic_consumption!P528/1000/$C$3)</f>
        <v>#DIV/0!</v>
      </c>
      <c r="V528" s="1040" t="e">
        <f>IF($F128="","",$F128*chronic_consumption!Q528/1000/$C$3)</f>
        <v>#DIV/0!</v>
      </c>
      <c r="W528" s="1040" t="e">
        <f>IF($F128="","",$F128*chronic_consumption!R528/1000/$C$3)</f>
        <v>#DIV/0!</v>
      </c>
      <c r="X528" s="1040" t="e">
        <f>IF($F128="","",$F128*chronic_consumption!S528/1000/$C$3)</f>
        <v>#DIV/0!</v>
      </c>
      <c r="Y528" s="1040" t="e">
        <f>IF($F128="","",$F128*chronic_consumption!T528/1000/$C$3)</f>
        <v>#DIV/0!</v>
      </c>
      <c r="Z528" s="1040" t="e">
        <f>IF($F128="","",$F128*chronic_consumption!U528/1000/$C$3)</f>
        <v>#DIV/0!</v>
      </c>
      <c r="AA528" s="1040" t="e">
        <f>IF($F128="","",$F128*chronic_consumption!V528/1000/$C$3)</f>
        <v>#DIV/0!</v>
      </c>
      <c r="AB528" s="1040" t="e">
        <f>IF($F128="","",$F128*chronic_consumption!W528/1000/$C$3)</f>
        <v>#DIV/0!</v>
      </c>
      <c r="AC528" s="1040" t="e">
        <f>IF($F128="","",$F128*chronic_consumption!X528/1000/$C$3)</f>
        <v>#DIV/0!</v>
      </c>
      <c r="AD528" s="1040" t="e">
        <f>IF($F128="","",$F128*chronic_consumption!Y528/1000/$C$3)</f>
        <v>#DIV/0!</v>
      </c>
      <c r="AE528" s="1040" t="e">
        <f>IF($F128="","",$F128*chronic_consumption!Z528/1000/$C$3)</f>
        <v>#DIV/0!</v>
      </c>
      <c r="AF528" s="1040" t="e">
        <f>IF($F128="","",$F128*chronic_consumption!AA528/1000/$C$3)</f>
        <v>#DIV/0!</v>
      </c>
      <c r="AG528" s="1040" t="e">
        <f>IF($F128="","",$F128*chronic_consumption!AB528/1000/$C$3)</f>
        <v>#DIV/0!</v>
      </c>
      <c r="AH528" s="1040" t="e">
        <f>IF($F128="","",$F128*chronic_consumption!AC528/1000/$C$3)</f>
        <v>#DIV/0!</v>
      </c>
      <c r="AI528" s="1040" t="e">
        <f>IF($F128="","",$F128*chronic_consumption!AD528/1000/$C$3)</f>
        <v>#DIV/0!</v>
      </c>
      <c r="AJ528" s="1040" t="e">
        <f>IF($F128="","",$F128*chronic_consumption!AE528/1000/$C$3)</f>
        <v>#DIV/0!</v>
      </c>
      <c r="AK528" s="1040" t="e">
        <f>IF($F128="","",$F128*chronic_consumption!AF528/1000/$C$3)</f>
        <v>#DIV/0!</v>
      </c>
      <c r="AL528" s="1040" t="e">
        <f>IF($F128="","",$F128*chronic_consumption!AG528/1000/$C$3)</f>
        <v>#DIV/0!</v>
      </c>
      <c r="AM528" s="1040" t="e">
        <f>IF($F128="","",$F128*chronic_consumption!AH528/1000/$C$3)</f>
        <v>#DIV/0!</v>
      </c>
      <c r="AN528" s="1040" t="e">
        <f>IF($F128="","",$F128*chronic_consumption!AI528/1000/$C$3)</f>
        <v>#DIV/0!</v>
      </c>
      <c r="AO528" s="1040" t="e">
        <f>IF($F128="","",$F128*chronic_consumption!AJ528/1000/$C$3)</f>
        <v>#DIV/0!</v>
      </c>
      <c r="AP528" s="1040" t="e">
        <f>IF($F128="","",$F128*chronic_consumption!AK528/1000/$C$3)</f>
        <v>#DIV/0!</v>
      </c>
      <c r="AQ528" s="1040" t="e">
        <f>IF($F128="","",$F128*chronic_consumption!AL528/1000/$C$3)</f>
        <v>#DIV/0!</v>
      </c>
      <c r="AR528" s="1040" t="e">
        <f>IF($F128="","",$F128*chronic_consumption!AM528/1000/$C$3)</f>
        <v>#DIV/0!</v>
      </c>
      <c r="AS528" s="1040" t="e">
        <f>IF($F128="","",$F128*chronic_consumption!AN528/1000/$C$3)</f>
        <v>#DIV/0!</v>
      </c>
      <c r="AT528" s="1040" t="e">
        <f>IF($F128="","",$F128*chronic_consumption!AO528/1000/$C$3)</f>
        <v>#DIV/0!</v>
      </c>
      <c r="AU528" s="1040" t="e">
        <f>IF($F128="","",$F128*chronic_consumption!AP528/1000/$C$3)</f>
        <v>#DIV/0!</v>
      </c>
      <c r="AV528" s="1040" t="e">
        <f>IF($F128="","",$F128*chronic_consumption!AQ528/1000/$C$3)</f>
        <v>#DIV/0!</v>
      </c>
      <c r="AW528" s="1040" t="e">
        <f>IF($F128="","",$F128*chronic_consumption!AR528/1000/$C$3)</f>
        <v>#DIV/0!</v>
      </c>
      <c r="AX528" s="1040" t="e">
        <f>IF($F128="","",$F128*chronic_consumption!AS528/1000/$C$3)</f>
        <v>#DIV/0!</v>
      </c>
      <c r="AY528" s="1040" t="e">
        <f>IF($F128="","",$F128*chronic_consumption!AT528/1000/$C$3)</f>
        <v>#DIV/0!</v>
      </c>
      <c r="AZ528" s="44" t="s">
        <v>20</v>
      </c>
      <c r="BC528" s="29"/>
      <c r="BD528" s="29"/>
    </row>
    <row r="529" spans="1:56" ht="12" customHeight="1" outlineLevel="3" x14ac:dyDescent="0.2">
      <c r="A529" s="21">
        <f>acute_overview_children!A129</f>
        <v>4</v>
      </c>
      <c r="B529" s="325">
        <f t="shared" si="41"/>
        <v>231030</v>
      </c>
      <c r="C529" s="325" t="str">
        <f t="shared" si="41"/>
        <v>Aubergines/egg plants</v>
      </c>
      <c r="D529" s="135"/>
      <c r="E529" s="1027"/>
      <c r="F529" s="87"/>
      <c r="G529" s="1027"/>
      <c r="H529" s="1029"/>
      <c r="I529" s="1030"/>
      <c r="J529" s="1039" t="e">
        <f>IF($F129="","",$F129*chronic_consumption!E529/1000/$C$3)</f>
        <v>#DIV/0!</v>
      </c>
      <c r="K529" s="1040" t="e">
        <f>IF($F129="","",$F129*chronic_consumption!F529/1000/$C$3)</f>
        <v>#DIV/0!</v>
      </c>
      <c r="L529" s="1040" t="e">
        <f>IF($F129="","",$F129*chronic_consumption!G529/1000/$C$3)</f>
        <v>#DIV/0!</v>
      </c>
      <c r="M529" s="1040" t="e">
        <f>IF($F129="","",$F129*chronic_consumption!H529/1000/$C$3)</f>
        <v>#DIV/0!</v>
      </c>
      <c r="N529" s="1040" t="e">
        <f>IF($F129="","",$F129*chronic_consumption!I529/1000/$C$3)</f>
        <v>#DIV/0!</v>
      </c>
      <c r="O529" s="1040" t="e">
        <f>IF($F129="","",$F129*chronic_consumption!J529/1000/$C$3)</f>
        <v>#DIV/0!</v>
      </c>
      <c r="P529" s="1040" t="e">
        <f>IF($F129="","",$F129*chronic_consumption!K529/1000/$C$3)</f>
        <v>#DIV/0!</v>
      </c>
      <c r="Q529" s="1040" t="e">
        <f>IF($F129="","",$F129*chronic_consumption!L529/1000/$C$3)</f>
        <v>#DIV/0!</v>
      </c>
      <c r="R529" s="1040" t="e">
        <f>IF($F129="","",$F129*chronic_consumption!M529/1000/$C$3)</f>
        <v>#DIV/0!</v>
      </c>
      <c r="S529" s="1040" t="e">
        <f>IF($F129="","",$F129*chronic_consumption!N529/1000/$C$3)</f>
        <v>#DIV/0!</v>
      </c>
      <c r="T529" s="1040" t="e">
        <f>IF($F129="","",$F129*chronic_consumption!O529/1000/$C$3)</f>
        <v>#DIV/0!</v>
      </c>
      <c r="U529" s="1040" t="e">
        <f>IF($F129="","",$F129*chronic_consumption!P529/1000/$C$3)</f>
        <v>#DIV/0!</v>
      </c>
      <c r="V529" s="1040" t="e">
        <f>IF($F129="","",$F129*chronic_consumption!Q529/1000/$C$3)</f>
        <v>#DIV/0!</v>
      </c>
      <c r="W529" s="1040" t="e">
        <f>IF($F129="","",$F129*chronic_consumption!R529/1000/$C$3)</f>
        <v>#DIV/0!</v>
      </c>
      <c r="X529" s="1040" t="e">
        <f>IF($F129="","",$F129*chronic_consumption!S529/1000/$C$3)</f>
        <v>#DIV/0!</v>
      </c>
      <c r="Y529" s="1040" t="e">
        <f>IF($F129="","",$F129*chronic_consumption!T529/1000/$C$3)</f>
        <v>#DIV/0!</v>
      </c>
      <c r="Z529" s="1040" t="e">
        <f>IF($F129="","",$F129*chronic_consumption!U529/1000/$C$3)</f>
        <v>#DIV/0!</v>
      </c>
      <c r="AA529" s="1040" t="e">
        <f>IF($F129="","",$F129*chronic_consumption!V529/1000/$C$3)</f>
        <v>#DIV/0!</v>
      </c>
      <c r="AB529" s="1040" t="e">
        <f>IF($F129="","",$F129*chronic_consumption!W529/1000/$C$3)</f>
        <v>#DIV/0!</v>
      </c>
      <c r="AC529" s="1040" t="e">
        <f>IF($F129="","",$F129*chronic_consumption!X529/1000/$C$3)</f>
        <v>#DIV/0!</v>
      </c>
      <c r="AD529" s="1040" t="e">
        <f>IF($F129="","",$F129*chronic_consumption!Y529/1000/$C$3)</f>
        <v>#DIV/0!</v>
      </c>
      <c r="AE529" s="1040" t="e">
        <f>IF($F129="","",$F129*chronic_consumption!Z529/1000/$C$3)</f>
        <v>#DIV/0!</v>
      </c>
      <c r="AF529" s="1040" t="e">
        <f>IF($F129="","",$F129*chronic_consumption!AA529/1000/$C$3)</f>
        <v>#DIV/0!</v>
      </c>
      <c r="AG529" s="1040" t="e">
        <f>IF($F129="","",$F129*chronic_consumption!AB529/1000/$C$3)</f>
        <v>#DIV/0!</v>
      </c>
      <c r="AH529" s="1040" t="e">
        <f>IF($F129="","",$F129*chronic_consumption!AC529/1000/$C$3)</f>
        <v>#DIV/0!</v>
      </c>
      <c r="AI529" s="1040" t="e">
        <f>IF($F129="","",$F129*chronic_consumption!AD529/1000/$C$3)</f>
        <v>#DIV/0!</v>
      </c>
      <c r="AJ529" s="1040" t="e">
        <f>IF($F129="","",$F129*chronic_consumption!AE529/1000/$C$3)</f>
        <v>#DIV/0!</v>
      </c>
      <c r="AK529" s="1040" t="e">
        <f>IF($F129="","",$F129*chronic_consumption!AF529/1000/$C$3)</f>
        <v>#DIV/0!</v>
      </c>
      <c r="AL529" s="1040" t="e">
        <f>IF($F129="","",$F129*chronic_consumption!AG529/1000/$C$3)</f>
        <v>#DIV/0!</v>
      </c>
      <c r="AM529" s="1040" t="e">
        <f>IF($F129="","",$F129*chronic_consumption!AH529/1000/$C$3)</f>
        <v>#DIV/0!</v>
      </c>
      <c r="AN529" s="1040" t="e">
        <f>IF($F129="","",$F129*chronic_consumption!AI529/1000/$C$3)</f>
        <v>#DIV/0!</v>
      </c>
      <c r="AO529" s="1040" t="e">
        <f>IF($F129="","",$F129*chronic_consumption!AJ529/1000/$C$3)</f>
        <v>#DIV/0!</v>
      </c>
      <c r="AP529" s="1040" t="e">
        <f>IF($F129="","",$F129*chronic_consumption!AK529/1000/$C$3)</f>
        <v>#DIV/0!</v>
      </c>
      <c r="AQ529" s="1040" t="e">
        <f>IF($F129="","",$F129*chronic_consumption!AL529/1000/$C$3)</f>
        <v>#DIV/0!</v>
      </c>
      <c r="AR529" s="1040" t="e">
        <f>IF($F129="","",$F129*chronic_consumption!AM529/1000/$C$3)</f>
        <v>#DIV/0!</v>
      </c>
      <c r="AS529" s="1040" t="e">
        <f>IF($F129="","",$F129*chronic_consumption!AN529/1000/$C$3)</f>
        <v>#DIV/0!</v>
      </c>
      <c r="AT529" s="1040" t="e">
        <f>IF($F129="","",$F129*chronic_consumption!AO529/1000/$C$3)</f>
        <v>#DIV/0!</v>
      </c>
      <c r="AU529" s="1040" t="e">
        <f>IF($F129="","",$F129*chronic_consumption!AP529/1000/$C$3)</f>
        <v>#DIV/0!</v>
      </c>
      <c r="AV529" s="1040" t="e">
        <f>IF($F129="","",$F129*chronic_consumption!AQ529/1000/$C$3)</f>
        <v>#DIV/0!</v>
      </c>
      <c r="AW529" s="1040" t="e">
        <f>IF($F129="","",$F129*chronic_consumption!AR529/1000/$C$3)</f>
        <v>#DIV/0!</v>
      </c>
      <c r="AX529" s="1040" t="e">
        <f>IF($F129="","",$F129*chronic_consumption!AS529/1000/$C$3)</f>
        <v>#DIV/0!</v>
      </c>
      <c r="AY529" s="1040" t="e">
        <f>IF($F129="","",$F129*chronic_consumption!AT529/1000/$C$3)</f>
        <v>#DIV/0!</v>
      </c>
      <c r="AZ529" s="44" t="s">
        <v>20</v>
      </c>
      <c r="BC529" s="29"/>
      <c r="BD529" s="29"/>
    </row>
    <row r="530" spans="1:56" ht="12" customHeight="1" outlineLevel="3" x14ac:dyDescent="0.2">
      <c r="A530" s="21">
        <f>acute_overview_children!A130</f>
        <v>4</v>
      </c>
      <c r="B530" s="325">
        <f t="shared" si="41"/>
        <v>231040</v>
      </c>
      <c r="C530" s="325" t="str">
        <f t="shared" si="41"/>
        <v>Okra/lady’s fingers</v>
      </c>
      <c r="D530" s="135"/>
      <c r="E530" s="1027"/>
      <c r="F530" s="87"/>
      <c r="G530" s="1027"/>
      <c r="H530" s="1029"/>
      <c r="I530" s="1030"/>
      <c r="J530" s="1039" t="e">
        <f>IF($F130="","",$F130*chronic_consumption!E530/1000/$C$3)</f>
        <v>#DIV/0!</v>
      </c>
      <c r="K530" s="1040" t="e">
        <f>IF($F130="","",$F130*chronic_consumption!F530/1000/$C$3)</f>
        <v>#DIV/0!</v>
      </c>
      <c r="L530" s="1040" t="e">
        <f>IF($F130="","",$F130*chronic_consumption!G530/1000/$C$3)</f>
        <v>#DIV/0!</v>
      </c>
      <c r="M530" s="1040" t="e">
        <f>IF($F130="","",$F130*chronic_consumption!H530/1000/$C$3)</f>
        <v>#DIV/0!</v>
      </c>
      <c r="N530" s="1040" t="e">
        <f>IF($F130="","",$F130*chronic_consumption!I530/1000/$C$3)</f>
        <v>#DIV/0!</v>
      </c>
      <c r="O530" s="1040" t="e">
        <f>IF($F130="","",$F130*chronic_consumption!J530/1000/$C$3)</f>
        <v>#DIV/0!</v>
      </c>
      <c r="P530" s="1040" t="e">
        <f>IF($F130="","",$F130*chronic_consumption!K530/1000/$C$3)</f>
        <v>#DIV/0!</v>
      </c>
      <c r="Q530" s="1040" t="e">
        <f>IF($F130="","",$F130*chronic_consumption!L530/1000/$C$3)</f>
        <v>#DIV/0!</v>
      </c>
      <c r="R530" s="1040" t="e">
        <f>IF($F130="","",$F130*chronic_consumption!M530/1000/$C$3)</f>
        <v>#DIV/0!</v>
      </c>
      <c r="S530" s="1040" t="e">
        <f>IF($F130="","",$F130*chronic_consumption!N530/1000/$C$3)</f>
        <v>#DIV/0!</v>
      </c>
      <c r="T530" s="1040" t="e">
        <f>IF($F130="","",$F130*chronic_consumption!O530/1000/$C$3)</f>
        <v>#DIV/0!</v>
      </c>
      <c r="U530" s="1040" t="e">
        <f>IF($F130="","",$F130*chronic_consumption!P530/1000/$C$3)</f>
        <v>#DIV/0!</v>
      </c>
      <c r="V530" s="1040" t="e">
        <f>IF($F130="","",$F130*chronic_consumption!Q530/1000/$C$3)</f>
        <v>#DIV/0!</v>
      </c>
      <c r="W530" s="1040" t="e">
        <f>IF($F130="","",$F130*chronic_consumption!R530/1000/$C$3)</f>
        <v>#DIV/0!</v>
      </c>
      <c r="X530" s="1040" t="e">
        <f>IF($F130="","",$F130*chronic_consumption!S530/1000/$C$3)</f>
        <v>#DIV/0!</v>
      </c>
      <c r="Y530" s="1040" t="e">
        <f>IF($F130="","",$F130*chronic_consumption!T530/1000/$C$3)</f>
        <v>#DIV/0!</v>
      </c>
      <c r="Z530" s="1040" t="e">
        <f>IF($F130="","",$F130*chronic_consumption!U530/1000/$C$3)</f>
        <v>#DIV/0!</v>
      </c>
      <c r="AA530" s="1040" t="e">
        <f>IF($F130="","",$F130*chronic_consumption!V530/1000/$C$3)</f>
        <v>#DIV/0!</v>
      </c>
      <c r="AB530" s="1040" t="e">
        <f>IF($F130="","",$F130*chronic_consumption!W530/1000/$C$3)</f>
        <v>#DIV/0!</v>
      </c>
      <c r="AC530" s="1040" t="e">
        <f>IF($F130="","",$F130*chronic_consumption!X530/1000/$C$3)</f>
        <v>#DIV/0!</v>
      </c>
      <c r="AD530" s="1040" t="e">
        <f>IF($F130="","",$F130*chronic_consumption!Y530/1000/$C$3)</f>
        <v>#DIV/0!</v>
      </c>
      <c r="AE530" s="1040" t="e">
        <f>IF($F130="","",$F130*chronic_consumption!Z530/1000/$C$3)</f>
        <v>#DIV/0!</v>
      </c>
      <c r="AF530" s="1040" t="e">
        <f>IF($F130="","",$F130*chronic_consumption!AA530/1000/$C$3)</f>
        <v>#DIV/0!</v>
      </c>
      <c r="AG530" s="1040" t="e">
        <f>IF($F130="","",$F130*chronic_consumption!AB530/1000/$C$3)</f>
        <v>#DIV/0!</v>
      </c>
      <c r="AH530" s="1040" t="e">
        <f>IF($F130="","",$F130*chronic_consumption!AC530/1000/$C$3)</f>
        <v>#DIV/0!</v>
      </c>
      <c r="AI530" s="1040" t="e">
        <f>IF($F130="","",$F130*chronic_consumption!AD530/1000/$C$3)</f>
        <v>#DIV/0!</v>
      </c>
      <c r="AJ530" s="1040" t="e">
        <f>IF($F130="","",$F130*chronic_consumption!AE530/1000/$C$3)</f>
        <v>#DIV/0!</v>
      </c>
      <c r="AK530" s="1040" t="e">
        <f>IF($F130="","",$F130*chronic_consumption!AF530/1000/$C$3)</f>
        <v>#DIV/0!</v>
      </c>
      <c r="AL530" s="1040" t="e">
        <f>IF($F130="","",$F130*chronic_consumption!AG530/1000/$C$3)</f>
        <v>#DIV/0!</v>
      </c>
      <c r="AM530" s="1040" t="e">
        <f>IF($F130="","",$F130*chronic_consumption!AH530/1000/$C$3)</f>
        <v>#DIV/0!</v>
      </c>
      <c r="AN530" s="1040" t="e">
        <f>IF($F130="","",$F130*chronic_consumption!AI530/1000/$C$3)</f>
        <v>#DIV/0!</v>
      </c>
      <c r="AO530" s="1040" t="e">
        <f>IF($F130="","",$F130*chronic_consumption!AJ530/1000/$C$3)</f>
        <v>#DIV/0!</v>
      </c>
      <c r="AP530" s="1040" t="e">
        <f>IF($F130="","",$F130*chronic_consumption!AK530/1000/$C$3)</f>
        <v>#DIV/0!</v>
      </c>
      <c r="AQ530" s="1040" t="e">
        <f>IF($F130="","",$F130*chronic_consumption!AL530/1000/$C$3)</f>
        <v>#DIV/0!</v>
      </c>
      <c r="AR530" s="1040" t="e">
        <f>IF($F130="","",$F130*chronic_consumption!AM530/1000/$C$3)</f>
        <v>#DIV/0!</v>
      </c>
      <c r="AS530" s="1040" t="e">
        <f>IF($F130="","",$F130*chronic_consumption!AN530/1000/$C$3)</f>
        <v>#DIV/0!</v>
      </c>
      <c r="AT530" s="1040" t="e">
        <f>IF($F130="","",$F130*chronic_consumption!AO530/1000/$C$3)</f>
        <v>#DIV/0!</v>
      </c>
      <c r="AU530" s="1040" t="e">
        <f>IF($F130="","",$F130*chronic_consumption!AP530/1000/$C$3)</f>
        <v>#DIV/0!</v>
      </c>
      <c r="AV530" s="1040" t="e">
        <f>IF($F130="","",$F130*chronic_consumption!AQ530/1000/$C$3)</f>
        <v>#DIV/0!</v>
      </c>
      <c r="AW530" s="1040" t="e">
        <f>IF($F130="","",$F130*chronic_consumption!AR530/1000/$C$3)</f>
        <v>#DIV/0!</v>
      </c>
      <c r="AX530" s="1040" t="e">
        <f>IF($F130="","",$F130*chronic_consumption!AS530/1000/$C$3)</f>
        <v>#DIV/0!</v>
      </c>
      <c r="AY530" s="1040" t="e">
        <f>IF($F130="","",$F130*chronic_consumption!AT530/1000/$C$3)</f>
        <v>#DIV/0!</v>
      </c>
      <c r="AZ530" s="44" t="s">
        <v>20</v>
      </c>
      <c r="BC530" s="29"/>
      <c r="BD530" s="29"/>
    </row>
    <row r="531" spans="1:56" ht="12" customHeight="1" outlineLevel="3" x14ac:dyDescent="0.2">
      <c r="A531" s="21">
        <f>acute_overview_children!A131</f>
        <v>4</v>
      </c>
      <c r="B531" s="325">
        <f t="shared" si="41"/>
        <v>231990</v>
      </c>
      <c r="C531" s="325" t="str">
        <f t="shared" si="41"/>
        <v>Other solanacea</v>
      </c>
      <c r="D531" s="135"/>
      <c r="E531" s="1027"/>
      <c r="F531" s="87"/>
      <c r="G531" s="1027"/>
      <c r="H531" s="1029"/>
      <c r="I531" s="1030"/>
      <c r="J531" s="1039" t="e">
        <f>IF($F131="","",$F131*chronic_consumption!E531/1000/$C$3)</f>
        <v>#DIV/0!</v>
      </c>
      <c r="K531" s="1040" t="e">
        <f>IF($F131="","",$F131*chronic_consumption!F531/1000/$C$3)</f>
        <v>#DIV/0!</v>
      </c>
      <c r="L531" s="1040" t="e">
        <f>IF($F131="","",$F131*chronic_consumption!G531/1000/$C$3)</f>
        <v>#DIV/0!</v>
      </c>
      <c r="M531" s="1040" t="e">
        <f>IF($F131="","",$F131*chronic_consumption!H531/1000/$C$3)</f>
        <v>#DIV/0!</v>
      </c>
      <c r="N531" s="1040" t="e">
        <f>IF($F131="","",$F131*chronic_consumption!I531/1000/$C$3)</f>
        <v>#DIV/0!</v>
      </c>
      <c r="O531" s="1040" t="e">
        <f>IF($F131="","",$F131*chronic_consumption!J531/1000/$C$3)</f>
        <v>#DIV/0!</v>
      </c>
      <c r="P531" s="1040" t="e">
        <f>IF($F131="","",$F131*chronic_consumption!K531/1000/$C$3)</f>
        <v>#DIV/0!</v>
      </c>
      <c r="Q531" s="1040" t="e">
        <f>IF($F131="","",$F131*chronic_consumption!L531/1000/$C$3)</f>
        <v>#DIV/0!</v>
      </c>
      <c r="R531" s="1040" t="e">
        <f>IF($F131="","",$F131*chronic_consumption!M531/1000/$C$3)</f>
        <v>#DIV/0!</v>
      </c>
      <c r="S531" s="1040" t="e">
        <f>IF($F131="","",$F131*chronic_consumption!N531/1000/$C$3)</f>
        <v>#DIV/0!</v>
      </c>
      <c r="T531" s="1040" t="e">
        <f>IF($F131="","",$F131*chronic_consumption!O531/1000/$C$3)</f>
        <v>#DIV/0!</v>
      </c>
      <c r="U531" s="1040" t="e">
        <f>IF($F131="","",$F131*chronic_consumption!P531/1000/$C$3)</f>
        <v>#DIV/0!</v>
      </c>
      <c r="V531" s="1040" t="e">
        <f>IF($F131="","",$F131*chronic_consumption!Q531/1000/$C$3)</f>
        <v>#DIV/0!</v>
      </c>
      <c r="W531" s="1040" t="e">
        <f>IF($F131="","",$F131*chronic_consumption!R531/1000/$C$3)</f>
        <v>#DIV/0!</v>
      </c>
      <c r="X531" s="1040" t="e">
        <f>IF($F131="","",$F131*chronic_consumption!S531/1000/$C$3)</f>
        <v>#DIV/0!</v>
      </c>
      <c r="Y531" s="1040" t="e">
        <f>IF($F131="","",$F131*chronic_consumption!T531/1000/$C$3)</f>
        <v>#DIV/0!</v>
      </c>
      <c r="Z531" s="1040" t="e">
        <f>IF($F131="","",$F131*chronic_consumption!U531/1000/$C$3)</f>
        <v>#DIV/0!</v>
      </c>
      <c r="AA531" s="1040" t="e">
        <f>IF($F131="","",$F131*chronic_consumption!V531/1000/$C$3)</f>
        <v>#DIV/0!</v>
      </c>
      <c r="AB531" s="1040" t="e">
        <f>IF($F131="","",$F131*chronic_consumption!W531/1000/$C$3)</f>
        <v>#DIV/0!</v>
      </c>
      <c r="AC531" s="1040" t="e">
        <f>IF($F131="","",$F131*chronic_consumption!X531/1000/$C$3)</f>
        <v>#DIV/0!</v>
      </c>
      <c r="AD531" s="1040" t="e">
        <f>IF($F131="","",$F131*chronic_consumption!Y531/1000/$C$3)</f>
        <v>#DIV/0!</v>
      </c>
      <c r="AE531" s="1040" t="e">
        <f>IF($F131="","",$F131*chronic_consumption!Z531/1000/$C$3)</f>
        <v>#DIV/0!</v>
      </c>
      <c r="AF531" s="1040" t="e">
        <f>IF($F131="","",$F131*chronic_consumption!AA531/1000/$C$3)</f>
        <v>#DIV/0!</v>
      </c>
      <c r="AG531" s="1040" t="e">
        <f>IF($F131="","",$F131*chronic_consumption!AB531/1000/$C$3)</f>
        <v>#DIV/0!</v>
      </c>
      <c r="AH531" s="1040" t="e">
        <f>IF($F131="","",$F131*chronic_consumption!AC531/1000/$C$3)</f>
        <v>#DIV/0!</v>
      </c>
      <c r="AI531" s="1040" t="e">
        <f>IF($F131="","",$F131*chronic_consumption!AD531/1000/$C$3)</f>
        <v>#DIV/0!</v>
      </c>
      <c r="AJ531" s="1040" t="e">
        <f>IF($F131="","",$F131*chronic_consumption!AE531/1000/$C$3)</f>
        <v>#DIV/0!</v>
      </c>
      <c r="AK531" s="1040" t="e">
        <f>IF($F131="","",$F131*chronic_consumption!AF531/1000/$C$3)</f>
        <v>#DIV/0!</v>
      </c>
      <c r="AL531" s="1040" t="e">
        <f>IF($F131="","",$F131*chronic_consumption!AG531/1000/$C$3)</f>
        <v>#DIV/0!</v>
      </c>
      <c r="AM531" s="1040" t="e">
        <f>IF($F131="","",$F131*chronic_consumption!AH531/1000/$C$3)</f>
        <v>#DIV/0!</v>
      </c>
      <c r="AN531" s="1040" t="e">
        <f>IF($F131="","",$F131*chronic_consumption!AI531/1000/$C$3)</f>
        <v>#DIV/0!</v>
      </c>
      <c r="AO531" s="1040" t="e">
        <f>IF($F131="","",$F131*chronic_consumption!AJ531/1000/$C$3)</f>
        <v>#DIV/0!</v>
      </c>
      <c r="AP531" s="1040" t="e">
        <f>IF($F131="","",$F131*chronic_consumption!AK531/1000/$C$3)</f>
        <v>#DIV/0!</v>
      </c>
      <c r="AQ531" s="1040" t="e">
        <f>IF($F131="","",$F131*chronic_consumption!AL531/1000/$C$3)</f>
        <v>#DIV/0!</v>
      </c>
      <c r="AR531" s="1040" t="e">
        <f>IF($F131="","",$F131*chronic_consumption!AM531/1000/$C$3)</f>
        <v>#DIV/0!</v>
      </c>
      <c r="AS531" s="1040" t="e">
        <f>IF($F131="","",$F131*chronic_consumption!AN531/1000/$C$3)</f>
        <v>#DIV/0!</v>
      </c>
      <c r="AT531" s="1040" t="e">
        <f>IF($F131="","",$F131*chronic_consumption!AO531/1000/$C$3)</f>
        <v>#DIV/0!</v>
      </c>
      <c r="AU531" s="1040" t="e">
        <f>IF($F131="","",$F131*chronic_consumption!AP531/1000/$C$3)</f>
        <v>#DIV/0!</v>
      </c>
      <c r="AV531" s="1040" t="e">
        <f>IF($F131="","",$F131*chronic_consumption!AQ531/1000/$C$3)</f>
        <v>#DIV/0!</v>
      </c>
      <c r="AW531" s="1040" t="e">
        <f>IF($F131="","",$F131*chronic_consumption!AR531/1000/$C$3)</f>
        <v>#DIV/0!</v>
      </c>
      <c r="AX531" s="1040" t="e">
        <f>IF($F131="","",$F131*chronic_consumption!AS531/1000/$C$3)</f>
        <v>#DIV/0!</v>
      </c>
      <c r="AY531" s="1040" t="e">
        <f>IF($F131="","",$F131*chronic_consumption!AT531/1000/$C$3)</f>
        <v>#DIV/0!</v>
      </c>
      <c r="AZ531" s="44" t="s">
        <v>20</v>
      </c>
      <c r="BC531" s="29"/>
      <c r="BD531" s="29"/>
    </row>
    <row r="532" spans="1:56" ht="12" customHeight="1" outlineLevel="2" x14ac:dyDescent="0.2">
      <c r="A532" s="341">
        <f>acute_overview_children!A132</f>
        <v>3</v>
      </c>
      <c r="B532" s="1041">
        <f t="shared" ref="B532:C551" si="42">B132</f>
        <v>232000</v>
      </c>
      <c r="C532" s="1041" t="str">
        <f t="shared" si="42"/>
        <v>Cucurbits - edible peel</v>
      </c>
      <c r="D532" s="1042"/>
      <c r="E532" s="1027"/>
      <c r="F532" s="87"/>
      <c r="G532" s="1027"/>
      <c r="H532" s="1029"/>
      <c r="I532" s="1030"/>
      <c r="J532" s="1043" t="e">
        <f>IF($F132="","",$F132*chronic_consumption!E532/1000/$C$3)</f>
        <v>#DIV/0!</v>
      </c>
      <c r="K532" s="1044" t="e">
        <f>IF($F132="","",$F132*chronic_consumption!F532/1000/$C$3)</f>
        <v>#DIV/0!</v>
      </c>
      <c r="L532" s="1044" t="e">
        <f>IF($F132="","",$F132*chronic_consumption!G532/1000/$C$3)</f>
        <v>#DIV/0!</v>
      </c>
      <c r="M532" s="1044" t="e">
        <f>IF($F132="","",$F132*chronic_consumption!H532/1000/$C$3)</f>
        <v>#DIV/0!</v>
      </c>
      <c r="N532" s="1044" t="e">
        <f>IF($F132="","",$F132*chronic_consumption!I532/1000/$C$3)</f>
        <v>#DIV/0!</v>
      </c>
      <c r="O532" s="1044" t="e">
        <f>IF($F132="","",$F132*chronic_consumption!J532/1000/$C$3)</f>
        <v>#DIV/0!</v>
      </c>
      <c r="P532" s="1044" t="e">
        <f>IF($F132="","",$F132*chronic_consumption!K532/1000/$C$3)</f>
        <v>#DIV/0!</v>
      </c>
      <c r="Q532" s="1044" t="e">
        <f>IF($F132="","",$F132*chronic_consumption!L532/1000/$C$3)</f>
        <v>#DIV/0!</v>
      </c>
      <c r="R532" s="1044" t="e">
        <f>IF($F132="","",$F132*chronic_consumption!M532/1000/$C$3)</f>
        <v>#DIV/0!</v>
      </c>
      <c r="S532" s="1044" t="e">
        <f>IF($F132="","",$F132*chronic_consumption!N532/1000/$C$3)</f>
        <v>#DIV/0!</v>
      </c>
      <c r="T532" s="1044" t="e">
        <f>IF($F132="","",$F132*chronic_consumption!O532/1000/$C$3)</f>
        <v>#DIV/0!</v>
      </c>
      <c r="U532" s="1044" t="e">
        <f>IF($F132="","",$F132*chronic_consumption!P532/1000/$C$3)</f>
        <v>#DIV/0!</v>
      </c>
      <c r="V532" s="1044" t="e">
        <f>IF($F132="","",$F132*chronic_consumption!Q532/1000/$C$3)</f>
        <v>#DIV/0!</v>
      </c>
      <c r="W532" s="1044" t="e">
        <f>IF($F132="","",$F132*chronic_consumption!R532/1000/$C$3)</f>
        <v>#DIV/0!</v>
      </c>
      <c r="X532" s="1044" t="e">
        <f>IF($F132="","",$F132*chronic_consumption!S532/1000/$C$3)</f>
        <v>#DIV/0!</v>
      </c>
      <c r="Y532" s="1044" t="e">
        <f>IF($F132="","",$F132*chronic_consumption!T532/1000/$C$3)</f>
        <v>#DIV/0!</v>
      </c>
      <c r="Z532" s="1044" t="e">
        <f>IF($F132="","",$F132*chronic_consumption!U532/1000/$C$3)</f>
        <v>#DIV/0!</v>
      </c>
      <c r="AA532" s="1044" t="e">
        <f>IF($F132="","",$F132*chronic_consumption!V532/1000/$C$3)</f>
        <v>#DIV/0!</v>
      </c>
      <c r="AB532" s="1044" t="e">
        <f>IF($F132="","",$F132*chronic_consumption!W532/1000/$C$3)</f>
        <v>#DIV/0!</v>
      </c>
      <c r="AC532" s="1044" t="e">
        <f>IF($F132="","",$F132*chronic_consumption!X532/1000/$C$3)</f>
        <v>#DIV/0!</v>
      </c>
      <c r="AD532" s="1044" t="e">
        <f>IF($F132="","",$F132*chronic_consumption!Y532/1000/$C$3)</f>
        <v>#DIV/0!</v>
      </c>
      <c r="AE532" s="1044" t="e">
        <f>IF($F132="","",$F132*chronic_consumption!Z532/1000/$C$3)</f>
        <v>#DIV/0!</v>
      </c>
      <c r="AF532" s="1044" t="e">
        <f>IF($F132="","",$F132*chronic_consumption!AA532/1000/$C$3)</f>
        <v>#DIV/0!</v>
      </c>
      <c r="AG532" s="1044" t="e">
        <f>IF($F132="","",$F132*chronic_consumption!AB532/1000/$C$3)</f>
        <v>#DIV/0!</v>
      </c>
      <c r="AH532" s="1044" t="e">
        <f>IF($F132="","",$F132*chronic_consumption!AC532/1000/$C$3)</f>
        <v>#DIV/0!</v>
      </c>
      <c r="AI532" s="1044" t="e">
        <f>IF($F132="","",$F132*chronic_consumption!AD532/1000/$C$3)</f>
        <v>#DIV/0!</v>
      </c>
      <c r="AJ532" s="1044" t="e">
        <f>IF($F132="","",$F132*chronic_consumption!AE532/1000/$C$3)</f>
        <v>#DIV/0!</v>
      </c>
      <c r="AK532" s="1044" t="e">
        <f>IF($F132="","",$F132*chronic_consumption!AF532/1000/$C$3)</f>
        <v>#DIV/0!</v>
      </c>
      <c r="AL532" s="1044" t="e">
        <f>IF($F132="","",$F132*chronic_consumption!AG532/1000/$C$3)</f>
        <v>#DIV/0!</v>
      </c>
      <c r="AM532" s="1044" t="e">
        <f>IF($F132="","",$F132*chronic_consumption!AH532/1000/$C$3)</f>
        <v>#DIV/0!</v>
      </c>
      <c r="AN532" s="1044" t="e">
        <f>IF($F132="","",$F132*chronic_consumption!AI532/1000/$C$3)</f>
        <v>#DIV/0!</v>
      </c>
      <c r="AO532" s="1044" t="e">
        <f>IF($F132="","",$F132*chronic_consumption!AJ532/1000/$C$3)</f>
        <v>#DIV/0!</v>
      </c>
      <c r="AP532" s="1044" t="e">
        <f>IF($F132="","",$F132*chronic_consumption!AK532/1000/$C$3)</f>
        <v>#DIV/0!</v>
      </c>
      <c r="AQ532" s="1044" t="e">
        <f>IF($F132="","",$F132*chronic_consumption!AL532/1000/$C$3)</f>
        <v>#DIV/0!</v>
      </c>
      <c r="AR532" s="1044" t="e">
        <f>IF($F132="","",$F132*chronic_consumption!AM532/1000/$C$3)</f>
        <v>#DIV/0!</v>
      </c>
      <c r="AS532" s="1044" t="e">
        <f>IF($F132="","",$F132*chronic_consumption!AN532/1000/$C$3)</f>
        <v>#DIV/0!</v>
      </c>
      <c r="AT532" s="1044" t="e">
        <f>IF($F132="","",$F132*chronic_consumption!AO532/1000/$C$3)</f>
        <v>#DIV/0!</v>
      </c>
      <c r="AU532" s="1044" t="e">
        <f>IF($F132="","",$F132*chronic_consumption!AP532/1000/$C$3)</f>
        <v>#DIV/0!</v>
      </c>
      <c r="AV532" s="1044" t="e">
        <f>IF($F132="","",$F132*chronic_consumption!AQ532/1000/$C$3)</f>
        <v>#DIV/0!</v>
      </c>
      <c r="AW532" s="1044" t="e">
        <f>IF($F132="","",$F132*chronic_consumption!AR532/1000/$C$3)</f>
        <v>#DIV/0!</v>
      </c>
      <c r="AX532" s="1044" t="e">
        <f>IF($F132="","",$F132*chronic_consumption!AS532/1000/$C$3)</f>
        <v>#DIV/0!</v>
      </c>
      <c r="AY532" s="1044" t="e">
        <f>IF($F132="","",$F132*chronic_consumption!AT532/1000/$C$3)</f>
        <v>#DIV/0!</v>
      </c>
      <c r="AZ532" s="44" t="s">
        <v>20</v>
      </c>
      <c r="BC532" s="29"/>
      <c r="BD532" s="29"/>
    </row>
    <row r="533" spans="1:56" ht="12" customHeight="1" outlineLevel="3" x14ac:dyDescent="0.2">
      <c r="A533" s="21">
        <f>acute_overview_children!A133</f>
        <v>4</v>
      </c>
      <c r="B533" s="325">
        <f t="shared" si="42"/>
        <v>232010</v>
      </c>
      <c r="C533" s="325" t="str">
        <f t="shared" si="42"/>
        <v>Cucumbers</v>
      </c>
      <c r="D533" s="135"/>
      <c r="E533" s="1027"/>
      <c r="F533" s="87"/>
      <c r="G533" s="1027"/>
      <c r="H533" s="1029"/>
      <c r="I533" s="1030"/>
      <c r="J533" s="1039" t="e">
        <f>IF($F133="","",$F133*chronic_consumption!E533/1000/$C$3)</f>
        <v>#DIV/0!</v>
      </c>
      <c r="K533" s="1040" t="e">
        <f>IF($F133="","",$F133*chronic_consumption!F533/1000/$C$3)</f>
        <v>#DIV/0!</v>
      </c>
      <c r="L533" s="1040" t="e">
        <f>IF($F133="","",$F133*chronic_consumption!G533/1000/$C$3)</f>
        <v>#DIV/0!</v>
      </c>
      <c r="M533" s="1040" t="e">
        <f>IF($F133="","",$F133*chronic_consumption!H533/1000/$C$3)</f>
        <v>#DIV/0!</v>
      </c>
      <c r="N533" s="1040" t="e">
        <f>IF($F133="","",$F133*chronic_consumption!I533/1000/$C$3)</f>
        <v>#DIV/0!</v>
      </c>
      <c r="O533" s="1040" t="e">
        <f>IF($F133="","",$F133*chronic_consumption!J533/1000/$C$3)</f>
        <v>#DIV/0!</v>
      </c>
      <c r="P533" s="1040" t="e">
        <f>IF($F133="","",$F133*chronic_consumption!K533/1000/$C$3)</f>
        <v>#DIV/0!</v>
      </c>
      <c r="Q533" s="1040" t="e">
        <f>IF($F133="","",$F133*chronic_consumption!L533/1000/$C$3)</f>
        <v>#DIV/0!</v>
      </c>
      <c r="R533" s="1040" t="e">
        <f>IF($F133="","",$F133*chronic_consumption!M533/1000/$C$3)</f>
        <v>#DIV/0!</v>
      </c>
      <c r="S533" s="1040" t="e">
        <f>IF($F133="","",$F133*chronic_consumption!N533/1000/$C$3)</f>
        <v>#DIV/0!</v>
      </c>
      <c r="T533" s="1040" t="e">
        <f>IF($F133="","",$F133*chronic_consumption!O533/1000/$C$3)</f>
        <v>#DIV/0!</v>
      </c>
      <c r="U533" s="1040" t="e">
        <f>IF($F133="","",$F133*chronic_consumption!P533/1000/$C$3)</f>
        <v>#DIV/0!</v>
      </c>
      <c r="V533" s="1040" t="e">
        <f>IF($F133="","",$F133*chronic_consumption!Q533/1000/$C$3)</f>
        <v>#DIV/0!</v>
      </c>
      <c r="W533" s="1040" t="e">
        <f>IF($F133="","",$F133*chronic_consumption!R533/1000/$C$3)</f>
        <v>#DIV/0!</v>
      </c>
      <c r="X533" s="1040" t="e">
        <f>IF($F133="","",$F133*chronic_consumption!S533/1000/$C$3)</f>
        <v>#DIV/0!</v>
      </c>
      <c r="Y533" s="1040" t="e">
        <f>IF($F133="","",$F133*chronic_consumption!T533/1000/$C$3)</f>
        <v>#DIV/0!</v>
      </c>
      <c r="Z533" s="1040" t="e">
        <f>IF($F133="","",$F133*chronic_consumption!U533/1000/$C$3)</f>
        <v>#DIV/0!</v>
      </c>
      <c r="AA533" s="1040" t="e">
        <f>IF($F133="","",$F133*chronic_consumption!V533/1000/$C$3)</f>
        <v>#DIV/0!</v>
      </c>
      <c r="AB533" s="1040" t="e">
        <f>IF($F133="","",$F133*chronic_consumption!W533/1000/$C$3)</f>
        <v>#DIV/0!</v>
      </c>
      <c r="AC533" s="1040" t="e">
        <f>IF($F133="","",$F133*chronic_consumption!X533/1000/$C$3)</f>
        <v>#DIV/0!</v>
      </c>
      <c r="AD533" s="1040" t="e">
        <f>IF($F133="","",$F133*chronic_consumption!Y533/1000/$C$3)</f>
        <v>#DIV/0!</v>
      </c>
      <c r="AE533" s="1040" t="e">
        <f>IF($F133="","",$F133*chronic_consumption!Z533/1000/$C$3)</f>
        <v>#DIV/0!</v>
      </c>
      <c r="AF533" s="1040" t="e">
        <f>IF($F133="","",$F133*chronic_consumption!AA533/1000/$C$3)</f>
        <v>#DIV/0!</v>
      </c>
      <c r="AG533" s="1040" t="e">
        <f>IF($F133="","",$F133*chronic_consumption!AB533/1000/$C$3)</f>
        <v>#DIV/0!</v>
      </c>
      <c r="AH533" s="1040" t="e">
        <f>IF($F133="","",$F133*chronic_consumption!AC533/1000/$C$3)</f>
        <v>#DIV/0!</v>
      </c>
      <c r="AI533" s="1040" t="e">
        <f>IF($F133="","",$F133*chronic_consumption!AD533/1000/$C$3)</f>
        <v>#DIV/0!</v>
      </c>
      <c r="AJ533" s="1040" t="e">
        <f>IF($F133="","",$F133*chronic_consumption!AE533/1000/$C$3)</f>
        <v>#DIV/0!</v>
      </c>
      <c r="AK533" s="1040" t="e">
        <f>IF($F133="","",$F133*chronic_consumption!AF533/1000/$C$3)</f>
        <v>#DIV/0!</v>
      </c>
      <c r="AL533" s="1040" t="e">
        <f>IF($F133="","",$F133*chronic_consumption!AG533/1000/$C$3)</f>
        <v>#DIV/0!</v>
      </c>
      <c r="AM533" s="1040" t="e">
        <f>IF($F133="","",$F133*chronic_consumption!AH533/1000/$C$3)</f>
        <v>#DIV/0!</v>
      </c>
      <c r="AN533" s="1040" t="e">
        <f>IF($F133="","",$F133*chronic_consumption!AI533/1000/$C$3)</f>
        <v>#DIV/0!</v>
      </c>
      <c r="AO533" s="1040" t="e">
        <f>IF($F133="","",$F133*chronic_consumption!AJ533/1000/$C$3)</f>
        <v>#DIV/0!</v>
      </c>
      <c r="AP533" s="1040" t="e">
        <f>IF($F133="","",$F133*chronic_consumption!AK533/1000/$C$3)</f>
        <v>#DIV/0!</v>
      </c>
      <c r="AQ533" s="1040" t="e">
        <f>IF($F133="","",$F133*chronic_consumption!AL533/1000/$C$3)</f>
        <v>#DIV/0!</v>
      </c>
      <c r="AR533" s="1040" t="e">
        <f>IF($F133="","",$F133*chronic_consumption!AM533/1000/$C$3)</f>
        <v>#DIV/0!</v>
      </c>
      <c r="AS533" s="1040" t="e">
        <f>IF($F133="","",$F133*chronic_consumption!AN533/1000/$C$3)</f>
        <v>#DIV/0!</v>
      </c>
      <c r="AT533" s="1040" t="e">
        <f>IF($F133="","",$F133*chronic_consumption!AO533/1000/$C$3)</f>
        <v>#DIV/0!</v>
      </c>
      <c r="AU533" s="1040" t="e">
        <f>IF($F133="","",$F133*chronic_consumption!AP533/1000/$C$3)</f>
        <v>#DIV/0!</v>
      </c>
      <c r="AV533" s="1040" t="e">
        <f>IF($F133="","",$F133*chronic_consumption!AQ533/1000/$C$3)</f>
        <v>#DIV/0!</v>
      </c>
      <c r="AW533" s="1040" t="e">
        <f>IF($F133="","",$F133*chronic_consumption!AR533/1000/$C$3)</f>
        <v>#DIV/0!</v>
      </c>
      <c r="AX533" s="1040" t="e">
        <f>IF($F133="","",$F133*chronic_consumption!AS533/1000/$C$3)</f>
        <v>#DIV/0!</v>
      </c>
      <c r="AY533" s="1040" t="e">
        <f>IF($F133="","",$F133*chronic_consumption!AT533/1000/$C$3)</f>
        <v>#DIV/0!</v>
      </c>
      <c r="AZ533" s="44" t="s">
        <v>20</v>
      </c>
      <c r="BC533" s="29"/>
      <c r="BD533" s="29"/>
    </row>
    <row r="534" spans="1:56" ht="12" customHeight="1" outlineLevel="3" x14ac:dyDescent="0.2">
      <c r="A534" s="21">
        <f>acute_overview_children!A134</f>
        <v>4</v>
      </c>
      <c r="B534" s="325">
        <f t="shared" si="42"/>
        <v>232020</v>
      </c>
      <c r="C534" s="325" t="str">
        <f t="shared" si="42"/>
        <v>Gherkins</v>
      </c>
      <c r="D534" s="135"/>
      <c r="E534" s="1027"/>
      <c r="F534" s="87"/>
      <c r="G534" s="1027"/>
      <c r="H534" s="1029"/>
      <c r="I534" s="1030"/>
      <c r="J534" s="1039" t="e">
        <f>IF($F134="","",$F134*chronic_consumption!E534/1000/$C$3)</f>
        <v>#DIV/0!</v>
      </c>
      <c r="K534" s="1040" t="e">
        <f>IF($F134="","",$F134*chronic_consumption!F534/1000/$C$3)</f>
        <v>#DIV/0!</v>
      </c>
      <c r="L534" s="1040" t="e">
        <f>IF($F134="","",$F134*chronic_consumption!G534/1000/$C$3)</f>
        <v>#DIV/0!</v>
      </c>
      <c r="M534" s="1040" t="e">
        <f>IF($F134="","",$F134*chronic_consumption!H534/1000/$C$3)</f>
        <v>#DIV/0!</v>
      </c>
      <c r="N534" s="1040" t="e">
        <f>IF($F134="","",$F134*chronic_consumption!I534/1000/$C$3)</f>
        <v>#DIV/0!</v>
      </c>
      <c r="O534" s="1040" t="e">
        <f>IF($F134="","",$F134*chronic_consumption!J534/1000/$C$3)</f>
        <v>#DIV/0!</v>
      </c>
      <c r="P534" s="1040" t="e">
        <f>IF($F134="","",$F134*chronic_consumption!K534/1000/$C$3)</f>
        <v>#DIV/0!</v>
      </c>
      <c r="Q534" s="1040" t="e">
        <f>IF($F134="","",$F134*chronic_consumption!L534/1000/$C$3)</f>
        <v>#DIV/0!</v>
      </c>
      <c r="R534" s="1040" t="e">
        <f>IF($F134="","",$F134*chronic_consumption!M534/1000/$C$3)</f>
        <v>#DIV/0!</v>
      </c>
      <c r="S534" s="1040" t="e">
        <f>IF($F134="","",$F134*chronic_consumption!N534/1000/$C$3)</f>
        <v>#DIV/0!</v>
      </c>
      <c r="T534" s="1040" t="e">
        <f>IF($F134="","",$F134*chronic_consumption!O534/1000/$C$3)</f>
        <v>#DIV/0!</v>
      </c>
      <c r="U534" s="1040" t="e">
        <f>IF($F134="","",$F134*chronic_consumption!P534/1000/$C$3)</f>
        <v>#DIV/0!</v>
      </c>
      <c r="V534" s="1040" t="e">
        <f>IF($F134="","",$F134*chronic_consumption!Q534/1000/$C$3)</f>
        <v>#DIV/0!</v>
      </c>
      <c r="W534" s="1040" t="e">
        <f>IF($F134="","",$F134*chronic_consumption!R534/1000/$C$3)</f>
        <v>#DIV/0!</v>
      </c>
      <c r="X534" s="1040" t="e">
        <f>IF($F134="","",$F134*chronic_consumption!S534/1000/$C$3)</f>
        <v>#DIV/0!</v>
      </c>
      <c r="Y534" s="1040" t="e">
        <f>IF($F134="","",$F134*chronic_consumption!T534/1000/$C$3)</f>
        <v>#DIV/0!</v>
      </c>
      <c r="Z534" s="1040" t="e">
        <f>IF($F134="","",$F134*chronic_consumption!U534/1000/$C$3)</f>
        <v>#DIV/0!</v>
      </c>
      <c r="AA534" s="1040" t="e">
        <f>IF($F134="","",$F134*chronic_consumption!V534/1000/$C$3)</f>
        <v>#DIV/0!</v>
      </c>
      <c r="AB534" s="1040" t="e">
        <f>IF($F134="","",$F134*chronic_consumption!W534/1000/$C$3)</f>
        <v>#DIV/0!</v>
      </c>
      <c r="AC534" s="1040" t="e">
        <f>IF($F134="","",$F134*chronic_consumption!X534/1000/$C$3)</f>
        <v>#DIV/0!</v>
      </c>
      <c r="AD534" s="1040" t="e">
        <f>IF($F134="","",$F134*chronic_consumption!Y534/1000/$C$3)</f>
        <v>#DIV/0!</v>
      </c>
      <c r="AE534" s="1040" t="e">
        <f>IF($F134="","",$F134*chronic_consumption!Z534/1000/$C$3)</f>
        <v>#DIV/0!</v>
      </c>
      <c r="AF534" s="1040" t="e">
        <f>IF($F134="","",$F134*chronic_consumption!AA534/1000/$C$3)</f>
        <v>#DIV/0!</v>
      </c>
      <c r="AG534" s="1040" t="e">
        <f>IF($F134="","",$F134*chronic_consumption!AB534/1000/$C$3)</f>
        <v>#DIV/0!</v>
      </c>
      <c r="AH534" s="1040" t="e">
        <f>IF($F134="","",$F134*chronic_consumption!AC534/1000/$C$3)</f>
        <v>#DIV/0!</v>
      </c>
      <c r="AI534" s="1040" t="e">
        <f>IF($F134="","",$F134*chronic_consumption!AD534/1000/$C$3)</f>
        <v>#DIV/0!</v>
      </c>
      <c r="AJ534" s="1040" t="e">
        <f>IF($F134="","",$F134*chronic_consumption!AE534/1000/$C$3)</f>
        <v>#DIV/0!</v>
      </c>
      <c r="AK534" s="1040" t="e">
        <f>IF($F134="","",$F134*chronic_consumption!AF534/1000/$C$3)</f>
        <v>#DIV/0!</v>
      </c>
      <c r="AL534" s="1040" t="e">
        <f>IF($F134="","",$F134*chronic_consumption!AG534/1000/$C$3)</f>
        <v>#DIV/0!</v>
      </c>
      <c r="AM534" s="1040" t="e">
        <f>IF($F134="","",$F134*chronic_consumption!AH534/1000/$C$3)</f>
        <v>#DIV/0!</v>
      </c>
      <c r="AN534" s="1040" t="e">
        <f>IF($F134="","",$F134*chronic_consumption!AI534/1000/$C$3)</f>
        <v>#DIV/0!</v>
      </c>
      <c r="AO534" s="1040" t="e">
        <f>IF($F134="","",$F134*chronic_consumption!AJ534/1000/$C$3)</f>
        <v>#DIV/0!</v>
      </c>
      <c r="AP534" s="1040" t="e">
        <f>IF($F134="","",$F134*chronic_consumption!AK534/1000/$C$3)</f>
        <v>#DIV/0!</v>
      </c>
      <c r="AQ534" s="1040" t="e">
        <f>IF($F134="","",$F134*chronic_consumption!AL534/1000/$C$3)</f>
        <v>#DIV/0!</v>
      </c>
      <c r="AR534" s="1040" t="e">
        <f>IF($F134="","",$F134*chronic_consumption!AM534/1000/$C$3)</f>
        <v>#DIV/0!</v>
      </c>
      <c r="AS534" s="1040" t="e">
        <f>IF($F134="","",$F134*chronic_consumption!AN534/1000/$C$3)</f>
        <v>#DIV/0!</v>
      </c>
      <c r="AT534" s="1040" t="e">
        <f>IF($F134="","",$F134*chronic_consumption!AO534/1000/$C$3)</f>
        <v>#DIV/0!</v>
      </c>
      <c r="AU534" s="1040" t="e">
        <f>IF($F134="","",$F134*chronic_consumption!AP534/1000/$C$3)</f>
        <v>#DIV/0!</v>
      </c>
      <c r="AV534" s="1040" t="e">
        <f>IF($F134="","",$F134*chronic_consumption!AQ534/1000/$C$3)</f>
        <v>#DIV/0!</v>
      </c>
      <c r="AW534" s="1040" t="e">
        <f>IF($F134="","",$F134*chronic_consumption!AR534/1000/$C$3)</f>
        <v>#DIV/0!</v>
      </c>
      <c r="AX534" s="1040" t="e">
        <f>IF($F134="","",$F134*chronic_consumption!AS534/1000/$C$3)</f>
        <v>#DIV/0!</v>
      </c>
      <c r="AY534" s="1040" t="e">
        <f>IF($F134="","",$F134*chronic_consumption!AT534/1000/$C$3)</f>
        <v>#DIV/0!</v>
      </c>
      <c r="AZ534" s="44" t="s">
        <v>20</v>
      </c>
      <c r="BC534" s="29"/>
      <c r="BD534" s="29"/>
    </row>
    <row r="535" spans="1:56" ht="12" customHeight="1" outlineLevel="3" x14ac:dyDescent="0.2">
      <c r="A535" s="21">
        <f>acute_overview_children!A135</f>
        <v>4</v>
      </c>
      <c r="B535" s="325">
        <f t="shared" si="42"/>
        <v>232030</v>
      </c>
      <c r="C535" s="325" t="str">
        <f t="shared" si="42"/>
        <v>Courgettes</v>
      </c>
      <c r="D535" s="135"/>
      <c r="E535" s="1027"/>
      <c r="F535" s="87"/>
      <c r="G535" s="1027"/>
      <c r="H535" s="1029"/>
      <c r="I535" s="1030"/>
      <c r="J535" s="1039" t="e">
        <f>IF($F135="","",$F135*chronic_consumption!E535/1000/$C$3)</f>
        <v>#DIV/0!</v>
      </c>
      <c r="K535" s="1040" t="e">
        <f>IF($F135="","",$F135*chronic_consumption!F535/1000/$C$3)</f>
        <v>#DIV/0!</v>
      </c>
      <c r="L535" s="1040" t="e">
        <f>IF($F135="","",$F135*chronic_consumption!G535/1000/$C$3)</f>
        <v>#DIV/0!</v>
      </c>
      <c r="M535" s="1040" t="e">
        <f>IF($F135="","",$F135*chronic_consumption!H535/1000/$C$3)</f>
        <v>#DIV/0!</v>
      </c>
      <c r="N535" s="1040" t="e">
        <f>IF($F135="","",$F135*chronic_consumption!I535/1000/$C$3)</f>
        <v>#DIV/0!</v>
      </c>
      <c r="O535" s="1040" t="e">
        <f>IF($F135="","",$F135*chronic_consumption!J535/1000/$C$3)</f>
        <v>#DIV/0!</v>
      </c>
      <c r="P535" s="1040" t="e">
        <f>IF($F135="","",$F135*chronic_consumption!K535/1000/$C$3)</f>
        <v>#DIV/0!</v>
      </c>
      <c r="Q535" s="1040" t="e">
        <f>IF($F135="","",$F135*chronic_consumption!L535/1000/$C$3)</f>
        <v>#DIV/0!</v>
      </c>
      <c r="R535" s="1040" t="e">
        <f>IF($F135="","",$F135*chronic_consumption!M535/1000/$C$3)</f>
        <v>#DIV/0!</v>
      </c>
      <c r="S535" s="1040" t="e">
        <f>IF($F135="","",$F135*chronic_consumption!N535/1000/$C$3)</f>
        <v>#DIV/0!</v>
      </c>
      <c r="T535" s="1040" t="e">
        <f>IF($F135="","",$F135*chronic_consumption!O535/1000/$C$3)</f>
        <v>#DIV/0!</v>
      </c>
      <c r="U535" s="1040" t="e">
        <f>IF($F135="","",$F135*chronic_consumption!P535/1000/$C$3)</f>
        <v>#DIV/0!</v>
      </c>
      <c r="V535" s="1040" t="e">
        <f>IF($F135="","",$F135*chronic_consumption!Q535/1000/$C$3)</f>
        <v>#DIV/0!</v>
      </c>
      <c r="W535" s="1040" t="e">
        <f>IF($F135="","",$F135*chronic_consumption!R535/1000/$C$3)</f>
        <v>#DIV/0!</v>
      </c>
      <c r="X535" s="1040" t="e">
        <f>IF($F135="","",$F135*chronic_consumption!S535/1000/$C$3)</f>
        <v>#DIV/0!</v>
      </c>
      <c r="Y535" s="1040" t="e">
        <f>IF($F135="","",$F135*chronic_consumption!T535/1000/$C$3)</f>
        <v>#DIV/0!</v>
      </c>
      <c r="Z535" s="1040" t="e">
        <f>IF($F135="","",$F135*chronic_consumption!U535/1000/$C$3)</f>
        <v>#DIV/0!</v>
      </c>
      <c r="AA535" s="1040" t="e">
        <f>IF($F135="","",$F135*chronic_consumption!V535/1000/$C$3)</f>
        <v>#DIV/0!</v>
      </c>
      <c r="AB535" s="1040" t="e">
        <f>IF($F135="","",$F135*chronic_consumption!W535/1000/$C$3)</f>
        <v>#DIV/0!</v>
      </c>
      <c r="AC535" s="1040" t="e">
        <f>IF($F135="","",$F135*chronic_consumption!X535/1000/$C$3)</f>
        <v>#DIV/0!</v>
      </c>
      <c r="AD535" s="1040" t="e">
        <f>IF($F135="","",$F135*chronic_consumption!Y535/1000/$C$3)</f>
        <v>#DIV/0!</v>
      </c>
      <c r="AE535" s="1040" t="e">
        <f>IF($F135="","",$F135*chronic_consumption!Z535/1000/$C$3)</f>
        <v>#DIV/0!</v>
      </c>
      <c r="AF535" s="1040" t="e">
        <f>IF($F135="","",$F135*chronic_consumption!AA535/1000/$C$3)</f>
        <v>#DIV/0!</v>
      </c>
      <c r="AG535" s="1040" t="e">
        <f>IF($F135="","",$F135*chronic_consumption!AB535/1000/$C$3)</f>
        <v>#DIV/0!</v>
      </c>
      <c r="AH535" s="1040" t="e">
        <f>IF($F135="","",$F135*chronic_consumption!AC535/1000/$C$3)</f>
        <v>#DIV/0!</v>
      </c>
      <c r="AI535" s="1040" t="e">
        <f>IF($F135="","",$F135*chronic_consumption!AD535/1000/$C$3)</f>
        <v>#DIV/0!</v>
      </c>
      <c r="AJ535" s="1040" t="e">
        <f>IF($F135="","",$F135*chronic_consumption!AE535/1000/$C$3)</f>
        <v>#DIV/0!</v>
      </c>
      <c r="AK535" s="1040" t="e">
        <f>IF($F135="","",$F135*chronic_consumption!AF535/1000/$C$3)</f>
        <v>#DIV/0!</v>
      </c>
      <c r="AL535" s="1040" t="e">
        <f>IF($F135="","",$F135*chronic_consumption!AG535/1000/$C$3)</f>
        <v>#DIV/0!</v>
      </c>
      <c r="AM535" s="1040" t="e">
        <f>IF($F135="","",$F135*chronic_consumption!AH535/1000/$C$3)</f>
        <v>#DIV/0!</v>
      </c>
      <c r="AN535" s="1040" t="e">
        <f>IF($F135="","",$F135*chronic_consumption!AI535/1000/$C$3)</f>
        <v>#DIV/0!</v>
      </c>
      <c r="AO535" s="1040" t="e">
        <f>IF($F135="","",$F135*chronic_consumption!AJ535/1000/$C$3)</f>
        <v>#DIV/0!</v>
      </c>
      <c r="AP535" s="1040" t="e">
        <f>IF($F135="","",$F135*chronic_consumption!AK535/1000/$C$3)</f>
        <v>#DIV/0!</v>
      </c>
      <c r="AQ535" s="1040" t="e">
        <f>IF($F135="","",$F135*chronic_consumption!AL535/1000/$C$3)</f>
        <v>#DIV/0!</v>
      </c>
      <c r="AR535" s="1040" t="e">
        <f>IF($F135="","",$F135*chronic_consumption!AM535/1000/$C$3)</f>
        <v>#DIV/0!</v>
      </c>
      <c r="AS535" s="1040" t="e">
        <f>IF($F135="","",$F135*chronic_consumption!AN535/1000/$C$3)</f>
        <v>#DIV/0!</v>
      </c>
      <c r="AT535" s="1040" t="e">
        <f>IF($F135="","",$F135*chronic_consumption!AO535/1000/$C$3)</f>
        <v>#DIV/0!</v>
      </c>
      <c r="AU535" s="1040" t="e">
        <f>IF($F135="","",$F135*chronic_consumption!AP535/1000/$C$3)</f>
        <v>#DIV/0!</v>
      </c>
      <c r="AV535" s="1040" t="e">
        <f>IF($F135="","",$F135*chronic_consumption!AQ535/1000/$C$3)</f>
        <v>#DIV/0!</v>
      </c>
      <c r="AW535" s="1040" t="e">
        <f>IF($F135="","",$F135*chronic_consumption!AR535/1000/$C$3)</f>
        <v>#DIV/0!</v>
      </c>
      <c r="AX535" s="1040" t="e">
        <f>IF($F135="","",$F135*chronic_consumption!AS535/1000/$C$3)</f>
        <v>#DIV/0!</v>
      </c>
      <c r="AY535" s="1040" t="e">
        <f>IF($F135="","",$F135*chronic_consumption!AT535/1000/$C$3)</f>
        <v>#DIV/0!</v>
      </c>
      <c r="AZ535" s="44" t="s">
        <v>20</v>
      </c>
      <c r="BC535" s="29"/>
      <c r="BD535" s="29"/>
    </row>
    <row r="536" spans="1:56" ht="12" customHeight="1" outlineLevel="3" x14ac:dyDescent="0.2">
      <c r="A536" s="21">
        <f>acute_overview_children!A136</f>
        <v>4</v>
      </c>
      <c r="B536" s="325">
        <f t="shared" si="42"/>
        <v>232990</v>
      </c>
      <c r="C536" s="325" t="str">
        <f t="shared" si="42"/>
        <v>Other cucurbits - edible peel</v>
      </c>
      <c r="D536" s="135"/>
      <c r="E536" s="1027"/>
      <c r="F536" s="87"/>
      <c r="G536" s="1027"/>
      <c r="H536" s="1029"/>
      <c r="I536" s="1030"/>
      <c r="J536" s="1039" t="e">
        <f>IF($F136="","",$F136*chronic_consumption!E536/1000/$C$3)</f>
        <v>#DIV/0!</v>
      </c>
      <c r="K536" s="1040" t="e">
        <f>IF($F136="","",$F136*chronic_consumption!F536/1000/$C$3)</f>
        <v>#DIV/0!</v>
      </c>
      <c r="L536" s="1040" t="e">
        <f>IF($F136="","",$F136*chronic_consumption!G536/1000/$C$3)</f>
        <v>#DIV/0!</v>
      </c>
      <c r="M536" s="1040" t="e">
        <f>IF($F136="","",$F136*chronic_consumption!H536/1000/$C$3)</f>
        <v>#DIV/0!</v>
      </c>
      <c r="N536" s="1040" t="e">
        <f>IF($F136="","",$F136*chronic_consumption!I536/1000/$C$3)</f>
        <v>#DIV/0!</v>
      </c>
      <c r="O536" s="1040" t="e">
        <f>IF($F136="","",$F136*chronic_consumption!J536/1000/$C$3)</f>
        <v>#DIV/0!</v>
      </c>
      <c r="P536" s="1040" t="e">
        <f>IF($F136="","",$F136*chronic_consumption!K536/1000/$C$3)</f>
        <v>#DIV/0!</v>
      </c>
      <c r="Q536" s="1040" t="e">
        <f>IF($F136="","",$F136*chronic_consumption!L536/1000/$C$3)</f>
        <v>#DIV/0!</v>
      </c>
      <c r="R536" s="1040" t="e">
        <f>IF($F136="","",$F136*chronic_consumption!M536/1000/$C$3)</f>
        <v>#DIV/0!</v>
      </c>
      <c r="S536" s="1040" t="e">
        <f>IF($F136="","",$F136*chronic_consumption!N536/1000/$C$3)</f>
        <v>#DIV/0!</v>
      </c>
      <c r="T536" s="1040" t="e">
        <f>IF($F136="","",$F136*chronic_consumption!O536/1000/$C$3)</f>
        <v>#DIV/0!</v>
      </c>
      <c r="U536" s="1040" t="e">
        <f>IF($F136="","",$F136*chronic_consumption!P536/1000/$C$3)</f>
        <v>#DIV/0!</v>
      </c>
      <c r="V536" s="1040" t="e">
        <f>IF($F136="","",$F136*chronic_consumption!Q536/1000/$C$3)</f>
        <v>#DIV/0!</v>
      </c>
      <c r="W536" s="1040" t="e">
        <f>IF($F136="","",$F136*chronic_consumption!R536/1000/$C$3)</f>
        <v>#DIV/0!</v>
      </c>
      <c r="X536" s="1040" t="e">
        <f>IF($F136="","",$F136*chronic_consumption!S536/1000/$C$3)</f>
        <v>#DIV/0!</v>
      </c>
      <c r="Y536" s="1040" t="e">
        <f>IF($F136="","",$F136*chronic_consumption!T536/1000/$C$3)</f>
        <v>#DIV/0!</v>
      </c>
      <c r="Z536" s="1040" t="e">
        <f>IF($F136="","",$F136*chronic_consumption!U536/1000/$C$3)</f>
        <v>#DIV/0!</v>
      </c>
      <c r="AA536" s="1040" t="e">
        <f>IF($F136="","",$F136*chronic_consumption!V536/1000/$C$3)</f>
        <v>#DIV/0!</v>
      </c>
      <c r="AB536" s="1040" t="e">
        <f>IF($F136="","",$F136*chronic_consumption!W536/1000/$C$3)</f>
        <v>#DIV/0!</v>
      </c>
      <c r="AC536" s="1040" t="e">
        <f>IF($F136="","",$F136*chronic_consumption!X536/1000/$C$3)</f>
        <v>#DIV/0!</v>
      </c>
      <c r="AD536" s="1040" t="e">
        <f>IF($F136="","",$F136*chronic_consumption!Y536/1000/$C$3)</f>
        <v>#DIV/0!</v>
      </c>
      <c r="AE536" s="1040" t="e">
        <f>IF($F136="","",$F136*chronic_consumption!Z536/1000/$C$3)</f>
        <v>#DIV/0!</v>
      </c>
      <c r="AF536" s="1040" t="e">
        <f>IF($F136="","",$F136*chronic_consumption!AA536/1000/$C$3)</f>
        <v>#DIV/0!</v>
      </c>
      <c r="AG536" s="1040" t="e">
        <f>IF($F136="","",$F136*chronic_consumption!AB536/1000/$C$3)</f>
        <v>#DIV/0!</v>
      </c>
      <c r="AH536" s="1040" t="e">
        <f>IF($F136="","",$F136*chronic_consumption!AC536/1000/$C$3)</f>
        <v>#DIV/0!</v>
      </c>
      <c r="AI536" s="1040" t="e">
        <f>IF($F136="","",$F136*chronic_consumption!AD536/1000/$C$3)</f>
        <v>#DIV/0!</v>
      </c>
      <c r="AJ536" s="1040" t="e">
        <f>IF($F136="","",$F136*chronic_consumption!AE536/1000/$C$3)</f>
        <v>#DIV/0!</v>
      </c>
      <c r="AK536" s="1040" t="e">
        <f>IF($F136="","",$F136*chronic_consumption!AF536/1000/$C$3)</f>
        <v>#DIV/0!</v>
      </c>
      <c r="AL536" s="1040" t="e">
        <f>IF($F136="","",$F136*chronic_consumption!AG536/1000/$C$3)</f>
        <v>#DIV/0!</v>
      </c>
      <c r="AM536" s="1040" t="e">
        <f>IF($F136="","",$F136*chronic_consumption!AH536/1000/$C$3)</f>
        <v>#DIV/0!</v>
      </c>
      <c r="AN536" s="1040" t="e">
        <f>IF($F136="","",$F136*chronic_consumption!AI536/1000/$C$3)</f>
        <v>#DIV/0!</v>
      </c>
      <c r="AO536" s="1040" t="e">
        <f>IF($F136="","",$F136*chronic_consumption!AJ536/1000/$C$3)</f>
        <v>#DIV/0!</v>
      </c>
      <c r="AP536" s="1040" t="e">
        <f>IF($F136="","",$F136*chronic_consumption!AK536/1000/$C$3)</f>
        <v>#DIV/0!</v>
      </c>
      <c r="AQ536" s="1040" t="e">
        <f>IF($F136="","",$F136*chronic_consumption!AL536/1000/$C$3)</f>
        <v>#DIV/0!</v>
      </c>
      <c r="AR536" s="1040" t="e">
        <f>IF($F136="","",$F136*chronic_consumption!AM536/1000/$C$3)</f>
        <v>#DIV/0!</v>
      </c>
      <c r="AS536" s="1040" t="e">
        <f>IF($F136="","",$F136*chronic_consumption!AN536/1000/$C$3)</f>
        <v>#DIV/0!</v>
      </c>
      <c r="AT536" s="1040" t="e">
        <f>IF($F136="","",$F136*chronic_consumption!AO536/1000/$C$3)</f>
        <v>#DIV/0!</v>
      </c>
      <c r="AU536" s="1040" t="e">
        <f>IF($F136="","",$F136*chronic_consumption!AP536/1000/$C$3)</f>
        <v>#DIV/0!</v>
      </c>
      <c r="AV536" s="1040" t="e">
        <f>IF($F136="","",$F136*chronic_consumption!AQ536/1000/$C$3)</f>
        <v>#DIV/0!</v>
      </c>
      <c r="AW536" s="1040" t="e">
        <f>IF($F136="","",$F136*chronic_consumption!AR536/1000/$C$3)</f>
        <v>#DIV/0!</v>
      </c>
      <c r="AX536" s="1040" t="e">
        <f>IF($F136="","",$F136*chronic_consumption!AS536/1000/$C$3)</f>
        <v>#DIV/0!</v>
      </c>
      <c r="AY536" s="1040" t="e">
        <f>IF($F136="","",$F136*chronic_consumption!AT536/1000/$C$3)</f>
        <v>#DIV/0!</v>
      </c>
      <c r="AZ536" s="44" t="s">
        <v>20</v>
      </c>
      <c r="BC536" s="29"/>
      <c r="BD536" s="29"/>
    </row>
    <row r="537" spans="1:56" ht="12" customHeight="1" outlineLevel="2" x14ac:dyDescent="0.2">
      <c r="A537" s="341">
        <f>acute_overview_children!A137</f>
        <v>3</v>
      </c>
      <c r="B537" s="1041">
        <f t="shared" si="42"/>
        <v>233000</v>
      </c>
      <c r="C537" s="1041" t="str">
        <f t="shared" si="42"/>
        <v>Cucurbits - inedible peel</v>
      </c>
      <c r="D537" s="1042"/>
      <c r="E537" s="1027"/>
      <c r="F537" s="87"/>
      <c r="G537" s="1027"/>
      <c r="H537" s="1029"/>
      <c r="I537" s="1030"/>
      <c r="J537" s="1043" t="e">
        <f>IF($F137="","",$F137*chronic_consumption!E537/1000/$C$3)</f>
        <v>#DIV/0!</v>
      </c>
      <c r="K537" s="1044" t="e">
        <f>IF($F137="","",$F137*chronic_consumption!F537/1000/$C$3)</f>
        <v>#DIV/0!</v>
      </c>
      <c r="L537" s="1044" t="e">
        <f>IF($F137="","",$F137*chronic_consumption!G537/1000/$C$3)</f>
        <v>#DIV/0!</v>
      </c>
      <c r="M537" s="1044" t="e">
        <f>IF($F137="","",$F137*chronic_consumption!H537/1000/$C$3)</f>
        <v>#DIV/0!</v>
      </c>
      <c r="N537" s="1044" t="e">
        <f>IF($F137="","",$F137*chronic_consumption!I537/1000/$C$3)</f>
        <v>#DIV/0!</v>
      </c>
      <c r="O537" s="1044" t="e">
        <f>IF($F137="","",$F137*chronic_consumption!J537/1000/$C$3)</f>
        <v>#DIV/0!</v>
      </c>
      <c r="P537" s="1044" t="e">
        <f>IF($F137="","",$F137*chronic_consumption!K537/1000/$C$3)</f>
        <v>#DIV/0!</v>
      </c>
      <c r="Q537" s="1044" t="e">
        <f>IF($F137="","",$F137*chronic_consumption!L537/1000/$C$3)</f>
        <v>#DIV/0!</v>
      </c>
      <c r="R537" s="1044" t="e">
        <f>IF($F137="","",$F137*chronic_consumption!M537/1000/$C$3)</f>
        <v>#DIV/0!</v>
      </c>
      <c r="S537" s="1044" t="e">
        <f>IF($F137="","",$F137*chronic_consumption!N537/1000/$C$3)</f>
        <v>#DIV/0!</v>
      </c>
      <c r="T537" s="1044" t="e">
        <f>IF($F137="","",$F137*chronic_consumption!O537/1000/$C$3)</f>
        <v>#DIV/0!</v>
      </c>
      <c r="U537" s="1044" t="e">
        <f>IF($F137="","",$F137*chronic_consumption!P537/1000/$C$3)</f>
        <v>#DIV/0!</v>
      </c>
      <c r="V537" s="1044" t="e">
        <f>IF($F137="","",$F137*chronic_consumption!Q537/1000/$C$3)</f>
        <v>#DIV/0!</v>
      </c>
      <c r="W537" s="1044" t="e">
        <f>IF($F137="","",$F137*chronic_consumption!R537/1000/$C$3)</f>
        <v>#DIV/0!</v>
      </c>
      <c r="X537" s="1044" t="e">
        <f>IF($F137="","",$F137*chronic_consumption!S537/1000/$C$3)</f>
        <v>#DIV/0!</v>
      </c>
      <c r="Y537" s="1044" t="e">
        <f>IF($F137="","",$F137*chronic_consumption!T537/1000/$C$3)</f>
        <v>#DIV/0!</v>
      </c>
      <c r="Z537" s="1044" t="e">
        <f>IF($F137="","",$F137*chronic_consumption!U537/1000/$C$3)</f>
        <v>#DIV/0!</v>
      </c>
      <c r="AA537" s="1044" t="e">
        <f>IF($F137="","",$F137*chronic_consumption!V537/1000/$C$3)</f>
        <v>#DIV/0!</v>
      </c>
      <c r="AB537" s="1044" t="e">
        <f>IF($F137="","",$F137*chronic_consumption!W537/1000/$C$3)</f>
        <v>#DIV/0!</v>
      </c>
      <c r="AC537" s="1044" t="e">
        <f>IF($F137="","",$F137*chronic_consumption!X537/1000/$C$3)</f>
        <v>#DIV/0!</v>
      </c>
      <c r="AD537" s="1044" t="e">
        <f>IF($F137="","",$F137*chronic_consumption!Y537/1000/$C$3)</f>
        <v>#DIV/0!</v>
      </c>
      <c r="AE537" s="1044" t="e">
        <f>IF($F137="","",$F137*chronic_consumption!Z537/1000/$C$3)</f>
        <v>#DIV/0!</v>
      </c>
      <c r="AF537" s="1044" t="e">
        <f>IF($F137="","",$F137*chronic_consumption!AA537/1000/$C$3)</f>
        <v>#DIV/0!</v>
      </c>
      <c r="AG537" s="1044" t="e">
        <f>IF($F137="","",$F137*chronic_consumption!AB537/1000/$C$3)</f>
        <v>#DIV/0!</v>
      </c>
      <c r="AH537" s="1044" t="e">
        <f>IF($F137="","",$F137*chronic_consumption!AC537/1000/$C$3)</f>
        <v>#DIV/0!</v>
      </c>
      <c r="AI537" s="1044" t="e">
        <f>IF($F137="","",$F137*chronic_consumption!AD537/1000/$C$3)</f>
        <v>#DIV/0!</v>
      </c>
      <c r="AJ537" s="1044" t="e">
        <f>IF($F137="","",$F137*chronic_consumption!AE537/1000/$C$3)</f>
        <v>#DIV/0!</v>
      </c>
      <c r="AK537" s="1044" t="e">
        <f>IF($F137="","",$F137*chronic_consumption!AF537/1000/$C$3)</f>
        <v>#DIV/0!</v>
      </c>
      <c r="AL537" s="1044" t="e">
        <f>IF($F137="","",$F137*chronic_consumption!AG537/1000/$C$3)</f>
        <v>#DIV/0!</v>
      </c>
      <c r="AM537" s="1044" t="e">
        <f>IF($F137="","",$F137*chronic_consumption!AH537/1000/$C$3)</f>
        <v>#DIV/0!</v>
      </c>
      <c r="AN537" s="1044" t="e">
        <f>IF($F137="","",$F137*chronic_consumption!AI537/1000/$C$3)</f>
        <v>#DIV/0!</v>
      </c>
      <c r="AO537" s="1044" t="e">
        <f>IF($F137="","",$F137*chronic_consumption!AJ537/1000/$C$3)</f>
        <v>#DIV/0!</v>
      </c>
      <c r="AP537" s="1044" t="e">
        <f>IF($F137="","",$F137*chronic_consumption!AK537/1000/$C$3)</f>
        <v>#DIV/0!</v>
      </c>
      <c r="AQ537" s="1044" t="e">
        <f>IF($F137="","",$F137*chronic_consumption!AL537/1000/$C$3)</f>
        <v>#DIV/0!</v>
      </c>
      <c r="AR537" s="1044" t="e">
        <f>IF($F137="","",$F137*chronic_consumption!AM537/1000/$C$3)</f>
        <v>#DIV/0!</v>
      </c>
      <c r="AS537" s="1044" t="e">
        <f>IF($F137="","",$F137*chronic_consumption!AN537/1000/$C$3)</f>
        <v>#DIV/0!</v>
      </c>
      <c r="AT537" s="1044" t="e">
        <f>IF($F137="","",$F137*chronic_consumption!AO537/1000/$C$3)</f>
        <v>#DIV/0!</v>
      </c>
      <c r="AU537" s="1044" t="e">
        <f>IF($F137="","",$F137*chronic_consumption!AP537/1000/$C$3)</f>
        <v>#DIV/0!</v>
      </c>
      <c r="AV537" s="1044" t="e">
        <f>IF($F137="","",$F137*chronic_consumption!AQ537/1000/$C$3)</f>
        <v>#DIV/0!</v>
      </c>
      <c r="AW537" s="1044" t="e">
        <f>IF($F137="","",$F137*chronic_consumption!AR537/1000/$C$3)</f>
        <v>#DIV/0!</v>
      </c>
      <c r="AX537" s="1044" t="e">
        <f>IF($F137="","",$F137*chronic_consumption!AS537/1000/$C$3)</f>
        <v>#DIV/0!</v>
      </c>
      <c r="AY537" s="1044" t="e">
        <f>IF($F137="","",$F137*chronic_consumption!AT537/1000/$C$3)</f>
        <v>#DIV/0!</v>
      </c>
      <c r="AZ537" s="44" t="s">
        <v>20</v>
      </c>
      <c r="BC537" s="29"/>
      <c r="BD537" s="29"/>
    </row>
    <row r="538" spans="1:56" ht="12" customHeight="1" outlineLevel="3" x14ac:dyDescent="0.2">
      <c r="A538" s="21">
        <f>acute_overview_children!A138</f>
        <v>4</v>
      </c>
      <c r="B538" s="325">
        <f t="shared" si="42"/>
        <v>233010</v>
      </c>
      <c r="C538" s="325" t="str">
        <f t="shared" si="42"/>
        <v>Melons</v>
      </c>
      <c r="D538" s="135"/>
      <c r="E538" s="1027"/>
      <c r="F538" s="87"/>
      <c r="G538" s="1027"/>
      <c r="H538" s="1029"/>
      <c r="I538" s="1030"/>
      <c r="J538" s="1039" t="e">
        <f>IF($F138="","",$F138*chronic_consumption!E538/1000/$C$3)</f>
        <v>#DIV/0!</v>
      </c>
      <c r="K538" s="1040" t="e">
        <f>IF($F138="","",$F138*chronic_consumption!F538/1000/$C$3)</f>
        <v>#DIV/0!</v>
      </c>
      <c r="L538" s="1040" t="e">
        <f>IF($F138="","",$F138*chronic_consumption!G538/1000/$C$3)</f>
        <v>#DIV/0!</v>
      </c>
      <c r="M538" s="1040" t="e">
        <f>IF($F138="","",$F138*chronic_consumption!H538/1000/$C$3)</f>
        <v>#DIV/0!</v>
      </c>
      <c r="N538" s="1040" t="e">
        <f>IF($F138="","",$F138*chronic_consumption!I538/1000/$C$3)</f>
        <v>#DIV/0!</v>
      </c>
      <c r="O538" s="1040" t="e">
        <f>IF($F138="","",$F138*chronic_consumption!J538/1000/$C$3)</f>
        <v>#DIV/0!</v>
      </c>
      <c r="P538" s="1040" t="e">
        <f>IF($F138="","",$F138*chronic_consumption!K538/1000/$C$3)</f>
        <v>#DIV/0!</v>
      </c>
      <c r="Q538" s="1040" t="e">
        <f>IF($F138="","",$F138*chronic_consumption!L538/1000/$C$3)</f>
        <v>#DIV/0!</v>
      </c>
      <c r="R538" s="1040" t="e">
        <f>IF($F138="","",$F138*chronic_consumption!M538/1000/$C$3)</f>
        <v>#DIV/0!</v>
      </c>
      <c r="S538" s="1040" t="e">
        <f>IF($F138="","",$F138*chronic_consumption!N538/1000/$C$3)</f>
        <v>#DIV/0!</v>
      </c>
      <c r="T538" s="1040" t="e">
        <f>IF($F138="","",$F138*chronic_consumption!O538/1000/$C$3)</f>
        <v>#DIV/0!</v>
      </c>
      <c r="U538" s="1040" t="e">
        <f>IF($F138="","",$F138*chronic_consumption!P538/1000/$C$3)</f>
        <v>#DIV/0!</v>
      </c>
      <c r="V538" s="1040" t="e">
        <f>IF($F138="","",$F138*chronic_consumption!Q538/1000/$C$3)</f>
        <v>#DIV/0!</v>
      </c>
      <c r="W538" s="1040" t="e">
        <f>IF($F138="","",$F138*chronic_consumption!R538/1000/$C$3)</f>
        <v>#DIV/0!</v>
      </c>
      <c r="X538" s="1040" t="e">
        <f>IF($F138="","",$F138*chronic_consumption!S538/1000/$C$3)</f>
        <v>#DIV/0!</v>
      </c>
      <c r="Y538" s="1040" t="e">
        <f>IF($F138="","",$F138*chronic_consumption!T538/1000/$C$3)</f>
        <v>#DIV/0!</v>
      </c>
      <c r="Z538" s="1040" t="e">
        <f>IF($F138="","",$F138*chronic_consumption!U538/1000/$C$3)</f>
        <v>#DIV/0!</v>
      </c>
      <c r="AA538" s="1040" t="e">
        <f>IF($F138="","",$F138*chronic_consumption!V538/1000/$C$3)</f>
        <v>#DIV/0!</v>
      </c>
      <c r="AB538" s="1040" t="e">
        <f>IF($F138="","",$F138*chronic_consumption!W538/1000/$C$3)</f>
        <v>#DIV/0!</v>
      </c>
      <c r="AC538" s="1040" t="e">
        <f>IF($F138="","",$F138*chronic_consumption!X538/1000/$C$3)</f>
        <v>#DIV/0!</v>
      </c>
      <c r="AD538" s="1040" t="e">
        <f>IF($F138="","",$F138*chronic_consumption!Y538/1000/$C$3)</f>
        <v>#DIV/0!</v>
      </c>
      <c r="AE538" s="1040" t="e">
        <f>IF($F138="","",$F138*chronic_consumption!Z538/1000/$C$3)</f>
        <v>#DIV/0!</v>
      </c>
      <c r="AF538" s="1040" t="e">
        <f>IF($F138="","",$F138*chronic_consumption!AA538/1000/$C$3)</f>
        <v>#DIV/0!</v>
      </c>
      <c r="AG538" s="1040" t="e">
        <f>IF($F138="","",$F138*chronic_consumption!AB538/1000/$C$3)</f>
        <v>#DIV/0!</v>
      </c>
      <c r="AH538" s="1040" t="e">
        <f>IF($F138="","",$F138*chronic_consumption!AC538/1000/$C$3)</f>
        <v>#DIV/0!</v>
      </c>
      <c r="AI538" s="1040" t="e">
        <f>IF($F138="","",$F138*chronic_consumption!AD538/1000/$C$3)</f>
        <v>#DIV/0!</v>
      </c>
      <c r="AJ538" s="1040" t="e">
        <f>IF($F138="","",$F138*chronic_consumption!AE538/1000/$C$3)</f>
        <v>#DIV/0!</v>
      </c>
      <c r="AK538" s="1040" t="e">
        <f>IF($F138="","",$F138*chronic_consumption!AF538/1000/$C$3)</f>
        <v>#DIV/0!</v>
      </c>
      <c r="AL538" s="1040" t="e">
        <f>IF($F138="","",$F138*chronic_consumption!AG538/1000/$C$3)</f>
        <v>#DIV/0!</v>
      </c>
      <c r="AM538" s="1040" t="e">
        <f>IF($F138="","",$F138*chronic_consumption!AH538/1000/$C$3)</f>
        <v>#DIV/0!</v>
      </c>
      <c r="AN538" s="1040" t="e">
        <f>IF($F138="","",$F138*chronic_consumption!AI538/1000/$C$3)</f>
        <v>#DIV/0!</v>
      </c>
      <c r="AO538" s="1040" t="e">
        <f>IF($F138="","",$F138*chronic_consumption!AJ538/1000/$C$3)</f>
        <v>#DIV/0!</v>
      </c>
      <c r="AP538" s="1040" t="e">
        <f>IF($F138="","",$F138*chronic_consumption!AK538/1000/$C$3)</f>
        <v>#DIV/0!</v>
      </c>
      <c r="AQ538" s="1040" t="e">
        <f>IF($F138="","",$F138*chronic_consumption!AL538/1000/$C$3)</f>
        <v>#DIV/0!</v>
      </c>
      <c r="AR538" s="1040" t="e">
        <f>IF($F138="","",$F138*chronic_consumption!AM538/1000/$C$3)</f>
        <v>#DIV/0!</v>
      </c>
      <c r="AS538" s="1040" t="e">
        <f>IF($F138="","",$F138*chronic_consumption!AN538/1000/$C$3)</f>
        <v>#DIV/0!</v>
      </c>
      <c r="AT538" s="1040" t="e">
        <f>IF($F138="","",$F138*chronic_consumption!AO538/1000/$C$3)</f>
        <v>#DIV/0!</v>
      </c>
      <c r="AU538" s="1040" t="e">
        <f>IF($F138="","",$F138*chronic_consumption!AP538/1000/$C$3)</f>
        <v>#DIV/0!</v>
      </c>
      <c r="AV538" s="1040" t="e">
        <f>IF($F138="","",$F138*chronic_consumption!AQ538/1000/$C$3)</f>
        <v>#DIV/0!</v>
      </c>
      <c r="AW538" s="1040" t="e">
        <f>IF($F138="","",$F138*chronic_consumption!AR538/1000/$C$3)</f>
        <v>#DIV/0!</v>
      </c>
      <c r="AX538" s="1040" t="e">
        <f>IF($F138="","",$F138*chronic_consumption!AS538/1000/$C$3)</f>
        <v>#DIV/0!</v>
      </c>
      <c r="AY538" s="1040" t="e">
        <f>IF($F138="","",$F138*chronic_consumption!AT538/1000/$C$3)</f>
        <v>#DIV/0!</v>
      </c>
      <c r="AZ538" s="44" t="s">
        <v>20</v>
      </c>
      <c r="BC538" s="29"/>
      <c r="BD538" s="29"/>
    </row>
    <row r="539" spans="1:56" ht="12" customHeight="1" outlineLevel="3" x14ac:dyDescent="0.2">
      <c r="A539" s="21">
        <f>acute_overview_children!A139</f>
        <v>4</v>
      </c>
      <c r="B539" s="325">
        <f t="shared" si="42"/>
        <v>233020</v>
      </c>
      <c r="C539" s="325" t="str">
        <f t="shared" si="42"/>
        <v>Pumpkins</v>
      </c>
      <c r="D539" s="135"/>
      <c r="E539" s="1027"/>
      <c r="F539" s="87"/>
      <c r="G539" s="1027"/>
      <c r="H539" s="1029"/>
      <c r="I539" s="1030"/>
      <c r="J539" s="1039" t="e">
        <f>IF($F139="","",$F139*chronic_consumption!E539/1000/$C$3)</f>
        <v>#DIV/0!</v>
      </c>
      <c r="K539" s="1040" t="e">
        <f>IF($F139="","",$F139*chronic_consumption!F539/1000/$C$3)</f>
        <v>#DIV/0!</v>
      </c>
      <c r="L539" s="1040" t="e">
        <f>IF($F139="","",$F139*chronic_consumption!G539/1000/$C$3)</f>
        <v>#DIV/0!</v>
      </c>
      <c r="M539" s="1040" t="e">
        <f>IF($F139="","",$F139*chronic_consumption!H539/1000/$C$3)</f>
        <v>#DIV/0!</v>
      </c>
      <c r="N539" s="1040" t="e">
        <f>IF($F139="","",$F139*chronic_consumption!I539/1000/$C$3)</f>
        <v>#DIV/0!</v>
      </c>
      <c r="O539" s="1040" t="e">
        <f>IF($F139="","",$F139*chronic_consumption!J539/1000/$C$3)</f>
        <v>#DIV/0!</v>
      </c>
      <c r="P539" s="1040" t="e">
        <f>IF($F139="","",$F139*chronic_consumption!K539/1000/$C$3)</f>
        <v>#DIV/0!</v>
      </c>
      <c r="Q539" s="1040" t="e">
        <f>IF($F139="","",$F139*chronic_consumption!L539/1000/$C$3)</f>
        <v>#DIV/0!</v>
      </c>
      <c r="R539" s="1040" t="e">
        <f>IF($F139="","",$F139*chronic_consumption!M539/1000/$C$3)</f>
        <v>#DIV/0!</v>
      </c>
      <c r="S539" s="1040" t="e">
        <f>IF($F139="","",$F139*chronic_consumption!N539/1000/$C$3)</f>
        <v>#DIV/0!</v>
      </c>
      <c r="T539" s="1040" t="e">
        <f>IF($F139="","",$F139*chronic_consumption!O539/1000/$C$3)</f>
        <v>#DIV/0!</v>
      </c>
      <c r="U539" s="1040" t="e">
        <f>IF($F139="","",$F139*chronic_consumption!P539/1000/$C$3)</f>
        <v>#DIV/0!</v>
      </c>
      <c r="V539" s="1040" t="e">
        <f>IF($F139="","",$F139*chronic_consumption!Q539/1000/$C$3)</f>
        <v>#DIV/0!</v>
      </c>
      <c r="W539" s="1040" t="e">
        <f>IF($F139="","",$F139*chronic_consumption!R539/1000/$C$3)</f>
        <v>#DIV/0!</v>
      </c>
      <c r="X539" s="1040" t="e">
        <f>IF($F139="","",$F139*chronic_consumption!S539/1000/$C$3)</f>
        <v>#DIV/0!</v>
      </c>
      <c r="Y539" s="1040" t="e">
        <f>IF($F139="","",$F139*chronic_consumption!T539/1000/$C$3)</f>
        <v>#DIV/0!</v>
      </c>
      <c r="Z539" s="1040" t="e">
        <f>IF($F139="","",$F139*chronic_consumption!U539/1000/$C$3)</f>
        <v>#DIV/0!</v>
      </c>
      <c r="AA539" s="1040" t="e">
        <f>IF($F139="","",$F139*chronic_consumption!V539/1000/$C$3)</f>
        <v>#DIV/0!</v>
      </c>
      <c r="AB539" s="1040" t="e">
        <f>IF($F139="","",$F139*chronic_consumption!W539/1000/$C$3)</f>
        <v>#DIV/0!</v>
      </c>
      <c r="AC539" s="1040" t="e">
        <f>IF($F139="","",$F139*chronic_consumption!X539/1000/$C$3)</f>
        <v>#DIV/0!</v>
      </c>
      <c r="AD539" s="1040" t="e">
        <f>IF($F139="","",$F139*chronic_consumption!Y539/1000/$C$3)</f>
        <v>#DIV/0!</v>
      </c>
      <c r="AE539" s="1040" t="e">
        <f>IF($F139="","",$F139*chronic_consumption!Z539/1000/$C$3)</f>
        <v>#DIV/0!</v>
      </c>
      <c r="AF539" s="1040" t="e">
        <f>IF($F139="","",$F139*chronic_consumption!AA539/1000/$C$3)</f>
        <v>#DIV/0!</v>
      </c>
      <c r="AG539" s="1040" t="e">
        <f>IF($F139="","",$F139*chronic_consumption!AB539/1000/$C$3)</f>
        <v>#DIV/0!</v>
      </c>
      <c r="AH539" s="1040" t="e">
        <f>IF($F139="","",$F139*chronic_consumption!AC539/1000/$C$3)</f>
        <v>#DIV/0!</v>
      </c>
      <c r="AI539" s="1040" t="e">
        <f>IF($F139="","",$F139*chronic_consumption!AD539/1000/$C$3)</f>
        <v>#DIV/0!</v>
      </c>
      <c r="AJ539" s="1040" t="e">
        <f>IF($F139="","",$F139*chronic_consumption!AE539/1000/$C$3)</f>
        <v>#DIV/0!</v>
      </c>
      <c r="AK539" s="1040" t="e">
        <f>IF($F139="","",$F139*chronic_consumption!AF539/1000/$C$3)</f>
        <v>#DIV/0!</v>
      </c>
      <c r="AL539" s="1040" t="e">
        <f>IF($F139="","",$F139*chronic_consumption!AG539/1000/$C$3)</f>
        <v>#DIV/0!</v>
      </c>
      <c r="AM539" s="1040" t="e">
        <f>IF($F139="","",$F139*chronic_consumption!AH539/1000/$C$3)</f>
        <v>#DIV/0!</v>
      </c>
      <c r="AN539" s="1040" t="e">
        <f>IF($F139="","",$F139*chronic_consumption!AI539/1000/$C$3)</f>
        <v>#DIV/0!</v>
      </c>
      <c r="AO539" s="1040" t="e">
        <f>IF($F139="","",$F139*chronic_consumption!AJ539/1000/$C$3)</f>
        <v>#DIV/0!</v>
      </c>
      <c r="AP539" s="1040" t="e">
        <f>IF($F139="","",$F139*chronic_consumption!AK539/1000/$C$3)</f>
        <v>#DIV/0!</v>
      </c>
      <c r="AQ539" s="1040" t="e">
        <f>IF($F139="","",$F139*chronic_consumption!AL539/1000/$C$3)</f>
        <v>#DIV/0!</v>
      </c>
      <c r="AR539" s="1040" t="e">
        <f>IF($F139="","",$F139*chronic_consumption!AM539/1000/$C$3)</f>
        <v>#DIV/0!</v>
      </c>
      <c r="AS539" s="1040" t="e">
        <f>IF($F139="","",$F139*chronic_consumption!AN539/1000/$C$3)</f>
        <v>#DIV/0!</v>
      </c>
      <c r="AT539" s="1040" t="e">
        <f>IF($F139="","",$F139*chronic_consumption!AO539/1000/$C$3)</f>
        <v>#DIV/0!</v>
      </c>
      <c r="AU539" s="1040" t="e">
        <f>IF($F139="","",$F139*chronic_consumption!AP539/1000/$C$3)</f>
        <v>#DIV/0!</v>
      </c>
      <c r="AV539" s="1040" t="e">
        <f>IF($F139="","",$F139*chronic_consumption!AQ539/1000/$C$3)</f>
        <v>#DIV/0!</v>
      </c>
      <c r="AW539" s="1040" t="e">
        <f>IF($F139="","",$F139*chronic_consumption!AR539/1000/$C$3)</f>
        <v>#DIV/0!</v>
      </c>
      <c r="AX539" s="1040" t="e">
        <f>IF($F139="","",$F139*chronic_consumption!AS539/1000/$C$3)</f>
        <v>#DIV/0!</v>
      </c>
      <c r="AY539" s="1040" t="e">
        <f>IF($F139="","",$F139*chronic_consumption!AT539/1000/$C$3)</f>
        <v>#DIV/0!</v>
      </c>
      <c r="AZ539" s="44" t="s">
        <v>20</v>
      </c>
      <c r="BC539" s="29"/>
      <c r="BD539" s="29"/>
    </row>
    <row r="540" spans="1:56" ht="12" customHeight="1" outlineLevel="3" x14ac:dyDescent="0.2">
      <c r="A540" s="21">
        <f>acute_overview_children!A140</f>
        <v>4</v>
      </c>
      <c r="B540" s="325">
        <f t="shared" si="42"/>
        <v>233030</v>
      </c>
      <c r="C540" s="325" t="str">
        <f t="shared" si="42"/>
        <v>Watermelons</v>
      </c>
      <c r="D540" s="135"/>
      <c r="E540" s="1027"/>
      <c r="F540" s="87"/>
      <c r="G540" s="1027"/>
      <c r="H540" s="1029"/>
      <c r="I540" s="1030"/>
      <c r="J540" s="1039" t="e">
        <f>IF($F140="","",$F140*chronic_consumption!E540/1000/$C$3)</f>
        <v>#DIV/0!</v>
      </c>
      <c r="K540" s="1040" t="e">
        <f>IF($F140="","",$F140*chronic_consumption!F540/1000/$C$3)</f>
        <v>#DIV/0!</v>
      </c>
      <c r="L540" s="1040" t="e">
        <f>IF($F140="","",$F140*chronic_consumption!G540/1000/$C$3)</f>
        <v>#DIV/0!</v>
      </c>
      <c r="M540" s="1040" t="e">
        <f>IF($F140="","",$F140*chronic_consumption!H540/1000/$C$3)</f>
        <v>#DIV/0!</v>
      </c>
      <c r="N540" s="1040" t="e">
        <f>IF($F140="","",$F140*chronic_consumption!I540/1000/$C$3)</f>
        <v>#DIV/0!</v>
      </c>
      <c r="O540" s="1040" t="e">
        <f>IF($F140="","",$F140*chronic_consumption!J540/1000/$C$3)</f>
        <v>#DIV/0!</v>
      </c>
      <c r="P540" s="1040" t="e">
        <f>IF($F140="","",$F140*chronic_consumption!K540/1000/$C$3)</f>
        <v>#DIV/0!</v>
      </c>
      <c r="Q540" s="1040" t="e">
        <f>IF($F140="","",$F140*chronic_consumption!L540/1000/$C$3)</f>
        <v>#DIV/0!</v>
      </c>
      <c r="R540" s="1040" t="e">
        <f>IF($F140="","",$F140*chronic_consumption!M540/1000/$C$3)</f>
        <v>#DIV/0!</v>
      </c>
      <c r="S540" s="1040" t="e">
        <f>IF($F140="","",$F140*chronic_consumption!N540/1000/$C$3)</f>
        <v>#DIV/0!</v>
      </c>
      <c r="T540" s="1040" t="e">
        <f>IF($F140="","",$F140*chronic_consumption!O540/1000/$C$3)</f>
        <v>#DIV/0!</v>
      </c>
      <c r="U540" s="1040" t="e">
        <f>IF($F140="","",$F140*chronic_consumption!P540/1000/$C$3)</f>
        <v>#DIV/0!</v>
      </c>
      <c r="V540" s="1040" t="e">
        <f>IF($F140="","",$F140*chronic_consumption!Q540/1000/$C$3)</f>
        <v>#DIV/0!</v>
      </c>
      <c r="W540" s="1040" t="e">
        <f>IF($F140="","",$F140*chronic_consumption!R540/1000/$C$3)</f>
        <v>#DIV/0!</v>
      </c>
      <c r="X540" s="1040" t="e">
        <f>IF($F140="","",$F140*chronic_consumption!S540/1000/$C$3)</f>
        <v>#DIV/0!</v>
      </c>
      <c r="Y540" s="1040" t="e">
        <f>IF($F140="","",$F140*chronic_consumption!T540/1000/$C$3)</f>
        <v>#DIV/0!</v>
      </c>
      <c r="Z540" s="1040" t="e">
        <f>IF($F140="","",$F140*chronic_consumption!U540/1000/$C$3)</f>
        <v>#DIV/0!</v>
      </c>
      <c r="AA540" s="1040" t="e">
        <f>IF($F140="","",$F140*chronic_consumption!V540/1000/$C$3)</f>
        <v>#DIV/0!</v>
      </c>
      <c r="AB540" s="1040" t="e">
        <f>IF($F140="","",$F140*chronic_consumption!W540/1000/$C$3)</f>
        <v>#DIV/0!</v>
      </c>
      <c r="AC540" s="1040" t="e">
        <f>IF($F140="","",$F140*chronic_consumption!X540/1000/$C$3)</f>
        <v>#DIV/0!</v>
      </c>
      <c r="AD540" s="1040" t="e">
        <f>IF($F140="","",$F140*chronic_consumption!Y540/1000/$C$3)</f>
        <v>#DIV/0!</v>
      </c>
      <c r="AE540" s="1040" t="e">
        <f>IF($F140="","",$F140*chronic_consumption!Z540/1000/$C$3)</f>
        <v>#DIV/0!</v>
      </c>
      <c r="AF540" s="1040" t="e">
        <f>IF($F140="","",$F140*chronic_consumption!AA540/1000/$C$3)</f>
        <v>#DIV/0!</v>
      </c>
      <c r="AG540" s="1040" t="e">
        <f>IF($F140="","",$F140*chronic_consumption!AB540/1000/$C$3)</f>
        <v>#DIV/0!</v>
      </c>
      <c r="AH540" s="1040" t="e">
        <f>IF($F140="","",$F140*chronic_consumption!AC540/1000/$C$3)</f>
        <v>#DIV/0!</v>
      </c>
      <c r="AI540" s="1040" t="e">
        <f>IF($F140="","",$F140*chronic_consumption!AD540/1000/$C$3)</f>
        <v>#DIV/0!</v>
      </c>
      <c r="AJ540" s="1040" t="e">
        <f>IF($F140="","",$F140*chronic_consumption!AE540/1000/$C$3)</f>
        <v>#DIV/0!</v>
      </c>
      <c r="AK540" s="1040" t="e">
        <f>IF($F140="","",$F140*chronic_consumption!AF540/1000/$C$3)</f>
        <v>#DIV/0!</v>
      </c>
      <c r="AL540" s="1040" t="e">
        <f>IF($F140="","",$F140*chronic_consumption!AG540/1000/$C$3)</f>
        <v>#DIV/0!</v>
      </c>
      <c r="AM540" s="1040" t="e">
        <f>IF($F140="","",$F140*chronic_consumption!AH540/1000/$C$3)</f>
        <v>#DIV/0!</v>
      </c>
      <c r="AN540" s="1040" t="e">
        <f>IF($F140="","",$F140*chronic_consumption!AI540/1000/$C$3)</f>
        <v>#DIV/0!</v>
      </c>
      <c r="AO540" s="1040" t="e">
        <f>IF($F140="","",$F140*chronic_consumption!AJ540/1000/$C$3)</f>
        <v>#DIV/0!</v>
      </c>
      <c r="AP540" s="1040" t="e">
        <f>IF($F140="","",$F140*chronic_consumption!AK540/1000/$C$3)</f>
        <v>#DIV/0!</v>
      </c>
      <c r="AQ540" s="1040" t="e">
        <f>IF($F140="","",$F140*chronic_consumption!AL540/1000/$C$3)</f>
        <v>#DIV/0!</v>
      </c>
      <c r="AR540" s="1040" t="e">
        <f>IF($F140="","",$F140*chronic_consumption!AM540/1000/$C$3)</f>
        <v>#DIV/0!</v>
      </c>
      <c r="AS540" s="1040" t="e">
        <f>IF($F140="","",$F140*chronic_consumption!AN540/1000/$C$3)</f>
        <v>#DIV/0!</v>
      </c>
      <c r="AT540" s="1040" t="e">
        <f>IF($F140="","",$F140*chronic_consumption!AO540/1000/$C$3)</f>
        <v>#DIV/0!</v>
      </c>
      <c r="AU540" s="1040" t="e">
        <f>IF($F140="","",$F140*chronic_consumption!AP540/1000/$C$3)</f>
        <v>#DIV/0!</v>
      </c>
      <c r="AV540" s="1040" t="e">
        <f>IF($F140="","",$F140*chronic_consumption!AQ540/1000/$C$3)</f>
        <v>#DIV/0!</v>
      </c>
      <c r="AW540" s="1040" t="e">
        <f>IF($F140="","",$F140*chronic_consumption!AR540/1000/$C$3)</f>
        <v>#DIV/0!</v>
      </c>
      <c r="AX540" s="1040" t="e">
        <f>IF($F140="","",$F140*chronic_consumption!AS540/1000/$C$3)</f>
        <v>#DIV/0!</v>
      </c>
      <c r="AY540" s="1040" t="e">
        <f>IF($F140="","",$F140*chronic_consumption!AT540/1000/$C$3)</f>
        <v>#DIV/0!</v>
      </c>
      <c r="AZ540" s="44" t="s">
        <v>20</v>
      </c>
      <c r="BC540" s="29"/>
      <c r="BD540" s="29"/>
    </row>
    <row r="541" spans="1:56" ht="12" customHeight="1" outlineLevel="3" x14ac:dyDescent="0.2">
      <c r="A541" s="21">
        <f>acute_overview_children!A141</f>
        <v>4</v>
      </c>
      <c r="B541" s="325">
        <f t="shared" si="42"/>
        <v>233990</v>
      </c>
      <c r="C541" s="325" t="str">
        <f t="shared" si="42"/>
        <v>Other cucurbits - inedible peel</v>
      </c>
      <c r="D541" s="135"/>
      <c r="E541" s="1027"/>
      <c r="F541" s="87"/>
      <c r="G541" s="1027"/>
      <c r="H541" s="1029"/>
      <c r="I541" s="1030"/>
      <c r="J541" s="1039" t="e">
        <f>IF($F141="","",$F141*chronic_consumption!E541/1000/$C$3)</f>
        <v>#DIV/0!</v>
      </c>
      <c r="K541" s="1040" t="e">
        <f>IF($F141="","",$F141*chronic_consumption!F541/1000/$C$3)</f>
        <v>#DIV/0!</v>
      </c>
      <c r="L541" s="1040" t="e">
        <f>IF($F141="","",$F141*chronic_consumption!G541/1000/$C$3)</f>
        <v>#DIV/0!</v>
      </c>
      <c r="M541" s="1040" t="e">
        <f>IF($F141="","",$F141*chronic_consumption!H541/1000/$C$3)</f>
        <v>#DIV/0!</v>
      </c>
      <c r="N541" s="1040" t="e">
        <f>IF($F141="","",$F141*chronic_consumption!I541/1000/$C$3)</f>
        <v>#DIV/0!</v>
      </c>
      <c r="O541" s="1040" t="e">
        <f>IF($F141="","",$F141*chronic_consumption!J541/1000/$C$3)</f>
        <v>#DIV/0!</v>
      </c>
      <c r="P541" s="1040" t="e">
        <f>IF($F141="","",$F141*chronic_consumption!K541/1000/$C$3)</f>
        <v>#DIV/0!</v>
      </c>
      <c r="Q541" s="1040" t="e">
        <f>IF($F141="","",$F141*chronic_consumption!L541/1000/$C$3)</f>
        <v>#DIV/0!</v>
      </c>
      <c r="R541" s="1040" t="e">
        <f>IF($F141="","",$F141*chronic_consumption!M541/1000/$C$3)</f>
        <v>#DIV/0!</v>
      </c>
      <c r="S541" s="1040" t="e">
        <f>IF($F141="","",$F141*chronic_consumption!N541/1000/$C$3)</f>
        <v>#DIV/0!</v>
      </c>
      <c r="T541" s="1040" t="e">
        <f>IF($F141="","",$F141*chronic_consumption!O541/1000/$C$3)</f>
        <v>#DIV/0!</v>
      </c>
      <c r="U541" s="1040" t="e">
        <f>IF($F141="","",$F141*chronic_consumption!P541/1000/$C$3)</f>
        <v>#DIV/0!</v>
      </c>
      <c r="V541" s="1040" t="e">
        <f>IF($F141="","",$F141*chronic_consumption!Q541/1000/$C$3)</f>
        <v>#DIV/0!</v>
      </c>
      <c r="W541" s="1040" t="e">
        <f>IF($F141="","",$F141*chronic_consumption!R541/1000/$C$3)</f>
        <v>#DIV/0!</v>
      </c>
      <c r="X541" s="1040" t="e">
        <f>IF($F141="","",$F141*chronic_consumption!S541/1000/$C$3)</f>
        <v>#DIV/0!</v>
      </c>
      <c r="Y541" s="1040" t="e">
        <f>IF($F141="","",$F141*chronic_consumption!T541/1000/$C$3)</f>
        <v>#DIV/0!</v>
      </c>
      <c r="Z541" s="1040" t="e">
        <f>IF($F141="","",$F141*chronic_consumption!U541/1000/$C$3)</f>
        <v>#DIV/0!</v>
      </c>
      <c r="AA541" s="1040" t="e">
        <f>IF($F141="","",$F141*chronic_consumption!V541/1000/$C$3)</f>
        <v>#DIV/0!</v>
      </c>
      <c r="AB541" s="1040" t="e">
        <f>IF($F141="","",$F141*chronic_consumption!W541/1000/$C$3)</f>
        <v>#DIV/0!</v>
      </c>
      <c r="AC541" s="1040" t="e">
        <f>IF($F141="","",$F141*chronic_consumption!X541/1000/$C$3)</f>
        <v>#DIV/0!</v>
      </c>
      <c r="AD541" s="1040" t="e">
        <f>IF($F141="","",$F141*chronic_consumption!Y541/1000/$C$3)</f>
        <v>#DIV/0!</v>
      </c>
      <c r="AE541" s="1040" t="e">
        <f>IF($F141="","",$F141*chronic_consumption!Z541/1000/$C$3)</f>
        <v>#DIV/0!</v>
      </c>
      <c r="AF541" s="1040" t="e">
        <f>IF($F141="","",$F141*chronic_consumption!AA541/1000/$C$3)</f>
        <v>#DIV/0!</v>
      </c>
      <c r="AG541" s="1040" t="e">
        <f>IF($F141="","",$F141*chronic_consumption!AB541/1000/$C$3)</f>
        <v>#DIV/0!</v>
      </c>
      <c r="AH541" s="1040" t="e">
        <f>IF($F141="","",$F141*chronic_consumption!AC541/1000/$C$3)</f>
        <v>#DIV/0!</v>
      </c>
      <c r="AI541" s="1040" t="e">
        <f>IF($F141="","",$F141*chronic_consumption!AD541/1000/$C$3)</f>
        <v>#DIV/0!</v>
      </c>
      <c r="AJ541" s="1040" t="e">
        <f>IF($F141="","",$F141*chronic_consumption!AE541/1000/$C$3)</f>
        <v>#DIV/0!</v>
      </c>
      <c r="AK541" s="1040" t="e">
        <f>IF($F141="","",$F141*chronic_consumption!AF541/1000/$C$3)</f>
        <v>#DIV/0!</v>
      </c>
      <c r="AL541" s="1040" t="e">
        <f>IF($F141="","",$F141*chronic_consumption!AG541/1000/$C$3)</f>
        <v>#DIV/0!</v>
      </c>
      <c r="AM541" s="1040" t="e">
        <f>IF($F141="","",$F141*chronic_consumption!AH541/1000/$C$3)</f>
        <v>#DIV/0!</v>
      </c>
      <c r="AN541" s="1040" t="e">
        <f>IF($F141="","",$F141*chronic_consumption!AI541/1000/$C$3)</f>
        <v>#DIV/0!</v>
      </c>
      <c r="AO541" s="1040" t="e">
        <f>IF($F141="","",$F141*chronic_consumption!AJ541/1000/$C$3)</f>
        <v>#DIV/0!</v>
      </c>
      <c r="AP541" s="1040" t="e">
        <f>IF($F141="","",$F141*chronic_consumption!AK541/1000/$C$3)</f>
        <v>#DIV/0!</v>
      </c>
      <c r="AQ541" s="1040" t="e">
        <f>IF($F141="","",$F141*chronic_consumption!AL541/1000/$C$3)</f>
        <v>#DIV/0!</v>
      </c>
      <c r="AR541" s="1040" t="e">
        <f>IF($F141="","",$F141*chronic_consumption!AM541/1000/$C$3)</f>
        <v>#DIV/0!</v>
      </c>
      <c r="AS541" s="1040" t="e">
        <f>IF($F141="","",$F141*chronic_consumption!AN541/1000/$C$3)</f>
        <v>#DIV/0!</v>
      </c>
      <c r="AT541" s="1040" t="e">
        <f>IF($F141="","",$F141*chronic_consumption!AO541/1000/$C$3)</f>
        <v>#DIV/0!</v>
      </c>
      <c r="AU541" s="1040" t="e">
        <f>IF($F141="","",$F141*chronic_consumption!AP541/1000/$C$3)</f>
        <v>#DIV/0!</v>
      </c>
      <c r="AV541" s="1040" t="e">
        <f>IF($F141="","",$F141*chronic_consumption!AQ541/1000/$C$3)</f>
        <v>#DIV/0!</v>
      </c>
      <c r="AW541" s="1040" t="e">
        <f>IF($F141="","",$F141*chronic_consumption!AR541/1000/$C$3)</f>
        <v>#DIV/0!</v>
      </c>
      <c r="AX541" s="1040" t="e">
        <f>IF($F141="","",$F141*chronic_consumption!AS541/1000/$C$3)</f>
        <v>#DIV/0!</v>
      </c>
      <c r="AY541" s="1040" t="e">
        <f>IF($F141="","",$F141*chronic_consumption!AT541/1000/$C$3)</f>
        <v>#DIV/0!</v>
      </c>
      <c r="AZ541" s="44" t="s">
        <v>20</v>
      </c>
      <c r="BC541" s="29"/>
      <c r="BD541" s="29"/>
    </row>
    <row r="542" spans="1:56" ht="12" customHeight="1" outlineLevel="2" x14ac:dyDescent="0.2">
      <c r="A542" s="341">
        <f>acute_overview_children!A142</f>
        <v>3</v>
      </c>
      <c r="B542" s="1041">
        <f t="shared" si="42"/>
        <v>234000</v>
      </c>
      <c r="C542" s="1041" t="str">
        <f t="shared" si="42"/>
        <v>Sweet corn</v>
      </c>
      <c r="D542" s="1042"/>
      <c r="E542" s="1027"/>
      <c r="F542" s="87"/>
      <c r="G542" s="1027"/>
      <c r="H542" s="1029"/>
      <c r="I542" s="1030"/>
      <c r="J542" s="1043" t="e">
        <f>IF($F142="","",$F142*chronic_consumption!E542/1000/$C$3)</f>
        <v>#DIV/0!</v>
      </c>
      <c r="K542" s="1044" t="e">
        <f>IF($F142="","",$F142*chronic_consumption!F542/1000/$C$3)</f>
        <v>#DIV/0!</v>
      </c>
      <c r="L542" s="1044" t="e">
        <f>IF($F142="","",$F142*chronic_consumption!G542/1000/$C$3)</f>
        <v>#DIV/0!</v>
      </c>
      <c r="M542" s="1044" t="e">
        <f>IF($F142="","",$F142*chronic_consumption!H542/1000/$C$3)</f>
        <v>#DIV/0!</v>
      </c>
      <c r="N542" s="1044" t="e">
        <f>IF($F142="","",$F142*chronic_consumption!I542/1000/$C$3)</f>
        <v>#DIV/0!</v>
      </c>
      <c r="O542" s="1044" t="e">
        <f>IF($F142="","",$F142*chronic_consumption!J542/1000/$C$3)</f>
        <v>#DIV/0!</v>
      </c>
      <c r="P542" s="1044" t="e">
        <f>IF($F142="","",$F142*chronic_consumption!K542/1000/$C$3)</f>
        <v>#DIV/0!</v>
      </c>
      <c r="Q542" s="1044" t="e">
        <f>IF($F142="","",$F142*chronic_consumption!L542/1000/$C$3)</f>
        <v>#DIV/0!</v>
      </c>
      <c r="R542" s="1044" t="e">
        <f>IF($F142="","",$F142*chronic_consumption!M542/1000/$C$3)</f>
        <v>#DIV/0!</v>
      </c>
      <c r="S542" s="1044" t="e">
        <f>IF($F142="","",$F142*chronic_consumption!N542/1000/$C$3)</f>
        <v>#DIV/0!</v>
      </c>
      <c r="T542" s="1044" t="e">
        <f>IF($F142="","",$F142*chronic_consumption!O542/1000/$C$3)</f>
        <v>#DIV/0!</v>
      </c>
      <c r="U542" s="1044" t="e">
        <f>IF($F142="","",$F142*chronic_consumption!P542/1000/$C$3)</f>
        <v>#DIV/0!</v>
      </c>
      <c r="V542" s="1044" t="e">
        <f>IF($F142="","",$F142*chronic_consumption!Q542/1000/$C$3)</f>
        <v>#DIV/0!</v>
      </c>
      <c r="W542" s="1044" t="e">
        <f>IF($F142="","",$F142*chronic_consumption!R542/1000/$C$3)</f>
        <v>#DIV/0!</v>
      </c>
      <c r="X542" s="1044" t="e">
        <f>IF($F142="","",$F142*chronic_consumption!S542/1000/$C$3)</f>
        <v>#DIV/0!</v>
      </c>
      <c r="Y542" s="1044" t="e">
        <f>IF($F142="","",$F142*chronic_consumption!T542/1000/$C$3)</f>
        <v>#DIV/0!</v>
      </c>
      <c r="Z542" s="1044" t="e">
        <f>IF($F142="","",$F142*chronic_consumption!U542/1000/$C$3)</f>
        <v>#DIV/0!</v>
      </c>
      <c r="AA542" s="1044" t="e">
        <f>IF($F142="","",$F142*chronic_consumption!V542/1000/$C$3)</f>
        <v>#DIV/0!</v>
      </c>
      <c r="AB542" s="1044" t="e">
        <f>IF($F142="","",$F142*chronic_consumption!W542/1000/$C$3)</f>
        <v>#DIV/0!</v>
      </c>
      <c r="AC542" s="1044" t="e">
        <f>IF($F142="","",$F142*chronic_consumption!X542/1000/$C$3)</f>
        <v>#DIV/0!</v>
      </c>
      <c r="AD542" s="1044" t="e">
        <f>IF($F142="","",$F142*chronic_consumption!Y542/1000/$C$3)</f>
        <v>#DIV/0!</v>
      </c>
      <c r="AE542" s="1044" t="e">
        <f>IF($F142="","",$F142*chronic_consumption!Z542/1000/$C$3)</f>
        <v>#DIV/0!</v>
      </c>
      <c r="AF542" s="1044" t="e">
        <f>IF($F142="","",$F142*chronic_consumption!AA542/1000/$C$3)</f>
        <v>#DIV/0!</v>
      </c>
      <c r="AG542" s="1044" t="e">
        <f>IF($F142="","",$F142*chronic_consumption!AB542/1000/$C$3)</f>
        <v>#DIV/0!</v>
      </c>
      <c r="AH542" s="1044" t="e">
        <f>IF($F142="","",$F142*chronic_consumption!AC542/1000/$C$3)</f>
        <v>#DIV/0!</v>
      </c>
      <c r="AI542" s="1044" t="e">
        <f>IF($F142="","",$F142*chronic_consumption!AD542/1000/$C$3)</f>
        <v>#DIV/0!</v>
      </c>
      <c r="AJ542" s="1044" t="e">
        <f>IF($F142="","",$F142*chronic_consumption!AE542/1000/$C$3)</f>
        <v>#DIV/0!</v>
      </c>
      <c r="AK542" s="1044" t="e">
        <f>IF($F142="","",$F142*chronic_consumption!AF542/1000/$C$3)</f>
        <v>#DIV/0!</v>
      </c>
      <c r="AL542" s="1044" t="e">
        <f>IF($F142="","",$F142*chronic_consumption!AG542/1000/$C$3)</f>
        <v>#DIV/0!</v>
      </c>
      <c r="AM542" s="1044" t="e">
        <f>IF($F142="","",$F142*chronic_consumption!AH542/1000/$C$3)</f>
        <v>#DIV/0!</v>
      </c>
      <c r="AN542" s="1044" t="e">
        <f>IF($F142="","",$F142*chronic_consumption!AI542/1000/$C$3)</f>
        <v>#DIV/0!</v>
      </c>
      <c r="AO542" s="1044" t="e">
        <f>IF($F142="","",$F142*chronic_consumption!AJ542/1000/$C$3)</f>
        <v>#DIV/0!</v>
      </c>
      <c r="AP542" s="1044" t="e">
        <f>IF($F142="","",$F142*chronic_consumption!AK542/1000/$C$3)</f>
        <v>#DIV/0!</v>
      </c>
      <c r="AQ542" s="1044" t="e">
        <f>IF($F142="","",$F142*chronic_consumption!AL542/1000/$C$3)</f>
        <v>#DIV/0!</v>
      </c>
      <c r="AR542" s="1044" t="e">
        <f>IF($F142="","",$F142*chronic_consumption!AM542/1000/$C$3)</f>
        <v>#DIV/0!</v>
      </c>
      <c r="AS542" s="1044" t="e">
        <f>IF($F142="","",$F142*chronic_consumption!AN542/1000/$C$3)</f>
        <v>#DIV/0!</v>
      </c>
      <c r="AT542" s="1044" t="e">
        <f>IF($F142="","",$F142*chronic_consumption!AO542/1000/$C$3)</f>
        <v>#DIV/0!</v>
      </c>
      <c r="AU542" s="1044" t="e">
        <f>IF($F142="","",$F142*chronic_consumption!AP542/1000/$C$3)</f>
        <v>#DIV/0!</v>
      </c>
      <c r="AV542" s="1044" t="e">
        <f>IF($F142="","",$F142*chronic_consumption!AQ542/1000/$C$3)</f>
        <v>#DIV/0!</v>
      </c>
      <c r="AW542" s="1044" t="e">
        <f>IF($F142="","",$F142*chronic_consumption!AR542/1000/$C$3)</f>
        <v>#DIV/0!</v>
      </c>
      <c r="AX542" s="1044" t="e">
        <f>IF($F142="","",$F142*chronic_consumption!AS542/1000/$C$3)</f>
        <v>#DIV/0!</v>
      </c>
      <c r="AY542" s="1044" t="e">
        <f>IF($F142="","",$F142*chronic_consumption!AT542/1000/$C$3)</f>
        <v>#DIV/0!</v>
      </c>
      <c r="AZ542" s="44" t="s">
        <v>20</v>
      </c>
      <c r="BC542" s="29"/>
      <c r="BD542" s="29"/>
    </row>
    <row r="543" spans="1:56" ht="12" customHeight="1" outlineLevel="2" x14ac:dyDescent="0.2">
      <c r="A543" s="341">
        <f>acute_overview_children!A143</f>
        <v>3</v>
      </c>
      <c r="B543" s="1041">
        <f t="shared" si="42"/>
        <v>239000</v>
      </c>
      <c r="C543" s="1041" t="str">
        <f t="shared" si="42"/>
        <v xml:space="preserve">Other fruiting vegetables </v>
      </c>
      <c r="D543" s="1042"/>
      <c r="E543" s="1027"/>
      <c r="F543" s="87"/>
      <c r="G543" s="1027"/>
      <c r="H543" s="1029"/>
      <c r="I543" s="1030"/>
      <c r="J543" s="1043" t="e">
        <f>IF($F143="","",$F143*chronic_consumption!E543/1000/$C$3)</f>
        <v>#DIV/0!</v>
      </c>
      <c r="K543" s="1044" t="e">
        <f>IF($F143="","",$F143*chronic_consumption!F543/1000/$C$3)</f>
        <v>#DIV/0!</v>
      </c>
      <c r="L543" s="1044" t="e">
        <f>IF($F143="","",$F143*chronic_consumption!G543/1000/$C$3)</f>
        <v>#DIV/0!</v>
      </c>
      <c r="M543" s="1044" t="e">
        <f>IF($F143="","",$F143*chronic_consumption!H543/1000/$C$3)</f>
        <v>#DIV/0!</v>
      </c>
      <c r="N543" s="1044" t="e">
        <f>IF($F143="","",$F143*chronic_consumption!I543/1000/$C$3)</f>
        <v>#DIV/0!</v>
      </c>
      <c r="O543" s="1044" t="e">
        <f>IF($F143="","",$F143*chronic_consumption!J543/1000/$C$3)</f>
        <v>#DIV/0!</v>
      </c>
      <c r="P543" s="1044" t="e">
        <f>IF($F143="","",$F143*chronic_consumption!K543/1000/$C$3)</f>
        <v>#DIV/0!</v>
      </c>
      <c r="Q543" s="1044" t="e">
        <f>IF($F143="","",$F143*chronic_consumption!L543/1000/$C$3)</f>
        <v>#DIV/0!</v>
      </c>
      <c r="R543" s="1044" t="e">
        <f>IF($F143="","",$F143*chronic_consumption!M543/1000/$C$3)</f>
        <v>#DIV/0!</v>
      </c>
      <c r="S543" s="1044" t="e">
        <f>IF($F143="","",$F143*chronic_consumption!N543/1000/$C$3)</f>
        <v>#DIV/0!</v>
      </c>
      <c r="T543" s="1044" t="e">
        <f>IF($F143="","",$F143*chronic_consumption!O543/1000/$C$3)</f>
        <v>#DIV/0!</v>
      </c>
      <c r="U543" s="1044" t="e">
        <f>IF($F143="","",$F143*chronic_consumption!P543/1000/$C$3)</f>
        <v>#DIV/0!</v>
      </c>
      <c r="V543" s="1044" t="e">
        <f>IF($F143="","",$F143*chronic_consumption!Q543/1000/$C$3)</f>
        <v>#DIV/0!</v>
      </c>
      <c r="W543" s="1044" t="e">
        <f>IF($F143="","",$F143*chronic_consumption!R543/1000/$C$3)</f>
        <v>#DIV/0!</v>
      </c>
      <c r="X543" s="1044" t="e">
        <f>IF($F143="","",$F143*chronic_consumption!S543/1000/$C$3)</f>
        <v>#DIV/0!</v>
      </c>
      <c r="Y543" s="1044" t="e">
        <f>IF($F143="","",$F143*chronic_consumption!T543/1000/$C$3)</f>
        <v>#DIV/0!</v>
      </c>
      <c r="Z543" s="1044" t="e">
        <f>IF($F143="","",$F143*chronic_consumption!U543/1000/$C$3)</f>
        <v>#DIV/0!</v>
      </c>
      <c r="AA543" s="1044" t="e">
        <f>IF($F143="","",$F143*chronic_consumption!V543/1000/$C$3)</f>
        <v>#DIV/0!</v>
      </c>
      <c r="AB543" s="1044" t="e">
        <f>IF($F143="","",$F143*chronic_consumption!W543/1000/$C$3)</f>
        <v>#DIV/0!</v>
      </c>
      <c r="AC543" s="1044" t="e">
        <f>IF($F143="","",$F143*chronic_consumption!X543/1000/$C$3)</f>
        <v>#DIV/0!</v>
      </c>
      <c r="AD543" s="1044" t="e">
        <f>IF($F143="","",$F143*chronic_consumption!Y543/1000/$C$3)</f>
        <v>#DIV/0!</v>
      </c>
      <c r="AE543" s="1044" t="e">
        <f>IF($F143="","",$F143*chronic_consumption!Z543/1000/$C$3)</f>
        <v>#DIV/0!</v>
      </c>
      <c r="AF543" s="1044" t="e">
        <f>IF($F143="","",$F143*chronic_consumption!AA543/1000/$C$3)</f>
        <v>#DIV/0!</v>
      </c>
      <c r="AG543" s="1044" t="e">
        <f>IF($F143="","",$F143*chronic_consumption!AB543/1000/$C$3)</f>
        <v>#DIV/0!</v>
      </c>
      <c r="AH543" s="1044" t="e">
        <f>IF($F143="","",$F143*chronic_consumption!AC543/1000/$C$3)</f>
        <v>#DIV/0!</v>
      </c>
      <c r="AI543" s="1044" t="e">
        <f>IF($F143="","",$F143*chronic_consumption!AD543/1000/$C$3)</f>
        <v>#DIV/0!</v>
      </c>
      <c r="AJ543" s="1044" t="e">
        <f>IF($F143="","",$F143*chronic_consumption!AE543/1000/$C$3)</f>
        <v>#DIV/0!</v>
      </c>
      <c r="AK543" s="1044" t="e">
        <f>IF($F143="","",$F143*chronic_consumption!AF543/1000/$C$3)</f>
        <v>#DIV/0!</v>
      </c>
      <c r="AL543" s="1044" t="e">
        <f>IF($F143="","",$F143*chronic_consumption!AG543/1000/$C$3)</f>
        <v>#DIV/0!</v>
      </c>
      <c r="AM543" s="1044" t="e">
        <f>IF($F143="","",$F143*chronic_consumption!AH543/1000/$C$3)</f>
        <v>#DIV/0!</v>
      </c>
      <c r="AN543" s="1044" t="e">
        <f>IF($F143="","",$F143*chronic_consumption!AI543/1000/$C$3)</f>
        <v>#DIV/0!</v>
      </c>
      <c r="AO543" s="1044" t="e">
        <f>IF($F143="","",$F143*chronic_consumption!AJ543/1000/$C$3)</f>
        <v>#DIV/0!</v>
      </c>
      <c r="AP543" s="1044" t="e">
        <f>IF($F143="","",$F143*chronic_consumption!AK543/1000/$C$3)</f>
        <v>#DIV/0!</v>
      </c>
      <c r="AQ543" s="1044" t="e">
        <f>IF($F143="","",$F143*chronic_consumption!AL543/1000/$C$3)</f>
        <v>#DIV/0!</v>
      </c>
      <c r="AR543" s="1044" t="e">
        <f>IF($F143="","",$F143*chronic_consumption!AM543/1000/$C$3)</f>
        <v>#DIV/0!</v>
      </c>
      <c r="AS543" s="1044" t="e">
        <f>IF($F143="","",$F143*chronic_consumption!AN543/1000/$C$3)</f>
        <v>#DIV/0!</v>
      </c>
      <c r="AT543" s="1044" t="e">
        <f>IF($F143="","",$F143*chronic_consumption!AO543/1000/$C$3)</f>
        <v>#DIV/0!</v>
      </c>
      <c r="AU543" s="1044" t="e">
        <f>IF($F143="","",$F143*chronic_consumption!AP543/1000/$C$3)</f>
        <v>#DIV/0!</v>
      </c>
      <c r="AV543" s="1044" t="e">
        <f>IF($F143="","",$F143*chronic_consumption!AQ543/1000/$C$3)</f>
        <v>#DIV/0!</v>
      </c>
      <c r="AW543" s="1044" t="e">
        <f>IF($F143="","",$F143*chronic_consumption!AR543/1000/$C$3)</f>
        <v>#DIV/0!</v>
      </c>
      <c r="AX543" s="1044" t="e">
        <f>IF($F143="","",$F143*chronic_consumption!AS543/1000/$C$3)</f>
        <v>#DIV/0!</v>
      </c>
      <c r="AY543" s="1044" t="e">
        <f>IF($F143="","",$F143*chronic_consumption!AT543/1000/$C$3)</f>
        <v>#DIV/0!</v>
      </c>
      <c r="AZ543" s="44" t="s">
        <v>20</v>
      </c>
      <c r="BC543" s="29"/>
      <c r="BD543" s="29"/>
    </row>
    <row r="544" spans="1:56" ht="12" customHeight="1" outlineLevel="1" x14ac:dyDescent="0.2">
      <c r="A544" s="1033">
        <f>acute_overview_children!A144</f>
        <v>2</v>
      </c>
      <c r="B544" s="1034">
        <f t="shared" si="42"/>
        <v>240000</v>
      </c>
      <c r="C544" s="1034" t="str">
        <f t="shared" si="42"/>
        <v>Brassica vegetables</v>
      </c>
      <c r="D544" s="1035"/>
      <c r="E544" s="1027"/>
      <c r="F544" s="87"/>
      <c r="G544" s="1027"/>
      <c r="H544" s="1029"/>
      <c r="I544" s="1030"/>
      <c r="J544" s="1037" t="e">
        <f>IF($F144="","",$F144*chronic_consumption!E544/1000/$C$3)</f>
        <v>#DIV/0!</v>
      </c>
      <c r="K544" s="1038" t="e">
        <f>IF($F144="","",$F144*chronic_consumption!F544/1000/$C$3)</f>
        <v>#DIV/0!</v>
      </c>
      <c r="L544" s="1038" t="e">
        <f>IF($F144="","",$F144*chronic_consumption!G544/1000/$C$3)</f>
        <v>#DIV/0!</v>
      </c>
      <c r="M544" s="1038" t="e">
        <f>IF($F144="","",$F144*chronic_consumption!H544/1000/$C$3)</f>
        <v>#DIV/0!</v>
      </c>
      <c r="N544" s="1038" t="e">
        <f>IF($F144="","",$F144*chronic_consumption!I544/1000/$C$3)</f>
        <v>#DIV/0!</v>
      </c>
      <c r="O544" s="1038" t="e">
        <f>IF($F144="","",$F144*chronic_consumption!J544/1000/$C$3)</f>
        <v>#DIV/0!</v>
      </c>
      <c r="P544" s="1038" t="e">
        <f>IF($F144="","",$F144*chronic_consumption!K544/1000/$C$3)</f>
        <v>#DIV/0!</v>
      </c>
      <c r="Q544" s="1038" t="e">
        <f>IF($F144="","",$F144*chronic_consumption!L544/1000/$C$3)</f>
        <v>#DIV/0!</v>
      </c>
      <c r="R544" s="1038" t="e">
        <f>IF($F144="","",$F144*chronic_consumption!M544/1000/$C$3)</f>
        <v>#DIV/0!</v>
      </c>
      <c r="S544" s="1038" t="e">
        <f>IF($F144="","",$F144*chronic_consumption!N544/1000/$C$3)</f>
        <v>#DIV/0!</v>
      </c>
      <c r="T544" s="1038" t="e">
        <f>IF($F144="","",$F144*chronic_consumption!O544/1000/$C$3)</f>
        <v>#DIV/0!</v>
      </c>
      <c r="U544" s="1038" t="e">
        <f>IF($F144="","",$F144*chronic_consumption!P544/1000/$C$3)</f>
        <v>#DIV/0!</v>
      </c>
      <c r="V544" s="1038" t="e">
        <f>IF($F144="","",$F144*chronic_consumption!Q544/1000/$C$3)</f>
        <v>#DIV/0!</v>
      </c>
      <c r="W544" s="1038" t="e">
        <f>IF($F144="","",$F144*chronic_consumption!R544/1000/$C$3)</f>
        <v>#DIV/0!</v>
      </c>
      <c r="X544" s="1038" t="e">
        <f>IF($F144="","",$F144*chronic_consumption!S544/1000/$C$3)</f>
        <v>#DIV/0!</v>
      </c>
      <c r="Y544" s="1038" t="e">
        <f>IF($F144="","",$F144*chronic_consumption!T544/1000/$C$3)</f>
        <v>#DIV/0!</v>
      </c>
      <c r="Z544" s="1038" t="e">
        <f>IF($F144="","",$F144*chronic_consumption!U544/1000/$C$3)</f>
        <v>#DIV/0!</v>
      </c>
      <c r="AA544" s="1038" t="e">
        <f>IF($F144="","",$F144*chronic_consumption!V544/1000/$C$3)</f>
        <v>#DIV/0!</v>
      </c>
      <c r="AB544" s="1038" t="e">
        <f>IF($F144="","",$F144*chronic_consumption!W544/1000/$C$3)</f>
        <v>#DIV/0!</v>
      </c>
      <c r="AC544" s="1038" t="e">
        <f>IF($F144="","",$F144*chronic_consumption!X544/1000/$C$3)</f>
        <v>#DIV/0!</v>
      </c>
      <c r="AD544" s="1038" t="e">
        <f>IF($F144="","",$F144*chronic_consumption!Y544/1000/$C$3)</f>
        <v>#DIV/0!</v>
      </c>
      <c r="AE544" s="1038" t="e">
        <f>IF($F144="","",$F144*chronic_consumption!Z544/1000/$C$3)</f>
        <v>#DIV/0!</v>
      </c>
      <c r="AF544" s="1038" t="e">
        <f>IF($F144="","",$F144*chronic_consumption!AA544/1000/$C$3)</f>
        <v>#DIV/0!</v>
      </c>
      <c r="AG544" s="1038" t="e">
        <f>IF($F144="","",$F144*chronic_consumption!AB544/1000/$C$3)</f>
        <v>#DIV/0!</v>
      </c>
      <c r="AH544" s="1038" t="e">
        <f>IF($F144="","",$F144*chronic_consumption!AC544/1000/$C$3)</f>
        <v>#DIV/0!</v>
      </c>
      <c r="AI544" s="1038" t="e">
        <f>IF($F144="","",$F144*chronic_consumption!AD544/1000/$C$3)</f>
        <v>#DIV/0!</v>
      </c>
      <c r="AJ544" s="1038" t="e">
        <f>IF($F144="","",$F144*chronic_consumption!AE544/1000/$C$3)</f>
        <v>#DIV/0!</v>
      </c>
      <c r="AK544" s="1038" t="e">
        <f>IF($F144="","",$F144*chronic_consumption!AF544/1000/$C$3)</f>
        <v>#DIV/0!</v>
      </c>
      <c r="AL544" s="1038" t="e">
        <f>IF($F144="","",$F144*chronic_consumption!AG544/1000/$C$3)</f>
        <v>#DIV/0!</v>
      </c>
      <c r="AM544" s="1038" t="e">
        <f>IF($F144="","",$F144*chronic_consumption!AH544/1000/$C$3)</f>
        <v>#DIV/0!</v>
      </c>
      <c r="AN544" s="1038" t="e">
        <f>IF($F144="","",$F144*chronic_consumption!AI544/1000/$C$3)</f>
        <v>#DIV/0!</v>
      </c>
      <c r="AO544" s="1038" t="e">
        <f>IF($F144="","",$F144*chronic_consumption!AJ544/1000/$C$3)</f>
        <v>#DIV/0!</v>
      </c>
      <c r="AP544" s="1038" t="e">
        <f>IF($F144="","",$F144*chronic_consumption!AK544/1000/$C$3)</f>
        <v>#DIV/0!</v>
      </c>
      <c r="AQ544" s="1038" t="e">
        <f>IF($F144="","",$F144*chronic_consumption!AL544/1000/$C$3)</f>
        <v>#DIV/0!</v>
      </c>
      <c r="AR544" s="1038" t="e">
        <f>IF($F144="","",$F144*chronic_consumption!AM544/1000/$C$3)</f>
        <v>#DIV/0!</v>
      </c>
      <c r="AS544" s="1038" t="e">
        <f>IF($F144="","",$F144*chronic_consumption!AN544/1000/$C$3)</f>
        <v>#DIV/0!</v>
      </c>
      <c r="AT544" s="1038" t="e">
        <f>IF($F144="","",$F144*chronic_consumption!AO544/1000/$C$3)</f>
        <v>#DIV/0!</v>
      </c>
      <c r="AU544" s="1038" t="e">
        <f>IF($F144="","",$F144*chronic_consumption!AP544/1000/$C$3)</f>
        <v>#DIV/0!</v>
      </c>
      <c r="AV544" s="1038" t="e">
        <f>IF($F144="","",$F144*chronic_consumption!AQ544/1000/$C$3)</f>
        <v>#DIV/0!</v>
      </c>
      <c r="AW544" s="1038" t="e">
        <f>IF($F144="","",$F144*chronic_consumption!AR544/1000/$C$3)</f>
        <v>#DIV/0!</v>
      </c>
      <c r="AX544" s="1038" t="e">
        <f>IF($F144="","",$F144*chronic_consumption!AS544/1000/$C$3)</f>
        <v>#DIV/0!</v>
      </c>
      <c r="AY544" s="1038" t="e">
        <f>IF($F144="","",$F144*chronic_consumption!AT544/1000/$C$3)</f>
        <v>#DIV/0!</v>
      </c>
      <c r="AZ544" s="44" t="s">
        <v>20</v>
      </c>
      <c r="BC544" s="29"/>
      <c r="BD544" s="29"/>
    </row>
    <row r="545" spans="1:56" ht="12" customHeight="1" outlineLevel="2" x14ac:dyDescent="0.2">
      <c r="A545" s="341">
        <f>acute_overview_children!A145</f>
        <v>3</v>
      </c>
      <c r="B545" s="1041">
        <f t="shared" si="42"/>
        <v>241000</v>
      </c>
      <c r="C545" s="1041" t="str">
        <f t="shared" si="42"/>
        <v>Flowering brassica</v>
      </c>
      <c r="D545" s="1042"/>
      <c r="E545" s="1027"/>
      <c r="F545" s="87"/>
      <c r="G545" s="1027"/>
      <c r="H545" s="1029"/>
      <c r="I545" s="1030"/>
      <c r="J545" s="1043" t="e">
        <f>IF($F145="","",$F145*chronic_consumption!E545/1000/$C$3)</f>
        <v>#DIV/0!</v>
      </c>
      <c r="K545" s="1044" t="e">
        <f>IF($F145="","",$F145*chronic_consumption!F545/1000/$C$3)</f>
        <v>#DIV/0!</v>
      </c>
      <c r="L545" s="1044" t="e">
        <f>IF($F145="","",$F145*chronic_consumption!G545/1000/$C$3)</f>
        <v>#DIV/0!</v>
      </c>
      <c r="M545" s="1044" t="e">
        <f>IF($F145="","",$F145*chronic_consumption!H545/1000/$C$3)</f>
        <v>#DIV/0!</v>
      </c>
      <c r="N545" s="1044" t="e">
        <f>IF($F145="","",$F145*chronic_consumption!I545/1000/$C$3)</f>
        <v>#DIV/0!</v>
      </c>
      <c r="O545" s="1044" t="e">
        <f>IF($F145="","",$F145*chronic_consumption!J545/1000/$C$3)</f>
        <v>#DIV/0!</v>
      </c>
      <c r="P545" s="1044" t="e">
        <f>IF($F145="","",$F145*chronic_consumption!K545/1000/$C$3)</f>
        <v>#DIV/0!</v>
      </c>
      <c r="Q545" s="1044" t="e">
        <f>IF($F145="","",$F145*chronic_consumption!L545/1000/$C$3)</f>
        <v>#DIV/0!</v>
      </c>
      <c r="R545" s="1044" t="e">
        <f>IF($F145="","",$F145*chronic_consumption!M545/1000/$C$3)</f>
        <v>#DIV/0!</v>
      </c>
      <c r="S545" s="1044" t="e">
        <f>IF($F145="","",$F145*chronic_consumption!N545/1000/$C$3)</f>
        <v>#DIV/0!</v>
      </c>
      <c r="T545" s="1044" t="e">
        <f>IF($F145="","",$F145*chronic_consumption!O545/1000/$C$3)</f>
        <v>#DIV/0!</v>
      </c>
      <c r="U545" s="1044" t="e">
        <f>IF($F145="","",$F145*chronic_consumption!P545/1000/$C$3)</f>
        <v>#DIV/0!</v>
      </c>
      <c r="V545" s="1044" t="e">
        <f>IF($F145="","",$F145*chronic_consumption!Q545/1000/$C$3)</f>
        <v>#DIV/0!</v>
      </c>
      <c r="W545" s="1044" t="e">
        <f>IF($F145="","",$F145*chronic_consumption!R545/1000/$C$3)</f>
        <v>#DIV/0!</v>
      </c>
      <c r="X545" s="1044" t="e">
        <f>IF($F145="","",$F145*chronic_consumption!S545/1000/$C$3)</f>
        <v>#DIV/0!</v>
      </c>
      <c r="Y545" s="1044" t="e">
        <f>IF($F145="","",$F145*chronic_consumption!T545/1000/$C$3)</f>
        <v>#DIV/0!</v>
      </c>
      <c r="Z545" s="1044" t="e">
        <f>IF($F145="","",$F145*chronic_consumption!U545/1000/$C$3)</f>
        <v>#DIV/0!</v>
      </c>
      <c r="AA545" s="1044" t="e">
        <f>IF($F145="","",$F145*chronic_consumption!V545/1000/$C$3)</f>
        <v>#DIV/0!</v>
      </c>
      <c r="AB545" s="1044" t="e">
        <f>IF($F145="","",$F145*chronic_consumption!W545/1000/$C$3)</f>
        <v>#DIV/0!</v>
      </c>
      <c r="AC545" s="1044" t="e">
        <f>IF($F145="","",$F145*chronic_consumption!X545/1000/$C$3)</f>
        <v>#DIV/0!</v>
      </c>
      <c r="AD545" s="1044" t="e">
        <f>IF($F145="","",$F145*chronic_consumption!Y545/1000/$C$3)</f>
        <v>#DIV/0!</v>
      </c>
      <c r="AE545" s="1044" t="e">
        <f>IF($F145="","",$F145*chronic_consumption!Z545/1000/$C$3)</f>
        <v>#DIV/0!</v>
      </c>
      <c r="AF545" s="1044" t="e">
        <f>IF($F145="","",$F145*chronic_consumption!AA545/1000/$C$3)</f>
        <v>#DIV/0!</v>
      </c>
      <c r="AG545" s="1044" t="e">
        <f>IF($F145="","",$F145*chronic_consumption!AB545/1000/$C$3)</f>
        <v>#DIV/0!</v>
      </c>
      <c r="AH545" s="1044" t="e">
        <f>IF($F145="","",$F145*chronic_consumption!AC545/1000/$C$3)</f>
        <v>#DIV/0!</v>
      </c>
      <c r="AI545" s="1044" t="e">
        <f>IF($F145="","",$F145*chronic_consumption!AD545/1000/$C$3)</f>
        <v>#DIV/0!</v>
      </c>
      <c r="AJ545" s="1044" t="e">
        <f>IF($F145="","",$F145*chronic_consumption!AE545/1000/$C$3)</f>
        <v>#DIV/0!</v>
      </c>
      <c r="AK545" s="1044" t="e">
        <f>IF($F145="","",$F145*chronic_consumption!AF545/1000/$C$3)</f>
        <v>#DIV/0!</v>
      </c>
      <c r="AL545" s="1044" t="e">
        <f>IF($F145="","",$F145*chronic_consumption!AG545/1000/$C$3)</f>
        <v>#DIV/0!</v>
      </c>
      <c r="AM545" s="1044" t="e">
        <f>IF($F145="","",$F145*chronic_consumption!AH545/1000/$C$3)</f>
        <v>#DIV/0!</v>
      </c>
      <c r="AN545" s="1044" t="e">
        <f>IF($F145="","",$F145*chronic_consumption!AI545/1000/$C$3)</f>
        <v>#DIV/0!</v>
      </c>
      <c r="AO545" s="1044" t="e">
        <f>IF($F145="","",$F145*chronic_consumption!AJ545/1000/$C$3)</f>
        <v>#DIV/0!</v>
      </c>
      <c r="AP545" s="1044" t="e">
        <f>IF($F145="","",$F145*chronic_consumption!AK545/1000/$C$3)</f>
        <v>#DIV/0!</v>
      </c>
      <c r="AQ545" s="1044" t="e">
        <f>IF($F145="","",$F145*chronic_consumption!AL545/1000/$C$3)</f>
        <v>#DIV/0!</v>
      </c>
      <c r="AR545" s="1044" t="e">
        <f>IF($F145="","",$F145*chronic_consumption!AM545/1000/$C$3)</f>
        <v>#DIV/0!</v>
      </c>
      <c r="AS545" s="1044" t="e">
        <f>IF($F145="","",$F145*chronic_consumption!AN545/1000/$C$3)</f>
        <v>#DIV/0!</v>
      </c>
      <c r="AT545" s="1044" t="e">
        <f>IF($F145="","",$F145*chronic_consumption!AO545/1000/$C$3)</f>
        <v>#DIV/0!</v>
      </c>
      <c r="AU545" s="1044" t="e">
        <f>IF($F145="","",$F145*chronic_consumption!AP545/1000/$C$3)</f>
        <v>#DIV/0!</v>
      </c>
      <c r="AV545" s="1044" t="e">
        <f>IF($F145="","",$F145*chronic_consumption!AQ545/1000/$C$3)</f>
        <v>#DIV/0!</v>
      </c>
      <c r="AW545" s="1044" t="e">
        <f>IF($F145="","",$F145*chronic_consumption!AR545/1000/$C$3)</f>
        <v>#DIV/0!</v>
      </c>
      <c r="AX545" s="1044" t="e">
        <f>IF($F145="","",$F145*chronic_consumption!AS545/1000/$C$3)</f>
        <v>#DIV/0!</v>
      </c>
      <c r="AY545" s="1044" t="e">
        <f>IF($F145="","",$F145*chronic_consumption!AT545/1000/$C$3)</f>
        <v>#DIV/0!</v>
      </c>
      <c r="AZ545" s="44" t="s">
        <v>20</v>
      </c>
      <c r="BC545" s="29"/>
      <c r="BD545" s="29"/>
    </row>
    <row r="546" spans="1:56" ht="12" customHeight="1" outlineLevel="3" x14ac:dyDescent="0.2">
      <c r="A546" s="21">
        <f>acute_overview_children!A146</f>
        <v>4</v>
      </c>
      <c r="B546" s="325">
        <f t="shared" si="42"/>
        <v>241010</v>
      </c>
      <c r="C546" s="325" t="str">
        <f t="shared" si="42"/>
        <v xml:space="preserve">Broccoli </v>
      </c>
      <c r="D546" s="135"/>
      <c r="E546" s="1027"/>
      <c r="F546" s="87"/>
      <c r="G546" s="1027"/>
      <c r="H546" s="1029"/>
      <c r="I546" s="1030"/>
      <c r="J546" s="1039" t="e">
        <f>IF($F146="","",$F146*chronic_consumption!E546/1000/$C$3)</f>
        <v>#DIV/0!</v>
      </c>
      <c r="K546" s="1040" t="e">
        <f>IF($F146="","",$F146*chronic_consumption!F546/1000/$C$3)</f>
        <v>#DIV/0!</v>
      </c>
      <c r="L546" s="1040" t="e">
        <f>IF($F146="","",$F146*chronic_consumption!G546/1000/$C$3)</f>
        <v>#DIV/0!</v>
      </c>
      <c r="M546" s="1040" t="e">
        <f>IF($F146="","",$F146*chronic_consumption!H546/1000/$C$3)</f>
        <v>#DIV/0!</v>
      </c>
      <c r="N546" s="1040" t="e">
        <f>IF($F146="","",$F146*chronic_consumption!I546/1000/$C$3)</f>
        <v>#DIV/0!</v>
      </c>
      <c r="O546" s="1040" t="e">
        <f>IF($F146="","",$F146*chronic_consumption!J546/1000/$C$3)</f>
        <v>#DIV/0!</v>
      </c>
      <c r="P546" s="1040" t="e">
        <f>IF($F146="","",$F146*chronic_consumption!K546/1000/$C$3)</f>
        <v>#DIV/0!</v>
      </c>
      <c r="Q546" s="1040" t="e">
        <f>IF($F146="","",$F146*chronic_consumption!L546/1000/$C$3)</f>
        <v>#DIV/0!</v>
      </c>
      <c r="R546" s="1040" t="e">
        <f>IF($F146="","",$F146*chronic_consumption!M546/1000/$C$3)</f>
        <v>#DIV/0!</v>
      </c>
      <c r="S546" s="1040" t="e">
        <f>IF($F146="","",$F146*chronic_consumption!N546/1000/$C$3)</f>
        <v>#DIV/0!</v>
      </c>
      <c r="T546" s="1040" t="e">
        <f>IF($F146="","",$F146*chronic_consumption!O546/1000/$C$3)</f>
        <v>#DIV/0!</v>
      </c>
      <c r="U546" s="1040" t="e">
        <f>IF($F146="","",$F146*chronic_consumption!P546/1000/$C$3)</f>
        <v>#DIV/0!</v>
      </c>
      <c r="V546" s="1040" t="e">
        <f>IF($F146="","",$F146*chronic_consumption!Q546/1000/$C$3)</f>
        <v>#DIV/0!</v>
      </c>
      <c r="W546" s="1040" t="e">
        <f>IF($F146="","",$F146*chronic_consumption!R546/1000/$C$3)</f>
        <v>#DIV/0!</v>
      </c>
      <c r="X546" s="1040" t="e">
        <f>IF($F146="","",$F146*chronic_consumption!S546/1000/$C$3)</f>
        <v>#DIV/0!</v>
      </c>
      <c r="Y546" s="1040" t="e">
        <f>IF($F146="","",$F146*chronic_consumption!T546/1000/$C$3)</f>
        <v>#DIV/0!</v>
      </c>
      <c r="Z546" s="1040" t="e">
        <f>IF($F146="","",$F146*chronic_consumption!U546/1000/$C$3)</f>
        <v>#DIV/0!</v>
      </c>
      <c r="AA546" s="1040" t="e">
        <f>IF($F146="","",$F146*chronic_consumption!V546/1000/$C$3)</f>
        <v>#DIV/0!</v>
      </c>
      <c r="AB546" s="1040" t="e">
        <f>IF($F146="","",$F146*chronic_consumption!W546/1000/$C$3)</f>
        <v>#DIV/0!</v>
      </c>
      <c r="AC546" s="1040" t="e">
        <f>IF($F146="","",$F146*chronic_consumption!X546/1000/$C$3)</f>
        <v>#DIV/0!</v>
      </c>
      <c r="AD546" s="1040" t="e">
        <f>IF($F146="","",$F146*chronic_consumption!Y546/1000/$C$3)</f>
        <v>#DIV/0!</v>
      </c>
      <c r="AE546" s="1040" t="e">
        <f>IF($F146="","",$F146*chronic_consumption!Z546/1000/$C$3)</f>
        <v>#DIV/0!</v>
      </c>
      <c r="AF546" s="1040" t="e">
        <f>IF($F146="","",$F146*chronic_consumption!AA546/1000/$C$3)</f>
        <v>#DIV/0!</v>
      </c>
      <c r="AG546" s="1040" t="e">
        <f>IF($F146="","",$F146*chronic_consumption!AB546/1000/$C$3)</f>
        <v>#DIV/0!</v>
      </c>
      <c r="AH546" s="1040" t="e">
        <f>IF($F146="","",$F146*chronic_consumption!AC546/1000/$C$3)</f>
        <v>#DIV/0!</v>
      </c>
      <c r="AI546" s="1040" t="e">
        <f>IF($F146="","",$F146*chronic_consumption!AD546/1000/$C$3)</f>
        <v>#DIV/0!</v>
      </c>
      <c r="AJ546" s="1040" t="e">
        <f>IF($F146="","",$F146*chronic_consumption!AE546/1000/$C$3)</f>
        <v>#DIV/0!</v>
      </c>
      <c r="AK546" s="1040" t="e">
        <f>IF($F146="","",$F146*chronic_consumption!AF546/1000/$C$3)</f>
        <v>#DIV/0!</v>
      </c>
      <c r="AL546" s="1040" t="e">
        <f>IF($F146="","",$F146*chronic_consumption!AG546/1000/$C$3)</f>
        <v>#DIV/0!</v>
      </c>
      <c r="AM546" s="1040" t="e">
        <f>IF($F146="","",$F146*chronic_consumption!AH546/1000/$C$3)</f>
        <v>#DIV/0!</v>
      </c>
      <c r="AN546" s="1040" t="e">
        <f>IF($F146="","",$F146*chronic_consumption!AI546/1000/$C$3)</f>
        <v>#DIV/0!</v>
      </c>
      <c r="AO546" s="1040" t="e">
        <f>IF($F146="","",$F146*chronic_consumption!AJ546/1000/$C$3)</f>
        <v>#DIV/0!</v>
      </c>
      <c r="AP546" s="1040" t="e">
        <f>IF($F146="","",$F146*chronic_consumption!AK546/1000/$C$3)</f>
        <v>#DIV/0!</v>
      </c>
      <c r="AQ546" s="1040" t="e">
        <f>IF($F146="","",$F146*chronic_consumption!AL546/1000/$C$3)</f>
        <v>#DIV/0!</v>
      </c>
      <c r="AR546" s="1040" t="e">
        <f>IF($F146="","",$F146*chronic_consumption!AM546/1000/$C$3)</f>
        <v>#DIV/0!</v>
      </c>
      <c r="AS546" s="1040" t="e">
        <f>IF($F146="","",$F146*chronic_consumption!AN546/1000/$C$3)</f>
        <v>#DIV/0!</v>
      </c>
      <c r="AT546" s="1040" t="e">
        <f>IF($F146="","",$F146*chronic_consumption!AO546/1000/$C$3)</f>
        <v>#DIV/0!</v>
      </c>
      <c r="AU546" s="1040" t="e">
        <f>IF($F146="","",$F146*chronic_consumption!AP546/1000/$C$3)</f>
        <v>#DIV/0!</v>
      </c>
      <c r="AV546" s="1040" t="e">
        <f>IF($F146="","",$F146*chronic_consumption!AQ546/1000/$C$3)</f>
        <v>#DIV/0!</v>
      </c>
      <c r="AW546" s="1040" t="e">
        <f>IF($F146="","",$F146*chronic_consumption!AR546/1000/$C$3)</f>
        <v>#DIV/0!</v>
      </c>
      <c r="AX546" s="1040" t="e">
        <f>IF($F146="","",$F146*chronic_consumption!AS546/1000/$C$3)</f>
        <v>#DIV/0!</v>
      </c>
      <c r="AY546" s="1040" t="e">
        <f>IF($F146="","",$F146*chronic_consumption!AT546/1000/$C$3)</f>
        <v>#DIV/0!</v>
      </c>
      <c r="AZ546" s="44" t="s">
        <v>20</v>
      </c>
      <c r="BC546" s="29"/>
      <c r="BD546" s="29"/>
    </row>
    <row r="547" spans="1:56" ht="12" customHeight="1" outlineLevel="3" x14ac:dyDescent="0.2">
      <c r="A547" s="21">
        <f>acute_overview_children!A147</f>
        <v>4</v>
      </c>
      <c r="B547" s="325">
        <f t="shared" si="42"/>
        <v>241020</v>
      </c>
      <c r="C547" s="325" t="str">
        <f t="shared" si="42"/>
        <v>Cauliflowers</v>
      </c>
      <c r="D547" s="135"/>
      <c r="E547" s="1027"/>
      <c r="F547" s="87"/>
      <c r="G547" s="1027"/>
      <c r="H547" s="1029"/>
      <c r="I547" s="1030"/>
      <c r="J547" s="1039" t="e">
        <f>IF($F147="","",$F147*chronic_consumption!E547/1000/$C$3)</f>
        <v>#DIV/0!</v>
      </c>
      <c r="K547" s="1040" t="e">
        <f>IF($F147="","",$F147*chronic_consumption!F547/1000/$C$3)</f>
        <v>#DIV/0!</v>
      </c>
      <c r="L547" s="1040" t="e">
        <f>IF($F147="","",$F147*chronic_consumption!G547/1000/$C$3)</f>
        <v>#DIV/0!</v>
      </c>
      <c r="M547" s="1040" t="e">
        <f>IF($F147="","",$F147*chronic_consumption!H547/1000/$C$3)</f>
        <v>#DIV/0!</v>
      </c>
      <c r="N547" s="1040" t="e">
        <f>IF($F147="","",$F147*chronic_consumption!I547/1000/$C$3)</f>
        <v>#DIV/0!</v>
      </c>
      <c r="O547" s="1040" t="e">
        <f>IF($F147="","",$F147*chronic_consumption!J547/1000/$C$3)</f>
        <v>#DIV/0!</v>
      </c>
      <c r="P547" s="1040" t="e">
        <f>IF($F147="","",$F147*chronic_consumption!K547/1000/$C$3)</f>
        <v>#DIV/0!</v>
      </c>
      <c r="Q547" s="1040" t="e">
        <f>IF($F147="","",$F147*chronic_consumption!L547/1000/$C$3)</f>
        <v>#DIV/0!</v>
      </c>
      <c r="R547" s="1040" t="e">
        <f>IF($F147="","",$F147*chronic_consumption!M547/1000/$C$3)</f>
        <v>#DIV/0!</v>
      </c>
      <c r="S547" s="1040" t="e">
        <f>IF($F147="","",$F147*chronic_consumption!N547/1000/$C$3)</f>
        <v>#DIV/0!</v>
      </c>
      <c r="T547" s="1040" t="e">
        <f>IF($F147="","",$F147*chronic_consumption!O547/1000/$C$3)</f>
        <v>#DIV/0!</v>
      </c>
      <c r="U547" s="1040" t="e">
        <f>IF($F147="","",$F147*chronic_consumption!P547/1000/$C$3)</f>
        <v>#DIV/0!</v>
      </c>
      <c r="V547" s="1040" t="e">
        <f>IF($F147="","",$F147*chronic_consumption!Q547/1000/$C$3)</f>
        <v>#DIV/0!</v>
      </c>
      <c r="W547" s="1040" t="e">
        <f>IF($F147="","",$F147*chronic_consumption!R547/1000/$C$3)</f>
        <v>#DIV/0!</v>
      </c>
      <c r="X547" s="1040" t="e">
        <f>IF($F147="","",$F147*chronic_consumption!S547/1000/$C$3)</f>
        <v>#DIV/0!</v>
      </c>
      <c r="Y547" s="1040" t="e">
        <f>IF($F147="","",$F147*chronic_consumption!T547/1000/$C$3)</f>
        <v>#DIV/0!</v>
      </c>
      <c r="Z547" s="1040" t="e">
        <f>IF($F147="","",$F147*chronic_consumption!U547/1000/$C$3)</f>
        <v>#DIV/0!</v>
      </c>
      <c r="AA547" s="1040" t="e">
        <f>IF($F147="","",$F147*chronic_consumption!V547/1000/$C$3)</f>
        <v>#DIV/0!</v>
      </c>
      <c r="AB547" s="1040" t="e">
        <f>IF($F147="","",$F147*chronic_consumption!W547/1000/$C$3)</f>
        <v>#DIV/0!</v>
      </c>
      <c r="AC547" s="1040" t="e">
        <f>IF($F147="","",$F147*chronic_consumption!X547/1000/$C$3)</f>
        <v>#DIV/0!</v>
      </c>
      <c r="AD547" s="1040" t="e">
        <f>IF($F147="","",$F147*chronic_consumption!Y547/1000/$C$3)</f>
        <v>#DIV/0!</v>
      </c>
      <c r="AE547" s="1040" t="e">
        <f>IF($F147="","",$F147*chronic_consumption!Z547/1000/$C$3)</f>
        <v>#DIV/0!</v>
      </c>
      <c r="AF547" s="1040" t="e">
        <f>IF($F147="","",$F147*chronic_consumption!AA547/1000/$C$3)</f>
        <v>#DIV/0!</v>
      </c>
      <c r="AG547" s="1040" t="e">
        <f>IF($F147="","",$F147*chronic_consumption!AB547/1000/$C$3)</f>
        <v>#DIV/0!</v>
      </c>
      <c r="AH547" s="1040" t="e">
        <f>IF($F147="","",$F147*chronic_consumption!AC547/1000/$C$3)</f>
        <v>#DIV/0!</v>
      </c>
      <c r="AI547" s="1040" t="e">
        <f>IF($F147="","",$F147*chronic_consumption!AD547/1000/$C$3)</f>
        <v>#DIV/0!</v>
      </c>
      <c r="AJ547" s="1040" t="e">
        <f>IF($F147="","",$F147*chronic_consumption!AE547/1000/$C$3)</f>
        <v>#DIV/0!</v>
      </c>
      <c r="AK547" s="1040" t="e">
        <f>IF($F147="","",$F147*chronic_consumption!AF547/1000/$C$3)</f>
        <v>#DIV/0!</v>
      </c>
      <c r="AL547" s="1040" t="e">
        <f>IF($F147="","",$F147*chronic_consumption!AG547/1000/$C$3)</f>
        <v>#DIV/0!</v>
      </c>
      <c r="AM547" s="1040" t="e">
        <f>IF($F147="","",$F147*chronic_consumption!AH547/1000/$C$3)</f>
        <v>#DIV/0!</v>
      </c>
      <c r="AN547" s="1040" t="e">
        <f>IF($F147="","",$F147*chronic_consumption!AI547/1000/$C$3)</f>
        <v>#DIV/0!</v>
      </c>
      <c r="AO547" s="1040" t="e">
        <f>IF($F147="","",$F147*chronic_consumption!AJ547/1000/$C$3)</f>
        <v>#DIV/0!</v>
      </c>
      <c r="AP547" s="1040" t="e">
        <f>IF($F147="","",$F147*chronic_consumption!AK547/1000/$C$3)</f>
        <v>#DIV/0!</v>
      </c>
      <c r="AQ547" s="1040" t="e">
        <f>IF($F147="","",$F147*chronic_consumption!AL547/1000/$C$3)</f>
        <v>#DIV/0!</v>
      </c>
      <c r="AR547" s="1040" t="e">
        <f>IF($F147="","",$F147*chronic_consumption!AM547/1000/$C$3)</f>
        <v>#DIV/0!</v>
      </c>
      <c r="AS547" s="1040" t="e">
        <f>IF($F147="","",$F147*chronic_consumption!AN547/1000/$C$3)</f>
        <v>#DIV/0!</v>
      </c>
      <c r="AT547" s="1040" t="e">
        <f>IF($F147="","",$F147*chronic_consumption!AO547/1000/$C$3)</f>
        <v>#DIV/0!</v>
      </c>
      <c r="AU547" s="1040" t="e">
        <f>IF($F147="","",$F147*chronic_consumption!AP547/1000/$C$3)</f>
        <v>#DIV/0!</v>
      </c>
      <c r="AV547" s="1040" t="e">
        <f>IF($F147="","",$F147*chronic_consumption!AQ547/1000/$C$3)</f>
        <v>#DIV/0!</v>
      </c>
      <c r="AW547" s="1040" t="e">
        <f>IF($F147="","",$F147*chronic_consumption!AR547/1000/$C$3)</f>
        <v>#DIV/0!</v>
      </c>
      <c r="AX547" s="1040" t="e">
        <f>IF($F147="","",$F147*chronic_consumption!AS547/1000/$C$3)</f>
        <v>#DIV/0!</v>
      </c>
      <c r="AY547" s="1040" t="e">
        <f>IF($F147="","",$F147*chronic_consumption!AT547/1000/$C$3)</f>
        <v>#DIV/0!</v>
      </c>
      <c r="AZ547" s="44" t="s">
        <v>20</v>
      </c>
      <c r="BC547" s="29"/>
      <c r="BD547" s="29"/>
    </row>
    <row r="548" spans="1:56" ht="12" customHeight="1" outlineLevel="3" x14ac:dyDescent="0.2">
      <c r="A548" s="21">
        <f>acute_overview_children!A148</f>
        <v>4</v>
      </c>
      <c r="B548" s="325">
        <f t="shared" si="42"/>
        <v>241990</v>
      </c>
      <c r="C548" s="325" t="str">
        <f t="shared" si="42"/>
        <v>Other flowering brassica</v>
      </c>
      <c r="D548" s="135"/>
      <c r="E548" s="1027"/>
      <c r="F548" s="87"/>
      <c r="G548" s="1027"/>
      <c r="H548" s="1029"/>
      <c r="I548" s="1030"/>
      <c r="J548" s="1039" t="e">
        <f>IF($F148="","",$F148*chronic_consumption!E548/1000/$C$3)</f>
        <v>#DIV/0!</v>
      </c>
      <c r="K548" s="1040" t="e">
        <f>IF($F148="","",$F148*chronic_consumption!F548/1000/$C$3)</f>
        <v>#DIV/0!</v>
      </c>
      <c r="L548" s="1040" t="e">
        <f>IF($F148="","",$F148*chronic_consumption!G548/1000/$C$3)</f>
        <v>#DIV/0!</v>
      </c>
      <c r="M548" s="1040" t="e">
        <f>IF($F148="","",$F148*chronic_consumption!H548/1000/$C$3)</f>
        <v>#DIV/0!</v>
      </c>
      <c r="N548" s="1040" t="e">
        <f>IF($F148="","",$F148*chronic_consumption!I548/1000/$C$3)</f>
        <v>#DIV/0!</v>
      </c>
      <c r="O548" s="1040" t="e">
        <f>IF($F148="","",$F148*chronic_consumption!J548/1000/$C$3)</f>
        <v>#DIV/0!</v>
      </c>
      <c r="P548" s="1040" t="e">
        <f>IF($F148="","",$F148*chronic_consumption!K548/1000/$C$3)</f>
        <v>#DIV/0!</v>
      </c>
      <c r="Q548" s="1040" t="e">
        <f>IF($F148="","",$F148*chronic_consumption!L548/1000/$C$3)</f>
        <v>#DIV/0!</v>
      </c>
      <c r="R548" s="1040" t="e">
        <f>IF($F148="","",$F148*chronic_consumption!M548/1000/$C$3)</f>
        <v>#DIV/0!</v>
      </c>
      <c r="S548" s="1040" t="e">
        <f>IF($F148="","",$F148*chronic_consumption!N548/1000/$C$3)</f>
        <v>#DIV/0!</v>
      </c>
      <c r="T548" s="1040" t="e">
        <f>IF($F148="","",$F148*chronic_consumption!O548/1000/$C$3)</f>
        <v>#DIV/0!</v>
      </c>
      <c r="U548" s="1040" t="e">
        <f>IF($F148="","",$F148*chronic_consumption!P548/1000/$C$3)</f>
        <v>#DIV/0!</v>
      </c>
      <c r="V548" s="1040" t="e">
        <f>IF($F148="","",$F148*chronic_consumption!Q548/1000/$C$3)</f>
        <v>#DIV/0!</v>
      </c>
      <c r="W548" s="1040" t="e">
        <f>IF($F148="","",$F148*chronic_consumption!R548/1000/$C$3)</f>
        <v>#DIV/0!</v>
      </c>
      <c r="X548" s="1040" t="e">
        <f>IF($F148="","",$F148*chronic_consumption!S548/1000/$C$3)</f>
        <v>#DIV/0!</v>
      </c>
      <c r="Y548" s="1040" t="e">
        <f>IF($F148="","",$F148*chronic_consumption!T548/1000/$C$3)</f>
        <v>#DIV/0!</v>
      </c>
      <c r="Z548" s="1040" t="e">
        <f>IF($F148="","",$F148*chronic_consumption!U548/1000/$C$3)</f>
        <v>#DIV/0!</v>
      </c>
      <c r="AA548" s="1040" t="e">
        <f>IF($F148="","",$F148*chronic_consumption!V548/1000/$C$3)</f>
        <v>#DIV/0!</v>
      </c>
      <c r="AB548" s="1040" t="e">
        <f>IF($F148="","",$F148*chronic_consumption!W548/1000/$C$3)</f>
        <v>#DIV/0!</v>
      </c>
      <c r="AC548" s="1040" t="e">
        <f>IF($F148="","",$F148*chronic_consumption!X548/1000/$C$3)</f>
        <v>#DIV/0!</v>
      </c>
      <c r="AD548" s="1040" t="e">
        <f>IF($F148="","",$F148*chronic_consumption!Y548/1000/$C$3)</f>
        <v>#DIV/0!</v>
      </c>
      <c r="AE548" s="1040" t="e">
        <f>IF($F148="","",$F148*chronic_consumption!Z548/1000/$C$3)</f>
        <v>#DIV/0!</v>
      </c>
      <c r="AF548" s="1040" t="e">
        <f>IF($F148="","",$F148*chronic_consumption!AA548/1000/$C$3)</f>
        <v>#DIV/0!</v>
      </c>
      <c r="AG548" s="1040" t="e">
        <f>IF($F148="","",$F148*chronic_consumption!AB548/1000/$C$3)</f>
        <v>#DIV/0!</v>
      </c>
      <c r="AH548" s="1040" t="e">
        <f>IF($F148="","",$F148*chronic_consumption!AC548/1000/$C$3)</f>
        <v>#DIV/0!</v>
      </c>
      <c r="AI548" s="1040" t="e">
        <f>IF($F148="","",$F148*chronic_consumption!AD548/1000/$C$3)</f>
        <v>#DIV/0!</v>
      </c>
      <c r="AJ548" s="1040" t="e">
        <f>IF($F148="","",$F148*chronic_consumption!AE548/1000/$C$3)</f>
        <v>#DIV/0!</v>
      </c>
      <c r="AK548" s="1040" t="e">
        <f>IF($F148="","",$F148*chronic_consumption!AF548/1000/$C$3)</f>
        <v>#DIV/0!</v>
      </c>
      <c r="AL548" s="1040" t="e">
        <f>IF($F148="","",$F148*chronic_consumption!AG548/1000/$C$3)</f>
        <v>#DIV/0!</v>
      </c>
      <c r="AM548" s="1040" t="e">
        <f>IF($F148="","",$F148*chronic_consumption!AH548/1000/$C$3)</f>
        <v>#DIV/0!</v>
      </c>
      <c r="AN548" s="1040" t="e">
        <f>IF($F148="","",$F148*chronic_consumption!AI548/1000/$C$3)</f>
        <v>#DIV/0!</v>
      </c>
      <c r="AO548" s="1040" t="e">
        <f>IF($F148="","",$F148*chronic_consumption!AJ548/1000/$C$3)</f>
        <v>#DIV/0!</v>
      </c>
      <c r="AP548" s="1040" t="e">
        <f>IF($F148="","",$F148*chronic_consumption!AK548/1000/$C$3)</f>
        <v>#DIV/0!</v>
      </c>
      <c r="AQ548" s="1040" t="e">
        <f>IF($F148="","",$F148*chronic_consumption!AL548/1000/$C$3)</f>
        <v>#DIV/0!</v>
      </c>
      <c r="AR548" s="1040" t="e">
        <f>IF($F148="","",$F148*chronic_consumption!AM548/1000/$C$3)</f>
        <v>#DIV/0!</v>
      </c>
      <c r="AS548" s="1040" t="e">
        <f>IF($F148="","",$F148*chronic_consumption!AN548/1000/$C$3)</f>
        <v>#DIV/0!</v>
      </c>
      <c r="AT548" s="1040" t="e">
        <f>IF($F148="","",$F148*chronic_consumption!AO548/1000/$C$3)</f>
        <v>#DIV/0!</v>
      </c>
      <c r="AU548" s="1040" t="e">
        <f>IF($F148="","",$F148*chronic_consumption!AP548/1000/$C$3)</f>
        <v>#DIV/0!</v>
      </c>
      <c r="AV548" s="1040" t="e">
        <f>IF($F148="","",$F148*chronic_consumption!AQ548/1000/$C$3)</f>
        <v>#DIV/0!</v>
      </c>
      <c r="AW548" s="1040" t="e">
        <f>IF($F148="","",$F148*chronic_consumption!AR548/1000/$C$3)</f>
        <v>#DIV/0!</v>
      </c>
      <c r="AX548" s="1040" t="e">
        <f>IF($F148="","",$F148*chronic_consumption!AS548/1000/$C$3)</f>
        <v>#DIV/0!</v>
      </c>
      <c r="AY548" s="1040" t="e">
        <f>IF($F148="","",$F148*chronic_consumption!AT548/1000/$C$3)</f>
        <v>#DIV/0!</v>
      </c>
      <c r="AZ548" s="44" t="s">
        <v>20</v>
      </c>
      <c r="BC548" s="29"/>
      <c r="BD548" s="29"/>
    </row>
    <row r="549" spans="1:56" ht="12" customHeight="1" outlineLevel="2" x14ac:dyDescent="0.2">
      <c r="A549" s="341">
        <f>acute_overview_children!A149</f>
        <v>3</v>
      </c>
      <c r="B549" s="1041">
        <f t="shared" si="42"/>
        <v>242000</v>
      </c>
      <c r="C549" s="1041" t="str">
        <f t="shared" si="42"/>
        <v>Head brassica</v>
      </c>
      <c r="D549" s="1042"/>
      <c r="E549" s="1027"/>
      <c r="F549" s="87"/>
      <c r="G549" s="1027"/>
      <c r="H549" s="1029"/>
      <c r="I549" s="1030"/>
      <c r="J549" s="1043" t="e">
        <f>IF($F149="","",$F149*chronic_consumption!E549/1000/$C$3)</f>
        <v>#DIV/0!</v>
      </c>
      <c r="K549" s="1044" t="e">
        <f>IF($F149="","",$F149*chronic_consumption!F549/1000/$C$3)</f>
        <v>#DIV/0!</v>
      </c>
      <c r="L549" s="1044" t="e">
        <f>IF($F149="","",$F149*chronic_consumption!G549/1000/$C$3)</f>
        <v>#DIV/0!</v>
      </c>
      <c r="M549" s="1044" t="e">
        <f>IF($F149="","",$F149*chronic_consumption!H549/1000/$C$3)</f>
        <v>#DIV/0!</v>
      </c>
      <c r="N549" s="1044" t="e">
        <f>IF($F149="","",$F149*chronic_consumption!I549/1000/$C$3)</f>
        <v>#DIV/0!</v>
      </c>
      <c r="O549" s="1044" t="e">
        <f>IF($F149="","",$F149*chronic_consumption!J549/1000/$C$3)</f>
        <v>#DIV/0!</v>
      </c>
      <c r="P549" s="1044" t="e">
        <f>IF($F149="","",$F149*chronic_consumption!K549/1000/$C$3)</f>
        <v>#DIV/0!</v>
      </c>
      <c r="Q549" s="1044" t="e">
        <f>IF($F149="","",$F149*chronic_consumption!L549/1000/$C$3)</f>
        <v>#DIV/0!</v>
      </c>
      <c r="R549" s="1044" t="e">
        <f>IF($F149="","",$F149*chronic_consumption!M549/1000/$C$3)</f>
        <v>#DIV/0!</v>
      </c>
      <c r="S549" s="1044" t="e">
        <f>IF($F149="","",$F149*chronic_consumption!N549/1000/$C$3)</f>
        <v>#DIV/0!</v>
      </c>
      <c r="T549" s="1044" t="e">
        <f>IF($F149="","",$F149*chronic_consumption!O549/1000/$C$3)</f>
        <v>#DIV/0!</v>
      </c>
      <c r="U549" s="1044" t="e">
        <f>IF($F149="","",$F149*chronic_consumption!P549/1000/$C$3)</f>
        <v>#DIV/0!</v>
      </c>
      <c r="V549" s="1044" t="e">
        <f>IF($F149="","",$F149*chronic_consumption!Q549/1000/$C$3)</f>
        <v>#DIV/0!</v>
      </c>
      <c r="W549" s="1044" t="e">
        <f>IF($F149="","",$F149*chronic_consumption!R549/1000/$C$3)</f>
        <v>#DIV/0!</v>
      </c>
      <c r="X549" s="1044" t="e">
        <f>IF($F149="","",$F149*chronic_consumption!S549/1000/$C$3)</f>
        <v>#DIV/0!</v>
      </c>
      <c r="Y549" s="1044" t="e">
        <f>IF($F149="","",$F149*chronic_consumption!T549/1000/$C$3)</f>
        <v>#DIV/0!</v>
      </c>
      <c r="Z549" s="1044" t="e">
        <f>IF($F149="","",$F149*chronic_consumption!U549/1000/$C$3)</f>
        <v>#DIV/0!</v>
      </c>
      <c r="AA549" s="1044" t="e">
        <f>IF($F149="","",$F149*chronic_consumption!V549/1000/$C$3)</f>
        <v>#DIV/0!</v>
      </c>
      <c r="AB549" s="1044" t="e">
        <f>IF($F149="","",$F149*chronic_consumption!W549/1000/$C$3)</f>
        <v>#DIV/0!</v>
      </c>
      <c r="AC549" s="1044" t="e">
        <f>IF($F149="","",$F149*chronic_consumption!X549/1000/$C$3)</f>
        <v>#DIV/0!</v>
      </c>
      <c r="AD549" s="1044" t="e">
        <f>IF($F149="","",$F149*chronic_consumption!Y549/1000/$C$3)</f>
        <v>#DIV/0!</v>
      </c>
      <c r="AE549" s="1044" t="e">
        <f>IF($F149="","",$F149*chronic_consumption!Z549/1000/$C$3)</f>
        <v>#DIV/0!</v>
      </c>
      <c r="AF549" s="1044" t="e">
        <f>IF($F149="","",$F149*chronic_consumption!AA549/1000/$C$3)</f>
        <v>#DIV/0!</v>
      </c>
      <c r="AG549" s="1044" t="e">
        <f>IF($F149="","",$F149*chronic_consumption!AB549/1000/$C$3)</f>
        <v>#DIV/0!</v>
      </c>
      <c r="AH549" s="1044" t="e">
        <f>IF($F149="","",$F149*chronic_consumption!AC549/1000/$C$3)</f>
        <v>#DIV/0!</v>
      </c>
      <c r="AI549" s="1044" t="e">
        <f>IF($F149="","",$F149*chronic_consumption!AD549/1000/$C$3)</f>
        <v>#DIV/0!</v>
      </c>
      <c r="AJ549" s="1044" t="e">
        <f>IF($F149="","",$F149*chronic_consumption!AE549/1000/$C$3)</f>
        <v>#DIV/0!</v>
      </c>
      <c r="AK549" s="1044" t="e">
        <f>IF($F149="","",$F149*chronic_consumption!AF549/1000/$C$3)</f>
        <v>#DIV/0!</v>
      </c>
      <c r="AL549" s="1044" t="e">
        <f>IF($F149="","",$F149*chronic_consumption!AG549/1000/$C$3)</f>
        <v>#DIV/0!</v>
      </c>
      <c r="AM549" s="1044" t="e">
        <f>IF($F149="","",$F149*chronic_consumption!AH549/1000/$C$3)</f>
        <v>#DIV/0!</v>
      </c>
      <c r="AN549" s="1044" t="e">
        <f>IF($F149="","",$F149*chronic_consumption!AI549/1000/$C$3)</f>
        <v>#DIV/0!</v>
      </c>
      <c r="AO549" s="1044" t="e">
        <f>IF($F149="","",$F149*chronic_consumption!AJ549/1000/$C$3)</f>
        <v>#DIV/0!</v>
      </c>
      <c r="AP549" s="1044" t="e">
        <f>IF($F149="","",$F149*chronic_consumption!AK549/1000/$C$3)</f>
        <v>#DIV/0!</v>
      </c>
      <c r="AQ549" s="1044" t="e">
        <f>IF($F149="","",$F149*chronic_consumption!AL549/1000/$C$3)</f>
        <v>#DIV/0!</v>
      </c>
      <c r="AR549" s="1044" t="e">
        <f>IF($F149="","",$F149*chronic_consumption!AM549/1000/$C$3)</f>
        <v>#DIV/0!</v>
      </c>
      <c r="AS549" s="1044" t="e">
        <f>IF($F149="","",$F149*chronic_consumption!AN549/1000/$C$3)</f>
        <v>#DIV/0!</v>
      </c>
      <c r="AT549" s="1044" t="e">
        <f>IF($F149="","",$F149*chronic_consumption!AO549/1000/$C$3)</f>
        <v>#DIV/0!</v>
      </c>
      <c r="AU549" s="1044" t="e">
        <f>IF($F149="","",$F149*chronic_consumption!AP549/1000/$C$3)</f>
        <v>#DIV/0!</v>
      </c>
      <c r="AV549" s="1044" t="e">
        <f>IF($F149="","",$F149*chronic_consumption!AQ549/1000/$C$3)</f>
        <v>#DIV/0!</v>
      </c>
      <c r="AW549" s="1044" t="e">
        <f>IF($F149="","",$F149*chronic_consumption!AR549/1000/$C$3)</f>
        <v>#DIV/0!</v>
      </c>
      <c r="AX549" s="1044" t="e">
        <f>IF($F149="","",$F149*chronic_consumption!AS549/1000/$C$3)</f>
        <v>#DIV/0!</v>
      </c>
      <c r="AY549" s="1044" t="e">
        <f>IF($F149="","",$F149*chronic_consumption!AT549/1000/$C$3)</f>
        <v>#DIV/0!</v>
      </c>
      <c r="AZ549" s="44" t="s">
        <v>20</v>
      </c>
      <c r="BC549" s="29"/>
      <c r="BD549" s="29"/>
    </row>
    <row r="550" spans="1:56" ht="12" customHeight="1" outlineLevel="3" x14ac:dyDescent="0.2">
      <c r="A550" s="21">
        <f>acute_overview_children!A150</f>
        <v>4</v>
      </c>
      <c r="B550" s="325">
        <f t="shared" si="42"/>
        <v>242010</v>
      </c>
      <c r="C550" s="325" t="str">
        <f t="shared" si="42"/>
        <v>Brussels sprouts</v>
      </c>
      <c r="D550" s="135"/>
      <c r="E550" s="1027"/>
      <c r="F550" s="87"/>
      <c r="G550" s="1027"/>
      <c r="H550" s="1029"/>
      <c r="I550" s="1030"/>
      <c r="J550" s="1039" t="e">
        <f>IF($F150="","",$F150*chronic_consumption!E550/1000/$C$3)</f>
        <v>#DIV/0!</v>
      </c>
      <c r="K550" s="1040" t="e">
        <f>IF($F150="","",$F150*chronic_consumption!F550/1000/$C$3)</f>
        <v>#DIV/0!</v>
      </c>
      <c r="L550" s="1040" t="e">
        <f>IF($F150="","",$F150*chronic_consumption!G550/1000/$C$3)</f>
        <v>#DIV/0!</v>
      </c>
      <c r="M550" s="1040" t="e">
        <f>IF($F150="","",$F150*chronic_consumption!H550/1000/$C$3)</f>
        <v>#DIV/0!</v>
      </c>
      <c r="N550" s="1040" t="e">
        <f>IF($F150="","",$F150*chronic_consumption!I550/1000/$C$3)</f>
        <v>#DIV/0!</v>
      </c>
      <c r="O550" s="1040" t="e">
        <f>IF($F150="","",$F150*chronic_consumption!J550/1000/$C$3)</f>
        <v>#DIV/0!</v>
      </c>
      <c r="P550" s="1040" t="e">
        <f>IF($F150="","",$F150*chronic_consumption!K550/1000/$C$3)</f>
        <v>#DIV/0!</v>
      </c>
      <c r="Q550" s="1040" t="e">
        <f>IF($F150="","",$F150*chronic_consumption!L550/1000/$C$3)</f>
        <v>#DIV/0!</v>
      </c>
      <c r="R550" s="1040" t="e">
        <f>IF($F150="","",$F150*chronic_consumption!M550/1000/$C$3)</f>
        <v>#DIV/0!</v>
      </c>
      <c r="S550" s="1040" t="e">
        <f>IF($F150="","",$F150*chronic_consumption!N550/1000/$C$3)</f>
        <v>#DIV/0!</v>
      </c>
      <c r="T550" s="1040" t="e">
        <f>IF($F150="","",$F150*chronic_consumption!O550/1000/$C$3)</f>
        <v>#DIV/0!</v>
      </c>
      <c r="U550" s="1040" t="e">
        <f>IF($F150="","",$F150*chronic_consumption!P550/1000/$C$3)</f>
        <v>#DIV/0!</v>
      </c>
      <c r="V550" s="1040" t="e">
        <f>IF($F150="","",$F150*chronic_consumption!Q550/1000/$C$3)</f>
        <v>#DIV/0!</v>
      </c>
      <c r="W550" s="1040" t="e">
        <f>IF($F150="","",$F150*chronic_consumption!R550/1000/$C$3)</f>
        <v>#DIV/0!</v>
      </c>
      <c r="X550" s="1040" t="e">
        <f>IF($F150="","",$F150*chronic_consumption!S550/1000/$C$3)</f>
        <v>#DIV/0!</v>
      </c>
      <c r="Y550" s="1040" t="e">
        <f>IF($F150="","",$F150*chronic_consumption!T550/1000/$C$3)</f>
        <v>#DIV/0!</v>
      </c>
      <c r="Z550" s="1040" t="e">
        <f>IF($F150="","",$F150*chronic_consumption!U550/1000/$C$3)</f>
        <v>#DIV/0!</v>
      </c>
      <c r="AA550" s="1040" t="e">
        <f>IF($F150="","",$F150*chronic_consumption!V550/1000/$C$3)</f>
        <v>#DIV/0!</v>
      </c>
      <c r="AB550" s="1040" t="e">
        <f>IF($F150="","",$F150*chronic_consumption!W550/1000/$C$3)</f>
        <v>#DIV/0!</v>
      </c>
      <c r="AC550" s="1040" t="e">
        <f>IF($F150="","",$F150*chronic_consumption!X550/1000/$C$3)</f>
        <v>#DIV/0!</v>
      </c>
      <c r="AD550" s="1040" t="e">
        <f>IF($F150="","",$F150*chronic_consumption!Y550/1000/$C$3)</f>
        <v>#DIV/0!</v>
      </c>
      <c r="AE550" s="1040" t="e">
        <f>IF($F150="","",$F150*chronic_consumption!Z550/1000/$C$3)</f>
        <v>#DIV/0!</v>
      </c>
      <c r="AF550" s="1040" t="e">
        <f>IF($F150="","",$F150*chronic_consumption!AA550/1000/$C$3)</f>
        <v>#DIV/0!</v>
      </c>
      <c r="AG550" s="1040" t="e">
        <f>IF($F150="","",$F150*chronic_consumption!AB550/1000/$C$3)</f>
        <v>#DIV/0!</v>
      </c>
      <c r="AH550" s="1040" t="e">
        <f>IF($F150="","",$F150*chronic_consumption!AC550/1000/$C$3)</f>
        <v>#DIV/0!</v>
      </c>
      <c r="AI550" s="1040" t="e">
        <f>IF($F150="","",$F150*chronic_consumption!AD550/1000/$C$3)</f>
        <v>#DIV/0!</v>
      </c>
      <c r="AJ550" s="1040" t="e">
        <f>IF($F150="","",$F150*chronic_consumption!AE550/1000/$C$3)</f>
        <v>#DIV/0!</v>
      </c>
      <c r="AK550" s="1040" t="e">
        <f>IF($F150="","",$F150*chronic_consumption!AF550/1000/$C$3)</f>
        <v>#DIV/0!</v>
      </c>
      <c r="AL550" s="1040" t="e">
        <f>IF($F150="","",$F150*chronic_consumption!AG550/1000/$C$3)</f>
        <v>#DIV/0!</v>
      </c>
      <c r="AM550" s="1040" t="e">
        <f>IF($F150="","",$F150*chronic_consumption!AH550/1000/$C$3)</f>
        <v>#DIV/0!</v>
      </c>
      <c r="AN550" s="1040" t="e">
        <f>IF($F150="","",$F150*chronic_consumption!AI550/1000/$C$3)</f>
        <v>#DIV/0!</v>
      </c>
      <c r="AO550" s="1040" t="e">
        <f>IF($F150="","",$F150*chronic_consumption!AJ550/1000/$C$3)</f>
        <v>#DIV/0!</v>
      </c>
      <c r="AP550" s="1040" t="e">
        <f>IF($F150="","",$F150*chronic_consumption!AK550/1000/$C$3)</f>
        <v>#DIV/0!</v>
      </c>
      <c r="AQ550" s="1040" t="e">
        <f>IF($F150="","",$F150*chronic_consumption!AL550/1000/$C$3)</f>
        <v>#DIV/0!</v>
      </c>
      <c r="AR550" s="1040" t="e">
        <f>IF($F150="","",$F150*chronic_consumption!AM550/1000/$C$3)</f>
        <v>#DIV/0!</v>
      </c>
      <c r="AS550" s="1040" t="e">
        <f>IF($F150="","",$F150*chronic_consumption!AN550/1000/$C$3)</f>
        <v>#DIV/0!</v>
      </c>
      <c r="AT550" s="1040" t="e">
        <f>IF($F150="","",$F150*chronic_consumption!AO550/1000/$C$3)</f>
        <v>#DIV/0!</v>
      </c>
      <c r="AU550" s="1040" t="e">
        <f>IF($F150="","",$F150*chronic_consumption!AP550/1000/$C$3)</f>
        <v>#DIV/0!</v>
      </c>
      <c r="AV550" s="1040" t="e">
        <f>IF($F150="","",$F150*chronic_consumption!AQ550/1000/$C$3)</f>
        <v>#DIV/0!</v>
      </c>
      <c r="AW550" s="1040" t="e">
        <f>IF($F150="","",$F150*chronic_consumption!AR550/1000/$C$3)</f>
        <v>#DIV/0!</v>
      </c>
      <c r="AX550" s="1040" t="e">
        <f>IF($F150="","",$F150*chronic_consumption!AS550/1000/$C$3)</f>
        <v>#DIV/0!</v>
      </c>
      <c r="AY550" s="1040" t="e">
        <f>IF($F150="","",$F150*chronic_consumption!AT550/1000/$C$3)</f>
        <v>#DIV/0!</v>
      </c>
      <c r="AZ550" s="44" t="s">
        <v>20</v>
      </c>
      <c r="BC550" s="29"/>
      <c r="BD550" s="29"/>
    </row>
    <row r="551" spans="1:56" ht="12" customHeight="1" outlineLevel="3" x14ac:dyDescent="0.2">
      <c r="A551" s="21">
        <f>acute_overview_children!A151</f>
        <v>4</v>
      </c>
      <c r="B551" s="325">
        <f t="shared" si="42"/>
        <v>242020</v>
      </c>
      <c r="C551" s="325" t="str">
        <f t="shared" si="42"/>
        <v>Head cabbages</v>
      </c>
      <c r="D551" s="135"/>
      <c r="E551" s="1027"/>
      <c r="F551" s="87"/>
      <c r="G551" s="1027"/>
      <c r="H551" s="1029"/>
      <c r="I551" s="1030"/>
      <c r="J551" s="1039" t="e">
        <f>IF($F151="","",$F151*chronic_consumption!E551/1000/$C$3)</f>
        <v>#DIV/0!</v>
      </c>
      <c r="K551" s="1040" t="e">
        <f>IF($F151="","",$F151*chronic_consumption!F551/1000/$C$3)</f>
        <v>#DIV/0!</v>
      </c>
      <c r="L551" s="1040" t="e">
        <f>IF($F151="","",$F151*chronic_consumption!G551/1000/$C$3)</f>
        <v>#DIV/0!</v>
      </c>
      <c r="M551" s="1040" t="e">
        <f>IF($F151="","",$F151*chronic_consumption!H551/1000/$C$3)</f>
        <v>#DIV/0!</v>
      </c>
      <c r="N551" s="1040" t="e">
        <f>IF($F151="","",$F151*chronic_consumption!I551/1000/$C$3)</f>
        <v>#DIV/0!</v>
      </c>
      <c r="O551" s="1040" t="e">
        <f>IF($F151="","",$F151*chronic_consumption!J551/1000/$C$3)</f>
        <v>#DIV/0!</v>
      </c>
      <c r="P551" s="1040" t="e">
        <f>IF($F151="","",$F151*chronic_consumption!K551/1000/$C$3)</f>
        <v>#DIV/0!</v>
      </c>
      <c r="Q551" s="1040" t="e">
        <f>IF($F151="","",$F151*chronic_consumption!L551/1000/$C$3)</f>
        <v>#DIV/0!</v>
      </c>
      <c r="R551" s="1040" t="e">
        <f>IF($F151="","",$F151*chronic_consumption!M551/1000/$C$3)</f>
        <v>#DIV/0!</v>
      </c>
      <c r="S551" s="1040" t="e">
        <f>IF($F151="","",$F151*chronic_consumption!N551/1000/$C$3)</f>
        <v>#DIV/0!</v>
      </c>
      <c r="T551" s="1040" t="e">
        <f>IF($F151="","",$F151*chronic_consumption!O551/1000/$C$3)</f>
        <v>#DIV/0!</v>
      </c>
      <c r="U551" s="1040" t="e">
        <f>IF($F151="","",$F151*chronic_consumption!P551/1000/$C$3)</f>
        <v>#DIV/0!</v>
      </c>
      <c r="V551" s="1040" t="e">
        <f>IF($F151="","",$F151*chronic_consumption!Q551/1000/$C$3)</f>
        <v>#DIV/0!</v>
      </c>
      <c r="W551" s="1040" t="e">
        <f>IF($F151="","",$F151*chronic_consumption!R551/1000/$C$3)</f>
        <v>#DIV/0!</v>
      </c>
      <c r="X551" s="1040" t="e">
        <f>IF($F151="","",$F151*chronic_consumption!S551/1000/$C$3)</f>
        <v>#DIV/0!</v>
      </c>
      <c r="Y551" s="1040" t="e">
        <f>IF($F151="","",$F151*chronic_consumption!T551/1000/$C$3)</f>
        <v>#DIV/0!</v>
      </c>
      <c r="Z551" s="1040" t="e">
        <f>IF($F151="","",$F151*chronic_consumption!U551/1000/$C$3)</f>
        <v>#DIV/0!</v>
      </c>
      <c r="AA551" s="1040" t="e">
        <f>IF($F151="","",$F151*chronic_consumption!V551/1000/$C$3)</f>
        <v>#DIV/0!</v>
      </c>
      <c r="AB551" s="1040" t="e">
        <f>IF($F151="","",$F151*chronic_consumption!W551/1000/$C$3)</f>
        <v>#DIV/0!</v>
      </c>
      <c r="AC551" s="1040" t="e">
        <f>IF($F151="","",$F151*chronic_consumption!X551/1000/$C$3)</f>
        <v>#DIV/0!</v>
      </c>
      <c r="AD551" s="1040" t="e">
        <f>IF($F151="","",$F151*chronic_consumption!Y551/1000/$C$3)</f>
        <v>#DIV/0!</v>
      </c>
      <c r="AE551" s="1040" t="e">
        <f>IF($F151="","",$F151*chronic_consumption!Z551/1000/$C$3)</f>
        <v>#DIV/0!</v>
      </c>
      <c r="AF551" s="1040" t="e">
        <f>IF($F151="","",$F151*chronic_consumption!AA551/1000/$C$3)</f>
        <v>#DIV/0!</v>
      </c>
      <c r="AG551" s="1040" t="e">
        <f>IF($F151="","",$F151*chronic_consumption!AB551/1000/$C$3)</f>
        <v>#DIV/0!</v>
      </c>
      <c r="AH551" s="1040" t="e">
        <f>IF($F151="","",$F151*chronic_consumption!AC551/1000/$C$3)</f>
        <v>#DIV/0!</v>
      </c>
      <c r="AI551" s="1040" t="e">
        <f>IF($F151="","",$F151*chronic_consumption!AD551/1000/$C$3)</f>
        <v>#DIV/0!</v>
      </c>
      <c r="AJ551" s="1040" t="e">
        <f>IF($F151="","",$F151*chronic_consumption!AE551/1000/$C$3)</f>
        <v>#DIV/0!</v>
      </c>
      <c r="AK551" s="1040" t="e">
        <f>IF($F151="","",$F151*chronic_consumption!AF551/1000/$C$3)</f>
        <v>#DIV/0!</v>
      </c>
      <c r="AL551" s="1040" t="e">
        <f>IF($F151="","",$F151*chronic_consumption!AG551/1000/$C$3)</f>
        <v>#DIV/0!</v>
      </c>
      <c r="AM551" s="1040" t="e">
        <f>IF($F151="","",$F151*chronic_consumption!AH551/1000/$C$3)</f>
        <v>#DIV/0!</v>
      </c>
      <c r="AN551" s="1040" t="e">
        <f>IF($F151="","",$F151*chronic_consumption!AI551/1000/$C$3)</f>
        <v>#DIV/0!</v>
      </c>
      <c r="AO551" s="1040" t="e">
        <f>IF($F151="","",$F151*chronic_consumption!AJ551/1000/$C$3)</f>
        <v>#DIV/0!</v>
      </c>
      <c r="AP551" s="1040" t="e">
        <f>IF($F151="","",$F151*chronic_consumption!AK551/1000/$C$3)</f>
        <v>#DIV/0!</v>
      </c>
      <c r="AQ551" s="1040" t="e">
        <f>IF($F151="","",$F151*chronic_consumption!AL551/1000/$C$3)</f>
        <v>#DIV/0!</v>
      </c>
      <c r="AR551" s="1040" t="e">
        <f>IF($F151="","",$F151*chronic_consumption!AM551/1000/$C$3)</f>
        <v>#DIV/0!</v>
      </c>
      <c r="AS551" s="1040" t="e">
        <f>IF($F151="","",$F151*chronic_consumption!AN551/1000/$C$3)</f>
        <v>#DIV/0!</v>
      </c>
      <c r="AT551" s="1040" t="e">
        <f>IF($F151="","",$F151*chronic_consumption!AO551/1000/$C$3)</f>
        <v>#DIV/0!</v>
      </c>
      <c r="AU551" s="1040" t="e">
        <f>IF($F151="","",$F151*chronic_consumption!AP551/1000/$C$3)</f>
        <v>#DIV/0!</v>
      </c>
      <c r="AV551" s="1040" t="e">
        <f>IF($F151="","",$F151*chronic_consumption!AQ551/1000/$C$3)</f>
        <v>#DIV/0!</v>
      </c>
      <c r="AW551" s="1040" t="e">
        <f>IF($F151="","",$F151*chronic_consumption!AR551/1000/$C$3)</f>
        <v>#DIV/0!</v>
      </c>
      <c r="AX551" s="1040" t="e">
        <f>IF($F151="","",$F151*chronic_consumption!AS551/1000/$C$3)</f>
        <v>#DIV/0!</v>
      </c>
      <c r="AY551" s="1040" t="e">
        <f>IF($F151="","",$F151*chronic_consumption!AT551/1000/$C$3)</f>
        <v>#DIV/0!</v>
      </c>
      <c r="AZ551" s="44" t="s">
        <v>20</v>
      </c>
      <c r="BC551" s="29"/>
      <c r="BD551" s="29"/>
    </row>
    <row r="552" spans="1:56" ht="12" customHeight="1" outlineLevel="3" x14ac:dyDescent="0.2">
      <c r="A552" s="21">
        <f>acute_overview_children!A152</f>
        <v>4</v>
      </c>
      <c r="B552" s="325">
        <f t="shared" ref="B552:C571" si="43">B152</f>
        <v>242990</v>
      </c>
      <c r="C552" s="325" t="str">
        <f t="shared" si="43"/>
        <v>Other head brassica</v>
      </c>
      <c r="D552" s="135"/>
      <c r="E552" s="1027"/>
      <c r="F552" s="87"/>
      <c r="G552" s="1027"/>
      <c r="H552" s="1029"/>
      <c r="I552" s="1030"/>
      <c r="J552" s="1039" t="e">
        <f>IF($F152="","",$F152*chronic_consumption!E552/1000/$C$3)</f>
        <v>#DIV/0!</v>
      </c>
      <c r="K552" s="1040" t="e">
        <f>IF($F152="","",$F152*chronic_consumption!F552/1000/$C$3)</f>
        <v>#DIV/0!</v>
      </c>
      <c r="L552" s="1040" t="e">
        <f>IF($F152="","",$F152*chronic_consumption!G552/1000/$C$3)</f>
        <v>#DIV/0!</v>
      </c>
      <c r="M552" s="1040" t="e">
        <f>IF($F152="","",$F152*chronic_consumption!H552/1000/$C$3)</f>
        <v>#DIV/0!</v>
      </c>
      <c r="N552" s="1040" t="e">
        <f>IF($F152="","",$F152*chronic_consumption!I552/1000/$C$3)</f>
        <v>#DIV/0!</v>
      </c>
      <c r="O552" s="1040" t="e">
        <f>IF($F152="","",$F152*chronic_consumption!J552/1000/$C$3)</f>
        <v>#DIV/0!</v>
      </c>
      <c r="P552" s="1040" t="e">
        <f>IF($F152="","",$F152*chronic_consumption!K552/1000/$C$3)</f>
        <v>#DIV/0!</v>
      </c>
      <c r="Q552" s="1040" t="e">
        <f>IF($F152="","",$F152*chronic_consumption!L552/1000/$C$3)</f>
        <v>#DIV/0!</v>
      </c>
      <c r="R552" s="1040" t="e">
        <f>IF($F152="","",$F152*chronic_consumption!M552/1000/$C$3)</f>
        <v>#DIV/0!</v>
      </c>
      <c r="S552" s="1040" t="e">
        <f>IF($F152="","",$F152*chronic_consumption!N552/1000/$C$3)</f>
        <v>#DIV/0!</v>
      </c>
      <c r="T552" s="1040" t="e">
        <f>IF($F152="","",$F152*chronic_consumption!O552/1000/$C$3)</f>
        <v>#DIV/0!</v>
      </c>
      <c r="U552" s="1040" t="e">
        <f>IF($F152="","",$F152*chronic_consumption!P552/1000/$C$3)</f>
        <v>#DIV/0!</v>
      </c>
      <c r="V552" s="1040" t="e">
        <f>IF($F152="","",$F152*chronic_consumption!Q552/1000/$C$3)</f>
        <v>#DIV/0!</v>
      </c>
      <c r="W552" s="1040" t="e">
        <f>IF($F152="","",$F152*chronic_consumption!R552/1000/$C$3)</f>
        <v>#DIV/0!</v>
      </c>
      <c r="X552" s="1040" t="e">
        <f>IF($F152="","",$F152*chronic_consumption!S552/1000/$C$3)</f>
        <v>#DIV/0!</v>
      </c>
      <c r="Y552" s="1040" t="e">
        <f>IF($F152="","",$F152*chronic_consumption!T552/1000/$C$3)</f>
        <v>#DIV/0!</v>
      </c>
      <c r="Z552" s="1040" t="e">
        <f>IF($F152="","",$F152*chronic_consumption!U552/1000/$C$3)</f>
        <v>#DIV/0!</v>
      </c>
      <c r="AA552" s="1040" t="e">
        <f>IF($F152="","",$F152*chronic_consumption!V552/1000/$C$3)</f>
        <v>#DIV/0!</v>
      </c>
      <c r="AB552" s="1040" t="e">
        <f>IF($F152="","",$F152*chronic_consumption!W552/1000/$C$3)</f>
        <v>#DIV/0!</v>
      </c>
      <c r="AC552" s="1040" t="e">
        <f>IF($F152="","",$F152*chronic_consumption!X552/1000/$C$3)</f>
        <v>#DIV/0!</v>
      </c>
      <c r="AD552" s="1040" t="e">
        <f>IF($F152="","",$F152*chronic_consumption!Y552/1000/$C$3)</f>
        <v>#DIV/0!</v>
      </c>
      <c r="AE552" s="1040" t="e">
        <f>IF($F152="","",$F152*chronic_consumption!Z552/1000/$C$3)</f>
        <v>#DIV/0!</v>
      </c>
      <c r="AF552" s="1040" t="e">
        <f>IF($F152="","",$F152*chronic_consumption!AA552/1000/$C$3)</f>
        <v>#DIV/0!</v>
      </c>
      <c r="AG552" s="1040" t="e">
        <f>IF($F152="","",$F152*chronic_consumption!AB552/1000/$C$3)</f>
        <v>#DIV/0!</v>
      </c>
      <c r="AH552" s="1040" t="e">
        <f>IF($F152="","",$F152*chronic_consumption!AC552/1000/$C$3)</f>
        <v>#DIV/0!</v>
      </c>
      <c r="AI552" s="1040" t="e">
        <f>IF($F152="","",$F152*chronic_consumption!AD552/1000/$C$3)</f>
        <v>#DIV/0!</v>
      </c>
      <c r="AJ552" s="1040" t="e">
        <f>IF($F152="","",$F152*chronic_consumption!AE552/1000/$C$3)</f>
        <v>#DIV/0!</v>
      </c>
      <c r="AK552" s="1040" t="e">
        <f>IF($F152="","",$F152*chronic_consumption!AF552/1000/$C$3)</f>
        <v>#DIV/0!</v>
      </c>
      <c r="AL552" s="1040" t="e">
        <f>IF($F152="","",$F152*chronic_consumption!AG552/1000/$C$3)</f>
        <v>#DIV/0!</v>
      </c>
      <c r="AM552" s="1040" t="e">
        <f>IF($F152="","",$F152*chronic_consumption!AH552/1000/$C$3)</f>
        <v>#DIV/0!</v>
      </c>
      <c r="AN552" s="1040" t="e">
        <f>IF($F152="","",$F152*chronic_consumption!AI552/1000/$C$3)</f>
        <v>#DIV/0!</v>
      </c>
      <c r="AO552" s="1040" t="e">
        <f>IF($F152="","",$F152*chronic_consumption!AJ552/1000/$C$3)</f>
        <v>#DIV/0!</v>
      </c>
      <c r="AP552" s="1040" t="e">
        <f>IF($F152="","",$F152*chronic_consumption!AK552/1000/$C$3)</f>
        <v>#DIV/0!</v>
      </c>
      <c r="AQ552" s="1040" t="e">
        <f>IF($F152="","",$F152*chronic_consumption!AL552/1000/$C$3)</f>
        <v>#DIV/0!</v>
      </c>
      <c r="AR552" s="1040" t="e">
        <f>IF($F152="","",$F152*chronic_consumption!AM552/1000/$C$3)</f>
        <v>#DIV/0!</v>
      </c>
      <c r="AS552" s="1040" t="e">
        <f>IF($F152="","",$F152*chronic_consumption!AN552/1000/$C$3)</f>
        <v>#DIV/0!</v>
      </c>
      <c r="AT552" s="1040" t="e">
        <f>IF($F152="","",$F152*chronic_consumption!AO552/1000/$C$3)</f>
        <v>#DIV/0!</v>
      </c>
      <c r="AU552" s="1040" t="e">
        <f>IF($F152="","",$F152*chronic_consumption!AP552/1000/$C$3)</f>
        <v>#DIV/0!</v>
      </c>
      <c r="AV552" s="1040" t="e">
        <f>IF($F152="","",$F152*chronic_consumption!AQ552/1000/$C$3)</f>
        <v>#DIV/0!</v>
      </c>
      <c r="AW552" s="1040" t="e">
        <f>IF($F152="","",$F152*chronic_consumption!AR552/1000/$C$3)</f>
        <v>#DIV/0!</v>
      </c>
      <c r="AX552" s="1040" t="e">
        <f>IF($F152="","",$F152*chronic_consumption!AS552/1000/$C$3)</f>
        <v>#DIV/0!</v>
      </c>
      <c r="AY552" s="1040" t="e">
        <f>IF($F152="","",$F152*chronic_consumption!AT552/1000/$C$3)</f>
        <v>#DIV/0!</v>
      </c>
      <c r="AZ552" s="44" t="s">
        <v>20</v>
      </c>
      <c r="BC552" s="29"/>
      <c r="BD552" s="29"/>
    </row>
    <row r="553" spans="1:56" ht="12" customHeight="1" outlineLevel="2" x14ac:dyDescent="0.2">
      <c r="A553" s="341">
        <f>acute_overview_children!A153</f>
        <v>3</v>
      </c>
      <c r="B553" s="1041">
        <f t="shared" si="43"/>
        <v>243000</v>
      </c>
      <c r="C553" s="1041" t="str">
        <f t="shared" si="43"/>
        <v>Leafy brassica</v>
      </c>
      <c r="D553" s="1042"/>
      <c r="E553" s="1027"/>
      <c r="F553" s="87"/>
      <c r="G553" s="1027"/>
      <c r="H553" s="1029"/>
      <c r="I553" s="1030"/>
      <c r="J553" s="1043" t="e">
        <f>IF($F153="","",$F153*chronic_consumption!E553/1000/$C$3)</f>
        <v>#DIV/0!</v>
      </c>
      <c r="K553" s="1044" t="e">
        <f>IF($F153="","",$F153*chronic_consumption!F553/1000/$C$3)</f>
        <v>#DIV/0!</v>
      </c>
      <c r="L553" s="1044" t="e">
        <f>IF($F153="","",$F153*chronic_consumption!G553/1000/$C$3)</f>
        <v>#DIV/0!</v>
      </c>
      <c r="M553" s="1044" t="e">
        <f>IF($F153="","",$F153*chronic_consumption!H553/1000/$C$3)</f>
        <v>#DIV/0!</v>
      </c>
      <c r="N553" s="1044" t="e">
        <f>IF($F153="","",$F153*chronic_consumption!I553/1000/$C$3)</f>
        <v>#DIV/0!</v>
      </c>
      <c r="O553" s="1044" t="e">
        <f>IF($F153="","",$F153*chronic_consumption!J553/1000/$C$3)</f>
        <v>#DIV/0!</v>
      </c>
      <c r="P553" s="1044" t="e">
        <f>IF($F153="","",$F153*chronic_consumption!K553/1000/$C$3)</f>
        <v>#DIV/0!</v>
      </c>
      <c r="Q553" s="1044" t="e">
        <f>IF($F153="","",$F153*chronic_consumption!L553/1000/$C$3)</f>
        <v>#DIV/0!</v>
      </c>
      <c r="R553" s="1044" t="e">
        <f>IF($F153="","",$F153*chronic_consumption!M553/1000/$C$3)</f>
        <v>#DIV/0!</v>
      </c>
      <c r="S553" s="1044" t="e">
        <f>IF($F153="","",$F153*chronic_consumption!N553/1000/$C$3)</f>
        <v>#DIV/0!</v>
      </c>
      <c r="T553" s="1044" t="e">
        <f>IF($F153="","",$F153*chronic_consumption!O553/1000/$C$3)</f>
        <v>#DIV/0!</v>
      </c>
      <c r="U553" s="1044" t="e">
        <f>IF($F153="","",$F153*chronic_consumption!P553/1000/$C$3)</f>
        <v>#DIV/0!</v>
      </c>
      <c r="V553" s="1044" t="e">
        <f>IF($F153="","",$F153*chronic_consumption!Q553/1000/$C$3)</f>
        <v>#DIV/0!</v>
      </c>
      <c r="W553" s="1044" t="e">
        <f>IF($F153="","",$F153*chronic_consumption!R553/1000/$C$3)</f>
        <v>#DIV/0!</v>
      </c>
      <c r="X553" s="1044" t="e">
        <f>IF($F153="","",$F153*chronic_consumption!S553/1000/$C$3)</f>
        <v>#DIV/0!</v>
      </c>
      <c r="Y553" s="1044" t="e">
        <f>IF($F153="","",$F153*chronic_consumption!T553/1000/$C$3)</f>
        <v>#DIV/0!</v>
      </c>
      <c r="Z553" s="1044" t="e">
        <f>IF($F153="","",$F153*chronic_consumption!U553/1000/$C$3)</f>
        <v>#DIV/0!</v>
      </c>
      <c r="AA553" s="1044" t="e">
        <f>IF($F153="","",$F153*chronic_consumption!V553/1000/$C$3)</f>
        <v>#DIV/0!</v>
      </c>
      <c r="AB553" s="1044" t="e">
        <f>IF($F153="","",$F153*chronic_consumption!W553/1000/$C$3)</f>
        <v>#DIV/0!</v>
      </c>
      <c r="AC553" s="1044" t="e">
        <f>IF($F153="","",$F153*chronic_consumption!X553/1000/$C$3)</f>
        <v>#DIV/0!</v>
      </c>
      <c r="AD553" s="1044" t="e">
        <f>IF($F153="","",$F153*chronic_consumption!Y553/1000/$C$3)</f>
        <v>#DIV/0!</v>
      </c>
      <c r="AE553" s="1044" t="e">
        <f>IF($F153="","",$F153*chronic_consumption!Z553/1000/$C$3)</f>
        <v>#DIV/0!</v>
      </c>
      <c r="AF553" s="1044" t="e">
        <f>IF($F153="","",$F153*chronic_consumption!AA553/1000/$C$3)</f>
        <v>#DIV/0!</v>
      </c>
      <c r="AG553" s="1044" t="e">
        <f>IF($F153="","",$F153*chronic_consumption!AB553/1000/$C$3)</f>
        <v>#DIV/0!</v>
      </c>
      <c r="AH553" s="1044" t="e">
        <f>IF($F153="","",$F153*chronic_consumption!AC553/1000/$C$3)</f>
        <v>#DIV/0!</v>
      </c>
      <c r="AI553" s="1044" t="e">
        <f>IF($F153="","",$F153*chronic_consumption!AD553/1000/$C$3)</f>
        <v>#DIV/0!</v>
      </c>
      <c r="AJ553" s="1044" t="e">
        <f>IF($F153="","",$F153*chronic_consumption!AE553/1000/$C$3)</f>
        <v>#DIV/0!</v>
      </c>
      <c r="AK553" s="1044" t="e">
        <f>IF($F153="","",$F153*chronic_consumption!AF553/1000/$C$3)</f>
        <v>#DIV/0!</v>
      </c>
      <c r="AL553" s="1044" t="e">
        <f>IF($F153="","",$F153*chronic_consumption!AG553/1000/$C$3)</f>
        <v>#DIV/0!</v>
      </c>
      <c r="AM553" s="1044" t="e">
        <f>IF($F153="","",$F153*chronic_consumption!AH553/1000/$C$3)</f>
        <v>#DIV/0!</v>
      </c>
      <c r="AN553" s="1044" t="e">
        <f>IF($F153="","",$F153*chronic_consumption!AI553/1000/$C$3)</f>
        <v>#DIV/0!</v>
      </c>
      <c r="AO553" s="1044" t="e">
        <f>IF($F153="","",$F153*chronic_consumption!AJ553/1000/$C$3)</f>
        <v>#DIV/0!</v>
      </c>
      <c r="AP553" s="1044" t="e">
        <f>IF($F153="","",$F153*chronic_consumption!AK553/1000/$C$3)</f>
        <v>#DIV/0!</v>
      </c>
      <c r="AQ553" s="1044" t="e">
        <f>IF($F153="","",$F153*chronic_consumption!AL553/1000/$C$3)</f>
        <v>#DIV/0!</v>
      </c>
      <c r="AR553" s="1044" t="e">
        <f>IF($F153="","",$F153*chronic_consumption!AM553/1000/$C$3)</f>
        <v>#DIV/0!</v>
      </c>
      <c r="AS553" s="1044" t="e">
        <f>IF($F153="","",$F153*chronic_consumption!AN553/1000/$C$3)</f>
        <v>#DIV/0!</v>
      </c>
      <c r="AT553" s="1044" t="e">
        <f>IF($F153="","",$F153*chronic_consumption!AO553/1000/$C$3)</f>
        <v>#DIV/0!</v>
      </c>
      <c r="AU553" s="1044" t="e">
        <f>IF($F153="","",$F153*chronic_consumption!AP553/1000/$C$3)</f>
        <v>#DIV/0!</v>
      </c>
      <c r="AV553" s="1044" t="e">
        <f>IF($F153="","",$F153*chronic_consumption!AQ553/1000/$C$3)</f>
        <v>#DIV/0!</v>
      </c>
      <c r="AW553" s="1044" t="e">
        <f>IF($F153="","",$F153*chronic_consumption!AR553/1000/$C$3)</f>
        <v>#DIV/0!</v>
      </c>
      <c r="AX553" s="1044" t="e">
        <f>IF($F153="","",$F153*chronic_consumption!AS553/1000/$C$3)</f>
        <v>#DIV/0!</v>
      </c>
      <c r="AY553" s="1044" t="e">
        <f>IF($F153="","",$F153*chronic_consumption!AT553/1000/$C$3)</f>
        <v>#DIV/0!</v>
      </c>
      <c r="AZ553" s="44" t="s">
        <v>20</v>
      </c>
      <c r="BC553" s="29"/>
      <c r="BD553" s="29"/>
    </row>
    <row r="554" spans="1:56" ht="12" customHeight="1" outlineLevel="3" x14ac:dyDescent="0.2">
      <c r="A554" s="21">
        <f>acute_overview_children!A154</f>
        <v>4</v>
      </c>
      <c r="B554" s="325">
        <f t="shared" si="43"/>
        <v>243010</v>
      </c>
      <c r="C554" s="325" t="str">
        <f t="shared" si="43"/>
        <v>Chinese cabbages/pe-tsai</v>
      </c>
      <c r="D554" s="135"/>
      <c r="E554" s="1027"/>
      <c r="F554" s="87"/>
      <c r="G554" s="1027"/>
      <c r="H554" s="1029"/>
      <c r="I554" s="1030"/>
      <c r="J554" s="1039" t="e">
        <f>IF($F154="","",$F154*chronic_consumption!E554/1000/$C$3)</f>
        <v>#DIV/0!</v>
      </c>
      <c r="K554" s="1040" t="e">
        <f>IF($F154="","",$F154*chronic_consumption!F554/1000/$C$3)</f>
        <v>#DIV/0!</v>
      </c>
      <c r="L554" s="1040" t="e">
        <f>IF($F154="","",$F154*chronic_consumption!G554/1000/$C$3)</f>
        <v>#DIV/0!</v>
      </c>
      <c r="M554" s="1040" t="e">
        <f>IF($F154="","",$F154*chronic_consumption!H554/1000/$C$3)</f>
        <v>#DIV/0!</v>
      </c>
      <c r="N554" s="1040" t="e">
        <f>IF($F154="","",$F154*chronic_consumption!I554/1000/$C$3)</f>
        <v>#DIV/0!</v>
      </c>
      <c r="O554" s="1040" t="e">
        <f>IF($F154="","",$F154*chronic_consumption!J554/1000/$C$3)</f>
        <v>#DIV/0!</v>
      </c>
      <c r="P554" s="1040" t="e">
        <f>IF($F154="","",$F154*chronic_consumption!K554/1000/$C$3)</f>
        <v>#DIV/0!</v>
      </c>
      <c r="Q554" s="1040" t="e">
        <f>IF($F154="","",$F154*chronic_consumption!L554/1000/$C$3)</f>
        <v>#DIV/0!</v>
      </c>
      <c r="R554" s="1040" t="e">
        <f>IF($F154="","",$F154*chronic_consumption!M554/1000/$C$3)</f>
        <v>#DIV/0!</v>
      </c>
      <c r="S554" s="1040" t="e">
        <f>IF($F154="","",$F154*chronic_consumption!N554/1000/$C$3)</f>
        <v>#DIV/0!</v>
      </c>
      <c r="T554" s="1040" t="e">
        <f>IF($F154="","",$F154*chronic_consumption!O554/1000/$C$3)</f>
        <v>#DIV/0!</v>
      </c>
      <c r="U554" s="1040" t="e">
        <f>IF($F154="","",$F154*chronic_consumption!P554/1000/$C$3)</f>
        <v>#DIV/0!</v>
      </c>
      <c r="V554" s="1040" t="e">
        <f>IF($F154="","",$F154*chronic_consumption!Q554/1000/$C$3)</f>
        <v>#DIV/0!</v>
      </c>
      <c r="W554" s="1040" t="e">
        <f>IF($F154="","",$F154*chronic_consumption!R554/1000/$C$3)</f>
        <v>#DIV/0!</v>
      </c>
      <c r="X554" s="1040" t="e">
        <f>IF($F154="","",$F154*chronic_consumption!S554/1000/$C$3)</f>
        <v>#DIV/0!</v>
      </c>
      <c r="Y554" s="1040" t="e">
        <f>IF($F154="","",$F154*chronic_consumption!T554/1000/$C$3)</f>
        <v>#DIV/0!</v>
      </c>
      <c r="Z554" s="1040" t="e">
        <f>IF($F154="","",$F154*chronic_consumption!U554/1000/$C$3)</f>
        <v>#DIV/0!</v>
      </c>
      <c r="AA554" s="1040" t="e">
        <f>IF($F154="","",$F154*chronic_consumption!V554/1000/$C$3)</f>
        <v>#DIV/0!</v>
      </c>
      <c r="AB554" s="1040" t="e">
        <f>IF($F154="","",$F154*chronic_consumption!W554/1000/$C$3)</f>
        <v>#DIV/0!</v>
      </c>
      <c r="AC554" s="1040" t="e">
        <f>IF($F154="","",$F154*chronic_consumption!X554/1000/$C$3)</f>
        <v>#DIV/0!</v>
      </c>
      <c r="AD554" s="1040" t="e">
        <f>IF($F154="","",$F154*chronic_consumption!Y554/1000/$C$3)</f>
        <v>#DIV/0!</v>
      </c>
      <c r="AE554" s="1040" t="e">
        <f>IF($F154="","",$F154*chronic_consumption!Z554/1000/$C$3)</f>
        <v>#DIV/0!</v>
      </c>
      <c r="AF554" s="1040" t="e">
        <f>IF($F154="","",$F154*chronic_consumption!AA554/1000/$C$3)</f>
        <v>#DIV/0!</v>
      </c>
      <c r="AG554" s="1040" t="e">
        <f>IF($F154="","",$F154*chronic_consumption!AB554/1000/$C$3)</f>
        <v>#DIV/0!</v>
      </c>
      <c r="AH554" s="1040" t="e">
        <f>IF($F154="","",$F154*chronic_consumption!AC554/1000/$C$3)</f>
        <v>#DIV/0!</v>
      </c>
      <c r="AI554" s="1040" t="e">
        <f>IF($F154="","",$F154*chronic_consumption!AD554/1000/$C$3)</f>
        <v>#DIV/0!</v>
      </c>
      <c r="AJ554" s="1040" t="e">
        <f>IF($F154="","",$F154*chronic_consumption!AE554/1000/$C$3)</f>
        <v>#DIV/0!</v>
      </c>
      <c r="AK554" s="1040" t="e">
        <f>IF($F154="","",$F154*chronic_consumption!AF554/1000/$C$3)</f>
        <v>#DIV/0!</v>
      </c>
      <c r="AL554" s="1040" t="e">
        <f>IF($F154="","",$F154*chronic_consumption!AG554/1000/$C$3)</f>
        <v>#DIV/0!</v>
      </c>
      <c r="AM554" s="1040" t="e">
        <f>IF($F154="","",$F154*chronic_consumption!AH554/1000/$C$3)</f>
        <v>#DIV/0!</v>
      </c>
      <c r="AN554" s="1040" t="e">
        <f>IF($F154="","",$F154*chronic_consumption!AI554/1000/$C$3)</f>
        <v>#DIV/0!</v>
      </c>
      <c r="AO554" s="1040" t="e">
        <f>IF($F154="","",$F154*chronic_consumption!AJ554/1000/$C$3)</f>
        <v>#DIV/0!</v>
      </c>
      <c r="AP554" s="1040" t="e">
        <f>IF($F154="","",$F154*chronic_consumption!AK554/1000/$C$3)</f>
        <v>#DIV/0!</v>
      </c>
      <c r="AQ554" s="1040" t="e">
        <f>IF($F154="","",$F154*chronic_consumption!AL554/1000/$C$3)</f>
        <v>#DIV/0!</v>
      </c>
      <c r="AR554" s="1040" t="e">
        <f>IF($F154="","",$F154*chronic_consumption!AM554/1000/$C$3)</f>
        <v>#DIV/0!</v>
      </c>
      <c r="AS554" s="1040" t="e">
        <f>IF($F154="","",$F154*chronic_consumption!AN554/1000/$C$3)</f>
        <v>#DIV/0!</v>
      </c>
      <c r="AT554" s="1040" t="e">
        <f>IF($F154="","",$F154*chronic_consumption!AO554/1000/$C$3)</f>
        <v>#DIV/0!</v>
      </c>
      <c r="AU554" s="1040" t="e">
        <f>IF($F154="","",$F154*chronic_consumption!AP554/1000/$C$3)</f>
        <v>#DIV/0!</v>
      </c>
      <c r="AV554" s="1040" t="e">
        <f>IF($F154="","",$F154*chronic_consumption!AQ554/1000/$C$3)</f>
        <v>#DIV/0!</v>
      </c>
      <c r="AW554" s="1040" t="e">
        <f>IF($F154="","",$F154*chronic_consumption!AR554/1000/$C$3)</f>
        <v>#DIV/0!</v>
      </c>
      <c r="AX554" s="1040" t="e">
        <f>IF($F154="","",$F154*chronic_consumption!AS554/1000/$C$3)</f>
        <v>#DIV/0!</v>
      </c>
      <c r="AY554" s="1040" t="e">
        <f>IF($F154="","",$F154*chronic_consumption!AT554/1000/$C$3)</f>
        <v>#DIV/0!</v>
      </c>
      <c r="AZ554" s="44" t="s">
        <v>20</v>
      </c>
      <c r="BC554" s="29"/>
      <c r="BD554" s="29"/>
    </row>
    <row r="555" spans="1:56" ht="12" customHeight="1" outlineLevel="3" x14ac:dyDescent="0.2">
      <c r="A555" s="21">
        <f>acute_overview_children!A155</f>
        <v>4</v>
      </c>
      <c r="B555" s="325">
        <f t="shared" si="43"/>
        <v>243020</v>
      </c>
      <c r="C555" s="325" t="str">
        <f t="shared" si="43"/>
        <v>Kales</v>
      </c>
      <c r="D555" s="135"/>
      <c r="E555" s="1027"/>
      <c r="F555" s="87"/>
      <c r="G555" s="1027"/>
      <c r="H555" s="1029"/>
      <c r="I555" s="1030"/>
      <c r="J555" s="1039" t="e">
        <f>IF($F155="","",$F155*chronic_consumption!E555/1000/$C$3)</f>
        <v>#DIV/0!</v>
      </c>
      <c r="K555" s="1040" t="e">
        <f>IF($F155="","",$F155*chronic_consumption!F555/1000/$C$3)</f>
        <v>#DIV/0!</v>
      </c>
      <c r="L555" s="1040" t="e">
        <f>IF($F155="","",$F155*chronic_consumption!G555/1000/$C$3)</f>
        <v>#DIV/0!</v>
      </c>
      <c r="M555" s="1040" t="e">
        <f>IF($F155="","",$F155*chronic_consumption!H555/1000/$C$3)</f>
        <v>#DIV/0!</v>
      </c>
      <c r="N555" s="1040" t="e">
        <f>IF($F155="","",$F155*chronic_consumption!I555/1000/$C$3)</f>
        <v>#DIV/0!</v>
      </c>
      <c r="O555" s="1040" t="e">
        <f>IF($F155="","",$F155*chronic_consumption!J555/1000/$C$3)</f>
        <v>#DIV/0!</v>
      </c>
      <c r="P555" s="1040" t="e">
        <f>IF($F155="","",$F155*chronic_consumption!K555/1000/$C$3)</f>
        <v>#DIV/0!</v>
      </c>
      <c r="Q555" s="1040" t="e">
        <f>IF($F155="","",$F155*chronic_consumption!L555/1000/$C$3)</f>
        <v>#DIV/0!</v>
      </c>
      <c r="R555" s="1040" t="e">
        <f>IF($F155="","",$F155*chronic_consumption!M555/1000/$C$3)</f>
        <v>#DIV/0!</v>
      </c>
      <c r="S555" s="1040" t="e">
        <f>IF($F155="","",$F155*chronic_consumption!N555/1000/$C$3)</f>
        <v>#DIV/0!</v>
      </c>
      <c r="T555" s="1040" t="e">
        <f>IF($F155="","",$F155*chronic_consumption!O555/1000/$C$3)</f>
        <v>#DIV/0!</v>
      </c>
      <c r="U555" s="1040" t="e">
        <f>IF($F155="","",$F155*chronic_consumption!P555/1000/$C$3)</f>
        <v>#DIV/0!</v>
      </c>
      <c r="V555" s="1040" t="e">
        <f>IF($F155="","",$F155*chronic_consumption!Q555/1000/$C$3)</f>
        <v>#DIV/0!</v>
      </c>
      <c r="W555" s="1040" t="e">
        <f>IF($F155="","",$F155*chronic_consumption!R555/1000/$C$3)</f>
        <v>#DIV/0!</v>
      </c>
      <c r="X555" s="1040" t="e">
        <f>IF($F155="","",$F155*chronic_consumption!S555/1000/$C$3)</f>
        <v>#DIV/0!</v>
      </c>
      <c r="Y555" s="1040" t="e">
        <f>IF($F155="","",$F155*chronic_consumption!T555/1000/$C$3)</f>
        <v>#DIV/0!</v>
      </c>
      <c r="Z555" s="1040" t="e">
        <f>IF($F155="","",$F155*chronic_consumption!U555/1000/$C$3)</f>
        <v>#DIV/0!</v>
      </c>
      <c r="AA555" s="1040" t="e">
        <f>IF($F155="","",$F155*chronic_consumption!V555/1000/$C$3)</f>
        <v>#DIV/0!</v>
      </c>
      <c r="AB555" s="1040" t="e">
        <f>IF($F155="","",$F155*chronic_consumption!W555/1000/$C$3)</f>
        <v>#DIV/0!</v>
      </c>
      <c r="AC555" s="1040" t="e">
        <f>IF($F155="","",$F155*chronic_consumption!X555/1000/$C$3)</f>
        <v>#DIV/0!</v>
      </c>
      <c r="AD555" s="1040" t="e">
        <f>IF($F155="","",$F155*chronic_consumption!Y555/1000/$C$3)</f>
        <v>#DIV/0!</v>
      </c>
      <c r="AE555" s="1040" t="e">
        <f>IF($F155="","",$F155*chronic_consumption!Z555/1000/$C$3)</f>
        <v>#DIV/0!</v>
      </c>
      <c r="AF555" s="1040" t="e">
        <f>IF($F155="","",$F155*chronic_consumption!AA555/1000/$C$3)</f>
        <v>#DIV/0!</v>
      </c>
      <c r="AG555" s="1040" t="e">
        <f>IF($F155="","",$F155*chronic_consumption!AB555/1000/$C$3)</f>
        <v>#DIV/0!</v>
      </c>
      <c r="AH555" s="1040" t="e">
        <f>IF($F155="","",$F155*chronic_consumption!AC555/1000/$C$3)</f>
        <v>#DIV/0!</v>
      </c>
      <c r="AI555" s="1040" t="e">
        <f>IF($F155="","",$F155*chronic_consumption!AD555/1000/$C$3)</f>
        <v>#DIV/0!</v>
      </c>
      <c r="AJ555" s="1040" t="e">
        <f>IF($F155="","",$F155*chronic_consumption!AE555/1000/$C$3)</f>
        <v>#DIV/0!</v>
      </c>
      <c r="AK555" s="1040" t="e">
        <f>IF($F155="","",$F155*chronic_consumption!AF555/1000/$C$3)</f>
        <v>#DIV/0!</v>
      </c>
      <c r="AL555" s="1040" t="e">
        <f>IF($F155="","",$F155*chronic_consumption!AG555/1000/$C$3)</f>
        <v>#DIV/0!</v>
      </c>
      <c r="AM555" s="1040" t="e">
        <f>IF($F155="","",$F155*chronic_consumption!AH555/1000/$C$3)</f>
        <v>#DIV/0!</v>
      </c>
      <c r="AN555" s="1040" t="e">
        <f>IF($F155="","",$F155*chronic_consumption!AI555/1000/$C$3)</f>
        <v>#DIV/0!</v>
      </c>
      <c r="AO555" s="1040" t="e">
        <f>IF($F155="","",$F155*chronic_consumption!AJ555/1000/$C$3)</f>
        <v>#DIV/0!</v>
      </c>
      <c r="AP555" s="1040" t="e">
        <f>IF($F155="","",$F155*chronic_consumption!AK555/1000/$C$3)</f>
        <v>#DIV/0!</v>
      </c>
      <c r="AQ555" s="1040" t="e">
        <f>IF($F155="","",$F155*chronic_consumption!AL555/1000/$C$3)</f>
        <v>#DIV/0!</v>
      </c>
      <c r="AR555" s="1040" t="e">
        <f>IF($F155="","",$F155*chronic_consumption!AM555/1000/$C$3)</f>
        <v>#DIV/0!</v>
      </c>
      <c r="AS555" s="1040" t="e">
        <f>IF($F155="","",$F155*chronic_consumption!AN555/1000/$C$3)</f>
        <v>#DIV/0!</v>
      </c>
      <c r="AT555" s="1040" t="e">
        <f>IF($F155="","",$F155*chronic_consumption!AO555/1000/$C$3)</f>
        <v>#DIV/0!</v>
      </c>
      <c r="AU555" s="1040" t="e">
        <f>IF($F155="","",$F155*chronic_consumption!AP555/1000/$C$3)</f>
        <v>#DIV/0!</v>
      </c>
      <c r="AV555" s="1040" t="e">
        <f>IF($F155="","",$F155*chronic_consumption!AQ555/1000/$C$3)</f>
        <v>#DIV/0!</v>
      </c>
      <c r="AW555" s="1040" t="e">
        <f>IF($F155="","",$F155*chronic_consumption!AR555/1000/$C$3)</f>
        <v>#DIV/0!</v>
      </c>
      <c r="AX555" s="1040" t="e">
        <f>IF($F155="","",$F155*chronic_consumption!AS555/1000/$C$3)</f>
        <v>#DIV/0!</v>
      </c>
      <c r="AY555" s="1040" t="e">
        <f>IF($F155="","",$F155*chronic_consumption!AT555/1000/$C$3)</f>
        <v>#DIV/0!</v>
      </c>
      <c r="AZ555" s="44" t="s">
        <v>20</v>
      </c>
      <c r="BC555" s="29"/>
      <c r="BD555" s="29"/>
    </row>
    <row r="556" spans="1:56" ht="12" customHeight="1" outlineLevel="3" x14ac:dyDescent="0.2">
      <c r="A556" s="21">
        <f>acute_overview_children!A156</f>
        <v>4</v>
      </c>
      <c r="B556" s="325">
        <f t="shared" si="43"/>
        <v>243990</v>
      </c>
      <c r="C556" s="325" t="str">
        <f t="shared" si="43"/>
        <v>Other leafy brassica</v>
      </c>
      <c r="D556" s="135"/>
      <c r="E556" s="1027"/>
      <c r="F556" s="87"/>
      <c r="G556" s="1027"/>
      <c r="H556" s="1029"/>
      <c r="I556" s="1030"/>
      <c r="J556" s="1039" t="e">
        <f>IF($F156="","",$F156*chronic_consumption!E556/1000/$C$3)</f>
        <v>#DIV/0!</v>
      </c>
      <c r="K556" s="1040" t="e">
        <f>IF($F156="","",$F156*chronic_consumption!F556/1000/$C$3)</f>
        <v>#DIV/0!</v>
      </c>
      <c r="L556" s="1040" t="e">
        <f>IF($F156="","",$F156*chronic_consumption!G556/1000/$C$3)</f>
        <v>#DIV/0!</v>
      </c>
      <c r="M556" s="1040" t="e">
        <f>IF($F156="","",$F156*chronic_consumption!H556/1000/$C$3)</f>
        <v>#DIV/0!</v>
      </c>
      <c r="N556" s="1040" t="e">
        <f>IF($F156="","",$F156*chronic_consumption!I556/1000/$C$3)</f>
        <v>#DIV/0!</v>
      </c>
      <c r="O556" s="1040" t="e">
        <f>IF($F156="","",$F156*chronic_consumption!J556/1000/$C$3)</f>
        <v>#DIV/0!</v>
      </c>
      <c r="P556" s="1040" t="e">
        <f>IF($F156="","",$F156*chronic_consumption!K556/1000/$C$3)</f>
        <v>#DIV/0!</v>
      </c>
      <c r="Q556" s="1040" t="e">
        <f>IF($F156="","",$F156*chronic_consumption!L556/1000/$C$3)</f>
        <v>#DIV/0!</v>
      </c>
      <c r="R556" s="1040" t="e">
        <f>IF($F156="","",$F156*chronic_consumption!M556/1000/$C$3)</f>
        <v>#DIV/0!</v>
      </c>
      <c r="S556" s="1040" t="e">
        <f>IF($F156="","",$F156*chronic_consumption!N556/1000/$C$3)</f>
        <v>#DIV/0!</v>
      </c>
      <c r="T556" s="1040" t="e">
        <f>IF($F156="","",$F156*chronic_consumption!O556/1000/$C$3)</f>
        <v>#DIV/0!</v>
      </c>
      <c r="U556" s="1040" t="e">
        <f>IF($F156="","",$F156*chronic_consumption!P556/1000/$C$3)</f>
        <v>#DIV/0!</v>
      </c>
      <c r="V556" s="1040" t="e">
        <f>IF($F156="","",$F156*chronic_consumption!Q556/1000/$C$3)</f>
        <v>#DIV/0!</v>
      </c>
      <c r="W556" s="1040" t="e">
        <f>IF($F156="","",$F156*chronic_consumption!R556/1000/$C$3)</f>
        <v>#DIV/0!</v>
      </c>
      <c r="X556" s="1040" t="e">
        <f>IF($F156="","",$F156*chronic_consumption!S556/1000/$C$3)</f>
        <v>#DIV/0!</v>
      </c>
      <c r="Y556" s="1040" t="e">
        <f>IF($F156="","",$F156*chronic_consumption!T556/1000/$C$3)</f>
        <v>#DIV/0!</v>
      </c>
      <c r="Z556" s="1040" t="e">
        <f>IF($F156="","",$F156*chronic_consumption!U556/1000/$C$3)</f>
        <v>#DIV/0!</v>
      </c>
      <c r="AA556" s="1040" t="e">
        <f>IF($F156="","",$F156*chronic_consumption!V556/1000/$C$3)</f>
        <v>#DIV/0!</v>
      </c>
      <c r="AB556" s="1040" t="e">
        <f>IF($F156="","",$F156*chronic_consumption!W556/1000/$C$3)</f>
        <v>#DIV/0!</v>
      </c>
      <c r="AC556" s="1040" t="e">
        <f>IF($F156="","",$F156*chronic_consumption!X556/1000/$C$3)</f>
        <v>#DIV/0!</v>
      </c>
      <c r="AD556" s="1040" t="e">
        <f>IF($F156="","",$F156*chronic_consumption!Y556/1000/$C$3)</f>
        <v>#DIV/0!</v>
      </c>
      <c r="AE556" s="1040" t="e">
        <f>IF($F156="","",$F156*chronic_consumption!Z556/1000/$C$3)</f>
        <v>#DIV/0!</v>
      </c>
      <c r="AF556" s="1040" t="e">
        <f>IF($F156="","",$F156*chronic_consumption!AA556/1000/$C$3)</f>
        <v>#DIV/0!</v>
      </c>
      <c r="AG556" s="1040" t="e">
        <f>IF($F156="","",$F156*chronic_consumption!AB556/1000/$C$3)</f>
        <v>#DIV/0!</v>
      </c>
      <c r="AH556" s="1040" t="e">
        <f>IF($F156="","",$F156*chronic_consumption!AC556/1000/$C$3)</f>
        <v>#DIV/0!</v>
      </c>
      <c r="AI556" s="1040" t="e">
        <f>IF($F156="","",$F156*chronic_consumption!AD556/1000/$C$3)</f>
        <v>#DIV/0!</v>
      </c>
      <c r="AJ556" s="1040" t="e">
        <f>IF($F156="","",$F156*chronic_consumption!AE556/1000/$C$3)</f>
        <v>#DIV/0!</v>
      </c>
      <c r="AK556" s="1040" t="e">
        <f>IF($F156="","",$F156*chronic_consumption!AF556/1000/$C$3)</f>
        <v>#DIV/0!</v>
      </c>
      <c r="AL556" s="1040" t="e">
        <f>IF($F156="","",$F156*chronic_consumption!AG556/1000/$C$3)</f>
        <v>#DIV/0!</v>
      </c>
      <c r="AM556" s="1040" t="e">
        <f>IF($F156="","",$F156*chronic_consumption!AH556/1000/$C$3)</f>
        <v>#DIV/0!</v>
      </c>
      <c r="AN556" s="1040" t="e">
        <f>IF($F156="","",$F156*chronic_consumption!AI556/1000/$C$3)</f>
        <v>#DIV/0!</v>
      </c>
      <c r="AO556" s="1040" t="e">
        <f>IF($F156="","",$F156*chronic_consumption!AJ556/1000/$C$3)</f>
        <v>#DIV/0!</v>
      </c>
      <c r="AP556" s="1040" t="e">
        <f>IF($F156="","",$F156*chronic_consumption!AK556/1000/$C$3)</f>
        <v>#DIV/0!</v>
      </c>
      <c r="AQ556" s="1040" t="e">
        <f>IF($F156="","",$F156*chronic_consumption!AL556/1000/$C$3)</f>
        <v>#DIV/0!</v>
      </c>
      <c r="AR556" s="1040" t="e">
        <f>IF($F156="","",$F156*chronic_consumption!AM556/1000/$C$3)</f>
        <v>#DIV/0!</v>
      </c>
      <c r="AS556" s="1040" t="e">
        <f>IF($F156="","",$F156*chronic_consumption!AN556/1000/$C$3)</f>
        <v>#DIV/0!</v>
      </c>
      <c r="AT556" s="1040" t="e">
        <f>IF($F156="","",$F156*chronic_consumption!AO556/1000/$C$3)</f>
        <v>#DIV/0!</v>
      </c>
      <c r="AU556" s="1040" t="e">
        <f>IF($F156="","",$F156*chronic_consumption!AP556/1000/$C$3)</f>
        <v>#DIV/0!</v>
      </c>
      <c r="AV556" s="1040" t="e">
        <f>IF($F156="","",$F156*chronic_consumption!AQ556/1000/$C$3)</f>
        <v>#DIV/0!</v>
      </c>
      <c r="AW556" s="1040" t="e">
        <f>IF($F156="","",$F156*chronic_consumption!AR556/1000/$C$3)</f>
        <v>#DIV/0!</v>
      </c>
      <c r="AX556" s="1040" t="e">
        <f>IF($F156="","",$F156*chronic_consumption!AS556/1000/$C$3)</f>
        <v>#DIV/0!</v>
      </c>
      <c r="AY556" s="1040" t="e">
        <f>IF($F156="","",$F156*chronic_consumption!AT556/1000/$C$3)</f>
        <v>#DIV/0!</v>
      </c>
      <c r="AZ556" s="44" t="s">
        <v>20</v>
      </c>
      <c r="BC556" s="29"/>
      <c r="BD556" s="29"/>
    </row>
    <row r="557" spans="1:56" ht="12" customHeight="1" outlineLevel="2" x14ac:dyDescent="0.2">
      <c r="A557" s="341">
        <f>acute_overview_children!A157</f>
        <v>3</v>
      </c>
      <c r="B557" s="1041">
        <f t="shared" si="43"/>
        <v>244000</v>
      </c>
      <c r="C557" s="1041" t="str">
        <f t="shared" si="43"/>
        <v>Kohlrabies</v>
      </c>
      <c r="D557" s="1042"/>
      <c r="E557" s="1027"/>
      <c r="F557" s="87"/>
      <c r="G557" s="1027"/>
      <c r="H557" s="1029"/>
      <c r="I557" s="1030"/>
      <c r="J557" s="1043" t="e">
        <f>IF($F157="","",$F157*chronic_consumption!E557/1000/$C$3)</f>
        <v>#DIV/0!</v>
      </c>
      <c r="K557" s="1044" t="e">
        <f>IF($F157="","",$F157*chronic_consumption!F557/1000/$C$3)</f>
        <v>#DIV/0!</v>
      </c>
      <c r="L557" s="1044" t="e">
        <f>IF($F157="","",$F157*chronic_consumption!G557/1000/$C$3)</f>
        <v>#DIV/0!</v>
      </c>
      <c r="M557" s="1044" t="e">
        <f>IF($F157="","",$F157*chronic_consumption!H557/1000/$C$3)</f>
        <v>#DIV/0!</v>
      </c>
      <c r="N557" s="1044" t="e">
        <f>IF($F157="","",$F157*chronic_consumption!I557/1000/$C$3)</f>
        <v>#DIV/0!</v>
      </c>
      <c r="O557" s="1044" t="e">
        <f>IF($F157="","",$F157*chronic_consumption!J557/1000/$C$3)</f>
        <v>#DIV/0!</v>
      </c>
      <c r="P557" s="1044" t="e">
        <f>IF($F157="","",$F157*chronic_consumption!K557/1000/$C$3)</f>
        <v>#DIV/0!</v>
      </c>
      <c r="Q557" s="1044" t="e">
        <f>IF($F157="","",$F157*chronic_consumption!L557/1000/$C$3)</f>
        <v>#DIV/0!</v>
      </c>
      <c r="R557" s="1044" t="e">
        <f>IF($F157="","",$F157*chronic_consumption!M557/1000/$C$3)</f>
        <v>#DIV/0!</v>
      </c>
      <c r="S557" s="1044" t="e">
        <f>IF($F157="","",$F157*chronic_consumption!N557/1000/$C$3)</f>
        <v>#DIV/0!</v>
      </c>
      <c r="T557" s="1044" t="e">
        <f>IF($F157="","",$F157*chronic_consumption!O557/1000/$C$3)</f>
        <v>#DIV/0!</v>
      </c>
      <c r="U557" s="1044" t="e">
        <f>IF($F157="","",$F157*chronic_consumption!P557/1000/$C$3)</f>
        <v>#DIV/0!</v>
      </c>
      <c r="V557" s="1044" t="e">
        <f>IF($F157="","",$F157*chronic_consumption!Q557/1000/$C$3)</f>
        <v>#DIV/0!</v>
      </c>
      <c r="W557" s="1044" t="e">
        <f>IF($F157="","",$F157*chronic_consumption!R557/1000/$C$3)</f>
        <v>#DIV/0!</v>
      </c>
      <c r="X557" s="1044" t="e">
        <f>IF($F157="","",$F157*chronic_consumption!S557/1000/$C$3)</f>
        <v>#DIV/0!</v>
      </c>
      <c r="Y557" s="1044" t="e">
        <f>IF($F157="","",$F157*chronic_consumption!T557/1000/$C$3)</f>
        <v>#DIV/0!</v>
      </c>
      <c r="Z557" s="1044" t="e">
        <f>IF($F157="","",$F157*chronic_consumption!U557/1000/$C$3)</f>
        <v>#DIV/0!</v>
      </c>
      <c r="AA557" s="1044" t="e">
        <f>IF($F157="","",$F157*chronic_consumption!V557/1000/$C$3)</f>
        <v>#DIV/0!</v>
      </c>
      <c r="AB557" s="1044" t="e">
        <f>IF($F157="","",$F157*chronic_consumption!W557/1000/$C$3)</f>
        <v>#DIV/0!</v>
      </c>
      <c r="AC557" s="1044" t="e">
        <f>IF($F157="","",$F157*chronic_consumption!X557/1000/$C$3)</f>
        <v>#DIV/0!</v>
      </c>
      <c r="AD557" s="1044" t="e">
        <f>IF($F157="","",$F157*chronic_consumption!Y557/1000/$C$3)</f>
        <v>#DIV/0!</v>
      </c>
      <c r="AE557" s="1044" t="e">
        <f>IF($F157="","",$F157*chronic_consumption!Z557/1000/$C$3)</f>
        <v>#DIV/0!</v>
      </c>
      <c r="AF557" s="1044" t="e">
        <f>IF($F157="","",$F157*chronic_consumption!AA557/1000/$C$3)</f>
        <v>#DIV/0!</v>
      </c>
      <c r="AG557" s="1044" t="e">
        <f>IF($F157="","",$F157*chronic_consumption!AB557/1000/$C$3)</f>
        <v>#DIV/0!</v>
      </c>
      <c r="AH557" s="1044" t="e">
        <f>IF($F157="","",$F157*chronic_consumption!AC557/1000/$C$3)</f>
        <v>#DIV/0!</v>
      </c>
      <c r="AI557" s="1044" t="e">
        <f>IF($F157="","",$F157*chronic_consumption!AD557/1000/$C$3)</f>
        <v>#DIV/0!</v>
      </c>
      <c r="AJ557" s="1044" t="e">
        <f>IF($F157="","",$F157*chronic_consumption!AE557/1000/$C$3)</f>
        <v>#DIV/0!</v>
      </c>
      <c r="AK557" s="1044" t="e">
        <f>IF($F157="","",$F157*chronic_consumption!AF557/1000/$C$3)</f>
        <v>#DIV/0!</v>
      </c>
      <c r="AL557" s="1044" t="e">
        <f>IF($F157="","",$F157*chronic_consumption!AG557/1000/$C$3)</f>
        <v>#DIV/0!</v>
      </c>
      <c r="AM557" s="1044" t="e">
        <f>IF($F157="","",$F157*chronic_consumption!AH557/1000/$C$3)</f>
        <v>#DIV/0!</v>
      </c>
      <c r="AN557" s="1044" t="e">
        <f>IF($F157="","",$F157*chronic_consumption!AI557/1000/$C$3)</f>
        <v>#DIV/0!</v>
      </c>
      <c r="AO557" s="1044" t="e">
        <f>IF($F157="","",$F157*chronic_consumption!AJ557/1000/$C$3)</f>
        <v>#DIV/0!</v>
      </c>
      <c r="AP557" s="1044" t="e">
        <f>IF($F157="","",$F157*chronic_consumption!AK557/1000/$C$3)</f>
        <v>#DIV/0!</v>
      </c>
      <c r="AQ557" s="1044" t="e">
        <f>IF($F157="","",$F157*chronic_consumption!AL557/1000/$C$3)</f>
        <v>#DIV/0!</v>
      </c>
      <c r="AR557" s="1044" t="e">
        <f>IF($F157="","",$F157*chronic_consumption!AM557/1000/$C$3)</f>
        <v>#DIV/0!</v>
      </c>
      <c r="AS557" s="1044" t="e">
        <f>IF($F157="","",$F157*chronic_consumption!AN557/1000/$C$3)</f>
        <v>#DIV/0!</v>
      </c>
      <c r="AT557" s="1044" t="e">
        <f>IF($F157="","",$F157*chronic_consumption!AO557/1000/$C$3)</f>
        <v>#DIV/0!</v>
      </c>
      <c r="AU557" s="1044" t="e">
        <f>IF($F157="","",$F157*chronic_consumption!AP557/1000/$C$3)</f>
        <v>#DIV/0!</v>
      </c>
      <c r="AV557" s="1044" t="e">
        <f>IF($F157="","",$F157*chronic_consumption!AQ557/1000/$C$3)</f>
        <v>#DIV/0!</v>
      </c>
      <c r="AW557" s="1044" t="e">
        <f>IF($F157="","",$F157*chronic_consumption!AR557/1000/$C$3)</f>
        <v>#DIV/0!</v>
      </c>
      <c r="AX557" s="1044" t="e">
        <f>IF($F157="","",$F157*chronic_consumption!AS557/1000/$C$3)</f>
        <v>#DIV/0!</v>
      </c>
      <c r="AY557" s="1044" t="e">
        <f>IF($F157="","",$F157*chronic_consumption!AT557/1000/$C$3)</f>
        <v>#DIV/0!</v>
      </c>
      <c r="AZ557" s="44" t="s">
        <v>20</v>
      </c>
      <c r="BC557" s="29"/>
      <c r="BD557" s="29"/>
    </row>
    <row r="558" spans="1:56" ht="12" customHeight="1" outlineLevel="1" x14ac:dyDescent="0.2">
      <c r="A558" s="1033">
        <f>acute_overview_children!A158</f>
        <v>2</v>
      </c>
      <c r="B558" s="1034">
        <f t="shared" si="43"/>
        <v>250000</v>
      </c>
      <c r="C558" s="1034" t="str">
        <f t="shared" si="43"/>
        <v>Leaf vegetables, herbs and edible flowers</v>
      </c>
      <c r="D558" s="1035"/>
      <c r="E558" s="1027"/>
      <c r="F558" s="87"/>
      <c r="G558" s="1027"/>
      <c r="H558" s="1029"/>
      <c r="I558" s="1030"/>
      <c r="J558" s="1037" t="e">
        <f>IF($F158="","",$F158*chronic_consumption!E558/1000/$C$3)</f>
        <v>#DIV/0!</v>
      </c>
      <c r="K558" s="1038" t="e">
        <f>IF($F158="","",$F158*chronic_consumption!F558/1000/$C$3)</f>
        <v>#DIV/0!</v>
      </c>
      <c r="L558" s="1038" t="e">
        <f>IF($F158="","",$F158*chronic_consumption!G558/1000/$C$3)</f>
        <v>#DIV/0!</v>
      </c>
      <c r="M558" s="1038" t="e">
        <f>IF($F158="","",$F158*chronic_consumption!H558/1000/$C$3)</f>
        <v>#DIV/0!</v>
      </c>
      <c r="N558" s="1038" t="e">
        <f>IF($F158="","",$F158*chronic_consumption!I558/1000/$C$3)</f>
        <v>#DIV/0!</v>
      </c>
      <c r="O558" s="1038" t="e">
        <f>IF($F158="","",$F158*chronic_consumption!J558/1000/$C$3)</f>
        <v>#DIV/0!</v>
      </c>
      <c r="P558" s="1038" t="e">
        <f>IF($F158="","",$F158*chronic_consumption!K558/1000/$C$3)</f>
        <v>#DIV/0!</v>
      </c>
      <c r="Q558" s="1038" t="e">
        <f>IF($F158="","",$F158*chronic_consumption!L558/1000/$C$3)</f>
        <v>#DIV/0!</v>
      </c>
      <c r="R558" s="1038" t="e">
        <f>IF($F158="","",$F158*chronic_consumption!M558/1000/$C$3)</f>
        <v>#DIV/0!</v>
      </c>
      <c r="S558" s="1038" t="e">
        <f>IF($F158="","",$F158*chronic_consumption!N558/1000/$C$3)</f>
        <v>#DIV/0!</v>
      </c>
      <c r="T558" s="1038" t="e">
        <f>IF($F158="","",$F158*chronic_consumption!O558/1000/$C$3)</f>
        <v>#DIV/0!</v>
      </c>
      <c r="U558" s="1038" t="e">
        <f>IF($F158="","",$F158*chronic_consumption!P558/1000/$C$3)</f>
        <v>#DIV/0!</v>
      </c>
      <c r="V558" s="1038" t="e">
        <f>IF($F158="","",$F158*chronic_consumption!Q558/1000/$C$3)</f>
        <v>#DIV/0!</v>
      </c>
      <c r="W558" s="1038" t="e">
        <f>IF($F158="","",$F158*chronic_consumption!R558/1000/$C$3)</f>
        <v>#DIV/0!</v>
      </c>
      <c r="X558" s="1038" t="e">
        <f>IF($F158="","",$F158*chronic_consumption!S558/1000/$C$3)</f>
        <v>#DIV/0!</v>
      </c>
      <c r="Y558" s="1038" t="e">
        <f>IF($F158="","",$F158*chronic_consumption!T558/1000/$C$3)</f>
        <v>#DIV/0!</v>
      </c>
      <c r="Z558" s="1038" t="e">
        <f>IF($F158="","",$F158*chronic_consumption!U558/1000/$C$3)</f>
        <v>#DIV/0!</v>
      </c>
      <c r="AA558" s="1038" t="e">
        <f>IF($F158="","",$F158*chronic_consumption!V558/1000/$C$3)</f>
        <v>#DIV/0!</v>
      </c>
      <c r="AB558" s="1038" t="e">
        <f>IF($F158="","",$F158*chronic_consumption!W558/1000/$C$3)</f>
        <v>#DIV/0!</v>
      </c>
      <c r="AC558" s="1038" t="e">
        <f>IF($F158="","",$F158*chronic_consumption!X558/1000/$C$3)</f>
        <v>#DIV/0!</v>
      </c>
      <c r="AD558" s="1038" t="e">
        <f>IF($F158="","",$F158*chronic_consumption!Y558/1000/$C$3)</f>
        <v>#DIV/0!</v>
      </c>
      <c r="AE558" s="1038" t="e">
        <f>IF($F158="","",$F158*chronic_consumption!Z558/1000/$C$3)</f>
        <v>#DIV/0!</v>
      </c>
      <c r="AF558" s="1038" t="e">
        <f>IF($F158="","",$F158*chronic_consumption!AA558/1000/$C$3)</f>
        <v>#DIV/0!</v>
      </c>
      <c r="AG558" s="1038" t="e">
        <f>IF($F158="","",$F158*chronic_consumption!AB558/1000/$C$3)</f>
        <v>#DIV/0!</v>
      </c>
      <c r="AH558" s="1038" t="e">
        <f>IF($F158="","",$F158*chronic_consumption!AC558/1000/$C$3)</f>
        <v>#DIV/0!</v>
      </c>
      <c r="AI558" s="1038" t="e">
        <f>IF($F158="","",$F158*chronic_consumption!AD558/1000/$C$3)</f>
        <v>#DIV/0!</v>
      </c>
      <c r="AJ558" s="1038" t="e">
        <f>IF($F158="","",$F158*chronic_consumption!AE558/1000/$C$3)</f>
        <v>#DIV/0!</v>
      </c>
      <c r="AK558" s="1038" t="e">
        <f>IF($F158="","",$F158*chronic_consumption!AF558/1000/$C$3)</f>
        <v>#DIV/0!</v>
      </c>
      <c r="AL558" s="1038" t="e">
        <f>IF($F158="","",$F158*chronic_consumption!AG558/1000/$C$3)</f>
        <v>#DIV/0!</v>
      </c>
      <c r="AM558" s="1038" t="e">
        <f>IF($F158="","",$F158*chronic_consumption!AH558/1000/$C$3)</f>
        <v>#DIV/0!</v>
      </c>
      <c r="AN558" s="1038" t="e">
        <f>IF($F158="","",$F158*chronic_consumption!AI558/1000/$C$3)</f>
        <v>#DIV/0!</v>
      </c>
      <c r="AO558" s="1038" t="e">
        <f>IF($F158="","",$F158*chronic_consumption!AJ558/1000/$C$3)</f>
        <v>#DIV/0!</v>
      </c>
      <c r="AP558" s="1038" t="e">
        <f>IF($F158="","",$F158*chronic_consumption!AK558/1000/$C$3)</f>
        <v>#DIV/0!</v>
      </c>
      <c r="AQ558" s="1038" t="e">
        <f>IF($F158="","",$F158*chronic_consumption!AL558/1000/$C$3)</f>
        <v>#DIV/0!</v>
      </c>
      <c r="AR558" s="1038" t="e">
        <f>IF($F158="","",$F158*chronic_consumption!AM558/1000/$C$3)</f>
        <v>#DIV/0!</v>
      </c>
      <c r="AS558" s="1038" t="e">
        <f>IF($F158="","",$F158*chronic_consumption!AN558/1000/$C$3)</f>
        <v>#DIV/0!</v>
      </c>
      <c r="AT558" s="1038" t="e">
        <f>IF($F158="","",$F158*chronic_consumption!AO558/1000/$C$3)</f>
        <v>#DIV/0!</v>
      </c>
      <c r="AU558" s="1038" t="e">
        <f>IF($F158="","",$F158*chronic_consumption!AP558/1000/$C$3)</f>
        <v>#DIV/0!</v>
      </c>
      <c r="AV558" s="1038" t="e">
        <f>IF($F158="","",$F158*chronic_consumption!AQ558/1000/$C$3)</f>
        <v>#DIV/0!</v>
      </c>
      <c r="AW558" s="1038" t="e">
        <f>IF($F158="","",$F158*chronic_consumption!AR558/1000/$C$3)</f>
        <v>#DIV/0!</v>
      </c>
      <c r="AX558" s="1038" t="e">
        <f>IF($F158="","",$F158*chronic_consumption!AS558/1000/$C$3)</f>
        <v>#DIV/0!</v>
      </c>
      <c r="AY558" s="1038" t="e">
        <f>IF($F158="","",$F158*chronic_consumption!AT558/1000/$C$3)</f>
        <v>#DIV/0!</v>
      </c>
      <c r="AZ558" s="44" t="s">
        <v>20</v>
      </c>
      <c r="BC558" s="29"/>
      <c r="BD558" s="29"/>
    </row>
    <row r="559" spans="1:56" ht="12" customHeight="1" outlineLevel="2" x14ac:dyDescent="0.2">
      <c r="A559" s="341">
        <f>acute_overview_children!A159</f>
        <v>3</v>
      </c>
      <c r="B559" s="1041">
        <f t="shared" si="43"/>
        <v>251000</v>
      </c>
      <c r="C559" s="1041" t="str">
        <f t="shared" si="43"/>
        <v>Lettuce and other salad plants including Brassicacea</v>
      </c>
      <c r="D559" s="1042"/>
      <c r="E559" s="1027"/>
      <c r="F559" s="87"/>
      <c r="G559" s="1027"/>
      <c r="H559" s="1029"/>
      <c r="I559" s="1030"/>
      <c r="J559" s="1043" t="e">
        <f>IF($F159="","",$F159*chronic_consumption!E559/1000/$C$3)</f>
        <v>#DIV/0!</v>
      </c>
      <c r="K559" s="1044" t="e">
        <f>IF($F159="","",$F159*chronic_consumption!F559/1000/$C$3)</f>
        <v>#DIV/0!</v>
      </c>
      <c r="L559" s="1044" t="e">
        <f>IF($F159="","",$F159*chronic_consumption!G559/1000/$C$3)</f>
        <v>#DIV/0!</v>
      </c>
      <c r="M559" s="1044" t="e">
        <f>IF($F159="","",$F159*chronic_consumption!H559/1000/$C$3)</f>
        <v>#DIV/0!</v>
      </c>
      <c r="N559" s="1044" t="e">
        <f>IF($F159="","",$F159*chronic_consumption!I559/1000/$C$3)</f>
        <v>#DIV/0!</v>
      </c>
      <c r="O559" s="1044" t="e">
        <f>IF($F159="","",$F159*chronic_consumption!J559/1000/$C$3)</f>
        <v>#DIV/0!</v>
      </c>
      <c r="P559" s="1044" t="e">
        <f>IF($F159="","",$F159*chronic_consumption!K559/1000/$C$3)</f>
        <v>#DIV/0!</v>
      </c>
      <c r="Q559" s="1044" t="e">
        <f>IF($F159="","",$F159*chronic_consumption!L559/1000/$C$3)</f>
        <v>#DIV/0!</v>
      </c>
      <c r="R559" s="1044" t="e">
        <f>IF($F159="","",$F159*chronic_consumption!M559/1000/$C$3)</f>
        <v>#DIV/0!</v>
      </c>
      <c r="S559" s="1044" t="e">
        <f>IF($F159="","",$F159*chronic_consumption!N559/1000/$C$3)</f>
        <v>#DIV/0!</v>
      </c>
      <c r="T559" s="1044" t="e">
        <f>IF($F159="","",$F159*chronic_consumption!O559/1000/$C$3)</f>
        <v>#DIV/0!</v>
      </c>
      <c r="U559" s="1044" t="e">
        <f>IF($F159="","",$F159*chronic_consumption!P559/1000/$C$3)</f>
        <v>#DIV/0!</v>
      </c>
      <c r="V559" s="1044" t="e">
        <f>IF($F159="","",$F159*chronic_consumption!Q559/1000/$C$3)</f>
        <v>#DIV/0!</v>
      </c>
      <c r="W559" s="1044" t="e">
        <f>IF($F159="","",$F159*chronic_consumption!R559/1000/$C$3)</f>
        <v>#DIV/0!</v>
      </c>
      <c r="X559" s="1044" t="e">
        <f>IF($F159="","",$F159*chronic_consumption!S559/1000/$C$3)</f>
        <v>#DIV/0!</v>
      </c>
      <c r="Y559" s="1044" t="e">
        <f>IF($F159="","",$F159*chronic_consumption!T559/1000/$C$3)</f>
        <v>#DIV/0!</v>
      </c>
      <c r="Z559" s="1044" t="e">
        <f>IF($F159="","",$F159*chronic_consumption!U559/1000/$C$3)</f>
        <v>#DIV/0!</v>
      </c>
      <c r="AA559" s="1044" t="e">
        <f>IF($F159="","",$F159*chronic_consumption!V559/1000/$C$3)</f>
        <v>#DIV/0!</v>
      </c>
      <c r="AB559" s="1044" t="e">
        <f>IF($F159="","",$F159*chronic_consumption!W559/1000/$C$3)</f>
        <v>#DIV/0!</v>
      </c>
      <c r="AC559" s="1044" t="e">
        <f>IF($F159="","",$F159*chronic_consumption!X559/1000/$C$3)</f>
        <v>#DIV/0!</v>
      </c>
      <c r="AD559" s="1044" t="e">
        <f>IF($F159="","",$F159*chronic_consumption!Y559/1000/$C$3)</f>
        <v>#DIV/0!</v>
      </c>
      <c r="AE559" s="1044" t="e">
        <f>IF($F159="","",$F159*chronic_consumption!Z559/1000/$C$3)</f>
        <v>#DIV/0!</v>
      </c>
      <c r="AF559" s="1044" t="e">
        <f>IF($F159="","",$F159*chronic_consumption!AA559/1000/$C$3)</f>
        <v>#DIV/0!</v>
      </c>
      <c r="AG559" s="1044" t="e">
        <f>IF($F159="","",$F159*chronic_consumption!AB559/1000/$C$3)</f>
        <v>#DIV/0!</v>
      </c>
      <c r="AH559" s="1044" t="e">
        <f>IF($F159="","",$F159*chronic_consumption!AC559/1000/$C$3)</f>
        <v>#DIV/0!</v>
      </c>
      <c r="AI559" s="1044" t="e">
        <f>IF($F159="","",$F159*chronic_consumption!AD559/1000/$C$3)</f>
        <v>#DIV/0!</v>
      </c>
      <c r="AJ559" s="1044" t="e">
        <f>IF($F159="","",$F159*chronic_consumption!AE559/1000/$C$3)</f>
        <v>#DIV/0!</v>
      </c>
      <c r="AK559" s="1044" t="e">
        <f>IF($F159="","",$F159*chronic_consumption!AF559/1000/$C$3)</f>
        <v>#DIV/0!</v>
      </c>
      <c r="AL559" s="1044" t="e">
        <f>IF($F159="","",$F159*chronic_consumption!AG559/1000/$C$3)</f>
        <v>#DIV/0!</v>
      </c>
      <c r="AM559" s="1044" t="e">
        <f>IF($F159="","",$F159*chronic_consumption!AH559/1000/$C$3)</f>
        <v>#DIV/0!</v>
      </c>
      <c r="AN559" s="1044" t="e">
        <f>IF($F159="","",$F159*chronic_consumption!AI559/1000/$C$3)</f>
        <v>#DIV/0!</v>
      </c>
      <c r="AO559" s="1044" t="e">
        <f>IF($F159="","",$F159*chronic_consumption!AJ559/1000/$C$3)</f>
        <v>#DIV/0!</v>
      </c>
      <c r="AP559" s="1044" t="e">
        <f>IF($F159="","",$F159*chronic_consumption!AK559/1000/$C$3)</f>
        <v>#DIV/0!</v>
      </c>
      <c r="AQ559" s="1044" t="e">
        <f>IF($F159="","",$F159*chronic_consumption!AL559/1000/$C$3)</f>
        <v>#DIV/0!</v>
      </c>
      <c r="AR559" s="1044" t="e">
        <f>IF($F159="","",$F159*chronic_consumption!AM559/1000/$C$3)</f>
        <v>#DIV/0!</v>
      </c>
      <c r="AS559" s="1044" t="e">
        <f>IF($F159="","",$F159*chronic_consumption!AN559/1000/$C$3)</f>
        <v>#DIV/0!</v>
      </c>
      <c r="AT559" s="1044" t="e">
        <f>IF($F159="","",$F159*chronic_consumption!AO559/1000/$C$3)</f>
        <v>#DIV/0!</v>
      </c>
      <c r="AU559" s="1044" t="e">
        <f>IF($F159="","",$F159*chronic_consumption!AP559/1000/$C$3)</f>
        <v>#DIV/0!</v>
      </c>
      <c r="AV559" s="1044" t="e">
        <f>IF($F159="","",$F159*chronic_consumption!AQ559/1000/$C$3)</f>
        <v>#DIV/0!</v>
      </c>
      <c r="AW559" s="1044" t="e">
        <f>IF($F159="","",$F159*chronic_consumption!AR559/1000/$C$3)</f>
        <v>#DIV/0!</v>
      </c>
      <c r="AX559" s="1044" t="e">
        <f>IF($F159="","",$F159*chronic_consumption!AS559/1000/$C$3)</f>
        <v>#DIV/0!</v>
      </c>
      <c r="AY559" s="1044" t="e">
        <f>IF($F159="","",$F159*chronic_consumption!AT559/1000/$C$3)</f>
        <v>#DIV/0!</v>
      </c>
      <c r="AZ559" s="44" t="s">
        <v>20</v>
      </c>
      <c r="BC559" s="29"/>
      <c r="BD559" s="29"/>
    </row>
    <row r="560" spans="1:56" ht="12" customHeight="1" outlineLevel="3" x14ac:dyDescent="0.2">
      <c r="A560" s="21">
        <f>acute_overview_children!A160</f>
        <v>4</v>
      </c>
      <c r="B560" s="325">
        <f t="shared" si="43"/>
        <v>251010</v>
      </c>
      <c r="C560" s="325" t="str">
        <f t="shared" si="43"/>
        <v>Lamb's lettuce/corn salads</v>
      </c>
      <c r="D560" s="135"/>
      <c r="E560" s="1027"/>
      <c r="F560" s="87"/>
      <c r="G560" s="1027"/>
      <c r="H560" s="1029"/>
      <c r="I560" s="1030"/>
      <c r="J560" s="1039" t="e">
        <f>IF($F160="","",$F160*chronic_consumption!E560/1000/$C$3)</f>
        <v>#DIV/0!</v>
      </c>
      <c r="K560" s="1040" t="e">
        <f>IF($F160="","",$F160*chronic_consumption!F560/1000/$C$3)</f>
        <v>#DIV/0!</v>
      </c>
      <c r="L560" s="1040" t="e">
        <f>IF($F160="","",$F160*chronic_consumption!G560/1000/$C$3)</f>
        <v>#DIV/0!</v>
      </c>
      <c r="M560" s="1040" t="e">
        <f>IF($F160="","",$F160*chronic_consumption!H560/1000/$C$3)</f>
        <v>#DIV/0!</v>
      </c>
      <c r="N560" s="1040" t="e">
        <f>IF($F160="","",$F160*chronic_consumption!I560/1000/$C$3)</f>
        <v>#DIV/0!</v>
      </c>
      <c r="O560" s="1040" t="e">
        <f>IF($F160="","",$F160*chronic_consumption!J560/1000/$C$3)</f>
        <v>#DIV/0!</v>
      </c>
      <c r="P560" s="1040" t="e">
        <f>IF($F160="","",$F160*chronic_consumption!K560/1000/$C$3)</f>
        <v>#DIV/0!</v>
      </c>
      <c r="Q560" s="1040" t="e">
        <f>IF($F160="","",$F160*chronic_consumption!L560/1000/$C$3)</f>
        <v>#DIV/0!</v>
      </c>
      <c r="R560" s="1040" t="e">
        <f>IF($F160="","",$F160*chronic_consumption!M560/1000/$C$3)</f>
        <v>#DIV/0!</v>
      </c>
      <c r="S560" s="1040" t="e">
        <f>IF($F160="","",$F160*chronic_consumption!N560/1000/$C$3)</f>
        <v>#DIV/0!</v>
      </c>
      <c r="T560" s="1040" t="e">
        <f>IF($F160="","",$F160*chronic_consumption!O560/1000/$C$3)</f>
        <v>#DIV/0!</v>
      </c>
      <c r="U560" s="1040" t="e">
        <f>IF($F160="","",$F160*chronic_consumption!P560/1000/$C$3)</f>
        <v>#DIV/0!</v>
      </c>
      <c r="V560" s="1040" t="e">
        <f>IF($F160="","",$F160*chronic_consumption!Q560/1000/$C$3)</f>
        <v>#DIV/0!</v>
      </c>
      <c r="W560" s="1040" t="e">
        <f>IF($F160="","",$F160*chronic_consumption!R560/1000/$C$3)</f>
        <v>#DIV/0!</v>
      </c>
      <c r="X560" s="1040" t="e">
        <f>IF($F160="","",$F160*chronic_consumption!S560/1000/$C$3)</f>
        <v>#DIV/0!</v>
      </c>
      <c r="Y560" s="1040" t="e">
        <f>IF($F160="","",$F160*chronic_consumption!T560/1000/$C$3)</f>
        <v>#DIV/0!</v>
      </c>
      <c r="Z560" s="1040" t="e">
        <f>IF($F160="","",$F160*chronic_consumption!U560/1000/$C$3)</f>
        <v>#DIV/0!</v>
      </c>
      <c r="AA560" s="1040" t="e">
        <f>IF($F160="","",$F160*chronic_consumption!V560/1000/$C$3)</f>
        <v>#DIV/0!</v>
      </c>
      <c r="AB560" s="1040" t="e">
        <f>IF($F160="","",$F160*chronic_consumption!W560/1000/$C$3)</f>
        <v>#DIV/0!</v>
      </c>
      <c r="AC560" s="1040" t="e">
        <f>IF($F160="","",$F160*chronic_consumption!X560/1000/$C$3)</f>
        <v>#DIV/0!</v>
      </c>
      <c r="AD560" s="1040" t="e">
        <f>IF($F160="","",$F160*chronic_consumption!Y560/1000/$C$3)</f>
        <v>#DIV/0!</v>
      </c>
      <c r="AE560" s="1040" t="e">
        <f>IF($F160="","",$F160*chronic_consumption!Z560/1000/$C$3)</f>
        <v>#DIV/0!</v>
      </c>
      <c r="AF560" s="1040" t="e">
        <f>IF($F160="","",$F160*chronic_consumption!AA560/1000/$C$3)</f>
        <v>#DIV/0!</v>
      </c>
      <c r="AG560" s="1040" t="e">
        <f>IF($F160="","",$F160*chronic_consumption!AB560/1000/$C$3)</f>
        <v>#DIV/0!</v>
      </c>
      <c r="AH560" s="1040" t="e">
        <f>IF($F160="","",$F160*chronic_consumption!AC560/1000/$C$3)</f>
        <v>#DIV/0!</v>
      </c>
      <c r="AI560" s="1040" t="e">
        <f>IF($F160="","",$F160*chronic_consumption!AD560/1000/$C$3)</f>
        <v>#DIV/0!</v>
      </c>
      <c r="AJ560" s="1040" t="e">
        <f>IF($F160="","",$F160*chronic_consumption!AE560/1000/$C$3)</f>
        <v>#DIV/0!</v>
      </c>
      <c r="AK560" s="1040" t="e">
        <f>IF($F160="","",$F160*chronic_consumption!AF560/1000/$C$3)</f>
        <v>#DIV/0!</v>
      </c>
      <c r="AL560" s="1040" t="e">
        <f>IF($F160="","",$F160*chronic_consumption!AG560/1000/$C$3)</f>
        <v>#DIV/0!</v>
      </c>
      <c r="AM560" s="1040" t="e">
        <f>IF($F160="","",$F160*chronic_consumption!AH560/1000/$C$3)</f>
        <v>#DIV/0!</v>
      </c>
      <c r="AN560" s="1040" t="e">
        <f>IF($F160="","",$F160*chronic_consumption!AI560/1000/$C$3)</f>
        <v>#DIV/0!</v>
      </c>
      <c r="AO560" s="1040" t="e">
        <f>IF($F160="","",$F160*chronic_consumption!AJ560/1000/$C$3)</f>
        <v>#DIV/0!</v>
      </c>
      <c r="AP560" s="1040" t="e">
        <f>IF($F160="","",$F160*chronic_consumption!AK560/1000/$C$3)</f>
        <v>#DIV/0!</v>
      </c>
      <c r="AQ560" s="1040" t="e">
        <f>IF($F160="","",$F160*chronic_consumption!AL560/1000/$C$3)</f>
        <v>#DIV/0!</v>
      </c>
      <c r="AR560" s="1040" t="e">
        <f>IF($F160="","",$F160*chronic_consumption!AM560/1000/$C$3)</f>
        <v>#DIV/0!</v>
      </c>
      <c r="AS560" s="1040" t="e">
        <f>IF($F160="","",$F160*chronic_consumption!AN560/1000/$C$3)</f>
        <v>#DIV/0!</v>
      </c>
      <c r="AT560" s="1040" t="e">
        <f>IF($F160="","",$F160*chronic_consumption!AO560/1000/$C$3)</f>
        <v>#DIV/0!</v>
      </c>
      <c r="AU560" s="1040" t="e">
        <f>IF($F160="","",$F160*chronic_consumption!AP560/1000/$C$3)</f>
        <v>#DIV/0!</v>
      </c>
      <c r="AV560" s="1040" t="e">
        <f>IF($F160="","",$F160*chronic_consumption!AQ560/1000/$C$3)</f>
        <v>#DIV/0!</v>
      </c>
      <c r="AW560" s="1040" t="e">
        <f>IF($F160="","",$F160*chronic_consumption!AR560/1000/$C$3)</f>
        <v>#DIV/0!</v>
      </c>
      <c r="AX560" s="1040" t="e">
        <f>IF($F160="","",$F160*chronic_consumption!AS560/1000/$C$3)</f>
        <v>#DIV/0!</v>
      </c>
      <c r="AY560" s="1040" t="e">
        <f>IF($F160="","",$F160*chronic_consumption!AT560/1000/$C$3)</f>
        <v>#DIV/0!</v>
      </c>
      <c r="AZ560" s="44" t="s">
        <v>20</v>
      </c>
      <c r="BC560" s="29"/>
      <c r="BD560" s="29"/>
    </row>
    <row r="561" spans="1:56" ht="12" customHeight="1" outlineLevel="3" x14ac:dyDescent="0.2">
      <c r="A561" s="21">
        <f>acute_overview_children!A161</f>
        <v>4</v>
      </c>
      <c r="B561" s="325">
        <f t="shared" si="43"/>
        <v>251020</v>
      </c>
      <c r="C561" s="325" t="str">
        <f t="shared" si="43"/>
        <v>Lettuces</v>
      </c>
      <c r="D561" s="135"/>
      <c r="E561" s="1027"/>
      <c r="F561" s="87"/>
      <c r="G561" s="1027"/>
      <c r="H561" s="1029"/>
      <c r="I561" s="1030"/>
      <c r="J561" s="1039" t="e">
        <f>IF($F161="","",$F161*chronic_consumption!E561/1000/$C$3)</f>
        <v>#DIV/0!</v>
      </c>
      <c r="K561" s="1040" t="e">
        <f>IF($F161="","",$F161*chronic_consumption!F561/1000/$C$3)</f>
        <v>#DIV/0!</v>
      </c>
      <c r="L561" s="1040" t="e">
        <f>IF($F161="","",$F161*chronic_consumption!G561/1000/$C$3)</f>
        <v>#DIV/0!</v>
      </c>
      <c r="M561" s="1040" t="e">
        <f>IF($F161="","",$F161*chronic_consumption!H561/1000/$C$3)</f>
        <v>#DIV/0!</v>
      </c>
      <c r="N561" s="1040" t="e">
        <f>IF($F161="","",$F161*chronic_consumption!I561/1000/$C$3)</f>
        <v>#DIV/0!</v>
      </c>
      <c r="O561" s="1040" t="e">
        <f>IF($F161="","",$F161*chronic_consumption!J561/1000/$C$3)</f>
        <v>#DIV/0!</v>
      </c>
      <c r="P561" s="1040" t="e">
        <f>IF($F161="","",$F161*chronic_consumption!K561/1000/$C$3)</f>
        <v>#DIV/0!</v>
      </c>
      <c r="Q561" s="1040" t="e">
        <f>IF($F161="","",$F161*chronic_consumption!L561/1000/$C$3)</f>
        <v>#DIV/0!</v>
      </c>
      <c r="R561" s="1040" t="e">
        <f>IF($F161="","",$F161*chronic_consumption!M561/1000/$C$3)</f>
        <v>#DIV/0!</v>
      </c>
      <c r="S561" s="1040" t="e">
        <f>IF($F161="","",$F161*chronic_consumption!N561/1000/$C$3)</f>
        <v>#DIV/0!</v>
      </c>
      <c r="T561" s="1040" t="e">
        <f>IF($F161="","",$F161*chronic_consumption!O561/1000/$C$3)</f>
        <v>#DIV/0!</v>
      </c>
      <c r="U561" s="1040" t="e">
        <f>IF($F161="","",$F161*chronic_consumption!P561/1000/$C$3)</f>
        <v>#DIV/0!</v>
      </c>
      <c r="V561" s="1040" t="e">
        <f>IF($F161="","",$F161*chronic_consumption!Q561/1000/$C$3)</f>
        <v>#DIV/0!</v>
      </c>
      <c r="W561" s="1040" t="e">
        <f>IF($F161="","",$F161*chronic_consumption!R561/1000/$C$3)</f>
        <v>#DIV/0!</v>
      </c>
      <c r="X561" s="1040" t="e">
        <f>IF($F161="","",$F161*chronic_consumption!S561/1000/$C$3)</f>
        <v>#DIV/0!</v>
      </c>
      <c r="Y561" s="1040" t="e">
        <f>IF($F161="","",$F161*chronic_consumption!T561/1000/$C$3)</f>
        <v>#DIV/0!</v>
      </c>
      <c r="Z561" s="1040" t="e">
        <f>IF($F161="","",$F161*chronic_consumption!U561/1000/$C$3)</f>
        <v>#DIV/0!</v>
      </c>
      <c r="AA561" s="1040" t="e">
        <f>IF($F161="","",$F161*chronic_consumption!V561/1000/$C$3)</f>
        <v>#DIV/0!</v>
      </c>
      <c r="AB561" s="1040" t="e">
        <f>IF($F161="","",$F161*chronic_consumption!W561/1000/$C$3)</f>
        <v>#DIV/0!</v>
      </c>
      <c r="AC561" s="1040" t="e">
        <f>IF($F161="","",$F161*chronic_consumption!X561/1000/$C$3)</f>
        <v>#DIV/0!</v>
      </c>
      <c r="AD561" s="1040" t="e">
        <f>IF($F161="","",$F161*chronic_consumption!Y561/1000/$C$3)</f>
        <v>#DIV/0!</v>
      </c>
      <c r="AE561" s="1040" t="e">
        <f>IF($F161="","",$F161*chronic_consumption!Z561/1000/$C$3)</f>
        <v>#DIV/0!</v>
      </c>
      <c r="AF561" s="1040" t="e">
        <f>IF($F161="","",$F161*chronic_consumption!AA561/1000/$C$3)</f>
        <v>#DIV/0!</v>
      </c>
      <c r="AG561" s="1040" t="e">
        <f>IF($F161="","",$F161*chronic_consumption!AB561/1000/$C$3)</f>
        <v>#DIV/0!</v>
      </c>
      <c r="AH561" s="1040" t="e">
        <f>IF($F161="","",$F161*chronic_consumption!AC561/1000/$C$3)</f>
        <v>#DIV/0!</v>
      </c>
      <c r="AI561" s="1040" t="e">
        <f>IF($F161="","",$F161*chronic_consumption!AD561/1000/$C$3)</f>
        <v>#DIV/0!</v>
      </c>
      <c r="AJ561" s="1040" t="e">
        <f>IF($F161="","",$F161*chronic_consumption!AE561/1000/$C$3)</f>
        <v>#DIV/0!</v>
      </c>
      <c r="AK561" s="1040" t="e">
        <f>IF($F161="","",$F161*chronic_consumption!AF561/1000/$C$3)</f>
        <v>#DIV/0!</v>
      </c>
      <c r="AL561" s="1040" t="e">
        <f>IF($F161="","",$F161*chronic_consumption!AG561/1000/$C$3)</f>
        <v>#DIV/0!</v>
      </c>
      <c r="AM561" s="1040" t="e">
        <f>IF($F161="","",$F161*chronic_consumption!AH561/1000/$C$3)</f>
        <v>#DIV/0!</v>
      </c>
      <c r="AN561" s="1040" t="e">
        <f>IF($F161="","",$F161*chronic_consumption!AI561/1000/$C$3)</f>
        <v>#DIV/0!</v>
      </c>
      <c r="AO561" s="1040" t="e">
        <f>IF($F161="","",$F161*chronic_consumption!AJ561/1000/$C$3)</f>
        <v>#DIV/0!</v>
      </c>
      <c r="AP561" s="1040" t="e">
        <f>IF($F161="","",$F161*chronic_consumption!AK561/1000/$C$3)</f>
        <v>#DIV/0!</v>
      </c>
      <c r="AQ561" s="1040" t="e">
        <f>IF($F161="","",$F161*chronic_consumption!AL561/1000/$C$3)</f>
        <v>#DIV/0!</v>
      </c>
      <c r="AR561" s="1040" t="e">
        <f>IF($F161="","",$F161*chronic_consumption!AM561/1000/$C$3)</f>
        <v>#DIV/0!</v>
      </c>
      <c r="AS561" s="1040" t="e">
        <f>IF($F161="","",$F161*chronic_consumption!AN561/1000/$C$3)</f>
        <v>#DIV/0!</v>
      </c>
      <c r="AT561" s="1040" t="e">
        <f>IF($F161="","",$F161*chronic_consumption!AO561/1000/$C$3)</f>
        <v>#DIV/0!</v>
      </c>
      <c r="AU561" s="1040" t="e">
        <f>IF($F161="","",$F161*chronic_consumption!AP561/1000/$C$3)</f>
        <v>#DIV/0!</v>
      </c>
      <c r="AV561" s="1040" t="e">
        <f>IF($F161="","",$F161*chronic_consumption!AQ561/1000/$C$3)</f>
        <v>#DIV/0!</v>
      </c>
      <c r="AW561" s="1040" t="e">
        <f>IF($F161="","",$F161*chronic_consumption!AR561/1000/$C$3)</f>
        <v>#DIV/0!</v>
      </c>
      <c r="AX561" s="1040" t="e">
        <f>IF($F161="","",$F161*chronic_consumption!AS561/1000/$C$3)</f>
        <v>#DIV/0!</v>
      </c>
      <c r="AY561" s="1040" t="e">
        <f>IF($F161="","",$F161*chronic_consumption!AT561/1000/$C$3)</f>
        <v>#DIV/0!</v>
      </c>
      <c r="AZ561" s="44" t="s">
        <v>20</v>
      </c>
      <c r="BC561" s="29"/>
      <c r="BD561" s="29"/>
    </row>
    <row r="562" spans="1:56" ht="12" customHeight="1" outlineLevel="3" x14ac:dyDescent="0.2">
      <c r="A562" s="21">
        <f>acute_overview_children!A162</f>
        <v>4</v>
      </c>
      <c r="B562" s="325">
        <f t="shared" si="43"/>
        <v>251030</v>
      </c>
      <c r="C562" s="325" t="str">
        <f t="shared" si="43"/>
        <v>Escaroles/broad-leaved endives</v>
      </c>
      <c r="D562" s="135"/>
      <c r="E562" s="1027"/>
      <c r="F562" s="87"/>
      <c r="G562" s="1027"/>
      <c r="H562" s="1029"/>
      <c r="I562" s="1030"/>
      <c r="J562" s="1039" t="e">
        <f>IF($F162="","",$F162*chronic_consumption!E562/1000/$C$3)</f>
        <v>#DIV/0!</v>
      </c>
      <c r="K562" s="1040" t="e">
        <f>IF($F162="","",$F162*chronic_consumption!F562/1000/$C$3)</f>
        <v>#DIV/0!</v>
      </c>
      <c r="L562" s="1040" t="e">
        <f>IF($F162="","",$F162*chronic_consumption!G562/1000/$C$3)</f>
        <v>#DIV/0!</v>
      </c>
      <c r="M562" s="1040" t="e">
        <f>IF($F162="","",$F162*chronic_consumption!H562/1000/$C$3)</f>
        <v>#DIV/0!</v>
      </c>
      <c r="N562" s="1040" t="e">
        <f>IF($F162="","",$F162*chronic_consumption!I562/1000/$C$3)</f>
        <v>#DIV/0!</v>
      </c>
      <c r="O562" s="1040" t="e">
        <f>IF($F162="","",$F162*chronic_consumption!J562/1000/$C$3)</f>
        <v>#DIV/0!</v>
      </c>
      <c r="P562" s="1040" t="e">
        <f>IF($F162="","",$F162*chronic_consumption!K562/1000/$C$3)</f>
        <v>#DIV/0!</v>
      </c>
      <c r="Q562" s="1040" t="e">
        <f>IF($F162="","",$F162*chronic_consumption!L562/1000/$C$3)</f>
        <v>#DIV/0!</v>
      </c>
      <c r="R562" s="1040" t="e">
        <f>IF($F162="","",$F162*chronic_consumption!M562/1000/$C$3)</f>
        <v>#DIV/0!</v>
      </c>
      <c r="S562" s="1040" t="e">
        <f>IF($F162="","",$F162*chronic_consumption!N562/1000/$C$3)</f>
        <v>#DIV/0!</v>
      </c>
      <c r="T562" s="1040" t="e">
        <f>IF($F162="","",$F162*chronic_consumption!O562/1000/$C$3)</f>
        <v>#DIV/0!</v>
      </c>
      <c r="U562" s="1040" t="e">
        <f>IF($F162="","",$F162*chronic_consumption!P562/1000/$C$3)</f>
        <v>#DIV/0!</v>
      </c>
      <c r="V562" s="1040" t="e">
        <f>IF($F162="","",$F162*chronic_consumption!Q562/1000/$C$3)</f>
        <v>#DIV/0!</v>
      </c>
      <c r="W562" s="1040" t="e">
        <f>IF($F162="","",$F162*chronic_consumption!R562/1000/$C$3)</f>
        <v>#DIV/0!</v>
      </c>
      <c r="X562" s="1040" t="e">
        <f>IF($F162="","",$F162*chronic_consumption!S562/1000/$C$3)</f>
        <v>#DIV/0!</v>
      </c>
      <c r="Y562" s="1040" t="e">
        <f>IF($F162="","",$F162*chronic_consumption!T562/1000/$C$3)</f>
        <v>#DIV/0!</v>
      </c>
      <c r="Z562" s="1040" t="e">
        <f>IF($F162="","",$F162*chronic_consumption!U562/1000/$C$3)</f>
        <v>#DIV/0!</v>
      </c>
      <c r="AA562" s="1040" t="e">
        <f>IF($F162="","",$F162*chronic_consumption!V562/1000/$C$3)</f>
        <v>#DIV/0!</v>
      </c>
      <c r="AB562" s="1040" t="e">
        <f>IF($F162="","",$F162*chronic_consumption!W562/1000/$C$3)</f>
        <v>#DIV/0!</v>
      </c>
      <c r="AC562" s="1040" t="e">
        <f>IF($F162="","",$F162*chronic_consumption!X562/1000/$C$3)</f>
        <v>#DIV/0!</v>
      </c>
      <c r="AD562" s="1040" t="e">
        <f>IF($F162="","",$F162*chronic_consumption!Y562/1000/$C$3)</f>
        <v>#DIV/0!</v>
      </c>
      <c r="AE562" s="1040" t="e">
        <f>IF($F162="","",$F162*chronic_consumption!Z562/1000/$C$3)</f>
        <v>#DIV/0!</v>
      </c>
      <c r="AF562" s="1040" t="e">
        <f>IF($F162="","",$F162*chronic_consumption!AA562/1000/$C$3)</f>
        <v>#DIV/0!</v>
      </c>
      <c r="AG562" s="1040" t="e">
        <f>IF($F162="","",$F162*chronic_consumption!AB562/1000/$C$3)</f>
        <v>#DIV/0!</v>
      </c>
      <c r="AH562" s="1040" t="e">
        <f>IF($F162="","",$F162*chronic_consumption!AC562/1000/$C$3)</f>
        <v>#DIV/0!</v>
      </c>
      <c r="AI562" s="1040" t="e">
        <f>IF($F162="","",$F162*chronic_consumption!AD562/1000/$C$3)</f>
        <v>#DIV/0!</v>
      </c>
      <c r="AJ562" s="1040" t="e">
        <f>IF($F162="","",$F162*chronic_consumption!AE562/1000/$C$3)</f>
        <v>#DIV/0!</v>
      </c>
      <c r="AK562" s="1040" t="e">
        <f>IF($F162="","",$F162*chronic_consumption!AF562/1000/$C$3)</f>
        <v>#DIV/0!</v>
      </c>
      <c r="AL562" s="1040" t="e">
        <f>IF($F162="","",$F162*chronic_consumption!AG562/1000/$C$3)</f>
        <v>#DIV/0!</v>
      </c>
      <c r="AM562" s="1040" t="e">
        <f>IF($F162="","",$F162*chronic_consumption!AH562/1000/$C$3)</f>
        <v>#DIV/0!</v>
      </c>
      <c r="AN562" s="1040" t="e">
        <f>IF($F162="","",$F162*chronic_consumption!AI562/1000/$C$3)</f>
        <v>#DIV/0!</v>
      </c>
      <c r="AO562" s="1040" t="e">
        <f>IF($F162="","",$F162*chronic_consumption!AJ562/1000/$C$3)</f>
        <v>#DIV/0!</v>
      </c>
      <c r="AP562" s="1040" t="e">
        <f>IF($F162="","",$F162*chronic_consumption!AK562/1000/$C$3)</f>
        <v>#DIV/0!</v>
      </c>
      <c r="AQ562" s="1040" t="e">
        <f>IF($F162="","",$F162*chronic_consumption!AL562/1000/$C$3)</f>
        <v>#DIV/0!</v>
      </c>
      <c r="AR562" s="1040" t="e">
        <f>IF($F162="","",$F162*chronic_consumption!AM562/1000/$C$3)</f>
        <v>#DIV/0!</v>
      </c>
      <c r="AS562" s="1040" t="e">
        <f>IF($F162="","",$F162*chronic_consumption!AN562/1000/$C$3)</f>
        <v>#DIV/0!</v>
      </c>
      <c r="AT562" s="1040" t="e">
        <f>IF($F162="","",$F162*chronic_consumption!AO562/1000/$C$3)</f>
        <v>#DIV/0!</v>
      </c>
      <c r="AU562" s="1040" t="e">
        <f>IF($F162="","",$F162*chronic_consumption!AP562/1000/$C$3)</f>
        <v>#DIV/0!</v>
      </c>
      <c r="AV562" s="1040" t="e">
        <f>IF($F162="","",$F162*chronic_consumption!AQ562/1000/$C$3)</f>
        <v>#DIV/0!</v>
      </c>
      <c r="AW562" s="1040" t="e">
        <f>IF($F162="","",$F162*chronic_consumption!AR562/1000/$C$3)</f>
        <v>#DIV/0!</v>
      </c>
      <c r="AX562" s="1040" t="e">
        <f>IF($F162="","",$F162*chronic_consumption!AS562/1000/$C$3)</f>
        <v>#DIV/0!</v>
      </c>
      <c r="AY562" s="1040" t="e">
        <f>IF($F162="","",$F162*chronic_consumption!AT562/1000/$C$3)</f>
        <v>#DIV/0!</v>
      </c>
      <c r="AZ562" s="44" t="s">
        <v>20</v>
      </c>
      <c r="BC562" s="29"/>
      <c r="BD562" s="29"/>
    </row>
    <row r="563" spans="1:56" ht="12" customHeight="1" outlineLevel="3" x14ac:dyDescent="0.2">
      <c r="A563" s="21">
        <f>acute_overview_children!A163</f>
        <v>4</v>
      </c>
      <c r="B563" s="1045">
        <f t="shared" si="43"/>
        <v>251040</v>
      </c>
      <c r="C563" s="325" t="str">
        <f t="shared" si="43"/>
        <v>Cress and other sprouts and shoots</v>
      </c>
      <c r="D563" s="135"/>
      <c r="E563" s="1027"/>
      <c r="F563" s="87"/>
      <c r="G563" s="1027"/>
      <c r="H563" s="1029"/>
      <c r="I563" s="1030"/>
      <c r="J563" s="1039" t="e">
        <f>IF($F163="","",$F163*chronic_consumption!E563/1000/$C$3)</f>
        <v>#DIV/0!</v>
      </c>
      <c r="K563" s="1040" t="e">
        <f>IF($F163="","",$F163*chronic_consumption!F563/1000/$C$3)</f>
        <v>#DIV/0!</v>
      </c>
      <c r="L563" s="1040" t="e">
        <f>IF($F163="","",$F163*chronic_consumption!G563/1000/$C$3)</f>
        <v>#DIV/0!</v>
      </c>
      <c r="M563" s="1040" t="e">
        <f>IF($F163="","",$F163*chronic_consumption!H563/1000/$C$3)</f>
        <v>#DIV/0!</v>
      </c>
      <c r="N563" s="1040" t="e">
        <f>IF($F163="","",$F163*chronic_consumption!I563/1000/$C$3)</f>
        <v>#DIV/0!</v>
      </c>
      <c r="O563" s="1040" t="e">
        <f>IF($F163="","",$F163*chronic_consumption!J563/1000/$C$3)</f>
        <v>#DIV/0!</v>
      </c>
      <c r="P563" s="1040" t="e">
        <f>IF($F163="","",$F163*chronic_consumption!K563/1000/$C$3)</f>
        <v>#DIV/0!</v>
      </c>
      <c r="Q563" s="1040" t="e">
        <f>IF($F163="","",$F163*chronic_consumption!L563/1000/$C$3)</f>
        <v>#DIV/0!</v>
      </c>
      <c r="R563" s="1040" t="e">
        <f>IF($F163="","",$F163*chronic_consumption!M563/1000/$C$3)</f>
        <v>#DIV/0!</v>
      </c>
      <c r="S563" s="1040" t="e">
        <f>IF($F163="","",$F163*chronic_consumption!N563/1000/$C$3)</f>
        <v>#DIV/0!</v>
      </c>
      <c r="T563" s="1040" t="e">
        <f>IF($F163="","",$F163*chronic_consumption!O563/1000/$C$3)</f>
        <v>#DIV/0!</v>
      </c>
      <c r="U563" s="1040" t="e">
        <f>IF($F163="","",$F163*chronic_consumption!P563/1000/$C$3)</f>
        <v>#DIV/0!</v>
      </c>
      <c r="V563" s="1040" t="e">
        <f>IF($F163="","",$F163*chronic_consumption!Q563/1000/$C$3)</f>
        <v>#DIV/0!</v>
      </c>
      <c r="W563" s="1040" t="e">
        <f>IF($F163="","",$F163*chronic_consumption!R563/1000/$C$3)</f>
        <v>#DIV/0!</v>
      </c>
      <c r="X563" s="1040" t="e">
        <f>IF($F163="","",$F163*chronic_consumption!S563/1000/$C$3)</f>
        <v>#DIV/0!</v>
      </c>
      <c r="Y563" s="1040" t="e">
        <f>IF($F163="","",$F163*chronic_consumption!T563/1000/$C$3)</f>
        <v>#DIV/0!</v>
      </c>
      <c r="Z563" s="1040" t="e">
        <f>IF($F163="","",$F163*chronic_consumption!U563/1000/$C$3)</f>
        <v>#DIV/0!</v>
      </c>
      <c r="AA563" s="1040" t="e">
        <f>IF($F163="","",$F163*chronic_consumption!V563/1000/$C$3)</f>
        <v>#DIV/0!</v>
      </c>
      <c r="AB563" s="1040" t="e">
        <f>IF($F163="","",$F163*chronic_consumption!W563/1000/$C$3)</f>
        <v>#DIV/0!</v>
      </c>
      <c r="AC563" s="1040" t="e">
        <f>IF($F163="","",$F163*chronic_consumption!X563/1000/$C$3)</f>
        <v>#DIV/0!</v>
      </c>
      <c r="AD563" s="1040" t="e">
        <f>IF($F163="","",$F163*chronic_consumption!Y563/1000/$C$3)</f>
        <v>#DIV/0!</v>
      </c>
      <c r="AE563" s="1040" t="e">
        <f>IF($F163="","",$F163*chronic_consumption!Z563/1000/$C$3)</f>
        <v>#DIV/0!</v>
      </c>
      <c r="AF563" s="1040" t="e">
        <f>IF($F163="","",$F163*chronic_consumption!AA563/1000/$C$3)</f>
        <v>#DIV/0!</v>
      </c>
      <c r="AG563" s="1040" t="e">
        <f>IF($F163="","",$F163*chronic_consumption!AB563/1000/$C$3)</f>
        <v>#DIV/0!</v>
      </c>
      <c r="AH563" s="1040" t="e">
        <f>IF($F163="","",$F163*chronic_consumption!AC563/1000/$C$3)</f>
        <v>#DIV/0!</v>
      </c>
      <c r="AI563" s="1040" t="e">
        <f>IF($F163="","",$F163*chronic_consumption!AD563/1000/$C$3)</f>
        <v>#DIV/0!</v>
      </c>
      <c r="AJ563" s="1040" t="e">
        <f>IF($F163="","",$F163*chronic_consumption!AE563/1000/$C$3)</f>
        <v>#DIV/0!</v>
      </c>
      <c r="AK563" s="1040" t="e">
        <f>IF($F163="","",$F163*chronic_consumption!AF563/1000/$C$3)</f>
        <v>#DIV/0!</v>
      </c>
      <c r="AL563" s="1040" t="e">
        <f>IF($F163="","",$F163*chronic_consumption!AG563/1000/$C$3)</f>
        <v>#DIV/0!</v>
      </c>
      <c r="AM563" s="1040" t="e">
        <f>IF($F163="","",$F163*chronic_consumption!AH563/1000/$C$3)</f>
        <v>#DIV/0!</v>
      </c>
      <c r="AN563" s="1040" t="e">
        <f>IF($F163="","",$F163*chronic_consumption!AI563/1000/$C$3)</f>
        <v>#DIV/0!</v>
      </c>
      <c r="AO563" s="1040" t="e">
        <f>IF($F163="","",$F163*chronic_consumption!AJ563/1000/$C$3)</f>
        <v>#DIV/0!</v>
      </c>
      <c r="AP563" s="1040" t="e">
        <f>IF($F163="","",$F163*chronic_consumption!AK563/1000/$C$3)</f>
        <v>#DIV/0!</v>
      </c>
      <c r="AQ563" s="1040" t="e">
        <f>IF($F163="","",$F163*chronic_consumption!AL563/1000/$C$3)</f>
        <v>#DIV/0!</v>
      </c>
      <c r="AR563" s="1040" t="e">
        <f>IF($F163="","",$F163*chronic_consumption!AM563/1000/$C$3)</f>
        <v>#DIV/0!</v>
      </c>
      <c r="AS563" s="1040" t="e">
        <f>IF($F163="","",$F163*chronic_consumption!AN563/1000/$C$3)</f>
        <v>#DIV/0!</v>
      </c>
      <c r="AT563" s="1040" t="e">
        <f>IF($F163="","",$F163*chronic_consumption!AO563/1000/$C$3)</f>
        <v>#DIV/0!</v>
      </c>
      <c r="AU563" s="1040" t="e">
        <f>IF($F163="","",$F163*chronic_consumption!AP563/1000/$C$3)</f>
        <v>#DIV/0!</v>
      </c>
      <c r="AV563" s="1040" t="e">
        <f>IF($F163="","",$F163*chronic_consumption!AQ563/1000/$C$3)</f>
        <v>#DIV/0!</v>
      </c>
      <c r="AW563" s="1040" t="e">
        <f>IF($F163="","",$F163*chronic_consumption!AR563/1000/$C$3)</f>
        <v>#DIV/0!</v>
      </c>
      <c r="AX563" s="1040" t="e">
        <f>IF($F163="","",$F163*chronic_consumption!AS563/1000/$C$3)</f>
        <v>#DIV/0!</v>
      </c>
      <c r="AY563" s="1040" t="e">
        <f>IF($F163="","",$F163*chronic_consumption!AT563/1000/$C$3)</f>
        <v>#DIV/0!</v>
      </c>
      <c r="AZ563" s="44" t="s">
        <v>20</v>
      </c>
      <c r="BC563" s="29"/>
      <c r="BD563" s="29"/>
    </row>
    <row r="564" spans="1:56" ht="12" customHeight="1" outlineLevel="3" x14ac:dyDescent="0.2">
      <c r="A564" s="21">
        <f>acute_overview_children!A164</f>
        <v>4</v>
      </c>
      <c r="B564" s="1045">
        <f t="shared" si="43"/>
        <v>251050</v>
      </c>
      <c r="C564" s="325" t="str">
        <f t="shared" si="43"/>
        <v xml:space="preserve">Land cress </v>
      </c>
      <c r="D564" s="135"/>
      <c r="E564" s="1027"/>
      <c r="F564" s="87"/>
      <c r="G564" s="1027"/>
      <c r="H564" s="1029"/>
      <c r="I564" s="1030"/>
      <c r="J564" s="1039" t="e">
        <f>IF($F164="","",$F164*chronic_consumption!E564/1000/$C$3)</f>
        <v>#DIV/0!</v>
      </c>
      <c r="K564" s="1040" t="e">
        <f>IF($F164="","",$F164*chronic_consumption!F564/1000/$C$3)</f>
        <v>#DIV/0!</v>
      </c>
      <c r="L564" s="1040" t="e">
        <f>IF($F164="","",$F164*chronic_consumption!G564/1000/$C$3)</f>
        <v>#DIV/0!</v>
      </c>
      <c r="M564" s="1040" t="e">
        <f>IF($F164="","",$F164*chronic_consumption!H564/1000/$C$3)</f>
        <v>#DIV/0!</v>
      </c>
      <c r="N564" s="1040" t="e">
        <f>IF($F164="","",$F164*chronic_consumption!I564/1000/$C$3)</f>
        <v>#DIV/0!</v>
      </c>
      <c r="O564" s="1040" t="e">
        <f>IF($F164="","",$F164*chronic_consumption!J564/1000/$C$3)</f>
        <v>#DIV/0!</v>
      </c>
      <c r="P564" s="1040" t="e">
        <f>IF($F164="","",$F164*chronic_consumption!K564/1000/$C$3)</f>
        <v>#DIV/0!</v>
      </c>
      <c r="Q564" s="1040" t="e">
        <f>IF($F164="","",$F164*chronic_consumption!L564/1000/$C$3)</f>
        <v>#DIV/0!</v>
      </c>
      <c r="R564" s="1040" t="e">
        <f>IF($F164="","",$F164*chronic_consumption!M564/1000/$C$3)</f>
        <v>#DIV/0!</v>
      </c>
      <c r="S564" s="1040" t="e">
        <f>IF($F164="","",$F164*chronic_consumption!N564/1000/$C$3)</f>
        <v>#DIV/0!</v>
      </c>
      <c r="T564" s="1040" t="e">
        <f>IF($F164="","",$F164*chronic_consumption!O564/1000/$C$3)</f>
        <v>#DIV/0!</v>
      </c>
      <c r="U564" s="1040" t="e">
        <f>IF($F164="","",$F164*chronic_consumption!P564/1000/$C$3)</f>
        <v>#DIV/0!</v>
      </c>
      <c r="V564" s="1040" t="e">
        <f>IF($F164="","",$F164*chronic_consumption!Q564/1000/$C$3)</f>
        <v>#DIV/0!</v>
      </c>
      <c r="W564" s="1040" t="e">
        <f>IF($F164="","",$F164*chronic_consumption!R564/1000/$C$3)</f>
        <v>#DIV/0!</v>
      </c>
      <c r="X564" s="1040" t="e">
        <f>IF($F164="","",$F164*chronic_consumption!S564/1000/$C$3)</f>
        <v>#DIV/0!</v>
      </c>
      <c r="Y564" s="1040" t="e">
        <f>IF($F164="","",$F164*chronic_consumption!T564/1000/$C$3)</f>
        <v>#DIV/0!</v>
      </c>
      <c r="Z564" s="1040" t="e">
        <f>IF($F164="","",$F164*chronic_consumption!U564/1000/$C$3)</f>
        <v>#DIV/0!</v>
      </c>
      <c r="AA564" s="1040" t="e">
        <f>IF($F164="","",$F164*chronic_consumption!V564/1000/$C$3)</f>
        <v>#DIV/0!</v>
      </c>
      <c r="AB564" s="1040" t="e">
        <f>IF($F164="","",$F164*chronic_consumption!W564/1000/$C$3)</f>
        <v>#DIV/0!</v>
      </c>
      <c r="AC564" s="1040" t="e">
        <f>IF($F164="","",$F164*chronic_consumption!X564/1000/$C$3)</f>
        <v>#DIV/0!</v>
      </c>
      <c r="AD564" s="1040" t="e">
        <f>IF($F164="","",$F164*chronic_consumption!Y564/1000/$C$3)</f>
        <v>#DIV/0!</v>
      </c>
      <c r="AE564" s="1040" t="e">
        <f>IF($F164="","",$F164*chronic_consumption!Z564/1000/$C$3)</f>
        <v>#DIV/0!</v>
      </c>
      <c r="AF564" s="1040" t="e">
        <f>IF($F164="","",$F164*chronic_consumption!AA564/1000/$C$3)</f>
        <v>#DIV/0!</v>
      </c>
      <c r="AG564" s="1040" t="e">
        <f>IF($F164="","",$F164*chronic_consumption!AB564/1000/$C$3)</f>
        <v>#DIV/0!</v>
      </c>
      <c r="AH564" s="1040" t="e">
        <f>IF($F164="","",$F164*chronic_consumption!AC564/1000/$C$3)</f>
        <v>#DIV/0!</v>
      </c>
      <c r="AI564" s="1040" t="e">
        <f>IF($F164="","",$F164*chronic_consumption!AD564/1000/$C$3)</f>
        <v>#DIV/0!</v>
      </c>
      <c r="AJ564" s="1040" t="e">
        <f>IF($F164="","",$F164*chronic_consumption!AE564/1000/$C$3)</f>
        <v>#DIV/0!</v>
      </c>
      <c r="AK564" s="1040" t="e">
        <f>IF($F164="","",$F164*chronic_consumption!AF564/1000/$C$3)</f>
        <v>#DIV/0!</v>
      </c>
      <c r="AL564" s="1040" t="e">
        <f>IF($F164="","",$F164*chronic_consumption!AG564/1000/$C$3)</f>
        <v>#DIV/0!</v>
      </c>
      <c r="AM564" s="1040" t="e">
        <f>IF($F164="","",$F164*chronic_consumption!AH564/1000/$C$3)</f>
        <v>#DIV/0!</v>
      </c>
      <c r="AN564" s="1040" t="e">
        <f>IF($F164="","",$F164*chronic_consumption!AI564/1000/$C$3)</f>
        <v>#DIV/0!</v>
      </c>
      <c r="AO564" s="1040" t="e">
        <f>IF($F164="","",$F164*chronic_consumption!AJ564/1000/$C$3)</f>
        <v>#DIV/0!</v>
      </c>
      <c r="AP564" s="1040" t="e">
        <f>IF($F164="","",$F164*chronic_consumption!AK564/1000/$C$3)</f>
        <v>#DIV/0!</v>
      </c>
      <c r="AQ564" s="1040" t="e">
        <f>IF($F164="","",$F164*chronic_consumption!AL564/1000/$C$3)</f>
        <v>#DIV/0!</v>
      </c>
      <c r="AR564" s="1040" t="e">
        <f>IF($F164="","",$F164*chronic_consumption!AM564/1000/$C$3)</f>
        <v>#DIV/0!</v>
      </c>
      <c r="AS564" s="1040" t="e">
        <f>IF($F164="","",$F164*chronic_consumption!AN564/1000/$C$3)</f>
        <v>#DIV/0!</v>
      </c>
      <c r="AT564" s="1040" t="e">
        <f>IF($F164="","",$F164*chronic_consumption!AO564/1000/$C$3)</f>
        <v>#DIV/0!</v>
      </c>
      <c r="AU564" s="1040" t="e">
        <f>IF($F164="","",$F164*chronic_consumption!AP564/1000/$C$3)</f>
        <v>#DIV/0!</v>
      </c>
      <c r="AV564" s="1040" t="e">
        <f>IF($F164="","",$F164*chronic_consumption!AQ564/1000/$C$3)</f>
        <v>#DIV/0!</v>
      </c>
      <c r="AW564" s="1040" t="e">
        <f>IF($F164="","",$F164*chronic_consumption!AR564/1000/$C$3)</f>
        <v>#DIV/0!</v>
      </c>
      <c r="AX564" s="1040" t="e">
        <f>IF($F164="","",$F164*chronic_consumption!AS564/1000/$C$3)</f>
        <v>#DIV/0!</v>
      </c>
      <c r="AY564" s="1040" t="e">
        <f>IF($F164="","",$F164*chronic_consumption!AT564/1000/$C$3)</f>
        <v>#DIV/0!</v>
      </c>
      <c r="AZ564" s="44" t="s">
        <v>20</v>
      </c>
      <c r="BC564" s="29"/>
      <c r="BD564" s="29"/>
    </row>
    <row r="565" spans="1:56" ht="12" customHeight="1" outlineLevel="3" x14ac:dyDescent="0.2">
      <c r="A565" s="21">
        <f>acute_overview_children!A165</f>
        <v>4</v>
      </c>
      <c r="B565" s="1045">
        <f t="shared" si="43"/>
        <v>251060</v>
      </c>
      <c r="C565" s="325" t="str">
        <f t="shared" si="43"/>
        <v>Roman rocket/rucola</v>
      </c>
      <c r="D565" s="135"/>
      <c r="E565" s="1027"/>
      <c r="F565" s="87"/>
      <c r="G565" s="1027"/>
      <c r="H565" s="1029"/>
      <c r="I565" s="1030"/>
      <c r="J565" s="1039" t="e">
        <f>IF($F165="","",$F165*chronic_consumption!E565/1000/$C$3)</f>
        <v>#DIV/0!</v>
      </c>
      <c r="K565" s="1040" t="e">
        <f>IF($F165="","",$F165*chronic_consumption!F565/1000/$C$3)</f>
        <v>#DIV/0!</v>
      </c>
      <c r="L565" s="1040" t="e">
        <f>IF($F165="","",$F165*chronic_consumption!G565/1000/$C$3)</f>
        <v>#DIV/0!</v>
      </c>
      <c r="M565" s="1040" t="e">
        <f>IF($F165="","",$F165*chronic_consumption!H565/1000/$C$3)</f>
        <v>#DIV/0!</v>
      </c>
      <c r="N565" s="1040" t="e">
        <f>IF($F165="","",$F165*chronic_consumption!I565/1000/$C$3)</f>
        <v>#DIV/0!</v>
      </c>
      <c r="O565" s="1040" t="e">
        <f>IF($F165="","",$F165*chronic_consumption!J565/1000/$C$3)</f>
        <v>#DIV/0!</v>
      </c>
      <c r="P565" s="1040" t="e">
        <f>IF($F165="","",$F165*chronic_consumption!K565/1000/$C$3)</f>
        <v>#DIV/0!</v>
      </c>
      <c r="Q565" s="1040" t="e">
        <f>IF($F165="","",$F165*chronic_consumption!L565/1000/$C$3)</f>
        <v>#DIV/0!</v>
      </c>
      <c r="R565" s="1040" t="e">
        <f>IF($F165="","",$F165*chronic_consumption!M565/1000/$C$3)</f>
        <v>#DIV/0!</v>
      </c>
      <c r="S565" s="1040" t="e">
        <f>IF($F165="","",$F165*chronic_consumption!N565/1000/$C$3)</f>
        <v>#DIV/0!</v>
      </c>
      <c r="T565" s="1040" t="e">
        <f>IF($F165="","",$F165*chronic_consumption!O565/1000/$C$3)</f>
        <v>#DIV/0!</v>
      </c>
      <c r="U565" s="1040" t="e">
        <f>IF($F165="","",$F165*chronic_consumption!P565/1000/$C$3)</f>
        <v>#DIV/0!</v>
      </c>
      <c r="V565" s="1040" t="e">
        <f>IF($F165="","",$F165*chronic_consumption!Q565/1000/$C$3)</f>
        <v>#DIV/0!</v>
      </c>
      <c r="W565" s="1040" t="e">
        <f>IF($F165="","",$F165*chronic_consumption!R565/1000/$C$3)</f>
        <v>#DIV/0!</v>
      </c>
      <c r="X565" s="1040" t="e">
        <f>IF($F165="","",$F165*chronic_consumption!S565/1000/$C$3)</f>
        <v>#DIV/0!</v>
      </c>
      <c r="Y565" s="1040" t="e">
        <f>IF($F165="","",$F165*chronic_consumption!T565/1000/$C$3)</f>
        <v>#DIV/0!</v>
      </c>
      <c r="Z565" s="1040" t="e">
        <f>IF($F165="","",$F165*chronic_consumption!U565/1000/$C$3)</f>
        <v>#DIV/0!</v>
      </c>
      <c r="AA565" s="1040" t="e">
        <f>IF($F165="","",$F165*chronic_consumption!V565/1000/$C$3)</f>
        <v>#DIV/0!</v>
      </c>
      <c r="AB565" s="1040" t="e">
        <f>IF($F165="","",$F165*chronic_consumption!W565/1000/$C$3)</f>
        <v>#DIV/0!</v>
      </c>
      <c r="AC565" s="1040" t="e">
        <f>IF($F165="","",$F165*chronic_consumption!X565/1000/$C$3)</f>
        <v>#DIV/0!</v>
      </c>
      <c r="AD565" s="1040" t="e">
        <f>IF($F165="","",$F165*chronic_consumption!Y565/1000/$C$3)</f>
        <v>#DIV/0!</v>
      </c>
      <c r="AE565" s="1040" t="e">
        <f>IF($F165="","",$F165*chronic_consumption!Z565/1000/$C$3)</f>
        <v>#DIV/0!</v>
      </c>
      <c r="AF565" s="1040" t="e">
        <f>IF($F165="","",$F165*chronic_consumption!AA565/1000/$C$3)</f>
        <v>#DIV/0!</v>
      </c>
      <c r="AG565" s="1040" t="e">
        <f>IF($F165="","",$F165*chronic_consumption!AB565/1000/$C$3)</f>
        <v>#DIV/0!</v>
      </c>
      <c r="AH565" s="1040" t="e">
        <f>IF($F165="","",$F165*chronic_consumption!AC565/1000/$C$3)</f>
        <v>#DIV/0!</v>
      </c>
      <c r="AI565" s="1040" t="e">
        <f>IF($F165="","",$F165*chronic_consumption!AD565/1000/$C$3)</f>
        <v>#DIV/0!</v>
      </c>
      <c r="AJ565" s="1040" t="e">
        <f>IF($F165="","",$F165*chronic_consumption!AE565/1000/$C$3)</f>
        <v>#DIV/0!</v>
      </c>
      <c r="AK565" s="1040" t="e">
        <f>IF($F165="","",$F165*chronic_consumption!AF565/1000/$C$3)</f>
        <v>#DIV/0!</v>
      </c>
      <c r="AL565" s="1040" t="e">
        <f>IF($F165="","",$F165*chronic_consumption!AG565/1000/$C$3)</f>
        <v>#DIV/0!</v>
      </c>
      <c r="AM565" s="1040" t="e">
        <f>IF($F165="","",$F165*chronic_consumption!AH565/1000/$C$3)</f>
        <v>#DIV/0!</v>
      </c>
      <c r="AN565" s="1040" t="e">
        <f>IF($F165="","",$F165*chronic_consumption!AI565/1000/$C$3)</f>
        <v>#DIV/0!</v>
      </c>
      <c r="AO565" s="1040" t="e">
        <f>IF($F165="","",$F165*chronic_consumption!AJ565/1000/$C$3)</f>
        <v>#DIV/0!</v>
      </c>
      <c r="AP565" s="1040" t="e">
        <f>IF($F165="","",$F165*chronic_consumption!AK565/1000/$C$3)</f>
        <v>#DIV/0!</v>
      </c>
      <c r="AQ565" s="1040" t="e">
        <f>IF($F165="","",$F165*chronic_consumption!AL565/1000/$C$3)</f>
        <v>#DIV/0!</v>
      </c>
      <c r="AR565" s="1040" t="e">
        <f>IF($F165="","",$F165*chronic_consumption!AM565/1000/$C$3)</f>
        <v>#DIV/0!</v>
      </c>
      <c r="AS565" s="1040" t="e">
        <f>IF($F165="","",$F165*chronic_consumption!AN565/1000/$C$3)</f>
        <v>#DIV/0!</v>
      </c>
      <c r="AT565" s="1040" t="e">
        <f>IF($F165="","",$F165*chronic_consumption!AO565/1000/$C$3)</f>
        <v>#DIV/0!</v>
      </c>
      <c r="AU565" s="1040" t="e">
        <f>IF($F165="","",$F165*chronic_consumption!AP565/1000/$C$3)</f>
        <v>#DIV/0!</v>
      </c>
      <c r="AV565" s="1040" t="e">
        <f>IF($F165="","",$F165*chronic_consumption!AQ565/1000/$C$3)</f>
        <v>#DIV/0!</v>
      </c>
      <c r="AW565" s="1040" t="e">
        <f>IF($F165="","",$F165*chronic_consumption!AR565/1000/$C$3)</f>
        <v>#DIV/0!</v>
      </c>
      <c r="AX565" s="1040" t="e">
        <f>IF($F165="","",$F165*chronic_consumption!AS565/1000/$C$3)</f>
        <v>#DIV/0!</v>
      </c>
      <c r="AY565" s="1040" t="e">
        <f>IF($F165="","",$F165*chronic_consumption!AT565/1000/$C$3)</f>
        <v>#DIV/0!</v>
      </c>
      <c r="AZ565" s="44" t="s">
        <v>20</v>
      </c>
      <c r="BC565" s="29"/>
      <c r="BD565" s="29"/>
    </row>
    <row r="566" spans="1:56" ht="12" customHeight="1" outlineLevel="3" x14ac:dyDescent="0.2">
      <c r="A566" s="21">
        <f>acute_overview_children!A166</f>
        <v>4</v>
      </c>
      <c r="B566" s="1045">
        <f t="shared" si="43"/>
        <v>251070</v>
      </c>
      <c r="C566" s="325" t="str">
        <f t="shared" si="43"/>
        <v>Red mustards</v>
      </c>
      <c r="D566" s="135"/>
      <c r="E566" s="1027"/>
      <c r="F566" s="87"/>
      <c r="G566" s="1027"/>
      <c r="H566" s="1029"/>
      <c r="I566" s="1030"/>
      <c r="J566" s="1039" t="e">
        <f>IF($F166="","",$F166*chronic_consumption!E566/1000/$C$3)</f>
        <v>#DIV/0!</v>
      </c>
      <c r="K566" s="1040" t="e">
        <f>IF($F166="","",$F166*chronic_consumption!F566/1000/$C$3)</f>
        <v>#DIV/0!</v>
      </c>
      <c r="L566" s="1040" t="e">
        <f>IF($F166="","",$F166*chronic_consumption!G566/1000/$C$3)</f>
        <v>#DIV/0!</v>
      </c>
      <c r="M566" s="1040" t="e">
        <f>IF($F166="","",$F166*chronic_consumption!H566/1000/$C$3)</f>
        <v>#DIV/0!</v>
      </c>
      <c r="N566" s="1040" t="e">
        <f>IF($F166="","",$F166*chronic_consumption!I566/1000/$C$3)</f>
        <v>#DIV/0!</v>
      </c>
      <c r="O566" s="1040" t="e">
        <f>IF($F166="","",$F166*chronic_consumption!J566/1000/$C$3)</f>
        <v>#DIV/0!</v>
      </c>
      <c r="P566" s="1040" t="e">
        <f>IF($F166="","",$F166*chronic_consumption!K566/1000/$C$3)</f>
        <v>#DIV/0!</v>
      </c>
      <c r="Q566" s="1040" t="e">
        <f>IF($F166="","",$F166*chronic_consumption!L566/1000/$C$3)</f>
        <v>#DIV/0!</v>
      </c>
      <c r="R566" s="1040" t="e">
        <f>IF($F166="","",$F166*chronic_consumption!M566/1000/$C$3)</f>
        <v>#DIV/0!</v>
      </c>
      <c r="S566" s="1040" t="e">
        <f>IF($F166="","",$F166*chronic_consumption!N566/1000/$C$3)</f>
        <v>#DIV/0!</v>
      </c>
      <c r="T566" s="1040" t="e">
        <f>IF($F166="","",$F166*chronic_consumption!O566/1000/$C$3)</f>
        <v>#DIV/0!</v>
      </c>
      <c r="U566" s="1040" t="e">
        <f>IF($F166="","",$F166*chronic_consumption!P566/1000/$C$3)</f>
        <v>#DIV/0!</v>
      </c>
      <c r="V566" s="1040" t="e">
        <f>IF($F166="","",$F166*chronic_consumption!Q566/1000/$C$3)</f>
        <v>#DIV/0!</v>
      </c>
      <c r="W566" s="1040" t="e">
        <f>IF($F166="","",$F166*chronic_consumption!R566/1000/$C$3)</f>
        <v>#DIV/0!</v>
      </c>
      <c r="X566" s="1040" t="e">
        <f>IF($F166="","",$F166*chronic_consumption!S566/1000/$C$3)</f>
        <v>#DIV/0!</v>
      </c>
      <c r="Y566" s="1040" t="e">
        <f>IF($F166="","",$F166*chronic_consumption!T566/1000/$C$3)</f>
        <v>#DIV/0!</v>
      </c>
      <c r="Z566" s="1040" t="e">
        <f>IF($F166="","",$F166*chronic_consumption!U566/1000/$C$3)</f>
        <v>#DIV/0!</v>
      </c>
      <c r="AA566" s="1040" t="e">
        <f>IF($F166="","",$F166*chronic_consumption!V566/1000/$C$3)</f>
        <v>#DIV/0!</v>
      </c>
      <c r="AB566" s="1040" t="e">
        <f>IF($F166="","",$F166*chronic_consumption!W566/1000/$C$3)</f>
        <v>#DIV/0!</v>
      </c>
      <c r="AC566" s="1040" t="e">
        <f>IF($F166="","",$F166*chronic_consumption!X566/1000/$C$3)</f>
        <v>#DIV/0!</v>
      </c>
      <c r="AD566" s="1040" t="e">
        <f>IF($F166="","",$F166*chronic_consumption!Y566/1000/$C$3)</f>
        <v>#DIV/0!</v>
      </c>
      <c r="AE566" s="1040" t="e">
        <f>IF($F166="","",$F166*chronic_consumption!Z566/1000/$C$3)</f>
        <v>#DIV/0!</v>
      </c>
      <c r="AF566" s="1040" t="e">
        <f>IF($F166="","",$F166*chronic_consumption!AA566/1000/$C$3)</f>
        <v>#DIV/0!</v>
      </c>
      <c r="AG566" s="1040" t="e">
        <f>IF($F166="","",$F166*chronic_consumption!AB566/1000/$C$3)</f>
        <v>#DIV/0!</v>
      </c>
      <c r="AH566" s="1040" t="e">
        <f>IF($F166="","",$F166*chronic_consumption!AC566/1000/$C$3)</f>
        <v>#DIV/0!</v>
      </c>
      <c r="AI566" s="1040" t="e">
        <f>IF($F166="","",$F166*chronic_consumption!AD566/1000/$C$3)</f>
        <v>#DIV/0!</v>
      </c>
      <c r="AJ566" s="1040" t="e">
        <f>IF($F166="","",$F166*chronic_consumption!AE566/1000/$C$3)</f>
        <v>#DIV/0!</v>
      </c>
      <c r="AK566" s="1040" t="e">
        <f>IF($F166="","",$F166*chronic_consumption!AF566/1000/$C$3)</f>
        <v>#DIV/0!</v>
      </c>
      <c r="AL566" s="1040" t="e">
        <f>IF($F166="","",$F166*chronic_consumption!AG566/1000/$C$3)</f>
        <v>#DIV/0!</v>
      </c>
      <c r="AM566" s="1040" t="e">
        <f>IF($F166="","",$F166*chronic_consumption!AH566/1000/$C$3)</f>
        <v>#DIV/0!</v>
      </c>
      <c r="AN566" s="1040" t="e">
        <f>IF($F166="","",$F166*chronic_consumption!AI566/1000/$C$3)</f>
        <v>#DIV/0!</v>
      </c>
      <c r="AO566" s="1040" t="e">
        <f>IF($F166="","",$F166*chronic_consumption!AJ566/1000/$C$3)</f>
        <v>#DIV/0!</v>
      </c>
      <c r="AP566" s="1040" t="e">
        <f>IF($F166="","",$F166*chronic_consumption!AK566/1000/$C$3)</f>
        <v>#DIV/0!</v>
      </c>
      <c r="AQ566" s="1040" t="e">
        <f>IF($F166="","",$F166*chronic_consumption!AL566/1000/$C$3)</f>
        <v>#DIV/0!</v>
      </c>
      <c r="AR566" s="1040" t="e">
        <f>IF($F166="","",$F166*chronic_consumption!AM566/1000/$C$3)</f>
        <v>#DIV/0!</v>
      </c>
      <c r="AS566" s="1040" t="e">
        <f>IF($F166="","",$F166*chronic_consumption!AN566/1000/$C$3)</f>
        <v>#DIV/0!</v>
      </c>
      <c r="AT566" s="1040" t="e">
        <f>IF($F166="","",$F166*chronic_consumption!AO566/1000/$C$3)</f>
        <v>#DIV/0!</v>
      </c>
      <c r="AU566" s="1040" t="e">
        <f>IF($F166="","",$F166*chronic_consumption!AP566/1000/$C$3)</f>
        <v>#DIV/0!</v>
      </c>
      <c r="AV566" s="1040" t="e">
        <f>IF($F166="","",$F166*chronic_consumption!AQ566/1000/$C$3)</f>
        <v>#DIV/0!</v>
      </c>
      <c r="AW566" s="1040" t="e">
        <f>IF($F166="","",$F166*chronic_consumption!AR566/1000/$C$3)</f>
        <v>#DIV/0!</v>
      </c>
      <c r="AX566" s="1040" t="e">
        <f>IF($F166="","",$F166*chronic_consumption!AS566/1000/$C$3)</f>
        <v>#DIV/0!</v>
      </c>
      <c r="AY566" s="1040" t="e">
        <f>IF($F166="","",$F166*chronic_consumption!AT566/1000/$C$3)</f>
        <v>#DIV/0!</v>
      </c>
      <c r="AZ566" s="44" t="s">
        <v>20</v>
      </c>
      <c r="BC566" s="29"/>
      <c r="BD566" s="29"/>
    </row>
    <row r="567" spans="1:56" ht="12" customHeight="1" outlineLevel="3" x14ac:dyDescent="0.2">
      <c r="A567" s="21">
        <f>acute_overview_children!A167</f>
        <v>4</v>
      </c>
      <c r="B567" s="1045">
        <f t="shared" si="43"/>
        <v>251080</v>
      </c>
      <c r="C567" s="325" t="str">
        <f t="shared" si="43"/>
        <v>Baby leaf crops (including brassica species)</v>
      </c>
      <c r="D567" s="135"/>
      <c r="E567" s="1027"/>
      <c r="F567" s="87"/>
      <c r="G567" s="1027"/>
      <c r="H567" s="1029"/>
      <c r="I567" s="1030"/>
      <c r="J567" s="1039" t="e">
        <f>IF($F167="","",$F167*chronic_consumption!E567/1000/$C$3)</f>
        <v>#DIV/0!</v>
      </c>
      <c r="K567" s="1040" t="e">
        <f>IF($F167="","",$F167*chronic_consumption!F567/1000/$C$3)</f>
        <v>#DIV/0!</v>
      </c>
      <c r="L567" s="1040" t="e">
        <f>IF($F167="","",$F167*chronic_consumption!G567/1000/$C$3)</f>
        <v>#DIV/0!</v>
      </c>
      <c r="M567" s="1040" t="e">
        <f>IF($F167="","",$F167*chronic_consumption!H567/1000/$C$3)</f>
        <v>#DIV/0!</v>
      </c>
      <c r="N567" s="1040" t="e">
        <f>IF($F167="","",$F167*chronic_consumption!I567/1000/$C$3)</f>
        <v>#DIV/0!</v>
      </c>
      <c r="O567" s="1040" t="e">
        <f>IF($F167="","",$F167*chronic_consumption!J567/1000/$C$3)</f>
        <v>#DIV/0!</v>
      </c>
      <c r="P567" s="1040" t="e">
        <f>IF($F167="","",$F167*chronic_consumption!K567/1000/$C$3)</f>
        <v>#DIV/0!</v>
      </c>
      <c r="Q567" s="1040" t="e">
        <f>IF($F167="","",$F167*chronic_consumption!L567/1000/$C$3)</f>
        <v>#DIV/0!</v>
      </c>
      <c r="R567" s="1040" t="e">
        <f>IF($F167="","",$F167*chronic_consumption!M567/1000/$C$3)</f>
        <v>#DIV/0!</v>
      </c>
      <c r="S567" s="1040" t="e">
        <f>IF($F167="","",$F167*chronic_consumption!N567/1000/$C$3)</f>
        <v>#DIV/0!</v>
      </c>
      <c r="T567" s="1040" t="e">
        <f>IF($F167="","",$F167*chronic_consumption!O567/1000/$C$3)</f>
        <v>#DIV/0!</v>
      </c>
      <c r="U567" s="1040" t="e">
        <f>IF($F167="","",$F167*chronic_consumption!P567/1000/$C$3)</f>
        <v>#DIV/0!</v>
      </c>
      <c r="V567" s="1040" t="e">
        <f>IF($F167="","",$F167*chronic_consumption!Q567/1000/$C$3)</f>
        <v>#DIV/0!</v>
      </c>
      <c r="W567" s="1040" t="e">
        <f>IF($F167="","",$F167*chronic_consumption!R567/1000/$C$3)</f>
        <v>#DIV/0!</v>
      </c>
      <c r="X567" s="1040" t="e">
        <f>IF($F167="","",$F167*chronic_consumption!S567/1000/$C$3)</f>
        <v>#DIV/0!</v>
      </c>
      <c r="Y567" s="1040" t="e">
        <f>IF($F167="","",$F167*chronic_consumption!T567/1000/$C$3)</f>
        <v>#DIV/0!</v>
      </c>
      <c r="Z567" s="1040" t="e">
        <f>IF($F167="","",$F167*chronic_consumption!U567/1000/$C$3)</f>
        <v>#DIV/0!</v>
      </c>
      <c r="AA567" s="1040" t="e">
        <f>IF($F167="","",$F167*chronic_consumption!V567/1000/$C$3)</f>
        <v>#DIV/0!</v>
      </c>
      <c r="AB567" s="1040" t="e">
        <f>IF($F167="","",$F167*chronic_consumption!W567/1000/$C$3)</f>
        <v>#DIV/0!</v>
      </c>
      <c r="AC567" s="1040" t="e">
        <f>IF($F167="","",$F167*chronic_consumption!X567/1000/$C$3)</f>
        <v>#DIV/0!</v>
      </c>
      <c r="AD567" s="1040" t="e">
        <f>IF($F167="","",$F167*chronic_consumption!Y567/1000/$C$3)</f>
        <v>#DIV/0!</v>
      </c>
      <c r="AE567" s="1040" t="e">
        <f>IF($F167="","",$F167*chronic_consumption!Z567/1000/$C$3)</f>
        <v>#DIV/0!</v>
      </c>
      <c r="AF567" s="1040" t="e">
        <f>IF($F167="","",$F167*chronic_consumption!AA567/1000/$C$3)</f>
        <v>#DIV/0!</v>
      </c>
      <c r="AG567" s="1040" t="e">
        <f>IF($F167="","",$F167*chronic_consumption!AB567/1000/$C$3)</f>
        <v>#DIV/0!</v>
      </c>
      <c r="AH567" s="1040" t="e">
        <f>IF($F167="","",$F167*chronic_consumption!AC567/1000/$C$3)</f>
        <v>#DIV/0!</v>
      </c>
      <c r="AI567" s="1040" t="e">
        <f>IF($F167="","",$F167*chronic_consumption!AD567/1000/$C$3)</f>
        <v>#DIV/0!</v>
      </c>
      <c r="AJ567" s="1040" t="e">
        <f>IF($F167="","",$F167*chronic_consumption!AE567/1000/$C$3)</f>
        <v>#DIV/0!</v>
      </c>
      <c r="AK567" s="1040" t="e">
        <f>IF($F167="","",$F167*chronic_consumption!AF567/1000/$C$3)</f>
        <v>#DIV/0!</v>
      </c>
      <c r="AL567" s="1040" t="e">
        <f>IF($F167="","",$F167*chronic_consumption!AG567/1000/$C$3)</f>
        <v>#DIV/0!</v>
      </c>
      <c r="AM567" s="1040" t="e">
        <f>IF($F167="","",$F167*chronic_consumption!AH567/1000/$C$3)</f>
        <v>#DIV/0!</v>
      </c>
      <c r="AN567" s="1040" t="e">
        <f>IF($F167="","",$F167*chronic_consumption!AI567/1000/$C$3)</f>
        <v>#DIV/0!</v>
      </c>
      <c r="AO567" s="1040" t="e">
        <f>IF($F167="","",$F167*chronic_consumption!AJ567/1000/$C$3)</f>
        <v>#DIV/0!</v>
      </c>
      <c r="AP567" s="1040" t="e">
        <f>IF($F167="","",$F167*chronic_consumption!AK567/1000/$C$3)</f>
        <v>#DIV/0!</v>
      </c>
      <c r="AQ567" s="1040" t="e">
        <f>IF($F167="","",$F167*chronic_consumption!AL567/1000/$C$3)</f>
        <v>#DIV/0!</v>
      </c>
      <c r="AR567" s="1040" t="e">
        <f>IF($F167="","",$F167*chronic_consumption!AM567/1000/$C$3)</f>
        <v>#DIV/0!</v>
      </c>
      <c r="AS567" s="1040" t="e">
        <f>IF($F167="","",$F167*chronic_consumption!AN567/1000/$C$3)</f>
        <v>#DIV/0!</v>
      </c>
      <c r="AT567" s="1040" t="e">
        <f>IF($F167="","",$F167*chronic_consumption!AO567/1000/$C$3)</f>
        <v>#DIV/0!</v>
      </c>
      <c r="AU567" s="1040" t="e">
        <f>IF($F167="","",$F167*chronic_consumption!AP567/1000/$C$3)</f>
        <v>#DIV/0!</v>
      </c>
      <c r="AV567" s="1040" t="e">
        <f>IF($F167="","",$F167*chronic_consumption!AQ567/1000/$C$3)</f>
        <v>#DIV/0!</v>
      </c>
      <c r="AW567" s="1040" t="e">
        <f>IF($F167="","",$F167*chronic_consumption!AR567/1000/$C$3)</f>
        <v>#DIV/0!</v>
      </c>
      <c r="AX567" s="1040" t="e">
        <f>IF($F167="","",$F167*chronic_consumption!AS567/1000/$C$3)</f>
        <v>#DIV/0!</v>
      </c>
      <c r="AY567" s="1040" t="e">
        <f>IF($F167="","",$F167*chronic_consumption!AT567/1000/$C$3)</f>
        <v>#DIV/0!</v>
      </c>
      <c r="AZ567" s="44" t="s">
        <v>20</v>
      </c>
      <c r="BC567" s="29"/>
      <c r="BD567" s="29"/>
    </row>
    <row r="568" spans="1:56" ht="12" customHeight="1" outlineLevel="3" x14ac:dyDescent="0.2">
      <c r="A568" s="21">
        <f>acute_overview_children!A168</f>
        <v>4</v>
      </c>
      <c r="B568" s="325">
        <f t="shared" si="43"/>
        <v>251990</v>
      </c>
      <c r="C568" s="325" t="str">
        <f t="shared" si="43"/>
        <v>Other lettuce and other salad plants</v>
      </c>
      <c r="D568" s="135"/>
      <c r="E568" s="1027"/>
      <c r="F568" s="87"/>
      <c r="G568" s="1027"/>
      <c r="H568" s="1029"/>
      <c r="I568" s="1030"/>
      <c r="J568" s="1039" t="e">
        <f>IF($F168="","",$F168*chronic_consumption!E568/1000/$C$3)</f>
        <v>#DIV/0!</v>
      </c>
      <c r="K568" s="1040" t="e">
        <f>IF($F168="","",$F168*chronic_consumption!F568/1000/$C$3)</f>
        <v>#DIV/0!</v>
      </c>
      <c r="L568" s="1040" t="e">
        <f>IF($F168="","",$F168*chronic_consumption!G568/1000/$C$3)</f>
        <v>#DIV/0!</v>
      </c>
      <c r="M568" s="1040" t="e">
        <f>IF($F168="","",$F168*chronic_consumption!H568/1000/$C$3)</f>
        <v>#DIV/0!</v>
      </c>
      <c r="N568" s="1040" t="e">
        <f>IF($F168="","",$F168*chronic_consumption!I568/1000/$C$3)</f>
        <v>#DIV/0!</v>
      </c>
      <c r="O568" s="1040" t="e">
        <f>IF($F168="","",$F168*chronic_consumption!J568/1000/$C$3)</f>
        <v>#DIV/0!</v>
      </c>
      <c r="P568" s="1040" t="e">
        <f>IF($F168="","",$F168*chronic_consumption!K568/1000/$C$3)</f>
        <v>#DIV/0!</v>
      </c>
      <c r="Q568" s="1040" t="e">
        <f>IF($F168="","",$F168*chronic_consumption!L568/1000/$C$3)</f>
        <v>#DIV/0!</v>
      </c>
      <c r="R568" s="1040" t="e">
        <f>IF($F168="","",$F168*chronic_consumption!M568/1000/$C$3)</f>
        <v>#DIV/0!</v>
      </c>
      <c r="S568" s="1040" t="e">
        <f>IF($F168="","",$F168*chronic_consumption!N568/1000/$C$3)</f>
        <v>#DIV/0!</v>
      </c>
      <c r="T568" s="1040" t="e">
        <f>IF($F168="","",$F168*chronic_consumption!O568/1000/$C$3)</f>
        <v>#DIV/0!</v>
      </c>
      <c r="U568" s="1040" t="e">
        <f>IF($F168="","",$F168*chronic_consumption!P568/1000/$C$3)</f>
        <v>#DIV/0!</v>
      </c>
      <c r="V568" s="1040" t="e">
        <f>IF($F168="","",$F168*chronic_consumption!Q568/1000/$C$3)</f>
        <v>#DIV/0!</v>
      </c>
      <c r="W568" s="1040" t="e">
        <f>IF($F168="","",$F168*chronic_consumption!R568/1000/$C$3)</f>
        <v>#DIV/0!</v>
      </c>
      <c r="X568" s="1040" t="e">
        <f>IF($F168="","",$F168*chronic_consumption!S568/1000/$C$3)</f>
        <v>#DIV/0!</v>
      </c>
      <c r="Y568" s="1040" t="e">
        <f>IF($F168="","",$F168*chronic_consumption!T568/1000/$C$3)</f>
        <v>#DIV/0!</v>
      </c>
      <c r="Z568" s="1040" t="e">
        <f>IF($F168="","",$F168*chronic_consumption!U568/1000/$C$3)</f>
        <v>#DIV/0!</v>
      </c>
      <c r="AA568" s="1040" t="e">
        <f>IF($F168="","",$F168*chronic_consumption!V568/1000/$C$3)</f>
        <v>#DIV/0!</v>
      </c>
      <c r="AB568" s="1040" t="e">
        <f>IF($F168="","",$F168*chronic_consumption!W568/1000/$C$3)</f>
        <v>#DIV/0!</v>
      </c>
      <c r="AC568" s="1040" t="e">
        <f>IF($F168="","",$F168*chronic_consumption!X568/1000/$C$3)</f>
        <v>#DIV/0!</v>
      </c>
      <c r="AD568" s="1040" t="e">
        <f>IF($F168="","",$F168*chronic_consumption!Y568/1000/$C$3)</f>
        <v>#DIV/0!</v>
      </c>
      <c r="AE568" s="1040" t="e">
        <f>IF($F168="","",$F168*chronic_consumption!Z568/1000/$C$3)</f>
        <v>#DIV/0!</v>
      </c>
      <c r="AF568" s="1040" t="e">
        <f>IF($F168="","",$F168*chronic_consumption!AA568/1000/$C$3)</f>
        <v>#DIV/0!</v>
      </c>
      <c r="AG568" s="1040" t="e">
        <f>IF($F168="","",$F168*chronic_consumption!AB568/1000/$C$3)</f>
        <v>#DIV/0!</v>
      </c>
      <c r="AH568" s="1040" t="e">
        <f>IF($F168="","",$F168*chronic_consumption!AC568/1000/$C$3)</f>
        <v>#DIV/0!</v>
      </c>
      <c r="AI568" s="1040" t="e">
        <f>IF($F168="","",$F168*chronic_consumption!AD568/1000/$C$3)</f>
        <v>#DIV/0!</v>
      </c>
      <c r="AJ568" s="1040" t="e">
        <f>IF($F168="","",$F168*chronic_consumption!AE568/1000/$C$3)</f>
        <v>#DIV/0!</v>
      </c>
      <c r="AK568" s="1040" t="e">
        <f>IF($F168="","",$F168*chronic_consumption!AF568/1000/$C$3)</f>
        <v>#DIV/0!</v>
      </c>
      <c r="AL568" s="1040" t="e">
        <f>IF($F168="","",$F168*chronic_consumption!AG568/1000/$C$3)</f>
        <v>#DIV/0!</v>
      </c>
      <c r="AM568" s="1040" t="e">
        <f>IF($F168="","",$F168*chronic_consumption!AH568/1000/$C$3)</f>
        <v>#DIV/0!</v>
      </c>
      <c r="AN568" s="1040" t="e">
        <f>IF($F168="","",$F168*chronic_consumption!AI568/1000/$C$3)</f>
        <v>#DIV/0!</v>
      </c>
      <c r="AO568" s="1040" t="e">
        <f>IF($F168="","",$F168*chronic_consumption!AJ568/1000/$C$3)</f>
        <v>#DIV/0!</v>
      </c>
      <c r="AP568" s="1040" t="e">
        <f>IF($F168="","",$F168*chronic_consumption!AK568/1000/$C$3)</f>
        <v>#DIV/0!</v>
      </c>
      <c r="AQ568" s="1040" t="e">
        <f>IF($F168="","",$F168*chronic_consumption!AL568/1000/$C$3)</f>
        <v>#DIV/0!</v>
      </c>
      <c r="AR568" s="1040" t="e">
        <f>IF($F168="","",$F168*chronic_consumption!AM568/1000/$C$3)</f>
        <v>#DIV/0!</v>
      </c>
      <c r="AS568" s="1040" t="e">
        <f>IF($F168="","",$F168*chronic_consumption!AN568/1000/$C$3)</f>
        <v>#DIV/0!</v>
      </c>
      <c r="AT568" s="1040" t="e">
        <f>IF($F168="","",$F168*chronic_consumption!AO568/1000/$C$3)</f>
        <v>#DIV/0!</v>
      </c>
      <c r="AU568" s="1040" t="e">
        <f>IF($F168="","",$F168*chronic_consumption!AP568/1000/$C$3)</f>
        <v>#DIV/0!</v>
      </c>
      <c r="AV568" s="1040" t="e">
        <f>IF($F168="","",$F168*chronic_consumption!AQ568/1000/$C$3)</f>
        <v>#DIV/0!</v>
      </c>
      <c r="AW568" s="1040" t="e">
        <f>IF($F168="","",$F168*chronic_consumption!AR568/1000/$C$3)</f>
        <v>#DIV/0!</v>
      </c>
      <c r="AX568" s="1040" t="e">
        <f>IF($F168="","",$F168*chronic_consumption!AS568/1000/$C$3)</f>
        <v>#DIV/0!</v>
      </c>
      <c r="AY568" s="1040" t="e">
        <f>IF($F168="","",$F168*chronic_consumption!AT568/1000/$C$3)</f>
        <v>#DIV/0!</v>
      </c>
      <c r="AZ568" s="44" t="s">
        <v>20</v>
      </c>
      <c r="BC568" s="29"/>
      <c r="BD568" s="29"/>
    </row>
    <row r="569" spans="1:56" ht="12" customHeight="1" outlineLevel="2" x14ac:dyDescent="0.2">
      <c r="A569" s="341">
        <f>acute_overview_children!A169</f>
        <v>3</v>
      </c>
      <c r="B569" s="1041">
        <f t="shared" si="43"/>
        <v>252000</v>
      </c>
      <c r="C569" s="1041" t="str">
        <f t="shared" si="43"/>
        <v>Spinach &amp; similar (leaves)</v>
      </c>
      <c r="D569" s="1042"/>
      <c r="E569" s="1027"/>
      <c r="F569" s="87"/>
      <c r="G569" s="1027"/>
      <c r="H569" s="1029"/>
      <c r="I569" s="1030"/>
      <c r="J569" s="1043" t="e">
        <f>IF($F169="","",$F169*chronic_consumption!E569/1000/$C$3)</f>
        <v>#DIV/0!</v>
      </c>
      <c r="K569" s="1044" t="e">
        <f>IF($F169="","",$F169*chronic_consumption!F569/1000/$C$3)</f>
        <v>#DIV/0!</v>
      </c>
      <c r="L569" s="1044" t="e">
        <f>IF($F169="","",$F169*chronic_consumption!G569/1000/$C$3)</f>
        <v>#DIV/0!</v>
      </c>
      <c r="M569" s="1044" t="e">
        <f>IF($F169="","",$F169*chronic_consumption!H569/1000/$C$3)</f>
        <v>#DIV/0!</v>
      </c>
      <c r="N569" s="1044" t="e">
        <f>IF($F169="","",$F169*chronic_consumption!I569/1000/$C$3)</f>
        <v>#DIV/0!</v>
      </c>
      <c r="O569" s="1044" t="e">
        <f>IF($F169="","",$F169*chronic_consumption!J569/1000/$C$3)</f>
        <v>#DIV/0!</v>
      </c>
      <c r="P569" s="1044" t="e">
        <f>IF($F169="","",$F169*chronic_consumption!K569/1000/$C$3)</f>
        <v>#DIV/0!</v>
      </c>
      <c r="Q569" s="1044" t="e">
        <f>IF($F169="","",$F169*chronic_consumption!L569/1000/$C$3)</f>
        <v>#DIV/0!</v>
      </c>
      <c r="R569" s="1044" t="e">
        <f>IF($F169="","",$F169*chronic_consumption!M569/1000/$C$3)</f>
        <v>#DIV/0!</v>
      </c>
      <c r="S569" s="1044" t="e">
        <f>IF($F169="","",$F169*chronic_consumption!N569/1000/$C$3)</f>
        <v>#DIV/0!</v>
      </c>
      <c r="T569" s="1044" t="e">
        <f>IF($F169="","",$F169*chronic_consumption!O569/1000/$C$3)</f>
        <v>#DIV/0!</v>
      </c>
      <c r="U569" s="1044" t="e">
        <f>IF($F169="","",$F169*chronic_consumption!P569/1000/$C$3)</f>
        <v>#DIV/0!</v>
      </c>
      <c r="V569" s="1044" t="e">
        <f>IF($F169="","",$F169*chronic_consumption!Q569/1000/$C$3)</f>
        <v>#DIV/0!</v>
      </c>
      <c r="W569" s="1044" t="e">
        <f>IF($F169="","",$F169*chronic_consumption!R569/1000/$C$3)</f>
        <v>#DIV/0!</v>
      </c>
      <c r="X569" s="1044" t="e">
        <f>IF($F169="","",$F169*chronic_consumption!S569/1000/$C$3)</f>
        <v>#DIV/0!</v>
      </c>
      <c r="Y569" s="1044" t="e">
        <f>IF($F169="","",$F169*chronic_consumption!T569/1000/$C$3)</f>
        <v>#DIV/0!</v>
      </c>
      <c r="Z569" s="1044" t="e">
        <f>IF($F169="","",$F169*chronic_consumption!U569/1000/$C$3)</f>
        <v>#DIV/0!</v>
      </c>
      <c r="AA569" s="1044" t="e">
        <f>IF($F169="","",$F169*chronic_consumption!V569/1000/$C$3)</f>
        <v>#DIV/0!</v>
      </c>
      <c r="AB569" s="1044" t="e">
        <f>IF($F169="","",$F169*chronic_consumption!W569/1000/$C$3)</f>
        <v>#DIV/0!</v>
      </c>
      <c r="AC569" s="1044" t="e">
        <f>IF($F169="","",$F169*chronic_consumption!X569/1000/$C$3)</f>
        <v>#DIV/0!</v>
      </c>
      <c r="AD569" s="1044" t="e">
        <f>IF($F169="","",$F169*chronic_consumption!Y569/1000/$C$3)</f>
        <v>#DIV/0!</v>
      </c>
      <c r="AE569" s="1044" t="e">
        <f>IF($F169="","",$F169*chronic_consumption!Z569/1000/$C$3)</f>
        <v>#DIV/0!</v>
      </c>
      <c r="AF569" s="1044" t="e">
        <f>IF($F169="","",$F169*chronic_consumption!AA569/1000/$C$3)</f>
        <v>#DIV/0!</v>
      </c>
      <c r="AG569" s="1044" t="e">
        <f>IF($F169="","",$F169*chronic_consumption!AB569/1000/$C$3)</f>
        <v>#DIV/0!</v>
      </c>
      <c r="AH569" s="1044" t="e">
        <f>IF($F169="","",$F169*chronic_consumption!AC569/1000/$C$3)</f>
        <v>#DIV/0!</v>
      </c>
      <c r="AI569" s="1044" t="e">
        <f>IF($F169="","",$F169*chronic_consumption!AD569/1000/$C$3)</f>
        <v>#DIV/0!</v>
      </c>
      <c r="AJ569" s="1044" t="e">
        <f>IF($F169="","",$F169*chronic_consumption!AE569/1000/$C$3)</f>
        <v>#DIV/0!</v>
      </c>
      <c r="AK569" s="1044" t="e">
        <f>IF($F169="","",$F169*chronic_consumption!AF569/1000/$C$3)</f>
        <v>#DIV/0!</v>
      </c>
      <c r="AL569" s="1044" t="e">
        <f>IF($F169="","",$F169*chronic_consumption!AG569/1000/$C$3)</f>
        <v>#DIV/0!</v>
      </c>
      <c r="AM569" s="1044" t="e">
        <f>IF($F169="","",$F169*chronic_consumption!AH569/1000/$C$3)</f>
        <v>#DIV/0!</v>
      </c>
      <c r="AN569" s="1044" t="e">
        <f>IF($F169="","",$F169*chronic_consumption!AI569/1000/$C$3)</f>
        <v>#DIV/0!</v>
      </c>
      <c r="AO569" s="1044" t="e">
        <f>IF($F169="","",$F169*chronic_consumption!AJ569/1000/$C$3)</f>
        <v>#DIV/0!</v>
      </c>
      <c r="AP569" s="1044" t="e">
        <f>IF($F169="","",$F169*chronic_consumption!AK569/1000/$C$3)</f>
        <v>#DIV/0!</v>
      </c>
      <c r="AQ569" s="1044" t="e">
        <f>IF($F169="","",$F169*chronic_consumption!AL569/1000/$C$3)</f>
        <v>#DIV/0!</v>
      </c>
      <c r="AR569" s="1044" t="e">
        <f>IF($F169="","",$F169*chronic_consumption!AM569/1000/$C$3)</f>
        <v>#DIV/0!</v>
      </c>
      <c r="AS569" s="1044" t="e">
        <f>IF($F169="","",$F169*chronic_consumption!AN569/1000/$C$3)</f>
        <v>#DIV/0!</v>
      </c>
      <c r="AT569" s="1044" t="e">
        <f>IF($F169="","",$F169*chronic_consumption!AO569/1000/$C$3)</f>
        <v>#DIV/0!</v>
      </c>
      <c r="AU569" s="1044" t="e">
        <f>IF($F169="","",$F169*chronic_consumption!AP569/1000/$C$3)</f>
        <v>#DIV/0!</v>
      </c>
      <c r="AV569" s="1044" t="e">
        <f>IF($F169="","",$F169*chronic_consumption!AQ569/1000/$C$3)</f>
        <v>#DIV/0!</v>
      </c>
      <c r="AW569" s="1044" t="e">
        <f>IF($F169="","",$F169*chronic_consumption!AR569/1000/$C$3)</f>
        <v>#DIV/0!</v>
      </c>
      <c r="AX569" s="1044" t="e">
        <f>IF($F169="","",$F169*chronic_consumption!AS569/1000/$C$3)</f>
        <v>#DIV/0!</v>
      </c>
      <c r="AY569" s="1044" t="e">
        <f>IF($F169="","",$F169*chronic_consumption!AT569/1000/$C$3)</f>
        <v>#DIV/0!</v>
      </c>
      <c r="AZ569" s="44" t="s">
        <v>20</v>
      </c>
      <c r="BC569" s="29"/>
      <c r="BD569" s="29"/>
    </row>
    <row r="570" spans="1:56" ht="12" customHeight="1" outlineLevel="3" x14ac:dyDescent="0.2">
      <c r="A570" s="21">
        <f>acute_overview_children!A170</f>
        <v>4</v>
      </c>
      <c r="B570" s="325">
        <f t="shared" si="43"/>
        <v>252010</v>
      </c>
      <c r="C570" s="325" t="str">
        <f t="shared" si="43"/>
        <v>Spinaches</v>
      </c>
      <c r="D570" s="135"/>
      <c r="E570" s="1027"/>
      <c r="F570" s="87"/>
      <c r="G570" s="1027"/>
      <c r="H570" s="1029"/>
      <c r="I570" s="1030"/>
      <c r="J570" s="1039" t="e">
        <f>IF($F170="","",$F170*chronic_consumption!E570/1000/$C$3)</f>
        <v>#DIV/0!</v>
      </c>
      <c r="K570" s="1040" t="e">
        <f>IF($F170="","",$F170*chronic_consumption!F570/1000/$C$3)</f>
        <v>#DIV/0!</v>
      </c>
      <c r="L570" s="1040" t="e">
        <f>IF($F170="","",$F170*chronic_consumption!G570/1000/$C$3)</f>
        <v>#DIV/0!</v>
      </c>
      <c r="M570" s="1040" t="e">
        <f>IF($F170="","",$F170*chronic_consumption!H570/1000/$C$3)</f>
        <v>#DIV/0!</v>
      </c>
      <c r="N570" s="1040" t="e">
        <f>IF($F170="","",$F170*chronic_consumption!I570/1000/$C$3)</f>
        <v>#DIV/0!</v>
      </c>
      <c r="O570" s="1040" t="e">
        <f>IF($F170="","",$F170*chronic_consumption!J570/1000/$C$3)</f>
        <v>#DIV/0!</v>
      </c>
      <c r="P570" s="1040" t="e">
        <f>IF($F170="","",$F170*chronic_consumption!K570/1000/$C$3)</f>
        <v>#DIV/0!</v>
      </c>
      <c r="Q570" s="1040" t="e">
        <f>IF($F170="","",$F170*chronic_consumption!L570/1000/$C$3)</f>
        <v>#DIV/0!</v>
      </c>
      <c r="R570" s="1040" t="e">
        <f>IF($F170="","",$F170*chronic_consumption!M570/1000/$C$3)</f>
        <v>#DIV/0!</v>
      </c>
      <c r="S570" s="1040" t="e">
        <f>IF($F170="","",$F170*chronic_consumption!N570/1000/$C$3)</f>
        <v>#DIV/0!</v>
      </c>
      <c r="T570" s="1040" t="e">
        <f>IF($F170="","",$F170*chronic_consumption!O570/1000/$C$3)</f>
        <v>#DIV/0!</v>
      </c>
      <c r="U570" s="1040" t="e">
        <f>IF($F170="","",$F170*chronic_consumption!P570/1000/$C$3)</f>
        <v>#DIV/0!</v>
      </c>
      <c r="V570" s="1040" t="e">
        <f>IF($F170="","",$F170*chronic_consumption!Q570/1000/$C$3)</f>
        <v>#DIV/0!</v>
      </c>
      <c r="W570" s="1040" t="e">
        <f>IF($F170="","",$F170*chronic_consumption!R570/1000/$C$3)</f>
        <v>#DIV/0!</v>
      </c>
      <c r="X570" s="1040" t="e">
        <f>IF($F170="","",$F170*chronic_consumption!S570/1000/$C$3)</f>
        <v>#DIV/0!</v>
      </c>
      <c r="Y570" s="1040" t="e">
        <f>IF($F170="","",$F170*chronic_consumption!T570/1000/$C$3)</f>
        <v>#DIV/0!</v>
      </c>
      <c r="Z570" s="1040" t="e">
        <f>IF($F170="","",$F170*chronic_consumption!U570/1000/$C$3)</f>
        <v>#DIV/0!</v>
      </c>
      <c r="AA570" s="1040" t="e">
        <f>IF($F170="","",$F170*chronic_consumption!V570/1000/$C$3)</f>
        <v>#DIV/0!</v>
      </c>
      <c r="AB570" s="1040" t="e">
        <f>IF($F170="","",$F170*chronic_consumption!W570/1000/$C$3)</f>
        <v>#DIV/0!</v>
      </c>
      <c r="AC570" s="1040" t="e">
        <f>IF($F170="","",$F170*chronic_consumption!X570/1000/$C$3)</f>
        <v>#DIV/0!</v>
      </c>
      <c r="AD570" s="1040" t="e">
        <f>IF($F170="","",$F170*chronic_consumption!Y570/1000/$C$3)</f>
        <v>#DIV/0!</v>
      </c>
      <c r="AE570" s="1040" t="e">
        <f>IF($F170="","",$F170*chronic_consumption!Z570/1000/$C$3)</f>
        <v>#DIV/0!</v>
      </c>
      <c r="AF570" s="1040" t="e">
        <f>IF($F170="","",$F170*chronic_consumption!AA570/1000/$C$3)</f>
        <v>#DIV/0!</v>
      </c>
      <c r="AG570" s="1040" t="e">
        <f>IF($F170="","",$F170*chronic_consumption!AB570/1000/$C$3)</f>
        <v>#DIV/0!</v>
      </c>
      <c r="AH570" s="1040" t="e">
        <f>IF($F170="","",$F170*chronic_consumption!AC570/1000/$C$3)</f>
        <v>#DIV/0!</v>
      </c>
      <c r="AI570" s="1040" t="e">
        <f>IF($F170="","",$F170*chronic_consumption!AD570/1000/$C$3)</f>
        <v>#DIV/0!</v>
      </c>
      <c r="AJ570" s="1040" t="e">
        <f>IF($F170="","",$F170*chronic_consumption!AE570/1000/$C$3)</f>
        <v>#DIV/0!</v>
      </c>
      <c r="AK570" s="1040" t="e">
        <f>IF($F170="","",$F170*chronic_consumption!AF570/1000/$C$3)</f>
        <v>#DIV/0!</v>
      </c>
      <c r="AL570" s="1040" t="e">
        <f>IF($F170="","",$F170*chronic_consumption!AG570/1000/$C$3)</f>
        <v>#DIV/0!</v>
      </c>
      <c r="AM570" s="1040" t="e">
        <f>IF($F170="","",$F170*chronic_consumption!AH570/1000/$C$3)</f>
        <v>#DIV/0!</v>
      </c>
      <c r="AN570" s="1040" t="e">
        <f>IF($F170="","",$F170*chronic_consumption!AI570/1000/$C$3)</f>
        <v>#DIV/0!</v>
      </c>
      <c r="AO570" s="1040" t="e">
        <f>IF($F170="","",$F170*chronic_consumption!AJ570/1000/$C$3)</f>
        <v>#DIV/0!</v>
      </c>
      <c r="AP570" s="1040" t="e">
        <f>IF($F170="","",$F170*chronic_consumption!AK570/1000/$C$3)</f>
        <v>#DIV/0!</v>
      </c>
      <c r="AQ570" s="1040" t="e">
        <f>IF($F170="","",$F170*chronic_consumption!AL570/1000/$C$3)</f>
        <v>#DIV/0!</v>
      </c>
      <c r="AR570" s="1040" t="e">
        <f>IF($F170="","",$F170*chronic_consumption!AM570/1000/$C$3)</f>
        <v>#DIV/0!</v>
      </c>
      <c r="AS570" s="1040" t="e">
        <f>IF($F170="","",$F170*chronic_consumption!AN570/1000/$C$3)</f>
        <v>#DIV/0!</v>
      </c>
      <c r="AT570" s="1040" t="e">
        <f>IF($F170="","",$F170*chronic_consumption!AO570/1000/$C$3)</f>
        <v>#DIV/0!</v>
      </c>
      <c r="AU570" s="1040" t="e">
        <f>IF($F170="","",$F170*chronic_consumption!AP570/1000/$C$3)</f>
        <v>#DIV/0!</v>
      </c>
      <c r="AV570" s="1040" t="e">
        <f>IF($F170="","",$F170*chronic_consumption!AQ570/1000/$C$3)</f>
        <v>#DIV/0!</v>
      </c>
      <c r="AW570" s="1040" t="e">
        <f>IF($F170="","",$F170*chronic_consumption!AR570/1000/$C$3)</f>
        <v>#DIV/0!</v>
      </c>
      <c r="AX570" s="1040" t="e">
        <f>IF($F170="","",$F170*chronic_consumption!AS570/1000/$C$3)</f>
        <v>#DIV/0!</v>
      </c>
      <c r="AY570" s="1040" t="e">
        <f>IF($F170="","",$F170*chronic_consumption!AT570/1000/$C$3)</f>
        <v>#DIV/0!</v>
      </c>
      <c r="AZ570" s="44" t="s">
        <v>20</v>
      </c>
      <c r="BC570" s="29"/>
      <c r="BD570" s="29"/>
    </row>
    <row r="571" spans="1:56" ht="12" customHeight="1" outlineLevel="3" x14ac:dyDescent="0.2">
      <c r="A571" s="21">
        <f>acute_overview_children!A171</f>
        <v>4</v>
      </c>
      <c r="B571" s="325">
        <f t="shared" si="43"/>
        <v>252020</v>
      </c>
      <c r="C571" s="325" t="str">
        <f t="shared" si="43"/>
        <v>Purslanes</v>
      </c>
      <c r="D571" s="135"/>
      <c r="E571" s="1027"/>
      <c r="F571" s="87"/>
      <c r="G571" s="1027"/>
      <c r="H571" s="1029"/>
      <c r="I571" s="1030"/>
      <c r="J571" s="1039" t="e">
        <f>IF($F171="","",$F171*chronic_consumption!E571/1000/$C$3)</f>
        <v>#DIV/0!</v>
      </c>
      <c r="K571" s="1040" t="e">
        <f>IF($F171="","",$F171*chronic_consumption!F571/1000/$C$3)</f>
        <v>#DIV/0!</v>
      </c>
      <c r="L571" s="1040" t="e">
        <f>IF($F171="","",$F171*chronic_consumption!G571/1000/$C$3)</f>
        <v>#DIV/0!</v>
      </c>
      <c r="M571" s="1040" t="e">
        <f>IF($F171="","",$F171*chronic_consumption!H571/1000/$C$3)</f>
        <v>#DIV/0!</v>
      </c>
      <c r="N571" s="1040" t="e">
        <f>IF($F171="","",$F171*chronic_consumption!I571/1000/$C$3)</f>
        <v>#DIV/0!</v>
      </c>
      <c r="O571" s="1040" t="e">
        <f>IF($F171="","",$F171*chronic_consumption!J571/1000/$C$3)</f>
        <v>#DIV/0!</v>
      </c>
      <c r="P571" s="1040" t="e">
        <f>IF($F171="","",$F171*chronic_consumption!K571/1000/$C$3)</f>
        <v>#DIV/0!</v>
      </c>
      <c r="Q571" s="1040" t="e">
        <f>IF($F171="","",$F171*chronic_consumption!L571/1000/$C$3)</f>
        <v>#DIV/0!</v>
      </c>
      <c r="R571" s="1040" t="e">
        <f>IF($F171="","",$F171*chronic_consumption!M571/1000/$C$3)</f>
        <v>#DIV/0!</v>
      </c>
      <c r="S571" s="1040" t="e">
        <f>IF($F171="","",$F171*chronic_consumption!N571/1000/$C$3)</f>
        <v>#DIV/0!</v>
      </c>
      <c r="T571" s="1040" t="e">
        <f>IF($F171="","",$F171*chronic_consumption!O571/1000/$C$3)</f>
        <v>#DIV/0!</v>
      </c>
      <c r="U571" s="1040" t="e">
        <f>IF($F171="","",$F171*chronic_consumption!P571/1000/$C$3)</f>
        <v>#DIV/0!</v>
      </c>
      <c r="V571" s="1040" t="e">
        <f>IF($F171="","",$F171*chronic_consumption!Q571/1000/$C$3)</f>
        <v>#DIV/0!</v>
      </c>
      <c r="W571" s="1040" t="e">
        <f>IF($F171="","",$F171*chronic_consumption!R571/1000/$C$3)</f>
        <v>#DIV/0!</v>
      </c>
      <c r="X571" s="1040" t="e">
        <f>IF($F171="","",$F171*chronic_consumption!S571/1000/$C$3)</f>
        <v>#DIV/0!</v>
      </c>
      <c r="Y571" s="1040" t="e">
        <f>IF($F171="","",$F171*chronic_consumption!T571/1000/$C$3)</f>
        <v>#DIV/0!</v>
      </c>
      <c r="Z571" s="1040" t="e">
        <f>IF($F171="","",$F171*chronic_consumption!U571/1000/$C$3)</f>
        <v>#DIV/0!</v>
      </c>
      <c r="AA571" s="1040" t="e">
        <f>IF($F171="","",$F171*chronic_consumption!V571/1000/$C$3)</f>
        <v>#DIV/0!</v>
      </c>
      <c r="AB571" s="1040" t="e">
        <f>IF($F171="","",$F171*chronic_consumption!W571/1000/$C$3)</f>
        <v>#DIV/0!</v>
      </c>
      <c r="AC571" s="1040" t="e">
        <f>IF($F171="","",$F171*chronic_consumption!X571/1000/$C$3)</f>
        <v>#DIV/0!</v>
      </c>
      <c r="AD571" s="1040" t="e">
        <f>IF($F171="","",$F171*chronic_consumption!Y571/1000/$C$3)</f>
        <v>#DIV/0!</v>
      </c>
      <c r="AE571" s="1040" t="e">
        <f>IF($F171="","",$F171*chronic_consumption!Z571/1000/$C$3)</f>
        <v>#DIV/0!</v>
      </c>
      <c r="AF571" s="1040" t="e">
        <f>IF($F171="","",$F171*chronic_consumption!AA571/1000/$C$3)</f>
        <v>#DIV/0!</v>
      </c>
      <c r="AG571" s="1040" t="e">
        <f>IF($F171="","",$F171*chronic_consumption!AB571/1000/$C$3)</f>
        <v>#DIV/0!</v>
      </c>
      <c r="AH571" s="1040" t="e">
        <f>IF($F171="","",$F171*chronic_consumption!AC571/1000/$C$3)</f>
        <v>#DIV/0!</v>
      </c>
      <c r="AI571" s="1040" t="e">
        <f>IF($F171="","",$F171*chronic_consumption!AD571/1000/$C$3)</f>
        <v>#DIV/0!</v>
      </c>
      <c r="AJ571" s="1040" t="e">
        <f>IF($F171="","",$F171*chronic_consumption!AE571/1000/$C$3)</f>
        <v>#DIV/0!</v>
      </c>
      <c r="AK571" s="1040" t="e">
        <f>IF($F171="","",$F171*chronic_consumption!AF571/1000/$C$3)</f>
        <v>#DIV/0!</v>
      </c>
      <c r="AL571" s="1040" t="e">
        <f>IF($F171="","",$F171*chronic_consumption!AG571/1000/$C$3)</f>
        <v>#DIV/0!</v>
      </c>
      <c r="AM571" s="1040" t="e">
        <f>IF($F171="","",$F171*chronic_consumption!AH571/1000/$C$3)</f>
        <v>#DIV/0!</v>
      </c>
      <c r="AN571" s="1040" t="e">
        <f>IF($F171="","",$F171*chronic_consumption!AI571/1000/$C$3)</f>
        <v>#DIV/0!</v>
      </c>
      <c r="AO571" s="1040" t="e">
        <f>IF($F171="","",$F171*chronic_consumption!AJ571/1000/$C$3)</f>
        <v>#DIV/0!</v>
      </c>
      <c r="AP571" s="1040" t="e">
        <f>IF($F171="","",$F171*chronic_consumption!AK571/1000/$C$3)</f>
        <v>#DIV/0!</v>
      </c>
      <c r="AQ571" s="1040" t="e">
        <f>IF($F171="","",$F171*chronic_consumption!AL571/1000/$C$3)</f>
        <v>#DIV/0!</v>
      </c>
      <c r="AR571" s="1040" t="e">
        <f>IF($F171="","",$F171*chronic_consumption!AM571/1000/$C$3)</f>
        <v>#DIV/0!</v>
      </c>
      <c r="AS571" s="1040" t="e">
        <f>IF($F171="","",$F171*chronic_consumption!AN571/1000/$C$3)</f>
        <v>#DIV/0!</v>
      </c>
      <c r="AT571" s="1040" t="e">
        <f>IF($F171="","",$F171*chronic_consumption!AO571/1000/$C$3)</f>
        <v>#DIV/0!</v>
      </c>
      <c r="AU571" s="1040" t="e">
        <f>IF($F171="","",$F171*chronic_consumption!AP571/1000/$C$3)</f>
        <v>#DIV/0!</v>
      </c>
      <c r="AV571" s="1040" t="e">
        <f>IF($F171="","",$F171*chronic_consumption!AQ571/1000/$C$3)</f>
        <v>#DIV/0!</v>
      </c>
      <c r="AW571" s="1040" t="e">
        <f>IF($F171="","",$F171*chronic_consumption!AR571/1000/$C$3)</f>
        <v>#DIV/0!</v>
      </c>
      <c r="AX571" s="1040" t="e">
        <f>IF($F171="","",$F171*chronic_consumption!AS571/1000/$C$3)</f>
        <v>#DIV/0!</v>
      </c>
      <c r="AY571" s="1040" t="e">
        <f>IF($F171="","",$F171*chronic_consumption!AT571/1000/$C$3)</f>
        <v>#DIV/0!</v>
      </c>
      <c r="AZ571" s="44" t="s">
        <v>20</v>
      </c>
      <c r="BC571" s="29"/>
      <c r="BD571" s="29"/>
    </row>
    <row r="572" spans="1:56" ht="12" customHeight="1" outlineLevel="3" x14ac:dyDescent="0.2">
      <c r="A572" s="21">
        <f>acute_overview_children!A172</f>
        <v>4</v>
      </c>
      <c r="B572" s="325">
        <f t="shared" ref="B572:C591" si="44">B172</f>
        <v>252030</v>
      </c>
      <c r="C572" s="325" t="str">
        <f t="shared" si="44"/>
        <v>Chards/beet leaves</v>
      </c>
      <c r="D572" s="135"/>
      <c r="E572" s="1027"/>
      <c r="F572" s="87"/>
      <c r="G572" s="1027"/>
      <c r="H572" s="1029"/>
      <c r="I572" s="1030"/>
      <c r="J572" s="1039" t="e">
        <f>IF($F172="","",$F172*chronic_consumption!E572/1000/$C$3)</f>
        <v>#DIV/0!</v>
      </c>
      <c r="K572" s="1040" t="e">
        <f>IF($F172="","",$F172*chronic_consumption!F572/1000/$C$3)</f>
        <v>#DIV/0!</v>
      </c>
      <c r="L572" s="1040" t="e">
        <f>IF($F172="","",$F172*chronic_consumption!G572/1000/$C$3)</f>
        <v>#DIV/0!</v>
      </c>
      <c r="M572" s="1040" t="e">
        <f>IF($F172="","",$F172*chronic_consumption!H572/1000/$C$3)</f>
        <v>#DIV/0!</v>
      </c>
      <c r="N572" s="1040" t="e">
        <f>IF($F172="","",$F172*chronic_consumption!I572/1000/$C$3)</f>
        <v>#DIV/0!</v>
      </c>
      <c r="O572" s="1040" t="e">
        <f>IF($F172="","",$F172*chronic_consumption!J572/1000/$C$3)</f>
        <v>#DIV/0!</v>
      </c>
      <c r="P572" s="1040" t="e">
        <f>IF($F172="","",$F172*chronic_consumption!K572/1000/$C$3)</f>
        <v>#DIV/0!</v>
      </c>
      <c r="Q572" s="1040" t="e">
        <f>IF($F172="","",$F172*chronic_consumption!L572/1000/$C$3)</f>
        <v>#DIV/0!</v>
      </c>
      <c r="R572" s="1040" t="e">
        <f>IF($F172="","",$F172*chronic_consumption!M572/1000/$C$3)</f>
        <v>#DIV/0!</v>
      </c>
      <c r="S572" s="1040" t="e">
        <f>IF($F172="","",$F172*chronic_consumption!N572/1000/$C$3)</f>
        <v>#DIV/0!</v>
      </c>
      <c r="T572" s="1040" t="e">
        <f>IF($F172="","",$F172*chronic_consumption!O572/1000/$C$3)</f>
        <v>#DIV/0!</v>
      </c>
      <c r="U572" s="1040" t="e">
        <f>IF($F172="","",$F172*chronic_consumption!P572/1000/$C$3)</f>
        <v>#DIV/0!</v>
      </c>
      <c r="V572" s="1040" t="e">
        <f>IF($F172="","",$F172*chronic_consumption!Q572/1000/$C$3)</f>
        <v>#DIV/0!</v>
      </c>
      <c r="W572" s="1040" t="e">
        <f>IF($F172="","",$F172*chronic_consumption!R572/1000/$C$3)</f>
        <v>#DIV/0!</v>
      </c>
      <c r="X572" s="1040" t="e">
        <f>IF($F172="","",$F172*chronic_consumption!S572/1000/$C$3)</f>
        <v>#DIV/0!</v>
      </c>
      <c r="Y572" s="1040" t="e">
        <f>IF($F172="","",$F172*chronic_consumption!T572/1000/$C$3)</f>
        <v>#DIV/0!</v>
      </c>
      <c r="Z572" s="1040" t="e">
        <f>IF($F172="","",$F172*chronic_consumption!U572/1000/$C$3)</f>
        <v>#DIV/0!</v>
      </c>
      <c r="AA572" s="1040" t="e">
        <f>IF($F172="","",$F172*chronic_consumption!V572/1000/$C$3)</f>
        <v>#DIV/0!</v>
      </c>
      <c r="AB572" s="1040" t="e">
        <f>IF($F172="","",$F172*chronic_consumption!W572/1000/$C$3)</f>
        <v>#DIV/0!</v>
      </c>
      <c r="AC572" s="1040" t="e">
        <f>IF($F172="","",$F172*chronic_consumption!X572/1000/$C$3)</f>
        <v>#DIV/0!</v>
      </c>
      <c r="AD572" s="1040" t="e">
        <f>IF($F172="","",$F172*chronic_consumption!Y572/1000/$C$3)</f>
        <v>#DIV/0!</v>
      </c>
      <c r="AE572" s="1040" t="e">
        <f>IF($F172="","",$F172*chronic_consumption!Z572/1000/$C$3)</f>
        <v>#DIV/0!</v>
      </c>
      <c r="AF572" s="1040" t="e">
        <f>IF($F172="","",$F172*chronic_consumption!AA572/1000/$C$3)</f>
        <v>#DIV/0!</v>
      </c>
      <c r="AG572" s="1040" t="e">
        <f>IF($F172="","",$F172*chronic_consumption!AB572/1000/$C$3)</f>
        <v>#DIV/0!</v>
      </c>
      <c r="AH572" s="1040" t="e">
        <f>IF($F172="","",$F172*chronic_consumption!AC572/1000/$C$3)</f>
        <v>#DIV/0!</v>
      </c>
      <c r="AI572" s="1040" t="e">
        <f>IF($F172="","",$F172*chronic_consumption!AD572/1000/$C$3)</f>
        <v>#DIV/0!</v>
      </c>
      <c r="AJ572" s="1040" t="e">
        <f>IF($F172="","",$F172*chronic_consumption!AE572/1000/$C$3)</f>
        <v>#DIV/0!</v>
      </c>
      <c r="AK572" s="1040" t="e">
        <f>IF($F172="","",$F172*chronic_consumption!AF572/1000/$C$3)</f>
        <v>#DIV/0!</v>
      </c>
      <c r="AL572" s="1040" t="e">
        <f>IF($F172="","",$F172*chronic_consumption!AG572/1000/$C$3)</f>
        <v>#DIV/0!</v>
      </c>
      <c r="AM572" s="1040" t="e">
        <f>IF($F172="","",$F172*chronic_consumption!AH572/1000/$C$3)</f>
        <v>#DIV/0!</v>
      </c>
      <c r="AN572" s="1040" t="e">
        <f>IF($F172="","",$F172*chronic_consumption!AI572/1000/$C$3)</f>
        <v>#DIV/0!</v>
      </c>
      <c r="AO572" s="1040" t="e">
        <f>IF($F172="","",$F172*chronic_consumption!AJ572/1000/$C$3)</f>
        <v>#DIV/0!</v>
      </c>
      <c r="AP572" s="1040" t="e">
        <f>IF($F172="","",$F172*chronic_consumption!AK572/1000/$C$3)</f>
        <v>#DIV/0!</v>
      </c>
      <c r="AQ572" s="1040" t="e">
        <f>IF($F172="","",$F172*chronic_consumption!AL572/1000/$C$3)</f>
        <v>#DIV/0!</v>
      </c>
      <c r="AR572" s="1040" t="e">
        <f>IF($F172="","",$F172*chronic_consumption!AM572/1000/$C$3)</f>
        <v>#DIV/0!</v>
      </c>
      <c r="AS572" s="1040" t="e">
        <f>IF($F172="","",$F172*chronic_consumption!AN572/1000/$C$3)</f>
        <v>#DIV/0!</v>
      </c>
      <c r="AT572" s="1040" t="e">
        <f>IF($F172="","",$F172*chronic_consumption!AO572/1000/$C$3)</f>
        <v>#DIV/0!</v>
      </c>
      <c r="AU572" s="1040" t="e">
        <f>IF($F172="","",$F172*chronic_consumption!AP572/1000/$C$3)</f>
        <v>#DIV/0!</v>
      </c>
      <c r="AV572" s="1040" t="e">
        <f>IF($F172="","",$F172*chronic_consumption!AQ572/1000/$C$3)</f>
        <v>#DIV/0!</v>
      </c>
      <c r="AW572" s="1040" t="e">
        <f>IF($F172="","",$F172*chronic_consumption!AR572/1000/$C$3)</f>
        <v>#DIV/0!</v>
      </c>
      <c r="AX572" s="1040" t="e">
        <f>IF($F172="","",$F172*chronic_consumption!AS572/1000/$C$3)</f>
        <v>#DIV/0!</v>
      </c>
      <c r="AY572" s="1040" t="e">
        <f>IF($F172="","",$F172*chronic_consumption!AT572/1000/$C$3)</f>
        <v>#DIV/0!</v>
      </c>
      <c r="AZ572" s="44" t="s">
        <v>20</v>
      </c>
      <c r="BC572" s="29"/>
      <c r="BD572" s="29"/>
    </row>
    <row r="573" spans="1:56" ht="12" customHeight="1" outlineLevel="3" x14ac:dyDescent="0.2">
      <c r="A573" s="21">
        <f>acute_overview_children!A173</f>
        <v>4</v>
      </c>
      <c r="B573" s="325">
        <f t="shared" si="44"/>
        <v>252990</v>
      </c>
      <c r="C573" s="325" t="str">
        <f t="shared" si="44"/>
        <v>Other spinach and similar</v>
      </c>
      <c r="D573" s="135"/>
      <c r="E573" s="1027"/>
      <c r="F573" s="87"/>
      <c r="G573" s="1027"/>
      <c r="H573" s="1029"/>
      <c r="I573" s="1030"/>
      <c r="J573" s="1039" t="e">
        <f>IF($F173="","",$F173*chronic_consumption!E573/1000/$C$3)</f>
        <v>#DIV/0!</v>
      </c>
      <c r="K573" s="1040" t="e">
        <f>IF($F173="","",$F173*chronic_consumption!F573/1000/$C$3)</f>
        <v>#DIV/0!</v>
      </c>
      <c r="L573" s="1040" t="e">
        <f>IF($F173="","",$F173*chronic_consumption!G573/1000/$C$3)</f>
        <v>#DIV/0!</v>
      </c>
      <c r="M573" s="1040" t="e">
        <f>IF($F173="","",$F173*chronic_consumption!H573/1000/$C$3)</f>
        <v>#DIV/0!</v>
      </c>
      <c r="N573" s="1040" t="e">
        <f>IF($F173="","",$F173*chronic_consumption!I573/1000/$C$3)</f>
        <v>#DIV/0!</v>
      </c>
      <c r="O573" s="1040" t="e">
        <f>IF($F173="","",$F173*chronic_consumption!J573/1000/$C$3)</f>
        <v>#DIV/0!</v>
      </c>
      <c r="P573" s="1040" t="e">
        <f>IF($F173="","",$F173*chronic_consumption!K573/1000/$C$3)</f>
        <v>#DIV/0!</v>
      </c>
      <c r="Q573" s="1040" t="e">
        <f>IF($F173="","",$F173*chronic_consumption!L573/1000/$C$3)</f>
        <v>#DIV/0!</v>
      </c>
      <c r="R573" s="1040" t="e">
        <f>IF($F173="","",$F173*chronic_consumption!M573/1000/$C$3)</f>
        <v>#DIV/0!</v>
      </c>
      <c r="S573" s="1040" t="e">
        <f>IF($F173="","",$F173*chronic_consumption!N573/1000/$C$3)</f>
        <v>#DIV/0!</v>
      </c>
      <c r="T573" s="1040" t="e">
        <f>IF($F173="","",$F173*chronic_consumption!O573/1000/$C$3)</f>
        <v>#DIV/0!</v>
      </c>
      <c r="U573" s="1040" t="e">
        <f>IF($F173="","",$F173*chronic_consumption!P573/1000/$C$3)</f>
        <v>#DIV/0!</v>
      </c>
      <c r="V573" s="1040" t="e">
        <f>IF($F173="","",$F173*chronic_consumption!Q573/1000/$C$3)</f>
        <v>#DIV/0!</v>
      </c>
      <c r="W573" s="1040" t="e">
        <f>IF($F173="","",$F173*chronic_consumption!R573/1000/$C$3)</f>
        <v>#DIV/0!</v>
      </c>
      <c r="X573" s="1040" t="e">
        <f>IF($F173="","",$F173*chronic_consumption!S573/1000/$C$3)</f>
        <v>#DIV/0!</v>
      </c>
      <c r="Y573" s="1040" t="e">
        <f>IF($F173="","",$F173*chronic_consumption!T573/1000/$C$3)</f>
        <v>#DIV/0!</v>
      </c>
      <c r="Z573" s="1040" t="e">
        <f>IF($F173="","",$F173*chronic_consumption!U573/1000/$C$3)</f>
        <v>#DIV/0!</v>
      </c>
      <c r="AA573" s="1040" t="e">
        <f>IF($F173="","",$F173*chronic_consumption!V573/1000/$C$3)</f>
        <v>#DIV/0!</v>
      </c>
      <c r="AB573" s="1040" t="e">
        <f>IF($F173="","",$F173*chronic_consumption!W573/1000/$C$3)</f>
        <v>#DIV/0!</v>
      </c>
      <c r="AC573" s="1040" t="e">
        <f>IF($F173="","",$F173*chronic_consumption!X573/1000/$C$3)</f>
        <v>#DIV/0!</v>
      </c>
      <c r="AD573" s="1040" t="e">
        <f>IF($F173="","",$F173*chronic_consumption!Y573/1000/$C$3)</f>
        <v>#DIV/0!</v>
      </c>
      <c r="AE573" s="1040" t="e">
        <f>IF($F173="","",$F173*chronic_consumption!Z573/1000/$C$3)</f>
        <v>#DIV/0!</v>
      </c>
      <c r="AF573" s="1040" t="e">
        <f>IF($F173="","",$F173*chronic_consumption!AA573/1000/$C$3)</f>
        <v>#DIV/0!</v>
      </c>
      <c r="AG573" s="1040" t="e">
        <f>IF($F173="","",$F173*chronic_consumption!AB573/1000/$C$3)</f>
        <v>#DIV/0!</v>
      </c>
      <c r="AH573" s="1040" t="e">
        <f>IF($F173="","",$F173*chronic_consumption!AC573/1000/$C$3)</f>
        <v>#DIV/0!</v>
      </c>
      <c r="AI573" s="1040" t="e">
        <f>IF($F173="","",$F173*chronic_consumption!AD573/1000/$C$3)</f>
        <v>#DIV/0!</v>
      </c>
      <c r="AJ573" s="1040" t="e">
        <f>IF($F173="","",$F173*chronic_consumption!AE573/1000/$C$3)</f>
        <v>#DIV/0!</v>
      </c>
      <c r="AK573" s="1040" t="e">
        <f>IF($F173="","",$F173*chronic_consumption!AF573/1000/$C$3)</f>
        <v>#DIV/0!</v>
      </c>
      <c r="AL573" s="1040" t="e">
        <f>IF($F173="","",$F173*chronic_consumption!AG573/1000/$C$3)</f>
        <v>#DIV/0!</v>
      </c>
      <c r="AM573" s="1040" t="e">
        <f>IF($F173="","",$F173*chronic_consumption!AH573/1000/$C$3)</f>
        <v>#DIV/0!</v>
      </c>
      <c r="AN573" s="1040" t="e">
        <f>IF($F173="","",$F173*chronic_consumption!AI573/1000/$C$3)</f>
        <v>#DIV/0!</v>
      </c>
      <c r="AO573" s="1040" t="e">
        <f>IF($F173="","",$F173*chronic_consumption!AJ573/1000/$C$3)</f>
        <v>#DIV/0!</v>
      </c>
      <c r="AP573" s="1040" t="e">
        <f>IF($F173="","",$F173*chronic_consumption!AK573/1000/$C$3)</f>
        <v>#DIV/0!</v>
      </c>
      <c r="AQ573" s="1040" t="e">
        <f>IF($F173="","",$F173*chronic_consumption!AL573/1000/$C$3)</f>
        <v>#DIV/0!</v>
      </c>
      <c r="AR573" s="1040" t="e">
        <f>IF($F173="","",$F173*chronic_consumption!AM573/1000/$C$3)</f>
        <v>#DIV/0!</v>
      </c>
      <c r="AS573" s="1040" t="e">
        <f>IF($F173="","",$F173*chronic_consumption!AN573/1000/$C$3)</f>
        <v>#DIV/0!</v>
      </c>
      <c r="AT573" s="1040" t="e">
        <f>IF($F173="","",$F173*chronic_consumption!AO573/1000/$C$3)</f>
        <v>#DIV/0!</v>
      </c>
      <c r="AU573" s="1040" t="e">
        <f>IF($F173="","",$F173*chronic_consumption!AP573/1000/$C$3)</f>
        <v>#DIV/0!</v>
      </c>
      <c r="AV573" s="1040" t="e">
        <f>IF($F173="","",$F173*chronic_consumption!AQ573/1000/$C$3)</f>
        <v>#DIV/0!</v>
      </c>
      <c r="AW573" s="1040" t="e">
        <f>IF($F173="","",$F173*chronic_consumption!AR573/1000/$C$3)</f>
        <v>#DIV/0!</v>
      </c>
      <c r="AX573" s="1040" t="e">
        <f>IF($F173="","",$F173*chronic_consumption!AS573/1000/$C$3)</f>
        <v>#DIV/0!</v>
      </c>
      <c r="AY573" s="1040" t="e">
        <f>IF($F173="","",$F173*chronic_consumption!AT573/1000/$C$3)</f>
        <v>#DIV/0!</v>
      </c>
      <c r="AZ573" s="44" t="s">
        <v>20</v>
      </c>
      <c r="BC573" s="29"/>
      <c r="BD573" s="29"/>
    </row>
    <row r="574" spans="1:56" ht="12" customHeight="1" outlineLevel="2" x14ac:dyDescent="0.2">
      <c r="A574" s="341">
        <f>acute_overview_children!A174</f>
        <v>3</v>
      </c>
      <c r="B574" s="1041">
        <f t="shared" si="44"/>
        <v>253000</v>
      </c>
      <c r="C574" s="1041" t="str">
        <f t="shared" si="44"/>
        <v>Grape leaves and similar species</v>
      </c>
      <c r="D574" s="1042"/>
      <c r="E574" s="1027"/>
      <c r="F574" s="87"/>
      <c r="G574" s="1027"/>
      <c r="H574" s="1029"/>
      <c r="I574" s="1030"/>
      <c r="J574" s="1043" t="e">
        <f>IF($F174="","",$F174*chronic_consumption!E574/1000/$C$3)</f>
        <v>#DIV/0!</v>
      </c>
      <c r="K574" s="1044" t="e">
        <f>IF($F174="","",$F174*chronic_consumption!F574/1000/$C$3)</f>
        <v>#DIV/0!</v>
      </c>
      <c r="L574" s="1044" t="e">
        <f>IF($F174="","",$F174*chronic_consumption!G574/1000/$C$3)</f>
        <v>#DIV/0!</v>
      </c>
      <c r="M574" s="1044" t="e">
        <f>IF($F174="","",$F174*chronic_consumption!H574/1000/$C$3)</f>
        <v>#DIV/0!</v>
      </c>
      <c r="N574" s="1044" t="e">
        <f>IF($F174="","",$F174*chronic_consumption!I574/1000/$C$3)</f>
        <v>#DIV/0!</v>
      </c>
      <c r="O574" s="1044" t="e">
        <f>IF($F174="","",$F174*chronic_consumption!J574/1000/$C$3)</f>
        <v>#DIV/0!</v>
      </c>
      <c r="P574" s="1044" t="e">
        <f>IF($F174="","",$F174*chronic_consumption!K574/1000/$C$3)</f>
        <v>#DIV/0!</v>
      </c>
      <c r="Q574" s="1044" t="e">
        <f>IF($F174="","",$F174*chronic_consumption!L574/1000/$C$3)</f>
        <v>#DIV/0!</v>
      </c>
      <c r="R574" s="1044" t="e">
        <f>IF($F174="","",$F174*chronic_consumption!M574/1000/$C$3)</f>
        <v>#DIV/0!</v>
      </c>
      <c r="S574" s="1044" t="e">
        <f>IF($F174="","",$F174*chronic_consumption!N574/1000/$C$3)</f>
        <v>#DIV/0!</v>
      </c>
      <c r="T574" s="1044" t="e">
        <f>IF($F174="","",$F174*chronic_consumption!O574/1000/$C$3)</f>
        <v>#DIV/0!</v>
      </c>
      <c r="U574" s="1044" t="e">
        <f>IF($F174="","",$F174*chronic_consumption!P574/1000/$C$3)</f>
        <v>#DIV/0!</v>
      </c>
      <c r="V574" s="1044" t="e">
        <f>IF($F174="","",$F174*chronic_consumption!Q574/1000/$C$3)</f>
        <v>#DIV/0!</v>
      </c>
      <c r="W574" s="1044" t="e">
        <f>IF($F174="","",$F174*chronic_consumption!R574/1000/$C$3)</f>
        <v>#DIV/0!</v>
      </c>
      <c r="X574" s="1044" t="e">
        <f>IF($F174="","",$F174*chronic_consumption!S574/1000/$C$3)</f>
        <v>#DIV/0!</v>
      </c>
      <c r="Y574" s="1044" t="e">
        <f>IF($F174="","",$F174*chronic_consumption!T574/1000/$C$3)</f>
        <v>#DIV/0!</v>
      </c>
      <c r="Z574" s="1044" t="e">
        <f>IF($F174="","",$F174*chronic_consumption!U574/1000/$C$3)</f>
        <v>#DIV/0!</v>
      </c>
      <c r="AA574" s="1044" t="e">
        <f>IF($F174="","",$F174*chronic_consumption!V574/1000/$C$3)</f>
        <v>#DIV/0!</v>
      </c>
      <c r="AB574" s="1044" t="e">
        <f>IF($F174="","",$F174*chronic_consumption!W574/1000/$C$3)</f>
        <v>#DIV/0!</v>
      </c>
      <c r="AC574" s="1044" t="e">
        <f>IF($F174="","",$F174*chronic_consumption!X574/1000/$C$3)</f>
        <v>#DIV/0!</v>
      </c>
      <c r="AD574" s="1044" t="e">
        <f>IF($F174="","",$F174*chronic_consumption!Y574/1000/$C$3)</f>
        <v>#DIV/0!</v>
      </c>
      <c r="AE574" s="1044" t="e">
        <f>IF($F174="","",$F174*chronic_consumption!Z574/1000/$C$3)</f>
        <v>#DIV/0!</v>
      </c>
      <c r="AF574" s="1044" t="e">
        <f>IF($F174="","",$F174*chronic_consumption!AA574/1000/$C$3)</f>
        <v>#DIV/0!</v>
      </c>
      <c r="AG574" s="1044" t="e">
        <f>IF($F174="","",$F174*chronic_consumption!AB574/1000/$C$3)</f>
        <v>#DIV/0!</v>
      </c>
      <c r="AH574" s="1044" t="e">
        <f>IF($F174="","",$F174*chronic_consumption!AC574/1000/$C$3)</f>
        <v>#DIV/0!</v>
      </c>
      <c r="AI574" s="1044" t="e">
        <f>IF($F174="","",$F174*chronic_consumption!AD574/1000/$C$3)</f>
        <v>#DIV/0!</v>
      </c>
      <c r="AJ574" s="1044" t="e">
        <f>IF($F174="","",$F174*chronic_consumption!AE574/1000/$C$3)</f>
        <v>#DIV/0!</v>
      </c>
      <c r="AK574" s="1044" t="e">
        <f>IF($F174="","",$F174*chronic_consumption!AF574/1000/$C$3)</f>
        <v>#DIV/0!</v>
      </c>
      <c r="AL574" s="1044" t="e">
        <f>IF($F174="","",$F174*chronic_consumption!AG574/1000/$C$3)</f>
        <v>#DIV/0!</v>
      </c>
      <c r="AM574" s="1044" t="e">
        <f>IF($F174="","",$F174*chronic_consumption!AH574/1000/$C$3)</f>
        <v>#DIV/0!</v>
      </c>
      <c r="AN574" s="1044" t="e">
        <f>IF($F174="","",$F174*chronic_consumption!AI574/1000/$C$3)</f>
        <v>#DIV/0!</v>
      </c>
      <c r="AO574" s="1044" t="e">
        <f>IF($F174="","",$F174*chronic_consumption!AJ574/1000/$C$3)</f>
        <v>#DIV/0!</v>
      </c>
      <c r="AP574" s="1044" t="e">
        <f>IF($F174="","",$F174*chronic_consumption!AK574/1000/$C$3)</f>
        <v>#DIV/0!</v>
      </c>
      <c r="AQ574" s="1044" t="e">
        <f>IF($F174="","",$F174*chronic_consumption!AL574/1000/$C$3)</f>
        <v>#DIV/0!</v>
      </c>
      <c r="AR574" s="1044" t="e">
        <f>IF($F174="","",$F174*chronic_consumption!AM574/1000/$C$3)</f>
        <v>#DIV/0!</v>
      </c>
      <c r="AS574" s="1044" t="e">
        <f>IF($F174="","",$F174*chronic_consumption!AN574/1000/$C$3)</f>
        <v>#DIV/0!</v>
      </c>
      <c r="AT574" s="1044" t="e">
        <f>IF($F174="","",$F174*chronic_consumption!AO574/1000/$C$3)</f>
        <v>#DIV/0!</v>
      </c>
      <c r="AU574" s="1044" t="e">
        <f>IF($F174="","",$F174*chronic_consumption!AP574/1000/$C$3)</f>
        <v>#DIV/0!</v>
      </c>
      <c r="AV574" s="1044" t="e">
        <f>IF($F174="","",$F174*chronic_consumption!AQ574/1000/$C$3)</f>
        <v>#DIV/0!</v>
      </c>
      <c r="AW574" s="1044" t="e">
        <f>IF($F174="","",$F174*chronic_consumption!AR574/1000/$C$3)</f>
        <v>#DIV/0!</v>
      </c>
      <c r="AX574" s="1044" t="e">
        <f>IF($F174="","",$F174*chronic_consumption!AS574/1000/$C$3)</f>
        <v>#DIV/0!</v>
      </c>
      <c r="AY574" s="1044" t="e">
        <f>IF($F174="","",$F174*chronic_consumption!AT574/1000/$C$3)</f>
        <v>#DIV/0!</v>
      </c>
      <c r="AZ574" s="44" t="s">
        <v>20</v>
      </c>
      <c r="BC574" s="29"/>
      <c r="BD574" s="29"/>
    </row>
    <row r="575" spans="1:56" ht="12" customHeight="1" outlineLevel="2" x14ac:dyDescent="0.2">
      <c r="A575" s="341">
        <f>acute_overview_children!A175</f>
        <v>3</v>
      </c>
      <c r="B575" s="1041">
        <f t="shared" si="44"/>
        <v>254000</v>
      </c>
      <c r="C575" s="1041" t="str">
        <f t="shared" si="44"/>
        <v>Watercress</v>
      </c>
      <c r="D575" s="1042"/>
      <c r="E575" s="1027"/>
      <c r="F575" s="87"/>
      <c r="G575" s="1027"/>
      <c r="H575" s="1029"/>
      <c r="I575" s="1030"/>
      <c r="J575" s="1043" t="e">
        <f>IF($F175="","",$F175*chronic_consumption!E575/1000/$C$3)</f>
        <v>#DIV/0!</v>
      </c>
      <c r="K575" s="1044" t="e">
        <f>IF($F175="","",$F175*chronic_consumption!F575/1000/$C$3)</f>
        <v>#DIV/0!</v>
      </c>
      <c r="L575" s="1044" t="e">
        <f>IF($F175="","",$F175*chronic_consumption!G575/1000/$C$3)</f>
        <v>#DIV/0!</v>
      </c>
      <c r="M575" s="1044" t="e">
        <f>IF($F175="","",$F175*chronic_consumption!H575/1000/$C$3)</f>
        <v>#DIV/0!</v>
      </c>
      <c r="N575" s="1044" t="e">
        <f>IF($F175="","",$F175*chronic_consumption!I575/1000/$C$3)</f>
        <v>#DIV/0!</v>
      </c>
      <c r="O575" s="1044" t="e">
        <f>IF($F175="","",$F175*chronic_consumption!J575/1000/$C$3)</f>
        <v>#DIV/0!</v>
      </c>
      <c r="P575" s="1044" t="e">
        <f>IF($F175="","",$F175*chronic_consumption!K575/1000/$C$3)</f>
        <v>#DIV/0!</v>
      </c>
      <c r="Q575" s="1044" t="e">
        <f>IF($F175="","",$F175*chronic_consumption!L575/1000/$C$3)</f>
        <v>#DIV/0!</v>
      </c>
      <c r="R575" s="1044" t="e">
        <f>IF($F175="","",$F175*chronic_consumption!M575/1000/$C$3)</f>
        <v>#DIV/0!</v>
      </c>
      <c r="S575" s="1044" t="e">
        <f>IF($F175="","",$F175*chronic_consumption!N575/1000/$C$3)</f>
        <v>#DIV/0!</v>
      </c>
      <c r="T575" s="1044" t="e">
        <f>IF($F175="","",$F175*chronic_consumption!O575/1000/$C$3)</f>
        <v>#DIV/0!</v>
      </c>
      <c r="U575" s="1044" t="e">
        <f>IF($F175="","",$F175*chronic_consumption!P575/1000/$C$3)</f>
        <v>#DIV/0!</v>
      </c>
      <c r="V575" s="1044" t="e">
        <f>IF($F175="","",$F175*chronic_consumption!Q575/1000/$C$3)</f>
        <v>#DIV/0!</v>
      </c>
      <c r="W575" s="1044" t="e">
        <f>IF($F175="","",$F175*chronic_consumption!R575/1000/$C$3)</f>
        <v>#DIV/0!</v>
      </c>
      <c r="X575" s="1044" t="e">
        <f>IF($F175="","",$F175*chronic_consumption!S575/1000/$C$3)</f>
        <v>#DIV/0!</v>
      </c>
      <c r="Y575" s="1044" t="e">
        <f>IF($F175="","",$F175*chronic_consumption!T575/1000/$C$3)</f>
        <v>#DIV/0!</v>
      </c>
      <c r="Z575" s="1044" t="e">
        <f>IF($F175="","",$F175*chronic_consumption!U575/1000/$C$3)</f>
        <v>#DIV/0!</v>
      </c>
      <c r="AA575" s="1044" t="e">
        <f>IF($F175="","",$F175*chronic_consumption!V575/1000/$C$3)</f>
        <v>#DIV/0!</v>
      </c>
      <c r="AB575" s="1044" t="e">
        <f>IF($F175="","",$F175*chronic_consumption!W575/1000/$C$3)</f>
        <v>#DIV/0!</v>
      </c>
      <c r="AC575" s="1044" t="e">
        <f>IF($F175="","",$F175*chronic_consumption!X575/1000/$C$3)</f>
        <v>#DIV/0!</v>
      </c>
      <c r="AD575" s="1044" t="e">
        <f>IF($F175="","",$F175*chronic_consumption!Y575/1000/$C$3)</f>
        <v>#DIV/0!</v>
      </c>
      <c r="AE575" s="1044" t="e">
        <f>IF($F175="","",$F175*chronic_consumption!Z575/1000/$C$3)</f>
        <v>#DIV/0!</v>
      </c>
      <c r="AF575" s="1044" t="e">
        <f>IF($F175="","",$F175*chronic_consumption!AA575/1000/$C$3)</f>
        <v>#DIV/0!</v>
      </c>
      <c r="AG575" s="1044" t="e">
        <f>IF($F175="","",$F175*chronic_consumption!AB575/1000/$C$3)</f>
        <v>#DIV/0!</v>
      </c>
      <c r="AH575" s="1044" t="e">
        <f>IF($F175="","",$F175*chronic_consumption!AC575/1000/$C$3)</f>
        <v>#DIV/0!</v>
      </c>
      <c r="AI575" s="1044" t="e">
        <f>IF($F175="","",$F175*chronic_consumption!AD575/1000/$C$3)</f>
        <v>#DIV/0!</v>
      </c>
      <c r="AJ575" s="1044" t="e">
        <f>IF($F175="","",$F175*chronic_consumption!AE575/1000/$C$3)</f>
        <v>#DIV/0!</v>
      </c>
      <c r="AK575" s="1044" t="e">
        <f>IF($F175="","",$F175*chronic_consumption!AF575/1000/$C$3)</f>
        <v>#DIV/0!</v>
      </c>
      <c r="AL575" s="1044" t="e">
        <f>IF($F175="","",$F175*chronic_consumption!AG575/1000/$C$3)</f>
        <v>#DIV/0!</v>
      </c>
      <c r="AM575" s="1044" t="e">
        <f>IF($F175="","",$F175*chronic_consumption!AH575/1000/$C$3)</f>
        <v>#DIV/0!</v>
      </c>
      <c r="AN575" s="1044" t="e">
        <f>IF($F175="","",$F175*chronic_consumption!AI575/1000/$C$3)</f>
        <v>#DIV/0!</v>
      </c>
      <c r="AO575" s="1044" t="e">
        <f>IF($F175="","",$F175*chronic_consumption!AJ575/1000/$C$3)</f>
        <v>#DIV/0!</v>
      </c>
      <c r="AP575" s="1044" t="e">
        <f>IF($F175="","",$F175*chronic_consumption!AK575/1000/$C$3)</f>
        <v>#DIV/0!</v>
      </c>
      <c r="AQ575" s="1044" t="e">
        <f>IF($F175="","",$F175*chronic_consumption!AL575/1000/$C$3)</f>
        <v>#DIV/0!</v>
      </c>
      <c r="AR575" s="1044" t="e">
        <f>IF($F175="","",$F175*chronic_consumption!AM575/1000/$C$3)</f>
        <v>#DIV/0!</v>
      </c>
      <c r="AS575" s="1044" t="e">
        <f>IF($F175="","",$F175*chronic_consumption!AN575/1000/$C$3)</f>
        <v>#DIV/0!</v>
      </c>
      <c r="AT575" s="1044" t="e">
        <f>IF($F175="","",$F175*chronic_consumption!AO575/1000/$C$3)</f>
        <v>#DIV/0!</v>
      </c>
      <c r="AU575" s="1044" t="e">
        <f>IF($F175="","",$F175*chronic_consumption!AP575/1000/$C$3)</f>
        <v>#DIV/0!</v>
      </c>
      <c r="AV575" s="1044" t="e">
        <f>IF($F175="","",$F175*chronic_consumption!AQ575/1000/$C$3)</f>
        <v>#DIV/0!</v>
      </c>
      <c r="AW575" s="1044" t="e">
        <f>IF($F175="","",$F175*chronic_consumption!AR575/1000/$C$3)</f>
        <v>#DIV/0!</v>
      </c>
      <c r="AX575" s="1044" t="e">
        <f>IF($F175="","",$F175*chronic_consumption!AS575/1000/$C$3)</f>
        <v>#DIV/0!</v>
      </c>
      <c r="AY575" s="1044" t="e">
        <f>IF($F175="","",$F175*chronic_consumption!AT575/1000/$C$3)</f>
        <v>#DIV/0!</v>
      </c>
      <c r="AZ575" s="44" t="s">
        <v>20</v>
      </c>
      <c r="BC575" s="29"/>
      <c r="BD575" s="29"/>
    </row>
    <row r="576" spans="1:56" ht="12" customHeight="1" outlineLevel="2" x14ac:dyDescent="0.2">
      <c r="A576" s="341">
        <f>acute_overview_children!A176</f>
        <v>3</v>
      </c>
      <c r="B576" s="1041">
        <f t="shared" si="44"/>
        <v>255000</v>
      </c>
      <c r="C576" s="1041" t="str">
        <f t="shared" si="44"/>
        <v>Witloofs/Belgian endives</v>
      </c>
      <c r="D576" s="1042"/>
      <c r="E576" s="1027"/>
      <c r="F576" s="87"/>
      <c r="G576" s="1027"/>
      <c r="H576" s="1029"/>
      <c r="I576" s="1030"/>
      <c r="J576" s="1043" t="e">
        <f>IF($F176="","",$F176*chronic_consumption!E576/1000/$C$3)</f>
        <v>#DIV/0!</v>
      </c>
      <c r="K576" s="1044" t="e">
        <f>IF($F176="","",$F176*chronic_consumption!F576/1000/$C$3)</f>
        <v>#DIV/0!</v>
      </c>
      <c r="L576" s="1044" t="e">
        <f>IF($F176="","",$F176*chronic_consumption!G576/1000/$C$3)</f>
        <v>#DIV/0!</v>
      </c>
      <c r="M576" s="1044" t="e">
        <f>IF($F176="","",$F176*chronic_consumption!H576/1000/$C$3)</f>
        <v>#DIV/0!</v>
      </c>
      <c r="N576" s="1044" t="e">
        <f>IF($F176="","",$F176*chronic_consumption!I576/1000/$C$3)</f>
        <v>#DIV/0!</v>
      </c>
      <c r="O576" s="1044" t="e">
        <f>IF($F176="","",$F176*chronic_consumption!J576/1000/$C$3)</f>
        <v>#DIV/0!</v>
      </c>
      <c r="P576" s="1044" t="e">
        <f>IF($F176="","",$F176*chronic_consumption!K576/1000/$C$3)</f>
        <v>#DIV/0!</v>
      </c>
      <c r="Q576" s="1044" t="e">
        <f>IF($F176="","",$F176*chronic_consumption!L576/1000/$C$3)</f>
        <v>#DIV/0!</v>
      </c>
      <c r="R576" s="1044" t="e">
        <f>IF($F176="","",$F176*chronic_consumption!M576/1000/$C$3)</f>
        <v>#DIV/0!</v>
      </c>
      <c r="S576" s="1044" t="e">
        <f>IF($F176="","",$F176*chronic_consumption!N576/1000/$C$3)</f>
        <v>#DIV/0!</v>
      </c>
      <c r="T576" s="1044" t="e">
        <f>IF($F176="","",$F176*chronic_consumption!O576/1000/$C$3)</f>
        <v>#DIV/0!</v>
      </c>
      <c r="U576" s="1044" t="e">
        <f>IF($F176="","",$F176*chronic_consumption!P576/1000/$C$3)</f>
        <v>#DIV/0!</v>
      </c>
      <c r="V576" s="1044" t="e">
        <f>IF($F176="","",$F176*chronic_consumption!Q576/1000/$C$3)</f>
        <v>#DIV/0!</v>
      </c>
      <c r="W576" s="1044" t="e">
        <f>IF($F176="","",$F176*chronic_consumption!R576/1000/$C$3)</f>
        <v>#DIV/0!</v>
      </c>
      <c r="X576" s="1044" t="e">
        <f>IF($F176="","",$F176*chronic_consumption!S576/1000/$C$3)</f>
        <v>#DIV/0!</v>
      </c>
      <c r="Y576" s="1044" t="e">
        <f>IF($F176="","",$F176*chronic_consumption!T576/1000/$C$3)</f>
        <v>#DIV/0!</v>
      </c>
      <c r="Z576" s="1044" t="e">
        <f>IF($F176="","",$F176*chronic_consumption!U576/1000/$C$3)</f>
        <v>#DIV/0!</v>
      </c>
      <c r="AA576" s="1044" t="e">
        <f>IF($F176="","",$F176*chronic_consumption!V576/1000/$C$3)</f>
        <v>#DIV/0!</v>
      </c>
      <c r="AB576" s="1044" t="e">
        <f>IF($F176="","",$F176*chronic_consumption!W576/1000/$C$3)</f>
        <v>#DIV/0!</v>
      </c>
      <c r="AC576" s="1044" t="e">
        <f>IF($F176="","",$F176*chronic_consumption!X576/1000/$C$3)</f>
        <v>#DIV/0!</v>
      </c>
      <c r="AD576" s="1044" t="e">
        <f>IF($F176="","",$F176*chronic_consumption!Y576/1000/$C$3)</f>
        <v>#DIV/0!</v>
      </c>
      <c r="AE576" s="1044" t="e">
        <f>IF($F176="","",$F176*chronic_consumption!Z576/1000/$C$3)</f>
        <v>#DIV/0!</v>
      </c>
      <c r="AF576" s="1044" t="e">
        <f>IF($F176="","",$F176*chronic_consumption!AA576/1000/$C$3)</f>
        <v>#DIV/0!</v>
      </c>
      <c r="AG576" s="1044" t="e">
        <f>IF($F176="","",$F176*chronic_consumption!AB576/1000/$C$3)</f>
        <v>#DIV/0!</v>
      </c>
      <c r="AH576" s="1044" t="e">
        <f>IF($F176="","",$F176*chronic_consumption!AC576/1000/$C$3)</f>
        <v>#DIV/0!</v>
      </c>
      <c r="AI576" s="1044" t="e">
        <f>IF($F176="","",$F176*chronic_consumption!AD576/1000/$C$3)</f>
        <v>#DIV/0!</v>
      </c>
      <c r="AJ576" s="1044" t="e">
        <f>IF($F176="","",$F176*chronic_consumption!AE576/1000/$C$3)</f>
        <v>#DIV/0!</v>
      </c>
      <c r="AK576" s="1044" t="e">
        <f>IF($F176="","",$F176*chronic_consumption!AF576/1000/$C$3)</f>
        <v>#DIV/0!</v>
      </c>
      <c r="AL576" s="1044" t="e">
        <f>IF($F176="","",$F176*chronic_consumption!AG576/1000/$C$3)</f>
        <v>#DIV/0!</v>
      </c>
      <c r="AM576" s="1044" t="e">
        <f>IF($F176="","",$F176*chronic_consumption!AH576/1000/$C$3)</f>
        <v>#DIV/0!</v>
      </c>
      <c r="AN576" s="1044" t="e">
        <f>IF($F176="","",$F176*chronic_consumption!AI576/1000/$C$3)</f>
        <v>#DIV/0!</v>
      </c>
      <c r="AO576" s="1044" t="e">
        <f>IF($F176="","",$F176*chronic_consumption!AJ576/1000/$C$3)</f>
        <v>#DIV/0!</v>
      </c>
      <c r="AP576" s="1044" t="e">
        <f>IF($F176="","",$F176*chronic_consumption!AK576/1000/$C$3)</f>
        <v>#DIV/0!</v>
      </c>
      <c r="AQ576" s="1044" t="e">
        <f>IF($F176="","",$F176*chronic_consumption!AL576/1000/$C$3)</f>
        <v>#DIV/0!</v>
      </c>
      <c r="AR576" s="1044" t="e">
        <f>IF($F176="","",$F176*chronic_consumption!AM576/1000/$C$3)</f>
        <v>#DIV/0!</v>
      </c>
      <c r="AS576" s="1044" t="e">
        <f>IF($F176="","",$F176*chronic_consumption!AN576/1000/$C$3)</f>
        <v>#DIV/0!</v>
      </c>
      <c r="AT576" s="1044" t="e">
        <f>IF($F176="","",$F176*chronic_consumption!AO576/1000/$C$3)</f>
        <v>#DIV/0!</v>
      </c>
      <c r="AU576" s="1044" t="e">
        <f>IF($F176="","",$F176*chronic_consumption!AP576/1000/$C$3)</f>
        <v>#DIV/0!</v>
      </c>
      <c r="AV576" s="1044" t="e">
        <f>IF($F176="","",$F176*chronic_consumption!AQ576/1000/$C$3)</f>
        <v>#DIV/0!</v>
      </c>
      <c r="AW576" s="1044" t="e">
        <f>IF($F176="","",$F176*chronic_consumption!AR576/1000/$C$3)</f>
        <v>#DIV/0!</v>
      </c>
      <c r="AX576" s="1044" t="e">
        <f>IF($F176="","",$F176*chronic_consumption!AS576/1000/$C$3)</f>
        <v>#DIV/0!</v>
      </c>
      <c r="AY576" s="1044" t="e">
        <f>IF($F176="","",$F176*chronic_consumption!AT576/1000/$C$3)</f>
        <v>#DIV/0!</v>
      </c>
      <c r="AZ576" s="44" t="s">
        <v>20</v>
      </c>
      <c r="BC576" s="29"/>
      <c r="BD576" s="29"/>
    </row>
    <row r="577" spans="1:56" ht="12" customHeight="1" outlineLevel="2" x14ac:dyDescent="0.2">
      <c r="A577" s="341">
        <f>acute_overview_children!A177</f>
        <v>3</v>
      </c>
      <c r="B577" s="1041">
        <f t="shared" si="44"/>
        <v>256000</v>
      </c>
      <c r="C577" s="1041" t="str">
        <f t="shared" si="44"/>
        <v>Herbs and edible flowers</v>
      </c>
      <c r="D577" s="1042"/>
      <c r="E577" s="1027"/>
      <c r="F577" s="87"/>
      <c r="G577" s="1027"/>
      <c r="H577" s="1029"/>
      <c r="I577" s="1030"/>
      <c r="J577" s="1043" t="e">
        <f>IF($F177="","",$F177*chronic_consumption!E577/1000/$C$3)</f>
        <v>#DIV/0!</v>
      </c>
      <c r="K577" s="1044" t="e">
        <f>IF($F177="","",$F177*chronic_consumption!F577/1000/$C$3)</f>
        <v>#DIV/0!</v>
      </c>
      <c r="L577" s="1044" t="e">
        <f>IF($F177="","",$F177*chronic_consumption!G577/1000/$C$3)</f>
        <v>#DIV/0!</v>
      </c>
      <c r="M577" s="1044" t="e">
        <f>IF($F177="","",$F177*chronic_consumption!H577/1000/$C$3)</f>
        <v>#DIV/0!</v>
      </c>
      <c r="N577" s="1044" t="e">
        <f>IF($F177="","",$F177*chronic_consumption!I577/1000/$C$3)</f>
        <v>#DIV/0!</v>
      </c>
      <c r="O577" s="1044" t="e">
        <f>IF($F177="","",$F177*chronic_consumption!J577/1000/$C$3)</f>
        <v>#DIV/0!</v>
      </c>
      <c r="P577" s="1044" t="e">
        <f>IF($F177="","",$F177*chronic_consumption!K577/1000/$C$3)</f>
        <v>#DIV/0!</v>
      </c>
      <c r="Q577" s="1044" t="e">
        <f>IF($F177="","",$F177*chronic_consumption!L577/1000/$C$3)</f>
        <v>#DIV/0!</v>
      </c>
      <c r="R577" s="1044" t="e">
        <f>IF($F177="","",$F177*chronic_consumption!M577/1000/$C$3)</f>
        <v>#DIV/0!</v>
      </c>
      <c r="S577" s="1044" t="e">
        <f>IF($F177="","",$F177*chronic_consumption!N577/1000/$C$3)</f>
        <v>#DIV/0!</v>
      </c>
      <c r="T577" s="1044" t="e">
        <f>IF($F177="","",$F177*chronic_consumption!O577/1000/$C$3)</f>
        <v>#DIV/0!</v>
      </c>
      <c r="U577" s="1044" t="e">
        <f>IF($F177="","",$F177*chronic_consumption!P577/1000/$C$3)</f>
        <v>#DIV/0!</v>
      </c>
      <c r="V577" s="1044" t="e">
        <f>IF($F177="","",$F177*chronic_consumption!Q577/1000/$C$3)</f>
        <v>#DIV/0!</v>
      </c>
      <c r="W577" s="1044" t="e">
        <f>IF($F177="","",$F177*chronic_consumption!R577/1000/$C$3)</f>
        <v>#DIV/0!</v>
      </c>
      <c r="X577" s="1044" t="e">
        <f>IF($F177="","",$F177*chronic_consumption!S577/1000/$C$3)</f>
        <v>#DIV/0!</v>
      </c>
      <c r="Y577" s="1044" t="e">
        <f>IF($F177="","",$F177*chronic_consumption!T577/1000/$C$3)</f>
        <v>#DIV/0!</v>
      </c>
      <c r="Z577" s="1044" t="e">
        <f>IF($F177="","",$F177*chronic_consumption!U577/1000/$C$3)</f>
        <v>#DIV/0!</v>
      </c>
      <c r="AA577" s="1044" t="e">
        <f>IF($F177="","",$F177*chronic_consumption!V577/1000/$C$3)</f>
        <v>#DIV/0!</v>
      </c>
      <c r="AB577" s="1044" t="e">
        <f>IF($F177="","",$F177*chronic_consumption!W577/1000/$C$3)</f>
        <v>#DIV/0!</v>
      </c>
      <c r="AC577" s="1044" t="e">
        <f>IF($F177="","",$F177*chronic_consumption!X577/1000/$C$3)</f>
        <v>#DIV/0!</v>
      </c>
      <c r="AD577" s="1044" t="e">
        <f>IF($F177="","",$F177*chronic_consumption!Y577/1000/$C$3)</f>
        <v>#DIV/0!</v>
      </c>
      <c r="AE577" s="1044" t="e">
        <f>IF($F177="","",$F177*chronic_consumption!Z577/1000/$C$3)</f>
        <v>#DIV/0!</v>
      </c>
      <c r="AF577" s="1044" t="e">
        <f>IF($F177="","",$F177*chronic_consumption!AA577/1000/$C$3)</f>
        <v>#DIV/0!</v>
      </c>
      <c r="AG577" s="1044" t="e">
        <f>IF($F177="","",$F177*chronic_consumption!AB577/1000/$C$3)</f>
        <v>#DIV/0!</v>
      </c>
      <c r="AH577" s="1044" t="e">
        <f>IF($F177="","",$F177*chronic_consumption!AC577/1000/$C$3)</f>
        <v>#DIV/0!</v>
      </c>
      <c r="AI577" s="1044" t="e">
        <f>IF($F177="","",$F177*chronic_consumption!AD577/1000/$C$3)</f>
        <v>#DIV/0!</v>
      </c>
      <c r="AJ577" s="1044" t="e">
        <f>IF($F177="","",$F177*chronic_consumption!AE577/1000/$C$3)</f>
        <v>#DIV/0!</v>
      </c>
      <c r="AK577" s="1044" t="e">
        <f>IF($F177="","",$F177*chronic_consumption!AF577/1000/$C$3)</f>
        <v>#DIV/0!</v>
      </c>
      <c r="AL577" s="1044" t="e">
        <f>IF($F177="","",$F177*chronic_consumption!AG577/1000/$C$3)</f>
        <v>#DIV/0!</v>
      </c>
      <c r="AM577" s="1044" t="e">
        <f>IF($F177="","",$F177*chronic_consumption!AH577/1000/$C$3)</f>
        <v>#DIV/0!</v>
      </c>
      <c r="AN577" s="1044" t="e">
        <f>IF($F177="","",$F177*chronic_consumption!AI577/1000/$C$3)</f>
        <v>#DIV/0!</v>
      </c>
      <c r="AO577" s="1044" t="e">
        <f>IF($F177="","",$F177*chronic_consumption!AJ577/1000/$C$3)</f>
        <v>#DIV/0!</v>
      </c>
      <c r="AP577" s="1044" t="e">
        <f>IF($F177="","",$F177*chronic_consumption!AK577/1000/$C$3)</f>
        <v>#DIV/0!</v>
      </c>
      <c r="AQ577" s="1044" t="e">
        <f>IF($F177="","",$F177*chronic_consumption!AL577/1000/$C$3)</f>
        <v>#DIV/0!</v>
      </c>
      <c r="AR577" s="1044" t="e">
        <f>IF($F177="","",$F177*chronic_consumption!AM577/1000/$C$3)</f>
        <v>#DIV/0!</v>
      </c>
      <c r="AS577" s="1044" t="e">
        <f>IF($F177="","",$F177*chronic_consumption!AN577/1000/$C$3)</f>
        <v>#DIV/0!</v>
      </c>
      <c r="AT577" s="1044" t="e">
        <f>IF($F177="","",$F177*chronic_consumption!AO577/1000/$C$3)</f>
        <v>#DIV/0!</v>
      </c>
      <c r="AU577" s="1044" t="e">
        <f>IF($F177="","",$F177*chronic_consumption!AP577/1000/$C$3)</f>
        <v>#DIV/0!</v>
      </c>
      <c r="AV577" s="1044" t="e">
        <f>IF($F177="","",$F177*chronic_consumption!AQ577/1000/$C$3)</f>
        <v>#DIV/0!</v>
      </c>
      <c r="AW577" s="1044" t="e">
        <f>IF($F177="","",$F177*chronic_consumption!AR577/1000/$C$3)</f>
        <v>#DIV/0!</v>
      </c>
      <c r="AX577" s="1044" t="e">
        <f>IF($F177="","",$F177*chronic_consumption!AS577/1000/$C$3)</f>
        <v>#DIV/0!</v>
      </c>
      <c r="AY577" s="1044" t="e">
        <f>IF($F177="","",$F177*chronic_consumption!AT577/1000/$C$3)</f>
        <v>#DIV/0!</v>
      </c>
      <c r="AZ577" s="44" t="s">
        <v>20</v>
      </c>
      <c r="BC577" s="29"/>
      <c r="BD577" s="29"/>
    </row>
    <row r="578" spans="1:56" ht="12" customHeight="1" outlineLevel="3" x14ac:dyDescent="0.2">
      <c r="A578" s="21">
        <f>acute_overview_children!A178</f>
        <v>4</v>
      </c>
      <c r="B578" s="325">
        <f t="shared" si="44"/>
        <v>256010</v>
      </c>
      <c r="C578" s="325" t="str">
        <f t="shared" si="44"/>
        <v>Chervil</v>
      </c>
      <c r="D578" s="135"/>
      <c r="E578" s="1027"/>
      <c r="F578" s="87"/>
      <c r="G578" s="1027"/>
      <c r="H578" s="1029"/>
      <c r="I578" s="1030"/>
      <c r="J578" s="1039" t="e">
        <f>IF($F178="","",$F178*chronic_consumption!E578/1000/$C$3)</f>
        <v>#DIV/0!</v>
      </c>
      <c r="K578" s="1040" t="e">
        <f>IF($F178="","",$F178*chronic_consumption!F578/1000/$C$3)</f>
        <v>#DIV/0!</v>
      </c>
      <c r="L578" s="1040" t="e">
        <f>IF($F178="","",$F178*chronic_consumption!G578/1000/$C$3)</f>
        <v>#DIV/0!</v>
      </c>
      <c r="M578" s="1040" t="e">
        <f>IF($F178="","",$F178*chronic_consumption!H578/1000/$C$3)</f>
        <v>#DIV/0!</v>
      </c>
      <c r="N578" s="1040" t="e">
        <f>IF($F178="","",$F178*chronic_consumption!I578/1000/$C$3)</f>
        <v>#DIV/0!</v>
      </c>
      <c r="O578" s="1040" t="e">
        <f>IF($F178="","",$F178*chronic_consumption!J578/1000/$C$3)</f>
        <v>#DIV/0!</v>
      </c>
      <c r="P578" s="1040" t="e">
        <f>IF($F178="","",$F178*chronic_consumption!K578/1000/$C$3)</f>
        <v>#DIV/0!</v>
      </c>
      <c r="Q578" s="1040" t="e">
        <f>IF($F178="","",$F178*chronic_consumption!L578/1000/$C$3)</f>
        <v>#DIV/0!</v>
      </c>
      <c r="R578" s="1040" t="e">
        <f>IF($F178="","",$F178*chronic_consumption!M578/1000/$C$3)</f>
        <v>#DIV/0!</v>
      </c>
      <c r="S578" s="1040" t="e">
        <f>IF($F178="","",$F178*chronic_consumption!N578/1000/$C$3)</f>
        <v>#DIV/0!</v>
      </c>
      <c r="T578" s="1040" t="e">
        <f>IF($F178="","",$F178*chronic_consumption!O578/1000/$C$3)</f>
        <v>#DIV/0!</v>
      </c>
      <c r="U578" s="1040" t="e">
        <f>IF($F178="","",$F178*chronic_consumption!P578/1000/$C$3)</f>
        <v>#DIV/0!</v>
      </c>
      <c r="V578" s="1040" t="e">
        <f>IF($F178="","",$F178*chronic_consumption!Q578/1000/$C$3)</f>
        <v>#DIV/0!</v>
      </c>
      <c r="W578" s="1040" t="e">
        <f>IF($F178="","",$F178*chronic_consumption!R578/1000/$C$3)</f>
        <v>#DIV/0!</v>
      </c>
      <c r="X578" s="1040" t="e">
        <f>IF($F178="","",$F178*chronic_consumption!S578/1000/$C$3)</f>
        <v>#DIV/0!</v>
      </c>
      <c r="Y578" s="1040" t="e">
        <f>IF($F178="","",$F178*chronic_consumption!T578/1000/$C$3)</f>
        <v>#DIV/0!</v>
      </c>
      <c r="Z578" s="1040" t="e">
        <f>IF($F178="","",$F178*chronic_consumption!U578/1000/$C$3)</f>
        <v>#DIV/0!</v>
      </c>
      <c r="AA578" s="1040" t="e">
        <f>IF($F178="","",$F178*chronic_consumption!V578/1000/$C$3)</f>
        <v>#DIV/0!</v>
      </c>
      <c r="AB578" s="1040" t="e">
        <f>IF($F178="","",$F178*chronic_consumption!W578/1000/$C$3)</f>
        <v>#DIV/0!</v>
      </c>
      <c r="AC578" s="1040" t="e">
        <f>IF($F178="","",$F178*chronic_consumption!X578/1000/$C$3)</f>
        <v>#DIV/0!</v>
      </c>
      <c r="AD578" s="1040" t="e">
        <f>IF($F178="","",$F178*chronic_consumption!Y578/1000/$C$3)</f>
        <v>#DIV/0!</v>
      </c>
      <c r="AE578" s="1040" t="e">
        <f>IF($F178="","",$F178*chronic_consumption!Z578/1000/$C$3)</f>
        <v>#DIV/0!</v>
      </c>
      <c r="AF578" s="1040" t="e">
        <f>IF($F178="","",$F178*chronic_consumption!AA578/1000/$C$3)</f>
        <v>#DIV/0!</v>
      </c>
      <c r="AG578" s="1040" t="e">
        <f>IF($F178="","",$F178*chronic_consumption!AB578/1000/$C$3)</f>
        <v>#DIV/0!</v>
      </c>
      <c r="AH578" s="1040" t="e">
        <f>IF($F178="","",$F178*chronic_consumption!AC578/1000/$C$3)</f>
        <v>#DIV/0!</v>
      </c>
      <c r="AI578" s="1040" t="e">
        <f>IF($F178="","",$F178*chronic_consumption!AD578/1000/$C$3)</f>
        <v>#DIV/0!</v>
      </c>
      <c r="AJ578" s="1040" t="e">
        <f>IF($F178="","",$F178*chronic_consumption!AE578/1000/$C$3)</f>
        <v>#DIV/0!</v>
      </c>
      <c r="AK578" s="1040" t="e">
        <f>IF($F178="","",$F178*chronic_consumption!AF578/1000/$C$3)</f>
        <v>#DIV/0!</v>
      </c>
      <c r="AL578" s="1040" t="e">
        <f>IF($F178="","",$F178*chronic_consumption!AG578/1000/$C$3)</f>
        <v>#DIV/0!</v>
      </c>
      <c r="AM578" s="1040" t="e">
        <f>IF($F178="","",$F178*chronic_consumption!AH578/1000/$C$3)</f>
        <v>#DIV/0!</v>
      </c>
      <c r="AN578" s="1040" t="e">
        <f>IF($F178="","",$F178*chronic_consumption!AI578/1000/$C$3)</f>
        <v>#DIV/0!</v>
      </c>
      <c r="AO578" s="1040" t="e">
        <f>IF($F178="","",$F178*chronic_consumption!AJ578/1000/$C$3)</f>
        <v>#DIV/0!</v>
      </c>
      <c r="AP578" s="1040" t="e">
        <f>IF($F178="","",$F178*chronic_consumption!AK578/1000/$C$3)</f>
        <v>#DIV/0!</v>
      </c>
      <c r="AQ578" s="1040" t="e">
        <f>IF($F178="","",$F178*chronic_consumption!AL578/1000/$C$3)</f>
        <v>#DIV/0!</v>
      </c>
      <c r="AR578" s="1040" t="e">
        <f>IF($F178="","",$F178*chronic_consumption!AM578/1000/$C$3)</f>
        <v>#DIV/0!</v>
      </c>
      <c r="AS578" s="1040" t="e">
        <f>IF($F178="","",$F178*chronic_consumption!AN578/1000/$C$3)</f>
        <v>#DIV/0!</v>
      </c>
      <c r="AT578" s="1040" t="e">
        <f>IF($F178="","",$F178*chronic_consumption!AO578/1000/$C$3)</f>
        <v>#DIV/0!</v>
      </c>
      <c r="AU578" s="1040" t="e">
        <f>IF($F178="","",$F178*chronic_consumption!AP578/1000/$C$3)</f>
        <v>#DIV/0!</v>
      </c>
      <c r="AV578" s="1040" t="e">
        <f>IF($F178="","",$F178*chronic_consumption!AQ578/1000/$C$3)</f>
        <v>#DIV/0!</v>
      </c>
      <c r="AW578" s="1040" t="e">
        <f>IF($F178="","",$F178*chronic_consumption!AR578/1000/$C$3)</f>
        <v>#DIV/0!</v>
      </c>
      <c r="AX578" s="1040" t="e">
        <f>IF($F178="","",$F178*chronic_consumption!AS578/1000/$C$3)</f>
        <v>#DIV/0!</v>
      </c>
      <c r="AY578" s="1040" t="e">
        <f>IF($F178="","",$F178*chronic_consumption!AT578/1000/$C$3)</f>
        <v>#DIV/0!</v>
      </c>
      <c r="AZ578" s="44" t="s">
        <v>20</v>
      </c>
      <c r="BC578" s="29"/>
      <c r="BD578" s="29"/>
    </row>
    <row r="579" spans="1:56" ht="12" customHeight="1" outlineLevel="3" x14ac:dyDescent="0.2">
      <c r="A579" s="21">
        <f>acute_overview_children!A179</f>
        <v>4</v>
      </c>
      <c r="B579" s="325">
        <f t="shared" si="44"/>
        <v>256020</v>
      </c>
      <c r="C579" s="325" t="str">
        <f t="shared" si="44"/>
        <v>Chives</v>
      </c>
      <c r="D579" s="135"/>
      <c r="E579" s="1027"/>
      <c r="F579" s="87"/>
      <c r="G579" s="1027"/>
      <c r="H579" s="1029"/>
      <c r="I579" s="1030"/>
      <c r="J579" s="1039" t="e">
        <f>IF($F179="","",$F179*chronic_consumption!E579/1000/$C$3)</f>
        <v>#DIV/0!</v>
      </c>
      <c r="K579" s="1040" t="e">
        <f>IF($F179="","",$F179*chronic_consumption!F579/1000/$C$3)</f>
        <v>#DIV/0!</v>
      </c>
      <c r="L579" s="1040" t="e">
        <f>IF($F179="","",$F179*chronic_consumption!G579/1000/$C$3)</f>
        <v>#DIV/0!</v>
      </c>
      <c r="M579" s="1040" t="e">
        <f>IF($F179="","",$F179*chronic_consumption!H579/1000/$C$3)</f>
        <v>#DIV/0!</v>
      </c>
      <c r="N579" s="1040" t="e">
        <f>IF($F179="","",$F179*chronic_consumption!I579/1000/$C$3)</f>
        <v>#DIV/0!</v>
      </c>
      <c r="O579" s="1040" t="e">
        <f>IF($F179="","",$F179*chronic_consumption!J579/1000/$C$3)</f>
        <v>#DIV/0!</v>
      </c>
      <c r="P579" s="1040" t="e">
        <f>IF($F179="","",$F179*chronic_consumption!K579/1000/$C$3)</f>
        <v>#DIV/0!</v>
      </c>
      <c r="Q579" s="1040" t="e">
        <f>IF($F179="","",$F179*chronic_consumption!L579/1000/$C$3)</f>
        <v>#DIV/0!</v>
      </c>
      <c r="R579" s="1040" t="e">
        <f>IF($F179="","",$F179*chronic_consumption!M579/1000/$C$3)</f>
        <v>#DIV/0!</v>
      </c>
      <c r="S579" s="1040" t="e">
        <f>IF($F179="","",$F179*chronic_consumption!N579/1000/$C$3)</f>
        <v>#DIV/0!</v>
      </c>
      <c r="T579" s="1040" t="e">
        <f>IF($F179="","",$F179*chronic_consumption!O579/1000/$C$3)</f>
        <v>#DIV/0!</v>
      </c>
      <c r="U579" s="1040" t="e">
        <f>IF($F179="","",$F179*chronic_consumption!P579/1000/$C$3)</f>
        <v>#DIV/0!</v>
      </c>
      <c r="V579" s="1040" t="e">
        <f>IF($F179="","",$F179*chronic_consumption!Q579/1000/$C$3)</f>
        <v>#DIV/0!</v>
      </c>
      <c r="W579" s="1040" t="e">
        <f>IF($F179="","",$F179*chronic_consumption!R579/1000/$C$3)</f>
        <v>#DIV/0!</v>
      </c>
      <c r="X579" s="1040" t="e">
        <f>IF($F179="","",$F179*chronic_consumption!S579/1000/$C$3)</f>
        <v>#DIV/0!</v>
      </c>
      <c r="Y579" s="1040" t="e">
        <f>IF($F179="","",$F179*chronic_consumption!T579/1000/$C$3)</f>
        <v>#DIV/0!</v>
      </c>
      <c r="Z579" s="1040" t="e">
        <f>IF($F179="","",$F179*chronic_consumption!U579/1000/$C$3)</f>
        <v>#DIV/0!</v>
      </c>
      <c r="AA579" s="1040" t="e">
        <f>IF($F179="","",$F179*chronic_consumption!V579/1000/$C$3)</f>
        <v>#DIV/0!</v>
      </c>
      <c r="AB579" s="1040" t="e">
        <f>IF($F179="","",$F179*chronic_consumption!W579/1000/$C$3)</f>
        <v>#DIV/0!</v>
      </c>
      <c r="AC579" s="1040" t="e">
        <f>IF($F179="","",$F179*chronic_consumption!X579/1000/$C$3)</f>
        <v>#DIV/0!</v>
      </c>
      <c r="AD579" s="1040" t="e">
        <f>IF($F179="","",$F179*chronic_consumption!Y579/1000/$C$3)</f>
        <v>#DIV/0!</v>
      </c>
      <c r="AE579" s="1040" t="e">
        <f>IF($F179="","",$F179*chronic_consumption!Z579/1000/$C$3)</f>
        <v>#DIV/0!</v>
      </c>
      <c r="AF579" s="1040" t="e">
        <f>IF($F179="","",$F179*chronic_consumption!AA579/1000/$C$3)</f>
        <v>#DIV/0!</v>
      </c>
      <c r="AG579" s="1040" t="e">
        <f>IF($F179="","",$F179*chronic_consumption!AB579/1000/$C$3)</f>
        <v>#DIV/0!</v>
      </c>
      <c r="AH579" s="1040" t="e">
        <f>IF($F179="","",$F179*chronic_consumption!AC579/1000/$C$3)</f>
        <v>#DIV/0!</v>
      </c>
      <c r="AI579" s="1040" t="e">
        <f>IF($F179="","",$F179*chronic_consumption!AD579/1000/$C$3)</f>
        <v>#DIV/0!</v>
      </c>
      <c r="AJ579" s="1040" t="e">
        <f>IF($F179="","",$F179*chronic_consumption!AE579/1000/$C$3)</f>
        <v>#DIV/0!</v>
      </c>
      <c r="AK579" s="1040" t="e">
        <f>IF($F179="","",$F179*chronic_consumption!AF579/1000/$C$3)</f>
        <v>#DIV/0!</v>
      </c>
      <c r="AL579" s="1040" t="e">
        <f>IF($F179="","",$F179*chronic_consumption!AG579/1000/$C$3)</f>
        <v>#DIV/0!</v>
      </c>
      <c r="AM579" s="1040" t="e">
        <f>IF($F179="","",$F179*chronic_consumption!AH579/1000/$C$3)</f>
        <v>#DIV/0!</v>
      </c>
      <c r="AN579" s="1040" t="e">
        <f>IF($F179="","",$F179*chronic_consumption!AI579/1000/$C$3)</f>
        <v>#DIV/0!</v>
      </c>
      <c r="AO579" s="1040" t="e">
        <f>IF($F179="","",$F179*chronic_consumption!AJ579/1000/$C$3)</f>
        <v>#DIV/0!</v>
      </c>
      <c r="AP579" s="1040" t="e">
        <f>IF($F179="","",$F179*chronic_consumption!AK579/1000/$C$3)</f>
        <v>#DIV/0!</v>
      </c>
      <c r="AQ579" s="1040" t="e">
        <f>IF($F179="","",$F179*chronic_consumption!AL579/1000/$C$3)</f>
        <v>#DIV/0!</v>
      </c>
      <c r="AR579" s="1040" t="e">
        <f>IF($F179="","",$F179*chronic_consumption!AM579/1000/$C$3)</f>
        <v>#DIV/0!</v>
      </c>
      <c r="AS579" s="1040" t="e">
        <f>IF($F179="","",$F179*chronic_consumption!AN579/1000/$C$3)</f>
        <v>#DIV/0!</v>
      </c>
      <c r="AT579" s="1040" t="e">
        <f>IF($F179="","",$F179*chronic_consumption!AO579/1000/$C$3)</f>
        <v>#DIV/0!</v>
      </c>
      <c r="AU579" s="1040" t="e">
        <f>IF($F179="","",$F179*chronic_consumption!AP579/1000/$C$3)</f>
        <v>#DIV/0!</v>
      </c>
      <c r="AV579" s="1040" t="e">
        <f>IF($F179="","",$F179*chronic_consumption!AQ579/1000/$C$3)</f>
        <v>#DIV/0!</v>
      </c>
      <c r="AW579" s="1040" t="e">
        <f>IF($F179="","",$F179*chronic_consumption!AR579/1000/$C$3)</f>
        <v>#DIV/0!</v>
      </c>
      <c r="AX579" s="1040" t="e">
        <f>IF($F179="","",$F179*chronic_consumption!AS579/1000/$C$3)</f>
        <v>#DIV/0!</v>
      </c>
      <c r="AY579" s="1040" t="e">
        <f>IF($F179="","",$F179*chronic_consumption!AT579/1000/$C$3)</f>
        <v>#DIV/0!</v>
      </c>
      <c r="AZ579" s="44" t="s">
        <v>20</v>
      </c>
      <c r="BC579" s="29"/>
      <c r="BD579" s="29"/>
    </row>
    <row r="580" spans="1:56" ht="12" customHeight="1" outlineLevel="3" x14ac:dyDescent="0.2">
      <c r="A580" s="21">
        <f>acute_overview_children!A180</f>
        <v>4</v>
      </c>
      <c r="B580" s="325">
        <f t="shared" si="44"/>
        <v>256030</v>
      </c>
      <c r="C580" s="325" t="str">
        <f t="shared" si="44"/>
        <v>Celery leaves</v>
      </c>
      <c r="D580" s="135"/>
      <c r="E580" s="1027"/>
      <c r="F580" s="87"/>
      <c r="G580" s="1027"/>
      <c r="H580" s="1029"/>
      <c r="I580" s="1030"/>
      <c r="J580" s="1039" t="e">
        <f>IF($F180="","",$F180*chronic_consumption!E580/1000/$C$3)</f>
        <v>#DIV/0!</v>
      </c>
      <c r="K580" s="1040" t="e">
        <f>IF($F180="","",$F180*chronic_consumption!F580/1000/$C$3)</f>
        <v>#DIV/0!</v>
      </c>
      <c r="L580" s="1040" t="e">
        <f>IF($F180="","",$F180*chronic_consumption!G580/1000/$C$3)</f>
        <v>#DIV/0!</v>
      </c>
      <c r="M580" s="1040" t="e">
        <f>IF($F180="","",$F180*chronic_consumption!H580/1000/$C$3)</f>
        <v>#DIV/0!</v>
      </c>
      <c r="N580" s="1040" t="e">
        <f>IF($F180="","",$F180*chronic_consumption!I580/1000/$C$3)</f>
        <v>#DIV/0!</v>
      </c>
      <c r="O580" s="1040" t="e">
        <f>IF($F180="","",$F180*chronic_consumption!J580/1000/$C$3)</f>
        <v>#DIV/0!</v>
      </c>
      <c r="P580" s="1040" t="e">
        <f>IF($F180="","",$F180*chronic_consumption!K580/1000/$C$3)</f>
        <v>#DIV/0!</v>
      </c>
      <c r="Q580" s="1040" t="e">
        <f>IF($F180="","",$F180*chronic_consumption!L580/1000/$C$3)</f>
        <v>#DIV/0!</v>
      </c>
      <c r="R580" s="1040" t="e">
        <f>IF($F180="","",$F180*chronic_consumption!M580/1000/$C$3)</f>
        <v>#DIV/0!</v>
      </c>
      <c r="S580" s="1040" t="e">
        <f>IF($F180="","",$F180*chronic_consumption!N580/1000/$C$3)</f>
        <v>#DIV/0!</v>
      </c>
      <c r="T580" s="1040" t="e">
        <f>IF($F180="","",$F180*chronic_consumption!O580/1000/$C$3)</f>
        <v>#DIV/0!</v>
      </c>
      <c r="U580" s="1040" t="e">
        <f>IF($F180="","",$F180*chronic_consumption!P580/1000/$C$3)</f>
        <v>#DIV/0!</v>
      </c>
      <c r="V580" s="1040" t="e">
        <f>IF($F180="","",$F180*chronic_consumption!Q580/1000/$C$3)</f>
        <v>#DIV/0!</v>
      </c>
      <c r="W580" s="1040" t="e">
        <f>IF($F180="","",$F180*chronic_consumption!R580/1000/$C$3)</f>
        <v>#DIV/0!</v>
      </c>
      <c r="X580" s="1040" t="e">
        <f>IF($F180="","",$F180*chronic_consumption!S580/1000/$C$3)</f>
        <v>#DIV/0!</v>
      </c>
      <c r="Y580" s="1040" t="e">
        <f>IF($F180="","",$F180*chronic_consumption!T580/1000/$C$3)</f>
        <v>#DIV/0!</v>
      </c>
      <c r="Z580" s="1040" t="e">
        <f>IF($F180="","",$F180*chronic_consumption!U580/1000/$C$3)</f>
        <v>#DIV/0!</v>
      </c>
      <c r="AA580" s="1040" t="e">
        <f>IF($F180="","",$F180*chronic_consumption!V580/1000/$C$3)</f>
        <v>#DIV/0!</v>
      </c>
      <c r="AB580" s="1040" t="e">
        <f>IF($F180="","",$F180*chronic_consumption!W580/1000/$C$3)</f>
        <v>#DIV/0!</v>
      </c>
      <c r="AC580" s="1040" t="e">
        <f>IF($F180="","",$F180*chronic_consumption!X580/1000/$C$3)</f>
        <v>#DIV/0!</v>
      </c>
      <c r="AD580" s="1040" t="e">
        <f>IF($F180="","",$F180*chronic_consumption!Y580/1000/$C$3)</f>
        <v>#DIV/0!</v>
      </c>
      <c r="AE580" s="1040" t="e">
        <f>IF($F180="","",$F180*chronic_consumption!Z580/1000/$C$3)</f>
        <v>#DIV/0!</v>
      </c>
      <c r="AF580" s="1040" t="e">
        <f>IF($F180="","",$F180*chronic_consumption!AA580/1000/$C$3)</f>
        <v>#DIV/0!</v>
      </c>
      <c r="AG580" s="1040" t="e">
        <f>IF($F180="","",$F180*chronic_consumption!AB580/1000/$C$3)</f>
        <v>#DIV/0!</v>
      </c>
      <c r="AH580" s="1040" t="e">
        <f>IF($F180="","",$F180*chronic_consumption!AC580/1000/$C$3)</f>
        <v>#DIV/0!</v>
      </c>
      <c r="AI580" s="1040" t="e">
        <f>IF($F180="","",$F180*chronic_consumption!AD580/1000/$C$3)</f>
        <v>#DIV/0!</v>
      </c>
      <c r="AJ580" s="1040" t="e">
        <f>IF($F180="","",$F180*chronic_consumption!AE580/1000/$C$3)</f>
        <v>#DIV/0!</v>
      </c>
      <c r="AK580" s="1040" t="e">
        <f>IF($F180="","",$F180*chronic_consumption!AF580/1000/$C$3)</f>
        <v>#DIV/0!</v>
      </c>
      <c r="AL580" s="1040" t="e">
        <f>IF($F180="","",$F180*chronic_consumption!AG580/1000/$C$3)</f>
        <v>#DIV/0!</v>
      </c>
      <c r="AM580" s="1040" t="e">
        <f>IF($F180="","",$F180*chronic_consumption!AH580/1000/$C$3)</f>
        <v>#DIV/0!</v>
      </c>
      <c r="AN580" s="1040" t="e">
        <f>IF($F180="","",$F180*chronic_consumption!AI580/1000/$C$3)</f>
        <v>#DIV/0!</v>
      </c>
      <c r="AO580" s="1040" t="e">
        <f>IF($F180="","",$F180*chronic_consumption!AJ580/1000/$C$3)</f>
        <v>#DIV/0!</v>
      </c>
      <c r="AP580" s="1040" t="e">
        <f>IF($F180="","",$F180*chronic_consumption!AK580/1000/$C$3)</f>
        <v>#DIV/0!</v>
      </c>
      <c r="AQ580" s="1040" t="e">
        <f>IF($F180="","",$F180*chronic_consumption!AL580/1000/$C$3)</f>
        <v>#DIV/0!</v>
      </c>
      <c r="AR580" s="1040" t="e">
        <f>IF($F180="","",$F180*chronic_consumption!AM580/1000/$C$3)</f>
        <v>#DIV/0!</v>
      </c>
      <c r="AS580" s="1040" t="e">
        <f>IF($F180="","",$F180*chronic_consumption!AN580/1000/$C$3)</f>
        <v>#DIV/0!</v>
      </c>
      <c r="AT580" s="1040" t="e">
        <f>IF($F180="","",$F180*chronic_consumption!AO580/1000/$C$3)</f>
        <v>#DIV/0!</v>
      </c>
      <c r="AU580" s="1040" t="e">
        <f>IF($F180="","",$F180*chronic_consumption!AP580/1000/$C$3)</f>
        <v>#DIV/0!</v>
      </c>
      <c r="AV580" s="1040" t="e">
        <f>IF($F180="","",$F180*chronic_consumption!AQ580/1000/$C$3)</f>
        <v>#DIV/0!</v>
      </c>
      <c r="AW580" s="1040" t="e">
        <f>IF($F180="","",$F180*chronic_consumption!AR580/1000/$C$3)</f>
        <v>#DIV/0!</v>
      </c>
      <c r="AX580" s="1040" t="e">
        <f>IF($F180="","",$F180*chronic_consumption!AS580/1000/$C$3)</f>
        <v>#DIV/0!</v>
      </c>
      <c r="AY580" s="1040" t="e">
        <f>IF($F180="","",$F180*chronic_consumption!AT580/1000/$C$3)</f>
        <v>#DIV/0!</v>
      </c>
      <c r="AZ580" s="44" t="s">
        <v>20</v>
      </c>
      <c r="BC580" s="29"/>
      <c r="BD580" s="29"/>
    </row>
    <row r="581" spans="1:56" ht="12" customHeight="1" outlineLevel="3" x14ac:dyDescent="0.2">
      <c r="A581" s="21">
        <f>acute_overview_children!A181</f>
        <v>4</v>
      </c>
      <c r="B581" s="325">
        <f t="shared" si="44"/>
        <v>256040</v>
      </c>
      <c r="C581" s="325" t="str">
        <f t="shared" si="44"/>
        <v>Parsley</v>
      </c>
      <c r="D581" s="135"/>
      <c r="E581" s="1027"/>
      <c r="F581" s="87"/>
      <c r="G581" s="1027"/>
      <c r="H581" s="1029"/>
      <c r="I581" s="1030"/>
      <c r="J581" s="1039" t="e">
        <f>IF($F181="","",$F181*chronic_consumption!E581/1000/$C$3)</f>
        <v>#DIV/0!</v>
      </c>
      <c r="K581" s="1040" t="e">
        <f>IF($F181="","",$F181*chronic_consumption!F581/1000/$C$3)</f>
        <v>#DIV/0!</v>
      </c>
      <c r="L581" s="1040" t="e">
        <f>IF($F181="","",$F181*chronic_consumption!G581/1000/$C$3)</f>
        <v>#DIV/0!</v>
      </c>
      <c r="M581" s="1040" t="e">
        <f>IF($F181="","",$F181*chronic_consumption!H581/1000/$C$3)</f>
        <v>#DIV/0!</v>
      </c>
      <c r="N581" s="1040" t="e">
        <f>IF($F181="","",$F181*chronic_consumption!I581/1000/$C$3)</f>
        <v>#DIV/0!</v>
      </c>
      <c r="O581" s="1040" t="e">
        <f>IF($F181="","",$F181*chronic_consumption!J581/1000/$C$3)</f>
        <v>#DIV/0!</v>
      </c>
      <c r="P581" s="1040" t="e">
        <f>IF($F181="","",$F181*chronic_consumption!K581/1000/$C$3)</f>
        <v>#DIV/0!</v>
      </c>
      <c r="Q581" s="1040" t="e">
        <f>IF($F181="","",$F181*chronic_consumption!L581/1000/$C$3)</f>
        <v>#DIV/0!</v>
      </c>
      <c r="R581" s="1040" t="e">
        <f>IF($F181="","",$F181*chronic_consumption!M581/1000/$C$3)</f>
        <v>#DIV/0!</v>
      </c>
      <c r="S581" s="1040" t="e">
        <f>IF($F181="","",$F181*chronic_consumption!N581/1000/$C$3)</f>
        <v>#DIV/0!</v>
      </c>
      <c r="T581" s="1040" t="e">
        <f>IF($F181="","",$F181*chronic_consumption!O581/1000/$C$3)</f>
        <v>#DIV/0!</v>
      </c>
      <c r="U581" s="1040" t="e">
        <f>IF($F181="","",$F181*chronic_consumption!P581/1000/$C$3)</f>
        <v>#DIV/0!</v>
      </c>
      <c r="V581" s="1040" t="e">
        <f>IF($F181="","",$F181*chronic_consumption!Q581/1000/$C$3)</f>
        <v>#DIV/0!</v>
      </c>
      <c r="W581" s="1040" t="e">
        <f>IF($F181="","",$F181*chronic_consumption!R581/1000/$C$3)</f>
        <v>#DIV/0!</v>
      </c>
      <c r="X581" s="1040" t="e">
        <f>IF($F181="","",$F181*chronic_consumption!S581/1000/$C$3)</f>
        <v>#DIV/0!</v>
      </c>
      <c r="Y581" s="1040" t="e">
        <f>IF($F181="","",$F181*chronic_consumption!T581/1000/$C$3)</f>
        <v>#DIV/0!</v>
      </c>
      <c r="Z581" s="1040" t="e">
        <f>IF($F181="","",$F181*chronic_consumption!U581/1000/$C$3)</f>
        <v>#DIV/0!</v>
      </c>
      <c r="AA581" s="1040" t="e">
        <f>IF($F181="","",$F181*chronic_consumption!V581/1000/$C$3)</f>
        <v>#DIV/0!</v>
      </c>
      <c r="AB581" s="1040" t="e">
        <f>IF($F181="","",$F181*chronic_consumption!W581/1000/$C$3)</f>
        <v>#DIV/0!</v>
      </c>
      <c r="AC581" s="1040" t="e">
        <f>IF($F181="","",$F181*chronic_consumption!X581/1000/$C$3)</f>
        <v>#DIV/0!</v>
      </c>
      <c r="AD581" s="1040" t="e">
        <f>IF($F181="","",$F181*chronic_consumption!Y581/1000/$C$3)</f>
        <v>#DIV/0!</v>
      </c>
      <c r="AE581" s="1040" t="e">
        <f>IF($F181="","",$F181*chronic_consumption!Z581/1000/$C$3)</f>
        <v>#DIV/0!</v>
      </c>
      <c r="AF581" s="1040" t="e">
        <f>IF($F181="","",$F181*chronic_consumption!AA581/1000/$C$3)</f>
        <v>#DIV/0!</v>
      </c>
      <c r="AG581" s="1040" t="e">
        <f>IF($F181="","",$F181*chronic_consumption!AB581/1000/$C$3)</f>
        <v>#DIV/0!</v>
      </c>
      <c r="AH581" s="1040" t="e">
        <f>IF($F181="","",$F181*chronic_consumption!AC581/1000/$C$3)</f>
        <v>#DIV/0!</v>
      </c>
      <c r="AI581" s="1040" t="e">
        <f>IF($F181="","",$F181*chronic_consumption!AD581/1000/$C$3)</f>
        <v>#DIV/0!</v>
      </c>
      <c r="AJ581" s="1040" t="e">
        <f>IF($F181="","",$F181*chronic_consumption!AE581/1000/$C$3)</f>
        <v>#DIV/0!</v>
      </c>
      <c r="AK581" s="1040" t="e">
        <f>IF($F181="","",$F181*chronic_consumption!AF581/1000/$C$3)</f>
        <v>#DIV/0!</v>
      </c>
      <c r="AL581" s="1040" t="e">
        <f>IF($F181="","",$F181*chronic_consumption!AG581/1000/$C$3)</f>
        <v>#DIV/0!</v>
      </c>
      <c r="AM581" s="1040" t="e">
        <f>IF($F181="","",$F181*chronic_consumption!AH581/1000/$C$3)</f>
        <v>#DIV/0!</v>
      </c>
      <c r="AN581" s="1040" t="e">
        <f>IF($F181="","",$F181*chronic_consumption!AI581/1000/$C$3)</f>
        <v>#DIV/0!</v>
      </c>
      <c r="AO581" s="1040" t="e">
        <f>IF($F181="","",$F181*chronic_consumption!AJ581/1000/$C$3)</f>
        <v>#DIV/0!</v>
      </c>
      <c r="AP581" s="1040" t="e">
        <f>IF($F181="","",$F181*chronic_consumption!AK581/1000/$C$3)</f>
        <v>#DIV/0!</v>
      </c>
      <c r="AQ581" s="1040" t="e">
        <f>IF($F181="","",$F181*chronic_consumption!AL581/1000/$C$3)</f>
        <v>#DIV/0!</v>
      </c>
      <c r="AR581" s="1040" t="e">
        <f>IF($F181="","",$F181*chronic_consumption!AM581/1000/$C$3)</f>
        <v>#DIV/0!</v>
      </c>
      <c r="AS581" s="1040" t="e">
        <f>IF($F181="","",$F181*chronic_consumption!AN581/1000/$C$3)</f>
        <v>#DIV/0!</v>
      </c>
      <c r="AT581" s="1040" t="e">
        <f>IF($F181="","",$F181*chronic_consumption!AO581/1000/$C$3)</f>
        <v>#DIV/0!</v>
      </c>
      <c r="AU581" s="1040" t="e">
        <f>IF($F181="","",$F181*chronic_consumption!AP581/1000/$C$3)</f>
        <v>#DIV/0!</v>
      </c>
      <c r="AV581" s="1040" t="e">
        <f>IF($F181="","",$F181*chronic_consumption!AQ581/1000/$C$3)</f>
        <v>#DIV/0!</v>
      </c>
      <c r="AW581" s="1040" t="e">
        <f>IF($F181="","",$F181*chronic_consumption!AR581/1000/$C$3)</f>
        <v>#DIV/0!</v>
      </c>
      <c r="AX581" s="1040" t="e">
        <f>IF($F181="","",$F181*chronic_consumption!AS581/1000/$C$3)</f>
        <v>#DIV/0!</v>
      </c>
      <c r="AY581" s="1040" t="e">
        <f>IF($F181="","",$F181*chronic_consumption!AT581/1000/$C$3)</f>
        <v>#DIV/0!</v>
      </c>
      <c r="AZ581" s="44" t="s">
        <v>20</v>
      </c>
      <c r="BC581" s="29"/>
      <c r="BD581" s="29"/>
    </row>
    <row r="582" spans="1:56" ht="12" customHeight="1" outlineLevel="3" x14ac:dyDescent="0.2">
      <c r="A582" s="21">
        <f>acute_overview_children!A182</f>
        <v>4</v>
      </c>
      <c r="B582" s="325">
        <f t="shared" si="44"/>
        <v>256050</v>
      </c>
      <c r="C582" s="325" t="str">
        <f t="shared" si="44"/>
        <v>Sage</v>
      </c>
      <c r="D582" s="135"/>
      <c r="E582" s="1027"/>
      <c r="F582" s="87"/>
      <c r="G582" s="1027"/>
      <c r="H582" s="1029"/>
      <c r="I582" s="1030"/>
      <c r="J582" s="1039" t="e">
        <f>IF($F182="","",$F182*chronic_consumption!E582/1000/$C$3)</f>
        <v>#DIV/0!</v>
      </c>
      <c r="K582" s="1040" t="e">
        <f>IF($F182="","",$F182*chronic_consumption!F582/1000/$C$3)</f>
        <v>#DIV/0!</v>
      </c>
      <c r="L582" s="1040" t="e">
        <f>IF($F182="","",$F182*chronic_consumption!G582/1000/$C$3)</f>
        <v>#DIV/0!</v>
      </c>
      <c r="M582" s="1040" t="e">
        <f>IF($F182="","",$F182*chronic_consumption!H582/1000/$C$3)</f>
        <v>#DIV/0!</v>
      </c>
      <c r="N582" s="1040" t="e">
        <f>IF($F182="","",$F182*chronic_consumption!I582/1000/$C$3)</f>
        <v>#DIV/0!</v>
      </c>
      <c r="O582" s="1040" t="e">
        <f>IF($F182="","",$F182*chronic_consumption!J582/1000/$C$3)</f>
        <v>#DIV/0!</v>
      </c>
      <c r="P582" s="1040" t="e">
        <f>IF($F182="","",$F182*chronic_consumption!K582/1000/$C$3)</f>
        <v>#DIV/0!</v>
      </c>
      <c r="Q582" s="1040" t="e">
        <f>IF($F182="","",$F182*chronic_consumption!L582/1000/$C$3)</f>
        <v>#DIV/0!</v>
      </c>
      <c r="R582" s="1040" t="e">
        <f>IF($F182="","",$F182*chronic_consumption!M582/1000/$C$3)</f>
        <v>#DIV/0!</v>
      </c>
      <c r="S582" s="1040" t="e">
        <f>IF($F182="","",$F182*chronic_consumption!N582/1000/$C$3)</f>
        <v>#DIV/0!</v>
      </c>
      <c r="T582" s="1040" t="e">
        <f>IF($F182="","",$F182*chronic_consumption!O582/1000/$C$3)</f>
        <v>#DIV/0!</v>
      </c>
      <c r="U582" s="1040" t="e">
        <f>IF($F182="","",$F182*chronic_consumption!P582/1000/$C$3)</f>
        <v>#DIV/0!</v>
      </c>
      <c r="V582" s="1040" t="e">
        <f>IF($F182="","",$F182*chronic_consumption!Q582/1000/$C$3)</f>
        <v>#DIV/0!</v>
      </c>
      <c r="W582" s="1040" t="e">
        <f>IF($F182="","",$F182*chronic_consumption!R582/1000/$C$3)</f>
        <v>#DIV/0!</v>
      </c>
      <c r="X582" s="1040" t="e">
        <f>IF($F182="","",$F182*chronic_consumption!S582/1000/$C$3)</f>
        <v>#DIV/0!</v>
      </c>
      <c r="Y582" s="1040" t="e">
        <f>IF($F182="","",$F182*chronic_consumption!T582/1000/$C$3)</f>
        <v>#DIV/0!</v>
      </c>
      <c r="Z582" s="1040" t="e">
        <f>IF($F182="","",$F182*chronic_consumption!U582/1000/$C$3)</f>
        <v>#DIV/0!</v>
      </c>
      <c r="AA582" s="1040" t="e">
        <f>IF($F182="","",$F182*chronic_consumption!V582/1000/$C$3)</f>
        <v>#DIV/0!</v>
      </c>
      <c r="AB582" s="1040" t="e">
        <f>IF($F182="","",$F182*chronic_consumption!W582/1000/$C$3)</f>
        <v>#DIV/0!</v>
      </c>
      <c r="AC582" s="1040" t="e">
        <f>IF($F182="","",$F182*chronic_consumption!X582/1000/$C$3)</f>
        <v>#DIV/0!</v>
      </c>
      <c r="AD582" s="1040" t="e">
        <f>IF($F182="","",$F182*chronic_consumption!Y582/1000/$C$3)</f>
        <v>#DIV/0!</v>
      </c>
      <c r="AE582" s="1040" t="e">
        <f>IF($F182="","",$F182*chronic_consumption!Z582/1000/$C$3)</f>
        <v>#DIV/0!</v>
      </c>
      <c r="AF582" s="1040" t="e">
        <f>IF($F182="","",$F182*chronic_consumption!AA582/1000/$C$3)</f>
        <v>#DIV/0!</v>
      </c>
      <c r="AG582" s="1040" t="e">
        <f>IF($F182="","",$F182*chronic_consumption!AB582/1000/$C$3)</f>
        <v>#DIV/0!</v>
      </c>
      <c r="AH582" s="1040" t="e">
        <f>IF($F182="","",$F182*chronic_consumption!AC582/1000/$C$3)</f>
        <v>#DIV/0!</v>
      </c>
      <c r="AI582" s="1040" t="e">
        <f>IF($F182="","",$F182*chronic_consumption!AD582/1000/$C$3)</f>
        <v>#DIV/0!</v>
      </c>
      <c r="AJ582" s="1040" t="e">
        <f>IF($F182="","",$F182*chronic_consumption!AE582/1000/$C$3)</f>
        <v>#DIV/0!</v>
      </c>
      <c r="AK582" s="1040" t="e">
        <f>IF($F182="","",$F182*chronic_consumption!AF582/1000/$C$3)</f>
        <v>#DIV/0!</v>
      </c>
      <c r="AL582" s="1040" t="e">
        <f>IF($F182="","",$F182*chronic_consumption!AG582/1000/$C$3)</f>
        <v>#DIV/0!</v>
      </c>
      <c r="AM582" s="1040" t="e">
        <f>IF($F182="","",$F182*chronic_consumption!AH582/1000/$C$3)</f>
        <v>#DIV/0!</v>
      </c>
      <c r="AN582" s="1040" t="e">
        <f>IF($F182="","",$F182*chronic_consumption!AI582/1000/$C$3)</f>
        <v>#DIV/0!</v>
      </c>
      <c r="AO582" s="1040" t="e">
        <f>IF($F182="","",$F182*chronic_consumption!AJ582/1000/$C$3)</f>
        <v>#DIV/0!</v>
      </c>
      <c r="AP582" s="1040" t="e">
        <f>IF($F182="","",$F182*chronic_consumption!AK582/1000/$C$3)</f>
        <v>#DIV/0!</v>
      </c>
      <c r="AQ582" s="1040" t="e">
        <f>IF($F182="","",$F182*chronic_consumption!AL582/1000/$C$3)</f>
        <v>#DIV/0!</v>
      </c>
      <c r="AR582" s="1040" t="e">
        <f>IF($F182="","",$F182*chronic_consumption!AM582/1000/$C$3)</f>
        <v>#DIV/0!</v>
      </c>
      <c r="AS582" s="1040" t="e">
        <f>IF($F182="","",$F182*chronic_consumption!AN582/1000/$C$3)</f>
        <v>#DIV/0!</v>
      </c>
      <c r="AT582" s="1040" t="e">
        <f>IF($F182="","",$F182*chronic_consumption!AO582/1000/$C$3)</f>
        <v>#DIV/0!</v>
      </c>
      <c r="AU582" s="1040" t="e">
        <f>IF($F182="","",$F182*chronic_consumption!AP582/1000/$C$3)</f>
        <v>#DIV/0!</v>
      </c>
      <c r="AV582" s="1040" t="e">
        <f>IF($F182="","",$F182*chronic_consumption!AQ582/1000/$C$3)</f>
        <v>#DIV/0!</v>
      </c>
      <c r="AW582" s="1040" t="e">
        <f>IF($F182="","",$F182*chronic_consumption!AR582/1000/$C$3)</f>
        <v>#DIV/0!</v>
      </c>
      <c r="AX582" s="1040" t="e">
        <f>IF($F182="","",$F182*chronic_consumption!AS582/1000/$C$3)</f>
        <v>#DIV/0!</v>
      </c>
      <c r="AY582" s="1040" t="e">
        <f>IF($F182="","",$F182*chronic_consumption!AT582/1000/$C$3)</f>
        <v>#DIV/0!</v>
      </c>
      <c r="AZ582" s="44" t="s">
        <v>20</v>
      </c>
      <c r="BC582" s="29"/>
      <c r="BD582" s="29"/>
    </row>
    <row r="583" spans="1:56" ht="12" customHeight="1" outlineLevel="3" x14ac:dyDescent="0.2">
      <c r="A583" s="21">
        <f>acute_overview_children!A183</f>
        <v>4</v>
      </c>
      <c r="B583" s="325">
        <f t="shared" si="44"/>
        <v>256060</v>
      </c>
      <c r="C583" s="325" t="str">
        <f t="shared" si="44"/>
        <v>Rosemary</v>
      </c>
      <c r="D583" s="135"/>
      <c r="E583" s="1027"/>
      <c r="F583" s="87"/>
      <c r="G583" s="1027"/>
      <c r="H583" s="1029"/>
      <c r="I583" s="1030"/>
      <c r="J583" s="1039" t="e">
        <f>IF($F183="","",$F183*chronic_consumption!E583/1000/$C$3)</f>
        <v>#DIV/0!</v>
      </c>
      <c r="K583" s="1040" t="e">
        <f>IF($F183="","",$F183*chronic_consumption!F583/1000/$C$3)</f>
        <v>#DIV/0!</v>
      </c>
      <c r="L583" s="1040" t="e">
        <f>IF($F183="","",$F183*chronic_consumption!G583/1000/$C$3)</f>
        <v>#DIV/0!</v>
      </c>
      <c r="M583" s="1040" t="e">
        <f>IF($F183="","",$F183*chronic_consumption!H583/1000/$C$3)</f>
        <v>#DIV/0!</v>
      </c>
      <c r="N583" s="1040" t="e">
        <f>IF($F183="","",$F183*chronic_consumption!I583/1000/$C$3)</f>
        <v>#DIV/0!</v>
      </c>
      <c r="O583" s="1040" t="e">
        <f>IF($F183="","",$F183*chronic_consumption!J583/1000/$C$3)</f>
        <v>#DIV/0!</v>
      </c>
      <c r="P583" s="1040" t="e">
        <f>IF($F183="","",$F183*chronic_consumption!K583/1000/$C$3)</f>
        <v>#DIV/0!</v>
      </c>
      <c r="Q583" s="1040" t="e">
        <f>IF($F183="","",$F183*chronic_consumption!L583/1000/$C$3)</f>
        <v>#DIV/0!</v>
      </c>
      <c r="R583" s="1040" t="e">
        <f>IF($F183="","",$F183*chronic_consumption!M583/1000/$C$3)</f>
        <v>#DIV/0!</v>
      </c>
      <c r="S583" s="1040" t="e">
        <f>IF($F183="","",$F183*chronic_consumption!N583/1000/$C$3)</f>
        <v>#DIV/0!</v>
      </c>
      <c r="T583" s="1040" t="e">
        <f>IF($F183="","",$F183*chronic_consumption!O583/1000/$C$3)</f>
        <v>#DIV/0!</v>
      </c>
      <c r="U583" s="1040" t="e">
        <f>IF($F183="","",$F183*chronic_consumption!P583/1000/$C$3)</f>
        <v>#DIV/0!</v>
      </c>
      <c r="V583" s="1040" t="e">
        <f>IF($F183="","",$F183*chronic_consumption!Q583/1000/$C$3)</f>
        <v>#DIV/0!</v>
      </c>
      <c r="W583" s="1040" t="e">
        <f>IF($F183="","",$F183*chronic_consumption!R583/1000/$C$3)</f>
        <v>#DIV/0!</v>
      </c>
      <c r="X583" s="1040" t="e">
        <f>IF($F183="","",$F183*chronic_consumption!S583/1000/$C$3)</f>
        <v>#DIV/0!</v>
      </c>
      <c r="Y583" s="1040" t="e">
        <f>IF($F183="","",$F183*chronic_consumption!T583/1000/$C$3)</f>
        <v>#DIV/0!</v>
      </c>
      <c r="Z583" s="1040" t="e">
        <f>IF($F183="","",$F183*chronic_consumption!U583/1000/$C$3)</f>
        <v>#DIV/0!</v>
      </c>
      <c r="AA583" s="1040" t="e">
        <f>IF($F183="","",$F183*chronic_consumption!V583/1000/$C$3)</f>
        <v>#DIV/0!</v>
      </c>
      <c r="AB583" s="1040" t="e">
        <f>IF($F183="","",$F183*chronic_consumption!W583/1000/$C$3)</f>
        <v>#DIV/0!</v>
      </c>
      <c r="AC583" s="1040" t="e">
        <f>IF($F183="","",$F183*chronic_consumption!X583/1000/$C$3)</f>
        <v>#DIV/0!</v>
      </c>
      <c r="AD583" s="1040" t="e">
        <f>IF($F183="","",$F183*chronic_consumption!Y583/1000/$C$3)</f>
        <v>#DIV/0!</v>
      </c>
      <c r="AE583" s="1040" t="e">
        <f>IF($F183="","",$F183*chronic_consumption!Z583/1000/$C$3)</f>
        <v>#DIV/0!</v>
      </c>
      <c r="AF583" s="1040" t="e">
        <f>IF($F183="","",$F183*chronic_consumption!AA583/1000/$C$3)</f>
        <v>#DIV/0!</v>
      </c>
      <c r="AG583" s="1040" t="e">
        <f>IF($F183="","",$F183*chronic_consumption!AB583/1000/$C$3)</f>
        <v>#DIV/0!</v>
      </c>
      <c r="AH583" s="1040" t="e">
        <f>IF($F183="","",$F183*chronic_consumption!AC583/1000/$C$3)</f>
        <v>#DIV/0!</v>
      </c>
      <c r="AI583" s="1040" t="e">
        <f>IF($F183="","",$F183*chronic_consumption!AD583/1000/$C$3)</f>
        <v>#DIV/0!</v>
      </c>
      <c r="AJ583" s="1040" t="e">
        <f>IF($F183="","",$F183*chronic_consumption!AE583/1000/$C$3)</f>
        <v>#DIV/0!</v>
      </c>
      <c r="AK583" s="1040" t="e">
        <f>IF($F183="","",$F183*chronic_consumption!AF583/1000/$C$3)</f>
        <v>#DIV/0!</v>
      </c>
      <c r="AL583" s="1040" t="e">
        <f>IF($F183="","",$F183*chronic_consumption!AG583/1000/$C$3)</f>
        <v>#DIV/0!</v>
      </c>
      <c r="AM583" s="1040" t="e">
        <f>IF($F183="","",$F183*chronic_consumption!AH583/1000/$C$3)</f>
        <v>#DIV/0!</v>
      </c>
      <c r="AN583" s="1040" t="e">
        <f>IF($F183="","",$F183*chronic_consumption!AI583/1000/$C$3)</f>
        <v>#DIV/0!</v>
      </c>
      <c r="AO583" s="1040" t="e">
        <f>IF($F183="","",$F183*chronic_consumption!AJ583/1000/$C$3)</f>
        <v>#DIV/0!</v>
      </c>
      <c r="AP583" s="1040" t="e">
        <f>IF($F183="","",$F183*chronic_consumption!AK583/1000/$C$3)</f>
        <v>#DIV/0!</v>
      </c>
      <c r="AQ583" s="1040" t="e">
        <f>IF($F183="","",$F183*chronic_consumption!AL583/1000/$C$3)</f>
        <v>#DIV/0!</v>
      </c>
      <c r="AR583" s="1040" t="e">
        <f>IF($F183="","",$F183*chronic_consumption!AM583/1000/$C$3)</f>
        <v>#DIV/0!</v>
      </c>
      <c r="AS583" s="1040" t="e">
        <f>IF($F183="","",$F183*chronic_consumption!AN583/1000/$C$3)</f>
        <v>#DIV/0!</v>
      </c>
      <c r="AT583" s="1040" t="e">
        <f>IF($F183="","",$F183*chronic_consumption!AO583/1000/$C$3)</f>
        <v>#DIV/0!</v>
      </c>
      <c r="AU583" s="1040" t="e">
        <f>IF($F183="","",$F183*chronic_consumption!AP583/1000/$C$3)</f>
        <v>#DIV/0!</v>
      </c>
      <c r="AV583" s="1040" t="e">
        <f>IF($F183="","",$F183*chronic_consumption!AQ583/1000/$C$3)</f>
        <v>#DIV/0!</v>
      </c>
      <c r="AW583" s="1040" t="e">
        <f>IF($F183="","",$F183*chronic_consumption!AR583/1000/$C$3)</f>
        <v>#DIV/0!</v>
      </c>
      <c r="AX583" s="1040" t="e">
        <f>IF($F183="","",$F183*chronic_consumption!AS583/1000/$C$3)</f>
        <v>#DIV/0!</v>
      </c>
      <c r="AY583" s="1040" t="e">
        <f>IF($F183="","",$F183*chronic_consumption!AT583/1000/$C$3)</f>
        <v>#DIV/0!</v>
      </c>
      <c r="AZ583" s="44" t="s">
        <v>20</v>
      </c>
      <c r="BC583" s="29"/>
      <c r="BD583" s="29"/>
    </row>
    <row r="584" spans="1:56" ht="12" customHeight="1" outlineLevel="3" x14ac:dyDescent="0.2">
      <c r="A584" s="21">
        <f>acute_overview_children!A184</f>
        <v>4</v>
      </c>
      <c r="B584" s="325">
        <f t="shared" si="44"/>
        <v>256070</v>
      </c>
      <c r="C584" s="325" t="str">
        <f t="shared" si="44"/>
        <v>Thyme</v>
      </c>
      <c r="D584" s="135"/>
      <c r="E584" s="1027"/>
      <c r="F584" s="87"/>
      <c r="G584" s="1027"/>
      <c r="H584" s="1029"/>
      <c r="I584" s="1030"/>
      <c r="J584" s="1039" t="e">
        <f>IF($F184="","",$F184*chronic_consumption!E584/1000/$C$3)</f>
        <v>#DIV/0!</v>
      </c>
      <c r="K584" s="1040" t="e">
        <f>IF($F184="","",$F184*chronic_consumption!F584/1000/$C$3)</f>
        <v>#DIV/0!</v>
      </c>
      <c r="L584" s="1040" t="e">
        <f>IF($F184="","",$F184*chronic_consumption!G584/1000/$C$3)</f>
        <v>#DIV/0!</v>
      </c>
      <c r="M584" s="1040" t="e">
        <f>IF($F184="","",$F184*chronic_consumption!H584/1000/$C$3)</f>
        <v>#DIV/0!</v>
      </c>
      <c r="N584" s="1040" t="e">
        <f>IF($F184="","",$F184*chronic_consumption!I584/1000/$C$3)</f>
        <v>#DIV/0!</v>
      </c>
      <c r="O584" s="1040" t="e">
        <f>IF($F184="","",$F184*chronic_consumption!J584/1000/$C$3)</f>
        <v>#DIV/0!</v>
      </c>
      <c r="P584" s="1040" t="e">
        <f>IF($F184="","",$F184*chronic_consumption!K584/1000/$C$3)</f>
        <v>#DIV/0!</v>
      </c>
      <c r="Q584" s="1040" t="e">
        <f>IF($F184="","",$F184*chronic_consumption!L584/1000/$C$3)</f>
        <v>#DIV/0!</v>
      </c>
      <c r="R584" s="1040" t="e">
        <f>IF($F184="","",$F184*chronic_consumption!M584/1000/$C$3)</f>
        <v>#DIV/0!</v>
      </c>
      <c r="S584" s="1040" t="e">
        <f>IF($F184="","",$F184*chronic_consumption!N584/1000/$C$3)</f>
        <v>#DIV/0!</v>
      </c>
      <c r="T584" s="1040" t="e">
        <f>IF($F184="","",$F184*chronic_consumption!O584/1000/$C$3)</f>
        <v>#DIV/0!</v>
      </c>
      <c r="U584" s="1040" t="e">
        <f>IF($F184="","",$F184*chronic_consumption!P584/1000/$C$3)</f>
        <v>#DIV/0!</v>
      </c>
      <c r="V584" s="1040" t="e">
        <f>IF($F184="","",$F184*chronic_consumption!Q584/1000/$C$3)</f>
        <v>#DIV/0!</v>
      </c>
      <c r="W584" s="1040" t="e">
        <f>IF($F184="","",$F184*chronic_consumption!R584/1000/$C$3)</f>
        <v>#DIV/0!</v>
      </c>
      <c r="X584" s="1040" t="e">
        <f>IF($F184="","",$F184*chronic_consumption!S584/1000/$C$3)</f>
        <v>#DIV/0!</v>
      </c>
      <c r="Y584" s="1040" t="e">
        <f>IF($F184="","",$F184*chronic_consumption!T584/1000/$C$3)</f>
        <v>#DIV/0!</v>
      </c>
      <c r="Z584" s="1040" t="e">
        <f>IF($F184="","",$F184*chronic_consumption!U584/1000/$C$3)</f>
        <v>#DIV/0!</v>
      </c>
      <c r="AA584" s="1040" t="e">
        <f>IF($F184="","",$F184*chronic_consumption!V584/1000/$C$3)</f>
        <v>#DIV/0!</v>
      </c>
      <c r="AB584" s="1040" t="e">
        <f>IF($F184="","",$F184*chronic_consumption!W584/1000/$C$3)</f>
        <v>#DIV/0!</v>
      </c>
      <c r="AC584" s="1040" t="e">
        <f>IF($F184="","",$F184*chronic_consumption!X584/1000/$C$3)</f>
        <v>#DIV/0!</v>
      </c>
      <c r="AD584" s="1040" t="e">
        <f>IF($F184="","",$F184*chronic_consumption!Y584/1000/$C$3)</f>
        <v>#DIV/0!</v>
      </c>
      <c r="AE584" s="1040" t="e">
        <f>IF($F184="","",$F184*chronic_consumption!Z584/1000/$C$3)</f>
        <v>#DIV/0!</v>
      </c>
      <c r="AF584" s="1040" t="e">
        <f>IF($F184="","",$F184*chronic_consumption!AA584/1000/$C$3)</f>
        <v>#DIV/0!</v>
      </c>
      <c r="AG584" s="1040" t="e">
        <f>IF($F184="","",$F184*chronic_consumption!AB584/1000/$C$3)</f>
        <v>#DIV/0!</v>
      </c>
      <c r="AH584" s="1040" t="e">
        <f>IF($F184="","",$F184*chronic_consumption!AC584/1000/$C$3)</f>
        <v>#DIV/0!</v>
      </c>
      <c r="AI584" s="1040" t="e">
        <f>IF($F184="","",$F184*chronic_consumption!AD584/1000/$C$3)</f>
        <v>#DIV/0!</v>
      </c>
      <c r="AJ584" s="1040" t="e">
        <f>IF($F184="","",$F184*chronic_consumption!AE584/1000/$C$3)</f>
        <v>#DIV/0!</v>
      </c>
      <c r="AK584" s="1040" t="e">
        <f>IF($F184="","",$F184*chronic_consumption!AF584/1000/$C$3)</f>
        <v>#DIV/0!</v>
      </c>
      <c r="AL584" s="1040" t="e">
        <f>IF($F184="","",$F184*chronic_consumption!AG584/1000/$C$3)</f>
        <v>#DIV/0!</v>
      </c>
      <c r="AM584" s="1040" t="e">
        <f>IF($F184="","",$F184*chronic_consumption!AH584/1000/$C$3)</f>
        <v>#DIV/0!</v>
      </c>
      <c r="AN584" s="1040" t="e">
        <f>IF($F184="","",$F184*chronic_consumption!AI584/1000/$C$3)</f>
        <v>#DIV/0!</v>
      </c>
      <c r="AO584" s="1040" t="e">
        <f>IF($F184="","",$F184*chronic_consumption!AJ584/1000/$C$3)</f>
        <v>#DIV/0!</v>
      </c>
      <c r="AP584" s="1040" t="e">
        <f>IF($F184="","",$F184*chronic_consumption!AK584/1000/$C$3)</f>
        <v>#DIV/0!</v>
      </c>
      <c r="AQ584" s="1040" t="e">
        <f>IF($F184="","",$F184*chronic_consumption!AL584/1000/$C$3)</f>
        <v>#DIV/0!</v>
      </c>
      <c r="AR584" s="1040" t="e">
        <f>IF($F184="","",$F184*chronic_consumption!AM584/1000/$C$3)</f>
        <v>#DIV/0!</v>
      </c>
      <c r="AS584" s="1040" t="e">
        <f>IF($F184="","",$F184*chronic_consumption!AN584/1000/$C$3)</f>
        <v>#DIV/0!</v>
      </c>
      <c r="AT584" s="1040" t="e">
        <f>IF($F184="","",$F184*chronic_consumption!AO584/1000/$C$3)</f>
        <v>#DIV/0!</v>
      </c>
      <c r="AU584" s="1040" t="e">
        <f>IF($F184="","",$F184*chronic_consumption!AP584/1000/$C$3)</f>
        <v>#DIV/0!</v>
      </c>
      <c r="AV584" s="1040" t="e">
        <f>IF($F184="","",$F184*chronic_consumption!AQ584/1000/$C$3)</f>
        <v>#DIV/0!</v>
      </c>
      <c r="AW584" s="1040" t="e">
        <f>IF($F184="","",$F184*chronic_consumption!AR584/1000/$C$3)</f>
        <v>#DIV/0!</v>
      </c>
      <c r="AX584" s="1040" t="e">
        <f>IF($F184="","",$F184*chronic_consumption!AS584/1000/$C$3)</f>
        <v>#DIV/0!</v>
      </c>
      <c r="AY584" s="1040" t="e">
        <f>IF($F184="","",$F184*chronic_consumption!AT584/1000/$C$3)</f>
        <v>#DIV/0!</v>
      </c>
      <c r="AZ584" s="44" t="s">
        <v>20</v>
      </c>
      <c r="BC584" s="29"/>
      <c r="BD584" s="29"/>
    </row>
    <row r="585" spans="1:56" ht="12" customHeight="1" outlineLevel="3" x14ac:dyDescent="0.2">
      <c r="A585" s="21">
        <f>acute_overview_children!A185</f>
        <v>4</v>
      </c>
      <c r="B585" s="325">
        <f t="shared" si="44"/>
        <v>256080</v>
      </c>
      <c r="C585" s="325" t="str">
        <f t="shared" si="44"/>
        <v>Basil and edible flowers</v>
      </c>
      <c r="D585" s="135"/>
      <c r="E585" s="1027"/>
      <c r="F585" s="87"/>
      <c r="G585" s="1027"/>
      <c r="H585" s="1029"/>
      <c r="I585" s="1030"/>
      <c r="J585" s="1039" t="e">
        <f>IF($F185="","",$F185*chronic_consumption!E585/1000/$C$3)</f>
        <v>#DIV/0!</v>
      </c>
      <c r="K585" s="1040" t="e">
        <f>IF($F185="","",$F185*chronic_consumption!F585/1000/$C$3)</f>
        <v>#DIV/0!</v>
      </c>
      <c r="L585" s="1040" t="e">
        <f>IF($F185="","",$F185*chronic_consumption!G585/1000/$C$3)</f>
        <v>#DIV/0!</v>
      </c>
      <c r="M585" s="1040" t="e">
        <f>IF($F185="","",$F185*chronic_consumption!H585/1000/$C$3)</f>
        <v>#DIV/0!</v>
      </c>
      <c r="N585" s="1040" t="e">
        <f>IF($F185="","",$F185*chronic_consumption!I585/1000/$C$3)</f>
        <v>#DIV/0!</v>
      </c>
      <c r="O585" s="1040" t="e">
        <f>IF($F185="","",$F185*chronic_consumption!J585/1000/$C$3)</f>
        <v>#DIV/0!</v>
      </c>
      <c r="P585" s="1040" t="e">
        <f>IF($F185="","",$F185*chronic_consumption!K585/1000/$C$3)</f>
        <v>#DIV/0!</v>
      </c>
      <c r="Q585" s="1040" t="e">
        <f>IF($F185="","",$F185*chronic_consumption!L585/1000/$C$3)</f>
        <v>#DIV/0!</v>
      </c>
      <c r="R585" s="1040" t="e">
        <f>IF($F185="","",$F185*chronic_consumption!M585/1000/$C$3)</f>
        <v>#DIV/0!</v>
      </c>
      <c r="S585" s="1040" t="e">
        <f>IF($F185="","",$F185*chronic_consumption!N585/1000/$C$3)</f>
        <v>#DIV/0!</v>
      </c>
      <c r="T585" s="1040" t="e">
        <f>IF($F185="","",$F185*chronic_consumption!O585/1000/$C$3)</f>
        <v>#DIV/0!</v>
      </c>
      <c r="U585" s="1040" t="e">
        <f>IF($F185="","",$F185*chronic_consumption!P585/1000/$C$3)</f>
        <v>#DIV/0!</v>
      </c>
      <c r="V585" s="1040" t="e">
        <f>IF($F185="","",$F185*chronic_consumption!Q585/1000/$C$3)</f>
        <v>#DIV/0!</v>
      </c>
      <c r="W585" s="1040" t="e">
        <f>IF($F185="","",$F185*chronic_consumption!R585/1000/$C$3)</f>
        <v>#DIV/0!</v>
      </c>
      <c r="X585" s="1040" t="e">
        <f>IF($F185="","",$F185*chronic_consumption!S585/1000/$C$3)</f>
        <v>#DIV/0!</v>
      </c>
      <c r="Y585" s="1040" t="e">
        <f>IF($F185="","",$F185*chronic_consumption!T585/1000/$C$3)</f>
        <v>#DIV/0!</v>
      </c>
      <c r="Z585" s="1040" t="e">
        <f>IF($F185="","",$F185*chronic_consumption!U585/1000/$C$3)</f>
        <v>#DIV/0!</v>
      </c>
      <c r="AA585" s="1040" t="e">
        <f>IF($F185="","",$F185*chronic_consumption!V585/1000/$C$3)</f>
        <v>#DIV/0!</v>
      </c>
      <c r="AB585" s="1040" t="e">
        <f>IF($F185="","",$F185*chronic_consumption!W585/1000/$C$3)</f>
        <v>#DIV/0!</v>
      </c>
      <c r="AC585" s="1040" t="e">
        <f>IF($F185="","",$F185*chronic_consumption!X585/1000/$C$3)</f>
        <v>#DIV/0!</v>
      </c>
      <c r="AD585" s="1040" t="e">
        <f>IF($F185="","",$F185*chronic_consumption!Y585/1000/$C$3)</f>
        <v>#DIV/0!</v>
      </c>
      <c r="AE585" s="1040" t="e">
        <f>IF($F185="","",$F185*chronic_consumption!Z585/1000/$C$3)</f>
        <v>#DIV/0!</v>
      </c>
      <c r="AF585" s="1040" t="e">
        <f>IF($F185="","",$F185*chronic_consumption!AA585/1000/$C$3)</f>
        <v>#DIV/0!</v>
      </c>
      <c r="AG585" s="1040" t="e">
        <f>IF($F185="","",$F185*chronic_consumption!AB585/1000/$C$3)</f>
        <v>#DIV/0!</v>
      </c>
      <c r="AH585" s="1040" t="e">
        <f>IF($F185="","",$F185*chronic_consumption!AC585/1000/$C$3)</f>
        <v>#DIV/0!</v>
      </c>
      <c r="AI585" s="1040" t="e">
        <f>IF($F185="","",$F185*chronic_consumption!AD585/1000/$C$3)</f>
        <v>#DIV/0!</v>
      </c>
      <c r="AJ585" s="1040" t="e">
        <f>IF($F185="","",$F185*chronic_consumption!AE585/1000/$C$3)</f>
        <v>#DIV/0!</v>
      </c>
      <c r="AK585" s="1040" t="e">
        <f>IF($F185="","",$F185*chronic_consumption!AF585/1000/$C$3)</f>
        <v>#DIV/0!</v>
      </c>
      <c r="AL585" s="1040" t="e">
        <f>IF($F185="","",$F185*chronic_consumption!AG585/1000/$C$3)</f>
        <v>#DIV/0!</v>
      </c>
      <c r="AM585" s="1040" t="e">
        <f>IF($F185="","",$F185*chronic_consumption!AH585/1000/$C$3)</f>
        <v>#DIV/0!</v>
      </c>
      <c r="AN585" s="1040" t="e">
        <f>IF($F185="","",$F185*chronic_consumption!AI585/1000/$C$3)</f>
        <v>#DIV/0!</v>
      </c>
      <c r="AO585" s="1040" t="e">
        <f>IF($F185="","",$F185*chronic_consumption!AJ585/1000/$C$3)</f>
        <v>#DIV/0!</v>
      </c>
      <c r="AP585" s="1040" t="e">
        <f>IF($F185="","",$F185*chronic_consumption!AK585/1000/$C$3)</f>
        <v>#DIV/0!</v>
      </c>
      <c r="AQ585" s="1040" t="e">
        <f>IF($F185="","",$F185*chronic_consumption!AL585/1000/$C$3)</f>
        <v>#DIV/0!</v>
      </c>
      <c r="AR585" s="1040" t="e">
        <f>IF($F185="","",$F185*chronic_consumption!AM585/1000/$C$3)</f>
        <v>#DIV/0!</v>
      </c>
      <c r="AS585" s="1040" t="e">
        <f>IF($F185="","",$F185*chronic_consumption!AN585/1000/$C$3)</f>
        <v>#DIV/0!</v>
      </c>
      <c r="AT585" s="1040" t="e">
        <f>IF($F185="","",$F185*chronic_consumption!AO585/1000/$C$3)</f>
        <v>#DIV/0!</v>
      </c>
      <c r="AU585" s="1040" t="e">
        <f>IF($F185="","",$F185*chronic_consumption!AP585/1000/$C$3)</f>
        <v>#DIV/0!</v>
      </c>
      <c r="AV585" s="1040" t="e">
        <f>IF($F185="","",$F185*chronic_consumption!AQ585/1000/$C$3)</f>
        <v>#DIV/0!</v>
      </c>
      <c r="AW585" s="1040" t="e">
        <f>IF($F185="","",$F185*chronic_consumption!AR585/1000/$C$3)</f>
        <v>#DIV/0!</v>
      </c>
      <c r="AX585" s="1040" t="e">
        <f>IF($F185="","",$F185*chronic_consumption!AS585/1000/$C$3)</f>
        <v>#DIV/0!</v>
      </c>
      <c r="AY585" s="1040" t="e">
        <f>IF($F185="","",$F185*chronic_consumption!AT585/1000/$C$3)</f>
        <v>#DIV/0!</v>
      </c>
      <c r="AZ585" s="44" t="s">
        <v>20</v>
      </c>
      <c r="BC585" s="29"/>
      <c r="BD585" s="29"/>
    </row>
    <row r="586" spans="1:56" ht="12" customHeight="1" outlineLevel="3" x14ac:dyDescent="0.2">
      <c r="A586" s="21">
        <f>acute_overview_children!A186</f>
        <v>4</v>
      </c>
      <c r="B586" s="325">
        <f t="shared" si="44"/>
        <v>256090</v>
      </c>
      <c r="C586" s="325" t="str">
        <f t="shared" si="44"/>
        <v>Laurel/bay leaves</v>
      </c>
      <c r="D586" s="135"/>
      <c r="E586" s="1027"/>
      <c r="F586" s="87"/>
      <c r="G586" s="1027"/>
      <c r="H586" s="1029"/>
      <c r="I586" s="1030"/>
      <c r="J586" s="1039" t="e">
        <f>IF($F186="","",$F186*chronic_consumption!E586/1000/$C$3)</f>
        <v>#DIV/0!</v>
      </c>
      <c r="K586" s="1040" t="e">
        <f>IF($F186="","",$F186*chronic_consumption!F586/1000/$C$3)</f>
        <v>#DIV/0!</v>
      </c>
      <c r="L586" s="1040" t="e">
        <f>IF($F186="","",$F186*chronic_consumption!G586/1000/$C$3)</f>
        <v>#DIV/0!</v>
      </c>
      <c r="M586" s="1040" t="e">
        <f>IF($F186="","",$F186*chronic_consumption!H586/1000/$C$3)</f>
        <v>#DIV/0!</v>
      </c>
      <c r="N586" s="1040" t="e">
        <f>IF($F186="","",$F186*chronic_consumption!I586/1000/$C$3)</f>
        <v>#DIV/0!</v>
      </c>
      <c r="O586" s="1040" t="e">
        <f>IF($F186="","",$F186*chronic_consumption!J586/1000/$C$3)</f>
        <v>#DIV/0!</v>
      </c>
      <c r="P586" s="1040" t="e">
        <f>IF($F186="","",$F186*chronic_consumption!K586/1000/$C$3)</f>
        <v>#DIV/0!</v>
      </c>
      <c r="Q586" s="1040" t="e">
        <f>IF($F186="","",$F186*chronic_consumption!L586/1000/$C$3)</f>
        <v>#DIV/0!</v>
      </c>
      <c r="R586" s="1040" t="e">
        <f>IF($F186="","",$F186*chronic_consumption!M586/1000/$C$3)</f>
        <v>#DIV/0!</v>
      </c>
      <c r="S586" s="1040" t="e">
        <f>IF($F186="","",$F186*chronic_consumption!N586/1000/$C$3)</f>
        <v>#DIV/0!</v>
      </c>
      <c r="T586" s="1040" t="e">
        <f>IF($F186="","",$F186*chronic_consumption!O586/1000/$C$3)</f>
        <v>#DIV/0!</v>
      </c>
      <c r="U586" s="1040" t="e">
        <f>IF($F186="","",$F186*chronic_consumption!P586/1000/$C$3)</f>
        <v>#DIV/0!</v>
      </c>
      <c r="V586" s="1040" t="e">
        <f>IF($F186="","",$F186*chronic_consumption!Q586/1000/$C$3)</f>
        <v>#DIV/0!</v>
      </c>
      <c r="W586" s="1040" t="e">
        <f>IF($F186="","",$F186*chronic_consumption!R586/1000/$C$3)</f>
        <v>#DIV/0!</v>
      </c>
      <c r="X586" s="1040" t="e">
        <f>IF($F186="","",$F186*chronic_consumption!S586/1000/$C$3)</f>
        <v>#DIV/0!</v>
      </c>
      <c r="Y586" s="1040" t="e">
        <f>IF($F186="","",$F186*chronic_consumption!T586/1000/$C$3)</f>
        <v>#DIV/0!</v>
      </c>
      <c r="Z586" s="1040" t="e">
        <f>IF($F186="","",$F186*chronic_consumption!U586/1000/$C$3)</f>
        <v>#DIV/0!</v>
      </c>
      <c r="AA586" s="1040" t="e">
        <f>IF($F186="","",$F186*chronic_consumption!V586/1000/$C$3)</f>
        <v>#DIV/0!</v>
      </c>
      <c r="AB586" s="1040" t="e">
        <f>IF($F186="","",$F186*chronic_consumption!W586/1000/$C$3)</f>
        <v>#DIV/0!</v>
      </c>
      <c r="AC586" s="1040" t="e">
        <f>IF($F186="","",$F186*chronic_consumption!X586/1000/$C$3)</f>
        <v>#DIV/0!</v>
      </c>
      <c r="AD586" s="1040" t="e">
        <f>IF($F186="","",$F186*chronic_consumption!Y586/1000/$C$3)</f>
        <v>#DIV/0!</v>
      </c>
      <c r="AE586" s="1040" t="e">
        <f>IF($F186="","",$F186*chronic_consumption!Z586/1000/$C$3)</f>
        <v>#DIV/0!</v>
      </c>
      <c r="AF586" s="1040" t="e">
        <f>IF($F186="","",$F186*chronic_consumption!AA586/1000/$C$3)</f>
        <v>#DIV/0!</v>
      </c>
      <c r="AG586" s="1040" t="e">
        <f>IF($F186="","",$F186*chronic_consumption!AB586/1000/$C$3)</f>
        <v>#DIV/0!</v>
      </c>
      <c r="AH586" s="1040" t="e">
        <f>IF($F186="","",$F186*chronic_consumption!AC586/1000/$C$3)</f>
        <v>#DIV/0!</v>
      </c>
      <c r="AI586" s="1040" t="e">
        <f>IF($F186="","",$F186*chronic_consumption!AD586/1000/$C$3)</f>
        <v>#DIV/0!</v>
      </c>
      <c r="AJ586" s="1040" t="e">
        <f>IF($F186="","",$F186*chronic_consumption!AE586/1000/$C$3)</f>
        <v>#DIV/0!</v>
      </c>
      <c r="AK586" s="1040" t="e">
        <f>IF($F186="","",$F186*chronic_consumption!AF586/1000/$C$3)</f>
        <v>#DIV/0!</v>
      </c>
      <c r="AL586" s="1040" t="e">
        <f>IF($F186="","",$F186*chronic_consumption!AG586/1000/$C$3)</f>
        <v>#DIV/0!</v>
      </c>
      <c r="AM586" s="1040" t="e">
        <f>IF($F186="","",$F186*chronic_consumption!AH586/1000/$C$3)</f>
        <v>#DIV/0!</v>
      </c>
      <c r="AN586" s="1040" t="e">
        <f>IF($F186="","",$F186*chronic_consumption!AI586/1000/$C$3)</f>
        <v>#DIV/0!</v>
      </c>
      <c r="AO586" s="1040" t="e">
        <f>IF($F186="","",$F186*chronic_consumption!AJ586/1000/$C$3)</f>
        <v>#DIV/0!</v>
      </c>
      <c r="AP586" s="1040" t="e">
        <f>IF($F186="","",$F186*chronic_consumption!AK586/1000/$C$3)</f>
        <v>#DIV/0!</v>
      </c>
      <c r="AQ586" s="1040" t="e">
        <f>IF($F186="","",$F186*chronic_consumption!AL586/1000/$C$3)</f>
        <v>#DIV/0!</v>
      </c>
      <c r="AR586" s="1040" t="e">
        <f>IF($F186="","",$F186*chronic_consumption!AM586/1000/$C$3)</f>
        <v>#DIV/0!</v>
      </c>
      <c r="AS586" s="1040" t="e">
        <f>IF($F186="","",$F186*chronic_consumption!AN586/1000/$C$3)</f>
        <v>#DIV/0!</v>
      </c>
      <c r="AT586" s="1040" t="e">
        <f>IF($F186="","",$F186*chronic_consumption!AO586/1000/$C$3)</f>
        <v>#DIV/0!</v>
      </c>
      <c r="AU586" s="1040" t="e">
        <f>IF($F186="","",$F186*chronic_consumption!AP586/1000/$C$3)</f>
        <v>#DIV/0!</v>
      </c>
      <c r="AV586" s="1040" t="e">
        <f>IF($F186="","",$F186*chronic_consumption!AQ586/1000/$C$3)</f>
        <v>#DIV/0!</v>
      </c>
      <c r="AW586" s="1040" t="e">
        <f>IF($F186="","",$F186*chronic_consumption!AR586/1000/$C$3)</f>
        <v>#DIV/0!</v>
      </c>
      <c r="AX586" s="1040" t="e">
        <f>IF($F186="","",$F186*chronic_consumption!AS586/1000/$C$3)</f>
        <v>#DIV/0!</v>
      </c>
      <c r="AY586" s="1040" t="e">
        <f>IF($F186="","",$F186*chronic_consumption!AT586/1000/$C$3)</f>
        <v>#DIV/0!</v>
      </c>
      <c r="AZ586" s="44" t="s">
        <v>20</v>
      </c>
      <c r="BC586" s="29"/>
      <c r="BD586" s="29"/>
    </row>
    <row r="587" spans="1:56" ht="12" customHeight="1" outlineLevel="3" x14ac:dyDescent="0.2">
      <c r="A587" s="21">
        <f>acute_overview_children!A187</f>
        <v>4</v>
      </c>
      <c r="B587" s="325">
        <f t="shared" si="44"/>
        <v>256100</v>
      </c>
      <c r="C587" s="325" t="str">
        <f t="shared" si="44"/>
        <v>Tarragon</v>
      </c>
      <c r="D587" s="135"/>
      <c r="E587" s="1027"/>
      <c r="F587" s="87"/>
      <c r="G587" s="1027"/>
      <c r="H587" s="1029"/>
      <c r="I587" s="1030"/>
      <c r="J587" s="1039" t="e">
        <f>IF($F187="","",$F187*chronic_consumption!E587/1000/$C$3)</f>
        <v>#DIV/0!</v>
      </c>
      <c r="K587" s="1040" t="e">
        <f>IF($F187="","",$F187*chronic_consumption!F587/1000/$C$3)</f>
        <v>#DIV/0!</v>
      </c>
      <c r="L587" s="1040" t="e">
        <f>IF($F187="","",$F187*chronic_consumption!G587/1000/$C$3)</f>
        <v>#DIV/0!</v>
      </c>
      <c r="M587" s="1040" t="e">
        <f>IF($F187="","",$F187*chronic_consumption!H587/1000/$C$3)</f>
        <v>#DIV/0!</v>
      </c>
      <c r="N587" s="1040" t="e">
        <f>IF($F187="","",$F187*chronic_consumption!I587/1000/$C$3)</f>
        <v>#DIV/0!</v>
      </c>
      <c r="O587" s="1040" t="e">
        <f>IF($F187="","",$F187*chronic_consumption!J587/1000/$C$3)</f>
        <v>#DIV/0!</v>
      </c>
      <c r="P587" s="1040" t="e">
        <f>IF($F187="","",$F187*chronic_consumption!K587/1000/$C$3)</f>
        <v>#DIV/0!</v>
      </c>
      <c r="Q587" s="1040" t="e">
        <f>IF($F187="","",$F187*chronic_consumption!L587/1000/$C$3)</f>
        <v>#DIV/0!</v>
      </c>
      <c r="R587" s="1040" t="e">
        <f>IF($F187="","",$F187*chronic_consumption!M587/1000/$C$3)</f>
        <v>#DIV/0!</v>
      </c>
      <c r="S587" s="1040" t="e">
        <f>IF($F187="","",$F187*chronic_consumption!N587/1000/$C$3)</f>
        <v>#DIV/0!</v>
      </c>
      <c r="T587" s="1040" t="e">
        <f>IF($F187="","",$F187*chronic_consumption!O587/1000/$C$3)</f>
        <v>#DIV/0!</v>
      </c>
      <c r="U587" s="1040" t="e">
        <f>IF($F187="","",$F187*chronic_consumption!P587/1000/$C$3)</f>
        <v>#DIV/0!</v>
      </c>
      <c r="V587" s="1040" t="e">
        <f>IF($F187="","",$F187*chronic_consumption!Q587/1000/$C$3)</f>
        <v>#DIV/0!</v>
      </c>
      <c r="W587" s="1040" t="e">
        <f>IF($F187="","",$F187*chronic_consumption!R587/1000/$C$3)</f>
        <v>#DIV/0!</v>
      </c>
      <c r="X587" s="1040" t="e">
        <f>IF($F187="","",$F187*chronic_consumption!S587/1000/$C$3)</f>
        <v>#DIV/0!</v>
      </c>
      <c r="Y587" s="1040" t="e">
        <f>IF($F187="","",$F187*chronic_consumption!T587/1000/$C$3)</f>
        <v>#DIV/0!</v>
      </c>
      <c r="Z587" s="1040" t="e">
        <f>IF($F187="","",$F187*chronic_consumption!U587/1000/$C$3)</f>
        <v>#DIV/0!</v>
      </c>
      <c r="AA587" s="1040" t="e">
        <f>IF($F187="","",$F187*chronic_consumption!V587/1000/$C$3)</f>
        <v>#DIV/0!</v>
      </c>
      <c r="AB587" s="1040" t="e">
        <f>IF($F187="","",$F187*chronic_consumption!W587/1000/$C$3)</f>
        <v>#DIV/0!</v>
      </c>
      <c r="AC587" s="1040" t="e">
        <f>IF($F187="","",$F187*chronic_consumption!X587/1000/$C$3)</f>
        <v>#DIV/0!</v>
      </c>
      <c r="AD587" s="1040" t="e">
        <f>IF($F187="","",$F187*chronic_consumption!Y587/1000/$C$3)</f>
        <v>#DIV/0!</v>
      </c>
      <c r="AE587" s="1040" t="e">
        <f>IF($F187="","",$F187*chronic_consumption!Z587/1000/$C$3)</f>
        <v>#DIV/0!</v>
      </c>
      <c r="AF587" s="1040" t="e">
        <f>IF($F187="","",$F187*chronic_consumption!AA587/1000/$C$3)</f>
        <v>#DIV/0!</v>
      </c>
      <c r="AG587" s="1040" t="e">
        <f>IF($F187="","",$F187*chronic_consumption!AB587/1000/$C$3)</f>
        <v>#DIV/0!</v>
      </c>
      <c r="AH587" s="1040" t="e">
        <f>IF($F187="","",$F187*chronic_consumption!AC587/1000/$C$3)</f>
        <v>#DIV/0!</v>
      </c>
      <c r="AI587" s="1040" t="e">
        <f>IF($F187="","",$F187*chronic_consumption!AD587/1000/$C$3)</f>
        <v>#DIV/0!</v>
      </c>
      <c r="AJ587" s="1040" t="e">
        <f>IF($F187="","",$F187*chronic_consumption!AE587/1000/$C$3)</f>
        <v>#DIV/0!</v>
      </c>
      <c r="AK587" s="1040" t="e">
        <f>IF($F187="","",$F187*chronic_consumption!AF587/1000/$C$3)</f>
        <v>#DIV/0!</v>
      </c>
      <c r="AL587" s="1040" t="e">
        <f>IF($F187="","",$F187*chronic_consumption!AG587/1000/$C$3)</f>
        <v>#DIV/0!</v>
      </c>
      <c r="AM587" s="1040" t="e">
        <f>IF($F187="","",$F187*chronic_consumption!AH587/1000/$C$3)</f>
        <v>#DIV/0!</v>
      </c>
      <c r="AN587" s="1040" t="e">
        <f>IF($F187="","",$F187*chronic_consumption!AI587/1000/$C$3)</f>
        <v>#DIV/0!</v>
      </c>
      <c r="AO587" s="1040" t="e">
        <f>IF($F187="","",$F187*chronic_consumption!AJ587/1000/$C$3)</f>
        <v>#DIV/0!</v>
      </c>
      <c r="AP587" s="1040" t="e">
        <f>IF($F187="","",$F187*chronic_consumption!AK587/1000/$C$3)</f>
        <v>#DIV/0!</v>
      </c>
      <c r="AQ587" s="1040" t="e">
        <f>IF($F187="","",$F187*chronic_consumption!AL587/1000/$C$3)</f>
        <v>#DIV/0!</v>
      </c>
      <c r="AR587" s="1040" t="e">
        <f>IF($F187="","",$F187*chronic_consumption!AM587/1000/$C$3)</f>
        <v>#DIV/0!</v>
      </c>
      <c r="AS587" s="1040" t="e">
        <f>IF($F187="","",$F187*chronic_consumption!AN587/1000/$C$3)</f>
        <v>#DIV/0!</v>
      </c>
      <c r="AT587" s="1040" t="e">
        <f>IF($F187="","",$F187*chronic_consumption!AO587/1000/$C$3)</f>
        <v>#DIV/0!</v>
      </c>
      <c r="AU587" s="1040" t="e">
        <f>IF($F187="","",$F187*chronic_consumption!AP587/1000/$C$3)</f>
        <v>#DIV/0!</v>
      </c>
      <c r="AV587" s="1040" t="e">
        <f>IF($F187="","",$F187*chronic_consumption!AQ587/1000/$C$3)</f>
        <v>#DIV/0!</v>
      </c>
      <c r="AW587" s="1040" t="e">
        <f>IF($F187="","",$F187*chronic_consumption!AR587/1000/$C$3)</f>
        <v>#DIV/0!</v>
      </c>
      <c r="AX587" s="1040" t="e">
        <f>IF($F187="","",$F187*chronic_consumption!AS587/1000/$C$3)</f>
        <v>#DIV/0!</v>
      </c>
      <c r="AY587" s="1040" t="e">
        <f>IF($F187="","",$F187*chronic_consumption!AT587/1000/$C$3)</f>
        <v>#DIV/0!</v>
      </c>
      <c r="AZ587" s="44" t="s">
        <v>20</v>
      </c>
      <c r="BC587" s="29"/>
      <c r="BD587" s="29"/>
    </row>
    <row r="588" spans="1:56" ht="12" customHeight="1" outlineLevel="3" x14ac:dyDescent="0.2">
      <c r="A588" s="21">
        <f>acute_overview_children!A188</f>
        <v>4</v>
      </c>
      <c r="B588" s="325">
        <f t="shared" si="44"/>
        <v>256990</v>
      </c>
      <c r="C588" s="325" t="str">
        <f t="shared" si="44"/>
        <v>Other herbs</v>
      </c>
      <c r="D588" s="135"/>
      <c r="E588" s="1027"/>
      <c r="F588" s="87"/>
      <c r="G588" s="1027"/>
      <c r="H588" s="1029"/>
      <c r="I588" s="1030"/>
      <c r="J588" s="1039" t="e">
        <f>IF($F188="","",$F188*chronic_consumption!E588/1000/$C$3)</f>
        <v>#DIV/0!</v>
      </c>
      <c r="K588" s="1040" t="e">
        <f>IF($F188="","",$F188*chronic_consumption!F588/1000/$C$3)</f>
        <v>#DIV/0!</v>
      </c>
      <c r="L588" s="1040" t="e">
        <f>IF($F188="","",$F188*chronic_consumption!G588/1000/$C$3)</f>
        <v>#DIV/0!</v>
      </c>
      <c r="M588" s="1040" t="e">
        <f>IF($F188="","",$F188*chronic_consumption!H588/1000/$C$3)</f>
        <v>#DIV/0!</v>
      </c>
      <c r="N588" s="1040" t="e">
        <f>IF($F188="","",$F188*chronic_consumption!I588/1000/$C$3)</f>
        <v>#DIV/0!</v>
      </c>
      <c r="O588" s="1040" t="e">
        <f>IF($F188="","",$F188*chronic_consumption!J588/1000/$C$3)</f>
        <v>#DIV/0!</v>
      </c>
      <c r="P588" s="1040" t="e">
        <f>IF($F188="","",$F188*chronic_consumption!K588/1000/$C$3)</f>
        <v>#DIV/0!</v>
      </c>
      <c r="Q588" s="1040" t="e">
        <f>IF($F188="","",$F188*chronic_consumption!L588/1000/$C$3)</f>
        <v>#DIV/0!</v>
      </c>
      <c r="R588" s="1040" t="e">
        <f>IF($F188="","",$F188*chronic_consumption!M588/1000/$C$3)</f>
        <v>#DIV/0!</v>
      </c>
      <c r="S588" s="1040" t="e">
        <f>IF($F188="","",$F188*chronic_consumption!N588/1000/$C$3)</f>
        <v>#DIV/0!</v>
      </c>
      <c r="T588" s="1040" t="e">
        <f>IF($F188="","",$F188*chronic_consumption!O588/1000/$C$3)</f>
        <v>#DIV/0!</v>
      </c>
      <c r="U588" s="1040" t="e">
        <f>IF($F188="","",$F188*chronic_consumption!P588/1000/$C$3)</f>
        <v>#DIV/0!</v>
      </c>
      <c r="V588" s="1040" t="e">
        <f>IF($F188="","",$F188*chronic_consumption!Q588/1000/$C$3)</f>
        <v>#DIV/0!</v>
      </c>
      <c r="W588" s="1040" t="e">
        <f>IF($F188="","",$F188*chronic_consumption!R588/1000/$C$3)</f>
        <v>#DIV/0!</v>
      </c>
      <c r="X588" s="1040" t="e">
        <f>IF($F188="","",$F188*chronic_consumption!S588/1000/$C$3)</f>
        <v>#DIV/0!</v>
      </c>
      <c r="Y588" s="1040" t="e">
        <f>IF($F188="","",$F188*chronic_consumption!T588/1000/$C$3)</f>
        <v>#DIV/0!</v>
      </c>
      <c r="Z588" s="1040" t="e">
        <f>IF($F188="","",$F188*chronic_consumption!U588/1000/$C$3)</f>
        <v>#DIV/0!</v>
      </c>
      <c r="AA588" s="1040" t="e">
        <f>IF($F188="","",$F188*chronic_consumption!V588/1000/$C$3)</f>
        <v>#DIV/0!</v>
      </c>
      <c r="AB588" s="1040" t="e">
        <f>IF($F188="","",$F188*chronic_consumption!W588/1000/$C$3)</f>
        <v>#DIV/0!</v>
      </c>
      <c r="AC588" s="1040" t="e">
        <f>IF($F188="","",$F188*chronic_consumption!X588/1000/$C$3)</f>
        <v>#DIV/0!</v>
      </c>
      <c r="AD588" s="1040" t="e">
        <f>IF($F188="","",$F188*chronic_consumption!Y588/1000/$C$3)</f>
        <v>#DIV/0!</v>
      </c>
      <c r="AE588" s="1040" t="e">
        <f>IF($F188="","",$F188*chronic_consumption!Z588/1000/$C$3)</f>
        <v>#DIV/0!</v>
      </c>
      <c r="AF588" s="1040" t="e">
        <f>IF($F188="","",$F188*chronic_consumption!AA588/1000/$C$3)</f>
        <v>#DIV/0!</v>
      </c>
      <c r="AG588" s="1040" t="e">
        <f>IF($F188="","",$F188*chronic_consumption!AB588/1000/$C$3)</f>
        <v>#DIV/0!</v>
      </c>
      <c r="AH588" s="1040" t="e">
        <f>IF($F188="","",$F188*chronic_consumption!AC588/1000/$C$3)</f>
        <v>#DIV/0!</v>
      </c>
      <c r="AI588" s="1040" t="e">
        <f>IF($F188="","",$F188*chronic_consumption!AD588/1000/$C$3)</f>
        <v>#DIV/0!</v>
      </c>
      <c r="AJ588" s="1040" t="e">
        <f>IF($F188="","",$F188*chronic_consumption!AE588/1000/$C$3)</f>
        <v>#DIV/0!</v>
      </c>
      <c r="AK588" s="1040" t="e">
        <f>IF($F188="","",$F188*chronic_consumption!AF588/1000/$C$3)</f>
        <v>#DIV/0!</v>
      </c>
      <c r="AL588" s="1040" t="e">
        <f>IF($F188="","",$F188*chronic_consumption!AG588/1000/$C$3)</f>
        <v>#DIV/0!</v>
      </c>
      <c r="AM588" s="1040" t="e">
        <f>IF($F188="","",$F188*chronic_consumption!AH588/1000/$C$3)</f>
        <v>#DIV/0!</v>
      </c>
      <c r="AN588" s="1040" t="e">
        <f>IF($F188="","",$F188*chronic_consumption!AI588/1000/$C$3)</f>
        <v>#DIV/0!</v>
      </c>
      <c r="AO588" s="1040" t="e">
        <f>IF($F188="","",$F188*chronic_consumption!AJ588/1000/$C$3)</f>
        <v>#DIV/0!</v>
      </c>
      <c r="AP588" s="1040" t="e">
        <f>IF($F188="","",$F188*chronic_consumption!AK588/1000/$C$3)</f>
        <v>#DIV/0!</v>
      </c>
      <c r="AQ588" s="1040" t="e">
        <f>IF($F188="","",$F188*chronic_consumption!AL588/1000/$C$3)</f>
        <v>#DIV/0!</v>
      </c>
      <c r="AR588" s="1040" t="e">
        <f>IF($F188="","",$F188*chronic_consumption!AM588/1000/$C$3)</f>
        <v>#DIV/0!</v>
      </c>
      <c r="AS588" s="1040" t="e">
        <f>IF($F188="","",$F188*chronic_consumption!AN588/1000/$C$3)</f>
        <v>#DIV/0!</v>
      </c>
      <c r="AT588" s="1040" t="e">
        <f>IF($F188="","",$F188*chronic_consumption!AO588/1000/$C$3)</f>
        <v>#DIV/0!</v>
      </c>
      <c r="AU588" s="1040" t="e">
        <f>IF($F188="","",$F188*chronic_consumption!AP588/1000/$C$3)</f>
        <v>#DIV/0!</v>
      </c>
      <c r="AV588" s="1040" t="e">
        <f>IF($F188="","",$F188*chronic_consumption!AQ588/1000/$C$3)</f>
        <v>#DIV/0!</v>
      </c>
      <c r="AW588" s="1040" t="e">
        <f>IF($F188="","",$F188*chronic_consumption!AR588/1000/$C$3)</f>
        <v>#DIV/0!</v>
      </c>
      <c r="AX588" s="1040" t="e">
        <f>IF($F188="","",$F188*chronic_consumption!AS588/1000/$C$3)</f>
        <v>#DIV/0!</v>
      </c>
      <c r="AY588" s="1040" t="e">
        <f>IF($F188="","",$F188*chronic_consumption!AT588/1000/$C$3)</f>
        <v>#DIV/0!</v>
      </c>
      <c r="AZ588" s="44" t="s">
        <v>20</v>
      </c>
      <c r="BC588" s="29"/>
      <c r="BD588" s="29"/>
    </row>
    <row r="589" spans="1:56" ht="12" customHeight="1" outlineLevel="1" x14ac:dyDescent="0.2">
      <c r="A589" s="1033">
        <f>acute_overview_children!A189</f>
        <v>2</v>
      </c>
      <c r="B589" s="1034">
        <f t="shared" si="44"/>
        <v>260000</v>
      </c>
      <c r="C589" s="1034" t="str">
        <f t="shared" si="44"/>
        <v xml:space="preserve">Legume vegetables </v>
      </c>
      <c r="D589" s="1035"/>
      <c r="E589" s="1027"/>
      <c r="F589" s="87"/>
      <c r="G589" s="1027"/>
      <c r="H589" s="1029"/>
      <c r="I589" s="1030"/>
      <c r="J589" s="1037" t="e">
        <f>IF($F189="","",$F189*chronic_consumption!E589/1000/$C$3)</f>
        <v>#DIV/0!</v>
      </c>
      <c r="K589" s="1038" t="e">
        <f>IF($F189="","",$F189*chronic_consumption!F589/1000/$C$3)</f>
        <v>#DIV/0!</v>
      </c>
      <c r="L589" s="1038" t="e">
        <f>IF($F189="","",$F189*chronic_consumption!G589/1000/$C$3)</f>
        <v>#DIV/0!</v>
      </c>
      <c r="M589" s="1038" t="e">
        <f>IF($F189="","",$F189*chronic_consumption!H589/1000/$C$3)</f>
        <v>#DIV/0!</v>
      </c>
      <c r="N589" s="1038" t="e">
        <f>IF($F189="","",$F189*chronic_consumption!I589/1000/$C$3)</f>
        <v>#DIV/0!</v>
      </c>
      <c r="O589" s="1038" t="e">
        <f>IF($F189="","",$F189*chronic_consumption!J589/1000/$C$3)</f>
        <v>#DIV/0!</v>
      </c>
      <c r="P589" s="1038" t="e">
        <f>IF($F189="","",$F189*chronic_consumption!K589/1000/$C$3)</f>
        <v>#DIV/0!</v>
      </c>
      <c r="Q589" s="1038" t="e">
        <f>IF($F189="","",$F189*chronic_consumption!L589/1000/$C$3)</f>
        <v>#DIV/0!</v>
      </c>
      <c r="R589" s="1038" t="e">
        <f>IF($F189="","",$F189*chronic_consumption!M589/1000/$C$3)</f>
        <v>#DIV/0!</v>
      </c>
      <c r="S589" s="1038" t="e">
        <f>IF($F189="","",$F189*chronic_consumption!N589/1000/$C$3)</f>
        <v>#DIV/0!</v>
      </c>
      <c r="T589" s="1038" t="e">
        <f>IF($F189="","",$F189*chronic_consumption!O589/1000/$C$3)</f>
        <v>#DIV/0!</v>
      </c>
      <c r="U589" s="1038" t="e">
        <f>IF($F189="","",$F189*chronic_consumption!P589/1000/$C$3)</f>
        <v>#DIV/0!</v>
      </c>
      <c r="V589" s="1038" t="e">
        <f>IF($F189="","",$F189*chronic_consumption!Q589/1000/$C$3)</f>
        <v>#DIV/0!</v>
      </c>
      <c r="W589" s="1038" t="e">
        <f>IF($F189="","",$F189*chronic_consumption!R589/1000/$C$3)</f>
        <v>#DIV/0!</v>
      </c>
      <c r="X589" s="1038" t="e">
        <f>IF($F189="","",$F189*chronic_consumption!S589/1000/$C$3)</f>
        <v>#DIV/0!</v>
      </c>
      <c r="Y589" s="1038" t="e">
        <f>IF($F189="","",$F189*chronic_consumption!T589/1000/$C$3)</f>
        <v>#DIV/0!</v>
      </c>
      <c r="Z589" s="1038" t="e">
        <f>IF($F189="","",$F189*chronic_consumption!U589/1000/$C$3)</f>
        <v>#DIV/0!</v>
      </c>
      <c r="AA589" s="1038" t="e">
        <f>IF($F189="","",$F189*chronic_consumption!V589/1000/$C$3)</f>
        <v>#DIV/0!</v>
      </c>
      <c r="AB589" s="1038" t="e">
        <f>IF($F189="","",$F189*chronic_consumption!W589/1000/$C$3)</f>
        <v>#DIV/0!</v>
      </c>
      <c r="AC589" s="1038" t="e">
        <f>IF($F189="","",$F189*chronic_consumption!X589/1000/$C$3)</f>
        <v>#DIV/0!</v>
      </c>
      <c r="AD589" s="1038" t="e">
        <f>IF($F189="","",$F189*chronic_consumption!Y589/1000/$C$3)</f>
        <v>#DIV/0!</v>
      </c>
      <c r="AE589" s="1038" t="e">
        <f>IF($F189="","",$F189*chronic_consumption!Z589/1000/$C$3)</f>
        <v>#DIV/0!</v>
      </c>
      <c r="AF589" s="1038" t="e">
        <f>IF($F189="","",$F189*chronic_consumption!AA589/1000/$C$3)</f>
        <v>#DIV/0!</v>
      </c>
      <c r="AG589" s="1038" t="e">
        <f>IF($F189="","",$F189*chronic_consumption!AB589/1000/$C$3)</f>
        <v>#DIV/0!</v>
      </c>
      <c r="AH589" s="1038" t="e">
        <f>IF($F189="","",$F189*chronic_consumption!AC589/1000/$C$3)</f>
        <v>#DIV/0!</v>
      </c>
      <c r="AI589" s="1038" t="e">
        <f>IF($F189="","",$F189*chronic_consumption!AD589/1000/$C$3)</f>
        <v>#DIV/0!</v>
      </c>
      <c r="AJ589" s="1038" t="e">
        <f>IF($F189="","",$F189*chronic_consumption!AE589/1000/$C$3)</f>
        <v>#DIV/0!</v>
      </c>
      <c r="AK589" s="1038" t="e">
        <f>IF($F189="","",$F189*chronic_consumption!AF589/1000/$C$3)</f>
        <v>#DIV/0!</v>
      </c>
      <c r="AL589" s="1038" t="e">
        <f>IF($F189="","",$F189*chronic_consumption!AG589/1000/$C$3)</f>
        <v>#DIV/0!</v>
      </c>
      <c r="AM589" s="1038" t="e">
        <f>IF($F189="","",$F189*chronic_consumption!AH589/1000/$C$3)</f>
        <v>#DIV/0!</v>
      </c>
      <c r="AN589" s="1038" t="e">
        <f>IF($F189="","",$F189*chronic_consumption!AI589/1000/$C$3)</f>
        <v>#DIV/0!</v>
      </c>
      <c r="AO589" s="1038" t="e">
        <f>IF($F189="","",$F189*chronic_consumption!AJ589/1000/$C$3)</f>
        <v>#DIV/0!</v>
      </c>
      <c r="AP589" s="1038" t="e">
        <f>IF($F189="","",$F189*chronic_consumption!AK589/1000/$C$3)</f>
        <v>#DIV/0!</v>
      </c>
      <c r="AQ589" s="1038" t="e">
        <f>IF($F189="","",$F189*chronic_consumption!AL589/1000/$C$3)</f>
        <v>#DIV/0!</v>
      </c>
      <c r="AR589" s="1038" t="e">
        <f>IF($F189="","",$F189*chronic_consumption!AM589/1000/$C$3)</f>
        <v>#DIV/0!</v>
      </c>
      <c r="AS589" s="1038" t="e">
        <f>IF($F189="","",$F189*chronic_consumption!AN589/1000/$C$3)</f>
        <v>#DIV/0!</v>
      </c>
      <c r="AT589" s="1038" t="e">
        <f>IF($F189="","",$F189*chronic_consumption!AO589/1000/$C$3)</f>
        <v>#DIV/0!</v>
      </c>
      <c r="AU589" s="1038" t="e">
        <f>IF($F189="","",$F189*chronic_consumption!AP589/1000/$C$3)</f>
        <v>#DIV/0!</v>
      </c>
      <c r="AV589" s="1038" t="e">
        <f>IF($F189="","",$F189*chronic_consumption!AQ589/1000/$C$3)</f>
        <v>#DIV/0!</v>
      </c>
      <c r="AW589" s="1038" t="e">
        <f>IF($F189="","",$F189*chronic_consumption!AR589/1000/$C$3)</f>
        <v>#DIV/0!</v>
      </c>
      <c r="AX589" s="1038" t="e">
        <f>IF($F189="","",$F189*chronic_consumption!AS589/1000/$C$3)</f>
        <v>#DIV/0!</v>
      </c>
      <c r="AY589" s="1038" t="e">
        <f>IF($F189="","",$F189*chronic_consumption!AT589/1000/$C$3)</f>
        <v>#DIV/0!</v>
      </c>
      <c r="AZ589" s="44" t="s">
        <v>20</v>
      </c>
      <c r="BC589" s="29"/>
      <c r="BD589" s="29"/>
    </row>
    <row r="590" spans="1:56" ht="12" customHeight="1" outlineLevel="3" x14ac:dyDescent="0.2">
      <c r="A590" s="21">
        <f>acute_overview_children!A190</f>
        <v>4</v>
      </c>
      <c r="B590" s="325">
        <f t="shared" si="44"/>
        <v>260010</v>
      </c>
      <c r="C590" s="325" t="str">
        <f t="shared" si="44"/>
        <v>Beans (with pods)</v>
      </c>
      <c r="D590" s="135"/>
      <c r="E590" s="1027"/>
      <c r="F590" s="87"/>
      <c r="G590" s="1027"/>
      <c r="H590" s="1029"/>
      <c r="I590" s="1030"/>
      <c r="J590" s="1039" t="e">
        <f>IF($F190="","",$F190*chronic_consumption!E590/1000/$C$3)</f>
        <v>#DIV/0!</v>
      </c>
      <c r="K590" s="1040" t="e">
        <f>IF($F190="","",$F190*chronic_consumption!F590/1000/$C$3)</f>
        <v>#DIV/0!</v>
      </c>
      <c r="L590" s="1040" t="e">
        <f>IF($F190="","",$F190*chronic_consumption!G590/1000/$C$3)</f>
        <v>#DIV/0!</v>
      </c>
      <c r="M590" s="1040" t="e">
        <f>IF($F190="","",$F190*chronic_consumption!H590/1000/$C$3)</f>
        <v>#DIV/0!</v>
      </c>
      <c r="N590" s="1040" t="e">
        <f>IF($F190="","",$F190*chronic_consumption!I590/1000/$C$3)</f>
        <v>#DIV/0!</v>
      </c>
      <c r="O590" s="1040" t="e">
        <f>IF($F190="","",$F190*chronic_consumption!J590/1000/$C$3)</f>
        <v>#DIV/0!</v>
      </c>
      <c r="P590" s="1040" t="e">
        <f>IF($F190="","",$F190*chronic_consumption!K590/1000/$C$3)</f>
        <v>#DIV/0!</v>
      </c>
      <c r="Q590" s="1040" t="e">
        <f>IF($F190="","",$F190*chronic_consumption!L590/1000/$C$3)</f>
        <v>#DIV/0!</v>
      </c>
      <c r="R590" s="1040" t="e">
        <f>IF($F190="","",$F190*chronic_consumption!M590/1000/$C$3)</f>
        <v>#DIV/0!</v>
      </c>
      <c r="S590" s="1040" t="e">
        <f>IF($F190="","",$F190*chronic_consumption!N590/1000/$C$3)</f>
        <v>#DIV/0!</v>
      </c>
      <c r="T590" s="1040" t="e">
        <f>IF($F190="","",$F190*chronic_consumption!O590/1000/$C$3)</f>
        <v>#DIV/0!</v>
      </c>
      <c r="U590" s="1040" t="e">
        <f>IF($F190="","",$F190*chronic_consumption!P590/1000/$C$3)</f>
        <v>#DIV/0!</v>
      </c>
      <c r="V590" s="1040" t="e">
        <f>IF($F190="","",$F190*chronic_consumption!Q590/1000/$C$3)</f>
        <v>#DIV/0!</v>
      </c>
      <c r="W590" s="1040" t="e">
        <f>IF($F190="","",$F190*chronic_consumption!R590/1000/$C$3)</f>
        <v>#DIV/0!</v>
      </c>
      <c r="X590" s="1040" t="e">
        <f>IF($F190="","",$F190*chronic_consumption!S590/1000/$C$3)</f>
        <v>#DIV/0!</v>
      </c>
      <c r="Y590" s="1040" t="e">
        <f>IF($F190="","",$F190*chronic_consumption!T590/1000/$C$3)</f>
        <v>#DIV/0!</v>
      </c>
      <c r="Z590" s="1040" t="e">
        <f>IF($F190="","",$F190*chronic_consumption!U590/1000/$C$3)</f>
        <v>#DIV/0!</v>
      </c>
      <c r="AA590" s="1040" t="e">
        <f>IF($F190="","",$F190*chronic_consumption!V590/1000/$C$3)</f>
        <v>#DIV/0!</v>
      </c>
      <c r="AB590" s="1040" t="e">
        <f>IF($F190="","",$F190*chronic_consumption!W590/1000/$C$3)</f>
        <v>#DIV/0!</v>
      </c>
      <c r="AC590" s="1040" t="e">
        <f>IF($F190="","",$F190*chronic_consumption!X590/1000/$C$3)</f>
        <v>#DIV/0!</v>
      </c>
      <c r="AD590" s="1040" t="e">
        <f>IF($F190="","",$F190*chronic_consumption!Y590/1000/$C$3)</f>
        <v>#DIV/0!</v>
      </c>
      <c r="AE590" s="1040" t="e">
        <f>IF($F190="","",$F190*chronic_consumption!Z590/1000/$C$3)</f>
        <v>#DIV/0!</v>
      </c>
      <c r="AF590" s="1040" t="e">
        <f>IF($F190="","",$F190*chronic_consumption!AA590/1000/$C$3)</f>
        <v>#DIV/0!</v>
      </c>
      <c r="AG590" s="1040" t="e">
        <f>IF($F190="","",$F190*chronic_consumption!AB590/1000/$C$3)</f>
        <v>#DIV/0!</v>
      </c>
      <c r="AH590" s="1040" t="e">
        <f>IF($F190="","",$F190*chronic_consumption!AC590/1000/$C$3)</f>
        <v>#DIV/0!</v>
      </c>
      <c r="AI590" s="1040" t="e">
        <f>IF($F190="","",$F190*chronic_consumption!AD590/1000/$C$3)</f>
        <v>#DIV/0!</v>
      </c>
      <c r="AJ590" s="1040" t="e">
        <f>IF($F190="","",$F190*chronic_consumption!AE590/1000/$C$3)</f>
        <v>#DIV/0!</v>
      </c>
      <c r="AK590" s="1040" t="e">
        <f>IF($F190="","",$F190*chronic_consumption!AF590/1000/$C$3)</f>
        <v>#DIV/0!</v>
      </c>
      <c r="AL590" s="1040" t="e">
        <f>IF($F190="","",$F190*chronic_consumption!AG590/1000/$C$3)</f>
        <v>#DIV/0!</v>
      </c>
      <c r="AM590" s="1040" t="e">
        <f>IF($F190="","",$F190*chronic_consumption!AH590/1000/$C$3)</f>
        <v>#DIV/0!</v>
      </c>
      <c r="AN590" s="1040" t="e">
        <f>IF($F190="","",$F190*chronic_consumption!AI590/1000/$C$3)</f>
        <v>#DIV/0!</v>
      </c>
      <c r="AO590" s="1040" t="e">
        <f>IF($F190="","",$F190*chronic_consumption!AJ590/1000/$C$3)</f>
        <v>#DIV/0!</v>
      </c>
      <c r="AP590" s="1040" t="e">
        <f>IF($F190="","",$F190*chronic_consumption!AK590/1000/$C$3)</f>
        <v>#DIV/0!</v>
      </c>
      <c r="AQ590" s="1040" t="e">
        <f>IF($F190="","",$F190*chronic_consumption!AL590/1000/$C$3)</f>
        <v>#DIV/0!</v>
      </c>
      <c r="AR590" s="1040" t="e">
        <f>IF($F190="","",$F190*chronic_consumption!AM590/1000/$C$3)</f>
        <v>#DIV/0!</v>
      </c>
      <c r="AS590" s="1040" t="e">
        <f>IF($F190="","",$F190*chronic_consumption!AN590/1000/$C$3)</f>
        <v>#DIV/0!</v>
      </c>
      <c r="AT590" s="1040" t="e">
        <f>IF($F190="","",$F190*chronic_consumption!AO590/1000/$C$3)</f>
        <v>#DIV/0!</v>
      </c>
      <c r="AU590" s="1040" t="e">
        <f>IF($F190="","",$F190*chronic_consumption!AP590/1000/$C$3)</f>
        <v>#DIV/0!</v>
      </c>
      <c r="AV590" s="1040" t="e">
        <f>IF($F190="","",$F190*chronic_consumption!AQ590/1000/$C$3)</f>
        <v>#DIV/0!</v>
      </c>
      <c r="AW590" s="1040" t="e">
        <f>IF($F190="","",$F190*chronic_consumption!AR590/1000/$C$3)</f>
        <v>#DIV/0!</v>
      </c>
      <c r="AX590" s="1040" t="e">
        <f>IF($F190="","",$F190*chronic_consumption!AS590/1000/$C$3)</f>
        <v>#DIV/0!</v>
      </c>
      <c r="AY590" s="1040" t="e">
        <f>IF($F190="","",$F190*chronic_consumption!AT590/1000/$C$3)</f>
        <v>#DIV/0!</v>
      </c>
      <c r="AZ590" s="44" t="s">
        <v>20</v>
      </c>
      <c r="BC590" s="29"/>
      <c r="BD590" s="29"/>
    </row>
    <row r="591" spans="1:56" ht="12" customHeight="1" outlineLevel="3" x14ac:dyDescent="0.2">
      <c r="A591" s="21">
        <f>acute_overview_children!A191</f>
        <v>4</v>
      </c>
      <c r="B591" s="325">
        <f t="shared" si="44"/>
        <v>260020</v>
      </c>
      <c r="C591" s="325" t="str">
        <f t="shared" si="44"/>
        <v>Beans (without pods)</v>
      </c>
      <c r="D591" s="135"/>
      <c r="E591" s="1027"/>
      <c r="F591" s="87"/>
      <c r="G591" s="1027"/>
      <c r="H591" s="1029"/>
      <c r="I591" s="1030"/>
      <c r="J591" s="1039" t="e">
        <f>IF($F191="","",$F191*chronic_consumption!E591/1000/$C$3)</f>
        <v>#DIV/0!</v>
      </c>
      <c r="K591" s="1040" t="e">
        <f>IF($F191="","",$F191*chronic_consumption!F591/1000/$C$3)</f>
        <v>#DIV/0!</v>
      </c>
      <c r="L591" s="1040" t="e">
        <f>IF($F191="","",$F191*chronic_consumption!G591/1000/$C$3)</f>
        <v>#DIV/0!</v>
      </c>
      <c r="M591" s="1040" t="e">
        <f>IF($F191="","",$F191*chronic_consumption!H591/1000/$C$3)</f>
        <v>#DIV/0!</v>
      </c>
      <c r="N591" s="1040" t="e">
        <f>IF($F191="","",$F191*chronic_consumption!I591/1000/$C$3)</f>
        <v>#DIV/0!</v>
      </c>
      <c r="O591" s="1040" t="e">
        <f>IF($F191="","",$F191*chronic_consumption!J591/1000/$C$3)</f>
        <v>#DIV/0!</v>
      </c>
      <c r="P591" s="1040" t="e">
        <f>IF($F191="","",$F191*chronic_consumption!K591/1000/$C$3)</f>
        <v>#DIV/0!</v>
      </c>
      <c r="Q591" s="1040" t="e">
        <f>IF($F191="","",$F191*chronic_consumption!L591/1000/$C$3)</f>
        <v>#DIV/0!</v>
      </c>
      <c r="R591" s="1040" t="e">
        <f>IF($F191="","",$F191*chronic_consumption!M591/1000/$C$3)</f>
        <v>#DIV/0!</v>
      </c>
      <c r="S591" s="1040" t="e">
        <f>IF($F191="","",$F191*chronic_consumption!N591/1000/$C$3)</f>
        <v>#DIV/0!</v>
      </c>
      <c r="T591" s="1040" t="e">
        <f>IF($F191="","",$F191*chronic_consumption!O591/1000/$C$3)</f>
        <v>#DIV/0!</v>
      </c>
      <c r="U591" s="1040" t="e">
        <f>IF($F191="","",$F191*chronic_consumption!P591/1000/$C$3)</f>
        <v>#DIV/0!</v>
      </c>
      <c r="V591" s="1040" t="e">
        <f>IF($F191="","",$F191*chronic_consumption!Q591/1000/$C$3)</f>
        <v>#DIV/0!</v>
      </c>
      <c r="W591" s="1040" t="e">
        <f>IF($F191="","",$F191*chronic_consumption!R591/1000/$C$3)</f>
        <v>#DIV/0!</v>
      </c>
      <c r="X591" s="1040" t="e">
        <f>IF($F191="","",$F191*chronic_consumption!S591/1000/$C$3)</f>
        <v>#DIV/0!</v>
      </c>
      <c r="Y591" s="1040" t="e">
        <f>IF($F191="","",$F191*chronic_consumption!T591/1000/$C$3)</f>
        <v>#DIV/0!</v>
      </c>
      <c r="Z591" s="1040" t="e">
        <f>IF($F191="","",$F191*chronic_consumption!U591/1000/$C$3)</f>
        <v>#DIV/0!</v>
      </c>
      <c r="AA591" s="1040" t="e">
        <f>IF($F191="","",$F191*chronic_consumption!V591/1000/$C$3)</f>
        <v>#DIV/0!</v>
      </c>
      <c r="AB591" s="1040" t="e">
        <f>IF($F191="","",$F191*chronic_consumption!W591/1000/$C$3)</f>
        <v>#DIV/0!</v>
      </c>
      <c r="AC591" s="1040" t="e">
        <f>IF($F191="","",$F191*chronic_consumption!X591/1000/$C$3)</f>
        <v>#DIV/0!</v>
      </c>
      <c r="AD591" s="1040" t="e">
        <f>IF($F191="","",$F191*chronic_consumption!Y591/1000/$C$3)</f>
        <v>#DIV/0!</v>
      </c>
      <c r="AE591" s="1040" t="e">
        <f>IF($F191="","",$F191*chronic_consumption!Z591/1000/$C$3)</f>
        <v>#DIV/0!</v>
      </c>
      <c r="AF591" s="1040" t="e">
        <f>IF($F191="","",$F191*chronic_consumption!AA591/1000/$C$3)</f>
        <v>#DIV/0!</v>
      </c>
      <c r="AG591" s="1040" t="e">
        <f>IF($F191="","",$F191*chronic_consumption!AB591/1000/$C$3)</f>
        <v>#DIV/0!</v>
      </c>
      <c r="AH591" s="1040" t="e">
        <f>IF($F191="","",$F191*chronic_consumption!AC591/1000/$C$3)</f>
        <v>#DIV/0!</v>
      </c>
      <c r="AI591" s="1040" t="e">
        <f>IF($F191="","",$F191*chronic_consumption!AD591/1000/$C$3)</f>
        <v>#DIV/0!</v>
      </c>
      <c r="AJ591" s="1040" t="e">
        <f>IF($F191="","",$F191*chronic_consumption!AE591/1000/$C$3)</f>
        <v>#DIV/0!</v>
      </c>
      <c r="AK591" s="1040" t="e">
        <f>IF($F191="","",$F191*chronic_consumption!AF591/1000/$C$3)</f>
        <v>#DIV/0!</v>
      </c>
      <c r="AL591" s="1040" t="e">
        <f>IF($F191="","",$F191*chronic_consumption!AG591/1000/$C$3)</f>
        <v>#DIV/0!</v>
      </c>
      <c r="AM591" s="1040" t="e">
        <f>IF($F191="","",$F191*chronic_consumption!AH591/1000/$C$3)</f>
        <v>#DIV/0!</v>
      </c>
      <c r="AN591" s="1040" t="e">
        <f>IF($F191="","",$F191*chronic_consumption!AI591/1000/$C$3)</f>
        <v>#DIV/0!</v>
      </c>
      <c r="AO591" s="1040" t="e">
        <f>IF($F191="","",$F191*chronic_consumption!AJ591/1000/$C$3)</f>
        <v>#DIV/0!</v>
      </c>
      <c r="AP591" s="1040" t="e">
        <f>IF($F191="","",$F191*chronic_consumption!AK591/1000/$C$3)</f>
        <v>#DIV/0!</v>
      </c>
      <c r="AQ591" s="1040" t="e">
        <f>IF($F191="","",$F191*chronic_consumption!AL591/1000/$C$3)</f>
        <v>#DIV/0!</v>
      </c>
      <c r="AR591" s="1040" t="e">
        <f>IF($F191="","",$F191*chronic_consumption!AM591/1000/$C$3)</f>
        <v>#DIV/0!</v>
      </c>
      <c r="AS591" s="1040" t="e">
        <f>IF($F191="","",$F191*chronic_consumption!AN591/1000/$C$3)</f>
        <v>#DIV/0!</v>
      </c>
      <c r="AT591" s="1040" t="e">
        <f>IF($F191="","",$F191*chronic_consumption!AO591/1000/$C$3)</f>
        <v>#DIV/0!</v>
      </c>
      <c r="AU591" s="1040" t="e">
        <f>IF($F191="","",$F191*chronic_consumption!AP591/1000/$C$3)</f>
        <v>#DIV/0!</v>
      </c>
      <c r="AV591" s="1040" t="e">
        <f>IF($F191="","",$F191*chronic_consumption!AQ591/1000/$C$3)</f>
        <v>#DIV/0!</v>
      </c>
      <c r="AW591" s="1040" t="e">
        <f>IF($F191="","",$F191*chronic_consumption!AR591/1000/$C$3)</f>
        <v>#DIV/0!</v>
      </c>
      <c r="AX591" s="1040" t="e">
        <f>IF($F191="","",$F191*chronic_consumption!AS591/1000/$C$3)</f>
        <v>#DIV/0!</v>
      </c>
      <c r="AY591" s="1040" t="e">
        <f>IF($F191="","",$F191*chronic_consumption!AT591/1000/$C$3)</f>
        <v>#DIV/0!</v>
      </c>
      <c r="AZ591" s="44" t="s">
        <v>20</v>
      </c>
      <c r="BC591" s="29"/>
      <c r="BD591" s="29"/>
    </row>
    <row r="592" spans="1:56" ht="12" customHeight="1" outlineLevel="3" x14ac:dyDescent="0.2">
      <c r="A592" s="21">
        <f>acute_overview_children!A192</f>
        <v>4</v>
      </c>
      <c r="B592" s="325">
        <f t="shared" ref="B592:C611" si="45">B192</f>
        <v>260030</v>
      </c>
      <c r="C592" s="325" t="str">
        <f t="shared" si="45"/>
        <v>Peas (with pods)</v>
      </c>
      <c r="D592" s="135"/>
      <c r="E592" s="1027"/>
      <c r="F592" s="87"/>
      <c r="G592" s="1027"/>
      <c r="H592" s="1029"/>
      <c r="I592" s="1030"/>
      <c r="J592" s="1039" t="e">
        <f>IF($F192="","",$F192*chronic_consumption!E592/1000/$C$3)</f>
        <v>#DIV/0!</v>
      </c>
      <c r="K592" s="1040" t="e">
        <f>IF($F192="","",$F192*chronic_consumption!F592/1000/$C$3)</f>
        <v>#DIV/0!</v>
      </c>
      <c r="L592" s="1040" t="e">
        <f>IF($F192="","",$F192*chronic_consumption!G592/1000/$C$3)</f>
        <v>#DIV/0!</v>
      </c>
      <c r="M592" s="1040" t="e">
        <f>IF($F192="","",$F192*chronic_consumption!H592/1000/$C$3)</f>
        <v>#DIV/0!</v>
      </c>
      <c r="N592" s="1040" t="e">
        <f>IF($F192="","",$F192*chronic_consumption!I592/1000/$C$3)</f>
        <v>#DIV/0!</v>
      </c>
      <c r="O592" s="1040" t="e">
        <f>IF($F192="","",$F192*chronic_consumption!J592/1000/$C$3)</f>
        <v>#DIV/0!</v>
      </c>
      <c r="P592" s="1040" t="e">
        <f>IF($F192="","",$F192*chronic_consumption!K592/1000/$C$3)</f>
        <v>#DIV/0!</v>
      </c>
      <c r="Q592" s="1040" t="e">
        <f>IF($F192="","",$F192*chronic_consumption!L592/1000/$C$3)</f>
        <v>#DIV/0!</v>
      </c>
      <c r="R592" s="1040" t="e">
        <f>IF($F192="","",$F192*chronic_consumption!M592/1000/$C$3)</f>
        <v>#DIV/0!</v>
      </c>
      <c r="S592" s="1040" t="e">
        <f>IF($F192="","",$F192*chronic_consumption!N592/1000/$C$3)</f>
        <v>#DIV/0!</v>
      </c>
      <c r="T592" s="1040" t="e">
        <f>IF($F192="","",$F192*chronic_consumption!O592/1000/$C$3)</f>
        <v>#DIV/0!</v>
      </c>
      <c r="U592" s="1040" t="e">
        <f>IF($F192="","",$F192*chronic_consumption!P592/1000/$C$3)</f>
        <v>#DIV/0!</v>
      </c>
      <c r="V592" s="1040" t="e">
        <f>IF($F192="","",$F192*chronic_consumption!Q592/1000/$C$3)</f>
        <v>#DIV/0!</v>
      </c>
      <c r="W592" s="1040" t="e">
        <f>IF($F192="","",$F192*chronic_consumption!R592/1000/$C$3)</f>
        <v>#DIV/0!</v>
      </c>
      <c r="X592" s="1040" t="e">
        <f>IF($F192="","",$F192*chronic_consumption!S592/1000/$C$3)</f>
        <v>#DIV/0!</v>
      </c>
      <c r="Y592" s="1040" t="e">
        <f>IF($F192="","",$F192*chronic_consumption!T592/1000/$C$3)</f>
        <v>#DIV/0!</v>
      </c>
      <c r="Z592" s="1040" t="e">
        <f>IF($F192="","",$F192*chronic_consumption!U592/1000/$C$3)</f>
        <v>#DIV/0!</v>
      </c>
      <c r="AA592" s="1040" t="e">
        <f>IF($F192="","",$F192*chronic_consumption!V592/1000/$C$3)</f>
        <v>#DIV/0!</v>
      </c>
      <c r="AB592" s="1040" t="e">
        <f>IF($F192="","",$F192*chronic_consumption!W592/1000/$C$3)</f>
        <v>#DIV/0!</v>
      </c>
      <c r="AC592" s="1040" t="e">
        <f>IF($F192="","",$F192*chronic_consumption!X592/1000/$C$3)</f>
        <v>#DIV/0!</v>
      </c>
      <c r="AD592" s="1040" t="e">
        <f>IF($F192="","",$F192*chronic_consumption!Y592/1000/$C$3)</f>
        <v>#DIV/0!</v>
      </c>
      <c r="AE592" s="1040" t="e">
        <f>IF($F192="","",$F192*chronic_consumption!Z592/1000/$C$3)</f>
        <v>#DIV/0!</v>
      </c>
      <c r="AF592" s="1040" t="e">
        <f>IF($F192="","",$F192*chronic_consumption!AA592/1000/$C$3)</f>
        <v>#DIV/0!</v>
      </c>
      <c r="AG592" s="1040" t="e">
        <f>IF($F192="","",$F192*chronic_consumption!AB592/1000/$C$3)</f>
        <v>#DIV/0!</v>
      </c>
      <c r="AH592" s="1040" t="e">
        <f>IF($F192="","",$F192*chronic_consumption!AC592/1000/$C$3)</f>
        <v>#DIV/0!</v>
      </c>
      <c r="AI592" s="1040" t="e">
        <f>IF($F192="","",$F192*chronic_consumption!AD592/1000/$C$3)</f>
        <v>#DIV/0!</v>
      </c>
      <c r="AJ592" s="1040" t="e">
        <f>IF($F192="","",$F192*chronic_consumption!AE592/1000/$C$3)</f>
        <v>#DIV/0!</v>
      </c>
      <c r="AK592" s="1040" t="e">
        <f>IF($F192="","",$F192*chronic_consumption!AF592/1000/$C$3)</f>
        <v>#DIV/0!</v>
      </c>
      <c r="AL592" s="1040" t="e">
        <f>IF($F192="","",$F192*chronic_consumption!AG592/1000/$C$3)</f>
        <v>#DIV/0!</v>
      </c>
      <c r="AM592" s="1040" t="e">
        <f>IF($F192="","",$F192*chronic_consumption!AH592/1000/$C$3)</f>
        <v>#DIV/0!</v>
      </c>
      <c r="AN592" s="1040" t="e">
        <f>IF($F192="","",$F192*chronic_consumption!AI592/1000/$C$3)</f>
        <v>#DIV/0!</v>
      </c>
      <c r="AO592" s="1040" t="e">
        <f>IF($F192="","",$F192*chronic_consumption!AJ592/1000/$C$3)</f>
        <v>#DIV/0!</v>
      </c>
      <c r="AP592" s="1040" t="e">
        <f>IF($F192="","",$F192*chronic_consumption!AK592/1000/$C$3)</f>
        <v>#DIV/0!</v>
      </c>
      <c r="AQ592" s="1040" t="e">
        <f>IF($F192="","",$F192*chronic_consumption!AL592/1000/$C$3)</f>
        <v>#DIV/0!</v>
      </c>
      <c r="AR592" s="1040" t="e">
        <f>IF($F192="","",$F192*chronic_consumption!AM592/1000/$C$3)</f>
        <v>#DIV/0!</v>
      </c>
      <c r="AS592" s="1040" t="e">
        <f>IF($F192="","",$F192*chronic_consumption!AN592/1000/$C$3)</f>
        <v>#DIV/0!</v>
      </c>
      <c r="AT592" s="1040" t="e">
        <f>IF($F192="","",$F192*chronic_consumption!AO592/1000/$C$3)</f>
        <v>#DIV/0!</v>
      </c>
      <c r="AU592" s="1040" t="e">
        <f>IF($F192="","",$F192*chronic_consumption!AP592/1000/$C$3)</f>
        <v>#DIV/0!</v>
      </c>
      <c r="AV592" s="1040" t="e">
        <f>IF($F192="","",$F192*chronic_consumption!AQ592/1000/$C$3)</f>
        <v>#DIV/0!</v>
      </c>
      <c r="AW592" s="1040" t="e">
        <f>IF($F192="","",$F192*chronic_consumption!AR592/1000/$C$3)</f>
        <v>#DIV/0!</v>
      </c>
      <c r="AX592" s="1040" t="e">
        <f>IF($F192="","",$F192*chronic_consumption!AS592/1000/$C$3)</f>
        <v>#DIV/0!</v>
      </c>
      <c r="AY592" s="1040" t="e">
        <f>IF($F192="","",$F192*chronic_consumption!AT592/1000/$C$3)</f>
        <v>#DIV/0!</v>
      </c>
      <c r="AZ592" s="44" t="s">
        <v>20</v>
      </c>
      <c r="BC592" s="29"/>
      <c r="BD592" s="29"/>
    </row>
    <row r="593" spans="1:56" ht="12" customHeight="1" outlineLevel="3" x14ac:dyDescent="0.2">
      <c r="A593" s="21">
        <f>acute_overview_children!A193</f>
        <v>4</v>
      </c>
      <c r="B593" s="325">
        <f t="shared" si="45"/>
        <v>260040</v>
      </c>
      <c r="C593" s="325" t="str">
        <f t="shared" si="45"/>
        <v>Peas (without pods)</v>
      </c>
      <c r="D593" s="135"/>
      <c r="E593" s="1027"/>
      <c r="F593" s="87"/>
      <c r="G593" s="1027"/>
      <c r="H593" s="1029"/>
      <c r="I593" s="1030"/>
      <c r="J593" s="1039" t="e">
        <f>IF($F193="","",$F193*chronic_consumption!E593/1000/$C$3)</f>
        <v>#DIV/0!</v>
      </c>
      <c r="K593" s="1040" t="e">
        <f>IF($F193="","",$F193*chronic_consumption!F593/1000/$C$3)</f>
        <v>#DIV/0!</v>
      </c>
      <c r="L593" s="1040" t="e">
        <f>IF($F193="","",$F193*chronic_consumption!G593/1000/$C$3)</f>
        <v>#DIV/0!</v>
      </c>
      <c r="M593" s="1040" t="e">
        <f>IF($F193="","",$F193*chronic_consumption!H593/1000/$C$3)</f>
        <v>#DIV/0!</v>
      </c>
      <c r="N593" s="1040" t="e">
        <f>IF($F193="","",$F193*chronic_consumption!I593/1000/$C$3)</f>
        <v>#DIV/0!</v>
      </c>
      <c r="O593" s="1040" t="e">
        <f>IF($F193="","",$F193*chronic_consumption!J593/1000/$C$3)</f>
        <v>#DIV/0!</v>
      </c>
      <c r="P593" s="1040" t="e">
        <f>IF($F193="","",$F193*chronic_consumption!K593/1000/$C$3)</f>
        <v>#DIV/0!</v>
      </c>
      <c r="Q593" s="1040" t="e">
        <f>IF($F193="","",$F193*chronic_consumption!L593/1000/$C$3)</f>
        <v>#DIV/0!</v>
      </c>
      <c r="R593" s="1040" t="e">
        <f>IF($F193="","",$F193*chronic_consumption!M593/1000/$C$3)</f>
        <v>#DIV/0!</v>
      </c>
      <c r="S593" s="1040" t="e">
        <f>IF($F193="","",$F193*chronic_consumption!N593/1000/$C$3)</f>
        <v>#DIV/0!</v>
      </c>
      <c r="T593" s="1040" t="e">
        <f>IF($F193="","",$F193*chronic_consumption!O593/1000/$C$3)</f>
        <v>#DIV/0!</v>
      </c>
      <c r="U593" s="1040" t="e">
        <f>IF($F193="","",$F193*chronic_consumption!P593/1000/$C$3)</f>
        <v>#DIV/0!</v>
      </c>
      <c r="V593" s="1040" t="e">
        <f>IF($F193="","",$F193*chronic_consumption!Q593/1000/$C$3)</f>
        <v>#DIV/0!</v>
      </c>
      <c r="W593" s="1040" t="e">
        <f>IF($F193="","",$F193*chronic_consumption!R593/1000/$C$3)</f>
        <v>#DIV/0!</v>
      </c>
      <c r="X593" s="1040" t="e">
        <f>IF($F193="","",$F193*chronic_consumption!S593/1000/$C$3)</f>
        <v>#DIV/0!</v>
      </c>
      <c r="Y593" s="1040" t="e">
        <f>IF($F193="","",$F193*chronic_consumption!T593/1000/$C$3)</f>
        <v>#DIV/0!</v>
      </c>
      <c r="Z593" s="1040" t="e">
        <f>IF($F193="","",$F193*chronic_consumption!U593/1000/$C$3)</f>
        <v>#DIV/0!</v>
      </c>
      <c r="AA593" s="1040" t="e">
        <f>IF($F193="","",$F193*chronic_consumption!V593/1000/$C$3)</f>
        <v>#DIV/0!</v>
      </c>
      <c r="AB593" s="1040" t="e">
        <f>IF($F193="","",$F193*chronic_consumption!W593/1000/$C$3)</f>
        <v>#DIV/0!</v>
      </c>
      <c r="AC593" s="1040" t="e">
        <f>IF($F193="","",$F193*chronic_consumption!X593/1000/$C$3)</f>
        <v>#DIV/0!</v>
      </c>
      <c r="AD593" s="1040" t="e">
        <f>IF($F193="","",$F193*chronic_consumption!Y593/1000/$C$3)</f>
        <v>#DIV/0!</v>
      </c>
      <c r="AE593" s="1040" t="e">
        <f>IF($F193="","",$F193*chronic_consumption!Z593/1000/$C$3)</f>
        <v>#DIV/0!</v>
      </c>
      <c r="AF593" s="1040" t="e">
        <f>IF($F193="","",$F193*chronic_consumption!AA593/1000/$C$3)</f>
        <v>#DIV/0!</v>
      </c>
      <c r="AG593" s="1040" t="e">
        <f>IF($F193="","",$F193*chronic_consumption!AB593/1000/$C$3)</f>
        <v>#DIV/0!</v>
      </c>
      <c r="AH593" s="1040" t="e">
        <f>IF($F193="","",$F193*chronic_consumption!AC593/1000/$C$3)</f>
        <v>#DIV/0!</v>
      </c>
      <c r="AI593" s="1040" t="e">
        <f>IF($F193="","",$F193*chronic_consumption!AD593/1000/$C$3)</f>
        <v>#DIV/0!</v>
      </c>
      <c r="AJ593" s="1040" t="e">
        <f>IF($F193="","",$F193*chronic_consumption!AE593/1000/$C$3)</f>
        <v>#DIV/0!</v>
      </c>
      <c r="AK593" s="1040" t="e">
        <f>IF($F193="","",$F193*chronic_consumption!AF593/1000/$C$3)</f>
        <v>#DIV/0!</v>
      </c>
      <c r="AL593" s="1040" t="e">
        <f>IF($F193="","",$F193*chronic_consumption!AG593/1000/$C$3)</f>
        <v>#DIV/0!</v>
      </c>
      <c r="AM593" s="1040" t="e">
        <f>IF($F193="","",$F193*chronic_consumption!AH593/1000/$C$3)</f>
        <v>#DIV/0!</v>
      </c>
      <c r="AN593" s="1040" t="e">
        <f>IF($F193="","",$F193*chronic_consumption!AI593/1000/$C$3)</f>
        <v>#DIV/0!</v>
      </c>
      <c r="AO593" s="1040" t="e">
        <f>IF($F193="","",$F193*chronic_consumption!AJ593/1000/$C$3)</f>
        <v>#DIV/0!</v>
      </c>
      <c r="AP593" s="1040" t="e">
        <f>IF($F193="","",$F193*chronic_consumption!AK593/1000/$C$3)</f>
        <v>#DIV/0!</v>
      </c>
      <c r="AQ593" s="1040" t="e">
        <f>IF($F193="","",$F193*chronic_consumption!AL593/1000/$C$3)</f>
        <v>#DIV/0!</v>
      </c>
      <c r="AR593" s="1040" t="e">
        <f>IF($F193="","",$F193*chronic_consumption!AM593/1000/$C$3)</f>
        <v>#DIV/0!</v>
      </c>
      <c r="AS593" s="1040" t="e">
        <f>IF($F193="","",$F193*chronic_consumption!AN593/1000/$C$3)</f>
        <v>#DIV/0!</v>
      </c>
      <c r="AT593" s="1040" t="e">
        <f>IF($F193="","",$F193*chronic_consumption!AO593/1000/$C$3)</f>
        <v>#DIV/0!</v>
      </c>
      <c r="AU593" s="1040" t="e">
        <f>IF($F193="","",$F193*chronic_consumption!AP593/1000/$C$3)</f>
        <v>#DIV/0!</v>
      </c>
      <c r="AV593" s="1040" t="e">
        <f>IF($F193="","",$F193*chronic_consumption!AQ593/1000/$C$3)</f>
        <v>#DIV/0!</v>
      </c>
      <c r="AW593" s="1040" t="e">
        <f>IF($F193="","",$F193*chronic_consumption!AR593/1000/$C$3)</f>
        <v>#DIV/0!</v>
      </c>
      <c r="AX593" s="1040" t="e">
        <f>IF($F193="","",$F193*chronic_consumption!AS593/1000/$C$3)</f>
        <v>#DIV/0!</v>
      </c>
      <c r="AY593" s="1040" t="e">
        <f>IF($F193="","",$F193*chronic_consumption!AT593/1000/$C$3)</f>
        <v>#DIV/0!</v>
      </c>
      <c r="AZ593" s="44" t="s">
        <v>20</v>
      </c>
      <c r="BC593" s="29"/>
      <c r="BD593" s="29"/>
    </row>
    <row r="594" spans="1:56" ht="12" customHeight="1" outlineLevel="3" x14ac:dyDescent="0.2">
      <c r="A594" s="21">
        <f>acute_overview_children!A194</f>
        <v>4</v>
      </c>
      <c r="B594" s="325">
        <f t="shared" si="45"/>
        <v>260050</v>
      </c>
      <c r="C594" s="325" t="str">
        <f t="shared" si="45"/>
        <v>Lentils (fresh)</v>
      </c>
      <c r="D594" s="135"/>
      <c r="E594" s="1027"/>
      <c r="F594" s="87"/>
      <c r="G594" s="1027"/>
      <c r="H594" s="1029"/>
      <c r="I594" s="1030"/>
      <c r="J594" s="1039" t="e">
        <f>IF($F194="","",$F194*chronic_consumption!E594/1000/$C$3)</f>
        <v>#DIV/0!</v>
      </c>
      <c r="K594" s="1040" t="e">
        <f>IF($F194="","",$F194*chronic_consumption!F594/1000/$C$3)</f>
        <v>#DIV/0!</v>
      </c>
      <c r="L594" s="1040" t="e">
        <f>IF($F194="","",$F194*chronic_consumption!G594/1000/$C$3)</f>
        <v>#DIV/0!</v>
      </c>
      <c r="M594" s="1040" t="e">
        <f>IF($F194="","",$F194*chronic_consumption!H594/1000/$C$3)</f>
        <v>#DIV/0!</v>
      </c>
      <c r="N594" s="1040" t="e">
        <f>IF($F194="","",$F194*chronic_consumption!I594/1000/$C$3)</f>
        <v>#DIV/0!</v>
      </c>
      <c r="O594" s="1040" t="e">
        <f>IF($F194="","",$F194*chronic_consumption!J594/1000/$C$3)</f>
        <v>#DIV/0!</v>
      </c>
      <c r="P594" s="1040" t="e">
        <f>IF($F194="","",$F194*chronic_consumption!K594/1000/$C$3)</f>
        <v>#DIV/0!</v>
      </c>
      <c r="Q594" s="1040" t="e">
        <f>IF($F194="","",$F194*chronic_consumption!L594/1000/$C$3)</f>
        <v>#DIV/0!</v>
      </c>
      <c r="R594" s="1040" t="e">
        <f>IF($F194="","",$F194*chronic_consumption!M594/1000/$C$3)</f>
        <v>#DIV/0!</v>
      </c>
      <c r="S594" s="1040" t="e">
        <f>IF($F194="","",$F194*chronic_consumption!N594/1000/$C$3)</f>
        <v>#DIV/0!</v>
      </c>
      <c r="T594" s="1040" t="e">
        <f>IF($F194="","",$F194*chronic_consumption!O594/1000/$C$3)</f>
        <v>#DIV/0!</v>
      </c>
      <c r="U594" s="1040" t="e">
        <f>IF($F194="","",$F194*chronic_consumption!P594/1000/$C$3)</f>
        <v>#DIV/0!</v>
      </c>
      <c r="V594" s="1040" t="e">
        <f>IF($F194="","",$F194*chronic_consumption!Q594/1000/$C$3)</f>
        <v>#DIV/0!</v>
      </c>
      <c r="W594" s="1040" t="e">
        <f>IF($F194="","",$F194*chronic_consumption!R594/1000/$C$3)</f>
        <v>#DIV/0!</v>
      </c>
      <c r="X594" s="1040" t="e">
        <f>IF($F194="","",$F194*chronic_consumption!S594/1000/$C$3)</f>
        <v>#DIV/0!</v>
      </c>
      <c r="Y594" s="1040" t="e">
        <f>IF($F194="","",$F194*chronic_consumption!T594/1000/$C$3)</f>
        <v>#DIV/0!</v>
      </c>
      <c r="Z594" s="1040" t="e">
        <f>IF($F194="","",$F194*chronic_consumption!U594/1000/$C$3)</f>
        <v>#DIV/0!</v>
      </c>
      <c r="AA594" s="1040" t="e">
        <f>IF($F194="","",$F194*chronic_consumption!V594/1000/$C$3)</f>
        <v>#DIV/0!</v>
      </c>
      <c r="AB594" s="1040" t="e">
        <f>IF($F194="","",$F194*chronic_consumption!W594/1000/$C$3)</f>
        <v>#DIV/0!</v>
      </c>
      <c r="AC594" s="1040" t="e">
        <f>IF($F194="","",$F194*chronic_consumption!X594/1000/$C$3)</f>
        <v>#DIV/0!</v>
      </c>
      <c r="AD594" s="1040" t="e">
        <f>IF($F194="","",$F194*chronic_consumption!Y594/1000/$C$3)</f>
        <v>#DIV/0!</v>
      </c>
      <c r="AE594" s="1040" t="e">
        <f>IF($F194="","",$F194*chronic_consumption!Z594/1000/$C$3)</f>
        <v>#DIV/0!</v>
      </c>
      <c r="AF594" s="1040" t="e">
        <f>IF($F194="","",$F194*chronic_consumption!AA594/1000/$C$3)</f>
        <v>#DIV/0!</v>
      </c>
      <c r="AG594" s="1040" t="e">
        <f>IF($F194="","",$F194*chronic_consumption!AB594/1000/$C$3)</f>
        <v>#DIV/0!</v>
      </c>
      <c r="AH594" s="1040" t="e">
        <f>IF($F194="","",$F194*chronic_consumption!AC594/1000/$C$3)</f>
        <v>#DIV/0!</v>
      </c>
      <c r="AI594" s="1040" t="e">
        <f>IF($F194="","",$F194*chronic_consumption!AD594/1000/$C$3)</f>
        <v>#DIV/0!</v>
      </c>
      <c r="AJ594" s="1040" t="e">
        <f>IF($F194="","",$F194*chronic_consumption!AE594/1000/$C$3)</f>
        <v>#DIV/0!</v>
      </c>
      <c r="AK594" s="1040" t="e">
        <f>IF($F194="","",$F194*chronic_consumption!AF594/1000/$C$3)</f>
        <v>#DIV/0!</v>
      </c>
      <c r="AL594" s="1040" t="e">
        <f>IF($F194="","",$F194*chronic_consumption!AG594/1000/$C$3)</f>
        <v>#DIV/0!</v>
      </c>
      <c r="AM594" s="1040" t="e">
        <f>IF($F194="","",$F194*chronic_consumption!AH594/1000/$C$3)</f>
        <v>#DIV/0!</v>
      </c>
      <c r="AN594" s="1040" t="e">
        <f>IF($F194="","",$F194*chronic_consumption!AI594/1000/$C$3)</f>
        <v>#DIV/0!</v>
      </c>
      <c r="AO594" s="1040" t="e">
        <f>IF($F194="","",$F194*chronic_consumption!AJ594/1000/$C$3)</f>
        <v>#DIV/0!</v>
      </c>
      <c r="AP594" s="1040" t="e">
        <f>IF($F194="","",$F194*chronic_consumption!AK594/1000/$C$3)</f>
        <v>#DIV/0!</v>
      </c>
      <c r="AQ594" s="1040" t="e">
        <f>IF($F194="","",$F194*chronic_consumption!AL594/1000/$C$3)</f>
        <v>#DIV/0!</v>
      </c>
      <c r="AR594" s="1040" t="e">
        <f>IF($F194="","",$F194*chronic_consumption!AM594/1000/$C$3)</f>
        <v>#DIV/0!</v>
      </c>
      <c r="AS594" s="1040" t="e">
        <f>IF($F194="","",$F194*chronic_consumption!AN594/1000/$C$3)</f>
        <v>#DIV/0!</v>
      </c>
      <c r="AT594" s="1040" t="e">
        <f>IF($F194="","",$F194*chronic_consumption!AO594/1000/$C$3)</f>
        <v>#DIV/0!</v>
      </c>
      <c r="AU594" s="1040" t="e">
        <f>IF($F194="","",$F194*chronic_consumption!AP594/1000/$C$3)</f>
        <v>#DIV/0!</v>
      </c>
      <c r="AV594" s="1040" t="e">
        <f>IF($F194="","",$F194*chronic_consumption!AQ594/1000/$C$3)</f>
        <v>#DIV/0!</v>
      </c>
      <c r="AW594" s="1040" t="e">
        <f>IF($F194="","",$F194*chronic_consumption!AR594/1000/$C$3)</f>
        <v>#DIV/0!</v>
      </c>
      <c r="AX594" s="1040" t="e">
        <f>IF($F194="","",$F194*chronic_consumption!AS594/1000/$C$3)</f>
        <v>#DIV/0!</v>
      </c>
      <c r="AY594" s="1040" t="e">
        <f>IF($F194="","",$F194*chronic_consumption!AT594/1000/$C$3)</f>
        <v>#DIV/0!</v>
      </c>
      <c r="AZ594" s="44" t="s">
        <v>20</v>
      </c>
      <c r="BC594" s="29"/>
      <c r="BD594" s="29"/>
    </row>
    <row r="595" spans="1:56" ht="12" customHeight="1" outlineLevel="3" x14ac:dyDescent="0.2">
      <c r="A595" s="21">
        <f>acute_overview_children!A195</f>
        <v>4</v>
      </c>
      <c r="B595" s="325">
        <f t="shared" si="45"/>
        <v>260990</v>
      </c>
      <c r="C595" s="325" t="str">
        <f t="shared" si="45"/>
        <v>Other legume vegetables (fresh)</v>
      </c>
      <c r="D595" s="135"/>
      <c r="E595" s="1027"/>
      <c r="F595" s="87"/>
      <c r="G595" s="1027"/>
      <c r="H595" s="1029"/>
      <c r="I595" s="1030"/>
      <c r="J595" s="1039" t="e">
        <f>IF($F195="","",$F195*chronic_consumption!E595/1000/$C$3)</f>
        <v>#DIV/0!</v>
      </c>
      <c r="K595" s="1040" t="e">
        <f>IF($F195="","",$F195*chronic_consumption!F595/1000/$C$3)</f>
        <v>#DIV/0!</v>
      </c>
      <c r="L595" s="1040" t="e">
        <f>IF($F195="","",$F195*chronic_consumption!G595/1000/$C$3)</f>
        <v>#DIV/0!</v>
      </c>
      <c r="M595" s="1040" t="e">
        <f>IF($F195="","",$F195*chronic_consumption!H595/1000/$C$3)</f>
        <v>#DIV/0!</v>
      </c>
      <c r="N595" s="1040" t="e">
        <f>IF($F195="","",$F195*chronic_consumption!I595/1000/$C$3)</f>
        <v>#DIV/0!</v>
      </c>
      <c r="O595" s="1040" t="e">
        <f>IF($F195="","",$F195*chronic_consumption!J595/1000/$C$3)</f>
        <v>#DIV/0!</v>
      </c>
      <c r="P595" s="1040" t="e">
        <f>IF($F195="","",$F195*chronic_consumption!K595/1000/$C$3)</f>
        <v>#DIV/0!</v>
      </c>
      <c r="Q595" s="1040" t="e">
        <f>IF($F195="","",$F195*chronic_consumption!L595/1000/$C$3)</f>
        <v>#DIV/0!</v>
      </c>
      <c r="R595" s="1040" t="e">
        <f>IF($F195="","",$F195*chronic_consumption!M595/1000/$C$3)</f>
        <v>#DIV/0!</v>
      </c>
      <c r="S595" s="1040" t="e">
        <f>IF($F195="","",$F195*chronic_consumption!N595/1000/$C$3)</f>
        <v>#DIV/0!</v>
      </c>
      <c r="T595" s="1040" t="e">
        <f>IF($F195="","",$F195*chronic_consumption!O595/1000/$C$3)</f>
        <v>#DIV/0!</v>
      </c>
      <c r="U595" s="1040" t="e">
        <f>IF($F195="","",$F195*chronic_consumption!P595/1000/$C$3)</f>
        <v>#DIV/0!</v>
      </c>
      <c r="V595" s="1040" t="e">
        <f>IF($F195="","",$F195*chronic_consumption!Q595/1000/$C$3)</f>
        <v>#DIV/0!</v>
      </c>
      <c r="W595" s="1040" t="e">
        <f>IF($F195="","",$F195*chronic_consumption!R595/1000/$C$3)</f>
        <v>#DIV/0!</v>
      </c>
      <c r="X595" s="1040" t="e">
        <f>IF($F195="","",$F195*chronic_consumption!S595/1000/$C$3)</f>
        <v>#DIV/0!</v>
      </c>
      <c r="Y595" s="1040" t="e">
        <f>IF($F195="","",$F195*chronic_consumption!T595/1000/$C$3)</f>
        <v>#DIV/0!</v>
      </c>
      <c r="Z595" s="1040" t="e">
        <f>IF($F195="","",$F195*chronic_consumption!U595/1000/$C$3)</f>
        <v>#DIV/0!</v>
      </c>
      <c r="AA595" s="1040" t="e">
        <f>IF($F195="","",$F195*chronic_consumption!V595/1000/$C$3)</f>
        <v>#DIV/0!</v>
      </c>
      <c r="AB595" s="1040" t="e">
        <f>IF($F195="","",$F195*chronic_consumption!W595/1000/$C$3)</f>
        <v>#DIV/0!</v>
      </c>
      <c r="AC595" s="1040" t="e">
        <f>IF($F195="","",$F195*chronic_consumption!X595/1000/$C$3)</f>
        <v>#DIV/0!</v>
      </c>
      <c r="AD595" s="1040" t="e">
        <f>IF($F195="","",$F195*chronic_consumption!Y595/1000/$C$3)</f>
        <v>#DIV/0!</v>
      </c>
      <c r="AE595" s="1040" t="e">
        <f>IF($F195="","",$F195*chronic_consumption!Z595/1000/$C$3)</f>
        <v>#DIV/0!</v>
      </c>
      <c r="AF595" s="1040" t="e">
        <f>IF($F195="","",$F195*chronic_consumption!AA595/1000/$C$3)</f>
        <v>#DIV/0!</v>
      </c>
      <c r="AG595" s="1040" t="e">
        <f>IF($F195="","",$F195*chronic_consumption!AB595/1000/$C$3)</f>
        <v>#DIV/0!</v>
      </c>
      <c r="AH595" s="1040" t="e">
        <f>IF($F195="","",$F195*chronic_consumption!AC595/1000/$C$3)</f>
        <v>#DIV/0!</v>
      </c>
      <c r="AI595" s="1040" t="e">
        <f>IF($F195="","",$F195*chronic_consumption!AD595/1000/$C$3)</f>
        <v>#DIV/0!</v>
      </c>
      <c r="AJ595" s="1040" t="e">
        <f>IF($F195="","",$F195*chronic_consumption!AE595/1000/$C$3)</f>
        <v>#DIV/0!</v>
      </c>
      <c r="AK595" s="1040" t="e">
        <f>IF($F195="","",$F195*chronic_consumption!AF595/1000/$C$3)</f>
        <v>#DIV/0!</v>
      </c>
      <c r="AL595" s="1040" t="e">
        <f>IF($F195="","",$F195*chronic_consumption!AG595/1000/$C$3)</f>
        <v>#DIV/0!</v>
      </c>
      <c r="AM595" s="1040" t="e">
        <f>IF($F195="","",$F195*chronic_consumption!AH595/1000/$C$3)</f>
        <v>#DIV/0!</v>
      </c>
      <c r="AN595" s="1040" t="e">
        <f>IF($F195="","",$F195*chronic_consumption!AI595/1000/$C$3)</f>
        <v>#DIV/0!</v>
      </c>
      <c r="AO595" s="1040" t="e">
        <f>IF($F195="","",$F195*chronic_consumption!AJ595/1000/$C$3)</f>
        <v>#DIV/0!</v>
      </c>
      <c r="AP595" s="1040" t="e">
        <f>IF($F195="","",$F195*chronic_consumption!AK595/1000/$C$3)</f>
        <v>#DIV/0!</v>
      </c>
      <c r="AQ595" s="1040" t="e">
        <f>IF($F195="","",$F195*chronic_consumption!AL595/1000/$C$3)</f>
        <v>#DIV/0!</v>
      </c>
      <c r="AR595" s="1040" t="e">
        <f>IF($F195="","",$F195*chronic_consumption!AM595/1000/$C$3)</f>
        <v>#DIV/0!</v>
      </c>
      <c r="AS595" s="1040" t="e">
        <f>IF($F195="","",$F195*chronic_consumption!AN595/1000/$C$3)</f>
        <v>#DIV/0!</v>
      </c>
      <c r="AT595" s="1040" t="e">
        <f>IF($F195="","",$F195*chronic_consumption!AO595/1000/$C$3)</f>
        <v>#DIV/0!</v>
      </c>
      <c r="AU595" s="1040" t="e">
        <f>IF($F195="","",$F195*chronic_consumption!AP595/1000/$C$3)</f>
        <v>#DIV/0!</v>
      </c>
      <c r="AV595" s="1040" t="e">
        <f>IF($F195="","",$F195*chronic_consumption!AQ595/1000/$C$3)</f>
        <v>#DIV/0!</v>
      </c>
      <c r="AW595" s="1040" t="e">
        <f>IF($F195="","",$F195*chronic_consumption!AR595/1000/$C$3)</f>
        <v>#DIV/0!</v>
      </c>
      <c r="AX595" s="1040" t="e">
        <f>IF($F195="","",$F195*chronic_consumption!AS595/1000/$C$3)</f>
        <v>#DIV/0!</v>
      </c>
      <c r="AY595" s="1040" t="e">
        <f>IF($F195="","",$F195*chronic_consumption!AT595/1000/$C$3)</f>
        <v>#DIV/0!</v>
      </c>
      <c r="AZ595" s="44" t="s">
        <v>20</v>
      </c>
      <c r="BC595" s="29"/>
      <c r="BD595" s="29"/>
    </row>
    <row r="596" spans="1:56" ht="12" customHeight="1" outlineLevel="1" x14ac:dyDescent="0.2">
      <c r="A596" s="1033">
        <f>acute_overview_children!A196</f>
        <v>2</v>
      </c>
      <c r="B596" s="1034">
        <f t="shared" si="45"/>
        <v>270000</v>
      </c>
      <c r="C596" s="1034" t="str">
        <f t="shared" si="45"/>
        <v xml:space="preserve">Stem vegetables </v>
      </c>
      <c r="D596" s="1035"/>
      <c r="E596" s="1027"/>
      <c r="F596" s="87"/>
      <c r="G596" s="1027"/>
      <c r="H596" s="1029"/>
      <c r="I596" s="1030"/>
      <c r="J596" s="1037" t="e">
        <f>IF($F196="","",$F196*chronic_consumption!E596/1000/$C$3)</f>
        <v>#DIV/0!</v>
      </c>
      <c r="K596" s="1038" t="e">
        <f>IF($F196="","",$F196*chronic_consumption!F596/1000/$C$3)</f>
        <v>#DIV/0!</v>
      </c>
      <c r="L596" s="1038" t="e">
        <f>IF($F196="","",$F196*chronic_consumption!G596/1000/$C$3)</f>
        <v>#DIV/0!</v>
      </c>
      <c r="M596" s="1038" t="e">
        <f>IF($F196="","",$F196*chronic_consumption!H596/1000/$C$3)</f>
        <v>#DIV/0!</v>
      </c>
      <c r="N596" s="1038" t="e">
        <f>IF($F196="","",$F196*chronic_consumption!I596/1000/$C$3)</f>
        <v>#DIV/0!</v>
      </c>
      <c r="O596" s="1038" t="e">
        <f>IF($F196="","",$F196*chronic_consumption!J596/1000/$C$3)</f>
        <v>#DIV/0!</v>
      </c>
      <c r="P596" s="1038" t="e">
        <f>IF($F196="","",$F196*chronic_consumption!K596/1000/$C$3)</f>
        <v>#DIV/0!</v>
      </c>
      <c r="Q596" s="1038" t="e">
        <f>IF($F196="","",$F196*chronic_consumption!L596/1000/$C$3)</f>
        <v>#DIV/0!</v>
      </c>
      <c r="R596" s="1038" t="e">
        <f>IF($F196="","",$F196*chronic_consumption!M596/1000/$C$3)</f>
        <v>#DIV/0!</v>
      </c>
      <c r="S596" s="1038" t="e">
        <f>IF($F196="","",$F196*chronic_consumption!N596/1000/$C$3)</f>
        <v>#DIV/0!</v>
      </c>
      <c r="T596" s="1038" t="e">
        <f>IF($F196="","",$F196*chronic_consumption!O596/1000/$C$3)</f>
        <v>#DIV/0!</v>
      </c>
      <c r="U596" s="1038" t="e">
        <f>IF($F196="","",$F196*chronic_consumption!P596/1000/$C$3)</f>
        <v>#DIV/0!</v>
      </c>
      <c r="V596" s="1038" t="e">
        <f>IF($F196="","",$F196*chronic_consumption!Q596/1000/$C$3)</f>
        <v>#DIV/0!</v>
      </c>
      <c r="W596" s="1038" t="e">
        <f>IF($F196="","",$F196*chronic_consumption!R596/1000/$C$3)</f>
        <v>#DIV/0!</v>
      </c>
      <c r="X596" s="1038" t="e">
        <f>IF($F196="","",$F196*chronic_consumption!S596/1000/$C$3)</f>
        <v>#DIV/0!</v>
      </c>
      <c r="Y596" s="1038" t="e">
        <f>IF($F196="","",$F196*chronic_consumption!T596/1000/$C$3)</f>
        <v>#DIV/0!</v>
      </c>
      <c r="Z596" s="1038" t="e">
        <f>IF($F196="","",$F196*chronic_consumption!U596/1000/$C$3)</f>
        <v>#DIV/0!</v>
      </c>
      <c r="AA596" s="1038" t="e">
        <f>IF($F196="","",$F196*chronic_consumption!V596/1000/$C$3)</f>
        <v>#DIV/0!</v>
      </c>
      <c r="AB596" s="1038" t="e">
        <f>IF($F196="","",$F196*chronic_consumption!W596/1000/$C$3)</f>
        <v>#DIV/0!</v>
      </c>
      <c r="AC596" s="1038" t="e">
        <f>IF($F196="","",$F196*chronic_consumption!X596/1000/$C$3)</f>
        <v>#DIV/0!</v>
      </c>
      <c r="AD596" s="1038" t="e">
        <f>IF($F196="","",$F196*chronic_consumption!Y596/1000/$C$3)</f>
        <v>#DIV/0!</v>
      </c>
      <c r="AE596" s="1038" t="e">
        <f>IF($F196="","",$F196*chronic_consumption!Z596/1000/$C$3)</f>
        <v>#DIV/0!</v>
      </c>
      <c r="AF596" s="1038" t="e">
        <f>IF($F196="","",$F196*chronic_consumption!AA596/1000/$C$3)</f>
        <v>#DIV/0!</v>
      </c>
      <c r="AG596" s="1038" t="e">
        <f>IF($F196="","",$F196*chronic_consumption!AB596/1000/$C$3)</f>
        <v>#DIV/0!</v>
      </c>
      <c r="AH596" s="1038" t="e">
        <f>IF($F196="","",$F196*chronic_consumption!AC596/1000/$C$3)</f>
        <v>#DIV/0!</v>
      </c>
      <c r="AI596" s="1038" t="e">
        <f>IF($F196="","",$F196*chronic_consumption!AD596/1000/$C$3)</f>
        <v>#DIV/0!</v>
      </c>
      <c r="AJ596" s="1038" t="e">
        <f>IF($F196="","",$F196*chronic_consumption!AE596/1000/$C$3)</f>
        <v>#DIV/0!</v>
      </c>
      <c r="AK596" s="1038" t="e">
        <f>IF($F196="","",$F196*chronic_consumption!AF596/1000/$C$3)</f>
        <v>#DIV/0!</v>
      </c>
      <c r="AL596" s="1038" t="e">
        <f>IF($F196="","",$F196*chronic_consumption!AG596/1000/$C$3)</f>
        <v>#DIV/0!</v>
      </c>
      <c r="AM596" s="1038" t="e">
        <f>IF($F196="","",$F196*chronic_consumption!AH596/1000/$C$3)</f>
        <v>#DIV/0!</v>
      </c>
      <c r="AN596" s="1038" t="e">
        <f>IF($F196="","",$F196*chronic_consumption!AI596/1000/$C$3)</f>
        <v>#DIV/0!</v>
      </c>
      <c r="AO596" s="1038" t="e">
        <f>IF($F196="","",$F196*chronic_consumption!AJ596/1000/$C$3)</f>
        <v>#DIV/0!</v>
      </c>
      <c r="AP596" s="1038" t="e">
        <f>IF($F196="","",$F196*chronic_consumption!AK596/1000/$C$3)</f>
        <v>#DIV/0!</v>
      </c>
      <c r="AQ596" s="1038" t="e">
        <f>IF($F196="","",$F196*chronic_consumption!AL596/1000/$C$3)</f>
        <v>#DIV/0!</v>
      </c>
      <c r="AR596" s="1038" t="e">
        <f>IF($F196="","",$F196*chronic_consumption!AM596/1000/$C$3)</f>
        <v>#DIV/0!</v>
      </c>
      <c r="AS596" s="1038" t="e">
        <f>IF($F196="","",$F196*chronic_consumption!AN596/1000/$C$3)</f>
        <v>#DIV/0!</v>
      </c>
      <c r="AT596" s="1038" t="e">
        <f>IF($F196="","",$F196*chronic_consumption!AO596/1000/$C$3)</f>
        <v>#DIV/0!</v>
      </c>
      <c r="AU596" s="1038" t="e">
        <f>IF($F196="","",$F196*chronic_consumption!AP596/1000/$C$3)</f>
        <v>#DIV/0!</v>
      </c>
      <c r="AV596" s="1038" t="e">
        <f>IF($F196="","",$F196*chronic_consumption!AQ596/1000/$C$3)</f>
        <v>#DIV/0!</v>
      </c>
      <c r="AW596" s="1038" t="e">
        <f>IF($F196="","",$F196*chronic_consumption!AR596/1000/$C$3)</f>
        <v>#DIV/0!</v>
      </c>
      <c r="AX596" s="1038" t="e">
        <f>IF($F196="","",$F196*chronic_consumption!AS596/1000/$C$3)</f>
        <v>#DIV/0!</v>
      </c>
      <c r="AY596" s="1038" t="e">
        <f>IF($F196="","",$F196*chronic_consumption!AT596/1000/$C$3)</f>
        <v>#DIV/0!</v>
      </c>
      <c r="AZ596" s="44" t="s">
        <v>20</v>
      </c>
      <c r="BC596" s="29"/>
      <c r="BD596" s="29"/>
    </row>
    <row r="597" spans="1:56" ht="12" customHeight="1" outlineLevel="3" x14ac:dyDescent="0.2">
      <c r="A597" s="21">
        <f>acute_overview_children!A197</f>
        <v>4</v>
      </c>
      <c r="B597" s="325">
        <f t="shared" si="45"/>
        <v>270010</v>
      </c>
      <c r="C597" s="325" t="str">
        <f t="shared" si="45"/>
        <v>Asparagus</v>
      </c>
      <c r="D597" s="135"/>
      <c r="E597" s="1027"/>
      <c r="F597" s="87"/>
      <c r="G597" s="1027"/>
      <c r="H597" s="1029"/>
      <c r="I597" s="1030"/>
      <c r="J597" s="1039" t="e">
        <f>IF($F197="","",$F197*chronic_consumption!E597/1000/$C$3)</f>
        <v>#DIV/0!</v>
      </c>
      <c r="K597" s="1040" t="e">
        <f>IF($F197="","",$F197*chronic_consumption!F597/1000/$C$3)</f>
        <v>#DIV/0!</v>
      </c>
      <c r="L597" s="1040" t="e">
        <f>IF($F197="","",$F197*chronic_consumption!G597/1000/$C$3)</f>
        <v>#DIV/0!</v>
      </c>
      <c r="M597" s="1040" t="e">
        <f>IF($F197="","",$F197*chronic_consumption!H597/1000/$C$3)</f>
        <v>#DIV/0!</v>
      </c>
      <c r="N597" s="1040" t="e">
        <f>IF($F197="","",$F197*chronic_consumption!I597/1000/$C$3)</f>
        <v>#DIV/0!</v>
      </c>
      <c r="O597" s="1040" t="e">
        <f>IF($F197="","",$F197*chronic_consumption!J597/1000/$C$3)</f>
        <v>#DIV/0!</v>
      </c>
      <c r="P597" s="1040" t="e">
        <f>IF($F197="","",$F197*chronic_consumption!K597/1000/$C$3)</f>
        <v>#DIV/0!</v>
      </c>
      <c r="Q597" s="1040" t="e">
        <f>IF($F197="","",$F197*chronic_consumption!L597/1000/$C$3)</f>
        <v>#DIV/0!</v>
      </c>
      <c r="R597" s="1040" t="e">
        <f>IF($F197="","",$F197*chronic_consumption!M597/1000/$C$3)</f>
        <v>#DIV/0!</v>
      </c>
      <c r="S597" s="1040" t="e">
        <f>IF($F197="","",$F197*chronic_consumption!N597/1000/$C$3)</f>
        <v>#DIV/0!</v>
      </c>
      <c r="T597" s="1040" t="e">
        <f>IF($F197="","",$F197*chronic_consumption!O597/1000/$C$3)</f>
        <v>#DIV/0!</v>
      </c>
      <c r="U597" s="1040" t="e">
        <f>IF($F197="","",$F197*chronic_consumption!P597/1000/$C$3)</f>
        <v>#DIV/0!</v>
      </c>
      <c r="V597" s="1040" t="e">
        <f>IF($F197="","",$F197*chronic_consumption!Q597/1000/$C$3)</f>
        <v>#DIV/0!</v>
      </c>
      <c r="W597" s="1040" t="e">
        <f>IF($F197="","",$F197*chronic_consumption!R597/1000/$C$3)</f>
        <v>#DIV/0!</v>
      </c>
      <c r="X597" s="1040" t="e">
        <f>IF($F197="","",$F197*chronic_consumption!S597/1000/$C$3)</f>
        <v>#DIV/0!</v>
      </c>
      <c r="Y597" s="1040" t="e">
        <f>IF($F197="","",$F197*chronic_consumption!T597/1000/$C$3)</f>
        <v>#DIV/0!</v>
      </c>
      <c r="Z597" s="1040" t="e">
        <f>IF($F197="","",$F197*chronic_consumption!U597/1000/$C$3)</f>
        <v>#DIV/0!</v>
      </c>
      <c r="AA597" s="1040" t="e">
        <f>IF($F197="","",$F197*chronic_consumption!V597/1000/$C$3)</f>
        <v>#DIV/0!</v>
      </c>
      <c r="AB597" s="1040" t="e">
        <f>IF($F197="","",$F197*chronic_consumption!W597/1000/$C$3)</f>
        <v>#DIV/0!</v>
      </c>
      <c r="AC597" s="1040" t="e">
        <f>IF($F197="","",$F197*chronic_consumption!X597/1000/$C$3)</f>
        <v>#DIV/0!</v>
      </c>
      <c r="AD597" s="1040" t="e">
        <f>IF($F197="","",$F197*chronic_consumption!Y597/1000/$C$3)</f>
        <v>#DIV/0!</v>
      </c>
      <c r="AE597" s="1040" t="e">
        <f>IF($F197="","",$F197*chronic_consumption!Z597/1000/$C$3)</f>
        <v>#DIV/0!</v>
      </c>
      <c r="AF597" s="1040" t="e">
        <f>IF($F197="","",$F197*chronic_consumption!AA597/1000/$C$3)</f>
        <v>#DIV/0!</v>
      </c>
      <c r="AG597" s="1040" t="e">
        <f>IF($F197="","",$F197*chronic_consumption!AB597/1000/$C$3)</f>
        <v>#DIV/0!</v>
      </c>
      <c r="AH597" s="1040" t="e">
        <f>IF($F197="","",$F197*chronic_consumption!AC597/1000/$C$3)</f>
        <v>#DIV/0!</v>
      </c>
      <c r="AI597" s="1040" t="e">
        <f>IF($F197="","",$F197*chronic_consumption!AD597/1000/$C$3)</f>
        <v>#DIV/0!</v>
      </c>
      <c r="AJ597" s="1040" t="e">
        <f>IF($F197="","",$F197*chronic_consumption!AE597/1000/$C$3)</f>
        <v>#DIV/0!</v>
      </c>
      <c r="AK597" s="1040" t="e">
        <f>IF($F197="","",$F197*chronic_consumption!AF597/1000/$C$3)</f>
        <v>#DIV/0!</v>
      </c>
      <c r="AL597" s="1040" t="e">
        <f>IF($F197="","",$F197*chronic_consumption!AG597/1000/$C$3)</f>
        <v>#DIV/0!</v>
      </c>
      <c r="AM597" s="1040" t="e">
        <f>IF($F197="","",$F197*chronic_consumption!AH597/1000/$C$3)</f>
        <v>#DIV/0!</v>
      </c>
      <c r="AN597" s="1040" t="e">
        <f>IF($F197="","",$F197*chronic_consumption!AI597/1000/$C$3)</f>
        <v>#DIV/0!</v>
      </c>
      <c r="AO597" s="1040" t="e">
        <f>IF($F197="","",$F197*chronic_consumption!AJ597/1000/$C$3)</f>
        <v>#DIV/0!</v>
      </c>
      <c r="AP597" s="1040" t="e">
        <f>IF($F197="","",$F197*chronic_consumption!AK597/1000/$C$3)</f>
        <v>#DIV/0!</v>
      </c>
      <c r="AQ597" s="1040" t="e">
        <f>IF($F197="","",$F197*chronic_consumption!AL597/1000/$C$3)</f>
        <v>#DIV/0!</v>
      </c>
      <c r="AR597" s="1040" t="e">
        <f>IF($F197="","",$F197*chronic_consumption!AM597/1000/$C$3)</f>
        <v>#DIV/0!</v>
      </c>
      <c r="AS597" s="1040" t="e">
        <f>IF($F197="","",$F197*chronic_consumption!AN597/1000/$C$3)</f>
        <v>#DIV/0!</v>
      </c>
      <c r="AT597" s="1040" t="e">
        <f>IF($F197="","",$F197*chronic_consumption!AO597/1000/$C$3)</f>
        <v>#DIV/0!</v>
      </c>
      <c r="AU597" s="1040" t="e">
        <f>IF($F197="","",$F197*chronic_consumption!AP597/1000/$C$3)</f>
        <v>#DIV/0!</v>
      </c>
      <c r="AV597" s="1040" t="e">
        <f>IF($F197="","",$F197*chronic_consumption!AQ597/1000/$C$3)</f>
        <v>#DIV/0!</v>
      </c>
      <c r="AW597" s="1040" t="e">
        <f>IF($F197="","",$F197*chronic_consumption!AR597/1000/$C$3)</f>
        <v>#DIV/0!</v>
      </c>
      <c r="AX597" s="1040" t="e">
        <f>IF($F197="","",$F197*chronic_consumption!AS597/1000/$C$3)</f>
        <v>#DIV/0!</v>
      </c>
      <c r="AY597" s="1040" t="e">
        <f>IF($F197="","",$F197*chronic_consumption!AT597/1000/$C$3)</f>
        <v>#DIV/0!</v>
      </c>
      <c r="AZ597" s="44" t="s">
        <v>20</v>
      </c>
      <c r="BC597" s="29"/>
      <c r="BD597" s="29"/>
    </row>
    <row r="598" spans="1:56" ht="12" customHeight="1" outlineLevel="3" x14ac:dyDescent="0.2">
      <c r="A598" s="21">
        <f>acute_overview_children!A198</f>
        <v>4</v>
      </c>
      <c r="B598" s="325">
        <f t="shared" si="45"/>
        <v>270020</v>
      </c>
      <c r="C598" s="325" t="str">
        <f t="shared" si="45"/>
        <v>Cardoons</v>
      </c>
      <c r="D598" s="135"/>
      <c r="E598" s="1027"/>
      <c r="F598" s="87"/>
      <c r="G598" s="1027"/>
      <c r="H598" s="1029"/>
      <c r="I598" s="1030"/>
      <c r="J598" s="1039" t="e">
        <f>IF($F198="","",$F198*chronic_consumption!E598/1000/$C$3)</f>
        <v>#DIV/0!</v>
      </c>
      <c r="K598" s="1040" t="e">
        <f>IF($F198="","",$F198*chronic_consumption!F598/1000/$C$3)</f>
        <v>#DIV/0!</v>
      </c>
      <c r="L598" s="1040" t="e">
        <f>IF($F198="","",$F198*chronic_consumption!G598/1000/$C$3)</f>
        <v>#DIV/0!</v>
      </c>
      <c r="M598" s="1040" t="e">
        <f>IF($F198="","",$F198*chronic_consumption!H598/1000/$C$3)</f>
        <v>#DIV/0!</v>
      </c>
      <c r="N598" s="1040" t="e">
        <f>IF($F198="","",$F198*chronic_consumption!I598/1000/$C$3)</f>
        <v>#DIV/0!</v>
      </c>
      <c r="O598" s="1040" t="e">
        <f>IF($F198="","",$F198*chronic_consumption!J598/1000/$C$3)</f>
        <v>#DIV/0!</v>
      </c>
      <c r="P598" s="1040" t="e">
        <f>IF($F198="","",$F198*chronic_consumption!K598/1000/$C$3)</f>
        <v>#DIV/0!</v>
      </c>
      <c r="Q598" s="1040" t="e">
        <f>IF($F198="","",$F198*chronic_consumption!L598/1000/$C$3)</f>
        <v>#DIV/0!</v>
      </c>
      <c r="R598" s="1040" t="e">
        <f>IF($F198="","",$F198*chronic_consumption!M598/1000/$C$3)</f>
        <v>#DIV/0!</v>
      </c>
      <c r="S598" s="1040" t="e">
        <f>IF($F198="","",$F198*chronic_consumption!N598/1000/$C$3)</f>
        <v>#DIV/0!</v>
      </c>
      <c r="T598" s="1040" t="e">
        <f>IF($F198="","",$F198*chronic_consumption!O598/1000/$C$3)</f>
        <v>#DIV/0!</v>
      </c>
      <c r="U598" s="1040" t="e">
        <f>IF($F198="","",$F198*chronic_consumption!P598/1000/$C$3)</f>
        <v>#DIV/0!</v>
      </c>
      <c r="V598" s="1040" t="e">
        <f>IF($F198="","",$F198*chronic_consumption!Q598/1000/$C$3)</f>
        <v>#DIV/0!</v>
      </c>
      <c r="W598" s="1040" t="e">
        <f>IF($F198="","",$F198*chronic_consumption!R598/1000/$C$3)</f>
        <v>#DIV/0!</v>
      </c>
      <c r="X598" s="1040" t="e">
        <f>IF($F198="","",$F198*chronic_consumption!S598/1000/$C$3)</f>
        <v>#DIV/0!</v>
      </c>
      <c r="Y598" s="1040" t="e">
        <f>IF($F198="","",$F198*chronic_consumption!T598/1000/$C$3)</f>
        <v>#DIV/0!</v>
      </c>
      <c r="Z598" s="1040" t="e">
        <f>IF($F198="","",$F198*chronic_consumption!U598/1000/$C$3)</f>
        <v>#DIV/0!</v>
      </c>
      <c r="AA598" s="1040" t="e">
        <f>IF($F198="","",$F198*chronic_consumption!V598/1000/$C$3)</f>
        <v>#DIV/0!</v>
      </c>
      <c r="AB598" s="1040" t="e">
        <f>IF($F198="","",$F198*chronic_consumption!W598/1000/$C$3)</f>
        <v>#DIV/0!</v>
      </c>
      <c r="AC598" s="1040" t="e">
        <f>IF($F198="","",$F198*chronic_consumption!X598/1000/$C$3)</f>
        <v>#DIV/0!</v>
      </c>
      <c r="AD598" s="1040" t="e">
        <f>IF($F198="","",$F198*chronic_consumption!Y598/1000/$C$3)</f>
        <v>#DIV/0!</v>
      </c>
      <c r="AE598" s="1040" t="e">
        <f>IF($F198="","",$F198*chronic_consumption!Z598/1000/$C$3)</f>
        <v>#DIV/0!</v>
      </c>
      <c r="AF598" s="1040" t="e">
        <f>IF($F198="","",$F198*chronic_consumption!AA598/1000/$C$3)</f>
        <v>#DIV/0!</v>
      </c>
      <c r="AG598" s="1040" t="e">
        <f>IF($F198="","",$F198*chronic_consumption!AB598/1000/$C$3)</f>
        <v>#DIV/0!</v>
      </c>
      <c r="AH598" s="1040" t="e">
        <f>IF($F198="","",$F198*chronic_consumption!AC598/1000/$C$3)</f>
        <v>#DIV/0!</v>
      </c>
      <c r="AI598" s="1040" t="e">
        <f>IF($F198="","",$F198*chronic_consumption!AD598/1000/$C$3)</f>
        <v>#DIV/0!</v>
      </c>
      <c r="AJ598" s="1040" t="e">
        <f>IF($F198="","",$F198*chronic_consumption!AE598/1000/$C$3)</f>
        <v>#DIV/0!</v>
      </c>
      <c r="AK598" s="1040" t="e">
        <f>IF($F198="","",$F198*chronic_consumption!AF598/1000/$C$3)</f>
        <v>#DIV/0!</v>
      </c>
      <c r="AL598" s="1040" t="e">
        <f>IF($F198="","",$F198*chronic_consumption!AG598/1000/$C$3)</f>
        <v>#DIV/0!</v>
      </c>
      <c r="AM598" s="1040" t="e">
        <f>IF($F198="","",$F198*chronic_consumption!AH598/1000/$C$3)</f>
        <v>#DIV/0!</v>
      </c>
      <c r="AN598" s="1040" t="e">
        <f>IF($F198="","",$F198*chronic_consumption!AI598/1000/$C$3)</f>
        <v>#DIV/0!</v>
      </c>
      <c r="AO598" s="1040" t="e">
        <f>IF($F198="","",$F198*chronic_consumption!AJ598/1000/$C$3)</f>
        <v>#DIV/0!</v>
      </c>
      <c r="AP598" s="1040" t="e">
        <f>IF($F198="","",$F198*chronic_consumption!AK598/1000/$C$3)</f>
        <v>#DIV/0!</v>
      </c>
      <c r="AQ598" s="1040" t="e">
        <f>IF($F198="","",$F198*chronic_consumption!AL598/1000/$C$3)</f>
        <v>#DIV/0!</v>
      </c>
      <c r="AR598" s="1040" t="e">
        <f>IF($F198="","",$F198*chronic_consumption!AM598/1000/$C$3)</f>
        <v>#DIV/0!</v>
      </c>
      <c r="AS598" s="1040" t="e">
        <f>IF($F198="","",$F198*chronic_consumption!AN598/1000/$C$3)</f>
        <v>#DIV/0!</v>
      </c>
      <c r="AT598" s="1040" t="e">
        <f>IF($F198="","",$F198*chronic_consumption!AO598/1000/$C$3)</f>
        <v>#DIV/0!</v>
      </c>
      <c r="AU598" s="1040" t="e">
        <f>IF($F198="","",$F198*chronic_consumption!AP598/1000/$C$3)</f>
        <v>#DIV/0!</v>
      </c>
      <c r="AV598" s="1040" t="e">
        <f>IF($F198="","",$F198*chronic_consumption!AQ598/1000/$C$3)</f>
        <v>#DIV/0!</v>
      </c>
      <c r="AW598" s="1040" t="e">
        <f>IF($F198="","",$F198*chronic_consumption!AR598/1000/$C$3)</f>
        <v>#DIV/0!</v>
      </c>
      <c r="AX598" s="1040" t="e">
        <f>IF($F198="","",$F198*chronic_consumption!AS598/1000/$C$3)</f>
        <v>#DIV/0!</v>
      </c>
      <c r="AY598" s="1040" t="e">
        <f>IF($F198="","",$F198*chronic_consumption!AT598/1000/$C$3)</f>
        <v>#DIV/0!</v>
      </c>
      <c r="AZ598" s="44" t="s">
        <v>20</v>
      </c>
      <c r="BC598" s="29"/>
      <c r="BD598" s="29"/>
    </row>
    <row r="599" spans="1:56" ht="12" customHeight="1" outlineLevel="3" x14ac:dyDescent="0.2">
      <c r="A599" s="21">
        <f>acute_overview_children!A199</f>
        <v>4</v>
      </c>
      <c r="B599" s="325">
        <f t="shared" si="45"/>
        <v>270030</v>
      </c>
      <c r="C599" s="325" t="str">
        <f t="shared" si="45"/>
        <v>Celeries</v>
      </c>
      <c r="D599" s="135"/>
      <c r="E599" s="1027"/>
      <c r="F599" s="87"/>
      <c r="G599" s="1027"/>
      <c r="H599" s="1029"/>
      <c r="I599" s="1030"/>
      <c r="J599" s="1039" t="e">
        <f>IF($F199="","",$F199*chronic_consumption!E599/1000/$C$3)</f>
        <v>#DIV/0!</v>
      </c>
      <c r="K599" s="1040" t="e">
        <f>IF($F199="","",$F199*chronic_consumption!F599/1000/$C$3)</f>
        <v>#DIV/0!</v>
      </c>
      <c r="L599" s="1040" t="e">
        <f>IF($F199="","",$F199*chronic_consumption!G599/1000/$C$3)</f>
        <v>#DIV/0!</v>
      </c>
      <c r="M599" s="1040" t="e">
        <f>IF($F199="","",$F199*chronic_consumption!H599/1000/$C$3)</f>
        <v>#DIV/0!</v>
      </c>
      <c r="N599" s="1040" t="e">
        <f>IF($F199="","",$F199*chronic_consumption!I599/1000/$C$3)</f>
        <v>#DIV/0!</v>
      </c>
      <c r="O599" s="1040" t="e">
        <f>IF($F199="","",$F199*chronic_consumption!J599/1000/$C$3)</f>
        <v>#DIV/0!</v>
      </c>
      <c r="P599" s="1040" t="e">
        <f>IF($F199="","",$F199*chronic_consumption!K599/1000/$C$3)</f>
        <v>#DIV/0!</v>
      </c>
      <c r="Q599" s="1040" t="e">
        <f>IF($F199="","",$F199*chronic_consumption!L599/1000/$C$3)</f>
        <v>#DIV/0!</v>
      </c>
      <c r="R599" s="1040" t="e">
        <f>IF($F199="","",$F199*chronic_consumption!M599/1000/$C$3)</f>
        <v>#DIV/0!</v>
      </c>
      <c r="S599" s="1040" t="e">
        <f>IF($F199="","",$F199*chronic_consumption!N599/1000/$C$3)</f>
        <v>#DIV/0!</v>
      </c>
      <c r="T599" s="1040" t="e">
        <f>IF($F199="","",$F199*chronic_consumption!O599/1000/$C$3)</f>
        <v>#DIV/0!</v>
      </c>
      <c r="U599" s="1040" t="e">
        <f>IF($F199="","",$F199*chronic_consumption!P599/1000/$C$3)</f>
        <v>#DIV/0!</v>
      </c>
      <c r="V599" s="1040" t="e">
        <f>IF($F199="","",$F199*chronic_consumption!Q599/1000/$C$3)</f>
        <v>#DIV/0!</v>
      </c>
      <c r="W599" s="1040" t="e">
        <f>IF($F199="","",$F199*chronic_consumption!R599/1000/$C$3)</f>
        <v>#DIV/0!</v>
      </c>
      <c r="X599" s="1040" t="e">
        <f>IF($F199="","",$F199*chronic_consumption!S599/1000/$C$3)</f>
        <v>#DIV/0!</v>
      </c>
      <c r="Y599" s="1040" t="e">
        <f>IF($F199="","",$F199*chronic_consumption!T599/1000/$C$3)</f>
        <v>#DIV/0!</v>
      </c>
      <c r="Z599" s="1040" t="e">
        <f>IF($F199="","",$F199*chronic_consumption!U599/1000/$C$3)</f>
        <v>#DIV/0!</v>
      </c>
      <c r="AA599" s="1040" t="e">
        <f>IF($F199="","",$F199*chronic_consumption!V599/1000/$C$3)</f>
        <v>#DIV/0!</v>
      </c>
      <c r="AB599" s="1040" t="e">
        <f>IF($F199="","",$F199*chronic_consumption!W599/1000/$C$3)</f>
        <v>#DIV/0!</v>
      </c>
      <c r="AC599" s="1040" t="e">
        <f>IF($F199="","",$F199*chronic_consumption!X599/1000/$C$3)</f>
        <v>#DIV/0!</v>
      </c>
      <c r="AD599" s="1040" t="e">
        <f>IF($F199="","",$F199*chronic_consumption!Y599/1000/$C$3)</f>
        <v>#DIV/0!</v>
      </c>
      <c r="AE599" s="1040" t="e">
        <f>IF($F199="","",$F199*chronic_consumption!Z599/1000/$C$3)</f>
        <v>#DIV/0!</v>
      </c>
      <c r="AF599" s="1040" t="e">
        <f>IF($F199="","",$F199*chronic_consumption!AA599/1000/$C$3)</f>
        <v>#DIV/0!</v>
      </c>
      <c r="AG599" s="1040" t="e">
        <f>IF($F199="","",$F199*chronic_consumption!AB599/1000/$C$3)</f>
        <v>#DIV/0!</v>
      </c>
      <c r="AH599" s="1040" t="e">
        <f>IF($F199="","",$F199*chronic_consumption!AC599/1000/$C$3)</f>
        <v>#DIV/0!</v>
      </c>
      <c r="AI599" s="1040" t="e">
        <f>IF($F199="","",$F199*chronic_consumption!AD599/1000/$C$3)</f>
        <v>#DIV/0!</v>
      </c>
      <c r="AJ599" s="1040" t="e">
        <f>IF($F199="","",$F199*chronic_consumption!AE599/1000/$C$3)</f>
        <v>#DIV/0!</v>
      </c>
      <c r="AK599" s="1040" t="e">
        <f>IF($F199="","",$F199*chronic_consumption!AF599/1000/$C$3)</f>
        <v>#DIV/0!</v>
      </c>
      <c r="AL599" s="1040" t="e">
        <f>IF($F199="","",$F199*chronic_consumption!AG599/1000/$C$3)</f>
        <v>#DIV/0!</v>
      </c>
      <c r="AM599" s="1040" t="e">
        <f>IF($F199="","",$F199*chronic_consumption!AH599/1000/$C$3)</f>
        <v>#DIV/0!</v>
      </c>
      <c r="AN599" s="1040" t="e">
        <f>IF($F199="","",$F199*chronic_consumption!AI599/1000/$C$3)</f>
        <v>#DIV/0!</v>
      </c>
      <c r="AO599" s="1040" t="e">
        <f>IF($F199="","",$F199*chronic_consumption!AJ599/1000/$C$3)</f>
        <v>#DIV/0!</v>
      </c>
      <c r="AP599" s="1040" t="e">
        <f>IF($F199="","",$F199*chronic_consumption!AK599/1000/$C$3)</f>
        <v>#DIV/0!</v>
      </c>
      <c r="AQ599" s="1040" t="e">
        <f>IF($F199="","",$F199*chronic_consumption!AL599/1000/$C$3)</f>
        <v>#DIV/0!</v>
      </c>
      <c r="AR599" s="1040" t="e">
        <f>IF($F199="","",$F199*chronic_consumption!AM599/1000/$C$3)</f>
        <v>#DIV/0!</v>
      </c>
      <c r="AS599" s="1040" t="e">
        <f>IF($F199="","",$F199*chronic_consumption!AN599/1000/$C$3)</f>
        <v>#DIV/0!</v>
      </c>
      <c r="AT599" s="1040" t="e">
        <f>IF($F199="","",$F199*chronic_consumption!AO599/1000/$C$3)</f>
        <v>#DIV/0!</v>
      </c>
      <c r="AU599" s="1040" t="e">
        <f>IF($F199="","",$F199*chronic_consumption!AP599/1000/$C$3)</f>
        <v>#DIV/0!</v>
      </c>
      <c r="AV599" s="1040" t="e">
        <f>IF($F199="","",$F199*chronic_consumption!AQ599/1000/$C$3)</f>
        <v>#DIV/0!</v>
      </c>
      <c r="AW599" s="1040" t="e">
        <f>IF($F199="","",$F199*chronic_consumption!AR599/1000/$C$3)</f>
        <v>#DIV/0!</v>
      </c>
      <c r="AX599" s="1040" t="e">
        <f>IF($F199="","",$F199*chronic_consumption!AS599/1000/$C$3)</f>
        <v>#DIV/0!</v>
      </c>
      <c r="AY599" s="1040" t="e">
        <f>IF($F199="","",$F199*chronic_consumption!AT599/1000/$C$3)</f>
        <v>#DIV/0!</v>
      </c>
      <c r="AZ599" s="44" t="s">
        <v>20</v>
      </c>
      <c r="BC599" s="29"/>
      <c r="BD599" s="29"/>
    </row>
    <row r="600" spans="1:56" ht="12" customHeight="1" outlineLevel="3" x14ac:dyDescent="0.2">
      <c r="A600" s="21">
        <f>acute_overview_children!A200</f>
        <v>4</v>
      </c>
      <c r="B600" s="325">
        <f t="shared" si="45"/>
        <v>270040</v>
      </c>
      <c r="C600" s="325" t="str">
        <f t="shared" si="45"/>
        <v>Florence fennels</v>
      </c>
      <c r="D600" s="135"/>
      <c r="E600" s="1027"/>
      <c r="F600" s="87"/>
      <c r="G600" s="1027"/>
      <c r="H600" s="1029"/>
      <c r="I600" s="1030"/>
      <c r="J600" s="1039" t="e">
        <f>IF($F200="","",$F200*chronic_consumption!E600/1000/$C$3)</f>
        <v>#DIV/0!</v>
      </c>
      <c r="K600" s="1040" t="e">
        <f>IF($F200="","",$F200*chronic_consumption!F600/1000/$C$3)</f>
        <v>#DIV/0!</v>
      </c>
      <c r="L600" s="1040" t="e">
        <f>IF($F200="","",$F200*chronic_consumption!G600/1000/$C$3)</f>
        <v>#DIV/0!</v>
      </c>
      <c r="M600" s="1040" t="e">
        <f>IF($F200="","",$F200*chronic_consumption!H600/1000/$C$3)</f>
        <v>#DIV/0!</v>
      </c>
      <c r="N600" s="1040" t="e">
        <f>IF($F200="","",$F200*chronic_consumption!I600/1000/$C$3)</f>
        <v>#DIV/0!</v>
      </c>
      <c r="O600" s="1040" t="e">
        <f>IF($F200="","",$F200*chronic_consumption!J600/1000/$C$3)</f>
        <v>#DIV/0!</v>
      </c>
      <c r="P600" s="1040" t="e">
        <f>IF($F200="","",$F200*chronic_consumption!K600/1000/$C$3)</f>
        <v>#DIV/0!</v>
      </c>
      <c r="Q600" s="1040" t="e">
        <f>IF($F200="","",$F200*chronic_consumption!L600/1000/$C$3)</f>
        <v>#DIV/0!</v>
      </c>
      <c r="R600" s="1040" t="e">
        <f>IF($F200="","",$F200*chronic_consumption!M600/1000/$C$3)</f>
        <v>#DIV/0!</v>
      </c>
      <c r="S600" s="1040" t="e">
        <f>IF($F200="","",$F200*chronic_consumption!N600/1000/$C$3)</f>
        <v>#DIV/0!</v>
      </c>
      <c r="T600" s="1040" t="e">
        <f>IF($F200="","",$F200*chronic_consumption!O600/1000/$C$3)</f>
        <v>#DIV/0!</v>
      </c>
      <c r="U600" s="1040" t="e">
        <f>IF($F200="","",$F200*chronic_consumption!P600/1000/$C$3)</f>
        <v>#DIV/0!</v>
      </c>
      <c r="V600" s="1040" t="e">
        <f>IF($F200="","",$F200*chronic_consumption!Q600/1000/$C$3)</f>
        <v>#DIV/0!</v>
      </c>
      <c r="W600" s="1040" t="e">
        <f>IF($F200="","",$F200*chronic_consumption!R600/1000/$C$3)</f>
        <v>#DIV/0!</v>
      </c>
      <c r="X600" s="1040" t="e">
        <f>IF($F200="","",$F200*chronic_consumption!S600/1000/$C$3)</f>
        <v>#DIV/0!</v>
      </c>
      <c r="Y600" s="1040" t="e">
        <f>IF($F200="","",$F200*chronic_consumption!T600/1000/$C$3)</f>
        <v>#DIV/0!</v>
      </c>
      <c r="Z600" s="1040" t="e">
        <f>IF($F200="","",$F200*chronic_consumption!U600/1000/$C$3)</f>
        <v>#DIV/0!</v>
      </c>
      <c r="AA600" s="1040" t="e">
        <f>IF($F200="","",$F200*chronic_consumption!V600/1000/$C$3)</f>
        <v>#DIV/0!</v>
      </c>
      <c r="AB600" s="1040" t="e">
        <f>IF($F200="","",$F200*chronic_consumption!W600/1000/$C$3)</f>
        <v>#DIV/0!</v>
      </c>
      <c r="AC600" s="1040" t="e">
        <f>IF($F200="","",$F200*chronic_consumption!X600/1000/$C$3)</f>
        <v>#DIV/0!</v>
      </c>
      <c r="AD600" s="1040" t="e">
        <f>IF($F200="","",$F200*chronic_consumption!Y600/1000/$C$3)</f>
        <v>#DIV/0!</v>
      </c>
      <c r="AE600" s="1040" t="e">
        <f>IF($F200="","",$F200*chronic_consumption!Z600/1000/$C$3)</f>
        <v>#DIV/0!</v>
      </c>
      <c r="AF600" s="1040" t="e">
        <f>IF($F200="","",$F200*chronic_consumption!AA600/1000/$C$3)</f>
        <v>#DIV/0!</v>
      </c>
      <c r="AG600" s="1040" t="e">
        <f>IF($F200="","",$F200*chronic_consumption!AB600/1000/$C$3)</f>
        <v>#DIV/0!</v>
      </c>
      <c r="AH600" s="1040" t="e">
        <f>IF($F200="","",$F200*chronic_consumption!AC600/1000/$C$3)</f>
        <v>#DIV/0!</v>
      </c>
      <c r="AI600" s="1040" t="e">
        <f>IF($F200="","",$F200*chronic_consumption!AD600/1000/$C$3)</f>
        <v>#DIV/0!</v>
      </c>
      <c r="AJ600" s="1040" t="e">
        <f>IF($F200="","",$F200*chronic_consumption!AE600/1000/$C$3)</f>
        <v>#DIV/0!</v>
      </c>
      <c r="AK600" s="1040" t="e">
        <f>IF($F200="","",$F200*chronic_consumption!AF600/1000/$C$3)</f>
        <v>#DIV/0!</v>
      </c>
      <c r="AL600" s="1040" t="e">
        <f>IF($F200="","",$F200*chronic_consumption!AG600/1000/$C$3)</f>
        <v>#DIV/0!</v>
      </c>
      <c r="AM600" s="1040" t="e">
        <f>IF($F200="","",$F200*chronic_consumption!AH600/1000/$C$3)</f>
        <v>#DIV/0!</v>
      </c>
      <c r="AN600" s="1040" t="e">
        <f>IF($F200="","",$F200*chronic_consumption!AI600/1000/$C$3)</f>
        <v>#DIV/0!</v>
      </c>
      <c r="AO600" s="1040" t="e">
        <f>IF($F200="","",$F200*chronic_consumption!AJ600/1000/$C$3)</f>
        <v>#DIV/0!</v>
      </c>
      <c r="AP600" s="1040" t="e">
        <f>IF($F200="","",$F200*chronic_consumption!AK600/1000/$C$3)</f>
        <v>#DIV/0!</v>
      </c>
      <c r="AQ600" s="1040" t="e">
        <f>IF($F200="","",$F200*chronic_consumption!AL600/1000/$C$3)</f>
        <v>#DIV/0!</v>
      </c>
      <c r="AR600" s="1040" t="e">
        <f>IF($F200="","",$F200*chronic_consumption!AM600/1000/$C$3)</f>
        <v>#DIV/0!</v>
      </c>
      <c r="AS600" s="1040" t="e">
        <f>IF($F200="","",$F200*chronic_consumption!AN600/1000/$C$3)</f>
        <v>#DIV/0!</v>
      </c>
      <c r="AT600" s="1040" t="e">
        <f>IF($F200="","",$F200*chronic_consumption!AO600/1000/$C$3)</f>
        <v>#DIV/0!</v>
      </c>
      <c r="AU600" s="1040" t="e">
        <f>IF($F200="","",$F200*chronic_consumption!AP600/1000/$C$3)</f>
        <v>#DIV/0!</v>
      </c>
      <c r="AV600" s="1040" t="e">
        <f>IF($F200="","",$F200*chronic_consumption!AQ600/1000/$C$3)</f>
        <v>#DIV/0!</v>
      </c>
      <c r="AW600" s="1040" t="e">
        <f>IF($F200="","",$F200*chronic_consumption!AR600/1000/$C$3)</f>
        <v>#DIV/0!</v>
      </c>
      <c r="AX600" s="1040" t="e">
        <f>IF($F200="","",$F200*chronic_consumption!AS600/1000/$C$3)</f>
        <v>#DIV/0!</v>
      </c>
      <c r="AY600" s="1040" t="e">
        <f>IF($F200="","",$F200*chronic_consumption!AT600/1000/$C$3)</f>
        <v>#DIV/0!</v>
      </c>
      <c r="AZ600" s="44" t="s">
        <v>20</v>
      </c>
      <c r="BC600" s="29"/>
      <c r="BD600" s="29"/>
    </row>
    <row r="601" spans="1:56" ht="12" customHeight="1" outlineLevel="3" x14ac:dyDescent="0.2">
      <c r="A601" s="21">
        <f>acute_overview_children!A201</f>
        <v>4</v>
      </c>
      <c r="B601" s="325">
        <f t="shared" si="45"/>
        <v>270050</v>
      </c>
      <c r="C601" s="325" t="str">
        <f t="shared" si="45"/>
        <v>Globe artichokes</v>
      </c>
      <c r="D601" s="135"/>
      <c r="E601" s="1027"/>
      <c r="F601" s="87"/>
      <c r="G601" s="1027"/>
      <c r="H601" s="1029"/>
      <c r="I601" s="1030"/>
      <c r="J601" s="1039" t="e">
        <f>IF($F201="","",$F201*chronic_consumption!E601/1000/$C$3)</f>
        <v>#DIV/0!</v>
      </c>
      <c r="K601" s="1040" t="e">
        <f>IF($F201="","",$F201*chronic_consumption!F601/1000/$C$3)</f>
        <v>#DIV/0!</v>
      </c>
      <c r="L601" s="1040" t="e">
        <f>IF($F201="","",$F201*chronic_consumption!G601/1000/$C$3)</f>
        <v>#DIV/0!</v>
      </c>
      <c r="M601" s="1040" t="e">
        <f>IF($F201="","",$F201*chronic_consumption!H601/1000/$C$3)</f>
        <v>#DIV/0!</v>
      </c>
      <c r="N601" s="1040" t="e">
        <f>IF($F201="","",$F201*chronic_consumption!I601/1000/$C$3)</f>
        <v>#DIV/0!</v>
      </c>
      <c r="O601" s="1040" t="e">
        <f>IF($F201="","",$F201*chronic_consumption!J601/1000/$C$3)</f>
        <v>#DIV/0!</v>
      </c>
      <c r="P601" s="1040" t="e">
        <f>IF($F201="","",$F201*chronic_consumption!K601/1000/$C$3)</f>
        <v>#DIV/0!</v>
      </c>
      <c r="Q601" s="1040" t="e">
        <f>IF($F201="","",$F201*chronic_consumption!L601/1000/$C$3)</f>
        <v>#DIV/0!</v>
      </c>
      <c r="R601" s="1040" t="e">
        <f>IF($F201="","",$F201*chronic_consumption!M601/1000/$C$3)</f>
        <v>#DIV/0!</v>
      </c>
      <c r="S601" s="1040" t="e">
        <f>IF($F201="","",$F201*chronic_consumption!N601/1000/$C$3)</f>
        <v>#DIV/0!</v>
      </c>
      <c r="T601" s="1040" t="e">
        <f>IF($F201="","",$F201*chronic_consumption!O601/1000/$C$3)</f>
        <v>#DIV/0!</v>
      </c>
      <c r="U601" s="1040" t="e">
        <f>IF($F201="","",$F201*chronic_consumption!P601/1000/$C$3)</f>
        <v>#DIV/0!</v>
      </c>
      <c r="V601" s="1040" t="e">
        <f>IF($F201="","",$F201*chronic_consumption!Q601/1000/$C$3)</f>
        <v>#DIV/0!</v>
      </c>
      <c r="W601" s="1040" t="e">
        <f>IF($F201="","",$F201*chronic_consumption!R601/1000/$C$3)</f>
        <v>#DIV/0!</v>
      </c>
      <c r="X601" s="1040" t="e">
        <f>IF($F201="","",$F201*chronic_consumption!S601/1000/$C$3)</f>
        <v>#DIV/0!</v>
      </c>
      <c r="Y601" s="1040" t="e">
        <f>IF($F201="","",$F201*chronic_consumption!T601/1000/$C$3)</f>
        <v>#DIV/0!</v>
      </c>
      <c r="Z601" s="1040" t="e">
        <f>IF($F201="","",$F201*chronic_consumption!U601/1000/$C$3)</f>
        <v>#DIV/0!</v>
      </c>
      <c r="AA601" s="1040" t="e">
        <f>IF($F201="","",$F201*chronic_consumption!V601/1000/$C$3)</f>
        <v>#DIV/0!</v>
      </c>
      <c r="AB601" s="1040" t="e">
        <f>IF($F201="","",$F201*chronic_consumption!W601/1000/$C$3)</f>
        <v>#DIV/0!</v>
      </c>
      <c r="AC601" s="1040" t="e">
        <f>IF($F201="","",$F201*chronic_consumption!X601/1000/$C$3)</f>
        <v>#DIV/0!</v>
      </c>
      <c r="AD601" s="1040" t="e">
        <f>IF($F201="","",$F201*chronic_consumption!Y601/1000/$C$3)</f>
        <v>#DIV/0!</v>
      </c>
      <c r="AE601" s="1040" t="e">
        <f>IF($F201="","",$F201*chronic_consumption!Z601/1000/$C$3)</f>
        <v>#DIV/0!</v>
      </c>
      <c r="AF601" s="1040" t="e">
        <f>IF($F201="","",$F201*chronic_consumption!AA601/1000/$C$3)</f>
        <v>#DIV/0!</v>
      </c>
      <c r="AG601" s="1040" t="e">
        <f>IF($F201="","",$F201*chronic_consumption!AB601/1000/$C$3)</f>
        <v>#DIV/0!</v>
      </c>
      <c r="AH601" s="1040" t="e">
        <f>IF($F201="","",$F201*chronic_consumption!AC601/1000/$C$3)</f>
        <v>#DIV/0!</v>
      </c>
      <c r="AI601" s="1040" t="e">
        <f>IF($F201="","",$F201*chronic_consumption!AD601/1000/$C$3)</f>
        <v>#DIV/0!</v>
      </c>
      <c r="AJ601" s="1040" t="e">
        <f>IF($F201="","",$F201*chronic_consumption!AE601/1000/$C$3)</f>
        <v>#DIV/0!</v>
      </c>
      <c r="AK601" s="1040" t="e">
        <f>IF($F201="","",$F201*chronic_consumption!AF601/1000/$C$3)</f>
        <v>#DIV/0!</v>
      </c>
      <c r="AL601" s="1040" t="e">
        <f>IF($F201="","",$F201*chronic_consumption!AG601/1000/$C$3)</f>
        <v>#DIV/0!</v>
      </c>
      <c r="AM601" s="1040" t="e">
        <f>IF($F201="","",$F201*chronic_consumption!AH601/1000/$C$3)</f>
        <v>#DIV/0!</v>
      </c>
      <c r="AN601" s="1040" t="e">
        <f>IF($F201="","",$F201*chronic_consumption!AI601/1000/$C$3)</f>
        <v>#DIV/0!</v>
      </c>
      <c r="AO601" s="1040" t="e">
        <f>IF($F201="","",$F201*chronic_consumption!AJ601/1000/$C$3)</f>
        <v>#DIV/0!</v>
      </c>
      <c r="AP601" s="1040" t="e">
        <f>IF($F201="","",$F201*chronic_consumption!AK601/1000/$C$3)</f>
        <v>#DIV/0!</v>
      </c>
      <c r="AQ601" s="1040" t="e">
        <f>IF($F201="","",$F201*chronic_consumption!AL601/1000/$C$3)</f>
        <v>#DIV/0!</v>
      </c>
      <c r="AR601" s="1040" t="e">
        <f>IF($F201="","",$F201*chronic_consumption!AM601/1000/$C$3)</f>
        <v>#DIV/0!</v>
      </c>
      <c r="AS601" s="1040" t="e">
        <f>IF($F201="","",$F201*chronic_consumption!AN601/1000/$C$3)</f>
        <v>#DIV/0!</v>
      </c>
      <c r="AT601" s="1040" t="e">
        <f>IF($F201="","",$F201*chronic_consumption!AO601/1000/$C$3)</f>
        <v>#DIV/0!</v>
      </c>
      <c r="AU601" s="1040" t="e">
        <f>IF($F201="","",$F201*chronic_consumption!AP601/1000/$C$3)</f>
        <v>#DIV/0!</v>
      </c>
      <c r="AV601" s="1040" t="e">
        <f>IF($F201="","",$F201*chronic_consumption!AQ601/1000/$C$3)</f>
        <v>#DIV/0!</v>
      </c>
      <c r="AW601" s="1040" t="e">
        <f>IF($F201="","",$F201*chronic_consumption!AR601/1000/$C$3)</f>
        <v>#DIV/0!</v>
      </c>
      <c r="AX601" s="1040" t="e">
        <f>IF($F201="","",$F201*chronic_consumption!AS601/1000/$C$3)</f>
        <v>#DIV/0!</v>
      </c>
      <c r="AY601" s="1040" t="e">
        <f>IF($F201="","",$F201*chronic_consumption!AT601/1000/$C$3)</f>
        <v>#DIV/0!</v>
      </c>
      <c r="AZ601" s="44" t="s">
        <v>20</v>
      </c>
      <c r="BC601" s="29"/>
      <c r="BD601" s="29"/>
    </row>
    <row r="602" spans="1:56" ht="12" customHeight="1" outlineLevel="3" x14ac:dyDescent="0.2">
      <c r="A602" s="21">
        <f>acute_overview_children!A202</f>
        <v>4</v>
      </c>
      <c r="B602" s="325">
        <f t="shared" si="45"/>
        <v>270060</v>
      </c>
      <c r="C602" s="325" t="str">
        <f t="shared" si="45"/>
        <v>Leeks</v>
      </c>
      <c r="D602" s="135"/>
      <c r="E602" s="1027"/>
      <c r="F602" s="87"/>
      <c r="G602" s="1027"/>
      <c r="H602" s="1029"/>
      <c r="I602" s="1030"/>
      <c r="J602" s="1039" t="e">
        <f>IF($F202="","",$F202*chronic_consumption!E602/1000/$C$3)</f>
        <v>#DIV/0!</v>
      </c>
      <c r="K602" s="1040" t="e">
        <f>IF($F202="","",$F202*chronic_consumption!F602/1000/$C$3)</f>
        <v>#DIV/0!</v>
      </c>
      <c r="L602" s="1040" t="e">
        <f>IF($F202="","",$F202*chronic_consumption!G602/1000/$C$3)</f>
        <v>#DIV/0!</v>
      </c>
      <c r="M602" s="1040" t="e">
        <f>IF($F202="","",$F202*chronic_consumption!H602/1000/$C$3)</f>
        <v>#DIV/0!</v>
      </c>
      <c r="N602" s="1040" t="e">
        <f>IF($F202="","",$F202*chronic_consumption!I602/1000/$C$3)</f>
        <v>#DIV/0!</v>
      </c>
      <c r="O602" s="1040" t="e">
        <f>IF($F202="","",$F202*chronic_consumption!J602/1000/$C$3)</f>
        <v>#DIV/0!</v>
      </c>
      <c r="P602" s="1040" t="e">
        <f>IF($F202="","",$F202*chronic_consumption!K602/1000/$C$3)</f>
        <v>#DIV/0!</v>
      </c>
      <c r="Q602" s="1040" t="e">
        <f>IF($F202="","",$F202*chronic_consumption!L602/1000/$C$3)</f>
        <v>#DIV/0!</v>
      </c>
      <c r="R602" s="1040" t="e">
        <f>IF($F202="","",$F202*chronic_consumption!M602/1000/$C$3)</f>
        <v>#DIV/0!</v>
      </c>
      <c r="S602" s="1040" t="e">
        <f>IF($F202="","",$F202*chronic_consumption!N602/1000/$C$3)</f>
        <v>#DIV/0!</v>
      </c>
      <c r="T602" s="1040" t="e">
        <f>IF($F202="","",$F202*chronic_consumption!O602/1000/$C$3)</f>
        <v>#DIV/0!</v>
      </c>
      <c r="U602" s="1040" t="e">
        <f>IF($F202="","",$F202*chronic_consumption!P602/1000/$C$3)</f>
        <v>#DIV/0!</v>
      </c>
      <c r="V602" s="1040" t="e">
        <f>IF($F202="","",$F202*chronic_consumption!Q602/1000/$C$3)</f>
        <v>#DIV/0!</v>
      </c>
      <c r="W602" s="1040" t="e">
        <f>IF($F202="","",$F202*chronic_consumption!R602/1000/$C$3)</f>
        <v>#DIV/0!</v>
      </c>
      <c r="X602" s="1040" t="e">
        <f>IF($F202="","",$F202*chronic_consumption!S602/1000/$C$3)</f>
        <v>#DIV/0!</v>
      </c>
      <c r="Y602" s="1040" t="e">
        <f>IF($F202="","",$F202*chronic_consumption!T602/1000/$C$3)</f>
        <v>#DIV/0!</v>
      </c>
      <c r="Z602" s="1040" t="e">
        <f>IF($F202="","",$F202*chronic_consumption!U602/1000/$C$3)</f>
        <v>#DIV/0!</v>
      </c>
      <c r="AA602" s="1040" t="e">
        <f>IF($F202="","",$F202*chronic_consumption!V602/1000/$C$3)</f>
        <v>#DIV/0!</v>
      </c>
      <c r="AB602" s="1040" t="e">
        <f>IF($F202="","",$F202*chronic_consumption!W602/1000/$C$3)</f>
        <v>#DIV/0!</v>
      </c>
      <c r="AC602" s="1040" t="e">
        <f>IF($F202="","",$F202*chronic_consumption!X602/1000/$C$3)</f>
        <v>#DIV/0!</v>
      </c>
      <c r="AD602" s="1040" t="e">
        <f>IF($F202="","",$F202*chronic_consumption!Y602/1000/$C$3)</f>
        <v>#DIV/0!</v>
      </c>
      <c r="AE602" s="1040" t="e">
        <f>IF($F202="","",$F202*chronic_consumption!Z602/1000/$C$3)</f>
        <v>#DIV/0!</v>
      </c>
      <c r="AF602" s="1040" t="e">
        <f>IF($F202="","",$F202*chronic_consumption!AA602/1000/$C$3)</f>
        <v>#DIV/0!</v>
      </c>
      <c r="AG602" s="1040" t="e">
        <f>IF($F202="","",$F202*chronic_consumption!AB602/1000/$C$3)</f>
        <v>#DIV/0!</v>
      </c>
      <c r="AH602" s="1040" t="e">
        <f>IF($F202="","",$F202*chronic_consumption!AC602/1000/$C$3)</f>
        <v>#DIV/0!</v>
      </c>
      <c r="AI602" s="1040" t="e">
        <f>IF($F202="","",$F202*chronic_consumption!AD602/1000/$C$3)</f>
        <v>#DIV/0!</v>
      </c>
      <c r="AJ602" s="1040" t="e">
        <f>IF($F202="","",$F202*chronic_consumption!AE602/1000/$C$3)</f>
        <v>#DIV/0!</v>
      </c>
      <c r="AK602" s="1040" t="e">
        <f>IF($F202="","",$F202*chronic_consumption!AF602/1000/$C$3)</f>
        <v>#DIV/0!</v>
      </c>
      <c r="AL602" s="1040" t="e">
        <f>IF($F202="","",$F202*chronic_consumption!AG602/1000/$C$3)</f>
        <v>#DIV/0!</v>
      </c>
      <c r="AM602" s="1040" t="e">
        <f>IF($F202="","",$F202*chronic_consumption!AH602/1000/$C$3)</f>
        <v>#DIV/0!</v>
      </c>
      <c r="AN602" s="1040" t="e">
        <f>IF($F202="","",$F202*chronic_consumption!AI602/1000/$C$3)</f>
        <v>#DIV/0!</v>
      </c>
      <c r="AO602" s="1040" t="e">
        <f>IF($F202="","",$F202*chronic_consumption!AJ602/1000/$C$3)</f>
        <v>#DIV/0!</v>
      </c>
      <c r="AP602" s="1040" t="e">
        <f>IF($F202="","",$F202*chronic_consumption!AK602/1000/$C$3)</f>
        <v>#DIV/0!</v>
      </c>
      <c r="AQ602" s="1040" t="e">
        <f>IF($F202="","",$F202*chronic_consumption!AL602/1000/$C$3)</f>
        <v>#DIV/0!</v>
      </c>
      <c r="AR602" s="1040" t="e">
        <f>IF($F202="","",$F202*chronic_consumption!AM602/1000/$C$3)</f>
        <v>#DIV/0!</v>
      </c>
      <c r="AS602" s="1040" t="e">
        <f>IF($F202="","",$F202*chronic_consumption!AN602/1000/$C$3)</f>
        <v>#DIV/0!</v>
      </c>
      <c r="AT602" s="1040" t="e">
        <f>IF($F202="","",$F202*chronic_consumption!AO602/1000/$C$3)</f>
        <v>#DIV/0!</v>
      </c>
      <c r="AU602" s="1040" t="e">
        <f>IF($F202="","",$F202*chronic_consumption!AP602/1000/$C$3)</f>
        <v>#DIV/0!</v>
      </c>
      <c r="AV602" s="1040" t="e">
        <f>IF($F202="","",$F202*chronic_consumption!AQ602/1000/$C$3)</f>
        <v>#DIV/0!</v>
      </c>
      <c r="AW602" s="1040" t="e">
        <f>IF($F202="","",$F202*chronic_consumption!AR602/1000/$C$3)</f>
        <v>#DIV/0!</v>
      </c>
      <c r="AX602" s="1040" t="e">
        <f>IF($F202="","",$F202*chronic_consumption!AS602/1000/$C$3)</f>
        <v>#DIV/0!</v>
      </c>
      <c r="AY602" s="1040" t="e">
        <f>IF($F202="","",$F202*chronic_consumption!AT602/1000/$C$3)</f>
        <v>#DIV/0!</v>
      </c>
      <c r="AZ602" s="44" t="s">
        <v>20</v>
      </c>
      <c r="BC602" s="29"/>
      <c r="BD602" s="29"/>
    </row>
    <row r="603" spans="1:56" ht="12" customHeight="1" outlineLevel="3" x14ac:dyDescent="0.2">
      <c r="A603" s="21">
        <f>acute_overview_children!A203</f>
        <v>4</v>
      </c>
      <c r="B603" s="325">
        <f t="shared" si="45"/>
        <v>270070</v>
      </c>
      <c r="C603" s="325" t="str">
        <f t="shared" si="45"/>
        <v>Rhubarbs</v>
      </c>
      <c r="D603" s="135"/>
      <c r="E603" s="1027"/>
      <c r="F603" s="87"/>
      <c r="G603" s="1027"/>
      <c r="H603" s="1029"/>
      <c r="I603" s="1030"/>
      <c r="J603" s="1039" t="e">
        <f>IF($F203="","",$F203*chronic_consumption!E603/1000/$C$3)</f>
        <v>#DIV/0!</v>
      </c>
      <c r="K603" s="1040" t="e">
        <f>IF($F203="","",$F203*chronic_consumption!F603/1000/$C$3)</f>
        <v>#DIV/0!</v>
      </c>
      <c r="L603" s="1040" t="e">
        <f>IF($F203="","",$F203*chronic_consumption!G603/1000/$C$3)</f>
        <v>#DIV/0!</v>
      </c>
      <c r="M603" s="1040" t="e">
        <f>IF($F203="","",$F203*chronic_consumption!H603/1000/$C$3)</f>
        <v>#DIV/0!</v>
      </c>
      <c r="N603" s="1040" t="e">
        <f>IF($F203="","",$F203*chronic_consumption!I603/1000/$C$3)</f>
        <v>#DIV/0!</v>
      </c>
      <c r="O603" s="1040" t="e">
        <f>IF($F203="","",$F203*chronic_consumption!J603/1000/$C$3)</f>
        <v>#DIV/0!</v>
      </c>
      <c r="P603" s="1040" t="e">
        <f>IF($F203="","",$F203*chronic_consumption!K603/1000/$C$3)</f>
        <v>#DIV/0!</v>
      </c>
      <c r="Q603" s="1040" t="e">
        <f>IF($F203="","",$F203*chronic_consumption!L603/1000/$C$3)</f>
        <v>#DIV/0!</v>
      </c>
      <c r="R603" s="1040" t="e">
        <f>IF($F203="","",$F203*chronic_consumption!M603/1000/$C$3)</f>
        <v>#DIV/0!</v>
      </c>
      <c r="S603" s="1040" t="e">
        <f>IF($F203="","",$F203*chronic_consumption!N603/1000/$C$3)</f>
        <v>#DIV/0!</v>
      </c>
      <c r="T603" s="1040" t="e">
        <f>IF($F203="","",$F203*chronic_consumption!O603/1000/$C$3)</f>
        <v>#DIV/0!</v>
      </c>
      <c r="U603" s="1040" t="e">
        <f>IF($F203="","",$F203*chronic_consumption!P603/1000/$C$3)</f>
        <v>#DIV/0!</v>
      </c>
      <c r="V603" s="1040" t="e">
        <f>IF($F203="","",$F203*chronic_consumption!Q603/1000/$C$3)</f>
        <v>#DIV/0!</v>
      </c>
      <c r="W603" s="1040" t="e">
        <f>IF($F203="","",$F203*chronic_consumption!R603/1000/$C$3)</f>
        <v>#DIV/0!</v>
      </c>
      <c r="X603" s="1040" t="e">
        <f>IF($F203="","",$F203*chronic_consumption!S603/1000/$C$3)</f>
        <v>#DIV/0!</v>
      </c>
      <c r="Y603" s="1040" t="e">
        <f>IF($F203="","",$F203*chronic_consumption!T603/1000/$C$3)</f>
        <v>#DIV/0!</v>
      </c>
      <c r="Z603" s="1040" t="e">
        <f>IF($F203="","",$F203*chronic_consumption!U603/1000/$C$3)</f>
        <v>#DIV/0!</v>
      </c>
      <c r="AA603" s="1040" t="e">
        <f>IF($F203="","",$F203*chronic_consumption!V603/1000/$C$3)</f>
        <v>#DIV/0!</v>
      </c>
      <c r="AB603" s="1040" t="e">
        <f>IF($F203="","",$F203*chronic_consumption!W603/1000/$C$3)</f>
        <v>#DIV/0!</v>
      </c>
      <c r="AC603" s="1040" t="e">
        <f>IF($F203="","",$F203*chronic_consumption!X603/1000/$C$3)</f>
        <v>#DIV/0!</v>
      </c>
      <c r="AD603" s="1040" t="e">
        <f>IF($F203="","",$F203*chronic_consumption!Y603/1000/$C$3)</f>
        <v>#DIV/0!</v>
      </c>
      <c r="AE603" s="1040" t="e">
        <f>IF($F203="","",$F203*chronic_consumption!Z603/1000/$C$3)</f>
        <v>#DIV/0!</v>
      </c>
      <c r="AF603" s="1040" t="e">
        <f>IF($F203="","",$F203*chronic_consumption!AA603/1000/$C$3)</f>
        <v>#DIV/0!</v>
      </c>
      <c r="AG603" s="1040" t="e">
        <f>IF($F203="","",$F203*chronic_consumption!AB603/1000/$C$3)</f>
        <v>#DIV/0!</v>
      </c>
      <c r="AH603" s="1040" t="e">
        <f>IF($F203="","",$F203*chronic_consumption!AC603/1000/$C$3)</f>
        <v>#DIV/0!</v>
      </c>
      <c r="AI603" s="1040" t="e">
        <f>IF($F203="","",$F203*chronic_consumption!AD603/1000/$C$3)</f>
        <v>#DIV/0!</v>
      </c>
      <c r="AJ603" s="1040" t="e">
        <f>IF($F203="","",$F203*chronic_consumption!AE603/1000/$C$3)</f>
        <v>#DIV/0!</v>
      </c>
      <c r="AK603" s="1040" t="e">
        <f>IF($F203="","",$F203*chronic_consumption!AF603/1000/$C$3)</f>
        <v>#DIV/0!</v>
      </c>
      <c r="AL603" s="1040" t="e">
        <f>IF($F203="","",$F203*chronic_consumption!AG603/1000/$C$3)</f>
        <v>#DIV/0!</v>
      </c>
      <c r="AM603" s="1040" t="e">
        <f>IF($F203="","",$F203*chronic_consumption!AH603/1000/$C$3)</f>
        <v>#DIV/0!</v>
      </c>
      <c r="AN603" s="1040" t="e">
        <f>IF($F203="","",$F203*chronic_consumption!AI603/1000/$C$3)</f>
        <v>#DIV/0!</v>
      </c>
      <c r="AO603" s="1040" t="e">
        <f>IF($F203="","",$F203*chronic_consumption!AJ603/1000/$C$3)</f>
        <v>#DIV/0!</v>
      </c>
      <c r="AP603" s="1040" t="e">
        <f>IF($F203="","",$F203*chronic_consumption!AK603/1000/$C$3)</f>
        <v>#DIV/0!</v>
      </c>
      <c r="AQ603" s="1040" t="e">
        <f>IF($F203="","",$F203*chronic_consumption!AL603/1000/$C$3)</f>
        <v>#DIV/0!</v>
      </c>
      <c r="AR603" s="1040" t="e">
        <f>IF($F203="","",$F203*chronic_consumption!AM603/1000/$C$3)</f>
        <v>#DIV/0!</v>
      </c>
      <c r="AS603" s="1040" t="e">
        <f>IF($F203="","",$F203*chronic_consumption!AN603/1000/$C$3)</f>
        <v>#DIV/0!</v>
      </c>
      <c r="AT603" s="1040" t="e">
        <f>IF($F203="","",$F203*chronic_consumption!AO603/1000/$C$3)</f>
        <v>#DIV/0!</v>
      </c>
      <c r="AU603" s="1040" t="e">
        <f>IF($F203="","",$F203*chronic_consumption!AP603/1000/$C$3)</f>
        <v>#DIV/0!</v>
      </c>
      <c r="AV603" s="1040" t="e">
        <f>IF($F203="","",$F203*chronic_consumption!AQ603/1000/$C$3)</f>
        <v>#DIV/0!</v>
      </c>
      <c r="AW603" s="1040" t="e">
        <f>IF($F203="","",$F203*chronic_consumption!AR603/1000/$C$3)</f>
        <v>#DIV/0!</v>
      </c>
      <c r="AX603" s="1040" t="e">
        <f>IF($F203="","",$F203*chronic_consumption!AS603/1000/$C$3)</f>
        <v>#DIV/0!</v>
      </c>
      <c r="AY603" s="1040" t="e">
        <f>IF($F203="","",$F203*chronic_consumption!AT603/1000/$C$3)</f>
        <v>#DIV/0!</v>
      </c>
      <c r="AZ603" s="44" t="s">
        <v>20</v>
      </c>
      <c r="BC603" s="29"/>
      <c r="BD603" s="29"/>
    </row>
    <row r="604" spans="1:56" ht="12" customHeight="1" outlineLevel="3" x14ac:dyDescent="0.2">
      <c r="A604" s="21">
        <f>acute_overview_children!A204</f>
        <v>4</v>
      </c>
      <c r="B604" s="325">
        <f t="shared" si="45"/>
        <v>270080</v>
      </c>
      <c r="C604" s="325" t="str">
        <f t="shared" si="45"/>
        <v>Bamboo shoots</v>
      </c>
      <c r="D604" s="135"/>
      <c r="E604" s="1027"/>
      <c r="F604" s="87"/>
      <c r="G604" s="1027"/>
      <c r="H604" s="1029"/>
      <c r="I604" s="1030"/>
      <c r="J604" s="1039" t="e">
        <f>IF($F204="","",$F204*chronic_consumption!E604/1000/$C$3)</f>
        <v>#DIV/0!</v>
      </c>
      <c r="K604" s="1040" t="e">
        <f>IF($F204="","",$F204*chronic_consumption!F604/1000/$C$3)</f>
        <v>#DIV/0!</v>
      </c>
      <c r="L604" s="1040" t="e">
        <f>IF($F204="","",$F204*chronic_consumption!G604/1000/$C$3)</f>
        <v>#DIV/0!</v>
      </c>
      <c r="M604" s="1040" t="e">
        <f>IF($F204="","",$F204*chronic_consumption!H604/1000/$C$3)</f>
        <v>#DIV/0!</v>
      </c>
      <c r="N604" s="1040" t="e">
        <f>IF($F204="","",$F204*chronic_consumption!I604/1000/$C$3)</f>
        <v>#DIV/0!</v>
      </c>
      <c r="O604" s="1040" t="e">
        <f>IF($F204="","",$F204*chronic_consumption!J604/1000/$C$3)</f>
        <v>#DIV/0!</v>
      </c>
      <c r="P604" s="1040" t="e">
        <f>IF($F204="","",$F204*chronic_consumption!K604/1000/$C$3)</f>
        <v>#DIV/0!</v>
      </c>
      <c r="Q604" s="1040" t="e">
        <f>IF($F204="","",$F204*chronic_consumption!L604/1000/$C$3)</f>
        <v>#DIV/0!</v>
      </c>
      <c r="R604" s="1040" t="e">
        <f>IF($F204="","",$F204*chronic_consumption!M604/1000/$C$3)</f>
        <v>#DIV/0!</v>
      </c>
      <c r="S604" s="1040" t="e">
        <f>IF($F204="","",$F204*chronic_consumption!N604/1000/$C$3)</f>
        <v>#DIV/0!</v>
      </c>
      <c r="T604" s="1040" t="e">
        <f>IF($F204="","",$F204*chronic_consumption!O604/1000/$C$3)</f>
        <v>#DIV/0!</v>
      </c>
      <c r="U604" s="1040" t="e">
        <f>IF($F204="","",$F204*chronic_consumption!P604/1000/$C$3)</f>
        <v>#DIV/0!</v>
      </c>
      <c r="V604" s="1040" t="e">
        <f>IF($F204="","",$F204*chronic_consumption!Q604/1000/$C$3)</f>
        <v>#DIV/0!</v>
      </c>
      <c r="W604" s="1040" t="e">
        <f>IF($F204="","",$F204*chronic_consumption!R604/1000/$C$3)</f>
        <v>#DIV/0!</v>
      </c>
      <c r="X604" s="1040" t="e">
        <f>IF($F204="","",$F204*chronic_consumption!S604/1000/$C$3)</f>
        <v>#DIV/0!</v>
      </c>
      <c r="Y604" s="1040" t="e">
        <f>IF($F204="","",$F204*chronic_consumption!T604/1000/$C$3)</f>
        <v>#DIV/0!</v>
      </c>
      <c r="Z604" s="1040" t="e">
        <f>IF($F204="","",$F204*chronic_consumption!U604/1000/$C$3)</f>
        <v>#DIV/0!</v>
      </c>
      <c r="AA604" s="1040" t="e">
        <f>IF($F204="","",$F204*chronic_consumption!V604/1000/$C$3)</f>
        <v>#DIV/0!</v>
      </c>
      <c r="AB604" s="1040" t="e">
        <f>IF($F204="","",$F204*chronic_consumption!W604/1000/$C$3)</f>
        <v>#DIV/0!</v>
      </c>
      <c r="AC604" s="1040" t="e">
        <f>IF($F204="","",$F204*chronic_consumption!X604/1000/$C$3)</f>
        <v>#DIV/0!</v>
      </c>
      <c r="AD604" s="1040" t="e">
        <f>IF($F204="","",$F204*chronic_consumption!Y604/1000/$C$3)</f>
        <v>#DIV/0!</v>
      </c>
      <c r="AE604" s="1040" t="e">
        <f>IF($F204="","",$F204*chronic_consumption!Z604/1000/$C$3)</f>
        <v>#DIV/0!</v>
      </c>
      <c r="AF604" s="1040" t="e">
        <f>IF($F204="","",$F204*chronic_consumption!AA604/1000/$C$3)</f>
        <v>#DIV/0!</v>
      </c>
      <c r="AG604" s="1040" t="e">
        <f>IF($F204="","",$F204*chronic_consumption!AB604/1000/$C$3)</f>
        <v>#DIV/0!</v>
      </c>
      <c r="AH604" s="1040" t="e">
        <f>IF($F204="","",$F204*chronic_consumption!AC604/1000/$C$3)</f>
        <v>#DIV/0!</v>
      </c>
      <c r="AI604" s="1040" t="e">
        <f>IF($F204="","",$F204*chronic_consumption!AD604/1000/$C$3)</f>
        <v>#DIV/0!</v>
      </c>
      <c r="AJ604" s="1040" t="e">
        <f>IF($F204="","",$F204*chronic_consumption!AE604/1000/$C$3)</f>
        <v>#DIV/0!</v>
      </c>
      <c r="AK604" s="1040" t="e">
        <f>IF($F204="","",$F204*chronic_consumption!AF604/1000/$C$3)</f>
        <v>#DIV/0!</v>
      </c>
      <c r="AL604" s="1040" t="e">
        <f>IF($F204="","",$F204*chronic_consumption!AG604/1000/$C$3)</f>
        <v>#DIV/0!</v>
      </c>
      <c r="AM604" s="1040" t="e">
        <f>IF($F204="","",$F204*chronic_consumption!AH604/1000/$C$3)</f>
        <v>#DIV/0!</v>
      </c>
      <c r="AN604" s="1040" t="e">
        <f>IF($F204="","",$F204*chronic_consumption!AI604/1000/$C$3)</f>
        <v>#DIV/0!</v>
      </c>
      <c r="AO604" s="1040" t="e">
        <f>IF($F204="","",$F204*chronic_consumption!AJ604/1000/$C$3)</f>
        <v>#DIV/0!</v>
      </c>
      <c r="AP604" s="1040" t="e">
        <f>IF($F204="","",$F204*chronic_consumption!AK604/1000/$C$3)</f>
        <v>#DIV/0!</v>
      </c>
      <c r="AQ604" s="1040" t="e">
        <f>IF($F204="","",$F204*chronic_consumption!AL604/1000/$C$3)</f>
        <v>#DIV/0!</v>
      </c>
      <c r="AR604" s="1040" t="e">
        <f>IF($F204="","",$F204*chronic_consumption!AM604/1000/$C$3)</f>
        <v>#DIV/0!</v>
      </c>
      <c r="AS604" s="1040" t="e">
        <f>IF($F204="","",$F204*chronic_consumption!AN604/1000/$C$3)</f>
        <v>#DIV/0!</v>
      </c>
      <c r="AT604" s="1040" t="e">
        <f>IF($F204="","",$F204*chronic_consumption!AO604/1000/$C$3)</f>
        <v>#DIV/0!</v>
      </c>
      <c r="AU604" s="1040" t="e">
        <f>IF($F204="","",$F204*chronic_consumption!AP604/1000/$C$3)</f>
        <v>#DIV/0!</v>
      </c>
      <c r="AV604" s="1040" t="e">
        <f>IF($F204="","",$F204*chronic_consumption!AQ604/1000/$C$3)</f>
        <v>#DIV/0!</v>
      </c>
      <c r="AW604" s="1040" t="e">
        <f>IF($F204="","",$F204*chronic_consumption!AR604/1000/$C$3)</f>
        <v>#DIV/0!</v>
      </c>
      <c r="AX604" s="1040" t="e">
        <f>IF($F204="","",$F204*chronic_consumption!AS604/1000/$C$3)</f>
        <v>#DIV/0!</v>
      </c>
      <c r="AY604" s="1040" t="e">
        <f>IF($F204="","",$F204*chronic_consumption!AT604/1000/$C$3)</f>
        <v>#DIV/0!</v>
      </c>
      <c r="AZ604" s="44" t="s">
        <v>20</v>
      </c>
      <c r="BC604" s="29"/>
      <c r="BD604" s="29"/>
    </row>
    <row r="605" spans="1:56" ht="12" customHeight="1" outlineLevel="3" x14ac:dyDescent="0.2">
      <c r="A605" s="21">
        <f>acute_overview_children!A205</f>
        <v>4</v>
      </c>
      <c r="B605" s="325">
        <f t="shared" si="45"/>
        <v>270090</v>
      </c>
      <c r="C605" s="325" t="str">
        <f t="shared" si="45"/>
        <v>Palm hearts</v>
      </c>
      <c r="D605" s="135"/>
      <c r="E605" s="1027"/>
      <c r="F605" s="87"/>
      <c r="G605" s="1027"/>
      <c r="H605" s="1029"/>
      <c r="I605" s="1030"/>
      <c r="J605" s="1039" t="e">
        <f>IF($F205="","",$F205*chronic_consumption!E605/1000/$C$3)</f>
        <v>#DIV/0!</v>
      </c>
      <c r="K605" s="1040" t="e">
        <f>IF($F205="","",$F205*chronic_consumption!F605/1000/$C$3)</f>
        <v>#DIV/0!</v>
      </c>
      <c r="L605" s="1040" t="e">
        <f>IF($F205="","",$F205*chronic_consumption!G605/1000/$C$3)</f>
        <v>#DIV/0!</v>
      </c>
      <c r="M605" s="1040" t="e">
        <f>IF($F205="","",$F205*chronic_consumption!H605/1000/$C$3)</f>
        <v>#DIV/0!</v>
      </c>
      <c r="N605" s="1040" t="e">
        <f>IF($F205="","",$F205*chronic_consumption!I605/1000/$C$3)</f>
        <v>#DIV/0!</v>
      </c>
      <c r="O605" s="1040" t="e">
        <f>IF($F205="","",$F205*chronic_consumption!J605/1000/$C$3)</f>
        <v>#DIV/0!</v>
      </c>
      <c r="P605" s="1040" t="e">
        <f>IF($F205="","",$F205*chronic_consumption!K605/1000/$C$3)</f>
        <v>#DIV/0!</v>
      </c>
      <c r="Q605" s="1040" t="e">
        <f>IF($F205="","",$F205*chronic_consumption!L605/1000/$C$3)</f>
        <v>#DIV/0!</v>
      </c>
      <c r="R605" s="1040" t="e">
        <f>IF($F205="","",$F205*chronic_consumption!M605/1000/$C$3)</f>
        <v>#DIV/0!</v>
      </c>
      <c r="S605" s="1040" t="e">
        <f>IF($F205="","",$F205*chronic_consumption!N605/1000/$C$3)</f>
        <v>#DIV/0!</v>
      </c>
      <c r="T605" s="1040" t="e">
        <f>IF($F205="","",$F205*chronic_consumption!O605/1000/$C$3)</f>
        <v>#DIV/0!</v>
      </c>
      <c r="U605" s="1040" t="e">
        <f>IF($F205="","",$F205*chronic_consumption!P605/1000/$C$3)</f>
        <v>#DIV/0!</v>
      </c>
      <c r="V605" s="1040" t="e">
        <f>IF($F205="","",$F205*chronic_consumption!Q605/1000/$C$3)</f>
        <v>#DIV/0!</v>
      </c>
      <c r="W605" s="1040" t="e">
        <f>IF($F205="","",$F205*chronic_consumption!R605/1000/$C$3)</f>
        <v>#DIV/0!</v>
      </c>
      <c r="X605" s="1040" t="e">
        <f>IF($F205="","",$F205*chronic_consumption!S605/1000/$C$3)</f>
        <v>#DIV/0!</v>
      </c>
      <c r="Y605" s="1040" t="e">
        <f>IF($F205="","",$F205*chronic_consumption!T605/1000/$C$3)</f>
        <v>#DIV/0!</v>
      </c>
      <c r="Z605" s="1040" t="e">
        <f>IF($F205="","",$F205*chronic_consumption!U605/1000/$C$3)</f>
        <v>#DIV/0!</v>
      </c>
      <c r="AA605" s="1040" t="e">
        <f>IF($F205="","",$F205*chronic_consumption!V605/1000/$C$3)</f>
        <v>#DIV/0!</v>
      </c>
      <c r="AB605" s="1040" t="e">
        <f>IF($F205="","",$F205*chronic_consumption!W605/1000/$C$3)</f>
        <v>#DIV/0!</v>
      </c>
      <c r="AC605" s="1040" t="e">
        <f>IF($F205="","",$F205*chronic_consumption!X605/1000/$C$3)</f>
        <v>#DIV/0!</v>
      </c>
      <c r="AD605" s="1040" t="e">
        <f>IF($F205="","",$F205*chronic_consumption!Y605/1000/$C$3)</f>
        <v>#DIV/0!</v>
      </c>
      <c r="AE605" s="1040" t="e">
        <f>IF($F205="","",$F205*chronic_consumption!Z605/1000/$C$3)</f>
        <v>#DIV/0!</v>
      </c>
      <c r="AF605" s="1040" t="e">
        <f>IF($F205="","",$F205*chronic_consumption!AA605/1000/$C$3)</f>
        <v>#DIV/0!</v>
      </c>
      <c r="AG605" s="1040" t="e">
        <f>IF($F205="","",$F205*chronic_consumption!AB605/1000/$C$3)</f>
        <v>#DIV/0!</v>
      </c>
      <c r="AH605" s="1040" t="e">
        <f>IF($F205="","",$F205*chronic_consumption!AC605/1000/$C$3)</f>
        <v>#DIV/0!</v>
      </c>
      <c r="AI605" s="1040" t="e">
        <f>IF($F205="","",$F205*chronic_consumption!AD605/1000/$C$3)</f>
        <v>#DIV/0!</v>
      </c>
      <c r="AJ605" s="1040" t="e">
        <f>IF($F205="","",$F205*chronic_consumption!AE605/1000/$C$3)</f>
        <v>#DIV/0!</v>
      </c>
      <c r="AK605" s="1040" t="e">
        <f>IF($F205="","",$F205*chronic_consumption!AF605/1000/$C$3)</f>
        <v>#DIV/0!</v>
      </c>
      <c r="AL605" s="1040" t="e">
        <f>IF($F205="","",$F205*chronic_consumption!AG605/1000/$C$3)</f>
        <v>#DIV/0!</v>
      </c>
      <c r="AM605" s="1040" t="e">
        <f>IF($F205="","",$F205*chronic_consumption!AH605/1000/$C$3)</f>
        <v>#DIV/0!</v>
      </c>
      <c r="AN605" s="1040" t="e">
        <f>IF($F205="","",$F205*chronic_consumption!AI605/1000/$C$3)</f>
        <v>#DIV/0!</v>
      </c>
      <c r="AO605" s="1040" t="e">
        <f>IF($F205="","",$F205*chronic_consumption!AJ605/1000/$C$3)</f>
        <v>#DIV/0!</v>
      </c>
      <c r="AP605" s="1040" t="e">
        <f>IF($F205="","",$F205*chronic_consumption!AK605/1000/$C$3)</f>
        <v>#DIV/0!</v>
      </c>
      <c r="AQ605" s="1040" t="e">
        <f>IF($F205="","",$F205*chronic_consumption!AL605/1000/$C$3)</f>
        <v>#DIV/0!</v>
      </c>
      <c r="AR605" s="1040" t="e">
        <f>IF($F205="","",$F205*chronic_consumption!AM605/1000/$C$3)</f>
        <v>#DIV/0!</v>
      </c>
      <c r="AS605" s="1040" t="e">
        <f>IF($F205="","",$F205*chronic_consumption!AN605/1000/$C$3)</f>
        <v>#DIV/0!</v>
      </c>
      <c r="AT605" s="1040" t="e">
        <f>IF($F205="","",$F205*chronic_consumption!AO605/1000/$C$3)</f>
        <v>#DIV/0!</v>
      </c>
      <c r="AU605" s="1040" t="e">
        <f>IF($F205="","",$F205*chronic_consumption!AP605/1000/$C$3)</f>
        <v>#DIV/0!</v>
      </c>
      <c r="AV605" s="1040" t="e">
        <f>IF($F205="","",$F205*chronic_consumption!AQ605/1000/$C$3)</f>
        <v>#DIV/0!</v>
      </c>
      <c r="AW605" s="1040" t="e">
        <f>IF($F205="","",$F205*chronic_consumption!AR605/1000/$C$3)</f>
        <v>#DIV/0!</v>
      </c>
      <c r="AX605" s="1040" t="e">
        <f>IF($F205="","",$F205*chronic_consumption!AS605/1000/$C$3)</f>
        <v>#DIV/0!</v>
      </c>
      <c r="AY605" s="1040" t="e">
        <f>IF($F205="","",$F205*chronic_consumption!AT605/1000/$C$3)</f>
        <v>#DIV/0!</v>
      </c>
      <c r="AZ605" s="44" t="s">
        <v>20</v>
      </c>
      <c r="BC605" s="29"/>
      <c r="BD605" s="29"/>
    </row>
    <row r="606" spans="1:56" ht="12" customHeight="1" outlineLevel="3" x14ac:dyDescent="0.2">
      <c r="A606" s="21">
        <f>acute_overview_children!A206</f>
        <v>4</v>
      </c>
      <c r="B606" s="325">
        <f t="shared" si="45"/>
        <v>270990</v>
      </c>
      <c r="C606" s="325" t="str">
        <f t="shared" si="45"/>
        <v>Other stem vegetables</v>
      </c>
      <c r="D606" s="135"/>
      <c r="E606" s="1027"/>
      <c r="F606" s="87"/>
      <c r="G606" s="1027"/>
      <c r="H606" s="1029"/>
      <c r="I606" s="1030"/>
      <c r="J606" s="1039" t="e">
        <f>IF($F206="","",$F206*chronic_consumption!E606/1000/$C$3)</f>
        <v>#DIV/0!</v>
      </c>
      <c r="K606" s="1040" t="e">
        <f>IF($F206="","",$F206*chronic_consumption!F606/1000/$C$3)</f>
        <v>#DIV/0!</v>
      </c>
      <c r="L606" s="1040" t="e">
        <f>IF($F206="","",$F206*chronic_consumption!G606/1000/$C$3)</f>
        <v>#DIV/0!</v>
      </c>
      <c r="M606" s="1040" t="e">
        <f>IF($F206="","",$F206*chronic_consumption!H606/1000/$C$3)</f>
        <v>#DIV/0!</v>
      </c>
      <c r="N606" s="1040" t="e">
        <f>IF($F206="","",$F206*chronic_consumption!I606/1000/$C$3)</f>
        <v>#DIV/0!</v>
      </c>
      <c r="O606" s="1040" t="e">
        <f>IF($F206="","",$F206*chronic_consumption!J606/1000/$C$3)</f>
        <v>#DIV/0!</v>
      </c>
      <c r="P606" s="1040" t="e">
        <f>IF($F206="","",$F206*chronic_consumption!K606/1000/$C$3)</f>
        <v>#DIV/0!</v>
      </c>
      <c r="Q606" s="1040" t="e">
        <f>IF($F206="","",$F206*chronic_consumption!L606/1000/$C$3)</f>
        <v>#DIV/0!</v>
      </c>
      <c r="R606" s="1040" t="e">
        <f>IF($F206="","",$F206*chronic_consumption!M606/1000/$C$3)</f>
        <v>#DIV/0!</v>
      </c>
      <c r="S606" s="1040" t="e">
        <f>IF($F206="","",$F206*chronic_consumption!N606/1000/$C$3)</f>
        <v>#DIV/0!</v>
      </c>
      <c r="T606" s="1040" t="e">
        <f>IF($F206="","",$F206*chronic_consumption!O606/1000/$C$3)</f>
        <v>#DIV/0!</v>
      </c>
      <c r="U606" s="1040" t="e">
        <f>IF($F206="","",$F206*chronic_consumption!P606/1000/$C$3)</f>
        <v>#DIV/0!</v>
      </c>
      <c r="V606" s="1040" t="e">
        <f>IF($F206="","",$F206*chronic_consumption!Q606/1000/$C$3)</f>
        <v>#DIV/0!</v>
      </c>
      <c r="W606" s="1040" t="e">
        <f>IF($F206="","",$F206*chronic_consumption!R606/1000/$C$3)</f>
        <v>#DIV/0!</v>
      </c>
      <c r="X606" s="1040" t="e">
        <f>IF($F206="","",$F206*chronic_consumption!S606/1000/$C$3)</f>
        <v>#DIV/0!</v>
      </c>
      <c r="Y606" s="1040" t="e">
        <f>IF($F206="","",$F206*chronic_consumption!T606/1000/$C$3)</f>
        <v>#DIV/0!</v>
      </c>
      <c r="Z606" s="1040" t="e">
        <f>IF($F206="","",$F206*chronic_consumption!U606/1000/$C$3)</f>
        <v>#DIV/0!</v>
      </c>
      <c r="AA606" s="1040" t="e">
        <f>IF($F206="","",$F206*chronic_consumption!V606/1000/$C$3)</f>
        <v>#DIV/0!</v>
      </c>
      <c r="AB606" s="1040" t="e">
        <f>IF($F206="","",$F206*chronic_consumption!W606/1000/$C$3)</f>
        <v>#DIV/0!</v>
      </c>
      <c r="AC606" s="1040" t="e">
        <f>IF($F206="","",$F206*chronic_consumption!X606/1000/$C$3)</f>
        <v>#DIV/0!</v>
      </c>
      <c r="AD606" s="1040" t="e">
        <f>IF($F206="","",$F206*chronic_consumption!Y606/1000/$C$3)</f>
        <v>#DIV/0!</v>
      </c>
      <c r="AE606" s="1040" t="e">
        <f>IF($F206="","",$F206*chronic_consumption!Z606/1000/$C$3)</f>
        <v>#DIV/0!</v>
      </c>
      <c r="AF606" s="1040" t="e">
        <f>IF($F206="","",$F206*chronic_consumption!AA606/1000/$C$3)</f>
        <v>#DIV/0!</v>
      </c>
      <c r="AG606" s="1040" t="e">
        <f>IF($F206="","",$F206*chronic_consumption!AB606/1000/$C$3)</f>
        <v>#DIV/0!</v>
      </c>
      <c r="AH606" s="1040" t="e">
        <f>IF($F206="","",$F206*chronic_consumption!AC606/1000/$C$3)</f>
        <v>#DIV/0!</v>
      </c>
      <c r="AI606" s="1040" t="e">
        <f>IF($F206="","",$F206*chronic_consumption!AD606/1000/$C$3)</f>
        <v>#DIV/0!</v>
      </c>
      <c r="AJ606" s="1040" t="e">
        <f>IF($F206="","",$F206*chronic_consumption!AE606/1000/$C$3)</f>
        <v>#DIV/0!</v>
      </c>
      <c r="AK606" s="1040" t="e">
        <f>IF($F206="","",$F206*chronic_consumption!AF606/1000/$C$3)</f>
        <v>#DIV/0!</v>
      </c>
      <c r="AL606" s="1040" t="e">
        <f>IF($F206="","",$F206*chronic_consumption!AG606/1000/$C$3)</f>
        <v>#DIV/0!</v>
      </c>
      <c r="AM606" s="1040" t="e">
        <f>IF($F206="","",$F206*chronic_consumption!AH606/1000/$C$3)</f>
        <v>#DIV/0!</v>
      </c>
      <c r="AN606" s="1040" t="e">
        <f>IF($F206="","",$F206*chronic_consumption!AI606/1000/$C$3)</f>
        <v>#DIV/0!</v>
      </c>
      <c r="AO606" s="1040" t="e">
        <f>IF($F206="","",$F206*chronic_consumption!AJ606/1000/$C$3)</f>
        <v>#DIV/0!</v>
      </c>
      <c r="AP606" s="1040" t="e">
        <f>IF($F206="","",$F206*chronic_consumption!AK606/1000/$C$3)</f>
        <v>#DIV/0!</v>
      </c>
      <c r="AQ606" s="1040" t="e">
        <f>IF($F206="","",$F206*chronic_consumption!AL606/1000/$C$3)</f>
        <v>#DIV/0!</v>
      </c>
      <c r="AR606" s="1040" t="e">
        <f>IF($F206="","",$F206*chronic_consumption!AM606/1000/$C$3)</f>
        <v>#DIV/0!</v>
      </c>
      <c r="AS606" s="1040" t="e">
        <f>IF($F206="","",$F206*chronic_consumption!AN606/1000/$C$3)</f>
        <v>#DIV/0!</v>
      </c>
      <c r="AT606" s="1040" t="e">
        <f>IF($F206="","",$F206*chronic_consumption!AO606/1000/$C$3)</f>
        <v>#DIV/0!</v>
      </c>
      <c r="AU606" s="1040" t="e">
        <f>IF($F206="","",$F206*chronic_consumption!AP606/1000/$C$3)</f>
        <v>#DIV/0!</v>
      </c>
      <c r="AV606" s="1040" t="e">
        <f>IF($F206="","",$F206*chronic_consumption!AQ606/1000/$C$3)</f>
        <v>#DIV/0!</v>
      </c>
      <c r="AW606" s="1040" t="e">
        <f>IF($F206="","",$F206*chronic_consumption!AR606/1000/$C$3)</f>
        <v>#DIV/0!</v>
      </c>
      <c r="AX606" s="1040" t="e">
        <f>IF($F206="","",$F206*chronic_consumption!AS606/1000/$C$3)</f>
        <v>#DIV/0!</v>
      </c>
      <c r="AY606" s="1040" t="e">
        <f>IF($F206="","",$F206*chronic_consumption!AT606/1000/$C$3)</f>
        <v>#DIV/0!</v>
      </c>
      <c r="AZ606" s="44" t="s">
        <v>20</v>
      </c>
      <c r="BC606" s="29"/>
      <c r="BD606" s="29"/>
    </row>
    <row r="607" spans="1:56" ht="12" customHeight="1" outlineLevel="2" x14ac:dyDescent="0.2">
      <c r="A607" s="1033">
        <f>acute_overview_children!A207</f>
        <v>2</v>
      </c>
      <c r="B607" s="1034">
        <f t="shared" si="45"/>
        <v>280000</v>
      </c>
      <c r="C607" s="1034" t="str">
        <f t="shared" si="45"/>
        <v>Fungi</v>
      </c>
      <c r="D607" s="1035"/>
      <c r="E607" s="1027"/>
      <c r="F607" s="87"/>
      <c r="G607" s="1027"/>
      <c r="H607" s="1029"/>
      <c r="I607" s="1030"/>
      <c r="J607" s="1037" t="e">
        <f>IF($F207="","",$F207*chronic_consumption!E607/1000/$C$3)</f>
        <v>#DIV/0!</v>
      </c>
      <c r="K607" s="1038" t="e">
        <f>IF($F207="","",$F207*chronic_consumption!F607/1000/$C$3)</f>
        <v>#DIV/0!</v>
      </c>
      <c r="L607" s="1038" t="e">
        <f>IF($F207="","",$F207*chronic_consumption!G607/1000/$C$3)</f>
        <v>#DIV/0!</v>
      </c>
      <c r="M607" s="1038" t="e">
        <f>IF($F207="","",$F207*chronic_consumption!H607/1000/$C$3)</f>
        <v>#DIV/0!</v>
      </c>
      <c r="N607" s="1038" t="e">
        <f>IF($F207="","",$F207*chronic_consumption!I607/1000/$C$3)</f>
        <v>#DIV/0!</v>
      </c>
      <c r="O607" s="1038" t="e">
        <f>IF($F207="","",$F207*chronic_consumption!J607/1000/$C$3)</f>
        <v>#DIV/0!</v>
      </c>
      <c r="P607" s="1038" t="e">
        <f>IF($F207="","",$F207*chronic_consumption!K607/1000/$C$3)</f>
        <v>#DIV/0!</v>
      </c>
      <c r="Q607" s="1038" t="e">
        <f>IF($F207="","",$F207*chronic_consumption!L607/1000/$C$3)</f>
        <v>#DIV/0!</v>
      </c>
      <c r="R607" s="1038" t="e">
        <f>IF($F207="","",$F207*chronic_consumption!M607/1000/$C$3)</f>
        <v>#DIV/0!</v>
      </c>
      <c r="S607" s="1038" t="e">
        <f>IF($F207="","",$F207*chronic_consumption!N607/1000/$C$3)</f>
        <v>#DIV/0!</v>
      </c>
      <c r="T607" s="1038" t="e">
        <f>IF($F207="","",$F207*chronic_consumption!O607/1000/$C$3)</f>
        <v>#DIV/0!</v>
      </c>
      <c r="U607" s="1038" t="e">
        <f>IF($F207="","",$F207*chronic_consumption!P607/1000/$C$3)</f>
        <v>#DIV/0!</v>
      </c>
      <c r="V607" s="1038" t="e">
        <f>IF($F207="","",$F207*chronic_consumption!Q607/1000/$C$3)</f>
        <v>#DIV/0!</v>
      </c>
      <c r="W607" s="1038" t="e">
        <f>IF($F207="","",$F207*chronic_consumption!R607/1000/$C$3)</f>
        <v>#DIV/0!</v>
      </c>
      <c r="X607" s="1038" t="e">
        <f>IF($F207="","",$F207*chronic_consumption!S607/1000/$C$3)</f>
        <v>#DIV/0!</v>
      </c>
      <c r="Y607" s="1038" t="e">
        <f>IF($F207="","",$F207*chronic_consumption!T607/1000/$C$3)</f>
        <v>#DIV/0!</v>
      </c>
      <c r="Z607" s="1038" t="e">
        <f>IF($F207="","",$F207*chronic_consumption!U607/1000/$C$3)</f>
        <v>#DIV/0!</v>
      </c>
      <c r="AA607" s="1038" t="e">
        <f>IF($F207="","",$F207*chronic_consumption!V607/1000/$C$3)</f>
        <v>#DIV/0!</v>
      </c>
      <c r="AB607" s="1038" t="e">
        <f>IF($F207="","",$F207*chronic_consumption!W607/1000/$C$3)</f>
        <v>#DIV/0!</v>
      </c>
      <c r="AC607" s="1038" t="e">
        <f>IF($F207="","",$F207*chronic_consumption!X607/1000/$C$3)</f>
        <v>#DIV/0!</v>
      </c>
      <c r="AD607" s="1038" t="e">
        <f>IF($F207="","",$F207*chronic_consumption!Y607/1000/$C$3)</f>
        <v>#DIV/0!</v>
      </c>
      <c r="AE607" s="1038" t="e">
        <f>IF($F207="","",$F207*chronic_consumption!Z607/1000/$C$3)</f>
        <v>#DIV/0!</v>
      </c>
      <c r="AF607" s="1038" t="e">
        <f>IF($F207="","",$F207*chronic_consumption!AA607/1000/$C$3)</f>
        <v>#DIV/0!</v>
      </c>
      <c r="AG607" s="1038" t="e">
        <f>IF($F207="","",$F207*chronic_consumption!AB607/1000/$C$3)</f>
        <v>#DIV/0!</v>
      </c>
      <c r="AH607" s="1038" t="e">
        <f>IF($F207="","",$F207*chronic_consumption!AC607/1000/$C$3)</f>
        <v>#DIV/0!</v>
      </c>
      <c r="AI607" s="1038" t="e">
        <f>IF($F207="","",$F207*chronic_consumption!AD607/1000/$C$3)</f>
        <v>#DIV/0!</v>
      </c>
      <c r="AJ607" s="1038" t="e">
        <f>IF($F207="","",$F207*chronic_consumption!AE607/1000/$C$3)</f>
        <v>#DIV/0!</v>
      </c>
      <c r="AK607" s="1038" t="e">
        <f>IF($F207="","",$F207*chronic_consumption!AF607/1000/$C$3)</f>
        <v>#DIV/0!</v>
      </c>
      <c r="AL607" s="1038" t="e">
        <f>IF($F207="","",$F207*chronic_consumption!AG607/1000/$C$3)</f>
        <v>#DIV/0!</v>
      </c>
      <c r="AM607" s="1038" t="e">
        <f>IF($F207="","",$F207*chronic_consumption!AH607/1000/$C$3)</f>
        <v>#DIV/0!</v>
      </c>
      <c r="AN607" s="1038" t="e">
        <f>IF($F207="","",$F207*chronic_consumption!AI607/1000/$C$3)</f>
        <v>#DIV/0!</v>
      </c>
      <c r="AO607" s="1038" t="e">
        <f>IF($F207="","",$F207*chronic_consumption!AJ607/1000/$C$3)</f>
        <v>#DIV/0!</v>
      </c>
      <c r="AP607" s="1038" t="e">
        <f>IF($F207="","",$F207*chronic_consumption!AK607/1000/$C$3)</f>
        <v>#DIV/0!</v>
      </c>
      <c r="AQ607" s="1038" t="e">
        <f>IF($F207="","",$F207*chronic_consumption!AL607/1000/$C$3)</f>
        <v>#DIV/0!</v>
      </c>
      <c r="AR607" s="1038" t="e">
        <f>IF($F207="","",$F207*chronic_consumption!AM607/1000/$C$3)</f>
        <v>#DIV/0!</v>
      </c>
      <c r="AS607" s="1038" t="e">
        <f>IF($F207="","",$F207*chronic_consumption!AN607/1000/$C$3)</f>
        <v>#DIV/0!</v>
      </c>
      <c r="AT607" s="1038" t="e">
        <f>IF($F207="","",$F207*chronic_consumption!AO607/1000/$C$3)</f>
        <v>#DIV/0!</v>
      </c>
      <c r="AU607" s="1038" t="e">
        <f>IF($F207="","",$F207*chronic_consumption!AP607/1000/$C$3)</f>
        <v>#DIV/0!</v>
      </c>
      <c r="AV607" s="1038" t="e">
        <f>IF($F207="","",$F207*chronic_consumption!AQ607/1000/$C$3)</f>
        <v>#DIV/0!</v>
      </c>
      <c r="AW607" s="1038" t="e">
        <f>IF($F207="","",$F207*chronic_consumption!AR607/1000/$C$3)</f>
        <v>#DIV/0!</v>
      </c>
      <c r="AX607" s="1038" t="e">
        <f>IF($F207="","",$F207*chronic_consumption!AS607/1000/$C$3)</f>
        <v>#DIV/0!</v>
      </c>
      <c r="AY607" s="1038" t="e">
        <f>IF($F207="","",$F207*chronic_consumption!AT607/1000/$C$3)</f>
        <v>#DIV/0!</v>
      </c>
      <c r="AZ607" s="44" t="s">
        <v>20</v>
      </c>
      <c r="BC607" s="29"/>
      <c r="BD607" s="29"/>
    </row>
    <row r="608" spans="1:56" ht="12" customHeight="1" outlineLevel="3" x14ac:dyDescent="0.2">
      <c r="A608" s="21">
        <f>acute_overview_children!A208</f>
        <v>4</v>
      </c>
      <c r="B608" s="325">
        <f t="shared" si="45"/>
        <v>280010</v>
      </c>
      <c r="C608" s="325" t="str">
        <f t="shared" si="45"/>
        <v>Cultivated fungi</v>
      </c>
      <c r="D608" s="135"/>
      <c r="E608" s="1027"/>
      <c r="F608" s="87"/>
      <c r="G608" s="1027"/>
      <c r="H608" s="1029"/>
      <c r="I608" s="1030"/>
      <c r="J608" s="1039" t="e">
        <f>IF($F208="","",$F208*chronic_consumption!E608/1000/$C$3)</f>
        <v>#DIV/0!</v>
      </c>
      <c r="K608" s="1040" t="e">
        <f>IF($F208="","",$F208*chronic_consumption!F608/1000/$C$3)</f>
        <v>#DIV/0!</v>
      </c>
      <c r="L608" s="1040" t="e">
        <f>IF($F208="","",$F208*chronic_consumption!G608/1000/$C$3)</f>
        <v>#DIV/0!</v>
      </c>
      <c r="M608" s="1040" t="e">
        <f>IF($F208="","",$F208*chronic_consumption!H608/1000/$C$3)</f>
        <v>#DIV/0!</v>
      </c>
      <c r="N608" s="1040" t="e">
        <f>IF($F208="","",$F208*chronic_consumption!I608/1000/$C$3)</f>
        <v>#DIV/0!</v>
      </c>
      <c r="O608" s="1040" t="e">
        <f>IF($F208="","",$F208*chronic_consumption!J608/1000/$C$3)</f>
        <v>#DIV/0!</v>
      </c>
      <c r="P608" s="1040" t="e">
        <f>IF($F208="","",$F208*chronic_consumption!K608/1000/$C$3)</f>
        <v>#DIV/0!</v>
      </c>
      <c r="Q608" s="1040" t="e">
        <f>IF($F208="","",$F208*chronic_consumption!L608/1000/$C$3)</f>
        <v>#DIV/0!</v>
      </c>
      <c r="R608" s="1040" t="e">
        <f>IF($F208="","",$F208*chronic_consumption!M608/1000/$C$3)</f>
        <v>#DIV/0!</v>
      </c>
      <c r="S608" s="1040" t="e">
        <f>IF($F208="","",$F208*chronic_consumption!N608/1000/$C$3)</f>
        <v>#DIV/0!</v>
      </c>
      <c r="T608" s="1040" t="e">
        <f>IF($F208="","",$F208*chronic_consumption!O608/1000/$C$3)</f>
        <v>#DIV/0!</v>
      </c>
      <c r="U608" s="1040" t="e">
        <f>IF($F208="","",$F208*chronic_consumption!P608/1000/$C$3)</f>
        <v>#DIV/0!</v>
      </c>
      <c r="V608" s="1040" t="e">
        <f>IF($F208="","",$F208*chronic_consumption!Q608/1000/$C$3)</f>
        <v>#DIV/0!</v>
      </c>
      <c r="W608" s="1040" t="e">
        <f>IF($F208="","",$F208*chronic_consumption!R608/1000/$C$3)</f>
        <v>#DIV/0!</v>
      </c>
      <c r="X608" s="1040" t="e">
        <f>IF($F208="","",$F208*chronic_consumption!S608/1000/$C$3)</f>
        <v>#DIV/0!</v>
      </c>
      <c r="Y608" s="1040" t="e">
        <f>IF($F208="","",$F208*chronic_consumption!T608/1000/$C$3)</f>
        <v>#DIV/0!</v>
      </c>
      <c r="Z608" s="1040" t="e">
        <f>IF($F208="","",$F208*chronic_consumption!U608/1000/$C$3)</f>
        <v>#DIV/0!</v>
      </c>
      <c r="AA608" s="1040" t="e">
        <f>IF($F208="","",$F208*chronic_consumption!V608/1000/$C$3)</f>
        <v>#DIV/0!</v>
      </c>
      <c r="AB608" s="1040" t="e">
        <f>IF($F208="","",$F208*chronic_consumption!W608/1000/$C$3)</f>
        <v>#DIV/0!</v>
      </c>
      <c r="AC608" s="1040" t="e">
        <f>IF($F208="","",$F208*chronic_consumption!X608/1000/$C$3)</f>
        <v>#DIV/0!</v>
      </c>
      <c r="AD608" s="1040" t="e">
        <f>IF($F208="","",$F208*chronic_consumption!Y608/1000/$C$3)</f>
        <v>#DIV/0!</v>
      </c>
      <c r="AE608" s="1040" t="e">
        <f>IF($F208="","",$F208*chronic_consumption!Z608/1000/$C$3)</f>
        <v>#DIV/0!</v>
      </c>
      <c r="AF608" s="1040" t="e">
        <f>IF($F208="","",$F208*chronic_consumption!AA608/1000/$C$3)</f>
        <v>#DIV/0!</v>
      </c>
      <c r="AG608" s="1040" t="e">
        <f>IF($F208="","",$F208*chronic_consumption!AB608/1000/$C$3)</f>
        <v>#DIV/0!</v>
      </c>
      <c r="AH608" s="1040" t="e">
        <f>IF($F208="","",$F208*chronic_consumption!AC608/1000/$C$3)</f>
        <v>#DIV/0!</v>
      </c>
      <c r="AI608" s="1040" t="e">
        <f>IF($F208="","",$F208*chronic_consumption!AD608/1000/$C$3)</f>
        <v>#DIV/0!</v>
      </c>
      <c r="AJ608" s="1040" t="e">
        <f>IF($F208="","",$F208*chronic_consumption!AE608/1000/$C$3)</f>
        <v>#DIV/0!</v>
      </c>
      <c r="AK608" s="1040" t="e">
        <f>IF($F208="","",$F208*chronic_consumption!AF608/1000/$C$3)</f>
        <v>#DIV/0!</v>
      </c>
      <c r="AL608" s="1040" t="e">
        <f>IF($F208="","",$F208*chronic_consumption!AG608/1000/$C$3)</f>
        <v>#DIV/0!</v>
      </c>
      <c r="AM608" s="1040" t="e">
        <f>IF($F208="","",$F208*chronic_consumption!AH608/1000/$C$3)</f>
        <v>#DIV/0!</v>
      </c>
      <c r="AN608" s="1040" t="e">
        <f>IF($F208="","",$F208*chronic_consumption!AI608/1000/$C$3)</f>
        <v>#DIV/0!</v>
      </c>
      <c r="AO608" s="1040" t="e">
        <f>IF($F208="","",$F208*chronic_consumption!AJ608/1000/$C$3)</f>
        <v>#DIV/0!</v>
      </c>
      <c r="AP608" s="1040" t="e">
        <f>IF($F208="","",$F208*chronic_consumption!AK608/1000/$C$3)</f>
        <v>#DIV/0!</v>
      </c>
      <c r="AQ608" s="1040" t="e">
        <f>IF($F208="","",$F208*chronic_consumption!AL608/1000/$C$3)</f>
        <v>#DIV/0!</v>
      </c>
      <c r="AR608" s="1040" t="e">
        <f>IF($F208="","",$F208*chronic_consumption!AM608/1000/$C$3)</f>
        <v>#DIV/0!</v>
      </c>
      <c r="AS608" s="1040" t="e">
        <f>IF($F208="","",$F208*chronic_consumption!AN608/1000/$C$3)</f>
        <v>#DIV/0!</v>
      </c>
      <c r="AT608" s="1040" t="e">
        <f>IF($F208="","",$F208*chronic_consumption!AO608/1000/$C$3)</f>
        <v>#DIV/0!</v>
      </c>
      <c r="AU608" s="1040" t="e">
        <f>IF($F208="","",$F208*chronic_consumption!AP608/1000/$C$3)</f>
        <v>#DIV/0!</v>
      </c>
      <c r="AV608" s="1040" t="e">
        <f>IF($F208="","",$F208*chronic_consumption!AQ608/1000/$C$3)</f>
        <v>#DIV/0!</v>
      </c>
      <c r="AW608" s="1040" t="e">
        <f>IF($F208="","",$F208*chronic_consumption!AR608/1000/$C$3)</f>
        <v>#DIV/0!</v>
      </c>
      <c r="AX608" s="1040" t="e">
        <f>IF($F208="","",$F208*chronic_consumption!AS608/1000/$C$3)</f>
        <v>#DIV/0!</v>
      </c>
      <c r="AY608" s="1040" t="e">
        <f>IF($F208="","",$F208*chronic_consumption!AT608/1000/$C$3)</f>
        <v>#DIV/0!</v>
      </c>
      <c r="AZ608" s="44" t="s">
        <v>20</v>
      </c>
      <c r="BC608" s="29"/>
      <c r="BD608" s="29"/>
    </row>
    <row r="609" spans="1:56" ht="12" customHeight="1" outlineLevel="3" x14ac:dyDescent="0.2">
      <c r="A609" s="21">
        <f>acute_overview_children!A209</f>
        <v>4</v>
      </c>
      <c r="B609" s="325">
        <f t="shared" si="45"/>
        <v>280020</v>
      </c>
      <c r="C609" s="325" t="str">
        <f t="shared" si="45"/>
        <v>Wild fungi</v>
      </c>
      <c r="D609" s="135"/>
      <c r="E609" s="1027"/>
      <c r="F609" s="87"/>
      <c r="G609" s="1027"/>
      <c r="H609" s="1029"/>
      <c r="I609" s="1030"/>
      <c r="J609" s="1039" t="e">
        <f>IF($F209="","",$F209*chronic_consumption!E609/1000/$C$3)</f>
        <v>#DIV/0!</v>
      </c>
      <c r="K609" s="1040" t="e">
        <f>IF($F209="","",$F209*chronic_consumption!F609/1000/$C$3)</f>
        <v>#DIV/0!</v>
      </c>
      <c r="L609" s="1040" t="e">
        <f>IF($F209="","",$F209*chronic_consumption!G609/1000/$C$3)</f>
        <v>#DIV/0!</v>
      </c>
      <c r="M609" s="1040" t="e">
        <f>IF($F209="","",$F209*chronic_consumption!H609/1000/$C$3)</f>
        <v>#DIV/0!</v>
      </c>
      <c r="N609" s="1040" t="e">
        <f>IF($F209="","",$F209*chronic_consumption!I609/1000/$C$3)</f>
        <v>#DIV/0!</v>
      </c>
      <c r="O609" s="1040" t="e">
        <f>IF($F209="","",$F209*chronic_consumption!J609/1000/$C$3)</f>
        <v>#DIV/0!</v>
      </c>
      <c r="P609" s="1040" t="e">
        <f>IF($F209="","",$F209*chronic_consumption!K609/1000/$C$3)</f>
        <v>#DIV/0!</v>
      </c>
      <c r="Q609" s="1040" t="e">
        <f>IF($F209="","",$F209*chronic_consumption!L609/1000/$C$3)</f>
        <v>#DIV/0!</v>
      </c>
      <c r="R609" s="1040" t="e">
        <f>IF($F209="","",$F209*chronic_consumption!M609/1000/$C$3)</f>
        <v>#DIV/0!</v>
      </c>
      <c r="S609" s="1040" t="e">
        <f>IF($F209="","",$F209*chronic_consumption!N609/1000/$C$3)</f>
        <v>#DIV/0!</v>
      </c>
      <c r="T609" s="1040" t="e">
        <f>IF($F209="","",$F209*chronic_consumption!O609/1000/$C$3)</f>
        <v>#DIV/0!</v>
      </c>
      <c r="U609" s="1040" t="e">
        <f>IF($F209="","",$F209*chronic_consumption!P609/1000/$C$3)</f>
        <v>#DIV/0!</v>
      </c>
      <c r="V609" s="1040" t="e">
        <f>IF($F209="","",$F209*chronic_consumption!Q609/1000/$C$3)</f>
        <v>#DIV/0!</v>
      </c>
      <c r="W609" s="1040" t="e">
        <f>IF($F209="","",$F209*chronic_consumption!R609/1000/$C$3)</f>
        <v>#DIV/0!</v>
      </c>
      <c r="X609" s="1040" t="e">
        <f>IF($F209="","",$F209*chronic_consumption!S609/1000/$C$3)</f>
        <v>#DIV/0!</v>
      </c>
      <c r="Y609" s="1040" t="e">
        <f>IF($F209="","",$F209*chronic_consumption!T609/1000/$C$3)</f>
        <v>#DIV/0!</v>
      </c>
      <c r="Z609" s="1040" t="e">
        <f>IF($F209="","",$F209*chronic_consumption!U609/1000/$C$3)</f>
        <v>#DIV/0!</v>
      </c>
      <c r="AA609" s="1040" t="e">
        <f>IF($F209="","",$F209*chronic_consumption!V609/1000/$C$3)</f>
        <v>#DIV/0!</v>
      </c>
      <c r="AB609" s="1040" t="e">
        <f>IF($F209="","",$F209*chronic_consumption!W609/1000/$C$3)</f>
        <v>#DIV/0!</v>
      </c>
      <c r="AC609" s="1040" t="e">
        <f>IF($F209="","",$F209*chronic_consumption!X609/1000/$C$3)</f>
        <v>#DIV/0!</v>
      </c>
      <c r="AD609" s="1040" t="e">
        <f>IF($F209="","",$F209*chronic_consumption!Y609/1000/$C$3)</f>
        <v>#DIV/0!</v>
      </c>
      <c r="AE609" s="1040" t="e">
        <f>IF($F209="","",$F209*chronic_consumption!Z609/1000/$C$3)</f>
        <v>#DIV/0!</v>
      </c>
      <c r="AF609" s="1040" t="e">
        <f>IF($F209="","",$F209*chronic_consumption!AA609/1000/$C$3)</f>
        <v>#DIV/0!</v>
      </c>
      <c r="AG609" s="1040" t="e">
        <f>IF($F209="","",$F209*chronic_consumption!AB609/1000/$C$3)</f>
        <v>#DIV/0!</v>
      </c>
      <c r="AH609" s="1040" t="e">
        <f>IF($F209="","",$F209*chronic_consumption!AC609/1000/$C$3)</f>
        <v>#DIV/0!</v>
      </c>
      <c r="AI609" s="1040" t="e">
        <f>IF($F209="","",$F209*chronic_consumption!AD609/1000/$C$3)</f>
        <v>#DIV/0!</v>
      </c>
      <c r="AJ609" s="1040" t="e">
        <f>IF($F209="","",$F209*chronic_consumption!AE609/1000/$C$3)</f>
        <v>#DIV/0!</v>
      </c>
      <c r="AK609" s="1040" t="e">
        <f>IF($F209="","",$F209*chronic_consumption!AF609/1000/$C$3)</f>
        <v>#DIV/0!</v>
      </c>
      <c r="AL609" s="1040" t="e">
        <f>IF($F209="","",$F209*chronic_consumption!AG609/1000/$C$3)</f>
        <v>#DIV/0!</v>
      </c>
      <c r="AM609" s="1040" t="e">
        <f>IF($F209="","",$F209*chronic_consumption!AH609/1000/$C$3)</f>
        <v>#DIV/0!</v>
      </c>
      <c r="AN609" s="1040" t="e">
        <f>IF($F209="","",$F209*chronic_consumption!AI609/1000/$C$3)</f>
        <v>#DIV/0!</v>
      </c>
      <c r="AO609" s="1040" t="e">
        <f>IF($F209="","",$F209*chronic_consumption!AJ609/1000/$C$3)</f>
        <v>#DIV/0!</v>
      </c>
      <c r="AP609" s="1040" t="e">
        <f>IF($F209="","",$F209*chronic_consumption!AK609/1000/$C$3)</f>
        <v>#DIV/0!</v>
      </c>
      <c r="AQ609" s="1040" t="e">
        <f>IF($F209="","",$F209*chronic_consumption!AL609/1000/$C$3)</f>
        <v>#DIV/0!</v>
      </c>
      <c r="AR609" s="1040" t="e">
        <f>IF($F209="","",$F209*chronic_consumption!AM609/1000/$C$3)</f>
        <v>#DIV/0!</v>
      </c>
      <c r="AS609" s="1040" t="e">
        <f>IF($F209="","",$F209*chronic_consumption!AN609/1000/$C$3)</f>
        <v>#DIV/0!</v>
      </c>
      <c r="AT609" s="1040" t="e">
        <f>IF($F209="","",$F209*chronic_consumption!AO609/1000/$C$3)</f>
        <v>#DIV/0!</v>
      </c>
      <c r="AU609" s="1040" t="e">
        <f>IF($F209="","",$F209*chronic_consumption!AP609/1000/$C$3)</f>
        <v>#DIV/0!</v>
      </c>
      <c r="AV609" s="1040" t="e">
        <f>IF($F209="","",$F209*chronic_consumption!AQ609/1000/$C$3)</f>
        <v>#DIV/0!</v>
      </c>
      <c r="AW609" s="1040" t="e">
        <f>IF($F209="","",$F209*chronic_consumption!AR609/1000/$C$3)</f>
        <v>#DIV/0!</v>
      </c>
      <c r="AX609" s="1040" t="e">
        <f>IF($F209="","",$F209*chronic_consumption!AS609/1000/$C$3)</f>
        <v>#DIV/0!</v>
      </c>
      <c r="AY609" s="1040" t="e">
        <f>IF($F209="","",$F209*chronic_consumption!AT609/1000/$C$3)</f>
        <v>#DIV/0!</v>
      </c>
      <c r="AZ609" s="44" t="s">
        <v>20</v>
      </c>
      <c r="BC609" s="29"/>
      <c r="BD609" s="29"/>
    </row>
    <row r="610" spans="1:56" ht="12" customHeight="1" outlineLevel="3" x14ac:dyDescent="0.2">
      <c r="A610" s="21">
        <f>acute_overview_children!A210</f>
        <v>4</v>
      </c>
      <c r="B610" s="325">
        <f t="shared" si="45"/>
        <v>280990</v>
      </c>
      <c r="C610" s="325" t="str">
        <f t="shared" si="45"/>
        <v>Mosses and lichens</v>
      </c>
      <c r="D610" s="135"/>
      <c r="E610" s="1027"/>
      <c r="F610" s="87"/>
      <c r="G610" s="1027"/>
      <c r="H610" s="1029"/>
      <c r="I610" s="1030"/>
      <c r="J610" s="1039" t="e">
        <f>IF($F210="","",$F210*chronic_consumption!E610/1000/$C$3)</f>
        <v>#DIV/0!</v>
      </c>
      <c r="K610" s="1040" t="e">
        <f>IF($F210="","",$F210*chronic_consumption!F610/1000/$C$3)</f>
        <v>#DIV/0!</v>
      </c>
      <c r="L610" s="1040" t="e">
        <f>IF($F210="","",$F210*chronic_consumption!G610/1000/$C$3)</f>
        <v>#DIV/0!</v>
      </c>
      <c r="M610" s="1040" t="e">
        <f>IF($F210="","",$F210*chronic_consumption!H610/1000/$C$3)</f>
        <v>#DIV/0!</v>
      </c>
      <c r="N610" s="1040" t="e">
        <f>IF($F210="","",$F210*chronic_consumption!I610/1000/$C$3)</f>
        <v>#DIV/0!</v>
      </c>
      <c r="O610" s="1040" t="e">
        <f>IF($F210="","",$F210*chronic_consumption!J610/1000/$C$3)</f>
        <v>#DIV/0!</v>
      </c>
      <c r="P610" s="1040" t="e">
        <f>IF($F210="","",$F210*chronic_consumption!K610/1000/$C$3)</f>
        <v>#DIV/0!</v>
      </c>
      <c r="Q610" s="1040" t="e">
        <f>IF($F210="","",$F210*chronic_consumption!L610/1000/$C$3)</f>
        <v>#DIV/0!</v>
      </c>
      <c r="R610" s="1040" t="e">
        <f>IF($F210="","",$F210*chronic_consumption!M610/1000/$C$3)</f>
        <v>#DIV/0!</v>
      </c>
      <c r="S610" s="1040" t="e">
        <f>IF($F210="","",$F210*chronic_consumption!N610/1000/$C$3)</f>
        <v>#DIV/0!</v>
      </c>
      <c r="T610" s="1040" t="e">
        <f>IF($F210="","",$F210*chronic_consumption!O610/1000/$C$3)</f>
        <v>#DIV/0!</v>
      </c>
      <c r="U610" s="1040" t="e">
        <f>IF($F210="","",$F210*chronic_consumption!P610/1000/$C$3)</f>
        <v>#DIV/0!</v>
      </c>
      <c r="V610" s="1040" t="e">
        <f>IF($F210="","",$F210*chronic_consumption!Q610/1000/$C$3)</f>
        <v>#DIV/0!</v>
      </c>
      <c r="W610" s="1040" t="e">
        <f>IF($F210="","",$F210*chronic_consumption!R610/1000/$C$3)</f>
        <v>#DIV/0!</v>
      </c>
      <c r="X610" s="1040" t="e">
        <f>IF($F210="","",$F210*chronic_consumption!S610/1000/$C$3)</f>
        <v>#DIV/0!</v>
      </c>
      <c r="Y610" s="1040" t="e">
        <f>IF($F210="","",$F210*chronic_consumption!T610/1000/$C$3)</f>
        <v>#DIV/0!</v>
      </c>
      <c r="Z610" s="1040" t="e">
        <f>IF($F210="","",$F210*chronic_consumption!U610/1000/$C$3)</f>
        <v>#DIV/0!</v>
      </c>
      <c r="AA610" s="1040" t="e">
        <f>IF($F210="","",$F210*chronic_consumption!V610/1000/$C$3)</f>
        <v>#DIV/0!</v>
      </c>
      <c r="AB610" s="1040" t="e">
        <f>IF($F210="","",$F210*chronic_consumption!W610/1000/$C$3)</f>
        <v>#DIV/0!</v>
      </c>
      <c r="AC610" s="1040" t="e">
        <f>IF($F210="","",$F210*chronic_consumption!X610/1000/$C$3)</f>
        <v>#DIV/0!</v>
      </c>
      <c r="AD610" s="1040" t="e">
        <f>IF($F210="","",$F210*chronic_consumption!Y610/1000/$C$3)</f>
        <v>#DIV/0!</v>
      </c>
      <c r="AE610" s="1040" t="e">
        <f>IF($F210="","",$F210*chronic_consumption!Z610/1000/$C$3)</f>
        <v>#DIV/0!</v>
      </c>
      <c r="AF610" s="1040" t="e">
        <f>IF($F210="","",$F210*chronic_consumption!AA610/1000/$C$3)</f>
        <v>#DIV/0!</v>
      </c>
      <c r="AG610" s="1040" t="e">
        <f>IF($F210="","",$F210*chronic_consumption!AB610/1000/$C$3)</f>
        <v>#DIV/0!</v>
      </c>
      <c r="AH610" s="1040" t="e">
        <f>IF($F210="","",$F210*chronic_consumption!AC610/1000/$C$3)</f>
        <v>#DIV/0!</v>
      </c>
      <c r="AI610" s="1040" t="e">
        <f>IF($F210="","",$F210*chronic_consumption!AD610/1000/$C$3)</f>
        <v>#DIV/0!</v>
      </c>
      <c r="AJ610" s="1040" t="e">
        <f>IF($F210="","",$F210*chronic_consumption!AE610/1000/$C$3)</f>
        <v>#DIV/0!</v>
      </c>
      <c r="AK610" s="1040" t="e">
        <f>IF($F210="","",$F210*chronic_consumption!AF610/1000/$C$3)</f>
        <v>#DIV/0!</v>
      </c>
      <c r="AL610" s="1040" t="e">
        <f>IF($F210="","",$F210*chronic_consumption!AG610/1000/$C$3)</f>
        <v>#DIV/0!</v>
      </c>
      <c r="AM610" s="1040" t="e">
        <f>IF($F210="","",$F210*chronic_consumption!AH610/1000/$C$3)</f>
        <v>#DIV/0!</v>
      </c>
      <c r="AN610" s="1040" t="e">
        <f>IF($F210="","",$F210*chronic_consumption!AI610/1000/$C$3)</f>
        <v>#DIV/0!</v>
      </c>
      <c r="AO610" s="1040" t="e">
        <f>IF($F210="","",$F210*chronic_consumption!AJ610/1000/$C$3)</f>
        <v>#DIV/0!</v>
      </c>
      <c r="AP610" s="1040" t="e">
        <f>IF($F210="","",$F210*chronic_consumption!AK610/1000/$C$3)</f>
        <v>#DIV/0!</v>
      </c>
      <c r="AQ610" s="1040" t="e">
        <f>IF($F210="","",$F210*chronic_consumption!AL610/1000/$C$3)</f>
        <v>#DIV/0!</v>
      </c>
      <c r="AR610" s="1040" t="e">
        <f>IF($F210="","",$F210*chronic_consumption!AM610/1000/$C$3)</f>
        <v>#DIV/0!</v>
      </c>
      <c r="AS610" s="1040" t="e">
        <f>IF($F210="","",$F210*chronic_consumption!AN610/1000/$C$3)</f>
        <v>#DIV/0!</v>
      </c>
      <c r="AT610" s="1040" t="e">
        <f>IF($F210="","",$F210*chronic_consumption!AO610/1000/$C$3)</f>
        <v>#DIV/0!</v>
      </c>
      <c r="AU610" s="1040" t="e">
        <f>IF($F210="","",$F210*chronic_consumption!AP610/1000/$C$3)</f>
        <v>#DIV/0!</v>
      </c>
      <c r="AV610" s="1040" t="e">
        <f>IF($F210="","",$F210*chronic_consumption!AQ610/1000/$C$3)</f>
        <v>#DIV/0!</v>
      </c>
      <c r="AW610" s="1040" t="e">
        <f>IF($F210="","",$F210*chronic_consumption!AR610/1000/$C$3)</f>
        <v>#DIV/0!</v>
      </c>
      <c r="AX610" s="1040" t="e">
        <f>IF($F210="","",$F210*chronic_consumption!AS610/1000/$C$3)</f>
        <v>#DIV/0!</v>
      </c>
      <c r="AY610" s="1040" t="e">
        <f>IF($F210="","",$F210*chronic_consumption!AT610/1000/$C$3)</f>
        <v>#DIV/0!</v>
      </c>
      <c r="AZ610" s="44" t="s">
        <v>20</v>
      </c>
      <c r="BC610" s="29"/>
      <c r="BD610" s="29"/>
    </row>
    <row r="611" spans="1:56" ht="12" customHeight="1" outlineLevel="1" x14ac:dyDescent="0.2">
      <c r="A611" s="1033">
        <f>acute_overview_children!A211</f>
        <v>2</v>
      </c>
      <c r="B611" s="1034">
        <f t="shared" si="45"/>
        <v>290000</v>
      </c>
      <c r="C611" s="1034" t="str">
        <f t="shared" si="45"/>
        <v>Algae and prokaryotes organisms</v>
      </c>
      <c r="D611" s="1035"/>
      <c r="E611" s="1027"/>
      <c r="F611" s="87"/>
      <c r="G611" s="1027"/>
      <c r="H611" s="1029"/>
      <c r="I611" s="1030"/>
      <c r="J611" s="1037" t="e">
        <f>IF($F211="","",$F211*chronic_consumption!E611/1000/$C$3)</f>
        <v>#DIV/0!</v>
      </c>
      <c r="K611" s="1038" t="e">
        <f>IF($F211="","",$F211*chronic_consumption!F611/1000/$C$3)</f>
        <v>#DIV/0!</v>
      </c>
      <c r="L611" s="1038" t="e">
        <f>IF($F211="","",$F211*chronic_consumption!G611/1000/$C$3)</f>
        <v>#DIV/0!</v>
      </c>
      <c r="M611" s="1038" t="e">
        <f>IF($F211="","",$F211*chronic_consumption!H611/1000/$C$3)</f>
        <v>#DIV/0!</v>
      </c>
      <c r="N611" s="1038" t="e">
        <f>IF($F211="","",$F211*chronic_consumption!I611/1000/$C$3)</f>
        <v>#DIV/0!</v>
      </c>
      <c r="O611" s="1038" t="e">
        <f>IF($F211="","",$F211*chronic_consumption!J611/1000/$C$3)</f>
        <v>#DIV/0!</v>
      </c>
      <c r="P611" s="1038" t="e">
        <f>IF($F211="","",$F211*chronic_consumption!K611/1000/$C$3)</f>
        <v>#DIV/0!</v>
      </c>
      <c r="Q611" s="1038" t="e">
        <f>IF($F211="","",$F211*chronic_consumption!L611/1000/$C$3)</f>
        <v>#DIV/0!</v>
      </c>
      <c r="R611" s="1038" t="e">
        <f>IF($F211="","",$F211*chronic_consumption!M611/1000/$C$3)</f>
        <v>#DIV/0!</v>
      </c>
      <c r="S611" s="1038" t="e">
        <f>IF($F211="","",$F211*chronic_consumption!N611/1000/$C$3)</f>
        <v>#DIV/0!</v>
      </c>
      <c r="T611" s="1038" t="e">
        <f>IF($F211="","",$F211*chronic_consumption!O611/1000/$C$3)</f>
        <v>#DIV/0!</v>
      </c>
      <c r="U611" s="1038" t="e">
        <f>IF($F211="","",$F211*chronic_consumption!P611/1000/$C$3)</f>
        <v>#DIV/0!</v>
      </c>
      <c r="V611" s="1038" t="e">
        <f>IF($F211="","",$F211*chronic_consumption!Q611/1000/$C$3)</f>
        <v>#DIV/0!</v>
      </c>
      <c r="W611" s="1038" t="e">
        <f>IF($F211="","",$F211*chronic_consumption!R611/1000/$C$3)</f>
        <v>#DIV/0!</v>
      </c>
      <c r="X611" s="1038" t="e">
        <f>IF($F211="","",$F211*chronic_consumption!S611/1000/$C$3)</f>
        <v>#DIV/0!</v>
      </c>
      <c r="Y611" s="1038" t="e">
        <f>IF($F211="","",$F211*chronic_consumption!T611/1000/$C$3)</f>
        <v>#DIV/0!</v>
      </c>
      <c r="Z611" s="1038" t="e">
        <f>IF($F211="","",$F211*chronic_consumption!U611/1000/$C$3)</f>
        <v>#DIV/0!</v>
      </c>
      <c r="AA611" s="1038" t="e">
        <f>IF($F211="","",$F211*chronic_consumption!V611/1000/$C$3)</f>
        <v>#DIV/0!</v>
      </c>
      <c r="AB611" s="1038" t="e">
        <f>IF($F211="","",$F211*chronic_consumption!W611/1000/$C$3)</f>
        <v>#DIV/0!</v>
      </c>
      <c r="AC611" s="1038" t="e">
        <f>IF($F211="","",$F211*chronic_consumption!X611/1000/$C$3)</f>
        <v>#DIV/0!</v>
      </c>
      <c r="AD611" s="1038" t="e">
        <f>IF($F211="","",$F211*chronic_consumption!Y611/1000/$C$3)</f>
        <v>#DIV/0!</v>
      </c>
      <c r="AE611" s="1038" t="e">
        <f>IF($F211="","",$F211*chronic_consumption!Z611/1000/$C$3)</f>
        <v>#DIV/0!</v>
      </c>
      <c r="AF611" s="1038" t="e">
        <f>IF($F211="","",$F211*chronic_consumption!AA611/1000/$C$3)</f>
        <v>#DIV/0!</v>
      </c>
      <c r="AG611" s="1038" t="e">
        <f>IF($F211="","",$F211*chronic_consumption!AB611/1000/$C$3)</f>
        <v>#DIV/0!</v>
      </c>
      <c r="AH611" s="1038" t="e">
        <f>IF($F211="","",$F211*chronic_consumption!AC611/1000/$C$3)</f>
        <v>#DIV/0!</v>
      </c>
      <c r="AI611" s="1038" t="e">
        <f>IF($F211="","",$F211*chronic_consumption!AD611/1000/$C$3)</f>
        <v>#DIV/0!</v>
      </c>
      <c r="AJ611" s="1038" t="e">
        <f>IF($F211="","",$F211*chronic_consumption!AE611/1000/$C$3)</f>
        <v>#DIV/0!</v>
      </c>
      <c r="AK611" s="1038" t="e">
        <f>IF($F211="","",$F211*chronic_consumption!AF611/1000/$C$3)</f>
        <v>#DIV/0!</v>
      </c>
      <c r="AL611" s="1038" t="e">
        <f>IF($F211="","",$F211*chronic_consumption!AG611/1000/$C$3)</f>
        <v>#DIV/0!</v>
      </c>
      <c r="AM611" s="1038" t="e">
        <f>IF($F211="","",$F211*chronic_consumption!AH611/1000/$C$3)</f>
        <v>#DIV/0!</v>
      </c>
      <c r="AN611" s="1038" t="e">
        <f>IF($F211="","",$F211*chronic_consumption!AI611/1000/$C$3)</f>
        <v>#DIV/0!</v>
      </c>
      <c r="AO611" s="1038" t="e">
        <f>IF($F211="","",$F211*chronic_consumption!AJ611/1000/$C$3)</f>
        <v>#DIV/0!</v>
      </c>
      <c r="AP611" s="1038" t="e">
        <f>IF($F211="","",$F211*chronic_consumption!AK611/1000/$C$3)</f>
        <v>#DIV/0!</v>
      </c>
      <c r="AQ611" s="1038" t="e">
        <f>IF($F211="","",$F211*chronic_consumption!AL611/1000/$C$3)</f>
        <v>#DIV/0!</v>
      </c>
      <c r="AR611" s="1038" t="e">
        <f>IF($F211="","",$F211*chronic_consumption!AM611/1000/$C$3)</f>
        <v>#DIV/0!</v>
      </c>
      <c r="AS611" s="1038" t="e">
        <f>IF($F211="","",$F211*chronic_consumption!AN611/1000/$C$3)</f>
        <v>#DIV/0!</v>
      </c>
      <c r="AT611" s="1038" t="e">
        <f>IF($F211="","",$F211*chronic_consumption!AO611/1000/$C$3)</f>
        <v>#DIV/0!</v>
      </c>
      <c r="AU611" s="1038" t="e">
        <f>IF($F211="","",$F211*chronic_consumption!AP611/1000/$C$3)</f>
        <v>#DIV/0!</v>
      </c>
      <c r="AV611" s="1038" t="e">
        <f>IF($F211="","",$F211*chronic_consumption!AQ611/1000/$C$3)</f>
        <v>#DIV/0!</v>
      </c>
      <c r="AW611" s="1038" t="e">
        <f>IF($F211="","",$F211*chronic_consumption!AR611/1000/$C$3)</f>
        <v>#DIV/0!</v>
      </c>
      <c r="AX611" s="1038" t="e">
        <f>IF($F211="","",$F211*chronic_consumption!AS611/1000/$C$3)</f>
        <v>#DIV/0!</v>
      </c>
      <c r="AY611" s="1038" t="e">
        <f>IF($F211="","",$F211*chronic_consumption!AT611/1000/$C$3)</f>
        <v>#DIV/0!</v>
      </c>
      <c r="AZ611" s="44" t="s">
        <v>20</v>
      </c>
      <c r="BC611" s="29"/>
      <c r="BD611" s="29"/>
    </row>
    <row r="612" spans="1:56" ht="12" customHeight="1" collapsed="1" x14ac:dyDescent="0.2">
      <c r="A612" s="1">
        <f>acute_overview_children!A212</f>
        <v>1</v>
      </c>
      <c r="B612" s="1026">
        <f t="shared" ref="B612:C631" si="46">B212</f>
        <v>300000</v>
      </c>
      <c r="C612" s="1026" t="str">
        <f t="shared" si="46"/>
        <v>PULSES</v>
      </c>
      <c r="D612" s="135"/>
      <c r="E612" s="1027"/>
      <c r="F612" s="87"/>
      <c r="G612" s="1027"/>
      <c r="H612" s="1029"/>
      <c r="I612" s="1030"/>
      <c r="J612" s="1031" t="e">
        <f>IF($F212="","",$F212*chronic_consumption!E612/1000/$C$3)</f>
        <v>#DIV/0!</v>
      </c>
      <c r="K612" s="1032" t="e">
        <f>IF($F212="","",$F212*chronic_consumption!F612/1000/$C$3)</f>
        <v>#DIV/0!</v>
      </c>
      <c r="L612" s="1032" t="e">
        <f>IF($F212="","",$F212*chronic_consumption!G612/1000/$C$3)</f>
        <v>#DIV/0!</v>
      </c>
      <c r="M612" s="1032" t="e">
        <f>IF($F212="","",$F212*chronic_consumption!H612/1000/$C$3)</f>
        <v>#DIV/0!</v>
      </c>
      <c r="N612" s="1032" t="e">
        <f>IF($F212="","",$F212*chronic_consumption!I612/1000/$C$3)</f>
        <v>#DIV/0!</v>
      </c>
      <c r="O612" s="1032" t="e">
        <f>IF($F212="","",$F212*chronic_consumption!J612/1000/$C$3)</f>
        <v>#DIV/0!</v>
      </c>
      <c r="P612" s="1032" t="e">
        <f>IF($F212="","",$F212*chronic_consumption!K612/1000/$C$3)</f>
        <v>#DIV/0!</v>
      </c>
      <c r="Q612" s="1032" t="e">
        <f>IF($F212="","",$F212*chronic_consumption!L612/1000/$C$3)</f>
        <v>#DIV/0!</v>
      </c>
      <c r="R612" s="1032" t="e">
        <f>IF($F212="","",$F212*chronic_consumption!M612/1000/$C$3)</f>
        <v>#DIV/0!</v>
      </c>
      <c r="S612" s="1032" t="e">
        <f>IF($F212="","",$F212*chronic_consumption!N612/1000/$C$3)</f>
        <v>#DIV/0!</v>
      </c>
      <c r="T612" s="1032" t="e">
        <f>IF($F212="","",$F212*chronic_consumption!O612/1000/$C$3)</f>
        <v>#DIV/0!</v>
      </c>
      <c r="U612" s="1032" t="e">
        <f>IF($F212="","",$F212*chronic_consumption!P612/1000/$C$3)</f>
        <v>#DIV/0!</v>
      </c>
      <c r="V612" s="1032" t="e">
        <f>IF($F212="","",$F212*chronic_consumption!Q612/1000/$C$3)</f>
        <v>#DIV/0!</v>
      </c>
      <c r="W612" s="1032" t="e">
        <f>IF($F212="","",$F212*chronic_consumption!R612/1000/$C$3)</f>
        <v>#DIV/0!</v>
      </c>
      <c r="X612" s="1032" t="e">
        <f>IF($F212="","",$F212*chronic_consumption!S612/1000/$C$3)</f>
        <v>#DIV/0!</v>
      </c>
      <c r="Y612" s="1032" t="e">
        <f>IF($F212="","",$F212*chronic_consumption!T612/1000/$C$3)</f>
        <v>#DIV/0!</v>
      </c>
      <c r="Z612" s="1032" t="e">
        <f>IF($F212="","",$F212*chronic_consumption!U612/1000/$C$3)</f>
        <v>#DIV/0!</v>
      </c>
      <c r="AA612" s="1032" t="e">
        <f>IF($F212="","",$F212*chronic_consumption!V612/1000/$C$3)</f>
        <v>#DIV/0!</v>
      </c>
      <c r="AB612" s="1032" t="e">
        <f>IF($F212="","",$F212*chronic_consumption!W612/1000/$C$3)</f>
        <v>#DIV/0!</v>
      </c>
      <c r="AC612" s="1032" t="e">
        <f>IF($F212="","",$F212*chronic_consumption!X612/1000/$C$3)</f>
        <v>#DIV/0!</v>
      </c>
      <c r="AD612" s="1032" t="e">
        <f>IF($F212="","",$F212*chronic_consumption!Y612/1000/$C$3)</f>
        <v>#DIV/0!</v>
      </c>
      <c r="AE612" s="1032" t="e">
        <f>IF($F212="","",$F212*chronic_consumption!Z612/1000/$C$3)</f>
        <v>#DIV/0!</v>
      </c>
      <c r="AF612" s="1032" t="e">
        <f>IF($F212="","",$F212*chronic_consumption!AA612/1000/$C$3)</f>
        <v>#DIV/0!</v>
      </c>
      <c r="AG612" s="1032" t="e">
        <f>IF($F212="","",$F212*chronic_consumption!AB612/1000/$C$3)</f>
        <v>#DIV/0!</v>
      </c>
      <c r="AH612" s="1032" t="e">
        <f>IF($F212="","",$F212*chronic_consumption!AC612/1000/$C$3)</f>
        <v>#DIV/0!</v>
      </c>
      <c r="AI612" s="1032" t="e">
        <f>IF($F212="","",$F212*chronic_consumption!AD612/1000/$C$3)</f>
        <v>#DIV/0!</v>
      </c>
      <c r="AJ612" s="1032" t="e">
        <f>IF($F212="","",$F212*chronic_consumption!AE612/1000/$C$3)</f>
        <v>#DIV/0!</v>
      </c>
      <c r="AK612" s="1032" t="e">
        <f>IF($F212="","",$F212*chronic_consumption!AF612/1000/$C$3)</f>
        <v>#DIV/0!</v>
      </c>
      <c r="AL612" s="1032" t="e">
        <f>IF($F212="","",$F212*chronic_consumption!AG612/1000/$C$3)</f>
        <v>#DIV/0!</v>
      </c>
      <c r="AM612" s="1032" t="e">
        <f>IF($F212="","",$F212*chronic_consumption!AH612/1000/$C$3)</f>
        <v>#DIV/0!</v>
      </c>
      <c r="AN612" s="1032" t="e">
        <f>IF($F212="","",$F212*chronic_consumption!AI612/1000/$C$3)</f>
        <v>#DIV/0!</v>
      </c>
      <c r="AO612" s="1032" t="e">
        <f>IF($F212="","",$F212*chronic_consumption!AJ612/1000/$C$3)</f>
        <v>#DIV/0!</v>
      </c>
      <c r="AP612" s="1032" t="e">
        <f>IF($F212="","",$F212*chronic_consumption!AK612/1000/$C$3)</f>
        <v>#DIV/0!</v>
      </c>
      <c r="AQ612" s="1032" t="e">
        <f>IF($F212="","",$F212*chronic_consumption!AL612/1000/$C$3)</f>
        <v>#DIV/0!</v>
      </c>
      <c r="AR612" s="1032" t="e">
        <f>IF($F212="","",$F212*chronic_consumption!AM612/1000/$C$3)</f>
        <v>#DIV/0!</v>
      </c>
      <c r="AS612" s="1032" t="e">
        <f>IF($F212="","",$F212*chronic_consumption!AN612/1000/$C$3)</f>
        <v>#DIV/0!</v>
      </c>
      <c r="AT612" s="1032" t="e">
        <f>IF($F212="","",$F212*chronic_consumption!AO612/1000/$C$3)</f>
        <v>#DIV/0!</v>
      </c>
      <c r="AU612" s="1032" t="e">
        <f>IF($F212="","",$F212*chronic_consumption!AP612/1000/$C$3)</f>
        <v>#DIV/0!</v>
      </c>
      <c r="AV612" s="1032" t="e">
        <f>IF($F212="","",$F212*chronic_consumption!AQ612/1000/$C$3)</f>
        <v>#DIV/0!</v>
      </c>
      <c r="AW612" s="1032" t="e">
        <f>IF($F212="","",$F212*chronic_consumption!AR612/1000/$C$3)</f>
        <v>#DIV/0!</v>
      </c>
      <c r="AX612" s="1032" t="e">
        <f>IF($F212="","",$F212*chronic_consumption!AS612/1000/$C$3)</f>
        <v>#DIV/0!</v>
      </c>
      <c r="AY612" s="1032" t="e">
        <f>IF($F212="","",$F212*chronic_consumption!AT612/1000/$C$3)</f>
        <v>#DIV/0!</v>
      </c>
      <c r="AZ612" s="44" t="s">
        <v>20</v>
      </c>
      <c r="BC612" s="29"/>
      <c r="BD612" s="29"/>
    </row>
    <row r="613" spans="1:56" ht="12" hidden="1" customHeight="1" outlineLevel="3" x14ac:dyDescent="0.2">
      <c r="A613" s="21">
        <f>acute_overview_children!A213</f>
        <v>4</v>
      </c>
      <c r="B613" s="325">
        <f t="shared" si="46"/>
        <v>300010</v>
      </c>
      <c r="C613" s="325" t="str">
        <f t="shared" si="46"/>
        <v>Beans</v>
      </c>
      <c r="D613" s="135"/>
      <c r="E613" s="1027"/>
      <c r="F613" s="87"/>
      <c r="G613" s="1027"/>
      <c r="H613" s="1029"/>
      <c r="I613" s="1030"/>
      <c r="J613" s="1039" t="e">
        <f>IF($F213="","",$F213*chronic_consumption!E613/1000/$C$3)</f>
        <v>#DIV/0!</v>
      </c>
      <c r="K613" s="1040" t="e">
        <f>IF($F213="","",$F213*chronic_consumption!F613/1000/$C$3)</f>
        <v>#DIV/0!</v>
      </c>
      <c r="L613" s="1040" t="e">
        <f>IF($F213="","",$F213*chronic_consumption!G613/1000/$C$3)</f>
        <v>#DIV/0!</v>
      </c>
      <c r="M613" s="1040" t="e">
        <f>IF($F213="","",$F213*chronic_consumption!H613/1000/$C$3)</f>
        <v>#DIV/0!</v>
      </c>
      <c r="N613" s="1040" t="e">
        <f>IF($F213="","",$F213*chronic_consumption!I613/1000/$C$3)</f>
        <v>#DIV/0!</v>
      </c>
      <c r="O613" s="1040" t="e">
        <f>IF($F213="","",$F213*chronic_consumption!J613/1000/$C$3)</f>
        <v>#DIV/0!</v>
      </c>
      <c r="P613" s="1040" t="e">
        <f>IF($F213="","",$F213*chronic_consumption!K613/1000/$C$3)</f>
        <v>#DIV/0!</v>
      </c>
      <c r="Q613" s="1040" t="e">
        <f>IF($F213="","",$F213*chronic_consumption!L613/1000/$C$3)</f>
        <v>#DIV/0!</v>
      </c>
      <c r="R613" s="1040" t="e">
        <f>IF($F213="","",$F213*chronic_consumption!M613/1000/$C$3)</f>
        <v>#DIV/0!</v>
      </c>
      <c r="S613" s="1040" t="e">
        <f>IF($F213="","",$F213*chronic_consumption!N613/1000/$C$3)</f>
        <v>#DIV/0!</v>
      </c>
      <c r="T613" s="1040" t="e">
        <f>IF($F213="","",$F213*chronic_consumption!O613/1000/$C$3)</f>
        <v>#DIV/0!</v>
      </c>
      <c r="U613" s="1040" t="e">
        <f>IF($F213="","",$F213*chronic_consumption!P613/1000/$C$3)</f>
        <v>#DIV/0!</v>
      </c>
      <c r="V613" s="1040" t="e">
        <f>IF($F213="","",$F213*chronic_consumption!Q613/1000/$C$3)</f>
        <v>#DIV/0!</v>
      </c>
      <c r="W613" s="1040" t="e">
        <f>IF($F213="","",$F213*chronic_consumption!R613/1000/$C$3)</f>
        <v>#DIV/0!</v>
      </c>
      <c r="X613" s="1040" t="e">
        <f>IF($F213="","",$F213*chronic_consumption!S613/1000/$C$3)</f>
        <v>#DIV/0!</v>
      </c>
      <c r="Y613" s="1040" t="e">
        <f>IF($F213="","",$F213*chronic_consumption!T613/1000/$C$3)</f>
        <v>#DIV/0!</v>
      </c>
      <c r="Z613" s="1040" t="e">
        <f>IF($F213="","",$F213*chronic_consumption!U613/1000/$C$3)</f>
        <v>#DIV/0!</v>
      </c>
      <c r="AA613" s="1040" t="e">
        <f>IF($F213="","",$F213*chronic_consumption!V613/1000/$C$3)</f>
        <v>#DIV/0!</v>
      </c>
      <c r="AB613" s="1040" t="e">
        <f>IF($F213="","",$F213*chronic_consumption!W613/1000/$C$3)</f>
        <v>#DIV/0!</v>
      </c>
      <c r="AC613" s="1040" t="e">
        <f>IF($F213="","",$F213*chronic_consumption!X613/1000/$C$3)</f>
        <v>#DIV/0!</v>
      </c>
      <c r="AD613" s="1040" t="e">
        <f>IF($F213="","",$F213*chronic_consumption!Y613/1000/$C$3)</f>
        <v>#DIV/0!</v>
      </c>
      <c r="AE613" s="1040" t="e">
        <f>IF($F213="","",$F213*chronic_consumption!Z613/1000/$C$3)</f>
        <v>#DIV/0!</v>
      </c>
      <c r="AF613" s="1040" t="e">
        <f>IF($F213="","",$F213*chronic_consumption!AA613/1000/$C$3)</f>
        <v>#DIV/0!</v>
      </c>
      <c r="AG613" s="1040" t="e">
        <f>IF($F213="","",$F213*chronic_consumption!AB613/1000/$C$3)</f>
        <v>#DIV/0!</v>
      </c>
      <c r="AH613" s="1040" t="e">
        <f>IF($F213="","",$F213*chronic_consumption!AC613/1000/$C$3)</f>
        <v>#DIV/0!</v>
      </c>
      <c r="AI613" s="1040" t="e">
        <f>IF($F213="","",$F213*chronic_consumption!AD613/1000/$C$3)</f>
        <v>#DIV/0!</v>
      </c>
      <c r="AJ613" s="1040" t="e">
        <f>IF($F213="","",$F213*chronic_consumption!AE613/1000/$C$3)</f>
        <v>#DIV/0!</v>
      </c>
      <c r="AK613" s="1040" t="e">
        <f>IF($F213="","",$F213*chronic_consumption!AF613/1000/$C$3)</f>
        <v>#DIV/0!</v>
      </c>
      <c r="AL613" s="1040" t="e">
        <f>IF($F213="","",$F213*chronic_consumption!AG613/1000/$C$3)</f>
        <v>#DIV/0!</v>
      </c>
      <c r="AM613" s="1040" t="e">
        <f>IF($F213="","",$F213*chronic_consumption!AH613/1000/$C$3)</f>
        <v>#DIV/0!</v>
      </c>
      <c r="AN613" s="1040" t="e">
        <f>IF($F213="","",$F213*chronic_consumption!AI613/1000/$C$3)</f>
        <v>#DIV/0!</v>
      </c>
      <c r="AO613" s="1040" t="e">
        <f>IF($F213="","",$F213*chronic_consumption!AJ613/1000/$C$3)</f>
        <v>#DIV/0!</v>
      </c>
      <c r="AP613" s="1040" t="e">
        <f>IF($F213="","",$F213*chronic_consumption!AK613/1000/$C$3)</f>
        <v>#DIV/0!</v>
      </c>
      <c r="AQ613" s="1040" t="e">
        <f>IF($F213="","",$F213*chronic_consumption!AL613/1000/$C$3)</f>
        <v>#DIV/0!</v>
      </c>
      <c r="AR613" s="1040" t="e">
        <f>IF($F213="","",$F213*chronic_consumption!AM613/1000/$C$3)</f>
        <v>#DIV/0!</v>
      </c>
      <c r="AS613" s="1040" t="e">
        <f>IF($F213="","",$F213*chronic_consumption!AN613/1000/$C$3)</f>
        <v>#DIV/0!</v>
      </c>
      <c r="AT613" s="1040" t="e">
        <f>IF($F213="","",$F213*chronic_consumption!AO613/1000/$C$3)</f>
        <v>#DIV/0!</v>
      </c>
      <c r="AU613" s="1040" t="e">
        <f>IF($F213="","",$F213*chronic_consumption!AP613/1000/$C$3)</f>
        <v>#DIV/0!</v>
      </c>
      <c r="AV613" s="1040" t="e">
        <f>IF($F213="","",$F213*chronic_consumption!AQ613/1000/$C$3)</f>
        <v>#DIV/0!</v>
      </c>
      <c r="AW613" s="1040" t="e">
        <f>IF($F213="","",$F213*chronic_consumption!AR613/1000/$C$3)</f>
        <v>#DIV/0!</v>
      </c>
      <c r="AX613" s="1040" t="e">
        <f>IF($F213="","",$F213*chronic_consumption!AS613/1000/$C$3)</f>
        <v>#DIV/0!</v>
      </c>
      <c r="AY613" s="1040" t="e">
        <f>IF($F213="","",$F213*chronic_consumption!AT613/1000/$C$3)</f>
        <v>#DIV/0!</v>
      </c>
      <c r="AZ613" s="44" t="s">
        <v>20</v>
      </c>
      <c r="BC613" s="29"/>
      <c r="BD613" s="29"/>
    </row>
    <row r="614" spans="1:56" ht="12" hidden="1" customHeight="1" outlineLevel="3" x14ac:dyDescent="0.2">
      <c r="A614" s="21">
        <f>acute_overview_children!A214</f>
        <v>4</v>
      </c>
      <c r="B614" s="325">
        <f t="shared" si="46"/>
        <v>300020</v>
      </c>
      <c r="C614" s="325" t="str">
        <f t="shared" si="46"/>
        <v>Lentils</v>
      </c>
      <c r="D614" s="135"/>
      <c r="E614" s="1027"/>
      <c r="F614" s="87"/>
      <c r="G614" s="1027"/>
      <c r="H614" s="1029"/>
      <c r="I614" s="1030"/>
      <c r="J614" s="1039" t="e">
        <f>IF($F214="","",$F214*chronic_consumption!E614/1000/$C$3)</f>
        <v>#DIV/0!</v>
      </c>
      <c r="K614" s="1040" t="e">
        <f>IF($F214="","",$F214*chronic_consumption!F614/1000/$C$3)</f>
        <v>#DIV/0!</v>
      </c>
      <c r="L614" s="1040" t="e">
        <f>IF($F214="","",$F214*chronic_consumption!G614/1000/$C$3)</f>
        <v>#DIV/0!</v>
      </c>
      <c r="M614" s="1040" t="e">
        <f>IF($F214="","",$F214*chronic_consumption!H614/1000/$C$3)</f>
        <v>#DIV/0!</v>
      </c>
      <c r="N614" s="1040" t="e">
        <f>IF($F214="","",$F214*chronic_consumption!I614/1000/$C$3)</f>
        <v>#DIV/0!</v>
      </c>
      <c r="O614" s="1040" t="e">
        <f>IF($F214="","",$F214*chronic_consumption!J614/1000/$C$3)</f>
        <v>#DIV/0!</v>
      </c>
      <c r="P614" s="1040" t="e">
        <f>IF($F214="","",$F214*chronic_consumption!K614/1000/$C$3)</f>
        <v>#DIV/0!</v>
      </c>
      <c r="Q614" s="1040" t="e">
        <f>IF($F214="","",$F214*chronic_consumption!L614/1000/$C$3)</f>
        <v>#DIV/0!</v>
      </c>
      <c r="R614" s="1040" t="e">
        <f>IF($F214="","",$F214*chronic_consumption!M614/1000/$C$3)</f>
        <v>#DIV/0!</v>
      </c>
      <c r="S614" s="1040" t="e">
        <f>IF($F214="","",$F214*chronic_consumption!N614/1000/$C$3)</f>
        <v>#DIV/0!</v>
      </c>
      <c r="T614" s="1040" t="e">
        <f>IF($F214="","",$F214*chronic_consumption!O614/1000/$C$3)</f>
        <v>#DIV/0!</v>
      </c>
      <c r="U614" s="1040" t="e">
        <f>IF($F214="","",$F214*chronic_consumption!P614/1000/$C$3)</f>
        <v>#DIV/0!</v>
      </c>
      <c r="V614" s="1040" t="e">
        <f>IF($F214="","",$F214*chronic_consumption!Q614/1000/$C$3)</f>
        <v>#DIV/0!</v>
      </c>
      <c r="W614" s="1040" t="e">
        <f>IF($F214="","",$F214*chronic_consumption!R614/1000/$C$3)</f>
        <v>#DIV/0!</v>
      </c>
      <c r="X614" s="1040" t="e">
        <f>IF($F214="","",$F214*chronic_consumption!S614/1000/$C$3)</f>
        <v>#DIV/0!</v>
      </c>
      <c r="Y614" s="1040" t="e">
        <f>IF($F214="","",$F214*chronic_consumption!T614/1000/$C$3)</f>
        <v>#DIV/0!</v>
      </c>
      <c r="Z614" s="1040" t="e">
        <f>IF($F214="","",$F214*chronic_consumption!U614/1000/$C$3)</f>
        <v>#DIV/0!</v>
      </c>
      <c r="AA614" s="1040" t="e">
        <f>IF($F214="","",$F214*chronic_consumption!V614/1000/$C$3)</f>
        <v>#DIV/0!</v>
      </c>
      <c r="AB614" s="1040" t="e">
        <f>IF($F214="","",$F214*chronic_consumption!W614/1000/$C$3)</f>
        <v>#DIV/0!</v>
      </c>
      <c r="AC614" s="1040" t="e">
        <f>IF($F214="","",$F214*chronic_consumption!X614/1000/$C$3)</f>
        <v>#DIV/0!</v>
      </c>
      <c r="AD614" s="1040" t="e">
        <f>IF($F214="","",$F214*chronic_consumption!Y614/1000/$C$3)</f>
        <v>#DIV/0!</v>
      </c>
      <c r="AE614" s="1040" t="e">
        <f>IF($F214="","",$F214*chronic_consumption!Z614/1000/$C$3)</f>
        <v>#DIV/0!</v>
      </c>
      <c r="AF614" s="1040" t="e">
        <f>IF($F214="","",$F214*chronic_consumption!AA614/1000/$C$3)</f>
        <v>#DIV/0!</v>
      </c>
      <c r="AG614" s="1040" t="e">
        <f>IF($F214="","",$F214*chronic_consumption!AB614/1000/$C$3)</f>
        <v>#DIV/0!</v>
      </c>
      <c r="AH614" s="1040" t="e">
        <f>IF($F214="","",$F214*chronic_consumption!AC614/1000/$C$3)</f>
        <v>#DIV/0!</v>
      </c>
      <c r="AI614" s="1040" t="e">
        <f>IF($F214="","",$F214*chronic_consumption!AD614/1000/$C$3)</f>
        <v>#DIV/0!</v>
      </c>
      <c r="AJ614" s="1040" t="e">
        <f>IF($F214="","",$F214*chronic_consumption!AE614/1000/$C$3)</f>
        <v>#DIV/0!</v>
      </c>
      <c r="AK614" s="1040" t="e">
        <f>IF($F214="","",$F214*chronic_consumption!AF614/1000/$C$3)</f>
        <v>#DIV/0!</v>
      </c>
      <c r="AL614" s="1040" t="e">
        <f>IF($F214="","",$F214*chronic_consumption!AG614/1000/$C$3)</f>
        <v>#DIV/0!</v>
      </c>
      <c r="AM614" s="1040" t="e">
        <f>IF($F214="","",$F214*chronic_consumption!AH614/1000/$C$3)</f>
        <v>#DIV/0!</v>
      </c>
      <c r="AN614" s="1040" t="e">
        <f>IF($F214="","",$F214*chronic_consumption!AI614/1000/$C$3)</f>
        <v>#DIV/0!</v>
      </c>
      <c r="AO614" s="1040" t="e">
        <f>IF($F214="","",$F214*chronic_consumption!AJ614/1000/$C$3)</f>
        <v>#DIV/0!</v>
      </c>
      <c r="AP614" s="1040" t="e">
        <f>IF($F214="","",$F214*chronic_consumption!AK614/1000/$C$3)</f>
        <v>#DIV/0!</v>
      </c>
      <c r="AQ614" s="1040" t="e">
        <f>IF($F214="","",$F214*chronic_consumption!AL614/1000/$C$3)</f>
        <v>#DIV/0!</v>
      </c>
      <c r="AR614" s="1040" t="e">
        <f>IF($F214="","",$F214*chronic_consumption!AM614/1000/$C$3)</f>
        <v>#DIV/0!</v>
      </c>
      <c r="AS614" s="1040" t="e">
        <f>IF($F214="","",$F214*chronic_consumption!AN614/1000/$C$3)</f>
        <v>#DIV/0!</v>
      </c>
      <c r="AT614" s="1040" t="e">
        <f>IF($F214="","",$F214*chronic_consumption!AO614/1000/$C$3)</f>
        <v>#DIV/0!</v>
      </c>
      <c r="AU614" s="1040" t="e">
        <f>IF($F214="","",$F214*chronic_consumption!AP614/1000/$C$3)</f>
        <v>#DIV/0!</v>
      </c>
      <c r="AV614" s="1040" t="e">
        <f>IF($F214="","",$F214*chronic_consumption!AQ614/1000/$C$3)</f>
        <v>#DIV/0!</v>
      </c>
      <c r="AW614" s="1040" t="e">
        <f>IF($F214="","",$F214*chronic_consumption!AR614/1000/$C$3)</f>
        <v>#DIV/0!</v>
      </c>
      <c r="AX614" s="1040" t="e">
        <f>IF($F214="","",$F214*chronic_consumption!AS614/1000/$C$3)</f>
        <v>#DIV/0!</v>
      </c>
      <c r="AY614" s="1040" t="e">
        <f>IF($F214="","",$F214*chronic_consumption!AT614/1000/$C$3)</f>
        <v>#DIV/0!</v>
      </c>
      <c r="AZ614" s="44" t="s">
        <v>20</v>
      </c>
      <c r="BC614" s="29"/>
      <c r="BD614" s="29"/>
    </row>
    <row r="615" spans="1:56" ht="12" hidden="1" customHeight="1" outlineLevel="3" x14ac:dyDescent="0.2">
      <c r="A615" s="21">
        <f>acute_overview_children!A215</f>
        <v>4</v>
      </c>
      <c r="B615" s="325">
        <f t="shared" si="46"/>
        <v>300030</v>
      </c>
      <c r="C615" s="325" t="str">
        <f t="shared" si="46"/>
        <v>Peas</v>
      </c>
      <c r="D615" s="135"/>
      <c r="E615" s="1027"/>
      <c r="F615" s="87"/>
      <c r="G615" s="1027"/>
      <c r="H615" s="1029"/>
      <c r="I615" s="1030"/>
      <c r="J615" s="1039" t="e">
        <f>IF($F215="","",$F215*chronic_consumption!E615/1000/$C$3)</f>
        <v>#DIV/0!</v>
      </c>
      <c r="K615" s="1040" t="e">
        <f>IF($F215="","",$F215*chronic_consumption!F615/1000/$C$3)</f>
        <v>#DIV/0!</v>
      </c>
      <c r="L615" s="1040" t="e">
        <f>IF($F215="","",$F215*chronic_consumption!G615/1000/$C$3)</f>
        <v>#DIV/0!</v>
      </c>
      <c r="M615" s="1040" t="e">
        <f>IF($F215="","",$F215*chronic_consumption!H615/1000/$C$3)</f>
        <v>#DIV/0!</v>
      </c>
      <c r="N615" s="1040" t="e">
        <f>IF($F215="","",$F215*chronic_consumption!I615/1000/$C$3)</f>
        <v>#DIV/0!</v>
      </c>
      <c r="O615" s="1040" t="e">
        <f>IF($F215="","",$F215*chronic_consumption!J615/1000/$C$3)</f>
        <v>#DIV/0!</v>
      </c>
      <c r="P615" s="1040" t="e">
        <f>IF($F215="","",$F215*chronic_consumption!K615/1000/$C$3)</f>
        <v>#DIV/0!</v>
      </c>
      <c r="Q615" s="1040" t="e">
        <f>IF($F215="","",$F215*chronic_consumption!L615/1000/$C$3)</f>
        <v>#DIV/0!</v>
      </c>
      <c r="R615" s="1040" t="e">
        <f>IF($F215="","",$F215*chronic_consumption!M615/1000/$C$3)</f>
        <v>#DIV/0!</v>
      </c>
      <c r="S615" s="1040" t="e">
        <f>IF($F215="","",$F215*chronic_consumption!N615/1000/$C$3)</f>
        <v>#DIV/0!</v>
      </c>
      <c r="T615" s="1040" t="e">
        <f>IF($F215="","",$F215*chronic_consumption!O615/1000/$C$3)</f>
        <v>#DIV/0!</v>
      </c>
      <c r="U615" s="1040" t="e">
        <f>IF($F215="","",$F215*chronic_consumption!P615/1000/$C$3)</f>
        <v>#DIV/0!</v>
      </c>
      <c r="V615" s="1040" t="e">
        <f>IF($F215="","",$F215*chronic_consumption!Q615/1000/$C$3)</f>
        <v>#DIV/0!</v>
      </c>
      <c r="W615" s="1040" t="e">
        <f>IF($F215="","",$F215*chronic_consumption!R615/1000/$C$3)</f>
        <v>#DIV/0!</v>
      </c>
      <c r="X615" s="1040" t="e">
        <f>IF($F215="","",$F215*chronic_consumption!S615/1000/$C$3)</f>
        <v>#DIV/0!</v>
      </c>
      <c r="Y615" s="1040" t="e">
        <f>IF($F215="","",$F215*chronic_consumption!T615/1000/$C$3)</f>
        <v>#DIV/0!</v>
      </c>
      <c r="Z615" s="1040" t="e">
        <f>IF($F215="","",$F215*chronic_consumption!U615/1000/$C$3)</f>
        <v>#DIV/0!</v>
      </c>
      <c r="AA615" s="1040" t="e">
        <f>IF($F215="","",$F215*chronic_consumption!V615/1000/$C$3)</f>
        <v>#DIV/0!</v>
      </c>
      <c r="AB615" s="1040" t="e">
        <f>IF($F215="","",$F215*chronic_consumption!W615/1000/$C$3)</f>
        <v>#DIV/0!</v>
      </c>
      <c r="AC615" s="1040" t="e">
        <f>IF($F215="","",$F215*chronic_consumption!X615/1000/$C$3)</f>
        <v>#DIV/0!</v>
      </c>
      <c r="AD615" s="1040" t="e">
        <f>IF($F215="","",$F215*chronic_consumption!Y615/1000/$C$3)</f>
        <v>#DIV/0!</v>
      </c>
      <c r="AE615" s="1040" t="e">
        <f>IF($F215="","",$F215*chronic_consumption!Z615/1000/$C$3)</f>
        <v>#DIV/0!</v>
      </c>
      <c r="AF615" s="1040" t="e">
        <f>IF($F215="","",$F215*chronic_consumption!AA615/1000/$C$3)</f>
        <v>#DIV/0!</v>
      </c>
      <c r="AG615" s="1040" t="e">
        <f>IF($F215="","",$F215*chronic_consumption!AB615/1000/$C$3)</f>
        <v>#DIV/0!</v>
      </c>
      <c r="AH615" s="1040" t="e">
        <f>IF($F215="","",$F215*chronic_consumption!AC615/1000/$C$3)</f>
        <v>#DIV/0!</v>
      </c>
      <c r="AI615" s="1040" t="e">
        <f>IF($F215="","",$F215*chronic_consumption!AD615/1000/$C$3)</f>
        <v>#DIV/0!</v>
      </c>
      <c r="AJ615" s="1040" t="e">
        <f>IF($F215="","",$F215*chronic_consumption!AE615/1000/$C$3)</f>
        <v>#DIV/0!</v>
      </c>
      <c r="AK615" s="1040" t="e">
        <f>IF($F215="","",$F215*chronic_consumption!AF615/1000/$C$3)</f>
        <v>#DIV/0!</v>
      </c>
      <c r="AL615" s="1040" t="e">
        <f>IF($F215="","",$F215*chronic_consumption!AG615/1000/$C$3)</f>
        <v>#DIV/0!</v>
      </c>
      <c r="AM615" s="1040" t="e">
        <f>IF($F215="","",$F215*chronic_consumption!AH615/1000/$C$3)</f>
        <v>#DIV/0!</v>
      </c>
      <c r="AN615" s="1040" t="e">
        <f>IF($F215="","",$F215*chronic_consumption!AI615/1000/$C$3)</f>
        <v>#DIV/0!</v>
      </c>
      <c r="AO615" s="1040" t="e">
        <f>IF($F215="","",$F215*chronic_consumption!AJ615/1000/$C$3)</f>
        <v>#DIV/0!</v>
      </c>
      <c r="AP615" s="1040" t="e">
        <f>IF($F215="","",$F215*chronic_consumption!AK615/1000/$C$3)</f>
        <v>#DIV/0!</v>
      </c>
      <c r="AQ615" s="1040" t="e">
        <f>IF($F215="","",$F215*chronic_consumption!AL615/1000/$C$3)</f>
        <v>#DIV/0!</v>
      </c>
      <c r="AR615" s="1040" t="e">
        <f>IF($F215="","",$F215*chronic_consumption!AM615/1000/$C$3)</f>
        <v>#DIV/0!</v>
      </c>
      <c r="AS615" s="1040" t="e">
        <f>IF($F215="","",$F215*chronic_consumption!AN615/1000/$C$3)</f>
        <v>#DIV/0!</v>
      </c>
      <c r="AT615" s="1040" t="e">
        <f>IF($F215="","",$F215*chronic_consumption!AO615/1000/$C$3)</f>
        <v>#DIV/0!</v>
      </c>
      <c r="AU615" s="1040" t="e">
        <f>IF($F215="","",$F215*chronic_consumption!AP615/1000/$C$3)</f>
        <v>#DIV/0!</v>
      </c>
      <c r="AV615" s="1040" t="e">
        <f>IF($F215="","",$F215*chronic_consumption!AQ615/1000/$C$3)</f>
        <v>#DIV/0!</v>
      </c>
      <c r="AW615" s="1040" t="e">
        <f>IF($F215="","",$F215*chronic_consumption!AR615/1000/$C$3)</f>
        <v>#DIV/0!</v>
      </c>
      <c r="AX615" s="1040" t="e">
        <f>IF($F215="","",$F215*chronic_consumption!AS615/1000/$C$3)</f>
        <v>#DIV/0!</v>
      </c>
      <c r="AY615" s="1040" t="e">
        <f>IF($F215="","",$F215*chronic_consumption!AT615/1000/$C$3)</f>
        <v>#DIV/0!</v>
      </c>
      <c r="AZ615" s="44" t="s">
        <v>20</v>
      </c>
      <c r="BC615" s="29"/>
      <c r="BD615" s="29"/>
    </row>
    <row r="616" spans="1:56" ht="12" hidden="1" customHeight="1" outlineLevel="3" x14ac:dyDescent="0.2">
      <c r="A616" s="21">
        <f>acute_overview_children!A216</f>
        <v>4</v>
      </c>
      <c r="B616" s="325">
        <f t="shared" si="46"/>
        <v>300040</v>
      </c>
      <c r="C616" s="325" t="str">
        <f t="shared" si="46"/>
        <v>Lupins/lupini beans</v>
      </c>
      <c r="D616" s="135"/>
      <c r="E616" s="1027"/>
      <c r="F616" s="87"/>
      <c r="G616" s="1027"/>
      <c r="H616" s="1029"/>
      <c r="I616" s="1030"/>
      <c r="J616" s="1039" t="e">
        <f>IF($F216="","",$F216*chronic_consumption!E616/1000/$C$3)</f>
        <v>#DIV/0!</v>
      </c>
      <c r="K616" s="1040" t="e">
        <f>IF($F216="","",$F216*chronic_consumption!F616/1000/$C$3)</f>
        <v>#DIV/0!</v>
      </c>
      <c r="L616" s="1040" t="e">
        <f>IF($F216="","",$F216*chronic_consumption!G616/1000/$C$3)</f>
        <v>#DIV/0!</v>
      </c>
      <c r="M616" s="1040" t="e">
        <f>IF($F216="","",$F216*chronic_consumption!H616/1000/$C$3)</f>
        <v>#DIV/0!</v>
      </c>
      <c r="N616" s="1040" t="e">
        <f>IF($F216="","",$F216*chronic_consumption!I616/1000/$C$3)</f>
        <v>#DIV/0!</v>
      </c>
      <c r="O616" s="1040" t="e">
        <f>IF($F216="","",$F216*chronic_consumption!J616/1000/$C$3)</f>
        <v>#DIV/0!</v>
      </c>
      <c r="P616" s="1040" t="e">
        <f>IF($F216="","",$F216*chronic_consumption!K616/1000/$C$3)</f>
        <v>#DIV/0!</v>
      </c>
      <c r="Q616" s="1040" t="e">
        <f>IF($F216="","",$F216*chronic_consumption!L616/1000/$C$3)</f>
        <v>#DIV/0!</v>
      </c>
      <c r="R616" s="1040" t="e">
        <f>IF($F216="","",$F216*chronic_consumption!M616/1000/$C$3)</f>
        <v>#DIV/0!</v>
      </c>
      <c r="S616" s="1040" t="e">
        <f>IF($F216="","",$F216*chronic_consumption!N616/1000/$C$3)</f>
        <v>#DIV/0!</v>
      </c>
      <c r="T616" s="1040" t="e">
        <f>IF($F216="","",$F216*chronic_consumption!O616/1000/$C$3)</f>
        <v>#DIV/0!</v>
      </c>
      <c r="U616" s="1040" t="e">
        <f>IF($F216="","",$F216*chronic_consumption!P616/1000/$C$3)</f>
        <v>#DIV/0!</v>
      </c>
      <c r="V616" s="1040" t="e">
        <f>IF($F216="","",$F216*chronic_consumption!Q616/1000/$C$3)</f>
        <v>#DIV/0!</v>
      </c>
      <c r="W616" s="1040" t="e">
        <f>IF($F216="","",$F216*chronic_consumption!R616/1000/$C$3)</f>
        <v>#DIV/0!</v>
      </c>
      <c r="X616" s="1040" t="e">
        <f>IF($F216="","",$F216*chronic_consumption!S616/1000/$C$3)</f>
        <v>#DIV/0!</v>
      </c>
      <c r="Y616" s="1040" t="e">
        <f>IF($F216="","",$F216*chronic_consumption!T616/1000/$C$3)</f>
        <v>#DIV/0!</v>
      </c>
      <c r="Z616" s="1040" t="e">
        <f>IF($F216="","",$F216*chronic_consumption!U616/1000/$C$3)</f>
        <v>#DIV/0!</v>
      </c>
      <c r="AA616" s="1040" t="e">
        <f>IF($F216="","",$F216*chronic_consumption!V616/1000/$C$3)</f>
        <v>#DIV/0!</v>
      </c>
      <c r="AB616" s="1040" t="e">
        <f>IF($F216="","",$F216*chronic_consumption!W616/1000/$C$3)</f>
        <v>#DIV/0!</v>
      </c>
      <c r="AC616" s="1040" t="e">
        <f>IF($F216="","",$F216*chronic_consumption!X616/1000/$C$3)</f>
        <v>#DIV/0!</v>
      </c>
      <c r="AD616" s="1040" t="e">
        <f>IF($F216="","",$F216*chronic_consumption!Y616/1000/$C$3)</f>
        <v>#DIV/0!</v>
      </c>
      <c r="AE616" s="1040" t="e">
        <f>IF($F216="","",$F216*chronic_consumption!Z616/1000/$C$3)</f>
        <v>#DIV/0!</v>
      </c>
      <c r="AF616" s="1040" t="e">
        <f>IF($F216="","",$F216*chronic_consumption!AA616/1000/$C$3)</f>
        <v>#DIV/0!</v>
      </c>
      <c r="AG616" s="1040" t="e">
        <f>IF($F216="","",$F216*chronic_consumption!AB616/1000/$C$3)</f>
        <v>#DIV/0!</v>
      </c>
      <c r="AH616" s="1040" t="e">
        <f>IF($F216="","",$F216*chronic_consumption!AC616/1000/$C$3)</f>
        <v>#DIV/0!</v>
      </c>
      <c r="AI616" s="1040" t="e">
        <f>IF($F216="","",$F216*chronic_consumption!AD616/1000/$C$3)</f>
        <v>#DIV/0!</v>
      </c>
      <c r="AJ616" s="1040" t="e">
        <f>IF($F216="","",$F216*chronic_consumption!AE616/1000/$C$3)</f>
        <v>#DIV/0!</v>
      </c>
      <c r="AK616" s="1040" t="e">
        <f>IF($F216="","",$F216*chronic_consumption!AF616/1000/$C$3)</f>
        <v>#DIV/0!</v>
      </c>
      <c r="AL616" s="1040" t="e">
        <f>IF($F216="","",$F216*chronic_consumption!AG616/1000/$C$3)</f>
        <v>#DIV/0!</v>
      </c>
      <c r="AM616" s="1040" t="e">
        <f>IF($F216="","",$F216*chronic_consumption!AH616/1000/$C$3)</f>
        <v>#DIV/0!</v>
      </c>
      <c r="AN616" s="1040" t="e">
        <f>IF($F216="","",$F216*chronic_consumption!AI616/1000/$C$3)</f>
        <v>#DIV/0!</v>
      </c>
      <c r="AO616" s="1040" t="e">
        <f>IF($F216="","",$F216*chronic_consumption!AJ616/1000/$C$3)</f>
        <v>#DIV/0!</v>
      </c>
      <c r="AP616" s="1040" t="e">
        <f>IF($F216="","",$F216*chronic_consumption!AK616/1000/$C$3)</f>
        <v>#DIV/0!</v>
      </c>
      <c r="AQ616" s="1040" t="e">
        <f>IF($F216="","",$F216*chronic_consumption!AL616/1000/$C$3)</f>
        <v>#DIV/0!</v>
      </c>
      <c r="AR616" s="1040" t="e">
        <f>IF($F216="","",$F216*chronic_consumption!AM616/1000/$C$3)</f>
        <v>#DIV/0!</v>
      </c>
      <c r="AS616" s="1040" t="e">
        <f>IF($F216="","",$F216*chronic_consumption!AN616/1000/$C$3)</f>
        <v>#DIV/0!</v>
      </c>
      <c r="AT616" s="1040" t="e">
        <f>IF($F216="","",$F216*chronic_consumption!AO616/1000/$C$3)</f>
        <v>#DIV/0!</v>
      </c>
      <c r="AU616" s="1040" t="e">
        <f>IF($F216="","",$F216*chronic_consumption!AP616/1000/$C$3)</f>
        <v>#DIV/0!</v>
      </c>
      <c r="AV616" s="1040" t="e">
        <f>IF($F216="","",$F216*chronic_consumption!AQ616/1000/$C$3)</f>
        <v>#DIV/0!</v>
      </c>
      <c r="AW616" s="1040" t="e">
        <f>IF($F216="","",$F216*chronic_consumption!AR616/1000/$C$3)</f>
        <v>#DIV/0!</v>
      </c>
      <c r="AX616" s="1040" t="e">
        <f>IF($F216="","",$F216*chronic_consumption!AS616/1000/$C$3)</f>
        <v>#DIV/0!</v>
      </c>
      <c r="AY616" s="1040" t="e">
        <f>IF($F216="","",$F216*chronic_consumption!AT616/1000/$C$3)</f>
        <v>#DIV/0!</v>
      </c>
      <c r="AZ616" s="44" t="s">
        <v>20</v>
      </c>
      <c r="BC616" s="29"/>
      <c r="BD616" s="29"/>
    </row>
    <row r="617" spans="1:56" ht="12" hidden="1" customHeight="1" outlineLevel="3" x14ac:dyDescent="0.2">
      <c r="A617" s="21">
        <f>acute_overview_children!A217</f>
        <v>4</v>
      </c>
      <c r="B617" s="325">
        <f t="shared" si="46"/>
        <v>300990</v>
      </c>
      <c r="C617" s="325" t="str">
        <f t="shared" si="46"/>
        <v>Other pulses</v>
      </c>
      <c r="D617" s="135"/>
      <c r="E617" s="1027"/>
      <c r="F617" s="87"/>
      <c r="G617" s="1027"/>
      <c r="H617" s="1029"/>
      <c r="I617" s="1030"/>
      <c r="J617" s="1039" t="e">
        <f>IF($F217="","",$F217*chronic_consumption!E617/1000/$C$3)</f>
        <v>#DIV/0!</v>
      </c>
      <c r="K617" s="1040" t="e">
        <f>IF($F217="","",$F217*chronic_consumption!F617/1000/$C$3)</f>
        <v>#DIV/0!</v>
      </c>
      <c r="L617" s="1040" t="e">
        <f>IF($F217="","",$F217*chronic_consumption!G617/1000/$C$3)</f>
        <v>#DIV/0!</v>
      </c>
      <c r="M617" s="1040" t="e">
        <f>IF($F217="","",$F217*chronic_consumption!H617/1000/$C$3)</f>
        <v>#DIV/0!</v>
      </c>
      <c r="N617" s="1040" t="e">
        <f>IF($F217="","",$F217*chronic_consumption!I617/1000/$C$3)</f>
        <v>#DIV/0!</v>
      </c>
      <c r="O617" s="1040" t="e">
        <f>IF($F217="","",$F217*chronic_consumption!J617/1000/$C$3)</f>
        <v>#DIV/0!</v>
      </c>
      <c r="P617" s="1040" t="e">
        <f>IF($F217="","",$F217*chronic_consumption!K617/1000/$C$3)</f>
        <v>#DIV/0!</v>
      </c>
      <c r="Q617" s="1040" t="e">
        <f>IF($F217="","",$F217*chronic_consumption!L617/1000/$C$3)</f>
        <v>#DIV/0!</v>
      </c>
      <c r="R617" s="1040" t="e">
        <f>IF($F217="","",$F217*chronic_consumption!M617/1000/$C$3)</f>
        <v>#DIV/0!</v>
      </c>
      <c r="S617" s="1040" t="e">
        <f>IF($F217="","",$F217*chronic_consumption!N617/1000/$C$3)</f>
        <v>#DIV/0!</v>
      </c>
      <c r="T617" s="1040" t="e">
        <f>IF($F217="","",$F217*chronic_consumption!O617/1000/$C$3)</f>
        <v>#DIV/0!</v>
      </c>
      <c r="U617" s="1040" t="e">
        <f>IF($F217="","",$F217*chronic_consumption!P617/1000/$C$3)</f>
        <v>#DIV/0!</v>
      </c>
      <c r="V617" s="1040" t="e">
        <f>IF($F217="","",$F217*chronic_consumption!Q617/1000/$C$3)</f>
        <v>#DIV/0!</v>
      </c>
      <c r="W617" s="1040" t="e">
        <f>IF($F217="","",$F217*chronic_consumption!R617/1000/$C$3)</f>
        <v>#DIV/0!</v>
      </c>
      <c r="X617" s="1040" t="e">
        <f>IF($F217="","",$F217*chronic_consumption!S617/1000/$C$3)</f>
        <v>#DIV/0!</v>
      </c>
      <c r="Y617" s="1040" t="e">
        <f>IF($F217="","",$F217*chronic_consumption!T617/1000/$C$3)</f>
        <v>#DIV/0!</v>
      </c>
      <c r="Z617" s="1040" t="e">
        <f>IF($F217="","",$F217*chronic_consumption!U617/1000/$C$3)</f>
        <v>#DIV/0!</v>
      </c>
      <c r="AA617" s="1040" t="e">
        <f>IF($F217="","",$F217*chronic_consumption!V617/1000/$C$3)</f>
        <v>#DIV/0!</v>
      </c>
      <c r="AB617" s="1040" t="e">
        <f>IF($F217="","",$F217*chronic_consumption!W617/1000/$C$3)</f>
        <v>#DIV/0!</v>
      </c>
      <c r="AC617" s="1040" t="e">
        <f>IF($F217="","",$F217*chronic_consumption!X617/1000/$C$3)</f>
        <v>#DIV/0!</v>
      </c>
      <c r="AD617" s="1040" t="e">
        <f>IF($F217="","",$F217*chronic_consumption!Y617/1000/$C$3)</f>
        <v>#DIV/0!</v>
      </c>
      <c r="AE617" s="1040" t="e">
        <f>IF($F217="","",$F217*chronic_consumption!Z617/1000/$C$3)</f>
        <v>#DIV/0!</v>
      </c>
      <c r="AF617" s="1040" t="e">
        <f>IF($F217="","",$F217*chronic_consumption!AA617/1000/$C$3)</f>
        <v>#DIV/0!</v>
      </c>
      <c r="AG617" s="1040" t="e">
        <f>IF($F217="","",$F217*chronic_consumption!AB617/1000/$C$3)</f>
        <v>#DIV/0!</v>
      </c>
      <c r="AH617" s="1040" t="e">
        <f>IF($F217="","",$F217*chronic_consumption!AC617/1000/$C$3)</f>
        <v>#DIV/0!</v>
      </c>
      <c r="AI617" s="1040" t="e">
        <f>IF($F217="","",$F217*chronic_consumption!AD617/1000/$C$3)</f>
        <v>#DIV/0!</v>
      </c>
      <c r="AJ617" s="1040" t="e">
        <f>IF($F217="","",$F217*chronic_consumption!AE617/1000/$C$3)</f>
        <v>#DIV/0!</v>
      </c>
      <c r="AK617" s="1040" t="e">
        <f>IF($F217="","",$F217*chronic_consumption!AF617/1000/$C$3)</f>
        <v>#DIV/0!</v>
      </c>
      <c r="AL617" s="1040" t="e">
        <f>IF($F217="","",$F217*chronic_consumption!AG617/1000/$C$3)</f>
        <v>#DIV/0!</v>
      </c>
      <c r="AM617" s="1040" t="e">
        <f>IF($F217="","",$F217*chronic_consumption!AH617/1000/$C$3)</f>
        <v>#DIV/0!</v>
      </c>
      <c r="AN617" s="1040" t="e">
        <f>IF($F217="","",$F217*chronic_consumption!AI617/1000/$C$3)</f>
        <v>#DIV/0!</v>
      </c>
      <c r="AO617" s="1040" t="e">
        <f>IF($F217="","",$F217*chronic_consumption!AJ617/1000/$C$3)</f>
        <v>#DIV/0!</v>
      </c>
      <c r="AP617" s="1040" t="e">
        <f>IF($F217="","",$F217*chronic_consumption!AK617/1000/$C$3)</f>
        <v>#DIV/0!</v>
      </c>
      <c r="AQ617" s="1040" t="e">
        <f>IF($F217="","",$F217*chronic_consumption!AL617/1000/$C$3)</f>
        <v>#DIV/0!</v>
      </c>
      <c r="AR617" s="1040" t="e">
        <f>IF($F217="","",$F217*chronic_consumption!AM617/1000/$C$3)</f>
        <v>#DIV/0!</v>
      </c>
      <c r="AS617" s="1040" t="e">
        <f>IF($F217="","",$F217*chronic_consumption!AN617/1000/$C$3)</f>
        <v>#DIV/0!</v>
      </c>
      <c r="AT617" s="1040" t="e">
        <f>IF($F217="","",$F217*chronic_consumption!AO617/1000/$C$3)</f>
        <v>#DIV/0!</v>
      </c>
      <c r="AU617" s="1040" t="e">
        <f>IF($F217="","",$F217*chronic_consumption!AP617/1000/$C$3)</f>
        <v>#DIV/0!</v>
      </c>
      <c r="AV617" s="1040" t="e">
        <f>IF($F217="","",$F217*chronic_consumption!AQ617/1000/$C$3)</f>
        <v>#DIV/0!</v>
      </c>
      <c r="AW617" s="1040" t="e">
        <f>IF($F217="","",$F217*chronic_consumption!AR617/1000/$C$3)</f>
        <v>#DIV/0!</v>
      </c>
      <c r="AX617" s="1040" t="e">
        <f>IF($F217="","",$F217*chronic_consumption!AS617/1000/$C$3)</f>
        <v>#DIV/0!</v>
      </c>
      <c r="AY617" s="1040" t="e">
        <f>IF($F217="","",$F217*chronic_consumption!AT617/1000/$C$3)</f>
        <v>#DIV/0!</v>
      </c>
      <c r="AZ617" s="44" t="s">
        <v>20</v>
      </c>
      <c r="BC617" s="29"/>
      <c r="BD617" s="29"/>
    </row>
    <row r="618" spans="1:56" ht="12" customHeight="1" collapsed="1" x14ac:dyDescent="0.2">
      <c r="A618" s="1">
        <f>acute_overview_children!A218</f>
        <v>1</v>
      </c>
      <c r="B618" s="1026">
        <f t="shared" si="46"/>
        <v>400000</v>
      </c>
      <c r="C618" s="1026" t="str">
        <f t="shared" si="46"/>
        <v>OILSEEDS AND OILFRUITS</v>
      </c>
      <c r="D618" s="135"/>
      <c r="E618" s="1027"/>
      <c r="F618" s="87"/>
      <c r="G618" s="1027"/>
      <c r="H618" s="1029"/>
      <c r="I618" s="1030"/>
      <c r="J618" s="1031" t="e">
        <f>IF($F218="","",$F218*chronic_consumption!E618/1000/$C$3)</f>
        <v>#DIV/0!</v>
      </c>
      <c r="K618" s="1032" t="e">
        <f>IF($F218="","",$F218*chronic_consumption!F618/1000/$C$3)</f>
        <v>#DIV/0!</v>
      </c>
      <c r="L618" s="1032" t="e">
        <f>IF($F218="","",$F218*chronic_consumption!G618/1000/$C$3)</f>
        <v>#DIV/0!</v>
      </c>
      <c r="M618" s="1032" t="e">
        <f>IF($F218="","",$F218*chronic_consumption!H618/1000/$C$3)</f>
        <v>#DIV/0!</v>
      </c>
      <c r="N618" s="1032" t="e">
        <f>IF($F218="","",$F218*chronic_consumption!I618/1000/$C$3)</f>
        <v>#DIV/0!</v>
      </c>
      <c r="O618" s="1032" t="e">
        <f>IF($F218="","",$F218*chronic_consumption!J618/1000/$C$3)</f>
        <v>#DIV/0!</v>
      </c>
      <c r="P618" s="1032" t="e">
        <f>IF($F218="","",$F218*chronic_consumption!K618/1000/$C$3)</f>
        <v>#DIV/0!</v>
      </c>
      <c r="Q618" s="1032" t="e">
        <f>IF($F218="","",$F218*chronic_consumption!L618/1000/$C$3)</f>
        <v>#DIV/0!</v>
      </c>
      <c r="R618" s="1032" t="e">
        <f>IF($F218="","",$F218*chronic_consumption!M618/1000/$C$3)</f>
        <v>#DIV/0!</v>
      </c>
      <c r="S618" s="1032" t="e">
        <f>IF($F218="","",$F218*chronic_consumption!N618/1000/$C$3)</f>
        <v>#DIV/0!</v>
      </c>
      <c r="T618" s="1032" t="e">
        <f>IF($F218="","",$F218*chronic_consumption!O618/1000/$C$3)</f>
        <v>#DIV/0!</v>
      </c>
      <c r="U618" s="1032" t="e">
        <f>IF($F218="","",$F218*chronic_consumption!P618/1000/$C$3)</f>
        <v>#DIV/0!</v>
      </c>
      <c r="V618" s="1032" t="e">
        <f>IF($F218="","",$F218*chronic_consumption!Q618/1000/$C$3)</f>
        <v>#DIV/0!</v>
      </c>
      <c r="W618" s="1032" t="e">
        <f>IF($F218="","",$F218*chronic_consumption!R618/1000/$C$3)</f>
        <v>#DIV/0!</v>
      </c>
      <c r="X618" s="1032" t="e">
        <f>IF($F218="","",$F218*chronic_consumption!S618/1000/$C$3)</f>
        <v>#DIV/0!</v>
      </c>
      <c r="Y618" s="1032" t="e">
        <f>IF($F218="","",$F218*chronic_consumption!T618/1000/$C$3)</f>
        <v>#DIV/0!</v>
      </c>
      <c r="Z618" s="1032" t="e">
        <f>IF($F218="","",$F218*chronic_consumption!U618/1000/$C$3)</f>
        <v>#DIV/0!</v>
      </c>
      <c r="AA618" s="1032" t="e">
        <f>IF($F218="","",$F218*chronic_consumption!V618/1000/$C$3)</f>
        <v>#DIV/0!</v>
      </c>
      <c r="AB618" s="1032" t="e">
        <f>IF($F218="","",$F218*chronic_consumption!W618/1000/$C$3)</f>
        <v>#DIV/0!</v>
      </c>
      <c r="AC618" s="1032" t="e">
        <f>IF($F218="","",$F218*chronic_consumption!X618/1000/$C$3)</f>
        <v>#DIV/0!</v>
      </c>
      <c r="AD618" s="1032" t="e">
        <f>IF($F218="","",$F218*chronic_consumption!Y618/1000/$C$3)</f>
        <v>#DIV/0!</v>
      </c>
      <c r="AE618" s="1032" t="e">
        <f>IF($F218="","",$F218*chronic_consumption!Z618/1000/$C$3)</f>
        <v>#DIV/0!</v>
      </c>
      <c r="AF618" s="1032" t="e">
        <f>IF($F218="","",$F218*chronic_consumption!AA618/1000/$C$3)</f>
        <v>#DIV/0!</v>
      </c>
      <c r="AG618" s="1032" t="e">
        <f>IF($F218="","",$F218*chronic_consumption!AB618/1000/$C$3)</f>
        <v>#DIV/0!</v>
      </c>
      <c r="AH618" s="1032" t="e">
        <f>IF($F218="","",$F218*chronic_consumption!AC618/1000/$C$3)</f>
        <v>#DIV/0!</v>
      </c>
      <c r="AI618" s="1032" t="e">
        <f>IF($F218="","",$F218*chronic_consumption!AD618/1000/$C$3)</f>
        <v>#DIV/0!</v>
      </c>
      <c r="AJ618" s="1032" t="e">
        <f>IF($F218="","",$F218*chronic_consumption!AE618/1000/$C$3)</f>
        <v>#DIV/0!</v>
      </c>
      <c r="AK618" s="1032" t="e">
        <f>IF($F218="","",$F218*chronic_consumption!AF618/1000/$C$3)</f>
        <v>#DIV/0!</v>
      </c>
      <c r="AL618" s="1032" t="e">
        <f>IF($F218="","",$F218*chronic_consumption!AG618/1000/$C$3)</f>
        <v>#DIV/0!</v>
      </c>
      <c r="AM618" s="1032" t="e">
        <f>IF($F218="","",$F218*chronic_consumption!AH618/1000/$C$3)</f>
        <v>#DIV/0!</v>
      </c>
      <c r="AN618" s="1032" t="e">
        <f>IF($F218="","",$F218*chronic_consumption!AI618/1000/$C$3)</f>
        <v>#DIV/0!</v>
      </c>
      <c r="AO618" s="1032" t="e">
        <f>IF($F218="","",$F218*chronic_consumption!AJ618/1000/$C$3)</f>
        <v>#DIV/0!</v>
      </c>
      <c r="AP618" s="1032" t="e">
        <f>IF($F218="","",$F218*chronic_consumption!AK618/1000/$C$3)</f>
        <v>#DIV/0!</v>
      </c>
      <c r="AQ618" s="1032" t="e">
        <f>IF($F218="","",$F218*chronic_consumption!AL618/1000/$C$3)</f>
        <v>#DIV/0!</v>
      </c>
      <c r="AR618" s="1032" t="e">
        <f>IF($F218="","",$F218*chronic_consumption!AM618/1000/$C$3)</f>
        <v>#DIV/0!</v>
      </c>
      <c r="AS618" s="1032" t="e">
        <f>IF($F218="","",$F218*chronic_consumption!AN618/1000/$C$3)</f>
        <v>#DIV/0!</v>
      </c>
      <c r="AT618" s="1032" t="e">
        <f>IF($F218="","",$F218*chronic_consumption!AO618/1000/$C$3)</f>
        <v>#DIV/0!</v>
      </c>
      <c r="AU618" s="1032" t="e">
        <f>IF($F218="","",$F218*chronic_consumption!AP618/1000/$C$3)</f>
        <v>#DIV/0!</v>
      </c>
      <c r="AV618" s="1032" t="e">
        <f>IF($F218="","",$F218*chronic_consumption!AQ618/1000/$C$3)</f>
        <v>#DIV/0!</v>
      </c>
      <c r="AW618" s="1032" t="e">
        <f>IF($F218="","",$F218*chronic_consumption!AR618/1000/$C$3)</f>
        <v>#DIV/0!</v>
      </c>
      <c r="AX618" s="1032" t="e">
        <f>IF($F218="","",$F218*chronic_consumption!AS618/1000/$C$3)</f>
        <v>#DIV/0!</v>
      </c>
      <c r="AY618" s="1032" t="e">
        <f>IF($F218="","",$F218*chronic_consumption!AT618/1000/$C$3)</f>
        <v>#DIV/0!</v>
      </c>
      <c r="AZ618" s="44" t="s">
        <v>20</v>
      </c>
      <c r="BC618" s="29"/>
      <c r="BD618" s="29"/>
    </row>
    <row r="619" spans="1:56" ht="12" hidden="1" customHeight="1" outlineLevel="1" x14ac:dyDescent="0.2">
      <c r="A619" s="1033">
        <f>acute_overview_children!A219</f>
        <v>2</v>
      </c>
      <c r="B619" s="1034">
        <f t="shared" si="46"/>
        <v>401000</v>
      </c>
      <c r="C619" s="1034" t="str">
        <f t="shared" si="46"/>
        <v>Oilseeds</v>
      </c>
      <c r="D619" s="1035"/>
      <c r="E619" s="1027"/>
      <c r="F619" s="87"/>
      <c r="G619" s="1027"/>
      <c r="H619" s="1029"/>
      <c r="I619" s="1030"/>
      <c r="J619" s="1037" t="e">
        <f>IF($F219="","",$F219*chronic_consumption!E619/1000/$C$3)</f>
        <v>#DIV/0!</v>
      </c>
      <c r="K619" s="1038" t="e">
        <f>IF($F219="","",$F219*chronic_consumption!F619/1000/$C$3)</f>
        <v>#DIV/0!</v>
      </c>
      <c r="L619" s="1038" t="e">
        <f>IF($F219="","",$F219*chronic_consumption!G619/1000/$C$3)</f>
        <v>#DIV/0!</v>
      </c>
      <c r="M619" s="1038" t="e">
        <f>IF($F219="","",$F219*chronic_consumption!H619/1000/$C$3)</f>
        <v>#DIV/0!</v>
      </c>
      <c r="N619" s="1038" t="e">
        <f>IF($F219="","",$F219*chronic_consumption!I619/1000/$C$3)</f>
        <v>#DIV/0!</v>
      </c>
      <c r="O619" s="1038" t="e">
        <f>IF($F219="","",$F219*chronic_consumption!J619/1000/$C$3)</f>
        <v>#DIV/0!</v>
      </c>
      <c r="P619" s="1038" t="e">
        <f>IF($F219="","",$F219*chronic_consumption!K619/1000/$C$3)</f>
        <v>#DIV/0!</v>
      </c>
      <c r="Q619" s="1038" t="e">
        <f>IF($F219="","",$F219*chronic_consumption!L619/1000/$C$3)</f>
        <v>#DIV/0!</v>
      </c>
      <c r="R619" s="1038" t="e">
        <f>IF($F219="","",$F219*chronic_consumption!M619/1000/$C$3)</f>
        <v>#DIV/0!</v>
      </c>
      <c r="S619" s="1038" t="e">
        <f>IF($F219="","",$F219*chronic_consumption!N619/1000/$C$3)</f>
        <v>#DIV/0!</v>
      </c>
      <c r="T619" s="1038" t="e">
        <f>IF($F219="","",$F219*chronic_consumption!O619/1000/$C$3)</f>
        <v>#DIV/0!</v>
      </c>
      <c r="U619" s="1038" t="e">
        <f>IF($F219="","",$F219*chronic_consumption!P619/1000/$C$3)</f>
        <v>#DIV/0!</v>
      </c>
      <c r="V619" s="1038" t="e">
        <f>IF($F219="","",$F219*chronic_consumption!Q619/1000/$C$3)</f>
        <v>#DIV/0!</v>
      </c>
      <c r="W619" s="1038" t="e">
        <f>IF($F219="","",$F219*chronic_consumption!R619/1000/$C$3)</f>
        <v>#DIV/0!</v>
      </c>
      <c r="X619" s="1038" t="e">
        <f>IF($F219="","",$F219*chronic_consumption!S619/1000/$C$3)</f>
        <v>#DIV/0!</v>
      </c>
      <c r="Y619" s="1038" t="e">
        <f>IF($F219="","",$F219*chronic_consumption!T619/1000/$C$3)</f>
        <v>#DIV/0!</v>
      </c>
      <c r="Z619" s="1038" t="e">
        <f>IF($F219="","",$F219*chronic_consumption!U619/1000/$C$3)</f>
        <v>#DIV/0!</v>
      </c>
      <c r="AA619" s="1038" t="e">
        <f>IF($F219="","",$F219*chronic_consumption!V619/1000/$C$3)</f>
        <v>#DIV/0!</v>
      </c>
      <c r="AB619" s="1038" t="e">
        <f>IF($F219="","",$F219*chronic_consumption!W619/1000/$C$3)</f>
        <v>#DIV/0!</v>
      </c>
      <c r="AC619" s="1038" t="e">
        <f>IF($F219="","",$F219*chronic_consumption!X619/1000/$C$3)</f>
        <v>#DIV/0!</v>
      </c>
      <c r="AD619" s="1038" t="e">
        <f>IF($F219="","",$F219*chronic_consumption!Y619/1000/$C$3)</f>
        <v>#DIV/0!</v>
      </c>
      <c r="AE619" s="1038" t="e">
        <f>IF($F219="","",$F219*chronic_consumption!Z619/1000/$C$3)</f>
        <v>#DIV/0!</v>
      </c>
      <c r="AF619" s="1038" t="e">
        <f>IF($F219="","",$F219*chronic_consumption!AA619/1000/$C$3)</f>
        <v>#DIV/0!</v>
      </c>
      <c r="AG619" s="1038" t="e">
        <f>IF($F219="","",$F219*chronic_consumption!AB619/1000/$C$3)</f>
        <v>#DIV/0!</v>
      </c>
      <c r="AH619" s="1038" t="e">
        <f>IF($F219="","",$F219*chronic_consumption!AC619/1000/$C$3)</f>
        <v>#DIV/0!</v>
      </c>
      <c r="AI619" s="1038" t="e">
        <f>IF($F219="","",$F219*chronic_consumption!AD619/1000/$C$3)</f>
        <v>#DIV/0!</v>
      </c>
      <c r="AJ619" s="1038" t="e">
        <f>IF($F219="","",$F219*chronic_consumption!AE619/1000/$C$3)</f>
        <v>#DIV/0!</v>
      </c>
      <c r="AK619" s="1038" t="e">
        <f>IF($F219="","",$F219*chronic_consumption!AF619/1000/$C$3)</f>
        <v>#DIV/0!</v>
      </c>
      <c r="AL619" s="1038" t="e">
        <f>IF($F219="","",$F219*chronic_consumption!AG619/1000/$C$3)</f>
        <v>#DIV/0!</v>
      </c>
      <c r="AM619" s="1038" t="e">
        <f>IF($F219="","",$F219*chronic_consumption!AH619/1000/$C$3)</f>
        <v>#DIV/0!</v>
      </c>
      <c r="AN619" s="1038" t="e">
        <f>IF($F219="","",$F219*chronic_consumption!AI619/1000/$C$3)</f>
        <v>#DIV/0!</v>
      </c>
      <c r="AO619" s="1038" t="e">
        <f>IF($F219="","",$F219*chronic_consumption!AJ619/1000/$C$3)</f>
        <v>#DIV/0!</v>
      </c>
      <c r="AP619" s="1038" t="e">
        <f>IF($F219="","",$F219*chronic_consumption!AK619/1000/$C$3)</f>
        <v>#DIV/0!</v>
      </c>
      <c r="AQ619" s="1038" t="e">
        <f>IF($F219="","",$F219*chronic_consumption!AL619/1000/$C$3)</f>
        <v>#DIV/0!</v>
      </c>
      <c r="AR619" s="1038" t="e">
        <f>IF($F219="","",$F219*chronic_consumption!AM619/1000/$C$3)</f>
        <v>#DIV/0!</v>
      </c>
      <c r="AS619" s="1038" t="e">
        <f>IF($F219="","",$F219*chronic_consumption!AN619/1000/$C$3)</f>
        <v>#DIV/0!</v>
      </c>
      <c r="AT619" s="1038" t="e">
        <f>IF($F219="","",$F219*chronic_consumption!AO619/1000/$C$3)</f>
        <v>#DIV/0!</v>
      </c>
      <c r="AU619" s="1038" t="e">
        <f>IF($F219="","",$F219*chronic_consumption!AP619/1000/$C$3)</f>
        <v>#DIV/0!</v>
      </c>
      <c r="AV619" s="1038" t="e">
        <f>IF($F219="","",$F219*chronic_consumption!AQ619/1000/$C$3)</f>
        <v>#DIV/0!</v>
      </c>
      <c r="AW619" s="1038" t="e">
        <f>IF($F219="","",$F219*chronic_consumption!AR619/1000/$C$3)</f>
        <v>#DIV/0!</v>
      </c>
      <c r="AX619" s="1038" t="e">
        <f>IF($F219="","",$F219*chronic_consumption!AS619/1000/$C$3)</f>
        <v>#DIV/0!</v>
      </c>
      <c r="AY619" s="1038" t="e">
        <f>IF($F219="","",$F219*chronic_consumption!AT619/1000/$C$3)</f>
        <v>#DIV/0!</v>
      </c>
      <c r="AZ619" s="44" t="s">
        <v>20</v>
      </c>
      <c r="BC619" s="29"/>
      <c r="BD619" s="29"/>
    </row>
    <row r="620" spans="1:56" ht="12" hidden="1" customHeight="1" outlineLevel="3" x14ac:dyDescent="0.2">
      <c r="A620" s="21">
        <f>acute_overview_children!A220</f>
        <v>4</v>
      </c>
      <c r="B620" s="325">
        <f t="shared" si="46"/>
        <v>401010</v>
      </c>
      <c r="C620" s="325" t="str">
        <f t="shared" si="46"/>
        <v>Linseeds</v>
      </c>
      <c r="D620" s="135"/>
      <c r="E620" s="1027"/>
      <c r="F620" s="87"/>
      <c r="G620" s="1027"/>
      <c r="H620" s="1029"/>
      <c r="I620" s="1030"/>
      <c r="J620" s="1039" t="e">
        <f>IF($F220="","",$F220*chronic_consumption!E620/1000/$C$3)</f>
        <v>#DIV/0!</v>
      </c>
      <c r="K620" s="1040" t="e">
        <f>IF($F220="","",$F220*chronic_consumption!F620/1000/$C$3)</f>
        <v>#DIV/0!</v>
      </c>
      <c r="L620" s="1040" t="e">
        <f>IF($F220="","",$F220*chronic_consumption!G620/1000/$C$3)</f>
        <v>#DIV/0!</v>
      </c>
      <c r="M620" s="1040" t="e">
        <f>IF($F220="","",$F220*chronic_consumption!H620/1000/$C$3)</f>
        <v>#DIV/0!</v>
      </c>
      <c r="N620" s="1040" t="e">
        <f>IF($F220="","",$F220*chronic_consumption!I620/1000/$C$3)</f>
        <v>#DIV/0!</v>
      </c>
      <c r="O620" s="1040" t="e">
        <f>IF($F220="","",$F220*chronic_consumption!J620/1000/$C$3)</f>
        <v>#DIV/0!</v>
      </c>
      <c r="P620" s="1040" t="e">
        <f>IF($F220="","",$F220*chronic_consumption!K620/1000/$C$3)</f>
        <v>#DIV/0!</v>
      </c>
      <c r="Q620" s="1040" t="e">
        <f>IF($F220="","",$F220*chronic_consumption!L620/1000/$C$3)</f>
        <v>#DIV/0!</v>
      </c>
      <c r="R620" s="1040" t="e">
        <f>IF($F220="","",$F220*chronic_consumption!M620/1000/$C$3)</f>
        <v>#DIV/0!</v>
      </c>
      <c r="S620" s="1040" t="e">
        <f>IF($F220="","",$F220*chronic_consumption!N620/1000/$C$3)</f>
        <v>#DIV/0!</v>
      </c>
      <c r="T620" s="1040" t="e">
        <f>IF($F220="","",$F220*chronic_consumption!O620/1000/$C$3)</f>
        <v>#DIV/0!</v>
      </c>
      <c r="U620" s="1040" t="e">
        <f>IF($F220="","",$F220*chronic_consumption!P620/1000/$C$3)</f>
        <v>#DIV/0!</v>
      </c>
      <c r="V620" s="1040" t="e">
        <f>IF($F220="","",$F220*chronic_consumption!Q620/1000/$C$3)</f>
        <v>#DIV/0!</v>
      </c>
      <c r="W620" s="1040" t="e">
        <f>IF($F220="","",$F220*chronic_consumption!R620/1000/$C$3)</f>
        <v>#DIV/0!</v>
      </c>
      <c r="X620" s="1040" t="e">
        <f>IF($F220="","",$F220*chronic_consumption!S620/1000/$C$3)</f>
        <v>#DIV/0!</v>
      </c>
      <c r="Y620" s="1040" t="e">
        <f>IF($F220="","",$F220*chronic_consumption!T620/1000/$C$3)</f>
        <v>#DIV/0!</v>
      </c>
      <c r="Z620" s="1040" t="e">
        <f>IF($F220="","",$F220*chronic_consumption!U620/1000/$C$3)</f>
        <v>#DIV/0!</v>
      </c>
      <c r="AA620" s="1040" t="e">
        <f>IF($F220="","",$F220*chronic_consumption!V620/1000/$C$3)</f>
        <v>#DIV/0!</v>
      </c>
      <c r="AB620" s="1040" t="e">
        <f>IF($F220="","",$F220*chronic_consumption!W620/1000/$C$3)</f>
        <v>#DIV/0!</v>
      </c>
      <c r="AC620" s="1040" t="e">
        <f>IF($F220="","",$F220*chronic_consumption!X620/1000/$C$3)</f>
        <v>#DIV/0!</v>
      </c>
      <c r="AD620" s="1040" t="e">
        <f>IF($F220="","",$F220*chronic_consumption!Y620/1000/$C$3)</f>
        <v>#DIV/0!</v>
      </c>
      <c r="AE620" s="1040" t="e">
        <f>IF($F220="","",$F220*chronic_consumption!Z620/1000/$C$3)</f>
        <v>#DIV/0!</v>
      </c>
      <c r="AF620" s="1040" t="e">
        <f>IF($F220="","",$F220*chronic_consumption!AA620/1000/$C$3)</f>
        <v>#DIV/0!</v>
      </c>
      <c r="AG620" s="1040" t="e">
        <f>IF($F220="","",$F220*chronic_consumption!AB620/1000/$C$3)</f>
        <v>#DIV/0!</v>
      </c>
      <c r="AH620" s="1040" t="e">
        <f>IF($F220="","",$F220*chronic_consumption!AC620/1000/$C$3)</f>
        <v>#DIV/0!</v>
      </c>
      <c r="AI620" s="1040" t="e">
        <f>IF($F220="","",$F220*chronic_consumption!AD620/1000/$C$3)</f>
        <v>#DIV/0!</v>
      </c>
      <c r="AJ620" s="1040" t="e">
        <f>IF($F220="","",$F220*chronic_consumption!AE620/1000/$C$3)</f>
        <v>#DIV/0!</v>
      </c>
      <c r="AK620" s="1040" t="e">
        <f>IF($F220="","",$F220*chronic_consumption!AF620/1000/$C$3)</f>
        <v>#DIV/0!</v>
      </c>
      <c r="AL620" s="1040" t="e">
        <f>IF($F220="","",$F220*chronic_consumption!AG620/1000/$C$3)</f>
        <v>#DIV/0!</v>
      </c>
      <c r="AM620" s="1040" t="e">
        <f>IF($F220="","",$F220*chronic_consumption!AH620/1000/$C$3)</f>
        <v>#DIV/0!</v>
      </c>
      <c r="AN620" s="1040" t="e">
        <f>IF($F220="","",$F220*chronic_consumption!AI620/1000/$C$3)</f>
        <v>#DIV/0!</v>
      </c>
      <c r="AO620" s="1040" t="e">
        <f>IF($F220="","",$F220*chronic_consumption!AJ620/1000/$C$3)</f>
        <v>#DIV/0!</v>
      </c>
      <c r="AP620" s="1040" t="e">
        <f>IF($F220="","",$F220*chronic_consumption!AK620/1000/$C$3)</f>
        <v>#DIV/0!</v>
      </c>
      <c r="AQ620" s="1040" t="e">
        <f>IF($F220="","",$F220*chronic_consumption!AL620/1000/$C$3)</f>
        <v>#DIV/0!</v>
      </c>
      <c r="AR620" s="1040" t="e">
        <f>IF($F220="","",$F220*chronic_consumption!AM620/1000/$C$3)</f>
        <v>#DIV/0!</v>
      </c>
      <c r="AS620" s="1040" t="e">
        <f>IF($F220="","",$F220*chronic_consumption!AN620/1000/$C$3)</f>
        <v>#DIV/0!</v>
      </c>
      <c r="AT620" s="1040" t="e">
        <f>IF($F220="","",$F220*chronic_consumption!AO620/1000/$C$3)</f>
        <v>#DIV/0!</v>
      </c>
      <c r="AU620" s="1040" t="e">
        <f>IF($F220="","",$F220*chronic_consumption!AP620/1000/$C$3)</f>
        <v>#DIV/0!</v>
      </c>
      <c r="AV620" s="1040" t="e">
        <f>IF($F220="","",$F220*chronic_consumption!AQ620/1000/$C$3)</f>
        <v>#DIV/0!</v>
      </c>
      <c r="AW620" s="1040" t="e">
        <f>IF($F220="","",$F220*chronic_consumption!AR620/1000/$C$3)</f>
        <v>#DIV/0!</v>
      </c>
      <c r="AX620" s="1040" t="e">
        <f>IF($F220="","",$F220*chronic_consumption!AS620/1000/$C$3)</f>
        <v>#DIV/0!</v>
      </c>
      <c r="AY620" s="1040" t="e">
        <f>IF($F220="","",$F220*chronic_consumption!AT620/1000/$C$3)</f>
        <v>#DIV/0!</v>
      </c>
      <c r="AZ620" s="44" t="s">
        <v>20</v>
      </c>
      <c r="BC620" s="29"/>
      <c r="BD620" s="29"/>
    </row>
    <row r="621" spans="1:56" ht="12" hidden="1" customHeight="1" outlineLevel="3" x14ac:dyDescent="0.2">
      <c r="A621" s="21">
        <f>acute_overview_children!A221</f>
        <v>4</v>
      </c>
      <c r="B621" s="325">
        <f t="shared" si="46"/>
        <v>401020</v>
      </c>
      <c r="C621" s="325" t="str">
        <f t="shared" si="46"/>
        <v>Peanuts/groundnuts</v>
      </c>
      <c r="D621" s="135"/>
      <c r="E621" s="1027"/>
      <c r="F621" s="87"/>
      <c r="G621" s="1027"/>
      <c r="H621" s="1029"/>
      <c r="I621" s="1030"/>
      <c r="J621" s="1039" t="e">
        <f>IF($F221="","",$F221*chronic_consumption!E621/1000/$C$3)</f>
        <v>#DIV/0!</v>
      </c>
      <c r="K621" s="1040" t="e">
        <f>IF($F221="","",$F221*chronic_consumption!F621/1000/$C$3)</f>
        <v>#DIV/0!</v>
      </c>
      <c r="L621" s="1040" t="e">
        <f>IF($F221="","",$F221*chronic_consumption!G621/1000/$C$3)</f>
        <v>#DIV/0!</v>
      </c>
      <c r="M621" s="1040" t="e">
        <f>IF($F221="","",$F221*chronic_consumption!H621/1000/$C$3)</f>
        <v>#DIV/0!</v>
      </c>
      <c r="N621" s="1040" t="e">
        <f>IF($F221="","",$F221*chronic_consumption!I621/1000/$C$3)</f>
        <v>#DIV/0!</v>
      </c>
      <c r="O621" s="1040" t="e">
        <f>IF($F221="","",$F221*chronic_consumption!J621/1000/$C$3)</f>
        <v>#DIV/0!</v>
      </c>
      <c r="P621" s="1040" t="e">
        <f>IF($F221="","",$F221*chronic_consumption!K621/1000/$C$3)</f>
        <v>#DIV/0!</v>
      </c>
      <c r="Q621" s="1040" t="e">
        <f>IF($F221="","",$F221*chronic_consumption!L621/1000/$C$3)</f>
        <v>#DIV/0!</v>
      </c>
      <c r="R621" s="1040" t="e">
        <f>IF($F221="","",$F221*chronic_consumption!M621/1000/$C$3)</f>
        <v>#DIV/0!</v>
      </c>
      <c r="S621" s="1040" t="e">
        <f>IF($F221="","",$F221*chronic_consumption!N621/1000/$C$3)</f>
        <v>#DIV/0!</v>
      </c>
      <c r="T621" s="1040" t="e">
        <f>IF($F221="","",$F221*chronic_consumption!O621/1000/$C$3)</f>
        <v>#DIV/0!</v>
      </c>
      <c r="U621" s="1040" t="e">
        <f>IF($F221="","",$F221*chronic_consumption!P621/1000/$C$3)</f>
        <v>#DIV/0!</v>
      </c>
      <c r="V621" s="1040" t="e">
        <f>IF($F221="","",$F221*chronic_consumption!Q621/1000/$C$3)</f>
        <v>#DIV/0!</v>
      </c>
      <c r="W621" s="1040" t="e">
        <f>IF($F221="","",$F221*chronic_consumption!R621/1000/$C$3)</f>
        <v>#DIV/0!</v>
      </c>
      <c r="X621" s="1040" t="e">
        <f>IF($F221="","",$F221*chronic_consumption!S621/1000/$C$3)</f>
        <v>#DIV/0!</v>
      </c>
      <c r="Y621" s="1040" t="e">
        <f>IF($F221="","",$F221*chronic_consumption!T621/1000/$C$3)</f>
        <v>#DIV/0!</v>
      </c>
      <c r="Z621" s="1040" t="e">
        <f>IF($F221="","",$F221*chronic_consumption!U621/1000/$C$3)</f>
        <v>#DIV/0!</v>
      </c>
      <c r="AA621" s="1040" t="e">
        <f>IF($F221="","",$F221*chronic_consumption!V621/1000/$C$3)</f>
        <v>#DIV/0!</v>
      </c>
      <c r="AB621" s="1040" t="e">
        <f>IF($F221="","",$F221*chronic_consumption!W621/1000/$C$3)</f>
        <v>#DIV/0!</v>
      </c>
      <c r="AC621" s="1040" t="e">
        <f>IF($F221="","",$F221*chronic_consumption!X621/1000/$C$3)</f>
        <v>#DIV/0!</v>
      </c>
      <c r="AD621" s="1040" t="e">
        <f>IF($F221="","",$F221*chronic_consumption!Y621/1000/$C$3)</f>
        <v>#DIV/0!</v>
      </c>
      <c r="AE621" s="1040" t="e">
        <f>IF($F221="","",$F221*chronic_consumption!Z621/1000/$C$3)</f>
        <v>#DIV/0!</v>
      </c>
      <c r="AF621" s="1040" t="e">
        <f>IF($F221="","",$F221*chronic_consumption!AA621/1000/$C$3)</f>
        <v>#DIV/0!</v>
      </c>
      <c r="AG621" s="1040" t="e">
        <f>IF($F221="","",$F221*chronic_consumption!AB621/1000/$C$3)</f>
        <v>#DIV/0!</v>
      </c>
      <c r="AH621" s="1040" t="e">
        <f>IF($F221="","",$F221*chronic_consumption!AC621/1000/$C$3)</f>
        <v>#DIV/0!</v>
      </c>
      <c r="AI621" s="1040" t="e">
        <f>IF($F221="","",$F221*chronic_consumption!AD621/1000/$C$3)</f>
        <v>#DIV/0!</v>
      </c>
      <c r="AJ621" s="1040" t="e">
        <f>IF($F221="","",$F221*chronic_consumption!AE621/1000/$C$3)</f>
        <v>#DIV/0!</v>
      </c>
      <c r="AK621" s="1040" t="e">
        <f>IF($F221="","",$F221*chronic_consumption!AF621/1000/$C$3)</f>
        <v>#DIV/0!</v>
      </c>
      <c r="AL621" s="1040" t="e">
        <f>IF($F221="","",$F221*chronic_consumption!AG621/1000/$C$3)</f>
        <v>#DIV/0!</v>
      </c>
      <c r="AM621" s="1040" t="e">
        <f>IF($F221="","",$F221*chronic_consumption!AH621/1000/$C$3)</f>
        <v>#DIV/0!</v>
      </c>
      <c r="AN621" s="1040" t="e">
        <f>IF($F221="","",$F221*chronic_consumption!AI621/1000/$C$3)</f>
        <v>#DIV/0!</v>
      </c>
      <c r="AO621" s="1040" t="e">
        <f>IF($F221="","",$F221*chronic_consumption!AJ621/1000/$C$3)</f>
        <v>#DIV/0!</v>
      </c>
      <c r="AP621" s="1040" t="e">
        <f>IF($F221="","",$F221*chronic_consumption!AK621/1000/$C$3)</f>
        <v>#DIV/0!</v>
      </c>
      <c r="AQ621" s="1040" t="e">
        <f>IF($F221="","",$F221*chronic_consumption!AL621/1000/$C$3)</f>
        <v>#DIV/0!</v>
      </c>
      <c r="AR621" s="1040" t="e">
        <f>IF($F221="","",$F221*chronic_consumption!AM621/1000/$C$3)</f>
        <v>#DIV/0!</v>
      </c>
      <c r="AS621" s="1040" t="e">
        <f>IF($F221="","",$F221*chronic_consumption!AN621/1000/$C$3)</f>
        <v>#DIV/0!</v>
      </c>
      <c r="AT621" s="1040" t="e">
        <f>IF($F221="","",$F221*chronic_consumption!AO621/1000/$C$3)</f>
        <v>#DIV/0!</v>
      </c>
      <c r="AU621" s="1040" t="e">
        <f>IF($F221="","",$F221*chronic_consumption!AP621/1000/$C$3)</f>
        <v>#DIV/0!</v>
      </c>
      <c r="AV621" s="1040" t="e">
        <f>IF($F221="","",$F221*chronic_consumption!AQ621/1000/$C$3)</f>
        <v>#DIV/0!</v>
      </c>
      <c r="AW621" s="1040" t="e">
        <f>IF($F221="","",$F221*chronic_consumption!AR621/1000/$C$3)</f>
        <v>#DIV/0!</v>
      </c>
      <c r="AX621" s="1040" t="e">
        <f>IF($F221="","",$F221*chronic_consumption!AS621/1000/$C$3)</f>
        <v>#DIV/0!</v>
      </c>
      <c r="AY621" s="1040" t="e">
        <f>IF($F221="","",$F221*chronic_consumption!AT621/1000/$C$3)</f>
        <v>#DIV/0!</v>
      </c>
      <c r="AZ621" s="44" t="s">
        <v>20</v>
      </c>
      <c r="BC621" s="29"/>
      <c r="BD621" s="29"/>
    </row>
    <row r="622" spans="1:56" ht="12" hidden="1" customHeight="1" outlineLevel="3" x14ac:dyDescent="0.2">
      <c r="A622" s="21">
        <f>acute_overview_children!A222</f>
        <v>4</v>
      </c>
      <c r="B622" s="325">
        <f t="shared" si="46"/>
        <v>401030</v>
      </c>
      <c r="C622" s="325" t="str">
        <f t="shared" si="46"/>
        <v>Poppy seeds</v>
      </c>
      <c r="D622" s="135"/>
      <c r="E622" s="1027"/>
      <c r="F622" s="87"/>
      <c r="G622" s="1027"/>
      <c r="H622" s="1029"/>
      <c r="I622" s="1030"/>
      <c r="J622" s="1039" t="e">
        <f>IF($F222="","",$F222*chronic_consumption!E622/1000/$C$3)</f>
        <v>#DIV/0!</v>
      </c>
      <c r="K622" s="1040" t="e">
        <f>IF($F222="","",$F222*chronic_consumption!F622/1000/$C$3)</f>
        <v>#DIV/0!</v>
      </c>
      <c r="L622" s="1040" t="e">
        <f>IF($F222="","",$F222*chronic_consumption!G622/1000/$C$3)</f>
        <v>#DIV/0!</v>
      </c>
      <c r="M622" s="1040" t="e">
        <f>IF($F222="","",$F222*chronic_consumption!H622/1000/$C$3)</f>
        <v>#DIV/0!</v>
      </c>
      <c r="N622" s="1040" t="e">
        <f>IF($F222="","",$F222*chronic_consumption!I622/1000/$C$3)</f>
        <v>#DIV/0!</v>
      </c>
      <c r="O622" s="1040" t="e">
        <f>IF($F222="","",$F222*chronic_consumption!J622/1000/$C$3)</f>
        <v>#DIV/0!</v>
      </c>
      <c r="P622" s="1040" t="e">
        <f>IF($F222="","",$F222*chronic_consumption!K622/1000/$C$3)</f>
        <v>#DIV/0!</v>
      </c>
      <c r="Q622" s="1040" t="e">
        <f>IF($F222="","",$F222*chronic_consumption!L622/1000/$C$3)</f>
        <v>#DIV/0!</v>
      </c>
      <c r="R622" s="1040" t="e">
        <f>IF($F222="","",$F222*chronic_consumption!M622/1000/$C$3)</f>
        <v>#DIV/0!</v>
      </c>
      <c r="S622" s="1040" t="e">
        <f>IF($F222="","",$F222*chronic_consumption!N622/1000/$C$3)</f>
        <v>#DIV/0!</v>
      </c>
      <c r="T622" s="1040" t="e">
        <f>IF($F222="","",$F222*chronic_consumption!O622/1000/$C$3)</f>
        <v>#DIV/0!</v>
      </c>
      <c r="U622" s="1040" t="e">
        <f>IF($F222="","",$F222*chronic_consumption!P622/1000/$C$3)</f>
        <v>#DIV/0!</v>
      </c>
      <c r="V622" s="1040" t="e">
        <f>IF($F222="","",$F222*chronic_consumption!Q622/1000/$C$3)</f>
        <v>#DIV/0!</v>
      </c>
      <c r="W622" s="1040" t="e">
        <f>IF($F222="","",$F222*chronic_consumption!R622/1000/$C$3)</f>
        <v>#DIV/0!</v>
      </c>
      <c r="X622" s="1040" t="e">
        <f>IF($F222="","",$F222*chronic_consumption!S622/1000/$C$3)</f>
        <v>#DIV/0!</v>
      </c>
      <c r="Y622" s="1040" t="e">
        <f>IF($F222="","",$F222*chronic_consumption!T622/1000/$C$3)</f>
        <v>#DIV/0!</v>
      </c>
      <c r="Z622" s="1040" t="e">
        <f>IF($F222="","",$F222*chronic_consumption!U622/1000/$C$3)</f>
        <v>#DIV/0!</v>
      </c>
      <c r="AA622" s="1040" t="e">
        <f>IF($F222="","",$F222*chronic_consumption!V622/1000/$C$3)</f>
        <v>#DIV/0!</v>
      </c>
      <c r="AB622" s="1040" t="e">
        <f>IF($F222="","",$F222*chronic_consumption!W622/1000/$C$3)</f>
        <v>#DIV/0!</v>
      </c>
      <c r="AC622" s="1040" t="e">
        <f>IF($F222="","",$F222*chronic_consumption!X622/1000/$C$3)</f>
        <v>#DIV/0!</v>
      </c>
      <c r="AD622" s="1040" t="e">
        <f>IF($F222="","",$F222*chronic_consumption!Y622/1000/$C$3)</f>
        <v>#DIV/0!</v>
      </c>
      <c r="AE622" s="1040" t="e">
        <f>IF($F222="","",$F222*chronic_consumption!Z622/1000/$C$3)</f>
        <v>#DIV/0!</v>
      </c>
      <c r="AF622" s="1040" t="e">
        <f>IF($F222="","",$F222*chronic_consumption!AA622/1000/$C$3)</f>
        <v>#DIV/0!</v>
      </c>
      <c r="AG622" s="1040" t="e">
        <f>IF($F222="","",$F222*chronic_consumption!AB622/1000/$C$3)</f>
        <v>#DIV/0!</v>
      </c>
      <c r="AH622" s="1040" t="e">
        <f>IF($F222="","",$F222*chronic_consumption!AC622/1000/$C$3)</f>
        <v>#DIV/0!</v>
      </c>
      <c r="AI622" s="1040" t="e">
        <f>IF($F222="","",$F222*chronic_consumption!AD622/1000/$C$3)</f>
        <v>#DIV/0!</v>
      </c>
      <c r="AJ622" s="1040" t="e">
        <f>IF($F222="","",$F222*chronic_consumption!AE622/1000/$C$3)</f>
        <v>#DIV/0!</v>
      </c>
      <c r="AK622" s="1040" t="e">
        <f>IF($F222="","",$F222*chronic_consumption!AF622/1000/$C$3)</f>
        <v>#DIV/0!</v>
      </c>
      <c r="AL622" s="1040" t="e">
        <f>IF($F222="","",$F222*chronic_consumption!AG622/1000/$C$3)</f>
        <v>#DIV/0!</v>
      </c>
      <c r="AM622" s="1040" t="e">
        <f>IF($F222="","",$F222*chronic_consumption!AH622/1000/$C$3)</f>
        <v>#DIV/0!</v>
      </c>
      <c r="AN622" s="1040" t="e">
        <f>IF($F222="","",$F222*chronic_consumption!AI622/1000/$C$3)</f>
        <v>#DIV/0!</v>
      </c>
      <c r="AO622" s="1040" t="e">
        <f>IF($F222="","",$F222*chronic_consumption!AJ622/1000/$C$3)</f>
        <v>#DIV/0!</v>
      </c>
      <c r="AP622" s="1040" t="e">
        <f>IF($F222="","",$F222*chronic_consumption!AK622/1000/$C$3)</f>
        <v>#DIV/0!</v>
      </c>
      <c r="AQ622" s="1040" t="e">
        <f>IF($F222="","",$F222*chronic_consumption!AL622/1000/$C$3)</f>
        <v>#DIV/0!</v>
      </c>
      <c r="AR622" s="1040" t="e">
        <f>IF($F222="","",$F222*chronic_consumption!AM622/1000/$C$3)</f>
        <v>#DIV/0!</v>
      </c>
      <c r="AS622" s="1040" t="e">
        <f>IF($F222="","",$F222*chronic_consumption!AN622/1000/$C$3)</f>
        <v>#DIV/0!</v>
      </c>
      <c r="AT622" s="1040" t="e">
        <f>IF($F222="","",$F222*chronic_consumption!AO622/1000/$C$3)</f>
        <v>#DIV/0!</v>
      </c>
      <c r="AU622" s="1040" t="e">
        <f>IF($F222="","",$F222*chronic_consumption!AP622/1000/$C$3)</f>
        <v>#DIV/0!</v>
      </c>
      <c r="AV622" s="1040" t="e">
        <f>IF($F222="","",$F222*chronic_consumption!AQ622/1000/$C$3)</f>
        <v>#DIV/0!</v>
      </c>
      <c r="AW622" s="1040" t="e">
        <f>IF($F222="","",$F222*chronic_consumption!AR622/1000/$C$3)</f>
        <v>#DIV/0!</v>
      </c>
      <c r="AX622" s="1040" t="e">
        <f>IF($F222="","",$F222*chronic_consumption!AS622/1000/$C$3)</f>
        <v>#DIV/0!</v>
      </c>
      <c r="AY622" s="1040" t="e">
        <f>IF($F222="","",$F222*chronic_consumption!AT622/1000/$C$3)</f>
        <v>#DIV/0!</v>
      </c>
      <c r="AZ622" s="44" t="s">
        <v>20</v>
      </c>
      <c r="BC622" s="29"/>
      <c r="BD622" s="29"/>
    </row>
    <row r="623" spans="1:56" ht="12" hidden="1" customHeight="1" outlineLevel="3" x14ac:dyDescent="0.2">
      <c r="A623" s="21">
        <f>acute_overview_children!A223</f>
        <v>4</v>
      </c>
      <c r="B623" s="325">
        <f t="shared" si="46"/>
        <v>401040</v>
      </c>
      <c r="C623" s="325" t="str">
        <f t="shared" si="46"/>
        <v>Sesame seeds</v>
      </c>
      <c r="D623" s="135"/>
      <c r="E623" s="1027"/>
      <c r="F623" s="87"/>
      <c r="G623" s="1027"/>
      <c r="H623" s="1029"/>
      <c r="I623" s="1030"/>
      <c r="J623" s="1039" t="e">
        <f>IF($F223="","",$F223*chronic_consumption!E623/1000/$C$3)</f>
        <v>#DIV/0!</v>
      </c>
      <c r="K623" s="1040" t="e">
        <f>IF($F223="","",$F223*chronic_consumption!F623/1000/$C$3)</f>
        <v>#DIV/0!</v>
      </c>
      <c r="L623" s="1040" t="e">
        <f>IF($F223="","",$F223*chronic_consumption!G623/1000/$C$3)</f>
        <v>#DIV/0!</v>
      </c>
      <c r="M623" s="1040" t="e">
        <f>IF($F223="","",$F223*chronic_consumption!H623/1000/$C$3)</f>
        <v>#DIV/0!</v>
      </c>
      <c r="N623" s="1040" t="e">
        <f>IF($F223="","",$F223*chronic_consumption!I623/1000/$C$3)</f>
        <v>#DIV/0!</v>
      </c>
      <c r="O623" s="1040" t="e">
        <f>IF($F223="","",$F223*chronic_consumption!J623/1000/$C$3)</f>
        <v>#DIV/0!</v>
      </c>
      <c r="P623" s="1040" t="e">
        <f>IF($F223="","",$F223*chronic_consumption!K623/1000/$C$3)</f>
        <v>#DIV/0!</v>
      </c>
      <c r="Q623" s="1040" t="e">
        <f>IF($F223="","",$F223*chronic_consumption!L623/1000/$C$3)</f>
        <v>#DIV/0!</v>
      </c>
      <c r="R623" s="1040" t="e">
        <f>IF($F223="","",$F223*chronic_consumption!M623/1000/$C$3)</f>
        <v>#DIV/0!</v>
      </c>
      <c r="S623" s="1040" t="e">
        <f>IF($F223="","",$F223*chronic_consumption!N623/1000/$C$3)</f>
        <v>#DIV/0!</v>
      </c>
      <c r="T623" s="1040" t="e">
        <f>IF($F223="","",$F223*chronic_consumption!O623/1000/$C$3)</f>
        <v>#DIV/0!</v>
      </c>
      <c r="U623" s="1040" t="e">
        <f>IF($F223="","",$F223*chronic_consumption!P623/1000/$C$3)</f>
        <v>#DIV/0!</v>
      </c>
      <c r="V623" s="1040" t="e">
        <f>IF($F223="","",$F223*chronic_consumption!Q623/1000/$C$3)</f>
        <v>#DIV/0!</v>
      </c>
      <c r="W623" s="1040" t="e">
        <f>IF($F223="","",$F223*chronic_consumption!R623/1000/$C$3)</f>
        <v>#DIV/0!</v>
      </c>
      <c r="X623" s="1040" t="e">
        <f>IF($F223="","",$F223*chronic_consumption!S623/1000/$C$3)</f>
        <v>#DIV/0!</v>
      </c>
      <c r="Y623" s="1040" t="e">
        <f>IF($F223="","",$F223*chronic_consumption!T623/1000/$C$3)</f>
        <v>#DIV/0!</v>
      </c>
      <c r="Z623" s="1040" t="e">
        <f>IF($F223="","",$F223*chronic_consumption!U623/1000/$C$3)</f>
        <v>#DIV/0!</v>
      </c>
      <c r="AA623" s="1040" t="e">
        <f>IF($F223="","",$F223*chronic_consumption!V623/1000/$C$3)</f>
        <v>#DIV/0!</v>
      </c>
      <c r="AB623" s="1040" t="e">
        <f>IF($F223="","",$F223*chronic_consumption!W623/1000/$C$3)</f>
        <v>#DIV/0!</v>
      </c>
      <c r="AC623" s="1040" t="e">
        <f>IF($F223="","",$F223*chronic_consumption!X623/1000/$C$3)</f>
        <v>#DIV/0!</v>
      </c>
      <c r="AD623" s="1040" t="e">
        <f>IF($F223="","",$F223*chronic_consumption!Y623/1000/$C$3)</f>
        <v>#DIV/0!</v>
      </c>
      <c r="AE623" s="1040" t="e">
        <f>IF($F223="","",$F223*chronic_consumption!Z623/1000/$C$3)</f>
        <v>#DIV/0!</v>
      </c>
      <c r="AF623" s="1040" t="e">
        <f>IF($F223="","",$F223*chronic_consumption!AA623/1000/$C$3)</f>
        <v>#DIV/0!</v>
      </c>
      <c r="AG623" s="1040" t="e">
        <f>IF($F223="","",$F223*chronic_consumption!AB623/1000/$C$3)</f>
        <v>#DIV/0!</v>
      </c>
      <c r="AH623" s="1040" t="e">
        <f>IF($F223="","",$F223*chronic_consumption!AC623/1000/$C$3)</f>
        <v>#DIV/0!</v>
      </c>
      <c r="AI623" s="1040" t="e">
        <f>IF($F223="","",$F223*chronic_consumption!AD623/1000/$C$3)</f>
        <v>#DIV/0!</v>
      </c>
      <c r="AJ623" s="1040" t="e">
        <f>IF($F223="","",$F223*chronic_consumption!AE623/1000/$C$3)</f>
        <v>#DIV/0!</v>
      </c>
      <c r="AK623" s="1040" t="e">
        <f>IF($F223="","",$F223*chronic_consumption!AF623/1000/$C$3)</f>
        <v>#DIV/0!</v>
      </c>
      <c r="AL623" s="1040" t="e">
        <f>IF($F223="","",$F223*chronic_consumption!AG623/1000/$C$3)</f>
        <v>#DIV/0!</v>
      </c>
      <c r="AM623" s="1040" t="e">
        <f>IF($F223="","",$F223*chronic_consumption!AH623/1000/$C$3)</f>
        <v>#DIV/0!</v>
      </c>
      <c r="AN623" s="1040" t="e">
        <f>IF($F223="","",$F223*chronic_consumption!AI623/1000/$C$3)</f>
        <v>#DIV/0!</v>
      </c>
      <c r="AO623" s="1040" t="e">
        <f>IF($F223="","",$F223*chronic_consumption!AJ623/1000/$C$3)</f>
        <v>#DIV/0!</v>
      </c>
      <c r="AP623" s="1040" t="e">
        <f>IF($F223="","",$F223*chronic_consumption!AK623/1000/$C$3)</f>
        <v>#DIV/0!</v>
      </c>
      <c r="AQ623" s="1040" t="e">
        <f>IF($F223="","",$F223*chronic_consumption!AL623/1000/$C$3)</f>
        <v>#DIV/0!</v>
      </c>
      <c r="AR623" s="1040" t="e">
        <f>IF($F223="","",$F223*chronic_consumption!AM623/1000/$C$3)</f>
        <v>#DIV/0!</v>
      </c>
      <c r="AS623" s="1040" t="e">
        <f>IF($F223="","",$F223*chronic_consumption!AN623/1000/$C$3)</f>
        <v>#DIV/0!</v>
      </c>
      <c r="AT623" s="1040" t="e">
        <f>IF($F223="","",$F223*chronic_consumption!AO623/1000/$C$3)</f>
        <v>#DIV/0!</v>
      </c>
      <c r="AU623" s="1040" t="e">
        <f>IF($F223="","",$F223*chronic_consumption!AP623/1000/$C$3)</f>
        <v>#DIV/0!</v>
      </c>
      <c r="AV623" s="1040" t="e">
        <f>IF($F223="","",$F223*chronic_consumption!AQ623/1000/$C$3)</f>
        <v>#DIV/0!</v>
      </c>
      <c r="AW623" s="1040" t="e">
        <f>IF($F223="","",$F223*chronic_consumption!AR623/1000/$C$3)</f>
        <v>#DIV/0!</v>
      </c>
      <c r="AX623" s="1040" t="e">
        <f>IF($F223="","",$F223*chronic_consumption!AS623/1000/$C$3)</f>
        <v>#DIV/0!</v>
      </c>
      <c r="AY623" s="1040" t="e">
        <f>IF($F223="","",$F223*chronic_consumption!AT623/1000/$C$3)</f>
        <v>#DIV/0!</v>
      </c>
      <c r="AZ623" s="44" t="s">
        <v>20</v>
      </c>
      <c r="BC623" s="29"/>
      <c r="BD623" s="29"/>
    </row>
    <row r="624" spans="1:56" ht="12" hidden="1" customHeight="1" outlineLevel="3" x14ac:dyDescent="0.2">
      <c r="A624" s="21">
        <f>acute_overview_children!A224</f>
        <v>4</v>
      </c>
      <c r="B624" s="325">
        <f t="shared" si="46"/>
        <v>401050</v>
      </c>
      <c r="C624" s="325" t="str">
        <f t="shared" si="46"/>
        <v>Sunflower seeds</v>
      </c>
      <c r="D624" s="135"/>
      <c r="E624" s="1027"/>
      <c r="F624" s="87"/>
      <c r="G624" s="1027"/>
      <c r="H624" s="1029"/>
      <c r="I624" s="1030"/>
      <c r="J624" s="1039" t="e">
        <f>IF($F224="","",$F224*chronic_consumption!E624/1000/$C$3)</f>
        <v>#DIV/0!</v>
      </c>
      <c r="K624" s="1040" t="e">
        <f>IF($F224="","",$F224*chronic_consumption!F624/1000/$C$3)</f>
        <v>#DIV/0!</v>
      </c>
      <c r="L624" s="1040" t="e">
        <f>IF($F224="","",$F224*chronic_consumption!G624/1000/$C$3)</f>
        <v>#DIV/0!</v>
      </c>
      <c r="M624" s="1040" t="e">
        <f>IF($F224="","",$F224*chronic_consumption!H624/1000/$C$3)</f>
        <v>#DIV/0!</v>
      </c>
      <c r="N624" s="1040" t="e">
        <f>IF($F224="","",$F224*chronic_consumption!I624/1000/$C$3)</f>
        <v>#DIV/0!</v>
      </c>
      <c r="O624" s="1040" t="e">
        <f>IF($F224="","",$F224*chronic_consumption!J624/1000/$C$3)</f>
        <v>#DIV/0!</v>
      </c>
      <c r="P624" s="1040" t="e">
        <f>IF($F224="","",$F224*chronic_consumption!K624/1000/$C$3)</f>
        <v>#DIV/0!</v>
      </c>
      <c r="Q624" s="1040" t="e">
        <f>IF($F224="","",$F224*chronic_consumption!L624/1000/$C$3)</f>
        <v>#DIV/0!</v>
      </c>
      <c r="R624" s="1040" t="e">
        <f>IF($F224="","",$F224*chronic_consumption!M624/1000/$C$3)</f>
        <v>#DIV/0!</v>
      </c>
      <c r="S624" s="1040" t="e">
        <f>IF($F224="","",$F224*chronic_consumption!N624/1000/$C$3)</f>
        <v>#DIV/0!</v>
      </c>
      <c r="T624" s="1040" t="e">
        <f>IF($F224="","",$F224*chronic_consumption!O624/1000/$C$3)</f>
        <v>#DIV/0!</v>
      </c>
      <c r="U624" s="1040" t="e">
        <f>IF($F224="","",$F224*chronic_consumption!P624/1000/$C$3)</f>
        <v>#DIV/0!</v>
      </c>
      <c r="V624" s="1040" t="e">
        <f>IF($F224="","",$F224*chronic_consumption!Q624/1000/$C$3)</f>
        <v>#DIV/0!</v>
      </c>
      <c r="W624" s="1040" t="e">
        <f>IF($F224="","",$F224*chronic_consumption!R624/1000/$C$3)</f>
        <v>#DIV/0!</v>
      </c>
      <c r="X624" s="1040" t="e">
        <f>IF($F224="","",$F224*chronic_consumption!S624/1000/$C$3)</f>
        <v>#DIV/0!</v>
      </c>
      <c r="Y624" s="1040" t="e">
        <f>IF($F224="","",$F224*chronic_consumption!T624/1000/$C$3)</f>
        <v>#DIV/0!</v>
      </c>
      <c r="Z624" s="1040" t="e">
        <f>IF($F224="","",$F224*chronic_consumption!U624/1000/$C$3)</f>
        <v>#DIV/0!</v>
      </c>
      <c r="AA624" s="1040" t="e">
        <f>IF($F224="","",$F224*chronic_consumption!V624/1000/$C$3)</f>
        <v>#DIV/0!</v>
      </c>
      <c r="AB624" s="1040" t="e">
        <f>IF($F224="","",$F224*chronic_consumption!W624/1000/$C$3)</f>
        <v>#DIV/0!</v>
      </c>
      <c r="AC624" s="1040" t="e">
        <f>IF($F224="","",$F224*chronic_consumption!X624/1000/$C$3)</f>
        <v>#DIV/0!</v>
      </c>
      <c r="AD624" s="1040" t="e">
        <f>IF($F224="","",$F224*chronic_consumption!Y624/1000/$C$3)</f>
        <v>#DIV/0!</v>
      </c>
      <c r="AE624" s="1040" t="e">
        <f>IF($F224="","",$F224*chronic_consumption!Z624/1000/$C$3)</f>
        <v>#DIV/0!</v>
      </c>
      <c r="AF624" s="1040" t="e">
        <f>IF($F224="","",$F224*chronic_consumption!AA624/1000/$C$3)</f>
        <v>#DIV/0!</v>
      </c>
      <c r="AG624" s="1040" t="e">
        <f>IF($F224="","",$F224*chronic_consumption!AB624/1000/$C$3)</f>
        <v>#DIV/0!</v>
      </c>
      <c r="AH624" s="1040" t="e">
        <f>IF($F224="","",$F224*chronic_consumption!AC624/1000/$C$3)</f>
        <v>#DIV/0!</v>
      </c>
      <c r="AI624" s="1040" t="e">
        <f>IF($F224="","",$F224*chronic_consumption!AD624/1000/$C$3)</f>
        <v>#DIV/0!</v>
      </c>
      <c r="AJ624" s="1040" t="e">
        <f>IF($F224="","",$F224*chronic_consumption!AE624/1000/$C$3)</f>
        <v>#DIV/0!</v>
      </c>
      <c r="AK624" s="1040" t="e">
        <f>IF($F224="","",$F224*chronic_consumption!AF624/1000/$C$3)</f>
        <v>#DIV/0!</v>
      </c>
      <c r="AL624" s="1040" t="e">
        <f>IF($F224="","",$F224*chronic_consumption!AG624/1000/$C$3)</f>
        <v>#DIV/0!</v>
      </c>
      <c r="AM624" s="1040" t="e">
        <f>IF($F224="","",$F224*chronic_consumption!AH624/1000/$C$3)</f>
        <v>#DIV/0!</v>
      </c>
      <c r="AN624" s="1040" t="e">
        <f>IF($F224="","",$F224*chronic_consumption!AI624/1000/$C$3)</f>
        <v>#DIV/0!</v>
      </c>
      <c r="AO624" s="1040" t="e">
        <f>IF($F224="","",$F224*chronic_consumption!AJ624/1000/$C$3)</f>
        <v>#DIV/0!</v>
      </c>
      <c r="AP624" s="1040" t="e">
        <f>IF($F224="","",$F224*chronic_consumption!AK624/1000/$C$3)</f>
        <v>#DIV/0!</v>
      </c>
      <c r="AQ624" s="1040" t="e">
        <f>IF($F224="","",$F224*chronic_consumption!AL624/1000/$C$3)</f>
        <v>#DIV/0!</v>
      </c>
      <c r="AR624" s="1040" t="e">
        <f>IF($F224="","",$F224*chronic_consumption!AM624/1000/$C$3)</f>
        <v>#DIV/0!</v>
      </c>
      <c r="AS624" s="1040" t="e">
        <f>IF($F224="","",$F224*chronic_consumption!AN624/1000/$C$3)</f>
        <v>#DIV/0!</v>
      </c>
      <c r="AT624" s="1040" t="e">
        <f>IF($F224="","",$F224*chronic_consumption!AO624/1000/$C$3)</f>
        <v>#DIV/0!</v>
      </c>
      <c r="AU624" s="1040" t="e">
        <f>IF($F224="","",$F224*chronic_consumption!AP624/1000/$C$3)</f>
        <v>#DIV/0!</v>
      </c>
      <c r="AV624" s="1040" t="e">
        <f>IF($F224="","",$F224*chronic_consumption!AQ624/1000/$C$3)</f>
        <v>#DIV/0!</v>
      </c>
      <c r="AW624" s="1040" t="e">
        <f>IF($F224="","",$F224*chronic_consumption!AR624/1000/$C$3)</f>
        <v>#DIV/0!</v>
      </c>
      <c r="AX624" s="1040" t="e">
        <f>IF($F224="","",$F224*chronic_consumption!AS624/1000/$C$3)</f>
        <v>#DIV/0!</v>
      </c>
      <c r="AY624" s="1040" t="e">
        <f>IF($F224="","",$F224*chronic_consumption!AT624/1000/$C$3)</f>
        <v>#DIV/0!</v>
      </c>
      <c r="AZ624" s="44" t="s">
        <v>20</v>
      </c>
      <c r="BC624" s="29"/>
      <c r="BD624" s="29"/>
    </row>
    <row r="625" spans="1:56" ht="12" hidden="1" customHeight="1" outlineLevel="3" x14ac:dyDescent="0.2">
      <c r="A625" s="21">
        <f>acute_overview_children!A225</f>
        <v>4</v>
      </c>
      <c r="B625" s="325">
        <f t="shared" si="46"/>
        <v>401060</v>
      </c>
      <c r="C625" s="325" t="str">
        <f t="shared" si="46"/>
        <v>Rapeseeds/canola seeds</v>
      </c>
      <c r="D625" s="135"/>
      <c r="E625" s="1027"/>
      <c r="F625" s="87"/>
      <c r="G625" s="1027"/>
      <c r="H625" s="1029"/>
      <c r="I625" s="1030"/>
      <c r="J625" s="1039" t="e">
        <f>IF($F225="","",$F225*chronic_consumption!E625/1000/$C$3)</f>
        <v>#DIV/0!</v>
      </c>
      <c r="K625" s="1040" t="e">
        <f>IF($F225="","",$F225*chronic_consumption!F625/1000/$C$3)</f>
        <v>#DIV/0!</v>
      </c>
      <c r="L625" s="1040" t="e">
        <f>IF($F225="","",$F225*chronic_consumption!G625/1000/$C$3)</f>
        <v>#DIV/0!</v>
      </c>
      <c r="M625" s="1040" t="e">
        <f>IF($F225="","",$F225*chronic_consumption!H625/1000/$C$3)</f>
        <v>#DIV/0!</v>
      </c>
      <c r="N625" s="1040" t="e">
        <f>IF($F225="","",$F225*chronic_consumption!I625/1000/$C$3)</f>
        <v>#DIV/0!</v>
      </c>
      <c r="O625" s="1040" t="e">
        <f>IF($F225="","",$F225*chronic_consumption!J625/1000/$C$3)</f>
        <v>#DIV/0!</v>
      </c>
      <c r="P625" s="1040" t="e">
        <f>IF($F225="","",$F225*chronic_consumption!K625/1000/$C$3)</f>
        <v>#DIV/0!</v>
      </c>
      <c r="Q625" s="1040" t="e">
        <f>IF($F225="","",$F225*chronic_consumption!L625/1000/$C$3)</f>
        <v>#DIV/0!</v>
      </c>
      <c r="R625" s="1040" t="e">
        <f>IF($F225="","",$F225*chronic_consumption!M625/1000/$C$3)</f>
        <v>#DIV/0!</v>
      </c>
      <c r="S625" s="1040" t="e">
        <f>IF($F225="","",$F225*chronic_consumption!N625/1000/$C$3)</f>
        <v>#DIV/0!</v>
      </c>
      <c r="T625" s="1040" t="e">
        <f>IF($F225="","",$F225*chronic_consumption!O625/1000/$C$3)</f>
        <v>#DIV/0!</v>
      </c>
      <c r="U625" s="1040" t="e">
        <f>IF($F225="","",$F225*chronic_consumption!P625/1000/$C$3)</f>
        <v>#DIV/0!</v>
      </c>
      <c r="V625" s="1040" t="e">
        <f>IF($F225="","",$F225*chronic_consumption!Q625/1000/$C$3)</f>
        <v>#DIV/0!</v>
      </c>
      <c r="W625" s="1040" t="e">
        <f>IF($F225="","",$F225*chronic_consumption!R625/1000/$C$3)</f>
        <v>#DIV/0!</v>
      </c>
      <c r="X625" s="1040" t="e">
        <f>IF($F225="","",$F225*chronic_consumption!S625/1000/$C$3)</f>
        <v>#DIV/0!</v>
      </c>
      <c r="Y625" s="1040" t="e">
        <f>IF($F225="","",$F225*chronic_consumption!T625/1000/$C$3)</f>
        <v>#DIV/0!</v>
      </c>
      <c r="Z625" s="1040" t="e">
        <f>IF($F225="","",$F225*chronic_consumption!U625/1000/$C$3)</f>
        <v>#DIV/0!</v>
      </c>
      <c r="AA625" s="1040" t="e">
        <f>IF($F225="","",$F225*chronic_consumption!V625/1000/$C$3)</f>
        <v>#DIV/0!</v>
      </c>
      <c r="AB625" s="1040" t="e">
        <f>IF($F225="","",$F225*chronic_consumption!W625/1000/$C$3)</f>
        <v>#DIV/0!</v>
      </c>
      <c r="AC625" s="1040" t="e">
        <f>IF($F225="","",$F225*chronic_consumption!X625/1000/$C$3)</f>
        <v>#DIV/0!</v>
      </c>
      <c r="AD625" s="1040" t="e">
        <f>IF($F225="","",$F225*chronic_consumption!Y625/1000/$C$3)</f>
        <v>#DIV/0!</v>
      </c>
      <c r="AE625" s="1040" t="e">
        <f>IF($F225="","",$F225*chronic_consumption!Z625/1000/$C$3)</f>
        <v>#DIV/0!</v>
      </c>
      <c r="AF625" s="1040" t="e">
        <f>IF($F225="","",$F225*chronic_consumption!AA625/1000/$C$3)</f>
        <v>#DIV/0!</v>
      </c>
      <c r="AG625" s="1040" t="e">
        <f>IF($F225="","",$F225*chronic_consumption!AB625/1000/$C$3)</f>
        <v>#DIV/0!</v>
      </c>
      <c r="AH625" s="1040" t="e">
        <f>IF($F225="","",$F225*chronic_consumption!AC625/1000/$C$3)</f>
        <v>#DIV/0!</v>
      </c>
      <c r="AI625" s="1040" t="e">
        <f>IF($F225="","",$F225*chronic_consumption!AD625/1000/$C$3)</f>
        <v>#DIV/0!</v>
      </c>
      <c r="AJ625" s="1040" t="e">
        <f>IF($F225="","",$F225*chronic_consumption!AE625/1000/$C$3)</f>
        <v>#DIV/0!</v>
      </c>
      <c r="AK625" s="1040" t="e">
        <f>IF($F225="","",$F225*chronic_consumption!AF625/1000/$C$3)</f>
        <v>#DIV/0!</v>
      </c>
      <c r="AL625" s="1040" t="e">
        <f>IF($F225="","",$F225*chronic_consumption!AG625/1000/$C$3)</f>
        <v>#DIV/0!</v>
      </c>
      <c r="AM625" s="1040" t="e">
        <f>IF($F225="","",$F225*chronic_consumption!AH625/1000/$C$3)</f>
        <v>#DIV/0!</v>
      </c>
      <c r="AN625" s="1040" t="e">
        <f>IF($F225="","",$F225*chronic_consumption!AI625/1000/$C$3)</f>
        <v>#DIV/0!</v>
      </c>
      <c r="AO625" s="1040" t="e">
        <f>IF($F225="","",$F225*chronic_consumption!AJ625/1000/$C$3)</f>
        <v>#DIV/0!</v>
      </c>
      <c r="AP625" s="1040" t="e">
        <f>IF($F225="","",$F225*chronic_consumption!AK625/1000/$C$3)</f>
        <v>#DIV/0!</v>
      </c>
      <c r="AQ625" s="1040" t="e">
        <f>IF($F225="","",$F225*chronic_consumption!AL625/1000/$C$3)</f>
        <v>#DIV/0!</v>
      </c>
      <c r="AR625" s="1040" t="e">
        <f>IF($F225="","",$F225*chronic_consumption!AM625/1000/$C$3)</f>
        <v>#DIV/0!</v>
      </c>
      <c r="AS625" s="1040" t="e">
        <f>IF($F225="","",$F225*chronic_consumption!AN625/1000/$C$3)</f>
        <v>#DIV/0!</v>
      </c>
      <c r="AT625" s="1040" t="e">
        <f>IF($F225="","",$F225*chronic_consumption!AO625/1000/$C$3)</f>
        <v>#DIV/0!</v>
      </c>
      <c r="AU625" s="1040" t="e">
        <f>IF($F225="","",$F225*chronic_consumption!AP625/1000/$C$3)</f>
        <v>#DIV/0!</v>
      </c>
      <c r="AV625" s="1040" t="e">
        <f>IF($F225="","",$F225*chronic_consumption!AQ625/1000/$C$3)</f>
        <v>#DIV/0!</v>
      </c>
      <c r="AW625" s="1040" t="e">
        <f>IF($F225="","",$F225*chronic_consumption!AR625/1000/$C$3)</f>
        <v>#DIV/0!</v>
      </c>
      <c r="AX625" s="1040" t="e">
        <f>IF($F225="","",$F225*chronic_consumption!AS625/1000/$C$3)</f>
        <v>#DIV/0!</v>
      </c>
      <c r="AY625" s="1040" t="e">
        <f>IF($F225="","",$F225*chronic_consumption!AT625/1000/$C$3)</f>
        <v>#DIV/0!</v>
      </c>
      <c r="AZ625" s="44" t="s">
        <v>20</v>
      </c>
      <c r="BC625" s="29"/>
      <c r="BD625" s="29"/>
    </row>
    <row r="626" spans="1:56" ht="12" hidden="1" customHeight="1" outlineLevel="3" x14ac:dyDescent="0.2">
      <c r="A626" s="21">
        <f>acute_overview_children!A226</f>
        <v>4</v>
      </c>
      <c r="B626" s="325">
        <f t="shared" si="46"/>
        <v>401070</v>
      </c>
      <c r="C626" s="325" t="str">
        <f t="shared" si="46"/>
        <v>Soyabeans</v>
      </c>
      <c r="D626" s="135"/>
      <c r="E626" s="1027"/>
      <c r="F626" s="87"/>
      <c r="G626" s="1027"/>
      <c r="H626" s="1029"/>
      <c r="I626" s="1030"/>
      <c r="J626" s="1039" t="e">
        <f>IF($F226="","",$F226*chronic_consumption!E626/1000/$C$3)</f>
        <v>#DIV/0!</v>
      </c>
      <c r="K626" s="1040" t="e">
        <f>IF($F226="","",$F226*chronic_consumption!F626/1000/$C$3)</f>
        <v>#DIV/0!</v>
      </c>
      <c r="L626" s="1040" t="e">
        <f>IF($F226="","",$F226*chronic_consumption!G626/1000/$C$3)</f>
        <v>#DIV/0!</v>
      </c>
      <c r="M626" s="1040" t="e">
        <f>IF($F226="","",$F226*chronic_consumption!H626/1000/$C$3)</f>
        <v>#DIV/0!</v>
      </c>
      <c r="N626" s="1040" t="e">
        <f>IF($F226="","",$F226*chronic_consumption!I626/1000/$C$3)</f>
        <v>#DIV/0!</v>
      </c>
      <c r="O626" s="1040" t="e">
        <f>IF($F226="","",$F226*chronic_consumption!J626/1000/$C$3)</f>
        <v>#DIV/0!</v>
      </c>
      <c r="P626" s="1040" t="e">
        <f>IF($F226="","",$F226*chronic_consumption!K626/1000/$C$3)</f>
        <v>#DIV/0!</v>
      </c>
      <c r="Q626" s="1040" t="e">
        <f>IF($F226="","",$F226*chronic_consumption!L626/1000/$C$3)</f>
        <v>#DIV/0!</v>
      </c>
      <c r="R626" s="1040" t="e">
        <f>IF($F226="","",$F226*chronic_consumption!M626/1000/$C$3)</f>
        <v>#DIV/0!</v>
      </c>
      <c r="S626" s="1040" t="e">
        <f>IF($F226="","",$F226*chronic_consumption!N626/1000/$C$3)</f>
        <v>#DIV/0!</v>
      </c>
      <c r="T626" s="1040" t="e">
        <f>IF($F226="","",$F226*chronic_consumption!O626/1000/$C$3)</f>
        <v>#DIV/0!</v>
      </c>
      <c r="U626" s="1040" t="e">
        <f>IF($F226="","",$F226*chronic_consumption!P626/1000/$C$3)</f>
        <v>#DIV/0!</v>
      </c>
      <c r="V626" s="1040" t="e">
        <f>IF($F226="","",$F226*chronic_consumption!Q626/1000/$C$3)</f>
        <v>#DIV/0!</v>
      </c>
      <c r="W626" s="1040" t="e">
        <f>IF($F226="","",$F226*chronic_consumption!R626/1000/$C$3)</f>
        <v>#DIV/0!</v>
      </c>
      <c r="X626" s="1040" t="e">
        <f>IF($F226="","",$F226*chronic_consumption!S626/1000/$C$3)</f>
        <v>#DIV/0!</v>
      </c>
      <c r="Y626" s="1040" t="e">
        <f>IF($F226="","",$F226*chronic_consumption!T626/1000/$C$3)</f>
        <v>#DIV/0!</v>
      </c>
      <c r="Z626" s="1040" t="e">
        <f>IF($F226="","",$F226*chronic_consumption!U626/1000/$C$3)</f>
        <v>#DIV/0!</v>
      </c>
      <c r="AA626" s="1040" t="e">
        <f>IF($F226="","",$F226*chronic_consumption!V626/1000/$C$3)</f>
        <v>#DIV/0!</v>
      </c>
      <c r="AB626" s="1040" t="e">
        <f>IF($F226="","",$F226*chronic_consumption!W626/1000/$C$3)</f>
        <v>#DIV/0!</v>
      </c>
      <c r="AC626" s="1040" t="e">
        <f>IF($F226="","",$F226*chronic_consumption!X626/1000/$C$3)</f>
        <v>#DIV/0!</v>
      </c>
      <c r="AD626" s="1040" t="e">
        <f>IF($F226="","",$F226*chronic_consumption!Y626/1000/$C$3)</f>
        <v>#DIV/0!</v>
      </c>
      <c r="AE626" s="1040" t="e">
        <f>IF($F226="","",$F226*chronic_consumption!Z626/1000/$C$3)</f>
        <v>#DIV/0!</v>
      </c>
      <c r="AF626" s="1040" t="e">
        <f>IF($F226="","",$F226*chronic_consumption!AA626/1000/$C$3)</f>
        <v>#DIV/0!</v>
      </c>
      <c r="AG626" s="1040" t="e">
        <f>IF($F226="","",$F226*chronic_consumption!AB626/1000/$C$3)</f>
        <v>#DIV/0!</v>
      </c>
      <c r="AH626" s="1040" t="e">
        <f>IF($F226="","",$F226*chronic_consumption!AC626/1000/$C$3)</f>
        <v>#DIV/0!</v>
      </c>
      <c r="AI626" s="1040" t="e">
        <f>IF($F226="","",$F226*chronic_consumption!AD626/1000/$C$3)</f>
        <v>#DIV/0!</v>
      </c>
      <c r="AJ626" s="1040" t="e">
        <f>IF($F226="","",$F226*chronic_consumption!AE626/1000/$C$3)</f>
        <v>#DIV/0!</v>
      </c>
      <c r="AK626" s="1040" t="e">
        <f>IF($F226="","",$F226*chronic_consumption!AF626/1000/$C$3)</f>
        <v>#DIV/0!</v>
      </c>
      <c r="AL626" s="1040" t="e">
        <f>IF($F226="","",$F226*chronic_consumption!AG626/1000/$C$3)</f>
        <v>#DIV/0!</v>
      </c>
      <c r="AM626" s="1040" t="e">
        <f>IF($F226="","",$F226*chronic_consumption!AH626/1000/$C$3)</f>
        <v>#DIV/0!</v>
      </c>
      <c r="AN626" s="1040" t="e">
        <f>IF($F226="","",$F226*chronic_consumption!AI626/1000/$C$3)</f>
        <v>#DIV/0!</v>
      </c>
      <c r="AO626" s="1040" t="e">
        <f>IF($F226="","",$F226*chronic_consumption!AJ626/1000/$C$3)</f>
        <v>#DIV/0!</v>
      </c>
      <c r="AP626" s="1040" t="e">
        <f>IF($F226="","",$F226*chronic_consumption!AK626/1000/$C$3)</f>
        <v>#DIV/0!</v>
      </c>
      <c r="AQ626" s="1040" t="e">
        <f>IF($F226="","",$F226*chronic_consumption!AL626/1000/$C$3)</f>
        <v>#DIV/0!</v>
      </c>
      <c r="AR626" s="1040" t="e">
        <f>IF($F226="","",$F226*chronic_consumption!AM626/1000/$C$3)</f>
        <v>#DIV/0!</v>
      </c>
      <c r="AS626" s="1040" t="e">
        <f>IF($F226="","",$F226*chronic_consumption!AN626/1000/$C$3)</f>
        <v>#DIV/0!</v>
      </c>
      <c r="AT626" s="1040" t="e">
        <f>IF($F226="","",$F226*chronic_consumption!AO626/1000/$C$3)</f>
        <v>#DIV/0!</v>
      </c>
      <c r="AU626" s="1040" t="e">
        <f>IF($F226="","",$F226*chronic_consumption!AP626/1000/$C$3)</f>
        <v>#DIV/0!</v>
      </c>
      <c r="AV626" s="1040" t="e">
        <f>IF($F226="","",$F226*chronic_consumption!AQ626/1000/$C$3)</f>
        <v>#DIV/0!</v>
      </c>
      <c r="AW626" s="1040" t="e">
        <f>IF($F226="","",$F226*chronic_consumption!AR626/1000/$C$3)</f>
        <v>#DIV/0!</v>
      </c>
      <c r="AX626" s="1040" t="e">
        <f>IF($F226="","",$F226*chronic_consumption!AS626/1000/$C$3)</f>
        <v>#DIV/0!</v>
      </c>
      <c r="AY626" s="1040" t="e">
        <f>IF($F226="","",$F226*chronic_consumption!AT626/1000/$C$3)</f>
        <v>#DIV/0!</v>
      </c>
      <c r="AZ626" s="44" t="s">
        <v>20</v>
      </c>
      <c r="BC626" s="29"/>
      <c r="BD626" s="29"/>
    </row>
    <row r="627" spans="1:56" ht="12" hidden="1" customHeight="1" outlineLevel="3" x14ac:dyDescent="0.2">
      <c r="A627" s="21">
        <f>acute_overview_children!A227</f>
        <v>4</v>
      </c>
      <c r="B627" s="325">
        <f t="shared" si="46"/>
        <v>401080</v>
      </c>
      <c r="C627" s="325" t="str">
        <f t="shared" si="46"/>
        <v>Mustard seeds</v>
      </c>
      <c r="D627" s="135"/>
      <c r="E627" s="1027"/>
      <c r="F627" s="87"/>
      <c r="G627" s="1027"/>
      <c r="H627" s="1029"/>
      <c r="I627" s="1030"/>
      <c r="J627" s="1039" t="e">
        <f>IF($F227="","",$F227*chronic_consumption!E627/1000/$C$3)</f>
        <v>#DIV/0!</v>
      </c>
      <c r="K627" s="1040" t="e">
        <f>IF($F227="","",$F227*chronic_consumption!F627/1000/$C$3)</f>
        <v>#DIV/0!</v>
      </c>
      <c r="L627" s="1040" t="e">
        <f>IF($F227="","",$F227*chronic_consumption!G627/1000/$C$3)</f>
        <v>#DIV/0!</v>
      </c>
      <c r="M627" s="1040" t="e">
        <f>IF($F227="","",$F227*chronic_consumption!H627/1000/$C$3)</f>
        <v>#DIV/0!</v>
      </c>
      <c r="N627" s="1040" t="e">
        <f>IF($F227="","",$F227*chronic_consumption!I627/1000/$C$3)</f>
        <v>#DIV/0!</v>
      </c>
      <c r="O627" s="1040" t="e">
        <f>IF($F227="","",$F227*chronic_consumption!J627/1000/$C$3)</f>
        <v>#DIV/0!</v>
      </c>
      <c r="P627" s="1040" t="e">
        <f>IF($F227="","",$F227*chronic_consumption!K627/1000/$C$3)</f>
        <v>#DIV/0!</v>
      </c>
      <c r="Q627" s="1040" t="e">
        <f>IF($F227="","",$F227*chronic_consumption!L627/1000/$C$3)</f>
        <v>#DIV/0!</v>
      </c>
      <c r="R627" s="1040" t="e">
        <f>IF($F227="","",$F227*chronic_consumption!M627/1000/$C$3)</f>
        <v>#DIV/0!</v>
      </c>
      <c r="S627" s="1040" t="e">
        <f>IF($F227="","",$F227*chronic_consumption!N627/1000/$C$3)</f>
        <v>#DIV/0!</v>
      </c>
      <c r="T627" s="1040" t="e">
        <f>IF($F227="","",$F227*chronic_consumption!O627/1000/$C$3)</f>
        <v>#DIV/0!</v>
      </c>
      <c r="U627" s="1040" t="e">
        <f>IF($F227="","",$F227*chronic_consumption!P627/1000/$C$3)</f>
        <v>#DIV/0!</v>
      </c>
      <c r="V627" s="1040" t="e">
        <f>IF($F227="","",$F227*chronic_consumption!Q627/1000/$C$3)</f>
        <v>#DIV/0!</v>
      </c>
      <c r="W627" s="1040" t="e">
        <f>IF($F227="","",$F227*chronic_consumption!R627/1000/$C$3)</f>
        <v>#DIV/0!</v>
      </c>
      <c r="X627" s="1040" t="e">
        <f>IF($F227="","",$F227*chronic_consumption!S627/1000/$C$3)</f>
        <v>#DIV/0!</v>
      </c>
      <c r="Y627" s="1040" t="e">
        <f>IF($F227="","",$F227*chronic_consumption!T627/1000/$C$3)</f>
        <v>#DIV/0!</v>
      </c>
      <c r="Z627" s="1040" t="e">
        <f>IF($F227="","",$F227*chronic_consumption!U627/1000/$C$3)</f>
        <v>#DIV/0!</v>
      </c>
      <c r="AA627" s="1040" t="e">
        <f>IF($F227="","",$F227*chronic_consumption!V627/1000/$C$3)</f>
        <v>#DIV/0!</v>
      </c>
      <c r="AB627" s="1040" t="e">
        <f>IF($F227="","",$F227*chronic_consumption!W627/1000/$C$3)</f>
        <v>#DIV/0!</v>
      </c>
      <c r="AC627" s="1040" t="e">
        <f>IF($F227="","",$F227*chronic_consumption!X627/1000/$C$3)</f>
        <v>#DIV/0!</v>
      </c>
      <c r="AD627" s="1040" t="e">
        <f>IF($F227="","",$F227*chronic_consumption!Y627/1000/$C$3)</f>
        <v>#DIV/0!</v>
      </c>
      <c r="AE627" s="1040" t="e">
        <f>IF($F227="","",$F227*chronic_consumption!Z627/1000/$C$3)</f>
        <v>#DIV/0!</v>
      </c>
      <c r="AF627" s="1040" t="e">
        <f>IF($F227="","",$F227*chronic_consumption!AA627/1000/$C$3)</f>
        <v>#DIV/0!</v>
      </c>
      <c r="AG627" s="1040" t="e">
        <f>IF($F227="","",$F227*chronic_consumption!AB627/1000/$C$3)</f>
        <v>#DIV/0!</v>
      </c>
      <c r="AH627" s="1040" t="e">
        <f>IF($F227="","",$F227*chronic_consumption!AC627/1000/$C$3)</f>
        <v>#DIV/0!</v>
      </c>
      <c r="AI627" s="1040" t="e">
        <f>IF($F227="","",$F227*chronic_consumption!AD627/1000/$C$3)</f>
        <v>#DIV/0!</v>
      </c>
      <c r="AJ627" s="1040" t="e">
        <f>IF($F227="","",$F227*chronic_consumption!AE627/1000/$C$3)</f>
        <v>#DIV/0!</v>
      </c>
      <c r="AK627" s="1040" t="e">
        <f>IF($F227="","",$F227*chronic_consumption!AF627/1000/$C$3)</f>
        <v>#DIV/0!</v>
      </c>
      <c r="AL627" s="1040" t="e">
        <f>IF($F227="","",$F227*chronic_consumption!AG627/1000/$C$3)</f>
        <v>#DIV/0!</v>
      </c>
      <c r="AM627" s="1040" t="e">
        <f>IF($F227="","",$F227*chronic_consumption!AH627/1000/$C$3)</f>
        <v>#DIV/0!</v>
      </c>
      <c r="AN627" s="1040" t="e">
        <f>IF($F227="","",$F227*chronic_consumption!AI627/1000/$C$3)</f>
        <v>#DIV/0!</v>
      </c>
      <c r="AO627" s="1040" t="e">
        <f>IF($F227="","",$F227*chronic_consumption!AJ627/1000/$C$3)</f>
        <v>#DIV/0!</v>
      </c>
      <c r="AP627" s="1040" t="e">
        <f>IF($F227="","",$F227*chronic_consumption!AK627/1000/$C$3)</f>
        <v>#DIV/0!</v>
      </c>
      <c r="AQ627" s="1040" t="e">
        <f>IF($F227="","",$F227*chronic_consumption!AL627/1000/$C$3)</f>
        <v>#DIV/0!</v>
      </c>
      <c r="AR627" s="1040" t="e">
        <f>IF($F227="","",$F227*chronic_consumption!AM627/1000/$C$3)</f>
        <v>#DIV/0!</v>
      </c>
      <c r="AS627" s="1040" t="e">
        <f>IF($F227="","",$F227*chronic_consumption!AN627/1000/$C$3)</f>
        <v>#DIV/0!</v>
      </c>
      <c r="AT627" s="1040" t="e">
        <f>IF($F227="","",$F227*chronic_consumption!AO627/1000/$C$3)</f>
        <v>#DIV/0!</v>
      </c>
      <c r="AU627" s="1040" t="e">
        <f>IF($F227="","",$F227*chronic_consumption!AP627/1000/$C$3)</f>
        <v>#DIV/0!</v>
      </c>
      <c r="AV627" s="1040" t="e">
        <f>IF($F227="","",$F227*chronic_consumption!AQ627/1000/$C$3)</f>
        <v>#DIV/0!</v>
      </c>
      <c r="AW627" s="1040" t="e">
        <f>IF($F227="","",$F227*chronic_consumption!AR627/1000/$C$3)</f>
        <v>#DIV/0!</v>
      </c>
      <c r="AX627" s="1040" t="e">
        <f>IF($F227="","",$F227*chronic_consumption!AS627/1000/$C$3)</f>
        <v>#DIV/0!</v>
      </c>
      <c r="AY627" s="1040" t="e">
        <f>IF($F227="","",$F227*chronic_consumption!AT627/1000/$C$3)</f>
        <v>#DIV/0!</v>
      </c>
      <c r="AZ627" s="44" t="s">
        <v>20</v>
      </c>
      <c r="BC627" s="29"/>
      <c r="BD627" s="29"/>
    </row>
    <row r="628" spans="1:56" ht="12" hidden="1" customHeight="1" outlineLevel="3" x14ac:dyDescent="0.2">
      <c r="A628" s="21">
        <f>acute_overview_children!A228</f>
        <v>4</v>
      </c>
      <c r="B628" s="325">
        <f t="shared" si="46"/>
        <v>401090</v>
      </c>
      <c r="C628" s="325" t="str">
        <f t="shared" si="46"/>
        <v>Cotton seeds</v>
      </c>
      <c r="D628" s="135"/>
      <c r="E628" s="1027"/>
      <c r="F628" s="87"/>
      <c r="G628" s="1027"/>
      <c r="H628" s="1029"/>
      <c r="I628" s="1030"/>
      <c r="J628" s="1039" t="e">
        <f>IF($F228="","",$F228*chronic_consumption!E628/1000/$C$3)</f>
        <v>#DIV/0!</v>
      </c>
      <c r="K628" s="1040" t="e">
        <f>IF($F228="","",$F228*chronic_consumption!F628/1000/$C$3)</f>
        <v>#DIV/0!</v>
      </c>
      <c r="L628" s="1040" t="e">
        <f>IF($F228="","",$F228*chronic_consumption!G628/1000/$C$3)</f>
        <v>#DIV/0!</v>
      </c>
      <c r="M628" s="1040" t="e">
        <f>IF($F228="","",$F228*chronic_consumption!H628/1000/$C$3)</f>
        <v>#DIV/0!</v>
      </c>
      <c r="N628" s="1040" t="e">
        <f>IF($F228="","",$F228*chronic_consumption!I628/1000/$C$3)</f>
        <v>#DIV/0!</v>
      </c>
      <c r="O628" s="1040" t="e">
        <f>IF($F228="","",$F228*chronic_consumption!J628/1000/$C$3)</f>
        <v>#DIV/0!</v>
      </c>
      <c r="P628" s="1040" t="e">
        <f>IF($F228="","",$F228*chronic_consumption!K628/1000/$C$3)</f>
        <v>#DIV/0!</v>
      </c>
      <c r="Q628" s="1040" t="e">
        <f>IF($F228="","",$F228*chronic_consumption!L628/1000/$C$3)</f>
        <v>#DIV/0!</v>
      </c>
      <c r="R628" s="1040" t="e">
        <f>IF($F228="","",$F228*chronic_consumption!M628/1000/$C$3)</f>
        <v>#DIV/0!</v>
      </c>
      <c r="S628" s="1040" t="e">
        <f>IF($F228="","",$F228*chronic_consumption!N628/1000/$C$3)</f>
        <v>#DIV/0!</v>
      </c>
      <c r="T628" s="1040" t="e">
        <f>IF($F228="","",$F228*chronic_consumption!O628/1000/$C$3)</f>
        <v>#DIV/0!</v>
      </c>
      <c r="U628" s="1040" t="e">
        <f>IF($F228="","",$F228*chronic_consumption!P628/1000/$C$3)</f>
        <v>#DIV/0!</v>
      </c>
      <c r="V628" s="1040" t="e">
        <f>IF($F228="","",$F228*chronic_consumption!Q628/1000/$C$3)</f>
        <v>#DIV/0!</v>
      </c>
      <c r="W628" s="1040" t="e">
        <f>IF($F228="","",$F228*chronic_consumption!R628/1000/$C$3)</f>
        <v>#DIV/0!</v>
      </c>
      <c r="X628" s="1040" t="e">
        <f>IF($F228="","",$F228*chronic_consumption!S628/1000/$C$3)</f>
        <v>#DIV/0!</v>
      </c>
      <c r="Y628" s="1040" t="e">
        <f>IF($F228="","",$F228*chronic_consumption!T628/1000/$C$3)</f>
        <v>#DIV/0!</v>
      </c>
      <c r="Z628" s="1040" t="e">
        <f>IF($F228="","",$F228*chronic_consumption!U628/1000/$C$3)</f>
        <v>#DIV/0!</v>
      </c>
      <c r="AA628" s="1040" t="e">
        <f>IF($F228="","",$F228*chronic_consumption!V628/1000/$C$3)</f>
        <v>#DIV/0!</v>
      </c>
      <c r="AB628" s="1040" t="e">
        <f>IF($F228="","",$F228*chronic_consumption!W628/1000/$C$3)</f>
        <v>#DIV/0!</v>
      </c>
      <c r="AC628" s="1040" t="e">
        <f>IF($F228="","",$F228*chronic_consumption!X628/1000/$C$3)</f>
        <v>#DIV/0!</v>
      </c>
      <c r="AD628" s="1040" t="e">
        <f>IF($F228="","",$F228*chronic_consumption!Y628/1000/$C$3)</f>
        <v>#DIV/0!</v>
      </c>
      <c r="AE628" s="1040" t="e">
        <f>IF($F228="","",$F228*chronic_consumption!Z628/1000/$C$3)</f>
        <v>#DIV/0!</v>
      </c>
      <c r="AF628" s="1040" t="e">
        <f>IF($F228="","",$F228*chronic_consumption!AA628/1000/$C$3)</f>
        <v>#DIV/0!</v>
      </c>
      <c r="AG628" s="1040" t="e">
        <f>IF($F228="","",$F228*chronic_consumption!AB628/1000/$C$3)</f>
        <v>#DIV/0!</v>
      </c>
      <c r="AH628" s="1040" t="e">
        <f>IF($F228="","",$F228*chronic_consumption!AC628/1000/$C$3)</f>
        <v>#DIV/0!</v>
      </c>
      <c r="AI628" s="1040" t="e">
        <f>IF($F228="","",$F228*chronic_consumption!AD628/1000/$C$3)</f>
        <v>#DIV/0!</v>
      </c>
      <c r="AJ628" s="1040" t="e">
        <f>IF($F228="","",$F228*chronic_consumption!AE628/1000/$C$3)</f>
        <v>#DIV/0!</v>
      </c>
      <c r="AK628" s="1040" t="e">
        <f>IF($F228="","",$F228*chronic_consumption!AF628/1000/$C$3)</f>
        <v>#DIV/0!</v>
      </c>
      <c r="AL628" s="1040" t="e">
        <f>IF($F228="","",$F228*chronic_consumption!AG628/1000/$C$3)</f>
        <v>#DIV/0!</v>
      </c>
      <c r="AM628" s="1040" t="e">
        <f>IF($F228="","",$F228*chronic_consumption!AH628/1000/$C$3)</f>
        <v>#DIV/0!</v>
      </c>
      <c r="AN628" s="1040" t="e">
        <f>IF($F228="","",$F228*chronic_consumption!AI628/1000/$C$3)</f>
        <v>#DIV/0!</v>
      </c>
      <c r="AO628" s="1040" t="e">
        <f>IF($F228="","",$F228*chronic_consumption!AJ628/1000/$C$3)</f>
        <v>#DIV/0!</v>
      </c>
      <c r="AP628" s="1040" t="e">
        <f>IF($F228="","",$F228*chronic_consumption!AK628/1000/$C$3)</f>
        <v>#DIV/0!</v>
      </c>
      <c r="AQ628" s="1040" t="e">
        <f>IF($F228="","",$F228*chronic_consumption!AL628/1000/$C$3)</f>
        <v>#DIV/0!</v>
      </c>
      <c r="AR628" s="1040" t="e">
        <f>IF($F228="","",$F228*chronic_consumption!AM628/1000/$C$3)</f>
        <v>#DIV/0!</v>
      </c>
      <c r="AS628" s="1040" t="e">
        <f>IF($F228="","",$F228*chronic_consumption!AN628/1000/$C$3)</f>
        <v>#DIV/0!</v>
      </c>
      <c r="AT628" s="1040" t="e">
        <f>IF($F228="","",$F228*chronic_consumption!AO628/1000/$C$3)</f>
        <v>#DIV/0!</v>
      </c>
      <c r="AU628" s="1040" t="e">
        <f>IF($F228="","",$F228*chronic_consumption!AP628/1000/$C$3)</f>
        <v>#DIV/0!</v>
      </c>
      <c r="AV628" s="1040" t="e">
        <f>IF($F228="","",$F228*chronic_consumption!AQ628/1000/$C$3)</f>
        <v>#DIV/0!</v>
      </c>
      <c r="AW628" s="1040" t="e">
        <f>IF($F228="","",$F228*chronic_consumption!AR628/1000/$C$3)</f>
        <v>#DIV/0!</v>
      </c>
      <c r="AX628" s="1040" t="e">
        <f>IF($F228="","",$F228*chronic_consumption!AS628/1000/$C$3)</f>
        <v>#DIV/0!</v>
      </c>
      <c r="AY628" s="1040" t="e">
        <f>IF($F228="","",$F228*chronic_consumption!AT628/1000/$C$3)</f>
        <v>#DIV/0!</v>
      </c>
      <c r="AZ628" s="44" t="s">
        <v>20</v>
      </c>
      <c r="BC628" s="29"/>
      <c r="BD628" s="29"/>
    </row>
    <row r="629" spans="1:56" ht="12" hidden="1" customHeight="1" outlineLevel="3" x14ac:dyDescent="0.2">
      <c r="A629" s="21">
        <f>acute_overview_children!A229</f>
        <v>4</v>
      </c>
      <c r="B629" s="325">
        <f t="shared" si="46"/>
        <v>401100</v>
      </c>
      <c r="C629" s="325" t="str">
        <f t="shared" si="46"/>
        <v>Pumpkin seeds</v>
      </c>
      <c r="D629" s="135"/>
      <c r="E629" s="1027"/>
      <c r="F629" s="87"/>
      <c r="G629" s="1027"/>
      <c r="H629" s="1029"/>
      <c r="I629" s="1030"/>
      <c r="J629" s="1039" t="e">
        <f>IF($F229="","",$F229*chronic_consumption!E629/1000/$C$3)</f>
        <v>#DIV/0!</v>
      </c>
      <c r="K629" s="1040" t="e">
        <f>IF($F229="","",$F229*chronic_consumption!F629/1000/$C$3)</f>
        <v>#DIV/0!</v>
      </c>
      <c r="L629" s="1040" t="e">
        <f>IF($F229="","",$F229*chronic_consumption!G629/1000/$C$3)</f>
        <v>#DIV/0!</v>
      </c>
      <c r="M629" s="1040" t="e">
        <f>IF($F229="","",$F229*chronic_consumption!H629/1000/$C$3)</f>
        <v>#DIV/0!</v>
      </c>
      <c r="N629" s="1040" t="e">
        <f>IF($F229="","",$F229*chronic_consumption!I629/1000/$C$3)</f>
        <v>#DIV/0!</v>
      </c>
      <c r="O629" s="1040" t="e">
        <f>IF($F229="","",$F229*chronic_consumption!J629/1000/$C$3)</f>
        <v>#DIV/0!</v>
      </c>
      <c r="P629" s="1040" t="e">
        <f>IF($F229="","",$F229*chronic_consumption!K629/1000/$C$3)</f>
        <v>#DIV/0!</v>
      </c>
      <c r="Q629" s="1040" t="e">
        <f>IF($F229="","",$F229*chronic_consumption!L629/1000/$C$3)</f>
        <v>#DIV/0!</v>
      </c>
      <c r="R629" s="1040" t="e">
        <f>IF($F229="","",$F229*chronic_consumption!M629/1000/$C$3)</f>
        <v>#DIV/0!</v>
      </c>
      <c r="S629" s="1040" t="e">
        <f>IF($F229="","",$F229*chronic_consumption!N629/1000/$C$3)</f>
        <v>#DIV/0!</v>
      </c>
      <c r="T629" s="1040" t="e">
        <f>IF($F229="","",$F229*chronic_consumption!O629/1000/$C$3)</f>
        <v>#DIV/0!</v>
      </c>
      <c r="U629" s="1040" t="e">
        <f>IF($F229="","",$F229*chronic_consumption!P629/1000/$C$3)</f>
        <v>#DIV/0!</v>
      </c>
      <c r="V629" s="1040" t="e">
        <f>IF($F229="","",$F229*chronic_consumption!Q629/1000/$C$3)</f>
        <v>#DIV/0!</v>
      </c>
      <c r="W629" s="1040" t="e">
        <f>IF($F229="","",$F229*chronic_consumption!R629/1000/$C$3)</f>
        <v>#DIV/0!</v>
      </c>
      <c r="X629" s="1040" t="e">
        <f>IF($F229="","",$F229*chronic_consumption!S629/1000/$C$3)</f>
        <v>#DIV/0!</v>
      </c>
      <c r="Y629" s="1040" t="e">
        <f>IF($F229="","",$F229*chronic_consumption!T629/1000/$C$3)</f>
        <v>#DIV/0!</v>
      </c>
      <c r="Z629" s="1040" t="e">
        <f>IF($F229="","",$F229*chronic_consumption!U629/1000/$C$3)</f>
        <v>#DIV/0!</v>
      </c>
      <c r="AA629" s="1040" t="e">
        <f>IF($F229="","",$F229*chronic_consumption!V629/1000/$C$3)</f>
        <v>#DIV/0!</v>
      </c>
      <c r="AB629" s="1040" t="e">
        <f>IF($F229="","",$F229*chronic_consumption!W629/1000/$C$3)</f>
        <v>#DIV/0!</v>
      </c>
      <c r="AC629" s="1040" t="e">
        <f>IF($F229="","",$F229*chronic_consumption!X629/1000/$C$3)</f>
        <v>#DIV/0!</v>
      </c>
      <c r="AD629" s="1040" t="e">
        <f>IF($F229="","",$F229*chronic_consumption!Y629/1000/$C$3)</f>
        <v>#DIV/0!</v>
      </c>
      <c r="AE629" s="1040" t="e">
        <f>IF($F229="","",$F229*chronic_consumption!Z629/1000/$C$3)</f>
        <v>#DIV/0!</v>
      </c>
      <c r="AF629" s="1040" t="e">
        <f>IF($F229="","",$F229*chronic_consumption!AA629/1000/$C$3)</f>
        <v>#DIV/0!</v>
      </c>
      <c r="AG629" s="1040" t="e">
        <f>IF($F229="","",$F229*chronic_consumption!AB629/1000/$C$3)</f>
        <v>#DIV/0!</v>
      </c>
      <c r="AH629" s="1040" t="e">
        <f>IF($F229="","",$F229*chronic_consumption!AC629/1000/$C$3)</f>
        <v>#DIV/0!</v>
      </c>
      <c r="AI629" s="1040" t="e">
        <f>IF($F229="","",$F229*chronic_consumption!AD629/1000/$C$3)</f>
        <v>#DIV/0!</v>
      </c>
      <c r="AJ629" s="1040" t="e">
        <f>IF($F229="","",$F229*chronic_consumption!AE629/1000/$C$3)</f>
        <v>#DIV/0!</v>
      </c>
      <c r="AK629" s="1040" t="e">
        <f>IF($F229="","",$F229*chronic_consumption!AF629/1000/$C$3)</f>
        <v>#DIV/0!</v>
      </c>
      <c r="AL629" s="1040" t="e">
        <f>IF($F229="","",$F229*chronic_consumption!AG629/1000/$C$3)</f>
        <v>#DIV/0!</v>
      </c>
      <c r="AM629" s="1040" t="e">
        <f>IF($F229="","",$F229*chronic_consumption!AH629/1000/$C$3)</f>
        <v>#DIV/0!</v>
      </c>
      <c r="AN629" s="1040" t="e">
        <f>IF($F229="","",$F229*chronic_consumption!AI629/1000/$C$3)</f>
        <v>#DIV/0!</v>
      </c>
      <c r="AO629" s="1040" t="e">
        <f>IF($F229="","",$F229*chronic_consumption!AJ629/1000/$C$3)</f>
        <v>#DIV/0!</v>
      </c>
      <c r="AP629" s="1040" t="e">
        <f>IF($F229="","",$F229*chronic_consumption!AK629/1000/$C$3)</f>
        <v>#DIV/0!</v>
      </c>
      <c r="AQ629" s="1040" t="e">
        <f>IF($F229="","",$F229*chronic_consumption!AL629/1000/$C$3)</f>
        <v>#DIV/0!</v>
      </c>
      <c r="AR629" s="1040" t="e">
        <f>IF($F229="","",$F229*chronic_consumption!AM629/1000/$C$3)</f>
        <v>#DIV/0!</v>
      </c>
      <c r="AS629" s="1040" t="e">
        <f>IF($F229="","",$F229*chronic_consumption!AN629/1000/$C$3)</f>
        <v>#DIV/0!</v>
      </c>
      <c r="AT629" s="1040" t="e">
        <f>IF($F229="","",$F229*chronic_consumption!AO629/1000/$C$3)</f>
        <v>#DIV/0!</v>
      </c>
      <c r="AU629" s="1040" t="e">
        <f>IF($F229="","",$F229*chronic_consumption!AP629/1000/$C$3)</f>
        <v>#DIV/0!</v>
      </c>
      <c r="AV629" s="1040" t="e">
        <f>IF($F229="","",$F229*chronic_consumption!AQ629/1000/$C$3)</f>
        <v>#DIV/0!</v>
      </c>
      <c r="AW629" s="1040" t="e">
        <f>IF($F229="","",$F229*chronic_consumption!AR629/1000/$C$3)</f>
        <v>#DIV/0!</v>
      </c>
      <c r="AX629" s="1040" t="e">
        <f>IF($F229="","",$F229*chronic_consumption!AS629/1000/$C$3)</f>
        <v>#DIV/0!</v>
      </c>
      <c r="AY629" s="1040" t="e">
        <f>IF($F229="","",$F229*chronic_consumption!AT629/1000/$C$3)</f>
        <v>#DIV/0!</v>
      </c>
      <c r="AZ629" s="44" t="s">
        <v>20</v>
      </c>
      <c r="BC629" s="29"/>
      <c r="BD629" s="29"/>
    </row>
    <row r="630" spans="1:56" ht="12" hidden="1" customHeight="1" outlineLevel="3" x14ac:dyDescent="0.2">
      <c r="A630" s="21">
        <f>acute_overview_children!A230</f>
        <v>4</v>
      </c>
      <c r="B630" s="325">
        <f t="shared" si="46"/>
        <v>401110</v>
      </c>
      <c r="C630" s="325" t="str">
        <f t="shared" si="46"/>
        <v>Safflower seeds</v>
      </c>
      <c r="D630" s="135"/>
      <c r="E630" s="1027"/>
      <c r="F630" s="87"/>
      <c r="G630" s="1027"/>
      <c r="H630" s="1029"/>
      <c r="I630" s="1030"/>
      <c r="J630" s="1039" t="e">
        <f>IF($F230="","",$F230*chronic_consumption!E630/1000/$C$3)</f>
        <v>#DIV/0!</v>
      </c>
      <c r="K630" s="1040" t="e">
        <f>IF($F230="","",$F230*chronic_consumption!F630/1000/$C$3)</f>
        <v>#DIV/0!</v>
      </c>
      <c r="L630" s="1040" t="e">
        <f>IF($F230="","",$F230*chronic_consumption!G630/1000/$C$3)</f>
        <v>#DIV/0!</v>
      </c>
      <c r="M630" s="1040" t="e">
        <f>IF($F230="","",$F230*chronic_consumption!H630/1000/$C$3)</f>
        <v>#DIV/0!</v>
      </c>
      <c r="N630" s="1040" t="e">
        <f>IF($F230="","",$F230*chronic_consumption!I630/1000/$C$3)</f>
        <v>#DIV/0!</v>
      </c>
      <c r="O630" s="1040" t="e">
        <f>IF($F230="","",$F230*chronic_consumption!J630/1000/$C$3)</f>
        <v>#DIV/0!</v>
      </c>
      <c r="P630" s="1040" t="e">
        <f>IF($F230="","",$F230*chronic_consumption!K630/1000/$C$3)</f>
        <v>#DIV/0!</v>
      </c>
      <c r="Q630" s="1040" t="e">
        <f>IF($F230="","",$F230*chronic_consumption!L630/1000/$C$3)</f>
        <v>#DIV/0!</v>
      </c>
      <c r="R630" s="1040" t="e">
        <f>IF($F230="","",$F230*chronic_consumption!M630/1000/$C$3)</f>
        <v>#DIV/0!</v>
      </c>
      <c r="S630" s="1040" t="e">
        <f>IF($F230="","",$F230*chronic_consumption!N630/1000/$C$3)</f>
        <v>#DIV/0!</v>
      </c>
      <c r="T630" s="1040" t="e">
        <f>IF($F230="","",$F230*chronic_consumption!O630/1000/$C$3)</f>
        <v>#DIV/0!</v>
      </c>
      <c r="U630" s="1040" t="e">
        <f>IF($F230="","",$F230*chronic_consumption!P630/1000/$C$3)</f>
        <v>#DIV/0!</v>
      </c>
      <c r="V630" s="1040" t="e">
        <f>IF($F230="","",$F230*chronic_consumption!Q630/1000/$C$3)</f>
        <v>#DIV/0!</v>
      </c>
      <c r="W630" s="1040" t="e">
        <f>IF($F230="","",$F230*chronic_consumption!R630/1000/$C$3)</f>
        <v>#DIV/0!</v>
      </c>
      <c r="X630" s="1040" t="e">
        <f>IF($F230="","",$F230*chronic_consumption!S630/1000/$C$3)</f>
        <v>#DIV/0!</v>
      </c>
      <c r="Y630" s="1040" t="e">
        <f>IF($F230="","",$F230*chronic_consumption!T630/1000/$C$3)</f>
        <v>#DIV/0!</v>
      </c>
      <c r="Z630" s="1040" t="e">
        <f>IF($F230="","",$F230*chronic_consumption!U630/1000/$C$3)</f>
        <v>#DIV/0!</v>
      </c>
      <c r="AA630" s="1040" t="e">
        <f>IF($F230="","",$F230*chronic_consumption!V630/1000/$C$3)</f>
        <v>#DIV/0!</v>
      </c>
      <c r="AB630" s="1040" t="e">
        <f>IF($F230="","",$F230*chronic_consumption!W630/1000/$C$3)</f>
        <v>#DIV/0!</v>
      </c>
      <c r="AC630" s="1040" t="e">
        <f>IF($F230="","",$F230*chronic_consumption!X630/1000/$C$3)</f>
        <v>#DIV/0!</v>
      </c>
      <c r="AD630" s="1040" t="e">
        <f>IF($F230="","",$F230*chronic_consumption!Y630/1000/$C$3)</f>
        <v>#DIV/0!</v>
      </c>
      <c r="AE630" s="1040" t="e">
        <f>IF($F230="","",$F230*chronic_consumption!Z630/1000/$C$3)</f>
        <v>#DIV/0!</v>
      </c>
      <c r="AF630" s="1040" t="e">
        <f>IF($F230="","",$F230*chronic_consumption!AA630/1000/$C$3)</f>
        <v>#DIV/0!</v>
      </c>
      <c r="AG630" s="1040" t="e">
        <f>IF($F230="","",$F230*chronic_consumption!AB630/1000/$C$3)</f>
        <v>#DIV/0!</v>
      </c>
      <c r="AH630" s="1040" t="e">
        <f>IF($F230="","",$F230*chronic_consumption!AC630/1000/$C$3)</f>
        <v>#DIV/0!</v>
      </c>
      <c r="AI630" s="1040" t="e">
        <f>IF($F230="","",$F230*chronic_consumption!AD630/1000/$C$3)</f>
        <v>#DIV/0!</v>
      </c>
      <c r="AJ630" s="1040" t="e">
        <f>IF($F230="","",$F230*chronic_consumption!AE630/1000/$C$3)</f>
        <v>#DIV/0!</v>
      </c>
      <c r="AK630" s="1040" t="e">
        <f>IF($F230="","",$F230*chronic_consumption!AF630/1000/$C$3)</f>
        <v>#DIV/0!</v>
      </c>
      <c r="AL630" s="1040" t="e">
        <f>IF($F230="","",$F230*chronic_consumption!AG630/1000/$C$3)</f>
        <v>#DIV/0!</v>
      </c>
      <c r="AM630" s="1040" t="e">
        <f>IF($F230="","",$F230*chronic_consumption!AH630/1000/$C$3)</f>
        <v>#DIV/0!</v>
      </c>
      <c r="AN630" s="1040" t="e">
        <f>IF($F230="","",$F230*chronic_consumption!AI630/1000/$C$3)</f>
        <v>#DIV/0!</v>
      </c>
      <c r="AO630" s="1040" t="e">
        <f>IF($F230="","",$F230*chronic_consumption!AJ630/1000/$C$3)</f>
        <v>#DIV/0!</v>
      </c>
      <c r="AP630" s="1040" t="e">
        <f>IF($F230="","",$F230*chronic_consumption!AK630/1000/$C$3)</f>
        <v>#DIV/0!</v>
      </c>
      <c r="AQ630" s="1040" t="e">
        <f>IF($F230="","",$F230*chronic_consumption!AL630/1000/$C$3)</f>
        <v>#DIV/0!</v>
      </c>
      <c r="AR630" s="1040" t="e">
        <f>IF($F230="","",$F230*chronic_consumption!AM630/1000/$C$3)</f>
        <v>#DIV/0!</v>
      </c>
      <c r="AS630" s="1040" t="e">
        <f>IF($F230="","",$F230*chronic_consumption!AN630/1000/$C$3)</f>
        <v>#DIV/0!</v>
      </c>
      <c r="AT630" s="1040" t="e">
        <f>IF($F230="","",$F230*chronic_consumption!AO630/1000/$C$3)</f>
        <v>#DIV/0!</v>
      </c>
      <c r="AU630" s="1040" t="e">
        <f>IF($F230="","",$F230*chronic_consumption!AP630/1000/$C$3)</f>
        <v>#DIV/0!</v>
      </c>
      <c r="AV630" s="1040" t="e">
        <f>IF($F230="","",$F230*chronic_consumption!AQ630/1000/$C$3)</f>
        <v>#DIV/0!</v>
      </c>
      <c r="AW630" s="1040" t="e">
        <f>IF($F230="","",$F230*chronic_consumption!AR630/1000/$C$3)</f>
        <v>#DIV/0!</v>
      </c>
      <c r="AX630" s="1040" t="e">
        <f>IF($F230="","",$F230*chronic_consumption!AS630/1000/$C$3)</f>
        <v>#DIV/0!</v>
      </c>
      <c r="AY630" s="1040" t="e">
        <f>IF($F230="","",$F230*chronic_consumption!AT630/1000/$C$3)</f>
        <v>#DIV/0!</v>
      </c>
      <c r="AZ630" s="44" t="s">
        <v>20</v>
      </c>
      <c r="BC630" s="29"/>
      <c r="BD630" s="29"/>
    </row>
    <row r="631" spans="1:56" ht="12" hidden="1" customHeight="1" outlineLevel="3" x14ac:dyDescent="0.2">
      <c r="A631" s="21">
        <f>acute_overview_children!A231</f>
        <v>4</v>
      </c>
      <c r="B631" s="325">
        <f t="shared" si="46"/>
        <v>401120</v>
      </c>
      <c r="C631" s="325" t="str">
        <f t="shared" si="46"/>
        <v>Borage seeds</v>
      </c>
      <c r="D631" s="135"/>
      <c r="E631" s="1027"/>
      <c r="F631" s="87"/>
      <c r="G631" s="1027"/>
      <c r="H631" s="1029"/>
      <c r="I631" s="1030"/>
      <c r="J631" s="1039" t="e">
        <f>IF($F231="","",$F231*chronic_consumption!E631/1000/$C$3)</f>
        <v>#DIV/0!</v>
      </c>
      <c r="K631" s="1040" t="e">
        <f>IF($F231="","",$F231*chronic_consumption!F631/1000/$C$3)</f>
        <v>#DIV/0!</v>
      </c>
      <c r="L631" s="1040" t="e">
        <f>IF($F231="","",$F231*chronic_consumption!G631/1000/$C$3)</f>
        <v>#DIV/0!</v>
      </c>
      <c r="M631" s="1040" t="e">
        <f>IF($F231="","",$F231*chronic_consumption!H631/1000/$C$3)</f>
        <v>#DIV/0!</v>
      </c>
      <c r="N631" s="1040" t="e">
        <f>IF($F231="","",$F231*chronic_consumption!I631/1000/$C$3)</f>
        <v>#DIV/0!</v>
      </c>
      <c r="O631" s="1040" t="e">
        <f>IF($F231="","",$F231*chronic_consumption!J631/1000/$C$3)</f>
        <v>#DIV/0!</v>
      </c>
      <c r="P631" s="1040" t="e">
        <f>IF($F231="","",$F231*chronic_consumption!K631/1000/$C$3)</f>
        <v>#DIV/0!</v>
      </c>
      <c r="Q631" s="1040" t="e">
        <f>IF($F231="","",$F231*chronic_consumption!L631/1000/$C$3)</f>
        <v>#DIV/0!</v>
      </c>
      <c r="R631" s="1040" t="e">
        <f>IF($F231="","",$F231*chronic_consumption!M631/1000/$C$3)</f>
        <v>#DIV/0!</v>
      </c>
      <c r="S631" s="1040" t="e">
        <f>IF($F231="","",$F231*chronic_consumption!N631/1000/$C$3)</f>
        <v>#DIV/0!</v>
      </c>
      <c r="T631" s="1040" t="e">
        <f>IF($F231="","",$F231*chronic_consumption!O631/1000/$C$3)</f>
        <v>#DIV/0!</v>
      </c>
      <c r="U631" s="1040" t="e">
        <f>IF($F231="","",$F231*chronic_consumption!P631/1000/$C$3)</f>
        <v>#DIV/0!</v>
      </c>
      <c r="V631" s="1040" t="e">
        <f>IF($F231="","",$F231*chronic_consumption!Q631/1000/$C$3)</f>
        <v>#DIV/0!</v>
      </c>
      <c r="W631" s="1040" t="e">
        <f>IF($F231="","",$F231*chronic_consumption!R631/1000/$C$3)</f>
        <v>#DIV/0!</v>
      </c>
      <c r="X631" s="1040" t="e">
        <f>IF($F231="","",$F231*chronic_consumption!S631/1000/$C$3)</f>
        <v>#DIV/0!</v>
      </c>
      <c r="Y631" s="1040" t="e">
        <f>IF($F231="","",$F231*chronic_consumption!T631/1000/$C$3)</f>
        <v>#DIV/0!</v>
      </c>
      <c r="Z631" s="1040" t="e">
        <f>IF($F231="","",$F231*chronic_consumption!U631/1000/$C$3)</f>
        <v>#DIV/0!</v>
      </c>
      <c r="AA631" s="1040" t="e">
        <f>IF($F231="","",$F231*chronic_consumption!V631/1000/$C$3)</f>
        <v>#DIV/0!</v>
      </c>
      <c r="AB631" s="1040" t="e">
        <f>IF($F231="","",$F231*chronic_consumption!W631/1000/$C$3)</f>
        <v>#DIV/0!</v>
      </c>
      <c r="AC631" s="1040" t="e">
        <f>IF($F231="","",$F231*chronic_consumption!X631/1000/$C$3)</f>
        <v>#DIV/0!</v>
      </c>
      <c r="AD631" s="1040" t="e">
        <f>IF($F231="","",$F231*chronic_consumption!Y631/1000/$C$3)</f>
        <v>#DIV/0!</v>
      </c>
      <c r="AE631" s="1040" t="e">
        <f>IF($F231="","",$F231*chronic_consumption!Z631/1000/$C$3)</f>
        <v>#DIV/0!</v>
      </c>
      <c r="AF631" s="1040" t="e">
        <f>IF($F231="","",$F231*chronic_consumption!AA631/1000/$C$3)</f>
        <v>#DIV/0!</v>
      </c>
      <c r="AG631" s="1040" t="e">
        <f>IF($F231="","",$F231*chronic_consumption!AB631/1000/$C$3)</f>
        <v>#DIV/0!</v>
      </c>
      <c r="AH631" s="1040" t="e">
        <f>IF($F231="","",$F231*chronic_consumption!AC631/1000/$C$3)</f>
        <v>#DIV/0!</v>
      </c>
      <c r="AI631" s="1040" t="e">
        <f>IF($F231="","",$F231*chronic_consumption!AD631/1000/$C$3)</f>
        <v>#DIV/0!</v>
      </c>
      <c r="AJ631" s="1040" t="e">
        <f>IF($F231="","",$F231*chronic_consumption!AE631/1000/$C$3)</f>
        <v>#DIV/0!</v>
      </c>
      <c r="AK631" s="1040" t="e">
        <f>IF($F231="","",$F231*chronic_consumption!AF631/1000/$C$3)</f>
        <v>#DIV/0!</v>
      </c>
      <c r="AL631" s="1040" t="e">
        <f>IF($F231="","",$F231*chronic_consumption!AG631/1000/$C$3)</f>
        <v>#DIV/0!</v>
      </c>
      <c r="AM631" s="1040" t="e">
        <f>IF($F231="","",$F231*chronic_consumption!AH631/1000/$C$3)</f>
        <v>#DIV/0!</v>
      </c>
      <c r="AN631" s="1040" t="e">
        <f>IF($F231="","",$F231*chronic_consumption!AI631/1000/$C$3)</f>
        <v>#DIV/0!</v>
      </c>
      <c r="AO631" s="1040" t="e">
        <f>IF($F231="","",$F231*chronic_consumption!AJ631/1000/$C$3)</f>
        <v>#DIV/0!</v>
      </c>
      <c r="AP631" s="1040" t="e">
        <f>IF($F231="","",$F231*chronic_consumption!AK631/1000/$C$3)</f>
        <v>#DIV/0!</v>
      </c>
      <c r="AQ631" s="1040" t="e">
        <f>IF($F231="","",$F231*chronic_consumption!AL631/1000/$C$3)</f>
        <v>#DIV/0!</v>
      </c>
      <c r="AR631" s="1040" t="e">
        <f>IF($F231="","",$F231*chronic_consumption!AM631/1000/$C$3)</f>
        <v>#DIV/0!</v>
      </c>
      <c r="AS631" s="1040" t="e">
        <f>IF($F231="","",$F231*chronic_consumption!AN631/1000/$C$3)</f>
        <v>#DIV/0!</v>
      </c>
      <c r="AT631" s="1040" t="e">
        <f>IF($F231="","",$F231*chronic_consumption!AO631/1000/$C$3)</f>
        <v>#DIV/0!</v>
      </c>
      <c r="AU631" s="1040" t="e">
        <f>IF($F231="","",$F231*chronic_consumption!AP631/1000/$C$3)</f>
        <v>#DIV/0!</v>
      </c>
      <c r="AV631" s="1040" t="e">
        <f>IF($F231="","",$F231*chronic_consumption!AQ631/1000/$C$3)</f>
        <v>#DIV/0!</v>
      </c>
      <c r="AW631" s="1040" t="e">
        <f>IF($F231="","",$F231*chronic_consumption!AR631/1000/$C$3)</f>
        <v>#DIV/0!</v>
      </c>
      <c r="AX631" s="1040" t="e">
        <f>IF($F231="","",$F231*chronic_consumption!AS631/1000/$C$3)</f>
        <v>#DIV/0!</v>
      </c>
      <c r="AY631" s="1040" t="e">
        <f>IF($F231="","",$F231*chronic_consumption!AT631/1000/$C$3)</f>
        <v>#DIV/0!</v>
      </c>
      <c r="AZ631" s="44" t="s">
        <v>20</v>
      </c>
      <c r="BC631" s="29"/>
      <c r="BD631" s="29"/>
    </row>
    <row r="632" spans="1:56" ht="12" hidden="1" customHeight="1" outlineLevel="3" x14ac:dyDescent="0.2">
      <c r="A632" s="21">
        <f>acute_overview_children!A232</f>
        <v>4</v>
      </c>
      <c r="B632" s="325">
        <f t="shared" ref="B632:C651" si="47">B232</f>
        <v>401130</v>
      </c>
      <c r="C632" s="325" t="str">
        <f t="shared" si="47"/>
        <v>Gold of pleasure seeds</v>
      </c>
      <c r="D632" s="135"/>
      <c r="E632" s="1027"/>
      <c r="F632" s="87"/>
      <c r="G632" s="1027"/>
      <c r="H632" s="1029"/>
      <c r="I632" s="1030"/>
      <c r="J632" s="1039" t="e">
        <f>IF($F232="","",$F232*chronic_consumption!E632/1000/$C$3)</f>
        <v>#DIV/0!</v>
      </c>
      <c r="K632" s="1040" t="e">
        <f>IF($F232="","",$F232*chronic_consumption!F632/1000/$C$3)</f>
        <v>#DIV/0!</v>
      </c>
      <c r="L632" s="1040" t="e">
        <f>IF($F232="","",$F232*chronic_consumption!G632/1000/$C$3)</f>
        <v>#DIV/0!</v>
      </c>
      <c r="M632" s="1040" t="e">
        <f>IF($F232="","",$F232*chronic_consumption!H632/1000/$C$3)</f>
        <v>#DIV/0!</v>
      </c>
      <c r="N632" s="1040" t="e">
        <f>IF($F232="","",$F232*chronic_consumption!I632/1000/$C$3)</f>
        <v>#DIV/0!</v>
      </c>
      <c r="O632" s="1040" t="e">
        <f>IF($F232="","",$F232*chronic_consumption!J632/1000/$C$3)</f>
        <v>#DIV/0!</v>
      </c>
      <c r="P632" s="1040" t="e">
        <f>IF($F232="","",$F232*chronic_consumption!K632/1000/$C$3)</f>
        <v>#DIV/0!</v>
      </c>
      <c r="Q632" s="1040" t="e">
        <f>IF($F232="","",$F232*chronic_consumption!L632/1000/$C$3)</f>
        <v>#DIV/0!</v>
      </c>
      <c r="R632" s="1040" t="e">
        <f>IF($F232="","",$F232*chronic_consumption!M632/1000/$C$3)</f>
        <v>#DIV/0!</v>
      </c>
      <c r="S632" s="1040" t="e">
        <f>IF($F232="","",$F232*chronic_consumption!N632/1000/$C$3)</f>
        <v>#DIV/0!</v>
      </c>
      <c r="T632" s="1040" t="e">
        <f>IF($F232="","",$F232*chronic_consumption!O632/1000/$C$3)</f>
        <v>#DIV/0!</v>
      </c>
      <c r="U632" s="1040" t="e">
        <f>IF($F232="","",$F232*chronic_consumption!P632/1000/$C$3)</f>
        <v>#DIV/0!</v>
      </c>
      <c r="V632" s="1040" t="e">
        <f>IF($F232="","",$F232*chronic_consumption!Q632/1000/$C$3)</f>
        <v>#DIV/0!</v>
      </c>
      <c r="W632" s="1040" t="e">
        <f>IF($F232="","",$F232*chronic_consumption!R632/1000/$C$3)</f>
        <v>#DIV/0!</v>
      </c>
      <c r="X632" s="1040" t="e">
        <f>IF($F232="","",$F232*chronic_consumption!S632/1000/$C$3)</f>
        <v>#DIV/0!</v>
      </c>
      <c r="Y632" s="1040" t="e">
        <f>IF($F232="","",$F232*chronic_consumption!T632/1000/$C$3)</f>
        <v>#DIV/0!</v>
      </c>
      <c r="Z632" s="1040" t="e">
        <f>IF($F232="","",$F232*chronic_consumption!U632/1000/$C$3)</f>
        <v>#DIV/0!</v>
      </c>
      <c r="AA632" s="1040" t="e">
        <f>IF($F232="","",$F232*chronic_consumption!V632/1000/$C$3)</f>
        <v>#DIV/0!</v>
      </c>
      <c r="AB632" s="1040" t="e">
        <f>IF($F232="","",$F232*chronic_consumption!W632/1000/$C$3)</f>
        <v>#DIV/0!</v>
      </c>
      <c r="AC632" s="1040" t="e">
        <f>IF($F232="","",$F232*chronic_consumption!X632/1000/$C$3)</f>
        <v>#DIV/0!</v>
      </c>
      <c r="AD632" s="1040" t="e">
        <f>IF($F232="","",$F232*chronic_consumption!Y632/1000/$C$3)</f>
        <v>#DIV/0!</v>
      </c>
      <c r="AE632" s="1040" t="e">
        <f>IF($F232="","",$F232*chronic_consumption!Z632/1000/$C$3)</f>
        <v>#DIV/0!</v>
      </c>
      <c r="AF632" s="1040" t="e">
        <f>IF($F232="","",$F232*chronic_consumption!AA632/1000/$C$3)</f>
        <v>#DIV/0!</v>
      </c>
      <c r="AG632" s="1040" t="e">
        <f>IF($F232="","",$F232*chronic_consumption!AB632/1000/$C$3)</f>
        <v>#DIV/0!</v>
      </c>
      <c r="AH632" s="1040" t="e">
        <f>IF($F232="","",$F232*chronic_consumption!AC632/1000/$C$3)</f>
        <v>#DIV/0!</v>
      </c>
      <c r="AI632" s="1040" t="e">
        <f>IF($F232="","",$F232*chronic_consumption!AD632/1000/$C$3)</f>
        <v>#DIV/0!</v>
      </c>
      <c r="AJ632" s="1040" t="e">
        <f>IF($F232="","",$F232*chronic_consumption!AE632/1000/$C$3)</f>
        <v>#DIV/0!</v>
      </c>
      <c r="AK632" s="1040" t="e">
        <f>IF($F232="","",$F232*chronic_consumption!AF632/1000/$C$3)</f>
        <v>#DIV/0!</v>
      </c>
      <c r="AL632" s="1040" t="e">
        <f>IF($F232="","",$F232*chronic_consumption!AG632/1000/$C$3)</f>
        <v>#DIV/0!</v>
      </c>
      <c r="AM632" s="1040" t="e">
        <f>IF($F232="","",$F232*chronic_consumption!AH632/1000/$C$3)</f>
        <v>#DIV/0!</v>
      </c>
      <c r="AN632" s="1040" t="e">
        <f>IF($F232="","",$F232*chronic_consumption!AI632/1000/$C$3)</f>
        <v>#DIV/0!</v>
      </c>
      <c r="AO632" s="1040" t="e">
        <f>IF($F232="","",$F232*chronic_consumption!AJ632/1000/$C$3)</f>
        <v>#DIV/0!</v>
      </c>
      <c r="AP632" s="1040" t="e">
        <f>IF($F232="","",$F232*chronic_consumption!AK632/1000/$C$3)</f>
        <v>#DIV/0!</v>
      </c>
      <c r="AQ632" s="1040" t="e">
        <f>IF($F232="","",$F232*chronic_consumption!AL632/1000/$C$3)</f>
        <v>#DIV/0!</v>
      </c>
      <c r="AR632" s="1040" t="e">
        <f>IF($F232="","",$F232*chronic_consumption!AM632/1000/$C$3)</f>
        <v>#DIV/0!</v>
      </c>
      <c r="AS632" s="1040" t="e">
        <f>IF($F232="","",$F232*chronic_consumption!AN632/1000/$C$3)</f>
        <v>#DIV/0!</v>
      </c>
      <c r="AT632" s="1040" t="e">
        <f>IF($F232="","",$F232*chronic_consumption!AO632/1000/$C$3)</f>
        <v>#DIV/0!</v>
      </c>
      <c r="AU632" s="1040" t="e">
        <f>IF($F232="","",$F232*chronic_consumption!AP632/1000/$C$3)</f>
        <v>#DIV/0!</v>
      </c>
      <c r="AV632" s="1040" t="e">
        <f>IF($F232="","",$F232*chronic_consumption!AQ632/1000/$C$3)</f>
        <v>#DIV/0!</v>
      </c>
      <c r="AW632" s="1040" t="e">
        <f>IF($F232="","",$F232*chronic_consumption!AR632/1000/$C$3)</f>
        <v>#DIV/0!</v>
      </c>
      <c r="AX632" s="1040" t="e">
        <f>IF($F232="","",$F232*chronic_consumption!AS632/1000/$C$3)</f>
        <v>#DIV/0!</v>
      </c>
      <c r="AY632" s="1040" t="e">
        <f>IF($F232="","",$F232*chronic_consumption!AT632/1000/$C$3)</f>
        <v>#DIV/0!</v>
      </c>
      <c r="AZ632" s="44" t="s">
        <v>20</v>
      </c>
      <c r="BC632" s="29"/>
      <c r="BD632" s="29"/>
    </row>
    <row r="633" spans="1:56" ht="12" hidden="1" customHeight="1" outlineLevel="3" x14ac:dyDescent="0.2">
      <c r="A633" s="21">
        <f>acute_overview_children!A233</f>
        <v>4</v>
      </c>
      <c r="B633" s="325">
        <f t="shared" si="47"/>
        <v>401140</v>
      </c>
      <c r="C633" s="325" t="str">
        <f t="shared" si="47"/>
        <v>Hemp seeds</v>
      </c>
      <c r="D633" s="135"/>
      <c r="E633" s="1027"/>
      <c r="F633" s="87"/>
      <c r="G633" s="1027"/>
      <c r="H633" s="1029"/>
      <c r="I633" s="1030"/>
      <c r="J633" s="1039" t="e">
        <f>IF($F233="","",$F233*chronic_consumption!E633/1000/$C$3)</f>
        <v>#DIV/0!</v>
      </c>
      <c r="K633" s="1040" t="e">
        <f>IF($F233="","",$F233*chronic_consumption!F633/1000/$C$3)</f>
        <v>#DIV/0!</v>
      </c>
      <c r="L633" s="1040" t="e">
        <f>IF($F233="","",$F233*chronic_consumption!G633/1000/$C$3)</f>
        <v>#DIV/0!</v>
      </c>
      <c r="M633" s="1040" t="e">
        <f>IF($F233="","",$F233*chronic_consumption!H633/1000/$C$3)</f>
        <v>#DIV/0!</v>
      </c>
      <c r="N633" s="1040" t="e">
        <f>IF($F233="","",$F233*chronic_consumption!I633/1000/$C$3)</f>
        <v>#DIV/0!</v>
      </c>
      <c r="O633" s="1040" t="e">
        <f>IF($F233="","",$F233*chronic_consumption!J633/1000/$C$3)</f>
        <v>#DIV/0!</v>
      </c>
      <c r="P633" s="1040" t="e">
        <f>IF($F233="","",$F233*chronic_consumption!K633/1000/$C$3)</f>
        <v>#DIV/0!</v>
      </c>
      <c r="Q633" s="1040" t="e">
        <f>IF($F233="","",$F233*chronic_consumption!L633/1000/$C$3)</f>
        <v>#DIV/0!</v>
      </c>
      <c r="R633" s="1040" t="e">
        <f>IF($F233="","",$F233*chronic_consumption!M633/1000/$C$3)</f>
        <v>#DIV/0!</v>
      </c>
      <c r="S633" s="1040" t="e">
        <f>IF($F233="","",$F233*chronic_consumption!N633/1000/$C$3)</f>
        <v>#DIV/0!</v>
      </c>
      <c r="T633" s="1040" t="e">
        <f>IF($F233="","",$F233*chronic_consumption!O633/1000/$C$3)</f>
        <v>#DIV/0!</v>
      </c>
      <c r="U633" s="1040" t="e">
        <f>IF($F233="","",$F233*chronic_consumption!P633/1000/$C$3)</f>
        <v>#DIV/0!</v>
      </c>
      <c r="V633" s="1040" t="e">
        <f>IF($F233="","",$F233*chronic_consumption!Q633/1000/$C$3)</f>
        <v>#DIV/0!</v>
      </c>
      <c r="W633" s="1040" t="e">
        <f>IF($F233="","",$F233*chronic_consumption!R633/1000/$C$3)</f>
        <v>#DIV/0!</v>
      </c>
      <c r="X633" s="1040" t="e">
        <f>IF($F233="","",$F233*chronic_consumption!S633/1000/$C$3)</f>
        <v>#DIV/0!</v>
      </c>
      <c r="Y633" s="1040" t="e">
        <f>IF($F233="","",$F233*chronic_consumption!T633/1000/$C$3)</f>
        <v>#DIV/0!</v>
      </c>
      <c r="Z633" s="1040" t="e">
        <f>IF($F233="","",$F233*chronic_consumption!U633/1000/$C$3)</f>
        <v>#DIV/0!</v>
      </c>
      <c r="AA633" s="1040" t="e">
        <f>IF($F233="","",$F233*chronic_consumption!V633/1000/$C$3)</f>
        <v>#DIV/0!</v>
      </c>
      <c r="AB633" s="1040" t="e">
        <f>IF($F233="","",$F233*chronic_consumption!W633/1000/$C$3)</f>
        <v>#DIV/0!</v>
      </c>
      <c r="AC633" s="1040" t="e">
        <f>IF($F233="","",$F233*chronic_consumption!X633/1000/$C$3)</f>
        <v>#DIV/0!</v>
      </c>
      <c r="AD633" s="1040" t="e">
        <f>IF($F233="","",$F233*chronic_consumption!Y633/1000/$C$3)</f>
        <v>#DIV/0!</v>
      </c>
      <c r="AE633" s="1040" t="e">
        <f>IF($F233="","",$F233*chronic_consumption!Z633/1000/$C$3)</f>
        <v>#DIV/0!</v>
      </c>
      <c r="AF633" s="1040" t="e">
        <f>IF($F233="","",$F233*chronic_consumption!AA633/1000/$C$3)</f>
        <v>#DIV/0!</v>
      </c>
      <c r="AG633" s="1040" t="e">
        <f>IF($F233="","",$F233*chronic_consumption!AB633/1000/$C$3)</f>
        <v>#DIV/0!</v>
      </c>
      <c r="AH633" s="1040" t="e">
        <f>IF($F233="","",$F233*chronic_consumption!AC633/1000/$C$3)</f>
        <v>#DIV/0!</v>
      </c>
      <c r="AI633" s="1040" t="e">
        <f>IF($F233="","",$F233*chronic_consumption!AD633/1000/$C$3)</f>
        <v>#DIV/0!</v>
      </c>
      <c r="AJ633" s="1040" t="e">
        <f>IF($F233="","",$F233*chronic_consumption!AE633/1000/$C$3)</f>
        <v>#DIV/0!</v>
      </c>
      <c r="AK633" s="1040" t="e">
        <f>IF($F233="","",$F233*chronic_consumption!AF633/1000/$C$3)</f>
        <v>#DIV/0!</v>
      </c>
      <c r="AL633" s="1040" t="e">
        <f>IF($F233="","",$F233*chronic_consumption!AG633/1000/$C$3)</f>
        <v>#DIV/0!</v>
      </c>
      <c r="AM633" s="1040" t="e">
        <f>IF($F233="","",$F233*chronic_consumption!AH633/1000/$C$3)</f>
        <v>#DIV/0!</v>
      </c>
      <c r="AN633" s="1040" t="e">
        <f>IF($F233="","",$F233*chronic_consumption!AI633/1000/$C$3)</f>
        <v>#DIV/0!</v>
      </c>
      <c r="AO633" s="1040" t="e">
        <f>IF($F233="","",$F233*chronic_consumption!AJ633/1000/$C$3)</f>
        <v>#DIV/0!</v>
      </c>
      <c r="AP633" s="1040" t="e">
        <f>IF($F233="","",$F233*chronic_consumption!AK633/1000/$C$3)</f>
        <v>#DIV/0!</v>
      </c>
      <c r="AQ633" s="1040" t="e">
        <f>IF($F233="","",$F233*chronic_consumption!AL633/1000/$C$3)</f>
        <v>#DIV/0!</v>
      </c>
      <c r="AR633" s="1040" t="e">
        <f>IF($F233="","",$F233*chronic_consumption!AM633/1000/$C$3)</f>
        <v>#DIV/0!</v>
      </c>
      <c r="AS633" s="1040" t="e">
        <f>IF($F233="","",$F233*chronic_consumption!AN633/1000/$C$3)</f>
        <v>#DIV/0!</v>
      </c>
      <c r="AT633" s="1040" t="e">
        <f>IF($F233="","",$F233*chronic_consumption!AO633/1000/$C$3)</f>
        <v>#DIV/0!</v>
      </c>
      <c r="AU633" s="1040" t="e">
        <f>IF($F233="","",$F233*chronic_consumption!AP633/1000/$C$3)</f>
        <v>#DIV/0!</v>
      </c>
      <c r="AV633" s="1040" t="e">
        <f>IF($F233="","",$F233*chronic_consumption!AQ633/1000/$C$3)</f>
        <v>#DIV/0!</v>
      </c>
      <c r="AW633" s="1040" t="e">
        <f>IF($F233="","",$F233*chronic_consumption!AR633/1000/$C$3)</f>
        <v>#DIV/0!</v>
      </c>
      <c r="AX633" s="1040" t="e">
        <f>IF($F233="","",$F233*chronic_consumption!AS633/1000/$C$3)</f>
        <v>#DIV/0!</v>
      </c>
      <c r="AY633" s="1040" t="e">
        <f>IF($F233="","",$F233*chronic_consumption!AT633/1000/$C$3)</f>
        <v>#DIV/0!</v>
      </c>
      <c r="AZ633" s="44" t="s">
        <v>20</v>
      </c>
      <c r="BC633" s="29"/>
      <c r="BD633" s="29"/>
    </row>
    <row r="634" spans="1:56" ht="12" hidden="1" customHeight="1" outlineLevel="3" x14ac:dyDescent="0.2">
      <c r="A634" s="21">
        <f>acute_overview_children!A234</f>
        <v>4</v>
      </c>
      <c r="B634" s="325">
        <f t="shared" si="47"/>
        <v>401150</v>
      </c>
      <c r="C634" s="325" t="str">
        <f t="shared" si="47"/>
        <v>Castor beans</v>
      </c>
      <c r="D634" s="135"/>
      <c r="E634" s="1027"/>
      <c r="F634" s="87"/>
      <c r="G634" s="1027"/>
      <c r="H634" s="1029"/>
      <c r="I634" s="1030"/>
      <c r="J634" s="1039" t="e">
        <f>IF($F234="","",$F234*chronic_consumption!E634/1000/$C$3)</f>
        <v>#DIV/0!</v>
      </c>
      <c r="K634" s="1040" t="e">
        <f>IF($F234="","",$F234*chronic_consumption!F634/1000/$C$3)</f>
        <v>#DIV/0!</v>
      </c>
      <c r="L634" s="1040" t="e">
        <f>IF($F234="","",$F234*chronic_consumption!G634/1000/$C$3)</f>
        <v>#DIV/0!</v>
      </c>
      <c r="M634" s="1040" t="e">
        <f>IF($F234="","",$F234*chronic_consumption!H634/1000/$C$3)</f>
        <v>#DIV/0!</v>
      </c>
      <c r="N634" s="1040" t="e">
        <f>IF($F234="","",$F234*chronic_consumption!I634/1000/$C$3)</f>
        <v>#DIV/0!</v>
      </c>
      <c r="O634" s="1040" t="e">
        <f>IF($F234="","",$F234*chronic_consumption!J634/1000/$C$3)</f>
        <v>#DIV/0!</v>
      </c>
      <c r="P634" s="1040" t="e">
        <f>IF($F234="","",$F234*chronic_consumption!K634/1000/$C$3)</f>
        <v>#DIV/0!</v>
      </c>
      <c r="Q634" s="1040" t="e">
        <f>IF($F234="","",$F234*chronic_consumption!L634/1000/$C$3)</f>
        <v>#DIV/0!</v>
      </c>
      <c r="R634" s="1040" t="e">
        <f>IF($F234="","",$F234*chronic_consumption!M634/1000/$C$3)</f>
        <v>#DIV/0!</v>
      </c>
      <c r="S634" s="1040" t="e">
        <f>IF($F234="","",$F234*chronic_consumption!N634/1000/$C$3)</f>
        <v>#DIV/0!</v>
      </c>
      <c r="T634" s="1040" t="e">
        <f>IF($F234="","",$F234*chronic_consumption!O634/1000/$C$3)</f>
        <v>#DIV/0!</v>
      </c>
      <c r="U634" s="1040" t="e">
        <f>IF($F234="","",$F234*chronic_consumption!P634/1000/$C$3)</f>
        <v>#DIV/0!</v>
      </c>
      <c r="V634" s="1040" t="e">
        <f>IF($F234="","",$F234*chronic_consumption!Q634/1000/$C$3)</f>
        <v>#DIV/0!</v>
      </c>
      <c r="W634" s="1040" t="e">
        <f>IF($F234="","",$F234*chronic_consumption!R634/1000/$C$3)</f>
        <v>#DIV/0!</v>
      </c>
      <c r="X634" s="1040" t="e">
        <f>IF($F234="","",$F234*chronic_consumption!S634/1000/$C$3)</f>
        <v>#DIV/0!</v>
      </c>
      <c r="Y634" s="1040" t="e">
        <f>IF($F234="","",$F234*chronic_consumption!T634/1000/$C$3)</f>
        <v>#DIV/0!</v>
      </c>
      <c r="Z634" s="1040" t="e">
        <f>IF($F234="","",$F234*chronic_consumption!U634/1000/$C$3)</f>
        <v>#DIV/0!</v>
      </c>
      <c r="AA634" s="1040" t="e">
        <f>IF($F234="","",$F234*chronic_consumption!V634/1000/$C$3)</f>
        <v>#DIV/0!</v>
      </c>
      <c r="AB634" s="1040" t="e">
        <f>IF($F234="","",$F234*chronic_consumption!W634/1000/$C$3)</f>
        <v>#DIV/0!</v>
      </c>
      <c r="AC634" s="1040" t="e">
        <f>IF($F234="","",$F234*chronic_consumption!X634/1000/$C$3)</f>
        <v>#DIV/0!</v>
      </c>
      <c r="AD634" s="1040" t="e">
        <f>IF($F234="","",$F234*chronic_consumption!Y634/1000/$C$3)</f>
        <v>#DIV/0!</v>
      </c>
      <c r="AE634" s="1040" t="e">
        <f>IF($F234="","",$F234*chronic_consumption!Z634/1000/$C$3)</f>
        <v>#DIV/0!</v>
      </c>
      <c r="AF634" s="1040" t="e">
        <f>IF($F234="","",$F234*chronic_consumption!AA634/1000/$C$3)</f>
        <v>#DIV/0!</v>
      </c>
      <c r="AG634" s="1040" t="e">
        <f>IF($F234="","",$F234*chronic_consumption!AB634/1000/$C$3)</f>
        <v>#DIV/0!</v>
      </c>
      <c r="AH634" s="1040" t="e">
        <f>IF($F234="","",$F234*chronic_consumption!AC634/1000/$C$3)</f>
        <v>#DIV/0!</v>
      </c>
      <c r="AI634" s="1040" t="e">
        <f>IF($F234="","",$F234*chronic_consumption!AD634/1000/$C$3)</f>
        <v>#DIV/0!</v>
      </c>
      <c r="AJ634" s="1040" t="e">
        <f>IF($F234="","",$F234*chronic_consumption!AE634/1000/$C$3)</f>
        <v>#DIV/0!</v>
      </c>
      <c r="AK634" s="1040" t="e">
        <f>IF($F234="","",$F234*chronic_consumption!AF634/1000/$C$3)</f>
        <v>#DIV/0!</v>
      </c>
      <c r="AL634" s="1040" t="e">
        <f>IF($F234="","",$F234*chronic_consumption!AG634/1000/$C$3)</f>
        <v>#DIV/0!</v>
      </c>
      <c r="AM634" s="1040" t="e">
        <f>IF($F234="","",$F234*chronic_consumption!AH634/1000/$C$3)</f>
        <v>#DIV/0!</v>
      </c>
      <c r="AN634" s="1040" t="e">
        <f>IF($F234="","",$F234*chronic_consumption!AI634/1000/$C$3)</f>
        <v>#DIV/0!</v>
      </c>
      <c r="AO634" s="1040" t="e">
        <f>IF($F234="","",$F234*chronic_consumption!AJ634/1000/$C$3)</f>
        <v>#DIV/0!</v>
      </c>
      <c r="AP634" s="1040" t="e">
        <f>IF($F234="","",$F234*chronic_consumption!AK634/1000/$C$3)</f>
        <v>#DIV/0!</v>
      </c>
      <c r="AQ634" s="1040" t="e">
        <f>IF($F234="","",$F234*chronic_consumption!AL634/1000/$C$3)</f>
        <v>#DIV/0!</v>
      </c>
      <c r="AR634" s="1040" t="e">
        <f>IF($F234="","",$F234*chronic_consumption!AM634/1000/$C$3)</f>
        <v>#DIV/0!</v>
      </c>
      <c r="AS634" s="1040" t="e">
        <f>IF($F234="","",$F234*chronic_consumption!AN634/1000/$C$3)</f>
        <v>#DIV/0!</v>
      </c>
      <c r="AT634" s="1040" t="e">
        <f>IF($F234="","",$F234*chronic_consumption!AO634/1000/$C$3)</f>
        <v>#DIV/0!</v>
      </c>
      <c r="AU634" s="1040" t="e">
        <f>IF($F234="","",$F234*chronic_consumption!AP634/1000/$C$3)</f>
        <v>#DIV/0!</v>
      </c>
      <c r="AV634" s="1040" t="e">
        <f>IF($F234="","",$F234*chronic_consumption!AQ634/1000/$C$3)</f>
        <v>#DIV/0!</v>
      </c>
      <c r="AW634" s="1040" t="e">
        <f>IF($F234="","",$F234*chronic_consumption!AR634/1000/$C$3)</f>
        <v>#DIV/0!</v>
      </c>
      <c r="AX634" s="1040" t="e">
        <f>IF($F234="","",$F234*chronic_consumption!AS634/1000/$C$3)</f>
        <v>#DIV/0!</v>
      </c>
      <c r="AY634" s="1040" t="e">
        <f>IF($F234="","",$F234*chronic_consumption!AT634/1000/$C$3)</f>
        <v>#DIV/0!</v>
      </c>
      <c r="AZ634" s="44" t="s">
        <v>20</v>
      </c>
      <c r="BC634" s="29"/>
      <c r="BD634" s="29"/>
    </row>
    <row r="635" spans="1:56" ht="12" hidden="1" customHeight="1" outlineLevel="3" x14ac:dyDescent="0.2">
      <c r="A635" s="21">
        <f>acute_overview_children!A235</f>
        <v>4</v>
      </c>
      <c r="B635" s="325">
        <f t="shared" si="47"/>
        <v>401990</v>
      </c>
      <c r="C635" s="325" t="str">
        <f t="shared" si="47"/>
        <v>Other oilseeds</v>
      </c>
      <c r="D635" s="135"/>
      <c r="E635" s="1027"/>
      <c r="F635" s="87"/>
      <c r="G635" s="1027"/>
      <c r="H635" s="1029"/>
      <c r="I635" s="1030"/>
      <c r="J635" s="1039" t="e">
        <f>IF($F235="","",$F235*chronic_consumption!E635/1000/$C$3)</f>
        <v>#DIV/0!</v>
      </c>
      <c r="K635" s="1040" t="e">
        <f>IF($F235="","",$F235*chronic_consumption!F635/1000/$C$3)</f>
        <v>#DIV/0!</v>
      </c>
      <c r="L635" s="1040" t="e">
        <f>IF($F235="","",$F235*chronic_consumption!G635/1000/$C$3)</f>
        <v>#DIV/0!</v>
      </c>
      <c r="M635" s="1040" t="e">
        <f>IF($F235="","",$F235*chronic_consumption!H635/1000/$C$3)</f>
        <v>#DIV/0!</v>
      </c>
      <c r="N635" s="1040" t="e">
        <f>IF($F235="","",$F235*chronic_consumption!I635/1000/$C$3)</f>
        <v>#DIV/0!</v>
      </c>
      <c r="O635" s="1040" t="e">
        <f>IF($F235="","",$F235*chronic_consumption!J635/1000/$C$3)</f>
        <v>#DIV/0!</v>
      </c>
      <c r="P635" s="1040" t="e">
        <f>IF($F235="","",$F235*chronic_consumption!K635/1000/$C$3)</f>
        <v>#DIV/0!</v>
      </c>
      <c r="Q635" s="1040" t="e">
        <f>IF($F235="","",$F235*chronic_consumption!L635/1000/$C$3)</f>
        <v>#DIV/0!</v>
      </c>
      <c r="R635" s="1040" t="e">
        <f>IF($F235="","",$F235*chronic_consumption!M635/1000/$C$3)</f>
        <v>#DIV/0!</v>
      </c>
      <c r="S635" s="1040" t="e">
        <f>IF($F235="","",$F235*chronic_consumption!N635/1000/$C$3)</f>
        <v>#DIV/0!</v>
      </c>
      <c r="T635" s="1040" t="e">
        <f>IF($F235="","",$F235*chronic_consumption!O635/1000/$C$3)</f>
        <v>#DIV/0!</v>
      </c>
      <c r="U635" s="1040" t="e">
        <f>IF($F235="","",$F235*chronic_consumption!P635/1000/$C$3)</f>
        <v>#DIV/0!</v>
      </c>
      <c r="V635" s="1040" t="e">
        <f>IF($F235="","",$F235*chronic_consumption!Q635/1000/$C$3)</f>
        <v>#DIV/0!</v>
      </c>
      <c r="W635" s="1040" t="e">
        <f>IF($F235="","",$F235*chronic_consumption!R635/1000/$C$3)</f>
        <v>#DIV/0!</v>
      </c>
      <c r="X635" s="1040" t="e">
        <f>IF($F235="","",$F235*chronic_consumption!S635/1000/$C$3)</f>
        <v>#DIV/0!</v>
      </c>
      <c r="Y635" s="1040" t="e">
        <f>IF($F235="","",$F235*chronic_consumption!T635/1000/$C$3)</f>
        <v>#DIV/0!</v>
      </c>
      <c r="Z635" s="1040" t="e">
        <f>IF($F235="","",$F235*chronic_consumption!U635/1000/$C$3)</f>
        <v>#DIV/0!</v>
      </c>
      <c r="AA635" s="1040" t="e">
        <f>IF($F235="","",$F235*chronic_consumption!V635/1000/$C$3)</f>
        <v>#DIV/0!</v>
      </c>
      <c r="AB635" s="1040" t="e">
        <f>IF($F235="","",$F235*chronic_consumption!W635/1000/$C$3)</f>
        <v>#DIV/0!</v>
      </c>
      <c r="AC635" s="1040" t="e">
        <f>IF($F235="","",$F235*chronic_consumption!X635/1000/$C$3)</f>
        <v>#DIV/0!</v>
      </c>
      <c r="AD635" s="1040" t="e">
        <f>IF($F235="","",$F235*chronic_consumption!Y635/1000/$C$3)</f>
        <v>#DIV/0!</v>
      </c>
      <c r="AE635" s="1040" t="e">
        <f>IF($F235="","",$F235*chronic_consumption!Z635/1000/$C$3)</f>
        <v>#DIV/0!</v>
      </c>
      <c r="AF635" s="1040" t="e">
        <f>IF($F235="","",$F235*chronic_consumption!AA635/1000/$C$3)</f>
        <v>#DIV/0!</v>
      </c>
      <c r="AG635" s="1040" t="e">
        <f>IF($F235="","",$F235*chronic_consumption!AB635/1000/$C$3)</f>
        <v>#DIV/0!</v>
      </c>
      <c r="AH635" s="1040" t="e">
        <f>IF($F235="","",$F235*chronic_consumption!AC635/1000/$C$3)</f>
        <v>#DIV/0!</v>
      </c>
      <c r="AI635" s="1040" t="e">
        <f>IF($F235="","",$F235*chronic_consumption!AD635/1000/$C$3)</f>
        <v>#DIV/0!</v>
      </c>
      <c r="AJ635" s="1040" t="e">
        <f>IF($F235="","",$F235*chronic_consumption!AE635/1000/$C$3)</f>
        <v>#DIV/0!</v>
      </c>
      <c r="AK635" s="1040" t="e">
        <f>IF($F235="","",$F235*chronic_consumption!AF635/1000/$C$3)</f>
        <v>#DIV/0!</v>
      </c>
      <c r="AL635" s="1040" t="e">
        <f>IF($F235="","",$F235*chronic_consumption!AG635/1000/$C$3)</f>
        <v>#DIV/0!</v>
      </c>
      <c r="AM635" s="1040" t="e">
        <f>IF($F235="","",$F235*chronic_consumption!AH635/1000/$C$3)</f>
        <v>#DIV/0!</v>
      </c>
      <c r="AN635" s="1040" t="e">
        <f>IF($F235="","",$F235*chronic_consumption!AI635/1000/$C$3)</f>
        <v>#DIV/0!</v>
      </c>
      <c r="AO635" s="1040" t="e">
        <f>IF($F235="","",$F235*chronic_consumption!AJ635/1000/$C$3)</f>
        <v>#DIV/0!</v>
      </c>
      <c r="AP635" s="1040" t="e">
        <f>IF($F235="","",$F235*chronic_consumption!AK635/1000/$C$3)</f>
        <v>#DIV/0!</v>
      </c>
      <c r="AQ635" s="1040" t="e">
        <f>IF($F235="","",$F235*chronic_consumption!AL635/1000/$C$3)</f>
        <v>#DIV/0!</v>
      </c>
      <c r="AR635" s="1040" t="e">
        <f>IF($F235="","",$F235*chronic_consumption!AM635/1000/$C$3)</f>
        <v>#DIV/0!</v>
      </c>
      <c r="AS635" s="1040" t="e">
        <f>IF($F235="","",$F235*chronic_consumption!AN635/1000/$C$3)</f>
        <v>#DIV/0!</v>
      </c>
      <c r="AT635" s="1040" t="e">
        <f>IF($F235="","",$F235*chronic_consumption!AO635/1000/$C$3)</f>
        <v>#DIV/0!</v>
      </c>
      <c r="AU635" s="1040" t="e">
        <f>IF($F235="","",$F235*chronic_consumption!AP635/1000/$C$3)</f>
        <v>#DIV/0!</v>
      </c>
      <c r="AV635" s="1040" t="e">
        <f>IF($F235="","",$F235*chronic_consumption!AQ635/1000/$C$3)</f>
        <v>#DIV/0!</v>
      </c>
      <c r="AW635" s="1040" t="e">
        <f>IF($F235="","",$F235*chronic_consumption!AR635/1000/$C$3)</f>
        <v>#DIV/0!</v>
      </c>
      <c r="AX635" s="1040" t="e">
        <f>IF($F235="","",$F235*chronic_consumption!AS635/1000/$C$3)</f>
        <v>#DIV/0!</v>
      </c>
      <c r="AY635" s="1040" t="e">
        <f>IF($F235="","",$F235*chronic_consumption!AT635/1000/$C$3)</f>
        <v>#DIV/0!</v>
      </c>
      <c r="AZ635" s="44" t="s">
        <v>20</v>
      </c>
      <c r="BC635" s="29"/>
      <c r="BD635" s="29"/>
    </row>
    <row r="636" spans="1:56" ht="12" hidden="1" customHeight="1" outlineLevel="1" x14ac:dyDescent="0.2">
      <c r="A636" s="1033">
        <f>acute_overview_children!A236</f>
        <v>2</v>
      </c>
      <c r="B636" s="1034">
        <f t="shared" si="47"/>
        <v>402000</v>
      </c>
      <c r="C636" s="1034" t="str">
        <f t="shared" si="47"/>
        <v>Oil fruits</v>
      </c>
      <c r="D636" s="1035"/>
      <c r="E636" s="1027"/>
      <c r="F636" s="87"/>
      <c r="G636" s="1027"/>
      <c r="H636" s="1029"/>
      <c r="I636" s="1030"/>
      <c r="J636" s="1037" t="e">
        <f>IF($F236="","",$F236*chronic_consumption!E636/1000/$C$3)</f>
        <v>#DIV/0!</v>
      </c>
      <c r="K636" s="1038" t="e">
        <f>IF($F236="","",$F236*chronic_consumption!F636/1000/$C$3)</f>
        <v>#DIV/0!</v>
      </c>
      <c r="L636" s="1038" t="e">
        <f>IF($F236="","",$F236*chronic_consumption!G636/1000/$C$3)</f>
        <v>#DIV/0!</v>
      </c>
      <c r="M636" s="1038" t="e">
        <f>IF($F236="","",$F236*chronic_consumption!H636/1000/$C$3)</f>
        <v>#DIV/0!</v>
      </c>
      <c r="N636" s="1038" t="e">
        <f>IF($F236="","",$F236*chronic_consumption!I636/1000/$C$3)</f>
        <v>#DIV/0!</v>
      </c>
      <c r="O636" s="1038" t="e">
        <f>IF($F236="","",$F236*chronic_consumption!J636/1000/$C$3)</f>
        <v>#DIV/0!</v>
      </c>
      <c r="P636" s="1038" t="e">
        <f>IF($F236="","",$F236*chronic_consumption!K636/1000/$C$3)</f>
        <v>#DIV/0!</v>
      </c>
      <c r="Q636" s="1038" t="e">
        <f>IF($F236="","",$F236*chronic_consumption!L636/1000/$C$3)</f>
        <v>#DIV/0!</v>
      </c>
      <c r="R636" s="1038" t="e">
        <f>IF($F236="","",$F236*chronic_consumption!M636/1000/$C$3)</f>
        <v>#DIV/0!</v>
      </c>
      <c r="S636" s="1038" t="e">
        <f>IF($F236="","",$F236*chronic_consumption!N636/1000/$C$3)</f>
        <v>#DIV/0!</v>
      </c>
      <c r="T636" s="1038" t="e">
        <f>IF($F236="","",$F236*chronic_consumption!O636/1000/$C$3)</f>
        <v>#DIV/0!</v>
      </c>
      <c r="U636" s="1038" t="e">
        <f>IF($F236="","",$F236*chronic_consumption!P636/1000/$C$3)</f>
        <v>#DIV/0!</v>
      </c>
      <c r="V636" s="1038" t="e">
        <f>IF($F236="","",$F236*chronic_consumption!Q636/1000/$C$3)</f>
        <v>#DIV/0!</v>
      </c>
      <c r="W636" s="1038" t="e">
        <f>IF($F236="","",$F236*chronic_consumption!R636/1000/$C$3)</f>
        <v>#DIV/0!</v>
      </c>
      <c r="X636" s="1038" t="e">
        <f>IF($F236="","",$F236*chronic_consumption!S636/1000/$C$3)</f>
        <v>#DIV/0!</v>
      </c>
      <c r="Y636" s="1038" t="e">
        <f>IF($F236="","",$F236*chronic_consumption!T636/1000/$C$3)</f>
        <v>#DIV/0!</v>
      </c>
      <c r="Z636" s="1038" t="e">
        <f>IF($F236="","",$F236*chronic_consumption!U636/1000/$C$3)</f>
        <v>#DIV/0!</v>
      </c>
      <c r="AA636" s="1038" t="e">
        <f>IF($F236="","",$F236*chronic_consumption!V636/1000/$C$3)</f>
        <v>#DIV/0!</v>
      </c>
      <c r="AB636" s="1038" t="e">
        <f>IF($F236="","",$F236*chronic_consumption!W636/1000/$C$3)</f>
        <v>#DIV/0!</v>
      </c>
      <c r="AC636" s="1038" t="e">
        <f>IF($F236="","",$F236*chronic_consumption!X636/1000/$C$3)</f>
        <v>#DIV/0!</v>
      </c>
      <c r="AD636" s="1038" t="e">
        <f>IF($F236="","",$F236*chronic_consumption!Y636/1000/$C$3)</f>
        <v>#DIV/0!</v>
      </c>
      <c r="AE636" s="1038" t="e">
        <f>IF($F236="","",$F236*chronic_consumption!Z636/1000/$C$3)</f>
        <v>#DIV/0!</v>
      </c>
      <c r="AF636" s="1038" t="e">
        <f>IF($F236="","",$F236*chronic_consumption!AA636/1000/$C$3)</f>
        <v>#DIV/0!</v>
      </c>
      <c r="AG636" s="1038" t="e">
        <f>IF($F236="","",$F236*chronic_consumption!AB636/1000/$C$3)</f>
        <v>#DIV/0!</v>
      </c>
      <c r="AH636" s="1038" t="e">
        <f>IF($F236="","",$F236*chronic_consumption!AC636/1000/$C$3)</f>
        <v>#DIV/0!</v>
      </c>
      <c r="AI636" s="1038" t="e">
        <f>IF($F236="","",$F236*chronic_consumption!AD636/1000/$C$3)</f>
        <v>#DIV/0!</v>
      </c>
      <c r="AJ636" s="1038" t="e">
        <f>IF($F236="","",$F236*chronic_consumption!AE636/1000/$C$3)</f>
        <v>#DIV/0!</v>
      </c>
      <c r="AK636" s="1038" t="e">
        <f>IF($F236="","",$F236*chronic_consumption!AF636/1000/$C$3)</f>
        <v>#DIV/0!</v>
      </c>
      <c r="AL636" s="1038" t="e">
        <f>IF($F236="","",$F236*chronic_consumption!AG636/1000/$C$3)</f>
        <v>#DIV/0!</v>
      </c>
      <c r="AM636" s="1038" t="e">
        <f>IF($F236="","",$F236*chronic_consumption!AH636/1000/$C$3)</f>
        <v>#DIV/0!</v>
      </c>
      <c r="AN636" s="1038" t="e">
        <f>IF($F236="","",$F236*chronic_consumption!AI636/1000/$C$3)</f>
        <v>#DIV/0!</v>
      </c>
      <c r="AO636" s="1038" t="e">
        <f>IF($F236="","",$F236*chronic_consumption!AJ636/1000/$C$3)</f>
        <v>#DIV/0!</v>
      </c>
      <c r="AP636" s="1038" t="e">
        <f>IF($F236="","",$F236*chronic_consumption!AK636/1000/$C$3)</f>
        <v>#DIV/0!</v>
      </c>
      <c r="AQ636" s="1038" t="e">
        <f>IF($F236="","",$F236*chronic_consumption!AL636/1000/$C$3)</f>
        <v>#DIV/0!</v>
      </c>
      <c r="AR636" s="1038" t="e">
        <f>IF($F236="","",$F236*chronic_consumption!AM636/1000/$C$3)</f>
        <v>#DIV/0!</v>
      </c>
      <c r="AS636" s="1038" t="e">
        <f>IF($F236="","",$F236*chronic_consumption!AN636/1000/$C$3)</f>
        <v>#DIV/0!</v>
      </c>
      <c r="AT636" s="1038" t="e">
        <f>IF($F236="","",$F236*chronic_consumption!AO636/1000/$C$3)</f>
        <v>#DIV/0!</v>
      </c>
      <c r="AU636" s="1038" t="e">
        <f>IF($F236="","",$F236*chronic_consumption!AP636/1000/$C$3)</f>
        <v>#DIV/0!</v>
      </c>
      <c r="AV636" s="1038" t="e">
        <f>IF($F236="","",$F236*chronic_consumption!AQ636/1000/$C$3)</f>
        <v>#DIV/0!</v>
      </c>
      <c r="AW636" s="1038" t="e">
        <f>IF($F236="","",$F236*chronic_consumption!AR636/1000/$C$3)</f>
        <v>#DIV/0!</v>
      </c>
      <c r="AX636" s="1038" t="e">
        <f>IF($F236="","",$F236*chronic_consumption!AS636/1000/$C$3)</f>
        <v>#DIV/0!</v>
      </c>
      <c r="AY636" s="1038" t="e">
        <f>IF($F236="","",$F236*chronic_consumption!AT636/1000/$C$3)</f>
        <v>#DIV/0!</v>
      </c>
      <c r="AZ636" s="44" t="s">
        <v>20</v>
      </c>
      <c r="BC636" s="29"/>
      <c r="BD636" s="29"/>
    </row>
    <row r="637" spans="1:56" ht="12" hidden="1" customHeight="1" outlineLevel="3" x14ac:dyDescent="0.2">
      <c r="A637" s="21">
        <f>acute_overview_children!A237</f>
        <v>4</v>
      </c>
      <c r="B637" s="325">
        <f t="shared" si="47"/>
        <v>402010</v>
      </c>
      <c r="C637" s="325" t="str">
        <f t="shared" si="47"/>
        <v>Olives for oil production</v>
      </c>
      <c r="D637" s="135"/>
      <c r="E637" s="1027"/>
      <c r="F637" s="87"/>
      <c r="G637" s="1027"/>
      <c r="H637" s="1029"/>
      <c r="I637" s="1030"/>
      <c r="J637" s="1039" t="e">
        <f>IF($F237="","",$F237*chronic_consumption!E637/1000/$C$3)</f>
        <v>#DIV/0!</v>
      </c>
      <c r="K637" s="1040" t="e">
        <f>IF($F237="","",$F237*chronic_consumption!F637/1000/$C$3)</f>
        <v>#DIV/0!</v>
      </c>
      <c r="L637" s="1040" t="e">
        <f>IF($F237="","",$F237*chronic_consumption!G637/1000/$C$3)</f>
        <v>#DIV/0!</v>
      </c>
      <c r="M637" s="1040" t="e">
        <f>IF($F237="","",$F237*chronic_consumption!H637/1000/$C$3)</f>
        <v>#DIV/0!</v>
      </c>
      <c r="N637" s="1040" t="e">
        <f>IF($F237="","",$F237*chronic_consumption!I637/1000/$C$3)</f>
        <v>#DIV/0!</v>
      </c>
      <c r="O637" s="1040" t="e">
        <f>IF($F237="","",$F237*chronic_consumption!J637/1000/$C$3)</f>
        <v>#DIV/0!</v>
      </c>
      <c r="P637" s="1040" t="e">
        <f>IF($F237="","",$F237*chronic_consumption!K637/1000/$C$3)</f>
        <v>#DIV/0!</v>
      </c>
      <c r="Q637" s="1040" t="e">
        <f>IF($F237="","",$F237*chronic_consumption!L637/1000/$C$3)</f>
        <v>#DIV/0!</v>
      </c>
      <c r="R637" s="1040" t="e">
        <f>IF($F237="","",$F237*chronic_consumption!M637/1000/$C$3)</f>
        <v>#DIV/0!</v>
      </c>
      <c r="S637" s="1040" t="e">
        <f>IF($F237="","",$F237*chronic_consumption!N637/1000/$C$3)</f>
        <v>#DIV/0!</v>
      </c>
      <c r="T637" s="1040" t="e">
        <f>IF($F237="","",$F237*chronic_consumption!O637/1000/$C$3)</f>
        <v>#DIV/0!</v>
      </c>
      <c r="U637" s="1040" t="e">
        <f>IF($F237="","",$F237*chronic_consumption!P637/1000/$C$3)</f>
        <v>#DIV/0!</v>
      </c>
      <c r="V637" s="1040" t="e">
        <f>IF($F237="","",$F237*chronic_consumption!Q637/1000/$C$3)</f>
        <v>#DIV/0!</v>
      </c>
      <c r="W637" s="1040" t="e">
        <f>IF($F237="","",$F237*chronic_consumption!R637/1000/$C$3)</f>
        <v>#DIV/0!</v>
      </c>
      <c r="X637" s="1040" t="e">
        <f>IF($F237="","",$F237*chronic_consumption!S637/1000/$C$3)</f>
        <v>#DIV/0!</v>
      </c>
      <c r="Y637" s="1040" t="e">
        <f>IF($F237="","",$F237*chronic_consumption!T637/1000/$C$3)</f>
        <v>#DIV/0!</v>
      </c>
      <c r="Z637" s="1040" t="e">
        <f>IF($F237="","",$F237*chronic_consumption!U637/1000/$C$3)</f>
        <v>#DIV/0!</v>
      </c>
      <c r="AA637" s="1040" t="e">
        <f>IF($F237="","",$F237*chronic_consumption!V637/1000/$C$3)</f>
        <v>#DIV/0!</v>
      </c>
      <c r="AB637" s="1040" t="e">
        <f>IF($F237="","",$F237*chronic_consumption!W637/1000/$C$3)</f>
        <v>#DIV/0!</v>
      </c>
      <c r="AC637" s="1040" t="e">
        <f>IF($F237="","",$F237*chronic_consumption!X637/1000/$C$3)</f>
        <v>#DIV/0!</v>
      </c>
      <c r="AD637" s="1040" t="e">
        <f>IF($F237="","",$F237*chronic_consumption!Y637/1000/$C$3)</f>
        <v>#DIV/0!</v>
      </c>
      <c r="AE637" s="1040" t="e">
        <f>IF($F237="","",$F237*chronic_consumption!Z637/1000/$C$3)</f>
        <v>#DIV/0!</v>
      </c>
      <c r="AF637" s="1040" t="e">
        <f>IF($F237="","",$F237*chronic_consumption!AA637/1000/$C$3)</f>
        <v>#DIV/0!</v>
      </c>
      <c r="AG637" s="1040" t="e">
        <f>IF($F237="","",$F237*chronic_consumption!AB637/1000/$C$3)</f>
        <v>#DIV/0!</v>
      </c>
      <c r="AH637" s="1040" t="e">
        <f>IF($F237="","",$F237*chronic_consumption!AC637/1000/$C$3)</f>
        <v>#DIV/0!</v>
      </c>
      <c r="AI637" s="1040" t="e">
        <f>IF($F237="","",$F237*chronic_consumption!AD637/1000/$C$3)</f>
        <v>#DIV/0!</v>
      </c>
      <c r="AJ637" s="1040" t="e">
        <f>IF($F237="","",$F237*chronic_consumption!AE637/1000/$C$3)</f>
        <v>#DIV/0!</v>
      </c>
      <c r="AK637" s="1040" t="e">
        <f>IF($F237="","",$F237*chronic_consumption!AF637/1000/$C$3)</f>
        <v>#DIV/0!</v>
      </c>
      <c r="AL637" s="1040" t="e">
        <f>IF($F237="","",$F237*chronic_consumption!AG637/1000/$C$3)</f>
        <v>#DIV/0!</v>
      </c>
      <c r="AM637" s="1040" t="e">
        <f>IF($F237="","",$F237*chronic_consumption!AH637/1000/$C$3)</f>
        <v>#DIV/0!</v>
      </c>
      <c r="AN637" s="1040" t="e">
        <f>IF($F237="","",$F237*chronic_consumption!AI637/1000/$C$3)</f>
        <v>#DIV/0!</v>
      </c>
      <c r="AO637" s="1040" t="e">
        <f>IF($F237="","",$F237*chronic_consumption!AJ637/1000/$C$3)</f>
        <v>#DIV/0!</v>
      </c>
      <c r="AP637" s="1040" t="e">
        <f>IF($F237="","",$F237*chronic_consumption!AK637/1000/$C$3)</f>
        <v>#DIV/0!</v>
      </c>
      <c r="AQ637" s="1040" t="e">
        <f>IF($F237="","",$F237*chronic_consumption!AL637/1000/$C$3)</f>
        <v>#DIV/0!</v>
      </c>
      <c r="AR637" s="1040" t="e">
        <f>IF($F237="","",$F237*chronic_consumption!AM637/1000/$C$3)</f>
        <v>#DIV/0!</v>
      </c>
      <c r="AS637" s="1040" t="e">
        <f>IF($F237="","",$F237*chronic_consumption!AN637/1000/$C$3)</f>
        <v>#DIV/0!</v>
      </c>
      <c r="AT637" s="1040" t="e">
        <f>IF($F237="","",$F237*chronic_consumption!AO637/1000/$C$3)</f>
        <v>#DIV/0!</v>
      </c>
      <c r="AU637" s="1040" t="e">
        <f>IF($F237="","",$F237*chronic_consumption!AP637/1000/$C$3)</f>
        <v>#DIV/0!</v>
      </c>
      <c r="AV637" s="1040" t="e">
        <f>IF($F237="","",$F237*chronic_consumption!AQ637/1000/$C$3)</f>
        <v>#DIV/0!</v>
      </c>
      <c r="AW637" s="1040" t="e">
        <f>IF($F237="","",$F237*chronic_consumption!AR637/1000/$C$3)</f>
        <v>#DIV/0!</v>
      </c>
      <c r="AX637" s="1040" t="e">
        <f>IF($F237="","",$F237*chronic_consumption!AS637/1000/$C$3)</f>
        <v>#DIV/0!</v>
      </c>
      <c r="AY637" s="1040" t="e">
        <f>IF($F237="","",$F237*chronic_consumption!AT637/1000/$C$3)</f>
        <v>#DIV/0!</v>
      </c>
      <c r="AZ637" s="44" t="s">
        <v>20</v>
      </c>
      <c r="BC637" s="29"/>
      <c r="BD637" s="29"/>
    </row>
    <row r="638" spans="1:56" ht="12" hidden="1" customHeight="1" outlineLevel="3" x14ac:dyDescent="0.2">
      <c r="A638" s="21">
        <f>acute_overview_children!A238</f>
        <v>4</v>
      </c>
      <c r="B638" s="325">
        <f t="shared" si="47"/>
        <v>402020</v>
      </c>
      <c r="C638" s="325" t="str">
        <f t="shared" si="47"/>
        <v>Oil palm kernels</v>
      </c>
      <c r="D638" s="135"/>
      <c r="E638" s="1027"/>
      <c r="F638" s="87"/>
      <c r="G638" s="1027"/>
      <c r="H638" s="1029"/>
      <c r="I638" s="1030"/>
      <c r="J638" s="1039" t="e">
        <f>IF($F238="","",$F238*chronic_consumption!E638/1000/$C$3)</f>
        <v>#DIV/0!</v>
      </c>
      <c r="K638" s="1040" t="e">
        <f>IF($F238="","",$F238*chronic_consumption!F638/1000/$C$3)</f>
        <v>#DIV/0!</v>
      </c>
      <c r="L638" s="1040" t="e">
        <f>IF($F238="","",$F238*chronic_consumption!G638/1000/$C$3)</f>
        <v>#DIV/0!</v>
      </c>
      <c r="M638" s="1040" t="e">
        <f>IF($F238="","",$F238*chronic_consumption!H638/1000/$C$3)</f>
        <v>#DIV/0!</v>
      </c>
      <c r="N638" s="1040" t="e">
        <f>IF($F238="","",$F238*chronic_consumption!I638/1000/$C$3)</f>
        <v>#DIV/0!</v>
      </c>
      <c r="O638" s="1040" t="e">
        <f>IF($F238="","",$F238*chronic_consumption!J638/1000/$C$3)</f>
        <v>#DIV/0!</v>
      </c>
      <c r="P638" s="1040" t="e">
        <f>IF($F238="","",$F238*chronic_consumption!K638/1000/$C$3)</f>
        <v>#DIV/0!</v>
      </c>
      <c r="Q638" s="1040" t="e">
        <f>IF($F238="","",$F238*chronic_consumption!L638/1000/$C$3)</f>
        <v>#DIV/0!</v>
      </c>
      <c r="R638" s="1040" t="e">
        <f>IF($F238="","",$F238*chronic_consumption!M638/1000/$C$3)</f>
        <v>#DIV/0!</v>
      </c>
      <c r="S638" s="1040" t="e">
        <f>IF($F238="","",$F238*chronic_consumption!N638/1000/$C$3)</f>
        <v>#DIV/0!</v>
      </c>
      <c r="T638" s="1040" t="e">
        <f>IF($F238="","",$F238*chronic_consumption!O638/1000/$C$3)</f>
        <v>#DIV/0!</v>
      </c>
      <c r="U638" s="1040" t="e">
        <f>IF($F238="","",$F238*chronic_consumption!P638/1000/$C$3)</f>
        <v>#DIV/0!</v>
      </c>
      <c r="V638" s="1040" t="e">
        <f>IF($F238="","",$F238*chronic_consumption!Q638/1000/$C$3)</f>
        <v>#DIV/0!</v>
      </c>
      <c r="W638" s="1040" t="e">
        <f>IF($F238="","",$F238*chronic_consumption!R638/1000/$C$3)</f>
        <v>#DIV/0!</v>
      </c>
      <c r="X638" s="1040" t="e">
        <f>IF($F238="","",$F238*chronic_consumption!S638/1000/$C$3)</f>
        <v>#DIV/0!</v>
      </c>
      <c r="Y638" s="1040" t="e">
        <f>IF($F238="","",$F238*chronic_consumption!T638/1000/$C$3)</f>
        <v>#DIV/0!</v>
      </c>
      <c r="Z638" s="1040" t="e">
        <f>IF($F238="","",$F238*chronic_consumption!U638/1000/$C$3)</f>
        <v>#DIV/0!</v>
      </c>
      <c r="AA638" s="1040" t="e">
        <f>IF($F238="","",$F238*chronic_consumption!V638/1000/$C$3)</f>
        <v>#DIV/0!</v>
      </c>
      <c r="AB638" s="1040" t="e">
        <f>IF($F238="","",$F238*chronic_consumption!W638/1000/$C$3)</f>
        <v>#DIV/0!</v>
      </c>
      <c r="AC638" s="1040" t="e">
        <f>IF($F238="","",$F238*chronic_consumption!X638/1000/$C$3)</f>
        <v>#DIV/0!</v>
      </c>
      <c r="AD638" s="1040" t="e">
        <f>IF($F238="","",$F238*chronic_consumption!Y638/1000/$C$3)</f>
        <v>#DIV/0!</v>
      </c>
      <c r="AE638" s="1040" t="e">
        <f>IF($F238="","",$F238*chronic_consumption!Z638/1000/$C$3)</f>
        <v>#DIV/0!</v>
      </c>
      <c r="AF638" s="1040" t="e">
        <f>IF($F238="","",$F238*chronic_consumption!AA638/1000/$C$3)</f>
        <v>#DIV/0!</v>
      </c>
      <c r="AG638" s="1040" t="e">
        <f>IF($F238="","",$F238*chronic_consumption!AB638/1000/$C$3)</f>
        <v>#DIV/0!</v>
      </c>
      <c r="AH638" s="1040" t="e">
        <f>IF($F238="","",$F238*chronic_consumption!AC638/1000/$C$3)</f>
        <v>#DIV/0!</v>
      </c>
      <c r="AI638" s="1040" t="e">
        <f>IF($F238="","",$F238*chronic_consumption!AD638/1000/$C$3)</f>
        <v>#DIV/0!</v>
      </c>
      <c r="AJ638" s="1040" t="e">
        <f>IF($F238="","",$F238*chronic_consumption!AE638/1000/$C$3)</f>
        <v>#DIV/0!</v>
      </c>
      <c r="AK638" s="1040" t="e">
        <f>IF($F238="","",$F238*chronic_consumption!AF638/1000/$C$3)</f>
        <v>#DIV/0!</v>
      </c>
      <c r="AL638" s="1040" t="e">
        <f>IF($F238="","",$F238*chronic_consumption!AG638/1000/$C$3)</f>
        <v>#DIV/0!</v>
      </c>
      <c r="AM638" s="1040" t="e">
        <f>IF($F238="","",$F238*chronic_consumption!AH638/1000/$C$3)</f>
        <v>#DIV/0!</v>
      </c>
      <c r="AN638" s="1040" t="e">
        <f>IF($F238="","",$F238*chronic_consumption!AI638/1000/$C$3)</f>
        <v>#DIV/0!</v>
      </c>
      <c r="AO638" s="1040" t="e">
        <f>IF($F238="","",$F238*chronic_consumption!AJ638/1000/$C$3)</f>
        <v>#DIV/0!</v>
      </c>
      <c r="AP638" s="1040" t="e">
        <f>IF($F238="","",$F238*chronic_consumption!AK638/1000/$C$3)</f>
        <v>#DIV/0!</v>
      </c>
      <c r="AQ638" s="1040" t="e">
        <f>IF($F238="","",$F238*chronic_consumption!AL638/1000/$C$3)</f>
        <v>#DIV/0!</v>
      </c>
      <c r="AR638" s="1040" t="e">
        <f>IF($F238="","",$F238*chronic_consumption!AM638/1000/$C$3)</f>
        <v>#DIV/0!</v>
      </c>
      <c r="AS638" s="1040" t="e">
        <f>IF($F238="","",$F238*chronic_consumption!AN638/1000/$C$3)</f>
        <v>#DIV/0!</v>
      </c>
      <c r="AT638" s="1040" t="e">
        <f>IF($F238="","",$F238*chronic_consumption!AO638/1000/$C$3)</f>
        <v>#DIV/0!</v>
      </c>
      <c r="AU638" s="1040" t="e">
        <f>IF($F238="","",$F238*chronic_consumption!AP638/1000/$C$3)</f>
        <v>#DIV/0!</v>
      </c>
      <c r="AV638" s="1040" t="e">
        <f>IF($F238="","",$F238*chronic_consumption!AQ638/1000/$C$3)</f>
        <v>#DIV/0!</v>
      </c>
      <c r="AW638" s="1040" t="e">
        <f>IF($F238="","",$F238*chronic_consumption!AR638/1000/$C$3)</f>
        <v>#DIV/0!</v>
      </c>
      <c r="AX638" s="1040" t="e">
        <f>IF($F238="","",$F238*chronic_consumption!AS638/1000/$C$3)</f>
        <v>#DIV/0!</v>
      </c>
      <c r="AY638" s="1040" t="e">
        <f>IF($F238="","",$F238*chronic_consumption!AT638/1000/$C$3)</f>
        <v>#DIV/0!</v>
      </c>
      <c r="AZ638" s="44" t="s">
        <v>20</v>
      </c>
      <c r="BC638" s="29"/>
      <c r="BD638" s="29"/>
    </row>
    <row r="639" spans="1:56" ht="12" hidden="1" customHeight="1" outlineLevel="3" x14ac:dyDescent="0.2">
      <c r="A639" s="21">
        <f>acute_overview_children!A239</f>
        <v>4</v>
      </c>
      <c r="B639" s="325">
        <f t="shared" si="47"/>
        <v>402030</v>
      </c>
      <c r="C639" s="325" t="str">
        <f t="shared" si="47"/>
        <v>Oil palm fruits</v>
      </c>
      <c r="D639" s="135"/>
      <c r="E639" s="1027"/>
      <c r="F639" s="87"/>
      <c r="G639" s="1027"/>
      <c r="H639" s="1029"/>
      <c r="I639" s="1030"/>
      <c r="J639" s="1039" t="e">
        <f>IF($F239="","",$F239*chronic_consumption!E639/1000/$C$3)</f>
        <v>#DIV/0!</v>
      </c>
      <c r="K639" s="1040" t="e">
        <f>IF($F239="","",$F239*chronic_consumption!F639/1000/$C$3)</f>
        <v>#DIV/0!</v>
      </c>
      <c r="L639" s="1040" t="e">
        <f>IF($F239="","",$F239*chronic_consumption!G639/1000/$C$3)</f>
        <v>#DIV/0!</v>
      </c>
      <c r="M639" s="1040" t="e">
        <f>IF($F239="","",$F239*chronic_consumption!H639/1000/$C$3)</f>
        <v>#DIV/0!</v>
      </c>
      <c r="N639" s="1040" t="e">
        <f>IF($F239="","",$F239*chronic_consumption!I639/1000/$C$3)</f>
        <v>#DIV/0!</v>
      </c>
      <c r="O639" s="1040" t="e">
        <f>IF($F239="","",$F239*chronic_consumption!J639/1000/$C$3)</f>
        <v>#DIV/0!</v>
      </c>
      <c r="P639" s="1040" t="e">
        <f>IF($F239="","",$F239*chronic_consumption!K639/1000/$C$3)</f>
        <v>#DIV/0!</v>
      </c>
      <c r="Q639" s="1040" t="e">
        <f>IF($F239="","",$F239*chronic_consumption!L639/1000/$C$3)</f>
        <v>#DIV/0!</v>
      </c>
      <c r="R639" s="1040" t="e">
        <f>IF($F239="","",$F239*chronic_consumption!M639/1000/$C$3)</f>
        <v>#DIV/0!</v>
      </c>
      <c r="S639" s="1040" t="e">
        <f>IF($F239="","",$F239*chronic_consumption!N639/1000/$C$3)</f>
        <v>#DIV/0!</v>
      </c>
      <c r="T639" s="1040" t="e">
        <f>IF($F239="","",$F239*chronic_consumption!O639/1000/$C$3)</f>
        <v>#DIV/0!</v>
      </c>
      <c r="U639" s="1040" t="e">
        <f>IF($F239="","",$F239*chronic_consumption!P639/1000/$C$3)</f>
        <v>#DIV/0!</v>
      </c>
      <c r="V639" s="1040" t="e">
        <f>IF($F239="","",$F239*chronic_consumption!Q639/1000/$C$3)</f>
        <v>#DIV/0!</v>
      </c>
      <c r="W639" s="1040" t="e">
        <f>IF($F239="","",$F239*chronic_consumption!R639/1000/$C$3)</f>
        <v>#DIV/0!</v>
      </c>
      <c r="X639" s="1040" t="e">
        <f>IF($F239="","",$F239*chronic_consumption!S639/1000/$C$3)</f>
        <v>#DIV/0!</v>
      </c>
      <c r="Y639" s="1040" t="e">
        <f>IF($F239="","",$F239*chronic_consumption!T639/1000/$C$3)</f>
        <v>#DIV/0!</v>
      </c>
      <c r="Z639" s="1040" t="e">
        <f>IF($F239="","",$F239*chronic_consumption!U639/1000/$C$3)</f>
        <v>#DIV/0!</v>
      </c>
      <c r="AA639" s="1040" t="e">
        <f>IF($F239="","",$F239*chronic_consumption!V639/1000/$C$3)</f>
        <v>#DIV/0!</v>
      </c>
      <c r="AB639" s="1040" t="e">
        <f>IF($F239="","",$F239*chronic_consumption!W639/1000/$C$3)</f>
        <v>#DIV/0!</v>
      </c>
      <c r="AC639" s="1040" t="e">
        <f>IF($F239="","",$F239*chronic_consumption!X639/1000/$C$3)</f>
        <v>#DIV/0!</v>
      </c>
      <c r="AD639" s="1040" t="e">
        <f>IF($F239="","",$F239*chronic_consumption!Y639/1000/$C$3)</f>
        <v>#DIV/0!</v>
      </c>
      <c r="AE639" s="1040" t="e">
        <f>IF($F239="","",$F239*chronic_consumption!Z639/1000/$C$3)</f>
        <v>#DIV/0!</v>
      </c>
      <c r="AF639" s="1040" t="e">
        <f>IF($F239="","",$F239*chronic_consumption!AA639/1000/$C$3)</f>
        <v>#DIV/0!</v>
      </c>
      <c r="AG639" s="1040" t="e">
        <f>IF($F239="","",$F239*chronic_consumption!AB639/1000/$C$3)</f>
        <v>#DIV/0!</v>
      </c>
      <c r="AH639" s="1040" t="e">
        <f>IF($F239="","",$F239*chronic_consumption!AC639/1000/$C$3)</f>
        <v>#DIV/0!</v>
      </c>
      <c r="AI639" s="1040" t="e">
        <f>IF($F239="","",$F239*chronic_consumption!AD639/1000/$C$3)</f>
        <v>#DIV/0!</v>
      </c>
      <c r="AJ639" s="1040" t="e">
        <f>IF($F239="","",$F239*chronic_consumption!AE639/1000/$C$3)</f>
        <v>#DIV/0!</v>
      </c>
      <c r="AK639" s="1040" t="e">
        <f>IF($F239="","",$F239*chronic_consumption!AF639/1000/$C$3)</f>
        <v>#DIV/0!</v>
      </c>
      <c r="AL639" s="1040" t="e">
        <f>IF($F239="","",$F239*chronic_consumption!AG639/1000/$C$3)</f>
        <v>#DIV/0!</v>
      </c>
      <c r="AM639" s="1040" t="e">
        <f>IF($F239="","",$F239*chronic_consumption!AH639/1000/$C$3)</f>
        <v>#DIV/0!</v>
      </c>
      <c r="AN639" s="1040" t="e">
        <f>IF($F239="","",$F239*chronic_consumption!AI639/1000/$C$3)</f>
        <v>#DIV/0!</v>
      </c>
      <c r="AO639" s="1040" t="e">
        <f>IF($F239="","",$F239*chronic_consumption!AJ639/1000/$C$3)</f>
        <v>#DIV/0!</v>
      </c>
      <c r="AP639" s="1040" t="e">
        <f>IF($F239="","",$F239*chronic_consumption!AK639/1000/$C$3)</f>
        <v>#DIV/0!</v>
      </c>
      <c r="AQ639" s="1040" t="e">
        <f>IF($F239="","",$F239*chronic_consumption!AL639/1000/$C$3)</f>
        <v>#DIV/0!</v>
      </c>
      <c r="AR639" s="1040" t="e">
        <f>IF($F239="","",$F239*chronic_consumption!AM639/1000/$C$3)</f>
        <v>#DIV/0!</v>
      </c>
      <c r="AS639" s="1040" t="e">
        <f>IF($F239="","",$F239*chronic_consumption!AN639/1000/$C$3)</f>
        <v>#DIV/0!</v>
      </c>
      <c r="AT639" s="1040" t="e">
        <f>IF($F239="","",$F239*chronic_consumption!AO639/1000/$C$3)</f>
        <v>#DIV/0!</v>
      </c>
      <c r="AU639" s="1040" t="e">
        <f>IF($F239="","",$F239*chronic_consumption!AP639/1000/$C$3)</f>
        <v>#DIV/0!</v>
      </c>
      <c r="AV639" s="1040" t="e">
        <f>IF($F239="","",$F239*chronic_consumption!AQ639/1000/$C$3)</f>
        <v>#DIV/0!</v>
      </c>
      <c r="AW639" s="1040" t="e">
        <f>IF($F239="","",$F239*chronic_consumption!AR639/1000/$C$3)</f>
        <v>#DIV/0!</v>
      </c>
      <c r="AX639" s="1040" t="e">
        <f>IF($F239="","",$F239*chronic_consumption!AS639/1000/$C$3)</f>
        <v>#DIV/0!</v>
      </c>
      <c r="AY639" s="1040" t="e">
        <f>IF($F239="","",$F239*chronic_consumption!AT639/1000/$C$3)</f>
        <v>#DIV/0!</v>
      </c>
      <c r="AZ639" s="44" t="s">
        <v>20</v>
      </c>
      <c r="BC639" s="29"/>
      <c r="BD639" s="29"/>
    </row>
    <row r="640" spans="1:56" ht="12" hidden="1" customHeight="1" outlineLevel="3" x14ac:dyDescent="0.2">
      <c r="A640" s="21">
        <f>acute_overview_children!A240</f>
        <v>4</v>
      </c>
      <c r="B640" s="325">
        <f t="shared" si="47"/>
        <v>402040</v>
      </c>
      <c r="C640" s="325" t="str">
        <f t="shared" si="47"/>
        <v>Kapok</v>
      </c>
      <c r="D640" s="135"/>
      <c r="E640" s="1027"/>
      <c r="F640" s="87"/>
      <c r="G640" s="1027"/>
      <c r="H640" s="1029"/>
      <c r="I640" s="1030"/>
      <c r="J640" s="1039" t="e">
        <f>IF($F240="","",$F240*chronic_consumption!E640/1000/$C$3)</f>
        <v>#DIV/0!</v>
      </c>
      <c r="K640" s="1040" t="e">
        <f>IF($F240="","",$F240*chronic_consumption!F640/1000/$C$3)</f>
        <v>#DIV/0!</v>
      </c>
      <c r="L640" s="1040" t="e">
        <f>IF($F240="","",$F240*chronic_consumption!G640/1000/$C$3)</f>
        <v>#DIV/0!</v>
      </c>
      <c r="M640" s="1040" t="e">
        <f>IF($F240="","",$F240*chronic_consumption!H640/1000/$C$3)</f>
        <v>#DIV/0!</v>
      </c>
      <c r="N640" s="1040" t="e">
        <f>IF($F240="","",$F240*chronic_consumption!I640/1000/$C$3)</f>
        <v>#DIV/0!</v>
      </c>
      <c r="O640" s="1040" t="e">
        <f>IF($F240="","",$F240*chronic_consumption!J640/1000/$C$3)</f>
        <v>#DIV/0!</v>
      </c>
      <c r="P640" s="1040" t="e">
        <f>IF($F240="","",$F240*chronic_consumption!K640/1000/$C$3)</f>
        <v>#DIV/0!</v>
      </c>
      <c r="Q640" s="1040" t="e">
        <f>IF($F240="","",$F240*chronic_consumption!L640/1000/$C$3)</f>
        <v>#DIV/0!</v>
      </c>
      <c r="R640" s="1040" t="e">
        <f>IF($F240="","",$F240*chronic_consumption!M640/1000/$C$3)</f>
        <v>#DIV/0!</v>
      </c>
      <c r="S640" s="1040" t="e">
        <f>IF($F240="","",$F240*chronic_consumption!N640/1000/$C$3)</f>
        <v>#DIV/0!</v>
      </c>
      <c r="T640" s="1040" t="e">
        <f>IF($F240="","",$F240*chronic_consumption!O640/1000/$C$3)</f>
        <v>#DIV/0!</v>
      </c>
      <c r="U640" s="1040" t="e">
        <f>IF($F240="","",$F240*chronic_consumption!P640/1000/$C$3)</f>
        <v>#DIV/0!</v>
      </c>
      <c r="V640" s="1040" t="e">
        <f>IF($F240="","",$F240*chronic_consumption!Q640/1000/$C$3)</f>
        <v>#DIV/0!</v>
      </c>
      <c r="W640" s="1040" t="e">
        <f>IF($F240="","",$F240*chronic_consumption!R640/1000/$C$3)</f>
        <v>#DIV/0!</v>
      </c>
      <c r="X640" s="1040" t="e">
        <f>IF($F240="","",$F240*chronic_consumption!S640/1000/$C$3)</f>
        <v>#DIV/0!</v>
      </c>
      <c r="Y640" s="1040" t="e">
        <f>IF($F240="","",$F240*chronic_consumption!T640/1000/$C$3)</f>
        <v>#DIV/0!</v>
      </c>
      <c r="Z640" s="1040" t="e">
        <f>IF($F240="","",$F240*chronic_consumption!U640/1000/$C$3)</f>
        <v>#DIV/0!</v>
      </c>
      <c r="AA640" s="1040" t="e">
        <f>IF($F240="","",$F240*chronic_consumption!V640/1000/$C$3)</f>
        <v>#DIV/0!</v>
      </c>
      <c r="AB640" s="1040" t="e">
        <f>IF($F240="","",$F240*chronic_consumption!W640/1000/$C$3)</f>
        <v>#DIV/0!</v>
      </c>
      <c r="AC640" s="1040" t="e">
        <f>IF($F240="","",$F240*chronic_consumption!X640/1000/$C$3)</f>
        <v>#DIV/0!</v>
      </c>
      <c r="AD640" s="1040" t="e">
        <f>IF($F240="","",$F240*chronic_consumption!Y640/1000/$C$3)</f>
        <v>#DIV/0!</v>
      </c>
      <c r="AE640" s="1040" t="e">
        <f>IF($F240="","",$F240*chronic_consumption!Z640/1000/$C$3)</f>
        <v>#DIV/0!</v>
      </c>
      <c r="AF640" s="1040" t="e">
        <f>IF($F240="","",$F240*chronic_consumption!AA640/1000/$C$3)</f>
        <v>#DIV/0!</v>
      </c>
      <c r="AG640" s="1040" t="e">
        <f>IF($F240="","",$F240*chronic_consumption!AB640/1000/$C$3)</f>
        <v>#DIV/0!</v>
      </c>
      <c r="AH640" s="1040" t="e">
        <f>IF($F240="","",$F240*chronic_consumption!AC640/1000/$C$3)</f>
        <v>#DIV/0!</v>
      </c>
      <c r="AI640" s="1040" t="e">
        <f>IF($F240="","",$F240*chronic_consumption!AD640/1000/$C$3)</f>
        <v>#DIV/0!</v>
      </c>
      <c r="AJ640" s="1040" t="e">
        <f>IF($F240="","",$F240*chronic_consumption!AE640/1000/$C$3)</f>
        <v>#DIV/0!</v>
      </c>
      <c r="AK640" s="1040" t="e">
        <f>IF($F240="","",$F240*chronic_consumption!AF640/1000/$C$3)</f>
        <v>#DIV/0!</v>
      </c>
      <c r="AL640" s="1040" t="e">
        <f>IF($F240="","",$F240*chronic_consumption!AG640/1000/$C$3)</f>
        <v>#DIV/0!</v>
      </c>
      <c r="AM640" s="1040" t="e">
        <f>IF($F240="","",$F240*chronic_consumption!AH640/1000/$C$3)</f>
        <v>#DIV/0!</v>
      </c>
      <c r="AN640" s="1040" t="e">
        <f>IF($F240="","",$F240*chronic_consumption!AI640/1000/$C$3)</f>
        <v>#DIV/0!</v>
      </c>
      <c r="AO640" s="1040" t="e">
        <f>IF($F240="","",$F240*chronic_consumption!AJ640/1000/$C$3)</f>
        <v>#DIV/0!</v>
      </c>
      <c r="AP640" s="1040" t="e">
        <f>IF($F240="","",$F240*chronic_consumption!AK640/1000/$C$3)</f>
        <v>#DIV/0!</v>
      </c>
      <c r="AQ640" s="1040" t="e">
        <f>IF($F240="","",$F240*chronic_consumption!AL640/1000/$C$3)</f>
        <v>#DIV/0!</v>
      </c>
      <c r="AR640" s="1040" t="e">
        <f>IF($F240="","",$F240*chronic_consumption!AM640/1000/$C$3)</f>
        <v>#DIV/0!</v>
      </c>
      <c r="AS640" s="1040" t="e">
        <f>IF($F240="","",$F240*chronic_consumption!AN640/1000/$C$3)</f>
        <v>#DIV/0!</v>
      </c>
      <c r="AT640" s="1040" t="e">
        <f>IF($F240="","",$F240*chronic_consumption!AO640/1000/$C$3)</f>
        <v>#DIV/0!</v>
      </c>
      <c r="AU640" s="1040" t="e">
        <f>IF($F240="","",$F240*chronic_consumption!AP640/1000/$C$3)</f>
        <v>#DIV/0!</v>
      </c>
      <c r="AV640" s="1040" t="e">
        <f>IF($F240="","",$F240*chronic_consumption!AQ640/1000/$C$3)</f>
        <v>#DIV/0!</v>
      </c>
      <c r="AW640" s="1040" t="e">
        <f>IF($F240="","",$F240*chronic_consumption!AR640/1000/$C$3)</f>
        <v>#DIV/0!</v>
      </c>
      <c r="AX640" s="1040" t="e">
        <f>IF($F240="","",$F240*chronic_consumption!AS640/1000/$C$3)</f>
        <v>#DIV/0!</v>
      </c>
      <c r="AY640" s="1040" t="e">
        <f>IF($F240="","",$F240*chronic_consumption!AT640/1000/$C$3)</f>
        <v>#DIV/0!</v>
      </c>
      <c r="AZ640" s="44" t="s">
        <v>20</v>
      </c>
      <c r="BC640" s="29"/>
      <c r="BD640" s="29"/>
    </row>
    <row r="641" spans="1:56" ht="12" hidden="1" customHeight="1" outlineLevel="3" x14ac:dyDescent="0.2">
      <c r="A641" s="21">
        <f>acute_overview_children!A241</f>
        <v>4</v>
      </c>
      <c r="B641" s="325">
        <f t="shared" si="47"/>
        <v>402990</v>
      </c>
      <c r="C641" s="325" t="str">
        <f t="shared" si="47"/>
        <v>Other oilfruit</v>
      </c>
      <c r="D641" s="135"/>
      <c r="E641" s="1027"/>
      <c r="F641" s="87"/>
      <c r="G641" s="1027"/>
      <c r="H641" s="1029"/>
      <c r="I641" s="1030"/>
      <c r="J641" s="1039" t="e">
        <f>IF($F241="","",$F241*chronic_consumption!E641/1000/$C$3)</f>
        <v>#DIV/0!</v>
      </c>
      <c r="K641" s="1040" t="e">
        <f>IF($F241="","",$F241*chronic_consumption!F641/1000/$C$3)</f>
        <v>#DIV/0!</v>
      </c>
      <c r="L641" s="1040" t="e">
        <f>IF($F241="","",$F241*chronic_consumption!G641/1000/$C$3)</f>
        <v>#DIV/0!</v>
      </c>
      <c r="M641" s="1040" t="e">
        <f>IF($F241="","",$F241*chronic_consumption!H641/1000/$C$3)</f>
        <v>#DIV/0!</v>
      </c>
      <c r="N641" s="1040" t="e">
        <f>IF($F241="","",$F241*chronic_consumption!I641/1000/$C$3)</f>
        <v>#DIV/0!</v>
      </c>
      <c r="O641" s="1040" t="e">
        <f>IF($F241="","",$F241*chronic_consumption!J641/1000/$C$3)</f>
        <v>#DIV/0!</v>
      </c>
      <c r="P641" s="1040" t="e">
        <f>IF($F241="","",$F241*chronic_consumption!K641/1000/$C$3)</f>
        <v>#DIV/0!</v>
      </c>
      <c r="Q641" s="1040" t="e">
        <f>IF($F241="","",$F241*chronic_consumption!L641/1000/$C$3)</f>
        <v>#DIV/0!</v>
      </c>
      <c r="R641" s="1040" t="e">
        <f>IF($F241="","",$F241*chronic_consumption!M641/1000/$C$3)</f>
        <v>#DIV/0!</v>
      </c>
      <c r="S641" s="1040" t="e">
        <f>IF($F241="","",$F241*chronic_consumption!N641/1000/$C$3)</f>
        <v>#DIV/0!</v>
      </c>
      <c r="T641" s="1040" t="e">
        <f>IF($F241="","",$F241*chronic_consumption!O641/1000/$C$3)</f>
        <v>#DIV/0!</v>
      </c>
      <c r="U641" s="1040" t="e">
        <f>IF($F241="","",$F241*chronic_consumption!P641/1000/$C$3)</f>
        <v>#DIV/0!</v>
      </c>
      <c r="V641" s="1040" t="e">
        <f>IF($F241="","",$F241*chronic_consumption!Q641/1000/$C$3)</f>
        <v>#DIV/0!</v>
      </c>
      <c r="W641" s="1040" t="e">
        <f>IF($F241="","",$F241*chronic_consumption!R641/1000/$C$3)</f>
        <v>#DIV/0!</v>
      </c>
      <c r="X641" s="1040" t="e">
        <f>IF($F241="","",$F241*chronic_consumption!S641/1000/$C$3)</f>
        <v>#DIV/0!</v>
      </c>
      <c r="Y641" s="1040" t="e">
        <f>IF($F241="","",$F241*chronic_consumption!T641/1000/$C$3)</f>
        <v>#DIV/0!</v>
      </c>
      <c r="Z641" s="1040" t="e">
        <f>IF($F241="","",$F241*chronic_consumption!U641/1000/$C$3)</f>
        <v>#DIV/0!</v>
      </c>
      <c r="AA641" s="1040" t="e">
        <f>IF($F241="","",$F241*chronic_consumption!V641/1000/$C$3)</f>
        <v>#DIV/0!</v>
      </c>
      <c r="AB641" s="1040" t="e">
        <f>IF($F241="","",$F241*chronic_consumption!W641/1000/$C$3)</f>
        <v>#DIV/0!</v>
      </c>
      <c r="AC641" s="1040" t="e">
        <f>IF($F241="","",$F241*chronic_consumption!X641/1000/$C$3)</f>
        <v>#DIV/0!</v>
      </c>
      <c r="AD641" s="1040" t="e">
        <f>IF($F241="","",$F241*chronic_consumption!Y641/1000/$C$3)</f>
        <v>#DIV/0!</v>
      </c>
      <c r="AE641" s="1040" t="e">
        <f>IF($F241="","",$F241*chronic_consumption!Z641/1000/$C$3)</f>
        <v>#DIV/0!</v>
      </c>
      <c r="AF641" s="1040" t="e">
        <f>IF($F241="","",$F241*chronic_consumption!AA641/1000/$C$3)</f>
        <v>#DIV/0!</v>
      </c>
      <c r="AG641" s="1040" t="e">
        <f>IF($F241="","",$F241*chronic_consumption!AB641/1000/$C$3)</f>
        <v>#DIV/0!</v>
      </c>
      <c r="AH641" s="1040" t="e">
        <f>IF($F241="","",$F241*chronic_consumption!AC641/1000/$C$3)</f>
        <v>#DIV/0!</v>
      </c>
      <c r="AI641" s="1040" t="e">
        <f>IF($F241="","",$F241*chronic_consumption!AD641/1000/$C$3)</f>
        <v>#DIV/0!</v>
      </c>
      <c r="AJ641" s="1040" t="e">
        <f>IF($F241="","",$F241*chronic_consumption!AE641/1000/$C$3)</f>
        <v>#DIV/0!</v>
      </c>
      <c r="AK641" s="1040" t="e">
        <f>IF($F241="","",$F241*chronic_consumption!AF641/1000/$C$3)</f>
        <v>#DIV/0!</v>
      </c>
      <c r="AL641" s="1040" t="e">
        <f>IF($F241="","",$F241*chronic_consumption!AG641/1000/$C$3)</f>
        <v>#DIV/0!</v>
      </c>
      <c r="AM641" s="1040" t="e">
        <f>IF($F241="","",$F241*chronic_consumption!AH641/1000/$C$3)</f>
        <v>#DIV/0!</v>
      </c>
      <c r="AN641" s="1040" t="e">
        <f>IF($F241="","",$F241*chronic_consumption!AI641/1000/$C$3)</f>
        <v>#DIV/0!</v>
      </c>
      <c r="AO641" s="1040" t="e">
        <f>IF($F241="","",$F241*chronic_consumption!AJ641/1000/$C$3)</f>
        <v>#DIV/0!</v>
      </c>
      <c r="AP641" s="1040" t="e">
        <f>IF($F241="","",$F241*chronic_consumption!AK641/1000/$C$3)</f>
        <v>#DIV/0!</v>
      </c>
      <c r="AQ641" s="1040" t="e">
        <f>IF($F241="","",$F241*chronic_consumption!AL641/1000/$C$3)</f>
        <v>#DIV/0!</v>
      </c>
      <c r="AR641" s="1040" t="e">
        <f>IF($F241="","",$F241*chronic_consumption!AM641/1000/$C$3)</f>
        <v>#DIV/0!</v>
      </c>
      <c r="AS641" s="1040" t="e">
        <f>IF($F241="","",$F241*chronic_consumption!AN641/1000/$C$3)</f>
        <v>#DIV/0!</v>
      </c>
      <c r="AT641" s="1040" t="e">
        <f>IF($F241="","",$F241*chronic_consumption!AO641/1000/$C$3)</f>
        <v>#DIV/0!</v>
      </c>
      <c r="AU641" s="1040" t="e">
        <f>IF($F241="","",$F241*chronic_consumption!AP641/1000/$C$3)</f>
        <v>#DIV/0!</v>
      </c>
      <c r="AV641" s="1040" t="e">
        <f>IF($F241="","",$F241*chronic_consumption!AQ641/1000/$C$3)</f>
        <v>#DIV/0!</v>
      </c>
      <c r="AW641" s="1040" t="e">
        <f>IF($F241="","",$F241*chronic_consumption!AR641/1000/$C$3)</f>
        <v>#DIV/0!</v>
      </c>
      <c r="AX641" s="1040" t="e">
        <f>IF($F241="","",$F241*chronic_consumption!AS641/1000/$C$3)</f>
        <v>#DIV/0!</v>
      </c>
      <c r="AY641" s="1040" t="e">
        <f>IF($F241="","",$F241*chronic_consumption!AT641/1000/$C$3)</f>
        <v>#DIV/0!</v>
      </c>
      <c r="AZ641" s="44" t="s">
        <v>20</v>
      </c>
      <c r="BC641" s="29"/>
      <c r="BD641" s="29"/>
    </row>
    <row r="642" spans="1:56" ht="12" customHeight="1" collapsed="1" x14ac:dyDescent="0.2">
      <c r="A642" s="1">
        <f>acute_overview_children!A242</f>
        <v>1</v>
      </c>
      <c r="B642" s="1026">
        <f t="shared" si="47"/>
        <v>500000</v>
      </c>
      <c r="C642" s="1026" t="str">
        <f t="shared" si="47"/>
        <v>CEREALS</v>
      </c>
      <c r="D642" s="135"/>
      <c r="E642" s="1027"/>
      <c r="F642" s="87"/>
      <c r="G642" s="1027"/>
      <c r="H642" s="1029"/>
      <c r="I642" s="1030"/>
      <c r="J642" s="1031" t="e">
        <f>IF($F242="","",$F242*chronic_consumption!E642/1000/$C$3)</f>
        <v>#DIV/0!</v>
      </c>
      <c r="K642" s="1032" t="e">
        <f>IF($F242="","",$F242*chronic_consumption!F642/1000/$C$3)</f>
        <v>#DIV/0!</v>
      </c>
      <c r="L642" s="1032" t="e">
        <f>IF($F242="","",$F242*chronic_consumption!G642/1000/$C$3)</f>
        <v>#DIV/0!</v>
      </c>
      <c r="M642" s="1032" t="e">
        <f>IF($F242="","",$F242*chronic_consumption!H642/1000/$C$3)</f>
        <v>#DIV/0!</v>
      </c>
      <c r="N642" s="1032" t="e">
        <f>IF($F242="","",$F242*chronic_consumption!I642/1000/$C$3)</f>
        <v>#DIV/0!</v>
      </c>
      <c r="O642" s="1032" t="e">
        <f>IF($F242="","",$F242*chronic_consumption!J642/1000/$C$3)</f>
        <v>#DIV/0!</v>
      </c>
      <c r="P642" s="1032" t="e">
        <f>IF($F242="","",$F242*chronic_consumption!K642/1000/$C$3)</f>
        <v>#DIV/0!</v>
      </c>
      <c r="Q642" s="1032" t="e">
        <f>IF($F242="","",$F242*chronic_consumption!L642/1000/$C$3)</f>
        <v>#DIV/0!</v>
      </c>
      <c r="R642" s="1032" t="e">
        <f>IF($F242="","",$F242*chronic_consumption!M642/1000/$C$3)</f>
        <v>#DIV/0!</v>
      </c>
      <c r="S642" s="1032" t="e">
        <f>IF($F242="","",$F242*chronic_consumption!N642/1000/$C$3)</f>
        <v>#DIV/0!</v>
      </c>
      <c r="T642" s="1032" t="e">
        <f>IF($F242="","",$F242*chronic_consumption!O642/1000/$C$3)</f>
        <v>#DIV/0!</v>
      </c>
      <c r="U642" s="1032" t="e">
        <f>IF($F242="","",$F242*chronic_consumption!P642/1000/$C$3)</f>
        <v>#DIV/0!</v>
      </c>
      <c r="V642" s="1032" t="e">
        <f>IF($F242="","",$F242*chronic_consumption!Q642/1000/$C$3)</f>
        <v>#DIV/0!</v>
      </c>
      <c r="W642" s="1032" t="e">
        <f>IF($F242="","",$F242*chronic_consumption!R642/1000/$C$3)</f>
        <v>#DIV/0!</v>
      </c>
      <c r="X642" s="1032" t="e">
        <f>IF($F242="","",$F242*chronic_consumption!S642/1000/$C$3)</f>
        <v>#DIV/0!</v>
      </c>
      <c r="Y642" s="1032" t="e">
        <f>IF($F242="","",$F242*chronic_consumption!T642/1000/$C$3)</f>
        <v>#DIV/0!</v>
      </c>
      <c r="Z642" s="1032" t="e">
        <f>IF($F242="","",$F242*chronic_consumption!U642/1000/$C$3)</f>
        <v>#DIV/0!</v>
      </c>
      <c r="AA642" s="1032" t="e">
        <f>IF($F242="","",$F242*chronic_consumption!V642/1000/$C$3)</f>
        <v>#DIV/0!</v>
      </c>
      <c r="AB642" s="1032" t="e">
        <f>IF($F242="","",$F242*chronic_consumption!W642/1000/$C$3)</f>
        <v>#DIV/0!</v>
      </c>
      <c r="AC642" s="1032" t="e">
        <f>IF($F242="","",$F242*chronic_consumption!X642/1000/$C$3)</f>
        <v>#DIV/0!</v>
      </c>
      <c r="AD642" s="1032" t="e">
        <f>IF($F242="","",$F242*chronic_consumption!Y642/1000/$C$3)</f>
        <v>#DIV/0!</v>
      </c>
      <c r="AE642" s="1032" t="e">
        <f>IF($F242="","",$F242*chronic_consumption!Z642/1000/$C$3)</f>
        <v>#DIV/0!</v>
      </c>
      <c r="AF642" s="1032" t="e">
        <f>IF($F242="","",$F242*chronic_consumption!AA642/1000/$C$3)</f>
        <v>#DIV/0!</v>
      </c>
      <c r="AG642" s="1032" t="e">
        <f>IF($F242="","",$F242*chronic_consumption!AB642/1000/$C$3)</f>
        <v>#DIV/0!</v>
      </c>
      <c r="AH642" s="1032" t="e">
        <f>IF($F242="","",$F242*chronic_consumption!AC642/1000/$C$3)</f>
        <v>#DIV/0!</v>
      </c>
      <c r="AI642" s="1032" t="e">
        <f>IF($F242="","",$F242*chronic_consumption!AD642/1000/$C$3)</f>
        <v>#DIV/0!</v>
      </c>
      <c r="AJ642" s="1032" t="e">
        <f>IF($F242="","",$F242*chronic_consumption!AE642/1000/$C$3)</f>
        <v>#DIV/0!</v>
      </c>
      <c r="AK642" s="1032" t="e">
        <f>IF($F242="","",$F242*chronic_consumption!AF642/1000/$C$3)</f>
        <v>#DIV/0!</v>
      </c>
      <c r="AL642" s="1032" t="e">
        <f>IF($F242="","",$F242*chronic_consumption!AG642/1000/$C$3)</f>
        <v>#DIV/0!</v>
      </c>
      <c r="AM642" s="1032" t="e">
        <f>IF($F242="","",$F242*chronic_consumption!AH642/1000/$C$3)</f>
        <v>#DIV/0!</v>
      </c>
      <c r="AN642" s="1032" t="e">
        <f>IF($F242="","",$F242*chronic_consumption!AI642/1000/$C$3)</f>
        <v>#DIV/0!</v>
      </c>
      <c r="AO642" s="1032" t="e">
        <f>IF($F242="","",$F242*chronic_consumption!AJ642/1000/$C$3)</f>
        <v>#DIV/0!</v>
      </c>
      <c r="AP642" s="1032" t="e">
        <f>IF($F242="","",$F242*chronic_consumption!AK642/1000/$C$3)</f>
        <v>#DIV/0!</v>
      </c>
      <c r="AQ642" s="1032" t="e">
        <f>IF($F242="","",$F242*chronic_consumption!AL642/1000/$C$3)</f>
        <v>#DIV/0!</v>
      </c>
      <c r="AR642" s="1032" t="e">
        <f>IF($F242="","",$F242*chronic_consumption!AM642/1000/$C$3)</f>
        <v>#DIV/0!</v>
      </c>
      <c r="AS642" s="1032" t="e">
        <f>IF($F242="","",$F242*chronic_consumption!AN642/1000/$C$3)</f>
        <v>#DIV/0!</v>
      </c>
      <c r="AT642" s="1032" t="e">
        <f>IF($F242="","",$F242*chronic_consumption!AO642/1000/$C$3)</f>
        <v>#DIV/0!</v>
      </c>
      <c r="AU642" s="1032" t="e">
        <f>IF($F242="","",$F242*chronic_consumption!AP642/1000/$C$3)</f>
        <v>#DIV/0!</v>
      </c>
      <c r="AV642" s="1032" t="e">
        <f>IF($F242="","",$F242*chronic_consumption!AQ642/1000/$C$3)</f>
        <v>#DIV/0!</v>
      </c>
      <c r="AW642" s="1032" t="e">
        <f>IF($F242="","",$F242*chronic_consumption!AR642/1000/$C$3)</f>
        <v>#DIV/0!</v>
      </c>
      <c r="AX642" s="1032" t="e">
        <f>IF($F242="","",$F242*chronic_consumption!AS642/1000/$C$3)</f>
        <v>#DIV/0!</v>
      </c>
      <c r="AY642" s="1032" t="e">
        <f>IF($F242="","",$F242*chronic_consumption!AT642/1000/$C$3)</f>
        <v>#DIV/0!</v>
      </c>
      <c r="AZ642" s="44" t="s">
        <v>20</v>
      </c>
      <c r="BC642" s="29"/>
      <c r="BD642" s="29"/>
    </row>
    <row r="643" spans="1:56" ht="12" hidden="1" customHeight="1" outlineLevel="3" x14ac:dyDescent="0.2">
      <c r="A643" s="21">
        <f>acute_overview_children!A243</f>
        <v>4</v>
      </c>
      <c r="B643" s="325">
        <f t="shared" si="47"/>
        <v>500010</v>
      </c>
      <c r="C643" s="325" t="str">
        <f t="shared" si="47"/>
        <v xml:space="preserve">Barley </v>
      </c>
      <c r="D643" s="135"/>
      <c r="E643" s="1027"/>
      <c r="F643" s="87"/>
      <c r="G643" s="1027"/>
      <c r="H643" s="1029"/>
      <c r="I643" s="1030"/>
      <c r="J643" s="1039" t="e">
        <f>IF($F243="","",$F243*chronic_consumption!E643/1000/$C$3)</f>
        <v>#DIV/0!</v>
      </c>
      <c r="K643" s="1040" t="e">
        <f>IF($F243="","",$F243*chronic_consumption!F643/1000/$C$3)</f>
        <v>#DIV/0!</v>
      </c>
      <c r="L643" s="1040" t="e">
        <f>IF($F243="","",$F243*chronic_consumption!G643/1000/$C$3)</f>
        <v>#DIV/0!</v>
      </c>
      <c r="M643" s="1040" t="e">
        <f>IF($F243="","",$F243*chronic_consumption!H643/1000/$C$3)</f>
        <v>#DIV/0!</v>
      </c>
      <c r="N643" s="1040" t="e">
        <f>IF($F243="","",$F243*chronic_consumption!I643/1000/$C$3)</f>
        <v>#DIV/0!</v>
      </c>
      <c r="O643" s="1040" t="e">
        <f>IF($F243="","",$F243*chronic_consumption!J643/1000/$C$3)</f>
        <v>#DIV/0!</v>
      </c>
      <c r="P643" s="1040" t="e">
        <f>IF($F243="","",$F243*chronic_consumption!K643/1000/$C$3)</f>
        <v>#DIV/0!</v>
      </c>
      <c r="Q643" s="1040" t="e">
        <f>IF($F243="","",$F243*chronic_consumption!L643/1000/$C$3)</f>
        <v>#DIV/0!</v>
      </c>
      <c r="R643" s="1040" t="e">
        <f>IF($F243="","",$F243*chronic_consumption!M643/1000/$C$3)</f>
        <v>#DIV/0!</v>
      </c>
      <c r="S643" s="1040" t="e">
        <f>IF($F243="","",$F243*chronic_consumption!N643/1000/$C$3)</f>
        <v>#DIV/0!</v>
      </c>
      <c r="T643" s="1040" t="e">
        <f>IF($F243="","",$F243*chronic_consumption!O643/1000/$C$3)</f>
        <v>#DIV/0!</v>
      </c>
      <c r="U643" s="1040" t="e">
        <f>IF($F243="","",$F243*chronic_consumption!P643/1000/$C$3)</f>
        <v>#DIV/0!</v>
      </c>
      <c r="V643" s="1040" t="e">
        <f>IF($F243="","",$F243*chronic_consumption!Q643/1000/$C$3)</f>
        <v>#DIV/0!</v>
      </c>
      <c r="W643" s="1040" t="e">
        <f>IF($F243="","",$F243*chronic_consumption!R643/1000/$C$3)</f>
        <v>#DIV/0!</v>
      </c>
      <c r="X643" s="1040" t="e">
        <f>IF($F243="","",$F243*chronic_consumption!S643/1000/$C$3)</f>
        <v>#DIV/0!</v>
      </c>
      <c r="Y643" s="1040" t="e">
        <f>IF($F243="","",$F243*chronic_consumption!T643/1000/$C$3)</f>
        <v>#DIV/0!</v>
      </c>
      <c r="Z643" s="1040" t="e">
        <f>IF($F243="","",$F243*chronic_consumption!U643/1000/$C$3)</f>
        <v>#DIV/0!</v>
      </c>
      <c r="AA643" s="1040" t="e">
        <f>IF($F243="","",$F243*chronic_consumption!V643/1000/$C$3)</f>
        <v>#DIV/0!</v>
      </c>
      <c r="AB643" s="1040" t="e">
        <f>IF($F243="","",$F243*chronic_consumption!W643/1000/$C$3)</f>
        <v>#DIV/0!</v>
      </c>
      <c r="AC643" s="1040" t="e">
        <f>IF($F243="","",$F243*chronic_consumption!X643/1000/$C$3)</f>
        <v>#DIV/0!</v>
      </c>
      <c r="AD643" s="1040" t="e">
        <f>IF($F243="","",$F243*chronic_consumption!Y643/1000/$C$3)</f>
        <v>#DIV/0!</v>
      </c>
      <c r="AE643" s="1040" t="e">
        <f>IF($F243="","",$F243*chronic_consumption!Z643/1000/$C$3)</f>
        <v>#DIV/0!</v>
      </c>
      <c r="AF643" s="1040" t="e">
        <f>IF($F243="","",$F243*chronic_consumption!AA643/1000/$C$3)</f>
        <v>#DIV/0!</v>
      </c>
      <c r="AG643" s="1040" t="e">
        <f>IF($F243="","",$F243*chronic_consumption!AB643/1000/$C$3)</f>
        <v>#DIV/0!</v>
      </c>
      <c r="AH643" s="1040" t="e">
        <f>IF($F243="","",$F243*chronic_consumption!AC643/1000/$C$3)</f>
        <v>#DIV/0!</v>
      </c>
      <c r="AI643" s="1040" t="e">
        <f>IF($F243="","",$F243*chronic_consumption!AD643/1000/$C$3)</f>
        <v>#DIV/0!</v>
      </c>
      <c r="AJ643" s="1040" t="e">
        <f>IF($F243="","",$F243*chronic_consumption!AE643/1000/$C$3)</f>
        <v>#DIV/0!</v>
      </c>
      <c r="AK643" s="1040" t="e">
        <f>IF($F243="","",$F243*chronic_consumption!AF643/1000/$C$3)</f>
        <v>#DIV/0!</v>
      </c>
      <c r="AL643" s="1040" t="e">
        <f>IF($F243="","",$F243*chronic_consumption!AG643/1000/$C$3)</f>
        <v>#DIV/0!</v>
      </c>
      <c r="AM643" s="1040" t="e">
        <f>IF($F243="","",$F243*chronic_consumption!AH643/1000/$C$3)</f>
        <v>#DIV/0!</v>
      </c>
      <c r="AN643" s="1040" t="e">
        <f>IF($F243="","",$F243*chronic_consumption!AI643/1000/$C$3)</f>
        <v>#DIV/0!</v>
      </c>
      <c r="AO643" s="1040" t="e">
        <f>IF($F243="","",$F243*chronic_consumption!AJ643/1000/$C$3)</f>
        <v>#DIV/0!</v>
      </c>
      <c r="AP643" s="1040" t="e">
        <f>IF($F243="","",$F243*chronic_consumption!AK643/1000/$C$3)</f>
        <v>#DIV/0!</v>
      </c>
      <c r="AQ643" s="1040" t="e">
        <f>IF($F243="","",$F243*chronic_consumption!AL643/1000/$C$3)</f>
        <v>#DIV/0!</v>
      </c>
      <c r="AR643" s="1040" t="e">
        <f>IF($F243="","",$F243*chronic_consumption!AM643/1000/$C$3)</f>
        <v>#DIV/0!</v>
      </c>
      <c r="AS643" s="1040" t="e">
        <f>IF($F243="","",$F243*chronic_consumption!AN643/1000/$C$3)</f>
        <v>#DIV/0!</v>
      </c>
      <c r="AT643" s="1040" t="e">
        <f>IF($F243="","",$F243*chronic_consumption!AO643/1000/$C$3)</f>
        <v>#DIV/0!</v>
      </c>
      <c r="AU643" s="1040" t="e">
        <f>IF($F243="","",$F243*chronic_consumption!AP643/1000/$C$3)</f>
        <v>#DIV/0!</v>
      </c>
      <c r="AV643" s="1040" t="e">
        <f>IF($F243="","",$F243*chronic_consumption!AQ643/1000/$C$3)</f>
        <v>#DIV/0!</v>
      </c>
      <c r="AW643" s="1040" t="e">
        <f>IF($F243="","",$F243*chronic_consumption!AR643/1000/$C$3)</f>
        <v>#DIV/0!</v>
      </c>
      <c r="AX643" s="1040" t="e">
        <f>IF($F243="","",$F243*chronic_consumption!AS643/1000/$C$3)</f>
        <v>#DIV/0!</v>
      </c>
      <c r="AY643" s="1040" t="e">
        <f>IF($F243="","",$F243*chronic_consumption!AT643/1000/$C$3)</f>
        <v>#DIV/0!</v>
      </c>
      <c r="AZ643" s="44" t="s">
        <v>20</v>
      </c>
      <c r="BC643" s="29"/>
      <c r="BD643" s="29"/>
    </row>
    <row r="644" spans="1:56" ht="12" hidden="1" customHeight="1" outlineLevel="3" x14ac:dyDescent="0.2">
      <c r="A644" s="21">
        <f>acute_overview_children!A244</f>
        <v>4</v>
      </c>
      <c r="B644" s="325">
        <f t="shared" si="47"/>
        <v>500020</v>
      </c>
      <c r="C644" s="325" t="str">
        <f t="shared" si="47"/>
        <v>Buckwheat and other pseudo-cereals</v>
      </c>
      <c r="D644" s="135"/>
      <c r="E644" s="1027"/>
      <c r="F644" s="87"/>
      <c r="G644" s="1027"/>
      <c r="H644" s="1029"/>
      <c r="I644" s="1030"/>
      <c r="J644" s="1039" t="e">
        <f>IF($F244="","",$F244*chronic_consumption!E644/1000/$C$3)</f>
        <v>#DIV/0!</v>
      </c>
      <c r="K644" s="1040" t="e">
        <f>IF($F244="","",$F244*chronic_consumption!F644/1000/$C$3)</f>
        <v>#DIV/0!</v>
      </c>
      <c r="L644" s="1040" t="e">
        <f>IF($F244="","",$F244*chronic_consumption!G644/1000/$C$3)</f>
        <v>#DIV/0!</v>
      </c>
      <c r="M644" s="1040" t="e">
        <f>IF($F244="","",$F244*chronic_consumption!H644/1000/$C$3)</f>
        <v>#DIV/0!</v>
      </c>
      <c r="N644" s="1040" t="e">
        <f>IF($F244="","",$F244*chronic_consumption!I644/1000/$C$3)</f>
        <v>#DIV/0!</v>
      </c>
      <c r="O644" s="1040" t="e">
        <f>IF($F244="","",$F244*chronic_consumption!J644/1000/$C$3)</f>
        <v>#DIV/0!</v>
      </c>
      <c r="P644" s="1040" t="e">
        <f>IF($F244="","",$F244*chronic_consumption!K644/1000/$C$3)</f>
        <v>#DIV/0!</v>
      </c>
      <c r="Q644" s="1040" t="e">
        <f>IF($F244="","",$F244*chronic_consumption!L644/1000/$C$3)</f>
        <v>#DIV/0!</v>
      </c>
      <c r="R644" s="1040" t="e">
        <f>IF($F244="","",$F244*chronic_consumption!M644/1000/$C$3)</f>
        <v>#DIV/0!</v>
      </c>
      <c r="S644" s="1040" t="e">
        <f>IF($F244="","",$F244*chronic_consumption!N644/1000/$C$3)</f>
        <v>#DIV/0!</v>
      </c>
      <c r="T644" s="1040" t="e">
        <f>IF($F244="","",$F244*chronic_consumption!O644/1000/$C$3)</f>
        <v>#DIV/0!</v>
      </c>
      <c r="U644" s="1040" t="e">
        <f>IF($F244="","",$F244*chronic_consumption!P644/1000/$C$3)</f>
        <v>#DIV/0!</v>
      </c>
      <c r="V644" s="1040" t="e">
        <f>IF($F244="","",$F244*chronic_consumption!Q644/1000/$C$3)</f>
        <v>#DIV/0!</v>
      </c>
      <c r="W644" s="1040" t="e">
        <f>IF($F244="","",$F244*chronic_consumption!R644/1000/$C$3)</f>
        <v>#DIV/0!</v>
      </c>
      <c r="X644" s="1040" t="e">
        <f>IF($F244="","",$F244*chronic_consumption!S644/1000/$C$3)</f>
        <v>#DIV/0!</v>
      </c>
      <c r="Y644" s="1040" t="e">
        <f>IF($F244="","",$F244*chronic_consumption!T644/1000/$C$3)</f>
        <v>#DIV/0!</v>
      </c>
      <c r="Z644" s="1040" t="e">
        <f>IF($F244="","",$F244*chronic_consumption!U644/1000/$C$3)</f>
        <v>#DIV/0!</v>
      </c>
      <c r="AA644" s="1040" t="e">
        <f>IF($F244="","",$F244*chronic_consumption!V644/1000/$C$3)</f>
        <v>#DIV/0!</v>
      </c>
      <c r="AB644" s="1040" t="e">
        <f>IF($F244="","",$F244*chronic_consumption!W644/1000/$C$3)</f>
        <v>#DIV/0!</v>
      </c>
      <c r="AC644" s="1040" t="e">
        <f>IF($F244="","",$F244*chronic_consumption!X644/1000/$C$3)</f>
        <v>#DIV/0!</v>
      </c>
      <c r="AD644" s="1040" t="e">
        <f>IF($F244="","",$F244*chronic_consumption!Y644/1000/$C$3)</f>
        <v>#DIV/0!</v>
      </c>
      <c r="AE644" s="1040" t="e">
        <f>IF($F244="","",$F244*chronic_consumption!Z644/1000/$C$3)</f>
        <v>#DIV/0!</v>
      </c>
      <c r="AF644" s="1040" t="e">
        <f>IF($F244="","",$F244*chronic_consumption!AA644/1000/$C$3)</f>
        <v>#DIV/0!</v>
      </c>
      <c r="AG644" s="1040" t="e">
        <f>IF($F244="","",$F244*chronic_consumption!AB644/1000/$C$3)</f>
        <v>#DIV/0!</v>
      </c>
      <c r="AH644" s="1040" t="e">
        <f>IF($F244="","",$F244*chronic_consumption!AC644/1000/$C$3)</f>
        <v>#DIV/0!</v>
      </c>
      <c r="AI644" s="1040" t="e">
        <f>IF($F244="","",$F244*chronic_consumption!AD644/1000/$C$3)</f>
        <v>#DIV/0!</v>
      </c>
      <c r="AJ644" s="1040" t="e">
        <f>IF($F244="","",$F244*chronic_consumption!AE644/1000/$C$3)</f>
        <v>#DIV/0!</v>
      </c>
      <c r="AK644" s="1040" t="e">
        <f>IF($F244="","",$F244*chronic_consumption!AF644/1000/$C$3)</f>
        <v>#DIV/0!</v>
      </c>
      <c r="AL644" s="1040" t="e">
        <f>IF($F244="","",$F244*chronic_consumption!AG644/1000/$C$3)</f>
        <v>#DIV/0!</v>
      </c>
      <c r="AM644" s="1040" t="e">
        <f>IF($F244="","",$F244*chronic_consumption!AH644/1000/$C$3)</f>
        <v>#DIV/0!</v>
      </c>
      <c r="AN644" s="1040" t="e">
        <f>IF($F244="","",$F244*chronic_consumption!AI644/1000/$C$3)</f>
        <v>#DIV/0!</v>
      </c>
      <c r="AO644" s="1040" t="e">
        <f>IF($F244="","",$F244*chronic_consumption!AJ644/1000/$C$3)</f>
        <v>#DIV/0!</v>
      </c>
      <c r="AP644" s="1040" t="e">
        <f>IF($F244="","",$F244*chronic_consumption!AK644/1000/$C$3)</f>
        <v>#DIV/0!</v>
      </c>
      <c r="AQ644" s="1040" t="e">
        <f>IF($F244="","",$F244*chronic_consumption!AL644/1000/$C$3)</f>
        <v>#DIV/0!</v>
      </c>
      <c r="AR644" s="1040" t="e">
        <f>IF($F244="","",$F244*chronic_consumption!AM644/1000/$C$3)</f>
        <v>#DIV/0!</v>
      </c>
      <c r="AS644" s="1040" t="e">
        <f>IF($F244="","",$F244*chronic_consumption!AN644/1000/$C$3)</f>
        <v>#DIV/0!</v>
      </c>
      <c r="AT644" s="1040" t="e">
        <f>IF($F244="","",$F244*chronic_consumption!AO644/1000/$C$3)</f>
        <v>#DIV/0!</v>
      </c>
      <c r="AU644" s="1040" t="e">
        <f>IF($F244="","",$F244*chronic_consumption!AP644/1000/$C$3)</f>
        <v>#DIV/0!</v>
      </c>
      <c r="AV644" s="1040" t="e">
        <f>IF($F244="","",$F244*chronic_consumption!AQ644/1000/$C$3)</f>
        <v>#DIV/0!</v>
      </c>
      <c r="AW644" s="1040" t="e">
        <f>IF($F244="","",$F244*chronic_consumption!AR644/1000/$C$3)</f>
        <v>#DIV/0!</v>
      </c>
      <c r="AX644" s="1040" t="e">
        <f>IF($F244="","",$F244*chronic_consumption!AS644/1000/$C$3)</f>
        <v>#DIV/0!</v>
      </c>
      <c r="AY644" s="1040" t="e">
        <f>IF($F244="","",$F244*chronic_consumption!AT644/1000/$C$3)</f>
        <v>#DIV/0!</v>
      </c>
      <c r="AZ644" s="44" t="s">
        <v>20</v>
      </c>
      <c r="BC644" s="29"/>
      <c r="BD644" s="29"/>
    </row>
    <row r="645" spans="1:56" ht="12" hidden="1" customHeight="1" outlineLevel="3" x14ac:dyDescent="0.2">
      <c r="A645" s="21">
        <f>acute_overview_children!A245</f>
        <v>4</v>
      </c>
      <c r="B645" s="325">
        <f t="shared" si="47"/>
        <v>500030</v>
      </c>
      <c r="C645" s="325" t="str">
        <f t="shared" si="47"/>
        <v>Maize/corn</v>
      </c>
      <c r="D645" s="135"/>
      <c r="E645" s="1027"/>
      <c r="F645" s="87"/>
      <c r="G645" s="1027"/>
      <c r="H645" s="1029"/>
      <c r="I645" s="1030"/>
      <c r="J645" s="1039" t="e">
        <f>IF($F245="","",$F245*chronic_consumption!E645/1000/$C$3)</f>
        <v>#DIV/0!</v>
      </c>
      <c r="K645" s="1040" t="e">
        <f>IF($F245="","",$F245*chronic_consumption!F645/1000/$C$3)</f>
        <v>#DIV/0!</v>
      </c>
      <c r="L645" s="1040" t="e">
        <f>IF($F245="","",$F245*chronic_consumption!G645/1000/$C$3)</f>
        <v>#DIV/0!</v>
      </c>
      <c r="M645" s="1040" t="e">
        <f>IF($F245="","",$F245*chronic_consumption!H645/1000/$C$3)</f>
        <v>#DIV/0!</v>
      </c>
      <c r="N645" s="1040" t="e">
        <f>IF($F245="","",$F245*chronic_consumption!I645/1000/$C$3)</f>
        <v>#DIV/0!</v>
      </c>
      <c r="O645" s="1040" t="e">
        <f>IF($F245="","",$F245*chronic_consumption!J645/1000/$C$3)</f>
        <v>#DIV/0!</v>
      </c>
      <c r="P645" s="1040" t="e">
        <f>IF($F245="","",$F245*chronic_consumption!K645/1000/$C$3)</f>
        <v>#DIV/0!</v>
      </c>
      <c r="Q645" s="1040" t="e">
        <f>IF($F245="","",$F245*chronic_consumption!L645/1000/$C$3)</f>
        <v>#DIV/0!</v>
      </c>
      <c r="R645" s="1040" t="e">
        <f>IF($F245="","",$F245*chronic_consumption!M645/1000/$C$3)</f>
        <v>#DIV/0!</v>
      </c>
      <c r="S645" s="1040" t="e">
        <f>IF($F245="","",$F245*chronic_consumption!N645/1000/$C$3)</f>
        <v>#DIV/0!</v>
      </c>
      <c r="T645" s="1040" t="e">
        <f>IF($F245="","",$F245*chronic_consumption!O645/1000/$C$3)</f>
        <v>#DIV/0!</v>
      </c>
      <c r="U645" s="1040" t="e">
        <f>IF($F245="","",$F245*chronic_consumption!P645/1000/$C$3)</f>
        <v>#DIV/0!</v>
      </c>
      <c r="V645" s="1040" t="e">
        <f>IF($F245="","",$F245*chronic_consumption!Q645/1000/$C$3)</f>
        <v>#DIV/0!</v>
      </c>
      <c r="W645" s="1040" t="e">
        <f>IF($F245="","",$F245*chronic_consumption!R645/1000/$C$3)</f>
        <v>#DIV/0!</v>
      </c>
      <c r="X645" s="1040" t="e">
        <f>IF($F245="","",$F245*chronic_consumption!S645/1000/$C$3)</f>
        <v>#DIV/0!</v>
      </c>
      <c r="Y645" s="1040" t="e">
        <f>IF($F245="","",$F245*chronic_consumption!T645/1000/$C$3)</f>
        <v>#DIV/0!</v>
      </c>
      <c r="Z645" s="1040" t="e">
        <f>IF($F245="","",$F245*chronic_consumption!U645/1000/$C$3)</f>
        <v>#DIV/0!</v>
      </c>
      <c r="AA645" s="1040" t="e">
        <f>IF($F245="","",$F245*chronic_consumption!V645/1000/$C$3)</f>
        <v>#DIV/0!</v>
      </c>
      <c r="AB645" s="1040" t="e">
        <f>IF($F245="","",$F245*chronic_consumption!W645/1000/$C$3)</f>
        <v>#DIV/0!</v>
      </c>
      <c r="AC645" s="1040" t="e">
        <f>IF($F245="","",$F245*chronic_consumption!X645/1000/$C$3)</f>
        <v>#DIV/0!</v>
      </c>
      <c r="AD645" s="1040" t="e">
        <f>IF($F245="","",$F245*chronic_consumption!Y645/1000/$C$3)</f>
        <v>#DIV/0!</v>
      </c>
      <c r="AE645" s="1040" t="e">
        <f>IF($F245="","",$F245*chronic_consumption!Z645/1000/$C$3)</f>
        <v>#DIV/0!</v>
      </c>
      <c r="AF645" s="1040" t="e">
        <f>IF($F245="","",$F245*chronic_consumption!AA645/1000/$C$3)</f>
        <v>#DIV/0!</v>
      </c>
      <c r="AG645" s="1040" t="e">
        <f>IF($F245="","",$F245*chronic_consumption!AB645/1000/$C$3)</f>
        <v>#DIV/0!</v>
      </c>
      <c r="AH645" s="1040" t="e">
        <f>IF($F245="","",$F245*chronic_consumption!AC645/1000/$C$3)</f>
        <v>#DIV/0!</v>
      </c>
      <c r="AI645" s="1040" t="e">
        <f>IF($F245="","",$F245*chronic_consumption!AD645/1000/$C$3)</f>
        <v>#DIV/0!</v>
      </c>
      <c r="AJ645" s="1040" t="e">
        <f>IF($F245="","",$F245*chronic_consumption!AE645/1000/$C$3)</f>
        <v>#DIV/0!</v>
      </c>
      <c r="AK645" s="1040" t="e">
        <f>IF($F245="","",$F245*chronic_consumption!AF645/1000/$C$3)</f>
        <v>#DIV/0!</v>
      </c>
      <c r="AL645" s="1040" t="e">
        <f>IF($F245="","",$F245*chronic_consumption!AG645/1000/$C$3)</f>
        <v>#DIV/0!</v>
      </c>
      <c r="AM645" s="1040" t="e">
        <f>IF($F245="","",$F245*chronic_consumption!AH645/1000/$C$3)</f>
        <v>#DIV/0!</v>
      </c>
      <c r="AN645" s="1040" t="e">
        <f>IF($F245="","",$F245*chronic_consumption!AI645/1000/$C$3)</f>
        <v>#DIV/0!</v>
      </c>
      <c r="AO645" s="1040" t="e">
        <f>IF($F245="","",$F245*chronic_consumption!AJ645/1000/$C$3)</f>
        <v>#DIV/0!</v>
      </c>
      <c r="AP645" s="1040" t="e">
        <f>IF($F245="","",$F245*chronic_consumption!AK645/1000/$C$3)</f>
        <v>#DIV/0!</v>
      </c>
      <c r="AQ645" s="1040" t="e">
        <f>IF($F245="","",$F245*chronic_consumption!AL645/1000/$C$3)</f>
        <v>#DIV/0!</v>
      </c>
      <c r="AR645" s="1040" t="e">
        <f>IF($F245="","",$F245*chronic_consumption!AM645/1000/$C$3)</f>
        <v>#DIV/0!</v>
      </c>
      <c r="AS645" s="1040" t="e">
        <f>IF($F245="","",$F245*chronic_consumption!AN645/1000/$C$3)</f>
        <v>#DIV/0!</v>
      </c>
      <c r="AT645" s="1040" t="e">
        <f>IF($F245="","",$F245*chronic_consumption!AO645/1000/$C$3)</f>
        <v>#DIV/0!</v>
      </c>
      <c r="AU645" s="1040" t="e">
        <f>IF($F245="","",$F245*chronic_consumption!AP645/1000/$C$3)</f>
        <v>#DIV/0!</v>
      </c>
      <c r="AV645" s="1040" t="e">
        <f>IF($F245="","",$F245*chronic_consumption!AQ645/1000/$C$3)</f>
        <v>#DIV/0!</v>
      </c>
      <c r="AW645" s="1040" t="e">
        <f>IF($F245="","",$F245*chronic_consumption!AR645/1000/$C$3)</f>
        <v>#DIV/0!</v>
      </c>
      <c r="AX645" s="1040" t="e">
        <f>IF($F245="","",$F245*chronic_consumption!AS645/1000/$C$3)</f>
        <v>#DIV/0!</v>
      </c>
      <c r="AY645" s="1040" t="e">
        <f>IF($F245="","",$F245*chronic_consumption!AT645/1000/$C$3)</f>
        <v>#DIV/0!</v>
      </c>
      <c r="AZ645" s="44" t="s">
        <v>20</v>
      </c>
      <c r="BC645" s="29"/>
      <c r="BD645" s="29"/>
    </row>
    <row r="646" spans="1:56" ht="12" hidden="1" customHeight="1" outlineLevel="3" x14ac:dyDescent="0.2">
      <c r="A646" s="21">
        <f>acute_overview_children!A246</f>
        <v>4</v>
      </c>
      <c r="B646" s="325">
        <f t="shared" si="47"/>
        <v>500040</v>
      </c>
      <c r="C646" s="325" t="str">
        <f t="shared" si="47"/>
        <v>Common millet/proso millet</v>
      </c>
      <c r="D646" s="135"/>
      <c r="E646" s="1027"/>
      <c r="F646" s="87"/>
      <c r="G646" s="1027"/>
      <c r="H646" s="1029"/>
      <c r="I646" s="1030"/>
      <c r="J646" s="1039" t="e">
        <f>IF($F246="","",$F246*chronic_consumption!E646/1000/$C$3)</f>
        <v>#DIV/0!</v>
      </c>
      <c r="K646" s="1040" t="e">
        <f>IF($F246="","",$F246*chronic_consumption!F646/1000/$C$3)</f>
        <v>#DIV/0!</v>
      </c>
      <c r="L646" s="1040" t="e">
        <f>IF($F246="","",$F246*chronic_consumption!G646/1000/$C$3)</f>
        <v>#DIV/0!</v>
      </c>
      <c r="M646" s="1040" t="e">
        <f>IF($F246="","",$F246*chronic_consumption!H646/1000/$C$3)</f>
        <v>#DIV/0!</v>
      </c>
      <c r="N646" s="1040" t="e">
        <f>IF($F246="","",$F246*chronic_consumption!I646/1000/$C$3)</f>
        <v>#DIV/0!</v>
      </c>
      <c r="O646" s="1040" t="e">
        <f>IF($F246="","",$F246*chronic_consumption!J646/1000/$C$3)</f>
        <v>#DIV/0!</v>
      </c>
      <c r="P646" s="1040" t="e">
        <f>IF($F246="","",$F246*chronic_consumption!K646/1000/$C$3)</f>
        <v>#DIV/0!</v>
      </c>
      <c r="Q646" s="1040" t="e">
        <f>IF($F246="","",$F246*chronic_consumption!L646/1000/$C$3)</f>
        <v>#DIV/0!</v>
      </c>
      <c r="R646" s="1040" t="e">
        <f>IF($F246="","",$F246*chronic_consumption!M646/1000/$C$3)</f>
        <v>#DIV/0!</v>
      </c>
      <c r="S646" s="1040" t="e">
        <f>IF($F246="","",$F246*chronic_consumption!N646/1000/$C$3)</f>
        <v>#DIV/0!</v>
      </c>
      <c r="T646" s="1040" t="e">
        <f>IF($F246="","",$F246*chronic_consumption!O646/1000/$C$3)</f>
        <v>#DIV/0!</v>
      </c>
      <c r="U646" s="1040" t="e">
        <f>IF($F246="","",$F246*chronic_consumption!P646/1000/$C$3)</f>
        <v>#DIV/0!</v>
      </c>
      <c r="V646" s="1040" t="e">
        <f>IF($F246="","",$F246*chronic_consumption!Q646/1000/$C$3)</f>
        <v>#DIV/0!</v>
      </c>
      <c r="W646" s="1040" t="e">
        <f>IF($F246="","",$F246*chronic_consumption!R646/1000/$C$3)</f>
        <v>#DIV/0!</v>
      </c>
      <c r="X646" s="1040" t="e">
        <f>IF($F246="","",$F246*chronic_consumption!S646/1000/$C$3)</f>
        <v>#DIV/0!</v>
      </c>
      <c r="Y646" s="1040" t="e">
        <f>IF($F246="","",$F246*chronic_consumption!T646/1000/$C$3)</f>
        <v>#DIV/0!</v>
      </c>
      <c r="Z646" s="1040" t="e">
        <f>IF($F246="","",$F246*chronic_consumption!U646/1000/$C$3)</f>
        <v>#DIV/0!</v>
      </c>
      <c r="AA646" s="1040" t="e">
        <f>IF($F246="","",$F246*chronic_consumption!V646/1000/$C$3)</f>
        <v>#DIV/0!</v>
      </c>
      <c r="AB646" s="1040" t="e">
        <f>IF($F246="","",$F246*chronic_consumption!W646/1000/$C$3)</f>
        <v>#DIV/0!</v>
      </c>
      <c r="AC646" s="1040" t="e">
        <f>IF($F246="","",$F246*chronic_consumption!X646/1000/$C$3)</f>
        <v>#DIV/0!</v>
      </c>
      <c r="AD646" s="1040" t="e">
        <f>IF($F246="","",$F246*chronic_consumption!Y646/1000/$C$3)</f>
        <v>#DIV/0!</v>
      </c>
      <c r="AE646" s="1040" t="e">
        <f>IF($F246="","",$F246*chronic_consumption!Z646/1000/$C$3)</f>
        <v>#DIV/0!</v>
      </c>
      <c r="AF646" s="1040" t="e">
        <f>IF($F246="","",$F246*chronic_consumption!AA646/1000/$C$3)</f>
        <v>#DIV/0!</v>
      </c>
      <c r="AG646" s="1040" t="e">
        <f>IF($F246="","",$F246*chronic_consumption!AB646/1000/$C$3)</f>
        <v>#DIV/0!</v>
      </c>
      <c r="AH646" s="1040" t="e">
        <f>IF($F246="","",$F246*chronic_consumption!AC646/1000/$C$3)</f>
        <v>#DIV/0!</v>
      </c>
      <c r="AI646" s="1040" t="e">
        <f>IF($F246="","",$F246*chronic_consumption!AD646/1000/$C$3)</f>
        <v>#DIV/0!</v>
      </c>
      <c r="AJ646" s="1040" t="e">
        <f>IF($F246="","",$F246*chronic_consumption!AE646/1000/$C$3)</f>
        <v>#DIV/0!</v>
      </c>
      <c r="AK646" s="1040" t="e">
        <f>IF($F246="","",$F246*chronic_consumption!AF646/1000/$C$3)</f>
        <v>#DIV/0!</v>
      </c>
      <c r="AL646" s="1040" t="e">
        <f>IF($F246="","",$F246*chronic_consumption!AG646/1000/$C$3)</f>
        <v>#DIV/0!</v>
      </c>
      <c r="AM646" s="1040" t="e">
        <f>IF($F246="","",$F246*chronic_consumption!AH646/1000/$C$3)</f>
        <v>#DIV/0!</v>
      </c>
      <c r="AN646" s="1040" t="e">
        <f>IF($F246="","",$F246*chronic_consumption!AI646/1000/$C$3)</f>
        <v>#DIV/0!</v>
      </c>
      <c r="AO646" s="1040" t="e">
        <f>IF($F246="","",$F246*chronic_consumption!AJ646/1000/$C$3)</f>
        <v>#DIV/0!</v>
      </c>
      <c r="AP646" s="1040" t="e">
        <f>IF($F246="","",$F246*chronic_consumption!AK646/1000/$C$3)</f>
        <v>#DIV/0!</v>
      </c>
      <c r="AQ646" s="1040" t="e">
        <f>IF($F246="","",$F246*chronic_consumption!AL646/1000/$C$3)</f>
        <v>#DIV/0!</v>
      </c>
      <c r="AR646" s="1040" t="e">
        <f>IF($F246="","",$F246*chronic_consumption!AM646/1000/$C$3)</f>
        <v>#DIV/0!</v>
      </c>
      <c r="AS646" s="1040" t="e">
        <f>IF($F246="","",$F246*chronic_consumption!AN646/1000/$C$3)</f>
        <v>#DIV/0!</v>
      </c>
      <c r="AT646" s="1040" t="e">
        <f>IF($F246="","",$F246*chronic_consumption!AO646/1000/$C$3)</f>
        <v>#DIV/0!</v>
      </c>
      <c r="AU646" s="1040" t="e">
        <f>IF($F246="","",$F246*chronic_consumption!AP646/1000/$C$3)</f>
        <v>#DIV/0!</v>
      </c>
      <c r="AV646" s="1040" t="e">
        <f>IF($F246="","",$F246*chronic_consumption!AQ646/1000/$C$3)</f>
        <v>#DIV/0!</v>
      </c>
      <c r="AW646" s="1040" t="e">
        <f>IF($F246="","",$F246*chronic_consumption!AR646/1000/$C$3)</f>
        <v>#DIV/0!</v>
      </c>
      <c r="AX646" s="1040" t="e">
        <f>IF($F246="","",$F246*chronic_consumption!AS646/1000/$C$3)</f>
        <v>#DIV/0!</v>
      </c>
      <c r="AY646" s="1040" t="e">
        <f>IF($F246="","",$F246*chronic_consumption!AT646/1000/$C$3)</f>
        <v>#DIV/0!</v>
      </c>
      <c r="AZ646" s="44" t="s">
        <v>20</v>
      </c>
      <c r="BC646" s="29"/>
      <c r="BD646" s="29"/>
    </row>
    <row r="647" spans="1:56" ht="12" hidden="1" customHeight="1" outlineLevel="3" x14ac:dyDescent="0.2">
      <c r="A647" s="21">
        <f>acute_overview_children!A247</f>
        <v>4</v>
      </c>
      <c r="B647" s="325">
        <f t="shared" si="47"/>
        <v>500050</v>
      </c>
      <c r="C647" s="325" t="str">
        <f t="shared" si="47"/>
        <v>Oat</v>
      </c>
      <c r="D647" s="135"/>
      <c r="E647" s="1027"/>
      <c r="F647" s="87"/>
      <c r="G647" s="1027"/>
      <c r="H647" s="1029"/>
      <c r="I647" s="1030"/>
      <c r="J647" s="1039" t="e">
        <f>IF($F247="","",$F247*chronic_consumption!E647/1000/$C$3)</f>
        <v>#DIV/0!</v>
      </c>
      <c r="K647" s="1040" t="e">
        <f>IF($F247="","",$F247*chronic_consumption!F647/1000/$C$3)</f>
        <v>#DIV/0!</v>
      </c>
      <c r="L647" s="1040" t="e">
        <f>IF($F247="","",$F247*chronic_consumption!G647/1000/$C$3)</f>
        <v>#DIV/0!</v>
      </c>
      <c r="M647" s="1040" t="e">
        <f>IF($F247="","",$F247*chronic_consumption!H647/1000/$C$3)</f>
        <v>#DIV/0!</v>
      </c>
      <c r="N647" s="1040" t="e">
        <f>IF($F247="","",$F247*chronic_consumption!I647/1000/$C$3)</f>
        <v>#DIV/0!</v>
      </c>
      <c r="O647" s="1040" t="e">
        <f>IF($F247="","",$F247*chronic_consumption!J647/1000/$C$3)</f>
        <v>#DIV/0!</v>
      </c>
      <c r="P647" s="1040" t="e">
        <f>IF($F247="","",$F247*chronic_consumption!K647/1000/$C$3)</f>
        <v>#DIV/0!</v>
      </c>
      <c r="Q647" s="1040" t="e">
        <f>IF($F247="","",$F247*chronic_consumption!L647/1000/$C$3)</f>
        <v>#DIV/0!</v>
      </c>
      <c r="R647" s="1040" t="e">
        <f>IF($F247="","",$F247*chronic_consumption!M647/1000/$C$3)</f>
        <v>#DIV/0!</v>
      </c>
      <c r="S647" s="1040" t="e">
        <f>IF($F247="","",$F247*chronic_consumption!N647/1000/$C$3)</f>
        <v>#DIV/0!</v>
      </c>
      <c r="T647" s="1040" t="e">
        <f>IF($F247="","",$F247*chronic_consumption!O647/1000/$C$3)</f>
        <v>#DIV/0!</v>
      </c>
      <c r="U647" s="1040" t="e">
        <f>IF($F247="","",$F247*chronic_consumption!P647/1000/$C$3)</f>
        <v>#DIV/0!</v>
      </c>
      <c r="V647" s="1040" t="e">
        <f>IF($F247="","",$F247*chronic_consumption!Q647/1000/$C$3)</f>
        <v>#DIV/0!</v>
      </c>
      <c r="W647" s="1040" t="e">
        <f>IF($F247="","",$F247*chronic_consumption!R647/1000/$C$3)</f>
        <v>#DIV/0!</v>
      </c>
      <c r="X647" s="1040" t="e">
        <f>IF($F247="","",$F247*chronic_consumption!S647/1000/$C$3)</f>
        <v>#DIV/0!</v>
      </c>
      <c r="Y647" s="1040" t="e">
        <f>IF($F247="","",$F247*chronic_consumption!T647/1000/$C$3)</f>
        <v>#DIV/0!</v>
      </c>
      <c r="Z647" s="1040" t="e">
        <f>IF($F247="","",$F247*chronic_consumption!U647/1000/$C$3)</f>
        <v>#DIV/0!</v>
      </c>
      <c r="AA647" s="1040" t="e">
        <f>IF($F247="","",$F247*chronic_consumption!V647/1000/$C$3)</f>
        <v>#DIV/0!</v>
      </c>
      <c r="AB647" s="1040" t="e">
        <f>IF($F247="","",$F247*chronic_consumption!W647/1000/$C$3)</f>
        <v>#DIV/0!</v>
      </c>
      <c r="AC647" s="1040" t="e">
        <f>IF($F247="","",$F247*chronic_consumption!X647/1000/$C$3)</f>
        <v>#DIV/0!</v>
      </c>
      <c r="AD647" s="1040" t="e">
        <f>IF($F247="","",$F247*chronic_consumption!Y647/1000/$C$3)</f>
        <v>#DIV/0!</v>
      </c>
      <c r="AE647" s="1040" t="e">
        <f>IF($F247="","",$F247*chronic_consumption!Z647/1000/$C$3)</f>
        <v>#DIV/0!</v>
      </c>
      <c r="AF647" s="1040" t="e">
        <f>IF($F247="","",$F247*chronic_consumption!AA647/1000/$C$3)</f>
        <v>#DIV/0!</v>
      </c>
      <c r="AG647" s="1040" t="e">
        <f>IF($F247="","",$F247*chronic_consumption!AB647/1000/$C$3)</f>
        <v>#DIV/0!</v>
      </c>
      <c r="AH647" s="1040" t="e">
        <f>IF($F247="","",$F247*chronic_consumption!AC647/1000/$C$3)</f>
        <v>#DIV/0!</v>
      </c>
      <c r="AI647" s="1040" t="e">
        <f>IF($F247="","",$F247*chronic_consumption!AD647/1000/$C$3)</f>
        <v>#DIV/0!</v>
      </c>
      <c r="AJ647" s="1040" t="e">
        <f>IF($F247="","",$F247*chronic_consumption!AE647/1000/$C$3)</f>
        <v>#DIV/0!</v>
      </c>
      <c r="AK647" s="1040" t="e">
        <f>IF($F247="","",$F247*chronic_consumption!AF647/1000/$C$3)</f>
        <v>#DIV/0!</v>
      </c>
      <c r="AL647" s="1040" t="e">
        <f>IF($F247="","",$F247*chronic_consumption!AG647/1000/$C$3)</f>
        <v>#DIV/0!</v>
      </c>
      <c r="AM647" s="1040" t="e">
        <f>IF($F247="","",$F247*chronic_consumption!AH647/1000/$C$3)</f>
        <v>#DIV/0!</v>
      </c>
      <c r="AN647" s="1040" t="e">
        <f>IF($F247="","",$F247*chronic_consumption!AI647/1000/$C$3)</f>
        <v>#DIV/0!</v>
      </c>
      <c r="AO647" s="1040" t="e">
        <f>IF($F247="","",$F247*chronic_consumption!AJ647/1000/$C$3)</f>
        <v>#DIV/0!</v>
      </c>
      <c r="AP647" s="1040" t="e">
        <f>IF($F247="","",$F247*chronic_consumption!AK647/1000/$C$3)</f>
        <v>#DIV/0!</v>
      </c>
      <c r="AQ647" s="1040" t="e">
        <f>IF($F247="","",$F247*chronic_consumption!AL647/1000/$C$3)</f>
        <v>#DIV/0!</v>
      </c>
      <c r="AR647" s="1040" t="e">
        <f>IF($F247="","",$F247*chronic_consumption!AM647/1000/$C$3)</f>
        <v>#DIV/0!</v>
      </c>
      <c r="AS647" s="1040" t="e">
        <f>IF($F247="","",$F247*chronic_consumption!AN647/1000/$C$3)</f>
        <v>#DIV/0!</v>
      </c>
      <c r="AT647" s="1040" t="e">
        <f>IF($F247="","",$F247*chronic_consumption!AO647/1000/$C$3)</f>
        <v>#DIV/0!</v>
      </c>
      <c r="AU647" s="1040" t="e">
        <f>IF($F247="","",$F247*chronic_consumption!AP647/1000/$C$3)</f>
        <v>#DIV/0!</v>
      </c>
      <c r="AV647" s="1040" t="e">
        <f>IF($F247="","",$F247*chronic_consumption!AQ647/1000/$C$3)</f>
        <v>#DIV/0!</v>
      </c>
      <c r="AW647" s="1040" t="e">
        <f>IF($F247="","",$F247*chronic_consumption!AR647/1000/$C$3)</f>
        <v>#DIV/0!</v>
      </c>
      <c r="AX647" s="1040" t="e">
        <f>IF($F247="","",$F247*chronic_consumption!AS647/1000/$C$3)</f>
        <v>#DIV/0!</v>
      </c>
      <c r="AY647" s="1040" t="e">
        <f>IF($F247="","",$F247*chronic_consumption!AT647/1000/$C$3)</f>
        <v>#DIV/0!</v>
      </c>
      <c r="AZ647" s="44" t="s">
        <v>20</v>
      </c>
      <c r="BC647" s="29"/>
      <c r="BD647" s="29"/>
    </row>
    <row r="648" spans="1:56" ht="12" hidden="1" customHeight="1" outlineLevel="3" x14ac:dyDescent="0.2">
      <c r="A648" s="21">
        <f>acute_overview_children!A248</f>
        <v>4</v>
      </c>
      <c r="B648" s="325">
        <f t="shared" si="47"/>
        <v>500060</v>
      </c>
      <c r="C648" s="325" t="str">
        <f t="shared" si="47"/>
        <v>Rice</v>
      </c>
      <c r="D648" s="135"/>
      <c r="E648" s="1027"/>
      <c r="F648" s="87"/>
      <c r="G648" s="1027"/>
      <c r="H648" s="1029"/>
      <c r="I648" s="1030"/>
      <c r="J648" s="1039" t="e">
        <f>IF($F248="","",$F248*chronic_consumption!E648/1000/$C$3)</f>
        <v>#DIV/0!</v>
      </c>
      <c r="K648" s="1040" t="e">
        <f>IF($F248="","",$F248*chronic_consumption!F648/1000/$C$3)</f>
        <v>#DIV/0!</v>
      </c>
      <c r="L648" s="1040" t="e">
        <f>IF($F248="","",$F248*chronic_consumption!G648/1000/$C$3)</f>
        <v>#DIV/0!</v>
      </c>
      <c r="M648" s="1040" t="e">
        <f>IF($F248="","",$F248*chronic_consumption!H648/1000/$C$3)</f>
        <v>#DIV/0!</v>
      </c>
      <c r="N648" s="1040" t="e">
        <f>IF($F248="","",$F248*chronic_consumption!I648/1000/$C$3)</f>
        <v>#DIV/0!</v>
      </c>
      <c r="O648" s="1040" t="e">
        <f>IF($F248="","",$F248*chronic_consumption!J648/1000/$C$3)</f>
        <v>#DIV/0!</v>
      </c>
      <c r="P648" s="1040" t="e">
        <f>IF($F248="","",$F248*chronic_consumption!K648/1000/$C$3)</f>
        <v>#DIV/0!</v>
      </c>
      <c r="Q648" s="1040" t="e">
        <f>IF($F248="","",$F248*chronic_consumption!L648/1000/$C$3)</f>
        <v>#DIV/0!</v>
      </c>
      <c r="R648" s="1040" t="e">
        <f>IF($F248="","",$F248*chronic_consumption!M648/1000/$C$3)</f>
        <v>#DIV/0!</v>
      </c>
      <c r="S648" s="1040" t="e">
        <f>IF($F248="","",$F248*chronic_consumption!N648/1000/$C$3)</f>
        <v>#DIV/0!</v>
      </c>
      <c r="T648" s="1040" t="e">
        <f>IF($F248="","",$F248*chronic_consumption!O648/1000/$C$3)</f>
        <v>#DIV/0!</v>
      </c>
      <c r="U648" s="1040" t="e">
        <f>IF($F248="","",$F248*chronic_consumption!P648/1000/$C$3)</f>
        <v>#DIV/0!</v>
      </c>
      <c r="V648" s="1040" t="e">
        <f>IF($F248="","",$F248*chronic_consumption!Q648/1000/$C$3)</f>
        <v>#DIV/0!</v>
      </c>
      <c r="W648" s="1040" t="e">
        <f>IF($F248="","",$F248*chronic_consumption!R648/1000/$C$3)</f>
        <v>#DIV/0!</v>
      </c>
      <c r="X648" s="1040" t="e">
        <f>IF($F248="","",$F248*chronic_consumption!S648/1000/$C$3)</f>
        <v>#DIV/0!</v>
      </c>
      <c r="Y648" s="1040" t="e">
        <f>IF($F248="","",$F248*chronic_consumption!T648/1000/$C$3)</f>
        <v>#DIV/0!</v>
      </c>
      <c r="Z648" s="1040" t="e">
        <f>IF($F248="","",$F248*chronic_consumption!U648/1000/$C$3)</f>
        <v>#DIV/0!</v>
      </c>
      <c r="AA648" s="1040" t="e">
        <f>IF($F248="","",$F248*chronic_consumption!V648/1000/$C$3)</f>
        <v>#DIV/0!</v>
      </c>
      <c r="AB648" s="1040" t="e">
        <f>IF($F248="","",$F248*chronic_consumption!W648/1000/$C$3)</f>
        <v>#DIV/0!</v>
      </c>
      <c r="AC648" s="1040" t="e">
        <f>IF($F248="","",$F248*chronic_consumption!X648/1000/$C$3)</f>
        <v>#DIV/0!</v>
      </c>
      <c r="AD648" s="1040" t="e">
        <f>IF($F248="","",$F248*chronic_consumption!Y648/1000/$C$3)</f>
        <v>#DIV/0!</v>
      </c>
      <c r="AE648" s="1040" t="e">
        <f>IF($F248="","",$F248*chronic_consumption!Z648/1000/$C$3)</f>
        <v>#DIV/0!</v>
      </c>
      <c r="AF648" s="1040" t="e">
        <f>IF($F248="","",$F248*chronic_consumption!AA648/1000/$C$3)</f>
        <v>#DIV/0!</v>
      </c>
      <c r="AG648" s="1040" t="e">
        <f>IF($F248="","",$F248*chronic_consumption!AB648/1000/$C$3)</f>
        <v>#DIV/0!</v>
      </c>
      <c r="AH648" s="1040" t="e">
        <f>IF($F248="","",$F248*chronic_consumption!AC648/1000/$C$3)</f>
        <v>#DIV/0!</v>
      </c>
      <c r="AI648" s="1040" t="e">
        <f>IF($F248="","",$F248*chronic_consumption!AD648/1000/$C$3)</f>
        <v>#DIV/0!</v>
      </c>
      <c r="AJ648" s="1040" t="e">
        <f>IF($F248="","",$F248*chronic_consumption!AE648/1000/$C$3)</f>
        <v>#DIV/0!</v>
      </c>
      <c r="AK648" s="1040" t="e">
        <f>IF($F248="","",$F248*chronic_consumption!AF648/1000/$C$3)</f>
        <v>#DIV/0!</v>
      </c>
      <c r="AL648" s="1040" t="e">
        <f>IF($F248="","",$F248*chronic_consumption!AG648/1000/$C$3)</f>
        <v>#DIV/0!</v>
      </c>
      <c r="AM648" s="1040" t="e">
        <f>IF($F248="","",$F248*chronic_consumption!AH648/1000/$C$3)</f>
        <v>#DIV/0!</v>
      </c>
      <c r="AN648" s="1040" t="e">
        <f>IF($F248="","",$F248*chronic_consumption!AI648/1000/$C$3)</f>
        <v>#DIV/0!</v>
      </c>
      <c r="AO648" s="1040" t="e">
        <f>IF($F248="","",$F248*chronic_consumption!AJ648/1000/$C$3)</f>
        <v>#DIV/0!</v>
      </c>
      <c r="AP648" s="1040" t="e">
        <f>IF($F248="","",$F248*chronic_consumption!AK648/1000/$C$3)</f>
        <v>#DIV/0!</v>
      </c>
      <c r="AQ648" s="1040" t="e">
        <f>IF($F248="","",$F248*chronic_consumption!AL648/1000/$C$3)</f>
        <v>#DIV/0!</v>
      </c>
      <c r="AR648" s="1040" t="e">
        <f>IF($F248="","",$F248*chronic_consumption!AM648/1000/$C$3)</f>
        <v>#DIV/0!</v>
      </c>
      <c r="AS648" s="1040" t="e">
        <f>IF($F248="","",$F248*chronic_consumption!AN648/1000/$C$3)</f>
        <v>#DIV/0!</v>
      </c>
      <c r="AT648" s="1040" t="e">
        <f>IF($F248="","",$F248*chronic_consumption!AO648/1000/$C$3)</f>
        <v>#DIV/0!</v>
      </c>
      <c r="AU648" s="1040" t="e">
        <f>IF($F248="","",$F248*chronic_consumption!AP648/1000/$C$3)</f>
        <v>#DIV/0!</v>
      </c>
      <c r="AV648" s="1040" t="e">
        <f>IF($F248="","",$F248*chronic_consumption!AQ648/1000/$C$3)</f>
        <v>#DIV/0!</v>
      </c>
      <c r="AW648" s="1040" t="e">
        <f>IF($F248="","",$F248*chronic_consumption!AR648/1000/$C$3)</f>
        <v>#DIV/0!</v>
      </c>
      <c r="AX648" s="1040" t="e">
        <f>IF($F248="","",$F248*chronic_consumption!AS648/1000/$C$3)</f>
        <v>#DIV/0!</v>
      </c>
      <c r="AY648" s="1040" t="e">
        <f>IF($F248="","",$F248*chronic_consumption!AT648/1000/$C$3)</f>
        <v>#DIV/0!</v>
      </c>
      <c r="AZ648" s="44" t="s">
        <v>20</v>
      </c>
      <c r="BC648" s="29"/>
      <c r="BD648" s="29"/>
    </row>
    <row r="649" spans="1:56" ht="12" hidden="1" customHeight="1" outlineLevel="3" x14ac:dyDescent="0.2">
      <c r="A649" s="21">
        <f>acute_overview_children!A249</f>
        <v>4</v>
      </c>
      <c r="B649" s="325">
        <f t="shared" si="47"/>
        <v>500070</v>
      </c>
      <c r="C649" s="325" t="str">
        <f t="shared" si="47"/>
        <v>Rye</v>
      </c>
      <c r="D649" s="135"/>
      <c r="E649" s="1027"/>
      <c r="F649" s="87"/>
      <c r="G649" s="1027"/>
      <c r="H649" s="1029"/>
      <c r="I649" s="1030"/>
      <c r="J649" s="1039" t="e">
        <f>IF($F249="","",$F249*chronic_consumption!E649/1000/$C$3)</f>
        <v>#DIV/0!</v>
      </c>
      <c r="K649" s="1040" t="e">
        <f>IF($F249="","",$F249*chronic_consumption!F649/1000/$C$3)</f>
        <v>#DIV/0!</v>
      </c>
      <c r="L649" s="1040" t="e">
        <f>IF($F249="","",$F249*chronic_consumption!G649/1000/$C$3)</f>
        <v>#DIV/0!</v>
      </c>
      <c r="M649" s="1040" t="e">
        <f>IF($F249="","",$F249*chronic_consumption!H649/1000/$C$3)</f>
        <v>#DIV/0!</v>
      </c>
      <c r="N649" s="1040" t="e">
        <f>IF($F249="","",$F249*chronic_consumption!I649/1000/$C$3)</f>
        <v>#DIV/0!</v>
      </c>
      <c r="O649" s="1040" t="e">
        <f>IF($F249="","",$F249*chronic_consumption!J649/1000/$C$3)</f>
        <v>#DIV/0!</v>
      </c>
      <c r="P649" s="1040" t="e">
        <f>IF($F249="","",$F249*chronic_consumption!K649/1000/$C$3)</f>
        <v>#DIV/0!</v>
      </c>
      <c r="Q649" s="1040" t="e">
        <f>IF($F249="","",$F249*chronic_consumption!L649/1000/$C$3)</f>
        <v>#DIV/0!</v>
      </c>
      <c r="R649" s="1040" t="e">
        <f>IF($F249="","",$F249*chronic_consumption!M649/1000/$C$3)</f>
        <v>#DIV/0!</v>
      </c>
      <c r="S649" s="1040" t="e">
        <f>IF($F249="","",$F249*chronic_consumption!N649/1000/$C$3)</f>
        <v>#DIV/0!</v>
      </c>
      <c r="T649" s="1040" t="e">
        <f>IF($F249="","",$F249*chronic_consumption!O649/1000/$C$3)</f>
        <v>#DIV/0!</v>
      </c>
      <c r="U649" s="1040" t="e">
        <f>IF($F249="","",$F249*chronic_consumption!P649/1000/$C$3)</f>
        <v>#DIV/0!</v>
      </c>
      <c r="V649" s="1040" t="e">
        <f>IF($F249="","",$F249*chronic_consumption!Q649/1000/$C$3)</f>
        <v>#DIV/0!</v>
      </c>
      <c r="W649" s="1040" t="e">
        <f>IF($F249="","",$F249*chronic_consumption!R649/1000/$C$3)</f>
        <v>#DIV/0!</v>
      </c>
      <c r="X649" s="1040" t="e">
        <f>IF($F249="","",$F249*chronic_consumption!S649/1000/$C$3)</f>
        <v>#DIV/0!</v>
      </c>
      <c r="Y649" s="1040" t="e">
        <f>IF($F249="","",$F249*chronic_consumption!T649/1000/$C$3)</f>
        <v>#DIV/0!</v>
      </c>
      <c r="Z649" s="1040" t="e">
        <f>IF($F249="","",$F249*chronic_consumption!U649/1000/$C$3)</f>
        <v>#DIV/0!</v>
      </c>
      <c r="AA649" s="1040" t="e">
        <f>IF($F249="","",$F249*chronic_consumption!V649/1000/$C$3)</f>
        <v>#DIV/0!</v>
      </c>
      <c r="AB649" s="1040" t="e">
        <f>IF($F249="","",$F249*chronic_consumption!W649/1000/$C$3)</f>
        <v>#DIV/0!</v>
      </c>
      <c r="AC649" s="1040" t="e">
        <f>IF($F249="","",$F249*chronic_consumption!X649/1000/$C$3)</f>
        <v>#DIV/0!</v>
      </c>
      <c r="AD649" s="1040" t="e">
        <f>IF($F249="","",$F249*chronic_consumption!Y649/1000/$C$3)</f>
        <v>#DIV/0!</v>
      </c>
      <c r="AE649" s="1040" t="e">
        <f>IF($F249="","",$F249*chronic_consumption!Z649/1000/$C$3)</f>
        <v>#DIV/0!</v>
      </c>
      <c r="AF649" s="1040" t="e">
        <f>IF($F249="","",$F249*chronic_consumption!AA649/1000/$C$3)</f>
        <v>#DIV/0!</v>
      </c>
      <c r="AG649" s="1040" t="e">
        <f>IF($F249="","",$F249*chronic_consumption!AB649/1000/$C$3)</f>
        <v>#DIV/0!</v>
      </c>
      <c r="AH649" s="1040" t="e">
        <f>IF($F249="","",$F249*chronic_consumption!AC649/1000/$C$3)</f>
        <v>#DIV/0!</v>
      </c>
      <c r="AI649" s="1040" t="e">
        <f>IF($F249="","",$F249*chronic_consumption!AD649/1000/$C$3)</f>
        <v>#DIV/0!</v>
      </c>
      <c r="AJ649" s="1040" t="e">
        <f>IF($F249="","",$F249*chronic_consumption!AE649/1000/$C$3)</f>
        <v>#DIV/0!</v>
      </c>
      <c r="AK649" s="1040" t="e">
        <f>IF($F249="","",$F249*chronic_consumption!AF649/1000/$C$3)</f>
        <v>#DIV/0!</v>
      </c>
      <c r="AL649" s="1040" t="e">
        <f>IF($F249="","",$F249*chronic_consumption!AG649/1000/$C$3)</f>
        <v>#DIV/0!</v>
      </c>
      <c r="AM649" s="1040" t="e">
        <f>IF($F249="","",$F249*chronic_consumption!AH649/1000/$C$3)</f>
        <v>#DIV/0!</v>
      </c>
      <c r="AN649" s="1040" t="e">
        <f>IF($F249="","",$F249*chronic_consumption!AI649/1000/$C$3)</f>
        <v>#DIV/0!</v>
      </c>
      <c r="AO649" s="1040" t="e">
        <f>IF($F249="","",$F249*chronic_consumption!AJ649/1000/$C$3)</f>
        <v>#DIV/0!</v>
      </c>
      <c r="AP649" s="1040" t="e">
        <f>IF($F249="","",$F249*chronic_consumption!AK649/1000/$C$3)</f>
        <v>#DIV/0!</v>
      </c>
      <c r="AQ649" s="1040" t="e">
        <f>IF($F249="","",$F249*chronic_consumption!AL649/1000/$C$3)</f>
        <v>#DIV/0!</v>
      </c>
      <c r="AR649" s="1040" t="e">
        <f>IF($F249="","",$F249*chronic_consumption!AM649/1000/$C$3)</f>
        <v>#DIV/0!</v>
      </c>
      <c r="AS649" s="1040" t="e">
        <f>IF($F249="","",$F249*chronic_consumption!AN649/1000/$C$3)</f>
        <v>#DIV/0!</v>
      </c>
      <c r="AT649" s="1040" t="e">
        <f>IF($F249="","",$F249*chronic_consumption!AO649/1000/$C$3)</f>
        <v>#DIV/0!</v>
      </c>
      <c r="AU649" s="1040" t="e">
        <f>IF($F249="","",$F249*chronic_consumption!AP649/1000/$C$3)</f>
        <v>#DIV/0!</v>
      </c>
      <c r="AV649" s="1040" t="e">
        <f>IF($F249="","",$F249*chronic_consumption!AQ649/1000/$C$3)</f>
        <v>#DIV/0!</v>
      </c>
      <c r="AW649" s="1040" t="e">
        <f>IF($F249="","",$F249*chronic_consumption!AR649/1000/$C$3)</f>
        <v>#DIV/0!</v>
      </c>
      <c r="AX649" s="1040" t="e">
        <f>IF($F249="","",$F249*chronic_consumption!AS649/1000/$C$3)</f>
        <v>#DIV/0!</v>
      </c>
      <c r="AY649" s="1040" t="e">
        <f>IF($F249="","",$F249*chronic_consumption!AT649/1000/$C$3)</f>
        <v>#DIV/0!</v>
      </c>
      <c r="AZ649" s="44" t="s">
        <v>20</v>
      </c>
      <c r="BC649" s="29"/>
      <c r="BD649" s="29"/>
    </row>
    <row r="650" spans="1:56" ht="12" hidden="1" customHeight="1" outlineLevel="3" x14ac:dyDescent="0.2">
      <c r="A650" s="21">
        <f>acute_overview_children!A250</f>
        <v>4</v>
      </c>
      <c r="B650" s="325">
        <f t="shared" si="47"/>
        <v>500080</v>
      </c>
      <c r="C650" s="325" t="str">
        <f t="shared" si="47"/>
        <v>Sorghum</v>
      </c>
      <c r="D650" s="135"/>
      <c r="E650" s="1027"/>
      <c r="F650" s="87"/>
      <c r="G650" s="1027"/>
      <c r="H650" s="1029"/>
      <c r="I650" s="1030"/>
      <c r="J650" s="1039" t="e">
        <f>IF($F250="","",$F250*chronic_consumption!E650/1000/$C$3)</f>
        <v>#DIV/0!</v>
      </c>
      <c r="K650" s="1040" t="e">
        <f>IF($F250="","",$F250*chronic_consumption!F650/1000/$C$3)</f>
        <v>#DIV/0!</v>
      </c>
      <c r="L650" s="1040" t="e">
        <f>IF($F250="","",$F250*chronic_consumption!G650/1000/$C$3)</f>
        <v>#DIV/0!</v>
      </c>
      <c r="M650" s="1040" t="e">
        <f>IF($F250="","",$F250*chronic_consumption!H650/1000/$C$3)</f>
        <v>#DIV/0!</v>
      </c>
      <c r="N650" s="1040" t="e">
        <f>IF($F250="","",$F250*chronic_consumption!I650/1000/$C$3)</f>
        <v>#DIV/0!</v>
      </c>
      <c r="O650" s="1040" t="e">
        <f>IF($F250="","",$F250*chronic_consumption!J650/1000/$C$3)</f>
        <v>#DIV/0!</v>
      </c>
      <c r="P650" s="1040" t="e">
        <f>IF($F250="","",$F250*chronic_consumption!K650/1000/$C$3)</f>
        <v>#DIV/0!</v>
      </c>
      <c r="Q650" s="1040" t="e">
        <f>IF($F250="","",$F250*chronic_consumption!L650/1000/$C$3)</f>
        <v>#DIV/0!</v>
      </c>
      <c r="R650" s="1040" t="e">
        <f>IF($F250="","",$F250*chronic_consumption!M650/1000/$C$3)</f>
        <v>#DIV/0!</v>
      </c>
      <c r="S650" s="1040" t="e">
        <f>IF($F250="","",$F250*chronic_consumption!N650/1000/$C$3)</f>
        <v>#DIV/0!</v>
      </c>
      <c r="T650" s="1040" t="e">
        <f>IF($F250="","",$F250*chronic_consumption!O650/1000/$C$3)</f>
        <v>#DIV/0!</v>
      </c>
      <c r="U650" s="1040" t="e">
        <f>IF($F250="","",$F250*chronic_consumption!P650/1000/$C$3)</f>
        <v>#DIV/0!</v>
      </c>
      <c r="V650" s="1040" t="e">
        <f>IF($F250="","",$F250*chronic_consumption!Q650/1000/$C$3)</f>
        <v>#DIV/0!</v>
      </c>
      <c r="W650" s="1040" t="e">
        <f>IF($F250="","",$F250*chronic_consumption!R650/1000/$C$3)</f>
        <v>#DIV/0!</v>
      </c>
      <c r="X650" s="1040" t="e">
        <f>IF($F250="","",$F250*chronic_consumption!S650/1000/$C$3)</f>
        <v>#DIV/0!</v>
      </c>
      <c r="Y650" s="1040" t="e">
        <f>IF($F250="","",$F250*chronic_consumption!T650/1000/$C$3)</f>
        <v>#DIV/0!</v>
      </c>
      <c r="Z650" s="1040" t="e">
        <f>IF($F250="","",$F250*chronic_consumption!U650/1000/$C$3)</f>
        <v>#DIV/0!</v>
      </c>
      <c r="AA650" s="1040" t="e">
        <f>IF($F250="","",$F250*chronic_consumption!V650/1000/$C$3)</f>
        <v>#DIV/0!</v>
      </c>
      <c r="AB650" s="1040" t="e">
        <f>IF($F250="","",$F250*chronic_consumption!W650/1000/$C$3)</f>
        <v>#DIV/0!</v>
      </c>
      <c r="AC650" s="1040" t="e">
        <f>IF($F250="","",$F250*chronic_consumption!X650/1000/$C$3)</f>
        <v>#DIV/0!</v>
      </c>
      <c r="AD650" s="1040" t="e">
        <f>IF($F250="","",$F250*chronic_consumption!Y650/1000/$C$3)</f>
        <v>#DIV/0!</v>
      </c>
      <c r="AE650" s="1040" t="e">
        <f>IF($F250="","",$F250*chronic_consumption!Z650/1000/$C$3)</f>
        <v>#DIV/0!</v>
      </c>
      <c r="AF650" s="1040" t="e">
        <f>IF($F250="","",$F250*chronic_consumption!AA650/1000/$C$3)</f>
        <v>#DIV/0!</v>
      </c>
      <c r="AG650" s="1040" t="e">
        <f>IF($F250="","",$F250*chronic_consumption!AB650/1000/$C$3)</f>
        <v>#DIV/0!</v>
      </c>
      <c r="AH650" s="1040" t="e">
        <f>IF($F250="","",$F250*chronic_consumption!AC650/1000/$C$3)</f>
        <v>#DIV/0!</v>
      </c>
      <c r="AI650" s="1040" t="e">
        <f>IF($F250="","",$F250*chronic_consumption!AD650/1000/$C$3)</f>
        <v>#DIV/0!</v>
      </c>
      <c r="AJ650" s="1040" t="e">
        <f>IF($F250="","",$F250*chronic_consumption!AE650/1000/$C$3)</f>
        <v>#DIV/0!</v>
      </c>
      <c r="AK650" s="1040" t="e">
        <f>IF($F250="","",$F250*chronic_consumption!AF650/1000/$C$3)</f>
        <v>#DIV/0!</v>
      </c>
      <c r="AL650" s="1040" t="e">
        <f>IF($F250="","",$F250*chronic_consumption!AG650/1000/$C$3)</f>
        <v>#DIV/0!</v>
      </c>
      <c r="AM650" s="1040" t="e">
        <f>IF($F250="","",$F250*chronic_consumption!AH650/1000/$C$3)</f>
        <v>#DIV/0!</v>
      </c>
      <c r="AN650" s="1040" t="e">
        <f>IF($F250="","",$F250*chronic_consumption!AI650/1000/$C$3)</f>
        <v>#DIV/0!</v>
      </c>
      <c r="AO650" s="1040" t="e">
        <f>IF($F250="","",$F250*chronic_consumption!AJ650/1000/$C$3)</f>
        <v>#DIV/0!</v>
      </c>
      <c r="AP650" s="1040" t="e">
        <f>IF($F250="","",$F250*chronic_consumption!AK650/1000/$C$3)</f>
        <v>#DIV/0!</v>
      </c>
      <c r="AQ650" s="1040" t="e">
        <f>IF($F250="","",$F250*chronic_consumption!AL650/1000/$C$3)</f>
        <v>#DIV/0!</v>
      </c>
      <c r="AR650" s="1040" t="e">
        <f>IF($F250="","",$F250*chronic_consumption!AM650/1000/$C$3)</f>
        <v>#DIV/0!</v>
      </c>
      <c r="AS650" s="1040" t="e">
        <f>IF($F250="","",$F250*chronic_consumption!AN650/1000/$C$3)</f>
        <v>#DIV/0!</v>
      </c>
      <c r="AT650" s="1040" t="e">
        <f>IF($F250="","",$F250*chronic_consumption!AO650/1000/$C$3)</f>
        <v>#DIV/0!</v>
      </c>
      <c r="AU650" s="1040" t="e">
        <f>IF($F250="","",$F250*chronic_consumption!AP650/1000/$C$3)</f>
        <v>#DIV/0!</v>
      </c>
      <c r="AV650" s="1040" t="e">
        <f>IF($F250="","",$F250*chronic_consumption!AQ650/1000/$C$3)</f>
        <v>#DIV/0!</v>
      </c>
      <c r="AW650" s="1040" t="e">
        <f>IF($F250="","",$F250*chronic_consumption!AR650/1000/$C$3)</f>
        <v>#DIV/0!</v>
      </c>
      <c r="AX650" s="1040" t="e">
        <f>IF($F250="","",$F250*chronic_consumption!AS650/1000/$C$3)</f>
        <v>#DIV/0!</v>
      </c>
      <c r="AY650" s="1040" t="e">
        <f>IF($F250="","",$F250*chronic_consumption!AT650/1000/$C$3)</f>
        <v>#DIV/0!</v>
      </c>
      <c r="AZ650" s="44" t="s">
        <v>20</v>
      </c>
      <c r="BC650" s="29"/>
      <c r="BD650" s="29"/>
    </row>
    <row r="651" spans="1:56" ht="12" hidden="1" customHeight="1" outlineLevel="3" x14ac:dyDescent="0.2">
      <c r="A651" s="21">
        <f>acute_overview_children!A251</f>
        <v>4</v>
      </c>
      <c r="B651" s="325">
        <f t="shared" si="47"/>
        <v>500090</v>
      </c>
      <c r="C651" s="325" t="str">
        <f t="shared" si="47"/>
        <v>Wheat</v>
      </c>
      <c r="D651" s="135"/>
      <c r="E651" s="1027"/>
      <c r="F651" s="87"/>
      <c r="G651" s="1027"/>
      <c r="H651" s="1029"/>
      <c r="I651" s="1030"/>
      <c r="J651" s="1039" t="e">
        <f>IF($F251="","",$F251*chronic_consumption!E651/1000/$C$3)</f>
        <v>#DIV/0!</v>
      </c>
      <c r="K651" s="1040" t="e">
        <f>IF($F251="","",$F251*chronic_consumption!F651/1000/$C$3)</f>
        <v>#DIV/0!</v>
      </c>
      <c r="L651" s="1040" t="e">
        <f>IF($F251="","",$F251*chronic_consumption!G651/1000/$C$3)</f>
        <v>#DIV/0!</v>
      </c>
      <c r="M651" s="1040" t="e">
        <f>IF($F251="","",$F251*chronic_consumption!H651/1000/$C$3)</f>
        <v>#DIV/0!</v>
      </c>
      <c r="N651" s="1040" t="e">
        <f>IF($F251="","",$F251*chronic_consumption!I651/1000/$C$3)</f>
        <v>#DIV/0!</v>
      </c>
      <c r="O651" s="1040" t="e">
        <f>IF($F251="","",$F251*chronic_consumption!J651/1000/$C$3)</f>
        <v>#DIV/0!</v>
      </c>
      <c r="P651" s="1040" t="e">
        <f>IF($F251="","",$F251*chronic_consumption!K651/1000/$C$3)</f>
        <v>#DIV/0!</v>
      </c>
      <c r="Q651" s="1040" t="e">
        <f>IF($F251="","",$F251*chronic_consumption!L651/1000/$C$3)</f>
        <v>#DIV/0!</v>
      </c>
      <c r="R651" s="1040" t="e">
        <f>IF($F251="","",$F251*chronic_consumption!M651/1000/$C$3)</f>
        <v>#DIV/0!</v>
      </c>
      <c r="S651" s="1040" t="e">
        <f>IF($F251="","",$F251*chronic_consumption!N651/1000/$C$3)</f>
        <v>#DIV/0!</v>
      </c>
      <c r="T651" s="1040" t="e">
        <f>IF($F251="","",$F251*chronic_consumption!O651/1000/$C$3)</f>
        <v>#DIV/0!</v>
      </c>
      <c r="U651" s="1040" t="e">
        <f>IF($F251="","",$F251*chronic_consumption!P651/1000/$C$3)</f>
        <v>#DIV/0!</v>
      </c>
      <c r="V651" s="1040" t="e">
        <f>IF($F251="","",$F251*chronic_consumption!Q651/1000/$C$3)</f>
        <v>#DIV/0!</v>
      </c>
      <c r="W651" s="1040" t="e">
        <f>IF($F251="","",$F251*chronic_consumption!R651/1000/$C$3)</f>
        <v>#DIV/0!</v>
      </c>
      <c r="X651" s="1040" t="e">
        <f>IF($F251="","",$F251*chronic_consumption!S651/1000/$C$3)</f>
        <v>#DIV/0!</v>
      </c>
      <c r="Y651" s="1040" t="e">
        <f>IF($F251="","",$F251*chronic_consumption!T651/1000/$C$3)</f>
        <v>#DIV/0!</v>
      </c>
      <c r="Z651" s="1040" t="e">
        <f>IF($F251="","",$F251*chronic_consumption!U651/1000/$C$3)</f>
        <v>#DIV/0!</v>
      </c>
      <c r="AA651" s="1040" t="e">
        <f>IF($F251="","",$F251*chronic_consumption!V651/1000/$C$3)</f>
        <v>#DIV/0!</v>
      </c>
      <c r="AB651" s="1040" t="e">
        <f>IF($F251="","",$F251*chronic_consumption!W651/1000/$C$3)</f>
        <v>#DIV/0!</v>
      </c>
      <c r="AC651" s="1040" t="e">
        <f>IF($F251="","",$F251*chronic_consumption!X651/1000/$C$3)</f>
        <v>#DIV/0!</v>
      </c>
      <c r="AD651" s="1040" t="e">
        <f>IF($F251="","",$F251*chronic_consumption!Y651/1000/$C$3)</f>
        <v>#DIV/0!</v>
      </c>
      <c r="AE651" s="1040" t="e">
        <f>IF($F251="","",$F251*chronic_consumption!Z651/1000/$C$3)</f>
        <v>#DIV/0!</v>
      </c>
      <c r="AF651" s="1040" t="e">
        <f>IF($F251="","",$F251*chronic_consumption!AA651/1000/$C$3)</f>
        <v>#DIV/0!</v>
      </c>
      <c r="AG651" s="1040" t="e">
        <f>IF($F251="","",$F251*chronic_consumption!AB651/1000/$C$3)</f>
        <v>#DIV/0!</v>
      </c>
      <c r="AH651" s="1040" t="e">
        <f>IF($F251="","",$F251*chronic_consumption!AC651/1000/$C$3)</f>
        <v>#DIV/0!</v>
      </c>
      <c r="AI651" s="1040" t="e">
        <f>IF($F251="","",$F251*chronic_consumption!AD651/1000/$C$3)</f>
        <v>#DIV/0!</v>
      </c>
      <c r="AJ651" s="1040" t="e">
        <f>IF($F251="","",$F251*chronic_consumption!AE651/1000/$C$3)</f>
        <v>#DIV/0!</v>
      </c>
      <c r="AK651" s="1040" t="e">
        <f>IF($F251="","",$F251*chronic_consumption!AF651/1000/$C$3)</f>
        <v>#DIV/0!</v>
      </c>
      <c r="AL651" s="1040" t="e">
        <f>IF($F251="","",$F251*chronic_consumption!AG651/1000/$C$3)</f>
        <v>#DIV/0!</v>
      </c>
      <c r="AM651" s="1040" t="e">
        <f>IF($F251="","",$F251*chronic_consumption!AH651/1000/$C$3)</f>
        <v>#DIV/0!</v>
      </c>
      <c r="AN651" s="1040" t="e">
        <f>IF($F251="","",$F251*chronic_consumption!AI651/1000/$C$3)</f>
        <v>#DIV/0!</v>
      </c>
      <c r="AO651" s="1040" t="e">
        <f>IF($F251="","",$F251*chronic_consumption!AJ651/1000/$C$3)</f>
        <v>#DIV/0!</v>
      </c>
      <c r="AP651" s="1040" t="e">
        <f>IF($F251="","",$F251*chronic_consumption!AK651/1000/$C$3)</f>
        <v>#DIV/0!</v>
      </c>
      <c r="AQ651" s="1040" t="e">
        <f>IF($F251="","",$F251*chronic_consumption!AL651/1000/$C$3)</f>
        <v>#DIV/0!</v>
      </c>
      <c r="AR651" s="1040" t="e">
        <f>IF($F251="","",$F251*chronic_consumption!AM651/1000/$C$3)</f>
        <v>#DIV/0!</v>
      </c>
      <c r="AS651" s="1040" t="e">
        <f>IF($F251="","",$F251*chronic_consumption!AN651/1000/$C$3)</f>
        <v>#DIV/0!</v>
      </c>
      <c r="AT651" s="1040" t="e">
        <f>IF($F251="","",$F251*chronic_consumption!AO651/1000/$C$3)</f>
        <v>#DIV/0!</v>
      </c>
      <c r="AU651" s="1040" t="e">
        <f>IF($F251="","",$F251*chronic_consumption!AP651/1000/$C$3)</f>
        <v>#DIV/0!</v>
      </c>
      <c r="AV651" s="1040" t="e">
        <f>IF($F251="","",$F251*chronic_consumption!AQ651/1000/$C$3)</f>
        <v>#DIV/0!</v>
      </c>
      <c r="AW651" s="1040" t="e">
        <f>IF($F251="","",$F251*chronic_consumption!AR651/1000/$C$3)</f>
        <v>#DIV/0!</v>
      </c>
      <c r="AX651" s="1040" t="e">
        <f>IF($F251="","",$F251*chronic_consumption!AS651/1000/$C$3)</f>
        <v>#DIV/0!</v>
      </c>
      <c r="AY651" s="1040" t="e">
        <f>IF($F251="","",$F251*chronic_consumption!AT651/1000/$C$3)</f>
        <v>#DIV/0!</v>
      </c>
      <c r="AZ651" s="44" t="s">
        <v>20</v>
      </c>
      <c r="BC651" s="29"/>
      <c r="BD651" s="29"/>
    </row>
    <row r="652" spans="1:56" ht="12" hidden="1" customHeight="1" outlineLevel="3" x14ac:dyDescent="0.2">
      <c r="A652" s="21">
        <f>acute_overview_children!A252</f>
        <v>4</v>
      </c>
      <c r="B652" s="325">
        <f t="shared" ref="B652:C671" si="48">B252</f>
        <v>500990</v>
      </c>
      <c r="C652" s="325" t="str">
        <f t="shared" si="48"/>
        <v>Other cereals</v>
      </c>
      <c r="D652" s="135"/>
      <c r="E652" s="1027"/>
      <c r="F652" s="87"/>
      <c r="G652" s="1027"/>
      <c r="H652" s="1029"/>
      <c r="I652" s="1030"/>
      <c r="J652" s="1039" t="e">
        <f>IF($F252="","",$F252*chronic_consumption!E652/1000/$C$3)</f>
        <v>#DIV/0!</v>
      </c>
      <c r="K652" s="1040" t="e">
        <f>IF($F252="","",$F252*chronic_consumption!F652/1000/$C$3)</f>
        <v>#DIV/0!</v>
      </c>
      <c r="L652" s="1040" t="e">
        <f>IF($F252="","",$F252*chronic_consumption!G652/1000/$C$3)</f>
        <v>#DIV/0!</v>
      </c>
      <c r="M652" s="1040" t="e">
        <f>IF($F252="","",$F252*chronic_consumption!H652/1000/$C$3)</f>
        <v>#DIV/0!</v>
      </c>
      <c r="N652" s="1040" t="e">
        <f>IF($F252="","",$F252*chronic_consumption!I652/1000/$C$3)</f>
        <v>#DIV/0!</v>
      </c>
      <c r="O652" s="1040" t="e">
        <f>IF($F252="","",$F252*chronic_consumption!J652/1000/$C$3)</f>
        <v>#DIV/0!</v>
      </c>
      <c r="P652" s="1040" t="e">
        <f>IF($F252="","",$F252*chronic_consumption!K652/1000/$C$3)</f>
        <v>#DIV/0!</v>
      </c>
      <c r="Q652" s="1040" t="e">
        <f>IF($F252="","",$F252*chronic_consumption!L652/1000/$C$3)</f>
        <v>#DIV/0!</v>
      </c>
      <c r="R652" s="1040" t="e">
        <f>IF($F252="","",$F252*chronic_consumption!M652/1000/$C$3)</f>
        <v>#DIV/0!</v>
      </c>
      <c r="S652" s="1040" t="e">
        <f>IF($F252="","",$F252*chronic_consumption!N652/1000/$C$3)</f>
        <v>#DIV/0!</v>
      </c>
      <c r="T652" s="1040" t="e">
        <f>IF($F252="","",$F252*chronic_consumption!O652/1000/$C$3)</f>
        <v>#DIV/0!</v>
      </c>
      <c r="U652" s="1040" t="e">
        <f>IF($F252="","",$F252*chronic_consumption!P652/1000/$C$3)</f>
        <v>#DIV/0!</v>
      </c>
      <c r="V652" s="1040" t="e">
        <f>IF($F252="","",$F252*chronic_consumption!Q652/1000/$C$3)</f>
        <v>#DIV/0!</v>
      </c>
      <c r="W652" s="1040" t="e">
        <f>IF($F252="","",$F252*chronic_consumption!R652/1000/$C$3)</f>
        <v>#DIV/0!</v>
      </c>
      <c r="X652" s="1040" t="e">
        <f>IF($F252="","",$F252*chronic_consumption!S652/1000/$C$3)</f>
        <v>#DIV/0!</v>
      </c>
      <c r="Y652" s="1040" t="e">
        <f>IF($F252="","",$F252*chronic_consumption!T652/1000/$C$3)</f>
        <v>#DIV/0!</v>
      </c>
      <c r="Z652" s="1040" t="e">
        <f>IF($F252="","",$F252*chronic_consumption!U652/1000/$C$3)</f>
        <v>#DIV/0!</v>
      </c>
      <c r="AA652" s="1040" t="e">
        <f>IF($F252="","",$F252*chronic_consumption!V652/1000/$C$3)</f>
        <v>#DIV/0!</v>
      </c>
      <c r="AB652" s="1040" t="e">
        <f>IF($F252="","",$F252*chronic_consumption!W652/1000/$C$3)</f>
        <v>#DIV/0!</v>
      </c>
      <c r="AC652" s="1040" t="e">
        <f>IF($F252="","",$F252*chronic_consumption!X652/1000/$C$3)</f>
        <v>#DIV/0!</v>
      </c>
      <c r="AD652" s="1040" t="e">
        <f>IF($F252="","",$F252*chronic_consumption!Y652/1000/$C$3)</f>
        <v>#DIV/0!</v>
      </c>
      <c r="AE652" s="1040" t="e">
        <f>IF($F252="","",$F252*chronic_consumption!Z652/1000/$C$3)</f>
        <v>#DIV/0!</v>
      </c>
      <c r="AF652" s="1040" t="e">
        <f>IF($F252="","",$F252*chronic_consumption!AA652/1000/$C$3)</f>
        <v>#DIV/0!</v>
      </c>
      <c r="AG652" s="1040" t="e">
        <f>IF($F252="","",$F252*chronic_consumption!AB652/1000/$C$3)</f>
        <v>#DIV/0!</v>
      </c>
      <c r="AH652" s="1040" t="e">
        <f>IF($F252="","",$F252*chronic_consumption!AC652/1000/$C$3)</f>
        <v>#DIV/0!</v>
      </c>
      <c r="AI652" s="1040" t="e">
        <f>IF($F252="","",$F252*chronic_consumption!AD652/1000/$C$3)</f>
        <v>#DIV/0!</v>
      </c>
      <c r="AJ652" s="1040" t="e">
        <f>IF($F252="","",$F252*chronic_consumption!AE652/1000/$C$3)</f>
        <v>#DIV/0!</v>
      </c>
      <c r="AK652" s="1040" t="e">
        <f>IF($F252="","",$F252*chronic_consumption!AF652/1000/$C$3)</f>
        <v>#DIV/0!</v>
      </c>
      <c r="AL652" s="1040" t="e">
        <f>IF($F252="","",$F252*chronic_consumption!AG652/1000/$C$3)</f>
        <v>#DIV/0!</v>
      </c>
      <c r="AM652" s="1040" t="e">
        <f>IF($F252="","",$F252*chronic_consumption!AH652/1000/$C$3)</f>
        <v>#DIV/0!</v>
      </c>
      <c r="AN652" s="1040" t="e">
        <f>IF($F252="","",$F252*chronic_consumption!AI652/1000/$C$3)</f>
        <v>#DIV/0!</v>
      </c>
      <c r="AO652" s="1040" t="e">
        <f>IF($F252="","",$F252*chronic_consumption!AJ652/1000/$C$3)</f>
        <v>#DIV/0!</v>
      </c>
      <c r="AP652" s="1040" t="e">
        <f>IF($F252="","",$F252*chronic_consumption!AK652/1000/$C$3)</f>
        <v>#DIV/0!</v>
      </c>
      <c r="AQ652" s="1040" t="e">
        <f>IF($F252="","",$F252*chronic_consumption!AL652/1000/$C$3)</f>
        <v>#DIV/0!</v>
      </c>
      <c r="AR652" s="1040" t="e">
        <f>IF($F252="","",$F252*chronic_consumption!AM652/1000/$C$3)</f>
        <v>#DIV/0!</v>
      </c>
      <c r="AS652" s="1040" t="e">
        <f>IF($F252="","",$F252*chronic_consumption!AN652/1000/$C$3)</f>
        <v>#DIV/0!</v>
      </c>
      <c r="AT652" s="1040" t="e">
        <f>IF($F252="","",$F252*chronic_consumption!AO652/1000/$C$3)</f>
        <v>#DIV/0!</v>
      </c>
      <c r="AU652" s="1040" t="e">
        <f>IF($F252="","",$F252*chronic_consumption!AP652/1000/$C$3)</f>
        <v>#DIV/0!</v>
      </c>
      <c r="AV652" s="1040" t="e">
        <f>IF($F252="","",$F252*chronic_consumption!AQ652/1000/$C$3)</f>
        <v>#DIV/0!</v>
      </c>
      <c r="AW652" s="1040" t="e">
        <f>IF($F252="","",$F252*chronic_consumption!AR652/1000/$C$3)</f>
        <v>#DIV/0!</v>
      </c>
      <c r="AX652" s="1040" t="e">
        <f>IF($F252="","",$F252*chronic_consumption!AS652/1000/$C$3)</f>
        <v>#DIV/0!</v>
      </c>
      <c r="AY652" s="1040" t="e">
        <f>IF($F252="","",$F252*chronic_consumption!AT652/1000/$C$3)</f>
        <v>#DIV/0!</v>
      </c>
      <c r="AZ652" s="44" t="s">
        <v>20</v>
      </c>
      <c r="BC652" s="29"/>
      <c r="BD652" s="29"/>
    </row>
    <row r="653" spans="1:56" ht="12" customHeight="1" collapsed="1" x14ac:dyDescent="0.2">
      <c r="A653" s="1">
        <f>acute_overview_children!A253</f>
        <v>1</v>
      </c>
      <c r="B653" s="1026">
        <f t="shared" si="48"/>
        <v>600000</v>
      </c>
      <c r="C653" s="1026" t="str">
        <f t="shared" si="48"/>
        <v>TEA, COFFEE,  HERBAL INFUSIONS AND COCOA</v>
      </c>
      <c r="D653" s="135"/>
      <c r="E653" s="1027"/>
      <c r="F653" s="87"/>
      <c r="G653" s="1027"/>
      <c r="H653" s="1029"/>
      <c r="I653" s="1030"/>
      <c r="J653" s="1031" t="e">
        <f>IF($F253="","",$F253*chronic_consumption!E653/1000/$C$3)</f>
        <v>#DIV/0!</v>
      </c>
      <c r="K653" s="1032" t="e">
        <f>IF($F253="","",$F253*chronic_consumption!F653/1000/$C$3)</f>
        <v>#DIV/0!</v>
      </c>
      <c r="L653" s="1032" t="e">
        <f>IF($F253="","",$F253*chronic_consumption!G653/1000/$C$3)</f>
        <v>#DIV/0!</v>
      </c>
      <c r="M653" s="1032" t="e">
        <f>IF($F253="","",$F253*chronic_consumption!H653/1000/$C$3)</f>
        <v>#DIV/0!</v>
      </c>
      <c r="N653" s="1032" t="e">
        <f>IF($F253="","",$F253*chronic_consumption!I653/1000/$C$3)</f>
        <v>#DIV/0!</v>
      </c>
      <c r="O653" s="1032" t="e">
        <f>IF($F253="","",$F253*chronic_consumption!J653/1000/$C$3)</f>
        <v>#DIV/0!</v>
      </c>
      <c r="P653" s="1032" t="e">
        <f>IF($F253="","",$F253*chronic_consumption!K653/1000/$C$3)</f>
        <v>#DIV/0!</v>
      </c>
      <c r="Q653" s="1032" t="e">
        <f>IF($F253="","",$F253*chronic_consumption!L653/1000/$C$3)</f>
        <v>#DIV/0!</v>
      </c>
      <c r="R653" s="1032" t="e">
        <f>IF($F253="","",$F253*chronic_consumption!M653/1000/$C$3)</f>
        <v>#DIV/0!</v>
      </c>
      <c r="S653" s="1032" t="e">
        <f>IF($F253="","",$F253*chronic_consumption!N653/1000/$C$3)</f>
        <v>#DIV/0!</v>
      </c>
      <c r="T653" s="1032" t="e">
        <f>IF($F253="","",$F253*chronic_consumption!O653/1000/$C$3)</f>
        <v>#DIV/0!</v>
      </c>
      <c r="U653" s="1032" t="e">
        <f>IF($F253="","",$F253*chronic_consumption!P653/1000/$C$3)</f>
        <v>#DIV/0!</v>
      </c>
      <c r="V653" s="1032" t="e">
        <f>IF($F253="","",$F253*chronic_consumption!Q653/1000/$C$3)</f>
        <v>#DIV/0!</v>
      </c>
      <c r="W653" s="1032" t="e">
        <f>IF($F253="","",$F253*chronic_consumption!R653/1000/$C$3)</f>
        <v>#DIV/0!</v>
      </c>
      <c r="X653" s="1032" t="e">
        <f>IF($F253="","",$F253*chronic_consumption!S653/1000/$C$3)</f>
        <v>#DIV/0!</v>
      </c>
      <c r="Y653" s="1032" t="e">
        <f>IF($F253="","",$F253*chronic_consumption!T653/1000/$C$3)</f>
        <v>#DIV/0!</v>
      </c>
      <c r="Z653" s="1032" t="e">
        <f>IF($F253="","",$F253*chronic_consumption!U653/1000/$C$3)</f>
        <v>#DIV/0!</v>
      </c>
      <c r="AA653" s="1032" t="e">
        <f>IF($F253="","",$F253*chronic_consumption!V653/1000/$C$3)</f>
        <v>#DIV/0!</v>
      </c>
      <c r="AB653" s="1032" t="e">
        <f>IF($F253="","",$F253*chronic_consumption!W653/1000/$C$3)</f>
        <v>#DIV/0!</v>
      </c>
      <c r="AC653" s="1032" t="e">
        <f>IF($F253="","",$F253*chronic_consumption!X653/1000/$C$3)</f>
        <v>#DIV/0!</v>
      </c>
      <c r="AD653" s="1032" t="e">
        <f>IF($F253="","",$F253*chronic_consumption!Y653/1000/$C$3)</f>
        <v>#DIV/0!</v>
      </c>
      <c r="AE653" s="1032" t="e">
        <f>IF($F253="","",$F253*chronic_consumption!Z653/1000/$C$3)</f>
        <v>#DIV/0!</v>
      </c>
      <c r="AF653" s="1032" t="e">
        <f>IF($F253="","",$F253*chronic_consumption!AA653/1000/$C$3)</f>
        <v>#DIV/0!</v>
      </c>
      <c r="AG653" s="1032" t="e">
        <f>IF($F253="","",$F253*chronic_consumption!AB653/1000/$C$3)</f>
        <v>#DIV/0!</v>
      </c>
      <c r="AH653" s="1032" t="e">
        <f>IF($F253="","",$F253*chronic_consumption!AC653/1000/$C$3)</f>
        <v>#DIV/0!</v>
      </c>
      <c r="AI653" s="1032" t="e">
        <f>IF($F253="","",$F253*chronic_consumption!AD653/1000/$C$3)</f>
        <v>#DIV/0!</v>
      </c>
      <c r="AJ653" s="1032" t="e">
        <f>IF($F253="","",$F253*chronic_consumption!AE653/1000/$C$3)</f>
        <v>#DIV/0!</v>
      </c>
      <c r="AK653" s="1032" t="e">
        <f>IF($F253="","",$F253*chronic_consumption!AF653/1000/$C$3)</f>
        <v>#DIV/0!</v>
      </c>
      <c r="AL653" s="1032" t="e">
        <f>IF($F253="","",$F253*chronic_consumption!AG653/1000/$C$3)</f>
        <v>#DIV/0!</v>
      </c>
      <c r="AM653" s="1032" t="e">
        <f>IF($F253="","",$F253*chronic_consumption!AH653/1000/$C$3)</f>
        <v>#DIV/0!</v>
      </c>
      <c r="AN653" s="1032" t="e">
        <f>IF($F253="","",$F253*chronic_consumption!AI653/1000/$C$3)</f>
        <v>#DIV/0!</v>
      </c>
      <c r="AO653" s="1032" t="e">
        <f>IF($F253="","",$F253*chronic_consumption!AJ653/1000/$C$3)</f>
        <v>#DIV/0!</v>
      </c>
      <c r="AP653" s="1032" t="e">
        <f>IF($F253="","",$F253*chronic_consumption!AK653/1000/$C$3)</f>
        <v>#DIV/0!</v>
      </c>
      <c r="AQ653" s="1032" t="e">
        <f>IF($F253="","",$F253*chronic_consumption!AL653/1000/$C$3)</f>
        <v>#DIV/0!</v>
      </c>
      <c r="AR653" s="1032" t="e">
        <f>IF($F253="","",$F253*chronic_consumption!AM653/1000/$C$3)</f>
        <v>#DIV/0!</v>
      </c>
      <c r="AS653" s="1032" t="e">
        <f>IF($F253="","",$F253*chronic_consumption!AN653/1000/$C$3)</f>
        <v>#DIV/0!</v>
      </c>
      <c r="AT653" s="1032" t="e">
        <f>IF($F253="","",$F253*chronic_consumption!AO653/1000/$C$3)</f>
        <v>#DIV/0!</v>
      </c>
      <c r="AU653" s="1032" t="e">
        <f>IF($F253="","",$F253*chronic_consumption!AP653/1000/$C$3)</f>
        <v>#DIV/0!</v>
      </c>
      <c r="AV653" s="1032" t="e">
        <f>IF($F253="","",$F253*chronic_consumption!AQ653/1000/$C$3)</f>
        <v>#DIV/0!</v>
      </c>
      <c r="AW653" s="1032" t="e">
        <f>IF($F253="","",$F253*chronic_consumption!AR653/1000/$C$3)</f>
        <v>#DIV/0!</v>
      </c>
      <c r="AX653" s="1032" t="e">
        <f>IF($F253="","",$F253*chronic_consumption!AS653/1000/$C$3)</f>
        <v>#DIV/0!</v>
      </c>
      <c r="AY653" s="1032" t="e">
        <f>IF($F253="","",$F253*chronic_consumption!AT653/1000/$C$3)</f>
        <v>#DIV/0!</v>
      </c>
      <c r="AZ653" s="44" t="s">
        <v>20</v>
      </c>
      <c r="BC653" s="29"/>
      <c r="BD653" s="29"/>
    </row>
    <row r="654" spans="1:56" ht="12" hidden="1" customHeight="1" outlineLevel="1" x14ac:dyDescent="0.2">
      <c r="A654" s="1033">
        <f>acute_overview_children!A254</f>
        <v>2</v>
      </c>
      <c r="B654" s="1034">
        <f t="shared" si="48"/>
        <v>610000</v>
      </c>
      <c r="C654" s="1034" t="str">
        <f t="shared" si="48"/>
        <v>Tea (dried leaves of Camellia sinensis)</v>
      </c>
      <c r="D654" s="1035"/>
      <c r="E654" s="1027"/>
      <c r="F654" s="87"/>
      <c r="G654" s="1027"/>
      <c r="H654" s="1029"/>
      <c r="I654" s="1030"/>
      <c r="J654" s="1037" t="e">
        <f>IF($F254="","",$F254*chronic_consumption!E654/1000/$C$3)</f>
        <v>#DIV/0!</v>
      </c>
      <c r="K654" s="1038" t="e">
        <f>IF($F254="","",$F254*chronic_consumption!F654/1000/$C$3)</f>
        <v>#DIV/0!</v>
      </c>
      <c r="L654" s="1038" t="e">
        <f>IF($F254="","",$F254*chronic_consumption!G654/1000/$C$3)</f>
        <v>#DIV/0!</v>
      </c>
      <c r="M654" s="1038" t="e">
        <f>IF($F254="","",$F254*chronic_consumption!H654/1000/$C$3)</f>
        <v>#DIV/0!</v>
      </c>
      <c r="N654" s="1038" t="e">
        <f>IF($F254="","",$F254*chronic_consumption!I654/1000/$C$3)</f>
        <v>#DIV/0!</v>
      </c>
      <c r="O654" s="1038" t="e">
        <f>IF($F254="","",$F254*chronic_consumption!J654/1000/$C$3)</f>
        <v>#DIV/0!</v>
      </c>
      <c r="P654" s="1038" t="e">
        <f>IF($F254="","",$F254*chronic_consumption!K654/1000/$C$3)</f>
        <v>#DIV/0!</v>
      </c>
      <c r="Q654" s="1038" t="e">
        <f>IF($F254="","",$F254*chronic_consumption!L654/1000/$C$3)</f>
        <v>#DIV/0!</v>
      </c>
      <c r="R654" s="1038" t="e">
        <f>IF($F254="","",$F254*chronic_consumption!M654/1000/$C$3)</f>
        <v>#DIV/0!</v>
      </c>
      <c r="S654" s="1038" t="e">
        <f>IF($F254="","",$F254*chronic_consumption!N654/1000/$C$3)</f>
        <v>#DIV/0!</v>
      </c>
      <c r="T654" s="1038" t="e">
        <f>IF($F254="","",$F254*chronic_consumption!O654/1000/$C$3)</f>
        <v>#DIV/0!</v>
      </c>
      <c r="U654" s="1038" t="e">
        <f>IF($F254="","",$F254*chronic_consumption!P654/1000/$C$3)</f>
        <v>#DIV/0!</v>
      </c>
      <c r="V654" s="1038" t="e">
        <f>IF($F254="","",$F254*chronic_consumption!Q654/1000/$C$3)</f>
        <v>#DIV/0!</v>
      </c>
      <c r="W654" s="1038" t="e">
        <f>IF($F254="","",$F254*chronic_consumption!R654/1000/$C$3)</f>
        <v>#DIV/0!</v>
      </c>
      <c r="X654" s="1038" t="e">
        <f>IF($F254="","",$F254*chronic_consumption!S654/1000/$C$3)</f>
        <v>#DIV/0!</v>
      </c>
      <c r="Y654" s="1038" t="e">
        <f>IF($F254="","",$F254*chronic_consumption!T654/1000/$C$3)</f>
        <v>#DIV/0!</v>
      </c>
      <c r="Z654" s="1038" t="e">
        <f>IF($F254="","",$F254*chronic_consumption!U654/1000/$C$3)</f>
        <v>#DIV/0!</v>
      </c>
      <c r="AA654" s="1038" t="e">
        <f>IF($F254="","",$F254*chronic_consumption!V654/1000/$C$3)</f>
        <v>#DIV/0!</v>
      </c>
      <c r="AB654" s="1038" t="e">
        <f>IF($F254="","",$F254*chronic_consumption!W654/1000/$C$3)</f>
        <v>#DIV/0!</v>
      </c>
      <c r="AC654" s="1038" t="e">
        <f>IF($F254="","",$F254*chronic_consumption!X654/1000/$C$3)</f>
        <v>#DIV/0!</v>
      </c>
      <c r="AD654" s="1038" t="e">
        <f>IF($F254="","",$F254*chronic_consumption!Y654/1000/$C$3)</f>
        <v>#DIV/0!</v>
      </c>
      <c r="AE654" s="1038" t="e">
        <f>IF($F254="","",$F254*chronic_consumption!Z654/1000/$C$3)</f>
        <v>#DIV/0!</v>
      </c>
      <c r="AF654" s="1038" t="e">
        <f>IF($F254="","",$F254*chronic_consumption!AA654/1000/$C$3)</f>
        <v>#DIV/0!</v>
      </c>
      <c r="AG654" s="1038" t="e">
        <f>IF($F254="","",$F254*chronic_consumption!AB654/1000/$C$3)</f>
        <v>#DIV/0!</v>
      </c>
      <c r="AH654" s="1038" t="e">
        <f>IF($F254="","",$F254*chronic_consumption!AC654/1000/$C$3)</f>
        <v>#DIV/0!</v>
      </c>
      <c r="AI654" s="1038" t="e">
        <f>IF($F254="","",$F254*chronic_consumption!AD654/1000/$C$3)</f>
        <v>#DIV/0!</v>
      </c>
      <c r="AJ654" s="1038" t="e">
        <f>IF($F254="","",$F254*chronic_consumption!AE654/1000/$C$3)</f>
        <v>#DIV/0!</v>
      </c>
      <c r="AK654" s="1038" t="e">
        <f>IF($F254="","",$F254*chronic_consumption!AF654/1000/$C$3)</f>
        <v>#DIV/0!</v>
      </c>
      <c r="AL654" s="1038" t="e">
        <f>IF($F254="","",$F254*chronic_consumption!AG654/1000/$C$3)</f>
        <v>#DIV/0!</v>
      </c>
      <c r="AM654" s="1038" t="e">
        <f>IF($F254="","",$F254*chronic_consumption!AH654/1000/$C$3)</f>
        <v>#DIV/0!</v>
      </c>
      <c r="AN654" s="1038" t="e">
        <f>IF($F254="","",$F254*chronic_consumption!AI654/1000/$C$3)</f>
        <v>#DIV/0!</v>
      </c>
      <c r="AO654" s="1038" t="e">
        <f>IF($F254="","",$F254*chronic_consumption!AJ654/1000/$C$3)</f>
        <v>#DIV/0!</v>
      </c>
      <c r="AP654" s="1038" t="e">
        <f>IF($F254="","",$F254*chronic_consumption!AK654/1000/$C$3)</f>
        <v>#DIV/0!</v>
      </c>
      <c r="AQ654" s="1038" t="e">
        <f>IF($F254="","",$F254*chronic_consumption!AL654/1000/$C$3)</f>
        <v>#DIV/0!</v>
      </c>
      <c r="AR654" s="1038" t="e">
        <f>IF($F254="","",$F254*chronic_consumption!AM654/1000/$C$3)</f>
        <v>#DIV/0!</v>
      </c>
      <c r="AS654" s="1038" t="e">
        <f>IF($F254="","",$F254*chronic_consumption!AN654/1000/$C$3)</f>
        <v>#DIV/0!</v>
      </c>
      <c r="AT654" s="1038" t="e">
        <f>IF($F254="","",$F254*chronic_consumption!AO654/1000/$C$3)</f>
        <v>#DIV/0!</v>
      </c>
      <c r="AU654" s="1038" t="e">
        <f>IF($F254="","",$F254*chronic_consumption!AP654/1000/$C$3)</f>
        <v>#DIV/0!</v>
      </c>
      <c r="AV654" s="1038" t="e">
        <f>IF($F254="","",$F254*chronic_consumption!AQ654/1000/$C$3)</f>
        <v>#DIV/0!</v>
      </c>
      <c r="AW654" s="1038" t="e">
        <f>IF($F254="","",$F254*chronic_consumption!AR654/1000/$C$3)</f>
        <v>#DIV/0!</v>
      </c>
      <c r="AX654" s="1038" t="e">
        <f>IF($F254="","",$F254*chronic_consumption!AS654/1000/$C$3)</f>
        <v>#DIV/0!</v>
      </c>
      <c r="AY654" s="1038" t="e">
        <f>IF($F254="","",$F254*chronic_consumption!AT654/1000/$C$3)</f>
        <v>#DIV/0!</v>
      </c>
      <c r="AZ654" s="44" t="s">
        <v>20</v>
      </c>
      <c r="BC654" s="29"/>
      <c r="BD654" s="29"/>
    </row>
    <row r="655" spans="1:56" ht="12" hidden="1" customHeight="1" outlineLevel="1" x14ac:dyDescent="0.2">
      <c r="A655" s="1033">
        <f>acute_overview_children!A255</f>
        <v>2</v>
      </c>
      <c r="B655" s="1034">
        <f t="shared" si="48"/>
        <v>620000</v>
      </c>
      <c r="C655" s="1034" t="str">
        <f t="shared" si="48"/>
        <v>Coffee beans</v>
      </c>
      <c r="D655" s="1035"/>
      <c r="E655" s="1027"/>
      <c r="F655" s="87"/>
      <c r="G655" s="1027"/>
      <c r="H655" s="1029"/>
      <c r="I655" s="1030"/>
      <c r="J655" s="1037" t="e">
        <f>IF($F255="","",$F255*chronic_consumption!E655/1000/$C$3)</f>
        <v>#DIV/0!</v>
      </c>
      <c r="K655" s="1038" t="e">
        <f>IF($F255="","",$F255*chronic_consumption!F655/1000/$C$3)</f>
        <v>#DIV/0!</v>
      </c>
      <c r="L655" s="1038" t="e">
        <f>IF($F255="","",$F255*chronic_consumption!G655/1000/$C$3)</f>
        <v>#DIV/0!</v>
      </c>
      <c r="M655" s="1038" t="e">
        <f>IF($F255="","",$F255*chronic_consumption!H655/1000/$C$3)</f>
        <v>#DIV/0!</v>
      </c>
      <c r="N655" s="1038" t="e">
        <f>IF($F255="","",$F255*chronic_consumption!I655/1000/$C$3)</f>
        <v>#DIV/0!</v>
      </c>
      <c r="O655" s="1038" t="e">
        <f>IF($F255="","",$F255*chronic_consumption!J655/1000/$C$3)</f>
        <v>#DIV/0!</v>
      </c>
      <c r="P655" s="1038" t="e">
        <f>IF($F255="","",$F255*chronic_consumption!K655/1000/$C$3)</f>
        <v>#DIV/0!</v>
      </c>
      <c r="Q655" s="1038" t="e">
        <f>IF($F255="","",$F255*chronic_consumption!L655/1000/$C$3)</f>
        <v>#DIV/0!</v>
      </c>
      <c r="R655" s="1038" t="e">
        <f>IF($F255="","",$F255*chronic_consumption!M655/1000/$C$3)</f>
        <v>#DIV/0!</v>
      </c>
      <c r="S655" s="1038" t="e">
        <f>IF($F255="","",$F255*chronic_consumption!N655/1000/$C$3)</f>
        <v>#DIV/0!</v>
      </c>
      <c r="T655" s="1038" t="e">
        <f>IF($F255="","",$F255*chronic_consumption!O655/1000/$C$3)</f>
        <v>#DIV/0!</v>
      </c>
      <c r="U655" s="1038" t="e">
        <f>IF($F255="","",$F255*chronic_consumption!P655/1000/$C$3)</f>
        <v>#DIV/0!</v>
      </c>
      <c r="V655" s="1038" t="e">
        <f>IF($F255="","",$F255*chronic_consumption!Q655/1000/$C$3)</f>
        <v>#DIV/0!</v>
      </c>
      <c r="W655" s="1038" t="e">
        <f>IF($F255="","",$F255*chronic_consumption!R655/1000/$C$3)</f>
        <v>#DIV/0!</v>
      </c>
      <c r="X655" s="1038" t="e">
        <f>IF($F255="","",$F255*chronic_consumption!S655/1000/$C$3)</f>
        <v>#DIV/0!</v>
      </c>
      <c r="Y655" s="1038" t="e">
        <f>IF($F255="","",$F255*chronic_consumption!T655/1000/$C$3)</f>
        <v>#DIV/0!</v>
      </c>
      <c r="Z655" s="1038" t="e">
        <f>IF($F255="","",$F255*chronic_consumption!U655/1000/$C$3)</f>
        <v>#DIV/0!</v>
      </c>
      <c r="AA655" s="1038" t="e">
        <f>IF($F255="","",$F255*chronic_consumption!V655/1000/$C$3)</f>
        <v>#DIV/0!</v>
      </c>
      <c r="AB655" s="1038" t="e">
        <f>IF($F255="","",$F255*chronic_consumption!W655/1000/$C$3)</f>
        <v>#DIV/0!</v>
      </c>
      <c r="AC655" s="1038" t="e">
        <f>IF($F255="","",$F255*chronic_consumption!X655/1000/$C$3)</f>
        <v>#DIV/0!</v>
      </c>
      <c r="AD655" s="1038" t="e">
        <f>IF($F255="","",$F255*chronic_consumption!Y655/1000/$C$3)</f>
        <v>#DIV/0!</v>
      </c>
      <c r="AE655" s="1038" t="e">
        <f>IF($F255="","",$F255*chronic_consumption!Z655/1000/$C$3)</f>
        <v>#DIV/0!</v>
      </c>
      <c r="AF655" s="1038" t="e">
        <f>IF($F255="","",$F255*chronic_consumption!AA655/1000/$C$3)</f>
        <v>#DIV/0!</v>
      </c>
      <c r="AG655" s="1038" t="e">
        <f>IF($F255="","",$F255*chronic_consumption!AB655/1000/$C$3)</f>
        <v>#DIV/0!</v>
      </c>
      <c r="AH655" s="1038" t="e">
        <f>IF($F255="","",$F255*chronic_consumption!AC655/1000/$C$3)</f>
        <v>#DIV/0!</v>
      </c>
      <c r="AI655" s="1038" t="e">
        <f>IF($F255="","",$F255*chronic_consumption!AD655/1000/$C$3)</f>
        <v>#DIV/0!</v>
      </c>
      <c r="AJ655" s="1038" t="e">
        <f>IF($F255="","",$F255*chronic_consumption!AE655/1000/$C$3)</f>
        <v>#DIV/0!</v>
      </c>
      <c r="AK655" s="1038" t="e">
        <f>IF($F255="","",$F255*chronic_consumption!AF655/1000/$C$3)</f>
        <v>#DIV/0!</v>
      </c>
      <c r="AL655" s="1038" t="e">
        <f>IF($F255="","",$F255*chronic_consumption!AG655/1000/$C$3)</f>
        <v>#DIV/0!</v>
      </c>
      <c r="AM655" s="1038" t="e">
        <f>IF($F255="","",$F255*chronic_consumption!AH655/1000/$C$3)</f>
        <v>#DIV/0!</v>
      </c>
      <c r="AN655" s="1038" t="e">
        <f>IF($F255="","",$F255*chronic_consumption!AI655/1000/$C$3)</f>
        <v>#DIV/0!</v>
      </c>
      <c r="AO655" s="1038" t="e">
        <f>IF($F255="","",$F255*chronic_consumption!AJ655/1000/$C$3)</f>
        <v>#DIV/0!</v>
      </c>
      <c r="AP655" s="1038" t="e">
        <f>IF($F255="","",$F255*chronic_consumption!AK655/1000/$C$3)</f>
        <v>#DIV/0!</v>
      </c>
      <c r="AQ655" s="1038" t="e">
        <f>IF($F255="","",$F255*chronic_consumption!AL655/1000/$C$3)</f>
        <v>#DIV/0!</v>
      </c>
      <c r="AR655" s="1038" t="e">
        <f>IF($F255="","",$F255*chronic_consumption!AM655/1000/$C$3)</f>
        <v>#DIV/0!</v>
      </c>
      <c r="AS655" s="1038" t="e">
        <f>IF($F255="","",$F255*chronic_consumption!AN655/1000/$C$3)</f>
        <v>#DIV/0!</v>
      </c>
      <c r="AT655" s="1038" t="e">
        <f>IF($F255="","",$F255*chronic_consumption!AO655/1000/$C$3)</f>
        <v>#DIV/0!</v>
      </c>
      <c r="AU655" s="1038" t="e">
        <f>IF($F255="","",$F255*chronic_consumption!AP655/1000/$C$3)</f>
        <v>#DIV/0!</v>
      </c>
      <c r="AV655" s="1038" t="e">
        <f>IF($F255="","",$F255*chronic_consumption!AQ655/1000/$C$3)</f>
        <v>#DIV/0!</v>
      </c>
      <c r="AW655" s="1038" t="e">
        <f>IF($F255="","",$F255*chronic_consumption!AR655/1000/$C$3)</f>
        <v>#DIV/0!</v>
      </c>
      <c r="AX655" s="1038" t="e">
        <f>IF($F255="","",$F255*chronic_consumption!AS655/1000/$C$3)</f>
        <v>#DIV/0!</v>
      </c>
      <c r="AY655" s="1038" t="e">
        <f>IF($F255="","",$F255*chronic_consumption!AT655/1000/$C$3)</f>
        <v>#DIV/0!</v>
      </c>
      <c r="AZ655" s="44" t="s">
        <v>20</v>
      </c>
      <c r="BC655" s="29"/>
      <c r="BD655" s="29"/>
    </row>
    <row r="656" spans="1:56" ht="12" hidden="1" customHeight="1" outlineLevel="1" x14ac:dyDescent="0.2">
      <c r="A656" s="1033">
        <f>acute_overview_children!A256</f>
        <v>2</v>
      </c>
      <c r="B656" s="1034">
        <f t="shared" si="48"/>
        <v>630000</v>
      </c>
      <c r="C656" s="1034" t="str">
        <f t="shared" si="48"/>
        <v>Herbal infusions (dried)</v>
      </c>
      <c r="D656" s="1035"/>
      <c r="E656" s="1027"/>
      <c r="F656" s="87"/>
      <c r="G656" s="1027"/>
      <c r="H656" s="1029"/>
      <c r="I656" s="1030"/>
      <c r="J656" s="1037" t="e">
        <f>IF($F256="","",$F256*chronic_consumption!E656/1000/$C$3)</f>
        <v>#DIV/0!</v>
      </c>
      <c r="K656" s="1038" t="e">
        <f>IF($F256="","",$F256*chronic_consumption!F656/1000/$C$3)</f>
        <v>#DIV/0!</v>
      </c>
      <c r="L656" s="1038" t="e">
        <f>IF($F256="","",$F256*chronic_consumption!G656/1000/$C$3)</f>
        <v>#DIV/0!</v>
      </c>
      <c r="M656" s="1038" t="e">
        <f>IF($F256="","",$F256*chronic_consumption!H656/1000/$C$3)</f>
        <v>#DIV/0!</v>
      </c>
      <c r="N656" s="1038" t="e">
        <f>IF($F256="","",$F256*chronic_consumption!I656/1000/$C$3)</f>
        <v>#DIV/0!</v>
      </c>
      <c r="O656" s="1038" t="e">
        <f>IF($F256="","",$F256*chronic_consumption!J656/1000/$C$3)</f>
        <v>#DIV/0!</v>
      </c>
      <c r="P656" s="1038" t="e">
        <f>IF($F256="","",$F256*chronic_consumption!K656/1000/$C$3)</f>
        <v>#DIV/0!</v>
      </c>
      <c r="Q656" s="1038" t="e">
        <f>IF($F256="","",$F256*chronic_consumption!L656/1000/$C$3)</f>
        <v>#DIV/0!</v>
      </c>
      <c r="R656" s="1038" t="e">
        <f>IF($F256="","",$F256*chronic_consumption!M656/1000/$C$3)</f>
        <v>#DIV/0!</v>
      </c>
      <c r="S656" s="1038" t="e">
        <f>IF($F256="","",$F256*chronic_consumption!N656/1000/$C$3)</f>
        <v>#DIV/0!</v>
      </c>
      <c r="T656" s="1038" t="e">
        <f>IF($F256="","",$F256*chronic_consumption!O656/1000/$C$3)</f>
        <v>#DIV/0!</v>
      </c>
      <c r="U656" s="1038" t="e">
        <f>IF($F256="","",$F256*chronic_consumption!P656/1000/$C$3)</f>
        <v>#DIV/0!</v>
      </c>
      <c r="V656" s="1038" t="e">
        <f>IF($F256="","",$F256*chronic_consumption!Q656/1000/$C$3)</f>
        <v>#DIV/0!</v>
      </c>
      <c r="W656" s="1038" t="e">
        <f>IF($F256="","",$F256*chronic_consumption!R656/1000/$C$3)</f>
        <v>#DIV/0!</v>
      </c>
      <c r="X656" s="1038" t="e">
        <f>IF($F256="","",$F256*chronic_consumption!S656/1000/$C$3)</f>
        <v>#DIV/0!</v>
      </c>
      <c r="Y656" s="1038" t="e">
        <f>IF($F256="","",$F256*chronic_consumption!T656/1000/$C$3)</f>
        <v>#DIV/0!</v>
      </c>
      <c r="Z656" s="1038" t="e">
        <f>IF($F256="","",$F256*chronic_consumption!U656/1000/$C$3)</f>
        <v>#DIV/0!</v>
      </c>
      <c r="AA656" s="1038" t="e">
        <f>IF($F256="","",$F256*chronic_consumption!V656/1000/$C$3)</f>
        <v>#DIV/0!</v>
      </c>
      <c r="AB656" s="1038" t="e">
        <f>IF($F256="","",$F256*chronic_consumption!W656/1000/$C$3)</f>
        <v>#DIV/0!</v>
      </c>
      <c r="AC656" s="1038" t="e">
        <f>IF($F256="","",$F256*chronic_consumption!X656/1000/$C$3)</f>
        <v>#DIV/0!</v>
      </c>
      <c r="AD656" s="1038" t="e">
        <f>IF($F256="","",$F256*chronic_consumption!Y656/1000/$C$3)</f>
        <v>#DIV/0!</v>
      </c>
      <c r="AE656" s="1038" t="e">
        <f>IF($F256="","",$F256*chronic_consumption!Z656/1000/$C$3)</f>
        <v>#DIV/0!</v>
      </c>
      <c r="AF656" s="1038" t="e">
        <f>IF($F256="","",$F256*chronic_consumption!AA656/1000/$C$3)</f>
        <v>#DIV/0!</v>
      </c>
      <c r="AG656" s="1038" t="e">
        <f>IF($F256="","",$F256*chronic_consumption!AB656/1000/$C$3)</f>
        <v>#DIV/0!</v>
      </c>
      <c r="AH656" s="1038" t="e">
        <f>IF($F256="","",$F256*chronic_consumption!AC656/1000/$C$3)</f>
        <v>#DIV/0!</v>
      </c>
      <c r="AI656" s="1038" t="e">
        <f>IF($F256="","",$F256*chronic_consumption!AD656/1000/$C$3)</f>
        <v>#DIV/0!</v>
      </c>
      <c r="AJ656" s="1038" t="e">
        <f>IF($F256="","",$F256*chronic_consumption!AE656/1000/$C$3)</f>
        <v>#DIV/0!</v>
      </c>
      <c r="AK656" s="1038" t="e">
        <f>IF($F256="","",$F256*chronic_consumption!AF656/1000/$C$3)</f>
        <v>#DIV/0!</v>
      </c>
      <c r="AL656" s="1038" t="e">
        <f>IF($F256="","",$F256*chronic_consumption!AG656/1000/$C$3)</f>
        <v>#DIV/0!</v>
      </c>
      <c r="AM656" s="1038" t="e">
        <f>IF($F256="","",$F256*chronic_consumption!AH656/1000/$C$3)</f>
        <v>#DIV/0!</v>
      </c>
      <c r="AN656" s="1038" t="e">
        <f>IF($F256="","",$F256*chronic_consumption!AI656/1000/$C$3)</f>
        <v>#DIV/0!</v>
      </c>
      <c r="AO656" s="1038" t="e">
        <f>IF($F256="","",$F256*chronic_consumption!AJ656/1000/$C$3)</f>
        <v>#DIV/0!</v>
      </c>
      <c r="AP656" s="1038" t="e">
        <f>IF($F256="","",$F256*chronic_consumption!AK656/1000/$C$3)</f>
        <v>#DIV/0!</v>
      </c>
      <c r="AQ656" s="1038" t="e">
        <f>IF($F256="","",$F256*chronic_consumption!AL656/1000/$C$3)</f>
        <v>#DIV/0!</v>
      </c>
      <c r="AR656" s="1038" t="e">
        <f>IF($F256="","",$F256*chronic_consumption!AM656/1000/$C$3)</f>
        <v>#DIV/0!</v>
      </c>
      <c r="AS656" s="1038" t="e">
        <f>IF($F256="","",$F256*chronic_consumption!AN656/1000/$C$3)</f>
        <v>#DIV/0!</v>
      </c>
      <c r="AT656" s="1038" t="e">
        <f>IF($F256="","",$F256*chronic_consumption!AO656/1000/$C$3)</f>
        <v>#DIV/0!</v>
      </c>
      <c r="AU656" s="1038" t="e">
        <f>IF($F256="","",$F256*chronic_consumption!AP656/1000/$C$3)</f>
        <v>#DIV/0!</v>
      </c>
      <c r="AV656" s="1038" t="e">
        <f>IF($F256="","",$F256*chronic_consumption!AQ656/1000/$C$3)</f>
        <v>#DIV/0!</v>
      </c>
      <c r="AW656" s="1038" t="e">
        <f>IF($F256="","",$F256*chronic_consumption!AR656/1000/$C$3)</f>
        <v>#DIV/0!</v>
      </c>
      <c r="AX656" s="1038" t="e">
        <f>IF($F256="","",$F256*chronic_consumption!AS656/1000/$C$3)</f>
        <v>#DIV/0!</v>
      </c>
      <c r="AY656" s="1038" t="e">
        <f>IF($F256="","",$F256*chronic_consumption!AT656/1000/$C$3)</f>
        <v>#DIV/0!</v>
      </c>
      <c r="AZ656" s="44" t="s">
        <v>20</v>
      </c>
      <c r="BC656" s="29"/>
      <c r="BD656" s="29"/>
    </row>
    <row r="657" spans="1:56" ht="12" hidden="1" customHeight="1" outlineLevel="2" x14ac:dyDescent="0.2">
      <c r="A657" s="341">
        <f>acute_overview_children!A257</f>
        <v>3</v>
      </c>
      <c r="B657" s="1041">
        <f t="shared" si="48"/>
        <v>631000</v>
      </c>
      <c r="C657" s="1041" t="str">
        <f t="shared" si="48"/>
        <v>Herbal infusions (dried flowers)</v>
      </c>
      <c r="D657" s="1042"/>
      <c r="E657" s="1027"/>
      <c r="F657" s="87"/>
      <c r="G657" s="1027"/>
      <c r="H657" s="1029"/>
      <c r="I657" s="1030"/>
      <c r="J657" s="1043" t="e">
        <f>IF($F257="","",$F257*chronic_consumption!E657/1000/$C$3)</f>
        <v>#DIV/0!</v>
      </c>
      <c r="K657" s="1044" t="e">
        <f>IF($F257="","",$F257*chronic_consumption!F657/1000/$C$3)</f>
        <v>#DIV/0!</v>
      </c>
      <c r="L657" s="1044" t="e">
        <f>IF($F257="","",$F257*chronic_consumption!G657/1000/$C$3)</f>
        <v>#DIV/0!</v>
      </c>
      <c r="M657" s="1044" t="e">
        <f>IF($F257="","",$F257*chronic_consumption!H657/1000/$C$3)</f>
        <v>#DIV/0!</v>
      </c>
      <c r="N657" s="1044" t="e">
        <f>IF($F257="","",$F257*chronic_consumption!I657/1000/$C$3)</f>
        <v>#DIV/0!</v>
      </c>
      <c r="O657" s="1044" t="e">
        <f>IF($F257="","",$F257*chronic_consumption!J657/1000/$C$3)</f>
        <v>#DIV/0!</v>
      </c>
      <c r="P657" s="1044" t="e">
        <f>IF($F257="","",$F257*chronic_consumption!K657/1000/$C$3)</f>
        <v>#DIV/0!</v>
      </c>
      <c r="Q657" s="1044" t="e">
        <f>IF($F257="","",$F257*chronic_consumption!L657/1000/$C$3)</f>
        <v>#DIV/0!</v>
      </c>
      <c r="R657" s="1044" t="e">
        <f>IF($F257="","",$F257*chronic_consumption!M657/1000/$C$3)</f>
        <v>#DIV/0!</v>
      </c>
      <c r="S657" s="1044" t="e">
        <f>IF($F257="","",$F257*chronic_consumption!N657/1000/$C$3)</f>
        <v>#DIV/0!</v>
      </c>
      <c r="T657" s="1044" t="e">
        <f>IF($F257="","",$F257*chronic_consumption!O657/1000/$C$3)</f>
        <v>#DIV/0!</v>
      </c>
      <c r="U657" s="1044" t="e">
        <f>IF($F257="","",$F257*chronic_consumption!P657/1000/$C$3)</f>
        <v>#DIV/0!</v>
      </c>
      <c r="V657" s="1044" t="e">
        <f>IF($F257="","",$F257*chronic_consumption!Q657/1000/$C$3)</f>
        <v>#DIV/0!</v>
      </c>
      <c r="W657" s="1044" t="e">
        <f>IF($F257="","",$F257*chronic_consumption!R657/1000/$C$3)</f>
        <v>#DIV/0!</v>
      </c>
      <c r="X657" s="1044" t="e">
        <f>IF($F257="","",$F257*chronic_consumption!S657/1000/$C$3)</f>
        <v>#DIV/0!</v>
      </c>
      <c r="Y657" s="1044" t="e">
        <f>IF($F257="","",$F257*chronic_consumption!T657/1000/$C$3)</f>
        <v>#DIV/0!</v>
      </c>
      <c r="Z657" s="1044" t="e">
        <f>IF($F257="","",$F257*chronic_consumption!U657/1000/$C$3)</f>
        <v>#DIV/0!</v>
      </c>
      <c r="AA657" s="1044" t="e">
        <f>IF($F257="","",$F257*chronic_consumption!V657/1000/$C$3)</f>
        <v>#DIV/0!</v>
      </c>
      <c r="AB657" s="1044" t="e">
        <f>IF($F257="","",$F257*chronic_consumption!W657/1000/$C$3)</f>
        <v>#DIV/0!</v>
      </c>
      <c r="AC657" s="1044" t="e">
        <f>IF($F257="","",$F257*chronic_consumption!X657/1000/$C$3)</f>
        <v>#DIV/0!</v>
      </c>
      <c r="AD657" s="1044" t="e">
        <f>IF($F257="","",$F257*chronic_consumption!Y657/1000/$C$3)</f>
        <v>#DIV/0!</v>
      </c>
      <c r="AE657" s="1044" t="e">
        <f>IF($F257="","",$F257*chronic_consumption!Z657/1000/$C$3)</f>
        <v>#DIV/0!</v>
      </c>
      <c r="AF657" s="1044" t="e">
        <f>IF($F257="","",$F257*chronic_consumption!AA657/1000/$C$3)</f>
        <v>#DIV/0!</v>
      </c>
      <c r="AG657" s="1044" t="e">
        <f>IF($F257="","",$F257*chronic_consumption!AB657/1000/$C$3)</f>
        <v>#DIV/0!</v>
      </c>
      <c r="AH657" s="1044" t="e">
        <f>IF($F257="","",$F257*chronic_consumption!AC657/1000/$C$3)</f>
        <v>#DIV/0!</v>
      </c>
      <c r="AI657" s="1044" t="e">
        <f>IF($F257="","",$F257*chronic_consumption!AD657/1000/$C$3)</f>
        <v>#DIV/0!</v>
      </c>
      <c r="AJ657" s="1044" t="e">
        <f>IF($F257="","",$F257*chronic_consumption!AE657/1000/$C$3)</f>
        <v>#DIV/0!</v>
      </c>
      <c r="AK657" s="1044" t="e">
        <f>IF($F257="","",$F257*chronic_consumption!AF657/1000/$C$3)</f>
        <v>#DIV/0!</v>
      </c>
      <c r="AL657" s="1044" t="e">
        <f>IF($F257="","",$F257*chronic_consumption!AG657/1000/$C$3)</f>
        <v>#DIV/0!</v>
      </c>
      <c r="AM657" s="1044" t="e">
        <f>IF($F257="","",$F257*chronic_consumption!AH657/1000/$C$3)</f>
        <v>#DIV/0!</v>
      </c>
      <c r="AN657" s="1044" t="e">
        <f>IF($F257="","",$F257*chronic_consumption!AI657/1000/$C$3)</f>
        <v>#DIV/0!</v>
      </c>
      <c r="AO657" s="1044" t="e">
        <f>IF($F257="","",$F257*chronic_consumption!AJ657/1000/$C$3)</f>
        <v>#DIV/0!</v>
      </c>
      <c r="AP657" s="1044" t="e">
        <f>IF($F257="","",$F257*chronic_consumption!AK657/1000/$C$3)</f>
        <v>#DIV/0!</v>
      </c>
      <c r="AQ657" s="1044" t="e">
        <f>IF($F257="","",$F257*chronic_consumption!AL657/1000/$C$3)</f>
        <v>#DIV/0!</v>
      </c>
      <c r="AR657" s="1044" t="e">
        <f>IF($F257="","",$F257*chronic_consumption!AM657/1000/$C$3)</f>
        <v>#DIV/0!</v>
      </c>
      <c r="AS657" s="1044" t="e">
        <f>IF($F257="","",$F257*chronic_consumption!AN657/1000/$C$3)</f>
        <v>#DIV/0!</v>
      </c>
      <c r="AT657" s="1044" t="e">
        <f>IF($F257="","",$F257*chronic_consumption!AO657/1000/$C$3)</f>
        <v>#DIV/0!</v>
      </c>
      <c r="AU657" s="1044" t="e">
        <f>IF($F257="","",$F257*chronic_consumption!AP657/1000/$C$3)</f>
        <v>#DIV/0!</v>
      </c>
      <c r="AV657" s="1044" t="e">
        <f>IF($F257="","",$F257*chronic_consumption!AQ657/1000/$C$3)</f>
        <v>#DIV/0!</v>
      </c>
      <c r="AW657" s="1044" t="e">
        <f>IF($F257="","",$F257*chronic_consumption!AR657/1000/$C$3)</f>
        <v>#DIV/0!</v>
      </c>
      <c r="AX657" s="1044" t="e">
        <f>IF($F257="","",$F257*chronic_consumption!AS657/1000/$C$3)</f>
        <v>#DIV/0!</v>
      </c>
      <c r="AY657" s="1044" t="e">
        <f>IF($F257="","",$F257*chronic_consumption!AT657/1000/$C$3)</f>
        <v>#DIV/0!</v>
      </c>
      <c r="AZ657" s="44" t="s">
        <v>20</v>
      </c>
      <c r="BC657" s="29"/>
      <c r="BD657" s="29"/>
    </row>
    <row r="658" spans="1:56" ht="12" hidden="1" customHeight="1" outlineLevel="3" x14ac:dyDescent="0.2">
      <c r="A658" s="21">
        <f>acute_overview_children!A258</f>
        <v>4</v>
      </c>
      <c r="B658" s="325">
        <f t="shared" si="48"/>
        <v>631010</v>
      </c>
      <c r="C658" s="325" t="str">
        <f t="shared" si="48"/>
        <v>Chamomille</v>
      </c>
      <c r="D658" s="135"/>
      <c r="E658" s="1027"/>
      <c r="F658" s="87"/>
      <c r="G658" s="1027"/>
      <c r="H658" s="1029"/>
      <c r="I658" s="1030"/>
      <c r="J658" s="1039" t="e">
        <f>IF($F258="","",$F258*chronic_consumption!E658/1000/$C$3)</f>
        <v>#DIV/0!</v>
      </c>
      <c r="K658" s="1040" t="e">
        <f>IF($F258="","",$F258*chronic_consumption!F658/1000/$C$3)</f>
        <v>#DIV/0!</v>
      </c>
      <c r="L658" s="1040" t="e">
        <f>IF($F258="","",$F258*chronic_consumption!G658/1000/$C$3)</f>
        <v>#DIV/0!</v>
      </c>
      <c r="M658" s="1040" t="e">
        <f>IF($F258="","",$F258*chronic_consumption!H658/1000/$C$3)</f>
        <v>#DIV/0!</v>
      </c>
      <c r="N658" s="1040" t="e">
        <f>IF($F258="","",$F258*chronic_consumption!I658/1000/$C$3)</f>
        <v>#DIV/0!</v>
      </c>
      <c r="O658" s="1040" t="e">
        <f>IF($F258="","",$F258*chronic_consumption!J658/1000/$C$3)</f>
        <v>#DIV/0!</v>
      </c>
      <c r="P658" s="1040" t="e">
        <f>IF($F258="","",$F258*chronic_consumption!K658/1000/$C$3)</f>
        <v>#DIV/0!</v>
      </c>
      <c r="Q658" s="1040" t="e">
        <f>IF($F258="","",$F258*chronic_consumption!L658/1000/$C$3)</f>
        <v>#DIV/0!</v>
      </c>
      <c r="R658" s="1040" t="e">
        <f>IF($F258="","",$F258*chronic_consumption!M658/1000/$C$3)</f>
        <v>#DIV/0!</v>
      </c>
      <c r="S658" s="1040" t="e">
        <f>IF($F258="","",$F258*chronic_consumption!N658/1000/$C$3)</f>
        <v>#DIV/0!</v>
      </c>
      <c r="T658" s="1040" t="e">
        <f>IF($F258="","",$F258*chronic_consumption!O658/1000/$C$3)</f>
        <v>#DIV/0!</v>
      </c>
      <c r="U658" s="1040" t="e">
        <f>IF($F258="","",$F258*chronic_consumption!P658/1000/$C$3)</f>
        <v>#DIV/0!</v>
      </c>
      <c r="V658" s="1040" t="e">
        <f>IF($F258="","",$F258*chronic_consumption!Q658/1000/$C$3)</f>
        <v>#DIV/0!</v>
      </c>
      <c r="W658" s="1040" t="e">
        <f>IF($F258="","",$F258*chronic_consumption!R658/1000/$C$3)</f>
        <v>#DIV/0!</v>
      </c>
      <c r="X658" s="1040" t="e">
        <f>IF($F258="","",$F258*chronic_consumption!S658/1000/$C$3)</f>
        <v>#DIV/0!</v>
      </c>
      <c r="Y658" s="1040" t="e">
        <f>IF($F258="","",$F258*chronic_consumption!T658/1000/$C$3)</f>
        <v>#DIV/0!</v>
      </c>
      <c r="Z658" s="1040" t="e">
        <f>IF($F258="","",$F258*chronic_consumption!U658/1000/$C$3)</f>
        <v>#DIV/0!</v>
      </c>
      <c r="AA658" s="1040" t="e">
        <f>IF($F258="","",$F258*chronic_consumption!V658/1000/$C$3)</f>
        <v>#DIV/0!</v>
      </c>
      <c r="AB658" s="1040" t="e">
        <f>IF($F258="","",$F258*chronic_consumption!W658/1000/$C$3)</f>
        <v>#DIV/0!</v>
      </c>
      <c r="AC658" s="1040" t="e">
        <f>IF($F258="","",$F258*chronic_consumption!X658/1000/$C$3)</f>
        <v>#DIV/0!</v>
      </c>
      <c r="AD658" s="1040" t="e">
        <f>IF($F258="","",$F258*chronic_consumption!Y658/1000/$C$3)</f>
        <v>#DIV/0!</v>
      </c>
      <c r="AE658" s="1040" t="e">
        <f>IF($F258="","",$F258*chronic_consumption!Z658/1000/$C$3)</f>
        <v>#DIV/0!</v>
      </c>
      <c r="AF658" s="1040" t="e">
        <f>IF($F258="","",$F258*chronic_consumption!AA658/1000/$C$3)</f>
        <v>#DIV/0!</v>
      </c>
      <c r="AG658" s="1040" t="e">
        <f>IF($F258="","",$F258*chronic_consumption!AB658/1000/$C$3)</f>
        <v>#DIV/0!</v>
      </c>
      <c r="AH658" s="1040" t="e">
        <f>IF($F258="","",$F258*chronic_consumption!AC658/1000/$C$3)</f>
        <v>#DIV/0!</v>
      </c>
      <c r="AI658" s="1040" t="e">
        <f>IF($F258="","",$F258*chronic_consumption!AD658/1000/$C$3)</f>
        <v>#DIV/0!</v>
      </c>
      <c r="AJ658" s="1040" t="e">
        <f>IF($F258="","",$F258*chronic_consumption!AE658/1000/$C$3)</f>
        <v>#DIV/0!</v>
      </c>
      <c r="AK658" s="1040" t="e">
        <f>IF($F258="","",$F258*chronic_consumption!AF658/1000/$C$3)</f>
        <v>#DIV/0!</v>
      </c>
      <c r="AL658" s="1040" t="e">
        <f>IF($F258="","",$F258*chronic_consumption!AG658/1000/$C$3)</f>
        <v>#DIV/0!</v>
      </c>
      <c r="AM658" s="1040" t="e">
        <f>IF($F258="","",$F258*chronic_consumption!AH658/1000/$C$3)</f>
        <v>#DIV/0!</v>
      </c>
      <c r="AN658" s="1040" t="e">
        <f>IF($F258="","",$F258*chronic_consumption!AI658/1000/$C$3)</f>
        <v>#DIV/0!</v>
      </c>
      <c r="AO658" s="1040" t="e">
        <f>IF($F258="","",$F258*chronic_consumption!AJ658/1000/$C$3)</f>
        <v>#DIV/0!</v>
      </c>
      <c r="AP658" s="1040" t="e">
        <f>IF($F258="","",$F258*chronic_consumption!AK658/1000/$C$3)</f>
        <v>#DIV/0!</v>
      </c>
      <c r="AQ658" s="1040" t="e">
        <f>IF($F258="","",$F258*chronic_consumption!AL658/1000/$C$3)</f>
        <v>#DIV/0!</v>
      </c>
      <c r="AR658" s="1040" t="e">
        <f>IF($F258="","",$F258*chronic_consumption!AM658/1000/$C$3)</f>
        <v>#DIV/0!</v>
      </c>
      <c r="AS658" s="1040" t="e">
        <f>IF($F258="","",$F258*chronic_consumption!AN658/1000/$C$3)</f>
        <v>#DIV/0!</v>
      </c>
      <c r="AT658" s="1040" t="e">
        <f>IF($F258="","",$F258*chronic_consumption!AO658/1000/$C$3)</f>
        <v>#DIV/0!</v>
      </c>
      <c r="AU658" s="1040" t="e">
        <f>IF($F258="","",$F258*chronic_consumption!AP658/1000/$C$3)</f>
        <v>#DIV/0!</v>
      </c>
      <c r="AV658" s="1040" t="e">
        <f>IF($F258="","",$F258*chronic_consumption!AQ658/1000/$C$3)</f>
        <v>#DIV/0!</v>
      </c>
      <c r="AW658" s="1040" t="e">
        <f>IF($F258="","",$F258*chronic_consumption!AR658/1000/$C$3)</f>
        <v>#DIV/0!</v>
      </c>
      <c r="AX658" s="1040" t="e">
        <f>IF($F258="","",$F258*chronic_consumption!AS658/1000/$C$3)</f>
        <v>#DIV/0!</v>
      </c>
      <c r="AY658" s="1040" t="e">
        <f>IF($F258="","",$F258*chronic_consumption!AT658/1000/$C$3)</f>
        <v>#DIV/0!</v>
      </c>
      <c r="AZ658" s="44" t="s">
        <v>20</v>
      </c>
      <c r="BC658" s="29"/>
      <c r="BD658" s="29"/>
    </row>
    <row r="659" spans="1:56" ht="12" hidden="1" customHeight="1" outlineLevel="3" x14ac:dyDescent="0.2">
      <c r="A659" s="21">
        <f>acute_overview_children!A259</f>
        <v>4</v>
      </c>
      <c r="B659" s="325">
        <f t="shared" si="48"/>
        <v>631020</v>
      </c>
      <c r="C659" s="325" t="str">
        <f t="shared" si="48"/>
        <v>Hybiscus/roselle</v>
      </c>
      <c r="D659" s="135"/>
      <c r="E659" s="1027"/>
      <c r="F659" s="87"/>
      <c r="G659" s="1027"/>
      <c r="H659" s="1029"/>
      <c r="I659" s="1030"/>
      <c r="J659" s="1039" t="e">
        <f>IF($F259="","",$F259*chronic_consumption!E659/1000/$C$3)</f>
        <v>#DIV/0!</v>
      </c>
      <c r="K659" s="1040" t="e">
        <f>IF($F259="","",$F259*chronic_consumption!F659/1000/$C$3)</f>
        <v>#DIV/0!</v>
      </c>
      <c r="L659" s="1040" t="e">
        <f>IF($F259="","",$F259*chronic_consumption!G659/1000/$C$3)</f>
        <v>#DIV/0!</v>
      </c>
      <c r="M659" s="1040" t="e">
        <f>IF($F259="","",$F259*chronic_consumption!H659/1000/$C$3)</f>
        <v>#DIV/0!</v>
      </c>
      <c r="N659" s="1040" t="e">
        <f>IF($F259="","",$F259*chronic_consumption!I659/1000/$C$3)</f>
        <v>#DIV/0!</v>
      </c>
      <c r="O659" s="1040" t="e">
        <f>IF($F259="","",$F259*chronic_consumption!J659/1000/$C$3)</f>
        <v>#DIV/0!</v>
      </c>
      <c r="P659" s="1040" t="e">
        <f>IF($F259="","",$F259*chronic_consumption!K659/1000/$C$3)</f>
        <v>#DIV/0!</v>
      </c>
      <c r="Q659" s="1040" t="e">
        <f>IF($F259="","",$F259*chronic_consumption!L659/1000/$C$3)</f>
        <v>#DIV/0!</v>
      </c>
      <c r="R659" s="1040" t="e">
        <f>IF($F259="","",$F259*chronic_consumption!M659/1000/$C$3)</f>
        <v>#DIV/0!</v>
      </c>
      <c r="S659" s="1040" t="e">
        <f>IF($F259="","",$F259*chronic_consumption!N659/1000/$C$3)</f>
        <v>#DIV/0!</v>
      </c>
      <c r="T659" s="1040" t="e">
        <f>IF($F259="","",$F259*chronic_consumption!O659/1000/$C$3)</f>
        <v>#DIV/0!</v>
      </c>
      <c r="U659" s="1040" t="e">
        <f>IF($F259="","",$F259*chronic_consumption!P659/1000/$C$3)</f>
        <v>#DIV/0!</v>
      </c>
      <c r="V659" s="1040" t="e">
        <f>IF($F259="","",$F259*chronic_consumption!Q659/1000/$C$3)</f>
        <v>#DIV/0!</v>
      </c>
      <c r="W659" s="1040" t="e">
        <f>IF($F259="","",$F259*chronic_consumption!R659/1000/$C$3)</f>
        <v>#DIV/0!</v>
      </c>
      <c r="X659" s="1040" t="e">
        <f>IF($F259="","",$F259*chronic_consumption!S659/1000/$C$3)</f>
        <v>#DIV/0!</v>
      </c>
      <c r="Y659" s="1040" t="e">
        <f>IF($F259="","",$F259*chronic_consumption!T659/1000/$C$3)</f>
        <v>#DIV/0!</v>
      </c>
      <c r="Z659" s="1040" t="e">
        <f>IF($F259="","",$F259*chronic_consumption!U659/1000/$C$3)</f>
        <v>#DIV/0!</v>
      </c>
      <c r="AA659" s="1040" t="e">
        <f>IF($F259="","",$F259*chronic_consumption!V659/1000/$C$3)</f>
        <v>#DIV/0!</v>
      </c>
      <c r="AB659" s="1040" t="e">
        <f>IF($F259="","",$F259*chronic_consumption!W659/1000/$C$3)</f>
        <v>#DIV/0!</v>
      </c>
      <c r="AC659" s="1040" t="e">
        <f>IF($F259="","",$F259*chronic_consumption!X659/1000/$C$3)</f>
        <v>#DIV/0!</v>
      </c>
      <c r="AD659" s="1040" t="e">
        <f>IF($F259="","",$F259*chronic_consumption!Y659/1000/$C$3)</f>
        <v>#DIV/0!</v>
      </c>
      <c r="AE659" s="1040" t="e">
        <f>IF($F259="","",$F259*chronic_consumption!Z659/1000/$C$3)</f>
        <v>#DIV/0!</v>
      </c>
      <c r="AF659" s="1040" t="e">
        <f>IF($F259="","",$F259*chronic_consumption!AA659/1000/$C$3)</f>
        <v>#DIV/0!</v>
      </c>
      <c r="AG659" s="1040" t="e">
        <f>IF($F259="","",$F259*chronic_consumption!AB659/1000/$C$3)</f>
        <v>#DIV/0!</v>
      </c>
      <c r="AH659" s="1040" t="e">
        <f>IF($F259="","",$F259*chronic_consumption!AC659/1000/$C$3)</f>
        <v>#DIV/0!</v>
      </c>
      <c r="AI659" s="1040" t="e">
        <f>IF($F259="","",$F259*chronic_consumption!AD659/1000/$C$3)</f>
        <v>#DIV/0!</v>
      </c>
      <c r="AJ659" s="1040" t="e">
        <f>IF($F259="","",$F259*chronic_consumption!AE659/1000/$C$3)</f>
        <v>#DIV/0!</v>
      </c>
      <c r="AK659" s="1040" t="e">
        <f>IF($F259="","",$F259*chronic_consumption!AF659/1000/$C$3)</f>
        <v>#DIV/0!</v>
      </c>
      <c r="AL659" s="1040" t="e">
        <f>IF($F259="","",$F259*chronic_consumption!AG659/1000/$C$3)</f>
        <v>#DIV/0!</v>
      </c>
      <c r="AM659" s="1040" t="e">
        <f>IF($F259="","",$F259*chronic_consumption!AH659/1000/$C$3)</f>
        <v>#DIV/0!</v>
      </c>
      <c r="AN659" s="1040" t="e">
        <f>IF($F259="","",$F259*chronic_consumption!AI659/1000/$C$3)</f>
        <v>#DIV/0!</v>
      </c>
      <c r="AO659" s="1040" t="e">
        <f>IF($F259="","",$F259*chronic_consumption!AJ659/1000/$C$3)</f>
        <v>#DIV/0!</v>
      </c>
      <c r="AP659" s="1040" t="e">
        <f>IF($F259="","",$F259*chronic_consumption!AK659/1000/$C$3)</f>
        <v>#DIV/0!</v>
      </c>
      <c r="AQ659" s="1040" t="e">
        <f>IF($F259="","",$F259*chronic_consumption!AL659/1000/$C$3)</f>
        <v>#DIV/0!</v>
      </c>
      <c r="AR659" s="1040" t="e">
        <f>IF($F259="","",$F259*chronic_consumption!AM659/1000/$C$3)</f>
        <v>#DIV/0!</v>
      </c>
      <c r="AS659" s="1040" t="e">
        <f>IF($F259="","",$F259*chronic_consumption!AN659/1000/$C$3)</f>
        <v>#DIV/0!</v>
      </c>
      <c r="AT659" s="1040" t="e">
        <f>IF($F259="","",$F259*chronic_consumption!AO659/1000/$C$3)</f>
        <v>#DIV/0!</v>
      </c>
      <c r="AU659" s="1040" t="e">
        <f>IF($F259="","",$F259*chronic_consumption!AP659/1000/$C$3)</f>
        <v>#DIV/0!</v>
      </c>
      <c r="AV659" s="1040" t="e">
        <f>IF($F259="","",$F259*chronic_consumption!AQ659/1000/$C$3)</f>
        <v>#DIV/0!</v>
      </c>
      <c r="AW659" s="1040" t="e">
        <f>IF($F259="","",$F259*chronic_consumption!AR659/1000/$C$3)</f>
        <v>#DIV/0!</v>
      </c>
      <c r="AX659" s="1040" t="e">
        <f>IF($F259="","",$F259*chronic_consumption!AS659/1000/$C$3)</f>
        <v>#DIV/0!</v>
      </c>
      <c r="AY659" s="1040" t="e">
        <f>IF($F259="","",$F259*chronic_consumption!AT659/1000/$C$3)</f>
        <v>#DIV/0!</v>
      </c>
      <c r="AZ659" s="44" t="s">
        <v>20</v>
      </c>
      <c r="BC659" s="29"/>
      <c r="BD659" s="29"/>
    </row>
    <row r="660" spans="1:56" ht="12" hidden="1" customHeight="1" outlineLevel="3" x14ac:dyDescent="0.2">
      <c r="A660" s="21">
        <f>acute_overview_children!A260</f>
        <v>4</v>
      </c>
      <c r="B660" s="325">
        <f t="shared" si="48"/>
        <v>631030</v>
      </c>
      <c r="C660" s="325" t="str">
        <f t="shared" si="48"/>
        <v>Rose</v>
      </c>
      <c r="D660" s="135"/>
      <c r="E660" s="1027"/>
      <c r="F660" s="87"/>
      <c r="G660" s="1027"/>
      <c r="H660" s="1029"/>
      <c r="I660" s="1030"/>
      <c r="J660" s="1039" t="e">
        <f>IF($F260="","",$F260*chronic_consumption!E660/1000/$C$3)</f>
        <v>#DIV/0!</v>
      </c>
      <c r="K660" s="1040" t="e">
        <f>IF($F260="","",$F260*chronic_consumption!F660/1000/$C$3)</f>
        <v>#DIV/0!</v>
      </c>
      <c r="L660" s="1040" t="e">
        <f>IF($F260="","",$F260*chronic_consumption!G660/1000/$C$3)</f>
        <v>#DIV/0!</v>
      </c>
      <c r="M660" s="1040" t="e">
        <f>IF($F260="","",$F260*chronic_consumption!H660/1000/$C$3)</f>
        <v>#DIV/0!</v>
      </c>
      <c r="N660" s="1040" t="e">
        <f>IF($F260="","",$F260*chronic_consumption!I660/1000/$C$3)</f>
        <v>#DIV/0!</v>
      </c>
      <c r="O660" s="1040" t="e">
        <f>IF($F260="","",$F260*chronic_consumption!J660/1000/$C$3)</f>
        <v>#DIV/0!</v>
      </c>
      <c r="P660" s="1040" t="e">
        <f>IF($F260="","",$F260*chronic_consumption!K660/1000/$C$3)</f>
        <v>#DIV/0!</v>
      </c>
      <c r="Q660" s="1040" t="e">
        <f>IF($F260="","",$F260*chronic_consumption!L660/1000/$C$3)</f>
        <v>#DIV/0!</v>
      </c>
      <c r="R660" s="1040" t="e">
        <f>IF($F260="","",$F260*chronic_consumption!M660/1000/$C$3)</f>
        <v>#DIV/0!</v>
      </c>
      <c r="S660" s="1040" t="e">
        <f>IF($F260="","",$F260*chronic_consumption!N660/1000/$C$3)</f>
        <v>#DIV/0!</v>
      </c>
      <c r="T660" s="1040" t="e">
        <f>IF($F260="","",$F260*chronic_consumption!O660/1000/$C$3)</f>
        <v>#DIV/0!</v>
      </c>
      <c r="U660" s="1040" t="e">
        <f>IF($F260="","",$F260*chronic_consumption!P660/1000/$C$3)</f>
        <v>#DIV/0!</v>
      </c>
      <c r="V660" s="1040" t="e">
        <f>IF($F260="","",$F260*chronic_consumption!Q660/1000/$C$3)</f>
        <v>#DIV/0!</v>
      </c>
      <c r="W660" s="1040" t="e">
        <f>IF($F260="","",$F260*chronic_consumption!R660/1000/$C$3)</f>
        <v>#DIV/0!</v>
      </c>
      <c r="X660" s="1040" t="e">
        <f>IF($F260="","",$F260*chronic_consumption!S660/1000/$C$3)</f>
        <v>#DIV/0!</v>
      </c>
      <c r="Y660" s="1040" t="e">
        <f>IF($F260="","",$F260*chronic_consumption!T660/1000/$C$3)</f>
        <v>#DIV/0!</v>
      </c>
      <c r="Z660" s="1040" t="e">
        <f>IF($F260="","",$F260*chronic_consumption!U660/1000/$C$3)</f>
        <v>#DIV/0!</v>
      </c>
      <c r="AA660" s="1040" t="e">
        <f>IF($F260="","",$F260*chronic_consumption!V660/1000/$C$3)</f>
        <v>#DIV/0!</v>
      </c>
      <c r="AB660" s="1040" t="e">
        <f>IF($F260="","",$F260*chronic_consumption!W660/1000/$C$3)</f>
        <v>#DIV/0!</v>
      </c>
      <c r="AC660" s="1040" t="e">
        <f>IF($F260="","",$F260*chronic_consumption!X660/1000/$C$3)</f>
        <v>#DIV/0!</v>
      </c>
      <c r="AD660" s="1040" t="e">
        <f>IF($F260="","",$F260*chronic_consumption!Y660/1000/$C$3)</f>
        <v>#DIV/0!</v>
      </c>
      <c r="AE660" s="1040" t="e">
        <f>IF($F260="","",$F260*chronic_consumption!Z660/1000/$C$3)</f>
        <v>#DIV/0!</v>
      </c>
      <c r="AF660" s="1040" t="e">
        <f>IF($F260="","",$F260*chronic_consumption!AA660/1000/$C$3)</f>
        <v>#DIV/0!</v>
      </c>
      <c r="AG660" s="1040" t="e">
        <f>IF($F260="","",$F260*chronic_consumption!AB660/1000/$C$3)</f>
        <v>#DIV/0!</v>
      </c>
      <c r="AH660" s="1040" t="e">
        <f>IF($F260="","",$F260*chronic_consumption!AC660/1000/$C$3)</f>
        <v>#DIV/0!</v>
      </c>
      <c r="AI660" s="1040" t="e">
        <f>IF($F260="","",$F260*chronic_consumption!AD660/1000/$C$3)</f>
        <v>#DIV/0!</v>
      </c>
      <c r="AJ660" s="1040" t="e">
        <f>IF($F260="","",$F260*chronic_consumption!AE660/1000/$C$3)</f>
        <v>#DIV/0!</v>
      </c>
      <c r="AK660" s="1040" t="e">
        <f>IF($F260="","",$F260*chronic_consumption!AF660/1000/$C$3)</f>
        <v>#DIV/0!</v>
      </c>
      <c r="AL660" s="1040" t="e">
        <f>IF($F260="","",$F260*chronic_consumption!AG660/1000/$C$3)</f>
        <v>#DIV/0!</v>
      </c>
      <c r="AM660" s="1040" t="e">
        <f>IF($F260="","",$F260*chronic_consumption!AH660/1000/$C$3)</f>
        <v>#DIV/0!</v>
      </c>
      <c r="AN660" s="1040" t="e">
        <f>IF($F260="","",$F260*chronic_consumption!AI660/1000/$C$3)</f>
        <v>#DIV/0!</v>
      </c>
      <c r="AO660" s="1040" t="e">
        <f>IF($F260="","",$F260*chronic_consumption!AJ660/1000/$C$3)</f>
        <v>#DIV/0!</v>
      </c>
      <c r="AP660" s="1040" t="e">
        <f>IF($F260="","",$F260*chronic_consumption!AK660/1000/$C$3)</f>
        <v>#DIV/0!</v>
      </c>
      <c r="AQ660" s="1040" t="e">
        <f>IF($F260="","",$F260*chronic_consumption!AL660/1000/$C$3)</f>
        <v>#DIV/0!</v>
      </c>
      <c r="AR660" s="1040" t="e">
        <f>IF($F260="","",$F260*chronic_consumption!AM660/1000/$C$3)</f>
        <v>#DIV/0!</v>
      </c>
      <c r="AS660" s="1040" t="e">
        <f>IF($F260="","",$F260*chronic_consumption!AN660/1000/$C$3)</f>
        <v>#DIV/0!</v>
      </c>
      <c r="AT660" s="1040" t="e">
        <f>IF($F260="","",$F260*chronic_consumption!AO660/1000/$C$3)</f>
        <v>#DIV/0!</v>
      </c>
      <c r="AU660" s="1040" t="e">
        <f>IF($F260="","",$F260*chronic_consumption!AP660/1000/$C$3)</f>
        <v>#DIV/0!</v>
      </c>
      <c r="AV660" s="1040" t="e">
        <f>IF($F260="","",$F260*chronic_consumption!AQ660/1000/$C$3)</f>
        <v>#DIV/0!</v>
      </c>
      <c r="AW660" s="1040" t="e">
        <f>IF($F260="","",$F260*chronic_consumption!AR660/1000/$C$3)</f>
        <v>#DIV/0!</v>
      </c>
      <c r="AX660" s="1040" t="e">
        <f>IF($F260="","",$F260*chronic_consumption!AS660/1000/$C$3)</f>
        <v>#DIV/0!</v>
      </c>
      <c r="AY660" s="1040" t="e">
        <f>IF($F260="","",$F260*chronic_consumption!AT660/1000/$C$3)</f>
        <v>#DIV/0!</v>
      </c>
      <c r="AZ660" s="44" t="s">
        <v>20</v>
      </c>
      <c r="BC660" s="29"/>
      <c r="BD660" s="29"/>
    </row>
    <row r="661" spans="1:56" ht="12" hidden="1" customHeight="1" outlineLevel="3" x14ac:dyDescent="0.2">
      <c r="A661" s="21">
        <f>acute_overview_children!A261</f>
        <v>4</v>
      </c>
      <c r="B661" s="325">
        <f t="shared" si="48"/>
        <v>631040</v>
      </c>
      <c r="C661" s="325" t="str">
        <f t="shared" si="48"/>
        <v>Jasmine</v>
      </c>
      <c r="D661" s="135"/>
      <c r="E661" s="1027"/>
      <c r="F661" s="87"/>
      <c r="G661" s="1027"/>
      <c r="H661" s="1029"/>
      <c r="I661" s="1030"/>
      <c r="J661" s="1039" t="e">
        <f>IF($F261="","",$F261*chronic_consumption!E661/1000/$C$3)</f>
        <v>#DIV/0!</v>
      </c>
      <c r="K661" s="1040" t="e">
        <f>IF($F261="","",$F261*chronic_consumption!F661/1000/$C$3)</f>
        <v>#DIV/0!</v>
      </c>
      <c r="L661" s="1040" t="e">
        <f>IF($F261="","",$F261*chronic_consumption!G661/1000/$C$3)</f>
        <v>#DIV/0!</v>
      </c>
      <c r="M661" s="1040" t="e">
        <f>IF($F261="","",$F261*chronic_consumption!H661/1000/$C$3)</f>
        <v>#DIV/0!</v>
      </c>
      <c r="N661" s="1040" t="e">
        <f>IF($F261="","",$F261*chronic_consumption!I661/1000/$C$3)</f>
        <v>#DIV/0!</v>
      </c>
      <c r="O661" s="1040" t="e">
        <f>IF($F261="","",$F261*chronic_consumption!J661/1000/$C$3)</f>
        <v>#DIV/0!</v>
      </c>
      <c r="P661" s="1040" t="e">
        <f>IF($F261="","",$F261*chronic_consumption!K661/1000/$C$3)</f>
        <v>#DIV/0!</v>
      </c>
      <c r="Q661" s="1040" t="e">
        <f>IF($F261="","",$F261*chronic_consumption!L661/1000/$C$3)</f>
        <v>#DIV/0!</v>
      </c>
      <c r="R661" s="1040" t="e">
        <f>IF($F261="","",$F261*chronic_consumption!M661/1000/$C$3)</f>
        <v>#DIV/0!</v>
      </c>
      <c r="S661" s="1040" t="e">
        <f>IF($F261="","",$F261*chronic_consumption!N661/1000/$C$3)</f>
        <v>#DIV/0!</v>
      </c>
      <c r="T661" s="1040" t="e">
        <f>IF($F261="","",$F261*chronic_consumption!O661/1000/$C$3)</f>
        <v>#DIV/0!</v>
      </c>
      <c r="U661" s="1040" t="e">
        <f>IF($F261="","",$F261*chronic_consumption!P661/1000/$C$3)</f>
        <v>#DIV/0!</v>
      </c>
      <c r="V661" s="1040" t="e">
        <f>IF($F261="","",$F261*chronic_consumption!Q661/1000/$C$3)</f>
        <v>#DIV/0!</v>
      </c>
      <c r="W661" s="1040" t="e">
        <f>IF($F261="","",$F261*chronic_consumption!R661/1000/$C$3)</f>
        <v>#DIV/0!</v>
      </c>
      <c r="X661" s="1040" t="e">
        <f>IF($F261="","",$F261*chronic_consumption!S661/1000/$C$3)</f>
        <v>#DIV/0!</v>
      </c>
      <c r="Y661" s="1040" t="e">
        <f>IF($F261="","",$F261*chronic_consumption!T661/1000/$C$3)</f>
        <v>#DIV/0!</v>
      </c>
      <c r="Z661" s="1040" t="e">
        <f>IF($F261="","",$F261*chronic_consumption!U661/1000/$C$3)</f>
        <v>#DIV/0!</v>
      </c>
      <c r="AA661" s="1040" t="e">
        <f>IF($F261="","",$F261*chronic_consumption!V661/1000/$C$3)</f>
        <v>#DIV/0!</v>
      </c>
      <c r="AB661" s="1040" t="e">
        <f>IF($F261="","",$F261*chronic_consumption!W661/1000/$C$3)</f>
        <v>#DIV/0!</v>
      </c>
      <c r="AC661" s="1040" t="e">
        <f>IF($F261="","",$F261*chronic_consumption!X661/1000/$C$3)</f>
        <v>#DIV/0!</v>
      </c>
      <c r="AD661" s="1040" t="e">
        <f>IF($F261="","",$F261*chronic_consumption!Y661/1000/$C$3)</f>
        <v>#DIV/0!</v>
      </c>
      <c r="AE661" s="1040" t="e">
        <f>IF($F261="","",$F261*chronic_consumption!Z661/1000/$C$3)</f>
        <v>#DIV/0!</v>
      </c>
      <c r="AF661" s="1040" t="e">
        <f>IF($F261="","",$F261*chronic_consumption!AA661/1000/$C$3)</f>
        <v>#DIV/0!</v>
      </c>
      <c r="AG661" s="1040" t="e">
        <f>IF($F261="","",$F261*chronic_consumption!AB661/1000/$C$3)</f>
        <v>#DIV/0!</v>
      </c>
      <c r="AH661" s="1040" t="e">
        <f>IF($F261="","",$F261*chronic_consumption!AC661/1000/$C$3)</f>
        <v>#DIV/0!</v>
      </c>
      <c r="AI661" s="1040" t="e">
        <f>IF($F261="","",$F261*chronic_consumption!AD661/1000/$C$3)</f>
        <v>#DIV/0!</v>
      </c>
      <c r="AJ661" s="1040" t="e">
        <f>IF($F261="","",$F261*chronic_consumption!AE661/1000/$C$3)</f>
        <v>#DIV/0!</v>
      </c>
      <c r="AK661" s="1040" t="e">
        <f>IF($F261="","",$F261*chronic_consumption!AF661/1000/$C$3)</f>
        <v>#DIV/0!</v>
      </c>
      <c r="AL661" s="1040" t="e">
        <f>IF($F261="","",$F261*chronic_consumption!AG661/1000/$C$3)</f>
        <v>#DIV/0!</v>
      </c>
      <c r="AM661" s="1040" t="e">
        <f>IF($F261="","",$F261*chronic_consumption!AH661/1000/$C$3)</f>
        <v>#DIV/0!</v>
      </c>
      <c r="AN661" s="1040" t="e">
        <f>IF($F261="","",$F261*chronic_consumption!AI661/1000/$C$3)</f>
        <v>#DIV/0!</v>
      </c>
      <c r="AO661" s="1040" t="e">
        <f>IF($F261="","",$F261*chronic_consumption!AJ661/1000/$C$3)</f>
        <v>#DIV/0!</v>
      </c>
      <c r="AP661" s="1040" t="e">
        <f>IF($F261="","",$F261*chronic_consumption!AK661/1000/$C$3)</f>
        <v>#DIV/0!</v>
      </c>
      <c r="AQ661" s="1040" t="e">
        <f>IF($F261="","",$F261*chronic_consumption!AL661/1000/$C$3)</f>
        <v>#DIV/0!</v>
      </c>
      <c r="AR661" s="1040" t="e">
        <f>IF($F261="","",$F261*chronic_consumption!AM661/1000/$C$3)</f>
        <v>#DIV/0!</v>
      </c>
      <c r="AS661" s="1040" t="e">
        <f>IF($F261="","",$F261*chronic_consumption!AN661/1000/$C$3)</f>
        <v>#DIV/0!</v>
      </c>
      <c r="AT661" s="1040" t="e">
        <f>IF($F261="","",$F261*chronic_consumption!AO661/1000/$C$3)</f>
        <v>#DIV/0!</v>
      </c>
      <c r="AU661" s="1040" t="e">
        <f>IF($F261="","",$F261*chronic_consumption!AP661/1000/$C$3)</f>
        <v>#DIV/0!</v>
      </c>
      <c r="AV661" s="1040" t="e">
        <f>IF($F261="","",$F261*chronic_consumption!AQ661/1000/$C$3)</f>
        <v>#DIV/0!</v>
      </c>
      <c r="AW661" s="1040" t="e">
        <f>IF($F261="","",$F261*chronic_consumption!AR661/1000/$C$3)</f>
        <v>#DIV/0!</v>
      </c>
      <c r="AX661" s="1040" t="e">
        <f>IF($F261="","",$F261*chronic_consumption!AS661/1000/$C$3)</f>
        <v>#DIV/0!</v>
      </c>
      <c r="AY661" s="1040" t="e">
        <f>IF($F261="","",$F261*chronic_consumption!AT661/1000/$C$3)</f>
        <v>#DIV/0!</v>
      </c>
      <c r="AZ661" s="44" t="s">
        <v>20</v>
      </c>
      <c r="BC661" s="29"/>
      <c r="BD661" s="29"/>
    </row>
    <row r="662" spans="1:56" ht="12" hidden="1" customHeight="1" outlineLevel="3" x14ac:dyDescent="0.2">
      <c r="A662" s="21">
        <f>acute_overview_children!A262</f>
        <v>4</v>
      </c>
      <c r="B662" s="325">
        <f t="shared" si="48"/>
        <v>631050</v>
      </c>
      <c r="C662" s="325" t="str">
        <f t="shared" si="48"/>
        <v>Lime/linden</v>
      </c>
      <c r="D662" s="135"/>
      <c r="E662" s="1027"/>
      <c r="F662" s="87"/>
      <c r="G662" s="1027"/>
      <c r="H662" s="1029"/>
      <c r="I662" s="1030"/>
      <c r="J662" s="1039" t="e">
        <f>IF($F262="","",$F262*chronic_consumption!E662/1000/$C$3)</f>
        <v>#DIV/0!</v>
      </c>
      <c r="K662" s="1040" t="e">
        <f>IF($F262="","",$F262*chronic_consumption!F662/1000/$C$3)</f>
        <v>#DIV/0!</v>
      </c>
      <c r="L662" s="1040" t="e">
        <f>IF($F262="","",$F262*chronic_consumption!G662/1000/$C$3)</f>
        <v>#DIV/0!</v>
      </c>
      <c r="M662" s="1040" t="e">
        <f>IF($F262="","",$F262*chronic_consumption!H662/1000/$C$3)</f>
        <v>#DIV/0!</v>
      </c>
      <c r="N662" s="1040" t="e">
        <f>IF($F262="","",$F262*chronic_consumption!I662/1000/$C$3)</f>
        <v>#DIV/0!</v>
      </c>
      <c r="O662" s="1040" t="e">
        <f>IF($F262="","",$F262*chronic_consumption!J662/1000/$C$3)</f>
        <v>#DIV/0!</v>
      </c>
      <c r="P662" s="1040" t="e">
        <f>IF($F262="","",$F262*chronic_consumption!K662/1000/$C$3)</f>
        <v>#DIV/0!</v>
      </c>
      <c r="Q662" s="1040" t="e">
        <f>IF($F262="","",$F262*chronic_consumption!L662/1000/$C$3)</f>
        <v>#DIV/0!</v>
      </c>
      <c r="R662" s="1040" t="e">
        <f>IF($F262="","",$F262*chronic_consumption!M662/1000/$C$3)</f>
        <v>#DIV/0!</v>
      </c>
      <c r="S662" s="1040" t="e">
        <f>IF($F262="","",$F262*chronic_consumption!N662/1000/$C$3)</f>
        <v>#DIV/0!</v>
      </c>
      <c r="T662" s="1040" t="e">
        <f>IF($F262="","",$F262*chronic_consumption!O662/1000/$C$3)</f>
        <v>#DIV/0!</v>
      </c>
      <c r="U662" s="1040" t="e">
        <f>IF($F262="","",$F262*chronic_consumption!P662/1000/$C$3)</f>
        <v>#DIV/0!</v>
      </c>
      <c r="V662" s="1040" t="e">
        <f>IF($F262="","",$F262*chronic_consumption!Q662/1000/$C$3)</f>
        <v>#DIV/0!</v>
      </c>
      <c r="W662" s="1040" t="e">
        <f>IF($F262="","",$F262*chronic_consumption!R662/1000/$C$3)</f>
        <v>#DIV/0!</v>
      </c>
      <c r="X662" s="1040" t="e">
        <f>IF($F262="","",$F262*chronic_consumption!S662/1000/$C$3)</f>
        <v>#DIV/0!</v>
      </c>
      <c r="Y662" s="1040" t="e">
        <f>IF($F262="","",$F262*chronic_consumption!T662/1000/$C$3)</f>
        <v>#DIV/0!</v>
      </c>
      <c r="Z662" s="1040" t="e">
        <f>IF($F262="","",$F262*chronic_consumption!U662/1000/$C$3)</f>
        <v>#DIV/0!</v>
      </c>
      <c r="AA662" s="1040" t="e">
        <f>IF($F262="","",$F262*chronic_consumption!V662/1000/$C$3)</f>
        <v>#DIV/0!</v>
      </c>
      <c r="AB662" s="1040" t="e">
        <f>IF($F262="","",$F262*chronic_consumption!W662/1000/$C$3)</f>
        <v>#DIV/0!</v>
      </c>
      <c r="AC662" s="1040" t="e">
        <f>IF($F262="","",$F262*chronic_consumption!X662/1000/$C$3)</f>
        <v>#DIV/0!</v>
      </c>
      <c r="AD662" s="1040" t="e">
        <f>IF($F262="","",$F262*chronic_consumption!Y662/1000/$C$3)</f>
        <v>#DIV/0!</v>
      </c>
      <c r="AE662" s="1040" t="e">
        <f>IF($F262="","",$F262*chronic_consumption!Z662/1000/$C$3)</f>
        <v>#DIV/0!</v>
      </c>
      <c r="AF662" s="1040" t="e">
        <f>IF($F262="","",$F262*chronic_consumption!AA662/1000/$C$3)</f>
        <v>#DIV/0!</v>
      </c>
      <c r="AG662" s="1040" t="e">
        <f>IF($F262="","",$F262*chronic_consumption!AB662/1000/$C$3)</f>
        <v>#DIV/0!</v>
      </c>
      <c r="AH662" s="1040" t="e">
        <f>IF($F262="","",$F262*chronic_consumption!AC662/1000/$C$3)</f>
        <v>#DIV/0!</v>
      </c>
      <c r="AI662" s="1040" t="e">
        <f>IF($F262="","",$F262*chronic_consumption!AD662/1000/$C$3)</f>
        <v>#DIV/0!</v>
      </c>
      <c r="AJ662" s="1040" t="e">
        <f>IF($F262="","",$F262*chronic_consumption!AE662/1000/$C$3)</f>
        <v>#DIV/0!</v>
      </c>
      <c r="AK662" s="1040" t="e">
        <f>IF($F262="","",$F262*chronic_consumption!AF662/1000/$C$3)</f>
        <v>#DIV/0!</v>
      </c>
      <c r="AL662" s="1040" t="e">
        <f>IF($F262="","",$F262*chronic_consumption!AG662/1000/$C$3)</f>
        <v>#DIV/0!</v>
      </c>
      <c r="AM662" s="1040" t="e">
        <f>IF($F262="","",$F262*chronic_consumption!AH662/1000/$C$3)</f>
        <v>#DIV/0!</v>
      </c>
      <c r="AN662" s="1040" t="e">
        <f>IF($F262="","",$F262*chronic_consumption!AI662/1000/$C$3)</f>
        <v>#DIV/0!</v>
      </c>
      <c r="AO662" s="1040" t="e">
        <f>IF($F262="","",$F262*chronic_consumption!AJ662/1000/$C$3)</f>
        <v>#DIV/0!</v>
      </c>
      <c r="AP662" s="1040" t="e">
        <f>IF($F262="","",$F262*chronic_consumption!AK662/1000/$C$3)</f>
        <v>#DIV/0!</v>
      </c>
      <c r="AQ662" s="1040" t="e">
        <f>IF($F262="","",$F262*chronic_consumption!AL662/1000/$C$3)</f>
        <v>#DIV/0!</v>
      </c>
      <c r="AR662" s="1040" t="e">
        <f>IF($F262="","",$F262*chronic_consumption!AM662/1000/$C$3)</f>
        <v>#DIV/0!</v>
      </c>
      <c r="AS662" s="1040" t="e">
        <f>IF($F262="","",$F262*chronic_consumption!AN662/1000/$C$3)</f>
        <v>#DIV/0!</v>
      </c>
      <c r="AT662" s="1040" t="e">
        <f>IF($F262="","",$F262*chronic_consumption!AO662/1000/$C$3)</f>
        <v>#DIV/0!</v>
      </c>
      <c r="AU662" s="1040" t="e">
        <f>IF($F262="","",$F262*chronic_consumption!AP662/1000/$C$3)</f>
        <v>#DIV/0!</v>
      </c>
      <c r="AV662" s="1040" t="e">
        <f>IF($F262="","",$F262*chronic_consumption!AQ662/1000/$C$3)</f>
        <v>#DIV/0!</v>
      </c>
      <c r="AW662" s="1040" t="e">
        <f>IF($F262="","",$F262*chronic_consumption!AR662/1000/$C$3)</f>
        <v>#DIV/0!</v>
      </c>
      <c r="AX662" s="1040" t="e">
        <f>IF($F262="","",$F262*chronic_consumption!AS662/1000/$C$3)</f>
        <v>#DIV/0!</v>
      </c>
      <c r="AY662" s="1040" t="e">
        <f>IF($F262="","",$F262*chronic_consumption!AT662/1000/$C$3)</f>
        <v>#DIV/0!</v>
      </c>
      <c r="AZ662" s="44" t="s">
        <v>20</v>
      </c>
      <c r="BC662" s="29"/>
      <c r="BD662" s="29"/>
    </row>
    <row r="663" spans="1:56" ht="12" hidden="1" customHeight="1" outlineLevel="3" x14ac:dyDescent="0.2">
      <c r="A663" s="21">
        <f>acute_overview_children!A263</f>
        <v>4</v>
      </c>
      <c r="B663" s="325">
        <f t="shared" si="48"/>
        <v>631990</v>
      </c>
      <c r="C663" s="325" t="str">
        <f t="shared" si="48"/>
        <v>Other herbal infusions (dried flowers)</v>
      </c>
      <c r="D663" s="135"/>
      <c r="E663" s="1027"/>
      <c r="F663" s="87"/>
      <c r="G663" s="1027"/>
      <c r="H663" s="1029"/>
      <c r="I663" s="1030"/>
      <c r="J663" s="1039" t="e">
        <f>IF($F263="","",$F263*chronic_consumption!E663/1000/$C$3)</f>
        <v>#DIV/0!</v>
      </c>
      <c r="K663" s="1040" t="e">
        <f>IF($F263="","",$F263*chronic_consumption!F663/1000/$C$3)</f>
        <v>#DIV/0!</v>
      </c>
      <c r="L663" s="1040" t="e">
        <f>IF($F263="","",$F263*chronic_consumption!G663/1000/$C$3)</f>
        <v>#DIV/0!</v>
      </c>
      <c r="M663" s="1040" t="e">
        <f>IF($F263="","",$F263*chronic_consumption!H663/1000/$C$3)</f>
        <v>#DIV/0!</v>
      </c>
      <c r="N663" s="1040" t="e">
        <f>IF($F263="","",$F263*chronic_consumption!I663/1000/$C$3)</f>
        <v>#DIV/0!</v>
      </c>
      <c r="O663" s="1040" t="e">
        <f>IF($F263="","",$F263*chronic_consumption!J663/1000/$C$3)</f>
        <v>#DIV/0!</v>
      </c>
      <c r="P663" s="1040" t="e">
        <f>IF($F263="","",$F263*chronic_consumption!K663/1000/$C$3)</f>
        <v>#DIV/0!</v>
      </c>
      <c r="Q663" s="1040" t="e">
        <f>IF($F263="","",$F263*chronic_consumption!L663/1000/$C$3)</f>
        <v>#DIV/0!</v>
      </c>
      <c r="R663" s="1040" t="e">
        <f>IF($F263="","",$F263*chronic_consumption!M663/1000/$C$3)</f>
        <v>#DIV/0!</v>
      </c>
      <c r="S663" s="1040" t="e">
        <f>IF($F263="","",$F263*chronic_consumption!N663/1000/$C$3)</f>
        <v>#DIV/0!</v>
      </c>
      <c r="T663" s="1040" t="e">
        <f>IF($F263="","",$F263*chronic_consumption!O663/1000/$C$3)</f>
        <v>#DIV/0!</v>
      </c>
      <c r="U663" s="1040" t="e">
        <f>IF($F263="","",$F263*chronic_consumption!P663/1000/$C$3)</f>
        <v>#DIV/0!</v>
      </c>
      <c r="V663" s="1040" t="e">
        <f>IF($F263="","",$F263*chronic_consumption!Q663/1000/$C$3)</f>
        <v>#DIV/0!</v>
      </c>
      <c r="W663" s="1040" t="e">
        <f>IF($F263="","",$F263*chronic_consumption!R663/1000/$C$3)</f>
        <v>#DIV/0!</v>
      </c>
      <c r="X663" s="1040" t="e">
        <f>IF($F263="","",$F263*chronic_consumption!S663/1000/$C$3)</f>
        <v>#DIV/0!</v>
      </c>
      <c r="Y663" s="1040" t="e">
        <f>IF($F263="","",$F263*chronic_consumption!T663/1000/$C$3)</f>
        <v>#DIV/0!</v>
      </c>
      <c r="Z663" s="1040" t="e">
        <f>IF($F263="","",$F263*chronic_consumption!U663/1000/$C$3)</f>
        <v>#DIV/0!</v>
      </c>
      <c r="AA663" s="1040" t="e">
        <f>IF($F263="","",$F263*chronic_consumption!V663/1000/$C$3)</f>
        <v>#DIV/0!</v>
      </c>
      <c r="AB663" s="1040" t="e">
        <f>IF($F263="","",$F263*chronic_consumption!W663/1000/$C$3)</f>
        <v>#DIV/0!</v>
      </c>
      <c r="AC663" s="1040" t="e">
        <f>IF($F263="","",$F263*chronic_consumption!X663/1000/$C$3)</f>
        <v>#DIV/0!</v>
      </c>
      <c r="AD663" s="1040" t="e">
        <f>IF($F263="","",$F263*chronic_consumption!Y663/1000/$C$3)</f>
        <v>#DIV/0!</v>
      </c>
      <c r="AE663" s="1040" t="e">
        <f>IF($F263="","",$F263*chronic_consumption!Z663/1000/$C$3)</f>
        <v>#DIV/0!</v>
      </c>
      <c r="AF663" s="1040" t="e">
        <f>IF($F263="","",$F263*chronic_consumption!AA663/1000/$C$3)</f>
        <v>#DIV/0!</v>
      </c>
      <c r="AG663" s="1040" t="e">
        <f>IF($F263="","",$F263*chronic_consumption!AB663/1000/$C$3)</f>
        <v>#DIV/0!</v>
      </c>
      <c r="AH663" s="1040" t="e">
        <f>IF($F263="","",$F263*chronic_consumption!AC663/1000/$C$3)</f>
        <v>#DIV/0!</v>
      </c>
      <c r="AI663" s="1040" t="e">
        <f>IF($F263="","",$F263*chronic_consumption!AD663/1000/$C$3)</f>
        <v>#DIV/0!</v>
      </c>
      <c r="AJ663" s="1040" t="e">
        <f>IF($F263="","",$F263*chronic_consumption!AE663/1000/$C$3)</f>
        <v>#DIV/0!</v>
      </c>
      <c r="AK663" s="1040" t="e">
        <f>IF($F263="","",$F263*chronic_consumption!AF663/1000/$C$3)</f>
        <v>#DIV/0!</v>
      </c>
      <c r="AL663" s="1040" t="e">
        <f>IF($F263="","",$F263*chronic_consumption!AG663/1000/$C$3)</f>
        <v>#DIV/0!</v>
      </c>
      <c r="AM663" s="1040" t="e">
        <f>IF($F263="","",$F263*chronic_consumption!AH663/1000/$C$3)</f>
        <v>#DIV/0!</v>
      </c>
      <c r="AN663" s="1040" t="e">
        <f>IF($F263="","",$F263*chronic_consumption!AI663/1000/$C$3)</f>
        <v>#DIV/0!</v>
      </c>
      <c r="AO663" s="1040" t="e">
        <f>IF($F263="","",$F263*chronic_consumption!AJ663/1000/$C$3)</f>
        <v>#DIV/0!</v>
      </c>
      <c r="AP663" s="1040" t="e">
        <f>IF($F263="","",$F263*chronic_consumption!AK663/1000/$C$3)</f>
        <v>#DIV/0!</v>
      </c>
      <c r="AQ663" s="1040" t="e">
        <f>IF($F263="","",$F263*chronic_consumption!AL663/1000/$C$3)</f>
        <v>#DIV/0!</v>
      </c>
      <c r="AR663" s="1040" t="e">
        <f>IF($F263="","",$F263*chronic_consumption!AM663/1000/$C$3)</f>
        <v>#DIV/0!</v>
      </c>
      <c r="AS663" s="1040" t="e">
        <f>IF($F263="","",$F263*chronic_consumption!AN663/1000/$C$3)</f>
        <v>#DIV/0!</v>
      </c>
      <c r="AT663" s="1040" t="e">
        <f>IF($F263="","",$F263*chronic_consumption!AO663/1000/$C$3)</f>
        <v>#DIV/0!</v>
      </c>
      <c r="AU663" s="1040" t="e">
        <f>IF($F263="","",$F263*chronic_consumption!AP663/1000/$C$3)</f>
        <v>#DIV/0!</v>
      </c>
      <c r="AV663" s="1040" t="e">
        <f>IF($F263="","",$F263*chronic_consumption!AQ663/1000/$C$3)</f>
        <v>#DIV/0!</v>
      </c>
      <c r="AW663" s="1040" t="e">
        <f>IF($F263="","",$F263*chronic_consumption!AR663/1000/$C$3)</f>
        <v>#DIV/0!</v>
      </c>
      <c r="AX663" s="1040" t="e">
        <f>IF($F263="","",$F263*chronic_consumption!AS663/1000/$C$3)</f>
        <v>#DIV/0!</v>
      </c>
      <c r="AY663" s="1040" t="e">
        <f>IF($F263="","",$F263*chronic_consumption!AT663/1000/$C$3)</f>
        <v>#DIV/0!</v>
      </c>
      <c r="AZ663" s="44" t="s">
        <v>20</v>
      </c>
      <c r="BC663" s="29"/>
      <c r="BD663" s="29"/>
    </row>
    <row r="664" spans="1:56" ht="12" hidden="1" customHeight="1" outlineLevel="2" x14ac:dyDescent="0.2">
      <c r="A664" s="341">
        <f>acute_overview_children!A264</f>
        <v>3</v>
      </c>
      <c r="B664" s="1041">
        <f t="shared" si="48"/>
        <v>632000</v>
      </c>
      <c r="C664" s="1041" t="str">
        <f t="shared" si="48"/>
        <v>Herbal infusions (dried leaves)</v>
      </c>
      <c r="D664" s="1042"/>
      <c r="E664" s="1027"/>
      <c r="F664" s="87"/>
      <c r="G664" s="1027"/>
      <c r="H664" s="1029"/>
      <c r="I664" s="1030"/>
      <c r="J664" s="1043" t="e">
        <f>IF($F264="","",$F264*chronic_consumption!E664/1000/$C$3)</f>
        <v>#DIV/0!</v>
      </c>
      <c r="K664" s="1044" t="e">
        <f>IF($F264="","",$F264*chronic_consumption!F664/1000/$C$3)</f>
        <v>#DIV/0!</v>
      </c>
      <c r="L664" s="1044" t="e">
        <f>IF($F264="","",$F264*chronic_consumption!G664/1000/$C$3)</f>
        <v>#DIV/0!</v>
      </c>
      <c r="M664" s="1044" t="e">
        <f>IF($F264="","",$F264*chronic_consumption!H664/1000/$C$3)</f>
        <v>#DIV/0!</v>
      </c>
      <c r="N664" s="1044" t="e">
        <f>IF($F264="","",$F264*chronic_consumption!I664/1000/$C$3)</f>
        <v>#DIV/0!</v>
      </c>
      <c r="O664" s="1044" t="e">
        <f>IF($F264="","",$F264*chronic_consumption!J664/1000/$C$3)</f>
        <v>#DIV/0!</v>
      </c>
      <c r="P664" s="1044" t="e">
        <f>IF($F264="","",$F264*chronic_consumption!K664/1000/$C$3)</f>
        <v>#DIV/0!</v>
      </c>
      <c r="Q664" s="1044" t="e">
        <f>IF($F264="","",$F264*chronic_consumption!L664/1000/$C$3)</f>
        <v>#DIV/0!</v>
      </c>
      <c r="R664" s="1044" t="e">
        <f>IF($F264="","",$F264*chronic_consumption!M664/1000/$C$3)</f>
        <v>#DIV/0!</v>
      </c>
      <c r="S664" s="1044" t="e">
        <f>IF($F264="","",$F264*chronic_consumption!N664/1000/$C$3)</f>
        <v>#DIV/0!</v>
      </c>
      <c r="T664" s="1044" t="e">
        <f>IF($F264="","",$F264*chronic_consumption!O664/1000/$C$3)</f>
        <v>#DIV/0!</v>
      </c>
      <c r="U664" s="1044" t="e">
        <f>IF($F264="","",$F264*chronic_consumption!P664/1000/$C$3)</f>
        <v>#DIV/0!</v>
      </c>
      <c r="V664" s="1044" t="e">
        <f>IF($F264="","",$F264*chronic_consumption!Q664/1000/$C$3)</f>
        <v>#DIV/0!</v>
      </c>
      <c r="W664" s="1044" t="e">
        <f>IF($F264="","",$F264*chronic_consumption!R664/1000/$C$3)</f>
        <v>#DIV/0!</v>
      </c>
      <c r="X664" s="1044" t="e">
        <f>IF($F264="","",$F264*chronic_consumption!S664/1000/$C$3)</f>
        <v>#DIV/0!</v>
      </c>
      <c r="Y664" s="1044" t="e">
        <f>IF($F264="","",$F264*chronic_consumption!T664/1000/$C$3)</f>
        <v>#DIV/0!</v>
      </c>
      <c r="Z664" s="1044" t="e">
        <f>IF($F264="","",$F264*chronic_consumption!U664/1000/$C$3)</f>
        <v>#DIV/0!</v>
      </c>
      <c r="AA664" s="1044" t="e">
        <f>IF($F264="","",$F264*chronic_consumption!V664/1000/$C$3)</f>
        <v>#DIV/0!</v>
      </c>
      <c r="AB664" s="1044" t="e">
        <f>IF($F264="","",$F264*chronic_consumption!W664/1000/$C$3)</f>
        <v>#DIV/0!</v>
      </c>
      <c r="AC664" s="1044" t="e">
        <f>IF($F264="","",$F264*chronic_consumption!X664/1000/$C$3)</f>
        <v>#DIV/0!</v>
      </c>
      <c r="AD664" s="1044" t="e">
        <f>IF($F264="","",$F264*chronic_consumption!Y664/1000/$C$3)</f>
        <v>#DIV/0!</v>
      </c>
      <c r="AE664" s="1044" t="e">
        <f>IF($F264="","",$F264*chronic_consumption!Z664/1000/$C$3)</f>
        <v>#DIV/0!</v>
      </c>
      <c r="AF664" s="1044" t="e">
        <f>IF($F264="","",$F264*chronic_consumption!AA664/1000/$C$3)</f>
        <v>#DIV/0!</v>
      </c>
      <c r="AG664" s="1044" t="e">
        <f>IF($F264="","",$F264*chronic_consumption!AB664/1000/$C$3)</f>
        <v>#DIV/0!</v>
      </c>
      <c r="AH664" s="1044" t="e">
        <f>IF($F264="","",$F264*chronic_consumption!AC664/1000/$C$3)</f>
        <v>#DIV/0!</v>
      </c>
      <c r="AI664" s="1044" t="e">
        <f>IF($F264="","",$F264*chronic_consumption!AD664/1000/$C$3)</f>
        <v>#DIV/0!</v>
      </c>
      <c r="AJ664" s="1044" t="e">
        <f>IF($F264="","",$F264*chronic_consumption!AE664/1000/$C$3)</f>
        <v>#DIV/0!</v>
      </c>
      <c r="AK664" s="1044" t="e">
        <f>IF($F264="","",$F264*chronic_consumption!AF664/1000/$C$3)</f>
        <v>#DIV/0!</v>
      </c>
      <c r="AL664" s="1044" t="e">
        <f>IF($F264="","",$F264*chronic_consumption!AG664/1000/$C$3)</f>
        <v>#DIV/0!</v>
      </c>
      <c r="AM664" s="1044" t="e">
        <f>IF($F264="","",$F264*chronic_consumption!AH664/1000/$C$3)</f>
        <v>#DIV/0!</v>
      </c>
      <c r="AN664" s="1044" t="e">
        <f>IF($F264="","",$F264*chronic_consumption!AI664/1000/$C$3)</f>
        <v>#DIV/0!</v>
      </c>
      <c r="AO664" s="1044" t="e">
        <f>IF($F264="","",$F264*chronic_consumption!AJ664/1000/$C$3)</f>
        <v>#DIV/0!</v>
      </c>
      <c r="AP664" s="1044" t="e">
        <f>IF($F264="","",$F264*chronic_consumption!AK664/1000/$C$3)</f>
        <v>#DIV/0!</v>
      </c>
      <c r="AQ664" s="1044" t="e">
        <f>IF($F264="","",$F264*chronic_consumption!AL664/1000/$C$3)</f>
        <v>#DIV/0!</v>
      </c>
      <c r="AR664" s="1044" t="e">
        <f>IF($F264="","",$F264*chronic_consumption!AM664/1000/$C$3)</f>
        <v>#DIV/0!</v>
      </c>
      <c r="AS664" s="1044" t="e">
        <f>IF($F264="","",$F264*chronic_consumption!AN664/1000/$C$3)</f>
        <v>#DIV/0!</v>
      </c>
      <c r="AT664" s="1044" t="e">
        <f>IF($F264="","",$F264*chronic_consumption!AO664/1000/$C$3)</f>
        <v>#DIV/0!</v>
      </c>
      <c r="AU664" s="1044" t="e">
        <f>IF($F264="","",$F264*chronic_consumption!AP664/1000/$C$3)</f>
        <v>#DIV/0!</v>
      </c>
      <c r="AV664" s="1044" t="e">
        <f>IF($F264="","",$F264*chronic_consumption!AQ664/1000/$C$3)</f>
        <v>#DIV/0!</v>
      </c>
      <c r="AW664" s="1044" t="e">
        <f>IF($F264="","",$F264*chronic_consumption!AR664/1000/$C$3)</f>
        <v>#DIV/0!</v>
      </c>
      <c r="AX664" s="1044" t="e">
        <f>IF($F264="","",$F264*chronic_consumption!AS664/1000/$C$3)</f>
        <v>#DIV/0!</v>
      </c>
      <c r="AY664" s="1044" t="e">
        <f>IF($F264="","",$F264*chronic_consumption!AT664/1000/$C$3)</f>
        <v>#DIV/0!</v>
      </c>
      <c r="AZ664" s="44" t="s">
        <v>20</v>
      </c>
      <c r="BC664" s="29"/>
      <c r="BD664" s="29"/>
    </row>
    <row r="665" spans="1:56" ht="12" hidden="1" customHeight="1" outlineLevel="3" x14ac:dyDescent="0.2">
      <c r="A665" s="21">
        <f>acute_overview_children!A265</f>
        <v>4</v>
      </c>
      <c r="B665" s="325">
        <f t="shared" si="48"/>
        <v>632010</v>
      </c>
      <c r="C665" s="325" t="str">
        <f t="shared" si="48"/>
        <v>Strawberry leaves</v>
      </c>
      <c r="D665" s="135"/>
      <c r="E665" s="1027"/>
      <c r="F665" s="87"/>
      <c r="G665" s="1027"/>
      <c r="H665" s="1029"/>
      <c r="I665" s="1030"/>
      <c r="J665" s="1039" t="e">
        <f>IF($F265="","",$F265*chronic_consumption!E665/1000/$C$3)</f>
        <v>#DIV/0!</v>
      </c>
      <c r="K665" s="1040" t="e">
        <f>IF($F265="","",$F265*chronic_consumption!F665/1000/$C$3)</f>
        <v>#DIV/0!</v>
      </c>
      <c r="L665" s="1040" t="e">
        <f>IF($F265="","",$F265*chronic_consumption!G665/1000/$C$3)</f>
        <v>#DIV/0!</v>
      </c>
      <c r="M665" s="1040" t="e">
        <f>IF($F265="","",$F265*chronic_consumption!H665/1000/$C$3)</f>
        <v>#DIV/0!</v>
      </c>
      <c r="N665" s="1040" t="e">
        <f>IF($F265="","",$F265*chronic_consumption!I665/1000/$C$3)</f>
        <v>#DIV/0!</v>
      </c>
      <c r="O665" s="1040" t="e">
        <f>IF($F265="","",$F265*chronic_consumption!J665/1000/$C$3)</f>
        <v>#DIV/0!</v>
      </c>
      <c r="P665" s="1040" t="e">
        <f>IF($F265="","",$F265*chronic_consumption!K665/1000/$C$3)</f>
        <v>#DIV/0!</v>
      </c>
      <c r="Q665" s="1040" t="e">
        <f>IF($F265="","",$F265*chronic_consumption!L665/1000/$C$3)</f>
        <v>#DIV/0!</v>
      </c>
      <c r="R665" s="1040" t="e">
        <f>IF($F265="","",$F265*chronic_consumption!M665/1000/$C$3)</f>
        <v>#DIV/0!</v>
      </c>
      <c r="S665" s="1040" t="e">
        <f>IF($F265="","",$F265*chronic_consumption!N665/1000/$C$3)</f>
        <v>#DIV/0!</v>
      </c>
      <c r="T665" s="1040" t="e">
        <f>IF($F265="","",$F265*chronic_consumption!O665/1000/$C$3)</f>
        <v>#DIV/0!</v>
      </c>
      <c r="U665" s="1040" t="e">
        <f>IF($F265="","",$F265*chronic_consumption!P665/1000/$C$3)</f>
        <v>#DIV/0!</v>
      </c>
      <c r="V665" s="1040" t="e">
        <f>IF($F265="","",$F265*chronic_consumption!Q665/1000/$C$3)</f>
        <v>#DIV/0!</v>
      </c>
      <c r="W665" s="1040" t="e">
        <f>IF($F265="","",$F265*chronic_consumption!R665/1000/$C$3)</f>
        <v>#DIV/0!</v>
      </c>
      <c r="X665" s="1040" t="e">
        <f>IF($F265="","",$F265*chronic_consumption!S665/1000/$C$3)</f>
        <v>#DIV/0!</v>
      </c>
      <c r="Y665" s="1040" t="e">
        <f>IF($F265="","",$F265*chronic_consumption!T665/1000/$C$3)</f>
        <v>#DIV/0!</v>
      </c>
      <c r="Z665" s="1040" t="e">
        <f>IF($F265="","",$F265*chronic_consumption!U665/1000/$C$3)</f>
        <v>#DIV/0!</v>
      </c>
      <c r="AA665" s="1040" t="e">
        <f>IF($F265="","",$F265*chronic_consumption!V665/1000/$C$3)</f>
        <v>#DIV/0!</v>
      </c>
      <c r="AB665" s="1040" t="e">
        <f>IF($F265="","",$F265*chronic_consumption!W665/1000/$C$3)</f>
        <v>#DIV/0!</v>
      </c>
      <c r="AC665" s="1040" t="e">
        <f>IF($F265="","",$F265*chronic_consumption!X665/1000/$C$3)</f>
        <v>#DIV/0!</v>
      </c>
      <c r="AD665" s="1040" t="e">
        <f>IF($F265="","",$F265*chronic_consumption!Y665/1000/$C$3)</f>
        <v>#DIV/0!</v>
      </c>
      <c r="AE665" s="1040" t="e">
        <f>IF($F265="","",$F265*chronic_consumption!Z665/1000/$C$3)</f>
        <v>#DIV/0!</v>
      </c>
      <c r="AF665" s="1040" t="e">
        <f>IF($F265="","",$F265*chronic_consumption!AA665/1000/$C$3)</f>
        <v>#DIV/0!</v>
      </c>
      <c r="AG665" s="1040" t="e">
        <f>IF($F265="","",$F265*chronic_consumption!AB665/1000/$C$3)</f>
        <v>#DIV/0!</v>
      </c>
      <c r="AH665" s="1040" t="e">
        <f>IF($F265="","",$F265*chronic_consumption!AC665/1000/$C$3)</f>
        <v>#DIV/0!</v>
      </c>
      <c r="AI665" s="1040" t="e">
        <f>IF($F265="","",$F265*chronic_consumption!AD665/1000/$C$3)</f>
        <v>#DIV/0!</v>
      </c>
      <c r="AJ665" s="1040" t="e">
        <f>IF($F265="","",$F265*chronic_consumption!AE665/1000/$C$3)</f>
        <v>#DIV/0!</v>
      </c>
      <c r="AK665" s="1040" t="e">
        <f>IF($F265="","",$F265*chronic_consumption!AF665/1000/$C$3)</f>
        <v>#DIV/0!</v>
      </c>
      <c r="AL665" s="1040" t="e">
        <f>IF($F265="","",$F265*chronic_consumption!AG665/1000/$C$3)</f>
        <v>#DIV/0!</v>
      </c>
      <c r="AM665" s="1040" t="e">
        <f>IF($F265="","",$F265*chronic_consumption!AH665/1000/$C$3)</f>
        <v>#DIV/0!</v>
      </c>
      <c r="AN665" s="1040" t="e">
        <f>IF($F265="","",$F265*chronic_consumption!AI665/1000/$C$3)</f>
        <v>#DIV/0!</v>
      </c>
      <c r="AO665" s="1040" t="e">
        <f>IF($F265="","",$F265*chronic_consumption!AJ665/1000/$C$3)</f>
        <v>#DIV/0!</v>
      </c>
      <c r="AP665" s="1040" t="e">
        <f>IF($F265="","",$F265*chronic_consumption!AK665/1000/$C$3)</f>
        <v>#DIV/0!</v>
      </c>
      <c r="AQ665" s="1040" t="e">
        <f>IF($F265="","",$F265*chronic_consumption!AL665/1000/$C$3)</f>
        <v>#DIV/0!</v>
      </c>
      <c r="AR665" s="1040" t="e">
        <f>IF($F265="","",$F265*chronic_consumption!AM665/1000/$C$3)</f>
        <v>#DIV/0!</v>
      </c>
      <c r="AS665" s="1040" t="e">
        <f>IF($F265="","",$F265*chronic_consumption!AN665/1000/$C$3)</f>
        <v>#DIV/0!</v>
      </c>
      <c r="AT665" s="1040" t="e">
        <f>IF($F265="","",$F265*chronic_consumption!AO665/1000/$C$3)</f>
        <v>#DIV/0!</v>
      </c>
      <c r="AU665" s="1040" t="e">
        <f>IF($F265="","",$F265*chronic_consumption!AP665/1000/$C$3)</f>
        <v>#DIV/0!</v>
      </c>
      <c r="AV665" s="1040" t="e">
        <f>IF($F265="","",$F265*chronic_consumption!AQ665/1000/$C$3)</f>
        <v>#DIV/0!</v>
      </c>
      <c r="AW665" s="1040" t="e">
        <f>IF($F265="","",$F265*chronic_consumption!AR665/1000/$C$3)</f>
        <v>#DIV/0!</v>
      </c>
      <c r="AX665" s="1040" t="e">
        <f>IF($F265="","",$F265*chronic_consumption!AS665/1000/$C$3)</f>
        <v>#DIV/0!</v>
      </c>
      <c r="AY665" s="1040" t="e">
        <f>IF($F265="","",$F265*chronic_consumption!AT665/1000/$C$3)</f>
        <v>#DIV/0!</v>
      </c>
      <c r="AZ665" s="44" t="s">
        <v>20</v>
      </c>
      <c r="BC665" s="29"/>
      <c r="BD665" s="29"/>
    </row>
    <row r="666" spans="1:56" ht="12" hidden="1" customHeight="1" outlineLevel="3" x14ac:dyDescent="0.2">
      <c r="A666" s="21">
        <f>acute_overview_children!A266</f>
        <v>4</v>
      </c>
      <c r="B666" s="325">
        <f t="shared" si="48"/>
        <v>632020</v>
      </c>
      <c r="C666" s="325" t="str">
        <f t="shared" si="48"/>
        <v>Rooibos</v>
      </c>
      <c r="D666" s="135"/>
      <c r="E666" s="1027"/>
      <c r="F666" s="87"/>
      <c r="G666" s="1027"/>
      <c r="H666" s="1029"/>
      <c r="I666" s="1030"/>
      <c r="J666" s="1039" t="e">
        <f>IF($F266="","",$F266*chronic_consumption!E666/1000/$C$3)</f>
        <v>#DIV/0!</v>
      </c>
      <c r="K666" s="1040" t="e">
        <f>IF($F266="","",$F266*chronic_consumption!F666/1000/$C$3)</f>
        <v>#DIV/0!</v>
      </c>
      <c r="L666" s="1040" t="e">
        <f>IF($F266="","",$F266*chronic_consumption!G666/1000/$C$3)</f>
        <v>#DIV/0!</v>
      </c>
      <c r="M666" s="1040" t="e">
        <f>IF($F266="","",$F266*chronic_consumption!H666/1000/$C$3)</f>
        <v>#DIV/0!</v>
      </c>
      <c r="N666" s="1040" t="e">
        <f>IF($F266="","",$F266*chronic_consumption!I666/1000/$C$3)</f>
        <v>#DIV/0!</v>
      </c>
      <c r="O666" s="1040" t="e">
        <f>IF($F266="","",$F266*chronic_consumption!J666/1000/$C$3)</f>
        <v>#DIV/0!</v>
      </c>
      <c r="P666" s="1040" t="e">
        <f>IF($F266="","",$F266*chronic_consumption!K666/1000/$C$3)</f>
        <v>#DIV/0!</v>
      </c>
      <c r="Q666" s="1040" t="e">
        <f>IF($F266="","",$F266*chronic_consumption!L666/1000/$C$3)</f>
        <v>#DIV/0!</v>
      </c>
      <c r="R666" s="1040" t="e">
        <f>IF($F266="","",$F266*chronic_consumption!M666/1000/$C$3)</f>
        <v>#DIV/0!</v>
      </c>
      <c r="S666" s="1040" t="e">
        <f>IF($F266="","",$F266*chronic_consumption!N666/1000/$C$3)</f>
        <v>#DIV/0!</v>
      </c>
      <c r="T666" s="1040" t="e">
        <f>IF($F266="","",$F266*chronic_consumption!O666/1000/$C$3)</f>
        <v>#DIV/0!</v>
      </c>
      <c r="U666" s="1040" t="e">
        <f>IF($F266="","",$F266*chronic_consumption!P666/1000/$C$3)</f>
        <v>#DIV/0!</v>
      </c>
      <c r="V666" s="1040" t="e">
        <f>IF($F266="","",$F266*chronic_consumption!Q666/1000/$C$3)</f>
        <v>#DIV/0!</v>
      </c>
      <c r="W666" s="1040" t="e">
        <f>IF($F266="","",$F266*chronic_consumption!R666/1000/$C$3)</f>
        <v>#DIV/0!</v>
      </c>
      <c r="X666" s="1040" t="e">
        <f>IF($F266="","",$F266*chronic_consumption!S666/1000/$C$3)</f>
        <v>#DIV/0!</v>
      </c>
      <c r="Y666" s="1040" t="e">
        <f>IF($F266="","",$F266*chronic_consumption!T666/1000/$C$3)</f>
        <v>#DIV/0!</v>
      </c>
      <c r="Z666" s="1040" t="e">
        <f>IF($F266="","",$F266*chronic_consumption!U666/1000/$C$3)</f>
        <v>#DIV/0!</v>
      </c>
      <c r="AA666" s="1040" t="e">
        <f>IF($F266="","",$F266*chronic_consumption!V666/1000/$C$3)</f>
        <v>#DIV/0!</v>
      </c>
      <c r="AB666" s="1040" t="e">
        <f>IF($F266="","",$F266*chronic_consumption!W666/1000/$C$3)</f>
        <v>#DIV/0!</v>
      </c>
      <c r="AC666" s="1040" t="e">
        <f>IF($F266="","",$F266*chronic_consumption!X666/1000/$C$3)</f>
        <v>#DIV/0!</v>
      </c>
      <c r="AD666" s="1040" t="e">
        <f>IF($F266="","",$F266*chronic_consumption!Y666/1000/$C$3)</f>
        <v>#DIV/0!</v>
      </c>
      <c r="AE666" s="1040" t="e">
        <f>IF($F266="","",$F266*chronic_consumption!Z666/1000/$C$3)</f>
        <v>#DIV/0!</v>
      </c>
      <c r="AF666" s="1040" t="e">
        <f>IF($F266="","",$F266*chronic_consumption!AA666/1000/$C$3)</f>
        <v>#DIV/0!</v>
      </c>
      <c r="AG666" s="1040" t="e">
        <f>IF($F266="","",$F266*chronic_consumption!AB666/1000/$C$3)</f>
        <v>#DIV/0!</v>
      </c>
      <c r="AH666" s="1040" t="e">
        <f>IF($F266="","",$F266*chronic_consumption!AC666/1000/$C$3)</f>
        <v>#DIV/0!</v>
      </c>
      <c r="AI666" s="1040" t="e">
        <f>IF($F266="","",$F266*chronic_consumption!AD666/1000/$C$3)</f>
        <v>#DIV/0!</v>
      </c>
      <c r="AJ666" s="1040" t="e">
        <f>IF($F266="","",$F266*chronic_consumption!AE666/1000/$C$3)</f>
        <v>#DIV/0!</v>
      </c>
      <c r="AK666" s="1040" t="e">
        <f>IF($F266="","",$F266*chronic_consumption!AF666/1000/$C$3)</f>
        <v>#DIV/0!</v>
      </c>
      <c r="AL666" s="1040" t="e">
        <f>IF($F266="","",$F266*chronic_consumption!AG666/1000/$C$3)</f>
        <v>#DIV/0!</v>
      </c>
      <c r="AM666" s="1040" t="e">
        <f>IF($F266="","",$F266*chronic_consumption!AH666/1000/$C$3)</f>
        <v>#DIV/0!</v>
      </c>
      <c r="AN666" s="1040" t="e">
        <f>IF($F266="","",$F266*chronic_consumption!AI666/1000/$C$3)</f>
        <v>#DIV/0!</v>
      </c>
      <c r="AO666" s="1040" t="e">
        <f>IF($F266="","",$F266*chronic_consumption!AJ666/1000/$C$3)</f>
        <v>#DIV/0!</v>
      </c>
      <c r="AP666" s="1040" t="e">
        <f>IF($F266="","",$F266*chronic_consumption!AK666/1000/$C$3)</f>
        <v>#DIV/0!</v>
      </c>
      <c r="AQ666" s="1040" t="e">
        <f>IF($F266="","",$F266*chronic_consumption!AL666/1000/$C$3)</f>
        <v>#DIV/0!</v>
      </c>
      <c r="AR666" s="1040" t="e">
        <f>IF($F266="","",$F266*chronic_consumption!AM666/1000/$C$3)</f>
        <v>#DIV/0!</v>
      </c>
      <c r="AS666" s="1040" t="e">
        <f>IF($F266="","",$F266*chronic_consumption!AN666/1000/$C$3)</f>
        <v>#DIV/0!</v>
      </c>
      <c r="AT666" s="1040" t="e">
        <f>IF($F266="","",$F266*chronic_consumption!AO666/1000/$C$3)</f>
        <v>#DIV/0!</v>
      </c>
      <c r="AU666" s="1040" t="e">
        <f>IF($F266="","",$F266*chronic_consumption!AP666/1000/$C$3)</f>
        <v>#DIV/0!</v>
      </c>
      <c r="AV666" s="1040" t="e">
        <f>IF($F266="","",$F266*chronic_consumption!AQ666/1000/$C$3)</f>
        <v>#DIV/0!</v>
      </c>
      <c r="AW666" s="1040" t="e">
        <f>IF($F266="","",$F266*chronic_consumption!AR666/1000/$C$3)</f>
        <v>#DIV/0!</v>
      </c>
      <c r="AX666" s="1040" t="e">
        <f>IF($F266="","",$F266*chronic_consumption!AS666/1000/$C$3)</f>
        <v>#DIV/0!</v>
      </c>
      <c r="AY666" s="1040" t="e">
        <f>IF($F266="","",$F266*chronic_consumption!AT666/1000/$C$3)</f>
        <v>#DIV/0!</v>
      </c>
      <c r="AZ666" s="44" t="s">
        <v>20</v>
      </c>
      <c r="BC666" s="29"/>
      <c r="BD666" s="29"/>
    </row>
    <row r="667" spans="1:56" ht="12" hidden="1" customHeight="1" outlineLevel="3" x14ac:dyDescent="0.2">
      <c r="A667" s="21">
        <f>acute_overview_children!A267</f>
        <v>4</v>
      </c>
      <c r="B667" s="325">
        <f t="shared" si="48"/>
        <v>632030</v>
      </c>
      <c r="C667" s="325" t="str">
        <f t="shared" si="48"/>
        <v>Mate/maté</v>
      </c>
      <c r="D667" s="135"/>
      <c r="E667" s="1027"/>
      <c r="F667" s="87"/>
      <c r="G667" s="1027"/>
      <c r="H667" s="1029"/>
      <c r="I667" s="1030"/>
      <c r="J667" s="1039" t="e">
        <f>IF($F267="","",$F267*chronic_consumption!E667/1000/$C$3)</f>
        <v>#DIV/0!</v>
      </c>
      <c r="K667" s="1040" t="e">
        <f>IF($F267="","",$F267*chronic_consumption!F667/1000/$C$3)</f>
        <v>#DIV/0!</v>
      </c>
      <c r="L667" s="1040" t="e">
        <f>IF($F267="","",$F267*chronic_consumption!G667/1000/$C$3)</f>
        <v>#DIV/0!</v>
      </c>
      <c r="M667" s="1040" t="e">
        <f>IF($F267="","",$F267*chronic_consumption!H667/1000/$C$3)</f>
        <v>#DIV/0!</v>
      </c>
      <c r="N667" s="1040" t="e">
        <f>IF($F267="","",$F267*chronic_consumption!I667/1000/$C$3)</f>
        <v>#DIV/0!</v>
      </c>
      <c r="O667" s="1040" t="e">
        <f>IF($F267="","",$F267*chronic_consumption!J667/1000/$C$3)</f>
        <v>#DIV/0!</v>
      </c>
      <c r="P667" s="1040" t="e">
        <f>IF($F267="","",$F267*chronic_consumption!K667/1000/$C$3)</f>
        <v>#DIV/0!</v>
      </c>
      <c r="Q667" s="1040" t="e">
        <f>IF($F267="","",$F267*chronic_consumption!L667/1000/$C$3)</f>
        <v>#DIV/0!</v>
      </c>
      <c r="R667" s="1040" t="e">
        <f>IF($F267="","",$F267*chronic_consumption!M667/1000/$C$3)</f>
        <v>#DIV/0!</v>
      </c>
      <c r="S667" s="1040" t="e">
        <f>IF($F267="","",$F267*chronic_consumption!N667/1000/$C$3)</f>
        <v>#DIV/0!</v>
      </c>
      <c r="T667" s="1040" t="e">
        <f>IF($F267="","",$F267*chronic_consumption!O667/1000/$C$3)</f>
        <v>#DIV/0!</v>
      </c>
      <c r="U667" s="1040" t="e">
        <f>IF($F267="","",$F267*chronic_consumption!P667/1000/$C$3)</f>
        <v>#DIV/0!</v>
      </c>
      <c r="V667" s="1040" t="e">
        <f>IF($F267="","",$F267*chronic_consumption!Q667/1000/$C$3)</f>
        <v>#DIV/0!</v>
      </c>
      <c r="W667" s="1040" t="e">
        <f>IF($F267="","",$F267*chronic_consumption!R667/1000/$C$3)</f>
        <v>#DIV/0!</v>
      </c>
      <c r="X667" s="1040" t="e">
        <f>IF($F267="","",$F267*chronic_consumption!S667/1000/$C$3)</f>
        <v>#DIV/0!</v>
      </c>
      <c r="Y667" s="1040" t="e">
        <f>IF($F267="","",$F267*chronic_consumption!T667/1000/$C$3)</f>
        <v>#DIV/0!</v>
      </c>
      <c r="Z667" s="1040" t="e">
        <f>IF($F267="","",$F267*chronic_consumption!U667/1000/$C$3)</f>
        <v>#DIV/0!</v>
      </c>
      <c r="AA667" s="1040" t="e">
        <f>IF($F267="","",$F267*chronic_consumption!V667/1000/$C$3)</f>
        <v>#DIV/0!</v>
      </c>
      <c r="AB667" s="1040" t="e">
        <f>IF($F267="","",$F267*chronic_consumption!W667/1000/$C$3)</f>
        <v>#DIV/0!</v>
      </c>
      <c r="AC667" s="1040" t="e">
        <f>IF($F267="","",$F267*chronic_consumption!X667/1000/$C$3)</f>
        <v>#DIV/0!</v>
      </c>
      <c r="AD667" s="1040" t="e">
        <f>IF($F267="","",$F267*chronic_consumption!Y667/1000/$C$3)</f>
        <v>#DIV/0!</v>
      </c>
      <c r="AE667" s="1040" t="e">
        <f>IF($F267="","",$F267*chronic_consumption!Z667/1000/$C$3)</f>
        <v>#DIV/0!</v>
      </c>
      <c r="AF667" s="1040" t="e">
        <f>IF($F267="","",$F267*chronic_consumption!AA667/1000/$C$3)</f>
        <v>#DIV/0!</v>
      </c>
      <c r="AG667" s="1040" t="e">
        <f>IF($F267="","",$F267*chronic_consumption!AB667/1000/$C$3)</f>
        <v>#DIV/0!</v>
      </c>
      <c r="AH667" s="1040" t="e">
        <f>IF($F267="","",$F267*chronic_consumption!AC667/1000/$C$3)</f>
        <v>#DIV/0!</v>
      </c>
      <c r="AI667" s="1040" t="e">
        <f>IF($F267="","",$F267*chronic_consumption!AD667/1000/$C$3)</f>
        <v>#DIV/0!</v>
      </c>
      <c r="AJ667" s="1040" t="e">
        <f>IF($F267="","",$F267*chronic_consumption!AE667/1000/$C$3)</f>
        <v>#DIV/0!</v>
      </c>
      <c r="AK667" s="1040" t="e">
        <f>IF($F267="","",$F267*chronic_consumption!AF667/1000/$C$3)</f>
        <v>#DIV/0!</v>
      </c>
      <c r="AL667" s="1040" t="e">
        <f>IF($F267="","",$F267*chronic_consumption!AG667/1000/$C$3)</f>
        <v>#DIV/0!</v>
      </c>
      <c r="AM667" s="1040" t="e">
        <f>IF($F267="","",$F267*chronic_consumption!AH667/1000/$C$3)</f>
        <v>#DIV/0!</v>
      </c>
      <c r="AN667" s="1040" t="e">
        <f>IF($F267="","",$F267*chronic_consumption!AI667/1000/$C$3)</f>
        <v>#DIV/0!</v>
      </c>
      <c r="AO667" s="1040" t="e">
        <f>IF($F267="","",$F267*chronic_consumption!AJ667/1000/$C$3)</f>
        <v>#DIV/0!</v>
      </c>
      <c r="AP667" s="1040" t="e">
        <f>IF($F267="","",$F267*chronic_consumption!AK667/1000/$C$3)</f>
        <v>#DIV/0!</v>
      </c>
      <c r="AQ667" s="1040" t="e">
        <f>IF($F267="","",$F267*chronic_consumption!AL667/1000/$C$3)</f>
        <v>#DIV/0!</v>
      </c>
      <c r="AR667" s="1040" t="e">
        <f>IF($F267="","",$F267*chronic_consumption!AM667/1000/$C$3)</f>
        <v>#DIV/0!</v>
      </c>
      <c r="AS667" s="1040" t="e">
        <f>IF($F267="","",$F267*chronic_consumption!AN667/1000/$C$3)</f>
        <v>#DIV/0!</v>
      </c>
      <c r="AT667" s="1040" t="e">
        <f>IF($F267="","",$F267*chronic_consumption!AO667/1000/$C$3)</f>
        <v>#DIV/0!</v>
      </c>
      <c r="AU667" s="1040" t="e">
        <f>IF($F267="","",$F267*chronic_consumption!AP667/1000/$C$3)</f>
        <v>#DIV/0!</v>
      </c>
      <c r="AV667" s="1040" t="e">
        <f>IF($F267="","",$F267*chronic_consumption!AQ667/1000/$C$3)</f>
        <v>#DIV/0!</v>
      </c>
      <c r="AW667" s="1040" t="e">
        <f>IF($F267="","",$F267*chronic_consumption!AR667/1000/$C$3)</f>
        <v>#DIV/0!</v>
      </c>
      <c r="AX667" s="1040" t="e">
        <f>IF($F267="","",$F267*chronic_consumption!AS667/1000/$C$3)</f>
        <v>#DIV/0!</v>
      </c>
      <c r="AY667" s="1040" t="e">
        <f>IF($F267="","",$F267*chronic_consumption!AT667/1000/$C$3)</f>
        <v>#DIV/0!</v>
      </c>
      <c r="AZ667" s="44" t="s">
        <v>20</v>
      </c>
      <c r="BC667" s="29"/>
      <c r="BD667" s="29"/>
    </row>
    <row r="668" spans="1:56" ht="12" hidden="1" customHeight="1" outlineLevel="3" x14ac:dyDescent="0.2">
      <c r="A668" s="21">
        <f>acute_overview_children!A268</f>
        <v>4</v>
      </c>
      <c r="B668" s="325">
        <f t="shared" si="48"/>
        <v>632990</v>
      </c>
      <c r="C668" s="325" t="str">
        <f t="shared" si="48"/>
        <v>Other herbal infusions (dried leaves)</v>
      </c>
      <c r="D668" s="135"/>
      <c r="E668" s="1027"/>
      <c r="F668" s="87"/>
      <c r="G668" s="1027"/>
      <c r="H668" s="1029"/>
      <c r="I668" s="1030"/>
      <c r="J668" s="1039" t="e">
        <f>IF($F268="","",$F268*chronic_consumption!E668/1000/$C$3)</f>
        <v>#DIV/0!</v>
      </c>
      <c r="K668" s="1040" t="e">
        <f>IF($F268="","",$F268*chronic_consumption!F668/1000/$C$3)</f>
        <v>#DIV/0!</v>
      </c>
      <c r="L668" s="1040" t="e">
        <f>IF($F268="","",$F268*chronic_consumption!G668/1000/$C$3)</f>
        <v>#DIV/0!</v>
      </c>
      <c r="M668" s="1040" t="e">
        <f>IF($F268="","",$F268*chronic_consumption!H668/1000/$C$3)</f>
        <v>#DIV/0!</v>
      </c>
      <c r="N668" s="1040" t="e">
        <f>IF($F268="","",$F268*chronic_consumption!I668/1000/$C$3)</f>
        <v>#DIV/0!</v>
      </c>
      <c r="O668" s="1040" t="e">
        <f>IF($F268="","",$F268*chronic_consumption!J668/1000/$C$3)</f>
        <v>#DIV/0!</v>
      </c>
      <c r="P668" s="1040" t="e">
        <f>IF($F268="","",$F268*chronic_consumption!K668/1000/$C$3)</f>
        <v>#DIV/0!</v>
      </c>
      <c r="Q668" s="1040" t="e">
        <f>IF($F268="","",$F268*chronic_consumption!L668/1000/$C$3)</f>
        <v>#DIV/0!</v>
      </c>
      <c r="R668" s="1040" t="e">
        <f>IF($F268="","",$F268*chronic_consumption!M668/1000/$C$3)</f>
        <v>#DIV/0!</v>
      </c>
      <c r="S668" s="1040" t="e">
        <f>IF($F268="","",$F268*chronic_consumption!N668/1000/$C$3)</f>
        <v>#DIV/0!</v>
      </c>
      <c r="T668" s="1040" t="e">
        <f>IF($F268="","",$F268*chronic_consumption!O668/1000/$C$3)</f>
        <v>#DIV/0!</v>
      </c>
      <c r="U668" s="1040" t="e">
        <f>IF($F268="","",$F268*chronic_consumption!P668/1000/$C$3)</f>
        <v>#DIV/0!</v>
      </c>
      <c r="V668" s="1040" t="e">
        <f>IF($F268="","",$F268*chronic_consumption!Q668/1000/$C$3)</f>
        <v>#DIV/0!</v>
      </c>
      <c r="W668" s="1040" t="e">
        <f>IF($F268="","",$F268*chronic_consumption!R668/1000/$C$3)</f>
        <v>#DIV/0!</v>
      </c>
      <c r="X668" s="1040" t="e">
        <f>IF($F268="","",$F268*chronic_consumption!S668/1000/$C$3)</f>
        <v>#DIV/0!</v>
      </c>
      <c r="Y668" s="1040" t="e">
        <f>IF($F268="","",$F268*chronic_consumption!T668/1000/$C$3)</f>
        <v>#DIV/0!</v>
      </c>
      <c r="Z668" s="1040" t="e">
        <f>IF($F268="","",$F268*chronic_consumption!U668/1000/$C$3)</f>
        <v>#DIV/0!</v>
      </c>
      <c r="AA668" s="1040" t="e">
        <f>IF($F268="","",$F268*chronic_consumption!V668/1000/$C$3)</f>
        <v>#DIV/0!</v>
      </c>
      <c r="AB668" s="1040" t="e">
        <f>IF($F268="","",$F268*chronic_consumption!W668/1000/$C$3)</f>
        <v>#DIV/0!</v>
      </c>
      <c r="AC668" s="1040" t="e">
        <f>IF($F268="","",$F268*chronic_consumption!X668/1000/$C$3)</f>
        <v>#DIV/0!</v>
      </c>
      <c r="AD668" s="1040" t="e">
        <f>IF($F268="","",$F268*chronic_consumption!Y668/1000/$C$3)</f>
        <v>#DIV/0!</v>
      </c>
      <c r="AE668" s="1040" t="e">
        <f>IF($F268="","",$F268*chronic_consumption!Z668/1000/$C$3)</f>
        <v>#DIV/0!</v>
      </c>
      <c r="AF668" s="1040" t="e">
        <f>IF($F268="","",$F268*chronic_consumption!AA668/1000/$C$3)</f>
        <v>#DIV/0!</v>
      </c>
      <c r="AG668" s="1040" t="e">
        <f>IF($F268="","",$F268*chronic_consumption!AB668/1000/$C$3)</f>
        <v>#DIV/0!</v>
      </c>
      <c r="AH668" s="1040" t="e">
        <f>IF($F268="","",$F268*chronic_consumption!AC668/1000/$C$3)</f>
        <v>#DIV/0!</v>
      </c>
      <c r="AI668" s="1040" t="e">
        <f>IF($F268="","",$F268*chronic_consumption!AD668/1000/$C$3)</f>
        <v>#DIV/0!</v>
      </c>
      <c r="AJ668" s="1040" t="e">
        <f>IF($F268="","",$F268*chronic_consumption!AE668/1000/$C$3)</f>
        <v>#DIV/0!</v>
      </c>
      <c r="AK668" s="1040" t="e">
        <f>IF($F268="","",$F268*chronic_consumption!AF668/1000/$C$3)</f>
        <v>#DIV/0!</v>
      </c>
      <c r="AL668" s="1040" t="e">
        <f>IF($F268="","",$F268*chronic_consumption!AG668/1000/$C$3)</f>
        <v>#DIV/0!</v>
      </c>
      <c r="AM668" s="1040" t="e">
        <f>IF($F268="","",$F268*chronic_consumption!AH668/1000/$C$3)</f>
        <v>#DIV/0!</v>
      </c>
      <c r="AN668" s="1040" t="e">
        <f>IF($F268="","",$F268*chronic_consumption!AI668/1000/$C$3)</f>
        <v>#DIV/0!</v>
      </c>
      <c r="AO668" s="1040" t="e">
        <f>IF($F268="","",$F268*chronic_consumption!AJ668/1000/$C$3)</f>
        <v>#DIV/0!</v>
      </c>
      <c r="AP668" s="1040" t="e">
        <f>IF($F268="","",$F268*chronic_consumption!AK668/1000/$C$3)</f>
        <v>#DIV/0!</v>
      </c>
      <c r="AQ668" s="1040" t="e">
        <f>IF($F268="","",$F268*chronic_consumption!AL668/1000/$C$3)</f>
        <v>#DIV/0!</v>
      </c>
      <c r="AR668" s="1040" t="e">
        <f>IF($F268="","",$F268*chronic_consumption!AM668/1000/$C$3)</f>
        <v>#DIV/0!</v>
      </c>
      <c r="AS668" s="1040" t="e">
        <f>IF($F268="","",$F268*chronic_consumption!AN668/1000/$C$3)</f>
        <v>#DIV/0!</v>
      </c>
      <c r="AT668" s="1040" t="e">
        <f>IF($F268="","",$F268*chronic_consumption!AO668/1000/$C$3)</f>
        <v>#DIV/0!</v>
      </c>
      <c r="AU668" s="1040" t="e">
        <f>IF($F268="","",$F268*chronic_consumption!AP668/1000/$C$3)</f>
        <v>#DIV/0!</v>
      </c>
      <c r="AV668" s="1040" t="e">
        <f>IF($F268="","",$F268*chronic_consumption!AQ668/1000/$C$3)</f>
        <v>#DIV/0!</v>
      </c>
      <c r="AW668" s="1040" t="e">
        <f>IF($F268="","",$F268*chronic_consumption!AR668/1000/$C$3)</f>
        <v>#DIV/0!</v>
      </c>
      <c r="AX668" s="1040" t="e">
        <f>IF($F268="","",$F268*chronic_consumption!AS668/1000/$C$3)</f>
        <v>#DIV/0!</v>
      </c>
      <c r="AY668" s="1040" t="e">
        <f>IF($F268="","",$F268*chronic_consumption!AT668/1000/$C$3)</f>
        <v>#DIV/0!</v>
      </c>
      <c r="AZ668" s="44" t="s">
        <v>20</v>
      </c>
      <c r="BC668" s="29"/>
      <c r="BD668" s="29"/>
    </row>
    <row r="669" spans="1:56" ht="12" hidden="1" customHeight="1" outlineLevel="2" x14ac:dyDescent="0.2">
      <c r="A669" s="341">
        <f>acute_overview_children!A269</f>
        <v>3</v>
      </c>
      <c r="B669" s="1041">
        <f t="shared" si="48"/>
        <v>633000</v>
      </c>
      <c r="C669" s="1041" t="str">
        <f t="shared" si="48"/>
        <v>Herbal infusions (dried roots)</v>
      </c>
      <c r="D669" s="1042"/>
      <c r="E669" s="1027"/>
      <c r="F669" s="87"/>
      <c r="G669" s="1027"/>
      <c r="H669" s="1029"/>
      <c r="I669" s="1030"/>
      <c r="J669" s="1043" t="e">
        <f>IF($F269="","",$F269*chronic_consumption!E669/1000/$C$3)</f>
        <v>#DIV/0!</v>
      </c>
      <c r="K669" s="1044" t="e">
        <f>IF($F269="","",$F269*chronic_consumption!F669/1000/$C$3)</f>
        <v>#DIV/0!</v>
      </c>
      <c r="L669" s="1044" t="e">
        <f>IF($F269="","",$F269*chronic_consumption!G669/1000/$C$3)</f>
        <v>#DIV/0!</v>
      </c>
      <c r="M669" s="1044" t="e">
        <f>IF($F269="","",$F269*chronic_consumption!H669/1000/$C$3)</f>
        <v>#DIV/0!</v>
      </c>
      <c r="N669" s="1044" t="e">
        <f>IF($F269="","",$F269*chronic_consumption!I669/1000/$C$3)</f>
        <v>#DIV/0!</v>
      </c>
      <c r="O669" s="1044" t="e">
        <f>IF($F269="","",$F269*chronic_consumption!J669/1000/$C$3)</f>
        <v>#DIV/0!</v>
      </c>
      <c r="P669" s="1044" t="e">
        <f>IF($F269="","",$F269*chronic_consumption!K669/1000/$C$3)</f>
        <v>#DIV/0!</v>
      </c>
      <c r="Q669" s="1044" t="e">
        <f>IF($F269="","",$F269*chronic_consumption!L669/1000/$C$3)</f>
        <v>#DIV/0!</v>
      </c>
      <c r="R669" s="1044" t="e">
        <f>IF($F269="","",$F269*chronic_consumption!M669/1000/$C$3)</f>
        <v>#DIV/0!</v>
      </c>
      <c r="S669" s="1044" t="e">
        <f>IF($F269="","",$F269*chronic_consumption!N669/1000/$C$3)</f>
        <v>#DIV/0!</v>
      </c>
      <c r="T669" s="1044" t="e">
        <f>IF($F269="","",$F269*chronic_consumption!O669/1000/$C$3)</f>
        <v>#DIV/0!</v>
      </c>
      <c r="U669" s="1044" t="e">
        <f>IF($F269="","",$F269*chronic_consumption!P669/1000/$C$3)</f>
        <v>#DIV/0!</v>
      </c>
      <c r="V669" s="1044" t="e">
        <f>IF($F269="","",$F269*chronic_consumption!Q669/1000/$C$3)</f>
        <v>#DIV/0!</v>
      </c>
      <c r="W669" s="1044" t="e">
        <f>IF($F269="","",$F269*chronic_consumption!R669/1000/$C$3)</f>
        <v>#DIV/0!</v>
      </c>
      <c r="X669" s="1044" t="e">
        <f>IF($F269="","",$F269*chronic_consumption!S669/1000/$C$3)</f>
        <v>#DIV/0!</v>
      </c>
      <c r="Y669" s="1044" t="e">
        <f>IF($F269="","",$F269*chronic_consumption!T669/1000/$C$3)</f>
        <v>#DIV/0!</v>
      </c>
      <c r="Z669" s="1044" t="e">
        <f>IF($F269="","",$F269*chronic_consumption!U669/1000/$C$3)</f>
        <v>#DIV/0!</v>
      </c>
      <c r="AA669" s="1044" t="e">
        <f>IF($F269="","",$F269*chronic_consumption!V669/1000/$C$3)</f>
        <v>#DIV/0!</v>
      </c>
      <c r="AB669" s="1044" t="e">
        <f>IF($F269="","",$F269*chronic_consumption!W669/1000/$C$3)</f>
        <v>#DIV/0!</v>
      </c>
      <c r="AC669" s="1044" t="e">
        <f>IF($F269="","",$F269*chronic_consumption!X669/1000/$C$3)</f>
        <v>#DIV/0!</v>
      </c>
      <c r="AD669" s="1044" t="e">
        <f>IF($F269="","",$F269*chronic_consumption!Y669/1000/$C$3)</f>
        <v>#DIV/0!</v>
      </c>
      <c r="AE669" s="1044" t="e">
        <f>IF($F269="","",$F269*chronic_consumption!Z669/1000/$C$3)</f>
        <v>#DIV/0!</v>
      </c>
      <c r="AF669" s="1044" t="e">
        <f>IF($F269="","",$F269*chronic_consumption!AA669/1000/$C$3)</f>
        <v>#DIV/0!</v>
      </c>
      <c r="AG669" s="1044" t="e">
        <f>IF($F269="","",$F269*chronic_consumption!AB669/1000/$C$3)</f>
        <v>#DIV/0!</v>
      </c>
      <c r="AH669" s="1044" t="e">
        <f>IF($F269="","",$F269*chronic_consumption!AC669/1000/$C$3)</f>
        <v>#DIV/0!</v>
      </c>
      <c r="AI669" s="1044" t="e">
        <f>IF($F269="","",$F269*chronic_consumption!AD669/1000/$C$3)</f>
        <v>#DIV/0!</v>
      </c>
      <c r="AJ669" s="1044" t="e">
        <f>IF($F269="","",$F269*chronic_consumption!AE669/1000/$C$3)</f>
        <v>#DIV/0!</v>
      </c>
      <c r="AK669" s="1044" t="e">
        <f>IF($F269="","",$F269*chronic_consumption!AF669/1000/$C$3)</f>
        <v>#DIV/0!</v>
      </c>
      <c r="AL669" s="1044" t="e">
        <f>IF($F269="","",$F269*chronic_consumption!AG669/1000/$C$3)</f>
        <v>#DIV/0!</v>
      </c>
      <c r="AM669" s="1044" t="e">
        <f>IF($F269="","",$F269*chronic_consumption!AH669/1000/$C$3)</f>
        <v>#DIV/0!</v>
      </c>
      <c r="AN669" s="1044" t="e">
        <f>IF($F269="","",$F269*chronic_consumption!AI669/1000/$C$3)</f>
        <v>#DIV/0!</v>
      </c>
      <c r="AO669" s="1044" t="e">
        <f>IF($F269="","",$F269*chronic_consumption!AJ669/1000/$C$3)</f>
        <v>#DIV/0!</v>
      </c>
      <c r="AP669" s="1044" t="e">
        <f>IF($F269="","",$F269*chronic_consumption!AK669/1000/$C$3)</f>
        <v>#DIV/0!</v>
      </c>
      <c r="AQ669" s="1044" t="e">
        <f>IF($F269="","",$F269*chronic_consumption!AL669/1000/$C$3)</f>
        <v>#DIV/0!</v>
      </c>
      <c r="AR669" s="1044" t="e">
        <f>IF($F269="","",$F269*chronic_consumption!AM669/1000/$C$3)</f>
        <v>#DIV/0!</v>
      </c>
      <c r="AS669" s="1044" t="e">
        <f>IF($F269="","",$F269*chronic_consumption!AN669/1000/$C$3)</f>
        <v>#DIV/0!</v>
      </c>
      <c r="AT669" s="1044" t="e">
        <f>IF($F269="","",$F269*chronic_consumption!AO669/1000/$C$3)</f>
        <v>#DIV/0!</v>
      </c>
      <c r="AU669" s="1044" t="e">
        <f>IF($F269="","",$F269*chronic_consumption!AP669/1000/$C$3)</f>
        <v>#DIV/0!</v>
      </c>
      <c r="AV669" s="1044" t="e">
        <f>IF($F269="","",$F269*chronic_consumption!AQ669/1000/$C$3)</f>
        <v>#DIV/0!</v>
      </c>
      <c r="AW669" s="1044" t="e">
        <f>IF($F269="","",$F269*chronic_consumption!AR669/1000/$C$3)</f>
        <v>#DIV/0!</v>
      </c>
      <c r="AX669" s="1044" t="e">
        <f>IF($F269="","",$F269*chronic_consumption!AS669/1000/$C$3)</f>
        <v>#DIV/0!</v>
      </c>
      <c r="AY669" s="1044" t="e">
        <f>IF($F269="","",$F269*chronic_consumption!AT669/1000/$C$3)</f>
        <v>#DIV/0!</v>
      </c>
      <c r="AZ669" s="44" t="s">
        <v>20</v>
      </c>
      <c r="BC669" s="29"/>
      <c r="BD669" s="29"/>
    </row>
    <row r="670" spans="1:56" ht="12" hidden="1" customHeight="1" outlineLevel="3" x14ac:dyDescent="0.2">
      <c r="A670" s="21">
        <f>acute_overview_children!A270</f>
        <v>4</v>
      </c>
      <c r="B670" s="325">
        <f t="shared" si="48"/>
        <v>633010</v>
      </c>
      <c r="C670" s="325" t="str">
        <f t="shared" si="48"/>
        <v xml:space="preserve">Valerian root </v>
      </c>
      <c r="D670" s="135"/>
      <c r="E670" s="1027"/>
      <c r="F670" s="87"/>
      <c r="G670" s="1027"/>
      <c r="H670" s="1029"/>
      <c r="I670" s="1030"/>
      <c r="J670" s="1039" t="e">
        <f>IF($F270="","",$F270*chronic_consumption!E670/1000/$C$3)</f>
        <v>#DIV/0!</v>
      </c>
      <c r="K670" s="1040" t="e">
        <f>IF($F270="","",$F270*chronic_consumption!F670/1000/$C$3)</f>
        <v>#DIV/0!</v>
      </c>
      <c r="L670" s="1040" t="e">
        <f>IF($F270="","",$F270*chronic_consumption!G670/1000/$C$3)</f>
        <v>#DIV/0!</v>
      </c>
      <c r="M670" s="1040" t="e">
        <f>IF($F270="","",$F270*chronic_consumption!H670/1000/$C$3)</f>
        <v>#DIV/0!</v>
      </c>
      <c r="N670" s="1040" t="e">
        <f>IF($F270="","",$F270*chronic_consumption!I670/1000/$C$3)</f>
        <v>#DIV/0!</v>
      </c>
      <c r="O670" s="1040" t="e">
        <f>IF($F270="","",$F270*chronic_consumption!J670/1000/$C$3)</f>
        <v>#DIV/0!</v>
      </c>
      <c r="P670" s="1040" t="e">
        <f>IF($F270="","",$F270*chronic_consumption!K670/1000/$C$3)</f>
        <v>#DIV/0!</v>
      </c>
      <c r="Q670" s="1040" t="e">
        <f>IF($F270="","",$F270*chronic_consumption!L670/1000/$C$3)</f>
        <v>#DIV/0!</v>
      </c>
      <c r="R670" s="1040" t="e">
        <f>IF($F270="","",$F270*chronic_consumption!M670/1000/$C$3)</f>
        <v>#DIV/0!</v>
      </c>
      <c r="S670" s="1040" t="e">
        <f>IF($F270="","",$F270*chronic_consumption!N670/1000/$C$3)</f>
        <v>#DIV/0!</v>
      </c>
      <c r="T670" s="1040" t="e">
        <f>IF($F270="","",$F270*chronic_consumption!O670/1000/$C$3)</f>
        <v>#DIV/0!</v>
      </c>
      <c r="U670" s="1040" t="e">
        <f>IF($F270="","",$F270*chronic_consumption!P670/1000/$C$3)</f>
        <v>#DIV/0!</v>
      </c>
      <c r="V670" s="1040" t="e">
        <f>IF($F270="","",$F270*chronic_consumption!Q670/1000/$C$3)</f>
        <v>#DIV/0!</v>
      </c>
      <c r="W670" s="1040" t="e">
        <f>IF($F270="","",$F270*chronic_consumption!R670/1000/$C$3)</f>
        <v>#DIV/0!</v>
      </c>
      <c r="X670" s="1040" t="e">
        <f>IF($F270="","",$F270*chronic_consumption!S670/1000/$C$3)</f>
        <v>#DIV/0!</v>
      </c>
      <c r="Y670" s="1040" t="e">
        <f>IF($F270="","",$F270*chronic_consumption!T670/1000/$C$3)</f>
        <v>#DIV/0!</v>
      </c>
      <c r="Z670" s="1040" t="e">
        <f>IF($F270="","",$F270*chronic_consumption!U670/1000/$C$3)</f>
        <v>#DIV/0!</v>
      </c>
      <c r="AA670" s="1040" t="e">
        <f>IF($F270="","",$F270*chronic_consumption!V670/1000/$C$3)</f>
        <v>#DIV/0!</v>
      </c>
      <c r="AB670" s="1040" t="e">
        <f>IF($F270="","",$F270*chronic_consumption!W670/1000/$C$3)</f>
        <v>#DIV/0!</v>
      </c>
      <c r="AC670" s="1040" t="e">
        <f>IF($F270="","",$F270*chronic_consumption!X670/1000/$C$3)</f>
        <v>#DIV/0!</v>
      </c>
      <c r="AD670" s="1040" t="e">
        <f>IF($F270="","",$F270*chronic_consumption!Y670/1000/$C$3)</f>
        <v>#DIV/0!</v>
      </c>
      <c r="AE670" s="1040" t="e">
        <f>IF($F270="","",$F270*chronic_consumption!Z670/1000/$C$3)</f>
        <v>#DIV/0!</v>
      </c>
      <c r="AF670" s="1040" t="e">
        <f>IF($F270="","",$F270*chronic_consumption!AA670/1000/$C$3)</f>
        <v>#DIV/0!</v>
      </c>
      <c r="AG670" s="1040" t="e">
        <f>IF($F270="","",$F270*chronic_consumption!AB670/1000/$C$3)</f>
        <v>#DIV/0!</v>
      </c>
      <c r="AH670" s="1040" t="e">
        <f>IF($F270="","",$F270*chronic_consumption!AC670/1000/$C$3)</f>
        <v>#DIV/0!</v>
      </c>
      <c r="AI670" s="1040" t="e">
        <f>IF($F270="","",$F270*chronic_consumption!AD670/1000/$C$3)</f>
        <v>#DIV/0!</v>
      </c>
      <c r="AJ670" s="1040" t="e">
        <f>IF($F270="","",$F270*chronic_consumption!AE670/1000/$C$3)</f>
        <v>#DIV/0!</v>
      </c>
      <c r="AK670" s="1040" t="e">
        <f>IF($F270="","",$F270*chronic_consumption!AF670/1000/$C$3)</f>
        <v>#DIV/0!</v>
      </c>
      <c r="AL670" s="1040" t="e">
        <f>IF($F270="","",$F270*chronic_consumption!AG670/1000/$C$3)</f>
        <v>#DIV/0!</v>
      </c>
      <c r="AM670" s="1040" t="e">
        <f>IF($F270="","",$F270*chronic_consumption!AH670/1000/$C$3)</f>
        <v>#DIV/0!</v>
      </c>
      <c r="AN670" s="1040" t="e">
        <f>IF($F270="","",$F270*chronic_consumption!AI670/1000/$C$3)</f>
        <v>#DIV/0!</v>
      </c>
      <c r="AO670" s="1040" t="e">
        <f>IF($F270="","",$F270*chronic_consumption!AJ670/1000/$C$3)</f>
        <v>#DIV/0!</v>
      </c>
      <c r="AP670" s="1040" t="e">
        <f>IF($F270="","",$F270*chronic_consumption!AK670/1000/$C$3)</f>
        <v>#DIV/0!</v>
      </c>
      <c r="AQ670" s="1040" t="e">
        <f>IF($F270="","",$F270*chronic_consumption!AL670/1000/$C$3)</f>
        <v>#DIV/0!</v>
      </c>
      <c r="AR670" s="1040" t="e">
        <f>IF($F270="","",$F270*chronic_consumption!AM670/1000/$C$3)</f>
        <v>#DIV/0!</v>
      </c>
      <c r="AS670" s="1040" t="e">
        <f>IF($F270="","",$F270*chronic_consumption!AN670/1000/$C$3)</f>
        <v>#DIV/0!</v>
      </c>
      <c r="AT670" s="1040" t="e">
        <f>IF($F270="","",$F270*chronic_consumption!AO670/1000/$C$3)</f>
        <v>#DIV/0!</v>
      </c>
      <c r="AU670" s="1040" t="e">
        <f>IF($F270="","",$F270*chronic_consumption!AP670/1000/$C$3)</f>
        <v>#DIV/0!</v>
      </c>
      <c r="AV670" s="1040" t="e">
        <f>IF($F270="","",$F270*chronic_consumption!AQ670/1000/$C$3)</f>
        <v>#DIV/0!</v>
      </c>
      <c r="AW670" s="1040" t="e">
        <f>IF($F270="","",$F270*chronic_consumption!AR670/1000/$C$3)</f>
        <v>#DIV/0!</v>
      </c>
      <c r="AX670" s="1040" t="e">
        <f>IF($F270="","",$F270*chronic_consumption!AS670/1000/$C$3)</f>
        <v>#DIV/0!</v>
      </c>
      <c r="AY670" s="1040" t="e">
        <f>IF($F270="","",$F270*chronic_consumption!AT670/1000/$C$3)</f>
        <v>#DIV/0!</v>
      </c>
      <c r="AZ670" s="44" t="s">
        <v>20</v>
      </c>
      <c r="BC670" s="29"/>
      <c r="BD670" s="29"/>
    </row>
    <row r="671" spans="1:56" ht="12" hidden="1" customHeight="1" outlineLevel="3" x14ac:dyDescent="0.2">
      <c r="A671" s="21">
        <f>acute_overview_children!A271</f>
        <v>4</v>
      </c>
      <c r="B671" s="325">
        <f t="shared" si="48"/>
        <v>633020</v>
      </c>
      <c r="C671" s="325" t="str">
        <f t="shared" si="48"/>
        <v>Ginseng root</v>
      </c>
      <c r="D671" s="135"/>
      <c r="E671" s="1027"/>
      <c r="F671" s="87"/>
      <c r="G671" s="1027"/>
      <c r="H671" s="1029"/>
      <c r="I671" s="1030"/>
      <c r="J671" s="1039" t="e">
        <f>IF($F271="","",$F271*chronic_consumption!E671/1000/$C$3)</f>
        <v>#DIV/0!</v>
      </c>
      <c r="K671" s="1040" t="e">
        <f>IF($F271="","",$F271*chronic_consumption!F671/1000/$C$3)</f>
        <v>#DIV/0!</v>
      </c>
      <c r="L671" s="1040" t="e">
        <f>IF($F271="","",$F271*chronic_consumption!G671/1000/$C$3)</f>
        <v>#DIV/0!</v>
      </c>
      <c r="M671" s="1040" t="e">
        <f>IF($F271="","",$F271*chronic_consumption!H671/1000/$C$3)</f>
        <v>#DIV/0!</v>
      </c>
      <c r="N671" s="1040" t="e">
        <f>IF($F271="","",$F271*chronic_consumption!I671/1000/$C$3)</f>
        <v>#DIV/0!</v>
      </c>
      <c r="O671" s="1040" t="e">
        <f>IF($F271="","",$F271*chronic_consumption!J671/1000/$C$3)</f>
        <v>#DIV/0!</v>
      </c>
      <c r="P671" s="1040" t="e">
        <f>IF($F271="","",$F271*chronic_consumption!K671/1000/$C$3)</f>
        <v>#DIV/0!</v>
      </c>
      <c r="Q671" s="1040" t="e">
        <f>IF($F271="","",$F271*chronic_consumption!L671/1000/$C$3)</f>
        <v>#DIV/0!</v>
      </c>
      <c r="R671" s="1040" t="e">
        <f>IF($F271="","",$F271*chronic_consumption!M671/1000/$C$3)</f>
        <v>#DIV/0!</v>
      </c>
      <c r="S671" s="1040" t="e">
        <f>IF($F271="","",$F271*chronic_consumption!N671/1000/$C$3)</f>
        <v>#DIV/0!</v>
      </c>
      <c r="T671" s="1040" t="e">
        <f>IF($F271="","",$F271*chronic_consumption!O671/1000/$C$3)</f>
        <v>#DIV/0!</v>
      </c>
      <c r="U671" s="1040" t="e">
        <f>IF($F271="","",$F271*chronic_consumption!P671/1000/$C$3)</f>
        <v>#DIV/0!</v>
      </c>
      <c r="V671" s="1040" t="e">
        <f>IF($F271="","",$F271*chronic_consumption!Q671/1000/$C$3)</f>
        <v>#DIV/0!</v>
      </c>
      <c r="W671" s="1040" t="e">
        <f>IF($F271="","",$F271*chronic_consumption!R671/1000/$C$3)</f>
        <v>#DIV/0!</v>
      </c>
      <c r="X671" s="1040" t="e">
        <f>IF($F271="","",$F271*chronic_consumption!S671/1000/$C$3)</f>
        <v>#DIV/0!</v>
      </c>
      <c r="Y671" s="1040" t="e">
        <f>IF($F271="","",$F271*chronic_consumption!T671/1000/$C$3)</f>
        <v>#DIV/0!</v>
      </c>
      <c r="Z671" s="1040" t="e">
        <f>IF($F271="","",$F271*chronic_consumption!U671/1000/$C$3)</f>
        <v>#DIV/0!</v>
      </c>
      <c r="AA671" s="1040" t="e">
        <f>IF($F271="","",$F271*chronic_consumption!V671/1000/$C$3)</f>
        <v>#DIV/0!</v>
      </c>
      <c r="AB671" s="1040" t="e">
        <f>IF($F271="","",$F271*chronic_consumption!W671/1000/$C$3)</f>
        <v>#DIV/0!</v>
      </c>
      <c r="AC671" s="1040" t="e">
        <f>IF($F271="","",$F271*chronic_consumption!X671/1000/$C$3)</f>
        <v>#DIV/0!</v>
      </c>
      <c r="AD671" s="1040" t="e">
        <f>IF($F271="","",$F271*chronic_consumption!Y671/1000/$C$3)</f>
        <v>#DIV/0!</v>
      </c>
      <c r="AE671" s="1040" t="e">
        <f>IF($F271="","",$F271*chronic_consumption!Z671/1000/$C$3)</f>
        <v>#DIV/0!</v>
      </c>
      <c r="AF671" s="1040" t="e">
        <f>IF($F271="","",$F271*chronic_consumption!AA671/1000/$C$3)</f>
        <v>#DIV/0!</v>
      </c>
      <c r="AG671" s="1040" t="e">
        <f>IF($F271="","",$F271*chronic_consumption!AB671/1000/$C$3)</f>
        <v>#DIV/0!</v>
      </c>
      <c r="AH671" s="1040" t="e">
        <f>IF($F271="","",$F271*chronic_consumption!AC671/1000/$C$3)</f>
        <v>#DIV/0!</v>
      </c>
      <c r="AI671" s="1040" t="e">
        <f>IF($F271="","",$F271*chronic_consumption!AD671/1000/$C$3)</f>
        <v>#DIV/0!</v>
      </c>
      <c r="AJ671" s="1040" t="e">
        <f>IF($F271="","",$F271*chronic_consumption!AE671/1000/$C$3)</f>
        <v>#DIV/0!</v>
      </c>
      <c r="AK671" s="1040" t="e">
        <f>IF($F271="","",$F271*chronic_consumption!AF671/1000/$C$3)</f>
        <v>#DIV/0!</v>
      </c>
      <c r="AL671" s="1040" t="e">
        <f>IF($F271="","",$F271*chronic_consumption!AG671/1000/$C$3)</f>
        <v>#DIV/0!</v>
      </c>
      <c r="AM671" s="1040" t="e">
        <f>IF($F271="","",$F271*chronic_consumption!AH671/1000/$C$3)</f>
        <v>#DIV/0!</v>
      </c>
      <c r="AN671" s="1040" t="e">
        <f>IF($F271="","",$F271*chronic_consumption!AI671/1000/$C$3)</f>
        <v>#DIV/0!</v>
      </c>
      <c r="AO671" s="1040" t="e">
        <f>IF($F271="","",$F271*chronic_consumption!AJ671/1000/$C$3)</f>
        <v>#DIV/0!</v>
      </c>
      <c r="AP671" s="1040" t="e">
        <f>IF($F271="","",$F271*chronic_consumption!AK671/1000/$C$3)</f>
        <v>#DIV/0!</v>
      </c>
      <c r="AQ671" s="1040" t="e">
        <f>IF($F271="","",$F271*chronic_consumption!AL671/1000/$C$3)</f>
        <v>#DIV/0!</v>
      </c>
      <c r="AR671" s="1040" t="e">
        <f>IF($F271="","",$F271*chronic_consumption!AM671/1000/$C$3)</f>
        <v>#DIV/0!</v>
      </c>
      <c r="AS671" s="1040" t="e">
        <f>IF($F271="","",$F271*chronic_consumption!AN671/1000/$C$3)</f>
        <v>#DIV/0!</v>
      </c>
      <c r="AT671" s="1040" t="e">
        <f>IF($F271="","",$F271*chronic_consumption!AO671/1000/$C$3)</f>
        <v>#DIV/0!</v>
      </c>
      <c r="AU671" s="1040" t="e">
        <f>IF($F271="","",$F271*chronic_consumption!AP671/1000/$C$3)</f>
        <v>#DIV/0!</v>
      </c>
      <c r="AV671" s="1040" t="e">
        <f>IF($F271="","",$F271*chronic_consumption!AQ671/1000/$C$3)</f>
        <v>#DIV/0!</v>
      </c>
      <c r="AW671" s="1040" t="e">
        <f>IF($F271="","",$F271*chronic_consumption!AR671/1000/$C$3)</f>
        <v>#DIV/0!</v>
      </c>
      <c r="AX671" s="1040" t="e">
        <f>IF($F271="","",$F271*chronic_consumption!AS671/1000/$C$3)</f>
        <v>#DIV/0!</v>
      </c>
      <c r="AY671" s="1040" t="e">
        <f>IF($F271="","",$F271*chronic_consumption!AT671/1000/$C$3)</f>
        <v>#DIV/0!</v>
      </c>
      <c r="AZ671" s="44" t="s">
        <v>20</v>
      </c>
      <c r="BC671" s="29"/>
      <c r="BD671" s="29"/>
    </row>
    <row r="672" spans="1:56" ht="12" hidden="1" customHeight="1" outlineLevel="3" x14ac:dyDescent="0.2">
      <c r="A672" s="21">
        <f>acute_overview_children!A272</f>
        <v>4</v>
      </c>
      <c r="B672" s="325">
        <f t="shared" ref="B672:C691" si="49">B272</f>
        <v>633990</v>
      </c>
      <c r="C672" s="325" t="str">
        <f t="shared" si="49"/>
        <v>Other herbal infusions (dried roots)</v>
      </c>
      <c r="D672" s="135"/>
      <c r="E672" s="1027"/>
      <c r="F672" s="87"/>
      <c r="G672" s="1027"/>
      <c r="H672" s="1029"/>
      <c r="I672" s="1030"/>
      <c r="J672" s="1039" t="e">
        <f>IF($F272="","",$F272*chronic_consumption!E672/1000/$C$3)</f>
        <v>#DIV/0!</v>
      </c>
      <c r="K672" s="1040" t="e">
        <f>IF($F272="","",$F272*chronic_consumption!F672/1000/$C$3)</f>
        <v>#DIV/0!</v>
      </c>
      <c r="L672" s="1040" t="e">
        <f>IF($F272="","",$F272*chronic_consumption!G672/1000/$C$3)</f>
        <v>#DIV/0!</v>
      </c>
      <c r="M672" s="1040" t="e">
        <f>IF($F272="","",$F272*chronic_consumption!H672/1000/$C$3)</f>
        <v>#DIV/0!</v>
      </c>
      <c r="N672" s="1040" t="e">
        <f>IF($F272="","",$F272*chronic_consumption!I672/1000/$C$3)</f>
        <v>#DIV/0!</v>
      </c>
      <c r="O672" s="1040" t="e">
        <f>IF($F272="","",$F272*chronic_consumption!J672/1000/$C$3)</f>
        <v>#DIV/0!</v>
      </c>
      <c r="P672" s="1040" t="e">
        <f>IF($F272="","",$F272*chronic_consumption!K672/1000/$C$3)</f>
        <v>#DIV/0!</v>
      </c>
      <c r="Q672" s="1040" t="e">
        <f>IF($F272="","",$F272*chronic_consumption!L672/1000/$C$3)</f>
        <v>#DIV/0!</v>
      </c>
      <c r="R672" s="1040" t="e">
        <f>IF($F272="","",$F272*chronic_consumption!M672/1000/$C$3)</f>
        <v>#DIV/0!</v>
      </c>
      <c r="S672" s="1040" t="e">
        <f>IF($F272="","",$F272*chronic_consumption!N672/1000/$C$3)</f>
        <v>#DIV/0!</v>
      </c>
      <c r="T672" s="1040" t="e">
        <f>IF($F272="","",$F272*chronic_consumption!O672/1000/$C$3)</f>
        <v>#DIV/0!</v>
      </c>
      <c r="U672" s="1040" t="e">
        <f>IF($F272="","",$F272*chronic_consumption!P672/1000/$C$3)</f>
        <v>#DIV/0!</v>
      </c>
      <c r="V672" s="1040" t="e">
        <f>IF($F272="","",$F272*chronic_consumption!Q672/1000/$C$3)</f>
        <v>#DIV/0!</v>
      </c>
      <c r="W672" s="1040" t="e">
        <f>IF($F272="","",$F272*chronic_consumption!R672/1000/$C$3)</f>
        <v>#DIV/0!</v>
      </c>
      <c r="X672" s="1040" t="e">
        <f>IF($F272="","",$F272*chronic_consumption!S672/1000/$C$3)</f>
        <v>#DIV/0!</v>
      </c>
      <c r="Y672" s="1040" t="e">
        <f>IF($F272="","",$F272*chronic_consumption!T672/1000/$C$3)</f>
        <v>#DIV/0!</v>
      </c>
      <c r="Z672" s="1040" t="e">
        <f>IF($F272="","",$F272*chronic_consumption!U672/1000/$C$3)</f>
        <v>#DIV/0!</v>
      </c>
      <c r="AA672" s="1040" t="e">
        <f>IF($F272="","",$F272*chronic_consumption!V672/1000/$C$3)</f>
        <v>#DIV/0!</v>
      </c>
      <c r="AB672" s="1040" t="e">
        <f>IF($F272="","",$F272*chronic_consumption!W672/1000/$C$3)</f>
        <v>#DIV/0!</v>
      </c>
      <c r="AC672" s="1040" t="e">
        <f>IF($F272="","",$F272*chronic_consumption!X672/1000/$C$3)</f>
        <v>#DIV/0!</v>
      </c>
      <c r="AD672" s="1040" t="e">
        <f>IF($F272="","",$F272*chronic_consumption!Y672/1000/$C$3)</f>
        <v>#DIV/0!</v>
      </c>
      <c r="AE672" s="1040" t="e">
        <f>IF($F272="","",$F272*chronic_consumption!Z672/1000/$C$3)</f>
        <v>#DIV/0!</v>
      </c>
      <c r="AF672" s="1040" t="e">
        <f>IF($F272="","",$F272*chronic_consumption!AA672/1000/$C$3)</f>
        <v>#DIV/0!</v>
      </c>
      <c r="AG672" s="1040" t="e">
        <f>IF($F272="","",$F272*chronic_consumption!AB672/1000/$C$3)</f>
        <v>#DIV/0!</v>
      </c>
      <c r="AH672" s="1040" t="e">
        <f>IF($F272="","",$F272*chronic_consumption!AC672/1000/$C$3)</f>
        <v>#DIV/0!</v>
      </c>
      <c r="AI672" s="1040" t="e">
        <f>IF($F272="","",$F272*chronic_consumption!AD672/1000/$C$3)</f>
        <v>#DIV/0!</v>
      </c>
      <c r="AJ672" s="1040" t="e">
        <f>IF($F272="","",$F272*chronic_consumption!AE672/1000/$C$3)</f>
        <v>#DIV/0!</v>
      </c>
      <c r="AK672" s="1040" t="e">
        <f>IF($F272="","",$F272*chronic_consumption!AF672/1000/$C$3)</f>
        <v>#DIV/0!</v>
      </c>
      <c r="AL672" s="1040" t="e">
        <f>IF($F272="","",$F272*chronic_consumption!AG672/1000/$C$3)</f>
        <v>#DIV/0!</v>
      </c>
      <c r="AM672" s="1040" t="e">
        <f>IF($F272="","",$F272*chronic_consumption!AH672/1000/$C$3)</f>
        <v>#DIV/0!</v>
      </c>
      <c r="AN672" s="1040" t="e">
        <f>IF($F272="","",$F272*chronic_consumption!AI672/1000/$C$3)</f>
        <v>#DIV/0!</v>
      </c>
      <c r="AO672" s="1040" t="e">
        <f>IF($F272="","",$F272*chronic_consumption!AJ672/1000/$C$3)</f>
        <v>#DIV/0!</v>
      </c>
      <c r="AP672" s="1040" t="e">
        <f>IF($F272="","",$F272*chronic_consumption!AK672/1000/$C$3)</f>
        <v>#DIV/0!</v>
      </c>
      <c r="AQ672" s="1040" t="e">
        <f>IF($F272="","",$F272*chronic_consumption!AL672/1000/$C$3)</f>
        <v>#DIV/0!</v>
      </c>
      <c r="AR672" s="1040" t="e">
        <f>IF($F272="","",$F272*chronic_consumption!AM672/1000/$C$3)</f>
        <v>#DIV/0!</v>
      </c>
      <c r="AS672" s="1040" t="e">
        <f>IF($F272="","",$F272*chronic_consumption!AN672/1000/$C$3)</f>
        <v>#DIV/0!</v>
      </c>
      <c r="AT672" s="1040" t="e">
        <f>IF($F272="","",$F272*chronic_consumption!AO672/1000/$C$3)</f>
        <v>#DIV/0!</v>
      </c>
      <c r="AU672" s="1040" t="e">
        <f>IF($F272="","",$F272*chronic_consumption!AP672/1000/$C$3)</f>
        <v>#DIV/0!</v>
      </c>
      <c r="AV672" s="1040" t="e">
        <f>IF($F272="","",$F272*chronic_consumption!AQ672/1000/$C$3)</f>
        <v>#DIV/0!</v>
      </c>
      <c r="AW672" s="1040" t="e">
        <f>IF($F272="","",$F272*chronic_consumption!AR672/1000/$C$3)</f>
        <v>#DIV/0!</v>
      </c>
      <c r="AX672" s="1040" t="e">
        <f>IF($F272="","",$F272*chronic_consumption!AS672/1000/$C$3)</f>
        <v>#DIV/0!</v>
      </c>
      <c r="AY672" s="1040" t="e">
        <f>IF($F272="","",$F272*chronic_consumption!AT672/1000/$C$3)</f>
        <v>#DIV/0!</v>
      </c>
      <c r="AZ672" s="44" t="s">
        <v>20</v>
      </c>
      <c r="BC672" s="29"/>
      <c r="BD672" s="29"/>
    </row>
    <row r="673" spans="1:56" ht="12" hidden="1" customHeight="1" outlineLevel="2" x14ac:dyDescent="0.2">
      <c r="A673" s="353">
        <f>acute_overview_children!A273</f>
        <v>3</v>
      </c>
      <c r="B673" s="1046">
        <f t="shared" si="49"/>
        <v>639000</v>
      </c>
      <c r="C673" s="1046" t="str">
        <f t="shared" si="49"/>
        <v>Herbal infusions  -(any other parts of the plant)
(other herbal infusions)</v>
      </c>
      <c r="D673" s="135"/>
      <c r="E673" s="1027"/>
      <c r="F673" s="87"/>
      <c r="G673" s="1027"/>
      <c r="H673" s="1029"/>
      <c r="I673" s="1030"/>
      <c r="J673" s="1047" t="e">
        <f>IF($F273="","",$F273*chronic_consumption!E673/1000/$C$3)</f>
        <v>#DIV/0!</v>
      </c>
      <c r="K673" s="1048" t="e">
        <f>IF($F273="","",$F273*chronic_consumption!F673/1000/$C$3)</f>
        <v>#DIV/0!</v>
      </c>
      <c r="L673" s="1048" t="e">
        <f>IF($F273="","",$F273*chronic_consumption!G673/1000/$C$3)</f>
        <v>#DIV/0!</v>
      </c>
      <c r="M673" s="1048" t="e">
        <f>IF($F273="","",$F273*chronic_consumption!H673/1000/$C$3)</f>
        <v>#DIV/0!</v>
      </c>
      <c r="N673" s="1048" t="e">
        <f>IF($F273="","",$F273*chronic_consumption!I673/1000/$C$3)</f>
        <v>#DIV/0!</v>
      </c>
      <c r="O673" s="1048" t="e">
        <f>IF($F273="","",$F273*chronic_consumption!J673/1000/$C$3)</f>
        <v>#DIV/0!</v>
      </c>
      <c r="P673" s="1048" t="e">
        <f>IF($F273="","",$F273*chronic_consumption!K673/1000/$C$3)</f>
        <v>#DIV/0!</v>
      </c>
      <c r="Q673" s="1048" t="e">
        <f>IF($F273="","",$F273*chronic_consumption!L673/1000/$C$3)</f>
        <v>#DIV/0!</v>
      </c>
      <c r="R673" s="1048" t="e">
        <f>IF($F273="","",$F273*chronic_consumption!M673/1000/$C$3)</f>
        <v>#DIV/0!</v>
      </c>
      <c r="S673" s="1048" t="e">
        <f>IF($F273="","",$F273*chronic_consumption!N673/1000/$C$3)</f>
        <v>#DIV/0!</v>
      </c>
      <c r="T673" s="1048" t="e">
        <f>IF($F273="","",$F273*chronic_consumption!O673/1000/$C$3)</f>
        <v>#DIV/0!</v>
      </c>
      <c r="U673" s="1048" t="e">
        <f>IF($F273="","",$F273*chronic_consumption!P673/1000/$C$3)</f>
        <v>#DIV/0!</v>
      </c>
      <c r="V673" s="1048" t="e">
        <f>IF($F273="","",$F273*chronic_consumption!Q673/1000/$C$3)</f>
        <v>#DIV/0!</v>
      </c>
      <c r="W673" s="1048" t="e">
        <f>IF($F273="","",$F273*chronic_consumption!R673/1000/$C$3)</f>
        <v>#DIV/0!</v>
      </c>
      <c r="X673" s="1048" t="e">
        <f>IF($F273="","",$F273*chronic_consumption!S673/1000/$C$3)</f>
        <v>#DIV/0!</v>
      </c>
      <c r="Y673" s="1048" t="e">
        <f>IF($F273="","",$F273*chronic_consumption!T673/1000/$C$3)</f>
        <v>#DIV/0!</v>
      </c>
      <c r="Z673" s="1048" t="e">
        <f>IF($F273="","",$F273*chronic_consumption!U673/1000/$C$3)</f>
        <v>#DIV/0!</v>
      </c>
      <c r="AA673" s="1048" t="e">
        <f>IF($F273="","",$F273*chronic_consumption!V673/1000/$C$3)</f>
        <v>#DIV/0!</v>
      </c>
      <c r="AB673" s="1048" t="e">
        <f>IF($F273="","",$F273*chronic_consumption!W673/1000/$C$3)</f>
        <v>#DIV/0!</v>
      </c>
      <c r="AC673" s="1048" t="e">
        <f>IF($F273="","",$F273*chronic_consumption!X673/1000/$C$3)</f>
        <v>#DIV/0!</v>
      </c>
      <c r="AD673" s="1048" t="e">
        <f>IF($F273="","",$F273*chronic_consumption!Y673/1000/$C$3)</f>
        <v>#DIV/0!</v>
      </c>
      <c r="AE673" s="1048" t="e">
        <f>IF($F273="","",$F273*chronic_consumption!Z673/1000/$C$3)</f>
        <v>#DIV/0!</v>
      </c>
      <c r="AF673" s="1048" t="e">
        <f>IF($F273="","",$F273*chronic_consumption!AA673/1000/$C$3)</f>
        <v>#DIV/0!</v>
      </c>
      <c r="AG673" s="1048" t="e">
        <f>IF($F273="","",$F273*chronic_consumption!AB673/1000/$C$3)</f>
        <v>#DIV/0!</v>
      </c>
      <c r="AH673" s="1048" t="e">
        <f>IF($F273="","",$F273*chronic_consumption!AC673/1000/$C$3)</f>
        <v>#DIV/0!</v>
      </c>
      <c r="AI673" s="1048" t="e">
        <f>IF($F273="","",$F273*chronic_consumption!AD673/1000/$C$3)</f>
        <v>#DIV/0!</v>
      </c>
      <c r="AJ673" s="1048" t="e">
        <f>IF($F273="","",$F273*chronic_consumption!AE673/1000/$C$3)</f>
        <v>#DIV/0!</v>
      </c>
      <c r="AK673" s="1048" t="e">
        <f>IF($F273="","",$F273*chronic_consumption!AF673/1000/$C$3)</f>
        <v>#DIV/0!</v>
      </c>
      <c r="AL673" s="1048" t="e">
        <f>IF($F273="","",$F273*chronic_consumption!AG673/1000/$C$3)</f>
        <v>#DIV/0!</v>
      </c>
      <c r="AM673" s="1048" t="e">
        <f>IF($F273="","",$F273*chronic_consumption!AH673/1000/$C$3)</f>
        <v>#DIV/0!</v>
      </c>
      <c r="AN673" s="1048" t="e">
        <f>IF($F273="","",$F273*chronic_consumption!AI673/1000/$C$3)</f>
        <v>#DIV/0!</v>
      </c>
      <c r="AO673" s="1048" t="e">
        <f>IF($F273="","",$F273*chronic_consumption!AJ673/1000/$C$3)</f>
        <v>#DIV/0!</v>
      </c>
      <c r="AP673" s="1048" t="e">
        <f>IF($F273="","",$F273*chronic_consumption!AK673/1000/$C$3)</f>
        <v>#DIV/0!</v>
      </c>
      <c r="AQ673" s="1048" t="e">
        <f>IF($F273="","",$F273*chronic_consumption!AL673/1000/$C$3)</f>
        <v>#DIV/0!</v>
      </c>
      <c r="AR673" s="1048" t="e">
        <f>IF($F273="","",$F273*chronic_consumption!AM673/1000/$C$3)</f>
        <v>#DIV/0!</v>
      </c>
      <c r="AS673" s="1048" t="e">
        <f>IF($F273="","",$F273*chronic_consumption!AN673/1000/$C$3)</f>
        <v>#DIV/0!</v>
      </c>
      <c r="AT673" s="1048" t="e">
        <f>IF($F273="","",$F273*chronic_consumption!AO673/1000/$C$3)</f>
        <v>#DIV/0!</v>
      </c>
      <c r="AU673" s="1048" t="e">
        <f>IF($F273="","",$F273*chronic_consumption!AP673/1000/$C$3)</f>
        <v>#DIV/0!</v>
      </c>
      <c r="AV673" s="1048" t="e">
        <f>IF($F273="","",$F273*chronic_consumption!AQ673/1000/$C$3)</f>
        <v>#DIV/0!</v>
      </c>
      <c r="AW673" s="1048" t="e">
        <f>IF($F273="","",$F273*chronic_consumption!AR673/1000/$C$3)</f>
        <v>#DIV/0!</v>
      </c>
      <c r="AX673" s="1048" t="e">
        <f>IF($F273="","",$F273*chronic_consumption!AS673/1000/$C$3)</f>
        <v>#DIV/0!</v>
      </c>
      <c r="AY673" s="1048" t="e">
        <f>IF($F273="","",$F273*chronic_consumption!AT673/1000/$C$3)</f>
        <v>#DIV/0!</v>
      </c>
      <c r="AZ673" s="44" t="s">
        <v>20</v>
      </c>
      <c r="BC673" s="29"/>
      <c r="BD673" s="29"/>
    </row>
    <row r="674" spans="1:56" ht="12" hidden="1" customHeight="1" outlineLevel="1" x14ac:dyDescent="0.2">
      <c r="A674" s="1033">
        <f>acute_overview_children!A274</f>
        <v>2</v>
      </c>
      <c r="B674" s="1034">
        <f t="shared" si="49"/>
        <v>640000</v>
      </c>
      <c r="C674" s="1034" t="str">
        <f t="shared" si="49"/>
        <v>Cocoa beans</v>
      </c>
      <c r="D674" s="1035"/>
      <c r="E674" s="1027"/>
      <c r="F674" s="87"/>
      <c r="G674" s="1027"/>
      <c r="H674" s="1029"/>
      <c r="I674" s="1030"/>
      <c r="J674" s="1037" t="e">
        <f>IF($F274="","",$F274*chronic_consumption!E674/1000/$C$3)</f>
        <v>#DIV/0!</v>
      </c>
      <c r="K674" s="1038" t="e">
        <f>IF($F274="","",$F274*chronic_consumption!F674/1000/$C$3)</f>
        <v>#DIV/0!</v>
      </c>
      <c r="L674" s="1038" t="e">
        <f>IF($F274="","",$F274*chronic_consumption!G674/1000/$C$3)</f>
        <v>#DIV/0!</v>
      </c>
      <c r="M674" s="1038" t="e">
        <f>IF($F274="","",$F274*chronic_consumption!H674/1000/$C$3)</f>
        <v>#DIV/0!</v>
      </c>
      <c r="N674" s="1038" t="e">
        <f>IF($F274="","",$F274*chronic_consumption!I674/1000/$C$3)</f>
        <v>#DIV/0!</v>
      </c>
      <c r="O674" s="1038" t="e">
        <f>IF($F274="","",$F274*chronic_consumption!J674/1000/$C$3)</f>
        <v>#DIV/0!</v>
      </c>
      <c r="P674" s="1038" t="e">
        <f>IF($F274="","",$F274*chronic_consumption!K674/1000/$C$3)</f>
        <v>#DIV/0!</v>
      </c>
      <c r="Q674" s="1038" t="e">
        <f>IF($F274="","",$F274*chronic_consumption!L674/1000/$C$3)</f>
        <v>#DIV/0!</v>
      </c>
      <c r="R674" s="1038" t="e">
        <f>IF($F274="","",$F274*chronic_consumption!M674/1000/$C$3)</f>
        <v>#DIV/0!</v>
      </c>
      <c r="S674" s="1038" t="e">
        <f>IF($F274="","",$F274*chronic_consumption!N674/1000/$C$3)</f>
        <v>#DIV/0!</v>
      </c>
      <c r="T674" s="1038" t="e">
        <f>IF($F274="","",$F274*chronic_consumption!O674/1000/$C$3)</f>
        <v>#DIV/0!</v>
      </c>
      <c r="U674" s="1038" t="e">
        <f>IF($F274="","",$F274*chronic_consumption!P674/1000/$C$3)</f>
        <v>#DIV/0!</v>
      </c>
      <c r="V674" s="1038" t="e">
        <f>IF($F274="","",$F274*chronic_consumption!Q674/1000/$C$3)</f>
        <v>#DIV/0!</v>
      </c>
      <c r="W674" s="1038" t="e">
        <f>IF($F274="","",$F274*chronic_consumption!R674/1000/$C$3)</f>
        <v>#DIV/0!</v>
      </c>
      <c r="X674" s="1038" t="e">
        <f>IF($F274="","",$F274*chronic_consumption!S674/1000/$C$3)</f>
        <v>#DIV/0!</v>
      </c>
      <c r="Y674" s="1038" t="e">
        <f>IF($F274="","",$F274*chronic_consumption!T674/1000/$C$3)</f>
        <v>#DIV/0!</v>
      </c>
      <c r="Z674" s="1038" t="e">
        <f>IF($F274="","",$F274*chronic_consumption!U674/1000/$C$3)</f>
        <v>#DIV/0!</v>
      </c>
      <c r="AA674" s="1038" t="e">
        <f>IF($F274="","",$F274*chronic_consumption!V674/1000/$C$3)</f>
        <v>#DIV/0!</v>
      </c>
      <c r="AB674" s="1038" t="e">
        <f>IF($F274="","",$F274*chronic_consumption!W674/1000/$C$3)</f>
        <v>#DIV/0!</v>
      </c>
      <c r="AC674" s="1038" t="e">
        <f>IF($F274="","",$F274*chronic_consumption!X674/1000/$C$3)</f>
        <v>#DIV/0!</v>
      </c>
      <c r="AD674" s="1038" t="e">
        <f>IF($F274="","",$F274*chronic_consumption!Y674/1000/$C$3)</f>
        <v>#DIV/0!</v>
      </c>
      <c r="AE674" s="1038" t="e">
        <f>IF($F274="","",$F274*chronic_consumption!Z674/1000/$C$3)</f>
        <v>#DIV/0!</v>
      </c>
      <c r="AF674" s="1038" t="e">
        <f>IF($F274="","",$F274*chronic_consumption!AA674/1000/$C$3)</f>
        <v>#DIV/0!</v>
      </c>
      <c r="AG674" s="1038" t="e">
        <f>IF($F274="","",$F274*chronic_consumption!AB674/1000/$C$3)</f>
        <v>#DIV/0!</v>
      </c>
      <c r="AH674" s="1038" t="e">
        <f>IF($F274="","",$F274*chronic_consumption!AC674/1000/$C$3)</f>
        <v>#DIV/0!</v>
      </c>
      <c r="AI674" s="1038" t="e">
        <f>IF($F274="","",$F274*chronic_consumption!AD674/1000/$C$3)</f>
        <v>#DIV/0!</v>
      </c>
      <c r="AJ674" s="1038" t="e">
        <f>IF($F274="","",$F274*chronic_consumption!AE674/1000/$C$3)</f>
        <v>#DIV/0!</v>
      </c>
      <c r="AK674" s="1038" t="e">
        <f>IF($F274="","",$F274*chronic_consumption!AF674/1000/$C$3)</f>
        <v>#DIV/0!</v>
      </c>
      <c r="AL674" s="1038" t="e">
        <f>IF($F274="","",$F274*chronic_consumption!AG674/1000/$C$3)</f>
        <v>#DIV/0!</v>
      </c>
      <c r="AM674" s="1038" t="e">
        <f>IF($F274="","",$F274*chronic_consumption!AH674/1000/$C$3)</f>
        <v>#DIV/0!</v>
      </c>
      <c r="AN674" s="1038" t="e">
        <f>IF($F274="","",$F274*chronic_consumption!AI674/1000/$C$3)</f>
        <v>#DIV/0!</v>
      </c>
      <c r="AO674" s="1038" t="e">
        <f>IF($F274="","",$F274*chronic_consumption!AJ674/1000/$C$3)</f>
        <v>#DIV/0!</v>
      </c>
      <c r="AP674" s="1038" t="e">
        <f>IF($F274="","",$F274*chronic_consumption!AK674/1000/$C$3)</f>
        <v>#DIV/0!</v>
      </c>
      <c r="AQ674" s="1038" t="e">
        <f>IF($F274="","",$F274*chronic_consumption!AL674/1000/$C$3)</f>
        <v>#DIV/0!</v>
      </c>
      <c r="AR674" s="1038" t="e">
        <f>IF($F274="","",$F274*chronic_consumption!AM674/1000/$C$3)</f>
        <v>#DIV/0!</v>
      </c>
      <c r="AS674" s="1038" t="e">
        <f>IF($F274="","",$F274*chronic_consumption!AN674/1000/$C$3)</f>
        <v>#DIV/0!</v>
      </c>
      <c r="AT674" s="1038" t="e">
        <f>IF($F274="","",$F274*chronic_consumption!AO674/1000/$C$3)</f>
        <v>#DIV/0!</v>
      </c>
      <c r="AU674" s="1038" t="e">
        <f>IF($F274="","",$F274*chronic_consumption!AP674/1000/$C$3)</f>
        <v>#DIV/0!</v>
      </c>
      <c r="AV674" s="1038" t="e">
        <f>IF($F274="","",$F274*chronic_consumption!AQ674/1000/$C$3)</f>
        <v>#DIV/0!</v>
      </c>
      <c r="AW674" s="1038" t="e">
        <f>IF($F274="","",$F274*chronic_consumption!AR674/1000/$C$3)</f>
        <v>#DIV/0!</v>
      </c>
      <c r="AX674" s="1038" t="e">
        <f>IF($F274="","",$F274*chronic_consumption!AS674/1000/$C$3)</f>
        <v>#DIV/0!</v>
      </c>
      <c r="AY674" s="1038" t="e">
        <f>IF($F274="","",$F274*chronic_consumption!AT674/1000/$C$3)</f>
        <v>#DIV/0!</v>
      </c>
      <c r="AZ674" s="44" t="s">
        <v>20</v>
      </c>
      <c r="BC674" s="29"/>
      <c r="BD674" s="29"/>
    </row>
    <row r="675" spans="1:56" ht="12" hidden="1" customHeight="1" outlineLevel="1" x14ac:dyDescent="0.2">
      <c r="A675" s="1033">
        <f>acute_overview_children!A275</f>
        <v>2</v>
      </c>
      <c r="B675" s="1034">
        <f t="shared" si="49"/>
        <v>650000</v>
      </c>
      <c r="C675" s="1034" t="str">
        <f t="shared" si="49"/>
        <v>Carobs/Staint John's bread</v>
      </c>
      <c r="D675" s="1035"/>
      <c r="E675" s="1027"/>
      <c r="F675" s="87"/>
      <c r="G675" s="1027"/>
      <c r="H675" s="1029"/>
      <c r="I675" s="1030"/>
      <c r="J675" s="1037" t="e">
        <f>IF($F275="","",$F275*chronic_consumption!E675/1000/$C$3)</f>
        <v>#DIV/0!</v>
      </c>
      <c r="K675" s="1038" t="e">
        <f>IF($F275="","",$F275*chronic_consumption!F675/1000/$C$3)</f>
        <v>#DIV/0!</v>
      </c>
      <c r="L675" s="1038" t="e">
        <f>IF($F275="","",$F275*chronic_consumption!G675/1000/$C$3)</f>
        <v>#DIV/0!</v>
      </c>
      <c r="M675" s="1038" t="e">
        <f>IF($F275="","",$F275*chronic_consumption!H675/1000/$C$3)</f>
        <v>#DIV/0!</v>
      </c>
      <c r="N675" s="1038" t="e">
        <f>IF($F275="","",$F275*chronic_consumption!I675/1000/$C$3)</f>
        <v>#DIV/0!</v>
      </c>
      <c r="O675" s="1038" t="e">
        <f>IF($F275="","",$F275*chronic_consumption!J675/1000/$C$3)</f>
        <v>#DIV/0!</v>
      </c>
      <c r="P675" s="1038" t="e">
        <f>IF($F275="","",$F275*chronic_consumption!K675/1000/$C$3)</f>
        <v>#DIV/0!</v>
      </c>
      <c r="Q675" s="1038" t="e">
        <f>IF($F275="","",$F275*chronic_consumption!L675/1000/$C$3)</f>
        <v>#DIV/0!</v>
      </c>
      <c r="R675" s="1038" t="e">
        <f>IF($F275="","",$F275*chronic_consumption!M675/1000/$C$3)</f>
        <v>#DIV/0!</v>
      </c>
      <c r="S675" s="1038" t="e">
        <f>IF($F275="","",$F275*chronic_consumption!N675/1000/$C$3)</f>
        <v>#DIV/0!</v>
      </c>
      <c r="T675" s="1038" t="e">
        <f>IF($F275="","",$F275*chronic_consumption!O675/1000/$C$3)</f>
        <v>#DIV/0!</v>
      </c>
      <c r="U675" s="1038" t="e">
        <f>IF($F275="","",$F275*chronic_consumption!P675/1000/$C$3)</f>
        <v>#DIV/0!</v>
      </c>
      <c r="V675" s="1038" t="e">
        <f>IF($F275="","",$F275*chronic_consumption!Q675/1000/$C$3)</f>
        <v>#DIV/0!</v>
      </c>
      <c r="W675" s="1038" t="e">
        <f>IF($F275="","",$F275*chronic_consumption!R675/1000/$C$3)</f>
        <v>#DIV/0!</v>
      </c>
      <c r="X675" s="1038" t="e">
        <f>IF($F275="","",$F275*chronic_consumption!S675/1000/$C$3)</f>
        <v>#DIV/0!</v>
      </c>
      <c r="Y675" s="1038" t="e">
        <f>IF($F275="","",$F275*chronic_consumption!T675/1000/$C$3)</f>
        <v>#DIV/0!</v>
      </c>
      <c r="Z675" s="1038" t="e">
        <f>IF($F275="","",$F275*chronic_consumption!U675/1000/$C$3)</f>
        <v>#DIV/0!</v>
      </c>
      <c r="AA675" s="1038" t="e">
        <f>IF($F275="","",$F275*chronic_consumption!V675/1000/$C$3)</f>
        <v>#DIV/0!</v>
      </c>
      <c r="AB675" s="1038" t="e">
        <f>IF($F275="","",$F275*chronic_consumption!W675/1000/$C$3)</f>
        <v>#DIV/0!</v>
      </c>
      <c r="AC675" s="1038" t="e">
        <f>IF($F275="","",$F275*chronic_consumption!X675/1000/$C$3)</f>
        <v>#DIV/0!</v>
      </c>
      <c r="AD675" s="1038" t="e">
        <f>IF($F275="","",$F275*chronic_consumption!Y675/1000/$C$3)</f>
        <v>#DIV/0!</v>
      </c>
      <c r="AE675" s="1038" t="e">
        <f>IF($F275="","",$F275*chronic_consumption!Z675/1000/$C$3)</f>
        <v>#DIV/0!</v>
      </c>
      <c r="AF675" s="1038" t="e">
        <f>IF($F275="","",$F275*chronic_consumption!AA675/1000/$C$3)</f>
        <v>#DIV/0!</v>
      </c>
      <c r="AG675" s="1038" t="e">
        <f>IF($F275="","",$F275*chronic_consumption!AB675/1000/$C$3)</f>
        <v>#DIV/0!</v>
      </c>
      <c r="AH675" s="1038" t="e">
        <f>IF($F275="","",$F275*chronic_consumption!AC675/1000/$C$3)</f>
        <v>#DIV/0!</v>
      </c>
      <c r="AI675" s="1038" t="e">
        <f>IF($F275="","",$F275*chronic_consumption!AD675/1000/$C$3)</f>
        <v>#DIV/0!</v>
      </c>
      <c r="AJ675" s="1038" t="e">
        <f>IF($F275="","",$F275*chronic_consumption!AE675/1000/$C$3)</f>
        <v>#DIV/0!</v>
      </c>
      <c r="AK675" s="1038" t="e">
        <f>IF($F275="","",$F275*chronic_consumption!AF675/1000/$C$3)</f>
        <v>#DIV/0!</v>
      </c>
      <c r="AL675" s="1038" t="e">
        <f>IF($F275="","",$F275*chronic_consumption!AG675/1000/$C$3)</f>
        <v>#DIV/0!</v>
      </c>
      <c r="AM675" s="1038" t="e">
        <f>IF($F275="","",$F275*chronic_consumption!AH675/1000/$C$3)</f>
        <v>#DIV/0!</v>
      </c>
      <c r="AN675" s="1038" t="e">
        <f>IF($F275="","",$F275*chronic_consumption!AI675/1000/$C$3)</f>
        <v>#DIV/0!</v>
      </c>
      <c r="AO675" s="1038" t="e">
        <f>IF($F275="","",$F275*chronic_consumption!AJ675/1000/$C$3)</f>
        <v>#DIV/0!</v>
      </c>
      <c r="AP675" s="1038" t="e">
        <f>IF($F275="","",$F275*chronic_consumption!AK675/1000/$C$3)</f>
        <v>#DIV/0!</v>
      </c>
      <c r="AQ675" s="1038" t="e">
        <f>IF($F275="","",$F275*chronic_consumption!AL675/1000/$C$3)</f>
        <v>#DIV/0!</v>
      </c>
      <c r="AR675" s="1038" t="e">
        <f>IF($F275="","",$F275*chronic_consumption!AM675/1000/$C$3)</f>
        <v>#DIV/0!</v>
      </c>
      <c r="AS675" s="1038" t="e">
        <f>IF($F275="","",$F275*chronic_consumption!AN675/1000/$C$3)</f>
        <v>#DIV/0!</v>
      </c>
      <c r="AT675" s="1038" t="e">
        <f>IF($F275="","",$F275*chronic_consumption!AO675/1000/$C$3)</f>
        <v>#DIV/0!</v>
      </c>
      <c r="AU675" s="1038" t="e">
        <f>IF($F275="","",$F275*chronic_consumption!AP675/1000/$C$3)</f>
        <v>#DIV/0!</v>
      </c>
      <c r="AV675" s="1038" t="e">
        <f>IF($F275="","",$F275*chronic_consumption!AQ675/1000/$C$3)</f>
        <v>#DIV/0!</v>
      </c>
      <c r="AW675" s="1038" t="e">
        <f>IF($F275="","",$F275*chronic_consumption!AR675/1000/$C$3)</f>
        <v>#DIV/0!</v>
      </c>
      <c r="AX675" s="1038" t="e">
        <f>IF($F275="","",$F275*chronic_consumption!AS675/1000/$C$3)</f>
        <v>#DIV/0!</v>
      </c>
      <c r="AY675" s="1038" t="e">
        <f>IF($F275="","",$F275*chronic_consumption!AT675/1000/$C$3)</f>
        <v>#DIV/0!</v>
      </c>
      <c r="AZ675" s="44" t="s">
        <v>20</v>
      </c>
      <c r="BC675" s="29"/>
      <c r="BD675" s="29"/>
    </row>
    <row r="676" spans="1:56" ht="12" customHeight="1" x14ac:dyDescent="0.2">
      <c r="A676" s="1">
        <f>acute_overview_children!A276</f>
        <v>1</v>
      </c>
      <c r="B676" s="1026">
        <f t="shared" si="49"/>
        <v>700000</v>
      </c>
      <c r="C676" s="1026" t="str">
        <f t="shared" si="49"/>
        <v xml:space="preserve"> HOPS (dried)</v>
      </c>
      <c r="D676" s="135"/>
      <c r="E676" s="1027"/>
      <c r="F676" s="87"/>
      <c r="G676" s="1027"/>
      <c r="H676" s="1029"/>
      <c r="I676" s="1030"/>
      <c r="J676" s="1031" t="e">
        <f>IF($F276="","",$F276*chronic_consumption!E676/1000/$C$3)</f>
        <v>#DIV/0!</v>
      </c>
      <c r="K676" s="1032" t="e">
        <f>IF($F276="","",$F276*chronic_consumption!F676/1000/$C$3)</f>
        <v>#DIV/0!</v>
      </c>
      <c r="L676" s="1032" t="e">
        <f>IF($F276="","",$F276*chronic_consumption!G676/1000/$C$3)</f>
        <v>#DIV/0!</v>
      </c>
      <c r="M676" s="1032" t="e">
        <f>IF($F276="","",$F276*chronic_consumption!H676/1000/$C$3)</f>
        <v>#DIV/0!</v>
      </c>
      <c r="N676" s="1032" t="e">
        <f>IF($F276="","",$F276*chronic_consumption!I676/1000/$C$3)</f>
        <v>#DIV/0!</v>
      </c>
      <c r="O676" s="1032" t="e">
        <f>IF($F276="","",$F276*chronic_consumption!J676/1000/$C$3)</f>
        <v>#DIV/0!</v>
      </c>
      <c r="P676" s="1032" t="e">
        <f>IF($F276="","",$F276*chronic_consumption!K676/1000/$C$3)</f>
        <v>#DIV/0!</v>
      </c>
      <c r="Q676" s="1032" t="e">
        <f>IF($F276="","",$F276*chronic_consumption!L676/1000/$C$3)</f>
        <v>#DIV/0!</v>
      </c>
      <c r="R676" s="1032" t="e">
        <f>IF($F276="","",$F276*chronic_consumption!M676/1000/$C$3)</f>
        <v>#DIV/0!</v>
      </c>
      <c r="S676" s="1032" t="e">
        <f>IF($F276="","",$F276*chronic_consumption!N676/1000/$C$3)</f>
        <v>#DIV/0!</v>
      </c>
      <c r="T676" s="1032" t="e">
        <f>IF($F276="","",$F276*chronic_consumption!O676/1000/$C$3)</f>
        <v>#DIV/0!</v>
      </c>
      <c r="U676" s="1032" t="e">
        <f>IF($F276="","",$F276*chronic_consumption!P676/1000/$C$3)</f>
        <v>#DIV/0!</v>
      </c>
      <c r="V676" s="1032" t="e">
        <f>IF($F276="","",$F276*chronic_consumption!Q676/1000/$C$3)</f>
        <v>#DIV/0!</v>
      </c>
      <c r="W676" s="1032" t="e">
        <f>IF($F276="","",$F276*chronic_consumption!R676/1000/$C$3)</f>
        <v>#DIV/0!</v>
      </c>
      <c r="X676" s="1032" t="e">
        <f>IF($F276="","",$F276*chronic_consumption!S676/1000/$C$3)</f>
        <v>#DIV/0!</v>
      </c>
      <c r="Y676" s="1032" t="e">
        <f>IF($F276="","",$F276*chronic_consumption!T676/1000/$C$3)</f>
        <v>#DIV/0!</v>
      </c>
      <c r="Z676" s="1032" t="e">
        <f>IF($F276="","",$F276*chronic_consumption!U676/1000/$C$3)</f>
        <v>#DIV/0!</v>
      </c>
      <c r="AA676" s="1032" t="e">
        <f>IF($F276="","",$F276*chronic_consumption!V676/1000/$C$3)</f>
        <v>#DIV/0!</v>
      </c>
      <c r="AB676" s="1032" t="e">
        <f>IF($F276="","",$F276*chronic_consumption!W676/1000/$C$3)</f>
        <v>#DIV/0!</v>
      </c>
      <c r="AC676" s="1032" t="e">
        <f>IF($F276="","",$F276*chronic_consumption!X676/1000/$C$3)</f>
        <v>#DIV/0!</v>
      </c>
      <c r="AD676" s="1032" t="e">
        <f>IF($F276="","",$F276*chronic_consumption!Y676/1000/$C$3)</f>
        <v>#DIV/0!</v>
      </c>
      <c r="AE676" s="1032" t="e">
        <f>IF($F276="","",$F276*chronic_consumption!Z676/1000/$C$3)</f>
        <v>#DIV/0!</v>
      </c>
      <c r="AF676" s="1032" t="e">
        <f>IF($F276="","",$F276*chronic_consumption!AA676/1000/$C$3)</f>
        <v>#DIV/0!</v>
      </c>
      <c r="AG676" s="1032" t="e">
        <f>IF($F276="","",$F276*chronic_consumption!AB676/1000/$C$3)</f>
        <v>#DIV/0!</v>
      </c>
      <c r="AH676" s="1032" t="e">
        <f>IF($F276="","",$F276*chronic_consumption!AC676/1000/$C$3)</f>
        <v>#DIV/0!</v>
      </c>
      <c r="AI676" s="1032" t="e">
        <f>IF($F276="","",$F276*chronic_consumption!AD676/1000/$C$3)</f>
        <v>#DIV/0!</v>
      </c>
      <c r="AJ676" s="1032" t="e">
        <f>IF($F276="","",$F276*chronic_consumption!AE676/1000/$C$3)</f>
        <v>#DIV/0!</v>
      </c>
      <c r="AK676" s="1032" t="e">
        <f>IF($F276="","",$F276*chronic_consumption!AF676/1000/$C$3)</f>
        <v>#DIV/0!</v>
      </c>
      <c r="AL676" s="1032" t="e">
        <f>IF($F276="","",$F276*chronic_consumption!AG676/1000/$C$3)</f>
        <v>#DIV/0!</v>
      </c>
      <c r="AM676" s="1032" t="e">
        <f>IF($F276="","",$F276*chronic_consumption!AH676/1000/$C$3)</f>
        <v>#DIV/0!</v>
      </c>
      <c r="AN676" s="1032" t="e">
        <f>IF($F276="","",$F276*chronic_consumption!AI676/1000/$C$3)</f>
        <v>#DIV/0!</v>
      </c>
      <c r="AO676" s="1032" t="e">
        <f>IF($F276="","",$F276*chronic_consumption!AJ676/1000/$C$3)</f>
        <v>#DIV/0!</v>
      </c>
      <c r="AP676" s="1032" t="e">
        <f>IF($F276="","",$F276*chronic_consumption!AK676/1000/$C$3)</f>
        <v>#DIV/0!</v>
      </c>
      <c r="AQ676" s="1032" t="e">
        <f>IF($F276="","",$F276*chronic_consumption!AL676/1000/$C$3)</f>
        <v>#DIV/0!</v>
      </c>
      <c r="AR676" s="1032" t="e">
        <f>IF($F276="","",$F276*chronic_consumption!AM676/1000/$C$3)</f>
        <v>#DIV/0!</v>
      </c>
      <c r="AS676" s="1032" t="e">
        <f>IF($F276="","",$F276*chronic_consumption!AN676/1000/$C$3)</f>
        <v>#DIV/0!</v>
      </c>
      <c r="AT676" s="1032" t="e">
        <f>IF($F276="","",$F276*chronic_consumption!AO676/1000/$C$3)</f>
        <v>#DIV/0!</v>
      </c>
      <c r="AU676" s="1032" t="e">
        <f>IF($F276="","",$F276*chronic_consumption!AP676/1000/$C$3)</f>
        <v>#DIV/0!</v>
      </c>
      <c r="AV676" s="1032" t="e">
        <f>IF($F276="","",$F276*chronic_consumption!AQ676/1000/$C$3)</f>
        <v>#DIV/0!</v>
      </c>
      <c r="AW676" s="1032" t="e">
        <f>IF($F276="","",$F276*chronic_consumption!AR676/1000/$C$3)</f>
        <v>#DIV/0!</v>
      </c>
      <c r="AX676" s="1032" t="e">
        <f>IF($F276="","",$F276*chronic_consumption!AS676/1000/$C$3)</f>
        <v>#DIV/0!</v>
      </c>
      <c r="AY676" s="1032" t="e">
        <f>IF($F276="","",$F276*chronic_consumption!AT676/1000/$C$3)</f>
        <v>#DIV/0!</v>
      </c>
      <c r="AZ676" s="44" t="s">
        <v>20</v>
      </c>
      <c r="BC676" s="29"/>
      <c r="BD676" s="29"/>
    </row>
    <row r="677" spans="1:56" ht="12" customHeight="1" collapsed="1" x14ac:dyDescent="0.2">
      <c r="A677" s="1">
        <f>acute_overview_children!A277</f>
        <v>1</v>
      </c>
      <c r="B677" s="1026">
        <f t="shared" si="49"/>
        <v>800000</v>
      </c>
      <c r="C677" s="1026" t="str">
        <f t="shared" si="49"/>
        <v>SPICES</v>
      </c>
      <c r="D677" s="135"/>
      <c r="E677" s="1027"/>
      <c r="F677" s="87"/>
      <c r="G677" s="1027"/>
      <c r="H677" s="1029"/>
      <c r="I677" s="1030"/>
      <c r="J677" s="1031" t="e">
        <f>IF($F277="","",$F277*chronic_consumption!E677/1000/$C$3)</f>
        <v>#DIV/0!</v>
      </c>
      <c r="K677" s="1032" t="e">
        <f>IF($F277="","",$F277*chronic_consumption!F677/1000/$C$3)</f>
        <v>#DIV/0!</v>
      </c>
      <c r="L677" s="1032" t="e">
        <f>IF($F277="","",$F277*chronic_consumption!G677/1000/$C$3)</f>
        <v>#DIV/0!</v>
      </c>
      <c r="M677" s="1032" t="e">
        <f>IF($F277="","",$F277*chronic_consumption!H677/1000/$C$3)</f>
        <v>#DIV/0!</v>
      </c>
      <c r="N677" s="1032" t="e">
        <f>IF($F277="","",$F277*chronic_consumption!I677/1000/$C$3)</f>
        <v>#DIV/0!</v>
      </c>
      <c r="O677" s="1032" t="e">
        <f>IF($F277="","",$F277*chronic_consumption!J677/1000/$C$3)</f>
        <v>#DIV/0!</v>
      </c>
      <c r="P677" s="1032" t="e">
        <f>IF($F277="","",$F277*chronic_consumption!K677/1000/$C$3)</f>
        <v>#DIV/0!</v>
      </c>
      <c r="Q677" s="1032" t="e">
        <f>IF($F277="","",$F277*chronic_consumption!L677/1000/$C$3)</f>
        <v>#DIV/0!</v>
      </c>
      <c r="R677" s="1032" t="e">
        <f>IF($F277="","",$F277*chronic_consumption!M677/1000/$C$3)</f>
        <v>#DIV/0!</v>
      </c>
      <c r="S677" s="1032" t="e">
        <f>IF($F277="","",$F277*chronic_consumption!N677/1000/$C$3)</f>
        <v>#DIV/0!</v>
      </c>
      <c r="T677" s="1032" t="e">
        <f>IF($F277="","",$F277*chronic_consumption!O677/1000/$C$3)</f>
        <v>#DIV/0!</v>
      </c>
      <c r="U677" s="1032" t="e">
        <f>IF($F277="","",$F277*chronic_consumption!P677/1000/$C$3)</f>
        <v>#DIV/0!</v>
      </c>
      <c r="V677" s="1032" t="e">
        <f>IF($F277="","",$F277*chronic_consumption!Q677/1000/$C$3)</f>
        <v>#DIV/0!</v>
      </c>
      <c r="W677" s="1032" t="e">
        <f>IF($F277="","",$F277*chronic_consumption!R677/1000/$C$3)</f>
        <v>#DIV/0!</v>
      </c>
      <c r="X677" s="1032" t="e">
        <f>IF($F277="","",$F277*chronic_consumption!S677/1000/$C$3)</f>
        <v>#DIV/0!</v>
      </c>
      <c r="Y677" s="1032" t="e">
        <f>IF($F277="","",$F277*chronic_consumption!T677/1000/$C$3)</f>
        <v>#DIV/0!</v>
      </c>
      <c r="Z677" s="1032" t="e">
        <f>IF($F277="","",$F277*chronic_consumption!U677/1000/$C$3)</f>
        <v>#DIV/0!</v>
      </c>
      <c r="AA677" s="1032" t="e">
        <f>IF($F277="","",$F277*chronic_consumption!V677/1000/$C$3)</f>
        <v>#DIV/0!</v>
      </c>
      <c r="AB677" s="1032" t="e">
        <f>IF($F277="","",$F277*chronic_consumption!W677/1000/$C$3)</f>
        <v>#DIV/0!</v>
      </c>
      <c r="AC677" s="1032" t="e">
        <f>IF($F277="","",$F277*chronic_consumption!X677/1000/$C$3)</f>
        <v>#DIV/0!</v>
      </c>
      <c r="AD677" s="1032" t="e">
        <f>IF($F277="","",$F277*chronic_consumption!Y677/1000/$C$3)</f>
        <v>#DIV/0!</v>
      </c>
      <c r="AE677" s="1032" t="e">
        <f>IF($F277="","",$F277*chronic_consumption!Z677/1000/$C$3)</f>
        <v>#DIV/0!</v>
      </c>
      <c r="AF677" s="1032" t="e">
        <f>IF($F277="","",$F277*chronic_consumption!AA677/1000/$C$3)</f>
        <v>#DIV/0!</v>
      </c>
      <c r="AG677" s="1032" t="e">
        <f>IF($F277="","",$F277*chronic_consumption!AB677/1000/$C$3)</f>
        <v>#DIV/0!</v>
      </c>
      <c r="AH677" s="1032" t="e">
        <f>IF($F277="","",$F277*chronic_consumption!AC677/1000/$C$3)</f>
        <v>#DIV/0!</v>
      </c>
      <c r="AI677" s="1032" t="e">
        <f>IF($F277="","",$F277*chronic_consumption!AD677/1000/$C$3)</f>
        <v>#DIV/0!</v>
      </c>
      <c r="AJ677" s="1032" t="e">
        <f>IF($F277="","",$F277*chronic_consumption!AE677/1000/$C$3)</f>
        <v>#DIV/0!</v>
      </c>
      <c r="AK677" s="1032" t="e">
        <f>IF($F277="","",$F277*chronic_consumption!AF677/1000/$C$3)</f>
        <v>#DIV/0!</v>
      </c>
      <c r="AL677" s="1032" t="e">
        <f>IF($F277="","",$F277*chronic_consumption!AG677/1000/$C$3)</f>
        <v>#DIV/0!</v>
      </c>
      <c r="AM677" s="1032" t="e">
        <f>IF($F277="","",$F277*chronic_consumption!AH677/1000/$C$3)</f>
        <v>#DIV/0!</v>
      </c>
      <c r="AN677" s="1032" t="e">
        <f>IF($F277="","",$F277*chronic_consumption!AI677/1000/$C$3)</f>
        <v>#DIV/0!</v>
      </c>
      <c r="AO677" s="1032" t="e">
        <f>IF($F277="","",$F277*chronic_consumption!AJ677/1000/$C$3)</f>
        <v>#DIV/0!</v>
      </c>
      <c r="AP677" s="1032" t="e">
        <f>IF($F277="","",$F277*chronic_consumption!AK677/1000/$C$3)</f>
        <v>#DIV/0!</v>
      </c>
      <c r="AQ677" s="1032" t="e">
        <f>IF($F277="","",$F277*chronic_consumption!AL677/1000/$C$3)</f>
        <v>#DIV/0!</v>
      </c>
      <c r="AR677" s="1032" t="e">
        <f>IF($F277="","",$F277*chronic_consumption!AM677/1000/$C$3)</f>
        <v>#DIV/0!</v>
      </c>
      <c r="AS677" s="1032" t="e">
        <f>IF($F277="","",$F277*chronic_consumption!AN677/1000/$C$3)</f>
        <v>#DIV/0!</v>
      </c>
      <c r="AT677" s="1032" t="e">
        <f>IF($F277="","",$F277*chronic_consumption!AO677/1000/$C$3)</f>
        <v>#DIV/0!</v>
      </c>
      <c r="AU677" s="1032" t="e">
        <f>IF($F277="","",$F277*chronic_consumption!AP677/1000/$C$3)</f>
        <v>#DIV/0!</v>
      </c>
      <c r="AV677" s="1032" t="e">
        <f>IF($F277="","",$F277*chronic_consumption!AQ677/1000/$C$3)</f>
        <v>#DIV/0!</v>
      </c>
      <c r="AW677" s="1032" t="e">
        <f>IF($F277="","",$F277*chronic_consumption!AR677/1000/$C$3)</f>
        <v>#DIV/0!</v>
      </c>
      <c r="AX677" s="1032" t="e">
        <f>IF($F277="","",$F277*chronic_consumption!AS677/1000/$C$3)</f>
        <v>#DIV/0!</v>
      </c>
      <c r="AY677" s="1032" t="e">
        <f>IF($F277="","",$F277*chronic_consumption!AT677/1000/$C$3)</f>
        <v>#DIV/0!</v>
      </c>
      <c r="AZ677" s="44" t="s">
        <v>20</v>
      </c>
      <c r="BC677" s="29"/>
      <c r="BD677" s="29"/>
    </row>
    <row r="678" spans="1:56" ht="12" hidden="1" customHeight="1" outlineLevel="1" x14ac:dyDescent="0.2">
      <c r="A678" s="1033">
        <f>acute_overview_children!A278</f>
        <v>2</v>
      </c>
      <c r="B678" s="1034">
        <f t="shared" si="49"/>
        <v>810000</v>
      </c>
      <c r="C678" s="1034" t="str">
        <f t="shared" si="49"/>
        <v>Spices (seeds)</v>
      </c>
      <c r="D678" s="1035"/>
      <c r="E678" s="1027"/>
      <c r="F678" s="87"/>
      <c r="G678" s="1027"/>
      <c r="H678" s="1029"/>
      <c r="I678" s="1030"/>
      <c r="J678" s="1037" t="e">
        <f>IF($F278="","",$F278*chronic_consumption!E678/1000/$C$3)</f>
        <v>#DIV/0!</v>
      </c>
      <c r="K678" s="1038" t="e">
        <f>IF($F278="","",$F278*chronic_consumption!F678/1000/$C$3)</f>
        <v>#DIV/0!</v>
      </c>
      <c r="L678" s="1038" t="e">
        <f>IF($F278="","",$F278*chronic_consumption!G678/1000/$C$3)</f>
        <v>#DIV/0!</v>
      </c>
      <c r="M678" s="1038" t="e">
        <f>IF($F278="","",$F278*chronic_consumption!H678/1000/$C$3)</f>
        <v>#DIV/0!</v>
      </c>
      <c r="N678" s="1038" t="e">
        <f>IF($F278="","",$F278*chronic_consumption!I678/1000/$C$3)</f>
        <v>#DIV/0!</v>
      </c>
      <c r="O678" s="1038" t="e">
        <f>IF($F278="","",$F278*chronic_consumption!J678/1000/$C$3)</f>
        <v>#DIV/0!</v>
      </c>
      <c r="P678" s="1038" t="e">
        <f>IF($F278="","",$F278*chronic_consumption!K678/1000/$C$3)</f>
        <v>#DIV/0!</v>
      </c>
      <c r="Q678" s="1038" t="e">
        <f>IF($F278="","",$F278*chronic_consumption!L678/1000/$C$3)</f>
        <v>#DIV/0!</v>
      </c>
      <c r="R678" s="1038" t="e">
        <f>IF($F278="","",$F278*chronic_consumption!M678/1000/$C$3)</f>
        <v>#DIV/0!</v>
      </c>
      <c r="S678" s="1038" t="e">
        <f>IF($F278="","",$F278*chronic_consumption!N678/1000/$C$3)</f>
        <v>#DIV/0!</v>
      </c>
      <c r="T678" s="1038" t="e">
        <f>IF($F278="","",$F278*chronic_consumption!O678/1000/$C$3)</f>
        <v>#DIV/0!</v>
      </c>
      <c r="U678" s="1038" t="e">
        <f>IF($F278="","",$F278*chronic_consumption!P678/1000/$C$3)</f>
        <v>#DIV/0!</v>
      </c>
      <c r="V678" s="1038" t="e">
        <f>IF($F278="","",$F278*chronic_consumption!Q678/1000/$C$3)</f>
        <v>#DIV/0!</v>
      </c>
      <c r="W678" s="1038" t="e">
        <f>IF($F278="","",$F278*chronic_consumption!R678/1000/$C$3)</f>
        <v>#DIV/0!</v>
      </c>
      <c r="X678" s="1038" t="e">
        <f>IF($F278="","",$F278*chronic_consumption!S678/1000/$C$3)</f>
        <v>#DIV/0!</v>
      </c>
      <c r="Y678" s="1038" t="e">
        <f>IF($F278="","",$F278*chronic_consumption!T678/1000/$C$3)</f>
        <v>#DIV/0!</v>
      </c>
      <c r="Z678" s="1038" t="e">
        <f>IF($F278="","",$F278*chronic_consumption!U678/1000/$C$3)</f>
        <v>#DIV/0!</v>
      </c>
      <c r="AA678" s="1038" t="e">
        <f>IF($F278="","",$F278*chronic_consumption!V678/1000/$C$3)</f>
        <v>#DIV/0!</v>
      </c>
      <c r="AB678" s="1038" t="e">
        <f>IF($F278="","",$F278*chronic_consumption!W678/1000/$C$3)</f>
        <v>#DIV/0!</v>
      </c>
      <c r="AC678" s="1038" t="e">
        <f>IF($F278="","",$F278*chronic_consumption!X678/1000/$C$3)</f>
        <v>#DIV/0!</v>
      </c>
      <c r="AD678" s="1038" t="e">
        <f>IF($F278="","",$F278*chronic_consumption!Y678/1000/$C$3)</f>
        <v>#DIV/0!</v>
      </c>
      <c r="AE678" s="1038" t="e">
        <f>IF($F278="","",$F278*chronic_consumption!Z678/1000/$C$3)</f>
        <v>#DIV/0!</v>
      </c>
      <c r="AF678" s="1038" t="e">
        <f>IF($F278="","",$F278*chronic_consumption!AA678/1000/$C$3)</f>
        <v>#DIV/0!</v>
      </c>
      <c r="AG678" s="1038" t="e">
        <f>IF($F278="","",$F278*chronic_consumption!AB678/1000/$C$3)</f>
        <v>#DIV/0!</v>
      </c>
      <c r="AH678" s="1038" t="e">
        <f>IF($F278="","",$F278*chronic_consumption!AC678/1000/$C$3)</f>
        <v>#DIV/0!</v>
      </c>
      <c r="AI678" s="1038" t="e">
        <f>IF($F278="","",$F278*chronic_consumption!AD678/1000/$C$3)</f>
        <v>#DIV/0!</v>
      </c>
      <c r="AJ678" s="1038" t="e">
        <f>IF($F278="","",$F278*chronic_consumption!AE678/1000/$C$3)</f>
        <v>#DIV/0!</v>
      </c>
      <c r="AK678" s="1038" t="e">
        <f>IF($F278="","",$F278*chronic_consumption!AF678/1000/$C$3)</f>
        <v>#DIV/0!</v>
      </c>
      <c r="AL678" s="1038" t="e">
        <f>IF($F278="","",$F278*chronic_consumption!AG678/1000/$C$3)</f>
        <v>#DIV/0!</v>
      </c>
      <c r="AM678" s="1038" t="e">
        <f>IF($F278="","",$F278*chronic_consumption!AH678/1000/$C$3)</f>
        <v>#DIV/0!</v>
      </c>
      <c r="AN678" s="1038" t="e">
        <f>IF($F278="","",$F278*chronic_consumption!AI678/1000/$C$3)</f>
        <v>#DIV/0!</v>
      </c>
      <c r="AO678" s="1038" t="e">
        <f>IF($F278="","",$F278*chronic_consumption!AJ678/1000/$C$3)</f>
        <v>#DIV/0!</v>
      </c>
      <c r="AP678" s="1038" t="e">
        <f>IF($F278="","",$F278*chronic_consumption!AK678/1000/$C$3)</f>
        <v>#DIV/0!</v>
      </c>
      <c r="AQ678" s="1038" t="e">
        <f>IF($F278="","",$F278*chronic_consumption!AL678/1000/$C$3)</f>
        <v>#DIV/0!</v>
      </c>
      <c r="AR678" s="1038" t="e">
        <f>IF($F278="","",$F278*chronic_consumption!AM678/1000/$C$3)</f>
        <v>#DIV/0!</v>
      </c>
      <c r="AS678" s="1038" t="e">
        <f>IF($F278="","",$F278*chronic_consumption!AN678/1000/$C$3)</f>
        <v>#DIV/0!</v>
      </c>
      <c r="AT678" s="1038" t="e">
        <f>IF($F278="","",$F278*chronic_consumption!AO678/1000/$C$3)</f>
        <v>#DIV/0!</v>
      </c>
      <c r="AU678" s="1038" t="e">
        <f>IF($F278="","",$F278*chronic_consumption!AP678/1000/$C$3)</f>
        <v>#DIV/0!</v>
      </c>
      <c r="AV678" s="1038" t="e">
        <f>IF($F278="","",$F278*chronic_consumption!AQ678/1000/$C$3)</f>
        <v>#DIV/0!</v>
      </c>
      <c r="AW678" s="1038" t="e">
        <f>IF($F278="","",$F278*chronic_consumption!AR678/1000/$C$3)</f>
        <v>#DIV/0!</v>
      </c>
      <c r="AX678" s="1038" t="e">
        <f>IF($F278="","",$F278*chronic_consumption!AS678/1000/$C$3)</f>
        <v>#DIV/0!</v>
      </c>
      <c r="AY678" s="1038" t="e">
        <f>IF($F278="","",$F278*chronic_consumption!AT678/1000/$C$3)</f>
        <v>#DIV/0!</v>
      </c>
      <c r="AZ678" s="44" t="s">
        <v>20</v>
      </c>
      <c r="BC678" s="29"/>
      <c r="BD678" s="29"/>
    </row>
    <row r="679" spans="1:56" ht="12" hidden="1" customHeight="1" outlineLevel="3" x14ac:dyDescent="0.2">
      <c r="A679" s="21">
        <f>acute_overview_children!A279</f>
        <v>4</v>
      </c>
      <c r="B679" s="325">
        <f t="shared" si="49"/>
        <v>810010</v>
      </c>
      <c r="C679" s="325" t="str">
        <f t="shared" si="49"/>
        <v>Anise/aniseed</v>
      </c>
      <c r="D679" s="135"/>
      <c r="E679" s="1027"/>
      <c r="F679" s="87"/>
      <c r="G679" s="1027"/>
      <c r="H679" s="1029"/>
      <c r="I679" s="1030"/>
      <c r="J679" s="1039" t="e">
        <f>IF($F279="","",$F279*chronic_consumption!E679/1000/$C$3)</f>
        <v>#DIV/0!</v>
      </c>
      <c r="K679" s="1040" t="e">
        <f>IF($F279="","",$F279*chronic_consumption!F679/1000/$C$3)</f>
        <v>#DIV/0!</v>
      </c>
      <c r="L679" s="1040" t="e">
        <f>IF($F279="","",$F279*chronic_consumption!G679/1000/$C$3)</f>
        <v>#DIV/0!</v>
      </c>
      <c r="M679" s="1040" t="e">
        <f>IF($F279="","",$F279*chronic_consumption!H679/1000/$C$3)</f>
        <v>#DIV/0!</v>
      </c>
      <c r="N679" s="1040" t="e">
        <f>IF($F279="","",$F279*chronic_consumption!I679/1000/$C$3)</f>
        <v>#DIV/0!</v>
      </c>
      <c r="O679" s="1040" t="e">
        <f>IF($F279="","",$F279*chronic_consumption!J679/1000/$C$3)</f>
        <v>#DIV/0!</v>
      </c>
      <c r="P679" s="1040" t="e">
        <f>IF($F279="","",$F279*chronic_consumption!K679/1000/$C$3)</f>
        <v>#DIV/0!</v>
      </c>
      <c r="Q679" s="1040" t="e">
        <f>IF($F279="","",$F279*chronic_consumption!L679/1000/$C$3)</f>
        <v>#DIV/0!</v>
      </c>
      <c r="R679" s="1040" t="e">
        <f>IF($F279="","",$F279*chronic_consumption!M679/1000/$C$3)</f>
        <v>#DIV/0!</v>
      </c>
      <c r="S679" s="1040" t="e">
        <f>IF($F279="","",$F279*chronic_consumption!N679/1000/$C$3)</f>
        <v>#DIV/0!</v>
      </c>
      <c r="T679" s="1040" t="e">
        <f>IF($F279="","",$F279*chronic_consumption!O679/1000/$C$3)</f>
        <v>#DIV/0!</v>
      </c>
      <c r="U679" s="1040" t="e">
        <f>IF($F279="","",$F279*chronic_consumption!P679/1000/$C$3)</f>
        <v>#DIV/0!</v>
      </c>
      <c r="V679" s="1040" t="e">
        <f>IF($F279="","",$F279*chronic_consumption!Q679/1000/$C$3)</f>
        <v>#DIV/0!</v>
      </c>
      <c r="W679" s="1040" t="e">
        <f>IF($F279="","",$F279*chronic_consumption!R679/1000/$C$3)</f>
        <v>#DIV/0!</v>
      </c>
      <c r="X679" s="1040" t="e">
        <f>IF($F279="","",$F279*chronic_consumption!S679/1000/$C$3)</f>
        <v>#DIV/0!</v>
      </c>
      <c r="Y679" s="1040" t="e">
        <f>IF($F279="","",$F279*chronic_consumption!T679/1000/$C$3)</f>
        <v>#DIV/0!</v>
      </c>
      <c r="Z679" s="1040" t="e">
        <f>IF($F279="","",$F279*chronic_consumption!U679/1000/$C$3)</f>
        <v>#DIV/0!</v>
      </c>
      <c r="AA679" s="1040" t="e">
        <f>IF($F279="","",$F279*chronic_consumption!V679/1000/$C$3)</f>
        <v>#DIV/0!</v>
      </c>
      <c r="AB679" s="1040" t="e">
        <f>IF($F279="","",$F279*chronic_consumption!W679/1000/$C$3)</f>
        <v>#DIV/0!</v>
      </c>
      <c r="AC679" s="1040" t="e">
        <f>IF($F279="","",$F279*chronic_consumption!X679/1000/$C$3)</f>
        <v>#DIV/0!</v>
      </c>
      <c r="AD679" s="1040" t="e">
        <f>IF($F279="","",$F279*chronic_consumption!Y679/1000/$C$3)</f>
        <v>#DIV/0!</v>
      </c>
      <c r="AE679" s="1040" t="e">
        <f>IF($F279="","",$F279*chronic_consumption!Z679/1000/$C$3)</f>
        <v>#DIV/0!</v>
      </c>
      <c r="AF679" s="1040" t="e">
        <f>IF($F279="","",$F279*chronic_consumption!AA679/1000/$C$3)</f>
        <v>#DIV/0!</v>
      </c>
      <c r="AG679" s="1040" t="e">
        <f>IF($F279="","",$F279*chronic_consumption!AB679/1000/$C$3)</f>
        <v>#DIV/0!</v>
      </c>
      <c r="AH679" s="1040" t="e">
        <f>IF($F279="","",$F279*chronic_consumption!AC679/1000/$C$3)</f>
        <v>#DIV/0!</v>
      </c>
      <c r="AI679" s="1040" t="e">
        <f>IF($F279="","",$F279*chronic_consumption!AD679/1000/$C$3)</f>
        <v>#DIV/0!</v>
      </c>
      <c r="AJ679" s="1040" t="e">
        <f>IF($F279="","",$F279*chronic_consumption!AE679/1000/$C$3)</f>
        <v>#DIV/0!</v>
      </c>
      <c r="AK679" s="1040" t="e">
        <f>IF($F279="","",$F279*chronic_consumption!AF679/1000/$C$3)</f>
        <v>#DIV/0!</v>
      </c>
      <c r="AL679" s="1040" t="e">
        <f>IF($F279="","",$F279*chronic_consumption!AG679/1000/$C$3)</f>
        <v>#DIV/0!</v>
      </c>
      <c r="AM679" s="1040" t="e">
        <f>IF($F279="","",$F279*chronic_consumption!AH679/1000/$C$3)</f>
        <v>#DIV/0!</v>
      </c>
      <c r="AN679" s="1040" t="e">
        <f>IF($F279="","",$F279*chronic_consumption!AI679/1000/$C$3)</f>
        <v>#DIV/0!</v>
      </c>
      <c r="AO679" s="1040" t="e">
        <f>IF($F279="","",$F279*chronic_consumption!AJ679/1000/$C$3)</f>
        <v>#DIV/0!</v>
      </c>
      <c r="AP679" s="1040" t="e">
        <f>IF($F279="","",$F279*chronic_consumption!AK679/1000/$C$3)</f>
        <v>#DIV/0!</v>
      </c>
      <c r="AQ679" s="1040" t="e">
        <f>IF($F279="","",$F279*chronic_consumption!AL679/1000/$C$3)</f>
        <v>#DIV/0!</v>
      </c>
      <c r="AR679" s="1040" t="e">
        <f>IF($F279="","",$F279*chronic_consumption!AM679/1000/$C$3)</f>
        <v>#DIV/0!</v>
      </c>
      <c r="AS679" s="1040" t="e">
        <f>IF($F279="","",$F279*chronic_consumption!AN679/1000/$C$3)</f>
        <v>#DIV/0!</v>
      </c>
      <c r="AT679" s="1040" t="e">
        <f>IF($F279="","",$F279*chronic_consumption!AO679/1000/$C$3)</f>
        <v>#DIV/0!</v>
      </c>
      <c r="AU679" s="1040" t="e">
        <f>IF($F279="","",$F279*chronic_consumption!AP679/1000/$C$3)</f>
        <v>#DIV/0!</v>
      </c>
      <c r="AV679" s="1040" t="e">
        <f>IF($F279="","",$F279*chronic_consumption!AQ679/1000/$C$3)</f>
        <v>#DIV/0!</v>
      </c>
      <c r="AW679" s="1040" t="e">
        <f>IF($F279="","",$F279*chronic_consumption!AR679/1000/$C$3)</f>
        <v>#DIV/0!</v>
      </c>
      <c r="AX679" s="1040" t="e">
        <f>IF($F279="","",$F279*chronic_consumption!AS679/1000/$C$3)</f>
        <v>#DIV/0!</v>
      </c>
      <c r="AY679" s="1040" t="e">
        <f>IF($F279="","",$F279*chronic_consumption!AT679/1000/$C$3)</f>
        <v>#DIV/0!</v>
      </c>
      <c r="AZ679" s="44" t="s">
        <v>20</v>
      </c>
      <c r="BC679" s="29"/>
      <c r="BD679" s="29"/>
    </row>
    <row r="680" spans="1:56" ht="12" hidden="1" customHeight="1" outlineLevel="3" x14ac:dyDescent="0.2">
      <c r="A680" s="21">
        <f>acute_overview_children!A280</f>
        <v>4</v>
      </c>
      <c r="B680" s="325">
        <f t="shared" si="49"/>
        <v>810020</v>
      </c>
      <c r="C680" s="325" t="str">
        <f t="shared" si="49"/>
        <v>Black caraway/black cumin</v>
      </c>
      <c r="D680" s="135"/>
      <c r="E680" s="1027"/>
      <c r="F680" s="87"/>
      <c r="G680" s="1027"/>
      <c r="H680" s="1029"/>
      <c r="I680" s="1030"/>
      <c r="J680" s="1039" t="e">
        <f>IF($F280="","",$F280*chronic_consumption!E680/1000/$C$3)</f>
        <v>#DIV/0!</v>
      </c>
      <c r="K680" s="1040" t="e">
        <f>IF($F280="","",$F280*chronic_consumption!F680/1000/$C$3)</f>
        <v>#DIV/0!</v>
      </c>
      <c r="L680" s="1040" t="e">
        <f>IF($F280="","",$F280*chronic_consumption!G680/1000/$C$3)</f>
        <v>#DIV/0!</v>
      </c>
      <c r="M680" s="1040" t="e">
        <f>IF($F280="","",$F280*chronic_consumption!H680/1000/$C$3)</f>
        <v>#DIV/0!</v>
      </c>
      <c r="N680" s="1040" t="e">
        <f>IF($F280="","",$F280*chronic_consumption!I680/1000/$C$3)</f>
        <v>#DIV/0!</v>
      </c>
      <c r="O680" s="1040" t="e">
        <f>IF($F280="","",$F280*chronic_consumption!J680/1000/$C$3)</f>
        <v>#DIV/0!</v>
      </c>
      <c r="P680" s="1040" t="e">
        <f>IF($F280="","",$F280*chronic_consumption!K680/1000/$C$3)</f>
        <v>#DIV/0!</v>
      </c>
      <c r="Q680" s="1040" t="e">
        <f>IF($F280="","",$F280*chronic_consumption!L680/1000/$C$3)</f>
        <v>#DIV/0!</v>
      </c>
      <c r="R680" s="1040" t="e">
        <f>IF($F280="","",$F280*chronic_consumption!M680/1000/$C$3)</f>
        <v>#DIV/0!</v>
      </c>
      <c r="S680" s="1040" t="e">
        <f>IF($F280="","",$F280*chronic_consumption!N680/1000/$C$3)</f>
        <v>#DIV/0!</v>
      </c>
      <c r="T680" s="1040" t="e">
        <f>IF($F280="","",$F280*chronic_consumption!O680/1000/$C$3)</f>
        <v>#DIV/0!</v>
      </c>
      <c r="U680" s="1040" t="e">
        <f>IF($F280="","",$F280*chronic_consumption!P680/1000/$C$3)</f>
        <v>#DIV/0!</v>
      </c>
      <c r="V680" s="1040" t="e">
        <f>IF($F280="","",$F280*chronic_consumption!Q680/1000/$C$3)</f>
        <v>#DIV/0!</v>
      </c>
      <c r="W680" s="1040" t="e">
        <f>IF($F280="","",$F280*chronic_consumption!R680/1000/$C$3)</f>
        <v>#DIV/0!</v>
      </c>
      <c r="X680" s="1040" t="e">
        <f>IF($F280="","",$F280*chronic_consumption!S680/1000/$C$3)</f>
        <v>#DIV/0!</v>
      </c>
      <c r="Y680" s="1040" t="e">
        <f>IF($F280="","",$F280*chronic_consumption!T680/1000/$C$3)</f>
        <v>#DIV/0!</v>
      </c>
      <c r="Z680" s="1040" t="e">
        <f>IF($F280="","",$F280*chronic_consumption!U680/1000/$C$3)</f>
        <v>#DIV/0!</v>
      </c>
      <c r="AA680" s="1040" t="e">
        <f>IF($F280="","",$F280*chronic_consumption!V680/1000/$C$3)</f>
        <v>#DIV/0!</v>
      </c>
      <c r="AB680" s="1040" t="e">
        <f>IF($F280="","",$F280*chronic_consumption!W680/1000/$C$3)</f>
        <v>#DIV/0!</v>
      </c>
      <c r="AC680" s="1040" t="e">
        <f>IF($F280="","",$F280*chronic_consumption!X680/1000/$C$3)</f>
        <v>#DIV/0!</v>
      </c>
      <c r="AD680" s="1040" t="e">
        <f>IF($F280="","",$F280*chronic_consumption!Y680/1000/$C$3)</f>
        <v>#DIV/0!</v>
      </c>
      <c r="AE680" s="1040" t="e">
        <f>IF($F280="","",$F280*chronic_consumption!Z680/1000/$C$3)</f>
        <v>#DIV/0!</v>
      </c>
      <c r="AF680" s="1040" t="e">
        <f>IF($F280="","",$F280*chronic_consumption!AA680/1000/$C$3)</f>
        <v>#DIV/0!</v>
      </c>
      <c r="AG680" s="1040" t="e">
        <f>IF($F280="","",$F280*chronic_consumption!AB680/1000/$C$3)</f>
        <v>#DIV/0!</v>
      </c>
      <c r="AH680" s="1040" t="e">
        <f>IF($F280="","",$F280*chronic_consumption!AC680/1000/$C$3)</f>
        <v>#DIV/0!</v>
      </c>
      <c r="AI680" s="1040" t="e">
        <f>IF($F280="","",$F280*chronic_consumption!AD680/1000/$C$3)</f>
        <v>#DIV/0!</v>
      </c>
      <c r="AJ680" s="1040" t="e">
        <f>IF($F280="","",$F280*chronic_consumption!AE680/1000/$C$3)</f>
        <v>#DIV/0!</v>
      </c>
      <c r="AK680" s="1040" t="e">
        <f>IF($F280="","",$F280*chronic_consumption!AF680/1000/$C$3)</f>
        <v>#DIV/0!</v>
      </c>
      <c r="AL680" s="1040" t="e">
        <f>IF($F280="","",$F280*chronic_consumption!AG680/1000/$C$3)</f>
        <v>#DIV/0!</v>
      </c>
      <c r="AM680" s="1040" t="e">
        <f>IF($F280="","",$F280*chronic_consumption!AH680/1000/$C$3)</f>
        <v>#DIV/0!</v>
      </c>
      <c r="AN680" s="1040" t="e">
        <f>IF($F280="","",$F280*chronic_consumption!AI680/1000/$C$3)</f>
        <v>#DIV/0!</v>
      </c>
      <c r="AO680" s="1040" t="e">
        <f>IF($F280="","",$F280*chronic_consumption!AJ680/1000/$C$3)</f>
        <v>#DIV/0!</v>
      </c>
      <c r="AP680" s="1040" t="e">
        <f>IF($F280="","",$F280*chronic_consumption!AK680/1000/$C$3)</f>
        <v>#DIV/0!</v>
      </c>
      <c r="AQ680" s="1040" t="e">
        <f>IF($F280="","",$F280*chronic_consumption!AL680/1000/$C$3)</f>
        <v>#DIV/0!</v>
      </c>
      <c r="AR680" s="1040" t="e">
        <f>IF($F280="","",$F280*chronic_consumption!AM680/1000/$C$3)</f>
        <v>#DIV/0!</v>
      </c>
      <c r="AS680" s="1040" t="e">
        <f>IF($F280="","",$F280*chronic_consumption!AN680/1000/$C$3)</f>
        <v>#DIV/0!</v>
      </c>
      <c r="AT680" s="1040" t="e">
        <f>IF($F280="","",$F280*chronic_consumption!AO680/1000/$C$3)</f>
        <v>#DIV/0!</v>
      </c>
      <c r="AU680" s="1040" t="e">
        <f>IF($F280="","",$F280*chronic_consumption!AP680/1000/$C$3)</f>
        <v>#DIV/0!</v>
      </c>
      <c r="AV680" s="1040" t="e">
        <f>IF($F280="","",$F280*chronic_consumption!AQ680/1000/$C$3)</f>
        <v>#DIV/0!</v>
      </c>
      <c r="AW680" s="1040" t="e">
        <f>IF($F280="","",$F280*chronic_consumption!AR680/1000/$C$3)</f>
        <v>#DIV/0!</v>
      </c>
      <c r="AX680" s="1040" t="e">
        <f>IF($F280="","",$F280*chronic_consumption!AS680/1000/$C$3)</f>
        <v>#DIV/0!</v>
      </c>
      <c r="AY680" s="1040" t="e">
        <f>IF($F280="","",$F280*chronic_consumption!AT680/1000/$C$3)</f>
        <v>#DIV/0!</v>
      </c>
      <c r="AZ680" s="44" t="s">
        <v>20</v>
      </c>
      <c r="BC680" s="29"/>
      <c r="BD680" s="29"/>
    </row>
    <row r="681" spans="1:56" ht="12" hidden="1" customHeight="1" outlineLevel="3" x14ac:dyDescent="0.2">
      <c r="A681" s="21">
        <f>acute_overview_children!A281</f>
        <v>4</v>
      </c>
      <c r="B681" s="325">
        <f t="shared" si="49"/>
        <v>810030</v>
      </c>
      <c r="C681" s="325" t="str">
        <f t="shared" si="49"/>
        <v>Celery seed</v>
      </c>
      <c r="D681" s="135"/>
      <c r="E681" s="1027"/>
      <c r="F681" s="87"/>
      <c r="G681" s="1027"/>
      <c r="H681" s="1029"/>
      <c r="I681" s="1030"/>
      <c r="J681" s="1039" t="e">
        <f>IF($F281="","",$F281*chronic_consumption!E681/1000/$C$3)</f>
        <v>#DIV/0!</v>
      </c>
      <c r="K681" s="1040" t="e">
        <f>IF($F281="","",$F281*chronic_consumption!F681/1000/$C$3)</f>
        <v>#DIV/0!</v>
      </c>
      <c r="L681" s="1040" t="e">
        <f>IF($F281="","",$F281*chronic_consumption!G681/1000/$C$3)</f>
        <v>#DIV/0!</v>
      </c>
      <c r="M681" s="1040" t="e">
        <f>IF($F281="","",$F281*chronic_consumption!H681/1000/$C$3)</f>
        <v>#DIV/0!</v>
      </c>
      <c r="N681" s="1040" t="e">
        <f>IF($F281="","",$F281*chronic_consumption!I681/1000/$C$3)</f>
        <v>#DIV/0!</v>
      </c>
      <c r="O681" s="1040" t="e">
        <f>IF($F281="","",$F281*chronic_consumption!J681/1000/$C$3)</f>
        <v>#DIV/0!</v>
      </c>
      <c r="P681" s="1040" t="e">
        <f>IF($F281="","",$F281*chronic_consumption!K681/1000/$C$3)</f>
        <v>#DIV/0!</v>
      </c>
      <c r="Q681" s="1040" t="e">
        <f>IF($F281="","",$F281*chronic_consumption!L681/1000/$C$3)</f>
        <v>#DIV/0!</v>
      </c>
      <c r="R681" s="1040" t="e">
        <f>IF($F281="","",$F281*chronic_consumption!M681/1000/$C$3)</f>
        <v>#DIV/0!</v>
      </c>
      <c r="S681" s="1040" t="e">
        <f>IF($F281="","",$F281*chronic_consumption!N681/1000/$C$3)</f>
        <v>#DIV/0!</v>
      </c>
      <c r="T681" s="1040" t="e">
        <f>IF($F281="","",$F281*chronic_consumption!O681/1000/$C$3)</f>
        <v>#DIV/0!</v>
      </c>
      <c r="U681" s="1040" t="e">
        <f>IF($F281="","",$F281*chronic_consumption!P681/1000/$C$3)</f>
        <v>#DIV/0!</v>
      </c>
      <c r="V681" s="1040" t="e">
        <f>IF($F281="","",$F281*chronic_consumption!Q681/1000/$C$3)</f>
        <v>#DIV/0!</v>
      </c>
      <c r="W681" s="1040" t="e">
        <f>IF($F281="","",$F281*chronic_consumption!R681/1000/$C$3)</f>
        <v>#DIV/0!</v>
      </c>
      <c r="X681" s="1040" t="e">
        <f>IF($F281="","",$F281*chronic_consumption!S681/1000/$C$3)</f>
        <v>#DIV/0!</v>
      </c>
      <c r="Y681" s="1040" t="e">
        <f>IF($F281="","",$F281*chronic_consumption!T681/1000/$C$3)</f>
        <v>#DIV/0!</v>
      </c>
      <c r="Z681" s="1040" t="e">
        <f>IF($F281="","",$F281*chronic_consumption!U681/1000/$C$3)</f>
        <v>#DIV/0!</v>
      </c>
      <c r="AA681" s="1040" t="e">
        <f>IF($F281="","",$F281*chronic_consumption!V681/1000/$C$3)</f>
        <v>#DIV/0!</v>
      </c>
      <c r="AB681" s="1040" t="e">
        <f>IF($F281="","",$F281*chronic_consumption!W681/1000/$C$3)</f>
        <v>#DIV/0!</v>
      </c>
      <c r="AC681" s="1040" t="e">
        <f>IF($F281="","",$F281*chronic_consumption!X681/1000/$C$3)</f>
        <v>#DIV/0!</v>
      </c>
      <c r="AD681" s="1040" t="e">
        <f>IF($F281="","",$F281*chronic_consumption!Y681/1000/$C$3)</f>
        <v>#DIV/0!</v>
      </c>
      <c r="AE681" s="1040" t="e">
        <f>IF($F281="","",$F281*chronic_consumption!Z681/1000/$C$3)</f>
        <v>#DIV/0!</v>
      </c>
      <c r="AF681" s="1040" t="e">
        <f>IF($F281="","",$F281*chronic_consumption!AA681/1000/$C$3)</f>
        <v>#DIV/0!</v>
      </c>
      <c r="AG681" s="1040" t="e">
        <f>IF($F281="","",$F281*chronic_consumption!AB681/1000/$C$3)</f>
        <v>#DIV/0!</v>
      </c>
      <c r="AH681" s="1040" t="e">
        <f>IF($F281="","",$F281*chronic_consumption!AC681/1000/$C$3)</f>
        <v>#DIV/0!</v>
      </c>
      <c r="AI681" s="1040" t="e">
        <f>IF($F281="","",$F281*chronic_consumption!AD681/1000/$C$3)</f>
        <v>#DIV/0!</v>
      </c>
      <c r="AJ681" s="1040" t="e">
        <f>IF($F281="","",$F281*chronic_consumption!AE681/1000/$C$3)</f>
        <v>#DIV/0!</v>
      </c>
      <c r="AK681" s="1040" t="e">
        <f>IF($F281="","",$F281*chronic_consumption!AF681/1000/$C$3)</f>
        <v>#DIV/0!</v>
      </c>
      <c r="AL681" s="1040" t="e">
        <f>IF($F281="","",$F281*chronic_consumption!AG681/1000/$C$3)</f>
        <v>#DIV/0!</v>
      </c>
      <c r="AM681" s="1040" t="e">
        <f>IF($F281="","",$F281*chronic_consumption!AH681/1000/$C$3)</f>
        <v>#DIV/0!</v>
      </c>
      <c r="AN681" s="1040" t="e">
        <f>IF($F281="","",$F281*chronic_consumption!AI681/1000/$C$3)</f>
        <v>#DIV/0!</v>
      </c>
      <c r="AO681" s="1040" t="e">
        <f>IF($F281="","",$F281*chronic_consumption!AJ681/1000/$C$3)</f>
        <v>#DIV/0!</v>
      </c>
      <c r="AP681" s="1040" t="e">
        <f>IF($F281="","",$F281*chronic_consumption!AK681/1000/$C$3)</f>
        <v>#DIV/0!</v>
      </c>
      <c r="AQ681" s="1040" t="e">
        <f>IF($F281="","",$F281*chronic_consumption!AL681/1000/$C$3)</f>
        <v>#DIV/0!</v>
      </c>
      <c r="AR681" s="1040" t="e">
        <f>IF($F281="","",$F281*chronic_consumption!AM681/1000/$C$3)</f>
        <v>#DIV/0!</v>
      </c>
      <c r="AS681" s="1040" t="e">
        <f>IF($F281="","",$F281*chronic_consumption!AN681/1000/$C$3)</f>
        <v>#DIV/0!</v>
      </c>
      <c r="AT681" s="1040" t="e">
        <f>IF($F281="","",$F281*chronic_consumption!AO681/1000/$C$3)</f>
        <v>#DIV/0!</v>
      </c>
      <c r="AU681" s="1040" t="e">
        <f>IF($F281="","",$F281*chronic_consumption!AP681/1000/$C$3)</f>
        <v>#DIV/0!</v>
      </c>
      <c r="AV681" s="1040" t="e">
        <f>IF($F281="","",$F281*chronic_consumption!AQ681/1000/$C$3)</f>
        <v>#DIV/0!</v>
      </c>
      <c r="AW681" s="1040" t="e">
        <f>IF($F281="","",$F281*chronic_consumption!AR681/1000/$C$3)</f>
        <v>#DIV/0!</v>
      </c>
      <c r="AX681" s="1040" t="e">
        <f>IF($F281="","",$F281*chronic_consumption!AS681/1000/$C$3)</f>
        <v>#DIV/0!</v>
      </c>
      <c r="AY681" s="1040" t="e">
        <f>IF($F281="","",$F281*chronic_consumption!AT681/1000/$C$3)</f>
        <v>#DIV/0!</v>
      </c>
      <c r="AZ681" s="44" t="s">
        <v>20</v>
      </c>
      <c r="BC681" s="29"/>
      <c r="BD681" s="29"/>
    </row>
    <row r="682" spans="1:56" ht="12" hidden="1" customHeight="1" outlineLevel="3" x14ac:dyDescent="0.2">
      <c r="A682" s="21">
        <f>acute_overview_children!A282</f>
        <v>4</v>
      </c>
      <c r="B682" s="325">
        <f t="shared" si="49"/>
        <v>810040</v>
      </c>
      <c r="C682" s="325" t="str">
        <f t="shared" si="49"/>
        <v>Coriander seed</v>
      </c>
      <c r="D682" s="135"/>
      <c r="E682" s="1027"/>
      <c r="F682" s="87"/>
      <c r="G682" s="1027"/>
      <c r="H682" s="1029"/>
      <c r="I682" s="1030"/>
      <c r="J682" s="1039" t="e">
        <f>IF($F282="","",$F282*chronic_consumption!E682/1000/$C$3)</f>
        <v>#DIV/0!</v>
      </c>
      <c r="K682" s="1040" t="e">
        <f>IF($F282="","",$F282*chronic_consumption!F682/1000/$C$3)</f>
        <v>#DIV/0!</v>
      </c>
      <c r="L682" s="1040" t="e">
        <f>IF($F282="","",$F282*chronic_consumption!G682/1000/$C$3)</f>
        <v>#DIV/0!</v>
      </c>
      <c r="M682" s="1040" t="e">
        <f>IF($F282="","",$F282*chronic_consumption!H682/1000/$C$3)</f>
        <v>#DIV/0!</v>
      </c>
      <c r="N682" s="1040" t="e">
        <f>IF($F282="","",$F282*chronic_consumption!I682/1000/$C$3)</f>
        <v>#DIV/0!</v>
      </c>
      <c r="O682" s="1040" t="e">
        <f>IF($F282="","",$F282*chronic_consumption!J682/1000/$C$3)</f>
        <v>#DIV/0!</v>
      </c>
      <c r="P682" s="1040" t="e">
        <f>IF($F282="","",$F282*chronic_consumption!K682/1000/$C$3)</f>
        <v>#DIV/0!</v>
      </c>
      <c r="Q682" s="1040" t="e">
        <f>IF($F282="","",$F282*chronic_consumption!L682/1000/$C$3)</f>
        <v>#DIV/0!</v>
      </c>
      <c r="R682" s="1040" t="e">
        <f>IF($F282="","",$F282*chronic_consumption!M682/1000/$C$3)</f>
        <v>#DIV/0!</v>
      </c>
      <c r="S682" s="1040" t="e">
        <f>IF($F282="","",$F282*chronic_consumption!N682/1000/$C$3)</f>
        <v>#DIV/0!</v>
      </c>
      <c r="T682" s="1040" t="e">
        <f>IF($F282="","",$F282*chronic_consumption!O682/1000/$C$3)</f>
        <v>#DIV/0!</v>
      </c>
      <c r="U682" s="1040" t="e">
        <f>IF($F282="","",$F282*chronic_consumption!P682/1000/$C$3)</f>
        <v>#DIV/0!</v>
      </c>
      <c r="V682" s="1040" t="e">
        <f>IF($F282="","",$F282*chronic_consumption!Q682/1000/$C$3)</f>
        <v>#DIV/0!</v>
      </c>
      <c r="W682" s="1040" t="e">
        <f>IF($F282="","",$F282*chronic_consumption!R682/1000/$C$3)</f>
        <v>#DIV/0!</v>
      </c>
      <c r="X682" s="1040" t="e">
        <f>IF($F282="","",$F282*chronic_consumption!S682/1000/$C$3)</f>
        <v>#DIV/0!</v>
      </c>
      <c r="Y682" s="1040" t="e">
        <f>IF($F282="","",$F282*chronic_consumption!T682/1000/$C$3)</f>
        <v>#DIV/0!</v>
      </c>
      <c r="Z682" s="1040" t="e">
        <f>IF($F282="","",$F282*chronic_consumption!U682/1000/$C$3)</f>
        <v>#DIV/0!</v>
      </c>
      <c r="AA682" s="1040" t="e">
        <f>IF($F282="","",$F282*chronic_consumption!V682/1000/$C$3)</f>
        <v>#DIV/0!</v>
      </c>
      <c r="AB682" s="1040" t="e">
        <f>IF($F282="","",$F282*chronic_consumption!W682/1000/$C$3)</f>
        <v>#DIV/0!</v>
      </c>
      <c r="AC682" s="1040" t="e">
        <f>IF($F282="","",$F282*chronic_consumption!X682/1000/$C$3)</f>
        <v>#DIV/0!</v>
      </c>
      <c r="AD682" s="1040" t="e">
        <f>IF($F282="","",$F282*chronic_consumption!Y682/1000/$C$3)</f>
        <v>#DIV/0!</v>
      </c>
      <c r="AE682" s="1040" t="e">
        <f>IF($F282="","",$F282*chronic_consumption!Z682/1000/$C$3)</f>
        <v>#DIV/0!</v>
      </c>
      <c r="AF682" s="1040" t="e">
        <f>IF($F282="","",$F282*chronic_consumption!AA682/1000/$C$3)</f>
        <v>#DIV/0!</v>
      </c>
      <c r="AG682" s="1040" t="e">
        <f>IF($F282="","",$F282*chronic_consumption!AB682/1000/$C$3)</f>
        <v>#DIV/0!</v>
      </c>
      <c r="AH682" s="1040" t="e">
        <f>IF($F282="","",$F282*chronic_consumption!AC682/1000/$C$3)</f>
        <v>#DIV/0!</v>
      </c>
      <c r="AI682" s="1040" t="e">
        <f>IF($F282="","",$F282*chronic_consumption!AD682/1000/$C$3)</f>
        <v>#DIV/0!</v>
      </c>
      <c r="AJ682" s="1040" t="e">
        <f>IF($F282="","",$F282*chronic_consumption!AE682/1000/$C$3)</f>
        <v>#DIV/0!</v>
      </c>
      <c r="AK682" s="1040" t="e">
        <f>IF($F282="","",$F282*chronic_consumption!AF682/1000/$C$3)</f>
        <v>#DIV/0!</v>
      </c>
      <c r="AL682" s="1040" t="e">
        <f>IF($F282="","",$F282*chronic_consumption!AG682/1000/$C$3)</f>
        <v>#DIV/0!</v>
      </c>
      <c r="AM682" s="1040" t="e">
        <f>IF($F282="","",$F282*chronic_consumption!AH682/1000/$C$3)</f>
        <v>#DIV/0!</v>
      </c>
      <c r="AN682" s="1040" t="e">
        <f>IF($F282="","",$F282*chronic_consumption!AI682/1000/$C$3)</f>
        <v>#DIV/0!</v>
      </c>
      <c r="AO682" s="1040" t="e">
        <f>IF($F282="","",$F282*chronic_consumption!AJ682/1000/$C$3)</f>
        <v>#DIV/0!</v>
      </c>
      <c r="AP682" s="1040" t="e">
        <f>IF($F282="","",$F282*chronic_consumption!AK682/1000/$C$3)</f>
        <v>#DIV/0!</v>
      </c>
      <c r="AQ682" s="1040" t="e">
        <f>IF($F282="","",$F282*chronic_consumption!AL682/1000/$C$3)</f>
        <v>#DIV/0!</v>
      </c>
      <c r="AR682" s="1040" t="e">
        <f>IF($F282="","",$F282*chronic_consumption!AM682/1000/$C$3)</f>
        <v>#DIV/0!</v>
      </c>
      <c r="AS682" s="1040" t="e">
        <f>IF($F282="","",$F282*chronic_consumption!AN682/1000/$C$3)</f>
        <v>#DIV/0!</v>
      </c>
      <c r="AT682" s="1040" t="e">
        <f>IF($F282="","",$F282*chronic_consumption!AO682/1000/$C$3)</f>
        <v>#DIV/0!</v>
      </c>
      <c r="AU682" s="1040" t="e">
        <f>IF($F282="","",$F282*chronic_consumption!AP682/1000/$C$3)</f>
        <v>#DIV/0!</v>
      </c>
      <c r="AV682" s="1040" t="e">
        <f>IF($F282="","",$F282*chronic_consumption!AQ682/1000/$C$3)</f>
        <v>#DIV/0!</v>
      </c>
      <c r="AW682" s="1040" t="e">
        <f>IF($F282="","",$F282*chronic_consumption!AR682/1000/$C$3)</f>
        <v>#DIV/0!</v>
      </c>
      <c r="AX682" s="1040" t="e">
        <f>IF($F282="","",$F282*chronic_consumption!AS682/1000/$C$3)</f>
        <v>#DIV/0!</v>
      </c>
      <c r="AY682" s="1040" t="e">
        <f>IF($F282="","",$F282*chronic_consumption!AT682/1000/$C$3)</f>
        <v>#DIV/0!</v>
      </c>
      <c r="AZ682" s="44" t="s">
        <v>20</v>
      </c>
      <c r="BC682" s="29"/>
      <c r="BD682" s="29"/>
    </row>
    <row r="683" spans="1:56" ht="12" hidden="1" customHeight="1" outlineLevel="3" x14ac:dyDescent="0.2">
      <c r="A683" s="21">
        <f>acute_overview_children!A283</f>
        <v>4</v>
      </c>
      <c r="B683" s="325">
        <f t="shared" si="49"/>
        <v>810050</v>
      </c>
      <c r="C683" s="325" t="str">
        <f t="shared" si="49"/>
        <v>Cumin seed</v>
      </c>
      <c r="D683" s="135"/>
      <c r="E683" s="1027"/>
      <c r="F683" s="87"/>
      <c r="G683" s="1027"/>
      <c r="H683" s="1029"/>
      <c r="I683" s="1030"/>
      <c r="J683" s="1039" t="e">
        <f>IF($F283="","",$F283*chronic_consumption!E683/1000/$C$3)</f>
        <v>#DIV/0!</v>
      </c>
      <c r="K683" s="1040" t="e">
        <f>IF($F283="","",$F283*chronic_consumption!F683/1000/$C$3)</f>
        <v>#DIV/0!</v>
      </c>
      <c r="L683" s="1040" t="e">
        <f>IF($F283="","",$F283*chronic_consumption!G683/1000/$C$3)</f>
        <v>#DIV/0!</v>
      </c>
      <c r="M683" s="1040" t="e">
        <f>IF($F283="","",$F283*chronic_consumption!H683/1000/$C$3)</f>
        <v>#DIV/0!</v>
      </c>
      <c r="N683" s="1040" t="e">
        <f>IF($F283="","",$F283*chronic_consumption!I683/1000/$C$3)</f>
        <v>#DIV/0!</v>
      </c>
      <c r="O683" s="1040" t="e">
        <f>IF($F283="","",$F283*chronic_consumption!J683/1000/$C$3)</f>
        <v>#DIV/0!</v>
      </c>
      <c r="P683" s="1040" t="e">
        <f>IF($F283="","",$F283*chronic_consumption!K683/1000/$C$3)</f>
        <v>#DIV/0!</v>
      </c>
      <c r="Q683" s="1040" t="e">
        <f>IF($F283="","",$F283*chronic_consumption!L683/1000/$C$3)</f>
        <v>#DIV/0!</v>
      </c>
      <c r="R683" s="1040" t="e">
        <f>IF($F283="","",$F283*chronic_consumption!M683/1000/$C$3)</f>
        <v>#DIV/0!</v>
      </c>
      <c r="S683" s="1040" t="e">
        <f>IF($F283="","",$F283*chronic_consumption!N683/1000/$C$3)</f>
        <v>#DIV/0!</v>
      </c>
      <c r="T683" s="1040" t="e">
        <f>IF($F283="","",$F283*chronic_consumption!O683/1000/$C$3)</f>
        <v>#DIV/0!</v>
      </c>
      <c r="U683" s="1040" t="e">
        <f>IF($F283="","",$F283*chronic_consumption!P683/1000/$C$3)</f>
        <v>#DIV/0!</v>
      </c>
      <c r="V683" s="1040" t="e">
        <f>IF($F283="","",$F283*chronic_consumption!Q683/1000/$C$3)</f>
        <v>#DIV/0!</v>
      </c>
      <c r="W683" s="1040" t="e">
        <f>IF($F283="","",$F283*chronic_consumption!R683/1000/$C$3)</f>
        <v>#DIV/0!</v>
      </c>
      <c r="X683" s="1040" t="e">
        <f>IF($F283="","",$F283*chronic_consumption!S683/1000/$C$3)</f>
        <v>#DIV/0!</v>
      </c>
      <c r="Y683" s="1040" t="e">
        <f>IF($F283="","",$F283*chronic_consumption!T683/1000/$C$3)</f>
        <v>#DIV/0!</v>
      </c>
      <c r="Z683" s="1040" t="e">
        <f>IF($F283="","",$F283*chronic_consumption!U683/1000/$C$3)</f>
        <v>#DIV/0!</v>
      </c>
      <c r="AA683" s="1040" t="e">
        <f>IF($F283="","",$F283*chronic_consumption!V683/1000/$C$3)</f>
        <v>#DIV/0!</v>
      </c>
      <c r="AB683" s="1040" t="e">
        <f>IF($F283="","",$F283*chronic_consumption!W683/1000/$C$3)</f>
        <v>#DIV/0!</v>
      </c>
      <c r="AC683" s="1040" t="e">
        <f>IF($F283="","",$F283*chronic_consumption!X683/1000/$C$3)</f>
        <v>#DIV/0!</v>
      </c>
      <c r="AD683" s="1040" t="e">
        <f>IF($F283="","",$F283*chronic_consumption!Y683/1000/$C$3)</f>
        <v>#DIV/0!</v>
      </c>
      <c r="AE683" s="1040" t="e">
        <f>IF($F283="","",$F283*chronic_consumption!Z683/1000/$C$3)</f>
        <v>#DIV/0!</v>
      </c>
      <c r="AF683" s="1040" t="e">
        <f>IF($F283="","",$F283*chronic_consumption!AA683/1000/$C$3)</f>
        <v>#DIV/0!</v>
      </c>
      <c r="AG683" s="1040" t="e">
        <f>IF($F283="","",$F283*chronic_consumption!AB683/1000/$C$3)</f>
        <v>#DIV/0!</v>
      </c>
      <c r="AH683" s="1040" t="e">
        <f>IF($F283="","",$F283*chronic_consumption!AC683/1000/$C$3)</f>
        <v>#DIV/0!</v>
      </c>
      <c r="AI683" s="1040" t="e">
        <f>IF($F283="","",$F283*chronic_consumption!AD683/1000/$C$3)</f>
        <v>#DIV/0!</v>
      </c>
      <c r="AJ683" s="1040" t="e">
        <f>IF($F283="","",$F283*chronic_consumption!AE683/1000/$C$3)</f>
        <v>#DIV/0!</v>
      </c>
      <c r="AK683" s="1040" t="e">
        <f>IF($F283="","",$F283*chronic_consumption!AF683/1000/$C$3)</f>
        <v>#DIV/0!</v>
      </c>
      <c r="AL683" s="1040" t="e">
        <f>IF($F283="","",$F283*chronic_consumption!AG683/1000/$C$3)</f>
        <v>#DIV/0!</v>
      </c>
      <c r="AM683" s="1040" t="e">
        <f>IF($F283="","",$F283*chronic_consumption!AH683/1000/$C$3)</f>
        <v>#DIV/0!</v>
      </c>
      <c r="AN683" s="1040" t="e">
        <f>IF($F283="","",$F283*chronic_consumption!AI683/1000/$C$3)</f>
        <v>#DIV/0!</v>
      </c>
      <c r="AO683" s="1040" t="e">
        <f>IF($F283="","",$F283*chronic_consumption!AJ683/1000/$C$3)</f>
        <v>#DIV/0!</v>
      </c>
      <c r="AP683" s="1040" t="e">
        <f>IF($F283="","",$F283*chronic_consumption!AK683/1000/$C$3)</f>
        <v>#DIV/0!</v>
      </c>
      <c r="AQ683" s="1040" t="e">
        <f>IF($F283="","",$F283*chronic_consumption!AL683/1000/$C$3)</f>
        <v>#DIV/0!</v>
      </c>
      <c r="AR683" s="1040" t="e">
        <f>IF($F283="","",$F283*chronic_consumption!AM683/1000/$C$3)</f>
        <v>#DIV/0!</v>
      </c>
      <c r="AS683" s="1040" t="e">
        <f>IF($F283="","",$F283*chronic_consumption!AN683/1000/$C$3)</f>
        <v>#DIV/0!</v>
      </c>
      <c r="AT683" s="1040" t="e">
        <f>IF($F283="","",$F283*chronic_consumption!AO683/1000/$C$3)</f>
        <v>#DIV/0!</v>
      </c>
      <c r="AU683" s="1040" t="e">
        <f>IF($F283="","",$F283*chronic_consumption!AP683/1000/$C$3)</f>
        <v>#DIV/0!</v>
      </c>
      <c r="AV683" s="1040" t="e">
        <f>IF($F283="","",$F283*chronic_consumption!AQ683/1000/$C$3)</f>
        <v>#DIV/0!</v>
      </c>
      <c r="AW683" s="1040" t="e">
        <f>IF($F283="","",$F283*chronic_consumption!AR683/1000/$C$3)</f>
        <v>#DIV/0!</v>
      </c>
      <c r="AX683" s="1040" t="e">
        <f>IF($F283="","",$F283*chronic_consumption!AS683/1000/$C$3)</f>
        <v>#DIV/0!</v>
      </c>
      <c r="AY683" s="1040" t="e">
        <f>IF($F283="","",$F283*chronic_consumption!AT683/1000/$C$3)</f>
        <v>#DIV/0!</v>
      </c>
      <c r="AZ683" s="44" t="s">
        <v>20</v>
      </c>
      <c r="BC683" s="29"/>
      <c r="BD683" s="29"/>
    </row>
    <row r="684" spans="1:56" ht="12" hidden="1" customHeight="1" outlineLevel="3" x14ac:dyDescent="0.2">
      <c r="A684" s="21">
        <f>acute_overview_children!A284</f>
        <v>4</v>
      </c>
      <c r="B684" s="325">
        <f t="shared" si="49"/>
        <v>810060</v>
      </c>
      <c r="C684" s="325" t="str">
        <f t="shared" si="49"/>
        <v>Dill seed</v>
      </c>
      <c r="D684" s="135"/>
      <c r="E684" s="1027"/>
      <c r="F684" s="87"/>
      <c r="G684" s="1027"/>
      <c r="H684" s="1029"/>
      <c r="I684" s="1030"/>
      <c r="J684" s="1039" t="e">
        <f>IF($F284="","",$F284*chronic_consumption!E684/1000/$C$3)</f>
        <v>#DIV/0!</v>
      </c>
      <c r="K684" s="1040" t="e">
        <f>IF($F284="","",$F284*chronic_consumption!F684/1000/$C$3)</f>
        <v>#DIV/0!</v>
      </c>
      <c r="L684" s="1040" t="e">
        <f>IF($F284="","",$F284*chronic_consumption!G684/1000/$C$3)</f>
        <v>#DIV/0!</v>
      </c>
      <c r="M684" s="1040" t="e">
        <f>IF($F284="","",$F284*chronic_consumption!H684/1000/$C$3)</f>
        <v>#DIV/0!</v>
      </c>
      <c r="N684" s="1040" t="e">
        <f>IF($F284="","",$F284*chronic_consumption!I684/1000/$C$3)</f>
        <v>#DIV/0!</v>
      </c>
      <c r="O684" s="1040" t="e">
        <f>IF($F284="","",$F284*chronic_consumption!J684/1000/$C$3)</f>
        <v>#DIV/0!</v>
      </c>
      <c r="P684" s="1040" t="e">
        <f>IF($F284="","",$F284*chronic_consumption!K684/1000/$C$3)</f>
        <v>#DIV/0!</v>
      </c>
      <c r="Q684" s="1040" t="e">
        <f>IF($F284="","",$F284*chronic_consumption!L684/1000/$C$3)</f>
        <v>#DIV/0!</v>
      </c>
      <c r="R684" s="1040" t="e">
        <f>IF($F284="","",$F284*chronic_consumption!M684/1000/$C$3)</f>
        <v>#DIV/0!</v>
      </c>
      <c r="S684" s="1040" t="e">
        <f>IF($F284="","",$F284*chronic_consumption!N684/1000/$C$3)</f>
        <v>#DIV/0!</v>
      </c>
      <c r="T684" s="1040" t="e">
        <f>IF($F284="","",$F284*chronic_consumption!O684/1000/$C$3)</f>
        <v>#DIV/0!</v>
      </c>
      <c r="U684" s="1040" t="e">
        <f>IF($F284="","",$F284*chronic_consumption!P684/1000/$C$3)</f>
        <v>#DIV/0!</v>
      </c>
      <c r="V684" s="1040" t="e">
        <f>IF($F284="","",$F284*chronic_consumption!Q684/1000/$C$3)</f>
        <v>#DIV/0!</v>
      </c>
      <c r="W684" s="1040" t="e">
        <f>IF($F284="","",$F284*chronic_consumption!R684/1000/$C$3)</f>
        <v>#DIV/0!</v>
      </c>
      <c r="X684" s="1040" t="e">
        <f>IF($F284="","",$F284*chronic_consumption!S684/1000/$C$3)</f>
        <v>#DIV/0!</v>
      </c>
      <c r="Y684" s="1040" t="e">
        <f>IF($F284="","",$F284*chronic_consumption!T684/1000/$C$3)</f>
        <v>#DIV/0!</v>
      </c>
      <c r="Z684" s="1040" t="e">
        <f>IF($F284="","",$F284*chronic_consumption!U684/1000/$C$3)</f>
        <v>#DIV/0!</v>
      </c>
      <c r="AA684" s="1040" t="e">
        <f>IF($F284="","",$F284*chronic_consumption!V684/1000/$C$3)</f>
        <v>#DIV/0!</v>
      </c>
      <c r="AB684" s="1040" t="e">
        <f>IF($F284="","",$F284*chronic_consumption!W684/1000/$C$3)</f>
        <v>#DIV/0!</v>
      </c>
      <c r="AC684" s="1040" t="e">
        <f>IF($F284="","",$F284*chronic_consumption!X684/1000/$C$3)</f>
        <v>#DIV/0!</v>
      </c>
      <c r="AD684" s="1040" t="e">
        <f>IF($F284="","",$F284*chronic_consumption!Y684/1000/$C$3)</f>
        <v>#DIV/0!</v>
      </c>
      <c r="AE684" s="1040" t="e">
        <f>IF($F284="","",$F284*chronic_consumption!Z684/1000/$C$3)</f>
        <v>#DIV/0!</v>
      </c>
      <c r="AF684" s="1040" t="e">
        <f>IF($F284="","",$F284*chronic_consumption!AA684/1000/$C$3)</f>
        <v>#DIV/0!</v>
      </c>
      <c r="AG684" s="1040" t="e">
        <f>IF($F284="","",$F284*chronic_consumption!AB684/1000/$C$3)</f>
        <v>#DIV/0!</v>
      </c>
      <c r="AH684" s="1040" t="e">
        <f>IF($F284="","",$F284*chronic_consumption!AC684/1000/$C$3)</f>
        <v>#DIV/0!</v>
      </c>
      <c r="AI684" s="1040" t="e">
        <f>IF($F284="","",$F284*chronic_consumption!AD684/1000/$C$3)</f>
        <v>#DIV/0!</v>
      </c>
      <c r="AJ684" s="1040" t="e">
        <f>IF($F284="","",$F284*chronic_consumption!AE684/1000/$C$3)</f>
        <v>#DIV/0!</v>
      </c>
      <c r="AK684" s="1040" t="e">
        <f>IF($F284="","",$F284*chronic_consumption!AF684/1000/$C$3)</f>
        <v>#DIV/0!</v>
      </c>
      <c r="AL684" s="1040" t="e">
        <f>IF($F284="","",$F284*chronic_consumption!AG684/1000/$C$3)</f>
        <v>#DIV/0!</v>
      </c>
      <c r="AM684" s="1040" t="e">
        <f>IF($F284="","",$F284*chronic_consumption!AH684/1000/$C$3)</f>
        <v>#DIV/0!</v>
      </c>
      <c r="AN684" s="1040" t="e">
        <f>IF($F284="","",$F284*chronic_consumption!AI684/1000/$C$3)</f>
        <v>#DIV/0!</v>
      </c>
      <c r="AO684" s="1040" t="e">
        <f>IF($F284="","",$F284*chronic_consumption!AJ684/1000/$C$3)</f>
        <v>#DIV/0!</v>
      </c>
      <c r="AP684" s="1040" t="e">
        <f>IF($F284="","",$F284*chronic_consumption!AK684/1000/$C$3)</f>
        <v>#DIV/0!</v>
      </c>
      <c r="AQ684" s="1040" t="e">
        <f>IF($F284="","",$F284*chronic_consumption!AL684/1000/$C$3)</f>
        <v>#DIV/0!</v>
      </c>
      <c r="AR684" s="1040" t="e">
        <f>IF($F284="","",$F284*chronic_consumption!AM684/1000/$C$3)</f>
        <v>#DIV/0!</v>
      </c>
      <c r="AS684" s="1040" t="e">
        <f>IF($F284="","",$F284*chronic_consumption!AN684/1000/$C$3)</f>
        <v>#DIV/0!</v>
      </c>
      <c r="AT684" s="1040" t="e">
        <f>IF($F284="","",$F284*chronic_consumption!AO684/1000/$C$3)</f>
        <v>#DIV/0!</v>
      </c>
      <c r="AU684" s="1040" t="e">
        <f>IF($F284="","",$F284*chronic_consumption!AP684/1000/$C$3)</f>
        <v>#DIV/0!</v>
      </c>
      <c r="AV684" s="1040" t="e">
        <f>IF($F284="","",$F284*chronic_consumption!AQ684/1000/$C$3)</f>
        <v>#DIV/0!</v>
      </c>
      <c r="AW684" s="1040" t="e">
        <f>IF($F284="","",$F284*chronic_consumption!AR684/1000/$C$3)</f>
        <v>#DIV/0!</v>
      </c>
      <c r="AX684" s="1040" t="e">
        <f>IF($F284="","",$F284*chronic_consumption!AS684/1000/$C$3)</f>
        <v>#DIV/0!</v>
      </c>
      <c r="AY684" s="1040" t="e">
        <f>IF($F284="","",$F284*chronic_consumption!AT684/1000/$C$3)</f>
        <v>#DIV/0!</v>
      </c>
      <c r="AZ684" s="44" t="s">
        <v>20</v>
      </c>
      <c r="BC684" s="29"/>
      <c r="BD684" s="29"/>
    </row>
    <row r="685" spans="1:56" ht="12" hidden="1" customHeight="1" outlineLevel="3" x14ac:dyDescent="0.2">
      <c r="A685" s="21">
        <f>acute_overview_children!A285</f>
        <v>4</v>
      </c>
      <c r="B685" s="325">
        <f t="shared" si="49"/>
        <v>810070</v>
      </c>
      <c r="C685" s="325" t="str">
        <f t="shared" si="49"/>
        <v>Fennel seed</v>
      </c>
      <c r="D685" s="135"/>
      <c r="E685" s="1027"/>
      <c r="F685" s="87"/>
      <c r="G685" s="1027"/>
      <c r="H685" s="1029"/>
      <c r="I685" s="1030"/>
      <c r="J685" s="1039" t="e">
        <f>IF($F285="","",$F285*chronic_consumption!E685/1000/$C$3)</f>
        <v>#DIV/0!</v>
      </c>
      <c r="K685" s="1040" t="e">
        <f>IF($F285="","",$F285*chronic_consumption!F685/1000/$C$3)</f>
        <v>#DIV/0!</v>
      </c>
      <c r="L685" s="1040" t="e">
        <f>IF($F285="","",$F285*chronic_consumption!G685/1000/$C$3)</f>
        <v>#DIV/0!</v>
      </c>
      <c r="M685" s="1040" t="e">
        <f>IF($F285="","",$F285*chronic_consumption!H685/1000/$C$3)</f>
        <v>#DIV/0!</v>
      </c>
      <c r="N685" s="1040" t="e">
        <f>IF($F285="","",$F285*chronic_consumption!I685/1000/$C$3)</f>
        <v>#DIV/0!</v>
      </c>
      <c r="O685" s="1040" t="e">
        <f>IF($F285="","",$F285*chronic_consumption!J685/1000/$C$3)</f>
        <v>#DIV/0!</v>
      </c>
      <c r="P685" s="1040" t="e">
        <f>IF($F285="","",$F285*chronic_consumption!K685/1000/$C$3)</f>
        <v>#DIV/0!</v>
      </c>
      <c r="Q685" s="1040" t="e">
        <f>IF($F285="","",$F285*chronic_consumption!L685/1000/$C$3)</f>
        <v>#DIV/0!</v>
      </c>
      <c r="R685" s="1040" t="e">
        <f>IF($F285="","",$F285*chronic_consumption!M685/1000/$C$3)</f>
        <v>#DIV/0!</v>
      </c>
      <c r="S685" s="1040" t="e">
        <f>IF($F285="","",$F285*chronic_consumption!N685/1000/$C$3)</f>
        <v>#DIV/0!</v>
      </c>
      <c r="T685" s="1040" t="e">
        <f>IF($F285="","",$F285*chronic_consumption!O685/1000/$C$3)</f>
        <v>#DIV/0!</v>
      </c>
      <c r="U685" s="1040" t="e">
        <f>IF($F285="","",$F285*chronic_consumption!P685/1000/$C$3)</f>
        <v>#DIV/0!</v>
      </c>
      <c r="V685" s="1040" t="e">
        <f>IF($F285="","",$F285*chronic_consumption!Q685/1000/$C$3)</f>
        <v>#DIV/0!</v>
      </c>
      <c r="W685" s="1040" t="e">
        <f>IF($F285="","",$F285*chronic_consumption!R685/1000/$C$3)</f>
        <v>#DIV/0!</v>
      </c>
      <c r="X685" s="1040" t="e">
        <f>IF($F285="","",$F285*chronic_consumption!S685/1000/$C$3)</f>
        <v>#DIV/0!</v>
      </c>
      <c r="Y685" s="1040" t="e">
        <f>IF($F285="","",$F285*chronic_consumption!T685/1000/$C$3)</f>
        <v>#DIV/0!</v>
      </c>
      <c r="Z685" s="1040" t="e">
        <f>IF($F285="","",$F285*chronic_consumption!U685/1000/$C$3)</f>
        <v>#DIV/0!</v>
      </c>
      <c r="AA685" s="1040" t="e">
        <f>IF($F285="","",$F285*chronic_consumption!V685/1000/$C$3)</f>
        <v>#DIV/0!</v>
      </c>
      <c r="AB685" s="1040" t="e">
        <f>IF($F285="","",$F285*chronic_consumption!W685/1000/$C$3)</f>
        <v>#DIV/0!</v>
      </c>
      <c r="AC685" s="1040" t="e">
        <f>IF($F285="","",$F285*chronic_consumption!X685/1000/$C$3)</f>
        <v>#DIV/0!</v>
      </c>
      <c r="AD685" s="1040" t="e">
        <f>IF($F285="","",$F285*chronic_consumption!Y685/1000/$C$3)</f>
        <v>#DIV/0!</v>
      </c>
      <c r="AE685" s="1040" t="e">
        <f>IF($F285="","",$F285*chronic_consumption!Z685/1000/$C$3)</f>
        <v>#DIV/0!</v>
      </c>
      <c r="AF685" s="1040" t="e">
        <f>IF($F285="","",$F285*chronic_consumption!AA685/1000/$C$3)</f>
        <v>#DIV/0!</v>
      </c>
      <c r="AG685" s="1040" t="e">
        <f>IF($F285="","",$F285*chronic_consumption!AB685/1000/$C$3)</f>
        <v>#DIV/0!</v>
      </c>
      <c r="AH685" s="1040" t="e">
        <f>IF($F285="","",$F285*chronic_consumption!AC685/1000/$C$3)</f>
        <v>#DIV/0!</v>
      </c>
      <c r="AI685" s="1040" t="e">
        <f>IF($F285="","",$F285*chronic_consumption!AD685/1000/$C$3)</f>
        <v>#DIV/0!</v>
      </c>
      <c r="AJ685" s="1040" t="e">
        <f>IF($F285="","",$F285*chronic_consumption!AE685/1000/$C$3)</f>
        <v>#DIV/0!</v>
      </c>
      <c r="AK685" s="1040" t="e">
        <f>IF($F285="","",$F285*chronic_consumption!AF685/1000/$C$3)</f>
        <v>#DIV/0!</v>
      </c>
      <c r="AL685" s="1040" t="e">
        <f>IF($F285="","",$F285*chronic_consumption!AG685/1000/$C$3)</f>
        <v>#DIV/0!</v>
      </c>
      <c r="AM685" s="1040" t="e">
        <f>IF($F285="","",$F285*chronic_consumption!AH685/1000/$C$3)</f>
        <v>#DIV/0!</v>
      </c>
      <c r="AN685" s="1040" t="e">
        <f>IF($F285="","",$F285*chronic_consumption!AI685/1000/$C$3)</f>
        <v>#DIV/0!</v>
      </c>
      <c r="AO685" s="1040" t="e">
        <f>IF($F285="","",$F285*chronic_consumption!AJ685/1000/$C$3)</f>
        <v>#DIV/0!</v>
      </c>
      <c r="AP685" s="1040" t="e">
        <f>IF($F285="","",$F285*chronic_consumption!AK685/1000/$C$3)</f>
        <v>#DIV/0!</v>
      </c>
      <c r="AQ685" s="1040" t="e">
        <f>IF($F285="","",$F285*chronic_consumption!AL685/1000/$C$3)</f>
        <v>#DIV/0!</v>
      </c>
      <c r="AR685" s="1040" t="e">
        <f>IF($F285="","",$F285*chronic_consumption!AM685/1000/$C$3)</f>
        <v>#DIV/0!</v>
      </c>
      <c r="AS685" s="1040" t="e">
        <f>IF($F285="","",$F285*chronic_consumption!AN685/1000/$C$3)</f>
        <v>#DIV/0!</v>
      </c>
      <c r="AT685" s="1040" t="e">
        <f>IF($F285="","",$F285*chronic_consumption!AO685/1000/$C$3)</f>
        <v>#DIV/0!</v>
      </c>
      <c r="AU685" s="1040" t="e">
        <f>IF($F285="","",$F285*chronic_consumption!AP685/1000/$C$3)</f>
        <v>#DIV/0!</v>
      </c>
      <c r="AV685" s="1040" t="e">
        <f>IF($F285="","",$F285*chronic_consumption!AQ685/1000/$C$3)</f>
        <v>#DIV/0!</v>
      </c>
      <c r="AW685" s="1040" t="e">
        <f>IF($F285="","",$F285*chronic_consumption!AR685/1000/$C$3)</f>
        <v>#DIV/0!</v>
      </c>
      <c r="AX685" s="1040" t="e">
        <f>IF($F285="","",$F285*chronic_consumption!AS685/1000/$C$3)</f>
        <v>#DIV/0!</v>
      </c>
      <c r="AY685" s="1040" t="e">
        <f>IF($F285="","",$F285*chronic_consumption!AT685/1000/$C$3)</f>
        <v>#DIV/0!</v>
      </c>
      <c r="AZ685" s="44" t="s">
        <v>20</v>
      </c>
      <c r="BC685" s="29"/>
      <c r="BD685" s="29"/>
    </row>
    <row r="686" spans="1:56" ht="12" hidden="1" customHeight="1" outlineLevel="3" x14ac:dyDescent="0.2">
      <c r="A686" s="21">
        <f>acute_overview_children!A286</f>
        <v>4</v>
      </c>
      <c r="B686" s="325">
        <f t="shared" si="49"/>
        <v>810080</v>
      </c>
      <c r="C686" s="325" t="str">
        <f t="shared" si="49"/>
        <v>Fenugreek</v>
      </c>
      <c r="D686" s="135"/>
      <c r="E686" s="1027"/>
      <c r="F686" s="87"/>
      <c r="G686" s="1027"/>
      <c r="H686" s="1029"/>
      <c r="I686" s="1030"/>
      <c r="J686" s="1039" t="e">
        <f>IF($F286="","",$F286*chronic_consumption!E686/1000/$C$3)</f>
        <v>#DIV/0!</v>
      </c>
      <c r="K686" s="1040" t="e">
        <f>IF($F286="","",$F286*chronic_consumption!F686/1000/$C$3)</f>
        <v>#DIV/0!</v>
      </c>
      <c r="L686" s="1040" t="e">
        <f>IF($F286="","",$F286*chronic_consumption!G686/1000/$C$3)</f>
        <v>#DIV/0!</v>
      </c>
      <c r="M686" s="1040" t="e">
        <f>IF($F286="","",$F286*chronic_consumption!H686/1000/$C$3)</f>
        <v>#DIV/0!</v>
      </c>
      <c r="N686" s="1040" t="e">
        <f>IF($F286="","",$F286*chronic_consumption!I686/1000/$C$3)</f>
        <v>#DIV/0!</v>
      </c>
      <c r="O686" s="1040" t="e">
        <f>IF($F286="","",$F286*chronic_consumption!J686/1000/$C$3)</f>
        <v>#DIV/0!</v>
      </c>
      <c r="P686" s="1040" t="e">
        <f>IF($F286="","",$F286*chronic_consumption!K686/1000/$C$3)</f>
        <v>#DIV/0!</v>
      </c>
      <c r="Q686" s="1040" t="e">
        <f>IF($F286="","",$F286*chronic_consumption!L686/1000/$C$3)</f>
        <v>#DIV/0!</v>
      </c>
      <c r="R686" s="1040" t="e">
        <f>IF($F286="","",$F286*chronic_consumption!M686/1000/$C$3)</f>
        <v>#DIV/0!</v>
      </c>
      <c r="S686" s="1040" t="e">
        <f>IF($F286="","",$F286*chronic_consumption!N686/1000/$C$3)</f>
        <v>#DIV/0!</v>
      </c>
      <c r="T686" s="1040" t="e">
        <f>IF($F286="","",$F286*chronic_consumption!O686/1000/$C$3)</f>
        <v>#DIV/0!</v>
      </c>
      <c r="U686" s="1040" t="e">
        <f>IF($F286="","",$F286*chronic_consumption!P686/1000/$C$3)</f>
        <v>#DIV/0!</v>
      </c>
      <c r="V686" s="1040" t="e">
        <f>IF($F286="","",$F286*chronic_consumption!Q686/1000/$C$3)</f>
        <v>#DIV/0!</v>
      </c>
      <c r="W686" s="1040" t="e">
        <f>IF($F286="","",$F286*chronic_consumption!R686/1000/$C$3)</f>
        <v>#DIV/0!</v>
      </c>
      <c r="X686" s="1040" t="e">
        <f>IF($F286="","",$F286*chronic_consumption!S686/1000/$C$3)</f>
        <v>#DIV/0!</v>
      </c>
      <c r="Y686" s="1040" t="e">
        <f>IF($F286="","",$F286*chronic_consumption!T686/1000/$C$3)</f>
        <v>#DIV/0!</v>
      </c>
      <c r="Z686" s="1040" t="e">
        <f>IF($F286="","",$F286*chronic_consumption!U686/1000/$C$3)</f>
        <v>#DIV/0!</v>
      </c>
      <c r="AA686" s="1040" t="e">
        <f>IF($F286="","",$F286*chronic_consumption!V686/1000/$C$3)</f>
        <v>#DIV/0!</v>
      </c>
      <c r="AB686" s="1040" t="e">
        <f>IF($F286="","",$F286*chronic_consumption!W686/1000/$C$3)</f>
        <v>#DIV/0!</v>
      </c>
      <c r="AC686" s="1040" t="e">
        <f>IF($F286="","",$F286*chronic_consumption!X686/1000/$C$3)</f>
        <v>#DIV/0!</v>
      </c>
      <c r="AD686" s="1040" t="e">
        <f>IF($F286="","",$F286*chronic_consumption!Y686/1000/$C$3)</f>
        <v>#DIV/0!</v>
      </c>
      <c r="AE686" s="1040" t="e">
        <f>IF($F286="","",$F286*chronic_consumption!Z686/1000/$C$3)</f>
        <v>#DIV/0!</v>
      </c>
      <c r="AF686" s="1040" t="e">
        <f>IF($F286="","",$F286*chronic_consumption!AA686/1000/$C$3)</f>
        <v>#DIV/0!</v>
      </c>
      <c r="AG686" s="1040" t="e">
        <f>IF($F286="","",$F286*chronic_consumption!AB686/1000/$C$3)</f>
        <v>#DIV/0!</v>
      </c>
      <c r="AH686" s="1040" t="e">
        <f>IF($F286="","",$F286*chronic_consumption!AC686/1000/$C$3)</f>
        <v>#DIV/0!</v>
      </c>
      <c r="AI686" s="1040" t="e">
        <f>IF($F286="","",$F286*chronic_consumption!AD686/1000/$C$3)</f>
        <v>#DIV/0!</v>
      </c>
      <c r="AJ686" s="1040" t="e">
        <f>IF($F286="","",$F286*chronic_consumption!AE686/1000/$C$3)</f>
        <v>#DIV/0!</v>
      </c>
      <c r="AK686" s="1040" t="e">
        <f>IF($F286="","",$F286*chronic_consumption!AF686/1000/$C$3)</f>
        <v>#DIV/0!</v>
      </c>
      <c r="AL686" s="1040" t="e">
        <f>IF($F286="","",$F286*chronic_consumption!AG686/1000/$C$3)</f>
        <v>#DIV/0!</v>
      </c>
      <c r="AM686" s="1040" t="e">
        <f>IF($F286="","",$F286*chronic_consumption!AH686/1000/$C$3)</f>
        <v>#DIV/0!</v>
      </c>
      <c r="AN686" s="1040" t="e">
        <f>IF($F286="","",$F286*chronic_consumption!AI686/1000/$C$3)</f>
        <v>#DIV/0!</v>
      </c>
      <c r="AO686" s="1040" t="e">
        <f>IF($F286="","",$F286*chronic_consumption!AJ686/1000/$C$3)</f>
        <v>#DIV/0!</v>
      </c>
      <c r="AP686" s="1040" t="e">
        <f>IF($F286="","",$F286*chronic_consumption!AK686/1000/$C$3)</f>
        <v>#DIV/0!</v>
      </c>
      <c r="AQ686" s="1040" t="e">
        <f>IF($F286="","",$F286*chronic_consumption!AL686/1000/$C$3)</f>
        <v>#DIV/0!</v>
      </c>
      <c r="AR686" s="1040" t="e">
        <f>IF($F286="","",$F286*chronic_consumption!AM686/1000/$C$3)</f>
        <v>#DIV/0!</v>
      </c>
      <c r="AS686" s="1040" t="e">
        <f>IF($F286="","",$F286*chronic_consumption!AN686/1000/$C$3)</f>
        <v>#DIV/0!</v>
      </c>
      <c r="AT686" s="1040" t="e">
        <f>IF($F286="","",$F286*chronic_consumption!AO686/1000/$C$3)</f>
        <v>#DIV/0!</v>
      </c>
      <c r="AU686" s="1040" t="e">
        <f>IF($F286="","",$F286*chronic_consumption!AP686/1000/$C$3)</f>
        <v>#DIV/0!</v>
      </c>
      <c r="AV686" s="1040" t="e">
        <f>IF($F286="","",$F286*chronic_consumption!AQ686/1000/$C$3)</f>
        <v>#DIV/0!</v>
      </c>
      <c r="AW686" s="1040" t="e">
        <f>IF($F286="","",$F286*chronic_consumption!AR686/1000/$C$3)</f>
        <v>#DIV/0!</v>
      </c>
      <c r="AX686" s="1040" t="e">
        <f>IF($F286="","",$F286*chronic_consumption!AS686/1000/$C$3)</f>
        <v>#DIV/0!</v>
      </c>
      <c r="AY686" s="1040" t="e">
        <f>IF($F286="","",$F286*chronic_consumption!AT686/1000/$C$3)</f>
        <v>#DIV/0!</v>
      </c>
      <c r="AZ686" s="44" t="s">
        <v>20</v>
      </c>
      <c r="BC686" s="29"/>
      <c r="BD686" s="29"/>
    </row>
    <row r="687" spans="1:56" ht="12" hidden="1" customHeight="1" outlineLevel="3" x14ac:dyDescent="0.2">
      <c r="A687" s="21">
        <f>acute_overview_children!A287</f>
        <v>4</v>
      </c>
      <c r="B687" s="325">
        <f t="shared" si="49"/>
        <v>810090</v>
      </c>
      <c r="C687" s="325" t="str">
        <f t="shared" si="49"/>
        <v>Nutmeg</v>
      </c>
      <c r="D687" s="135"/>
      <c r="E687" s="1027"/>
      <c r="F687" s="87"/>
      <c r="G687" s="1027"/>
      <c r="H687" s="1029"/>
      <c r="I687" s="1030"/>
      <c r="J687" s="1039" t="e">
        <f>IF($F287="","",$F287*chronic_consumption!E687/1000/$C$3)</f>
        <v>#DIV/0!</v>
      </c>
      <c r="K687" s="1040" t="e">
        <f>IF($F287="","",$F287*chronic_consumption!F687/1000/$C$3)</f>
        <v>#DIV/0!</v>
      </c>
      <c r="L687" s="1040" t="e">
        <f>IF($F287="","",$F287*chronic_consumption!G687/1000/$C$3)</f>
        <v>#DIV/0!</v>
      </c>
      <c r="M687" s="1040" t="e">
        <f>IF($F287="","",$F287*chronic_consumption!H687/1000/$C$3)</f>
        <v>#DIV/0!</v>
      </c>
      <c r="N687" s="1040" t="e">
        <f>IF($F287="","",$F287*chronic_consumption!I687/1000/$C$3)</f>
        <v>#DIV/0!</v>
      </c>
      <c r="O687" s="1040" t="e">
        <f>IF($F287="","",$F287*chronic_consumption!J687/1000/$C$3)</f>
        <v>#DIV/0!</v>
      </c>
      <c r="P687" s="1040" t="e">
        <f>IF($F287="","",$F287*chronic_consumption!K687/1000/$C$3)</f>
        <v>#DIV/0!</v>
      </c>
      <c r="Q687" s="1040" t="e">
        <f>IF($F287="","",$F287*chronic_consumption!L687/1000/$C$3)</f>
        <v>#DIV/0!</v>
      </c>
      <c r="R687" s="1040" t="e">
        <f>IF($F287="","",$F287*chronic_consumption!M687/1000/$C$3)</f>
        <v>#DIV/0!</v>
      </c>
      <c r="S687" s="1040" t="e">
        <f>IF($F287="","",$F287*chronic_consumption!N687/1000/$C$3)</f>
        <v>#DIV/0!</v>
      </c>
      <c r="T687" s="1040" t="e">
        <f>IF($F287="","",$F287*chronic_consumption!O687/1000/$C$3)</f>
        <v>#DIV/0!</v>
      </c>
      <c r="U687" s="1040" t="e">
        <f>IF($F287="","",$F287*chronic_consumption!P687/1000/$C$3)</f>
        <v>#DIV/0!</v>
      </c>
      <c r="V687" s="1040" t="e">
        <f>IF($F287="","",$F287*chronic_consumption!Q687/1000/$C$3)</f>
        <v>#DIV/0!</v>
      </c>
      <c r="W687" s="1040" t="e">
        <f>IF($F287="","",$F287*chronic_consumption!R687/1000/$C$3)</f>
        <v>#DIV/0!</v>
      </c>
      <c r="X687" s="1040" t="e">
        <f>IF($F287="","",$F287*chronic_consumption!S687/1000/$C$3)</f>
        <v>#DIV/0!</v>
      </c>
      <c r="Y687" s="1040" t="e">
        <f>IF($F287="","",$F287*chronic_consumption!T687/1000/$C$3)</f>
        <v>#DIV/0!</v>
      </c>
      <c r="Z687" s="1040" t="e">
        <f>IF($F287="","",$F287*chronic_consumption!U687/1000/$C$3)</f>
        <v>#DIV/0!</v>
      </c>
      <c r="AA687" s="1040" t="e">
        <f>IF($F287="","",$F287*chronic_consumption!V687/1000/$C$3)</f>
        <v>#DIV/0!</v>
      </c>
      <c r="AB687" s="1040" t="e">
        <f>IF($F287="","",$F287*chronic_consumption!W687/1000/$C$3)</f>
        <v>#DIV/0!</v>
      </c>
      <c r="AC687" s="1040" t="e">
        <f>IF($F287="","",$F287*chronic_consumption!X687/1000/$C$3)</f>
        <v>#DIV/0!</v>
      </c>
      <c r="AD687" s="1040" t="e">
        <f>IF($F287="","",$F287*chronic_consumption!Y687/1000/$C$3)</f>
        <v>#DIV/0!</v>
      </c>
      <c r="AE687" s="1040" t="e">
        <f>IF($F287="","",$F287*chronic_consumption!Z687/1000/$C$3)</f>
        <v>#DIV/0!</v>
      </c>
      <c r="AF687" s="1040" t="e">
        <f>IF($F287="","",$F287*chronic_consumption!AA687/1000/$C$3)</f>
        <v>#DIV/0!</v>
      </c>
      <c r="AG687" s="1040" t="e">
        <f>IF($F287="","",$F287*chronic_consumption!AB687/1000/$C$3)</f>
        <v>#DIV/0!</v>
      </c>
      <c r="AH687" s="1040" t="e">
        <f>IF($F287="","",$F287*chronic_consumption!AC687/1000/$C$3)</f>
        <v>#DIV/0!</v>
      </c>
      <c r="AI687" s="1040" t="e">
        <f>IF($F287="","",$F287*chronic_consumption!AD687/1000/$C$3)</f>
        <v>#DIV/0!</v>
      </c>
      <c r="AJ687" s="1040" t="e">
        <f>IF($F287="","",$F287*chronic_consumption!AE687/1000/$C$3)</f>
        <v>#DIV/0!</v>
      </c>
      <c r="AK687" s="1040" t="e">
        <f>IF($F287="","",$F287*chronic_consumption!AF687/1000/$C$3)</f>
        <v>#DIV/0!</v>
      </c>
      <c r="AL687" s="1040" t="e">
        <f>IF($F287="","",$F287*chronic_consumption!AG687/1000/$C$3)</f>
        <v>#DIV/0!</v>
      </c>
      <c r="AM687" s="1040" t="e">
        <f>IF($F287="","",$F287*chronic_consumption!AH687/1000/$C$3)</f>
        <v>#DIV/0!</v>
      </c>
      <c r="AN687" s="1040" t="e">
        <f>IF($F287="","",$F287*chronic_consumption!AI687/1000/$C$3)</f>
        <v>#DIV/0!</v>
      </c>
      <c r="AO687" s="1040" t="e">
        <f>IF($F287="","",$F287*chronic_consumption!AJ687/1000/$C$3)</f>
        <v>#DIV/0!</v>
      </c>
      <c r="AP687" s="1040" t="e">
        <f>IF($F287="","",$F287*chronic_consumption!AK687/1000/$C$3)</f>
        <v>#DIV/0!</v>
      </c>
      <c r="AQ687" s="1040" t="e">
        <f>IF($F287="","",$F287*chronic_consumption!AL687/1000/$C$3)</f>
        <v>#DIV/0!</v>
      </c>
      <c r="AR687" s="1040" t="e">
        <f>IF($F287="","",$F287*chronic_consumption!AM687/1000/$C$3)</f>
        <v>#DIV/0!</v>
      </c>
      <c r="AS687" s="1040" t="e">
        <f>IF($F287="","",$F287*chronic_consumption!AN687/1000/$C$3)</f>
        <v>#DIV/0!</v>
      </c>
      <c r="AT687" s="1040" t="e">
        <f>IF($F287="","",$F287*chronic_consumption!AO687/1000/$C$3)</f>
        <v>#DIV/0!</v>
      </c>
      <c r="AU687" s="1040" t="e">
        <f>IF($F287="","",$F287*chronic_consumption!AP687/1000/$C$3)</f>
        <v>#DIV/0!</v>
      </c>
      <c r="AV687" s="1040" t="e">
        <f>IF($F287="","",$F287*chronic_consumption!AQ687/1000/$C$3)</f>
        <v>#DIV/0!</v>
      </c>
      <c r="AW687" s="1040" t="e">
        <f>IF($F287="","",$F287*chronic_consumption!AR687/1000/$C$3)</f>
        <v>#DIV/0!</v>
      </c>
      <c r="AX687" s="1040" t="e">
        <f>IF($F287="","",$F287*chronic_consumption!AS687/1000/$C$3)</f>
        <v>#DIV/0!</v>
      </c>
      <c r="AY687" s="1040" t="e">
        <f>IF($F287="","",$F287*chronic_consumption!AT687/1000/$C$3)</f>
        <v>#DIV/0!</v>
      </c>
      <c r="AZ687" s="44" t="s">
        <v>20</v>
      </c>
      <c r="BC687" s="29"/>
      <c r="BD687" s="29"/>
    </row>
    <row r="688" spans="1:56" ht="12" hidden="1" customHeight="1" outlineLevel="3" x14ac:dyDescent="0.2">
      <c r="A688" s="21">
        <f>acute_overview_children!A288</f>
        <v>4</v>
      </c>
      <c r="B688" s="325">
        <f t="shared" si="49"/>
        <v>810990</v>
      </c>
      <c r="C688" s="325" t="str">
        <f t="shared" si="49"/>
        <v>Other spices (seeds)</v>
      </c>
      <c r="D688" s="135"/>
      <c r="E688" s="1027"/>
      <c r="F688" s="87"/>
      <c r="G688" s="1027"/>
      <c r="H688" s="1029"/>
      <c r="I688" s="1030"/>
      <c r="J688" s="1039" t="e">
        <f>IF($F288="","",$F288*chronic_consumption!E688/1000/$C$3)</f>
        <v>#DIV/0!</v>
      </c>
      <c r="K688" s="1040" t="e">
        <f>IF($F288="","",$F288*chronic_consumption!F688/1000/$C$3)</f>
        <v>#DIV/0!</v>
      </c>
      <c r="L688" s="1040" t="e">
        <f>IF($F288="","",$F288*chronic_consumption!G688/1000/$C$3)</f>
        <v>#DIV/0!</v>
      </c>
      <c r="M688" s="1040" t="e">
        <f>IF($F288="","",$F288*chronic_consumption!H688/1000/$C$3)</f>
        <v>#DIV/0!</v>
      </c>
      <c r="N688" s="1040" t="e">
        <f>IF($F288="","",$F288*chronic_consumption!I688/1000/$C$3)</f>
        <v>#DIV/0!</v>
      </c>
      <c r="O688" s="1040" t="e">
        <f>IF($F288="","",$F288*chronic_consumption!J688/1000/$C$3)</f>
        <v>#DIV/0!</v>
      </c>
      <c r="P688" s="1040" t="e">
        <f>IF($F288="","",$F288*chronic_consumption!K688/1000/$C$3)</f>
        <v>#DIV/0!</v>
      </c>
      <c r="Q688" s="1040" t="e">
        <f>IF($F288="","",$F288*chronic_consumption!L688/1000/$C$3)</f>
        <v>#DIV/0!</v>
      </c>
      <c r="R688" s="1040" t="e">
        <f>IF($F288="","",$F288*chronic_consumption!M688/1000/$C$3)</f>
        <v>#DIV/0!</v>
      </c>
      <c r="S688" s="1040" t="e">
        <f>IF($F288="","",$F288*chronic_consumption!N688/1000/$C$3)</f>
        <v>#DIV/0!</v>
      </c>
      <c r="T688" s="1040" t="e">
        <f>IF($F288="","",$F288*chronic_consumption!O688/1000/$C$3)</f>
        <v>#DIV/0!</v>
      </c>
      <c r="U688" s="1040" t="e">
        <f>IF($F288="","",$F288*chronic_consumption!P688/1000/$C$3)</f>
        <v>#DIV/0!</v>
      </c>
      <c r="V688" s="1040" t="e">
        <f>IF($F288="","",$F288*chronic_consumption!Q688/1000/$C$3)</f>
        <v>#DIV/0!</v>
      </c>
      <c r="W688" s="1040" t="e">
        <f>IF($F288="","",$F288*chronic_consumption!R688/1000/$C$3)</f>
        <v>#DIV/0!</v>
      </c>
      <c r="X688" s="1040" t="e">
        <f>IF($F288="","",$F288*chronic_consumption!S688/1000/$C$3)</f>
        <v>#DIV/0!</v>
      </c>
      <c r="Y688" s="1040" t="e">
        <f>IF($F288="","",$F288*chronic_consumption!T688/1000/$C$3)</f>
        <v>#DIV/0!</v>
      </c>
      <c r="Z688" s="1040" t="e">
        <f>IF($F288="","",$F288*chronic_consumption!U688/1000/$C$3)</f>
        <v>#DIV/0!</v>
      </c>
      <c r="AA688" s="1040" t="e">
        <f>IF($F288="","",$F288*chronic_consumption!V688/1000/$C$3)</f>
        <v>#DIV/0!</v>
      </c>
      <c r="AB688" s="1040" t="e">
        <f>IF($F288="","",$F288*chronic_consumption!W688/1000/$C$3)</f>
        <v>#DIV/0!</v>
      </c>
      <c r="AC688" s="1040" t="e">
        <f>IF($F288="","",$F288*chronic_consumption!X688/1000/$C$3)</f>
        <v>#DIV/0!</v>
      </c>
      <c r="AD688" s="1040" t="e">
        <f>IF($F288="","",$F288*chronic_consumption!Y688/1000/$C$3)</f>
        <v>#DIV/0!</v>
      </c>
      <c r="AE688" s="1040" t="e">
        <f>IF($F288="","",$F288*chronic_consumption!Z688/1000/$C$3)</f>
        <v>#DIV/0!</v>
      </c>
      <c r="AF688" s="1040" t="e">
        <f>IF($F288="","",$F288*chronic_consumption!AA688/1000/$C$3)</f>
        <v>#DIV/0!</v>
      </c>
      <c r="AG688" s="1040" t="e">
        <f>IF($F288="","",$F288*chronic_consumption!AB688/1000/$C$3)</f>
        <v>#DIV/0!</v>
      </c>
      <c r="AH688" s="1040" t="e">
        <f>IF($F288="","",$F288*chronic_consumption!AC688/1000/$C$3)</f>
        <v>#DIV/0!</v>
      </c>
      <c r="AI688" s="1040" t="e">
        <f>IF($F288="","",$F288*chronic_consumption!AD688/1000/$C$3)</f>
        <v>#DIV/0!</v>
      </c>
      <c r="AJ688" s="1040" t="e">
        <f>IF($F288="","",$F288*chronic_consumption!AE688/1000/$C$3)</f>
        <v>#DIV/0!</v>
      </c>
      <c r="AK688" s="1040" t="e">
        <f>IF($F288="","",$F288*chronic_consumption!AF688/1000/$C$3)</f>
        <v>#DIV/0!</v>
      </c>
      <c r="AL688" s="1040" t="e">
        <f>IF($F288="","",$F288*chronic_consumption!AG688/1000/$C$3)</f>
        <v>#DIV/0!</v>
      </c>
      <c r="AM688" s="1040" t="e">
        <f>IF($F288="","",$F288*chronic_consumption!AH688/1000/$C$3)</f>
        <v>#DIV/0!</v>
      </c>
      <c r="AN688" s="1040" t="e">
        <f>IF($F288="","",$F288*chronic_consumption!AI688/1000/$C$3)</f>
        <v>#DIV/0!</v>
      </c>
      <c r="AO688" s="1040" t="e">
        <f>IF($F288="","",$F288*chronic_consumption!AJ688/1000/$C$3)</f>
        <v>#DIV/0!</v>
      </c>
      <c r="AP688" s="1040" t="e">
        <f>IF($F288="","",$F288*chronic_consumption!AK688/1000/$C$3)</f>
        <v>#DIV/0!</v>
      </c>
      <c r="AQ688" s="1040" t="e">
        <f>IF($F288="","",$F288*chronic_consumption!AL688/1000/$C$3)</f>
        <v>#DIV/0!</v>
      </c>
      <c r="AR688" s="1040" t="e">
        <f>IF($F288="","",$F288*chronic_consumption!AM688/1000/$C$3)</f>
        <v>#DIV/0!</v>
      </c>
      <c r="AS688" s="1040" t="e">
        <f>IF($F288="","",$F288*chronic_consumption!AN688/1000/$C$3)</f>
        <v>#DIV/0!</v>
      </c>
      <c r="AT688" s="1040" t="e">
        <f>IF($F288="","",$F288*chronic_consumption!AO688/1000/$C$3)</f>
        <v>#DIV/0!</v>
      </c>
      <c r="AU688" s="1040" t="e">
        <f>IF($F288="","",$F288*chronic_consumption!AP688/1000/$C$3)</f>
        <v>#DIV/0!</v>
      </c>
      <c r="AV688" s="1040" t="e">
        <f>IF($F288="","",$F288*chronic_consumption!AQ688/1000/$C$3)</f>
        <v>#DIV/0!</v>
      </c>
      <c r="AW688" s="1040" t="e">
        <f>IF($F288="","",$F288*chronic_consumption!AR688/1000/$C$3)</f>
        <v>#DIV/0!</v>
      </c>
      <c r="AX688" s="1040" t="e">
        <f>IF($F288="","",$F288*chronic_consumption!AS688/1000/$C$3)</f>
        <v>#DIV/0!</v>
      </c>
      <c r="AY688" s="1040" t="e">
        <f>IF($F288="","",$F288*chronic_consumption!AT688/1000/$C$3)</f>
        <v>#DIV/0!</v>
      </c>
      <c r="AZ688" s="44" t="s">
        <v>20</v>
      </c>
      <c r="BC688" s="29"/>
      <c r="BD688" s="29"/>
    </row>
    <row r="689" spans="1:56" ht="12" hidden="1" customHeight="1" outlineLevel="1" x14ac:dyDescent="0.2">
      <c r="A689" s="1033">
        <f>acute_overview_children!A289</f>
        <v>2</v>
      </c>
      <c r="B689" s="1034">
        <f t="shared" si="49"/>
        <v>820000</v>
      </c>
      <c r="C689" s="1034" t="str">
        <f t="shared" si="49"/>
        <v>Spices (fruits)</v>
      </c>
      <c r="D689" s="1035"/>
      <c r="E689" s="1027"/>
      <c r="F689" s="87"/>
      <c r="G689" s="1027"/>
      <c r="H689" s="1029"/>
      <c r="I689" s="1030"/>
      <c r="J689" s="1037" t="e">
        <f>IF($F289="","",$F289*chronic_consumption!E689/1000/$C$3)</f>
        <v>#DIV/0!</v>
      </c>
      <c r="K689" s="1038" t="e">
        <f>IF($F289="","",$F289*chronic_consumption!F689/1000/$C$3)</f>
        <v>#DIV/0!</v>
      </c>
      <c r="L689" s="1038" t="e">
        <f>IF($F289="","",$F289*chronic_consumption!G689/1000/$C$3)</f>
        <v>#DIV/0!</v>
      </c>
      <c r="M689" s="1038" t="e">
        <f>IF($F289="","",$F289*chronic_consumption!H689/1000/$C$3)</f>
        <v>#DIV/0!</v>
      </c>
      <c r="N689" s="1038" t="e">
        <f>IF($F289="","",$F289*chronic_consumption!I689/1000/$C$3)</f>
        <v>#DIV/0!</v>
      </c>
      <c r="O689" s="1038" t="e">
        <f>IF($F289="","",$F289*chronic_consumption!J689/1000/$C$3)</f>
        <v>#DIV/0!</v>
      </c>
      <c r="P689" s="1038" t="e">
        <f>IF($F289="","",$F289*chronic_consumption!K689/1000/$C$3)</f>
        <v>#DIV/0!</v>
      </c>
      <c r="Q689" s="1038" t="e">
        <f>IF($F289="","",$F289*chronic_consumption!L689/1000/$C$3)</f>
        <v>#DIV/0!</v>
      </c>
      <c r="R689" s="1038" t="e">
        <f>IF($F289="","",$F289*chronic_consumption!M689/1000/$C$3)</f>
        <v>#DIV/0!</v>
      </c>
      <c r="S689" s="1038" t="e">
        <f>IF($F289="","",$F289*chronic_consumption!N689/1000/$C$3)</f>
        <v>#DIV/0!</v>
      </c>
      <c r="T689" s="1038" t="e">
        <f>IF($F289="","",$F289*chronic_consumption!O689/1000/$C$3)</f>
        <v>#DIV/0!</v>
      </c>
      <c r="U689" s="1038" t="e">
        <f>IF($F289="","",$F289*chronic_consumption!P689/1000/$C$3)</f>
        <v>#DIV/0!</v>
      </c>
      <c r="V689" s="1038" t="e">
        <f>IF($F289="","",$F289*chronic_consumption!Q689/1000/$C$3)</f>
        <v>#DIV/0!</v>
      </c>
      <c r="W689" s="1038" t="e">
        <f>IF($F289="","",$F289*chronic_consumption!R689/1000/$C$3)</f>
        <v>#DIV/0!</v>
      </c>
      <c r="X689" s="1038" t="e">
        <f>IF($F289="","",$F289*chronic_consumption!S689/1000/$C$3)</f>
        <v>#DIV/0!</v>
      </c>
      <c r="Y689" s="1038" t="e">
        <f>IF($F289="","",$F289*chronic_consumption!T689/1000/$C$3)</f>
        <v>#DIV/0!</v>
      </c>
      <c r="Z689" s="1038" t="e">
        <f>IF($F289="","",$F289*chronic_consumption!U689/1000/$C$3)</f>
        <v>#DIV/0!</v>
      </c>
      <c r="AA689" s="1038" t="e">
        <f>IF($F289="","",$F289*chronic_consumption!V689/1000/$C$3)</f>
        <v>#DIV/0!</v>
      </c>
      <c r="AB689" s="1038" t="e">
        <f>IF($F289="","",$F289*chronic_consumption!W689/1000/$C$3)</f>
        <v>#DIV/0!</v>
      </c>
      <c r="AC689" s="1038" t="e">
        <f>IF($F289="","",$F289*chronic_consumption!X689/1000/$C$3)</f>
        <v>#DIV/0!</v>
      </c>
      <c r="AD689" s="1038" t="e">
        <f>IF($F289="","",$F289*chronic_consumption!Y689/1000/$C$3)</f>
        <v>#DIV/0!</v>
      </c>
      <c r="AE689" s="1038" t="e">
        <f>IF($F289="","",$F289*chronic_consumption!Z689/1000/$C$3)</f>
        <v>#DIV/0!</v>
      </c>
      <c r="AF689" s="1038" t="e">
        <f>IF($F289="","",$F289*chronic_consumption!AA689/1000/$C$3)</f>
        <v>#DIV/0!</v>
      </c>
      <c r="AG689" s="1038" t="e">
        <f>IF($F289="","",$F289*chronic_consumption!AB689/1000/$C$3)</f>
        <v>#DIV/0!</v>
      </c>
      <c r="AH689" s="1038" t="e">
        <f>IF($F289="","",$F289*chronic_consumption!AC689/1000/$C$3)</f>
        <v>#DIV/0!</v>
      </c>
      <c r="AI689" s="1038" t="e">
        <f>IF($F289="","",$F289*chronic_consumption!AD689/1000/$C$3)</f>
        <v>#DIV/0!</v>
      </c>
      <c r="AJ689" s="1038" t="e">
        <f>IF($F289="","",$F289*chronic_consumption!AE689/1000/$C$3)</f>
        <v>#DIV/0!</v>
      </c>
      <c r="AK689" s="1038" t="e">
        <f>IF($F289="","",$F289*chronic_consumption!AF689/1000/$C$3)</f>
        <v>#DIV/0!</v>
      </c>
      <c r="AL689" s="1038" t="e">
        <f>IF($F289="","",$F289*chronic_consumption!AG689/1000/$C$3)</f>
        <v>#DIV/0!</v>
      </c>
      <c r="AM689" s="1038" t="e">
        <f>IF($F289="","",$F289*chronic_consumption!AH689/1000/$C$3)</f>
        <v>#DIV/0!</v>
      </c>
      <c r="AN689" s="1038" t="e">
        <f>IF($F289="","",$F289*chronic_consumption!AI689/1000/$C$3)</f>
        <v>#DIV/0!</v>
      </c>
      <c r="AO689" s="1038" t="e">
        <f>IF($F289="","",$F289*chronic_consumption!AJ689/1000/$C$3)</f>
        <v>#DIV/0!</v>
      </c>
      <c r="AP689" s="1038" t="e">
        <f>IF($F289="","",$F289*chronic_consumption!AK689/1000/$C$3)</f>
        <v>#DIV/0!</v>
      </c>
      <c r="AQ689" s="1038" t="e">
        <f>IF($F289="","",$F289*chronic_consumption!AL689/1000/$C$3)</f>
        <v>#DIV/0!</v>
      </c>
      <c r="AR689" s="1038" t="e">
        <f>IF($F289="","",$F289*chronic_consumption!AM689/1000/$C$3)</f>
        <v>#DIV/0!</v>
      </c>
      <c r="AS689" s="1038" t="e">
        <f>IF($F289="","",$F289*chronic_consumption!AN689/1000/$C$3)</f>
        <v>#DIV/0!</v>
      </c>
      <c r="AT689" s="1038" t="e">
        <f>IF($F289="","",$F289*chronic_consumption!AO689/1000/$C$3)</f>
        <v>#DIV/0!</v>
      </c>
      <c r="AU689" s="1038" t="e">
        <f>IF($F289="","",$F289*chronic_consumption!AP689/1000/$C$3)</f>
        <v>#DIV/0!</v>
      </c>
      <c r="AV689" s="1038" t="e">
        <f>IF($F289="","",$F289*chronic_consumption!AQ689/1000/$C$3)</f>
        <v>#DIV/0!</v>
      </c>
      <c r="AW689" s="1038" t="e">
        <f>IF($F289="","",$F289*chronic_consumption!AR689/1000/$C$3)</f>
        <v>#DIV/0!</v>
      </c>
      <c r="AX689" s="1038" t="e">
        <f>IF($F289="","",$F289*chronic_consumption!AS689/1000/$C$3)</f>
        <v>#DIV/0!</v>
      </c>
      <c r="AY689" s="1038" t="e">
        <f>IF($F289="","",$F289*chronic_consumption!AT689/1000/$C$3)</f>
        <v>#DIV/0!</v>
      </c>
      <c r="AZ689" s="44" t="s">
        <v>20</v>
      </c>
      <c r="BC689" s="29"/>
      <c r="BD689" s="29"/>
    </row>
    <row r="690" spans="1:56" ht="12" hidden="1" customHeight="1" outlineLevel="3" x14ac:dyDescent="0.2">
      <c r="A690" s="21">
        <f>acute_overview_children!A290</f>
        <v>4</v>
      </c>
      <c r="B690" s="325">
        <f t="shared" si="49"/>
        <v>820010</v>
      </c>
      <c r="C690" s="325" t="str">
        <f t="shared" si="49"/>
        <v>Allspice/pimento</v>
      </c>
      <c r="D690" s="135"/>
      <c r="E690" s="1027"/>
      <c r="F690" s="87"/>
      <c r="G690" s="1027"/>
      <c r="H690" s="1029"/>
      <c r="I690" s="1030"/>
      <c r="J690" s="1039" t="e">
        <f>IF($F290="","",$F290*chronic_consumption!E690/1000/$C$3)</f>
        <v>#DIV/0!</v>
      </c>
      <c r="K690" s="1040" t="e">
        <f>IF($F290="","",$F290*chronic_consumption!F690/1000/$C$3)</f>
        <v>#DIV/0!</v>
      </c>
      <c r="L690" s="1040" t="e">
        <f>IF($F290="","",$F290*chronic_consumption!G690/1000/$C$3)</f>
        <v>#DIV/0!</v>
      </c>
      <c r="M690" s="1040" t="e">
        <f>IF($F290="","",$F290*chronic_consumption!H690/1000/$C$3)</f>
        <v>#DIV/0!</v>
      </c>
      <c r="N690" s="1040" t="e">
        <f>IF($F290="","",$F290*chronic_consumption!I690/1000/$C$3)</f>
        <v>#DIV/0!</v>
      </c>
      <c r="O690" s="1040" t="e">
        <f>IF($F290="","",$F290*chronic_consumption!J690/1000/$C$3)</f>
        <v>#DIV/0!</v>
      </c>
      <c r="P690" s="1040" t="e">
        <f>IF($F290="","",$F290*chronic_consumption!K690/1000/$C$3)</f>
        <v>#DIV/0!</v>
      </c>
      <c r="Q690" s="1040" t="e">
        <f>IF($F290="","",$F290*chronic_consumption!L690/1000/$C$3)</f>
        <v>#DIV/0!</v>
      </c>
      <c r="R690" s="1040" t="e">
        <f>IF($F290="","",$F290*chronic_consumption!M690/1000/$C$3)</f>
        <v>#DIV/0!</v>
      </c>
      <c r="S690" s="1040" t="e">
        <f>IF($F290="","",$F290*chronic_consumption!N690/1000/$C$3)</f>
        <v>#DIV/0!</v>
      </c>
      <c r="T690" s="1040" t="e">
        <f>IF($F290="","",$F290*chronic_consumption!O690/1000/$C$3)</f>
        <v>#DIV/0!</v>
      </c>
      <c r="U690" s="1040" t="e">
        <f>IF($F290="","",$F290*chronic_consumption!P690/1000/$C$3)</f>
        <v>#DIV/0!</v>
      </c>
      <c r="V690" s="1040" t="e">
        <f>IF($F290="","",$F290*chronic_consumption!Q690/1000/$C$3)</f>
        <v>#DIV/0!</v>
      </c>
      <c r="W690" s="1040" t="e">
        <f>IF($F290="","",$F290*chronic_consumption!R690/1000/$C$3)</f>
        <v>#DIV/0!</v>
      </c>
      <c r="X690" s="1040" t="e">
        <f>IF($F290="","",$F290*chronic_consumption!S690/1000/$C$3)</f>
        <v>#DIV/0!</v>
      </c>
      <c r="Y690" s="1040" t="e">
        <f>IF($F290="","",$F290*chronic_consumption!T690/1000/$C$3)</f>
        <v>#DIV/0!</v>
      </c>
      <c r="Z690" s="1040" t="e">
        <f>IF($F290="","",$F290*chronic_consumption!U690/1000/$C$3)</f>
        <v>#DIV/0!</v>
      </c>
      <c r="AA690" s="1040" t="e">
        <f>IF($F290="","",$F290*chronic_consumption!V690/1000/$C$3)</f>
        <v>#DIV/0!</v>
      </c>
      <c r="AB690" s="1040" t="e">
        <f>IF($F290="","",$F290*chronic_consumption!W690/1000/$C$3)</f>
        <v>#DIV/0!</v>
      </c>
      <c r="AC690" s="1040" t="e">
        <f>IF($F290="","",$F290*chronic_consumption!X690/1000/$C$3)</f>
        <v>#DIV/0!</v>
      </c>
      <c r="AD690" s="1040" t="e">
        <f>IF($F290="","",$F290*chronic_consumption!Y690/1000/$C$3)</f>
        <v>#DIV/0!</v>
      </c>
      <c r="AE690" s="1040" t="e">
        <f>IF($F290="","",$F290*chronic_consumption!Z690/1000/$C$3)</f>
        <v>#DIV/0!</v>
      </c>
      <c r="AF690" s="1040" t="e">
        <f>IF($F290="","",$F290*chronic_consumption!AA690/1000/$C$3)</f>
        <v>#DIV/0!</v>
      </c>
      <c r="AG690" s="1040" t="e">
        <f>IF($F290="","",$F290*chronic_consumption!AB690/1000/$C$3)</f>
        <v>#DIV/0!</v>
      </c>
      <c r="AH690" s="1040" t="e">
        <f>IF($F290="","",$F290*chronic_consumption!AC690/1000/$C$3)</f>
        <v>#DIV/0!</v>
      </c>
      <c r="AI690" s="1040" t="e">
        <f>IF($F290="","",$F290*chronic_consumption!AD690/1000/$C$3)</f>
        <v>#DIV/0!</v>
      </c>
      <c r="AJ690" s="1040" t="e">
        <f>IF($F290="","",$F290*chronic_consumption!AE690/1000/$C$3)</f>
        <v>#DIV/0!</v>
      </c>
      <c r="AK690" s="1040" t="e">
        <f>IF($F290="","",$F290*chronic_consumption!AF690/1000/$C$3)</f>
        <v>#DIV/0!</v>
      </c>
      <c r="AL690" s="1040" t="e">
        <f>IF($F290="","",$F290*chronic_consumption!AG690/1000/$C$3)</f>
        <v>#DIV/0!</v>
      </c>
      <c r="AM690" s="1040" t="e">
        <f>IF($F290="","",$F290*chronic_consumption!AH690/1000/$C$3)</f>
        <v>#DIV/0!</v>
      </c>
      <c r="AN690" s="1040" t="e">
        <f>IF($F290="","",$F290*chronic_consumption!AI690/1000/$C$3)</f>
        <v>#DIV/0!</v>
      </c>
      <c r="AO690" s="1040" t="e">
        <f>IF($F290="","",$F290*chronic_consumption!AJ690/1000/$C$3)</f>
        <v>#DIV/0!</v>
      </c>
      <c r="AP690" s="1040" t="e">
        <f>IF($F290="","",$F290*chronic_consumption!AK690/1000/$C$3)</f>
        <v>#DIV/0!</v>
      </c>
      <c r="AQ690" s="1040" t="e">
        <f>IF($F290="","",$F290*chronic_consumption!AL690/1000/$C$3)</f>
        <v>#DIV/0!</v>
      </c>
      <c r="AR690" s="1040" t="e">
        <f>IF($F290="","",$F290*chronic_consumption!AM690/1000/$C$3)</f>
        <v>#DIV/0!</v>
      </c>
      <c r="AS690" s="1040" t="e">
        <f>IF($F290="","",$F290*chronic_consumption!AN690/1000/$C$3)</f>
        <v>#DIV/0!</v>
      </c>
      <c r="AT690" s="1040" t="e">
        <f>IF($F290="","",$F290*chronic_consumption!AO690/1000/$C$3)</f>
        <v>#DIV/0!</v>
      </c>
      <c r="AU690" s="1040" t="e">
        <f>IF($F290="","",$F290*chronic_consumption!AP690/1000/$C$3)</f>
        <v>#DIV/0!</v>
      </c>
      <c r="AV690" s="1040" t="e">
        <f>IF($F290="","",$F290*chronic_consumption!AQ690/1000/$C$3)</f>
        <v>#DIV/0!</v>
      </c>
      <c r="AW690" s="1040" t="e">
        <f>IF($F290="","",$F290*chronic_consumption!AR690/1000/$C$3)</f>
        <v>#DIV/0!</v>
      </c>
      <c r="AX690" s="1040" t="e">
        <f>IF($F290="","",$F290*chronic_consumption!AS690/1000/$C$3)</f>
        <v>#DIV/0!</v>
      </c>
      <c r="AY690" s="1040" t="e">
        <f>IF($F290="","",$F290*chronic_consumption!AT690/1000/$C$3)</f>
        <v>#DIV/0!</v>
      </c>
      <c r="AZ690" s="44" t="s">
        <v>20</v>
      </c>
      <c r="BC690" s="29"/>
      <c r="BD690" s="29"/>
    </row>
    <row r="691" spans="1:56" ht="12" hidden="1" customHeight="1" outlineLevel="3" x14ac:dyDescent="0.2">
      <c r="A691" s="21">
        <f>acute_overview_children!A291</f>
        <v>4</v>
      </c>
      <c r="B691" s="325">
        <f t="shared" si="49"/>
        <v>820020</v>
      </c>
      <c r="C691" s="325" t="str">
        <f t="shared" si="49"/>
        <v>Sichuan pepper</v>
      </c>
      <c r="D691" s="135"/>
      <c r="E691" s="1027"/>
      <c r="F691" s="87"/>
      <c r="G691" s="1027"/>
      <c r="H691" s="1029"/>
      <c r="I691" s="1030"/>
      <c r="J691" s="1039" t="e">
        <f>IF($F291="","",$F291*chronic_consumption!E691/1000/$C$3)</f>
        <v>#DIV/0!</v>
      </c>
      <c r="K691" s="1040" t="e">
        <f>IF($F291="","",$F291*chronic_consumption!F691/1000/$C$3)</f>
        <v>#DIV/0!</v>
      </c>
      <c r="L691" s="1040" t="e">
        <f>IF($F291="","",$F291*chronic_consumption!G691/1000/$C$3)</f>
        <v>#DIV/0!</v>
      </c>
      <c r="M691" s="1040" t="e">
        <f>IF($F291="","",$F291*chronic_consumption!H691/1000/$C$3)</f>
        <v>#DIV/0!</v>
      </c>
      <c r="N691" s="1040" t="e">
        <f>IF($F291="","",$F291*chronic_consumption!I691/1000/$C$3)</f>
        <v>#DIV/0!</v>
      </c>
      <c r="O691" s="1040" t="e">
        <f>IF($F291="","",$F291*chronic_consumption!J691/1000/$C$3)</f>
        <v>#DIV/0!</v>
      </c>
      <c r="P691" s="1040" t="e">
        <f>IF($F291="","",$F291*chronic_consumption!K691/1000/$C$3)</f>
        <v>#DIV/0!</v>
      </c>
      <c r="Q691" s="1040" t="e">
        <f>IF($F291="","",$F291*chronic_consumption!L691/1000/$C$3)</f>
        <v>#DIV/0!</v>
      </c>
      <c r="R691" s="1040" t="e">
        <f>IF($F291="","",$F291*chronic_consumption!M691/1000/$C$3)</f>
        <v>#DIV/0!</v>
      </c>
      <c r="S691" s="1040" t="e">
        <f>IF($F291="","",$F291*chronic_consumption!N691/1000/$C$3)</f>
        <v>#DIV/0!</v>
      </c>
      <c r="T691" s="1040" t="e">
        <f>IF($F291="","",$F291*chronic_consumption!O691/1000/$C$3)</f>
        <v>#DIV/0!</v>
      </c>
      <c r="U691" s="1040" t="e">
        <f>IF($F291="","",$F291*chronic_consumption!P691/1000/$C$3)</f>
        <v>#DIV/0!</v>
      </c>
      <c r="V691" s="1040" t="e">
        <f>IF($F291="","",$F291*chronic_consumption!Q691/1000/$C$3)</f>
        <v>#DIV/0!</v>
      </c>
      <c r="W691" s="1040" t="e">
        <f>IF($F291="","",$F291*chronic_consumption!R691/1000/$C$3)</f>
        <v>#DIV/0!</v>
      </c>
      <c r="X691" s="1040" t="e">
        <f>IF($F291="","",$F291*chronic_consumption!S691/1000/$C$3)</f>
        <v>#DIV/0!</v>
      </c>
      <c r="Y691" s="1040" t="e">
        <f>IF($F291="","",$F291*chronic_consumption!T691/1000/$C$3)</f>
        <v>#DIV/0!</v>
      </c>
      <c r="Z691" s="1040" t="e">
        <f>IF($F291="","",$F291*chronic_consumption!U691/1000/$C$3)</f>
        <v>#DIV/0!</v>
      </c>
      <c r="AA691" s="1040" t="e">
        <f>IF($F291="","",$F291*chronic_consumption!V691/1000/$C$3)</f>
        <v>#DIV/0!</v>
      </c>
      <c r="AB691" s="1040" t="e">
        <f>IF($F291="","",$F291*chronic_consumption!W691/1000/$C$3)</f>
        <v>#DIV/0!</v>
      </c>
      <c r="AC691" s="1040" t="e">
        <f>IF($F291="","",$F291*chronic_consumption!X691/1000/$C$3)</f>
        <v>#DIV/0!</v>
      </c>
      <c r="AD691" s="1040" t="e">
        <f>IF($F291="","",$F291*chronic_consumption!Y691/1000/$C$3)</f>
        <v>#DIV/0!</v>
      </c>
      <c r="AE691" s="1040" t="e">
        <f>IF($F291="","",$F291*chronic_consumption!Z691/1000/$C$3)</f>
        <v>#DIV/0!</v>
      </c>
      <c r="AF691" s="1040" t="e">
        <f>IF($F291="","",$F291*chronic_consumption!AA691/1000/$C$3)</f>
        <v>#DIV/0!</v>
      </c>
      <c r="AG691" s="1040" t="e">
        <f>IF($F291="","",$F291*chronic_consumption!AB691/1000/$C$3)</f>
        <v>#DIV/0!</v>
      </c>
      <c r="AH691" s="1040" t="e">
        <f>IF($F291="","",$F291*chronic_consumption!AC691/1000/$C$3)</f>
        <v>#DIV/0!</v>
      </c>
      <c r="AI691" s="1040" t="e">
        <f>IF($F291="","",$F291*chronic_consumption!AD691/1000/$C$3)</f>
        <v>#DIV/0!</v>
      </c>
      <c r="AJ691" s="1040" t="e">
        <f>IF($F291="","",$F291*chronic_consumption!AE691/1000/$C$3)</f>
        <v>#DIV/0!</v>
      </c>
      <c r="AK691" s="1040" t="e">
        <f>IF($F291="","",$F291*chronic_consumption!AF691/1000/$C$3)</f>
        <v>#DIV/0!</v>
      </c>
      <c r="AL691" s="1040" t="e">
        <f>IF($F291="","",$F291*chronic_consumption!AG691/1000/$C$3)</f>
        <v>#DIV/0!</v>
      </c>
      <c r="AM691" s="1040" t="e">
        <f>IF($F291="","",$F291*chronic_consumption!AH691/1000/$C$3)</f>
        <v>#DIV/0!</v>
      </c>
      <c r="AN691" s="1040" t="e">
        <f>IF($F291="","",$F291*chronic_consumption!AI691/1000/$C$3)</f>
        <v>#DIV/0!</v>
      </c>
      <c r="AO691" s="1040" t="e">
        <f>IF($F291="","",$F291*chronic_consumption!AJ691/1000/$C$3)</f>
        <v>#DIV/0!</v>
      </c>
      <c r="AP691" s="1040" t="e">
        <f>IF($F291="","",$F291*chronic_consumption!AK691/1000/$C$3)</f>
        <v>#DIV/0!</v>
      </c>
      <c r="AQ691" s="1040" t="e">
        <f>IF($F291="","",$F291*chronic_consumption!AL691/1000/$C$3)</f>
        <v>#DIV/0!</v>
      </c>
      <c r="AR691" s="1040" t="e">
        <f>IF($F291="","",$F291*chronic_consumption!AM691/1000/$C$3)</f>
        <v>#DIV/0!</v>
      </c>
      <c r="AS691" s="1040" t="e">
        <f>IF($F291="","",$F291*chronic_consumption!AN691/1000/$C$3)</f>
        <v>#DIV/0!</v>
      </c>
      <c r="AT691" s="1040" t="e">
        <f>IF($F291="","",$F291*chronic_consumption!AO691/1000/$C$3)</f>
        <v>#DIV/0!</v>
      </c>
      <c r="AU691" s="1040" t="e">
        <f>IF($F291="","",$F291*chronic_consumption!AP691/1000/$C$3)</f>
        <v>#DIV/0!</v>
      </c>
      <c r="AV691" s="1040" t="e">
        <f>IF($F291="","",$F291*chronic_consumption!AQ691/1000/$C$3)</f>
        <v>#DIV/0!</v>
      </c>
      <c r="AW691" s="1040" t="e">
        <f>IF($F291="","",$F291*chronic_consumption!AR691/1000/$C$3)</f>
        <v>#DIV/0!</v>
      </c>
      <c r="AX691" s="1040" t="e">
        <f>IF($F291="","",$F291*chronic_consumption!AS691/1000/$C$3)</f>
        <v>#DIV/0!</v>
      </c>
      <c r="AY691" s="1040" t="e">
        <f>IF($F291="","",$F291*chronic_consumption!AT691/1000/$C$3)</f>
        <v>#DIV/0!</v>
      </c>
      <c r="AZ691" s="44" t="s">
        <v>20</v>
      </c>
      <c r="BC691" s="29"/>
      <c r="BD691" s="29"/>
    </row>
    <row r="692" spans="1:56" ht="12" hidden="1" customHeight="1" outlineLevel="3" x14ac:dyDescent="0.2">
      <c r="A692" s="21">
        <f>acute_overview_children!A292</f>
        <v>4</v>
      </c>
      <c r="B692" s="325">
        <f t="shared" ref="B692:C711" si="50">B292</f>
        <v>820030</v>
      </c>
      <c r="C692" s="325" t="str">
        <f t="shared" si="50"/>
        <v xml:space="preserve">Caraway </v>
      </c>
      <c r="D692" s="135"/>
      <c r="E692" s="1027"/>
      <c r="F692" s="87"/>
      <c r="G692" s="1027"/>
      <c r="H692" s="1029"/>
      <c r="I692" s="1030"/>
      <c r="J692" s="1039" t="e">
        <f>IF($F292="","",$F292*chronic_consumption!E692/1000/$C$3)</f>
        <v>#DIV/0!</v>
      </c>
      <c r="K692" s="1040" t="e">
        <f>IF($F292="","",$F292*chronic_consumption!F692/1000/$C$3)</f>
        <v>#DIV/0!</v>
      </c>
      <c r="L692" s="1040" t="e">
        <f>IF($F292="","",$F292*chronic_consumption!G692/1000/$C$3)</f>
        <v>#DIV/0!</v>
      </c>
      <c r="M692" s="1040" t="e">
        <f>IF($F292="","",$F292*chronic_consumption!H692/1000/$C$3)</f>
        <v>#DIV/0!</v>
      </c>
      <c r="N692" s="1040" t="e">
        <f>IF($F292="","",$F292*chronic_consumption!I692/1000/$C$3)</f>
        <v>#DIV/0!</v>
      </c>
      <c r="O692" s="1040" t="e">
        <f>IF($F292="","",$F292*chronic_consumption!J692/1000/$C$3)</f>
        <v>#DIV/0!</v>
      </c>
      <c r="P692" s="1040" t="e">
        <f>IF($F292="","",$F292*chronic_consumption!K692/1000/$C$3)</f>
        <v>#DIV/0!</v>
      </c>
      <c r="Q692" s="1040" t="e">
        <f>IF($F292="","",$F292*chronic_consumption!L692/1000/$C$3)</f>
        <v>#DIV/0!</v>
      </c>
      <c r="R692" s="1040" t="e">
        <f>IF($F292="","",$F292*chronic_consumption!M692/1000/$C$3)</f>
        <v>#DIV/0!</v>
      </c>
      <c r="S692" s="1040" t="e">
        <f>IF($F292="","",$F292*chronic_consumption!N692/1000/$C$3)</f>
        <v>#DIV/0!</v>
      </c>
      <c r="T692" s="1040" t="e">
        <f>IF($F292="","",$F292*chronic_consumption!O692/1000/$C$3)</f>
        <v>#DIV/0!</v>
      </c>
      <c r="U692" s="1040" t="e">
        <f>IF($F292="","",$F292*chronic_consumption!P692/1000/$C$3)</f>
        <v>#DIV/0!</v>
      </c>
      <c r="V692" s="1040" t="e">
        <f>IF($F292="","",$F292*chronic_consumption!Q692/1000/$C$3)</f>
        <v>#DIV/0!</v>
      </c>
      <c r="W692" s="1040" t="e">
        <f>IF($F292="","",$F292*chronic_consumption!R692/1000/$C$3)</f>
        <v>#DIV/0!</v>
      </c>
      <c r="X692" s="1040" t="e">
        <f>IF($F292="","",$F292*chronic_consumption!S692/1000/$C$3)</f>
        <v>#DIV/0!</v>
      </c>
      <c r="Y692" s="1040" t="e">
        <f>IF($F292="","",$F292*chronic_consumption!T692/1000/$C$3)</f>
        <v>#DIV/0!</v>
      </c>
      <c r="Z692" s="1040" t="e">
        <f>IF($F292="","",$F292*chronic_consumption!U692/1000/$C$3)</f>
        <v>#DIV/0!</v>
      </c>
      <c r="AA692" s="1040" t="e">
        <f>IF($F292="","",$F292*chronic_consumption!V692/1000/$C$3)</f>
        <v>#DIV/0!</v>
      </c>
      <c r="AB692" s="1040" t="e">
        <f>IF($F292="","",$F292*chronic_consumption!W692/1000/$C$3)</f>
        <v>#DIV/0!</v>
      </c>
      <c r="AC692" s="1040" t="e">
        <f>IF($F292="","",$F292*chronic_consumption!X692/1000/$C$3)</f>
        <v>#DIV/0!</v>
      </c>
      <c r="AD692" s="1040" t="e">
        <f>IF($F292="","",$F292*chronic_consumption!Y692/1000/$C$3)</f>
        <v>#DIV/0!</v>
      </c>
      <c r="AE692" s="1040" t="e">
        <f>IF($F292="","",$F292*chronic_consumption!Z692/1000/$C$3)</f>
        <v>#DIV/0!</v>
      </c>
      <c r="AF692" s="1040" t="e">
        <f>IF($F292="","",$F292*chronic_consumption!AA692/1000/$C$3)</f>
        <v>#DIV/0!</v>
      </c>
      <c r="AG692" s="1040" t="e">
        <f>IF($F292="","",$F292*chronic_consumption!AB692/1000/$C$3)</f>
        <v>#DIV/0!</v>
      </c>
      <c r="AH692" s="1040" t="e">
        <f>IF($F292="","",$F292*chronic_consumption!AC692/1000/$C$3)</f>
        <v>#DIV/0!</v>
      </c>
      <c r="AI692" s="1040" t="e">
        <f>IF($F292="","",$F292*chronic_consumption!AD692/1000/$C$3)</f>
        <v>#DIV/0!</v>
      </c>
      <c r="AJ692" s="1040" t="e">
        <f>IF($F292="","",$F292*chronic_consumption!AE692/1000/$C$3)</f>
        <v>#DIV/0!</v>
      </c>
      <c r="AK692" s="1040" t="e">
        <f>IF($F292="","",$F292*chronic_consumption!AF692/1000/$C$3)</f>
        <v>#DIV/0!</v>
      </c>
      <c r="AL692" s="1040" t="e">
        <f>IF($F292="","",$F292*chronic_consumption!AG692/1000/$C$3)</f>
        <v>#DIV/0!</v>
      </c>
      <c r="AM692" s="1040" t="e">
        <f>IF($F292="","",$F292*chronic_consumption!AH692/1000/$C$3)</f>
        <v>#DIV/0!</v>
      </c>
      <c r="AN692" s="1040" t="e">
        <f>IF($F292="","",$F292*chronic_consumption!AI692/1000/$C$3)</f>
        <v>#DIV/0!</v>
      </c>
      <c r="AO692" s="1040" t="e">
        <f>IF($F292="","",$F292*chronic_consumption!AJ692/1000/$C$3)</f>
        <v>#DIV/0!</v>
      </c>
      <c r="AP692" s="1040" t="e">
        <f>IF($F292="","",$F292*chronic_consumption!AK692/1000/$C$3)</f>
        <v>#DIV/0!</v>
      </c>
      <c r="AQ692" s="1040" t="e">
        <f>IF($F292="","",$F292*chronic_consumption!AL692/1000/$C$3)</f>
        <v>#DIV/0!</v>
      </c>
      <c r="AR692" s="1040" t="e">
        <f>IF($F292="","",$F292*chronic_consumption!AM692/1000/$C$3)</f>
        <v>#DIV/0!</v>
      </c>
      <c r="AS692" s="1040" t="e">
        <f>IF($F292="","",$F292*chronic_consumption!AN692/1000/$C$3)</f>
        <v>#DIV/0!</v>
      </c>
      <c r="AT692" s="1040" t="e">
        <f>IF($F292="","",$F292*chronic_consumption!AO692/1000/$C$3)</f>
        <v>#DIV/0!</v>
      </c>
      <c r="AU692" s="1040" t="e">
        <f>IF($F292="","",$F292*chronic_consumption!AP692/1000/$C$3)</f>
        <v>#DIV/0!</v>
      </c>
      <c r="AV692" s="1040" t="e">
        <f>IF($F292="","",$F292*chronic_consumption!AQ692/1000/$C$3)</f>
        <v>#DIV/0!</v>
      </c>
      <c r="AW692" s="1040" t="e">
        <f>IF($F292="","",$F292*chronic_consumption!AR692/1000/$C$3)</f>
        <v>#DIV/0!</v>
      </c>
      <c r="AX692" s="1040" t="e">
        <f>IF($F292="","",$F292*chronic_consumption!AS692/1000/$C$3)</f>
        <v>#DIV/0!</v>
      </c>
      <c r="AY692" s="1040" t="e">
        <f>IF($F292="","",$F292*chronic_consumption!AT692/1000/$C$3)</f>
        <v>#DIV/0!</v>
      </c>
      <c r="AZ692" s="44" t="s">
        <v>20</v>
      </c>
      <c r="BC692" s="29"/>
      <c r="BD692" s="29"/>
    </row>
    <row r="693" spans="1:56" ht="12" hidden="1" customHeight="1" outlineLevel="3" x14ac:dyDescent="0.2">
      <c r="A693" s="21">
        <f>acute_overview_children!A293</f>
        <v>4</v>
      </c>
      <c r="B693" s="325">
        <f t="shared" si="50"/>
        <v>820040</v>
      </c>
      <c r="C693" s="325" t="str">
        <f t="shared" si="50"/>
        <v>Cardamom</v>
      </c>
      <c r="D693" s="135"/>
      <c r="E693" s="1027"/>
      <c r="F693" s="87"/>
      <c r="G693" s="1027"/>
      <c r="H693" s="1029"/>
      <c r="I693" s="1030"/>
      <c r="J693" s="1039" t="e">
        <f>IF($F293="","",$F293*chronic_consumption!E693/1000/$C$3)</f>
        <v>#DIV/0!</v>
      </c>
      <c r="K693" s="1040" t="e">
        <f>IF($F293="","",$F293*chronic_consumption!F693/1000/$C$3)</f>
        <v>#DIV/0!</v>
      </c>
      <c r="L693" s="1040" t="e">
        <f>IF($F293="","",$F293*chronic_consumption!G693/1000/$C$3)</f>
        <v>#DIV/0!</v>
      </c>
      <c r="M693" s="1040" t="e">
        <f>IF($F293="","",$F293*chronic_consumption!H693/1000/$C$3)</f>
        <v>#DIV/0!</v>
      </c>
      <c r="N693" s="1040" t="e">
        <f>IF($F293="","",$F293*chronic_consumption!I693/1000/$C$3)</f>
        <v>#DIV/0!</v>
      </c>
      <c r="O693" s="1040" t="e">
        <f>IF($F293="","",$F293*chronic_consumption!J693/1000/$C$3)</f>
        <v>#DIV/0!</v>
      </c>
      <c r="P693" s="1040" t="e">
        <f>IF($F293="","",$F293*chronic_consumption!K693/1000/$C$3)</f>
        <v>#DIV/0!</v>
      </c>
      <c r="Q693" s="1040" t="e">
        <f>IF($F293="","",$F293*chronic_consumption!L693/1000/$C$3)</f>
        <v>#DIV/0!</v>
      </c>
      <c r="R693" s="1040" t="e">
        <f>IF($F293="","",$F293*chronic_consumption!M693/1000/$C$3)</f>
        <v>#DIV/0!</v>
      </c>
      <c r="S693" s="1040" t="e">
        <f>IF($F293="","",$F293*chronic_consumption!N693/1000/$C$3)</f>
        <v>#DIV/0!</v>
      </c>
      <c r="T693" s="1040" t="e">
        <f>IF($F293="","",$F293*chronic_consumption!O693/1000/$C$3)</f>
        <v>#DIV/0!</v>
      </c>
      <c r="U693" s="1040" t="e">
        <f>IF($F293="","",$F293*chronic_consumption!P693/1000/$C$3)</f>
        <v>#DIV/0!</v>
      </c>
      <c r="V693" s="1040" t="e">
        <f>IF($F293="","",$F293*chronic_consumption!Q693/1000/$C$3)</f>
        <v>#DIV/0!</v>
      </c>
      <c r="W693" s="1040" t="e">
        <f>IF($F293="","",$F293*chronic_consumption!R693/1000/$C$3)</f>
        <v>#DIV/0!</v>
      </c>
      <c r="X693" s="1040" t="e">
        <f>IF($F293="","",$F293*chronic_consumption!S693/1000/$C$3)</f>
        <v>#DIV/0!</v>
      </c>
      <c r="Y693" s="1040" t="e">
        <f>IF($F293="","",$F293*chronic_consumption!T693/1000/$C$3)</f>
        <v>#DIV/0!</v>
      </c>
      <c r="Z693" s="1040" t="e">
        <f>IF($F293="","",$F293*chronic_consumption!U693/1000/$C$3)</f>
        <v>#DIV/0!</v>
      </c>
      <c r="AA693" s="1040" t="e">
        <f>IF($F293="","",$F293*chronic_consumption!V693/1000/$C$3)</f>
        <v>#DIV/0!</v>
      </c>
      <c r="AB693" s="1040" t="e">
        <f>IF($F293="","",$F293*chronic_consumption!W693/1000/$C$3)</f>
        <v>#DIV/0!</v>
      </c>
      <c r="AC693" s="1040" t="e">
        <f>IF($F293="","",$F293*chronic_consumption!X693/1000/$C$3)</f>
        <v>#DIV/0!</v>
      </c>
      <c r="AD693" s="1040" t="e">
        <f>IF($F293="","",$F293*chronic_consumption!Y693/1000/$C$3)</f>
        <v>#DIV/0!</v>
      </c>
      <c r="AE693" s="1040" t="e">
        <f>IF($F293="","",$F293*chronic_consumption!Z693/1000/$C$3)</f>
        <v>#DIV/0!</v>
      </c>
      <c r="AF693" s="1040" t="e">
        <f>IF($F293="","",$F293*chronic_consumption!AA693/1000/$C$3)</f>
        <v>#DIV/0!</v>
      </c>
      <c r="AG693" s="1040" t="e">
        <f>IF($F293="","",$F293*chronic_consumption!AB693/1000/$C$3)</f>
        <v>#DIV/0!</v>
      </c>
      <c r="AH693" s="1040" t="e">
        <f>IF($F293="","",$F293*chronic_consumption!AC693/1000/$C$3)</f>
        <v>#DIV/0!</v>
      </c>
      <c r="AI693" s="1040" t="e">
        <f>IF($F293="","",$F293*chronic_consumption!AD693/1000/$C$3)</f>
        <v>#DIV/0!</v>
      </c>
      <c r="AJ693" s="1040" t="e">
        <f>IF($F293="","",$F293*chronic_consumption!AE693/1000/$C$3)</f>
        <v>#DIV/0!</v>
      </c>
      <c r="AK693" s="1040" t="e">
        <f>IF($F293="","",$F293*chronic_consumption!AF693/1000/$C$3)</f>
        <v>#DIV/0!</v>
      </c>
      <c r="AL693" s="1040" t="e">
        <f>IF($F293="","",$F293*chronic_consumption!AG693/1000/$C$3)</f>
        <v>#DIV/0!</v>
      </c>
      <c r="AM693" s="1040" t="e">
        <f>IF($F293="","",$F293*chronic_consumption!AH693/1000/$C$3)</f>
        <v>#DIV/0!</v>
      </c>
      <c r="AN693" s="1040" t="e">
        <f>IF($F293="","",$F293*chronic_consumption!AI693/1000/$C$3)</f>
        <v>#DIV/0!</v>
      </c>
      <c r="AO693" s="1040" t="e">
        <f>IF($F293="","",$F293*chronic_consumption!AJ693/1000/$C$3)</f>
        <v>#DIV/0!</v>
      </c>
      <c r="AP693" s="1040" t="e">
        <f>IF($F293="","",$F293*chronic_consumption!AK693/1000/$C$3)</f>
        <v>#DIV/0!</v>
      </c>
      <c r="AQ693" s="1040" t="e">
        <f>IF($F293="","",$F293*chronic_consumption!AL693/1000/$C$3)</f>
        <v>#DIV/0!</v>
      </c>
      <c r="AR693" s="1040" t="e">
        <f>IF($F293="","",$F293*chronic_consumption!AM693/1000/$C$3)</f>
        <v>#DIV/0!</v>
      </c>
      <c r="AS693" s="1040" t="e">
        <f>IF($F293="","",$F293*chronic_consumption!AN693/1000/$C$3)</f>
        <v>#DIV/0!</v>
      </c>
      <c r="AT693" s="1040" t="e">
        <f>IF($F293="","",$F293*chronic_consumption!AO693/1000/$C$3)</f>
        <v>#DIV/0!</v>
      </c>
      <c r="AU693" s="1040" t="e">
        <f>IF($F293="","",$F293*chronic_consumption!AP693/1000/$C$3)</f>
        <v>#DIV/0!</v>
      </c>
      <c r="AV693" s="1040" t="e">
        <f>IF($F293="","",$F293*chronic_consumption!AQ693/1000/$C$3)</f>
        <v>#DIV/0!</v>
      </c>
      <c r="AW693" s="1040" t="e">
        <f>IF($F293="","",$F293*chronic_consumption!AR693/1000/$C$3)</f>
        <v>#DIV/0!</v>
      </c>
      <c r="AX693" s="1040" t="e">
        <f>IF($F293="","",$F293*chronic_consumption!AS693/1000/$C$3)</f>
        <v>#DIV/0!</v>
      </c>
      <c r="AY693" s="1040" t="e">
        <f>IF($F293="","",$F293*chronic_consumption!AT693/1000/$C$3)</f>
        <v>#DIV/0!</v>
      </c>
      <c r="AZ693" s="44" t="s">
        <v>20</v>
      </c>
      <c r="BC693" s="29"/>
      <c r="BD693" s="29"/>
    </row>
    <row r="694" spans="1:56" ht="12" hidden="1" customHeight="1" outlineLevel="3" x14ac:dyDescent="0.2">
      <c r="A694" s="21">
        <f>acute_overview_children!A294</f>
        <v>4</v>
      </c>
      <c r="B694" s="325">
        <f t="shared" si="50"/>
        <v>820050</v>
      </c>
      <c r="C694" s="325" t="str">
        <f t="shared" si="50"/>
        <v>Juniper berry</v>
      </c>
      <c r="D694" s="135"/>
      <c r="E694" s="1027"/>
      <c r="F694" s="87"/>
      <c r="G694" s="1027"/>
      <c r="H694" s="1029"/>
      <c r="I694" s="1030"/>
      <c r="J694" s="1039" t="e">
        <f>IF($F294="","",$F294*chronic_consumption!E694/1000/$C$3)</f>
        <v>#DIV/0!</v>
      </c>
      <c r="K694" s="1040" t="e">
        <f>IF($F294="","",$F294*chronic_consumption!F694/1000/$C$3)</f>
        <v>#DIV/0!</v>
      </c>
      <c r="L694" s="1040" t="e">
        <f>IF($F294="","",$F294*chronic_consumption!G694/1000/$C$3)</f>
        <v>#DIV/0!</v>
      </c>
      <c r="M694" s="1040" t="e">
        <f>IF($F294="","",$F294*chronic_consumption!H694/1000/$C$3)</f>
        <v>#DIV/0!</v>
      </c>
      <c r="N694" s="1040" t="e">
        <f>IF($F294="","",$F294*chronic_consumption!I694/1000/$C$3)</f>
        <v>#DIV/0!</v>
      </c>
      <c r="O694" s="1040" t="e">
        <f>IF($F294="","",$F294*chronic_consumption!J694/1000/$C$3)</f>
        <v>#DIV/0!</v>
      </c>
      <c r="P694" s="1040" t="e">
        <f>IF($F294="","",$F294*chronic_consumption!K694/1000/$C$3)</f>
        <v>#DIV/0!</v>
      </c>
      <c r="Q694" s="1040" t="e">
        <f>IF($F294="","",$F294*chronic_consumption!L694/1000/$C$3)</f>
        <v>#DIV/0!</v>
      </c>
      <c r="R694" s="1040" t="e">
        <f>IF($F294="","",$F294*chronic_consumption!M694/1000/$C$3)</f>
        <v>#DIV/0!</v>
      </c>
      <c r="S694" s="1040" t="e">
        <f>IF($F294="","",$F294*chronic_consumption!N694/1000/$C$3)</f>
        <v>#DIV/0!</v>
      </c>
      <c r="T694" s="1040" t="e">
        <f>IF($F294="","",$F294*chronic_consumption!O694/1000/$C$3)</f>
        <v>#DIV/0!</v>
      </c>
      <c r="U694" s="1040" t="e">
        <f>IF($F294="","",$F294*chronic_consumption!P694/1000/$C$3)</f>
        <v>#DIV/0!</v>
      </c>
      <c r="V694" s="1040" t="e">
        <f>IF($F294="","",$F294*chronic_consumption!Q694/1000/$C$3)</f>
        <v>#DIV/0!</v>
      </c>
      <c r="W694" s="1040" t="e">
        <f>IF($F294="","",$F294*chronic_consumption!R694/1000/$C$3)</f>
        <v>#DIV/0!</v>
      </c>
      <c r="X694" s="1040" t="e">
        <f>IF($F294="","",$F294*chronic_consumption!S694/1000/$C$3)</f>
        <v>#DIV/0!</v>
      </c>
      <c r="Y694" s="1040" t="e">
        <f>IF($F294="","",$F294*chronic_consumption!T694/1000/$C$3)</f>
        <v>#DIV/0!</v>
      </c>
      <c r="Z694" s="1040" t="e">
        <f>IF($F294="","",$F294*chronic_consumption!U694/1000/$C$3)</f>
        <v>#DIV/0!</v>
      </c>
      <c r="AA694" s="1040" t="e">
        <f>IF($F294="","",$F294*chronic_consumption!V694/1000/$C$3)</f>
        <v>#DIV/0!</v>
      </c>
      <c r="AB694" s="1040" t="e">
        <f>IF($F294="","",$F294*chronic_consumption!W694/1000/$C$3)</f>
        <v>#DIV/0!</v>
      </c>
      <c r="AC694" s="1040" t="e">
        <f>IF($F294="","",$F294*chronic_consumption!X694/1000/$C$3)</f>
        <v>#DIV/0!</v>
      </c>
      <c r="AD694" s="1040" t="e">
        <f>IF($F294="","",$F294*chronic_consumption!Y694/1000/$C$3)</f>
        <v>#DIV/0!</v>
      </c>
      <c r="AE694" s="1040" t="e">
        <f>IF($F294="","",$F294*chronic_consumption!Z694/1000/$C$3)</f>
        <v>#DIV/0!</v>
      </c>
      <c r="AF694" s="1040" t="e">
        <f>IF($F294="","",$F294*chronic_consumption!AA694/1000/$C$3)</f>
        <v>#DIV/0!</v>
      </c>
      <c r="AG694" s="1040" t="e">
        <f>IF($F294="","",$F294*chronic_consumption!AB694/1000/$C$3)</f>
        <v>#DIV/0!</v>
      </c>
      <c r="AH694" s="1040" t="e">
        <f>IF($F294="","",$F294*chronic_consumption!AC694/1000/$C$3)</f>
        <v>#DIV/0!</v>
      </c>
      <c r="AI694" s="1040" t="e">
        <f>IF($F294="","",$F294*chronic_consumption!AD694/1000/$C$3)</f>
        <v>#DIV/0!</v>
      </c>
      <c r="AJ694" s="1040" t="e">
        <f>IF($F294="","",$F294*chronic_consumption!AE694/1000/$C$3)</f>
        <v>#DIV/0!</v>
      </c>
      <c r="AK694" s="1040" t="e">
        <f>IF($F294="","",$F294*chronic_consumption!AF694/1000/$C$3)</f>
        <v>#DIV/0!</v>
      </c>
      <c r="AL694" s="1040" t="e">
        <f>IF($F294="","",$F294*chronic_consumption!AG694/1000/$C$3)</f>
        <v>#DIV/0!</v>
      </c>
      <c r="AM694" s="1040" t="e">
        <f>IF($F294="","",$F294*chronic_consumption!AH694/1000/$C$3)</f>
        <v>#DIV/0!</v>
      </c>
      <c r="AN694" s="1040" t="e">
        <f>IF($F294="","",$F294*chronic_consumption!AI694/1000/$C$3)</f>
        <v>#DIV/0!</v>
      </c>
      <c r="AO694" s="1040" t="e">
        <f>IF($F294="","",$F294*chronic_consumption!AJ694/1000/$C$3)</f>
        <v>#DIV/0!</v>
      </c>
      <c r="AP694" s="1040" t="e">
        <f>IF($F294="","",$F294*chronic_consumption!AK694/1000/$C$3)</f>
        <v>#DIV/0!</v>
      </c>
      <c r="AQ694" s="1040" t="e">
        <f>IF($F294="","",$F294*chronic_consumption!AL694/1000/$C$3)</f>
        <v>#DIV/0!</v>
      </c>
      <c r="AR694" s="1040" t="e">
        <f>IF($F294="","",$F294*chronic_consumption!AM694/1000/$C$3)</f>
        <v>#DIV/0!</v>
      </c>
      <c r="AS694" s="1040" t="e">
        <f>IF($F294="","",$F294*chronic_consumption!AN694/1000/$C$3)</f>
        <v>#DIV/0!</v>
      </c>
      <c r="AT694" s="1040" t="e">
        <f>IF($F294="","",$F294*chronic_consumption!AO694/1000/$C$3)</f>
        <v>#DIV/0!</v>
      </c>
      <c r="AU694" s="1040" t="e">
        <f>IF($F294="","",$F294*chronic_consumption!AP694/1000/$C$3)</f>
        <v>#DIV/0!</v>
      </c>
      <c r="AV694" s="1040" t="e">
        <f>IF($F294="","",$F294*chronic_consumption!AQ694/1000/$C$3)</f>
        <v>#DIV/0!</v>
      </c>
      <c r="AW694" s="1040" t="e">
        <f>IF($F294="","",$F294*chronic_consumption!AR694/1000/$C$3)</f>
        <v>#DIV/0!</v>
      </c>
      <c r="AX694" s="1040" t="e">
        <f>IF($F294="","",$F294*chronic_consumption!AS694/1000/$C$3)</f>
        <v>#DIV/0!</v>
      </c>
      <c r="AY694" s="1040" t="e">
        <f>IF($F294="","",$F294*chronic_consumption!AT694/1000/$C$3)</f>
        <v>#DIV/0!</v>
      </c>
      <c r="AZ694" s="44" t="s">
        <v>20</v>
      </c>
      <c r="BC694" s="29"/>
      <c r="BD694" s="29"/>
    </row>
    <row r="695" spans="1:56" ht="12" hidden="1" customHeight="1" outlineLevel="3" x14ac:dyDescent="0.2">
      <c r="A695" s="21">
        <f>acute_overview_children!A295</f>
        <v>4</v>
      </c>
      <c r="B695" s="325">
        <f t="shared" si="50"/>
        <v>820060</v>
      </c>
      <c r="C695" s="325" t="str">
        <f t="shared" si="50"/>
        <v xml:space="preserve">Peppercorn (black, green and white) </v>
      </c>
      <c r="D695" s="135"/>
      <c r="E695" s="1027"/>
      <c r="F695" s="87"/>
      <c r="G695" s="1027"/>
      <c r="H695" s="1029"/>
      <c r="I695" s="1030"/>
      <c r="J695" s="1039" t="e">
        <f>IF($F295="","",$F295*chronic_consumption!E695/1000/$C$3)</f>
        <v>#DIV/0!</v>
      </c>
      <c r="K695" s="1040" t="e">
        <f>IF($F295="","",$F295*chronic_consumption!F695/1000/$C$3)</f>
        <v>#DIV/0!</v>
      </c>
      <c r="L695" s="1040" t="e">
        <f>IF($F295="","",$F295*chronic_consumption!G695/1000/$C$3)</f>
        <v>#DIV/0!</v>
      </c>
      <c r="M695" s="1040" t="e">
        <f>IF($F295="","",$F295*chronic_consumption!H695/1000/$C$3)</f>
        <v>#DIV/0!</v>
      </c>
      <c r="N695" s="1040" t="e">
        <f>IF($F295="","",$F295*chronic_consumption!I695/1000/$C$3)</f>
        <v>#DIV/0!</v>
      </c>
      <c r="O695" s="1040" t="e">
        <f>IF($F295="","",$F295*chronic_consumption!J695/1000/$C$3)</f>
        <v>#DIV/0!</v>
      </c>
      <c r="P695" s="1040" t="e">
        <f>IF($F295="","",$F295*chronic_consumption!K695/1000/$C$3)</f>
        <v>#DIV/0!</v>
      </c>
      <c r="Q695" s="1040" t="e">
        <f>IF($F295="","",$F295*chronic_consumption!L695/1000/$C$3)</f>
        <v>#DIV/0!</v>
      </c>
      <c r="R695" s="1040" t="e">
        <f>IF($F295="","",$F295*chronic_consumption!M695/1000/$C$3)</f>
        <v>#DIV/0!</v>
      </c>
      <c r="S695" s="1040" t="e">
        <f>IF($F295="","",$F295*chronic_consumption!N695/1000/$C$3)</f>
        <v>#DIV/0!</v>
      </c>
      <c r="T695" s="1040" t="e">
        <f>IF($F295="","",$F295*chronic_consumption!O695/1000/$C$3)</f>
        <v>#DIV/0!</v>
      </c>
      <c r="U695" s="1040" t="e">
        <f>IF($F295="","",$F295*chronic_consumption!P695/1000/$C$3)</f>
        <v>#DIV/0!</v>
      </c>
      <c r="V695" s="1040" t="e">
        <f>IF($F295="","",$F295*chronic_consumption!Q695/1000/$C$3)</f>
        <v>#DIV/0!</v>
      </c>
      <c r="W695" s="1040" t="e">
        <f>IF($F295="","",$F295*chronic_consumption!R695/1000/$C$3)</f>
        <v>#DIV/0!</v>
      </c>
      <c r="X695" s="1040" t="e">
        <f>IF($F295="","",$F295*chronic_consumption!S695/1000/$C$3)</f>
        <v>#DIV/0!</v>
      </c>
      <c r="Y695" s="1040" t="e">
        <f>IF($F295="","",$F295*chronic_consumption!T695/1000/$C$3)</f>
        <v>#DIV/0!</v>
      </c>
      <c r="Z695" s="1040" t="e">
        <f>IF($F295="","",$F295*chronic_consumption!U695/1000/$C$3)</f>
        <v>#DIV/0!</v>
      </c>
      <c r="AA695" s="1040" t="e">
        <f>IF($F295="","",$F295*chronic_consumption!V695/1000/$C$3)</f>
        <v>#DIV/0!</v>
      </c>
      <c r="AB695" s="1040" t="e">
        <f>IF($F295="","",$F295*chronic_consumption!W695/1000/$C$3)</f>
        <v>#DIV/0!</v>
      </c>
      <c r="AC695" s="1040" t="e">
        <f>IF($F295="","",$F295*chronic_consumption!X695/1000/$C$3)</f>
        <v>#DIV/0!</v>
      </c>
      <c r="AD695" s="1040" t="e">
        <f>IF($F295="","",$F295*chronic_consumption!Y695/1000/$C$3)</f>
        <v>#DIV/0!</v>
      </c>
      <c r="AE695" s="1040" t="e">
        <f>IF($F295="","",$F295*chronic_consumption!Z695/1000/$C$3)</f>
        <v>#DIV/0!</v>
      </c>
      <c r="AF695" s="1040" t="e">
        <f>IF($F295="","",$F295*chronic_consumption!AA695/1000/$C$3)</f>
        <v>#DIV/0!</v>
      </c>
      <c r="AG695" s="1040" t="e">
        <f>IF($F295="","",$F295*chronic_consumption!AB695/1000/$C$3)</f>
        <v>#DIV/0!</v>
      </c>
      <c r="AH695" s="1040" t="e">
        <f>IF($F295="","",$F295*chronic_consumption!AC695/1000/$C$3)</f>
        <v>#DIV/0!</v>
      </c>
      <c r="AI695" s="1040" t="e">
        <f>IF($F295="","",$F295*chronic_consumption!AD695/1000/$C$3)</f>
        <v>#DIV/0!</v>
      </c>
      <c r="AJ695" s="1040" t="e">
        <f>IF($F295="","",$F295*chronic_consumption!AE695/1000/$C$3)</f>
        <v>#DIV/0!</v>
      </c>
      <c r="AK695" s="1040" t="e">
        <f>IF($F295="","",$F295*chronic_consumption!AF695/1000/$C$3)</f>
        <v>#DIV/0!</v>
      </c>
      <c r="AL695" s="1040" t="e">
        <f>IF($F295="","",$F295*chronic_consumption!AG695/1000/$C$3)</f>
        <v>#DIV/0!</v>
      </c>
      <c r="AM695" s="1040" t="e">
        <f>IF($F295="","",$F295*chronic_consumption!AH695/1000/$C$3)</f>
        <v>#DIV/0!</v>
      </c>
      <c r="AN695" s="1040" t="e">
        <f>IF($F295="","",$F295*chronic_consumption!AI695/1000/$C$3)</f>
        <v>#DIV/0!</v>
      </c>
      <c r="AO695" s="1040" t="e">
        <f>IF($F295="","",$F295*chronic_consumption!AJ695/1000/$C$3)</f>
        <v>#DIV/0!</v>
      </c>
      <c r="AP695" s="1040" t="e">
        <f>IF($F295="","",$F295*chronic_consumption!AK695/1000/$C$3)</f>
        <v>#DIV/0!</v>
      </c>
      <c r="AQ695" s="1040" t="e">
        <f>IF($F295="","",$F295*chronic_consumption!AL695/1000/$C$3)</f>
        <v>#DIV/0!</v>
      </c>
      <c r="AR695" s="1040" t="e">
        <f>IF($F295="","",$F295*chronic_consumption!AM695/1000/$C$3)</f>
        <v>#DIV/0!</v>
      </c>
      <c r="AS695" s="1040" t="e">
        <f>IF($F295="","",$F295*chronic_consumption!AN695/1000/$C$3)</f>
        <v>#DIV/0!</v>
      </c>
      <c r="AT695" s="1040" t="e">
        <f>IF($F295="","",$F295*chronic_consumption!AO695/1000/$C$3)</f>
        <v>#DIV/0!</v>
      </c>
      <c r="AU695" s="1040" t="e">
        <f>IF($F295="","",$F295*chronic_consumption!AP695/1000/$C$3)</f>
        <v>#DIV/0!</v>
      </c>
      <c r="AV695" s="1040" t="e">
        <f>IF($F295="","",$F295*chronic_consumption!AQ695/1000/$C$3)</f>
        <v>#DIV/0!</v>
      </c>
      <c r="AW695" s="1040" t="e">
        <f>IF($F295="","",$F295*chronic_consumption!AR695/1000/$C$3)</f>
        <v>#DIV/0!</v>
      </c>
      <c r="AX695" s="1040" t="e">
        <f>IF($F295="","",$F295*chronic_consumption!AS695/1000/$C$3)</f>
        <v>#DIV/0!</v>
      </c>
      <c r="AY695" s="1040" t="e">
        <f>IF($F295="","",$F295*chronic_consumption!AT695/1000/$C$3)</f>
        <v>#DIV/0!</v>
      </c>
      <c r="AZ695" s="44" t="s">
        <v>20</v>
      </c>
      <c r="BC695" s="29"/>
      <c r="BD695" s="29"/>
    </row>
    <row r="696" spans="1:56" ht="12" hidden="1" customHeight="1" outlineLevel="3" x14ac:dyDescent="0.2">
      <c r="A696" s="21">
        <f>acute_overview_children!A296</f>
        <v>4</v>
      </c>
      <c r="B696" s="325">
        <f t="shared" si="50"/>
        <v>820070</v>
      </c>
      <c r="C696" s="325" t="str">
        <f t="shared" si="50"/>
        <v>Vanilla pods</v>
      </c>
      <c r="D696" s="135"/>
      <c r="E696" s="1027"/>
      <c r="F696" s="87"/>
      <c r="G696" s="1027"/>
      <c r="H696" s="1029"/>
      <c r="I696" s="1030"/>
      <c r="J696" s="1039" t="e">
        <f>IF($F296="","",$F296*chronic_consumption!E696/1000/$C$3)</f>
        <v>#DIV/0!</v>
      </c>
      <c r="K696" s="1040" t="e">
        <f>IF($F296="","",$F296*chronic_consumption!F696/1000/$C$3)</f>
        <v>#DIV/0!</v>
      </c>
      <c r="L696" s="1040" t="e">
        <f>IF($F296="","",$F296*chronic_consumption!G696/1000/$C$3)</f>
        <v>#DIV/0!</v>
      </c>
      <c r="M696" s="1040" t="e">
        <f>IF($F296="","",$F296*chronic_consumption!H696/1000/$C$3)</f>
        <v>#DIV/0!</v>
      </c>
      <c r="N696" s="1040" t="e">
        <f>IF($F296="","",$F296*chronic_consumption!I696/1000/$C$3)</f>
        <v>#DIV/0!</v>
      </c>
      <c r="O696" s="1040" t="e">
        <f>IF($F296="","",$F296*chronic_consumption!J696/1000/$C$3)</f>
        <v>#DIV/0!</v>
      </c>
      <c r="P696" s="1040" t="e">
        <f>IF($F296="","",$F296*chronic_consumption!K696/1000/$C$3)</f>
        <v>#DIV/0!</v>
      </c>
      <c r="Q696" s="1040" t="e">
        <f>IF($F296="","",$F296*chronic_consumption!L696/1000/$C$3)</f>
        <v>#DIV/0!</v>
      </c>
      <c r="R696" s="1040" t="e">
        <f>IF($F296="","",$F296*chronic_consumption!M696/1000/$C$3)</f>
        <v>#DIV/0!</v>
      </c>
      <c r="S696" s="1040" t="e">
        <f>IF($F296="","",$F296*chronic_consumption!N696/1000/$C$3)</f>
        <v>#DIV/0!</v>
      </c>
      <c r="T696" s="1040" t="e">
        <f>IF($F296="","",$F296*chronic_consumption!O696/1000/$C$3)</f>
        <v>#DIV/0!</v>
      </c>
      <c r="U696" s="1040" t="e">
        <f>IF($F296="","",$F296*chronic_consumption!P696/1000/$C$3)</f>
        <v>#DIV/0!</v>
      </c>
      <c r="V696" s="1040" t="e">
        <f>IF($F296="","",$F296*chronic_consumption!Q696/1000/$C$3)</f>
        <v>#DIV/0!</v>
      </c>
      <c r="W696" s="1040" t="e">
        <f>IF($F296="","",$F296*chronic_consumption!R696/1000/$C$3)</f>
        <v>#DIV/0!</v>
      </c>
      <c r="X696" s="1040" t="e">
        <f>IF($F296="","",$F296*chronic_consumption!S696/1000/$C$3)</f>
        <v>#DIV/0!</v>
      </c>
      <c r="Y696" s="1040" t="e">
        <f>IF($F296="","",$F296*chronic_consumption!T696/1000/$C$3)</f>
        <v>#DIV/0!</v>
      </c>
      <c r="Z696" s="1040" t="e">
        <f>IF($F296="","",$F296*chronic_consumption!U696/1000/$C$3)</f>
        <v>#DIV/0!</v>
      </c>
      <c r="AA696" s="1040" t="e">
        <f>IF($F296="","",$F296*chronic_consumption!V696/1000/$C$3)</f>
        <v>#DIV/0!</v>
      </c>
      <c r="AB696" s="1040" t="e">
        <f>IF($F296="","",$F296*chronic_consumption!W696/1000/$C$3)</f>
        <v>#DIV/0!</v>
      </c>
      <c r="AC696" s="1040" t="e">
        <f>IF($F296="","",$F296*chronic_consumption!X696/1000/$C$3)</f>
        <v>#DIV/0!</v>
      </c>
      <c r="AD696" s="1040" t="e">
        <f>IF($F296="","",$F296*chronic_consumption!Y696/1000/$C$3)</f>
        <v>#DIV/0!</v>
      </c>
      <c r="AE696" s="1040" t="e">
        <f>IF($F296="","",$F296*chronic_consumption!Z696/1000/$C$3)</f>
        <v>#DIV/0!</v>
      </c>
      <c r="AF696" s="1040" t="e">
        <f>IF($F296="","",$F296*chronic_consumption!AA696/1000/$C$3)</f>
        <v>#DIV/0!</v>
      </c>
      <c r="AG696" s="1040" t="e">
        <f>IF($F296="","",$F296*chronic_consumption!AB696/1000/$C$3)</f>
        <v>#DIV/0!</v>
      </c>
      <c r="AH696" s="1040" t="e">
        <f>IF($F296="","",$F296*chronic_consumption!AC696/1000/$C$3)</f>
        <v>#DIV/0!</v>
      </c>
      <c r="AI696" s="1040" t="e">
        <f>IF($F296="","",$F296*chronic_consumption!AD696/1000/$C$3)</f>
        <v>#DIV/0!</v>
      </c>
      <c r="AJ696" s="1040" t="e">
        <f>IF($F296="","",$F296*chronic_consumption!AE696/1000/$C$3)</f>
        <v>#DIV/0!</v>
      </c>
      <c r="AK696" s="1040" t="e">
        <f>IF($F296="","",$F296*chronic_consumption!AF696/1000/$C$3)</f>
        <v>#DIV/0!</v>
      </c>
      <c r="AL696" s="1040" t="e">
        <f>IF($F296="","",$F296*chronic_consumption!AG696/1000/$C$3)</f>
        <v>#DIV/0!</v>
      </c>
      <c r="AM696" s="1040" t="e">
        <f>IF($F296="","",$F296*chronic_consumption!AH696/1000/$C$3)</f>
        <v>#DIV/0!</v>
      </c>
      <c r="AN696" s="1040" t="e">
        <f>IF($F296="","",$F296*chronic_consumption!AI696/1000/$C$3)</f>
        <v>#DIV/0!</v>
      </c>
      <c r="AO696" s="1040" t="e">
        <f>IF($F296="","",$F296*chronic_consumption!AJ696/1000/$C$3)</f>
        <v>#DIV/0!</v>
      </c>
      <c r="AP696" s="1040" t="e">
        <f>IF($F296="","",$F296*chronic_consumption!AK696/1000/$C$3)</f>
        <v>#DIV/0!</v>
      </c>
      <c r="AQ696" s="1040" t="e">
        <f>IF($F296="","",$F296*chronic_consumption!AL696/1000/$C$3)</f>
        <v>#DIV/0!</v>
      </c>
      <c r="AR696" s="1040" t="e">
        <f>IF($F296="","",$F296*chronic_consumption!AM696/1000/$C$3)</f>
        <v>#DIV/0!</v>
      </c>
      <c r="AS696" s="1040" t="e">
        <f>IF($F296="","",$F296*chronic_consumption!AN696/1000/$C$3)</f>
        <v>#DIV/0!</v>
      </c>
      <c r="AT696" s="1040" t="e">
        <f>IF($F296="","",$F296*chronic_consumption!AO696/1000/$C$3)</f>
        <v>#DIV/0!</v>
      </c>
      <c r="AU696" s="1040" t="e">
        <f>IF($F296="","",$F296*chronic_consumption!AP696/1000/$C$3)</f>
        <v>#DIV/0!</v>
      </c>
      <c r="AV696" s="1040" t="e">
        <f>IF($F296="","",$F296*chronic_consumption!AQ696/1000/$C$3)</f>
        <v>#DIV/0!</v>
      </c>
      <c r="AW696" s="1040" t="e">
        <f>IF($F296="","",$F296*chronic_consumption!AR696/1000/$C$3)</f>
        <v>#DIV/0!</v>
      </c>
      <c r="AX696" s="1040" t="e">
        <f>IF($F296="","",$F296*chronic_consumption!AS696/1000/$C$3)</f>
        <v>#DIV/0!</v>
      </c>
      <c r="AY696" s="1040" t="e">
        <f>IF($F296="","",$F296*chronic_consumption!AT696/1000/$C$3)</f>
        <v>#DIV/0!</v>
      </c>
      <c r="AZ696" s="44" t="s">
        <v>20</v>
      </c>
      <c r="BC696" s="29"/>
      <c r="BD696" s="29"/>
    </row>
    <row r="697" spans="1:56" ht="12" hidden="1" customHeight="1" outlineLevel="3" x14ac:dyDescent="0.2">
      <c r="A697" s="21">
        <f>acute_overview_children!A297</f>
        <v>4</v>
      </c>
      <c r="B697" s="325">
        <f t="shared" si="50"/>
        <v>820080</v>
      </c>
      <c r="C697" s="325" t="str">
        <f t="shared" si="50"/>
        <v xml:space="preserve">Tamarind </v>
      </c>
      <c r="D697" s="135"/>
      <c r="E697" s="1027"/>
      <c r="F697" s="87"/>
      <c r="G697" s="1027"/>
      <c r="H697" s="1029"/>
      <c r="I697" s="1030"/>
      <c r="J697" s="1039" t="e">
        <f>IF($F297="","",$F297*chronic_consumption!E697/1000/$C$3)</f>
        <v>#DIV/0!</v>
      </c>
      <c r="K697" s="1040" t="e">
        <f>IF($F297="","",$F297*chronic_consumption!F697/1000/$C$3)</f>
        <v>#DIV/0!</v>
      </c>
      <c r="L697" s="1040" t="e">
        <f>IF($F297="","",$F297*chronic_consumption!G697/1000/$C$3)</f>
        <v>#DIV/0!</v>
      </c>
      <c r="M697" s="1040" t="e">
        <f>IF($F297="","",$F297*chronic_consumption!H697/1000/$C$3)</f>
        <v>#DIV/0!</v>
      </c>
      <c r="N697" s="1040" t="e">
        <f>IF($F297="","",$F297*chronic_consumption!I697/1000/$C$3)</f>
        <v>#DIV/0!</v>
      </c>
      <c r="O697" s="1040" t="e">
        <f>IF($F297="","",$F297*chronic_consumption!J697/1000/$C$3)</f>
        <v>#DIV/0!</v>
      </c>
      <c r="P697" s="1040" t="e">
        <f>IF($F297="","",$F297*chronic_consumption!K697/1000/$C$3)</f>
        <v>#DIV/0!</v>
      </c>
      <c r="Q697" s="1040" t="e">
        <f>IF($F297="","",$F297*chronic_consumption!L697/1000/$C$3)</f>
        <v>#DIV/0!</v>
      </c>
      <c r="R697" s="1040" t="e">
        <f>IF($F297="","",$F297*chronic_consumption!M697/1000/$C$3)</f>
        <v>#DIV/0!</v>
      </c>
      <c r="S697" s="1040" t="e">
        <f>IF($F297="","",$F297*chronic_consumption!N697/1000/$C$3)</f>
        <v>#DIV/0!</v>
      </c>
      <c r="T697" s="1040" t="e">
        <f>IF($F297="","",$F297*chronic_consumption!O697/1000/$C$3)</f>
        <v>#DIV/0!</v>
      </c>
      <c r="U697" s="1040" t="e">
        <f>IF($F297="","",$F297*chronic_consumption!P697/1000/$C$3)</f>
        <v>#DIV/0!</v>
      </c>
      <c r="V697" s="1040" t="e">
        <f>IF($F297="","",$F297*chronic_consumption!Q697/1000/$C$3)</f>
        <v>#DIV/0!</v>
      </c>
      <c r="W697" s="1040" t="e">
        <f>IF($F297="","",$F297*chronic_consumption!R697/1000/$C$3)</f>
        <v>#DIV/0!</v>
      </c>
      <c r="X697" s="1040" t="e">
        <f>IF($F297="","",$F297*chronic_consumption!S697/1000/$C$3)</f>
        <v>#DIV/0!</v>
      </c>
      <c r="Y697" s="1040" t="e">
        <f>IF($F297="","",$F297*chronic_consumption!T697/1000/$C$3)</f>
        <v>#DIV/0!</v>
      </c>
      <c r="Z697" s="1040" t="e">
        <f>IF($F297="","",$F297*chronic_consumption!U697/1000/$C$3)</f>
        <v>#DIV/0!</v>
      </c>
      <c r="AA697" s="1040" t="e">
        <f>IF($F297="","",$F297*chronic_consumption!V697/1000/$C$3)</f>
        <v>#DIV/0!</v>
      </c>
      <c r="AB697" s="1040" t="e">
        <f>IF($F297="","",$F297*chronic_consumption!W697/1000/$C$3)</f>
        <v>#DIV/0!</v>
      </c>
      <c r="AC697" s="1040" t="e">
        <f>IF($F297="","",$F297*chronic_consumption!X697/1000/$C$3)</f>
        <v>#DIV/0!</v>
      </c>
      <c r="AD697" s="1040" t="e">
        <f>IF($F297="","",$F297*chronic_consumption!Y697/1000/$C$3)</f>
        <v>#DIV/0!</v>
      </c>
      <c r="AE697" s="1040" t="e">
        <f>IF($F297="","",$F297*chronic_consumption!Z697/1000/$C$3)</f>
        <v>#DIV/0!</v>
      </c>
      <c r="AF697" s="1040" t="e">
        <f>IF($F297="","",$F297*chronic_consumption!AA697/1000/$C$3)</f>
        <v>#DIV/0!</v>
      </c>
      <c r="AG697" s="1040" t="e">
        <f>IF($F297="","",$F297*chronic_consumption!AB697/1000/$C$3)</f>
        <v>#DIV/0!</v>
      </c>
      <c r="AH697" s="1040" t="e">
        <f>IF($F297="","",$F297*chronic_consumption!AC697/1000/$C$3)</f>
        <v>#DIV/0!</v>
      </c>
      <c r="AI697" s="1040" t="e">
        <f>IF($F297="","",$F297*chronic_consumption!AD697/1000/$C$3)</f>
        <v>#DIV/0!</v>
      </c>
      <c r="AJ697" s="1040" t="e">
        <f>IF($F297="","",$F297*chronic_consumption!AE697/1000/$C$3)</f>
        <v>#DIV/0!</v>
      </c>
      <c r="AK697" s="1040" t="e">
        <f>IF($F297="","",$F297*chronic_consumption!AF697/1000/$C$3)</f>
        <v>#DIV/0!</v>
      </c>
      <c r="AL697" s="1040" t="e">
        <f>IF($F297="","",$F297*chronic_consumption!AG697/1000/$C$3)</f>
        <v>#DIV/0!</v>
      </c>
      <c r="AM697" s="1040" t="e">
        <f>IF($F297="","",$F297*chronic_consumption!AH697/1000/$C$3)</f>
        <v>#DIV/0!</v>
      </c>
      <c r="AN697" s="1040" t="e">
        <f>IF($F297="","",$F297*chronic_consumption!AI697/1000/$C$3)</f>
        <v>#DIV/0!</v>
      </c>
      <c r="AO697" s="1040" t="e">
        <f>IF($F297="","",$F297*chronic_consumption!AJ697/1000/$C$3)</f>
        <v>#DIV/0!</v>
      </c>
      <c r="AP697" s="1040" t="e">
        <f>IF($F297="","",$F297*chronic_consumption!AK697/1000/$C$3)</f>
        <v>#DIV/0!</v>
      </c>
      <c r="AQ697" s="1040" t="e">
        <f>IF($F297="","",$F297*chronic_consumption!AL697/1000/$C$3)</f>
        <v>#DIV/0!</v>
      </c>
      <c r="AR697" s="1040" t="e">
        <f>IF($F297="","",$F297*chronic_consumption!AM697/1000/$C$3)</f>
        <v>#DIV/0!</v>
      </c>
      <c r="AS697" s="1040" t="e">
        <f>IF($F297="","",$F297*chronic_consumption!AN697/1000/$C$3)</f>
        <v>#DIV/0!</v>
      </c>
      <c r="AT697" s="1040" t="e">
        <f>IF($F297="","",$F297*chronic_consumption!AO697/1000/$C$3)</f>
        <v>#DIV/0!</v>
      </c>
      <c r="AU697" s="1040" t="e">
        <f>IF($F297="","",$F297*chronic_consumption!AP697/1000/$C$3)</f>
        <v>#DIV/0!</v>
      </c>
      <c r="AV697" s="1040" t="e">
        <f>IF($F297="","",$F297*chronic_consumption!AQ697/1000/$C$3)</f>
        <v>#DIV/0!</v>
      </c>
      <c r="AW697" s="1040" t="e">
        <f>IF($F297="","",$F297*chronic_consumption!AR697/1000/$C$3)</f>
        <v>#DIV/0!</v>
      </c>
      <c r="AX697" s="1040" t="e">
        <f>IF($F297="","",$F297*chronic_consumption!AS697/1000/$C$3)</f>
        <v>#DIV/0!</v>
      </c>
      <c r="AY697" s="1040" t="e">
        <f>IF($F297="","",$F297*chronic_consumption!AT697/1000/$C$3)</f>
        <v>#DIV/0!</v>
      </c>
      <c r="AZ697" s="44" t="s">
        <v>20</v>
      </c>
      <c r="BC697" s="29"/>
      <c r="BD697" s="29"/>
    </row>
    <row r="698" spans="1:56" ht="12" hidden="1" customHeight="1" outlineLevel="3" x14ac:dyDescent="0.2">
      <c r="A698" s="21">
        <f>acute_overview_children!A298</f>
        <v>4</v>
      </c>
      <c r="B698" s="325">
        <f t="shared" si="50"/>
        <v>820990</v>
      </c>
      <c r="C698" s="325" t="str">
        <f t="shared" si="50"/>
        <v>Other spices (fruits)</v>
      </c>
      <c r="D698" s="135"/>
      <c r="E698" s="1027"/>
      <c r="F698" s="87"/>
      <c r="G698" s="1027"/>
      <c r="H698" s="1029"/>
      <c r="I698" s="1030"/>
      <c r="J698" s="1039" t="e">
        <f>IF($F298="","",$F298*chronic_consumption!E698/1000/$C$3)</f>
        <v>#DIV/0!</v>
      </c>
      <c r="K698" s="1040" t="e">
        <f>IF($F298="","",$F298*chronic_consumption!F698/1000/$C$3)</f>
        <v>#DIV/0!</v>
      </c>
      <c r="L698" s="1040" t="e">
        <f>IF($F298="","",$F298*chronic_consumption!G698/1000/$C$3)</f>
        <v>#DIV/0!</v>
      </c>
      <c r="M698" s="1040" t="e">
        <f>IF($F298="","",$F298*chronic_consumption!H698/1000/$C$3)</f>
        <v>#DIV/0!</v>
      </c>
      <c r="N698" s="1040" t="e">
        <f>IF($F298="","",$F298*chronic_consumption!I698/1000/$C$3)</f>
        <v>#DIV/0!</v>
      </c>
      <c r="O698" s="1040" t="e">
        <f>IF($F298="","",$F298*chronic_consumption!J698/1000/$C$3)</f>
        <v>#DIV/0!</v>
      </c>
      <c r="P698" s="1040" t="e">
        <f>IF($F298="","",$F298*chronic_consumption!K698/1000/$C$3)</f>
        <v>#DIV/0!</v>
      </c>
      <c r="Q698" s="1040" t="e">
        <f>IF($F298="","",$F298*chronic_consumption!L698/1000/$C$3)</f>
        <v>#DIV/0!</v>
      </c>
      <c r="R698" s="1040" t="e">
        <f>IF($F298="","",$F298*chronic_consumption!M698/1000/$C$3)</f>
        <v>#DIV/0!</v>
      </c>
      <c r="S698" s="1040" t="e">
        <f>IF($F298="","",$F298*chronic_consumption!N698/1000/$C$3)</f>
        <v>#DIV/0!</v>
      </c>
      <c r="T698" s="1040" t="e">
        <f>IF($F298="","",$F298*chronic_consumption!O698/1000/$C$3)</f>
        <v>#DIV/0!</v>
      </c>
      <c r="U698" s="1040" t="e">
        <f>IF($F298="","",$F298*chronic_consumption!P698/1000/$C$3)</f>
        <v>#DIV/0!</v>
      </c>
      <c r="V698" s="1040" t="e">
        <f>IF($F298="","",$F298*chronic_consumption!Q698/1000/$C$3)</f>
        <v>#DIV/0!</v>
      </c>
      <c r="W698" s="1040" t="e">
        <f>IF($F298="","",$F298*chronic_consumption!R698/1000/$C$3)</f>
        <v>#DIV/0!</v>
      </c>
      <c r="X698" s="1040" t="e">
        <f>IF($F298="","",$F298*chronic_consumption!S698/1000/$C$3)</f>
        <v>#DIV/0!</v>
      </c>
      <c r="Y698" s="1040" t="e">
        <f>IF($F298="","",$F298*chronic_consumption!T698/1000/$C$3)</f>
        <v>#DIV/0!</v>
      </c>
      <c r="Z698" s="1040" t="e">
        <f>IF($F298="","",$F298*chronic_consumption!U698/1000/$C$3)</f>
        <v>#DIV/0!</v>
      </c>
      <c r="AA698" s="1040" t="e">
        <f>IF($F298="","",$F298*chronic_consumption!V698/1000/$C$3)</f>
        <v>#DIV/0!</v>
      </c>
      <c r="AB698" s="1040" t="e">
        <f>IF($F298="","",$F298*chronic_consumption!W698/1000/$C$3)</f>
        <v>#DIV/0!</v>
      </c>
      <c r="AC698" s="1040" t="e">
        <f>IF($F298="","",$F298*chronic_consumption!X698/1000/$C$3)</f>
        <v>#DIV/0!</v>
      </c>
      <c r="AD698" s="1040" t="e">
        <f>IF($F298="","",$F298*chronic_consumption!Y698/1000/$C$3)</f>
        <v>#DIV/0!</v>
      </c>
      <c r="AE698" s="1040" t="e">
        <f>IF($F298="","",$F298*chronic_consumption!Z698/1000/$C$3)</f>
        <v>#DIV/0!</v>
      </c>
      <c r="AF698" s="1040" t="e">
        <f>IF($F298="","",$F298*chronic_consumption!AA698/1000/$C$3)</f>
        <v>#DIV/0!</v>
      </c>
      <c r="AG698" s="1040" t="e">
        <f>IF($F298="","",$F298*chronic_consumption!AB698/1000/$C$3)</f>
        <v>#DIV/0!</v>
      </c>
      <c r="AH698" s="1040" t="e">
        <f>IF($F298="","",$F298*chronic_consumption!AC698/1000/$C$3)</f>
        <v>#DIV/0!</v>
      </c>
      <c r="AI698" s="1040" t="e">
        <f>IF($F298="","",$F298*chronic_consumption!AD698/1000/$C$3)</f>
        <v>#DIV/0!</v>
      </c>
      <c r="AJ698" s="1040" t="e">
        <f>IF($F298="","",$F298*chronic_consumption!AE698/1000/$C$3)</f>
        <v>#DIV/0!</v>
      </c>
      <c r="AK698" s="1040" t="e">
        <f>IF($F298="","",$F298*chronic_consumption!AF698/1000/$C$3)</f>
        <v>#DIV/0!</v>
      </c>
      <c r="AL698" s="1040" t="e">
        <f>IF($F298="","",$F298*chronic_consumption!AG698/1000/$C$3)</f>
        <v>#DIV/0!</v>
      </c>
      <c r="AM698" s="1040" t="e">
        <f>IF($F298="","",$F298*chronic_consumption!AH698/1000/$C$3)</f>
        <v>#DIV/0!</v>
      </c>
      <c r="AN698" s="1040" t="e">
        <f>IF($F298="","",$F298*chronic_consumption!AI698/1000/$C$3)</f>
        <v>#DIV/0!</v>
      </c>
      <c r="AO698" s="1040" t="e">
        <f>IF($F298="","",$F298*chronic_consumption!AJ698/1000/$C$3)</f>
        <v>#DIV/0!</v>
      </c>
      <c r="AP698" s="1040" t="e">
        <f>IF($F298="","",$F298*chronic_consumption!AK698/1000/$C$3)</f>
        <v>#DIV/0!</v>
      </c>
      <c r="AQ698" s="1040" t="e">
        <f>IF($F298="","",$F298*chronic_consumption!AL698/1000/$C$3)</f>
        <v>#DIV/0!</v>
      </c>
      <c r="AR698" s="1040" t="e">
        <f>IF($F298="","",$F298*chronic_consumption!AM698/1000/$C$3)</f>
        <v>#DIV/0!</v>
      </c>
      <c r="AS698" s="1040" t="e">
        <f>IF($F298="","",$F298*chronic_consumption!AN698/1000/$C$3)</f>
        <v>#DIV/0!</v>
      </c>
      <c r="AT698" s="1040" t="e">
        <f>IF($F298="","",$F298*chronic_consumption!AO698/1000/$C$3)</f>
        <v>#DIV/0!</v>
      </c>
      <c r="AU698" s="1040" t="e">
        <f>IF($F298="","",$F298*chronic_consumption!AP698/1000/$C$3)</f>
        <v>#DIV/0!</v>
      </c>
      <c r="AV698" s="1040" t="e">
        <f>IF($F298="","",$F298*chronic_consumption!AQ698/1000/$C$3)</f>
        <v>#DIV/0!</v>
      </c>
      <c r="AW698" s="1040" t="e">
        <f>IF($F298="","",$F298*chronic_consumption!AR698/1000/$C$3)</f>
        <v>#DIV/0!</v>
      </c>
      <c r="AX698" s="1040" t="e">
        <f>IF($F298="","",$F298*chronic_consumption!AS698/1000/$C$3)</f>
        <v>#DIV/0!</v>
      </c>
      <c r="AY698" s="1040" t="e">
        <f>IF($F298="","",$F298*chronic_consumption!AT698/1000/$C$3)</f>
        <v>#DIV/0!</v>
      </c>
      <c r="AZ698" s="44" t="s">
        <v>20</v>
      </c>
      <c r="BC698" s="29"/>
      <c r="BD698" s="29"/>
    </row>
    <row r="699" spans="1:56" ht="12" hidden="1" customHeight="1" outlineLevel="1" x14ac:dyDescent="0.2">
      <c r="A699" s="1033">
        <f>acute_overview_children!A299</f>
        <v>2</v>
      </c>
      <c r="B699" s="1034">
        <f t="shared" si="50"/>
        <v>830000</v>
      </c>
      <c r="C699" s="1034" t="str">
        <f t="shared" si="50"/>
        <v>Spices (bark)</v>
      </c>
      <c r="D699" s="1035"/>
      <c r="E699" s="1027"/>
      <c r="F699" s="87"/>
      <c r="G699" s="1027"/>
      <c r="H699" s="1029"/>
      <c r="I699" s="1030"/>
      <c r="J699" s="1037" t="e">
        <f>IF($F299="","",$F299*chronic_consumption!E699/1000/$C$3)</f>
        <v>#DIV/0!</v>
      </c>
      <c r="K699" s="1038" t="e">
        <f>IF($F299="","",$F299*chronic_consumption!F699/1000/$C$3)</f>
        <v>#DIV/0!</v>
      </c>
      <c r="L699" s="1038" t="e">
        <f>IF($F299="","",$F299*chronic_consumption!G699/1000/$C$3)</f>
        <v>#DIV/0!</v>
      </c>
      <c r="M699" s="1038" t="e">
        <f>IF($F299="","",$F299*chronic_consumption!H699/1000/$C$3)</f>
        <v>#DIV/0!</v>
      </c>
      <c r="N699" s="1038" t="e">
        <f>IF($F299="","",$F299*chronic_consumption!I699/1000/$C$3)</f>
        <v>#DIV/0!</v>
      </c>
      <c r="O699" s="1038" t="e">
        <f>IF($F299="","",$F299*chronic_consumption!J699/1000/$C$3)</f>
        <v>#DIV/0!</v>
      </c>
      <c r="P699" s="1038" t="e">
        <f>IF($F299="","",$F299*chronic_consumption!K699/1000/$C$3)</f>
        <v>#DIV/0!</v>
      </c>
      <c r="Q699" s="1038" t="e">
        <f>IF($F299="","",$F299*chronic_consumption!L699/1000/$C$3)</f>
        <v>#DIV/0!</v>
      </c>
      <c r="R699" s="1038" t="e">
        <f>IF($F299="","",$F299*chronic_consumption!M699/1000/$C$3)</f>
        <v>#DIV/0!</v>
      </c>
      <c r="S699" s="1038" t="e">
        <f>IF($F299="","",$F299*chronic_consumption!N699/1000/$C$3)</f>
        <v>#DIV/0!</v>
      </c>
      <c r="T699" s="1038" t="e">
        <f>IF($F299="","",$F299*chronic_consumption!O699/1000/$C$3)</f>
        <v>#DIV/0!</v>
      </c>
      <c r="U699" s="1038" t="e">
        <f>IF($F299="","",$F299*chronic_consumption!P699/1000/$C$3)</f>
        <v>#DIV/0!</v>
      </c>
      <c r="V699" s="1038" t="e">
        <f>IF($F299="","",$F299*chronic_consumption!Q699/1000/$C$3)</f>
        <v>#DIV/0!</v>
      </c>
      <c r="W699" s="1038" t="e">
        <f>IF($F299="","",$F299*chronic_consumption!R699/1000/$C$3)</f>
        <v>#DIV/0!</v>
      </c>
      <c r="X699" s="1038" t="e">
        <f>IF($F299="","",$F299*chronic_consumption!S699/1000/$C$3)</f>
        <v>#DIV/0!</v>
      </c>
      <c r="Y699" s="1038" t="e">
        <f>IF($F299="","",$F299*chronic_consumption!T699/1000/$C$3)</f>
        <v>#DIV/0!</v>
      </c>
      <c r="Z699" s="1038" t="e">
        <f>IF($F299="","",$F299*chronic_consumption!U699/1000/$C$3)</f>
        <v>#DIV/0!</v>
      </c>
      <c r="AA699" s="1038" t="e">
        <f>IF($F299="","",$F299*chronic_consumption!V699/1000/$C$3)</f>
        <v>#DIV/0!</v>
      </c>
      <c r="AB699" s="1038" t="e">
        <f>IF($F299="","",$F299*chronic_consumption!W699/1000/$C$3)</f>
        <v>#DIV/0!</v>
      </c>
      <c r="AC699" s="1038" t="e">
        <f>IF($F299="","",$F299*chronic_consumption!X699/1000/$C$3)</f>
        <v>#DIV/0!</v>
      </c>
      <c r="AD699" s="1038" t="e">
        <f>IF($F299="","",$F299*chronic_consumption!Y699/1000/$C$3)</f>
        <v>#DIV/0!</v>
      </c>
      <c r="AE699" s="1038" t="e">
        <f>IF($F299="","",$F299*chronic_consumption!Z699/1000/$C$3)</f>
        <v>#DIV/0!</v>
      </c>
      <c r="AF699" s="1038" t="e">
        <f>IF($F299="","",$F299*chronic_consumption!AA699/1000/$C$3)</f>
        <v>#DIV/0!</v>
      </c>
      <c r="AG699" s="1038" t="e">
        <f>IF($F299="","",$F299*chronic_consumption!AB699/1000/$C$3)</f>
        <v>#DIV/0!</v>
      </c>
      <c r="AH699" s="1038" t="e">
        <f>IF($F299="","",$F299*chronic_consumption!AC699/1000/$C$3)</f>
        <v>#DIV/0!</v>
      </c>
      <c r="AI699" s="1038" t="e">
        <f>IF($F299="","",$F299*chronic_consumption!AD699/1000/$C$3)</f>
        <v>#DIV/0!</v>
      </c>
      <c r="AJ699" s="1038" t="e">
        <f>IF($F299="","",$F299*chronic_consumption!AE699/1000/$C$3)</f>
        <v>#DIV/0!</v>
      </c>
      <c r="AK699" s="1038" t="e">
        <f>IF($F299="","",$F299*chronic_consumption!AF699/1000/$C$3)</f>
        <v>#DIV/0!</v>
      </c>
      <c r="AL699" s="1038" t="e">
        <f>IF($F299="","",$F299*chronic_consumption!AG699/1000/$C$3)</f>
        <v>#DIV/0!</v>
      </c>
      <c r="AM699" s="1038" t="e">
        <f>IF($F299="","",$F299*chronic_consumption!AH699/1000/$C$3)</f>
        <v>#DIV/0!</v>
      </c>
      <c r="AN699" s="1038" t="e">
        <f>IF($F299="","",$F299*chronic_consumption!AI699/1000/$C$3)</f>
        <v>#DIV/0!</v>
      </c>
      <c r="AO699" s="1038" t="e">
        <f>IF($F299="","",$F299*chronic_consumption!AJ699/1000/$C$3)</f>
        <v>#DIV/0!</v>
      </c>
      <c r="AP699" s="1038" t="e">
        <f>IF($F299="","",$F299*chronic_consumption!AK699/1000/$C$3)</f>
        <v>#DIV/0!</v>
      </c>
      <c r="AQ699" s="1038" t="e">
        <f>IF($F299="","",$F299*chronic_consumption!AL699/1000/$C$3)</f>
        <v>#DIV/0!</v>
      </c>
      <c r="AR699" s="1038" t="e">
        <f>IF($F299="","",$F299*chronic_consumption!AM699/1000/$C$3)</f>
        <v>#DIV/0!</v>
      </c>
      <c r="AS699" s="1038" t="e">
        <f>IF($F299="","",$F299*chronic_consumption!AN699/1000/$C$3)</f>
        <v>#DIV/0!</v>
      </c>
      <c r="AT699" s="1038" t="e">
        <f>IF($F299="","",$F299*chronic_consumption!AO699/1000/$C$3)</f>
        <v>#DIV/0!</v>
      </c>
      <c r="AU699" s="1038" t="e">
        <f>IF($F299="","",$F299*chronic_consumption!AP699/1000/$C$3)</f>
        <v>#DIV/0!</v>
      </c>
      <c r="AV699" s="1038" t="e">
        <f>IF($F299="","",$F299*chronic_consumption!AQ699/1000/$C$3)</f>
        <v>#DIV/0!</v>
      </c>
      <c r="AW699" s="1038" t="e">
        <f>IF($F299="","",$F299*chronic_consumption!AR699/1000/$C$3)</f>
        <v>#DIV/0!</v>
      </c>
      <c r="AX699" s="1038" t="e">
        <f>IF($F299="","",$F299*chronic_consumption!AS699/1000/$C$3)</f>
        <v>#DIV/0!</v>
      </c>
      <c r="AY699" s="1038" t="e">
        <f>IF($F299="","",$F299*chronic_consumption!AT699/1000/$C$3)</f>
        <v>#DIV/0!</v>
      </c>
      <c r="AZ699" s="44" t="s">
        <v>20</v>
      </c>
      <c r="BC699" s="29"/>
      <c r="BD699" s="29"/>
    </row>
    <row r="700" spans="1:56" ht="12" hidden="1" customHeight="1" outlineLevel="3" x14ac:dyDescent="0.2">
      <c r="A700" s="21">
        <f>acute_overview_children!A300</f>
        <v>4</v>
      </c>
      <c r="B700" s="325">
        <f t="shared" si="50"/>
        <v>830010</v>
      </c>
      <c r="C700" s="325" t="str">
        <f t="shared" si="50"/>
        <v>Cinnamon</v>
      </c>
      <c r="D700" s="135"/>
      <c r="E700" s="1027"/>
      <c r="F700" s="87"/>
      <c r="G700" s="1027"/>
      <c r="H700" s="1029"/>
      <c r="I700" s="1030"/>
      <c r="J700" s="1039" t="e">
        <f>IF($F300="","",$F300*chronic_consumption!E700/1000/$C$3)</f>
        <v>#DIV/0!</v>
      </c>
      <c r="K700" s="1040" t="e">
        <f>IF($F300="","",$F300*chronic_consumption!F700/1000/$C$3)</f>
        <v>#DIV/0!</v>
      </c>
      <c r="L700" s="1040" t="e">
        <f>IF($F300="","",$F300*chronic_consumption!G700/1000/$C$3)</f>
        <v>#DIV/0!</v>
      </c>
      <c r="M700" s="1040" t="e">
        <f>IF($F300="","",$F300*chronic_consumption!H700/1000/$C$3)</f>
        <v>#DIV/0!</v>
      </c>
      <c r="N700" s="1040" t="e">
        <f>IF($F300="","",$F300*chronic_consumption!I700/1000/$C$3)</f>
        <v>#DIV/0!</v>
      </c>
      <c r="O700" s="1040" t="e">
        <f>IF($F300="","",$F300*chronic_consumption!J700/1000/$C$3)</f>
        <v>#DIV/0!</v>
      </c>
      <c r="P700" s="1040" t="e">
        <f>IF($F300="","",$F300*chronic_consumption!K700/1000/$C$3)</f>
        <v>#DIV/0!</v>
      </c>
      <c r="Q700" s="1040" t="e">
        <f>IF($F300="","",$F300*chronic_consumption!L700/1000/$C$3)</f>
        <v>#DIV/0!</v>
      </c>
      <c r="R700" s="1040" t="e">
        <f>IF($F300="","",$F300*chronic_consumption!M700/1000/$C$3)</f>
        <v>#DIV/0!</v>
      </c>
      <c r="S700" s="1040" t="e">
        <f>IF($F300="","",$F300*chronic_consumption!N700/1000/$C$3)</f>
        <v>#DIV/0!</v>
      </c>
      <c r="T700" s="1040" t="e">
        <f>IF($F300="","",$F300*chronic_consumption!O700/1000/$C$3)</f>
        <v>#DIV/0!</v>
      </c>
      <c r="U700" s="1040" t="e">
        <f>IF($F300="","",$F300*chronic_consumption!P700/1000/$C$3)</f>
        <v>#DIV/0!</v>
      </c>
      <c r="V700" s="1040" t="e">
        <f>IF($F300="","",$F300*chronic_consumption!Q700/1000/$C$3)</f>
        <v>#DIV/0!</v>
      </c>
      <c r="W700" s="1040" t="e">
        <f>IF($F300="","",$F300*chronic_consumption!R700/1000/$C$3)</f>
        <v>#DIV/0!</v>
      </c>
      <c r="X700" s="1040" t="e">
        <f>IF($F300="","",$F300*chronic_consumption!S700/1000/$C$3)</f>
        <v>#DIV/0!</v>
      </c>
      <c r="Y700" s="1040" t="e">
        <f>IF($F300="","",$F300*chronic_consumption!T700/1000/$C$3)</f>
        <v>#DIV/0!</v>
      </c>
      <c r="Z700" s="1040" t="e">
        <f>IF($F300="","",$F300*chronic_consumption!U700/1000/$C$3)</f>
        <v>#DIV/0!</v>
      </c>
      <c r="AA700" s="1040" t="e">
        <f>IF($F300="","",$F300*chronic_consumption!V700/1000/$C$3)</f>
        <v>#DIV/0!</v>
      </c>
      <c r="AB700" s="1040" t="e">
        <f>IF($F300="","",$F300*chronic_consumption!W700/1000/$C$3)</f>
        <v>#DIV/0!</v>
      </c>
      <c r="AC700" s="1040" t="e">
        <f>IF($F300="","",$F300*chronic_consumption!X700/1000/$C$3)</f>
        <v>#DIV/0!</v>
      </c>
      <c r="AD700" s="1040" t="e">
        <f>IF($F300="","",$F300*chronic_consumption!Y700/1000/$C$3)</f>
        <v>#DIV/0!</v>
      </c>
      <c r="AE700" s="1040" t="e">
        <f>IF($F300="","",$F300*chronic_consumption!Z700/1000/$C$3)</f>
        <v>#DIV/0!</v>
      </c>
      <c r="AF700" s="1040" t="e">
        <f>IF($F300="","",$F300*chronic_consumption!AA700/1000/$C$3)</f>
        <v>#DIV/0!</v>
      </c>
      <c r="AG700" s="1040" t="e">
        <f>IF($F300="","",$F300*chronic_consumption!AB700/1000/$C$3)</f>
        <v>#DIV/0!</v>
      </c>
      <c r="AH700" s="1040" t="e">
        <f>IF($F300="","",$F300*chronic_consumption!AC700/1000/$C$3)</f>
        <v>#DIV/0!</v>
      </c>
      <c r="AI700" s="1040" t="e">
        <f>IF($F300="","",$F300*chronic_consumption!AD700/1000/$C$3)</f>
        <v>#DIV/0!</v>
      </c>
      <c r="AJ700" s="1040" t="e">
        <f>IF($F300="","",$F300*chronic_consumption!AE700/1000/$C$3)</f>
        <v>#DIV/0!</v>
      </c>
      <c r="AK700" s="1040" t="e">
        <f>IF($F300="","",$F300*chronic_consumption!AF700/1000/$C$3)</f>
        <v>#DIV/0!</v>
      </c>
      <c r="AL700" s="1040" t="e">
        <f>IF($F300="","",$F300*chronic_consumption!AG700/1000/$C$3)</f>
        <v>#DIV/0!</v>
      </c>
      <c r="AM700" s="1040" t="e">
        <f>IF($F300="","",$F300*chronic_consumption!AH700/1000/$C$3)</f>
        <v>#DIV/0!</v>
      </c>
      <c r="AN700" s="1040" t="e">
        <f>IF($F300="","",$F300*chronic_consumption!AI700/1000/$C$3)</f>
        <v>#DIV/0!</v>
      </c>
      <c r="AO700" s="1040" t="e">
        <f>IF($F300="","",$F300*chronic_consumption!AJ700/1000/$C$3)</f>
        <v>#DIV/0!</v>
      </c>
      <c r="AP700" s="1040" t="e">
        <f>IF($F300="","",$F300*chronic_consumption!AK700/1000/$C$3)</f>
        <v>#DIV/0!</v>
      </c>
      <c r="AQ700" s="1040" t="e">
        <f>IF($F300="","",$F300*chronic_consumption!AL700/1000/$C$3)</f>
        <v>#DIV/0!</v>
      </c>
      <c r="AR700" s="1040" t="e">
        <f>IF($F300="","",$F300*chronic_consumption!AM700/1000/$C$3)</f>
        <v>#DIV/0!</v>
      </c>
      <c r="AS700" s="1040" t="e">
        <f>IF($F300="","",$F300*chronic_consumption!AN700/1000/$C$3)</f>
        <v>#DIV/0!</v>
      </c>
      <c r="AT700" s="1040" t="e">
        <f>IF($F300="","",$F300*chronic_consumption!AO700/1000/$C$3)</f>
        <v>#DIV/0!</v>
      </c>
      <c r="AU700" s="1040" t="e">
        <f>IF($F300="","",$F300*chronic_consumption!AP700/1000/$C$3)</f>
        <v>#DIV/0!</v>
      </c>
      <c r="AV700" s="1040" t="e">
        <f>IF($F300="","",$F300*chronic_consumption!AQ700/1000/$C$3)</f>
        <v>#DIV/0!</v>
      </c>
      <c r="AW700" s="1040" t="e">
        <f>IF($F300="","",$F300*chronic_consumption!AR700/1000/$C$3)</f>
        <v>#DIV/0!</v>
      </c>
      <c r="AX700" s="1040" t="e">
        <f>IF($F300="","",$F300*chronic_consumption!AS700/1000/$C$3)</f>
        <v>#DIV/0!</v>
      </c>
      <c r="AY700" s="1040" t="e">
        <f>IF($F300="","",$F300*chronic_consumption!AT700/1000/$C$3)</f>
        <v>#DIV/0!</v>
      </c>
      <c r="AZ700" s="44" t="s">
        <v>20</v>
      </c>
      <c r="BC700" s="29"/>
      <c r="BD700" s="29"/>
    </row>
    <row r="701" spans="1:56" ht="12" hidden="1" customHeight="1" outlineLevel="3" x14ac:dyDescent="0.2">
      <c r="A701" s="21">
        <f>acute_overview_children!A301</f>
        <v>4</v>
      </c>
      <c r="B701" s="325">
        <f t="shared" si="50"/>
        <v>830990</v>
      </c>
      <c r="C701" s="325" t="str">
        <f t="shared" si="50"/>
        <v>Other spices (bark)</v>
      </c>
      <c r="D701" s="135"/>
      <c r="E701" s="1027"/>
      <c r="F701" s="87"/>
      <c r="G701" s="1027"/>
      <c r="H701" s="1029"/>
      <c r="I701" s="1030"/>
      <c r="J701" s="1039" t="e">
        <f>IF($F301="","",$F301*chronic_consumption!E701/1000/$C$3)</f>
        <v>#DIV/0!</v>
      </c>
      <c r="K701" s="1040" t="e">
        <f>IF($F301="","",$F301*chronic_consumption!F701/1000/$C$3)</f>
        <v>#DIV/0!</v>
      </c>
      <c r="L701" s="1040" t="e">
        <f>IF($F301="","",$F301*chronic_consumption!G701/1000/$C$3)</f>
        <v>#DIV/0!</v>
      </c>
      <c r="M701" s="1040" t="e">
        <f>IF($F301="","",$F301*chronic_consumption!H701/1000/$C$3)</f>
        <v>#DIV/0!</v>
      </c>
      <c r="N701" s="1040" t="e">
        <f>IF($F301="","",$F301*chronic_consumption!I701/1000/$C$3)</f>
        <v>#DIV/0!</v>
      </c>
      <c r="O701" s="1040" t="e">
        <f>IF($F301="","",$F301*chronic_consumption!J701/1000/$C$3)</f>
        <v>#DIV/0!</v>
      </c>
      <c r="P701" s="1040" t="e">
        <f>IF($F301="","",$F301*chronic_consumption!K701/1000/$C$3)</f>
        <v>#DIV/0!</v>
      </c>
      <c r="Q701" s="1040" t="e">
        <f>IF($F301="","",$F301*chronic_consumption!L701/1000/$C$3)</f>
        <v>#DIV/0!</v>
      </c>
      <c r="R701" s="1040" t="e">
        <f>IF($F301="","",$F301*chronic_consumption!M701/1000/$C$3)</f>
        <v>#DIV/0!</v>
      </c>
      <c r="S701" s="1040" t="e">
        <f>IF($F301="","",$F301*chronic_consumption!N701/1000/$C$3)</f>
        <v>#DIV/0!</v>
      </c>
      <c r="T701" s="1040" t="e">
        <f>IF($F301="","",$F301*chronic_consumption!O701/1000/$C$3)</f>
        <v>#DIV/0!</v>
      </c>
      <c r="U701" s="1040" t="e">
        <f>IF($F301="","",$F301*chronic_consumption!P701/1000/$C$3)</f>
        <v>#DIV/0!</v>
      </c>
      <c r="V701" s="1040" t="e">
        <f>IF($F301="","",$F301*chronic_consumption!Q701/1000/$C$3)</f>
        <v>#DIV/0!</v>
      </c>
      <c r="W701" s="1040" t="e">
        <f>IF($F301="","",$F301*chronic_consumption!R701/1000/$C$3)</f>
        <v>#DIV/0!</v>
      </c>
      <c r="X701" s="1040" t="e">
        <f>IF($F301="","",$F301*chronic_consumption!S701/1000/$C$3)</f>
        <v>#DIV/0!</v>
      </c>
      <c r="Y701" s="1040" t="e">
        <f>IF($F301="","",$F301*chronic_consumption!T701/1000/$C$3)</f>
        <v>#DIV/0!</v>
      </c>
      <c r="Z701" s="1040" t="e">
        <f>IF($F301="","",$F301*chronic_consumption!U701/1000/$C$3)</f>
        <v>#DIV/0!</v>
      </c>
      <c r="AA701" s="1040" t="e">
        <f>IF($F301="","",$F301*chronic_consumption!V701/1000/$C$3)</f>
        <v>#DIV/0!</v>
      </c>
      <c r="AB701" s="1040" t="e">
        <f>IF($F301="","",$F301*chronic_consumption!W701/1000/$C$3)</f>
        <v>#DIV/0!</v>
      </c>
      <c r="AC701" s="1040" t="e">
        <f>IF($F301="","",$F301*chronic_consumption!X701/1000/$C$3)</f>
        <v>#DIV/0!</v>
      </c>
      <c r="AD701" s="1040" t="e">
        <f>IF($F301="","",$F301*chronic_consumption!Y701/1000/$C$3)</f>
        <v>#DIV/0!</v>
      </c>
      <c r="AE701" s="1040" t="e">
        <f>IF($F301="","",$F301*chronic_consumption!Z701/1000/$C$3)</f>
        <v>#DIV/0!</v>
      </c>
      <c r="AF701" s="1040" t="e">
        <f>IF($F301="","",$F301*chronic_consumption!AA701/1000/$C$3)</f>
        <v>#DIV/0!</v>
      </c>
      <c r="AG701" s="1040" t="e">
        <f>IF($F301="","",$F301*chronic_consumption!AB701/1000/$C$3)</f>
        <v>#DIV/0!</v>
      </c>
      <c r="AH701" s="1040" t="e">
        <f>IF($F301="","",$F301*chronic_consumption!AC701/1000/$C$3)</f>
        <v>#DIV/0!</v>
      </c>
      <c r="AI701" s="1040" t="e">
        <f>IF($F301="","",$F301*chronic_consumption!AD701/1000/$C$3)</f>
        <v>#DIV/0!</v>
      </c>
      <c r="AJ701" s="1040" t="e">
        <f>IF($F301="","",$F301*chronic_consumption!AE701/1000/$C$3)</f>
        <v>#DIV/0!</v>
      </c>
      <c r="AK701" s="1040" t="e">
        <f>IF($F301="","",$F301*chronic_consumption!AF701/1000/$C$3)</f>
        <v>#DIV/0!</v>
      </c>
      <c r="AL701" s="1040" t="e">
        <f>IF($F301="","",$F301*chronic_consumption!AG701/1000/$C$3)</f>
        <v>#DIV/0!</v>
      </c>
      <c r="AM701" s="1040" t="e">
        <f>IF($F301="","",$F301*chronic_consumption!AH701/1000/$C$3)</f>
        <v>#DIV/0!</v>
      </c>
      <c r="AN701" s="1040" t="e">
        <f>IF($F301="","",$F301*chronic_consumption!AI701/1000/$C$3)</f>
        <v>#DIV/0!</v>
      </c>
      <c r="AO701" s="1040" t="e">
        <f>IF($F301="","",$F301*chronic_consumption!AJ701/1000/$C$3)</f>
        <v>#DIV/0!</v>
      </c>
      <c r="AP701" s="1040" t="e">
        <f>IF($F301="","",$F301*chronic_consumption!AK701/1000/$C$3)</f>
        <v>#DIV/0!</v>
      </c>
      <c r="AQ701" s="1040" t="e">
        <f>IF($F301="","",$F301*chronic_consumption!AL701/1000/$C$3)</f>
        <v>#DIV/0!</v>
      </c>
      <c r="AR701" s="1040" t="e">
        <f>IF($F301="","",$F301*chronic_consumption!AM701/1000/$C$3)</f>
        <v>#DIV/0!</v>
      </c>
      <c r="AS701" s="1040" t="e">
        <f>IF($F301="","",$F301*chronic_consumption!AN701/1000/$C$3)</f>
        <v>#DIV/0!</v>
      </c>
      <c r="AT701" s="1040" t="e">
        <f>IF($F301="","",$F301*chronic_consumption!AO701/1000/$C$3)</f>
        <v>#DIV/0!</v>
      </c>
      <c r="AU701" s="1040" t="e">
        <f>IF($F301="","",$F301*chronic_consumption!AP701/1000/$C$3)</f>
        <v>#DIV/0!</v>
      </c>
      <c r="AV701" s="1040" t="e">
        <f>IF($F301="","",$F301*chronic_consumption!AQ701/1000/$C$3)</f>
        <v>#DIV/0!</v>
      </c>
      <c r="AW701" s="1040" t="e">
        <f>IF($F301="","",$F301*chronic_consumption!AR701/1000/$C$3)</f>
        <v>#DIV/0!</v>
      </c>
      <c r="AX701" s="1040" t="e">
        <f>IF($F301="","",$F301*chronic_consumption!AS701/1000/$C$3)</f>
        <v>#DIV/0!</v>
      </c>
      <c r="AY701" s="1040" t="e">
        <f>IF($F301="","",$F301*chronic_consumption!AT701/1000/$C$3)</f>
        <v>#DIV/0!</v>
      </c>
      <c r="AZ701" s="44" t="s">
        <v>20</v>
      </c>
      <c r="BC701" s="29"/>
      <c r="BD701" s="29"/>
    </row>
    <row r="702" spans="1:56" ht="12" hidden="1" customHeight="1" outlineLevel="1" x14ac:dyDescent="0.2">
      <c r="A702" s="1033">
        <f>acute_overview_children!A302</f>
        <v>2</v>
      </c>
      <c r="B702" s="1034">
        <f t="shared" si="50"/>
        <v>840000</v>
      </c>
      <c r="C702" s="1034" t="str">
        <f t="shared" si="50"/>
        <v>Spices (roots or rhizome)</v>
      </c>
      <c r="D702" s="1035"/>
      <c r="E702" s="1027"/>
      <c r="F702" s="87"/>
      <c r="G702" s="1027"/>
      <c r="H702" s="1029"/>
      <c r="I702" s="1030"/>
      <c r="J702" s="1037" t="e">
        <f>IF($F302="","",$F302*chronic_consumption!E702/1000/$C$3)</f>
        <v>#DIV/0!</v>
      </c>
      <c r="K702" s="1038" t="e">
        <f>IF($F302="","",$F302*chronic_consumption!F702/1000/$C$3)</f>
        <v>#DIV/0!</v>
      </c>
      <c r="L702" s="1038" t="e">
        <f>IF($F302="","",$F302*chronic_consumption!G702/1000/$C$3)</f>
        <v>#DIV/0!</v>
      </c>
      <c r="M702" s="1038" t="e">
        <f>IF($F302="","",$F302*chronic_consumption!H702/1000/$C$3)</f>
        <v>#DIV/0!</v>
      </c>
      <c r="N702" s="1038" t="e">
        <f>IF($F302="","",$F302*chronic_consumption!I702/1000/$C$3)</f>
        <v>#DIV/0!</v>
      </c>
      <c r="O702" s="1038" t="e">
        <f>IF($F302="","",$F302*chronic_consumption!J702/1000/$C$3)</f>
        <v>#DIV/0!</v>
      </c>
      <c r="P702" s="1038" t="e">
        <f>IF($F302="","",$F302*chronic_consumption!K702/1000/$C$3)</f>
        <v>#DIV/0!</v>
      </c>
      <c r="Q702" s="1038" t="e">
        <f>IF($F302="","",$F302*chronic_consumption!L702/1000/$C$3)</f>
        <v>#DIV/0!</v>
      </c>
      <c r="R702" s="1038" t="e">
        <f>IF($F302="","",$F302*chronic_consumption!M702/1000/$C$3)</f>
        <v>#DIV/0!</v>
      </c>
      <c r="S702" s="1038" t="e">
        <f>IF($F302="","",$F302*chronic_consumption!N702/1000/$C$3)</f>
        <v>#DIV/0!</v>
      </c>
      <c r="T702" s="1038" t="e">
        <f>IF($F302="","",$F302*chronic_consumption!O702/1000/$C$3)</f>
        <v>#DIV/0!</v>
      </c>
      <c r="U702" s="1038" t="e">
        <f>IF($F302="","",$F302*chronic_consumption!P702/1000/$C$3)</f>
        <v>#DIV/0!</v>
      </c>
      <c r="V702" s="1038" t="e">
        <f>IF($F302="","",$F302*chronic_consumption!Q702/1000/$C$3)</f>
        <v>#DIV/0!</v>
      </c>
      <c r="W702" s="1038" t="e">
        <f>IF($F302="","",$F302*chronic_consumption!R702/1000/$C$3)</f>
        <v>#DIV/0!</v>
      </c>
      <c r="X702" s="1038" t="e">
        <f>IF($F302="","",$F302*chronic_consumption!S702/1000/$C$3)</f>
        <v>#DIV/0!</v>
      </c>
      <c r="Y702" s="1038" t="e">
        <f>IF($F302="","",$F302*chronic_consumption!T702/1000/$C$3)</f>
        <v>#DIV/0!</v>
      </c>
      <c r="Z702" s="1038" t="e">
        <f>IF($F302="","",$F302*chronic_consumption!U702/1000/$C$3)</f>
        <v>#DIV/0!</v>
      </c>
      <c r="AA702" s="1038" t="e">
        <f>IF($F302="","",$F302*chronic_consumption!V702/1000/$C$3)</f>
        <v>#DIV/0!</v>
      </c>
      <c r="AB702" s="1038" t="e">
        <f>IF($F302="","",$F302*chronic_consumption!W702/1000/$C$3)</f>
        <v>#DIV/0!</v>
      </c>
      <c r="AC702" s="1038" t="e">
        <f>IF($F302="","",$F302*chronic_consumption!X702/1000/$C$3)</f>
        <v>#DIV/0!</v>
      </c>
      <c r="AD702" s="1038" t="e">
        <f>IF($F302="","",$F302*chronic_consumption!Y702/1000/$C$3)</f>
        <v>#DIV/0!</v>
      </c>
      <c r="AE702" s="1038" t="e">
        <f>IF($F302="","",$F302*chronic_consumption!Z702/1000/$C$3)</f>
        <v>#DIV/0!</v>
      </c>
      <c r="AF702" s="1038" t="e">
        <f>IF($F302="","",$F302*chronic_consumption!AA702/1000/$C$3)</f>
        <v>#DIV/0!</v>
      </c>
      <c r="AG702" s="1038" t="e">
        <f>IF($F302="","",$F302*chronic_consumption!AB702/1000/$C$3)</f>
        <v>#DIV/0!</v>
      </c>
      <c r="AH702" s="1038" t="e">
        <f>IF($F302="","",$F302*chronic_consumption!AC702/1000/$C$3)</f>
        <v>#DIV/0!</v>
      </c>
      <c r="AI702" s="1038" t="e">
        <f>IF($F302="","",$F302*chronic_consumption!AD702/1000/$C$3)</f>
        <v>#DIV/0!</v>
      </c>
      <c r="AJ702" s="1038" t="e">
        <f>IF($F302="","",$F302*chronic_consumption!AE702/1000/$C$3)</f>
        <v>#DIV/0!</v>
      </c>
      <c r="AK702" s="1038" t="e">
        <f>IF($F302="","",$F302*chronic_consumption!AF702/1000/$C$3)</f>
        <v>#DIV/0!</v>
      </c>
      <c r="AL702" s="1038" t="e">
        <f>IF($F302="","",$F302*chronic_consumption!AG702/1000/$C$3)</f>
        <v>#DIV/0!</v>
      </c>
      <c r="AM702" s="1038" t="e">
        <f>IF($F302="","",$F302*chronic_consumption!AH702/1000/$C$3)</f>
        <v>#DIV/0!</v>
      </c>
      <c r="AN702" s="1038" t="e">
        <f>IF($F302="","",$F302*chronic_consumption!AI702/1000/$C$3)</f>
        <v>#DIV/0!</v>
      </c>
      <c r="AO702" s="1038" t="e">
        <f>IF($F302="","",$F302*chronic_consumption!AJ702/1000/$C$3)</f>
        <v>#DIV/0!</v>
      </c>
      <c r="AP702" s="1038" t="e">
        <f>IF($F302="","",$F302*chronic_consumption!AK702/1000/$C$3)</f>
        <v>#DIV/0!</v>
      </c>
      <c r="AQ702" s="1038" t="e">
        <f>IF($F302="","",$F302*chronic_consumption!AL702/1000/$C$3)</f>
        <v>#DIV/0!</v>
      </c>
      <c r="AR702" s="1038" t="e">
        <f>IF($F302="","",$F302*chronic_consumption!AM702/1000/$C$3)</f>
        <v>#DIV/0!</v>
      </c>
      <c r="AS702" s="1038" t="e">
        <f>IF($F302="","",$F302*chronic_consumption!AN702/1000/$C$3)</f>
        <v>#DIV/0!</v>
      </c>
      <c r="AT702" s="1038" t="e">
        <f>IF($F302="","",$F302*chronic_consumption!AO702/1000/$C$3)</f>
        <v>#DIV/0!</v>
      </c>
      <c r="AU702" s="1038" t="e">
        <f>IF($F302="","",$F302*chronic_consumption!AP702/1000/$C$3)</f>
        <v>#DIV/0!</v>
      </c>
      <c r="AV702" s="1038" t="e">
        <f>IF($F302="","",$F302*chronic_consumption!AQ702/1000/$C$3)</f>
        <v>#DIV/0!</v>
      </c>
      <c r="AW702" s="1038" t="e">
        <f>IF($F302="","",$F302*chronic_consumption!AR702/1000/$C$3)</f>
        <v>#DIV/0!</v>
      </c>
      <c r="AX702" s="1038" t="e">
        <f>IF($F302="","",$F302*chronic_consumption!AS702/1000/$C$3)</f>
        <v>#DIV/0!</v>
      </c>
      <c r="AY702" s="1038" t="e">
        <f>IF($F302="","",$F302*chronic_consumption!AT702/1000/$C$3)</f>
        <v>#DIV/0!</v>
      </c>
      <c r="AZ702" s="44" t="s">
        <v>20</v>
      </c>
      <c r="BC702" s="29"/>
      <c r="BD702" s="29"/>
    </row>
    <row r="703" spans="1:56" ht="12" hidden="1" customHeight="1" outlineLevel="3" x14ac:dyDescent="0.2">
      <c r="A703" s="21">
        <f>acute_overview_children!A303</f>
        <v>4</v>
      </c>
      <c r="B703" s="325">
        <f t="shared" si="50"/>
        <v>840010</v>
      </c>
      <c r="C703" s="325" t="str">
        <f t="shared" si="50"/>
        <v>Liquorice</v>
      </c>
      <c r="D703" s="135"/>
      <c r="E703" s="1027"/>
      <c r="F703" s="87"/>
      <c r="G703" s="1027"/>
      <c r="H703" s="1029"/>
      <c r="I703" s="1030"/>
      <c r="J703" s="1039" t="e">
        <f>IF($F303="","",$F303*chronic_consumption!E703/1000/$C$3)</f>
        <v>#DIV/0!</v>
      </c>
      <c r="K703" s="1040" t="e">
        <f>IF($F303="","",$F303*chronic_consumption!F703/1000/$C$3)</f>
        <v>#DIV/0!</v>
      </c>
      <c r="L703" s="1040" t="e">
        <f>IF($F303="","",$F303*chronic_consumption!G703/1000/$C$3)</f>
        <v>#DIV/0!</v>
      </c>
      <c r="M703" s="1040" t="e">
        <f>IF($F303="","",$F303*chronic_consumption!H703/1000/$C$3)</f>
        <v>#DIV/0!</v>
      </c>
      <c r="N703" s="1040" t="e">
        <f>IF($F303="","",$F303*chronic_consumption!I703/1000/$C$3)</f>
        <v>#DIV/0!</v>
      </c>
      <c r="O703" s="1040" t="e">
        <f>IF($F303="","",$F303*chronic_consumption!J703/1000/$C$3)</f>
        <v>#DIV/0!</v>
      </c>
      <c r="P703" s="1040" t="e">
        <f>IF($F303="","",$F303*chronic_consumption!K703/1000/$C$3)</f>
        <v>#DIV/0!</v>
      </c>
      <c r="Q703" s="1040" t="e">
        <f>IF($F303="","",$F303*chronic_consumption!L703/1000/$C$3)</f>
        <v>#DIV/0!</v>
      </c>
      <c r="R703" s="1040" t="e">
        <f>IF($F303="","",$F303*chronic_consumption!M703/1000/$C$3)</f>
        <v>#DIV/0!</v>
      </c>
      <c r="S703" s="1040" t="e">
        <f>IF($F303="","",$F303*chronic_consumption!N703/1000/$C$3)</f>
        <v>#DIV/0!</v>
      </c>
      <c r="T703" s="1040" t="e">
        <f>IF($F303="","",$F303*chronic_consumption!O703/1000/$C$3)</f>
        <v>#DIV/0!</v>
      </c>
      <c r="U703" s="1040" t="e">
        <f>IF($F303="","",$F303*chronic_consumption!P703/1000/$C$3)</f>
        <v>#DIV/0!</v>
      </c>
      <c r="V703" s="1040" t="e">
        <f>IF($F303="","",$F303*chronic_consumption!Q703/1000/$C$3)</f>
        <v>#DIV/0!</v>
      </c>
      <c r="W703" s="1040" t="e">
        <f>IF($F303="","",$F303*chronic_consumption!R703/1000/$C$3)</f>
        <v>#DIV/0!</v>
      </c>
      <c r="X703" s="1040" t="e">
        <f>IF($F303="","",$F303*chronic_consumption!S703/1000/$C$3)</f>
        <v>#DIV/0!</v>
      </c>
      <c r="Y703" s="1040" t="e">
        <f>IF($F303="","",$F303*chronic_consumption!T703/1000/$C$3)</f>
        <v>#DIV/0!</v>
      </c>
      <c r="Z703" s="1040" t="e">
        <f>IF($F303="","",$F303*chronic_consumption!U703/1000/$C$3)</f>
        <v>#DIV/0!</v>
      </c>
      <c r="AA703" s="1040" t="e">
        <f>IF($F303="","",$F303*chronic_consumption!V703/1000/$C$3)</f>
        <v>#DIV/0!</v>
      </c>
      <c r="AB703" s="1040" t="e">
        <f>IF($F303="","",$F303*chronic_consumption!W703/1000/$C$3)</f>
        <v>#DIV/0!</v>
      </c>
      <c r="AC703" s="1040" t="e">
        <f>IF($F303="","",$F303*chronic_consumption!X703/1000/$C$3)</f>
        <v>#DIV/0!</v>
      </c>
      <c r="AD703" s="1040" t="e">
        <f>IF($F303="","",$F303*chronic_consumption!Y703/1000/$C$3)</f>
        <v>#DIV/0!</v>
      </c>
      <c r="AE703" s="1040" t="e">
        <f>IF($F303="","",$F303*chronic_consumption!Z703/1000/$C$3)</f>
        <v>#DIV/0!</v>
      </c>
      <c r="AF703" s="1040" t="e">
        <f>IF($F303="","",$F303*chronic_consumption!AA703/1000/$C$3)</f>
        <v>#DIV/0!</v>
      </c>
      <c r="AG703" s="1040" t="e">
        <f>IF($F303="","",$F303*chronic_consumption!AB703/1000/$C$3)</f>
        <v>#DIV/0!</v>
      </c>
      <c r="AH703" s="1040" t="e">
        <f>IF($F303="","",$F303*chronic_consumption!AC703/1000/$C$3)</f>
        <v>#DIV/0!</v>
      </c>
      <c r="AI703" s="1040" t="e">
        <f>IF($F303="","",$F303*chronic_consumption!AD703/1000/$C$3)</f>
        <v>#DIV/0!</v>
      </c>
      <c r="AJ703" s="1040" t="e">
        <f>IF($F303="","",$F303*chronic_consumption!AE703/1000/$C$3)</f>
        <v>#DIV/0!</v>
      </c>
      <c r="AK703" s="1040" t="e">
        <f>IF($F303="","",$F303*chronic_consumption!AF703/1000/$C$3)</f>
        <v>#DIV/0!</v>
      </c>
      <c r="AL703" s="1040" t="e">
        <f>IF($F303="","",$F303*chronic_consumption!AG703/1000/$C$3)</f>
        <v>#DIV/0!</v>
      </c>
      <c r="AM703" s="1040" t="e">
        <f>IF($F303="","",$F303*chronic_consumption!AH703/1000/$C$3)</f>
        <v>#DIV/0!</v>
      </c>
      <c r="AN703" s="1040" t="e">
        <f>IF($F303="","",$F303*chronic_consumption!AI703/1000/$C$3)</f>
        <v>#DIV/0!</v>
      </c>
      <c r="AO703" s="1040" t="e">
        <f>IF($F303="","",$F303*chronic_consumption!AJ703/1000/$C$3)</f>
        <v>#DIV/0!</v>
      </c>
      <c r="AP703" s="1040" t="e">
        <f>IF($F303="","",$F303*chronic_consumption!AK703/1000/$C$3)</f>
        <v>#DIV/0!</v>
      </c>
      <c r="AQ703" s="1040" t="e">
        <f>IF($F303="","",$F303*chronic_consumption!AL703/1000/$C$3)</f>
        <v>#DIV/0!</v>
      </c>
      <c r="AR703" s="1040" t="e">
        <f>IF($F303="","",$F303*chronic_consumption!AM703/1000/$C$3)</f>
        <v>#DIV/0!</v>
      </c>
      <c r="AS703" s="1040" t="e">
        <f>IF($F303="","",$F303*chronic_consumption!AN703/1000/$C$3)</f>
        <v>#DIV/0!</v>
      </c>
      <c r="AT703" s="1040" t="e">
        <f>IF($F303="","",$F303*chronic_consumption!AO703/1000/$C$3)</f>
        <v>#DIV/0!</v>
      </c>
      <c r="AU703" s="1040" t="e">
        <f>IF($F303="","",$F303*chronic_consumption!AP703/1000/$C$3)</f>
        <v>#DIV/0!</v>
      </c>
      <c r="AV703" s="1040" t="e">
        <f>IF($F303="","",$F303*chronic_consumption!AQ703/1000/$C$3)</f>
        <v>#DIV/0!</v>
      </c>
      <c r="AW703" s="1040" t="e">
        <f>IF($F303="","",$F303*chronic_consumption!AR703/1000/$C$3)</f>
        <v>#DIV/0!</v>
      </c>
      <c r="AX703" s="1040" t="e">
        <f>IF($F303="","",$F303*chronic_consumption!AS703/1000/$C$3)</f>
        <v>#DIV/0!</v>
      </c>
      <c r="AY703" s="1040" t="e">
        <f>IF($F303="","",$F303*chronic_consumption!AT703/1000/$C$3)</f>
        <v>#DIV/0!</v>
      </c>
      <c r="AZ703" s="44" t="s">
        <v>20</v>
      </c>
      <c r="BC703" s="29"/>
      <c r="BD703" s="29"/>
    </row>
    <row r="704" spans="1:56" ht="12" hidden="1" customHeight="1" outlineLevel="3" x14ac:dyDescent="0.2">
      <c r="A704" s="21">
        <f>acute_overview_children!A304</f>
        <v>4</v>
      </c>
      <c r="B704" s="325">
        <f t="shared" si="50"/>
        <v>840020</v>
      </c>
      <c r="C704" s="325" t="str">
        <f t="shared" si="50"/>
        <v xml:space="preserve">Ginger </v>
      </c>
      <c r="D704" s="135"/>
      <c r="E704" s="1027"/>
      <c r="F704" s="87"/>
      <c r="G704" s="1027"/>
      <c r="H704" s="1029"/>
      <c r="I704" s="1030"/>
      <c r="J704" s="1039" t="e">
        <f>IF($F304="","",$F304*chronic_consumption!E704/1000/$C$3)</f>
        <v>#DIV/0!</v>
      </c>
      <c r="K704" s="1040" t="e">
        <f>IF($F304="","",$F304*chronic_consumption!F704/1000/$C$3)</f>
        <v>#DIV/0!</v>
      </c>
      <c r="L704" s="1040" t="e">
        <f>IF($F304="","",$F304*chronic_consumption!G704/1000/$C$3)</f>
        <v>#DIV/0!</v>
      </c>
      <c r="M704" s="1040" t="e">
        <f>IF($F304="","",$F304*chronic_consumption!H704/1000/$C$3)</f>
        <v>#DIV/0!</v>
      </c>
      <c r="N704" s="1040" t="e">
        <f>IF($F304="","",$F304*chronic_consumption!I704/1000/$C$3)</f>
        <v>#DIV/0!</v>
      </c>
      <c r="O704" s="1040" t="e">
        <f>IF($F304="","",$F304*chronic_consumption!J704/1000/$C$3)</f>
        <v>#DIV/0!</v>
      </c>
      <c r="P704" s="1040" t="e">
        <f>IF($F304="","",$F304*chronic_consumption!K704/1000/$C$3)</f>
        <v>#DIV/0!</v>
      </c>
      <c r="Q704" s="1040" t="e">
        <f>IF($F304="","",$F304*chronic_consumption!L704/1000/$C$3)</f>
        <v>#DIV/0!</v>
      </c>
      <c r="R704" s="1040" t="e">
        <f>IF($F304="","",$F304*chronic_consumption!M704/1000/$C$3)</f>
        <v>#DIV/0!</v>
      </c>
      <c r="S704" s="1040" t="e">
        <f>IF($F304="","",$F304*chronic_consumption!N704/1000/$C$3)</f>
        <v>#DIV/0!</v>
      </c>
      <c r="T704" s="1040" t="e">
        <f>IF($F304="","",$F304*chronic_consumption!O704/1000/$C$3)</f>
        <v>#DIV/0!</v>
      </c>
      <c r="U704" s="1040" t="e">
        <f>IF($F304="","",$F304*chronic_consumption!P704/1000/$C$3)</f>
        <v>#DIV/0!</v>
      </c>
      <c r="V704" s="1040" t="e">
        <f>IF($F304="","",$F304*chronic_consumption!Q704/1000/$C$3)</f>
        <v>#DIV/0!</v>
      </c>
      <c r="W704" s="1040" t="e">
        <f>IF($F304="","",$F304*chronic_consumption!R704/1000/$C$3)</f>
        <v>#DIV/0!</v>
      </c>
      <c r="X704" s="1040" t="e">
        <f>IF($F304="","",$F304*chronic_consumption!S704/1000/$C$3)</f>
        <v>#DIV/0!</v>
      </c>
      <c r="Y704" s="1040" t="e">
        <f>IF($F304="","",$F304*chronic_consumption!T704/1000/$C$3)</f>
        <v>#DIV/0!</v>
      </c>
      <c r="Z704" s="1040" t="e">
        <f>IF($F304="","",$F304*chronic_consumption!U704/1000/$C$3)</f>
        <v>#DIV/0!</v>
      </c>
      <c r="AA704" s="1040" t="e">
        <f>IF($F304="","",$F304*chronic_consumption!V704/1000/$C$3)</f>
        <v>#DIV/0!</v>
      </c>
      <c r="AB704" s="1040" t="e">
        <f>IF($F304="","",$F304*chronic_consumption!W704/1000/$C$3)</f>
        <v>#DIV/0!</v>
      </c>
      <c r="AC704" s="1040" t="e">
        <f>IF($F304="","",$F304*chronic_consumption!X704/1000/$C$3)</f>
        <v>#DIV/0!</v>
      </c>
      <c r="AD704" s="1040" t="e">
        <f>IF($F304="","",$F304*chronic_consumption!Y704/1000/$C$3)</f>
        <v>#DIV/0!</v>
      </c>
      <c r="AE704" s="1040" t="e">
        <f>IF($F304="","",$F304*chronic_consumption!Z704/1000/$C$3)</f>
        <v>#DIV/0!</v>
      </c>
      <c r="AF704" s="1040" t="e">
        <f>IF($F304="","",$F304*chronic_consumption!AA704/1000/$C$3)</f>
        <v>#DIV/0!</v>
      </c>
      <c r="AG704" s="1040" t="e">
        <f>IF($F304="","",$F304*chronic_consumption!AB704/1000/$C$3)</f>
        <v>#DIV/0!</v>
      </c>
      <c r="AH704" s="1040" t="e">
        <f>IF($F304="","",$F304*chronic_consumption!AC704/1000/$C$3)</f>
        <v>#DIV/0!</v>
      </c>
      <c r="AI704" s="1040" t="e">
        <f>IF($F304="","",$F304*chronic_consumption!AD704/1000/$C$3)</f>
        <v>#DIV/0!</v>
      </c>
      <c r="AJ704" s="1040" t="e">
        <f>IF($F304="","",$F304*chronic_consumption!AE704/1000/$C$3)</f>
        <v>#DIV/0!</v>
      </c>
      <c r="AK704" s="1040" t="e">
        <f>IF($F304="","",$F304*chronic_consumption!AF704/1000/$C$3)</f>
        <v>#DIV/0!</v>
      </c>
      <c r="AL704" s="1040" t="e">
        <f>IF($F304="","",$F304*chronic_consumption!AG704/1000/$C$3)</f>
        <v>#DIV/0!</v>
      </c>
      <c r="AM704" s="1040" t="e">
        <f>IF($F304="","",$F304*chronic_consumption!AH704/1000/$C$3)</f>
        <v>#DIV/0!</v>
      </c>
      <c r="AN704" s="1040" t="e">
        <f>IF($F304="","",$F304*chronic_consumption!AI704/1000/$C$3)</f>
        <v>#DIV/0!</v>
      </c>
      <c r="AO704" s="1040" t="e">
        <f>IF($F304="","",$F304*chronic_consumption!AJ704/1000/$C$3)</f>
        <v>#DIV/0!</v>
      </c>
      <c r="AP704" s="1040" t="e">
        <f>IF($F304="","",$F304*chronic_consumption!AK704/1000/$C$3)</f>
        <v>#DIV/0!</v>
      </c>
      <c r="AQ704" s="1040" t="e">
        <f>IF($F304="","",$F304*chronic_consumption!AL704/1000/$C$3)</f>
        <v>#DIV/0!</v>
      </c>
      <c r="AR704" s="1040" t="e">
        <f>IF($F304="","",$F304*chronic_consumption!AM704/1000/$C$3)</f>
        <v>#DIV/0!</v>
      </c>
      <c r="AS704" s="1040" t="e">
        <f>IF($F304="","",$F304*chronic_consumption!AN704/1000/$C$3)</f>
        <v>#DIV/0!</v>
      </c>
      <c r="AT704" s="1040" t="e">
        <f>IF($F304="","",$F304*chronic_consumption!AO704/1000/$C$3)</f>
        <v>#DIV/0!</v>
      </c>
      <c r="AU704" s="1040" t="e">
        <f>IF($F304="","",$F304*chronic_consumption!AP704/1000/$C$3)</f>
        <v>#DIV/0!</v>
      </c>
      <c r="AV704" s="1040" t="e">
        <f>IF($F304="","",$F304*chronic_consumption!AQ704/1000/$C$3)</f>
        <v>#DIV/0!</v>
      </c>
      <c r="AW704" s="1040" t="e">
        <f>IF($F304="","",$F304*chronic_consumption!AR704/1000/$C$3)</f>
        <v>#DIV/0!</v>
      </c>
      <c r="AX704" s="1040" t="e">
        <f>IF($F304="","",$F304*chronic_consumption!AS704/1000/$C$3)</f>
        <v>#DIV/0!</v>
      </c>
      <c r="AY704" s="1040" t="e">
        <f>IF($F304="","",$F304*chronic_consumption!AT704/1000/$C$3)</f>
        <v>#DIV/0!</v>
      </c>
      <c r="AZ704" s="44" t="s">
        <v>20</v>
      </c>
      <c r="BC704" s="29"/>
      <c r="BD704" s="29"/>
    </row>
    <row r="705" spans="1:56" ht="12" hidden="1" customHeight="1" outlineLevel="3" x14ac:dyDescent="0.2">
      <c r="A705" s="21">
        <f>acute_overview_children!A305</f>
        <v>4</v>
      </c>
      <c r="B705" s="325">
        <f t="shared" si="50"/>
        <v>840030</v>
      </c>
      <c r="C705" s="325" t="str">
        <f t="shared" si="50"/>
        <v>Turmeric/curcuma</v>
      </c>
      <c r="D705" s="135"/>
      <c r="E705" s="1027"/>
      <c r="F705" s="87"/>
      <c r="G705" s="1027"/>
      <c r="H705" s="1029"/>
      <c r="I705" s="1030"/>
      <c r="J705" s="1039" t="e">
        <f>IF($F305="","",$F305*chronic_consumption!E705/1000/$C$3)</f>
        <v>#DIV/0!</v>
      </c>
      <c r="K705" s="1040" t="e">
        <f>IF($F305="","",$F305*chronic_consumption!F705/1000/$C$3)</f>
        <v>#DIV/0!</v>
      </c>
      <c r="L705" s="1040" t="e">
        <f>IF($F305="","",$F305*chronic_consumption!G705/1000/$C$3)</f>
        <v>#DIV/0!</v>
      </c>
      <c r="M705" s="1040" t="e">
        <f>IF($F305="","",$F305*chronic_consumption!H705/1000/$C$3)</f>
        <v>#DIV/0!</v>
      </c>
      <c r="N705" s="1040" t="e">
        <f>IF($F305="","",$F305*chronic_consumption!I705/1000/$C$3)</f>
        <v>#DIV/0!</v>
      </c>
      <c r="O705" s="1040" t="e">
        <f>IF($F305="","",$F305*chronic_consumption!J705/1000/$C$3)</f>
        <v>#DIV/0!</v>
      </c>
      <c r="P705" s="1040" t="e">
        <f>IF($F305="","",$F305*chronic_consumption!K705/1000/$C$3)</f>
        <v>#DIV/0!</v>
      </c>
      <c r="Q705" s="1040" t="e">
        <f>IF($F305="","",$F305*chronic_consumption!L705/1000/$C$3)</f>
        <v>#DIV/0!</v>
      </c>
      <c r="R705" s="1040" t="e">
        <f>IF($F305="","",$F305*chronic_consumption!M705/1000/$C$3)</f>
        <v>#DIV/0!</v>
      </c>
      <c r="S705" s="1040" t="e">
        <f>IF($F305="","",$F305*chronic_consumption!N705/1000/$C$3)</f>
        <v>#DIV/0!</v>
      </c>
      <c r="T705" s="1040" t="e">
        <f>IF($F305="","",$F305*chronic_consumption!O705/1000/$C$3)</f>
        <v>#DIV/0!</v>
      </c>
      <c r="U705" s="1040" t="e">
        <f>IF($F305="","",$F305*chronic_consumption!P705/1000/$C$3)</f>
        <v>#DIV/0!</v>
      </c>
      <c r="V705" s="1040" t="e">
        <f>IF($F305="","",$F305*chronic_consumption!Q705/1000/$C$3)</f>
        <v>#DIV/0!</v>
      </c>
      <c r="W705" s="1040" t="e">
        <f>IF($F305="","",$F305*chronic_consumption!R705/1000/$C$3)</f>
        <v>#DIV/0!</v>
      </c>
      <c r="X705" s="1040" t="e">
        <f>IF($F305="","",$F305*chronic_consumption!S705/1000/$C$3)</f>
        <v>#DIV/0!</v>
      </c>
      <c r="Y705" s="1040" t="e">
        <f>IF($F305="","",$F305*chronic_consumption!T705/1000/$C$3)</f>
        <v>#DIV/0!</v>
      </c>
      <c r="Z705" s="1040" t="e">
        <f>IF($F305="","",$F305*chronic_consumption!U705/1000/$C$3)</f>
        <v>#DIV/0!</v>
      </c>
      <c r="AA705" s="1040" t="e">
        <f>IF($F305="","",$F305*chronic_consumption!V705/1000/$C$3)</f>
        <v>#DIV/0!</v>
      </c>
      <c r="AB705" s="1040" t="e">
        <f>IF($F305="","",$F305*chronic_consumption!W705/1000/$C$3)</f>
        <v>#DIV/0!</v>
      </c>
      <c r="AC705" s="1040" t="e">
        <f>IF($F305="","",$F305*chronic_consumption!X705/1000/$C$3)</f>
        <v>#DIV/0!</v>
      </c>
      <c r="AD705" s="1040" t="e">
        <f>IF($F305="","",$F305*chronic_consumption!Y705/1000/$C$3)</f>
        <v>#DIV/0!</v>
      </c>
      <c r="AE705" s="1040" t="e">
        <f>IF($F305="","",$F305*chronic_consumption!Z705/1000/$C$3)</f>
        <v>#DIV/0!</v>
      </c>
      <c r="AF705" s="1040" t="e">
        <f>IF($F305="","",$F305*chronic_consumption!AA705/1000/$C$3)</f>
        <v>#DIV/0!</v>
      </c>
      <c r="AG705" s="1040" t="e">
        <f>IF($F305="","",$F305*chronic_consumption!AB705/1000/$C$3)</f>
        <v>#DIV/0!</v>
      </c>
      <c r="AH705" s="1040" t="e">
        <f>IF($F305="","",$F305*chronic_consumption!AC705/1000/$C$3)</f>
        <v>#DIV/0!</v>
      </c>
      <c r="AI705" s="1040" t="e">
        <f>IF($F305="","",$F305*chronic_consumption!AD705/1000/$C$3)</f>
        <v>#DIV/0!</v>
      </c>
      <c r="AJ705" s="1040" t="e">
        <f>IF($F305="","",$F305*chronic_consumption!AE705/1000/$C$3)</f>
        <v>#DIV/0!</v>
      </c>
      <c r="AK705" s="1040" t="e">
        <f>IF($F305="","",$F305*chronic_consumption!AF705/1000/$C$3)</f>
        <v>#DIV/0!</v>
      </c>
      <c r="AL705" s="1040" t="e">
        <f>IF($F305="","",$F305*chronic_consumption!AG705/1000/$C$3)</f>
        <v>#DIV/0!</v>
      </c>
      <c r="AM705" s="1040" t="e">
        <f>IF($F305="","",$F305*chronic_consumption!AH705/1000/$C$3)</f>
        <v>#DIV/0!</v>
      </c>
      <c r="AN705" s="1040" t="e">
        <f>IF($F305="","",$F305*chronic_consumption!AI705/1000/$C$3)</f>
        <v>#DIV/0!</v>
      </c>
      <c r="AO705" s="1040" t="e">
        <f>IF($F305="","",$F305*chronic_consumption!AJ705/1000/$C$3)</f>
        <v>#DIV/0!</v>
      </c>
      <c r="AP705" s="1040" t="e">
        <f>IF($F305="","",$F305*chronic_consumption!AK705/1000/$C$3)</f>
        <v>#DIV/0!</v>
      </c>
      <c r="AQ705" s="1040" t="e">
        <f>IF($F305="","",$F305*chronic_consumption!AL705/1000/$C$3)</f>
        <v>#DIV/0!</v>
      </c>
      <c r="AR705" s="1040" t="e">
        <f>IF($F305="","",$F305*chronic_consumption!AM705/1000/$C$3)</f>
        <v>#DIV/0!</v>
      </c>
      <c r="AS705" s="1040" t="e">
        <f>IF($F305="","",$F305*chronic_consumption!AN705/1000/$C$3)</f>
        <v>#DIV/0!</v>
      </c>
      <c r="AT705" s="1040" t="e">
        <f>IF($F305="","",$F305*chronic_consumption!AO705/1000/$C$3)</f>
        <v>#DIV/0!</v>
      </c>
      <c r="AU705" s="1040" t="e">
        <f>IF($F305="","",$F305*chronic_consumption!AP705/1000/$C$3)</f>
        <v>#DIV/0!</v>
      </c>
      <c r="AV705" s="1040" t="e">
        <f>IF($F305="","",$F305*chronic_consumption!AQ705/1000/$C$3)</f>
        <v>#DIV/0!</v>
      </c>
      <c r="AW705" s="1040" t="e">
        <f>IF($F305="","",$F305*chronic_consumption!AR705/1000/$C$3)</f>
        <v>#DIV/0!</v>
      </c>
      <c r="AX705" s="1040" t="e">
        <f>IF($F305="","",$F305*chronic_consumption!AS705/1000/$C$3)</f>
        <v>#DIV/0!</v>
      </c>
      <c r="AY705" s="1040" t="e">
        <f>IF($F305="","",$F305*chronic_consumption!AT705/1000/$C$3)</f>
        <v>#DIV/0!</v>
      </c>
      <c r="AZ705" s="44" t="s">
        <v>20</v>
      </c>
      <c r="BC705" s="29"/>
      <c r="BD705" s="29"/>
    </row>
    <row r="706" spans="1:56" ht="12" hidden="1" customHeight="1" outlineLevel="3" x14ac:dyDescent="0.2">
      <c r="A706" s="21">
        <f>acute_overview_children!A306</f>
        <v>4</v>
      </c>
      <c r="B706" s="325">
        <f t="shared" si="50"/>
        <v>840040</v>
      </c>
      <c r="C706" s="325" t="str">
        <f t="shared" si="50"/>
        <v>Horseradish, root spices</v>
      </c>
      <c r="D706" s="135"/>
      <c r="E706" s="1027"/>
      <c r="F706" s="87"/>
      <c r="G706" s="1027"/>
      <c r="H706" s="1029"/>
      <c r="I706" s="1030"/>
      <c r="J706" s="1039" t="e">
        <f>IF($F306="","",$F306*chronic_consumption!E706/1000/$C$3)</f>
        <v>#DIV/0!</v>
      </c>
      <c r="K706" s="1040" t="e">
        <f>IF($F306="","",$F306*chronic_consumption!F706/1000/$C$3)</f>
        <v>#DIV/0!</v>
      </c>
      <c r="L706" s="1040" t="e">
        <f>IF($F306="","",$F306*chronic_consumption!G706/1000/$C$3)</f>
        <v>#DIV/0!</v>
      </c>
      <c r="M706" s="1040" t="e">
        <f>IF($F306="","",$F306*chronic_consumption!H706/1000/$C$3)</f>
        <v>#DIV/0!</v>
      </c>
      <c r="N706" s="1040" t="e">
        <f>IF($F306="","",$F306*chronic_consumption!I706/1000/$C$3)</f>
        <v>#DIV/0!</v>
      </c>
      <c r="O706" s="1040" t="e">
        <f>IF($F306="","",$F306*chronic_consumption!J706/1000/$C$3)</f>
        <v>#DIV/0!</v>
      </c>
      <c r="P706" s="1040" t="e">
        <f>IF($F306="","",$F306*chronic_consumption!K706/1000/$C$3)</f>
        <v>#DIV/0!</v>
      </c>
      <c r="Q706" s="1040" t="e">
        <f>IF($F306="","",$F306*chronic_consumption!L706/1000/$C$3)</f>
        <v>#DIV/0!</v>
      </c>
      <c r="R706" s="1040" t="e">
        <f>IF($F306="","",$F306*chronic_consumption!M706/1000/$C$3)</f>
        <v>#DIV/0!</v>
      </c>
      <c r="S706" s="1040" t="e">
        <f>IF($F306="","",$F306*chronic_consumption!N706/1000/$C$3)</f>
        <v>#DIV/0!</v>
      </c>
      <c r="T706" s="1040" t="e">
        <f>IF($F306="","",$F306*chronic_consumption!O706/1000/$C$3)</f>
        <v>#DIV/0!</v>
      </c>
      <c r="U706" s="1040" t="e">
        <f>IF($F306="","",$F306*chronic_consumption!P706/1000/$C$3)</f>
        <v>#DIV/0!</v>
      </c>
      <c r="V706" s="1040" t="e">
        <f>IF($F306="","",$F306*chronic_consumption!Q706/1000/$C$3)</f>
        <v>#DIV/0!</v>
      </c>
      <c r="W706" s="1040" t="e">
        <f>IF($F306="","",$F306*chronic_consumption!R706/1000/$C$3)</f>
        <v>#DIV/0!</v>
      </c>
      <c r="X706" s="1040" t="e">
        <f>IF($F306="","",$F306*chronic_consumption!S706/1000/$C$3)</f>
        <v>#DIV/0!</v>
      </c>
      <c r="Y706" s="1040" t="e">
        <f>IF($F306="","",$F306*chronic_consumption!T706/1000/$C$3)</f>
        <v>#DIV/0!</v>
      </c>
      <c r="Z706" s="1040" t="e">
        <f>IF($F306="","",$F306*chronic_consumption!U706/1000/$C$3)</f>
        <v>#DIV/0!</v>
      </c>
      <c r="AA706" s="1040" t="e">
        <f>IF($F306="","",$F306*chronic_consumption!V706/1000/$C$3)</f>
        <v>#DIV/0!</v>
      </c>
      <c r="AB706" s="1040" t="e">
        <f>IF($F306="","",$F306*chronic_consumption!W706/1000/$C$3)</f>
        <v>#DIV/0!</v>
      </c>
      <c r="AC706" s="1040" t="e">
        <f>IF($F306="","",$F306*chronic_consumption!X706/1000/$C$3)</f>
        <v>#DIV/0!</v>
      </c>
      <c r="AD706" s="1040" t="e">
        <f>IF($F306="","",$F306*chronic_consumption!Y706/1000/$C$3)</f>
        <v>#DIV/0!</v>
      </c>
      <c r="AE706" s="1040" t="e">
        <f>IF($F306="","",$F306*chronic_consumption!Z706/1000/$C$3)</f>
        <v>#DIV/0!</v>
      </c>
      <c r="AF706" s="1040" t="e">
        <f>IF($F306="","",$F306*chronic_consumption!AA706/1000/$C$3)</f>
        <v>#DIV/0!</v>
      </c>
      <c r="AG706" s="1040" t="e">
        <f>IF($F306="","",$F306*chronic_consumption!AB706/1000/$C$3)</f>
        <v>#DIV/0!</v>
      </c>
      <c r="AH706" s="1040" t="e">
        <f>IF($F306="","",$F306*chronic_consumption!AC706/1000/$C$3)</f>
        <v>#DIV/0!</v>
      </c>
      <c r="AI706" s="1040" t="e">
        <f>IF($F306="","",$F306*chronic_consumption!AD706/1000/$C$3)</f>
        <v>#DIV/0!</v>
      </c>
      <c r="AJ706" s="1040" t="e">
        <f>IF($F306="","",$F306*chronic_consumption!AE706/1000/$C$3)</f>
        <v>#DIV/0!</v>
      </c>
      <c r="AK706" s="1040" t="e">
        <f>IF($F306="","",$F306*chronic_consumption!AF706/1000/$C$3)</f>
        <v>#DIV/0!</v>
      </c>
      <c r="AL706" s="1040" t="e">
        <f>IF($F306="","",$F306*chronic_consumption!AG706/1000/$C$3)</f>
        <v>#DIV/0!</v>
      </c>
      <c r="AM706" s="1040" t="e">
        <f>IF($F306="","",$F306*chronic_consumption!AH706/1000/$C$3)</f>
        <v>#DIV/0!</v>
      </c>
      <c r="AN706" s="1040" t="e">
        <f>IF($F306="","",$F306*chronic_consumption!AI706/1000/$C$3)</f>
        <v>#DIV/0!</v>
      </c>
      <c r="AO706" s="1040" t="e">
        <f>IF($F306="","",$F306*chronic_consumption!AJ706/1000/$C$3)</f>
        <v>#DIV/0!</v>
      </c>
      <c r="AP706" s="1040" t="e">
        <f>IF($F306="","",$F306*chronic_consumption!AK706/1000/$C$3)</f>
        <v>#DIV/0!</v>
      </c>
      <c r="AQ706" s="1040" t="e">
        <f>IF($F306="","",$F306*chronic_consumption!AL706/1000/$C$3)</f>
        <v>#DIV/0!</v>
      </c>
      <c r="AR706" s="1040" t="e">
        <f>IF($F306="","",$F306*chronic_consumption!AM706/1000/$C$3)</f>
        <v>#DIV/0!</v>
      </c>
      <c r="AS706" s="1040" t="e">
        <f>IF($F306="","",$F306*chronic_consumption!AN706/1000/$C$3)</f>
        <v>#DIV/0!</v>
      </c>
      <c r="AT706" s="1040" t="e">
        <f>IF($F306="","",$F306*chronic_consumption!AO706/1000/$C$3)</f>
        <v>#DIV/0!</v>
      </c>
      <c r="AU706" s="1040" t="e">
        <f>IF($F306="","",$F306*chronic_consumption!AP706/1000/$C$3)</f>
        <v>#DIV/0!</v>
      </c>
      <c r="AV706" s="1040" t="e">
        <f>IF($F306="","",$F306*chronic_consumption!AQ706/1000/$C$3)</f>
        <v>#DIV/0!</v>
      </c>
      <c r="AW706" s="1040" t="e">
        <f>IF($F306="","",$F306*chronic_consumption!AR706/1000/$C$3)</f>
        <v>#DIV/0!</v>
      </c>
      <c r="AX706" s="1040" t="e">
        <f>IF($F306="","",$F306*chronic_consumption!AS706/1000/$C$3)</f>
        <v>#DIV/0!</v>
      </c>
      <c r="AY706" s="1040" t="e">
        <f>IF($F306="","",$F306*chronic_consumption!AT706/1000/$C$3)</f>
        <v>#DIV/0!</v>
      </c>
      <c r="AZ706" s="44" t="s">
        <v>20</v>
      </c>
      <c r="BC706" s="29"/>
      <c r="BD706" s="29"/>
    </row>
    <row r="707" spans="1:56" ht="12" hidden="1" customHeight="1" outlineLevel="3" x14ac:dyDescent="0.2">
      <c r="A707" s="21">
        <f>acute_overview_children!A307</f>
        <v>4</v>
      </c>
      <c r="B707" s="325">
        <f t="shared" si="50"/>
        <v>840990</v>
      </c>
      <c r="C707" s="325" t="str">
        <f t="shared" si="50"/>
        <v>Other spices (roots)</v>
      </c>
      <c r="D707" s="135"/>
      <c r="E707" s="1027"/>
      <c r="F707" s="87"/>
      <c r="G707" s="1027"/>
      <c r="H707" s="1029"/>
      <c r="I707" s="1030"/>
      <c r="J707" s="1039" t="e">
        <f>IF($F307="","",$F307*chronic_consumption!E707/1000/$C$3)</f>
        <v>#DIV/0!</v>
      </c>
      <c r="K707" s="1040" t="e">
        <f>IF($F307="","",$F307*chronic_consumption!F707/1000/$C$3)</f>
        <v>#DIV/0!</v>
      </c>
      <c r="L707" s="1040" t="e">
        <f>IF($F307="","",$F307*chronic_consumption!G707/1000/$C$3)</f>
        <v>#DIV/0!</v>
      </c>
      <c r="M707" s="1040" t="e">
        <f>IF($F307="","",$F307*chronic_consumption!H707/1000/$C$3)</f>
        <v>#DIV/0!</v>
      </c>
      <c r="N707" s="1040" t="e">
        <f>IF($F307="","",$F307*chronic_consumption!I707/1000/$C$3)</f>
        <v>#DIV/0!</v>
      </c>
      <c r="O707" s="1040" t="e">
        <f>IF($F307="","",$F307*chronic_consumption!J707/1000/$C$3)</f>
        <v>#DIV/0!</v>
      </c>
      <c r="P707" s="1040" t="e">
        <f>IF($F307="","",$F307*chronic_consumption!K707/1000/$C$3)</f>
        <v>#DIV/0!</v>
      </c>
      <c r="Q707" s="1040" t="e">
        <f>IF($F307="","",$F307*chronic_consumption!L707/1000/$C$3)</f>
        <v>#DIV/0!</v>
      </c>
      <c r="R707" s="1040" t="e">
        <f>IF($F307="","",$F307*chronic_consumption!M707/1000/$C$3)</f>
        <v>#DIV/0!</v>
      </c>
      <c r="S707" s="1040" t="e">
        <f>IF($F307="","",$F307*chronic_consumption!N707/1000/$C$3)</f>
        <v>#DIV/0!</v>
      </c>
      <c r="T707" s="1040" t="e">
        <f>IF($F307="","",$F307*chronic_consumption!O707/1000/$C$3)</f>
        <v>#DIV/0!</v>
      </c>
      <c r="U707" s="1040" t="e">
        <f>IF($F307="","",$F307*chronic_consumption!P707/1000/$C$3)</f>
        <v>#DIV/0!</v>
      </c>
      <c r="V707" s="1040" t="e">
        <f>IF($F307="","",$F307*chronic_consumption!Q707/1000/$C$3)</f>
        <v>#DIV/0!</v>
      </c>
      <c r="W707" s="1040" t="e">
        <f>IF($F307="","",$F307*chronic_consumption!R707/1000/$C$3)</f>
        <v>#DIV/0!</v>
      </c>
      <c r="X707" s="1040" t="e">
        <f>IF($F307="","",$F307*chronic_consumption!S707/1000/$C$3)</f>
        <v>#DIV/0!</v>
      </c>
      <c r="Y707" s="1040" t="e">
        <f>IF($F307="","",$F307*chronic_consumption!T707/1000/$C$3)</f>
        <v>#DIV/0!</v>
      </c>
      <c r="Z707" s="1040" t="e">
        <f>IF($F307="","",$F307*chronic_consumption!U707/1000/$C$3)</f>
        <v>#DIV/0!</v>
      </c>
      <c r="AA707" s="1040" t="e">
        <f>IF($F307="","",$F307*chronic_consumption!V707/1000/$C$3)</f>
        <v>#DIV/0!</v>
      </c>
      <c r="AB707" s="1040" t="e">
        <f>IF($F307="","",$F307*chronic_consumption!W707/1000/$C$3)</f>
        <v>#DIV/0!</v>
      </c>
      <c r="AC707" s="1040" t="e">
        <f>IF($F307="","",$F307*chronic_consumption!X707/1000/$C$3)</f>
        <v>#DIV/0!</v>
      </c>
      <c r="AD707" s="1040" t="e">
        <f>IF($F307="","",$F307*chronic_consumption!Y707/1000/$C$3)</f>
        <v>#DIV/0!</v>
      </c>
      <c r="AE707" s="1040" t="e">
        <f>IF($F307="","",$F307*chronic_consumption!Z707/1000/$C$3)</f>
        <v>#DIV/0!</v>
      </c>
      <c r="AF707" s="1040" t="e">
        <f>IF($F307="","",$F307*chronic_consumption!AA707/1000/$C$3)</f>
        <v>#DIV/0!</v>
      </c>
      <c r="AG707" s="1040" t="e">
        <f>IF($F307="","",$F307*chronic_consumption!AB707/1000/$C$3)</f>
        <v>#DIV/0!</v>
      </c>
      <c r="AH707" s="1040" t="e">
        <f>IF($F307="","",$F307*chronic_consumption!AC707/1000/$C$3)</f>
        <v>#DIV/0!</v>
      </c>
      <c r="AI707" s="1040" t="e">
        <f>IF($F307="","",$F307*chronic_consumption!AD707/1000/$C$3)</f>
        <v>#DIV/0!</v>
      </c>
      <c r="AJ707" s="1040" t="e">
        <f>IF($F307="","",$F307*chronic_consumption!AE707/1000/$C$3)</f>
        <v>#DIV/0!</v>
      </c>
      <c r="AK707" s="1040" t="e">
        <f>IF($F307="","",$F307*chronic_consumption!AF707/1000/$C$3)</f>
        <v>#DIV/0!</v>
      </c>
      <c r="AL707" s="1040" t="e">
        <f>IF($F307="","",$F307*chronic_consumption!AG707/1000/$C$3)</f>
        <v>#DIV/0!</v>
      </c>
      <c r="AM707" s="1040" t="e">
        <f>IF($F307="","",$F307*chronic_consumption!AH707/1000/$C$3)</f>
        <v>#DIV/0!</v>
      </c>
      <c r="AN707" s="1040" t="e">
        <f>IF($F307="","",$F307*chronic_consumption!AI707/1000/$C$3)</f>
        <v>#DIV/0!</v>
      </c>
      <c r="AO707" s="1040" t="e">
        <f>IF($F307="","",$F307*chronic_consumption!AJ707/1000/$C$3)</f>
        <v>#DIV/0!</v>
      </c>
      <c r="AP707" s="1040" t="e">
        <f>IF($F307="","",$F307*chronic_consumption!AK707/1000/$C$3)</f>
        <v>#DIV/0!</v>
      </c>
      <c r="AQ707" s="1040" t="e">
        <f>IF($F307="","",$F307*chronic_consumption!AL707/1000/$C$3)</f>
        <v>#DIV/0!</v>
      </c>
      <c r="AR707" s="1040" t="e">
        <f>IF($F307="","",$F307*chronic_consumption!AM707/1000/$C$3)</f>
        <v>#DIV/0!</v>
      </c>
      <c r="AS707" s="1040" t="e">
        <f>IF($F307="","",$F307*chronic_consumption!AN707/1000/$C$3)</f>
        <v>#DIV/0!</v>
      </c>
      <c r="AT707" s="1040" t="e">
        <f>IF($F307="","",$F307*chronic_consumption!AO707/1000/$C$3)</f>
        <v>#DIV/0!</v>
      </c>
      <c r="AU707" s="1040" t="e">
        <f>IF($F307="","",$F307*chronic_consumption!AP707/1000/$C$3)</f>
        <v>#DIV/0!</v>
      </c>
      <c r="AV707" s="1040" t="e">
        <f>IF($F307="","",$F307*chronic_consumption!AQ707/1000/$C$3)</f>
        <v>#DIV/0!</v>
      </c>
      <c r="AW707" s="1040" t="e">
        <f>IF($F307="","",$F307*chronic_consumption!AR707/1000/$C$3)</f>
        <v>#DIV/0!</v>
      </c>
      <c r="AX707" s="1040" t="e">
        <f>IF($F307="","",$F307*chronic_consumption!AS707/1000/$C$3)</f>
        <v>#DIV/0!</v>
      </c>
      <c r="AY707" s="1040" t="e">
        <f>IF($F307="","",$F307*chronic_consumption!AT707/1000/$C$3)</f>
        <v>#DIV/0!</v>
      </c>
      <c r="AZ707" s="44" t="s">
        <v>20</v>
      </c>
      <c r="BC707" s="29"/>
      <c r="BD707" s="29"/>
    </row>
    <row r="708" spans="1:56" ht="12" hidden="1" customHeight="1" outlineLevel="1" x14ac:dyDescent="0.2">
      <c r="A708" s="1033">
        <f>acute_overview_children!A308</f>
        <v>2</v>
      </c>
      <c r="B708" s="1034">
        <f t="shared" si="50"/>
        <v>850000</v>
      </c>
      <c r="C708" s="1034" t="str">
        <f t="shared" si="50"/>
        <v>Spices (buds)</v>
      </c>
      <c r="D708" s="1035"/>
      <c r="E708" s="1027"/>
      <c r="F708" s="87"/>
      <c r="G708" s="1027"/>
      <c r="H708" s="1029"/>
      <c r="I708" s="1030"/>
      <c r="J708" s="1037" t="e">
        <f>IF($F308="","",$F308*chronic_consumption!E708/1000/$C$3)</f>
        <v>#DIV/0!</v>
      </c>
      <c r="K708" s="1038" t="e">
        <f>IF($F308="","",$F308*chronic_consumption!F708/1000/$C$3)</f>
        <v>#DIV/0!</v>
      </c>
      <c r="L708" s="1038" t="e">
        <f>IF($F308="","",$F308*chronic_consumption!G708/1000/$C$3)</f>
        <v>#DIV/0!</v>
      </c>
      <c r="M708" s="1038" t="e">
        <f>IF($F308="","",$F308*chronic_consumption!H708/1000/$C$3)</f>
        <v>#DIV/0!</v>
      </c>
      <c r="N708" s="1038" t="e">
        <f>IF($F308="","",$F308*chronic_consumption!I708/1000/$C$3)</f>
        <v>#DIV/0!</v>
      </c>
      <c r="O708" s="1038" t="e">
        <f>IF($F308="","",$F308*chronic_consumption!J708/1000/$C$3)</f>
        <v>#DIV/0!</v>
      </c>
      <c r="P708" s="1038" t="e">
        <f>IF($F308="","",$F308*chronic_consumption!K708/1000/$C$3)</f>
        <v>#DIV/0!</v>
      </c>
      <c r="Q708" s="1038" t="e">
        <f>IF($F308="","",$F308*chronic_consumption!L708/1000/$C$3)</f>
        <v>#DIV/0!</v>
      </c>
      <c r="R708" s="1038" t="e">
        <f>IF($F308="","",$F308*chronic_consumption!M708/1000/$C$3)</f>
        <v>#DIV/0!</v>
      </c>
      <c r="S708" s="1038" t="e">
        <f>IF($F308="","",$F308*chronic_consumption!N708/1000/$C$3)</f>
        <v>#DIV/0!</v>
      </c>
      <c r="T708" s="1038" t="e">
        <f>IF($F308="","",$F308*chronic_consumption!O708/1000/$C$3)</f>
        <v>#DIV/0!</v>
      </c>
      <c r="U708" s="1038" t="e">
        <f>IF($F308="","",$F308*chronic_consumption!P708/1000/$C$3)</f>
        <v>#DIV/0!</v>
      </c>
      <c r="V708" s="1038" t="e">
        <f>IF($F308="","",$F308*chronic_consumption!Q708/1000/$C$3)</f>
        <v>#DIV/0!</v>
      </c>
      <c r="W708" s="1038" t="e">
        <f>IF($F308="","",$F308*chronic_consumption!R708/1000/$C$3)</f>
        <v>#DIV/0!</v>
      </c>
      <c r="X708" s="1038" t="e">
        <f>IF($F308="","",$F308*chronic_consumption!S708/1000/$C$3)</f>
        <v>#DIV/0!</v>
      </c>
      <c r="Y708" s="1038" t="e">
        <f>IF($F308="","",$F308*chronic_consumption!T708/1000/$C$3)</f>
        <v>#DIV/0!</v>
      </c>
      <c r="Z708" s="1038" t="e">
        <f>IF($F308="","",$F308*chronic_consumption!U708/1000/$C$3)</f>
        <v>#DIV/0!</v>
      </c>
      <c r="AA708" s="1038" t="e">
        <f>IF($F308="","",$F308*chronic_consumption!V708/1000/$C$3)</f>
        <v>#DIV/0!</v>
      </c>
      <c r="AB708" s="1038" t="e">
        <f>IF($F308="","",$F308*chronic_consumption!W708/1000/$C$3)</f>
        <v>#DIV/0!</v>
      </c>
      <c r="AC708" s="1038" t="e">
        <f>IF($F308="","",$F308*chronic_consumption!X708/1000/$C$3)</f>
        <v>#DIV/0!</v>
      </c>
      <c r="AD708" s="1038" t="e">
        <f>IF($F308="","",$F308*chronic_consumption!Y708/1000/$C$3)</f>
        <v>#DIV/0!</v>
      </c>
      <c r="AE708" s="1038" t="e">
        <f>IF($F308="","",$F308*chronic_consumption!Z708/1000/$C$3)</f>
        <v>#DIV/0!</v>
      </c>
      <c r="AF708" s="1038" t="e">
        <f>IF($F308="","",$F308*chronic_consumption!AA708/1000/$C$3)</f>
        <v>#DIV/0!</v>
      </c>
      <c r="AG708" s="1038" t="e">
        <f>IF($F308="","",$F308*chronic_consumption!AB708/1000/$C$3)</f>
        <v>#DIV/0!</v>
      </c>
      <c r="AH708" s="1038" t="e">
        <f>IF($F308="","",$F308*chronic_consumption!AC708/1000/$C$3)</f>
        <v>#DIV/0!</v>
      </c>
      <c r="AI708" s="1038" t="e">
        <f>IF($F308="","",$F308*chronic_consumption!AD708/1000/$C$3)</f>
        <v>#DIV/0!</v>
      </c>
      <c r="AJ708" s="1038" t="e">
        <f>IF($F308="","",$F308*chronic_consumption!AE708/1000/$C$3)</f>
        <v>#DIV/0!</v>
      </c>
      <c r="AK708" s="1038" t="e">
        <f>IF($F308="","",$F308*chronic_consumption!AF708/1000/$C$3)</f>
        <v>#DIV/0!</v>
      </c>
      <c r="AL708" s="1038" t="e">
        <f>IF($F308="","",$F308*chronic_consumption!AG708/1000/$C$3)</f>
        <v>#DIV/0!</v>
      </c>
      <c r="AM708" s="1038" t="e">
        <f>IF($F308="","",$F308*chronic_consumption!AH708/1000/$C$3)</f>
        <v>#DIV/0!</v>
      </c>
      <c r="AN708" s="1038" t="e">
        <f>IF($F308="","",$F308*chronic_consumption!AI708/1000/$C$3)</f>
        <v>#DIV/0!</v>
      </c>
      <c r="AO708" s="1038" t="e">
        <f>IF($F308="","",$F308*chronic_consumption!AJ708/1000/$C$3)</f>
        <v>#DIV/0!</v>
      </c>
      <c r="AP708" s="1038" t="e">
        <f>IF($F308="","",$F308*chronic_consumption!AK708/1000/$C$3)</f>
        <v>#DIV/0!</v>
      </c>
      <c r="AQ708" s="1038" t="e">
        <f>IF($F308="","",$F308*chronic_consumption!AL708/1000/$C$3)</f>
        <v>#DIV/0!</v>
      </c>
      <c r="AR708" s="1038" t="e">
        <f>IF($F308="","",$F308*chronic_consumption!AM708/1000/$C$3)</f>
        <v>#DIV/0!</v>
      </c>
      <c r="AS708" s="1038" t="e">
        <f>IF($F308="","",$F308*chronic_consumption!AN708/1000/$C$3)</f>
        <v>#DIV/0!</v>
      </c>
      <c r="AT708" s="1038" t="e">
        <f>IF($F308="","",$F308*chronic_consumption!AO708/1000/$C$3)</f>
        <v>#DIV/0!</v>
      </c>
      <c r="AU708" s="1038" t="e">
        <f>IF($F308="","",$F308*chronic_consumption!AP708/1000/$C$3)</f>
        <v>#DIV/0!</v>
      </c>
      <c r="AV708" s="1038" t="e">
        <f>IF($F308="","",$F308*chronic_consumption!AQ708/1000/$C$3)</f>
        <v>#DIV/0!</v>
      </c>
      <c r="AW708" s="1038" t="e">
        <f>IF($F308="","",$F308*chronic_consumption!AR708/1000/$C$3)</f>
        <v>#DIV/0!</v>
      </c>
      <c r="AX708" s="1038" t="e">
        <f>IF($F308="","",$F308*chronic_consumption!AS708/1000/$C$3)</f>
        <v>#DIV/0!</v>
      </c>
      <c r="AY708" s="1038" t="e">
        <f>IF($F308="","",$F308*chronic_consumption!AT708/1000/$C$3)</f>
        <v>#DIV/0!</v>
      </c>
      <c r="AZ708" s="44" t="s">
        <v>20</v>
      </c>
      <c r="BC708" s="29"/>
      <c r="BD708" s="29"/>
    </row>
    <row r="709" spans="1:56" ht="12" hidden="1" customHeight="1" outlineLevel="3" x14ac:dyDescent="0.2">
      <c r="A709" s="21">
        <f>acute_overview_children!A309</f>
        <v>4</v>
      </c>
      <c r="B709" s="325">
        <f t="shared" si="50"/>
        <v>850010</v>
      </c>
      <c r="C709" s="325" t="str">
        <f t="shared" si="50"/>
        <v>Cloves</v>
      </c>
      <c r="D709" s="135"/>
      <c r="E709" s="1027"/>
      <c r="F709" s="87"/>
      <c r="G709" s="1027"/>
      <c r="H709" s="1029"/>
      <c r="I709" s="1030"/>
      <c r="J709" s="1039" t="e">
        <f>IF($F309="","",$F309*chronic_consumption!E709/1000/$C$3)</f>
        <v>#DIV/0!</v>
      </c>
      <c r="K709" s="1040" t="e">
        <f>IF($F309="","",$F309*chronic_consumption!F709/1000/$C$3)</f>
        <v>#DIV/0!</v>
      </c>
      <c r="L709" s="1040" t="e">
        <f>IF($F309="","",$F309*chronic_consumption!G709/1000/$C$3)</f>
        <v>#DIV/0!</v>
      </c>
      <c r="M709" s="1040" t="e">
        <f>IF($F309="","",$F309*chronic_consumption!H709/1000/$C$3)</f>
        <v>#DIV/0!</v>
      </c>
      <c r="N709" s="1040" t="e">
        <f>IF($F309="","",$F309*chronic_consumption!I709/1000/$C$3)</f>
        <v>#DIV/0!</v>
      </c>
      <c r="O709" s="1040" t="e">
        <f>IF($F309="","",$F309*chronic_consumption!J709/1000/$C$3)</f>
        <v>#DIV/0!</v>
      </c>
      <c r="P709" s="1040" t="e">
        <f>IF($F309="","",$F309*chronic_consumption!K709/1000/$C$3)</f>
        <v>#DIV/0!</v>
      </c>
      <c r="Q709" s="1040" t="e">
        <f>IF($F309="","",$F309*chronic_consumption!L709/1000/$C$3)</f>
        <v>#DIV/0!</v>
      </c>
      <c r="R709" s="1040" t="e">
        <f>IF($F309="","",$F309*chronic_consumption!M709/1000/$C$3)</f>
        <v>#DIV/0!</v>
      </c>
      <c r="S709" s="1040" t="e">
        <f>IF($F309="","",$F309*chronic_consumption!N709/1000/$C$3)</f>
        <v>#DIV/0!</v>
      </c>
      <c r="T709" s="1040" t="e">
        <f>IF($F309="","",$F309*chronic_consumption!O709/1000/$C$3)</f>
        <v>#DIV/0!</v>
      </c>
      <c r="U709" s="1040" t="e">
        <f>IF($F309="","",$F309*chronic_consumption!P709/1000/$C$3)</f>
        <v>#DIV/0!</v>
      </c>
      <c r="V709" s="1040" t="e">
        <f>IF($F309="","",$F309*chronic_consumption!Q709/1000/$C$3)</f>
        <v>#DIV/0!</v>
      </c>
      <c r="W709" s="1040" t="e">
        <f>IF($F309="","",$F309*chronic_consumption!R709/1000/$C$3)</f>
        <v>#DIV/0!</v>
      </c>
      <c r="X709" s="1040" t="e">
        <f>IF($F309="","",$F309*chronic_consumption!S709/1000/$C$3)</f>
        <v>#DIV/0!</v>
      </c>
      <c r="Y709" s="1040" t="e">
        <f>IF($F309="","",$F309*chronic_consumption!T709/1000/$C$3)</f>
        <v>#DIV/0!</v>
      </c>
      <c r="Z709" s="1040" t="e">
        <f>IF($F309="","",$F309*chronic_consumption!U709/1000/$C$3)</f>
        <v>#DIV/0!</v>
      </c>
      <c r="AA709" s="1040" t="e">
        <f>IF($F309="","",$F309*chronic_consumption!V709/1000/$C$3)</f>
        <v>#DIV/0!</v>
      </c>
      <c r="AB709" s="1040" t="e">
        <f>IF($F309="","",$F309*chronic_consumption!W709/1000/$C$3)</f>
        <v>#DIV/0!</v>
      </c>
      <c r="AC709" s="1040" t="e">
        <f>IF($F309="","",$F309*chronic_consumption!X709/1000/$C$3)</f>
        <v>#DIV/0!</v>
      </c>
      <c r="AD709" s="1040" t="e">
        <f>IF($F309="","",$F309*chronic_consumption!Y709/1000/$C$3)</f>
        <v>#DIV/0!</v>
      </c>
      <c r="AE709" s="1040" t="e">
        <f>IF($F309="","",$F309*chronic_consumption!Z709/1000/$C$3)</f>
        <v>#DIV/0!</v>
      </c>
      <c r="AF709" s="1040" t="e">
        <f>IF($F309="","",$F309*chronic_consumption!AA709/1000/$C$3)</f>
        <v>#DIV/0!</v>
      </c>
      <c r="AG709" s="1040" t="e">
        <f>IF($F309="","",$F309*chronic_consumption!AB709/1000/$C$3)</f>
        <v>#DIV/0!</v>
      </c>
      <c r="AH709" s="1040" t="e">
        <f>IF($F309="","",$F309*chronic_consumption!AC709/1000/$C$3)</f>
        <v>#DIV/0!</v>
      </c>
      <c r="AI709" s="1040" t="e">
        <f>IF($F309="","",$F309*chronic_consumption!AD709/1000/$C$3)</f>
        <v>#DIV/0!</v>
      </c>
      <c r="AJ709" s="1040" t="e">
        <f>IF($F309="","",$F309*chronic_consumption!AE709/1000/$C$3)</f>
        <v>#DIV/0!</v>
      </c>
      <c r="AK709" s="1040" t="e">
        <f>IF($F309="","",$F309*chronic_consumption!AF709/1000/$C$3)</f>
        <v>#DIV/0!</v>
      </c>
      <c r="AL709" s="1040" t="e">
        <f>IF($F309="","",$F309*chronic_consumption!AG709/1000/$C$3)</f>
        <v>#DIV/0!</v>
      </c>
      <c r="AM709" s="1040" t="e">
        <f>IF($F309="","",$F309*chronic_consumption!AH709/1000/$C$3)</f>
        <v>#DIV/0!</v>
      </c>
      <c r="AN709" s="1040" t="e">
        <f>IF($F309="","",$F309*chronic_consumption!AI709/1000/$C$3)</f>
        <v>#DIV/0!</v>
      </c>
      <c r="AO709" s="1040" t="e">
        <f>IF($F309="","",$F309*chronic_consumption!AJ709/1000/$C$3)</f>
        <v>#DIV/0!</v>
      </c>
      <c r="AP709" s="1040" t="e">
        <f>IF($F309="","",$F309*chronic_consumption!AK709/1000/$C$3)</f>
        <v>#DIV/0!</v>
      </c>
      <c r="AQ709" s="1040" t="e">
        <f>IF($F309="","",$F309*chronic_consumption!AL709/1000/$C$3)</f>
        <v>#DIV/0!</v>
      </c>
      <c r="AR709" s="1040" t="e">
        <f>IF($F309="","",$F309*chronic_consumption!AM709/1000/$C$3)</f>
        <v>#DIV/0!</v>
      </c>
      <c r="AS709" s="1040" t="e">
        <f>IF($F309="","",$F309*chronic_consumption!AN709/1000/$C$3)</f>
        <v>#DIV/0!</v>
      </c>
      <c r="AT709" s="1040" t="e">
        <f>IF($F309="","",$F309*chronic_consumption!AO709/1000/$C$3)</f>
        <v>#DIV/0!</v>
      </c>
      <c r="AU709" s="1040" t="e">
        <f>IF($F309="","",$F309*chronic_consumption!AP709/1000/$C$3)</f>
        <v>#DIV/0!</v>
      </c>
      <c r="AV709" s="1040" t="e">
        <f>IF($F309="","",$F309*chronic_consumption!AQ709/1000/$C$3)</f>
        <v>#DIV/0!</v>
      </c>
      <c r="AW709" s="1040" t="e">
        <f>IF($F309="","",$F309*chronic_consumption!AR709/1000/$C$3)</f>
        <v>#DIV/0!</v>
      </c>
      <c r="AX709" s="1040" t="e">
        <f>IF($F309="","",$F309*chronic_consumption!AS709/1000/$C$3)</f>
        <v>#DIV/0!</v>
      </c>
      <c r="AY709" s="1040" t="e">
        <f>IF($F309="","",$F309*chronic_consumption!AT709/1000/$C$3)</f>
        <v>#DIV/0!</v>
      </c>
      <c r="AZ709" s="44" t="s">
        <v>20</v>
      </c>
      <c r="BC709" s="29"/>
      <c r="BD709" s="29"/>
    </row>
    <row r="710" spans="1:56" ht="12" hidden="1" customHeight="1" outlineLevel="3" x14ac:dyDescent="0.2">
      <c r="A710" s="21">
        <f>acute_overview_children!A310</f>
        <v>4</v>
      </c>
      <c r="B710" s="325">
        <f t="shared" si="50"/>
        <v>850020</v>
      </c>
      <c r="C710" s="325" t="str">
        <f t="shared" si="50"/>
        <v>Capers</v>
      </c>
      <c r="D710" s="135"/>
      <c r="E710" s="1027"/>
      <c r="F710" s="87"/>
      <c r="G710" s="1027"/>
      <c r="H710" s="1029"/>
      <c r="I710" s="1030"/>
      <c r="J710" s="1039" t="e">
        <f>IF($F310="","",$F310*chronic_consumption!E710/1000/$C$3)</f>
        <v>#DIV/0!</v>
      </c>
      <c r="K710" s="1040" t="e">
        <f>IF($F310="","",$F310*chronic_consumption!F710/1000/$C$3)</f>
        <v>#DIV/0!</v>
      </c>
      <c r="L710" s="1040" t="e">
        <f>IF($F310="","",$F310*chronic_consumption!G710/1000/$C$3)</f>
        <v>#DIV/0!</v>
      </c>
      <c r="M710" s="1040" t="e">
        <f>IF($F310="","",$F310*chronic_consumption!H710/1000/$C$3)</f>
        <v>#DIV/0!</v>
      </c>
      <c r="N710" s="1040" t="e">
        <f>IF($F310="","",$F310*chronic_consumption!I710/1000/$C$3)</f>
        <v>#DIV/0!</v>
      </c>
      <c r="O710" s="1040" t="e">
        <f>IF($F310="","",$F310*chronic_consumption!J710/1000/$C$3)</f>
        <v>#DIV/0!</v>
      </c>
      <c r="P710" s="1040" t="e">
        <f>IF($F310="","",$F310*chronic_consumption!K710/1000/$C$3)</f>
        <v>#DIV/0!</v>
      </c>
      <c r="Q710" s="1040" t="e">
        <f>IF($F310="","",$F310*chronic_consumption!L710/1000/$C$3)</f>
        <v>#DIV/0!</v>
      </c>
      <c r="R710" s="1040" t="e">
        <f>IF($F310="","",$F310*chronic_consumption!M710/1000/$C$3)</f>
        <v>#DIV/0!</v>
      </c>
      <c r="S710" s="1040" t="e">
        <f>IF($F310="","",$F310*chronic_consumption!N710/1000/$C$3)</f>
        <v>#DIV/0!</v>
      </c>
      <c r="T710" s="1040" t="e">
        <f>IF($F310="","",$F310*chronic_consumption!O710/1000/$C$3)</f>
        <v>#DIV/0!</v>
      </c>
      <c r="U710" s="1040" t="e">
        <f>IF($F310="","",$F310*chronic_consumption!P710/1000/$C$3)</f>
        <v>#DIV/0!</v>
      </c>
      <c r="V710" s="1040" t="e">
        <f>IF($F310="","",$F310*chronic_consumption!Q710/1000/$C$3)</f>
        <v>#DIV/0!</v>
      </c>
      <c r="W710" s="1040" t="e">
        <f>IF($F310="","",$F310*chronic_consumption!R710/1000/$C$3)</f>
        <v>#DIV/0!</v>
      </c>
      <c r="X710" s="1040" t="e">
        <f>IF($F310="","",$F310*chronic_consumption!S710/1000/$C$3)</f>
        <v>#DIV/0!</v>
      </c>
      <c r="Y710" s="1040" t="e">
        <f>IF($F310="","",$F310*chronic_consumption!T710/1000/$C$3)</f>
        <v>#DIV/0!</v>
      </c>
      <c r="Z710" s="1040" t="e">
        <f>IF($F310="","",$F310*chronic_consumption!U710/1000/$C$3)</f>
        <v>#DIV/0!</v>
      </c>
      <c r="AA710" s="1040" t="e">
        <f>IF($F310="","",$F310*chronic_consumption!V710/1000/$C$3)</f>
        <v>#DIV/0!</v>
      </c>
      <c r="AB710" s="1040" t="e">
        <f>IF($F310="","",$F310*chronic_consumption!W710/1000/$C$3)</f>
        <v>#DIV/0!</v>
      </c>
      <c r="AC710" s="1040" t="e">
        <f>IF($F310="","",$F310*chronic_consumption!X710/1000/$C$3)</f>
        <v>#DIV/0!</v>
      </c>
      <c r="AD710" s="1040" t="e">
        <f>IF($F310="","",$F310*chronic_consumption!Y710/1000/$C$3)</f>
        <v>#DIV/0!</v>
      </c>
      <c r="AE710" s="1040" t="e">
        <f>IF($F310="","",$F310*chronic_consumption!Z710/1000/$C$3)</f>
        <v>#DIV/0!</v>
      </c>
      <c r="AF710" s="1040" t="e">
        <f>IF($F310="","",$F310*chronic_consumption!AA710/1000/$C$3)</f>
        <v>#DIV/0!</v>
      </c>
      <c r="AG710" s="1040" t="e">
        <f>IF($F310="","",$F310*chronic_consumption!AB710/1000/$C$3)</f>
        <v>#DIV/0!</v>
      </c>
      <c r="AH710" s="1040" t="e">
        <f>IF($F310="","",$F310*chronic_consumption!AC710/1000/$C$3)</f>
        <v>#DIV/0!</v>
      </c>
      <c r="AI710" s="1040" t="e">
        <f>IF($F310="","",$F310*chronic_consumption!AD710/1000/$C$3)</f>
        <v>#DIV/0!</v>
      </c>
      <c r="AJ710" s="1040" t="e">
        <f>IF($F310="","",$F310*chronic_consumption!AE710/1000/$C$3)</f>
        <v>#DIV/0!</v>
      </c>
      <c r="AK710" s="1040" t="e">
        <f>IF($F310="","",$F310*chronic_consumption!AF710/1000/$C$3)</f>
        <v>#DIV/0!</v>
      </c>
      <c r="AL710" s="1040" t="e">
        <f>IF($F310="","",$F310*chronic_consumption!AG710/1000/$C$3)</f>
        <v>#DIV/0!</v>
      </c>
      <c r="AM710" s="1040" t="e">
        <f>IF($F310="","",$F310*chronic_consumption!AH710/1000/$C$3)</f>
        <v>#DIV/0!</v>
      </c>
      <c r="AN710" s="1040" t="e">
        <f>IF($F310="","",$F310*chronic_consumption!AI710/1000/$C$3)</f>
        <v>#DIV/0!</v>
      </c>
      <c r="AO710" s="1040" t="e">
        <f>IF($F310="","",$F310*chronic_consumption!AJ710/1000/$C$3)</f>
        <v>#DIV/0!</v>
      </c>
      <c r="AP710" s="1040" t="e">
        <f>IF($F310="","",$F310*chronic_consumption!AK710/1000/$C$3)</f>
        <v>#DIV/0!</v>
      </c>
      <c r="AQ710" s="1040" t="e">
        <f>IF($F310="","",$F310*chronic_consumption!AL710/1000/$C$3)</f>
        <v>#DIV/0!</v>
      </c>
      <c r="AR710" s="1040" t="e">
        <f>IF($F310="","",$F310*chronic_consumption!AM710/1000/$C$3)</f>
        <v>#DIV/0!</v>
      </c>
      <c r="AS710" s="1040" t="e">
        <f>IF($F310="","",$F310*chronic_consumption!AN710/1000/$C$3)</f>
        <v>#DIV/0!</v>
      </c>
      <c r="AT710" s="1040" t="e">
        <f>IF($F310="","",$F310*chronic_consumption!AO710/1000/$C$3)</f>
        <v>#DIV/0!</v>
      </c>
      <c r="AU710" s="1040" t="e">
        <f>IF($F310="","",$F310*chronic_consumption!AP710/1000/$C$3)</f>
        <v>#DIV/0!</v>
      </c>
      <c r="AV710" s="1040" t="e">
        <f>IF($F310="","",$F310*chronic_consumption!AQ710/1000/$C$3)</f>
        <v>#DIV/0!</v>
      </c>
      <c r="AW710" s="1040" t="e">
        <f>IF($F310="","",$F310*chronic_consumption!AR710/1000/$C$3)</f>
        <v>#DIV/0!</v>
      </c>
      <c r="AX710" s="1040" t="e">
        <f>IF($F310="","",$F310*chronic_consumption!AS710/1000/$C$3)</f>
        <v>#DIV/0!</v>
      </c>
      <c r="AY710" s="1040" t="e">
        <f>IF($F310="","",$F310*chronic_consumption!AT710/1000/$C$3)</f>
        <v>#DIV/0!</v>
      </c>
      <c r="AZ710" s="44" t="s">
        <v>20</v>
      </c>
      <c r="BC710" s="29"/>
      <c r="BD710" s="29"/>
    </row>
    <row r="711" spans="1:56" ht="12" hidden="1" customHeight="1" outlineLevel="3" x14ac:dyDescent="0.2">
      <c r="A711" s="21">
        <f>acute_overview_children!A311</f>
        <v>4</v>
      </c>
      <c r="B711" s="325">
        <f t="shared" si="50"/>
        <v>850990</v>
      </c>
      <c r="C711" s="325" t="str">
        <f t="shared" si="50"/>
        <v>Other spices (buds)</v>
      </c>
      <c r="D711" s="135"/>
      <c r="E711" s="1027"/>
      <c r="F711" s="87"/>
      <c r="G711" s="1027"/>
      <c r="H711" s="1029"/>
      <c r="I711" s="1030"/>
      <c r="J711" s="1039" t="e">
        <f>IF($F311="","",$F311*chronic_consumption!E711/1000/$C$3)</f>
        <v>#DIV/0!</v>
      </c>
      <c r="K711" s="1040" t="e">
        <f>IF($F311="","",$F311*chronic_consumption!F711/1000/$C$3)</f>
        <v>#DIV/0!</v>
      </c>
      <c r="L711" s="1040" t="e">
        <f>IF($F311="","",$F311*chronic_consumption!G711/1000/$C$3)</f>
        <v>#DIV/0!</v>
      </c>
      <c r="M711" s="1040" t="e">
        <f>IF($F311="","",$F311*chronic_consumption!H711/1000/$C$3)</f>
        <v>#DIV/0!</v>
      </c>
      <c r="N711" s="1040" t="e">
        <f>IF($F311="","",$F311*chronic_consumption!I711/1000/$C$3)</f>
        <v>#DIV/0!</v>
      </c>
      <c r="O711" s="1040" t="e">
        <f>IF($F311="","",$F311*chronic_consumption!J711/1000/$C$3)</f>
        <v>#DIV/0!</v>
      </c>
      <c r="P711" s="1040" t="e">
        <f>IF($F311="","",$F311*chronic_consumption!K711/1000/$C$3)</f>
        <v>#DIV/0!</v>
      </c>
      <c r="Q711" s="1040" t="e">
        <f>IF($F311="","",$F311*chronic_consumption!L711/1000/$C$3)</f>
        <v>#DIV/0!</v>
      </c>
      <c r="R711" s="1040" t="e">
        <f>IF($F311="","",$F311*chronic_consumption!M711/1000/$C$3)</f>
        <v>#DIV/0!</v>
      </c>
      <c r="S711" s="1040" t="e">
        <f>IF($F311="","",$F311*chronic_consumption!N711/1000/$C$3)</f>
        <v>#DIV/0!</v>
      </c>
      <c r="T711" s="1040" t="e">
        <f>IF($F311="","",$F311*chronic_consumption!O711/1000/$C$3)</f>
        <v>#DIV/0!</v>
      </c>
      <c r="U711" s="1040" t="e">
        <f>IF($F311="","",$F311*chronic_consumption!P711/1000/$C$3)</f>
        <v>#DIV/0!</v>
      </c>
      <c r="V711" s="1040" t="e">
        <f>IF($F311="","",$F311*chronic_consumption!Q711/1000/$C$3)</f>
        <v>#DIV/0!</v>
      </c>
      <c r="W711" s="1040" t="e">
        <f>IF($F311="","",$F311*chronic_consumption!R711/1000/$C$3)</f>
        <v>#DIV/0!</v>
      </c>
      <c r="X711" s="1040" t="e">
        <f>IF($F311="","",$F311*chronic_consumption!S711/1000/$C$3)</f>
        <v>#DIV/0!</v>
      </c>
      <c r="Y711" s="1040" t="e">
        <f>IF($F311="","",$F311*chronic_consumption!T711/1000/$C$3)</f>
        <v>#DIV/0!</v>
      </c>
      <c r="Z711" s="1040" t="e">
        <f>IF($F311="","",$F311*chronic_consumption!U711/1000/$C$3)</f>
        <v>#DIV/0!</v>
      </c>
      <c r="AA711" s="1040" t="e">
        <f>IF($F311="","",$F311*chronic_consumption!V711/1000/$C$3)</f>
        <v>#DIV/0!</v>
      </c>
      <c r="AB711" s="1040" t="e">
        <f>IF($F311="","",$F311*chronic_consumption!W711/1000/$C$3)</f>
        <v>#DIV/0!</v>
      </c>
      <c r="AC711" s="1040" t="e">
        <f>IF($F311="","",$F311*chronic_consumption!X711/1000/$C$3)</f>
        <v>#DIV/0!</v>
      </c>
      <c r="AD711" s="1040" t="e">
        <f>IF($F311="","",$F311*chronic_consumption!Y711/1000/$C$3)</f>
        <v>#DIV/0!</v>
      </c>
      <c r="AE711" s="1040" t="e">
        <f>IF($F311="","",$F311*chronic_consumption!Z711/1000/$C$3)</f>
        <v>#DIV/0!</v>
      </c>
      <c r="AF711" s="1040" t="e">
        <f>IF($F311="","",$F311*chronic_consumption!AA711/1000/$C$3)</f>
        <v>#DIV/0!</v>
      </c>
      <c r="AG711" s="1040" t="e">
        <f>IF($F311="","",$F311*chronic_consumption!AB711/1000/$C$3)</f>
        <v>#DIV/0!</v>
      </c>
      <c r="AH711" s="1040" t="e">
        <f>IF($F311="","",$F311*chronic_consumption!AC711/1000/$C$3)</f>
        <v>#DIV/0!</v>
      </c>
      <c r="AI711" s="1040" t="e">
        <f>IF($F311="","",$F311*chronic_consumption!AD711/1000/$C$3)</f>
        <v>#DIV/0!</v>
      </c>
      <c r="AJ711" s="1040" t="e">
        <f>IF($F311="","",$F311*chronic_consumption!AE711/1000/$C$3)</f>
        <v>#DIV/0!</v>
      </c>
      <c r="AK711" s="1040" t="e">
        <f>IF($F311="","",$F311*chronic_consumption!AF711/1000/$C$3)</f>
        <v>#DIV/0!</v>
      </c>
      <c r="AL711" s="1040" t="e">
        <f>IF($F311="","",$F311*chronic_consumption!AG711/1000/$C$3)</f>
        <v>#DIV/0!</v>
      </c>
      <c r="AM711" s="1040" t="e">
        <f>IF($F311="","",$F311*chronic_consumption!AH711/1000/$C$3)</f>
        <v>#DIV/0!</v>
      </c>
      <c r="AN711" s="1040" t="e">
        <f>IF($F311="","",$F311*chronic_consumption!AI711/1000/$C$3)</f>
        <v>#DIV/0!</v>
      </c>
      <c r="AO711" s="1040" t="e">
        <f>IF($F311="","",$F311*chronic_consumption!AJ711/1000/$C$3)</f>
        <v>#DIV/0!</v>
      </c>
      <c r="AP711" s="1040" t="e">
        <f>IF($F311="","",$F311*chronic_consumption!AK711/1000/$C$3)</f>
        <v>#DIV/0!</v>
      </c>
      <c r="AQ711" s="1040" t="e">
        <f>IF($F311="","",$F311*chronic_consumption!AL711/1000/$C$3)</f>
        <v>#DIV/0!</v>
      </c>
      <c r="AR711" s="1040" t="e">
        <f>IF($F311="","",$F311*chronic_consumption!AM711/1000/$C$3)</f>
        <v>#DIV/0!</v>
      </c>
      <c r="AS711" s="1040" t="e">
        <f>IF($F311="","",$F311*chronic_consumption!AN711/1000/$C$3)</f>
        <v>#DIV/0!</v>
      </c>
      <c r="AT711" s="1040" t="e">
        <f>IF($F311="","",$F311*chronic_consumption!AO711/1000/$C$3)</f>
        <v>#DIV/0!</v>
      </c>
      <c r="AU711" s="1040" t="e">
        <f>IF($F311="","",$F311*chronic_consumption!AP711/1000/$C$3)</f>
        <v>#DIV/0!</v>
      </c>
      <c r="AV711" s="1040" t="e">
        <f>IF($F311="","",$F311*chronic_consumption!AQ711/1000/$C$3)</f>
        <v>#DIV/0!</v>
      </c>
      <c r="AW711" s="1040" t="e">
        <f>IF($F311="","",$F311*chronic_consumption!AR711/1000/$C$3)</f>
        <v>#DIV/0!</v>
      </c>
      <c r="AX711" s="1040" t="e">
        <f>IF($F311="","",$F311*chronic_consumption!AS711/1000/$C$3)</f>
        <v>#DIV/0!</v>
      </c>
      <c r="AY711" s="1040" t="e">
        <f>IF($F311="","",$F311*chronic_consumption!AT711/1000/$C$3)</f>
        <v>#DIV/0!</v>
      </c>
      <c r="AZ711" s="44" t="s">
        <v>20</v>
      </c>
      <c r="BC711" s="29"/>
      <c r="BD711" s="29"/>
    </row>
    <row r="712" spans="1:56" ht="12" hidden="1" customHeight="1" outlineLevel="1" x14ac:dyDescent="0.2">
      <c r="A712" s="1033">
        <f>acute_overview_children!A312</f>
        <v>2</v>
      </c>
      <c r="B712" s="1034">
        <f t="shared" ref="B712:C731" si="51">B312</f>
        <v>860000</v>
      </c>
      <c r="C712" s="1034" t="str">
        <f t="shared" si="51"/>
        <v>Spices (flower stigma)</v>
      </c>
      <c r="D712" s="1035"/>
      <c r="E712" s="1027"/>
      <c r="F712" s="87"/>
      <c r="G712" s="1027"/>
      <c r="H712" s="1029"/>
      <c r="I712" s="1030"/>
      <c r="J712" s="1037" t="e">
        <f>IF($F312="","",$F312*chronic_consumption!E712/1000/$C$3)</f>
        <v>#DIV/0!</v>
      </c>
      <c r="K712" s="1038" t="e">
        <f>IF($F312="","",$F312*chronic_consumption!F712/1000/$C$3)</f>
        <v>#DIV/0!</v>
      </c>
      <c r="L712" s="1038" t="e">
        <f>IF($F312="","",$F312*chronic_consumption!G712/1000/$C$3)</f>
        <v>#DIV/0!</v>
      </c>
      <c r="M712" s="1038" t="e">
        <f>IF($F312="","",$F312*chronic_consumption!H712/1000/$C$3)</f>
        <v>#DIV/0!</v>
      </c>
      <c r="N712" s="1038" t="e">
        <f>IF($F312="","",$F312*chronic_consumption!I712/1000/$C$3)</f>
        <v>#DIV/0!</v>
      </c>
      <c r="O712" s="1038" t="e">
        <f>IF($F312="","",$F312*chronic_consumption!J712/1000/$C$3)</f>
        <v>#DIV/0!</v>
      </c>
      <c r="P712" s="1038" t="e">
        <f>IF($F312="","",$F312*chronic_consumption!K712/1000/$C$3)</f>
        <v>#DIV/0!</v>
      </c>
      <c r="Q712" s="1038" t="e">
        <f>IF($F312="","",$F312*chronic_consumption!L712/1000/$C$3)</f>
        <v>#DIV/0!</v>
      </c>
      <c r="R712" s="1038" t="e">
        <f>IF($F312="","",$F312*chronic_consumption!M712/1000/$C$3)</f>
        <v>#DIV/0!</v>
      </c>
      <c r="S712" s="1038" t="e">
        <f>IF($F312="","",$F312*chronic_consumption!N712/1000/$C$3)</f>
        <v>#DIV/0!</v>
      </c>
      <c r="T712" s="1038" t="e">
        <f>IF($F312="","",$F312*chronic_consumption!O712/1000/$C$3)</f>
        <v>#DIV/0!</v>
      </c>
      <c r="U712" s="1038" t="e">
        <f>IF($F312="","",$F312*chronic_consumption!P712/1000/$C$3)</f>
        <v>#DIV/0!</v>
      </c>
      <c r="V712" s="1038" t="e">
        <f>IF($F312="","",$F312*chronic_consumption!Q712/1000/$C$3)</f>
        <v>#DIV/0!</v>
      </c>
      <c r="W712" s="1038" t="e">
        <f>IF($F312="","",$F312*chronic_consumption!R712/1000/$C$3)</f>
        <v>#DIV/0!</v>
      </c>
      <c r="X712" s="1038" t="e">
        <f>IF($F312="","",$F312*chronic_consumption!S712/1000/$C$3)</f>
        <v>#DIV/0!</v>
      </c>
      <c r="Y712" s="1038" t="e">
        <f>IF($F312="","",$F312*chronic_consumption!T712/1000/$C$3)</f>
        <v>#DIV/0!</v>
      </c>
      <c r="Z712" s="1038" t="e">
        <f>IF($F312="","",$F312*chronic_consumption!U712/1000/$C$3)</f>
        <v>#DIV/0!</v>
      </c>
      <c r="AA712" s="1038" t="e">
        <f>IF($F312="","",$F312*chronic_consumption!V712/1000/$C$3)</f>
        <v>#DIV/0!</v>
      </c>
      <c r="AB712" s="1038" t="e">
        <f>IF($F312="","",$F312*chronic_consumption!W712/1000/$C$3)</f>
        <v>#DIV/0!</v>
      </c>
      <c r="AC712" s="1038" t="e">
        <f>IF($F312="","",$F312*chronic_consumption!X712/1000/$C$3)</f>
        <v>#DIV/0!</v>
      </c>
      <c r="AD712" s="1038" t="e">
        <f>IF($F312="","",$F312*chronic_consumption!Y712/1000/$C$3)</f>
        <v>#DIV/0!</v>
      </c>
      <c r="AE712" s="1038" t="e">
        <f>IF($F312="","",$F312*chronic_consumption!Z712/1000/$C$3)</f>
        <v>#DIV/0!</v>
      </c>
      <c r="AF712" s="1038" t="e">
        <f>IF($F312="","",$F312*chronic_consumption!AA712/1000/$C$3)</f>
        <v>#DIV/0!</v>
      </c>
      <c r="AG712" s="1038" t="e">
        <f>IF($F312="","",$F312*chronic_consumption!AB712/1000/$C$3)</f>
        <v>#DIV/0!</v>
      </c>
      <c r="AH712" s="1038" t="e">
        <f>IF($F312="","",$F312*chronic_consumption!AC712/1000/$C$3)</f>
        <v>#DIV/0!</v>
      </c>
      <c r="AI712" s="1038" t="e">
        <f>IF($F312="","",$F312*chronic_consumption!AD712/1000/$C$3)</f>
        <v>#DIV/0!</v>
      </c>
      <c r="AJ712" s="1038" t="e">
        <f>IF($F312="","",$F312*chronic_consumption!AE712/1000/$C$3)</f>
        <v>#DIV/0!</v>
      </c>
      <c r="AK712" s="1038" t="e">
        <f>IF($F312="","",$F312*chronic_consumption!AF712/1000/$C$3)</f>
        <v>#DIV/0!</v>
      </c>
      <c r="AL712" s="1038" t="e">
        <f>IF($F312="","",$F312*chronic_consumption!AG712/1000/$C$3)</f>
        <v>#DIV/0!</v>
      </c>
      <c r="AM712" s="1038" t="e">
        <f>IF($F312="","",$F312*chronic_consumption!AH712/1000/$C$3)</f>
        <v>#DIV/0!</v>
      </c>
      <c r="AN712" s="1038" t="e">
        <f>IF($F312="","",$F312*chronic_consumption!AI712/1000/$C$3)</f>
        <v>#DIV/0!</v>
      </c>
      <c r="AO712" s="1038" t="e">
        <f>IF($F312="","",$F312*chronic_consumption!AJ712/1000/$C$3)</f>
        <v>#DIV/0!</v>
      </c>
      <c r="AP712" s="1038" t="e">
        <f>IF($F312="","",$F312*chronic_consumption!AK712/1000/$C$3)</f>
        <v>#DIV/0!</v>
      </c>
      <c r="AQ712" s="1038" t="e">
        <f>IF($F312="","",$F312*chronic_consumption!AL712/1000/$C$3)</f>
        <v>#DIV/0!</v>
      </c>
      <c r="AR712" s="1038" t="e">
        <f>IF($F312="","",$F312*chronic_consumption!AM712/1000/$C$3)</f>
        <v>#DIV/0!</v>
      </c>
      <c r="AS712" s="1038" t="e">
        <f>IF($F312="","",$F312*chronic_consumption!AN712/1000/$C$3)</f>
        <v>#DIV/0!</v>
      </c>
      <c r="AT712" s="1038" t="e">
        <f>IF($F312="","",$F312*chronic_consumption!AO712/1000/$C$3)</f>
        <v>#DIV/0!</v>
      </c>
      <c r="AU712" s="1038" t="e">
        <f>IF($F312="","",$F312*chronic_consumption!AP712/1000/$C$3)</f>
        <v>#DIV/0!</v>
      </c>
      <c r="AV712" s="1038" t="e">
        <f>IF($F312="","",$F312*chronic_consumption!AQ712/1000/$C$3)</f>
        <v>#DIV/0!</v>
      </c>
      <c r="AW712" s="1038" t="e">
        <f>IF($F312="","",$F312*chronic_consumption!AR712/1000/$C$3)</f>
        <v>#DIV/0!</v>
      </c>
      <c r="AX712" s="1038" t="e">
        <f>IF($F312="","",$F312*chronic_consumption!AS712/1000/$C$3)</f>
        <v>#DIV/0!</v>
      </c>
      <c r="AY712" s="1038" t="e">
        <f>IF($F312="","",$F312*chronic_consumption!AT712/1000/$C$3)</f>
        <v>#DIV/0!</v>
      </c>
      <c r="AZ712" s="44" t="s">
        <v>20</v>
      </c>
      <c r="BC712" s="29"/>
      <c r="BD712" s="29"/>
    </row>
    <row r="713" spans="1:56" ht="12" hidden="1" customHeight="1" outlineLevel="3" x14ac:dyDescent="0.2">
      <c r="A713" s="21">
        <f>acute_overview_children!A313</f>
        <v>4</v>
      </c>
      <c r="B713" s="325">
        <f t="shared" si="51"/>
        <v>860010</v>
      </c>
      <c r="C713" s="325" t="str">
        <f t="shared" si="51"/>
        <v xml:space="preserve">Saffron </v>
      </c>
      <c r="D713" s="135"/>
      <c r="E713" s="1027"/>
      <c r="F713" s="87"/>
      <c r="G713" s="1027"/>
      <c r="H713" s="1029"/>
      <c r="I713" s="1030"/>
      <c r="J713" s="1039" t="e">
        <f>IF($F313="","",$F313*chronic_consumption!E713/1000/$C$3)</f>
        <v>#DIV/0!</v>
      </c>
      <c r="K713" s="1040" t="e">
        <f>IF($F313="","",$F313*chronic_consumption!F713/1000/$C$3)</f>
        <v>#DIV/0!</v>
      </c>
      <c r="L713" s="1040" t="e">
        <f>IF($F313="","",$F313*chronic_consumption!G713/1000/$C$3)</f>
        <v>#DIV/0!</v>
      </c>
      <c r="M713" s="1040" t="e">
        <f>IF($F313="","",$F313*chronic_consumption!H713/1000/$C$3)</f>
        <v>#DIV/0!</v>
      </c>
      <c r="N713" s="1040" t="e">
        <f>IF($F313="","",$F313*chronic_consumption!I713/1000/$C$3)</f>
        <v>#DIV/0!</v>
      </c>
      <c r="O713" s="1040" t="e">
        <f>IF($F313="","",$F313*chronic_consumption!J713/1000/$C$3)</f>
        <v>#DIV/0!</v>
      </c>
      <c r="P713" s="1040" t="e">
        <f>IF($F313="","",$F313*chronic_consumption!K713/1000/$C$3)</f>
        <v>#DIV/0!</v>
      </c>
      <c r="Q713" s="1040" t="e">
        <f>IF($F313="","",$F313*chronic_consumption!L713/1000/$C$3)</f>
        <v>#DIV/0!</v>
      </c>
      <c r="R713" s="1040" t="e">
        <f>IF($F313="","",$F313*chronic_consumption!M713/1000/$C$3)</f>
        <v>#DIV/0!</v>
      </c>
      <c r="S713" s="1040" t="e">
        <f>IF($F313="","",$F313*chronic_consumption!N713/1000/$C$3)</f>
        <v>#DIV/0!</v>
      </c>
      <c r="T713" s="1040" t="e">
        <f>IF($F313="","",$F313*chronic_consumption!O713/1000/$C$3)</f>
        <v>#DIV/0!</v>
      </c>
      <c r="U713" s="1040" t="e">
        <f>IF($F313="","",$F313*chronic_consumption!P713/1000/$C$3)</f>
        <v>#DIV/0!</v>
      </c>
      <c r="V713" s="1040" t="e">
        <f>IF($F313="","",$F313*chronic_consumption!Q713/1000/$C$3)</f>
        <v>#DIV/0!</v>
      </c>
      <c r="W713" s="1040" t="e">
        <f>IF($F313="","",$F313*chronic_consumption!R713/1000/$C$3)</f>
        <v>#DIV/0!</v>
      </c>
      <c r="X713" s="1040" t="e">
        <f>IF($F313="","",$F313*chronic_consumption!S713/1000/$C$3)</f>
        <v>#DIV/0!</v>
      </c>
      <c r="Y713" s="1040" t="e">
        <f>IF($F313="","",$F313*chronic_consumption!T713/1000/$C$3)</f>
        <v>#DIV/0!</v>
      </c>
      <c r="Z713" s="1040" t="e">
        <f>IF($F313="","",$F313*chronic_consumption!U713/1000/$C$3)</f>
        <v>#DIV/0!</v>
      </c>
      <c r="AA713" s="1040" t="e">
        <f>IF($F313="","",$F313*chronic_consumption!V713/1000/$C$3)</f>
        <v>#DIV/0!</v>
      </c>
      <c r="AB713" s="1040" t="e">
        <f>IF($F313="","",$F313*chronic_consumption!W713/1000/$C$3)</f>
        <v>#DIV/0!</v>
      </c>
      <c r="AC713" s="1040" t="e">
        <f>IF($F313="","",$F313*chronic_consumption!X713/1000/$C$3)</f>
        <v>#DIV/0!</v>
      </c>
      <c r="AD713" s="1040" t="e">
        <f>IF($F313="","",$F313*chronic_consumption!Y713/1000/$C$3)</f>
        <v>#DIV/0!</v>
      </c>
      <c r="AE713" s="1040" t="e">
        <f>IF($F313="","",$F313*chronic_consumption!Z713/1000/$C$3)</f>
        <v>#DIV/0!</v>
      </c>
      <c r="AF713" s="1040" t="e">
        <f>IF($F313="","",$F313*chronic_consumption!AA713/1000/$C$3)</f>
        <v>#DIV/0!</v>
      </c>
      <c r="AG713" s="1040" t="e">
        <f>IF($F313="","",$F313*chronic_consumption!AB713/1000/$C$3)</f>
        <v>#DIV/0!</v>
      </c>
      <c r="AH713" s="1040" t="e">
        <f>IF($F313="","",$F313*chronic_consumption!AC713/1000/$C$3)</f>
        <v>#DIV/0!</v>
      </c>
      <c r="AI713" s="1040" t="e">
        <f>IF($F313="","",$F313*chronic_consumption!AD713/1000/$C$3)</f>
        <v>#DIV/0!</v>
      </c>
      <c r="AJ713" s="1040" t="e">
        <f>IF($F313="","",$F313*chronic_consumption!AE713/1000/$C$3)</f>
        <v>#DIV/0!</v>
      </c>
      <c r="AK713" s="1040" t="e">
        <f>IF($F313="","",$F313*chronic_consumption!AF713/1000/$C$3)</f>
        <v>#DIV/0!</v>
      </c>
      <c r="AL713" s="1040" t="e">
        <f>IF($F313="","",$F313*chronic_consumption!AG713/1000/$C$3)</f>
        <v>#DIV/0!</v>
      </c>
      <c r="AM713" s="1040" t="e">
        <f>IF($F313="","",$F313*chronic_consumption!AH713/1000/$C$3)</f>
        <v>#DIV/0!</v>
      </c>
      <c r="AN713" s="1040" t="e">
        <f>IF($F313="","",$F313*chronic_consumption!AI713/1000/$C$3)</f>
        <v>#DIV/0!</v>
      </c>
      <c r="AO713" s="1040" t="e">
        <f>IF($F313="","",$F313*chronic_consumption!AJ713/1000/$C$3)</f>
        <v>#DIV/0!</v>
      </c>
      <c r="AP713" s="1040" t="e">
        <f>IF($F313="","",$F313*chronic_consumption!AK713/1000/$C$3)</f>
        <v>#DIV/0!</v>
      </c>
      <c r="AQ713" s="1040" t="e">
        <f>IF($F313="","",$F313*chronic_consumption!AL713/1000/$C$3)</f>
        <v>#DIV/0!</v>
      </c>
      <c r="AR713" s="1040" t="e">
        <f>IF($F313="","",$F313*chronic_consumption!AM713/1000/$C$3)</f>
        <v>#DIV/0!</v>
      </c>
      <c r="AS713" s="1040" t="e">
        <f>IF($F313="","",$F313*chronic_consumption!AN713/1000/$C$3)</f>
        <v>#DIV/0!</v>
      </c>
      <c r="AT713" s="1040" t="e">
        <f>IF($F313="","",$F313*chronic_consumption!AO713/1000/$C$3)</f>
        <v>#DIV/0!</v>
      </c>
      <c r="AU713" s="1040" t="e">
        <f>IF($F313="","",$F313*chronic_consumption!AP713/1000/$C$3)</f>
        <v>#DIV/0!</v>
      </c>
      <c r="AV713" s="1040" t="e">
        <f>IF($F313="","",$F313*chronic_consumption!AQ713/1000/$C$3)</f>
        <v>#DIV/0!</v>
      </c>
      <c r="AW713" s="1040" t="e">
        <f>IF($F313="","",$F313*chronic_consumption!AR713/1000/$C$3)</f>
        <v>#DIV/0!</v>
      </c>
      <c r="AX713" s="1040" t="e">
        <f>IF($F313="","",$F313*chronic_consumption!AS713/1000/$C$3)</f>
        <v>#DIV/0!</v>
      </c>
      <c r="AY713" s="1040" t="e">
        <f>IF($F313="","",$F313*chronic_consumption!AT713/1000/$C$3)</f>
        <v>#DIV/0!</v>
      </c>
      <c r="AZ713" s="44" t="s">
        <v>20</v>
      </c>
      <c r="BC713" s="29"/>
      <c r="BD713" s="29"/>
    </row>
    <row r="714" spans="1:56" ht="12" hidden="1" customHeight="1" outlineLevel="3" x14ac:dyDescent="0.2">
      <c r="A714" s="21">
        <f>acute_overview_children!A314</f>
        <v>4</v>
      </c>
      <c r="B714" s="325">
        <f t="shared" si="51"/>
        <v>860990</v>
      </c>
      <c r="C714" s="325" t="str">
        <f t="shared" si="51"/>
        <v>Other spices (flower stigma)</v>
      </c>
      <c r="D714" s="135"/>
      <c r="E714" s="1027"/>
      <c r="F714" s="87"/>
      <c r="G714" s="1027"/>
      <c r="H714" s="1029"/>
      <c r="I714" s="1030"/>
      <c r="J714" s="1039" t="e">
        <f>IF($F314="","",$F314*chronic_consumption!E714/1000/$C$3)</f>
        <v>#DIV/0!</v>
      </c>
      <c r="K714" s="1040" t="e">
        <f>IF($F314="","",$F314*chronic_consumption!F714/1000/$C$3)</f>
        <v>#DIV/0!</v>
      </c>
      <c r="L714" s="1040" t="e">
        <f>IF($F314="","",$F314*chronic_consumption!G714/1000/$C$3)</f>
        <v>#DIV/0!</v>
      </c>
      <c r="M714" s="1040" t="e">
        <f>IF($F314="","",$F314*chronic_consumption!H714/1000/$C$3)</f>
        <v>#DIV/0!</v>
      </c>
      <c r="N714" s="1040" t="e">
        <f>IF($F314="","",$F314*chronic_consumption!I714/1000/$C$3)</f>
        <v>#DIV/0!</v>
      </c>
      <c r="O714" s="1040" t="e">
        <f>IF($F314="","",$F314*chronic_consumption!J714/1000/$C$3)</f>
        <v>#DIV/0!</v>
      </c>
      <c r="P714" s="1040" t="e">
        <f>IF($F314="","",$F314*chronic_consumption!K714/1000/$C$3)</f>
        <v>#DIV/0!</v>
      </c>
      <c r="Q714" s="1040" t="e">
        <f>IF($F314="","",$F314*chronic_consumption!L714/1000/$C$3)</f>
        <v>#DIV/0!</v>
      </c>
      <c r="R714" s="1040" t="e">
        <f>IF($F314="","",$F314*chronic_consumption!M714/1000/$C$3)</f>
        <v>#DIV/0!</v>
      </c>
      <c r="S714" s="1040" t="e">
        <f>IF($F314="","",$F314*chronic_consumption!N714/1000/$C$3)</f>
        <v>#DIV/0!</v>
      </c>
      <c r="T714" s="1040" t="e">
        <f>IF($F314="","",$F314*chronic_consumption!O714/1000/$C$3)</f>
        <v>#DIV/0!</v>
      </c>
      <c r="U714" s="1040" t="e">
        <f>IF($F314="","",$F314*chronic_consumption!P714/1000/$C$3)</f>
        <v>#DIV/0!</v>
      </c>
      <c r="V714" s="1040" t="e">
        <f>IF($F314="","",$F314*chronic_consumption!Q714/1000/$C$3)</f>
        <v>#DIV/0!</v>
      </c>
      <c r="W714" s="1040" t="e">
        <f>IF($F314="","",$F314*chronic_consumption!R714/1000/$C$3)</f>
        <v>#DIV/0!</v>
      </c>
      <c r="X714" s="1040" t="e">
        <f>IF($F314="","",$F314*chronic_consumption!S714/1000/$C$3)</f>
        <v>#DIV/0!</v>
      </c>
      <c r="Y714" s="1040" t="e">
        <f>IF($F314="","",$F314*chronic_consumption!T714/1000/$C$3)</f>
        <v>#DIV/0!</v>
      </c>
      <c r="Z714" s="1040" t="e">
        <f>IF($F314="","",$F314*chronic_consumption!U714/1000/$C$3)</f>
        <v>#DIV/0!</v>
      </c>
      <c r="AA714" s="1040" t="e">
        <f>IF($F314="","",$F314*chronic_consumption!V714/1000/$C$3)</f>
        <v>#DIV/0!</v>
      </c>
      <c r="AB714" s="1040" t="e">
        <f>IF($F314="","",$F314*chronic_consumption!W714/1000/$C$3)</f>
        <v>#DIV/0!</v>
      </c>
      <c r="AC714" s="1040" t="e">
        <f>IF($F314="","",$F314*chronic_consumption!X714/1000/$C$3)</f>
        <v>#DIV/0!</v>
      </c>
      <c r="AD714" s="1040" t="e">
        <f>IF($F314="","",$F314*chronic_consumption!Y714/1000/$C$3)</f>
        <v>#DIV/0!</v>
      </c>
      <c r="AE714" s="1040" t="e">
        <f>IF($F314="","",$F314*chronic_consumption!Z714/1000/$C$3)</f>
        <v>#DIV/0!</v>
      </c>
      <c r="AF714" s="1040" t="e">
        <f>IF($F314="","",$F314*chronic_consumption!AA714/1000/$C$3)</f>
        <v>#DIV/0!</v>
      </c>
      <c r="AG714" s="1040" t="e">
        <f>IF($F314="","",$F314*chronic_consumption!AB714/1000/$C$3)</f>
        <v>#DIV/0!</v>
      </c>
      <c r="AH714" s="1040" t="e">
        <f>IF($F314="","",$F314*chronic_consumption!AC714/1000/$C$3)</f>
        <v>#DIV/0!</v>
      </c>
      <c r="AI714" s="1040" t="e">
        <f>IF($F314="","",$F314*chronic_consumption!AD714/1000/$C$3)</f>
        <v>#DIV/0!</v>
      </c>
      <c r="AJ714" s="1040" t="e">
        <f>IF($F314="","",$F314*chronic_consumption!AE714/1000/$C$3)</f>
        <v>#DIV/0!</v>
      </c>
      <c r="AK714" s="1040" t="e">
        <f>IF($F314="","",$F314*chronic_consumption!AF714/1000/$C$3)</f>
        <v>#DIV/0!</v>
      </c>
      <c r="AL714" s="1040" t="e">
        <f>IF($F314="","",$F314*chronic_consumption!AG714/1000/$C$3)</f>
        <v>#DIV/0!</v>
      </c>
      <c r="AM714" s="1040" t="e">
        <f>IF($F314="","",$F314*chronic_consumption!AH714/1000/$C$3)</f>
        <v>#DIV/0!</v>
      </c>
      <c r="AN714" s="1040" t="e">
        <f>IF($F314="","",$F314*chronic_consumption!AI714/1000/$C$3)</f>
        <v>#DIV/0!</v>
      </c>
      <c r="AO714" s="1040" t="e">
        <f>IF($F314="","",$F314*chronic_consumption!AJ714/1000/$C$3)</f>
        <v>#DIV/0!</v>
      </c>
      <c r="AP714" s="1040" t="e">
        <f>IF($F314="","",$F314*chronic_consumption!AK714/1000/$C$3)</f>
        <v>#DIV/0!</v>
      </c>
      <c r="AQ714" s="1040" t="e">
        <f>IF($F314="","",$F314*chronic_consumption!AL714/1000/$C$3)</f>
        <v>#DIV/0!</v>
      </c>
      <c r="AR714" s="1040" t="e">
        <f>IF($F314="","",$F314*chronic_consumption!AM714/1000/$C$3)</f>
        <v>#DIV/0!</v>
      </c>
      <c r="AS714" s="1040" t="e">
        <f>IF($F314="","",$F314*chronic_consumption!AN714/1000/$C$3)</f>
        <v>#DIV/0!</v>
      </c>
      <c r="AT714" s="1040" t="e">
        <f>IF($F314="","",$F314*chronic_consumption!AO714/1000/$C$3)</f>
        <v>#DIV/0!</v>
      </c>
      <c r="AU714" s="1040" t="e">
        <f>IF($F314="","",$F314*chronic_consumption!AP714/1000/$C$3)</f>
        <v>#DIV/0!</v>
      </c>
      <c r="AV714" s="1040" t="e">
        <f>IF($F314="","",$F314*chronic_consumption!AQ714/1000/$C$3)</f>
        <v>#DIV/0!</v>
      </c>
      <c r="AW714" s="1040" t="e">
        <f>IF($F314="","",$F314*chronic_consumption!AR714/1000/$C$3)</f>
        <v>#DIV/0!</v>
      </c>
      <c r="AX714" s="1040" t="e">
        <f>IF($F314="","",$F314*chronic_consumption!AS714/1000/$C$3)</f>
        <v>#DIV/0!</v>
      </c>
      <c r="AY714" s="1040" t="e">
        <f>IF($F314="","",$F314*chronic_consumption!AT714/1000/$C$3)</f>
        <v>#DIV/0!</v>
      </c>
      <c r="AZ714" s="44" t="s">
        <v>20</v>
      </c>
      <c r="BC714" s="29"/>
      <c r="BD714" s="29"/>
    </row>
    <row r="715" spans="1:56" ht="12" hidden="1" customHeight="1" outlineLevel="1" x14ac:dyDescent="0.2">
      <c r="A715" s="1033">
        <f>acute_overview_children!A315</f>
        <v>2</v>
      </c>
      <c r="B715" s="1034">
        <f t="shared" si="51"/>
        <v>870000</v>
      </c>
      <c r="C715" s="1034" t="str">
        <f t="shared" si="51"/>
        <v>Spices (aril)</v>
      </c>
      <c r="D715" s="1035"/>
      <c r="E715" s="1027"/>
      <c r="F715" s="87"/>
      <c r="G715" s="1027"/>
      <c r="H715" s="1029"/>
      <c r="I715" s="1030"/>
      <c r="J715" s="1037" t="e">
        <f>IF($F315="","",$F315*chronic_consumption!E715/1000/$C$3)</f>
        <v>#DIV/0!</v>
      </c>
      <c r="K715" s="1038" t="e">
        <f>IF($F315="","",$F315*chronic_consumption!F715/1000/$C$3)</f>
        <v>#DIV/0!</v>
      </c>
      <c r="L715" s="1038" t="e">
        <f>IF($F315="","",$F315*chronic_consumption!G715/1000/$C$3)</f>
        <v>#DIV/0!</v>
      </c>
      <c r="M715" s="1038" t="e">
        <f>IF($F315="","",$F315*chronic_consumption!H715/1000/$C$3)</f>
        <v>#DIV/0!</v>
      </c>
      <c r="N715" s="1038" t="e">
        <f>IF($F315="","",$F315*chronic_consumption!I715/1000/$C$3)</f>
        <v>#DIV/0!</v>
      </c>
      <c r="O715" s="1038" t="e">
        <f>IF($F315="","",$F315*chronic_consumption!J715/1000/$C$3)</f>
        <v>#DIV/0!</v>
      </c>
      <c r="P715" s="1038" t="e">
        <f>IF($F315="","",$F315*chronic_consumption!K715/1000/$C$3)</f>
        <v>#DIV/0!</v>
      </c>
      <c r="Q715" s="1038" t="e">
        <f>IF($F315="","",$F315*chronic_consumption!L715/1000/$C$3)</f>
        <v>#DIV/0!</v>
      </c>
      <c r="R715" s="1038" t="e">
        <f>IF($F315="","",$F315*chronic_consumption!M715/1000/$C$3)</f>
        <v>#DIV/0!</v>
      </c>
      <c r="S715" s="1038" t="e">
        <f>IF($F315="","",$F315*chronic_consumption!N715/1000/$C$3)</f>
        <v>#DIV/0!</v>
      </c>
      <c r="T715" s="1038" t="e">
        <f>IF($F315="","",$F315*chronic_consumption!O715/1000/$C$3)</f>
        <v>#DIV/0!</v>
      </c>
      <c r="U715" s="1038" t="e">
        <f>IF($F315="","",$F315*chronic_consumption!P715/1000/$C$3)</f>
        <v>#DIV/0!</v>
      </c>
      <c r="V715" s="1038" t="e">
        <f>IF($F315="","",$F315*chronic_consumption!Q715/1000/$C$3)</f>
        <v>#DIV/0!</v>
      </c>
      <c r="W715" s="1038" t="e">
        <f>IF($F315="","",$F315*chronic_consumption!R715/1000/$C$3)</f>
        <v>#DIV/0!</v>
      </c>
      <c r="X715" s="1038" t="e">
        <f>IF($F315="","",$F315*chronic_consumption!S715/1000/$C$3)</f>
        <v>#DIV/0!</v>
      </c>
      <c r="Y715" s="1038" t="e">
        <f>IF($F315="","",$F315*chronic_consumption!T715/1000/$C$3)</f>
        <v>#DIV/0!</v>
      </c>
      <c r="Z715" s="1038" t="e">
        <f>IF($F315="","",$F315*chronic_consumption!U715/1000/$C$3)</f>
        <v>#DIV/0!</v>
      </c>
      <c r="AA715" s="1038" t="e">
        <f>IF($F315="","",$F315*chronic_consumption!V715/1000/$C$3)</f>
        <v>#DIV/0!</v>
      </c>
      <c r="AB715" s="1038" t="e">
        <f>IF($F315="","",$F315*chronic_consumption!W715/1000/$C$3)</f>
        <v>#DIV/0!</v>
      </c>
      <c r="AC715" s="1038" t="e">
        <f>IF($F315="","",$F315*chronic_consumption!X715/1000/$C$3)</f>
        <v>#DIV/0!</v>
      </c>
      <c r="AD715" s="1038" t="e">
        <f>IF($F315="","",$F315*chronic_consumption!Y715/1000/$C$3)</f>
        <v>#DIV/0!</v>
      </c>
      <c r="AE715" s="1038" t="e">
        <f>IF($F315="","",$F315*chronic_consumption!Z715/1000/$C$3)</f>
        <v>#DIV/0!</v>
      </c>
      <c r="AF715" s="1038" t="e">
        <f>IF($F315="","",$F315*chronic_consumption!AA715/1000/$C$3)</f>
        <v>#DIV/0!</v>
      </c>
      <c r="AG715" s="1038" t="e">
        <f>IF($F315="","",$F315*chronic_consumption!AB715/1000/$C$3)</f>
        <v>#DIV/0!</v>
      </c>
      <c r="AH715" s="1038" t="e">
        <f>IF($F315="","",$F315*chronic_consumption!AC715/1000/$C$3)</f>
        <v>#DIV/0!</v>
      </c>
      <c r="AI715" s="1038" t="e">
        <f>IF($F315="","",$F315*chronic_consumption!AD715/1000/$C$3)</f>
        <v>#DIV/0!</v>
      </c>
      <c r="AJ715" s="1038" t="e">
        <f>IF($F315="","",$F315*chronic_consumption!AE715/1000/$C$3)</f>
        <v>#DIV/0!</v>
      </c>
      <c r="AK715" s="1038" t="e">
        <f>IF($F315="","",$F315*chronic_consumption!AF715/1000/$C$3)</f>
        <v>#DIV/0!</v>
      </c>
      <c r="AL715" s="1038" t="e">
        <f>IF($F315="","",$F315*chronic_consumption!AG715/1000/$C$3)</f>
        <v>#DIV/0!</v>
      </c>
      <c r="AM715" s="1038" t="e">
        <f>IF($F315="","",$F315*chronic_consumption!AH715/1000/$C$3)</f>
        <v>#DIV/0!</v>
      </c>
      <c r="AN715" s="1038" t="e">
        <f>IF($F315="","",$F315*chronic_consumption!AI715/1000/$C$3)</f>
        <v>#DIV/0!</v>
      </c>
      <c r="AO715" s="1038" t="e">
        <f>IF($F315="","",$F315*chronic_consumption!AJ715/1000/$C$3)</f>
        <v>#DIV/0!</v>
      </c>
      <c r="AP715" s="1038" t="e">
        <f>IF($F315="","",$F315*chronic_consumption!AK715/1000/$C$3)</f>
        <v>#DIV/0!</v>
      </c>
      <c r="AQ715" s="1038" t="e">
        <f>IF($F315="","",$F315*chronic_consumption!AL715/1000/$C$3)</f>
        <v>#DIV/0!</v>
      </c>
      <c r="AR715" s="1038" t="e">
        <f>IF($F315="","",$F315*chronic_consumption!AM715/1000/$C$3)</f>
        <v>#DIV/0!</v>
      </c>
      <c r="AS715" s="1038" t="e">
        <f>IF($F315="","",$F315*chronic_consumption!AN715/1000/$C$3)</f>
        <v>#DIV/0!</v>
      </c>
      <c r="AT715" s="1038" t="e">
        <f>IF($F315="","",$F315*chronic_consumption!AO715/1000/$C$3)</f>
        <v>#DIV/0!</v>
      </c>
      <c r="AU715" s="1038" t="e">
        <f>IF($F315="","",$F315*chronic_consumption!AP715/1000/$C$3)</f>
        <v>#DIV/0!</v>
      </c>
      <c r="AV715" s="1038" t="e">
        <f>IF($F315="","",$F315*chronic_consumption!AQ715/1000/$C$3)</f>
        <v>#DIV/0!</v>
      </c>
      <c r="AW715" s="1038" t="e">
        <f>IF($F315="","",$F315*chronic_consumption!AR715/1000/$C$3)</f>
        <v>#DIV/0!</v>
      </c>
      <c r="AX715" s="1038" t="e">
        <f>IF($F315="","",$F315*chronic_consumption!AS715/1000/$C$3)</f>
        <v>#DIV/0!</v>
      </c>
      <c r="AY715" s="1038" t="e">
        <f>IF($F315="","",$F315*chronic_consumption!AT715/1000/$C$3)</f>
        <v>#DIV/0!</v>
      </c>
      <c r="AZ715" s="44" t="s">
        <v>20</v>
      </c>
      <c r="BC715" s="29"/>
      <c r="BD715" s="29"/>
    </row>
    <row r="716" spans="1:56" ht="12" hidden="1" customHeight="1" outlineLevel="3" x14ac:dyDescent="0.2">
      <c r="A716" s="21">
        <f>acute_overview_children!A316</f>
        <v>4</v>
      </c>
      <c r="B716" s="325">
        <f t="shared" si="51"/>
        <v>870010</v>
      </c>
      <c r="C716" s="325" t="str">
        <f t="shared" si="51"/>
        <v>Mace</v>
      </c>
      <c r="D716" s="135"/>
      <c r="E716" s="1027"/>
      <c r="F716" s="87"/>
      <c r="G716" s="1027"/>
      <c r="H716" s="1029"/>
      <c r="I716" s="1030"/>
      <c r="J716" s="1039" t="e">
        <f>IF($F316="","",$F316*chronic_consumption!E716/1000/$C$3)</f>
        <v>#DIV/0!</v>
      </c>
      <c r="K716" s="1040" t="e">
        <f>IF($F316="","",$F316*chronic_consumption!F716/1000/$C$3)</f>
        <v>#DIV/0!</v>
      </c>
      <c r="L716" s="1040" t="e">
        <f>IF($F316="","",$F316*chronic_consumption!G716/1000/$C$3)</f>
        <v>#DIV/0!</v>
      </c>
      <c r="M716" s="1040" t="e">
        <f>IF($F316="","",$F316*chronic_consumption!H716/1000/$C$3)</f>
        <v>#DIV/0!</v>
      </c>
      <c r="N716" s="1040" t="e">
        <f>IF($F316="","",$F316*chronic_consumption!I716/1000/$C$3)</f>
        <v>#DIV/0!</v>
      </c>
      <c r="O716" s="1040" t="e">
        <f>IF($F316="","",$F316*chronic_consumption!J716/1000/$C$3)</f>
        <v>#DIV/0!</v>
      </c>
      <c r="P716" s="1040" t="e">
        <f>IF($F316="","",$F316*chronic_consumption!K716/1000/$C$3)</f>
        <v>#DIV/0!</v>
      </c>
      <c r="Q716" s="1040" t="e">
        <f>IF($F316="","",$F316*chronic_consumption!L716/1000/$C$3)</f>
        <v>#DIV/0!</v>
      </c>
      <c r="R716" s="1040" t="e">
        <f>IF($F316="","",$F316*chronic_consumption!M716/1000/$C$3)</f>
        <v>#DIV/0!</v>
      </c>
      <c r="S716" s="1040" t="e">
        <f>IF($F316="","",$F316*chronic_consumption!N716/1000/$C$3)</f>
        <v>#DIV/0!</v>
      </c>
      <c r="T716" s="1040" t="e">
        <f>IF($F316="","",$F316*chronic_consumption!O716/1000/$C$3)</f>
        <v>#DIV/0!</v>
      </c>
      <c r="U716" s="1040" t="e">
        <f>IF($F316="","",$F316*chronic_consumption!P716/1000/$C$3)</f>
        <v>#DIV/0!</v>
      </c>
      <c r="V716" s="1040" t="e">
        <f>IF($F316="","",$F316*chronic_consumption!Q716/1000/$C$3)</f>
        <v>#DIV/0!</v>
      </c>
      <c r="W716" s="1040" t="e">
        <f>IF($F316="","",$F316*chronic_consumption!R716/1000/$C$3)</f>
        <v>#DIV/0!</v>
      </c>
      <c r="X716" s="1040" t="e">
        <f>IF($F316="","",$F316*chronic_consumption!S716/1000/$C$3)</f>
        <v>#DIV/0!</v>
      </c>
      <c r="Y716" s="1040" t="e">
        <f>IF($F316="","",$F316*chronic_consumption!T716/1000/$C$3)</f>
        <v>#DIV/0!</v>
      </c>
      <c r="Z716" s="1040" t="e">
        <f>IF($F316="","",$F316*chronic_consumption!U716/1000/$C$3)</f>
        <v>#DIV/0!</v>
      </c>
      <c r="AA716" s="1040" t="e">
        <f>IF($F316="","",$F316*chronic_consumption!V716/1000/$C$3)</f>
        <v>#DIV/0!</v>
      </c>
      <c r="AB716" s="1040" t="e">
        <f>IF($F316="","",$F316*chronic_consumption!W716/1000/$C$3)</f>
        <v>#DIV/0!</v>
      </c>
      <c r="AC716" s="1040" t="e">
        <f>IF($F316="","",$F316*chronic_consumption!X716/1000/$C$3)</f>
        <v>#DIV/0!</v>
      </c>
      <c r="AD716" s="1040" t="e">
        <f>IF($F316="","",$F316*chronic_consumption!Y716/1000/$C$3)</f>
        <v>#DIV/0!</v>
      </c>
      <c r="AE716" s="1040" t="e">
        <f>IF($F316="","",$F316*chronic_consumption!Z716/1000/$C$3)</f>
        <v>#DIV/0!</v>
      </c>
      <c r="AF716" s="1040" t="e">
        <f>IF($F316="","",$F316*chronic_consumption!AA716/1000/$C$3)</f>
        <v>#DIV/0!</v>
      </c>
      <c r="AG716" s="1040" t="e">
        <f>IF($F316="","",$F316*chronic_consumption!AB716/1000/$C$3)</f>
        <v>#DIV/0!</v>
      </c>
      <c r="AH716" s="1040" t="e">
        <f>IF($F316="","",$F316*chronic_consumption!AC716/1000/$C$3)</f>
        <v>#DIV/0!</v>
      </c>
      <c r="AI716" s="1040" t="e">
        <f>IF($F316="","",$F316*chronic_consumption!AD716/1000/$C$3)</f>
        <v>#DIV/0!</v>
      </c>
      <c r="AJ716" s="1040" t="e">
        <f>IF($F316="","",$F316*chronic_consumption!AE716/1000/$C$3)</f>
        <v>#DIV/0!</v>
      </c>
      <c r="AK716" s="1040" t="e">
        <f>IF($F316="","",$F316*chronic_consumption!AF716/1000/$C$3)</f>
        <v>#DIV/0!</v>
      </c>
      <c r="AL716" s="1040" t="e">
        <f>IF($F316="","",$F316*chronic_consumption!AG716/1000/$C$3)</f>
        <v>#DIV/0!</v>
      </c>
      <c r="AM716" s="1040" t="e">
        <f>IF($F316="","",$F316*chronic_consumption!AH716/1000/$C$3)</f>
        <v>#DIV/0!</v>
      </c>
      <c r="AN716" s="1040" t="e">
        <f>IF($F316="","",$F316*chronic_consumption!AI716/1000/$C$3)</f>
        <v>#DIV/0!</v>
      </c>
      <c r="AO716" s="1040" t="e">
        <f>IF($F316="","",$F316*chronic_consumption!AJ716/1000/$C$3)</f>
        <v>#DIV/0!</v>
      </c>
      <c r="AP716" s="1040" t="e">
        <f>IF($F316="","",$F316*chronic_consumption!AK716/1000/$C$3)</f>
        <v>#DIV/0!</v>
      </c>
      <c r="AQ716" s="1040" t="e">
        <f>IF($F316="","",$F316*chronic_consumption!AL716/1000/$C$3)</f>
        <v>#DIV/0!</v>
      </c>
      <c r="AR716" s="1040" t="e">
        <f>IF($F316="","",$F316*chronic_consumption!AM716/1000/$C$3)</f>
        <v>#DIV/0!</v>
      </c>
      <c r="AS716" s="1040" t="e">
        <f>IF($F316="","",$F316*chronic_consumption!AN716/1000/$C$3)</f>
        <v>#DIV/0!</v>
      </c>
      <c r="AT716" s="1040" t="e">
        <f>IF($F316="","",$F316*chronic_consumption!AO716/1000/$C$3)</f>
        <v>#DIV/0!</v>
      </c>
      <c r="AU716" s="1040" t="e">
        <f>IF($F316="","",$F316*chronic_consumption!AP716/1000/$C$3)</f>
        <v>#DIV/0!</v>
      </c>
      <c r="AV716" s="1040" t="e">
        <f>IF($F316="","",$F316*chronic_consumption!AQ716/1000/$C$3)</f>
        <v>#DIV/0!</v>
      </c>
      <c r="AW716" s="1040" t="e">
        <f>IF($F316="","",$F316*chronic_consumption!AR716/1000/$C$3)</f>
        <v>#DIV/0!</v>
      </c>
      <c r="AX716" s="1040" t="e">
        <f>IF($F316="","",$F316*chronic_consumption!AS716/1000/$C$3)</f>
        <v>#DIV/0!</v>
      </c>
      <c r="AY716" s="1040" t="e">
        <f>IF($F316="","",$F316*chronic_consumption!AT716/1000/$C$3)</f>
        <v>#DIV/0!</v>
      </c>
      <c r="AZ716" s="44" t="s">
        <v>20</v>
      </c>
      <c r="BC716" s="29"/>
      <c r="BD716" s="29"/>
    </row>
    <row r="717" spans="1:56" ht="12" hidden="1" customHeight="1" outlineLevel="3" x14ac:dyDescent="0.2">
      <c r="A717" s="21">
        <f>acute_overview_children!A317</f>
        <v>4</v>
      </c>
      <c r="B717" s="325">
        <f t="shared" si="51"/>
        <v>870990</v>
      </c>
      <c r="C717" s="325" t="str">
        <f t="shared" si="51"/>
        <v>Other spices (aril)</v>
      </c>
      <c r="D717" s="135"/>
      <c r="E717" s="1027"/>
      <c r="F717" s="87"/>
      <c r="G717" s="1027"/>
      <c r="H717" s="1029"/>
      <c r="I717" s="1030"/>
      <c r="J717" s="1039" t="e">
        <f>IF($F317="","",$F317*chronic_consumption!E717/1000/$C$3)</f>
        <v>#DIV/0!</v>
      </c>
      <c r="K717" s="1040" t="e">
        <f>IF($F317="","",$F317*chronic_consumption!F717/1000/$C$3)</f>
        <v>#DIV/0!</v>
      </c>
      <c r="L717" s="1040" t="e">
        <f>IF($F317="","",$F317*chronic_consumption!G717/1000/$C$3)</f>
        <v>#DIV/0!</v>
      </c>
      <c r="M717" s="1040" t="e">
        <f>IF($F317="","",$F317*chronic_consumption!H717/1000/$C$3)</f>
        <v>#DIV/0!</v>
      </c>
      <c r="N717" s="1040" t="e">
        <f>IF($F317="","",$F317*chronic_consumption!I717/1000/$C$3)</f>
        <v>#DIV/0!</v>
      </c>
      <c r="O717" s="1040" t="e">
        <f>IF($F317="","",$F317*chronic_consumption!J717/1000/$C$3)</f>
        <v>#DIV/0!</v>
      </c>
      <c r="P717" s="1040" t="e">
        <f>IF($F317="","",$F317*chronic_consumption!K717/1000/$C$3)</f>
        <v>#DIV/0!</v>
      </c>
      <c r="Q717" s="1040" t="e">
        <f>IF($F317="","",$F317*chronic_consumption!L717/1000/$C$3)</f>
        <v>#DIV/0!</v>
      </c>
      <c r="R717" s="1040" t="e">
        <f>IF($F317="","",$F317*chronic_consumption!M717/1000/$C$3)</f>
        <v>#DIV/0!</v>
      </c>
      <c r="S717" s="1040" t="e">
        <f>IF($F317="","",$F317*chronic_consumption!N717/1000/$C$3)</f>
        <v>#DIV/0!</v>
      </c>
      <c r="T717" s="1040" t="e">
        <f>IF($F317="","",$F317*chronic_consumption!O717/1000/$C$3)</f>
        <v>#DIV/0!</v>
      </c>
      <c r="U717" s="1040" t="e">
        <f>IF($F317="","",$F317*chronic_consumption!P717/1000/$C$3)</f>
        <v>#DIV/0!</v>
      </c>
      <c r="V717" s="1040" t="e">
        <f>IF($F317="","",$F317*chronic_consumption!Q717/1000/$C$3)</f>
        <v>#DIV/0!</v>
      </c>
      <c r="W717" s="1040" t="e">
        <f>IF($F317="","",$F317*chronic_consumption!R717/1000/$C$3)</f>
        <v>#DIV/0!</v>
      </c>
      <c r="X717" s="1040" t="e">
        <f>IF($F317="","",$F317*chronic_consumption!S717/1000/$C$3)</f>
        <v>#DIV/0!</v>
      </c>
      <c r="Y717" s="1040" t="e">
        <f>IF($F317="","",$F317*chronic_consumption!T717/1000/$C$3)</f>
        <v>#DIV/0!</v>
      </c>
      <c r="Z717" s="1040" t="e">
        <f>IF($F317="","",$F317*chronic_consumption!U717/1000/$C$3)</f>
        <v>#DIV/0!</v>
      </c>
      <c r="AA717" s="1040" t="e">
        <f>IF($F317="","",$F317*chronic_consumption!V717/1000/$C$3)</f>
        <v>#DIV/0!</v>
      </c>
      <c r="AB717" s="1040" t="e">
        <f>IF($F317="","",$F317*chronic_consumption!W717/1000/$C$3)</f>
        <v>#DIV/0!</v>
      </c>
      <c r="AC717" s="1040" t="e">
        <f>IF($F317="","",$F317*chronic_consumption!X717/1000/$C$3)</f>
        <v>#DIV/0!</v>
      </c>
      <c r="AD717" s="1040" t="e">
        <f>IF($F317="","",$F317*chronic_consumption!Y717/1000/$C$3)</f>
        <v>#DIV/0!</v>
      </c>
      <c r="AE717" s="1040" t="e">
        <f>IF($F317="","",$F317*chronic_consumption!Z717/1000/$C$3)</f>
        <v>#DIV/0!</v>
      </c>
      <c r="AF717" s="1040" t="e">
        <f>IF($F317="","",$F317*chronic_consumption!AA717/1000/$C$3)</f>
        <v>#DIV/0!</v>
      </c>
      <c r="AG717" s="1040" t="e">
        <f>IF($F317="","",$F317*chronic_consumption!AB717/1000/$C$3)</f>
        <v>#DIV/0!</v>
      </c>
      <c r="AH717" s="1040" t="e">
        <f>IF($F317="","",$F317*chronic_consumption!AC717/1000/$C$3)</f>
        <v>#DIV/0!</v>
      </c>
      <c r="AI717" s="1040" t="e">
        <f>IF($F317="","",$F317*chronic_consumption!AD717/1000/$C$3)</f>
        <v>#DIV/0!</v>
      </c>
      <c r="AJ717" s="1040" t="e">
        <f>IF($F317="","",$F317*chronic_consumption!AE717/1000/$C$3)</f>
        <v>#DIV/0!</v>
      </c>
      <c r="AK717" s="1040" t="e">
        <f>IF($F317="","",$F317*chronic_consumption!AF717/1000/$C$3)</f>
        <v>#DIV/0!</v>
      </c>
      <c r="AL717" s="1040" t="e">
        <f>IF($F317="","",$F317*chronic_consumption!AG717/1000/$C$3)</f>
        <v>#DIV/0!</v>
      </c>
      <c r="AM717" s="1040" t="e">
        <f>IF($F317="","",$F317*chronic_consumption!AH717/1000/$C$3)</f>
        <v>#DIV/0!</v>
      </c>
      <c r="AN717" s="1040" t="e">
        <f>IF($F317="","",$F317*chronic_consumption!AI717/1000/$C$3)</f>
        <v>#DIV/0!</v>
      </c>
      <c r="AO717" s="1040" t="e">
        <f>IF($F317="","",$F317*chronic_consumption!AJ717/1000/$C$3)</f>
        <v>#DIV/0!</v>
      </c>
      <c r="AP717" s="1040" t="e">
        <f>IF($F317="","",$F317*chronic_consumption!AK717/1000/$C$3)</f>
        <v>#DIV/0!</v>
      </c>
      <c r="AQ717" s="1040" t="e">
        <f>IF($F317="","",$F317*chronic_consumption!AL717/1000/$C$3)</f>
        <v>#DIV/0!</v>
      </c>
      <c r="AR717" s="1040" t="e">
        <f>IF($F317="","",$F317*chronic_consumption!AM717/1000/$C$3)</f>
        <v>#DIV/0!</v>
      </c>
      <c r="AS717" s="1040" t="e">
        <f>IF($F317="","",$F317*chronic_consumption!AN717/1000/$C$3)</f>
        <v>#DIV/0!</v>
      </c>
      <c r="AT717" s="1040" t="e">
        <f>IF($F317="","",$F317*chronic_consumption!AO717/1000/$C$3)</f>
        <v>#DIV/0!</v>
      </c>
      <c r="AU717" s="1040" t="e">
        <f>IF($F317="","",$F317*chronic_consumption!AP717/1000/$C$3)</f>
        <v>#DIV/0!</v>
      </c>
      <c r="AV717" s="1040" t="e">
        <f>IF($F317="","",$F317*chronic_consumption!AQ717/1000/$C$3)</f>
        <v>#DIV/0!</v>
      </c>
      <c r="AW717" s="1040" t="e">
        <f>IF($F317="","",$F317*chronic_consumption!AR717/1000/$C$3)</f>
        <v>#DIV/0!</v>
      </c>
      <c r="AX717" s="1040" t="e">
        <f>IF($F317="","",$F317*chronic_consumption!AS717/1000/$C$3)</f>
        <v>#DIV/0!</v>
      </c>
      <c r="AY717" s="1040" t="e">
        <f>IF($F317="","",$F317*chronic_consumption!AT717/1000/$C$3)</f>
        <v>#DIV/0!</v>
      </c>
      <c r="AZ717" s="44" t="s">
        <v>20</v>
      </c>
      <c r="BC717" s="29"/>
      <c r="BD717" s="29"/>
    </row>
    <row r="718" spans="1:56" ht="12" customHeight="1" collapsed="1" x14ac:dyDescent="0.2">
      <c r="A718" s="1">
        <f>acute_overview_children!A318</f>
        <v>1</v>
      </c>
      <c r="B718" s="1026">
        <f t="shared" si="51"/>
        <v>900000</v>
      </c>
      <c r="C718" s="1026" t="str">
        <f t="shared" si="51"/>
        <v>SUGAR PLANTS</v>
      </c>
      <c r="D718" s="135"/>
      <c r="E718" s="1027"/>
      <c r="F718" s="87"/>
      <c r="G718" s="1027"/>
      <c r="H718" s="1029"/>
      <c r="I718" s="1030"/>
      <c r="J718" s="1031" t="e">
        <f>IF($F318="","",$F318*chronic_consumption!E718/1000/$C$3)</f>
        <v>#DIV/0!</v>
      </c>
      <c r="K718" s="1032" t="e">
        <f>IF($F318="","",$F318*chronic_consumption!F718/1000/$C$3)</f>
        <v>#DIV/0!</v>
      </c>
      <c r="L718" s="1032" t="e">
        <f>IF($F318="","",$F318*chronic_consumption!G718/1000/$C$3)</f>
        <v>#DIV/0!</v>
      </c>
      <c r="M718" s="1032" t="e">
        <f>IF($F318="","",$F318*chronic_consumption!H718/1000/$C$3)</f>
        <v>#DIV/0!</v>
      </c>
      <c r="N718" s="1032" t="e">
        <f>IF($F318="","",$F318*chronic_consumption!I718/1000/$C$3)</f>
        <v>#DIV/0!</v>
      </c>
      <c r="O718" s="1032" t="e">
        <f>IF($F318="","",$F318*chronic_consumption!J718/1000/$C$3)</f>
        <v>#DIV/0!</v>
      </c>
      <c r="P718" s="1032" t="e">
        <f>IF($F318="","",$F318*chronic_consumption!K718/1000/$C$3)</f>
        <v>#DIV/0!</v>
      </c>
      <c r="Q718" s="1032" t="e">
        <f>IF($F318="","",$F318*chronic_consumption!L718/1000/$C$3)</f>
        <v>#DIV/0!</v>
      </c>
      <c r="R718" s="1032" t="e">
        <f>IF($F318="","",$F318*chronic_consumption!M718/1000/$C$3)</f>
        <v>#DIV/0!</v>
      </c>
      <c r="S718" s="1032" t="e">
        <f>IF($F318="","",$F318*chronic_consumption!N718/1000/$C$3)</f>
        <v>#DIV/0!</v>
      </c>
      <c r="T718" s="1032" t="e">
        <f>IF($F318="","",$F318*chronic_consumption!O718/1000/$C$3)</f>
        <v>#DIV/0!</v>
      </c>
      <c r="U718" s="1032" t="e">
        <f>IF($F318="","",$F318*chronic_consumption!P718/1000/$C$3)</f>
        <v>#DIV/0!</v>
      </c>
      <c r="V718" s="1032" t="e">
        <f>IF($F318="","",$F318*chronic_consumption!Q718/1000/$C$3)</f>
        <v>#DIV/0!</v>
      </c>
      <c r="W718" s="1032" t="e">
        <f>IF($F318="","",$F318*chronic_consumption!R718/1000/$C$3)</f>
        <v>#DIV/0!</v>
      </c>
      <c r="X718" s="1032" t="e">
        <f>IF($F318="","",$F318*chronic_consumption!S718/1000/$C$3)</f>
        <v>#DIV/0!</v>
      </c>
      <c r="Y718" s="1032" t="e">
        <f>IF($F318="","",$F318*chronic_consumption!T718/1000/$C$3)</f>
        <v>#DIV/0!</v>
      </c>
      <c r="Z718" s="1032" t="e">
        <f>IF($F318="","",$F318*chronic_consumption!U718/1000/$C$3)</f>
        <v>#DIV/0!</v>
      </c>
      <c r="AA718" s="1032" t="e">
        <f>IF($F318="","",$F318*chronic_consumption!V718/1000/$C$3)</f>
        <v>#DIV/0!</v>
      </c>
      <c r="AB718" s="1032" t="e">
        <f>IF($F318="","",$F318*chronic_consumption!W718/1000/$C$3)</f>
        <v>#DIV/0!</v>
      </c>
      <c r="AC718" s="1032" t="e">
        <f>IF($F318="","",$F318*chronic_consumption!X718/1000/$C$3)</f>
        <v>#DIV/0!</v>
      </c>
      <c r="AD718" s="1032" t="e">
        <f>IF($F318="","",$F318*chronic_consumption!Y718/1000/$C$3)</f>
        <v>#DIV/0!</v>
      </c>
      <c r="AE718" s="1032" t="e">
        <f>IF($F318="","",$F318*chronic_consumption!Z718/1000/$C$3)</f>
        <v>#DIV/0!</v>
      </c>
      <c r="AF718" s="1032" t="e">
        <f>IF($F318="","",$F318*chronic_consumption!AA718/1000/$C$3)</f>
        <v>#DIV/0!</v>
      </c>
      <c r="AG718" s="1032" t="e">
        <f>IF($F318="","",$F318*chronic_consumption!AB718/1000/$C$3)</f>
        <v>#DIV/0!</v>
      </c>
      <c r="AH718" s="1032" t="e">
        <f>IF($F318="","",$F318*chronic_consumption!AC718/1000/$C$3)</f>
        <v>#DIV/0!</v>
      </c>
      <c r="AI718" s="1032" t="e">
        <f>IF($F318="","",$F318*chronic_consumption!AD718/1000/$C$3)</f>
        <v>#DIV/0!</v>
      </c>
      <c r="AJ718" s="1032" t="e">
        <f>IF($F318="","",$F318*chronic_consumption!AE718/1000/$C$3)</f>
        <v>#DIV/0!</v>
      </c>
      <c r="AK718" s="1032" t="e">
        <f>IF($F318="","",$F318*chronic_consumption!AF718/1000/$C$3)</f>
        <v>#DIV/0!</v>
      </c>
      <c r="AL718" s="1032" t="e">
        <f>IF($F318="","",$F318*chronic_consumption!AG718/1000/$C$3)</f>
        <v>#DIV/0!</v>
      </c>
      <c r="AM718" s="1032" t="e">
        <f>IF($F318="","",$F318*chronic_consumption!AH718/1000/$C$3)</f>
        <v>#DIV/0!</v>
      </c>
      <c r="AN718" s="1032" t="e">
        <f>IF($F318="","",$F318*chronic_consumption!AI718/1000/$C$3)</f>
        <v>#DIV/0!</v>
      </c>
      <c r="AO718" s="1032" t="e">
        <f>IF($F318="","",$F318*chronic_consumption!AJ718/1000/$C$3)</f>
        <v>#DIV/0!</v>
      </c>
      <c r="AP718" s="1032" t="e">
        <f>IF($F318="","",$F318*chronic_consumption!AK718/1000/$C$3)</f>
        <v>#DIV/0!</v>
      </c>
      <c r="AQ718" s="1032" t="e">
        <f>IF($F318="","",$F318*chronic_consumption!AL718/1000/$C$3)</f>
        <v>#DIV/0!</v>
      </c>
      <c r="AR718" s="1032" t="e">
        <f>IF($F318="","",$F318*chronic_consumption!AM718/1000/$C$3)</f>
        <v>#DIV/0!</v>
      </c>
      <c r="AS718" s="1032" t="e">
        <f>IF($F318="","",$F318*chronic_consumption!AN718/1000/$C$3)</f>
        <v>#DIV/0!</v>
      </c>
      <c r="AT718" s="1032" t="e">
        <f>IF($F318="","",$F318*chronic_consumption!AO718/1000/$C$3)</f>
        <v>#DIV/0!</v>
      </c>
      <c r="AU718" s="1032" t="e">
        <f>IF($F318="","",$F318*chronic_consumption!AP718/1000/$C$3)</f>
        <v>#DIV/0!</v>
      </c>
      <c r="AV718" s="1032" t="e">
        <f>IF($F318="","",$F318*chronic_consumption!AQ718/1000/$C$3)</f>
        <v>#DIV/0!</v>
      </c>
      <c r="AW718" s="1032" t="e">
        <f>IF($F318="","",$F318*chronic_consumption!AR718/1000/$C$3)</f>
        <v>#DIV/0!</v>
      </c>
      <c r="AX718" s="1032" t="e">
        <f>IF($F318="","",$F318*chronic_consumption!AS718/1000/$C$3)</f>
        <v>#DIV/0!</v>
      </c>
      <c r="AY718" s="1032" t="e">
        <f>IF($F318="","",$F318*chronic_consumption!AT718/1000/$C$3)</f>
        <v>#DIV/0!</v>
      </c>
      <c r="AZ718" s="44" t="s">
        <v>20</v>
      </c>
      <c r="BC718" s="29"/>
      <c r="BD718" s="29"/>
    </row>
    <row r="719" spans="1:56" ht="12" hidden="1" customHeight="1" outlineLevel="3" x14ac:dyDescent="0.2">
      <c r="A719" s="21">
        <f>acute_overview_children!A319</f>
        <v>4</v>
      </c>
      <c r="B719" s="325">
        <f t="shared" si="51"/>
        <v>900010</v>
      </c>
      <c r="C719" s="325" t="str">
        <f t="shared" si="51"/>
        <v>Sugar beet roots</v>
      </c>
      <c r="D719" s="135"/>
      <c r="E719" s="1027"/>
      <c r="F719" s="87"/>
      <c r="G719" s="1027"/>
      <c r="H719" s="1029"/>
      <c r="I719" s="1030"/>
      <c r="J719" s="1039" t="e">
        <f>IF($F319="","",$F319*chronic_consumption!E719/1000/$C$3)</f>
        <v>#DIV/0!</v>
      </c>
      <c r="K719" s="1040" t="e">
        <f>IF($F319="","",$F319*chronic_consumption!F719/1000/$C$3)</f>
        <v>#DIV/0!</v>
      </c>
      <c r="L719" s="1040" t="e">
        <f>IF($F319="","",$F319*chronic_consumption!G719/1000/$C$3)</f>
        <v>#DIV/0!</v>
      </c>
      <c r="M719" s="1040" t="e">
        <f>IF($F319="","",$F319*chronic_consumption!H719/1000/$C$3)</f>
        <v>#DIV/0!</v>
      </c>
      <c r="N719" s="1040" t="e">
        <f>IF($F319="","",$F319*chronic_consumption!I719/1000/$C$3)</f>
        <v>#DIV/0!</v>
      </c>
      <c r="O719" s="1040" t="e">
        <f>IF($F319="","",$F319*chronic_consumption!J719/1000/$C$3)</f>
        <v>#DIV/0!</v>
      </c>
      <c r="P719" s="1040" t="e">
        <f>IF($F319="","",$F319*chronic_consumption!K719/1000/$C$3)</f>
        <v>#DIV/0!</v>
      </c>
      <c r="Q719" s="1040" t="e">
        <f>IF($F319="","",$F319*chronic_consumption!L719/1000/$C$3)</f>
        <v>#DIV/0!</v>
      </c>
      <c r="R719" s="1040" t="e">
        <f>IF($F319="","",$F319*chronic_consumption!M719/1000/$C$3)</f>
        <v>#DIV/0!</v>
      </c>
      <c r="S719" s="1040" t="e">
        <f>IF($F319="","",$F319*chronic_consumption!N719/1000/$C$3)</f>
        <v>#DIV/0!</v>
      </c>
      <c r="T719" s="1040" t="e">
        <f>IF($F319="","",$F319*chronic_consumption!O719/1000/$C$3)</f>
        <v>#DIV/0!</v>
      </c>
      <c r="U719" s="1040" t="e">
        <f>IF($F319="","",$F319*chronic_consumption!P719/1000/$C$3)</f>
        <v>#DIV/0!</v>
      </c>
      <c r="V719" s="1040" t="e">
        <f>IF($F319="","",$F319*chronic_consumption!Q719/1000/$C$3)</f>
        <v>#DIV/0!</v>
      </c>
      <c r="W719" s="1040" t="e">
        <f>IF($F319="","",$F319*chronic_consumption!R719/1000/$C$3)</f>
        <v>#DIV/0!</v>
      </c>
      <c r="X719" s="1040" t="e">
        <f>IF($F319="","",$F319*chronic_consumption!S719/1000/$C$3)</f>
        <v>#DIV/0!</v>
      </c>
      <c r="Y719" s="1040" t="e">
        <f>IF($F319="","",$F319*chronic_consumption!T719/1000/$C$3)</f>
        <v>#DIV/0!</v>
      </c>
      <c r="Z719" s="1040" t="e">
        <f>IF($F319="","",$F319*chronic_consumption!U719/1000/$C$3)</f>
        <v>#DIV/0!</v>
      </c>
      <c r="AA719" s="1040" t="e">
        <f>IF($F319="","",$F319*chronic_consumption!V719/1000/$C$3)</f>
        <v>#DIV/0!</v>
      </c>
      <c r="AB719" s="1040" t="e">
        <f>IF($F319="","",$F319*chronic_consumption!W719/1000/$C$3)</f>
        <v>#DIV/0!</v>
      </c>
      <c r="AC719" s="1040" t="e">
        <f>IF($F319="","",$F319*chronic_consumption!X719/1000/$C$3)</f>
        <v>#DIV/0!</v>
      </c>
      <c r="AD719" s="1040" t="e">
        <f>IF($F319="","",$F319*chronic_consumption!Y719/1000/$C$3)</f>
        <v>#DIV/0!</v>
      </c>
      <c r="AE719" s="1040" t="e">
        <f>IF($F319="","",$F319*chronic_consumption!Z719/1000/$C$3)</f>
        <v>#DIV/0!</v>
      </c>
      <c r="AF719" s="1040" t="e">
        <f>IF($F319="","",$F319*chronic_consumption!AA719/1000/$C$3)</f>
        <v>#DIV/0!</v>
      </c>
      <c r="AG719" s="1040" t="e">
        <f>IF($F319="","",$F319*chronic_consumption!AB719/1000/$C$3)</f>
        <v>#DIV/0!</v>
      </c>
      <c r="AH719" s="1040" t="e">
        <f>IF($F319="","",$F319*chronic_consumption!AC719/1000/$C$3)</f>
        <v>#DIV/0!</v>
      </c>
      <c r="AI719" s="1040" t="e">
        <f>IF($F319="","",$F319*chronic_consumption!AD719/1000/$C$3)</f>
        <v>#DIV/0!</v>
      </c>
      <c r="AJ719" s="1040" t="e">
        <f>IF($F319="","",$F319*chronic_consumption!AE719/1000/$C$3)</f>
        <v>#DIV/0!</v>
      </c>
      <c r="AK719" s="1040" t="e">
        <f>IF($F319="","",$F319*chronic_consumption!AF719/1000/$C$3)</f>
        <v>#DIV/0!</v>
      </c>
      <c r="AL719" s="1040" t="e">
        <f>IF($F319="","",$F319*chronic_consumption!AG719/1000/$C$3)</f>
        <v>#DIV/0!</v>
      </c>
      <c r="AM719" s="1040" t="e">
        <f>IF($F319="","",$F319*chronic_consumption!AH719/1000/$C$3)</f>
        <v>#DIV/0!</v>
      </c>
      <c r="AN719" s="1040" t="e">
        <f>IF($F319="","",$F319*chronic_consumption!AI719/1000/$C$3)</f>
        <v>#DIV/0!</v>
      </c>
      <c r="AO719" s="1040" t="e">
        <f>IF($F319="","",$F319*chronic_consumption!AJ719/1000/$C$3)</f>
        <v>#DIV/0!</v>
      </c>
      <c r="AP719" s="1040" t="e">
        <f>IF($F319="","",$F319*chronic_consumption!AK719/1000/$C$3)</f>
        <v>#DIV/0!</v>
      </c>
      <c r="AQ719" s="1040" t="e">
        <f>IF($F319="","",$F319*chronic_consumption!AL719/1000/$C$3)</f>
        <v>#DIV/0!</v>
      </c>
      <c r="AR719" s="1040" t="e">
        <f>IF($F319="","",$F319*chronic_consumption!AM719/1000/$C$3)</f>
        <v>#DIV/0!</v>
      </c>
      <c r="AS719" s="1040" t="e">
        <f>IF($F319="","",$F319*chronic_consumption!AN719/1000/$C$3)</f>
        <v>#DIV/0!</v>
      </c>
      <c r="AT719" s="1040" t="e">
        <f>IF($F319="","",$F319*chronic_consumption!AO719/1000/$C$3)</f>
        <v>#DIV/0!</v>
      </c>
      <c r="AU719" s="1040" t="e">
        <f>IF($F319="","",$F319*chronic_consumption!AP719/1000/$C$3)</f>
        <v>#DIV/0!</v>
      </c>
      <c r="AV719" s="1040" t="e">
        <f>IF($F319="","",$F319*chronic_consumption!AQ719/1000/$C$3)</f>
        <v>#DIV/0!</v>
      </c>
      <c r="AW719" s="1040" t="e">
        <f>IF($F319="","",$F319*chronic_consumption!AR719/1000/$C$3)</f>
        <v>#DIV/0!</v>
      </c>
      <c r="AX719" s="1040" t="e">
        <f>IF($F319="","",$F319*chronic_consumption!AS719/1000/$C$3)</f>
        <v>#DIV/0!</v>
      </c>
      <c r="AY719" s="1040" t="e">
        <f>IF($F319="","",$F319*chronic_consumption!AT719/1000/$C$3)</f>
        <v>#DIV/0!</v>
      </c>
      <c r="AZ719" s="44" t="s">
        <v>20</v>
      </c>
      <c r="BC719" s="29"/>
      <c r="BD719" s="29"/>
    </row>
    <row r="720" spans="1:56" ht="12" hidden="1" customHeight="1" outlineLevel="3" x14ac:dyDescent="0.2">
      <c r="A720" s="21">
        <f>acute_overview_children!A320</f>
        <v>4</v>
      </c>
      <c r="B720" s="325">
        <f t="shared" si="51"/>
        <v>900020</v>
      </c>
      <c r="C720" s="325" t="str">
        <f t="shared" si="51"/>
        <v>Sugar canes</v>
      </c>
      <c r="D720" s="135"/>
      <c r="E720" s="1027"/>
      <c r="F720" s="87"/>
      <c r="G720" s="1027"/>
      <c r="H720" s="1029"/>
      <c r="I720" s="1030"/>
      <c r="J720" s="1039" t="e">
        <f>IF($F320="","",$F320*chronic_consumption!E720/1000/$C$3)</f>
        <v>#DIV/0!</v>
      </c>
      <c r="K720" s="1040" t="e">
        <f>IF($F320="","",$F320*chronic_consumption!F720/1000/$C$3)</f>
        <v>#DIV/0!</v>
      </c>
      <c r="L720" s="1040" t="e">
        <f>IF($F320="","",$F320*chronic_consumption!G720/1000/$C$3)</f>
        <v>#DIV/0!</v>
      </c>
      <c r="M720" s="1040" t="e">
        <f>IF($F320="","",$F320*chronic_consumption!H720/1000/$C$3)</f>
        <v>#DIV/0!</v>
      </c>
      <c r="N720" s="1040" t="e">
        <f>IF($F320="","",$F320*chronic_consumption!I720/1000/$C$3)</f>
        <v>#DIV/0!</v>
      </c>
      <c r="O720" s="1040" t="e">
        <f>IF($F320="","",$F320*chronic_consumption!J720/1000/$C$3)</f>
        <v>#DIV/0!</v>
      </c>
      <c r="P720" s="1040" t="e">
        <f>IF($F320="","",$F320*chronic_consumption!K720/1000/$C$3)</f>
        <v>#DIV/0!</v>
      </c>
      <c r="Q720" s="1040" t="e">
        <f>IF($F320="","",$F320*chronic_consumption!L720/1000/$C$3)</f>
        <v>#DIV/0!</v>
      </c>
      <c r="R720" s="1040" t="e">
        <f>IF($F320="","",$F320*chronic_consumption!M720/1000/$C$3)</f>
        <v>#DIV/0!</v>
      </c>
      <c r="S720" s="1040" t="e">
        <f>IF($F320="","",$F320*chronic_consumption!N720/1000/$C$3)</f>
        <v>#DIV/0!</v>
      </c>
      <c r="T720" s="1040" t="e">
        <f>IF($F320="","",$F320*chronic_consumption!O720/1000/$C$3)</f>
        <v>#DIV/0!</v>
      </c>
      <c r="U720" s="1040" t="e">
        <f>IF($F320="","",$F320*chronic_consumption!P720/1000/$C$3)</f>
        <v>#DIV/0!</v>
      </c>
      <c r="V720" s="1040" t="e">
        <f>IF($F320="","",$F320*chronic_consumption!Q720/1000/$C$3)</f>
        <v>#DIV/0!</v>
      </c>
      <c r="W720" s="1040" t="e">
        <f>IF($F320="","",$F320*chronic_consumption!R720/1000/$C$3)</f>
        <v>#DIV/0!</v>
      </c>
      <c r="X720" s="1040" t="e">
        <f>IF($F320="","",$F320*chronic_consumption!S720/1000/$C$3)</f>
        <v>#DIV/0!</v>
      </c>
      <c r="Y720" s="1040" t="e">
        <f>IF($F320="","",$F320*chronic_consumption!T720/1000/$C$3)</f>
        <v>#DIV/0!</v>
      </c>
      <c r="Z720" s="1040" t="e">
        <f>IF($F320="","",$F320*chronic_consumption!U720/1000/$C$3)</f>
        <v>#DIV/0!</v>
      </c>
      <c r="AA720" s="1040" t="e">
        <f>IF($F320="","",$F320*chronic_consumption!V720/1000/$C$3)</f>
        <v>#DIV/0!</v>
      </c>
      <c r="AB720" s="1040" t="e">
        <f>IF($F320="","",$F320*chronic_consumption!W720/1000/$C$3)</f>
        <v>#DIV/0!</v>
      </c>
      <c r="AC720" s="1040" t="e">
        <f>IF($F320="","",$F320*chronic_consumption!X720/1000/$C$3)</f>
        <v>#DIV/0!</v>
      </c>
      <c r="AD720" s="1040" t="e">
        <f>IF($F320="","",$F320*chronic_consumption!Y720/1000/$C$3)</f>
        <v>#DIV/0!</v>
      </c>
      <c r="AE720" s="1040" t="e">
        <f>IF($F320="","",$F320*chronic_consumption!Z720/1000/$C$3)</f>
        <v>#DIV/0!</v>
      </c>
      <c r="AF720" s="1040" t="e">
        <f>IF($F320="","",$F320*chronic_consumption!AA720/1000/$C$3)</f>
        <v>#DIV/0!</v>
      </c>
      <c r="AG720" s="1040" t="e">
        <f>IF($F320="","",$F320*chronic_consumption!AB720/1000/$C$3)</f>
        <v>#DIV/0!</v>
      </c>
      <c r="AH720" s="1040" t="e">
        <f>IF($F320="","",$F320*chronic_consumption!AC720/1000/$C$3)</f>
        <v>#DIV/0!</v>
      </c>
      <c r="AI720" s="1040" t="e">
        <f>IF($F320="","",$F320*chronic_consumption!AD720/1000/$C$3)</f>
        <v>#DIV/0!</v>
      </c>
      <c r="AJ720" s="1040" t="e">
        <f>IF($F320="","",$F320*chronic_consumption!AE720/1000/$C$3)</f>
        <v>#DIV/0!</v>
      </c>
      <c r="AK720" s="1040" t="e">
        <f>IF($F320="","",$F320*chronic_consumption!AF720/1000/$C$3)</f>
        <v>#DIV/0!</v>
      </c>
      <c r="AL720" s="1040" t="e">
        <f>IF($F320="","",$F320*chronic_consumption!AG720/1000/$C$3)</f>
        <v>#DIV/0!</v>
      </c>
      <c r="AM720" s="1040" t="e">
        <f>IF($F320="","",$F320*chronic_consumption!AH720/1000/$C$3)</f>
        <v>#DIV/0!</v>
      </c>
      <c r="AN720" s="1040" t="e">
        <f>IF($F320="","",$F320*chronic_consumption!AI720/1000/$C$3)</f>
        <v>#DIV/0!</v>
      </c>
      <c r="AO720" s="1040" t="e">
        <f>IF($F320="","",$F320*chronic_consumption!AJ720/1000/$C$3)</f>
        <v>#DIV/0!</v>
      </c>
      <c r="AP720" s="1040" t="e">
        <f>IF($F320="","",$F320*chronic_consumption!AK720/1000/$C$3)</f>
        <v>#DIV/0!</v>
      </c>
      <c r="AQ720" s="1040" t="e">
        <f>IF($F320="","",$F320*chronic_consumption!AL720/1000/$C$3)</f>
        <v>#DIV/0!</v>
      </c>
      <c r="AR720" s="1040" t="e">
        <f>IF($F320="","",$F320*chronic_consumption!AM720/1000/$C$3)</f>
        <v>#DIV/0!</v>
      </c>
      <c r="AS720" s="1040" t="e">
        <f>IF($F320="","",$F320*chronic_consumption!AN720/1000/$C$3)</f>
        <v>#DIV/0!</v>
      </c>
      <c r="AT720" s="1040" t="e">
        <f>IF($F320="","",$F320*chronic_consumption!AO720/1000/$C$3)</f>
        <v>#DIV/0!</v>
      </c>
      <c r="AU720" s="1040" t="e">
        <f>IF($F320="","",$F320*chronic_consumption!AP720/1000/$C$3)</f>
        <v>#DIV/0!</v>
      </c>
      <c r="AV720" s="1040" t="e">
        <f>IF($F320="","",$F320*chronic_consumption!AQ720/1000/$C$3)</f>
        <v>#DIV/0!</v>
      </c>
      <c r="AW720" s="1040" t="e">
        <f>IF($F320="","",$F320*chronic_consumption!AR720/1000/$C$3)</f>
        <v>#DIV/0!</v>
      </c>
      <c r="AX720" s="1040" t="e">
        <f>IF($F320="","",$F320*chronic_consumption!AS720/1000/$C$3)</f>
        <v>#DIV/0!</v>
      </c>
      <c r="AY720" s="1040" t="e">
        <f>IF($F320="","",$F320*chronic_consumption!AT720/1000/$C$3)</f>
        <v>#DIV/0!</v>
      </c>
      <c r="AZ720" s="44" t="s">
        <v>20</v>
      </c>
      <c r="BC720" s="29"/>
      <c r="BD720" s="29"/>
    </row>
    <row r="721" spans="1:56" ht="12" hidden="1" customHeight="1" outlineLevel="3" x14ac:dyDescent="0.2">
      <c r="A721" s="21">
        <f>acute_overview_children!A321</f>
        <v>4</v>
      </c>
      <c r="B721" s="325">
        <f t="shared" si="51"/>
        <v>900030</v>
      </c>
      <c r="C721" s="325" t="str">
        <f t="shared" si="51"/>
        <v>Chicory roots</v>
      </c>
      <c r="D721" s="135"/>
      <c r="E721" s="1027"/>
      <c r="F721" s="87"/>
      <c r="G721" s="1027"/>
      <c r="H721" s="1029"/>
      <c r="I721" s="1030"/>
      <c r="J721" s="1039" t="e">
        <f>IF($F321="","",$F321*chronic_consumption!E721/1000/$C$3)</f>
        <v>#DIV/0!</v>
      </c>
      <c r="K721" s="1040" t="e">
        <f>IF($F321="","",$F321*chronic_consumption!F721/1000/$C$3)</f>
        <v>#DIV/0!</v>
      </c>
      <c r="L721" s="1040" t="e">
        <f>IF($F321="","",$F321*chronic_consumption!G721/1000/$C$3)</f>
        <v>#DIV/0!</v>
      </c>
      <c r="M721" s="1040" t="e">
        <f>IF($F321="","",$F321*chronic_consumption!H721/1000/$C$3)</f>
        <v>#DIV/0!</v>
      </c>
      <c r="N721" s="1040" t="e">
        <f>IF($F321="","",$F321*chronic_consumption!I721/1000/$C$3)</f>
        <v>#DIV/0!</v>
      </c>
      <c r="O721" s="1040" t="e">
        <f>IF($F321="","",$F321*chronic_consumption!J721/1000/$C$3)</f>
        <v>#DIV/0!</v>
      </c>
      <c r="P721" s="1040" t="e">
        <f>IF($F321="","",$F321*chronic_consumption!K721/1000/$C$3)</f>
        <v>#DIV/0!</v>
      </c>
      <c r="Q721" s="1040" t="e">
        <f>IF($F321="","",$F321*chronic_consumption!L721/1000/$C$3)</f>
        <v>#DIV/0!</v>
      </c>
      <c r="R721" s="1040" t="e">
        <f>IF($F321="","",$F321*chronic_consumption!M721/1000/$C$3)</f>
        <v>#DIV/0!</v>
      </c>
      <c r="S721" s="1040" t="e">
        <f>IF($F321="","",$F321*chronic_consumption!N721/1000/$C$3)</f>
        <v>#DIV/0!</v>
      </c>
      <c r="T721" s="1040" t="e">
        <f>IF($F321="","",$F321*chronic_consumption!O721/1000/$C$3)</f>
        <v>#DIV/0!</v>
      </c>
      <c r="U721" s="1040" t="e">
        <f>IF($F321="","",$F321*chronic_consumption!P721/1000/$C$3)</f>
        <v>#DIV/0!</v>
      </c>
      <c r="V721" s="1040" t="e">
        <f>IF($F321="","",$F321*chronic_consumption!Q721/1000/$C$3)</f>
        <v>#DIV/0!</v>
      </c>
      <c r="W721" s="1040" t="e">
        <f>IF($F321="","",$F321*chronic_consumption!R721/1000/$C$3)</f>
        <v>#DIV/0!</v>
      </c>
      <c r="X721" s="1040" t="e">
        <f>IF($F321="","",$F321*chronic_consumption!S721/1000/$C$3)</f>
        <v>#DIV/0!</v>
      </c>
      <c r="Y721" s="1040" t="e">
        <f>IF($F321="","",$F321*chronic_consumption!T721/1000/$C$3)</f>
        <v>#DIV/0!</v>
      </c>
      <c r="Z721" s="1040" t="e">
        <f>IF($F321="","",$F321*chronic_consumption!U721/1000/$C$3)</f>
        <v>#DIV/0!</v>
      </c>
      <c r="AA721" s="1040" t="e">
        <f>IF($F321="","",$F321*chronic_consumption!V721/1000/$C$3)</f>
        <v>#DIV/0!</v>
      </c>
      <c r="AB721" s="1040" t="e">
        <f>IF($F321="","",$F321*chronic_consumption!W721/1000/$C$3)</f>
        <v>#DIV/0!</v>
      </c>
      <c r="AC721" s="1040" t="e">
        <f>IF($F321="","",$F321*chronic_consumption!X721/1000/$C$3)</f>
        <v>#DIV/0!</v>
      </c>
      <c r="AD721" s="1040" t="e">
        <f>IF($F321="","",$F321*chronic_consumption!Y721/1000/$C$3)</f>
        <v>#DIV/0!</v>
      </c>
      <c r="AE721" s="1040" t="e">
        <f>IF($F321="","",$F321*chronic_consumption!Z721/1000/$C$3)</f>
        <v>#DIV/0!</v>
      </c>
      <c r="AF721" s="1040" t="e">
        <f>IF($F321="","",$F321*chronic_consumption!AA721/1000/$C$3)</f>
        <v>#DIV/0!</v>
      </c>
      <c r="AG721" s="1040" t="e">
        <f>IF($F321="","",$F321*chronic_consumption!AB721/1000/$C$3)</f>
        <v>#DIV/0!</v>
      </c>
      <c r="AH721" s="1040" t="e">
        <f>IF($F321="","",$F321*chronic_consumption!AC721/1000/$C$3)</f>
        <v>#DIV/0!</v>
      </c>
      <c r="AI721" s="1040" t="e">
        <f>IF($F321="","",$F321*chronic_consumption!AD721/1000/$C$3)</f>
        <v>#DIV/0!</v>
      </c>
      <c r="AJ721" s="1040" t="e">
        <f>IF($F321="","",$F321*chronic_consumption!AE721/1000/$C$3)</f>
        <v>#DIV/0!</v>
      </c>
      <c r="AK721" s="1040" t="e">
        <f>IF($F321="","",$F321*chronic_consumption!AF721/1000/$C$3)</f>
        <v>#DIV/0!</v>
      </c>
      <c r="AL721" s="1040" t="e">
        <f>IF($F321="","",$F321*chronic_consumption!AG721/1000/$C$3)</f>
        <v>#DIV/0!</v>
      </c>
      <c r="AM721" s="1040" t="e">
        <f>IF($F321="","",$F321*chronic_consumption!AH721/1000/$C$3)</f>
        <v>#DIV/0!</v>
      </c>
      <c r="AN721" s="1040" t="e">
        <f>IF($F321="","",$F321*chronic_consumption!AI721/1000/$C$3)</f>
        <v>#DIV/0!</v>
      </c>
      <c r="AO721" s="1040" t="e">
        <f>IF($F321="","",$F321*chronic_consumption!AJ721/1000/$C$3)</f>
        <v>#DIV/0!</v>
      </c>
      <c r="AP721" s="1040" t="e">
        <f>IF($F321="","",$F321*chronic_consumption!AK721/1000/$C$3)</f>
        <v>#DIV/0!</v>
      </c>
      <c r="AQ721" s="1040" t="e">
        <f>IF($F321="","",$F321*chronic_consumption!AL721/1000/$C$3)</f>
        <v>#DIV/0!</v>
      </c>
      <c r="AR721" s="1040" t="e">
        <f>IF($F321="","",$F321*chronic_consumption!AM721/1000/$C$3)</f>
        <v>#DIV/0!</v>
      </c>
      <c r="AS721" s="1040" t="e">
        <f>IF($F321="","",$F321*chronic_consumption!AN721/1000/$C$3)</f>
        <v>#DIV/0!</v>
      </c>
      <c r="AT721" s="1040" t="e">
        <f>IF($F321="","",$F321*chronic_consumption!AO721/1000/$C$3)</f>
        <v>#DIV/0!</v>
      </c>
      <c r="AU721" s="1040" t="e">
        <f>IF($F321="","",$F321*chronic_consumption!AP721/1000/$C$3)</f>
        <v>#DIV/0!</v>
      </c>
      <c r="AV721" s="1040" t="e">
        <f>IF($F321="","",$F321*chronic_consumption!AQ721/1000/$C$3)</f>
        <v>#DIV/0!</v>
      </c>
      <c r="AW721" s="1040" t="e">
        <f>IF($F321="","",$F321*chronic_consumption!AR721/1000/$C$3)</f>
        <v>#DIV/0!</v>
      </c>
      <c r="AX721" s="1040" t="e">
        <f>IF($F321="","",$F321*chronic_consumption!AS721/1000/$C$3)</f>
        <v>#DIV/0!</v>
      </c>
      <c r="AY721" s="1040" t="e">
        <f>IF($F321="","",$F321*chronic_consumption!AT721/1000/$C$3)</f>
        <v>#DIV/0!</v>
      </c>
      <c r="AZ721" s="44" t="s">
        <v>20</v>
      </c>
      <c r="BC721" s="29"/>
      <c r="BD721" s="29"/>
    </row>
    <row r="722" spans="1:56" ht="12" hidden="1" customHeight="1" outlineLevel="3" x14ac:dyDescent="0.2">
      <c r="A722" s="21">
        <f>acute_overview_children!A322</f>
        <v>4</v>
      </c>
      <c r="B722" s="325">
        <f t="shared" si="51"/>
        <v>900990</v>
      </c>
      <c r="C722" s="325" t="str">
        <f t="shared" si="51"/>
        <v>Other sugar plants</v>
      </c>
      <c r="D722" s="135"/>
      <c r="E722" s="1027"/>
      <c r="F722" s="87"/>
      <c r="G722" s="1027"/>
      <c r="H722" s="1029"/>
      <c r="I722" s="1030"/>
      <c r="J722" s="1039" t="e">
        <f>IF($F322="","",$F322*chronic_consumption!E722/1000/$C$3)</f>
        <v>#DIV/0!</v>
      </c>
      <c r="K722" s="1040" t="e">
        <f>IF($F322="","",$F322*chronic_consumption!F722/1000/$C$3)</f>
        <v>#DIV/0!</v>
      </c>
      <c r="L722" s="1040" t="e">
        <f>IF($F322="","",$F322*chronic_consumption!G722/1000/$C$3)</f>
        <v>#DIV/0!</v>
      </c>
      <c r="M722" s="1040" t="e">
        <f>IF($F322="","",$F322*chronic_consumption!H722/1000/$C$3)</f>
        <v>#DIV/0!</v>
      </c>
      <c r="N722" s="1040" t="e">
        <f>IF($F322="","",$F322*chronic_consumption!I722/1000/$C$3)</f>
        <v>#DIV/0!</v>
      </c>
      <c r="O722" s="1040" t="e">
        <f>IF($F322="","",$F322*chronic_consumption!J722/1000/$C$3)</f>
        <v>#DIV/0!</v>
      </c>
      <c r="P722" s="1040" t="e">
        <f>IF($F322="","",$F322*chronic_consumption!K722/1000/$C$3)</f>
        <v>#DIV/0!</v>
      </c>
      <c r="Q722" s="1040" t="e">
        <f>IF($F322="","",$F322*chronic_consumption!L722/1000/$C$3)</f>
        <v>#DIV/0!</v>
      </c>
      <c r="R722" s="1040" t="e">
        <f>IF($F322="","",$F322*chronic_consumption!M722/1000/$C$3)</f>
        <v>#DIV/0!</v>
      </c>
      <c r="S722" s="1040" t="e">
        <f>IF($F322="","",$F322*chronic_consumption!N722/1000/$C$3)</f>
        <v>#DIV/0!</v>
      </c>
      <c r="T722" s="1040" t="e">
        <f>IF($F322="","",$F322*chronic_consumption!O722/1000/$C$3)</f>
        <v>#DIV/0!</v>
      </c>
      <c r="U722" s="1040" t="e">
        <f>IF($F322="","",$F322*chronic_consumption!P722/1000/$C$3)</f>
        <v>#DIV/0!</v>
      </c>
      <c r="V722" s="1040" t="e">
        <f>IF($F322="","",$F322*chronic_consumption!Q722/1000/$C$3)</f>
        <v>#DIV/0!</v>
      </c>
      <c r="W722" s="1040" t="e">
        <f>IF($F322="","",$F322*chronic_consumption!R722/1000/$C$3)</f>
        <v>#DIV/0!</v>
      </c>
      <c r="X722" s="1040" t="e">
        <f>IF($F322="","",$F322*chronic_consumption!S722/1000/$C$3)</f>
        <v>#DIV/0!</v>
      </c>
      <c r="Y722" s="1040" t="e">
        <f>IF($F322="","",$F322*chronic_consumption!T722/1000/$C$3)</f>
        <v>#DIV/0!</v>
      </c>
      <c r="Z722" s="1040" t="e">
        <f>IF($F322="","",$F322*chronic_consumption!U722/1000/$C$3)</f>
        <v>#DIV/0!</v>
      </c>
      <c r="AA722" s="1040" t="e">
        <f>IF($F322="","",$F322*chronic_consumption!V722/1000/$C$3)</f>
        <v>#DIV/0!</v>
      </c>
      <c r="AB722" s="1040" t="e">
        <f>IF($F322="","",$F322*chronic_consumption!W722/1000/$C$3)</f>
        <v>#DIV/0!</v>
      </c>
      <c r="AC722" s="1040" t="e">
        <f>IF($F322="","",$F322*chronic_consumption!X722/1000/$C$3)</f>
        <v>#DIV/0!</v>
      </c>
      <c r="AD722" s="1040" t="e">
        <f>IF($F322="","",$F322*chronic_consumption!Y722/1000/$C$3)</f>
        <v>#DIV/0!</v>
      </c>
      <c r="AE722" s="1040" t="e">
        <f>IF($F322="","",$F322*chronic_consumption!Z722/1000/$C$3)</f>
        <v>#DIV/0!</v>
      </c>
      <c r="AF722" s="1040" t="e">
        <f>IF($F322="","",$F322*chronic_consumption!AA722/1000/$C$3)</f>
        <v>#DIV/0!</v>
      </c>
      <c r="AG722" s="1040" t="e">
        <f>IF($F322="","",$F322*chronic_consumption!AB722/1000/$C$3)</f>
        <v>#DIV/0!</v>
      </c>
      <c r="AH722" s="1040" t="e">
        <f>IF($F322="","",$F322*chronic_consumption!AC722/1000/$C$3)</f>
        <v>#DIV/0!</v>
      </c>
      <c r="AI722" s="1040" t="e">
        <f>IF($F322="","",$F322*chronic_consumption!AD722/1000/$C$3)</f>
        <v>#DIV/0!</v>
      </c>
      <c r="AJ722" s="1040" t="e">
        <f>IF($F322="","",$F322*chronic_consumption!AE722/1000/$C$3)</f>
        <v>#DIV/0!</v>
      </c>
      <c r="AK722" s="1040" t="e">
        <f>IF($F322="","",$F322*chronic_consumption!AF722/1000/$C$3)</f>
        <v>#DIV/0!</v>
      </c>
      <c r="AL722" s="1040" t="e">
        <f>IF($F322="","",$F322*chronic_consumption!AG722/1000/$C$3)</f>
        <v>#DIV/0!</v>
      </c>
      <c r="AM722" s="1040" t="e">
        <f>IF($F322="","",$F322*chronic_consumption!AH722/1000/$C$3)</f>
        <v>#DIV/0!</v>
      </c>
      <c r="AN722" s="1040" t="e">
        <f>IF($F322="","",$F322*chronic_consumption!AI722/1000/$C$3)</f>
        <v>#DIV/0!</v>
      </c>
      <c r="AO722" s="1040" t="e">
        <f>IF($F322="","",$F322*chronic_consumption!AJ722/1000/$C$3)</f>
        <v>#DIV/0!</v>
      </c>
      <c r="AP722" s="1040" t="e">
        <f>IF($F322="","",$F322*chronic_consumption!AK722/1000/$C$3)</f>
        <v>#DIV/0!</v>
      </c>
      <c r="AQ722" s="1040" t="e">
        <f>IF($F322="","",$F322*chronic_consumption!AL722/1000/$C$3)</f>
        <v>#DIV/0!</v>
      </c>
      <c r="AR722" s="1040" t="e">
        <f>IF($F322="","",$F322*chronic_consumption!AM722/1000/$C$3)</f>
        <v>#DIV/0!</v>
      </c>
      <c r="AS722" s="1040" t="e">
        <f>IF($F322="","",$F322*chronic_consumption!AN722/1000/$C$3)</f>
        <v>#DIV/0!</v>
      </c>
      <c r="AT722" s="1040" t="e">
        <f>IF($F322="","",$F322*chronic_consumption!AO722/1000/$C$3)</f>
        <v>#DIV/0!</v>
      </c>
      <c r="AU722" s="1040" t="e">
        <f>IF($F322="","",$F322*chronic_consumption!AP722/1000/$C$3)</f>
        <v>#DIV/0!</v>
      </c>
      <c r="AV722" s="1040" t="e">
        <f>IF($F322="","",$F322*chronic_consumption!AQ722/1000/$C$3)</f>
        <v>#DIV/0!</v>
      </c>
      <c r="AW722" s="1040" t="e">
        <f>IF($F322="","",$F322*chronic_consumption!AR722/1000/$C$3)</f>
        <v>#DIV/0!</v>
      </c>
      <c r="AX722" s="1040" t="e">
        <f>IF($F322="","",$F322*chronic_consumption!AS722/1000/$C$3)</f>
        <v>#DIV/0!</v>
      </c>
      <c r="AY722" s="1040" t="e">
        <f>IF($F322="","",$F322*chronic_consumption!AT722/1000/$C$3)</f>
        <v>#DIV/0!</v>
      </c>
      <c r="AZ722" s="44" t="s">
        <v>20</v>
      </c>
      <c r="BC722" s="29"/>
      <c r="BD722" s="29"/>
    </row>
    <row r="723" spans="1:56" ht="12" customHeight="1" collapsed="1" x14ac:dyDescent="0.2">
      <c r="A723" s="1">
        <f>acute_overview_children!A323</f>
        <v>1</v>
      </c>
      <c r="B723" s="1026">
        <f t="shared" si="51"/>
        <v>1000000</v>
      </c>
      <c r="C723" s="1026" t="str">
        <f t="shared" si="51"/>
        <v>PRODUCTS OF ANIMAL ORIGIN
-TERRESTRIAL ANIMALS</v>
      </c>
      <c r="D723" s="135"/>
      <c r="E723" s="1027"/>
      <c r="F723" s="87"/>
      <c r="G723" s="1027"/>
      <c r="H723" s="1029"/>
      <c r="I723" s="1030"/>
      <c r="J723" s="1031" t="e">
        <f>IF($F323="","",$F323*chronic_consumption!E723/1000/$C$3)</f>
        <v>#DIV/0!</v>
      </c>
      <c r="K723" s="1032" t="e">
        <f>IF($F323="","",$F323*chronic_consumption!F723/1000/$C$3)</f>
        <v>#DIV/0!</v>
      </c>
      <c r="L723" s="1032" t="e">
        <f>IF($F323="","",$F323*chronic_consumption!G723/1000/$C$3)</f>
        <v>#DIV/0!</v>
      </c>
      <c r="M723" s="1032" t="e">
        <f>IF($F323="","",$F323*chronic_consumption!H723/1000/$C$3)</f>
        <v>#DIV/0!</v>
      </c>
      <c r="N723" s="1032" t="e">
        <f>IF($F323="","",$F323*chronic_consumption!I723/1000/$C$3)</f>
        <v>#DIV/0!</v>
      </c>
      <c r="O723" s="1032" t="e">
        <f>IF($F323="","",$F323*chronic_consumption!J723/1000/$C$3)</f>
        <v>#DIV/0!</v>
      </c>
      <c r="P723" s="1032" t="e">
        <f>IF($F323="","",$F323*chronic_consumption!K723/1000/$C$3)</f>
        <v>#DIV/0!</v>
      </c>
      <c r="Q723" s="1032" t="e">
        <f>IF($F323="","",$F323*chronic_consumption!L723/1000/$C$3)</f>
        <v>#DIV/0!</v>
      </c>
      <c r="R723" s="1032" t="e">
        <f>IF($F323="","",$F323*chronic_consumption!M723/1000/$C$3)</f>
        <v>#DIV/0!</v>
      </c>
      <c r="S723" s="1032" t="e">
        <f>IF($F323="","",$F323*chronic_consumption!N723/1000/$C$3)</f>
        <v>#DIV/0!</v>
      </c>
      <c r="T723" s="1032" t="e">
        <f>IF($F323="","",$F323*chronic_consumption!O723/1000/$C$3)</f>
        <v>#DIV/0!</v>
      </c>
      <c r="U723" s="1032" t="e">
        <f>IF($F323="","",$F323*chronic_consumption!P723/1000/$C$3)</f>
        <v>#DIV/0!</v>
      </c>
      <c r="V723" s="1032" t="e">
        <f>IF($F323="","",$F323*chronic_consumption!Q723/1000/$C$3)</f>
        <v>#DIV/0!</v>
      </c>
      <c r="W723" s="1032" t="e">
        <f>IF($F323="","",$F323*chronic_consumption!R723/1000/$C$3)</f>
        <v>#DIV/0!</v>
      </c>
      <c r="X723" s="1032" t="e">
        <f>IF($F323="","",$F323*chronic_consumption!S723/1000/$C$3)</f>
        <v>#DIV/0!</v>
      </c>
      <c r="Y723" s="1032" t="e">
        <f>IF($F323="","",$F323*chronic_consumption!T723/1000/$C$3)</f>
        <v>#DIV/0!</v>
      </c>
      <c r="Z723" s="1032" t="e">
        <f>IF($F323="","",$F323*chronic_consumption!U723/1000/$C$3)</f>
        <v>#DIV/0!</v>
      </c>
      <c r="AA723" s="1032" t="e">
        <f>IF($F323="","",$F323*chronic_consumption!V723/1000/$C$3)</f>
        <v>#DIV/0!</v>
      </c>
      <c r="AB723" s="1032" t="e">
        <f>IF($F323="","",$F323*chronic_consumption!W723/1000/$C$3)</f>
        <v>#DIV/0!</v>
      </c>
      <c r="AC723" s="1032" t="e">
        <f>IF($F323="","",$F323*chronic_consumption!X723/1000/$C$3)</f>
        <v>#DIV/0!</v>
      </c>
      <c r="AD723" s="1032" t="e">
        <f>IF($F323="","",$F323*chronic_consumption!Y723/1000/$C$3)</f>
        <v>#DIV/0!</v>
      </c>
      <c r="AE723" s="1032" t="e">
        <f>IF($F323="","",$F323*chronic_consumption!Z723/1000/$C$3)</f>
        <v>#DIV/0!</v>
      </c>
      <c r="AF723" s="1032" t="e">
        <f>IF($F323="","",$F323*chronic_consumption!AA723/1000/$C$3)</f>
        <v>#DIV/0!</v>
      </c>
      <c r="AG723" s="1032" t="e">
        <f>IF($F323="","",$F323*chronic_consumption!AB723/1000/$C$3)</f>
        <v>#DIV/0!</v>
      </c>
      <c r="AH723" s="1032" t="e">
        <f>IF($F323="","",$F323*chronic_consumption!AC723/1000/$C$3)</f>
        <v>#DIV/0!</v>
      </c>
      <c r="AI723" s="1032" t="e">
        <f>IF($F323="","",$F323*chronic_consumption!AD723/1000/$C$3)</f>
        <v>#DIV/0!</v>
      </c>
      <c r="AJ723" s="1032" t="e">
        <f>IF($F323="","",$F323*chronic_consumption!AE723/1000/$C$3)</f>
        <v>#DIV/0!</v>
      </c>
      <c r="AK723" s="1032" t="e">
        <f>IF($F323="","",$F323*chronic_consumption!AF723/1000/$C$3)</f>
        <v>#DIV/0!</v>
      </c>
      <c r="AL723" s="1032" t="e">
        <f>IF($F323="","",$F323*chronic_consumption!AG723/1000/$C$3)</f>
        <v>#DIV/0!</v>
      </c>
      <c r="AM723" s="1032" t="e">
        <f>IF($F323="","",$F323*chronic_consumption!AH723/1000/$C$3)</f>
        <v>#DIV/0!</v>
      </c>
      <c r="AN723" s="1032" t="e">
        <f>IF($F323="","",$F323*chronic_consumption!AI723/1000/$C$3)</f>
        <v>#DIV/0!</v>
      </c>
      <c r="AO723" s="1032" t="e">
        <f>IF($F323="","",$F323*chronic_consumption!AJ723/1000/$C$3)</f>
        <v>#DIV/0!</v>
      </c>
      <c r="AP723" s="1032" t="e">
        <f>IF($F323="","",$F323*chronic_consumption!AK723/1000/$C$3)</f>
        <v>#DIV/0!</v>
      </c>
      <c r="AQ723" s="1032" t="e">
        <f>IF($F323="","",$F323*chronic_consumption!AL723/1000/$C$3)</f>
        <v>#DIV/0!</v>
      </c>
      <c r="AR723" s="1032" t="e">
        <f>IF($F323="","",$F323*chronic_consumption!AM723/1000/$C$3)</f>
        <v>#DIV/0!</v>
      </c>
      <c r="AS723" s="1032" t="e">
        <f>IF($F323="","",$F323*chronic_consumption!AN723/1000/$C$3)</f>
        <v>#DIV/0!</v>
      </c>
      <c r="AT723" s="1032" t="e">
        <f>IF($F323="","",$F323*chronic_consumption!AO723/1000/$C$3)</f>
        <v>#DIV/0!</v>
      </c>
      <c r="AU723" s="1032" t="e">
        <f>IF($F323="","",$F323*chronic_consumption!AP723/1000/$C$3)</f>
        <v>#DIV/0!</v>
      </c>
      <c r="AV723" s="1032" t="e">
        <f>IF($F323="","",$F323*chronic_consumption!AQ723/1000/$C$3)</f>
        <v>#DIV/0!</v>
      </c>
      <c r="AW723" s="1032" t="e">
        <f>IF($F323="","",$F323*chronic_consumption!AR723/1000/$C$3)</f>
        <v>#DIV/0!</v>
      </c>
      <c r="AX723" s="1032" t="e">
        <f>IF($F323="","",$F323*chronic_consumption!AS723/1000/$C$3)</f>
        <v>#DIV/0!</v>
      </c>
      <c r="AY723" s="1032" t="e">
        <f>IF($F323="","",$F323*chronic_consumption!AT723/1000/$C$3)</f>
        <v>#DIV/0!</v>
      </c>
      <c r="AZ723" s="44" t="s">
        <v>20</v>
      </c>
      <c r="BC723" s="29"/>
      <c r="BD723" s="29"/>
    </row>
    <row r="724" spans="1:56" ht="12" hidden="1" customHeight="1" outlineLevel="1" x14ac:dyDescent="0.2">
      <c r="A724" s="1033">
        <f>acute_overview_children!A324</f>
        <v>2</v>
      </c>
      <c r="B724" s="1034">
        <f t="shared" si="51"/>
        <v>1010000</v>
      </c>
      <c r="C724" s="1034" t="str">
        <f t="shared" si="51"/>
        <v>Tissue</v>
      </c>
      <c r="D724" s="1035"/>
      <c r="E724" s="1027"/>
      <c r="F724" s="87"/>
      <c r="G724" s="1027"/>
      <c r="H724" s="1029"/>
      <c r="I724" s="1030"/>
      <c r="J724" s="1037" t="e">
        <f>IF($F324="","",$F324*chronic_consumption!E724/1000/$C$3)</f>
        <v>#DIV/0!</v>
      </c>
      <c r="K724" s="1038" t="e">
        <f>IF($F324="","",$F324*chronic_consumption!F724/1000/$C$3)</f>
        <v>#DIV/0!</v>
      </c>
      <c r="L724" s="1038" t="e">
        <f>IF($F324="","",$F324*chronic_consumption!G724/1000/$C$3)</f>
        <v>#DIV/0!</v>
      </c>
      <c r="M724" s="1038" t="e">
        <f>IF($F324="","",$F324*chronic_consumption!H724/1000/$C$3)</f>
        <v>#DIV/0!</v>
      </c>
      <c r="N724" s="1038" t="e">
        <f>IF($F324="","",$F324*chronic_consumption!I724/1000/$C$3)</f>
        <v>#DIV/0!</v>
      </c>
      <c r="O724" s="1038" t="e">
        <f>IF($F324="","",$F324*chronic_consumption!J724/1000/$C$3)</f>
        <v>#DIV/0!</v>
      </c>
      <c r="P724" s="1038" t="e">
        <f>IF($F324="","",$F324*chronic_consumption!K724/1000/$C$3)</f>
        <v>#DIV/0!</v>
      </c>
      <c r="Q724" s="1038" t="e">
        <f>IF($F324="","",$F324*chronic_consumption!L724/1000/$C$3)</f>
        <v>#DIV/0!</v>
      </c>
      <c r="R724" s="1038" t="e">
        <f>IF($F324="","",$F324*chronic_consumption!M724/1000/$C$3)</f>
        <v>#DIV/0!</v>
      </c>
      <c r="S724" s="1038" t="e">
        <f>IF($F324="","",$F324*chronic_consumption!N724/1000/$C$3)</f>
        <v>#DIV/0!</v>
      </c>
      <c r="T724" s="1038" t="e">
        <f>IF($F324="","",$F324*chronic_consumption!O724/1000/$C$3)</f>
        <v>#DIV/0!</v>
      </c>
      <c r="U724" s="1038" t="e">
        <f>IF($F324="","",$F324*chronic_consumption!P724/1000/$C$3)</f>
        <v>#DIV/0!</v>
      </c>
      <c r="V724" s="1038" t="e">
        <f>IF($F324="","",$F324*chronic_consumption!Q724/1000/$C$3)</f>
        <v>#DIV/0!</v>
      </c>
      <c r="W724" s="1038" t="e">
        <f>IF($F324="","",$F324*chronic_consumption!R724/1000/$C$3)</f>
        <v>#DIV/0!</v>
      </c>
      <c r="X724" s="1038" t="e">
        <f>IF($F324="","",$F324*chronic_consumption!S724/1000/$C$3)</f>
        <v>#DIV/0!</v>
      </c>
      <c r="Y724" s="1038" t="e">
        <f>IF($F324="","",$F324*chronic_consumption!T724/1000/$C$3)</f>
        <v>#DIV/0!</v>
      </c>
      <c r="Z724" s="1038" t="e">
        <f>IF($F324="","",$F324*chronic_consumption!U724/1000/$C$3)</f>
        <v>#DIV/0!</v>
      </c>
      <c r="AA724" s="1038" t="e">
        <f>IF($F324="","",$F324*chronic_consumption!V724/1000/$C$3)</f>
        <v>#DIV/0!</v>
      </c>
      <c r="AB724" s="1038" t="e">
        <f>IF($F324="","",$F324*chronic_consumption!W724/1000/$C$3)</f>
        <v>#DIV/0!</v>
      </c>
      <c r="AC724" s="1038" t="e">
        <f>IF($F324="","",$F324*chronic_consumption!X724/1000/$C$3)</f>
        <v>#DIV/0!</v>
      </c>
      <c r="AD724" s="1038" t="e">
        <f>IF($F324="","",$F324*chronic_consumption!Y724/1000/$C$3)</f>
        <v>#DIV/0!</v>
      </c>
      <c r="AE724" s="1038" t="e">
        <f>IF($F324="","",$F324*chronic_consumption!Z724/1000/$C$3)</f>
        <v>#DIV/0!</v>
      </c>
      <c r="AF724" s="1038" t="e">
        <f>IF($F324="","",$F324*chronic_consumption!AA724/1000/$C$3)</f>
        <v>#DIV/0!</v>
      </c>
      <c r="AG724" s="1038" t="e">
        <f>IF($F324="","",$F324*chronic_consumption!AB724/1000/$C$3)</f>
        <v>#DIV/0!</v>
      </c>
      <c r="AH724" s="1038" t="e">
        <f>IF($F324="","",$F324*chronic_consumption!AC724/1000/$C$3)</f>
        <v>#DIV/0!</v>
      </c>
      <c r="AI724" s="1038" t="e">
        <f>IF($F324="","",$F324*chronic_consumption!AD724/1000/$C$3)</f>
        <v>#DIV/0!</v>
      </c>
      <c r="AJ724" s="1038" t="e">
        <f>IF($F324="","",$F324*chronic_consumption!AE724/1000/$C$3)</f>
        <v>#DIV/0!</v>
      </c>
      <c r="AK724" s="1038" t="e">
        <f>IF($F324="","",$F324*chronic_consumption!AF724/1000/$C$3)</f>
        <v>#DIV/0!</v>
      </c>
      <c r="AL724" s="1038" t="e">
        <f>IF($F324="","",$F324*chronic_consumption!AG724/1000/$C$3)</f>
        <v>#DIV/0!</v>
      </c>
      <c r="AM724" s="1038" t="e">
        <f>IF($F324="","",$F324*chronic_consumption!AH724/1000/$C$3)</f>
        <v>#DIV/0!</v>
      </c>
      <c r="AN724" s="1038" t="e">
        <f>IF($F324="","",$F324*chronic_consumption!AI724/1000/$C$3)</f>
        <v>#DIV/0!</v>
      </c>
      <c r="AO724" s="1038" t="e">
        <f>IF($F324="","",$F324*chronic_consumption!AJ724/1000/$C$3)</f>
        <v>#DIV/0!</v>
      </c>
      <c r="AP724" s="1038" t="e">
        <f>IF($F324="","",$F324*chronic_consumption!AK724/1000/$C$3)</f>
        <v>#DIV/0!</v>
      </c>
      <c r="AQ724" s="1038" t="e">
        <f>IF($F324="","",$F324*chronic_consumption!AL724/1000/$C$3)</f>
        <v>#DIV/0!</v>
      </c>
      <c r="AR724" s="1038" t="e">
        <f>IF($F324="","",$F324*chronic_consumption!AM724/1000/$C$3)</f>
        <v>#DIV/0!</v>
      </c>
      <c r="AS724" s="1038" t="e">
        <f>IF($F324="","",$F324*chronic_consumption!AN724/1000/$C$3)</f>
        <v>#DIV/0!</v>
      </c>
      <c r="AT724" s="1038" t="e">
        <f>IF($F324="","",$F324*chronic_consumption!AO724/1000/$C$3)</f>
        <v>#DIV/0!</v>
      </c>
      <c r="AU724" s="1038" t="e">
        <f>IF($F324="","",$F324*chronic_consumption!AP724/1000/$C$3)</f>
        <v>#DIV/0!</v>
      </c>
      <c r="AV724" s="1038" t="e">
        <f>IF($F324="","",$F324*chronic_consumption!AQ724/1000/$C$3)</f>
        <v>#DIV/0!</v>
      </c>
      <c r="AW724" s="1038" t="e">
        <f>IF($F324="","",$F324*chronic_consumption!AR724/1000/$C$3)</f>
        <v>#DIV/0!</v>
      </c>
      <c r="AX724" s="1038" t="e">
        <f>IF($F324="","",$F324*chronic_consumption!AS724/1000/$C$3)</f>
        <v>#DIV/0!</v>
      </c>
      <c r="AY724" s="1038" t="e">
        <f>IF($F324="","",$F324*chronic_consumption!AT724/1000/$C$3)</f>
        <v>#DIV/0!</v>
      </c>
      <c r="AZ724" s="44" t="s">
        <v>20</v>
      </c>
      <c r="BC724" s="29"/>
      <c r="BD724" s="29"/>
    </row>
    <row r="725" spans="1:56" ht="12" hidden="1" customHeight="1" outlineLevel="2" x14ac:dyDescent="0.2">
      <c r="A725" s="353">
        <f>acute_overview_children!A325</f>
        <v>3</v>
      </c>
      <c r="B725" s="1046">
        <f t="shared" si="51"/>
        <v>1011000</v>
      </c>
      <c r="C725" s="1046" t="str">
        <f t="shared" si="51"/>
        <v xml:space="preserve">Swine </v>
      </c>
      <c r="D725" s="135"/>
      <c r="E725" s="1027"/>
      <c r="F725" s="87"/>
      <c r="G725" s="1027"/>
      <c r="H725" s="1029"/>
      <c r="I725" s="1030"/>
      <c r="J725" s="1047" t="e">
        <f>IF($F325="","",$F325*chronic_consumption!E725/1000/$C$3)</f>
        <v>#DIV/0!</v>
      </c>
      <c r="K725" s="1048" t="e">
        <f>IF($F325="","",$F325*chronic_consumption!F725/1000/$C$3)</f>
        <v>#DIV/0!</v>
      </c>
      <c r="L725" s="1048" t="e">
        <f>IF($F325="","",$F325*chronic_consumption!G725/1000/$C$3)</f>
        <v>#DIV/0!</v>
      </c>
      <c r="M725" s="1048" t="e">
        <f>IF($F325="","",$F325*chronic_consumption!H725/1000/$C$3)</f>
        <v>#DIV/0!</v>
      </c>
      <c r="N725" s="1048" t="e">
        <f>IF($F325="","",$F325*chronic_consumption!I725/1000/$C$3)</f>
        <v>#DIV/0!</v>
      </c>
      <c r="O725" s="1048" t="e">
        <f>IF($F325="","",$F325*chronic_consumption!J725/1000/$C$3)</f>
        <v>#DIV/0!</v>
      </c>
      <c r="P725" s="1048" t="e">
        <f>IF($F325="","",$F325*chronic_consumption!K725/1000/$C$3)</f>
        <v>#DIV/0!</v>
      </c>
      <c r="Q725" s="1048" t="e">
        <f>IF($F325="","",$F325*chronic_consumption!L725/1000/$C$3)</f>
        <v>#DIV/0!</v>
      </c>
      <c r="R725" s="1048" t="e">
        <f>IF($F325="","",$F325*chronic_consumption!M725/1000/$C$3)</f>
        <v>#DIV/0!</v>
      </c>
      <c r="S725" s="1048" t="e">
        <f>IF($F325="","",$F325*chronic_consumption!N725/1000/$C$3)</f>
        <v>#DIV/0!</v>
      </c>
      <c r="T725" s="1048" t="e">
        <f>IF($F325="","",$F325*chronic_consumption!O725/1000/$C$3)</f>
        <v>#DIV/0!</v>
      </c>
      <c r="U725" s="1048" t="e">
        <f>IF($F325="","",$F325*chronic_consumption!P725/1000/$C$3)</f>
        <v>#DIV/0!</v>
      </c>
      <c r="V725" s="1048" t="e">
        <f>IF($F325="","",$F325*chronic_consumption!Q725/1000/$C$3)</f>
        <v>#DIV/0!</v>
      </c>
      <c r="W725" s="1048" t="e">
        <f>IF($F325="","",$F325*chronic_consumption!R725/1000/$C$3)</f>
        <v>#DIV/0!</v>
      </c>
      <c r="X725" s="1048" t="e">
        <f>IF($F325="","",$F325*chronic_consumption!S725/1000/$C$3)</f>
        <v>#DIV/0!</v>
      </c>
      <c r="Y725" s="1048" t="e">
        <f>IF($F325="","",$F325*chronic_consumption!T725/1000/$C$3)</f>
        <v>#DIV/0!</v>
      </c>
      <c r="Z725" s="1048" t="e">
        <f>IF($F325="","",$F325*chronic_consumption!U725/1000/$C$3)</f>
        <v>#DIV/0!</v>
      </c>
      <c r="AA725" s="1048" t="e">
        <f>IF($F325="","",$F325*chronic_consumption!V725/1000/$C$3)</f>
        <v>#DIV/0!</v>
      </c>
      <c r="AB725" s="1048" t="e">
        <f>IF($F325="","",$F325*chronic_consumption!W725/1000/$C$3)</f>
        <v>#DIV/0!</v>
      </c>
      <c r="AC725" s="1048" t="e">
        <f>IF($F325="","",$F325*chronic_consumption!X725/1000/$C$3)</f>
        <v>#DIV/0!</v>
      </c>
      <c r="AD725" s="1048" t="e">
        <f>IF($F325="","",$F325*chronic_consumption!Y725/1000/$C$3)</f>
        <v>#DIV/0!</v>
      </c>
      <c r="AE725" s="1048" t="e">
        <f>IF($F325="","",$F325*chronic_consumption!Z725/1000/$C$3)</f>
        <v>#DIV/0!</v>
      </c>
      <c r="AF725" s="1048" t="e">
        <f>IF($F325="","",$F325*chronic_consumption!AA725/1000/$C$3)</f>
        <v>#DIV/0!</v>
      </c>
      <c r="AG725" s="1048" t="e">
        <f>IF($F325="","",$F325*chronic_consumption!AB725/1000/$C$3)</f>
        <v>#DIV/0!</v>
      </c>
      <c r="AH725" s="1048" t="e">
        <f>IF($F325="","",$F325*chronic_consumption!AC725/1000/$C$3)</f>
        <v>#DIV/0!</v>
      </c>
      <c r="AI725" s="1048" t="e">
        <f>IF($F325="","",$F325*chronic_consumption!AD725/1000/$C$3)</f>
        <v>#DIV/0!</v>
      </c>
      <c r="AJ725" s="1048" t="e">
        <f>IF($F325="","",$F325*chronic_consumption!AE725/1000/$C$3)</f>
        <v>#DIV/0!</v>
      </c>
      <c r="AK725" s="1048" t="e">
        <f>IF($F325="","",$F325*chronic_consumption!AF725/1000/$C$3)</f>
        <v>#DIV/0!</v>
      </c>
      <c r="AL725" s="1048" t="e">
        <f>IF($F325="","",$F325*chronic_consumption!AG725/1000/$C$3)</f>
        <v>#DIV/0!</v>
      </c>
      <c r="AM725" s="1048" t="e">
        <f>IF($F325="","",$F325*chronic_consumption!AH725/1000/$C$3)</f>
        <v>#DIV/0!</v>
      </c>
      <c r="AN725" s="1048" t="e">
        <f>IF($F325="","",$F325*chronic_consumption!AI725/1000/$C$3)</f>
        <v>#DIV/0!</v>
      </c>
      <c r="AO725" s="1048" t="e">
        <f>IF($F325="","",$F325*chronic_consumption!AJ725/1000/$C$3)</f>
        <v>#DIV/0!</v>
      </c>
      <c r="AP725" s="1048" t="e">
        <f>IF($F325="","",$F325*chronic_consumption!AK725/1000/$C$3)</f>
        <v>#DIV/0!</v>
      </c>
      <c r="AQ725" s="1048" t="e">
        <f>IF($F325="","",$F325*chronic_consumption!AL725/1000/$C$3)</f>
        <v>#DIV/0!</v>
      </c>
      <c r="AR725" s="1048" t="e">
        <f>IF($F325="","",$F325*chronic_consumption!AM725/1000/$C$3)</f>
        <v>#DIV/0!</v>
      </c>
      <c r="AS725" s="1048" t="e">
        <f>IF($F325="","",$F325*chronic_consumption!AN725/1000/$C$3)</f>
        <v>#DIV/0!</v>
      </c>
      <c r="AT725" s="1048" t="e">
        <f>IF($F325="","",$F325*chronic_consumption!AO725/1000/$C$3)</f>
        <v>#DIV/0!</v>
      </c>
      <c r="AU725" s="1048" t="e">
        <f>IF($F325="","",$F325*chronic_consumption!AP725/1000/$C$3)</f>
        <v>#DIV/0!</v>
      </c>
      <c r="AV725" s="1048" t="e">
        <f>IF($F325="","",$F325*chronic_consumption!AQ725/1000/$C$3)</f>
        <v>#DIV/0!</v>
      </c>
      <c r="AW725" s="1048" t="e">
        <f>IF($F325="","",$F325*chronic_consumption!AR725/1000/$C$3)</f>
        <v>#DIV/0!</v>
      </c>
      <c r="AX725" s="1048" t="e">
        <f>IF($F325="","",$F325*chronic_consumption!AS725/1000/$C$3)</f>
        <v>#DIV/0!</v>
      </c>
      <c r="AY725" s="1048" t="e">
        <f>IF($F325="","",$F325*chronic_consumption!AT725/1000/$C$3)</f>
        <v>#DIV/0!</v>
      </c>
      <c r="AZ725" s="44" t="s">
        <v>20</v>
      </c>
      <c r="BC725" s="29"/>
      <c r="BD725" s="29"/>
    </row>
    <row r="726" spans="1:56" ht="12" hidden="1" customHeight="1" outlineLevel="3" x14ac:dyDescent="0.2">
      <c r="A726" s="21">
        <f>acute_overview_children!A326</f>
        <v>4</v>
      </c>
      <c r="B726" s="325">
        <f t="shared" si="51"/>
        <v>1011010</v>
      </c>
      <c r="C726" s="325" t="str">
        <f t="shared" si="51"/>
        <v>Swine: Muscle/meat</v>
      </c>
      <c r="D726" s="135"/>
      <c r="E726" s="1027"/>
      <c r="F726" s="87"/>
      <c r="G726" s="1027"/>
      <c r="H726" s="1029"/>
      <c r="I726" s="1030"/>
      <c r="J726" s="1039" t="e">
        <f>IF($F326="","",$F326*chronic_consumption!E726/1000/$C$3)</f>
        <v>#DIV/0!</v>
      </c>
      <c r="K726" s="1040" t="e">
        <f>IF($F326="","",$F326*chronic_consumption!F726/1000/$C$3)</f>
        <v>#DIV/0!</v>
      </c>
      <c r="L726" s="1040" t="e">
        <f>IF($F326="","",$F326*chronic_consumption!G726/1000/$C$3)</f>
        <v>#DIV/0!</v>
      </c>
      <c r="M726" s="1040" t="e">
        <f>IF($F326="","",$F326*chronic_consumption!H726/1000/$C$3)</f>
        <v>#DIV/0!</v>
      </c>
      <c r="N726" s="1040" t="e">
        <f>IF($F326="","",$F326*chronic_consumption!I726/1000/$C$3)</f>
        <v>#DIV/0!</v>
      </c>
      <c r="O726" s="1040" t="e">
        <f>IF($F326="","",$F326*chronic_consumption!J726/1000/$C$3)</f>
        <v>#DIV/0!</v>
      </c>
      <c r="P726" s="1040" t="e">
        <f>IF($F326="","",$F326*chronic_consumption!K726/1000/$C$3)</f>
        <v>#DIV/0!</v>
      </c>
      <c r="Q726" s="1040" t="e">
        <f>IF($F326="","",$F326*chronic_consumption!L726/1000/$C$3)</f>
        <v>#DIV/0!</v>
      </c>
      <c r="R726" s="1040" t="e">
        <f>IF($F326="","",$F326*chronic_consumption!M726/1000/$C$3)</f>
        <v>#DIV/0!</v>
      </c>
      <c r="S726" s="1040" t="e">
        <f>IF($F326="","",$F326*chronic_consumption!N726/1000/$C$3)</f>
        <v>#DIV/0!</v>
      </c>
      <c r="T726" s="1040" t="e">
        <f>IF($F326="","",$F326*chronic_consumption!O726/1000/$C$3)</f>
        <v>#DIV/0!</v>
      </c>
      <c r="U726" s="1040" t="e">
        <f>IF($F326="","",$F326*chronic_consumption!P726/1000/$C$3)</f>
        <v>#DIV/0!</v>
      </c>
      <c r="V726" s="1040" t="e">
        <f>IF($F326="","",$F326*chronic_consumption!Q726/1000/$C$3)</f>
        <v>#DIV/0!</v>
      </c>
      <c r="W726" s="1040" t="e">
        <f>IF($F326="","",$F326*chronic_consumption!R726/1000/$C$3)</f>
        <v>#DIV/0!</v>
      </c>
      <c r="X726" s="1040" t="e">
        <f>IF($F326="","",$F326*chronic_consumption!S726/1000/$C$3)</f>
        <v>#DIV/0!</v>
      </c>
      <c r="Y726" s="1040" t="e">
        <f>IF($F326="","",$F326*chronic_consumption!T726/1000/$C$3)</f>
        <v>#DIV/0!</v>
      </c>
      <c r="Z726" s="1040" t="e">
        <f>IF($F326="","",$F326*chronic_consumption!U726/1000/$C$3)</f>
        <v>#DIV/0!</v>
      </c>
      <c r="AA726" s="1040" t="e">
        <f>IF($F326="","",$F326*chronic_consumption!V726/1000/$C$3)</f>
        <v>#DIV/0!</v>
      </c>
      <c r="AB726" s="1040" t="e">
        <f>IF($F326="","",$F326*chronic_consumption!W726/1000/$C$3)</f>
        <v>#DIV/0!</v>
      </c>
      <c r="AC726" s="1040" t="e">
        <f>IF($F326="","",$F326*chronic_consumption!X726/1000/$C$3)</f>
        <v>#DIV/0!</v>
      </c>
      <c r="AD726" s="1040" t="e">
        <f>IF($F326="","",$F326*chronic_consumption!Y726/1000/$C$3)</f>
        <v>#DIV/0!</v>
      </c>
      <c r="AE726" s="1040" t="e">
        <f>IF($F326="","",$F326*chronic_consumption!Z726/1000/$C$3)</f>
        <v>#DIV/0!</v>
      </c>
      <c r="AF726" s="1040" t="e">
        <f>IF($F326="","",$F326*chronic_consumption!AA726/1000/$C$3)</f>
        <v>#DIV/0!</v>
      </c>
      <c r="AG726" s="1040" t="e">
        <f>IF($F326="","",$F326*chronic_consumption!AB726/1000/$C$3)</f>
        <v>#DIV/0!</v>
      </c>
      <c r="AH726" s="1040" t="e">
        <f>IF($F326="","",$F326*chronic_consumption!AC726/1000/$C$3)</f>
        <v>#DIV/0!</v>
      </c>
      <c r="AI726" s="1040" t="e">
        <f>IF($F326="","",$F326*chronic_consumption!AD726/1000/$C$3)</f>
        <v>#DIV/0!</v>
      </c>
      <c r="AJ726" s="1040" t="e">
        <f>IF($F326="","",$F326*chronic_consumption!AE726/1000/$C$3)</f>
        <v>#DIV/0!</v>
      </c>
      <c r="AK726" s="1040" t="e">
        <f>IF($F326="","",$F326*chronic_consumption!AF726/1000/$C$3)</f>
        <v>#DIV/0!</v>
      </c>
      <c r="AL726" s="1040" t="e">
        <f>IF($F326="","",$F326*chronic_consumption!AG726/1000/$C$3)</f>
        <v>#DIV/0!</v>
      </c>
      <c r="AM726" s="1040" t="e">
        <f>IF($F326="","",$F326*chronic_consumption!AH726/1000/$C$3)</f>
        <v>#DIV/0!</v>
      </c>
      <c r="AN726" s="1040" t="e">
        <f>IF($F326="","",$F326*chronic_consumption!AI726/1000/$C$3)</f>
        <v>#DIV/0!</v>
      </c>
      <c r="AO726" s="1040" t="e">
        <f>IF($F326="","",$F326*chronic_consumption!AJ726/1000/$C$3)</f>
        <v>#DIV/0!</v>
      </c>
      <c r="AP726" s="1040" t="e">
        <f>IF($F326="","",$F326*chronic_consumption!AK726/1000/$C$3)</f>
        <v>#DIV/0!</v>
      </c>
      <c r="AQ726" s="1040" t="e">
        <f>IF($F326="","",$F326*chronic_consumption!AL726/1000/$C$3)</f>
        <v>#DIV/0!</v>
      </c>
      <c r="AR726" s="1040" t="e">
        <f>IF($F326="","",$F326*chronic_consumption!AM726/1000/$C$3)</f>
        <v>#DIV/0!</v>
      </c>
      <c r="AS726" s="1040" t="e">
        <f>IF($F326="","",$F326*chronic_consumption!AN726/1000/$C$3)</f>
        <v>#DIV/0!</v>
      </c>
      <c r="AT726" s="1040" t="e">
        <f>IF($F326="","",$F326*chronic_consumption!AO726/1000/$C$3)</f>
        <v>#DIV/0!</v>
      </c>
      <c r="AU726" s="1040" t="e">
        <f>IF($F326="","",$F326*chronic_consumption!AP726/1000/$C$3)</f>
        <v>#DIV/0!</v>
      </c>
      <c r="AV726" s="1040" t="e">
        <f>IF($F326="","",$F326*chronic_consumption!AQ726/1000/$C$3)</f>
        <v>#DIV/0!</v>
      </c>
      <c r="AW726" s="1040" t="e">
        <f>IF($F326="","",$F326*chronic_consumption!AR726/1000/$C$3)</f>
        <v>#DIV/0!</v>
      </c>
      <c r="AX726" s="1040" t="e">
        <f>IF($F326="","",$F326*chronic_consumption!AS726/1000/$C$3)</f>
        <v>#DIV/0!</v>
      </c>
      <c r="AY726" s="1040" t="e">
        <f>IF($F326="","",$F326*chronic_consumption!AT726/1000/$C$3)</f>
        <v>#DIV/0!</v>
      </c>
      <c r="AZ726" s="44" t="s">
        <v>20</v>
      </c>
      <c r="BC726" s="29"/>
      <c r="BD726" s="29"/>
    </row>
    <row r="727" spans="1:56" ht="12" hidden="1" customHeight="1" outlineLevel="3" x14ac:dyDescent="0.2">
      <c r="A727" s="21">
        <f>acute_overview_children!A327</f>
        <v>4</v>
      </c>
      <c r="B727" s="325">
        <f t="shared" si="51"/>
        <v>1011020</v>
      </c>
      <c r="C727" s="325" t="str">
        <f t="shared" si="51"/>
        <v>Swine: Fat tissue</v>
      </c>
      <c r="D727" s="135"/>
      <c r="E727" s="1027"/>
      <c r="F727" s="87"/>
      <c r="G727" s="1027"/>
      <c r="H727" s="1029"/>
      <c r="I727" s="1030"/>
      <c r="J727" s="1039" t="e">
        <f>IF($F327="","",$F327*chronic_consumption!E727/1000/$C$3)</f>
        <v>#DIV/0!</v>
      </c>
      <c r="K727" s="1040" t="e">
        <f>IF($F327="","",$F327*chronic_consumption!F727/1000/$C$3)</f>
        <v>#DIV/0!</v>
      </c>
      <c r="L727" s="1040" t="e">
        <f>IF($F327="","",$F327*chronic_consumption!G727/1000/$C$3)</f>
        <v>#DIV/0!</v>
      </c>
      <c r="M727" s="1040" t="e">
        <f>IF($F327="","",$F327*chronic_consumption!H727/1000/$C$3)</f>
        <v>#DIV/0!</v>
      </c>
      <c r="N727" s="1040" t="e">
        <f>IF($F327="","",$F327*chronic_consumption!I727/1000/$C$3)</f>
        <v>#DIV/0!</v>
      </c>
      <c r="O727" s="1040" t="e">
        <f>IF($F327="","",$F327*chronic_consumption!J727/1000/$C$3)</f>
        <v>#DIV/0!</v>
      </c>
      <c r="P727" s="1040" t="e">
        <f>IF($F327="","",$F327*chronic_consumption!K727/1000/$C$3)</f>
        <v>#DIV/0!</v>
      </c>
      <c r="Q727" s="1040" t="e">
        <f>IF($F327="","",$F327*chronic_consumption!L727/1000/$C$3)</f>
        <v>#DIV/0!</v>
      </c>
      <c r="R727" s="1040" t="e">
        <f>IF($F327="","",$F327*chronic_consumption!M727/1000/$C$3)</f>
        <v>#DIV/0!</v>
      </c>
      <c r="S727" s="1040" t="e">
        <f>IF($F327="","",$F327*chronic_consumption!N727/1000/$C$3)</f>
        <v>#DIV/0!</v>
      </c>
      <c r="T727" s="1040" t="e">
        <f>IF($F327="","",$F327*chronic_consumption!O727/1000/$C$3)</f>
        <v>#DIV/0!</v>
      </c>
      <c r="U727" s="1040" t="e">
        <f>IF($F327="","",$F327*chronic_consumption!P727/1000/$C$3)</f>
        <v>#DIV/0!</v>
      </c>
      <c r="V727" s="1040" t="e">
        <f>IF($F327="","",$F327*chronic_consumption!Q727/1000/$C$3)</f>
        <v>#DIV/0!</v>
      </c>
      <c r="W727" s="1040" t="e">
        <f>IF($F327="","",$F327*chronic_consumption!R727/1000/$C$3)</f>
        <v>#DIV/0!</v>
      </c>
      <c r="X727" s="1040" t="e">
        <f>IF($F327="","",$F327*chronic_consumption!S727/1000/$C$3)</f>
        <v>#DIV/0!</v>
      </c>
      <c r="Y727" s="1040" t="e">
        <f>IF($F327="","",$F327*chronic_consumption!T727/1000/$C$3)</f>
        <v>#DIV/0!</v>
      </c>
      <c r="Z727" s="1040" t="e">
        <f>IF($F327="","",$F327*chronic_consumption!U727/1000/$C$3)</f>
        <v>#DIV/0!</v>
      </c>
      <c r="AA727" s="1040" t="e">
        <f>IF($F327="","",$F327*chronic_consumption!V727/1000/$C$3)</f>
        <v>#DIV/0!</v>
      </c>
      <c r="AB727" s="1040" t="e">
        <f>IF($F327="","",$F327*chronic_consumption!W727/1000/$C$3)</f>
        <v>#DIV/0!</v>
      </c>
      <c r="AC727" s="1040" t="e">
        <f>IF($F327="","",$F327*chronic_consumption!X727/1000/$C$3)</f>
        <v>#DIV/0!</v>
      </c>
      <c r="AD727" s="1040" t="e">
        <f>IF($F327="","",$F327*chronic_consumption!Y727/1000/$C$3)</f>
        <v>#DIV/0!</v>
      </c>
      <c r="AE727" s="1040" t="e">
        <f>IF($F327="","",$F327*chronic_consumption!Z727/1000/$C$3)</f>
        <v>#DIV/0!</v>
      </c>
      <c r="AF727" s="1040" t="e">
        <f>IF($F327="","",$F327*chronic_consumption!AA727/1000/$C$3)</f>
        <v>#DIV/0!</v>
      </c>
      <c r="AG727" s="1040" t="e">
        <f>IF($F327="","",$F327*chronic_consumption!AB727/1000/$C$3)</f>
        <v>#DIV/0!</v>
      </c>
      <c r="AH727" s="1040" t="e">
        <f>IF($F327="","",$F327*chronic_consumption!AC727/1000/$C$3)</f>
        <v>#DIV/0!</v>
      </c>
      <c r="AI727" s="1040" t="e">
        <f>IF($F327="","",$F327*chronic_consumption!AD727/1000/$C$3)</f>
        <v>#DIV/0!</v>
      </c>
      <c r="AJ727" s="1040" t="e">
        <f>IF($F327="","",$F327*chronic_consumption!AE727/1000/$C$3)</f>
        <v>#DIV/0!</v>
      </c>
      <c r="AK727" s="1040" t="e">
        <f>IF($F327="","",$F327*chronic_consumption!AF727/1000/$C$3)</f>
        <v>#DIV/0!</v>
      </c>
      <c r="AL727" s="1040" t="e">
        <f>IF($F327="","",$F327*chronic_consumption!AG727/1000/$C$3)</f>
        <v>#DIV/0!</v>
      </c>
      <c r="AM727" s="1040" t="e">
        <f>IF($F327="","",$F327*chronic_consumption!AH727/1000/$C$3)</f>
        <v>#DIV/0!</v>
      </c>
      <c r="AN727" s="1040" t="e">
        <f>IF($F327="","",$F327*chronic_consumption!AI727/1000/$C$3)</f>
        <v>#DIV/0!</v>
      </c>
      <c r="AO727" s="1040" t="e">
        <f>IF($F327="","",$F327*chronic_consumption!AJ727/1000/$C$3)</f>
        <v>#DIV/0!</v>
      </c>
      <c r="AP727" s="1040" t="e">
        <f>IF($F327="","",$F327*chronic_consumption!AK727/1000/$C$3)</f>
        <v>#DIV/0!</v>
      </c>
      <c r="AQ727" s="1040" t="e">
        <f>IF($F327="","",$F327*chronic_consumption!AL727/1000/$C$3)</f>
        <v>#DIV/0!</v>
      </c>
      <c r="AR727" s="1040" t="e">
        <f>IF($F327="","",$F327*chronic_consumption!AM727/1000/$C$3)</f>
        <v>#DIV/0!</v>
      </c>
      <c r="AS727" s="1040" t="e">
        <f>IF($F327="","",$F327*chronic_consumption!AN727/1000/$C$3)</f>
        <v>#DIV/0!</v>
      </c>
      <c r="AT727" s="1040" t="e">
        <f>IF($F327="","",$F327*chronic_consumption!AO727/1000/$C$3)</f>
        <v>#DIV/0!</v>
      </c>
      <c r="AU727" s="1040" t="e">
        <f>IF($F327="","",$F327*chronic_consumption!AP727/1000/$C$3)</f>
        <v>#DIV/0!</v>
      </c>
      <c r="AV727" s="1040" t="e">
        <f>IF($F327="","",$F327*chronic_consumption!AQ727/1000/$C$3)</f>
        <v>#DIV/0!</v>
      </c>
      <c r="AW727" s="1040" t="e">
        <f>IF($F327="","",$F327*chronic_consumption!AR727/1000/$C$3)</f>
        <v>#DIV/0!</v>
      </c>
      <c r="AX727" s="1040" t="e">
        <f>IF($F327="","",$F327*chronic_consumption!AS727/1000/$C$3)</f>
        <v>#DIV/0!</v>
      </c>
      <c r="AY727" s="1040" t="e">
        <f>IF($F327="","",$F327*chronic_consumption!AT727/1000/$C$3)</f>
        <v>#DIV/0!</v>
      </c>
      <c r="AZ727" s="44" t="s">
        <v>20</v>
      </c>
      <c r="BC727" s="29"/>
      <c r="BD727" s="29"/>
    </row>
    <row r="728" spans="1:56" ht="12" hidden="1" customHeight="1" outlineLevel="3" x14ac:dyDescent="0.2">
      <c r="A728" s="21">
        <f>acute_overview_children!A328</f>
        <v>4</v>
      </c>
      <c r="B728" s="325">
        <f t="shared" si="51"/>
        <v>1011030</v>
      </c>
      <c r="C728" s="325" t="str">
        <f t="shared" si="51"/>
        <v>Swine: Liver</v>
      </c>
      <c r="D728" s="135"/>
      <c r="E728" s="1027"/>
      <c r="F728" s="87"/>
      <c r="G728" s="1027"/>
      <c r="H728" s="1029"/>
      <c r="I728" s="1030"/>
      <c r="J728" s="1039" t="e">
        <f>IF($F328="","",$F328*chronic_consumption!E728/1000/$C$3)</f>
        <v>#DIV/0!</v>
      </c>
      <c r="K728" s="1040" t="e">
        <f>IF($F328="","",$F328*chronic_consumption!F728/1000/$C$3)</f>
        <v>#DIV/0!</v>
      </c>
      <c r="L728" s="1040" t="e">
        <f>IF($F328="","",$F328*chronic_consumption!G728/1000/$C$3)</f>
        <v>#DIV/0!</v>
      </c>
      <c r="M728" s="1040" t="e">
        <f>IF($F328="","",$F328*chronic_consumption!H728/1000/$C$3)</f>
        <v>#DIV/0!</v>
      </c>
      <c r="N728" s="1040" t="e">
        <f>IF($F328="","",$F328*chronic_consumption!I728/1000/$C$3)</f>
        <v>#DIV/0!</v>
      </c>
      <c r="O728" s="1040" t="e">
        <f>IF($F328="","",$F328*chronic_consumption!J728/1000/$C$3)</f>
        <v>#DIV/0!</v>
      </c>
      <c r="P728" s="1040" t="e">
        <f>IF($F328="","",$F328*chronic_consumption!K728/1000/$C$3)</f>
        <v>#DIV/0!</v>
      </c>
      <c r="Q728" s="1040" t="e">
        <f>IF($F328="","",$F328*chronic_consumption!L728/1000/$C$3)</f>
        <v>#DIV/0!</v>
      </c>
      <c r="R728" s="1040" t="e">
        <f>IF($F328="","",$F328*chronic_consumption!M728/1000/$C$3)</f>
        <v>#DIV/0!</v>
      </c>
      <c r="S728" s="1040" t="e">
        <f>IF($F328="","",$F328*chronic_consumption!N728/1000/$C$3)</f>
        <v>#DIV/0!</v>
      </c>
      <c r="T728" s="1040" t="e">
        <f>IF($F328="","",$F328*chronic_consumption!O728/1000/$C$3)</f>
        <v>#DIV/0!</v>
      </c>
      <c r="U728" s="1040" t="e">
        <f>IF($F328="","",$F328*chronic_consumption!P728/1000/$C$3)</f>
        <v>#DIV/0!</v>
      </c>
      <c r="V728" s="1040" t="e">
        <f>IF($F328="","",$F328*chronic_consumption!Q728/1000/$C$3)</f>
        <v>#DIV/0!</v>
      </c>
      <c r="W728" s="1040" t="e">
        <f>IF($F328="","",$F328*chronic_consumption!R728/1000/$C$3)</f>
        <v>#DIV/0!</v>
      </c>
      <c r="X728" s="1040" t="e">
        <f>IF($F328="","",$F328*chronic_consumption!S728/1000/$C$3)</f>
        <v>#DIV/0!</v>
      </c>
      <c r="Y728" s="1040" t="e">
        <f>IF($F328="","",$F328*chronic_consumption!T728/1000/$C$3)</f>
        <v>#DIV/0!</v>
      </c>
      <c r="Z728" s="1040" t="e">
        <f>IF($F328="","",$F328*chronic_consumption!U728/1000/$C$3)</f>
        <v>#DIV/0!</v>
      </c>
      <c r="AA728" s="1040" t="e">
        <f>IF($F328="","",$F328*chronic_consumption!V728/1000/$C$3)</f>
        <v>#DIV/0!</v>
      </c>
      <c r="AB728" s="1040" t="e">
        <f>IF($F328="","",$F328*chronic_consumption!W728/1000/$C$3)</f>
        <v>#DIV/0!</v>
      </c>
      <c r="AC728" s="1040" t="e">
        <f>IF($F328="","",$F328*chronic_consumption!X728/1000/$C$3)</f>
        <v>#DIV/0!</v>
      </c>
      <c r="AD728" s="1040" t="e">
        <f>IF($F328="","",$F328*chronic_consumption!Y728/1000/$C$3)</f>
        <v>#DIV/0!</v>
      </c>
      <c r="AE728" s="1040" t="e">
        <f>IF($F328="","",$F328*chronic_consumption!Z728/1000/$C$3)</f>
        <v>#DIV/0!</v>
      </c>
      <c r="AF728" s="1040" t="e">
        <f>IF($F328="","",$F328*chronic_consumption!AA728/1000/$C$3)</f>
        <v>#DIV/0!</v>
      </c>
      <c r="AG728" s="1040" t="e">
        <f>IF($F328="","",$F328*chronic_consumption!AB728/1000/$C$3)</f>
        <v>#DIV/0!</v>
      </c>
      <c r="AH728" s="1040" t="e">
        <f>IF($F328="","",$F328*chronic_consumption!AC728/1000/$C$3)</f>
        <v>#DIV/0!</v>
      </c>
      <c r="AI728" s="1040" t="e">
        <f>IF($F328="","",$F328*chronic_consumption!AD728/1000/$C$3)</f>
        <v>#DIV/0!</v>
      </c>
      <c r="AJ728" s="1040" t="e">
        <f>IF($F328="","",$F328*chronic_consumption!AE728/1000/$C$3)</f>
        <v>#DIV/0!</v>
      </c>
      <c r="AK728" s="1040" t="e">
        <f>IF($F328="","",$F328*chronic_consumption!AF728/1000/$C$3)</f>
        <v>#DIV/0!</v>
      </c>
      <c r="AL728" s="1040" t="e">
        <f>IF($F328="","",$F328*chronic_consumption!AG728/1000/$C$3)</f>
        <v>#DIV/0!</v>
      </c>
      <c r="AM728" s="1040" t="e">
        <f>IF($F328="","",$F328*chronic_consumption!AH728/1000/$C$3)</f>
        <v>#DIV/0!</v>
      </c>
      <c r="AN728" s="1040" t="e">
        <f>IF($F328="","",$F328*chronic_consumption!AI728/1000/$C$3)</f>
        <v>#DIV/0!</v>
      </c>
      <c r="AO728" s="1040" t="e">
        <f>IF($F328="","",$F328*chronic_consumption!AJ728/1000/$C$3)</f>
        <v>#DIV/0!</v>
      </c>
      <c r="AP728" s="1040" t="e">
        <f>IF($F328="","",$F328*chronic_consumption!AK728/1000/$C$3)</f>
        <v>#DIV/0!</v>
      </c>
      <c r="AQ728" s="1040" t="e">
        <f>IF($F328="","",$F328*chronic_consumption!AL728/1000/$C$3)</f>
        <v>#DIV/0!</v>
      </c>
      <c r="AR728" s="1040" t="e">
        <f>IF($F328="","",$F328*chronic_consumption!AM728/1000/$C$3)</f>
        <v>#DIV/0!</v>
      </c>
      <c r="AS728" s="1040" t="e">
        <f>IF($F328="","",$F328*chronic_consumption!AN728/1000/$C$3)</f>
        <v>#DIV/0!</v>
      </c>
      <c r="AT728" s="1040" t="e">
        <f>IF($F328="","",$F328*chronic_consumption!AO728/1000/$C$3)</f>
        <v>#DIV/0!</v>
      </c>
      <c r="AU728" s="1040" t="e">
        <f>IF($F328="","",$F328*chronic_consumption!AP728/1000/$C$3)</f>
        <v>#DIV/0!</v>
      </c>
      <c r="AV728" s="1040" t="e">
        <f>IF($F328="","",$F328*chronic_consumption!AQ728/1000/$C$3)</f>
        <v>#DIV/0!</v>
      </c>
      <c r="AW728" s="1040" t="e">
        <f>IF($F328="","",$F328*chronic_consumption!AR728/1000/$C$3)</f>
        <v>#DIV/0!</v>
      </c>
      <c r="AX728" s="1040" t="e">
        <f>IF($F328="","",$F328*chronic_consumption!AS728/1000/$C$3)</f>
        <v>#DIV/0!</v>
      </c>
      <c r="AY728" s="1040" t="e">
        <f>IF($F328="","",$F328*chronic_consumption!AT728/1000/$C$3)</f>
        <v>#DIV/0!</v>
      </c>
      <c r="AZ728" s="44" t="s">
        <v>20</v>
      </c>
      <c r="BC728" s="29"/>
      <c r="BD728" s="29"/>
    </row>
    <row r="729" spans="1:56" ht="12" hidden="1" customHeight="1" outlineLevel="3" x14ac:dyDescent="0.2">
      <c r="A729" s="21">
        <f>acute_overview_children!A329</f>
        <v>4</v>
      </c>
      <c r="B729" s="325">
        <f t="shared" si="51"/>
        <v>1011040</v>
      </c>
      <c r="C729" s="325" t="str">
        <f t="shared" si="51"/>
        <v>Swine: Kidney</v>
      </c>
      <c r="D729" s="135"/>
      <c r="E729" s="1027"/>
      <c r="F729" s="87"/>
      <c r="G729" s="1027"/>
      <c r="H729" s="1029"/>
      <c r="I729" s="1030"/>
      <c r="J729" s="1039" t="e">
        <f>IF($F329="","",$F329*chronic_consumption!E729/1000/$C$3)</f>
        <v>#DIV/0!</v>
      </c>
      <c r="K729" s="1040" t="e">
        <f>IF($F329="","",$F329*chronic_consumption!F729/1000/$C$3)</f>
        <v>#DIV/0!</v>
      </c>
      <c r="L729" s="1040" t="e">
        <f>IF($F329="","",$F329*chronic_consumption!G729/1000/$C$3)</f>
        <v>#DIV/0!</v>
      </c>
      <c r="M729" s="1040" t="e">
        <f>IF($F329="","",$F329*chronic_consumption!H729/1000/$C$3)</f>
        <v>#DIV/0!</v>
      </c>
      <c r="N729" s="1040" t="e">
        <f>IF($F329="","",$F329*chronic_consumption!I729/1000/$C$3)</f>
        <v>#DIV/0!</v>
      </c>
      <c r="O729" s="1040" t="e">
        <f>IF($F329="","",$F329*chronic_consumption!J729/1000/$C$3)</f>
        <v>#DIV/0!</v>
      </c>
      <c r="P729" s="1040" t="e">
        <f>IF($F329="","",$F329*chronic_consumption!K729/1000/$C$3)</f>
        <v>#DIV/0!</v>
      </c>
      <c r="Q729" s="1040" t="e">
        <f>IF($F329="","",$F329*chronic_consumption!L729/1000/$C$3)</f>
        <v>#DIV/0!</v>
      </c>
      <c r="R729" s="1040" t="e">
        <f>IF($F329="","",$F329*chronic_consumption!M729/1000/$C$3)</f>
        <v>#DIV/0!</v>
      </c>
      <c r="S729" s="1040" t="e">
        <f>IF($F329="","",$F329*chronic_consumption!N729/1000/$C$3)</f>
        <v>#DIV/0!</v>
      </c>
      <c r="T729" s="1040" t="e">
        <f>IF($F329="","",$F329*chronic_consumption!O729/1000/$C$3)</f>
        <v>#DIV/0!</v>
      </c>
      <c r="U729" s="1040" t="e">
        <f>IF($F329="","",$F329*chronic_consumption!P729/1000/$C$3)</f>
        <v>#DIV/0!</v>
      </c>
      <c r="V729" s="1040" t="e">
        <f>IF($F329="","",$F329*chronic_consumption!Q729/1000/$C$3)</f>
        <v>#DIV/0!</v>
      </c>
      <c r="W729" s="1040" t="e">
        <f>IF($F329="","",$F329*chronic_consumption!R729/1000/$C$3)</f>
        <v>#DIV/0!</v>
      </c>
      <c r="X729" s="1040" t="e">
        <f>IF($F329="","",$F329*chronic_consumption!S729/1000/$C$3)</f>
        <v>#DIV/0!</v>
      </c>
      <c r="Y729" s="1040" t="e">
        <f>IF($F329="","",$F329*chronic_consumption!T729/1000/$C$3)</f>
        <v>#DIV/0!</v>
      </c>
      <c r="Z729" s="1040" t="e">
        <f>IF($F329="","",$F329*chronic_consumption!U729/1000/$C$3)</f>
        <v>#DIV/0!</v>
      </c>
      <c r="AA729" s="1040" t="e">
        <f>IF($F329="","",$F329*chronic_consumption!V729/1000/$C$3)</f>
        <v>#DIV/0!</v>
      </c>
      <c r="AB729" s="1040" t="e">
        <f>IF($F329="","",$F329*chronic_consumption!W729/1000/$C$3)</f>
        <v>#DIV/0!</v>
      </c>
      <c r="AC729" s="1040" t="e">
        <f>IF($F329="","",$F329*chronic_consumption!X729/1000/$C$3)</f>
        <v>#DIV/0!</v>
      </c>
      <c r="AD729" s="1040" t="e">
        <f>IF($F329="","",$F329*chronic_consumption!Y729/1000/$C$3)</f>
        <v>#DIV/0!</v>
      </c>
      <c r="AE729" s="1040" t="e">
        <f>IF($F329="","",$F329*chronic_consumption!Z729/1000/$C$3)</f>
        <v>#DIV/0!</v>
      </c>
      <c r="AF729" s="1040" t="e">
        <f>IF($F329="","",$F329*chronic_consumption!AA729/1000/$C$3)</f>
        <v>#DIV/0!</v>
      </c>
      <c r="AG729" s="1040" t="e">
        <f>IF($F329="","",$F329*chronic_consumption!AB729/1000/$C$3)</f>
        <v>#DIV/0!</v>
      </c>
      <c r="AH729" s="1040" t="e">
        <f>IF($F329="","",$F329*chronic_consumption!AC729/1000/$C$3)</f>
        <v>#DIV/0!</v>
      </c>
      <c r="AI729" s="1040" t="e">
        <f>IF($F329="","",$F329*chronic_consumption!AD729/1000/$C$3)</f>
        <v>#DIV/0!</v>
      </c>
      <c r="AJ729" s="1040" t="e">
        <f>IF($F329="","",$F329*chronic_consumption!AE729/1000/$C$3)</f>
        <v>#DIV/0!</v>
      </c>
      <c r="AK729" s="1040" t="e">
        <f>IF($F329="","",$F329*chronic_consumption!AF729/1000/$C$3)</f>
        <v>#DIV/0!</v>
      </c>
      <c r="AL729" s="1040" t="e">
        <f>IF($F329="","",$F329*chronic_consumption!AG729/1000/$C$3)</f>
        <v>#DIV/0!</v>
      </c>
      <c r="AM729" s="1040" t="e">
        <f>IF($F329="","",$F329*chronic_consumption!AH729/1000/$C$3)</f>
        <v>#DIV/0!</v>
      </c>
      <c r="AN729" s="1040" t="e">
        <f>IF($F329="","",$F329*chronic_consumption!AI729/1000/$C$3)</f>
        <v>#DIV/0!</v>
      </c>
      <c r="AO729" s="1040" t="e">
        <f>IF($F329="","",$F329*chronic_consumption!AJ729/1000/$C$3)</f>
        <v>#DIV/0!</v>
      </c>
      <c r="AP729" s="1040" t="e">
        <f>IF($F329="","",$F329*chronic_consumption!AK729/1000/$C$3)</f>
        <v>#DIV/0!</v>
      </c>
      <c r="AQ729" s="1040" t="e">
        <f>IF($F329="","",$F329*chronic_consumption!AL729/1000/$C$3)</f>
        <v>#DIV/0!</v>
      </c>
      <c r="AR729" s="1040" t="e">
        <f>IF($F329="","",$F329*chronic_consumption!AM729/1000/$C$3)</f>
        <v>#DIV/0!</v>
      </c>
      <c r="AS729" s="1040" t="e">
        <f>IF($F329="","",$F329*chronic_consumption!AN729/1000/$C$3)</f>
        <v>#DIV/0!</v>
      </c>
      <c r="AT729" s="1040" t="e">
        <f>IF($F329="","",$F329*chronic_consumption!AO729/1000/$C$3)</f>
        <v>#DIV/0!</v>
      </c>
      <c r="AU729" s="1040" t="e">
        <f>IF($F329="","",$F329*chronic_consumption!AP729/1000/$C$3)</f>
        <v>#DIV/0!</v>
      </c>
      <c r="AV729" s="1040" t="e">
        <f>IF($F329="","",$F329*chronic_consumption!AQ729/1000/$C$3)</f>
        <v>#DIV/0!</v>
      </c>
      <c r="AW729" s="1040" t="e">
        <f>IF($F329="","",$F329*chronic_consumption!AR729/1000/$C$3)</f>
        <v>#DIV/0!</v>
      </c>
      <c r="AX729" s="1040" t="e">
        <f>IF($F329="","",$F329*chronic_consumption!AS729/1000/$C$3)</f>
        <v>#DIV/0!</v>
      </c>
      <c r="AY729" s="1040" t="e">
        <f>IF($F329="","",$F329*chronic_consumption!AT729/1000/$C$3)</f>
        <v>#DIV/0!</v>
      </c>
      <c r="AZ729" s="44" t="s">
        <v>20</v>
      </c>
      <c r="BC729" s="29"/>
      <c r="BD729" s="29"/>
    </row>
    <row r="730" spans="1:56" ht="12" hidden="1" customHeight="1" outlineLevel="3" x14ac:dyDescent="0.2">
      <c r="A730" s="21">
        <f>acute_overview_children!A330</f>
        <v>4</v>
      </c>
      <c r="B730" s="325">
        <f t="shared" si="51"/>
        <v>1011050</v>
      </c>
      <c r="C730" s="325" t="str">
        <f t="shared" si="51"/>
        <v>Swine: Edible offals (other than liver and kidney)</v>
      </c>
      <c r="D730" s="135"/>
      <c r="E730" s="1027"/>
      <c r="F730" s="87"/>
      <c r="G730" s="1027"/>
      <c r="H730" s="1029"/>
      <c r="I730" s="1030"/>
      <c r="J730" s="1039" t="e">
        <f>IF($F330="","",$F330*chronic_consumption!E730/1000/$C$3)</f>
        <v>#DIV/0!</v>
      </c>
      <c r="K730" s="1040" t="e">
        <f>IF($F330="","",$F330*chronic_consumption!F730/1000/$C$3)</f>
        <v>#DIV/0!</v>
      </c>
      <c r="L730" s="1040" t="e">
        <f>IF($F330="","",$F330*chronic_consumption!G730/1000/$C$3)</f>
        <v>#DIV/0!</v>
      </c>
      <c r="M730" s="1040" t="e">
        <f>IF($F330="","",$F330*chronic_consumption!H730/1000/$C$3)</f>
        <v>#DIV/0!</v>
      </c>
      <c r="N730" s="1040" t="e">
        <f>IF($F330="","",$F330*chronic_consumption!I730/1000/$C$3)</f>
        <v>#DIV/0!</v>
      </c>
      <c r="O730" s="1040" t="e">
        <f>IF($F330="","",$F330*chronic_consumption!J730/1000/$C$3)</f>
        <v>#DIV/0!</v>
      </c>
      <c r="P730" s="1040" t="e">
        <f>IF($F330="","",$F330*chronic_consumption!K730/1000/$C$3)</f>
        <v>#DIV/0!</v>
      </c>
      <c r="Q730" s="1040" t="e">
        <f>IF($F330="","",$F330*chronic_consumption!L730/1000/$C$3)</f>
        <v>#DIV/0!</v>
      </c>
      <c r="R730" s="1040" t="e">
        <f>IF($F330="","",$F330*chronic_consumption!M730/1000/$C$3)</f>
        <v>#DIV/0!</v>
      </c>
      <c r="S730" s="1040" t="e">
        <f>IF($F330="","",$F330*chronic_consumption!N730/1000/$C$3)</f>
        <v>#DIV/0!</v>
      </c>
      <c r="T730" s="1040" t="e">
        <f>IF($F330="","",$F330*chronic_consumption!O730/1000/$C$3)</f>
        <v>#DIV/0!</v>
      </c>
      <c r="U730" s="1040" t="e">
        <f>IF($F330="","",$F330*chronic_consumption!P730/1000/$C$3)</f>
        <v>#DIV/0!</v>
      </c>
      <c r="V730" s="1040" t="e">
        <f>IF($F330="","",$F330*chronic_consumption!Q730/1000/$C$3)</f>
        <v>#DIV/0!</v>
      </c>
      <c r="W730" s="1040" t="e">
        <f>IF($F330="","",$F330*chronic_consumption!R730/1000/$C$3)</f>
        <v>#DIV/0!</v>
      </c>
      <c r="X730" s="1040" t="e">
        <f>IF($F330="","",$F330*chronic_consumption!S730/1000/$C$3)</f>
        <v>#DIV/0!</v>
      </c>
      <c r="Y730" s="1040" t="e">
        <f>IF($F330="","",$F330*chronic_consumption!T730/1000/$C$3)</f>
        <v>#DIV/0!</v>
      </c>
      <c r="Z730" s="1040" t="e">
        <f>IF($F330="","",$F330*chronic_consumption!U730/1000/$C$3)</f>
        <v>#DIV/0!</v>
      </c>
      <c r="AA730" s="1040" t="e">
        <f>IF($F330="","",$F330*chronic_consumption!V730/1000/$C$3)</f>
        <v>#DIV/0!</v>
      </c>
      <c r="AB730" s="1040" t="e">
        <f>IF($F330="","",$F330*chronic_consumption!W730/1000/$C$3)</f>
        <v>#DIV/0!</v>
      </c>
      <c r="AC730" s="1040" t="e">
        <f>IF($F330="","",$F330*chronic_consumption!X730/1000/$C$3)</f>
        <v>#DIV/0!</v>
      </c>
      <c r="AD730" s="1040" t="e">
        <f>IF($F330="","",$F330*chronic_consumption!Y730/1000/$C$3)</f>
        <v>#DIV/0!</v>
      </c>
      <c r="AE730" s="1040" t="e">
        <f>IF($F330="","",$F330*chronic_consumption!Z730/1000/$C$3)</f>
        <v>#DIV/0!</v>
      </c>
      <c r="AF730" s="1040" t="e">
        <f>IF($F330="","",$F330*chronic_consumption!AA730/1000/$C$3)</f>
        <v>#DIV/0!</v>
      </c>
      <c r="AG730" s="1040" t="e">
        <f>IF($F330="","",$F330*chronic_consumption!AB730/1000/$C$3)</f>
        <v>#DIV/0!</v>
      </c>
      <c r="AH730" s="1040" t="e">
        <f>IF($F330="","",$F330*chronic_consumption!AC730/1000/$C$3)</f>
        <v>#DIV/0!</v>
      </c>
      <c r="AI730" s="1040" t="e">
        <f>IF($F330="","",$F330*chronic_consumption!AD730/1000/$C$3)</f>
        <v>#DIV/0!</v>
      </c>
      <c r="AJ730" s="1040" t="e">
        <f>IF($F330="","",$F330*chronic_consumption!AE730/1000/$C$3)</f>
        <v>#DIV/0!</v>
      </c>
      <c r="AK730" s="1040" t="e">
        <f>IF($F330="","",$F330*chronic_consumption!AF730/1000/$C$3)</f>
        <v>#DIV/0!</v>
      </c>
      <c r="AL730" s="1040" t="e">
        <f>IF($F330="","",$F330*chronic_consumption!AG730/1000/$C$3)</f>
        <v>#DIV/0!</v>
      </c>
      <c r="AM730" s="1040" t="e">
        <f>IF($F330="","",$F330*chronic_consumption!AH730/1000/$C$3)</f>
        <v>#DIV/0!</v>
      </c>
      <c r="AN730" s="1040" t="e">
        <f>IF($F330="","",$F330*chronic_consumption!AI730/1000/$C$3)</f>
        <v>#DIV/0!</v>
      </c>
      <c r="AO730" s="1040" t="e">
        <f>IF($F330="","",$F330*chronic_consumption!AJ730/1000/$C$3)</f>
        <v>#DIV/0!</v>
      </c>
      <c r="AP730" s="1040" t="e">
        <f>IF($F330="","",$F330*chronic_consumption!AK730/1000/$C$3)</f>
        <v>#DIV/0!</v>
      </c>
      <c r="AQ730" s="1040" t="e">
        <f>IF($F330="","",$F330*chronic_consumption!AL730/1000/$C$3)</f>
        <v>#DIV/0!</v>
      </c>
      <c r="AR730" s="1040" t="e">
        <f>IF($F330="","",$F330*chronic_consumption!AM730/1000/$C$3)</f>
        <v>#DIV/0!</v>
      </c>
      <c r="AS730" s="1040" t="e">
        <f>IF($F330="","",$F330*chronic_consumption!AN730/1000/$C$3)</f>
        <v>#DIV/0!</v>
      </c>
      <c r="AT730" s="1040" t="e">
        <f>IF($F330="","",$F330*chronic_consumption!AO730/1000/$C$3)</f>
        <v>#DIV/0!</v>
      </c>
      <c r="AU730" s="1040" t="e">
        <f>IF($F330="","",$F330*chronic_consumption!AP730/1000/$C$3)</f>
        <v>#DIV/0!</v>
      </c>
      <c r="AV730" s="1040" t="e">
        <f>IF($F330="","",$F330*chronic_consumption!AQ730/1000/$C$3)</f>
        <v>#DIV/0!</v>
      </c>
      <c r="AW730" s="1040" t="e">
        <f>IF($F330="","",$F330*chronic_consumption!AR730/1000/$C$3)</f>
        <v>#DIV/0!</v>
      </c>
      <c r="AX730" s="1040" t="e">
        <f>IF($F330="","",$F330*chronic_consumption!AS730/1000/$C$3)</f>
        <v>#DIV/0!</v>
      </c>
      <c r="AY730" s="1040" t="e">
        <f>IF($F330="","",$F330*chronic_consumption!AT730/1000/$C$3)</f>
        <v>#DIV/0!</v>
      </c>
      <c r="AZ730" s="44" t="s">
        <v>20</v>
      </c>
      <c r="BC730" s="29"/>
      <c r="BD730" s="29"/>
    </row>
    <row r="731" spans="1:56" ht="12" hidden="1" customHeight="1" outlineLevel="3" x14ac:dyDescent="0.2">
      <c r="A731" s="21">
        <f>acute_overview_children!A331</f>
        <v>4</v>
      </c>
      <c r="B731" s="325">
        <f t="shared" si="51"/>
        <v>1011990</v>
      </c>
      <c r="C731" s="325" t="str">
        <f t="shared" si="51"/>
        <v>Swine: Other products</v>
      </c>
      <c r="D731" s="135"/>
      <c r="E731" s="1027"/>
      <c r="F731" s="87"/>
      <c r="G731" s="1027"/>
      <c r="H731" s="1029"/>
      <c r="I731" s="1030"/>
      <c r="J731" s="1039" t="e">
        <f>IF($F331="","",$F331*chronic_consumption!E731/1000/$C$3)</f>
        <v>#DIV/0!</v>
      </c>
      <c r="K731" s="1040" t="e">
        <f>IF($F331="","",$F331*chronic_consumption!F731/1000/$C$3)</f>
        <v>#DIV/0!</v>
      </c>
      <c r="L731" s="1040" t="e">
        <f>IF($F331="","",$F331*chronic_consumption!G731/1000/$C$3)</f>
        <v>#DIV/0!</v>
      </c>
      <c r="M731" s="1040" t="e">
        <f>IF($F331="","",$F331*chronic_consumption!H731/1000/$C$3)</f>
        <v>#DIV/0!</v>
      </c>
      <c r="N731" s="1040" t="e">
        <f>IF($F331="","",$F331*chronic_consumption!I731/1000/$C$3)</f>
        <v>#DIV/0!</v>
      </c>
      <c r="O731" s="1040" t="e">
        <f>IF($F331="","",$F331*chronic_consumption!J731/1000/$C$3)</f>
        <v>#DIV/0!</v>
      </c>
      <c r="P731" s="1040" t="e">
        <f>IF($F331="","",$F331*chronic_consumption!K731/1000/$C$3)</f>
        <v>#DIV/0!</v>
      </c>
      <c r="Q731" s="1040" t="e">
        <f>IF($F331="","",$F331*chronic_consumption!L731/1000/$C$3)</f>
        <v>#DIV/0!</v>
      </c>
      <c r="R731" s="1040" t="e">
        <f>IF($F331="","",$F331*chronic_consumption!M731/1000/$C$3)</f>
        <v>#DIV/0!</v>
      </c>
      <c r="S731" s="1040" t="e">
        <f>IF($F331="","",$F331*chronic_consumption!N731/1000/$C$3)</f>
        <v>#DIV/0!</v>
      </c>
      <c r="T731" s="1040" t="e">
        <f>IF($F331="","",$F331*chronic_consumption!O731/1000/$C$3)</f>
        <v>#DIV/0!</v>
      </c>
      <c r="U731" s="1040" t="e">
        <f>IF($F331="","",$F331*chronic_consumption!P731/1000/$C$3)</f>
        <v>#DIV/0!</v>
      </c>
      <c r="V731" s="1040" t="e">
        <f>IF($F331="","",$F331*chronic_consumption!Q731/1000/$C$3)</f>
        <v>#DIV/0!</v>
      </c>
      <c r="W731" s="1040" t="e">
        <f>IF($F331="","",$F331*chronic_consumption!R731/1000/$C$3)</f>
        <v>#DIV/0!</v>
      </c>
      <c r="X731" s="1040" t="e">
        <f>IF($F331="","",$F331*chronic_consumption!S731/1000/$C$3)</f>
        <v>#DIV/0!</v>
      </c>
      <c r="Y731" s="1040" t="e">
        <f>IF($F331="","",$F331*chronic_consumption!T731/1000/$C$3)</f>
        <v>#DIV/0!</v>
      </c>
      <c r="Z731" s="1040" t="e">
        <f>IF($F331="","",$F331*chronic_consumption!U731/1000/$C$3)</f>
        <v>#DIV/0!</v>
      </c>
      <c r="AA731" s="1040" t="e">
        <f>IF($F331="","",$F331*chronic_consumption!V731/1000/$C$3)</f>
        <v>#DIV/0!</v>
      </c>
      <c r="AB731" s="1040" t="e">
        <f>IF($F331="","",$F331*chronic_consumption!W731/1000/$C$3)</f>
        <v>#DIV/0!</v>
      </c>
      <c r="AC731" s="1040" t="e">
        <f>IF($F331="","",$F331*chronic_consumption!X731/1000/$C$3)</f>
        <v>#DIV/0!</v>
      </c>
      <c r="AD731" s="1040" t="e">
        <f>IF($F331="","",$F331*chronic_consumption!Y731/1000/$C$3)</f>
        <v>#DIV/0!</v>
      </c>
      <c r="AE731" s="1040" t="e">
        <f>IF($F331="","",$F331*chronic_consumption!Z731/1000/$C$3)</f>
        <v>#DIV/0!</v>
      </c>
      <c r="AF731" s="1040" t="e">
        <f>IF($F331="","",$F331*chronic_consumption!AA731/1000/$C$3)</f>
        <v>#DIV/0!</v>
      </c>
      <c r="AG731" s="1040" t="e">
        <f>IF($F331="","",$F331*chronic_consumption!AB731/1000/$C$3)</f>
        <v>#DIV/0!</v>
      </c>
      <c r="AH731" s="1040" t="e">
        <f>IF($F331="","",$F331*chronic_consumption!AC731/1000/$C$3)</f>
        <v>#DIV/0!</v>
      </c>
      <c r="AI731" s="1040" t="e">
        <f>IF($F331="","",$F331*chronic_consumption!AD731/1000/$C$3)</f>
        <v>#DIV/0!</v>
      </c>
      <c r="AJ731" s="1040" t="e">
        <f>IF($F331="","",$F331*chronic_consumption!AE731/1000/$C$3)</f>
        <v>#DIV/0!</v>
      </c>
      <c r="AK731" s="1040" t="e">
        <f>IF($F331="","",$F331*chronic_consumption!AF731/1000/$C$3)</f>
        <v>#DIV/0!</v>
      </c>
      <c r="AL731" s="1040" t="e">
        <f>IF($F331="","",$F331*chronic_consumption!AG731/1000/$C$3)</f>
        <v>#DIV/0!</v>
      </c>
      <c r="AM731" s="1040" t="e">
        <f>IF($F331="","",$F331*chronic_consumption!AH731/1000/$C$3)</f>
        <v>#DIV/0!</v>
      </c>
      <c r="AN731" s="1040" t="e">
        <f>IF($F331="","",$F331*chronic_consumption!AI731/1000/$C$3)</f>
        <v>#DIV/0!</v>
      </c>
      <c r="AO731" s="1040" t="e">
        <f>IF($F331="","",$F331*chronic_consumption!AJ731/1000/$C$3)</f>
        <v>#DIV/0!</v>
      </c>
      <c r="AP731" s="1040" t="e">
        <f>IF($F331="","",$F331*chronic_consumption!AK731/1000/$C$3)</f>
        <v>#DIV/0!</v>
      </c>
      <c r="AQ731" s="1040" t="e">
        <f>IF($F331="","",$F331*chronic_consumption!AL731/1000/$C$3)</f>
        <v>#DIV/0!</v>
      </c>
      <c r="AR731" s="1040" t="e">
        <f>IF($F331="","",$F331*chronic_consumption!AM731/1000/$C$3)</f>
        <v>#DIV/0!</v>
      </c>
      <c r="AS731" s="1040" t="e">
        <f>IF($F331="","",$F331*chronic_consumption!AN731/1000/$C$3)</f>
        <v>#DIV/0!</v>
      </c>
      <c r="AT731" s="1040" t="e">
        <f>IF($F331="","",$F331*chronic_consumption!AO731/1000/$C$3)</f>
        <v>#DIV/0!</v>
      </c>
      <c r="AU731" s="1040" t="e">
        <f>IF($F331="","",$F331*chronic_consumption!AP731/1000/$C$3)</f>
        <v>#DIV/0!</v>
      </c>
      <c r="AV731" s="1040" t="e">
        <f>IF($F331="","",$F331*chronic_consumption!AQ731/1000/$C$3)</f>
        <v>#DIV/0!</v>
      </c>
      <c r="AW731" s="1040" t="e">
        <f>IF($F331="","",$F331*chronic_consumption!AR731/1000/$C$3)</f>
        <v>#DIV/0!</v>
      </c>
      <c r="AX731" s="1040" t="e">
        <f>IF($F331="","",$F331*chronic_consumption!AS731/1000/$C$3)</f>
        <v>#DIV/0!</v>
      </c>
      <c r="AY731" s="1040" t="e">
        <f>IF($F331="","",$F331*chronic_consumption!AT731/1000/$C$3)</f>
        <v>#DIV/0!</v>
      </c>
      <c r="AZ731" s="44" t="s">
        <v>20</v>
      </c>
      <c r="BC731" s="29"/>
      <c r="BD731" s="29"/>
    </row>
    <row r="732" spans="1:56" ht="12" hidden="1" customHeight="1" outlineLevel="2" x14ac:dyDescent="0.2">
      <c r="A732" s="353">
        <f>acute_overview_children!A332</f>
        <v>3</v>
      </c>
      <c r="B732" s="1046">
        <f t="shared" ref="B732:C751" si="52">B332</f>
        <v>1012000</v>
      </c>
      <c r="C732" s="1046" t="str">
        <f t="shared" si="52"/>
        <v>Bovine</v>
      </c>
      <c r="D732" s="135"/>
      <c r="E732" s="1027"/>
      <c r="F732" s="87"/>
      <c r="G732" s="1027"/>
      <c r="H732" s="1029"/>
      <c r="I732" s="1030"/>
      <c r="J732" s="1047" t="e">
        <f>IF($F332="","",$F332*chronic_consumption!E732/1000/$C$3)</f>
        <v>#DIV/0!</v>
      </c>
      <c r="K732" s="1048" t="e">
        <f>IF($F332="","",$F332*chronic_consumption!F732/1000/$C$3)</f>
        <v>#DIV/0!</v>
      </c>
      <c r="L732" s="1048" t="e">
        <f>IF($F332="","",$F332*chronic_consumption!G732/1000/$C$3)</f>
        <v>#DIV/0!</v>
      </c>
      <c r="M732" s="1048" t="e">
        <f>IF($F332="","",$F332*chronic_consumption!H732/1000/$C$3)</f>
        <v>#DIV/0!</v>
      </c>
      <c r="N732" s="1048" t="e">
        <f>IF($F332="","",$F332*chronic_consumption!I732/1000/$C$3)</f>
        <v>#DIV/0!</v>
      </c>
      <c r="O732" s="1048" t="e">
        <f>IF($F332="","",$F332*chronic_consumption!J732/1000/$C$3)</f>
        <v>#DIV/0!</v>
      </c>
      <c r="P732" s="1048" t="e">
        <f>IF($F332="","",$F332*chronic_consumption!K732/1000/$C$3)</f>
        <v>#DIV/0!</v>
      </c>
      <c r="Q732" s="1048" t="e">
        <f>IF($F332="","",$F332*chronic_consumption!L732/1000/$C$3)</f>
        <v>#DIV/0!</v>
      </c>
      <c r="R732" s="1048" t="e">
        <f>IF($F332="","",$F332*chronic_consumption!M732/1000/$C$3)</f>
        <v>#DIV/0!</v>
      </c>
      <c r="S732" s="1048" t="e">
        <f>IF($F332="","",$F332*chronic_consumption!N732/1000/$C$3)</f>
        <v>#DIV/0!</v>
      </c>
      <c r="T732" s="1048" t="e">
        <f>IF($F332="","",$F332*chronic_consumption!O732/1000/$C$3)</f>
        <v>#DIV/0!</v>
      </c>
      <c r="U732" s="1048" t="e">
        <f>IF($F332="","",$F332*chronic_consumption!P732/1000/$C$3)</f>
        <v>#DIV/0!</v>
      </c>
      <c r="V732" s="1048" t="e">
        <f>IF($F332="","",$F332*chronic_consumption!Q732/1000/$C$3)</f>
        <v>#DIV/0!</v>
      </c>
      <c r="W732" s="1048" t="e">
        <f>IF($F332="","",$F332*chronic_consumption!R732/1000/$C$3)</f>
        <v>#DIV/0!</v>
      </c>
      <c r="X732" s="1048" t="e">
        <f>IF($F332="","",$F332*chronic_consumption!S732/1000/$C$3)</f>
        <v>#DIV/0!</v>
      </c>
      <c r="Y732" s="1048" t="e">
        <f>IF($F332="","",$F332*chronic_consumption!T732/1000/$C$3)</f>
        <v>#DIV/0!</v>
      </c>
      <c r="Z732" s="1048" t="e">
        <f>IF($F332="","",$F332*chronic_consumption!U732/1000/$C$3)</f>
        <v>#DIV/0!</v>
      </c>
      <c r="AA732" s="1048" t="e">
        <f>IF($F332="","",$F332*chronic_consumption!V732/1000/$C$3)</f>
        <v>#DIV/0!</v>
      </c>
      <c r="AB732" s="1048" t="e">
        <f>IF($F332="","",$F332*chronic_consumption!W732/1000/$C$3)</f>
        <v>#DIV/0!</v>
      </c>
      <c r="AC732" s="1048" t="e">
        <f>IF($F332="","",$F332*chronic_consumption!X732/1000/$C$3)</f>
        <v>#DIV/0!</v>
      </c>
      <c r="AD732" s="1048" t="e">
        <f>IF($F332="","",$F332*chronic_consumption!Y732/1000/$C$3)</f>
        <v>#DIV/0!</v>
      </c>
      <c r="AE732" s="1048" t="e">
        <f>IF($F332="","",$F332*chronic_consumption!Z732/1000/$C$3)</f>
        <v>#DIV/0!</v>
      </c>
      <c r="AF732" s="1048" t="e">
        <f>IF($F332="","",$F332*chronic_consumption!AA732/1000/$C$3)</f>
        <v>#DIV/0!</v>
      </c>
      <c r="AG732" s="1048" t="e">
        <f>IF($F332="","",$F332*chronic_consumption!AB732/1000/$C$3)</f>
        <v>#DIV/0!</v>
      </c>
      <c r="AH732" s="1048" t="e">
        <f>IF($F332="","",$F332*chronic_consumption!AC732/1000/$C$3)</f>
        <v>#DIV/0!</v>
      </c>
      <c r="AI732" s="1048" t="e">
        <f>IF($F332="","",$F332*chronic_consumption!AD732/1000/$C$3)</f>
        <v>#DIV/0!</v>
      </c>
      <c r="AJ732" s="1048" t="e">
        <f>IF($F332="","",$F332*chronic_consumption!AE732/1000/$C$3)</f>
        <v>#DIV/0!</v>
      </c>
      <c r="AK732" s="1048" t="e">
        <f>IF($F332="","",$F332*chronic_consumption!AF732/1000/$C$3)</f>
        <v>#DIV/0!</v>
      </c>
      <c r="AL732" s="1048" t="e">
        <f>IF($F332="","",$F332*chronic_consumption!AG732/1000/$C$3)</f>
        <v>#DIV/0!</v>
      </c>
      <c r="AM732" s="1048" t="e">
        <f>IF($F332="","",$F332*chronic_consumption!AH732/1000/$C$3)</f>
        <v>#DIV/0!</v>
      </c>
      <c r="AN732" s="1048" t="e">
        <f>IF($F332="","",$F332*chronic_consumption!AI732/1000/$C$3)</f>
        <v>#DIV/0!</v>
      </c>
      <c r="AO732" s="1048" t="e">
        <f>IF($F332="","",$F332*chronic_consumption!AJ732/1000/$C$3)</f>
        <v>#DIV/0!</v>
      </c>
      <c r="AP732" s="1048" t="e">
        <f>IF($F332="","",$F332*chronic_consumption!AK732/1000/$C$3)</f>
        <v>#DIV/0!</v>
      </c>
      <c r="AQ732" s="1048" t="e">
        <f>IF($F332="","",$F332*chronic_consumption!AL732/1000/$C$3)</f>
        <v>#DIV/0!</v>
      </c>
      <c r="AR732" s="1048" t="e">
        <f>IF($F332="","",$F332*chronic_consumption!AM732/1000/$C$3)</f>
        <v>#DIV/0!</v>
      </c>
      <c r="AS732" s="1048" t="e">
        <f>IF($F332="","",$F332*chronic_consumption!AN732/1000/$C$3)</f>
        <v>#DIV/0!</v>
      </c>
      <c r="AT732" s="1048" t="e">
        <f>IF($F332="","",$F332*chronic_consumption!AO732/1000/$C$3)</f>
        <v>#DIV/0!</v>
      </c>
      <c r="AU732" s="1048" t="e">
        <f>IF($F332="","",$F332*chronic_consumption!AP732/1000/$C$3)</f>
        <v>#DIV/0!</v>
      </c>
      <c r="AV732" s="1048" t="e">
        <f>IF($F332="","",$F332*chronic_consumption!AQ732/1000/$C$3)</f>
        <v>#DIV/0!</v>
      </c>
      <c r="AW732" s="1048" t="e">
        <f>IF($F332="","",$F332*chronic_consumption!AR732/1000/$C$3)</f>
        <v>#DIV/0!</v>
      </c>
      <c r="AX732" s="1048" t="e">
        <f>IF($F332="","",$F332*chronic_consumption!AS732/1000/$C$3)</f>
        <v>#DIV/0!</v>
      </c>
      <c r="AY732" s="1048" t="e">
        <f>IF($F332="","",$F332*chronic_consumption!AT732/1000/$C$3)</f>
        <v>#DIV/0!</v>
      </c>
      <c r="AZ732" s="44" t="s">
        <v>20</v>
      </c>
      <c r="BC732" s="29"/>
      <c r="BD732" s="29"/>
    </row>
    <row r="733" spans="1:56" ht="12" hidden="1" customHeight="1" outlineLevel="3" x14ac:dyDescent="0.2">
      <c r="A733" s="21">
        <f>acute_overview_children!A333</f>
        <v>4</v>
      </c>
      <c r="B733" s="325">
        <f t="shared" si="52"/>
        <v>1012010</v>
      </c>
      <c r="C733" s="325" t="str">
        <f t="shared" si="52"/>
        <v>Bovine: Muscle/meat</v>
      </c>
      <c r="D733" s="135"/>
      <c r="E733" s="1027"/>
      <c r="F733" s="87"/>
      <c r="G733" s="1027"/>
      <c r="H733" s="1029"/>
      <c r="I733" s="1030"/>
      <c r="J733" s="1039" t="e">
        <f>IF($F333="","",$F333*chronic_consumption!E733/1000/$C$3)</f>
        <v>#DIV/0!</v>
      </c>
      <c r="K733" s="1040" t="e">
        <f>IF($F333="","",$F333*chronic_consumption!F733/1000/$C$3)</f>
        <v>#DIV/0!</v>
      </c>
      <c r="L733" s="1040" t="e">
        <f>IF($F333="","",$F333*chronic_consumption!G733/1000/$C$3)</f>
        <v>#DIV/0!</v>
      </c>
      <c r="M733" s="1040" t="e">
        <f>IF($F333="","",$F333*chronic_consumption!H733/1000/$C$3)</f>
        <v>#DIV/0!</v>
      </c>
      <c r="N733" s="1040" t="e">
        <f>IF($F333="","",$F333*chronic_consumption!I733/1000/$C$3)</f>
        <v>#DIV/0!</v>
      </c>
      <c r="O733" s="1040" t="e">
        <f>IF($F333="","",$F333*chronic_consumption!J733/1000/$C$3)</f>
        <v>#DIV/0!</v>
      </c>
      <c r="P733" s="1040" t="e">
        <f>IF($F333="","",$F333*chronic_consumption!K733/1000/$C$3)</f>
        <v>#DIV/0!</v>
      </c>
      <c r="Q733" s="1040" t="e">
        <f>IF($F333="","",$F333*chronic_consumption!L733/1000/$C$3)</f>
        <v>#DIV/0!</v>
      </c>
      <c r="R733" s="1040" t="e">
        <f>IF($F333="","",$F333*chronic_consumption!M733/1000/$C$3)</f>
        <v>#DIV/0!</v>
      </c>
      <c r="S733" s="1040" t="e">
        <f>IF($F333="","",$F333*chronic_consumption!N733/1000/$C$3)</f>
        <v>#DIV/0!</v>
      </c>
      <c r="T733" s="1040" t="e">
        <f>IF($F333="","",$F333*chronic_consumption!O733/1000/$C$3)</f>
        <v>#DIV/0!</v>
      </c>
      <c r="U733" s="1040" t="e">
        <f>IF($F333="","",$F333*chronic_consumption!P733/1000/$C$3)</f>
        <v>#DIV/0!</v>
      </c>
      <c r="V733" s="1040" t="e">
        <f>IF($F333="","",$F333*chronic_consumption!Q733/1000/$C$3)</f>
        <v>#DIV/0!</v>
      </c>
      <c r="W733" s="1040" t="e">
        <f>IF($F333="","",$F333*chronic_consumption!R733/1000/$C$3)</f>
        <v>#DIV/0!</v>
      </c>
      <c r="X733" s="1040" t="e">
        <f>IF($F333="","",$F333*chronic_consumption!S733/1000/$C$3)</f>
        <v>#DIV/0!</v>
      </c>
      <c r="Y733" s="1040" t="e">
        <f>IF($F333="","",$F333*chronic_consumption!T733/1000/$C$3)</f>
        <v>#DIV/0!</v>
      </c>
      <c r="Z733" s="1040" t="e">
        <f>IF($F333="","",$F333*chronic_consumption!U733/1000/$C$3)</f>
        <v>#DIV/0!</v>
      </c>
      <c r="AA733" s="1040" t="e">
        <f>IF($F333="","",$F333*chronic_consumption!V733/1000/$C$3)</f>
        <v>#DIV/0!</v>
      </c>
      <c r="AB733" s="1040" t="e">
        <f>IF($F333="","",$F333*chronic_consumption!W733/1000/$C$3)</f>
        <v>#DIV/0!</v>
      </c>
      <c r="AC733" s="1040" t="e">
        <f>IF($F333="","",$F333*chronic_consumption!X733/1000/$C$3)</f>
        <v>#DIV/0!</v>
      </c>
      <c r="AD733" s="1040" t="e">
        <f>IF($F333="","",$F333*chronic_consumption!Y733/1000/$C$3)</f>
        <v>#DIV/0!</v>
      </c>
      <c r="AE733" s="1040" t="e">
        <f>IF($F333="","",$F333*chronic_consumption!Z733/1000/$C$3)</f>
        <v>#DIV/0!</v>
      </c>
      <c r="AF733" s="1040" t="e">
        <f>IF($F333="","",$F333*chronic_consumption!AA733/1000/$C$3)</f>
        <v>#DIV/0!</v>
      </c>
      <c r="AG733" s="1040" t="e">
        <f>IF($F333="","",$F333*chronic_consumption!AB733/1000/$C$3)</f>
        <v>#DIV/0!</v>
      </c>
      <c r="AH733" s="1040" t="e">
        <f>IF($F333="","",$F333*chronic_consumption!AC733/1000/$C$3)</f>
        <v>#DIV/0!</v>
      </c>
      <c r="AI733" s="1040" t="e">
        <f>IF($F333="","",$F333*chronic_consumption!AD733/1000/$C$3)</f>
        <v>#DIV/0!</v>
      </c>
      <c r="AJ733" s="1040" t="e">
        <f>IF($F333="","",$F333*chronic_consumption!AE733/1000/$C$3)</f>
        <v>#DIV/0!</v>
      </c>
      <c r="AK733" s="1040" t="e">
        <f>IF($F333="","",$F333*chronic_consumption!AF733/1000/$C$3)</f>
        <v>#DIV/0!</v>
      </c>
      <c r="AL733" s="1040" t="e">
        <f>IF($F333="","",$F333*chronic_consumption!AG733/1000/$C$3)</f>
        <v>#DIV/0!</v>
      </c>
      <c r="AM733" s="1040" t="e">
        <f>IF($F333="","",$F333*chronic_consumption!AH733/1000/$C$3)</f>
        <v>#DIV/0!</v>
      </c>
      <c r="AN733" s="1040" t="e">
        <f>IF($F333="","",$F333*chronic_consumption!AI733/1000/$C$3)</f>
        <v>#DIV/0!</v>
      </c>
      <c r="AO733" s="1040" t="e">
        <f>IF($F333="","",$F333*chronic_consumption!AJ733/1000/$C$3)</f>
        <v>#DIV/0!</v>
      </c>
      <c r="AP733" s="1040" t="e">
        <f>IF($F333="","",$F333*chronic_consumption!AK733/1000/$C$3)</f>
        <v>#DIV/0!</v>
      </c>
      <c r="AQ733" s="1040" t="e">
        <f>IF($F333="","",$F333*chronic_consumption!AL733/1000/$C$3)</f>
        <v>#DIV/0!</v>
      </c>
      <c r="AR733" s="1040" t="e">
        <f>IF($F333="","",$F333*chronic_consumption!AM733/1000/$C$3)</f>
        <v>#DIV/0!</v>
      </c>
      <c r="AS733" s="1040" t="e">
        <f>IF($F333="","",$F333*chronic_consumption!AN733/1000/$C$3)</f>
        <v>#DIV/0!</v>
      </c>
      <c r="AT733" s="1040" t="e">
        <f>IF($F333="","",$F333*chronic_consumption!AO733/1000/$C$3)</f>
        <v>#DIV/0!</v>
      </c>
      <c r="AU733" s="1040" t="e">
        <f>IF($F333="","",$F333*chronic_consumption!AP733/1000/$C$3)</f>
        <v>#DIV/0!</v>
      </c>
      <c r="AV733" s="1040" t="e">
        <f>IF($F333="","",$F333*chronic_consumption!AQ733/1000/$C$3)</f>
        <v>#DIV/0!</v>
      </c>
      <c r="AW733" s="1040" t="e">
        <f>IF($F333="","",$F333*chronic_consumption!AR733/1000/$C$3)</f>
        <v>#DIV/0!</v>
      </c>
      <c r="AX733" s="1040" t="e">
        <f>IF($F333="","",$F333*chronic_consumption!AS733/1000/$C$3)</f>
        <v>#DIV/0!</v>
      </c>
      <c r="AY733" s="1040" t="e">
        <f>IF($F333="","",$F333*chronic_consumption!AT733/1000/$C$3)</f>
        <v>#DIV/0!</v>
      </c>
      <c r="AZ733" s="44" t="s">
        <v>20</v>
      </c>
      <c r="BC733" s="29"/>
      <c r="BD733" s="29"/>
    </row>
    <row r="734" spans="1:56" ht="12" hidden="1" customHeight="1" outlineLevel="3" x14ac:dyDescent="0.2">
      <c r="A734" s="21">
        <f>acute_overview_children!A334</f>
        <v>4</v>
      </c>
      <c r="B734" s="325">
        <f t="shared" si="52"/>
        <v>1012020</v>
      </c>
      <c r="C734" s="325" t="str">
        <f t="shared" si="52"/>
        <v>Bovine: Fat tissue</v>
      </c>
      <c r="D734" s="135"/>
      <c r="E734" s="1027"/>
      <c r="F734" s="87"/>
      <c r="G734" s="1027"/>
      <c r="H734" s="1029"/>
      <c r="I734" s="1030"/>
      <c r="J734" s="1039" t="e">
        <f>IF($F334="","",$F334*chronic_consumption!E734/1000/$C$3)</f>
        <v>#DIV/0!</v>
      </c>
      <c r="K734" s="1040" t="e">
        <f>IF($F334="","",$F334*chronic_consumption!F734/1000/$C$3)</f>
        <v>#DIV/0!</v>
      </c>
      <c r="L734" s="1040" t="e">
        <f>IF($F334="","",$F334*chronic_consumption!G734/1000/$C$3)</f>
        <v>#DIV/0!</v>
      </c>
      <c r="M734" s="1040" t="e">
        <f>IF($F334="","",$F334*chronic_consumption!H734/1000/$C$3)</f>
        <v>#DIV/0!</v>
      </c>
      <c r="N734" s="1040" t="e">
        <f>IF($F334="","",$F334*chronic_consumption!I734/1000/$C$3)</f>
        <v>#DIV/0!</v>
      </c>
      <c r="O734" s="1040" t="e">
        <f>IF($F334="","",$F334*chronic_consumption!J734/1000/$C$3)</f>
        <v>#DIV/0!</v>
      </c>
      <c r="P734" s="1040" t="e">
        <f>IF($F334="","",$F334*chronic_consumption!K734/1000/$C$3)</f>
        <v>#DIV/0!</v>
      </c>
      <c r="Q734" s="1040" t="e">
        <f>IF($F334="","",$F334*chronic_consumption!L734/1000/$C$3)</f>
        <v>#DIV/0!</v>
      </c>
      <c r="R734" s="1040" t="e">
        <f>IF($F334="","",$F334*chronic_consumption!M734/1000/$C$3)</f>
        <v>#DIV/0!</v>
      </c>
      <c r="S734" s="1040" t="e">
        <f>IF($F334="","",$F334*chronic_consumption!N734/1000/$C$3)</f>
        <v>#DIV/0!</v>
      </c>
      <c r="T734" s="1040" t="e">
        <f>IF($F334="","",$F334*chronic_consumption!O734/1000/$C$3)</f>
        <v>#DIV/0!</v>
      </c>
      <c r="U734" s="1040" t="e">
        <f>IF($F334="","",$F334*chronic_consumption!P734/1000/$C$3)</f>
        <v>#DIV/0!</v>
      </c>
      <c r="V734" s="1040" t="e">
        <f>IF($F334="","",$F334*chronic_consumption!Q734/1000/$C$3)</f>
        <v>#DIV/0!</v>
      </c>
      <c r="W734" s="1040" t="e">
        <f>IF($F334="","",$F334*chronic_consumption!R734/1000/$C$3)</f>
        <v>#DIV/0!</v>
      </c>
      <c r="X734" s="1040" t="e">
        <f>IF($F334="","",$F334*chronic_consumption!S734/1000/$C$3)</f>
        <v>#DIV/0!</v>
      </c>
      <c r="Y734" s="1040" t="e">
        <f>IF($F334="","",$F334*chronic_consumption!T734/1000/$C$3)</f>
        <v>#DIV/0!</v>
      </c>
      <c r="Z734" s="1040" t="e">
        <f>IF($F334="","",$F334*chronic_consumption!U734/1000/$C$3)</f>
        <v>#DIV/0!</v>
      </c>
      <c r="AA734" s="1040" t="e">
        <f>IF($F334="","",$F334*chronic_consumption!V734/1000/$C$3)</f>
        <v>#DIV/0!</v>
      </c>
      <c r="AB734" s="1040" t="e">
        <f>IF($F334="","",$F334*chronic_consumption!W734/1000/$C$3)</f>
        <v>#DIV/0!</v>
      </c>
      <c r="AC734" s="1040" t="e">
        <f>IF($F334="","",$F334*chronic_consumption!X734/1000/$C$3)</f>
        <v>#DIV/0!</v>
      </c>
      <c r="AD734" s="1040" t="e">
        <f>IF($F334="","",$F334*chronic_consumption!Y734/1000/$C$3)</f>
        <v>#DIV/0!</v>
      </c>
      <c r="AE734" s="1040" t="e">
        <f>IF($F334="","",$F334*chronic_consumption!Z734/1000/$C$3)</f>
        <v>#DIV/0!</v>
      </c>
      <c r="AF734" s="1040" t="e">
        <f>IF($F334="","",$F334*chronic_consumption!AA734/1000/$C$3)</f>
        <v>#DIV/0!</v>
      </c>
      <c r="AG734" s="1040" t="e">
        <f>IF($F334="","",$F334*chronic_consumption!AB734/1000/$C$3)</f>
        <v>#DIV/0!</v>
      </c>
      <c r="AH734" s="1040" t="e">
        <f>IF($F334="","",$F334*chronic_consumption!AC734/1000/$C$3)</f>
        <v>#DIV/0!</v>
      </c>
      <c r="AI734" s="1040" t="e">
        <f>IF($F334="","",$F334*chronic_consumption!AD734/1000/$C$3)</f>
        <v>#DIV/0!</v>
      </c>
      <c r="AJ734" s="1040" t="e">
        <f>IF($F334="","",$F334*chronic_consumption!AE734/1000/$C$3)</f>
        <v>#DIV/0!</v>
      </c>
      <c r="AK734" s="1040" t="e">
        <f>IF($F334="","",$F334*chronic_consumption!AF734/1000/$C$3)</f>
        <v>#DIV/0!</v>
      </c>
      <c r="AL734" s="1040" t="e">
        <f>IF($F334="","",$F334*chronic_consumption!AG734/1000/$C$3)</f>
        <v>#DIV/0!</v>
      </c>
      <c r="AM734" s="1040" t="e">
        <f>IF($F334="","",$F334*chronic_consumption!AH734/1000/$C$3)</f>
        <v>#DIV/0!</v>
      </c>
      <c r="AN734" s="1040" t="e">
        <f>IF($F334="","",$F334*chronic_consumption!AI734/1000/$C$3)</f>
        <v>#DIV/0!</v>
      </c>
      <c r="AO734" s="1040" t="e">
        <f>IF($F334="","",$F334*chronic_consumption!AJ734/1000/$C$3)</f>
        <v>#DIV/0!</v>
      </c>
      <c r="AP734" s="1040" t="e">
        <f>IF($F334="","",$F334*chronic_consumption!AK734/1000/$C$3)</f>
        <v>#DIV/0!</v>
      </c>
      <c r="AQ734" s="1040" t="e">
        <f>IF($F334="","",$F334*chronic_consumption!AL734/1000/$C$3)</f>
        <v>#DIV/0!</v>
      </c>
      <c r="AR734" s="1040" t="e">
        <f>IF($F334="","",$F334*chronic_consumption!AM734/1000/$C$3)</f>
        <v>#DIV/0!</v>
      </c>
      <c r="AS734" s="1040" t="e">
        <f>IF($F334="","",$F334*chronic_consumption!AN734/1000/$C$3)</f>
        <v>#DIV/0!</v>
      </c>
      <c r="AT734" s="1040" t="e">
        <f>IF($F334="","",$F334*chronic_consumption!AO734/1000/$C$3)</f>
        <v>#DIV/0!</v>
      </c>
      <c r="AU734" s="1040" t="e">
        <f>IF($F334="","",$F334*chronic_consumption!AP734/1000/$C$3)</f>
        <v>#DIV/0!</v>
      </c>
      <c r="AV734" s="1040" t="e">
        <f>IF($F334="","",$F334*chronic_consumption!AQ734/1000/$C$3)</f>
        <v>#DIV/0!</v>
      </c>
      <c r="AW734" s="1040" t="e">
        <f>IF($F334="","",$F334*chronic_consumption!AR734/1000/$C$3)</f>
        <v>#DIV/0!</v>
      </c>
      <c r="AX734" s="1040" t="e">
        <f>IF($F334="","",$F334*chronic_consumption!AS734/1000/$C$3)</f>
        <v>#DIV/0!</v>
      </c>
      <c r="AY734" s="1040" t="e">
        <f>IF($F334="","",$F334*chronic_consumption!AT734/1000/$C$3)</f>
        <v>#DIV/0!</v>
      </c>
      <c r="AZ734" s="44" t="s">
        <v>20</v>
      </c>
      <c r="BC734" s="29"/>
      <c r="BD734" s="29"/>
    </row>
    <row r="735" spans="1:56" ht="12" hidden="1" customHeight="1" outlineLevel="3" x14ac:dyDescent="0.2">
      <c r="A735" s="21">
        <f>acute_overview_children!A335</f>
        <v>4</v>
      </c>
      <c r="B735" s="325">
        <f t="shared" si="52"/>
        <v>1012030</v>
      </c>
      <c r="C735" s="325" t="str">
        <f t="shared" si="52"/>
        <v>Bovine: Liver</v>
      </c>
      <c r="D735" s="135"/>
      <c r="E735" s="1027"/>
      <c r="F735" s="87"/>
      <c r="G735" s="1027"/>
      <c r="H735" s="1029"/>
      <c r="I735" s="1030"/>
      <c r="J735" s="1039" t="e">
        <f>IF($F335="","",$F335*chronic_consumption!E735/1000/$C$3)</f>
        <v>#DIV/0!</v>
      </c>
      <c r="K735" s="1040" t="e">
        <f>IF($F335="","",$F335*chronic_consumption!F735/1000/$C$3)</f>
        <v>#DIV/0!</v>
      </c>
      <c r="L735" s="1040" t="e">
        <f>IF($F335="","",$F335*chronic_consumption!G735/1000/$C$3)</f>
        <v>#DIV/0!</v>
      </c>
      <c r="M735" s="1040" t="e">
        <f>IF($F335="","",$F335*chronic_consumption!H735/1000/$C$3)</f>
        <v>#DIV/0!</v>
      </c>
      <c r="N735" s="1040" t="e">
        <f>IF($F335="","",$F335*chronic_consumption!I735/1000/$C$3)</f>
        <v>#DIV/0!</v>
      </c>
      <c r="O735" s="1040" t="e">
        <f>IF($F335="","",$F335*chronic_consumption!J735/1000/$C$3)</f>
        <v>#DIV/0!</v>
      </c>
      <c r="P735" s="1040" t="e">
        <f>IF($F335="","",$F335*chronic_consumption!K735/1000/$C$3)</f>
        <v>#DIV/0!</v>
      </c>
      <c r="Q735" s="1040" t="e">
        <f>IF($F335="","",$F335*chronic_consumption!L735/1000/$C$3)</f>
        <v>#DIV/0!</v>
      </c>
      <c r="R735" s="1040" t="e">
        <f>IF($F335="","",$F335*chronic_consumption!M735/1000/$C$3)</f>
        <v>#DIV/0!</v>
      </c>
      <c r="S735" s="1040" t="e">
        <f>IF($F335="","",$F335*chronic_consumption!N735/1000/$C$3)</f>
        <v>#DIV/0!</v>
      </c>
      <c r="T735" s="1040" t="e">
        <f>IF($F335="","",$F335*chronic_consumption!O735/1000/$C$3)</f>
        <v>#DIV/0!</v>
      </c>
      <c r="U735" s="1040" t="e">
        <f>IF($F335="","",$F335*chronic_consumption!P735/1000/$C$3)</f>
        <v>#DIV/0!</v>
      </c>
      <c r="V735" s="1040" t="e">
        <f>IF($F335="","",$F335*chronic_consumption!Q735/1000/$C$3)</f>
        <v>#DIV/0!</v>
      </c>
      <c r="W735" s="1040" t="e">
        <f>IF($F335="","",$F335*chronic_consumption!R735/1000/$C$3)</f>
        <v>#DIV/0!</v>
      </c>
      <c r="X735" s="1040" t="e">
        <f>IF($F335="","",$F335*chronic_consumption!S735/1000/$C$3)</f>
        <v>#DIV/0!</v>
      </c>
      <c r="Y735" s="1040" t="e">
        <f>IF($F335="","",$F335*chronic_consumption!T735/1000/$C$3)</f>
        <v>#DIV/0!</v>
      </c>
      <c r="Z735" s="1040" t="e">
        <f>IF($F335="","",$F335*chronic_consumption!U735/1000/$C$3)</f>
        <v>#DIV/0!</v>
      </c>
      <c r="AA735" s="1040" t="e">
        <f>IF($F335="","",$F335*chronic_consumption!V735/1000/$C$3)</f>
        <v>#DIV/0!</v>
      </c>
      <c r="AB735" s="1040" t="e">
        <f>IF($F335="","",$F335*chronic_consumption!W735/1000/$C$3)</f>
        <v>#DIV/0!</v>
      </c>
      <c r="AC735" s="1040" t="e">
        <f>IF($F335="","",$F335*chronic_consumption!X735/1000/$C$3)</f>
        <v>#DIV/0!</v>
      </c>
      <c r="AD735" s="1040" t="e">
        <f>IF($F335="","",$F335*chronic_consumption!Y735/1000/$C$3)</f>
        <v>#DIV/0!</v>
      </c>
      <c r="AE735" s="1040" t="e">
        <f>IF($F335="","",$F335*chronic_consumption!Z735/1000/$C$3)</f>
        <v>#DIV/0!</v>
      </c>
      <c r="AF735" s="1040" t="e">
        <f>IF($F335="","",$F335*chronic_consumption!AA735/1000/$C$3)</f>
        <v>#DIV/0!</v>
      </c>
      <c r="AG735" s="1040" t="e">
        <f>IF($F335="","",$F335*chronic_consumption!AB735/1000/$C$3)</f>
        <v>#DIV/0!</v>
      </c>
      <c r="AH735" s="1040" t="e">
        <f>IF($F335="","",$F335*chronic_consumption!AC735/1000/$C$3)</f>
        <v>#DIV/0!</v>
      </c>
      <c r="AI735" s="1040" t="e">
        <f>IF($F335="","",$F335*chronic_consumption!AD735/1000/$C$3)</f>
        <v>#DIV/0!</v>
      </c>
      <c r="AJ735" s="1040" t="e">
        <f>IF($F335="","",$F335*chronic_consumption!AE735/1000/$C$3)</f>
        <v>#DIV/0!</v>
      </c>
      <c r="AK735" s="1040" t="e">
        <f>IF($F335="","",$F335*chronic_consumption!AF735/1000/$C$3)</f>
        <v>#DIV/0!</v>
      </c>
      <c r="AL735" s="1040" t="e">
        <f>IF($F335="","",$F335*chronic_consumption!AG735/1000/$C$3)</f>
        <v>#DIV/0!</v>
      </c>
      <c r="AM735" s="1040" t="e">
        <f>IF($F335="","",$F335*chronic_consumption!AH735/1000/$C$3)</f>
        <v>#DIV/0!</v>
      </c>
      <c r="AN735" s="1040" t="e">
        <f>IF($F335="","",$F335*chronic_consumption!AI735/1000/$C$3)</f>
        <v>#DIV/0!</v>
      </c>
      <c r="AO735" s="1040" t="e">
        <f>IF($F335="","",$F335*chronic_consumption!AJ735/1000/$C$3)</f>
        <v>#DIV/0!</v>
      </c>
      <c r="AP735" s="1040" t="e">
        <f>IF($F335="","",$F335*chronic_consumption!AK735/1000/$C$3)</f>
        <v>#DIV/0!</v>
      </c>
      <c r="AQ735" s="1040" t="e">
        <f>IF($F335="","",$F335*chronic_consumption!AL735/1000/$C$3)</f>
        <v>#DIV/0!</v>
      </c>
      <c r="AR735" s="1040" t="e">
        <f>IF($F335="","",$F335*chronic_consumption!AM735/1000/$C$3)</f>
        <v>#DIV/0!</v>
      </c>
      <c r="AS735" s="1040" t="e">
        <f>IF($F335="","",$F335*chronic_consumption!AN735/1000/$C$3)</f>
        <v>#DIV/0!</v>
      </c>
      <c r="AT735" s="1040" t="e">
        <f>IF($F335="","",$F335*chronic_consumption!AO735/1000/$C$3)</f>
        <v>#DIV/0!</v>
      </c>
      <c r="AU735" s="1040" t="e">
        <f>IF($F335="","",$F335*chronic_consumption!AP735/1000/$C$3)</f>
        <v>#DIV/0!</v>
      </c>
      <c r="AV735" s="1040" t="e">
        <f>IF($F335="","",$F335*chronic_consumption!AQ735/1000/$C$3)</f>
        <v>#DIV/0!</v>
      </c>
      <c r="AW735" s="1040" t="e">
        <f>IF($F335="","",$F335*chronic_consumption!AR735/1000/$C$3)</f>
        <v>#DIV/0!</v>
      </c>
      <c r="AX735" s="1040" t="e">
        <f>IF($F335="","",$F335*chronic_consumption!AS735/1000/$C$3)</f>
        <v>#DIV/0!</v>
      </c>
      <c r="AY735" s="1040" t="e">
        <f>IF($F335="","",$F335*chronic_consumption!AT735/1000/$C$3)</f>
        <v>#DIV/0!</v>
      </c>
      <c r="AZ735" s="44" t="s">
        <v>20</v>
      </c>
      <c r="BC735" s="29"/>
      <c r="BD735" s="29"/>
    </row>
    <row r="736" spans="1:56" ht="12" hidden="1" customHeight="1" outlineLevel="3" x14ac:dyDescent="0.2">
      <c r="A736" s="21">
        <f>acute_overview_children!A336</f>
        <v>4</v>
      </c>
      <c r="B736" s="325">
        <f t="shared" si="52"/>
        <v>1012040</v>
      </c>
      <c r="C736" s="325" t="str">
        <f t="shared" si="52"/>
        <v>Bovine: Kidney</v>
      </c>
      <c r="D736" s="135"/>
      <c r="E736" s="1027"/>
      <c r="F736" s="87"/>
      <c r="G736" s="1027"/>
      <c r="H736" s="1029"/>
      <c r="I736" s="1030"/>
      <c r="J736" s="1039" t="e">
        <f>IF($F336="","",$F336*chronic_consumption!E736/1000/$C$3)</f>
        <v>#DIV/0!</v>
      </c>
      <c r="K736" s="1040" t="e">
        <f>IF($F336="","",$F336*chronic_consumption!F736/1000/$C$3)</f>
        <v>#DIV/0!</v>
      </c>
      <c r="L736" s="1040" t="e">
        <f>IF($F336="","",$F336*chronic_consumption!G736/1000/$C$3)</f>
        <v>#DIV/0!</v>
      </c>
      <c r="M736" s="1040" t="e">
        <f>IF($F336="","",$F336*chronic_consumption!H736/1000/$C$3)</f>
        <v>#DIV/0!</v>
      </c>
      <c r="N736" s="1040" t="e">
        <f>IF($F336="","",$F336*chronic_consumption!I736/1000/$C$3)</f>
        <v>#DIV/0!</v>
      </c>
      <c r="O736" s="1040" t="e">
        <f>IF($F336="","",$F336*chronic_consumption!J736/1000/$C$3)</f>
        <v>#DIV/0!</v>
      </c>
      <c r="P736" s="1040" t="e">
        <f>IF($F336="","",$F336*chronic_consumption!K736/1000/$C$3)</f>
        <v>#DIV/0!</v>
      </c>
      <c r="Q736" s="1040" t="e">
        <f>IF($F336="","",$F336*chronic_consumption!L736/1000/$C$3)</f>
        <v>#DIV/0!</v>
      </c>
      <c r="R736" s="1040" t="e">
        <f>IF($F336="","",$F336*chronic_consumption!M736/1000/$C$3)</f>
        <v>#DIV/0!</v>
      </c>
      <c r="S736" s="1040" t="e">
        <f>IF($F336="","",$F336*chronic_consumption!N736/1000/$C$3)</f>
        <v>#DIV/0!</v>
      </c>
      <c r="T736" s="1040" t="e">
        <f>IF($F336="","",$F336*chronic_consumption!O736/1000/$C$3)</f>
        <v>#DIV/0!</v>
      </c>
      <c r="U736" s="1040" t="e">
        <f>IF($F336="","",$F336*chronic_consumption!P736/1000/$C$3)</f>
        <v>#DIV/0!</v>
      </c>
      <c r="V736" s="1040" t="e">
        <f>IF($F336="","",$F336*chronic_consumption!Q736/1000/$C$3)</f>
        <v>#DIV/0!</v>
      </c>
      <c r="W736" s="1040" t="e">
        <f>IF($F336="","",$F336*chronic_consumption!R736/1000/$C$3)</f>
        <v>#DIV/0!</v>
      </c>
      <c r="X736" s="1040" t="e">
        <f>IF($F336="","",$F336*chronic_consumption!S736/1000/$C$3)</f>
        <v>#DIV/0!</v>
      </c>
      <c r="Y736" s="1040" t="e">
        <f>IF($F336="","",$F336*chronic_consumption!T736/1000/$C$3)</f>
        <v>#DIV/0!</v>
      </c>
      <c r="Z736" s="1040" t="e">
        <f>IF($F336="","",$F336*chronic_consumption!U736/1000/$C$3)</f>
        <v>#DIV/0!</v>
      </c>
      <c r="AA736" s="1040" t="e">
        <f>IF($F336="","",$F336*chronic_consumption!V736/1000/$C$3)</f>
        <v>#DIV/0!</v>
      </c>
      <c r="AB736" s="1040" t="e">
        <f>IF($F336="","",$F336*chronic_consumption!W736/1000/$C$3)</f>
        <v>#DIV/0!</v>
      </c>
      <c r="AC736" s="1040" t="e">
        <f>IF($F336="","",$F336*chronic_consumption!X736/1000/$C$3)</f>
        <v>#DIV/0!</v>
      </c>
      <c r="AD736" s="1040" t="e">
        <f>IF($F336="","",$F336*chronic_consumption!Y736/1000/$C$3)</f>
        <v>#DIV/0!</v>
      </c>
      <c r="AE736" s="1040" t="e">
        <f>IF($F336="","",$F336*chronic_consumption!Z736/1000/$C$3)</f>
        <v>#DIV/0!</v>
      </c>
      <c r="AF736" s="1040" t="e">
        <f>IF($F336="","",$F336*chronic_consumption!AA736/1000/$C$3)</f>
        <v>#DIV/0!</v>
      </c>
      <c r="AG736" s="1040" t="e">
        <f>IF($F336="","",$F336*chronic_consumption!AB736/1000/$C$3)</f>
        <v>#DIV/0!</v>
      </c>
      <c r="AH736" s="1040" t="e">
        <f>IF($F336="","",$F336*chronic_consumption!AC736/1000/$C$3)</f>
        <v>#DIV/0!</v>
      </c>
      <c r="AI736" s="1040" t="e">
        <f>IF($F336="","",$F336*chronic_consumption!AD736/1000/$C$3)</f>
        <v>#DIV/0!</v>
      </c>
      <c r="AJ736" s="1040" t="e">
        <f>IF($F336="","",$F336*chronic_consumption!AE736/1000/$C$3)</f>
        <v>#DIV/0!</v>
      </c>
      <c r="AK736" s="1040" t="e">
        <f>IF($F336="","",$F336*chronic_consumption!AF736/1000/$C$3)</f>
        <v>#DIV/0!</v>
      </c>
      <c r="AL736" s="1040" t="e">
        <f>IF($F336="","",$F336*chronic_consumption!AG736/1000/$C$3)</f>
        <v>#DIV/0!</v>
      </c>
      <c r="AM736" s="1040" t="e">
        <f>IF($F336="","",$F336*chronic_consumption!AH736/1000/$C$3)</f>
        <v>#DIV/0!</v>
      </c>
      <c r="AN736" s="1040" t="e">
        <f>IF($F336="","",$F336*chronic_consumption!AI736/1000/$C$3)</f>
        <v>#DIV/0!</v>
      </c>
      <c r="AO736" s="1040" t="e">
        <f>IF($F336="","",$F336*chronic_consumption!AJ736/1000/$C$3)</f>
        <v>#DIV/0!</v>
      </c>
      <c r="AP736" s="1040" t="e">
        <f>IF($F336="","",$F336*chronic_consumption!AK736/1000/$C$3)</f>
        <v>#DIV/0!</v>
      </c>
      <c r="AQ736" s="1040" t="e">
        <f>IF($F336="","",$F336*chronic_consumption!AL736/1000/$C$3)</f>
        <v>#DIV/0!</v>
      </c>
      <c r="AR736" s="1040" t="e">
        <f>IF($F336="","",$F336*chronic_consumption!AM736/1000/$C$3)</f>
        <v>#DIV/0!</v>
      </c>
      <c r="AS736" s="1040" t="e">
        <f>IF($F336="","",$F336*chronic_consumption!AN736/1000/$C$3)</f>
        <v>#DIV/0!</v>
      </c>
      <c r="AT736" s="1040" t="e">
        <f>IF($F336="","",$F336*chronic_consumption!AO736/1000/$C$3)</f>
        <v>#DIV/0!</v>
      </c>
      <c r="AU736" s="1040" t="e">
        <f>IF($F336="","",$F336*chronic_consumption!AP736/1000/$C$3)</f>
        <v>#DIV/0!</v>
      </c>
      <c r="AV736" s="1040" t="e">
        <f>IF($F336="","",$F336*chronic_consumption!AQ736/1000/$C$3)</f>
        <v>#DIV/0!</v>
      </c>
      <c r="AW736" s="1040" t="e">
        <f>IF($F336="","",$F336*chronic_consumption!AR736/1000/$C$3)</f>
        <v>#DIV/0!</v>
      </c>
      <c r="AX736" s="1040" t="e">
        <f>IF($F336="","",$F336*chronic_consumption!AS736/1000/$C$3)</f>
        <v>#DIV/0!</v>
      </c>
      <c r="AY736" s="1040" t="e">
        <f>IF($F336="","",$F336*chronic_consumption!AT736/1000/$C$3)</f>
        <v>#DIV/0!</v>
      </c>
      <c r="AZ736" s="44" t="s">
        <v>20</v>
      </c>
      <c r="BC736" s="29"/>
      <c r="BD736" s="29"/>
    </row>
    <row r="737" spans="1:56" ht="12" hidden="1" customHeight="1" outlineLevel="3" x14ac:dyDescent="0.2">
      <c r="A737" s="21">
        <f>acute_overview_children!A337</f>
        <v>4</v>
      </c>
      <c r="B737" s="325">
        <f t="shared" si="52"/>
        <v>1012050</v>
      </c>
      <c r="C737" s="325" t="str">
        <f t="shared" si="52"/>
        <v>Bovine: Edible offals (other than liver and kidney)</v>
      </c>
      <c r="D737" s="135"/>
      <c r="E737" s="1027"/>
      <c r="F737" s="87"/>
      <c r="G737" s="1027"/>
      <c r="H737" s="1029"/>
      <c r="I737" s="1030"/>
      <c r="J737" s="1039" t="e">
        <f>IF($F337="","",$F337*chronic_consumption!E737/1000/$C$3)</f>
        <v>#DIV/0!</v>
      </c>
      <c r="K737" s="1040" t="e">
        <f>IF($F337="","",$F337*chronic_consumption!F737/1000/$C$3)</f>
        <v>#DIV/0!</v>
      </c>
      <c r="L737" s="1040" t="e">
        <f>IF($F337="","",$F337*chronic_consumption!G737/1000/$C$3)</f>
        <v>#DIV/0!</v>
      </c>
      <c r="M737" s="1040" t="e">
        <f>IF($F337="","",$F337*chronic_consumption!H737/1000/$C$3)</f>
        <v>#DIV/0!</v>
      </c>
      <c r="N737" s="1040" t="e">
        <f>IF($F337="","",$F337*chronic_consumption!I737/1000/$C$3)</f>
        <v>#DIV/0!</v>
      </c>
      <c r="O737" s="1040" t="e">
        <f>IF($F337="","",$F337*chronic_consumption!J737/1000/$C$3)</f>
        <v>#DIV/0!</v>
      </c>
      <c r="P737" s="1040" t="e">
        <f>IF($F337="","",$F337*chronic_consumption!K737/1000/$C$3)</f>
        <v>#DIV/0!</v>
      </c>
      <c r="Q737" s="1040" t="e">
        <f>IF($F337="","",$F337*chronic_consumption!L737/1000/$C$3)</f>
        <v>#DIV/0!</v>
      </c>
      <c r="R737" s="1040" t="e">
        <f>IF($F337="","",$F337*chronic_consumption!M737/1000/$C$3)</f>
        <v>#DIV/0!</v>
      </c>
      <c r="S737" s="1040" t="e">
        <f>IF($F337="","",$F337*chronic_consumption!N737/1000/$C$3)</f>
        <v>#DIV/0!</v>
      </c>
      <c r="T737" s="1040" t="e">
        <f>IF($F337="","",$F337*chronic_consumption!O737/1000/$C$3)</f>
        <v>#DIV/0!</v>
      </c>
      <c r="U737" s="1040" t="e">
        <f>IF($F337="","",$F337*chronic_consumption!P737/1000/$C$3)</f>
        <v>#DIV/0!</v>
      </c>
      <c r="V737" s="1040" t="e">
        <f>IF($F337="","",$F337*chronic_consumption!Q737/1000/$C$3)</f>
        <v>#DIV/0!</v>
      </c>
      <c r="W737" s="1040" t="e">
        <f>IF($F337="","",$F337*chronic_consumption!R737/1000/$C$3)</f>
        <v>#DIV/0!</v>
      </c>
      <c r="X737" s="1040" t="e">
        <f>IF($F337="","",$F337*chronic_consumption!S737/1000/$C$3)</f>
        <v>#DIV/0!</v>
      </c>
      <c r="Y737" s="1040" t="e">
        <f>IF($F337="","",$F337*chronic_consumption!T737/1000/$C$3)</f>
        <v>#DIV/0!</v>
      </c>
      <c r="Z737" s="1040" t="e">
        <f>IF($F337="","",$F337*chronic_consumption!U737/1000/$C$3)</f>
        <v>#DIV/0!</v>
      </c>
      <c r="AA737" s="1040" t="e">
        <f>IF($F337="","",$F337*chronic_consumption!V737/1000/$C$3)</f>
        <v>#DIV/0!</v>
      </c>
      <c r="AB737" s="1040" t="e">
        <f>IF($F337="","",$F337*chronic_consumption!W737/1000/$C$3)</f>
        <v>#DIV/0!</v>
      </c>
      <c r="AC737" s="1040" t="e">
        <f>IF($F337="","",$F337*chronic_consumption!X737/1000/$C$3)</f>
        <v>#DIV/0!</v>
      </c>
      <c r="AD737" s="1040" t="e">
        <f>IF($F337="","",$F337*chronic_consumption!Y737/1000/$C$3)</f>
        <v>#DIV/0!</v>
      </c>
      <c r="AE737" s="1040" t="e">
        <f>IF($F337="","",$F337*chronic_consumption!Z737/1000/$C$3)</f>
        <v>#DIV/0!</v>
      </c>
      <c r="AF737" s="1040" t="e">
        <f>IF($F337="","",$F337*chronic_consumption!AA737/1000/$C$3)</f>
        <v>#DIV/0!</v>
      </c>
      <c r="AG737" s="1040" t="e">
        <f>IF($F337="","",$F337*chronic_consumption!AB737/1000/$C$3)</f>
        <v>#DIV/0!</v>
      </c>
      <c r="AH737" s="1040" t="e">
        <f>IF($F337="","",$F337*chronic_consumption!AC737/1000/$C$3)</f>
        <v>#DIV/0!</v>
      </c>
      <c r="AI737" s="1040" t="e">
        <f>IF($F337="","",$F337*chronic_consumption!AD737/1000/$C$3)</f>
        <v>#DIV/0!</v>
      </c>
      <c r="AJ737" s="1040" t="e">
        <f>IF($F337="","",$F337*chronic_consumption!AE737/1000/$C$3)</f>
        <v>#DIV/0!</v>
      </c>
      <c r="AK737" s="1040" t="e">
        <f>IF($F337="","",$F337*chronic_consumption!AF737/1000/$C$3)</f>
        <v>#DIV/0!</v>
      </c>
      <c r="AL737" s="1040" t="e">
        <f>IF($F337="","",$F337*chronic_consumption!AG737/1000/$C$3)</f>
        <v>#DIV/0!</v>
      </c>
      <c r="AM737" s="1040" t="e">
        <f>IF($F337="","",$F337*chronic_consumption!AH737/1000/$C$3)</f>
        <v>#DIV/0!</v>
      </c>
      <c r="AN737" s="1040" t="e">
        <f>IF($F337="","",$F337*chronic_consumption!AI737/1000/$C$3)</f>
        <v>#DIV/0!</v>
      </c>
      <c r="AO737" s="1040" t="e">
        <f>IF($F337="","",$F337*chronic_consumption!AJ737/1000/$C$3)</f>
        <v>#DIV/0!</v>
      </c>
      <c r="AP737" s="1040" t="e">
        <f>IF($F337="","",$F337*chronic_consumption!AK737/1000/$C$3)</f>
        <v>#DIV/0!</v>
      </c>
      <c r="AQ737" s="1040" t="e">
        <f>IF($F337="","",$F337*chronic_consumption!AL737/1000/$C$3)</f>
        <v>#DIV/0!</v>
      </c>
      <c r="AR737" s="1040" t="e">
        <f>IF($F337="","",$F337*chronic_consumption!AM737/1000/$C$3)</f>
        <v>#DIV/0!</v>
      </c>
      <c r="AS737" s="1040" t="e">
        <f>IF($F337="","",$F337*chronic_consumption!AN737/1000/$C$3)</f>
        <v>#DIV/0!</v>
      </c>
      <c r="AT737" s="1040" t="e">
        <f>IF($F337="","",$F337*chronic_consumption!AO737/1000/$C$3)</f>
        <v>#DIV/0!</v>
      </c>
      <c r="AU737" s="1040" t="e">
        <f>IF($F337="","",$F337*chronic_consumption!AP737/1000/$C$3)</f>
        <v>#DIV/0!</v>
      </c>
      <c r="AV737" s="1040" t="e">
        <f>IF($F337="","",$F337*chronic_consumption!AQ737/1000/$C$3)</f>
        <v>#DIV/0!</v>
      </c>
      <c r="AW737" s="1040" t="e">
        <f>IF($F337="","",$F337*chronic_consumption!AR737/1000/$C$3)</f>
        <v>#DIV/0!</v>
      </c>
      <c r="AX737" s="1040" t="e">
        <f>IF($F337="","",$F337*chronic_consumption!AS737/1000/$C$3)</f>
        <v>#DIV/0!</v>
      </c>
      <c r="AY737" s="1040" t="e">
        <f>IF($F337="","",$F337*chronic_consumption!AT737/1000/$C$3)</f>
        <v>#DIV/0!</v>
      </c>
      <c r="AZ737" s="44" t="s">
        <v>20</v>
      </c>
      <c r="BC737" s="29"/>
      <c r="BD737" s="29"/>
    </row>
    <row r="738" spans="1:56" ht="12" hidden="1" customHeight="1" outlineLevel="3" x14ac:dyDescent="0.2">
      <c r="A738" s="21">
        <f>acute_overview_children!A338</f>
        <v>4</v>
      </c>
      <c r="B738" s="325">
        <f t="shared" si="52"/>
        <v>1012990</v>
      </c>
      <c r="C738" s="325" t="str">
        <f t="shared" si="52"/>
        <v>Bovine: Other products</v>
      </c>
      <c r="D738" s="135"/>
      <c r="E738" s="1027"/>
      <c r="F738" s="87"/>
      <c r="G738" s="1027"/>
      <c r="H738" s="1029"/>
      <c r="I738" s="1030"/>
      <c r="J738" s="1039" t="e">
        <f>IF($F338="","",$F338*chronic_consumption!E738/1000/$C$3)</f>
        <v>#DIV/0!</v>
      </c>
      <c r="K738" s="1040" t="e">
        <f>IF($F338="","",$F338*chronic_consumption!F738/1000/$C$3)</f>
        <v>#DIV/0!</v>
      </c>
      <c r="L738" s="1040" t="e">
        <f>IF($F338="","",$F338*chronic_consumption!G738/1000/$C$3)</f>
        <v>#DIV/0!</v>
      </c>
      <c r="M738" s="1040" t="e">
        <f>IF($F338="","",$F338*chronic_consumption!H738/1000/$C$3)</f>
        <v>#DIV/0!</v>
      </c>
      <c r="N738" s="1040" t="e">
        <f>IF($F338="","",$F338*chronic_consumption!I738/1000/$C$3)</f>
        <v>#DIV/0!</v>
      </c>
      <c r="O738" s="1040" t="e">
        <f>IF($F338="","",$F338*chronic_consumption!J738/1000/$C$3)</f>
        <v>#DIV/0!</v>
      </c>
      <c r="P738" s="1040" t="e">
        <f>IF($F338="","",$F338*chronic_consumption!K738/1000/$C$3)</f>
        <v>#DIV/0!</v>
      </c>
      <c r="Q738" s="1040" t="e">
        <f>IF($F338="","",$F338*chronic_consumption!L738/1000/$C$3)</f>
        <v>#DIV/0!</v>
      </c>
      <c r="R738" s="1040" t="e">
        <f>IF($F338="","",$F338*chronic_consumption!M738/1000/$C$3)</f>
        <v>#DIV/0!</v>
      </c>
      <c r="S738" s="1040" t="e">
        <f>IF($F338="","",$F338*chronic_consumption!N738/1000/$C$3)</f>
        <v>#DIV/0!</v>
      </c>
      <c r="T738" s="1040" t="e">
        <f>IF($F338="","",$F338*chronic_consumption!O738/1000/$C$3)</f>
        <v>#DIV/0!</v>
      </c>
      <c r="U738" s="1040" t="e">
        <f>IF($F338="","",$F338*chronic_consumption!P738/1000/$C$3)</f>
        <v>#DIV/0!</v>
      </c>
      <c r="V738" s="1040" t="e">
        <f>IF($F338="","",$F338*chronic_consumption!Q738/1000/$C$3)</f>
        <v>#DIV/0!</v>
      </c>
      <c r="W738" s="1040" t="e">
        <f>IF($F338="","",$F338*chronic_consumption!R738/1000/$C$3)</f>
        <v>#DIV/0!</v>
      </c>
      <c r="X738" s="1040" t="e">
        <f>IF($F338="","",$F338*chronic_consumption!S738/1000/$C$3)</f>
        <v>#DIV/0!</v>
      </c>
      <c r="Y738" s="1040" t="e">
        <f>IF($F338="","",$F338*chronic_consumption!T738/1000/$C$3)</f>
        <v>#DIV/0!</v>
      </c>
      <c r="Z738" s="1040" t="e">
        <f>IF($F338="","",$F338*chronic_consumption!U738/1000/$C$3)</f>
        <v>#DIV/0!</v>
      </c>
      <c r="AA738" s="1040" t="e">
        <f>IF($F338="","",$F338*chronic_consumption!V738/1000/$C$3)</f>
        <v>#DIV/0!</v>
      </c>
      <c r="AB738" s="1040" t="e">
        <f>IF($F338="","",$F338*chronic_consumption!W738/1000/$C$3)</f>
        <v>#DIV/0!</v>
      </c>
      <c r="AC738" s="1040" t="e">
        <f>IF($F338="","",$F338*chronic_consumption!X738/1000/$C$3)</f>
        <v>#DIV/0!</v>
      </c>
      <c r="AD738" s="1040" t="e">
        <f>IF($F338="","",$F338*chronic_consumption!Y738/1000/$C$3)</f>
        <v>#DIV/0!</v>
      </c>
      <c r="AE738" s="1040" t="e">
        <f>IF($F338="","",$F338*chronic_consumption!Z738/1000/$C$3)</f>
        <v>#DIV/0!</v>
      </c>
      <c r="AF738" s="1040" t="e">
        <f>IF($F338="","",$F338*chronic_consumption!AA738/1000/$C$3)</f>
        <v>#DIV/0!</v>
      </c>
      <c r="AG738" s="1040" t="e">
        <f>IF($F338="","",$F338*chronic_consumption!AB738/1000/$C$3)</f>
        <v>#DIV/0!</v>
      </c>
      <c r="AH738" s="1040" t="e">
        <f>IF($F338="","",$F338*chronic_consumption!AC738/1000/$C$3)</f>
        <v>#DIV/0!</v>
      </c>
      <c r="AI738" s="1040" t="e">
        <f>IF($F338="","",$F338*chronic_consumption!AD738/1000/$C$3)</f>
        <v>#DIV/0!</v>
      </c>
      <c r="AJ738" s="1040" t="e">
        <f>IF($F338="","",$F338*chronic_consumption!AE738/1000/$C$3)</f>
        <v>#DIV/0!</v>
      </c>
      <c r="AK738" s="1040" t="e">
        <f>IF($F338="","",$F338*chronic_consumption!AF738/1000/$C$3)</f>
        <v>#DIV/0!</v>
      </c>
      <c r="AL738" s="1040" t="e">
        <f>IF($F338="","",$F338*chronic_consumption!AG738/1000/$C$3)</f>
        <v>#DIV/0!</v>
      </c>
      <c r="AM738" s="1040" t="e">
        <f>IF($F338="","",$F338*chronic_consumption!AH738/1000/$C$3)</f>
        <v>#DIV/0!</v>
      </c>
      <c r="AN738" s="1040" t="e">
        <f>IF($F338="","",$F338*chronic_consumption!AI738/1000/$C$3)</f>
        <v>#DIV/0!</v>
      </c>
      <c r="AO738" s="1040" t="e">
        <f>IF($F338="","",$F338*chronic_consumption!AJ738/1000/$C$3)</f>
        <v>#DIV/0!</v>
      </c>
      <c r="AP738" s="1040" t="e">
        <f>IF($F338="","",$F338*chronic_consumption!AK738/1000/$C$3)</f>
        <v>#DIV/0!</v>
      </c>
      <c r="AQ738" s="1040" t="e">
        <f>IF($F338="","",$F338*chronic_consumption!AL738/1000/$C$3)</f>
        <v>#DIV/0!</v>
      </c>
      <c r="AR738" s="1040" t="e">
        <f>IF($F338="","",$F338*chronic_consumption!AM738/1000/$C$3)</f>
        <v>#DIV/0!</v>
      </c>
      <c r="AS738" s="1040" t="e">
        <f>IF($F338="","",$F338*chronic_consumption!AN738/1000/$C$3)</f>
        <v>#DIV/0!</v>
      </c>
      <c r="AT738" s="1040" t="e">
        <f>IF($F338="","",$F338*chronic_consumption!AO738/1000/$C$3)</f>
        <v>#DIV/0!</v>
      </c>
      <c r="AU738" s="1040" t="e">
        <f>IF($F338="","",$F338*chronic_consumption!AP738/1000/$C$3)</f>
        <v>#DIV/0!</v>
      </c>
      <c r="AV738" s="1040" t="e">
        <f>IF($F338="","",$F338*chronic_consumption!AQ738/1000/$C$3)</f>
        <v>#DIV/0!</v>
      </c>
      <c r="AW738" s="1040" t="e">
        <f>IF($F338="","",$F338*chronic_consumption!AR738/1000/$C$3)</f>
        <v>#DIV/0!</v>
      </c>
      <c r="AX738" s="1040" t="e">
        <f>IF($F338="","",$F338*chronic_consumption!AS738/1000/$C$3)</f>
        <v>#DIV/0!</v>
      </c>
      <c r="AY738" s="1040" t="e">
        <f>IF($F338="","",$F338*chronic_consumption!AT738/1000/$C$3)</f>
        <v>#DIV/0!</v>
      </c>
      <c r="AZ738" s="44" t="s">
        <v>20</v>
      </c>
      <c r="BC738" s="29"/>
      <c r="BD738" s="29"/>
    </row>
    <row r="739" spans="1:56" ht="12" hidden="1" customHeight="1" outlineLevel="2" x14ac:dyDescent="0.2">
      <c r="A739" s="353">
        <f>acute_overview_children!A339</f>
        <v>3</v>
      </c>
      <c r="B739" s="1046">
        <f t="shared" si="52"/>
        <v>1013000</v>
      </c>
      <c r="C739" s="1046" t="str">
        <f t="shared" si="52"/>
        <v>Sheep</v>
      </c>
      <c r="D739" s="135"/>
      <c r="E739" s="1027"/>
      <c r="F739" s="87"/>
      <c r="G739" s="1027"/>
      <c r="H739" s="1029"/>
      <c r="I739" s="1030"/>
      <c r="J739" s="1047" t="e">
        <f>IF($F339="","",$F339*chronic_consumption!E739/1000/$C$3)</f>
        <v>#DIV/0!</v>
      </c>
      <c r="K739" s="1048" t="e">
        <f>IF($F339="","",$F339*chronic_consumption!F739/1000/$C$3)</f>
        <v>#DIV/0!</v>
      </c>
      <c r="L739" s="1048" t="e">
        <f>IF($F339="","",$F339*chronic_consumption!G739/1000/$C$3)</f>
        <v>#DIV/0!</v>
      </c>
      <c r="M739" s="1048" t="e">
        <f>IF($F339="","",$F339*chronic_consumption!H739/1000/$C$3)</f>
        <v>#DIV/0!</v>
      </c>
      <c r="N739" s="1048" t="e">
        <f>IF($F339="","",$F339*chronic_consumption!I739/1000/$C$3)</f>
        <v>#DIV/0!</v>
      </c>
      <c r="O739" s="1048" t="e">
        <f>IF($F339="","",$F339*chronic_consumption!J739/1000/$C$3)</f>
        <v>#DIV/0!</v>
      </c>
      <c r="P739" s="1048" t="e">
        <f>IF($F339="","",$F339*chronic_consumption!K739/1000/$C$3)</f>
        <v>#DIV/0!</v>
      </c>
      <c r="Q739" s="1048" t="e">
        <f>IF($F339="","",$F339*chronic_consumption!L739/1000/$C$3)</f>
        <v>#DIV/0!</v>
      </c>
      <c r="R739" s="1048" t="e">
        <f>IF($F339="","",$F339*chronic_consumption!M739/1000/$C$3)</f>
        <v>#DIV/0!</v>
      </c>
      <c r="S739" s="1048" t="e">
        <f>IF($F339="","",$F339*chronic_consumption!N739/1000/$C$3)</f>
        <v>#DIV/0!</v>
      </c>
      <c r="T739" s="1048" t="e">
        <f>IF($F339="","",$F339*chronic_consumption!O739/1000/$C$3)</f>
        <v>#DIV/0!</v>
      </c>
      <c r="U739" s="1048" t="e">
        <f>IF($F339="","",$F339*chronic_consumption!P739/1000/$C$3)</f>
        <v>#DIV/0!</v>
      </c>
      <c r="V739" s="1048" t="e">
        <f>IF($F339="","",$F339*chronic_consumption!Q739/1000/$C$3)</f>
        <v>#DIV/0!</v>
      </c>
      <c r="W739" s="1048" t="e">
        <f>IF($F339="","",$F339*chronic_consumption!R739/1000/$C$3)</f>
        <v>#DIV/0!</v>
      </c>
      <c r="X739" s="1048" t="e">
        <f>IF($F339="","",$F339*chronic_consumption!S739/1000/$C$3)</f>
        <v>#DIV/0!</v>
      </c>
      <c r="Y739" s="1048" t="e">
        <f>IF($F339="","",$F339*chronic_consumption!T739/1000/$C$3)</f>
        <v>#DIV/0!</v>
      </c>
      <c r="Z739" s="1048" t="e">
        <f>IF($F339="","",$F339*chronic_consumption!U739/1000/$C$3)</f>
        <v>#DIV/0!</v>
      </c>
      <c r="AA739" s="1048" t="e">
        <f>IF($F339="","",$F339*chronic_consumption!V739/1000/$C$3)</f>
        <v>#DIV/0!</v>
      </c>
      <c r="AB739" s="1048" t="e">
        <f>IF($F339="","",$F339*chronic_consumption!W739/1000/$C$3)</f>
        <v>#DIV/0!</v>
      </c>
      <c r="AC739" s="1048" t="e">
        <f>IF($F339="","",$F339*chronic_consumption!X739/1000/$C$3)</f>
        <v>#DIV/0!</v>
      </c>
      <c r="AD739" s="1048" t="e">
        <f>IF($F339="","",$F339*chronic_consumption!Y739/1000/$C$3)</f>
        <v>#DIV/0!</v>
      </c>
      <c r="AE739" s="1048" t="e">
        <f>IF($F339="","",$F339*chronic_consumption!Z739/1000/$C$3)</f>
        <v>#DIV/0!</v>
      </c>
      <c r="AF739" s="1048" t="e">
        <f>IF($F339="","",$F339*chronic_consumption!AA739/1000/$C$3)</f>
        <v>#DIV/0!</v>
      </c>
      <c r="AG739" s="1048" t="e">
        <f>IF($F339="","",$F339*chronic_consumption!AB739/1000/$C$3)</f>
        <v>#DIV/0!</v>
      </c>
      <c r="AH739" s="1048" t="e">
        <f>IF($F339="","",$F339*chronic_consumption!AC739/1000/$C$3)</f>
        <v>#DIV/0!</v>
      </c>
      <c r="AI739" s="1048" t="e">
        <f>IF($F339="","",$F339*chronic_consumption!AD739/1000/$C$3)</f>
        <v>#DIV/0!</v>
      </c>
      <c r="AJ739" s="1048" t="e">
        <f>IF($F339="","",$F339*chronic_consumption!AE739/1000/$C$3)</f>
        <v>#DIV/0!</v>
      </c>
      <c r="AK739" s="1048" t="e">
        <f>IF($F339="","",$F339*chronic_consumption!AF739/1000/$C$3)</f>
        <v>#DIV/0!</v>
      </c>
      <c r="AL739" s="1048" t="e">
        <f>IF($F339="","",$F339*chronic_consumption!AG739/1000/$C$3)</f>
        <v>#DIV/0!</v>
      </c>
      <c r="AM739" s="1048" t="e">
        <f>IF($F339="","",$F339*chronic_consumption!AH739/1000/$C$3)</f>
        <v>#DIV/0!</v>
      </c>
      <c r="AN739" s="1048" t="e">
        <f>IF($F339="","",$F339*chronic_consumption!AI739/1000/$C$3)</f>
        <v>#DIV/0!</v>
      </c>
      <c r="AO739" s="1048" t="e">
        <f>IF($F339="","",$F339*chronic_consumption!AJ739/1000/$C$3)</f>
        <v>#DIV/0!</v>
      </c>
      <c r="AP739" s="1048" t="e">
        <f>IF($F339="","",$F339*chronic_consumption!AK739/1000/$C$3)</f>
        <v>#DIV/0!</v>
      </c>
      <c r="AQ739" s="1048" t="e">
        <f>IF($F339="","",$F339*chronic_consumption!AL739/1000/$C$3)</f>
        <v>#DIV/0!</v>
      </c>
      <c r="AR739" s="1048" t="e">
        <f>IF($F339="","",$F339*chronic_consumption!AM739/1000/$C$3)</f>
        <v>#DIV/0!</v>
      </c>
      <c r="AS739" s="1048" t="e">
        <f>IF($F339="","",$F339*chronic_consumption!AN739/1000/$C$3)</f>
        <v>#DIV/0!</v>
      </c>
      <c r="AT739" s="1048" t="e">
        <f>IF($F339="","",$F339*chronic_consumption!AO739/1000/$C$3)</f>
        <v>#DIV/0!</v>
      </c>
      <c r="AU739" s="1048" t="e">
        <f>IF($F339="","",$F339*chronic_consumption!AP739/1000/$C$3)</f>
        <v>#DIV/0!</v>
      </c>
      <c r="AV739" s="1048" t="e">
        <f>IF($F339="","",$F339*chronic_consumption!AQ739/1000/$C$3)</f>
        <v>#DIV/0!</v>
      </c>
      <c r="AW739" s="1048" t="e">
        <f>IF($F339="","",$F339*chronic_consumption!AR739/1000/$C$3)</f>
        <v>#DIV/0!</v>
      </c>
      <c r="AX739" s="1048" t="e">
        <f>IF($F339="","",$F339*chronic_consumption!AS739/1000/$C$3)</f>
        <v>#DIV/0!</v>
      </c>
      <c r="AY739" s="1048" t="e">
        <f>IF($F339="","",$F339*chronic_consumption!AT739/1000/$C$3)</f>
        <v>#DIV/0!</v>
      </c>
      <c r="AZ739" s="44" t="s">
        <v>20</v>
      </c>
      <c r="BC739" s="29"/>
      <c r="BD739" s="29"/>
    </row>
    <row r="740" spans="1:56" ht="12" hidden="1" customHeight="1" outlineLevel="3" x14ac:dyDescent="0.2">
      <c r="A740" s="21">
        <f>acute_overview_children!A340</f>
        <v>4</v>
      </c>
      <c r="B740" s="325">
        <f t="shared" si="52"/>
        <v>1013010</v>
      </c>
      <c r="C740" s="325" t="str">
        <f t="shared" si="52"/>
        <v>Sheep: Muscle/meat</v>
      </c>
      <c r="D740" s="135"/>
      <c r="E740" s="1027"/>
      <c r="F740" s="87"/>
      <c r="G740" s="1027"/>
      <c r="H740" s="1029"/>
      <c r="I740" s="1030"/>
      <c r="J740" s="1039" t="e">
        <f>IF($F340="","",$F340*chronic_consumption!E740/1000/$C$3)</f>
        <v>#DIV/0!</v>
      </c>
      <c r="K740" s="1040" t="e">
        <f>IF($F340="","",$F340*chronic_consumption!F740/1000/$C$3)</f>
        <v>#DIV/0!</v>
      </c>
      <c r="L740" s="1040" t="e">
        <f>IF($F340="","",$F340*chronic_consumption!G740/1000/$C$3)</f>
        <v>#DIV/0!</v>
      </c>
      <c r="M740" s="1040" t="e">
        <f>IF($F340="","",$F340*chronic_consumption!H740/1000/$C$3)</f>
        <v>#DIV/0!</v>
      </c>
      <c r="N740" s="1040" t="e">
        <f>IF($F340="","",$F340*chronic_consumption!I740/1000/$C$3)</f>
        <v>#DIV/0!</v>
      </c>
      <c r="O740" s="1040" t="e">
        <f>IF($F340="","",$F340*chronic_consumption!J740/1000/$C$3)</f>
        <v>#DIV/0!</v>
      </c>
      <c r="P740" s="1040" t="e">
        <f>IF($F340="","",$F340*chronic_consumption!K740/1000/$C$3)</f>
        <v>#DIV/0!</v>
      </c>
      <c r="Q740" s="1040" t="e">
        <f>IF($F340="","",$F340*chronic_consumption!L740/1000/$C$3)</f>
        <v>#DIV/0!</v>
      </c>
      <c r="R740" s="1040" t="e">
        <f>IF($F340="","",$F340*chronic_consumption!M740/1000/$C$3)</f>
        <v>#DIV/0!</v>
      </c>
      <c r="S740" s="1040" t="e">
        <f>IF($F340="","",$F340*chronic_consumption!N740/1000/$C$3)</f>
        <v>#DIV/0!</v>
      </c>
      <c r="T740" s="1040" t="e">
        <f>IF($F340="","",$F340*chronic_consumption!O740/1000/$C$3)</f>
        <v>#DIV/0!</v>
      </c>
      <c r="U740" s="1040" t="e">
        <f>IF($F340="","",$F340*chronic_consumption!P740/1000/$C$3)</f>
        <v>#DIV/0!</v>
      </c>
      <c r="V740" s="1040" t="e">
        <f>IF($F340="","",$F340*chronic_consumption!Q740/1000/$C$3)</f>
        <v>#DIV/0!</v>
      </c>
      <c r="W740" s="1040" t="e">
        <f>IF($F340="","",$F340*chronic_consumption!R740/1000/$C$3)</f>
        <v>#DIV/0!</v>
      </c>
      <c r="X740" s="1040" t="e">
        <f>IF($F340="","",$F340*chronic_consumption!S740/1000/$C$3)</f>
        <v>#DIV/0!</v>
      </c>
      <c r="Y740" s="1040" t="e">
        <f>IF($F340="","",$F340*chronic_consumption!T740/1000/$C$3)</f>
        <v>#DIV/0!</v>
      </c>
      <c r="Z740" s="1040" t="e">
        <f>IF($F340="","",$F340*chronic_consumption!U740/1000/$C$3)</f>
        <v>#DIV/0!</v>
      </c>
      <c r="AA740" s="1040" t="e">
        <f>IF($F340="","",$F340*chronic_consumption!V740/1000/$C$3)</f>
        <v>#DIV/0!</v>
      </c>
      <c r="AB740" s="1040" t="e">
        <f>IF($F340="","",$F340*chronic_consumption!W740/1000/$C$3)</f>
        <v>#DIV/0!</v>
      </c>
      <c r="AC740" s="1040" t="e">
        <f>IF($F340="","",$F340*chronic_consumption!X740/1000/$C$3)</f>
        <v>#DIV/0!</v>
      </c>
      <c r="AD740" s="1040" t="e">
        <f>IF($F340="","",$F340*chronic_consumption!Y740/1000/$C$3)</f>
        <v>#DIV/0!</v>
      </c>
      <c r="AE740" s="1040" t="e">
        <f>IF($F340="","",$F340*chronic_consumption!Z740/1000/$C$3)</f>
        <v>#DIV/0!</v>
      </c>
      <c r="AF740" s="1040" t="e">
        <f>IF($F340="","",$F340*chronic_consumption!AA740/1000/$C$3)</f>
        <v>#DIV/0!</v>
      </c>
      <c r="AG740" s="1040" t="e">
        <f>IF($F340="","",$F340*chronic_consumption!AB740/1000/$C$3)</f>
        <v>#DIV/0!</v>
      </c>
      <c r="AH740" s="1040" t="e">
        <f>IF($F340="","",$F340*chronic_consumption!AC740/1000/$C$3)</f>
        <v>#DIV/0!</v>
      </c>
      <c r="AI740" s="1040" t="e">
        <f>IF($F340="","",$F340*chronic_consumption!AD740/1000/$C$3)</f>
        <v>#DIV/0!</v>
      </c>
      <c r="AJ740" s="1040" t="e">
        <f>IF($F340="","",$F340*chronic_consumption!AE740/1000/$C$3)</f>
        <v>#DIV/0!</v>
      </c>
      <c r="AK740" s="1040" t="e">
        <f>IF($F340="","",$F340*chronic_consumption!AF740/1000/$C$3)</f>
        <v>#DIV/0!</v>
      </c>
      <c r="AL740" s="1040" t="e">
        <f>IF($F340="","",$F340*chronic_consumption!AG740/1000/$C$3)</f>
        <v>#DIV/0!</v>
      </c>
      <c r="AM740" s="1040" t="e">
        <f>IF($F340="","",$F340*chronic_consumption!AH740/1000/$C$3)</f>
        <v>#DIV/0!</v>
      </c>
      <c r="AN740" s="1040" t="e">
        <f>IF($F340="","",$F340*chronic_consumption!AI740/1000/$C$3)</f>
        <v>#DIV/0!</v>
      </c>
      <c r="AO740" s="1040" t="e">
        <f>IF($F340="","",$F340*chronic_consumption!AJ740/1000/$C$3)</f>
        <v>#DIV/0!</v>
      </c>
      <c r="AP740" s="1040" t="e">
        <f>IF($F340="","",$F340*chronic_consumption!AK740/1000/$C$3)</f>
        <v>#DIV/0!</v>
      </c>
      <c r="AQ740" s="1040" t="e">
        <f>IF($F340="","",$F340*chronic_consumption!AL740/1000/$C$3)</f>
        <v>#DIV/0!</v>
      </c>
      <c r="AR740" s="1040" t="e">
        <f>IF($F340="","",$F340*chronic_consumption!AM740/1000/$C$3)</f>
        <v>#DIV/0!</v>
      </c>
      <c r="AS740" s="1040" t="e">
        <f>IF($F340="","",$F340*chronic_consumption!AN740/1000/$C$3)</f>
        <v>#DIV/0!</v>
      </c>
      <c r="AT740" s="1040" t="e">
        <f>IF($F340="","",$F340*chronic_consumption!AO740/1000/$C$3)</f>
        <v>#DIV/0!</v>
      </c>
      <c r="AU740" s="1040" t="e">
        <f>IF($F340="","",$F340*chronic_consumption!AP740/1000/$C$3)</f>
        <v>#DIV/0!</v>
      </c>
      <c r="AV740" s="1040" t="e">
        <f>IF($F340="","",$F340*chronic_consumption!AQ740/1000/$C$3)</f>
        <v>#DIV/0!</v>
      </c>
      <c r="AW740" s="1040" t="e">
        <f>IF($F340="","",$F340*chronic_consumption!AR740/1000/$C$3)</f>
        <v>#DIV/0!</v>
      </c>
      <c r="AX740" s="1040" t="e">
        <f>IF($F340="","",$F340*chronic_consumption!AS740/1000/$C$3)</f>
        <v>#DIV/0!</v>
      </c>
      <c r="AY740" s="1040" t="e">
        <f>IF($F340="","",$F340*chronic_consumption!AT740/1000/$C$3)</f>
        <v>#DIV/0!</v>
      </c>
      <c r="AZ740" s="44" t="s">
        <v>20</v>
      </c>
      <c r="BC740" s="29"/>
      <c r="BD740" s="29"/>
    </row>
    <row r="741" spans="1:56" ht="12" hidden="1" customHeight="1" outlineLevel="3" x14ac:dyDescent="0.2">
      <c r="A741" s="21">
        <f>acute_overview_children!A341</f>
        <v>4</v>
      </c>
      <c r="B741" s="325">
        <f t="shared" si="52"/>
        <v>1013020</v>
      </c>
      <c r="C741" s="325" t="str">
        <f t="shared" si="52"/>
        <v>Sheep: Fat tissue</v>
      </c>
      <c r="D741" s="135"/>
      <c r="E741" s="1027"/>
      <c r="F741" s="87"/>
      <c r="G741" s="1027"/>
      <c r="H741" s="1029"/>
      <c r="I741" s="1030"/>
      <c r="J741" s="1039" t="e">
        <f>IF($F341="","",$F341*chronic_consumption!E741/1000/$C$3)</f>
        <v>#DIV/0!</v>
      </c>
      <c r="K741" s="1040" t="e">
        <f>IF($F341="","",$F341*chronic_consumption!F741/1000/$C$3)</f>
        <v>#DIV/0!</v>
      </c>
      <c r="L741" s="1040" t="e">
        <f>IF($F341="","",$F341*chronic_consumption!G741/1000/$C$3)</f>
        <v>#DIV/0!</v>
      </c>
      <c r="M741" s="1040" t="e">
        <f>IF($F341="","",$F341*chronic_consumption!H741/1000/$C$3)</f>
        <v>#DIV/0!</v>
      </c>
      <c r="N741" s="1040" t="e">
        <f>IF($F341="","",$F341*chronic_consumption!I741/1000/$C$3)</f>
        <v>#DIV/0!</v>
      </c>
      <c r="O741" s="1040" t="e">
        <f>IF($F341="","",$F341*chronic_consumption!J741/1000/$C$3)</f>
        <v>#DIV/0!</v>
      </c>
      <c r="P741" s="1040" t="e">
        <f>IF($F341="","",$F341*chronic_consumption!K741/1000/$C$3)</f>
        <v>#DIV/0!</v>
      </c>
      <c r="Q741" s="1040" t="e">
        <f>IF($F341="","",$F341*chronic_consumption!L741/1000/$C$3)</f>
        <v>#DIV/0!</v>
      </c>
      <c r="R741" s="1040" t="e">
        <f>IF($F341="","",$F341*chronic_consumption!M741/1000/$C$3)</f>
        <v>#DIV/0!</v>
      </c>
      <c r="S741" s="1040" t="e">
        <f>IF($F341="","",$F341*chronic_consumption!N741/1000/$C$3)</f>
        <v>#DIV/0!</v>
      </c>
      <c r="T741" s="1040" t="e">
        <f>IF($F341="","",$F341*chronic_consumption!O741/1000/$C$3)</f>
        <v>#DIV/0!</v>
      </c>
      <c r="U741" s="1040" t="e">
        <f>IF($F341="","",$F341*chronic_consumption!P741/1000/$C$3)</f>
        <v>#DIV/0!</v>
      </c>
      <c r="V741" s="1040" t="e">
        <f>IF($F341="","",$F341*chronic_consumption!Q741/1000/$C$3)</f>
        <v>#DIV/0!</v>
      </c>
      <c r="W741" s="1040" t="e">
        <f>IF($F341="","",$F341*chronic_consumption!R741/1000/$C$3)</f>
        <v>#DIV/0!</v>
      </c>
      <c r="X741" s="1040" t="e">
        <f>IF($F341="","",$F341*chronic_consumption!S741/1000/$C$3)</f>
        <v>#DIV/0!</v>
      </c>
      <c r="Y741" s="1040" t="e">
        <f>IF($F341="","",$F341*chronic_consumption!T741/1000/$C$3)</f>
        <v>#DIV/0!</v>
      </c>
      <c r="Z741" s="1040" t="e">
        <f>IF($F341="","",$F341*chronic_consumption!U741/1000/$C$3)</f>
        <v>#DIV/0!</v>
      </c>
      <c r="AA741" s="1040" t="e">
        <f>IF($F341="","",$F341*chronic_consumption!V741/1000/$C$3)</f>
        <v>#DIV/0!</v>
      </c>
      <c r="AB741" s="1040" t="e">
        <f>IF($F341="","",$F341*chronic_consumption!W741/1000/$C$3)</f>
        <v>#DIV/0!</v>
      </c>
      <c r="AC741" s="1040" t="e">
        <f>IF($F341="","",$F341*chronic_consumption!X741/1000/$C$3)</f>
        <v>#DIV/0!</v>
      </c>
      <c r="AD741" s="1040" t="e">
        <f>IF($F341="","",$F341*chronic_consumption!Y741/1000/$C$3)</f>
        <v>#DIV/0!</v>
      </c>
      <c r="AE741" s="1040" t="e">
        <f>IF($F341="","",$F341*chronic_consumption!Z741/1000/$C$3)</f>
        <v>#DIV/0!</v>
      </c>
      <c r="AF741" s="1040" t="e">
        <f>IF($F341="","",$F341*chronic_consumption!AA741/1000/$C$3)</f>
        <v>#DIV/0!</v>
      </c>
      <c r="AG741" s="1040" t="e">
        <f>IF($F341="","",$F341*chronic_consumption!AB741/1000/$C$3)</f>
        <v>#DIV/0!</v>
      </c>
      <c r="AH741" s="1040" t="e">
        <f>IF($F341="","",$F341*chronic_consumption!AC741/1000/$C$3)</f>
        <v>#DIV/0!</v>
      </c>
      <c r="AI741" s="1040" t="e">
        <f>IF($F341="","",$F341*chronic_consumption!AD741/1000/$C$3)</f>
        <v>#DIV/0!</v>
      </c>
      <c r="AJ741" s="1040" t="e">
        <f>IF($F341="","",$F341*chronic_consumption!AE741/1000/$C$3)</f>
        <v>#DIV/0!</v>
      </c>
      <c r="AK741" s="1040" t="e">
        <f>IF($F341="","",$F341*chronic_consumption!AF741/1000/$C$3)</f>
        <v>#DIV/0!</v>
      </c>
      <c r="AL741" s="1040" t="e">
        <f>IF($F341="","",$F341*chronic_consumption!AG741/1000/$C$3)</f>
        <v>#DIV/0!</v>
      </c>
      <c r="AM741" s="1040" t="e">
        <f>IF($F341="","",$F341*chronic_consumption!AH741/1000/$C$3)</f>
        <v>#DIV/0!</v>
      </c>
      <c r="AN741" s="1040" t="e">
        <f>IF($F341="","",$F341*chronic_consumption!AI741/1000/$C$3)</f>
        <v>#DIV/0!</v>
      </c>
      <c r="AO741" s="1040" t="e">
        <f>IF($F341="","",$F341*chronic_consumption!AJ741/1000/$C$3)</f>
        <v>#DIV/0!</v>
      </c>
      <c r="AP741" s="1040" t="e">
        <f>IF($F341="","",$F341*chronic_consumption!AK741/1000/$C$3)</f>
        <v>#DIV/0!</v>
      </c>
      <c r="AQ741" s="1040" t="e">
        <f>IF($F341="","",$F341*chronic_consumption!AL741/1000/$C$3)</f>
        <v>#DIV/0!</v>
      </c>
      <c r="AR741" s="1040" t="e">
        <f>IF($F341="","",$F341*chronic_consumption!AM741/1000/$C$3)</f>
        <v>#DIV/0!</v>
      </c>
      <c r="AS741" s="1040" t="e">
        <f>IF($F341="","",$F341*chronic_consumption!AN741/1000/$C$3)</f>
        <v>#DIV/0!</v>
      </c>
      <c r="AT741" s="1040" t="e">
        <f>IF($F341="","",$F341*chronic_consumption!AO741/1000/$C$3)</f>
        <v>#DIV/0!</v>
      </c>
      <c r="AU741" s="1040" t="e">
        <f>IF($F341="","",$F341*chronic_consumption!AP741/1000/$C$3)</f>
        <v>#DIV/0!</v>
      </c>
      <c r="AV741" s="1040" t="e">
        <f>IF($F341="","",$F341*chronic_consumption!AQ741/1000/$C$3)</f>
        <v>#DIV/0!</v>
      </c>
      <c r="AW741" s="1040" t="e">
        <f>IF($F341="","",$F341*chronic_consumption!AR741/1000/$C$3)</f>
        <v>#DIV/0!</v>
      </c>
      <c r="AX741" s="1040" t="e">
        <f>IF($F341="","",$F341*chronic_consumption!AS741/1000/$C$3)</f>
        <v>#DIV/0!</v>
      </c>
      <c r="AY741" s="1040" t="e">
        <f>IF($F341="","",$F341*chronic_consumption!AT741/1000/$C$3)</f>
        <v>#DIV/0!</v>
      </c>
      <c r="AZ741" s="44" t="s">
        <v>20</v>
      </c>
      <c r="BC741" s="29"/>
      <c r="BD741" s="29"/>
    </row>
    <row r="742" spans="1:56" ht="12" hidden="1" customHeight="1" outlineLevel="3" x14ac:dyDescent="0.2">
      <c r="A742" s="21">
        <f>acute_overview_children!A342</f>
        <v>4</v>
      </c>
      <c r="B742" s="325">
        <f t="shared" si="52"/>
        <v>1013030</v>
      </c>
      <c r="C742" s="325" t="str">
        <f t="shared" si="52"/>
        <v>Sheep: Liver</v>
      </c>
      <c r="D742" s="135"/>
      <c r="E742" s="1027"/>
      <c r="F742" s="87"/>
      <c r="G742" s="1027"/>
      <c r="H742" s="1029"/>
      <c r="I742" s="1030"/>
      <c r="J742" s="1039" t="e">
        <f>IF($F342="","",$F342*chronic_consumption!E742/1000/$C$3)</f>
        <v>#DIV/0!</v>
      </c>
      <c r="K742" s="1040" t="e">
        <f>IF($F342="","",$F342*chronic_consumption!F742/1000/$C$3)</f>
        <v>#DIV/0!</v>
      </c>
      <c r="L742" s="1040" t="e">
        <f>IF($F342="","",$F342*chronic_consumption!G742/1000/$C$3)</f>
        <v>#DIV/0!</v>
      </c>
      <c r="M742" s="1040" t="e">
        <f>IF($F342="","",$F342*chronic_consumption!H742/1000/$C$3)</f>
        <v>#DIV/0!</v>
      </c>
      <c r="N742" s="1040" t="e">
        <f>IF($F342="","",$F342*chronic_consumption!I742/1000/$C$3)</f>
        <v>#DIV/0!</v>
      </c>
      <c r="O742" s="1040" t="e">
        <f>IF($F342="","",$F342*chronic_consumption!J742/1000/$C$3)</f>
        <v>#DIV/0!</v>
      </c>
      <c r="P742" s="1040" t="e">
        <f>IF($F342="","",$F342*chronic_consumption!K742/1000/$C$3)</f>
        <v>#DIV/0!</v>
      </c>
      <c r="Q742" s="1040" t="e">
        <f>IF($F342="","",$F342*chronic_consumption!L742/1000/$C$3)</f>
        <v>#DIV/0!</v>
      </c>
      <c r="R742" s="1040" t="e">
        <f>IF($F342="","",$F342*chronic_consumption!M742/1000/$C$3)</f>
        <v>#DIV/0!</v>
      </c>
      <c r="S742" s="1040" t="e">
        <f>IF($F342="","",$F342*chronic_consumption!N742/1000/$C$3)</f>
        <v>#DIV/0!</v>
      </c>
      <c r="T742" s="1040" t="e">
        <f>IF($F342="","",$F342*chronic_consumption!O742/1000/$C$3)</f>
        <v>#DIV/0!</v>
      </c>
      <c r="U742" s="1040" t="e">
        <f>IF($F342="","",$F342*chronic_consumption!P742/1000/$C$3)</f>
        <v>#DIV/0!</v>
      </c>
      <c r="V742" s="1040" t="e">
        <f>IF($F342="","",$F342*chronic_consumption!Q742/1000/$C$3)</f>
        <v>#DIV/0!</v>
      </c>
      <c r="W742" s="1040" t="e">
        <f>IF($F342="","",$F342*chronic_consumption!R742/1000/$C$3)</f>
        <v>#DIV/0!</v>
      </c>
      <c r="X742" s="1040" t="e">
        <f>IF($F342="","",$F342*chronic_consumption!S742/1000/$C$3)</f>
        <v>#DIV/0!</v>
      </c>
      <c r="Y742" s="1040" t="e">
        <f>IF($F342="","",$F342*chronic_consumption!T742/1000/$C$3)</f>
        <v>#DIV/0!</v>
      </c>
      <c r="Z742" s="1040" t="e">
        <f>IF($F342="","",$F342*chronic_consumption!U742/1000/$C$3)</f>
        <v>#DIV/0!</v>
      </c>
      <c r="AA742" s="1040" t="e">
        <f>IF($F342="","",$F342*chronic_consumption!V742/1000/$C$3)</f>
        <v>#DIV/0!</v>
      </c>
      <c r="AB742" s="1040" t="e">
        <f>IF($F342="","",$F342*chronic_consumption!W742/1000/$C$3)</f>
        <v>#DIV/0!</v>
      </c>
      <c r="AC742" s="1040" t="e">
        <f>IF($F342="","",$F342*chronic_consumption!X742/1000/$C$3)</f>
        <v>#DIV/0!</v>
      </c>
      <c r="AD742" s="1040" t="e">
        <f>IF($F342="","",$F342*chronic_consumption!Y742/1000/$C$3)</f>
        <v>#DIV/0!</v>
      </c>
      <c r="AE742" s="1040" t="e">
        <f>IF($F342="","",$F342*chronic_consumption!Z742/1000/$C$3)</f>
        <v>#DIV/0!</v>
      </c>
      <c r="AF742" s="1040" t="e">
        <f>IF($F342="","",$F342*chronic_consumption!AA742/1000/$C$3)</f>
        <v>#DIV/0!</v>
      </c>
      <c r="AG742" s="1040" t="e">
        <f>IF($F342="","",$F342*chronic_consumption!AB742/1000/$C$3)</f>
        <v>#DIV/0!</v>
      </c>
      <c r="AH742" s="1040" t="e">
        <f>IF($F342="","",$F342*chronic_consumption!AC742/1000/$C$3)</f>
        <v>#DIV/0!</v>
      </c>
      <c r="AI742" s="1040" t="e">
        <f>IF($F342="","",$F342*chronic_consumption!AD742/1000/$C$3)</f>
        <v>#DIV/0!</v>
      </c>
      <c r="AJ742" s="1040" t="e">
        <f>IF($F342="","",$F342*chronic_consumption!AE742/1000/$C$3)</f>
        <v>#DIV/0!</v>
      </c>
      <c r="AK742" s="1040" t="e">
        <f>IF($F342="","",$F342*chronic_consumption!AF742/1000/$C$3)</f>
        <v>#DIV/0!</v>
      </c>
      <c r="AL742" s="1040" t="e">
        <f>IF($F342="","",$F342*chronic_consumption!AG742/1000/$C$3)</f>
        <v>#DIV/0!</v>
      </c>
      <c r="AM742" s="1040" t="e">
        <f>IF($F342="","",$F342*chronic_consumption!AH742/1000/$C$3)</f>
        <v>#DIV/0!</v>
      </c>
      <c r="AN742" s="1040" t="e">
        <f>IF($F342="","",$F342*chronic_consumption!AI742/1000/$C$3)</f>
        <v>#DIV/0!</v>
      </c>
      <c r="AO742" s="1040" t="e">
        <f>IF($F342="","",$F342*chronic_consumption!AJ742/1000/$C$3)</f>
        <v>#DIV/0!</v>
      </c>
      <c r="AP742" s="1040" t="e">
        <f>IF($F342="","",$F342*chronic_consumption!AK742/1000/$C$3)</f>
        <v>#DIV/0!</v>
      </c>
      <c r="AQ742" s="1040" t="e">
        <f>IF($F342="","",$F342*chronic_consumption!AL742/1000/$C$3)</f>
        <v>#DIV/0!</v>
      </c>
      <c r="AR742" s="1040" t="e">
        <f>IF($F342="","",$F342*chronic_consumption!AM742/1000/$C$3)</f>
        <v>#DIV/0!</v>
      </c>
      <c r="AS742" s="1040" t="e">
        <f>IF($F342="","",$F342*chronic_consumption!AN742/1000/$C$3)</f>
        <v>#DIV/0!</v>
      </c>
      <c r="AT742" s="1040" t="e">
        <f>IF($F342="","",$F342*chronic_consumption!AO742/1000/$C$3)</f>
        <v>#DIV/0!</v>
      </c>
      <c r="AU742" s="1040" t="e">
        <f>IF($F342="","",$F342*chronic_consumption!AP742/1000/$C$3)</f>
        <v>#DIV/0!</v>
      </c>
      <c r="AV742" s="1040" t="e">
        <f>IF($F342="","",$F342*chronic_consumption!AQ742/1000/$C$3)</f>
        <v>#DIV/0!</v>
      </c>
      <c r="AW742" s="1040" t="e">
        <f>IF($F342="","",$F342*chronic_consumption!AR742/1000/$C$3)</f>
        <v>#DIV/0!</v>
      </c>
      <c r="AX742" s="1040" t="e">
        <f>IF($F342="","",$F342*chronic_consumption!AS742/1000/$C$3)</f>
        <v>#DIV/0!</v>
      </c>
      <c r="AY742" s="1040" t="e">
        <f>IF($F342="","",$F342*chronic_consumption!AT742/1000/$C$3)</f>
        <v>#DIV/0!</v>
      </c>
      <c r="AZ742" s="44" t="s">
        <v>20</v>
      </c>
      <c r="BC742" s="29"/>
      <c r="BD742" s="29"/>
    </row>
    <row r="743" spans="1:56" ht="12" hidden="1" customHeight="1" outlineLevel="3" x14ac:dyDescent="0.2">
      <c r="A743" s="21">
        <f>acute_overview_children!A343</f>
        <v>4</v>
      </c>
      <c r="B743" s="325">
        <f t="shared" si="52"/>
        <v>1013040</v>
      </c>
      <c r="C743" s="325" t="str">
        <f t="shared" si="52"/>
        <v>Sheep: Kidney</v>
      </c>
      <c r="D743" s="135"/>
      <c r="E743" s="1027"/>
      <c r="F743" s="87"/>
      <c r="G743" s="1027"/>
      <c r="H743" s="1029"/>
      <c r="I743" s="1030"/>
      <c r="J743" s="1039" t="e">
        <f>IF($F343="","",$F343*chronic_consumption!E743/1000/$C$3)</f>
        <v>#DIV/0!</v>
      </c>
      <c r="K743" s="1040" t="e">
        <f>IF($F343="","",$F343*chronic_consumption!F743/1000/$C$3)</f>
        <v>#DIV/0!</v>
      </c>
      <c r="L743" s="1040" t="e">
        <f>IF($F343="","",$F343*chronic_consumption!G743/1000/$C$3)</f>
        <v>#DIV/0!</v>
      </c>
      <c r="M743" s="1040" t="e">
        <f>IF($F343="","",$F343*chronic_consumption!H743/1000/$C$3)</f>
        <v>#DIV/0!</v>
      </c>
      <c r="N743" s="1040" t="e">
        <f>IF($F343="","",$F343*chronic_consumption!I743/1000/$C$3)</f>
        <v>#DIV/0!</v>
      </c>
      <c r="O743" s="1040" t="e">
        <f>IF($F343="","",$F343*chronic_consumption!J743/1000/$C$3)</f>
        <v>#DIV/0!</v>
      </c>
      <c r="P743" s="1040" t="e">
        <f>IF($F343="","",$F343*chronic_consumption!K743/1000/$C$3)</f>
        <v>#DIV/0!</v>
      </c>
      <c r="Q743" s="1040" t="e">
        <f>IF($F343="","",$F343*chronic_consumption!L743/1000/$C$3)</f>
        <v>#DIV/0!</v>
      </c>
      <c r="R743" s="1040" t="e">
        <f>IF($F343="","",$F343*chronic_consumption!M743/1000/$C$3)</f>
        <v>#DIV/0!</v>
      </c>
      <c r="S743" s="1040" t="e">
        <f>IF($F343="","",$F343*chronic_consumption!N743/1000/$C$3)</f>
        <v>#DIV/0!</v>
      </c>
      <c r="T743" s="1040" t="e">
        <f>IF($F343="","",$F343*chronic_consumption!O743/1000/$C$3)</f>
        <v>#DIV/0!</v>
      </c>
      <c r="U743" s="1040" t="e">
        <f>IF($F343="","",$F343*chronic_consumption!P743/1000/$C$3)</f>
        <v>#DIV/0!</v>
      </c>
      <c r="V743" s="1040" t="e">
        <f>IF($F343="","",$F343*chronic_consumption!Q743/1000/$C$3)</f>
        <v>#DIV/0!</v>
      </c>
      <c r="W743" s="1040" t="e">
        <f>IF($F343="","",$F343*chronic_consumption!R743/1000/$C$3)</f>
        <v>#DIV/0!</v>
      </c>
      <c r="X743" s="1040" t="e">
        <f>IF($F343="","",$F343*chronic_consumption!S743/1000/$C$3)</f>
        <v>#DIV/0!</v>
      </c>
      <c r="Y743" s="1040" t="e">
        <f>IF($F343="","",$F343*chronic_consumption!T743/1000/$C$3)</f>
        <v>#DIV/0!</v>
      </c>
      <c r="Z743" s="1040" t="e">
        <f>IF($F343="","",$F343*chronic_consumption!U743/1000/$C$3)</f>
        <v>#DIV/0!</v>
      </c>
      <c r="AA743" s="1040" t="e">
        <f>IF($F343="","",$F343*chronic_consumption!V743/1000/$C$3)</f>
        <v>#DIV/0!</v>
      </c>
      <c r="AB743" s="1040" t="e">
        <f>IF($F343="","",$F343*chronic_consumption!W743/1000/$C$3)</f>
        <v>#DIV/0!</v>
      </c>
      <c r="AC743" s="1040" t="e">
        <f>IF($F343="","",$F343*chronic_consumption!X743/1000/$C$3)</f>
        <v>#DIV/0!</v>
      </c>
      <c r="AD743" s="1040" t="e">
        <f>IF($F343="","",$F343*chronic_consumption!Y743/1000/$C$3)</f>
        <v>#DIV/0!</v>
      </c>
      <c r="AE743" s="1040" t="e">
        <f>IF($F343="","",$F343*chronic_consumption!Z743/1000/$C$3)</f>
        <v>#DIV/0!</v>
      </c>
      <c r="AF743" s="1040" t="e">
        <f>IF($F343="","",$F343*chronic_consumption!AA743/1000/$C$3)</f>
        <v>#DIV/0!</v>
      </c>
      <c r="AG743" s="1040" t="e">
        <f>IF($F343="","",$F343*chronic_consumption!AB743/1000/$C$3)</f>
        <v>#DIV/0!</v>
      </c>
      <c r="AH743" s="1040" t="e">
        <f>IF($F343="","",$F343*chronic_consumption!AC743/1000/$C$3)</f>
        <v>#DIV/0!</v>
      </c>
      <c r="AI743" s="1040" t="e">
        <f>IF($F343="","",$F343*chronic_consumption!AD743/1000/$C$3)</f>
        <v>#DIV/0!</v>
      </c>
      <c r="AJ743" s="1040" t="e">
        <f>IF($F343="","",$F343*chronic_consumption!AE743/1000/$C$3)</f>
        <v>#DIV/0!</v>
      </c>
      <c r="AK743" s="1040" t="e">
        <f>IF($F343="","",$F343*chronic_consumption!AF743/1000/$C$3)</f>
        <v>#DIV/0!</v>
      </c>
      <c r="AL743" s="1040" t="e">
        <f>IF($F343="","",$F343*chronic_consumption!AG743/1000/$C$3)</f>
        <v>#DIV/0!</v>
      </c>
      <c r="AM743" s="1040" t="e">
        <f>IF($F343="","",$F343*chronic_consumption!AH743/1000/$C$3)</f>
        <v>#DIV/0!</v>
      </c>
      <c r="AN743" s="1040" t="e">
        <f>IF($F343="","",$F343*chronic_consumption!AI743/1000/$C$3)</f>
        <v>#DIV/0!</v>
      </c>
      <c r="AO743" s="1040" t="e">
        <f>IF($F343="","",$F343*chronic_consumption!AJ743/1000/$C$3)</f>
        <v>#DIV/0!</v>
      </c>
      <c r="AP743" s="1040" t="e">
        <f>IF($F343="","",$F343*chronic_consumption!AK743/1000/$C$3)</f>
        <v>#DIV/0!</v>
      </c>
      <c r="AQ743" s="1040" t="e">
        <f>IF($F343="","",$F343*chronic_consumption!AL743/1000/$C$3)</f>
        <v>#DIV/0!</v>
      </c>
      <c r="AR743" s="1040" t="e">
        <f>IF($F343="","",$F343*chronic_consumption!AM743/1000/$C$3)</f>
        <v>#DIV/0!</v>
      </c>
      <c r="AS743" s="1040" t="e">
        <f>IF($F343="","",$F343*chronic_consumption!AN743/1000/$C$3)</f>
        <v>#DIV/0!</v>
      </c>
      <c r="AT743" s="1040" t="e">
        <f>IF($F343="","",$F343*chronic_consumption!AO743/1000/$C$3)</f>
        <v>#DIV/0!</v>
      </c>
      <c r="AU743" s="1040" t="e">
        <f>IF($F343="","",$F343*chronic_consumption!AP743/1000/$C$3)</f>
        <v>#DIV/0!</v>
      </c>
      <c r="AV743" s="1040" t="e">
        <f>IF($F343="","",$F343*chronic_consumption!AQ743/1000/$C$3)</f>
        <v>#DIV/0!</v>
      </c>
      <c r="AW743" s="1040" t="e">
        <f>IF($F343="","",$F343*chronic_consumption!AR743/1000/$C$3)</f>
        <v>#DIV/0!</v>
      </c>
      <c r="AX743" s="1040" t="e">
        <f>IF($F343="","",$F343*chronic_consumption!AS743/1000/$C$3)</f>
        <v>#DIV/0!</v>
      </c>
      <c r="AY743" s="1040" t="e">
        <f>IF($F343="","",$F343*chronic_consumption!AT743/1000/$C$3)</f>
        <v>#DIV/0!</v>
      </c>
      <c r="AZ743" s="44" t="s">
        <v>20</v>
      </c>
      <c r="BC743" s="29"/>
      <c r="BD743" s="29"/>
    </row>
    <row r="744" spans="1:56" ht="12" hidden="1" customHeight="1" outlineLevel="3" x14ac:dyDescent="0.2">
      <c r="A744" s="21">
        <f>acute_overview_children!A344</f>
        <v>4</v>
      </c>
      <c r="B744" s="325">
        <f t="shared" si="52"/>
        <v>1013050</v>
      </c>
      <c r="C744" s="325" t="str">
        <f t="shared" si="52"/>
        <v>Sheep: Edible offals (other than liver and kidney)</v>
      </c>
      <c r="D744" s="135"/>
      <c r="E744" s="1027"/>
      <c r="F744" s="87"/>
      <c r="G744" s="1027"/>
      <c r="H744" s="1029"/>
      <c r="I744" s="1030"/>
      <c r="J744" s="1039" t="e">
        <f>IF($F344="","",$F344*chronic_consumption!E744/1000/$C$3)</f>
        <v>#DIV/0!</v>
      </c>
      <c r="K744" s="1040" t="e">
        <f>IF($F344="","",$F344*chronic_consumption!F744/1000/$C$3)</f>
        <v>#DIV/0!</v>
      </c>
      <c r="L744" s="1040" t="e">
        <f>IF($F344="","",$F344*chronic_consumption!G744/1000/$C$3)</f>
        <v>#DIV/0!</v>
      </c>
      <c r="M744" s="1040" t="e">
        <f>IF($F344="","",$F344*chronic_consumption!H744/1000/$C$3)</f>
        <v>#DIV/0!</v>
      </c>
      <c r="N744" s="1040" t="e">
        <f>IF($F344="","",$F344*chronic_consumption!I744/1000/$C$3)</f>
        <v>#DIV/0!</v>
      </c>
      <c r="O744" s="1040" t="e">
        <f>IF($F344="","",$F344*chronic_consumption!J744/1000/$C$3)</f>
        <v>#DIV/0!</v>
      </c>
      <c r="P744" s="1040" t="e">
        <f>IF($F344="","",$F344*chronic_consumption!K744/1000/$C$3)</f>
        <v>#DIV/0!</v>
      </c>
      <c r="Q744" s="1040" t="e">
        <f>IF($F344="","",$F344*chronic_consumption!L744/1000/$C$3)</f>
        <v>#DIV/0!</v>
      </c>
      <c r="R744" s="1040" t="e">
        <f>IF($F344="","",$F344*chronic_consumption!M744/1000/$C$3)</f>
        <v>#DIV/0!</v>
      </c>
      <c r="S744" s="1040" t="e">
        <f>IF($F344="","",$F344*chronic_consumption!N744/1000/$C$3)</f>
        <v>#DIV/0!</v>
      </c>
      <c r="T744" s="1040" t="e">
        <f>IF($F344="","",$F344*chronic_consumption!O744/1000/$C$3)</f>
        <v>#DIV/0!</v>
      </c>
      <c r="U744" s="1040" t="e">
        <f>IF($F344="","",$F344*chronic_consumption!P744/1000/$C$3)</f>
        <v>#DIV/0!</v>
      </c>
      <c r="V744" s="1040" t="e">
        <f>IF($F344="","",$F344*chronic_consumption!Q744/1000/$C$3)</f>
        <v>#DIV/0!</v>
      </c>
      <c r="W744" s="1040" t="e">
        <f>IF($F344="","",$F344*chronic_consumption!R744/1000/$C$3)</f>
        <v>#DIV/0!</v>
      </c>
      <c r="X744" s="1040" t="e">
        <f>IF($F344="","",$F344*chronic_consumption!S744/1000/$C$3)</f>
        <v>#DIV/0!</v>
      </c>
      <c r="Y744" s="1040" t="e">
        <f>IF($F344="","",$F344*chronic_consumption!T744/1000/$C$3)</f>
        <v>#DIV/0!</v>
      </c>
      <c r="Z744" s="1040" t="e">
        <f>IF($F344="","",$F344*chronic_consumption!U744/1000/$C$3)</f>
        <v>#DIV/0!</v>
      </c>
      <c r="AA744" s="1040" t="e">
        <f>IF($F344="","",$F344*chronic_consumption!V744/1000/$C$3)</f>
        <v>#DIV/0!</v>
      </c>
      <c r="AB744" s="1040" t="e">
        <f>IF($F344="","",$F344*chronic_consumption!W744/1000/$C$3)</f>
        <v>#DIV/0!</v>
      </c>
      <c r="AC744" s="1040" t="e">
        <f>IF($F344="","",$F344*chronic_consumption!X744/1000/$C$3)</f>
        <v>#DIV/0!</v>
      </c>
      <c r="AD744" s="1040" t="e">
        <f>IF($F344="","",$F344*chronic_consumption!Y744/1000/$C$3)</f>
        <v>#DIV/0!</v>
      </c>
      <c r="AE744" s="1040" t="e">
        <f>IF($F344="","",$F344*chronic_consumption!Z744/1000/$C$3)</f>
        <v>#DIV/0!</v>
      </c>
      <c r="AF744" s="1040" t="e">
        <f>IF($F344="","",$F344*chronic_consumption!AA744/1000/$C$3)</f>
        <v>#DIV/0!</v>
      </c>
      <c r="AG744" s="1040" t="e">
        <f>IF($F344="","",$F344*chronic_consumption!AB744/1000/$C$3)</f>
        <v>#DIV/0!</v>
      </c>
      <c r="AH744" s="1040" t="e">
        <f>IF($F344="","",$F344*chronic_consumption!AC744/1000/$C$3)</f>
        <v>#DIV/0!</v>
      </c>
      <c r="AI744" s="1040" t="e">
        <f>IF($F344="","",$F344*chronic_consumption!AD744/1000/$C$3)</f>
        <v>#DIV/0!</v>
      </c>
      <c r="AJ744" s="1040" t="e">
        <f>IF($F344="","",$F344*chronic_consumption!AE744/1000/$C$3)</f>
        <v>#DIV/0!</v>
      </c>
      <c r="AK744" s="1040" t="e">
        <f>IF($F344="","",$F344*chronic_consumption!AF744/1000/$C$3)</f>
        <v>#DIV/0!</v>
      </c>
      <c r="AL744" s="1040" t="e">
        <f>IF($F344="","",$F344*chronic_consumption!AG744/1000/$C$3)</f>
        <v>#DIV/0!</v>
      </c>
      <c r="AM744" s="1040" t="e">
        <f>IF($F344="","",$F344*chronic_consumption!AH744/1000/$C$3)</f>
        <v>#DIV/0!</v>
      </c>
      <c r="AN744" s="1040" t="e">
        <f>IF($F344="","",$F344*chronic_consumption!AI744/1000/$C$3)</f>
        <v>#DIV/0!</v>
      </c>
      <c r="AO744" s="1040" t="e">
        <f>IF($F344="","",$F344*chronic_consumption!AJ744/1000/$C$3)</f>
        <v>#DIV/0!</v>
      </c>
      <c r="AP744" s="1040" t="e">
        <f>IF($F344="","",$F344*chronic_consumption!AK744/1000/$C$3)</f>
        <v>#DIV/0!</v>
      </c>
      <c r="AQ744" s="1040" t="e">
        <f>IF($F344="","",$F344*chronic_consumption!AL744/1000/$C$3)</f>
        <v>#DIV/0!</v>
      </c>
      <c r="AR744" s="1040" t="e">
        <f>IF($F344="","",$F344*chronic_consumption!AM744/1000/$C$3)</f>
        <v>#DIV/0!</v>
      </c>
      <c r="AS744" s="1040" t="e">
        <f>IF($F344="","",$F344*chronic_consumption!AN744/1000/$C$3)</f>
        <v>#DIV/0!</v>
      </c>
      <c r="AT744" s="1040" t="e">
        <f>IF($F344="","",$F344*chronic_consumption!AO744/1000/$C$3)</f>
        <v>#DIV/0!</v>
      </c>
      <c r="AU744" s="1040" t="e">
        <f>IF($F344="","",$F344*chronic_consumption!AP744/1000/$C$3)</f>
        <v>#DIV/0!</v>
      </c>
      <c r="AV744" s="1040" t="e">
        <f>IF($F344="","",$F344*chronic_consumption!AQ744/1000/$C$3)</f>
        <v>#DIV/0!</v>
      </c>
      <c r="AW744" s="1040" t="e">
        <f>IF($F344="","",$F344*chronic_consumption!AR744/1000/$C$3)</f>
        <v>#DIV/0!</v>
      </c>
      <c r="AX744" s="1040" t="e">
        <f>IF($F344="","",$F344*chronic_consumption!AS744/1000/$C$3)</f>
        <v>#DIV/0!</v>
      </c>
      <c r="AY744" s="1040" t="e">
        <f>IF($F344="","",$F344*chronic_consumption!AT744/1000/$C$3)</f>
        <v>#DIV/0!</v>
      </c>
      <c r="AZ744" s="44" t="s">
        <v>20</v>
      </c>
      <c r="BC744" s="29"/>
      <c r="BD744" s="29"/>
    </row>
    <row r="745" spans="1:56" ht="12" hidden="1" customHeight="1" outlineLevel="3" x14ac:dyDescent="0.2">
      <c r="A745" s="21">
        <f>acute_overview_children!A345</f>
        <v>4</v>
      </c>
      <c r="B745" s="325">
        <f t="shared" si="52"/>
        <v>1013990</v>
      </c>
      <c r="C745" s="325" t="str">
        <f t="shared" si="52"/>
        <v>Sheep: other products</v>
      </c>
      <c r="D745" s="135"/>
      <c r="E745" s="1027"/>
      <c r="F745" s="87"/>
      <c r="G745" s="1027"/>
      <c r="H745" s="1029"/>
      <c r="I745" s="1030"/>
      <c r="J745" s="1039" t="e">
        <f>IF($F345="","",$F345*chronic_consumption!E745/1000/$C$3)</f>
        <v>#DIV/0!</v>
      </c>
      <c r="K745" s="1040" t="e">
        <f>IF($F345="","",$F345*chronic_consumption!F745/1000/$C$3)</f>
        <v>#DIV/0!</v>
      </c>
      <c r="L745" s="1040" t="e">
        <f>IF($F345="","",$F345*chronic_consumption!G745/1000/$C$3)</f>
        <v>#DIV/0!</v>
      </c>
      <c r="M745" s="1040" t="e">
        <f>IF($F345="","",$F345*chronic_consumption!H745/1000/$C$3)</f>
        <v>#DIV/0!</v>
      </c>
      <c r="N745" s="1040" t="e">
        <f>IF($F345="","",$F345*chronic_consumption!I745/1000/$C$3)</f>
        <v>#DIV/0!</v>
      </c>
      <c r="O745" s="1040" t="e">
        <f>IF($F345="","",$F345*chronic_consumption!J745/1000/$C$3)</f>
        <v>#DIV/0!</v>
      </c>
      <c r="P745" s="1040" t="e">
        <f>IF($F345="","",$F345*chronic_consumption!K745/1000/$C$3)</f>
        <v>#DIV/0!</v>
      </c>
      <c r="Q745" s="1040" t="e">
        <f>IF($F345="","",$F345*chronic_consumption!L745/1000/$C$3)</f>
        <v>#DIV/0!</v>
      </c>
      <c r="R745" s="1040" t="e">
        <f>IF($F345="","",$F345*chronic_consumption!M745/1000/$C$3)</f>
        <v>#DIV/0!</v>
      </c>
      <c r="S745" s="1040" t="e">
        <f>IF($F345="","",$F345*chronic_consumption!N745/1000/$C$3)</f>
        <v>#DIV/0!</v>
      </c>
      <c r="T745" s="1040" t="e">
        <f>IF($F345="","",$F345*chronic_consumption!O745/1000/$C$3)</f>
        <v>#DIV/0!</v>
      </c>
      <c r="U745" s="1040" t="e">
        <f>IF($F345="","",$F345*chronic_consumption!P745/1000/$C$3)</f>
        <v>#DIV/0!</v>
      </c>
      <c r="V745" s="1040" t="e">
        <f>IF($F345="","",$F345*chronic_consumption!Q745/1000/$C$3)</f>
        <v>#DIV/0!</v>
      </c>
      <c r="W745" s="1040" t="e">
        <f>IF($F345="","",$F345*chronic_consumption!R745/1000/$C$3)</f>
        <v>#DIV/0!</v>
      </c>
      <c r="X745" s="1040" t="e">
        <f>IF($F345="","",$F345*chronic_consumption!S745/1000/$C$3)</f>
        <v>#DIV/0!</v>
      </c>
      <c r="Y745" s="1040" t="e">
        <f>IF($F345="","",$F345*chronic_consumption!T745/1000/$C$3)</f>
        <v>#DIV/0!</v>
      </c>
      <c r="Z745" s="1040" t="e">
        <f>IF($F345="","",$F345*chronic_consumption!U745/1000/$C$3)</f>
        <v>#DIV/0!</v>
      </c>
      <c r="AA745" s="1040" t="e">
        <f>IF($F345="","",$F345*chronic_consumption!V745/1000/$C$3)</f>
        <v>#DIV/0!</v>
      </c>
      <c r="AB745" s="1040" t="e">
        <f>IF($F345="","",$F345*chronic_consumption!W745/1000/$C$3)</f>
        <v>#DIV/0!</v>
      </c>
      <c r="AC745" s="1040" t="e">
        <f>IF($F345="","",$F345*chronic_consumption!X745/1000/$C$3)</f>
        <v>#DIV/0!</v>
      </c>
      <c r="AD745" s="1040" t="e">
        <f>IF($F345="","",$F345*chronic_consumption!Y745/1000/$C$3)</f>
        <v>#DIV/0!</v>
      </c>
      <c r="AE745" s="1040" t="e">
        <f>IF($F345="","",$F345*chronic_consumption!Z745/1000/$C$3)</f>
        <v>#DIV/0!</v>
      </c>
      <c r="AF745" s="1040" t="e">
        <f>IF($F345="","",$F345*chronic_consumption!AA745/1000/$C$3)</f>
        <v>#DIV/0!</v>
      </c>
      <c r="AG745" s="1040" t="e">
        <f>IF($F345="","",$F345*chronic_consumption!AB745/1000/$C$3)</f>
        <v>#DIV/0!</v>
      </c>
      <c r="AH745" s="1040" t="e">
        <f>IF($F345="","",$F345*chronic_consumption!AC745/1000/$C$3)</f>
        <v>#DIV/0!</v>
      </c>
      <c r="AI745" s="1040" t="e">
        <f>IF($F345="","",$F345*chronic_consumption!AD745/1000/$C$3)</f>
        <v>#DIV/0!</v>
      </c>
      <c r="AJ745" s="1040" t="e">
        <f>IF($F345="","",$F345*chronic_consumption!AE745/1000/$C$3)</f>
        <v>#DIV/0!</v>
      </c>
      <c r="AK745" s="1040" t="e">
        <f>IF($F345="","",$F345*chronic_consumption!AF745/1000/$C$3)</f>
        <v>#DIV/0!</v>
      </c>
      <c r="AL745" s="1040" t="e">
        <f>IF($F345="","",$F345*chronic_consumption!AG745/1000/$C$3)</f>
        <v>#DIV/0!</v>
      </c>
      <c r="AM745" s="1040" t="e">
        <f>IF($F345="","",$F345*chronic_consumption!AH745/1000/$C$3)</f>
        <v>#DIV/0!</v>
      </c>
      <c r="AN745" s="1040" t="e">
        <f>IF($F345="","",$F345*chronic_consumption!AI745/1000/$C$3)</f>
        <v>#DIV/0!</v>
      </c>
      <c r="AO745" s="1040" t="e">
        <f>IF($F345="","",$F345*chronic_consumption!AJ745/1000/$C$3)</f>
        <v>#DIV/0!</v>
      </c>
      <c r="AP745" s="1040" t="e">
        <f>IF($F345="","",$F345*chronic_consumption!AK745/1000/$C$3)</f>
        <v>#DIV/0!</v>
      </c>
      <c r="AQ745" s="1040" t="e">
        <f>IF($F345="","",$F345*chronic_consumption!AL745/1000/$C$3)</f>
        <v>#DIV/0!</v>
      </c>
      <c r="AR745" s="1040" t="e">
        <f>IF($F345="","",$F345*chronic_consumption!AM745/1000/$C$3)</f>
        <v>#DIV/0!</v>
      </c>
      <c r="AS745" s="1040" t="e">
        <f>IF($F345="","",$F345*chronic_consumption!AN745/1000/$C$3)</f>
        <v>#DIV/0!</v>
      </c>
      <c r="AT745" s="1040" t="e">
        <f>IF($F345="","",$F345*chronic_consumption!AO745/1000/$C$3)</f>
        <v>#DIV/0!</v>
      </c>
      <c r="AU745" s="1040" t="e">
        <f>IF($F345="","",$F345*chronic_consumption!AP745/1000/$C$3)</f>
        <v>#DIV/0!</v>
      </c>
      <c r="AV745" s="1040" t="e">
        <f>IF($F345="","",$F345*chronic_consumption!AQ745/1000/$C$3)</f>
        <v>#DIV/0!</v>
      </c>
      <c r="AW745" s="1040" t="e">
        <f>IF($F345="","",$F345*chronic_consumption!AR745/1000/$C$3)</f>
        <v>#DIV/0!</v>
      </c>
      <c r="AX745" s="1040" t="e">
        <f>IF($F345="","",$F345*chronic_consumption!AS745/1000/$C$3)</f>
        <v>#DIV/0!</v>
      </c>
      <c r="AY745" s="1040" t="e">
        <f>IF($F345="","",$F345*chronic_consumption!AT745/1000/$C$3)</f>
        <v>#DIV/0!</v>
      </c>
      <c r="AZ745" s="44" t="s">
        <v>20</v>
      </c>
      <c r="BC745" s="29"/>
      <c r="BD745" s="29"/>
    </row>
    <row r="746" spans="1:56" ht="12" hidden="1" customHeight="1" outlineLevel="2" x14ac:dyDescent="0.2">
      <c r="A746" s="353">
        <f>acute_overview_children!A346</f>
        <v>3</v>
      </c>
      <c r="B746" s="1046">
        <f t="shared" si="52"/>
        <v>1014000</v>
      </c>
      <c r="C746" s="1046" t="str">
        <f t="shared" si="52"/>
        <v xml:space="preserve">Goat </v>
      </c>
      <c r="D746" s="135"/>
      <c r="E746" s="1027"/>
      <c r="F746" s="87"/>
      <c r="G746" s="1027"/>
      <c r="H746" s="1029"/>
      <c r="I746" s="1030"/>
      <c r="J746" s="1047" t="e">
        <f>IF($F346="","",$F346*chronic_consumption!E746/1000/$C$3)</f>
        <v>#DIV/0!</v>
      </c>
      <c r="K746" s="1048" t="e">
        <f>IF($F346="","",$F346*chronic_consumption!F746/1000/$C$3)</f>
        <v>#DIV/0!</v>
      </c>
      <c r="L746" s="1048" t="e">
        <f>IF($F346="","",$F346*chronic_consumption!G746/1000/$C$3)</f>
        <v>#DIV/0!</v>
      </c>
      <c r="M746" s="1048" t="e">
        <f>IF($F346="","",$F346*chronic_consumption!H746/1000/$C$3)</f>
        <v>#DIV/0!</v>
      </c>
      <c r="N746" s="1048" t="e">
        <f>IF($F346="","",$F346*chronic_consumption!I746/1000/$C$3)</f>
        <v>#DIV/0!</v>
      </c>
      <c r="O746" s="1048" t="e">
        <f>IF($F346="","",$F346*chronic_consumption!J746/1000/$C$3)</f>
        <v>#DIV/0!</v>
      </c>
      <c r="P746" s="1048" t="e">
        <f>IF($F346="","",$F346*chronic_consumption!K746/1000/$C$3)</f>
        <v>#DIV/0!</v>
      </c>
      <c r="Q746" s="1048" t="e">
        <f>IF($F346="","",$F346*chronic_consumption!L746/1000/$C$3)</f>
        <v>#DIV/0!</v>
      </c>
      <c r="R746" s="1048" t="e">
        <f>IF($F346="","",$F346*chronic_consumption!M746/1000/$C$3)</f>
        <v>#DIV/0!</v>
      </c>
      <c r="S746" s="1048" t="e">
        <f>IF($F346="","",$F346*chronic_consumption!N746/1000/$C$3)</f>
        <v>#DIV/0!</v>
      </c>
      <c r="T746" s="1048" t="e">
        <f>IF($F346="","",$F346*chronic_consumption!O746/1000/$C$3)</f>
        <v>#DIV/0!</v>
      </c>
      <c r="U746" s="1048" t="e">
        <f>IF($F346="","",$F346*chronic_consumption!P746/1000/$C$3)</f>
        <v>#DIV/0!</v>
      </c>
      <c r="V746" s="1048" t="e">
        <f>IF($F346="","",$F346*chronic_consumption!Q746/1000/$C$3)</f>
        <v>#DIV/0!</v>
      </c>
      <c r="W746" s="1048" t="e">
        <f>IF($F346="","",$F346*chronic_consumption!R746/1000/$C$3)</f>
        <v>#DIV/0!</v>
      </c>
      <c r="X746" s="1048" t="e">
        <f>IF($F346="","",$F346*chronic_consumption!S746/1000/$C$3)</f>
        <v>#DIV/0!</v>
      </c>
      <c r="Y746" s="1048" t="e">
        <f>IF($F346="","",$F346*chronic_consumption!T746/1000/$C$3)</f>
        <v>#DIV/0!</v>
      </c>
      <c r="Z746" s="1048" t="e">
        <f>IF($F346="","",$F346*chronic_consumption!U746/1000/$C$3)</f>
        <v>#DIV/0!</v>
      </c>
      <c r="AA746" s="1048" t="e">
        <f>IF($F346="","",$F346*chronic_consumption!V746/1000/$C$3)</f>
        <v>#DIV/0!</v>
      </c>
      <c r="AB746" s="1048" t="e">
        <f>IF($F346="","",$F346*chronic_consumption!W746/1000/$C$3)</f>
        <v>#DIV/0!</v>
      </c>
      <c r="AC746" s="1048" t="e">
        <f>IF($F346="","",$F346*chronic_consumption!X746/1000/$C$3)</f>
        <v>#DIV/0!</v>
      </c>
      <c r="AD746" s="1048" t="e">
        <f>IF($F346="","",$F346*chronic_consumption!Y746/1000/$C$3)</f>
        <v>#DIV/0!</v>
      </c>
      <c r="AE746" s="1048" t="e">
        <f>IF($F346="","",$F346*chronic_consumption!Z746/1000/$C$3)</f>
        <v>#DIV/0!</v>
      </c>
      <c r="AF746" s="1048" t="e">
        <f>IF($F346="","",$F346*chronic_consumption!AA746/1000/$C$3)</f>
        <v>#DIV/0!</v>
      </c>
      <c r="AG746" s="1048" t="e">
        <f>IF($F346="","",$F346*chronic_consumption!AB746/1000/$C$3)</f>
        <v>#DIV/0!</v>
      </c>
      <c r="AH746" s="1048" t="e">
        <f>IF($F346="","",$F346*chronic_consumption!AC746/1000/$C$3)</f>
        <v>#DIV/0!</v>
      </c>
      <c r="AI746" s="1048" t="e">
        <f>IF($F346="","",$F346*chronic_consumption!AD746/1000/$C$3)</f>
        <v>#DIV/0!</v>
      </c>
      <c r="AJ746" s="1048" t="e">
        <f>IF($F346="","",$F346*chronic_consumption!AE746/1000/$C$3)</f>
        <v>#DIV/0!</v>
      </c>
      <c r="AK746" s="1048" t="e">
        <f>IF($F346="","",$F346*chronic_consumption!AF746/1000/$C$3)</f>
        <v>#DIV/0!</v>
      </c>
      <c r="AL746" s="1048" t="e">
        <f>IF($F346="","",$F346*chronic_consumption!AG746/1000/$C$3)</f>
        <v>#DIV/0!</v>
      </c>
      <c r="AM746" s="1048" t="e">
        <f>IF($F346="","",$F346*chronic_consumption!AH746/1000/$C$3)</f>
        <v>#DIV/0!</v>
      </c>
      <c r="AN746" s="1048" t="e">
        <f>IF($F346="","",$F346*chronic_consumption!AI746/1000/$C$3)</f>
        <v>#DIV/0!</v>
      </c>
      <c r="AO746" s="1048" t="e">
        <f>IF($F346="","",$F346*chronic_consumption!AJ746/1000/$C$3)</f>
        <v>#DIV/0!</v>
      </c>
      <c r="AP746" s="1048" t="e">
        <f>IF($F346="","",$F346*chronic_consumption!AK746/1000/$C$3)</f>
        <v>#DIV/0!</v>
      </c>
      <c r="AQ746" s="1048" t="e">
        <f>IF($F346="","",$F346*chronic_consumption!AL746/1000/$C$3)</f>
        <v>#DIV/0!</v>
      </c>
      <c r="AR746" s="1048" t="e">
        <f>IF($F346="","",$F346*chronic_consumption!AM746/1000/$C$3)</f>
        <v>#DIV/0!</v>
      </c>
      <c r="AS746" s="1048" t="e">
        <f>IF($F346="","",$F346*chronic_consumption!AN746/1000/$C$3)</f>
        <v>#DIV/0!</v>
      </c>
      <c r="AT746" s="1048" t="e">
        <f>IF($F346="","",$F346*chronic_consumption!AO746/1000/$C$3)</f>
        <v>#DIV/0!</v>
      </c>
      <c r="AU746" s="1048" t="e">
        <f>IF($F346="","",$F346*chronic_consumption!AP746/1000/$C$3)</f>
        <v>#DIV/0!</v>
      </c>
      <c r="AV746" s="1048" t="e">
        <f>IF($F346="","",$F346*chronic_consumption!AQ746/1000/$C$3)</f>
        <v>#DIV/0!</v>
      </c>
      <c r="AW746" s="1048" t="e">
        <f>IF($F346="","",$F346*chronic_consumption!AR746/1000/$C$3)</f>
        <v>#DIV/0!</v>
      </c>
      <c r="AX746" s="1048" t="e">
        <f>IF($F346="","",$F346*chronic_consumption!AS746/1000/$C$3)</f>
        <v>#DIV/0!</v>
      </c>
      <c r="AY746" s="1048" t="e">
        <f>IF($F346="","",$F346*chronic_consumption!AT746/1000/$C$3)</f>
        <v>#DIV/0!</v>
      </c>
      <c r="AZ746" s="44" t="s">
        <v>20</v>
      </c>
      <c r="BC746" s="29"/>
      <c r="BD746" s="29"/>
    </row>
    <row r="747" spans="1:56" ht="12" hidden="1" customHeight="1" outlineLevel="3" x14ac:dyDescent="0.2">
      <c r="A747" s="21">
        <f>acute_overview_children!A347</f>
        <v>4</v>
      </c>
      <c r="B747" s="325">
        <f t="shared" si="52"/>
        <v>1014010</v>
      </c>
      <c r="C747" s="325" t="str">
        <f t="shared" si="52"/>
        <v>Goat: Muscle/meat</v>
      </c>
      <c r="D747" s="135"/>
      <c r="E747" s="1027"/>
      <c r="F747" s="87"/>
      <c r="G747" s="1027"/>
      <c r="H747" s="1029"/>
      <c r="I747" s="1030"/>
      <c r="J747" s="1039" t="e">
        <f>IF($F347="","",$F347*chronic_consumption!E747/1000/$C$3)</f>
        <v>#DIV/0!</v>
      </c>
      <c r="K747" s="1040" t="e">
        <f>IF($F347="","",$F347*chronic_consumption!F747/1000/$C$3)</f>
        <v>#DIV/0!</v>
      </c>
      <c r="L747" s="1040" t="e">
        <f>IF($F347="","",$F347*chronic_consumption!G747/1000/$C$3)</f>
        <v>#DIV/0!</v>
      </c>
      <c r="M747" s="1040" t="e">
        <f>IF($F347="","",$F347*chronic_consumption!H747/1000/$C$3)</f>
        <v>#DIV/0!</v>
      </c>
      <c r="N747" s="1040" t="e">
        <f>IF($F347="","",$F347*chronic_consumption!I747/1000/$C$3)</f>
        <v>#DIV/0!</v>
      </c>
      <c r="O747" s="1040" t="e">
        <f>IF($F347="","",$F347*chronic_consumption!J747/1000/$C$3)</f>
        <v>#DIV/0!</v>
      </c>
      <c r="P747" s="1040" t="e">
        <f>IF($F347="","",$F347*chronic_consumption!K747/1000/$C$3)</f>
        <v>#DIV/0!</v>
      </c>
      <c r="Q747" s="1040" t="e">
        <f>IF($F347="","",$F347*chronic_consumption!L747/1000/$C$3)</f>
        <v>#DIV/0!</v>
      </c>
      <c r="R747" s="1040" t="e">
        <f>IF($F347="","",$F347*chronic_consumption!M747/1000/$C$3)</f>
        <v>#DIV/0!</v>
      </c>
      <c r="S747" s="1040" t="e">
        <f>IF($F347="","",$F347*chronic_consumption!N747/1000/$C$3)</f>
        <v>#DIV/0!</v>
      </c>
      <c r="T747" s="1040" t="e">
        <f>IF($F347="","",$F347*chronic_consumption!O747/1000/$C$3)</f>
        <v>#DIV/0!</v>
      </c>
      <c r="U747" s="1040" t="e">
        <f>IF($F347="","",$F347*chronic_consumption!P747/1000/$C$3)</f>
        <v>#DIV/0!</v>
      </c>
      <c r="V747" s="1040" t="e">
        <f>IF($F347="","",$F347*chronic_consumption!Q747/1000/$C$3)</f>
        <v>#DIV/0!</v>
      </c>
      <c r="W747" s="1040" t="e">
        <f>IF($F347="","",$F347*chronic_consumption!R747/1000/$C$3)</f>
        <v>#DIV/0!</v>
      </c>
      <c r="X747" s="1040" t="e">
        <f>IF($F347="","",$F347*chronic_consumption!S747/1000/$C$3)</f>
        <v>#DIV/0!</v>
      </c>
      <c r="Y747" s="1040" t="e">
        <f>IF($F347="","",$F347*chronic_consumption!T747/1000/$C$3)</f>
        <v>#DIV/0!</v>
      </c>
      <c r="Z747" s="1040" t="e">
        <f>IF($F347="","",$F347*chronic_consumption!U747/1000/$C$3)</f>
        <v>#DIV/0!</v>
      </c>
      <c r="AA747" s="1040" t="e">
        <f>IF($F347="","",$F347*chronic_consumption!V747/1000/$C$3)</f>
        <v>#DIV/0!</v>
      </c>
      <c r="AB747" s="1040" t="e">
        <f>IF($F347="","",$F347*chronic_consumption!W747/1000/$C$3)</f>
        <v>#DIV/0!</v>
      </c>
      <c r="AC747" s="1040" t="e">
        <f>IF($F347="","",$F347*chronic_consumption!X747/1000/$C$3)</f>
        <v>#DIV/0!</v>
      </c>
      <c r="AD747" s="1040" t="e">
        <f>IF($F347="","",$F347*chronic_consumption!Y747/1000/$C$3)</f>
        <v>#DIV/0!</v>
      </c>
      <c r="AE747" s="1040" t="e">
        <f>IF($F347="","",$F347*chronic_consumption!Z747/1000/$C$3)</f>
        <v>#DIV/0!</v>
      </c>
      <c r="AF747" s="1040" t="e">
        <f>IF($F347="","",$F347*chronic_consumption!AA747/1000/$C$3)</f>
        <v>#DIV/0!</v>
      </c>
      <c r="AG747" s="1040" t="e">
        <f>IF($F347="","",$F347*chronic_consumption!AB747/1000/$C$3)</f>
        <v>#DIV/0!</v>
      </c>
      <c r="AH747" s="1040" t="e">
        <f>IF($F347="","",$F347*chronic_consumption!AC747/1000/$C$3)</f>
        <v>#DIV/0!</v>
      </c>
      <c r="AI747" s="1040" t="e">
        <f>IF($F347="","",$F347*chronic_consumption!AD747/1000/$C$3)</f>
        <v>#DIV/0!</v>
      </c>
      <c r="AJ747" s="1040" t="e">
        <f>IF($F347="","",$F347*chronic_consumption!AE747/1000/$C$3)</f>
        <v>#DIV/0!</v>
      </c>
      <c r="AK747" s="1040" t="e">
        <f>IF($F347="","",$F347*chronic_consumption!AF747/1000/$C$3)</f>
        <v>#DIV/0!</v>
      </c>
      <c r="AL747" s="1040" t="e">
        <f>IF($F347="","",$F347*chronic_consumption!AG747/1000/$C$3)</f>
        <v>#DIV/0!</v>
      </c>
      <c r="AM747" s="1040" t="e">
        <f>IF($F347="","",$F347*chronic_consumption!AH747/1000/$C$3)</f>
        <v>#DIV/0!</v>
      </c>
      <c r="AN747" s="1040" t="e">
        <f>IF($F347="","",$F347*chronic_consumption!AI747/1000/$C$3)</f>
        <v>#DIV/0!</v>
      </c>
      <c r="AO747" s="1040" t="e">
        <f>IF($F347="","",$F347*chronic_consumption!AJ747/1000/$C$3)</f>
        <v>#DIV/0!</v>
      </c>
      <c r="AP747" s="1040" t="e">
        <f>IF($F347="","",$F347*chronic_consumption!AK747/1000/$C$3)</f>
        <v>#DIV/0!</v>
      </c>
      <c r="AQ747" s="1040" t="e">
        <f>IF($F347="","",$F347*chronic_consumption!AL747/1000/$C$3)</f>
        <v>#DIV/0!</v>
      </c>
      <c r="AR747" s="1040" t="e">
        <f>IF($F347="","",$F347*chronic_consumption!AM747/1000/$C$3)</f>
        <v>#DIV/0!</v>
      </c>
      <c r="AS747" s="1040" t="e">
        <f>IF($F347="","",$F347*chronic_consumption!AN747/1000/$C$3)</f>
        <v>#DIV/0!</v>
      </c>
      <c r="AT747" s="1040" t="e">
        <f>IF($F347="","",$F347*chronic_consumption!AO747/1000/$C$3)</f>
        <v>#DIV/0!</v>
      </c>
      <c r="AU747" s="1040" t="e">
        <f>IF($F347="","",$F347*chronic_consumption!AP747/1000/$C$3)</f>
        <v>#DIV/0!</v>
      </c>
      <c r="AV747" s="1040" t="e">
        <f>IF($F347="","",$F347*chronic_consumption!AQ747/1000/$C$3)</f>
        <v>#DIV/0!</v>
      </c>
      <c r="AW747" s="1040" t="e">
        <f>IF($F347="","",$F347*chronic_consumption!AR747/1000/$C$3)</f>
        <v>#DIV/0!</v>
      </c>
      <c r="AX747" s="1040" t="e">
        <f>IF($F347="","",$F347*chronic_consumption!AS747/1000/$C$3)</f>
        <v>#DIV/0!</v>
      </c>
      <c r="AY747" s="1040" t="e">
        <f>IF($F347="","",$F347*chronic_consumption!AT747/1000/$C$3)</f>
        <v>#DIV/0!</v>
      </c>
      <c r="AZ747" s="44" t="s">
        <v>20</v>
      </c>
      <c r="BC747" s="29"/>
      <c r="BD747" s="29"/>
    </row>
    <row r="748" spans="1:56" ht="12" hidden="1" customHeight="1" outlineLevel="3" x14ac:dyDescent="0.2">
      <c r="A748" s="21">
        <f>acute_overview_children!A348</f>
        <v>4</v>
      </c>
      <c r="B748" s="325">
        <f t="shared" si="52"/>
        <v>1014020</v>
      </c>
      <c r="C748" s="325" t="str">
        <f t="shared" si="52"/>
        <v>Goat: Fat tissue</v>
      </c>
      <c r="D748" s="135"/>
      <c r="E748" s="1027"/>
      <c r="F748" s="87"/>
      <c r="G748" s="1027"/>
      <c r="H748" s="1029"/>
      <c r="I748" s="1030"/>
      <c r="J748" s="1039" t="e">
        <f>IF($F348="","",$F348*chronic_consumption!E748/1000/$C$3)</f>
        <v>#DIV/0!</v>
      </c>
      <c r="K748" s="1040" t="e">
        <f>IF($F348="","",$F348*chronic_consumption!F748/1000/$C$3)</f>
        <v>#DIV/0!</v>
      </c>
      <c r="L748" s="1040" t="e">
        <f>IF($F348="","",$F348*chronic_consumption!G748/1000/$C$3)</f>
        <v>#DIV/0!</v>
      </c>
      <c r="M748" s="1040" t="e">
        <f>IF($F348="","",$F348*chronic_consumption!H748/1000/$C$3)</f>
        <v>#DIV/0!</v>
      </c>
      <c r="N748" s="1040" t="e">
        <f>IF($F348="","",$F348*chronic_consumption!I748/1000/$C$3)</f>
        <v>#DIV/0!</v>
      </c>
      <c r="O748" s="1040" t="e">
        <f>IF($F348="","",$F348*chronic_consumption!J748/1000/$C$3)</f>
        <v>#DIV/0!</v>
      </c>
      <c r="P748" s="1040" t="e">
        <f>IF($F348="","",$F348*chronic_consumption!K748/1000/$C$3)</f>
        <v>#DIV/0!</v>
      </c>
      <c r="Q748" s="1040" t="e">
        <f>IF($F348="","",$F348*chronic_consumption!L748/1000/$C$3)</f>
        <v>#DIV/0!</v>
      </c>
      <c r="R748" s="1040" t="e">
        <f>IF($F348="","",$F348*chronic_consumption!M748/1000/$C$3)</f>
        <v>#DIV/0!</v>
      </c>
      <c r="S748" s="1040" t="e">
        <f>IF($F348="","",$F348*chronic_consumption!N748/1000/$C$3)</f>
        <v>#DIV/0!</v>
      </c>
      <c r="T748" s="1040" t="e">
        <f>IF($F348="","",$F348*chronic_consumption!O748/1000/$C$3)</f>
        <v>#DIV/0!</v>
      </c>
      <c r="U748" s="1040" t="e">
        <f>IF($F348="","",$F348*chronic_consumption!P748/1000/$C$3)</f>
        <v>#DIV/0!</v>
      </c>
      <c r="V748" s="1040" t="e">
        <f>IF($F348="","",$F348*chronic_consumption!Q748/1000/$C$3)</f>
        <v>#DIV/0!</v>
      </c>
      <c r="W748" s="1040" t="e">
        <f>IF($F348="","",$F348*chronic_consumption!R748/1000/$C$3)</f>
        <v>#DIV/0!</v>
      </c>
      <c r="X748" s="1040" t="e">
        <f>IF($F348="","",$F348*chronic_consumption!S748/1000/$C$3)</f>
        <v>#DIV/0!</v>
      </c>
      <c r="Y748" s="1040" t="e">
        <f>IF($F348="","",$F348*chronic_consumption!T748/1000/$C$3)</f>
        <v>#DIV/0!</v>
      </c>
      <c r="Z748" s="1040" t="e">
        <f>IF($F348="","",$F348*chronic_consumption!U748/1000/$C$3)</f>
        <v>#DIV/0!</v>
      </c>
      <c r="AA748" s="1040" t="e">
        <f>IF($F348="","",$F348*chronic_consumption!V748/1000/$C$3)</f>
        <v>#DIV/0!</v>
      </c>
      <c r="AB748" s="1040" t="e">
        <f>IF($F348="","",$F348*chronic_consumption!W748/1000/$C$3)</f>
        <v>#DIV/0!</v>
      </c>
      <c r="AC748" s="1040" t="e">
        <f>IF($F348="","",$F348*chronic_consumption!X748/1000/$C$3)</f>
        <v>#DIV/0!</v>
      </c>
      <c r="AD748" s="1040" t="e">
        <f>IF($F348="","",$F348*chronic_consumption!Y748/1000/$C$3)</f>
        <v>#DIV/0!</v>
      </c>
      <c r="AE748" s="1040" t="e">
        <f>IF($F348="","",$F348*chronic_consumption!Z748/1000/$C$3)</f>
        <v>#DIV/0!</v>
      </c>
      <c r="AF748" s="1040" t="e">
        <f>IF($F348="","",$F348*chronic_consumption!AA748/1000/$C$3)</f>
        <v>#DIV/0!</v>
      </c>
      <c r="AG748" s="1040" t="e">
        <f>IF($F348="","",$F348*chronic_consumption!AB748/1000/$C$3)</f>
        <v>#DIV/0!</v>
      </c>
      <c r="AH748" s="1040" t="e">
        <f>IF($F348="","",$F348*chronic_consumption!AC748/1000/$C$3)</f>
        <v>#DIV/0!</v>
      </c>
      <c r="AI748" s="1040" t="e">
        <f>IF($F348="","",$F348*chronic_consumption!AD748/1000/$C$3)</f>
        <v>#DIV/0!</v>
      </c>
      <c r="AJ748" s="1040" t="e">
        <f>IF($F348="","",$F348*chronic_consumption!AE748/1000/$C$3)</f>
        <v>#DIV/0!</v>
      </c>
      <c r="AK748" s="1040" t="e">
        <f>IF($F348="","",$F348*chronic_consumption!AF748/1000/$C$3)</f>
        <v>#DIV/0!</v>
      </c>
      <c r="AL748" s="1040" t="e">
        <f>IF($F348="","",$F348*chronic_consumption!AG748/1000/$C$3)</f>
        <v>#DIV/0!</v>
      </c>
      <c r="AM748" s="1040" t="e">
        <f>IF($F348="","",$F348*chronic_consumption!AH748/1000/$C$3)</f>
        <v>#DIV/0!</v>
      </c>
      <c r="AN748" s="1040" t="e">
        <f>IF($F348="","",$F348*chronic_consumption!AI748/1000/$C$3)</f>
        <v>#DIV/0!</v>
      </c>
      <c r="AO748" s="1040" t="e">
        <f>IF($F348="","",$F348*chronic_consumption!AJ748/1000/$C$3)</f>
        <v>#DIV/0!</v>
      </c>
      <c r="AP748" s="1040" t="e">
        <f>IF($F348="","",$F348*chronic_consumption!AK748/1000/$C$3)</f>
        <v>#DIV/0!</v>
      </c>
      <c r="AQ748" s="1040" t="e">
        <f>IF($F348="","",$F348*chronic_consumption!AL748/1000/$C$3)</f>
        <v>#DIV/0!</v>
      </c>
      <c r="AR748" s="1040" t="e">
        <f>IF($F348="","",$F348*chronic_consumption!AM748/1000/$C$3)</f>
        <v>#DIV/0!</v>
      </c>
      <c r="AS748" s="1040" t="e">
        <f>IF($F348="","",$F348*chronic_consumption!AN748/1000/$C$3)</f>
        <v>#DIV/0!</v>
      </c>
      <c r="AT748" s="1040" t="e">
        <f>IF($F348="","",$F348*chronic_consumption!AO748/1000/$C$3)</f>
        <v>#DIV/0!</v>
      </c>
      <c r="AU748" s="1040" t="e">
        <f>IF($F348="","",$F348*chronic_consumption!AP748/1000/$C$3)</f>
        <v>#DIV/0!</v>
      </c>
      <c r="AV748" s="1040" t="e">
        <f>IF($F348="","",$F348*chronic_consumption!AQ748/1000/$C$3)</f>
        <v>#DIV/0!</v>
      </c>
      <c r="AW748" s="1040" t="e">
        <f>IF($F348="","",$F348*chronic_consumption!AR748/1000/$C$3)</f>
        <v>#DIV/0!</v>
      </c>
      <c r="AX748" s="1040" t="e">
        <f>IF($F348="","",$F348*chronic_consumption!AS748/1000/$C$3)</f>
        <v>#DIV/0!</v>
      </c>
      <c r="AY748" s="1040" t="e">
        <f>IF($F348="","",$F348*chronic_consumption!AT748/1000/$C$3)</f>
        <v>#DIV/0!</v>
      </c>
      <c r="AZ748" s="44" t="s">
        <v>20</v>
      </c>
      <c r="BC748" s="29"/>
      <c r="BD748" s="29"/>
    </row>
    <row r="749" spans="1:56" ht="12" hidden="1" customHeight="1" outlineLevel="3" x14ac:dyDescent="0.2">
      <c r="A749" s="21">
        <f>acute_overview_children!A349</f>
        <v>4</v>
      </c>
      <c r="B749" s="325">
        <f t="shared" si="52"/>
        <v>1014030</v>
      </c>
      <c r="C749" s="325" t="str">
        <f t="shared" si="52"/>
        <v>Goat: Liver</v>
      </c>
      <c r="D749" s="135"/>
      <c r="E749" s="1027"/>
      <c r="F749" s="87"/>
      <c r="G749" s="1027"/>
      <c r="H749" s="1029"/>
      <c r="I749" s="1030"/>
      <c r="J749" s="1039" t="e">
        <f>IF($F349="","",$F349*chronic_consumption!E749/1000/$C$3)</f>
        <v>#DIV/0!</v>
      </c>
      <c r="K749" s="1040" t="e">
        <f>IF($F349="","",$F349*chronic_consumption!F749/1000/$C$3)</f>
        <v>#DIV/0!</v>
      </c>
      <c r="L749" s="1040" t="e">
        <f>IF($F349="","",$F349*chronic_consumption!G749/1000/$C$3)</f>
        <v>#DIV/0!</v>
      </c>
      <c r="M749" s="1040" t="e">
        <f>IF($F349="","",$F349*chronic_consumption!H749/1000/$C$3)</f>
        <v>#DIV/0!</v>
      </c>
      <c r="N749" s="1040" t="e">
        <f>IF($F349="","",$F349*chronic_consumption!I749/1000/$C$3)</f>
        <v>#DIV/0!</v>
      </c>
      <c r="O749" s="1040" t="e">
        <f>IF($F349="","",$F349*chronic_consumption!J749/1000/$C$3)</f>
        <v>#DIV/0!</v>
      </c>
      <c r="P749" s="1040" t="e">
        <f>IF($F349="","",$F349*chronic_consumption!K749/1000/$C$3)</f>
        <v>#DIV/0!</v>
      </c>
      <c r="Q749" s="1040" t="e">
        <f>IF($F349="","",$F349*chronic_consumption!L749/1000/$C$3)</f>
        <v>#DIV/0!</v>
      </c>
      <c r="R749" s="1040" t="e">
        <f>IF($F349="","",$F349*chronic_consumption!M749/1000/$C$3)</f>
        <v>#DIV/0!</v>
      </c>
      <c r="S749" s="1040" t="e">
        <f>IF($F349="","",$F349*chronic_consumption!N749/1000/$C$3)</f>
        <v>#DIV/0!</v>
      </c>
      <c r="T749" s="1040" t="e">
        <f>IF($F349="","",$F349*chronic_consumption!O749/1000/$C$3)</f>
        <v>#DIV/0!</v>
      </c>
      <c r="U749" s="1040" t="e">
        <f>IF($F349="","",$F349*chronic_consumption!P749/1000/$C$3)</f>
        <v>#DIV/0!</v>
      </c>
      <c r="V749" s="1040" t="e">
        <f>IF($F349="","",$F349*chronic_consumption!Q749/1000/$C$3)</f>
        <v>#DIV/0!</v>
      </c>
      <c r="W749" s="1040" t="e">
        <f>IF($F349="","",$F349*chronic_consumption!R749/1000/$C$3)</f>
        <v>#DIV/0!</v>
      </c>
      <c r="X749" s="1040" t="e">
        <f>IF($F349="","",$F349*chronic_consumption!S749/1000/$C$3)</f>
        <v>#DIV/0!</v>
      </c>
      <c r="Y749" s="1040" t="e">
        <f>IF($F349="","",$F349*chronic_consumption!T749/1000/$C$3)</f>
        <v>#DIV/0!</v>
      </c>
      <c r="Z749" s="1040" t="e">
        <f>IF($F349="","",$F349*chronic_consumption!U749/1000/$C$3)</f>
        <v>#DIV/0!</v>
      </c>
      <c r="AA749" s="1040" t="e">
        <f>IF($F349="","",$F349*chronic_consumption!V749/1000/$C$3)</f>
        <v>#DIV/0!</v>
      </c>
      <c r="AB749" s="1040" t="e">
        <f>IF($F349="","",$F349*chronic_consumption!W749/1000/$C$3)</f>
        <v>#DIV/0!</v>
      </c>
      <c r="AC749" s="1040" t="e">
        <f>IF($F349="","",$F349*chronic_consumption!X749/1000/$C$3)</f>
        <v>#DIV/0!</v>
      </c>
      <c r="AD749" s="1040" t="e">
        <f>IF($F349="","",$F349*chronic_consumption!Y749/1000/$C$3)</f>
        <v>#DIV/0!</v>
      </c>
      <c r="AE749" s="1040" t="e">
        <f>IF($F349="","",$F349*chronic_consumption!Z749/1000/$C$3)</f>
        <v>#DIV/0!</v>
      </c>
      <c r="AF749" s="1040" t="e">
        <f>IF($F349="","",$F349*chronic_consumption!AA749/1000/$C$3)</f>
        <v>#DIV/0!</v>
      </c>
      <c r="AG749" s="1040" t="e">
        <f>IF($F349="","",$F349*chronic_consumption!AB749/1000/$C$3)</f>
        <v>#DIV/0!</v>
      </c>
      <c r="AH749" s="1040" t="e">
        <f>IF($F349="","",$F349*chronic_consumption!AC749/1000/$C$3)</f>
        <v>#DIV/0!</v>
      </c>
      <c r="AI749" s="1040" t="e">
        <f>IF($F349="","",$F349*chronic_consumption!AD749/1000/$C$3)</f>
        <v>#DIV/0!</v>
      </c>
      <c r="AJ749" s="1040" t="e">
        <f>IF($F349="","",$F349*chronic_consumption!AE749/1000/$C$3)</f>
        <v>#DIV/0!</v>
      </c>
      <c r="AK749" s="1040" t="e">
        <f>IF($F349="","",$F349*chronic_consumption!AF749/1000/$C$3)</f>
        <v>#DIV/0!</v>
      </c>
      <c r="AL749" s="1040" t="e">
        <f>IF($F349="","",$F349*chronic_consumption!AG749/1000/$C$3)</f>
        <v>#DIV/0!</v>
      </c>
      <c r="AM749" s="1040" t="e">
        <f>IF($F349="","",$F349*chronic_consumption!AH749/1000/$C$3)</f>
        <v>#DIV/0!</v>
      </c>
      <c r="AN749" s="1040" t="e">
        <f>IF($F349="","",$F349*chronic_consumption!AI749/1000/$C$3)</f>
        <v>#DIV/0!</v>
      </c>
      <c r="AO749" s="1040" t="e">
        <f>IF($F349="","",$F349*chronic_consumption!AJ749/1000/$C$3)</f>
        <v>#DIV/0!</v>
      </c>
      <c r="AP749" s="1040" t="e">
        <f>IF($F349="","",$F349*chronic_consumption!AK749/1000/$C$3)</f>
        <v>#DIV/0!</v>
      </c>
      <c r="AQ749" s="1040" t="e">
        <f>IF($F349="","",$F349*chronic_consumption!AL749/1000/$C$3)</f>
        <v>#DIV/0!</v>
      </c>
      <c r="AR749" s="1040" t="e">
        <f>IF($F349="","",$F349*chronic_consumption!AM749/1000/$C$3)</f>
        <v>#DIV/0!</v>
      </c>
      <c r="AS749" s="1040" t="e">
        <f>IF($F349="","",$F349*chronic_consumption!AN749/1000/$C$3)</f>
        <v>#DIV/0!</v>
      </c>
      <c r="AT749" s="1040" t="e">
        <f>IF($F349="","",$F349*chronic_consumption!AO749/1000/$C$3)</f>
        <v>#DIV/0!</v>
      </c>
      <c r="AU749" s="1040" t="e">
        <f>IF($F349="","",$F349*chronic_consumption!AP749/1000/$C$3)</f>
        <v>#DIV/0!</v>
      </c>
      <c r="AV749" s="1040" t="e">
        <f>IF($F349="","",$F349*chronic_consumption!AQ749/1000/$C$3)</f>
        <v>#DIV/0!</v>
      </c>
      <c r="AW749" s="1040" t="e">
        <f>IF($F349="","",$F349*chronic_consumption!AR749/1000/$C$3)</f>
        <v>#DIV/0!</v>
      </c>
      <c r="AX749" s="1040" t="e">
        <f>IF($F349="","",$F349*chronic_consumption!AS749/1000/$C$3)</f>
        <v>#DIV/0!</v>
      </c>
      <c r="AY749" s="1040" t="e">
        <f>IF($F349="","",$F349*chronic_consumption!AT749/1000/$C$3)</f>
        <v>#DIV/0!</v>
      </c>
      <c r="AZ749" s="44" t="s">
        <v>20</v>
      </c>
      <c r="BC749" s="29"/>
      <c r="BD749" s="29"/>
    </row>
    <row r="750" spans="1:56" ht="12" hidden="1" customHeight="1" outlineLevel="3" x14ac:dyDescent="0.2">
      <c r="A750" s="21">
        <f>acute_overview_children!A350</f>
        <v>4</v>
      </c>
      <c r="B750" s="325">
        <f t="shared" si="52"/>
        <v>1014040</v>
      </c>
      <c r="C750" s="325" t="str">
        <f t="shared" si="52"/>
        <v>Goat: Kidney</v>
      </c>
      <c r="D750" s="135"/>
      <c r="E750" s="1027"/>
      <c r="F750" s="87"/>
      <c r="G750" s="1027"/>
      <c r="H750" s="1029"/>
      <c r="I750" s="1030"/>
      <c r="J750" s="1039" t="e">
        <f>IF($F350="","",$F350*chronic_consumption!E750/1000/$C$3)</f>
        <v>#DIV/0!</v>
      </c>
      <c r="K750" s="1040" t="e">
        <f>IF($F350="","",$F350*chronic_consumption!F750/1000/$C$3)</f>
        <v>#DIV/0!</v>
      </c>
      <c r="L750" s="1040" t="e">
        <f>IF($F350="","",$F350*chronic_consumption!G750/1000/$C$3)</f>
        <v>#DIV/0!</v>
      </c>
      <c r="M750" s="1040" t="e">
        <f>IF($F350="","",$F350*chronic_consumption!H750/1000/$C$3)</f>
        <v>#DIV/0!</v>
      </c>
      <c r="N750" s="1040" t="e">
        <f>IF($F350="","",$F350*chronic_consumption!I750/1000/$C$3)</f>
        <v>#DIV/0!</v>
      </c>
      <c r="O750" s="1040" t="e">
        <f>IF($F350="","",$F350*chronic_consumption!J750/1000/$C$3)</f>
        <v>#DIV/0!</v>
      </c>
      <c r="P750" s="1040" t="e">
        <f>IF($F350="","",$F350*chronic_consumption!K750/1000/$C$3)</f>
        <v>#DIV/0!</v>
      </c>
      <c r="Q750" s="1040" t="e">
        <f>IF($F350="","",$F350*chronic_consumption!L750/1000/$C$3)</f>
        <v>#DIV/0!</v>
      </c>
      <c r="R750" s="1040" t="e">
        <f>IF($F350="","",$F350*chronic_consumption!M750/1000/$C$3)</f>
        <v>#DIV/0!</v>
      </c>
      <c r="S750" s="1040" t="e">
        <f>IF($F350="","",$F350*chronic_consumption!N750/1000/$C$3)</f>
        <v>#DIV/0!</v>
      </c>
      <c r="T750" s="1040" t="e">
        <f>IF($F350="","",$F350*chronic_consumption!O750/1000/$C$3)</f>
        <v>#DIV/0!</v>
      </c>
      <c r="U750" s="1040" t="e">
        <f>IF($F350="","",$F350*chronic_consumption!P750/1000/$C$3)</f>
        <v>#DIV/0!</v>
      </c>
      <c r="V750" s="1040" t="e">
        <f>IF($F350="","",$F350*chronic_consumption!Q750/1000/$C$3)</f>
        <v>#DIV/0!</v>
      </c>
      <c r="W750" s="1040" t="e">
        <f>IF($F350="","",$F350*chronic_consumption!R750/1000/$C$3)</f>
        <v>#DIV/0!</v>
      </c>
      <c r="X750" s="1040" t="e">
        <f>IF($F350="","",$F350*chronic_consumption!S750/1000/$C$3)</f>
        <v>#DIV/0!</v>
      </c>
      <c r="Y750" s="1040" t="e">
        <f>IF($F350="","",$F350*chronic_consumption!T750/1000/$C$3)</f>
        <v>#DIV/0!</v>
      </c>
      <c r="Z750" s="1040" t="e">
        <f>IF($F350="","",$F350*chronic_consumption!U750/1000/$C$3)</f>
        <v>#DIV/0!</v>
      </c>
      <c r="AA750" s="1040" t="e">
        <f>IF($F350="","",$F350*chronic_consumption!V750/1000/$C$3)</f>
        <v>#DIV/0!</v>
      </c>
      <c r="AB750" s="1040" t="e">
        <f>IF($F350="","",$F350*chronic_consumption!W750/1000/$C$3)</f>
        <v>#DIV/0!</v>
      </c>
      <c r="AC750" s="1040" t="e">
        <f>IF($F350="","",$F350*chronic_consumption!X750/1000/$C$3)</f>
        <v>#DIV/0!</v>
      </c>
      <c r="AD750" s="1040" t="e">
        <f>IF($F350="","",$F350*chronic_consumption!Y750/1000/$C$3)</f>
        <v>#DIV/0!</v>
      </c>
      <c r="AE750" s="1040" t="e">
        <f>IF($F350="","",$F350*chronic_consumption!Z750/1000/$C$3)</f>
        <v>#DIV/0!</v>
      </c>
      <c r="AF750" s="1040" t="e">
        <f>IF($F350="","",$F350*chronic_consumption!AA750/1000/$C$3)</f>
        <v>#DIV/0!</v>
      </c>
      <c r="AG750" s="1040" t="e">
        <f>IF($F350="","",$F350*chronic_consumption!AB750/1000/$C$3)</f>
        <v>#DIV/0!</v>
      </c>
      <c r="AH750" s="1040" t="e">
        <f>IF($F350="","",$F350*chronic_consumption!AC750/1000/$C$3)</f>
        <v>#DIV/0!</v>
      </c>
      <c r="AI750" s="1040" t="e">
        <f>IF($F350="","",$F350*chronic_consumption!AD750/1000/$C$3)</f>
        <v>#DIV/0!</v>
      </c>
      <c r="AJ750" s="1040" t="e">
        <f>IF($F350="","",$F350*chronic_consumption!AE750/1000/$C$3)</f>
        <v>#DIV/0!</v>
      </c>
      <c r="AK750" s="1040" t="e">
        <f>IF($F350="","",$F350*chronic_consumption!AF750/1000/$C$3)</f>
        <v>#DIV/0!</v>
      </c>
      <c r="AL750" s="1040" t="e">
        <f>IF($F350="","",$F350*chronic_consumption!AG750/1000/$C$3)</f>
        <v>#DIV/0!</v>
      </c>
      <c r="AM750" s="1040" t="e">
        <f>IF($F350="","",$F350*chronic_consumption!AH750/1000/$C$3)</f>
        <v>#DIV/0!</v>
      </c>
      <c r="AN750" s="1040" t="e">
        <f>IF($F350="","",$F350*chronic_consumption!AI750/1000/$C$3)</f>
        <v>#DIV/0!</v>
      </c>
      <c r="AO750" s="1040" t="e">
        <f>IF($F350="","",$F350*chronic_consumption!AJ750/1000/$C$3)</f>
        <v>#DIV/0!</v>
      </c>
      <c r="AP750" s="1040" t="e">
        <f>IF($F350="","",$F350*chronic_consumption!AK750/1000/$C$3)</f>
        <v>#DIV/0!</v>
      </c>
      <c r="AQ750" s="1040" t="e">
        <f>IF($F350="","",$F350*chronic_consumption!AL750/1000/$C$3)</f>
        <v>#DIV/0!</v>
      </c>
      <c r="AR750" s="1040" t="e">
        <f>IF($F350="","",$F350*chronic_consumption!AM750/1000/$C$3)</f>
        <v>#DIV/0!</v>
      </c>
      <c r="AS750" s="1040" t="e">
        <f>IF($F350="","",$F350*chronic_consumption!AN750/1000/$C$3)</f>
        <v>#DIV/0!</v>
      </c>
      <c r="AT750" s="1040" t="e">
        <f>IF($F350="","",$F350*chronic_consumption!AO750/1000/$C$3)</f>
        <v>#DIV/0!</v>
      </c>
      <c r="AU750" s="1040" t="e">
        <f>IF($F350="","",$F350*chronic_consumption!AP750/1000/$C$3)</f>
        <v>#DIV/0!</v>
      </c>
      <c r="AV750" s="1040" t="e">
        <f>IF($F350="","",$F350*chronic_consumption!AQ750/1000/$C$3)</f>
        <v>#DIV/0!</v>
      </c>
      <c r="AW750" s="1040" t="e">
        <f>IF($F350="","",$F350*chronic_consumption!AR750/1000/$C$3)</f>
        <v>#DIV/0!</v>
      </c>
      <c r="AX750" s="1040" t="e">
        <f>IF($F350="","",$F350*chronic_consumption!AS750/1000/$C$3)</f>
        <v>#DIV/0!</v>
      </c>
      <c r="AY750" s="1040" t="e">
        <f>IF($F350="","",$F350*chronic_consumption!AT750/1000/$C$3)</f>
        <v>#DIV/0!</v>
      </c>
      <c r="AZ750" s="44" t="s">
        <v>20</v>
      </c>
      <c r="BC750" s="29"/>
      <c r="BD750" s="29"/>
    </row>
    <row r="751" spans="1:56" ht="12" hidden="1" customHeight="1" outlineLevel="3" x14ac:dyDescent="0.2">
      <c r="A751" s="21">
        <f>acute_overview_children!A351</f>
        <v>4</v>
      </c>
      <c r="B751" s="325">
        <f t="shared" si="52"/>
        <v>1014050</v>
      </c>
      <c r="C751" s="325" t="str">
        <f t="shared" si="52"/>
        <v>Goat: Edible offals (other tha liver and kindey)</v>
      </c>
      <c r="D751" s="135"/>
      <c r="E751" s="1027"/>
      <c r="F751" s="87"/>
      <c r="G751" s="1027"/>
      <c r="H751" s="1029"/>
      <c r="I751" s="1030"/>
      <c r="J751" s="1039" t="e">
        <f>IF($F351="","",$F351*chronic_consumption!E751/1000/$C$3)</f>
        <v>#DIV/0!</v>
      </c>
      <c r="K751" s="1040" t="e">
        <f>IF($F351="","",$F351*chronic_consumption!F751/1000/$C$3)</f>
        <v>#DIV/0!</v>
      </c>
      <c r="L751" s="1040" t="e">
        <f>IF($F351="","",$F351*chronic_consumption!G751/1000/$C$3)</f>
        <v>#DIV/0!</v>
      </c>
      <c r="M751" s="1040" t="e">
        <f>IF($F351="","",$F351*chronic_consumption!H751/1000/$C$3)</f>
        <v>#DIV/0!</v>
      </c>
      <c r="N751" s="1040" t="e">
        <f>IF($F351="","",$F351*chronic_consumption!I751/1000/$C$3)</f>
        <v>#DIV/0!</v>
      </c>
      <c r="O751" s="1040" t="e">
        <f>IF($F351="","",$F351*chronic_consumption!J751/1000/$C$3)</f>
        <v>#DIV/0!</v>
      </c>
      <c r="P751" s="1040" t="e">
        <f>IF($F351="","",$F351*chronic_consumption!K751/1000/$C$3)</f>
        <v>#DIV/0!</v>
      </c>
      <c r="Q751" s="1040" t="e">
        <f>IF($F351="","",$F351*chronic_consumption!L751/1000/$C$3)</f>
        <v>#DIV/0!</v>
      </c>
      <c r="R751" s="1040" t="e">
        <f>IF($F351="","",$F351*chronic_consumption!M751/1000/$C$3)</f>
        <v>#DIV/0!</v>
      </c>
      <c r="S751" s="1040" t="e">
        <f>IF($F351="","",$F351*chronic_consumption!N751/1000/$C$3)</f>
        <v>#DIV/0!</v>
      </c>
      <c r="T751" s="1040" t="e">
        <f>IF($F351="","",$F351*chronic_consumption!O751/1000/$C$3)</f>
        <v>#DIV/0!</v>
      </c>
      <c r="U751" s="1040" t="e">
        <f>IF($F351="","",$F351*chronic_consumption!P751/1000/$C$3)</f>
        <v>#DIV/0!</v>
      </c>
      <c r="V751" s="1040" t="e">
        <f>IF($F351="","",$F351*chronic_consumption!Q751/1000/$C$3)</f>
        <v>#DIV/0!</v>
      </c>
      <c r="W751" s="1040" t="e">
        <f>IF($F351="","",$F351*chronic_consumption!R751/1000/$C$3)</f>
        <v>#DIV/0!</v>
      </c>
      <c r="X751" s="1040" t="e">
        <f>IF($F351="","",$F351*chronic_consumption!S751/1000/$C$3)</f>
        <v>#DIV/0!</v>
      </c>
      <c r="Y751" s="1040" t="e">
        <f>IF($F351="","",$F351*chronic_consumption!T751/1000/$C$3)</f>
        <v>#DIV/0!</v>
      </c>
      <c r="Z751" s="1040" t="e">
        <f>IF($F351="","",$F351*chronic_consumption!U751/1000/$C$3)</f>
        <v>#DIV/0!</v>
      </c>
      <c r="AA751" s="1040" t="e">
        <f>IF($F351="","",$F351*chronic_consumption!V751/1000/$C$3)</f>
        <v>#DIV/0!</v>
      </c>
      <c r="AB751" s="1040" t="e">
        <f>IF($F351="","",$F351*chronic_consumption!W751/1000/$C$3)</f>
        <v>#DIV/0!</v>
      </c>
      <c r="AC751" s="1040" t="e">
        <f>IF($F351="","",$F351*chronic_consumption!X751/1000/$C$3)</f>
        <v>#DIV/0!</v>
      </c>
      <c r="AD751" s="1040" t="e">
        <f>IF($F351="","",$F351*chronic_consumption!Y751/1000/$C$3)</f>
        <v>#DIV/0!</v>
      </c>
      <c r="AE751" s="1040" t="e">
        <f>IF($F351="","",$F351*chronic_consumption!Z751/1000/$C$3)</f>
        <v>#DIV/0!</v>
      </c>
      <c r="AF751" s="1040" t="e">
        <f>IF($F351="","",$F351*chronic_consumption!AA751/1000/$C$3)</f>
        <v>#DIV/0!</v>
      </c>
      <c r="AG751" s="1040" t="e">
        <f>IF($F351="","",$F351*chronic_consumption!AB751/1000/$C$3)</f>
        <v>#DIV/0!</v>
      </c>
      <c r="AH751" s="1040" t="e">
        <f>IF($F351="","",$F351*chronic_consumption!AC751/1000/$C$3)</f>
        <v>#DIV/0!</v>
      </c>
      <c r="AI751" s="1040" t="e">
        <f>IF($F351="","",$F351*chronic_consumption!AD751/1000/$C$3)</f>
        <v>#DIV/0!</v>
      </c>
      <c r="AJ751" s="1040" t="e">
        <f>IF($F351="","",$F351*chronic_consumption!AE751/1000/$C$3)</f>
        <v>#DIV/0!</v>
      </c>
      <c r="AK751" s="1040" t="e">
        <f>IF($F351="","",$F351*chronic_consumption!AF751/1000/$C$3)</f>
        <v>#DIV/0!</v>
      </c>
      <c r="AL751" s="1040" t="e">
        <f>IF($F351="","",$F351*chronic_consumption!AG751/1000/$C$3)</f>
        <v>#DIV/0!</v>
      </c>
      <c r="AM751" s="1040" t="e">
        <f>IF($F351="","",$F351*chronic_consumption!AH751/1000/$C$3)</f>
        <v>#DIV/0!</v>
      </c>
      <c r="AN751" s="1040" t="e">
        <f>IF($F351="","",$F351*chronic_consumption!AI751/1000/$C$3)</f>
        <v>#DIV/0!</v>
      </c>
      <c r="AO751" s="1040" t="e">
        <f>IF($F351="","",$F351*chronic_consumption!AJ751/1000/$C$3)</f>
        <v>#DIV/0!</v>
      </c>
      <c r="AP751" s="1040" t="e">
        <f>IF($F351="","",$F351*chronic_consumption!AK751/1000/$C$3)</f>
        <v>#DIV/0!</v>
      </c>
      <c r="AQ751" s="1040" t="e">
        <f>IF($F351="","",$F351*chronic_consumption!AL751/1000/$C$3)</f>
        <v>#DIV/0!</v>
      </c>
      <c r="AR751" s="1040" t="e">
        <f>IF($F351="","",$F351*chronic_consumption!AM751/1000/$C$3)</f>
        <v>#DIV/0!</v>
      </c>
      <c r="AS751" s="1040" t="e">
        <f>IF($F351="","",$F351*chronic_consumption!AN751/1000/$C$3)</f>
        <v>#DIV/0!</v>
      </c>
      <c r="AT751" s="1040" t="e">
        <f>IF($F351="","",$F351*chronic_consumption!AO751/1000/$C$3)</f>
        <v>#DIV/0!</v>
      </c>
      <c r="AU751" s="1040" t="e">
        <f>IF($F351="","",$F351*chronic_consumption!AP751/1000/$C$3)</f>
        <v>#DIV/0!</v>
      </c>
      <c r="AV751" s="1040" t="e">
        <f>IF($F351="","",$F351*chronic_consumption!AQ751/1000/$C$3)</f>
        <v>#DIV/0!</v>
      </c>
      <c r="AW751" s="1040" t="e">
        <f>IF($F351="","",$F351*chronic_consumption!AR751/1000/$C$3)</f>
        <v>#DIV/0!</v>
      </c>
      <c r="AX751" s="1040" t="e">
        <f>IF($F351="","",$F351*chronic_consumption!AS751/1000/$C$3)</f>
        <v>#DIV/0!</v>
      </c>
      <c r="AY751" s="1040" t="e">
        <f>IF($F351="","",$F351*chronic_consumption!AT751/1000/$C$3)</f>
        <v>#DIV/0!</v>
      </c>
      <c r="AZ751" s="44" t="s">
        <v>20</v>
      </c>
      <c r="BC751" s="29"/>
      <c r="BD751" s="29"/>
    </row>
    <row r="752" spans="1:56" ht="12" hidden="1" customHeight="1" outlineLevel="3" x14ac:dyDescent="0.2">
      <c r="A752" s="21">
        <f>acute_overview_children!A352</f>
        <v>4</v>
      </c>
      <c r="B752" s="325">
        <f t="shared" ref="B752:C771" si="53">B352</f>
        <v>1014990</v>
      </c>
      <c r="C752" s="325" t="str">
        <f t="shared" si="53"/>
        <v>Goat: other products</v>
      </c>
      <c r="D752" s="135"/>
      <c r="E752" s="1027"/>
      <c r="F752" s="87"/>
      <c r="G752" s="1027"/>
      <c r="H752" s="1029"/>
      <c r="I752" s="1030"/>
      <c r="J752" s="1039" t="e">
        <f>IF($F352="","",$F352*chronic_consumption!E752/1000/$C$3)</f>
        <v>#DIV/0!</v>
      </c>
      <c r="K752" s="1040" t="e">
        <f>IF($F352="","",$F352*chronic_consumption!F752/1000/$C$3)</f>
        <v>#DIV/0!</v>
      </c>
      <c r="L752" s="1040" t="e">
        <f>IF($F352="","",$F352*chronic_consumption!G752/1000/$C$3)</f>
        <v>#DIV/0!</v>
      </c>
      <c r="M752" s="1040" t="e">
        <f>IF($F352="","",$F352*chronic_consumption!H752/1000/$C$3)</f>
        <v>#DIV/0!</v>
      </c>
      <c r="N752" s="1040" t="e">
        <f>IF($F352="","",$F352*chronic_consumption!I752/1000/$C$3)</f>
        <v>#DIV/0!</v>
      </c>
      <c r="O752" s="1040" t="e">
        <f>IF($F352="","",$F352*chronic_consumption!J752/1000/$C$3)</f>
        <v>#DIV/0!</v>
      </c>
      <c r="P752" s="1040" t="e">
        <f>IF($F352="","",$F352*chronic_consumption!K752/1000/$C$3)</f>
        <v>#DIV/0!</v>
      </c>
      <c r="Q752" s="1040" t="e">
        <f>IF($F352="","",$F352*chronic_consumption!L752/1000/$C$3)</f>
        <v>#DIV/0!</v>
      </c>
      <c r="R752" s="1040" t="e">
        <f>IF($F352="","",$F352*chronic_consumption!M752/1000/$C$3)</f>
        <v>#DIV/0!</v>
      </c>
      <c r="S752" s="1040" t="e">
        <f>IF($F352="","",$F352*chronic_consumption!N752/1000/$C$3)</f>
        <v>#DIV/0!</v>
      </c>
      <c r="T752" s="1040" t="e">
        <f>IF($F352="","",$F352*chronic_consumption!O752/1000/$C$3)</f>
        <v>#DIV/0!</v>
      </c>
      <c r="U752" s="1040" t="e">
        <f>IF($F352="","",$F352*chronic_consumption!P752/1000/$C$3)</f>
        <v>#DIV/0!</v>
      </c>
      <c r="V752" s="1040" t="e">
        <f>IF($F352="","",$F352*chronic_consumption!Q752/1000/$C$3)</f>
        <v>#DIV/0!</v>
      </c>
      <c r="W752" s="1040" t="e">
        <f>IF($F352="","",$F352*chronic_consumption!R752/1000/$C$3)</f>
        <v>#DIV/0!</v>
      </c>
      <c r="X752" s="1040" t="e">
        <f>IF($F352="","",$F352*chronic_consumption!S752/1000/$C$3)</f>
        <v>#DIV/0!</v>
      </c>
      <c r="Y752" s="1040" t="e">
        <f>IF($F352="","",$F352*chronic_consumption!T752/1000/$C$3)</f>
        <v>#DIV/0!</v>
      </c>
      <c r="Z752" s="1040" t="e">
        <f>IF($F352="","",$F352*chronic_consumption!U752/1000/$C$3)</f>
        <v>#DIV/0!</v>
      </c>
      <c r="AA752" s="1040" t="e">
        <f>IF($F352="","",$F352*chronic_consumption!V752/1000/$C$3)</f>
        <v>#DIV/0!</v>
      </c>
      <c r="AB752" s="1040" t="e">
        <f>IF($F352="","",$F352*chronic_consumption!W752/1000/$C$3)</f>
        <v>#DIV/0!</v>
      </c>
      <c r="AC752" s="1040" t="e">
        <f>IF($F352="","",$F352*chronic_consumption!X752/1000/$C$3)</f>
        <v>#DIV/0!</v>
      </c>
      <c r="AD752" s="1040" t="e">
        <f>IF($F352="","",$F352*chronic_consumption!Y752/1000/$C$3)</f>
        <v>#DIV/0!</v>
      </c>
      <c r="AE752" s="1040" t="e">
        <f>IF($F352="","",$F352*chronic_consumption!Z752/1000/$C$3)</f>
        <v>#DIV/0!</v>
      </c>
      <c r="AF752" s="1040" t="e">
        <f>IF($F352="","",$F352*chronic_consumption!AA752/1000/$C$3)</f>
        <v>#DIV/0!</v>
      </c>
      <c r="AG752" s="1040" t="e">
        <f>IF($F352="","",$F352*chronic_consumption!AB752/1000/$C$3)</f>
        <v>#DIV/0!</v>
      </c>
      <c r="AH752" s="1040" t="e">
        <f>IF($F352="","",$F352*chronic_consumption!AC752/1000/$C$3)</f>
        <v>#DIV/0!</v>
      </c>
      <c r="AI752" s="1040" t="e">
        <f>IF($F352="","",$F352*chronic_consumption!AD752/1000/$C$3)</f>
        <v>#DIV/0!</v>
      </c>
      <c r="AJ752" s="1040" t="e">
        <f>IF($F352="","",$F352*chronic_consumption!AE752/1000/$C$3)</f>
        <v>#DIV/0!</v>
      </c>
      <c r="AK752" s="1040" t="e">
        <f>IF($F352="","",$F352*chronic_consumption!AF752/1000/$C$3)</f>
        <v>#DIV/0!</v>
      </c>
      <c r="AL752" s="1040" t="e">
        <f>IF($F352="","",$F352*chronic_consumption!AG752/1000/$C$3)</f>
        <v>#DIV/0!</v>
      </c>
      <c r="AM752" s="1040" t="e">
        <f>IF($F352="","",$F352*chronic_consumption!AH752/1000/$C$3)</f>
        <v>#DIV/0!</v>
      </c>
      <c r="AN752" s="1040" t="e">
        <f>IF($F352="","",$F352*chronic_consumption!AI752/1000/$C$3)</f>
        <v>#DIV/0!</v>
      </c>
      <c r="AO752" s="1040" t="e">
        <f>IF($F352="","",$F352*chronic_consumption!AJ752/1000/$C$3)</f>
        <v>#DIV/0!</v>
      </c>
      <c r="AP752" s="1040" t="e">
        <f>IF($F352="","",$F352*chronic_consumption!AK752/1000/$C$3)</f>
        <v>#DIV/0!</v>
      </c>
      <c r="AQ752" s="1040" t="e">
        <f>IF($F352="","",$F352*chronic_consumption!AL752/1000/$C$3)</f>
        <v>#DIV/0!</v>
      </c>
      <c r="AR752" s="1040" t="e">
        <f>IF($F352="","",$F352*chronic_consumption!AM752/1000/$C$3)</f>
        <v>#DIV/0!</v>
      </c>
      <c r="AS752" s="1040" t="e">
        <f>IF($F352="","",$F352*chronic_consumption!AN752/1000/$C$3)</f>
        <v>#DIV/0!</v>
      </c>
      <c r="AT752" s="1040" t="e">
        <f>IF($F352="","",$F352*chronic_consumption!AO752/1000/$C$3)</f>
        <v>#DIV/0!</v>
      </c>
      <c r="AU752" s="1040" t="e">
        <f>IF($F352="","",$F352*chronic_consumption!AP752/1000/$C$3)</f>
        <v>#DIV/0!</v>
      </c>
      <c r="AV752" s="1040" t="e">
        <f>IF($F352="","",$F352*chronic_consumption!AQ752/1000/$C$3)</f>
        <v>#DIV/0!</v>
      </c>
      <c r="AW752" s="1040" t="e">
        <f>IF($F352="","",$F352*chronic_consumption!AR752/1000/$C$3)</f>
        <v>#DIV/0!</v>
      </c>
      <c r="AX752" s="1040" t="e">
        <f>IF($F352="","",$F352*chronic_consumption!AS752/1000/$C$3)</f>
        <v>#DIV/0!</v>
      </c>
      <c r="AY752" s="1040" t="e">
        <f>IF($F352="","",$F352*chronic_consumption!AT752/1000/$C$3)</f>
        <v>#DIV/0!</v>
      </c>
      <c r="AZ752" s="44" t="s">
        <v>20</v>
      </c>
      <c r="BC752" s="29"/>
      <c r="BD752" s="29"/>
    </row>
    <row r="753" spans="1:56" ht="12" hidden="1" customHeight="1" outlineLevel="2" x14ac:dyDescent="0.2">
      <c r="A753" s="353">
        <f>acute_overview_children!A353</f>
        <v>3</v>
      </c>
      <c r="B753" s="1046">
        <f t="shared" si="53"/>
        <v>1015000</v>
      </c>
      <c r="C753" s="1046" t="str">
        <f t="shared" si="53"/>
        <v>Equine</v>
      </c>
      <c r="D753" s="135"/>
      <c r="E753" s="1027"/>
      <c r="F753" s="87"/>
      <c r="G753" s="1027"/>
      <c r="H753" s="1029"/>
      <c r="I753" s="1030"/>
      <c r="J753" s="1047" t="e">
        <f>IF($F353="","",$F353*chronic_consumption!E753/1000/$C$3)</f>
        <v>#DIV/0!</v>
      </c>
      <c r="K753" s="1048" t="e">
        <f>IF($F353="","",$F353*chronic_consumption!F753/1000/$C$3)</f>
        <v>#DIV/0!</v>
      </c>
      <c r="L753" s="1048" t="e">
        <f>IF($F353="","",$F353*chronic_consumption!G753/1000/$C$3)</f>
        <v>#DIV/0!</v>
      </c>
      <c r="M753" s="1048" t="e">
        <f>IF($F353="","",$F353*chronic_consumption!H753/1000/$C$3)</f>
        <v>#DIV/0!</v>
      </c>
      <c r="N753" s="1048" t="e">
        <f>IF($F353="","",$F353*chronic_consumption!I753/1000/$C$3)</f>
        <v>#DIV/0!</v>
      </c>
      <c r="O753" s="1048" t="e">
        <f>IF($F353="","",$F353*chronic_consumption!J753/1000/$C$3)</f>
        <v>#DIV/0!</v>
      </c>
      <c r="P753" s="1048" t="e">
        <f>IF($F353="","",$F353*chronic_consumption!K753/1000/$C$3)</f>
        <v>#DIV/0!</v>
      </c>
      <c r="Q753" s="1048" t="e">
        <f>IF($F353="","",$F353*chronic_consumption!L753/1000/$C$3)</f>
        <v>#DIV/0!</v>
      </c>
      <c r="R753" s="1048" t="e">
        <f>IF($F353="","",$F353*chronic_consumption!M753/1000/$C$3)</f>
        <v>#DIV/0!</v>
      </c>
      <c r="S753" s="1048" t="e">
        <f>IF($F353="","",$F353*chronic_consumption!N753/1000/$C$3)</f>
        <v>#DIV/0!</v>
      </c>
      <c r="T753" s="1048" t="e">
        <f>IF($F353="","",$F353*chronic_consumption!O753/1000/$C$3)</f>
        <v>#DIV/0!</v>
      </c>
      <c r="U753" s="1048" t="e">
        <f>IF($F353="","",$F353*chronic_consumption!P753/1000/$C$3)</f>
        <v>#DIV/0!</v>
      </c>
      <c r="V753" s="1048" t="e">
        <f>IF($F353="","",$F353*chronic_consumption!Q753/1000/$C$3)</f>
        <v>#DIV/0!</v>
      </c>
      <c r="W753" s="1048" t="e">
        <f>IF($F353="","",$F353*chronic_consumption!R753/1000/$C$3)</f>
        <v>#DIV/0!</v>
      </c>
      <c r="X753" s="1048" t="e">
        <f>IF($F353="","",$F353*chronic_consumption!S753/1000/$C$3)</f>
        <v>#DIV/0!</v>
      </c>
      <c r="Y753" s="1048" t="e">
        <f>IF($F353="","",$F353*chronic_consumption!T753/1000/$C$3)</f>
        <v>#DIV/0!</v>
      </c>
      <c r="Z753" s="1048" t="e">
        <f>IF($F353="","",$F353*chronic_consumption!U753/1000/$C$3)</f>
        <v>#DIV/0!</v>
      </c>
      <c r="AA753" s="1048" t="e">
        <f>IF($F353="","",$F353*chronic_consumption!V753/1000/$C$3)</f>
        <v>#DIV/0!</v>
      </c>
      <c r="AB753" s="1048" t="e">
        <f>IF($F353="","",$F353*chronic_consumption!W753/1000/$C$3)</f>
        <v>#DIV/0!</v>
      </c>
      <c r="AC753" s="1048" t="e">
        <f>IF($F353="","",$F353*chronic_consumption!X753/1000/$C$3)</f>
        <v>#DIV/0!</v>
      </c>
      <c r="AD753" s="1048" t="e">
        <f>IF($F353="","",$F353*chronic_consumption!Y753/1000/$C$3)</f>
        <v>#DIV/0!</v>
      </c>
      <c r="AE753" s="1048" t="e">
        <f>IF($F353="","",$F353*chronic_consumption!Z753/1000/$C$3)</f>
        <v>#DIV/0!</v>
      </c>
      <c r="AF753" s="1048" t="e">
        <f>IF($F353="","",$F353*chronic_consumption!AA753/1000/$C$3)</f>
        <v>#DIV/0!</v>
      </c>
      <c r="AG753" s="1048" t="e">
        <f>IF($F353="","",$F353*chronic_consumption!AB753/1000/$C$3)</f>
        <v>#DIV/0!</v>
      </c>
      <c r="AH753" s="1048" t="e">
        <f>IF($F353="","",$F353*chronic_consumption!AC753/1000/$C$3)</f>
        <v>#DIV/0!</v>
      </c>
      <c r="AI753" s="1048" t="e">
        <f>IF($F353="","",$F353*chronic_consumption!AD753/1000/$C$3)</f>
        <v>#DIV/0!</v>
      </c>
      <c r="AJ753" s="1048" t="e">
        <f>IF($F353="","",$F353*chronic_consumption!AE753/1000/$C$3)</f>
        <v>#DIV/0!</v>
      </c>
      <c r="AK753" s="1048" t="e">
        <f>IF($F353="","",$F353*chronic_consumption!AF753/1000/$C$3)</f>
        <v>#DIV/0!</v>
      </c>
      <c r="AL753" s="1048" t="e">
        <f>IF($F353="","",$F353*chronic_consumption!AG753/1000/$C$3)</f>
        <v>#DIV/0!</v>
      </c>
      <c r="AM753" s="1048" t="e">
        <f>IF($F353="","",$F353*chronic_consumption!AH753/1000/$C$3)</f>
        <v>#DIV/0!</v>
      </c>
      <c r="AN753" s="1048" t="e">
        <f>IF($F353="","",$F353*chronic_consumption!AI753/1000/$C$3)</f>
        <v>#DIV/0!</v>
      </c>
      <c r="AO753" s="1048" t="e">
        <f>IF($F353="","",$F353*chronic_consumption!AJ753/1000/$C$3)</f>
        <v>#DIV/0!</v>
      </c>
      <c r="AP753" s="1048" t="e">
        <f>IF($F353="","",$F353*chronic_consumption!AK753/1000/$C$3)</f>
        <v>#DIV/0!</v>
      </c>
      <c r="AQ753" s="1048" t="e">
        <f>IF($F353="","",$F353*chronic_consumption!AL753/1000/$C$3)</f>
        <v>#DIV/0!</v>
      </c>
      <c r="AR753" s="1048" t="e">
        <f>IF($F353="","",$F353*chronic_consumption!AM753/1000/$C$3)</f>
        <v>#DIV/0!</v>
      </c>
      <c r="AS753" s="1048" t="e">
        <f>IF($F353="","",$F353*chronic_consumption!AN753/1000/$C$3)</f>
        <v>#DIV/0!</v>
      </c>
      <c r="AT753" s="1048" t="e">
        <f>IF($F353="","",$F353*chronic_consumption!AO753/1000/$C$3)</f>
        <v>#DIV/0!</v>
      </c>
      <c r="AU753" s="1048" t="e">
        <f>IF($F353="","",$F353*chronic_consumption!AP753/1000/$C$3)</f>
        <v>#DIV/0!</v>
      </c>
      <c r="AV753" s="1048" t="e">
        <f>IF($F353="","",$F353*chronic_consumption!AQ753/1000/$C$3)</f>
        <v>#DIV/0!</v>
      </c>
      <c r="AW753" s="1048" t="e">
        <f>IF($F353="","",$F353*chronic_consumption!AR753/1000/$C$3)</f>
        <v>#DIV/0!</v>
      </c>
      <c r="AX753" s="1048" t="e">
        <f>IF($F353="","",$F353*chronic_consumption!AS753/1000/$C$3)</f>
        <v>#DIV/0!</v>
      </c>
      <c r="AY753" s="1048" t="e">
        <f>IF($F353="","",$F353*chronic_consumption!AT753/1000/$C$3)</f>
        <v>#DIV/0!</v>
      </c>
      <c r="AZ753" s="44" t="s">
        <v>20</v>
      </c>
      <c r="BC753" s="29"/>
      <c r="BD753" s="29"/>
    </row>
    <row r="754" spans="1:56" ht="12" hidden="1" customHeight="1" outlineLevel="3" x14ac:dyDescent="0.2">
      <c r="A754" s="21">
        <f>acute_overview_children!A354</f>
        <v>4</v>
      </c>
      <c r="B754" s="325">
        <f t="shared" si="53"/>
        <v>1015010</v>
      </c>
      <c r="C754" s="325" t="str">
        <f t="shared" si="53"/>
        <v>Equine: Muscle/meat</v>
      </c>
      <c r="D754" s="135"/>
      <c r="E754" s="1027"/>
      <c r="F754" s="87"/>
      <c r="G754" s="1027"/>
      <c r="H754" s="1029"/>
      <c r="I754" s="1030"/>
      <c r="J754" s="1039" t="e">
        <f>IF($F354="","",$F354*chronic_consumption!E754/1000/$C$3)</f>
        <v>#DIV/0!</v>
      </c>
      <c r="K754" s="1040" t="e">
        <f>IF($F354="","",$F354*chronic_consumption!F754/1000/$C$3)</f>
        <v>#DIV/0!</v>
      </c>
      <c r="L754" s="1040" t="e">
        <f>IF($F354="","",$F354*chronic_consumption!G754/1000/$C$3)</f>
        <v>#DIV/0!</v>
      </c>
      <c r="M754" s="1040" t="e">
        <f>IF($F354="","",$F354*chronic_consumption!H754/1000/$C$3)</f>
        <v>#DIV/0!</v>
      </c>
      <c r="N754" s="1040" t="e">
        <f>IF($F354="","",$F354*chronic_consumption!I754/1000/$C$3)</f>
        <v>#DIV/0!</v>
      </c>
      <c r="O754" s="1040" t="e">
        <f>IF($F354="","",$F354*chronic_consumption!J754/1000/$C$3)</f>
        <v>#DIV/0!</v>
      </c>
      <c r="P754" s="1040" t="e">
        <f>IF($F354="","",$F354*chronic_consumption!K754/1000/$C$3)</f>
        <v>#DIV/0!</v>
      </c>
      <c r="Q754" s="1040" t="e">
        <f>IF($F354="","",$F354*chronic_consumption!L754/1000/$C$3)</f>
        <v>#DIV/0!</v>
      </c>
      <c r="R754" s="1040" t="e">
        <f>IF($F354="","",$F354*chronic_consumption!M754/1000/$C$3)</f>
        <v>#DIV/0!</v>
      </c>
      <c r="S754" s="1040" t="e">
        <f>IF($F354="","",$F354*chronic_consumption!N754/1000/$C$3)</f>
        <v>#DIV/0!</v>
      </c>
      <c r="T754" s="1040" t="e">
        <f>IF($F354="","",$F354*chronic_consumption!O754/1000/$C$3)</f>
        <v>#DIV/0!</v>
      </c>
      <c r="U754" s="1040" t="e">
        <f>IF($F354="","",$F354*chronic_consumption!P754/1000/$C$3)</f>
        <v>#DIV/0!</v>
      </c>
      <c r="V754" s="1040" t="e">
        <f>IF($F354="","",$F354*chronic_consumption!Q754/1000/$C$3)</f>
        <v>#DIV/0!</v>
      </c>
      <c r="W754" s="1040" t="e">
        <f>IF($F354="","",$F354*chronic_consumption!R754/1000/$C$3)</f>
        <v>#DIV/0!</v>
      </c>
      <c r="X754" s="1040" t="e">
        <f>IF($F354="","",$F354*chronic_consumption!S754/1000/$C$3)</f>
        <v>#DIV/0!</v>
      </c>
      <c r="Y754" s="1040" t="e">
        <f>IF($F354="","",$F354*chronic_consumption!T754/1000/$C$3)</f>
        <v>#DIV/0!</v>
      </c>
      <c r="Z754" s="1040" t="e">
        <f>IF($F354="","",$F354*chronic_consumption!U754/1000/$C$3)</f>
        <v>#DIV/0!</v>
      </c>
      <c r="AA754" s="1040" t="e">
        <f>IF($F354="","",$F354*chronic_consumption!V754/1000/$C$3)</f>
        <v>#DIV/0!</v>
      </c>
      <c r="AB754" s="1040" t="e">
        <f>IF($F354="","",$F354*chronic_consumption!W754/1000/$C$3)</f>
        <v>#DIV/0!</v>
      </c>
      <c r="AC754" s="1040" t="e">
        <f>IF($F354="","",$F354*chronic_consumption!X754/1000/$C$3)</f>
        <v>#DIV/0!</v>
      </c>
      <c r="AD754" s="1040" t="e">
        <f>IF($F354="","",$F354*chronic_consumption!Y754/1000/$C$3)</f>
        <v>#DIV/0!</v>
      </c>
      <c r="AE754" s="1040" t="e">
        <f>IF($F354="","",$F354*chronic_consumption!Z754/1000/$C$3)</f>
        <v>#DIV/0!</v>
      </c>
      <c r="AF754" s="1040" t="e">
        <f>IF($F354="","",$F354*chronic_consumption!AA754/1000/$C$3)</f>
        <v>#DIV/0!</v>
      </c>
      <c r="AG754" s="1040" t="e">
        <f>IF($F354="","",$F354*chronic_consumption!AB754/1000/$C$3)</f>
        <v>#DIV/0!</v>
      </c>
      <c r="AH754" s="1040" t="e">
        <f>IF($F354="","",$F354*chronic_consumption!AC754/1000/$C$3)</f>
        <v>#DIV/0!</v>
      </c>
      <c r="AI754" s="1040" t="e">
        <f>IF($F354="","",$F354*chronic_consumption!AD754/1000/$C$3)</f>
        <v>#DIV/0!</v>
      </c>
      <c r="AJ754" s="1040" t="e">
        <f>IF($F354="","",$F354*chronic_consumption!AE754/1000/$C$3)</f>
        <v>#DIV/0!</v>
      </c>
      <c r="AK754" s="1040" t="e">
        <f>IF($F354="","",$F354*chronic_consumption!AF754/1000/$C$3)</f>
        <v>#DIV/0!</v>
      </c>
      <c r="AL754" s="1040" t="e">
        <f>IF($F354="","",$F354*chronic_consumption!AG754/1000/$C$3)</f>
        <v>#DIV/0!</v>
      </c>
      <c r="AM754" s="1040" t="e">
        <f>IF($F354="","",$F354*chronic_consumption!AH754/1000/$C$3)</f>
        <v>#DIV/0!</v>
      </c>
      <c r="AN754" s="1040" t="e">
        <f>IF($F354="","",$F354*chronic_consumption!AI754/1000/$C$3)</f>
        <v>#DIV/0!</v>
      </c>
      <c r="AO754" s="1040" t="e">
        <f>IF($F354="","",$F354*chronic_consumption!AJ754/1000/$C$3)</f>
        <v>#DIV/0!</v>
      </c>
      <c r="AP754" s="1040" t="e">
        <f>IF($F354="","",$F354*chronic_consumption!AK754/1000/$C$3)</f>
        <v>#DIV/0!</v>
      </c>
      <c r="AQ754" s="1040" t="e">
        <f>IF($F354="","",$F354*chronic_consumption!AL754/1000/$C$3)</f>
        <v>#DIV/0!</v>
      </c>
      <c r="AR754" s="1040" t="e">
        <f>IF($F354="","",$F354*chronic_consumption!AM754/1000/$C$3)</f>
        <v>#DIV/0!</v>
      </c>
      <c r="AS754" s="1040" t="e">
        <f>IF($F354="","",$F354*chronic_consumption!AN754/1000/$C$3)</f>
        <v>#DIV/0!</v>
      </c>
      <c r="AT754" s="1040" t="e">
        <f>IF($F354="","",$F354*chronic_consumption!AO754/1000/$C$3)</f>
        <v>#DIV/0!</v>
      </c>
      <c r="AU754" s="1040" t="e">
        <f>IF($F354="","",$F354*chronic_consumption!AP754/1000/$C$3)</f>
        <v>#DIV/0!</v>
      </c>
      <c r="AV754" s="1040" t="e">
        <f>IF($F354="","",$F354*chronic_consumption!AQ754/1000/$C$3)</f>
        <v>#DIV/0!</v>
      </c>
      <c r="AW754" s="1040" t="e">
        <f>IF($F354="","",$F354*chronic_consumption!AR754/1000/$C$3)</f>
        <v>#DIV/0!</v>
      </c>
      <c r="AX754" s="1040" t="e">
        <f>IF($F354="","",$F354*chronic_consumption!AS754/1000/$C$3)</f>
        <v>#DIV/0!</v>
      </c>
      <c r="AY754" s="1040" t="e">
        <f>IF($F354="","",$F354*chronic_consumption!AT754/1000/$C$3)</f>
        <v>#DIV/0!</v>
      </c>
      <c r="AZ754" s="44" t="s">
        <v>20</v>
      </c>
      <c r="BC754" s="29"/>
      <c r="BD754" s="29"/>
    </row>
    <row r="755" spans="1:56" ht="12" hidden="1" customHeight="1" outlineLevel="3" x14ac:dyDescent="0.2">
      <c r="A755" s="21">
        <f>acute_overview_children!A355</f>
        <v>4</v>
      </c>
      <c r="B755" s="325">
        <f t="shared" si="53"/>
        <v>1015020</v>
      </c>
      <c r="C755" s="325" t="str">
        <f t="shared" si="53"/>
        <v>Equine: Fat tissue</v>
      </c>
      <c r="D755" s="135"/>
      <c r="E755" s="1027"/>
      <c r="F755" s="87"/>
      <c r="G755" s="1027"/>
      <c r="H755" s="1029"/>
      <c r="I755" s="1030"/>
      <c r="J755" s="1039" t="e">
        <f>IF($F355="","",$F355*chronic_consumption!E755/1000/$C$3)</f>
        <v>#DIV/0!</v>
      </c>
      <c r="K755" s="1040" t="e">
        <f>IF($F355="","",$F355*chronic_consumption!F755/1000/$C$3)</f>
        <v>#DIV/0!</v>
      </c>
      <c r="L755" s="1040" t="e">
        <f>IF($F355="","",$F355*chronic_consumption!G755/1000/$C$3)</f>
        <v>#DIV/0!</v>
      </c>
      <c r="M755" s="1040" t="e">
        <f>IF($F355="","",$F355*chronic_consumption!H755/1000/$C$3)</f>
        <v>#DIV/0!</v>
      </c>
      <c r="N755" s="1040" t="e">
        <f>IF($F355="","",$F355*chronic_consumption!I755/1000/$C$3)</f>
        <v>#DIV/0!</v>
      </c>
      <c r="O755" s="1040" t="e">
        <f>IF($F355="","",$F355*chronic_consumption!J755/1000/$C$3)</f>
        <v>#DIV/0!</v>
      </c>
      <c r="P755" s="1040" t="e">
        <f>IF($F355="","",$F355*chronic_consumption!K755/1000/$C$3)</f>
        <v>#DIV/0!</v>
      </c>
      <c r="Q755" s="1040" t="e">
        <f>IF($F355="","",$F355*chronic_consumption!L755/1000/$C$3)</f>
        <v>#DIV/0!</v>
      </c>
      <c r="R755" s="1040" t="e">
        <f>IF($F355="","",$F355*chronic_consumption!M755/1000/$C$3)</f>
        <v>#DIV/0!</v>
      </c>
      <c r="S755" s="1040" t="e">
        <f>IF($F355="","",$F355*chronic_consumption!N755/1000/$C$3)</f>
        <v>#DIV/0!</v>
      </c>
      <c r="T755" s="1040" t="e">
        <f>IF($F355="","",$F355*chronic_consumption!O755/1000/$C$3)</f>
        <v>#DIV/0!</v>
      </c>
      <c r="U755" s="1040" t="e">
        <f>IF($F355="","",$F355*chronic_consumption!P755/1000/$C$3)</f>
        <v>#DIV/0!</v>
      </c>
      <c r="V755" s="1040" t="e">
        <f>IF($F355="","",$F355*chronic_consumption!Q755/1000/$C$3)</f>
        <v>#DIV/0!</v>
      </c>
      <c r="W755" s="1040" t="e">
        <f>IF($F355="","",$F355*chronic_consumption!R755/1000/$C$3)</f>
        <v>#DIV/0!</v>
      </c>
      <c r="X755" s="1040" t="e">
        <f>IF($F355="","",$F355*chronic_consumption!S755/1000/$C$3)</f>
        <v>#DIV/0!</v>
      </c>
      <c r="Y755" s="1040" t="e">
        <f>IF($F355="","",$F355*chronic_consumption!T755/1000/$C$3)</f>
        <v>#DIV/0!</v>
      </c>
      <c r="Z755" s="1040" t="e">
        <f>IF($F355="","",$F355*chronic_consumption!U755/1000/$C$3)</f>
        <v>#DIV/0!</v>
      </c>
      <c r="AA755" s="1040" t="e">
        <f>IF($F355="","",$F355*chronic_consumption!V755/1000/$C$3)</f>
        <v>#DIV/0!</v>
      </c>
      <c r="AB755" s="1040" t="e">
        <f>IF($F355="","",$F355*chronic_consumption!W755/1000/$C$3)</f>
        <v>#DIV/0!</v>
      </c>
      <c r="AC755" s="1040" t="e">
        <f>IF($F355="","",$F355*chronic_consumption!X755/1000/$C$3)</f>
        <v>#DIV/0!</v>
      </c>
      <c r="AD755" s="1040" t="e">
        <f>IF($F355="","",$F355*chronic_consumption!Y755/1000/$C$3)</f>
        <v>#DIV/0!</v>
      </c>
      <c r="AE755" s="1040" t="e">
        <f>IF($F355="","",$F355*chronic_consumption!Z755/1000/$C$3)</f>
        <v>#DIV/0!</v>
      </c>
      <c r="AF755" s="1040" t="e">
        <f>IF($F355="","",$F355*chronic_consumption!AA755/1000/$C$3)</f>
        <v>#DIV/0!</v>
      </c>
      <c r="AG755" s="1040" t="e">
        <f>IF($F355="","",$F355*chronic_consumption!AB755/1000/$C$3)</f>
        <v>#DIV/0!</v>
      </c>
      <c r="AH755" s="1040" t="e">
        <f>IF($F355="","",$F355*chronic_consumption!AC755/1000/$C$3)</f>
        <v>#DIV/0!</v>
      </c>
      <c r="AI755" s="1040" t="e">
        <f>IF($F355="","",$F355*chronic_consumption!AD755/1000/$C$3)</f>
        <v>#DIV/0!</v>
      </c>
      <c r="AJ755" s="1040" t="e">
        <f>IF($F355="","",$F355*chronic_consumption!AE755/1000/$C$3)</f>
        <v>#DIV/0!</v>
      </c>
      <c r="AK755" s="1040" t="e">
        <f>IF($F355="","",$F355*chronic_consumption!AF755/1000/$C$3)</f>
        <v>#DIV/0!</v>
      </c>
      <c r="AL755" s="1040" t="e">
        <f>IF($F355="","",$F355*chronic_consumption!AG755/1000/$C$3)</f>
        <v>#DIV/0!</v>
      </c>
      <c r="AM755" s="1040" t="e">
        <f>IF($F355="","",$F355*chronic_consumption!AH755/1000/$C$3)</f>
        <v>#DIV/0!</v>
      </c>
      <c r="AN755" s="1040" t="e">
        <f>IF($F355="","",$F355*chronic_consumption!AI755/1000/$C$3)</f>
        <v>#DIV/0!</v>
      </c>
      <c r="AO755" s="1040" t="e">
        <f>IF($F355="","",$F355*chronic_consumption!AJ755/1000/$C$3)</f>
        <v>#DIV/0!</v>
      </c>
      <c r="AP755" s="1040" t="e">
        <f>IF($F355="","",$F355*chronic_consumption!AK755/1000/$C$3)</f>
        <v>#DIV/0!</v>
      </c>
      <c r="AQ755" s="1040" t="e">
        <f>IF($F355="","",$F355*chronic_consumption!AL755/1000/$C$3)</f>
        <v>#DIV/0!</v>
      </c>
      <c r="AR755" s="1040" t="e">
        <f>IF($F355="","",$F355*chronic_consumption!AM755/1000/$C$3)</f>
        <v>#DIV/0!</v>
      </c>
      <c r="AS755" s="1040" t="e">
        <f>IF($F355="","",$F355*chronic_consumption!AN755/1000/$C$3)</f>
        <v>#DIV/0!</v>
      </c>
      <c r="AT755" s="1040" t="e">
        <f>IF($F355="","",$F355*chronic_consumption!AO755/1000/$C$3)</f>
        <v>#DIV/0!</v>
      </c>
      <c r="AU755" s="1040" t="e">
        <f>IF($F355="","",$F355*chronic_consumption!AP755/1000/$C$3)</f>
        <v>#DIV/0!</v>
      </c>
      <c r="AV755" s="1040" t="e">
        <f>IF($F355="","",$F355*chronic_consumption!AQ755/1000/$C$3)</f>
        <v>#DIV/0!</v>
      </c>
      <c r="AW755" s="1040" t="e">
        <f>IF($F355="","",$F355*chronic_consumption!AR755/1000/$C$3)</f>
        <v>#DIV/0!</v>
      </c>
      <c r="AX755" s="1040" t="e">
        <f>IF($F355="","",$F355*chronic_consumption!AS755/1000/$C$3)</f>
        <v>#DIV/0!</v>
      </c>
      <c r="AY755" s="1040" t="e">
        <f>IF($F355="","",$F355*chronic_consumption!AT755/1000/$C$3)</f>
        <v>#DIV/0!</v>
      </c>
      <c r="AZ755" s="44" t="s">
        <v>20</v>
      </c>
      <c r="BC755" s="29"/>
      <c r="BD755" s="29"/>
    </row>
    <row r="756" spans="1:56" ht="12" hidden="1" customHeight="1" outlineLevel="3" x14ac:dyDescent="0.2">
      <c r="A756" s="21">
        <f>acute_overview_children!A356</f>
        <v>4</v>
      </c>
      <c r="B756" s="325">
        <f t="shared" si="53"/>
        <v>1015030</v>
      </c>
      <c r="C756" s="325" t="str">
        <f t="shared" si="53"/>
        <v>Equine: Liver</v>
      </c>
      <c r="D756" s="135"/>
      <c r="E756" s="1027"/>
      <c r="F756" s="87"/>
      <c r="G756" s="1027"/>
      <c r="H756" s="1029"/>
      <c r="I756" s="1030"/>
      <c r="J756" s="1039" t="e">
        <f>IF($F356="","",$F356*chronic_consumption!E756/1000/$C$3)</f>
        <v>#DIV/0!</v>
      </c>
      <c r="K756" s="1040" t="e">
        <f>IF($F356="","",$F356*chronic_consumption!F756/1000/$C$3)</f>
        <v>#DIV/0!</v>
      </c>
      <c r="L756" s="1040" t="e">
        <f>IF($F356="","",$F356*chronic_consumption!G756/1000/$C$3)</f>
        <v>#DIV/0!</v>
      </c>
      <c r="M756" s="1040" t="e">
        <f>IF($F356="","",$F356*chronic_consumption!H756/1000/$C$3)</f>
        <v>#DIV/0!</v>
      </c>
      <c r="N756" s="1040" t="e">
        <f>IF($F356="","",$F356*chronic_consumption!I756/1000/$C$3)</f>
        <v>#DIV/0!</v>
      </c>
      <c r="O756" s="1040" t="e">
        <f>IF($F356="","",$F356*chronic_consumption!J756/1000/$C$3)</f>
        <v>#DIV/0!</v>
      </c>
      <c r="P756" s="1040" t="e">
        <f>IF($F356="","",$F356*chronic_consumption!K756/1000/$C$3)</f>
        <v>#DIV/0!</v>
      </c>
      <c r="Q756" s="1040" t="e">
        <f>IF($F356="","",$F356*chronic_consumption!L756/1000/$C$3)</f>
        <v>#DIV/0!</v>
      </c>
      <c r="R756" s="1040" t="e">
        <f>IF($F356="","",$F356*chronic_consumption!M756/1000/$C$3)</f>
        <v>#DIV/0!</v>
      </c>
      <c r="S756" s="1040" t="e">
        <f>IF($F356="","",$F356*chronic_consumption!N756/1000/$C$3)</f>
        <v>#DIV/0!</v>
      </c>
      <c r="T756" s="1040" t="e">
        <f>IF($F356="","",$F356*chronic_consumption!O756/1000/$C$3)</f>
        <v>#DIV/0!</v>
      </c>
      <c r="U756" s="1040" t="e">
        <f>IF($F356="","",$F356*chronic_consumption!P756/1000/$C$3)</f>
        <v>#DIV/0!</v>
      </c>
      <c r="V756" s="1040" t="e">
        <f>IF($F356="","",$F356*chronic_consumption!Q756/1000/$C$3)</f>
        <v>#DIV/0!</v>
      </c>
      <c r="W756" s="1040" t="e">
        <f>IF($F356="","",$F356*chronic_consumption!R756/1000/$C$3)</f>
        <v>#DIV/0!</v>
      </c>
      <c r="X756" s="1040" t="e">
        <f>IF($F356="","",$F356*chronic_consumption!S756/1000/$C$3)</f>
        <v>#DIV/0!</v>
      </c>
      <c r="Y756" s="1040" t="e">
        <f>IF($F356="","",$F356*chronic_consumption!T756/1000/$C$3)</f>
        <v>#DIV/0!</v>
      </c>
      <c r="Z756" s="1040" t="e">
        <f>IF($F356="","",$F356*chronic_consumption!U756/1000/$C$3)</f>
        <v>#DIV/0!</v>
      </c>
      <c r="AA756" s="1040" t="e">
        <f>IF($F356="","",$F356*chronic_consumption!V756/1000/$C$3)</f>
        <v>#DIV/0!</v>
      </c>
      <c r="AB756" s="1040" t="e">
        <f>IF($F356="","",$F356*chronic_consumption!W756/1000/$C$3)</f>
        <v>#DIV/0!</v>
      </c>
      <c r="AC756" s="1040" t="e">
        <f>IF($F356="","",$F356*chronic_consumption!X756/1000/$C$3)</f>
        <v>#DIV/0!</v>
      </c>
      <c r="AD756" s="1040" t="e">
        <f>IF($F356="","",$F356*chronic_consumption!Y756/1000/$C$3)</f>
        <v>#DIV/0!</v>
      </c>
      <c r="AE756" s="1040" t="e">
        <f>IF($F356="","",$F356*chronic_consumption!Z756/1000/$C$3)</f>
        <v>#DIV/0!</v>
      </c>
      <c r="AF756" s="1040" t="e">
        <f>IF($F356="","",$F356*chronic_consumption!AA756/1000/$C$3)</f>
        <v>#DIV/0!</v>
      </c>
      <c r="AG756" s="1040" t="e">
        <f>IF($F356="","",$F356*chronic_consumption!AB756/1000/$C$3)</f>
        <v>#DIV/0!</v>
      </c>
      <c r="AH756" s="1040" t="e">
        <f>IF($F356="","",$F356*chronic_consumption!AC756/1000/$C$3)</f>
        <v>#DIV/0!</v>
      </c>
      <c r="AI756" s="1040" t="e">
        <f>IF($F356="","",$F356*chronic_consumption!AD756/1000/$C$3)</f>
        <v>#DIV/0!</v>
      </c>
      <c r="AJ756" s="1040" t="e">
        <f>IF($F356="","",$F356*chronic_consumption!AE756/1000/$C$3)</f>
        <v>#DIV/0!</v>
      </c>
      <c r="AK756" s="1040" t="e">
        <f>IF($F356="","",$F356*chronic_consumption!AF756/1000/$C$3)</f>
        <v>#DIV/0!</v>
      </c>
      <c r="AL756" s="1040" t="e">
        <f>IF($F356="","",$F356*chronic_consumption!AG756/1000/$C$3)</f>
        <v>#DIV/0!</v>
      </c>
      <c r="AM756" s="1040" t="e">
        <f>IF($F356="","",$F356*chronic_consumption!AH756/1000/$C$3)</f>
        <v>#DIV/0!</v>
      </c>
      <c r="AN756" s="1040" t="e">
        <f>IF($F356="","",$F356*chronic_consumption!AI756/1000/$C$3)</f>
        <v>#DIV/0!</v>
      </c>
      <c r="AO756" s="1040" t="e">
        <f>IF($F356="","",$F356*chronic_consumption!AJ756/1000/$C$3)</f>
        <v>#DIV/0!</v>
      </c>
      <c r="AP756" s="1040" t="e">
        <f>IF($F356="","",$F356*chronic_consumption!AK756/1000/$C$3)</f>
        <v>#DIV/0!</v>
      </c>
      <c r="AQ756" s="1040" t="e">
        <f>IF($F356="","",$F356*chronic_consumption!AL756/1000/$C$3)</f>
        <v>#DIV/0!</v>
      </c>
      <c r="AR756" s="1040" t="e">
        <f>IF($F356="","",$F356*chronic_consumption!AM756/1000/$C$3)</f>
        <v>#DIV/0!</v>
      </c>
      <c r="AS756" s="1040" t="e">
        <f>IF($F356="","",$F356*chronic_consumption!AN756/1000/$C$3)</f>
        <v>#DIV/0!</v>
      </c>
      <c r="AT756" s="1040" t="e">
        <f>IF($F356="","",$F356*chronic_consumption!AO756/1000/$C$3)</f>
        <v>#DIV/0!</v>
      </c>
      <c r="AU756" s="1040" t="e">
        <f>IF($F356="","",$F356*chronic_consumption!AP756/1000/$C$3)</f>
        <v>#DIV/0!</v>
      </c>
      <c r="AV756" s="1040" t="e">
        <f>IF($F356="","",$F356*chronic_consumption!AQ756/1000/$C$3)</f>
        <v>#DIV/0!</v>
      </c>
      <c r="AW756" s="1040" t="e">
        <f>IF($F356="","",$F356*chronic_consumption!AR756/1000/$C$3)</f>
        <v>#DIV/0!</v>
      </c>
      <c r="AX756" s="1040" t="e">
        <f>IF($F356="","",$F356*chronic_consumption!AS756/1000/$C$3)</f>
        <v>#DIV/0!</v>
      </c>
      <c r="AY756" s="1040" t="e">
        <f>IF($F356="","",$F356*chronic_consumption!AT756/1000/$C$3)</f>
        <v>#DIV/0!</v>
      </c>
      <c r="AZ756" s="44" t="s">
        <v>20</v>
      </c>
      <c r="BC756" s="29"/>
      <c r="BD756" s="29"/>
    </row>
    <row r="757" spans="1:56" ht="12" hidden="1" customHeight="1" outlineLevel="3" x14ac:dyDescent="0.2">
      <c r="A757" s="21">
        <f>acute_overview_children!A357</f>
        <v>4</v>
      </c>
      <c r="B757" s="325">
        <f t="shared" si="53"/>
        <v>1015040</v>
      </c>
      <c r="C757" s="325" t="str">
        <f t="shared" si="53"/>
        <v>Equine: Kidney</v>
      </c>
      <c r="D757" s="135"/>
      <c r="E757" s="1027"/>
      <c r="F757" s="87"/>
      <c r="G757" s="1027"/>
      <c r="H757" s="1029"/>
      <c r="I757" s="1030"/>
      <c r="J757" s="1039" t="e">
        <f>IF($F357="","",$F357*chronic_consumption!E757/1000/$C$3)</f>
        <v>#DIV/0!</v>
      </c>
      <c r="K757" s="1040" t="e">
        <f>IF($F357="","",$F357*chronic_consumption!F757/1000/$C$3)</f>
        <v>#DIV/0!</v>
      </c>
      <c r="L757" s="1040" t="e">
        <f>IF($F357="","",$F357*chronic_consumption!G757/1000/$C$3)</f>
        <v>#DIV/0!</v>
      </c>
      <c r="M757" s="1040" t="e">
        <f>IF($F357="","",$F357*chronic_consumption!H757/1000/$C$3)</f>
        <v>#DIV/0!</v>
      </c>
      <c r="N757" s="1040" t="e">
        <f>IF($F357="","",$F357*chronic_consumption!I757/1000/$C$3)</f>
        <v>#DIV/0!</v>
      </c>
      <c r="O757" s="1040" t="e">
        <f>IF($F357="","",$F357*chronic_consumption!J757/1000/$C$3)</f>
        <v>#DIV/0!</v>
      </c>
      <c r="P757" s="1040" t="e">
        <f>IF($F357="","",$F357*chronic_consumption!K757/1000/$C$3)</f>
        <v>#DIV/0!</v>
      </c>
      <c r="Q757" s="1040" t="e">
        <f>IF($F357="","",$F357*chronic_consumption!L757/1000/$C$3)</f>
        <v>#DIV/0!</v>
      </c>
      <c r="R757" s="1040" t="e">
        <f>IF($F357="","",$F357*chronic_consumption!M757/1000/$C$3)</f>
        <v>#DIV/0!</v>
      </c>
      <c r="S757" s="1040" t="e">
        <f>IF($F357="","",$F357*chronic_consumption!N757/1000/$C$3)</f>
        <v>#DIV/0!</v>
      </c>
      <c r="T757" s="1040" t="e">
        <f>IF($F357="","",$F357*chronic_consumption!O757/1000/$C$3)</f>
        <v>#DIV/0!</v>
      </c>
      <c r="U757" s="1040" t="e">
        <f>IF($F357="","",$F357*chronic_consumption!P757/1000/$C$3)</f>
        <v>#DIV/0!</v>
      </c>
      <c r="V757" s="1040" t="e">
        <f>IF($F357="","",$F357*chronic_consumption!Q757/1000/$C$3)</f>
        <v>#DIV/0!</v>
      </c>
      <c r="W757" s="1040" t="e">
        <f>IF($F357="","",$F357*chronic_consumption!R757/1000/$C$3)</f>
        <v>#DIV/0!</v>
      </c>
      <c r="X757" s="1040" t="e">
        <f>IF($F357="","",$F357*chronic_consumption!S757/1000/$C$3)</f>
        <v>#DIV/0!</v>
      </c>
      <c r="Y757" s="1040" t="e">
        <f>IF($F357="","",$F357*chronic_consumption!T757/1000/$C$3)</f>
        <v>#DIV/0!</v>
      </c>
      <c r="Z757" s="1040" t="e">
        <f>IF($F357="","",$F357*chronic_consumption!U757/1000/$C$3)</f>
        <v>#DIV/0!</v>
      </c>
      <c r="AA757" s="1040" t="e">
        <f>IF($F357="","",$F357*chronic_consumption!V757/1000/$C$3)</f>
        <v>#DIV/0!</v>
      </c>
      <c r="AB757" s="1040" t="e">
        <f>IF($F357="","",$F357*chronic_consumption!W757/1000/$C$3)</f>
        <v>#DIV/0!</v>
      </c>
      <c r="AC757" s="1040" t="e">
        <f>IF($F357="","",$F357*chronic_consumption!X757/1000/$C$3)</f>
        <v>#DIV/0!</v>
      </c>
      <c r="AD757" s="1040" t="e">
        <f>IF($F357="","",$F357*chronic_consumption!Y757/1000/$C$3)</f>
        <v>#DIV/0!</v>
      </c>
      <c r="AE757" s="1040" t="e">
        <f>IF($F357="","",$F357*chronic_consumption!Z757/1000/$C$3)</f>
        <v>#DIV/0!</v>
      </c>
      <c r="AF757" s="1040" t="e">
        <f>IF($F357="","",$F357*chronic_consumption!AA757/1000/$C$3)</f>
        <v>#DIV/0!</v>
      </c>
      <c r="AG757" s="1040" t="e">
        <f>IF($F357="","",$F357*chronic_consumption!AB757/1000/$C$3)</f>
        <v>#DIV/0!</v>
      </c>
      <c r="AH757" s="1040" t="e">
        <f>IF($F357="","",$F357*chronic_consumption!AC757/1000/$C$3)</f>
        <v>#DIV/0!</v>
      </c>
      <c r="AI757" s="1040" t="e">
        <f>IF($F357="","",$F357*chronic_consumption!AD757/1000/$C$3)</f>
        <v>#DIV/0!</v>
      </c>
      <c r="AJ757" s="1040" t="e">
        <f>IF($F357="","",$F357*chronic_consumption!AE757/1000/$C$3)</f>
        <v>#DIV/0!</v>
      </c>
      <c r="AK757" s="1040" t="e">
        <f>IF($F357="","",$F357*chronic_consumption!AF757/1000/$C$3)</f>
        <v>#DIV/0!</v>
      </c>
      <c r="AL757" s="1040" t="e">
        <f>IF($F357="","",$F357*chronic_consumption!AG757/1000/$C$3)</f>
        <v>#DIV/0!</v>
      </c>
      <c r="AM757" s="1040" t="e">
        <f>IF($F357="","",$F357*chronic_consumption!AH757/1000/$C$3)</f>
        <v>#DIV/0!</v>
      </c>
      <c r="AN757" s="1040" t="e">
        <f>IF($F357="","",$F357*chronic_consumption!AI757/1000/$C$3)</f>
        <v>#DIV/0!</v>
      </c>
      <c r="AO757" s="1040" t="e">
        <f>IF($F357="","",$F357*chronic_consumption!AJ757/1000/$C$3)</f>
        <v>#DIV/0!</v>
      </c>
      <c r="AP757" s="1040" t="e">
        <f>IF($F357="","",$F357*chronic_consumption!AK757/1000/$C$3)</f>
        <v>#DIV/0!</v>
      </c>
      <c r="AQ757" s="1040" t="e">
        <f>IF($F357="","",$F357*chronic_consumption!AL757/1000/$C$3)</f>
        <v>#DIV/0!</v>
      </c>
      <c r="AR757" s="1040" t="e">
        <f>IF($F357="","",$F357*chronic_consumption!AM757/1000/$C$3)</f>
        <v>#DIV/0!</v>
      </c>
      <c r="AS757" s="1040" t="e">
        <f>IF($F357="","",$F357*chronic_consumption!AN757/1000/$C$3)</f>
        <v>#DIV/0!</v>
      </c>
      <c r="AT757" s="1040" t="e">
        <f>IF($F357="","",$F357*chronic_consumption!AO757/1000/$C$3)</f>
        <v>#DIV/0!</v>
      </c>
      <c r="AU757" s="1040" t="e">
        <f>IF($F357="","",$F357*chronic_consumption!AP757/1000/$C$3)</f>
        <v>#DIV/0!</v>
      </c>
      <c r="AV757" s="1040" t="e">
        <f>IF($F357="","",$F357*chronic_consumption!AQ757/1000/$C$3)</f>
        <v>#DIV/0!</v>
      </c>
      <c r="AW757" s="1040" t="e">
        <f>IF($F357="","",$F357*chronic_consumption!AR757/1000/$C$3)</f>
        <v>#DIV/0!</v>
      </c>
      <c r="AX757" s="1040" t="e">
        <f>IF($F357="","",$F357*chronic_consumption!AS757/1000/$C$3)</f>
        <v>#DIV/0!</v>
      </c>
      <c r="AY757" s="1040" t="e">
        <f>IF($F357="","",$F357*chronic_consumption!AT757/1000/$C$3)</f>
        <v>#DIV/0!</v>
      </c>
      <c r="AZ757" s="44" t="s">
        <v>20</v>
      </c>
      <c r="BC757" s="29"/>
      <c r="BD757" s="29"/>
    </row>
    <row r="758" spans="1:56" ht="12" hidden="1" customHeight="1" outlineLevel="3" x14ac:dyDescent="0.2">
      <c r="A758" s="21">
        <f>acute_overview_children!A358</f>
        <v>4</v>
      </c>
      <c r="B758" s="325">
        <f t="shared" si="53"/>
        <v>1015050</v>
      </c>
      <c r="C758" s="325" t="str">
        <f t="shared" si="53"/>
        <v>Equine: Edible offals (other than liver and kidney)</v>
      </c>
      <c r="D758" s="135"/>
      <c r="E758" s="1027"/>
      <c r="F758" s="87"/>
      <c r="G758" s="1027"/>
      <c r="H758" s="1029"/>
      <c r="I758" s="1030"/>
      <c r="J758" s="1039" t="e">
        <f>IF($F358="","",$F358*chronic_consumption!E758/1000/$C$3)</f>
        <v>#DIV/0!</v>
      </c>
      <c r="K758" s="1040" t="e">
        <f>IF($F358="","",$F358*chronic_consumption!F758/1000/$C$3)</f>
        <v>#DIV/0!</v>
      </c>
      <c r="L758" s="1040" t="e">
        <f>IF($F358="","",$F358*chronic_consumption!G758/1000/$C$3)</f>
        <v>#DIV/0!</v>
      </c>
      <c r="M758" s="1040" t="e">
        <f>IF($F358="","",$F358*chronic_consumption!H758/1000/$C$3)</f>
        <v>#DIV/0!</v>
      </c>
      <c r="N758" s="1040" t="e">
        <f>IF($F358="","",$F358*chronic_consumption!I758/1000/$C$3)</f>
        <v>#DIV/0!</v>
      </c>
      <c r="O758" s="1040" t="e">
        <f>IF($F358="","",$F358*chronic_consumption!J758/1000/$C$3)</f>
        <v>#DIV/0!</v>
      </c>
      <c r="P758" s="1040" t="e">
        <f>IF($F358="","",$F358*chronic_consumption!K758/1000/$C$3)</f>
        <v>#DIV/0!</v>
      </c>
      <c r="Q758" s="1040" t="e">
        <f>IF($F358="","",$F358*chronic_consumption!L758/1000/$C$3)</f>
        <v>#DIV/0!</v>
      </c>
      <c r="R758" s="1040" t="e">
        <f>IF($F358="","",$F358*chronic_consumption!M758/1000/$C$3)</f>
        <v>#DIV/0!</v>
      </c>
      <c r="S758" s="1040" t="e">
        <f>IF($F358="","",$F358*chronic_consumption!N758/1000/$C$3)</f>
        <v>#DIV/0!</v>
      </c>
      <c r="T758" s="1040" t="e">
        <f>IF($F358="","",$F358*chronic_consumption!O758/1000/$C$3)</f>
        <v>#DIV/0!</v>
      </c>
      <c r="U758" s="1040" t="e">
        <f>IF($F358="","",$F358*chronic_consumption!P758/1000/$C$3)</f>
        <v>#DIV/0!</v>
      </c>
      <c r="V758" s="1040" t="e">
        <f>IF($F358="","",$F358*chronic_consumption!Q758/1000/$C$3)</f>
        <v>#DIV/0!</v>
      </c>
      <c r="W758" s="1040" t="e">
        <f>IF($F358="","",$F358*chronic_consumption!R758/1000/$C$3)</f>
        <v>#DIV/0!</v>
      </c>
      <c r="X758" s="1040" t="e">
        <f>IF($F358="","",$F358*chronic_consumption!S758/1000/$C$3)</f>
        <v>#DIV/0!</v>
      </c>
      <c r="Y758" s="1040" t="e">
        <f>IF($F358="","",$F358*chronic_consumption!T758/1000/$C$3)</f>
        <v>#DIV/0!</v>
      </c>
      <c r="Z758" s="1040" t="e">
        <f>IF($F358="","",$F358*chronic_consumption!U758/1000/$C$3)</f>
        <v>#DIV/0!</v>
      </c>
      <c r="AA758" s="1040" t="e">
        <f>IF($F358="","",$F358*chronic_consumption!V758/1000/$C$3)</f>
        <v>#DIV/0!</v>
      </c>
      <c r="AB758" s="1040" t="e">
        <f>IF($F358="","",$F358*chronic_consumption!W758/1000/$C$3)</f>
        <v>#DIV/0!</v>
      </c>
      <c r="AC758" s="1040" t="e">
        <f>IF($F358="","",$F358*chronic_consumption!X758/1000/$C$3)</f>
        <v>#DIV/0!</v>
      </c>
      <c r="AD758" s="1040" t="e">
        <f>IF($F358="","",$F358*chronic_consumption!Y758/1000/$C$3)</f>
        <v>#DIV/0!</v>
      </c>
      <c r="AE758" s="1040" t="e">
        <f>IF($F358="","",$F358*chronic_consumption!Z758/1000/$C$3)</f>
        <v>#DIV/0!</v>
      </c>
      <c r="AF758" s="1040" t="e">
        <f>IF($F358="","",$F358*chronic_consumption!AA758/1000/$C$3)</f>
        <v>#DIV/0!</v>
      </c>
      <c r="AG758" s="1040" t="e">
        <f>IF($F358="","",$F358*chronic_consumption!AB758/1000/$C$3)</f>
        <v>#DIV/0!</v>
      </c>
      <c r="AH758" s="1040" t="e">
        <f>IF($F358="","",$F358*chronic_consumption!AC758/1000/$C$3)</f>
        <v>#DIV/0!</v>
      </c>
      <c r="AI758" s="1040" t="e">
        <f>IF($F358="","",$F358*chronic_consumption!AD758/1000/$C$3)</f>
        <v>#DIV/0!</v>
      </c>
      <c r="AJ758" s="1040" t="e">
        <f>IF($F358="","",$F358*chronic_consumption!AE758/1000/$C$3)</f>
        <v>#DIV/0!</v>
      </c>
      <c r="AK758" s="1040" t="e">
        <f>IF($F358="","",$F358*chronic_consumption!AF758/1000/$C$3)</f>
        <v>#DIV/0!</v>
      </c>
      <c r="AL758" s="1040" t="e">
        <f>IF($F358="","",$F358*chronic_consumption!AG758/1000/$C$3)</f>
        <v>#DIV/0!</v>
      </c>
      <c r="AM758" s="1040" t="e">
        <f>IF($F358="","",$F358*chronic_consumption!AH758/1000/$C$3)</f>
        <v>#DIV/0!</v>
      </c>
      <c r="AN758" s="1040" t="e">
        <f>IF($F358="","",$F358*chronic_consumption!AI758/1000/$C$3)</f>
        <v>#DIV/0!</v>
      </c>
      <c r="AO758" s="1040" t="e">
        <f>IF($F358="","",$F358*chronic_consumption!AJ758/1000/$C$3)</f>
        <v>#DIV/0!</v>
      </c>
      <c r="AP758" s="1040" t="e">
        <f>IF($F358="","",$F358*chronic_consumption!AK758/1000/$C$3)</f>
        <v>#DIV/0!</v>
      </c>
      <c r="AQ758" s="1040" t="e">
        <f>IF($F358="","",$F358*chronic_consumption!AL758/1000/$C$3)</f>
        <v>#DIV/0!</v>
      </c>
      <c r="AR758" s="1040" t="e">
        <f>IF($F358="","",$F358*chronic_consumption!AM758/1000/$C$3)</f>
        <v>#DIV/0!</v>
      </c>
      <c r="AS758" s="1040" t="e">
        <f>IF($F358="","",$F358*chronic_consumption!AN758/1000/$C$3)</f>
        <v>#DIV/0!</v>
      </c>
      <c r="AT758" s="1040" t="e">
        <f>IF($F358="","",$F358*chronic_consumption!AO758/1000/$C$3)</f>
        <v>#DIV/0!</v>
      </c>
      <c r="AU758" s="1040" t="e">
        <f>IF($F358="","",$F358*chronic_consumption!AP758/1000/$C$3)</f>
        <v>#DIV/0!</v>
      </c>
      <c r="AV758" s="1040" t="e">
        <f>IF($F358="","",$F358*chronic_consumption!AQ758/1000/$C$3)</f>
        <v>#DIV/0!</v>
      </c>
      <c r="AW758" s="1040" t="e">
        <f>IF($F358="","",$F358*chronic_consumption!AR758/1000/$C$3)</f>
        <v>#DIV/0!</v>
      </c>
      <c r="AX758" s="1040" t="e">
        <f>IF($F358="","",$F358*chronic_consumption!AS758/1000/$C$3)</f>
        <v>#DIV/0!</v>
      </c>
      <c r="AY758" s="1040" t="e">
        <f>IF($F358="","",$F358*chronic_consumption!AT758/1000/$C$3)</f>
        <v>#DIV/0!</v>
      </c>
      <c r="AZ758" s="44" t="s">
        <v>20</v>
      </c>
      <c r="BC758" s="29"/>
      <c r="BD758" s="29"/>
    </row>
    <row r="759" spans="1:56" ht="12" hidden="1" customHeight="1" outlineLevel="3" x14ac:dyDescent="0.2">
      <c r="A759" s="21">
        <f>acute_overview_children!A359</f>
        <v>4</v>
      </c>
      <c r="B759" s="325">
        <f t="shared" si="53"/>
        <v>1015990</v>
      </c>
      <c r="C759" s="325" t="str">
        <f t="shared" si="53"/>
        <v>Equine: Other products</v>
      </c>
      <c r="D759" s="135"/>
      <c r="E759" s="1027"/>
      <c r="F759" s="87"/>
      <c r="G759" s="1027"/>
      <c r="H759" s="1029"/>
      <c r="I759" s="1030"/>
      <c r="J759" s="1039" t="e">
        <f>IF($F359="","",$F359*chronic_consumption!E759/1000/$C$3)</f>
        <v>#DIV/0!</v>
      </c>
      <c r="K759" s="1040" t="e">
        <f>IF($F359="","",$F359*chronic_consumption!F759/1000/$C$3)</f>
        <v>#DIV/0!</v>
      </c>
      <c r="L759" s="1040" t="e">
        <f>IF($F359="","",$F359*chronic_consumption!G759/1000/$C$3)</f>
        <v>#DIV/0!</v>
      </c>
      <c r="M759" s="1040" t="e">
        <f>IF($F359="","",$F359*chronic_consumption!H759/1000/$C$3)</f>
        <v>#DIV/0!</v>
      </c>
      <c r="N759" s="1040" t="e">
        <f>IF($F359="","",$F359*chronic_consumption!I759/1000/$C$3)</f>
        <v>#DIV/0!</v>
      </c>
      <c r="O759" s="1040" t="e">
        <f>IF($F359="","",$F359*chronic_consumption!J759/1000/$C$3)</f>
        <v>#DIV/0!</v>
      </c>
      <c r="P759" s="1040" t="e">
        <f>IF($F359="","",$F359*chronic_consumption!K759/1000/$C$3)</f>
        <v>#DIV/0!</v>
      </c>
      <c r="Q759" s="1040" t="e">
        <f>IF($F359="","",$F359*chronic_consumption!L759/1000/$C$3)</f>
        <v>#DIV/0!</v>
      </c>
      <c r="R759" s="1040" t="e">
        <f>IF($F359="","",$F359*chronic_consumption!M759/1000/$C$3)</f>
        <v>#DIV/0!</v>
      </c>
      <c r="S759" s="1040" t="e">
        <f>IF($F359="","",$F359*chronic_consumption!N759/1000/$C$3)</f>
        <v>#DIV/0!</v>
      </c>
      <c r="T759" s="1040" t="e">
        <f>IF($F359="","",$F359*chronic_consumption!O759/1000/$C$3)</f>
        <v>#DIV/0!</v>
      </c>
      <c r="U759" s="1040" t="e">
        <f>IF($F359="","",$F359*chronic_consumption!P759/1000/$C$3)</f>
        <v>#DIV/0!</v>
      </c>
      <c r="V759" s="1040" t="e">
        <f>IF($F359="","",$F359*chronic_consumption!Q759/1000/$C$3)</f>
        <v>#DIV/0!</v>
      </c>
      <c r="W759" s="1040" t="e">
        <f>IF($F359="","",$F359*chronic_consumption!R759/1000/$C$3)</f>
        <v>#DIV/0!</v>
      </c>
      <c r="X759" s="1040" t="e">
        <f>IF($F359="","",$F359*chronic_consumption!S759/1000/$C$3)</f>
        <v>#DIV/0!</v>
      </c>
      <c r="Y759" s="1040" t="e">
        <f>IF($F359="","",$F359*chronic_consumption!T759/1000/$C$3)</f>
        <v>#DIV/0!</v>
      </c>
      <c r="Z759" s="1040" t="e">
        <f>IF($F359="","",$F359*chronic_consumption!U759/1000/$C$3)</f>
        <v>#DIV/0!</v>
      </c>
      <c r="AA759" s="1040" t="e">
        <f>IF($F359="","",$F359*chronic_consumption!V759/1000/$C$3)</f>
        <v>#DIV/0!</v>
      </c>
      <c r="AB759" s="1040" t="e">
        <f>IF($F359="","",$F359*chronic_consumption!W759/1000/$C$3)</f>
        <v>#DIV/0!</v>
      </c>
      <c r="AC759" s="1040" t="e">
        <f>IF($F359="","",$F359*chronic_consumption!X759/1000/$C$3)</f>
        <v>#DIV/0!</v>
      </c>
      <c r="AD759" s="1040" t="e">
        <f>IF($F359="","",$F359*chronic_consumption!Y759/1000/$C$3)</f>
        <v>#DIV/0!</v>
      </c>
      <c r="AE759" s="1040" t="e">
        <f>IF($F359="","",$F359*chronic_consumption!Z759/1000/$C$3)</f>
        <v>#DIV/0!</v>
      </c>
      <c r="AF759" s="1040" t="e">
        <f>IF($F359="","",$F359*chronic_consumption!AA759/1000/$C$3)</f>
        <v>#DIV/0!</v>
      </c>
      <c r="AG759" s="1040" t="e">
        <f>IF($F359="","",$F359*chronic_consumption!AB759/1000/$C$3)</f>
        <v>#DIV/0!</v>
      </c>
      <c r="AH759" s="1040" t="e">
        <f>IF($F359="","",$F359*chronic_consumption!AC759/1000/$C$3)</f>
        <v>#DIV/0!</v>
      </c>
      <c r="AI759" s="1040" t="e">
        <f>IF($F359="","",$F359*chronic_consumption!AD759/1000/$C$3)</f>
        <v>#DIV/0!</v>
      </c>
      <c r="AJ759" s="1040" t="e">
        <f>IF($F359="","",$F359*chronic_consumption!AE759/1000/$C$3)</f>
        <v>#DIV/0!</v>
      </c>
      <c r="AK759" s="1040" t="e">
        <f>IF($F359="","",$F359*chronic_consumption!AF759/1000/$C$3)</f>
        <v>#DIV/0!</v>
      </c>
      <c r="AL759" s="1040" t="e">
        <f>IF($F359="","",$F359*chronic_consumption!AG759/1000/$C$3)</f>
        <v>#DIV/0!</v>
      </c>
      <c r="AM759" s="1040" t="e">
        <f>IF($F359="","",$F359*chronic_consumption!AH759/1000/$C$3)</f>
        <v>#DIV/0!</v>
      </c>
      <c r="AN759" s="1040" t="e">
        <f>IF($F359="","",$F359*chronic_consumption!AI759/1000/$C$3)</f>
        <v>#DIV/0!</v>
      </c>
      <c r="AO759" s="1040" t="e">
        <f>IF($F359="","",$F359*chronic_consumption!AJ759/1000/$C$3)</f>
        <v>#DIV/0!</v>
      </c>
      <c r="AP759" s="1040" t="e">
        <f>IF($F359="","",$F359*chronic_consumption!AK759/1000/$C$3)</f>
        <v>#DIV/0!</v>
      </c>
      <c r="AQ759" s="1040" t="e">
        <f>IF($F359="","",$F359*chronic_consumption!AL759/1000/$C$3)</f>
        <v>#DIV/0!</v>
      </c>
      <c r="AR759" s="1040" t="e">
        <f>IF($F359="","",$F359*chronic_consumption!AM759/1000/$C$3)</f>
        <v>#DIV/0!</v>
      </c>
      <c r="AS759" s="1040" t="e">
        <f>IF($F359="","",$F359*chronic_consumption!AN759/1000/$C$3)</f>
        <v>#DIV/0!</v>
      </c>
      <c r="AT759" s="1040" t="e">
        <f>IF($F359="","",$F359*chronic_consumption!AO759/1000/$C$3)</f>
        <v>#DIV/0!</v>
      </c>
      <c r="AU759" s="1040" t="e">
        <f>IF($F359="","",$F359*chronic_consumption!AP759/1000/$C$3)</f>
        <v>#DIV/0!</v>
      </c>
      <c r="AV759" s="1040" t="e">
        <f>IF($F359="","",$F359*chronic_consumption!AQ759/1000/$C$3)</f>
        <v>#DIV/0!</v>
      </c>
      <c r="AW759" s="1040" t="e">
        <f>IF($F359="","",$F359*chronic_consumption!AR759/1000/$C$3)</f>
        <v>#DIV/0!</v>
      </c>
      <c r="AX759" s="1040" t="e">
        <f>IF($F359="","",$F359*chronic_consumption!AS759/1000/$C$3)</f>
        <v>#DIV/0!</v>
      </c>
      <c r="AY759" s="1040" t="e">
        <f>IF($F359="","",$F359*chronic_consumption!AT759/1000/$C$3)</f>
        <v>#DIV/0!</v>
      </c>
      <c r="AZ759" s="44" t="s">
        <v>20</v>
      </c>
      <c r="BC759" s="29"/>
      <c r="BD759" s="29"/>
    </row>
    <row r="760" spans="1:56" ht="12" hidden="1" customHeight="1" outlineLevel="2" x14ac:dyDescent="0.2">
      <c r="A760" s="353">
        <f>acute_overview_children!A360</f>
        <v>3</v>
      </c>
      <c r="B760" s="1046">
        <f t="shared" si="53"/>
        <v>1016000</v>
      </c>
      <c r="C760" s="1046" t="str">
        <f t="shared" si="53"/>
        <v>Poultry</v>
      </c>
      <c r="D760" s="135"/>
      <c r="E760" s="1027"/>
      <c r="F760" s="87"/>
      <c r="G760" s="1027"/>
      <c r="H760" s="1029"/>
      <c r="I760" s="1030"/>
      <c r="J760" s="1047" t="e">
        <f>IF($F360="","",$F360*chronic_consumption!E760/1000/$C$3)</f>
        <v>#DIV/0!</v>
      </c>
      <c r="K760" s="1048" t="e">
        <f>IF($F360="","",$F360*chronic_consumption!F760/1000/$C$3)</f>
        <v>#DIV/0!</v>
      </c>
      <c r="L760" s="1048" t="e">
        <f>IF($F360="","",$F360*chronic_consumption!G760/1000/$C$3)</f>
        <v>#DIV/0!</v>
      </c>
      <c r="M760" s="1048" t="e">
        <f>IF($F360="","",$F360*chronic_consumption!H760/1000/$C$3)</f>
        <v>#DIV/0!</v>
      </c>
      <c r="N760" s="1048" t="e">
        <f>IF($F360="","",$F360*chronic_consumption!I760/1000/$C$3)</f>
        <v>#DIV/0!</v>
      </c>
      <c r="O760" s="1048" t="e">
        <f>IF($F360="","",$F360*chronic_consumption!J760/1000/$C$3)</f>
        <v>#DIV/0!</v>
      </c>
      <c r="P760" s="1048" t="e">
        <f>IF($F360="","",$F360*chronic_consumption!K760/1000/$C$3)</f>
        <v>#DIV/0!</v>
      </c>
      <c r="Q760" s="1048" t="e">
        <f>IF($F360="","",$F360*chronic_consumption!L760/1000/$C$3)</f>
        <v>#DIV/0!</v>
      </c>
      <c r="R760" s="1048" t="e">
        <f>IF($F360="","",$F360*chronic_consumption!M760/1000/$C$3)</f>
        <v>#DIV/0!</v>
      </c>
      <c r="S760" s="1048" t="e">
        <f>IF($F360="","",$F360*chronic_consumption!N760/1000/$C$3)</f>
        <v>#DIV/0!</v>
      </c>
      <c r="T760" s="1048" t="e">
        <f>IF($F360="","",$F360*chronic_consumption!O760/1000/$C$3)</f>
        <v>#DIV/0!</v>
      </c>
      <c r="U760" s="1048" t="e">
        <f>IF($F360="","",$F360*chronic_consumption!P760/1000/$C$3)</f>
        <v>#DIV/0!</v>
      </c>
      <c r="V760" s="1048" t="e">
        <f>IF($F360="","",$F360*chronic_consumption!Q760/1000/$C$3)</f>
        <v>#DIV/0!</v>
      </c>
      <c r="W760" s="1048" t="e">
        <f>IF($F360="","",$F360*chronic_consumption!R760/1000/$C$3)</f>
        <v>#DIV/0!</v>
      </c>
      <c r="X760" s="1048" t="e">
        <f>IF($F360="","",$F360*chronic_consumption!S760/1000/$C$3)</f>
        <v>#DIV/0!</v>
      </c>
      <c r="Y760" s="1048" t="e">
        <f>IF($F360="","",$F360*chronic_consumption!T760/1000/$C$3)</f>
        <v>#DIV/0!</v>
      </c>
      <c r="Z760" s="1048" t="e">
        <f>IF($F360="","",$F360*chronic_consumption!U760/1000/$C$3)</f>
        <v>#DIV/0!</v>
      </c>
      <c r="AA760" s="1048" t="e">
        <f>IF($F360="","",$F360*chronic_consumption!V760/1000/$C$3)</f>
        <v>#DIV/0!</v>
      </c>
      <c r="AB760" s="1048" t="e">
        <f>IF($F360="","",$F360*chronic_consumption!W760/1000/$C$3)</f>
        <v>#DIV/0!</v>
      </c>
      <c r="AC760" s="1048" t="e">
        <f>IF($F360="","",$F360*chronic_consumption!X760/1000/$C$3)</f>
        <v>#DIV/0!</v>
      </c>
      <c r="AD760" s="1048" t="e">
        <f>IF($F360="","",$F360*chronic_consumption!Y760/1000/$C$3)</f>
        <v>#DIV/0!</v>
      </c>
      <c r="AE760" s="1048" t="e">
        <f>IF($F360="","",$F360*chronic_consumption!Z760/1000/$C$3)</f>
        <v>#DIV/0!</v>
      </c>
      <c r="AF760" s="1048" t="e">
        <f>IF($F360="","",$F360*chronic_consumption!AA760/1000/$C$3)</f>
        <v>#DIV/0!</v>
      </c>
      <c r="AG760" s="1048" t="e">
        <f>IF($F360="","",$F360*chronic_consumption!AB760/1000/$C$3)</f>
        <v>#DIV/0!</v>
      </c>
      <c r="AH760" s="1048" t="e">
        <f>IF($F360="","",$F360*chronic_consumption!AC760/1000/$C$3)</f>
        <v>#DIV/0!</v>
      </c>
      <c r="AI760" s="1048" t="e">
        <f>IF($F360="","",$F360*chronic_consumption!AD760/1000/$C$3)</f>
        <v>#DIV/0!</v>
      </c>
      <c r="AJ760" s="1048" t="e">
        <f>IF($F360="","",$F360*chronic_consumption!AE760/1000/$C$3)</f>
        <v>#DIV/0!</v>
      </c>
      <c r="AK760" s="1048" t="e">
        <f>IF($F360="","",$F360*chronic_consumption!AF760/1000/$C$3)</f>
        <v>#DIV/0!</v>
      </c>
      <c r="AL760" s="1048" t="e">
        <f>IF($F360="","",$F360*chronic_consumption!AG760/1000/$C$3)</f>
        <v>#DIV/0!</v>
      </c>
      <c r="AM760" s="1048" t="e">
        <f>IF($F360="","",$F360*chronic_consumption!AH760/1000/$C$3)</f>
        <v>#DIV/0!</v>
      </c>
      <c r="AN760" s="1048" t="e">
        <f>IF($F360="","",$F360*chronic_consumption!AI760/1000/$C$3)</f>
        <v>#DIV/0!</v>
      </c>
      <c r="AO760" s="1048" t="e">
        <f>IF($F360="","",$F360*chronic_consumption!AJ760/1000/$C$3)</f>
        <v>#DIV/0!</v>
      </c>
      <c r="AP760" s="1048" t="e">
        <f>IF($F360="","",$F360*chronic_consumption!AK760/1000/$C$3)</f>
        <v>#DIV/0!</v>
      </c>
      <c r="AQ760" s="1048" t="e">
        <f>IF($F360="","",$F360*chronic_consumption!AL760/1000/$C$3)</f>
        <v>#DIV/0!</v>
      </c>
      <c r="AR760" s="1048" t="e">
        <f>IF($F360="","",$F360*chronic_consumption!AM760/1000/$C$3)</f>
        <v>#DIV/0!</v>
      </c>
      <c r="AS760" s="1048" t="e">
        <f>IF($F360="","",$F360*chronic_consumption!AN760/1000/$C$3)</f>
        <v>#DIV/0!</v>
      </c>
      <c r="AT760" s="1048" t="e">
        <f>IF($F360="","",$F360*chronic_consumption!AO760/1000/$C$3)</f>
        <v>#DIV/0!</v>
      </c>
      <c r="AU760" s="1048" t="e">
        <f>IF($F360="","",$F360*chronic_consumption!AP760/1000/$C$3)</f>
        <v>#DIV/0!</v>
      </c>
      <c r="AV760" s="1048" t="e">
        <f>IF($F360="","",$F360*chronic_consumption!AQ760/1000/$C$3)</f>
        <v>#DIV/0!</v>
      </c>
      <c r="AW760" s="1048" t="e">
        <f>IF($F360="","",$F360*chronic_consumption!AR760/1000/$C$3)</f>
        <v>#DIV/0!</v>
      </c>
      <c r="AX760" s="1048" t="e">
        <f>IF($F360="","",$F360*chronic_consumption!AS760/1000/$C$3)</f>
        <v>#DIV/0!</v>
      </c>
      <c r="AY760" s="1048" t="e">
        <f>IF($F360="","",$F360*chronic_consumption!AT760/1000/$C$3)</f>
        <v>#DIV/0!</v>
      </c>
      <c r="AZ760" s="44" t="s">
        <v>20</v>
      </c>
      <c r="BC760" s="29"/>
      <c r="BD760" s="29"/>
    </row>
    <row r="761" spans="1:56" ht="12" hidden="1" customHeight="1" outlineLevel="3" x14ac:dyDescent="0.2">
      <c r="A761" s="21">
        <f>acute_overview_children!A361</f>
        <v>4</v>
      </c>
      <c r="B761" s="325">
        <f t="shared" si="53"/>
        <v>1016010</v>
      </c>
      <c r="C761" s="325" t="str">
        <f t="shared" si="53"/>
        <v>Poultry: Muscle/meat</v>
      </c>
      <c r="D761" s="135"/>
      <c r="E761" s="1027"/>
      <c r="F761" s="87"/>
      <c r="G761" s="1027"/>
      <c r="H761" s="1029"/>
      <c r="I761" s="1030"/>
      <c r="J761" s="1039" t="e">
        <f>IF($F361="","",$F361*chronic_consumption!E761/1000/$C$3)</f>
        <v>#DIV/0!</v>
      </c>
      <c r="K761" s="1040" t="e">
        <f>IF($F361="","",$F361*chronic_consumption!F761/1000/$C$3)</f>
        <v>#DIV/0!</v>
      </c>
      <c r="L761" s="1040" t="e">
        <f>IF($F361="","",$F361*chronic_consumption!G761/1000/$C$3)</f>
        <v>#DIV/0!</v>
      </c>
      <c r="M761" s="1040" t="e">
        <f>IF($F361="","",$F361*chronic_consumption!H761/1000/$C$3)</f>
        <v>#DIV/0!</v>
      </c>
      <c r="N761" s="1040" t="e">
        <f>IF($F361="","",$F361*chronic_consumption!I761/1000/$C$3)</f>
        <v>#DIV/0!</v>
      </c>
      <c r="O761" s="1040" t="e">
        <f>IF($F361="","",$F361*chronic_consumption!J761/1000/$C$3)</f>
        <v>#DIV/0!</v>
      </c>
      <c r="P761" s="1040" t="e">
        <f>IF($F361="","",$F361*chronic_consumption!K761/1000/$C$3)</f>
        <v>#DIV/0!</v>
      </c>
      <c r="Q761" s="1040" t="e">
        <f>IF($F361="","",$F361*chronic_consumption!L761/1000/$C$3)</f>
        <v>#DIV/0!</v>
      </c>
      <c r="R761" s="1040" t="e">
        <f>IF($F361="","",$F361*chronic_consumption!M761/1000/$C$3)</f>
        <v>#DIV/0!</v>
      </c>
      <c r="S761" s="1040" t="e">
        <f>IF($F361="","",$F361*chronic_consumption!N761/1000/$C$3)</f>
        <v>#DIV/0!</v>
      </c>
      <c r="T761" s="1040" t="e">
        <f>IF($F361="","",$F361*chronic_consumption!O761/1000/$C$3)</f>
        <v>#DIV/0!</v>
      </c>
      <c r="U761" s="1040" t="e">
        <f>IF($F361="","",$F361*chronic_consumption!P761/1000/$C$3)</f>
        <v>#DIV/0!</v>
      </c>
      <c r="V761" s="1040" t="e">
        <f>IF($F361="","",$F361*chronic_consumption!Q761/1000/$C$3)</f>
        <v>#DIV/0!</v>
      </c>
      <c r="W761" s="1040" t="e">
        <f>IF($F361="","",$F361*chronic_consumption!R761/1000/$C$3)</f>
        <v>#DIV/0!</v>
      </c>
      <c r="X761" s="1040" t="e">
        <f>IF($F361="","",$F361*chronic_consumption!S761/1000/$C$3)</f>
        <v>#DIV/0!</v>
      </c>
      <c r="Y761" s="1040" t="e">
        <f>IF($F361="","",$F361*chronic_consumption!T761/1000/$C$3)</f>
        <v>#DIV/0!</v>
      </c>
      <c r="Z761" s="1040" t="e">
        <f>IF($F361="","",$F361*chronic_consumption!U761/1000/$C$3)</f>
        <v>#DIV/0!</v>
      </c>
      <c r="AA761" s="1040" t="e">
        <f>IF($F361="","",$F361*chronic_consumption!V761/1000/$C$3)</f>
        <v>#DIV/0!</v>
      </c>
      <c r="AB761" s="1040" t="e">
        <f>IF($F361="","",$F361*chronic_consumption!W761/1000/$C$3)</f>
        <v>#DIV/0!</v>
      </c>
      <c r="AC761" s="1040" t="e">
        <f>IF($F361="","",$F361*chronic_consumption!X761/1000/$C$3)</f>
        <v>#DIV/0!</v>
      </c>
      <c r="AD761" s="1040" t="e">
        <f>IF($F361="","",$F361*chronic_consumption!Y761/1000/$C$3)</f>
        <v>#DIV/0!</v>
      </c>
      <c r="AE761" s="1040" t="e">
        <f>IF($F361="","",$F361*chronic_consumption!Z761/1000/$C$3)</f>
        <v>#DIV/0!</v>
      </c>
      <c r="AF761" s="1040" t="e">
        <f>IF($F361="","",$F361*chronic_consumption!AA761/1000/$C$3)</f>
        <v>#DIV/0!</v>
      </c>
      <c r="AG761" s="1040" t="e">
        <f>IF($F361="","",$F361*chronic_consumption!AB761/1000/$C$3)</f>
        <v>#DIV/0!</v>
      </c>
      <c r="AH761" s="1040" t="e">
        <f>IF($F361="","",$F361*chronic_consumption!AC761/1000/$C$3)</f>
        <v>#DIV/0!</v>
      </c>
      <c r="AI761" s="1040" t="e">
        <f>IF($F361="","",$F361*chronic_consumption!AD761/1000/$C$3)</f>
        <v>#DIV/0!</v>
      </c>
      <c r="AJ761" s="1040" t="e">
        <f>IF($F361="","",$F361*chronic_consumption!AE761/1000/$C$3)</f>
        <v>#DIV/0!</v>
      </c>
      <c r="AK761" s="1040" t="e">
        <f>IF($F361="","",$F361*chronic_consumption!AF761/1000/$C$3)</f>
        <v>#DIV/0!</v>
      </c>
      <c r="AL761" s="1040" t="e">
        <f>IF($F361="","",$F361*chronic_consumption!AG761/1000/$C$3)</f>
        <v>#DIV/0!</v>
      </c>
      <c r="AM761" s="1040" t="e">
        <f>IF($F361="","",$F361*chronic_consumption!AH761/1000/$C$3)</f>
        <v>#DIV/0!</v>
      </c>
      <c r="AN761" s="1040" t="e">
        <f>IF($F361="","",$F361*chronic_consumption!AI761/1000/$C$3)</f>
        <v>#DIV/0!</v>
      </c>
      <c r="AO761" s="1040" t="e">
        <f>IF($F361="","",$F361*chronic_consumption!AJ761/1000/$C$3)</f>
        <v>#DIV/0!</v>
      </c>
      <c r="AP761" s="1040" t="e">
        <f>IF($F361="","",$F361*chronic_consumption!AK761/1000/$C$3)</f>
        <v>#DIV/0!</v>
      </c>
      <c r="AQ761" s="1040" t="e">
        <f>IF($F361="","",$F361*chronic_consumption!AL761/1000/$C$3)</f>
        <v>#DIV/0!</v>
      </c>
      <c r="AR761" s="1040" t="e">
        <f>IF($F361="","",$F361*chronic_consumption!AM761/1000/$C$3)</f>
        <v>#DIV/0!</v>
      </c>
      <c r="AS761" s="1040" t="e">
        <f>IF($F361="","",$F361*chronic_consumption!AN761/1000/$C$3)</f>
        <v>#DIV/0!</v>
      </c>
      <c r="AT761" s="1040" t="e">
        <f>IF($F361="","",$F361*chronic_consumption!AO761/1000/$C$3)</f>
        <v>#DIV/0!</v>
      </c>
      <c r="AU761" s="1040" t="e">
        <f>IF($F361="","",$F361*chronic_consumption!AP761/1000/$C$3)</f>
        <v>#DIV/0!</v>
      </c>
      <c r="AV761" s="1040" t="e">
        <f>IF($F361="","",$F361*chronic_consumption!AQ761/1000/$C$3)</f>
        <v>#DIV/0!</v>
      </c>
      <c r="AW761" s="1040" t="e">
        <f>IF($F361="","",$F361*chronic_consumption!AR761/1000/$C$3)</f>
        <v>#DIV/0!</v>
      </c>
      <c r="AX761" s="1040" t="e">
        <f>IF($F361="","",$F361*chronic_consumption!AS761/1000/$C$3)</f>
        <v>#DIV/0!</v>
      </c>
      <c r="AY761" s="1040" t="e">
        <f>IF($F361="","",$F361*chronic_consumption!AT761/1000/$C$3)</f>
        <v>#DIV/0!</v>
      </c>
      <c r="AZ761" s="44" t="s">
        <v>20</v>
      </c>
      <c r="BC761" s="29"/>
      <c r="BD761" s="29"/>
    </row>
    <row r="762" spans="1:56" ht="12" hidden="1" customHeight="1" outlineLevel="3" x14ac:dyDescent="0.2">
      <c r="A762" s="21">
        <f>acute_overview_children!A362</f>
        <v>4</v>
      </c>
      <c r="B762" s="325">
        <f t="shared" si="53"/>
        <v>1016020</v>
      </c>
      <c r="C762" s="325" t="str">
        <f t="shared" si="53"/>
        <v>Poultry: Fat tissue</v>
      </c>
      <c r="D762" s="135"/>
      <c r="E762" s="1027"/>
      <c r="F762" s="87"/>
      <c r="G762" s="1027"/>
      <c r="H762" s="1029"/>
      <c r="I762" s="1030"/>
      <c r="J762" s="1039" t="e">
        <f>IF($F362="","",$F362*chronic_consumption!E762/1000/$C$3)</f>
        <v>#DIV/0!</v>
      </c>
      <c r="K762" s="1040" t="e">
        <f>IF($F362="","",$F362*chronic_consumption!F762/1000/$C$3)</f>
        <v>#DIV/0!</v>
      </c>
      <c r="L762" s="1040" t="e">
        <f>IF($F362="","",$F362*chronic_consumption!G762/1000/$C$3)</f>
        <v>#DIV/0!</v>
      </c>
      <c r="M762" s="1040" t="e">
        <f>IF($F362="","",$F362*chronic_consumption!H762/1000/$C$3)</f>
        <v>#DIV/0!</v>
      </c>
      <c r="N762" s="1040" t="e">
        <f>IF($F362="","",$F362*chronic_consumption!I762/1000/$C$3)</f>
        <v>#DIV/0!</v>
      </c>
      <c r="O762" s="1040" t="e">
        <f>IF($F362="","",$F362*chronic_consumption!J762/1000/$C$3)</f>
        <v>#DIV/0!</v>
      </c>
      <c r="P762" s="1040" t="e">
        <f>IF($F362="","",$F362*chronic_consumption!K762/1000/$C$3)</f>
        <v>#DIV/0!</v>
      </c>
      <c r="Q762" s="1040" t="e">
        <f>IF($F362="","",$F362*chronic_consumption!L762/1000/$C$3)</f>
        <v>#DIV/0!</v>
      </c>
      <c r="R762" s="1040" t="e">
        <f>IF($F362="","",$F362*chronic_consumption!M762/1000/$C$3)</f>
        <v>#DIV/0!</v>
      </c>
      <c r="S762" s="1040" t="e">
        <f>IF($F362="","",$F362*chronic_consumption!N762/1000/$C$3)</f>
        <v>#DIV/0!</v>
      </c>
      <c r="T762" s="1040" t="e">
        <f>IF($F362="","",$F362*chronic_consumption!O762/1000/$C$3)</f>
        <v>#DIV/0!</v>
      </c>
      <c r="U762" s="1040" t="e">
        <f>IF($F362="","",$F362*chronic_consumption!P762/1000/$C$3)</f>
        <v>#DIV/0!</v>
      </c>
      <c r="V762" s="1040" t="e">
        <f>IF($F362="","",$F362*chronic_consumption!Q762/1000/$C$3)</f>
        <v>#DIV/0!</v>
      </c>
      <c r="W762" s="1040" t="e">
        <f>IF($F362="","",$F362*chronic_consumption!R762/1000/$C$3)</f>
        <v>#DIV/0!</v>
      </c>
      <c r="X762" s="1040" t="e">
        <f>IF($F362="","",$F362*chronic_consumption!S762/1000/$C$3)</f>
        <v>#DIV/0!</v>
      </c>
      <c r="Y762" s="1040" t="e">
        <f>IF($F362="","",$F362*chronic_consumption!T762/1000/$C$3)</f>
        <v>#DIV/0!</v>
      </c>
      <c r="Z762" s="1040" t="e">
        <f>IF($F362="","",$F362*chronic_consumption!U762/1000/$C$3)</f>
        <v>#DIV/0!</v>
      </c>
      <c r="AA762" s="1040" t="e">
        <f>IF($F362="","",$F362*chronic_consumption!V762/1000/$C$3)</f>
        <v>#DIV/0!</v>
      </c>
      <c r="AB762" s="1040" t="e">
        <f>IF($F362="","",$F362*chronic_consumption!W762/1000/$C$3)</f>
        <v>#DIV/0!</v>
      </c>
      <c r="AC762" s="1040" t="e">
        <f>IF($F362="","",$F362*chronic_consumption!X762/1000/$C$3)</f>
        <v>#DIV/0!</v>
      </c>
      <c r="AD762" s="1040" t="e">
        <f>IF($F362="","",$F362*chronic_consumption!Y762/1000/$C$3)</f>
        <v>#DIV/0!</v>
      </c>
      <c r="AE762" s="1040" t="e">
        <f>IF($F362="","",$F362*chronic_consumption!Z762/1000/$C$3)</f>
        <v>#DIV/0!</v>
      </c>
      <c r="AF762" s="1040" t="e">
        <f>IF($F362="","",$F362*chronic_consumption!AA762/1000/$C$3)</f>
        <v>#DIV/0!</v>
      </c>
      <c r="AG762" s="1040" t="e">
        <f>IF($F362="","",$F362*chronic_consumption!AB762/1000/$C$3)</f>
        <v>#DIV/0!</v>
      </c>
      <c r="AH762" s="1040" t="e">
        <f>IF($F362="","",$F362*chronic_consumption!AC762/1000/$C$3)</f>
        <v>#DIV/0!</v>
      </c>
      <c r="AI762" s="1040" t="e">
        <f>IF($F362="","",$F362*chronic_consumption!AD762/1000/$C$3)</f>
        <v>#DIV/0!</v>
      </c>
      <c r="AJ762" s="1040" t="e">
        <f>IF($F362="","",$F362*chronic_consumption!AE762/1000/$C$3)</f>
        <v>#DIV/0!</v>
      </c>
      <c r="AK762" s="1040" t="e">
        <f>IF($F362="","",$F362*chronic_consumption!AF762/1000/$C$3)</f>
        <v>#DIV/0!</v>
      </c>
      <c r="AL762" s="1040" t="e">
        <f>IF($F362="","",$F362*chronic_consumption!AG762/1000/$C$3)</f>
        <v>#DIV/0!</v>
      </c>
      <c r="AM762" s="1040" t="e">
        <f>IF($F362="","",$F362*chronic_consumption!AH762/1000/$C$3)</f>
        <v>#DIV/0!</v>
      </c>
      <c r="AN762" s="1040" t="e">
        <f>IF($F362="","",$F362*chronic_consumption!AI762/1000/$C$3)</f>
        <v>#DIV/0!</v>
      </c>
      <c r="AO762" s="1040" t="e">
        <f>IF($F362="","",$F362*chronic_consumption!AJ762/1000/$C$3)</f>
        <v>#DIV/0!</v>
      </c>
      <c r="AP762" s="1040" t="e">
        <f>IF($F362="","",$F362*chronic_consumption!AK762/1000/$C$3)</f>
        <v>#DIV/0!</v>
      </c>
      <c r="AQ762" s="1040" t="e">
        <f>IF($F362="","",$F362*chronic_consumption!AL762/1000/$C$3)</f>
        <v>#DIV/0!</v>
      </c>
      <c r="AR762" s="1040" t="e">
        <f>IF($F362="","",$F362*chronic_consumption!AM762/1000/$C$3)</f>
        <v>#DIV/0!</v>
      </c>
      <c r="AS762" s="1040" t="e">
        <f>IF($F362="","",$F362*chronic_consumption!AN762/1000/$C$3)</f>
        <v>#DIV/0!</v>
      </c>
      <c r="AT762" s="1040" t="e">
        <f>IF($F362="","",$F362*chronic_consumption!AO762/1000/$C$3)</f>
        <v>#DIV/0!</v>
      </c>
      <c r="AU762" s="1040" t="e">
        <f>IF($F362="","",$F362*chronic_consumption!AP762/1000/$C$3)</f>
        <v>#DIV/0!</v>
      </c>
      <c r="AV762" s="1040" t="e">
        <f>IF($F362="","",$F362*chronic_consumption!AQ762/1000/$C$3)</f>
        <v>#DIV/0!</v>
      </c>
      <c r="AW762" s="1040" t="e">
        <f>IF($F362="","",$F362*chronic_consumption!AR762/1000/$C$3)</f>
        <v>#DIV/0!</v>
      </c>
      <c r="AX762" s="1040" t="e">
        <f>IF($F362="","",$F362*chronic_consumption!AS762/1000/$C$3)</f>
        <v>#DIV/0!</v>
      </c>
      <c r="AY762" s="1040" t="e">
        <f>IF($F362="","",$F362*chronic_consumption!AT762/1000/$C$3)</f>
        <v>#DIV/0!</v>
      </c>
      <c r="AZ762" s="44" t="s">
        <v>20</v>
      </c>
      <c r="BC762" s="29"/>
      <c r="BD762" s="29"/>
    </row>
    <row r="763" spans="1:56" ht="12" hidden="1" customHeight="1" outlineLevel="3" x14ac:dyDescent="0.2">
      <c r="A763" s="21">
        <f>acute_overview_children!A363</f>
        <v>4</v>
      </c>
      <c r="B763" s="325">
        <f t="shared" si="53"/>
        <v>1016030</v>
      </c>
      <c r="C763" s="325" t="str">
        <f t="shared" si="53"/>
        <v>Poultry: Liver</v>
      </c>
      <c r="D763" s="135"/>
      <c r="E763" s="1027"/>
      <c r="F763" s="87"/>
      <c r="G763" s="1027"/>
      <c r="H763" s="1029"/>
      <c r="I763" s="1030"/>
      <c r="J763" s="1039" t="e">
        <f>IF($F363="","",$F363*chronic_consumption!E763/1000/$C$3)</f>
        <v>#DIV/0!</v>
      </c>
      <c r="K763" s="1040" t="e">
        <f>IF($F363="","",$F363*chronic_consumption!F763/1000/$C$3)</f>
        <v>#DIV/0!</v>
      </c>
      <c r="L763" s="1040" t="e">
        <f>IF($F363="","",$F363*chronic_consumption!G763/1000/$C$3)</f>
        <v>#DIV/0!</v>
      </c>
      <c r="M763" s="1040" t="e">
        <f>IF($F363="","",$F363*chronic_consumption!H763/1000/$C$3)</f>
        <v>#DIV/0!</v>
      </c>
      <c r="N763" s="1040" t="e">
        <f>IF($F363="","",$F363*chronic_consumption!I763/1000/$C$3)</f>
        <v>#DIV/0!</v>
      </c>
      <c r="O763" s="1040" t="e">
        <f>IF($F363="","",$F363*chronic_consumption!J763/1000/$C$3)</f>
        <v>#DIV/0!</v>
      </c>
      <c r="P763" s="1040" t="e">
        <f>IF($F363="","",$F363*chronic_consumption!K763/1000/$C$3)</f>
        <v>#DIV/0!</v>
      </c>
      <c r="Q763" s="1040" t="e">
        <f>IF($F363="","",$F363*chronic_consumption!L763/1000/$C$3)</f>
        <v>#DIV/0!</v>
      </c>
      <c r="R763" s="1040" t="e">
        <f>IF($F363="","",$F363*chronic_consumption!M763/1000/$C$3)</f>
        <v>#DIV/0!</v>
      </c>
      <c r="S763" s="1040" t="e">
        <f>IF($F363="","",$F363*chronic_consumption!N763/1000/$C$3)</f>
        <v>#DIV/0!</v>
      </c>
      <c r="T763" s="1040" t="e">
        <f>IF($F363="","",$F363*chronic_consumption!O763/1000/$C$3)</f>
        <v>#DIV/0!</v>
      </c>
      <c r="U763" s="1040" t="e">
        <f>IF($F363="","",$F363*chronic_consumption!P763/1000/$C$3)</f>
        <v>#DIV/0!</v>
      </c>
      <c r="V763" s="1040" t="e">
        <f>IF($F363="","",$F363*chronic_consumption!Q763/1000/$C$3)</f>
        <v>#DIV/0!</v>
      </c>
      <c r="W763" s="1040" t="e">
        <f>IF($F363="","",$F363*chronic_consumption!R763/1000/$C$3)</f>
        <v>#DIV/0!</v>
      </c>
      <c r="X763" s="1040" t="e">
        <f>IF($F363="","",$F363*chronic_consumption!S763/1000/$C$3)</f>
        <v>#DIV/0!</v>
      </c>
      <c r="Y763" s="1040" t="e">
        <f>IF($F363="","",$F363*chronic_consumption!T763/1000/$C$3)</f>
        <v>#DIV/0!</v>
      </c>
      <c r="Z763" s="1040" t="e">
        <f>IF($F363="","",$F363*chronic_consumption!U763/1000/$C$3)</f>
        <v>#DIV/0!</v>
      </c>
      <c r="AA763" s="1040" t="e">
        <f>IF($F363="","",$F363*chronic_consumption!V763/1000/$C$3)</f>
        <v>#DIV/0!</v>
      </c>
      <c r="AB763" s="1040" t="e">
        <f>IF($F363="","",$F363*chronic_consumption!W763/1000/$C$3)</f>
        <v>#DIV/0!</v>
      </c>
      <c r="AC763" s="1040" t="e">
        <f>IF($F363="","",$F363*chronic_consumption!X763/1000/$C$3)</f>
        <v>#DIV/0!</v>
      </c>
      <c r="AD763" s="1040" t="e">
        <f>IF($F363="","",$F363*chronic_consumption!Y763/1000/$C$3)</f>
        <v>#DIV/0!</v>
      </c>
      <c r="AE763" s="1040" t="e">
        <f>IF($F363="","",$F363*chronic_consumption!Z763/1000/$C$3)</f>
        <v>#DIV/0!</v>
      </c>
      <c r="AF763" s="1040" t="e">
        <f>IF($F363="","",$F363*chronic_consumption!AA763/1000/$C$3)</f>
        <v>#DIV/0!</v>
      </c>
      <c r="AG763" s="1040" t="e">
        <f>IF($F363="","",$F363*chronic_consumption!AB763/1000/$C$3)</f>
        <v>#DIV/0!</v>
      </c>
      <c r="AH763" s="1040" t="e">
        <f>IF($F363="","",$F363*chronic_consumption!AC763/1000/$C$3)</f>
        <v>#DIV/0!</v>
      </c>
      <c r="AI763" s="1040" t="e">
        <f>IF($F363="","",$F363*chronic_consumption!AD763/1000/$C$3)</f>
        <v>#DIV/0!</v>
      </c>
      <c r="AJ763" s="1040" t="e">
        <f>IF($F363="","",$F363*chronic_consumption!AE763/1000/$C$3)</f>
        <v>#DIV/0!</v>
      </c>
      <c r="AK763" s="1040" t="e">
        <f>IF($F363="","",$F363*chronic_consumption!AF763/1000/$C$3)</f>
        <v>#DIV/0!</v>
      </c>
      <c r="AL763" s="1040" t="e">
        <f>IF($F363="","",$F363*chronic_consumption!AG763/1000/$C$3)</f>
        <v>#DIV/0!</v>
      </c>
      <c r="AM763" s="1040" t="e">
        <f>IF($F363="","",$F363*chronic_consumption!AH763/1000/$C$3)</f>
        <v>#DIV/0!</v>
      </c>
      <c r="AN763" s="1040" t="e">
        <f>IF($F363="","",$F363*chronic_consumption!AI763/1000/$C$3)</f>
        <v>#DIV/0!</v>
      </c>
      <c r="AO763" s="1040" t="e">
        <f>IF($F363="","",$F363*chronic_consumption!AJ763/1000/$C$3)</f>
        <v>#DIV/0!</v>
      </c>
      <c r="AP763" s="1040" t="e">
        <f>IF($F363="","",$F363*chronic_consumption!AK763/1000/$C$3)</f>
        <v>#DIV/0!</v>
      </c>
      <c r="AQ763" s="1040" t="e">
        <f>IF($F363="","",$F363*chronic_consumption!AL763/1000/$C$3)</f>
        <v>#DIV/0!</v>
      </c>
      <c r="AR763" s="1040" t="e">
        <f>IF($F363="","",$F363*chronic_consumption!AM763/1000/$C$3)</f>
        <v>#DIV/0!</v>
      </c>
      <c r="AS763" s="1040" t="e">
        <f>IF($F363="","",$F363*chronic_consumption!AN763/1000/$C$3)</f>
        <v>#DIV/0!</v>
      </c>
      <c r="AT763" s="1040" t="e">
        <f>IF($F363="","",$F363*chronic_consumption!AO763/1000/$C$3)</f>
        <v>#DIV/0!</v>
      </c>
      <c r="AU763" s="1040" t="e">
        <f>IF($F363="","",$F363*chronic_consumption!AP763/1000/$C$3)</f>
        <v>#DIV/0!</v>
      </c>
      <c r="AV763" s="1040" t="e">
        <f>IF($F363="","",$F363*chronic_consumption!AQ763/1000/$C$3)</f>
        <v>#DIV/0!</v>
      </c>
      <c r="AW763" s="1040" t="e">
        <f>IF($F363="","",$F363*chronic_consumption!AR763/1000/$C$3)</f>
        <v>#DIV/0!</v>
      </c>
      <c r="AX763" s="1040" t="e">
        <f>IF($F363="","",$F363*chronic_consumption!AS763/1000/$C$3)</f>
        <v>#DIV/0!</v>
      </c>
      <c r="AY763" s="1040" t="e">
        <f>IF($F363="","",$F363*chronic_consumption!AT763/1000/$C$3)</f>
        <v>#DIV/0!</v>
      </c>
      <c r="AZ763" s="44" t="s">
        <v>20</v>
      </c>
      <c r="BC763" s="29"/>
      <c r="BD763" s="29"/>
    </row>
    <row r="764" spans="1:56" ht="12" hidden="1" customHeight="1" outlineLevel="3" x14ac:dyDescent="0.2">
      <c r="A764" s="21">
        <f>acute_overview_children!A364</f>
        <v>4</v>
      </c>
      <c r="B764" s="325">
        <f t="shared" si="53"/>
        <v>1016040</v>
      </c>
      <c r="C764" s="325" t="str">
        <f t="shared" si="53"/>
        <v>Poultry: Kidney</v>
      </c>
      <c r="D764" s="135"/>
      <c r="E764" s="1027"/>
      <c r="F764" s="87"/>
      <c r="G764" s="1027"/>
      <c r="H764" s="1029"/>
      <c r="I764" s="1030"/>
      <c r="J764" s="1039" t="e">
        <f>IF($F364="","",$F364*chronic_consumption!E764/1000/$C$3)</f>
        <v>#DIV/0!</v>
      </c>
      <c r="K764" s="1040" t="e">
        <f>IF($F364="","",$F364*chronic_consumption!F764/1000/$C$3)</f>
        <v>#DIV/0!</v>
      </c>
      <c r="L764" s="1040" t="e">
        <f>IF($F364="","",$F364*chronic_consumption!G764/1000/$C$3)</f>
        <v>#DIV/0!</v>
      </c>
      <c r="M764" s="1040" t="e">
        <f>IF($F364="","",$F364*chronic_consumption!H764/1000/$C$3)</f>
        <v>#DIV/0!</v>
      </c>
      <c r="N764" s="1040" t="e">
        <f>IF($F364="","",$F364*chronic_consumption!I764/1000/$C$3)</f>
        <v>#DIV/0!</v>
      </c>
      <c r="O764" s="1040" t="e">
        <f>IF($F364="","",$F364*chronic_consumption!J764/1000/$C$3)</f>
        <v>#DIV/0!</v>
      </c>
      <c r="P764" s="1040" t="e">
        <f>IF($F364="","",$F364*chronic_consumption!K764/1000/$C$3)</f>
        <v>#DIV/0!</v>
      </c>
      <c r="Q764" s="1040" t="e">
        <f>IF($F364="","",$F364*chronic_consumption!L764/1000/$C$3)</f>
        <v>#DIV/0!</v>
      </c>
      <c r="R764" s="1040" t="e">
        <f>IF($F364="","",$F364*chronic_consumption!M764/1000/$C$3)</f>
        <v>#DIV/0!</v>
      </c>
      <c r="S764" s="1040" t="e">
        <f>IF($F364="","",$F364*chronic_consumption!N764/1000/$C$3)</f>
        <v>#DIV/0!</v>
      </c>
      <c r="T764" s="1040" t="e">
        <f>IF($F364="","",$F364*chronic_consumption!O764/1000/$C$3)</f>
        <v>#DIV/0!</v>
      </c>
      <c r="U764" s="1040" t="e">
        <f>IF($F364="","",$F364*chronic_consumption!P764/1000/$C$3)</f>
        <v>#DIV/0!</v>
      </c>
      <c r="V764" s="1040" t="e">
        <f>IF($F364="","",$F364*chronic_consumption!Q764/1000/$C$3)</f>
        <v>#DIV/0!</v>
      </c>
      <c r="W764" s="1040" t="e">
        <f>IF($F364="","",$F364*chronic_consumption!R764/1000/$C$3)</f>
        <v>#DIV/0!</v>
      </c>
      <c r="X764" s="1040" t="e">
        <f>IF($F364="","",$F364*chronic_consumption!S764/1000/$C$3)</f>
        <v>#DIV/0!</v>
      </c>
      <c r="Y764" s="1040" t="e">
        <f>IF($F364="","",$F364*chronic_consumption!T764/1000/$C$3)</f>
        <v>#DIV/0!</v>
      </c>
      <c r="Z764" s="1040" t="e">
        <f>IF($F364="","",$F364*chronic_consumption!U764/1000/$C$3)</f>
        <v>#DIV/0!</v>
      </c>
      <c r="AA764" s="1040" t="e">
        <f>IF($F364="","",$F364*chronic_consumption!V764/1000/$C$3)</f>
        <v>#DIV/0!</v>
      </c>
      <c r="AB764" s="1040" t="e">
        <f>IF($F364="","",$F364*chronic_consumption!W764/1000/$C$3)</f>
        <v>#DIV/0!</v>
      </c>
      <c r="AC764" s="1040" t="e">
        <f>IF($F364="","",$F364*chronic_consumption!X764/1000/$C$3)</f>
        <v>#DIV/0!</v>
      </c>
      <c r="AD764" s="1040" t="e">
        <f>IF($F364="","",$F364*chronic_consumption!Y764/1000/$C$3)</f>
        <v>#DIV/0!</v>
      </c>
      <c r="AE764" s="1040" t="e">
        <f>IF($F364="","",$F364*chronic_consumption!Z764/1000/$C$3)</f>
        <v>#DIV/0!</v>
      </c>
      <c r="AF764" s="1040" t="e">
        <f>IF($F364="","",$F364*chronic_consumption!AA764/1000/$C$3)</f>
        <v>#DIV/0!</v>
      </c>
      <c r="AG764" s="1040" t="e">
        <f>IF($F364="","",$F364*chronic_consumption!AB764/1000/$C$3)</f>
        <v>#DIV/0!</v>
      </c>
      <c r="AH764" s="1040" t="e">
        <f>IF($F364="","",$F364*chronic_consumption!AC764/1000/$C$3)</f>
        <v>#DIV/0!</v>
      </c>
      <c r="AI764" s="1040" t="e">
        <f>IF($F364="","",$F364*chronic_consumption!AD764/1000/$C$3)</f>
        <v>#DIV/0!</v>
      </c>
      <c r="AJ764" s="1040" t="e">
        <f>IF($F364="","",$F364*chronic_consumption!AE764/1000/$C$3)</f>
        <v>#DIV/0!</v>
      </c>
      <c r="AK764" s="1040" t="e">
        <f>IF($F364="","",$F364*chronic_consumption!AF764/1000/$C$3)</f>
        <v>#DIV/0!</v>
      </c>
      <c r="AL764" s="1040" t="e">
        <f>IF($F364="","",$F364*chronic_consumption!AG764/1000/$C$3)</f>
        <v>#DIV/0!</v>
      </c>
      <c r="AM764" s="1040" t="e">
        <f>IF($F364="","",$F364*chronic_consumption!AH764/1000/$C$3)</f>
        <v>#DIV/0!</v>
      </c>
      <c r="AN764" s="1040" t="e">
        <f>IF($F364="","",$F364*chronic_consumption!AI764/1000/$C$3)</f>
        <v>#DIV/0!</v>
      </c>
      <c r="AO764" s="1040" t="e">
        <f>IF($F364="","",$F364*chronic_consumption!AJ764/1000/$C$3)</f>
        <v>#DIV/0!</v>
      </c>
      <c r="AP764" s="1040" t="e">
        <f>IF($F364="","",$F364*chronic_consumption!AK764/1000/$C$3)</f>
        <v>#DIV/0!</v>
      </c>
      <c r="AQ764" s="1040" t="e">
        <f>IF($F364="","",$F364*chronic_consumption!AL764/1000/$C$3)</f>
        <v>#DIV/0!</v>
      </c>
      <c r="AR764" s="1040" t="e">
        <f>IF($F364="","",$F364*chronic_consumption!AM764/1000/$C$3)</f>
        <v>#DIV/0!</v>
      </c>
      <c r="AS764" s="1040" t="e">
        <f>IF($F364="","",$F364*chronic_consumption!AN764/1000/$C$3)</f>
        <v>#DIV/0!</v>
      </c>
      <c r="AT764" s="1040" t="e">
        <f>IF($F364="","",$F364*chronic_consumption!AO764/1000/$C$3)</f>
        <v>#DIV/0!</v>
      </c>
      <c r="AU764" s="1040" t="e">
        <f>IF($F364="","",$F364*chronic_consumption!AP764/1000/$C$3)</f>
        <v>#DIV/0!</v>
      </c>
      <c r="AV764" s="1040" t="e">
        <f>IF($F364="","",$F364*chronic_consumption!AQ764/1000/$C$3)</f>
        <v>#DIV/0!</v>
      </c>
      <c r="AW764" s="1040" t="e">
        <f>IF($F364="","",$F364*chronic_consumption!AR764/1000/$C$3)</f>
        <v>#DIV/0!</v>
      </c>
      <c r="AX764" s="1040" t="e">
        <f>IF($F364="","",$F364*chronic_consumption!AS764/1000/$C$3)</f>
        <v>#DIV/0!</v>
      </c>
      <c r="AY764" s="1040" t="e">
        <f>IF($F364="","",$F364*chronic_consumption!AT764/1000/$C$3)</f>
        <v>#DIV/0!</v>
      </c>
      <c r="AZ764" s="44" t="s">
        <v>20</v>
      </c>
      <c r="BC764" s="29"/>
      <c r="BD764" s="29"/>
    </row>
    <row r="765" spans="1:56" ht="12" hidden="1" customHeight="1" outlineLevel="3" x14ac:dyDescent="0.2">
      <c r="A765" s="21">
        <f>acute_overview_children!A365</f>
        <v>4</v>
      </c>
      <c r="B765" s="325">
        <f t="shared" si="53"/>
        <v>1016050</v>
      </c>
      <c r="C765" s="325" t="str">
        <f t="shared" si="53"/>
        <v>Poultry: Edible offals (other than liver and kideny)</v>
      </c>
      <c r="D765" s="135"/>
      <c r="E765" s="1027"/>
      <c r="F765" s="87"/>
      <c r="G765" s="1027"/>
      <c r="H765" s="1029"/>
      <c r="I765" s="1030"/>
      <c r="J765" s="1039" t="e">
        <f>IF($F365="","",$F365*chronic_consumption!E765/1000/$C$3)</f>
        <v>#DIV/0!</v>
      </c>
      <c r="K765" s="1040" t="e">
        <f>IF($F365="","",$F365*chronic_consumption!F765/1000/$C$3)</f>
        <v>#DIV/0!</v>
      </c>
      <c r="L765" s="1040" t="e">
        <f>IF($F365="","",$F365*chronic_consumption!G765/1000/$C$3)</f>
        <v>#DIV/0!</v>
      </c>
      <c r="M765" s="1040" t="e">
        <f>IF($F365="","",$F365*chronic_consumption!H765/1000/$C$3)</f>
        <v>#DIV/0!</v>
      </c>
      <c r="N765" s="1040" t="e">
        <f>IF($F365="","",$F365*chronic_consumption!I765/1000/$C$3)</f>
        <v>#DIV/0!</v>
      </c>
      <c r="O765" s="1040" t="e">
        <f>IF($F365="","",$F365*chronic_consumption!J765/1000/$C$3)</f>
        <v>#DIV/0!</v>
      </c>
      <c r="P765" s="1040" t="e">
        <f>IF($F365="","",$F365*chronic_consumption!K765/1000/$C$3)</f>
        <v>#DIV/0!</v>
      </c>
      <c r="Q765" s="1040" t="e">
        <f>IF($F365="","",$F365*chronic_consumption!L765/1000/$C$3)</f>
        <v>#DIV/0!</v>
      </c>
      <c r="R765" s="1040" t="e">
        <f>IF($F365="","",$F365*chronic_consumption!M765/1000/$C$3)</f>
        <v>#DIV/0!</v>
      </c>
      <c r="S765" s="1040" t="e">
        <f>IF($F365="","",$F365*chronic_consumption!N765/1000/$C$3)</f>
        <v>#DIV/0!</v>
      </c>
      <c r="T765" s="1040" t="e">
        <f>IF($F365="","",$F365*chronic_consumption!O765/1000/$C$3)</f>
        <v>#DIV/0!</v>
      </c>
      <c r="U765" s="1040" t="e">
        <f>IF($F365="","",$F365*chronic_consumption!P765/1000/$C$3)</f>
        <v>#DIV/0!</v>
      </c>
      <c r="V765" s="1040" t="e">
        <f>IF($F365="","",$F365*chronic_consumption!Q765/1000/$C$3)</f>
        <v>#DIV/0!</v>
      </c>
      <c r="W765" s="1040" t="e">
        <f>IF($F365="","",$F365*chronic_consumption!R765/1000/$C$3)</f>
        <v>#DIV/0!</v>
      </c>
      <c r="X765" s="1040" t="e">
        <f>IF($F365="","",$F365*chronic_consumption!S765/1000/$C$3)</f>
        <v>#DIV/0!</v>
      </c>
      <c r="Y765" s="1040" t="e">
        <f>IF($F365="","",$F365*chronic_consumption!T765/1000/$C$3)</f>
        <v>#DIV/0!</v>
      </c>
      <c r="Z765" s="1040" t="e">
        <f>IF($F365="","",$F365*chronic_consumption!U765/1000/$C$3)</f>
        <v>#DIV/0!</v>
      </c>
      <c r="AA765" s="1040" t="e">
        <f>IF($F365="","",$F365*chronic_consumption!V765/1000/$C$3)</f>
        <v>#DIV/0!</v>
      </c>
      <c r="AB765" s="1040" t="e">
        <f>IF($F365="","",$F365*chronic_consumption!W765/1000/$C$3)</f>
        <v>#DIV/0!</v>
      </c>
      <c r="AC765" s="1040" t="e">
        <f>IF($F365="","",$F365*chronic_consumption!X765/1000/$C$3)</f>
        <v>#DIV/0!</v>
      </c>
      <c r="AD765" s="1040" t="e">
        <f>IF($F365="","",$F365*chronic_consumption!Y765/1000/$C$3)</f>
        <v>#DIV/0!</v>
      </c>
      <c r="AE765" s="1040" t="e">
        <f>IF($F365="","",$F365*chronic_consumption!Z765/1000/$C$3)</f>
        <v>#DIV/0!</v>
      </c>
      <c r="AF765" s="1040" t="e">
        <f>IF($F365="","",$F365*chronic_consumption!AA765/1000/$C$3)</f>
        <v>#DIV/0!</v>
      </c>
      <c r="AG765" s="1040" t="e">
        <f>IF($F365="","",$F365*chronic_consumption!AB765/1000/$C$3)</f>
        <v>#DIV/0!</v>
      </c>
      <c r="AH765" s="1040" t="e">
        <f>IF($F365="","",$F365*chronic_consumption!AC765/1000/$C$3)</f>
        <v>#DIV/0!</v>
      </c>
      <c r="AI765" s="1040" t="e">
        <f>IF($F365="","",$F365*chronic_consumption!AD765/1000/$C$3)</f>
        <v>#DIV/0!</v>
      </c>
      <c r="AJ765" s="1040" t="e">
        <f>IF($F365="","",$F365*chronic_consumption!AE765/1000/$C$3)</f>
        <v>#DIV/0!</v>
      </c>
      <c r="AK765" s="1040" t="e">
        <f>IF($F365="","",$F365*chronic_consumption!AF765/1000/$C$3)</f>
        <v>#DIV/0!</v>
      </c>
      <c r="AL765" s="1040" t="e">
        <f>IF($F365="","",$F365*chronic_consumption!AG765/1000/$C$3)</f>
        <v>#DIV/0!</v>
      </c>
      <c r="AM765" s="1040" t="e">
        <f>IF($F365="","",$F365*chronic_consumption!AH765/1000/$C$3)</f>
        <v>#DIV/0!</v>
      </c>
      <c r="AN765" s="1040" t="e">
        <f>IF($F365="","",$F365*chronic_consumption!AI765/1000/$C$3)</f>
        <v>#DIV/0!</v>
      </c>
      <c r="AO765" s="1040" t="e">
        <f>IF($F365="","",$F365*chronic_consumption!AJ765/1000/$C$3)</f>
        <v>#DIV/0!</v>
      </c>
      <c r="AP765" s="1040" t="e">
        <f>IF($F365="","",$F365*chronic_consumption!AK765/1000/$C$3)</f>
        <v>#DIV/0!</v>
      </c>
      <c r="AQ765" s="1040" t="e">
        <f>IF($F365="","",$F365*chronic_consumption!AL765/1000/$C$3)</f>
        <v>#DIV/0!</v>
      </c>
      <c r="AR765" s="1040" t="e">
        <f>IF($F365="","",$F365*chronic_consumption!AM765/1000/$C$3)</f>
        <v>#DIV/0!</v>
      </c>
      <c r="AS765" s="1040" t="e">
        <f>IF($F365="","",$F365*chronic_consumption!AN765/1000/$C$3)</f>
        <v>#DIV/0!</v>
      </c>
      <c r="AT765" s="1040" t="e">
        <f>IF($F365="","",$F365*chronic_consumption!AO765/1000/$C$3)</f>
        <v>#DIV/0!</v>
      </c>
      <c r="AU765" s="1040" t="e">
        <f>IF($F365="","",$F365*chronic_consumption!AP765/1000/$C$3)</f>
        <v>#DIV/0!</v>
      </c>
      <c r="AV765" s="1040" t="e">
        <f>IF($F365="","",$F365*chronic_consumption!AQ765/1000/$C$3)</f>
        <v>#DIV/0!</v>
      </c>
      <c r="AW765" s="1040" t="e">
        <f>IF($F365="","",$F365*chronic_consumption!AR765/1000/$C$3)</f>
        <v>#DIV/0!</v>
      </c>
      <c r="AX765" s="1040" t="e">
        <f>IF($F365="","",$F365*chronic_consumption!AS765/1000/$C$3)</f>
        <v>#DIV/0!</v>
      </c>
      <c r="AY765" s="1040" t="e">
        <f>IF($F365="","",$F365*chronic_consumption!AT765/1000/$C$3)</f>
        <v>#DIV/0!</v>
      </c>
      <c r="AZ765" s="44" t="s">
        <v>20</v>
      </c>
      <c r="BC765" s="29"/>
      <c r="BD765" s="29"/>
    </row>
    <row r="766" spans="1:56" ht="12" hidden="1" customHeight="1" outlineLevel="3" x14ac:dyDescent="0.2">
      <c r="A766" s="21">
        <f>acute_overview_children!A366</f>
        <v>4</v>
      </c>
      <c r="B766" s="325">
        <f t="shared" si="53"/>
        <v>1016990</v>
      </c>
      <c r="C766" s="325" t="str">
        <f t="shared" si="53"/>
        <v>Poultry: Other products</v>
      </c>
      <c r="D766" s="135"/>
      <c r="E766" s="1027"/>
      <c r="F766" s="87"/>
      <c r="G766" s="1027"/>
      <c r="H766" s="1029"/>
      <c r="I766" s="1030"/>
      <c r="J766" s="1039" t="e">
        <f>IF($F366="","",$F366*chronic_consumption!E766/1000/$C$3)</f>
        <v>#DIV/0!</v>
      </c>
      <c r="K766" s="1040" t="e">
        <f>IF($F366="","",$F366*chronic_consumption!F766/1000/$C$3)</f>
        <v>#DIV/0!</v>
      </c>
      <c r="L766" s="1040" t="e">
        <f>IF($F366="","",$F366*chronic_consumption!G766/1000/$C$3)</f>
        <v>#DIV/0!</v>
      </c>
      <c r="M766" s="1040" t="e">
        <f>IF($F366="","",$F366*chronic_consumption!H766/1000/$C$3)</f>
        <v>#DIV/0!</v>
      </c>
      <c r="N766" s="1040" t="e">
        <f>IF($F366="","",$F366*chronic_consumption!I766/1000/$C$3)</f>
        <v>#DIV/0!</v>
      </c>
      <c r="O766" s="1040" t="e">
        <f>IF($F366="","",$F366*chronic_consumption!J766/1000/$C$3)</f>
        <v>#DIV/0!</v>
      </c>
      <c r="P766" s="1040" t="e">
        <f>IF($F366="","",$F366*chronic_consumption!K766/1000/$C$3)</f>
        <v>#DIV/0!</v>
      </c>
      <c r="Q766" s="1040" t="e">
        <f>IF($F366="","",$F366*chronic_consumption!L766/1000/$C$3)</f>
        <v>#DIV/0!</v>
      </c>
      <c r="R766" s="1040" t="e">
        <f>IF($F366="","",$F366*chronic_consumption!M766/1000/$C$3)</f>
        <v>#DIV/0!</v>
      </c>
      <c r="S766" s="1040" t="e">
        <f>IF($F366="","",$F366*chronic_consumption!N766/1000/$C$3)</f>
        <v>#DIV/0!</v>
      </c>
      <c r="T766" s="1040" t="e">
        <f>IF($F366="","",$F366*chronic_consumption!O766/1000/$C$3)</f>
        <v>#DIV/0!</v>
      </c>
      <c r="U766" s="1040" t="e">
        <f>IF($F366="","",$F366*chronic_consumption!P766/1000/$C$3)</f>
        <v>#DIV/0!</v>
      </c>
      <c r="V766" s="1040" t="e">
        <f>IF($F366="","",$F366*chronic_consumption!Q766/1000/$C$3)</f>
        <v>#DIV/0!</v>
      </c>
      <c r="W766" s="1040" t="e">
        <f>IF($F366="","",$F366*chronic_consumption!R766/1000/$C$3)</f>
        <v>#DIV/0!</v>
      </c>
      <c r="X766" s="1040" t="e">
        <f>IF($F366="","",$F366*chronic_consumption!S766/1000/$C$3)</f>
        <v>#DIV/0!</v>
      </c>
      <c r="Y766" s="1040" t="e">
        <f>IF($F366="","",$F366*chronic_consumption!T766/1000/$C$3)</f>
        <v>#DIV/0!</v>
      </c>
      <c r="Z766" s="1040" t="e">
        <f>IF($F366="","",$F366*chronic_consumption!U766/1000/$C$3)</f>
        <v>#DIV/0!</v>
      </c>
      <c r="AA766" s="1040" t="e">
        <f>IF($F366="","",$F366*chronic_consumption!V766/1000/$C$3)</f>
        <v>#DIV/0!</v>
      </c>
      <c r="AB766" s="1040" t="e">
        <f>IF($F366="","",$F366*chronic_consumption!W766/1000/$C$3)</f>
        <v>#DIV/0!</v>
      </c>
      <c r="AC766" s="1040" t="e">
        <f>IF($F366="","",$F366*chronic_consumption!X766/1000/$C$3)</f>
        <v>#DIV/0!</v>
      </c>
      <c r="AD766" s="1040" t="e">
        <f>IF($F366="","",$F366*chronic_consumption!Y766/1000/$C$3)</f>
        <v>#DIV/0!</v>
      </c>
      <c r="AE766" s="1040" t="e">
        <f>IF($F366="","",$F366*chronic_consumption!Z766/1000/$C$3)</f>
        <v>#DIV/0!</v>
      </c>
      <c r="AF766" s="1040" t="e">
        <f>IF($F366="","",$F366*chronic_consumption!AA766/1000/$C$3)</f>
        <v>#DIV/0!</v>
      </c>
      <c r="AG766" s="1040" t="e">
        <f>IF($F366="","",$F366*chronic_consumption!AB766/1000/$C$3)</f>
        <v>#DIV/0!</v>
      </c>
      <c r="AH766" s="1040" t="e">
        <f>IF($F366="","",$F366*chronic_consumption!AC766/1000/$C$3)</f>
        <v>#DIV/0!</v>
      </c>
      <c r="AI766" s="1040" t="e">
        <f>IF($F366="","",$F366*chronic_consumption!AD766/1000/$C$3)</f>
        <v>#DIV/0!</v>
      </c>
      <c r="AJ766" s="1040" t="e">
        <f>IF($F366="","",$F366*chronic_consumption!AE766/1000/$C$3)</f>
        <v>#DIV/0!</v>
      </c>
      <c r="AK766" s="1040" t="e">
        <f>IF($F366="","",$F366*chronic_consumption!AF766/1000/$C$3)</f>
        <v>#DIV/0!</v>
      </c>
      <c r="AL766" s="1040" t="e">
        <f>IF($F366="","",$F366*chronic_consumption!AG766/1000/$C$3)</f>
        <v>#DIV/0!</v>
      </c>
      <c r="AM766" s="1040" t="e">
        <f>IF($F366="","",$F366*chronic_consumption!AH766/1000/$C$3)</f>
        <v>#DIV/0!</v>
      </c>
      <c r="AN766" s="1040" t="e">
        <f>IF($F366="","",$F366*chronic_consumption!AI766/1000/$C$3)</f>
        <v>#DIV/0!</v>
      </c>
      <c r="AO766" s="1040" t="e">
        <f>IF($F366="","",$F366*chronic_consumption!AJ766/1000/$C$3)</f>
        <v>#DIV/0!</v>
      </c>
      <c r="AP766" s="1040" t="e">
        <f>IF($F366="","",$F366*chronic_consumption!AK766/1000/$C$3)</f>
        <v>#DIV/0!</v>
      </c>
      <c r="AQ766" s="1040" t="e">
        <f>IF($F366="","",$F366*chronic_consumption!AL766/1000/$C$3)</f>
        <v>#DIV/0!</v>
      </c>
      <c r="AR766" s="1040" t="e">
        <f>IF($F366="","",$F366*chronic_consumption!AM766/1000/$C$3)</f>
        <v>#DIV/0!</v>
      </c>
      <c r="AS766" s="1040" t="e">
        <f>IF($F366="","",$F366*chronic_consumption!AN766/1000/$C$3)</f>
        <v>#DIV/0!</v>
      </c>
      <c r="AT766" s="1040" t="e">
        <f>IF($F366="","",$F366*chronic_consumption!AO766/1000/$C$3)</f>
        <v>#DIV/0!</v>
      </c>
      <c r="AU766" s="1040" t="e">
        <f>IF($F366="","",$F366*chronic_consumption!AP766/1000/$C$3)</f>
        <v>#DIV/0!</v>
      </c>
      <c r="AV766" s="1040" t="e">
        <f>IF($F366="","",$F366*chronic_consumption!AQ766/1000/$C$3)</f>
        <v>#DIV/0!</v>
      </c>
      <c r="AW766" s="1040" t="e">
        <f>IF($F366="","",$F366*chronic_consumption!AR766/1000/$C$3)</f>
        <v>#DIV/0!</v>
      </c>
      <c r="AX766" s="1040" t="e">
        <f>IF($F366="","",$F366*chronic_consumption!AS766/1000/$C$3)</f>
        <v>#DIV/0!</v>
      </c>
      <c r="AY766" s="1040" t="e">
        <f>IF($F366="","",$F366*chronic_consumption!AT766/1000/$C$3)</f>
        <v>#DIV/0!</v>
      </c>
      <c r="AZ766" s="44" t="s">
        <v>20</v>
      </c>
      <c r="BC766" s="29"/>
      <c r="BD766" s="29"/>
    </row>
    <row r="767" spans="1:56" ht="12" hidden="1" customHeight="1" outlineLevel="2" x14ac:dyDescent="0.2">
      <c r="A767" s="353">
        <f>acute_overview_children!A367</f>
        <v>3</v>
      </c>
      <c r="B767" s="1046">
        <f t="shared" si="53"/>
        <v>1017000</v>
      </c>
      <c r="C767" s="1046" t="str">
        <f t="shared" si="53"/>
        <v>Other farmed terrestrial animals</v>
      </c>
      <c r="D767" s="135"/>
      <c r="E767" s="1027"/>
      <c r="F767" s="87"/>
      <c r="G767" s="1027"/>
      <c r="H767" s="1029"/>
      <c r="I767" s="1030"/>
      <c r="J767" s="1047" t="e">
        <f>IF($F367="","",$F367*chronic_consumption!E767/1000/$C$3)</f>
        <v>#DIV/0!</v>
      </c>
      <c r="K767" s="1048" t="e">
        <f>IF($F367="","",$F367*chronic_consumption!F767/1000/$C$3)</f>
        <v>#DIV/0!</v>
      </c>
      <c r="L767" s="1048" t="e">
        <f>IF($F367="","",$F367*chronic_consumption!G767/1000/$C$3)</f>
        <v>#DIV/0!</v>
      </c>
      <c r="M767" s="1048" t="e">
        <f>IF($F367="","",$F367*chronic_consumption!H767/1000/$C$3)</f>
        <v>#DIV/0!</v>
      </c>
      <c r="N767" s="1048" t="e">
        <f>IF($F367="","",$F367*chronic_consumption!I767/1000/$C$3)</f>
        <v>#DIV/0!</v>
      </c>
      <c r="O767" s="1048" t="e">
        <f>IF($F367="","",$F367*chronic_consumption!J767/1000/$C$3)</f>
        <v>#DIV/0!</v>
      </c>
      <c r="P767" s="1048" t="e">
        <f>IF($F367="","",$F367*chronic_consumption!K767/1000/$C$3)</f>
        <v>#DIV/0!</v>
      </c>
      <c r="Q767" s="1048" t="e">
        <f>IF($F367="","",$F367*chronic_consumption!L767/1000/$C$3)</f>
        <v>#DIV/0!</v>
      </c>
      <c r="R767" s="1048" t="e">
        <f>IF($F367="","",$F367*chronic_consumption!M767/1000/$C$3)</f>
        <v>#DIV/0!</v>
      </c>
      <c r="S767" s="1048" t="e">
        <f>IF($F367="","",$F367*chronic_consumption!N767/1000/$C$3)</f>
        <v>#DIV/0!</v>
      </c>
      <c r="T767" s="1048" t="e">
        <f>IF($F367="","",$F367*chronic_consumption!O767/1000/$C$3)</f>
        <v>#DIV/0!</v>
      </c>
      <c r="U767" s="1048" t="e">
        <f>IF($F367="","",$F367*chronic_consumption!P767/1000/$C$3)</f>
        <v>#DIV/0!</v>
      </c>
      <c r="V767" s="1048" t="e">
        <f>IF($F367="","",$F367*chronic_consumption!Q767/1000/$C$3)</f>
        <v>#DIV/0!</v>
      </c>
      <c r="W767" s="1048" t="e">
        <f>IF($F367="","",$F367*chronic_consumption!R767/1000/$C$3)</f>
        <v>#DIV/0!</v>
      </c>
      <c r="X767" s="1048" t="e">
        <f>IF($F367="","",$F367*chronic_consumption!S767/1000/$C$3)</f>
        <v>#DIV/0!</v>
      </c>
      <c r="Y767" s="1048" t="e">
        <f>IF($F367="","",$F367*chronic_consumption!T767/1000/$C$3)</f>
        <v>#DIV/0!</v>
      </c>
      <c r="Z767" s="1048" t="e">
        <f>IF($F367="","",$F367*chronic_consumption!U767/1000/$C$3)</f>
        <v>#DIV/0!</v>
      </c>
      <c r="AA767" s="1048" t="e">
        <f>IF($F367="","",$F367*chronic_consumption!V767/1000/$C$3)</f>
        <v>#DIV/0!</v>
      </c>
      <c r="AB767" s="1048" t="e">
        <f>IF($F367="","",$F367*chronic_consumption!W767/1000/$C$3)</f>
        <v>#DIV/0!</v>
      </c>
      <c r="AC767" s="1048" t="e">
        <f>IF($F367="","",$F367*chronic_consumption!X767/1000/$C$3)</f>
        <v>#DIV/0!</v>
      </c>
      <c r="AD767" s="1048" t="e">
        <f>IF($F367="","",$F367*chronic_consumption!Y767/1000/$C$3)</f>
        <v>#DIV/0!</v>
      </c>
      <c r="AE767" s="1048" t="e">
        <f>IF($F367="","",$F367*chronic_consumption!Z767/1000/$C$3)</f>
        <v>#DIV/0!</v>
      </c>
      <c r="AF767" s="1048" t="e">
        <f>IF($F367="","",$F367*chronic_consumption!AA767/1000/$C$3)</f>
        <v>#DIV/0!</v>
      </c>
      <c r="AG767" s="1048" t="e">
        <f>IF($F367="","",$F367*chronic_consumption!AB767/1000/$C$3)</f>
        <v>#DIV/0!</v>
      </c>
      <c r="AH767" s="1048" t="e">
        <f>IF($F367="","",$F367*chronic_consumption!AC767/1000/$C$3)</f>
        <v>#DIV/0!</v>
      </c>
      <c r="AI767" s="1048" t="e">
        <f>IF($F367="","",$F367*chronic_consumption!AD767/1000/$C$3)</f>
        <v>#DIV/0!</v>
      </c>
      <c r="AJ767" s="1048" t="e">
        <f>IF($F367="","",$F367*chronic_consumption!AE767/1000/$C$3)</f>
        <v>#DIV/0!</v>
      </c>
      <c r="AK767" s="1048" t="e">
        <f>IF($F367="","",$F367*chronic_consumption!AF767/1000/$C$3)</f>
        <v>#DIV/0!</v>
      </c>
      <c r="AL767" s="1048" t="e">
        <f>IF($F367="","",$F367*chronic_consumption!AG767/1000/$C$3)</f>
        <v>#DIV/0!</v>
      </c>
      <c r="AM767" s="1048" t="e">
        <f>IF($F367="","",$F367*chronic_consumption!AH767/1000/$C$3)</f>
        <v>#DIV/0!</v>
      </c>
      <c r="AN767" s="1048" t="e">
        <f>IF($F367="","",$F367*chronic_consumption!AI767/1000/$C$3)</f>
        <v>#DIV/0!</v>
      </c>
      <c r="AO767" s="1048" t="e">
        <f>IF($F367="","",$F367*chronic_consumption!AJ767/1000/$C$3)</f>
        <v>#DIV/0!</v>
      </c>
      <c r="AP767" s="1048" t="e">
        <f>IF($F367="","",$F367*chronic_consumption!AK767/1000/$C$3)</f>
        <v>#DIV/0!</v>
      </c>
      <c r="AQ767" s="1048" t="e">
        <f>IF($F367="","",$F367*chronic_consumption!AL767/1000/$C$3)</f>
        <v>#DIV/0!</v>
      </c>
      <c r="AR767" s="1048" t="e">
        <f>IF($F367="","",$F367*chronic_consumption!AM767/1000/$C$3)</f>
        <v>#DIV/0!</v>
      </c>
      <c r="AS767" s="1048" t="e">
        <f>IF($F367="","",$F367*chronic_consumption!AN767/1000/$C$3)</f>
        <v>#DIV/0!</v>
      </c>
      <c r="AT767" s="1048" t="e">
        <f>IF($F367="","",$F367*chronic_consumption!AO767/1000/$C$3)</f>
        <v>#DIV/0!</v>
      </c>
      <c r="AU767" s="1048" t="e">
        <f>IF($F367="","",$F367*chronic_consumption!AP767/1000/$C$3)</f>
        <v>#DIV/0!</v>
      </c>
      <c r="AV767" s="1048" t="e">
        <f>IF($F367="","",$F367*chronic_consumption!AQ767/1000/$C$3)</f>
        <v>#DIV/0!</v>
      </c>
      <c r="AW767" s="1048" t="e">
        <f>IF($F367="","",$F367*chronic_consumption!AR767/1000/$C$3)</f>
        <v>#DIV/0!</v>
      </c>
      <c r="AX767" s="1048" t="e">
        <f>IF($F367="","",$F367*chronic_consumption!AS767/1000/$C$3)</f>
        <v>#DIV/0!</v>
      </c>
      <c r="AY767" s="1048" t="e">
        <f>IF($F367="","",$F367*chronic_consumption!AT767/1000/$C$3)</f>
        <v>#DIV/0!</v>
      </c>
      <c r="AZ767" s="44" t="s">
        <v>20</v>
      </c>
      <c r="BC767" s="29"/>
      <c r="BD767" s="29"/>
    </row>
    <row r="768" spans="1:56" ht="12" hidden="1" customHeight="1" outlineLevel="3" x14ac:dyDescent="0.2">
      <c r="A768" s="21">
        <f>acute_overview_children!A368</f>
        <v>4</v>
      </c>
      <c r="B768" s="325">
        <f t="shared" si="53"/>
        <v>1017010</v>
      </c>
      <c r="C768" s="325" t="str">
        <f t="shared" si="53"/>
        <v xml:space="preserve"> Other farmed animals: Muscle/meat</v>
      </c>
      <c r="D768" s="135"/>
      <c r="E768" s="1027"/>
      <c r="F768" s="87"/>
      <c r="G768" s="1027"/>
      <c r="H768" s="1029"/>
      <c r="I768" s="1030"/>
      <c r="J768" s="1039" t="e">
        <f>IF($F368="","",$F368*chronic_consumption!E768/1000/$C$3)</f>
        <v>#DIV/0!</v>
      </c>
      <c r="K768" s="1040" t="e">
        <f>IF($F368="","",$F368*chronic_consumption!F768/1000/$C$3)</f>
        <v>#DIV/0!</v>
      </c>
      <c r="L768" s="1040" t="e">
        <f>IF($F368="","",$F368*chronic_consumption!G768/1000/$C$3)</f>
        <v>#DIV/0!</v>
      </c>
      <c r="M768" s="1040" t="e">
        <f>IF($F368="","",$F368*chronic_consumption!H768/1000/$C$3)</f>
        <v>#DIV/0!</v>
      </c>
      <c r="N768" s="1040" t="e">
        <f>IF($F368="","",$F368*chronic_consumption!I768/1000/$C$3)</f>
        <v>#DIV/0!</v>
      </c>
      <c r="O768" s="1040" t="e">
        <f>IF($F368="","",$F368*chronic_consumption!J768/1000/$C$3)</f>
        <v>#DIV/0!</v>
      </c>
      <c r="P768" s="1040" t="e">
        <f>IF($F368="","",$F368*chronic_consumption!K768/1000/$C$3)</f>
        <v>#DIV/0!</v>
      </c>
      <c r="Q768" s="1040" t="e">
        <f>IF($F368="","",$F368*chronic_consumption!L768/1000/$C$3)</f>
        <v>#DIV/0!</v>
      </c>
      <c r="R768" s="1040" t="e">
        <f>IF($F368="","",$F368*chronic_consumption!M768/1000/$C$3)</f>
        <v>#DIV/0!</v>
      </c>
      <c r="S768" s="1040" t="e">
        <f>IF($F368="","",$F368*chronic_consumption!N768/1000/$C$3)</f>
        <v>#DIV/0!</v>
      </c>
      <c r="T768" s="1040" t="e">
        <f>IF($F368="","",$F368*chronic_consumption!O768/1000/$C$3)</f>
        <v>#DIV/0!</v>
      </c>
      <c r="U768" s="1040" t="e">
        <f>IF($F368="","",$F368*chronic_consumption!P768/1000/$C$3)</f>
        <v>#DIV/0!</v>
      </c>
      <c r="V768" s="1040" t="e">
        <f>IF($F368="","",$F368*chronic_consumption!Q768/1000/$C$3)</f>
        <v>#DIV/0!</v>
      </c>
      <c r="W768" s="1040" t="e">
        <f>IF($F368="","",$F368*chronic_consumption!R768/1000/$C$3)</f>
        <v>#DIV/0!</v>
      </c>
      <c r="X768" s="1040" t="e">
        <f>IF($F368="","",$F368*chronic_consumption!S768/1000/$C$3)</f>
        <v>#DIV/0!</v>
      </c>
      <c r="Y768" s="1040" t="e">
        <f>IF($F368="","",$F368*chronic_consumption!T768/1000/$C$3)</f>
        <v>#DIV/0!</v>
      </c>
      <c r="Z768" s="1040" t="e">
        <f>IF($F368="","",$F368*chronic_consumption!U768/1000/$C$3)</f>
        <v>#DIV/0!</v>
      </c>
      <c r="AA768" s="1040" t="e">
        <f>IF($F368="","",$F368*chronic_consumption!V768/1000/$C$3)</f>
        <v>#DIV/0!</v>
      </c>
      <c r="AB768" s="1040" t="e">
        <f>IF($F368="","",$F368*chronic_consumption!W768/1000/$C$3)</f>
        <v>#DIV/0!</v>
      </c>
      <c r="AC768" s="1040" t="e">
        <f>IF($F368="","",$F368*chronic_consumption!X768/1000/$C$3)</f>
        <v>#DIV/0!</v>
      </c>
      <c r="AD768" s="1040" t="e">
        <f>IF($F368="","",$F368*chronic_consumption!Y768/1000/$C$3)</f>
        <v>#DIV/0!</v>
      </c>
      <c r="AE768" s="1040" t="e">
        <f>IF($F368="","",$F368*chronic_consumption!Z768/1000/$C$3)</f>
        <v>#DIV/0!</v>
      </c>
      <c r="AF768" s="1040" t="e">
        <f>IF($F368="","",$F368*chronic_consumption!AA768/1000/$C$3)</f>
        <v>#DIV/0!</v>
      </c>
      <c r="AG768" s="1040" t="e">
        <f>IF($F368="","",$F368*chronic_consumption!AB768/1000/$C$3)</f>
        <v>#DIV/0!</v>
      </c>
      <c r="AH768" s="1040" t="e">
        <f>IF($F368="","",$F368*chronic_consumption!AC768/1000/$C$3)</f>
        <v>#DIV/0!</v>
      </c>
      <c r="AI768" s="1040" t="e">
        <f>IF($F368="","",$F368*chronic_consumption!AD768/1000/$C$3)</f>
        <v>#DIV/0!</v>
      </c>
      <c r="AJ768" s="1040" t="e">
        <f>IF($F368="","",$F368*chronic_consumption!AE768/1000/$C$3)</f>
        <v>#DIV/0!</v>
      </c>
      <c r="AK768" s="1040" t="e">
        <f>IF($F368="","",$F368*chronic_consumption!AF768/1000/$C$3)</f>
        <v>#DIV/0!</v>
      </c>
      <c r="AL768" s="1040" t="e">
        <f>IF($F368="","",$F368*chronic_consumption!AG768/1000/$C$3)</f>
        <v>#DIV/0!</v>
      </c>
      <c r="AM768" s="1040" t="e">
        <f>IF($F368="","",$F368*chronic_consumption!AH768/1000/$C$3)</f>
        <v>#DIV/0!</v>
      </c>
      <c r="AN768" s="1040" t="e">
        <f>IF($F368="","",$F368*chronic_consumption!AI768/1000/$C$3)</f>
        <v>#DIV/0!</v>
      </c>
      <c r="AO768" s="1040" t="e">
        <f>IF($F368="","",$F368*chronic_consumption!AJ768/1000/$C$3)</f>
        <v>#DIV/0!</v>
      </c>
      <c r="AP768" s="1040" t="e">
        <f>IF($F368="","",$F368*chronic_consumption!AK768/1000/$C$3)</f>
        <v>#DIV/0!</v>
      </c>
      <c r="AQ768" s="1040" t="e">
        <f>IF($F368="","",$F368*chronic_consumption!AL768/1000/$C$3)</f>
        <v>#DIV/0!</v>
      </c>
      <c r="AR768" s="1040" t="e">
        <f>IF($F368="","",$F368*chronic_consumption!AM768/1000/$C$3)</f>
        <v>#DIV/0!</v>
      </c>
      <c r="AS768" s="1040" t="e">
        <f>IF($F368="","",$F368*chronic_consumption!AN768/1000/$C$3)</f>
        <v>#DIV/0!</v>
      </c>
      <c r="AT768" s="1040" t="e">
        <f>IF($F368="","",$F368*chronic_consumption!AO768/1000/$C$3)</f>
        <v>#DIV/0!</v>
      </c>
      <c r="AU768" s="1040" t="e">
        <f>IF($F368="","",$F368*chronic_consumption!AP768/1000/$C$3)</f>
        <v>#DIV/0!</v>
      </c>
      <c r="AV768" s="1040" t="e">
        <f>IF($F368="","",$F368*chronic_consumption!AQ768/1000/$C$3)</f>
        <v>#DIV/0!</v>
      </c>
      <c r="AW768" s="1040" t="e">
        <f>IF($F368="","",$F368*chronic_consumption!AR768/1000/$C$3)</f>
        <v>#DIV/0!</v>
      </c>
      <c r="AX768" s="1040" t="e">
        <f>IF($F368="","",$F368*chronic_consumption!AS768/1000/$C$3)</f>
        <v>#DIV/0!</v>
      </c>
      <c r="AY768" s="1040" t="e">
        <f>IF($F368="","",$F368*chronic_consumption!AT768/1000/$C$3)</f>
        <v>#DIV/0!</v>
      </c>
      <c r="AZ768" s="44" t="s">
        <v>20</v>
      </c>
      <c r="BC768" s="29"/>
      <c r="BD768" s="29"/>
    </row>
    <row r="769" spans="1:56" ht="12" hidden="1" customHeight="1" outlineLevel="3" x14ac:dyDescent="0.2">
      <c r="A769" s="21">
        <f>acute_overview_children!A369</f>
        <v>4</v>
      </c>
      <c r="B769" s="325">
        <f t="shared" si="53"/>
        <v>1017020</v>
      </c>
      <c r="C769" s="325" t="str">
        <f t="shared" si="53"/>
        <v xml:space="preserve"> Other farmed animals: Fat tissue</v>
      </c>
      <c r="D769" s="135"/>
      <c r="E769" s="1027"/>
      <c r="F769" s="87"/>
      <c r="G769" s="1027"/>
      <c r="H769" s="1029"/>
      <c r="I769" s="1030"/>
      <c r="J769" s="1039" t="e">
        <f>IF($F369="","",$F369*chronic_consumption!E769/1000/$C$3)</f>
        <v>#DIV/0!</v>
      </c>
      <c r="K769" s="1040" t="e">
        <f>IF($F369="","",$F369*chronic_consumption!F769/1000/$C$3)</f>
        <v>#DIV/0!</v>
      </c>
      <c r="L769" s="1040" t="e">
        <f>IF($F369="","",$F369*chronic_consumption!G769/1000/$C$3)</f>
        <v>#DIV/0!</v>
      </c>
      <c r="M769" s="1040" t="e">
        <f>IF($F369="","",$F369*chronic_consumption!H769/1000/$C$3)</f>
        <v>#DIV/0!</v>
      </c>
      <c r="N769" s="1040" t="e">
        <f>IF($F369="","",$F369*chronic_consumption!I769/1000/$C$3)</f>
        <v>#DIV/0!</v>
      </c>
      <c r="O769" s="1040" t="e">
        <f>IF($F369="","",$F369*chronic_consumption!J769/1000/$C$3)</f>
        <v>#DIV/0!</v>
      </c>
      <c r="P769" s="1040" t="e">
        <f>IF($F369="","",$F369*chronic_consumption!K769/1000/$C$3)</f>
        <v>#DIV/0!</v>
      </c>
      <c r="Q769" s="1040" t="e">
        <f>IF($F369="","",$F369*chronic_consumption!L769/1000/$C$3)</f>
        <v>#DIV/0!</v>
      </c>
      <c r="R769" s="1040" t="e">
        <f>IF($F369="","",$F369*chronic_consumption!M769/1000/$C$3)</f>
        <v>#DIV/0!</v>
      </c>
      <c r="S769" s="1040" t="e">
        <f>IF($F369="","",$F369*chronic_consumption!N769/1000/$C$3)</f>
        <v>#DIV/0!</v>
      </c>
      <c r="T769" s="1040" t="e">
        <f>IF($F369="","",$F369*chronic_consumption!O769/1000/$C$3)</f>
        <v>#DIV/0!</v>
      </c>
      <c r="U769" s="1040" t="e">
        <f>IF($F369="","",$F369*chronic_consumption!P769/1000/$C$3)</f>
        <v>#DIV/0!</v>
      </c>
      <c r="V769" s="1040" t="e">
        <f>IF($F369="","",$F369*chronic_consumption!Q769/1000/$C$3)</f>
        <v>#DIV/0!</v>
      </c>
      <c r="W769" s="1040" t="e">
        <f>IF($F369="","",$F369*chronic_consumption!R769/1000/$C$3)</f>
        <v>#DIV/0!</v>
      </c>
      <c r="X769" s="1040" t="e">
        <f>IF($F369="","",$F369*chronic_consumption!S769/1000/$C$3)</f>
        <v>#DIV/0!</v>
      </c>
      <c r="Y769" s="1040" t="e">
        <f>IF($F369="","",$F369*chronic_consumption!T769/1000/$C$3)</f>
        <v>#DIV/0!</v>
      </c>
      <c r="Z769" s="1040" t="e">
        <f>IF($F369="","",$F369*chronic_consumption!U769/1000/$C$3)</f>
        <v>#DIV/0!</v>
      </c>
      <c r="AA769" s="1040" t="e">
        <f>IF($F369="","",$F369*chronic_consumption!V769/1000/$C$3)</f>
        <v>#DIV/0!</v>
      </c>
      <c r="AB769" s="1040" t="e">
        <f>IF($F369="","",$F369*chronic_consumption!W769/1000/$C$3)</f>
        <v>#DIV/0!</v>
      </c>
      <c r="AC769" s="1040" t="e">
        <f>IF($F369="","",$F369*chronic_consumption!X769/1000/$C$3)</f>
        <v>#DIV/0!</v>
      </c>
      <c r="AD769" s="1040" t="e">
        <f>IF($F369="","",$F369*chronic_consumption!Y769/1000/$C$3)</f>
        <v>#DIV/0!</v>
      </c>
      <c r="AE769" s="1040" t="e">
        <f>IF($F369="","",$F369*chronic_consumption!Z769/1000/$C$3)</f>
        <v>#DIV/0!</v>
      </c>
      <c r="AF769" s="1040" t="e">
        <f>IF($F369="","",$F369*chronic_consumption!AA769/1000/$C$3)</f>
        <v>#DIV/0!</v>
      </c>
      <c r="AG769" s="1040" t="e">
        <f>IF($F369="","",$F369*chronic_consumption!AB769/1000/$C$3)</f>
        <v>#DIV/0!</v>
      </c>
      <c r="AH769" s="1040" t="e">
        <f>IF($F369="","",$F369*chronic_consumption!AC769/1000/$C$3)</f>
        <v>#DIV/0!</v>
      </c>
      <c r="AI769" s="1040" t="e">
        <f>IF($F369="","",$F369*chronic_consumption!AD769/1000/$C$3)</f>
        <v>#DIV/0!</v>
      </c>
      <c r="AJ769" s="1040" t="e">
        <f>IF($F369="","",$F369*chronic_consumption!AE769/1000/$C$3)</f>
        <v>#DIV/0!</v>
      </c>
      <c r="AK769" s="1040" t="e">
        <f>IF($F369="","",$F369*chronic_consumption!AF769/1000/$C$3)</f>
        <v>#DIV/0!</v>
      </c>
      <c r="AL769" s="1040" t="e">
        <f>IF($F369="","",$F369*chronic_consumption!AG769/1000/$C$3)</f>
        <v>#DIV/0!</v>
      </c>
      <c r="AM769" s="1040" t="e">
        <f>IF($F369="","",$F369*chronic_consumption!AH769/1000/$C$3)</f>
        <v>#DIV/0!</v>
      </c>
      <c r="AN769" s="1040" t="e">
        <f>IF($F369="","",$F369*chronic_consumption!AI769/1000/$C$3)</f>
        <v>#DIV/0!</v>
      </c>
      <c r="AO769" s="1040" t="e">
        <f>IF($F369="","",$F369*chronic_consumption!AJ769/1000/$C$3)</f>
        <v>#DIV/0!</v>
      </c>
      <c r="AP769" s="1040" t="e">
        <f>IF($F369="","",$F369*chronic_consumption!AK769/1000/$C$3)</f>
        <v>#DIV/0!</v>
      </c>
      <c r="AQ769" s="1040" t="e">
        <f>IF($F369="","",$F369*chronic_consumption!AL769/1000/$C$3)</f>
        <v>#DIV/0!</v>
      </c>
      <c r="AR769" s="1040" t="e">
        <f>IF($F369="","",$F369*chronic_consumption!AM769/1000/$C$3)</f>
        <v>#DIV/0!</v>
      </c>
      <c r="AS769" s="1040" t="e">
        <f>IF($F369="","",$F369*chronic_consumption!AN769/1000/$C$3)</f>
        <v>#DIV/0!</v>
      </c>
      <c r="AT769" s="1040" t="e">
        <f>IF($F369="","",$F369*chronic_consumption!AO769/1000/$C$3)</f>
        <v>#DIV/0!</v>
      </c>
      <c r="AU769" s="1040" t="e">
        <f>IF($F369="","",$F369*chronic_consumption!AP769/1000/$C$3)</f>
        <v>#DIV/0!</v>
      </c>
      <c r="AV769" s="1040" t="e">
        <f>IF($F369="","",$F369*chronic_consumption!AQ769/1000/$C$3)</f>
        <v>#DIV/0!</v>
      </c>
      <c r="AW769" s="1040" t="e">
        <f>IF($F369="","",$F369*chronic_consumption!AR769/1000/$C$3)</f>
        <v>#DIV/0!</v>
      </c>
      <c r="AX769" s="1040" t="e">
        <f>IF($F369="","",$F369*chronic_consumption!AS769/1000/$C$3)</f>
        <v>#DIV/0!</v>
      </c>
      <c r="AY769" s="1040" t="e">
        <f>IF($F369="","",$F369*chronic_consumption!AT769/1000/$C$3)</f>
        <v>#DIV/0!</v>
      </c>
      <c r="AZ769" s="44" t="s">
        <v>20</v>
      </c>
      <c r="BC769" s="29"/>
      <c r="BD769" s="29"/>
    </row>
    <row r="770" spans="1:56" ht="12" hidden="1" customHeight="1" outlineLevel="3" x14ac:dyDescent="0.2">
      <c r="A770" s="21">
        <f>acute_overview_children!A370</f>
        <v>4</v>
      </c>
      <c r="B770" s="325">
        <f t="shared" si="53"/>
        <v>1017030</v>
      </c>
      <c r="C770" s="325" t="str">
        <f t="shared" si="53"/>
        <v xml:space="preserve"> Other farmed animals: Liver</v>
      </c>
      <c r="D770" s="135"/>
      <c r="E770" s="1027"/>
      <c r="F770" s="87"/>
      <c r="G770" s="1027"/>
      <c r="H770" s="1029"/>
      <c r="I770" s="1030"/>
      <c r="J770" s="1039" t="e">
        <f>IF($F370="","",$F370*chronic_consumption!E770/1000/$C$3)</f>
        <v>#DIV/0!</v>
      </c>
      <c r="K770" s="1040" t="e">
        <f>IF($F370="","",$F370*chronic_consumption!F770/1000/$C$3)</f>
        <v>#DIV/0!</v>
      </c>
      <c r="L770" s="1040" t="e">
        <f>IF($F370="","",$F370*chronic_consumption!G770/1000/$C$3)</f>
        <v>#DIV/0!</v>
      </c>
      <c r="M770" s="1040" t="e">
        <f>IF($F370="","",$F370*chronic_consumption!H770/1000/$C$3)</f>
        <v>#DIV/0!</v>
      </c>
      <c r="N770" s="1040" t="e">
        <f>IF($F370="","",$F370*chronic_consumption!I770/1000/$C$3)</f>
        <v>#DIV/0!</v>
      </c>
      <c r="O770" s="1040" t="e">
        <f>IF($F370="","",$F370*chronic_consumption!J770/1000/$C$3)</f>
        <v>#DIV/0!</v>
      </c>
      <c r="P770" s="1040" t="e">
        <f>IF($F370="","",$F370*chronic_consumption!K770/1000/$C$3)</f>
        <v>#DIV/0!</v>
      </c>
      <c r="Q770" s="1040" t="e">
        <f>IF($F370="","",$F370*chronic_consumption!L770/1000/$C$3)</f>
        <v>#DIV/0!</v>
      </c>
      <c r="R770" s="1040" t="e">
        <f>IF($F370="","",$F370*chronic_consumption!M770/1000/$C$3)</f>
        <v>#DIV/0!</v>
      </c>
      <c r="S770" s="1040" t="e">
        <f>IF($F370="","",$F370*chronic_consumption!N770/1000/$C$3)</f>
        <v>#DIV/0!</v>
      </c>
      <c r="T770" s="1040" t="e">
        <f>IF($F370="","",$F370*chronic_consumption!O770/1000/$C$3)</f>
        <v>#DIV/0!</v>
      </c>
      <c r="U770" s="1040" t="e">
        <f>IF($F370="","",$F370*chronic_consumption!P770/1000/$C$3)</f>
        <v>#DIV/0!</v>
      </c>
      <c r="V770" s="1040" t="e">
        <f>IF($F370="","",$F370*chronic_consumption!Q770/1000/$C$3)</f>
        <v>#DIV/0!</v>
      </c>
      <c r="W770" s="1040" t="e">
        <f>IF($F370="","",$F370*chronic_consumption!R770/1000/$C$3)</f>
        <v>#DIV/0!</v>
      </c>
      <c r="X770" s="1040" t="e">
        <f>IF($F370="","",$F370*chronic_consumption!S770/1000/$C$3)</f>
        <v>#DIV/0!</v>
      </c>
      <c r="Y770" s="1040" t="e">
        <f>IF($F370="","",$F370*chronic_consumption!T770/1000/$C$3)</f>
        <v>#DIV/0!</v>
      </c>
      <c r="Z770" s="1040" t="e">
        <f>IF($F370="","",$F370*chronic_consumption!U770/1000/$C$3)</f>
        <v>#DIV/0!</v>
      </c>
      <c r="AA770" s="1040" t="e">
        <f>IF($F370="","",$F370*chronic_consumption!V770/1000/$C$3)</f>
        <v>#DIV/0!</v>
      </c>
      <c r="AB770" s="1040" t="e">
        <f>IF($F370="","",$F370*chronic_consumption!W770/1000/$C$3)</f>
        <v>#DIV/0!</v>
      </c>
      <c r="AC770" s="1040" t="e">
        <f>IF($F370="","",$F370*chronic_consumption!X770/1000/$C$3)</f>
        <v>#DIV/0!</v>
      </c>
      <c r="AD770" s="1040" t="e">
        <f>IF($F370="","",$F370*chronic_consumption!Y770/1000/$C$3)</f>
        <v>#DIV/0!</v>
      </c>
      <c r="AE770" s="1040" t="e">
        <f>IF($F370="","",$F370*chronic_consumption!Z770/1000/$C$3)</f>
        <v>#DIV/0!</v>
      </c>
      <c r="AF770" s="1040" t="e">
        <f>IF($F370="","",$F370*chronic_consumption!AA770/1000/$C$3)</f>
        <v>#DIV/0!</v>
      </c>
      <c r="AG770" s="1040" t="e">
        <f>IF($F370="","",$F370*chronic_consumption!AB770/1000/$C$3)</f>
        <v>#DIV/0!</v>
      </c>
      <c r="AH770" s="1040" t="e">
        <f>IF($F370="","",$F370*chronic_consumption!AC770/1000/$C$3)</f>
        <v>#DIV/0!</v>
      </c>
      <c r="AI770" s="1040" t="e">
        <f>IF($F370="","",$F370*chronic_consumption!AD770/1000/$C$3)</f>
        <v>#DIV/0!</v>
      </c>
      <c r="AJ770" s="1040" t="e">
        <f>IF($F370="","",$F370*chronic_consumption!AE770/1000/$C$3)</f>
        <v>#DIV/0!</v>
      </c>
      <c r="AK770" s="1040" t="e">
        <f>IF($F370="","",$F370*chronic_consumption!AF770/1000/$C$3)</f>
        <v>#DIV/0!</v>
      </c>
      <c r="AL770" s="1040" t="e">
        <f>IF($F370="","",$F370*chronic_consumption!AG770/1000/$C$3)</f>
        <v>#DIV/0!</v>
      </c>
      <c r="AM770" s="1040" t="e">
        <f>IF($F370="","",$F370*chronic_consumption!AH770/1000/$C$3)</f>
        <v>#DIV/0!</v>
      </c>
      <c r="AN770" s="1040" t="e">
        <f>IF($F370="","",$F370*chronic_consumption!AI770/1000/$C$3)</f>
        <v>#DIV/0!</v>
      </c>
      <c r="AO770" s="1040" t="e">
        <f>IF($F370="","",$F370*chronic_consumption!AJ770/1000/$C$3)</f>
        <v>#DIV/0!</v>
      </c>
      <c r="AP770" s="1040" t="e">
        <f>IF($F370="","",$F370*chronic_consumption!AK770/1000/$C$3)</f>
        <v>#DIV/0!</v>
      </c>
      <c r="AQ770" s="1040" t="e">
        <f>IF($F370="","",$F370*chronic_consumption!AL770/1000/$C$3)</f>
        <v>#DIV/0!</v>
      </c>
      <c r="AR770" s="1040" t="e">
        <f>IF($F370="","",$F370*chronic_consumption!AM770/1000/$C$3)</f>
        <v>#DIV/0!</v>
      </c>
      <c r="AS770" s="1040" t="e">
        <f>IF($F370="","",$F370*chronic_consumption!AN770/1000/$C$3)</f>
        <v>#DIV/0!</v>
      </c>
      <c r="AT770" s="1040" t="e">
        <f>IF($F370="","",$F370*chronic_consumption!AO770/1000/$C$3)</f>
        <v>#DIV/0!</v>
      </c>
      <c r="AU770" s="1040" t="e">
        <f>IF($F370="","",$F370*chronic_consumption!AP770/1000/$C$3)</f>
        <v>#DIV/0!</v>
      </c>
      <c r="AV770" s="1040" t="e">
        <f>IF($F370="","",$F370*chronic_consumption!AQ770/1000/$C$3)</f>
        <v>#DIV/0!</v>
      </c>
      <c r="AW770" s="1040" t="e">
        <f>IF($F370="","",$F370*chronic_consumption!AR770/1000/$C$3)</f>
        <v>#DIV/0!</v>
      </c>
      <c r="AX770" s="1040" t="e">
        <f>IF($F370="","",$F370*chronic_consumption!AS770/1000/$C$3)</f>
        <v>#DIV/0!</v>
      </c>
      <c r="AY770" s="1040" t="e">
        <f>IF($F370="","",$F370*chronic_consumption!AT770/1000/$C$3)</f>
        <v>#DIV/0!</v>
      </c>
      <c r="AZ770" s="44" t="s">
        <v>20</v>
      </c>
      <c r="BC770" s="29"/>
      <c r="BD770" s="29"/>
    </row>
    <row r="771" spans="1:56" ht="12" hidden="1" customHeight="1" outlineLevel="3" x14ac:dyDescent="0.2">
      <c r="A771" s="21">
        <f>acute_overview_children!A371</f>
        <v>4</v>
      </c>
      <c r="B771" s="325">
        <f t="shared" si="53"/>
        <v>1017040</v>
      </c>
      <c r="C771" s="325" t="str">
        <f t="shared" si="53"/>
        <v xml:space="preserve"> Other farmed animals: Kidney</v>
      </c>
      <c r="D771" s="135"/>
      <c r="E771" s="1027"/>
      <c r="F771" s="87"/>
      <c r="G771" s="1027"/>
      <c r="H771" s="1029"/>
      <c r="I771" s="1030"/>
      <c r="J771" s="1039" t="e">
        <f>IF($F371="","",$F371*chronic_consumption!E771/1000/$C$3)</f>
        <v>#DIV/0!</v>
      </c>
      <c r="K771" s="1040" t="e">
        <f>IF($F371="","",$F371*chronic_consumption!F771/1000/$C$3)</f>
        <v>#DIV/0!</v>
      </c>
      <c r="L771" s="1040" t="e">
        <f>IF($F371="","",$F371*chronic_consumption!G771/1000/$C$3)</f>
        <v>#DIV/0!</v>
      </c>
      <c r="M771" s="1040" t="e">
        <f>IF($F371="","",$F371*chronic_consumption!H771/1000/$C$3)</f>
        <v>#DIV/0!</v>
      </c>
      <c r="N771" s="1040" t="e">
        <f>IF($F371="","",$F371*chronic_consumption!I771/1000/$C$3)</f>
        <v>#DIV/0!</v>
      </c>
      <c r="O771" s="1040" t="e">
        <f>IF($F371="","",$F371*chronic_consumption!J771/1000/$C$3)</f>
        <v>#DIV/0!</v>
      </c>
      <c r="P771" s="1040" t="e">
        <f>IF($F371="","",$F371*chronic_consumption!K771/1000/$C$3)</f>
        <v>#DIV/0!</v>
      </c>
      <c r="Q771" s="1040" t="e">
        <f>IF($F371="","",$F371*chronic_consumption!L771/1000/$C$3)</f>
        <v>#DIV/0!</v>
      </c>
      <c r="R771" s="1040" t="e">
        <f>IF($F371="","",$F371*chronic_consumption!M771/1000/$C$3)</f>
        <v>#DIV/0!</v>
      </c>
      <c r="S771" s="1040" t="e">
        <f>IF($F371="","",$F371*chronic_consumption!N771/1000/$C$3)</f>
        <v>#DIV/0!</v>
      </c>
      <c r="T771" s="1040" t="e">
        <f>IF($F371="","",$F371*chronic_consumption!O771/1000/$C$3)</f>
        <v>#DIV/0!</v>
      </c>
      <c r="U771" s="1040" t="e">
        <f>IF($F371="","",$F371*chronic_consumption!P771/1000/$C$3)</f>
        <v>#DIV/0!</v>
      </c>
      <c r="V771" s="1040" t="e">
        <f>IF($F371="","",$F371*chronic_consumption!Q771/1000/$C$3)</f>
        <v>#DIV/0!</v>
      </c>
      <c r="W771" s="1040" t="e">
        <f>IF($F371="","",$F371*chronic_consumption!R771/1000/$C$3)</f>
        <v>#DIV/0!</v>
      </c>
      <c r="X771" s="1040" t="e">
        <f>IF($F371="","",$F371*chronic_consumption!S771/1000/$C$3)</f>
        <v>#DIV/0!</v>
      </c>
      <c r="Y771" s="1040" t="e">
        <f>IF($F371="","",$F371*chronic_consumption!T771/1000/$C$3)</f>
        <v>#DIV/0!</v>
      </c>
      <c r="Z771" s="1040" t="e">
        <f>IF($F371="","",$F371*chronic_consumption!U771/1000/$C$3)</f>
        <v>#DIV/0!</v>
      </c>
      <c r="AA771" s="1040" t="e">
        <f>IF($F371="","",$F371*chronic_consumption!V771/1000/$C$3)</f>
        <v>#DIV/0!</v>
      </c>
      <c r="AB771" s="1040" t="e">
        <f>IF($F371="","",$F371*chronic_consumption!W771/1000/$C$3)</f>
        <v>#DIV/0!</v>
      </c>
      <c r="AC771" s="1040" t="e">
        <f>IF($F371="","",$F371*chronic_consumption!X771/1000/$C$3)</f>
        <v>#DIV/0!</v>
      </c>
      <c r="AD771" s="1040" t="e">
        <f>IF($F371="","",$F371*chronic_consumption!Y771/1000/$C$3)</f>
        <v>#DIV/0!</v>
      </c>
      <c r="AE771" s="1040" t="e">
        <f>IF($F371="","",$F371*chronic_consumption!Z771/1000/$C$3)</f>
        <v>#DIV/0!</v>
      </c>
      <c r="AF771" s="1040" t="e">
        <f>IF($F371="","",$F371*chronic_consumption!AA771/1000/$C$3)</f>
        <v>#DIV/0!</v>
      </c>
      <c r="AG771" s="1040" t="e">
        <f>IF($F371="","",$F371*chronic_consumption!AB771/1000/$C$3)</f>
        <v>#DIV/0!</v>
      </c>
      <c r="AH771" s="1040" t="e">
        <f>IF($F371="","",$F371*chronic_consumption!AC771/1000/$C$3)</f>
        <v>#DIV/0!</v>
      </c>
      <c r="AI771" s="1040" t="e">
        <f>IF($F371="","",$F371*chronic_consumption!AD771/1000/$C$3)</f>
        <v>#DIV/0!</v>
      </c>
      <c r="AJ771" s="1040" t="e">
        <f>IF($F371="","",$F371*chronic_consumption!AE771/1000/$C$3)</f>
        <v>#DIV/0!</v>
      </c>
      <c r="AK771" s="1040" t="e">
        <f>IF($F371="","",$F371*chronic_consumption!AF771/1000/$C$3)</f>
        <v>#DIV/0!</v>
      </c>
      <c r="AL771" s="1040" t="e">
        <f>IF($F371="","",$F371*chronic_consumption!AG771/1000/$C$3)</f>
        <v>#DIV/0!</v>
      </c>
      <c r="AM771" s="1040" t="e">
        <f>IF($F371="","",$F371*chronic_consumption!AH771/1000/$C$3)</f>
        <v>#DIV/0!</v>
      </c>
      <c r="AN771" s="1040" t="e">
        <f>IF($F371="","",$F371*chronic_consumption!AI771/1000/$C$3)</f>
        <v>#DIV/0!</v>
      </c>
      <c r="AO771" s="1040" t="e">
        <f>IF($F371="","",$F371*chronic_consumption!AJ771/1000/$C$3)</f>
        <v>#DIV/0!</v>
      </c>
      <c r="AP771" s="1040" t="e">
        <f>IF($F371="","",$F371*chronic_consumption!AK771/1000/$C$3)</f>
        <v>#DIV/0!</v>
      </c>
      <c r="AQ771" s="1040" t="e">
        <f>IF($F371="","",$F371*chronic_consumption!AL771/1000/$C$3)</f>
        <v>#DIV/0!</v>
      </c>
      <c r="AR771" s="1040" t="e">
        <f>IF($F371="","",$F371*chronic_consumption!AM771/1000/$C$3)</f>
        <v>#DIV/0!</v>
      </c>
      <c r="AS771" s="1040" t="e">
        <f>IF($F371="","",$F371*chronic_consumption!AN771/1000/$C$3)</f>
        <v>#DIV/0!</v>
      </c>
      <c r="AT771" s="1040" t="e">
        <f>IF($F371="","",$F371*chronic_consumption!AO771/1000/$C$3)</f>
        <v>#DIV/0!</v>
      </c>
      <c r="AU771" s="1040" t="e">
        <f>IF($F371="","",$F371*chronic_consumption!AP771/1000/$C$3)</f>
        <v>#DIV/0!</v>
      </c>
      <c r="AV771" s="1040" t="e">
        <f>IF($F371="","",$F371*chronic_consumption!AQ771/1000/$C$3)</f>
        <v>#DIV/0!</v>
      </c>
      <c r="AW771" s="1040" t="e">
        <f>IF($F371="","",$F371*chronic_consumption!AR771/1000/$C$3)</f>
        <v>#DIV/0!</v>
      </c>
      <c r="AX771" s="1040" t="e">
        <f>IF($F371="","",$F371*chronic_consumption!AS771/1000/$C$3)</f>
        <v>#DIV/0!</v>
      </c>
      <c r="AY771" s="1040" t="e">
        <f>IF($F371="","",$F371*chronic_consumption!AT771/1000/$C$3)</f>
        <v>#DIV/0!</v>
      </c>
      <c r="AZ771" s="44" t="s">
        <v>20</v>
      </c>
      <c r="BC771" s="29"/>
      <c r="BD771" s="29"/>
    </row>
    <row r="772" spans="1:56" ht="12" hidden="1" customHeight="1" outlineLevel="3" x14ac:dyDescent="0.2">
      <c r="A772" s="21">
        <f>acute_overview_children!A372</f>
        <v>4</v>
      </c>
      <c r="B772" s="325">
        <f t="shared" ref="B772:C791" si="54">B372</f>
        <v>1017050</v>
      </c>
      <c r="C772" s="325" t="str">
        <f t="shared" si="54"/>
        <v xml:space="preserve"> Other farmed animals: Edible offals (other than liver and kidney)</v>
      </c>
      <c r="D772" s="135"/>
      <c r="E772" s="1027"/>
      <c r="F772" s="87"/>
      <c r="G772" s="1027"/>
      <c r="H772" s="1029"/>
      <c r="I772" s="1030"/>
      <c r="J772" s="1039" t="e">
        <f>IF($F372="","",$F372*chronic_consumption!E772/1000/$C$3)</f>
        <v>#DIV/0!</v>
      </c>
      <c r="K772" s="1040" t="e">
        <f>IF($F372="","",$F372*chronic_consumption!F772/1000/$C$3)</f>
        <v>#DIV/0!</v>
      </c>
      <c r="L772" s="1040" t="e">
        <f>IF($F372="","",$F372*chronic_consumption!G772/1000/$C$3)</f>
        <v>#DIV/0!</v>
      </c>
      <c r="M772" s="1040" t="e">
        <f>IF($F372="","",$F372*chronic_consumption!H772/1000/$C$3)</f>
        <v>#DIV/0!</v>
      </c>
      <c r="N772" s="1040" t="e">
        <f>IF($F372="","",$F372*chronic_consumption!I772/1000/$C$3)</f>
        <v>#DIV/0!</v>
      </c>
      <c r="O772" s="1040" t="e">
        <f>IF($F372="","",$F372*chronic_consumption!J772/1000/$C$3)</f>
        <v>#DIV/0!</v>
      </c>
      <c r="P772" s="1040" t="e">
        <f>IF($F372="","",$F372*chronic_consumption!K772/1000/$C$3)</f>
        <v>#DIV/0!</v>
      </c>
      <c r="Q772" s="1040" t="e">
        <f>IF($F372="","",$F372*chronic_consumption!L772/1000/$C$3)</f>
        <v>#DIV/0!</v>
      </c>
      <c r="R772" s="1040" t="e">
        <f>IF($F372="","",$F372*chronic_consumption!M772/1000/$C$3)</f>
        <v>#DIV/0!</v>
      </c>
      <c r="S772" s="1040" t="e">
        <f>IF($F372="","",$F372*chronic_consumption!N772/1000/$C$3)</f>
        <v>#DIV/0!</v>
      </c>
      <c r="T772" s="1040" t="e">
        <f>IF($F372="","",$F372*chronic_consumption!O772/1000/$C$3)</f>
        <v>#DIV/0!</v>
      </c>
      <c r="U772" s="1040" t="e">
        <f>IF($F372="","",$F372*chronic_consumption!P772/1000/$C$3)</f>
        <v>#DIV/0!</v>
      </c>
      <c r="V772" s="1040" t="e">
        <f>IF($F372="","",$F372*chronic_consumption!Q772/1000/$C$3)</f>
        <v>#DIV/0!</v>
      </c>
      <c r="W772" s="1040" t="e">
        <f>IF($F372="","",$F372*chronic_consumption!R772/1000/$C$3)</f>
        <v>#DIV/0!</v>
      </c>
      <c r="X772" s="1040" t="e">
        <f>IF($F372="","",$F372*chronic_consumption!S772/1000/$C$3)</f>
        <v>#DIV/0!</v>
      </c>
      <c r="Y772" s="1040" t="e">
        <f>IF($F372="","",$F372*chronic_consumption!T772/1000/$C$3)</f>
        <v>#DIV/0!</v>
      </c>
      <c r="Z772" s="1040" t="e">
        <f>IF($F372="","",$F372*chronic_consumption!U772/1000/$C$3)</f>
        <v>#DIV/0!</v>
      </c>
      <c r="AA772" s="1040" t="e">
        <f>IF($F372="","",$F372*chronic_consumption!V772/1000/$C$3)</f>
        <v>#DIV/0!</v>
      </c>
      <c r="AB772" s="1040" t="e">
        <f>IF($F372="","",$F372*chronic_consumption!W772/1000/$C$3)</f>
        <v>#DIV/0!</v>
      </c>
      <c r="AC772" s="1040" t="e">
        <f>IF($F372="","",$F372*chronic_consumption!X772/1000/$C$3)</f>
        <v>#DIV/0!</v>
      </c>
      <c r="AD772" s="1040" t="e">
        <f>IF($F372="","",$F372*chronic_consumption!Y772/1000/$C$3)</f>
        <v>#DIV/0!</v>
      </c>
      <c r="AE772" s="1040" t="e">
        <f>IF($F372="","",$F372*chronic_consumption!Z772/1000/$C$3)</f>
        <v>#DIV/0!</v>
      </c>
      <c r="AF772" s="1040" t="e">
        <f>IF($F372="","",$F372*chronic_consumption!AA772/1000/$C$3)</f>
        <v>#DIV/0!</v>
      </c>
      <c r="AG772" s="1040" t="e">
        <f>IF($F372="","",$F372*chronic_consumption!AB772/1000/$C$3)</f>
        <v>#DIV/0!</v>
      </c>
      <c r="AH772" s="1040" t="e">
        <f>IF($F372="","",$F372*chronic_consumption!AC772/1000/$C$3)</f>
        <v>#DIV/0!</v>
      </c>
      <c r="AI772" s="1040" t="e">
        <f>IF($F372="","",$F372*chronic_consumption!AD772/1000/$C$3)</f>
        <v>#DIV/0!</v>
      </c>
      <c r="AJ772" s="1040" t="e">
        <f>IF($F372="","",$F372*chronic_consumption!AE772/1000/$C$3)</f>
        <v>#DIV/0!</v>
      </c>
      <c r="AK772" s="1040" t="e">
        <f>IF($F372="","",$F372*chronic_consumption!AF772/1000/$C$3)</f>
        <v>#DIV/0!</v>
      </c>
      <c r="AL772" s="1040" t="e">
        <f>IF($F372="","",$F372*chronic_consumption!AG772/1000/$C$3)</f>
        <v>#DIV/0!</v>
      </c>
      <c r="AM772" s="1040" t="e">
        <f>IF($F372="","",$F372*chronic_consumption!AH772/1000/$C$3)</f>
        <v>#DIV/0!</v>
      </c>
      <c r="AN772" s="1040" t="e">
        <f>IF($F372="","",$F372*chronic_consumption!AI772/1000/$C$3)</f>
        <v>#DIV/0!</v>
      </c>
      <c r="AO772" s="1040" t="e">
        <f>IF($F372="","",$F372*chronic_consumption!AJ772/1000/$C$3)</f>
        <v>#DIV/0!</v>
      </c>
      <c r="AP772" s="1040" t="e">
        <f>IF($F372="","",$F372*chronic_consumption!AK772/1000/$C$3)</f>
        <v>#DIV/0!</v>
      </c>
      <c r="AQ772" s="1040" t="e">
        <f>IF($F372="","",$F372*chronic_consumption!AL772/1000/$C$3)</f>
        <v>#DIV/0!</v>
      </c>
      <c r="AR772" s="1040" t="e">
        <f>IF($F372="","",$F372*chronic_consumption!AM772/1000/$C$3)</f>
        <v>#DIV/0!</v>
      </c>
      <c r="AS772" s="1040" t="e">
        <f>IF($F372="","",$F372*chronic_consumption!AN772/1000/$C$3)</f>
        <v>#DIV/0!</v>
      </c>
      <c r="AT772" s="1040" t="e">
        <f>IF($F372="","",$F372*chronic_consumption!AO772/1000/$C$3)</f>
        <v>#DIV/0!</v>
      </c>
      <c r="AU772" s="1040" t="e">
        <f>IF($F372="","",$F372*chronic_consumption!AP772/1000/$C$3)</f>
        <v>#DIV/0!</v>
      </c>
      <c r="AV772" s="1040" t="e">
        <f>IF($F372="","",$F372*chronic_consumption!AQ772/1000/$C$3)</f>
        <v>#DIV/0!</v>
      </c>
      <c r="AW772" s="1040" t="e">
        <f>IF($F372="","",$F372*chronic_consumption!AR772/1000/$C$3)</f>
        <v>#DIV/0!</v>
      </c>
      <c r="AX772" s="1040" t="e">
        <f>IF($F372="","",$F372*chronic_consumption!AS772/1000/$C$3)</f>
        <v>#DIV/0!</v>
      </c>
      <c r="AY772" s="1040" t="e">
        <f>IF($F372="","",$F372*chronic_consumption!AT772/1000/$C$3)</f>
        <v>#DIV/0!</v>
      </c>
      <c r="AZ772" s="44" t="s">
        <v>20</v>
      </c>
      <c r="BC772" s="29"/>
      <c r="BD772" s="29"/>
    </row>
    <row r="773" spans="1:56" ht="12" hidden="1" customHeight="1" outlineLevel="3" x14ac:dyDescent="0.2">
      <c r="A773" s="21">
        <f>acute_overview_children!A373</f>
        <v>4</v>
      </c>
      <c r="B773" s="325">
        <f t="shared" si="54"/>
        <v>1017990</v>
      </c>
      <c r="C773" s="325" t="str">
        <f t="shared" si="54"/>
        <v>Other farmed animals: Other products</v>
      </c>
      <c r="D773" s="135"/>
      <c r="E773" s="1027"/>
      <c r="F773" s="87"/>
      <c r="G773" s="1027"/>
      <c r="H773" s="1029"/>
      <c r="I773" s="1030"/>
      <c r="J773" s="1039" t="e">
        <f>IF($F373="","",$F373*chronic_consumption!E773/1000/$C$3)</f>
        <v>#DIV/0!</v>
      </c>
      <c r="K773" s="1040" t="e">
        <f>IF($F373="","",$F373*chronic_consumption!F773/1000/$C$3)</f>
        <v>#DIV/0!</v>
      </c>
      <c r="L773" s="1040" t="e">
        <f>IF($F373="","",$F373*chronic_consumption!G773/1000/$C$3)</f>
        <v>#DIV/0!</v>
      </c>
      <c r="M773" s="1040" t="e">
        <f>IF($F373="","",$F373*chronic_consumption!H773/1000/$C$3)</f>
        <v>#DIV/0!</v>
      </c>
      <c r="N773" s="1040" t="e">
        <f>IF($F373="","",$F373*chronic_consumption!I773/1000/$C$3)</f>
        <v>#DIV/0!</v>
      </c>
      <c r="O773" s="1040" t="e">
        <f>IF($F373="","",$F373*chronic_consumption!J773/1000/$C$3)</f>
        <v>#DIV/0!</v>
      </c>
      <c r="P773" s="1040" t="e">
        <f>IF($F373="","",$F373*chronic_consumption!K773/1000/$C$3)</f>
        <v>#DIV/0!</v>
      </c>
      <c r="Q773" s="1040" t="e">
        <f>IF($F373="","",$F373*chronic_consumption!L773/1000/$C$3)</f>
        <v>#DIV/0!</v>
      </c>
      <c r="R773" s="1040" t="e">
        <f>IF($F373="","",$F373*chronic_consumption!M773/1000/$C$3)</f>
        <v>#DIV/0!</v>
      </c>
      <c r="S773" s="1040" t="e">
        <f>IF($F373="","",$F373*chronic_consumption!N773/1000/$C$3)</f>
        <v>#DIV/0!</v>
      </c>
      <c r="T773" s="1040" t="e">
        <f>IF($F373="","",$F373*chronic_consumption!O773/1000/$C$3)</f>
        <v>#DIV/0!</v>
      </c>
      <c r="U773" s="1040" t="e">
        <f>IF($F373="","",$F373*chronic_consumption!P773/1000/$C$3)</f>
        <v>#DIV/0!</v>
      </c>
      <c r="V773" s="1040" t="e">
        <f>IF($F373="","",$F373*chronic_consumption!Q773/1000/$C$3)</f>
        <v>#DIV/0!</v>
      </c>
      <c r="W773" s="1040" t="e">
        <f>IF($F373="","",$F373*chronic_consumption!R773/1000/$C$3)</f>
        <v>#DIV/0!</v>
      </c>
      <c r="X773" s="1040" t="e">
        <f>IF($F373="","",$F373*chronic_consumption!S773/1000/$C$3)</f>
        <v>#DIV/0!</v>
      </c>
      <c r="Y773" s="1040" t="e">
        <f>IF($F373="","",$F373*chronic_consumption!T773/1000/$C$3)</f>
        <v>#DIV/0!</v>
      </c>
      <c r="Z773" s="1040" t="e">
        <f>IF($F373="","",$F373*chronic_consumption!U773/1000/$C$3)</f>
        <v>#DIV/0!</v>
      </c>
      <c r="AA773" s="1040" t="e">
        <f>IF($F373="","",$F373*chronic_consumption!V773/1000/$C$3)</f>
        <v>#DIV/0!</v>
      </c>
      <c r="AB773" s="1040" t="e">
        <f>IF($F373="","",$F373*chronic_consumption!W773/1000/$C$3)</f>
        <v>#DIV/0!</v>
      </c>
      <c r="AC773" s="1040" t="e">
        <f>IF($F373="","",$F373*chronic_consumption!X773/1000/$C$3)</f>
        <v>#DIV/0!</v>
      </c>
      <c r="AD773" s="1040" t="e">
        <f>IF($F373="","",$F373*chronic_consumption!Y773/1000/$C$3)</f>
        <v>#DIV/0!</v>
      </c>
      <c r="AE773" s="1040" t="e">
        <f>IF($F373="","",$F373*chronic_consumption!Z773/1000/$C$3)</f>
        <v>#DIV/0!</v>
      </c>
      <c r="AF773" s="1040" t="e">
        <f>IF($F373="","",$F373*chronic_consumption!AA773/1000/$C$3)</f>
        <v>#DIV/0!</v>
      </c>
      <c r="AG773" s="1040" t="e">
        <f>IF($F373="","",$F373*chronic_consumption!AB773/1000/$C$3)</f>
        <v>#DIV/0!</v>
      </c>
      <c r="AH773" s="1040" t="e">
        <f>IF($F373="","",$F373*chronic_consumption!AC773/1000/$C$3)</f>
        <v>#DIV/0!</v>
      </c>
      <c r="AI773" s="1040" t="e">
        <f>IF($F373="","",$F373*chronic_consumption!AD773/1000/$C$3)</f>
        <v>#DIV/0!</v>
      </c>
      <c r="AJ773" s="1040" t="e">
        <f>IF($F373="","",$F373*chronic_consumption!AE773/1000/$C$3)</f>
        <v>#DIV/0!</v>
      </c>
      <c r="AK773" s="1040" t="e">
        <f>IF($F373="","",$F373*chronic_consumption!AF773/1000/$C$3)</f>
        <v>#DIV/0!</v>
      </c>
      <c r="AL773" s="1040" t="e">
        <f>IF($F373="","",$F373*chronic_consumption!AG773/1000/$C$3)</f>
        <v>#DIV/0!</v>
      </c>
      <c r="AM773" s="1040" t="e">
        <f>IF($F373="","",$F373*chronic_consumption!AH773/1000/$C$3)</f>
        <v>#DIV/0!</v>
      </c>
      <c r="AN773" s="1040" t="e">
        <f>IF($F373="","",$F373*chronic_consumption!AI773/1000/$C$3)</f>
        <v>#DIV/0!</v>
      </c>
      <c r="AO773" s="1040" t="e">
        <f>IF($F373="","",$F373*chronic_consumption!AJ773/1000/$C$3)</f>
        <v>#DIV/0!</v>
      </c>
      <c r="AP773" s="1040" t="e">
        <f>IF($F373="","",$F373*chronic_consumption!AK773/1000/$C$3)</f>
        <v>#DIV/0!</v>
      </c>
      <c r="AQ773" s="1040" t="e">
        <f>IF($F373="","",$F373*chronic_consumption!AL773/1000/$C$3)</f>
        <v>#DIV/0!</v>
      </c>
      <c r="AR773" s="1040" t="e">
        <f>IF($F373="","",$F373*chronic_consumption!AM773/1000/$C$3)</f>
        <v>#DIV/0!</v>
      </c>
      <c r="AS773" s="1040" t="e">
        <f>IF($F373="","",$F373*chronic_consumption!AN773/1000/$C$3)</f>
        <v>#DIV/0!</v>
      </c>
      <c r="AT773" s="1040" t="e">
        <f>IF($F373="","",$F373*chronic_consumption!AO773/1000/$C$3)</f>
        <v>#DIV/0!</v>
      </c>
      <c r="AU773" s="1040" t="e">
        <f>IF($F373="","",$F373*chronic_consumption!AP773/1000/$C$3)</f>
        <v>#DIV/0!</v>
      </c>
      <c r="AV773" s="1040" t="e">
        <f>IF($F373="","",$F373*chronic_consumption!AQ773/1000/$C$3)</f>
        <v>#DIV/0!</v>
      </c>
      <c r="AW773" s="1040" t="e">
        <f>IF($F373="","",$F373*chronic_consumption!AR773/1000/$C$3)</f>
        <v>#DIV/0!</v>
      </c>
      <c r="AX773" s="1040" t="e">
        <f>IF($F373="","",$F373*chronic_consumption!AS773/1000/$C$3)</f>
        <v>#DIV/0!</v>
      </c>
      <c r="AY773" s="1040" t="e">
        <f>IF($F373="","",$F373*chronic_consumption!AT773/1000/$C$3)</f>
        <v>#DIV/0!</v>
      </c>
      <c r="AZ773" s="44" t="s">
        <v>20</v>
      </c>
      <c r="BC773" s="29"/>
      <c r="BD773" s="29"/>
    </row>
    <row r="774" spans="1:56" ht="12" hidden="1" customHeight="1" outlineLevel="1" x14ac:dyDescent="0.2">
      <c r="A774" s="1033">
        <f>acute_overview_children!A374</f>
        <v>2</v>
      </c>
      <c r="B774" s="1034">
        <f t="shared" si="54"/>
        <v>1020000</v>
      </c>
      <c r="C774" s="1034" t="str">
        <f t="shared" si="54"/>
        <v>Milk</v>
      </c>
      <c r="D774" s="1035"/>
      <c r="E774" s="1027"/>
      <c r="F774" s="87"/>
      <c r="G774" s="1027"/>
      <c r="H774" s="1029"/>
      <c r="I774" s="1030"/>
      <c r="J774" s="1037" t="e">
        <f>IF($F374="","",$F374*chronic_consumption!E774/1000/$C$3)</f>
        <v>#DIV/0!</v>
      </c>
      <c r="K774" s="1038" t="e">
        <f>IF($F374="","",$F374*chronic_consumption!F774/1000/$C$3)</f>
        <v>#DIV/0!</v>
      </c>
      <c r="L774" s="1038" t="e">
        <f>IF($F374="","",$F374*chronic_consumption!G774/1000/$C$3)</f>
        <v>#DIV/0!</v>
      </c>
      <c r="M774" s="1038" t="e">
        <f>IF($F374="","",$F374*chronic_consumption!H774/1000/$C$3)</f>
        <v>#DIV/0!</v>
      </c>
      <c r="N774" s="1038" t="e">
        <f>IF($F374="","",$F374*chronic_consumption!I774/1000/$C$3)</f>
        <v>#DIV/0!</v>
      </c>
      <c r="O774" s="1038" t="e">
        <f>IF($F374="","",$F374*chronic_consumption!J774/1000/$C$3)</f>
        <v>#DIV/0!</v>
      </c>
      <c r="P774" s="1038" t="e">
        <f>IF($F374="","",$F374*chronic_consumption!K774/1000/$C$3)</f>
        <v>#DIV/0!</v>
      </c>
      <c r="Q774" s="1038" t="e">
        <f>IF($F374="","",$F374*chronic_consumption!L774/1000/$C$3)</f>
        <v>#DIV/0!</v>
      </c>
      <c r="R774" s="1038" t="e">
        <f>IF($F374="","",$F374*chronic_consumption!M774/1000/$C$3)</f>
        <v>#DIV/0!</v>
      </c>
      <c r="S774" s="1038" t="e">
        <f>IF($F374="","",$F374*chronic_consumption!N774/1000/$C$3)</f>
        <v>#DIV/0!</v>
      </c>
      <c r="T774" s="1038" t="e">
        <f>IF($F374="","",$F374*chronic_consumption!O774/1000/$C$3)</f>
        <v>#DIV/0!</v>
      </c>
      <c r="U774" s="1038" t="e">
        <f>IF($F374="","",$F374*chronic_consumption!P774/1000/$C$3)</f>
        <v>#DIV/0!</v>
      </c>
      <c r="V774" s="1038" t="e">
        <f>IF($F374="","",$F374*chronic_consumption!Q774/1000/$C$3)</f>
        <v>#DIV/0!</v>
      </c>
      <c r="W774" s="1038" t="e">
        <f>IF($F374="","",$F374*chronic_consumption!R774/1000/$C$3)</f>
        <v>#DIV/0!</v>
      </c>
      <c r="X774" s="1038" t="e">
        <f>IF($F374="","",$F374*chronic_consumption!S774/1000/$C$3)</f>
        <v>#DIV/0!</v>
      </c>
      <c r="Y774" s="1038" t="e">
        <f>IF($F374="","",$F374*chronic_consumption!T774/1000/$C$3)</f>
        <v>#DIV/0!</v>
      </c>
      <c r="Z774" s="1038" t="e">
        <f>IF($F374="","",$F374*chronic_consumption!U774/1000/$C$3)</f>
        <v>#DIV/0!</v>
      </c>
      <c r="AA774" s="1038" t="e">
        <f>IF($F374="","",$F374*chronic_consumption!V774/1000/$C$3)</f>
        <v>#DIV/0!</v>
      </c>
      <c r="AB774" s="1038" t="e">
        <f>IF($F374="","",$F374*chronic_consumption!W774/1000/$C$3)</f>
        <v>#DIV/0!</v>
      </c>
      <c r="AC774" s="1038" t="e">
        <f>IF($F374="","",$F374*chronic_consumption!X774/1000/$C$3)</f>
        <v>#DIV/0!</v>
      </c>
      <c r="AD774" s="1038" t="e">
        <f>IF($F374="","",$F374*chronic_consumption!Y774/1000/$C$3)</f>
        <v>#DIV/0!</v>
      </c>
      <c r="AE774" s="1038" t="e">
        <f>IF($F374="","",$F374*chronic_consumption!Z774/1000/$C$3)</f>
        <v>#DIV/0!</v>
      </c>
      <c r="AF774" s="1038" t="e">
        <f>IF($F374="","",$F374*chronic_consumption!AA774/1000/$C$3)</f>
        <v>#DIV/0!</v>
      </c>
      <c r="AG774" s="1038" t="e">
        <f>IF($F374="","",$F374*chronic_consumption!AB774/1000/$C$3)</f>
        <v>#DIV/0!</v>
      </c>
      <c r="AH774" s="1038" t="e">
        <f>IF($F374="","",$F374*chronic_consumption!AC774/1000/$C$3)</f>
        <v>#DIV/0!</v>
      </c>
      <c r="AI774" s="1038" t="e">
        <f>IF($F374="","",$F374*chronic_consumption!AD774/1000/$C$3)</f>
        <v>#DIV/0!</v>
      </c>
      <c r="AJ774" s="1038" t="e">
        <f>IF($F374="","",$F374*chronic_consumption!AE774/1000/$C$3)</f>
        <v>#DIV/0!</v>
      </c>
      <c r="AK774" s="1038" t="e">
        <f>IF($F374="","",$F374*chronic_consumption!AF774/1000/$C$3)</f>
        <v>#DIV/0!</v>
      </c>
      <c r="AL774" s="1038" t="e">
        <f>IF($F374="","",$F374*chronic_consumption!AG774/1000/$C$3)</f>
        <v>#DIV/0!</v>
      </c>
      <c r="AM774" s="1038" t="e">
        <f>IF($F374="","",$F374*chronic_consumption!AH774/1000/$C$3)</f>
        <v>#DIV/0!</v>
      </c>
      <c r="AN774" s="1038" t="e">
        <f>IF($F374="","",$F374*chronic_consumption!AI774/1000/$C$3)</f>
        <v>#DIV/0!</v>
      </c>
      <c r="AO774" s="1038" t="e">
        <f>IF($F374="","",$F374*chronic_consumption!AJ774/1000/$C$3)</f>
        <v>#DIV/0!</v>
      </c>
      <c r="AP774" s="1038" t="e">
        <f>IF($F374="","",$F374*chronic_consumption!AK774/1000/$C$3)</f>
        <v>#DIV/0!</v>
      </c>
      <c r="AQ774" s="1038" t="e">
        <f>IF($F374="","",$F374*chronic_consumption!AL774/1000/$C$3)</f>
        <v>#DIV/0!</v>
      </c>
      <c r="AR774" s="1038" t="e">
        <f>IF($F374="","",$F374*chronic_consumption!AM774/1000/$C$3)</f>
        <v>#DIV/0!</v>
      </c>
      <c r="AS774" s="1038" t="e">
        <f>IF($F374="","",$F374*chronic_consumption!AN774/1000/$C$3)</f>
        <v>#DIV/0!</v>
      </c>
      <c r="AT774" s="1038" t="e">
        <f>IF($F374="","",$F374*chronic_consumption!AO774/1000/$C$3)</f>
        <v>#DIV/0!</v>
      </c>
      <c r="AU774" s="1038" t="e">
        <f>IF($F374="","",$F374*chronic_consumption!AP774/1000/$C$3)</f>
        <v>#DIV/0!</v>
      </c>
      <c r="AV774" s="1038" t="e">
        <f>IF($F374="","",$F374*chronic_consumption!AQ774/1000/$C$3)</f>
        <v>#DIV/0!</v>
      </c>
      <c r="AW774" s="1038" t="e">
        <f>IF($F374="","",$F374*chronic_consumption!AR774/1000/$C$3)</f>
        <v>#DIV/0!</v>
      </c>
      <c r="AX774" s="1038" t="e">
        <f>IF($F374="","",$F374*chronic_consumption!AS774/1000/$C$3)</f>
        <v>#DIV/0!</v>
      </c>
      <c r="AY774" s="1038" t="e">
        <f>IF($F374="","",$F374*chronic_consumption!AT774/1000/$C$3)</f>
        <v>#DIV/0!</v>
      </c>
      <c r="AZ774" s="44" t="s">
        <v>20</v>
      </c>
      <c r="BC774" s="29"/>
      <c r="BD774" s="29"/>
    </row>
    <row r="775" spans="1:56" ht="12" hidden="1" customHeight="1" outlineLevel="3" x14ac:dyDescent="0.2">
      <c r="A775" s="21">
        <f>acute_overview_children!A375</f>
        <v>4</v>
      </c>
      <c r="B775" s="325">
        <f t="shared" si="54"/>
        <v>1020010</v>
      </c>
      <c r="C775" s="325" t="str">
        <f t="shared" si="54"/>
        <v>Milk:  Cattle</v>
      </c>
      <c r="D775" s="135"/>
      <c r="E775" s="1027"/>
      <c r="F775" s="87"/>
      <c r="G775" s="1027"/>
      <c r="H775" s="1029"/>
      <c r="I775" s="1030"/>
      <c r="J775" s="1039" t="e">
        <f>IF($F375="","",$F375*chronic_consumption!E775/1000/$C$3)</f>
        <v>#DIV/0!</v>
      </c>
      <c r="K775" s="1040" t="e">
        <f>IF($F375="","",$F375*chronic_consumption!F775/1000/$C$3)</f>
        <v>#DIV/0!</v>
      </c>
      <c r="L775" s="1040" t="e">
        <f>IF($F375="","",$F375*chronic_consumption!G775/1000/$C$3)</f>
        <v>#DIV/0!</v>
      </c>
      <c r="M775" s="1040" t="e">
        <f>IF($F375="","",$F375*chronic_consumption!H775/1000/$C$3)</f>
        <v>#DIV/0!</v>
      </c>
      <c r="N775" s="1040" t="e">
        <f>IF($F375="","",$F375*chronic_consumption!I775/1000/$C$3)</f>
        <v>#DIV/0!</v>
      </c>
      <c r="O775" s="1040" t="e">
        <f>IF($F375="","",$F375*chronic_consumption!J775/1000/$C$3)</f>
        <v>#DIV/0!</v>
      </c>
      <c r="P775" s="1040" t="e">
        <f>IF($F375="","",$F375*chronic_consumption!K775/1000/$C$3)</f>
        <v>#DIV/0!</v>
      </c>
      <c r="Q775" s="1040" t="e">
        <f>IF($F375="","",$F375*chronic_consumption!L775/1000/$C$3)</f>
        <v>#DIV/0!</v>
      </c>
      <c r="R775" s="1040" t="e">
        <f>IF($F375="","",$F375*chronic_consumption!M775/1000/$C$3)</f>
        <v>#DIV/0!</v>
      </c>
      <c r="S775" s="1040" t="e">
        <f>IF($F375="","",$F375*chronic_consumption!N775/1000/$C$3)</f>
        <v>#DIV/0!</v>
      </c>
      <c r="T775" s="1040" t="e">
        <f>IF($F375="","",$F375*chronic_consumption!O775/1000/$C$3)</f>
        <v>#DIV/0!</v>
      </c>
      <c r="U775" s="1040" t="e">
        <f>IF($F375="","",$F375*chronic_consumption!P775/1000/$C$3)</f>
        <v>#DIV/0!</v>
      </c>
      <c r="V775" s="1040" t="e">
        <f>IF($F375="","",$F375*chronic_consumption!Q775/1000/$C$3)</f>
        <v>#DIV/0!</v>
      </c>
      <c r="W775" s="1040" t="e">
        <f>IF($F375="","",$F375*chronic_consumption!R775/1000/$C$3)</f>
        <v>#DIV/0!</v>
      </c>
      <c r="X775" s="1040" t="e">
        <f>IF($F375="","",$F375*chronic_consumption!S775/1000/$C$3)</f>
        <v>#DIV/0!</v>
      </c>
      <c r="Y775" s="1040" t="e">
        <f>IF($F375="","",$F375*chronic_consumption!T775/1000/$C$3)</f>
        <v>#DIV/0!</v>
      </c>
      <c r="Z775" s="1040" t="e">
        <f>IF($F375="","",$F375*chronic_consumption!U775/1000/$C$3)</f>
        <v>#DIV/0!</v>
      </c>
      <c r="AA775" s="1040" t="e">
        <f>IF($F375="","",$F375*chronic_consumption!V775/1000/$C$3)</f>
        <v>#DIV/0!</v>
      </c>
      <c r="AB775" s="1040" t="e">
        <f>IF($F375="","",$F375*chronic_consumption!W775/1000/$C$3)</f>
        <v>#DIV/0!</v>
      </c>
      <c r="AC775" s="1040" t="e">
        <f>IF($F375="","",$F375*chronic_consumption!X775/1000/$C$3)</f>
        <v>#DIV/0!</v>
      </c>
      <c r="AD775" s="1040" t="e">
        <f>IF($F375="","",$F375*chronic_consumption!Y775/1000/$C$3)</f>
        <v>#DIV/0!</v>
      </c>
      <c r="AE775" s="1040" t="e">
        <f>IF($F375="","",$F375*chronic_consumption!Z775/1000/$C$3)</f>
        <v>#DIV/0!</v>
      </c>
      <c r="AF775" s="1040" t="e">
        <f>IF($F375="","",$F375*chronic_consumption!AA775/1000/$C$3)</f>
        <v>#DIV/0!</v>
      </c>
      <c r="AG775" s="1040" t="e">
        <f>IF($F375="","",$F375*chronic_consumption!AB775/1000/$C$3)</f>
        <v>#DIV/0!</v>
      </c>
      <c r="AH775" s="1040" t="e">
        <f>IF($F375="","",$F375*chronic_consumption!AC775/1000/$C$3)</f>
        <v>#DIV/0!</v>
      </c>
      <c r="AI775" s="1040" t="e">
        <f>IF($F375="","",$F375*chronic_consumption!AD775/1000/$C$3)</f>
        <v>#DIV/0!</v>
      </c>
      <c r="AJ775" s="1040" t="e">
        <f>IF($F375="","",$F375*chronic_consumption!AE775/1000/$C$3)</f>
        <v>#DIV/0!</v>
      </c>
      <c r="AK775" s="1040" t="e">
        <f>IF($F375="","",$F375*chronic_consumption!AF775/1000/$C$3)</f>
        <v>#DIV/0!</v>
      </c>
      <c r="AL775" s="1040" t="e">
        <f>IF($F375="","",$F375*chronic_consumption!AG775/1000/$C$3)</f>
        <v>#DIV/0!</v>
      </c>
      <c r="AM775" s="1040" t="e">
        <f>IF($F375="","",$F375*chronic_consumption!AH775/1000/$C$3)</f>
        <v>#DIV/0!</v>
      </c>
      <c r="AN775" s="1040" t="e">
        <f>IF($F375="","",$F375*chronic_consumption!AI775/1000/$C$3)</f>
        <v>#DIV/0!</v>
      </c>
      <c r="AO775" s="1040" t="e">
        <f>IF($F375="","",$F375*chronic_consumption!AJ775/1000/$C$3)</f>
        <v>#DIV/0!</v>
      </c>
      <c r="AP775" s="1040" t="e">
        <f>IF($F375="","",$F375*chronic_consumption!AK775/1000/$C$3)</f>
        <v>#DIV/0!</v>
      </c>
      <c r="AQ775" s="1040" t="e">
        <f>IF($F375="","",$F375*chronic_consumption!AL775/1000/$C$3)</f>
        <v>#DIV/0!</v>
      </c>
      <c r="AR775" s="1040" t="e">
        <f>IF($F375="","",$F375*chronic_consumption!AM775/1000/$C$3)</f>
        <v>#DIV/0!</v>
      </c>
      <c r="AS775" s="1040" t="e">
        <f>IF($F375="","",$F375*chronic_consumption!AN775/1000/$C$3)</f>
        <v>#DIV/0!</v>
      </c>
      <c r="AT775" s="1040" t="e">
        <f>IF($F375="","",$F375*chronic_consumption!AO775/1000/$C$3)</f>
        <v>#DIV/0!</v>
      </c>
      <c r="AU775" s="1040" t="e">
        <f>IF($F375="","",$F375*chronic_consumption!AP775/1000/$C$3)</f>
        <v>#DIV/0!</v>
      </c>
      <c r="AV775" s="1040" t="e">
        <f>IF($F375="","",$F375*chronic_consumption!AQ775/1000/$C$3)</f>
        <v>#DIV/0!</v>
      </c>
      <c r="AW775" s="1040" t="e">
        <f>IF($F375="","",$F375*chronic_consumption!AR775/1000/$C$3)</f>
        <v>#DIV/0!</v>
      </c>
      <c r="AX775" s="1040" t="e">
        <f>IF($F375="","",$F375*chronic_consumption!AS775/1000/$C$3)</f>
        <v>#DIV/0!</v>
      </c>
      <c r="AY775" s="1040" t="e">
        <f>IF($F375="","",$F375*chronic_consumption!AT775/1000/$C$3)</f>
        <v>#DIV/0!</v>
      </c>
      <c r="AZ775" s="44" t="s">
        <v>20</v>
      </c>
      <c r="BC775" s="29"/>
      <c r="BD775" s="29"/>
    </row>
    <row r="776" spans="1:56" ht="12" hidden="1" customHeight="1" outlineLevel="3" x14ac:dyDescent="0.2">
      <c r="A776" s="21">
        <f>acute_overview_children!A376</f>
        <v>4</v>
      </c>
      <c r="B776" s="325">
        <f t="shared" si="54"/>
        <v>1020020</v>
      </c>
      <c r="C776" s="325" t="str">
        <f t="shared" si="54"/>
        <v>Milk: Sheep</v>
      </c>
      <c r="D776" s="135"/>
      <c r="E776" s="1027"/>
      <c r="F776" s="87"/>
      <c r="G776" s="1027"/>
      <c r="H776" s="1029"/>
      <c r="I776" s="1030"/>
      <c r="J776" s="1039" t="e">
        <f>IF($F376="","",$F376*chronic_consumption!E776/1000/$C$3)</f>
        <v>#DIV/0!</v>
      </c>
      <c r="K776" s="1040" t="e">
        <f>IF($F376="","",$F376*chronic_consumption!F776/1000/$C$3)</f>
        <v>#DIV/0!</v>
      </c>
      <c r="L776" s="1040" t="e">
        <f>IF($F376="","",$F376*chronic_consumption!G776/1000/$C$3)</f>
        <v>#DIV/0!</v>
      </c>
      <c r="M776" s="1040" t="e">
        <f>IF($F376="","",$F376*chronic_consumption!H776/1000/$C$3)</f>
        <v>#DIV/0!</v>
      </c>
      <c r="N776" s="1040" t="e">
        <f>IF($F376="","",$F376*chronic_consumption!I776/1000/$C$3)</f>
        <v>#DIV/0!</v>
      </c>
      <c r="O776" s="1040" t="e">
        <f>IF($F376="","",$F376*chronic_consumption!J776/1000/$C$3)</f>
        <v>#DIV/0!</v>
      </c>
      <c r="P776" s="1040" t="e">
        <f>IF($F376="","",$F376*chronic_consumption!K776/1000/$C$3)</f>
        <v>#DIV/0!</v>
      </c>
      <c r="Q776" s="1040" t="e">
        <f>IF($F376="","",$F376*chronic_consumption!L776/1000/$C$3)</f>
        <v>#DIV/0!</v>
      </c>
      <c r="R776" s="1040" t="e">
        <f>IF($F376="","",$F376*chronic_consumption!M776/1000/$C$3)</f>
        <v>#DIV/0!</v>
      </c>
      <c r="S776" s="1040" t="e">
        <f>IF($F376="","",$F376*chronic_consumption!N776/1000/$C$3)</f>
        <v>#DIV/0!</v>
      </c>
      <c r="T776" s="1040" t="e">
        <f>IF($F376="","",$F376*chronic_consumption!O776/1000/$C$3)</f>
        <v>#DIV/0!</v>
      </c>
      <c r="U776" s="1040" t="e">
        <f>IF($F376="","",$F376*chronic_consumption!P776/1000/$C$3)</f>
        <v>#DIV/0!</v>
      </c>
      <c r="V776" s="1040" t="e">
        <f>IF($F376="","",$F376*chronic_consumption!Q776/1000/$C$3)</f>
        <v>#DIV/0!</v>
      </c>
      <c r="W776" s="1040" t="e">
        <f>IF($F376="","",$F376*chronic_consumption!R776/1000/$C$3)</f>
        <v>#DIV/0!</v>
      </c>
      <c r="X776" s="1040" t="e">
        <f>IF($F376="","",$F376*chronic_consumption!S776/1000/$C$3)</f>
        <v>#DIV/0!</v>
      </c>
      <c r="Y776" s="1040" t="e">
        <f>IF($F376="","",$F376*chronic_consumption!T776/1000/$C$3)</f>
        <v>#DIV/0!</v>
      </c>
      <c r="Z776" s="1040" t="e">
        <f>IF($F376="","",$F376*chronic_consumption!U776/1000/$C$3)</f>
        <v>#DIV/0!</v>
      </c>
      <c r="AA776" s="1040" t="e">
        <f>IF($F376="","",$F376*chronic_consumption!V776/1000/$C$3)</f>
        <v>#DIV/0!</v>
      </c>
      <c r="AB776" s="1040" t="e">
        <f>IF($F376="","",$F376*chronic_consumption!W776/1000/$C$3)</f>
        <v>#DIV/0!</v>
      </c>
      <c r="AC776" s="1040" t="e">
        <f>IF($F376="","",$F376*chronic_consumption!X776/1000/$C$3)</f>
        <v>#DIV/0!</v>
      </c>
      <c r="AD776" s="1040" t="e">
        <f>IF($F376="","",$F376*chronic_consumption!Y776/1000/$C$3)</f>
        <v>#DIV/0!</v>
      </c>
      <c r="AE776" s="1040" t="e">
        <f>IF($F376="","",$F376*chronic_consumption!Z776/1000/$C$3)</f>
        <v>#DIV/0!</v>
      </c>
      <c r="AF776" s="1040" t="e">
        <f>IF($F376="","",$F376*chronic_consumption!AA776/1000/$C$3)</f>
        <v>#DIV/0!</v>
      </c>
      <c r="AG776" s="1040" t="e">
        <f>IF($F376="","",$F376*chronic_consumption!AB776/1000/$C$3)</f>
        <v>#DIV/0!</v>
      </c>
      <c r="AH776" s="1040" t="e">
        <f>IF($F376="","",$F376*chronic_consumption!AC776/1000/$C$3)</f>
        <v>#DIV/0!</v>
      </c>
      <c r="AI776" s="1040" t="e">
        <f>IF($F376="","",$F376*chronic_consumption!AD776/1000/$C$3)</f>
        <v>#DIV/0!</v>
      </c>
      <c r="AJ776" s="1040" t="e">
        <f>IF($F376="","",$F376*chronic_consumption!AE776/1000/$C$3)</f>
        <v>#DIV/0!</v>
      </c>
      <c r="AK776" s="1040" t="e">
        <f>IF($F376="","",$F376*chronic_consumption!AF776/1000/$C$3)</f>
        <v>#DIV/0!</v>
      </c>
      <c r="AL776" s="1040" t="e">
        <f>IF($F376="","",$F376*chronic_consumption!AG776/1000/$C$3)</f>
        <v>#DIV/0!</v>
      </c>
      <c r="AM776" s="1040" t="e">
        <f>IF($F376="","",$F376*chronic_consumption!AH776/1000/$C$3)</f>
        <v>#DIV/0!</v>
      </c>
      <c r="AN776" s="1040" t="e">
        <f>IF($F376="","",$F376*chronic_consumption!AI776/1000/$C$3)</f>
        <v>#DIV/0!</v>
      </c>
      <c r="AO776" s="1040" t="e">
        <f>IF($F376="","",$F376*chronic_consumption!AJ776/1000/$C$3)</f>
        <v>#DIV/0!</v>
      </c>
      <c r="AP776" s="1040" t="e">
        <f>IF($F376="","",$F376*chronic_consumption!AK776/1000/$C$3)</f>
        <v>#DIV/0!</v>
      </c>
      <c r="AQ776" s="1040" t="e">
        <f>IF($F376="","",$F376*chronic_consumption!AL776/1000/$C$3)</f>
        <v>#DIV/0!</v>
      </c>
      <c r="AR776" s="1040" t="e">
        <f>IF($F376="","",$F376*chronic_consumption!AM776/1000/$C$3)</f>
        <v>#DIV/0!</v>
      </c>
      <c r="AS776" s="1040" t="e">
        <f>IF($F376="","",$F376*chronic_consumption!AN776/1000/$C$3)</f>
        <v>#DIV/0!</v>
      </c>
      <c r="AT776" s="1040" t="e">
        <f>IF($F376="","",$F376*chronic_consumption!AO776/1000/$C$3)</f>
        <v>#DIV/0!</v>
      </c>
      <c r="AU776" s="1040" t="e">
        <f>IF($F376="","",$F376*chronic_consumption!AP776/1000/$C$3)</f>
        <v>#DIV/0!</v>
      </c>
      <c r="AV776" s="1040" t="e">
        <f>IF($F376="","",$F376*chronic_consumption!AQ776/1000/$C$3)</f>
        <v>#DIV/0!</v>
      </c>
      <c r="AW776" s="1040" t="e">
        <f>IF($F376="","",$F376*chronic_consumption!AR776/1000/$C$3)</f>
        <v>#DIV/0!</v>
      </c>
      <c r="AX776" s="1040" t="e">
        <f>IF($F376="","",$F376*chronic_consumption!AS776/1000/$C$3)</f>
        <v>#DIV/0!</v>
      </c>
      <c r="AY776" s="1040" t="e">
        <f>IF($F376="","",$F376*chronic_consumption!AT776/1000/$C$3)</f>
        <v>#DIV/0!</v>
      </c>
      <c r="AZ776" s="44" t="s">
        <v>20</v>
      </c>
      <c r="BC776" s="29"/>
      <c r="BD776" s="29"/>
    </row>
    <row r="777" spans="1:56" ht="12" hidden="1" customHeight="1" outlineLevel="3" x14ac:dyDescent="0.2">
      <c r="A777" s="21">
        <f>acute_overview_children!A377</f>
        <v>4</v>
      </c>
      <c r="B777" s="325">
        <f t="shared" si="54"/>
        <v>1020030</v>
      </c>
      <c r="C777" s="325" t="str">
        <f t="shared" si="54"/>
        <v>Milk: Goat</v>
      </c>
      <c r="D777" s="135"/>
      <c r="E777" s="1027"/>
      <c r="F777" s="87"/>
      <c r="G777" s="1027"/>
      <c r="H777" s="1029"/>
      <c r="I777" s="1030"/>
      <c r="J777" s="1039" t="e">
        <f>IF($F377="","",$F377*chronic_consumption!E777/1000/$C$3)</f>
        <v>#DIV/0!</v>
      </c>
      <c r="K777" s="1040" t="e">
        <f>IF($F377="","",$F377*chronic_consumption!F777/1000/$C$3)</f>
        <v>#DIV/0!</v>
      </c>
      <c r="L777" s="1040" t="e">
        <f>IF($F377="","",$F377*chronic_consumption!G777/1000/$C$3)</f>
        <v>#DIV/0!</v>
      </c>
      <c r="M777" s="1040" t="e">
        <f>IF($F377="","",$F377*chronic_consumption!H777/1000/$C$3)</f>
        <v>#DIV/0!</v>
      </c>
      <c r="N777" s="1040" t="e">
        <f>IF($F377="","",$F377*chronic_consumption!I777/1000/$C$3)</f>
        <v>#DIV/0!</v>
      </c>
      <c r="O777" s="1040" t="e">
        <f>IF($F377="","",$F377*chronic_consumption!J777/1000/$C$3)</f>
        <v>#DIV/0!</v>
      </c>
      <c r="P777" s="1040" t="e">
        <f>IF($F377="","",$F377*chronic_consumption!K777/1000/$C$3)</f>
        <v>#DIV/0!</v>
      </c>
      <c r="Q777" s="1040" t="e">
        <f>IF($F377="","",$F377*chronic_consumption!L777/1000/$C$3)</f>
        <v>#DIV/0!</v>
      </c>
      <c r="R777" s="1040" t="e">
        <f>IF($F377="","",$F377*chronic_consumption!M777/1000/$C$3)</f>
        <v>#DIV/0!</v>
      </c>
      <c r="S777" s="1040" t="e">
        <f>IF($F377="","",$F377*chronic_consumption!N777/1000/$C$3)</f>
        <v>#DIV/0!</v>
      </c>
      <c r="T777" s="1040" t="e">
        <f>IF($F377="","",$F377*chronic_consumption!O777/1000/$C$3)</f>
        <v>#DIV/0!</v>
      </c>
      <c r="U777" s="1040" t="e">
        <f>IF($F377="","",$F377*chronic_consumption!P777/1000/$C$3)</f>
        <v>#DIV/0!</v>
      </c>
      <c r="V777" s="1040" t="e">
        <f>IF($F377="","",$F377*chronic_consumption!Q777/1000/$C$3)</f>
        <v>#DIV/0!</v>
      </c>
      <c r="W777" s="1040" t="e">
        <f>IF($F377="","",$F377*chronic_consumption!R777/1000/$C$3)</f>
        <v>#DIV/0!</v>
      </c>
      <c r="X777" s="1040" t="e">
        <f>IF($F377="","",$F377*chronic_consumption!S777/1000/$C$3)</f>
        <v>#DIV/0!</v>
      </c>
      <c r="Y777" s="1040" t="e">
        <f>IF($F377="","",$F377*chronic_consumption!T777/1000/$C$3)</f>
        <v>#DIV/0!</v>
      </c>
      <c r="Z777" s="1040" t="e">
        <f>IF($F377="","",$F377*chronic_consumption!U777/1000/$C$3)</f>
        <v>#DIV/0!</v>
      </c>
      <c r="AA777" s="1040" t="e">
        <f>IF($F377="","",$F377*chronic_consumption!V777/1000/$C$3)</f>
        <v>#DIV/0!</v>
      </c>
      <c r="AB777" s="1040" t="e">
        <f>IF($F377="","",$F377*chronic_consumption!W777/1000/$C$3)</f>
        <v>#DIV/0!</v>
      </c>
      <c r="AC777" s="1040" t="e">
        <f>IF($F377="","",$F377*chronic_consumption!X777/1000/$C$3)</f>
        <v>#DIV/0!</v>
      </c>
      <c r="AD777" s="1040" t="e">
        <f>IF($F377="","",$F377*chronic_consumption!Y777/1000/$C$3)</f>
        <v>#DIV/0!</v>
      </c>
      <c r="AE777" s="1040" t="e">
        <f>IF($F377="","",$F377*chronic_consumption!Z777/1000/$C$3)</f>
        <v>#DIV/0!</v>
      </c>
      <c r="AF777" s="1040" t="e">
        <f>IF($F377="","",$F377*chronic_consumption!AA777/1000/$C$3)</f>
        <v>#DIV/0!</v>
      </c>
      <c r="AG777" s="1040" t="e">
        <f>IF($F377="","",$F377*chronic_consumption!AB777/1000/$C$3)</f>
        <v>#DIV/0!</v>
      </c>
      <c r="AH777" s="1040" t="e">
        <f>IF($F377="","",$F377*chronic_consumption!AC777/1000/$C$3)</f>
        <v>#DIV/0!</v>
      </c>
      <c r="AI777" s="1040" t="e">
        <f>IF($F377="","",$F377*chronic_consumption!AD777/1000/$C$3)</f>
        <v>#DIV/0!</v>
      </c>
      <c r="AJ777" s="1040" t="e">
        <f>IF($F377="","",$F377*chronic_consumption!AE777/1000/$C$3)</f>
        <v>#DIV/0!</v>
      </c>
      <c r="AK777" s="1040" t="e">
        <f>IF($F377="","",$F377*chronic_consumption!AF777/1000/$C$3)</f>
        <v>#DIV/0!</v>
      </c>
      <c r="AL777" s="1040" t="e">
        <f>IF($F377="","",$F377*chronic_consumption!AG777/1000/$C$3)</f>
        <v>#DIV/0!</v>
      </c>
      <c r="AM777" s="1040" t="e">
        <f>IF($F377="","",$F377*chronic_consumption!AH777/1000/$C$3)</f>
        <v>#DIV/0!</v>
      </c>
      <c r="AN777" s="1040" t="e">
        <f>IF($F377="","",$F377*chronic_consumption!AI777/1000/$C$3)</f>
        <v>#DIV/0!</v>
      </c>
      <c r="AO777" s="1040" t="e">
        <f>IF($F377="","",$F377*chronic_consumption!AJ777/1000/$C$3)</f>
        <v>#DIV/0!</v>
      </c>
      <c r="AP777" s="1040" t="e">
        <f>IF($F377="","",$F377*chronic_consumption!AK777/1000/$C$3)</f>
        <v>#DIV/0!</v>
      </c>
      <c r="AQ777" s="1040" t="e">
        <f>IF($F377="","",$F377*chronic_consumption!AL777/1000/$C$3)</f>
        <v>#DIV/0!</v>
      </c>
      <c r="AR777" s="1040" t="e">
        <f>IF($F377="","",$F377*chronic_consumption!AM777/1000/$C$3)</f>
        <v>#DIV/0!</v>
      </c>
      <c r="AS777" s="1040" t="e">
        <f>IF($F377="","",$F377*chronic_consumption!AN777/1000/$C$3)</f>
        <v>#DIV/0!</v>
      </c>
      <c r="AT777" s="1040" t="e">
        <f>IF($F377="","",$F377*chronic_consumption!AO777/1000/$C$3)</f>
        <v>#DIV/0!</v>
      </c>
      <c r="AU777" s="1040" t="e">
        <f>IF($F377="","",$F377*chronic_consumption!AP777/1000/$C$3)</f>
        <v>#DIV/0!</v>
      </c>
      <c r="AV777" s="1040" t="e">
        <f>IF($F377="","",$F377*chronic_consumption!AQ777/1000/$C$3)</f>
        <v>#DIV/0!</v>
      </c>
      <c r="AW777" s="1040" t="e">
        <f>IF($F377="","",$F377*chronic_consumption!AR777/1000/$C$3)</f>
        <v>#DIV/0!</v>
      </c>
      <c r="AX777" s="1040" t="e">
        <f>IF($F377="","",$F377*chronic_consumption!AS777/1000/$C$3)</f>
        <v>#DIV/0!</v>
      </c>
      <c r="AY777" s="1040" t="e">
        <f>IF($F377="","",$F377*chronic_consumption!AT777/1000/$C$3)</f>
        <v>#DIV/0!</v>
      </c>
      <c r="AZ777" s="44" t="s">
        <v>20</v>
      </c>
      <c r="BC777" s="29"/>
      <c r="BD777" s="29"/>
    </row>
    <row r="778" spans="1:56" ht="12" hidden="1" customHeight="1" outlineLevel="3" x14ac:dyDescent="0.2">
      <c r="A778" s="21">
        <f>acute_overview_children!A378</f>
        <v>4</v>
      </c>
      <c r="B778" s="325">
        <f t="shared" si="54"/>
        <v>1020040</v>
      </c>
      <c r="C778" s="325" t="str">
        <f t="shared" si="54"/>
        <v xml:space="preserve">Milk: Horse </v>
      </c>
      <c r="D778" s="135"/>
      <c r="E778" s="1027"/>
      <c r="F778" s="87"/>
      <c r="G778" s="1027"/>
      <c r="H778" s="1029"/>
      <c r="I778" s="1030"/>
      <c r="J778" s="1039" t="e">
        <f>IF($F378="","",$F378*chronic_consumption!E778/1000/$C$3)</f>
        <v>#DIV/0!</v>
      </c>
      <c r="K778" s="1040" t="e">
        <f>IF($F378="","",$F378*chronic_consumption!F778/1000/$C$3)</f>
        <v>#DIV/0!</v>
      </c>
      <c r="L778" s="1040" t="e">
        <f>IF($F378="","",$F378*chronic_consumption!G778/1000/$C$3)</f>
        <v>#DIV/0!</v>
      </c>
      <c r="M778" s="1040" t="e">
        <f>IF($F378="","",$F378*chronic_consumption!H778/1000/$C$3)</f>
        <v>#DIV/0!</v>
      </c>
      <c r="N778" s="1040" t="e">
        <f>IF($F378="","",$F378*chronic_consumption!I778/1000/$C$3)</f>
        <v>#DIV/0!</v>
      </c>
      <c r="O778" s="1040" t="e">
        <f>IF($F378="","",$F378*chronic_consumption!J778/1000/$C$3)</f>
        <v>#DIV/0!</v>
      </c>
      <c r="P778" s="1040" t="e">
        <f>IF($F378="","",$F378*chronic_consumption!K778/1000/$C$3)</f>
        <v>#DIV/0!</v>
      </c>
      <c r="Q778" s="1040" t="e">
        <f>IF($F378="","",$F378*chronic_consumption!L778/1000/$C$3)</f>
        <v>#DIV/0!</v>
      </c>
      <c r="R778" s="1040" t="e">
        <f>IF($F378="","",$F378*chronic_consumption!M778/1000/$C$3)</f>
        <v>#DIV/0!</v>
      </c>
      <c r="S778" s="1040" t="e">
        <f>IF($F378="","",$F378*chronic_consumption!N778/1000/$C$3)</f>
        <v>#DIV/0!</v>
      </c>
      <c r="T778" s="1040" t="e">
        <f>IF($F378="","",$F378*chronic_consumption!O778/1000/$C$3)</f>
        <v>#DIV/0!</v>
      </c>
      <c r="U778" s="1040" t="e">
        <f>IF($F378="","",$F378*chronic_consumption!P778/1000/$C$3)</f>
        <v>#DIV/0!</v>
      </c>
      <c r="V778" s="1040" t="e">
        <f>IF($F378="","",$F378*chronic_consumption!Q778/1000/$C$3)</f>
        <v>#DIV/0!</v>
      </c>
      <c r="W778" s="1040" t="e">
        <f>IF($F378="","",$F378*chronic_consumption!R778/1000/$C$3)</f>
        <v>#DIV/0!</v>
      </c>
      <c r="X778" s="1040" t="e">
        <f>IF($F378="","",$F378*chronic_consumption!S778/1000/$C$3)</f>
        <v>#DIV/0!</v>
      </c>
      <c r="Y778" s="1040" t="e">
        <f>IF($F378="","",$F378*chronic_consumption!T778/1000/$C$3)</f>
        <v>#DIV/0!</v>
      </c>
      <c r="Z778" s="1040" t="e">
        <f>IF($F378="","",$F378*chronic_consumption!U778/1000/$C$3)</f>
        <v>#DIV/0!</v>
      </c>
      <c r="AA778" s="1040" t="e">
        <f>IF($F378="","",$F378*chronic_consumption!V778/1000/$C$3)</f>
        <v>#DIV/0!</v>
      </c>
      <c r="AB778" s="1040" t="e">
        <f>IF($F378="","",$F378*chronic_consumption!W778/1000/$C$3)</f>
        <v>#DIV/0!</v>
      </c>
      <c r="AC778" s="1040" t="e">
        <f>IF($F378="","",$F378*chronic_consumption!X778/1000/$C$3)</f>
        <v>#DIV/0!</v>
      </c>
      <c r="AD778" s="1040" t="e">
        <f>IF($F378="","",$F378*chronic_consumption!Y778/1000/$C$3)</f>
        <v>#DIV/0!</v>
      </c>
      <c r="AE778" s="1040" t="e">
        <f>IF($F378="","",$F378*chronic_consumption!Z778/1000/$C$3)</f>
        <v>#DIV/0!</v>
      </c>
      <c r="AF778" s="1040" t="e">
        <f>IF($F378="","",$F378*chronic_consumption!AA778/1000/$C$3)</f>
        <v>#DIV/0!</v>
      </c>
      <c r="AG778" s="1040" t="e">
        <f>IF($F378="","",$F378*chronic_consumption!AB778/1000/$C$3)</f>
        <v>#DIV/0!</v>
      </c>
      <c r="AH778" s="1040" t="e">
        <f>IF($F378="","",$F378*chronic_consumption!AC778/1000/$C$3)</f>
        <v>#DIV/0!</v>
      </c>
      <c r="AI778" s="1040" t="e">
        <f>IF($F378="","",$F378*chronic_consumption!AD778/1000/$C$3)</f>
        <v>#DIV/0!</v>
      </c>
      <c r="AJ778" s="1040" t="e">
        <f>IF($F378="","",$F378*chronic_consumption!AE778/1000/$C$3)</f>
        <v>#DIV/0!</v>
      </c>
      <c r="AK778" s="1040" t="e">
        <f>IF($F378="","",$F378*chronic_consumption!AF778/1000/$C$3)</f>
        <v>#DIV/0!</v>
      </c>
      <c r="AL778" s="1040" t="e">
        <f>IF($F378="","",$F378*chronic_consumption!AG778/1000/$C$3)</f>
        <v>#DIV/0!</v>
      </c>
      <c r="AM778" s="1040" t="e">
        <f>IF($F378="","",$F378*chronic_consumption!AH778/1000/$C$3)</f>
        <v>#DIV/0!</v>
      </c>
      <c r="AN778" s="1040" t="e">
        <f>IF($F378="","",$F378*chronic_consumption!AI778/1000/$C$3)</f>
        <v>#DIV/0!</v>
      </c>
      <c r="AO778" s="1040" t="e">
        <f>IF($F378="","",$F378*chronic_consumption!AJ778/1000/$C$3)</f>
        <v>#DIV/0!</v>
      </c>
      <c r="AP778" s="1040" t="e">
        <f>IF($F378="","",$F378*chronic_consumption!AK778/1000/$C$3)</f>
        <v>#DIV/0!</v>
      </c>
      <c r="AQ778" s="1040" t="e">
        <f>IF($F378="","",$F378*chronic_consumption!AL778/1000/$C$3)</f>
        <v>#DIV/0!</v>
      </c>
      <c r="AR778" s="1040" t="e">
        <f>IF($F378="","",$F378*chronic_consumption!AM778/1000/$C$3)</f>
        <v>#DIV/0!</v>
      </c>
      <c r="AS778" s="1040" t="e">
        <f>IF($F378="","",$F378*chronic_consumption!AN778/1000/$C$3)</f>
        <v>#DIV/0!</v>
      </c>
      <c r="AT778" s="1040" t="e">
        <f>IF($F378="","",$F378*chronic_consumption!AO778/1000/$C$3)</f>
        <v>#DIV/0!</v>
      </c>
      <c r="AU778" s="1040" t="e">
        <f>IF($F378="","",$F378*chronic_consumption!AP778/1000/$C$3)</f>
        <v>#DIV/0!</v>
      </c>
      <c r="AV778" s="1040" t="e">
        <f>IF($F378="","",$F378*chronic_consumption!AQ778/1000/$C$3)</f>
        <v>#DIV/0!</v>
      </c>
      <c r="AW778" s="1040" t="e">
        <f>IF($F378="","",$F378*chronic_consumption!AR778/1000/$C$3)</f>
        <v>#DIV/0!</v>
      </c>
      <c r="AX778" s="1040" t="e">
        <f>IF($F378="","",$F378*chronic_consumption!AS778/1000/$C$3)</f>
        <v>#DIV/0!</v>
      </c>
      <c r="AY778" s="1040" t="e">
        <f>IF($F378="","",$F378*chronic_consumption!AT778/1000/$C$3)</f>
        <v>#DIV/0!</v>
      </c>
      <c r="AZ778" s="44" t="s">
        <v>20</v>
      </c>
      <c r="BC778" s="29"/>
      <c r="BD778" s="29"/>
    </row>
    <row r="779" spans="1:56" ht="12" hidden="1" customHeight="1" outlineLevel="3" x14ac:dyDescent="0.2">
      <c r="A779" s="21">
        <f>acute_overview_children!A379</f>
        <v>4</v>
      </c>
      <c r="B779" s="325">
        <f t="shared" si="54"/>
        <v>1020990</v>
      </c>
      <c r="C779" s="325" t="str">
        <f t="shared" si="54"/>
        <v xml:space="preserve">Milk: Others </v>
      </c>
      <c r="D779" s="135"/>
      <c r="E779" s="1027"/>
      <c r="F779" s="87"/>
      <c r="G779" s="1027"/>
      <c r="H779" s="1029"/>
      <c r="I779" s="1030"/>
      <c r="J779" s="1039" t="e">
        <f>IF($F379="","",$F379*chronic_consumption!E779/1000/$C$3)</f>
        <v>#DIV/0!</v>
      </c>
      <c r="K779" s="1040" t="e">
        <f>IF($F379="","",$F379*chronic_consumption!F779/1000/$C$3)</f>
        <v>#DIV/0!</v>
      </c>
      <c r="L779" s="1040" t="e">
        <f>IF($F379="","",$F379*chronic_consumption!G779/1000/$C$3)</f>
        <v>#DIV/0!</v>
      </c>
      <c r="M779" s="1040" t="e">
        <f>IF($F379="","",$F379*chronic_consumption!H779/1000/$C$3)</f>
        <v>#DIV/0!</v>
      </c>
      <c r="N779" s="1040" t="e">
        <f>IF($F379="","",$F379*chronic_consumption!I779/1000/$C$3)</f>
        <v>#DIV/0!</v>
      </c>
      <c r="O779" s="1040" t="e">
        <f>IF($F379="","",$F379*chronic_consumption!J779/1000/$C$3)</f>
        <v>#DIV/0!</v>
      </c>
      <c r="P779" s="1040" t="e">
        <f>IF($F379="","",$F379*chronic_consumption!K779/1000/$C$3)</f>
        <v>#DIV/0!</v>
      </c>
      <c r="Q779" s="1040" t="e">
        <f>IF($F379="","",$F379*chronic_consumption!L779/1000/$C$3)</f>
        <v>#DIV/0!</v>
      </c>
      <c r="R779" s="1040" t="e">
        <f>IF($F379="","",$F379*chronic_consumption!M779/1000/$C$3)</f>
        <v>#DIV/0!</v>
      </c>
      <c r="S779" s="1040" t="e">
        <f>IF($F379="","",$F379*chronic_consumption!N779/1000/$C$3)</f>
        <v>#DIV/0!</v>
      </c>
      <c r="T779" s="1040" t="e">
        <f>IF($F379="","",$F379*chronic_consumption!O779/1000/$C$3)</f>
        <v>#DIV/0!</v>
      </c>
      <c r="U779" s="1040" t="e">
        <f>IF($F379="","",$F379*chronic_consumption!P779/1000/$C$3)</f>
        <v>#DIV/0!</v>
      </c>
      <c r="V779" s="1040" t="e">
        <f>IF($F379="","",$F379*chronic_consumption!Q779/1000/$C$3)</f>
        <v>#DIV/0!</v>
      </c>
      <c r="W779" s="1040" t="e">
        <f>IF($F379="","",$F379*chronic_consumption!R779/1000/$C$3)</f>
        <v>#DIV/0!</v>
      </c>
      <c r="X779" s="1040" t="e">
        <f>IF($F379="","",$F379*chronic_consumption!S779/1000/$C$3)</f>
        <v>#DIV/0!</v>
      </c>
      <c r="Y779" s="1040" t="e">
        <f>IF($F379="","",$F379*chronic_consumption!T779/1000/$C$3)</f>
        <v>#DIV/0!</v>
      </c>
      <c r="Z779" s="1040" t="e">
        <f>IF($F379="","",$F379*chronic_consumption!U779/1000/$C$3)</f>
        <v>#DIV/0!</v>
      </c>
      <c r="AA779" s="1040" t="e">
        <f>IF($F379="","",$F379*chronic_consumption!V779/1000/$C$3)</f>
        <v>#DIV/0!</v>
      </c>
      <c r="AB779" s="1040" t="e">
        <f>IF($F379="","",$F379*chronic_consumption!W779/1000/$C$3)</f>
        <v>#DIV/0!</v>
      </c>
      <c r="AC779" s="1040" t="e">
        <f>IF($F379="","",$F379*chronic_consumption!X779/1000/$C$3)</f>
        <v>#DIV/0!</v>
      </c>
      <c r="AD779" s="1040" t="e">
        <f>IF($F379="","",$F379*chronic_consumption!Y779/1000/$C$3)</f>
        <v>#DIV/0!</v>
      </c>
      <c r="AE779" s="1040" t="e">
        <f>IF($F379="","",$F379*chronic_consumption!Z779/1000/$C$3)</f>
        <v>#DIV/0!</v>
      </c>
      <c r="AF779" s="1040" t="e">
        <f>IF($F379="","",$F379*chronic_consumption!AA779/1000/$C$3)</f>
        <v>#DIV/0!</v>
      </c>
      <c r="AG779" s="1040" t="e">
        <f>IF($F379="","",$F379*chronic_consumption!AB779/1000/$C$3)</f>
        <v>#DIV/0!</v>
      </c>
      <c r="AH779" s="1040" t="e">
        <f>IF($F379="","",$F379*chronic_consumption!AC779/1000/$C$3)</f>
        <v>#DIV/0!</v>
      </c>
      <c r="AI779" s="1040" t="e">
        <f>IF($F379="","",$F379*chronic_consumption!AD779/1000/$C$3)</f>
        <v>#DIV/0!</v>
      </c>
      <c r="AJ779" s="1040" t="e">
        <f>IF($F379="","",$F379*chronic_consumption!AE779/1000/$C$3)</f>
        <v>#DIV/0!</v>
      </c>
      <c r="AK779" s="1040" t="e">
        <f>IF($F379="","",$F379*chronic_consumption!AF779/1000/$C$3)</f>
        <v>#DIV/0!</v>
      </c>
      <c r="AL779" s="1040" t="e">
        <f>IF($F379="","",$F379*chronic_consumption!AG779/1000/$C$3)</f>
        <v>#DIV/0!</v>
      </c>
      <c r="AM779" s="1040" t="e">
        <f>IF($F379="","",$F379*chronic_consumption!AH779/1000/$C$3)</f>
        <v>#DIV/0!</v>
      </c>
      <c r="AN779" s="1040" t="e">
        <f>IF($F379="","",$F379*chronic_consumption!AI779/1000/$C$3)</f>
        <v>#DIV/0!</v>
      </c>
      <c r="AO779" s="1040" t="e">
        <f>IF($F379="","",$F379*chronic_consumption!AJ779/1000/$C$3)</f>
        <v>#DIV/0!</v>
      </c>
      <c r="AP779" s="1040" t="e">
        <f>IF($F379="","",$F379*chronic_consumption!AK779/1000/$C$3)</f>
        <v>#DIV/0!</v>
      </c>
      <c r="AQ779" s="1040" t="e">
        <f>IF($F379="","",$F379*chronic_consumption!AL779/1000/$C$3)</f>
        <v>#DIV/0!</v>
      </c>
      <c r="AR779" s="1040" t="e">
        <f>IF($F379="","",$F379*chronic_consumption!AM779/1000/$C$3)</f>
        <v>#DIV/0!</v>
      </c>
      <c r="AS779" s="1040" t="e">
        <f>IF($F379="","",$F379*chronic_consumption!AN779/1000/$C$3)</f>
        <v>#DIV/0!</v>
      </c>
      <c r="AT779" s="1040" t="e">
        <f>IF($F379="","",$F379*chronic_consumption!AO779/1000/$C$3)</f>
        <v>#DIV/0!</v>
      </c>
      <c r="AU779" s="1040" t="e">
        <f>IF($F379="","",$F379*chronic_consumption!AP779/1000/$C$3)</f>
        <v>#DIV/0!</v>
      </c>
      <c r="AV779" s="1040" t="e">
        <f>IF($F379="","",$F379*chronic_consumption!AQ779/1000/$C$3)</f>
        <v>#DIV/0!</v>
      </c>
      <c r="AW779" s="1040" t="e">
        <f>IF($F379="","",$F379*chronic_consumption!AR779/1000/$C$3)</f>
        <v>#DIV/0!</v>
      </c>
      <c r="AX779" s="1040" t="e">
        <f>IF($F379="","",$F379*chronic_consumption!AS779/1000/$C$3)</f>
        <v>#DIV/0!</v>
      </c>
      <c r="AY779" s="1040" t="e">
        <f>IF($F379="","",$F379*chronic_consumption!AT779/1000/$C$3)</f>
        <v>#DIV/0!</v>
      </c>
      <c r="AZ779" s="44" t="s">
        <v>20</v>
      </c>
      <c r="BC779" s="29"/>
      <c r="BD779" s="29"/>
    </row>
    <row r="780" spans="1:56" ht="12" hidden="1" customHeight="1" outlineLevel="1" x14ac:dyDescent="0.2">
      <c r="A780" s="1033">
        <f>acute_overview_children!A380</f>
        <v>2</v>
      </c>
      <c r="B780" s="1034">
        <f t="shared" si="54"/>
        <v>1030000</v>
      </c>
      <c r="C780" s="1034" t="str">
        <f t="shared" si="54"/>
        <v>Birds eggs</v>
      </c>
      <c r="D780" s="1035"/>
      <c r="E780" s="1027"/>
      <c r="F780" s="87"/>
      <c r="G780" s="1027"/>
      <c r="H780" s="1029"/>
      <c r="I780" s="1030"/>
      <c r="J780" s="1037" t="e">
        <f>IF($F380="","",$F380*chronic_consumption!E780/1000/$C$3)</f>
        <v>#DIV/0!</v>
      </c>
      <c r="K780" s="1038" t="e">
        <f>IF($F380="","",$F380*chronic_consumption!F780/1000/$C$3)</f>
        <v>#DIV/0!</v>
      </c>
      <c r="L780" s="1038" t="e">
        <f>IF($F380="","",$F380*chronic_consumption!G780/1000/$C$3)</f>
        <v>#DIV/0!</v>
      </c>
      <c r="M780" s="1038" t="e">
        <f>IF($F380="","",$F380*chronic_consumption!H780/1000/$C$3)</f>
        <v>#DIV/0!</v>
      </c>
      <c r="N780" s="1038" t="e">
        <f>IF($F380="","",$F380*chronic_consumption!I780/1000/$C$3)</f>
        <v>#DIV/0!</v>
      </c>
      <c r="O780" s="1038" t="e">
        <f>IF($F380="","",$F380*chronic_consumption!J780/1000/$C$3)</f>
        <v>#DIV/0!</v>
      </c>
      <c r="P780" s="1038" t="e">
        <f>IF($F380="","",$F380*chronic_consumption!K780/1000/$C$3)</f>
        <v>#DIV/0!</v>
      </c>
      <c r="Q780" s="1038" t="e">
        <f>IF($F380="","",$F380*chronic_consumption!L780/1000/$C$3)</f>
        <v>#DIV/0!</v>
      </c>
      <c r="R780" s="1038" t="e">
        <f>IF($F380="","",$F380*chronic_consumption!M780/1000/$C$3)</f>
        <v>#DIV/0!</v>
      </c>
      <c r="S780" s="1038" t="e">
        <f>IF($F380="","",$F380*chronic_consumption!N780/1000/$C$3)</f>
        <v>#DIV/0!</v>
      </c>
      <c r="T780" s="1038" t="e">
        <f>IF($F380="","",$F380*chronic_consumption!O780/1000/$C$3)</f>
        <v>#DIV/0!</v>
      </c>
      <c r="U780" s="1038" t="e">
        <f>IF($F380="","",$F380*chronic_consumption!P780/1000/$C$3)</f>
        <v>#DIV/0!</v>
      </c>
      <c r="V780" s="1038" t="e">
        <f>IF($F380="","",$F380*chronic_consumption!Q780/1000/$C$3)</f>
        <v>#DIV/0!</v>
      </c>
      <c r="W780" s="1038" t="e">
        <f>IF($F380="","",$F380*chronic_consumption!R780/1000/$C$3)</f>
        <v>#DIV/0!</v>
      </c>
      <c r="X780" s="1038" t="e">
        <f>IF($F380="","",$F380*chronic_consumption!S780/1000/$C$3)</f>
        <v>#DIV/0!</v>
      </c>
      <c r="Y780" s="1038" t="e">
        <f>IF($F380="","",$F380*chronic_consumption!T780/1000/$C$3)</f>
        <v>#DIV/0!</v>
      </c>
      <c r="Z780" s="1038" t="e">
        <f>IF($F380="","",$F380*chronic_consumption!U780/1000/$C$3)</f>
        <v>#DIV/0!</v>
      </c>
      <c r="AA780" s="1038" t="e">
        <f>IF($F380="","",$F380*chronic_consumption!V780/1000/$C$3)</f>
        <v>#DIV/0!</v>
      </c>
      <c r="AB780" s="1038" t="e">
        <f>IF($F380="","",$F380*chronic_consumption!W780/1000/$C$3)</f>
        <v>#DIV/0!</v>
      </c>
      <c r="AC780" s="1038" t="e">
        <f>IF($F380="","",$F380*chronic_consumption!X780/1000/$C$3)</f>
        <v>#DIV/0!</v>
      </c>
      <c r="AD780" s="1038" t="e">
        <f>IF($F380="","",$F380*chronic_consumption!Y780/1000/$C$3)</f>
        <v>#DIV/0!</v>
      </c>
      <c r="AE780" s="1038" t="e">
        <f>IF($F380="","",$F380*chronic_consumption!Z780/1000/$C$3)</f>
        <v>#DIV/0!</v>
      </c>
      <c r="AF780" s="1038" t="e">
        <f>IF($F380="","",$F380*chronic_consumption!AA780/1000/$C$3)</f>
        <v>#DIV/0!</v>
      </c>
      <c r="AG780" s="1038" t="e">
        <f>IF($F380="","",$F380*chronic_consumption!AB780/1000/$C$3)</f>
        <v>#DIV/0!</v>
      </c>
      <c r="AH780" s="1038" t="e">
        <f>IF($F380="","",$F380*chronic_consumption!AC780/1000/$C$3)</f>
        <v>#DIV/0!</v>
      </c>
      <c r="AI780" s="1038" t="e">
        <f>IF($F380="","",$F380*chronic_consumption!AD780/1000/$C$3)</f>
        <v>#DIV/0!</v>
      </c>
      <c r="AJ780" s="1038" t="e">
        <f>IF($F380="","",$F380*chronic_consumption!AE780/1000/$C$3)</f>
        <v>#DIV/0!</v>
      </c>
      <c r="AK780" s="1038" t="e">
        <f>IF($F380="","",$F380*chronic_consumption!AF780/1000/$C$3)</f>
        <v>#DIV/0!</v>
      </c>
      <c r="AL780" s="1038" t="e">
        <f>IF($F380="","",$F380*chronic_consumption!AG780/1000/$C$3)</f>
        <v>#DIV/0!</v>
      </c>
      <c r="AM780" s="1038" t="e">
        <f>IF($F380="","",$F380*chronic_consumption!AH780/1000/$C$3)</f>
        <v>#DIV/0!</v>
      </c>
      <c r="AN780" s="1038" t="e">
        <f>IF($F380="","",$F380*chronic_consumption!AI780/1000/$C$3)</f>
        <v>#DIV/0!</v>
      </c>
      <c r="AO780" s="1038" t="e">
        <f>IF($F380="","",$F380*chronic_consumption!AJ780/1000/$C$3)</f>
        <v>#DIV/0!</v>
      </c>
      <c r="AP780" s="1038" t="e">
        <f>IF($F380="","",$F380*chronic_consumption!AK780/1000/$C$3)</f>
        <v>#DIV/0!</v>
      </c>
      <c r="AQ780" s="1038" t="e">
        <f>IF($F380="","",$F380*chronic_consumption!AL780/1000/$C$3)</f>
        <v>#DIV/0!</v>
      </c>
      <c r="AR780" s="1038" t="e">
        <f>IF($F380="","",$F380*chronic_consumption!AM780/1000/$C$3)</f>
        <v>#DIV/0!</v>
      </c>
      <c r="AS780" s="1038" t="e">
        <f>IF($F380="","",$F380*chronic_consumption!AN780/1000/$C$3)</f>
        <v>#DIV/0!</v>
      </c>
      <c r="AT780" s="1038" t="e">
        <f>IF($F380="","",$F380*chronic_consumption!AO780/1000/$C$3)</f>
        <v>#DIV/0!</v>
      </c>
      <c r="AU780" s="1038" t="e">
        <f>IF($F380="","",$F380*chronic_consumption!AP780/1000/$C$3)</f>
        <v>#DIV/0!</v>
      </c>
      <c r="AV780" s="1038" t="e">
        <f>IF($F380="","",$F380*chronic_consumption!AQ780/1000/$C$3)</f>
        <v>#DIV/0!</v>
      </c>
      <c r="AW780" s="1038" t="e">
        <f>IF($F380="","",$F380*chronic_consumption!AR780/1000/$C$3)</f>
        <v>#DIV/0!</v>
      </c>
      <c r="AX780" s="1038" t="e">
        <f>IF($F380="","",$F380*chronic_consumption!AS780/1000/$C$3)</f>
        <v>#DIV/0!</v>
      </c>
      <c r="AY780" s="1038" t="e">
        <f>IF($F380="","",$F380*chronic_consumption!AT780/1000/$C$3)</f>
        <v>#DIV/0!</v>
      </c>
      <c r="AZ780" s="44" t="s">
        <v>20</v>
      </c>
      <c r="BC780" s="29"/>
      <c r="BD780" s="29"/>
    </row>
    <row r="781" spans="1:56" ht="12" hidden="1" customHeight="1" outlineLevel="3" x14ac:dyDescent="0.2">
      <c r="A781" s="21">
        <f>acute_overview_children!A381</f>
        <v>4</v>
      </c>
      <c r="B781" s="325">
        <f t="shared" si="54"/>
        <v>1030010</v>
      </c>
      <c r="C781" s="325" t="str">
        <f t="shared" si="54"/>
        <v xml:space="preserve">Eggs: Chicken </v>
      </c>
      <c r="D781" s="135"/>
      <c r="E781" s="1027"/>
      <c r="F781" s="87"/>
      <c r="G781" s="1027"/>
      <c r="H781" s="1029"/>
      <c r="I781" s="1030"/>
      <c r="J781" s="1039" t="e">
        <f>IF($F381="","",$F381*chronic_consumption!E781/1000/$C$3)</f>
        <v>#DIV/0!</v>
      </c>
      <c r="K781" s="1040" t="e">
        <f>IF($F381="","",$F381*chronic_consumption!F781/1000/$C$3)</f>
        <v>#DIV/0!</v>
      </c>
      <c r="L781" s="1040" t="e">
        <f>IF($F381="","",$F381*chronic_consumption!G781/1000/$C$3)</f>
        <v>#DIV/0!</v>
      </c>
      <c r="M781" s="1040" t="e">
        <f>IF($F381="","",$F381*chronic_consumption!H781/1000/$C$3)</f>
        <v>#DIV/0!</v>
      </c>
      <c r="N781" s="1040" t="e">
        <f>IF($F381="","",$F381*chronic_consumption!I781/1000/$C$3)</f>
        <v>#DIV/0!</v>
      </c>
      <c r="O781" s="1040" t="e">
        <f>IF($F381="","",$F381*chronic_consumption!J781/1000/$C$3)</f>
        <v>#DIV/0!</v>
      </c>
      <c r="P781" s="1040" t="e">
        <f>IF($F381="","",$F381*chronic_consumption!K781/1000/$C$3)</f>
        <v>#DIV/0!</v>
      </c>
      <c r="Q781" s="1040" t="e">
        <f>IF($F381="","",$F381*chronic_consumption!L781/1000/$C$3)</f>
        <v>#DIV/0!</v>
      </c>
      <c r="R781" s="1040" t="e">
        <f>IF($F381="","",$F381*chronic_consumption!M781/1000/$C$3)</f>
        <v>#DIV/0!</v>
      </c>
      <c r="S781" s="1040" t="e">
        <f>IF($F381="","",$F381*chronic_consumption!N781/1000/$C$3)</f>
        <v>#DIV/0!</v>
      </c>
      <c r="T781" s="1040" t="e">
        <f>IF($F381="","",$F381*chronic_consumption!O781/1000/$C$3)</f>
        <v>#DIV/0!</v>
      </c>
      <c r="U781" s="1040" t="e">
        <f>IF($F381="","",$F381*chronic_consumption!P781/1000/$C$3)</f>
        <v>#DIV/0!</v>
      </c>
      <c r="V781" s="1040" t="e">
        <f>IF($F381="","",$F381*chronic_consumption!Q781/1000/$C$3)</f>
        <v>#DIV/0!</v>
      </c>
      <c r="W781" s="1040" t="e">
        <f>IF($F381="","",$F381*chronic_consumption!R781/1000/$C$3)</f>
        <v>#DIV/0!</v>
      </c>
      <c r="X781" s="1040" t="e">
        <f>IF($F381="","",$F381*chronic_consumption!S781/1000/$C$3)</f>
        <v>#DIV/0!</v>
      </c>
      <c r="Y781" s="1040" t="e">
        <f>IF($F381="","",$F381*chronic_consumption!T781/1000/$C$3)</f>
        <v>#DIV/0!</v>
      </c>
      <c r="Z781" s="1040" t="e">
        <f>IF($F381="","",$F381*chronic_consumption!U781/1000/$C$3)</f>
        <v>#DIV/0!</v>
      </c>
      <c r="AA781" s="1040" t="e">
        <f>IF($F381="","",$F381*chronic_consumption!V781/1000/$C$3)</f>
        <v>#DIV/0!</v>
      </c>
      <c r="AB781" s="1040" t="e">
        <f>IF($F381="","",$F381*chronic_consumption!W781/1000/$C$3)</f>
        <v>#DIV/0!</v>
      </c>
      <c r="AC781" s="1040" t="e">
        <f>IF($F381="","",$F381*chronic_consumption!X781/1000/$C$3)</f>
        <v>#DIV/0!</v>
      </c>
      <c r="AD781" s="1040" t="e">
        <f>IF($F381="","",$F381*chronic_consumption!Y781/1000/$C$3)</f>
        <v>#DIV/0!</v>
      </c>
      <c r="AE781" s="1040" t="e">
        <f>IF($F381="","",$F381*chronic_consumption!Z781/1000/$C$3)</f>
        <v>#DIV/0!</v>
      </c>
      <c r="AF781" s="1040" t="e">
        <f>IF($F381="","",$F381*chronic_consumption!AA781/1000/$C$3)</f>
        <v>#DIV/0!</v>
      </c>
      <c r="AG781" s="1040" t="e">
        <f>IF($F381="","",$F381*chronic_consumption!AB781/1000/$C$3)</f>
        <v>#DIV/0!</v>
      </c>
      <c r="AH781" s="1040" t="e">
        <f>IF($F381="","",$F381*chronic_consumption!AC781/1000/$C$3)</f>
        <v>#DIV/0!</v>
      </c>
      <c r="AI781" s="1040" t="e">
        <f>IF($F381="","",$F381*chronic_consumption!AD781/1000/$C$3)</f>
        <v>#DIV/0!</v>
      </c>
      <c r="AJ781" s="1040" t="e">
        <f>IF($F381="","",$F381*chronic_consumption!AE781/1000/$C$3)</f>
        <v>#DIV/0!</v>
      </c>
      <c r="AK781" s="1040" t="e">
        <f>IF($F381="","",$F381*chronic_consumption!AF781/1000/$C$3)</f>
        <v>#DIV/0!</v>
      </c>
      <c r="AL781" s="1040" t="e">
        <f>IF($F381="","",$F381*chronic_consumption!AG781/1000/$C$3)</f>
        <v>#DIV/0!</v>
      </c>
      <c r="AM781" s="1040" t="e">
        <f>IF($F381="","",$F381*chronic_consumption!AH781/1000/$C$3)</f>
        <v>#DIV/0!</v>
      </c>
      <c r="AN781" s="1040" t="e">
        <f>IF($F381="","",$F381*chronic_consumption!AI781/1000/$C$3)</f>
        <v>#DIV/0!</v>
      </c>
      <c r="AO781" s="1040" t="e">
        <f>IF($F381="","",$F381*chronic_consumption!AJ781/1000/$C$3)</f>
        <v>#DIV/0!</v>
      </c>
      <c r="AP781" s="1040" t="e">
        <f>IF($F381="","",$F381*chronic_consumption!AK781/1000/$C$3)</f>
        <v>#DIV/0!</v>
      </c>
      <c r="AQ781" s="1040" t="e">
        <f>IF($F381="","",$F381*chronic_consumption!AL781/1000/$C$3)</f>
        <v>#DIV/0!</v>
      </c>
      <c r="AR781" s="1040" t="e">
        <f>IF($F381="","",$F381*chronic_consumption!AM781/1000/$C$3)</f>
        <v>#DIV/0!</v>
      </c>
      <c r="AS781" s="1040" t="e">
        <f>IF($F381="","",$F381*chronic_consumption!AN781/1000/$C$3)</f>
        <v>#DIV/0!</v>
      </c>
      <c r="AT781" s="1040" t="e">
        <f>IF($F381="","",$F381*chronic_consumption!AO781/1000/$C$3)</f>
        <v>#DIV/0!</v>
      </c>
      <c r="AU781" s="1040" t="e">
        <f>IF($F381="","",$F381*chronic_consumption!AP781/1000/$C$3)</f>
        <v>#DIV/0!</v>
      </c>
      <c r="AV781" s="1040" t="e">
        <f>IF($F381="","",$F381*chronic_consumption!AQ781/1000/$C$3)</f>
        <v>#DIV/0!</v>
      </c>
      <c r="AW781" s="1040" t="e">
        <f>IF($F381="","",$F381*chronic_consumption!AR781/1000/$C$3)</f>
        <v>#DIV/0!</v>
      </c>
      <c r="AX781" s="1040" t="e">
        <f>IF($F381="","",$F381*chronic_consumption!AS781/1000/$C$3)</f>
        <v>#DIV/0!</v>
      </c>
      <c r="AY781" s="1040" t="e">
        <f>IF($F381="","",$F381*chronic_consumption!AT781/1000/$C$3)</f>
        <v>#DIV/0!</v>
      </c>
      <c r="AZ781" s="44" t="s">
        <v>20</v>
      </c>
      <c r="BC781" s="29"/>
      <c r="BD781" s="29"/>
    </row>
    <row r="782" spans="1:56" ht="12" hidden="1" customHeight="1" outlineLevel="3" x14ac:dyDescent="0.2">
      <c r="A782" s="21">
        <f>acute_overview_children!A382</f>
        <v>4</v>
      </c>
      <c r="B782" s="325">
        <f t="shared" si="54"/>
        <v>1030020</v>
      </c>
      <c r="C782" s="325" t="str">
        <f t="shared" si="54"/>
        <v>Eggs: Duck</v>
      </c>
      <c r="D782" s="135"/>
      <c r="E782" s="1027"/>
      <c r="F782" s="87"/>
      <c r="G782" s="1027"/>
      <c r="H782" s="1029"/>
      <c r="I782" s="1030"/>
      <c r="J782" s="1039" t="e">
        <f>IF($F382="","",$F382*chronic_consumption!E782/1000/$C$3)</f>
        <v>#DIV/0!</v>
      </c>
      <c r="K782" s="1040" t="e">
        <f>IF($F382="","",$F382*chronic_consumption!F782/1000/$C$3)</f>
        <v>#DIV/0!</v>
      </c>
      <c r="L782" s="1040" t="e">
        <f>IF($F382="","",$F382*chronic_consumption!G782/1000/$C$3)</f>
        <v>#DIV/0!</v>
      </c>
      <c r="M782" s="1040" t="e">
        <f>IF($F382="","",$F382*chronic_consumption!H782/1000/$C$3)</f>
        <v>#DIV/0!</v>
      </c>
      <c r="N782" s="1040" t="e">
        <f>IF($F382="","",$F382*chronic_consumption!I782/1000/$C$3)</f>
        <v>#DIV/0!</v>
      </c>
      <c r="O782" s="1040" t="e">
        <f>IF($F382="","",$F382*chronic_consumption!J782/1000/$C$3)</f>
        <v>#DIV/0!</v>
      </c>
      <c r="P782" s="1040" t="e">
        <f>IF($F382="","",$F382*chronic_consumption!K782/1000/$C$3)</f>
        <v>#DIV/0!</v>
      </c>
      <c r="Q782" s="1040" t="e">
        <f>IF($F382="","",$F382*chronic_consumption!L782/1000/$C$3)</f>
        <v>#DIV/0!</v>
      </c>
      <c r="R782" s="1040" t="e">
        <f>IF($F382="","",$F382*chronic_consumption!M782/1000/$C$3)</f>
        <v>#DIV/0!</v>
      </c>
      <c r="S782" s="1040" t="e">
        <f>IF($F382="","",$F382*chronic_consumption!N782/1000/$C$3)</f>
        <v>#DIV/0!</v>
      </c>
      <c r="T782" s="1040" t="e">
        <f>IF($F382="","",$F382*chronic_consumption!O782/1000/$C$3)</f>
        <v>#DIV/0!</v>
      </c>
      <c r="U782" s="1040" t="e">
        <f>IF($F382="","",$F382*chronic_consumption!P782/1000/$C$3)</f>
        <v>#DIV/0!</v>
      </c>
      <c r="V782" s="1040" t="e">
        <f>IF($F382="","",$F382*chronic_consumption!Q782/1000/$C$3)</f>
        <v>#DIV/0!</v>
      </c>
      <c r="W782" s="1040" t="e">
        <f>IF($F382="","",$F382*chronic_consumption!R782/1000/$C$3)</f>
        <v>#DIV/0!</v>
      </c>
      <c r="X782" s="1040" t="e">
        <f>IF($F382="","",$F382*chronic_consumption!S782/1000/$C$3)</f>
        <v>#DIV/0!</v>
      </c>
      <c r="Y782" s="1040" t="e">
        <f>IF($F382="","",$F382*chronic_consumption!T782/1000/$C$3)</f>
        <v>#DIV/0!</v>
      </c>
      <c r="Z782" s="1040" t="e">
        <f>IF($F382="","",$F382*chronic_consumption!U782/1000/$C$3)</f>
        <v>#DIV/0!</v>
      </c>
      <c r="AA782" s="1040" t="e">
        <f>IF($F382="","",$F382*chronic_consumption!V782/1000/$C$3)</f>
        <v>#DIV/0!</v>
      </c>
      <c r="AB782" s="1040" t="e">
        <f>IF($F382="","",$F382*chronic_consumption!W782/1000/$C$3)</f>
        <v>#DIV/0!</v>
      </c>
      <c r="AC782" s="1040" t="e">
        <f>IF($F382="","",$F382*chronic_consumption!X782/1000/$C$3)</f>
        <v>#DIV/0!</v>
      </c>
      <c r="AD782" s="1040" t="e">
        <f>IF($F382="","",$F382*chronic_consumption!Y782/1000/$C$3)</f>
        <v>#DIV/0!</v>
      </c>
      <c r="AE782" s="1040" t="e">
        <f>IF($F382="","",$F382*chronic_consumption!Z782/1000/$C$3)</f>
        <v>#DIV/0!</v>
      </c>
      <c r="AF782" s="1040" t="e">
        <f>IF($F382="","",$F382*chronic_consumption!AA782/1000/$C$3)</f>
        <v>#DIV/0!</v>
      </c>
      <c r="AG782" s="1040" t="e">
        <f>IF($F382="","",$F382*chronic_consumption!AB782/1000/$C$3)</f>
        <v>#DIV/0!</v>
      </c>
      <c r="AH782" s="1040" t="e">
        <f>IF($F382="","",$F382*chronic_consumption!AC782/1000/$C$3)</f>
        <v>#DIV/0!</v>
      </c>
      <c r="AI782" s="1040" t="e">
        <f>IF($F382="","",$F382*chronic_consumption!AD782/1000/$C$3)</f>
        <v>#DIV/0!</v>
      </c>
      <c r="AJ782" s="1040" t="e">
        <f>IF($F382="","",$F382*chronic_consumption!AE782/1000/$C$3)</f>
        <v>#DIV/0!</v>
      </c>
      <c r="AK782" s="1040" t="e">
        <f>IF($F382="","",$F382*chronic_consumption!AF782/1000/$C$3)</f>
        <v>#DIV/0!</v>
      </c>
      <c r="AL782" s="1040" t="e">
        <f>IF($F382="","",$F382*chronic_consumption!AG782/1000/$C$3)</f>
        <v>#DIV/0!</v>
      </c>
      <c r="AM782" s="1040" t="e">
        <f>IF($F382="","",$F382*chronic_consumption!AH782/1000/$C$3)</f>
        <v>#DIV/0!</v>
      </c>
      <c r="AN782" s="1040" t="e">
        <f>IF($F382="","",$F382*chronic_consumption!AI782/1000/$C$3)</f>
        <v>#DIV/0!</v>
      </c>
      <c r="AO782" s="1040" t="e">
        <f>IF($F382="","",$F382*chronic_consumption!AJ782/1000/$C$3)</f>
        <v>#DIV/0!</v>
      </c>
      <c r="AP782" s="1040" t="e">
        <f>IF($F382="","",$F382*chronic_consumption!AK782/1000/$C$3)</f>
        <v>#DIV/0!</v>
      </c>
      <c r="AQ782" s="1040" t="e">
        <f>IF($F382="","",$F382*chronic_consumption!AL782/1000/$C$3)</f>
        <v>#DIV/0!</v>
      </c>
      <c r="AR782" s="1040" t="e">
        <f>IF($F382="","",$F382*chronic_consumption!AM782/1000/$C$3)</f>
        <v>#DIV/0!</v>
      </c>
      <c r="AS782" s="1040" t="e">
        <f>IF($F382="","",$F382*chronic_consumption!AN782/1000/$C$3)</f>
        <v>#DIV/0!</v>
      </c>
      <c r="AT782" s="1040" t="e">
        <f>IF($F382="","",$F382*chronic_consumption!AO782/1000/$C$3)</f>
        <v>#DIV/0!</v>
      </c>
      <c r="AU782" s="1040" t="e">
        <f>IF($F382="","",$F382*chronic_consumption!AP782/1000/$C$3)</f>
        <v>#DIV/0!</v>
      </c>
      <c r="AV782" s="1040" t="e">
        <f>IF($F382="","",$F382*chronic_consumption!AQ782/1000/$C$3)</f>
        <v>#DIV/0!</v>
      </c>
      <c r="AW782" s="1040" t="e">
        <f>IF($F382="","",$F382*chronic_consumption!AR782/1000/$C$3)</f>
        <v>#DIV/0!</v>
      </c>
      <c r="AX782" s="1040" t="e">
        <f>IF($F382="","",$F382*chronic_consumption!AS782/1000/$C$3)</f>
        <v>#DIV/0!</v>
      </c>
      <c r="AY782" s="1040" t="e">
        <f>IF($F382="","",$F382*chronic_consumption!AT782/1000/$C$3)</f>
        <v>#DIV/0!</v>
      </c>
      <c r="AZ782" s="44" t="s">
        <v>20</v>
      </c>
      <c r="BC782" s="29"/>
      <c r="BD782" s="29"/>
    </row>
    <row r="783" spans="1:56" ht="12" hidden="1" customHeight="1" outlineLevel="3" x14ac:dyDescent="0.2">
      <c r="A783" s="21">
        <f>acute_overview_children!A383</f>
        <v>4</v>
      </c>
      <c r="B783" s="325">
        <f t="shared" si="54"/>
        <v>1030030</v>
      </c>
      <c r="C783" s="325" t="str">
        <f t="shared" si="54"/>
        <v>Eggs: Goose</v>
      </c>
      <c r="D783" s="135"/>
      <c r="E783" s="1027"/>
      <c r="F783" s="87"/>
      <c r="G783" s="1027"/>
      <c r="H783" s="1029"/>
      <c r="I783" s="1030"/>
      <c r="J783" s="1039" t="e">
        <f>IF($F383="","",$F383*chronic_consumption!E783/1000/$C$3)</f>
        <v>#DIV/0!</v>
      </c>
      <c r="K783" s="1040" t="e">
        <f>IF($F383="","",$F383*chronic_consumption!F783/1000/$C$3)</f>
        <v>#DIV/0!</v>
      </c>
      <c r="L783" s="1040" t="e">
        <f>IF($F383="","",$F383*chronic_consumption!G783/1000/$C$3)</f>
        <v>#DIV/0!</v>
      </c>
      <c r="M783" s="1040" t="e">
        <f>IF($F383="","",$F383*chronic_consumption!H783/1000/$C$3)</f>
        <v>#DIV/0!</v>
      </c>
      <c r="N783" s="1040" t="e">
        <f>IF($F383="","",$F383*chronic_consumption!I783/1000/$C$3)</f>
        <v>#DIV/0!</v>
      </c>
      <c r="O783" s="1040" t="e">
        <f>IF($F383="","",$F383*chronic_consumption!J783/1000/$C$3)</f>
        <v>#DIV/0!</v>
      </c>
      <c r="P783" s="1040" t="e">
        <f>IF($F383="","",$F383*chronic_consumption!K783/1000/$C$3)</f>
        <v>#DIV/0!</v>
      </c>
      <c r="Q783" s="1040" t="e">
        <f>IF($F383="","",$F383*chronic_consumption!L783/1000/$C$3)</f>
        <v>#DIV/0!</v>
      </c>
      <c r="R783" s="1040" t="e">
        <f>IF($F383="","",$F383*chronic_consumption!M783/1000/$C$3)</f>
        <v>#DIV/0!</v>
      </c>
      <c r="S783" s="1040" t="e">
        <f>IF($F383="","",$F383*chronic_consumption!N783/1000/$C$3)</f>
        <v>#DIV/0!</v>
      </c>
      <c r="T783" s="1040" t="e">
        <f>IF($F383="","",$F383*chronic_consumption!O783/1000/$C$3)</f>
        <v>#DIV/0!</v>
      </c>
      <c r="U783" s="1040" t="e">
        <f>IF($F383="","",$F383*chronic_consumption!P783/1000/$C$3)</f>
        <v>#DIV/0!</v>
      </c>
      <c r="V783" s="1040" t="e">
        <f>IF($F383="","",$F383*chronic_consumption!Q783/1000/$C$3)</f>
        <v>#DIV/0!</v>
      </c>
      <c r="W783" s="1040" t="e">
        <f>IF($F383="","",$F383*chronic_consumption!R783/1000/$C$3)</f>
        <v>#DIV/0!</v>
      </c>
      <c r="X783" s="1040" t="e">
        <f>IF($F383="","",$F383*chronic_consumption!S783/1000/$C$3)</f>
        <v>#DIV/0!</v>
      </c>
      <c r="Y783" s="1040" t="e">
        <f>IF($F383="","",$F383*chronic_consumption!T783/1000/$C$3)</f>
        <v>#DIV/0!</v>
      </c>
      <c r="Z783" s="1040" t="e">
        <f>IF($F383="","",$F383*chronic_consumption!U783/1000/$C$3)</f>
        <v>#DIV/0!</v>
      </c>
      <c r="AA783" s="1040" t="e">
        <f>IF($F383="","",$F383*chronic_consumption!V783/1000/$C$3)</f>
        <v>#DIV/0!</v>
      </c>
      <c r="AB783" s="1040" t="e">
        <f>IF($F383="","",$F383*chronic_consumption!W783/1000/$C$3)</f>
        <v>#DIV/0!</v>
      </c>
      <c r="AC783" s="1040" t="e">
        <f>IF($F383="","",$F383*chronic_consumption!X783/1000/$C$3)</f>
        <v>#DIV/0!</v>
      </c>
      <c r="AD783" s="1040" t="e">
        <f>IF($F383="","",$F383*chronic_consumption!Y783/1000/$C$3)</f>
        <v>#DIV/0!</v>
      </c>
      <c r="AE783" s="1040" t="e">
        <f>IF($F383="","",$F383*chronic_consumption!Z783/1000/$C$3)</f>
        <v>#DIV/0!</v>
      </c>
      <c r="AF783" s="1040" t="e">
        <f>IF($F383="","",$F383*chronic_consumption!AA783/1000/$C$3)</f>
        <v>#DIV/0!</v>
      </c>
      <c r="AG783" s="1040" t="e">
        <f>IF($F383="","",$F383*chronic_consumption!AB783/1000/$C$3)</f>
        <v>#DIV/0!</v>
      </c>
      <c r="AH783" s="1040" t="e">
        <f>IF($F383="","",$F383*chronic_consumption!AC783/1000/$C$3)</f>
        <v>#DIV/0!</v>
      </c>
      <c r="AI783" s="1040" t="e">
        <f>IF($F383="","",$F383*chronic_consumption!AD783/1000/$C$3)</f>
        <v>#DIV/0!</v>
      </c>
      <c r="AJ783" s="1040" t="e">
        <f>IF($F383="","",$F383*chronic_consumption!AE783/1000/$C$3)</f>
        <v>#DIV/0!</v>
      </c>
      <c r="AK783" s="1040" t="e">
        <f>IF($F383="","",$F383*chronic_consumption!AF783/1000/$C$3)</f>
        <v>#DIV/0!</v>
      </c>
      <c r="AL783" s="1040" t="e">
        <f>IF($F383="","",$F383*chronic_consumption!AG783/1000/$C$3)</f>
        <v>#DIV/0!</v>
      </c>
      <c r="AM783" s="1040" t="e">
        <f>IF($F383="","",$F383*chronic_consumption!AH783/1000/$C$3)</f>
        <v>#DIV/0!</v>
      </c>
      <c r="AN783" s="1040" t="e">
        <f>IF($F383="","",$F383*chronic_consumption!AI783/1000/$C$3)</f>
        <v>#DIV/0!</v>
      </c>
      <c r="AO783" s="1040" t="e">
        <f>IF($F383="","",$F383*chronic_consumption!AJ783/1000/$C$3)</f>
        <v>#DIV/0!</v>
      </c>
      <c r="AP783" s="1040" t="e">
        <f>IF($F383="","",$F383*chronic_consumption!AK783/1000/$C$3)</f>
        <v>#DIV/0!</v>
      </c>
      <c r="AQ783" s="1040" t="e">
        <f>IF($F383="","",$F383*chronic_consumption!AL783/1000/$C$3)</f>
        <v>#DIV/0!</v>
      </c>
      <c r="AR783" s="1040" t="e">
        <f>IF($F383="","",$F383*chronic_consumption!AM783/1000/$C$3)</f>
        <v>#DIV/0!</v>
      </c>
      <c r="AS783" s="1040" t="e">
        <f>IF($F383="","",$F383*chronic_consumption!AN783/1000/$C$3)</f>
        <v>#DIV/0!</v>
      </c>
      <c r="AT783" s="1040" t="e">
        <f>IF($F383="","",$F383*chronic_consumption!AO783/1000/$C$3)</f>
        <v>#DIV/0!</v>
      </c>
      <c r="AU783" s="1040" t="e">
        <f>IF($F383="","",$F383*chronic_consumption!AP783/1000/$C$3)</f>
        <v>#DIV/0!</v>
      </c>
      <c r="AV783" s="1040" t="e">
        <f>IF($F383="","",$F383*chronic_consumption!AQ783/1000/$C$3)</f>
        <v>#DIV/0!</v>
      </c>
      <c r="AW783" s="1040" t="e">
        <f>IF($F383="","",$F383*chronic_consumption!AR783/1000/$C$3)</f>
        <v>#DIV/0!</v>
      </c>
      <c r="AX783" s="1040" t="e">
        <f>IF($F383="","",$F383*chronic_consumption!AS783/1000/$C$3)</f>
        <v>#DIV/0!</v>
      </c>
      <c r="AY783" s="1040" t="e">
        <f>IF($F383="","",$F383*chronic_consumption!AT783/1000/$C$3)</f>
        <v>#DIV/0!</v>
      </c>
      <c r="AZ783" s="44" t="s">
        <v>20</v>
      </c>
      <c r="BC783" s="29"/>
      <c r="BD783" s="29"/>
    </row>
    <row r="784" spans="1:56" ht="12" hidden="1" customHeight="1" outlineLevel="3" x14ac:dyDescent="0.2">
      <c r="A784" s="21">
        <f>acute_overview_children!A384</f>
        <v>4</v>
      </c>
      <c r="B784" s="325">
        <f t="shared" si="54"/>
        <v>1030040</v>
      </c>
      <c r="C784" s="325" t="str">
        <f t="shared" si="54"/>
        <v xml:space="preserve">Eggs: Quail </v>
      </c>
      <c r="D784" s="135"/>
      <c r="E784" s="1027"/>
      <c r="F784" s="87"/>
      <c r="G784" s="1027"/>
      <c r="H784" s="1029"/>
      <c r="I784" s="1030"/>
      <c r="J784" s="1039" t="e">
        <f>IF($F384="","",$F384*chronic_consumption!E784/1000/$C$3)</f>
        <v>#DIV/0!</v>
      </c>
      <c r="K784" s="1040" t="e">
        <f>IF($F384="","",$F384*chronic_consumption!F784/1000/$C$3)</f>
        <v>#DIV/0!</v>
      </c>
      <c r="L784" s="1040" t="e">
        <f>IF($F384="","",$F384*chronic_consumption!G784/1000/$C$3)</f>
        <v>#DIV/0!</v>
      </c>
      <c r="M784" s="1040" t="e">
        <f>IF($F384="","",$F384*chronic_consumption!H784/1000/$C$3)</f>
        <v>#DIV/0!</v>
      </c>
      <c r="N784" s="1040" t="e">
        <f>IF($F384="","",$F384*chronic_consumption!I784/1000/$C$3)</f>
        <v>#DIV/0!</v>
      </c>
      <c r="O784" s="1040" t="e">
        <f>IF($F384="","",$F384*chronic_consumption!J784/1000/$C$3)</f>
        <v>#DIV/0!</v>
      </c>
      <c r="P784" s="1040" t="e">
        <f>IF($F384="","",$F384*chronic_consumption!K784/1000/$C$3)</f>
        <v>#DIV/0!</v>
      </c>
      <c r="Q784" s="1040" t="e">
        <f>IF($F384="","",$F384*chronic_consumption!L784/1000/$C$3)</f>
        <v>#DIV/0!</v>
      </c>
      <c r="R784" s="1040" t="e">
        <f>IF($F384="","",$F384*chronic_consumption!M784/1000/$C$3)</f>
        <v>#DIV/0!</v>
      </c>
      <c r="S784" s="1040" t="e">
        <f>IF($F384="","",$F384*chronic_consumption!N784/1000/$C$3)</f>
        <v>#DIV/0!</v>
      </c>
      <c r="T784" s="1040" t="e">
        <f>IF($F384="","",$F384*chronic_consumption!O784/1000/$C$3)</f>
        <v>#DIV/0!</v>
      </c>
      <c r="U784" s="1040" t="e">
        <f>IF($F384="","",$F384*chronic_consumption!P784/1000/$C$3)</f>
        <v>#DIV/0!</v>
      </c>
      <c r="V784" s="1040" t="e">
        <f>IF($F384="","",$F384*chronic_consumption!Q784/1000/$C$3)</f>
        <v>#DIV/0!</v>
      </c>
      <c r="W784" s="1040" t="e">
        <f>IF($F384="","",$F384*chronic_consumption!R784/1000/$C$3)</f>
        <v>#DIV/0!</v>
      </c>
      <c r="X784" s="1040" t="e">
        <f>IF($F384="","",$F384*chronic_consumption!S784/1000/$C$3)</f>
        <v>#DIV/0!</v>
      </c>
      <c r="Y784" s="1040" t="e">
        <f>IF($F384="","",$F384*chronic_consumption!T784/1000/$C$3)</f>
        <v>#DIV/0!</v>
      </c>
      <c r="Z784" s="1040" t="e">
        <f>IF($F384="","",$F384*chronic_consumption!U784/1000/$C$3)</f>
        <v>#DIV/0!</v>
      </c>
      <c r="AA784" s="1040" t="e">
        <f>IF($F384="","",$F384*chronic_consumption!V784/1000/$C$3)</f>
        <v>#DIV/0!</v>
      </c>
      <c r="AB784" s="1040" t="e">
        <f>IF($F384="","",$F384*chronic_consumption!W784/1000/$C$3)</f>
        <v>#DIV/0!</v>
      </c>
      <c r="AC784" s="1040" t="e">
        <f>IF($F384="","",$F384*chronic_consumption!X784/1000/$C$3)</f>
        <v>#DIV/0!</v>
      </c>
      <c r="AD784" s="1040" t="e">
        <f>IF($F384="","",$F384*chronic_consumption!Y784/1000/$C$3)</f>
        <v>#DIV/0!</v>
      </c>
      <c r="AE784" s="1040" t="e">
        <f>IF($F384="","",$F384*chronic_consumption!Z784/1000/$C$3)</f>
        <v>#DIV/0!</v>
      </c>
      <c r="AF784" s="1040" t="e">
        <f>IF($F384="","",$F384*chronic_consumption!AA784/1000/$C$3)</f>
        <v>#DIV/0!</v>
      </c>
      <c r="AG784" s="1040" t="e">
        <f>IF($F384="","",$F384*chronic_consumption!AB784/1000/$C$3)</f>
        <v>#DIV/0!</v>
      </c>
      <c r="AH784" s="1040" t="e">
        <f>IF($F384="","",$F384*chronic_consumption!AC784/1000/$C$3)</f>
        <v>#DIV/0!</v>
      </c>
      <c r="AI784" s="1040" t="e">
        <f>IF($F384="","",$F384*chronic_consumption!AD784/1000/$C$3)</f>
        <v>#DIV/0!</v>
      </c>
      <c r="AJ784" s="1040" t="e">
        <f>IF($F384="","",$F384*chronic_consumption!AE784/1000/$C$3)</f>
        <v>#DIV/0!</v>
      </c>
      <c r="AK784" s="1040" t="e">
        <f>IF($F384="","",$F384*chronic_consumption!AF784/1000/$C$3)</f>
        <v>#DIV/0!</v>
      </c>
      <c r="AL784" s="1040" t="e">
        <f>IF($F384="","",$F384*chronic_consumption!AG784/1000/$C$3)</f>
        <v>#DIV/0!</v>
      </c>
      <c r="AM784" s="1040" t="e">
        <f>IF($F384="","",$F384*chronic_consumption!AH784/1000/$C$3)</f>
        <v>#DIV/0!</v>
      </c>
      <c r="AN784" s="1040" t="e">
        <f>IF($F384="","",$F384*chronic_consumption!AI784/1000/$C$3)</f>
        <v>#DIV/0!</v>
      </c>
      <c r="AO784" s="1040" t="e">
        <f>IF($F384="","",$F384*chronic_consumption!AJ784/1000/$C$3)</f>
        <v>#DIV/0!</v>
      </c>
      <c r="AP784" s="1040" t="e">
        <f>IF($F384="","",$F384*chronic_consumption!AK784/1000/$C$3)</f>
        <v>#DIV/0!</v>
      </c>
      <c r="AQ784" s="1040" t="e">
        <f>IF($F384="","",$F384*chronic_consumption!AL784/1000/$C$3)</f>
        <v>#DIV/0!</v>
      </c>
      <c r="AR784" s="1040" t="e">
        <f>IF($F384="","",$F384*chronic_consumption!AM784/1000/$C$3)</f>
        <v>#DIV/0!</v>
      </c>
      <c r="AS784" s="1040" t="e">
        <f>IF($F384="","",$F384*chronic_consumption!AN784/1000/$C$3)</f>
        <v>#DIV/0!</v>
      </c>
      <c r="AT784" s="1040" t="e">
        <f>IF($F384="","",$F384*chronic_consumption!AO784/1000/$C$3)</f>
        <v>#DIV/0!</v>
      </c>
      <c r="AU784" s="1040" t="e">
        <f>IF($F384="","",$F384*chronic_consumption!AP784/1000/$C$3)</f>
        <v>#DIV/0!</v>
      </c>
      <c r="AV784" s="1040" t="e">
        <f>IF($F384="","",$F384*chronic_consumption!AQ784/1000/$C$3)</f>
        <v>#DIV/0!</v>
      </c>
      <c r="AW784" s="1040" t="e">
        <f>IF($F384="","",$F384*chronic_consumption!AR784/1000/$C$3)</f>
        <v>#DIV/0!</v>
      </c>
      <c r="AX784" s="1040" t="e">
        <f>IF($F384="","",$F384*chronic_consumption!AS784/1000/$C$3)</f>
        <v>#DIV/0!</v>
      </c>
      <c r="AY784" s="1040" t="e">
        <f>IF($F384="","",$F384*chronic_consumption!AT784/1000/$C$3)</f>
        <v>#DIV/0!</v>
      </c>
      <c r="AZ784" s="44" t="s">
        <v>20</v>
      </c>
      <c r="BC784" s="29"/>
      <c r="BD784" s="29"/>
    </row>
    <row r="785" spans="1:57" ht="12" hidden="1" customHeight="1" outlineLevel="3" x14ac:dyDescent="0.2">
      <c r="A785" s="21">
        <f>acute_overview_children!A385</f>
        <v>4</v>
      </c>
      <c r="B785" s="325">
        <f t="shared" si="54"/>
        <v>1030990</v>
      </c>
      <c r="C785" s="325" t="str">
        <f t="shared" si="54"/>
        <v>Eggs: Others</v>
      </c>
      <c r="D785" s="135"/>
      <c r="E785" s="1027"/>
      <c r="F785" s="87"/>
      <c r="G785" s="1027"/>
      <c r="H785" s="1029"/>
      <c r="I785" s="1030"/>
      <c r="J785" s="1039" t="e">
        <f>IF($F385="","",$F385*chronic_consumption!E785/1000/$C$3)</f>
        <v>#DIV/0!</v>
      </c>
      <c r="K785" s="1040" t="e">
        <f>IF($F385="","",$F385*chronic_consumption!F785/1000/$C$3)</f>
        <v>#DIV/0!</v>
      </c>
      <c r="L785" s="1040" t="e">
        <f>IF($F385="","",$F385*chronic_consumption!G785/1000/$C$3)</f>
        <v>#DIV/0!</v>
      </c>
      <c r="M785" s="1040" t="e">
        <f>IF($F385="","",$F385*chronic_consumption!H785/1000/$C$3)</f>
        <v>#DIV/0!</v>
      </c>
      <c r="N785" s="1040" t="e">
        <f>IF($F385="","",$F385*chronic_consumption!I785/1000/$C$3)</f>
        <v>#DIV/0!</v>
      </c>
      <c r="O785" s="1040" t="e">
        <f>IF($F385="","",$F385*chronic_consumption!J785/1000/$C$3)</f>
        <v>#DIV/0!</v>
      </c>
      <c r="P785" s="1040" t="e">
        <f>IF($F385="","",$F385*chronic_consumption!K785/1000/$C$3)</f>
        <v>#DIV/0!</v>
      </c>
      <c r="Q785" s="1040" t="e">
        <f>IF($F385="","",$F385*chronic_consumption!L785/1000/$C$3)</f>
        <v>#DIV/0!</v>
      </c>
      <c r="R785" s="1040" t="e">
        <f>IF($F385="","",$F385*chronic_consumption!M785/1000/$C$3)</f>
        <v>#DIV/0!</v>
      </c>
      <c r="S785" s="1040" t="e">
        <f>IF($F385="","",$F385*chronic_consumption!N785/1000/$C$3)</f>
        <v>#DIV/0!</v>
      </c>
      <c r="T785" s="1040" t="e">
        <f>IF($F385="","",$F385*chronic_consumption!O785/1000/$C$3)</f>
        <v>#DIV/0!</v>
      </c>
      <c r="U785" s="1040" t="e">
        <f>IF($F385="","",$F385*chronic_consumption!P785/1000/$C$3)</f>
        <v>#DIV/0!</v>
      </c>
      <c r="V785" s="1040" t="e">
        <f>IF($F385="","",$F385*chronic_consumption!Q785/1000/$C$3)</f>
        <v>#DIV/0!</v>
      </c>
      <c r="W785" s="1040" t="e">
        <f>IF($F385="","",$F385*chronic_consumption!R785/1000/$C$3)</f>
        <v>#DIV/0!</v>
      </c>
      <c r="X785" s="1040" t="e">
        <f>IF($F385="","",$F385*chronic_consumption!S785/1000/$C$3)</f>
        <v>#DIV/0!</v>
      </c>
      <c r="Y785" s="1040" t="e">
        <f>IF($F385="","",$F385*chronic_consumption!T785/1000/$C$3)</f>
        <v>#DIV/0!</v>
      </c>
      <c r="Z785" s="1040" t="e">
        <f>IF($F385="","",$F385*chronic_consumption!U785/1000/$C$3)</f>
        <v>#DIV/0!</v>
      </c>
      <c r="AA785" s="1040" t="e">
        <f>IF($F385="","",$F385*chronic_consumption!V785/1000/$C$3)</f>
        <v>#DIV/0!</v>
      </c>
      <c r="AB785" s="1040" t="e">
        <f>IF($F385="","",$F385*chronic_consumption!W785/1000/$C$3)</f>
        <v>#DIV/0!</v>
      </c>
      <c r="AC785" s="1040" t="e">
        <f>IF($F385="","",$F385*chronic_consumption!X785/1000/$C$3)</f>
        <v>#DIV/0!</v>
      </c>
      <c r="AD785" s="1040" t="e">
        <f>IF($F385="","",$F385*chronic_consumption!Y785/1000/$C$3)</f>
        <v>#DIV/0!</v>
      </c>
      <c r="AE785" s="1040" t="e">
        <f>IF($F385="","",$F385*chronic_consumption!Z785/1000/$C$3)</f>
        <v>#DIV/0!</v>
      </c>
      <c r="AF785" s="1040" t="e">
        <f>IF($F385="","",$F385*chronic_consumption!AA785/1000/$C$3)</f>
        <v>#DIV/0!</v>
      </c>
      <c r="AG785" s="1040" t="e">
        <f>IF($F385="","",$F385*chronic_consumption!AB785/1000/$C$3)</f>
        <v>#DIV/0!</v>
      </c>
      <c r="AH785" s="1040" t="e">
        <f>IF($F385="","",$F385*chronic_consumption!AC785/1000/$C$3)</f>
        <v>#DIV/0!</v>
      </c>
      <c r="AI785" s="1040" t="e">
        <f>IF($F385="","",$F385*chronic_consumption!AD785/1000/$C$3)</f>
        <v>#DIV/0!</v>
      </c>
      <c r="AJ785" s="1040" t="e">
        <f>IF($F385="","",$F385*chronic_consumption!AE785/1000/$C$3)</f>
        <v>#DIV/0!</v>
      </c>
      <c r="AK785" s="1040" t="e">
        <f>IF($F385="","",$F385*chronic_consumption!AF785/1000/$C$3)</f>
        <v>#DIV/0!</v>
      </c>
      <c r="AL785" s="1040" t="e">
        <f>IF($F385="","",$F385*chronic_consumption!AG785/1000/$C$3)</f>
        <v>#DIV/0!</v>
      </c>
      <c r="AM785" s="1040" t="e">
        <f>IF($F385="","",$F385*chronic_consumption!AH785/1000/$C$3)</f>
        <v>#DIV/0!</v>
      </c>
      <c r="AN785" s="1040" t="e">
        <f>IF($F385="","",$F385*chronic_consumption!AI785/1000/$C$3)</f>
        <v>#DIV/0!</v>
      </c>
      <c r="AO785" s="1040" t="e">
        <f>IF($F385="","",$F385*chronic_consumption!AJ785/1000/$C$3)</f>
        <v>#DIV/0!</v>
      </c>
      <c r="AP785" s="1040" t="e">
        <f>IF($F385="","",$F385*chronic_consumption!AK785/1000/$C$3)</f>
        <v>#DIV/0!</v>
      </c>
      <c r="AQ785" s="1040" t="e">
        <f>IF($F385="","",$F385*chronic_consumption!AL785/1000/$C$3)</f>
        <v>#DIV/0!</v>
      </c>
      <c r="AR785" s="1040" t="e">
        <f>IF($F385="","",$F385*chronic_consumption!AM785/1000/$C$3)</f>
        <v>#DIV/0!</v>
      </c>
      <c r="AS785" s="1040" t="e">
        <f>IF($F385="","",$F385*chronic_consumption!AN785/1000/$C$3)</f>
        <v>#DIV/0!</v>
      </c>
      <c r="AT785" s="1040" t="e">
        <f>IF($F385="","",$F385*chronic_consumption!AO785/1000/$C$3)</f>
        <v>#DIV/0!</v>
      </c>
      <c r="AU785" s="1040" t="e">
        <f>IF($F385="","",$F385*chronic_consumption!AP785/1000/$C$3)</f>
        <v>#DIV/0!</v>
      </c>
      <c r="AV785" s="1040" t="e">
        <f>IF($F385="","",$F385*chronic_consumption!AQ785/1000/$C$3)</f>
        <v>#DIV/0!</v>
      </c>
      <c r="AW785" s="1040" t="e">
        <f>IF($F385="","",$F385*chronic_consumption!AR785/1000/$C$3)</f>
        <v>#DIV/0!</v>
      </c>
      <c r="AX785" s="1040" t="e">
        <f>IF($F385="","",$F385*chronic_consumption!AS785/1000/$C$3)</f>
        <v>#DIV/0!</v>
      </c>
      <c r="AY785" s="1040" t="e">
        <f>IF($F385="","",$F385*chronic_consumption!AT785/1000/$C$3)</f>
        <v>#DIV/0!</v>
      </c>
      <c r="AZ785" s="44" t="s">
        <v>20</v>
      </c>
      <c r="BC785" s="29"/>
      <c r="BD785" s="29"/>
    </row>
    <row r="786" spans="1:57" ht="12" hidden="1" customHeight="1" outlineLevel="1" x14ac:dyDescent="0.2">
      <c r="A786" s="1033">
        <f>acute_overview_children!A386</f>
        <v>2</v>
      </c>
      <c r="B786" s="1034">
        <f t="shared" si="54"/>
        <v>1040000</v>
      </c>
      <c r="C786" s="1034" t="str">
        <f t="shared" si="54"/>
        <v>Honey and other apiculture products</v>
      </c>
      <c r="D786" s="1035"/>
      <c r="E786" s="1027"/>
      <c r="F786" s="87"/>
      <c r="G786" s="1027"/>
      <c r="H786" s="1029"/>
      <c r="I786" s="1030"/>
      <c r="J786" s="1037" t="e">
        <f>IF($F386="","",$F386*chronic_consumption!E786/1000/$C$3)</f>
        <v>#DIV/0!</v>
      </c>
      <c r="K786" s="1038" t="e">
        <f>IF($F386="","",$F386*chronic_consumption!F786/1000/$C$3)</f>
        <v>#DIV/0!</v>
      </c>
      <c r="L786" s="1038" t="e">
        <f>IF($F386="","",$F386*chronic_consumption!G786/1000/$C$3)</f>
        <v>#DIV/0!</v>
      </c>
      <c r="M786" s="1038" t="e">
        <f>IF($F386="","",$F386*chronic_consumption!H786/1000/$C$3)</f>
        <v>#DIV/0!</v>
      </c>
      <c r="N786" s="1038" t="e">
        <f>IF($F386="","",$F386*chronic_consumption!I786/1000/$C$3)</f>
        <v>#DIV/0!</v>
      </c>
      <c r="O786" s="1038" t="e">
        <f>IF($F386="","",$F386*chronic_consumption!J786/1000/$C$3)</f>
        <v>#DIV/0!</v>
      </c>
      <c r="P786" s="1038" t="e">
        <f>IF($F386="","",$F386*chronic_consumption!K786/1000/$C$3)</f>
        <v>#DIV/0!</v>
      </c>
      <c r="Q786" s="1038" t="e">
        <f>IF($F386="","",$F386*chronic_consumption!L786/1000/$C$3)</f>
        <v>#DIV/0!</v>
      </c>
      <c r="R786" s="1038" t="e">
        <f>IF($F386="","",$F386*chronic_consumption!M786/1000/$C$3)</f>
        <v>#DIV/0!</v>
      </c>
      <c r="S786" s="1038" t="e">
        <f>IF($F386="","",$F386*chronic_consumption!N786/1000/$C$3)</f>
        <v>#DIV/0!</v>
      </c>
      <c r="T786" s="1038" t="e">
        <f>IF($F386="","",$F386*chronic_consumption!O786/1000/$C$3)</f>
        <v>#DIV/0!</v>
      </c>
      <c r="U786" s="1038" t="e">
        <f>IF($F386="","",$F386*chronic_consumption!P786/1000/$C$3)</f>
        <v>#DIV/0!</v>
      </c>
      <c r="V786" s="1038" t="e">
        <f>IF($F386="","",$F386*chronic_consumption!Q786/1000/$C$3)</f>
        <v>#DIV/0!</v>
      </c>
      <c r="W786" s="1038" t="e">
        <f>IF($F386="","",$F386*chronic_consumption!R786/1000/$C$3)</f>
        <v>#DIV/0!</v>
      </c>
      <c r="X786" s="1038" t="e">
        <f>IF($F386="","",$F386*chronic_consumption!S786/1000/$C$3)</f>
        <v>#DIV/0!</v>
      </c>
      <c r="Y786" s="1038" t="e">
        <f>IF($F386="","",$F386*chronic_consumption!T786/1000/$C$3)</f>
        <v>#DIV/0!</v>
      </c>
      <c r="Z786" s="1038" t="e">
        <f>IF($F386="","",$F386*chronic_consumption!U786/1000/$C$3)</f>
        <v>#DIV/0!</v>
      </c>
      <c r="AA786" s="1038" t="e">
        <f>IF($F386="","",$F386*chronic_consumption!V786/1000/$C$3)</f>
        <v>#DIV/0!</v>
      </c>
      <c r="AB786" s="1038" t="e">
        <f>IF($F386="","",$F386*chronic_consumption!W786/1000/$C$3)</f>
        <v>#DIV/0!</v>
      </c>
      <c r="AC786" s="1038" t="e">
        <f>IF($F386="","",$F386*chronic_consumption!X786/1000/$C$3)</f>
        <v>#DIV/0!</v>
      </c>
      <c r="AD786" s="1038" t="e">
        <f>IF($F386="","",$F386*chronic_consumption!Y786/1000/$C$3)</f>
        <v>#DIV/0!</v>
      </c>
      <c r="AE786" s="1038" t="e">
        <f>IF($F386="","",$F386*chronic_consumption!Z786/1000/$C$3)</f>
        <v>#DIV/0!</v>
      </c>
      <c r="AF786" s="1038" t="e">
        <f>IF($F386="","",$F386*chronic_consumption!AA786/1000/$C$3)</f>
        <v>#DIV/0!</v>
      </c>
      <c r="AG786" s="1038" t="e">
        <f>IF($F386="","",$F386*chronic_consumption!AB786/1000/$C$3)</f>
        <v>#DIV/0!</v>
      </c>
      <c r="AH786" s="1038" t="e">
        <f>IF($F386="","",$F386*chronic_consumption!AC786/1000/$C$3)</f>
        <v>#DIV/0!</v>
      </c>
      <c r="AI786" s="1038" t="e">
        <f>IF($F386="","",$F386*chronic_consumption!AD786/1000/$C$3)</f>
        <v>#DIV/0!</v>
      </c>
      <c r="AJ786" s="1038" t="e">
        <f>IF($F386="","",$F386*chronic_consumption!AE786/1000/$C$3)</f>
        <v>#DIV/0!</v>
      </c>
      <c r="AK786" s="1038" t="e">
        <f>IF($F386="","",$F386*chronic_consumption!AF786/1000/$C$3)</f>
        <v>#DIV/0!</v>
      </c>
      <c r="AL786" s="1038" t="e">
        <f>IF($F386="","",$F386*chronic_consumption!AG786/1000/$C$3)</f>
        <v>#DIV/0!</v>
      </c>
      <c r="AM786" s="1038" t="e">
        <f>IF($F386="","",$F386*chronic_consumption!AH786/1000/$C$3)</f>
        <v>#DIV/0!</v>
      </c>
      <c r="AN786" s="1038" t="e">
        <f>IF($F386="","",$F386*chronic_consumption!AI786/1000/$C$3)</f>
        <v>#DIV/0!</v>
      </c>
      <c r="AO786" s="1038" t="e">
        <f>IF($F386="","",$F386*chronic_consumption!AJ786/1000/$C$3)</f>
        <v>#DIV/0!</v>
      </c>
      <c r="AP786" s="1038" t="e">
        <f>IF($F386="","",$F386*chronic_consumption!AK786/1000/$C$3)</f>
        <v>#DIV/0!</v>
      </c>
      <c r="AQ786" s="1038" t="e">
        <f>IF($F386="","",$F386*chronic_consumption!AL786/1000/$C$3)</f>
        <v>#DIV/0!</v>
      </c>
      <c r="AR786" s="1038" t="e">
        <f>IF($F386="","",$F386*chronic_consumption!AM786/1000/$C$3)</f>
        <v>#DIV/0!</v>
      </c>
      <c r="AS786" s="1038" t="e">
        <f>IF($F386="","",$F386*chronic_consumption!AN786/1000/$C$3)</f>
        <v>#DIV/0!</v>
      </c>
      <c r="AT786" s="1038" t="e">
        <f>IF($F386="","",$F386*chronic_consumption!AO786/1000/$C$3)</f>
        <v>#DIV/0!</v>
      </c>
      <c r="AU786" s="1038" t="e">
        <f>IF($F386="","",$F386*chronic_consumption!AP786/1000/$C$3)</f>
        <v>#DIV/0!</v>
      </c>
      <c r="AV786" s="1038" t="e">
        <f>IF($F386="","",$F386*chronic_consumption!AQ786/1000/$C$3)</f>
        <v>#DIV/0!</v>
      </c>
      <c r="AW786" s="1038" t="e">
        <f>IF($F386="","",$F386*chronic_consumption!AR786/1000/$C$3)</f>
        <v>#DIV/0!</v>
      </c>
      <c r="AX786" s="1038" t="e">
        <f>IF($F386="","",$F386*chronic_consumption!AS786/1000/$C$3)</f>
        <v>#DIV/0!</v>
      </c>
      <c r="AY786" s="1038" t="e">
        <f>IF($F386="","",$F386*chronic_consumption!AT786/1000/$C$3)</f>
        <v>#DIV/0!</v>
      </c>
      <c r="AZ786" s="44" t="s">
        <v>20</v>
      </c>
      <c r="BC786" s="29"/>
      <c r="BD786" s="29"/>
    </row>
    <row r="787" spans="1:57" ht="12" hidden="1" customHeight="1" outlineLevel="1" x14ac:dyDescent="0.2">
      <c r="A787" s="1033">
        <f>acute_overview_children!A387</f>
        <v>2</v>
      </c>
      <c r="B787" s="1034">
        <f t="shared" si="54"/>
        <v>1050000</v>
      </c>
      <c r="C787" s="1034" t="str">
        <f t="shared" si="54"/>
        <v xml:space="preserve">Amphibians and reptiles </v>
      </c>
      <c r="D787" s="1035"/>
      <c r="E787" s="1027"/>
      <c r="F787" s="87"/>
      <c r="G787" s="1027"/>
      <c r="H787" s="1029"/>
      <c r="I787" s="1030"/>
      <c r="J787" s="1037" t="e">
        <f>IF($F387="","",$F387*chronic_consumption!E787/1000/$C$3)</f>
        <v>#DIV/0!</v>
      </c>
      <c r="K787" s="1038" t="e">
        <f>IF($F387="","",$F387*chronic_consumption!F787/1000/$C$3)</f>
        <v>#DIV/0!</v>
      </c>
      <c r="L787" s="1038" t="e">
        <f>IF($F387="","",$F387*chronic_consumption!G787/1000/$C$3)</f>
        <v>#DIV/0!</v>
      </c>
      <c r="M787" s="1038" t="e">
        <f>IF($F387="","",$F387*chronic_consumption!H787/1000/$C$3)</f>
        <v>#DIV/0!</v>
      </c>
      <c r="N787" s="1038" t="e">
        <f>IF($F387="","",$F387*chronic_consumption!I787/1000/$C$3)</f>
        <v>#DIV/0!</v>
      </c>
      <c r="O787" s="1038" t="e">
        <f>IF($F387="","",$F387*chronic_consumption!J787/1000/$C$3)</f>
        <v>#DIV/0!</v>
      </c>
      <c r="P787" s="1038" t="e">
        <f>IF($F387="","",$F387*chronic_consumption!K787/1000/$C$3)</f>
        <v>#DIV/0!</v>
      </c>
      <c r="Q787" s="1038" t="e">
        <f>IF($F387="","",$F387*chronic_consumption!L787/1000/$C$3)</f>
        <v>#DIV/0!</v>
      </c>
      <c r="R787" s="1038" t="e">
        <f>IF($F387="","",$F387*chronic_consumption!M787/1000/$C$3)</f>
        <v>#DIV/0!</v>
      </c>
      <c r="S787" s="1038" t="e">
        <f>IF($F387="","",$F387*chronic_consumption!N787/1000/$C$3)</f>
        <v>#DIV/0!</v>
      </c>
      <c r="T787" s="1038" t="e">
        <f>IF($F387="","",$F387*chronic_consumption!O787/1000/$C$3)</f>
        <v>#DIV/0!</v>
      </c>
      <c r="U787" s="1038" t="e">
        <f>IF($F387="","",$F387*chronic_consumption!P787/1000/$C$3)</f>
        <v>#DIV/0!</v>
      </c>
      <c r="V787" s="1038" t="e">
        <f>IF($F387="","",$F387*chronic_consumption!Q787/1000/$C$3)</f>
        <v>#DIV/0!</v>
      </c>
      <c r="W787" s="1038" t="e">
        <f>IF($F387="","",$F387*chronic_consumption!R787/1000/$C$3)</f>
        <v>#DIV/0!</v>
      </c>
      <c r="X787" s="1038" t="e">
        <f>IF($F387="","",$F387*chronic_consumption!S787/1000/$C$3)</f>
        <v>#DIV/0!</v>
      </c>
      <c r="Y787" s="1038" t="e">
        <f>IF($F387="","",$F387*chronic_consumption!T787/1000/$C$3)</f>
        <v>#DIV/0!</v>
      </c>
      <c r="Z787" s="1038" t="e">
        <f>IF($F387="","",$F387*chronic_consumption!U787/1000/$C$3)</f>
        <v>#DIV/0!</v>
      </c>
      <c r="AA787" s="1038" t="e">
        <f>IF($F387="","",$F387*chronic_consumption!V787/1000/$C$3)</f>
        <v>#DIV/0!</v>
      </c>
      <c r="AB787" s="1038" t="e">
        <f>IF($F387="","",$F387*chronic_consumption!W787/1000/$C$3)</f>
        <v>#DIV/0!</v>
      </c>
      <c r="AC787" s="1038" t="e">
        <f>IF($F387="","",$F387*chronic_consumption!X787/1000/$C$3)</f>
        <v>#DIV/0!</v>
      </c>
      <c r="AD787" s="1038" t="e">
        <f>IF($F387="","",$F387*chronic_consumption!Y787/1000/$C$3)</f>
        <v>#DIV/0!</v>
      </c>
      <c r="AE787" s="1038" t="e">
        <f>IF($F387="","",$F387*chronic_consumption!Z787/1000/$C$3)</f>
        <v>#DIV/0!</v>
      </c>
      <c r="AF787" s="1038" t="e">
        <f>IF($F387="","",$F387*chronic_consumption!AA787/1000/$C$3)</f>
        <v>#DIV/0!</v>
      </c>
      <c r="AG787" s="1038" t="e">
        <f>IF($F387="","",$F387*chronic_consumption!AB787/1000/$C$3)</f>
        <v>#DIV/0!</v>
      </c>
      <c r="AH787" s="1038" t="e">
        <f>IF($F387="","",$F387*chronic_consumption!AC787/1000/$C$3)</f>
        <v>#DIV/0!</v>
      </c>
      <c r="AI787" s="1038" t="e">
        <f>IF($F387="","",$F387*chronic_consumption!AD787/1000/$C$3)</f>
        <v>#DIV/0!</v>
      </c>
      <c r="AJ787" s="1038" t="e">
        <f>IF($F387="","",$F387*chronic_consumption!AE787/1000/$C$3)</f>
        <v>#DIV/0!</v>
      </c>
      <c r="AK787" s="1038" t="e">
        <f>IF($F387="","",$F387*chronic_consumption!AF787/1000/$C$3)</f>
        <v>#DIV/0!</v>
      </c>
      <c r="AL787" s="1038" t="e">
        <f>IF($F387="","",$F387*chronic_consumption!AG787/1000/$C$3)</f>
        <v>#DIV/0!</v>
      </c>
      <c r="AM787" s="1038" t="e">
        <f>IF($F387="","",$F387*chronic_consumption!AH787/1000/$C$3)</f>
        <v>#DIV/0!</v>
      </c>
      <c r="AN787" s="1038" t="e">
        <f>IF($F387="","",$F387*chronic_consumption!AI787/1000/$C$3)</f>
        <v>#DIV/0!</v>
      </c>
      <c r="AO787" s="1038" t="e">
        <f>IF($F387="","",$F387*chronic_consumption!AJ787/1000/$C$3)</f>
        <v>#DIV/0!</v>
      </c>
      <c r="AP787" s="1038" t="e">
        <f>IF($F387="","",$F387*chronic_consumption!AK787/1000/$C$3)</f>
        <v>#DIV/0!</v>
      </c>
      <c r="AQ787" s="1038" t="e">
        <f>IF($F387="","",$F387*chronic_consumption!AL787/1000/$C$3)</f>
        <v>#DIV/0!</v>
      </c>
      <c r="AR787" s="1038" t="e">
        <f>IF($F387="","",$F387*chronic_consumption!AM787/1000/$C$3)</f>
        <v>#DIV/0!</v>
      </c>
      <c r="AS787" s="1038" t="e">
        <f>IF($F387="","",$F387*chronic_consumption!AN787/1000/$C$3)</f>
        <v>#DIV/0!</v>
      </c>
      <c r="AT787" s="1038" t="e">
        <f>IF($F387="","",$F387*chronic_consumption!AO787/1000/$C$3)</f>
        <v>#DIV/0!</v>
      </c>
      <c r="AU787" s="1038" t="e">
        <f>IF($F387="","",$F387*chronic_consumption!AP787/1000/$C$3)</f>
        <v>#DIV/0!</v>
      </c>
      <c r="AV787" s="1038" t="e">
        <f>IF($F387="","",$F387*chronic_consumption!AQ787/1000/$C$3)</f>
        <v>#DIV/0!</v>
      </c>
      <c r="AW787" s="1038" t="e">
        <f>IF($F387="","",$F387*chronic_consumption!AR787/1000/$C$3)</f>
        <v>#DIV/0!</v>
      </c>
      <c r="AX787" s="1038" t="e">
        <f>IF($F387="","",$F387*chronic_consumption!AS787/1000/$C$3)</f>
        <v>#DIV/0!</v>
      </c>
      <c r="AY787" s="1038" t="e">
        <f>IF($F387="","",$F387*chronic_consumption!AT787/1000/$C$3)</f>
        <v>#DIV/0!</v>
      </c>
      <c r="AZ787" s="44" t="s">
        <v>20</v>
      </c>
      <c r="BC787" s="29"/>
      <c r="BD787" s="29"/>
    </row>
    <row r="788" spans="1:57" ht="12" hidden="1" customHeight="1" outlineLevel="1" x14ac:dyDescent="0.2">
      <c r="A788" s="1033">
        <f>acute_overview_children!A388</f>
        <v>2</v>
      </c>
      <c r="B788" s="1034">
        <f t="shared" si="54"/>
        <v>1060000</v>
      </c>
      <c r="C788" s="1034" t="str">
        <f t="shared" si="54"/>
        <v>Terrestrial invertebrate animals</v>
      </c>
      <c r="D788" s="1035"/>
      <c r="E788" s="1027"/>
      <c r="F788" s="87"/>
      <c r="G788" s="1027"/>
      <c r="H788" s="1029"/>
      <c r="I788" s="1030"/>
      <c r="J788" s="1037" t="e">
        <f>IF($F388="","",$F388*chronic_consumption!E788/1000/$C$3)</f>
        <v>#DIV/0!</v>
      </c>
      <c r="K788" s="1038" t="e">
        <f>IF($F388="","",$F388*chronic_consumption!F788/1000/$C$3)</f>
        <v>#DIV/0!</v>
      </c>
      <c r="L788" s="1038" t="e">
        <f>IF($F388="","",$F388*chronic_consumption!G788/1000/$C$3)</f>
        <v>#DIV/0!</v>
      </c>
      <c r="M788" s="1038" t="e">
        <f>IF($F388="","",$F388*chronic_consumption!H788/1000/$C$3)</f>
        <v>#DIV/0!</v>
      </c>
      <c r="N788" s="1038" t="e">
        <f>IF($F388="","",$F388*chronic_consumption!I788/1000/$C$3)</f>
        <v>#DIV/0!</v>
      </c>
      <c r="O788" s="1038" t="e">
        <f>IF($F388="","",$F388*chronic_consumption!J788/1000/$C$3)</f>
        <v>#DIV/0!</v>
      </c>
      <c r="P788" s="1038" t="e">
        <f>IF($F388="","",$F388*chronic_consumption!K788/1000/$C$3)</f>
        <v>#DIV/0!</v>
      </c>
      <c r="Q788" s="1038" t="e">
        <f>IF($F388="","",$F388*chronic_consumption!L788/1000/$C$3)</f>
        <v>#DIV/0!</v>
      </c>
      <c r="R788" s="1038" t="e">
        <f>IF($F388="","",$F388*chronic_consumption!M788/1000/$C$3)</f>
        <v>#DIV/0!</v>
      </c>
      <c r="S788" s="1038" t="e">
        <f>IF($F388="","",$F388*chronic_consumption!N788/1000/$C$3)</f>
        <v>#DIV/0!</v>
      </c>
      <c r="T788" s="1038" t="e">
        <f>IF($F388="","",$F388*chronic_consumption!O788/1000/$C$3)</f>
        <v>#DIV/0!</v>
      </c>
      <c r="U788" s="1038" t="e">
        <f>IF($F388="","",$F388*chronic_consumption!P788/1000/$C$3)</f>
        <v>#DIV/0!</v>
      </c>
      <c r="V788" s="1038" t="e">
        <f>IF($F388="","",$F388*chronic_consumption!Q788/1000/$C$3)</f>
        <v>#DIV/0!</v>
      </c>
      <c r="W788" s="1038" t="e">
        <f>IF($F388="","",$F388*chronic_consumption!R788/1000/$C$3)</f>
        <v>#DIV/0!</v>
      </c>
      <c r="X788" s="1038" t="e">
        <f>IF($F388="","",$F388*chronic_consumption!S788/1000/$C$3)</f>
        <v>#DIV/0!</v>
      </c>
      <c r="Y788" s="1038" t="e">
        <f>IF($F388="","",$F388*chronic_consumption!T788/1000/$C$3)</f>
        <v>#DIV/0!</v>
      </c>
      <c r="Z788" s="1038" t="e">
        <f>IF($F388="","",$F388*chronic_consumption!U788/1000/$C$3)</f>
        <v>#DIV/0!</v>
      </c>
      <c r="AA788" s="1038" t="e">
        <f>IF($F388="","",$F388*chronic_consumption!V788/1000/$C$3)</f>
        <v>#DIV/0!</v>
      </c>
      <c r="AB788" s="1038" t="e">
        <f>IF($F388="","",$F388*chronic_consumption!W788/1000/$C$3)</f>
        <v>#DIV/0!</v>
      </c>
      <c r="AC788" s="1038" t="e">
        <f>IF($F388="","",$F388*chronic_consumption!X788/1000/$C$3)</f>
        <v>#DIV/0!</v>
      </c>
      <c r="AD788" s="1038" t="e">
        <f>IF($F388="","",$F388*chronic_consumption!Y788/1000/$C$3)</f>
        <v>#DIV/0!</v>
      </c>
      <c r="AE788" s="1038" t="e">
        <f>IF($F388="","",$F388*chronic_consumption!Z788/1000/$C$3)</f>
        <v>#DIV/0!</v>
      </c>
      <c r="AF788" s="1038" t="e">
        <f>IF($F388="","",$F388*chronic_consumption!AA788/1000/$C$3)</f>
        <v>#DIV/0!</v>
      </c>
      <c r="AG788" s="1038" t="e">
        <f>IF($F388="","",$F388*chronic_consumption!AB788/1000/$C$3)</f>
        <v>#DIV/0!</v>
      </c>
      <c r="AH788" s="1038" t="e">
        <f>IF($F388="","",$F388*chronic_consumption!AC788/1000/$C$3)</f>
        <v>#DIV/0!</v>
      </c>
      <c r="AI788" s="1038" t="e">
        <f>IF($F388="","",$F388*chronic_consumption!AD788/1000/$C$3)</f>
        <v>#DIV/0!</v>
      </c>
      <c r="AJ788" s="1038" t="e">
        <f>IF($F388="","",$F388*chronic_consumption!AE788/1000/$C$3)</f>
        <v>#DIV/0!</v>
      </c>
      <c r="AK788" s="1038" t="e">
        <f>IF($F388="","",$F388*chronic_consumption!AF788/1000/$C$3)</f>
        <v>#DIV/0!</v>
      </c>
      <c r="AL788" s="1038" t="e">
        <f>IF($F388="","",$F388*chronic_consumption!AG788/1000/$C$3)</f>
        <v>#DIV/0!</v>
      </c>
      <c r="AM788" s="1038" t="e">
        <f>IF($F388="","",$F388*chronic_consumption!AH788/1000/$C$3)</f>
        <v>#DIV/0!</v>
      </c>
      <c r="AN788" s="1038" t="e">
        <f>IF($F388="","",$F388*chronic_consumption!AI788/1000/$C$3)</f>
        <v>#DIV/0!</v>
      </c>
      <c r="AO788" s="1038" t="e">
        <f>IF($F388="","",$F388*chronic_consumption!AJ788/1000/$C$3)</f>
        <v>#DIV/0!</v>
      </c>
      <c r="AP788" s="1038" t="e">
        <f>IF($F388="","",$F388*chronic_consumption!AK788/1000/$C$3)</f>
        <v>#DIV/0!</v>
      </c>
      <c r="AQ788" s="1038" t="e">
        <f>IF($F388="","",$F388*chronic_consumption!AL788/1000/$C$3)</f>
        <v>#DIV/0!</v>
      </c>
      <c r="AR788" s="1038" t="e">
        <f>IF($F388="","",$F388*chronic_consumption!AM788/1000/$C$3)</f>
        <v>#DIV/0!</v>
      </c>
      <c r="AS788" s="1038" t="e">
        <f>IF($F388="","",$F388*chronic_consumption!AN788/1000/$C$3)</f>
        <v>#DIV/0!</v>
      </c>
      <c r="AT788" s="1038" t="e">
        <f>IF($F388="","",$F388*chronic_consumption!AO788/1000/$C$3)</f>
        <v>#DIV/0!</v>
      </c>
      <c r="AU788" s="1038" t="e">
        <f>IF($F388="","",$F388*chronic_consumption!AP788/1000/$C$3)</f>
        <v>#DIV/0!</v>
      </c>
      <c r="AV788" s="1038" t="e">
        <f>IF($F388="","",$F388*chronic_consumption!AQ788/1000/$C$3)</f>
        <v>#DIV/0!</v>
      </c>
      <c r="AW788" s="1038" t="e">
        <f>IF($F388="","",$F388*chronic_consumption!AR788/1000/$C$3)</f>
        <v>#DIV/0!</v>
      </c>
      <c r="AX788" s="1038" t="e">
        <f>IF($F388="","",$F388*chronic_consumption!AS788/1000/$C$3)</f>
        <v>#DIV/0!</v>
      </c>
      <c r="AY788" s="1038" t="e">
        <f>IF($F388="","",$F388*chronic_consumption!AT788/1000/$C$3)</f>
        <v>#DIV/0!</v>
      </c>
      <c r="AZ788" s="44" t="s">
        <v>20</v>
      </c>
      <c r="BC788" s="29"/>
      <c r="BD788" s="29"/>
    </row>
    <row r="789" spans="1:57" ht="12" hidden="1" customHeight="1" outlineLevel="1" x14ac:dyDescent="0.2">
      <c r="A789" s="1033">
        <f>acute_overview_children!A389</f>
        <v>2</v>
      </c>
      <c r="B789" s="1034">
        <f t="shared" si="54"/>
        <v>1070000</v>
      </c>
      <c r="C789" s="1034" t="str">
        <f t="shared" si="54"/>
        <v>Wild terrestrial vertebrate animals</v>
      </c>
      <c r="D789" s="1035"/>
      <c r="E789" s="1027"/>
      <c r="F789" s="87"/>
      <c r="G789" s="1027"/>
      <c r="H789" s="1029"/>
      <c r="I789" s="1030"/>
      <c r="J789" s="1037" t="e">
        <f>IF($F389="","",$F389*chronic_consumption!E789/1000/$C$3)</f>
        <v>#DIV/0!</v>
      </c>
      <c r="K789" s="1038" t="e">
        <f>IF($F389="","",$F389*chronic_consumption!F789/1000/$C$3)</f>
        <v>#DIV/0!</v>
      </c>
      <c r="L789" s="1038" t="e">
        <f>IF($F389="","",$F389*chronic_consumption!G789/1000/$C$3)</f>
        <v>#DIV/0!</v>
      </c>
      <c r="M789" s="1038" t="e">
        <f>IF($F389="","",$F389*chronic_consumption!H789/1000/$C$3)</f>
        <v>#DIV/0!</v>
      </c>
      <c r="N789" s="1038" t="e">
        <f>IF($F389="","",$F389*chronic_consumption!I789/1000/$C$3)</f>
        <v>#DIV/0!</v>
      </c>
      <c r="O789" s="1038" t="e">
        <f>IF($F389="","",$F389*chronic_consumption!J789/1000/$C$3)</f>
        <v>#DIV/0!</v>
      </c>
      <c r="P789" s="1038" t="e">
        <f>IF($F389="","",$F389*chronic_consumption!K789/1000/$C$3)</f>
        <v>#DIV/0!</v>
      </c>
      <c r="Q789" s="1038" t="e">
        <f>IF($F389="","",$F389*chronic_consumption!L789/1000/$C$3)</f>
        <v>#DIV/0!</v>
      </c>
      <c r="R789" s="1038" t="e">
        <f>IF($F389="","",$F389*chronic_consumption!M789/1000/$C$3)</f>
        <v>#DIV/0!</v>
      </c>
      <c r="S789" s="1038" t="e">
        <f>IF($F389="","",$F389*chronic_consumption!N789/1000/$C$3)</f>
        <v>#DIV/0!</v>
      </c>
      <c r="T789" s="1038" t="e">
        <f>IF($F389="","",$F389*chronic_consumption!O789/1000/$C$3)</f>
        <v>#DIV/0!</v>
      </c>
      <c r="U789" s="1038" t="e">
        <f>IF($F389="","",$F389*chronic_consumption!P789/1000/$C$3)</f>
        <v>#DIV/0!</v>
      </c>
      <c r="V789" s="1038" t="e">
        <f>IF($F389="","",$F389*chronic_consumption!Q789/1000/$C$3)</f>
        <v>#DIV/0!</v>
      </c>
      <c r="W789" s="1038" t="e">
        <f>IF($F389="","",$F389*chronic_consumption!R789/1000/$C$3)</f>
        <v>#DIV/0!</v>
      </c>
      <c r="X789" s="1038" t="e">
        <f>IF($F389="","",$F389*chronic_consumption!S789/1000/$C$3)</f>
        <v>#DIV/0!</v>
      </c>
      <c r="Y789" s="1038" t="e">
        <f>IF($F389="","",$F389*chronic_consumption!T789/1000/$C$3)</f>
        <v>#DIV/0!</v>
      </c>
      <c r="Z789" s="1038" t="e">
        <f>IF($F389="","",$F389*chronic_consumption!U789/1000/$C$3)</f>
        <v>#DIV/0!</v>
      </c>
      <c r="AA789" s="1038" t="e">
        <f>IF($F389="","",$F389*chronic_consumption!V789/1000/$C$3)</f>
        <v>#DIV/0!</v>
      </c>
      <c r="AB789" s="1038" t="e">
        <f>IF($F389="","",$F389*chronic_consumption!W789/1000/$C$3)</f>
        <v>#DIV/0!</v>
      </c>
      <c r="AC789" s="1038" t="e">
        <f>IF($F389="","",$F389*chronic_consumption!X789/1000/$C$3)</f>
        <v>#DIV/0!</v>
      </c>
      <c r="AD789" s="1038" t="e">
        <f>IF($F389="","",$F389*chronic_consumption!Y789/1000/$C$3)</f>
        <v>#DIV/0!</v>
      </c>
      <c r="AE789" s="1038" t="e">
        <f>IF($F389="","",$F389*chronic_consumption!Z789/1000/$C$3)</f>
        <v>#DIV/0!</v>
      </c>
      <c r="AF789" s="1038" t="e">
        <f>IF($F389="","",$F389*chronic_consumption!AA789/1000/$C$3)</f>
        <v>#DIV/0!</v>
      </c>
      <c r="AG789" s="1038" t="e">
        <f>IF($F389="","",$F389*chronic_consumption!AB789/1000/$C$3)</f>
        <v>#DIV/0!</v>
      </c>
      <c r="AH789" s="1038" t="e">
        <f>IF($F389="","",$F389*chronic_consumption!AC789/1000/$C$3)</f>
        <v>#DIV/0!</v>
      </c>
      <c r="AI789" s="1038" t="e">
        <f>IF($F389="","",$F389*chronic_consumption!AD789/1000/$C$3)</f>
        <v>#DIV/0!</v>
      </c>
      <c r="AJ789" s="1038" t="e">
        <f>IF($F389="","",$F389*chronic_consumption!AE789/1000/$C$3)</f>
        <v>#DIV/0!</v>
      </c>
      <c r="AK789" s="1038" t="e">
        <f>IF($F389="","",$F389*chronic_consumption!AF789/1000/$C$3)</f>
        <v>#DIV/0!</v>
      </c>
      <c r="AL789" s="1038" t="e">
        <f>IF($F389="","",$F389*chronic_consumption!AG789/1000/$C$3)</f>
        <v>#DIV/0!</v>
      </c>
      <c r="AM789" s="1038" t="e">
        <f>IF($F389="","",$F389*chronic_consumption!AH789/1000/$C$3)</f>
        <v>#DIV/0!</v>
      </c>
      <c r="AN789" s="1038" t="e">
        <f>IF($F389="","",$F389*chronic_consumption!AI789/1000/$C$3)</f>
        <v>#DIV/0!</v>
      </c>
      <c r="AO789" s="1038" t="e">
        <f>IF($F389="","",$F389*chronic_consumption!AJ789/1000/$C$3)</f>
        <v>#DIV/0!</v>
      </c>
      <c r="AP789" s="1038" t="e">
        <f>IF($F389="","",$F389*chronic_consumption!AK789/1000/$C$3)</f>
        <v>#DIV/0!</v>
      </c>
      <c r="AQ789" s="1038" t="e">
        <f>IF($F389="","",$F389*chronic_consumption!AL789/1000/$C$3)</f>
        <v>#DIV/0!</v>
      </c>
      <c r="AR789" s="1038" t="e">
        <f>IF($F389="","",$F389*chronic_consumption!AM789/1000/$C$3)</f>
        <v>#DIV/0!</v>
      </c>
      <c r="AS789" s="1038" t="e">
        <f>IF($F389="","",$F389*chronic_consumption!AN789/1000/$C$3)</f>
        <v>#DIV/0!</v>
      </c>
      <c r="AT789" s="1038" t="e">
        <f>IF($F389="","",$F389*chronic_consumption!AO789/1000/$C$3)</f>
        <v>#DIV/0!</v>
      </c>
      <c r="AU789" s="1038" t="e">
        <f>IF($F389="","",$F389*chronic_consumption!AP789/1000/$C$3)</f>
        <v>#DIV/0!</v>
      </c>
      <c r="AV789" s="1038" t="e">
        <f>IF($F389="","",$F389*chronic_consumption!AQ789/1000/$C$3)</f>
        <v>#DIV/0!</v>
      </c>
      <c r="AW789" s="1038" t="e">
        <f>IF($F389="","",$F389*chronic_consumption!AR789/1000/$C$3)</f>
        <v>#DIV/0!</v>
      </c>
      <c r="AX789" s="1038" t="e">
        <f>IF($F389="","",$F389*chronic_consumption!AS789/1000/$C$3)</f>
        <v>#DIV/0!</v>
      </c>
      <c r="AY789" s="1038" t="e">
        <f>IF($F389="","",$F389*chronic_consumption!AT789/1000/$C$3)</f>
        <v>#DIV/0!</v>
      </c>
      <c r="AZ789" s="44" t="s">
        <v>20</v>
      </c>
      <c r="BC789" s="29"/>
      <c r="BD789" s="29"/>
    </row>
    <row r="790" spans="1:57" ht="12" customHeight="1" x14ac:dyDescent="0.2">
      <c r="A790" s="1">
        <f>acute_overview_children!A390</f>
        <v>1</v>
      </c>
      <c r="B790" s="1026">
        <f t="shared" si="54"/>
        <v>1100000</v>
      </c>
      <c r="C790" s="1026" t="str">
        <f t="shared" si="54"/>
        <v>FISH, FISHPRODUCTS AND ANY OTHER MARINE AND FRESHWATER FOOD PRODUCTS</v>
      </c>
      <c r="D790" s="135"/>
      <c r="E790" s="1027"/>
      <c r="F790" s="87"/>
      <c r="G790" s="1027"/>
      <c r="H790" s="1029"/>
      <c r="I790" s="1030"/>
      <c r="J790" s="1049" t="e">
        <f>IF($F390="","",$F390*chronic_consumption!E790/1000/$C$3)</f>
        <v>#DIV/0!</v>
      </c>
      <c r="K790" s="1050" t="e">
        <f>IF($F390="","",$F390*chronic_consumption!F790/1000/$C$3)</f>
        <v>#DIV/0!</v>
      </c>
      <c r="L790" s="1050" t="e">
        <f>IF($F390="","",$F390*chronic_consumption!G790/1000/$C$3)</f>
        <v>#DIV/0!</v>
      </c>
      <c r="M790" s="1050" t="e">
        <f>IF($F390="","",$F390*chronic_consumption!H790/1000/$C$3)</f>
        <v>#DIV/0!</v>
      </c>
      <c r="N790" s="1050" t="e">
        <f>IF($F390="","",$F390*chronic_consumption!I790/1000/$C$3)</f>
        <v>#DIV/0!</v>
      </c>
      <c r="O790" s="1050" t="e">
        <f>IF($F390="","",$F390*chronic_consumption!J790/1000/$C$3)</f>
        <v>#DIV/0!</v>
      </c>
      <c r="P790" s="1050" t="e">
        <f>IF($F390="","",$F390*chronic_consumption!K790/1000/$C$3)</f>
        <v>#DIV/0!</v>
      </c>
      <c r="Q790" s="1050" t="e">
        <f>IF($F390="","",$F390*chronic_consumption!L790/1000/$C$3)</f>
        <v>#DIV/0!</v>
      </c>
      <c r="R790" s="1050" t="e">
        <f>IF($F390="","",$F390*chronic_consumption!M790/1000/$C$3)</f>
        <v>#DIV/0!</v>
      </c>
      <c r="S790" s="1050" t="e">
        <f>IF($F390="","",$F390*chronic_consumption!N790/1000/$C$3)</f>
        <v>#DIV/0!</v>
      </c>
      <c r="T790" s="1050" t="e">
        <f>IF($F390="","",$F390*chronic_consumption!O790/1000/$C$3)</f>
        <v>#DIV/0!</v>
      </c>
      <c r="U790" s="1050" t="e">
        <f>IF($F390="","",$F390*chronic_consumption!P790/1000/$C$3)</f>
        <v>#DIV/0!</v>
      </c>
      <c r="V790" s="1050" t="e">
        <f>IF($F390="","",$F390*chronic_consumption!Q790/1000/$C$3)</f>
        <v>#DIV/0!</v>
      </c>
      <c r="W790" s="1050" t="e">
        <f>IF($F390="","",$F390*chronic_consumption!R790/1000/$C$3)</f>
        <v>#DIV/0!</v>
      </c>
      <c r="X790" s="1050" t="e">
        <f>IF($F390="","",$F390*chronic_consumption!S790/1000/$C$3)</f>
        <v>#DIV/0!</v>
      </c>
      <c r="Y790" s="1050" t="e">
        <f>IF($F390="","",$F390*chronic_consumption!T790/1000/$C$3)</f>
        <v>#DIV/0!</v>
      </c>
      <c r="Z790" s="1050" t="e">
        <f>IF($F390="","",$F390*chronic_consumption!U790/1000/$C$3)</f>
        <v>#DIV/0!</v>
      </c>
      <c r="AA790" s="1050" t="e">
        <f>IF($F390="","",$F390*chronic_consumption!V790/1000/$C$3)</f>
        <v>#DIV/0!</v>
      </c>
      <c r="AB790" s="1050" t="e">
        <f>IF($F390="","",$F390*chronic_consumption!W790/1000/$C$3)</f>
        <v>#DIV/0!</v>
      </c>
      <c r="AC790" s="1050" t="e">
        <f>IF($F390="","",$F390*chronic_consumption!X790/1000/$C$3)</f>
        <v>#DIV/0!</v>
      </c>
      <c r="AD790" s="1050" t="e">
        <f>IF($F390="","",$F390*chronic_consumption!Y790/1000/$C$3)</f>
        <v>#DIV/0!</v>
      </c>
      <c r="AE790" s="1050" t="e">
        <f>IF($F390="","",$F390*chronic_consumption!Z790/1000/$C$3)</f>
        <v>#DIV/0!</v>
      </c>
      <c r="AF790" s="1050" t="e">
        <f>IF($F390="","",$F390*chronic_consumption!AA790/1000/$C$3)</f>
        <v>#DIV/0!</v>
      </c>
      <c r="AG790" s="1050" t="e">
        <f>IF($F390="","",$F390*chronic_consumption!AB790/1000/$C$3)</f>
        <v>#DIV/0!</v>
      </c>
      <c r="AH790" s="1050" t="e">
        <f>IF($F390="","",$F390*chronic_consumption!AC790/1000/$C$3)</f>
        <v>#DIV/0!</v>
      </c>
      <c r="AI790" s="1050" t="e">
        <f>IF($F390="","",$F390*chronic_consumption!AD790/1000/$C$3)</f>
        <v>#DIV/0!</v>
      </c>
      <c r="AJ790" s="1050" t="e">
        <f>IF($F390="","",$F390*chronic_consumption!AE790/1000/$C$3)</f>
        <v>#DIV/0!</v>
      </c>
      <c r="AK790" s="1050" t="e">
        <f>IF($F390="","",$F390*chronic_consumption!AF790/1000/$C$3)</f>
        <v>#DIV/0!</v>
      </c>
      <c r="AL790" s="1050" t="e">
        <f>IF($F390="","",$F390*chronic_consumption!AG790/1000/$C$3)</f>
        <v>#DIV/0!</v>
      </c>
      <c r="AM790" s="1050" t="e">
        <f>IF($F390="","",$F390*chronic_consumption!AH790/1000/$C$3)</f>
        <v>#DIV/0!</v>
      </c>
      <c r="AN790" s="1050" t="e">
        <f>IF($F390="","",$F390*chronic_consumption!AI790/1000/$C$3)</f>
        <v>#DIV/0!</v>
      </c>
      <c r="AO790" s="1050" t="e">
        <f>IF($F390="","",$F390*chronic_consumption!AJ790/1000/$C$3)</f>
        <v>#DIV/0!</v>
      </c>
      <c r="AP790" s="1050" t="e">
        <f>IF($F390="","",$F390*chronic_consumption!AK790/1000/$C$3)</f>
        <v>#DIV/0!</v>
      </c>
      <c r="AQ790" s="1050" t="e">
        <f>IF($F390="","",$F390*chronic_consumption!AL790/1000/$C$3)</f>
        <v>#DIV/0!</v>
      </c>
      <c r="AR790" s="1050" t="e">
        <f>IF($F390="","",$F390*chronic_consumption!AM790/1000/$C$3)</f>
        <v>#DIV/0!</v>
      </c>
      <c r="AS790" s="1050" t="e">
        <f>IF($F390="","",$F390*chronic_consumption!AN790/1000/$C$3)</f>
        <v>#DIV/0!</v>
      </c>
      <c r="AT790" s="1050" t="e">
        <f>IF($F390="","",$F390*chronic_consumption!AO790/1000/$C$3)</f>
        <v>#DIV/0!</v>
      </c>
      <c r="AU790" s="1050" t="e">
        <f>IF($F390="","",$F390*chronic_consumption!AP790/1000/$C$3)</f>
        <v>#DIV/0!</v>
      </c>
      <c r="AV790" s="1050" t="e">
        <f>IF($F390="","",$F390*chronic_consumption!AQ790/1000/$C$3)</f>
        <v>#DIV/0!</v>
      </c>
      <c r="AW790" s="1050" t="e">
        <f>IF($F390="","",$F390*chronic_consumption!AR790/1000/$C$3)</f>
        <v>#DIV/0!</v>
      </c>
      <c r="AX790" s="1050" t="e">
        <f>IF($F390="","",$F390*chronic_consumption!AS790/1000/$C$3)</f>
        <v>#DIV/0!</v>
      </c>
      <c r="AY790" s="1050" t="e">
        <f>IF($F390="","",$F390*chronic_consumption!AT790/1000/$C$3)</f>
        <v>#DIV/0!</v>
      </c>
      <c r="AZ790" s="44" t="s">
        <v>20</v>
      </c>
      <c r="BC790" s="29"/>
      <c r="BD790" s="29"/>
    </row>
    <row r="791" spans="1:57" x14ac:dyDescent="0.2">
      <c r="A791" s="1051" t="str">
        <f>acute_overview_children!A391</f>
        <v>.</v>
      </c>
      <c r="B791" s="1052">
        <f t="shared" si="54"/>
        <v>0</v>
      </c>
      <c r="C791" s="1052">
        <f t="shared" si="54"/>
        <v>0</v>
      </c>
      <c r="D791" s="1053"/>
      <c r="E791" s="47">
        <f>acute_overview_children!D391</f>
        <v>0</v>
      </c>
      <c r="F791" s="1053">
        <f>acute_overview_children!F391</f>
        <v>0</v>
      </c>
      <c r="G791" s="1053">
        <f>acute_overview_children!G391</f>
        <v>0</v>
      </c>
      <c r="H791" s="1054">
        <f>acute_overview_children!E391</f>
        <v>0</v>
      </c>
      <c r="I791" s="1030"/>
      <c r="J791" s="1055"/>
      <c r="K791" s="1056"/>
      <c r="L791" s="1056"/>
      <c r="M791" s="1056"/>
      <c r="N791" s="1056"/>
      <c r="O791" s="1056"/>
      <c r="P791" s="1056"/>
      <c r="Q791" s="1056"/>
      <c r="R791" s="1056"/>
      <c r="S791" s="1056"/>
      <c r="T791" s="1056"/>
      <c r="U791" s="1056"/>
      <c r="V791" s="1056"/>
      <c r="W791" s="1056"/>
      <c r="X791" s="1056"/>
      <c r="Y791" s="1056"/>
      <c r="Z791" s="1056"/>
      <c r="AA791" s="1056"/>
      <c r="AB791" s="1056"/>
      <c r="AC791" s="1056"/>
      <c r="AD791" s="1056"/>
      <c r="AE791" s="1056"/>
      <c r="AF791" s="1056"/>
      <c r="AG791" s="1056"/>
      <c r="AH791" s="1056"/>
      <c r="AI791" s="1056"/>
      <c r="AJ791" s="1056"/>
      <c r="AK791" s="1056"/>
      <c r="AL791" s="1056"/>
      <c r="AM791" s="1056"/>
      <c r="AN791" s="1056"/>
      <c r="AO791" s="1056"/>
      <c r="AP791" s="1056"/>
      <c r="AQ791" s="1056"/>
      <c r="AR791" s="1056"/>
      <c r="AS791" s="1056"/>
      <c r="AT791" s="1056"/>
      <c r="AU791" s="1056"/>
      <c r="AV791" s="1056"/>
      <c r="AW791" s="1056"/>
      <c r="AX791" s="1056"/>
      <c r="AY791" s="1056"/>
      <c r="AZ791" s="44"/>
      <c r="BC791" s="29"/>
      <c r="BD791" s="29"/>
    </row>
    <row r="792" spans="1:57" customFormat="1" ht="12.75" x14ac:dyDescent="0.2">
      <c r="AS792" s="33"/>
      <c r="BE792" s="105"/>
    </row>
    <row r="793" spans="1:57" customFormat="1" ht="12.75" x14ac:dyDescent="0.2">
      <c r="AS793" s="33"/>
      <c r="BE793" s="105"/>
    </row>
    <row r="794" spans="1:57" customFormat="1" ht="12.75" x14ac:dyDescent="0.2">
      <c r="AS794" s="33"/>
      <c r="BE794" s="105"/>
    </row>
    <row r="795" spans="1:57" x14ac:dyDescent="0.2">
      <c r="E795" s="946"/>
      <c r="F795" s="367"/>
      <c r="G795" s="856"/>
      <c r="AV795" s="29"/>
      <c r="AX795" s="13"/>
    </row>
    <row r="796" spans="1:57" x14ac:dyDescent="0.2">
      <c r="E796" s="946"/>
      <c r="F796" s="367"/>
      <c r="G796" s="856"/>
      <c r="AV796" s="29"/>
      <c r="AX796" s="13"/>
    </row>
    <row r="797" spans="1:57" x14ac:dyDescent="0.2">
      <c r="E797" s="946"/>
      <c r="F797" s="367"/>
      <c r="G797" s="856"/>
      <c r="AV797" s="29"/>
      <c r="AX797" s="13"/>
    </row>
    <row r="798" spans="1:57" x14ac:dyDescent="0.2">
      <c r="E798" s="946"/>
      <c r="F798" s="367"/>
      <c r="G798" s="856"/>
      <c r="AV798" s="29"/>
      <c r="AX798" s="13"/>
    </row>
    <row r="799" spans="1:57" x14ac:dyDescent="0.2">
      <c r="E799" s="946"/>
      <c r="F799" s="367"/>
      <c r="G799" s="856"/>
      <c r="AV799" s="29"/>
      <c r="AX799" s="13"/>
    </row>
    <row r="800" spans="1:57" x14ac:dyDescent="0.2">
      <c r="E800" s="946"/>
      <c r="F800" s="367"/>
      <c r="G800" s="856"/>
      <c r="AV800" s="29"/>
      <c r="AX800" s="13"/>
    </row>
    <row r="801" spans="1:64" x14ac:dyDescent="0.2">
      <c r="E801" s="946"/>
      <c r="F801" s="367"/>
      <c r="G801" s="856"/>
      <c r="AV801" s="29"/>
      <c r="AX801" s="13"/>
    </row>
    <row r="802" spans="1:64" x14ac:dyDescent="0.2">
      <c r="E802" s="946"/>
      <c r="F802" s="367"/>
      <c r="G802" s="856"/>
      <c r="AV802" s="29"/>
      <c r="AX802" s="13"/>
    </row>
    <row r="803" spans="1:64" x14ac:dyDescent="0.2">
      <c r="E803" s="946"/>
      <c r="F803" s="367"/>
      <c r="G803" s="856"/>
      <c r="AV803" s="29"/>
      <c r="AX803" s="13"/>
    </row>
    <row r="804" spans="1:64" x14ac:dyDescent="0.2">
      <c r="E804" s="946"/>
      <c r="F804" s="367"/>
      <c r="G804" s="856"/>
      <c r="AV804" s="29"/>
      <c r="AX804" s="13"/>
    </row>
    <row r="805" spans="1:64" x14ac:dyDescent="0.2">
      <c r="E805" s="946"/>
      <c r="F805" s="367"/>
      <c r="G805" s="856"/>
      <c r="AV805" s="29"/>
      <c r="AX805" s="13"/>
    </row>
    <row r="806" spans="1:64" x14ac:dyDescent="0.2">
      <c r="E806" s="946"/>
      <c r="F806" s="367"/>
      <c r="G806" s="856"/>
      <c r="AV806" s="29"/>
      <c r="AX806" s="13"/>
    </row>
    <row r="807" spans="1:64" x14ac:dyDescent="0.2">
      <c r="E807" s="946"/>
      <c r="F807" s="367"/>
      <c r="G807" s="856"/>
      <c r="AV807" s="29"/>
      <c r="AX807" s="13"/>
    </row>
    <row r="808" spans="1:64" ht="15.6" customHeight="1" x14ac:dyDescent="0.2">
      <c r="E808" s="946"/>
      <c r="F808" s="367"/>
      <c r="G808" s="856"/>
      <c r="AV808" s="29"/>
      <c r="AX808" s="13"/>
    </row>
    <row r="809" spans="1:64" ht="47.45" customHeight="1" x14ac:dyDescent="0.25">
      <c r="B809" s="1658" t="s">
        <v>1015</v>
      </c>
      <c r="C809" s="1658"/>
      <c r="D809" s="1658"/>
      <c r="E809" s="1658"/>
      <c r="F809" s="1658"/>
      <c r="G809" s="1658"/>
      <c r="H809" s="1658"/>
      <c r="I809" s="1658"/>
      <c r="J809" s="1658"/>
      <c r="K809" s="1658"/>
      <c r="L809" s="1658"/>
      <c r="M809" s="1658"/>
      <c r="N809" s="1658"/>
      <c r="O809" s="1658"/>
      <c r="P809" s="1658"/>
      <c r="Q809" s="1658"/>
      <c r="R809" s="1658"/>
      <c r="S809" s="1658"/>
      <c r="T809" s="1658"/>
      <c r="U809" s="1658"/>
      <c r="V809" s="1658"/>
      <c r="W809" s="1658"/>
      <c r="X809" s="1658"/>
      <c r="Y809" s="1658"/>
      <c r="Z809" s="1658"/>
      <c r="AA809" s="1658"/>
      <c r="AB809" s="1658"/>
      <c r="AC809" s="1658"/>
      <c r="AD809" s="1658"/>
      <c r="AE809" s="1658"/>
      <c r="AF809" s="1658"/>
      <c r="AG809" s="1658"/>
      <c r="AH809" s="1658"/>
      <c r="AI809" s="1658"/>
      <c r="AJ809" s="1658"/>
      <c r="AK809" s="1658"/>
      <c r="AL809" s="1658"/>
      <c r="AM809" s="1658"/>
      <c r="AN809" s="1658"/>
      <c r="AO809" s="1658"/>
      <c r="AP809" s="1658"/>
      <c r="AQ809" s="1658"/>
      <c r="AR809" s="1658"/>
      <c r="AS809" s="1658"/>
      <c r="AT809" s="1658"/>
      <c r="AU809" s="1658"/>
      <c r="AV809" s="1658"/>
      <c r="AW809" s="1658"/>
      <c r="AX809" s="1658"/>
      <c r="AY809" s="1658"/>
      <c r="AZ809" s="1658"/>
    </row>
    <row r="810" spans="1:64" x14ac:dyDescent="0.2">
      <c r="A810" s="228"/>
      <c r="B810" s="382"/>
      <c r="C810" s="1017"/>
      <c r="D810" s="1017"/>
      <c r="E810" s="152"/>
      <c r="F810" s="153"/>
      <c r="G810" s="152"/>
      <c r="H810" s="152"/>
      <c r="J810" s="1057"/>
      <c r="K810" s="1057"/>
      <c r="L810" s="1057"/>
      <c r="M810" s="1057"/>
      <c r="N810" s="1057"/>
      <c r="O810" s="1057"/>
      <c r="P810" s="1057"/>
      <c r="Q810" s="1057"/>
      <c r="R810" s="1057"/>
      <c r="S810" s="1057"/>
      <c r="T810" s="1057"/>
      <c r="U810" s="1057"/>
      <c r="V810" s="1057"/>
      <c r="W810" s="1057"/>
      <c r="X810" s="1057"/>
      <c r="Y810" s="1057"/>
      <c r="Z810" s="1057"/>
      <c r="AA810" s="1057"/>
      <c r="AB810" s="1057"/>
      <c r="AC810" s="1057"/>
      <c r="AD810" s="1057"/>
      <c r="AE810" s="1058"/>
      <c r="AF810" s="1058"/>
      <c r="AG810" s="1058"/>
      <c r="AH810" s="1058"/>
      <c r="AI810" s="1058" t="s">
        <v>18</v>
      </c>
      <c r="AJ810" s="1058"/>
      <c r="AK810" s="1058"/>
      <c r="AL810" s="1058"/>
      <c r="AM810" s="1058"/>
      <c r="AN810" s="1058"/>
      <c r="AO810" s="1058"/>
      <c r="AP810" s="1058"/>
      <c r="AQ810" s="1058"/>
      <c r="AR810" s="1058"/>
      <c r="AV810" s="29"/>
      <c r="AX810" s="13"/>
    </row>
    <row r="811" spans="1:64" ht="88.5" x14ac:dyDescent="0.2">
      <c r="A811" s="169" t="s">
        <v>43</v>
      </c>
      <c r="B811" s="496" t="s">
        <v>44</v>
      </c>
      <c r="C811" s="496" t="s">
        <v>71</v>
      </c>
      <c r="D811" s="496" t="s">
        <v>364</v>
      </c>
      <c r="E811" s="159" t="s">
        <v>303</v>
      </c>
      <c r="F811" s="159" t="s">
        <v>667</v>
      </c>
      <c r="G811" s="159" t="s">
        <v>668</v>
      </c>
      <c r="H811" s="159" t="s">
        <v>922</v>
      </c>
      <c r="I811" s="159" t="s">
        <v>344</v>
      </c>
      <c r="J811" s="1059" t="s">
        <v>256</v>
      </c>
      <c r="K811" s="1059" t="s">
        <v>257</v>
      </c>
      <c r="L811" s="1059" t="s">
        <v>1</v>
      </c>
      <c r="M811" s="1059" t="s">
        <v>258</v>
      </c>
      <c r="N811" s="1059" t="s">
        <v>309</v>
      </c>
      <c r="O811" s="1059" t="s">
        <v>310</v>
      </c>
      <c r="P811" s="1059" t="s">
        <v>311</v>
      </c>
      <c r="Q811" s="1059" t="s">
        <v>329</v>
      </c>
      <c r="R811" s="1059" t="s">
        <v>259</v>
      </c>
      <c r="S811" s="1059" t="s">
        <v>89</v>
      </c>
      <c r="T811" s="1059" t="s">
        <v>91</v>
      </c>
      <c r="U811" s="1059" t="s">
        <v>252</v>
      </c>
      <c r="V811" s="1059" t="s">
        <v>0</v>
      </c>
      <c r="W811" s="1059" t="s">
        <v>312</v>
      </c>
      <c r="X811" s="1059" t="s">
        <v>313</v>
      </c>
      <c r="Y811" s="1059" t="s">
        <v>1134</v>
      </c>
      <c r="Z811" s="1059" t="s">
        <v>253</v>
      </c>
      <c r="AA811" s="1059" t="s">
        <v>244</v>
      </c>
      <c r="AB811" s="1059" t="s">
        <v>254</v>
      </c>
      <c r="AC811" s="1059" t="s">
        <v>338</v>
      </c>
      <c r="AD811" s="1059" t="s">
        <v>314</v>
      </c>
      <c r="AE811" s="1059" t="s">
        <v>315</v>
      </c>
      <c r="AF811" s="1059" t="s">
        <v>316</v>
      </c>
      <c r="AG811" s="1059" t="s">
        <v>317</v>
      </c>
      <c r="AH811" s="1059" t="s">
        <v>105</v>
      </c>
      <c r="AI811" s="1059" t="s">
        <v>255</v>
      </c>
      <c r="AJ811" s="1059" t="s">
        <v>854</v>
      </c>
      <c r="AK811" s="1059" t="s">
        <v>855</v>
      </c>
      <c r="AL811" s="1059" t="s">
        <v>856</v>
      </c>
      <c r="AM811" s="1059" t="s">
        <v>857</v>
      </c>
      <c r="AN811" s="1059" t="s">
        <v>858</v>
      </c>
      <c r="AO811" s="1059" t="s">
        <v>859</v>
      </c>
      <c r="AP811" s="1059" t="s">
        <v>339</v>
      </c>
      <c r="AQ811" s="1059" t="s">
        <v>340</v>
      </c>
      <c r="AR811" s="1059" t="s">
        <v>330</v>
      </c>
      <c r="AS811" s="1025" t="s">
        <v>944</v>
      </c>
      <c r="AT811" s="1025" t="s">
        <v>945</v>
      </c>
      <c r="AU811" s="1025" t="s">
        <v>951</v>
      </c>
      <c r="AV811" s="1025" t="s">
        <v>950</v>
      </c>
      <c r="AW811" s="1025" t="s">
        <v>946</v>
      </c>
      <c r="AX811" s="1025" t="s">
        <v>938</v>
      </c>
      <c r="AY811" s="1025" t="s">
        <v>860</v>
      </c>
      <c r="AZ811" s="1060" t="s">
        <v>644</v>
      </c>
      <c r="BC811" s="29"/>
      <c r="BD811" s="29"/>
      <c r="BE811" s="13"/>
      <c r="BL811" s="368"/>
    </row>
    <row r="812" spans="1:64" ht="12" customHeight="1" x14ac:dyDescent="0.2">
      <c r="A812" s="514">
        <f>acute_overview_children!A12</f>
        <v>1</v>
      </c>
      <c r="B812" s="127">
        <f t="shared" ref="B812:B875" si="55">B12</f>
        <v>100000</v>
      </c>
      <c r="C812" s="127" t="str">
        <f t="shared" ref="C812:C875" si="56">C12</f>
        <v>FRUIT AND TREE NUTS</v>
      </c>
      <c r="D812" s="134"/>
      <c r="E812" s="1027"/>
      <c r="F812" s="87"/>
      <c r="G812" s="87"/>
      <c r="H812" s="1027"/>
      <c r="I812" s="1030"/>
      <c r="J812" s="1031" t="e">
        <f t="shared" ref="J812:AR812" si="57">IF(J12="",0,IF(OR(1=RANK(J412,J$412:J$790,0),(2=RANK(J412,J$412:J$790,0))),J412,J12))</f>
        <v>#DIV/0!</v>
      </c>
      <c r="K812" s="1032" t="e">
        <f t="shared" si="57"/>
        <v>#DIV/0!</v>
      </c>
      <c r="L812" s="1032" t="e">
        <f t="shared" si="57"/>
        <v>#DIV/0!</v>
      </c>
      <c r="M812" s="1032" t="e">
        <f t="shared" si="57"/>
        <v>#DIV/0!</v>
      </c>
      <c r="N812" s="1032" t="e">
        <f t="shared" si="57"/>
        <v>#DIV/0!</v>
      </c>
      <c r="O812" s="1032" t="e">
        <f t="shared" si="57"/>
        <v>#DIV/0!</v>
      </c>
      <c r="P812" s="1032" t="e">
        <f t="shared" si="57"/>
        <v>#DIV/0!</v>
      </c>
      <c r="Q812" s="1032" t="e">
        <f t="shared" si="57"/>
        <v>#DIV/0!</v>
      </c>
      <c r="R812" s="1032" t="e">
        <f t="shared" si="57"/>
        <v>#DIV/0!</v>
      </c>
      <c r="S812" s="1032" t="e">
        <f t="shared" si="57"/>
        <v>#DIV/0!</v>
      </c>
      <c r="T812" s="1032" t="e">
        <f t="shared" si="57"/>
        <v>#DIV/0!</v>
      </c>
      <c r="U812" s="1032" t="e">
        <f t="shared" si="57"/>
        <v>#DIV/0!</v>
      </c>
      <c r="V812" s="1032" t="e">
        <f t="shared" si="57"/>
        <v>#DIV/0!</v>
      </c>
      <c r="W812" s="1032" t="e">
        <f t="shared" si="57"/>
        <v>#DIV/0!</v>
      </c>
      <c r="X812" s="1032" t="e">
        <f t="shared" si="57"/>
        <v>#DIV/0!</v>
      </c>
      <c r="Y812" s="1032" t="e">
        <f t="shared" si="57"/>
        <v>#DIV/0!</v>
      </c>
      <c r="Z812" s="1032" t="e">
        <f t="shared" si="57"/>
        <v>#DIV/0!</v>
      </c>
      <c r="AA812" s="1032" t="e">
        <f t="shared" si="57"/>
        <v>#DIV/0!</v>
      </c>
      <c r="AB812" s="1032" t="e">
        <f t="shared" si="57"/>
        <v>#DIV/0!</v>
      </c>
      <c r="AC812" s="1032" t="e">
        <f t="shared" si="57"/>
        <v>#DIV/0!</v>
      </c>
      <c r="AD812" s="1032" t="e">
        <f t="shared" si="57"/>
        <v>#DIV/0!</v>
      </c>
      <c r="AE812" s="1032" t="e">
        <f t="shared" si="57"/>
        <v>#DIV/0!</v>
      </c>
      <c r="AF812" s="1032" t="e">
        <f t="shared" si="57"/>
        <v>#DIV/0!</v>
      </c>
      <c r="AG812" s="1032" t="e">
        <f t="shared" si="57"/>
        <v>#DIV/0!</v>
      </c>
      <c r="AH812" s="1032" t="e">
        <f t="shared" si="57"/>
        <v>#DIV/0!</v>
      </c>
      <c r="AI812" s="1032" t="e">
        <f t="shared" si="57"/>
        <v>#DIV/0!</v>
      </c>
      <c r="AJ812" s="1032" t="e">
        <f t="shared" si="57"/>
        <v>#DIV/0!</v>
      </c>
      <c r="AK812" s="1032" t="e">
        <f t="shared" si="57"/>
        <v>#DIV/0!</v>
      </c>
      <c r="AL812" s="1032" t="e">
        <f t="shared" si="57"/>
        <v>#DIV/0!</v>
      </c>
      <c r="AM812" s="1032" t="e">
        <f t="shared" si="57"/>
        <v>#DIV/0!</v>
      </c>
      <c r="AN812" s="1032" t="e">
        <f t="shared" si="57"/>
        <v>#DIV/0!</v>
      </c>
      <c r="AO812" s="1032" t="e">
        <f t="shared" si="57"/>
        <v>#DIV/0!</v>
      </c>
      <c r="AP812" s="1032" t="e">
        <f t="shared" si="57"/>
        <v>#DIV/0!</v>
      </c>
      <c r="AQ812" s="1032" t="e">
        <f t="shared" si="57"/>
        <v>#DIV/0!</v>
      </c>
      <c r="AR812" s="1032" t="e">
        <f t="shared" si="57"/>
        <v>#DIV/0!</v>
      </c>
      <c r="AS812" s="1032" t="e">
        <f t="shared" ref="AS812:AY812" si="58">IF(AS12="",0,IF(OR(1=RANK(AS412,AS$412:AS$790,0),(2=RANK(AS412,AS$412:AS$790,0))),AS412,AS12))</f>
        <v>#DIV/0!</v>
      </c>
      <c r="AT812" s="1032" t="e">
        <f t="shared" si="58"/>
        <v>#DIV/0!</v>
      </c>
      <c r="AU812" s="1032">
        <f t="shared" si="58"/>
        <v>0</v>
      </c>
      <c r="AV812" s="1032" t="e">
        <f t="shared" si="58"/>
        <v>#DIV/0!</v>
      </c>
      <c r="AW812" s="1032" t="e">
        <f t="shared" si="58"/>
        <v>#DIV/0!</v>
      </c>
      <c r="AX812" s="1032" t="e">
        <f t="shared" si="58"/>
        <v>#DIV/0!</v>
      </c>
      <c r="AY812" s="1032" t="e">
        <f t="shared" si="58"/>
        <v>#DIV/0!</v>
      </c>
      <c r="AZ812" s="1061" t="s">
        <v>21</v>
      </c>
      <c r="BC812" s="29"/>
      <c r="BD812" s="29"/>
      <c r="BE812" s="13"/>
      <c r="BL812" s="368"/>
    </row>
    <row r="813" spans="1:64" ht="12" customHeight="1" x14ac:dyDescent="0.2">
      <c r="A813" s="515">
        <f>acute_overview_children!A13</f>
        <v>2</v>
      </c>
      <c r="B813" s="131">
        <f t="shared" si="55"/>
        <v>110000</v>
      </c>
      <c r="C813" s="131" t="str">
        <f t="shared" si="56"/>
        <v>Citrus fruit</v>
      </c>
      <c r="D813" s="1035"/>
      <c r="E813" s="1027"/>
      <c r="F813" s="87"/>
      <c r="G813" s="87"/>
      <c r="H813" s="1027"/>
      <c r="I813" s="1030"/>
      <c r="J813" s="1037" t="e">
        <f t="shared" ref="J813:AR813" si="59">IF(J13="",0,IF(OR(1=RANK(J413,J$412:J$790,0),(2=RANK(J413,J$412:J$790,0))),J413,J13))</f>
        <v>#DIV/0!</v>
      </c>
      <c r="K813" s="1038" t="e">
        <f t="shared" si="59"/>
        <v>#DIV/0!</v>
      </c>
      <c r="L813" s="1038" t="e">
        <f t="shared" si="59"/>
        <v>#DIV/0!</v>
      </c>
      <c r="M813" s="1038" t="e">
        <f t="shared" si="59"/>
        <v>#DIV/0!</v>
      </c>
      <c r="N813" s="1038" t="e">
        <f t="shared" si="59"/>
        <v>#DIV/0!</v>
      </c>
      <c r="O813" s="1038" t="e">
        <f t="shared" si="59"/>
        <v>#DIV/0!</v>
      </c>
      <c r="P813" s="1038" t="e">
        <f t="shared" si="59"/>
        <v>#DIV/0!</v>
      </c>
      <c r="Q813" s="1038" t="e">
        <f t="shared" si="59"/>
        <v>#DIV/0!</v>
      </c>
      <c r="R813" s="1038" t="e">
        <f t="shared" si="59"/>
        <v>#DIV/0!</v>
      </c>
      <c r="S813" s="1038" t="e">
        <f t="shared" si="59"/>
        <v>#DIV/0!</v>
      </c>
      <c r="T813" s="1038" t="e">
        <f t="shared" si="59"/>
        <v>#DIV/0!</v>
      </c>
      <c r="U813" s="1038" t="e">
        <f t="shared" si="59"/>
        <v>#DIV/0!</v>
      </c>
      <c r="V813" s="1038" t="e">
        <f t="shared" si="59"/>
        <v>#DIV/0!</v>
      </c>
      <c r="W813" s="1038" t="e">
        <f t="shared" si="59"/>
        <v>#DIV/0!</v>
      </c>
      <c r="X813" s="1038" t="e">
        <f t="shared" si="59"/>
        <v>#DIV/0!</v>
      </c>
      <c r="Y813" s="1038" t="e">
        <f t="shared" si="59"/>
        <v>#DIV/0!</v>
      </c>
      <c r="Z813" s="1038" t="e">
        <f t="shared" si="59"/>
        <v>#DIV/0!</v>
      </c>
      <c r="AA813" s="1038" t="e">
        <f t="shared" si="59"/>
        <v>#DIV/0!</v>
      </c>
      <c r="AB813" s="1038" t="e">
        <f t="shared" si="59"/>
        <v>#DIV/0!</v>
      </c>
      <c r="AC813" s="1038" t="e">
        <f t="shared" si="59"/>
        <v>#DIV/0!</v>
      </c>
      <c r="AD813" s="1038" t="e">
        <f t="shared" si="59"/>
        <v>#DIV/0!</v>
      </c>
      <c r="AE813" s="1038" t="e">
        <f t="shared" si="59"/>
        <v>#DIV/0!</v>
      </c>
      <c r="AF813" s="1038" t="e">
        <f t="shared" si="59"/>
        <v>#DIV/0!</v>
      </c>
      <c r="AG813" s="1038" t="e">
        <f t="shared" si="59"/>
        <v>#DIV/0!</v>
      </c>
      <c r="AH813" s="1038" t="e">
        <f t="shared" si="59"/>
        <v>#DIV/0!</v>
      </c>
      <c r="AI813" s="1038" t="e">
        <f t="shared" si="59"/>
        <v>#DIV/0!</v>
      </c>
      <c r="AJ813" s="1038" t="e">
        <f t="shared" si="59"/>
        <v>#DIV/0!</v>
      </c>
      <c r="AK813" s="1038" t="e">
        <f t="shared" si="59"/>
        <v>#DIV/0!</v>
      </c>
      <c r="AL813" s="1038" t="e">
        <f t="shared" si="59"/>
        <v>#DIV/0!</v>
      </c>
      <c r="AM813" s="1038" t="e">
        <f t="shared" si="59"/>
        <v>#DIV/0!</v>
      </c>
      <c r="AN813" s="1038" t="e">
        <f t="shared" si="59"/>
        <v>#DIV/0!</v>
      </c>
      <c r="AO813" s="1038" t="e">
        <f t="shared" si="59"/>
        <v>#DIV/0!</v>
      </c>
      <c r="AP813" s="1038" t="e">
        <f t="shared" si="59"/>
        <v>#DIV/0!</v>
      </c>
      <c r="AQ813" s="1038" t="e">
        <f t="shared" si="59"/>
        <v>#DIV/0!</v>
      </c>
      <c r="AR813" s="1038" t="e">
        <f t="shared" si="59"/>
        <v>#DIV/0!</v>
      </c>
      <c r="AS813" s="1038" t="e">
        <f t="shared" ref="AS813:AY813" si="60">IF(AS13="",0,IF(OR(1=RANK(AS413,AS$412:AS$790,0),(2=RANK(AS413,AS$412:AS$790,0))),AS413,AS13))</f>
        <v>#DIV/0!</v>
      </c>
      <c r="AT813" s="1038" t="e">
        <f t="shared" si="60"/>
        <v>#DIV/0!</v>
      </c>
      <c r="AU813" s="1038">
        <f t="shared" si="60"/>
        <v>0</v>
      </c>
      <c r="AV813" s="1038" t="e">
        <f t="shared" si="60"/>
        <v>#DIV/0!</v>
      </c>
      <c r="AW813" s="1038" t="e">
        <f t="shared" si="60"/>
        <v>#DIV/0!</v>
      </c>
      <c r="AX813" s="1038" t="e">
        <f t="shared" si="60"/>
        <v>#DIV/0!</v>
      </c>
      <c r="AY813" s="1038" t="e">
        <f t="shared" si="60"/>
        <v>#DIV/0!</v>
      </c>
      <c r="AZ813" s="1061" t="s">
        <v>21</v>
      </c>
      <c r="BC813" s="29"/>
      <c r="BD813" s="29"/>
      <c r="BE813" s="13"/>
      <c r="BL813" s="368"/>
    </row>
    <row r="814" spans="1:64" ht="12" customHeight="1" x14ac:dyDescent="0.2">
      <c r="A814" s="39">
        <f>acute_overview_children!A14</f>
        <v>4</v>
      </c>
      <c r="B814" s="23">
        <f t="shared" si="55"/>
        <v>110010</v>
      </c>
      <c r="C814" s="23" t="str">
        <f t="shared" si="56"/>
        <v>Grapefruits</v>
      </c>
      <c r="D814" s="135"/>
      <c r="E814" s="1027"/>
      <c r="F814" s="87"/>
      <c r="G814" s="87"/>
      <c r="H814" s="1027"/>
      <c r="I814" s="1030"/>
      <c r="J814" s="1039" t="e">
        <f t="shared" ref="J814:AR814" si="61">IF(J14="",0,IF(OR(1=RANK(J414,J$412:J$790,0),(2=RANK(J414,J$412:J$790,0))),J414,J14))</f>
        <v>#DIV/0!</v>
      </c>
      <c r="K814" s="1040" t="e">
        <f t="shared" si="61"/>
        <v>#DIV/0!</v>
      </c>
      <c r="L814" s="1040" t="e">
        <f t="shared" si="61"/>
        <v>#DIV/0!</v>
      </c>
      <c r="M814" s="1040" t="e">
        <f t="shared" si="61"/>
        <v>#DIV/0!</v>
      </c>
      <c r="N814" s="1040" t="e">
        <f t="shared" si="61"/>
        <v>#DIV/0!</v>
      </c>
      <c r="O814" s="1040" t="e">
        <f t="shared" si="61"/>
        <v>#DIV/0!</v>
      </c>
      <c r="P814" s="1040" t="e">
        <f t="shared" si="61"/>
        <v>#DIV/0!</v>
      </c>
      <c r="Q814" s="1040" t="e">
        <f t="shared" si="61"/>
        <v>#DIV/0!</v>
      </c>
      <c r="R814" s="1040" t="e">
        <f t="shared" si="61"/>
        <v>#DIV/0!</v>
      </c>
      <c r="S814" s="1040" t="e">
        <f t="shared" si="61"/>
        <v>#DIV/0!</v>
      </c>
      <c r="T814" s="1040" t="e">
        <f t="shared" si="61"/>
        <v>#DIV/0!</v>
      </c>
      <c r="U814" s="1040" t="e">
        <f t="shared" si="61"/>
        <v>#DIV/0!</v>
      </c>
      <c r="V814" s="1040" t="e">
        <f t="shared" si="61"/>
        <v>#DIV/0!</v>
      </c>
      <c r="W814" s="1040" t="e">
        <f t="shared" si="61"/>
        <v>#DIV/0!</v>
      </c>
      <c r="X814" s="1040" t="e">
        <f t="shared" si="61"/>
        <v>#DIV/0!</v>
      </c>
      <c r="Y814" s="1040" t="e">
        <f t="shared" si="61"/>
        <v>#DIV/0!</v>
      </c>
      <c r="Z814" s="1040" t="e">
        <f t="shared" si="61"/>
        <v>#DIV/0!</v>
      </c>
      <c r="AA814" s="1040" t="e">
        <f t="shared" si="61"/>
        <v>#DIV/0!</v>
      </c>
      <c r="AB814" s="1040" t="e">
        <f t="shared" si="61"/>
        <v>#DIV/0!</v>
      </c>
      <c r="AC814" s="1040" t="e">
        <f t="shared" si="61"/>
        <v>#DIV/0!</v>
      </c>
      <c r="AD814" s="1040" t="e">
        <f t="shared" si="61"/>
        <v>#DIV/0!</v>
      </c>
      <c r="AE814" s="1040" t="e">
        <f t="shared" si="61"/>
        <v>#DIV/0!</v>
      </c>
      <c r="AF814" s="1040" t="e">
        <f t="shared" si="61"/>
        <v>#DIV/0!</v>
      </c>
      <c r="AG814" s="1040" t="e">
        <f t="shared" si="61"/>
        <v>#DIV/0!</v>
      </c>
      <c r="AH814" s="1040" t="e">
        <f t="shared" si="61"/>
        <v>#DIV/0!</v>
      </c>
      <c r="AI814" s="1040" t="e">
        <f t="shared" si="61"/>
        <v>#DIV/0!</v>
      </c>
      <c r="AJ814" s="1040" t="e">
        <f t="shared" si="61"/>
        <v>#DIV/0!</v>
      </c>
      <c r="AK814" s="1040" t="e">
        <f t="shared" si="61"/>
        <v>#DIV/0!</v>
      </c>
      <c r="AL814" s="1040" t="e">
        <f t="shared" si="61"/>
        <v>#DIV/0!</v>
      </c>
      <c r="AM814" s="1040" t="e">
        <f t="shared" si="61"/>
        <v>#DIV/0!</v>
      </c>
      <c r="AN814" s="1040" t="e">
        <f t="shared" si="61"/>
        <v>#DIV/0!</v>
      </c>
      <c r="AO814" s="1040" t="e">
        <f t="shared" si="61"/>
        <v>#DIV/0!</v>
      </c>
      <c r="AP814" s="1040" t="e">
        <f t="shared" si="61"/>
        <v>#DIV/0!</v>
      </c>
      <c r="AQ814" s="1040" t="e">
        <f t="shared" si="61"/>
        <v>#DIV/0!</v>
      </c>
      <c r="AR814" s="1040" t="e">
        <f t="shared" si="61"/>
        <v>#DIV/0!</v>
      </c>
      <c r="AS814" s="1040" t="e">
        <f t="shared" ref="AS814:AY814" si="62">IF(AS14="",0,IF(OR(1=RANK(AS414,AS$412:AS$790,0),(2=RANK(AS414,AS$412:AS$790,0))),AS414,AS14))</f>
        <v>#DIV/0!</v>
      </c>
      <c r="AT814" s="1040" t="e">
        <f t="shared" si="62"/>
        <v>#DIV/0!</v>
      </c>
      <c r="AU814" s="1040">
        <f t="shared" si="62"/>
        <v>0</v>
      </c>
      <c r="AV814" s="1040" t="e">
        <f t="shared" si="62"/>
        <v>#DIV/0!</v>
      </c>
      <c r="AW814" s="1040" t="e">
        <f t="shared" si="62"/>
        <v>#DIV/0!</v>
      </c>
      <c r="AX814" s="1040" t="e">
        <f t="shared" si="62"/>
        <v>#DIV/0!</v>
      </c>
      <c r="AY814" s="1040" t="e">
        <f t="shared" si="62"/>
        <v>#DIV/0!</v>
      </c>
      <c r="AZ814" s="1061" t="s">
        <v>21</v>
      </c>
      <c r="BC814" s="29"/>
      <c r="BD814" s="29"/>
      <c r="BE814" s="13"/>
      <c r="BL814" s="368"/>
    </row>
    <row r="815" spans="1:64" ht="12" customHeight="1" x14ac:dyDescent="0.2">
      <c r="A815" s="39">
        <f>acute_overview_children!A15</f>
        <v>4</v>
      </c>
      <c r="B815" s="23">
        <f t="shared" si="55"/>
        <v>110020</v>
      </c>
      <c r="C815" s="23" t="str">
        <f t="shared" si="56"/>
        <v>Oranges</v>
      </c>
      <c r="D815" s="135"/>
      <c r="E815" s="1027"/>
      <c r="F815" s="87"/>
      <c r="G815" s="87"/>
      <c r="H815" s="1027"/>
      <c r="I815" s="1030"/>
      <c r="J815" s="1039" t="e">
        <f t="shared" ref="J815:AR815" si="63">IF(J15="",0,IF(OR(1=RANK(J415,J$412:J$790,0),(2=RANK(J415,J$412:J$790,0))),J415,J15))</f>
        <v>#DIV/0!</v>
      </c>
      <c r="K815" s="1040" t="e">
        <f t="shared" si="63"/>
        <v>#DIV/0!</v>
      </c>
      <c r="L815" s="1040" t="e">
        <f t="shared" si="63"/>
        <v>#DIV/0!</v>
      </c>
      <c r="M815" s="1040" t="e">
        <f t="shared" si="63"/>
        <v>#DIV/0!</v>
      </c>
      <c r="N815" s="1040" t="e">
        <f t="shared" si="63"/>
        <v>#DIV/0!</v>
      </c>
      <c r="O815" s="1040" t="e">
        <f t="shared" si="63"/>
        <v>#DIV/0!</v>
      </c>
      <c r="P815" s="1040" t="e">
        <f t="shared" si="63"/>
        <v>#DIV/0!</v>
      </c>
      <c r="Q815" s="1040" t="e">
        <f t="shared" si="63"/>
        <v>#DIV/0!</v>
      </c>
      <c r="R815" s="1040" t="e">
        <f t="shared" si="63"/>
        <v>#DIV/0!</v>
      </c>
      <c r="S815" s="1040" t="e">
        <f t="shared" si="63"/>
        <v>#DIV/0!</v>
      </c>
      <c r="T815" s="1040" t="e">
        <f t="shared" si="63"/>
        <v>#DIV/0!</v>
      </c>
      <c r="U815" s="1040" t="e">
        <f t="shared" si="63"/>
        <v>#DIV/0!</v>
      </c>
      <c r="V815" s="1040" t="e">
        <f t="shared" si="63"/>
        <v>#DIV/0!</v>
      </c>
      <c r="W815" s="1040" t="e">
        <f t="shared" si="63"/>
        <v>#DIV/0!</v>
      </c>
      <c r="X815" s="1040" t="e">
        <f t="shared" si="63"/>
        <v>#DIV/0!</v>
      </c>
      <c r="Y815" s="1040" t="e">
        <f t="shared" si="63"/>
        <v>#DIV/0!</v>
      </c>
      <c r="Z815" s="1040" t="e">
        <f t="shared" si="63"/>
        <v>#DIV/0!</v>
      </c>
      <c r="AA815" s="1040" t="e">
        <f t="shared" si="63"/>
        <v>#DIV/0!</v>
      </c>
      <c r="AB815" s="1040" t="e">
        <f t="shared" si="63"/>
        <v>#DIV/0!</v>
      </c>
      <c r="AC815" s="1040" t="e">
        <f t="shared" si="63"/>
        <v>#DIV/0!</v>
      </c>
      <c r="AD815" s="1040" t="e">
        <f t="shared" si="63"/>
        <v>#DIV/0!</v>
      </c>
      <c r="AE815" s="1040" t="e">
        <f t="shared" si="63"/>
        <v>#DIV/0!</v>
      </c>
      <c r="AF815" s="1040" t="e">
        <f t="shared" si="63"/>
        <v>#DIV/0!</v>
      </c>
      <c r="AG815" s="1040" t="e">
        <f t="shared" si="63"/>
        <v>#DIV/0!</v>
      </c>
      <c r="AH815" s="1040" t="e">
        <f t="shared" si="63"/>
        <v>#DIV/0!</v>
      </c>
      <c r="AI815" s="1040" t="e">
        <f t="shared" si="63"/>
        <v>#DIV/0!</v>
      </c>
      <c r="AJ815" s="1040" t="e">
        <f t="shared" si="63"/>
        <v>#DIV/0!</v>
      </c>
      <c r="AK815" s="1040" t="e">
        <f t="shared" si="63"/>
        <v>#DIV/0!</v>
      </c>
      <c r="AL815" s="1040" t="e">
        <f t="shared" si="63"/>
        <v>#DIV/0!</v>
      </c>
      <c r="AM815" s="1040" t="e">
        <f t="shared" si="63"/>
        <v>#DIV/0!</v>
      </c>
      <c r="AN815" s="1040" t="e">
        <f t="shared" si="63"/>
        <v>#DIV/0!</v>
      </c>
      <c r="AO815" s="1040" t="e">
        <f t="shared" si="63"/>
        <v>#DIV/0!</v>
      </c>
      <c r="AP815" s="1040" t="e">
        <f t="shared" si="63"/>
        <v>#DIV/0!</v>
      </c>
      <c r="AQ815" s="1040" t="e">
        <f t="shared" si="63"/>
        <v>#DIV/0!</v>
      </c>
      <c r="AR815" s="1040" t="e">
        <f t="shared" si="63"/>
        <v>#DIV/0!</v>
      </c>
      <c r="AS815" s="1040" t="e">
        <f t="shared" ref="AS815:AY815" si="64">IF(AS15="",0,IF(OR(1=RANK(AS415,AS$412:AS$790,0),(2=RANK(AS415,AS$412:AS$790,0))),AS415,AS15))</f>
        <v>#DIV/0!</v>
      </c>
      <c r="AT815" s="1040" t="e">
        <f t="shared" si="64"/>
        <v>#DIV/0!</v>
      </c>
      <c r="AU815" s="1040">
        <f t="shared" si="64"/>
        <v>0</v>
      </c>
      <c r="AV815" s="1040" t="e">
        <f t="shared" si="64"/>
        <v>#DIV/0!</v>
      </c>
      <c r="AW815" s="1040" t="e">
        <f t="shared" si="64"/>
        <v>#DIV/0!</v>
      </c>
      <c r="AX815" s="1040" t="e">
        <f t="shared" si="64"/>
        <v>#DIV/0!</v>
      </c>
      <c r="AY815" s="1040" t="e">
        <f t="shared" si="64"/>
        <v>#DIV/0!</v>
      </c>
      <c r="AZ815" s="1061" t="s">
        <v>21</v>
      </c>
      <c r="BC815" s="29"/>
      <c r="BD815" s="29"/>
      <c r="BE815" s="13"/>
      <c r="BL815" s="368"/>
    </row>
    <row r="816" spans="1:64" ht="12" customHeight="1" x14ac:dyDescent="0.2">
      <c r="A816" s="39">
        <f>acute_overview_children!A16</f>
        <v>4</v>
      </c>
      <c r="B816" s="23">
        <f t="shared" si="55"/>
        <v>110030</v>
      </c>
      <c r="C816" s="23" t="str">
        <f t="shared" si="56"/>
        <v>Lemons</v>
      </c>
      <c r="D816" s="135"/>
      <c r="E816" s="1027"/>
      <c r="F816" s="87"/>
      <c r="G816" s="87"/>
      <c r="H816" s="1027"/>
      <c r="I816" s="1030"/>
      <c r="J816" s="1039" t="e">
        <f t="shared" ref="J816:AR816" si="65">IF(J16="",0,IF(OR(1=RANK(J416,J$412:J$790,0),(2=RANK(J416,J$412:J$790,0))),J416,J16))</f>
        <v>#DIV/0!</v>
      </c>
      <c r="K816" s="1040" t="e">
        <f t="shared" si="65"/>
        <v>#DIV/0!</v>
      </c>
      <c r="L816" s="1040" t="e">
        <f t="shared" si="65"/>
        <v>#DIV/0!</v>
      </c>
      <c r="M816" s="1040" t="e">
        <f t="shared" si="65"/>
        <v>#DIV/0!</v>
      </c>
      <c r="N816" s="1040" t="e">
        <f t="shared" si="65"/>
        <v>#DIV/0!</v>
      </c>
      <c r="O816" s="1040" t="e">
        <f t="shared" si="65"/>
        <v>#DIV/0!</v>
      </c>
      <c r="P816" s="1040" t="e">
        <f t="shared" si="65"/>
        <v>#DIV/0!</v>
      </c>
      <c r="Q816" s="1040" t="e">
        <f t="shared" si="65"/>
        <v>#DIV/0!</v>
      </c>
      <c r="R816" s="1040" t="e">
        <f t="shared" si="65"/>
        <v>#DIV/0!</v>
      </c>
      <c r="S816" s="1040" t="e">
        <f t="shared" si="65"/>
        <v>#DIV/0!</v>
      </c>
      <c r="T816" s="1040" t="e">
        <f t="shared" si="65"/>
        <v>#DIV/0!</v>
      </c>
      <c r="U816" s="1040" t="e">
        <f t="shared" si="65"/>
        <v>#DIV/0!</v>
      </c>
      <c r="V816" s="1040" t="e">
        <f t="shared" si="65"/>
        <v>#DIV/0!</v>
      </c>
      <c r="W816" s="1040" t="e">
        <f t="shared" si="65"/>
        <v>#DIV/0!</v>
      </c>
      <c r="X816" s="1040" t="e">
        <f t="shared" si="65"/>
        <v>#DIV/0!</v>
      </c>
      <c r="Y816" s="1040" t="e">
        <f t="shared" si="65"/>
        <v>#DIV/0!</v>
      </c>
      <c r="Z816" s="1040" t="e">
        <f t="shared" si="65"/>
        <v>#DIV/0!</v>
      </c>
      <c r="AA816" s="1040" t="e">
        <f t="shared" si="65"/>
        <v>#DIV/0!</v>
      </c>
      <c r="AB816" s="1040" t="e">
        <f t="shared" si="65"/>
        <v>#DIV/0!</v>
      </c>
      <c r="AC816" s="1040" t="e">
        <f t="shared" si="65"/>
        <v>#DIV/0!</v>
      </c>
      <c r="AD816" s="1040" t="e">
        <f t="shared" si="65"/>
        <v>#DIV/0!</v>
      </c>
      <c r="AE816" s="1040" t="e">
        <f t="shared" si="65"/>
        <v>#DIV/0!</v>
      </c>
      <c r="AF816" s="1040" t="e">
        <f t="shared" si="65"/>
        <v>#DIV/0!</v>
      </c>
      <c r="AG816" s="1040" t="e">
        <f t="shared" si="65"/>
        <v>#DIV/0!</v>
      </c>
      <c r="AH816" s="1040" t="e">
        <f t="shared" si="65"/>
        <v>#DIV/0!</v>
      </c>
      <c r="AI816" s="1040" t="e">
        <f t="shared" si="65"/>
        <v>#DIV/0!</v>
      </c>
      <c r="AJ816" s="1040" t="e">
        <f t="shared" si="65"/>
        <v>#DIV/0!</v>
      </c>
      <c r="AK816" s="1040" t="e">
        <f t="shared" si="65"/>
        <v>#DIV/0!</v>
      </c>
      <c r="AL816" s="1040" t="e">
        <f t="shared" si="65"/>
        <v>#DIV/0!</v>
      </c>
      <c r="AM816" s="1040" t="e">
        <f t="shared" si="65"/>
        <v>#DIV/0!</v>
      </c>
      <c r="AN816" s="1040" t="e">
        <f t="shared" si="65"/>
        <v>#DIV/0!</v>
      </c>
      <c r="AO816" s="1040" t="e">
        <f t="shared" si="65"/>
        <v>#DIV/0!</v>
      </c>
      <c r="AP816" s="1040" t="e">
        <f t="shared" si="65"/>
        <v>#DIV/0!</v>
      </c>
      <c r="AQ816" s="1040" t="e">
        <f t="shared" si="65"/>
        <v>#DIV/0!</v>
      </c>
      <c r="AR816" s="1040" t="e">
        <f t="shared" si="65"/>
        <v>#DIV/0!</v>
      </c>
      <c r="AS816" s="1040" t="e">
        <f t="shared" ref="AS816:AY816" si="66">IF(AS16="",0,IF(OR(1=RANK(AS416,AS$412:AS$790,0),(2=RANK(AS416,AS$412:AS$790,0))),AS416,AS16))</f>
        <v>#DIV/0!</v>
      </c>
      <c r="AT816" s="1040" t="e">
        <f t="shared" si="66"/>
        <v>#DIV/0!</v>
      </c>
      <c r="AU816" s="1040">
        <f t="shared" si="66"/>
        <v>0</v>
      </c>
      <c r="AV816" s="1040" t="e">
        <f t="shared" si="66"/>
        <v>#DIV/0!</v>
      </c>
      <c r="AW816" s="1040" t="e">
        <f t="shared" si="66"/>
        <v>#DIV/0!</v>
      </c>
      <c r="AX816" s="1040" t="e">
        <f t="shared" si="66"/>
        <v>#DIV/0!</v>
      </c>
      <c r="AY816" s="1040" t="e">
        <f t="shared" si="66"/>
        <v>#DIV/0!</v>
      </c>
      <c r="AZ816" s="1061" t="s">
        <v>21</v>
      </c>
      <c r="BC816" s="29"/>
      <c r="BD816" s="29"/>
      <c r="BE816" s="13"/>
      <c r="BL816" s="368"/>
    </row>
    <row r="817" spans="1:64" ht="12" customHeight="1" x14ac:dyDescent="0.2">
      <c r="A817" s="39">
        <f>acute_overview_children!A17</f>
        <v>4</v>
      </c>
      <c r="B817" s="23">
        <f t="shared" si="55"/>
        <v>110040</v>
      </c>
      <c r="C817" s="23" t="str">
        <f t="shared" si="56"/>
        <v>Limes</v>
      </c>
      <c r="D817" s="135"/>
      <c r="E817" s="1027"/>
      <c r="F817" s="87"/>
      <c r="G817" s="87"/>
      <c r="H817" s="1027"/>
      <c r="I817" s="1030"/>
      <c r="J817" s="1039" t="e">
        <f t="shared" ref="J817:AR817" si="67">IF(J17="",0,IF(OR(1=RANK(J417,J$412:J$790,0),(2=RANK(J417,J$412:J$790,0))),J417,J17))</f>
        <v>#DIV/0!</v>
      </c>
      <c r="K817" s="1040" t="e">
        <f t="shared" si="67"/>
        <v>#DIV/0!</v>
      </c>
      <c r="L817" s="1040" t="e">
        <f t="shared" si="67"/>
        <v>#DIV/0!</v>
      </c>
      <c r="M817" s="1040" t="e">
        <f t="shared" si="67"/>
        <v>#DIV/0!</v>
      </c>
      <c r="N817" s="1040" t="e">
        <f t="shared" si="67"/>
        <v>#DIV/0!</v>
      </c>
      <c r="O817" s="1040" t="e">
        <f t="shared" si="67"/>
        <v>#DIV/0!</v>
      </c>
      <c r="P817" s="1040" t="e">
        <f t="shared" si="67"/>
        <v>#DIV/0!</v>
      </c>
      <c r="Q817" s="1040" t="e">
        <f t="shared" si="67"/>
        <v>#DIV/0!</v>
      </c>
      <c r="R817" s="1040" t="e">
        <f t="shared" si="67"/>
        <v>#DIV/0!</v>
      </c>
      <c r="S817" s="1040" t="e">
        <f t="shared" si="67"/>
        <v>#DIV/0!</v>
      </c>
      <c r="T817" s="1040" t="e">
        <f t="shared" si="67"/>
        <v>#DIV/0!</v>
      </c>
      <c r="U817" s="1040" t="e">
        <f t="shared" si="67"/>
        <v>#DIV/0!</v>
      </c>
      <c r="V817" s="1040" t="e">
        <f t="shared" si="67"/>
        <v>#DIV/0!</v>
      </c>
      <c r="W817" s="1040" t="e">
        <f t="shared" si="67"/>
        <v>#DIV/0!</v>
      </c>
      <c r="X817" s="1040" t="e">
        <f t="shared" si="67"/>
        <v>#DIV/0!</v>
      </c>
      <c r="Y817" s="1040" t="e">
        <f t="shared" si="67"/>
        <v>#DIV/0!</v>
      </c>
      <c r="Z817" s="1040" t="e">
        <f t="shared" si="67"/>
        <v>#DIV/0!</v>
      </c>
      <c r="AA817" s="1040" t="e">
        <f t="shared" si="67"/>
        <v>#DIV/0!</v>
      </c>
      <c r="AB817" s="1040" t="e">
        <f t="shared" si="67"/>
        <v>#DIV/0!</v>
      </c>
      <c r="AC817" s="1040" t="e">
        <f t="shared" si="67"/>
        <v>#DIV/0!</v>
      </c>
      <c r="AD817" s="1040" t="e">
        <f t="shared" si="67"/>
        <v>#DIV/0!</v>
      </c>
      <c r="AE817" s="1040" t="e">
        <f t="shared" si="67"/>
        <v>#DIV/0!</v>
      </c>
      <c r="AF817" s="1040" t="e">
        <f t="shared" si="67"/>
        <v>#DIV/0!</v>
      </c>
      <c r="AG817" s="1040" t="e">
        <f t="shared" si="67"/>
        <v>#DIV/0!</v>
      </c>
      <c r="AH817" s="1040" t="e">
        <f t="shared" si="67"/>
        <v>#DIV/0!</v>
      </c>
      <c r="AI817" s="1040" t="e">
        <f t="shared" si="67"/>
        <v>#DIV/0!</v>
      </c>
      <c r="AJ817" s="1040" t="e">
        <f t="shared" si="67"/>
        <v>#DIV/0!</v>
      </c>
      <c r="AK817" s="1040" t="e">
        <f t="shared" si="67"/>
        <v>#DIV/0!</v>
      </c>
      <c r="AL817" s="1040" t="e">
        <f t="shared" si="67"/>
        <v>#DIV/0!</v>
      </c>
      <c r="AM817" s="1040" t="e">
        <f t="shared" si="67"/>
        <v>#DIV/0!</v>
      </c>
      <c r="AN817" s="1040" t="e">
        <f t="shared" si="67"/>
        <v>#DIV/0!</v>
      </c>
      <c r="AO817" s="1040" t="e">
        <f t="shared" si="67"/>
        <v>#DIV/0!</v>
      </c>
      <c r="AP817" s="1040" t="e">
        <f t="shared" si="67"/>
        <v>#DIV/0!</v>
      </c>
      <c r="AQ817" s="1040" t="e">
        <f t="shared" si="67"/>
        <v>#DIV/0!</v>
      </c>
      <c r="AR817" s="1040" t="e">
        <f t="shared" si="67"/>
        <v>#DIV/0!</v>
      </c>
      <c r="AS817" s="1040" t="e">
        <f t="shared" ref="AS817:AY817" si="68">IF(AS17="",0,IF(OR(1=RANK(AS417,AS$412:AS$790,0),(2=RANK(AS417,AS$412:AS$790,0))),AS417,AS17))</f>
        <v>#DIV/0!</v>
      </c>
      <c r="AT817" s="1040" t="e">
        <f t="shared" si="68"/>
        <v>#DIV/0!</v>
      </c>
      <c r="AU817" s="1040">
        <f t="shared" si="68"/>
        <v>0</v>
      </c>
      <c r="AV817" s="1040" t="e">
        <f t="shared" si="68"/>
        <v>#DIV/0!</v>
      </c>
      <c r="AW817" s="1040" t="e">
        <f t="shared" si="68"/>
        <v>#DIV/0!</v>
      </c>
      <c r="AX817" s="1040" t="e">
        <f t="shared" si="68"/>
        <v>#DIV/0!</v>
      </c>
      <c r="AY817" s="1040" t="e">
        <f t="shared" si="68"/>
        <v>#DIV/0!</v>
      </c>
      <c r="AZ817" s="1061" t="s">
        <v>21</v>
      </c>
      <c r="BC817" s="29"/>
      <c r="BD817" s="29"/>
      <c r="BE817" s="13"/>
      <c r="BL817" s="368"/>
    </row>
    <row r="818" spans="1:64" ht="12" customHeight="1" x14ac:dyDescent="0.2">
      <c r="A818" s="39">
        <f>acute_overview_children!A18</f>
        <v>4</v>
      </c>
      <c r="B818" s="23">
        <f t="shared" si="55"/>
        <v>110050</v>
      </c>
      <c r="C818" s="23" t="str">
        <f t="shared" si="56"/>
        <v xml:space="preserve">Mandarins </v>
      </c>
      <c r="D818" s="135"/>
      <c r="E818" s="1027"/>
      <c r="F818" s="87"/>
      <c r="G818" s="87"/>
      <c r="H818" s="1027"/>
      <c r="I818" s="1030"/>
      <c r="J818" s="1039" t="e">
        <f t="shared" ref="J818:AR818" si="69">IF(J18="",0,IF(OR(1=RANK(J418,J$412:J$790,0),(2=RANK(J418,J$412:J$790,0))),J418,J18))</f>
        <v>#DIV/0!</v>
      </c>
      <c r="K818" s="1040" t="e">
        <f t="shared" si="69"/>
        <v>#DIV/0!</v>
      </c>
      <c r="L818" s="1040" t="e">
        <f t="shared" si="69"/>
        <v>#DIV/0!</v>
      </c>
      <c r="M818" s="1040" t="e">
        <f t="shared" si="69"/>
        <v>#DIV/0!</v>
      </c>
      <c r="N818" s="1040" t="e">
        <f t="shared" si="69"/>
        <v>#DIV/0!</v>
      </c>
      <c r="O818" s="1040" t="e">
        <f t="shared" si="69"/>
        <v>#DIV/0!</v>
      </c>
      <c r="P818" s="1040" t="e">
        <f t="shared" si="69"/>
        <v>#DIV/0!</v>
      </c>
      <c r="Q818" s="1040" t="e">
        <f t="shared" si="69"/>
        <v>#DIV/0!</v>
      </c>
      <c r="R818" s="1040" t="e">
        <f t="shared" si="69"/>
        <v>#DIV/0!</v>
      </c>
      <c r="S818" s="1040" t="e">
        <f t="shared" si="69"/>
        <v>#DIV/0!</v>
      </c>
      <c r="T818" s="1040" t="e">
        <f t="shared" si="69"/>
        <v>#DIV/0!</v>
      </c>
      <c r="U818" s="1040" t="e">
        <f t="shared" si="69"/>
        <v>#DIV/0!</v>
      </c>
      <c r="V818" s="1040" t="e">
        <f t="shared" si="69"/>
        <v>#DIV/0!</v>
      </c>
      <c r="W818" s="1040" t="e">
        <f t="shared" si="69"/>
        <v>#DIV/0!</v>
      </c>
      <c r="X818" s="1040" t="e">
        <f t="shared" si="69"/>
        <v>#DIV/0!</v>
      </c>
      <c r="Y818" s="1040" t="e">
        <f t="shared" si="69"/>
        <v>#DIV/0!</v>
      </c>
      <c r="Z818" s="1040" t="e">
        <f t="shared" si="69"/>
        <v>#DIV/0!</v>
      </c>
      <c r="AA818" s="1040" t="e">
        <f t="shared" si="69"/>
        <v>#DIV/0!</v>
      </c>
      <c r="AB818" s="1040" t="e">
        <f t="shared" si="69"/>
        <v>#DIV/0!</v>
      </c>
      <c r="AC818" s="1040" t="e">
        <f t="shared" si="69"/>
        <v>#DIV/0!</v>
      </c>
      <c r="AD818" s="1040" t="e">
        <f t="shared" si="69"/>
        <v>#DIV/0!</v>
      </c>
      <c r="AE818" s="1040" t="e">
        <f t="shared" si="69"/>
        <v>#DIV/0!</v>
      </c>
      <c r="AF818" s="1040" t="e">
        <f t="shared" si="69"/>
        <v>#DIV/0!</v>
      </c>
      <c r="AG818" s="1040" t="e">
        <f t="shared" si="69"/>
        <v>#DIV/0!</v>
      </c>
      <c r="AH818" s="1040" t="e">
        <f t="shared" si="69"/>
        <v>#DIV/0!</v>
      </c>
      <c r="AI818" s="1040" t="e">
        <f t="shared" si="69"/>
        <v>#DIV/0!</v>
      </c>
      <c r="AJ818" s="1040" t="e">
        <f t="shared" si="69"/>
        <v>#DIV/0!</v>
      </c>
      <c r="AK818" s="1040" t="e">
        <f t="shared" si="69"/>
        <v>#DIV/0!</v>
      </c>
      <c r="AL818" s="1040" t="e">
        <f t="shared" si="69"/>
        <v>#DIV/0!</v>
      </c>
      <c r="AM818" s="1040" t="e">
        <f t="shared" si="69"/>
        <v>#DIV/0!</v>
      </c>
      <c r="AN818" s="1040" t="e">
        <f t="shared" si="69"/>
        <v>#DIV/0!</v>
      </c>
      <c r="AO818" s="1040" t="e">
        <f t="shared" si="69"/>
        <v>#DIV/0!</v>
      </c>
      <c r="AP818" s="1040" t="e">
        <f t="shared" si="69"/>
        <v>#DIV/0!</v>
      </c>
      <c r="AQ818" s="1040" t="e">
        <f t="shared" si="69"/>
        <v>#DIV/0!</v>
      </c>
      <c r="AR818" s="1040" t="e">
        <f t="shared" si="69"/>
        <v>#DIV/0!</v>
      </c>
      <c r="AS818" s="1040" t="e">
        <f t="shared" ref="AS818:AY818" si="70">IF(AS18="",0,IF(OR(1=RANK(AS418,AS$412:AS$790,0),(2=RANK(AS418,AS$412:AS$790,0))),AS418,AS18))</f>
        <v>#DIV/0!</v>
      </c>
      <c r="AT818" s="1040" t="e">
        <f t="shared" si="70"/>
        <v>#DIV/0!</v>
      </c>
      <c r="AU818" s="1040">
        <f t="shared" si="70"/>
        <v>0</v>
      </c>
      <c r="AV818" s="1040" t="e">
        <f t="shared" si="70"/>
        <v>#DIV/0!</v>
      </c>
      <c r="AW818" s="1040" t="e">
        <f t="shared" si="70"/>
        <v>#DIV/0!</v>
      </c>
      <c r="AX818" s="1040" t="e">
        <f t="shared" si="70"/>
        <v>#DIV/0!</v>
      </c>
      <c r="AY818" s="1040" t="e">
        <f t="shared" si="70"/>
        <v>#DIV/0!</v>
      </c>
      <c r="AZ818" s="1061" t="s">
        <v>21</v>
      </c>
      <c r="BC818" s="29"/>
      <c r="BD818" s="29"/>
      <c r="BE818" s="13"/>
      <c r="BL818" s="368"/>
    </row>
    <row r="819" spans="1:64" ht="12" customHeight="1" x14ac:dyDescent="0.2">
      <c r="A819" s="39">
        <f>acute_overview_children!A19</f>
        <v>4</v>
      </c>
      <c r="B819" s="23">
        <f t="shared" si="55"/>
        <v>110990</v>
      </c>
      <c r="C819" s="23" t="str">
        <f t="shared" si="56"/>
        <v>Other citrus fruit</v>
      </c>
      <c r="D819" s="135"/>
      <c r="E819" s="1027"/>
      <c r="F819" s="87"/>
      <c r="G819" s="87"/>
      <c r="H819" s="1027"/>
      <c r="I819" s="1030"/>
      <c r="J819" s="1039" t="e">
        <f t="shared" ref="J819:AR819" si="71">IF(J19="",0,IF(OR(1=RANK(J419,J$412:J$790,0),(2=RANK(J419,J$412:J$790,0))),J419,J19))</f>
        <v>#DIV/0!</v>
      </c>
      <c r="K819" s="1040" t="e">
        <f t="shared" si="71"/>
        <v>#DIV/0!</v>
      </c>
      <c r="L819" s="1040" t="e">
        <f t="shared" si="71"/>
        <v>#DIV/0!</v>
      </c>
      <c r="M819" s="1040" t="e">
        <f t="shared" si="71"/>
        <v>#DIV/0!</v>
      </c>
      <c r="N819" s="1040" t="e">
        <f t="shared" si="71"/>
        <v>#DIV/0!</v>
      </c>
      <c r="O819" s="1040" t="e">
        <f t="shared" si="71"/>
        <v>#DIV/0!</v>
      </c>
      <c r="P819" s="1040" t="e">
        <f t="shared" si="71"/>
        <v>#DIV/0!</v>
      </c>
      <c r="Q819" s="1040" t="e">
        <f t="shared" si="71"/>
        <v>#DIV/0!</v>
      </c>
      <c r="R819" s="1040" t="e">
        <f t="shared" si="71"/>
        <v>#DIV/0!</v>
      </c>
      <c r="S819" s="1040" t="e">
        <f t="shared" si="71"/>
        <v>#DIV/0!</v>
      </c>
      <c r="T819" s="1040" t="e">
        <f t="shared" si="71"/>
        <v>#DIV/0!</v>
      </c>
      <c r="U819" s="1040" t="e">
        <f t="shared" si="71"/>
        <v>#DIV/0!</v>
      </c>
      <c r="V819" s="1040" t="e">
        <f t="shared" si="71"/>
        <v>#DIV/0!</v>
      </c>
      <c r="W819" s="1040" t="e">
        <f t="shared" si="71"/>
        <v>#DIV/0!</v>
      </c>
      <c r="X819" s="1040" t="e">
        <f t="shared" si="71"/>
        <v>#DIV/0!</v>
      </c>
      <c r="Y819" s="1040" t="e">
        <f t="shared" si="71"/>
        <v>#DIV/0!</v>
      </c>
      <c r="Z819" s="1040" t="e">
        <f t="shared" si="71"/>
        <v>#DIV/0!</v>
      </c>
      <c r="AA819" s="1040" t="e">
        <f t="shared" si="71"/>
        <v>#DIV/0!</v>
      </c>
      <c r="AB819" s="1040" t="e">
        <f t="shared" si="71"/>
        <v>#DIV/0!</v>
      </c>
      <c r="AC819" s="1040" t="e">
        <f t="shared" si="71"/>
        <v>#DIV/0!</v>
      </c>
      <c r="AD819" s="1040" t="e">
        <f t="shared" si="71"/>
        <v>#DIV/0!</v>
      </c>
      <c r="AE819" s="1040" t="e">
        <f t="shared" si="71"/>
        <v>#DIV/0!</v>
      </c>
      <c r="AF819" s="1040" t="e">
        <f t="shared" si="71"/>
        <v>#DIV/0!</v>
      </c>
      <c r="AG819" s="1040" t="e">
        <f t="shared" si="71"/>
        <v>#DIV/0!</v>
      </c>
      <c r="AH819" s="1040" t="e">
        <f t="shared" si="71"/>
        <v>#DIV/0!</v>
      </c>
      <c r="AI819" s="1040" t="e">
        <f t="shared" si="71"/>
        <v>#DIV/0!</v>
      </c>
      <c r="AJ819" s="1040" t="e">
        <f t="shared" si="71"/>
        <v>#DIV/0!</v>
      </c>
      <c r="AK819" s="1040" t="e">
        <f t="shared" si="71"/>
        <v>#DIV/0!</v>
      </c>
      <c r="AL819" s="1040" t="e">
        <f t="shared" si="71"/>
        <v>#DIV/0!</v>
      </c>
      <c r="AM819" s="1040" t="e">
        <f t="shared" si="71"/>
        <v>#DIV/0!</v>
      </c>
      <c r="AN819" s="1040" t="e">
        <f t="shared" si="71"/>
        <v>#DIV/0!</v>
      </c>
      <c r="AO819" s="1040" t="e">
        <f t="shared" si="71"/>
        <v>#DIV/0!</v>
      </c>
      <c r="AP819" s="1040" t="e">
        <f t="shared" si="71"/>
        <v>#DIV/0!</v>
      </c>
      <c r="AQ819" s="1040" t="e">
        <f t="shared" si="71"/>
        <v>#DIV/0!</v>
      </c>
      <c r="AR819" s="1040" t="e">
        <f t="shared" si="71"/>
        <v>#DIV/0!</v>
      </c>
      <c r="AS819" s="1040" t="e">
        <f t="shared" ref="AS819:AY819" si="72">IF(AS19="",0,IF(OR(1=RANK(AS419,AS$412:AS$790,0),(2=RANK(AS419,AS$412:AS$790,0))),AS419,AS19))</f>
        <v>#DIV/0!</v>
      </c>
      <c r="AT819" s="1040" t="e">
        <f t="shared" si="72"/>
        <v>#DIV/0!</v>
      </c>
      <c r="AU819" s="1040">
        <f t="shared" si="72"/>
        <v>0</v>
      </c>
      <c r="AV819" s="1040" t="e">
        <f t="shared" si="72"/>
        <v>#DIV/0!</v>
      </c>
      <c r="AW819" s="1040" t="e">
        <f t="shared" si="72"/>
        <v>#DIV/0!</v>
      </c>
      <c r="AX819" s="1040" t="e">
        <f t="shared" si="72"/>
        <v>#DIV/0!</v>
      </c>
      <c r="AY819" s="1040" t="e">
        <f t="shared" si="72"/>
        <v>#DIV/0!</v>
      </c>
      <c r="AZ819" s="1061" t="s">
        <v>21</v>
      </c>
      <c r="BC819" s="29"/>
      <c r="BD819" s="29"/>
      <c r="BE819" s="13"/>
      <c r="BL819" s="368"/>
    </row>
    <row r="820" spans="1:64" ht="12" customHeight="1" x14ac:dyDescent="0.2">
      <c r="A820" s="515">
        <f>acute_overview_children!A20</f>
        <v>2</v>
      </c>
      <c r="B820" s="131">
        <f t="shared" si="55"/>
        <v>120000</v>
      </c>
      <c r="C820" s="131" t="str">
        <f t="shared" si="56"/>
        <v xml:space="preserve">Tree nuts </v>
      </c>
      <c r="D820" s="1035"/>
      <c r="E820" s="1027"/>
      <c r="F820" s="87"/>
      <c r="G820" s="87"/>
      <c r="H820" s="1027"/>
      <c r="I820" s="1030"/>
      <c r="J820" s="1037" t="e">
        <f t="shared" ref="J820:AR820" si="73">IF(J20="",0,IF(OR(1=RANK(J420,J$412:J$790,0),(2=RANK(J420,J$412:J$790,0))),J420,J20))</f>
        <v>#DIV/0!</v>
      </c>
      <c r="K820" s="1038" t="e">
        <f t="shared" si="73"/>
        <v>#DIV/0!</v>
      </c>
      <c r="L820" s="1038" t="e">
        <f t="shared" si="73"/>
        <v>#DIV/0!</v>
      </c>
      <c r="M820" s="1038" t="e">
        <f t="shared" si="73"/>
        <v>#DIV/0!</v>
      </c>
      <c r="N820" s="1038" t="e">
        <f t="shared" si="73"/>
        <v>#DIV/0!</v>
      </c>
      <c r="O820" s="1038" t="e">
        <f t="shared" si="73"/>
        <v>#DIV/0!</v>
      </c>
      <c r="P820" s="1038" t="e">
        <f t="shared" si="73"/>
        <v>#DIV/0!</v>
      </c>
      <c r="Q820" s="1038" t="e">
        <f t="shared" si="73"/>
        <v>#DIV/0!</v>
      </c>
      <c r="R820" s="1038" t="e">
        <f t="shared" si="73"/>
        <v>#DIV/0!</v>
      </c>
      <c r="S820" s="1038" t="e">
        <f t="shared" si="73"/>
        <v>#DIV/0!</v>
      </c>
      <c r="T820" s="1038" t="e">
        <f t="shared" si="73"/>
        <v>#DIV/0!</v>
      </c>
      <c r="U820" s="1038" t="e">
        <f t="shared" si="73"/>
        <v>#DIV/0!</v>
      </c>
      <c r="V820" s="1038" t="e">
        <f t="shared" si="73"/>
        <v>#DIV/0!</v>
      </c>
      <c r="W820" s="1038" t="e">
        <f t="shared" si="73"/>
        <v>#DIV/0!</v>
      </c>
      <c r="X820" s="1038" t="e">
        <f t="shared" si="73"/>
        <v>#DIV/0!</v>
      </c>
      <c r="Y820" s="1038" t="e">
        <f t="shared" si="73"/>
        <v>#DIV/0!</v>
      </c>
      <c r="Z820" s="1038" t="e">
        <f t="shared" si="73"/>
        <v>#DIV/0!</v>
      </c>
      <c r="AA820" s="1038" t="e">
        <f t="shared" si="73"/>
        <v>#DIV/0!</v>
      </c>
      <c r="AB820" s="1038" t="e">
        <f t="shared" si="73"/>
        <v>#DIV/0!</v>
      </c>
      <c r="AC820" s="1038" t="e">
        <f t="shared" si="73"/>
        <v>#DIV/0!</v>
      </c>
      <c r="AD820" s="1038" t="e">
        <f t="shared" si="73"/>
        <v>#DIV/0!</v>
      </c>
      <c r="AE820" s="1038" t="e">
        <f t="shared" si="73"/>
        <v>#DIV/0!</v>
      </c>
      <c r="AF820" s="1038" t="e">
        <f t="shared" si="73"/>
        <v>#DIV/0!</v>
      </c>
      <c r="AG820" s="1038" t="e">
        <f t="shared" si="73"/>
        <v>#DIV/0!</v>
      </c>
      <c r="AH820" s="1038" t="e">
        <f t="shared" si="73"/>
        <v>#DIV/0!</v>
      </c>
      <c r="AI820" s="1038" t="e">
        <f t="shared" si="73"/>
        <v>#DIV/0!</v>
      </c>
      <c r="AJ820" s="1038" t="e">
        <f t="shared" si="73"/>
        <v>#DIV/0!</v>
      </c>
      <c r="AK820" s="1038" t="e">
        <f t="shared" si="73"/>
        <v>#DIV/0!</v>
      </c>
      <c r="AL820" s="1038" t="e">
        <f t="shared" si="73"/>
        <v>#DIV/0!</v>
      </c>
      <c r="AM820" s="1038" t="e">
        <f t="shared" si="73"/>
        <v>#DIV/0!</v>
      </c>
      <c r="AN820" s="1038" t="e">
        <f t="shared" si="73"/>
        <v>#DIV/0!</v>
      </c>
      <c r="AO820" s="1038" t="e">
        <f t="shared" si="73"/>
        <v>#DIV/0!</v>
      </c>
      <c r="AP820" s="1038" t="e">
        <f t="shared" si="73"/>
        <v>#DIV/0!</v>
      </c>
      <c r="AQ820" s="1038" t="e">
        <f t="shared" si="73"/>
        <v>#DIV/0!</v>
      </c>
      <c r="AR820" s="1038" t="e">
        <f t="shared" si="73"/>
        <v>#DIV/0!</v>
      </c>
      <c r="AS820" s="1038" t="e">
        <f t="shared" ref="AS820:AY820" si="74">IF(AS20="",0,IF(OR(1=RANK(AS420,AS$412:AS$790,0),(2=RANK(AS420,AS$412:AS$790,0))),AS420,AS20))</f>
        <v>#DIV/0!</v>
      </c>
      <c r="AT820" s="1038" t="e">
        <f t="shared" si="74"/>
        <v>#DIV/0!</v>
      </c>
      <c r="AU820" s="1038">
        <f t="shared" si="74"/>
        <v>0</v>
      </c>
      <c r="AV820" s="1038" t="e">
        <f t="shared" si="74"/>
        <v>#DIV/0!</v>
      </c>
      <c r="AW820" s="1038" t="e">
        <f t="shared" si="74"/>
        <v>#DIV/0!</v>
      </c>
      <c r="AX820" s="1038" t="e">
        <f t="shared" si="74"/>
        <v>#DIV/0!</v>
      </c>
      <c r="AY820" s="1038" t="e">
        <f t="shared" si="74"/>
        <v>#DIV/0!</v>
      </c>
      <c r="AZ820" s="1061" t="s">
        <v>21</v>
      </c>
      <c r="BC820" s="29"/>
      <c r="BD820" s="29"/>
      <c r="BE820" s="13"/>
      <c r="BL820" s="368"/>
    </row>
    <row r="821" spans="1:64" ht="12" customHeight="1" x14ac:dyDescent="0.2">
      <c r="A821" s="39">
        <f>acute_overview_children!A21</f>
        <v>4</v>
      </c>
      <c r="B821" s="23">
        <f t="shared" si="55"/>
        <v>120010</v>
      </c>
      <c r="C821" s="23" t="str">
        <f t="shared" si="56"/>
        <v>Almonds</v>
      </c>
      <c r="D821" s="135"/>
      <c r="E821" s="1027"/>
      <c r="F821" s="87"/>
      <c r="G821" s="87"/>
      <c r="H821" s="1027"/>
      <c r="I821" s="1030"/>
      <c r="J821" s="1039" t="e">
        <f t="shared" ref="J821:AR821" si="75">IF(J21="",0,IF(OR(1=RANK(J421,J$412:J$790,0),(2=RANK(J421,J$412:J$790,0))),J421,J21))</f>
        <v>#DIV/0!</v>
      </c>
      <c r="K821" s="1040" t="e">
        <f t="shared" si="75"/>
        <v>#DIV/0!</v>
      </c>
      <c r="L821" s="1040" t="e">
        <f t="shared" si="75"/>
        <v>#DIV/0!</v>
      </c>
      <c r="M821" s="1040" t="e">
        <f t="shared" si="75"/>
        <v>#DIV/0!</v>
      </c>
      <c r="N821" s="1040" t="e">
        <f t="shared" si="75"/>
        <v>#DIV/0!</v>
      </c>
      <c r="O821" s="1040" t="e">
        <f t="shared" si="75"/>
        <v>#DIV/0!</v>
      </c>
      <c r="P821" s="1040" t="e">
        <f t="shared" si="75"/>
        <v>#DIV/0!</v>
      </c>
      <c r="Q821" s="1040" t="e">
        <f t="shared" si="75"/>
        <v>#DIV/0!</v>
      </c>
      <c r="R821" s="1040" t="e">
        <f t="shared" si="75"/>
        <v>#DIV/0!</v>
      </c>
      <c r="S821" s="1040" t="e">
        <f t="shared" si="75"/>
        <v>#DIV/0!</v>
      </c>
      <c r="T821" s="1040" t="e">
        <f t="shared" si="75"/>
        <v>#DIV/0!</v>
      </c>
      <c r="U821" s="1040" t="e">
        <f t="shared" si="75"/>
        <v>#DIV/0!</v>
      </c>
      <c r="V821" s="1040" t="e">
        <f t="shared" si="75"/>
        <v>#DIV/0!</v>
      </c>
      <c r="W821" s="1040" t="e">
        <f t="shared" si="75"/>
        <v>#DIV/0!</v>
      </c>
      <c r="X821" s="1040" t="e">
        <f t="shared" si="75"/>
        <v>#DIV/0!</v>
      </c>
      <c r="Y821" s="1040" t="e">
        <f t="shared" si="75"/>
        <v>#DIV/0!</v>
      </c>
      <c r="Z821" s="1040" t="e">
        <f t="shared" si="75"/>
        <v>#DIV/0!</v>
      </c>
      <c r="AA821" s="1040" t="e">
        <f t="shared" si="75"/>
        <v>#DIV/0!</v>
      </c>
      <c r="AB821" s="1040" t="e">
        <f t="shared" si="75"/>
        <v>#DIV/0!</v>
      </c>
      <c r="AC821" s="1040" t="e">
        <f t="shared" si="75"/>
        <v>#DIV/0!</v>
      </c>
      <c r="AD821" s="1040" t="e">
        <f t="shared" si="75"/>
        <v>#DIV/0!</v>
      </c>
      <c r="AE821" s="1040" t="e">
        <f t="shared" si="75"/>
        <v>#DIV/0!</v>
      </c>
      <c r="AF821" s="1040" t="e">
        <f t="shared" si="75"/>
        <v>#DIV/0!</v>
      </c>
      <c r="AG821" s="1040" t="e">
        <f t="shared" si="75"/>
        <v>#DIV/0!</v>
      </c>
      <c r="AH821" s="1040" t="e">
        <f t="shared" si="75"/>
        <v>#DIV/0!</v>
      </c>
      <c r="AI821" s="1040" t="e">
        <f t="shared" si="75"/>
        <v>#DIV/0!</v>
      </c>
      <c r="AJ821" s="1040" t="e">
        <f t="shared" si="75"/>
        <v>#DIV/0!</v>
      </c>
      <c r="AK821" s="1040" t="e">
        <f t="shared" si="75"/>
        <v>#DIV/0!</v>
      </c>
      <c r="AL821" s="1040" t="e">
        <f t="shared" si="75"/>
        <v>#DIV/0!</v>
      </c>
      <c r="AM821" s="1040" t="e">
        <f t="shared" si="75"/>
        <v>#DIV/0!</v>
      </c>
      <c r="AN821" s="1040" t="e">
        <f t="shared" si="75"/>
        <v>#DIV/0!</v>
      </c>
      <c r="AO821" s="1040" t="e">
        <f t="shared" si="75"/>
        <v>#DIV/0!</v>
      </c>
      <c r="AP821" s="1040" t="e">
        <f t="shared" si="75"/>
        <v>#DIV/0!</v>
      </c>
      <c r="AQ821" s="1040" t="e">
        <f t="shared" si="75"/>
        <v>#DIV/0!</v>
      </c>
      <c r="AR821" s="1040" t="e">
        <f t="shared" si="75"/>
        <v>#DIV/0!</v>
      </c>
      <c r="AS821" s="1040" t="e">
        <f t="shared" ref="AS821:AY821" si="76">IF(AS21="",0,IF(OR(1=RANK(AS421,AS$412:AS$790,0),(2=RANK(AS421,AS$412:AS$790,0))),AS421,AS21))</f>
        <v>#DIV/0!</v>
      </c>
      <c r="AT821" s="1040" t="e">
        <f t="shared" si="76"/>
        <v>#DIV/0!</v>
      </c>
      <c r="AU821" s="1040">
        <f t="shared" si="76"/>
        <v>0</v>
      </c>
      <c r="AV821" s="1040" t="e">
        <f t="shared" si="76"/>
        <v>#DIV/0!</v>
      </c>
      <c r="AW821" s="1040" t="e">
        <f t="shared" si="76"/>
        <v>#DIV/0!</v>
      </c>
      <c r="AX821" s="1040" t="e">
        <f t="shared" si="76"/>
        <v>#DIV/0!</v>
      </c>
      <c r="AY821" s="1040" t="e">
        <f t="shared" si="76"/>
        <v>#DIV/0!</v>
      </c>
      <c r="AZ821" s="1061" t="s">
        <v>21</v>
      </c>
      <c r="BC821" s="29"/>
      <c r="BD821" s="29"/>
      <c r="BE821" s="13"/>
      <c r="BL821" s="368"/>
    </row>
    <row r="822" spans="1:64" ht="12" customHeight="1" x14ac:dyDescent="0.2">
      <c r="A822" s="39">
        <f>acute_overview_children!A22</f>
        <v>4</v>
      </c>
      <c r="B822" s="23">
        <f t="shared" si="55"/>
        <v>120020</v>
      </c>
      <c r="C822" s="23" t="str">
        <f t="shared" si="56"/>
        <v>Brazil nuts</v>
      </c>
      <c r="D822" s="135"/>
      <c r="E822" s="1027"/>
      <c r="F822" s="87"/>
      <c r="G822" s="87"/>
      <c r="H822" s="1027"/>
      <c r="I822" s="1030"/>
      <c r="J822" s="1039" t="e">
        <f t="shared" ref="J822:AR822" si="77">IF(J22="",0,IF(OR(1=RANK(J422,J$412:J$790,0),(2=RANK(J422,J$412:J$790,0))),J422,J22))</f>
        <v>#DIV/0!</v>
      </c>
      <c r="K822" s="1040" t="e">
        <f t="shared" si="77"/>
        <v>#DIV/0!</v>
      </c>
      <c r="L822" s="1040" t="e">
        <f t="shared" si="77"/>
        <v>#DIV/0!</v>
      </c>
      <c r="M822" s="1040" t="e">
        <f t="shared" si="77"/>
        <v>#DIV/0!</v>
      </c>
      <c r="N822" s="1040" t="e">
        <f t="shared" si="77"/>
        <v>#DIV/0!</v>
      </c>
      <c r="O822" s="1040" t="e">
        <f t="shared" si="77"/>
        <v>#DIV/0!</v>
      </c>
      <c r="P822" s="1040" t="e">
        <f t="shared" si="77"/>
        <v>#DIV/0!</v>
      </c>
      <c r="Q822" s="1040" t="e">
        <f t="shared" si="77"/>
        <v>#DIV/0!</v>
      </c>
      <c r="R822" s="1040" t="e">
        <f t="shared" si="77"/>
        <v>#DIV/0!</v>
      </c>
      <c r="S822" s="1040" t="e">
        <f t="shared" si="77"/>
        <v>#DIV/0!</v>
      </c>
      <c r="T822" s="1040" t="e">
        <f t="shared" si="77"/>
        <v>#DIV/0!</v>
      </c>
      <c r="U822" s="1040" t="e">
        <f t="shared" si="77"/>
        <v>#DIV/0!</v>
      </c>
      <c r="V822" s="1040" t="e">
        <f t="shared" si="77"/>
        <v>#DIV/0!</v>
      </c>
      <c r="W822" s="1040" t="e">
        <f t="shared" si="77"/>
        <v>#DIV/0!</v>
      </c>
      <c r="X822" s="1040" t="e">
        <f t="shared" si="77"/>
        <v>#DIV/0!</v>
      </c>
      <c r="Y822" s="1040" t="e">
        <f t="shared" si="77"/>
        <v>#DIV/0!</v>
      </c>
      <c r="Z822" s="1040" t="e">
        <f t="shared" si="77"/>
        <v>#DIV/0!</v>
      </c>
      <c r="AA822" s="1040" t="e">
        <f t="shared" si="77"/>
        <v>#DIV/0!</v>
      </c>
      <c r="AB822" s="1040" t="e">
        <f t="shared" si="77"/>
        <v>#DIV/0!</v>
      </c>
      <c r="AC822" s="1040" t="e">
        <f t="shared" si="77"/>
        <v>#DIV/0!</v>
      </c>
      <c r="AD822" s="1040" t="e">
        <f t="shared" si="77"/>
        <v>#DIV/0!</v>
      </c>
      <c r="AE822" s="1040" t="e">
        <f t="shared" si="77"/>
        <v>#DIV/0!</v>
      </c>
      <c r="AF822" s="1040" t="e">
        <f t="shared" si="77"/>
        <v>#DIV/0!</v>
      </c>
      <c r="AG822" s="1040" t="e">
        <f t="shared" si="77"/>
        <v>#DIV/0!</v>
      </c>
      <c r="AH822" s="1040" t="e">
        <f t="shared" si="77"/>
        <v>#DIV/0!</v>
      </c>
      <c r="AI822" s="1040" t="e">
        <f t="shared" si="77"/>
        <v>#DIV/0!</v>
      </c>
      <c r="AJ822" s="1040" t="e">
        <f t="shared" si="77"/>
        <v>#DIV/0!</v>
      </c>
      <c r="AK822" s="1040" t="e">
        <f t="shared" si="77"/>
        <v>#DIV/0!</v>
      </c>
      <c r="AL822" s="1040" t="e">
        <f t="shared" si="77"/>
        <v>#DIV/0!</v>
      </c>
      <c r="AM822" s="1040" t="e">
        <f t="shared" si="77"/>
        <v>#DIV/0!</v>
      </c>
      <c r="AN822" s="1040" t="e">
        <f t="shared" si="77"/>
        <v>#DIV/0!</v>
      </c>
      <c r="AO822" s="1040" t="e">
        <f t="shared" si="77"/>
        <v>#DIV/0!</v>
      </c>
      <c r="AP822" s="1040" t="e">
        <f t="shared" si="77"/>
        <v>#DIV/0!</v>
      </c>
      <c r="AQ822" s="1040" t="e">
        <f t="shared" si="77"/>
        <v>#DIV/0!</v>
      </c>
      <c r="AR822" s="1040" t="e">
        <f t="shared" si="77"/>
        <v>#DIV/0!</v>
      </c>
      <c r="AS822" s="1040" t="e">
        <f t="shared" ref="AS822:AY822" si="78">IF(AS22="",0,IF(OR(1=RANK(AS422,AS$412:AS$790,0),(2=RANK(AS422,AS$412:AS$790,0))),AS422,AS22))</f>
        <v>#DIV/0!</v>
      </c>
      <c r="AT822" s="1040" t="e">
        <f t="shared" si="78"/>
        <v>#DIV/0!</v>
      </c>
      <c r="AU822" s="1040">
        <f t="shared" si="78"/>
        <v>0</v>
      </c>
      <c r="AV822" s="1040" t="e">
        <f t="shared" si="78"/>
        <v>#DIV/0!</v>
      </c>
      <c r="AW822" s="1040" t="e">
        <f t="shared" si="78"/>
        <v>#DIV/0!</v>
      </c>
      <c r="AX822" s="1040" t="e">
        <f t="shared" si="78"/>
        <v>#DIV/0!</v>
      </c>
      <c r="AY822" s="1040" t="e">
        <f t="shared" si="78"/>
        <v>#DIV/0!</v>
      </c>
      <c r="AZ822" s="1061" t="s">
        <v>21</v>
      </c>
      <c r="BC822" s="29"/>
      <c r="BD822" s="29"/>
      <c r="BE822" s="13"/>
      <c r="BL822" s="368"/>
    </row>
    <row r="823" spans="1:64" ht="12" customHeight="1" x14ac:dyDescent="0.2">
      <c r="A823" s="39">
        <f>acute_overview_children!A23</f>
        <v>4</v>
      </c>
      <c r="B823" s="23">
        <f t="shared" si="55"/>
        <v>120030</v>
      </c>
      <c r="C823" s="23" t="str">
        <f t="shared" si="56"/>
        <v>Cashew nuts</v>
      </c>
      <c r="D823" s="135"/>
      <c r="E823" s="1027"/>
      <c r="F823" s="87"/>
      <c r="G823" s="87"/>
      <c r="H823" s="1027"/>
      <c r="I823" s="1030"/>
      <c r="J823" s="1039" t="e">
        <f t="shared" ref="J823:AR823" si="79">IF(J23="",0,IF(OR(1=RANK(J423,J$412:J$790,0),(2=RANK(J423,J$412:J$790,0))),J423,J23))</f>
        <v>#DIV/0!</v>
      </c>
      <c r="K823" s="1040" t="e">
        <f t="shared" si="79"/>
        <v>#DIV/0!</v>
      </c>
      <c r="L823" s="1040" t="e">
        <f t="shared" si="79"/>
        <v>#DIV/0!</v>
      </c>
      <c r="M823" s="1040" t="e">
        <f t="shared" si="79"/>
        <v>#DIV/0!</v>
      </c>
      <c r="N823" s="1040" t="e">
        <f t="shared" si="79"/>
        <v>#DIV/0!</v>
      </c>
      <c r="O823" s="1040" t="e">
        <f t="shared" si="79"/>
        <v>#DIV/0!</v>
      </c>
      <c r="P823" s="1040" t="e">
        <f t="shared" si="79"/>
        <v>#DIV/0!</v>
      </c>
      <c r="Q823" s="1040" t="e">
        <f t="shared" si="79"/>
        <v>#DIV/0!</v>
      </c>
      <c r="R823" s="1040" t="e">
        <f t="shared" si="79"/>
        <v>#DIV/0!</v>
      </c>
      <c r="S823" s="1040" t="e">
        <f t="shared" si="79"/>
        <v>#DIV/0!</v>
      </c>
      <c r="T823" s="1040" t="e">
        <f t="shared" si="79"/>
        <v>#DIV/0!</v>
      </c>
      <c r="U823" s="1040" t="e">
        <f t="shared" si="79"/>
        <v>#DIV/0!</v>
      </c>
      <c r="V823" s="1040" t="e">
        <f t="shared" si="79"/>
        <v>#DIV/0!</v>
      </c>
      <c r="W823" s="1040" t="e">
        <f t="shared" si="79"/>
        <v>#DIV/0!</v>
      </c>
      <c r="X823" s="1040" t="e">
        <f t="shared" si="79"/>
        <v>#DIV/0!</v>
      </c>
      <c r="Y823" s="1040" t="e">
        <f t="shared" si="79"/>
        <v>#DIV/0!</v>
      </c>
      <c r="Z823" s="1040" t="e">
        <f t="shared" si="79"/>
        <v>#DIV/0!</v>
      </c>
      <c r="AA823" s="1040" t="e">
        <f t="shared" si="79"/>
        <v>#DIV/0!</v>
      </c>
      <c r="AB823" s="1040" t="e">
        <f t="shared" si="79"/>
        <v>#DIV/0!</v>
      </c>
      <c r="AC823" s="1040" t="e">
        <f t="shared" si="79"/>
        <v>#DIV/0!</v>
      </c>
      <c r="AD823" s="1040" t="e">
        <f t="shared" si="79"/>
        <v>#DIV/0!</v>
      </c>
      <c r="AE823" s="1040" t="e">
        <f t="shared" si="79"/>
        <v>#DIV/0!</v>
      </c>
      <c r="AF823" s="1040" t="e">
        <f t="shared" si="79"/>
        <v>#DIV/0!</v>
      </c>
      <c r="AG823" s="1040" t="e">
        <f t="shared" si="79"/>
        <v>#DIV/0!</v>
      </c>
      <c r="AH823" s="1040" t="e">
        <f t="shared" si="79"/>
        <v>#DIV/0!</v>
      </c>
      <c r="AI823" s="1040" t="e">
        <f t="shared" si="79"/>
        <v>#DIV/0!</v>
      </c>
      <c r="AJ823" s="1040" t="e">
        <f t="shared" si="79"/>
        <v>#DIV/0!</v>
      </c>
      <c r="AK823" s="1040" t="e">
        <f t="shared" si="79"/>
        <v>#DIV/0!</v>
      </c>
      <c r="AL823" s="1040" t="e">
        <f t="shared" si="79"/>
        <v>#DIV/0!</v>
      </c>
      <c r="AM823" s="1040" t="e">
        <f t="shared" si="79"/>
        <v>#DIV/0!</v>
      </c>
      <c r="AN823" s="1040" t="e">
        <f t="shared" si="79"/>
        <v>#DIV/0!</v>
      </c>
      <c r="AO823" s="1040" t="e">
        <f t="shared" si="79"/>
        <v>#DIV/0!</v>
      </c>
      <c r="AP823" s="1040" t="e">
        <f t="shared" si="79"/>
        <v>#DIV/0!</v>
      </c>
      <c r="AQ823" s="1040" t="e">
        <f t="shared" si="79"/>
        <v>#DIV/0!</v>
      </c>
      <c r="AR823" s="1040" t="e">
        <f t="shared" si="79"/>
        <v>#DIV/0!</v>
      </c>
      <c r="AS823" s="1040" t="e">
        <f t="shared" ref="AS823:AY823" si="80">IF(AS23="",0,IF(OR(1=RANK(AS423,AS$412:AS$790,0),(2=RANK(AS423,AS$412:AS$790,0))),AS423,AS23))</f>
        <v>#DIV/0!</v>
      </c>
      <c r="AT823" s="1040" t="e">
        <f t="shared" si="80"/>
        <v>#DIV/0!</v>
      </c>
      <c r="AU823" s="1040">
        <f t="shared" si="80"/>
        <v>0</v>
      </c>
      <c r="AV823" s="1040" t="e">
        <f t="shared" si="80"/>
        <v>#DIV/0!</v>
      </c>
      <c r="AW823" s="1040" t="e">
        <f t="shared" si="80"/>
        <v>#DIV/0!</v>
      </c>
      <c r="AX823" s="1040" t="e">
        <f t="shared" si="80"/>
        <v>#DIV/0!</v>
      </c>
      <c r="AY823" s="1040" t="e">
        <f t="shared" si="80"/>
        <v>#DIV/0!</v>
      </c>
      <c r="AZ823" s="1061" t="s">
        <v>21</v>
      </c>
      <c r="BC823" s="29"/>
      <c r="BD823" s="29"/>
      <c r="BE823" s="13"/>
      <c r="BL823" s="368"/>
    </row>
    <row r="824" spans="1:64" ht="12" customHeight="1" x14ac:dyDescent="0.2">
      <c r="A824" s="39">
        <f>acute_overview_children!A24</f>
        <v>4</v>
      </c>
      <c r="B824" s="23">
        <f t="shared" si="55"/>
        <v>120040</v>
      </c>
      <c r="C824" s="23" t="str">
        <f t="shared" si="56"/>
        <v>Chestnuts</v>
      </c>
      <c r="D824" s="135"/>
      <c r="E824" s="1027"/>
      <c r="F824" s="87"/>
      <c r="G824" s="87"/>
      <c r="H824" s="1027"/>
      <c r="I824" s="1030"/>
      <c r="J824" s="1039" t="e">
        <f t="shared" ref="J824:AR824" si="81">IF(J24="",0,IF(OR(1=RANK(J424,J$412:J$790,0),(2=RANK(J424,J$412:J$790,0))),J424,J24))</f>
        <v>#DIV/0!</v>
      </c>
      <c r="K824" s="1040" t="e">
        <f t="shared" si="81"/>
        <v>#DIV/0!</v>
      </c>
      <c r="L824" s="1040" t="e">
        <f t="shared" si="81"/>
        <v>#DIV/0!</v>
      </c>
      <c r="M824" s="1040" t="e">
        <f t="shared" si="81"/>
        <v>#DIV/0!</v>
      </c>
      <c r="N824" s="1040" t="e">
        <f t="shared" si="81"/>
        <v>#DIV/0!</v>
      </c>
      <c r="O824" s="1040" t="e">
        <f t="shared" si="81"/>
        <v>#DIV/0!</v>
      </c>
      <c r="P824" s="1040" t="e">
        <f t="shared" si="81"/>
        <v>#DIV/0!</v>
      </c>
      <c r="Q824" s="1040" t="e">
        <f t="shared" si="81"/>
        <v>#DIV/0!</v>
      </c>
      <c r="R824" s="1040" t="e">
        <f t="shared" si="81"/>
        <v>#DIV/0!</v>
      </c>
      <c r="S824" s="1040" t="e">
        <f t="shared" si="81"/>
        <v>#DIV/0!</v>
      </c>
      <c r="T824" s="1040" t="e">
        <f t="shared" si="81"/>
        <v>#DIV/0!</v>
      </c>
      <c r="U824" s="1040" t="e">
        <f t="shared" si="81"/>
        <v>#DIV/0!</v>
      </c>
      <c r="V824" s="1040" t="e">
        <f t="shared" si="81"/>
        <v>#DIV/0!</v>
      </c>
      <c r="W824" s="1040" t="e">
        <f t="shared" si="81"/>
        <v>#DIV/0!</v>
      </c>
      <c r="X824" s="1040" t="e">
        <f t="shared" si="81"/>
        <v>#DIV/0!</v>
      </c>
      <c r="Y824" s="1040" t="e">
        <f t="shared" si="81"/>
        <v>#DIV/0!</v>
      </c>
      <c r="Z824" s="1040" t="e">
        <f t="shared" si="81"/>
        <v>#DIV/0!</v>
      </c>
      <c r="AA824" s="1040" t="e">
        <f t="shared" si="81"/>
        <v>#DIV/0!</v>
      </c>
      <c r="AB824" s="1040" t="e">
        <f t="shared" si="81"/>
        <v>#DIV/0!</v>
      </c>
      <c r="AC824" s="1040" t="e">
        <f t="shared" si="81"/>
        <v>#DIV/0!</v>
      </c>
      <c r="AD824" s="1040" t="e">
        <f t="shared" si="81"/>
        <v>#DIV/0!</v>
      </c>
      <c r="AE824" s="1040" t="e">
        <f t="shared" si="81"/>
        <v>#DIV/0!</v>
      </c>
      <c r="AF824" s="1040" t="e">
        <f t="shared" si="81"/>
        <v>#DIV/0!</v>
      </c>
      <c r="AG824" s="1040" t="e">
        <f t="shared" si="81"/>
        <v>#DIV/0!</v>
      </c>
      <c r="AH824" s="1040" t="e">
        <f t="shared" si="81"/>
        <v>#DIV/0!</v>
      </c>
      <c r="AI824" s="1040" t="e">
        <f t="shared" si="81"/>
        <v>#DIV/0!</v>
      </c>
      <c r="AJ824" s="1040" t="e">
        <f t="shared" si="81"/>
        <v>#DIV/0!</v>
      </c>
      <c r="AK824" s="1040" t="e">
        <f t="shared" si="81"/>
        <v>#DIV/0!</v>
      </c>
      <c r="AL824" s="1040" t="e">
        <f t="shared" si="81"/>
        <v>#DIV/0!</v>
      </c>
      <c r="AM824" s="1040" t="e">
        <f t="shared" si="81"/>
        <v>#DIV/0!</v>
      </c>
      <c r="AN824" s="1040" t="e">
        <f t="shared" si="81"/>
        <v>#DIV/0!</v>
      </c>
      <c r="AO824" s="1040" t="e">
        <f t="shared" si="81"/>
        <v>#DIV/0!</v>
      </c>
      <c r="AP824" s="1040" t="e">
        <f t="shared" si="81"/>
        <v>#DIV/0!</v>
      </c>
      <c r="AQ824" s="1040" t="e">
        <f t="shared" si="81"/>
        <v>#DIV/0!</v>
      </c>
      <c r="AR824" s="1040" t="e">
        <f t="shared" si="81"/>
        <v>#DIV/0!</v>
      </c>
      <c r="AS824" s="1040" t="e">
        <f t="shared" ref="AS824:AY824" si="82">IF(AS24="",0,IF(OR(1=RANK(AS424,AS$412:AS$790,0),(2=RANK(AS424,AS$412:AS$790,0))),AS424,AS24))</f>
        <v>#DIV/0!</v>
      </c>
      <c r="AT824" s="1040" t="e">
        <f t="shared" si="82"/>
        <v>#DIV/0!</v>
      </c>
      <c r="AU824" s="1040">
        <f t="shared" si="82"/>
        <v>0</v>
      </c>
      <c r="AV824" s="1040" t="e">
        <f t="shared" si="82"/>
        <v>#DIV/0!</v>
      </c>
      <c r="AW824" s="1040" t="e">
        <f t="shared" si="82"/>
        <v>#DIV/0!</v>
      </c>
      <c r="AX824" s="1040" t="e">
        <f t="shared" si="82"/>
        <v>#DIV/0!</v>
      </c>
      <c r="AY824" s="1040" t="e">
        <f t="shared" si="82"/>
        <v>#DIV/0!</v>
      </c>
      <c r="AZ824" s="1061" t="s">
        <v>21</v>
      </c>
      <c r="BC824" s="29"/>
      <c r="BD824" s="29"/>
      <c r="BE824" s="13"/>
      <c r="BL824" s="368"/>
    </row>
    <row r="825" spans="1:64" ht="12" customHeight="1" x14ac:dyDescent="0.2">
      <c r="A825" s="39">
        <f>acute_overview_children!A25</f>
        <v>4</v>
      </c>
      <c r="B825" s="23">
        <f t="shared" si="55"/>
        <v>120050</v>
      </c>
      <c r="C825" s="23" t="str">
        <f t="shared" si="56"/>
        <v>Coconuts</v>
      </c>
      <c r="D825" s="135"/>
      <c r="E825" s="1027"/>
      <c r="F825" s="87"/>
      <c r="G825" s="87"/>
      <c r="H825" s="1027"/>
      <c r="I825" s="1030"/>
      <c r="J825" s="1039" t="e">
        <f t="shared" ref="J825:AR825" si="83">IF(J25="",0,IF(OR(1=RANK(J425,J$412:J$790,0),(2=RANK(J425,J$412:J$790,0))),J425,J25))</f>
        <v>#DIV/0!</v>
      </c>
      <c r="K825" s="1040" t="e">
        <f t="shared" si="83"/>
        <v>#DIV/0!</v>
      </c>
      <c r="L825" s="1040" t="e">
        <f t="shared" si="83"/>
        <v>#DIV/0!</v>
      </c>
      <c r="M825" s="1040" t="e">
        <f t="shared" si="83"/>
        <v>#DIV/0!</v>
      </c>
      <c r="N825" s="1040" t="e">
        <f t="shared" si="83"/>
        <v>#DIV/0!</v>
      </c>
      <c r="O825" s="1040" t="e">
        <f t="shared" si="83"/>
        <v>#DIV/0!</v>
      </c>
      <c r="P825" s="1040" t="e">
        <f t="shared" si="83"/>
        <v>#DIV/0!</v>
      </c>
      <c r="Q825" s="1040" t="e">
        <f t="shared" si="83"/>
        <v>#DIV/0!</v>
      </c>
      <c r="R825" s="1040" t="e">
        <f t="shared" si="83"/>
        <v>#DIV/0!</v>
      </c>
      <c r="S825" s="1040" t="e">
        <f t="shared" si="83"/>
        <v>#DIV/0!</v>
      </c>
      <c r="T825" s="1040" t="e">
        <f t="shared" si="83"/>
        <v>#DIV/0!</v>
      </c>
      <c r="U825" s="1040" t="e">
        <f t="shared" si="83"/>
        <v>#DIV/0!</v>
      </c>
      <c r="V825" s="1040" t="e">
        <f t="shared" si="83"/>
        <v>#DIV/0!</v>
      </c>
      <c r="W825" s="1040" t="e">
        <f t="shared" si="83"/>
        <v>#DIV/0!</v>
      </c>
      <c r="X825" s="1040" t="e">
        <f t="shared" si="83"/>
        <v>#DIV/0!</v>
      </c>
      <c r="Y825" s="1040" t="e">
        <f t="shared" si="83"/>
        <v>#DIV/0!</v>
      </c>
      <c r="Z825" s="1040" t="e">
        <f t="shared" si="83"/>
        <v>#DIV/0!</v>
      </c>
      <c r="AA825" s="1040" t="e">
        <f t="shared" si="83"/>
        <v>#DIV/0!</v>
      </c>
      <c r="AB825" s="1040" t="e">
        <f t="shared" si="83"/>
        <v>#DIV/0!</v>
      </c>
      <c r="AC825" s="1040" t="e">
        <f t="shared" si="83"/>
        <v>#DIV/0!</v>
      </c>
      <c r="AD825" s="1040" t="e">
        <f t="shared" si="83"/>
        <v>#DIV/0!</v>
      </c>
      <c r="AE825" s="1040" t="e">
        <f t="shared" si="83"/>
        <v>#DIV/0!</v>
      </c>
      <c r="AF825" s="1040" t="e">
        <f t="shared" si="83"/>
        <v>#DIV/0!</v>
      </c>
      <c r="AG825" s="1040" t="e">
        <f t="shared" si="83"/>
        <v>#DIV/0!</v>
      </c>
      <c r="AH825" s="1040" t="e">
        <f t="shared" si="83"/>
        <v>#DIV/0!</v>
      </c>
      <c r="AI825" s="1040" t="e">
        <f t="shared" si="83"/>
        <v>#DIV/0!</v>
      </c>
      <c r="AJ825" s="1040" t="e">
        <f t="shared" si="83"/>
        <v>#DIV/0!</v>
      </c>
      <c r="AK825" s="1040" t="e">
        <f t="shared" si="83"/>
        <v>#DIV/0!</v>
      </c>
      <c r="AL825" s="1040" t="e">
        <f t="shared" si="83"/>
        <v>#DIV/0!</v>
      </c>
      <c r="AM825" s="1040" t="e">
        <f t="shared" si="83"/>
        <v>#DIV/0!</v>
      </c>
      <c r="AN825" s="1040" t="e">
        <f t="shared" si="83"/>
        <v>#DIV/0!</v>
      </c>
      <c r="AO825" s="1040" t="e">
        <f t="shared" si="83"/>
        <v>#DIV/0!</v>
      </c>
      <c r="AP825" s="1040" t="e">
        <f t="shared" si="83"/>
        <v>#DIV/0!</v>
      </c>
      <c r="AQ825" s="1040" t="e">
        <f t="shared" si="83"/>
        <v>#DIV/0!</v>
      </c>
      <c r="AR825" s="1040" t="e">
        <f t="shared" si="83"/>
        <v>#DIV/0!</v>
      </c>
      <c r="AS825" s="1040" t="e">
        <f t="shared" ref="AS825:AY825" si="84">IF(AS25="",0,IF(OR(1=RANK(AS425,AS$412:AS$790,0),(2=RANK(AS425,AS$412:AS$790,0))),AS425,AS25))</f>
        <v>#DIV/0!</v>
      </c>
      <c r="AT825" s="1040" t="e">
        <f t="shared" si="84"/>
        <v>#DIV/0!</v>
      </c>
      <c r="AU825" s="1040">
        <f t="shared" si="84"/>
        <v>0</v>
      </c>
      <c r="AV825" s="1040" t="e">
        <f t="shared" si="84"/>
        <v>#DIV/0!</v>
      </c>
      <c r="AW825" s="1040" t="e">
        <f t="shared" si="84"/>
        <v>#DIV/0!</v>
      </c>
      <c r="AX825" s="1040" t="e">
        <f t="shared" si="84"/>
        <v>#DIV/0!</v>
      </c>
      <c r="AY825" s="1040" t="e">
        <f t="shared" si="84"/>
        <v>#DIV/0!</v>
      </c>
      <c r="AZ825" s="1061" t="s">
        <v>21</v>
      </c>
      <c r="BC825" s="29"/>
      <c r="BD825" s="29"/>
      <c r="BE825" s="13"/>
      <c r="BL825" s="368"/>
    </row>
    <row r="826" spans="1:64" ht="12" customHeight="1" x14ac:dyDescent="0.2">
      <c r="A826" s="39">
        <f>acute_overview_children!A26</f>
        <v>4</v>
      </c>
      <c r="B826" s="23">
        <f t="shared" si="55"/>
        <v>120060</v>
      </c>
      <c r="C826" s="23" t="str">
        <f t="shared" si="56"/>
        <v>Hazelnuts/cobnuts</v>
      </c>
      <c r="D826" s="135"/>
      <c r="E826" s="1027"/>
      <c r="F826" s="87"/>
      <c r="G826" s="87"/>
      <c r="H826" s="1027"/>
      <c r="I826" s="1030"/>
      <c r="J826" s="1039" t="e">
        <f t="shared" ref="J826:AR826" si="85">IF(J26="",0,IF(OR(1=RANK(J426,J$412:J$790,0),(2=RANK(J426,J$412:J$790,0))),J426,J26))</f>
        <v>#DIV/0!</v>
      </c>
      <c r="K826" s="1040" t="e">
        <f t="shared" si="85"/>
        <v>#DIV/0!</v>
      </c>
      <c r="L826" s="1040" t="e">
        <f t="shared" si="85"/>
        <v>#DIV/0!</v>
      </c>
      <c r="M826" s="1040" t="e">
        <f t="shared" si="85"/>
        <v>#DIV/0!</v>
      </c>
      <c r="N826" s="1040" t="e">
        <f t="shared" si="85"/>
        <v>#DIV/0!</v>
      </c>
      <c r="O826" s="1040" t="e">
        <f t="shared" si="85"/>
        <v>#DIV/0!</v>
      </c>
      <c r="P826" s="1040" t="e">
        <f t="shared" si="85"/>
        <v>#DIV/0!</v>
      </c>
      <c r="Q826" s="1040" t="e">
        <f t="shared" si="85"/>
        <v>#DIV/0!</v>
      </c>
      <c r="R826" s="1040" t="e">
        <f t="shared" si="85"/>
        <v>#DIV/0!</v>
      </c>
      <c r="S826" s="1040" t="e">
        <f t="shared" si="85"/>
        <v>#DIV/0!</v>
      </c>
      <c r="T826" s="1040" t="e">
        <f t="shared" si="85"/>
        <v>#DIV/0!</v>
      </c>
      <c r="U826" s="1040" t="e">
        <f t="shared" si="85"/>
        <v>#DIV/0!</v>
      </c>
      <c r="V826" s="1040" t="e">
        <f t="shared" si="85"/>
        <v>#DIV/0!</v>
      </c>
      <c r="W826" s="1040" t="e">
        <f t="shared" si="85"/>
        <v>#DIV/0!</v>
      </c>
      <c r="X826" s="1040" t="e">
        <f t="shared" si="85"/>
        <v>#DIV/0!</v>
      </c>
      <c r="Y826" s="1040" t="e">
        <f t="shared" si="85"/>
        <v>#DIV/0!</v>
      </c>
      <c r="Z826" s="1040" t="e">
        <f t="shared" si="85"/>
        <v>#DIV/0!</v>
      </c>
      <c r="AA826" s="1040" t="e">
        <f t="shared" si="85"/>
        <v>#DIV/0!</v>
      </c>
      <c r="AB826" s="1040" t="e">
        <f t="shared" si="85"/>
        <v>#DIV/0!</v>
      </c>
      <c r="AC826" s="1040" t="e">
        <f t="shared" si="85"/>
        <v>#DIV/0!</v>
      </c>
      <c r="AD826" s="1040" t="e">
        <f t="shared" si="85"/>
        <v>#DIV/0!</v>
      </c>
      <c r="AE826" s="1040" t="e">
        <f t="shared" si="85"/>
        <v>#DIV/0!</v>
      </c>
      <c r="AF826" s="1040" t="e">
        <f t="shared" si="85"/>
        <v>#DIV/0!</v>
      </c>
      <c r="AG826" s="1040" t="e">
        <f t="shared" si="85"/>
        <v>#DIV/0!</v>
      </c>
      <c r="AH826" s="1040" t="e">
        <f t="shared" si="85"/>
        <v>#DIV/0!</v>
      </c>
      <c r="AI826" s="1040" t="e">
        <f t="shared" si="85"/>
        <v>#DIV/0!</v>
      </c>
      <c r="AJ826" s="1040" t="e">
        <f t="shared" si="85"/>
        <v>#DIV/0!</v>
      </c>
      <c r="AK826" s="1040" t="e">
        <f t="shared" si="85"/>
        <v>#DIV/0!</v>
      </c>
      <c r="AL826" s="1040" t="e">
        <f t="shared" si="85"/>
        <v>#DIV/0!</v>
      </c>
      <c r="AM826" s="1040" t="e">
        <f t="shared" si="85"/>
        <v>#DIV/0!</v>
      </c>
      <c r="AN826" s="1040" t="e">
        <f t="shared" si="85"/>
        <v>#DIV/0!</v>
      </c>
      <c r="AO826" s="1040" t="e">
        <f t="shared" si="85"/>
        <v>#DIV/0!</v>
      </c>
      <c r="AP826" s="1040" t="e">
        <f t="shared" si="85"/>
        <v>#DIV/0!</v>
      </c>
      <c r="AQ826" s="1040" t="e">
        <f t="shared" si="85"/>
        <v>#DIV/0!</v>
      </c>
      <c r="AR826" s="1040" t="e">
        <f t="shared" si="85"/>
        <v>#DIV/0!</v>
      </c>
      <c r="AS826" s="1040" t="e">
        <f t="shared" ref="AS826:AY826" si="86">IF(AS26="",0,IF(OR(1=RANK(AS426,AS$412:AS$790,0),(2=RANK(AS426,AS$412:AS$790,0))),AS426,AS26))</f>
        <v>#DIV/0!</v>
      </c>
      <c r="AT826" s="1040" t="e">
        <f t="shared" si="86"/>
        <v>#DIV/0!</v>
      </c>
      <c r="AU826" s="1040">
        <f t="shared" si="86"/>
        <v>0</v>
      </c>
      <c r="AV826" s="1040" t="e">
        <f t="shared" si="86"/>
        <v>#DIV/0!</v>
      </c>
      <c r="AW826" s="1040" t="e">
        <f t="shared" si="86"/>
        <v>#DIV/0!</v>
      </c>
      <c r="AX826" s="1040" t="e">
        <f t="shared" si="86"/>
        <v>#DIV/0!</v>
      </c>
      <c r="AY826" s="1040" t="e">
        <f t="shared" si="86"/>
        <v>#DIV/0!</v>
      </c>
      <c r="AZ826" s="1061" t="s">
        <v>21</v>
      </c>
      <c r="BC826" s="29"/>
      <c r="BD826" s="29"/>
      <c r="BE826" s="13"/>
      <c r="BL826" s="368"/>
    </row>
    <row r="827" spans="1:64" ht="12" customHeight="1" x14ac:dyDescent="0.2">
      <c r="A827" s="39">
        <f>acute_overview_children!A27</f>
        <v>4</v>
      </c>
      <c r="B827" s="23">
        <f t="shared" si="55"/>
        <v>120070</v>
      </c>
      <c r="C827" s="23" t="str">
        <f t="shared" si="56"/>
        <v>Macadamia</v>
      </c>
      <c r="D827" s="135"/>
      <c r="E827" s="1027"/>
      <c r="F827" s="87"/>
      <c r="G827" s="87"/>
      <c r="H827" s="1027"/>
      <c r="I827" s="1030"/>
      <c r="J827" s="1039" t="e">
        <f t="shared" ref="J827:AR827" si="87">IF(J27="",0,IF(OR(1=RANK(J427,J$412:J$790,0),(2=RANK(J427,J$412:J$790,0))),J427,J27))</f>
        <v>#DIV/0!</v>
      </c>
      <c r="K827" s="1040" t="e">
        <f t="shared" si="87"/>
        <v>#DIV/0!</v>
      </c>
      <c r="L827" s="1040" t="e">
        <f t="shared" si="87"/>
        <v>#DIV/0!</v>
      </c>
      <c r="M827" s="1040" t="e">
        <f t="shared" si="87"/>
        <v>#DIV/0!</v>
      </c>
      <c r="N827" s="1040" t="e">
        <f t="shared" si="87"/>
        <v>#DIV/0!</v>
      </c>
      <c r="O827" s="1040" t="e">
        <f t="shared" si="87"/>
        <v>#DIV/0!</v>
      </c>
      <c r="P827" s="1040" t="e">
        <f t="shared" si="87"/>
        <v>#DIV/0!</v>
      </c>
      <c r="Q827" s="1040" t="e">
        <f t="shared" si="87"/>
        <v>#DIV/0!</v>
      </c>
      <c r="R827" s="1040" t="e">
        <f t="shared" si="87"/>
        <v>#DIV/0!</v>
      </c>
      <c r="S827" s="1040" t="e">
        <f t="shared" si="87"/>
        <v>#DIV/0!</v>
      </c>
      <c r="T827" s="1040" t="e">
        <f t="shared" si="87"/>
        <v>#DIV/0!</v>
      </c>
      <c r="U827" s="1040" t="e">
        <f t="shared" si="87"/>
        <v>#DIV/0!</v>
      </c>
      <c r="V827" s="1040" t="e">
        <f t="shared" si="87"/>
        <v>#DIV/0!</v>
      </c>
      <c r="W827" s="1040" t="e">
        <f t="shared" si="87"/>
        <v>#DIV/0!</v>
      </c>
      <c r="X827" s="1040" t="e">
        <f t="shared" si="87"/>
        <v>#DIV/0!</v>
      </c>
      <c r="Y827" s="1040" t="e">
        <f t="shared" si="87"/>
        <v>#DIV/0!</v>
      </c>
      <c r="Z827" s="1040" t="e">
        <f t="shared" si="87"/>
        <v>#DIV/0!</v>
      </c>
      <c r="AA827" s="1040" t="e">
        <f t="shared" si="87"/>
        <v>#DIV/0!</v>
      </c>
      <c r="AB827" s="1040" t="e">
        <f t="shared" si="87"/>
        <v>#DIV/0!</v>
      </c>
      <c r="AC827" s="1040" t="e">
        <f t="shared" si="87"/>
        <v>#DIV/0!</v>
      </c>
      <c r="AD827" s="1040" t="e">
        <f t="shared" si="87"/>
        <v>#DIV/0!</v>
      </c>
      <c r="AE827" s="1040" t="e">
        <f t="shared" si="87"/>
        <v>#DIV/0!</v>
      </c>
      <c r="AF827" s="1040" t="e">
        <f t="shared" si="87"/>
        <v>#DIV/0!</v>
      </c>
      <c r="AG827" s="1040" t="e">
        <f t="shared" si="87"/>
        <v>#DIV/0!</v>
      </c>
      <c r="AH827" s="1040" t="e">
        <f t="shared" si="87"/>
        <v>#DIV/0!</v>
      </c>
      <c r="AI827" s="1040" t="e">
        <f t="shared" si="87"/>
        <v>#DIV/0!</v>
      </c>
      <c r="AJ827" s="1040" t="e">
        <f t="shared" si="87"/>
        <v>#DIV/0!</v>
      </c>
      <c r="AK827" s="1040" t="e">
        <f t="shared" si="87"/>
        <v>#DIV/0!</v>
      </c>
      <c r="AL827" s="1040" t="e">
        <f t="shared" si="87"/>
        <v>#DIV/0!</v>
      </c>
      <c r="AM827" s="1040" t="e">
        <f t="shared" si="87"/>
        <v>#DIV/0!</v>
      </c>
      <c r="AN827" s="1040" t="e">
        <f t="shared" si="87"/>
        <v>#DIV/0!</v>
      </c>
      <c r="AO827" s="1040" t="e">
        <f t="shared" si="87"/>
        <v>#DIV/0!</v>
      </c>
      <c r="AP827" s="1040" t="e">
        <f t="shared" si="87"/>
        <v>#DIV/0!</v>
      </c>
      <c r="AQ827" s="1040" t="e">
        <f t="shared" si="87"/>
        <v>#DIV/0!</v>
      </c>
      <c r="AR827" s="1040" t="e">
        <f t="shared" si="87"/>
        <v>#DIV/0!</v>
      </c>
      <c r="AS827" s="1040" t="e">
        <f t="shared" ref="AS827:AY827" si="88">IF(AS27="",0,IF(OR(1=RANK(AS427,AS$412:AS$790,0),(2=RANK(AS427,AS$412:AS$790,0))),AS427,AS27))</f>
        <v>#DIV/0!</v>
      </c>
      <c r="AT827" s="1040" t="e">
        <f t="shared" si="88"/>
        <v>#DIV/0!</v>
      </c>
      <c r="AU827" s="1040">
        <f t="shared" si="88"/>
        <v>0</v>
      </c>
      <c r="AV827" s="1040" t="e">
        <f t="shared" si="88"/>
        <v>#DIV/0!</v>
      </c>
      <c r="AW827" s="1040" t="e">
        <f t="shared" si="88"/>
        <v>#DIV/0!</v>
      </c>
      <c r="AX827" s="1040" t="e">
        <f t="shared" si="88"/>
        <v>#DIV/0!</v>
      </c>
      <c r="AY827" s="1040" t="e">
        <f t="shared" si="88"/>
        <v>#DIV/0!</v>
      </c>
      <c r="AZ827" s="1061" t="s">
        <v>21</v>
      </c>
      <c r="BC827" s="29"/>
      <c r="BD827" s="29"/>
      <c r="BE827" s="13"/>
      <c r="BL827" s="368"/>
    </row>
    <row r="828" spans="1:64" ht="12" customHeight="1" x14ac:dyDescent="0.2">
      <c r="A828" s="39">
        <f>acute_overview_children!A28</f>
        <v>4</v>
      </c>
      <c r="B828" s="23">
        <f t="shared" si="55"/>
        <v>120080</v>
      </c>
      <c r="C828" s="23" t="str">
        <f t="shared" si="56"/>
        <v>Pecans</v>
      </c>
      <c r="D828" s="135"/>
      <c r="E828" s="1027"/>
      <c r="F828" s="87"/>
      <c r="G828" s="87"/>
      <c r="H828" s="1027"/>
      <c r="I828" s="1030"/>
      <c r="J828" s="1039" t="e">
        <f t="shared" ref="J828:AR828" si="89">IF(J28="",0,IF(OR(1=RANK(J428,J$412:J$790,0),(2=RANK(J428,J$412:J$790,0))),J428,J28))</f>
        <v>#DIV/0!</v>
      </c>
      <c r="K828" s="1040" t="e">
        <f t="shared" si="89"/>
        <v>#DIV/0!</v>
      </c>
      <c r="L828" s="1040" t="e">
        <f t="shared" si="89"/>
        <v>#DIV/0!</v>
      </c>
      <c r="M828" s="1040" t="e">
        <f t="shared" si="89"/>
        <v>#DIV/0!</v>
      </c>
      <c r="N828" s="1040" t="e">
        <f t="shared" si="89"/>
        <v>#DIV/0!</v>
      </c>
      <c r="O828" s="1040" t="e">
        <f t="shared" si="89"/>
        <v>#DIV/0!</v>
      </c>
      <c r="P828" s="1040" t="e">
        <f t="shared" si="89"/>
        <v>#DIV/0!</v>
      </c>
      <c r="Q828" s="1040" t="e">
        <f t="shared" si="89"/>
        <v>#DIV/0!</v>
      </c>
      <c r="R828" s="1040" t="e">
        <f t="shared" si="89"/>
        <v>#DIV/0!</v>
      </c>
      <c r="S828" s="1040" t="e">
        <f t="shared" si="89"/>
        <v>#DIV/0!</v>
      </c>
      <c r="T828" s="1040" t="e">
        <f t="shared" si="89"/>
        <v>#DIV/0!</v>
      </c>
      <c r="U828" s="1040" t="e">
        <f t="shared" si="89"/>
        <v>#DIV/0!</v>
      </c>
      <c r="V828" s="1040" t="e">
        <f t="shared" si="89"/>
        <v>#DIV/0!</v>
      </c>
      <c r="W828" s="1040" t="e">
        <f t="shared" si="89"/>
        <v>#DIV/0!</v>
      </c>
      <c r="X828" s="1040" t="e">
        <f t="shared" si="89"/>
        <v>#DIV/0!</v>
      </c>
      <c r="Y828" s="1040" t="e">
        <f t="shared" si="89"/>
        <v>#DIV/0!</v>
      </c>
      <c r="Z828" s="1040" t="e">
        <f t="shared" si="89"/>
        <v>#DIV/0!</v>
      </c>
      <c r="AA828" s="1040" t="e">
        <f t="shared" si="89"/>
        <v>#DIV/0!</v>
      </c>
      <c r="AB828" s="1040" t="e">
        <f t="shared" si="89"/>
        <v>#DIV/0!</v>
      </c>
      <c r="AC828" s="1040" t="e">
        <f t="shared" si="89"/>
        <v>#DIV/0!</v>
      </c>
      <c r="AD828" s="1040" t="e">
        <f t="shared" si="89"/>
        <v>#DIV/0!</v>
      </c>
      <c r="AE828" s="1040" t="e">
        <f t="shared" si="89"/>
        <v>#DIV/0!</v>
      </c>
      <c r="AF828" s="1040" t="e">
        <f t="shared" si="89"/>
        <v>#DIV/0!</v>
      </c>
      <c r="AG828" s="1040" t="e">
        <f t="shared" si="89"/>
        <v>#DIV/0!</v>
      </c>
      <c r="AH828" s="1040" t="e">
        <f t="shared" si="89"/>
        <v>#DIV/0!</v>
      </c>
      <c r="AI828" s="1040" t="e">
        <f t="shared" si="89"/>
        <v>#DIV/0!</v>
      </c>
      <c r="AJ828" s="1040" t="e">
        <f t="shared" si="89"/>
        <v>#DIV/0!</v>
      </c>
      <c r="AK828" s="1040" t="e">
        <f t="shared" si="89"/>
        <v>#DIV/0!</v>
      </c>
      <c r="AL828" s="1040" t="e">
        <f t="shared" si="89"/>
        <v>#DIV/0!</v>
      </c>
      <c r="AM828" s="1040" t="e">
        <f t="shared" si="89"/>
        <v>#DIV/0!</v>
      </c>
      <c r="AN828" s="1040" t="e">
        <f t="shared" si="89"/>
        <v>#DIV/0!</v>
      </c>
      <c r="AO828" s="1040" t="e">
        <f t="shared" si="89"/>
        <v>#DIV/0!</v>
      </c>
      <c r="AP828" s="1040" t="e">
        <f t="shared" si="89"/>
        <v>#DIV/0!</v>
      </c>
      <c r="AQ828" s="1040" t="e">
        <f t="shared" si="89"/>
        <v>#DIV/0!</v>
      </c>
      <c r="AR828" s="1040" t="e">
        <f t="shared" si="89"/>
        <v>#DIV/0!</v>
      </c>
      <c r="AS828" s="1040" t="e">
        <f t="shared" ref="AS828:AY828" si="90">IF(AS28="",0,IF(OR(1=RANK(AS428,AS$412:AS$790,0),(2=RANK(AS428,AS$412:AS$790,0))),AS428,AS28))</f>
        <v>#DIV/0!</v>
      </c>
      <c r="AT828" s="1040" t="e">
        <f t="shared" si="90"/>
        <v>#DIV/0!</v>
      </c>
      <c r="AU828" s="1040">
        <f t="shared" si="90"/>
        <v>0</v>
      </c>
      <c r="AV828" s="1040" t="e">
        <f t="shared" si="90"/>
        <v>#DIV/0!</v>
      </c>
      <c r="AW828" s="1040" t="e">
        <f t="shared" si="90"/>
        <v>#DIV/0!</v>
      </c>
      <c r="AX828" s="1040" t="e">
        <f t="shared" si="90"/>
        <v>#DIV/0!</v>
      </c>
      <c r="AY828" s="1040" t="e">
        <f t="shared" si="90"/>
        <v>#DIV/0!</v>
      </c>
      <c r="AZ828" s="1061" t="s">
        <v>21</v>
      </c>
      <c r="BC828" s="29"/>
      <c r="BD828" s="29"/>
      <c r="BE828" s="13"/>
      <c r="BL828" s="368"/>
    </row>
    <row r="829" spans="1:64" ht="12" customHeight="1" x14ac:dyDescent="0.2">
      <c r="A829" s="39">
        <f>acute_overview_children!A29</f>
        <v>4</v>
      </c>
      <c r="B829" s="23">
        <f t="shared" si="55"/>
        <v>120090</v>
      </c>
      <c r="C829" s="23" t="str">
        <f t="shared" si="56"/>
        <v>Pine nut kernels</v>
      </c>
      <c r="D829" s="135"/>
      <c r="E829" s="1027"/>
      <c r="F829" s="87"/>
      <c r="G829" s="87"/>
      <c r="H829" s="1027"/>
      <c r="I829" s="1030"/>
      <c r="J829" s="1039" t="e">
        <f t="shared" ref="J829:AR829" si="91">IF(J29="",0,IF(OR(1=RANK(J429,J$412:J$790,0),(2=RANK(J429,J$412:J$790,0))),J429,J29))</f>
        <v>#DIV/0!</v>
      </c>
      <c r="K829" s="1040" t="e">
        <f t="shared" si="91"/>
        <v>#DIV/0!</v>
      </c>
      <c r="L829" s="1040" t="e">
        <f t="shared" si="91"/>
        <v>#DIV/0!</v>
      </c>
      <c r="M829" s="1040" t="e">
        <f t="shared" si="91"/>
        <v>#DIV/0!</v>
      </c>
      <c r="N829" s="1040" t="e">
        <f t="shared" si="91"/>
        <v>#DIV/0!</v>
      </c>
      <c r="O829" s="1040" t="e">
        <f t="shared" si="91"/>
        <v>#DIV/0!</v>
      </c>
      <c r="P829" s="1040" t="e">
        <f t="shared" si="91"/>
        <v>#DIV/0!</v>
      </c>
      <c r="Q829" s="1040" t="e">
        <f t="shared" si="91"/>
        <v>#DIV/0!</v>
      </c>
      <c r="R829" s="1040" t="e">
        <f t="shared" si="91"/>
        <v>#DIV/0!</v>
      </c>
      <c r="S829" s="1040" t="e">
        <f t="shared" si="91"/>
        <v>#DIV/0!</v>
      </c>
      <c r="T829" s="1040" t="e">
        <f t="shared" si="91"/>
        <v>#DIV/0!</v>
      </c>
      <c r="U829" s="1040" t="e">
        <f t="shared" si="91"/>
        <v>#DIV/0!</v>
      </c>
      <c r="V829" s="1040" t="e">
        <f t="shared" si="91"/>
        <v>#DIV/0!</v>
      </c>
      <c r="W829" s="1040" t="e">
        <f t="shared" si="91"/>
        <v>#DIV/0!</v>
      </c>
      <c r="X829" s="1040" t="e">
        <f t="shared" si="91"/>
        <v>#DIV/0!</v>
      </c>
      <c r="Y829" s="1040" t="e">
        <f t="shared" si="91"/>
        <v>#DIV/0!</v>
      </c>
      <c r="Z829" s="1040" t="e">
        <f t="shared" si="91"/>
        <v>#DIV/0!</v>
      </c>
      <c r="AA829" s="1040" t="e">
        <f t="shared" si="91"/>
        <v>#DIV/0!</v>
      </c>
      <c r="AB829" s="1040" t="e">
        <f t="shared" si="91"/>
        <v>#DIV/0!</v>
      </c>
      <c r="AC829" s="1040" t="e">
        <f t="shared" si="91"/>
        <v>#DIV/0!</v>
      </c>
      <c r="AD829" s="1040" t="e">
        <f t="shared" si="91"/>
        <v>#DIV/0!</v>
      </c>
      <c r="AE829" s="1040" t="e">
        <f t="shared" si="91"/>
        <v>#DIV/0!</v>
      </c>
      <c r="AF829" s="1040" t="e">
        <f t="shared" si="91"/>
        <v>#DIV/0!</v>
      </c>
      <c r="AG829" s="1040" t="e">
        <f t="shared" si="91"/>
        <v>#DIV/0!</v>
      </c>
      <c r="AH829" s="1040" t="e">
        <f t="shared" si="91"/>
        <v>#DIV/0!</v>
      </c>
      <c r="AI829" s="1040" t="e">
        <f t="shared" si="91"/>
        <v>#DIV/0!</v>
      </c>
      <c r="AJ829" s="1040" t="e">
        <f t="shared" si="91"/>
        <v>#DIV/0!</v>
      </c>
      <c r="AK829" s="1040" t="e">
        <f t="shared" si="91"/>
        <v>#DIV/0!</v>
      </c>
      <c r="AL829" s="1040" t="e">
        <f t="shared" si="91"/>
        <v>#DIV/0!</v>
      </c>
      <c r="AM829" s="1040" t="e">
        <f t="shared" si="91"/>
        <v>#DIV/0!</v>
      </c>
      <c r="AN829" s="1040" t="e">
        <f t="shared" si="91"/>
        <v>#DIV/0!</v>
      </c>
      <c r="AO829" s="1040" t="e">
        <f t="shared" si="91"/>
        <v>#DIV/0!</v>
      </c>
      <c r="AP829" s="1040" t="e">
        <f t="shared" si="91"/>
        <v>#DIV/0!</v>
      </c>
      <c r="AQ829" s="1040" t="e">
        <f t="shared" si="91"/>
        <v>#DIV/0!</v>
      </c>
      <c r="AR829" s="1040" t="e">
        <f t="shared" si="91"/>
        <v>#DIV/0!</v>
      </c>
      <c r="AS829" s="1040" t="e">
        <f t="shared" ref="AS829:AY829" si="92">IF(AS29="",0,IF(OR(1=RANK(AS429,AS$412:AS$790,0),(2=RANK(AS429,AS$412:AS$790,0))),AS429,AS29))</f>
        <v>#DIV/0!</v>
      </c>
      <c r="AT829" s="1040" t="e">
        <f t="shared" si="92"/>
        <v>#DIV/0!</v>
      </c>
      <c r="AU829" s="1040">
        <f t="shared" si="92"/>
        <v>0</v>
      </c>
      <c r="AV829" s="1040" t="e">
        <f t="shared" si="92"/>
        <v>#DIV/0!</v>
      </c>
      <c r="AW829" s="1040" t="e">
        <f t="shared" si="92"/>
        <v>#DIV/0!</v>
      </c>
      <c r="AX829" s="1040" t="e">
        <f t="shared" si="92"/>
        <v>#DIV/0!</v>
      </c>
      <c r="AY829" s="1040" t="e">
        <f t="shared" si="92"/>
        <v>#DIV/0!</v>
      </c>
      <c r="AZ829" s="1061" t="s">
        <v>21</v>
      </c>
      <c r="BC829" s="29"/>
      <c r="BD829" s="29"/>
      <c r="BE829" s="13"/>
      <c r="BL829" s="368"/>
    </row>
    <row r="830" spans="1:64" ht="12" customHeight="1" x14ac:dyDescent="0.2">
      <c r="A830" s="39">
        <f>acute_overview_children!A30</f>
        <v>4</v>
      </c>
      <c r="B830" s="23">
        <f t="shared" si="55"/>
        <v>120100</v>
      </c>
      <c r="C830" s="23" t="str">
        <f t="shared" si="56"/>
        <v>Pistachios</v>
      </c>
      <c r="D830" s="135"/>
      <c r="E830" s="1027"/>
      <c r="F830" s="87"/>
      <c r="G830" s="87"/>
      <c r="H830" s="1027"/>
      <c r="I830" s="1030"/>
      <c r="J830" s="1039" t="e">
        <f t="shared" ref="J830:AR830" si="93">IF(J30="",0,IF(OR(1=RANK(J430,J$412:J$790,0),(2=RANK(J430,J$412:J$790,0))),J430,J30))</f>
        <v>#DIV/0!</v>
      </c>
      <c r="K830" s="1040" t="e">
        <f t="shared" si="93"/>
        <v>#DIV/0!</v>
      </c>
      <c r="L830" s="1040" t="e">
        <f t="shared" si="93"/>
        <v>#DIV/0!</v>
      </c>
      <c r="M830" s="1040" t="e">
        <f t="shared" si="93"/>
        <v>#DIV/0!</v>
      </c>
      <c r="N830" s="1040" t="e">
        <f t="shared" si="93"/>
        <v>#DIV/0!</v>
      </c>
      <c r="O830" s="1040" t="e">
        <f t="shared" si="93"/>
        <v>#DIV/0!</v>
      </c>
      <c r="P830" s="1040" t="e">
        <f t="shared" si="93"/>
        <v>#DIV/0!</v>
      </c>
      <c r="Q830" s="1040" t="e">
        <f t="shared" si="93"/>
        <v>#DIV/0!</v>
      </c>
      <c r="R830" s="1040" t="e">
        <f t="shared" si="93"/>
        <v>#DIV/0!</v>
      </c>
      <c r="S830" s="1040" t="e">
        <f t="shared" si="93"/>
        <v>#DIV/0!</v>
      </c>
      <c r="T830" s="1040" t="e">
        <f t="shared" si="93"/>
        <v>#DIV/0!</v>
      </c>
      <c r="U830" s="1040" t="e">
        <f t="shared" si="93"/>
        <v>#DIV/0!</v>
      </c>
      <c r="V830" s="1040" t="e">
        <f t="shared" si="93"/>
        <v>#DIV/0!</v>
      </c>
      <c r="W830" s="1040" t="e">
        <f t="shared" si="93"/>
        <v>#DIV/0!</v>
      </c>
      <c r="X830" s="1040" t="e">
        <f t="shared" si="93"/>
        <v>#DIV/0!</v>
      </c>
      <c r="Y830" s="1040" t="e">
        <f t="shared" si="93"/>
        <v>#DIV/0!</v>
      </c>
      <c r="Z830" s="1040" t="e">
        <f t="shared" si="93"/>
        <v>#DIV/0!</v>
      </c>
      <c r="AA830" s="1040" t="e">
        <f t="shared" si="93"/>
        <v>#DIV/0!</v>
      </c>
      <c r="AB830" s="1040" t="e">
        <f t="shared" si="93"/>
        <v>#DIV/0!</v>
      </c>
      <c r="AC830" s="1040" t="e">
        <f t="shared" si="93"/>
        <v>#DIV/0!</v>
      </c>
      <c r="AD830" s="1040" t="e">
        <f t="shared" si="93"/>
        <v>#DIV/0!</v>
      </c>
      <c r="AE830" s="1040" t="e">
        <f t="shared" si="93"/>
        <v>#DIV/0!</v>
      </c>
      <c r="AF830" s="1040" t="e">
        <f t="shared" si="93"/>
        <v>#DIV/0!</v>
      </c>
      <c r="AG830" s="1040" t="e">
        <f t="shared" si="93"/>
        <v>#DIV/0!</v>
      </c>
      <c r="AH830" s="1040" t="e">
        <f t="shared" si="93"/>
        <v>#DIV/0!</v>
      </c>
      <c r="AI830" s="1040" t="e">
        <f t="shared" si="93"/>
        <v>#DIV/0!</v>
      </c>
      <c r="AJ830" s="1040" t="e">
        <f t="shared" si="93"/>
        <v>#DIV/0!</v>
      </c>
      <c r="AK830" s="1040" t="e">
        <f t="shared" si="93"/>
        <v>#DIV/0!</v>
      </c>
      <c r="AL830" s="1040" t="e">
        <f t="shared" si="93"/>
        <v>#DIV/0!</v>
      </c>
      <c r="AM830" s="1040" t="e">
        <f t="shared" si="93"/>
        <v>#DIV/0!</v>
      </c>
      <c r="AN830" s="1040" t="e">
        <f t="shared" si="93"/>
        <v>#DIV/0!</v>
      </c>
      <c r="AO830" s="1040" t="e">
        <f t="shared" si="93"/>
        <v>#DIV/0!</v>
      </c>
      <c r="AP830" s="1040" t="e">
        <f t="shared" si="93"/>
        <v>#DIV/0!</v>
      </c>
      <c r="AQ830" s="1040" t="e">
        <f t="shared" si="93"/>
        <v>#DIV/0!</v>
      </c>
      <c r="AR830" s="1040" t="e">
        <f t="shared" si="93"/>
        <v>#DIV/0!</v>
      </c>
      <c r="AS830" s="1040" t="e">
        <f t="shared" ref="AS830:AY830" si="94">IF(AS30="",0,IF(OR(1=RANK(AS430,AS$412:AS$790,0),(2=RANK(AS430,AS$412:AS$790,0))),AS430,AS30))</f>
        <v>#DIV/0!</v>
      </c>
      <c r="AT830" s="1040" t="e">
        <f t="shared" si="94"/>
        <v>#DIV/0!</v>
      </c>
      <c r="AU830" s="1040">
        <f t="shared" si="94"/>
        <v>0</v>
      </c>
      <c r="AV830" s="1040" t="e">
        <f t="shared" si="94"/>
        <v>#DIV/0!</v>
      </c>
      <c r="AW830" s="1040" t="e">
        <f t="shared" si="94"/>
        <v>#DIV/0!</v>
      </c>
      <c r="AX830" s="1040" t="e">
        <f t="shared" si="94"/>
        <v>#DIV/0!</v>
      </c>
      <c r="AY830" s="1040" t="e">
        <f t="shared" si="94"/>
        <v>#DIV/0!</v>
      </c>
      <c r="AZ830" s="1061" t="s">
        <v>21</v>
      </c>
      <c r="BC830" s="29"/>
      <c r="BD830" s="29"/>
      <c r="BE830" s="13"/>
      <c r="BL830" s="368"/>
    </row>
    <row r="831" spans="1:64" ht="12" customHeight="1" x14ac:dyDescent="0.2">
      <c r="A831" s="39">
        <f>acute_overview_children!A31</f>
        <v>4</v>
      </c>
      <c r="B831" s="23">
        <f t="shared" si="55"/>
        <v>120110</v>
      </c>
      <c r="C831" s="23" t="str">
        <f t="shared" si="56"/>
        <v>Walnuts</v>
      </c>
      <c r="D831" s="135"/>
      <c r="E831" s="1027"/>
      <c r="F831" s="87"/>
      <c r="G831" s="87"/>
      <c r="H831" s="1027"/>
      <c r="I831" s="1030"/>
      <c r="J831" s="1039" t="e">
        <f t="shared" ref="J831:AR831" si="95">IF(J31="",0,IF(OR(1=RANK(J431,J$412:J$790,0),(2=RANK(J431,J$412:J$790,0))),J431,J31))</f>
        <v>#DIV/0!</v>
      </c>
      <c r="K831" s="1040" t="e">
        <f t="shared" si="95"/>
        <v>#DIV/0!</v>
      </c>
      <c r="L831" s="1040" t="e">
        <f t="shared" si="95"/>
        <v>#DIV/0!</v>
      </c>
      <c r="M831" s="1040" t="e">
        <f t="shared" si="95"/>
        <v>#DIV/0!</v>
      </c>
      <c r="N831" s="1040" t="e">
        <f t="shared" si="95"/>
        <v>#DIV/0!</v>
      </c>
      <c r="O831" s="1040" t="e">
        <f t="shared" si="95"/>
        <v>#DIV/0!</v>
      </c>
      <c r="P831" s="1040" t="e">
        <f t="shared" si="95"/>
        <v>#DIV/0!</v>
      </c>
      <c r="Q831" s="1040" t="e">
        <f t="shared" si="95"/>
        <v>#DIV/0!</v>
      </c>
      <c r="R831" s="1040" t="e">
        <f t="shared" si="95"/>
        <v>#DIV/0!</v>
      </c>
      <c r="S831" s="1040" t="e">
        <f t="shared" si="95"/>
        <v>#DIV/0!</v>
      </c>
      <c r="T831" s="1040" t="e">
        <f t="shared" si="95"/>
        <v>#DIV/0!</v>
      </c>
      <c r="U831" s="1040" t="e">
        <f t="shared" si="95"/>
        <v>#DIV/0!</v>
      </c>
      <c r="V831" s="1040" t="e">
        <f t="shared" si="95"/>
        <v>#DIV/0!</v>
      </c>
      <c r="W831" s="1040" t="e">
        <f t="shared" si="95"/>
        <v>#DIV/0!</v>
      </c>
      <c r="X831" s="1040" t="e">
        <f t="shared" si="95"/>
        <v>#DIV/0!</v>
      </c>
      <c r="Y831" s="1040" t="e">
        <f t="shared" si="95"/>
        <v>#DIV/0!</v>
      </c>
      <c r="Z831" s="1040" t="e">
        <f t="shared" si="95"/>
        <v>#DIV/0!</v>
      </c>
      <c r="AA831" s="1040" t="e">
        <f t="shared" si="95"/>
        <v>#DIV/0!</v>
      </c>
      <c r="AB831" s="1040" t="e">
        <f t="shared" si="95"/>
        <v>#DIV/0!</v>
      </c>
      <c r="AC831" s="1040" t="e">
        <f t="shared" si="95"/>
        <v>#DIV/0!</v>
      </c>
      <c r="AD831" s="1040" t="e">
        <f t="shared" si="95"/>
        <v>#DIV/0!</v>
      </c>
      <c r="AE831" s="1040" t="e">
        <f t="shared" si="95"/>
        <v>#DIV/0!</v>
      </c>
      <c r="AF831" s="1040" t="e">
        <f t="shared" si="95"/>
        <v>#DIV/0!</v>
      </c>
      <c r="AG831" s="1040" t="e">
        <f t="shared" si="95"/>
        <v>#DIV/0!</v>
      </c>
      <c r="AH831" s="1040" t="e">
        <f t="shared" si="95"/>
        <v>#DIV/0!</v>
      </c>
      <c r="AI831" s="1040" t="e">
        <f t="shared" si="95"/>
        <v>#DIV/0!</v>
      </c>
      <c r="AJ831" s="1040" t="e">
        <f t="shared" si="95"/>
        <v>#DIV/0!</v>
      </c>
      <c r="AK831" s="1040" t="e">
        <f t="shared" si="95"/>
        <v>#DIV/0!</v>
      </c>
      <c r="AL831" s="1040" t="e">
        <f t="shared" si="95"/>
        <v>#DIV/0!</v>
      </c>
      <c r="AM831" s="1040" t="e">
        <f t="shared" si="95"/>
        <v>#DIV/0!</v>
      </c>
      <c r="AN831" s="1040" t="e">
        <f t="shared" si="95"/>
        <v>#DIV/0!</v>
      </c>
      <c r="AO831" s="1040" t="e">
        <f t="shared" si="95"/>
        <v>#DIV/0!</v>
      </c>
      <c r="AP831" s="1040" t="e">
        <f t="shared" si="95"/>
        <v>#DIV/0!</v>
      </c>
      <c r="AQ831" s="1040" t="e">
        <f t="shared" si="95"/>
        <v>#DIV/0!</v>
      </c>
      <c r="AR831" s="1040" t="e">
        <f t="shared" si="95"/>
        <v>#DIV/0!</v>
      </c>
      <c r="AS831" s="1040" t="e">
        <f t="shared" ref="AS831:AY831" si="96">IF(AS31="",0,IF(OR(1=RANK(AS431,AS$412:AS$790,0),(2=RANK(AS431,AS$412:AS$790,0))),AS431,AS31))</f>
        <v>#DIV/0!</v>
      </c>
      <c r="AT831" s="1040" t="e">
        <f t="shared" si="96"/>
        <v>#DIV/0!</v>
      </c>
      <c r="AU831" s="1040">
        <f t="shared" si="96"/>
        <v>0</v>
      </c>
      <c r="AV831" s="1040" t="e">
        <f t="shared" si="96"/>
        <v>#DIV/0!</v>
      </c>
      <c r="AW831" s="1040" t="e">
        <f t="shared" si="96"/>
        <v>#DIV/0!</v>
      </c>
      <c r="AX831" s="1040" t="e">
        <f t="shared" si="96"/>
        <v>#DIV/0!</v>
      </c>
      <c r="AY831" s="1040" t="e">
        <f t="shared" si="96"/>
        <v>#DIV/0!</v>
      </c>
      <c r="AZ831" s="1061" t="s">
        <v>21</v>
      </c>
      <c r="BC831" s="29"/>
      <c r="BD831" s="29"/>
      <c r="BE831" s="13"/>
      <c r="BL831" s="368"/>
    </row>
    <row r="832" spans="1:64" ht="12" customHeight="1" x14ac:dyDescent="0.2">
      <c r="A832" s="39">
        <f>acute_overview_children!A32</f>
        <v>4</v>
      </c>
      <c r="B832" s="23">
        <f t="shared" si="55"/>
        <v>120990</v>
      </c>
      <c r="C832" s="23" t="str">
        <f t="shared" si="56"/>
        <v>Other tree nuts</v>
      </c>
      <c r="D832" s="135"/>
      <c r="E832" s="1027"/>
      <c r="F832" s="87"/>
      <c r="G832" s="87"/>
      <c r="H832" s="1027"/>
      <c r="I832" s="1030"/>
      <c r="J832" s="1039" t="e">
        <f t="shared" ref="J832:AR832" si="97">IF(J32="",0,IF(OR(1=RANK(J432,J$412:J$790,0),(2=RANK(J432,J$412:J$790,0))),J432,J32))</f>
        <v>#DIV/0!</v>
      </c>
      <c r="K832" s="1040" t="e">
        <f t="shared" si="97"/>
        <v>#DIV/0!</v>
      </c>
      <c r="L832" s="1040" t="e">
        <f t="shared" si="97"/>
        <v>#DIV/0!</v>
      </c>
      <c r="M832" s="1040" t="e">
        <f t="shared" si="97"/>
        <v>#DIV/0!</v>
      </c>
      <c r="N832" s="1040" t="e">
        <f t="shared" si="97"/>
        <v>#DIV/0!</v>
      </c>
      <c r="O832" s="1040" t="e">
        <f t="shared" si="97"/>
        <v>#DIV/0!</v>
      </c>
      <c r="P832" s="1040" t="e">
        <f t="shared" si="97"/>
        <v>#DIV/0!</v>
      </c>
      <c r="Q832" s="1040" t="e">
        <f t="shared" si="97"/>
        <v>#DIV/0!</v>
      </c>
      <c r="R832" s="1040" t="e">
        <f t="shared" si="97"/>
        <v>#DIV/0!</v>
      </c>
      <c r="S832" s="1040" t="e">
        <f t="shared" si="97"/>
        <v>#DIV/0!</v>
      </c>
      <c r="T832" s="1040" t="e">
        <f t="shared" si="97"/>
        <v>#DIV/0!</v>
      </c>
      <c r="U832" s="1040" t="e">
        <f t="shared" si="97"/>
        <v>#DIV/0!</v>
      </c>
      <c r="V832" s="1040" t="e">
        <f t="shared" si="97"/>
        <v>#DIV/0!</v>
      </c>
      <c r="W832" s="1040" t="e">
        <f t="shared" si="97"/>
        <v>#DIV/0!</v>
      </c>
      <c r="X832" s="1040" t="e">
        <f t="shared" si="97"/>
        <v>#DIV/0!</v>
      </c>
      <c r="Y832" s="1040" t="e">
        <f t="shared" si="97"/>
        <v>#DIV/0!</v>
      </c>
      <c r="Z832" s="1040" t="e">
        <f t="shared" si="97"/>
        <v>#DIV/0!</v>
      </c>
      <c r="AA832" s="1040" t="e">
        <f t="shared" si="97"/>
        <v>#DIV/0!</v>
      </c>
      <c r="AB832" s="1040" t="e">
        <f t="shared" si="97"/>
        <v>#DIV/0!</v>
      </c>
      <c r="AC832" s="1040" t="e">
        <f t="shared" si="97"/>
        <v>#DIV/0!</v>
      </c>
      <c r="AD832" s="1040" t="e">
        <f t="shared" si="97"/>
        <v>#DIV/0!</v>
      </c>
      <c r="AE832" s="1040" t="e">
        <f t="shared" si="97"/>
        <v>#DIV/0!</v>
      </c>
      <c r="AF832" s="1040" t="e">
        <f t="shared" si="97"/>
        <v>#DIV/0!</v>
      </c>
      <c r="AG832" s="1040" t="e">
        <f t="shared" si="97"/>
        <v>#DIV/0!</v>
      </c>
      <c r="AH832" s="1040" t="e">
        <f t="shared" si="97"/>
        <v>#DIV/0!</v>
      </c>
      <c r="AI832" s="1040" t="e">
        <f t="shared" si="97"/>
        <v>#DIV/0!</v>
      </c>
      <c r="AJ832" s="1040" t="e">
        <f t="shared" si="97"/>
        <v>#DIV/0!</v>
      </c>
      <c r="AK832" s="1040" t="e">
        <f t="shared" si="97"/>
        <v>#DIV/0!</v>
      </c>
      <c r="AL832" s="1040" t="e">
        <f t="shared" si="97"/>
        <v>#DIV/0!</v>
      </c>
      <c r="AM832" s="1040" t="e">
        <f t="shared" si="97"/>
        <v>#DIV/0!</v>
      </c>
      <c r="AN832" s="1040" t="e">
        <f t="shared" si="97"/>
        <v>#DIV/0!</v>
      </c>
      <c r="AO832" s="1040" t="e">
        <f t="shared" si="97"/>
        <v>#DIV/0!</v>
      </c>
      <c r="AP832" s="1040" t="e">
        <f t="shared" si="97"/>
        <v>#DIV/0!</v>
      </c>
      <c r="AQ832" s="1040" t="e">
        <f t="shared" si="97"/>
        <v>#DIV/0!</v>
      </c>
      <c r="AR832" s="1040" t="e">
        <f t="shared" si="97"/>
        <v>#DIV/0!</v>
      </c>
      <c r="AS832" s="1040" t="e">
        <f t="shared" ref="AS832:AY832" si="98">IF(AS32="",0,IF(OR(1=RANK(AS432,AS$412:AS$790,0),(2=RANK(AS432,AS$412:AS$790,0))),AS432,AS32))</f>
        <v>#DIV/0!</v>
      </c>
      <c r="AT832" s="1040" t="e">
        <f t="shared" si="98"/>
        <v>#DIV/0!</v>
      </c>
      <c r="AU832" s="1040">
        <f t="shared" si="98"/>
        <v>0</v>
      </c>
      <c r="AV832" s="1040" t="e">
        <f t="shared" si="98"/>
        <v>#DIV/0!</v>
      </c>
      <c r="AW832" s="1040" t="e">
        <f t="shared" si="98"/>
        <v>#DIV/0!</v>
      </c>
      <c r="AX832" s="1040" t="e">
        <f t="shared" si="98"/>
        <v>#DIV/0!</v>
      </c>
      <c r="AY832" s="1040" t="e">
        <f t="shared" si="98"/>
        <v>#DIV/0!</v>
      </c>
      <c r="AZ832" s="1061" t="s">
        <v>21</v>
      </c>
      <c r="BC832" s="29"/>
      <c r="BD832" s="29"/>
      <c r="BE832" s="13"/>
      <c r="BL832" s="368"/>
    </row>
    <row r="833" spans="1:64" ht="12" customHeight="1" x14ac:dyDescent="0.2">
      <c r="A833" s="515">
        <f>acute_overview_children!A33</f>
        <v>2</v>
      </c>
      <c r="B833" s="131">
        <f t="shared" si="55"/>
        <v>130000</v>
      </c>
      <c r="C833" s="131" t="str">
        <f t="shared" si="56"/>
        <v xml:space="preserve"> Pome fruit</v>
      </c>
      <c r="D833" s="1035"/>
      <c r="E833" s="1027"/>
      <c r="F833" s="87"/>
      <c r="G833" s="87"/>
      <c r="H833" s="1027"/>
      <c r="I833" s="1030"/>
      <c r="J833" s="1037" t="e">
        <f t="shared" ref="J833:AR833" si="99">IF(J33="",0,IF(OR(1=RANK(J433,J$412:J$790,0),(2=RANK(J433,J$412:J$790,0))),J433,J33))</f>
        <v>#DIV/0!</v>
      </c>
      <c r="K833" s="1038" t="e">
        <f t="shared" si="99"/>
        <v>#DIV/0!</v>
      </c>
      <c r="L833" s="1038" t="e">
        <f t="shared" si="99"/>
        <v>#DIV/0!</v>
      </c>
      <c r="M833" s="1038" t="e">
        <f t="shared" si="99"/>
        <v>#DIV/0!</v>
      </c>
      <c r="N833" s="1038" t="e">
        <f t="shared" si="99"/>
        <v>#DIV/0!</v>
      </c>
      <c r="O833" s="1038" t="e">
        <f t="shared" si="99"/>
        <v>#DIV/0!</v>
      </c>
      <c r="P833" s="1038" t="e">
        <f t="shared" si="99"/>
        <v>#DIV/0!</v>
      </c>
      <c r="Q833" s="1038" t="e">
        <f t="shared" si="99"/>
        <v>#DIV/0!</v>
      </c>
      <c r="R833" s="1038" t="e">
        <f t="shared" si="99"/>
        <v>#DIV/0!</v>
      </c>
      <c r="S833" s="1038" t="e">
        <f t="shared" si="99"/>
        <v>#DIV/0!</v>
      </c>
      <c r="T833" s="1038" t="e">
        <f t="shared" si="99"/>
        <v>#DIV/0!</v>
      </c>
      <c r="U833" s="1038" t="e">
        <f t="shared" si="99"/>
        <v>#DIV/0!</v>
      </c>
      <c r="V833" s="1038" t="e">
        <f t="shared" si="99"/>
        <v>#DIV/0!</v>
      </c>
      <c r="W833" s="1038" t="e">
        <f t="shared" si="99"/>
        <v>#DIV/0!</v>
      </c>
      <c r="X833" s="1038" t="e">
        <f t="shared" si="99"/>
        <v>#DIV/0!</v>
      </c>
      <c r="Y833" s="1038" t="e">
        <f t="shared" si="99"/>
        <v>#DIV/0!</v>
      </c>
      <c r="Z833" s="1038" t="e">
        <f t="shared" si="99"/>
        <v>#DIV/0!</v>
      </c>
      <c r="AA833" s="1038" t="e">
        <f t="shared" si="99"/>
        <v>#DIV/0!</v>
      </c>
      <c r="AB833" s="1038" t="e">
        <f t="shared" si="99"/>
        <v>#DIV/0!</v>
      </c>
      <c r="AC833" s="1038" t="e">
        <f t="shared" si="99"/>
        <v>#DIV/0!</v>
      </c>
      <c r="AD833" s="1038" t="e">
        <f t="shared" si="99"/>
        <v>#DIV/0!</v>
      </c>
      <c r="AE833" s="1038" t="e">
        <f t="shared" si="99"/>
        <v>#DIV/0!</v>
      </c>
      <c r="AF833" s="1038" t="e">
        <f t="shared" si="99"/>
        <v>#DIV/0!</v>
      </c>
      <c r="AG833" s="1038" t="e">
        <f t="shared" si="99"/>
        <v>#DIV/0!</v>
      </c>
      <c r="AH833" s="1038" t="e">
        <f t="shared" si="99"/>
        <v>#DIV/0!</v>
      </c>
      <c r="AI833" s="1038" t="e">
        <f t="shared" si="99"/>
        <v>#DIV/0!</v>
      </c>
      <c r="AJ833" s="1038" t="e">
        <f t="shared" si="99"/>
        <v>#DIV/0!</v>
      </c>
      <c r="AK833" s="1038" t="e">
        <f t="shared" si="99"/>
        <v>#DIV/0!</v>
      </c>
      <c r="AL833" s="1038" t="e">
        <f t="shared" si="99"/>
        <v>#DIV/0!</v>
      </c>
      <c r="AM833" s="1038" t="e">
        <f t="shared" si="99"/>
        <v>#DIV/0!</v>
      </c>
      <c r="AN833" s="1038" t="e">
        <f t="shared" si="99"/>
        <v>#DIV/0!</v>
      </c>
      <c r="AO833" s="1038" t="e">
        <f t="shared" si="99"/>
        <v>#DIV/0!</v>
      </c>
      <c r="AP833" s="1038" t="e">
        <f t="shared" si="99"/>
        <v>#DIV/0!</v>
      </c>
      <c r="AQ833" s="1038" t="e">
        <f t="shared" si="99"/>
        <v>#DIV/0!</v>
      </c>
      <c r="AR833" s="1038" t="e">
        <f t="shared" si="99"/>
        <v>#DIV/0!</v>
      </c>
      <c r="AS833" s="1038" t="e">
        <f t="shared" ref="AS833:AY833" si="100">IF(AS33="",0,IF(OR(1=RANK(AS433,AS$412:AS$790,0),(2=RANK(AS433,AS$412:AS$790,0))),AS433,AS33))</f>
        <v>#DIV/0!</v>
      </c>
      <c r="AT833" s="1038" t="e">
        <f t="shared" si="100"/>
        <v>#DIV/0!</v>
      </c>
      <c r="AU833" s="1038">
        <f t="shared" si="100"/>
        <v>0</v>
      </c>
      <c r="AV833" s="1038" t="e">
        <f t="shared" si="100"/>
        <v>#DIV/0!</v>
      </c>
      <c r="AW833" s="1038" t="e">
        <f t="shared" si="100"/>
        <v>#DIV/0!</v>
      </c>
      <c r="AX833" s="1038" t="e">
        <f t="shared" si="100"/>
        <v>#DIV/0!</v>
      </c>
      <c r="AY833" s="1038" t="e">
        <f t="shared" si="100"/>
        <v>#DIV/0!</v>
      </c>
      <c r="AZ833" s="1061" t="s">
        <v>21</v>
      </c>
      <c r="BC833" s="29"/>
      <c r="BD833" s="29"/>
      <c r="BE833" s="13"/>
      <c r="BL833" s="368"/>
    </row>
    <row r="834" spans="1:64" ht="12" customHeight="1" x14ac:dyDescent="0.2">
      <c r="A834" s="39">
        <f>acute_overview_children!A34</f>
        <v>4</v>
      </c>
      <c r="B834" s="23">
        <f t="shared" si="55"/>
        <v>130010</v>
      </c>
      <c r="C834" s="23" t="str">
        <f t="shared" si="56"/>
        <v>Apples</v>
      </c>
      <c r="D834" s="135"/>
      <c r="E834" s="1027"/>
      <c r="F834" s="87"/>
      <c r="G834" s="87"/>
      <c r="H834" s="1027"/>
      <c r="I834" s="1030"/>
      <c r="J834" s="1039" t="e">
        <f t="shared" ref="J834:AR834" si="101">IF(J34="",0,IF(OR(1=RANK(J434,J$412:J$790,0),(2=RANK(J434,J$412:J$790,0))),J434,J34))</f>
        <v>#DIV/0!</v>
      </c>
      <c r="K834" s="1040" t="e">
        <f t="shared" si="101"/>
        <v>#DIV/0!</v>
      </c>
      <c r="L834" s="1040" t="e">
        <f t="shared" si="101"/>
        <v>#DIV/0!</v>
      </c>
      <c r="M834" s="1040" t="e">
        <f t="shared" si="101"/>
        <v>#DIV/0!</v>
      </c>
      <c r="N834" s="1040" t="e">
        <f t="shared" si="101"/>
        <v>#DIV/0!</v>
      </c>
      <c r="O834" s="1040" t="e">
        <f t="shared" si="101"/>
        <v>#DIV/0!</v>
      </c>
      <c r="P834" s="1040" t="e">
        <f t="shared" si="101"/>
        <v>#DIV/0!</v>
      </c>
      <c r="Q834" s="1040" t="e">
        <f t="shared" si="101"/>
        <v>#DIV/0!</v>
      </c>
      <c r="R834" s="1040" t="e">
        <f t="shared" si="101"/>
        <v>#DIV/0!</v>
      </c>
      <c r="S834" s="1040" t="e">
        <f t="shared" si="101"/>
        <v>#DIV/0!</v>
      </c>
      <c r="T834" s="1040" t="e">
        <f t="shared" si="101"/>
        <v>#DIV/0!</v>
      </c>
      <c r="U834" s="1040" t="e">
        <f t="shared" si="101"/>
        <v>#DIV/0!</v>
      </c>
      <c r="V834" s="1040" t="e">
        <f t="shared" si="101"/>
        <v>#DIV/0!</v>
      </c>
      <c r="W834" s="1040" t="e">
        <f t="shared" si="101"/>
        <v>#DIV/0!</v>
      </c>
      <c r="X834" s="1040" t="e">
        <f t="shared" si="101"/>
        <v>#DIV/0!</v>
      </c>
      <c r="Y834" s="1040" t="e">
        <f t="shared" si="101"/>
        <v>#DIV/0!</v>
      </c>
      <c r="Z834" s="1040" t="e">
        <f t="shared" si="101"/>
        <v>#DIV/0!</v>
      </c>
      <c r="AA834" s="1040" t="e">
        <f t="shared" si="101"/>
        <v>#DIV/0!</v>
      </c>
      <c r="AB834" s="1040" t="e">
        <f t="shared" si="101"/>
        <v>#DIV/0!</v>
      </c>
      <c r="AC834" s="1040" t="e">
        <f t="shared" si="101"/>
        <v>#DIV/0!</v>
      </c>
      <c r="AD834" s="1040" t="e">
        <f t="shared" si="101"/>
        <v>#DIV/0!</v>
      </c>
      <c r="AE834" s="1040" t="e">
        <f t="shared" si="101"/>
        <v>#DIV/0!</v>
      </c>
      <c r="AF834" s="1040" t="e">
        <f t="shared" si="101"/>
        <v>#DIV/0!</v>
      </c>
      <c r="AG834" s="1040" t="e">
        <f t="shared" si="101"/>
        <v>#DIV/0!</v>
      </c>
      <c r="AH834" s="1040" t="e">
        <f t="shared" si="101"/>
        <v>#DIV/0!</v>
      </c>
      <c r="AI834" s="1040" t="e">
        <f t="shared" si="101"/>
        <v>#DIV/0!</v>
      </c>
      <c r="AJ834" s="1040" t="e">
        <f t="shared" si="101"/>
        <v>#DIV/0!</v>
      </c>
      <c r="AK834" s="1040" t="e">
        <f t="shared" si="101"/>
        <v>#DIV/0!</v>
      </c>
      <c r="AL834" s="1040" t="e">
        <f t="shared" si="101"/>
        <v>#DIV/0!</v>
      </c>
      <c r="AM834" s="1040" t="e">
        <f t="shared" si="101"/>
        <v>#DIV/0!</v>
      </c>
      <c r="AN834" s="1040" t="e">
        <f t="shared" si="101"/>
        <v>#DIV/0!</v>
      </c>
      <c r="AO834" s="1040" t="e">
        <f t="shared" si="101"/>
        <v>#DIV/0!</v>
      </c>
      <c r="AP834" s="1040" t="e">
        <f t="shared" si="101"/>
        <v>#DIV/0!</v>
      </c>
      <c r="AQ834" s="1040" t="e">
        <f t="shared" si="101"/>
        <v>#DIV/0!</v>
      </c>
      <c r="AR834" s="1040" t="e">
        <f t="shared" si="101"/>
        <v>#DIV/0!</v>
      </c>
      <c r="AS834" s="1040" t="e">
        <f t="shared" ref="AS834:AY834" si="102">IF(AS34="",0,IF(OR(1=RANK(AS434,AS$412:AS$790,0),(2=RANK(AS434,AS$412:AS$790,0))),AS434,AS34))</f>
        <v>#DIV/0!</v>
      </c>
      <c r="AT834" s="1040" t="e">
        <f t="shared" si="102"/>
        <v>#DIV/0!</v>
      </c>
      <c r="AU834" s="1040">
        <f t="shared" si="102"/>
        <v>0</v>
      </c>
      <c r="AV834" s="1040" t="e">
        <f t="shared" si="102"/>
        <v>#DIV/0!</v>
      </c>
      <c r="AW834" s="1040" t="e">
        <f t="shared" si="102"/>
        <v>#DIV/0!</v>
      </c>
      <c r="AX834" s="1040" t="e">
        <f t="shared" si="102"/>
        <v>#DIV/0!</v>
      </c>
      <c r="AY834" s="1040" t="e">
        <f t="shared" si="102"/>
        <v>#DIV/0!</v>
      </c>
      <c r="AZ834" s="1061" t="s">
        <v>21</v>
      </c>
      <c r="BC834" s="29"/>
      <c r="BD834" s="29"/>
      <c r="BE834" s="13"/>
      <c r="BL834" s="368"/>
    </row>
    <row r="835" spans="1:64" ht="12" customHeight="1" x14ac:dyDescent="0.2">
      <c r="A835" s="39">
        <f>acute_overview_children!A35</f>
        <v>4</v>
      </c>
      <c r="B835" s="23">
        <f t="shared" si="55"/>
        <v>130020</v>
      </c>
      <c r="C835" s="23" t="str">
        <f t="shared" si="56"/>
        <v>Pears</v>
      </c>
      <c r="D835" s="135"/>
      <c r="E835" s="1027"/>
      <c r="F835" s="87"/>
      <c r="G835" s="87"/>
      <c r="H835" s="1027"/>
      <c r="I835" s="1030"/>
      <c r="J835" s="1039" t="e">
        <f t="shared" ref="J835:AR835" si="103">IF(J35="",0,IF(OR(1=RANK(J435,J$412:J$790,0),(2=RANK(J435,J$412:J$790,0))),J435,J35))</f>
        <v>#DIV/0!</v>
      </c>
      <c r="K835" s="1040" t="e">
        <f t="shared" si="103"/>
        <v>#DIV/0!</v>
      </c>
      <c r="L835" s="1040" t="e">
        <f t="shared" si="103"/>
        <v>#DIV/0!</v>
      </c>
      <c r="M835" s="1040" t="e">
        <f t="shared" si="103"/>
        <v>#DIV/0!</v>
      </c>
      <c r="N835" s="1040" t="e">
        <f t="shared" si="103"/>
        <v>#DIV/0!</v>
      </c>
      <c r="O835" s="1040" t="e">
        <f t="shared" si="103"/>
        <v>#DIV/0!</v>
      </c>
      <c r="P835" s="1040" t="e">
        <f t="shared" si="103"/>
        <v>#DIV/0!</v>
      </c>
      <c r="Q835" s="1040" t="e">
        <f t="shared" si="103"/>
        <v>#DIV/0!</v>
      </c>
      <c r="R835" s="1040" t="e">
        <f t="shared" si="103"/>
        <v>#DIV/0!</v>
      </c>
      <c r="S835" s="1040" t="e">
        <f t="shared" si="103"/>
        <v>#DIV/0!</v>
      </c>
      <c r="T835" s="1040" t="e">
        <f t="shared" si="103"/>
        <v>#DIV/0!</v>
      </c>
      <c r="U835" s="1040" t="e">
        <f t="shared" si="103"/>
        <v>#DIV/0!</v>
      </c>
      <c r="V835" s="1040" t="e">
        <f t="shared" si="103"/>
        <v>#DIV/0!</v>
      </c>
      <c r="W835" s="1040" t="e">
        <f t="shared" si="103"/>
        <v>#DIV/0!</v>
      </c>
      <c r="X835" s="1040" t="e">
        <f t="shared" si="103"/>
        <v>#DIV/0!</v>
      </c>
      <c r="Y835" s="1040" t="e">
        <f t="shared" si="103"/>
        <v>#DIV/0!</v>
      </c>
      <c r="Z835" s="1040" t="e">
        <f t="shared" si="103"/>
        <v>#DIV/0!</v>
      </c>
      <c r="AA835" s="1040" t="e">
        <f t="shared" si="103"/>
        <v>#DIV/0!</v>
      </c>
      <c r="AB835" s="1040" t="e">
        <f t="shared" si="103"/>
        <v>#DIV/0!</v>
      </c>
      <c r="AC835" s="1040" t="e">
        <f t="shared" si="103"/>
        <v>#DIV/0!</v>
      </c>
      <c r="AD835" s="1040" t="e">
        <f t="shared" si="103"/>
        <v>#DIV/0!</v>
      </c>
      <c r="AE835" s="1040" t="e">
        <f t="shared" si="103"/>
        <v>#DIV/0!</v>
      </c>
      <c r="AF835" s="1040" t="e">
        <f t="shared" si="103"/>
        <v>#DIV/0!</v>
      </c>
      <c r="AG835" s="1040" t="e">
        <f t="shared" si="103"/>
        <v>#DIV/0!</v>
      </c>
      <c r="AH835" s="1040" t="e">
        <f t="shared" si="103"/>
        <v>#DIV/0!</v>
      </c>
      <c r="AI835" s="1040" t="e">
        <f t="shared" si="103"/>
        <v>#DIV/0!</v>
      </c>
      <c r="AJ835" s="1040" t="e">
        <f t="shared" si="103"/>
        <v>#DIV/0!</v>
      </c>
      <c r="AK835" s="1040" t="e">
        <f t="shared" si="103"/>
        <v>#DIV/0!</v>
      </c>
      <c r="AL835" s="1040" t="e">
        <f t="shared" si="103"/>
        <v>#DIV/0!</v>
      </c>
      <c r="AM835" s="1040" t="e">
        <f t="shared" si="103"/>
        <v>#DIV/0!</v>
      </c>
      <c r="AN835" s="1040" t="e">
        <f t="shared" si="103"/>
        <v>#DIV/0!</v>
      </c>
      <c r="AO835" s="1040" t="e">
        <f t="shared" si="103"/>
        <v>#DIV/0!</v>
      </c>
      <c r="AP835" s="1040" t="e">
        <f t="shared" si="103"/>
        <v>#DIV/0!</v>
      </c>
      <c r="AQ835" s="1040" t="e">
        <f t="shared" si="103"/>
        <v>#DIV/0!</v>
      </c>
      <c r="AR835" s="1040" t="e">
        <f t="shared" si="103"/>
        <v>#DIV/0!</v>
      </c>
      <c r="AS835" s="1040" t="e">
        <f t="shared" ref="AS835:AY835" si="104">IF(AS35="",0,IF(OR(1=RANK(AS435,AS$412:AS$790,0),(2=RANK(AS435,AS$412:AS$790,0))),AS435,AS35))</f>
        <v>#DIV/0!</v>
      </c>
      <c r="AT835" s="1040" t="e">
        <f t="shared" si="104"/>
        <v>#DIV/0!</v>
      </c>
      <c r="AU835" s="1040">
        <f t="shared" si="104"/>
        <v>0</v>
      </c>
      <c r="AV835" s="1040" t="e">
        <f t="shared" si="104"/>
        <v>#DIV/0!</v>
      </c>
      <c r="AW835" s="1040" t="e">
        <f t="shared" si="104"/>
        <v>#DIV/0!</v>
      </c>
      <c r="AX835" s="1040" t="e">
        <f t="shared" si="104"/>
        <v>#DIV/0!</v>
      </c>
      <c r="AY835" s="1040" t="e">
        <f t="shared" si="104"/>
        <v>#DIV/0!</v>
      </c>
      <c r="AZ835" s="1061" t="s">
        <v>21</v>
      </c>
      <c r="BC835" s="29"/>
      <c r="BD835" s="29"/>
      <c r="BE835" s="13"/>
      <c r="BL835" s="368"/>
    </row>
    <row r="836" spans="1:64" ht="12" customHeight="1" x14ac:dyDescent="0.2">
      <c r="A836" s="39">
        <f>acute_overview_children!A36</f>
        <v>4</v>
      </c>
      <c r="B836" s="23">
        <f t="shared" si="55"/>
        <v>130030</v>
      </c>
      <c r="C836" s="23" t="str">
        <f t="shared" si="56"/>
        <v>Quinces</v>
      </c>
      <c r="D836" s="135"/>
      <c r="E836" s="1027"/>
      <c r="F836" s="87"/>
      <c r="G836" s="87"/>
      <c r="H836" s="1027"/>
      <c r="I836" s="1030"/>
      <c r="J836" s="1039" t="e">
        <f t="shared" ref="J836:AR836" si="105">IF(J36="",0,IF(OR(1=RANK(J436,J$412:J$790,0),(2=RANK(J436,J$412:J$790,0))),J436,J36))</f>
        <v>#DIV/0!</v>
      </c>
      <c r="K836" s="1040" t="e">
        <f t="shared" si="105"/>
        <v>#DIV/0!</v>
      </c>
      <c r="L836" s="1040" t="e">
        <f t="shared" si="105"/>
        <v>#DIV/0!</v>
      </c>
      <c r="M836" s="1040" t="e">
        <f t="shared" si="105"/>
        <v>#DIV/0!</v>
      </c>
      <c r="N836" s="1040" t="e">
        <f t="shared" si="105"/>
        <v>#DIV/0!</v>
      </c>
      <c r="O836" s="1040" t="e">
        <f t="shared" si="105"/>
        <v>#DIV/0!</v>
      </c>
      <c r="P836" s="1040" t="e">
        <f t="shared" si="105"/>
        <v>#DIV/0!</v>
      </c>
      <c r="Q836" s="1040" t="e">
        <f t="shared" si="105"/>
        <v>#DIV/0!</v>
      </c>
      <c r="R836" s="1040" t="e">
        <f t="shared" si="105"/>
        <v>#DIV/0!</v>
      </c>
      <c r="S836" s="1040" t="e">
        <f t="shared" si="105"/>
        <v>#DIV/0!</v>
      </c>
      <c r="T836" s="1040" t="e">
        <f t="shared" si="105"/>
        <v>#DIV/0!</v>
      </c>
      <c r="U836" s="1040" t="e">
        <f t="shared" si="105"/>
        <v>#DIV/0!</v>
      </c>
      <c r="V836" s="1040" t="e">
        <f t="shared" si="105"/>
        <v>#DIV/0!</v>
      </c>
      <c r="W836" s="1040" t="e">
        <f t="shared" si="105"/>
        <v>#DIV/0!</v>
      </c>
      <c r="X836" s="1040" t="e">
        <f t="shared" si="105"/>
        <v>#DIV/0!</v>
      </c>
      <c r="Y836" s="1040" t="e">
        <f t="shared" si="105"/>
        <v>#DIV/0!</v>
      </c>
      <c r="Z836" s="1040" t="e">
        <f t="shared" si="105"/>
        <v>#DIV/0!</v>
      </c>
      <c r="AA836" s="1040" t="e">
        <f t="shared" si="105"/>
        <v>#DIV/0!</v>
      </c>
      <c r="AB836" s="1040" t="e">
        <f t="shared" si="105"/>
        <v>#DIV/0!</v>
      </c>
      <c r="AC836" s="1040" t="e">
        <f t="shared" si="105"/>
        <v>#DIV/0!</v>
      </c>
      <c r="AD836" s="1040" t="e">
        <f t="shared" si="105"/>
        <v>#DIV/0!</v>
      </c>
      <c r="AE836" s="1040" t="e">
        <f t="shared" si="105"/>
        <v>#DIV/0!</v>
      </c>
      <c r="AF836" s="1040" t="e">
        <f t="shared" si="105"/>
        <v>#DIV/0!</v>
      </c>
      <c r="AG836" s="1040" t="e">
        <f t="shared" si="105"/>
        <v>#DIV/0!</v>
      </c>
      <c r="AH836" s="1040" t="e">
        <f t="shared" si="105"/>
        <v>#DIV/0!</v>
      </c>
      <c r="AI836" s="1040" t="e">
        <f t="shared" si="105"/>
        <v>#DIV/0!</v>
      </c>
      <c r="AJ836" s="1040" t="e">
        <f t="shared" si="105"/>
        <v>#DIV/0!</v>
      </c>
      <c r="AK836" s="1040" t="e">
        <f t="shared" si="105"/>
        <v>#DIV/0!</v>
      </c>
      <c r="AL836" s="1040" t="e">
        <f t="shared" si="105"/>
        <v>#DIV/0!</v>
      </c>
      <c r="AM836" s="1040" t="e">
        <f t="shared" si="105"/>
        <v>#DIV/0!</v>
      </c>
      <c r="AN836" s="1040" t="e">
        <f t="shared" si="105"/>
        <v>#DIV/0!</v>
      </c>
      <c r="AO836" s="1040" t="e">
        <f t="shared" si="105"/>
        <v>#DIV/0!</v>
      </c>
      <c r="AP836" s="1040" t="e">
        <f t="shared" si="105"/>
        <v>#DIV/0!</v>
      </c>
      <c r="AQ836" s="1040" t="e">
        <f t="shared" si="105"/>
        <v>#DIV/0!</v>
      </c>
      <c r="AR836" s="1040" t="e">
        <f t="shared" si="105"/>
        <v>#DIV/0!</v>
      </c>
      <c r="AS836" s="1040" t="e">
        <f t="shared" ref="AS836:AY836" si="106">IF(AS36="",0,IF(OR(1=RANK(AS436,AS$412:AS$790,0),(2=RANK(AS436,AS$412:AS$790,0))),AS436,AS36))</f>
        <v>#DIV/0!</v>
      </c>
      <c r="AT836" s="1040" t="e">
        <f t="shared" si="106"/>
        <v>#DIV/0!</v>
      </c>
      <c r="AU836" s="1040">
        <f t="shared" si="106"/>
        <v>0</v>
      </c>
      <c r="AV836" s="1040" t="e">
        <f t="shared" si="106"/>
        <v>#DIV/0!</v>
      </c>
      <c r="AW836" s="1040" t="e">
        <f t="shared" si="106"/>
        <v>#DIV/0!</v>
      </c>
      <c r="AX836" s="1040" t="e">
        <f t="shared" si="106"/>
        <v>#DIV/0!</v>
      </c>
      <c r="AY836" s="1040" t="e">
        <f t="shared" si="106"/>
        <v>#DIV/0!</v>
      </c>
      <c r="AZ836" s="1061" t="s">
        <v>21</v>
      </c>
      <c r="BC836" s="29"/>
      <c r="BD836" s="29"/>
      <c r="BE836" s="13"/>
      <c r="BL836" s="368"/>
    </row>
    <row r="837" spans="1:64" ht="12" customHeight="1" x14ac:dyDescent="0.2">
      <c r="A837" s="39">
        <f>acute_overview_children!A37</f>
        <v>4</v>
      </c>
      <c r="B837" s="23">
        <f t="shared" si="55"/>
        <v>130040</v>
      </c>
      <c r="C837" s="23" t="str">
        <f t="shared" si="56"/>
        <v xml:space="preserve">Medlar </v>
      </c>
      <c r="D837" s="135"/>
      <c r="E837" s="1027"/>
      <c r="F837" s="87"/>
      <c r="G837" s="87"/>
      <c r="H837" s="1027"/>
      <c r="I837" s="1030"/>
      <c r="J837" s="1039" t="e">
        <f t="shared" ref="J837:AR837" si="107">IF(J37="",0,IF(OR(1=RANK(J437,J$412:J$790,0),(2=RANK(J437,J$412:J$790,0))),J437,J37))</f>
        <v>#DIV/0!</v>
      </c>
      <c r="K837" s="1040" t="e">
        <f t="shared" si="107"/>
        <v>#DIV/0!</v>
      </c>
      <c r="L837" s="1040" t="e">
        <f t="shared" si="107"/>
        <v>#DIV/0!</v>
      </c>
      <c r="M837" s="1040" t="e">
        <f t="shared" si="107"/>
        <v>#DIV/0!</v>
      </c>
      <c r="N837" s="1040" t="e">
        <f t="shared" si="107"/>
        <v>#DIV/0!</v>
      </c>
      <c r="O837" s="1040" t="e">
        <f t="shared" si="107"/>
        <v>#DIV/0!</v>
      </c>
      <c r="P837" s="1040" t="e">
        <f t="shared" si="107"/>
        <v>#DIV/0!</v>
      </c>
      <c r="Q837" s="1040" t="e">
        <f t="shared" si="107"/>
        <v>#DIV/0!</v>
      </c>
      <c r="R837" s="1040" t="e">
        <f t="shared" si="107"/>
        <v>#DIV/0!</v>
      </c>
      <c r="S837" s="1040" t="e">
        <f t="shared" si="107"/>
        <v>#DIV/0!</v>
      </c>
      <c r="T837" s="1040" t="e">
        <f t="shared" si="107"/>
        <v>#DIV/0!</v>
      </c>
      <c r="U837" s="1040" t="e">
        <f t="shared" si="107"/>
        <v>#DIV/0!</v>
      </c>
      <c r="V837" s="1040" t="e">
        <f t="shared" si="107"/>
        <v>#DIV/0!</v>
      </c>
      <c r="W837" s="1040" t="e">
        <f t="shared" si="107"/>
        <v>#DIV/0!</v>
      </c>
      <c r="X837" s="1040" t="e">
        <f t="shared" si="107"/>
        <v>#DIV/0!</v>
      </c>
      <c r="Y837" s="1040" t="e">
        <f t="shared" si="107"/>
        <v>#DIV/0!</v>
      </c>
      <c r="Z837" s="1040" t="e">
        <f t="shared" si="107"/>
        <v>#DIV/0!</v>
      </c>
      <c r="AA837" s="1040" t="e">
        <f t="shared" si="107"/>
        <v>#DIV/0!</v>
      </c>
      <c r="AB837" s="1040" t="e">
        <f t="shared" si="107"/>
        <v>#DIV/0!</v>
      </c>
      <c r="AC837" s="1040" t="e">
        <f t="shared" si="107"/>
        <v>#DIV/0!</v>
      </c>
      <c r="AD837" s="1040" t="e">
        <f t="shared" si="107"/>
        <v>#DIV/0!</v>
      </c>
      <c r="AE837" s="1040" t="e">
        <f t="shared" si="107"/>
        <v>#DIV/0!</v>
      </c>
      <c r="AF837" s="1040" t="e">
        <f t="shared" si="107"/>
        <v>#DIV/0!</v>
      </c>
      <c r="AG837" s="1040" t="e">
        <f t="shared" si="107"/>
        <v>#DIV/0!</v>
      </c>
      <c r="AH837" s="1040" t="e">
        <f t="shared" si="107"/>
        <v>#DIV/0!</v>
      </c>
      <c r="AI837" s="1040" t="e">
        <f t="shared" si="107"/>
        <v>#DIV/0!</v>
      </c>
      <c r="AJ837" s="1040" t="e">
        <f t="shared" si="107"/>
        <v>#DIV/0!</v>
      </c>
      <c r="AK837" s="1040" t="e">
        <f t="shared" si="107"/>
        <v>#DIV/0!</v>
      </c>
      <c r="AL837" s="1040" t="e">
        <f t="shared" si="107"/>
        <v>#DIV/0!</v>
      </c>
      <c r="AM837" s="1040" t="e">
        <f t="shared" si="107"/>
        <v>#DIV/0!</v>
      </c>
      <c r="AN837" s="1040" t="e">
        <f t="shared" si="107"/>
        <v>#DIV/0!</v>
      </c>
      <c r="AO837" s="1040" t="e">
        <f t="shared" si="107"/>
        <v>#DIV/0!</v>
      </c>
      <c r="AP837" s="1040" t="e">
        <f t="shared" si="107"/>
        <v>#DIV/0!</v>
      </c>
      <c r="AQ837" s="1040" t="e">
        <f t="shared" si="107"/>
        <v>#DIV/0!</v>
      </c>
      <c r="AR837" s="1040" t="e">
        <f t="shared" si="107"/>
        <v>#DIV/0!</v>
      </c>
      <c r="AS837" s="1040" t="e">
        <f t="shared" ref="AS837:AY837" si="108">IF(AS37="",0,IF(OR(1=RANK(AS437,AS$412:AS$790,0),(2=RANK(AS437,AS$412:AS$790,0))),AS437,AS37))</f>
        <v>#DIV/0!</v>
      </c>
      <c r="AT837" s="1040" t="e">
        <f t="shared" si="108"/>
        <v>#DIV/0!</v>
      </c>
      <c r="AU837" s="1040">
        <f t="shared" si="108"/>
        <v>0</v>
      </c>
      <c r="AV837" s="1040" t="e">
        <f t="shared" si="108"/>
        <v>#DIV/0!</v>
      </c>
      <c r="AW837" s="1040" t="e">
        <f t="shared" si="108"/>
        <v>#DIV/0!</v>
      </c>
      <c r="AX837" s="1040" t="e">
        <f t="shared" si="108"/>
        <v>#DIV/0!</v>
      </c>
      <c r="AY837" s="1040" t="e">
        <f t="shared" si="108"/>
        <v>#DIV/0!</v>
      </c>
      <c r="AZ837" s="1061" t="s">
        <v>21</v>
      </c>
      <c r="BC837" s="29"/>
      <c r="BD837" s="29"/>
      <c r="BE837" s="13"/>
      <c r="BL837" s="368"/>
    </row>
    <row r="838" spans="1:64" ht="12" customHeight="1" x14ac:dyDescent="0.2">
      <c r="A838" s="39">
        <f>acute_overview_children!A38</f>
        <v>4</v>
      </c>
      <c r="B838" s="23">
        <f t="shared" si="55"/>
        <v>130050</v>
      </c>
      <c r="C838" s="23" t="str">
        <f t="shared" si="56"/>
        <v>Loquats/Japanese medlars</v>
      </c>
      <c r="D838" s="135"/>
      <c r="E838" s="1027"/>
      <c r="F838" s="87"/>
      <c r="G838" s="87"/>
      <c r="H838" s="1027"/>
      <c r="I838" s="1030"/>
      <c r="J838" s="1039" t="e">
        <f t="shared" ref="J838:AR838" si="109">IF(J38="",0,IF(OR(1=RANK(J438,J$412:J$790,0),(2=RANK(J438,J$412:J$790,0))),J438,J38))</f>
        <v>#DIV/0!</v>
      </c>
      <c r="K838" s="1040" t="e">
        <f t="shared" si="109"/>
        <v>#DIV/0!</v>
      </c>
      <c r="L838" s="1040" t="e">
        <f t="shared" si="109"/>
        <v>#DIV/0!</v>
      </c>
      <c r="M838" s="1040" t="e">
        <f t="shared" si="109"/>
        <v>#DIV/0!</v>
      </c>
      <c r="N838" s="1040" t="e">
        <f t="shared" si="109"/>
        <v>#DIV/0!</v>
      </c>
      <c r="O838" s="1040" t="e">
        <f t="shared" si="109"/>
        <v>#DIV/0!</v>
      </c>
      <c r="P838" s="1040" t="e">
        <f t="shared" si="109"/>
        <v>#DIV/0!</v>
      </c>
      <c r="Q838" s="1040" t="e">
        <f t="shared" si="109"/>
        <v>#DIV/0!</v>
      </c>
      <c r="R838" s="1040" t="e">
        <f t="shared" si="109"/>
        <v>#DIV/0!</v>
      </c>
      <c r="S838" s="1040" t="e">
        <f t="shared" si="109"/>
        <v>#DIV/0!</v>
      </c>
      <c r="T838" s="1040" t="e">
        <f t="shared" si="109"/>
        <v>#DIV/0!</v>
      </c>
      <c r="U838" s="1040" t="e">
        <f t="shared" si="109"/>
        <v>#DIV/0!</v>
      </c>
      <c r="V838" s="1040" t="e">
        <f t="shared" si="109"/>
        <v>#DIV/0!</v>
      </c>
      <c r="W838" s="1040" t="e">
        <f t="shared" si="109"/>
        <v>#DIV/0!</v>
      </c>
      <c r="X838" s="1040" t="e">
        <f t="shared" si="109"/>
        <v>#DIV/0!</v>
      </c>
      <c r="Y838" s="1040" t="e">
        <f t="shared" si="109"/>
        <v>#DIV/0!</v>
      </c>
      <c r="Z838" s="1040" t="e">
        <f t="shared" si="109"/>
        <v>#DIV/0!</v>
      </c>
      <c r="AA838" s="1040" t="e">
        <f t="shared" si="109"/>
        <v>#DIV/0!</v>
      </c>
      <c r="AB838" s="1040" t="e">
        <f t="shared" si="109"/>
        <v>#DIV/0!</v>
      </c>
      <c r="AC838" s="1040" t="e">
        <f t="shared" si="109"/>
        <v>#DIV/0!</v>
      </c>
      <c r="AD838" s="1040" t="e">
        <f t="shared" si="109"/>
        <v>#DIV/0!</v>
      </c>
      <c r="AE838" s="1040" t="e">
        <f t="shared" si="109"/>
        <v>#DIV/0!</v>
      </c>
      <c r="AF838" s="1040" t="e">
        <f t="shared" si="109"/>
        <v>#DIV/0!</v>
      </c>
      <c r="AG838" s="1040" t="e">
        <f t="shared" si="109"/>
        <v>#DIV/0!</v>
      </c>
      <c r="AH838" s="1040" t="e">
        <f t="shared" si="109"/>
        <v>#DIV/0!</v>
      </c>
      <c r="AI838" s="1040" t="e">
        <f t="shared" si="109"/>
        <v>#DIV/0!</v>
      </c>
      <c r="AJ838" s="1040" t="e">
        <f t="shared" si="109"/>
        <v>#DIV/0!</v>
      </c>
      <c r="AK838" s="1040" t="e">
        <f t="shared" si="109"/>
        <v>#DIV/0!</v>
      </c>
      <c r="AL838" s="1040" t="e">
        <f t="shared" si="109"/>
        <v>#DIV/0!</v>
      </c>
      <c r="AM838" s="1040" t="e">
        <f t="shared" si="109"/>
        <v>#DIV/0!</v>
      </c>
      <c r="AN838" s="1040" t="e">
        <f t="shared" si="109"/>
        <v>#DIV/0!</v>
      </c>
      <c r="AO838" s="1040" t="e">
        <f t="shared" si="109"/>
        <v>#DIV/0!</v>
      </c>
      <c r="AP838" s="1040" t="e">
        <f t="shared" si="109"/>
        <v>#DIV/0!</v>
      </c>
      <c r="AQ838" s="1040" t="e">
        <f t="shared" si="109"/>
        <v>#DIV/0!</v>
      </c>
      <c r="AR838" s="1040" t="e">
        <f t="shared" si="109"/>
        <v>#DIV/0!</v>
      </c>
      <c r="AS838" s="1040" t="e">
        <f t="shared" ref="AS838:AY838" si="110">IF(AS38="",0,IF(OR(1=RANK(AS438,AS$412:AS$790,0),(2=RANK(AS438,AS$412:AS$790,0))),AS438,AS38))</f>
        <v>#DIV/0!</v>
      </c>
      <c r="AT838" s="1040" t="e">
        <f t="shared" si="110"/>
        <v>#DIV/0!</v>
      </c>
      <c r="AU838" s="1040">
        <f t="shared" si="110"/>
        <v>0</v>
      </c>
      <c r="AV838" s="1040" t="e">
        <f t="shared" si="110"/>
        <v>#DIV/0!</v>
      </c>
      <c r="AW838" s="1040" t="e">
        <f t="shared" si="110"/>
        <v>#DIV/0!</v>
      </c>
      <c r="AX838" s="1040" t="e">
        <f t="shared" si="110"/>
        <v>#DIV/0!</v>
      </c>
      <c r="AY838" s="1040" t="e">
        <f t="shared" si="110"/>
        <v>#DIV/0!</v>
      </c>
      <c r="AZ838" s="1061" t="s">
        <v>21</v>
      </c>
      <c r="BC838" s="29"/>
      <c r="BD838" s="29"/>
      <c r="BE838" s="13"/>
      <c r="BL838" s="368"/>
    </row>
    <row r="839" spans="1:64" ht="12" customHeight="1" x14ac:dyDescent="0.2">
      <c r="A839" s="39">
        <f>acute_overview_children!A39</f>
        <v>4</v>
      </c>
      <c r="B839" s="23">
        <f t="shared" si="55"/>
        <v>130990</v>
      </c>
      <c r="C839" s="23" t="str">
        <f t="shared" si="56"/>
        <v>Other pome fruit</v>
      </c>
      <c r="D839" s="135"/>
      <c r="E839" s="1027"/>
      <c r="F839" s="87"/>
      <c r="G839" s="87"/>
      <c r="H839" s="1027"/>
      <c r="I839" s="1030"/>
      <c r="J839" s="1039" t="e">
        <f t="shared" ref="J839:AR839" si="111">IF(J39="",0,IF(OR(1=RANK(J439,J$412:J$790,0),(2=RANK(J439,J$412:J$790,0))),J439,J39))</f>
        <v>#DIV/0!</v>
      </c>
      <c r="K839" s="1040" t="e">
        <f t="shared" si="111"/>
        <v>#DIV/0!</v>
      </c>
      <c r="L839" s="1040" t="e">
        <f t="shared" si="111"/>
        <v>#DIV/0!</v>
      </c>
      <c r="M839" s="1040" t="e">
        <f t="shared" si="111"/>
        <v>#DIV/0!</v>
      </c>
      <c r="N839" s="1040" t="e">
        <f t="shared" si="111"/>
        <v>#DIV/0!</v>
      </c>
      <c r="O839" s="1040" t="e">
        <f t="shared" si="111"/>
        <v>#DIV/0!</v>
      </c>
      <c r="P839" s="1040" t="e">
        <f t="shared" si="111"/>
        <v>#DIV/0!</v>
      </c>
      <c r="Q839" s="1040" t="e">
        <f t="shared" si="111"/>
        <v>#DIV/0!</v>
      </c>
      <c r="R839" s="1040" t="e">
        <f t="shared" si="111"/>
        <v>#DIV/0!</v>
      </c>
      <c r="S839" s="1040" t="e">
        <f t="shared" si="111"/>
        <v>#DIV/0!</v>
      </c>
      <c r="T839" s="1040" t="e">
        <f t="shared" si="111"/>
        <v>#DIV/0!</v>
      </c>
      <c r="U839" s="1040" t="e">
        <f t="shared" si="111"/>
        <v>#DIV/0!</v>
      </c>
      <c r="V839" s="1040" t="e">
        <f t="shared" si="111"/>
        <v>#DIV/0!</v>
      </c>
      <c r="W839" s="1040" t="e">
        <f t="shared" si="111"/>
        <v>#DIV/0!</v>
      </c>
      <c r="X839" s="1040" t="e">
        <f t="shared" si="111"/>
        <v>#DIV/0!</v>
      </c>
      <c r="Y839" s="1040" t="e">
        <f t="shared" si="111"/>
        <v>#DIV/0!</v>
      </c>
      <c r="Z839" s="1040" t="e">
        <f t="shared" si="111"/>
        <v>#DIV/0!</v>
      </c>
      <c r="AA839" s="1040" t="e">
        <f t="shared" si="111"/>
        <v>#DIV/0!</v>
      </c>
      <c r="AB839" s="1040" t="e">
        <f t="shared" si="111"/>
        <v>#DIV/0!</v>
      </c>
      <c r="AC839" s="1040" t="e">
        <f t="shared" si="111"/>
        <v>#DIV/0!</v>
      </c>
      <c r="AD839" s="1040" t="e">
        <f t="shared" si="111"/>
        <v>#DIV/0!</v>
      </c>
      <c r="AE839" s="1040" t="e">
        <f t="shared" si="111"/>
        <v>#DIV/0!</v>
      </c>
      <c r="AF839" s="1040" t="e">
        <f t="shared" si="111"/>
        <v>#DIV/0!</v>
      </c>
      <c r="AG839" s="1040" t="e">
        <f t="shared" si="111"/>
        <v>#DIV/0!</v>
      </c>
      <c r="AH839" s="1040" t="e">
        <f t="shared" si="111"/>
        <v>#DIV/0!</v>
      </c>
      <c r="AI839" s="1040" t="e">
        <f t="shared" si="111"/>
        <v>#DIV/0!</v>
      </c>
      <c r="AJ839" s="1040" t="e">
        <f t="shared" si="111"/>
        <v>#DIV/0!</v>
      </c>
      <c r="AK839" s="1040" t="e">
        <f t="shared" si="111"/>
        <v>#DIV/0!</v>
      </c>
      <c r="AL839" s="1040" t="e">
        <f t="shared" si="111"/>
        <v>#DIV/0!</v>
      </c>
      <c r="AM839" s="1040" t="e">
        <f t="shared" si="111"/>
        <v>#DIV/0!</v>
      </c>
      <c r="AN839" s="1040" t="e">
        <f t="shared" si="111"/>
        <v>#DIV/0!</v>
      </c>
      <c r="AO839" s="1040" t="e">
        <f t="shared" si="111"/>
        <v>#DIV/0!</v>
      </c>
      <c r="AP839" s="1040" t="e">
        <f t="shared" si="111"/>
        <v>#DIV/0!</v>
      </c>
      <c r="AQ839" s="1040" t="e">
        <f t="shared" si="111"/>
        <v>#DIV/0!</v>
      </c>
      <c r="AR839" s="1040" t="e">
        <f t="shared" si="111"/>
        <v>#DIV/0!</v>
      </c>
      <c r="AS839" s="1040" t="e">
        <f t="shared" ref="AS839:AY839" si="112">IF(AS39="",0,IF(OR(1=RANK(AS439,AS$412:AS$790,0),(2=RANK(AS439,AS$412:AS$790,0))),AS439,AS39))</f>
        <v>#DIV/0!</v>
      </c>
      <c r="AT839" s="1040" t="e">
        <f t="shared" si="112"/>
        <v>#DIV/0!</v>
      </c>
      <c r="AU839" s="1040">
        <f t="shared" si="112"/>
        <v>0</v>
      </c>
      <c r="AV839" s="1040" t="e">
        <f t="shared" si="112"/>
        <v>#DIV/0!</v>
      </c>
      <c r="AW839" s="1040" t="e">
        <f t="shared" si="112"/>
        <v>#DIV/0!</v>
      </c>
      <c r="AX839" s="1040" t="e">
        <f t="shared" si="112"/>
        <v>#DIV/0!</v>
      </c>
      <c r="AY839" s="1040" t="e">
        <f t="shared" si="112"/>
        <v>#DIV/0!</v>
      </c>
      <c r="AZ839" s="1061" t="s">
        <v>21</v>
      </c>
      <c r="BC839" s="29"/>
      <c r="BD839" s="29"/>
      <c r="BE839" s="13"/>
      <c r="BL839" s="368"/>
    </row>
    <row r="840" spans="1:64" ht="12" customHeight="1" x14ac:dyDescent="0.2">
      <c r="A840" s="515">
        <f>acute_overview_children!A40</f>
        <v>2</v>
      </c>
      <c r="B840" s="131">
        <f t="shared" si="55"/>
        <v>140000</v>
      </c>
      <c r="C840" s="131" t="str">
        <f t="shared" si="56"/>
        <v>Stone fruit</v>
      </c>
      <c r="D840" s="1035"/>
      <c r="E840" s="1027"/>
      <c r="F840" s="87"/>
      <c r="G840" s="87"/>
      <c r="H840" s="1027"/>
      <c r="I840" s="1030"/>
      <c r="J840" s="1037" t="e">
        <f t="shared" ref="J840:AR840" si="113">IF(J40="",0,IF(OR(1=RANK(J440,J$412:J$790,0),(2=RANK(J440,J$412:J$790,0))),J440,J40))</f>
        <v>#DIV/0!</v>
      </c>
      <c r="K840" s="1038" t="e">
        <f t="shared" si="113"/>
        <v>#DIV/0!</v>
      </c>
      <c r="L840" s="1038" t="e">
        <f t="shared" si="113"/>
        <v>#DIV/0!</v>
      </c>
      <c r="M840" s="1038" t="e">
        <f t="shared" si="113"/>
        <v>#DIV/0!</v>
      </c>
      <c r="N840" s="1038" t="e">
        <f t="shared" si="113"/>
        <v>#DIV/0!</v>
      </c>
      <c r="O840" s="1038" t="e">
        <f t="shared" si="113"/>
        <v>#DIV/0!</v>
      </c>
      <c r="P840" s="1038" t="e">
        <f t="shared" si="113"/>
        <v>#DIV/0!</v>
      </c>
      <c r="Q840" s="1038" t="e">
        <f t="shared" si="113"/>
        <v>#DIV/0!</v>
      </c>
      <c r="R840" s="1038" t="e">
        <f t="shared" si="113"/>
        <v>#DIV/0!</v>
      </c>
      <c r="S840" s="1038" t="e">
        <f t="shared" si="113"/>
        <v>#DIV/0!</v>
      </c>
      <c r="T840" s="1038" t="e">
        <f t="shared" si="113"/>
        <v>#DIV/0!</v>
      </c>
      <c r="U840" s="1038" t="e">
        <f t="shared" si="113"/>
        <v>#DIV/0!</v>
      </c>
      <c r="V840" s="1038" t="e">
        <f t="shared" si="113"/>
        <v>#DIV/0!</v>
      </c>
      <c r="W840" s="1038" t="e">
        <f t="shared" si="113"/>
        <v>#DIV/0!</v>
      </c>
      <c r="X840" s="1038" t="e">
        <f t="shared" si="113"/>
        <v>#DIV/0!</v>
      </c>
      <c r="Y840" s="1038" t="e">
        <f t="shared" si="113"/>
        <v>#DIV/0!</v>
      </c>
      <c r="Z840" s="1038" t="e">
        <f t="shared" si="113"/>
        <v>#DIV/0!</v>
      </c>
      <c r="AA840" s="1038" t="e">
        <f t="shared" si="113"/>
        <v>#DIV/0!</v>
      </c>
      <c r="AB840" s="1038" t="e">
        <f t="shared" si="113"/>
        <v>#DIV/0!</v>
      </c>
      <c r="AC840" s="1038" t="e">
        <f t="shared" si="113"/>
        <v>#DIV/0!</v>
      </c>
      <c r="AD840" s="1038" t="e">
        <f t="shared" si="113"/>
        <v>#DIV/0!</v>
      </c>
      <c r="AE840" s="1038" t="e">
        <f t="shared" si="113"/>
        <v>#DIV/0!</v>
      </c>
      <c r="AF840" s="1038" t="e">
        <f t="shared" si="113"/>
        <v>#DIV/0!</v>
      </c>
      <c r="AG840" s="1038" t="e">
        <f t="shared" si="113"/>
        <v>#DIV/0!</v>
      </c>
      <c r="AH840" s="1038" t="e">
        <f t="shared" si="113"/>
        <v>#DIV/0!</v>
      </c>
      <c r="AI840" s="1038" t="e">
        <f t="shared" si="113"/>
        <v>#DIV/0!</v>
      </c>
      <c r="AJ840" s="1038" t="e">
        <f t="shared" si="113"/>
        <v>#DIV/0!</v>
      </c>
      <c r="AK840" s="1038" t="e">
        <f t="shared" si="113"/>
        <v>#DIV/0!</v>
      </c>
      <c r="AL840" s="1038" t="e">
        <f t="shared" si="113"/>
        <v>#DIV/0!</v>
      </c>
      <c r="AM840" s="1038" t="e">
        <f t="shared" si="113"/>
        <v>#DIV/0!</v>
      </c>
      <c r="AN840" s="1038" t="e">
        <f t="shared" si="113"/>
        <v>#DIV/0!</v>
      </c>
      <c r="AO840" s="1038" t="e">
        <f t="shared" si="113"/>
        <v>#DIV/0!</v>
      </c>
      <c r="AP840" s="1038" t="e">
        <f t="shared" si="113"/>
        <v>#DIV/0!</v>
      </c>
      <c r="AQ840" s="1038" t="e">
        <f t="shared" si="113"/>
        <v>#DIV/0!</v>
      </c>
      <c r="AR840" s="1038" t="e">
        <f t="shared" si="113"/>
        <v>#DIV/0!</v>
      </c>
      <c r="AS840" s="1038" t="e">
        <f t="shared" ref="AS840:AY840" si="114">IF(AS40="",0,IF(OR(1=RANK(AS440,AS$412:AS$790,0),(2=RANK(AS440,AS$412:AS$790,0))),AS440,AS40))</f>
        <v>#DIV/0!</v>
      </c>
      <c r="AT840" s="1038" t="e">
        <f t="shared" si="114"/>
        <v>#DIV/0!</v>
      </c>
      <c r="AU840" s="1038">
        <f t="shared" si="114"/>
        <v>0</v>
      </c>
      <c r="AV840" s="1038" t="e">
        <f t="shared" si="114"/>
        <v>#DIV/0!</v>
      </c>
      <c r="AW840" s="1038" t="e">
        <f t="shared" si="114"/>
        <v>#DIV/0!</v>
      </c>
      <c r="AX840" s="1038" t="e">
        <f t="shared" si="114"/>
        <v>#DIV/0!</v>
      </c>
      <c r="AY840" s="1038" t="e">
        <f t="shared" si="114"/>
        <v>#DIV/0!</v>
      </c>
      <c r="AZ840" s="1061" t="s">
        <v>21</v>
      </c>
      <c r="BC840" s="29"/>
      <c r="BD840" s="29"/>
      <c r="BE840" s="13"/>
      <c r="BL840" s="368"/>
    </row>
    <row r="841" spans="1:64" ht="12" customHeight="1" x14ac:dyDescent="0.2">
      <c r="A841" s="39">
        <f>acute_overview_children!A41</f>
        <v>4</v>
      </c>
      <c r="B841" s="23">
        <f t="shared" si="55"/>
        <v>140010</v>
      </c>
      <c r="C841" s="23" t="str">
        <f t="shared" si="56"/>
        <v>Apricots</v>
      </c>
      <c r="D841" s="135"/>
      <c r="E841" s="1027"/>
      <c r="F841" s="87"/>
      <c r="G841" s="87"/>
      <c r="H841" s="1027"/>
      <c r="I841" s="1030"/>
      <c r="J841" s="1039" t="e">
        <f t="shared" ref="J841:AR841" si="115">IF(J41="",0,IF(OR(1=RANK(J441,J$412:J$790,0),(2=RANK(J441,J$412:J$790,0))),J441,J41))</f>
        <v>#DIV/0!</v>
      </c>
      <c r="K841" s="1040" t="e">
        <f t="shared" si="115"/>
        <v>#DIV/0!</v>
      </c>
      <c r="L841" s="1040" t="e">
        <f t="shared" si="115"/>
        <v>#DIV/0!</v>
      </c>
      <c r="M841" s="1040" t="e">
        <f t="shared" si="115"/>
        <v>#DIV/0!</v>
      </c>
      <c r="N841" s="1040" t="e">
        <f t="shared" si="115"/>
        <v>#DIV/0!</v>
      </c>
      <c r="O841" s="1040" t="e">
        <f t="shared" si="115"/>
        <v>#DIV/0!</v>
      </c>
      <c r="P841" s="1040" t="e">
        <f t="shared" si="115"/>
        <v>#DIV/0!</v>
      </c>
      <c r="Q841" s="1040" t="e">
        <f t="shared" si="115"/>
        <v>#DIV/0!</v>
      </c>
      <c r="R841" s="1040" t="e">
        <f t="shared" si="115"/>
        <v>#DIV/0!</v>
      </c>
      <c r="S841" s="1040" t="e">
        <f t="shared" si="115"/>
        <v>#DIV/0!</v>
      </c>
      <c r="T841" s="1040" t="e">
        <f t="shared" si="115"/>
        <v>#DIV/0!</v>
      </c>
      <c r="U841" s="1040" t="e">
        <f t="shared" si="115"/>
        <v>#DIV/0!</v>
      </c>
      <c r="V841" s="1040" t="e">
        <f t="shared" si="115"/>
        <v>#DIV/0!</v>
      </c>
      <c r="W841" s="1040" t="e">
        <f t="shared" si="115"/>
        <v>#DIV/0!</v>
      </c>
      <c r="X841" s="1040" t="e">
        <f t="shared" si="115"/>
        <v>#DIV/0!</v>
      </c>
      <c r="Y841" s="1040" t="e">
        <f t="shared" si="115"/>
        <v>#DIV/0!</v>
      </c>
      <c r="Z841" s="1040" t="e">
        <f t="shared" si="115"/>
        <v>#DIV/0!</v>
      </c>
      <c r="AA841" s="1040" t="e">
        <f t="shared" si="115"/>
        <v>#DIV/0!</v>
      </c>
      <c r="AB841" s="1040" t="e">
        <f t="shared" si="115"/>
        <v>#DIV/0!</v>
      </c>
      <c r="AC841" s="1040" t="e">
        <f t="shared" si="115"/>
        <v>#DIV/0!</v>
      </c>
      <c r="AD841" s="1040" t="e">
        <f t="shared" si="115"/>
        <v>#DIV/0!</v>
      </c>
      <c r="AE841" s="1040" t="e">
        <f t="shared" si="115"/>
        <v>#DIV/0!</v>
      </c>
      <c r="AF841" s="1040" t="e">
        <f t="shared" si="115"/>
        <v>#DIV/0!</v>
      </c>
      <c r="AG841" s="1040" t="e">
        <f t="shared" si="115"/>
        <v>#DIV/0!</v>
      </c>
      <c r="AH841" s="1040" t="e">
        <f t="shared" si="115"/>
        <v>#DIV/0!</v>
      </c>
      <c r="AI841" s="1040" t="e">
        <f t="shared" si="115"/>
        <v>#DIV/0!</v>
      </c>
      <c r="AJ841" s="1040" t="e">
        <f t="shared" si="115"/>
        <v>#DIV/0!</v>
      </c>
      <c r="AK841" s="1040" t="e">
        <f t="shared" si="115"/>
        <v>#DIV/0!</v>
      </c>
      <c r="AL841" s="1040" t="e">
        <f t="shared" si="115"/>
        <v>#DIV/0!</v>
      </c>
      <c r="AM841" s="1040" t="e">
        <f t="shared" si="115"/>
        <v>#DIV/0!</v>
      </c>
      <c r="AN841" s="1040" t="e">
        <f t="shared" si="115"/>
        <v>#DIV/0!</v>
      </c>
      <c r="AO841" s="1040" t="e">
        <f t="shared" si="115"/>
        <v>#DIV/0!</v>
      </c>
      <c r="AP841" s="1040" t="e">
        <f t="shared" si="115"/>
        <v>#DIV/0!</v>
      </c>
      <c r="AQ841" s="1040" t="e">
        <f t="shared" si="115"/>
        <v>#DIV/0!</v>
      </c>
      <c r="AR841" s="1040" t="e">
        <f t="shared" si="115"/>
        <v>#DIV/0!</v>
      </c>
      <c r="AS841" s="1040" t="e">
        <f t="shared" ref="AS841:AY841" si="116">IF(AS41="",0,IF(OR(1=RANK(AS441,AS$412:AS$790,0),(2=RANK(AS441,AS$412:AS$790,0))),AS441,AS41))</f>
        <v>#DIV/0!</v>
      </c>
      <c r="AT841" s="1040" t="e">
        <f t="shared" si="116"/>
        <v>#DIV/0!</v>
      </c>
      <c r="AU841" s="1040">
        <f t="shared" si="116"/>
        <v>0</v>
      </c>
      <c r="AV841" s="1040" t="e">
        <f t="shared" si="116"/>
        <v>#DIV/0!</v>
      </c>
      <c r="AW841" s="1040" t="e">
        <f t="shared" si="116"/>
        <v>#DIV/0!</v>
      </c>
      <c r="AX841" s="1040" t="e">
        <f t="shared" si="116"/>
        <v>#DIV/0!</v>
      </c>
      <c r="AY841" s="1040" t="e">
        <f t="shared" si="116"/>
        <v>#DIV/0!</v>
      </c>
      <c r="AZ841" s="1061" t="s">
        <v>21</v>
      </c>
      <c r="BC841" s="29"/>
      <c r="BD841" s="29"/>
      <c r="BE841" s="13"/>
      <c r="BL841" s="368"/>
    </row>
    <row r="842" spans="1:64" ht="12" customHeight="1" x14ac:dyDescent="0.2">
      <c r="A842" s="39">
        <f>acute_overview_children!A42</f>
        <v>4</v>
      </c>
      <c r="B842" s="23">
        <f t="shared" si="55"/>
        <v>140020</v>
      </c>
      <c r="C842" s="23" t="str">
        <f t="shared" si="56"/>
        <v>Cherries (sweet)</v>
      </c>
      <c r="D842" s="135"/>
      <c r="E842" s="1027"/>
      <c r="F842" s="87"/>
      <c r="G842" s="87"/>
      <c r="H842" s="1027"/>
      <c r="I842" s="1030"/>
      <c r="J842" s="1039" t="e">
        <f t="shared" ref="J842:AR842" si="117">IF(J42="",0,IF(OR(1=RANK(J442,J$412:J$790,0),(2=RANK(J442,J$412:J$790,0))),J442,J42))</f>
        <v>#DIV/0!</v>
      </c>
      <c r="K842" s="1040" t="e">
        <f t="shared" si="117"/>
        <v>#DIV/0!</v>
      </c>
      <c r="L842" s="1040" t="e">
        <f t="shared" si="117"/>
        <v>#DIV/0!</v>
      </c>
      <c r="M842" s="1040" t="e">
        <f t="shared" si="117"/>
        <v>#DIV/0!</v>
      </c>
      <c r="N842" s="1040" t="e">
        <f t="shared" si="117"/>
        <v>#DIV/0!</v>
      </c>
      <c r="O842" s="1040" t="e">
        <f t="shared" si="117"/>
        <v>#DIV/0!</v>
      </c>
      <c r="P842" s="1040" t="e">
        <f t="shared" si="117"/>
        <v>#DIV/0!</v>
      </c>
      <c r="Q842" s="1040" t="e">
        <f t="shared" si="117"/>
        <v>#DIV/0!</v>
      </c>
      <c r="R842" s="1040" t="e">
        <f t="shared" si="117"/>
        <v>#DIV/0!</v>
      </c>
      <c r="S842" s="1040" t="e">
        <f t="shared" si="117"/>
        <v>#DIV/0!</v>
      </c>
      <c r="T842" s="1040" t="e">
        <f t="shared" si="117"/>
        <v>#DIV/0!</v>
      </c>
      <c r="U842" s="1040" t="e">
        <f t="shared" si="117"/>
        <v>#DIV/0!</v>
      </c>
      <c r="V842" s="1040" t="e">
        <f t="shared" si="117"/>
        <v>#DIV/0!</v>
      </c>
      <c r="W842" s="1040" t="e">
        <f t="shared" si="117"/>
        <v>#DIV/0!</v>
      </c>
      <c r="X842" s="1040" t="e">
        <f t="shared" si="117"/>
        <v>#DIV/0!</v>
      </c>
      <c r="Y842" s="1040" t="e">
        <f t="shared" si="117"/>
        <v>#DIV/0!</v>
      </c>
      <c r="Z842" s="1040" t="e">
        <f t="shared" si="117"/>
        <v>#DIV/0!</v>
      </c>
      <c r="AA842" s="1040" t="e">
        <f t="shared" si="117"/>
        <v>#DIV/0!</v>
      </c>
      <c r="AB842" s="1040" t="e">
        <f t="shared" si="117"/>
        <v>#DIV/0!</v>
      </c>
      <c r="AC842" s="1040" t="e">
        <f t="shared" si="117"/>
        <v>#DIV/0!</v>
      </c>
      <c r="AD842" s="1040" t="e">
        <f t="shared" si="117"/>
        <v>#DIV/0!</v>
      </c>
      <c r="AE842" s="1040" t="e">
        <f t="shared" si="117"/>
        <v>#DIV/0!</v>
      </c>
      <c r="AF842" s="1040" t="e">
        <f t="shared" si="117"/>
        <v>#DIV/0!</v>
      </c>
      <c r="AG842" s="1040" t="e">
        <f t="shared" si="117"/>
        <v>#DIV/0!</v>
      </c>
      <c r="AH842" s="1040" t="e">
        <f t="shared" si="117"/>
        <v>#DIV/0!</v>
      </c>
      <c r="AI842" s="1040" t="e">
        <f t="shared" si="117"/>
        <v>#DIV/0!</v>
      </c>
      <c r="AJ842" s="1040" t="e">
        <f t="shared" si="117"/>
        <v>#DIV/0!</v>
      </c>
      <c r="AK842" s="1040" t="e">
        <f t="shared" si="117"/>
        <v>#DIV/0!</v>
      </c>
      <c r="AL842" s="1040" t="e">
        <f t="shared" si="117"/>
        <v>#DIV/0!</v>
      </c>
      <c r="AM842" s="1040" t="e">
        <f t="shared" si="117"/>
        <v>#DIV/0!</v>
      </c>
      <c r="AN842" s="1040" t="e">
        <f t="shared" si="117"/>
        <v>#DIV/0!</v>
      </c>
      <c r="AO842" s="1040" t="e">
        <f t="shared" si="117"/>
        <v>#DIV/0!</v>
      </c>
      <c r="AP842" s="1040" t="e">
        <f t="shared" si="117"/>
        <v>#DIV/0!</v>
      </c>
      <c r="AQ842" s="1040" t="e">
        <f t="shared" si="117"/>
        <v>#DIV/0!</v>
      </c>
      <c r="AR842" s="1040" t="e">
        <f t="shared" si="117"/>
        <v>#DIV/0!</v>
      </c>
      <c r="AS842" s="1040" t="e">
        <f t="shared" ref="AS842:AY842" si="118">IF(AS42="",0,IF(OR(1=RANK(AS442,AS$412:AS$790,0),(2=RANK(AS442,AS$412:AS$790,0))),AS442,AS42))</f>
        <v>#DIV/0!</v>
      </c>
      <c r="AT842" s="1040" t="e">
        <f t="shared" si="118"/>
        <v>#DIV/0!</v>
      </c>
      <c r="AU842" s="1040">
        <f t="shared" si="118"/>
        <v>0</v>
      </c>
      <c r="AV842" s="1040" t="e">
        <f t="shared" si="118"/>
        <v>#DIV/0!</v>
      </c>
      <c r="AW842" s="1040" t="e">
        <f t="shared" si="118"/>
        <v>#DIV/0!</v>
      </c>
      <c r="AX842" s="1040" t="e">
        <f t="shared" si="118"/>
        <v>#DIV/0!</v>
      </c>
      <c r="AY842" s="1040" t="e">
        <f t="shared" si="118"/>
        <v>#DIV/0!</v>
      </c>
      <c r="AZ842" s="1061" t="s">
        <v>21</v>
      </c>
      <c r="BC842" s="29"/>
      <c r="BD842" s="29"/>
      <c r="BE842" s="13"/>
      <c r="BL842" s="368"/>
    </row>
    <row r="843" spans="1:64" ht="12" customHeight="1" x14ac:dyDescent="0.2">
      <c r="A843" s="39">
        <f>acute_overview_children!A43</f>
        <v>4</v>
      </c>
      <c r="B843" s="23">
        <f t="shared" si="55"/>
        <v>140030</v>
      </c>
      <c r="C843" s="23" t="str">
        <f t="shared" si="56"/>
        <v>Peaches</v>
      </c>
      <c r="D843" s="135"/>
      <c r="E843" s="1027"/>
      <c r="F843" s="87"/>
      <c r="G843" s="87"/>
      <c r="H843" s="1027"/>
      <c r="I843" s="1030"/>
      <c r="J843" s="1039" t="e">
        <f t="shared" ref="J843:AR843" si="119">IF(J43="",0,IF(OR(1=RANK(J443,J$412:J$790,0),(2=RANK(J443,J$412:J$790,0))),J443,J43))</f>
        <v>#DIV/0!</v>
      </c>
      <c r="K843" s="1040" t="e">
        <f t="shared" si="119"/>
        <v>#DIV/0!</v>
      </c>
      <c r="L843" s="1040" t="e">
        <f t="shared" si="119"/>
        <v>#DIV/0!</v>
      </c>
      <c r="M843" s="1040" t="e">
        <f t="shared" si="119"/>
        <v>#DIV/0!</v>
      </c>
      <c r="N843" s="1040" t="e">
        <f t="shared" si="119"/>
        <v>#DIV/0!</v>
      </c>
      <c r="O843" s="1040" t="e">
        <f t="shared" si="119"/>
        <v>#DIV/0!</v>
      </c>
      <c r="P843" s="1040" t="e">
        <f t="shared" si="119"/>
        <v>#DIV/0!</v>
      </c>
      <c r="Q843" s="1040" t="e">
        <f t="shared" si="119"/>
        <v>#DIV/0!</v>
      </c>
      <c r="R843" s="1040" t="e">
        <f t="shared" si="119"/>
        <v>#DIV/0!</v>
      </c>
      <c r="S843" s="1040" t="e">
        <f t="shared" si="119"/>
        <v>#DIV/0!</v>
      </c>
      <c r="T843" s="1040" t="e">
        <f t="shared" si="119"/>
        <v>#DIV/0!</v>
      </c>
      <c r="U843" s="1040" t="e">
        <f t="shared" si="119"/>
        <v>#DIV/0!</v>
      </c>
      <c r="V843" s="1040" t="e">
        <f t="shared" si="119"/>
        <v>#DIV/0!</v>
      </c>
      <c r="W843" s="1040" t="e">
        <f t="shared" si="119"/>
        <v>#DIV/0!</v>
      </c>
      <c r="X843" s="1040" t="e">
        <f t="shared" si="119"/>
        <v>#DIV/0!</v>
      </c>
      <c r="Y843" s="1040" t="e">
        <f t="shared" si="119"/>
        <v>#DIV/0!</v>
      </c>
      <c r="Z843" s="1040" t="e">
        <f t="shared" si="119"/>
        <v>#DIV/0!</v>
      </c>
      <c r="AA843" s="1040" t="e">
        <f t="shared" si="119"/>
        <v>#DIV/0!</v>
      </c>
      <c r="AB843" s="1040" t="e">
        <f t="shared" si="119"/>
        <v>#DIV/0!</v>
      </c>
      <c r="AC843" s="1040" t="e">
        <f t="shared" si="119"/>
        <v>#DIV/0!</v>
      </c>
      <c r="AD843" s="1040" t="e">
        <f t="shared" si="119"/>
        <v>#DIV/0!</v>
      </c>
      <c r="AE843" s="1040" t="e">
        <f t="shared" si="119"/>
        <v>#DIV/0!</v>
      </c>
      <c r="AF843" s="1040" t="e">
        <f t="shared" si="119"/>
        <v>#DIV/0!</v>
      </c>
      <c r="AG843" s="1040" t="e">
        <f t="shared" si="119"/>
        <v>#DIV/0!</v>
      </c>
      <c r="AH843" s="1040" t="e">
        <f t="shared" si="119"/>
        <v>#DIV/0!</v>
      </c>
      <c r="AI843" s="1040" t="e">
        <f t="shared" si="119"/>
        <v>#DIV/0!</v>
      </c>
      <c r="AJ843" s="1040" t="e">
        <f t="shared" si="119"/>
        <v>#DIV/0!</v>
      </c>
      <c r="AK843" s="1040" t="e">
        <f t="shared" si="119"/>
        <v>#DIV/0!</v>
      </c>
      <c r="AL843" s="1040" t="e">
        <f t="shared" si="119"/>
        <v>#DIV/0!</v>
      </c>
      <c r="AM843" s="1040" t="e">
        <f t="shared" si="119"/>
        <v>#DIV/0!</v>
      </c>
      <c r="AN843" s="1040" t="e">
        <f t="shared" si="119"/>
        <v>#DIV/0!</v>
      </c>
      <c r="AO843" s="1040" t="e">
        <f t="shared" si="119"/>
        <v>#DIV/0!</v>
      </c>
      <c r="AP843" s="1040" t="e">
        <f t="shared" si="119"/>
        <v>#DIV/0!</v>
      </c>
      <c r="AQ843" s="1040" t="e">
        <f t="shared" si="119"/>
        <v>#DIV/0!</v>
      </c>
      <c r="AR843" s="1040" t="e">
        <f t="shared" si="119"/>
        <v>#DIV/0!</v>
      </c>
      <c r="AS843" s="1040" t="e">
        <f t="shared" ref="AS843:AY843" si="120">IF(AS43="",0,IF(OR(1=RANK(AS443,AS$412:AS$790,0),(2=RANK(AS443,AS$412:AS$790,0))),AS443,AS43))</f>
        <v>#DIV/0!</v>
      </c>
      <c r="AT843" s="1040" t="e">
        <f t="shared" si="120"/>
        <v>#DIV/0!</v>
      </c>
      <c r="AU843" s="1040">
        <f t="shared" si="120"/>
        <v>0</v>
      </c>
      <c r="AV843" s="1040" t="e">
        <f t="shared" si="120"/>
        <v>#DIV/0!</v>
      </c>
      <c r="AW843" s="1040" t="e">
        <f t="shared" si="120"/>
        <v>#DIV/0!</v>
      </c>
      <c r="AX843" s="1040" t="e">
        <f t="shared" si="120"/>
        <v>#DIV/0!</v>
      </c>
      <c r="AY843" s="1040" t="e">
        <f t="shared" si="120"/>
        <v>#DIV/0!</v>
      </c>
      <c r="AZ843" s="1061" t="s">
        <v>21</v>
      </c>
      <c r="BC843" s="29"/>
      <c r="BD843" s="29"/>
      <c r="BE843" s="13"/>
      <c r="BL843" s="368"/>
    </row>
    <row r="844" spans="1:64" ht="12" customHeight="1" x14ac:dyDescent="0.2">
      <c r="A844" s="39">
        <f>acute_overview_children!A44</f>
        <v>4</v>
      </c>
      <c r="B844" s="23">
        <f t="shared" si="55"/>
        <v>140040</v>
      </c>
      <c r="C844" s="23" t="str">
        <f t="shared" si="56"/>
        <v>Plums</v>
      </c>
      <c r="D844" s="135"/>
      <c r="E844" s="1027"/>
      <c r="F844" s="87"/>
      <c r="G844" s="87"/>
      <c r="H844" s="1027"/>
      <c r="I844" s="1030"/>
      <c r="J844" s="1039" t="e">
        <f t="shared" ref="J844:AR844" si="121">IF(J44="",0,IF(OR(1=RANK(J444,J$412:J$790,0),(2=RANK(J444,J$412:J$790,0))),J444,J44))</f>
        <v>#DIV/0!</v>
      </c>
      <c r="K844" s="1040" t="e">
        <f t="shared" si="121"/>
        <v>#DIV/0!</v>
      </c>
      <c r="L844" s="1040" t="e">
        <f t="shared" si="121"/>
        <v>#DIV/0!</v>
      </c>
      <c r="M844" s="1040" t="e">
        <f t="shared" si="121"/>
        <v>#DIV/0!</v>
      </c>
      <c r="N844" s="1040" t="e">
        <f t="shared" si="121"/>
        <v>#DIV/0!</v>
      </c>
      <c r="O844" s="1040" t="e">
        <f t="shared" si="121"/>
        <v>#DIV/0!</v>
      </c>
      <c r="P844" s="1040" t="e">
        <f t="shared" si="121"/>
        <v>#DIV/0!</v>
      </c>
      <c r="Q844" s="1040" t="e">
        <f t="shared" si="121"/>
        <v>#DIV/0!</v>
      </c>
      <c r="R844" s="1040" t="e">
        <f t="shared" si="121"/>
        <v>#DIV/0!</v>
      </c>
      <c r="S844" s="1040" t="e">
        <f t="shared" si="121"/>
        <v>#DIV/0!</v>
      </c>
      <c r="T844" s="1040" t="e">
        <f t="shared" si="121"/>
        <v>#DIV/0!</v>
      </c>
      <c r="U844" s="1040" t="e">
        <f t="shared" si="121"/>
        <v>#DIV/0!</v>
      </c>
      <c r="V844" s="1040" t="e">
        <f t="shared" si="121"/>
        <v>#DIV/0!</v>
      </c>
      <c r="W844" s="1040" t="e">
        <f t="shared" si="121"/>
        <v>#DIV/0!</v>
      </c>
      <c r="X844" s="1040" t="e">
        <f t="shared" si="121"/>
        <v>#DIV/0!</v>
      </c>
      <c r="Y844" s="1040" t="e">
        <f t="shared" si="121"/>
        <v>#DIV/0!</v>
      </c>
      <c r="Z844" s="1040" t="e">
        <f t="shared" si="121"/>
        <v>#DIV/0!</v>
      </c>
      <c r="AA844" s="1040" t="e">
        <f t="shared" si="121"/>
        <v>#DIV/0!</v>
      </c>
      <c r="AB844" s="1040" t="e">
        <f t="shared" si="121"/>
        <v>#DIV/0!</v>
      </c>
      <c r="AC844" s="1040" t="e">
        <f t="shared" si="121"/>
        <v>#DIV/0!</v>
      </c>
      <c r="AD844" s="1040" t="e">
        <f t="shared" si="121"/>
        <v>#DIV/0!</v>
      </c>
      <c r="AE844" s="1040" t="e">
        <f t="shared" si="121"/>
        <v>#DIV/0!</v>
      </c>
      <c r="AF844" s="1040" t="e">
        <f t="shared" si="121"/>
        <v>#DIV/0!</v>
      </c>
      <c r="AG844" s="1040" t="e">
        <f t="shared" si="121"/>
        <v>#DIV/0!</v>
      </c>
      <c r="AH844" s="1040" t="e">
        <f t="shared" si="121"/>
        <v>#DIV/0!</v>
      </c>
      <c r="AI844" s="1040" t="e">
        <f t="shared" si="121"/>
        <v>#DIV/0!</v>
      </c>
      <c r="AJ844" s="1040" t="e">
        <f t="shared" si="121"/>
        <v>#DIV/0!</v>
      </c>
      <c r="AK844" s="1040" t="e">
        <f t="shared" si="121"/>
        <v>#DIV/0!</v>
      </c>
      <c r="AL844" s="1040" t="e">
        <f t="shared" si="121"/>
        <v>#DIV/0!</v>
      </c>
      <c r="AM844" s="1040" t="e">
        <f t="shared" si="121"/>
        <v>#DIV/0!</v>
      </c>
      <c r="AN844" s="1040" t="e">
        <f t="shared" si="121"/>
        <v>#DIV/0!</v>
      </c>
      <c r="AO844" s="1040" t="e">
        <f t="shared" si="121"/>
        <v>#DIV/0!</v>
      </c>
      <c r="AP844" s="1040" t="e">
        <f t="shared" si="121"/>
        <v>#DIV/0!</v>
      </c>
      <c r="AQ844" s="1040" t="e">
        <f t="shared" si="121"/>
        <v>#DIV/0!</v>
      </c>
      <c r="AR844" s="1040" t="e">
        <f t="shared" si="121"/>
        <v>#DIV/0!</v>
      </c>
      <c r="AS844" s="1040" t="e">
        <f t="shared" ref="AS844:AY844" si="122">IF(AS44="",0,IF(OR(1=RANK(AS444,AS$412:AS$790,0),(2=RANK(AS444,AS$412:AS$790,0))),AS444,AS44))</f>
        <v>#DIV/0!</v>
      </c>
      <c r="AT844" s="1040" t="e">
        <f t="shared" si="122"/>
        <v>#DIV/0!</v>
      </c>
      <c r="AU844" s="1040">
        <f t="shared" si="122"/>
        <v>0</v>
      </c>
      <c r="AV844" s="1040" t="e">
        <f t="shared" si="122"/>
        <v>#DIV/0!</v>
      </c>
      <c r="AW844" s="1040" t="e">
        <f t="shared" si="122"/>
        <v>#DIV/0!</v>
      </c>
      <c r="AX844" s="1040" t="e">
        <f t="shared" si="122"/>
        <v>#DIV/0!</v>
      </c>
      <c r="AY844" s="1040" t="e">
        <f t="shared" si="122"/>
        <v>#DIV/0!</v>
      </c>
      <c r="AZ844" s="1061" t="s">
        <v>21</v>
      </c>
      <c r="BC844" s="29"/>
      <c r="BD844" s="29"/>
      <c r="BE844" s="13"/>
      <c r="BL844" s="368"/>
    </row>
    <row r="845" spans="1:64" ht="12" customHeight="1" x14ac:dyDescent="0.2">
      <c r="A845" s="39">
        <f>acute_overview_children!A45</f>
        <v>4</v>
      </c>
      <c r="B845" s="23">
        <f t="shared" si="55"/>
        <v>140990</v>
      </c>
      <c r="C845" s="23" t="str">
        <f t="shared" si="56"/>
        <v>Other stone fruit</v>
      </c>
      <c r="D845" s="135"/>
      <c r="E845" s="1027"/>
      <c r="F845" s="87"/>
      <c r="G845" s="87"/>
      <c r="H845" s="1027"/>
      <c r="I845" s="1030"/>
      <c r="J845" s="1039" t="e">
        <f t="shared" ref="J845:AR845" si="123">IF(J45="",0,IF(OR(1=RANK(J445,J$412:J$790,0),(2=RANK(J445,J$412:J$790,0))),J445,J45))</f>
        <v>#DIV/0!</v>
      </c>
      <c r="K845" s="1040" t="e">
        <f t="shared" si="123"/>
        <v>#DIV/0!</v>
      </c>
      <c r="L845" s="1040" t="e">
        <f t="shared" si="123"/>
        <v>#DIV/0!</v>
      </c>
      <c r="M845" s="1040" t="e">
        <f t="shared" si="123"/>
        <v>#DIV/0!</v>
      </c>
      <c r="N845" s="1040" t="e">
        <f t="shared" si="123"/>
        <v>#DIV/0!</v>
      </c>
      <c r="O845" s="1040" t="e">
        <f t="shared" si="123"/>
        <v>#DIV/0!</v>
      </c>
      <c r="P845" s="1040" t="e">
        <f t="shared" si="123"/>
        <v>#DIV/0!</v>
      </c>
      <c r="Q845" s="1040" t="e">
        <f t="shared" si="123"/>
        <v>#DIV/0!</v>
      </c>
      <c r="R845" s="1040" t="e">
        <f t="shared" si="123"/>
        <v>#DIV/0!</v>
      </c>
      <c r="S845" s="1040" t="e">
        <f t="shared" si="123"/>
        <v>#DIV/0!</v>
      </c>
      <c r="T845" s="1040" t="e">
        <f t="shared" si="123"/>
        <v>#DIV/0!</v>
      </c>
      <c r="U845" s="1040" t="e">
        <f t="shared" si="123"/>
        <v>#DIV/0!</v>
      </c>
      <c r="V845" s="1040" t="e">
        <f t="shared" si="123"/>
        <v>#DIV/0!</v>
      </c>
      <c r="W845" s="1040" t="e">
        <f t="shared" si="123"/>
        <v>#DIV/0!</v>
      </c>
      <c r="X845" s="1040" t="e">
        <f t="shared" si="123"/>
        <v>#DIV/0!</v>
      </c>
      <c r="Y845" s="1040" t="e">
        <f t="shared" si="123"/>
        <v>#DIV/0!</v>
      </c>
      <c r="Z845" s="1040" t="e">
        <f t="shared" si="123"/>
        <v>#DIV/0!</v>
      </c>
      <c r="AA845" s="1040" t="e">
        <f t="shared" si="123"/>
        <v>#DIV/0!</v>
      </c>
      <c r="AB845" s="1040" t="e">
        <f t="shared" si="123"/>
        <v>#DIV/0!</v>
      </c>
      <c r="AC845" s="1040" t="e">
        <f t="shared" si="123"/>
        <v>#DIV/0!</v>
      </c>
      <c r="AD845" s="1040" t="e">
        <f t="shared" si="123"/>
        <v>#DIV/0!</v>
      </c>
      <c r="AE845" s="1040" t="e">
        <f t="shared" si="123"/>
        <v>#DIV/0!</v>
      </c>
      <c r="AF845" s="1040" t="e">
        <f t="shared" si="123"/>
        <v>#DIV/0!</v>
      </c>
      <c r="AG845" s="1040" t="e">
        <f t="shared" si="123"/>
        <v>#DIV/0!</v>
      </c>
      <c r="AH845" s="1040" t="e">
        <f t="shared" si="123"/>
        <v>#DIV/0!</v>
      </c>
      <c r="AI845" s="1040" t="e">
        <f t="shared" si="123"/>
        <v>#DIV/0!</v>
      </c>
      <c r="AJ845" s="1040" t="e">
        <f t="shared" si="123"/>
        <v>#DIV/0!</v>
      </c>
      <c r="AK845" s="1040" t="e">
        <f t="shared" si="123"/>
        <v>#DIV/0!</v>
      </c>
      <c r="AL845" s="1040" t="e">
        <f t="shared" si="123"/>
        <v>#DIV/0!</v>
      </c>
      <c r="AM845" s="1040" t="e">
        <f t="shared" si="123"/>
        <v>#DIV/0!</v>
      </c>
      <c r="AN845" s="1040" t="e">
        <f t="shared" si="123"/>
        <v>#DIV/0!</v>
      </c>
      <c r="AO845" s="1040" t="e">
        <f t="shared" si="123"/>
        <v>#DIV/0!</v>
      </c>
      <c r="AP845" s="1040" t="e">
        <f t="shared" si="123"/>
        <v>#DIV/0!</v>
      </c>
      <c r="AQ845" s="1040" t="e">
        <f t="shared" si="123"/>
        <v>#DIV/0!</v>
      </c>
      <c r="AR845" s="1040" t="e">
        <f t="shared" si="123"/>
        <v>#DIV/0!</v>
      </c>
      <c r="AS845" s="1040" t="e">
        <f t="shared" ref="AS845:AY845" si="124">IF(AS45="",0,IF(OR(1=RANK(AS445,AS$412:AS$790,0),(2=RANK(AS445,AS$412:AS$790,0))),AS445,AS45))</f>
        <v>#DIV/0!</v>
      </c>
      <c r="AT845" s="1040" t="e">
        <f t="shared" si="124"/>
        <v>#DIV/0!</v>
      </c>
      <c r="AU845" s="1040">
        <f t="shared" si="124"/>
        <v>0</v>
      </c>
      <c r="AV845" s="1040" t="e">
        <f t="shared" si="124"/>
        <v>#DIV/0!</v>
      </c>
      <c r="AW845" s="1040" t="e">
        <f t="shared" si="124"/>
        <v>#DIV/0!</v>
      </c>
      <c r="AX845" s="1040" t="e">
        <f t="shared" si="124"/>
        <v>#DIV/0!</v>
      </c>
      <c r="AY845" s="1040" t="e">
        <f t="shared" si="124"/>
        <v>#DIV/0!</v>
      </c>
      <c r="AZ845" s="1061" t="s">
        <v>21</v>
      </c>
      <c r="BC845" s="29"/>
      <c r="BD845" s="29"/>
      <c r="BE845" s="13"/>
      <c r="BL845" s="368"/>
    </row>
    <row r="846" spans="1:64" ht="12" customHeight="1" x14ac:dyDescent="0.2">
      <c r="A846" s="515">
        <f>acute_overview_children!A46</f>
        <v>2</v>
      </c>
      <c r="B846" s="131">
        <f t="shared" si="55"/>
        <v>150000</v>
      </c>
      <c r="C846" s="131" t="str">
        <f t="shared" si="56"/>
        <v>Berries &amp; small fruit</v>
      </c>
      <c r="D846" s="1035"/>
      <c r="E846" s="1027"/>
      <c r="F846" s="87"/>
      <c r="G846" s="87"/>
      <c r="H846" s="1027"/>
      <c r="I846" s="1030"/>
      <c r="J846" s="1037" t="e">
        <f t="shared" ref="J846:AR846" si="125">IF(J46="",0,IF(OR(1=RANK(J446,J$412:J$790,0),(2=RANK(J446,J$412:J$790,0))),J446,J46))</f>
        <v>#DIV/0!</v>
      </c>
      <c r="K846" s="1038" t="e">
        <f t="shared" si="125"/>
        <v>#DIV/0!</v>
      </c>
      <c r="L846" s="1038" t="e">
        <f t="shared" si="125"/>
        <v>#DIV/0!</v>
      </c>
      <c r="M846" s="1038" t="e">
        <f t="shared" si="125"/>
        <v>#DIV/0!</v>
      </c>
      <c r="N846" s="1038" t="e">
        <f t="shared" si="125"/>
        <v>#DIV/0!</v>
      </c>
      <c r="O846" s="1038" t="e">
        <f t="shared" si="125"/>
        <v>#DIV/0!</v>
      </c>
      <c r="P846" s="1038" t="e">
        <f t="shared" si="125"/>
        <v>#DIV/0!</v>
      </c>
      <c r="Q846" s="1038" t="e">
        <f t="shared" si="125"/>
        <v>#DIV/0!</v>
      </c>
      <c r="R846" s="1038" t="e">
        <f t="shared" si="125"/>
        <v>#DIV/0!</v>
      </c>
      <c r="S846" s="1038" t="e">
        <f t="shared" si="125"/>
        <v>#DIV/0!</v>
      </c>
      <c r="T846" s="1038" t="e">
        <f t="shared" si="125"/>
        <v>#DIV/0!</v>
      </c>
      <c r="U846" s="1038" t="e">
        <f t="shared" si="125"/>
        <v>#DIV/0!</v>
      </c>
      <c r="V846" s="1038" t="e">
        <f t="shared" si="125"/>
        <v>#DIV/0!</v>
      </c>
      <c r="W846" s="1038" t="e">
        <f t="shared" si="125"/>
        <v>#DIV/0!</v>
      </c>
      <c r="X846" s="1038" t="e">
        <f t="shared" si="125"/>
        <v>#DIV/0!</v>
      </c>
      <c r="Y846" s="1038" t="e">
        <f t="shared" si="125"/>
        <v>#DIV/0!</v>
      </c>
      <c r="Z846" s="1038" t="e">
        <f t="shared" si="125"/>
        <v>#DIV/0!</v>
      </c>
      <c r="AA846" s="1038" t="e">
        <f t="shared" si="125"/>
        <v>#DIV/0!</v>
      </c>
      <c r="AB846" s="1038" t="e">
        <f t="shared" si="125"/>
        <v>#DIV/0!</v>
      </c>
      <c r="AC846" s="1038" t="e">
        <f t="shared" si="125"/>
        <v>#DIV/0!</v>
      </c>
      <c r="AD846" s="1038" t="e">
        <f t="shared" si="125"/>
        <v>#DIV/0!</v>
      </c>
      <c r="AE846" s="1038" t="e">
        <f t="shared" si="125"/>
        <v>#DIV/0!</v>
      </c>
      <c r="AF846" s="1038" t="e">
        <f t="shared" si="125"/>
        <v>#DIV/0!</v>
      </c>
      <c r="AG846" s="1038" t="e">
        <f t="shared" si="125"/>
        <v>#DIV/0!</v>
      </c>
      <c r="AH846" s="1038" t="e">
        <f t="shared" si="125"/>
        <v>#DIV/0!</v>
      </c>
      <c r="AI846" s="1038" t="e">
        <f t="shared" si="125"/>
        <v>#DIV/0!</v>
      </c>
      <c r="AJ846" s="1038" t="e">
        <f t="shared" si="125"/>
        <v>#DIV/0!</v>
      </c>
      <c r="AK846" s="1038" t="e">
        <f t="shared" si="125"/>
        <v>#DIV/0!</v>
      </c>
      <c r="AL846" s="1038" t="e">
        <f t="shared" si="125"/>
        <v>#DIV/0!</v>
      </c>
      <c r="AM846" s="1038" t="e">
        <f t="shared" si="125"/>
        <v>#DIV/0!</v>
      </c>
      <c r="AN846" s="1038" t="e">
        <f t="shared" si="125"/>
        <v>#DIV/0!</v>
      </c>
      <c r="AO846" s="1038" t="e">
        <f t="shared" si="125"/>
        <v>#DIV/0!</v>
      </c>
      <c r="AP846" s="1038" t="e">
        <f t="shared" si="125"/>
        <v>#DIV/0!</v>
      </c>
      <c r="AQ846" s="1038" t="e">
        <f t="shared" si="125"/>
        <v>#DIV/0!</v>
      </c>
      <c r="AR846" s="1038" t="e">
        <f t="shared" si="125"/>
        <v>#DIV/0!</v>
      </c>
      <c r="AS846" s="1038" t="e">
        <f t="shared" ref="AS846:AY846" si="126">IF(AS46="",0,IF(OR(1=RANK(AS446,AS$412:AS$790,0),(2=RANK(AS446,AS$412:AS$790,0))),AS446,AS46))</f>
        <v>#DIV/0!</v>
      </c>
      <c r="AT846" s="1038" t="e">
        <f t="shared" si="126"/>
        <v>#DIV/0!</v>
      </c>
      <c r="AU846" s="1038">
        <f t="shared" si="126"/>
        <v>0</v>
      </c>
      <c r="AV846" s="1038" t="e">
        <f t="shared" si="126"/>
        <v>#DIV/0!</v>
      </c>
      <c r="AW846" s="1038" t="e">
        <f t="shared" si="126"/>
        <v>#DIV/0!</v>
      </c>
      <c r="AX846" s="1038" t="e">
        <f t="shared" si="126"/>
        <v>#DIV/0!</v>
      </c>
      <c r="AY846" s="1038" t="e">
        <f t="shared" si="126"/>
        <v>#DIV/0!</v>
      </c>
      <c r="AZ846" s="1061" t="s">
        <v>21</v>
      </c>
      <c r="BC846" s="29"/>
      <c r="BD846" s="29"/>
      <c r="BE846" s="13"/>
      <c r="BL846" s="368"/>
    </row>
    <row r="847" spans="1:64" ht="12" customHeight="1" x14ac:dyDescent="0.2">
      <c r="A847" s="132">
        <f>acute_overview_children!A47</f>
        <v>3</v>
      </c>
      <c r="B847" s="3">
        <f t="shared" si="55"/>
        <v>151000</v>
      </c>
      <c r="C847" s="3" t="str">
        <f t="shared" si="56"/>
        <v xml:space="preserve">Table and wine grapes </v>
      </c>
      <c r="D847" s="1042"/>
      <c r="E847" s="1027"/>
      <c r="F847" s="87"/>
      <c r="G847" s="87"/>
      <c r="H847" s="1027"/>
      <c r="I847" s="1030"/>
      <c r="J847" s="1043" t="e">
        <f t="shared" ref="J847:AR847" si="127">IF(J47="",0,IF(OR(1=RANK(J447,J$412:J$790,0),(2=RANK(J447,J$412:J$790,0))),J447,J47))</f>
        <v>#DIV/0!</v>
      </c>
      <c r="K847" s="1044" t="e">
        <f t="shared" si="127"/>
        <v>#DIV/0!</v>
      </c>
      <c r="L847" s="1044" t="e">
        <f t="shared" si="127"/>
        <v>#DIV/0!</v>
      </c>
      <c r="M847" s="1044" t="e">
        <f t="shared" si="127"/>
        <v>#DIV/0!</v>
      </c>
      <c r="N847" s="1044" t="e">
        <f t="shared" si="127"/>
        <v>#DIV/0!</v>
      </c>
      <c r="O847" s="1044" t="e">
        <f t="shared" si="127"/>
        <v>#DIV/0!</v>
      </c>
      <c r="P847" s="1044" t="e">
        <f t="shared" si="127"/>
        <v>#DIV/0!</v>
      </c>
      <c r="Q847" s="1044" t="e">
        <f t="shared" si="127"/>
        <v>#DIV/0!</v>
      </c>
      <c r="R847" s="1044" t="e">
        <f t="shared" si="127"/>
        <v>#DIV/0!</v>
      </c>
      <c r="S847" s="1044" t="e">
        <f t="shared" si="127"/>
        <v>#DIV/0!</v>
      </c>
      <c r="T847" s="1044" t="e">
        <f t="shared" si="127"/>
        <v>#DIV/0!</v>
      </c>
      <c r="U847" s="1044" t="e">
        <f t="shared" si="127"/>
        <v>#DIV/0!</v>
      </c>
      <c r="V847" s="1044" t="e">
        <f t="shared" si="127"/>
        <v>#DIV/0!</v>
      </c>
      <c r="W847" s="1044" t="e">
        <f t="shared" si="127"/>
        <v>#DIV/0!</v>
      </c>
      <c r="X847" s="1044" t="e">
        <f t="shared" si="127"/>
        <v>#DIV/0!</v>
      </c>
      <c r="Y847" s="1044" t="e">
        <f t="shared" si="127"/>
        <v>#DIV/0!</v>
      </c>
      <c r="Z847" s="1044" t="e">
        <f t="shared" si="127"/>
        <v>#DIV/0!</v>
      </c>
      <c r="AA847" s="1044" t="e">
        <f t="shared" si="127"/>
        <v>#DIV/0!</v>
      </c>
      <c r="AB847" s="1044" t="e">
        <f t="shared" si="127"/>
        <v>#DIV/0!</v>
      </c>
      <c r="AC847" s="1044" t="e">
        <f t="shared" si="127"/>
        <v>#DIV/0!</v>
      </c>
      <c r="AD847" s="1044" t="e">
        <f t="shared" si="127"/>
        <v>#DIV/0!</v>
      </c>
      <c r="AE847" s="1044" t="e">
        <f t="shared" si="127"/>
        <v>#DIV/0!</v>
      </c>
      <c r="AF847" s="1044" t="e">
        <f t="shared" si="127"/>
        <v>#DIV/0!</v>
      </c>
      <c r="AG847" s="1044" t="e">
        <f t="shared" si="127"/>
        <v>#DIV/0!</v>
      </c>
      <c r="AH847" s="1044" t="e">
        <f t="shared" si="127"/>
        <v>#DIV/0!</v>
      </c>
      <c r="AI847" s="1044" t="e">
        <f t="shared" si="127"/>
        <v>#DIV/0!</v>
      </c>
      <c r="AJ847" s="1044" t="e">
        <f t="shared" si="127"/>
        <v>#DIV/0!</v>
      </c>
      <c r="AK847" s="1044" t="e">
        <f t="shared" si="127"/>
        <v>#DIV/0!</v>
      </c>
      <c r="AL847" s="1044" t="e">
        <f t="shared" si="127"/>
        <v>#DIV/0!</v>
      </c>
      <c r="AM847" s="1044" t="e">
        <f t="shared" si="127"/>
        <v>#DIV/0!</v>
      </c>
      <c r="AN847" s="1044" t="e">
        <f t="shared" si="127"/>
        <v>#DIV/0!</v>
      </c>
      <c r="AO847" s="1044" t="e">
        <f t="shared" si="127"/>
        <v>#DIV/0!</v>
      </c>
      <c r="AP847" s="1044" t="e">
        <f t="shared" si="127"/>
        <v>#DIV/0!</v>
      </c>
      <c r="AQ847" s="1044" t="e">
        <f t="shared" si="127"/>
        <v>#DIV/0!</v>
      </c>
      <c r="AR847" s="1044" t="e">
        <f t="shared" si="127"/>
        <v>#DIV/0!</v>
      </c>
      <c r="AS847" s="1044" t="e">
        <f t="shared" ref="AS847:AY847" si="128">IF(AS47="",0,IF(OR(1=RANK(AS447,AS$412:AS$790,0),(2=RANK(AS447,AS$412:AS$790,0))),AS447,AS47))</f>
        <v>#DIV/0!</v>
      </c>
      <c r="AT847" s="1044" t="e">
        <f t="shared" si="128"/>
        <v>#DIV/0!</v>
      </c>
      <c r="AU847" s="1044">
        <f t="shared" si="128"/>
        <v>0</v>
      </c>
      <c r="AV847" s="1044" t="e">
        <f t="shared" si="128"/>
        <v>#DIV/0!</v>
      </c>
      <c r="AW847" s="1044" t="e">
        <f t="shared" si="128"/>
        <v>#DIV/0!</v>
      </c>
      <c r="AX847" s="1044" t="e">
        <f t="shared" si="128"/>
        <v>#DIV/0!</v>
      </c>
      <c r="AY847" s="1044" t="e">
        <f t="shared" si="128"/>
        <v>#DIV/0!</v>
      </c>
      <c r="AZ847" s="1061" t="s">
        <v>21</v>
      </c>
      <c r="BC847" s="29"/>
      <c r="BD847" s="29"/>
      <c r="BE847" s="13"/>
      <c r="BL847" s="368"/>
    </row>
    <row r="848" spans="1:64" ht="12" customHeight="1" x14ac:dyDescent="0.2">
      <c r="A848" s="39">
        <f>acute_overview_children!A48</f>
        <v>4</v>
      </c>
      <c r="B848" s="23">
        <f t="shared" si="55"/>
        <v>151010</v>
      </c>
      <c r="C848" s="23" t="str">
        <f t="shared" si="56"/>
        <v>Table grapes</v>
      </c>
      <c r="D848" s="135"/>
      <c r="E848" s="1027"/>
      <c r="F848" s="87"/>
      <c r="G848" s="87"/>
      <c r="H848" s="1027"/>
      <c r="I848" s="1030"/>
      <c r="J848" s="1039" t="e">
        <f t="shared" ref="J848:AR848" si="129">IF(J48="",0,IF(OR(1=RANK(J448,J$412:J$790,0),(2=RANK(J448,J$412:J$790,0))),J448,J48))</f>
        <v>#DIV/0!</v>
      </c>
      <c r="K848" s="1040" t="e">
        <f t="shared" si="129"/>
        <v>#DIV/0!</v>
      </c>
      <c r="L848" s="1040" t="e">
        <f t="shared" si="129"/>
        <v>#DIV/0!</v>
      </c>
      <c r="M848" s="1040" t="e">
        <f t="shared" si="129"/>
        <v>#DIV/0!</v>
      </c>
      <c r="N848" s="1040" t="e">
        <f t="shared" si="129"/>
        <v>#DIV/0!</v>
      </c>
      <c r="O848" s="1040" t="e">
        <f t="shared" si="129"/>
        <v>#DIV/0!</v>
      </c>
      <c r="P848" s="1040" t="e">
        <f t="shared" si="129"/>
        <v>#DIV/0!</v>
      </c>
      <c r="Q848" s="1040" t="e">
        <f t="shared" si="129"/>
        <v>#DIV/0!</v>
      </c>
      <c r="R848" s="1040" t="e">
        <f t="shared" si="129"/>
        <v>#DIV/0!</v>
      </c>
      <c r="S848" s="1040" t="e">
        <f t="shared" si="129"/>
        <v>#DIV/0!</v>
      </c>
      <c r="T848" s="1040" t="e">
        <f t="shared" si="129"/>
        <v>#DIV/0!</v>
      </c>
      <c r="U848" s="1040" t="e">
        <f t="shared" si="129"/>
        <v>#DIV/0!</v>
      </c>
      <c r="V848" s="1040" t="e">
        <f t="shared" si="129"/>
        <v>#DIV/0!</v>
      </c>
      <c r="W848" s="1040" t="e">
        <f t="shared" si="129"/>
        <v>#DIV/0!</v>
      </c>
      <c r="X848" s="1040" t="e">
        <f t="shared" si="129"/>
        <v>#DIV/0!</v>
      </c>
      <c r="Y848" s="1040" t="e">
        <f t="shared" si="129"/>
        <v>#DIV/0!</v>
      </c>
      <c r="Z848" s="1040" t="e">
        <f t="shared" si="129"/>
        <v>#DIV/0!</v>
      </c>
      <c r="AA848" s="1040" t="e">
        <f t="shared" si="129"/>
        <v>#DIV/0!</v>
      </c>
      <c r="AB848" s="1040" t="e">
        <f t="shared" si="129"/>
        <v>#DIV/0!</v>
      </c>
      <c r="AC848" s="1040" t="e">
        <f t="shared" si="129"/>
        <v>#DIV/0!</v>
      </c>
      <c r="AD848" s="1040" t="e">
        <f t="shared" si="129"/>
        <v>#DIV/0!</v>
      </c>
      <c r="AE848" s="1040" t="e">
        <f t="shared" si="129"/>
        <v>#DIV/0!</v>
      </c>
      <c r="AF848" s="1040" t="e">
        <f t="shared" si="129"/>
        <v>#DIV/0!</v>
      </c>
      <c r="AG848" s="1040" t="e">
        <f t="shared" si="129"/>
        <v>#DIV/0!</v>
      </c>
      <c r="AH848" s="1040" t="e">
        <f t="shared" si="129"/>
        <v>#DIV/0!</v>
      </c>
      <c r="AI848" s="1040" t="e">
        <f t="shared" si="129"/>
        <v>#DIV/0!</v>
      </c>
      <c r="AJ848" s="1040" t="e">
        <f t="shared" si="129"/>
        <v>#DIV/0!</v>
      </c>
      <c r="AK848" s="1040" t="e">
        <f t="shared" si="129"/>
        <v>#DIV/0!</v>
      </c>
      <c r="AL848" s="1040" t="e">
        <f t="shared" si="129"/>
        <v>#DIV/0!</v>
      </c>
      <c r="AM848" s="1040" t="e">
        <f t="shared" si="129"/>
        <v>#DIV/0!</v>
      </c>
      <c r="AN848" s="1040" t="e">
        <f t="shared" si="129"/>
        <v>#DIV/0!</v>
      </c>
      <c r="AO848" s="1040" t="e">
        <f t="shared" si="129"/>
        <v>#DIV/0!</v>
      </c>
      <c r="AP848" s="1040" t="e">
        <f t="shared" si="129"/>
        <v>#DIV/0!</v>
      </c>
      <c r="AQ848" s="1040" t="e">
        <f t="shared" si="129"/>
        <v>#DIV/0!</v>
      </c>
      <c r="AR848" s="1040" t="e">
        <f t="shared" si="129"/>
        <v>#DIV/0!</v>
      </c>
      <c r="AS848" s="1040" t="e">
        <f t="shared" ref="AS848:AY848" si="130">IF(AS48="",0,IF(OR(1=RANK(AS448,AS$412:AS$790,0),(2=RANK(AS448,AS$412:AS$790,0))),AS448,AS48))</f>
        <v>#DIV/0!</v>
      </c>
      <c r="AT848" s="1040" t="e">
        <f t="shared" si="130"/>
        <v>#DIV/0!</v>
      </c>
      <c r="AU848" s="1040">
        <f t="shared" si="130"/>
        <v>0</v>
      </c>
      <c r="AV848" s="1040" t="e">
        <f t="shared" si="130"/>
        <v>#DIV/0!</v>
      </c>
      <c r="AW848" s="1040" t="e">
        <f t="shared" si="130"/>
        <v>#DIV/0!</v>
      </c>
      <c r="AX848" s="1040" t="e">
        <f t="shared" si="130"/>
        <v>#DIV/0!</v>
      </c>
      <c r="AY848" s="1040" t="e">
        <f t="shared" si="130"/>
        <v>#DIV/0!</v>
      </c>
      <c r="AZ848" s="1061" t="s">
        <v>21</v>
      </c>
      <c r="BC848" s="29"/>
      <c r="BD848" s="29"/>
      <c r="BE848" s="13"/>
      <c r="BL848" s="368"/>
    </row>
    <row r="849" spans="1:64" ht="12" customHeight="1" x14ac:dyDescent="0.2">
      <c r="A849" s="39">
        <f>acute_overview_children!A49</f>
        <v>4</v>
      </c>
      <c r="B849" s="23">
        <f t="shared" si="55"/>
        <v>151020</v>
      </c>
      <c r="C849" s="23" t="str">
        <f t="shared" si="56"/>
        <v>Wine grapes</v>
      </c>
      <c r="D849" s="135"/>
      <c r="E849" s="1027"/>
      <c r="F849" s="87"/>
      <c r="G849" s="87"/>
      <c r="H849" s="1027"/>
      <c r="I849" s="1030"/>
      <c r="J849" s="1039" t="e">
        <f t="shared" ref="J849:AR849" si="131">IF(J49="",0,IF(OR(1=RANK(J449,J$412:J$790,0),(2=RANK(J449,J$412:J$790,0))),J449,J49))</f>
        <v>#DIV/0!</v>
      </c>
      <c r="K849" s="1040" t="e">
        <f t="shared" si="131"/>
        <v>#DIV/0!</v>
      </c>
      <c r="L849" s="1040" t="e">
        <f t="shared" si="131"/>
        <v>#DIV/0!</v>
      </c>
      <c r="M849" s="1040" t="e">
        <f t="shared" si="131"/>
        <v>#DIV/0!</v>
      </c>
      <c r="N849" s="1040" t="e">
        <f t="shared" si="131"/>
        <v>#DIV/0!</v>
      </c>
      <c r="O849" s="1040" t="e">
        <f t="shared" si="131"/>
        <v>#DIV/0!</v>
      </c>
      <c r="P849" s="1040" t="e">
        <f t="shared" si="131"/>
        <v>#DIV/0!</v>
      </c>
      <c r="Q849" s="1040" t="e">
        <f t="shared" si="131"/>
        <v>#DIV/0!</v>
      </c>
      <c r="R849" s="1040" t="e">
        <f t="shared" si="131"/>
        <v>#DIV/0!</v>
      </c>
      <c r="S849" s="1040" t="e">
        <f t="shared" si="131"/>
        <v>#DIV/0!</v>
      </c>
      <c r="T849" s="1040" t="e">
        <f t="shared" si="131"/>
        <v>#DIV/0!</v>
      </c>
      <c r="U849" s="1040" t="e">
        <f t="shared" si="131"/>
        <v>#DIV/0!</v>
      </c>
      <c r="V849" s="1040" t="e">
        <f t="shared" si="131"/>
        <v>#DIV/0!</v>
      </c>
      <c r="W849" s="1040" t="e">
        <f t="shared" si="131"/>
        <v>#DIV/0!</v>
      </c>
      <c r="X849" s="1040" t="e">
        <f t="shared" si="131"/>
        <v>#DIV/0!</v>
      </c>
      <c r="Y849" s="1040" t="e">
        <f t="shared" si="131"/>
        <v>#DIV/0!</v>
      </c>
      <c r="Z849" s="1040" t="e">
        <f t="shared" si="131"/>
        <v>#DIV/0!</v>
      </c>
      <c r="AA849" s="1040" t="e">
        <f t="shared" si="131"/>
        <v>#DIV/0!</v>
      </c>
      <c r="AB849" s="1040" t="e">
        <f t="shared" si="131"/>
        <v>#DIV/0!</v>
      </c>
      <c r="AC849" s="1040" t="e">
        <f t="shared" si="131"/>
        <v>#DIV/0!</v>
      </c>
      <c r="AD849" s="1040" t="e">
        <f t="shared" si="131"/>
        <v>#DIV/0!</v>
      </c>
      <c r="AE849" s="1040" t="e">
        <f t="shared" si="131"/>
        <v>#DIV/0!</v>
      </c>
      <c r="AF849" s="1040" t="e">
        <f t="shared" si="131"/>
        <v>#DIV/0!</v>
      </c>
      <c r="AG849" s="1040" t="e">
        <f t="shared" si="131"/>
        <v>#DIV/0!</v>
      </c>
      <c r="AH849" s="1040" t="e">
        <f t="shared" si="131"/>
        <v>#DIV/0!</v>
      </c>
      <c r="AI849" s="1040" t="e">
        <f t="shared" si="131"/>
        <v>#DIV/0!</v>
      </c>
      <c r="AJ849" s="1040" t="e">
        <f t="shared" si="131"/>
        <v>#DIV/0!</v>
      </c>
      <c r="AK849" s="1040" t="e">
        <f t="shared" si="131"/>
        <v>#DIV/0!</v>
      </c>
      <c r="AL849" s="1040" t="e">
        <f t="shared" si="131"/>
        <v>#DIV/0!</v>
      </c>
      <c r="AM849" s="1040" t="e">
        <f t="shared" si="131"/>
        <v>#DIV/0!</v>
      </c>
      <c r="AN849" s="1040" t="e">
        <f t="shared" si="131"/>
        <v>#DIV/0!</v>
      </c>
      <c r="AO849" s="1040" t="e">
        <f t="shared" si="131"/>
        <v>#DIV/0!</v>
      </c>
      <c r="AP849" s="1040" t="e">
        <f t="shared" si="131"/>
        <v>#DIV/0!</v>
      </c>
      <c r="AQ849" s="1040" t="e">
        <f t="shared" si="131"/>
        <v>#DIV/0!</v>
      </c>
      <c r="AR849" s="1040" t="e">
        <f t="shared" si="131"/>
        <v>#DIV/0!</v>
      </c>
      <c r="AS849" s="1040" t="e">
        <f t="shared" ref="AS849:AY849" si="132">IF(AS49="",0,IF(OR(1=RANK(AS449,AS$412:AS$790,0),(2=RANK(AS449,AS$412:AS$790,0))),AS449,AS49))</f>
        <v>#DIV/0!</v>
      </c>
      <c r="AT849" s="1040" t="e">
        <f t="shared" si="132"/>
        <v>#DIV/0!</v>
      </c>
      <c r="AU849" s="1040">
        <f t="shared" si="132"/>
        <v>0</v>
      </c>
      <c r="AV849" s="1040" t="e">
        <f t="shared" si="132"/>
        <v>#DIV/0!</v>
      </c>
      <c r="AW849" s="1040" t="e">
        <f t="shared" si="132"/>
        <v>#DIV/0!</v>
      </c>
      <c r="AX849" s="1040" t="e">
        <f t="shared" si="132"/>
        <v>#DIV/0!</v>
      </c>
      <c r="AY849" s="1040" t="e">
        <f t="shared" si="132"/>
        <v>#DIV/0!</v>
      </c>
      <c r="AZ849" s="1061" t="s">
        <v>21</v>
      </c>
      <c r="BC849" s="29"/>
      <c r="BD849" s="29"/>
      <c r="BE849" s="13"/>
      <c r="BL849" s="368"/>
    </row>
    <row r="850" spans="1:64" ht="12" customHeight="1" x14ac:dyDescent="0.2">
      <c r="A850" s="132">
        <f>acute_overview_children!A50</f>
        <v>3</v>
      </c>
      <c r="B850" s="3">
        <f t="shared" si="55"/>
        <v>152000</v>
      </c>
      <c r="C850" s="3" t="str">
        <f t="shared" si="56"/>
        <v xml:space="preserve">Strawberries </v>
      </c>
      <c r="D850" s="1042"/>
      <c r="E850" s="1027"/>
      <c r="F850" s="87"/>
      <c r="G850" s="87"/>
      <c r="H850" s="1027"/>
      <c r="I850" s="1030"/>
      <c r="J850" s="1043" t="e">
        <f t="shared" ref="J850:AR850" si="133">IF(J50="",0,IF(OR(1=RANK(J450,J$412:J$790,0),(2=RANK(J450,J$412:J$790,0))),J450,J50))</f>
        <v>#DIV/0!</v>
      </c>
      <c r="K850" s="1044" t="e">
        <f t="shared" si="133"/>
        <v>#DIV/0!</v>
      </c>
      <c r="L850" s="1044" t="e">
        <f t="shared" si="133"/>
        <v>#DIV/0!</v>
      </c>
      <c r="M850" s="1044" t="e">
        <f t="shared" si="133"/>
        <v>#DIV/0!</v>
      </c>
      <c r="N850" s="1044" t="e">
        <f t="shared" si="133"/>
        <v>#DIV/0!</v>
      </c>
      <c r="O850" s="1044" t="e">
        <f t="shared" si="133"/>
        <v>#DIV/0!</v>
      </c>
      <c r="P850" s="1044" t="e">
        <f t="shared" si="133"/>
        <v>#DIV/0!</v>
      </c>
      <c r="Q850" s="1044" t="e">
        <f t="shared" si="133"/>
        <v>#DIV/0!</v>
      </c>
      <c r="R850" s="1044" t="e">
        <f t="shared" si="133"/>
        <v>#DIV/0!</v>
      </c>
      <c r="S850" s="1044" t="e">
        <f t="shared" si="133"/>
        <v>#DIV/0!</v>
      </c>
      <c r="T850" s="1044" t="e">
        <f t="shared" si="133"/>
        <v>#DIV/0!</v>
      </c>
      <c r="U850" s="1044" t="e">
        <f t="shared" si="133"/>
        <v>#DIV/0!</v>
      </c>
      <c r="V850" s="1044" t="e">
        <f t="shared" si="133"/>
        <v>#DIV/0!</v>
      </c>
      <c r="W850" s="1044" t="e">
        <f t="shared" si="133"/>
        <v>#DIV/0!</v>
      </c>
      <c r="X850" s="1044" t="e">
        <f t="shared" si="133"/>
        <v>#DIV/0!</v>
      </c>
      <c r="Y850" s="1044" t="e">
        <f t="shared" si="133"/>
        <v>#DIV/0!</v>
      </c>
      <c r="Z850" s="1044" t="e">
        <f t="shared" si="133"/>
        <v>#DIV/0!</v>
      </c>
      <c r="AA850" s="1044" t="e">
        <f t="shared" si="133"/>
        <v>#DIV/0!</v>
      </c>
      <c r="AB850" s="1044" t="e">
        <f t="shared" si="133"/>
        <v>#DIV/0!</v>
      </c>
      <c r="AC850" s="1044" t="e">
        <f t="shared" si="133"/>
        <v>#DIV/0!</v>
      </c>
      <c r="AD850" s="1044" t="e">
        <f t="shared" si="133"/>
        <v>#DIV/0!</v>
      </c>
      <c r="AE850" s="1044" t="e">
        <f t="shared" si="133"/>
        <v>#DIV/0!</v>
      </c>
      <c r="AF850" s="1044" t="e">
        <f t="shared" si="133"/>
        <v>#DIV/0!</v>
      </c>
      <c r="AG850" s="1044" t="e">
        <f t="shared" si="133"/>
        <v>#DIV/0!</v>
      </c>
      <c r="AH850" s="1044" t="e">
        <f t="shared" si="133"/>
        <v>#DIV/0!</v>
      </c>
      <c r="AI850" s="1044" t="e">
        <f t="shared" si="133"/>
        <v>#DIV/0!</v>
      </c>
      <c r="AJ850" s="1044" t="e">
        <f t="shared" si="133"/>
        <v>#DIV/0!</v>
      </c>
      <c r="AK850" s="1044" t="e">
        <f t="shared" si="133"/>
        <v>#DIV/0!</v>
      </c>
      <c r="AL850" s="1044" t="e">
        <f t="shared" si="133"/>
        <v>#DIV/0!</v>
      </c>
      <c r="AM850" s="1044" t="e">
        <f t="shared" si="133"/>
        <v>#DIV/0!</v>
      </c>
      <c r="AN850" s="1044" t="e">
        <f t="shared" si="133"/>
        <v>#DIV/0!</v>
      </c>
      <c r="AO850" s="1044" t="e">
        <f t="shared" si="133"/>
        <v>#DIV/0!</v>
      </c>
      <c r="AP850" s="1044" t="e">
        <f t="shared" si="133"/>
        <v>#DIV/0!</v>
      </c>
      <c r="AQ850" s="1044" t="e">
        <f t="shared" si="133"/>
        <v>#DIV/0!</v>
      </c>
      <c r="AR850" s="1044" t="e">
        <f t="shared" si="133"/>
        <v>#DIV/0!</v>
      </c>
      <c r="AS850" s="1044" t="e">
        <f t="shared" ref="AS850:AY850" si="134">IF(AS50="",0,IF(OR(1=RANK(AS450,AS$412:AS$790,0),(2=RANK(AS450,AS$412:AS$790,0))),AS450,AS50))</f>
        <v>#DIV/0!</v>
      </c>
      <c r="AT850" s="1044" t="e">
        <f t="shared" si="134"/>
        <v>#DIV/0!</v>
      </c>
      <c r="AU850" s="1044">
        <f t="shared" si="134"/>
        <v>0</v>
      </c>
      <c r="AV850" s="1044" t="e">
        <f t="shared" si="134"/>
        <v>#DIV/0!</v>
      </c>
      <c r="AW850" s="1044" t="e">
        <f t="shared" si="134"/>
        <v>#DIV/0!</v>
      </c>
      <c r="AX850" s="1044" t="e">
        <f t="shared" si="134"/>
        <v>#DIV/0!</v>
      </c>
      <c r="AY850" s="1044" t="e">
        <f t="shared" si="134"/>
        <v>#DIV/0!</v>
      </c>
      <c r="AZ850" s="1061" t="s">
        <v>21</v>
      </c>
      <c r="BC850" s="29"/>
      <c r="BD850" s="29"/>
      <c r="BE850" s="13"/>
      <c r="BL850" s="368"/>
    </row>
    <row r="851" spans="1:64" ht="12" customHeight="1" x14ac:dyDescent="0.2">
      <c r="A851" s="132">
        <f>acute_overview_children!A51</f>
        <v>3</v>
      </c>
      <c r="B851" s="3">
        <f t="shared" si="55"/>
        <v>153000</v>
      </c>
      <c r="C851" s="3" t="str">
        <f t="shared" si="56"/>
        <v xml:space="preserve">Cane fruit </v>
      </c>
      <c r="D851" s="1042"/>
      <c r="E851" s="1027"/>
      <c r="F851" s="87"/>
      <c r="G851" s="87"/>
      <c r="H851" s="1027"/>
      <c r="I851" s="1030"/>
      <c r="J851" s="1043" t="e">
        <f t="shared" ref="J851:AR851" si="135">IF(J51="",0,IF(OR(1=RANK(J451,J$412:J$790,0),(2=RANK(J451,J$412:J$790,0))),J451,J51))</f>
        <v>#DIV/0!</v>
      </c>
      <c r="K851" s="1044" t="e">
        <f t="shared" si="135"/>
        <v>#DIV/0!</v>
      </c>
      <c r="L851" s="1044" t="e">
        <f t="shared" si="135"/>
        <v>#DIV/0!</v>
      </c>
      <c r="M851" s="1044" t="e">
        <f t="shared" si="135"/>
        <v>#DIV/0!</v>
      </c>
      <c r="N851" s="1044" t="e">
        <f t="shared" si="135"/>
        <v>#DIV/0!</v>
      </c>
      <c r="O851" s="1044" t="e">
        <f t="shared" si="135"/>
        <v>#DIV/0!</v>
      </c>
      <c r="P851" s="1044" t="e">
        <f t="shared" si="135"/>
        <v>#DIV/0!</v>
      </c>
      <c r="Q851" s="1044" t="e">
        <f t="shared" si="135"/>
        <v>#DIV/0!</v>
      </c>
      <c r="R851" s="1044" t="e">
        <f t="shared" si="135"/>
        <v>#DIV/0!</v>
      </c>
      <c r="S851" s="1044" t="e">
        <f t="shared" si="135"/>
        <v>#DIV/0!</v>
      </c>
      <c r="T851" s="1044" t="e">
        <f t="shared" si="135"/>
        <v>#DIV/0!</v>
      </c>
      <c r="U851" s="1044" t="e">
        <f t="shared" si="135"/>
        <v>#DIV/0!</v>
      </c>
      <c r="V851" s="1044" t="e">
        <f t="shared" si="135"/>
        <v>#DIV/0!</v>
      </c>
      <c r="W851" s="1044" t="e">
        <f t="shared" si="135"/>
        <v>#DIV/0!</v>
      </c>
      <c r="X851" s="1044" t="e">
        <f t="shared" si="135"/>
        <v>#DIV/0!</v>
      </c>
      <c r="Y851" s="1044" t="e">
        <f t="shared" si="135"/>
        <v>#DIV/0!</v>
      </c>
      <c r="Z851" s="1044" t="e">
        <f t="shared" si="135"/>
        <v>#DIV/0!</v>
      </c>
      <c r="AA851" s="1044" t="e">
        <f t="shared" si="135"/>
        <v>#DIV/0!</v>
      </c>
      <c r="AB851" s="1044" t="e">
        <f t="shared" si="135"/>
        <v>#DIV/0!</v>
      </c>
      <c r="AC851" s="1044" t="e">
        <f t="shared" si="135"/>
        <v>#DIV/0!</v>
      </c>
      <c r="AD851" s="1044" t="e">
        <f t="shared" si="135"/>
        <v>#DIV/0!</v>
      </c>
      <c r="AE851" s="1044" t="e">
        <f t="shared" si="135"/>
        <v>#DIV/0!</v>
      </c>
      <c r="AF851" s="1044" t="e">
        <f t="shared" si="135"/>
        <v>#DIV/0!</v>
      </c>
      <c r="AG851" s="1044" t="e">
        <f t="shared" si="135"/>
        <v>#DIV/0!</v>
      </c>
      <c r="AH851" s="1044" t="e">
        <f t="shared" si="135"/>
        <v>#DIV/0!</v>
      </c>
      <c r="AI851" s="1044" t="e">
        <f t="shared" si="135"/>
        <v>#DIV/0!</v>
      </c>
      <c r="AJ851" s="1044" t="e">
        <f t="shared" si="135"/>
        <v>#DIV/0!</v>
      </c>
      <c r="AK851" s="1044" t="e">
        <f t="shared" si="135"/>
        <v>#DIV/0!</v>
      </c>
      <c r="AL851" s="1044" t="e">
        <f t="shared" si="135"/>
        <v>#DIV/0!</v>
      </c>
      <c r="AM851" s="1044" t="e">
        <f t="shared" si="135"/>
        <v>#DIV/0!</v>
      </c>
      <c r="AN851" s="1044" t="e">
        <f t="shared" si="135"/>
        <v>#DIV/0!</v>
      </c>
      <c r="AO851" s="1044" t="e">
        <f t="shared" si="135"/>
        <v>#DIV/0!</v>
      </c>
      <c r="AP851" s="1044" t="e">
        <f t="shared" si="135"/>
        <v>#DIV/0!</v>
      </c>
      <c r="AQ851" s="1044" t="e">
        <f t="shared" si="135"/>
        <v>#DIV/0!</v>
      </c>
      <c r="AR851" s="1044" t="e">
        <f t="shared" si="135"/>
        <v>#DIV/0!</v>
      </c>
      <c r="AS851" s="1044" t="e">
        <f t="shared" ref="AS851:AY851" si="136">IF(AS51="",0,IF(OR(1=RANK(AS451,AS$412:AS$790,0),(2=RANK(AS451,AS$412:AS$790,0))),AS451,AS51))</f>
        <v>#DIV/0!</v>
      </c>
      <c r="AT851" s="1044" t="e">
        <f t="shared" si="136"/>
        <v>#DIV/0!</v>
      </c>
      <c r="AU851" s="1044">
        <f t="shared" si="136"/>
        <v>0</v>
      </c>
      <c r="AV851" s="1044" t="e">
        <f t="shared" si="136"/>
        <v>#DIV/0!</v>
      </c>
      <c r="AW851" s="1044" t="e">
        <f t="shared" si="136"/>
        <v>#DIV/0!</v>
      </c>
      <c r="AX851" s="1044" t="e">
        <f t="shared" si="136"/>
        <v>#DIV/0!</v>
      </c>
      <c r="AY851" s="1044" t="e">
        <f t="shared" si="136"/>
        <v>#DIV/0!</v>
      </c>
      <c r="AZ851" s="1061" t="s">
        <v>21</v>
      </c>
      <c r="BC851" s="29"/>
      <c r="BD851" s="29"/>
      <c r="BE851" s="13"/>
      <c r="BL851" s="368"/>
    </row>
    <row r="852" spans="1:64" ht="12" customHeight="1" x14ac:dyDescent="0.2">
      <c r="A852" s="39">
        <f>acute_overview_children!A52</f>
        <v>4</v>
      </c>
      <c r="B852" s="23">
        <f t="shared" si="55"/>
        <v>153010</v>
      </c>
      <c r="C852" s="23" t="str">
        <f t="shared" si="56"/>
        <v>Blackberries</v>
      </c>
      <c r="D852" s="135"/>
      <c r="E852" s="1027"/>
      <c r="F852" s="87"/>
      <c r="G852" s="87"/>
      <c r="H852" s="1027"/>
      <c r="I852" s="1030"/>
      <c r="J852" s="1039" t="e">
        <f t="shared" ref="J852:AR852" si="137">IF(J52="",0,IF(OR(1=RANK(J452,J$412:J$790,0),(2=RANK(J452,J$412:J$790,0))),J452,J52))</f>
        <v>#DIV/0!</v>
      </c>
      <c r="K852" s="1040" t="e">
        <f t="shared" si="137"/>
        <v>#DIV/0!</v>
      </c>
      <c r="L852" s="1040" t="e">
        <f t="shared" si="137"/>
        <v>#DIV/0!</v>
      </c>
      <c r="M852" s="1040" t="e">
        <f t="shared" si="137"/>
        <v>#DIV/0!</v>
      </c>
      <c r="N852" s="1040" t="e">
        <f t="shared" si="137"/>
        <v>#DIV/0!</v>
      </c>
      <c r="O852" s="1040" t="e">
        <f t="shared" si="137"/>
        <v>#DIV/0!</v>
      </c>
      <c r="P852" s="1040" t="e">
        <f t="shared" si="137"/>
        <v>#DIV/0!</v>
      </c>
      <c r="Q852" s="1040" t="e">
        <f t="shared" si="137"/>
        <v>#DIV/0!</v>
      </c>
      <c r="R852" s="1040" t="e">
        <f t="shared" si="137"/>
        <v>#DIV/0!</v>
      </c>
      <c r="S852" s="1040" t="e">
        <f t="shared" si="137"/>
        <v>#DIV/0!</v>
      </c>
      <c r="T852" s="1040" t="e">
        <f t="shared" si="137"/>
        <v>#DIV/0!</v>
      </c>
      <c r="U852" s="1040" t="e">
        <f t="shared" si="137"/>
        <v>#DIV/0!</v>
      </c>
      <c r="V852" s="1040" t="e">
        <f t="shared" si="137"/>
        <v>#DIV/0!</v>
      </c>
      <c r="W852" s="1040" t="e">
        <f t="shared" si="137"/>
        <v>#DIV/0!</v>
      </c>
      <c r="X852" s="1040" t="e">
        <f t="shared" si="137"/>
        <v>#DIV/0!</v>
      </c>
      <c r="Y852" s="1040" t="e">
        <f t="shared" si="137"/>
        <v>#DIV/0!</v>
      </c>
      <c r="Z852" s="1040" t="e">
        <f t="shared" si="137"/>
        <v>#DIV/0!</v>
      </c>
      <c r="AA852" s="1040" t="e">
        <f t="shared" si="137"/>
        <v>#DIV/0!</v>
      </c>
      <c r="AB852" s="1040" t="e">
        <f t="shared" si="137"/>
        <v>#DIV/0!</v>
      </c>
      <c r="AC852" s="1040" t="e">
        <f t="shared" si="137"/>
        <v>#DIV/0!</v>
      </c>
      <c r="AD852" s="1040" t="e">
        <f t="shared" si="137"/>
        <v>#DIV/0!</v>
      </c>
      <c r="AE852" s="1040" t="e">
        <f t="shared" si="137"/>
        <v>#DIV/0!</v>
      </c>
      <c r="AF852" s="1040" t="e">
        <f t="shared" si="137"/>
        <v>#DIV/0!</v>
      </c>
      <c r="AG852" s="1040" t="e">
        <f t="shared" si="137"/>
        <v>#DIV/0!</v>
      </c>
      <c r="AH852" s="1040" t="e">
        <f t="shared" si="137"/>
        <v>#DIV/0!</v>
      </c>
      <c r="AI852" s="1040" t="e">
        <f t="shared" si="137"/>
        <v>#DIV/0!</v>
      </c>
      <c r="AJ852" s="1040" t="e">
        <f t="shared" si="137"/>
        <v>#DIV/0!</v>
      </c>
      <c r="AK852" s="1040" t="e">
        <f t="shared" si="137"/>
        <v>#DIV/0!</v>
      </c>
      <c r="AL852" s="1040" t="e">
        <f t="shared" si="137"/>
        <v>#DIV/0!</v>
      </c>
      <c r="AM852" s="1040" t="e">
        <f t="shared" si="137"/>
        <v>#DIV/0!</v>
      </c>
      <c r="AN852" s="1040" t="e">
        <f t="shared" si="137"/>
        <v>#DIV/0!</v>
      </c>
      <c r="AO852" s="1040" t="e">
        <f t="shared" si="137"/>
        <v>#DIV/0!</v>
      </c>
      <c r="AP852" s="1040" t="e">
        <f t="shared" si="137"/>
        <v>#DIV/0!</v>
      </c>
      <c r="AQ852" s="1040" t="e">
        <f t="shared" si="137"/>
        <v>#DIV/0!</v>
      </c>
      <c r="AR852" s="1040" t="e">
        <f t="shared" si="137"/>
        <v>#DIV/0!</v>
      </c>
      <c r="AS852" s="1040" t="e">
        <f t="shared" ref="AS852:AY852" si="138">IF(AS52="",0,IF(OR(1=RANK(AS452,AS$412:AS$790,0),(2=RANK(AS452,AS$412:AS$790,0))),AS452,AS52))</f>
        <v>#DIV/0!</v>
      </c>
      <c r="AT852" s="1040" t="e">
        <f t="shared" si="138"/>
        <v>#DIV/0!</v>
      </c>
      <c r="AU852" s="1040">
        <f t="shared" si="138"/>
        <v>0</v>
      </c>
      <c r="AV852" s="1040" t="e">
        <f t="shared" si="138"/>
        <v>#DIV/0!</v>
      </c>
      <c r="AW852" s="1040" t="e">
        <f t="shared" si="138"/>
        <v>#DIV/0!</v>
      </c>
      <c r="AX852" s="1040" t="e">
        <f t="shared" si="138"/>
        <v>#DIV/0!</v>
      </c>
      <c r="AY852" s="1040" t="e">
        <f t="shared" si="138"/>
        <v>#DIV/0!</v>
      </c>
      <c r="AZ852" s="1061" t="s">
        <v>21</v>
      </c>
      <c r="BC852" s="29"/>
      <c r="BD852" s="29"/>
      <c r="BE852" s="13"/>
      <c r="BL852" s="368"/>
    </row>
    <row r="853" spans="1:64" ht="12" customHeight="1" x14ac:dyDescent="0.2">
      <c r="A853" s="39">
        <f>acute_overview_children!A53</f>
        <v>4</v>
      </c>
      <c r="B853" s="23">
        <f t="shared" si="55"/>
        <v>153020</v>
      </c>
      <c r="C853" s="23" t="str">
        <f t="shared" si="56"/>
        <v>Dewberries</v>
      </c>
      <c r="D853" s="135"/>
      <c r="E853" s="1027"/>
      <c r="F853" s="87"/>
      <c r="G853" s="87"/>
      <c r="H853" s="1027"/>
      <c r="I853" s="1030"/>
      <c r="J853" s="1039" t="e">
        <f t="shared" ref="J853:AR853" si="139">IF(J53="",0,IF(OR(1=RANK(J453,J$412:J$790,0),(2=RANK(J453,J$412:J$790,0))),J453,J53))</f>
        <v>#DIV/0!</v>
      </c>
      <c r="K853" s="1040" t="e">
        <f t="shared" si="139"/>
        <v>#DIV/0!</v>
      </c>
      <c r="L853" s="1040" t="e">
        <f t="shared" si="139"/>
        <v>#DIV/0!</v>
      </c>
      <c r="M853" s="1040" t="e">
        <f t="shared" si="139"/>
        <v>#DIV/0!</v>
      </c>
      <c r="N853" s="1040" t="e">
        <f t="shared" si="139"/>
        <v>#DIV/0!</v>
      </c>
      <c r="O853" s="1040" t="e">
        <f t="shared" si="139"/>
        <v>#DIV/0!</v>
      </c>
      <c r="P853" s="1040" t="e">
        <f t="shared" si="139"/>
        <v>#DIV/0!</v>
      </c>
      <c r="Q853" s="1040" t="e">
        <f t="shared" si="139"/>
        <v>#DIV/0!</v>
      </c>
      <c r="R853" s="1040" t="e">
        <f t="shared" si="139"/>
        <v>#DIV/0!</v>
      </c>
      <c r="S853" s="1040" t="e">
        <f t="shared" si="139"/>
        <v>#DIV/0!</v>
      </c>
      <c r="T853" s="1040" t="e">
        <f t="shared" si="139"/>
        <v>#DIV/0!</v>
      </c>
      <c r="U853" s="1040" t="e">
        <f t="shared" si="139"/>
        <v>#DIV/0!</v>
      </c>
      <c r="V853" s="1040" t="e">
        <f t="shared" si="139"/>
        <v>#DIV/0!</v>
      </c>
      <c r="W853" s="1040" t="e">
        <f t="shared" si="139"/>
        <v>#DIV/0!</v>
      </c>
      <c r="X853" s="1040" t="e">
        <f t="shared" si="139"/>
        <v>#DIV/0!</v>
      </c>
      <c r="Y853" s="1040" t="e">
        <f t="shared" si="139"/>
        <v>#DIV/0!</v>
      </c>
      <c r="Z853" s="1040" t="e">
        <f t="shared" si="139"/>
        <v>#DIV/0!</v>
      </c>
      <c r="AA853" s="1040" t="e">
        <f t="shared" si="139"/>
        <v>#DIV/0!</v>
      </c>
      <c r="AB853" s="1040" t="e">
        <f t="shared" si="139"/>
        <v>#DIV/0!</v>
      </c>
      <c r="AC853" s="1040" t="e">
        <f t="shared" si="139"/>
        <v>#DIV/0!</v>
      </c>
      <c r="AD853" s="1040" t="e">
        <f t="shared" si="139"/>
        <v>#DIV/0!</v>
      </c>
      <c r="AE853" s="1040" t="e">
        <f t="shared" si="139"/>
        <v>#DIV/0!</v>
      </c>
      <c r="AF853" s="1040" t="e">
        <f t="shared" si="139"/>
        <v>#DIV/0!</v>
      </c>
      <c r="AG853" s="1040" t="e">
        <f t="shared" si="139"/>
        <v>#DIV/0!</v>
      </c>
      <c r="AH853" s="1040" t="e">
        <f t="shared" si="139"/>
        <v>#DIV/0!</v>
      </c>
      <c r="AI853" s="1040" t="e">
        <f t="shared" si="139"/>
        <v>#DIV/0!</v>
      </c>
      <c r="AJ853" s="1040" t="e">
        <f t="shared" si="139"/>
        <v>#DIV/0!</v>
      </c>
      <c r="AK853" s="1040" t="e">
        <f t="shared" si="139"/>
        <v>#DIV/0!</v>
      </c>
      <c r="AL853" s="1040" t="e">
        <f t="shared" si="139"/>
        <v>#DIV/0!</v>
      </c>
      <c r="AM853" s="1040" t="e">
        <f t="shared" si="139"/>
        <v>#DIV/0!</v>
      </c>
      <c r="AN853" s="1040" t="e">
        <f t="shared" si="139"/>
        <v>#DIV/0!</v>
      </c>
      <c r="AO853" s="1040" t="e">
        <f t="shared" si="139"/>
        <v>#DIV/0!</v>
      </c>
      <c r="AP853" s="1040" t="e">
        <f t="shared" si="139"/>
        <v>#DIV/0!</v>
      </c>
      <c r="AQ853" s="1040" t="e">
        <f t="shared" si="139"/>
        <v>#DIV/0!</v>
      </c>
      <c r="AR853" s="1040" t="e">
        <f t="shared" si="139"/>
        <v>#DIV/0!</v>
      </c>
      <c r="AS853" s="1040" t="e">
        <f t="shared" ref="AS853:AY853" si="140">IF(AS53="",0,IF(OR(1=RANK(AS453,AS$412:AS$790,0),(2=RANK(AS453,AS$412:AS$790,0))),AS453,AS53))</f>
        <v>#DIV/0!</v>
      </c>
      <c r="AT853" s="1040" t="e">
        <f t="shared" si="140"/>
        <v>#DIV/0!</v>
      </c>
      <c r="AU853" s="1040">
        <f t="shared" si="140"/>
        <v>0</v>
      </c>
      <c r="AV853" s="1040" t="e">
        <f t="shared" si="140"/>
        <v>#DIV/0!</v>
      </c>
      <c r="AW853" s="1040" t="e">
        <f t="shared" si="140"/>
        <v>#DIV/0!</v>
      </c>
      <c r="AX853" s="1040" t="e">
        <f t="shared" si="140"/>
        <v>#DIV/0!</v>
      </c>
      <c r="AY853" s="1040" t="e">
        <f t="shared" si="140"/>
        <v>#DIV/0!</v>
      </c>
      <c r="AZ853" s="1061" t="s">
        <v>21</v>
      </c>
      <c r="BC853" s="29"/>
      <c r="BD853" s="29"/>
      <c r="BE853" s="13"/>
      <c r="BL853" s="368"/>
    </row>
    <row r="854" spans="1:64" ht="12" customHeight="1" x14ac:dyDescent="0.2">
      <c r="A854" s="39">
        <f>acute_overview_children!A54</f>
        <v>4</v>
      </c>
      <c r="B854" s="23">
        <f t="shared" si="55"/>
        <v>153030</v>
      </c>
      <c r="C854" s="23" t="str">
        <f t="shared" si="56"/>
        <v>Raspberries (red and yellow)</v>
      </c>
      <c r="D854" s="135"/>
      <c r="E854" s="1027"/>
      <c r="F854" s="87"/>
      <c r="G854" s="87"/>
      <c r="H854" s="1027"/>
      <c r="I854" s="1030"/>
      <c r="J854" s="1039" t="e">
        <f t="shared" ref="J854:AR854" si="141">IF(J54="",0,IF(OR(1=RANK(J454,J$412:J$790,0),(2=RANK(J454,J$412:J$790,0))),J454,J54))</f>
        <v>#DIV/0!</v>
      </c>
      <c r="K854" s="1040" t="e">
        <f t="shared" si="141"/>
        <v>#DIV/0!</v>
      </c>
      <c r="L854" s="1040" t="e">
        <f t="shared" si="141"/>
        <v>#DIV/0!</v>
      </c>
      <c r="M854" s="1040" t="e">
        <f t="shared" si="141"/>
        <v>#DIV/0!</v>
      </c>
      <c r="N854" s="1040" t="e">
        <f t="shared" si="141"/>
        <v>#DIV/0!</v>
      </c>
      <c r="O854" s="1040" t="e">
        <f t="shared" si="141"/>
        <v>#DIV/0!</v>
      </c>
      <c r="P854" s="1040" t="e">
        <f t="shared" si="141"/>
        <v>#DIV/0!</v>
      </c>
      <c r="Q854" s="1040" t="e">
        <f t="shared" si="141"/>
        <v>#DIV/0!</v>
      </c>
      <c r="R854" s="1040" t="e">
        <f t="shared" si="141"/>
        <v>#DIV/0!</v>
      </c>
      <c r="S854" s="1040" t="e">
        <f t="shared" si="141"/>
        <v>#DIV/0!</v>
      </c>
      <c r="T854" s="1040" t="e">
        <f t="shared" si="141"/>
        <v>#DIV/0!</v>
      </c>
      <c r="U854" s="1040" t="e">
        <f t="shared" si="141"/>
        <v>#DIV/0!</v>
      </c>
      <c r="V854" s="1040" t="e">
        <f t="shared" si="141"/>
        <v>#DIV/0!</v>
      </c>
      <c r="W854" s="1040" t="e">
        <f t="shared" si="141"/>
        <v>#DIV/0!</v>
      </c>
      <c r="X854" s="1040" t="e">
        <f t="shared" si="141"/>
        <v>#DIV/0!</v>
      </c>
      <c r="Y854" s="1040" t="e">
        <f t="shared" si="141"/>
        <v>#DIV/0!</v>
      </c>
      <c r="Z854" s="1040" t="e">
        <f t="shared" si="141"/>
        <v>#DIV/0!</v>
      </c>
      <c r="AA854" s="1040" t="e">
        <f t="shared" si="141"/>
        <v>#DIV/0!</v>
      </c>
      <c r="AB854" s="1040" t="e">
        <f t="shared" si="141"/>
        <v>#DIV/0!</v>
      </c>
      <c r="AC854" s="1040" t="e">
        <f t="shared" si="141"/>
        <v>#DIV/0!</v>
      </c>
      <c r="AD854" s="1040" t="e">
        <f t="shared" si="141"/>
        <v>#DIV/0!</v>
      </c>
      <c r="AE854" s="1040" t="e">
        <f t="shared" si="141"/>
        <v>#DIV/0!</v>
      </c>
      <c r="AF854" s="1040" t="e">
        <f t="shared" si="141"/>
        <v>#DIV/0!</v>
      </c>
      <c r="AG854" s="1040" t="e">
        <f t="shared" si="141"/>
        <v>#DIV/0!</v>
      </c>
      <c r="AH854" s="1040" t="e">
        <f t="shared" si="141"/>
        <v>#DIV/0!</v>
      </c>
      <c r="AI854" s="1040" t="e">
        <f t="shared" si="141"/>
        <v>#DIV/0!</v>
      </c>
      <c r="AJ854" s="1040" t="e">
        <f t="shared" si="141"/>
        <v>#DIV/0!</v>
      </c>
      <c r="AK854" s="1040" t="e">
        <f t="shared" si="141"/>
        <v>#DIV/0!</v>
      </c>
      <c r="AL854" s="1040" t="e">
        <f t="shared" si="141"/>
        <v>#DIV/0!</v>
      </c>
      <c r="AM854" s="1040" t="e">
        <f t="shared" si="141"/>
        <v>#DIV/0!</v>
      </c>
      <c r="AN854" s="1040" t="e">
        <f t="shared" si="141"/>
        <v>#DIV/0!</v>
      </c>
      <c r="AO854" s="1040" t="e">
        <f t="shared" si="141"/>
        <v>#DIV/0!</v>
      </c>
      <c r="AP854" s="1040" t="e">
        <f t="shared" si="141"/>
        <v>#DIV/0!</v>
      </c>
      <c r="AQ854" s="1040" t="e">
        <f t="shared" si="141"/>
        <v>#DIV/0!</v>
      </c>
      <c r="AR854" s="1040" t="e">
        <f t="shared" si="141"/>
        <v>#DIV/0!</v>
      </c>
      <c r="AS854" s="1040" t="e">
        <f t="shared" ref="AS854:AY854" si="142">IF(AS54="",0,IF(OR(1=RANK(AS454,AS$412:AS$790,0),(2=RANK(AS454,AS$412:AS$790,0))),AS454,AS54))</f>
        <v>#DIV/0!</v>
      </c>
      <c r="AT854" s="1040" t="e">
        <f t="shared" si="142"/>
        <v>#DIV/0!</v>
      </c>
      <c r="AU854" s="1040">
        <f t="shared" si="142"/>
        <v>0</v>
      </c>
      <c r="AV854" s="1040" t="e">
        <f t="shared" si="142"/>
        <v>#DIV/0!</v>
      </c>
      <c r="AW854" s="1040" t="e">
        <f t="shared" si="142"/>
        <v>#DIV/0!</v>
      </c>
      <c r="AX854" s="1040" t="e">
        <f t="shared" si="142"/>
        <v>#DIV/0!</v>
      </c>
      <c r="AY854" s="1040" t="e">
        <f t="shared" si="142"/>
        <v>#DIV/0!</v>
      </c>
      <c r="AZ854" s="1061" t="s">
        <v>21</v>
      </c>
      <c r="BC854" s="29"/>
      <c r="BD854" s="29"/>
      <c r="BE854" s="13"/>
      <c r="BL854" s="368"/>
    </row>
    <row r="855" spans="1:64" ht="12" customHeight="1" x14ac:dyDescent="0.2">
      <c r="A855" s="39">
        <f>acute_overview_children!A55</f>
        <v>4</v>
      </c>
      <c r="B855" s="23">
        <f t="shared" si="55"/>
        <v>153990</v>
      </c>
      <c r="C855" s="23" t="str">
        <f t="shared" si="56"/>
        <v>Other cane fruit</v>
      </c>
      <c r="D855" s="135"/>
      <c r="E855" s="1027"/>
      <c r="F855" s="87"/>
      <c r="G855" s="87"/>
      <c r="H855" s="1027"/>
      <c r="I855" s="1030"/>
      <c r="J855" s="1039" t="e">
        <f t="shared" ref="J855:AR855" si="143">IF(J55="",0,IF(OR(1=RANK(J455,J$412:J$790,0),(2=RANK(J455,J$412:J$790,0))),J455,J55))</f>
        <v>#DIV/0!</v>
      </c>
      <c r="K855" s="1040" t="e">
        <f t="shared" si="143"/>
        <v>#DIV/0!</v>
      </c>
      <c r="L855" s="1040" t="e">
        <f t="shared" si="143"/>
        <v>#DIV/0!</v>
      </c>
      <c r="M855" s="1040" t="e">
        <f t="shared" si="143"/>
        <v>#DIV/0!</v>
      </c>
      <c r="N855" s="1040" t="e">
        <f t="shared" si="143"/>
        <v>#DIV/0!</v>
      </c>
      <c r="O855" s="1040" t="e">
        <f t="shared" si="143"/>
        <v>#DIV/0!</v>
      </c>
      <c r="P855" s="1040" t="e">
        <f t="shared" si="143"/>
        <v>#DIV/0!</v>
      </c>
      <c r="Q855" s="1040" t="e">
        <f t="shared" si="143"/>
        <v>#DIV/0!</v>
      </c>
      <c r="R855" s="1040" t="e">
        <f t="shared" si="143"/>
        <v>#DIV/0!</v>
      </c>
      <c r="S855" s="1040" t="e">
        <f t="shared" si="143"/>
        <v>#DIV/0!</v>
      </c>
      <c r="T855" s="1040" t="e">
        <f t="shared" si="143"/>
        <v>#DIV/0!</v>
      </c>
      <c r="U855" s="1040" t="e">
        <f t="shared" si="143"/>
        <v>#DIV/0!</v>
      </c>
      <c r="V855" s="1040" t="e">
        <f t="shared" si="143"/>
        <v>#DIV/0!</v>
      </c>
      <c r="W855" s="1040" t="e">
        <f t="shared" si="143"/>
        <v>#DIV/0!</v>
      </c>
      <c r="X855" s="1040" t="e">
        <f t="shared" si="143"/>
        <v>#DIV/0!</v>
      </c>
      <c r="Y855" s="1040" t="e">
        <f t="shared" si="143"/>
        <v>#DIV/0!</v>
      </c>
      <c r="Z855" s="1040" t="e">
        <f t="shared" si="143"/>
        <v>#DIV/0!</v>
      </c>
      <c r="AA855" s="1040" t="e">
        <f t="shared" si="143"/>
        <v>#DIV/0!</v>
      </c>
      <c r="AB855" s="1040" t="e">
        <f t="shared" si="143"/>
        <v>#DIV/0!</v>
      </c>
      <c r="AC855" s="1040" t="e">
        <f t="shared" si="143"/>
        <v>#DIV/0!</v>
      </c>
      <c r="AD855" s="1040" t="e">
        <f t="shared" si="143"/>
        <v>#DIV/0!</v>
      </c>
      <c r="AE855" s="1040" t="e">
        <f t="shared" si="143"/>
        <v>#DIV/0!</v>
      </c>
      <c r="AF855" s="1040" t="e">
        <f t="shared" si="143"/>
        <v>#DIV/0!</v>
      </c>
      <c r="AG855" s="1040" t="e">
        <f t="shared" si="143"/>
        <v>#DIV/0!</v>
      </c>
      <c r="AH855" s="1040" t="e">
        <f t="shared" si="143"/>
        <v>#DIV/0!</v>
      </c>
      <c r="AI855" s="1040" t="e">
        <f t="shared" si="143"/>
        <v>#DIV/0!</v>
      </c>
      <c r="AJ855" s="1040" t="e">
        <f t="shared" si="143"/>
        <v>#DIV/0!</v>
      </c>
      <c r="AK855" s="1040" t="e">
        <f t="shared" si="143"/>
        <v>#DIV/0!</v>
      </c>
      <c r="AL855" s="1040" t="e">
        <f t="shared" si="143"/>
        <v>#DIV/0!</v>
      </c>
      <c r="AM855" s="1040" t="e">
        <f t="shared" si="143"/>
        <v>#DIV/0!</v>
      </c>
      <c r="AN855" s="1040" t="e">
        <f t="shared" si="143"/>
        <v>#DIV/0!</v>
      </c>
      <c r="AO855" s="1040" t="e">
        <f t="shared" si="143"/>
        <v>#DIV/0!</v>
      </c>
      <c r="AP855" s="1040" t="e">
        <f t="shared" si="143"/>
        <v>#DIV/0!</v>
      </c>
      <c r="AQ855" s="1040" t="e">
        <f t="shared" si="143"/>
        <v>#DIV/0!</v>
      </c>
      <c r="AR855" s="1040" t="e">
        <f t="shared" si="143"/>
        <v>#DIV/0!</v>
      </c>
      <c r="AS855" s="1040" t="e">
        <f t="shared" ref="AS855:AY855" si="144">IF(AS55="",0,IF(OR(1=RANK(AS455,AS$412:AS$790,0),(2=RANK(AS455,AS$412:AS$790,0))),AS455,AS55))</f>
        <v>#DIV/0!</v>
      </c>
      <c r="AT855" s="1040" t="e">
        <f t="shared" si="144"/>
        <v>#DIV/0!</v>
      </c>
      <c r="AU855" s="1040">
        <f t="shared" si="144"/>
        <v>0</v>
      </c>
      <c r="AV855" s="1040" t="e">
        <f t="shared" si="144"/>
        <v>#DIV/0!</v>
      </c>
      <c r="AW855" s="1040" t="e">
        <f t="shared" si="144"/>
        <v>#DIV/0!</v>
      </c>
      <c r="AX855" s="1040" t="e">
        <f t="shared" si="144"/>
        <v>#DIV/0!</v>
      </c>
      <c r="AY855" s="1040" t="e">
        <f t="shared" si="144"/>
        <v>#DIV/0!</v>
      </c>
      <c r="AZ855" s="1061" t="s">
        <v>21</v>
      </c>
      <c r="BC855" s="29"/>
      <c r="BD855" s="29"/>
      <c r="BE855" s="13"/>
      <c r="BL855" s="368"/>
    </row>
    <row r="856" spans="1:64" ht="12" customHeight="1" x14ac:dyDescent="0.2">
      <c r="A856" s="132">
        <f>acute_overview_children!A56</f>
        <v>3</v>
      </c>
      <c r="B856" s="3">
        <f t="shared" si="55"/>
        <v>154000</v>
      </c>
      <c r="C856" s="3" t="str">
        <f t="shared" si="56"/>
        <v xml:space="preserve">Other small fruit &amp; berries </v>
      </c>
      <c r="D856" s="1042"/>
      <c r="E856" s="1027"/>
      <c r="F856" s="87"/>
      <c r="G856" s="87"/>
      <c r="H856" s="1027"/>
      <c r="I856" s="1030"/>
      <c r="J856" s="1043" t="e">
        <f t="shared" ref="J856:AR856" si="145">IF(J56="",0,IF(OR(1=RANK(J456,J$412:J$790,0),(2=RANK(J456,J$412:J$790,0))),J456,J56))</f>
        <v>#DIV/0!</v>
      </c>
      <c r="K856" s="1044" t="e">
        <f t="shared" si="145"/>
        <v>#DIV/0!</v>
      </c>
      <c r="L856" s="1044" t="e">
        <f t="shared" si="145"/>
        <v>#DIV/0!</v>
      </c>
      <c r="M856" s="1044" t="e">
        <f t="shared" si="145"/>
        <v>#DIV/0!</v>
      </c>
      <c r="N856" s="1044" t="e">
        <f t="shared" si="145"/>
        <v>#DIV/0!</v>
      </c>
      <c r="O856" s="1044" t="e">
        <f t="shared" si="145"/>
        <v>#DIV/0!</v>
      </c>
      <c r="P856" s="1044" t="e">
        <f t="shared" si="145"/>
        <v>#DIV/0!</v>
      </c>
      <c r="Q856" s="1044" t="e">
        <f t="shared" si="145"/>
        <v>#DIV/0!</v>
      </c>
      <c r="R856" s="1044" t="e">
        <f t="shared" si="145"/>
        <v>#DIV/0!</v>
      </c>
      <c r="S856" s="1044" t="e">
        <f t="shared" si="145"/>
        <v>#DIV/0!</v>
      </c>
      <c r="T856" s="1044" t="e">
        <f t="shared" si="145"/>
        <v>#DIV/0!</v>
      </c>
      <c r="U856" s="1044" t="e">
        <f t="shared" si="145"/>
        <v>#DIV/0!</v>
      </c>
      <c r="V856" s="1044" t="e">
        <f t="shared" si="145"/>
        <v>#DIV/0!</v>
      </c>
      <c r="W856" s="1044" t="e">
        <f t="shared" si="145"/>
        <v>#DIV/0!</v>
      </c>
      <c r="X856" s="1044" t="e">
        <f t="shared" si="145"/>
        <v>#DIV/0!</v>
      </c>
      <c r="Y856" s="1044" t="e">
        <f t="shared" si="145"/>
        <v>#DIV/0!</v>
      </c>
      <c r="Z856" s="1044" t="e">
        <f t="shared" si="145"/>
        <v>#DIV/0!</v>
      </c>
      <c r="AA856" s="1044" t="e">
        <f t="shared" si="145"/>
        <v>#DIV/0!</v>
      </c>
      <c r="AB856" s="1044" t="e">
        <f t="shared" si="145"/>
        <v>#DIV/0!</v>
      </c>
      <c r="AC856" s="1044" t="e">
        <f t="shared" si="145"/>
        <v>#DIV/0!</v>
      </c>
      <c r="AD856" s="1044" t="e">
        <f t="shared" si="145"/>
        <v>#DIV/0!</v>
      </c>
      <c r="AE856" s="1044" t="e">
        <f t="shared" si="145"/>
        <v>#DIV/0!</v>
      </c>
      <c r="AF856" s="1044" t="e">
        <f t="shared" si="145"/>
        <v>#DIV/0!</v>
      </c>
      <c r="AG856" s="1044" t="e">
        <f t="shared" si="145"/>
        <v>#DIV/0!</v>
      </c>
      <c r="AH856" s="1044" t="e">
        <f t="shared" si="145"/>
        <v>#DIV/0!</v>
      </c>
      <c r="AI856" s="1044" t="e">
        <f t="shared" si="145"/>
        <v>#DIV/0!</v>
      </c>
      <c r="AJ856" s="1044" t="e">
        <f t="shared" si="145"/>
        <v>#DIV/0!</v>
      </c>
      <c r="AK856" s="1044" t="e">
        <f t="shared" si="145"/>
        <v>#DIV/0!</v>
      </c>
      <c r="AL856" s="1044" t="e">
        <f t="shared" si="145"/>
        <v>#DIV/0!</v>
      </c>
      <c r="AM856" s="1044" t="e">
        <f t="shared" si="145"/>
        <v>#DIV/0!</v>
      </c>
      <c r="AN856" s="1044" t="e">
        <f t="shared" si="145"/>
        <v>#DIV/0!</v>
      </c>
      <c r="AO856" s="1044" t="e">
        <f t="shared" si="145"/>
        <v>#DIV/0!</v>
      </c>
      <c r="AP856" s="1044" t="e">
        <f t="shared" si="145"/>
        <v>#DIV/0!</v>
      </c>
      <c r="AQ856" s="1044" t="e">
        <f t="shared" si="145"/>
        <v>#DIV/0!</v>
      </c>
      <c r="AR856" s="1044" t="e">
        <f t="shared" si="145"/>
        <v>#DIV/0!</v>
      </c>
      <c r="AS856" s="1044" t="e">
        <f t="shared" ref="AS856:AY856" si="146">IF(AS56="",0,IF(OR(1=RANK(AS456,AS$412:AS$790,0),(2=RANK(AS456,AS$412:AS$790,0))),AS456,AS56))</f>
        <v>#DIV/0!</v>
      </c>
      <c r="AT856" s="1044" t="e">
        <f t="shared" si="146"/>
        <v>#DIV/0!</v>
      </c>
      <c r="AU856" s="1044">
        <f t="shared" si="146"/>
        <v>0</v>
      </c>
      <c r="AV856" s="1044" t="e">
        <f t="shared" si="146"/>
        <v>#DIV/0!</v>
      </c>
      <c r="AW856" s="1044" t="e">
        <f t="shared" si="146"/>
        <v>#DIV/0!</v>
      </c>
      <c r="AX856" s="1044" t="e">
        <f t="shared" si="146"/>
        <v>#DIV/0!</v>
      </c>
      <c r="AY856" s="1044" t="e">
        <f t="shared" si="146"/>
        <v>#DIV/0!</v>
      </c>
      <c r="AZ856" s="1061" t="s">
        <v>21</v>
      </c>
      <c r="BC856" s="29"/>
      <c r="BD856" s="29"/>
      <c r="BE856" s="13"/>
      <c r="BL856" s="368"/>
    </row>
    <row r="857" spans="1:64" ht="12" customHeight="1" x14ac:dyDescent="0.2">
      <c r="A857" s="39">
        <f>acute_overview_children!A57</f>
        <v>4</v>
      </c>
      <c r="B857" s="23">
        <f t="shared" si="55"/>
        <v>154010</v>
      </c>
      <c r="C857" s="23" t="str">
        <f t="shared" si="56"/>
        <v>Blueberries</v>
      </c>
      <c r="D857" s="135"/>
      <c r="E857" s="1027"/>
      <c r="F857" s="87"/>
      <c r="G857" s="87"/>
      <c r="H857" s="1027"/>
      <c r="I857" s="1030"/>
      <c r="J857" s="1039" t="e">
        <f t="shared" ref="J857:AR857" si="147">IF(J57="",0,IF(OR(1=RANK(J457,J$412:J$790,0),(2=RANK(J457,J$412:J$790,0))),J457,J57))</f>
        <v>#DIV/0!</v>
      </c>
      <c r="K857" s="1040" t="e">
        <f t="shared" si="147"/>
        <v>#DIV/0!</v>
      </c>
      <c r="L857" s="1040" t="e">
        <f t="shared" si="147"/>
        <v>#DIV/0!</v>
      </c>
      <c r="M857" s="1040" t="e">
        <f t="shared" si="147"/>
        <v>#DIV/0!</v>
      </c>
      <c r="N857" s="1040" t="e">
        <f t="shared" si="147"/>
        <v>#DIV/0!</v>
      </c>
      <c r="O857" s="1040" t="e">
        <f t="shared" si="147"/>
        <v>#DIV/0!</v>
      </c>
      <c r="P857" s="1040" t="e">
        <f t="shared" si="147"/>
        <v>#DIV/0!</v>
      </c>
      <c r="Q857" s="1040" t="e">
        <f t="shared" si="147"/>
        <v>#DIV/0!</v>
      </c>
      <c r="R857" s="1040" t="e">
        <f t="shared" si="147"/>
        <v>#DIV/0!</v>
      </c>
      <c r="S857" s="1040" t="e">
        <f t="shared" si="147"/>
        <v>#DIV/0!</v>
      </c>
      <c r="T857" s="1040" t="e">
        <f t="shared" si="147"/>
        <v>#DIV/0!</v>
      </c>
      <c r="U857" s="1040" t="e">
        <f t="shared" si="147"/>
        <v>#DIV/0!</v>
      </c>
      <c r="V857" s="1040" t="e">
        <f t="shared" si="147"/>
        <v>#DIV/0!</v>
      </c>
      <c r="W857" s="1040" t="e">
        <f t="shared" si="147"/>
        <v>#DIV/0!</v>
      </c>
      <c r="X857" s="1040" t="e">
        <f t="shared" si="147"/>
        <v>#DIV/0!</v>
      </c>
      <c r="Y857" s="1040" t="e">
        <f t="shared" si="147"/>
        <v>#DIV/0!</v>
      </c>
      <c r="Z857" s="1040" t="e">
        <f t="shared" si="147"/>
        <v>#DIV/0!</v>
      </c>
      <c r="AA857" s="1040" t="e">
        <f t="shared" si="147"/>
        <v>#DIV/0!</v>
      </c>
      <c r="AB857" s="1040" t="e">
        <f t="shared" si="147"/>
        <v>#DIV/0!</v>
      </c>
      <c r="AC857" s="1040" t="e">
        <f t="shared" si="147"/>
        <v>#DIV/0!</v>
      </c>
      <c r="AD857" s="1040" t="e">
        <f t="shared" si="147"/>
        <v>#DIV/0!</v>
      </c>
      <c r="AE857" s="1040" t="e">
        <f t="shared" si="147"/>
        <v>#DIV/0!</v>
      </c>
      <c r="AF857" s="1040" t="e">
        <f t="shared" si="147"/>
        <v>#DIV/0!</v>
      </c>
      <c r="AG857" s="1040" t="e">
        <f t="shared" si="147"/>
        <v>#DIV/0!</v>
      </c>
      <c r="AH857" s="1040" t="e">
        <f t="shared" si="147"/>
        <v>#DIV/0!</v>
      </c>
      <c r="AI857" s="1040" t="e">
        <f t="shared" si="147"/>
        <v>#DIV/0!</v>
      </c>
      <c r="AJ857" s="1040" t="e">
        <f t="shared" si="147"/>
        <v>#DIV/0!</v>
      </c>
      <c r="AK857" s="1040" t="e">
        <f t="shared" si="147"/>
        <v>#DIV/0!</v>
      </c>
      <c r="AL857" s="1040" t="e">
        <f t="shared" si="147"/>
        <v>#DIV/0!</v>
      </c>
      <c r="AM857" s="1040" t="e">
        <f t="shared" si="147"/>
        <v>#DIV/0!</v>
      </c>
      <c r="AN857" s="1040" t="e">
        <f t="shared" si="147"/>
        <v>#DIV/0!</v>
      </c>
      <c r="AO857" s="1040" t="e">
        <f t="shared" si="147"/>
        <v>#DIV/0!</v>
      </c>
      <c r="AP857" s="1040" t="e">
        <f t="shared" si="147"/>
        <v>#DIV/0!</v>
      </c>
      <c r="AQ857" s="1040" t="e">
        <f t="shared" si="147"/>
        <v>#DIV/0!</v>
      </c>
      <c r="AR857" s="1040" t="e">
        <f t="shared" si="147"/>
        <v>#DIV/0!</v>
      </c>
      <c r="AS857" s="1040" t="e">
        <f t="shared" ref="AS857:AY857" si="148">IF(AS57="",0,IF(OR(1=RANK(AS457,AS$412:AS$790,0),(2=RANK(AS457,AS$412:AS$790,0))),AS457,AS57))</f>
        <v>#DIV/0!</v>
      </c>
      <c r="AT857" s="1040" t="e">
        <f t="shared" si="148"/>
        <v>#DIV/0!</v>
      </c>
      <c r="AU857" s="1040">
        <f t="shared" si="148"/>
        <v>0</v>
      </c>
      <c r="AV857" s="1040" t="e">
        <f t="shared" si="148"/>
        <v>#DIV/0!</v>
      </c>
      <c r="AW857" s="1040" t="e">
        <f t="shared" si="148"/>
        <v>#DIV/0!</v>
      </c>
      <c r="AX857" s="1040" t="e">
        <f t="shared" si="148"/>
        <v>#DIV/0!</v>
      </c>
      <c r="AY857" s="1040" t="e">
        <f t="shared" si="148"/>
        <v>#DIV/0!</v>
      </c>
      <c r="AZ857" s="1061" t="s">
        <v>21</v>
      </c>
      <c r="BC857" s="29"/>
      <c r="BD857" s="29"/>
      <c r="BE857" s="13"/>
      <c r="BL857" s="368"/>
    </row>
    <row r="858" spans="1:64" ht="12" customHeight="1" x14ac:dyDescent="0.2">
      <c r="A858" s="39">
        <f>acute_overview_children!A58</f>
        <v>4</v>
      </c>
      <c r="B858" s="23">
        <f t="shared" si="55"/>
        <v>154020</v>
      </c>
      <c r="C858" s="23" t="str">
        <f t="shared" si="56"/>
        <v>Cranberries</v>
      </c>
      <c r="D858" s="135"/>
      <c r="E858" s="1027"/>
      <c r="F858" s="87"/>
      <c r="G858" s="87"/>
      <c r="H858" s="1027"/>
      <c r="I858" s="1030"/>
      <c r="J858" s="1039" t="e">
        <f t="shared" ref="J858:AR858" si="149">IF(J58="",0,IF(OR(1=RANK(J458,J$412:J$790,0),(2=RANK(J458,J$412:J$790,0))),J458,J58))</f>
        <v>#DIV/0!</v>
      </c>
      <c r="K858" s="1040" t="e">
        <f t="shared" si="149"/>
        <v>#DIV/0!</v>
      </c>
      <c r="L858" s="1040" t="e">
        <f t="shared" si="149"/>
        <v>#DIV/0!</v>
      </c>
      <c r="M858" s="1040" t="e">
        <f t="shared" si="149"/>
        <v>#DIV/0!</v>
      </c>
      <c r="N858" s="1040" t="e">
        <f t="shared" si="149"/>
        <v>#DIV/0!</v>
      </c>
      <c r="O858" s="1040" t="e">
        <f t="shared" si="149"/>
        <v>#DIV/0!</v>
      </c>
      <c r="P858" s="1040" t="e">
        <f t="shared" si="149"/>
        <v>#DIV/0!</v>
      </c>
      <c r="Q858" s="1040" t="e">
        <f t="shared" si="149"/>
        <v>#DIV/0!</v>
      </c>
      <c r="R858" s="1040" t="e">
        <f t="shared" si="149"/>
        <v>#DIV/0!</v>
      </c>
      <c r="S858" s="1040" t="e">
        <f t="shared" si="149"/>
        <v>#DIV/0!</v>
      </c>
      <c r="T858" s="1040" t="e">
        <f t="shared" si="149"/>
        <v>#DIV/0!</v>
      </c>
      <c r="U858" s="1040" t="e">
        <f t="shared" si="149"/>
        <v>#DIV/0!</v>
      </c>
      <c r="V858" s="1040" t="e">
        <f t="shared" si="149"/>
        <v>#DIV/0!</v>
      </c>
      <c r="W858" s="1040" t="e">
        <f t="shared" si="149"/>
        <v>#DIV/0!</v>
      </c>
      <c r="X858" s="1040" t="e">
        <f t="shared" si="149"/>
        <v>#DIV/0!</v>
      </c>
      <c r="Y858" s="1040" t="e">
        <f t="shared" si="149"/>
        <v>#DIV/0!</v>
      </c>
      <c r="Z858" s="1040" t="e">
        <f t="shared" si="149"/>
        <v>#DIV/0!</v>
      </c>
      <c r="AA858" s="1040" t="e">
        <f t="shared" si="149"/>
        <v>#DIV/0!</v>
      </c>
      <c r="AB858" s="1040" t="e">
        <f t="shared" si="149"/>
        <v>#DIV/0!</v>
      </c>
      <c r="AC858" s="1040" t="e">
        <f t="shared" si="149"/>
        <v>#DIV/0!</v>
      </c>
      <c r="AD858" s="1040" t="e">
        <f t="shared" si="149"/>
        <v>#DIV/0!</v>
      </c>
      <c r="AE858" s="1040" t="e">
        <f t="shared" si="149"/>
        <v>#DIV/0!</v>
      </c>
      <c r="AF858" s="1040" t="e">
        <f t="shared" si="149"/>
        <v>#DIV/0!</v>
      </c>
      <c r="AG858" s="1040" t="e">
        <f t="shared" si="149"/>
        <v>#DIV/0!</v>
      </c>
      <c r="AH858" s="1040" t="e">
        <f t="shared" si="149"/>
        <v>#DIV/0!</v>
      </c>
      <c r="AI858" s="1040" t="e">
        <f t="shared" si="149"/>
        <v>#DIV/0!</v>
      </c>
      <c r="AJ858" s="1040" t="e">
        <f t="shared" si="149"/>
        <v>#DIV/0!</v>
      </c>
      <c r="AK858" s="1040" t="e">
        <f t="shared" si="149"/>
        <v>#DIV/0!</v>
      </c>
      <c r="AL858" s="1040" t="e">
        <f t="shared" si="149"/>
        <v>#DIV/0!</v>
      </c>
      <c r="AM858" s="1040" t="e">
        <f t="shared" si="149"/>
        <v>#DIV/0!</v>
      </c>
      <c r="AN858" s="1040" t="e">
        <f t="shared" si="149"/>
        <v>#DIV/0!</v>
      </c>
      <c r="AO858" s="1040" t="e">
        <f t="shared" si="149"/>
        <v>#DIV/0!</v>
      </c>
      <c r="AP858" s="1040" t="e">
        <f t="shared" si="149"/>
        <v>#DIV/0!</v>
      </c>
      <c r="AQ858" s="1040" t="e">
        <f t="shared" si="149"/>
        <v>#DIV/0!</v>
      </c>
      <c r="AR858" s="1040" t="e">
        <f t="shared" si="149"/>
        <v>#DIV/0!</v>
      </c>
      <c r="AS858" s="1040" t="e">
        <f t="shared" ref="AS858:AY858" si="150">IF(AS58="",0,IF(OR(1=RANK(AS458,AS$412:AS$790,0),(2=RANK(AS458,AS$412:AS$790,0))),AS458,AS58))</f>
        <v>#DIV/0!</v>
      </c>
      <c r="AT858" s="1040" t="e">
        <f t="shared" si="150"/>
        <v>#DIV/0!</v>
      </c>
      <c r="AU858" s="1040">
        <f t="shared" si="150"/>
        <v>0</v>
      </c>
      <c r="AV858" s="1040" t="e">
        <f t="shared" si="150"/>
        <v>#DIV/0!</v>
      </c>
      <c r="AW858" s="1040" t="e">
        <f t="shared" si="150"/>
        <v>#DIV/0!</v>
      </c>
      <c r="AX858" s="1040" t="e">
        <f t="shared" si="150"/>
        <v>#DIV/0!</v>
      </c>
      <c r="AY858" s="1040" t="e">
        <f t="shared" si="150"/>
        <v>#DIV/0!</v>
      </c>
      <c r="AZ858" s="1061" t="s">
        <v>21</v>
      </c>
      <c r="BC858" s="29"/>
      <c r="BD858" s="29"/>
      <c r="BE858" s="13"/>
      <c r="BL858" s="368"/>
    </row>
    <row r="859" spans="1:64" ht="12" customHeight="1" x14ac:dyDescent="0.2">
      <c r="A859" s="39">
        <f>acute_overview_children!A59</f>
        <v>4</v>
      </c>
      <c r="B859" s="23">
        <f t="shared" si="55"/>
        <v>154030</v>
      </c>
      <c r="C859" s="23" t="str">
        <f t="shared" si="56"/>
        <v>Currants (red, black and white)</v>
      </c>
      <c r="D859" s="135"/>
      <c r="E859" s="1027"/>
      <c r="F859" s="87"/>
      <c r="G859" s="87"/>
      <c r="H859" s="1027"/>
      <c r="I859" s="1030"/>
      <c r="J859" s="1039" t="e">
        <f t="shared" ref="J859:AR859" si="151">IF(J59="",0,IF(OR(1=RANK(J459,J$412:J$790,0),(2=RANK(J459,J$412:J$790,0))),J459,J59))</f>
        <v>#DIV/0!</v>
      </c>
      <c r="K859" s="1040" t="e">
        <f t="shared" si="151"/>
        <v>#DIV/0!</v>
      </c>
      <c r="L859" s="1040" t="e">
        <f t="shared" si="151"/>
        <v>#DIV/0!</v>
      </c>
      <c r="M859" s="1040" t="e">
        <f t="shared" si="151"/>
        <v>#DIV/0!</v>
      </c>
      <c r="N859" s="1040" t="e">
        <f t="shared" si="151"/>
        <v>#DIV/0!</v>
      </c>
      <c r="O859" s="1040" t="e">
        <f t="shared" si="151"/>
        <v>#DIV/0!</v>
      </c>
      <c r="P859" s="1040" t="e">
        <f t="shared" si="151"/>
        <v>#DIV/0!</v>
      </c>
      <c r="Q859" s="1040" t="e">
        <f t="shared" si="151"/>
        <v>#DIV/0!</v>
      </c>
      <c r="R859" s="1040" t="e">
        <f t="shared" si="151"/>
        <v>#DIV/0!</v>
      </c>
      <c r="S859" s="1040" t="e">
        <f t="shared" si="151"/>
        <v>#DIV/0!</v>
      </c>
      <c r="T859" s="1040" t="e">
        <f t="shared" si="151"/>
        <v>#DIV/0!</v>
      </c>
      <c r="U859" s="1040" t="e">
        <f t="shared" si="151"/>
        <v>#DIV/0!</v>
      </c>
      <c r="V859" s="1040" t="e">
        <f t="shared" si="151"/>
        <v>#DIV/0!</v>
      </c>
      <c r="W859" s="1040" t="e">
        <f t="shared" si="151"/>
        <v>#DIV/0!</v>
      </c>
      <c r="X859" s="1040" t="e">
        <f t="shared" si="151"/>
        <v>#DIV/0!</v>
      </c>
      <c r="Y859" s="1040" t="e">
        <f t="shared" si="151"/>
        <v>#DIV/0!</v>
      </c>
      <c r="Z859" s="1040" t="e">
        <f t="shared" si="151"/>
        <v>#DIV/0!</v>
      </c>
      <c r="AA859" s="1040" t="e">
        <f t="shared" si="151"/>
        <v>#DIV/0!</v>
      </c>
      <c r="AB859" s="1040" t="e">
        <f t="shared" si="151"/>
        <v>#DIV/0!</v>
      </c>
      <c r="AC859" s="1040" t="e">
        <f t="shared" si="151"/>
        <v>#DIV/0!</v>
      </c>
      <c r="AD859" s="1040" t="e">
        <f t="shared" si="151"/>
        <v>#DIV/0!</v>
      </c>
      <c r="AE859" s="1040" t="e">
        <f t="shared" si="151"/>
        <v>#DIV/0!</v>
      </c>
      <c r="AF859" s="1040" t="e">
        <f t="shared" si="151"/>
        <v>#DIV/0!</v>
      </c>
      <c r="AG859" s="1040" t="e">
        <f t="shared" si="151"/>
        <v>#DIV/0!</v>
      </c>
      <c r="AH859" s="1040" t="e">
        <f t="shared" si="151"/>
        <v>#DIV/0!</v>
      </c>
      <c r="AI859" s="1040" t="e">
        <f t="shared" si="151"/>
        <v>#DIV/0!</v>
      </c>
      <c r="AJ859" s="1040" t="e">
        <f t="shared" si="151"/>
        <v>#DIV/0!</v>
      </c>
      <c r="AK859" s="1040" t="e">
        <f t="shared" si="151"/>
        <v>#DIV/0!</v>
      </c>
      <c r="AL859" s="1040" t="e">
        <f t="shared" si="151"/>
        <v>#DIV/0!</v>
      </c>
      <c r="AM859" s="1040" t="e">
        <f t="shared" si="151"/>
        <v>#DIV/0!</v>
      </c>
      <c r="AN859" s="1040" t="e">
        <f t="shared" si="151"/>
        <v>#DIV/0!</v>
      </c>
      <c r="AO859" s="1040" t="e">
        <f t="shared" si="151"/>
        <v>#DIV/0!</v>
      </c>
      <c r="AP859" s="1040" t="e">
        <f t="shared" si="151"/>
        <v>#DIV/0!</v>
      </c>
      <c r="AQ859" s="1040" t="e">
        <f t="shared" si="151"/>
        <v>#DIV/0!</v>
      </c>
      <c r="AR859" s="1040" t="e">
        <f t="shared" si="151"/>
        <v>#DIV/0!</v>
      </c>
      <c r="AS859" s="1040" t="e">
        <f t="shared" ref="AS859:AY859" si="152">IF(AS59="",0,IF(OR(1=RANK(AS459,AS$412:AS$790,0),(2=RANK(AS459,AS$412:AS$790,0))),AS459,AS59))</f>
        <v>#DIV/0!</v>
      </c>
      <c r="AT859" s="1040" t="e">
        <f t="shared" si="152"/>
        <v>#DIV/0!</v>
      </c>
      <c r="AU859" s="1040">
        <f t="shared" si="152"/>
        <v>0</v>
      </c>
      <c r="AV859" s="1040" t="e">
        <f t="shared" si="152"/>
        <v>#DIV/0!</v>
      </c>
      <c r="AW859" s="1040" t="e">
        <f t="shared" si="152"/>
        <v>#DIV/0!</v>
      </c>
      <c r="AX859" s="1040" t="e">
        <f t="shared" si="152"/>
        <v>#DIV/0!</v>
      </c>
      <c r="AY859" s="1040" t="e">
        <f t="shared" si="152"/>
        <v>#DIV/0!</v>
      </c>
      <c r="AZ859" s="1061" t="s">
        <v>21</v>
      </c>
      <c r="BC859" s="29"/>
      <c r="BD859" s="29"/>
      <c r="BE859" s="13"/>
      <c r="BL859" s="368"/>
    </row>
    <row r="860" spans="1:64" ht="12" customHeight="1" x14ac:dyDescent="0.2">
      <c r="A860" s="39">
        <f>acute_overview_children!A60</f>
        <v>4</v>
      </c>
      <c r="B860" s="23">
        <f t="shared" si="55"/>
        <v>154040</v>
      </c>
      <c r="C860" s="23" t="str">
        <f t="shared" si="56"/>
        <v>Gooseberries (green, red and yellow)</v>
      </c>
      <c r="D860" s="135"/>
      <c r="E860" s="1027"/>
      <c r="F860" s="87"/>
      <c r="G860" s="87"/>
      <c r="H860" s="1027"/>
      <c r="I860" s="1030"/>
      <c r="J860" s="1039" t="e">
        <f t="shared" ref="J860:AR860" si="153">IF(J60="",0,IF(OR(1=RANK(J460,J$412:J$790,0),(2=RANK(J460,J$412:J$790,0))),J460,J60))</f>
        <v>#DIV/0!</v>
      </c>
      <c r="K860" s="1040" t="e">
        <f t="shared" si="153"/>
        <v>#DIV/0!</v>
      </c>
      <c r="L860" s="1040" t="e">
        <f t="shared" si="153"/>
        <v>#DIV/0!</v>
      </c>
      <c r="M860" s="1040" t="e">
        <f t="shared" si="153"/>
        <v>#DIV/0!</v>
      </c>
      <c r="N860" s="1040" t="e">
        <f t="shared" si="153"/>
        <v>#DIV/0!</v>
      </c>
      <c r="O860" s="1040" t="e">
        <f t="shared" si="153"/>
        <v>#DIV/0!</v>
      </c>
      <c r="P860" s="1040" t="e">
        <f t="shared" si="153"/>
        <v>#DIV/0!</v>
      </c>
      <c r="Q860" s="1040" t="e">
        <f t="shared" si="153"/>
        <v>#DIV/0!</v>
      </c>
      <c r="R860" s="1040" t="e">
        <f t="shared" si="153"/>
        <v>#DIV/0!</v>
      </c>
      <c r="S860" s="1040" t="e">
        <f t="shared" si="153"/>
        <v>#DIV/0!</v>
      </c>
      <c r="T860" s="1040" t="e">
        <f t="shared" si="153"/>
        <v>#DIV/0!</v>
      </c>
      <c r="U860" s="1040" t="e">
        <f t="shared" si="153"/>
        <v>#DIV/0!</v>
      </c>
      <c r="V860" s="1040" t="e">
        <f t="shared" si="153"/>
        <v>#DIV/0!</v>
      </c>
      <c r="W860" s="1040" t="e">
        <f t="shared" si="153"/>
        <v>#DIV/0!</v>
      </c>
      <c r="X860" s="1040" t="e">
        <f t="shared" si="153"/>
        <v>#DIV/0!</v>
      </c>
      <c r="Y860" s="1040" t="e">
        <f t="shared" si="153"/>
        <v>#DIV/0!</v>
      </c>
      <c r="Z860" s="1040" t="e">
        <f t="shared" si="153"/>
        <v>#DIV/0!</v>
      </c>
      <c r="AA860" s="1040" t="e">
        <f t="shared" si="153"/>
        <v>#DIV/0!</v>
      </c>
      <c r="AB860" s="1040" t="e">
        <f t="shared" si="153"/>
        <v>#DIV/0!</v>
      </c>
      <c r="AC860" s="1040" t="e">
        <f t="shared" si="153"/>
        <v>#DIV/0!</v>
      </c>
      <c r="AD860" s="1040" t="e">
        <f t="shared" si="153"/>
        <v>#DIV/0!</v>
      </c>
      <c r="AE860" s="1040" t="e">
        <f t="shared" si="153"/>
        <v>#DIV/0!</v>
      </c>
      <c r="AF860" s="1040" t="e">
        <f t="shared" si="153"/>
        <v>#DIV/0!</v>
      </c>
      <c r="AG860" s="1040" t="e">
        <f t="shared" si="153"/>
        <v>#DIV/0!</v>
      </c>
      <c r="AH860" s="1040" t="e">
        <f t="shared" si="153"/>
        <v>#DIV/0!</v>
      </c>
      <c r="AI860" s="1040" t="e">
        <f t="shared" si="153"/>
        <v>#DIV/0!</v>
      </c>
      <c r="AJ860" s="1040" t="e">
        <f t="shared" si="153"/>
        <v>#DIV/0!</v>
      </c>
      <c r="AK860" s="1040" t="e">
        <f t="shared" si="153"/>
        <v>#DIV/0!</v>
      </c>
      <c r="AL860" s="1040" t="e">
        <f t="shared" si="153"/>
        <v>#DIV/0!</v>
      </c>
      <c r="AM860" s="1040" t="e">
        <f t="shared" si="153"/>
        <v>#DIV/0!</v>
      </c>
      <c r="AN860" s="1040" t="e">
        <f t="shared" si="153"/>
        <v>#DIV/0!</v>
      </c>
      <c r="AO860" s="1040" t="e">
        <f t="shared" si="153"/>
        <v>#DIV/0!</v>
      </c>
      <c r="AP860" s="1040" t="e">
        <f t="shared" si="153"/>
        <v>#DIV/0!</v>
      </c>
      <c r="AQ860" s="1040" t="e">
        <f t="shared" si="153"/>
        <v>#DIV/0!</v>
      </c>
      <c r="AR860" s="1040" t="e">
        <f t="shared" si="153"/>
        <v>#DIV/0!</v>
      </c>
      <c r="AS860" s="1040" t="e">
        <f t="shared" ref="AS860:AY860" si="154">IF(AS60="",0,IF(OR(1=RANK(AS460,AS$412:AS$790,0),(2=RANK(AS460,AS$412:AS$790,0))),AS460,AS60))</f>
        <v>#DIV/0!</v>
      </c>
      <c r="AT860" s="1040" t="e">
        <f t="shared" si="154"/>
        <v>#DIV/0!</v>
      </c>
      <c r="AU860" s="1040">
        <f t="shared" si="154"/>
        <v>0</v>
      </c>
      <c r="AV860" s="1040" t="e">
        <f t="shared" si="154"/>
        <v>#DIV/0!</v>
      </c>
      <c r="AW860" s="1040" t="e">
        <f t="shared" si="154"/>
        <v>#DIV/0!</v>
      </c>
      <c r="AX860" s="1040" t="e">
        <f t="shared" si="154"/>
        <v>#DIV/0!</v>
      </c>
      <c r="AY860" s="1040" t="e">
        <f t="shared" si="154"/>
        <v>#DIV/0!</v>
      </c>
      <c r="AZ860" s="1061" t="s">
        <v>21</v>
      </c>
      <c r="BC860" s="29"/>
      <c r="BD860" s="29"/>
      <c r="BE860" s="13"/>
      <c r="BL860" s="368"/>
    </row>
    <row r="861" spans="1:64" ht="12" customHeight="1" x14ac:dyDescent="0.2">
      <c r="A861" s="39">
        <f>acute_overview_children!A61</f>
        <v>4</v>
      </c>
      <c r="B861" s="23">
        <f t="shared" si="55"/>
        <v>154050</v>
      </c>
      <c r="C861" s="23" t="str">
        <f t="shared" si="56"/>
        <v>Rose hips</v>
      </c>
      <c r="D861" s="135"/>
      <c r="E861" s="1027"/>
      <c r="F861" s="87"/>
      <c r="G861" s="87"/>
      <c r="H861" s="1027"/>
      <c r="I861" s="1030"/>
      <c r="J861" s="1039" t="e">
        <f t="shared" ref="J861:AR861" si="155">IF(J61="",0,IF(OR(1=RANK(J461,J$412:J$790,0),(2=RANK(J461,J$412:J$790,0))),J461,J61))</f>
        <v>#DIV/0!</v>
      </c>
      <c r="K861" s="1040" t="e">
        <f t="shared" si="155"/>
        <v>#DIV/0!</v>
      </c>
      <c r="L861" s="1040" t="e">
        <f t="shared" si="155"/>
        <v>#DIV/0!</v>
      </c>
      <c r="M861" s="1040" t="e">
        <f t="shared" si="155"/>
        <v>#DIV/0!</v>
      </c>
      <c r="N861" s="1040" t="e">
        <f t="shared" si="155"/>
        <v>#DIV/0!</v>
      </c>
      <c r="O861" s="1040" t="e">
        <f t="shared" si="155"/>
        <v>#DIV/0!</v>
      </c>
      <c r="P861" s="1040" t="e">
        <f t="shared" si="155"/>
        <v>#DIV/0!</v>
      </c>
      <c r="Q861" s="1040" t="e">
        <f t="shared" si="155"/>
        <v>#DIV/0!</v>
      </c>
      <c r="R861" s="1040" t="e">
        <f t="shared" si="155"/>
        <v>#DIV/0!</v>
      </c>
      <c r="S861" s="1040" t="e">
        <f t="shared" si="155"/>
        <v>#DIV/0!</v>
      </c>
      <c r="T861" s="1040" t="e">
        <f t="shared" si="155"/>
        <v>#DIV/0!</v>
      </c>
      <c r="U861" s="1040" t="e">
        <f t="shared" si="155"/>
        <v>#DIV/0!</v>
      </c>
      <c r="V861" s="1040" t="e">
        <f t="shared" si="155"/>
        <v>#DIV/0!</v>
      </c>
      <c r="W861" s="1040" t="e">
        <f t="shared" si="155"/>
        <v>#DIV/0!</v>
      </c>
      <c r="X861" s="1040" t="e">
        <f t="shared" si="155"/>
        <v>#DIV/0!</v>
      </c>
      <c r="Y861" s="1040" t="e">
        <f t="shared" si="155"/>
        <v>#DIV/0!</v>
      </c>
      <c r="Z861" s="1040" t="e">
        <f t="shared" si="155"/>
        <v>#DIV/0!</v>
      </c>
      <c r="AA861" s="1040" t="e">
        <f t="shared" si="155"/>
        <v>#DIV/0!</v>
      </c>
      <c r="AB861" s="1040" t="e">
        <f t="shared" si="155"/>
        <v>#DIV/0!</v>
      </c>
      <c r="AC861" s="1040" t="e">
        <f t="shared" si="155"/>
        <v>#DIV/0!</v>
      </c>
      <c r="AD861" s="1040" t="e">
        <f t="shared" si="155"/>
        <v>#DIV/0!</v>
      </c>
      <c r="AE861" s="1040" t="e">
        <f t="shared" si="155"/>
        <v>#DIV/0!</v>
      </c>
      <c r="AF861" s="1040" t="e">
        <f t="shared" si="155"/>
        <v>#DIV/0!</v>
      </c>
      <c r="AG861" s="1040" t="e">
        <f t="shared" si="155"/>
        <v>#DIV/0!</v>
      </c>
      <c r="AH861" s="1040" t="e">
        <f t="shared" si="155"/>
        <v>#DIV/0!</v>
      </c>
      <c r="AI861" s="1040" t="e">
        <f t="shared" si="155"/>
        <v>#DIV/0!</v>
      </c>
      <c r="AJ861" s="1040" t="e">
        <f t="shared" si="155"/>
        <v>#DIV/0!</v>
      </c>
      <c r="AK861" s="1040" t="e">
        <f t="shared" si="155"/>
        <v>#DIV/0!</v>
      </c>
      <c r="AL861" s="1040" t="e">
        <f t="shared" si="155"/>
        <v>#DIV/0!</v>
      </c>
      <c r="AM861" s="1040" t="e">
        <f t="shared" si="155"/>
        <v>#DIV/0!</v>
      </c>
      <c r="AN861" s="1040" t="e">
        <f t="shared" si="155"/>
        <v>#DIV/0!</v>
      </c>
      <c r="AO861" s="1040" t="e">
        <f t="shared" si="155"/>
        <v>#DIV/0!</v>
      </c>
      <c r="AP861" s="1040" t="e">
        <f t="shared" si="155"/>
        <v>#DIV/0!</v>
      </c>
      <c r="AQ861" s="1040" t="e">
        <f t="shared" si="155"/>
        <v>#DIV/0!</v>
      </c>
      <c r="AR861" s="1040" t="e">
        <f t="shared" si="155"/>
        <v>#DIV/0!</v>
      </c>
      <c r="AS861" s="1040" t="e">
        <f t="shared" ref="AS861:AY861" si="156">IF(AS61="",0,IF(OR(1=RANK(AS461,AS$412:AS$790,0),(2=RANK(AS461,AS$412:AS$790,0))),AS461,AS61))</f>
        <v>#DIV/0!</v>
      </c>
      <c r="AT861" s="1040" t="e">
        <f t="shared" si="156"/>
        <v>#DIV/0!</v>
      </c>
      <c r="AU861" s="1040">
        <f t="shared" si="156"/>
        <v>0</v>
      </c>
      <c r="AV861" s="1040" t="e">
        <f t="shared" si="156"/>
        <v>#DIV/0!</v>
      </c>
      <c r="AW861" s="1040" t="e">
        <f t="shared" si="156"/>
        <v>#DIV/0!</v>
      </c>
      <c r="AX861" s="1040" t="e">
        <f t="shared" si="156"/>
        <v>#DIV/0!</v>
      </c>
      <c r="AY861" s="1040" t="e">
        <f t="shared" si="156"/>
        <v>#DIV/0!</v>
      </c>
      <c r="AZ861" s="1061" t="s">
        <v>21</v>
      </c>
      <c r="BC861" s="29"/>
      <c r="BD861" s="29"/>
      <c r="BE861" s="13"/>
      <c r="BL861" s="368"/>
    </row>
    <row r="862" spans="1:64" ht="12" customHeight="1" x14ac:dyDescent="0.2">
      <c r="A862" s="39">
        <f>acute_overview_children!A62</f>
        <v>4</v>
      </c>
      <c r="B862" s="23">
        <f t="shared" si="55"/>
        <v>154060</v>
      </c>
      <c r="C862" s="23" t="str">
        <f t="shared" si="56"/>
        <v>Mulberries (black and white)</v>
      </c>
      <c r="D862" s="135"/>
      <c r="E862" s="1027"/>
      <c r="F862" s="87"/>
      <c r="G862" s="87"/>
      <c r="H862" s="1027"/>
      <c r="I862" s="1030"/>
      <c r="J862" s="1039" t="e">
        <f t="shared" ref="J862:AR862" si="157">IF(J62="",0,IF(OR(1=RANK(J462,J$412:J$790,0),(2=RANK(J462,J$412:J$790,0))),J462,J62))</f>
        <v>#DIV/0!</v>
      </c>
      <c r="K862" s="1040" t="e">
        <f t="shared" si="157"/>
        <v>#DIV/0!</v>
      </c>
      <c r="L862" s="1040" t="e">
        <f t="shared" si="157"/>
        <v>#DIV/0!</v>
      </c>
      <c r="M862" s="1040" t="e">
        <f t="shared" si="157"/>
        <v>#DIV/0!</v>
      </c>
      <c r="N862" s="1040" t="e">
        <f t="shared" si="157"/>
        <v>#DIV/0!</v>
      </c>
      <c r="O862" s="1040" t="e">
        <f t="shared" si="157"/>
        <v>#DIV/0!</v>
      </c>
      <c r="P862" s="1040" t="e">
        <f t="shared" si="157"/>
        <v>#DIV/0!</v>
      </c>
      <c r="Q862" s="1040" t="e">
        <f t="shared" si="157"/>
        <v>#DIV/0!</v>
      </c>
      <c r="R862" s="1040" t="e">
        <f t="shared" si="157"/>
        <v>#DIV/0!</v>
      </c>
      <c r="S862" s="1040" t="e">
        <f t="shared" si="157"/>
        <v>#DIV/0!</v>
      </c>
      <c r="T862" s="1040" t="e">
        <f t="shared" si="157"/>
        <v>#DIV/0!</v>
      </c>
      <c r="U862" s="1040" t="e">
        <f t="shared" si="157"/>
        <v>#DIV/0!</v>
      </c>
      <c r="V862" s="1040" t="e">
        <f t="shared" si="157"/>
        <v>#DIV/0!</v>
      </c>
      <c r="W862" s="1040" t="e">
        <f t="shared" si="157"/>
        <v>#DIV/0!</v>
      </c>
      <c r="X862" s="1040" t="e">
        <f t="shared" si="157"/>
        <v>#DIV/0!</v>
      </c>
      <c r="Y862" s="1040" t="e">
        <f t="shared" si="157"/>
        <v>#DIV/0!</v>
      </c>
      <c r="Z862" s="1040" t="e">
        <f t="shared" si="157"/>
        <v>#DIV/0!</v>
      </c>
      <c r="AA862" s="1040" t="e">
        <f t="shared" si="157"/>
        <v>#DIV/0!</v>
      </c>
      <c r="AB862" s="1040" t="e">
        <f t="shared" si="157"/>
        <v>#DIV/0!</v>
      </c>
      <c r="AC862" s="1040" t="e">
        <f t="shared" si="157"/>
        <v>#DIV/0!</v>
      </c>
      <c r="AD862" s="1040" t="e">
        <f t="shared" si="157"/>
        <v>#DIV/0!</v>
      </c>
      <c r="AE862" s="1040" t="e">
        <f t="shared" si="157"/>
        <v>#DIV/0!</v>
      </c>
      <c r="AF862" s="1040" t="e">
        <f t="shared" si="157"/>
        <v>#DIV/0!</v>
      </c>
      <c r="AG862" s="1040" t="e">
        <f t="shared" si="157"/>
        <v>#DIV/0!</v>
      </c>
      <c r="AH862" s="1040" t="e">
        <f t="shared" si="157"/>
        <v>#DIV/0!</v>
      </c>
      <c r="AI862" s="1040" t="e">
        <f t="shared" si="157"/>
        <v>#DIV/0!</v>
      </c>
      <c r="AJ862" s="1040" t="e">
        <f t="shared" si="157"/>
        <v>#DIV/0!</v>
      </c>
      <c r="AK862" s="1040" t="e">
        <f t="shared" si="157"/>
        <v>#DIV/0!</v>
      </c>
      <c r="AL862" s="1040" t="e">
        <f t="shared" si="157"/>
        <v>#DIV/0!</v>
      </c>
      <c r="AM862" s="1040" t="e">
        <f t="shared" si="157"/>
        <v>#DIV/0!</v>
      </c>
      <c r="AN862" s="1040" t="e">
        <f t="shared" si="157"/>
        <v>#DIV/0!</v>
      </c>
      <c r="AO862" s="1040" t="e">
        <f t="shared" si="157"/>
        <v>#DIV/0!</v>
      </c>
      <c r="AP862" s="1040" t="e">
        <f t="shared" si="157"/>
        <v>#DIV/0!</v>
      </c>
      <c r="AQ862" s="1040" t="e">
        <f t="shared" si="157"/>
        <v>#DIV/0!</v>
      </c>
      <c r="AR862" s="1040" t="e">
        <f t="shared" si="157"/>
        <v>#DIV/0!</v>
      </c>
      <c r="AS862" s="1040" t="e">
        <f t="shared" ref="AS862:AY862" si="158">IF(AS62="",0,IF(OR(1=RANK(AS462,AS$412:AS$790,0),(2=RANK(AS462,AS$412:AS$790,0))),AS462,AS62))</f>
        <v>#DIV/0!</v>
      </c>
      <c r="AT862" s="1040" t="e">
        <f t="shared" si="158"/>
        <v>#DIV/0!</v>
      </c>
      <c r="AU862" s="1040">
        <f t="shared" si="158"/>
        <v>0</v>
      </c>
      <c r="AV862" s="1040" t="e">
        <f t="shared" si="158"/>
        <v>#DIV/0!</v>
      </c>
      <c r="AW862" s="1040" t="e">
        <f t="shared" si="158"/>
        <v>#DIV/0!</v>
      </c>
      <c r="AX862" s="1040" t="e">
        <f t="shared" si="158"/>
        <v>#DIV/0!</v>
      </c>
      <c r="AY862" s="1040" t="e">
        <f t="shared" si="158"/>
        <v>#DIV/0!</v>
      </c>
      <c r="AZ862" s="1061" t="s">
        <v>21</v>
      </c>
      <c r="BC862" s="29"/>
      <c r="BD862" s="29"/>
      <c r="BE862" s="13"/>
      <c r="BL862" s="368"/>
    </row>
    <row r="863" spans="1:64" ht="12" customHeight="1" x14ac:dyDescent="0.2">
      <c r="A863" s="39">
        <f>acute_overview_children!A63</f>
        <v>4</v>
      </c>
      <c r="B863" s="23">
        <f t="shared" si="55"/>
        <v>154070</v>
      </c>
      <c r="C863" s="23" t="str">
        <f t="shared" si="56"/>
        <v>Azarole/Mediteranean medlar</v>
      </c>
      <c r="D863" s="135"/>
      <c r="E863" s="1027"/>
      <c r="F863" s="87"/>
      <c r="G863" s="87"/>
      <c r="H863" s="1027"/>
      <c r="I863" s="1030"/>
      <c r="J863" s="1039" t="e">
        <f t="shared" ref="J863:AR863" si="159">IF(J63="",0,IF(OR(1=RANK(J463,J$412:J$790,0),(2=RANK(J463,J$412:J$790,0))),J463,J63))</f>
        <v>#DIV/0!</v>
      </c>
      <c r="K863" s="1040" t="e">
        <f t="shared" si="159"/>
        <v>#DIV/0!</v>
      </c>
      <c r="L863" s="1040" t="e">
        <f t="shared" si="159"/>
        <v>#DIV/0!</v>
      </c>
      <c r="M863" s="1040" t="e">
        <f t="shared" si="159"/>
        <v>#DIV/0!</v>
      </c>
      <c r="N863" s="1040" t="e">
        <f t="shared" si="159"/>
        <v>#DIV/0!</v>
      </c>
      <c r="O863" s="1040" t="e">
        <f t="shared" si="159"/>
        <v>#DIV/0!</v>
      </c>
      <c r="P863" s="1040" t="e">
        <f t="shared" si="159"/>
        <v>#DIV/0!</v>
      </c>
      <c r="Q863" s="1040" t="e">
        <f t="shared" si="159"/>
        <v>#DIV/0!</v>
      </c>
      <c r="R863" s="1040" t="e">
        <f t="shared" si="159"/>
        <v>#DIV/0!</v>
      </c>
      <c r="S863" s="1040" t="e">
        <f t="shared" si="159"/>
        <v>#DIV/0!</v>
      </c>
      <c r="T863" s="1040" t="e">
        <f t="shared" si="159"/>
        <v>#DIV/0!</v>
      </c>
      <c r="U863" s="1040" t="e">
        <f t="shared" si="159"/>
        <v>#DIV/0!</v>
      </c>
      <c r="V863" s="1040" t="e">
        <f t="shared" si="159"/>
        <v>#DIV/0!</v>
      </c>
      <c r="W863" s="1040" t="e">
        <f t="shared" si="159"/>
        <v>#DIV/0!</v>
      </c>
      <c r="X863" s="1040" t="e">
        <f t="shared" si="159"/>
        <v>#DIV/0!</v>
      </c>
      <c r="Y863" s="1040" t="e">
        <f t="shared" si="159"/>
        <v>#DIV/0!</v>
      </c>
      <c r="Z863" s="1040" t="e">
        <f t="shared" si="159"/>
        <v>#DIV/0!</v>
      </c>
      <c r="AA863" s="1040" t="e">
        <f t="shared" si="159"/>
        <v>#DIV/0!</v>
      </c>
      <c r="AB863" s="1040" t="e">
        <f t="shared" si="159"/>
        <v>#DIV/0!</v>
      </c>
      <c r="AC863" s="1040" t="e">
        <f t="shared" si="159"/>
        <v>#DIV/0!</v>
      </c>
      <c r="AD863" s="1040" t="e">
        <f t="shared" si="159"/>
        <v>#DIV/0!</v>
      </c>
      <c r="AE863" s="1040" t="e">
        <f t="shared" si="159"/>
        <v>#DIV/0!</v>
      </c>
      <c r="AF863" s="1040" t="e">
        <f t="shared" si="159"/>
        <v>#DIV/0!</v>
      </c>
      <c r="AG863" s="1040" t="e">
        <f t="shared" si="159"/>
        <v>#DIV/0!</v>
      </c>
      <c r="AH863" s="1040" t="e">
        <f t="shared" si="159"/>
        <v>#DIV/0!</v>
      </c>
      <c r="AI863" s="1040" t="e">
        <f t="shared" si="159"/>
        <v>#DIV/0!</v>
      </c>
      <c r="AJ863" s="1040" t="e">
        <f t="shared" si="159"/>
        <v>#DIV/0!</v>
      </c>
      <c r="AK863" s="1040" t="e">
        <f t="shared" si="159"/>
        <v>#DIV/0!</v>
      </c>
      <c r="AL863" s="1040" t="e">
        <f t="shared" si="159"/>
        <v>#DIV/0!</v>
      </c>
      <c r="AM863" s="1040" t="e">
        <f t="shared" si="159"/>
        <v>#DIV/0!</v>
      </c>
      <c r="AN863" s="1040" t="e">
        <f t="shared" si="159"/>
        <v>#DIV/0!</v>
      </c>
      <c r="AO863" s="1040" t="e">
        <f t="shared" si="159"/>
        <v>#DIV/0!</v>
      </c>
      <c r="AP863" s="1040" t="e">
        <f t="shared" si="159"/>
        <v>#DIV/0!</v>
      </c>
      <c r="AQ863" s="1040" t="e">
        <f t="shared" si="159"/>
        <v>#DIV/0!</v>
      </c>
      <c r="AR863" s="1040" t="e">
        <f t="shared" si="159"/>
        <v>#DIV/0!</v>
      </c>
      <c r="AS863" s="1040" t="e">
        <f t="shared" ref="AS863:AY863" si="160">IF(AS63="",0,IF(OR(1=RANK(AS463,AS$412:AS$790,0),(2=RANK(AS463,AS$412:AS$790,0))),AS463,AS63))</f>
        <v>#DIV/0!</v>
      </c>
      <c r="AT863" s="1040" t="e">
        <f t="shared" si="160"/>
        <v>#DIV/0!</v>
      </c>
      <c r="AU863" s="1040">
        <f t="shared" si="160"/>
        <v>0</v>
      </c>
      <c r="AV863" s="1040" t="e">
        <f t="shared" si="160"/>
        <v>#DIV/0!</v>
      </c>
      <c r="AW863" s="1040" t="e">
        <f t="shared" si="160"/>
        <v>#DIV/0!</v>
      </c>
      <c r="AX863" s="1040" t="e">
        <f t="shared" si="160"/>
        <v>#DIV/0!</v>
      </c>
      <c r="AY863" s="1040" t="e">
        <f t="shared" si="160"/>
        <v>#DIV/0!</v>
      </c>
      <c r="AZ863" s="1061" t="s">
        <v>21</v>
      </c>
      <c r="BC863" s="29"/>
      <c r="BD863" s="29"/>
      <c r="BE863" s="13"/>
      <c r="BL863" s="368"/>
    </row>
    <row r="864" spans="1:64" ht="12" customHeight="1" x14ac:dyDescent="0.2">
      <c r="A864" s="39">
        <f>acute_overview_children!A64</f>
        <v>4</v>
      </c>
      <c r="B864" s="23">
        <f t="shared" si="55"/>
        <v>154080</v>
      </c>
      <c r="C864" s="23" t="str">
        <f t="shared" si="56"/>
        <v>Elderberries</v>
      </c>
      <c r="D864" s="135"/>
      <c r="E864" s="1027"/>
      <c r="F864" s="87"/>
      <c r="G864" s="87"/>
      <c r="H864" s="1027"/>
      <c r="I864" s="1030"/>
      <c r="J864" s="1039" t="e">
        <f t="shared" ref="J864:AR864" si="161">IF(J64="",0,IF(OR(1=RANK(J464,J$412:J$790,0),(2=RANK(J464,J$412:J$790,0))),J464,J64))</f>
        <v>#DIV/0!</v>
      </c>
      <c r="K864" s="1040" t="e">
        <f t="shared" si="161"/>
        <v>#DIV/0!</v>
      </c>
      <c r="L864" s="1040" t="e">
        <f t="shared" si="161"/>
        <v>#DIV/0!</v>
      </c>
      <c r="M864" s="1040" t="e">
        <f t="shared" si="161"/>
        <v>#DIV/0!</v>
      </c>
      <c r="N864" s="1040" t="e">
        <f t="shared" si="161"/>
        <v>#DIV/0!</v>
      </c>
      <c r="O864" s="1040" t="e">
        <f t="shared" si="161"/>
        <v>#DIV/0!</v>
      </c>
      <c r="P864" s="1040" t="e">
        <f t="shared" si="161"/>
        <v>#DIV/0!</v>
      </c>
      <c r="Q864" s="1040" t="e">
        <f t="shared" si="161"/>
        <v>#DIV/0!</v>
      </c>
      <c r="R864" s="1040" t="e">
        <f t="shared" si="161"/>
        <v>#DIV/0!</v>
      </c>
      <c r="S864" s="1040" t="e">
        <f t="shared" si="161"/>
        <v>#DIV/0!</v>
      </c>
      <c r="T864" s="1040" t="e">
        <f t="shared" si="161"/>
        <v>#DIV/0!</v>
      </c>
      <c r="U864" s="1040" t="e">
        <f t="shared" si="161"/>
        <v>#DIV/0!</v>
      </c>
      <c r="V864" s="1040" t="e">
        <f t="shared" si="161"/>
        <v>#DIV/0!</v>
      </c>
      <c r="W864" s="1040" t="e">
        <f t="shared" si="161"/>
        <v>#DIV/0!</v>
      </c>
      <c r="X864" s="1040" t="e">
        <f t="shared" si="161"/>
        <v>#DIV/0!</v>
      </c>
      <c r="Y864" s="1040" t="e">
        <f t="shared" si="161"/>
        <v>#DIV/0!</v>
      </c>
      <c r="Z864" s="1040" t="e">
        <f t="shared" si="161"/>
        <v>#DIV/0!</v>
      </c>
      <c r="AA864" s="1040" t="e">
        <f t="shared" si="161"/>
        <v>#DIV/0!</v>
      </c>
      <c r="AB864" s="1040" t="e">
        <f t="shared" si="161"/>
        <v>#DIV/0!</v>
      </c>
      <c r="AC864" s="1040" t="e">
        <f t="shared" si="161"/>
        <v>#DIV/0!</v>
      </c>
      <c r="AD864" s="1040" t="e">
        <f t="shared" si="161"/>
        <v>#DIV/0!</v>
      </c>
      <c r="AE864" s="1040" t="e">
        <f t="shared" si="161"/>
        <v>#DIV/0!</v>
      </c>
      <c r="AF864" s="1040" t="e">
        <f t="shared" si="161"/>
        <v>#DIV/0!</v>
      </c>
      <c r="AG864" s="1040" t="e">
        <f t="shared" si="161"/>
        <v>#DIV/0!</v>
      </c>
      <c r="AH864" s="1040" t="e">
        <f t="shared" si="161"/>
        <v>#DIV/0!</v>
      </c>
      <c r="AI864" s="1040" t="e">
        <f t="shared" si="161"/>
        <v>#DIV/0!</v>
      </c>
      <c r="AJ864" s="1040" t="e">
        <f t="shared" si="161"/>
        <v>#DIV/0!</v>
      </c>
      <c r="AK864" s="1040" t="e">
        <f t="shared" si="161"/>
        <v>#DIV/0!</v>
      </c>
      <c r="AL864" s="1040" t="e">
        <f t="shared" si="161"/>
        <v>#DIV/0!</v>
      </c>
      <c r="AM864" s="1040" t="e">
        <f t="shared" si="161"/>
        <v>#DIV/0!</v>
      </c>
      <c r="AN864" s="1040" t="e">
        <f t="shared" si="161"/>
        <v>#DIV/0!</v>
      </c>
      <c r="AO864" s="1040" t="e">
        <f t="shared" si="161"/>
        <v>#DIV/0!</v>
      </c>
      <c r="AP864" s="1040" t="e">
        <f t="shared" si="161"/>
        <v>#DIV/0!</v>
      </c>
      <c r="AQ864" s="1040" t="e">
        <f t="shared" si="161"/>
        <v>#DIV/0!</v>
      </c>
      <c r="AR864" s="1040" t="e">
        <f t="shared" si="161"/>
        <v>#DIV/0!</v>
      </c>
      <c r="AS864" s="1040" t="e">
        <f t="shared" ref="AS864:AY864" si="162">IF(AS64="",0,IF(OR(1=RANK(AS464,AS$412:AS$790,0),(2=RANK(AS464,AS$412:AS$790,0))),AS464,AS64))</f>
        <v>#DIV/0!</v>
      </c>
      <c r="AT864" s="1040" t="e">
        <f t="shared" si="162"/>
        <v>#DIV/0!</v>
      </c>
      <c r="AU864" s="1040">
        <f t="shared" si="162"/>
        <v>0</v>
      </c>
      <c r="AV864" s="1040" t="e">
        <f t="shared" si="162"/>
        <v>#DIV/0!</v>
      </c>
      <c r="AW864" s="1040" t="e">
        <f t="shared" si="162"/>
        <v>#DIV/0!</v>
      </c>
      <c r="AX864" s="1040" t="e">
        <f t="shared" si="162"/>
        <v>#DIV/0!</v>
      </c>
      <c r="AY864" s="1040" t="e">
        <f t="shared" si="162"/>
        <v>#DIV/0!</v>
      </c>
      <c r="AZ864" s="1061" t="s">
        <v>21</v>
      </c>
      <c r="BC864" s="29"/>
      <c r="BD864" s="29"/>
      <c r="BE864" s="13"/>
      <c r="BL864" s="368"/>
    </row>
    <row r="865" spans="1:64" ht="12" customHeight="1" x14ac:dyDescent="0.2">
      <c r="A865" s="39">
        <f>acute_overview_children!A65</f>
        <v>4</v>
      </c>
      <c r="B865" s="23">
        <f t="shared" si="55"/>
        <v>154990</v>
      </c>
      <c r="C865" s="23" t="str">
        <f t="shared" si="56"/>
        <v xml:space="preserve">Other other small fruit &amp; berries </v>
      </c>
      <c r="D865" s="135"/>
      <c r="E865" s="1027"/>
      <c r="F865" s="87"/>
      <c r="G865" s="87"/>
      <c r="H865" s="1027"/>
      <c r="I865" s="1030"/>
      <c r="J865" s="1039" t="e">
        <f t="shared" ref="J865:AR865" si="163">IF(J65="",0,IF(OR(1=RANK(J465,J$412:J$790,0),(2=RANK(J465,J$412:J$790,0))),J465,J65))</f>
        <v>#DIV/0!</v>
      </c>
      <c r="K865" s="1040" t="e">
        <f t="shared" si="163"/>
        <v>#DIV/0!</v>
      </c>
      <c r="L865" s="1040" t="e">
        <f t="shared" si="163"/>
        <v>#DIV/0!</v>
      </c>
      <c r="M865" s="1040" t="e">
        <f t="shared" si="163"/>
        <v>#DIV/0!</v>
      </c>
      <c r="N865" s="1040" t="e">
        <f t="shared" si="163"/>
        <v>#DIV/0!</v>
      </c>
      <c r="O865" s="1040" t="e">
        <f t="shared" si="163"/>
        <v>#DIV/0!</v>
      </c>
      <c r="P865" s="1040" t="e">
        <f t="shared" si="163"/>
        <v>#DIV/0!</v>
      </c>
      <c r="Q865" s="1040" t="e">
        <f t="shared" si="163"/>
        <v>#DIV/0!</v>
      </c>
      <c r="R865" s="1040" t="e">
        <f t="shared" si="163"/>
        <v>#DIV/0!</v>
      </c>
      <c r="S865" s="1040" t="e">
        <f t="shared" si="163"/>
        <v>#DIV/0!</v>
      </c>
      <c r="T865" s="1040" t="e">
        <f t="shared" si="163"/>
        <v>#DIV/0!</v>
      </c>
      <c r="U865" s="1040" t="e">
        <f t="shared" si="163"/>
        <v>#DIV/0!</v>
      </c>
      <c r="V865" s="1040" t="e">
        <f t="shared" si="163"/>
        <v>#DIV/0!</v>
      </c>
      <c r="W865" s="1040" t="e">
        <f t="shared" si="163"/>
        <v>#DIV/0!</v>
      </c>
      <c r="X865" s="1040" t="e">
        <f t="shared" si="163"/>
        <v>#DIV/0!</v>
      </c>
      <c r="Y865" s="1040" t="e">
        <f t="shared" si="163"/>
        <v>#DIV/0!</v>
      </c>
      <c r="Z865" s="1040" t="e">
        <f t="shared" si="163"/>
        <v>#DIV/0!</v>
      </c>
      <c r="AA865" s="1040" t="e">
        <f t="shared" si="163"/>
        <v>#DIV/0!</v>
      </c>
      <c r="AB865" s="1040" t="e">
        <f t="shared" si="163"/>
        <v>#DIV/0!</v>
      </c>
      <c r="AC865" s="1040" t="e">
        <f t="shared" si="163"/>
        <v>#DIV/0!</v>
      </c>
      <c r="AD865" s="1040" t="e">
        <f t="shared" si="163"/>
        <v>#DIV/0!</v>
      </c>
      <c r="AE865" s="1040" t="e">
        <f t="shared" si="163"/>
        <v>#DIV/0!</v>
      </c>
      <c r="AF865" s="1040" t="e">
        <f t="shared" si="163"/>
        <v>#DIV/0!</v>
      </c>
      <c r="AG865" s="1040" t="e">
        <f t="shared" si="163"/>
        <v>#DIV/0!</v>
      </c>
      <c r="AH865" s="1040" t="e">
        <f t="shared" si="163"/>
        <v>#DIV/0!</v>
      </c>
      <c r="AI865" s="1040" t="e">
        <f t="shared" si="163"/>
        <v>#DIV/0!</v>
      </c>
      <c r="AJ865" s="1040" t="e">
        <f t="shared" si="163"/>
        <v>#DIV/0!</v>
      </c>
      <c r="AK865" s="1040" t="e">
        <f t="shared" si="163"/>
        <v>#DIV/0!</v>
      </c>
      <c r="AL865" s="1040" t="e">
        <f t="shared" si="163"/>
        <v>#DIV/0!</v>
      </c>
      <c r="AM865" s="1040" t="e">
        <f t="shared" si="163"/>
        <v>#DIV/0!</v>
      </c>
      <c r="AN865" s="1040" t="e">
        <f t="shared" si="163"/>
        <v>#DIV/0!</v>
      </c>
      <c r="AO865" s="1040" t="e">
        <f t="shared" si="163"/>
        <v>#DIV/0!</v>
      </c>
      <c r="AP865" s="1040" t="e">
        <f t="shared" si="163"/>
        <v>#DIV/0!</v>
      </c>
      <c r="AQ865" s="1040" t="e">
        <f t="shared" si="163"/>
        <v>#DIV/0!</v>
      </c>
      <c r="AR865" s="1040" t="e">
        <f t="shared" si="163"/>
        <v>#DIV/0!</v>
      </c>
      <c r="AS865" s="1040" t="e">
        <f t="shared" ref="AS865:AY865" si="164">IF(AS65="",0,IF(OR(1=RANK(AS465,AS$412:AS$790,0),(2=RANK(AS465,AS$412:AS$790,0))),AS465,AS65))</f>
        <v>#DIV/0!</v>
      </c>
      <c r="AT865" s="1040" t="e">
        <f t="shared" si="164"/>
        <v>#DIV/0!</v>
      </c>
      <c r="AU865" s="1040">
        <f t="shared" si="164"/>
        <v>0</v>
      </c>
      <c r="AV865" s="1040" t="e">
        <f t="shared" si="164"/>
        <v>#DIV/0!</v>
      </c>
      <c r="AW865" s="1040" t="e">
        <f t="shared" si="164"/>
        <v>#DIV/0!</v>
      </c>
      <c r="AX865" s="1040" t="e">
        <f t="shared" si="164"/>
        <v>#DIV/0!</v>
      </c>
      <c r="AY865" s="1040" t="e">
        <f t="shared" si="164"/>
        <v>#DIV/0!</v>
      </c>
      <c r="AZ865" s="1061" t="s">
        <v>21</v>
      </c>
      <c r="BC865" s="29"/>
      <c r="BD865" s="29"/>
      <c r="BE865" s="13"/>
      <c r="BL865" s="368"/>
    </row>
    <row r="866" spans="1:64" ht="12" customHeight="1" x14ac:dyDescent="0.2">
      <c r="A866" s="515">
        <f>acute_overview_children!A66</f>
        <v>2</v>
      </c>
      <c r="B866" s="131">
        <f t="shared" si="55"/>
        <v>160000</v>
      </c>
      <c r="C866" s="131" t="str">
        <f t="shared" si="56"/>
        <v>Miscellaneous fruit</v>
      </c>
      <c r="D866" s="1035"/>
      <c r="E866" s="1027"/>
      <c r="F866" s="87"/>
      <c r="G866" s="87"/>
      <c r="H866" s="1027"/>
      <c r="I866" s="1030"/>
      <c r="J866" s="1037" t="e">
        <f t="shared" ref="J866:AR866" si="165">IF(J66="",0,IF(OR(1=RANK(J466,J$412:J$790,0),(2=RANK(J466,J$412:J$790,0))),J466,J66))</f>
        <v>#DIV/0!</v>
      </c>
      <c r="K866" s="1038" t="e">
        <f t="shared" si="165"/>
        <v>#DIV/0!</v>
      </c>
      <c r="L866" s="1038" t="e">
        <f t="shared" si="165"/>
        <v>#DIV/0!</v>
      </c>
      <c r="M866" s="1038" t="e">
        <f t="shared" si="165"/>
        <v>#DIV/0!</v>
      </c>
      <c r="N866" s="1038" t="e">
        <f t="shared" si="165"/>
        <v>#DIV/0!</v>
      </c>
      <c r="O866" s="1038" t="e">
        <f t="shared" si="165"/>
        <v>#DIV/0!</v>
      </c>
      <c r="P866" s="1038" t="e">
        <f t="shared" si="165"/>
        <v>#DIV/0!</v>
      </c>
      <c r="Q866" s="1038" t="e">
        <f t="shared" si="165"/>
        <v>#DIV/0!</v>
      </c>
      <c r="R866" s="1038" t="e">
        <f t="shared" si="165"/>
        <v>#DIV/0!</v>
      </c>
      <c r="S866" s="1038" t="e">
        <f t="shared" si="165"/>
        <v>#DIV/0!</v>
      </c>
      <c r="T866" s="1038" t="e">
        <f t="shared" si="165"/>
        <v>#DIV/0!</v>
      </c>
      <c r="U866" s="1038" t="e">
        <f t="shared" si="165"/>
        <v>#DIV/0!</v>
      </c>
      <c r="V866" s="1038" t="e">
        <f t="shared" si="165"/>
        <v>#DIV/0!</v>
      </c>
      <c r="W866" s="1038" t="e">
        <f t="shared" si="165"/>
        <v>#DIV/0!</v>
      </c>
      <c r="X866" s="1038" t="e">
        <f t="shared" si="165"/>
        <v>#DIV/0!</v>
      </c>
      <c r="Y866" s="1038" t="e">
        <f t="shared" si="165"/>
        <v>#DIV/0!</v>
      </c>
      <c r="Z866" s="1038" t="e">
        <f t="shared" si="165"/>
        <v>#DIV/0!</v>
      </c>
      <c r="AA866" s="1038" t="e">
        <f t="shared" si="165"/>
        <v>#DIV/0!</v>
      </c>
      <c r="AB866" s="1038" t="e">
        <f t="shared" si="165"/>
        <v>#DIV/0!</v>
      </c>
      <c r="AC866" s="1038" t="e">
        <f t="shared" si="165"/>
        <v>#DIV/0!</v>
      </c>
      <c r="AD866" s="1038" t="e">
        <f t="shared" si="165"/>
        <v>#DIV/0!</v>
      </c>
      <c r="AE866" s="1038" t="e">
        <f t="shared" si="165"/>
        <v>#DIV/0!</v>
      </c>
      <c r="AF866" s="1038" t="e">
        <f t="shared" si="165"/>
        <v>#DIV/0!</v>
      </c>
      <c r="AG866" s="1038" t="e">
        <f t="shared" si="165"/>
        <v>#DIV/0!</v>
      </c>
      <c r="AH866" s="1038" t="e">
        <f t="shared" si="165"/>
        <v>#DIV/0!</v>
      </c>
      <c r="AI866" s="1038" t="e">
        <f t="shared" si="165"/>
        <v>#DIV/0!</v>
      </c>
      <c r="AJ866" s="1038" t="e">
        <f t="shared" si="165"/>
        <v>#DIV/0!</v>
      </c>
      <c r="AK866" s="1038" t="e">
        <f t="shared" si="165"/>
        <v>#DIV/0!</v>
      </c>
      <c r="AL866" s="1038" t="e">
        <f t="shared" si="165"/>
        <v>#DIV/0!</v>
      </c>
      <c r="AM866" s="1038" t="e">
        <f t="shared" si="165"/>
        <v>#DIV/0!</v>
      </c>
      <c r="AN866" s="1038" t="e">
        <f t="shared" si="165"/>
        <v>#DIV/0!</v>
      </c>
      <c r="AO866" s="1038" t="e">
        <f t="shared" si="165"/>
        <v>#DIV/0!</v>
      </c>
      <c r="AP866" s="1038" t="e">
        <f t="shared" si="165"/>
        <v>#DIV/0!</v>
      </c>
      <c r="AQ866" s="1038" t="e">
        <f t="shared" si="165"/>
        <v>#DIV/0!</v>
      </c>
      <c r="AR866" s="1038" t="e">
        <f t="shared" si="165"/>
        <v>#DIV/0!</v>
      </c>
      <c r="AS866" s="1038" t="e">
        <f t="shared" ref="AS866:AY866" si="166">IF(AS66="",0,IF(OR(1=RANK(AS466,AS$412:AS$790,0),(2=RANK(AS466,AS$412:AS$790,0))),AS466,AS66))</f>
        <v>#DIV/0!</v>
      </c>
      <c r="AT866" s="1038" t="e">
        <f t="shared" si="166"/>
        <v>#DIV/0!</v>
      </c>
      <c r="AU866" s="1038">
        <f t="shared" si="166"/>
        <v>0</v>
      </c>
      <c r="AV866" s="1038" t="e">
        <f t="shared" si="166"/>
        <v>#DIV/0!</v>
      </c>
      <c r="AW866" s="1038" t="e">
        <f t="shared" si="166"/>
        <v>#DIV/0!</v>
      </c>
      <c r="AX866" s="1038" t="e">
        <f t="shared" si="166"/>
        <v>#DIV/0!</v>
      </c>
      <c r="AY866" s="1038" t="e">
        <f t="shared" si="166"/>
        <v>#DIV/0!</v>
      </c>
      <c r="AZ866" s="1061" t="s">
        <v>21</v>
      </c>
      <c r="BC866" s="29"/>
      <c r="BD866" s="29"/>
      <c r="BE866" s="13"/>
      <c r="BL866" s="368"/>
    </row>
    <row r="867" spans="1:64" ht="12" customHeight="1" x14ac:dyDescent="0.2">
      <c r="A867" s="132">
        <f>acute_overview_children!A67</f>
        <v>3</v>
      </c>
      <c r="B867" s="3">
        <f t="shared" si="55"/>
        <v>161000</v>
      </c>
      <c r="C867" s="3" t="str">
        <f t="shared" si="56"/>
        <v>Miscellaneous fruit (edible peel)</v>
      </c>
      <c r="D867" s="1042"/>
      <c r="E867" s="1027"/>
      <c r="F867" s="87"/>
      <c r="G867" s="87"/>
      <c r="H867" s="1027"/>
      <c r="I867" s="1030"/>
      <c r="J867" s="1043" t="e">
        <f t="shared" ref="J867:AR867" si="167">IF(J67="",0,IF(OR(1=RANK(J467,J$412:J$790,0),(2=RANK(J467,J$412:J$790,0))),J467,J67))</f>
        <v>#DIV/0!</v>
      </c>
      <c r="K867" s="1044" t="e">
        <f t="shared" si="167"/>
        <v>#DIV/0!</v>
      </c>
      <c r="L867" s="1044" t="e">
        <f t="shared" si="167"/>
        <v>#DIV/0!</v>
      </c>
      <c r="M867" s="1044" t="e">
        <f t="shared" si="167"/>
        <v>#DIV/0!</v>
      </c>
      <c r="N867" s="1044" t="e">
        <f t="shared" si="167"/>
        <v>#DIV/0!</v>
      </c>
      <c r="O867" s="1044" t="e">
        <f t="shared" si="167"/>
        <v>#DIV/0!</v>
      </c>
      <c r="P867" s="1044" t="e">
        <f t="shared" si="167"/>
        <v>#DIV/0!</v>
      </c>
      <c r="Q867" s="1044" t="e">
        <f t="shared" si="167"/>
        <v>#DIV/0!</v>
      </c>
      <c r="R867" s="1044" t="e">
        <f t="shared" si="167"/>
        <v>#DIV/0!</v>
      </c>
      <c r="S867" s="1044" t="e">
        <f t="shared" si="167"/>
        <v>#DIV/0!</v>
      </c>
      <c r="T867" s="1044" t="e">
        <f t="shared" si="167"/>
        <v>#DIV/0!</v>
      </c>
      <c r="U867" s="1044" t="e">
        <f t="shared" si="167"/>
        <v>#DIV/0!</v>
      </c>
      <c r="V867" s="1044" t="e">
        <f t="shared" si="167"/>
        <v>#DIV/0!</v>
      </c>
      <c r="W867" s="1044" t="e">
        <f t="shared" si="167"/>
        <v>#DIV/0!</v>
      </c>
      <c r="X867" s="1044" t="e">
        <f t="shared" si="167"/>
        <v>#DIV/0!</v>
      </c>
      <c r="Y867" s="1044" t="e">
        <f t="shared" si="167"/>
        <v>#DIV/0!</v>
      </c>
      <c r="Z867" s="1044" t="e">
        <f t="shared" si="167"/>
        <v>#DIV/0!</v>
      </c>
      <c r="AA867" s="1044" t="e">
        <f t="shared" si="167"/>
        <v>#DIV/0!</v>
      </c>
      <c r="AB867" s="1044" t="e">
        <f t="shared" si="167"/>
        <v>#DIV/0!</v>
      </c>
      <c r="AC867" s="1044" t="e">
        <f t="shared" si="167"/>
        <v>#DIV/0!</v>
      </c>
      <c r="AD867" s="1044" t="e">
        <f t="shared" si="167"/>
        <v>#DIV/0!</v>
      </c>
      <c r="AE867" s="1044" t="e">
        <f t="shared" si="167"/>
        <v>#DIV/0!</v>
      </c>
      <c r="AF867" s="1044" t="e">
        <f t="shared" si="167"/>
        <v>#DIV/0!</v>
      </c>
      <c r="AG867" s="1044" t="e">
        <f t="shared" si="167"/>
        <v>#DIV/0!</v>
      </c>
      <c r="AH867" s="1044" t="e">
        <f t="shared" si="167"/>
        <v>#DIV/0!</v>
      </c>
      <c r="AI867" s="1044" t="e">
        <f t="shared" si="167"/>
        <v>#DIV/0!</v>
      </c>
      <c r="AJ867" s="1044" t="e">
        <f t="shared" si="167"/>
        <v>#DIV/0!</v>
      </c>
      <c r="AK867" s="1044" t="e">
        <f t="shared" si="167"/>
        <v>#DIV/0!</v>
      </c>
      <c r="AL867" s="1044" t="e">
        <f t="shared" si="167"/>
        <v>#DIV/0!</v>
      </c>
      <c r="AM867" s="1044" t="e">
        <f t="shared" si="167"/>
        <v>#DIV/0!</v>
      </c>
      <c r="AN867" s="1044" t="e">
        <f t="shared" si="167"/>
        <v>#DIV/0!</v>
      </c>
      <c r="AO867" s="1044" t="e">
        <f t="shared" si="167"/>
        <v>#DIV/0!</v>
      </c>
      <c r="AP867" s="1044" t="e">
        <f t="shared" si="167"/>
        <v>#DIV/0!</v>
      </c>
      <c r="AQ867" s="1044" t="e">
        <f t="shared" si="167"/>
        <v>#DIV/0!</v>
      </c>
      <c r="AR867" s="1044" t="e">
        <f t="shared" si="167"/>
        <v>#DIV/0!</v>
      </c>
      <c r="AS867" s="1044" t="e">
        <f t="shared" ref="AS867:AY867" si="168">IF(AS67="",0,IF(OR(1=RANK(AS467,AS$412:AS$790,0),(2=RANK(AS467,AS$412:AS$790,0))),AS467,AS67))</f>
        <v>#DIV/0!</v>
      </c>
      <c r="AT867" s="1044" t="e">
        <f t="shared" si="168"/>
        <v>#DIV/0!</v>
      </c>
      <c r="AU867" s="1044">
        <f t="shared" si="168"/>
        <v>0</v>
      </c>
      <c r="AV867" s="1044" t="e">
        <f t="shared" si="168"/>
        <v>#DIV/0!</v>
      </c>
      <c r="AW867" s="1044" t="e">
        <f t="shared" si="168"/>
        <v>#DIV/0!</v>
      </c>
      <c r="AX867" s="1044" t="e">
        <f t="shared" si="168"/>
        <v>#DIV/0!</v>
      </c>
      <c r="AY867" s="1044" t="e">
        <f t="shared" si="168"/>
        <v>#DIV/0!</v>
      </c>
      <c r="AZ867" s="1061" t="s">
        <v>21</v>
      </c>
      <c r="BC867" s="29"/>
      <c r="BD867" s="29"/>
      <c r="BE867" s="13"/>
      <c r="BL867" s="368"/>
    </row>
    <row r="868" spans="1:64" ht="12" customHeight="1" x14ac:dyDescent="0.2">
      <c r="A868" s="39">
        <f>acute_overview_children!A68</f>
        <v>4</v>
      </c>
      <c r="B868" s="23">
        <f t="shared" si="55"/>
        <v>161010</v>
      </c>
      <c r="C868" s="23" t="str">
        <f t="shared" si="56"/>
        <v>Dates</v>
      </c>
      <c r="D868" s="135"/>
      <c r="E868" s="1027"/>
      <c r="F868" s="87"/>
      <c r="G868" s="87"/>
      <c r="H868" s="1027"/>
      <c r="I868" s="1030"/>
      <c r="J868" s="1039" t="e">
        <f t="shared" ref="J868:AR868" si="169">IF(J68="",0,IF(OR(1=RANK(J468,J$412:J$790,0),(2=RANK(J468,J$412:J$790,0))),J468,J68))</f>
        <v>#DIV/0!</v>
      </c>
      <c r="K868" s="1040" t="e">
        <f t="shared" si="169"/>
        <v>#DIV/0!</v>
      </c>
      <c r="L868" s="1040" t="e">
        <f t="shared" si="169"/>
        <v>#DIV/0!</v>
      </c>
      <c r="M868" s="1040" t="e">
        <f t="shared" si="169"/>
        <v>#DIV/0!</v>
      </c>
      <c r="N868" s="1040" t="e">
        <f t="shared" si="169"/>
        <v>#DIV/0!</v>
      </c>
      <c r="O868" s="1040" t="e">
        <f t="shared" si="169"/>
        <v>#DIV/0!</v>
      </c>
      <c r="P868" s="1040" t="e">
        <f t="shared" si="169"/>
        <v>#DIV/0!</v>
      </c>
      <c r="Q868" s="1040" t="e">
        <f t="shared" si="169"/>
        <v>#DIV/0!</v>
      </c>
      <c r="R868" s="1040" t="e">
        <f t="shared" si="169"/>
        <v>#DIV/0!</v>
      </c>
      <c r="S868" s="1040" t="e">
        <f t="shared" si="169"/>
        <v>#DIV/0!</v>
      </c>
      <c r="T868" s="1040" t="e">
        <f t="shared" si="169"/>
        <v>#DIV/0!</v>
      </c>
      <c r="U868" s="1040" t="e">
        <f t="shared" si="169"/>
        <v>#DIV/0!</v>
      </c>
      <c r="V868" s="1040" t="e">
        <f t="shared" si="169"/>
        <v>#DIV/0!</v>
      </c>
      <c r="W868" s="1040" t="e">
        <f t="shared" si="169"/>
        <v>#DIV/0!</v>
      </c>
      <c r="X868" s="1040" t="e">
        <f t="shared" si="169"/>
        <v>#DIV/0!</v>
      </c>
      <c r="Y868" s="1040" t="e">
        <f t="shared" si="169"/>
        <v>#DIV/0!</v>
      </c>
      <c r="Z868" s="1040" t="e">
        <f t="shared" si="169"/>
        <v>#DIV/0!</v>
      </c>
      <c r="AA868" s="1040" t="e">
        <f t="shared" si="169"/>
        <v>#DIV/0!</v>
      </c>
      <c r="AB868" s="1040" t="e">
        <f t="shared" si="169"/>
        <v>#DIV/0!</v>
      </c>
      <c r="AC868" s="1040" t="e">
        <f t="shared" si="169"/>
        <v>#DIV/0!</v>
      </c>
      <c r="AD868" s="1040" t="e">
        <f t="shared" si="169"/>
        <v>#DIV/0!</v>
      </c>
      <c r="AE868" s="1040" t="e">
        <f t="shared" si="169"/>
        <v>#DIV/0!</v>
      </c>
      <c r="AF868" s="1040" t="e">
        <f t="shared" si="169"/>
        <v>#DIV/0!</v>
      </c>
      <c r="AG868" s="1040" t="e">
        <f t="shared" si="169"/>
        <v>#DIV/0!</v>
      </c>
      <c r="AH868" s="1040" t="e">
        <f t="shared" si="169"/>
        <v>#DIV/0!</v>
      </c>
      <c r="AI868" s="1040" t="e">
        <f t="shared" si="169"/>
        <v>#DIV/0!</v>
      </c>
      <c r="AJ868" s="1040" t="e">
        <f t="shared" si="169"/>
        <v>#DIV/0!</v>
      </c>
      <c r="AK868" s="1040" t="e">
        <f t="shared" si="169"/>
        <v>#DIV/0!</v>
      </c>
      <c r="AL868" s="1040" t="e">
        <f t="shared" si="169"/>
        <v>#DIV/0!</v>
      </c>
      <c r="AM868" s="1040" t="e">
        <f t="shared" si="169"/>
        <v>#DIV/0!</v>
      </c>
      <c r="AN868" s="1040" t="e">
        <f t="shared" si="169"/>
        <v>#DIV/0!</v>
      </c>
      <c r="AO868" s="1040" t="e">
        <f t="shared" si="169"/>
        <v>#DIV/0!</v>
      </c>
      <c r="AP868" s="1040" t="e">
        <f t="shared" si="169"/>
        <v>#DIV/0!</v>
      </c>
      <c r="AQ868" s="1040" t="e">
        <f t="shared" si="169"/>
        <v>#DIV/0!</v>
      </c>
      <c r="AR868" s="1040" t="e">
        <f t="shared" si="169"/>
        <v>#DIV/0!</v>
      </c>
      <c r="AS868" s="1040" t="e">
        <f t="shared" ref="AS868:AY868" si="170">IF(AS68="",0,IF(OR(1=RANK(AS468,AS$412:AS$790,0),(2=RANK(AS468,AS$412:AS$790,0))),AS468,AS68))</f>
        <v>#DIV/0!</v>
      </c>
      <c r="AT868" s="1040" t="e">
        <f t="shared" si="170"/>
        <v>#DIV/0!</v>
      </c>
      <c r="AU868" s="1040">
        <f t="shared" si="170"/>
        <v>0</v>
      </c>
      <c r="AV868" s="1040" t="e">
        <f t="shared" si="170"/>
        <v>#DIV/0!</v>
      </c>
      <c r="AW868" s="1040" t="e">
        <f t="shared" si="170"/>
        <v>#DIV/0!</v>
      </c>
      <c r="AX868" s="1040" t="e">
        <f t="shared" si="170"/>
        <v>#DIV/0!</v>
      </c>
      <c r="AY868" s="1040" t="e">
        <f t="shared" si="170"/>
        <v>#DIV/0!</v>
      </c>
      <c r="AZ868" s="1061" t="s">
        <v>21</v>
      </c>
      <c r="BC868" s="29"/>
      <c r="BD868" s="29"/>
      <c r="BE868" s="13"/>
      <c r="BL868" s="368"/>
    </row>
    <row r="869" spans="1:64" ht="12" customHeight="1" x14ac:dyDescent="0.2">
      <c r="A869" s="39">
        <f>acute_overview_children!A69</f>
        <v>4</v>
      </c>
      <c r="B869" s="23">
        <f t="shared" si="55"/>
        <v>161020</v>
      </c>
      <c r="C869" s="23" t="str">
        <f t="shared" si="56"/>
        <v>Figs</v>
      </c>
      <c r="D869" s="135"/>
      <c r="E869" s="1027"/>
      <c r="F869" s="87"/>
      <c r="G869" s="87"/>
      <c r="H869" s="1027"/>
      <c r="I869" s="1030"/>
      <c r="J869" s="1039" t="e">
        <f t="shared" ref="J869:AR869" si="171">IF(J69="",0,IF(OR(1=RANK(J469,J$412:J$790,0),(2=RANK(J469,J$412:J$790,0))),J469,J69))</f>
        <v>#DIV/0!</v>
      </c>
      <c r="K869" s="1040" t="e">
        <f t="shared" si="171"/>
        <v>#DIV/0!</v>
      </c>
      <c r="L869" s="1040" t="e">
        <f t="shared" si="171"/>
        <v>#DIV/0!</v>
      </c>
      <c r="M869" s="1040" t="e">
        <f t="shared" si="171"/>
        <v>#DIV/0!</v>
      </c>
      <c r="N869" s="1040" t="e">
        <f t="shared" si="171"/>
        <v>#DIV/0!</v>
      </c>
      <c r="O869" s="1040" t="e">
        <f t="shared" si="171"/>
        <v>#DIV/0!</v>
      </c>
      <c r="P869" s="1040" t="e">
        <f t="shared" si="171"/>
        <v>#DIV/0!</v>
      </c>
      <c r="Q869" s="1040" t="e">
        <f t="shared" si="171"/>
        <v>#DIV/0!</v>
      </c>
      <c r="R869" s="1040" t="e">
        <f t="shared" si="171"/>
        <v>#DIV/0!</v>
      </c>
      <c r="S869" s="1040" t="e">
        <f t="shared" si="171"/>
        <v>#DIV/0!</v>
      </c>
      <c r="T869" s="1040" t="e">
        <f t="shared" si="171"/>
        <v>#DIV/0!</v>
      </c>
      <c r="U869" s="1040" t="e">
        <f t="shared" si="171"/>
        <v>#DIV/0!</v>
      </c>
      <c r="V869" s="1040" t="e">
        <f t="shared" si="171"/>
        <v>#DIV/0!</v>
      </c>
      <c r="W869" s="1040" t="e">
        <f t="shared" si="171"/>
        <v>#DIV/0!</v>
      </c>
      <c r="X869" s="1040" t="e">
        <f t="shared" si="171"/>
        <v>#DIV/0!</v>
      </c>
      <c r="Y869" s="1040" t="e">
        <f t="shared" si="171"/>
        <v>#DIV/0!</v>
      </c>
      <c r="Z869" s="1040" t="e">
        <f t="shared" si="171"/>
        <v>#DIV/0!</v>
      </c>
      <c r="AA869" s="1040" t="e">
        <f t="shared" si="171"/>
        <v>#DIV/0!</v>
      </c>
      <c r="AB869" s="1040" t="e">
        <f t="shared" si="171"/>
        <v>#DIV/0!</v>
      </c>
      <c r="AC869" s="1040" t="e">
        <f t="shared" si="171"/>
        <v>#DIV/0!</v>
      </c>
      <c r="AD869" s="1040" t="e">
        <f t="shared" si="171"/>
        <v>#DIV/0!</v>
      </c>
      <c r="AE869" s="1040" t="e">
        <f t="shared" si="171"/>
        <v>#DIV/0!</v>
      </c>
      <c r="AF869" s="1040" t="e">
        <f t="shared" si="171"/>
        <v>#DIV/0!</v>
      </c>
      <c r="AG869" s="1040" t="e">
        <f t="shared" si="171"/>
        <v>#DIV/0!</v>
      </c>
      <c r="AH869" s="1040" t="e">
        <f t="shared" si="171"/>
        <v>#DIV/0!</v>
      </c>
      <c r="AI869" s="1040" t="e">
        <f t="shared" si="171"/>
        <v>#DIV/0!</v>
      </c>
      <c r="AJ869" s="1040" t="e">
        <f t="shared" si="171"/>
        <v>#DIV/0!</v>
      </c>
      <c r="AK869" s="1040" t="e">
        <f t="shared" si="171"/>
        <v>#DIV/0!</v>
      </c>
      <c r="AL869" s="1040" t="e">
        <f t="shared" si="171"/>
        <v>#DIV/0!</v>
      </c>
      <c r="AM869" s="1040" t="e">
        <f t="shared" si="171"/>
        <v>#DIV/0!</v>
      </c>
      <c r="AN869" s="1040" t="e">
        <f t="shared" si="171"/>
        <v>#DIV/0!</v>
      </c>
      <c r="AO869" s="1040" t="e">
        <f t="shared" si="171"/>
        <v>#DIV/0!</v>
      </c>
      <c r="AP869" s="1040" t="e">
        <f t="shared" si="171"/>
        <v>#DIV/0!</v>
      </c>
      <c r="AQ869" s="1040" t="e">
        <f t="shared" si="171"/>
        <v>#DIV/0!</v>
      </c>
      <c r="AR869" s="1040" t="e">
        <f t="shared" si="171"/>
        <v>#DIV/0!</v>
      </c>
      <c r="AS869" s="1040" t="e">
        <f t="shared" ref="AS869:AY869" si="172">IF(AS69="",0,IF(OR(1=RANK(AS469,AS$412:AS$790,0),(2=RANK(AS469,AS$412:AS$790,0))),AS469,AS69))</f>
        <v>#DIV/0!</v>
      </c>
      <c r="AT869" s="1040" t="e">
        <f t="shared" si="172"/>
        <v>#DIV/0!</v>
      </c>
      <c r="AU869" s="1040">
        <f t="shared" si="172"/>
        <v>0</v>
      </c>
      <c r="AV869" s="1040" t="e">
        <f t="shared" si="172"/>
        <v>#DIV/0!</v>
      </c>
      <c r="AW869" s="1040" t="e">
        <f t="shared" si="172"/>
        <v>#DIV/0!</v>
      </c>
      <c r="AX869" s="1040" t="e">
        <f t="shared" si="172"/>
        <v>#DIV/0!</v>
      </c>
      <c r="AY869" s="1040" t="e">
        <f t="shared" si="172"/>
        <v>#DIV/0!</v>
      </c>
      <c r="AZ869" s="1061" t="s">
        <v>21</v>
      </c>
      <c r="BC869" s="29"/>
      <c r="BD869" s="29"/>
      <c r="BE869" s="13"/>
      <c r="BL869" s="368"/>
    </row>
    <row r="870" spans="1:64" ht="12" customHeight="1" x14ac:dyDescent="0.2">
      <c r="A870" s="39">
        <f>acute_overview_children!A70</f>
        <v>4</v>
      </c>
      <c r="B870" s="23">
        <f t="shared" si="55"/>
        <v>161030</v>
      </c>
      <c r="C870" s="23" t="str">
        <f t="shared" si="56"/>
        <v xml:space="preserve">Table olives </v>
      </c>
      <c r="D870" s="135"/>
      <c r="E870" s="1027"/>
      <c r="F870" s="87"/>
      <c r="G870" s="87"/>
      <c r="H870" s="1027"/>
      <c r="I870" s="1030"/>
      <c r="J870" s="1039" t="e">
        <f t="shared" ref="J870:AR870" si="173">IF(J70="",0,IF(OR(1=RANK(J470,J$412:J$790,0),(2=RANK(J470,J$412:J$790,0))),J470,J70))</f>
        <v>#DIV/0!</v>
      </c>
      <c r="K870" s="1040" t="e">
        <f t="shared" si="173"/>
        <v>#DIV/0!</v>
      </c>
      <c r="L870" s="1040" t="e">
        <f t="shared" si="173"/>
        <v>#DIV/0!</v>
      </c>
      <c r="M870" s="1040" t="e">
        <f t="shared" si="173"/>
        <v>#DIV/0!</v>
      </c>
      <c r="N870" s="1040" t="e">
        <f t="shared" si="173"/>
        <v>#DIV/0!</v>
      </c>
      <c r="O870" s="1040" t="e">
        <f t="shared" si="173"/>
        <v>#DIV/0!</v>
      </c>
      <c r="P870" s="1040" t="e">
        <f t="shared" si="173"/>
        <v>#DIV/0!</v>
      </c>
      <c r="Q870" s="1040" t="e">
        <f t="shared" si="173"/>
        <v>#DIV/0!</v>
      </c>
      <c r="R870" s="1040" t="e">
        <f t="shared" si="173"/>
        <v>#DIV/0!</v>
      </c>
      <c r="S870" s="1040" t="e">
        <f t="shared" si="173"/>
        <v>#DIV/0!</v>
      </c>
      <c r="T870" s="1040" t="e">
        <f t="shared" si="173"/>
        <v>#DIV/0!</v>
      </c>
      <c r="U870" s="1040" t="e">
        <f t="shared" si="173"/>
        <v>#DIV/0!</v>
      </c>
      <c r="V870" s="1040" t="e">
        <f t="shared" si="173"/>
        <v>#DIV/0!</v>
      </c>
      <c r="W870" s="1040" t="e">
        <f t="shared" si="173"/>
        <v>#DIV/0!</v>
      </c>
      <c r="X870" s="1040" t="e">
        <f t="shared" si="173"/>
        <v>#DIV/0!</v>
      </c>
      <c r="Y870" s="1040" t="e">
        <f t="shared" si="173"/>
        <v>#DIV/0!</v>
      </c>
      <c r="Z870" s="1040" t="e">
        <f t="shared" si="173"/>
        <v>#DIV/0!</v>
      </c>
      <c r="AA870" s="1040" t="e">
        <f t="shared" si="173"/>
        <v>#DIV/0!</v>
      </c>
      <c r="AB870" s="1040" t="e">
        <f t="shared" si="173"/>
        <v>#DIV/0!</v>
      </c>
      <c r="AC870" s="1040" t="e">
        <f t="shared" si="173"/>
        <v>#DIV/0!</v>
      </c>
      <c r="AD870" s="1040" t="e">
        <f t="shared" si="173"/>
        <v>#DIV/0!</v>
      </c>
      <c r="AE870" s="1040" t="e">
        <f t="shared" si="173"/>
        <v>#DIV/0!</v>
      </c>
      <c r="AF870" s="1040" t="e">
        <f t="shared" si="173"/>
        <v>#DIV/0!</v>
      </c>
      <c r="AG870" s="1040" t="e">
        <f t="shared" si="173"/>
        <v>#DIV/0!</v>
      </c>
      <c r="AH870" s="1040" t="e">
        <f t="shared" si="173"/>
        <v>#DIV/0!</v>
      </c>
      <c r="AI870" s="1040" t="e">
        <f t="shared" si="173"/>
        <v>#DIV/0!</v>
      </c>
      <c r="AJ870" s="1040" t="e">
        <f t="shared" si="173"/>
        <v>#DIV/0!</v>
      </c>
      <c r="AK870" s="1040" t="e">
        <f t="shared" si="173"/>
        <v>#DIV/0!</v>
      </c>
      <c r="AL870" s="1040" t="e">
        <f t="shared" si="173"/>
        <v>#DIV/0!</v>
      </c>
      <c r="AM870" s="1040" t="e">
        <f t="shared" si="173"/>
        <v>#DIV/0!</v>
      </c>
      <c r="AN870" s="1040" t="e">
        <f t="shared" si="173"/>
        <v>#DIV/0!</v>
      </c>
      <c r="AO870" s="1040" t="e">
        <f t="shared" si="173"/>
        <v>#DIV/0!</v>
      </c>
      <c r="AP870" s="1040" t="e">
        <f t="shared" si="173"/>
        <v>#DIV/0!</v>
      </c>
      <c r="AQ870" s="1040" t="e">
        <f t="shared" si="173"/>
        <v>#DIV/0!</v>
      </c>
      <c r="AR870" s="1040" t="e">
        <f t="shared" si="173"/>
        <v>#DIV/0!</v>
      </c>
      <c r="AS870" s="1040" t="e">
        <f t="shared" ref="AS870:AY870" si="174">IF(AS70="",0,IF(OR(1=RANK(AS470,AS$412:AS$790,0),(2=RANK(AS470,AS$412:AS$790,0))),AS470,AS70))</f>
        <v>#DIV/0!</v>
      </c>
      <c r="AT870" s="1040" t="e">
        <f t="shared" si="174"/>
        <v>#DIV/0!</v>
      </c>
      <c r="AU870" s="1040">
        <f t="shared" si="174"/>
        <v>0</v>
      </c>
      <c r="AV870" s="1040" t="e">
        <f t="shared" si="174"/>
        <v>#DIV/0!</v>
      </c>
      <c r="AW870" s="1040" t="e">
        <f t="shared" si="174"/>
        <v>#DIV/0!</v>
      </c>
      <c r="AX870" s="1040" t="e">
        <f t="shared" si="174"/>
        <v>#DIV/0!</v>
      </c>
      <c r="AY870" s="1040" t="e">
        <f t="shared" si="174"/>
        <v>#DIV/0!</v>
      </c>
      <c r="AZ870" s="1061" t="s">
        <v>21</v>
      </c>
      <c r="BC870" s="29"/>
      <c r="BD870" s="29"/>
      <c r="BE870" s="13"/>
      <c r="BL870" s="368"/>
    </row>
    <row r="871" spans="1:64" ht="12" customHeight="1" x14ac:dyDescent="0.2">
      <c r="A871" s="39">
        <f>acute_overview_children!A71</f>
        <v>4</v>
      </c>
      <c r="B871" s="23">
        <f t="shared" si="55"/>
        <v>161040</v>
      </c>
      <c r="C871" s="23" t="str">
        <f t="shared" si="56"/>
        <v>Kumquats</v>
      </c>
      <c r="D871" s="135"/>
      <c r="E871" s="1027"/>
      <c r="F871" s="87"/>
      <c r="G871" s="87"/>
      <c r="H871" s="1027"/>
      <c r="I871" s="1030"/>
      <c r="J871" s="1039" t="e">
        <f t="shared" ref="J871:AR871" si="175">IF(J71="",0,IF(OR(1=RANK(J471,J$412:J$790,0),(2=RANK(J471,J$412:J$790,0))),J471,J71))</f>
        <v>#DIV/0!</v>
      </c>
      <c r="K871" s="1040" t="e">
        <f t="shared" si="175"/>
        <v>#DIV/0!</v>
      </c>
      <c r="L871" s="1040" t="e">
        <f t="shared" si="175"/>
        <v>#DIV/0!</v>
      </c>
      <c r="M871" s="1040" t="e">
        <f t="shared" si="175"/>
        <v>#DIV/0!</v>
      </c>
      <c r="N871" s="1040" t="e">
        <f t="shared" si="175"/>
        <v>#DIV/0!</v>
      </c>
      <c r="O871" s="1040" t="e">
        <f t="shared" si="175"/>
        <v>#DIV/0!</v>
      </c>
      <c r="P871" s="1040" t="e">
        <f t="shared" si="175"/>
        <v>#DIV/0!</v>
      </c>
      <c r="Q871" s="1040" t="e">
        <f t="shared" si="175"/>
        <v>#DIV/0!</v>
      </c>
      <c r="R871" s="1040" t="e">
        <f t="shared" si="175"/>
        <v>#DIV/0!</v>
      </c>
      <c r="S871" s="1040" t="e">
        <f t="shared" si="175"/>
        <v>#DIV/0!</v>
      </c>
      <c r="T871" s="1040" t="e">
        <f t="shared" si="175"/>
        <v>#DIV/0!</v>
      </c>
      <c r="U871" s="1040" t="e">
        <f t="shared" si="175"/>
        <v>#DIV/0!</v>
      </c>
      <c r="V871" s="1040" t="e">
        <f t="shared" si="175"/>
        <v>#DIV/0!</v>
      </c>
      <c r="W871" s="1040" t="e">
        <f t="shared" si="175"/>
        <v>#DIV/0!</v>
      </c>
      <c r="X871" s="1040" t="e">
        <f t="shared" si="175"/>
        <v>#DIV/0!</v>
      </c>
      <c r="Y871" s="1040" t="e">
        <f t="shared" si="175"/>
        <v>#DIV/0!</v>
      </c>
      <c r="Z871" s="1040" t="e">
        <f t="shared" si="175"/>
        <v>#DIV/0!</v>
      </c>
      <c r="AA871" s="1040" t="e">
        <f t="shared" si="175"/>
        <v>#DIV/0!</v>
      </c>
      <c r="AB871" s="1040" t="e">
        <f t="shared" si="175"/>
        <v>#DIV/0!</v>
      </c>
      <c r="AC871" s="1040" t="e">
        <f t="shared" si="175"/>
        <v>#DIV/0!</v>
      </c>
      <c r="AD871" s="1040" t="e">
        <f t="shared" si="175"/>
        <v>#DIV/0!</v>
      </c>
      <c r="AE871" s="1040" t="e">
        <f t="shared" si="175"/>
        <v>#DIV/0!</v>
      </c>
      <c r="AF871" s="1040" t="e">
        <f t="shared" si="175"/>
        <v>#DIV/0!</v>
      </c>
      <c r="AG871" s="1040" t="e">
        <f t="shared" si="175"/>
        <v>#DIV/0!</v>
      </c>
      <c r="AH871" s="1040" t="e">
        <f t="shared" si="175"/>
        <v>#DIV/0!</v>
      </c>
      <c r="AI871" s="1040" t="e">
        <f t="shared" si="175"/>
        <v>#DIV/0!</v>
      </c>
      <c r="AJ871" s="1040" t="e">
        <f t="shared" si="175"/>
        <v>#DIV/0!</v>
      </c>
      <c r="AK871" s="1040" t="e">
        <f t="shared" si="175"/>
        <v>#DIV/0!</v>
      </c>
      <c r="AL871" s="1040" t="e">
        <f t="shared" si="175"/>
        <v>#DIV/0!</v>
      </c>
      <c r="AM871" s="1040" t="e">
        <f t="shared" si="175"/>
        <v>#DIV/0!</v>
      </c>
      <c r="AN871" s="1040" t="e">
        <f t="shared" si="175"/>
        <v>#DIV/0!</v>
      </c>
      <c r="AO871" s="1040" t="e">
        <f t="shared" si="175"/>
        <v>#DIV/0!</v>
      </c>
      <c r="AP871" s="1040" t="e">
        <f t="shared" si="175"/>
        <v>#DIV/0!</v>
      </c>
      <c r="AQ871" s="1040" t="e">
        <f t="shared" si="175"/>
        <v>#DIV/0!</v>
      </c>
      <c r="AR871" s="1040" t="e">
        <f t="shared" si="175"/>
        <v>#DIV/0!</v>
      </c>
      <c r="AS871" s="1040" t="e">
        <f t="shared" ref="AS871:AY871" si="176">IF(AS71="",0,IF(OR(1=RANK(AS471,AS$412:AS$790,0),(2=RANK(AS471,AS$412:AS$790,0))),AS471,AS71))</f>
        <v>#DIV/0!</v>
      </c>
      <c r="AT871" s="1040" t="e">
        <f t="shared" si="176"/>
        <v>#DIV/0!</v>
      </c>
      <c r="AU871" s="1040">
        <f t="shared" si="176"/>
        <v>0</v>
      </c>
      <c r="AV871" s="1040" t="e">
        <f t="shared" si="176"/>
        <v>#DIV/0!</v>
      </c>
      <c r="AW871" s="1040" t="e">
        <f t="shared" si="176"/>
        <v>#DIV/0!</v>
      </c>
      <c r="AX871" s="1040" t="e">
        <f t="shared" si="176"/>
        <v>#DIV/0!</v>
      </c>
      <c r="AY871" s="1040" t="e">
        <f t="shared" si="176"/>
        <v>#DIV/0!</v>
      </c>
      <c r="AZ871" s="1061" t="s">
        <v>21</v>
      </c>
      <c r="BC871" s="29"/>
      <c r="BD871" s="29"/>
      <c r="BE871" s="13"/>
      <c r="BL871" s="368"/>
    </row>
    <row r="872" spans="1:64" ht="12" customHeight="1" x14ac:dyDescent="0.2">
      <c r="A872" s="39">
        <f>acute_overview_children!A72</f>
        <v>4</v>
      </c>
      <c r="B872" s="23">
        <f t="shared" si="55"/>
        <v>161050</v>
      </c>
      <c r="C872" s="23" t="str">
        <f t="shared" si="56"/>
        <v>Carambolas</v>
      </c>
      <c r="D872" s="135"/>
      <c r="E872" s="1027"/>
      <c r="F872" s="87"/>
      <c r="G872" s="87"/>
      <c r="H872" s="1027"/>
      <c r="I872" s="1030"/>
      <c r="J872" s="1039" t="e">
        <f t="shared" ref="J872:AR872" si="177">IF(J72="",0,IF(OR(1=RANK(J472,J$412:J$790,0),(2=RANK(J472,J$412:J$790,0))),J472,J72))</f>
        <v>#DIV/0!</v>
      </c>
      <c r="K872" s="1040" t="e">
        <f t="shared" si="177"/>
        <v>#DIV/0!</v>
      </c>
      <c r="L872" s="1040" t="e">
        <f t="shared" si="177"/>
        <v>#DIV/0!</v>
      </c>
      <c r="M872" s="1040" t="e">
        <f t="shared" si="177"/>
        <v>#DIV/0!</v>
      </c>
      <c r="N872" s="1040" t="e">
        <f t="shared" si="177"/>
        <v>#DIV/0!</v>
      </c>
      <c r="O872" s="1040" t="e">
        <f t="shared" si="177"/>
        <v>#DIV/0!</v>
      </c>
      <c r="P872" s="1040" t="e">
        <f t="shared" si="177"/>
        <v>#DIV/0!</v>
      </c>
      <c r="Q872" s="1040" t="e">
        <f t="shared" si="177"/>
        <v>#DIV/0!</v>
      </c>
      <c r="R872" s="1040" t="e">
        <f t="shared" si="177"/>
        <v>#DIV/0!</v>
      </c>
      <c r="S872" s="1040" t="e">
        <f t="shared" si="177"/>
        <v>#DIV/0!</v>
      </c>
      <c r="T872" s="1040" t="e">
        <f t="shared" si="177"/>
        <v>#DIV/0!</v>
      </c>
      <c r="U872" s="1040" t="e">
        <f t="shared" si="177"/>
        <v>#DIV/0!</v>
      </c>
      <c r="V872" s="1040" t="e">
        <f t="shared" si="177"/>
        <v>#DIV/0!</v>
      </c>
      <c r="W872" s="1040" t="e">
        <f t="shared" si="177"/>
        <v>#DIV/0!</v>
      </c>
      <c r="X872" s="1040" t="e">
        <f t="shared" si="177"/>
        <v>#DIV/0!</v>
      </c>
      <c r="Y872" s="1040" t="e">
        <f t="shared" si="177"/>
        <v>#DIV/0!</v>
      </c>
      <c r="Z872" s="1040" t="e">
        <f t="shared" si="177"/>
        <v>#DIV/0!</v>
      </c>
      <c r="AA872" s="1040" t="e">
        <f t="shared" si="177"/>
        <v>#DIV/0!</v>
      </c>
      <c r="AB872" s="1040" t="e">
        <f t="shared" si="177"/>
        <v>#DIV/0!</v>
      </c>
      <c r="AC872" s="1040" t="e">
        <f t="shared" si="177"/>
        <v>#DIV/0!</v>
      </c>
      <c r="AD872" s="1040" t="e">
        <f t="shared" si="177"/>
        <v>#DIV/0!</v>
      </c>
      <c r="AE872" s="1040" t="e">
        <f t="shared" si="177"/>
        <v>#DIV/0!</v>
      </c>
      <c r="AF872" s="1040" t="e">
        <f t="shared" si="177"/>
        <v>#DIV/0!</v>
      </c>
      <c r="AG872" s="1040" t="e">
        <f t="shared" si="177"/>
        <v>#DIV/0!</v>
      </c>
      <c r="AH872" s="1040" t="e">
        <f t="shared" si="177"/>
        <v>#DIV/0!</v>
      </c>
      <c r="AI872" s="1040" t="e">
        <f t="shared" si="177"/>
        <v>#DIV/0!</v>
      </c>
      <c r="AJ872" s="1040" t="e">
        <f t="shared" si="177"/>
        <v>#DIV/0!</v>
      </c>
      <c r="AK872" s="1040" t="e">
        <f t="shared" si="177"/>
        <v>#DIV/0!</v>
      </c>
      <c r="AL872" s="1040" t="e">
        <f t="shared" si="177"/>
        <v>#DIV/0!</v>
      </c>
      <c r="AM872" s="1040" t="e">
        <f t="shared" si="177"/>
        <v>#DIV/0!</v>
      </c>
      <c r="AN872" s="1040" t="e">
        <f t="shared" si="177"/>
        <v>#DIV/0!</v>
      </c>
      <c r="AO872" s="1040" t="e">
        <f t="shared" si="177"/>
        <v>#DIV/0!</v>
      </c>
      <c r="AP872" s="1040" t="e">
        <f t="shared" si="177"/>
        <v>#DIV/0!</v>
      </c>
      <c r="AQ872" s="1040" t="e">
        <f t="shared" si="177"/>
        <v>#DIV/0!</v>
      </c>
      <c r="AR872" s="1040" t="e">
        <f t="shared" si="177"/>
        <v>#DIV/0!</v>
      </c>
      <c r="AS872" s="1040" t="e">
        <f t="shared" ref="AS872:AY872" si="178">IF(AS72="",0,IF(OR(1=RANK(AS472,AS$412:AS$790,0),(2=RANK(AS472,AS$412:AS$790,0))),AS472,AS72))</f>
        <v>#DIV/0!</v>
      </c>
      <c r="AT872" s="1040" t="e">
        <f t="shared" si="178"/>
        <v>#DIV/0!</v>
      </c>
      <c r="AU872" s="1040">
        <f t="shared" si="178"/>
        <v>0</v>
      </c>
      <c r="AV872" s="1040" t="e">
        <f t="shared" si="178"/>
        <v>#DIV/0!</v>
      </c>
      <c r="AW872" s="1040" t="e">
        <f t="shared" si="178"/>
        <v>#DIV/0!</v>
      </c>
      <c r="AX872" s="1040" t="e">
        <f t="shared" si="178"/>
        <v>#DIV/0!</v>
      </c>
      <c r="AY872" s="1040" t="e">
        <f t="shared" si="178"/>
        <v>#DIV/0!</v>
      </c>
      <c r="AZ872" s="1061" t="s">
        <v>21</v>
      </c>
      <c r="BC872" s="29"/>
      <c r="BD872" s="29"/>
      <c r="BE872" s="13"/>
      <c r="BL872" s="368"/>
    </row>
    <row r="873" spans="1:64" ht="12" customHeight="1" x14ac:dyDescent="0.2">
      <c r="A873" s="39">
        <f>acute_overview_children!A73</f>
        <v>4</v>
      </c>
      <c r="B873" s="23">
        <f t="shared" si="55"/>
        <v>161060</v>
      </c>
      <c r="C873" s="23" t="str">
        <f t="shared" si="56"/>
        <v xml:space="preserve">Kaki/Japanese persimmons </v>
      </c>
      <c r="D873" s="135"/>
      <c r="E873" s="1027"/>
      <c r="F873" s="87"/>
      <c r="G873" s="87"/>
      <c r="H873" s="1027"/>
      <c r="I873" s="1030"/>
      <c r="J873" s="1039" t="e">
        <f t="shared" ref="J873:AR873" si="179">IF(J73="",0,IF(OR(1=RANK(J473,J$412:J$790,0),(2=RANK(J473,J$412:J$790,0))),J473,J73))</f>
        <v>#DIV/0!</v>
      </c>
      <c r="K873" s="1040" t="e">
        <f t="shared" si="179"/>
        <v>#DIV/0!</v>
      </c>
      <c r="L873" s="1040" t="e">
        <f t="shared" si="179"/>
        <v>#DIV/0!</v>
      </c>
      <c r="M873" s="1040" t="e">
        <f t="shared" si="179"/>
        <v>#DIV/0!</v>
      </c>
      <c r="N873" s="1040" t="e">
        <f t="shared" si="179"/>
        <v>#DIV/0!</v>
      </c>
      <c r="O873" s="1040" t="e">
        <f t="shared" si="179"/>
        <v>#DIV/0!</v>
      </c>
      <c r="P873" s="1040" t="e">
        <f t="shared" si="179"/>
        <v>#DIV/0!</v>
      </c>
      <c r="Q873" s="1040" t="e">
        <f t="shared" si="179"/>
        <v>#DIV/0!</v>
      </c>
      <c r="R873" s="1040" t="e">
        <f t="shared" si="179"/>
        <v>#DIV/0!</v>
      </c>
      <c r="S873" s="1040" t="e">
        <f t="shared" si="179"/>
        <v>#DIV/0!</v>
      </c>
      <c r="T873" s="1040" t="e">
        <f t="shared" si="179"/>
        <v>#DIV/0!</v>
      </c>
      <c r="U873" s="1040" t="e">
        <f t="shared" si="179"/>
        <v>#DIV/0!</v>
      </c>
      <c r="V873" s="1040" t="e">
        <f t="shared" si="179"/>
        <v>#DIV/0!</v>
      </c>
      <c r="W873" s="1040" t="e">
        <f t="shared" si="179"/>
        <v>#DIV/0!</v>
      </c>
      <c r="X873" s="1040" t="e">
        <f t="shared" si="179"/>
        <v>#DIV/0!</v>
      </c>
      <c r="Y873" s="1040" t="e">
        <f t="shared" si="179"/>
        <v>#DIV/0!</v>
      </c>
      <c r="Z873" s="1040" t="e">
        <f t="shared" si="179"/>
        <v>#DIV/0!</v>
      </c>
      <c r="AA873" s="1040" t="e">
        <f t="shared" si="179"/>
        <v>#DIV/0!</v>
      </c>
      <c r="AB873" s="1040" t="e">
        <f t="shared" si="179"/>
        <v>#DIV/0!</v>
      </c>
      <c r="AC873" s="1040" t="e">
        <f t="shared" si="179"/>
        <v>#DIV/0!</v>
      </c>
      <c r="AD873" s="1040" t="e">
        <f t="shared" si="179"/>
        <v>#DIV/0!</v>
      </c>
      <c r="AE873" s="1040" t="e">
        <f t="shared" si="179"/>
        <v>#DIV/0!</v>
      </c>
      <c r="AF873" s="1040" t="e">
        <f t="shared" si="179"/>
        <v>#DIV/0!</v>
      </c>
      <c r="AG873" s="1040" t="e">
        <f t="shared" si="179"/>
        <v>#DIV/0!</v>
      </c>
      <c r="AH873" s="1040" t="e">
        <f t="shared" si="179"/>
        <v>#DIV/0!</v>
      </c>
      <c r="AI873" s="1040" t="e">
        <f t="shared" si="179"/>
        <v>#DIV/0!</v>
      </c>
      <c r="AJ873" s="1040" t="e">
        <f t="shared" si="179"/>
        <v>#DIV/0!</v>
      </c>
      <c r="AK873" s="1040" t="e">
        <f t="shared" si="179"/>
        <v>#DIV/0!</v>
      </c>
      <c r="AL873" s="1040" t="e">
        <f t="shared" si="179"/>
        <v>#DIV/0!</v>
      </c>
      <c r="AM873" s="1040" t="e">
        <f t="shared" si="179"/>
        <v>#DIV/0!</v>
      </c>
      <c r="AN873" s="1040" t="e">
        <f t="shared" si="179"/>
        <v>#DIV/0!</v>
      </c>
      <c r="AO873" s="1040" t="e">
        <f t="shared" si="179"/>
        <v>#DIV/0!</v>
      </c>
      <c r="AP873" s="1040" t="e">
        <f t="shared" si="179"/>
        <v>#DIV/0!</v>
      </c>
      <c r="AQ873" s="1040" t="e">
        <f t="shared" si="179"/>
        <v>#DIV/0!</v>
      </c>
      <c r="AR873" s="1040" t="e">
        <f t="shared" si="179"/>
        <v>#DIV/0!</v>
      </c>
      <c r="AS873" s="1040" t="e">
        <f t="shared" ref="AS873:AY873" si="180">IF(AS73="",0,IF(OR(1=RANK(AS473,AS$412:AS$790,0),(2=RANK(AS473,AS$412:AS$790,0))),AS473,AS73))</f>
        <v>#DIV/0!</v>
      </c>
      <c r="AT873" s="1040" t="e">
        <f t="shared" si="180"/>
        <v>#DIV/0!</v>
      </c>
      <c r="AU873" s="1040">
        <f t="shared" si="180"/>
        <v>0</v>
      </c>
      <c r="AV873" s="1040" t="e">
        <f t="shared" si="180"/>
        <v>#DIV/0!</v>
      </c>
      <c r="AW873" s="1040" t="e">
        <f t="shared" si="180"/>
        <v>#DIV/0!</v>
      </c>
      <c r="AX873" s="1040" t="e">
        <f t="shared" si="180"/>
        <v>#DIV/0!</v>
      </c>
      <c r="AY873" s="1040" t="e">
        <f t="shared" si="180"/>
        <v>#DIV/0!</v>
      </c>
      <c r="AZ873" s="1061" t="s">
        <v>21</v>
      </c>
      <c r="BC873" s="29"/>
      <c r="BD873" s="29"/>
      <c r="BE873" s="13"/>
      <c r="BL873" s="368"/>
    </row>
    <row r="874" spans="1:64" ht="12" customHeight="1" x14ac:dyDescent="0.2">
      <c r="A874" s="39">
        <f>acute_overview_children!A74</f>
        <v>4</v>
      </c>
      <c r="B874" s="23">
        <f t="shared" si="55"/>
        <v>161070</v>
      </c>
      <c r="C874" s="23" t="str">
        <f t="shared" si="56"/>
        <v>Jambuls/jambolans</v>
      </c>
      <c r="D874" s="135"/>
      <c r="E874" s="1027"/>
      <c r="F874" s="87"/>
      <c r="G874" s="87"/>
      <c r="H874" s="1027"/>
      <c r="I874" s="1030"/>
      <c r="J874" s="1039" t="e">
        <f t="shared" ref="J874:AR874" si="181">IF(J74="",0,IF(OR(1=RANK(J474,J$412:J$790,0),(2=RANK(J474,J$412:J$790,0))),J474,J74))</f>
        <v>#DIV/0!</v>
      </c>
      <c r="K874" s="1040" t="e">
        <f t="shared" si="181"/>
        <v>#DIV/0!</v>
      </c>
      <c r="L874" s="1040" t="e">
        <f t="shared" si="181"/>
        <v>#DIV/0!</v>
      </c>
      <c r="M874" s="1040" t="e">
        <f t="shared" si="181"/>
        <v>#DIV/0!</v>
      </c>
      <c r="N874" s="1040" t="e">
        <f t="shared" si="181"/>
        <v>#DIV/0!</v>
      </c>
      <c r="O874" s="1040" t="e">
        <f t="shared" si="181"/>
        <v>#DIV/0!</v>
      </c>
      <c r="P874" s="1040" t="e">
        <f t="shared" si="181"/>
        <v>#DIV/0!</v>
      </c>
      <c r="Q874" s="1040" t="e">
        <f t="shared" si="181"/>
        <v>#DIV/0!</v>
      </c>
      <c r="R874" s="1040" t="e">
        <f t="shared" si="181"/>
        <v>#DIV/0!</v>
      </c>
      <c r="S874" s="1040" t="e">
        <f t="shared" si="181"/>
        <v>#DIV/0!</v>
      </c>
      <c r="T874" s="1040" t="e">
        <f t="shared" si="181"/>
        <v>#DIV/0!</v>
      </c>
      <c r="U874" s="1040" t="e">
        <f t="shared" si="181"/>
        <v>#DIV/0!</v>
      </c>
      <c r="V874" s="1040" t="e">
        <f t="shared" si="181"/>
        <v>#DIV/0!</v>
      </c>
      <c r="W874" s="1040" t="e">
        <f t="shared" si="181"/>
        <v>#DIV/0!</v>
      </c>
      <c r="X874" s="1040" t="e">
        <f t="shared" si="181"/>
        <v>#DIV/0!</v>
      </c>
      <c r="Y874" s="1040" t="e">
        <f t="shared" si="181"/>
        <v>#DIV/0!</v>
      </c>
      <c r="Z874" s="1040" t="e">
        <f t="shared" si="181"/>
        <v>#DIV/0!</v>
      </c>
      <c r="AA874" s="1040" t="e">
        <f t="shared" si="181"/>
        <v>#DIV/0!</v>
      </c>
      <c r="AB874" s="1040" t="e">
        <f t="shared" si="181"/>
        <v>#DIV/0!</v>
      </c>
      <c r="AC874" s="1040" t="e">
        <f t="shared" si="181"/>
        <v>#DIV/0!</v>
      </c>
      <c r="AD874" s="1040" t="e">
        <f t="shared" si="181"/>
        <v>#DIV/0!</v>
      </c>
      <c r="AE874" s="1040" t="e">
        <f t="shared" si="181"/>
        <v>#DIV/0!</v>
      </c>
      <c r="AF874" s="1040" t="e">
        <f t="shared" si="181"/>
        <v>#DIV/0!</v>
      </c>
      <c r="AG874" s="1040" t="e">
        <f t="shared" si="181"/>
        <v>#DIV/0!</v>
      </c>
      <c r="AH874" s="1040" t="e">
        <f t="shared" si="181"/>
        <v>#DIV/0!</v>
      </c>
      <c r="AI874" s="1040" t="e">
        <f t="shared" si="181"/>
        <v>#DIV/0!</v>
      </c>
      <c r="AJ874" s="1040" t="e">
        <f t="shared" si="181"/>
        <v>#DIV/0!</v>
      </c>
      <c r="AK874" s="1040" t="e">
        <f t="shared" si="181"/>
        <v>#DIV/0!</v>
      </c>
      <c r="AL874" s="1040" t="e">
        <f t="shared" si="181"/>
        <v>#DIV/0!</v>
      </c>
      <c r="AM874" s="1040" t="e">
        <f t="shared" si="181"/>
        <v>#DIV/0!</v>
      </c>
      <c r="AN874" s="1040" t="e">
        <f t="shared" si="181"/>
        <v>#DIV/0!</v>
      </c>
      <c r="AO874" s="1040" t="e">
        <f t="shared" si="181"/>
        <v>#DIV/0!</v>
      </c>
      <c r="AP874" s="1040" t="e">
        <f t="shared" si="181"/>
        <v>#DIV/0!</v>
      </c>
      <c r="AQ874" s="1040" t="e">
        <f t="shared" si="181"/>
        <v>#DIV/0!</v>
      </c>
      <c r="AR874" s="1040" t="e">
        <f t="shared" si="181"/>
        <v>#DIV/0!</v>
      </c>
      <c r="AS874" s="1040" t="e">
        <f t="shared" ref="AS874:AY874" si="182">IF(AS74="",0,IF(OR(1=RANK(AS474,AS$412:AS$790,0),(2=RANK(AS474,AS$412:AS$790,0))),AS474,AS74))</f>
        <v>#DIV/0!</v>
      </c>
      <c r="AT874" s="1040" t="e">
        <f t="shared" si="182"/>
        <v>#DIV/0!</v>
      </c>
      <c r="AU874" s="1040">
        <f t="shared" si="182"/>
        <v>0</v>
      </c>
      <c r="AV874" s="1040" t="e">
        <f t="shared" si="182"/>
        <v>#DIV/0!</v>
      </c>
      <c r="AW874" s="1040" t="e">
        <f t="shared" si="182"/>
        <v>#DIV/0!</v>
      </c>
      <c r="AX874" s="1040" t="e">
        <f t="shared" si="182"/>
        <v>#DIV/0!</v>
      </c>
      <c r="AY874" s="1040" t="e">
        <f t="shared" si="182"/>
        <v>#DIV/0!</v>
      </c>
      <c r="AZ874" s="1061" t="s">
        <v>21</v>
      </c>
      <c r="BC874" s="29"/>
      <c r="BD874" s="29"/>
      <c r="BE874" s="13"/>
      <c r="BL874" s="368"/>
    </row>
    <row r="875" spans="1:64" ht="12" customHeight="1" x14ac:dyDescent="0.2">
      <c r="A875" s="39">
        <f>acute_overview_children!A75</f>
        <v>4</v>
      </c>
      <c r="B875" s="23">
        <f t="shared" si="55"/>
        <v>161990</v>
      </c>
      <c r="C875" s="23" t="str">
        <f t="shared" si="56"/>
        <v>Other miscellaneous fruit (edible peel)</v>
      </c>
      <c r="D875" s="135"/>
      <c r="E875" s="1027"/>
      <c r="F875" s="87"/>
      <c r="G875" s="87"/>
      <c r="H875" s="1027"/>
      <c r="I875" s="1030"/>
      <c r="J875" s="1039" t="e">
        <f t="shared" ref="J875:AR875" si="183">IF(J75="",0,IF(OR(1=RANK(J475,J$412:J$790,0),(2=RANK(J475,J$412:J$790,0))),J475,J75))</f>
        <v>#DIV/0!</v>
      </c>
      <c r="K875" s="1040" t="e">
        <f t="shared" si="183"/>
        <v>#DIV/0!</v>
      </c>
      <c r="L875" s="1040" t="e">
        <f t="shared" si="183"/>
        <v>#DIV/0!</v>
      </c>
      <c r="M875" s="1040" t="e">
        <f t="shared" si="183"/>
        <v>#DIV/0!</v>
      </c>
      <c r="N875" s="1040" t="e">
        <f t="shared" si="183"/>
        <v>#DIV/0!</v>
      </c>
      <c r="O875" s="1040" t="e">
        <f t="shared" si="183"/>
        <v>#DIV/0!</v>
      </c>
      <c r="P875" s="1040" t="e">
        <f t="shared" si="183"/>
        <v>#DIV/0!</v>
      </c>
      <c r="Q875" s="1040" t="e">
        <f t="shared" si="183"/>
        <v>#DIV/0!</v>
      </c>
      <c r="R875" s="1040" t="e">
        <f t="shared" si="183"/>
        <v>#DIV/0!</v>
      </c>
      <c r="S875" s="1040" t="e">
        <f t="shared" si="183"/>
        <v>#DIV/0!</v>
      </c>
      <c r="T875" s="1040" t="e">
        <f t="shared" si="183"/>
        <v>#DIV/0!</v>
      </c>
      <c r="U875" s="1040" t="e">
        <f t="shared" si="183"/>
        <v>#DIV/0!</v>
      </c>
      <c r="V875" s="1040" t="e">
        <f t="shared" si="183"/>
        <v>#DIV/0!</v>
      </c>
      <c r="W875" s="1040" t="e">
        <f t="shared" si="183"/>
        <v>#DIV/0!</v>
      </c>
      <c r="X875" s="1040" t="e">
        <f t="shared" si="183"/>
        <v>#DIV/0!</v>
      </c>
      <c r="Y875" s="1040" t="e">
        <f t="shared" si="183"/>
        <v>#DIV/0!</v>
      </c>
      <c r="Z875" s="1040" t="e">
        <f t="shared" si="183"/>
        <v>#DIV/0!</v>
      </c>
      <c r="AA875" s="1040" t="e">
        <f t="shared" si="183"/>
        <v>#DIV/0!</v>
      </c>
      <c r="AB875" s="1040" t="e">
        <f t="shared" si="183"/>
        <v>#DIV/0!</v>
      </c>
      <c r="AC875" s="1040" t="e">
        <f t="shared" si="183"/>
        <v>#DIV/0!</v>
      </c>
      <c r="AD875" s="1040" t="e">
        <f t="shared" si="183"/>
        <v>#DIV/0!</v>
      </c>
      <c r="AE875" s="1040" t="e">
        <f t="shared" si="183"/>
        <v>#DIV/0!</v>
      </c>
      <c r="AF875" s="1040" t="e">
        <f t="shared" si="183"/>
        <v>#DIV/0!</v>
      </c>
      <c r="AG875" s="1040" t="e">
        <f t="shared" si="183"/>
        <v>#DIV/0!</v>
      </c>
      <c r="AH875" s="1040" t="e">
        <f t="shared" si="183"/>
        <v>#DIV/0!</v>
      </c>
      <c r="AI875" s="1040" t="e">
        <f t="shared" si="183"/>
        <v>#DIV/0!</v>
      </c>
      <c r="AJ875" s="1040" t="e">
        <f t="shared" si="183"/>
        <v>#DIV/0!</v>
      </c>
      <c r="AK875" s="1040" t="e">
        <f t="shared" si="183"/>
        <v>#DIV/0!</v>
      </c>
      <c r="AL875" s="1040" t="e">
        <f t="shared" si="183"/>
        <v>#DIV/0!</v>
      </c>
      <c r="AM875" s="1040" t="e">
        <f t="shared" si="183"/>
        <v>#DIV/0!</v>
      </c>
      <c r="AN875" s="1040" t="e">
        <f t="shared" si="183"/>
        <v>#DIV/0!</v>
      </c>
      <c r="AO875" s="1040" t="e">
        <f t="shared" si="183"/>
        <v>#DIV/0!</v>
      </c>
      <c r="AP875" s="1040" t="e">
        <f t="shared" si="183"/>
        <v>#DIV/0!</v>
      </c>
      <c r="AQ875" s="1040" t="e">
        <f t="shared" si="183"/>
        <v>#DIV/0!</v>
      </c>
      <c r="AR875" s="1040" t="e">
        <f t="shared" si="183"/>
        <v>#DIV/0!</v>
      </c>
      <c r="AS875" s="1040" t="e">
        <f t="shared" ref="AS875:AY875" si="184">IF(AS75="",0,IF(OR(1=RANK(AS475,AS$412:AS$790,0),(2=RANK(AS475,AS$412:AS$790,0))),AS475,AS75))</f>
        <v>#DIV/0!</v>
      </c>
      <c r="AT875" s="1040" t="e">
        <f t="shared" si="184"/>
        <v>#DIV/0!</v>
      </c>
      <c r="AU875" s="1040">
        <f t="shared" si="184"/>
        <v>0</v>
      </c>
      <c r="AV875" s="1040" t="e">
        <f t="shared" si="184"/>
        <v>#DIV/0!</v>
      </c>
      <c r="AW875" s="1040" t="e">
        <f t="shared" si="184"/>
        <v>#DIV/0!</v>
      </c>
      <c r="AX875" s="1040" t="e">
        <f t="shared" si="184"/>
        <v>#DIV/0!</v>
      </c>
      <c r="AY875" s="1040" t="e">
        <f t="shared" si="184"/>
        <v>#DIV/0!</v>
      </c>
      <c r="AZ875" s="1061" t="s">
        <v>21</v>
      </c>
      <c r="BC875" s="29"/>
      <c r="BD875" s="29"/>
      <c r="BE875" s="13"/>
      <c r="BL875" s="368"/>
    </row>
    <row r="876" spans="1:64" ht="12" customHeight="1" x14ac:dyDescent="0.2">
      <c r="A876" s="132">
        <f>acute_overview_children!A76</f>
        <v>3</v>
      </c>
      <c r="B876" s="3">
        <f t="shared" ref="B876:B939" si="185">B76</f>
        <v>162000</v>
      </c>
      <c r="C876" s="3" t="str">
        <f t="shared" ref="C876:C939" si="186">C76</f>
        <v>Miscellaneous fruit (inedible peel,
small)</v>
      </c>
      <c r="D876" s="1042"/>
      <c r="E876" s="1027"/>
      <c r="F876" s="87"/>
      <c r="G876" s="87"/>
      <c r="H876" s="1027"/>
      <c r="I876" s="1030"/>
      <c r="J876" s="1043" t="e">
        <f t="shared" ref="J876:AR876" si="187">IF(J76="",0,IF(OR(1=RANK(J476,J$412:J$790,0),(2=RANK(J476,J$412:J$790,0))),J476,J76))</f>
        <v>#DIV/0!</v>
      </c>
      <c r="K876" s="1044" t="e">
        <f t="shared" si="187"/>
        <v>#DIV/0!</v>
      </c>
      <c r="L876" s="1044" t="e">
        <f t="shared" si="187"/>
        <v>#DIV/0!</v>
      </c>
      <c r="M876" s="1044" t="e">
        <f t="shared" si="187"/>
        <v>#DIV/0!</v>
      </c>
      <c r="N876" s="1044" t="e">
        <f t="shared" si="187"/>
        <v>#DIV/0!</v>
      </c>
      <c r="O876" s="1044" t="e">
        <f t="shared" si="187"/>
        <v>#DIV/0!</v>
      </c>
      <c r="P876" s="1044" t="e">
        <f t="shared" si="187"/>
        <v>#DIV/0!</v>
      </c>
      <c r="Q876" s="1044" t="e">
        <f t="shared" si="187"/>
        <v>#DIV/0!</v>
      </c>
      <c r="R876" s="1044" t="e">
        <f t="shared" si="187"/>
        <v>#DIV/0!</v>
      </c>
      <c r="S876" s="1044" t="e">
        <f t="shared" si="187"/>
        <v>#DIV/0!</v>
      </c>
      <c r="T876" s="1044" t="e">
        <f t="shared" si="187"/>
        <v>#DIV/0!</v>
      </c>
      <c r="U876" s="1044" t="e">
        <f t="shared" si="187"/>
        <v>#DIV/0!</v>
      </c>
      <c r="V876" s="1044" t="e">
        <f t="shared" si="187"/>
        <v>#DIV/0!</v>
      </c>
      <c r="W876" s="1044" t="e">
        <f t="shared" si="187"/>
        <v>#DIV/0!</v>
      </c>
      <c r="X876" s="1044" t="e">
        <f t="shared" si="187"/>
        <v>#DIV/0!</v>
      </c>
      <c r="Y876" s="1044" t="e">
        <f t="shared" si="187"/>
        <v>#DIV/0!</v>
      </c>
      <c r="Z876" s="1044" t="e">
        <f t="shared" si="187"/>
        <v>#DIV/0!</v>
      </c>
      <c r="AA876" s="1044" t="e">
        <f t="shared" si="187"/>
        <v>#DIV/0!</v>
      </c>
      <c r="AB876" s="1044" t="e">
        <f t="shared" si="187"/>
        <v>#DIV/0!</v>
      </c>
      <c r="AC876" s="1044" t="e">
        <f t="shared" si="187"/>
        <v>#DIV/0!</v>
      </c>
      <c r="AD876" s="1044" t="e">
        <f t="shared" si="187"/>
        <v>#DIV/0!</v>
      </c>
      <c r="AE876" s="1044" t="e">
        <f t="shared" si="187"/>
        <v>#DIV/0!</v>
      </c>
      <c r="AF876" s="1044" t="e">
        <f t="shared" si="187"/>
        <v>#DIV/0!</v>
      </c>
      <c r="AG876" s="1044" t="e">
        <f t="shared" si="187"/>
        <v>#DIV/0!</v>
      </c>
      <c r="AH876" s="1044" t="e">
        <f t="shared" si="187"/>
        <v>#DIV/0!</v>
      </c>
      <c r="AI876" s="1044" t="e">
        <f t="shared" si="187"/>
        <v>#DIV/0!</v>
      </c>
      <c r="AJ876" s="1044" t="e">
        <f t="shared" si="187"/>
        <v>#DIV/0!</v>
      </c>
      <c r="AK876" s="1044" t="e">
        <f t="shared" si="187"/>
        <v>#DIV/0!</v>
      </c>
      <c r="AL876" s="1044" t="e">
        <f t="shared" si="187"/>
        <v>#DIV/0!</v>
      </c>
      <c r="AM876" s="1044" t="e">
        <f t="shared" si="187"/>
        <v>#DIV/0!</v>
      </c>
      <c r="AN876" s="1044" t="e">
        <f t="shared" si="187"/>
        <v>#DIV/0!</v>
      </c>
      <c r="AO876" s="1044" t="e">
        <f t="shared" si="187"/>
        <v>#DIV/0!</v>
      </c>
      <c r="AP876" s="1044" t="e">
        <f t="shared" si="187"/>
        <v>#DIV/0!</v>
      </c>
      <c r="AQ876" s="1044" t="e">
        <f t="shared" si="187"/>
        <v>#DIV/0!</v>
      </c>
      <c r="AR876" s="1044" t="e">
        <f t="shared" si="187"/>
        <v>#DIV/0!</v>
      </c>
      <c r="AS876" s="1044" t="e">
        <f t="shared" ref="AS876:AY876" si="188">IF(AS76="",0,IF(OR(1=RANK(AS476,AS$412:AS$790,0),(2=RANK(AS476,AS$412:AS$790,0))),AS476,AS76))</f>
        <v>#DIV/0!</v>
      </c>
      <c r="AT876" s="1044" t="e">
        <f t="shared" si="188"/>
        <v>#DIV/0!</v>
      </c>
      <c r="AU876" s="1044">
        <f t="shared" si="188"/>
        <v>0</v>
      </c>
      <c r="AV876" s="1044" t="e">
        <f t="shared" si="188"/>
        <v>#DIV/0!</v>
      </c>
      <c r="AW876" s="1044" t="e">
        <f t="shared" si="188"/>
        <v>#DIV/0!</v>
      </c>
      <c r="AX876" s="1044" t="e">
        <f t="shared" si="188"/>
        <v>#DIV/0!</v>
      </c>
      <c r="AY876" s="1044" t="e">
        <f t="shared" si="188"/>
        <v>#DIV/0!</v>
      </c>
      <c r="AZ876" s="1061" t="s">
        <v>21</v>
      </c>
      <c r="BC876" s="29"/>
      <c r="BD876" s="29"/>
      <c r="BE876" s="13"/>
      <c r="BL876" s="368"/>
    </row>
    <row r="877" spans="1:64" ht="12" customHeight="1" x14ac:dyDescent="0.2">
      <c r="A877" s="39">
        <f>acute_overview_children!A77</f>
        <v>4</v>
      </c>
      <c r="B877" s="23">
        <f t="shared" si="185"/>
        <v>162010</v>
      </c>
      <c r="C877" s="23" t="str">
        <f t="shared" si="186"/>
        <v>Kiwi fruits (green, red, yellow)</v>
      </c>
      <c r="D877" s="135"/>
      <c r="E877" s="1027"/>
      <c r="F877" s="87"/>
      <c r="G877" s="87"/>
      <c r="H877" s="1027"/>
      <c r="I877" s="1030"/>
      <c r="J877" s="1039" t="e">
        <f t="shared" ref="J877:AR877" si="189">IF(J77="",0,IF(OR(1=RANK(J477,J$412:J$790,0),(2=RANK(J477,J$412:J$790,0))),J477,J77))</f>
        <v>#DIV/0!</v>
      </c>
      <c r="K877" s="1040" t="e">
        <f t="shared" si="189"/>
        <v>#DIV/0!</v>
      </c>
      <c r="L877" s="1040" t="e">
        <f t="shared" si="189"/>
        <v>#DIV/0!</v>
      </c>
      <c r="M877" s="1040" t="e">
        <f t="shared" si="189"/>
        <v>#DIV/0!</v>
      </c>
      <c r="N877" s="1040" t="e">
        <f t="shared" si="189"/>
        <v>#DIV/0!</v>
      </c>
      <c r="O877" s="1040" t="e">
        <f t="shared" si="189"/>
        <v>#DIV/0!</v>
      </c>
      <c r="P877" s="1040" t="e">
        <f t="shared" si="189"/>
        <v>#DIV/0!</v>
      </c>
      <c r="Q877" s="1040" t="e">
        <f t="shared" si="189"/>
        <v>#DIV/0!</v>
      </c>
      <c r="R877" s="1040" t="e">
        <f t="shared" si="189"/>
        <v>#DIV/0!</v>
      </c>
      <c r="S877" s="1040" t="e">
        <f t="shared" si="189"/>
        <v>#DIV/0!</v>
      </c>
      <c r="T877" s="1040" t="e">
        <f t="shared" si="189"/>
        <v>#DIV/0!</v>
      </c>
      <c r="U877" s="1040" t="e">
        <f t="shared" si="189"/>
        <v>#DIV/0!</v>
      </c>
      <c r="V877" s="1040" t="e">
        <f t="shared" si="189"/>
        <v>#DIV/0!</v>
      </c>
      <c r="W877" s="1040" t="e">
        <f t="shared" si="189"/>
        <v>#DIV/0!</v>
      </c>
      <c r="X877" s="1040" t="e">
        <f t="shared" si="189"/>
        <v>#DIV/0!</v>
      </c>
      <c r="Y877" s="1040" t="e">
        <f t="shared" si="189"/>
        <v>#DIV/0!</v>
      </c>
      <c r="Z877" s="1040" t="e">
        <f t="shared" si="189"/>
        <v>#DIV/0!</v>
      </c>
      <c r="AA877" s="1040" t="e">
        <f t="shared" si="189"/>
        <v>#DIV/0!</v>
      </c>
      <c r="AB877" s="1040" t="e">
        <f t="shared" si="189"/>
        <v>#DIV/0!</v>
      </c>
      <c r="AC877" s="1040" t="e">
        <f t="shared" si="189"/>
        <v>#DIV/0!</v>
      </c>
      <c r="AD877" s="1040" t="e">
        <f t="shared" si="189"/>
        <v>#DIV/0!</v>
      </c>
      <c r="AE877" s="1040" t="e">
        <f t="shared" si="189"/>
        <v>#DIV/0!</v>
      </c>
      <c r="AF877" s="1040" t="e">
        <f t="shared" si="189"/>
        <v>#DIV/0!</v>
      </c>
      <c r="AG877" s="1040" t="e">
        <f t="shared" si="189"/>
        <v>#DIV/0!</v>
      </c>
      <c r="AH877" s="1040" t="e">
        <f t="shared" si="189"/>
        <v>#DIV/0!</v>
      </c>
      <c r="AI877" s="1040" t="e">
        <f t="shared" si="189"/>
        <v>#DIV/0!</v>
      </c>
      <c r="AJ877" s="1040" t="e">
        <f t="shared" si="189"/>
        <v>#DIV/0!</v>
      </c>
      <c r="AK877" s="1040" t="e">
        <f t="shared" si="189"/>
        <v>#DIV/0!</v>
      </c>
      <c r="AL877" s="1040" t="e">
        <f t="shared" si="189"/>
        <v>#DIV/0!</v>
      </c>
      <c r="AM877" s="1040" t="e">
        <f t="shared" si="189"/>
        <v>#DIV/0!</v>
      </c>
      <c r="AN877" s="1040" t="e">
        <f t="shared" si="189"/>
        <v>#DIV/0!</v>
      </c>
      <c r="AO877" s="1040" t="e">
        <f t="shared" si="189"/>
        <v>#DIV/0!</v>
      </c>
      <c r="AP877" s="1040" t="e">
        <f t="shared" si="189"/>
        <v>#DIV/0!</v>
      </c>
      <c r="AQ877" s="1040" t="e">
        <f t="shared" si="189"/>
        <v>#DIV/0!</v>
      </c>
      <c r="AR877" s="1040" t="e">
        <f t="shared" si="189"/>
        <v>#DIV/0!</v>
      </c>
      <c r="AS877" s="1040" t="e">
        <f t="shared" ref="AS877:AY877" si="190">IF(AS77="",0,IF(OR(1=RANK(AS477,AS$412:AS$790,0),(2=RANK(AS477,AS$412:AS$790,0))),AS477,AS77))</f>
        <v>#DIV/0!</v>
      </c>
      <c r="AT877" s="1040" t="e">
        <f t="shared" si="190"/>
        <v>#DIV/0!</v>
      </c>
      <c r="AU877" s="1040">
        <f t="shared" si="190"/>
        <v>0</v>
      </c>
      <c r="AV877" s="1040" t="e">
        <f t="shared" si="190"/>
        <v>#DIV/0!</v>
      </c>
      <c r="AW877" s="1040" t="e">
        <f t="shared" si="190"/>
        <v>#DIV/0!</v>
      </c>
      <c r="AX877" s="1040" t="e">
        <f t="shared" si="190"/>
        <v>#DIV/0!</v>
      </c>
      <c r="AY877" s="1040" t="e">
        <f t="shared" si="190"/>
        <v>#DIV/0!</v>
      </c>
      <c r="AZ877" s="1061" t="s">
        <v>21</v>
      </c>
      <c r="BC877" s="29"/>
      <c r="BD877" s="29"/>
      <c r="BE877" s="13"/>
      <c r="BL877" s="368"/>
    </row>
    <row r="878" spans="1:64" ht="12" customHeight="1" x14ac:dyDescent="0.2">
      <c r="A878" s="39">
        <f>acute_overview_children!A78</f>
        <v>4</v>
      </c>
      <c r="B878" s="23">
        <f t="shared" si="185"/>
        <v>162020</v>
      </c>
      <c r="C878" s="23" t="str">
        <f t="shared" si="186"/>
        <v>Litchis/lychees</v>
      </c>
      <c r="D878" s="135"/>
      <c r="E878" s="1027"/>
      <c r="F878" s="87"/>
      <c r="G878" s="87"/>
      <c r="H878" s="1027"/>
      <c r="I878" s="1030"/>
      <c r="J878" s="1039" t="e">
        <f t="shared" ref="J878:AR878" si="191">IF(J78="",0,IF(OR(1=RANK(J478,J$412:J$790,0),(2=RANK(J478,J$412:J$790,0))),J478,J78))</f>
        <v>#DIV/0!</v>
      </c>
      <c r="K878" s="1040" t="e">
        <f t="shared" si="191"/>
        <v>#DIV/0!</v>
      </c>
      <c r="L878" s="1040" t="e">
        <f t="shared" si="191"/>
        <v>#DIV/0!</v>
      </c>
      <c r="M878" s="1040" t="e">
        <f t="shared" si="191"/>
        <v>#DIV/0!</v>
      </c>
      <c r="N878" s="1040" t="e">
        <f t="shared" si="191"/>
        <v>#DIV/0!</v>
      </c>
      <c r="O878" s="1040" t="e">
        <f t="shared" si="191"/>
        <v>#DIV/0!</v>
      </c>
      <c r="P878" s="1040" t="e">
        <f t="shared" si="191"/>
        <v>#DIV/0!</v>
      </c>
      <c r="Q878" s="1040" t="e">
        <f t="shared" si="191"/>
        <v>#DIV/0!</v>
      </c>
      <c r="R878" s="1040" t="e">
        <f t="shared" si="191"/>
        <v>#DIV/0!</v>
      </c>
      <c r="S878" s="1040" t="e">
        <f t="shared" si="191"/>
        <v>#DIV/0!</v>
      </c>
      <c r="T878" s="1040" t="e">
        <f t="shared" si="191"/>
        <v>#DIV/0!</v>
      </c>
      <c r="U878" s="1040" t="e">
        <f t="shared" si="191"/>
        <v>#DIV/0!</v>
      </c>
      <c r="V878" s="1040" t="e">
        <f t="shared" si="191"/>
        <v>#DIV/0!</v>
      </c>
      <c r="W878" s="1040" t="e">
        <f t="shared" si="191"/>
        <v>#DIV/0!</v>
      </c>
      <c r="X878" s="1040" t="e">
        <f t="shared" si="191"/>
        <v>#DIV/0!</v>
      </c>
      <c r="Y878" s="1040" t="e">
        <f t="shared" si="191"/>
        <v>#DIV/0!</v>
      </c>
      <c r="Z878" s="1040" t="e">
        <f t="shared" si="191"/>
        <v>#DIV/0!</v>
      </c>
      <c r="AA878" s="1040" t="e">
        <f t="shared" si="191"/>
        <v>#DIV/0!</v>
      </c>
      <c r="AB878" s="1040" t="e">
        <f t="shared" si="191"/>
        <v>#DIV/0!</v>
      </c>
      <c r="AC878" s="1040" t="e">
        <f t="shared" si="191"/>
        <v>#DIV/0!</v>
      </c>
      <c r="AD878" s="1040" t="e">
        <f t="shared" si="191"/>
        <v>#DIV/0!</v>
      </c>
      <c r="AE878" s="1040" t="e">
        <f t="shared" si="191"/>
        <v>#DIV/0!</v>
      </c>
      <c r="AF878" s="1040" t="e">
        <f t="shared" si="191"/>
        <v>#DIV/0!</v>
      </c>
      <c r="AG878" s="1040" t="e">
        <f t="shared" si="191"/>
        <v>#DIV/0!</v>
      </c>
      <c r="AH878" s="1040" t="e">
        <f t="shared" si="191"/>
        <v>#DIV/0!</v>
      </c>
      <c r="AI878" s="1040" t="e">
        <f t="shared" si="191"/>
        <v>#DIV/0!</v>
      </c>
      <c r="AJ878" s="1040" t="e">
        <f t="shared" si="191"/>
        <v>#DIV/0!</v>
      </c>
      <c r="AK878" s="1040" t="e">
        <f t="shared" si="191"/>
        <v>#DIV/0!</v>
      </c>
      <c r="AL878" s="1040" t="e">
        <f t="shared" si="191"/>
        <v>#DIV/0!</v>
      </c>
      <c r="AM878" s="1040" t="e">
        <f t="shared" si="191"/>
        <v>#DIV/0!</v>
      </c>
      <c r="AN878" s="1040" t="e">
        <f t="shared" si="191"/>
        <v>#DIV/0!</v>
      </c>
      <c r="AO878" s="1040" t="e">
        <f t="shared" si="191"/>
        <v>#DIV/0!</v>
      </c>
      <c r="AP878" s="1040" t="e">
        <f t="shared" si="191"/>
        <v>#DIV/0!</v>
      </c>
      <c r="AQ878" s="1040" t="e">
        <f t="shared" si="191"/>
        <v>#DIV/0!</v>
      </c>
      <c r="AR878" s="1040" t="e">
        <f t="shared" si="191"/>
        <v>#DIV/0!</v>
      </c>
      <c r="AS878" s="1040" t="e">
        <f t="shared" ref="AS878:AY878" si="192">IF(AS78="",0,IF(OR(1=RANK(AS478,AS$412:AS$790,0),(2=RANK(AS478,AS$412:AS$790,0))),AS478,AS78))</f>
        <v>#DIV/0!</v>
      </c>
      <c r="AT878" s="1040" t="e">
        <f t="shared" si="192"/>
        <v>#DIV/0!</v>
      </c>
      <c r="AU878" s="1040">
        <f t="shared" si="192"/>
        <v>0</v>
      </c>
      <c r="AV878" s="1040" t="e">
        <f t="shared" si="192"/>
        <v>#DIV/0!</v>
      </c>
      <c r="AW878" s="1040" t="e">
        <f t="shared" si="192"/>
        <v>#DIV/0!</v>
      </c>
      <c r="AX878" s="1040" t="e">
        <f t="shared" si="192"/>
        <v>#DIV/0!</v>
      </c>
      <c r="AY878" s="1040" t="e">
        <f t="shared" si="192"/>
        <v>#DIV/0!</v>
      </c>
      <c r="AZ878" s="1061" t="s">
        <v>21</v>
      </c>
      <c r="BC878" s="29"/>
      <c r="BD878" s="29"/>
      <c r="BE878" s="13"/>
      <c r="BL878" s="368"/>
    </row>
    <row r="879" spans="1:64" ht="12" customHeight="1" x14ac:dyDescent="0.2">
      <c r="A879" s="39">
        <f>acute_overview_children!A79</f>
        <v>4</v>
      </c>
      <c r="B879" s="23">
        <f t="shared" si="185"/>
        <v>162030</v>
      </c>
      <c r="C879" s="23" t="str">
        <f t="shared" si="186"/>
        <v>Passionfruits/maracujas</v>
      </c>
      <c r="D879" s="135"/>
      <c r="E879" s="1027"/>
      <c r="F879" s="87"/>
      <c r="G879" s="87"/>
      <c r="H879" s="1027"/>
      <c r="I879" s="1030"/>
      <c r="J879" s="1039" t="e">
        <f t="shared" ref="J879:AR879" si="193">IF(J79="",0,IF(OR(1=RANK(J479,J$412:J$790,0),(2=RANK(J479,J$412:J$790,0))),J479,J79))</f>
        <v>#DIV/0!</v>
      </c>
      <c r="K879" s="1040" t="e">
        <f t="shared" si="193"/>
        <v>#DIV/0!</v>
      </c>
      <c r="L879" s="1040" t="e">
        <f t="shared" si="193"/>
        <v>#DIV/0!</v>
      </c>
      <c r="M879" s="1040" t="e">
        <f t="shared" si="193"/>
        <v>#DIV/0!</v>
      </c>
      <c r="N879" s="1040" t="e">
        <f t="shared" si="193"/>
        <v>#DIV/0!</v>
      </c>
      <c r="O879" s="1040" t="e">
        <f t="shared" si="193"/>
        <v>#DIV/0!</v>
      </c>
      <c r="P879" s="1040" t="e">
        <f t="shared" si="193"/>
        <v>#DIV/0!</v>
      </c>
      <c r="Q879" s="1040" t="e">
        <f t="shared" si="193"/>
        <v>#DIV/0!</v>
      </c>
      <c r="R879" s="1040" t="e">
        <f t="shared" si="193"/>
        <v>#DIV/0!</v>
      </c>
      <c r="S879" s="1040" t="e">
        <f t="shared" si="193"/>
        <v>#DIV/0!</v>
      </c>
      <c r="T879" s="1040" t="e">
        <f t="shared" si="193"/>
        <v>#DIV/0!</v>
      </c>
      <c r="U879" s="1040" t="e">
        <f t="shared" si="193"/>
        <v>#DIV/0!</v>
      </c>
      <c r="V879" s="1040" t="e">
        <f t="shared" si="193"/>
        <v>#DIV/0!</v>
      </c>
      <c r="W879" s="1040" t="e">
        <f t="shared" si="193"/>
        <v>#DIV/0!</v>
      </c>
      <c r="X879" s="1040" t="e">
        <f t="shared" si="193"/>
        <v>#DIV/0!</v>
      </c>
      <c r="Y879" s="1040" t="e">
        <f t="shared" si="193"/>
        <v>#DIV/0!</v>
      </c>
      <c r="Z879" s="1040" t="e">
        <f t="shared" si="193"/>
        <v>#DIV/0!</v>
      </c>
      <c r="AA879" s="1040" t="e">
        <f t="shared" si="193"/>
        <v>#DIV/0!</v>
      </c>
      <c r="AB879" s="1040" t="e">
        <f t="shared" si="193"/>
        <v>#DIV/0!</v>
      </c>
      <c r="AC879" s="1040" t="e">
        <f t="shared" si="193"/>
        <v>#DIV/0!</v>
      </c>
      <c r="AD879" s="1040" t="e">
        <f t="shared" si="193"/>
        <v>#DIV/0!</v>
      </c>
      <c r="AE879" s="1040" t="e">
        <f t="shared" si="193"/>
        <v>#DIV/0!</v>
      </c>
      <c r="AF879" s="1040" t="e">
        <f t="shared" si="193"/>
        <v>#DIV/0!</v>
      </c>
      <c r="AG879" s="1040" t="e">
        <f t="shared" si="193"/>
        <v>#DIV/0!</v>
      </c>
      <c r="AH879" s="1040" t="e">
        <f t="shared" si="193"/>
        <v>#DIV/0!</v>
      </c>
      <c r="AI879" s="1040" t="e">
        <f t="shared" si="193"/>
        <v>#DIV/0!</v>
      </c>
      <c r="AJ879" s="1040" t="e">
        <f t="shared" si="193"/>
        <v>#DIV/0!</v>
      </c>
      <c r="AK879" s="1040" t="e">
        <f t="shared" si="193"/>
        <v>#DIV/0!</v>
      </c>
      <c r="AL879" s="1040" t="e">
        <f t="shared" si="193"/>
        <v>#DIV/0!</v>
      </c>
      <c r="AM879" s="1040" t="e">
        <f t="shared" si="193"/>
        <v>#DIV/0!</v>
      </c>
      <c r="AN879" s="1040" t="e">
        <f t="shared" si="193"/>
        <v>#DIV/0!</v>
      </c>
      <c r="AO879" s="1040" t="e">
        <f t="shared" si="193"/>
        <v>#DIV/0!</v>
      </c>
      <c r="AP879" s="1040" t="e">
        <f t="shared" si="193"/>
        <v>#DIV/0!</v>
      </c>
      <c r="AQ879" s="1040" t="e">
        <f t="shared" si="193"/>
        <v>#DIV/0!</v>
      </c>
      <c r="AR879" s="1040" t="e">
        <f t="shared" si="193"/>
        <v>#DIV/0!</v>
      </c>
      <c r="AS879" s="1040" t="e">
        <f t="shared" ref="AS879:AY879" si="194">IF(AS79="",0,IF(OR(1=RANK(AS479,AS$412:AS$790,0),(2=RANK(AS479,AS$412:AS$790,0))),AS479,AS79))</f>
        <v>#DIV/0!</v>
      </c>
      <c r="AT879" s="1040" t="e">
        <f t="shared" si="194"/>
        <v>#DIV/0!</v>
      </c>
      <c r="AU879" s="1040">
        <f t="shared" si="194"/>
        <v>0</v>
      </c>
      <c r="AV879" s="1040" t="e">
        <f t="shared" si="194"/>
        <v>#DIV/0!</v>
      </c>
      <c r="AW879" s="1040" t="e">
        <f t="shared" si="194"/>
        <v>#DIV/0!</v>
      </c>
      <c r="AX879" s="1040" t="e">
        <f t="shared" si="194"/>
        <v>#DIV/0!</v>
      </c>
      <c r="AY879" s="1040" t="e">
        <f t="shared" si="194"/>
        <v>#DIV/0!</v>
      </c>
      <c r="AZ879" s="1061" t="s">
        <v>21</v>
      </c>
      <c r="BC879" s="29"/>
      <c r="BD879" s="29"/>
      <c r="BE879" s="13"/>
      <c r="BL879" s="368"/>
    </row>
    <row r="880" spans="1:64" ht="12" customHeight="1" x14ac:dyDescent="0.2">
      <c r="A880" s="39">
        <f>acute_overview_children!A80</f>
        <v>4</v>
      </c>
      <c r="B880" s="23">
        <f t="shared" si="185"/>
        <v>162040</v>
      </c>
      <c r="C880" s="23" t="str">
        <f t="shared" si="186"/>
        <v>Prickly pears/cactus fruits</v>
      </c>
      <c r="D880" s="135"/>
      <c r="E880" s="1027"/>
      <c r="F880" s="87"/>
      <c r="G880" s="87"/>
      <c r="H880" s="1027"/>
      <c r="I880" s="1030"/>
      <c r="J880" s="1039" t="e">
        <f t="shared" ref="J880:AR880" si="195">IF(J80="",0,IF(OR(1=RANK(J480,J$412:J$790,0),(2=RANK(J480,J$412:J$790,0))),J480,J80))</f>
        <v>#DIV/0!</v>
      </c>
      <c r="K880" s="1040" t="e">
        <f t="shared" si="195"/>
        <v>#DIV/0!</v>
      </c>
      <c r="L880" s="1040" t="e">
        <f t="shared" si="195"/>
        <v>#DIV/0!</v>
      </c>
      <c r="M880" s="1040" t="e">
        <f t="shared" si="195"/>
        <v>#DIV/0!</v>
      </c>
      <c r="N880" s="1040" t="e">
        <f t="shared" si="195"/>
        <v>#DIV/0!</v>
      </c>
      <c r="O880" s="1040" t="e">
        <f t="shared" si="195"/>
        <v>#DIV/0!</v>
      </c>
      <c r="P880" s="1040" t="e">
        <f t="shared" si="195"/>
        <v>#DIV/0!</v>
      </c>
      <c r="Q880" s="1040" t="e">
        <f t="shared" si="195"/>
        <v>#DIV/0!</v>
      </c>
      <c r="R880" s="1040" t="e">
        <f t="shared" si="195"/>
        <v>#DIV/0!</v>
      </c>
      <c r="S880" s="1040" t="e">
        <f t="shared" si="195"/>
        <v>#DIV/0!</v>
      </c>
      <c r="T880" s="1040" t="e">
        <f t="shared" si="195"/>
        <v>#DIV/0!</v>
      </c>
      <c r="U880" s="1040" t="e">
        <f t="shared" si="195"/>
        <v>#DIV/0!</v>
      </c>
      <c r="V880" s="1040" t="e">
        <f t="shared" si="195"/>
        <v>#DIV/0!</v>
      </c>
      <c r="W880" s="1040" t="e">
        <f t="shared" si="195"/>
        <v>#DIV/0!</v>
      </c>
      <c r="X880" s="1040" t="e">
        <f t="shared" si="195"/>
        <v>#DIV/0!</v>
      </c>
      <c r="Y880" s="1040" t="e">
        <f t="shared" si="195"/>
        <v>#DIV/0!</v>
      </c>
      <c r="Z880" s="1040" t="e">
        <f t="shared" si="195"/>
        <v>#DIV/0!</v>
      </c>
      <c r="AA880" s="1040" t="e">
        <f t="shared" si="195"/>
        <v>#DIV/0!</v>
      </c>
      <c r="AB880" s="1040" t="e">
        <f t="shared" si="195"/>
        <v>#DIV/0!</v>
      </c>
      <c r="AC880" s="1040" t="e">
        <f t="shared" si="195"/>
        <v>#DIV/0!</v>
      </c>
      <c r="AD880" s="1040" t="e">
        <f t="shared" si="195"/>
        <v>#DIV/0!</v>
      </c>
      <c r="AE880" s="1040" t="e">
        <f t="shared" si="195"/>
        <v>#DIV/0!</v>
      </c>
      <c r="AF880" s="1040" t="e">
        <f t="shared" si="195"/>
        <v>#DIV/0!</v>
      </c>
      <c r="AG880" s="1040" t="e">
        <f t="shared" si="195"/>
        <v>#DIV/0!</v>
      </c>
      <c r="AH880" s="1040" t="e">
        <f t="shared" si="195"/>
        <v>#DIV/0!</v>
      </c>
      <c r="AI880" s="1040" t="e">
        <f t="shared" si="195"/>
        <v>#DIV/0!</v>
      </c>
      <c r="AJ880" s="1040" t="e">
        <f t="shared" si="195"/>
        <v>#DIV/0!</v>
      </c>
      <c r="AK880" s="1040" t="e">
        <f t="shared" si="195"/>
        <v>#DIV/0!</v>
      </c>
      <c r="AL880" s="1040" t="e">
        <f t="shared" si="195"/>
        <v>#DIV/0!</v>
      </c>
      <c r="AM880" s="1040" t="e">
        <f t="shared" si="195"/>
        <v>#DIV/0!</v>
      </c>
      <c r="AN880" s="1040" t="e">
        <f t="shared" si="195"/>
        <v>#DIV/0!</v>
      </c>
      <c r="AO880" s="1040" t="e">
        <f t="shared" si="195"/>
        <v>#DIV/0!</v>
      </c>
      <c r="AP880" s="1040" t="e">
        <f t="shared" si="195"/>
        <v>#DIV/0!</v>
      </c>
      <c r="AQ880" s="1040" t="e">
        <f t="shared" si="195"/>
        <v>#DIV/0!</v>
      </c>
      <c r="AR880" s="1040" t="e">
        <f t="shared" si="195"/>
        <v>#DIV/0!</v>
      </c>
      <c r="AS880" s="1040" t="e">
        <f t="shared" ref="AS880:AY880" si="196">IF(AS80="",0,IF(OR(1=RANK(AS480,AS$412:AS$790,0),(2=RANK(AS480,AS$412:AS$790,0))),AS480,AS80))</f>
        <v>#DIV/0!</v>
      </c>
      <c r="AT880" s="1040" t="e">
        <f t="shared" si="196"/>
        <v>#DIV/0!</v>
      </c>
      <c r="AU880" s="1040">
        <f t="shared" si="196"/>
        <v>0</v>
      </c>
      <c r="AV880" s="1040" t="e">
        <f t="shared" si="196"/>
        <v>#DIV/0!</v>
      </c>
      <c r="AW880" s="1040" t="e">
        <f t="shared" si="196"/>
        <v>#DIV/0!</v>
      </c>
      <c r="AX880" s="1040" t="e">
        <f t="shared" si="196"/>
        <v>#DIV/0!</v>
      </c>
      <c r="AY880" s="1040" t="e">
        <f t="shared" si="196"/>
        <v>#DIV/0!</v>
      </c>
      <c r="AZ880" s="1061" t="s">
        <v>21</v>
      </c>
      <c r="BC880" s="29"/>
      <c r="BD880" s="29"/>
      <c r="BE880" s="13"/>
      <c r="BL880" s="368"/>
    </row>
    <row r="881" spans="1:64" ht="12" customHeight="1" x14ac:dyDescent="0.2">
      <c r="A881" s="39">
        <f>acute_overview_children!A81</f>
        <v>4</v>
      </c>
      <c r="B881" s="23">
        <f t="shared" si="185"/>
        <v>162050</v>
      </c>
      <c r="C881" s="23" t="str">
        <f t="shared" si="186"/>
        <v>Star apples/cainitos</v>
      </c>
      <c r="D881" s="135"/>
      <c r="E881" s="1027"/>
      <c r="F881" s="87"/>
      <c r="G881" s="87"/>
      <c r="H881" s="1027"/>
      <c r="I881" s="1030"/>
      <c r="J881" s="1039" t="e">
        <f t="shared" ref="J881:AR881" si="197">IF(J81="",0,IF(OR(1=RANK(J481,J$412:J$790,0),(2=RANK(J481,J$412:J$790,0))),J481,J81))</f>
        <v>#DIV/0!</v>
      </c>
      <c r="K881" s="1040" t="e">
        <f t="shared" si="197"/>
        <v>#DIV/0!</v>
      </c>
      <c r="L881" s="1040" t="e">
        <f t="shared" si="197"/>
        <v>#DIV/0!</v>
      </c>
      <c r="M881" s="1040" t="e">
        <f t="shared" si="197"/>
        <v>#DIV/0!</v>
      </c>
      <c r="N881" s="1040" t="e">
        <f t="shared" si="197"/>
        <v>#DIV/0!</v>
      </c>
      <c r="O881" s="1040" t="e">
        <f t="shared" si="197"/>
        <v>#DIV/0!</v>
      </c>
      <c r="P881" s="1040" t="e">
        <f t="shared" si="197"/>
        <v>#DIV/0!</v>
      </c>
      <c r="Q881" s="1040" t="e">
        <f t="shared" si="197"/>
        <v>#DIV/0!</v>
      </c>
      <c r="R881" s="1040" t="e">
        <f t="shared" si="197"/>
        <v>#DIV/0!</v>
      </c>
      <c r="S881" s="1040" t="e">
        <f t="shared" si="197"/>
        <v>#DIV/0!</v>
      </c>
      <c r="T881" s="1040" t="e">
        <f t="shared" si="197"/>
        <v>#DIV/0!</v>
      </c>
      <c r="U881" s="1040" t="e">
        <f t="shared" si="197"/>
        <v>#DIV/0!</v>
      </c>
      <c r="V881" s="1040" t="e">
        <f t="shared" si="197"/>
        <v>#DIV/0!</v>
      </c>
      <c r="W881" s="1040" t="e">
        <f t="shared" si="197"/>
        <v>#DIV/0!</v>
      </c>
      <c r="X881" s="1040" t="e">
        <f t="shared" si="197"/>
        <v>#DIV/0!</v>
      </c>
      <c r="Y881" s="1040" t="e">
        <f t="shared" si="197"/>
        <v>#DIV/0!</v>
      </c>
      <c r="Z881" s="1040" t="e">
        <f t="shared" si="197"/>
        <v>#DIV/0!</v>
      </c>
      <c r="AA881" s="1040" t="e">
        <f t="shared" si="197"/>
        <v>#DIV/0!</v>
      </c>
      <c r="AB881" s="1040" t="e">
        <f t="shared" si="197"/>
        <v>#DIV/0!</v>
      </c>
      <c r="AC881" s="1040" t="e">
        <f t="shared" si="197"/>
        <v>#DIV/0!</v>
      </c>
      <c r="AD881" s="1040" t="e">
        <f t="shared" si="197"/>
        <v>#DIV/0!</v>
      </c>
      <c r="AE881" s="1040" t="e">
        <f t="shared" si="197"/>
        <v>#DIV/0!</v>
      </c>
      <c r="AF881" s="1040" t="e">
        <f t="shared" si="197"/>
        <v>#DIV/0!</v>
      </c>
      <c r="AG881" s="1040" t="e">
        <f t="shared" si="197"/>
        <v>#DIV/0!</v>
      </c>
      <c r="AH881" s="1040" t="e">
        <f t="shared" si="197"/>
        <v>#DIV/0!</v>
      </c>
      <c r="AI881" s="1040" t="e">
        <f t="shared" si="197"/>
        <v>#DIV/0!</v>
      </c>
      <c r="AJ881" s="1040" t="e">
        <f t="shared" si="197"/>
        <v>#DIV/0!</v>
      </c>
      <c r="AK881" s="1040" t="e">
        <f t="shared" si="197"/>
        <v>#DIV/0!</v>
      </c>
      <c r="AL881" s="1040" t="e">
        <f t="shared" si="197"/>
        <v>#DIV/0!</v>
      </c>
      <c r="AM881" s="1040" t="e">
        <f t="shared" si="197"/>
        <v>#DIV/0!</v>
      </c>
      <c r="AN881" s="1040" t="e">
        <f t="shared" si="197"/>
        <v>#DIV/0!</v>
      </c>
      <c r="AO881" s="1040" t="e">
        <f t="shared" si="197"/>
        <v>#DIV/0!</v>
      </c>
      <c r="AP881" s="1040" t="e">
        <f t="shared" si="197"/>
        <v>#DIV/0!</v>
      </c>
      <c r="AQ881" s="1040" t="e">
        <f t="shared" si="197"/>
        <v>#DIV/0!</v>
      </c>
      <c r="AR881" s="1040" t="e">
        <f t="shared" si="197"/>
        <v>#DIV/0!</v>
      </c>
      <c r="AS881" s="1040" t="e">
        <f t="shared" ref="AS881:AY881" si="198">IF(AS81="",0,IF(OR(1=RANK(AS481,AS$412:AS$790,0),(2=RANK(AS481,AS$412:AS$790,0))),AS481,AS81))</f>
        <v>#DIV/0!</v>
      </c>
      <c r="AT881" s="1040" t="e">
        <f t="shared" si="198"/>
        <v>#DIV/0!</v>
      </c>
      <c r="AU881" s="1040">
        <f t="shared" si="198"/>
        <v>0</v>
      </c>
      <c r="AV881" s="1040" t="e">
        <f t="shared" si="198"/>
        <v>#DIV/0!</v>
      </c>
      <c r="AW881" s="1040" t="e">
        <f t="shared" si="198"/>
        <v>#DIV/0!</v>
      </c>
      <c r="AX881" s="1040" t="e">
        <f t="shared" si="198"/>
        <v>#DIV/0!</v>
      </c>
      <c r="AY881" s="1040" t="e">
        <f t="shared" si="198"/>
        <v>#DIV/0!</v>
      </c>
      <c r="AZ881" s="1061" t="s">
        <v>21</v>
      </c>
      <c r="BC881" s="29"/>
      <c r="BD881" s="29"/>
      <c r="BE881" s="13"/>
      <c r="BL881" s="368"/>
    </row>
    <row r="882" spans="1:64" ht="12" customHeight="1" x14ac:dyDescent="0.2">
      <c r="A882" s="39">
        <f>acute_overview_children!A82</f>
        <v>4</v>
      </c>
      <c r="B882" s="23">
        <f t="shared" si="185"/>
        <v>162060</v>
      </c>
      <c r="C882" s="23" t="str">
        <f t="shared" si="186"/>
        <v>American persimmon/Virginia kaki</v>
      </c>
      <c r="D882" s="135"/>
      <c r="E882" s="1027"/>
      <c r="F882" s="87"/>
      <c r="G882" s="87"/>
      <c r="H882" s="1027"/>
      <c r="I882" s="1030"/>
      <c r="J882" s="1039" t="e">
        <f t="shared" ref="J882:AR882" si="199">IF(J82="",0,IF(OR(1=RANK(J482,J$412:J$790,0),(2=RANK(J482,J$412:J$790,0))),J482,J82))</f>
        <v>#DIV/0!</v>
      </c>
      <c r="K882" s="1040" t="e">
        <f t="shared" si="199"/>
        <v>#DIV/0!</v>
      </c>
      <c r="L882" s="1040" t="e">
        <f t="shared" si="199"/>
        <v>#DIV/0!</v>
      </c>
      <c r="M882" s="1040" t="e">
        <f t="shared" si="199"/>
        <v>#DIV/0!</v>
      </c>
      <c r="N882" s="1040" t="e">
        <f t="shared" si="199"/>
        <v>#DIV/0!</v>
      </c>
      <c r="O882" s="1040" t="e">
        <f t="shared" si="199"/>
        <v>#DIV/0!</v>
      </c>
      <c r="P882" s="1040" t="e">
        <f t="shared" si="199"/>
        <v>#DIV/0!</v>
      </c>
      <c r="Q882" s="1040" t="e">
        <f t="shared" si="199"/>
        <v>#DIV/0!</v>
      </c>
      <c r="R882" s="1040" t="e">
        <f t="shared" si="199"/>
        <v>#DIV/0!</v>
      </c>
      <c r="S882" s="1040" t="e">
        <f t="shared" si="199"/>
        <v>#DIV/0!</v>
      </c>
      <c r="T882" s="1040" t="e">
        <f t="shared" si="199"/>
        <v>#DIV/0!</v>
      </c>
      <c r="U882" s="1040" t="e">
        <f t="shared" si="199"/>
        <v>#DIV/0!</v>
      </c>
      <c r="V882" s="1040" t="e">
        <f t="shared" si="199"/>
        <v>#DIV/0!</v>
      </c>
      <c r="W882" s="1040" t="e">
        <f t="shared" si="199"/>
        <v>#DIV/0!</v>
      </c>
      <c r="X882" s="1040" t="e">
        <f t="shared" si="199"/>
        <v>#DIV/0!</v>
      </c>
      <c r="Y882" s="1040" t="e">
        <f t="shared" si="199"/>
        <v>#DIV/0!</v>
      </c>
      <c r="Z882" s="1040" t="e">
        <f t="shared" si="199"/>
        <v>#DIV/0!</v>
      </c>
      <c r="AA882" s="1040" t="e">
        <f t="shared" si="199"/>
        <v>#DIV/0!</v>
      </c>
      <c r="AB882" s="1040" t="e">
        <f t="shared" si="199"/>
        <v>#DIV/0!</v>
      </c>
      <c r="AC882" s="1040" t="e">
        <f t="shared" si="199"/>
        <v>#DIV/0!</v>
      </c>
      <c r="AD882" s="1040" t="e">
        <f t="shared" si="199"/>
        <v>#DIV/0!</v>
      </c>
      <c r="AE882" s="1040" t="e">
        <f t="shared" si="199"/>
        <v>#DIV/0!</v>
      </c>
      <c r="AF882" s="1040" t="e">
        <f t="shared" si="199"/>
        <v>#DIV/0!</v>
      </c>
      <c r="AG882" s="1040" t="e">
        <f t="shared" si="199"/>
        <v>#DIV/0!</v>
      </c>
      <c r="AH882" s="1040" t="e">
        <f t="shared" si="199"/>
        <v>#DIV/0!</v>
      </c>
      <c r="AI882" s="1040" t="e">
        <f t="shared" si="199"/>
        <v>#DIV/0!</v>
      </c>
      <c r="AJ882" s="1040" t="e">
        <f t="shared" si="199"/>
        <v>#DIV/0!</v>
      </c>
      <c r="AK882" s="1040" t="e">
        <f t="shared" si="199"/>
        <v>#DIV/0!</v>
      </c>
      <c r="AL882" s="1040" t="e">
        <f t="shared" si="199"/>
        <v>#DIV/0!</v>
      </c>
      <c r="AM882" s="1040" t="e">
        <f t="shared" si="199"/>
        <v>#DIV/0!</v>
      </c>
      <c r="AN882" s="1040" t="e">
        <f t="shared" si="199"/>
        <v>#DIV/0!</v>
      </c>
      <c r="AO882" s="1040" t="e">
        <f t="shared" si="199"/>
        <v>#DIV/0!</v>
      </c>
      <c r="AP882" s="1040" t="e">
        <f t="shared" si="199"/>
        <v>#DIV/0!</v>
      </c>
      <c r="AQ882" s="1040" t="e">
        <f t="shared" si="199"/>
        <v>#DIV/0!</v>
      </c>
      <c r="AR882" s="1040" t="e">
        <f t="shared" si="199"/>
        <v>#DIV/0!</v>
      </c>
      <c r="AS882" s="1040" t="e">
        <f t="shared" ref="AS882:AY882" si="200">IF(AS82="",0,IF(OR(1=RANK(AS482,AS$412:AS$790,0),(2=RANK(AS482,AS$412:AS$790,0))),AS482,AS82))</f>
        <v>#DIV/0!</v>
      </c>
      <c r="AT882" s="1040" t="e">
        <f t="shared" si="200"/>
        <v>#DIV/0!</v>
      </c>
      <c r="AU882" s="1040">
        <f t="shared" si="200"/>
        <v>0</v>
      </c>
      <c r="AV882" s="1040" t="e">
        <f t="shared" si="200"/>
        <v>#DIV/0!</v>
      </c>
      <c r="AW882" s="1040" t="e">
        <f t="shared" si="200"/>
        <v>#DIV/0!</v>
      </c>
      <c r="AX882" s="1040" t="e">
        <f t="shared" si="200"/>
        <v>#DIV/0!</v>
      </c>
      <c r="AY882" s="1040" t="e">
        <f t="shared" si="200"/>
        <v>#DIV/0!</v>
      </c>
      <c r="AZ882" s="1061" t="s">
        <v>21</v>
      </c>
      <c r="BC882" s="29"/>
      <c r="BD882" s="29"/>
      <c r="BE882" s="13"/>
      <c r="BL882" s="368"/>
    </row>
    <row r="883" spans="1:64" ht="12" customHeight="1" x14ac:dyDescent="0.2">
      <c r="A883" s="39">
        <f>acute_overview_children!A83</f>
        <v>4</v>
      </c>
      <c r="B883" s="23">
        <f t="shared" si="185"/>
        <v>162990</v>
      </c>
      <c r="C883" s="23" t="str">
        <f t="shared" si="186"/>
        <v>Other miscellaneous fruit (inedible peel, small)</v>
      </c>
      <c r="D883" s="135"/>
      <c r="E883" s="1027"/>
      <c r="F883" s="87"/>
      <c r="G883" s="87"/>
      <c r="H883" s="1027"/>
      <c r="I883" s="1030"/>
      <c r="J883" s="1039" t="e">
        <f t="shared" ref="J883:AR883" si="201">IF(J83="",0,IF(OR(1=RANK(J483,J$412:J$790,0),(2=RANK(J483,J$412:J$790,0))),J483,J83))</f>
        <v>#DIV/0!</v>
      </c>
      <c r="K883" s="1040" t="e">
        <f t="shared" si="201"/>
        <v>#DIV/0!</v>
      </c>
      <c r="L883" s="1040" t="e">
        <f t="shared" si="201"/>
        <v>#DIV/0!</v>
      </c>
      <c r="M883" s="1040" t="e">
        <f t="shared" si="201"/>
        <v>#DIV/0!</v>
      </c>
      <c r="N883" s="1040" t="e">
        <f t="shared" si="201"/>
        <v>#DIV/0!</v>
      </c>
      <c r="O883" s="1040" t="e">
        <f t="shared" si="201"/>
        <v>#DIV/0!</v>
      </c>
      <c r="P883" s="1040" t="e">
        <f t="shared" si="201"/>
        <v>#DIV/0!</v>
      </c>
      <c r="Q883" s="1040" t="e">
        <f t="shared" si="201"/>
        <v>#DIV/0!</v>
      </c>
      <c r="R883" s="1040" t="e">
        <f t="shared" si="201"/>
        <v>#DIV/0!</v>
      </c>
      <c r="S883" s="1040" t="e">
        <f t="shared" si="201"/>
        <v>#DIV/0!</v>
      </c>
      <c r="T883" s="1040" t="e">
        <f t="shared" si="201"/>
        <v>#DIV/0!</v>
      </c>
      <c r="U883" s="1040" t="e">
        <f t="shared" si="201"/>
        <v>#DIV/0!</v>
      </c>
      <c r="V883" s="1040" t="e">
        <f t="shared" si="201"/>
        <v>#DIV/0!</v>
      </c>
      <c r="W883" s="1040" t="e">
        <f t="shared" si="201"/>
        <v>#DIV/0!</v>
      </c>
      <c r="X883" s="1040" t="e">
        <f t="shared" si="201"/>
        <v>#DIV/0!</v>
      </c>
      <c r="Y883" s="1040" t="e">
        <f t="shared" si="201"/>
        <v>#DIV/0!</v>
      </c>
      <c r="Z883" s="1040" t="e">
        <f t="shared" si="201"/>
        <v>#DIV/0!</v>
      </c>
      <c r="AA883" s="1040" t="e">
        <f t="shared" si="201"/>
        <v>#DIV/0!</v>
      </c>
      <c r="AB883" s="1040" t="e">
        <f t="shared" si="201"/>
        <v>#DIV/0!</v>
      </c>
      <c r="AC883" s="1040" t="e">
        <f t="shared" si="201"/>
        <v>#DIV/0!</v>
      </c>
      <c r="AD883" s="1040" t="e">
        <f t="shared" si="201"/>
        <v>#DIV/0!</v>
      </c>
      <c r="AE883" s="1040" t="e">
        <f t="shared" si="201"/>
        <v>#DIV/0!</v>
      </c>
      <c r="AF883" s="1040" t="e">
        <f t="shared" si="201"/>
        <v>#DIV/0!</v>
      </c>
      <c r="AG883" s="1040" t="e">
        <f t="shared" si="201"/>
        <v>#DIV/0!</v>
      </c>
      <c r="AH883" s="1040" t="e">
        <f t="shared" si="201"/>
        <v>#DIV/0!</v>
      </c>
      <c r="AI883" s="1040" t="e">
        <f t="shared" si="201"/>
        <v>#DIV/0!</v>
      </c>
      <c r="AJ883" s="1040" t="e">
        <f t="shared" si="201"/>
        <v>#DIV/0!</v>
      </c>
      <c r="AK883" s="1040" t="e">
        <f t="shared" si="201"/>
        <v>#DIV/0!</v>
      </c>
      <c r="AL883" s="1040" t="e">
        <f t="shared" si="201"/>
        <v>#DIV/0!</v>
      </c>
      <c r="AM883" s="1040" t="e">
        <f t="shared" si="201"/>
        <v>#DIV/0!</v>
      </c>
      <c r="AN883" s="1040" t="e">
        <f t="shared" si="201"/>
        <v>#DIV/0!</v>
      </c>
      <c r="AO883" s="1040" t="e">
        <f t="shared" si="201"/>
        <v>#DIV/0!</v>
      </c>
      <c r="AP883" s="1040" t="e">
        <f t="shared" si="201"/>
        <v>#DIV/0!</v>
      </c>
      <c r="AQ883" s="1040" t="e">
        <f t="shared" si="201"/>
        <v>#DIV/0!</v>
      </c>
      <c r="AR883" s="1040" t="e">
        <f t="shared" si="201"/>
        <v>#DIV/0!</v>
      </c>
      <c r="AS883" s="1040" t="e">
        <f t="shared" ref="AS883:AY883" si="202">IF(AS83="",0,IF(OR(1=RANK(AS483,AS$412:AS$790,0),(2=RANK(AS483,AS$412:AS$790,0))),AS483,AS83))</f>
        <v>#DIV/0!</v>
      </c>
      <c r="AT883" s="1040" t="e">
        <f t="shared" si="202"/>
        <v>#DIV/0!</v>
      </c>
      <c r="AU883" s="1040">
        <f t="shared" si="202"/>
        <v>0</v>
      </c>
      <c r="AV883" s="1040" t="e">
        <f t="shared" si="202"/>
        <v>#DIV/0!</v>
      </c>
      <c r="AW883" s="1040" t="e">
        <f t="shared" si="202"/>
        <v>#DIV/0!</v>
      </c>
      <c r="AX883" s="1040" t="e">
        <f t="shared" si="202"/>
        <v>#DIV/0!</v>
      </c>
      <c r="AY883" s="1040" t="e">
        <f t="shared" si="202"/>
        <v>#DIV/0!</v>
      </c>
      <c r="AZ883" s="1061" t="s">
        <v>21</v>
      </c>
      <c r="BC883" s="29"/>
      <c r="BD883" s="29"/>
      <c r="BE883" s="13"/>
      <c r="BL883" s="368"/>
    </row>
    <row r="884" spans="1:64" ht="12" customHeight="1" x14ac:dyDescent="0.2">
      <c r="A884" s="132">
        <f>acute_overview_children!A84</f>
        <v>3</v>
      </c>
      <c r="B884" s="3">
        <f t="shared" si="185"/>
        <v>163000</v>
      </c>
      <c r="C884" s="3" t="str">
        <f t="shared" si="186"/>
        <v>Miscellaneous fruit (inedible peel,
large)</v>
      </c>
      <c r="D884" s="1042"/>
      <c r="E884" s="1027"/>
      <c r="F884" s="87"/>
      <c r="G884" s="87"/>
      <c r="H884" s="1027"/>
      <c r="I884" s="1030"/>
      <c r="J884" s="1043" t="e">
        <f t="shared" ref="J884:AR884" si="203">IF(J84="",0,IF(OR(1=RANK(J484,J$412:J$790,0),(2=RANK(J484,J$412:J$790,0))),J484,J84))</f>
        <v>#DIV/0!</v>
      </c>
      <c r="K884" s="1044" t="e">
        <f t="shared" si="203"/>
        <v>#DIV/0!</v>
      </c>
      <c r="L884" s="1044" t="e">
        <f t="shared" si="203"/>
        <v>#DIV/0!</v>
      </c>
      <c r="M884" s="1044" t="e">
        <f t="shared" si="203"/>
        <v>#DIV/0!</v>
      </c>
      <c r="N884" s="1044" t="e">
        <f t="shared" si="203"/>
        <v>#DIV/0!</v>
      </c>
      <c r="O884" s="1044" t="e">
        <f t="shared" si="203"/>
        <v>#DIV/0!</v>
      </c>
      <c r="P884" s="1044" t="e">
        <f t="shared" si="203"/>
        <v>#DIV/0!</v>
      </c>
      <c r="Q884" s="1044" t="e">
        <f t="shared" si="203"/>
        <v>#DIV/0!</v>
      </c>
      <c r="R884" s="1044" t="e">
        <f t="shared" si="203"/>
        <v>#DIV/0!</v>
      </c>
      <c r="S884" s="1044" t="e">
        <f t="shared" si="203"/>
        <v>#DIV/0!</v>
      </c>
      <c r="T884" s="1044" t="e">
        <f t="shared" si="203"/>
        <v>#DIV/0!</v>
      </c>
      <c r="U884" s="1044" t="e">
        <f t="shared" si="203"/>
        <v>#DIV/0!</v>
      </c>
      <c r="V884" s="1044" t="e">
        <f t="shared" si="203"/>
        <v>#DIV/0!</v>
      </c>
      <c r="W884" s="1044" t="e">
        <f t="shared" si="203"/>
        <v>#DIV/0!</v>
      </c>
      <c r="X884" s="1044" t="e">
        <f t="shared" si="203"/>
        <v>#DIV/0!</v>
      </c>
      <c r="Y884" s="1044" t="e">
        <f t="shared" si="203"/>
        <v>#DIV/0!</v>
      </c>
      <c r="Z884" s="1044" t="e">
        <f t="shared" si="203"/>
        <v>#DIV/0!</v>
      </c>
      <c r="AA884" s="1044" t="e">
        <f t="shared" si="203"/>
        <v>#DIV/0!</v>
      </c>
      <c r="AB884" s="1044" t="e">
        <f t="shared" si="203"/>
        <v>#DIV/0!</v>
      </c>
      <c r="AC884" s="1044" t="e">
        <f t="shared" si="203"/>
        <v>#DIV/0!</v>
      </c>
      <c r="AD884" s="1044" t="e">
        <f t="shared" si="203"/>
        <v>#DIV/0!</v>
      </c>
      <c r="AE884" s="1044" t="e">
        <f t="shared" si="203"/>
        <v>#DIV/0!</v>
      </c>
      <c r="AF884" s="1044" t="e">
        <f t="shared" si="203"/>
        <v>#DIV/0!</v>
      </c>
      <c r="AG884" s="1044" t="e">
        <f t="shared" si="203"/>
        <v>#DIV/0!</v>
      </c>
      <c r="AH884" s="1044" t="e">
        <f t="shared" si="203"/>
        <v>#DIV/0!</v>
      </c>
      <c r="AI884" s="1044" t="e">
        <f t="shared" si="203"/>
        <v>#DIV/0!</v>
      </c>
      <c r="AJ884" s="1044" t="e">
        <f t="shared" si="203"/>
        <v>#DIV/0!</v>
      </c>
      <c r="AK884" s="1044" t="e">
        <f t="shared" si="203"/>
        <v>#DIV/0!</v>
      </c>
      <c r="AL884" s="1044" t="e">
        <f t="shared" si="203"/>
        <v>#DIV/0!</v>
      </c>
      <c r="AM884" s="1044" t="e">
        <f t="shared" si="203"/>
        <v>#DIV/0!</v>
      </c>
      <c r="AN884" s="1044" t="e">
        <f t="shared" si="203"/>
        <v>#DIV/0!</v>
      </c>
      <c r="AO884" s="1044" t="e">
        <f t="shared" si="203"/>
        <v>#DIV/0!</v>
      </c>
      <c r="AP884" s="1044" t="e">
        <f t="shared" si="203"/>
        <v>#DIV/0!</v>
      </c>
      <c r="AQ884" s="1044" t="e">
        <f t="shared" si="203"/>
        <v>#DIV/0!</v>
      </c>
      <c r="AR884" s="1044" t="e">
        <f t="shared" si="203"/>
        <v>#DIV/0!</v>
      </c>
      <c r="AS884" s="1044" t="e">
        <f t="shared" ref="AS884:AY884" si="204">IF(AS84="",0,IF(OR(1=RANK(AS484,AS$412:AS$790,0),(2=RANK(AS484,AS$412:AS$790,0))),AS484,AS84))</f>
        <v>#DIV/0!</v>
      </c>
      <c r="AT884" s="1044" t="e">
        <f t="shared" si="204"/>
        <v>#DIV/0!</v>
      </c>
      <c r="AU884" s="1044">
        <f t="shared" si="204"/>
        <v>0</v>
      </c>
      <c r="AV884" s="1044" t="e">
        <f t="shared" si="204"/>
        <v>#DIV/0!</v>
      </c>
      <c r="AW884" s="1044" t="e">
        <f t="shared" si="204"/>
        <v>#DIV/0!</v>
      </c>
      <c r="AX884" s="1044" t="e">
        <f t="shared" si="204"/>
        <v>#DIV/0!</v>
      </c>
      <c r="AY884" s="1044" t="e">
        <f t="shared" si="204"/>
        <v>#DIV/0!</v>
      </c>
      <c r="AZ884" s="1061" t="s">
        <v>21</v>
      </c>
      <c r="BC884" s="29"/>
      <c r="BD884" s="29"/>
      <c r="BE884" s="13"/>
      <c r="BL884" s="368"/>
    </row>
    <row r="885" spans="1:64" ht="12" customHeight="1" x14ac:dyDescent="0.2">
      <c r="A885" s="39">
        <f>acute_overview_children!A85</f>
        <v>4</v>
      </c>
      <c r="B885" s="23">
        <f t="shared" si="185"/>
        <v>163010</v>
      </c>
      <c r="C885" s="23" t="str">
        <f t="shared" si="186"/>
        <v>Avocados</v>
      </c>
      <c r="D885" s="135"/>
      <c r="E885" s="1027"/>
      <c r="F885" s="87"/>
      <c r="G885" s="87"/>
      <c r="H885" s="1027"/>
      <c r="I885" s="1030"/>
      <c r="J885" s="1039" t="e">
        <f t="shared" ref="J885:AR885" si="205">IF(J85="",0,IF(OR(1=RANK(J485,J$412:J$790,0),(2=RANK(J485,J$412:J$790,0))),J485,J85))</f>
        <v>#DIV/0!</v>
      </c>
      <c r="K885" s="1040" t="e">
        <f t="shared" si="205"/>
        <v>#DIV/0!</v>
      </c>
      <c r="L885" s="1040" t="e">
        <f t="shared" si="205"/>
        <v>#DIV/0!</v>
      </c>
      <c r="M885" s="1040" t="e">
        <f t="shared" si="205"/>
        <v>#DIV/0!</v>
      </c>
      <c r="N885" s="1040" t="e">
        <f t="shared" si="205"/>
        <v>#DIV/0!</v>
      </c>
      <c r="O885" s="1040" t="e">
        <f t="shared" si="205"/>
        <v>#DIV/0!</v>
      </c>
      <c r="P885" s="1040" t="e">
        <f t="shared" si="205"/>
        <v>#DIV/0!</v>
      </c>
      <c r="Q885" s="1040" t="e">
        <f t="shared" si="205"/>
        <v>#DIV/0!</v>
      </c>
      <c r="R885" s="1040" t="e">
        <f t="shared" si="205"/>
        <v>#DIV/0!</v>
      </c>
      <c r="S885" s="1040" t="e">
        <f t="shared" si="205"/>
        <v>#DIV/0!</v>
      </c>
      <c r="T885" s="1040" t="e">
        <f t="shared" si="205"/>
        <v>#DIV/0!</v>
      </c>
      <c r="U885" s="1040" t="e">
        <f t="shared" si="205"/>
        <v>#DIV/0!</v>
      </c>
      <c r="V885" s="1040" t="e">
        <f t="shared" si="205"/>
        <v>#DIV/0!</v>
      </c>
      <c r="W885" s="1040" t="e">
        <f t="shared" si="205"/>
        <v>#DIV/0!</v>
      </c>
      <c r="X885" s="1040" t="e">
        <f t="shared" si="205"/>
        <v>#DIV/0!</v>
      </c>
      <c r="Y885" s="1040" t="e">
        <f t="shared" si="205"/>
        <v>#DIV/0!</v>
      </c>
      <c r="Z885" s="1040" t="e">
        <f t="shared" si="205"/>
        <v>#DIV/0!</v>
      </c>
      <c r="AA885" s="1040" t="e">
        <f t="shared" si="205"/>
        <v>#DIV/0!</v>
      </c>
      <c r="AB885" s="1040" t="e">
        <f t="shared" si="205"/>
        <v>#DIV/0!</v>
      </c>
      <c r="AC885" s="1040" t="e">
        <f t="shared" si="205"/>
        <v>#DIV/0!</v>
      </c>
      <c r="AD885" s="1040" t="e">
        <f t="shared" si="205"/>
        <v>#DIV/0!</v>
      </c>
      <c r="AE885" s="1040" t="e">
        <f t="shared" si="205"/>
        <v>#DIV/0!</v>
      </c>
      <c r="AF885" s="1040" t="e">
        <f t="shared" si="205"/>
        <v>#DIV/0!</v>
      </c>
      <c r="AG885" s="1040" t="e">
        <f t="shared" si="205"/>
        <v>#DIV/0!</v>
      </c>
      <c r="AH885" s="1040" t="e">
        <f t="shared" si="205"/>
        <v>#DIV/0!</v>
      </c>
      <c r="AI885" s="1040" t="e">
        <f t="shared" si="205"/>
        <v>#DIV/0!</v>
      </c>
      <c r="AJ885" s="1040" t="e">
        <f t="shared" si="205"/>
        <v>#DIV/0!</v>
      </c>
      <c r="AK885" s="1040" t="e">
        <f t="shared" si="205"/>
        <v>#DIV/0!</v>
      </c>
      <c r="AL885" s="1040" t="e">
        <f t="shared" si="205"/>
        <v>#DIV/0!</v>
      </c>
      <c r="AM885" s="1040" t="e">
        <f t="shared" si="205"/>
        <v>#DIV/0!</v>
      </c>
      <c r="AN885" s="1040" t="e">
        <f t="shared" si="205"/>
        <v>#DIV/0!</v>
      </c>
      <c r="AO885" s="1040" t="e">
        <f t="shared" si="205"/>
        <v>#DIV/0!</v>
      </c>
      <c r="AP885" s="1040" t="e">
        <f t="shared" si="205"/>
        <v>#DIV/0!</v>
      </c>
      <c r="AQ885" s="1040" t="e">
        <f t="shared" si="205"/>
        <v>#DIV/0!</v>
      </c>
      <c r="AR885" s="1040" t="e">
        <f t="shared" si="205"/>
        <v>#DIV/0!</v>
      </c>
      <c r="AS885" s="1040" t="e">
        <f t="shared" ref="AS885:AY885" si="206">IF(AS85="",0,IF(OR(1=RANK(AS485,AS$412:AS$790,0),(2=RANK(AS485,AS$412:AS$790,0))),AS485,AS85))</f>
        <v>#DIV/0!</v>
      </c>
      <c r="AT885" s="1040" t="e">
        <f t="shared" si="206"/>
        <v>#DIV/0!</v>
      </c>
      <c r="AU885" s="1040">
        <f t="shared" si="206"/>
        <v>0</v>
      </c>
      <c r="AV885" s="1040" t="e">
        <f t="shared" si="206"/>
        <v>#DIV/0!</v>
      </c>
      <c r="AW885" s="1040" t="e">
        <f t="shared" si="206"/>
        <v>#DIV/0!</v>
      </c>
      <c r="AX885" s="1040" t="e">
        <f t="shared" si="206"/>
        <v>#DIV/0!</v>
      </c>
      <c r="AY885" s="1040" t="e">
        <f t="shared" si="206"/>
        <v>#DIV/0!</v>
      </c>
      <c r="AZ885" s="1061" t="s">
        <v>21</v>
      </c>
      <c r="BC885" s="29"/>
      <c r="BD885" s="29"/>
      <c r="BE885" s="13"/>
      <c r="BL885" s="368"/>
    </row>
    <row r="886" spans="1:64" ht="12" customHeight="1" x14ac:dyDescent="0.2">
      <c r="A886" s="39">
        <f>acute_overview_children!A86</f>
        <v>4</v>
      </c>
      <c r="B886" s="23">
        <f t="shared" si="185"/>
        <v>163020</v>
      </c>
      <c r="C886" s="23" t="str">
        <f t="shared" si="186"/>
        <v>Bananas</v>
      </c>
      <c r="D886" s="135"/>
      <c r="E886" s="1027"/>
      <c r="F886" s="87"/>
      <c r="G886" s="87"/>
      <c r="H886" s="1027"/>
      <c r="I886" s="1030"/>
      <c r="J886" s="1039" t="e">
        <f t="shared" ref="J886:AR886" si="207">IF(J86="",0,IF(OR(1=RANK(J486,J$412:J$790,0),(2=RANK(J486,J$412:J$790,0))),J486,J86))</f>
        <v>#DIV/0!</v>
      </c>
      <c r="K886" s="1040" t="e">
        <f t="shared" si="207"/>
        <v>#DIV/0!</v>
      </c>
      <c r="L886" s="1040" t="e">
        <f t="shared" si="207"/>
        <v>#DIV/0!</v>
      </c>
      <c r="M886" s="1040" t="e">
        <f t="shared" si="207"/>
        <v>#DIV/0!</v>
      </c>
      <c r="N886" s="1040" t="e">
        <f t="shared" si="207"/>
        <v>#DIV/0!</v>
      </c>
      <c r="O886" s="1040" t="e">
        <f t="shared" si="207"/>
        <v>#DIV/0!</v>
      </c>
      <c r="P886" s="1040" t="e">
        <f t="shared" si="207"/>
        <v>#DIV/0!</v>
      </c>
      <c r="Q886" s="1040" t="e">
        <f t="shared" si="207"/>
        <v>#DIV/0!</v>
      </c>
      <c r="R886" s="1040" t="e">
        <f t="shared" si="207"/>
        <v>#DIV/0!</v>
      </c>
      <c r="S886" s="1040" t="e">
        <f t="shared" si="207"/>
        <v>#DIV/0!</v>
      </c>
      <c r="T886" s="1040" t="e">
        <f t="shared" si="207"/>
        <v>#DIV/0!</v>
      </c>
      <c r="U886" s="1040" t="e">
        <f t="shared" si="207"/>
        <v>#DIV/0!</v>
      </c>
      <c r="V886" s="1040" t="e">
        <f t="shared" si="207"/>
        <v>#DIV/0!</v>
      </c>
      <c r="W886" s="1040" t="e">
        <f t="shared" si="207"/>
        <v>#DIV/0!</v>
      </c>
      <c r="X886" s="1040" t="e">
        <f t="shared" si="207"/>
        <v>#DIV/0!</v>
      </c>
      <c r="Y886" s="1040" t="e">
        <f t="shared" si="207"/>
        <v>#DIV/0!</v>
      </c>
      <c r="Z886" s="1040" t="e">
        <f t="shared" si="207"/>
        <v>#DIV/0!</v>
      </c>
      <c r="AA886" s="1040" t="e">
        <f t="shared" si="207"/>
        <v>#DIV/0!</v>
      </c>
      <c r="AB886" s="1040" t="e">
        <f t="shared" si="207"/>
        <v>#DIV/0!</v>
      </c>
      <c r="AC886" s="1040" t="e">
        <f t="shared" si="207"/>
        <v>#DIV/0!</v>
      </c>
      <c r="AD886" s="1040" t="e">
        <f t="shared" si="207"/>
        <v>#DIV/0!</v>
      </c>
      <c r="AE886" s="1040" t="e">
        <f t="shared" si="207"/>
        <v>#DIV/0!</v>
      </c>
      <c r="AF886" s="1040" t="e">
        <f t="shared" si="207"/>
        <v>#DIV/0!</v>
      </c>
      <c r="AG886" s="1040" t="e">
        <f t="shared" si="207"/>
        <v>#DIV/0!</v>
      </c>
      <c r="AH886" s="1040" t="e">
        <f t="shared" si="207"/>
        <v>#DIV/0!</v>
      </c>
      <c r="AI886" s="1040" t="e">
        <f t="shared" si="207"/>
        <v>#DIV/0!</v>
      </c>
      <c r="AJ886" s="1040" t="e">
        <f t="shared" si="207"/>
        <v>#DIV/0!</v>
      </c>
      <c r="AK886" s="1040" t="e">
        <f t="shared" si="207"/>
        <v>#DIV/0!</v>
      </c>
      <c r="AL886" s="1040" t="e">
        <f t="shared" si="207"/>
        <v>#DIV/0!</v>
      </c>
      <c r="AM886" s="1040" t="e">
        <f t="shared" si="207"/>
        <v>#DIV/0!</v>
      </c>
      <c r="AN886" s="1040" t="e">
        <f t="shared" si="207"/>
        <v>#DIV/0!</v>
      </c>
      <c r="AO886" s="1040" t="e">
        <f t="shared" si="207"/>
        <v>#DIV/0!</v>
      </c>
      <c r="AP886" s="1040" t="e">
        <f t="shared" si="207"/>
        <v>#DIV/0!</v>
      </c>
      <c r="AQ886" s="1040" t="e">
        <f t="shared" si="207"/>
        <v>#DIV/0!</v>
      </c>
      <c r="AR886" s="1040" t="e">
        <f t="shared" si="207"/>
        <v>#DIV/0!</v>
      </c>
      <c r="AS886" s="1040" t="e">
        <f t="shared" ref="AS886:AY886" si="208">IF(AS86="",0,IF(OR(1=RANK(AS486,AS$412:AS$790,0),(2=RANK(AS486,AS$412:AS$790,0))),AS486,AS86))</f>
        <v>#DIV/0!</v>
      </c>
      <c r="AT886" s="1040" t="e">
        <f t="shared" si="208"/>
        <v>#DIV/0!</v>
      </c>
      <c r="AU886" s="1040">
        <f t="shared" si="208"/>
        <v>0</v>
      </c>
      <c r="AV886" s="1040" t="e">
        <f t="shared" si="208"/>
        <v>#DIV/0!</v>
      </c>
      <c r="AW886" s="1040" t="e">
        <f t="shared" si="208"/>
        <v>#DIV/0!</v>
      </c>
      <c r="AX886" s="1040" t="e">
        <f t="shared" si="208"/>
        <v>#DIV/0!</v>
      </c>
      <c r="AY886" s="1040" t="e">
        <f t="shared" si="208"/>
        <v>#DIV/0!</v>
      </c>
      <c r="AZ886" s="1061" t="s">
        <v>21</v>
      </c>
      <c r="BC886" s="29"/>
      <c r="BD886" s="29"/>
      <c r="BE886" s="13"/>
      <c r="BL886" s="368"/>
    </row>
    <row r="887" spans="1:64" ht="12" customHeight="1" x14ac:dyDescent="0.2">
      <c r="A887" s="39">
        <f>acute_overview_children!A87</f>
        <v>4</v>
      </c>
      <c r="B887" s="23">
        <f t="shared" si="185"/>
        <v>163030</v>
      </c>
      <c r="C887" s="23" t="str">
        <f t="shared" si="186"/>
        <v>Mangoes</v>
      </c>
      <c r="D887" s="135"/>
      <c r="E887" s="1027"/>
      <c r="F887" s="87"/>
      <c r="G887" s="87"/>
      <c r="H887" s="1027"/>
      <c r="I887" s="1030"/>
      <c r="J887" s="1039" t="e">
        <f t="shared" ref="J887:AR887" si="209">IF(J87="",0,IF(OR(1=RANK(J487,J$412:J$790,0),(2=RANK(J487,J$412:J$790,0))),J487,J87))</f>
        <v>#DIV/0!</v>
      </c>
      <c r="K887" s="1040" t="e">
        <f t="shared" si="209"/>
        <v>#DIV/0!</v>
      </c>
      <c r="L887" s="1040" t="e">
        <f t="shared" si="209"/>
        <v>#DIV/0!</v>
      </c>
      <c r="M887" s="1040" t="e">
        <f t="shared" si="209"/>
        <v>#DIV/0!</v>
      </c>
      <c r="N887" s="1040" t="e">
        <f t="shared" si="209"/>
        <v>#DIV/0!</v>
      </c>
      <c r="O887" s="1040" t="e">
        <f t="shared" si="209"/>
        <v>#DIV/0!</v>
      </c>
      <c r="P887" s="1040" t="e">
        <f t="shared" si="209"/>
        <v>#DIV/0!</v>
      </c>
      <c r="Q887" s="1040" t="e">
        <f t="shared" si="209"/>
        <v>#DIV/0!</v>
      </c>
      <c r="R887" s="1040" t="e">
        <f t="shared" si="209"/>
        <v>#DIV/0!</v>
      </c>
      <c r="S887" s="1040" t="e">
        <f t="shared" si="209"/>
        <v>#DIV/0!</v>
      </c>
      <c r="T887" s="1040" t="e">
        <f t="shared" si="209"/>
        <v>#DIV/0!</v>
      </c>
      <c r="U887" s="1040" t="e">
        <f t="shared" si="209"/>
        <v>#DIV/0!</v>
      </c>
      <c r="V887" s="1040" t="e">
        <f t="shared" si="209"/>
        <v>#DIV/0!</v>
      </c>
      <c r="W887" s="1040" t="e">
        <f t="shared" si="209"/>
        <v>#DIV/0!</v>
      </c>
      <c r="X887" s="1040" t="e">
        <f t="shared" si="209"/>
        <v>#DIV/0!</v>
      </c>
      <c r="Y887" s="1040" t="e">
        <f t="shared" si="209"/>
        <v>#DIV/0!</v>
      </c>
      <c r="Z887" s="1040" t="e">
        <f t="shared" si="209"/>
        <v>#DIV/0!</v>
      </c>
      <c r="AA887" s="1040" t="e">
        <f t="shared" si="209"/>
        <v>#DIV/0!</v>
      </c>
      <c r="AB887" s="1040" t="e">
        <f t="shared" si="209"/>
        <v>#DIV/0!</v>
      </c>
      <c r="AC887" s="1040" t="e">
        <f t="shared" si="209"/>
        <v>#DIV/0!</v>
      </c>
      <c r="AD887" s="1040" t="e">
        <f t="shared" si="209"/>
        <v>#DIV/0!</v>
      </c>
      <c r="AE887" s="1040" t="e">
        <f t="shared" si="209"/>
        <v>#DIV/0!</v>
      </c>
      <c r="AF887" s="1040" t="e">
        <f t="shared" si="209"/>
        <v>#DIV/0!</v>
      </c>
      <c r="AG887" s="1040" t="e">
        <f t="shared" si="209"/>
        <v>#DIV/0!</v>
      </c>
      <c r="AH887" s="1040" t="e">
        <f t="shared" si="209"/>
        <v>#DIV/0!</v>
      </c>
      <c r="AI887" s="1040" t="e">
        <f t="shared" si="209"/>
        <v>#DIV/0!</v>
      </c>
      <c r="AJ887" s="1040" t="e">
        <f t="shared" si="209"/>
        <v>#DIV/0!</v>
      </c>
      <c r="AK887" s="1040" t="e">
        <f t="shared" si="209"/>
        <v>#DIV/0!</v>
      </c>
      <c r="AL887" s="1040" t="e">
        <f t="shared" si="209"/>
        <v>#DIV/0!</v>
      </c>
      <c r="AM887" s="1040" t="e">
        <f t="shared" si="209"/>
        <v>#DIV/0!</v>
      </c>
      <c r="AN887" s="1040" t="e">
        <f t="shared" si="209"/>
        <v>#DIV/0!</v>
      </c>
      <c r="AO887" s="1040" t="e">
        <f t="shared" si="209"/>
        <v>#DIV/0!</v>
      </c>
      <c r="AP887" s="1040" t="e">
        <f t="shared" si="209"/>
        <v>#DIV/0!</v>
      </c>
      <c r="AQ887" s="1040" t="e">
        <f t="shared" si="209"/>
        <v>#DIV/0!</v>
      </c>
      <c r="AR887" s="1040" t="e">
        <f t="shared" si="209"/>
        <v>#DIV/0!</v>
      </c>
      <c r="AS887" s="1040" t="e">
        <f t="shared" ref="AS887:AY887" si="210">IF(AS87="",0,IF(OR(1=RANK(AS487,AS$412:AS$790,0),(2=RANK(AS487,AS$412:AS$790,0))),AS487,AS87))</f>
        <v>#DIV/0!</v>
      </c>
      <c r="AT887" s="1040" t="e">
        <f t="shared" si="210"/>
        <v>#DIV/0!</v>
      </c>
      <c r="AU887" s="1040">
        <f t="shared" si="210"/>
        <v>0</v>
      </c>
      <c r="AV887" s="1040" t="e">
        <f t="shared" si="210"/>
        <v>#DIV/0!</v>
      </c>
      <c r="AW887" s="1040" t="e">
        <f t="shared" si="210"/>
        <v>#DIV/0!</v>
      </c>
      <c r="AX887" s="1040" t="e">
        <f t="shared" si="210"/>
        <v>#DIV/0!</v>
      </c>
      <c r="AY887" s="1040" t="e">
        <f t="shared" si="210"/>
        <v>#DIV/0!</v>
      </c>
      <c r="AZ887" s="1061" t="s">
        <v>21</v>
      </c>
      <c r="BC887" s="29"/>
      <c r="BD887" s="29"/>
      <c r="BE887" s="13"/>
      <c r="BL887" s="368"/>
    </row>
    <row r="888" spans="1:64" ht="12" customHeight="1" x14ac:dyDescent="0.2">
      <c r="A888" s="39">
        <f>acute_overview_children!A88</f>
        <v>4</v>
      </c>
      <c r="B888" s="23">
        <f t="shared" si="185"/>
        <v>163040</v>
      </c>
      <c r="C888" s="23" t="str">
        <f t="shared" si="186"/>
        <v>Papayas</v>
      </c>
      <c r="D888" s="135"/>
      <c r="E888" s="1027"/>
      <c r="F888" s="87"/>
      <c r="G888" s="87"/>
      <c r="H888" s="1027"/>
      <c r="I888" s="1030"/>
      <c r="J888" s="1039" t="e">
        <f t="shared" ref="J888:AR888" si="211">IF(J88="",0,IF(OR(1=RANK(J488,J$412:J$790,0),(2=RANK(J488,J$412:J$790,0))),J488,J88))</f>
        <v>#DIV/0!</v>
      </c>
      <c r="K888" s="1040" t="e">
        <f t="shared" si="211"/>
        <v>#DIV/0!</v>
      </c>
      <c r="L888" s="1040" t="e">
        <f t="shared" si="211"/>
        <v>#DIV/0!</v>
      </c>
      <c r="M888" s="1040" t="e">
        <f t="shared" si="211"/>
        <v>#DIV/0!</v>
      </c>
      <c r="N888" s="1040" t="e">
        <f t="shared" si="211"/>
        <v>#DIV/0!</v>
      </c>
      <c r="O888" s="1040" t="e">
        <f t="shared" si="211"/>
        <v>#DIV/0!</v>
      </c>
      <c r="P888" s="1040" t="e">
        <f t="shared" si="211"/>
        <v>#DIV/0!</v>
      </c>
      <c r="Q888" s="1040" t="e">
        <f t="shared" si="211"/>
        <v>#DIV/0!</v>
      </c>
      <c r="R888" s="1040" t="e">
        <f t="shared" si="211"/>
        <v>#DIV/0!</v>
      </c>
      <c r="S888" s="1040" t="e">
        <f t="shared" si="211"/>
        <v>#DIV/0!</v>
      </c>
      <c r="T888" s="1040" t="e">
        <f t="shared" si="211"/>
        <v>#DIV/0!</v>
      </c>
      <c r="U888" s="1040" t="e">
        <f t="shared" si="211"/>
        <v>#DIV/0!</v>
      </c>
      <c r="V888" s="1040" t="e">
        <f t="shared" si="211"/>
        <v>#DIV/0!</v>
      </c>
      <c r="W888" s="1040" t="e">
        <f t="shared" si="211"/>
        <v>#DIV/0!</v>
      </c>
      <c r="X888" s="1040" t="e">
        <f t="shared" si="211"/>
        <v>#DIV/0!</v>
      </c>
      <c r="Y888" s="1040" t="e">
        <f t="shared" si="211"/>
        <v>#DIV/0!</v>
      </c>
      <c r="Z888" s="1040" t="e">
        <f t="shared" si="211"/>
        <v>#DIV/0!</v>
      </c>
      <c r="AA888" s="1040" t="e">
        <f t="shared" si="211"/>
        <v>#DIV/0!</v>
      </c>
      <c r="AB888" s="1040" t="e">
        <f t="shared" si="211"/>
        <v>#DIV/0!</v>
      </c>
      <c r="AC888" s="1040" t="e">
        <f t="shared" si="211"/>
        <v>#DIV/0!</v>
      </c>
      <c r="AD888" s="1040" t="e">
        <f t="shared" si="211"/>
        <v>#DIV/0!</v>
      </c>
      <c r="AE888" s="1040" t="e">
        <f t="shared" si="211"/>
        <v>#DIV/0!</v>
      </c>
      <c r="AF888" s="1040" t="e">
        <f t="shared" si="211"/>
        <v>#DIV/0!</v>
      </c>
      <c r="AG888" s="1040" t="e">
        <f t="shared" si="211"/>
        <v>#DIV/0!</v>
      </c>
      <c r="AH888" s="1040" t="e">
        <f t="shared" si="211"/>
        <v>#DIV/0!</v>
      </c>
      <c r="AI888" s="1040" t="e">
        <f t="shared" si="211"/>
        <v>#DIV/0!</v>
      </c>
      <c r="AJ888" s="1040" t="e">
        <f t="shared" si="211"/>
        <v>#DIV/0!</v>
      </c>
      <c r="AK888" s="1040" t="e">
        <f t="shared" si="211"/>
        <v>#DIV/0!</v>
      </c>
      <c r="AL888" s="1040" t="e">
        <f t="shared" si="211"/>
        <v>#DIV/0!</v>
      </c>
      <c r="AM888" s="1040" t="e">
        <f t="shared" si="211"/>
        <v>#DIV/0!</v>
      </c>
      <c r="AN888" s="1040" t="e">
        <f t="shared" si="211"/>
        <v>#DIV/0!</v>
      </c>
      <c r="AO888" s="1040" t="e">
        <f t="shared" si="211"/>
        <v>#DIV/0!</v>
      </c>
      <c r="AP888" s="1040" t="e">
        <f t="shared" si="211"/>
        <v>#DIV/0!</v>
      </c>
      <c r="AQ888" s="1040" t="e">
        <f t="shared" si="211"/>
        <v>#DIV/0!</v>
      </c>
      <c r="AR888" s="1040" t="e">
        <f t="shared" si="211"/>
        <v>#DIV/0!</v>
      </c>
      <c r="AS888" s="1040" t="e">
        <f t="shared" ref="AS888:AY888" si="212">IF(AS88="",0,IF(OR(1=RANK(AS488,AS$412:AS$790,0),(2=RANK(AS488,AS$412:AS$790,0))),AS488,AS88))</f>
        <v>#DIV/0!</v>
      </c>
      <c r="AT888" s="1040" t="e">
        <f t="shared" si="212"/>
        <v>#DIV/0!</v>
      </c>
      <c r="AU888" s="1040">
        <f t="shared" si="212"/>
        <v>0</v>
      </c>
      <c r="AV888" s="1040" t="e">
        <f t="shared" si="212"/>
        <v>#DIV/0!</v>
      </c>
      <c r="AW888" s="1040" t="e">
        <f t="shared" si="212"/>
        <v>#DIV/0!</v>
      </c>
      <c r="AX888" s="1040" t="e">
        <f t="shared" si="212"/>
        <v>#DIV/0!</v>
      </c>
      <c r="AY888" s="1040" t="e">
        <f t="shared" si="212"/>
        <v>#DIV/0!</v>
      </c>
      <c r="AZ888" s="1061" t="s">
        <v>21</v>
      </c>
      <c r="BC888" s="29"/>
      <c r="BD888" s="29"/>
      <c r="BE888" s="13"/>
      <c r="BL888" s="368"/>
    </row>
    <row r="889" spans="1:64" ht="12" customHeight="1" x14ac:dyDescent="0.2">
      <c r="A889" s="39">
        <f>acute_overview_children!A89</f>
        <v>4</v>
      </c>
      <c r="B889" s="23">
        <f t="shared" si="185"/>
        <v>163050</v>
      </c>
      <c r="C889" s="23" t="str">
        <f t="shared" si="186"/>
        <v>Granate apples/pomegranates</v>
      </c>
      <c r="D889" s="135"/>
      <c r="E889" s="1027"/>
      <c r="F889" s="87"/>
      <c r="G889" s="87"/>
      <c r="H889" s="1027"/>
      <c r="I889" s="1030"/>
      <c r="J889" s="1039" t="e">
        <f t="shared" ref="J889:AR889" si="213">IF(J89="",0,IF(OR(1=RANK(J489,J$412:J$790,0),(2=RANK(J489,J$412:J$790,0))),J489,J89))</f>
        <v>#DIV/0!</v>
      </c>
      <c r="K889" s="1040" t="e">
        <f t="shared" si="213"/>
        <v>#DIV/0!</v>
      </c>
      <c r="L889" s="1040" t="e">
        <f t="shared" si="213"/>
        <v>#DIV/0!</v>
      </c>
      <c r="M889" s="1040" t="e">
        <f t="shared" si="213"/>
        <v>#DIV/0!</v>
      </c>
      <c r="N889" s="1040" t="e">
        <f t="shared" si="213"/>
        <v>#DIV/0!</v>
      </c>
      <c r="O889" s="1040" t="e">
        <f t="shared" si="213"/>
        <v>#DIV/0!</v>
      </c>
      <c r="P889" s="1040" t="e">
        <f t="shared" si="213"/>
        <v>#DIV/0!</v>
      </c>
      <c r="Q889" s="1040" t="e">
        <f t="shared" si="213"/>
        <v>#DIV/0!</v>
      </c>
      <c r="R889" s="1040" t="e">
        <f t="shared" si="213"/>
        <v>#DIV/0!</v>
      </c>
      <c r="S889" s="1040" t="e">
        <f t="shared" si="213"/>
        <v>#DIV/0!</v>
      </c>
      <c r="T889" s="1040" t="e">
        <f t="shared" si="213"/>
        <v>#DIV/0!</v>
      </c>
      <c r="U889" s="1040" t="e">
        <f t="shared" si="213"/>
        <v>#DIV/0!</v>
      </c>
      <c r="V889" s="1040" t="e">
        <f t="shared" si="213"/>
        <v>#DIV/0!</v>
      </c>
      <c r="W889" s="1040" t="e">
        <f t="shared" si="213"/>
        <v>#DIV/0!</v>
      </c>
      <c r="X889" s="1040" t="e">
        <f t="shared" si="213"/>
        <v>#DIV/0!</v>
      </c>
      <c r="Y889" s="1040" t="e">
        <f t="shared" si="213"/>
        <v>#DIV/0!</v>
      </c>
      <c r="Z889" s="1040" t="e">
        <f t="shared" si="213"/>
        <v>#DIV/0!</v>
      </c>
      <c r="AA889" s="1040" t="e">
        <f t="shared" si="213"/>
        <v>#DIV/0!</v>
      </c>
      <c r="AB889" s="1040" t="e">
        <f t="shared" si="213"/>
        <v>#DIV/0!</v>
      </c>
      <c r="AC889" s="1040" t="e">
        <f t="shared" si="213"/>
        <v>#DIV/0!</v>
      </c>
      <c r="AD889" s="1040" t="e">
        <f t="shared" si="213"/>
        <v>#DIV/0!</v>
      </c>
      <c r="AE889" s="1040" t="e">
        <f t="shared" si="213"/>
        <v>#DIV/0!</v>
      </c>
      <c r="AF889" s="1040" t="e">
        <f t="shared" si="213"/>
        <v>#DIV/0!</v>
      </c>
      <c r="AG889" s="1040" t="e">
        <f t="shared" si="213"/>
        <v>#DIV/0!</v>
      </c>
      <c r="AH889" s="1040" t="e">
        <f t="shared" si="213"/>
        <v>#DIV/0!</v>
      </c>
      <c r="AI889" s="1040" t="e">
        <f t="shared" si="213"/>
        <v>#DIV/0!</v>
      </c>
      <c r="AJ889" s="1040" t="e">
        <f t="shared" si="213"/>
        <v>#DIV/0!</v>
      </c>
      <c r="AK889" s="1040" t="e">
        <f t="shared" si="213"/>
        <v>#DIV/0!</v>
      </c>
      <c r="AL889" s="1040" t="e">
        <f t="shared" si="213"/>
        <v>#DIV/0!</v>
      </c>
      <c r="AM889" s="1040" t="e">
        <f t="shared" si="213"/>
        <v>#DIV/0!</v>
      </c>
      <c r="AN889" s="1040" t="e">
        <f t="shared" si="213"/>
        <v>#DIV/0!</v>
      </c>
      <c r="AO889" s="1040" t="e">
        <f t="shared" si="213"/>
        <v>#DIV/0!</v>
      </c>
      <c r="AP889" s="1040" t="e">
        <f t="shared" si="213"/>
        <v>#DIV/0!</v>
      </c>
      <c r="AQ889" s="1040" t="e">
        <f t="shared" si="213"/>
        <v>#DIV/0!</v>
      </c>
      <c r="AR889" s="1040" t="e">
        <f t="shared" si="213"/>
        <v>#DIV/0!</v>
      </c>
      <c r="AS889" s="1040" t="e">
        <f t="shared" ref="AS889:AY889" si="214">IF(AS89="",0,IF(OR(1=RANK(AS489,AS$412:AS$790,0),(2=RANK(AS489,AS$412:AS$790,0))),AS489,AS89))</f>
        <v>#DIV/0!</v>
      </c>
      <c r="AT889" s="1040" t="e">
        <f t="shared" si="214"/>
        <v>#DIV/0!</v>
      </c>
      <c r="AU889" s="1040">
        <f t="shared" si="214"/>
        <v>0</v>
      </c>
      <c r="AV889" s="1040" t="e">
        <f t="shared" si="214"/>
        <v>#DIV/0!</v>
      </c>
      <c r="AW889" s="1040" t="e">
        <f t="shared" si="214"/>
        <v>#DIV/0!</v>
      </c>
      <c r="AX889" s="1040" t="e">
        <f t="shared" si="214"/>
        <v>#DIV/0!</v>
      </c>
      <c r="AY889" s="1040" t="e">
        <f t="shared" si="214"/>
        <v>#DIV/0!</v>
      </c>
      <c r="AZ889" s="1061" t="s">
        <v>21</v>
      </c>
      <c r="BC889" s="29"/>
      <c r="BD889" s="29"/>
      <c r="BE889" s="13"/>
      <c r="BL889" s="368"/>
    </row>
    <row r="890" spans="1:64" ht="12" customHeight="1" x14ac:dyDescent="0.2">
      <c r="A890" s="39">
        <f>acute_overview_children!A90</f>
        <v>4</v>
      </c>
      <c r="B890" s="23">
        <f t="shared" si="185"/>
        <v>163060</v>
      </c>
      <c r="C890" s="23" t="str">
        <f t="shared" si="186"/>
        <v>Cherimoyas</v>
      </c>
      <c r="D890" s="135"/>
      <c r="E890" s="1027"/>
      <c r="F890" s="87"/>
      <c r="G890" s="87"/>
      <c r="H890" s="1027"/>
      <c r="I890" s="1030"/>
      <c r="J890" s="1039" t="e">
        <f t="shared" ref="J890:AR890" si="215">IF(J90="",0,IF(OR(1=RANK(J490,J$412:J$790,0),(2=RANK(J490,J$412:J$790,0))),J490,J90))</f>
        <v>#DIV/0!</v>
      </c>
      <c r="K890" s="1040" t="e">
        <f t="shared" si="215"/>
        <v>#DIV/0!</v>
      </c>
      <c r="L890" s="1040" t="e">
        <f t="shared" si="215"/>
        <v>#DIV/0!</v>
      </c>
      <c r="M890" s="1040" t="e">
        <f t="shared" si="215"/>
        <v>#DIV/0!</v>
      </c>
      <c r="N890" s="1040" t="e">
        <f t="shared" si="215"/>
        <v>#DIV/0!</v>
      </c>
      <c r="O890" s="1040" t="e">
        <f t="shared" si="215"/>
        <v>#DIV/0!</v>
      </c>
      <c r="P890" s="1040" t="e">
        <f t="shared" si="215"/>
        <v>#DIV/0!</v>
      </c>
      <c r="Q890" s="1040" t="e">
        <f t="shared" si="215"/>
        <v>#DIV/0!</v>
      </c>
      <c r="R890" s="1040" t="e">
        <f t="shared" si="215"/>
        <v>#DIV/0!</v>
      </c>
      <c r="S890" s="1040" t="e">
        <f t="shared" si="215"/>
        <v>#DIV/0!</v>
      </c>
      <c r="T890" s="1040" t="e">
        <f t="shared" si="215"/>
        <v>#DIV/0!</v>
      </c>
      <c r="U890" s="1040" t="e">
        <f t="shared" si="215"/>
        <v>#DIV/0!</v>
      </c>
      <c r="V890" s="1040" t="e">
        <f t="shared" si="215"/>
        <v>#DIV/0!</v>
      </c>
      <c r="W890" s="1040" t="e">
        <f t="shared" si="215"/>
        <v>#DIV/0!</v>
      </c>
      <c r="X890" s="1040" t="e">
        <f t="shared" si="215"/>
        <v>#DIV/0!</v>
      </c>
      <c r="Y890" s="1040" t="e">
        <f t="shared" si="215"/>
        <v>#DIV/0!</v>
      </c>
      <c r="Z890" s="1040" t="e">
        <f t="shared" si="215"/>
        <v>#DIV/0!</v>
      </c>
      <c r="AA890" s="1040" t="e">
        <f t="shared" si="215"/>
        <v>#DIV/0!</v>
      </c>
      <c r="AB890" s="1040" t="e">
        <f t="shared" si="215"/>
        <v>#DIV/0!</v>
      </c>
      <c r="AC890" s="1040" t="e">
        <f t="shared" si="215"/>
        <v>#DIV/0!</v>
      </c>
      <c r="AD890" s="1040" t="e">
        <f t="shared" si="215"/>
        <v>#DIV/0!</v>
      </c>
      <c r="AE890" s="1040" t="e">
        <f t="shared" si="215"/>
        <v>#DIV/0!</v>
      </c>
      <c r="AF890" s="1040" t="e">
        <f t="shared" si="215"/>
        <v>#DIV/0!</v>
      </c>
      <c r="AG890" s="1040" t="e">
        <f t="shared" si="215"/>
        <v>#DIV/0!</v>
      </c>
      <c r="AH890" s="1040" t="e">
        <f t="shared" si="215"/>
        <v>#DIV/0!</v>
      </c>
      <c r="AI890" s="1040" t="e">
        <f t="shared" si="215"/>
        <v>#DIV/0!</v>
      </c>
      <c r="AJ890" s="1040" t="e">
        <f t="shared" si="215"/>
        <v>#DIV/0!</v>
      </c>
      <c r="AK890" s="1040" t="e">
        <f t="shared" si="215"/>
        <v>#DIV/0!</v>
      </c>
      <c r="AL890" s="1040" t="e">
        <f t="shared" si="215"/>
        <v>#DIV/0!</v>
      </c>
      <c r="AM890" s="1040" t="e">
        <f t="shared" si="215"/>
        <v>#DIV/0!</v>
      </c>
      <c r="AN890" s="1040" t="e">
        <f t="shared" si="215"/>
        <v>#DIV/0!</v>
      </c>
      <c r="AO890" s="1040" t="e">
        <f t="shared" si="215"/>
        <v>#DIV/0!</v>
      </c>
      <c r="AP890" s="1040" t="e">
        <f t="shared" si="215"/>
        <v>#DIV/0!</v>
      </c>
      <c r="AQ890" s="1040" t="e">
        <f t="shared" si="215"/>
        <v>#DIV/0!</v>
      </c>
      <c r="AR890" s="1040" t="e">
        <f t="shared" si="215"/>
        <v>#DIV/0!</v>
      </c>
      <c r="AS890" s="1040" t="e">
        <f t="shared" ref="AS890:AY890" si="216">IF(AS90="",0,IF(OR(1=RANK(AS490,AS$412:AS$790,0),(2=RANK(AS490,AS$412:AS$790,0))),AS490,AS90))</f>
        <v>#DIV/0!</v>
      </c>
      <c r="AT890" s="1040" t="e">
        <f t="shared" si="216"/>
        <v>#DIV/0!</v>
      </c>
      <c r="AU890" s="1040">
        <f t="shared" si="216"/>
        <v>0</v>
      </c>
      <c r="AV890" s="1040" t="e">
        <f t="shared" si="216"/>
        <v>#DIV/0!</v>
      </c>
      <c r="AW890" s="1040" t="e">
        <f t="shared" si="216"/>
        <v>#DIV/0!</v>
      </c>
      <c r="AX890" s="1040" t="e">
        <f t="shared" si="216"/>
        <v>#DIV/0!</v>
      </c>
      <c r="AY890" s="1040" t="e">
        <f t="shared" si="216"/>
        <v>#DIV/0!</v>
      </c>
      <c r="AZ890" s="1061" t="s">
        <v>21</v>
      </c>
      <c r="BC890" s="29"/>
      <c r="BD890" s="29"/>
      <c r="BE890" s="13"/>
      <c r="BL890" s="368"/>
    </row>
    <row r="891" spans="1:64" ht="12" customHeight="1" x14ac:dyDescent="0.2">
      <c r="A891" s="39">
        <f>acute_overview_children!A91</f>
        <v>4</v>
      </c>
      <c r="B891" s="23">
        <f t="shared" si="185"/>
        <v>163070</v>
      </c>
      <c r="C891" s="23" t="str">
        <f t="shared" si="186"/>
        <v>Guavas</v>
      </c>
      <c r="D891" s="135"/>
      <c r="E891" s="1027"/>
      <c r="F891" s="87"/>
      <c r="G891" s="87"/>
      <c r="H891" s="1027"/>
      <c r="I891" s="1030"/>
      <c r="J891" s="1039" t="e">
        <f t="shared" ref="J891:AR891" si="217">IF(J91="",0,IF(OR(1=RANK(J491,J$412:J$790,0),(2=RANK(J491,J$412:J$790,0))),J491,J91))</f>
        <v>#DIV/0!</v>
      </c>
      <c r="K891" s="1040" t="e">
        <f t="shared" si="217"/>
        <v>#DIV/0!</v>
      </c>
      <c r="L891" s="1040" t="e">
        <f t="shared" si="217"/>
        <v>#DIV/0!</v>
      </c>
      <c r="M891" s="1040" t="e">
        <f t="shared" si="217"/>
        <v>#DIV/0!</v>
      </c>
      <c r="N891" s="1040" t="e">
        <f t="shared" si="217"/>
        <v>#DIV/0!</v>
      </c>
      <c r="O891" s="1040" t="e">
        <f t="shared" si="217"/>
        <v>#DIV/0!</v>
      </c>
      <c r="P891" s="1040" t="e">
        <f t="shared" si="217"/>
        <v>#DIV/0!</v>
      </c>
      <c r="Q891" s="1040" t="e">
        <f t="shared" si="217"/>
        <v>#DIV/0!</v>
      </c>
      <c r="R891" s="1040" t="e">
        <f t="shared" si="217"/>
        <v>#DIV/0!</v>
      </c>
      <c r="S891" s="1040" t="e">
        <f t="shared" si="217"/>
        <v>#DIV/0!</v>
      </c>
      <c r="T891" s="1040" t="e">
        <f t="shared" si="217"/>
        <v>#DIV/0!</v>
      </c>
      <c r="U891" s="1040" t="e">
        <f t="shared" si="217"/>
        <v>#DIV/0!</v>
      </c>
      <c r="V891" s="1040" t="e">
        <f t="shared" si="217"/>
        <v>#DIV/0!</v>
      </c>
      <c r="W891" s="1040" t="e">
        <f t="shared" si="217"/>
        <v>#DIV/0!</v>
      </c>
      <c r="X891" s="1040" t="e">
        <f t="shared" si="217"/>
        <v>#DIV/0!</v>
      </c>
      <c r="Y891" s="1040" t="e">
        <f t="shared" si="217"/>
        <v>#DIV/0!</v>
      </c>
      <c r="Z891" s="1040" t="e">
        <f t="shared" si="217"/>
        <v>#DIV/0!</v>
      </c>
      <c r="AA891" s="1040" t="e">
        <f t="shared" si="217"/>
        <v>#DIV/0!</v>
      </c>
      <c r="AB891" s="1040" t="e">
        <f t="shared" si="217"/>
        <v>#DIV/0!</v>
      </c>
      <c r="AC891" s="1040" t="e">
        <f t="shared" si="217"/>
        <v>#DIV/0!</v>
      </c>
      <c r="AD891" s="1040" t="e">
        <f t="shared" si="217"/>
        <v>#DIV/0!</v>
      </c>
      <c r="AE891" s="1040" t="e">
        <f t="shared" si="217"/>
        <v>#DIV/0!</v>
      </c>
      <c r="AF891" s="1040" t="e">
        <f t="shared" si="217"/>
        <v>#DIV/0!</v>
      </c>
      <c r="AG891" s="1040" t="e">
        <f t="shared" si="217"/>
        <v>#DIV/0!</v>
      </c>
      <c r="AH891" s="1040" t="e">
        <f t="shared" si="217"/>
        <v>#DIV/0!</v>
      </c>
      <c r="AI891" s="1040" t="e">
        <f t="shared" si="217"/>
        <v>#DIV/0!</v>
      </c>
      <c r="AJ891" s="1040" t="e">
        <f t="shared" si="217"/>
        <v>#DIV/0!</v>
      </c>
      <c r="AK891" s="1040" t="e">
        <f t="shared" si="217"/>
        <v>#DIV/0!</v>
      </c>
      <c r="AL891" s="1040" t="e">
        <f t="shared" si="217"/>
        <v>#DIV/0!</v>
      </c>
      <c r="AM891" s="1040" t="e">
        <f t="shared" si="217"/>
        <v>#DIV/0!</v>
      </c>
      <c r="AN891" s="1040" t="e">
        <f t="shared" si="217"/>
        <v>#DIV/0!</v>
      </c>
      <c r="AO891" s="1040" t="e">
        <f t="shared" si="217"/>
        <v>#DIV/0!</v>
      </c>
      <c r="AP891" s="1040" t="e">
        <f t="shared" si="217"/>
        <v>#DIV/0!</v>
      </c>
      <c r="AQ891" s="1040" t="e">
        <f t="shared" si="217"/>
        <v>#DIV/0!</v>
      </c>
      <c r="AR891" s="1040" t="e">
        <f t="shared" si="217"/>
        <v>#DIV/0!</v>
      </c>
      <c r="AS891" s="1040" t="e">
        <f t="shared" ref="AS891:AY891" si="218">IF(AS91="",0,IF(OR(1=RANK(AS491,AS$412:AS$790,0),(2=RANK(AS491,AS$412:AS$790,0))),AS491,AS91))</f>
        <v>#DIV/0!</v>
      </c>
      <c r="AT891" s="1040" t="e">
        <f t="shared" si="218"/>
        <v>#DIV/0!</v>
      </c>
      <c r="AU891" s="1040">
        <f t="shared" si="218"/>
        <v>0</v>
      </c>
      <c r="AV891" s="1040" t="e">
        <f t="shared" si="218"/>
        <v>#DIV/0!</v>
      </c>
      <c r="AW891" s="1040" t="e">
        <f t="shared" si="218"/>
        <v>#DIV/0!</v>
      </c>
      <c r="AX891" s="1040" t="e">
        <f t="shared" si="218"/>
        <v>#DIV/0!</v>
      </c>
      <c r="AY891" s="1040" t="e">
        <f t="shared" si="218"/>
        <v>#DIV/0!</v>
      </c>
      <c r="AZ891" s="1061" t="s">
        <v>21</v>
      </c>
      <c r="BC891" s="29"/>
      <c r="BD891" s="29"/>
      <c r="BE891" s="13"/>
      <c r="BL891" s="368"/>
    </row>
    <row r="892" spans="1:64" ht="12" customHeight="1" x14ac:dyDescent="0.2">
      <c r="A892" s="39">
        <f>acute_overview_children!A92</f>
        <v>4</v>
      </c>
      <c r="B892" s="23">
        <f t="shared" si="185"/>
        <v>163080</v>
      </c>
      <c r="C892" s="23" t="str">
        <f t="shared" si="186"/>
        <v>Pineapples</v>
      </c>
      <c r="D892" s="135"/>
      <c r="E892" s="1027"/>
      <c r="F892" s="87"/>
      <c r="G892" s="87"/>
      <c r="H892" s="1027"/>
      <c r="I892" s="1030"/>
      <c r="J892" s="1039" t="e">
        <f t="shared" ref="J892:AR892" si="219">IF(J92="",0,IF(OR(1=RANK(J492,J$412:J$790,0),(2=RANK(J492,J$412:J$790,0))),J492,J92))</f>
        <v>#DIV/0!</v>
      </c>
      <c r="K892" s="1040" t="e">
        <f t="shared" si="219"/>
        <v>#DIV/0!</v>
      </c>
      <c r="L892" s="1040" t="e">
        <f t="shared" si="219"/>
        <v>#DIV/0!</v>
      </c>
      <c r="M892" s="1040" t="e">
        <f t="shared" si="219"/>
        <v>#DIV/0!</v>
      </c>
      <c r="N892" s="1040" t="e">
        <f t="shared" si="219"/>
        <v>#DIV/0!</v>
      </c>
      <c r="O892" s="1040" t="e">
        <f t="shared" si="219"/>
        <v>#DIV/0!</v>
      </c>
      <c r="P892" s="1040" t="e">
        <f t="shared" si="219"/>
        <v>#DIV/0!</v>
      </c>
      <c r="Q892" s="1040" t="e">
        <f t="shared" si="219"/>
        <v>#DIV/0!</v>
      </c>
      <c r="R892" s="1040" t="e">
        <f t="shared" si="219"/>
        <v>#DIV/0!</v>
      </c>
      <c r="S892" s="1040" t="e">
        <f t="shared" si="219"/>
        <v>#DIV/0!</v>
      </c>
      <c r="T892" s="1040" t="e">
        <f t="shared" si="219"/>
        <v>#DIV/0!</v>
      </c>
      <c r="U892" s="1040" t="e">
        <f t="shared" si="219"/>
        <v>#DIV/0!</v>
      </c>
      <c r="V892" s="1040" t="e">
        <f t="shared" si="219"/>
        <v>#DIV/0!</v>
      </c>
      <c r="W892" s="1040" t="e">
        <f t="shared" si="219"/>
        <v>#DIV/0!</v>
      </c>
      <c r="X892" s="1040" t="e">
        <f t="shared" si="219"/>
        <v>#DIV/0!</v>
      </c>
      <c r="Y892" s="1040" t="e">
        <f t="shared" si="219"/>
        <v>#DIV/0!</v>
      </c>
      <c r="Z892" s="1040" t="e">
        <f t="shared" si="219"/>
        <v>#DIV/0!</v>
      </c>
      <c r="AA892" s="1040" t="e">
        <f t="shared" si="219"/>
        <v>#DIV/0!</v>
      </c>
      <c r="AB892" s="1040" t="e">
        <f t="shared" si="219"/>
        <v>#DIV/0!</v>
      </c>
      <c r="AC892" s="1040" t="e">
        <f t="shared" si="219"/>
        <v>#DIV/0!</v>
      </c>
      <c r="AD892" s="1040" t="e">
        <f t="shared" si="219"/>
        <v>#DIV/0!</v>
      </c>
      <c r="AE892" s="1040" t="e">
        <f t="shared" si="219"/>
        <v>#DIV/0!</v>
      </c>
      <c r="AF892" s="1040" t="e">
        <f t="shared" si="219"/>
        <v>#DIV/0!</v>
      </c>
      <c r="AG892" s="1040" t="e">
        <f t="shared" si="219"/>
        <v>#DIV/0!</v>
      </c>
      <c r="AH892" s="1040" t="e">
        <f t="shared" si="219"/>
        <v>#DIV/0!</v>
      </c>
      <c r="AI892" s="1040" t="e">
        <f t="shared" si="219"/>
        <v>#DIV/0!</v>
      </c>
      <c r="AJ892" s="1040" t="e">
        <f t="shared" si="219"/>
        <v>#DIV/0!</v>
      </c>
      <c r="AK892" s="1040" t="e">
        <f t="shared" si="219"/>
        <v>#DIV/0!</v>
      </c>
      <c r="AL892" s="1040" t="e">
        <f t="shared" si="219"/>
        <v>#DIV/0!</v>
      </c>
      <c r="AM892" s="1040" t="e">
        <f t="shared" si="219"/>
        <v>#DIV/0!</v>
      </c>
      <c r="AN892" s="1040" t="e">
        <f t="shared" si="219"/>
        <v>#DIV/0!</v>
      </c>
      <c r="AO892" s="1040" t="e">
        <f t="shared" si="219"/>
        <v>#DIV/0!</v>
      </c>
      <c r="AP892" s="1040" t="e">
        <f t="shared" si="219"/>
        <v>#DIV/0!</v>
      </c>
      <c r="AQ892" s="1040" t="e">
        <f t="shared" si="219"/>
        <v>#DIV/0!</v>
      </c>
      <c r="AR892" s="1040" t="e">
        <f t="shared" si="219"/>
        <v>#DIV/0!</v>
      </c>
      <c r="AS892" s="1040" t="e">
        <f t="shared" ref="AS892:AY892" si="220">IF(AS92="",0,IF(OR(1=RANK(AS492,AS$412:AS$790,0),(2=RANK(AS492,AS$412:AS$790,0))),AS492,AS92))</f>
        <v>#DIV/0!</v>
      </c>
      <c r="AT892" s="1040" t="e">
        <f t="shared" si="220"/>
        <v>#DIV/0!</v>
      </c>
      <c r="AU892" s="1040">
        <f t="shared" si="220"/>
        <v>0</v>
      </c>
      <c r="AV892" s="1040" t="e">
        <f t="shared" si="220"/>
        <v>#DIV/0!</v>
      </c>
      <c r="AW892" s="1040" t="e">
        <f t="shared" si="220"/>
        <v>#DIV/0!</v>
      </c>
      <c r="AX892" s="1040" t="e">
        <f t="shared" si="220"/>
        <v>#DIV/0!</v>
      </c>
      <c r="AY892" s="1040" t="e">
        <f t="shared" si="220"/>
        <v>#DIV/0!</v>
      </c>
      <c r="AZ892" s="1061" t="s">
        <v>21</v>
      </c>
      <c r="BC892" s="29"/>
      <c r="BD892" s="29"/>
      <c r="BE892" s="13"/>
      <c r="BL892" s="368"/>
    </row>
    <row r="893" spans="1:64" ht="12" customHeight="1" x14ac:dyDescent="0.2">
      <c r="A893" s="39">
        <f>acute_overview_children!A93</f>
        <v>4</v>
      </c>
      <c r="B893" s="23">
        <f t="shared" si="185"/>
        <v>163090</v>
      </c>
      <c r="C893" s="23" t="str">
        <f t="shared" si="186"/>
        <v>Breadfruits</v>
      </c>
      <c r="D893" s="135"/>
      <c r="E893" s="1027"/>
      <c r="F893" s="87"/>
      <c r="G893" s="87"/>
      <c r="H893" s="1027"/>
      <c r="I893" s="1030"/>
      <c r="J893" s="1039" t="e">
        <f t="shared" ref="J893:AR893" si="221">IF(J93="",0,IF(OR(1=RANK(J493,J$412:J$790,0),(2=RANK(J493,J$412:J$790,0))),J493,J93))</f>
        <v>#DIV/0!</v>
      </c>
      <c r="K893" s="1040" t="e">
        <f t="shared" si="221"/>
        <v>#DIV/0!</v>
      </c>
      <c r="L893" s="1040" t="e">
        <f t="shared" si="221"/>
        <v>#DIV/0!</v>
      </c>
      <c r="M893" s="1040" t="e">
        <f t="shared" si="221"/>
        <v>#DIV/0!</v>
      </c>
      <c r="N893" s="1040" t="e">
        <f t="shared" si="221"/>
        <v>#DIV/0!</v>
      </c>
      <c r="O893" s="1040" t="e">
        <f t="shared" si="221"/>
        <v>#DIV/0!</v>
      </c>
      <c r="P893" s="1040" t="e">
        <f t="shared" si="221"/>
        <v>#DIV/0!</v>
      </c>
      <c r="Q893" s="1040" t="e">
        <f t="shared" si="221"/>
        <v>#DIV/0!</v>
      </c>
      <c r="R893" s="1040" t="e">
        <f t="shared" si="221"/>
        <v>#DIV/0!</v>
      </c>
      <c r="S893" s="1040" t="e">
        <f t="shared" si="221"/>
        <v>#DIV/0!</v>
      </c>
      <c r="T893" s="1040" t="e">
        <f t="shared" si="221"/>
        <v>#DIV/0!</v>
      </c>
      <c r="U893" s="1040" t="e">
        <f t="shared" si="221"/>
        <v>#DIV/0!</v>
      </c>
      <c r="V893" s="1040" t="e">
        <f t="shared" si="221"/>
        <v>#DIV/0!</v>
      </c>
      <c r="W893" s="1040" t="e">
        <f t="shared" si="221"/>
        <v>#DIV/0!</v>
      </c>
      <c r="X893" s="1040" t="e">
        <f t="shared" si="221"/>
        <v>#DIV/0!</v>
      </c>
      <c r="Y893" s="1040" t="e">
        <f t="shared" si="221"/>
        <v>#DIV/0!</v>
      </c>
      <c r="Z893" s="1040" t="e">
        <f t="shared" si="221"/>
        <v>#DIV/0!</v>
      </c>
      <c r="AA893" s="1040" t="e">
        <f t="shared" si="221"/>
        <v>#DIV/0!</v>
      </c>
      <c r="AB893" s="1040" t="e">
        <f t="shared" si="221"/>
        <v>#DIV/0!</v>
      </c>
      <c r="AC893" s="1040" t="e">
        <f t="shared" si="221"/>
        <v>#DIV/0!</v>
      </c>
      <c r="AD893" s="1040" t="e">
        <f t="shared" si="221"/>
        <v>#DIV/0!</v>
      </c>
      <c r="AE893" s="1040" t="e">
        <f t="shared" si="221"/>
        <v>#DIV/0!</v>
      </c>
      <c r="AF893" s="1040" t="e">
        <f t="shared" si="221"/>
        <v>#DIV/0!</v>
      </c>
      <c r="AG893" s="1040" t="e">
        <f t="shared" si="221"/>
        <v>#DIV/0!</v>
      </c>
      <c r="AH893" s="1040" t="e">
        <f t="shared" si="221"/>
        <v>#DIV/0!</v>
      </c>
      <c r="AI893" s="1040" t="e">
        <f t="shared" si="221"/>
        <v>#DIV/0!</v>
      </c>
      <c r="AJ893" s="1040" t="e">
        <f t="shared" si="221"/>
        <v>#DIV/0!</v>
      </c>
      <c r="AK893" s="1040" t="e">
        <f t="shared" si="221"/>
        <v>#DIV/0!</v>
      </c>
      <c r="AL893" s="1040" t="e">
        <f t="shared" si="221"/>
        <v>#DIV/0!</v>
      </c>
      <c r="AM893" s="1040" t="e">
        <f t="shared" si="221"/>
        <v>#DIV/0!</v>
      </c>
      <c r="AN893" s="1040" t="e">
        <f t="shared" si="221"/>
        <v>#DIV/0!</v>
      </c>
      <c r="AO893" s="1040" t="e">
        <f t="shared" si="221"/>
        <v>#DIV/0!</v>
      </c>
      <c r="AP893" s="1040" t="e">
        <f t="shared" si="221"/>
        <v>#DIV/0!</v>
      </c>
      <c r="AQ893" s="1040" t="e">
        <f t="shared" si="221"/>
        <v>#DIV/0!</v>
      </c>
      <c r="AR893" s="1040" t="e">
        <f t="shared" si="221"/>
        <v>#DIV/0!</v>
      </c>
      <c r="AS893" s="1040" t="e">
        <f t="shared" ref="AS893:AY893" si="222">IF(AS93="",0,IF(OR(1=RANK(AS493,AS$412:AS$790,0),(2=RANK(AS493,AS$412:AS$790,0))),AS493,AS93))</f>
        <v>#DIV/0!</v>
      </c>
      <c r="AT893" s="1040" t="e">
        <f t="shared" si="222"/>
        <v>#DIV/0!</v>
      </c>
      <c r="AU893" s="1040">
        <f t="shared" si="222"/>
        <v>0</v>
      </c>
      <c r="AV893" s="1040" t="e">
        <f t="shared" si="222"/>
        <v>#DIV/0!</v>
      </c>
      <c r="AW893" s="1040" t="e">
        <f t="shared" si="222"/>
        <v>#DIV/0!</v>
      </c>
      <c r="AX893" s="1040" t="e">
        <f t="shared" si="222"/>
        <v>#DIV/0!</v>
      </c>
      <c r="AY893" s="1040" t="e">
        <f t="shared" si="222"/>
        <v>#DIV/0!</v>
      </c>
      <c r="AZ893" s="1061" t="s">
        <v>21</v>
      </c>
      <c r="BC893" s="29"/>
      <c r="BD893" s="29"/>
      <c r="BE893" s="13"/>
      <c r="BL893" s="368"/>
    </row>
    <row r="894" spans="1:64" ht="12" customHeight="1" x14ac:dyDescent="0.2">
      <c r="A894" s="39">
        <f>acute_overview_children!A94</f>
        <v>4</v>
      </c>
      <c r="B894" s="23">
        <f t="shared" si="185"/>
        <v>163100</v>
      </c>
      <c r="C894" s="23" t="str">
        <f t="shared" si="186"/>
        <v>Durians</v>
      </c>
      <c r="D894" s="135"/>
      <c r="E894" s="1027"/>
      <c r="F894" s="87"/>
      <c r="G894" s="87"/>
      <c r="H894" s="1027"/>
      <c r="I894" s="1030"/>
      <c r="J894" s="1039" t="e">
        <f t="shared" ref="J894:AR894" si="223">IF(J94="",0,IF(OR(1=RANK(J494,J$412:J$790,0),(2=RANK(J494,J$412:J$790,0))),J494,J94))</f>
        <v>#DIV/0!</v>
      </c>
      <c r="K894" s="1040" t="e">
        <f t="shared" si="223"/>
        <v>#DIV/0!</v>
      </c>
      <c r="L894" s="1040" t="e">
        <f t="shared" si="223"/>
        <v>#DIV/0!</v>
      </c>
      <c r="M894" s="1040" t="e">
        <f t="shared" si="223"/>
        <v>#DIV/0!</v>
      </c>
      <c r="N894" s="1040" t="e">
        <f t="shared" si="223"/>
        <v>#DIV/0!</v>
      </c>
      <c r="O894" s="1040" t="e">
        <f t="shared" si="223"/>
        <v>#DIV/0!</v>
      </c>
      <c r="P894" s="1040" t="e">
        <f t="shared" si="223"/>
        <v>#DIV/0!</v>
      </c>
      <c r="Q894" s="1040" t="e">
        <f t="shared" si="223"/>
        <v>#DIV/0!</v>
      </c>
      <c r="R894" s="1040" t="e">
        <f t="shared" si="223"/>
        <v>#DIV/0!</v>
      </c>
      <c r="S894" s="1040" t="e">
        <f t="shared" si="223"/>
        <v>#DIV/0!</v>
      </c>
      <c r="T894" s="1040" t="e">
        <f t="shared" si="223"/>
        <v>#DIV/0!</v>
      </c>
      <c r="U894" s="1040" t="e">
        <f t="shared" si="223"/>
        <v>#DIV/0!</v>
      </c>
      <c r="V894" s="1040" t="e">
        <f t="shared" si="223"/>
        <v>#DIV/0!</v>
      </c>
      <c r="W894" s="1040" t="e">
        <f t="shared" si="223"/>
        <v>#DIV/0!</v>
      </c>
      <c r="X894" s="1040" t="e">
        <f t="shared" si="223"/>
        <v>#DIV/0!</v>
      </c>
      <c r="Y894" s="1040" t="e">
        <f t="shared" si="223"/>
        <v>#DIV/0!</v>
      </c>
      <c r="Z894" s="1040" t="e">
        <f t="shared" si="223"/>
        <v>#DIV/0!</v>
      </c>
      <c r="AA894" s="1040" t="e">
        <f t="shared" si="223"/>
        <v>#DIV/0!</v>
      </c>
      <c r="AB894" s="1040" t="e">
        <f t="shared" si="223"/>
        <v>#DIV/0!</v>
      </c>
      <c r="AC894" s="1040" t="e">
        <f t="shared" si="223"/>
        <v>#DIV/0!</v>
      </c>
      <c r="AD894" s="1040" t="e">
        <f t="shared" si="223"/>
        <v>#DIV/0!</v>
      </c>
      <c r="AE894" s="1040" t="e">
        <f t="shared" si="223"/>
        <v>#DIV/0!</v>
      </c>
      <c r="AF894" s="1040" t="e">
        <f t="shared" si="223"/>
        <v>#DIV/0!</v>
      </c>
      <c r="AG894" s="1040" t="e">
        <f t="shared" si="223"/>
        <v>#DIV/0!</v>
      </c>
      <c r="AH894" s="1040" t="e">
        <f t="shared" si="223"/>
        <v>#DIV/0!</v>
      </c>
      <c r="AI894" s="1040" t="e">
        <f t="shared" si="223"/>
        <v>#DIV/0!</v>
      </c>
      <c r="AJ894" s="1040" t="e">
        <f t="shared" si="223"/>
        <v>#DIV/0!</v>
      </c>
      <c r="AK894" s="1040" t="e">
        <f t="shared" si="223"/>
        <v>#DIV/0!</v>
      </c>
      <c r="AL894" s="1040" t="e">
        <f t="shared" si="223"/>
        <v>#DIV/0!</v>
      </c>
      <c r="AM894" s="1040" t="e">
        <f t="shared" si="223"/>
        <v>#DIV/0!</v>
      </c>
      <c r="AN894" s="1040" t="e">
        <f t="shared" si="223"/>
        <v>#DIV/0!</v>
      </c>
      <c r="AO894" s="1040" t="e">
        <f t="shared" si="223"/>
        <v>#DIV/0!</v>
      </c>
      <c r="AP894" s="1040" t="e">
        <f t="shared" si="223"/>
        <v>#DIV/0!</v>
      </c>
      <c r="AQ894" s="1040" t="e">
        <f t="shared" si="223"/>
        <v>#DIV/0!</v>
      </c>
      <c r="AR894" s="1040" t="e">
        <f t="shared" si="223"/>
        <v>#DIV/0!</v>
      </c>
      <c r="AS894" s="1040" t="e">
        <f t="shared" ref="AS894:AY894" si="224">IF(AS94="",0,IF(OR(1=RANK(AS494,AS$412:AS$790,0),(2=RANK(AS494,AS$412:AS$790,0))),AS494,AS94))</f>
        <v>#DIV/0!</v>
      </c>
      <c r="AT894" s="1040" t="e">
        <f t="shared" si="224"/>
        <v>#DIV/0!</v>
      </c>
      <c r="AU894" s="1040">
        <f t="shared" si="224"/>
        <v>0</v>
      </c>
      <c r="AV894" s="1040" t="e">
        <f t="shared" si="224"/>
        <v>#DIV/0!</v>
      </c>
      <c r="AW894" s="1040" t="e">
        <f t="shared" si="224"/>
        <v>#DIV/0!</v>
      </c>
      <c r="AX894" s="1040" t="e">
        <f t="shared" si="224"/>
        <v>#DIV/0!</v>
      </c>
      <c r="AY894" s="1040" t="e">
        <f t="shared" si="224"/>
        <v>#DIV/0!</v>
      </c>
      <c r="AZ894" s="1061" t="s">
        <v>21</v>
      </c>
      <c r="BC894" s="29"/>
      <c r="BD894" s="29"/>
      <c r="BE894" s="13"/>
      <c r="BL894" s="368"/>
    </row>
    <row r="895" spans="1:64" ht="12" customHeight="1" x14ac:dyDescent="0.2">
      <c r="A895" s="39">
        <f>acute_overview_children!A95</f>
        <v>4</v>
      </c>
      <c r="B895" s="23">
        <f t="shared" si="185"/>
        <v>163110</v>
      </c>
      <c r="C895" s="23" t="str">
        <f t="shared" si="186"/>
        <v>Soursops/guanabanas</v>
      </c>
      <c r="D895" s="135"/>
      <c r="E895" s="1027"/>
      <c r="F895" s="87"/>
      <c r="G895" s="87"/>
      <c r="H895" s="1027"/>
      <c r="I895" s="1030"/>
      <c r="J895" s="1039" t="e">
        <f t="shared" ref="J895:AR895" si="225">IF(J95="",0,IF(OR(1=RANK(J495,J$412:J$790,0),(2=RANK(J495,J$412:J$790,0))),J495,J95))</f>
        <v>#DIV/0!</v>
      </c>
      <c r="K895" s="1040" t="e">
        <f t="shared" si="225"/>
        <v>#DIV/0!</v>
      </c>
      <c r="L895" s="1040" t="e">
        <f t="shared" si="225"/>
        <v>#DIV/0!</v>
      </c>
      <c r="M895" s="1040" t="e">
        <f t="shared" si="225"/>
        <v>#DIV/0!</v>
      </c>
      <c r="N895" s="1040" t="e">
        <f t="shared" si="225"/>
        <v>#DIV/0!</v>
      </c>
      <c r="O895" s="1040" t="e">
        <f t="shared" si="225"/>
        <v>#DIV/0!</v>
      </c>
      <c r="P895" s="1040" t="e">
        <f t="shared" si="225"/>
        <v>#DIV/0!</v>
      </c>
      <c r="Q895" s="1040" t="e">
        <f t="shared" si="225"/>
        <v>#DIV/0!</v>
      </c>
      <c r="R895" s="1040" t="e">
        <f t="shared" si="225"/>
        <v>#DIV/0!</v>
      </c>
      <c r="S895" s="1040" t="e">
        <f t="shared" si="225"/>
        <v>#DIV/0!</v>
      </c>
      <c r="T895" s="1040" t="e">
        <f t="shared" si="225"/>
        <v>#DIV/0!</v>
      </c>
      <c r="U895" s="1040" t="e">
        <f t="shared" si="225"/>
        <v>#DIV/0!</v>
      </c>
      <c r="V895" s="1040" t="e">
        <f t="shared" si="225"/>
        <v>#DIV/0!</v>
      </c>
      <c r="W895" s="1040" t="e">
        <f t="shared" si="225"/>
        <v>#DIV/0!</v>
      </c>
      <c r="X895" s="1040" t="e">
        <f t="shared" si="225"/>
        <v>#DIV/0!</v>
      </c>
      <c r="Y895" s="1040" t="e">
        <f t="shared" si="225"/>
        <v>#DIV/0!</v>
      </c>
      <c r="Z895" s="1040" t="e">
        <f t="shared" si="225"/>
        <v>#DIV/0!</v>
      </c>
      <c r="AA895" s="1040" t="e">
        <f t="shared" si="225"/>
        <v>#DIV/0!</v>
      </c>
      <c r="AB895" s="1040" t="e">
        <f t="shared" si="225"/>
        <v>#DIV/0!</v>
      </c>
      <c r="AC895" s="1040" t="e">
        <f t="shared" si="225"/>
        <v>#DIV/0!</v>
      </c>
      <c r="AD895" s="1040" t="e">
        <f t="shared" si="225"/>
        <v>#DIV/0!</v>
      </c>
      <c r="AE895" s="1040" t="e">
        <f t="shared" si="225"/>
        <v>#DIV/0!</v>
      </c>
      <c r="AF895" s="1040" t="e">
        <f t="shared" si="225"/>
        <v>#DIV/0!</v>
      </c>
      <c r="AG895" s="1040" t="e">
        <f t="shared" si="225"/>
        <v>#DIV/0!</v>
      </c>
      <c r="AH895" s="1040" t="e">
        <f t="shared" si="225"/>
        <v>#DIV/0!</v>
      </c>
      <c r="AI895" s="1040" t="e">
        <f t="shared" si="225"/>
        <v>#DIV/0!</v>
      </c>
      <c r="AJ895" s="1040" t="e">
        <f t="shared" si="225"/>
        <v>#DIV/0!</v>
      </c>
      <c r="AK895" s="1040" t="e">
        <f t="shared" si="225"/>
        <v>#DIV/0!</v>
      </c>
      <c r="AL895" s="1040" t="e">
        <f t="shared" si="225"/>
        <v>#DIV/0!</v>
      </c>
      <c r="AM895" s="1040" t="e">
        <f t="shared" si="225"/>
        <v>#DIV/0!</v>
      </c>
      <c r="AN895" s="1040" t="e">
        <f t="shared" si="225"/>
        <v>#DIV/0!</v>
      </c>
      <c r="AO895" s="1040" t="e">
        <f t="shared" si="225"/>
        <v>#DIV/0!</v>
      </c>
      <c r="AP895" s="1040" t="e">
        <f t="shared" si="225"/>
        <v>#DIV/0!</v>
      </c>
      <c r="AQ895" s="1040" t="e">
        <f t="shared" si="225"/>
        <v>#DIV/0!</v>
      </c>
      <c r="AR895" s="1040" t="e">
        <f t="shared" si="225"/>
        <v>#DIV/0!</v>
      </c>
      <c r="AS895" s="1040" t="e">
        <f t="shared" ref="AS895:AY895" si="226">IF(AS95="",0,IF(OR(1=RANK(AS495,AS$412:AS$790,0),(2=RANK(AS495,AS$412:AS$790,0))),AS495,AS95))</f>
        <v>#DIV/0!</v>
      </c>
      <c r="AT895" s="1040" t="e">
        <f t="shared" si="226"/>
        <v>#DIV/0!</v>
      </c>
      <c r="AU895" s="1040">
        <f t="shared" si="226"/>
        <v>0</v>
      </c>
      <c r="AV895" s="1040" t="e">
        <f t="shared" si="226"/>
        <v>#DIV/0!</v>
      </c>
      <c r="AW895" s="1040" t="e">
        <f t="shared" si="226"/>
        <v>#DIV/0!</v>
      </c>
      <c r="AX895" s="1040" t="e">
        <f t="shared" si="226"/>
        <v>#DIV/0!</v>
      </c>
      <c r="AY895" s="1040" t="e">
        <f t="shared" si="226"/>
        <v>#DIV/0!</v>
      </c>
      <c r="AZ895" s="1061" t="s">
        <v>21</v>
      </c>
      <c r="BC895" s="29"/>
      <c r="BD895" s="29"/>
      <c r="BE895" s="13"/>
      <c r="BL895" s="368"/>
    </row>
    <row r="896" spans="1:64" ht="12" customHeight="1" x14ac:dyDescent="0.2">
      <c r="A896" s="39">
        <f>acute_overview_children!A96</f>
        <v>4</v>
      </c>
      <c r="B896" s="23">
        <f t="shared" si="185"/>
        <v>163990</v>
      </c>
      <c r="C896" s="23" t="str">
        <f t="shared" si="186"/>
        <v>Other miscallaneous fruit (inedible peel, large)</v>
      </c>
      <c r="D896" s="135"/>
      <c r="E896" s="1027"/>
      <c r="F896" s="87"/>
      <c r="G896" s="87"/>
      <c r="H896" s="1027"/>
      <c r="I896" s="1030"/>
      <c r="J896" s="1039" t="e">
        <f t="shared" ref="J896:AR896" si="227">IF(J96="",0,IF(OR(1=RANK(J496,J$412:J$790,0),(2=RANK(J496,J$412:J$790,0))),J496,J96))</f>
        <v>#DIV/0!</v>
      </c>
      <c r="K896" s="1040" t="e">
        <f t="shared" si="227"/>
        <v>#DIV/0!</v>
      </c>
      <c r="L896" s="1040" t="e">
        <f t="shared" si="227"/>
        <v>#DIV/0!</v>
      </c>
      <c r="M896" s="1040" t="e">
        <f t="shared" si="227"/>
        <v>#DIV/0!</v>
      </c>
      <c r="N896" s="1040" t="e">
        <f t="shared" si="227"/>
        <v>#DIV/0!</v>
      </c>
      <c r="O896" s="1040" t="e">
        <f t="shared" si="227"/>
        <v>#DIV/0!</v>
      </c>
      <c r="P896" s="1040" t="e">
        <f t="shared" si="227"/>
        <v>#DIV/0!</v>
      </c>
      <c r="Q896" s="1040" t="e">
        <f t="shared" si="227"/>
        <v>#DIV/0!</v>
      </c>
      <c r="R896" s="1040" t="e">
        <f t="shared" si="227"/>
        <v>#DIV/0!</v>
      </c>
      <c r="S896" s="1040" t="e">
        <f t="shared" si="227"/>
        <v>#DIV/0!</v>
      </c>
      <c r="T896" s="1040" t="e">
        <f t="shared" si="227"/>
        <v>#DIV/0!</v>
      </c>
      <c r="U896" s="1040" t="e">
        <f t="shared" si="227"/>
        <v>#DIV/0!</v>
      </c>
      <c r="V896" s="1040" t="e">
        <f t="shared" si="227"/>
        <v>#DIV/0!</v>
      </c>
      <c r="W896" s="1040" t="e">
        <f t="shared" si="227"/>
        <v>#DIV/0!</v>
      </c>
      <c r="X896" s="1040" t="e">
        <f t="shared" si="227"/>
        <v>#DIV/0!</v>
      </c>
      <c r="Y896" s="1040" t="e">
        <f t="shared" si="227"/>
        <v>#DIV/0!</v>
      </c>
      <c r="Z896" s="1040" t="e">
        <f t="shared" si="227"/>
        <v>#DIV/0!</v>
      </c>
      <c r="AA896" s="1040" t="e">
        <f t="shared" si="227"/>
        <v>#DIV/0!</v>
      </c>
      <c r="AB896" s="1040" t="e">
        <f t="shared" si="227"/>
        <v>#DIV/0!</v>
      </c>
      <c r="AC896" s="1040" t="e">
        <f t="shared" si="227"/>
        <v>#DIV/0!</v>
      </c>
      <c r="AD896" s="1040" t="e">
        <f t="shared" si="227"/>
        <v>#DIV/0!</v>
      </c>
      <c r="AE896" s="1040" t="e">
        <f t="shared" si="227"/>
        <v>#DIV/0!</v>
      </c>
      <c r="AF896" s="1040" t="e">
        <f t="shared" si="227"/>
        <v>#DIV/0!</v>
      </c>
      <c r="AG896" s="1040" t="e">
        <f t="shared" si="227"/>
        <v>#DIV/0!</v>
      </c>
      <c r="AH896" s="1040" t="e">
        <f t="shared" si="227"/>
        <v>#DIV/0!</v>
      </c>
      <c r="AI896" s="1040" t="e">
        <f t="shared" si="227"/>
        <v>#DIV/0!</v>
      </c>
      <c r="AJ896" s="1040" t="e">
        <f t="shared" si="227"/>
        <v>#DIV/0!</v>
      </c>
      <c r="AK896" s="1040" t="e">
        <f t="shared" si="227"/>
        <v>#DIV/0!</v>
      </c>
      <c r="AL896" s="1040" t="e">
        <f t="shared" si="227"/>
        <v>#DIV/0!</v>
      </c>
      <c r="AM896" s="1040" t="e">
        <f t="shared" si="227"/>
        <v>#DIV/0!</v>
      </c>
      <c r="AN896" s="1040" t="e">
        <f t="shared" si="227"/>
        <v>#DIV/0!</v>
      </c>
      <c r="AO896" s="1040" t="e">
        <f t="shared" si="227"/>
        <v>#DIV/0!</v>
      </c>
      <c r="AP896" s="1040" t="e">
        <f t="shared" si="227"/>
        <v>#DIV/0!</v>
      </c>
      <c r="AQ896" s="1040" t="e">
        <f t="shared" si="227"/>
        <v>#DIV/0!</v>
      </c>
      <c r="AR896" s="1040" t="e">
        <f t="shared" si="227"/>
        <v>#DIV/0!</v>
      </c>
      <c r="AS896" s="1040" t="e">
        <f t="shared" ref="AS896:AY896" si="228">IF(AS96="",0,IF(OR(1=RANK(AS496,AS$412:AS$790,0),(2=RANK(AS496,AS$412:AS$790,0))),AS496,AS96))</f>
        <v>#DIV/0!</v>
      </c>
      <c r="AT896" s="1040" t="e">
        <f t="shared" si="228"/>
        <v>#DIV/0!</v>
      </c>
      <c r="AU896" s="1040">
        <f t="shared" si="228"/>
        <v>0</v>
      </c>
      <c r="AV896" s="1040" t="e">
        <f t="shared" si="228"/>
        <v>#DIV/0!</v>
      </c>
      <c r="AW896" s="1040" t="e">
        <f t="shared" si="228"/>
        <v>#DIV/0!</v>
      </c>
      <c r="AX896" s="1040" t="e">
        <f t="shared" si="228"/>
        <v>#DIV/0!</v>
      </c>
      <c r="AY896" s="1040" t="e">
        <f t="shared" si="228"/>
        <v>#DIV/0!</v>
      </c>
      <c r="AZ896" s="1061" t="s">
        <v>21</v>
      </c>
      <c r="BC896" s="29"/>
      <c r="BD896" s="29"/>
      <c r="BE896" s="13"/>
      <c r="BL896" s="368"/>
    </row>
    <row r="897" spans="1:64" ht="12" customHeight="1" x14ac:dyDescent="0.2">
      <c r="A897" s="514">
        <f>acute_overview_children!A97</f>
        <v>1</v>
      </c>
      <c r="B897" s="127">
        <f t="shared" si="185"/>
        <v>200000</v>
      </c>
      <c r="C897" s="127" t="str">
        <f t="shared" si="186"/>
        <v xml:space="preserve">VEGETABLES 
FRESH OR FROZEN </v>
      </c>
      <c r="D897" s="135"/>
      <c r="E897" s="1027"/>
      <c r="F897" s="87"/>
      <c r="G897" s="87"/>
      <c r="H897" s="1027"/>
      <c r="I897" s="1030"/>
      <c r="J897" s="1031" t="e">
        <f t="shared" ref="J897:AR897" si="229">IF(J97="",0,IF(OR(1=RANK(J497,J$412:J$790,0),(2=RANK(J497,J$412:J$790,0))),J497,J97))</f>
        <v>#DIV/0!</v>
      </c>
      <c r="K897" s="1032" t="e">
        <f t="shared" si="229"/>
        <v>#DIV/0!</v>
      </c>
      <c r="L897" s="1032" t="e">
        <f t="shared" si="229"/>
        <v>#DIV/0!</v>
      </c>
      <c r="M897" s="1032" t="e">
        <f t="shared" si="229"/>
        <v>#DIV/0!</v>
      </c>
      <c r="N897" s="1032" t="e">
        <f t="shared" si="229"/>
        <v>#DIV/0!</v>
      </c>
      <c r="O897" s="1032" t="e">
        <f t="shared" si="229"/>
        <v>#DIV/0!</v>
      </c>
      <c r="P897" s="1032" t="e">
        <f t="shared" si="229"/>
        <v>#DIV/0!</v>
      </c>
      <c r="Q897" s="1032" t="e">
        <f t="shared" si="229"/>
        <v>#DIV/0!</v>
      </c>
      <c r="R897" s="1032" t="e">
        <f t="shared" si="229"/>
        <v>#DIV/0!</v>
      </c>
      <c r="S897" s="1032" t="e">
        <f t="shared" si="229"/>
        <v>#DIV/0!</v>
      </c>
      <c r="T897" s="1032" t="e">
        <f t="shared" si="229"/>
        <v>#DIV/0!</v>
      </c>
      <c r="U897" s="1032" t="e">
        <f t="shared" si="229"/>
        <v>#DIV/0!</v>
      </c>
      <c r="V897" s="1032" t="e">
        <f t="shared" si="229"/>
        <v>#DIV/0!</v>
      </c>
      <c r="W897" s="1032" t="e">
        <f t="shared" si="229"/>
        <v>#DIV/0!</v>
      </c>
      <c r="X897" s="1032" t="e">
        <f t="shared" si="229"/>
        <v>#DIV/0!</v>
      </c>
      <c r="Y897" s="1032" t="e">
        <f t="shared" si="229"/>
        <v>#DIV/0!</v>
      </c>
      <c r="Z897" s="1032" t="e">
        <f t="shared" si="229"/>
        <v>#DIV/0!</v>
      </c>
      <c r="AA897" s="1032" t="e">
        <f t="shared" si="229"/>
        <v>#DIV/0!</v>
      </c>
      <c r="AB897" s="1032" t="e">
        <f t="shared" si="229"/>
        <v>#DIV/0!</v>
      </c>
      <c r="AC897" s="1032" t="e">
        <f t="shared" si="229"/>
        <v>#DIV/0!</v>
      </c>
      <c r="AD897" s="1032" t="e">
        <f t="shared" si="229"/>
        <v>#DIV/0!</v>
      </c>
      <c r="AE897" s="1032" t="e">
        <f t="shared" si="229"/>
        <v>#DIV/0!</v>
      </c>
      <c r="AF897" s="1032" t="e">
        <f t="shared" si="229"/>
        <v>#DIV/0!</v>
      </c>
      <c r="AG897" s="1032" t="e">
        <f t="shared" si="229"/>
        <v>#DIV/0!</v>
      </c>
      <c r="AH897" s="1032" t="e">
        <f t="shared" si="229"/>
        <v>#DIV/0!</v>
      </c>
      <c r="AI897" s="1032" t="e">
        <f t="shared" si="229"/>
        <v>#DIV/0!</v>
      </c>
      <c r="AJ897" s="1032" t="e">
        <f t="shared" si="229"/>
        <v>#DIV/0!</v>
      </c>
      <c r="AK897" s="1032" t="e">
        <f t="shared" si="229"/>
        <v>#DIV/0!</v>
      </c>
      <c r="AL897" s="1032" t="e">
        <f t="shared" si="229"/>
        <v>#DIV/0!</v>
      </c>
      <c r="AM897" s="1032" t="e">
        <f t="shared" si="229"/>
        <v>#DIV/0!</v>
      </c>
      <c r="AN897" s="1032" t="e">
        <f t="shared" si="229"/>
        <v>#DIV/0!</v>
      </c>
      <c r="AO897" s="1032" t="e">
        <f t="shared" si="229"/>
        <v>#DIV/0!</v>
      </c>
      <c r="AP897" s="1032" t="e">
        <f t="shared" si="229"/>
        <v>#DIV/0!</v>
      </c>
      <c r="AQ897" s="1032" t="e">
        <f t="shared" si="229"/>
        <v>#DIV/0!</v>
      </c>
      <c r="AR897" s="1032" t="e">
        <f t="shared" si="229"/>
        <v>#DIV/0!</v>
      </c>
      <c r="AS897" s="1032" t="e">
        <f t="shared" ref="AS897:AY897" si="230">IF(AS97="",0,IF(OR(1=RANK(AS497,AS$412:AS$790,0),(2=RANK(AS497,AS$412:AS$790,0))),AS497,AS97))</f>
        <v>#DIV/0!</v>
      </c>
      <c r="AT897" s="1032" t="e">
        <f t="shared" si="230"/>
        <v>#DIV/0!</v>
      </c>
      <c r="AU897" s="1032">
        <f t="shared" si="230"/>
        <v>0</v>
      </c>
      <c r="AV897" s="1032" t="e">
        <f t="shared" si="230"/>
        <v>#DIV/0!</v>
      </c>
      <c r="AW897" s="1032" t="e">
        <f t="shared" si="230"/>
        <v>#DIV/0!</v>
      </c>
      <c r="AX897" s="1032" t="e">
        <f t="shared" si="230"/>
        <v>#DIV/0!</v>
      </c>
      <c r="AY897" s="1032" t="e">
        <f t="shared" si="230"/>
        <v>#DIV/0!</v>
      </c>
      <c r="AZ897" s="1061" t="s">
        <v>21</v>
      </c>
      <c r="BC897" s="29"/>
      <c r="BD897" s="29"/>
      <c r="BE897" s="13"/>
      <c r="BL897" s="368"/>
    </row>
    <row r="898" spans="1:64" ht="12" customHeight="1" x14ac:dyDescent="0.2">
      <c r="A898" s="515">
        <f>acute_overview_children!A98</f>
        <v>2</v>
      </c>
      <c r="B898" s="131">
        <f t="shared" si="185"/>
        <v>210000</v>
      </c>
      <c r="C898" s="131" t="str">
        <f t="shared" si="186"/>
        <v>Root and tuber vegetables
incl. potaotes)</v>
      </c>
      <c r="D898" s="1035"/>
      <c r="E898" s="1027"/>
      <c r="F898" s="87"/>
      <c r="G898" s="87"/>
      <c r="H898" s="1027"/>
      <c r="I898" s="1030"/>
      <c r="J898" s="1037" t="e">
        <f t="shared" ref="J898:AR898" si="231">IF(J98="",0,IF(OR(1=RANK(J498,J$412:J$790,0),(2=RANK(J498,J$412:J$790,0))),J498,J98))</f>
        <v>#DIV/0!</v>
      </c>
      <c r="K898" s="1038" t="e">
        <f t="shared" si="231"/>
        <v>#DIV/0!</v>
      </c>
      <c r="L898" s="1038" t="e">
        <f t="shared" si="231"/>
        <v>#DIV/0!</v>
      </c>
      <c r="M898" s="1038" t="e">
        <f t="shared" si="231"/>
        <v>#DIV/0!</v>
      </c>
      <c r="N898" s="1038" t="e">
        <f t="shared" si="231"/>
        <v>#DIV/0!</v>
      </c>
      <c r="O898" s="1038" t="e">
        <f t="shared" si="231"/>
        <v>#DIV/0!</v>
      </c>
      <c r="P898" s="1038" t="e">
        <f t="shared" si="231"/>
        <v>#DIV/0!</v>
      </c>
      <c r="Q898" s="1038" t="e">
        <f t="shared" si="231"/>
        <v>#DIV/0!</v>
      </c>
      <c r="R898" s="1038" t="e">
        <f t="shared" si="231"/>
        <v>#DIV/0!</v>
      </c>
      <c r="S898" s="1038" t="e">
        <f t="shared" si="231"/>
        <v>#DIV/0!</v>
      </c>
      <c r="T898" s="1038" t="e">
        <f t="shared" si="231"/>
        <v>#DIV/0!</v>
      </c>
      <c r="U898" s="1038" t="e">
        <f t="shared" si="231"/>
        <v>#DIV/0!</v>
      </c>
      <c r="V898" s="1038" t="e">
        <f t="shared" si="231"/>
        <v>#DIV/0!</v>
      </c>
      <c r="W898" s="1038" t="e">
        <f t="shared" si="231"/>
        <v>#DIV/0!</v>
      </c>
      <c r="X898" s="1038" t="e">
        <f t="shared" si="231"/>
        <v>#DIV/0!</v>
      </c>
      <c r="Y898" s="1038" t="e">
        <f t="shared" si="231"/>
        <v>#DIV/0!</v>
      </c>
      <c r="Z898" s="1038" t="e">
        <f t="shared" si="231"/>
        <v>#DIV/0!</v>
      </c>
      <c r="AA898" s="1038" t="e">
        <f t="shared" si="231"/>
        <v>#DIV/0!</v>
      </c>
      <c r="AB898" s="1038" t="e">
        <f t="shared" si="231"/>
        <v>#DIV/0!</v>
      </c>
      <c r="AC898" s="1038" t="e">
        <f t="shared" si="231"/>
        <v>#DIV/0!</v>
      </c>
      <c r="AD898" s="1038" t="e">
        <f t="shared" si="231"/>
        <v>#DIV/0!</v>
      </c>
      <c r="AE898" s="1038" t="e">
        <f t="shared" si="231"/>
        <v>#DIV/0!</v>
      </c>
      <c r="AF898" s="1038" t="e">
        <f t="shared" si="231"/>
        <v>#DIV/0!</v>
      </c>
      <c r="AG898" s="1038" t="e">
        <f t="shared" si="231"/>
        <v>#DIV/0!</v>
      </c>
      <c r="AH898" s="1038" t="e">
        <f t="shared" si="231"/>
        <v>#DIV/0!</v>
      </c>
      <c r="AI898" s="1038" t="e">
        <f t="shared" si="231"/>
        <v>#DIV/0!</v>
      </c>
      <c r="AJ898" s="1038" t="e">
        <f t="shared" si="231"/>
        <v>#DIV/0!</v>
      </c>
      <c r="AK898" s="1038" t="e">
        <f t="shared" si="231"/>
        <v>#DIV/0!</v>
      </c>
      <c r="AL898" s="1038" t="e">
        <f t="shared" si="231"/>
        <v>#DIV/0!</v>
      </c>
      <c r="AM898" s="1038" t="e">
        <f t="shared" si="231"/>
        <v>#DIV/0!</v>
      </c>
      <c r="AN898" s="1038" t="e">
        <f t="shared" si="231"/>
        <v>#DIV/0!</v>
      </c>
      <c r="AO898" s="1038" t="e">
        <f t="shared" si="231"/>
        <v>#DIV/0!</v>
      </c>
      <c r="AP898" s="1038" t="e">
        <f t="shared" si="231"/>
        <v>#DIV/0!</v>
      </c>
      <c r="AQ898" s="1038" t="e">
        <f t="shared" si="231"/>
        <v>#DIV/0!</v>
      </c>
      <c r="AR898" s="1038" t="e">
        <f t="shared" si="231"/>
        <v>#DIV/0!</v>
      </c>
      <c r="AS898" s="1038" t="e">
        <f t="shared" ref="AS898:AY898" si="232">IF(AS98="",0,IF(OR(1=RANK(AS498,AS$412:AS$790,0),(2=RANK(AS498,AS$412:AS$790,0))),AS498,AS98))</f>
        <v>#DIV/0!</v>
      </c>
      <c r="AT898" s="1038" t="e">
        <f t="shared" si="232"/>
        <v>#DIV/0!</v>
      </c>
      <c r="AU898" s="1038">
        <f t="shared" si="232"/>
        <v>0</v>
      </c>
      <c r="AV898" s="1038" t="e">
        <f t="shared" si="232"/>
        <v>#DIV/0!</v>
      </c>
      <c r="AW898" s="1038" t="e">
        <f t="shared" si="232"/>
        <v>#DIV/0!</v>
      </c>
      <c r="AX898" s="1038" t="e">
        <f t="shared" si="232"/>
        <v>#DIV/0!</v>
      </c>
      <c r="AY898" s="1038" t="e">
        <f t="shared" si="232"/>
        <v>#DIV/0!</v>
      </c>
      <c r="AZ898" s="1061" t="s">
        <v>21</v>
      </c>
      <c r="BC898" s="29"/>
      <c r="BD898" s="29"/>
      <c r="BE898" s="13"/>
      <c r="BL898" s="368"/>
    </row>
    <row r="899" spans="1:64" ht="12" customHeight="1" x14ac:dyDescent="0.2">
      <c r="A899" s="132">
        <f>acute_overview_children!A99</f>
        <v>3</v>
      </c>
      <c r="B899" s="3">
        <f t="shared" si="185"/>
        <v>211000</v>
      </c>
      <c r="C899" s="3" t="str">
        <f t="shared" si="186"/>
        <v>Potatoes</v>
      </c>
      <c r="D899" s="1042"/>
      <c r="E899" s="1027"/>
      <c r="F899" s="87"/>
      <c r="G899" s="87"/>
      <c r="H899" s="1027"/>
      <c r="I899" s="1030"/>
      <c r="J899" s="1043" t="e">
        <f t="shared" ref="J899:AR899" si="233">IF(J99="",0,IF(OR(1=RANK(J499,J$412:J$790,0),(2=RANK(J499,J$412:J$790,0))),J499,J99))</f>
        <v>#DIV/0!</v>
      </c>
      <c r="K899" s="1044" t="e">
        <f t="shared" si="233"/>
        <v>#DIV/0!</v>
      </c>
      <c r="L899" s="1044" t="e">
        <f t="shared" si="233"/>
        <v>#DIV/0!</v>
      </c>
      <c r="M899" s="1044" t="e">
        <f t="shared" si="233"/>
        <v>#DIV/0!</v>
      </c>
      <c r="N899" s="1044" t="e">
        <f t="shared" si="233"/>
        <v>#DIV/0!</v>
      </c>
      <c r="O899" s="1044" t="e">
        <f t="shared" si="233"/>
        <v>#DIV/0!</v>
      </c>
      <c r="P899" s="1044" t="e">
        <f t="shared" si="233"/>
        <v>#DIV/0!</v>
      </c>
      <c r="Q899" s="1044" t="e">
        <f t="shared" si="233"/>
        <v>#DIV/0!</v>
      </c>
      <c r="R899" s="1044" t="e">
        <f t="shared" si="233"/>
        <v>#DIV/0!</v>
      </c>
      <c r="S899" s="1044" t="e">
        <f t="shared" si="233"/>
        <v>#DIV/0!</v>
      </c>
      <c r="T899" s="1044" t="e">
        <f t="shared" si="233"/>
        <v>#DIV/0!</v>
      </c>
      <c r="U899" s="1044" t="e">
        <f t="shared" si="233"/>
        <v>#DIV/0!</v>
      </c>
      <c r="V899" s="1044" t="e">
        <f t="shared" si="233"/>
        <v>#DIV/0!</v>
      </c>
      <c r="W899" s="1044" t="e">
        <f t="shared" si="233"/>
        <v>#DIV/0!</v>
      </c>
      <c r="X899" s="1044" t="e">
        <f t="shared" si="233"/>
        <v>#DIV/0!</v>
      </c>
      <c r="Y899" s="1044" t="e">
        <f t="shared" si="233"/>
        <v>#DIV/0!</v>
      </c>
      <c r="Z899" s="1044" t="e">
        <f t="shared" si="233"/>
        <v>#DIV/0!</v>
      </c>
      <c r="AA899" s="1044" t="e">
        <f t="shared" si="233"/>
        <v>#DIV/0!</v>
      </c>
      <c r="AB899" s="1044" t="e">
        <f t="shared" si="233"/>
        <v>#DIV/0!</v>
      </c>
      <c r="AC899" s="1044" t="e">
        <f t="shared" si="233"/>
        <v>#DIV/0!</v>
      </c>
      <c r="AD899" s="1044" t="e">
        <f t="shared" si="233"/>
        <v>#DIV/0!</v>
      </c>
      <c r="AE899" s="1044" t="e">
        <f t="shared" si="233"/>
        <v>#DIV/0!</v>
      </c>
      <c r="AF899" s="1044" t="e">
        <f t="shared" si="233"/>
        <v>#DIV/0!</v>
      </c>
      <c r="AG899" s="1044" t="e">
        <f t="shared" si="233"/>
        <v>#DIV/0!</v>
      </c>
      <c r="AH899" s="1044" t="e">
        <f t="shared" si="233"/>
        <v>#DIV/0!</v>
      </c>
      <c r="AI899" s="1044" t="e">
        <f t="shared" si="233"/>
        <v>#DIV/0!</v>
      </c>
      <c r="AJ899" s="1044" t="e">
        <f t="shared" si="233"/>
        <v>#DIV/0!</v>
      </c>
      <c r="AK899" s="1044" t="e">
        <f t="shared" si="233"/>
        <v>#DIV/0!</v>
      </c>
      <c r="AL899" s="1044" t="e">
        <f t="shared" si="233"/>
        <v>#DIV/0!</v>
      </c>
      <c r="AM899" s="1044" t="e">
        <f t="shared" si="233"/>
        <v>#DIV/0!</v>
      </c>
      <c r="AN899" s="1044" t="e">
        <f t="shared" si="233"/>
        <v>#DIV/0!</v>
      </c>
      <c r="AO899" s="1044" t="e">
        <f t="shared" si="233"/>
        <v>#DIV/0!</v>
      </c>
      <c r="AP899" s="1044" t="e">
        <f t="shared" si="233"/>
        <v>#DIV/0!</v>
      </c>
      <c r="AQ899" s="1044" t="e">
        <f t="shared" si="233"/>
        <v>#DIV/0!</v>
      </c>
      <c r="AR899" s="1044" t="e">
        <f t="shared" si="233"/>
        <v>#DIV/0!</v>
      </c>
      <c r="AS899" s="1044" t="e">
        <f t="shared" ref="AS899:AY899" si="234">IF(AS99="",0,IF(OR(1=RANK(AS499,AS$412:AS$790,0),(2=RANK(AS499,AS$412:AS$790,0))),AS499,AS99))</f>
        <v>#DIV/0!</v>
      </c>
      <c r="AT899" s="1044" t="e">
        <f t="shared" si="234"/>
        <v>#DIV/0!</v>
      </c>
      <c r="AU899" s="1044">
        <f t="shared" si="234"/>
        <v>0</v>
      </c>
      <c r="AV899" s="1044" t="e">
        <f t="shared" si="234"/>
        <v>#DIV/0!</v>
      </c>
      <c r="AW899" s="1044" t="e">
        <f t="shared" si="234"/>
        <v>#DIV/0!</v>
      </c>
      <c r="AX899" s="1044" t="e">
        <f t="shared" si="234"/>
        <v>#DIV/0!</v>
      </c>
      <c r="AY899" s="1044" t="e">
        <f t="shared" si="234"/>
        <v>#DIV/0!</v>
      </c>
      <c r="AZ899" s="1061" t="s">
        <v>21</v>
      </c>
      <c r="BC899" s="29"/>
      <c r="BD899" s="29"/>
      <c r="BE899" s="13"/>
      <c r="BL899" s="368"/>
    </row>
    <row r="900" spans="1:64" ht="12" customHeight="1" x14ac:dyDescent="0.2">
      <c r="A900" s="132">
        <f>acute_overview_children!A100</f>
        <v>3</v>
      </c>
      <c r="B900" s="3">
        <f t="shared" si="185"/>
        <v>212000</v>
      </c>
      <c r="C900" s="3" t="str">
        <f t="shared" si="186"/>
        <v>Tropical root and tuber vegetables</v>
      </c>
      <c r="D900" s="1042"/>
      <c r="E900" s="1027"/>
      <c r="F900" s="87"/>
      <c r="G900" s="87"/>
      <c r="H900" s="1027"/>
      <c r="I900" s="1030"/>
      <c r="J900" s="1043" t="e">
        <f t="shared" ref="J900:AR900" si="235">IF(J100="",0,IF(OR(1=RANK(J500,J$412:J$790,0),(2=RANK(J500,J$412:J$790,0))),J500,J100))</f>
        <v>#DIV/0!</v>
      </c>
      <c r="K900" s="1044" t="e">
        <f t="shared" si="235"/>
        <v>#DIV/0!</v>
      </c>
      <c r="L900" s="1044" t="e">
        <f t="shared" si="235"/>
        <v>#DIV/0!</v>
      </c>
      <c r="M900" s="1044" t="e">
        <f t="shared" si="235"/>
        <v>#DIV/0!</v>
      </c>
      <c r="N900" s="1044" t="e">
        <f t="shared" si="235"/>
        <v>#DIV/0!</v>
      </c>
      <c r="O900" s="1044" t="e">
        <f t="shared" si="235"/>
        <v>#DIV/0!</v>
      </c>
      <c r="P900" s="1044" t="e">
        <f t="shared" si="235"/>
        <v>#DIV/0!</v>
      </c>
      <c r="Q900" s="1044" t="e">
        <f t="shared" si="235"/>
        <v>#DIV/0!</v>
      </c>
      <c r="R900" s="1044" t="e">
        <f t="shared" si="235"/>
        <v>#DIV/0!</v>
      </c>
      <c r="S900" s="1044" t="e">
        <f t="shared" si="235"/>
        <v>#DIV/0!</v>
      </c>
      <c r="T900" s="1044" t="e">
        <f t="shared" si="235"/>
        <v>#DIV/0!</v>
      </c>
      <c r="U900" s="1044" t="e">
        <f t="shared" si="235"/>
        <v>#DIV/0!</v>
      </c>
      <c r="V900" s="1044" t="e">
        <f t="shared" si="235"/>
        <v>#DIV/0!</v>
      </c>
      <c r="W900" s="1044" t="e">
        <f t="shared" si="235"/>
        <v>#DIV/0!</v>
      </c>
      <c r="X900" s="1044" t="e">
        <f t="shared" si="235"/>
        <v>#DIV/0!</v>
      </c>
      <c r="Y900" s="1044" t="e">
        <f t="shared" si="235"/>
        <v>#DIV/0!</v>
      </c>
      <c r="Z900" s="1044" t="e">
        <f t="shared" si="235"/>
        <v>#DIV/0!</v>
      </c>
      <c r="AA900" s="1044" t="e">
        <f t="shared" si="235"/>
        <v>#DIV/0!</v>
      </c>
      <c r="AB900" s="1044" t="e">
        <f t="shared" si="235"/>
        <v>#DIV/0!</v>
      </c>
      <c r="AC900" s="1044" t="e">
        <f t="shared" si="235"/>
        <v>#DIV/0!</v>
      </c>
      <c r="AD900" s="1044" t="e">
        <f t="shared" si="235"/>
        <v>#DIV/0!</v>
      </c>
      <c r="AE900" s="1044" t="e">
        <f t="shared" si="235"/>
        <v>#DIV/0!</v>
      </c>
      <c r="AF900" s="1044" t="e">
        <f t="shared" si="235"/>
        <v>#DIV/0!</v>
      </c>
      <c r="AG900" s="1044" t="e">
        <f t="shared" si="235"/>
        <v>#DIV/0!</v>
      </c>
      <c r="AH900" s="1044" t="e">
        <f t="shared" si="235"/>
        <v>#DIV/0!</v>
      </c>
      <c r="AI900" s="1044" t="e">
        <f t="shared" si="235"/>
        <v>#DIV/0!</v>
      </c>
      <c r="AJ900" s="1044" t="e">
        <f t="shared" si="235"/>
        <v>#DIV/0!</v>
      </c>
      <c r="AK900" s="1044" t="e">
        <f t="shared" si="235"/>
        <v>#DIV/0!</v>
      </c>
      <c r="AL900" s="1044" t="e">
        <f t="shared" si="235"/>
        <v>#DIV/0!</v>
      </c>
      <c r="AM900" s="1044" t="e">
        <f t="shared" si="235"/>
        <v>#DIV/0!</v>
      </c>
      <c r="AN900" s="1044" t="e">
        <f t="shared" si="235"/>
        <v>#DIV/0!</v>
      </c>
      <c r="AO900" s="1044" t="e">
        <f t="shared" si="235"/>
        <v>#DIV/0!</v>
      </c>
      <c r="AP900" s="1044" t="e">
        <f t="shared" si="235"/>
        <v>#DIV/0!</v>
      </c>
      <c r="AQ900" s="1044" t="e">
        <f t="shared" si="235"/>
        <v>#DIV/0!</v>
      </c>
      <c r="AR900" s="1044" t="e">
        <f t="shared" si="235"/>
        <v>#DIV/0!</v>
      </c>
      <c r="AS900" s="1044" t="e">
        <f t="shared" ref="AS900:AY900" si="236">IF(AS100="",0,IF(OR(1=RANK(AS500,AS$412:AS$790,0),(2=RANK(AS500,AS$412:AS$790,0))),AS500,AS100))</f>
        <v>#DIV/0!</v>
      </c>
      <c r="AT900" s="1044" t="e">
        <f t="shared" si="236"/>
        <v>#DIV/0!</v>
      </c>
      <c r="AU900" s="1044">
        <f t="shared" si="236"/>
        <v>0</v>
      </c>
      <c r="AV900" s="1044" t="e">
        <f t="shared" si="236"/>
        <v>#DIV/0!</v>
      </c>
      <c r="AW900" s="1044" t="e">
        <f t="shared" si="236"/>
        <v>#DIV/0!</v>
      </c>
      <c r="AX900" s="1044" t="e">
        <f t="shared" si="236"/>
        <v>#DIV/0!</v>
      </c>
      <c r="AY900" s="1044" t="e">
        <f t="shared" si="236"/>
        <v>#DIV/0!</v>
      </c>
      <c r="AZ900" s="1061" t="s">
        <v>21</v>
      </c>
      <c r="BC900" s="29"/>
      <c r="BD900" s="29"/>
      <c r="BE900" s="13"/>
      <c r="BL900" s="368"/>
    </row>
    <row r="901" spans="1:64" ht="12" customHeight="1" x14ac:dyDescent="0.2">
      <c r="A901" s="39">
        <f>acute_overview_children!A101</f>
        <v>4</v>
      </c>
      <c r="B901" s="23">
        <f t="shared" si="185"/>
        <v>212010</v>
      </c>
      <c r="C901" s="23" t="str">
        <f t="shared" si="186"/>
        <v>Cassava roots/manioc</v>
      </c>
      <c r="D901" s="135"/>
      <c r="E901" s="1027"/>
      <c r="F901" s="87"/>
      <c r="G901" s="87"/>
      <c r="H901" s="1027"/>
      <c r="I901" s="1030"/>
      <c r="J901" s="1039" t="e">
        <f t="shared" ref="J901:AR901" si="237">IF(J101="",0,IF(OR(1=RANK(J501,J$412:J$790,0),(2=RANK(J501,J$412:J$790,0))),J501,J101))</f>
        <v>#DIV/0!</v>
      </c>
      <c r="K901" s="1040" t="e">
        <f t="shared" si="237"/>
        <v>#DIV/0!</v>
      </c>
      <c r="L901" s="1040" t="e">
        <f t="shared" si="237"/>
        <v>#DIV/0!</v>
      </c>
      <c r="M901" s="1040" t="e">
        <f t="shared" si="237"/>
        <v>#DIV/0!</v>
      </c>
      <c r="N901" s="1040" t="e">
        <f t="shared" si="237"/>
        <v>#DIV/0!</v>
      </c>
      <c r="O901" s="1040" t="e">
        <f t="shared" si="237"/>
        <v>#DIV/0!</v>
      </c>
      <c r="P901" s="1040" t="e">
        <f t="shared" si="237"/>
        <v>#DIV/0!</v>
      </c>
      <c r="Q901" s="1040" t="e">
        <f t="shared" si="237"/>
        <v>#DIV/0!</v>
      </c>
      <c r="R901" s="1040" t="e">
        <f t="shared" si="237"/>
        <v>#DIV/0!</v>
      </c>
      <c r="S901" s="1040" t="e">
        <f t="shared" si="237"/>
        <v>#DIV/0!</v>
      </c>
      <c r="T901" s="1040" t="e">
        <f t="shared" si="237"/>
        <v>#DIV/0!</v>
      </c>
      <c r="U901" s="1040" t="e">
        <f t="shared" si="237"/>
        <v>#DIV/0!</v>
      </c>
      <c r="V901" s="1040" t="e">
        <f t="shared" si="237"/>
        <v>#DIV/0!</v>
      </c>
      <c r="W901" s="1040" t="e">
        <f t="shared" si="237"/>
        <v>#DIV/0!</v>
      </c>
      <c r="X901" s="1040" t="e">
        <f t="shared" si="237"/>
        <v>#DIV/0!</v>
      </c>
      <c r="Y901" s="1040" t="e">
        <f t="shared" si="237"/>
        <v>#DIV/0!</v>
      </c>
      <c r="Z901" s="1040" t="e">
        <f t="shared" si="237"/>
        <v>#DIV/0!</v>
      </c>
      <c r="AA901" s="1040" t="e">
        <f t="shared" si="237"/>
        <v>#DIV/0!</v>
      </c>
      <c r="AB901" s="1040" t="e">
        <f t="shared" si="237"/>
        <v>#DIV/0!</v>
      </c>
      <c r="AC901" s="1040" t="e">
        <f t="shared" si="237"/>
        <v>#DIV/0!</v>
      </c>
      <c r="AD901" s="1040" t="e">
        <f t="shared" si="237"/>
        <v>#DIV/0!</v>
      </c>
      <c r="AE901" s="1040" t="e">
        <f t="shared" si="237"/>
        <v>#DIV/0!</v>
      </c>
      <c r="AF901" s="1040" t="e">
        <f t="shared" si="237"/>
        <v>#DIV/0!</v>
      </c>
      <c r="AG901" s="1040" t="e">
        <f t="shared" si="237"/>
        <v>#DIV/0!</v>
      </c>
      <c r="AH901" s="1040" t="e">
        <f t="shared" si="237"/>
        <v>#DIV/0!</v>
      </c>
      <c r="AI901" s="1040" t="e">
        <f t="shared" si="237"/>
        <v>#DIV/0!</v>
      </c>
      <c r="AJ901" s="1040" t="e">
        <f t="shared" si="237"/>
        <v>#DIV/0!</v>
      </c>
      <c r="AK901" s="1040" t="e">
        <f t="shared" si="237"/>
        <v>#DIV/0!</v>
      </c>
      <c r="AL901" s="1040" t="e">
        <f t="shared" si="237"/>
        <v>#DIV/0!</v>
      </c>
      <c r="AM901" s="1040" t="e">
        <f t="shared" si="237"/>
        <v>#DIV/0!</v>
      </c>
      <c r="AN901" s="1040" t="e">
        <f t="shared" si="237"/>
        <v>#DIV/0!</v>
      </c>
      <c r="AO901" s="1040" t="e">
        <f t="shared" si="237"/>
        <v>#DIV/0!</v>
      </c>
      <c r="AP901" s="1040" t="e">
        <f t="shared" si="237"/>
        <v>#DIV/0!</v>
      </c>
      <c r="AQ901" s="1040" t="e">
        <f t="shared" si="237"/>
        <v>#DIV/0!</v>
      </c>
      <c r="AR901" s="1040" t="e">
        <f t="shared" si="237"/>
        <v>#DIV/0!</v>
      </c>
      <c r="AS901" s="1040" t="e">
        <f t="shared" ref="AS901:AY901" si="238">IF(AS101="",0,IF(OR(1=RANK(AS501,AS$412:AS$790,0),(2=RANK(AS501,AS$412:AS$790,0))),AS501,AS101))</f>
        <v>#DIV/0!</v>
      </c>
      <c r="AT901" s="1040" t="e">
        <f t="shared" si="238"/>
        <v>#DIV/0!</v>
      </c>
      <c r="AU901" s="1040">
        <f t="shared" si="238"/>
        <v>0</v>
      </c>
      <c r="AV901" s="1040" t="e">
        <f t="shared" si="238"/>
        <v>#DIV/0!</v>
      </c>
      <c r="AW901" s="1040" t="e">
        <f t="shared" si="238"/>
        <v>#DIV/0!</v>
      </c>
      <c r="AX901" s="1040" t="e">
        <f t="shared" si="238"/>
        <v>#DIV/0!</v>
      </c>
      <c r="AY901" s="1040" t="e">
        <f t="shared" si="238"/>
        <v>#DIV/0!</v>
      </c>
      <c r="AZ901" s="1061" t="s">
        <v>21</v>
      </c>
      <c r="BC901" s="29"/>
      <c r="BD901" s="29"/>
      <c r="BE901" s="13"/>
      <c r="BL901" s="368"/>
    </row>
    <row r="902" spans="1:64" ht="12" customHeight="1" x14ac:dyDescent="0.2">
      <c r="A902" s="39">
        <f>acute_overview_children!A102</f>
        <v>4</v>
      </c>
      <c r="B902" s="23">
        <f t="shared" si="185"/>
        <v>212020</v>
      </c>
      <c r="C902" s="23" t="str">
        <f t="shared" si="186"/>
        <v>Sweet potatoes</v>
      </c>
      <c r="D902" s="135"/>
      <c r="E902" s="1027"/>
      <c r="F902" s="87"/>
      <c r="G902" s="87"/>
      <c r="H902" s="1027"/>
      <c r="I902" s="1030"/>
      <c r="J902" s="1039" t="e">
        <f t="shared" ref="J902:AR902" si="239">IF(J102="",0,IF(OR(1=RANK(J502,J$412:J$790,0),(2=RANK(J502,J$412:J$790,0))),J502,J102))</f>
        <v>#DIV/0!</v>
      </c>
      <c r="K902" s="1040" t="e">
        <f t="shared" si="239"/>
        <v>#DIV/0!</v>
      </c>
      <c r="L902" s="1040" t="e">
        <f t="shared" si="239"/>
        <v>#DIV/0!</v>
      </c>
      <c r="M902" s="1040" t="e">
        <f t="shared" si="239"/>
        <v>#DIV/0!</v>
      </c>
      <c r="N902" s="1040" t="e">
        <f t="shared" si="239"/>
        <v>#DIV/0!</v>
      </c>
      <c r="O902" s="1040" t="e">
        <f t="shared" si="239"/>
        <v>#DIV/0!</v>
      </c>
      <c r="P902" s="1040" t="e">
        <f t="shared" si="239"/>
        <v>#DIV/0!</v>
      </c>
      <c r="Q902" s="1040" t="e">
        <f t="shared" si="239"/>
        <v>#DIV/0!</v>
      </c>
      <c r="R902" s="1040" t="e">
        <f t="shared" si="239"/>
        <v>#DIV/0!</v>
      </c>
      <c r="S902" s="1040" t="e">
        <f t="shared" si="239"/>
        <v>#DIV/0!</v>
      </c>
      <c r="T902" s="1040" t="e">
        <f t="shared" si="239"/>
        <v>#DIV/0!</v>
      </c>
      <c r="U902" s="1040" t="e">
        <f t="shared" si="239"/>
        <v>#DIV/0!</v>
      </c>
      <c r="V902" s="1040" t="e">
        <f t="shared" si="239"/>
        <v>#DIV/0!</v>
      </c>
      <c r="W902" s="1040" t="e">
        <f t="shared" si="239"/>
        <v>#DIV/0!</v>
      </c>
      <c r="X902" s="1040" t="e">
        <f t="shared" si="239"/>
        <v>#DIV/0!</v>
      </c>
      <c r="Y902" s="1040" t="e">
        <f t="shared" si="239"/>
        <v>#DIV/0!</v>
      </c>
      <c r="Z902" s="1040" t="e">
        <f t="shared" si="239"/>
        <v>#DIV/0!</v>
      </c>
      <c r="AA902" s="1040" t="e">
        <f t="shared" si="239"/>
        <v>#DIV/0!</v>
      </c>
      <c r="AB902" s="1040" t="e">
        <f t="shared" si="239"/>
        <v>#DIV/0!</v>
      </c>
      <c r="AC902" s="1040" t="e">
        <f t="shared" si="239"/>
        <v>#DIV/0!</v>
      </c>
      <c r="AD902" s="1040" t="e">
        <f t="shared" si="239"/>
        <v>#DIV/0!</v>
      </c>
      <c r="AE902" s="1040" t="e">
        <f t="shared" si="239"/>
        <v>#DIV/0!</v>
      </c>
      <c r="AF902" s="1040" t="e">
        <f t="shared" si="239"/>
        <v>#DIV/0!</v>
      </c>
      <c r="AG902" s="1040" t="e">
        <f t="shared" si="239"/>
        <v>#DIV/0!</v>
      </c>
      <c r="AH902" s="1040" t="e">
        <f t="shared" si="239"/>
        <v>#DIV/0!</v>
      </c>
      <c r="AI902" s="1040" t="e">
        <f t="shared" si="239"/>
        <v>#DIV/0!</v>
      </c>
      <c r="AJ902" s="1040" t="e">
        <f t="shared" si="239"/>
        <v>#DIV/0!</v>
      </c>
      <c r="AK902" s="1040" t="e">
        <f t="shared" si="239"/>
        <v>#DIV/0!</v>
      </c>
      <c r="AL902" s="1040" t="e">
        <f t="shared" si="239"/>
        <v>#DIV/0!</v>
      </c>
      <c r="AM902" s="1040" t="e">
        <f t="shared" si="239"/>
        <v>#DIV/0!</v>
      </c>
      <c r="AN902" s="1040" t="e">
        <f t="shared" si="239"/>
        <v>#DIV/0!</v>
      </c>
      <c r="AO902" s="1040" t="e">
        <f t="shared" si="239"/>
        <v>#DIV/0!</v>
      </c>
      <c r="AP902" s="1040" t="e">
        <f t="shared" si="239"/>
        <v>#DIV/0!</v>
      </c>
      <c r="AQ902" s="1040" t="e">
        <f t="shared" si="239"/>
        <v>#DIV/0!</v>
      </c>
      <c r="AR902" s="1040" t="e">
        <f t="shared" si="239"/>
        <v>#DIV/0!</v>
      </c>
      <c r="AS902" s="1040" t="e">
        <f t="shared" ref="AS902:AY902" si="240">IF(AS102="",0,IF(OR(1=RANK(AS502,AS$412:AS$790,0),(2=RANK(AS502,AS$412:AS$790,0))),AS502,AS102))</f>
        <v>#DIV/0!</v>
      </c>
      <c r="AT902" s="1040" t="e">
        <f t="shared" si="240"/>
        <v>#DIV/0!</v>
      </c>
      <c r="AU902" s="1040">
        <f t="shared" si="240"/>
        <v>0</v>
      </c>
      <c r="AV902" s="1040" t="e">
        <f t="shared" si="240"/>
        <v>#DIV/0!</v>
      </c>
      <c r="AW902" s="1040" t="e">
        <f t="shared" si="240"/>
        <v>#DIV/0!</v>
      </c>
      <c r="AX902" s="1040" t="e">
        <f t="shared" si="240"/>
        <v>#DIV/0!</v>
      </c>
      <c r="AY902" s="1040" t="e">
        <f t="shared" si="240"/>
        <v>#DIV/0!</v>
      </c>
      <c r="AZ902" s="1061" t="s">
        <v>21</v>
      </c>
      <c r="BC902" s="29"/>
      <c r="BD902" s="29"/>
      <c r="BE902" s="13"/>
      <c r="BL902" s="368"/>
    </row>
    <row r="903" spans="1:64" ht="12" customHeight="1" x14ac:dyDescent="0.2">
      <c r="A903" s="39">
        <f>acute_overview_children!A103</f>
        <v>4</v>
      </c>
      <c r="B903" s="23">
        <f t="shared" si="185"/>
        <v>212030</v>
      </c>
      <c r="C903" s="23" t="str">
        <f t="shared" si="186"/>
        <v>Yams</v>
      </c>
      <c r="D903" s="135"/>
      <c r="E903" s="1027"/>
      <c r="F903" s="87"/>
      <c r="G903" s="87"/>
      <c r="H903" s="1027"/>
      <c r="I903" s="1030"/>
      <c r="J903" s="1039" t="e">
        <f t="shared" ref="J903:AR903" si="241">IF(J103="",0,IF(OR(1=RANK(J503,J$412:J$790,0),(2=RANK(J503,J$412:J$790,0))),J503,J103))</f>
        <v>#DIV/0!</v>
      </c>
      <c r="K903" s="1040" t="e">
        <f t="shared" si="241"/>
        <v>#DIV/0!</v>
      </c>
      <c r="L903" s="1040" t="e">
        <f t="shared" si="241"/>
        <v>#DIV/0!</v>
      </c>
      <c r="M903" s="1040" t="e">
        <f t="shared" si="241"/>
        <v>#DIV/0!</v>
      </c>
      <c r="N903" s="1040" t="e">
        <f t="shared" si="241"/>
        <v>#DIV/0!</v>
      </c>
      <c r="O903" s="1040" t="e">
        <f t="shared" si="241"/>
        <v>#DIV/0!</v>
      </c>
      <c r="P903" s="1040" t="e">
        <f t="shared" si="241"/>
        <v>#DIV/0!</v>
      </c>
      <c r="Q903" s="1040" t="e">
        <f t="shared" si="241"/>
        <v>#DIV/0!</v>
      </c>
      <c r="R903" s="1040" t="e">
        <f t="shared" si="241"/>
        <v>#DIV/0!</v>
      </c>
      <c r="S903" s="1040" t="e">
        <f t="shared" si="241"/>
        <v>#DIV/0!</v>
      </c>
      <c r="T903" s="1040" t="e">
        <f t="shared" si="241"/>
        <v>#DIV/0!</v>
      </c>
      <c r="U903" s="1040" t="e">
        <f t="shared" si="241"/>
        <v>#DIV/0!</v>
      </c>
      <c r="V903" s="1040" t="e">
        <f t="shared" si="241"/>
        <v>#DIV/0!</v>
      </c>
      <c r="W903" s="1040" t="e">
        <f t="shared" si="241"/>
        <v>#DIV/0!</v>
      </c>
      <c r="X903" s="1040" t="e">
        <f t="shared" si="241"/>
        <v>#DIV/0!</v>
      </c>
      <c r="Y903" s="1040" t="e">
        <f t="shared" si="241"/>
        <v>#DIV/0!</v>
      </c>
      <c r="Z903" s="1040" t="e">
        <f t="shared" si="241"/>
        <v>#DIV/0!</v>
      </c>
      <c r="AA903" s="1040" t="e">
        <f t="shared" si="241"/>
        <v>#DIV/0!</v>
      </c>
      <c r="AB903" s="1040" t="e">
        <f t="shared" si="241"/>
        <v>#DIV/0!</v>
      </c>
      <c r="AC903" s="1040" t="e">
        <f t="shared" si="241"/>
        <v>#DIV/0!</v>
      </c>
      <c r="AD903" s="1040" t="e">
        <f t="shared" si="241"/>
        <v>#DIV/0!</v>
      </c>
      <c r="AE903" s="1040" t="e">
        <f t="shared" si="241"/>
        <v>#DIV/0!</v>
      </c>
      <c r="AF903" s="1040" t="e">
        <f t="shared" si="241"/>
        <v>#DIV/0!</v>
      </c>
      <c r="AG903" s="1040" t="e">
        <f t="shared" si="241"/>
        <v>#DIV/0!</v>
      </c>
      <c r="AH903" s="1040" t="e">
        <f t="shared" si="241"/>
        <v>#DIV/0!</v>
      </c>
      <c r="AI903" s="1040" t="e">
        <f t="shared" si="241"/>
        <v>#DIV/0!</v>
      </c>
      <c r="AJ903" s="1040" t="e">
        <f t="shared" si="241"/>
        <v>#DIV/0!</v>
      </c>
      <c r="AK903" s="1040" t="e">
        <f t="shared" si="241"/>
        <v>#DIV/0!</v>
      </c>
      <c r="AL903" s="1040" t="e">
        <f t="shared" si="241"/>
        <v>#DIV/0!</v>
      </c>
      <c r="AM903" s="1040" t="e">
        <f t="shared" si="241"/>
        <v>#DIV/0!</v>
      </c>
      <c r="AN903" s="1040" t="e">
        <f t="shared" si="241"/>
        <v>#DIV/0!</v>
      </c>
      <c r="AO903" s="1040" t="e">
        <f t="shared" si="241"/>
        <v>#DIV/0!</v>
      </c>
      <c r="AP903" s="1040" t="e">
        <f t="shared" si="241"/>
        <v>#DIV/0!</v>
      </c>
      <c r="AQ903" s="1040" t="e">
        <f t="shared" si="241"/>
        <v>#DIV/0!</v>
      </c>
      <c r="AR903" s="1040" t="e">
        <f t="shared" si="241"/>
        <v>#DIV/0!</v>
      </c>
      <c r="AS903" s="1040" t="e">
        <f t="shared" ref="AS903:AY903" si="242">IF(AS103="",0,IF(OR(1=RANK(AS503,AS$412:AS$790,0),(2=RANK(AS503,AS$412:AS$790,0))),AS503,AS103))</f>
        <v>#DIV/0!</v>
      </c>
      <c r="AT903" s="1040" t="e">
        <f t="shared" si="242"/>
        <v>#DIV/0!</v>
      </c>
      <c r="AU903" s="1040">
        <f t="shared" si="242"/>
        <v>0</v>
      </c>
      <c r="AV903" s="1040" t="e">
        <f t="shared" si="242"/>
        <v>#DIV/0!</v>
      </c>
      <c r="AW903" s="1040" t="e">
        <f t="shared" si="242"/>
        <v>#DIV/0!</v>
      </c>
      <c r="AX903" s="1040" t="e">
        <f t="shared" si="242"/>
        <v>#DIV/0!</v>
      </c>
      <c r="AY903" s="1040" t="e">
        <f t="shared" si="242"/>
        <v>#DIV/0!</v>
      </c>
      <c r="AZ903" s="1061" t="s">
        <v>21</v>
      </c>
      <c r="BC903" s="29"/>
      <c r="BD903" s="29"/>
      <c r="BE903" s="13"/>
      <c r="BL903" s="368"/>
    </row>
    <row r="904" spans="1:64" ht="12" customHeight="1" x14ac:dyDescent="0.2">
      <c r="A904" s="39">
        <f>acute_overview_children!A104</f>
        <v>4</v>
      </c>
      <c r="B904" s="23">
        <f t="shared" si="185"/>
        <v>212040</v>
      </c>
      <c r="C904" s="23" t="str">
        <f t="shared" si="186"/>
        <v>Arrowroots</v>
      </c>
      <c r="D904" s="135"/>
      <c r="E904" s="1027"/>
      <c r="F904" s="87"/>
      <c r="G904" s="87"/>
      <c r="H904" s="1027"/>
      <c r="I904" s="1030"/>
      <c r="J904" s="1039" t="e">
        <f t="shared" ref="J904:AR904" si="243">IF(J104="",0,IF(OR(1=RANK(J504,J$412:J$790,0),(2=RANK(J504,J$412:J$790,0))),J504,J104))</f>
        <v>#DIV/0!</v>
      </c>
      <c r="K904" s="1040" t="e">
        <f t="shared" si="243"/>
        <v>#DIV/0!</v>
      </c>
      <c r="L904" s="1040" t="e">
        <f t="shared" si="243"/>
        <v>#DIV/0!</v>
      </c>
      <c r="M904" s="1040" t="e">
        <f t="shared" si="243"/>
        <v>#DIV/0!</v>
      </c>
      <c r="N904" s="1040" t="e">
        <f t="shared" si="243"/>
        <v>#DIV/0!</v>
      </c>
      <c r="O904" s="1040" t="e">
        <f t="shared" si="243"/>
        <v>#DIV/0!</v>
      </c>
      <c r="P904" s="1040" t="e">
        <f t="shared" si="243"/>
        <v>#DIV/0!</v>
      </c>
      <c r="Q904" s="1040" t="e">
        <f t="shared" si="243"/>
        <v>#DIV/0!</v>
      </c>
      <c r="R904" s="1040" t="e">
        <f t="shared" si="243"/>
        <v>#DIV/0!</v>
      </c>
      <c r="S904" s="1040" t="e">
        <f t="shared" si="243"/>
        <v>#DIV/0!</v>
      </c>
      <c r="T904" s="1040" t="e">
        <f t="shared" si="243"/>
        <v>#DIV/0!</v>
      </c>
      <c r="U904" s="1040" t="e">
        <f t="shared" si="243"/>
        <v>#DIV/0!</v>
      </c>
      <c r="V904" s="1040" t="e">
        <f t="shared" si="243"/>
        <v>#DIV/0!</v>
      </c>
      <c r="W904" s="1040" t="e">
        <f t="shared" si="243"/>
        <v>#DIV/0!</v>
      </c>
      <c r="X904" s="1040" t="e">
        <f t="shared" si="243"/>
        <v>#DIV/0!</v>
      </c>
      <c r="Y904" s="1040" t="e">
        <f t="shared" si="243"/>
        <v>#DIV/0!</v>
      </c>
      <c r="Z904" s="1040" t="e">
        <f t="shared" si="243"/>
        <v>#DIV/0!</v>
      </c>
      <c r="AA904" s="1040" t="e">
        <f t="shared" si="243"/>
        <v>#DIV/0!</v>
      </c>
      <c r="AB904" s="1040" t="e">
        <f t="shared" si="243"/>
        <v>#DIV/0!</v>
      </c>
      <c r="AC904" s="1040" t="e">
        <f t="shared" si="243"/>
        <v>#DIV/0!</v>
      </c>
      <c r="AD904" s="1040" t="e">
        <f t="shared" si="243"/>
        <v>#DIV/0!</v>
      </c>
      <c r="AE904" s="1040" t="e">
        <f t="shared" si="243"/>
        <v>#DIV/0!</v>
      </c>
      <c r="AF904" s="1040" t="e">
        <f t="shared" si="243"/>
        <v>#DIV/0!</v>
      </c>
      <c r="AG904" s="1040" t="e">
        <f t="shared" si="243"/>
        <v>#DIV/0!</v>
      </c>
      <c r="AH904" s="1040" t="e">
        <f t="shared" si="243"/>
        <v>#DIV/0!</v>
      </c>
      <c r="AI904" s="1040" t="e">
        <f t="shared" si="243"/>
        <v>#DIV/0!</v>
      </c>
      <c r="AJ904" s="1040" t="e">
        <f t="shared" si="243"/>
        <v>#DIV/0!</v>
      </c>
      <c r="AK904" s="1040" t="e">
        <f t="shared" si="243"/>
        <v>#DIV/0!</v>
      </c>
      <c r="AL904" s="1040" t="e">
        <f t="shared" si="243"/>
        <v>#DIV/0!</v>
      </c>
      <c r="AM904" s="1040" t="e">
        <f t="shared" si="243"/>
        <v>#DIV/0!</v>
      </c>
      <c r="AN904" s="1040" t="e">
        <f t="shared" si="243"/>
        <v>#DIV/0!</v>
      </c>
      <c r="AO904" s="1040" t="e">
        <f t="shared" si="243"/>
        <v>#DIV/0!</v>
      </c>
      <c r="AP904" s="1040" t="e">
        <f t="shared" si="243"/>
        <v>#DIV/0!</v>
      </c>
      <c r="AQ904" s="1040" t="e">
        <f t="shared" si="243"/>
        <v>#DIV/0!</v>
      </c>
      <c r="AR904" s="1040" t="e">
        <f t="shared" si="243"/>
        <v>#DIV/0!</v>
      </c>
      <c r="AS904" s="1040" t="e">
        <f t="shared" ref="AS904:AY904" si="244">IF(AS104="",0,IF(OR(1=RANK(AS504,AS$412:AS$790,0),(2=RANK(AS504,AS$412:AS$790,0))),AS504,AS104))</f>
        <v>#DIV/0!</v>
      </c>
      <c r="AT904" s="1040" t="e">
        <f t="shared" si="244"/>
        <v>#DIV/0!</v>
      </c>
      <c r="AU904" s="1040">
        <f t="shared" si="244"/>
        <v>0</v>
      </c>
      <c r="AV904" s="1040" t="e">
        <f t="shared" si="244"/>
        <v>#DIV/0!</v>
      </c>
      <c r="AW904" s="1040" t="e">
        <f t="shared" si="244"/>
        <v>#DIV/0!</v>
      </c>
      <c r="AX904" s="1040" t="e">
        <f t="shared" si="244"/>
        <v>#DIV/0!</v>
      </c>
      <c r="AY904" s="1040" t="e">
        <f t="shared" si="244"/>
        <v>#DIV/0!</v>
      </c>
      <c r="AZ904" s="1061" t="s">
        <v>21</v>
      </c>
      <c r="BC904" s="29"/>
      <c r="BD904" s="29"/>
      <c r="BE904" s="13"/>
      <c r="BL904" s="368"/>
    </row>
    <row r="905" spans="1:64" ht="12" customHeight="1" x14ac:dyDescent="0.2">
      <c r="A905" s="39">
        <f>acute_overview_children!A105</f>
        <v>4</v>
      </c>
      <c r="B905" s="23">
        <f t="shared" si="185"/>
        <v>212990</v>
      </c>
      <c r="C905" s="23" t="str">
        <f t="shared" si="186"/>
        <v>Other tropical root and tuber vegetables</v>
      </c>
      <c r="D905" s="135"/>
      <c r="E905" s="1027"/>
      <c r="F905" s="87"/>
      <c r="G905" s="87"/>
      <c r="H905" s="1027"/>
      <c r="I905" s="1030"/>
      <c r="J905" s="1039" t="e">
        <f t="shared" ref="J905:AR905" si="245">IF(J105="",0,IF(OR(1=RANK(J505,J$412:J$790,0),(2=RANK(J505,J$412:J$790,0))),J505,J105))</f>
        <v>#DIV/0!</v>
      </c>
      <c r="K905" s="1040" t="e">
        <f t="shared" si="245"/>
        <v>#DIV/0!</v>
      </c>
      <c r="L905" s="1040" t="e">
        <f t="shared" si="245"/>
        <v>#DIV/0!</v>
      </c>
      <c r="M905" s="1040" t="e">
        <f t="shared" si="245"/>
        <v>#DIV/0!</v>
      </c>
      <c r="N905" s="1040" t="e">
        <f t="shared" si="245"/>
        <v>#DIV/0!</v>
      </c>
      <c r="O905" s="1040" t="e">
        <f t="shared" si="245"/>
        <v>#DIV/0!</v>
      </c>
      <c r="P905" s="1040" t="e">
        <f t="shared" si="245"/>
        <v>#DIV/0!</v>
      </c>
      <c r="Q905" s="1040" t="e">
        <f t="shared" si="245"/>
        <v>#DIV/0!</v>
      </c>
      <c r="R905" s="1040" t="e">
        <f t="shared" si="245"/>
        <v>#DIV/0!</v>
      </c>
      <c r="S905" s="1040" t="e">
        <f t="shared" si="245"/>
        <v>#DIV/0!</v>
      </c>
      <c r="T905" s="1040" t="e">
        <f t="shared" si="245"/>
        <v>#DIV/0!</v>
      </c>
      <c r="U905" s="1040" t="e">
        <f t="shared" si="245"/>
        <v>#DIV/0!</v>
      </c>
      <c r="V905" s="1040" t="e">
        <f t="shared" si="245"/>
        <v>#DIV/0!</v>
      </c>
      <c r="W905" s="1040" t="e">
        <f t="shared" si="245"/>
        <v>#DIV/0!</v>
      </c>
      <c r="X905" s="1040" t="e">
        <f t="shared" si="245"/>
        <v>#DIV/0!</v>
      </c>
      <c r="Y905" s="1040" t="e">
        <f t="shared" si="245"/>
        <v>#DIV/0!</v>
      </c>
      <c r="Z905" s="1040" t="e">
        <f t="shared" si="245"/>
        <v>#DIV/0!</v>
      </c>
      <c r="AA905" s="1040" t="e">
        <f t="shared" si="245"/>
        <v>#DIV/0!</v>
      </c>
      <c r="AB905" s="1040" t="e">
        <f t="shared" si="245"/>
        <v>#DIV/0!</v>
      </c>
      <c r="AC905" s="1040" t="e">
        <f t="shared" si="245"/>
        <v>#DIV/0!</v>
      </c>
      <c r="AD905" s="1040" t="e">
        <f t="shared" si="245"/>
        <v>#DIV/0!</v>
      </c>
      <c r="AE905" s="1040" t="e">
        <f t="shared" si="245"/>
        <v>#DIV/0!</v>
      </c>
      <c r="AF905" s="1040" t="e">
        <f t="shared" si="245"/>
        <v>#DIV/0!</v>
      </c>
      <c r="AG905" s="1040" t="e">
        <f t="shared" si="245"/>
        <v>#DIV/0!</v>
      </c>
      <c r="AH905" s="1040" t="e">
        <f t="shared" si="245"/>
        <v>#DIV/0!</v>
      </c>
      <c r="AI905" s="1040" t="e">
        <f t="shared" si="245"/>
        <v>#DIV/0!</v>
      </c>
      <c r="AJ905" s="1040" t="e">
        <f t="shared" si="245"/>
        <v>#DIV/0!</v>
      </c>
      <c r="AK905" s="1040" t="e">
        <f t="shared" si="245"/>
        <v>#DIV/0!</v>
      </c>
      <c r="AL905" s="1040" t="e">
        <f t="shared" si="245"/>
        <v>#DIV/0!</v>
      </c>
      <c r="AM905" s="1040" t="e">
        <f t="shared" si="245"/>
        <v>#DIV/0!</v>
      </c>
      <c r="AN905" s="1040" t="e">
        <f t="shared" si="245"/>
        <v>#DIV/0!</v>
      </c>
      <c r="AO905" s="1040" t="e">
        <f t="shared" si="245"/>
        <v>#DIV/0!</v>
      </c>
      <c r="AP905" s="1040" t="e">
        <f t="shared" si="245"/>
        <v>#DIV/0!</v>
      </c>
      <c r="AQ905" s="1040" t="e">
        <f t="shared" si="245"/>
        <v>#DIV/0!</v>
      </c>
      <c r="AR905" s="1040" t="e">
        <f t="shared" si="245"/>
        <v>#DIV/0!</v>
      </c>
      <c r="AS905" s="1040" t="e">
        <f t="shared" ref="AS905:AY905" si="246">IF(AS105="",0,IF(OR(1=RANK(AS505,AS$412:AS$790,0),(2=RANK(AS505,AS$412:AS$790,0))),AS505,AS105))</f>
        <v>#DIV/0!</v>
      </c>
      <c r="AT905" s="1040" t="e">
        <f t="shared" si="246"/>
        <v>#DIV/0!</v>
      </c>
      <c r="AU905" s="1040">
        <f t="shared" si="246"/>
        <v>0</v>
      </c>
      <c r="AV905" s="1040" t="e">
        <f t="shared" si="246"/>
        <v>#DIV/0!</v>
      </c>
      <c r="AW905" s="1040" t="e">
        <f t="shared" si="246"/>
        <v>#DIV/0!</v>
      </c>
      <c r="AX905" s="1040" t="e">
        <f t="shared" si="246"/>
        <v>#DIV/0!</v>
      </c>
      <c r="AY905" s="1040" t="e">
        <f t="shared" si="246"/>
        <v>#DIV/0!</v>
      </c>
      <c r="AZ905" s="1061" t="s">
        <v>21</v>
      </c>
      <c r="BC905" s="29"/>
      <c r="BD905" s="29"/>
      <c r="BE905" s="13"/>
      <c r="BL905" s="368"/>
    </row>
    <row r="906" spans="1:64" ht="12" customHeight="1" x14ac:dyDescent="0.2">
      <c r="A906" s="132">
        <f>acute_overview_children!A106</f>
        <v>3</v>
      </c>
      <c r="B906" s="3">
        <f t="shared" si="185"/>
        <v>213000</v>
      </c>
      <c r="C906" s="3" t="str">
        <f t="shared" si="186"/>
        <v>Other root and tuber vegetables except sugar beet</v>
      </c>
      <c r="D906" s="1042"/>
      <c r="E906" s="1027"/>
      <c r="F906" s="87"/>
      <c r="G906" s="87"/>
      <c r="H906" s="1027"/>
      <c r="I906" s="1030"/>
      <c r="J906" s="1043" t="e">
        <f t="shared" ref="J906:AR906" si="247">IF(J106="",0,IF(OR(1=RANK(J506,J$412:J$790,0),(2=RANK(J506,J$412:J$790,0))),J506,J106))</f>
        <v>#DIV/0!</v>
      </c>
      <c r="K906" s="1044" t="e">
        <f t="shared" si="247"/>
        <v>#DIV/0!</v>
      </c>
      <c r="L906" s="1044" t="e">
        <f t="shared" si="247"/>
        <v>#DIV/0!</v>
      </c>
      <c r="M906" s="1044" t="e">
        <f t="shared" si="247"/>
        <v>#DIV/0!</v>
      </c>
      <c r="N906" s="1044" t="e">
        <f t="shared" si="247"/>
        <v>#DIV/0!</v>
      </c>
      <c r="O906" s="1044" t="e">
        <f t="shared" si="247"/>
        <v>#DIV/0!</v>
      </c>
      <c r="P906" s="1044" t="e">
        <f t="shared" si="247"/>
        <v>#DIV/0!</v>
      </c>
      <c r="Q906" s="1044" t="e">
        <f t="shared" si="247"/>
        <v>#DIV/0!</v>
      </c>
      <c r="R906" s="1044" t="e">
        <f t="shared" si="247"/>
        <v>#DIV/0!</v>
      </c>
      <c r="S906" s="1044" t="e">
        <f t="shared" si="247"/>
        <v>#DIV/0!</v>
      </c>
      <c r="T906" s="1044" t="e">
        <f t="shared" si="247"/>
        <v>#DIV/0!</v>
      </c>
      <c r="U906" s="1044" t="e">
        <f t="shared" si="247"/>
        <v>#DIV/0!</v>
      </c>
      <c r="V906" s="1044" t="e">
        <f t="shared" si="247"/>
        <v>#DIV/0!</v>
      </c>
      <c r="W906" s="1044" t="e">
        <f t="shared" si="247"/>
        <v>#DIV/0!</v>
      </c>
      <c r="X906" s="1044" t="e">
        <f t="shared" si="247"/>
        <v>#DIV/0!</v>
      </c>
      <c r="Y906" s="1044" t="e">
        <f t="shared" si="247"/>
        <v>#DIV/0!</v>
      </c>
      <c r="Z906" s="1044" t="e">
        <f t="shared" si="247"/>
        <v>#DIV/0!</v>
      </c>
      <c r="AA906" s="1044" t="e">
        <f t="shared" si="247"/>
        <v>#DIV/0!</v>
      </c>
      <c r="AB906" s="1044" t="e">
        <f t="shared" si="247"/>
        <v>#DIV/0!</v>
      </c>
      <c r="AC906" s="1044" t="e">
        <f t="shared" si="247"/>
        <v>#DIV/0!</v>
      </c>
      <c r="AD906" s="1044" t="e">
        <f t="shared" si="247"/>
        <v>#DIV/0!</v>
      </c>
      <c r="AE906" s="1044" t="e">
        <f t="shared" si="247"/>
        <v>#DIV/0!</v>
      </c>
      <c r="AF906" s="1044" t="e">
        <f t="shared" si="247"/>
        <v>#DIV/0!</v>
      </c>
      <c r="AG906" s="1044" t="e">
        <f t="shared" si="247"/>
        <v>#DIV/0!</v>
      </c>
      <c r="AH906" s="1044" t="e">
        <f t="shared" si="247"/>
        <v>#DIV/0!</v>
      </c>
      <c r="AI906" s="1044" t="e">
        <f t="shared" si="247"/>
        <v>#DIV/0!</v>
      </c>
      <c r="AJ906" s="1044" t="e">
        <f t="shared" si="247"/>
        <v>#DIV/0!</v>
      </c>
      <c r="AK906" s="1044" t="e">
        <f t="shared" si="247"/>
        <v>#DIV/0!</v>
      </c>
      <c r="AL906" s="1044" t="e">
        <f t="shared" si="247"/>
        <v>#DIV/0!</v>
      </c>
      <c r="AM906" s="1044" t="e">
        <f t="shared" si="247"/>
        <v>#DIV/0!</v>
      </c>
      <c r="AN906" s="1044" t="e">
        <f t="shared" si="247"/>
        <v>#DIV/0!</v>
      </c>
      <c r="AO906" s="1044" t="e">
        <f t="shared" si="247"/>
        <v>#DIV/0!</v>
      </c>
      <c r="AP906" s="1044" t="e">
        <f t="shared" si="247"/>
        <v>#DIV/0!</v>
      </c>
      <c r="AQ906" s="1044" t="e">
        <f t="shared" si="247"/>
        <v>#DIV/0!</v>
      </c>
      <c r="AR906" s="1044" t="e">
        <f t="shared" si="247"/>
        <v>#DIV/0!</v>
      </c>
      <c r="AS906" s="1044" t="e">
        <f t="shared" ref="AS906:AY906" si="248">IF(AS106="",0,IF(OR(1=RANK(AS506,AS$412:AS$790,0),(2=RANK(AS506,AS$412:AS$790,0))),AS506,AS106))</f>
        <v>#DIV/0!</v>
      </c>
      <c r="AT906" s="1044" t="e">
        <f t="shared" si="248"/>
        <v>#DIV/0!</v>
      </c>
      <c r="AU906" s="1044">
        <f t="shared" si="248"/>
        <v>0</v>
      </c>
      <c r="AV906" s="1044" t="e">
        <f t="shared" si="248"/>
        <v>#DIV/0!</v>
      </c>
      <c r="AW906" s="1044" t="e">
        <f t="shared" si="248"/>
        <v>#DIV/0!</v>
      </c>
      <c r="AX906" s="1044" t="e">
        <f t="shared" si="248"/>
        <v>#DIV/0!</v>
      </c>
      <c r="AY906" s="1044" t="e">
        <f t="shared" si="248"/>
        <v>#DIV/0!</v>
      </c>
      <c r="AZ906" s="1061" t="s">
        <v>21</v>
      </c>
      <c r="BC906" s="29"/>
      <c r="BD906" s="29"/>
      <c r="BE906" s="13"/>
      <c r="BL906" s="368"/>
    </row>
    <row r="907" spans="1:64" ht="12" customHeight="1" x14ac:dyDescent="0.2">
      <c r="A907" s="39">
        <f>acute_overview_children!A107</f>
        <v>4</v>
      </c>
      <c r="B907" s="23">
        <f t="shared" si="185"/>
        <v>213010</v>
      </c>
      <c r="C907" s="23" t="str">
        <f t="shared" si="186"/>
        <v>Beetroots</v>
      </c>
      <c r="D907" s="135"/>
      <c r="E907" s="1027"/>
      <c r="F907" s="87"/>
      <c r="G907" s="87"/>
      <c r="H907" s="1027"/>
      <c r="I907" s="1030"/>
      <c r="J907" s="1039" t="e">
        <f t="shared" ref="J907:AR907" si="249">IF(J107="",0,IF(OR(1=RANK(J507,J$412:J$790,0),(2=RANK(J507,J$412:J$790,0))),J507,J107))</f>
        <v>#DIV/0!</v>
      </c>
      <c r="K907" s="1040" t="e">
        <f t="shared" si="249"/>
        <v>#DIV/0!</v>
      </c>
      <c r="L907" s="1040" t="e">
        <f t="shared" si="249"/>
        <v>#DIV/0!</v>
      </c>
      <c r="M907" s="1040" t="e">
        <f t="shared" si="249"/>
        <v>#DIV/0!</v>
      </c>
      <c r="N907" s="1040" t="e">
        <f t="shared" si="249"/>
        <v>#DIV/0!</v>
      </c>
      <c r="O907" s="1040" t="e">
        <f t="shared" si="249"/>
        <v>#DIV/0!</v>
      </c>
      <c r="P907" s="1040" t="e">
        <f t="shared" si="249"/>
        <v>#DIV/0!</v>
      </c>
      <c r="Q907" s="1040" t="e">
        <f t="shared" si="249"/>
        <v>#DIV/0!</v>
      </c>
      <c r="R907" s="1040" t="e">
        <f t="shared" si="249"/>
        <v>#DIV/0!</v>
      </c>
      <c r="S907" s="1040" t="e">
        <f t="shared" si="249"/>
        <v>#DIV/0!</v>
      </c>
      <c r="T907" s="1040" t="e">
        <f t="shared" si="249"/>
        <v>#DIV/0!</v>
      </c>
      <c r="U907" s="1040" t="e">
        <f t="shared" si="249"/>
        <v>#DIV/0!</v>
      </c>
      <c r="V907" s="1040" t="e">
        <f t="shared" si="249"/>
        <v>#DIV/0!</v>
      </c>
      <c r="W907" s="1040" t="e">
        <f t="shared" si="249"/>
        <v>#DIV/0!</v>
      </c>
      <c r="X907" s="1040" t="e">
        <f t="shared" si="249"/>
        <v>#DIV/0!</v>
      </c>
      <c r="Y907" s="1040" t="e">
        <f t="shared" si="249"/>
        <v>#DIV/0!</v>
      </c>
      <c r="Z907" s="1040" t="e">
        <f t="shared" si="249"/>
        <v>#DIV/0!</v>
      </c>
      <c r="AA907" s="1040" t="e">
        <f t="shared" si="249"/>
        <v>#DIV/0!</v>
      </c>
      <c r="AB907" s="1040" t="e">
        <f t="shared" si="249"/>
        <v>#DIV/0!</v>
      </c>
      <c r="AC907" s="1040" t="e">
        <f t="shared" si="249"/>
        <v>#DIV/0!</v>
      </c>
      <c r="AD907" s="1040" t="e">
        <f t="shared" si="249"/>
        <v>#DIV/0!</v>
      </c>
      <c r="AE907" s="1040" t="e">
        <f t="shared" si="249"/>
        <v>#DIV/0!</v>
      </c>
      <c r="AF907" s="1040" t="e">
        <f t="shared" si="249"/>
        <v>#DIV/0!</v>
      </c>
      <c r="AG907" s="1040" t="e">
        <f t="shared" si="249"/>
        <v>#DIV/0!</v>
      </c>
      <c r="AH907" s="1040" t="e">
        <f t="shared" si="249"/>
        <v>#DIV/0!</v>
      </c>
      <c r="AI907" s="1040" t="e">
        <f t="shared" si="249"/>
        <v>#DIV/0!</v>
      </c>
      <c r="AJ907" s="1040" t="e">
        <f t="shared" si="249"/>
        <v>#DIV/0!</v>
      </c>
      <c r="AK907" s="1040" t="e">
        <f t="shared" si="249"/>
        <v>#DIV/0!</v>
      </c>
      <c r="AL907" s="1040" t="e">
        <f t="shared" si="249"/>
        <v>#DIV/0!</v>
      </c>
      <c r="AM907" s="1040" t="e">
        <f t="shared" si="249"/>
        <v>#DIV/0!</v>
      </c>
      <c r="AN907" s="1040" t="e">
        <f t="shared" si="249"/>
        <v>#DIV/0!</v>
      </c>
      <c r="AO907" s="1040" t="e">
        <f t="shared" si="249"/>
        <v>#DIV/0!</v>
      </c>
      <c r="AP907" s="1040" t="e">
        <f t="shared" si="249"/>
        <v>#DIV/0!</v>
      </c>
      <c r="AQ907" s="1040" t="e">
        <f t="shared" si="249"/>
        <v>#DIV/0!</v>
      </c>
      <c r="AR907" s="1040" t="e">
        <f t="shared" si="249"/>
        <v>#DIV/0!</v>
      </c>
      <c r="AS907" s="1040" t="e">
        <f t="shared" ref="AS907:AY907" si="250">IF(AS107="",0,IF(OR(1=RANK(AS507,AS$412:AS$790,0),(2=RANK(AS507,AS$412:AS$790,0))),AS507,AS107))</f>
        <v>#DIV/0!</v>
      </c>
      <c r="AT907" s="1040" t="e">
        <f t="shared" si="250"/>
        <v>#DIV/0!</v>
      </c>
      <c r="AU907" s="1040">
        <f t="shared" si="250"/>
        <v>0</v>
      </c>
      <c r="AV907" s="1040" t="e">
        <f t="shared" si="250"/>
        <v>#DIV/0!</v>
      </c>
      <c r="AW907" s="1040" t="e">
        <f t="shared" si="250"/>
        <v>#DIV/0!</v>
      </c>
      <c r="AX907" s="1040" t="e">
        <f t="shared" si="250"/>
        <v>#DIV/0!</v>
      </c>
      <c r="AY907" s="1040" t="e">
        <f t="shared" si="250"/>
        <v>#DIV/0!</v>
      </c>
      <c r="AZ907" s="1061" t="s">
        <v>21</v>
      </c>
      <c r="BC907" s="29"/>
      <c r="BD907" s="29"/>
      <c r="BE907" s="13"/>
      <c r="BL907" s="368"/>
    </row>
    <row r="908" spans="1:64" ht="12" customHeight="1" x14ac:dyDescent="0.2">
      <c r="A908" s="39">
        <f>acute_overview_children!A108</f>
        <v>4</v>
      </c>
      <c r="B908" s="23">
        <f t="shared" si="185"/>
        <v>213020</v>
      </c>
      <c r="C908" s="23" t="str">
        <f t="shared" si="186"/>
        <v>Carrots</v>
      </c>
      <c r="D908" s="135"/>
      <c r="E908" s="1027"/>
      <c r="F908" s="87"/>
      <c r="G908" s="87"/>
      <c r="H908" s="1027"/>
      <c r="I908" s="1030"/>
      <c r="J908" s="1039" t="e">
        <f t="shared" ref="J908:AR908" si="251">IF(J108="",0,IF(OR(1=RANK(J508,J$412:J$790,0),(2=RANK(J508,J$412:J$790,0))),J508,J108))</f>
        <v>#DIV/0!</v>
      </c>
      <c r="K908" s="1040" t="e">
        <f t="shared" si="251"/>
        <v>#DIV/0!</v>
      </c>
      <c r="L908" s="1040" t="e">
        <f t="shared" si="251"/>
        <v>#DIV/0!</v>
      </c>
      <c r="M908" s="1040" t="e">
        <f t="shared" si="251"/>
        <v>#DIV/0!</v>
      </c>
      <c r="N908" s="1040" t="e">
        <f t="shared" si="251"/>
        <v>#DIV/0!</v>
      </c>
      <c r="O908" s="1040" t="e">
        <f t="shared" si="251"/>
        <v>#DIV/0!</v>
      </c>
      <c r="P908" s="1040" t="e">
        <f t="shared" si="251"/>
        <v>#DIV/0!</v>
      </c>
      <c r="Q908" s="1040" t="e">
        <f t="shared" si="251"/>
        <v>#DIV/0!</v>
      </c>
      <c r="R908" s="1040" t="e">
        <f t="shared" si="251"/>
        <v>#DIV/0!</v>
      </c>
      <c r="S908" s="1040" t="e">
        <f t="shared" si="251"/>
        <v>#DIV/0!</v>
      </c>
      <c r="T908" s="1040" t="e">
        <f t="shared" si="251"/>
        <v>#DIV/0!</v>
      </c>
      <c r="U908" s="1040" t="e">
        <f t="shared" si="251"/>
        <v>#DIV/0!</v>
      </c>
      <c r="V908" s="1040" t="e">
        <f t="shared" si="251"/>
        <v>#DIV/0!</v>
      </c>
      <c r="W908" s="1040" t="e">
        <f t="shared" si="251"/>
        <v>#DIV/0!</v>
      </c>
      <c r="X908" s="1040" t="e">
        <f t="shared" si="251"/>
        <v>#DIV/0!</v>
      </c>
      <c r="Y908" s="1040" t="e">
        <f t="shared" si="251"/>
        <v>#DIV/0!</v>
      </c>
      <c r="Z908" s="1040" t="e">
        <f t="shared" si="251"/>
        <v>#DIV/0!</v>
      </c>
      <c r="AA908" s="1040" t="e">
        <f t="shared" si="251"/>
        <v>#DIV/0!</v>
      </c>
      <c r="AB908" s="1040" t="e">
        <f t="shared" si="251"/>
        <v>#DIV/0!</v>
      </c>
      <c r="AC908" s="1040" t="e">
        <f t="shared" si="251"/>
        <v>#DIV/0!</v>
      </c>
      <c r="AD908" s="1040" t="e">
        <f t="shared" si="251"/>
        <v>#DIV/0!</v>
      </c>
      <c r="AE908" s="1040" t="e">
        <f t="shared" si="251"/>
        <v>#DIV/0!</v>
      </c>
      <c r="AF908" s="1040" t="e">
        <f t="shared" si="251"/>
        <v>#DIV/0!</v>
      </c>
      <c r="AG908" s="1040" t="e">
        <f t="shared" si="251"/>
        <v>#DIV/0!</v>
      </c>
      <c r="AH908" s="1040" t="e">
        <f t="shared" si="251"/>
        <v>#DIV/0!</v>
      </c>
      <c r="AI908" s="1040" t="e">
        <f t="shared" si="251"/>
        <v>#DIV/0!</v>
      </c>
      <c r="AJ908" s="1040" t="e">
        <f t="shared" si="251"/>
        <v>#DIV/0!</v>
      </c>
      <c r="AK908" s="1040" t="e">
        <f t="shared" si="251"/>
        <v>#DIV/0!</v>
      </c>
      <c r="AL908" s="1040" t="e">
        <f t="shared" si="251"/>
        <v>#DIV/0!</v>
      </c>
      <c r="AM908" s="1040" t="e">
        <f t="shared" si="251"/>
        <v>#DIV/0!</v>
      </c>
      <c r="AN908" s="1040" t="e">
        <f t="shared" si="251"/>
        <v>#DIV/0!</v>
      </c>
      <c r="AO908" s="1040" t="e">
        <f t="shared" si="251"/>
        <v>#DIV/0!</v>
      </c>
      <c r="AP908" s="1040" t="e">
        <f t="shared" si="251"/>
        <v>#DIV/0!</v>
      </c>
      <c r="AQ908" s="1040" t="e">
        <f t="shared" si="251"/>
        <v>#DIV/0!</v>
      </c>
      <c r="AR908" s="1040" t="e">
        <f t="shared" si="251"/>
        <v>#DIV/0!</v>
      </c>
      <c r="AS908" s="1040" t="e">
        <f t="shared" ref="AS908:AY908" si="252">IF(AS108="",0,IF(OR(1=RANK(AS508,AS$412:AS$790,0),(2=RANK(AS508,AS$412:AS$790,0))),AS508,AS108))</f>
        <v>#DIV/0!</v>
      </c>
      <c r="AT908" s="1040" t="e">
        <f t="shared" si="252"/>
        <v>#DIV/0!</v>
      </c>
      <c r="AU908" s="1040">
        <f t="shared" si="252"/>
        <v>0</v>
      </c>
      <c r="AV908" s="1040" t="e">
        <f t="shared" si="252"/>
        <v>#DIV/0!</v>
      </c>
      <c r="AW908" s="1040" t="e">
        <f t="shared" si="252"/>
        <v>#DIV/0!</v>
      </c>
      <c r="AX908" s="1040" t="e">
        <f t="shared" si="252"/>
        <v>#DIV/0!</v>
      </c>
      <c r="AY908" s="1040" t="e">
        <f t="shared" si="252"/>
        <v>#DIV/0!</v>
      </c>
      <c r="AZ908" s="1061" t="s">
        <v>21</v>
      </c>
      <c r="BC908" s="29"/>
      <c r="BD908" s="29"/>
      <c r="BE908" s="13"/>
      <c r="BL908" s="368"/>
    </row>
    <row r="909" spans="1:64" ht="12" customHeight="1" x14ac:dyDescent="0.2">
      <c r="A909" s="39">
        <f>acute_overview_children!A109</f>
        <v>4</v>
      </c>
      <c r="B909" s="23">
        <f t="shared" si="185"/>
        <v>213030</v>
      </c>
      <c r="C909" s="23" t="str">
        <f t="shared" si="186"/>
        <v>Celeriacs/turnip rooted celeries</v>
      </c>
      <c r="D909" s="135"/>
      <c r="E909" s="1027"/>
      <c r="F909" s="87"/>
      <c r="G909" s="87"/>
      <c r="H909" s="1027"/>
      <c r="I909" s="1030"/>
      <c r="J909" s="1039" t="e">
        <f t="shared" ref="J909:AR909" si="253">IF(J109="",0,IF(OR(1=RANK(J509,J$412:J$790,0),(2=RANK(J509,J$412:J$790,0))),J509,J109))</f>
        <v>#DIV/0!</v>
      </c>
      <c r="K909" s="1040" t="e">
        <f t="shared" si="253"/>
        <v>#DIV/0!</v>
      </c>
      <c r="L909" s="1040" t="e">
        <f t="shared" si="253"/>
        <v>#DIV/0!</v>
      </c>
      <c r="M909" s="1040" t="e">
        <f t="shared" si="253"/>
        <v>#DIV/0!</v>
      </c>
      <c r="N909" s="1040" t="e">
        <f t="shared" si="253"/>
        <v>#DIV/0!</v>
      </c>
      <c r="O909" s="1040" t="e">
        <f t="shared" si="253"/>
        <v>#DIV/0!</v>
      </c>
      <c r="P909" s="1040" t="e">
        <f t="shared" si="253"/>
        <v>#DIV/0!</v>
      </c>
      <c r="Q909" s="1040" t="e">
        <f t="shared" si="253"/>
        <v>#DIV/0!</v>
      </c>
      <c r="R909" s="1040" t="e">
        <f t="shared" si="253"/>
        <v>#DIV/0!</v>
      </c>
      <c r="S909" s="1040" t="e">
        <f t="shared" si="253"/>
        <v>#DIV/0!</v>
      </c>
      <c r="T909" s="1040" t="e">
        <f t="shared" si="253"/>
        <v>#DIV/0!</v>
      </c>
      <c r="U909" s="1040" t="e">
        <f t="shared" si="253"/>
        <v>#DIV/0!</v>
      </c>
      <c r="V909" s="1040" t="e">
        <f t="shared" si="253"/>
        <v>#DIV/0!</v>
      </c>
      <c r="W909" s="1040" t="e">
        <f t="shared" si="253"/>
        <v>#DIV/0!</v>
      </c>
      <c r="X909" s="1040" t="e">
        <f t="shared" si="253"/>
        <v>#DIV/0!</v>
      </c>
      <c r="Y909" s="1040" t="e">
        <f t="shared" si="253"/>
        <v>#DIV/0!</v>
      </c>
      <c r="Z909" s="1040" t="e">
        <f t="shared" si="253"/>
        <v>#DIV/0!</v>
      </c>
      <c r="AA909" s="1040" t="e">
        <f t="shared" si="253"/>
        <v>#DIV/0!</v>
      </c>
      <c r="AB909" s="1040" t="e">
        <f t="shared" si="253"/>
        <v>#DIV/0!</v>
      </c>
      <c r="AC909" s="1040" t="e">
        <f t="shared" si="253"/>
        <v>#DIV/0!</v>
      </c>
      <c r="AD909" s="1040" t="e">
        <f t="shared" si="253"/>
        <v>#DIV/0!</v>
      </c>
      <c r="AE909" s="1040" t="e">
        <f t="shared" si="253"/>
        <v>#DIV/0!</v>
      </c>
      <c r="AF909" s="1040" t="e">
        <f t="shared" si="253"/>
        <v>#DIV/0!</v>
      </c>
      <c r="AG909" s="1040" t="e">
        <f t="shared" si="253"/>
        <v>#DIV/0!</v>
      </c>
      <c r="AH909" s="1040" t="e">
        <f t="shared" si="253"/>
        <v>#DIV/0!</v>
      </c>
      <c r="AI909" s="1040" t="e">
        <f t="shared" si="253"/>
        <v>#DIV/0!</v>
      </c>
      <c r="AJ909" s="1040" t="e">
        <f t="shared" si="253"/>
        <v>#DIV/0!</v>
      </c>
      <c r="AK909" s="1040" t="e">
        <f t="shared" si="253"/>
        <v>#DIV/0!</v>
      </c>
      <c r="AL909" s="1040" t="e">
        <f t="shared" si="253"/>
        <v>#DIV/0!</v>
      </c>
      <c r="AM909" s="1040" t="e">
        <f t="shared" si="253"/>
        <v>#DIV/0!</v>
      </c>
      <c r="AN909" s="1040" t="e">
        <f t="shared" si="253"/>
        <v>#DIV/0!</v>
      </c>
      <c r="AO909" s="1040" t="e">
        <f t="shared" si="253"/>
        <v>#DIV/0!</v>
      </c>
      <c r="AP909" s="1040" t="e">
        <f t="shared" si="253"/>
        <v>#DIV/0!</v>
      </c>
      <c r="AQ909" s="1040" t="e">
        <f t="shared" si="253"/>
        <v>#DIV/0!</v>
      </c>
      <c r="AR909" s="1040" t="e">
        <f t="shared" si="253"/>
        <v>#DIV/0!</v>
      </c>
      <c r="AS909" s="1040" t="e">
        <f t="shared" ref="AS909:AY909" si="254">IF(AS109="",0,IF(OR(1=RANK(AS509,AS$412:AS$790,0),(2=RANK(AS509,AS$412:AS$790,0))),AS509,AS109))</f>
        <v>#DIV/0!</v>
      </c>
      <c r="AT909" s="1040" t="e">
        <f t="shared" si="254"/>
        <v>#DIV/0!</v>
      </c>
      <c r="AU909" s="1040">
        <f t="shared" si="254"/>
        <v>0</v>
      </c>
      <c r="AV909" s="1040" t="e">
        <f t="shared" si="254"/>
        <v>#DIV/0!</v>
      </c>
      <c r="AW909" s="1040" t="e">
        <f t="shared" si="254"/>
        <v>#DIV/0!</v>
      </c>
      <c r="AX909" s="1040" t="e">
        <f t="shared" si="254"/>
        <v>#DIV/0!</v>
      </c>
      <c r="AY909" s="1040" t="e">
        <f t="shared" si="254"/>
        <v>#DIV/0!</v>
      </c>
      <c r="AZ909" s="1061" t="s">
        <v>21</v>
      </c>
      <c r="BC909" s="29"/>
      <c r="BD909" s="29"/>
      <c r="BE909" s="13"/>
      <c r="BL909" s="368"/>
    </row>
    <row r="910" spans="1:64" ht="12" customHeight="1" x14ac:dyDescent="0.2">
      <c r="A910" s="39">
        <f>acute_overview_children!A110</f>
        <v>4</v>
      </c>
      <c r="B910" s="23">
        <f t="shared" si="185"/>
        <v>213040</v>
      </c>
      <c r="C910" s="23" t="str">
        <f t="shared" si="186"/>
        <v>Horseradishes</v>
      </c>
      <c r="D910" s="135"/>
      <c r="E910" s="1027"/>
      <c r="F910" s="87"/>
      <c r="G910" s="87"/>
      <c r="H910" s="1027"/>
      <c r="I910" s="1030"/>
      <c r="J910" s="1039" t="e">
        <f t="shared" ref="J910:AR910" si="255">IF(J110="",0,IF(OR(1=RANK(J510,J$412:J$790,0),(2=RANK(J510,J$412:J$790,0))),J510,J110))</f>
        <v>#DIV/0!</v>
      </c>
      <c r="K910" s="1040" t="e">
        <f t="shared" si="255"/>
        <v>#DIV/0!</v>
      </c>
      <c r="L910" s="1040" t="e">
        <f t="shared" si="255"/>
        <v>#DIV/0!</v>
      </c>
      <c r="M910" s="1040" t="e">
        <f t="shared" si="255"/>
        <v>#DIV/0!</v>
      </c>
      <c r="N910" s="1040" t="e">
        <f t="shared" si="255"/>
        <v>#DIV/0!</v>
      </c>
      <c r="O910" s="1040" t="e">
        <f t="shared" si="255"/>
        <v>#DIV/0!</v>
      </c>
      <c r="P910" s="1040" t="e">
        <f t="shared" si="255"/>
        <v>#DIV/0!</v>
      </c>
      <c r="Q910" s="1040" t="e">
        <f t="shared" si="255"/>
        <v>#DIV/0!</v>
      </c>
      <c r="R910" s="1040" t="e">
        <f t="shared" si="255"/>
        <v>#DIV/0!</v>
      </c>
      <c r="S910" s="1040" t="e">
        <f t="shared" si="255"/>
        <v>#DIV/0!</v>
      </c>
      <c r="T910" s="1040" t="e">
        <f t="shared" si="255"/>
        <v>#DIV/0!</v>
      </c>
      <c r="U910" s="1040" t="e">
        <f t="shared" si="255"/>
        <v>#DIV/0!</v>
      </c>
      <c r="V910" s="1040" t="e">
        <f t="shared" si="255"/>
        <v>#DIV/0!</v>
      </c>
      <c r="W910" s="1040" t="e">
        <f t="shared" si="255"/>
        <v>#DIV/0!</v>
      </c>
      <c r="X910" s="1040" t="e">
        <f t="shared" si="255"/>
        <v>#DIV/0!</v>
      </c>
      <c r="Y910" s="1040" t="e">
        <f t="shared" si="255"/>
        <v>#DIV/0!</v>
      </c>
      <c r="Z910" s="1040" t="e">
        <f t="shared" si="255"/>
        <v>#DIV/0!</v>
      </c>
      <c r="AA910" s="1040" t="e">
        <f t="shared" si="255"/>
        <v>#DIV/0!</v>
      </c>
      <c r="AB910" s="1040" t="e">
        <f t="shared" si="255"/>
        <v>#DIV/0!</v>
      </c>
      <c r="AC910" s="1040" t="e">
        <f t="shared" si="255"/>
        <v>#DIV/0!</v>
      </c>
      <c r="AD910" s="1040" t="e">
        <f t="shared" si="255"/>
        <v>#DIV/0!</v>
      </c>
      <c r="AE910" s="1040" t="e">
        <f t="shared" si="255"/>
        <v>#DIV/0!</v>
      </c>
      <c r="AF910" s="1040" t="e">
        <f t="shared" si="255"/>
        <v>#DIV/0!</v>
      </c>
      <c r="AG910" s="1040" t="e">
        <f t="shared" si="255"/>
        <v>#DIV/0!</v>
      </c>
      <c r="AH910" s="1040" t="e">
        <f t="shared" si="255"/>
        <v>#DIV/0!</v>
      </c>
      <c r="AI910" s="1040" t="e">
        <f t="shared" si="255"/>
        <v>#DIV/0!</v>
      </c>
      <c r="AJ910" s="1040" t="e">
        <f t="shared" si="255"/>
        <v>#DIV/0!</v>
      </c>
      <c r="AK910" s="1040" t="e">
        <f t="shared" si="255"/>
        <v>#DIV/0!</v>
      </c>
      <c r="AL910" s="1040" t="e">
        <f t="shared" si="255"/>
        <v>#DIV/0!</v>
      </c>
      <c r="AM910" s="1040" t="e">
        <f t="shared" si="255"/>
        <v>#DIV/0!</v>
      </c>
      <c r="AN910" s="1040" t="e">
        <f t="shared" si="255"/>
        <v>#DIV/0!</v>
      </c>
      <c r="AO910" s="1040" t="e">
        <f t="shared" si="255"/>
        <v>#DIV/0!</v>
      </c>
      <c r="AP910" s="1040" t="e">
        <f t="shared" si="255"/>
        <v>#DIV/0!</v>
      </c>
      <c r="AQ910" s="1040" t="e">
        <f t="shared" si="255"/>
        <v>#DIV/0!</v>
      </c>
      <c r="AR910" s="1040" t="e">
        <f t="shared" si="255"/>
        <v>#DIV/0!</v>
      </c>
      <c r="AS910" s="1040" t="e">
        <f t="shared" ref="AS910:AY910" si="256">IF(AS110="",0,IF(OR(1=RANK(AS510,AS$412:AS$790,0),(2=RANK(AS510,AS$412:AS$790,0))),AS510,AS110))</f>
        <v>#DIV/0!</v>
      </c>
      <c r="AT910" s="1040" t="e">
        <f t="shared" si="256"/>
        <v>#DIV/0!</v>
      </c>
      <c r="AU910" s="1040">
        <f t="shared" si="256"/>
        <v>0</v>
      </c>
      <c r="AV910" s="1040" t="e">
        <f t="shared" si="256"/>
        <v>#DIV/0!</v>
      </c>
      <c r="AW910" s="1040" t="e">
        <f t="shared" si="256"/>
        <v>#DIV/0!</v>
      </c>
      <c r="AX910" s="1040" t="e">
        <f t="shared" si="256"/>
        <v>#DIV/0!</v>
      </c>
      <c r="AY910" s="1040" t="e">
        <f t="shared" si="256"/>
        <v>#DIV/0!</v>
      </c>
      <c r="AZ910" s="1061" t="s">
        <v>21</v>
      </c>
      <c r="BC910" s="29"/>
      <c r="BD910" s="29"/>
      <c r="BE910" s="13"/>
      <c r="BL910" s="368"/>
    </row>
    <row r="911" spans="1:64" ht="12" customHeight="1" x14ac:dyDescent="0.2">
      <c r="A911" s="39">
        <f>acute_overview_children!A111</f>
        <v>4</v>
      </c>
      <c r="B911" s="23">
        <f t="shared" si="185"/>
        <v>213050</v>
      </c>
      <c r="C911" s="23" t="str">
        <f t="shared" si="186"/>
        <v>Jerusalem artichokes</v>
      </c>
      <c r="D911" s="135"/>
      <c r="E911" s="1027"/>
      <c r="F911" s="87"/>
      <c r="G911" s="87"/>
      <c r="H911" s="1027"/>
      <c r="I911" s="1030"/>
      <c r="J911" s="1039" t="e">
        <f t="shared" ref="J911:AR911" si="257">IF(J111="",0,IF(OR(1=RANK(J511,J$412:J$790,0),(2=RANK(J511,J$412:J$790,0))),J511,J111))</f>
        <v>#DIV/0!</v>
      </c>
      <c r="K911" s="1040" t="e">
        <f t="shared" si="257"/>
        <v>#DIV/0!</v>
      </c>
      <c r="L911" s="1040" t="e">
        <f t="shared" si="257"/>
        <v>#DIV/0!</v>
      </c>
      <c r="M911" s="1040" t="e">
        <f t="shared" si="257"/>
        <v>#DIV/0!</v>
      </c>
      <c r="N911" s="1040" t="e">
        <f t="shared" si="257"/>
        <v>#DIV/0!</v>
      </c>
      <c r="O911" s="1040" t="e">
        <f t="shared" si="257"/>
        <v>#DIV/0!</v>
      </c>
      <c r="P911" s="1040" t="e">
        <f t="shared" si="257"/>
        <v>#DIV/0!</v>
      </c>
      <c r="Q911" s="1040" t="e">
        <f t="shared" si="257"/>
        <v>#DIV/0!</v>
      </c>
      <c r="R911" s="1040" t="e">
        <f t="shared" si="257"/>
        <v>#DIV/0!</v>
      </c>
      <c r="S911" s="1040" t="e">
        <f t="shared" si="257"/>
        <v>#DIV/0!</v>
      </c>
      <c r="T911" s="1040" t="e">
        <f t="shared" si="257"/>
        <v>#DIV/0!</v>
      </c>
      <c r="U911" s="1040" t="e">
        <f t="shared" si="257"/>
        <v>#DIV/0!</v>
      </c>
      <c r="V911" s="1040" t="e">
        <f t="shared" si="257"/>
        <v>#DIV/0!</v>
      </c>
      <c r="W911" s="1040" t="e">
        <f t="shared" si="257"/>
        <v>#DIV/0!</v>
      </c>
      <c r="X911" s="1040" t="e">
        <f t="shared" si="257"/>
        <v>#DIV/0!</v>
      </c>
      <c r="Y911" s="1040" t="e">
        <f t="shared" si="257"/>
        <v>#DIV/0!</v>
      </c>
      <c r="Z911" s="1040" t="e">
        <f t="shared" si="257"/>
        <v>#DIV/0!</v>
      </c>
      <c r="AA911" s="1040" t="e">
        <f t="shared" si="257"/>
        <v>#DIV/0!</v>
      </c>
      <c r="AB911" s="1040" t="e">
        <f t="shared" si="257"/>
        <v>#DIV/0!</v>
      </c>
      <c r="AC911" s="1040" t="e">
        <f t="shared" si="257"/>
        <v>#DIV/0!</v>
      </c>
      <c r="AD911" s="1040" t="e">
        <f t="shared" si="257"/>
        <v>#DIV/0!</v>
      </c>
      <c r="AE911" s="1040" t="e">
        <f t="shared" si="257"/>
        <v>#DIV/0!</v>
      </c>
      <c r="AF911" s="1040" t="e">
        <f t="shared" si="257"/>
        <v>#DIV/0!</v>
      </c>
      <c r="AG911" s="1040" t="e">
        <f t="shared" si="257"/>
        <v>#DIV/0!</v>
      </c>
      <c r="AH911" s="1040" t="e">
        <f t="shared" si="257"/>
        <v>#DIV/0!</v>
      </c>
      <c r="AI911" s="1040" t="e">
        <f t="shared" si="257"/>
        <v>#DIV/0!</v>
      </c>
      <c r="AJ911" s="1040" t="e">
        <f t="shared" si="257"/>
        <v>#DIV/0!</v>
      </c>
      <c r="AK911" s="1040" t="e">
        <f t="shared" si="257"/>
        <v>#DIV/0!</v>
      </c>
      <c r="AL911" s="1040" t="e">
        <f t="shared" si="257"/>
        <v>#DIV/0!</v>
      </c>
      <c r="AM911" s="1040" t="e">
        <f t="shared" si="257"/>
        <v>#DIV/0!</v>
      </c>
      <c r="AN911" s="1040" t="e">
        <f t="shared" si="257"/>
        <v>#DIV/0!</v>
      </c>
      <c r="AO911" s="1040" t="e">
        <f t="shared" si="257"/>
        <v>#DIV/0!</v>
      </c>
      <c r="AP911" s="1040" t="e">
        <f t="shared" si="257"/>
        <v>#DIV/0!</v>
      </c>
      <c r="AQ911" s="1040" t="e">
        <f t="shared" si="257"/>
        <v>#DIV/0!</v>
      </c>
      <c r="AR911" s="1040" t="e">
        <f t="shared" si="257"/>
        <v>#DIV/0!</v>
      </c>
      <c r="AS911" s="1040" t="e">
        <f t="shared" ref="AS911:AY911" si="258">IF(AS111="",0,IF(OR(1=RANK(AS511,AS$412:AS$790,0),(2=RANK(AS511,AS$412:AS$790,0))),AS511,AS111))</f>
        <v>#DIV/0!</v>
      </c>
      <c r="AT911" s="1040" t="e">
        <f t="shared" si="258"/>
        <v>#DIV/0!</v>
      </c>
      <c r="AU911" s="1040">
        <f t="shared" si="258"/>
        <v>0</v>
      </c>
      <c r="AV911" s="1040" t="e">
        <f t="shared" si="258"/>
        <v>#DIV/0!</v>
      </c>
      <c r="AW911" s="1040" t="e">
        <f t="shared" si="258"/>
        <v>#DIV/0!</v>
      </c>
      <c r="AX911" s="1040" t="e">
        <f t="shared" si="258"/>
        <v>#DIV/0!</v>
      </c>
      <c r="AY911" s="1040" t="e">
        <f t="shared" si="258"/>
        <v>#DIV/0!</v>
      </c>
      <c r="AZ911" s="1061" t="s">
        <v>21</v>
      </c>
      <c r="BC911" s="29"/>
      <c r="BD911" s="29"/>
      <c r="BE911" s="13"/>
      <c r="BL911" s="368"/>
    </row>
    <row r="912" spans="1:64" ht="12" customHeight="1" x14ac:dyDescent="0.2">
      <c r="A912" s="39">
        <f>acute_overview_children!A112</f>
        <v>4</v>
      </c>
      <c r="B912" s="23">
        <f t="shared" si="185"/>
        <v>213060</v>
      </c>
      <c r="C912" s="23" t="str">
        <f t="shared" si="186"/>
        <v>Parsnips</v>
      </c>
      <c r="D912" s="135"/>
      <c r="E912" s="1027"/>
      <c r="F912" s="87"/>
      <c r="G912" s="87"/>
      <c r="H912" s="1027"/>
      <c r="I912" s="1030"/>
      <c r="J912" s="1039" t="e">
        <f t="shared" ref="J912:AR912" si="259">IF(J112="",0,IF(OR(1=RANK(J512,J$412:J$790,0),(2=RANK(J512,J$412:J$790,0))),J512,J112))</f>
        <v>#DIV/0!</v>
      </c>
      <c r="K912" s="1040" t="e">
        <f t="shared" si="259"/>
        <v>#DIV/0!</v>
      </c>
      <c r="L912" s="1040" t="e">
        <f t="shared" si="259"/>
        <v>#DIV/0!</v>
      </c>
      <c r="M912" s="1040" t="e">
        <f t="shared" si="259"/>
        <v>#DIV/0!</v>
      </c>
      <c r="N912" s="1040" t="e">
        <f t="shared" si="259"/>
        <v>#DIV/0!</v>
      </c>
      <c r="O912" s="1040" t="e">
        <f t="shared" si="259"/>
        <v>#DIV/0!</v>
      </c>
      <c r="P912" s="1040" t="e">
        <f t="shared" si="259"/>
        <v>#DIV/0!</v>
      </c>
      <c r="Q912" s="1040" t="e">
        <f t="shared" si="259"/>
        <v>#DIV/0!</v>
      </c>
      <c r="R912" s="1040" t="e">
        <f t="shared" si="259"/>
        <v>#DIV/0!</v>
      </c>
      <c r="S912" s="1040" t="e">
        <f t="shared" si="259"/>
        <v>#DIV/0!</v>
      </c>
      <c r="T912" s="1040" t="e">
        <f t="shared" si="259"/>
        <v>#DIV/0!</v>
      </c>
      <c r="U912" s="1040" t="e">
        <f t="shared" si="259"/>
        <v>#DIV/0!</v>
      </c>
      <c r="V912" s="1040" t="e">
        <f t="shared" si="259"/>
        <v>#DIV/0!</v>
      </c>
      <c r="W912" s="1040" t="e">
        <f t="shared" si="259"/>
        <v>#DIV/0!</v>
      </c>
      <c r="X912" s="1040" t="e">
        <f t="shared" si="259"/>
        <v>#DIV/0!</v>
      </c>
      <c r="Y912" s="1040" t="e">
        <f t="shared" si="259"/>
        <v>#DIV/0!</v>
      </c>
      <c r="Z912" s="1040" t="e">
        <f t="shared" si="259"/>
        <v>#DIV/0!</v>
      </c>
      <c r="AA912" s="1040" t="e">
        <f t="shared" si="259"/>
        <v>#DIV/0!</v>
      </c>
      <c r="AB912" s="1040" t="e">
        <f t="shared" si="259"/>
        <v>#DIV/0!</v>
      </c>
      <c r="AC912" s="1040" t="e">
        <f t="shared" si="259"/>
        <v>#DIV/0!</v>
      </c>
      <c r="AD912" s="1040" t="e">
        <f t="shared" si="259"/>
        <v>#DIV/0!</v>
      </c>
      <c r="AE912" s="1040" t="e">
        <f t="shared" si="259"/>
        <v>#DIV/0!</v>
      </c>
      <c r="AF912" s="1040" t="e">
        <f t="shared" si="259"/>
        <v>#DIV/0!</v>
      </c>
      <c r="AG912" s="1040" t="e">
        <f t="shared" si="259"/>
        <v>#DIV/0!</v>
      </c>
      <c r="AH912" s="1040" t="e">
        <f t="shared" si="259"/>
        <v>#DIV/0!</v>
      </c>
      <c r="AI912" s="1040" t="e">
        <f t="shared" si="259"/>
        <v>#DIV/0!</v>
      </c>
      <c r="AJ912" s="1040" t="e">
        <f t="shared" si="259"/>
        <v>#DIV/0!</v>
      </c>
      <c r="AK912" s="1040" t="e">
        <f t="shared" si="259"/>
        <v>#DIV/0!</v>
      </c>
      <c r="AL912" s="1040" t="e">
        <f t="shared" si="259"/>
        <v>#DIV/0!</v>
      </c>
      <c r="AM912" s="1040" t="e">
        <f t="shared" si="259"/>
        <v>#DIV/0!</v>
      </c>
      <c r="AN912" s="1040" t="e">
        <f t="shared" si="259"/>
        <v>#DIV/0!</v>
      </c>
      <c r="AO912" s="1040" t="e">
        <f t="shared" si="259"/>
        <v>#DIV/0!</v>
      </c>
      <c r="AP912" s="1040" t="e">
        <f t="shared" si="259"/>
        <v>#DIV/0!</v>
      </c>
      <c r="AQ912" s="1040" t="e">
        <f t="shared" si="259"/>
        <v>#DIV/0!</v>
      </c>
      <c r="AR912" s="1040" t="e">
        <f t="shared" si="259"/>
        <v>#DIV/0!</v>
      </c>
      <c r="AS912" s="1040" t="e">
        <f t="shared" ref="AS912:AY912" si="260">IF(AS112="",0,IF(OR(1=RANK(AS512,AS$412:AS$790,0),(2=RANK(AS512,AS$412:AS$790,0))),AS512,AS112))</f>
        <v>#DIV/0!</v>
      </c>
      <c r="AT912" s="1040" t="e">
        <f t="shared" si="260"/>
        <v>#DIV/0!</v>
      </c>
      <c r="AU912" s="1040">
        <f t="shared" si="260"/>
        <v>0</v>
      </c>
      <c r="AV912" s="1040" t="e">
        <f t="shared" si="260"/>
        <v>#DIV/0!</v>
      </c>
      <c r="AW912" s="1040" t="e">
        <f t="shared" si="260"/>
        <v>#DIV/0!</v>
      </c>
      <c r="AX912" s="1040" t="e">
        <f t="shared" si="260"/>
        <v>#DIV/0!</v>
      </c>
      <c r="AY912" s="1040" t="e">
        <f t="shared" si="260"/>
        <v>#DIV/0!</v>
      </c>
      <c r="AZ912" s="1061" t="s">
        <v>21</v>
      </c>
      <c r="BC912" s="29"/>
      <c r="BD912" s="29"/>
      <c r="BE912" s="13"/>
      <c r="BL912" s="368"/>
    </row>
    <row r="913" spans="1:64" ht="12" customHeight="1" x14ac:dyDescent="0.2">
      <c r="A913" s="39">
        <f>acute_overview_children!A113</f>
        <v>4</v>
      </c>
      <c r="B913" s="23">
        <f t="shared" si="185"/>
        <v>213070</v>
      </c>
      <c r="C913" s="23" t="str">
        <f t="shared" si="186"/>
        <v>Parsley roots/Hamburg roots parsley</v>
      </c>
      <c r="D913" s="135"/>
      <c r="E913" s="1027"/>
      <c r="F913" s="87"/>
      <c r="G913" s="87"/>
      <c r="H913" s="1027"/>
      <c r="I913" s="1030"/>
      <c r="J913" s="1039" t="e">
        <f t="shared" ref="J913:AR913" si="261">IF(J113="",0,IF(OR(1=RANK(J513,J$412:J$790,0),(2=RANK(J513,J$412:J$790,0))),J513,J113))</f>
        <v>#DIV/0!</v>
      </c>
      <c r="K913" s="1040" t="e">
        <f t="shared" si="261"/>
        <v>#DIV/0!</v>
      </c>
      <c r="L913" s="1040" t="e">
        <f t="shared" si="261"/>
        <v>#DIV/0!</v>
      </c>
      <c r="M913" s="1040" t="e">
        <f t="shared" si="261"/>
        <v>#DIV/0!</v>
      </c>
      <c r="N913" s="1040" t="e">
        <f t="shared" si="261"/>
        <v>#DIV/0!</v>
      </c>
      <c r="O913" s="1040" t="e">
        <f t="shared" si="261"/>
        <v>#DIV/0!</v>
      </c>
      <c r="P913" s="1040" t="e">
        <f t="shared" si="261"/>
        <v>#DIV/0!</v>
      </c>
      <c r="Q913" s="1040" t="e">
        <f t="shared" si="261"/>
        <v>#DIV/0!</v>
      </c>
      <c r="R913" s="1040" t="e">
        <f t="shared" si="261"/>
        <v>#DIV/0!</v>
      </c>
      <c r="S913" s="1040" t="e">
        <f t="shared" si="261"/>
        <v>#DIV/0!</v>
      </c>
      <c r="T913" s="1040" t="e">
        <f t="shared" si="261"/>
        <v>#DIV/0!</v>
      </c>
      <c r="U913" s="1040" t="e">
        <f t="shared" si="261"/>
        <v>#DIV/0!</v>
      </c>
      <c r="V913" s="1040" t="e">
        <f t="shared" si="261"/>
        <v>#DIV/0!</v>
      </c>
      <c r="W913" s="1040" t="e">
        <f t="shared" si="261"/>
        <v>#DIV/0!</v>
      </c>
      <c r="X913" s="1040" t="e">
        <f t="shared" si="261"/>
        <v>#DIV/0!</v>
      </c>
      <c r="Y913" s="1040" t="e">
        <f t="shared" si="261"/>
        <v>#DIV/0!</v>
      </c>
      <c r="Z913" s="1040" t="e">
        <f t="shared" si="261"/>
        <v>#DIV/0!</v>
      </c>
      <c r="AA913" s="1040" t="e">
        <f t="shared" si="261"/>
        <v>#DIV/0!</v>
      </c>
      <c r="AB913" s="1040" t="e">
        <f t="shared" si="261"/>
        <v>#DIV/0!</v>
      </c>
      <c r="AC913" s="1040" t="e">
        <f t="shared" si="261"/>
        <v>#DIV/0!</v>
      </c>
      <c r="AD913" s="1040" t="e">
        <f t="shared" si="261"/>
        <v>#DIV/0!</v>
      </c>
      <c r="AE913" s="1040" t="e">
        <f t="shared" si="261"/>
        <v>#DIV/0!</v>
      </c>
      <c r="AF913" s="1040" t="e">
        <f t="shared" si="261"/>
        <v>#DIV/0!</v>
      </c>
      <c r="AG913" s="1040" t="e">
        <f t="shared" si="261"/>
        <v>#DIV/0!</v>
      </c>
      <c r="AH913" s="1040" t="e">
        <f t="shared" si="261"/>
        <v>#DIV/0!</v>
      </c>
      <c r="AI913" s="1040" t="e">
        <f t="shared" si="261"/>
        <v>#DIV/0!</v>
      </c>
      <c r="AJ913" s="1040" t="e">
        <f t="shared" si="261"/>
        <v>#DIV/0!</v>
      </c>
      <c r="AK913" s="1040" t="e">
        <f t="shared" si="261"/>
        <v>#DIV/0!</v>
      </c>
      <c r="AL913" s="1040" t="e">
        <f t="shared" si="261"/>
        <v>#DIV/0!</v>
      </c>
      <c r="AM913" s="1040" t="e">
        <f t="shared" si="261"/>
        <v>#DIV/0!</v>
      </c>
      <c r="AN913" s="1040" t="e">
        <f t="shared" si="261"/>
        <v>#DIV/0!</v>
      </c>
      <c r="AO913" s="1040" t="e">
        <f t="shared" si="261"/>
        <v>#DIV/0!</v>
      </c>
      <c r="AP913" s="1040" t="e">
        <f t="shared" si="261"/>
        <v>#DIV/0!</v>
      </c>
      <c r="AQ913" s="1040" t="e">
        <f t="shared" si="261"/>
        <v>#DIV/0!</v>
      </c>
      <c r="AR913" s="1040" t="e">
        <f t="shared" si="261"/>
        <v>#DIV/0!</v>
      </c>
      <c r="AS913" s="1040" t="e">
        <f t="shared" ref="AS913:AY913" si="262">IF(AS113="",0,IF(OR(1=RANK(AS513,AS$412:AS$790,0),(2=RANK(AS513,AS$412:AS$790,0))),AS513,AS113))</f>
        <v>#DIV/0!</v>
      </c>
      <c r="AT913" s="1040" t="e">
        <f t="shared" si="262"/>
        <v>#DIV/0!</v>
      </c>
      <c r="AU913" s="1040">
        <f t="shared" si="262"/>
        <v>0</v>
      </c>
      <c r="AV913" s="1040" t="e">
        <f t="shared" si="262"/>
        <v>#DIV/0!</v>
      </c>
      <c r="AW913" s="1040" t="e">
        <f t="shared" si="262"/>
        <v>#DIV/0!</v>
      </c>
      <c r="AX913" s="1040" t="e">
        <f t="shared" si="262"/>
        <v>#DIV/0!</v>
      </c>
      <c r="AY913" s="1040" t="e">
        <f t="shared" si="262"/>
        <v>#DIV/0!</v>
      </c>
      <c r="AZ913" s="1061" t="s">
        <v>21</v>
      </c>
      <c r="BC913" s="29"/>
      <c r="BD913" s="29"/>
      <c r="BE913" s="13"/>
      <c r="BL913" s="368"/>
    </row>
    <row r="914" spans="1:64" ht="12" customHeight="1" x14ac:dyDescent="0.2">
      <c r="A914" s="39">
        <f>acute_overview_children!A114</f>
        <v>4</v>
      </c>
      <c r="B914" s="23">
        <f t="shared" si="185"/>
        <v>213080</v>
      </c>
      <c r="C914" s="23" t="str">
        <f t="shared" si="186"/>
        <v>Radishes</v>
      </c>
      <c r="D914" s="135"/>
      <c r="E914" s="1027"/>
      <c r="F914" s="87"/>
      <c r="G914" s="87"/>
      <c r="H914" s="1027"/>
      <c r="I914" s="1030"/>
      <c r="J914" s="1039" t="e">
        <f t="shared" ref="J914:AR914" si="263">IF(J114="",0,IF(OR(1=RANK(J514,J$412:J$790,0),(2=RANK(J514,J$412:J$790,0))),J514,J114))</f>
        <v>#DIV/0!</v>
      </c>
      <c r="K914" s="1040" t="e">
        <f t="shared" si="263"/>
        <v>#DIV/0!</v>
      </c>
      <c r="L914" s="1040" t="e">
        <f t="shared" si="263"/>
        <v>#DIV/0!</v>
      </c>
      <c r="M914" s="1040" t="e">
        <f t="shared" si="263"/>
        <v>#DIV/0!</v>
      </c>
      <c r="N914" s="1040" t="e">
        <f t="shared" si="263"/>
        <v>#DIV/0!</v>
      </c>
      <c r="O914" s="1040" t="e">
        <f t="shared" si="263"/>
        <v>#DIV/0!</v>
      </c>
      <c r="P914" s="1040" t="e">
        <f t="shared" si="263"/>
        <v>#DIV/0!</v>
      </c>
      <c r="Q914" s="1040" t="e">
        <f t="shared" si="263"/>
        <v>#DIV/0!</v>
      </c>
      <c r="R914" s="1040" t="e">
        <f t="shared" si="263"/>
        <v>#DIV/0!</v>
      </c>
      <c r="S914" s="1040" t="e">
        <f t="shared" si="263"/>
        <v>#DIV/0!</v>
      </c>
      <c r="T914" s="1040" t="e">
        <f t="shared" si="263"/>
        <v>#DIV/0!</v>
      </c>
      <c r="U914" s="1040" t="e">
        <f t="shared" si="263"/>
        <v>#DIV/0!</v>
      </c>
      <c r="V914" s="1040" t="e">
        <f t="shared" si="263"/>
        <v>#DIV/0!</v>
      </c>
      <c r="W914" s="1040" t="e">
        <f t="shared" si="263"/>
        <v>#DIV/0!</v>
      </c>
      <c r="X914" s="1040" t="e">
        <f t="shared" si="263"/>
        <v>#DIV/0!</v>
      </c>
      <c r="Y914" s="1040" t="e">
        <f t="shared" si="263"/>
        <v>#DIV/0!</v>
      </c>
      <c r="Z914" s="1040" t="e">
        <f t="shared" si="263"/>
        <v>#DIV/0!</v>
      </c>
      <c r="AA914" s="1040" t="e">
        <f t="shared" si="263"/>
        <v>#DIV/0!</v>
      </c>
      <c r="AB914" s="1040" t="e">
        <f t="shared" si="263"/>
        <v>#DIV/0!</v>
      </c>
      <c r="AC914" s="1040" t="e">
        <f t="shared" si="263"/>
        <v>#DIV/0!</v>
      </c>
      <c r="AD914" s="1040" t="e">
        <f t="shared" si="263"/>
        <v>#DIV/0!</v>
      </c>
      <c r="AE914" s="1040" t="e">
        <f t="shared" si="263"/>
        <v>#DIV/0!</v>
      </c>
      <c r="AF914" s="1040" t="e">
        <f t="shared" si="263"/>
        <v>#DIV/0!</v>
      </c>
      <c r="AG914" s="1040" t="e">
        <f t="shared" si="263"/>
        <v>#DIV/0!</v>
      </c>
      <c r="AH914" s="1040" t="e">
        <f t="shared" si="263"/>
        <v>#DIV/0!</v>
      </c>
      <c r="AI914" s="1040" t="e">
        <f t="shared" si="263"/>
        <v>#DIV/0!</v>
      </c>
      <c r="AJ914" s="1040" t="e">
        <f t="shared" si="263"/>
        <v>#DIV/0!</v>
      </c>
      <c r="AK914" s="1040" t="e">
        <f t="shared" si="263"/>
        <v>#DIV/0!</v>
      </c>
      <c r="AL914" s="1040" t="e">
        <f t="shared" si="263"/>
        <v>#DIV/0!</v>
      </c>
      <c r="AM914" s="1040" t="e">
        <f t="shared" si="263"/>
        <v>#DIV/0!</v>
      </c>
      <c r="AN914" s="1040" t="e">
        <f t="shared" si="263"/>
        <v>#DIV/0!</v>
      </c>
      <c r="AO914" s="1040" t="e">
        <f t="shared" si="263"/>
        <v>#DIV/0!</v>
      </c>
      <c r="AP914" s="1040" t="e">
        <f t="shared" si="263"/>
        <v>#DIV/0!</v>
      </c>
      <c r="AQ914" s="1040" t="e">
        <f t="shared" si="263"/>
        <v>#DIV/0!</v>
      </c>
      <c r="AR914" s="1040" t="e">
        <f t="shared" si="263"/>
        <v>#DIV/0!</v>
      </c>
      <c r="AS914" s="1040" t="e">
        <f t="shared" ref="AS914:AY914" si="264">IF(AS114="",0,IF(OR(1=RANK(AS514,AS$412:AS$790,0),(2=RANK(AS514,AS$412:AS$790,0))),AS514,AS114))</f>
        <v>#DIV/0!</v>
      </c>
      <c r="AT914" s="1040" t="e">
        <f t="shared" si="264"/>
        <v>#DIV/0!</v>
      </c>
      <c r="AU914" s="1040">
        <f t="shared" si="264"/>
        <v>0</v>
      </c>
      <c r="AV914" s="1040" t="e">
        <f t="shared" si="264"/>
        <v>#DIV/0!</v>
      </c>
      <c r="AW914" s="1040" t="e">
        <f t="shared" si="264"/>
        <v>#DIV/0!</v>
      </c>
      <c r="AX914" s="1040" t="e">
        <f t="shared" si="264"/>
        <v>#DIV/0!</v>
      </c>
      <c r="AY914" s="1040" t="e">
        <f t="shared" si="264"/>
        <v>#DIV/0!</v>
      </c>
      <c r="AZ914" s="1061" t="s">
        <v>21</v>
      </c>
      <c r="BC914" s="29"/>
      <c r="BD914" s="29"/>
      <c r="BE914" s="13"/>
      <c r="BL914" s="368"/>
    </row>
    <row r="915" spans="1:64" ht="12" customHeight="1" x14ac:dyDescent="0.2">
      <c r="A915" s="39">
        <f>acute_overview_children!A115</f>
        <v>4</v>
      </c>
      <c r="B915" s="23">
        <f t="shared" si="185"/>
        <v>213090</v>
      </c>
      <c r="C915" s="23" t="str">
        <f t="shared" si="186"/>
        <v>Salsifies</v>
      </c>
      <c r="D915" s="135"/>
      <c r="E915" s="1027"/>
      <c r="F915" s="87"/>
      <c r="G915" s="87"/>
      <c r="H915" s="1027"/>
      <c r="I915" s="1030"/>
      <c r="J915" s="1039" t="e">
        <f t="shared" ref="J915:AR915" si="265">IF(J115="",0,IF(OR(1=RANK(J515,J$412:J$790,0),(2=RANK(J515,J$412:J$790,0))),J515,J115))</f>
        <v>#DIV/0!</v>
      </c>
      <c r="K915" s="1040" t="e">
        <f t="shared" si="265"/>
        <v>#DIV/0!</v>
      </c>
      <c r="L915" s="1040" t="e">
        <f t="shared" si="265"/>
        <v>#DIV/0!</v>
      </c>
      <c r="M915" s="1040" t="e">
        <f t="shared" si="265"/>
        <v>#DIV/0!</v>
      </c>
      <c r="N915" s="1040" t="e">
        <f t="shared" si="265"/>
        <v>#DIV/0!</v>
      </c>
      <c r="O915" s="1040" t="e">
        <f t="shared" si="265"/>
        <v>#DIV/0!</v>
      </c>
      <c r="P915" s="1040" t="e">
        <f t="shared" si="265"/>
        <v>#DIV/0!</v>
      </c>
      <c r="Q915" s="1040" t="e">
        <f t="shared" si="265"/>
        <v>#DIV/0!</v>
      </c>
      <c r="R915" s="1040" t="e">
        <f t="shared" si="265"/>
        <v>#DIV/0!</v>
      </c>
      <c r="S915" s="1040" t="e">
        <f t="shared" si="265"/>
        <v>#DIV/0!</v>
      </c>
      <c r="T915" s="1040" t="e">
        <f t="shared" si="265"/>
        <v>#DIV/0!</v>
      </c>
      <c r="U915" s="1040" t="e">
        <f t="shared" si="265"/>
        <v>#DIV/0!</v>
      </c>
      <c r="V915" s="1040" t="e">
        <f t="shared" si="265"/>
        <v>#DIV/0!</v>
      </c>
      <c r="W915" s="1040" t="e">
        <f t="shared" si="265"/>
        <v>#DIV/0!</v>
      </c>
      <c r="X915" s="1040" t="e">
        <f t="shared" si="265"/>
        <v>#DIV/0!</v>
      </c>
      <c r="Y915" s="1040" t="e">
        <f t="shared" si="265"/>
        <v>#DIV/0!</v>
      </c>
      <c r="Z915" s="1040" t="e">
        <f t="shared" si="265"/>
        <v>#DIV/0!</v>
      </c>
      <c r="AA915" s="1040" t="e">
        <f t="shared" si="265"/>
        <v>#DIV/0!</v>
      </c>
      <c r="AB915" s="1040" t="e">
        <f t="shared" si="265"/>
        <v>#DIV/0!</v>
      </c>
      <c r="AC915" s="1040" t="e">
        <f t="shared" si="265"/>
        <v>#DIV/0!</v>
      </c>
      <c r="AD915" s="1040" t="e">
        <f t="shared" si="265"/>
        <v>#DIV/0!</v>
      </c>
      <c r="AE915" s="1040" t="e">
        <f t="shared" si="265"/>
        <v>#DIV/0!</v>
      </c>
      <c r="AF915" s="1040" t="e">
        <f t="shared" si="265"/>
        <v>#DIV/0!</v>
      </c>
      <c r="AG915" s="1040" t="e">
        <f t="shared" si="265"/>
        <v>#DIV/0!</v>
      </c>
      <c r="AH915" s="1040" t="e">
        <f t="shared" si="265"/>
        <v>#DIV/0!</v>
      </c>
      <c r="AI915" s="1040" t="e">
        <f t="shared" si="265"/>
        <v>#DIV/0!</v>
      </c>
      <c r="AJ915" s="1040" t="e">
        <f t="shared" si="265"/>
        <v>#DIV/0!</v>
      </c>
      <c r="AK915" s="1040" t="e">
        <f t="shared" si="265"/>
        <v>#DIV/0!</v>
      </c>
      <c r="AL915" s="1040" t="e">
        <f t="shared" si="265"/>
        <v>#DIV/0!</v>
      </c>
      <c r="AM915" s="1040" t="e">
        <f t="shared" si="265"/>
        <v>#DIV/0!</v>
      </c>
      <c r="AN915" s="1040" t="e">
        <f t="shared" si="265"/>
        <v>#DIV/0!</v>
      </c>
      <c r="AO915" s="1040" t="e">
        <f t="shared" si="265"/>
        <v>#DIV/0!</v>
      </c>
      <c r="AP915" s="1040" t="e">
        <f t="shared" si="265"/>
        <v>#DIV/0!</v>
      </c>
      <c r="AQ915" s="1040" t="e">
        <f t="shared" si="265"/>
        <v>#DIV/0!</v>
      </c>
      <c r="AR915" s="1040" t="e">
        <f t="shared" si="265"/>
        <v>#DIV/0!</v>
      </c>
      <c r="AS915" s="1040" t="e">
        <f t="shared" ref="AS915:AY915" si="266">IF(AS115="",0,IF(OR(1=RANK(AS515,AS$412:AS$790,0),(2=RANK(AS515,AS$412:AS$790,0))),AS515,AS115))</f>
        <v>#DIV/0!</v>
      </c>
      <c r="AT915" s="1040" t="e">
        <f t="shared" si="266"/>
        <v>#DIV/0!</v>
      </c>
      <c r="AU915" s="1040">
        <f t="shared" si="266"/>
        <v>0</v>
      </c>
      <c r="AV915" s="1040" t="e">
        <f t="shared" si="266"/>
        <v>#DIV/0!</v>
      </c>
      <c r="AW915" s="1040" t="e">
        <f t="shared" si="266"/>
        <v>#DIV/0!</v>
      </c>
      <c r="AX915" s="1040" t="e">
        <f t="shared" si="266"/>
        <v>#DIV/0!</v>
      </c>
      <c r="AY915" s="1040" t="e">
        <f t="shared" si="266"/>
        <v>#DIV/0!</v>
      </c>
      <c r="AZ915" s="1061" t="s">
        <v>21</v>
      </c>
      <c r="BC915" s="29"/>
      <c r="BD915" s="29"/>
      <c r="BE915" s="13"/>
      <c r="BL915" s="368"/>
    </row>
    <row r="916" spans="1:64" ht="12" customHeight="1" x14ac:dyDescent="0.2">
      <c r="A916" s="39">
        <f>acute_overview_children!A116</f>
        <v>4</v>
      </c>
      <c r="B916" s="23">
        <f t="shared" si="185"/>
        <v>213100</v>
      </c>
      <c r="C916" s="23" t="str">
        <f t="shared" si="186"/>
        <v>Swedes/rutabagas</v>
      </c>
      <c r="D916" s="135"/>
      <c r="E916" s="1027"/>
      <c r="F916" s="87"/>
      <c r="G916" s="87"/>
      <c r="H916" s="1027"/>
      <c r="I916" s="1030"/>
      <c r="J916" s="1039" t="e">
        <f t="shared" ref="J916:AR916" si="267">IF(J116="",0,IF(OR(1=RANK(J516,J$412:J$790,0),(2=RANK(J516,J$412:J$790,0))),J516,J116))</f>
        <v>#DIV/0!</v>
      </c>
      <c r="K916" s="1040" t="e">
        <f t="shared" si="267"/>
        <v>#DIV/0!</v>
      </c>
      <c r="L916" s="1040" t="e">
        <f t="shared" si="267"/>
        <v>#DIV/0!</v>
      </c>
      <c r="M916" s="1040" t="e">
        <f t="shared" si="267"/>
        <v>#DIV/0!</v>
      </c>
      <c r="N916" s="1040" t="e">
        <f t="shared" si="267"/>
        <v>#DIV/0!</v>
      </c>
      <c r="O916" s="1040" t="e">
        <f t="shared" si="267"/>
        <v>#DIV/0!</v>
      </c>
      <c r="P916" s="1040" t="e">
        <f t="shared" si="267"/>
        <v>#DIV/0!</v>
      </c>
      <c r="Q916" s="1040" t="e">
        <f t="shared" si="267"/>
        <v>#DIV/0!</v>
      </c>
      <c r="R916" s="1040" t="e">
        <f t="shared" si="267"/>
        <v>#DIV/0!</v>
      </c>
      <c r="S916" s="1040" t="e">
        <f t="shared" si="267"/>
        <v>#DIV/0!</v>
      </c>
      <c r="T916" s="1040" t="e">
        <f t="shared" si="267"/>
        <v>#DIV/0!</v>
      </c>
      <c r="U916" s="1040" t="e">
        <f t="shared" si="267"/>
        <v>#DIV/0!</v>
      </c>
      <c r="V916" s="1040" t="e">
        <f t="shared" si="267"/>
        <v>#DIV/0!</v>
      </c>
      <c r="W916" s="1040" t="e">
        <f t="shared" si="267"/>
        <v>#DIV/0!</v>
      </c>
      <c r="X916" s="1040" t="e">
        <f t="shared" si="267"/>
        <v>#DIV/0!</v>
      </c>
      <c r="Y916" s="1040" t="e">
        <f t="shared" si="267"/>
        <v>#DIV/0!</v>
      </c>
      <c r="Z916" s="1040" t="e">
        <f t="shared" si="267"/>
        <v>#DIV/0!</v>
      </c>
      <c r="AA916" s="1040" t="e">
        <f t="shared" si="267"/>
        <v>#DIV/0!</v>
      </c>
      <c r="AB916" s="1040" t="e">
        <f t="shared" si="267"/>
        <v>#DIV/0!</v>
      </c>
      <c r="AC916" s="1040" t="e">
        <f t="shared" si="267"/>
        <v>#DIV/0!</v>
      </c>
      <c r="AD916" s="1040" t="e">
        <f t="shared" si="267"/>
        <v>#DIV/0!</v>
      </c>
      <c r="AE916" s="1040" t="e">
        <f t="shared" si="267"/>
        <v>#DIV/0!</v>
      </c>
      <c r="AF916" s="1040" t="e">
        <f t="shared" si="267"/>
        <v>#DIV/0!</v>
      </c>
      <c r="AG916" s="1040" t="e">
        <f t="shared" si="267"/>
        <v>#DIV/0!</v>
      </c>
      <c r="AH916" s="1040" t="e">
        <f t="shared" si="267"/>
        <v>#DIV/0!</v>
      </c>
      <c r="AI916" s="1040" t="e">
        <f t="shared" si="267"/>
        <v>#DIV/0!</v>
      </c>
      <c r="AJ916" s="1040" t="e">
        <f t="shared" si="267"/>
        <v>#DIV/0!</v>
      </c>
      <c r="AK916" s="1040" t="e">
        <f t="shared" si="267"/>
        <v>#DIV/0!</v>
      </c>
      <c r="AL916" s="1040" t="e">
        <f t="shared" si="267"/>
        <v>#DIV/0!</v>
      </c>
      <c r="AM916" s="1040" t="e">
        <f t="shared" si="267"/>
        <v>#DIV/0!</v>
      </c>
      <c r="AN916" s="1040" t="e">
        <f t="shared" si="267"/>
        <v>#DIV/0!</v>
      </c>
      <c r="AO916" s="1040" t="e">
        <f t="shared" si="267"/>
        <v>#DIV/0!</v>
      </c>
      <c r="AP916" s="1040" t="e">
        <f t="shared" si="267"/>
        <v>#DIV/0!</v>
      </c>
      <c r="AQ916" s="1040" t="e">
        <f t="shared" si="267"/>
        <v>#DIV/0!</v>
      </c>
      <c r="AR916" s="1040" t="e">
        <f t="shared" si="267"/>
        <v>#DIV/0!</v>
      </c>
      <c r="AS916" s="1040" t="e">
        <f t="shared" ref="AS916:AY916" si="268">IF(AS116="",0,IF(OR(1=RANK(AS516,AS$412:AS$790,0),(2=RANK(AS516,AS$412:AS$790,0))),AS516,AS116))</f>
        <v>#DIV/0!</v>
      </c>
      <c r="AT916" s="1040" t="e">
        <f t="shared" si="268"/>
        <v>#DIV/0!</v>
      </c>
      <c r="AU916" s="1040">
        <f t="shared" si="268"/>
        <v>0</v>
      </c>
      <c r="AV916" s="1040" t="e">
        <f t="shared" si="268"/>
        <v>#DIV/0!</v>
      </c>
      <c r="AW916" s="1040" t="e">
        <f t="shared" si="268"/>
        <v>#DIV/0!</v>
      </c>
      <c r="AX916" s="1040" t="e">
        <f t="shared" si="268"/>
        <v>#DIV/0!</v>
      </c>
      <c r="AY916" s="1040" t="e">
        <f t="shared" si="268"/>
        <v>#DIV/0!</v>
      </c>
      <c r="AZ916" s="1061" t="s">
        <v>21</v>
      </c>
      <c r="BC916" s="29"/>
      <c r="BD916" s="29"/>
      <c r="BE916" s="13"/>
      <c r="BL916" s="368"/>
    </row>
    <row r="917" spans="1:64" ht="12" customHeight="1" x14ac:dyDescent="0.2">
      <c r="A917" s="39">
        <f>acute_overview_children!A117</f>
        <v>4</v>
      </c>
      <c r="B917" s="23">
        <f t="shared" si="185"/>
        <v>213110</v>
      </c>
      <c r="C917" s="23" t="str">
        <f t="shared" si="186"/>
        <v>Turnips</v>
      </c>
      <c r="D917" s="135"/>
      <c r="E917" s="1027"/>
      <c r="F917" s="87"/>
      <c r="G917" s="87"/>
      <c r="H917" s="1027"/>
      <c r="I917" s="1030"/>
      <c r="J917" s="1039" t="e">
        <f t="shared" ref="J917:AR917" si="269">IF(J117="",0,IF(OR(1=RANK(J517,J$412:J$790,0),(2=RANK(J517,J$412:J$790,0))),J517,J117))</f>
        <v>#DIV/0!</v>
      </c>
      <c r="K917" s="1040" t="e">
        <f t="shared" si="269"/>
        <v>#DIV/0!</v>
      </c>
      <c r="L917" s="1040" t="e">
        <f t="shared" si="269"/>
        <v>#DIV/0!</v>
      </c>
      <c r="M917" s="1040" t="e">
        <f t="shared" si="269"/>
        <v>#DIV/0!</v>
      </c>
      <c r="N917" s="1040" t="e">
        <f t="shared" si="269"/>
        <v>#DIV/0!</v>
      </c>
      <c r="O917" s="1040" t="e">
        <f t="shared" si="269"/>
        <v>#DIV/0!</v>
      </c>
      <c r="P917" s="1040" t="e">
        <f t="shared" si="269"/>
        <v>#DIV/0!</v>
      </c>
      <c r="Q917" s="1040" t="e">
        <f t="shared" si="269"/>
        <v>#DIV/0!</v>
      </c>
      <c r="R917" s="1040" t="e">
        <f t="shared" si="269"/>
        <v>#DIV/0!</v>
      </c>
      <c r="S917" s="1040" t="e">
        <f t="shared" si="269"/>
        <v>#DIV/0!</v>
      </c>
      <c r="T917" s="1040" t="e">
        <f t="shared" si="269"/>
        <v>#DIV/0!</v>
      </c>
      <c r="U917" s="1040" t="e">
        <f t="shared" si="269"/>
        <v>#DIV/0!</v>
      </c>
      <c r="V917" s="1040" t="e">
        <f t="shared" si="269"/>
        <v>#DIV/0!</v>
      </c>
      <c r="W917" s="1040" t="e">
        <f t="shared" si="269"/>
        <v>#DIV/0!</v>
      </c>
      <c r="X917" s="1040" t="e">
        <f t="shared" si="269"/>
        <v>#DIV/0!</v>
      </c>
      <c r="Y917" s="1040" t="e">
        <f t="shared" si="269"/>
        <v>#DIV/0!</v>
      </c>
      <c r="Z917" s="1040" t="e">
        <f t="shared" si="269"/>
        <v>#DIV/0!</v>
      </c>
      <c r="AA917" s="1040" t="e">
        <f t="shared" si="269"/>
        <v>#DIV/0!</v>
      </c>
      <c r="AB917" s="1040" t="e">
        <f t="shared" si="269"/>
        <v>#DIV/0!</v>
      </c>
      <c r="AC917" s="1040" t="e">
        <f t="shared" si="269"/>
        <v>#DIV/0!</v>
      </c>
      <c r="AD917" s="1040" t="e">
        <f t="shared" si="269"/>
        <v>#DIV/0!</v>
      </c>
      <c r="AE917" s="1040" t="e">
        <f t="shared" si="269"/>
        <v>#DIV/0!</v>
      </c>
      <c r="AF917" s="1040" t="e">
        <f t="shared" si="269"/>
        <v>#DIV/0!</v>
      </c>
      <c r="AG917" s="1040" t="e">
        <f t="shared" si="269"/>
        <v>#DIV/0!</v>
      </c>
      <c r="AH917" s="1040" t="e">
        <f t="shared" si="269"/>
        <v>#DIV/0!</v>
      </c>
      <c r="AI917" s="1040" t="e">
        <f t="shared" si="269"/>
        <v>#DIV/0!</v>
      </c>
      <c r="AJ917" s="1040" t="e">
        <f t="shared" si="269"/>
        <v>#DIV/0!</v>
      </c>
      <c r="AK917" s="1040" t="e">
        <f t="shared" si="269"/>
        <v>#DIV/0!</v>
      </c>
      <c r="AL917" s="1040" t="e">
        <f t="shared" si="269"/>
        <v>#DIV/0!</v>
      </c>
      <c r="AM917" s="1040" t="e">
        <f t="shared" si="269"/>
        <v>#DIV/0!</v>
      </c>
      <c r="AN917" s="1040" t="e">
        <f t="shared" si="269"/>
        <v>#DIV/0!</v>
      </c>
      <c r="AO917" s="1040" t="e">
        <f t="shared" si="269"/>
        <v>#DIV/0!</v>
      </c>
      <c r="AP917" s="1040" t="e">
        <f t="shared" si="269"/>
        <v>#DIV/0!</v>
      </c>
      <c r="AQ917" s="1040" t="e">
        <f t="shared" si="269"/>
        <v>#DIV/0!</v>
      </c>
      <c r="AR917" s="1040" t="e">
        <f t="shared" si="269"/>
        <v>#DIV/0!</v>
      </c>
      <c r="AS917" s="1040" t="e">
        <f t="shared" ref="AS917:AY917" si="270">IF(AS117="",0,IF(OR(1=RANK(AS517,AS$412:AS$790,0),(2=RANK(AS517,AS$412:AS$790,0))),AS517,AS117))</f>
        <v>#DIV/0!</v>
      </c>
      <c r="AT917" s="1040" t="e">
        <f t="shared" si="270"/>
        <v>#DIV/0!</v>
      </c>
      <c r="AU917" s="1040">
        <f t="shared" si="270"/>
        <v>0</v>
      </c>
      <c r="AV917" s="1040" t="e">
        <f t="shared" si="270"/>
        <v>#DIV/0!</v>
      </c>
      <c r="AW917" s="1040" t="e">
        <f t="shared" si="270"/>
        <v>#DIV/0!</v>
      </c>
      <c r="AX917" s="1040" t="e">
        <f t="shared" si="270"/>
        <v>#DIV/0!</v>
      </c>
      <c r="AY917" s="1040" t="e">
        <f t="shared" si="270"/>
        <v>#DIV/0!</v>
      </c>
      <c r="AZ917" s="1061" t="s">
        <v>21</v>
      </c>
      <c r="BC917" s="29"/>
      <c r="BD917" s="29"/>
      <c r="BE917" s="13"/>
      <c r="BL917" s="368"/>
    </row>
    <row r="918" spans="1:64" ht="12" customHeight="1" x14ac:dyDescent="0.2">
      <c r="A918" s="39">
        <f>acute_overview_children!A118</f>
        <v>4</v>
      </c>
      <c r="B918" s="23">
        <f t="shared" si="185"/>
        <v>213990</v>
      </c>
      <c r="C918" s="23" t="str">
        <f t="shared" si="186"/>
        <v xml:space="preserve">Other other root and tuber vegetables </v>
      </c>
      <c r="D918" s="135"/>
      <c r="E918" s="1027"/>
      <c r="F918" s="87"/>
      <c r="G918" s="87"/>
      <c r="H918" s="1027"/>
      <c r="I918" s="1030"/>
      <c r="J918" s="1039" t="e">
        <f t="shared" ref="J918:AR918" si="271">IF(J118="",0,IF(OR(1=RANK(J518,J$412:J$790,0),(2=RANK(J518,J$412:J$790,0))),J518,J118))</f>
        <v>#DIV/0!</v>
      </c>
      <c r="K918" s="1040" t="e">
        <f t="shared" si="271"/>
        <v>#DIV/0!</v>
      </c>
      <c r="L918" s="1040" t="e">
        <f t="shared" si="271"/>
        <v>#DIV/0!</v>
      </c>
      <c r="M918" s="1040" t="e">
        <f t="shared" si="271"/>
        <v>#DIV/0!</v>
      </c>
      <c r="N918" s="1040" t="e">
        <f t="shared" si="271"/>
        <v>#DIV/0!</v>
      </c>
      <c r="O918" s="1040" t="e">
        <f t="shared" si="271"/>
        <v>#DIV/0!</v>
      </c>
      <c r="P918" s="1040" t="e">
        <f t="shared" si="271"/>
        <v>#DIV/0!</v>
      </c>
      <c r="Q918" s="1040" t="e">
        <f t="shared" si="271"/>
        <v>#DIV/0!</v>
      </c>
      <c r="R918" s="1040" t="e">
        <f t="shared" si="271"/>
        <v>#DIV/0!</v>
      </c>
      <c r="S918" s="1040" t="e">
        <f t="shared" si="271"/>
        <v>#DIV/0!</v>
      </c>
      <c r="T918" s="1040" t="e">
        <f t="shared" si="271"/>
        <v>#DIV/0!</v>
      </c>
      <c r="U918" s="1040" t="e">
        <f t="shared" si="271"/>
        <v>#DIV/0!</v>
      </c>
      <c r="V918" s="1040" t="e">
        <f t="shared" si="271"/>
        <v>#DIV/0!</v>
      </c>
      <c r="W918" s="1040" t="e">
        <f t="shared" si="271"/>
        <v>#DIV/0!</v>
      </c>
      <c r="X918" s="1040" t="e">
        <f t="shared" si="271"/>
        <v>#DIV/0!</v>
      </c>
      <c r="Y918" s="1040" t="e">
        <f t="shared" si="271"/>
        <v>#DIV/0!</v>
      </c>
      <c r="Z918" s="1040" t="e">
        <f t="shared" si="271"/>
        <v>#DIV/0!</v>
      </c>
      <c r="AA918" s="1040" t="e">
        <f t="shared" si="271"/>
        <v>#DIV/0!</v>
      </c>
      <c r="AB918" s="1040" t="e">
        <f t="shared" si="271"/>
        <v>#DIV/0!</v>
      </c>
      <c r="AC918" s="1040" t="e">
        <f t="shared" si="271"/>
        <v>#DIV/0!</v>
      </c>
      <c r="AD918" s="1040" t="e">
        <f t="shared" si="271"/>
        <v>#DIV/0!</v>
      </c>
      <c r="AE918" s="1040" t="e">
        <f t="shared" si="271"/>
        <v>#DIV/0!</v>
      </c>
      <c r="AF918" s="1040" t="e">
        <f t="shared" si="271"/>
        <v>#DIV/0!</v>
      </c>
      <c r="AG918" s="1040" t="e">
        <f t="shared" si="271"/>
        <v>#DIV/0!</v>
      </c>
      <c r="AH918" s="1040" t="e">
        <f t="shared" si="271"/>
        <v>#DIV/0!</v>
      </c>
      <c r="AI918" s="1040" t="e">
        <f t="shared" si="271"/>
        <v>#DIV/0!</v>
      </c>
      <c r="AJ918" s="1040" t="e">
        <f t="shared" si="271"/>
        <v>#DIV/0!</v>
      </c>
      <c r="AK918" s="1040" t="e">
        <f t="shared" si="271"/>
        <v>#DIV/0!</v>
      </c>
      <c r="AL918" s="1040" t="e">
        <f t="shared" si="271"/>
        <v>#DIV/0!</v>
      </c>
      <c r="AM918" s="1040" t="e">
        <f t="shared" si="271"/>
        <v>#DIV/0!</v>
      </c>
      <c r="AN918" s="1040" t="e">
        <f t="shared" si="271"/>
        <v>#DIV/0!</v>
      </c>
      <c r="AO918" s="1040" t="e">
        <f t="shared" si="271"/>
        <v>#DIV/0!</v>
      </c>
      <c r="AP918" s="1040" t="e">
        <f t="shared" si="271"/>
        <v>#DIV/0!</v>
      </c>
      <c r="AQ918" s="1040" t="e">
        <f t="shared" si="271"/>
        <v>#DIV/0!</v>
      </c>
      <c r="AR918" s="1040" t="e">
        <f t="shared" si="271"/>
        <v>#DIV/0!</v>
      </c>
      <c r="AS918" s="1040" t="e">
        <f t="shared" ref="AS918:AY918" si="272">IF(AS118="",0,IF(OR(1=RANK(AS518,AS$412:AS$790,0),(2=RANK(AS518,AS$412:AS$790,0))),AS518,AS118))</f>
        <v>#DIV/0!</v>
      </c>
      <c r="AT918" s="1040" t="e">
        <f t="shared" si="272"/>
        <v>#DIV/0!</v>
      </c>
      <c r="AU918" s="1040">
        <f t="shared" si="272"/>
        <v>0</v>
      </c>
      <c r="AV918" s="1040" t="e">
        <f t="shared" si="272"/>
        <v>#DIV/0!</v>
      </c>
      <c r="AW918" s="1040" t="e">
        <f t="shared" si="272"/>
        <v>#DIV/0!</v>
      </c>
      <c r="AX918" s="1040" t="e">
        <f t="shared" si="272"/>
        <v>#DIV/0!</v>
      </c>
      <c r="AY918" s="1040" t="e">
        <f t="shared" si="272"/>
        <v>#DIV/0!</v>
      </c>
      <c r="AZ918" s="1061" t="s">
        <v>21</v>
      </c>
      <c r="BC918" s="29"/>
      <c r="BD918" s="29"/>
      <c r="BE918" s="13"/>
      <c r="BL918" s="368"/>
    </row>
    <row r="919" spans="1:64" ht="12" customHeight="1" x14ac:dyDescent="0.2">
      <c r="A919" s="515">
        <f>acute_overview_children!A119</f>
        <v>2</v>
      </c>
      <c r="B919" s="131">
        <f t="shared" si="185"/>
        <v>220000</v>
      </c>
      <c r="C919" s="131" t="str">
        <f t="shared" si="186"/>
        <v>Bulb vegetables</v>
      </c>
      <c r="D919" s="1035"/>
      <c r="E919" s="1027"/>
      <c r="F919" s="87"/>
      <c r="G919" s="87"/>
      <c r="H919" s="1027"/>
      <c r="I919" s="1030"/>
      <c r="J919" s="1037" t="e">
        <f t="shared" ref="J919:AR919" si="273">IF(J119="",0,IF(OR(1=RANK(J519,J$412:J$790,0),(2=RANK(J519,J$412:J$790,0))),J519,J119))</f>
        <v>#DIV/0!</v>
      </c>
      <c r="K919" s="1038" t="e">
        <f t="shared" si="273"/>
        <v>#DIV/0!</v>
      </c>
      <c r="L919" s="1038" t="e">
        <f t="shared" si="273"/>
        <v>#DIV/0!</v>
      </c>
      <c r="M919" s="1038" t="e">
        <f t="shared" si="273"/>
        <v>#DIV/0!</v>
      </c>
      <c r="N919" s="1038" t="e">
        <f t="shared" si="273"/>
        <v>#DIV/0!</v>
      </c>
      <c r="O919" s="1038" t="e">
        <f t="shared" si="273"/>
        <v>#DIV/0!</v>
      </c>
      <c r="P919" s="1038" t="e">
        <f t="shared" si="273"/>
        <v>#DIV/0!</v>
      </c>
      <c r="Q919" s="1038" t="e">
        <f t="shared" si="273"/>
        <v>#DIV/0!</v>
      </c>
      <c r="R919" s="1038" t="e">
        <f t="shared" si="273"/>
        <v>#DIV/0!</v>
      </c>
      <c r="S919" s="1038" t="e">
        <f t="shared" si="273"/>
        <v>#DIV/0!</v>
      </c>
      <c r="T919" s="1038" t="e">
        <f t="shared" si="273"/>
        <v>#DIV/0!</v>
      </c>
      <c r="U919" s="1038" t="e">
        <f t="shared" si="273"/>
        <v>#DIV/0!</v>
      </c>
      <c r="V919" s="1038" t="e">
        <f t="shared" si="273"/>
        <v>#DIV/0!</v>
      </c>
      <c r="W919" s="1038" t="e">
        <f t="shared" si="273"/>
        <v>#DIV/0!</v>
      </c>
      <c r="X919" s="1038" t="e">
        <f t="shared" si="273"/>
        <v>#DIV/0!</v>
      </c>
      <c r="Y919" s="1038" t="e">
        <f t="shared" si="273"/>
        <v>#DIV/0!</v>
      </c>
      <c r="Z919" s="1038" t="e">
        <f t="shared" si="273"/>
        <v>#DIV/0!</v>
      </c>
      <c r="AA919" s="1038" t="e">
        <f t="shared" si="273"/>
        <v>#DIV/0!</v>
      </c>
      <c r="AB919" s="1038" t="e">
        <f t="shared" si="273"/>
        <v>#DIV/0!</v>
      </c>
      <c r="AC919" s="1038" t="e">
        <f t="shared" si="273"/>
        <v>#DIV/0!</v>
      </c>
      <c r="AD919" s="1038" t="e">
        <f t="shared" si="273"/>
        <v>#DIV/0!</v>
      </c>
      <c r="AE919" s="1038" t="e">
        <f t="shared" si="273"/>
        <v>#DIV/0!</v>
      </c>
      <c r="AF919" s="1038" t="e">
        <f t="shared" si="273"/>
        <v>#DIV/0!</v>
      </c>
      <c r="AG919" s="1038" t="e">
        <f t="shared" si="273"/>
        <v>#DIV/0!</v>
      </c>
      <c r="AH919" s="1038" t="e">
        <f t="shared" si="273"/>
        <v>#DIV/0!</v>
      </c>
      <c r="AI919" s="1038" t="e">
        <f t="shared" si="273"/>
        <v>#DIV/0!</v>
      </c>
      <c r="AJ919" s="1038" t="e">
        <f t="shared" si="273"/>
        <v>#DIV/0!</v>
      </c>
      <c r="AK919" s="1038" t="e">
        <f t="shared" si="273"/>
        <v>#DIV/0!</v>
      </c>
      <c r="AL919" s="1038" t="e">
        <f t="shared" si="273"/>
        <v>#DIV/0!</v>
      </c>
      <c r="AM919" s="1038" t="e">
        <f t="shared" si="273"/>
        <v>#DIV/0!</v>
      </c>
      <c r="AN919" s="1038" t="e">
        <f t="shared" si="273"/>
        <v>#DIV/0!</v>
      </c>
      <c r="AO919" s="1038" t="e">
        <f t="shared" si="273"/>
        <v>#DIV/0!</v>
      </c>
      <c r="AP919" s="1038" t="e">
        <f t="shared" si="273"/>
        <v>#DIV/0!</v>
      </c>
      <c r="AQ919" s="1038" t="e">
        <f t="shared" si="273"/>
        <v>#DIV/0!</v>
      </c>
      <c r="AR919" s="1038" t="e">
        <f t="shared" si="273"/>
        <v>#DIV/0!</v>
      </c>
      <c r="AS919" s="1038" t="e">
        <f t="shared" ref="AS919:AY919" si="274">IF(AS119="",0,IF(OR(1=RANK(AS519,AS$412:AS$790,0),(2=RANK(AS519,AS$412:AS$790,0))),AS519,AS119))</f>
        <v>#DIV/0!</v>
      </c>
      <c r="AT919" s="1038" t="e">
        <f t="shared" si="274"/>
        <v>#DIV/0!</v>
      </c>
      <c r="AU919" s="1038">
        <f t="shared" si="274"/>
        <v>0</v>
      </c>
      <c r="AV919" s="1038" t="e">
        <f t="shared" si="274"/>
        <v>#DIV/0!</v>
      </c>
      <c r="AW919" s="1038" t="e">
        <f t="shared" si="274"/>
        <v>#DIV/0!</v>
      </c>
      <c r="AX919" s="1038" t="e">
        <f t="shared" si="274"/>
        <v>#DIV/0!</v>
      </c>
      <c r="AY919" s="1038" t="e">
        <f t="shared" si="274"/>
        <v>#DIV/0!</v>
      </c>
      <c r="AZ919" s="1061" t="s">
        <v>21</v>
      </c>
      <c r="BC919" s="29"/>
      <c r="BD919" s="29"/>
      <c r="BE919" s="13"/>
      <c r="BL919" s="368"/>
    </row>
    <row r="920" spans="1:64" ht="12" customHeight="1" x14ac:dyDescent="0.2">
      <c r="A920" s="39">
        <f>acute_overview_children!A120</f>
        <v>4</v>
      </c>
      <c r="B920" s="23">
        <f t="shared" si="185"/>
        <v>220010</v>
      </c>
      <c r="C920" s="23" t="str">
        <f t="shared" si="186"/>
        <v>Garlic</v>
      </c>
      <c r="D920" s="135"/>
      <c r="E920" s="1027"/>
      <c r="F920" s="87"/>
      <c r="G920" s="87"/>
      <c r="H920" s="1027"/>
      <c r="I920" s="1030"/>
      <c r="J920" s="1039" t="e">
        <f t="shared" ref="J920:AR920" si="275">IF(J120="",0,IF(OR(1=RANK(J520,J$412:J$790,0),(2=RANK(J520,J$412:J$790,0))),J520,J120))</f>
        <v>#DIV/0!</v>
      </c>
      <c r="K920" s="1040" t="e">
        <f t="shared" si="275"/>
        <v>#DIV/0!</v>
      </c>
      <c r="L920" s="1040" t="e">
        <f t="shared" si="275"/>
        <v>#DIV/0!</v>
      </c>
      <c r="M920" s="1040" t="e">
        <f t="shared" si="275"/>
        <v>#DIV/0!</v>
      </c>
      <c r="N920" s="1040" t="e">
        <f t="shared" si="275"/>
        <v>#DIV/0!</v>
      </c>
      <c r="O920" s="1040" t="e">
        <f t="shared" si="275"/>
        <v>#DIV/0!</v>
      </c>
      <c r="P920" s="1040" t="e">
        <f t="shared" si="275"/>
        <v>#DIV/0!</v>
      </c>
      <c r="Q920" s="1040" t="e">
        <f t="shared" si="275"/>
        <v>#DIV/0!</v>
      </c>
      <c r="R920" s="1040" t="e">
        <f t="shared" si="275"/>
        <v>#DIV/0!</v>
      </c>
      <c r="S920" s="1040" t="e">
        <f t="shared" si="275"/>
        <v>#DIV/0!</v>
      </c>
      <c r="T920" s="1040" t="e">
        <f t="shared" si="275"/>
        <v>#DIV/0!</v>
      </c>
      <c r="U920" s="1040" t="e">
        <f t="shared" si="275"/>
        <v>#DIV/0!</v>
      </c>
      <c r="V920" s="1040" t="e">
        <f t="shared" si="275"/>
        <v>#DIV/0!</v>
      </c>
      <c r="W920" s="1040" t="e">
        <f t="shared" si="275"/>
        <v>#DIV/0!</v>
      </c>
      <c r="X920" s="1040" t="e">
        <f t="shared" si="275"/>
        <v>#DIV/0!</v>
      </c>
      <c r="Y920" s="1040" t="e">
        <f t="shared" si="275"/>
        <v>#DIV/0!</v>
      </c>
      <c r="Z920" s="1040" t="e">
        <f t="shared" si="275"/>
        <v>#DIV/0!</v>
      </c>
      <c r="AA920" s="1040" t="e">
        <f t="shared" si="275"/>
        <v>#DIV/0!</v>
      </c>
      <c r="AB920" s="1040" t="e">
        <f t="shared" si="275"/>
        <v>#DIV/0!</v>
      </c>
      <c r="AC920" s="1040" t="e">
        <f t="shared" si="275"/>
        <v>#DIV/0!</v>
      </c>
      <c r="AD920" s="1040" t="e">
        <f t="shared" si="275"/>
        <v>#DIV/0!</v>
      </c>
      <c r="AE920" s="1040" t="e">
        <f t="shared" si="275"/>
        <v>#DIV/0!</v>
      </c>
      <c r="AF920" s="1040" t="e">
        <f t="shared" si="275"/>
        <v>#DIV/0!</v>
      </c>
      <c r="AG920" s="1040" t="e">
        <f t="shared" si="275"/>
        <v>#DIV/0!</v>
      </c>
      <c r="AH920" s="1040" t="e">
        <f t="shared" si="275"/>
        <v>#DIV/0!</v>
      </c>
      <c r="AI920" s="1040" t="e">
        <f t="shared" si="275"/>
        <v>#DIV/0!</v>
      </c>
      <c r="AJ920" s="1040" t="e">
        <f t="shared" si="275"/>
        <v>#DIV/0!</v>
      </c>
      <c r="AK920" s="1040" t="e">
        <f t="shared" si="275"/>
        <v>#DIV/0!</v>
      </c>
      <c r="AL920" s="1040" t="e">
        <f t="shared" si="275"/>
        <v>#DIV/0!</v>
      </c>
      <c r="AM920" s="1040" t="e">
        <f t="shared" si="275"/>
        <v>#DIV/0!</v>
      </c>
      <c r="AN920" s="1040" t="e">
        <f t="shared" si="275"/>
        <v>#DIV/0!</v>
      </c>
      <c r="AO920" s="1040" t="e">
        <f t="shared" si="275"/>
        <v>#DIV/0!</v>
      </c>
      <c r="AP920" s="1040" t="e">
        <f t="shared" si="275"/>
        <v>#DIV/0!</v>
      </c>
      <c r="AQ920" s="1040" t="e">
        <f t="shared" si="275"/>
        <v>#DIV/0!</v>
      </c>
      <c r="AR920" s="1040" t="e">
        <f t="shared" si="275"/>
        <v>#DIV/0!</v>
      </c>
      <c r="AS920" s="1040" t="e">
        <f t="shared" ref="AS920:AY920" si="276">IF(AS120="",0,IF(OR(1=RANK(AS520,AS$412:AS$790,0),(2=RANK(AS520,AS$412:AS$790,0))),AS520,AS120))</f>
        <v>#DIV/0!</v>
      </c>
      <c r="AT920" s="1040" t="e">
        <f t="shared" si="276"/>
        <v>#DIV/0!</v>
      </c>
      <c r="AU920" s="1040">
        <f t="shared" si="276"/>
        <v>0</v>
      </c>
      <c r="AV920" s="1040" t="e">
        <f t="shared" si="276"/>
        <v>#DIV/0!</v>
      </c>
      <c r="AW920" s="1040" t="e">
        <f t="shared" si="276"/>
        <v>#DIV/0!</v>
      </c>
      <c r="AX920" s="1040" t="e">
        <f t="shared" si="276"/>
        <v>#DIV/0!</v>
      </c>
      <c r="AY920" s="1040" t="e">
        <f t="shared" si="276"/>
        <v>#DIV/0!</v>
      </c>
      <c r="AZ920" s="1061" t="s">
        <v>21</v>
      </c>
      <c r="BC920" s="29"/>
      <c r="BD920" s="29"/>
      <c r="BE920" s="13"/>
      <c r="BL920" s="368"/>
    </row>
    <row r="921" spans="1:64" ht="12" customHeight="1" x14ac:dyDescent="0.2">
      <c r="A921" s="39">
        <f>acute_overview_children!A121</f>
        <v>4</v>
      </c>
      <c r="B921" s="23">
        <f t="shared" si="185"/>
        <v>220020</v>
      </c>
      <c r="C921" s="23" t="str">
        <f t="shared" si="186"/>
        <v>Onions</v>
      </c>
      <c r="D921" s="135"/>
      <c r="E921" s="1027"/>
      <c r="F921" s="87"/>
      <c r="G921" s="87"/>
      <c r="H921" s="1027"/>
      <c r="I921" s="1030"/>
      <c r="J921" s="1039" t="e">
        <f t="shared" ref="J921:AR921" si="277">IF(J121="",0,IF(OR(1=RANK(J521,J$412:J$790,0),(2=RANK(J521,J$412:J$790,0))),J521,J121))</f>
        <v>#DIV/0!</v>
      </c>
      <c r="K921" s="1040" t="e">
        <f t="shared" si="277"/>
        <v>#DIV/0!</v>
      </c>
      <c r="L921" s="1040" t="e">
        <f t="shared" si="277"/>
        <v>#DIV/0!</v>
      </c>
      <c r="M921" s="1040" t="e">
        <f t="shared" si="277"/>
        <v>#DIV/0!</v>
      </c>
      <c r="N921" s="1040" t="e">
        <f t="shared" si="277"/>
        <v>#DIV/0!</v>
      </c>
      <c r="O921" s="1040" t="e">
        <f t="shared" si="277"/>
        <v>#DIV/0!</v>
      </c>
      <c r="P921" s="1040" t="e">
        <f t="shared" si="277"/>
        <v>#DIV/0!</v>
      </c>
      <c r="Q921" s="1040" t="e">
        <f t="shared" si="277"/>
        <v>#DIV/0!</v>
      </c>
      <c r="R921" s="1040" t="e">
        <f t="shared" si="277"/>
        <v>#DIV/0!</v>
      </c>
      <c r="S921" s="1040" t="e">
        <f t="shared" si="277"/>
        <v>#DIV/0!</v>
      </c>
      <c r="T921" s="1040" t="e">
        <f t="shared" si="277"/>
        <v>#DIV/0!</v>
      </c>
      <c r="U921" s="1040" t="e">
        <f t="shared" si="277"/>
        <v>#DIV/0!</v>
      </c>
      <c r="V921" s="1040" t="e">
        <f t="shared" si="277"/>
        <v>#DIV/0!</v>
      </c>
      <c r="W921" s="1040" t="e">
        <f t="shared" si="277"/>
        <v>#DIV/0!</v>
      </c>
      <c r="X921" s="1040" t="e">
        <f t="shared" si="277"/>
        <v>#DIV/0!</v>
      </c>
      <c r="Y921" s="1040" t="e">
        <f t="shared" si="277"/>
        <v>#DIV/0!</v>
      </c>
      <c r="Z921" s="1040" t="e">
        <f t="shared" si="277"/>
        <v>#DIV/0!</v>
      </c>
      <c r="AA921" s="1040" t="e">
        <f t="shared" si="277"/>
        <v>#DIV/0!</v>
      </c>
      <c r="AB921" s="1040" t="e">
        <f t="shared" si="277"/>
        <v>#DIV/0!</v>
      </c>
      <c r="AC921" s="1040" t="e">
        <f t="shared" si="277"/>
        <v>#DIV/0!</v>
      </c>
      <c r="AD921" s="1040" t="e">
        <f t="shared" si="277"/>
        <v>#DIV/0!</v>
      </c>
      <c r="AE921" s="1040" t="e">
        <f t="shared" si="277"/>
        <v>#DIV/0!</v>
      </c>
      <c r="AF921" s="1040" t="e">
        <f t="shared" si="277"/>
        <v>#DIV/0!</v>
      </c>
      <c r="AG921" s="1040" t="e">
        <f t="shared" si="277"/>
        <v>#DIV/0!</v>
      </c>
      <c r="AH921" s="1040" t="e">
        <f t="shared" si="277"/>
        <v>#DIV/0!</v>
      </c>
      <c r="AI921" s="1040" t="e">
        <f t="shared" si="277"/>
        <v>#DIV/0!</v>
      </c>
      <c r="AJ921" s="1040" t="e">
        <f t="shared" si="277"/>
        <v>#DIV/0!</v>
      </c>
      <c r="AK921" s="1040" t="e">
        <f t="shared" si="277"/>
        <v>#DIV/0!</v>
      </c>
      <c r="AL921" s="1040" t="e">
        <f t="shared" si="277"/>
        <v>#DIV/0!</v>
      </c>
      <c r="AM921" s="1040" t="e">
        <f t="shared" si="277"/>
        <v>#DIV/0!</v>
      </c>
      <c r="AN921" s="1040" t="e">
        <f t="shared" si="277"/>
        <v>#DIV/0!</v>
      </c>
      <c r="AO921" s="1040" t="e">
        <f t="shared" si="277"/>
        <v>#DIV/0!</v>
      </c>
      <c r="AP921" s="1040" t="e">
        <f t="shared" si="277"/>
        <v>#DIV/0!</v>
      </c>
      <c r="AQ921" s="1040" t="e">
        <f t="shared" si="277"/>
        <v>#DIV/0!</v>
      </c>
      <c r="AR921" s="1040" t="e">
        <f t="shared" si="277"/>
        <v>#DIV/0!</v>
      </c>
      <c r="AS921" s="1040" t="e">
        <f t="shared" ref="AS921:AY921" si="278">IF(AS121="",0,IF(OR(1=RANK(AS521,AS$412:AS$790,0),(2=RANK(AS521,AS$412:AS$790,0))),AS521,AS121))</f>
        <v>#DIV/0!</v>
      </c>
      <c r="AT921" s="1040" t="e">
        <f t="shared" si="278"/>
        <v>#DIV/0!</v>
      </c>
      <c r="AU921" s="1040">
        <f t="shared" si="278"/>
        <v>0</v>
      </c>
      <c r="AV921" s="1040" t="e">
        <f t="shared" si="278"/>
        <v>#DIV/0!</v>
      </c>
      <c r="AW921" s="1040" t="e">
        <f t="shared" si="278"/>
        <v>#DIV/0!</v>
      </c>
      <c r="AX921" s="1040" t="e">
        <f t="shared" si="278"/>
        <v>#DIV/0!</v>
      </c>
      <c r="AY921" s="1040" t="e">
        <f t="shared" si="278"/>
        <v>#DIV/0!</v>
      </c>
      <c r="AZ921" s="1061" t="s">
        <v>21</v>
      </c>
      <c r="BC921" s="29"/>
      <c r="BD921" s="29"/>
      <c r="BE921" s="13"/>
      <c r="BL921" s="368"/>
    </row>
    <row r="922" spans="1:64" ht="12" customHeight="1" x14ac:dyDescent="0.2">
      <c r="A922" s="39">
        <f>acute_overview_children!A122</f>
        <v>4</v>
      </c>
      <c r="B922" s="23">
        <f t="shared" si="185"/>
        <v>220030</v>
      </c>
      <c r="C922" s="23" t="str">
        <f t="shared" si="186"/>
        <v>Shallots</v>
      </c>
      <c r="D922" s="135"/>
      <c r="E922" s="1027"/>
      <c r="F922" s="87"/>
      <c r="G922" s="87"/>
      <c r="H922" s="1027"/>
      <c r="I922" s="1030"/>
      <c r="J922" s="1039" t="e">
        <f t="shared" ref="J922:AR922" si="279">IF(J122="",0,IF(OR(1=RANK(J522,J$412:J$790,0),(2=RANK(J522,J$412:J$790,0))),J522,J122))</f>
        <v>#DIV/0!</v>
      </c>
      <c r="K922" s="1040" t="e">
        <f t="shared" si="279"/>
        <v>#DIV/0!</v>
      </c>
      <c r="L922" s="1040" t="e">
        <f t="shared" si="279"/>
        <v>#DIV/0!</v>
      </c>
      <c r="M922" s="1040" t="e">
        <f t="shared" si="279"/>
        <v>#DIV/0!</v>
      </c>
      <c r="N922" s="1040" t="e">
        <f t="shared" si="279"/>
        <v>#DIV/0!</v>
      </c>
      <c r="O922" s="1040" t="e">
        <f t="shared" si="279"/>
        <v>#DIV/0!</v>
      </c>
      <c r="P922" s="1040" t="e">
        <f t="shared" si="279"/>
        <v>#DIV/0!</v>
      </c>
      <c r="Q922" s="1040" t="e">
        <f t="shared" si="279"/>
        <v>#DIV/0!</v>
      </c>
      <c r="R922" s="1040" t="e">
        <f t="shared" si="279"/>
        <v>#DIV/0!</v>
      </c>
      <c r="S922" s="1040" t="e">
        <f t="shared" si="279"/>
        <v>#DIV/0!</v>
      </c>
      <c r="T922" s="1040" t="e">
        <f t="shared" si="279"/>
        <v>#DIV/0!</v>
      </c>
      <c r="U922" s="1040" t="e">
        <f t="shared" si="279"/>
        <v>#DIV/0!</v>
      </c>
      <c r="V922" s="1040" t="e">
        <f t="shared" si="279"/>
        <v>#DIV/0!</v>
      </c>
      <c r="W922" s="1040" t="e">
        <f t="shared" si="279"/>
        <v>#DIV/0!</v>
      </c>
      <c r="X922" s="1040" t="e">
        <f t="shared" si="279"/>
        <v>#DIV/0!</v>
      </c>
      <c r="Y922" s="1040" t="e">
        <f t="shared" si="279"/>
        <v>#DIV/0!</v>
      </c>
      <c r="Z922" s="1040" t="e">
        <f t="shared" si="279"/>
        <v>#DIV/0!</v>
      </c>
      <c r="AA922" s="1040" t="e">
        <f t="shared" si="279"/>
        <v>#DIV/0!</v>
      </c>
      <c r="AB922" s="1040" t="e">
        <f t="shared" si="279"/>
        <v>#DIV/0!</v>
      </c>
      <c r="AC922" s="1040" t="e">
        <f t="shared" si="279"/>
        <v>#DIV/0!</v>
      </c>
      <c r="AD922" s="1040" t="e">
        <f t="shared" si="279"/>
        <v>#DIV/0!</v>
      </c>
      <c r="AE922" s="1040" t="e">
        <f t="shared" si="279"/>
        <v>#DIV/0!</v>
      </c>
      <c r="AF922" s="1040" t="e">
        <f t="shared" si="279"/>
        <v>#DIV/0!</v>
      </c>
      <c r="AG922" s="1040" t="e">
        <f t="shared" si="279"/>
        <v>#DIV/0!</v>
      </c>
      <c r="AH922" s="1040" t="e">
        <f t="shared" si="279"/>
        <v>#DIV/0!</v>
      </c>
      <c r="AI922" s="1040" t="e">
        <f t="shared" si="279"/>
        <v>#DIV/0!</v>
      </c>
      <c r="AJ922" s="1040" t="e">
        <f t="shared" si="279"/>
        <v>#DIV/0!</v>
      </c>
      <c r="AK922" s="1040" t="e">
        <f t="shared" si="279"/>
        <v>#DIV/0!</v>
      </c>
      <c r="AL922" s="1040" t="e">
        <f t="shared" si="279"/>
        <v>#DIV/0!</v>
      </c>
      <c r="AM922" s="1040" t="e">
        <f t="shared" si="279"/>
        <v>#DIV/0!</v>
      </c>
      <c r="AN922" s="1040" t="e">
        <f t="shared" si="279"/>
        <v>#DIV/0!</v>
      </c>
      <c r="AO922" s="1040" t="e">
        <f t="shared" si="279"/>
        <v>#DIV/0!</v>
      </c>
      <c r="AP922" s="1040" t="e">
        <f t="shared" si="279"/>
        <v>#DIV/0!</v>
      </c>
      <c r="AQ922" s="1040" t="e">
        <f t="shared" si="279"/>
        <v>#DIV/0!</v>
      </c>
      <c r="AR922" s="1040" t="e">
        <f t="shared" si="279"/>
        <v>#DIV/0!</v>
      </c>
      <c r="AS922" s="1040" t="e">
        <f t="shared" ref="AS922:AY922" si="280">IF(AS122="",0,IF(OR(1=RANK(AS522,AS$412:AS$790,0),(2=RANK(AS522,AS$412:AS$790,0))),AS522,AS122))</f>
        <v>#DIV/0!</v>
      </c>
      <c r="AT922" s="1040" t="e">
        <f t="shared" si="280"/>
        <v>#DIV/0!</v>
      </c>
      <c r="AU922" s="1040">
        <f t="shared" si="280"/>
        <v>0</v>
      </c>
      <c r="AV922" s="1040" t="e">
        <f t="shared" si="280"/>
        <v>#DIV/0!</v>
      </c>
      <c r="AW922" s="1040" t="e">
        <f t="shared" si="280"/>
        <v>#DIV/0!</v>
      </c>
      <c r="AX922" s="1040" t="e">
        <f t="shared" si="280"/>
        <v>#DIV/0!</v>
      </c>
      <c r="AY922" s="1040" t="e">
        <f t="shared" si="280"/>
        <v>#DIV/0!</v>
      </c>
      <c r="AZ922" s="1061" t="s">
        <v>21</v>
      </c>
      <c r="BC922" s="29"/>
      <c r="BD922" s="29"/>
      <c r="BE922" s="13"/>
      <c r="BL922" s="368"/>
    </row>
    <row r="923" spans="1:64" ht="12" customHeight="1" x14ac:dyDescent="0.2">
      <c r="A923" s="39">
        <f>acute_overview_children!A123</f>
        <v>4</v>
      </c>
      <c r="B923" s="23">
        <f t="shared" si="185"/>
        <v>220040</v>
      </c>
      <c r="C923" s="23" t="str">
        <f t="shared" si="186"/>
        <v>Spring onions/green onions and Welsh onions</v>
      </c>
      <c r="D923" s="135"/>
      <c r="E923" s="1027"/>
      <c r="F923" s="87"/>
      <c r="G923" s="87"/>
      <c r="H923" s="1027"/>
      <c r="I923" s="1030"/>
      <c r="J923" s="1039" t="e">
        <f t="shared" ref="J923:AR923" si="281">IF(J123="",0,IF(OR(1=RANK(J523,J$412:J$790,0),(2=RANK(J523,J$412:J$790,0))),J523,J123))</f>
        <v>#DIV/0!</v>
      </c>
      <c r="K923" s="1040" t="e">
        <f t="shared" si="281"/>
        <v>#DIV/0!</v>
      </c>
      <c r="L923" s="1040" t="e">
        <f t="shared" si="281"/>
        <v>#DIV/0!</v>
      </c>
      <c r="M923" s="1040" t="e">
        <f t="shared" si="281"/>
        <v>#DIV/0!</v>
      </c>
      <c r="N923" s="1040" t="e">
        <f t="shared" si="281"/>
        <v>#DIV/0!</v>
      </c>
      <c r="O923" s="1040" t="e">
        <f t="shared" si="281"/>
        <v>#DIV/0!</v>
      </c>
      <c r="P923" s="1040" t="e">
        <f t="shared" si="281"/>
        <v>#DIV/0!</v>
      </c>
      <c r="Q923" s="1040" t="e">
        <f t="shared" si="281"/>
        <v>#DIV/0!</v>
      </c>
      <c r="R923" s="1040" t="e">
        <f t="shared" si="281"/>
        <v>#DIV/0!</v>
      </c>
      <c r="S923" s="1040" t="e">
        <f t="shared" si="281"/>
        <v>#DIV/0!</v>
      </c>
      <c r="T923" s="1040" t="e">
        <f t="shared" si="281"/>
        <v>#DIV/0!</v>
      </c>
      <c r="U923" s="1040" t="e">
        <f t="shared" si="281"/>
        <v>#DIV/0!</v>
      </c>
      <c r="V923" s="1040" t="e">
        <f t="shared" si="281"/>
        <v>#DIV/0!</v>
      </c>
      <c r="W923" s="1040" t="e">
        <f t="shared" si="281"/>
        <v>#DIV/0!</v>
      </c>
      <c r="X923" s="1040" t="e">
        <f t="shared" si="281"/>
        <v>#DIV/0!</v>
      </c>
      <c r="Y923" s="1040" t="e">
        <f t="shared" si="281"/>
        <v>#DIV/0!</v>
      </c>
      <c r="Z923" s="1040" t="e">
        <f t="shared" si="281"/>
        <v>#DIV/0!</v>
      </c>
      <c r="AA923" s="1040" t="e">
        <f t="shared" si="281"/>
        <v>#DIV/0!</v>
      </c>
      <c r="AB923" s="1040" t="e">
        <f t="shared" si="281"/>
        <v>#DIV/0!</v>
      </c>
      <c r="AC923" s="1040" t="e">
        <f t="shared" si="281"/>
        <v>#DIV/0!</v>
      </c>
      <c r="AD923" s="1040" t="e">
        <f t="shared" si="281"/>
        <v>#DIV/0!</v>
      </c>
      <c r="AE923" s="1040" t="e">
        <f t="shared" si="281"/>
        <v>#DIV/0!</v>
      </c>
      <c r="AF923" s="1040" t="e">
        <f t="shared" si="281"/>
        <v>#DIV/0!</v>
      </c>
      <c r="AG923" s="1040" t="e">
        <f t="shared" si="281"/>
        <v>#DIV/0!</v>
      </c>
      <c r="AH923" s="1040" t="e">
        <f t="shared" si="281"/>
        <v>#DIV/0!</v>
      </c>
      <c r="AI923" s="1040" t="e">
        <f t="shared" si="281"/>
        <v>#DIV/0!</v>
      </c>
      <c r="AJ923" s="1040" t="e">
        <f t="shared" si="281"/>
        <v>#DIV/0!</v>
      </c>
      <c r="AK923" s="1040" t="e">
        <f t="shared" si="281"/>
        <v>#DIV/0!</v>
      </c>
      <c r="AL923" s="1040" t="e">
        <f t="shared" si="281"/>
        <v>#DIV/0!</v>
      </c>
      <c r="AM923" s="1040" t="e">
        <f t="shared" si="281"/>
        <v>#DIV/0!</v>
      </c>
      <c r="AN923" s="1040" t="e">
        <f t="shared" si="281"/>
        <v>#DIV/0!</v>
      </c>
      <c r="AO923" s="1040" t="e">
        <f t="shared" si="281"/>
        <v>#DIV/0!</v>
      </c>
      <c r="AP923" s="1040" t="e">
        <f t="shared" si="281"/>
        <v>#DIV/0!</v>
      </c>
      <c r="AQ923" s="1040" t="e">
        <f t="shared" si="281"/>
        <v>#DIV/0!</v>
      </c>
      <c r="AR923" s="1040" t="e">
        <f t="shared" si="281"/>
        <v>#DIV/0!</v>
      </c>
      <c r="AS923" s="1040" t="e">
        <f t="shared" ref="AS923:AY923" si="282">IF(AS123="",0,IF(OR(1=RANK(AS523,AS$412:AS$790,0),(2=RANK(AS523,AS$412:AS$790,0))),AS523,AS123))</f>
        <v>#DIV/0!</v>
      </c>
      <c r="AT923" s="1040" t="e">
        <f t="shared" si="282"/>
        <v>#DIV/0!</v>
      </c>
      <c r="AU923" s="1040">
        <f t="shared" si="282"/>
        <v>0</v>
      </c>
      <c r="AV923" s="1040" t="e">
        <f t="shared" si="282"/>
        <v>#DIV/0!</v>
      </c>
      <c r="AW923" s="1040" t="e">
        <f t="shared" si="282"/>
        <v>#DIV/0!</v>
      </c>
      <c r="AX923" s="1040" t="e">
        <f t="shared" si="282"/>
        <v>#DIV/0!</v>
      </c>
      <c r="AY923" s="1040" t="e">
        <f t="shared" si="282"/>
        <v>#DIV/0!</v>
      </c>
      <c r="AZ923" s="1061" t="s">
        <v>21</v>
      </c>
      <c r="BC923" s="29"/>
      <c r="BD923" s="29"/>
      <c r="BE923" s="13"/>
      <c r="BL923" s="368"/>
    </row>
    <row r="924" spans="1:64" ht="12" customHeight="1" x14ac:dyDescent="0.2">
      <c r="A924" s="39">
        <f>acute_overview_children!A124</f>
        <v>4</v>
      </c>
      <c r="B924" s="23">
        <f t="shared" si="185"/>
        <v>220990</v>
      </c>
      <c r="C924" s="23" t="str">
        <f t="shared" si="186"/>
        <v>Other bulb vegetables</v>
      </c>
      <c r="D924" s="135"/>
      <c r="E924" s="1027"/>
      <c r="F924" s="87"/>
      <c r="G924" s="87"/>
      <c r="H924" s="1027"/>
      <c r="I924" s="1030"/>
      <c r="J924" s="1039" t="e">
        <f t="shared" ref="J924:AR924" si="283">IF(J124="",0,IF(OR(1=RANK(J524,J$412:J$790,0),(2=RANK(J524,J$412:J$790,0))),J524,J124))</f>
        <v>#DIV/0!</v>
      </c>
      <c r="K924" s="1040" t="e">
        <f t="shared" si="283"/>
        <v>#DIV/0!</v>
      </c>
      <c r="L924" s="1040" t="e">
        <f t="shared" si="283"/>
        <v>#DIV/0!</v>
      </c>
      <c r="M924" s="1040" t="e">
        <f t="shared" si="283"/>
        <v>#DIV/0!</v>
      </c>
      <c r="N924" s="1040" t="e">
        <f t="shared" si="283"/>
        <v>#DIV/0!</v>
      </c>
      <c r="O924" s="1040" t="e">
        <f t="shared" si="283"/>
        <v>#DIV/0!</v>
      </c>
      <c r="P924" s="1040" t="e">
        <f t="shared" si="283"/>
        <v>#DIV/0!</v>
      </c>
      <c r="Q924" s="1040" t="e">
        <f t="shared" si="283"/>
        <v>#DIV/0!</v>
      </c>
      <c r="R924" s="1040" t="e">
        <f t="shared" si="283"/>
        <v>#DIV/0!</v>
      </c>
      <c r="S924" s="1040" t="e">
        <f t="shared" si="283"/>
        <v>#DIV/0!</v>
      </c>
      <c r="T924" s="1040" t="e">
        <f t="shared" si="283"/>
        <v>#DIV/0!</v>
      </c>
      <c r="U924" s="1040" t="e">
        <f t="shared" si="283"/>
        <v>#DIV/0!</v>
      </c>
      <c r="V924" s="1040" t="e">
        <f t="shared" si="283"/>
        <v>#DIV/0!</v>
      </c>
      <c r="W924" s="1040" t="e">
        <f t="shared" si="283"/>
        <v>#DIV/0!</v>
      </c>
      <c r="X924" s="1040" t="e">
        <f t="shared" si="283"/>
        <v>#DIV/0!</v>
      </c>
      <c r="Y924" s="1040" t="e">
        <f t="shared" si="283"/>
        <v>#DIV/0!</v>
      </c>
      <c r="Z924" s="1040" t="e">
        <f t="shared" si="283"/>
        <v>#DIV/0!</v>
      </c>
      <c r="AA924" s="1040" t="e">
        <f t="shared" si="283"/>
        <v>#DIV/0!</v>
      </c>
      <c r="AB924" s="1040" t="e">
        <f t="shared" si="283"/>
        <v>#DIV/0!</v>
      </c>
      <c r="AC924" s="1040" t="e">
        <f t="shared" si="283"/>
        <v>#DIV/0!</v>
      </c>
      <c r="AD924" s="1040" t="e">
        <f t="shared" si="283"/>
        <v>#DIV/0!</v>
      </c>
      <c r="AE924" s="1040" t="e">
        <f t="shared" si="283"/>
        <v>#DIV/0!</v>
      </c>
      <c r="AF924" s="1040" t="e">
        <f t="shared" si="283"/>
        <v>#DIV/0!</v>
      </c>
      <c r="AG924" s="1040" t="e">
        <f t="shared" si="283"/>
        <v>#DIV/0!</v>
      </c>
      <c r="AH924" s="1040" t="e">
        <f t="shared" si="283"/>
        <v>#DIV/0!</v>
      </c>
      <c r="AI924" s="1040" t="e">
        <f t="shared" si="283"/>
        <v>#DIV/0!</v>
      </c>
      <c r="AJ924" s="1040" t="e">
        <f t="shared" si="283"/>
        <v>#DIV/0!</v>
      </c>
      <c r="AK924" s="1040" t="e">
        <f t="shared" si="283"/>
        <v>#DIV/0!</v>
      </c>
      <c r="AL924" s="1040" t="e">
        <f t="shared" si="283"/>
        <v>#DIV/0!</v>
      </c>
      <c r="AM924" s="1040" t="e">
        <f t="shared" si="283"/>
        <v>#DIV/0!</v>
      </c>
      <c r="AN924" s="1040" t="e">
        <f t="shared" si="283"/>
        <v>#DIV/0!</v>
      </c>
      <c r="AO924" s="1040" t="e">
        <f t="shared" si="283"/>
        <v>#DIV/0!</v>
      </c>
      <c r="AP924" s="1040" t="e">
        <f t="shared" si="283"/>
        <v>#DIV/0!</v>
      </c>
      <c r="AQ924" s="1040" t="e">
        <f t="shared" si="283"/>
        <v>#DIV/0!</v>
      </c>
      <c r="AR924" s="1040" t="e">
        <f t="shared" si="283"/>
        <v>#DIV/0!</v>
      </c>
      <c r="AS924" s="1040" t="e">
        <f t="shared" ref="AS924:AY924" si="284">IF(AS124="",0,IF(OR(1=RANK(AS524,AS$412:AS$790,0),(2=RANK(AS524,AS$412:AS$790,0))),AS524,AS124))</f>
        <v>#DIV/0!</v>
      </c>
      <c r="AT924" s="1040" t="e">
        <f t="shared" si="284"/>
        <v>#DIV/0!</v>
      </c>
      <c r="AU924" s="1040">
        <f t="shared" si="284"/>
        <v>0</v>
      </c>
      <c r="AV924" s="1040" t="e">
        <f t="shared" si="284"/>
        <v>#DIV/0!</v>
      </c>
      <c r="AW924" s="1040" t="e">
        <f t="shared" si="284"/>
        <v>#DIV/0!</v>
      </c>
      <c r="AX924" s="1040" t="e">
        <f t="shared" si="284"/>
        <v>#DIV/0!</v>
      </c>
      <c r="AY924" s="1040" t="e">
        <f t="shared" si="284"/>
        <v>#DIV/0!</v>
      </c>
      <c r="AZ924" s="1061" t="s">
        <v>21</v>
      </c>
      <c r="BC924" s="29"/>
      <c r="BD924" s="29"/>
      <c r="BE924" s="13"/>
      <c r="BL924" s="368"/>
    </row>
    <row r="925" spans="1:64" ht="12" customHeight="1" x14ac:dyDescent="0.2">
      <c r="A925" s="515">
        <f>acute_overview_children!A125</f>
        <v>2</v>
      </c>
      <c r="B925" s="131">
        <f t="shared" si="185"/>
        <v>230000</v>
      </c>
      <c r="C925" s="131" t="str">
        <f t="shared" si="186"/>
        <v>Fruiting vegetables</v>
      </c>
      <c r="D925" s="1035"/>
      <c r="E925" s="1027"/>
      <c r="F925" s="87"/>
      <c r="G925" s="87"/>
      <c r="H925" s="1027"/>
      <c r="I925" s="1030"/>
      <c r="J925" s="1037" t="e">
        <f t="shared" ref="J925:AR925" si="285">IF(J125="",0,IF(OR(1=RANK(J525,J$412:J$790,0),(2=RANK(J525,J$412:J$790,0))),J525,J125))</f>
        <v>#DIV/0!</v>
      </c>
      <c r="K925" s="1038" t="e">
        <f t="shared" si="285"/>
        <v>#DIV/0!</v>
      </c>
      <c r="L925" s="1038" t="e">
        <f t="shared" si="285"/>
        <v>#DIV/0!</v>
      </c>
      <c r="M925" s="1038" t="e">
        <f t="shared" si="285"/>
        <v>#DIV/0!</v>
      </c>
      <c r="N925" s="1038" t="e">
        <f t="shared" si="285"/>
        <v>#DIV/0!</v>
      </c>
      <c r="O925" s="1038" t="e">
        <f t="shared" si="285"/>
        <v>#DIV/0!</v>
      </c>
      <c r="P925" s="1038" t="e">
        <f t="shared" si="285"/>
        <v>#DIV/0!</v>
      </c>
      <c r="Q925" s="1038" t="e">
        <f t="shared" si="285"/>
        <v>#DIV/0!</v>
      </c>
      <c r="R925" s="1038" t="e">
        <f t="shared" si="285"/>
        <v>#DIV/0!</v>
      </c>
      <c r="S925" s="1038" t="e">
        <f t="shared" si="285"/>
        <v>#DIV/0!</v>
      </c>
      <c r="T925" s="1038" t="e">
        <f t="shared" si="285"/>
        <v>#DIV/0!</v>
      </c>
      <c r="U925" s="1038" t="e">
        <f t="shared" si="285"/>
        <v>#DIV/0!</v>
      </c>
      <c r="V925" s="1038" t="e">
        <f t="shared" si="285"/>
        <v>#DIV/0!</v>
      </c>
      <c r="W925" s="1038" t="e">
        <f t="shared" si="285"/>
        <v>#DIV/0!</v>
      </c>
      <c r="X925" s="1038" t="e">
        <f t="shared" si="285"/>
        <v>#DIV/0!</v>
      </c>
      <c r="Y925" s="1038" t="e">
        <f t="shared" si="285"/>
        <v>#DIV/0!</v>
      </c>
      <c r="Z925" s="1038" t="e">
        <f t="shared" si="285"/>
        <v>#DIV/0!</v>
      </c>
      <c r="AA925" s="1038" t="e">
        <f t="shared" si="285"/>
        <v>#DIV/0!</v>
      </c>
      <c r="AB925" s="1038" t="e">
        <f t="shared" si="285"/>
        <v>#DIV/0!</v>
      </c>
      <c r="AC925" s="1038" t="e">
        <f t="shared" si="285"/>
        <v>#DIV/0!</v>
      </c>
      <c r="AD925" s="1038" t="e">
        <f t="shared" si="285"/>
        <v>#DIV/0!</v>
      </c>
      <c r="AE925" s="1038" t="e">
        <f t="shared" si="285"/>
        <v>#DIV/0!</v>
      </c>
      <c r="AF925" s="1038" t="e">
        <f t="shared" si="285"/>
        <v>#DIV/0!</v>
      </c>
      <c r="AG925" s="1038" t="e">
        <f t="shared" si="285"/>
        <v>#DIV/0!</v>
      </c>
      <c r="AH925" s="1038" t="e">
        <f t="shared" si="285"/>
        <v>#DIV/0!</v>
      </c>
      <c r="AI925" s="1038" t="e">
        <f t="shared" si="285"/>
        <v>#DIV/0!</v>
      </c>
      <c r="AJ925" s="1038" t="e">
        <f t="shared" si="285"/>
        <v>#DIV/0!</v>
      </c>
      <c r="AK925" s="1038" t="e">
        <f t="shared" si="285"/>
        <v>#DIV/0!</v>
      </c>
      <c r="AL925" s="1038" t="e">
        <f t="shared" si="285"/>
        <v>#DIV/0!</v>
      </c>
      <c r="AM925" s="1038" t="e">
        <f t="shared" si="285"/>
        <v>#DIV/0!</v>
      </c>
      <c r="AN925" s="1038" t="e">
        <f t="shared" si="285"/>
        <v>#DIV/0!</v>
      </c>
      <c r="AO925" s="1038" t="e">
        <f t="shared" si="285"/>
        <v>#DIV/0!</v>
      </c>
      <c r="AP925" s="1038" t="e">
        <f t="shared" si="285"/>
        <v>#DIV/0!</v>
      </c>
      <c r="AQ925" s="1038" t="e">
        <f t="shared" si="285"/>
        <v>#DIV/0!</v>
      </c>
      <c r="AR925" s="1038" t="e">
        <f t="shared" si="285"/>
        <v>#DIV/0!</v>
      </c>
      <c r="AS925" s="1038" t="e">
        <f t="shared" ref="AS925:AY925" si="286">IF(AS125="",0,IF(OR(1=RANK(AS525,AS$412:AS$790,0),(2=RANK(AS525,AS$412:AS$790,0))),AS525,AS125))</f>
        <v>#DIV/0!</v>
      </c>
      <c r="AT925" s="1038" t="e">
        <f t="shared" si="286"/>
        <v>#DIV/0!</v>
      </c>
      <c r="AU925" s="1038">
        <f t="shared" si="286"/>
        <v>0</v>
      </c>
      <c r="AV925" s="1038" t="e">
        <f t="shared" si="286"/>
        <v>#DIV/0!</v>
      </c>
      <c r="AW925" s="1038" t="e">
        <f t="shared" si="286"/>
        <v>#DIV/0!</v>
      </c>
      <c r="AX925" s="1038" t="e">
        <f t="shared" si="286"/>
        <v>#DIV/0!</v>
      </c>
      <c r="AY925" s="1038" t="e">
        <f t="shared" si="286"/>
        <v>#DIV/0!</v>
      </c>
      <c r="AZ925" s="1061" t="s">
        <v>21</v>
      </c>
      <c r="BC925" s="29"/>
      <c r="BD925" s="29"/>
      <c r="BE925" s="13"/>
      <c r="BL925" s="368"/>
    </row>
    <row r="926" spans="1:64" ht="12" customHeight="1" x14ac:dyDescent="0.2">
      <c r="A926" s="132">
        <f>acute_overview_children!A126</f>
        <v>3</v>
      </c>
      <c r="B926" s="3">
        <f t="shared" si="185"/>
        <v>231000</v>
      </c>
      <c r="C926" s="3" t="str">
        <f t="shared" si="186"/>
        <v>Solanacea</v>
      </c>
      <c r="D926" s="1042"/>
      <c r="E926" s="1027"/>
      <c r="F926" s="87"/>
      <c r="G926" s="87"/>
      <c r="H926" s="1027"/>
      <c r="I926" s="1030"/>
      <c r="J926" s="1043" t="e">
        <f t="shared" ref="J926:AR926" si="287">IF(J126="",0,IF(OR(1=RANK(J526,J$412:J$790,0),(2=RANK(J526,J$412:J$790,0))),J526,J126))</f>
        <v>#DIV/0!</v>
      </c>
      <c r="K926" s="1044" t="e">
        <f t="shared" si="287"/>
        <v>#DIV/0!</v>
      </c>
      <c r="L926" s="1044" t="e">
        <f t="shared" si="287"/>
        <v>#DIV/0!</v>
      </c>
      <c r="M926" s="1044" t="e">
        <f t="shared" si="287"/>
        <v>#DIV/0!</v>
      </c>
      <c r="N926" s="1044" t="e">
        <f t="shared" si="287"/>
        <v>#DIV/0!</v>
      </c>
      <c r="O926" s="1044" t="e">
        <f t="shared" si="287"/>
        <v>#DIV/0!</v>
      </c>
      <c r="P926" s="1044" t="e">
        <f t="shared" si="287"/>
        <v>#DIV/0!</v>
      </c>
      <c r="Q926" s="1044" t="e">
        <f t="shared" si="287"/>
        <v>#DIV/0!</v>
      </c>
      <c r="R926" s="1044" t="e">
        <f t="shared" si="287"/>
        <v>#DIV/0!</v>
      </c>
      <c r="S926" s="1044" t="e">
        <f t="shared" si="287"/>
        <v>#DIV/0!</v>
      </c>
      <c r="T926" s="1044" t="e">
        <f t="shared" si="287"/>
        <v>#DIV/0!</v>
      </c>
      <c r="U926" s="1044" t="e">
        <f t="shared" si="287"/>
        <v>#DIV/0!</v>
      </c>
      <c r="V926" s="1044" t="e">
        <f t="shared" si="287"/>
        <v>#DIV/0!</v>
      </c>
      <c r="W926" s="1044" t="e">
        <f t="shared" si="287"/>
        <v>#DIV/0!</v>
      </c>
      <c r="X926" s="1044" t="e">
        <f t="shared" si="287"/>
        <v>#DIV/0!</v>
      </c>
      <c r="Y926" s="1044" t="e">
        <f t="shared" si="287"/>
        <v>#DIV/0!</v>
      </c>
      <c r="Z926" s="1044" t="e">
        <f t="shared" si="287"/>
        <v>#DIV/0!</v>
      </c>
      <c r="AA926" s="1044" t="e">
        <f t="shared" si="287"/>
        <v>#DIV/0!</v>
      </c>
      <c r="AB926" s="1044" t="e">
        <f t="shared" si="287"/>
        <v>#DIV/0!</v>
      </c>
      <c r="AC926" s="1044" t="e">
        <f t="shared" si="287"/>
        <v>#DIV/0!</v>
      </c>
      <c r="AD926" s="1044" t="e">
        <f t="shared" si="287"/>
        <v>#DIV/0!</v>
      </c>
      <c r="AE926" s="1044" t="e">
        <f t="shared" si="287"/>
        <v>#DIV/0!</v>
      </c>
      <c r="AF926" s="1044" t="e">
        <f t="shared" si="287"/>
        <v>#DIV/0!</v>
      </c>
      <c r="AG926" s="1044" t="e">
        <f t="shared" si="287"/>
        <v>#DIV/0!</v>
      </c>
      <c r="AH926" s="1044" t="e">
        <f t="shared" si="287"/>
        <v>#DIV/0!</v>
      </c>
      <c r="AI926" s="1044" t="e">
        <f t="shared" si="287"/>
        <v>#DIV/0!</v>
      </c>
      <c r="AJ926" s="1044" t="e">
        <f t="shared" si="287"/>
        <v>#DIV/0!</v>
      </c>
      <c r="AK926" s="1044" t="e">
        <f t="shared" si="287"/>
        <v>#DIV/0!</v>
      </c>
      <c r="AL926" s="1044" t="e">
        <f t="shared" si="287"/>
        <v>#DIV/0!</v>
      </c>
      <c r="AM926" s="1044" t="e">
        <f t="shared" si="287"/>
        <v>#DIV/0!</v>
      </c>
      <c r="AN926" s="1044" t="e">
        <f t="shared" si="287"/>
        <v>#DIV/0!</v>
      </c>
      <c r="AO926" s="1044" t="e">
        <f t="shared" si="287"/>
        <v>#DIV/0!</v>
      </c>
      <c r="AP926" s="1044" t="e">
        <f t="shared" si="287"/>
        <v>#DIV/0!</v>
      </c>
      <c r="AQ926" s="1044" t="e">
        <f t="shared" si="287"/>
        <v>#DIV/0!</v>
      </c>
      <c r="AR926" s="1044" t="e">
        <f t="shared" si="287"/>
        <v>#DIV/0!</v>
      </c>
      <c r="AS926" s="1044" t="e">
        <f t="shared" ref="AS926:AY926" si="288">IF(AS126="",0,IF(OR(1=RANK(AS526,AS$412:AS$790,0),(2=RANK(AS526,AS$412:AS$790,0))),AS526,AS126))</f>
        <v>#DIV/0!</v>
      </c>
      <c r="AT926" s="1044" t="e">
        <f t="shared" si="288"/>
        <v>#DIV/0!</v>
      </c>
      <c r="AU926" s="1044">
        <f t="shared" si="288"/>
        <v>0</v>
      </c>
      <c r="AV926" s="1044" t="e">
        <f t="shared" si="288"/>
        <v>#DIV/0!</v>
      </c>
      <c r="AW926" s="1044" t="e">
        <f t="shared" si="288"/>
        <v>#DIV/0!</v>
      </c>
      <c r="AX926" s="1044" t="e">
        <f t="shared" si="288"/>
        <v>#DIV/0!</v>
      </c>
      <c r="AY926" s="1044" t="e">
        <f t="shared" si="288"/>
        <v>#DIV/0!</v>
      </c>
      <c r="AZ926" s="1061" t="s">
        <v>21</v>
      </c>
      <c r="BC926" s="29"/>
      <c r="BD926" s="29"/>
      <c r="BE926" s="13"/>
      <c r="BL926" s="368"/>
    </row>
    <row r="927" spans="1:64" ht="12" customHeight="1" x14ac:dyDescent="0.2">
      <c r="A927" s="39">
        <f>acute_overview_children!A127</f>
        <v>4</v>
      </c>
      <c r="B927" s="23">
        <f t="shared" si="185"/>
        <v>231010</v>
      </c>
      <c r="C927" s="23" t="str">
        <f t="shared" si="186"/>
        <v>Tomatoes</v>
      </c>
      <c r="D927" s="135"/>
      <c r="E927" s="1027"/>
      <c r="F927" s="87"/>
      <c r="G927" s="87"/>
      <c r="H927" s="1027"/>
      <c r="I927" s="1030"/>
      <c r="J927" s="1039" t="e">
        <f t="shared" ref="J927:AR927" si="289">IF(J127="",0,IF(OR(1=RANK(J527,J$412:J$790,0),(2=RANK(J527,J$412:J$790,0))),J527,J127))</f>
        <v>#DIV/0!</v>
      </c>
      <c r="K927" s="1040" t="e">
        <f t="shared" si="289"/>
        <v>#DIV/0!</v>
      </c>
      <c r="L927" s="1040" t="e">
        <f t="shared" si="289"/>
        <v>#DIV/0!</v>
      </c>
      <c r="M927" s="1040" t="e">
        <f t="shared" si="289"/>
        <v>#DIV/0!</v>
      </c>
      <c r="N927" s="1040" t="e">
        <f t="shared" si="289"/>
        <v>#DIV/0!</v>
      </c>
      <c r="O927" s="1040" t="e">
        <f t="shared" si="289"/>
        <v>#DIV/0!</v>
      </c>
      <c r="P927" s="1040" t="e">
        <f t="shared" si="289"/>
        <v>#DIV/0!</v>
      </c>
      <c r="Q927" s="1040" t="e">
        <f t="shared" si="289"/>
        <v>#DIV/0!</v>
      </c>
      <c r="R927" s="1040" t="e">
        <f t="shared" si="289"/>
        <v>#DIV/0!</v>
      </c>
      <c r="S927" s="1040" t="e">
        <f t="shared" si="289"/>
        <v>#DIV/0!</v>
      </c>
      <c r="T927" s="1040" t="e">
        <f t="shared" si="289"/>
        <v>#DIV/0!</v>
      </c>
      <c r="U927" s="1040" t="e">
        <f t="shared" si="289"/>
        <v>#DIV/0!</v>
      </c>
      <c r="V927" s="1040" t="e">
        <f t="shared" si="289"/>
        <v>#DIV/0!</v>
      </c>
      <c r="W927" s="1040" t="e">
        <f t="shared" si="289"/>
        <v>#DIV/0!</v>
      </c>
      <c r="X927" s="1040" t="e">
        <f t="shared" si="289"/>
        <v>#DIV/0!</v>
      </c>
      <c r="Y927" s="1040" t="e">
        <f t="shared" si="289"/>
        <v>#DIV/0!</v>
      </c>
      <c r="Z927" s="1040" t="e">
        <f t="shared" si="289"/>
        <v>#DIV/0!</v>
      </c>
      <c r="AA927" s="1040" t="e">
        <f t="shared" si="289"/>
        <v>#DIV/0!</v>
      </c>
      <c r="AB927" s="1040" t="e">
        <f t="shared" si="289"/>
        <v>#DIV/0!</v>
      </c>
      <c r="AC927" s="1040" t="e">
        <f t="shared" si="289"/>
        <v>#DIV/0!</v>
      </c>
      <c r="AD927" s="1040" t="e">
        <f t="shared" si="289"/>
        <v>#DIV/0!</v>
      </c>
      <c r="AE927" s="1040" t="e">
        <f t="shared" si="289"/>
        <v>#DIV/0!</v>
      </c>
      <c r="AF927" s="1040" t="e">
        <f t="shared" si="289"/>
        <v>#DIV/0!</v>
      </c>
      <c r="AG927" s="1040" t="e">
        <f t="shared" si="289"/>
        <v>#DIV/0!</v>
      </c>
      <c r="AH927" s="1040" t="e">
        <f t="shared" si="289"/>
        <v>#DIV/0!</v>
      </c>
      <c r="AI927" s="1040" t="e">
        <f t="shared" si="289"/>
        <v>#DIV/0!</v>
      </c>
      <c r="AJ927" s="1040" t="e">
        <f t="shared" si="289"/>
        <v>#DIV/0!</v>
      </c>
      <c r="AK927" s="1040" t="e">
        <f t="shared" si="289"/>
        <v>#DIV/0!</v>
      </c>
      <c r="AL927" s="1040" t="e">
        <f t="shared" si="289"/>
        <v>#DIV/0!</v>
      </c>
      <c r="AM927" s="1040" t="e">
        <f t="shared" si="289"/>
        <v>#DIV/0!</v>
      </c>
      <c r="AN927" s="1040" t="e">
        <f t="shared" si="289"/>
        <v>#DIV/0!</v>
      </c>
      <c r="AO927" s="1040" t="e">
        <f t="shared" si="289"/>
        <v>#DIV/0!</v>
      </c>
      <c r="AP927" s="1040" t="e">
        <f t="shared" si="289"/>
        <v>#DIV/0!</v>
      </c>
      <c r="AQ927" s="1040" t="e">
        <f t="shared" si="289"/>
        <v>#DIV/0!</v>
      </c>
      <c r="AR927" s="1040" t="e">
        <f t="shared" si="289"/>
        <v>#DIV/0!</v>
      </c>
      <c r="AS927" s="1040" t="e">
        <f t="shared" ref="AS927:AY927" si="290">IF(AS127="",0,IF(OR(1=RANK(AS527,AS$412:AS$790,0),(2=RANK(AS527,AS$412:AS$790,0))),AS527,AS127))</f>
        <v>#DIV/0!</v>
      </c>
      <c r="AT927" s="1040" t="e">
        <f t="shared" si="290"/>
        <v>#DIV/0!</v>
      </c>
      <c r="AU927" s="1040">
        <f t="shared" si="290"/>
        <v>0</v>
      </c>
      <c r="AV927" s="1040" t="e">
        <f t="shared" si="290"/>
        <v>#DIV/0!</v>
      </c>
      <c r="AW927" s="1040" t="e">
        <f t="shared" si="290"/>
        <v>#DIV/0!</v>
      </c>
      <c r="AX927" s="1040" t="e">
        <f t="shared" si="290"/>
        <v>#DIV/0!</v>
      </c>
      <c r="AY927" s="1040" t="e">
        <f t="shared" si="290"/>
        <v>#DIV/0!</v>
      </c>
      <c r="AZ927" s="1061" t="s">
        <v>21</v>
      </c>
      <c r="BC927" s="29"/>
      <c r="BD927" s="29"/>
      <c r="BE927" s="13"/>
      <c r="BL927" s="368"/>
    </row>
    <row r="928" spans="1:64" ht="12" customHeight="1" x14ac:dyDescent="0.2">
      <c r="A928" s="39">
        <f>acute_overview_children!A128</f>
        <v>4</v>
      </c>
      <c r="B928" s="23">
        <f t="shared" si="185"/>
        <v>231020</v>
      </c>
      <c r="C928" s="23" t="str">
        <f t="shared" si="186"/>
        <v>Sweet peppers/bell peppers</v>
      </c>
      <c r="D928" s="135"/>
      <c r="E928" s="1027"/>
      <c r="F928" s="87"/>
      <c r="G928" s="87"/>
      <c r="H928" s="1027"/>
      <c r="I928" s="1030"/>
      <c r="J928" s="1039" t="e">
        <f t="shared" ref="J928:AR928" si="291">IF(J128="",0,IF(OR(1=RANK(J528,J$412:J$790,0),(2=RANK(J528,J$412:J$790,0))),J528,J128))</f>
        <v>#DIV/0!</v>
      </c>
      <c r="K928" s="1040" t="e">
        <f t="shared" si="291"/>
        <v>#DIV/0!</v>
      </c>
      <c r="L928" s="1040" t="e">
        <f t="shared" si="291"/>
        <v>#DIV/0!</v>
      </c>
      <c r="M928" s="1040" t="e">
        <f t="shared" si="291"/>
        <v>#DIV/0!</v>
      </c>
      <c r="N928" s="1040" t="e">
        <f t="shared" si="291"/>
        <v>#DIV/0!</v>
      </c>
      <c r="O928" s="1040" t="e">
        <f t="shared" si="291"/>
        <v>#DIV/0!</v>
      </c>
      <c r="P928" s="1040" t="e">
        <f t="shared" si="291"/>
        <v>#DIV/0!</v>
      </c>
      <c r="Q928" s="1040" t="e">
        <f t="shared" si="291"/>
        <v>#DIV/0!</v>
      </c>
      <c r="R928" s="1040" t="e">
        <f t="shared" si="291"/>
        <v>#DIV/0!</v>
      </c>
      <c r="S928" s="1040" t="e">
        <f t="shared" si="291"/>
        <v>#DIV/0!</v>
      </c>
      <c r="T928" s="1040" t="e">
        <f t="shared" si="291"/>
        <v>#DIV/0!</v>
      </c>
      <c r="U928" s="1040" t="e">
        <f t="shared" si="291"/>
        <v>#DIV/0!</v>
      </c>
      <c r="V928" s="1040" t="e">
        <f t="shared" si="291"/>
        <v>#DIV/0!</v>
      </c>
      <c r="W928" s="1040" t="e">
        <f t="shared" si="291"/>
        <v>#DIV/0!</v>
      </c>
      <c r="X928" s="1040" t="e">
        <f t="shared" si="291"/>
        <v>#DIV/0!</v>
      </c>
      <c r="Y928" s="1040" t="e">
        <f t="shared" si="291"/>
        <v>#DIV/0!</v>
      </c>
      <c r="Z928" s="1040" t="e">
        <f t="shared" si="291"/>
        <v>#DIV/0!</v>
      </c>
      <c r="AA928" s="1040" t="e">
        <f t="shared" si="291"/>
        <v>#DIV/0!</v>
      </c>
      <c r="AB928" s="1040" t="e">
        <f t="shared" si="291"/>
        <v>#DIV/0!</v>
      </c>
      <c r="AC928" s="1040" t="e">
        <f t="shared" si="291"/>
        <v>#DIV/0!</v>
      </c>
      <c r="AD928" s="1040" t="e">
        <f t="shared" si="291"/>
        <v>#DIV/0!</v>
      </c>
      <c r="AE928" s="1040" t="e">
        <f t="shared" si="291"/>
        <v>#DIV/0!</v>
      </c>
      <c r="AF928" s="1040" t="e">
        <f t="shared" si="291"/>
        <v>#DIV/0!</v>
      </c>
      <c r="AG928" s="1040" t="e">
        <f t="shared" si="291"/>
        <v>#DIV/0!</v>
      </c>
      <c r="AH928" s="1040" t="e">
        <f t="shared" si="291"/>
        <v>#DIV/0!</v>
      </c>
      <c r="AI928" s="1040" t="e">
        <f t="shared" si="291"/>
        <v>#DIV/0!</v>
      </c>
      <c r="AJ928" s="1040" t="e">
        <f t="shared" si="291"/>
        <v>#DIV/0!</v>
      </c>
      <c r="AK928" s="1040" t="e">
        <f t="shared" si="291"/>
        <v>#DIV/0!</v>
      </c>
      <c r="AL928" s="1040" t="e">
        <f t="shared" si="291"/>
        <v>#DIV/0!</v>
      </c>
      <c r="AM928" s="1040" t="e">
        <f t="shared" si="291"/>
        <v>#DIV/0!</v>
      </c>
      <c r="AN928" s="1040" t="e">
        <f t="shared" si="291"/>
        <v>#DIV/0!</v>
      </c>
      <c r="AO928" s="1040" t="e">
        <f t="shared" si="291"/>
        <v>#DIV/0!</v>
      </c>
      <c r="AP928" s="1040" t="e">
        <f t="shared" si="291"/>
        <v>#DIV/0!</v>
      </c>
      <c r="AQ928" s="1040" t="e">
        <f t="shared" si="291"/>
        <v>#DIV/0!</v>
      </c>
      <c r="AR928" s="1040" t="e">
        <f t="shared" si="291"/>
        <v>#DIV/0!</v>
      </c>
      <c r="AS928" s="1040" t="e">
        <f t="shared" ref="AS928:AY928" si="292">IF(AS128="",0,IF(OR(1=RANK(AS528,AS$412:AS$790,0),(2=RANK(AS528,AS$412:AS$790,0))),AS528,AS128))</f>
        <v>#DIV/0!</v>
      </c>
      <c r="AT928" s="1040" t="e">
        <f t="shared" si="292"/>
        <v>#DIV/0!</v>
      </c>
      <c r="AU928" s="1040">
        <f t="shared" si="292"/>
        <v>0</v>
      </c>
      <c r="AV928" s="1040" t="e">
        <f t="shared" si="292"/>
        <v>#DIV/0!</v>
      </c>
      <c r="AW928" s="1040" t="e">
        <f t="shared" si="292"/>
        <v>#DIV/0!</v>
      </c>
      <c r="AX928" s="1040" t="e">
        <f t="shared" si="292"/>
        <v>#DIV/0!</v>
      </c>
      <c r="AY928" s="1040" t="e">
        <f t="shared" si="292"/>
        <v>#DIV/0!</v>
      </c>
      <c r="AZ928" s="1061" t="s">
        <v>21</v>
      </c>
      <c r="BC928" s="29"/>
      <c r="BD928" s="29"/>
      <c r="BE928" s="13"/>
      <c r="BL928" s="368"/>
    </row>
    <row r="929" spans="1:64" ht="12" customHeight="1" x14ac:dyDescent="0.2">
      <c r="A929" s="39">
        <f>acute_overview_children!A129</f>
        <v>4</v>
      </c>
      <c r="B929" s="23">
        <f t="shared" si="185"/>
        <v>231030</v>
      </c>
      <c r="C929" s="23" t="str">
        <f t="shared" si="186"/>
        <v>Aubergines/egg plants</v>
      </c>
      <c r="D929" s="135"/>
      <c r="E929" s="1027"/>
      <c r="F929" s="87"/>
      <c r="G929" s="87"/>
      <c r="H929" s="1027"/>
      <c r="I929" s="1030"/>
      <c r="J929" s="1039" t="e">
        <f t="shared" ref="J929:AR929" si="293">IF(J129="",0,IF(OR(1=RANK(J529,J$412:J$790,0),(2=RANK(J529,J$412:J$790,0))),J529,J129))</f>
        <v>#DIV/0!</v>
      </c>
      <c r="K929" s="1040" t="e">
        <f t="shared" si="293"/>
        <v>#DIV/0!</v>
      </c>
      <c r="L929" s="1040" t="e">
        <f t="shared" si="293"/>
        <v>#DIV/0!</v>
      </c>
      <c r="M929" s="1040" t="e">
        <f t="shared" si="293"/>
        <v>#DIV/0!</v>
      </c>
      <c r="N929" s="1040" t="e">
        <f t="shared" si="293"/>
        <v>#DIV/0!</v>
      </c>
      <c r="O929" s="1040" t="e">
        <f t="shared" si="293"/>
        <v>#DIV/0!</v>
      </c>
      <c r="P929" s="1040" t="e">
        <f t="shared" si="293"/>
        <v>#DIV/0!</v>
      </c>
      <c r="Q929" s="1040" t="e">
        <f t="shared" si="293"/>
        <v>#DIV/0!</v>
      </c>
      <c r="R929" s="1040" t="e">
        <f t="shared" si="293"/>
        <v>#DIV/0!</v>
      </c>
      <c r="S929" s="1040" t="e">
        <f t="shared" si="293"/>
        <v>#DIV/0!</v>
      </c>
      <c r="T929" s="1040" t="e">
        <f t="shared" si="293"/>
        <v>#DIV/0!</v>
      </c>
      <c r="U929" s="1040" t="e">
        <f t="shared" si="293"/>
        <v>#DIV/0!</v>
      </c>
      <c r="V929" s="1040" t="e">
        <f t="shared" si="293"/>
        <v>#DIV/0!</v>
      </c>
      <c r="W929" s="1040" t="e">
        <f t="shared" si="293"/>
        <v>#DIV/0!</v>
      </c>
      <c r="X929" s="1040" t="e">
        <f t="shared" si="293"/>
        <v>#DIV/0!</v>
      </c>
      <c r="Y929" s="1040" t="e">
        <f t="shared" si="293"/>
        <v>#DIV/0!</v>
      </c>
      <c r="Z929" s="1040" t="e">
        <f t="shared" si="293"/>
        <v>#DIV/0!</v>
      </c>
      <c r="AA929" s="1040" t="e">
        <f t="shared" si="293"/>
        <v>#DIV/0!</v>
      </c>
      <c r="AB929" s="1040" t="e">
        <f t="shared" si="293"/>
        <v>#DIV/0!</v>
      </c>
      <c r="AC929" s="1040" t="e">
        <f t="shared" si="293"/>
        <v>#DIV/0!</v>
      </c>
      <c r="AD929" s="1040" t="e">
        <f t="shared" si="293"/>
        <v>#DIV/0!</v>
      </c>
      <c r="AE929" s="1040" t="e">
        <f t="shared" si="293"/>
        <v>#DIV/0!</v>
      </c>
      <c r="AF929" s="1040" t="e">
        <f t="shared" si="293"/>
        <v>#DIV/0!</v>
      </c>
      <c r="AG929" s="1040" t="e">
        <f t="shared" si="293"/>
        <v>#DIV/0!</v>
      </c>
      <c r="AH929" s="1040" t="e">
        <f t="shared" si="293"/>
        <v>#DIV/0!</v>
      </c>
      <c r="AI929" s="1040" t="e">
        <f t="shared" si="293"/>
        <v>#DIV/0!</v>
      </c>
      <c r="AJ929" s="1040" t="e">
        <f t="shared" si="293"/>
        <v>#DIV/0!</v>
      </c>
      <c r="AK929" s="1040" t="e">
        <f t="shared" si="293"/>
        <v>#DIV/0!</v>
      </c>
      <c r="AL929" s="1040" t="e">
        <f t="shared" si="293"/>
        <v>#DIV/0!</v>
      </c>
      <c r="AM929" s="1040" t="e">
        <f t="shared" si="293"/>
        <v>#DIV/0!</v>
      </c>
      <c r="AN929" s="1040" t="e">
        <f t="shared" si="293"/>
        <v>#DIV/0!</v>
      </c>
      <c r="AO929" s="1040" t="e">
        <f t="shared" si="293"/>
        <v>#DIV/0!</v>
      </c>
      <c r="AP929" s="1040" t="e">
        <f t="shared" si="293"/>
        <v>#DIV/0!</v>
      </c>
      <c r="AQ929" s="1040" t="e">
        <f t="shared" si="293"/>
        <v>#DIV/0!</v>
      </c>
      <c r="AR929" s="1040" t="e">
        <f t="shared" si="293"/>
        <v>#DIV/0!</v>
      </c>
      <c r="AS929" s="1040" t="e">
        <f t="shared" ref="AS929:AY929" si="294">IF(AS129="",0,IF(OR(1=RANK(AS529,AS$412:AS$790,0),(2=RANK(AS529,AS$412:AS$790,0))),AS529,AS129))</f>
        <v>#DIV/0!</v>
      </c>
      <c r="AT929" s="1040" t="e">
        <f t="shared" si="294"/>
        <v>#DIV/0!</v>
      </c>
      <c r="AU929" s="1040">
        <f t="shared" si="294"/>
        <v>0</v>
      </c>
      <c r="AV929" s="1040" t="e">
        <f t="shared" si="294"/>
        <v>#DIV/0!</v>
      </c>
      <c r="AW929" s="1040" t="e">
        <f t="shared" si="294"/>
        <v>#DIV/0!</v>
      </c>
      <c r="AX929" s="1040" t="e">
        <f t="shared" si="294"/>
        <v>#DIV/0!</v>
      </c>
      <c r="AY929" s="1040" t="e">
        <f t="shared" si="294"/>
        <v>#DIV/0!</v>
      </c>
      <c r="AZ929" s="1061" t="s">
        <v>21</v>
      </c>
      <c r="BC929" s="29"/>
      <c r="BD929" s="29"/>
      <c r="BE929" s="13"/>
      <c r="BL929" s="368"/>
    </row>
    <row r="930" spans="1:64" ht="12" customHeight="1" x14ac:dyDescent="0.2">
      <c r="A930" s="39">
        <f>acute_overview_children!A130</f>
        <v>4</v>
      </c>
      <c r="B930" s="23">
        <f t="shared" si="185"/>
        <v>231040</v>
      </c>
      <c r="C930" s="23" t="str">
        <f t="shared" si="186"/>
        <v>Okra/lady’s fingers</v>
      </c>
      <c r="D930" s="135"/>
      <c r="E930" s="1027"/>
      <c r="F930" s="87"/>
      <c r="G930" s="87"/>
      <c r="H930" s="1027"/>
      <c r="I930" s="1030"/>
      <c r="J930" s="1039" t="e">
        <f t="shared" ref="J930:AR930" si="295">IF(J130="",0,IF(OR(1=RANK(J530,J$412:J$790,0),(2=RANK(J530,J$412:J$790,0))),J530,J130))</f>
        <v>#DIV/0!</v>
      </c>
      <c r="K930" s="1040" t="e">
        <f t="shared" si="295"/>
        <v>#DIV/0!</v>
      </c>
      <c r="L930" s="1040" t="e">
        <f t="shared" si="295"/>
        <v>#DIV/0!</v>
      </c>
      <c r="M930" s="1040" t="e">
        <f t="shared" si="295"/>
        <v>#DIV/0!</v>
      </c>
      <c r="N930" s="1040" t="e">
        <f t="shared" si="295"/>
        <v>#DIV/0!</v>
      </c>
      <c r="O930" s="1040" t="e">
        <f t="shared" si="295"/>
        <v>#DIV/0!</v>
      </c>
      <c r="P930" s="1040" t="e">
        <f t="shared" si="295"/>
        <v>#DIV/0!</v>
      </c>
      <c r="Q930" s="1040" t="e">
        <f t="shared" si="295"/>
        <v>#DIV/0!</v>
      </c>
      <c r="R930" s="1040" t="e">
        <f t="shared" si="295"/>
        <v>#DIV/0!</v>
      </c>
      <c r="S930" s="1040" t="e">
        <f t="shared" si="295"/>
        <v>#DIV/0!</v>
      </c>
      <c r="T930" s="1040" t="e">
        <f t="shared" si="295"/>
        <v>#DIV/0!</v>
      </c>
      <c r="U930" s="1040" t="e">
        <f t="shared" si="295"/>
        <v>#DIV/0!</v>
      </c>
      <c r="V930" s="1040" t="e">
        <f t="shared" si="295"/>
        <v>#DIV/0!</v>
      </c>
      <c r="W930" s="1040" t="e">
        <f t="shared" si="295"/>
        <v>#DIV/0!</v>
      </c>
      <c r="X930" s="1040" t="e">
        <f t="shared" si="295"/>
        <v>#DIV/0!</v>
      </c>
      <c r="Y930" s="1040" t="e">
        <f t="shared" si="295"/>
        <v>#DIV/0!</v>
      </c>
      <c r="Z930" s="1040" t="e">
        <f t="shared" si="295"/>
        <v>#DIV/0!</v>
      </c>
      <c r="AA930" s="1040" t="e">
        <f t="shared" si="295"/>
        <v>#DIV/0!</v>
      </c>
      <c r="AB930" s="1040" t="e">
        <f t="shared" si="295"/>
        <v>#DIV/0!</v>
      </c>
      <c r="AC930" s="1040" t="e">
        <f t="shared" si="295"/>
        <v>#DIV/0!</v>
      </c>
      <c r="AD930" s="1040" t="e">
        <f t="shared" si="295"/>
        <v>#DIV/0!</v>
      </c>
      <c r="AE930" s="1040" t="e">
        <f t="shared" si="295"/>
        <v>#DIV/0!</v>
      </c>
      <c r="AF930" s="1040" t="e">
        <f t="shared" si="295"/>
        <v>#DIV/0!</v>
      </c>
      <c r="AG930" s="1040" t="e">
        <f t="shared" si="295"/>
        <v>#DIV/0!</v>
      </c>
      <c r="AH930" s="1040" t="e">
        <f t="shared" si="295"/>
        <v>#DIV/0!</v>
      </c>
      <c r="AI930" s="1040" t="e">
        <f t="shared" si="295"/>
        <v>#DIV/0!</v>
      </c>
      <c r="AJ930" s="1040" t="e">
        <f t="shared" si="295"/>
        <v>#DIV/0!</v>
      </c>
      <c r="AK930" s="1040" t="e">
        <f t="shared" si="295"/>
        <v>#DIV/0!</v>
      </c>
      <c r="AL930" s="1040" t="e">
        <f t="shared" si="295"/>
        <v>#DIV/0!</v>
      </c>
      <c r="AM930" s="1040" t="e">
        <f t="shared" si="295"/>
        <v>#DIV/0!</v>
      </c>
      <c r="AN930" s="1040" t="e">
        <f t="shared" si="295"/>
        <v>#DIV/0!</v>
      </c>
      <c r="AO930" s="1040" t="e">
        <f t="shared" si="295"/>
        <v>#DIV/0!</v>
      </c>
      <c r="AP930" s="1040" t="e">
        <f t="shared" si="295"/>
        <v>#DIV/0!</v>
      </c>
      <c r="AQ930" s="1040" t="e">
        <f t="shared" si="295"/>
        <v>#DIV/0!</v>
      </c>
      <c r="AR930" s="1040" t="e">
        <f t="shared" si="295"/>
        <v>#DIV/0!</v>
      </c>
      <c r="AS930" s="1040" t="e">
        <f t="shared" ref="AS930:AY930" si="296">IF(AS130="",0,IF(OR(1=RANK(AS530,AS$412:AS$790,0),(2=RANK(AS530,AS$412:AS$790,0))),AS530,AS130))</f>
        <v>#DIV/0!</v>
      </c>
      <c r="AT930" s="1040" t="e">
        <f t="shared" si="296"/>
        <v>#DIV/0!</v>
      </c>
      <c r="AU930" s="1040">
        <f t="shared" si="296"/>
        <v>0</v>
      </c>
      <c r="AV930" s="1040" t="e">
        <f t="shared" si="296"/>
        <v>#DIV/0!</v>
      </c>
      <c r="AW930" s="1040" t="e">
        <f t="shared" si="296"/>
        <v>#DIV/0!</v>
      </c>
      <c r="AX930" s="1040" t="e">
        <f t="shared" si="296"/>
        <v>#DIV/0!</v>
      </c>
      <c r="AY930" s="1040" t="e">
        <f t="shared" si="296"/>
        <v>#DIV/0!</v>
      </c>
      <c r="AZ930" s="1061" t="s">
        <v>21</v>
      </c>
      <c r="BC930" s="29"/>
      <c r="BD930" s="29"/>
      <c r="BE930" s="13"/>
      <c r="BL930" s="368"/>
    </row>
    <row r="931" spans="1:64" ht="12" customHeight="1" x14ac:dyDescent="0.2">
      <c r="A931" s="39">
        <f>acute_overview_children!A131</f>
        <v>4</v>
      </c>
      <c r="B931" s="23">
        <f t="shared" si="185"/>
        <v>231990</v>
      </c>
      <c r="C931" s="23" t="str">
        <f t="shared" si="186"/>
        <v>Other solanacea</v>
      </c>
      <c r="D931" s="135"/>
      <c r="E931" s="1027"/>
      <c r="F931" s="87"/>
      <c r="G931" s="87"/>
      <c r="H931" s="1027"/>
      <c r="I931" s="1030"/>
      <c r="J931" s="1039" t="e">
        <f t="shared" ref="J931:AR931" si="297">IF(J131="",0,IF(OR(1=RANK(J531,J$412:J$790,0),(2=RANK(J531,J$412:J$790,0))),J531,J131))</f>
        <v>#DIV/0!</v>
      </c>
      <c r="K931" s="1040" t="e">
        <f t="shared" si="297"/>
        <v>#DIV/0!</v>
      </c>
      <c r="L931" s="1040" t="e">
        <f t="shared" si="297"/>
        <v>#DIV/0!</v>
      </c>
      <c r="M931" s="1040" t="e">
        <f t="shared" si="297"/>
        <v>#DIV/0!</v>
      </c>
      <c r="N931" s="1040" t="e">
        <f t="shared" si="297"/>
        <v>#DIV/0!</v>
      </c>
      <c r="O931" s="1040" t="e">
        <f t="shared" si="297"/>
        <v>#DIV/0!</v>
      </c>
      <c r="P931" s="1040" t="e">
        <f t="shared" si="297"/>
        <v>#DIV/0!</v>
      </c>
      <c r="Q931" s="1040" t="e">
        <f t="shared" si="297"/>
        <v>#DIV/0!</v>
      </c>
      <c r="R931" s="1040" t="e">
        <f t="shared" si="297"/>
        <v>#DIV/0!</v>
      </c>
      <c r="S931" s="1040" t="e">
        <f t="shared" si="297"/>
        <v>#DIV/0!</v>
      </c>
      <c r="T931" s="1040" t="e">
        <f t="shared" si="297"/>
        <v>#DIV/0!</v>
      </c>
      <c r="U931" s="1040" t="e">
        <f t="shared" si="297"/>
        <v>#DIV/0!</v>
      </c>
      <c r="V931" s="1040" t="e">
        <f t="shared" si="297"/>
        <v>#DIV/0!</v>
      </c>
      <c r="W931" s="1040" t="e">
        <f t="shared" si="297"/>
        <v>#DIV/0!</v>
      </c>
      <c r="X931" s="1040" t="e">
        <f t="shared" si="297"/>
        <v>#DIV/0!</v>
      </c>
      <c r="Y931" s="1040" t="e">
        <f t="shared" si="297"/>
        <v>#DIV/0!</v>
      </c>
      <c r="Z931" s="1040" t="e">
        <f t="shared" si="297"/>
        <v>#DIV/0!</v>
      </c>
      <c r="AA931" s="1040" t="e">
        <f t="shared" si="297"/>
        <v>#DIV/0!</v>
      </c>
      <c r="AB931" s="1040" t="e">
        <f t="shared" si="297"/>
        <v>#DIV/0!</v>
      </c>
      <c r="AC931" s="1040" t="e">
        <f t="shared" si="297"/>
        <v>#DIV/0!</v>
      </c>
      <c r="AD931" s="1040" t="e">
        <f t="shared" si="297"/>
        <v>#DIV/0!</v>
      </c>
      <c r="AE931" s="1040" t="e">
        <f t="shared" si="297"/>
        <v>#DIV/0!</v>
      </c>
      <c r="AF931" s="1040" t="e">
        <f t="shared" si="297"/>
        <v>#DIV/0!</v>
      </c>
      <c r="AG931" s="1040" t="e">
        <f t="shared" si="297"/>
        <v>#DIV/0!</v>
      </c>
      <c r="AH931" s="1040" t="e">
        <f t="shared" si="297"/>
        <v>#DIV/0!</v>
      </c>
      <c r="AI931" s="1040" t="e">
        <f t="shared" si="297"/>
        <v>#DIV/0!</v>
      </c>
      <c r="AJ931" s="1040" t="e">
        <f t="shared" si="297"/>
        <v>#DIV/0!</v>
      </c>
      <c r="AK931" s="1040" t="e">
        <f t="shared" si="297"/>
        <v>#DIV/0!</v>
      </c>
      <c r="AL931" s="1040" t="e">
        <f t="shared" si="297"/>
        <v>#DIV/0!</v>
      </c>
      <c r="AM931" s="1040" t="e">
        <f t="shared" si="297"/>
        <v>#DIV/0!</v>
      </c>
      <c r="AN931" s="1040" t="e">
        <f t="shared" si="297"/>
        <v>#DIV/0!</v>
      </c>
      <c r="AO931" s="1040" t="e">
        <f t="shared" si="297"/>
        <v>#DIV/0!</v>
      </c>
      <c r="AP931" s="1040" t="e">
        <f t="shared" si="297"/>
        <v>#DIV/0!</v>
      </c>
      <c r="AQ931" s="1040" t="e">
        <f t="shared" si="297"/>
        <v>#DIV/0!</v>
      </c>
      <c r="AR931" s="1040" t="e">
        <f t="shared" si="297"/>
        <v>#DIV/0!</v>
      </c>
      <c r="AS931" s="1040" t="e">
        <f t="shared" ref="AS931:AY931" si="298">IF(AS131="",0,IF(OR(1=RANK(AS531,AS$412:AS$790,0),(2=RANK(AS531,AS$412:AS$790,0))),AS531,AS131))</f>
        <v>#DIV/0!</v>
      </c>
      <c r="AT931" s="1040" t="e">
        <f t="shared" si="298"/>
        <v>#DIV/0!</v>
      </c>
      <c r="AU931" s="1040">
        <f t="shared" si="298"/>
        <v>0</v>
      </c>
      <c r="AV931" s="1040" t="e">
        <f t="shared" si="298"/>
        <v>#DIV/0!</v>
      </c>
      <c r="AW931" s="1040" t="e">
        <f t="shared" si="298"/>
        <v>#DIV/0!</v>
      </c>
      <c r="AX931" s="1040" t="e">
        <f t="shared" si="298"/>
        <v>#DIV/0!</v>
      </c>
      <c r="AY931" s="1040" t="e">
        <f t="shared" si="298"/>
        <v>#DIV/0!</v>
      </c>
      <c r="AZ931" s="1061" t="s">
        <v>21</v>
      </c>
      <c r="BC931" s="29"/>
      <c r="BD931" s="29"/>
      <c r="BE931" s="13"/>
      <c r="BL931" s="368"/>
    </row>
    <row r="932" spans="1:64" ht="12" customHeight="1" x14ac:dyDescent="0.2">
      <c r="A932" s="132">
        <f>acute_overview_children!A132</f>
        <v>3</v>
      </c>
      <c r="B932" s="3">
        <f t="shared" si="185"/>
        <v>232000</v>
      </c>
      <c r="C932" s="3" t="str">
        <f t="shared" si="186"/>
        <v>Cucurbits - edible peel</v>
      </c>
      <c r="D932" s="1042"/>
      <c r="E932" s="1027"/>
      <c r="F932" s="87"/>
      <c r="G932" s="87"/>
      <c r="H932" s="1027"/>
      <c r="I932" s="1030"/>
      <c r="J932" s="1043" t="e">
        <f t="shared" ref="J932:AR932" si="299">IF(J132="",0,IF(OR(1=RANK(J532,J$412:J$790,0),(2=RANK(J532,J$412:J$790,0))),J532,J132))</f>
        <v>#DIV/0!</v>
      </c>
      <c r="K932" s="1044" t="e">
        <f t="shared" si="299"/>
        <v>#DIV/0!</v>
      </c>
      <c r="L932" s="1044" t="e">
        <f t="shared" si="299"/>
        <v>#DIV/0!</v>
      </c>
      <c r="M932" s="1044" t="e">
        <f t="shared" si="299"/>
        <v>#DIV/0!</v>
      </c>
      <c r="N932" s="1044" t="e">
        <f t="shared" si="299"/>
        <v>#DIV/0!</v>
      </c>
      <c r="O932" s="1044" t="e">
        <f t="shared" si="299"/>
        <v>#DIV/0!</v>
      </c>
      <c r="P932" s="1044" t="e">
        <f t="shared" si="299"/>
        <v>#DIV/0!</v>
      </c>
      <c r="Q932" s="1044" t="e">
        <f t="shared" si="299"/>
        <v>#DIV/0!</v>
      </c>
      <c r="R932" s="1044" t="e">
        <f t="shared" si="299"/>
        <v>#DIV/0!</v>
      </c>
      <c r="S932" s="1044" t="e">
        <f t="shared" si="299"/>
        <v>#DIV/0!</v>
      </c>
      <c r="T932" s="1044" t="e">
        <f t="shared" si="299"/>
        <v>#DIV/0!</v>
      </c>
      <c r="U932" s="1044" t="e">
        <f t="shared" si="299"/>
        <v>#DIV/0!</v>
      </c>
      <c r="V932" s="1044" t="e">
        <f t="shared" si="299"/>
        <v>#DIV/0!</v>
      </c>
      <c r="W932" s="1044" t="e">
        <f t="shared" si="299"/>
        <v>#DIV/0!</v>
      </c>
      <c r="X932" s="1044" t="e">
        <f t="shared" si="299"/>
        <v>#DIV/0!</v>
      </c>
      <c r="Y932" s="1044" t="e">
        <f t="shared" si="299"/>
        <v>#DIV/0!</v>
      </c>
      <c r="Z932" s="1044" t="e">
        <f t="shared" si="299"/>
        <v>#DIV/0!</v>
      </c>
      <c r="AA932" s="1044" t="e">
        <f t="shared" si="299"/>
        <v>#DIV/0!</v>
      </c>
      <c r="AB932" s="1044" t="e">
        <f t="shared" si="299"/>
        <v>#DIV/0!</v>
      </c>
      <c r="AC932" s="1044" t="e">
        <f t="shared" si="299"/>
        <v>#DIV/0!</v>
      </c>
      <c r="AD932" s="1044" t="e">
        <f t="shared" si="299"/>
        <v>#DIV/0!</v>
      </c>
      <c r="AE932" s="1044" t="e">
        <f t="shared" si="299"/>
        <v>#DIV/0!</v>
      </c>
      <c r="AF932" s="1044" t="e">
        <f t="shared" si="299"/>
        <v>#DIV/0!</v>
      </c>
      <c r="AG932" s="1044" t="e">
        <f t="shared" si="299"/>
        <v>#DIV/0!</v>
      </c>
      <c r="AH932" s="1044" t="e">
        <f t="shared" si="299"/>
        <v>#DIV/0!</v>
      </c>
      <c r="AI932" s="1044" t="e">
        <f t="shared" si="299"/>
        <v>#DIV/0!</v>
      </c>
      <c r="AJ932" s="1044" t="e">
        <f t="shared" si="299"/>
        <v>#DIV/0!</v>
      </c>
      <c r="AK932" s="1044" t="e">
        <f t="shared" si="299"/>
        <v>#DIV/0!</v>
      </c>
      <c r="AL932" s="1044" t="e">
        <f t="shared" si="299"/>
        <v>#DIV/0!</v>
      </c>
      <c r="AM932" s="1044" t="e">
        <f t="shared" si="299"/>
        <v>#DIV/0!</v>
      </c>
      <c r="AN932" s="1044" t="e">
        <f t="shared" si="299"/>
        <v>#DIV/0!</v>
      </c>
      <c r="AO932" s="1044" t="e">
        <f t="shared" si="299"/>
        <v>#DIV/0!</v>
      </c>
      <c r="AP932" s="1044" t="e">
        <f t="shared" si="299"/>
        <v>#DIV/0!</v>
      </c>
      <c r="AQ932" s="1044" t="e">
        <f t="shared" si="299"/>
        <v>#DIV/0!</v>
      </c>
      <c r="AR932" s="1044" t="e">
        <f t="shared" si="299"/>
        <v>#DIV/0!</v>
      </c>
      <c r="AS932" s="1044" t="e">
        <f t="shared" ref="AS932:AY932" si="300">IF(AS132="",0,IF(OR(1=RANK(AS532,AS$412:AS$790,0),(2=RANK(AS532,AS$412:AS$790,0))),AS532,AS132))</f>
        <v>#DIV/0!</v>
      </c>
      <c r="AT932" s="1044" t="e">
        <f t="shared" si="300"/>
        <v>#DIV/0!</v>
      </c>
      <c r="AU932" s="1044">
        <f t="shared" si="300"/>
        <v>0</v>
      </c>
      <c r="AV932" s="1044" t="e">
        <f t="shared" si="300"/>
        <v>#DIV/0!</v>
      </c>
      <c r="AW932" s="1044" t="e">
        <f t="shared" si="300"/>
        <v>#DIV/0!</v>
      </c>
      <c r="AX932" s="1044" t="e">
        <f t="shared" si="300"/>
        <v>#DIV/0!</v>
      </c>
      <c r="AY932" s="1044" t="e">
        <f t="shared" si="300"/>
        <v>#DIV/0!</v>
      </c>
      <c r="AZ932" s="1061" t="s">
        <v>21</v>
      </c>
      <c r="BC932" s="29"/>
      <c r="BD932" s="29"/>
      <c r="BE932" s="13"/>
      <c r="BL932" s="368"/>
    </row>
    <row r="933" spans="1:64" ht="12" customHeight="1" x14ac:dyDescent="0.2">
      <c r="A933" s="39">
        <f>acute_overview_children!A133</f>
        <v>4</v>
      </c>
      <c r="B933" s="23">
        <f t="shared" si="185"/>
        <v>232010</v>
      </c>
      <c r="C933" s="23" t="str">
        <f t="shared" si="186"/>
        <v>Cucumbers</v>
      </c>
      <c r="D933" s="135"/>
      <c r="E933" s="1027"/>
      <c r="F933" s="87"/>
      <c r="G933" s="87"/>
      <c r="H933" s="1027"/>
      <c r="I933" s="1030"/>
      <c r="J933" s="1039" t="e">
        <f t="shared" ref="J933:AR933" si="301">IF(J133="",0,IF(OR(1=RANK(J533,J$412:J$790,0),(2=RANK(J533,J$412:J$790,0))),J533,J133))</f>
        <v>#DIV/0!</v>
      </c>
      <c r="K933" s="1040" t="e">
        <f t="shared" si="301"/>
        <v>#DIV/0!</v>
      </c>
      <c r="L933" s="1040" t="e">
        <f t="shared" si="301"/>
        <v>#DIV/0!</v>
      </c>
      <c r="M933" s="1040" t="e">
        <f t="shared" si="301"/>
        <v>#DIV/0!</v>
      </c>
      <c r="N933" s="1040" t="e">
        <f t="shared" si="301"/>
        <v>#DIV/0!</v>
      </c>
      <c r="O933" s="1040" t="e">
        <f t="shared" si="301"/>
        <v>#DIV/0!</v>
      </c>
      <c r="P933" s="1040" t="e">
        <f t="shared" si="301"/>
        <v>#DIV/0!</v>
      </c>
      <c r="Q933" s="1040" t="e">
        <f t="shared" si="301"/>
        <v>#DIV/0!</v>
      </c>
      <c r="R933" s="1040" t="e">
        <f t="shared" si="301"/>
        <v>#DIV/0!</v>
      </c>
      <c r="S933" s="1040" t="e">
        <f t="shared" si="301"/>
        <v>#DIV/0!</v>
      </c>
      <c r="T933" s="1040" t="e">
        <f t="shared" si="301"/>
        <v>#DIV/0!</v>
      </c>
      <c r="U933" s="1040" t="e">
        <f t="shared" si="301"/>
        <v>#DIV/0!</v>
      </c>
      <c r="V933" s="1040" t="e">
        <f t="shared" si="301"/>
        <v>#DIV/0!</v>
      </c>
      <c r="W933" s="1040" t="e">
        <f t="shared" si="301"/>
        <v>#DIV/0!</v>
      </c>
      <c r="X933" s="1040" t="e">
        <f t="shared" si="301"/>
        <v>#DIV/0!</v>
      </c>
      <c r="Y933" s="1040" t="e">
        <f t="shared" si="301"/>
        <v>#DIV/0!</v>
      </c>
      <c r="Z933" s="1040" t="e">
        <f t="shared" si="301"/>
        <v>#DIV/0!</v>
      </c>
      <c r="AA933" s="1040" t="e">
        <f t="shared" si="301"/>
        <v>#DIV/0!</v>
      </c>
      <c r="AB933" s="1040" t="e">
        <f t="shared" si="301"/>
        <v>#DIV/0!</v>
      </c>
      <c r="AC933" s="1040" t="e">
        <f t="shared" si="301"/>
        <v>#DIV/0!</v>
      </c>
      <c r="AD933" s="1040" t="e">
        <f t="shared" si="301"/>
        <v>#DIV/0!</v>
      </c>
      <c r="AE933" s="1040" t="e">
        <f t="shared" si="301"/>
        <v>#DIV/0!</v>
      </c>
      <c r="AF933" s="1040" t="e">
        <f t="shared" si="301"/>
        <v>#DIV/0!</v>
      </c>
      <c r="AG933" s="1040" t="e">
        <f t="shared" si="301"/>
        <v>#DIV/0!</v>
      </c>
      <c r="AH933" s="1040" t="e">
        <f t="shared" si="301"/>
        <v>#DIV/0!</v>
      </c>
      <c r="AI933" s="1040" t="e">
        <f t="shared" si="301"/>
        <v>#DIV/0!</v>
      </c>
      <c r="AJ933" s="1040" t="e">
        <f t="shared" si="301"/>
        <v>#DIV/0!</v>
      </c>
      <c r="AK933" s="1040" t="e">
        <f t="shared" si="301"/>
        <v>#DIV/0!</v>
      </c>
      <c r="AL933" s="1040" t="e">
        <f t="shared" si="301"/>
        <v>#DIV/0!</v>
      </c>
      <c r="AM933" s="1040" t="e">
        <f t="shared" si="301"/>
        <v>#DIV/0!</v>
      </c>
      <c r="AN933" s="1040" t="e">
        <f t="shared" si="301"/>
        <v>#DIV/0!</v>
      </c>
      <c r="AO933" s="1040" t="e">
        <f t="shared" si="301"/>
        <v>#DIV/0!</v>
      </c>
      <c r="AP933" s="1040" t="e">
        <f t="shared" si="301"/>
        <v>#DIV/0!</v>
      </c>
      <c r="AQ933" s="1040" t="e">
        <f t="shared" si="301"/>
        <v>#DIV/0!</v>
      </c>
      <c r="AR933" s="1040" t="e">
        <f t="shared" si="301"/>
        <v>#DIV/0!</v>
      </c>
      <c r="AS933" s="1040" t="e">
        <f t="shared" ref="AS933:AY933" si="302">IF(AS133="",0,IF(OR(1=RANK(AS533,AS$412:AS$790,0),(2=RANK(AS533,AS$412:AS$790,0))),AS533,AS133))</f>
        <v>#DIV/0!</v>
      </c>
      <c r="AT933" s="1040" t="e">
        <f t="shared" si="302"/>
        <v>#DIV/0!</v>
      </c>
      <c r="AU933" s="1040">
        <f t="shared" si="302"/>
        <v>0</v>
      </c>
      <c r="AV933" s="1040" t="e">
        <f t="shared" si="302"/>
        <v>#DIV/0!</v>
      </c>
      <c r="AW933" s="1040" t="e">
        <f t="shared" si="302"/>
        <v>#DIV/0!</v>
      </c>
      <c r="AX933" s="1040" t="e">
        <f t="shared" si="302"/>
        <v>#DIV/0!</v>
      </c>
      <c r="AY933" s="1040" t="e">
        <f t="shared" si="302"/>
        <v>#DIV/0!</v>
      </c>
      <c r="AZ933" s="1061" t="s">
        <v>21</v>
      </c>
      <c r="BC933" s="29"/>
      <c r="BD933" s="29"/>
      <c r="BE933" s="13"/>
      <c r="BL933" s="368"/>
    </row>
    <row r="934" spans="1:64" ht="12" customHeight="1" x14ac:dyDescent="0.2">
      <c r="A934" s="39">
        <f>acute_overview_children!A134</f>
        <v>4</v>
      </c>
      <c r="B934" s="23">
        <f t="shared" si="185"/>
        <v>232020</v>
      </c>
      <c r="C934" s="23" t="str">
        <f t="shared" si="186"/>
        <v>Gherkins</v>
      </c>
      <c r="D934" s="135"/>
      <c r="E934" s="1027"/>
      <c r="F934" s="87"/>
      <c r="G934" s="87"/>
      <c r="H934" s="1027"/>
      <c r="I934" s="1030"/>
      <c r="J934" s="1039" t="e">
        <f t="shared" ref="J934:AR934" si="303">IF(J134="",0,IF(OR(1=RANK(J534,J$412:J$790,0),(2=RANK(J534,J$412:J$790,0))),J534,J134))</f>
        <v>#DIV/0!</v>
      </c>
      <c r="K934" s="1040" t="e">
        <f t="shared" si="303"/>
        <v>#DIV/0!</v>
      </c>
      <c r="L934" s="1040" t="e">
        <f t="shared" si="303"/>
        <v>#DIV/0!</v>
      </c>
      <c r="M934" s="1040" t="e">
        <f t="shared" si="303"/>
        <v>#DIV/0!</v>
      </c>
      <c r="N934" s="1040" t="e">
        <f t="shared" si="303"/>
        <v>#DIV/0!</v>
      </c>
      <c r="O934" s="1040" t="e">
        <f t="shared" si="303"/>
        <v>#DIV/0!</v>
      </c>
      <c r="P934" s="1040" t="e">
        <f t="shared" si="303"/>
        <v>#DIV/0!</v>
      </c>
      <c r="Q934" s="1040" t="e">
        <f t="shared" si="303"/>
        <v>#DIV/0!</v>
      </c>
      <c r="R934" s="1040" t="e">
        <f t="shared" si="303"/>
        <v>#DIV/0!</v>
      </c>
      <c r="S934" s="1040" t="e">
        <f t="shared" si="303"/>
        <v>#DIV/0!</v>
      </c>
      <c r="T934" s="1040" t="e">
        <f t="shared" si="303"/>
        <v>#DIV/0!</v>
      </c>
      <c r="U934" s="1040" t="e">
        <f t="shared" si="303"/>
        <v>#DIV/0!</v>
      </c>
      <c r="V934" s="1040" t="e">
        <f t="shared" si="303"/>
        <v>#DIV/0!</v>
      </c>
      <c r="W934" s="1040" t="e">
        <f t="shared" si="303"/>
        <v>#DIV/0!</v>
      </c>
      <c r="X934" s="1040" t="e">
        <f t="shared" si="303"/>
        <v>#DIV/0!</v>
      </c>
      <c r="Y934" s="1040" t="e">
        <f t="shared" si="303"/>
        <v>#DIV/0!</v>
      </c>
      <c r="Z934" s="1040" t="e">
        <f t="shared" si="303"/>
        <v>#DIV/0!</v>
      </c>
      <c r="AA934" s="1040" t="e">
        <f t="shared" si="303"/>
        <v>#DIV/0!</v>
      </c>
      <c r="AB934" s="1040" t="e">
        <f t="shared" si="303"/>
        <v>#DIV/0!</v>
      </c>
      <c r="AC934" s="1040" t="e">
        <f t="shared" si="303"/>
        <v>#DIV/0!</v>
      </c>
      <c r="AD934" s="1040" t="e">
        <f t="shared" si="303"/>
        <v>#DIV/0!</v>
      </c>
      <c r="AE934" s="1040" t="e">
        <f t="shared" si="303"/>
        <v>#DIV/0!</v>
      </c>
      <c r="AF934" s="1040" t="e">
        <f t="shared" si="303"/>
        <v>#DIV/0!</v>
      </c>
      <c r="AG934" s="1040" t="e">
        <f t="shared" si="303"/>
        <v>#DIV/0!</v>
      </c>
      <c r="AH934" s="1040" t="e">
        <f t="shared" si="303"/>
        <v>#DIV/0!</v>
      </c>
      <c r="AI934" s="1040" t="e">
        <f t="shared" si="303"/>
        <v>#DIV/0!</v>
      </c>
      <c r="AJ934" s="1040" t="e">
        <f t="shared" si="303"/>
        <v>#DIV/0!</v>
      </c>
      <c r="AK934" s="1040" t="e">
        <f t="shared" si="303"/>
        <v>#DIV/0!</v>
      </c>
      <c r="AL934" s="1040" t="e">
        <f t="shared" si="303"/>
        <v>#DIV/0!</v>
      </c>
      <c r="AM934" s="1040" t="e">
        <f t="shared" si="303"/>
        <v>#DIV/0!</v>
      </c>
      <c r="AN934" s="1040" t="e">
        <f t="shared" si="303"/>
        <v>#DIV/0!</v>
      </c>
      <c r="AO934" s="1040" t="e">
        <f t="shared" si="303"/>
        <v>#DIV/0!</v>
      </c>
      <c r="AP934" s="1040" t="e">
        <f t="shared" si="303"/>
        <v>#DIV/0!</v>
      </c>
      <c r="AQ934" s="1040" t="e">
        <f t="shared" si="303"/>
        <v>#DIV/0!</v>
      </c>
      <c r="AR934" s="1040" t="e">
        <f t="shared" si="303"/>
        <v>#DIV/0!</v>
      </c>
      <c r="AS934" s="1040" t="e">
        <f t="shared" ref="AS934:AY934" si="304">IF(AS134="",0,IF(OR(1=RANK(AS534,AS$412:AS$790,0),(2=RANK(AS534,AS$412:AS$790,0))),AS534,AS134))</f>
        <v>#DIV/0!</v>
      </c>
      <c r="AT934" s="1040" t="e">
        <f t="shared" si="304"/>
        <v>#DIV/0!</v>
      </c>
      <c r="AU934" s="1040">
        <f t="shared" si="304"/>
        <v>0</v>
      </c>
      <c r="AV934" s="1040" t="e">
        <f t="shared" si="304"/>
        <v>#DIV/0!</v>
      </c>
      <c r="AW934" s="1040" t="e">
        <f t="shared" si="304"/>
        <v>#DIV/0!</v>
      </c>
      <c r="AX934" s="1040" t="e">
        <f t="shared" si="304"/>
        <v>#DIV/0!</v>
      </c>
      <c r="AY934" s="1040" t="e">
        <f t="shared" si="304"/>
        <v>#DIV/0!</v>
      </c>
      <c r="AZ934" s="1061" t="s">
        <v>21</v>
      </c>
      <c r="BC934" s="29"/>
      <c r="BD934" s="29"/>
      <c r="BE934" s="13"/>
      <c r="BL934" s="368"/>
    </row>
    <row r="935" spans="1:64" ht="12" customHeight="1" x14ac:dyDescent="0.2">
      <c r="A935" s="39">
        <f>acute_overview_children!A135</f>
        <v>4</v>
      </c>
      <c r="B935" s="23">
        <f t="shared" si="185"/>
        <v>232030</v>
      </c>
      <c r="C935" s="23" t="str">
        <f t="shared" si="186"/>
        <v>Courgettes</v>
      </c>
      <c r="D935" s="135"/>
      <c r="E935" s="1027"/>
      <c r="F935" s="87"/>
      <c r="G935" s="87"/>
      <c r="H935" s="1027"/>
      <c r="I935" s="1030"/>
      <c r="J935" s="1039" t="e">
        <f t="shared" ref="J935:AR935" si="305">IF(J135="",0,IF(OR(1=RANK(J535,J$412:J$790,0),(2=RANK(J535,J$412:J$790,0))),J535,J135))</f>
        <v>#DIV/0!</v>
      </c>
      <c r="K935" s="1040" t="e">
        <f t="shared" si="305"/>
        <v>#DIV/0!</v>
      </c>
      <c r="L935" s="1040" t="e">
        <f t="shared" si="305"/>
        <v>#DIV/0!</v>
      </c>
      <c r="M935" s="1040" t="e">
        <f t="shared" si="305"/>
        <v>#DIV/0!</v>
      </c>
      <c r="N935" s="1040" t="e">
        <f t="shared" si="305"/>
        <v>#DIV/0!</v>
      </c>
      <c r="O935" s="1040" t="e">
        <f t="shared" si="305"/>
        <v>#DIV/0!</v>
      </c>
      <c r="P935" s="1040" t="e">
        <f t="shared" si="305"/>
        <v>#DIV/0!</v>
      </c>
      <c r="Q935" s="1040" t="e">
        <f t="shared" si="305"/>
        <v>#DIV/0!</v>
      </c>
      <c r="R935" s="1040" t="e">
        <f t="shared" si="305"/>
        <v>#DIV/0!</v>
      </c>
      <c r="S935" s="1040" t="e">
        <f t="shared" si="305"/>
        <v>#DIV/0!</v>
      </c>
      <c r="T935" s="1040" t="e">
        <f t="shared" si="305"/>
        <v>#DIV/0!</v>
      </c>
      <c r="U935" s="1040" t="e">
        <f t="shared" si="305"/>
        <v>#DIV/0!</v>
      </c>
      <c r="V935" s="1040" t="e">
        <f t="shared" si="305"/>
        <v>#DIV/0!</v>
      </c>
      <c r="W935" s="1040" t="e">
        <f t="shared" si="305"/>
        <v>#DIV/0!</v>
      </c>
      <c r="X935" s="1040" t="e">
        <f t="shared" si="305"/>
        <v>#DIV/0!</v>
      </c>
      <c r="Y935" s="1040" t="e">
        <f t="shared" si="305"/>
        <v>#DIV/0!</v>
      </c>
      <c r="Z935" s="1040" t="e">
        <f t="shared" si="305"/>
        <v>#DIV/0!</v>
      </c>
      <c r="AA935" s="1040" t="e">
        <f t="shared" si="305"/>
        <v>#DIV/0!</v>
      </c>
      <c r="AB935" s="1040" t="e">
        <f t="shared" si="305"/>
        <v>#DIV/0!</v>
      </c>
      <c r="AC935" s="1040" t="e">
        <f t="shared" si="305"/>
        <v>#DIV/0!</v>
      </c>
      <c r="AD935" s="1040" t="e">
        <f t="shared" si="305"/>
        <v>#DIV/0!</v>
      </c>
      <c r="AE935" s="1040" t="e">
        <f t="shared" si="305"/>
        <v>#DIV/0!</v>
      </c>
      <c r="AF935" s="1040" t="e">
        <f t="shared" si="305"/>
        <v>#DIV/0!</v>
      </c>
      <c r="AG935" s="1040" t="e">
        <f t="shared" si="305"/>
        <v>#DIV/0!</v>
      </c>
      <c r="AH935" s="1040" t="e">
        <f t="shared" si="305"/>
        <v>#DIV/0!</v>
      </c>
      <c r="AI935" s="1040" t="e">
        <f t="shared" si="305"/>
        <v>#DIV/0!</v>
      </c>
      <c r="AJ935" s="1040" t="e">
        <f t="shared" si="305"/>
        <v>#DIV/0!</v>
      </c>
      <c r="AK935" s="1040" t="e">
        <f t="shared" si="305"/>
        <v>#DIV/0!</v>
      </c>
      <c r="AL935" s="1040" t="e">
        <f t="shared" si="305"/>
        <v>#DIV/0!</v>
      </c>
      <c r="AM935" s="1040" t="e">
        <f t="shared" si="305"/>
        <v>#DIV/0!</v>
      </c>
      <c r="AN935" s="1040" t="e">
        <f t="shared" si="305"/>
        <v>#DIV/0!</v>
      </c>
      <c r="AO935" s="1040" t="e">
        <f t="shared" si="305"/>
        <v>#DIV/0!</v>
      </c>
      <c r="AP935" s="1040" t="e">
        <f t="shared" si="305"/>
        <v>#DIV/0!</v>
      </c>
      <c r="AQ935" s="1040" t="e">
        <f t="shared" si="305"/>
        <v>#DIV/0!</v>
      </c>
      <c r="AR935" s="1040" t="e">
        <f t="shared" si="305"/>
        <v>#DIV/0!</v>
      </c>
      <c r="AS935" s="1040" t="e">
        <f t="shared" ref="AS935:AY935" si="306">IF(AS135="",0,IF(OR(1=RANK(AS535,AS$412:AS$790,0),(2=RANK(AS535,AS$412:AS$790,0))),AS535,AS135))</f>
        <v>#DIV/0!</v>
      </c>
      <c r="AT935" s="1040" t="e">
        <f t="shared" si="306"/>
        <v>#DIV/0!</v>
      </c>
      <c r="AU935" s="1040">
        <f t="shared" si="306"/>
        <v>0</v>
      </c>
      <c r="AV935" s="1040" t="e">
        <f t="shared" si="306"/>
        <v>#DIV/0!</v>
      </c>
      <c r="AW935" s="1040" t="e">
        <f t="shared" si="306"/>
        <v>#DIV/0!</v>
      </c>
      <c r="AX935" s="1040" t="e">
        <f t="shared" si="306"/>
        <v>#DIV/0!</v>
      </c>
      <c r="AY935" s="1040" t="e">
        <f t="shared" si="306"/>
        <v>#DIV/0!</v>
      </c>
      <c r="AZ935" s="1061" t="s">
        <v>21</v>
      </c>
      <c r="BC935" s="29"/>
      <c r="BD935" s="29"/>
      <c r="BE935" s="13"/>
      <c r="BL935" s="368"/>
    </row>
    <row r="936" spans="1:64" ht="12" customHeight="1" x14ac:dyDescent="0.2">
      <c r="A936" s="39">
        <f>acute_overview_children!A136</f>
        <v>4</v>
      </c>
      <c r="B936" s="23">
        <f t="shared" si="185"/>
        <v>232990</v>
      </c>
      <c r="C936" s="23" t="str">
        <f t="shared" si="186"/>
        <v>Other cucurbits - edible peel</v>
      </c>
      <c r="D936" s="135"/>
      <c r="E936" s="1027"/>
      <c r="F936" s="87"/>
      <c r="G936" s="87"/>
      <c r="H936" s="1027"/>
      <c r="I936" s="1030"/>
      <c r="J936" s="1039" t="e">
        <f t="shared" ref="J936:AR936" si="307">IF(J136="",0,IF(OR(1=RANK(J536,J$412:J$790,0),(2=RANK(J536,J$412:J$790,0))),J536,J136))</f>
        <v>#DIV/0!</v>
      </c>
      <c r="K936" s="1040" t="e">
        <f t="shared" si="307"/>
        <v>#DIV/0!</v>
      </c>
      <c r="L936" s="1040" t="e">
        <f t="shared" si="307"/>
        <v>#DIV/0!</v>
      </c>
      <c r="M936" s="1040" t="e">
        <f t="shared" si="307"/>
        <v>#DIV/0!</v>
      </c>
      <c r="N936" s="1040" t="e">
        <f t="shared" si="307"/>
        <v>#DIV/0!</v>
      </c>
      <c r="O936" s="1040" t="e">
        <f t="shared" si="307"/>
        <v>#DIV/0!</v>
      </c>
      <c r="P936" s="1040" t="e">
        <f t="shared" si="307"/>
        <v>#DIV/0!</v>
      </c>
      <c r="Q936" s="1040" t="e">
        <f t="shared" si="307"/>
        <v>#DIV/0!</v>
      </c>
      <c r="R936" s="1040" t="e">
        <f t="shared" si="307"/>
        <v>#DIV/0!</v>
      </c>
      <c r="S936" s="1040" t="e">
        <f t="shared" si="307"/>
        <v>#DIV/0!</v>
      </c>
      <c r="T936" s="1040" t="e">
        <f t="shared" si="307"/>
        <v>#DIV/0!</v>
      </c>
      <c r="U936" s="1040" t="e">
        <f t="shared" si="307"/>
        <v>#DIV/0!</v>
      </c>
      <c r="V936" s="1040" t="e">
        <f t="shared" si="307"/>
        <v>#DIV/0!</v>
      </c>
      <c r="W936" s="1040" t="e">
        <f t="shared" si="307"/>
        <v>#DIV/0!</v>
      </c>
      <c r="X936" s="1040" t="e">
        <f t="shared" si="307"/>
        <v>#DIV/0!</v>
      </c>
      <c r="Y936" s="1040" t="e">
        <f t="shared" si="307"/>
        <v>#DIV/0!</v>
      </c>
      <c r="Z936" s="1040" t="e">
        <f t="shared" si="307"/>
        <v>#DIV/0!</v>
      </c>
      <c r="AA936" s="1040" t="e">
        <f t="shared" si="307"/>
        <v>#DIV/0!</v>
      </c>
      <c r="AB936" s="1040" t="e">
        <f t="shared" si="307"/>
        <v>#DIV/0!</v>
      </c>
      <c r="AC936" s="1040" t="e">
        <f t="shared" si="307"/>
        <v>#DIV/0!</v>
      </c>
      <c r="AD936" s="1040" t="e">
        <f t="shared" si="307"/>
        <v>#DIV/0!</v>
      </c>
      <c r="AE936" s="1040" t="e">
        <f t="shared" si="307"/>
        <v>#DIV/0!</v>
      </c>
      <c r="AF936" s="1040" t="e">
        <f t="shared" si="307"/>
        <v>#DIV/0!</v>
      </c>
      <c r="AG936" s="1040" t="e">
        <f t="shared" si="307"/>
        <v>#DIV/0!</v>
      </c>
      <c r="AH936" s="1040" t="e">
        <f t="shared" si="307"/>
        <v>#DIV/0!</v>
      </c>
      <c r="AI936" s="1040" t="e">
        <f t="shared" si="307"/>
        <v>#DIV/0!</v>
      </c>
      <c r="AJ936" s="1040" t="e">
        <f t="shared" si="307"/>
        <v>#DIV/0!</v>
      </c>
      <c r="AK936" s="1040" t="e">
        <f t="shared" si="307"/>
        <v>#DIV/0!</v>
      </c>
      <c r="AL936" s="1040" t="e">
        <f t="shared" si="307"/>
        <v>#DIV/0!</v>
      </c>
      <c r="AM936" s="1040" t="e">
        <f t="shared" si="307"/>
        <v>#DIV/0!</v>
      </c>
      <c r="AN936" s="1040" t="e">
        <f t="shared" si="307"/>
        <v>#DIV/0!</v>
      </c>
      <c r="AO936" s="1040" t="e">
        <f t="shared" si="307"/>
        <v>#DIV/0!</v>
      </c>
      <c r="AP936" s="1040" t="e">
        <f t="shared" si="307"/>
        <v>#DIV/0!</v>
      </c>
      <c r="AQ936" s="1040" t="e">
        <f t="shared" si="307"/>
        <v>#DIV/0!</v>
      </c>
      <c r="AR936" s="1040" t="e">
        <f t="shared" si="307"/>
        <v>#DIV/0!</v>
      </c>
      <c r="AS936" s="1040" t="e">
        <f t="shared" ref="AS936:AY936" si="308">IF(AS136="",0,IF(OR(1=RANK(AS536,AS$412:AS$790,0),(2=RANK(AS536,AS$412:AS$790,0))),AS536,AS136))</f>
        <v>#DIV/0!</v>
      </c>
      <c r="AT936" s="1040" t="e">
        <f t="shared" si="308"/>
        <v>#DIV/0!</v>
      </c>
      <c r="AU936" s="1040">
        <f t="shared" si="308"/>
        <v>0</v>
      </c>
      <c r="AV936" s="1040" t="e">
        <f t="shared" si="308"/>
        <v>#DIV/0!</v>
      </c>
      <c r="AW936" s="1040" t="e">
        <f t="shared" si="308"/>
        <v>#DIV/0!</v>
      </c>
      <c r="AX936" s="1040" t="e">
        <f t="shared" si="308"/>
        <v>#DIV/0!</v>
      </c>
      <c r="AY936" s="1040" t="e">
        <f t="shared" si="308"/>
        <v>#DIV/0!</v>
      </c>
      <c r="AZ936" s="1061" t="s">
        <v>21</v>
      </c>
      <c r="BC936" s="29"/>
      <c r="BD936" s="29"/>
      <c r="BE936" s="13"/>
      <c r="BL936" s="368"/>
    </row>
    <row r="937" spans="1:64" ht="12" customHeight="1" x14ac:dyDescent="0.2">
      <c r="A937" s="132">
        <f>acute_overview_children!A137</f>
        <v>3</v>
      </c>
      <c r="B937" s="3">
        <f t="shared" si="185"/>
        <v>233000</v>
      </c>
      <c r="C937" s="3" t="str">
        <f t="shared" si="186"/>
        <v>Cucurbits - inedible peel</v>
      </c>
      <c r="D937" s="1042"/>
      <c r="E937" s="1027"/>
      <c r="F937" s="87"/>
      <c r="G937" s="87"/>
      <c r="H937" s="1027"/>
      <c r="I937" s="1030"/>
      <c r="J937" s="1043" t="e">
        <f t="shared" ref="J937:AR937" si="309">IF(J137="",0,IF(OR(1=RANK(J537,J$412:J$790,0),(2=RANK(J537,J$412:J$790,0))),J537,J137))</f>
        <v>#DIV/0!</v>
      </c>
      <c r="K937" s="1044" t="e">
        <f t="shared" si="309"/>
        <v>#DIV/0!</v>
      </c>
      <c r="L937" s="1044" t="e">
        <f t="shared" si="309"/>
        <v>#DIV/0!</v>
      </c>
      <c r="M937" s="1044" t="e">
        <f t="shared" si="309"/>
        <v>#DIV/0!</v>
      </c>
      <c r="N937" s="1044" t="e">
        <f t="shared" si="309"/>
        <v>#DIV/0!</v>
      </c>
      <c r="O937" s="1044" t="e">
        <f t="shared" si="309"/>
        <v>#DIV/0!</v>
      </c>
      <c r="P937" s="1044" t="e">
        <f t="shared" si="309"/>
        <v>#DIV/0!</v>
      </c>
      <c r="Q937" s="1044" t="e">
        <f t="shared" si="309"/>
        <v>#DIV/0!</v>
      </c>
      <c r="R937" s="1044" t="e">
        <f t="shared" si="309"/>
        <v>#DIV/0!</v>
      </c>
      <c r="S937" s="1044" t="e">
        <f t="shared" si="309"/>
        <v>#DIV/0!</v>
      </c>
      <c r="T937" s="1044" t="e">
        <f t="shared" si="309"/>
        <v>#DIV/0!</v>
      </c>
      <c r="U937" s="1044" t="e">
        <f t="shared" si="309"/>
        <v>#DIV/0!</v>
      </c>
      <c r="V937" s="1044" t="e">
        <f t="shared" si="309"/>
        <v>#DIV/0!</v>
      </c>
      <c r="W937" s="1044" t="e">
        <f t="shared" si="309"/>
        <v>#DIV/0!</v>
      </c>
      <c r="X937" s="1044" t="e">
        <f t="shared" si="309"/>
        <v>#DIV/0!</v>
      </c>
      <c r="Y937" s="1044" t="e">
        <f t="shared" si="309"/>
        <v>#DIV/0!</v>
      </c>
      <c r="Z937" s="1044" t="e">
        <f t="shared" si="309"/>
        <v>#DIV/0!</v>
      </c>
      <c r="AA937" s="1044" t="e">
        <f t="shared" si="309"/>
        <v>#DIV/0!</v>
      </c>
      <c r="AB937" s="1044" t="e">
        <f t="shared" si="309"/>
        <v>#DIV/0!</v>
      </c>
      <c r="AC937" s="1044" t="e">
        <f t="shared" si="309"/>
        <v>#DIV/0!</v>
      </c>
      <c r="AD937" s="1044" t="e">
        <f t="shared" si="309"/>
        <v>#DIV/0!</v>
      </c>
      <c r="AE937" s="1044" t="e">
        <f t="shared" si="309"/>
        <v>#DIV/0!</v>
      </c>
      <c r="AF937" s="1044" t="e">
        <f t="shared" si="309"/>
        <v>#DIV/0!</v>
      </c>
      <c r="AG937" s="1044" t="e">
        <f t="shared" si="309"/>
        <v>#DIV/0!</v>
      </c>
      <c r="AH937" s="1044" t="e">
        <f t="shared" si="309"/>
        <v>#DIV/0!</v>
      </c>
      <c r="AI937" s="1044" t="e">
        <f t="shared" si="309"/>
        <v>#DIV/0!</v>
      </c>
      <c r="AJ937" s="1044" t="e">
        <f t="shared" si="309"/>
        <v>#DIV/0!</v>
      </c>
      <c r="AK937" s="1044" t="e">
        <f t="shared" si="309"/>
        <v>#DIV/0!</v>
      </c>
      <c r="AL937" s="1044" t="e">
        <f t="shared" si="309"/>
        <v>#DIV/0!</v>
      </c>
      <c r="AM937" s="1044" t="e">
        <f t="shared" si="309"/>
        <v>#DIV/0!</v>
      </c>
      <c r="AN937" s="1044" t="e">
        <f t="shared" si="309"/>
        <v>#DIV/0!</v>
      </c>
      <c r="AO937" s="1044" t="e">
        <f t="shared" si="309"/>
        <v>#DIV/0!</v>
      </c>
      <c r="AP937" s="1044" t="e">
        <f t="shared" si="309"/>
        <v>#DIV/0!</v>
      </c>
      <c r="AQ937" s="1044" t="e">
        <f t="shared" si="309"/>
        <v>#DIV/0!</v>
      </c>
      <c r="AR937" s="1044" t="e">
        <f t="shared" si="309"/>
        <v>#DIV/0!</v>
      </c>
      <c r="AS937" s="1044" t="e">
        <f t="shared" ref="AS937:AY937" si="310">IF(AS137="",0,IF(OR(1=RANK(AS537,AS$412:AS$790,0),(2=RANK(AS537,AS$412:AS$790,0))),AS537,AS137))</f>
        <v>#DIV/0!</v>
      </c>
      <c r="AT937" s="1044" t="e">
        <f t="shared" si="310"/>
        <v>#DIV/0!</v>
      </c>
      <c r="AU937" s="1044">
        <f t="shared" si="310"/>
        <v>0</v>
      </c>
      <c r="AV937" s="1044" t="e">
        <f t="shared" si="310"/>
        <v>#DIV/0!</v>
      </c>
      <c r="AW937" s="1044" t="e">
        <f t="shared" si="310"/>
        <v>#DIV/0!</v>
      </c>
      <c r="AX937" s="1044" t="e">
        <f t="shared" si="310"/>
        <v>#DIV/0!</v>
      </c>
      <c r="AY937" s="1044" t="e">
        <f t="shared" si="310"/>
        <v>#DIV/0!</v>
      </c>
      <c r="AZ937" s="1061" t="s">
        <v>21</v>
      </c>
      <c r="BC937" s="29"/>
      <c r="BD937" s="29"/>
      <c r="BE937" s="13"/>
      <c r="BL937" s="368"/>
    </row>
    <row r="938" spans="1:64" ht="12" customHeight="1" x14ac:dyDescent="0.2">
      <c r="A938" s="39">
        <f>acute_overview_children!A138</f>
        <v>4</v>
      </c>
      <c r="B938" s="23">
        <f t="shared" si="185"/>
        <v>233010</v>
      </c>
      <c r="C938" s="23" t="str">
        <f t="shared" si="186"/>
        <v>Melons</v>
      </c>
      <c r="D938" s="135"/>
      <c r="E938" s="1027"/>
      <c r="F938" s="87"/>
      <c r="G938" s="87"/>
      <c r="H938" s="1027"/>
      <c r="I938" s="1030"/>
      <c r="J938" s="1039" t="e">
        <f t="shared" ref="J938:AR938" si="311">IF(J138="",0,IF(OR(1=RANK(J538,J$412:J$790,0),(2=RANK(J538,J$412:J$790,0))),J538,J138))</f>
        <v>#DIV/0!</v>
      </c>
      <c r="K938" s="1040" t="e">
        <f t="shared" si="311"/>
        <v>#DIV/0!</v>
      </c>
      <c r="L938" s="1040" t="e">
        <f t="shared" si="311"/>
        <v>#DIV/0!</v>
      </c>
      <c r="M938" s="1040" t="e">
        <f t="shared" si="311"/>
        <v>#DIV/0!</v>
      </c>
      <c r="N938" s="1040" t="e">
        <f t="shared" si="311"/>
        <v>#DIV/0!</v>
      </c>
      <c r="O938" s="1040" t="e">
        <f t="shared" si="311"/>
        <v>#DIV/0!</v>
      </c>
      <c r="P938" s="1040" t="e">
        <f t="shared" si="311"/>
        <v>#DIV/0!</v>
      </c>
      <c r="Q938" s="1040" t="e">
        <f t="shared" si="311"/>
        <v>#DIV/0!</v>
      </c>
      <c r="R938" s="1040" t="e">
        <f t="shared" si="311"/>
        <v>#DIV/0!</v>
      </c>
      <c r="S938" s="1040" t="e">
        <f t="shared" si="311"/>
        <v>#DIV/0!</v>
      </c>
      <c r="T938" s="1040" t="e">
        <f t="shared" si="311"/>
        <v>#DIV/0!</v>
      </c>
      <c r="U938" s="1040" t="e">
        <f t="shared" si="311"/>
        <v>#DIV/0!</v>
      </c>
      <c r="V938" s="1040" t="e">
        <f t="shared" si="311"/>
        <v>#DIV/0!</v>
      </c>
      <c r="W938" s="1040" t="e">
        <f t="shared" si="311"/>
        <v>#DIV/0!</v>
      </c>
      <c r="X938" s="1040" t="e">
        <f t="shared" si="311"/>
        <v>#DIV/0!</v>
      </c>
      <c r="Y938" s="1040" t="e">
        <f t="shared" si="311"/>
        <v>#DIV/0!</v>
      </c>
      <c r="Z938" s="1040" t="e">
        <f t="shared" si="311"/>
        <v>#DIV/0!</v>
      </c>
      <c r="AA938" s="1040" t="e">
        <f t="shared" si="311"/>
        <v>#DIV/0!</v>
      </c>
      <c r="AB938" s="1040" t="e">
        <f t="shared" si="311"/>
        <v>#DIV/0!</v>
      </c>
      <c r="AC938" s="1040" t="e">
        <f t="shared" si="311"/>
        <v>#DIV/0!</v>
      </c>
      <c r="AD938" s="1040" t="e">
        <f t="shared" si="311"/>
        <v>#DIV/0!</v>
      </c>
      <c r="AE938" s="1040" t="e">
        <f t="shared" si="311"/>
        <v>#DIV/0!</v>
      </c>
      <c r="AF938" s="1040" t="e">
        <f t="shared" si="311"/>
        <v>#DIV/0!</v>
      </c>
      <c r="AG938" s="1040" t="e">
        <f t="shared" si="311"/>
        <v>#DIV/0!</v>
      </c>
      <c r="AH938" s="1040" t="e">
        <f t="shared" si="311"/>
        <v>#DIV/0!</v>
      </c>
      <c r="AI938" s="1040" t="e">
        <f t="shared" si="311"/>
        <v>#DIV/0!</v>
      </c>
      <c r="AJ938" s="1040" t="e">
        <f t="shared" si="311"/>
        <v>#DIV/0!</v>
      </c>
      <c r="AK938" s="1040" t="e">
        <f t="shared" si="311"/>
        <v>#DIV/0!</v>
      </c>
      <c r="AL938" s="1040" t="e">
        <f t="shared" si="311"/>
        <v>#DIV/0!</v>
      </c>
      <c r="AM938" s="1040" t="e">
        <f t="shared" si="311"/>
        <v>#DIV/0!</v>
      </c>
      <c r="AN938" s="1040" t="e">
        <f t="shared" si="311"/>
        <v>#DIV/0!</v>
      </c>
      <c r="AO938" s="1040" t="e">
        <f t="shared" si="311"/>
        <v>#DIV/0!</v>
      </c>
      <c r="AP938" s="1040" t="e">
        <f t="shared" si="311"/>
        <v>#DIV/0!</v>
      </c>
      <c r="AQ938" s="1040" t="e">
        <f t="shared" si="311"/>
        <v>#DIV/0!</v>
      </c>
      <c r="AR938" s="1040" t="e">
        <f t="shared" si="311"/>
        <v>#DIV/0!</v>
      </c>
      <c r="AS938" s="1040" t="e">
        <f t="shared" ref="AS938:AY938" si="312">IF(AS138="",0,IF(OR(1=RANK(AS538,AS$412:AS$790,0),(2=RANK(AS538,AS$412:AS$790,0))),AS538,AS138))</f>
        <v>#DIV/0!</v>
      </c>
      <c r="AT938" s="1040" t="e">
        <f t="shared" si="312"/>
        <v>#DIV/0!</v>
      </c>
      <c r="AU938" s="1040">
        <f t="shared" si="312"/>
        <v>0</v>
      </c>
      <c r="AV938" s="1040" t="e">
        <f t="shared" si="312"/>
        <v>#DIV/0!</v>
      </c>
      <c r="AW938" s="1040" t="e">
        <f t="shared" si="312"/>
        <v>#DIV/0!</v>
      </c>
      <c r="AX938" s="1040" t="e">
        <f t="shared" si="312"/>
        <v>#DIV/0!</v>
      </c>
      <c r="AY938" s="1040" t="e">
        <f t="shared" si="312"/>
        <v>#DIV/0!</v>
      </c>
      <c r="AZ938" s="1061" t="s">
        <v>21</v>
      </c>
      <c r="BC938" s="29"/>
      <c r="BD938" s="29"/>
      <c r="BE938" s="13"/>
      <c r="BL938" s="368"/>
    </row>
    <row r="939" spans="1:64" ht="12" customHeight="1" x14ac:dyDescent="0.2">
      <c r="A939" s="39">
        <f>acute_overview_children!A139</f>
        <v>4</v>
      </c>
      <c r="B939" s="23">
        <f t="shared" si="185"/>
        <v>233020</v>
      </c>
      <c r="C939" s="23" t="str">
        <f t="shared" si="186"/>
        <v>Pumpkins</v>
      </c>
      <c r="D939" s="135"/>
      <c r="E939" s="1027"/>
      <c r="F939" s="87"/>
      <c r="G939" s="87"/>
      <c r="H939" s="1027"/>
      <c r="I939" s="1030"/>
      <c r="J939" s="1039" t="e">
        <f t="shared" ref="J939:AR939" si="313">IF(J139="",0,IF(OR(1=RANK(J539,J$412:J$790,0),(2=RANK(J539,J$412:J$790,0))),J539,J139))</f>
        <v>#DIV/0!</v>
      </c>
      <c r="K939" s="1040" t="e">
        <f t="shared" si="313"/>
        <v>#DIV/0!</v>
      </c>
      <c r="L939" s="1040" t="e">
        <f t="shared" si="313"/>
        <v>#DIV/0!</v>
      </c>
      <c r="M939" s="1040" t="e">
        <f t="shared" si="313"/>
        <v>#DIV/0!</v>
      </c>
      <c r="N939" s="1040" t="e">
        <f t="shared" si="313"/>
        <v>#DIV/0!</v>
      </c>
      <c r="O939" s="1040" t="e">
        <f t="shared" si="313"/>
        <v>#DIV/0!</v>
      </c>
      <c r="P939" s="1040" t="e">
        <f t="shared" si="313"/>
        <v>#DIV/0!</v>
      </c>
      <c r="Q939" s="1040" t="e">
        <f t="shared" si="313"/>
        <v>#DIV/0!</v>
      </c>
      <c r="R939" s="1040" t="e">
        <f t="shared" si="313"/>
        <v>#DIV/0!</v>
      </c>
      <c r="S939" s="1040" t="e">
        <f t="shared" si="313"/>
        <v>#DIV/0!</v>
      </c>
      <c r="T939" s="1040" t="e">
        <f t="shared" si="313"/>
        <v>#DIV/0!</v>
      </c>
      <c r="U939" s="1040" t="e">
        <f t="shared" si="313"/>
        <v>#DIV/0!</v>
      </c>
      <c r="V939" s="1040" t="e">
        <f t="shared" si="313"/>
        <v>#DIV/0!</v>
      </c>
      <c r="W939" s="1040" t="e">
        <f t="shared" si="313"/>
        <v>#DIV/0!</v>
      </c>
      <c r="X939" s="1040" t="e">
        <f t="shared" si="313"/>
        <v>#DIV/0!</v>
      </c>
      <c r="Y939" s="1040" t="e">
        <f t="shared" si="313"/>
        <v>#DIV/0!</v>
      </c>
      <c r="Z939" s="1040" t="e">
        <f t="shared" si="313"/>
        <v>#DIV/0!</v>
      </c>
      <c r="AA939" s="1040" t="e">
        <f t="shared" si="313"/>
        <v>#DIV/0!</v>
      </c>
      <c r="AB939" s="1040" t="e">
        <f t="shared" si="313"/>
        <v>#DIV/0!</v>
      </c>
      <c r="AC939" s="1040" t="e">
        <f t="shared" si="313"/>
        <v>#DIV/0!</v>
      </c>
      <c r="AD939" s="1040" t="e">
        <f t="shared" si="313"/>
        <v>#DIV/0!</v>
      </c>
      <c r="AE939" s="1040" t="e">
        <f t="shared" si="313"/>
        <v>#DIV/0!</v>
      </c>
      <c r="AF939" s="1040" t="e">
        <f t="shared" si="313"/>
        <v>#DIV/0!</v>
      </c>
      <c r="AG939" s="1040" t="e">
        <f t="shared" si="313"/>
        <v>#DIV/0!</v>
      </c>
      <c r="AH939" s="1040" t="e">
        <f t="shared" si="313"/>
        <v>#DIV/0!</v>
      </c>
      <c r="AI939" s="1040" t="e">
        <f t="shared" si="313"/>
        <v>#DIV/0!</v>
      </c>
      <c r="AJ939" s="1040" t="e">
        <f t="shared" si="313"/>
        <v>#DIV/0!</v>
      </c>
      <c r="AK939" s="1040" t="e">
        <f t="shared" si="313"/>
        <v>#DIV/0!</v>
      </c>
      <c r="AL939" s="1040" t="e">
        <f t="shared" si="313"/>
        <v>#DIV/0!</v>
      </c>
      <c r="AM939" s="1040" t="e">
        <f t="shared" si="313"/>
        <v>#DIV/0!</v>
      </c>
      <c r="AN939" s="1040" t="e">
        <f t="shared" si="313"/>
        <v>#DIV/0!</v>
      </c>
      <c r="AO939" s="1040" t="e">
        <f t="shared" si="313"/>
        <v>#DIV/0!</v>
      </c>
      <c r="AP939" s="1040" t="e">
        <f t="shared" si="313"/>
        <v>#DIV/0!</v>
      </c>
      <c r="AQ939" s="1040" t="e">
        <f t="shared" si="313"/>
        <v>#DIV/0!</v>
      </c>
      <c r="AR939" s="1040" t="e">
        <f t="shared" si="313"/>
        <v>#DIV/0!</v>
      </c>
      <c r="AS939" s="1040" t="e">
        <f t="shared" ref="AS939:AY939" si="314">IF(AS139="",0,IF(OR(1=RANK(AS539,AS$412:AS$790,0),(2=RANK(AS539,AS$412:AS$790,0))),AS539,AS139))</f>
        <v>#DIV/0!</v>
      </c>
      <c r="AT939" s="1040" t="e">
        <f t="shared" si="314"/>
        <v>#DIV/0!</v>
      </c>
      <c r="AU939" s="1040">
        <f t="shared" si="314"/>
        <v>0</v>
      </c>
      <c r="AV939" s="1040" t="e">
        <f t="shared" si="314"/>
        <v>#DIV/0!</v>
      </c>
      <c r="AW939" s="1040" t="e">
        <f t="shared" si="314"/>
        <v>#DIV/0!</v>
      </c>
      <c r="AX939" s="1040" t="e">
        <f t="shared" si="314"/>
        <v>#DIV/0!</v>
      </c>
      <c r="AY939" s="1040" t="e">
        <f t="shared" si="314"/>
        <v>#DIV/0!</v>
      </c>
      <c r="AZ939" s="1061" t="s">
        <v>21</v>
      </c>
      <c r="BC939" s="29"/>
      <c r="BD939" s="29"/>
      <c r="BE939" s="13"/>
      <c r="BL939" s="368"/>
    </row>
    <row r="940" spans="1:64" ht="12" customHeight="1" x14ac:dyDescent="0.2">
      <c r="A940" s="39">
        <f>acute_overview_children!A140</f>
        <v>4</v>
      </c>
      <c r="B940" s="23">
        <f t="shared" ref="B940:B1003" si="315">B140</f>
        <v>233030</v>
      </c>
      <c r="C940" s="23" t="str">
        <f t="shared" ref="C940:C1003" si="316">C140</f>
        <v>Watermelons</v>
      </c>
      <c r="D940" s="135"/>
      <c r="E940" s="1027"/>
      <c r="F940" s="87"/>
      <c r="G940" s="87"/>
      <c r="H940" s="1027"/>
      <c r="I940" s="1030"/>
      <c r="J940" s="1039" t="e">
        <f t="shared" ref="J940:AR940" si="317">IF(J140="",0,IF(OR(1=RANK(J540,J$412:J$790,0),(2=RANK(J540,J$412:J$790,0))),J540,J140))</f>
        <v>#DIV/0!</v>
      </c>
      <c r="K940" s="1040" t="e">
        <f t="shared" si="317"/>
        <v>#DIV/0!</v>
      </c>
      <c r="L940" s="1040" t="e">
        <f t="shared" si="317"/>
        <v>#DIV/0!</v>
      </c>
      <c r="M940" s="1040" t="e">
        <f t="shared" si="317"/>
        <v>#DIV/0!</v>
      </c>
      <c r="N940" s="1040" t="e">
        <f t="shared" si="317"/>
        <v>#DIV/0!</v>
      </c>
      <c r="O940" s="1040" t="e">
        <f t="shared" si="317"/>
        <v>#DIV/0!</v>
      </c>
      <c r="P940" s="1040" t="e">
        <f t="shared" si="317"/>
        <v>#DIV/0!</v>
      </c>
      <c r="Q940" s="1040" t="e">
        <f t="shared" si="317"/>
        <v>#DIV/0!</v>
      </c>
      <c r="R940" s="1040" t="e">
        <f t="shared" si="317"/>
        <v>#DIV/0!</v>
      </c>
      <c r="S940" s="1040" t="e">
        <f t="shared" si="317"/>
        <v>#DIV/0!</v>
      </c>
      <c r="T940" s="1040" t="e">
        <f t="shared" si="317"/>
        <v>#DIV/0!</v>
      </c>
      <c r="U940" s="1040" t="e">
        <f t="shared" si="317"/>
        <v>#DIV/0!</v>
      </c>
      <c r="V940" s="1040" t="e">
        <f t="shared" si="317"/>
        <v>#DIV/0!</v>
      </c>
      <c r="W940" s="1040" t="e">
        <f t="shared" si="317"/>
        <v>#DIV/0!</v>
      </c>
      <c r="X940" s="1040" t="e">
        <f t="shared" si="317"/>
        <v>#DIV/0!</v>
      </c>
      <c r="Y940" s="1040" t="e">
        <f t="shared" si="317"/>
        <v>#DIV/0!</v>
      </c>
      <c r="Z940" s="1040" t="e">
        <f t="shared" si="317"/>
        <v>#DIV/0!</v>
      </c>
      <c r="AA940" s="1040" t="e">
        <f t="shared" si="317"/>
        <v>#DIV/0!</v>
      </c>
      <c r="AB940" s="1040" t="e">
        <f t="shared" si="317"/>
        <v>#DIV/0!</v>
      </c>
      <c r="AC940" s="1040" t="e">
        <f t="shared" si="317"/>
        <v>#DIV/0!</v>
      </c>
      <c r="AD940" s="1040" t="e">
        <f t="shared" si="317"/>
        <v>#DIV/0!</v>
      </c>
      <c r="AE940" s="1040" t="e">
        <f t="shared" si="317"/>
        <v>#DIV/0!</v>
      </c>
      <c r="AF940" s="1040" t="e">
        <f t="shared" si="317"/>
        <v>#DIV/0!</v>
      </c>
      <c r="AG940" s="1040" t="e">
        <f t="shared" si="317"/>
        <v>#DIV/0!</v>
      </c>
      <c r="AH940" s="1040" t="e">
        <f t="shared" si="317"/>
        <v>#DIV/0!</v>
      </c>
      <c r="AI940" s="1040" t="e">
        <f t="shared" si="317"/>
        <v>#DIV/0!</v>
      </c>
      <c r="AJ940" s="1040" t="e">
        <f t="shared" si="317"/>
        <v>#DIV/0!</v>
      </c>
      <c r="AK940" s="1040" t="e">
        <f t="shared" si="317"/>
        <v>#DIV/0!</v>
      </c>
      <c r="AL940" s="1040" t="e">
        <f t="shared" si="317"/>
        <v>#DIV/0!</v>
      </c>
      <c r="AM940" s="1040" t="e">
        <f t="shared" si="317"/>
        <v>#DIV/0!</v>
      </c>
      <c r="AN940" s="1040" t="e">
        <f t="shared" si="317"/>
        <v>#DIV/0!</v>
      </c>
      <c r="AO940" s="1040" t="e">
        <f t="shared" si="317"/>
        <v>#DIV/0!</v>
      </c>
      <c r="AP940" s="1040" t="e">
        <f t="shared" si="317"/>
        <v>#DIV/0!</v>
      </c>
      <c r="AQ940" s="1040" t="e">
        <f t="shared" si="317"/>
        <v>#DIV/0!</v>
      </c>
      <c r="AR940" s="1040" t="e">
        <f t="shared" si="317"/>
        <v>#DIV/0!</v>
      </c>
      <c r="AS940" s="1040" t="e">
        <f t="shared" ref="AS940:AY940" si="318">IF(AS140="",0,IF(OR(1=RANK(AS540,AS$412:AS$790,0),(2=RANK(AS540,AS$412:AS$790,0))),AS540,AS140))</f>
        <v>#DIV/0!</v>
      </c>
      <c r="AT940" s="1040" t="e">
        <f t="shared" si="318"/>
        <v>#DIV/0!</v>
      </c>
      <c r="AU940" s="1040">
        <f t="shared" si="318"/>
        <v>0</v>
      </c>
      <c r="AV940" s="1040" t="e">
        <f t="shared" si="318"/>
        <v>#DIV/0!</v>
      </c>
      <c r="AW940" s="1040" t="e">
        <f t="shared" si="318"/>
        <v>#DIV/0!</v>
      </c>
      <c r="AX940" s="1040" t="e">
        <f t="shared" si="318"/>
        <v>#DIV/0!</v>
      </c>
      <c r="AY940" s="1040" t="e">
        <f t="shared" si="318"/>
        <v>#DIV/0!</v>
      </c>
      <c r="AZ940" s="1061" t="s">
        <v>21</v>
      </c>
      <c r="BC940" s="29"/>
      <c r="BD940" s="29"/>
      <c r="BE940" s="13"/>
      <c r="BL940" s="368"/>
    </row>
    <row r="941" spans="1:64" ht="12" customHeight="1" x14ac:dyDescent="0.2">
      <c r="A941" s="39">
        <f>acute_overview_children!A141</f>
        <v>4</v>
      </c>
      <c r="B941" s="23">
        <f t="shared" si="315"/>
        <v>233990</v>
      </c>
      <c r="C941" s="23" t="str">
        <f t="shared" si="316"/>
        <v>Other cucurbits - inedible peel</v>
      </c>
      <c r="D941" s="135"/>
      <c r="E941" s="1027"/>
      <c r="F941" s="87"/>
      <c r="G941" s="87"/>
      <c r="H941" s="1027"/>
      <c r="I941" s="1030"/>
      <c r="J941" s="1039" t="e">
        <f t="shared" ref="J941:AR941" si="319">IF(J141="",0,IF(OR(1=RANK(J541,J$412:J$790,0),(2=RANK(J541,J$412:J$790,0))),J541,J141))</f>
        <v>#DIV/0!</v>
      </c>
      <c r="K941" s="1040" t="e">
        <f t="shared" si="319"/>
        <v>#DIV/0!</v>
      </c>
      <c r="L941" s="1040" t="e">
        <f t="shared" si="319"/>
        <v>#DIV/0!</v>
      </c>
      <c r="M941" s="1040" t="e">
        <f t="shared" si="319"/>
        <v>#DIV/0!</v>
      </c>
      <c r="N941" s="1040" t="e">
        <f t="shared" si="319"/>
        <v>#DIV/0!</v>
      </c>
      <c r="O941" s="1040" t="e">
        <f t="shared" si="319"/>
        <v>#DIV/0!</v>
      </c>
      <c r="P941" s="1040" t="e">
        <f t="shared" si="319"/>
        <v>#DIV/0!</v>
      </c>
      <c r="Q941" s="1040" t="e">
        <f t="shared" si="319"/>
        <v>#DIV/0!</v>
      </c>
      <c r="R941" s="1040" t="e">
        <f t="shared" si="319"/>
        <v>#DIV/0!</v>
      </c>
      <c r="S941" s="1040" t="e">
        <f t="shared" si="319"/>
        <v>#DIV/0!</v>
      </c>
      <c r="T941" s="1040" t="e">
        <f t="shared" si="319"/>
        <v>#DIV/0!</v>
      </c>
      <c r="U941" s="1040" t="e">
        <f t="shared" si="319"/>
        <v>#DIV/0!</v>
      </c>
      <c r="V941" s="1040" t="e">
        <f t="shared" si="319"/>
        <v>#DIV/0!</v>
      </c>
      <c r="W941" s="1040" t="e">
        <f t="shared" si="319"/>
        <v>#DIV/0!</v>
      </c>
      <c r="X941" s="1040" t="e">
        <f t="shared" si="319"/>
        <v>#DIV/0!</v>
      </c>
      <c r="Y941" s="1040" t="e">
        <f t="shared" si="319"/>
        <v>#DIV/0!</v>
      </c>
      <c r="Z941" s="1040" t="e">
        <f t="shared" si="319"/>
        <v>#DIV/0!</v>
      </c>
      <c r="AA941" s="1040" t="e">
        <f t="shared" si="319"/>
        <v>#DIV/0!</v>
      </c>
      <c r="AB941" s="1040" t="e">
        <f t="shared" si="319"/>
        <v>#DIV/0!</v>
      </c>
      <c r="AC941" s="1040" t="e">
        <f t="shared" si="319"/>
        <v>#DIV/0!</v>
      </c>
      <c r="AD941" s="1040" t="e">
        <f t="shared" si="319"/>
        <v>#DIV/0!</v>
      </c>
      <c r="AE941" s="1040" t="e">
        <f t="shared" si="319"/>
        <v>#DIV/0!</v>
      </c>
      <c r="AF941" s="1040" t="e">
        <f t="shared" si="319"/>
        <v>#DIV/0!</v>
      </c>
      <c r="AG941" s="1040" t="e">
        <f t="shared" si="319"/>
        <v>#DIV/0!</v>
      </c>
      <c r="AH941" s="1040" t="e">
        <f t="shared" si="319"/>
        <v>#DIV/0!</v>
      </c>
      <c r="AI941" s="1040" t="e">
        <f t="shared" si="319"/>
        <v>#DIV/0!</v>
      </c>
      <c r="AJ941" s="1040" t="e">
        <f t="shared" si="319"/>
        <v>#DIV/0!</v>
      </c>
      <c r="AK941" s="1040" t="e">
        <f t="shared" si="319"/>
        <v>#DIV/0!</v>
      </c>
      <c r="AL941" s="1040" t="e">
        <f t="shared" si="319"/>
        <v>#DIV/0!</v>
      </c>
      <c r="AM941" s="1040" t="e">
        <f t="shared" si="319"/>
        <v>#DIV/0!</v>
      </c>
      <c r="AN941" s="1040" t="e">
        <f t="shared" si="319"/>
        <v>#DIV/0!</v>
      </c>
      <c r="AO941" s="1040" t="e">
        <f t="shared" si="319"/>
        <v>#DIV/0!</v>
      </c>
      <c r="AP941" s="1040" t="e">
        <f t="shared" si="319"/>
        <v>#DIV/0!</v>
      </c>
      <c r="AQ941" s="1040" t="e">
        <f t="shared" si="319"/>
        <v>#DIV/0!</v>
      </c>
      <c r="AR941" s="1040" t="e">
        <f t="shared" si="319"/>
        <v>#DIV/0!</v>
      </c>
      <c r="AS941" s="1040" t="e">
        <f t="shared" ref="AS941:AY941" si="320">IF(AS141="",0,IF(OR(1=RANK(AS541,AS$412:AS$790,0),(2=RANK(AS541,AS$412:AS$790,0))),AS541,AS141))</f>
        <v>#DIV/0!</v>
      </c>
      <c r="AT941" s="1040" t="e">
        <f t="shared" si="320"/>
        <v>#DIV/0!</v>
      </c>
      <c r="AU941" s="1040">
        <f t="shared" si="320"/>
        <v>0</v>
      </c>
      <c r="AV941" s="1040" t="e">
        <f t="shared" si="320"/>
        <v>#DIV/0!</v>
      </c>
      <c r="AW941" s="1040" t="e">
        <f t="shared" si="320"/>
        <v>#DIV/0!</v>
      </c>
      <c r="AX941" s="1040" t="e">
        <f t="shared" si="320"/>
        <v>#DIV/0!</v>
      </c>
      <c r="AY941" s="1040" t="e">
        <f t="shared" si="320"/>
        <v>#DIV/0!</v>
      </c>
      <c r="AZ941" s="1061" t="s">
        <v>21</v>
      </c>
      <c r="BC941" s="29"/>
      <c r="BD941" s="29"/>
      <c r="BE941" s="13"/>
      <c r="BL941" s="368"/>
    </row>
    <row r="942" spans="1:64" ht="12" customHeight="1" x14ac:dyDescent="0.2">
      <c r="A942" s="132">
        <f>acute_overview_children!A142</f>
        <v>3</v>
      </c>
      <c r="B942" s="3">
        <f t="shared" si="315"/>
        <v>234000</v>
      </c>
      <c r="C942" s="3" t="str">
        <f t="shared" si="316"/>
        <v>Sweet corn</v>
      </c>
      <c r="D942" s="1042"/>
      <c r="E942" s="1027"/>
      <c r="F942" s="87"/>
      <c r="G942" s="87"/>
      <c r="H942" s="1027"/>
      <c r="I942" s="1030"/>
      <c r="J942" s="1043" t="e">
        <f t="shared" ref="J942:AR942" si="321">IF(J142="",0,IF(OR(1=RANK(J542,J$412:J$790,0),(2=RANK(J542,J$412:J$790,0))),J542,J142))</f>
        <v>#DIV/0!</v>
      </c>
      <c r="K942" s="1044" t="e">
        <f t="shared" si="321"/>
        <v>#DIV/0!</v>
      </c>
      <c r="L942" s="1044" t="e">
        <f t="shared" si="321"/>
        <v>#DIV/0!</v>
      </c>
      <c r="M942" s="1044" t="e">
        <f t="shared" si="321"/>
        <v>#DIV/0!</v>
      </c>
      <c r="N942" s="1044" t="e">
        <f t="shared" si="321"/>
        <v>#DIV/0!</v>
      </c>
      <c r="O942" s="1044" t="e">
        <f t="shared" si="321"/>
        <v>#DIV/0!</v>
      </c>
      <c r="P942" s="1044" t="e">
        <f t="shared" si="321"/>
        <v>#DIV/0!</v>
      </c>
      <c r="Q942" s="1044" t="e">
        <f t="shared" si="321"/>
        <v>#DIV/0!</v>
      </c>
      <c r="R942" s="1044" t="e">
        <f t="shared" si="321"/>
        <v>#DIV/0!</v>
      </c>
      <c r="S942" s="1044" t="e">
        <f t="shared" si="321"/>
        <v>#DIV/0!</v>
      </c>
      <c r="T942" s="1044" t="e">
        <f t="shared" si="321"/>
        <v>#DIV/0!</v>
      </c>
      <c r="U942" s="1044" t="e">
        <f t="shared" si="321"/>
        <v>#DIV/0!</v>
      </c>
      <c r="V942" s="1044" t="e">
        <f t="shared" si="321"/>
        <v>#DIV/0!</v>
      </c>
      <c r="W942" s="1044" t="e">
        <f t="shared" si="321"/>
        <v>#DIV/0!</v>
      </c>
      <c r="X942" s="1044" t="e">
        <f t="shared" si="321"/>
        <v>#DIV/0!</v>
      </c>
      <c r="Y942" s="1044" t="e">
        <f t="shared" si="321"/>
        <v>#DIV/0!</v>
      </c>
      <c r="Z942" s="1044" t="e">
        <f t="shared" si="321"/>
        <v>#DIV/0!</v>
      </c>
      <c r="AA942" s="1044" t="e">
        <f t="shared" si="321"/>
        <v>#DIV/0!</v>
      </c>
      <c r="AB942" s="1044" t="e">
        <f t="shared" si="321"/>
        <v>#DIV/0!</v>
      </c>
      <c r="AC942" s="1044" t="e">
        <f t="shared" si="321"/>
        <v>#DIV/0!</v>
      </c>
      <c r="AD942" s="1044" t="e">
        <f t="shared" si="321"/>
        <v>#DIV/0!</v>
      </c>
      <c r="AE942" s="1044" t="e">
        <f t="shared" si="321"/>
        <v>#DIV/0!</v>
      </c>
      <c r="AF942" s="1044" t="e">
        <f t="shared" si="321"/>
        <v>#DIV/0!</v>
      </c>
      <c r="AG942" s="1044" t="e">
        <f t="shared" si="321"/>
        <v>#DIV/0!</v>
      </c>
      <c r="AH942" s="1044" t="e">
        <f t="shared" si="321"/>
        <v>#DIV/0!</v>
      </c>
      <c r="AI942" s="1044" t="e">
        <f t="shared" si="321"/>
        <v>#DIV/0!</v>
      </c>
      <c r="AJ942" s="1044" t="e">
        <f t="shared" si="321"/>
        <v>#DIV/0!</v>
      </c>
      <c r="AK942" s="1044" t="e">
        <f t="shared" si="321"/>
        <v>#DIV/0!</v>
      </c>
      <c r="AL942" s="1044" t="e">
        <f t="shared" si="321"/>
        <v>#DIV/0!</v>
      </c>
      <c r="AM942" s="1044" t="e">
        <f t="shared" si="321"/>
        <v>#DIV/0!</v>
      </c>
      <c r="AN942" s="1044" t="e">
        <f t="shared" si="321"/>
        <v>#DIV/0!</v>
      </c>
      <c r="AO942" s="1044" t="e">
        <f t="shared" si="321"/>
        <v>#DIV/0!</v>
      </c>
      <c r="AP942" s="1044" t="e">
        <f t="shared" si="321"/>
        <v>#DIV/0!</v>
      </c>
      <c r="AQ942" s="1044" t="e">
        <f t="shared" si="321"/>
        <v>#DIV/0!</v>
      </c>
      <c r="AR942" s="1044" t="e">
        <f t="shared" si="321"/>
        <v>#DIV/0!</v>
      </c>
      <c r="AS942" s="1044" t="e">
        <f t="shared" ref="AS942:AY942" si="322">IF(AS142="",0,IF(OR(1=RANK(AS542,AS$412:AS$790,0),(2=RANK(AS542,AS$412:AS$790,0))),AS542,AS142))</f>
        <v>#DIV/0!</v>
      </c>
      <c r="AT942" s="1044" t="e">
        <f t="shared" si="322"/>
        <v>#DIV/0!</v>
      </c>
      <c r="AU942" s="1044">
        <f t="shared" si="322"/>
        <v>0</v>
      </c>
      <c r="AV942" s="1044" t="e">
        <f t="shared" si="322"/>
        <v>#DIV/0!</v>
      </c>
      <c r="AW942" s="1044" t="e">
        <f t="shared" si="322"/>
        <v>#DIV/0!</v>
      </c>
      <c r="AX942" s="1044" t="e">
        <f t="shared" si="322"/>
        <v>#DIV/0!</v>
      </c>
      <c r="AY942" s="1044" t="e">
        <f t="shared" si="322"/>
        <v>#DIV/0!</v>
      </c>
      <c r="AZ942" s="1061" t="s">
        <v>21</v>
      </c>
      <c r="BC942" s="29"/>
      <c r="BD942" s="29"/>
      <c r="BE942" s="13"/>
      <c r="BL942" s="368"/>
    </row>
    <row r="943" spans="1:64" ht="12" customHeight="1" x14ac:dyDescent="0.2">
      <c r="A943" s="132">
        <f>acute_overview_children!A143</f>
        <v>3</v>
      </c>
      <c r="B943" s="3">
        <f t="shared" si="315"/>
        <v>239000</v>
      </c>
      <c r="C943" s="3" t="str">
        <f t="shared" si="316"/>
        <v xml:space="preserve">Other fruiting vegetables </v>
      </c>
      <c r="D943" s="1042"/>
      <c r="E943" s="1027"/>
      <c r="F943" s="87"/>
      <c r="G943" s="87"/>
      <c r="H943" s="1027"/>
      <c r="I943" s="1030"/>
      <c r="J943" s="1043" t="e">
        <f t="shared" ref="J943:AR943" si="323">IF(J143="",0,IF(OR(1=RANK(J543,J$412:J$790,0),(2=RANK(J543,J$412:J$790,0))),J543,J143))</f>
        <v>#DIV/0!</v>
      </c>
      <c r="K943" s="1044" t="e">
        <f t="shared" si="323"/>
        <v>#DIV/0!</v>
      </c>
      <c r="L943" s="1044" t="e">
        <f t="shared" si="323"/>
        <v>#DIV/0!</v>
      </c>
      <c r="M943" s="1044" t="e">
        <f t="shared" si="323"/>
        <v>#DIV/0!</v>
      </c>
      <c r="N943" s="1044" t="e">
        <f t="shared" si="323"/>
        <v>#DIV/0!</v>
      </c>
      <c r="O943" s="1044" t="e">
        <f t="shared" si="323"/>
        <v>#DIV/0!</v>
      </c>
      <c r="P943" s="1044" t="e">
        <f t="shared" si="323"/>
        <v>#DIV/0!</v>
      </c>
      <c r="Q943" s="1044" t="e">
        <f t="shared" si="323"/>
        <v>#DIV/0!</v>
      </c>
      <c r="R943" s="1044" t="e">
        <f t="shared" si="323"/>
        <v>#DIV/0!</v>
      </c>
      <c r="S943" s="1044" t="e">
        <f t="shared" si="323"/>
        <v>#DIV/0!</v>
      </c>
      <c r="T943" s="1044" t="e">
        <f t="shared" si="323"/>
        <v>#DIV/0!</v>
      </c>
      <c r="U943" s="1044" t="e">
        <f t="shared" si="323"/>
        <v>#DIV/0!</v>
      </c>
      <c r="V943" s="1044" t="e">
        <f t="shared" si="323"/>
        <v>#DIV/0!</v>
      </c>
      <c r="W943" s="1044" t="e">
        <f t="shared" si="323"/>
        <v>#DIV/0!</v>
      </c>
      <c r="X943" s="1044" t="e">
        <f t="shared" si="323"/>
        <v>#DIV/0!</v>
      </c>
      <c r="Y943" s="1044" t="e">
        <f t="shared" si="323"/>
        <v>#DIV/0!</v>
      </c>
      <c r="Z943" s="1044" t="e">
        <f t="shared" si="323"/>
        <v>#DIV/0!</v>
      </c>
      <c r="AA943" s="1044" t="e">
        <f t="shared" si="323"/>
        <v>#DIV/0!</v>
      </c>
      <c r="AB943" s="1044" t="e">
        <f t="shared" si="323"/>
        <v>#DIV/0!</v>
      </c>
      <c r="AC943" s="1044" t="e">
        <f t="shared" si="323"/>
        <v>#DIV/0!</v>
      </c>
      <c r="AD943" s="1044" t="e">
        <f t="shared" si="323"/>
        <v>#DIV/0!</v>
      </c>
      <c r="AE943" s="1044" t="e">
        <f t="shared" si="323"/>
        <v>#DIV/0!</v>
      </c>
      <c r="AF943" s="1044" t="e">
        <f t="shared" si="323"/>
        <v>#DIV/0!</v>
      </c>
      <c r="AG943" s="1044" t="e">
        <f t="shared" si="323"/>
        <v>#DIV/0!</v>
      </c>
      <c r="AH943" s="1044" t="e">
        <f t="shared" si="323"/>
        <v>#DIV/0!</v>
      </c>
      <c r="AI943" s="1044" t="e">
        <f t="shared" si="323"/>
        <v>#DIV/0!</v>
      </c>
      <c r="AJ943" s="1044" t="e">
        <f t="shared" si="323"/>
        <v>#DIV/0!</v>
      </c>
      <c r="AK943" s="1044" t="e">
        <f t="shared" si="323"/>
        <v>#DIV/0!</v>
      </c>
      <c r="AL943" s="1044" t="e">
        <f t="shared" si="323"/>
        <v>#DIV/0!</v>
      </c>
      <c r="AM943" s="1044" t="e">
        <f t="shared" si="323"/>
        <v>#DIV/0!</v>
      </c>
      <c r="AN943" s="1044" t="e">
        <f t="shared" si="323"/>
        <v>#DIV/0!</v>
      </c>
      <c r="AO943" s="1044" t="e">
        <f t="shared" si="323"/>
        <v>#DIV/0!</v>
      </c>
      <c r="AP943" s="1044" t="e">
        <f t="shared" si="323"/>
        <v>#DIV/0!</v>
      </c>
      <c r="AQ943" s="1044" t="e">
        <f t="shared" si="323"/>
        <v>#DIV/0!</v>
      </c>
      <c r="AR943" s="1044" t="e">
        <f t="shared" si="323"/>
        <v>#DIV/0!</v>
      </c>
      <c r="AS943" s="1044" t="e">
        <f t="shared" ref="AS943:AY943" si="324">IF(AS143="",0,IF(OR(1=RANK(AS543,AS$412:AS$790,0),(2=RANK(AS543,AS$412:AS$790,0))),AS543,AS143))</f>
        <v>#DIV/0!</v>
      </c>
      <c r="AT943" s="1044" t="e">
        <f t="shared" si="324"/>
        <v>#DIV/0!</v>
      </c>
      <c r="AU943" s="1044">
        <f t="shared" si="324"/>
        <v>0</v>
      </c>
      <c r="AV943" s="1044" t="e">
        <f t="shared" si="324"/>
        <v>#DIV/0!</v>
      </c>
      <c r="AW943" s="1044" t="e">
        <f t="shared" si="324"/>
        <v>#DIV/0!</v>
      </c>
      <c r="AX943" s="1044" t="e">
        <f t="shared" si="324"/>
        <v>#DIV/0!</v>
      </c>
      <c r="AY943" s="1044" t="e">
        <f t="shared" si="324"/>
        <v>#DIV/0!</v>
      </c>
      <c r="AZ943" s="1061" t="s">
        <v>21</v>
      </c>
      <c r="BC943" s="29"/>
      <c r="BD943" s="29"/>
      <c r="BE943" s="13"/>
      <c r="BL943" s="368"/>
    </row>
    <row r="944" spans="1:64" ht="12" customHeight="1" x14ac:dyDescent="0.2">
      <c r="A944" s="515">
        <f>acute_overview_children!A144</f>
        <v>2</v>
      </c>
      <c r="B944" s="131">
        <f t="shared" si="315"/>
        <v>240000</v>
      </c>
      <c r="C944" s="131" t="str">
        <f t="shared" si="316"/>
        <v>Brassica vegetables</v>
      </c>
      <c r="D944" s="1035"/>
      <c r="E944" s="1027"/>
      <c r="F944" s="87"/>
      <c r="G944" s="87"/>
      <c r="H944" s="1027"/>
      <c r="I944" s="1030"/>
      <c r="J944" s="1037" t="e">
        <f t="shared" ref="J944:AR944" si="325">IF(J144="",0,IF(OR(1=RANK(J544,J$412:J$790,0),(2=RANK(J544,J$412:J$790,0))),J544,J144))</f>
        <v>#DIV/0!</v>
      </c>
      <c r="K944" s="1038" t="e">
        <f t="shared" si="325"/>
        <v>#DIV/0!</v>
      </c>
      <c r="L944" s="1038" t="e">
        <f t="shared" si="325"/>
        <v>#DIV/0!</v>
      </c>
      <c r="M944" s="1038" t="e">
        <f t="shared" si="325"/>
        <v>#DIV/0!</v>
      </c>
      <c r="N944" s="1038" t="e">
        <f t="shared" si="325"/>
        <v>#DIV/0!</v>
      </c>
      <c r="O944" s="1038" t="e">
        <f t="shared" si="325"/>
        <v>#DIV/0!</v>
      </c>
      <c r="P944" s="1038" t="e">
        <f t="shared" si="325"/>
        <v>#DIV/0!</v>
      </c>
      <c r="Q944" s="1038" t="e">
        <f t="shared" si="325"/>
        <v>#DIV/0!</v>
      </c>
      <c r="R944" s="1038" t="e">
        <f t="shared" si="325"/>
        <v>#DIV/0!</v>
      </c>
      <c r="S944" s="1038" t="e">
        <f t="shared" si="325"/>
        <v>#DIV/0!</v>
      </c>
      <c r="T944" s="1038" t="e">
        <f t="shared" si="325"/>
        <v>#DIV/0!</v>
      </c>
      <c r="U944" s="1038" t="e">
        <f t="shared" si="325"/>
        <v>#DIV/0!</v>
      </c>
      <c r="V944" s="1038" t="e">
        <f t="shared" si="325"/>
        <v>#DIV/0!</v>
      </c>
      <c r="W944" s="1038" t="e">
        <f t="shared" si="325"/>
        <v>#DIV/0!</v>
      </c>
      <c r="X944" s="1038" t="e">
        <f t="shared" si="325"/>
        <v>#DIV/0!</v>
      </c>
      <c r="Y944" s="1038" t="e">
        <f t="shared" si="325"/>
        <v>#DIV/0!</v>
      </c>
      <c r="Z944" s="1038" t="e">
        <f t="shared" si="325"/>
        <v>#DIV/0!</v>
      </c>
      <c r="AA944" s="1038" t="e">
        <f t="shared" si="325"/>
        <v>#DIV/0!</v>
      </c>
      <c r="AB944" s="1038" t="e">
        <f t="shared" si="325"/>
        <v>#DIV/0!</v>
      </c>
      <c r="AC944" s="1038" t="e">
        <f t="shared" si="325"/>
        <v>#DIV/0!</v>
      </c>
      <c r="AD944" s="1038" t="e">
        <f t="shared" si="325"/>
        <v>#DIV/0!</v>
      </c>
      <c r="AE944" s="1038" t="e">
        <f t="shared" si="325"/>
        <v>#DIV/0!</v>
      </c>
      <c r="AF944" s="1038" t="e">
        <f t="shared" si="325"/>
        <v>#DIV/0!</v>
      </c>
      <c r="AG944" s="1038" t="e">
        <f t="shared" si="325"/>
        <v>#DIV/0!</v>
      </c>
      <c r="AH944" s="1038" t="e">
        <f t="shared" si="325"/>
        <v>#DIV/0!</v>
      </c>
      <c r="AI944" s="1038" t="e">
        <f t="shared" si="325"/>
        <v>#DIV/0!</v>
      </c>
      <c r="AJ944" s="1038" t="e">
        <f t="shared" si="325"/>
        <v>#DIV/0!</v>
      </c>
      <c r="AK944" s="1038" t="e">
        <f t="shared" si="325"/>
        <v>#DIV/0!</v>
      </c>
      <c r="AL944" s="1038" t="e">
        <f t="shared" si="325"/>
        <v>#DIV/0!</v>
      </c>
      <c r="AM944" s="1038" t="e">
        <f t="shared" si="325"/>
        <v>#DIV/0!</v>
      </c>
      <c r="AN944" s="1038" t="e">
        <f t="shared" si="325"/>
        <v>#DIV/0!</v>
      </c>
      <c r="AO944" s="1038" t="e">
        <f t="shared" si="325"/>
        <v>#DIV/0!</v>
      </c>
      <c r="AP944" s="1038" t="e">
        <f t="shared" si="325"/>
        <v>#DIV/0!</v>
      </c>
      <c r="AQ944" s="1038" t="e">
        <f t="shared" si="325"/>
        <v>#DIV/0!</v>
      </c>
      <c r="AR944" s="1038" t="e">
        <f t="shared" si="325"/>
        <v>#DIV/0!</v>
      </c>
      <c r="AS944" s="1038" t="e">
        <f t="shared" ref="AS944:AY944" si="326">IF(AS144="",0,IF(OR(1=RANK(AS544,AS$412:AS$790,0),(2=RANK(AS544,AS$412:AS$790,0))),AS544,AS144))</f>
        <v>#DIV/0!</v>
      </c>
      <c r="AT944" s="1038" t="e">
        <f t="shared" si="326"/>
        <v>#DIV/0!</v>
      </c>
      <c r="AU944" s="1038">
        <f t="shared" si="326"/>
        <v>0</v>
      </c>
      <c r="AV944" s="1038" t="e">
        <f t="shared" si="326"/>
        <v>#DIV/0!</v>
      </c>
      <c r="AW944" s="1038" t="e">
        <f t="shared" si="326"/>
        <v>#DIV/0!</v>
      </c>
      <c r="AX944" s="1038" t="e">
        <f t="shared" si="326"/>
        <v>#DIV/0!</v>
      </c>
      <c r="AY944" s="1038" t="e">
        <f t="shared" si="326"/>
        <v>#DIV/0!</v>
      </c>
      <c r="AZ944" s="1061" t="s">
        <v>21</v>
      </c>
      <c r="BC944" s="29"/>
      <c r="BD944" s="29"/>
      <c r="BE944" s="13"/>
      <c r="BL944" s="368"/>
    </row>
    <row r="945" spans="1:64" ht="12" customHeight="1" x14ac:dyDescent="0.2">
      <c r="A945" s="132">
        <f>acute_overview_children!A145</f>
        <v>3</v>
      </c>
      <c r="B945" s="3">
        <f t="shared" si="315"/>
        <v>241000</v>
      </c>
      <c r="C945" s="3" t="str">
        <f t="shared" si="316"/>
        <v>Flowering brassica</v>
      </c>
      <c r="D945" s="1042"/>
      <c r="E945" s="1027"/>
      <c r="F945" s="87"/>
      <c r="G945" s="87"/>
      <c r="H945" s="1027"/>
      <c r="I945" s="1030"/>
      <c r="J945" s="1043" t="e">
        <f t="shared" ref="J945:AR945" si="327">IF(J145="",0,IF(OR(1=RANK(J545,J$412:J$790,0),(2=RANK(J545,J$412:J$790,0))),J545,J145))</f>
        <v>#DIV/0!</v>
      </c>
      <c r="K945" s="1044" t="e">
        <f t="shared" si="327"/>
        <v>#DIV/0!</v>
      </c>
      <c r="L945" s="1044" t="e">
        <f t="shared" si="327"/>
        <v>#DIV/0!</v>
      </c>
      <c r="M945" s="1044" t="e">
        <f t="shared" si="327"/>
        <v>#DIV/0!</v>
      </c>
      <c r="N945" s="1044" t="e">
        <f t="shared" si="327"/>
        <v>#DIV/0!</v>
      </c>
      <c r="O945" s="1044" t="e">
        <f t="shared" si="327"/>
        <v>#DIV/0!</v>
      </c>
      <c r="P945" s="1044" t="e">
        <f t="shared" si="327"/>
        <v>#DIV/0!</v>
      </c>
      <c r="Q945" s="1044" t="e">
        <f t="shared" si="327"/>
        <v>#DIV/0!</v>
      </c>
      <c r="R945" s="1044" t="e">
        <f t="shared" si="327"/>
        <v>#DIV/0!</v>
      </c>
      <c r="S945" s="1044" t="e">
        <f t="shared" si="327"/>
        <v>#DIV/0!</v>
      </c>
      <c r="T945" s="1044" t="e">
        <f t="shared" si="327"/>
        <v>#DIV/0!</v>
      </c>
      <c r="U945" s="1044" t="e">
        <f t="shared" si="327"/>
        <v>#DIV/0!</v>
      </c>
      <c r="V945" s="1044" t="e">
        <f t="shared" si="327"/>
        <v>#DIV/0!</v>
      </c>
      <c r="W945" s="1044" t="e">
        <f t="shared" si="327"/>
        <v>#DIV/0!</v>
      </c>
      <c r="X945" s="1044" t="e">
        <f t="shared" si="327"/>
        <v>#DIV/0!</v>
      </c>
      <c r="Y945" s="1044" t="e">
        <f t="shared" si="327"/>
        <v>#DIV/0!</v>
      </c>
      <c r="Z945" s="1044" t="e">
        <f t="shared" si="327"/>
        <v>#DIV/0!</v>
      </c>
      <c r="AA945" s="1044" t="e">
        <f t="shared" si="327"/>
        <v>#DIV/0!</v>
      </c>
      <c r="AB945" s="1044" t="e">
        <f t="shared" si="327"/>
        <v>#DIV/0!</v>
      </c>
      <c r="AC945" s="1044" t="e">
        <f t="shared" si="327"/>
        <v>#DIV/0!</v>
      </c>
      <c r="AD945" s="1044" t="e">
        <f t="shared" si="327"/>
        <v>#DIV/0!</v>
      </c>
      <c r="AE945" s="1044" t="e">
        <f t="shared" si="327"/>
        <v>#DIV/0!</v>
      </c>
      <c r="AF945" s="1044" t="e">
        <f t="shared" si="327"/>
        <v>#DIV/0!</v>
      </c>
      <c r="AG945" s="1044" t="e">
        <f t="shared" si="327"/>
        <v>#DIV/0!</v>
      </c>
      <c r="AH945" s="1044" t="e">
        <f t="shared" si="327"/>
        <v>#DIV/0!</v>
      </c>
      <c r="AI945" s="1044" t="e">
        <f t="shared" si="327"/>
        <v>#DIV/0!</v>
      </c>
      <c r="AJ945" s="1044" t="e">
        <f t="shared" si="327"/>
        <v>#DIV/0!</v>
      </c>
      <c r="AK945" s="1044" t="e">
        <f t="shared" si="327"/>
        <v>#DIV/0!</v>
      </c>
      <c r="AL945" s="1044" t="e">
        <f t="shared" si="327"/>
        <v>#DIV/0!</v>
      </c>
      <c r="AM945" s="1044" t="e">
        <f t="shared" si="327"/>
        <v>#DIV/0!</v>
      </c>
      <c r="AN945" s="1044" t="e">
        <f t="shared" si="327"/>
        <v>#DIV/0!</v>
      </c>
      <c r="AO945" s="1044" t="e">
        <f t="shared" si="327"/>
        <v>#DIV/0!</v>
      </c>
      <c r="AP945" s="1044" t="e">
        <f t="shared" si="327"/>
        <v>#DIV/0!</v>
      </c>
      <c r="AQ945" s="1044" t="e">
        <f t="shared" si="327"/>
        <v>#DIV/0!</v>
      </c>
      <c r="AR945" s="1044" t="e">
        <f t="shared" si="327"/>
        <v>#DIV/0!</v>
      </c>
      <c r="AS945" s="1044" t="e">
        <f t="shared" ref="AS945:AY945" si="328">IF(AS145="",0,IF(OR(1=RANK(AS545,AS$412:AS$790,0),(2=RANK(AS545,AS$412:AS$790,0))),AS545,AS145))</f>
        <v>#DIV/0!</v>
      </c>
      <c r="AT945" s="1044" t="e">
        <f t="shared" si="328"/>
        <v>#DIV/0!</v>
      </c>
      <c r="AU945" s="1044">
        <f t="shared" si="328"/>
        <v>0</v>
      </c>
      <c r="AV945" s="1044" t="e">
        <f t="shared" si="328"/>
        <v>#DIV/0!</v>
      </c>
      <c r="AW945" s="1044" t="e">
        <f t="shared" si="328"/>
        <v>#DIV/0!</v>
      </c>
      <c r="AX945" s="1044" t="e">
        <f t="shared" si="328"/>
        <v>#DIV/0!</v>
      </c>
      <c r="AY945" s="1044" t="e">
        <f t="shared" si="328"/>
        <v>#DIV/0!</v>
      </c>
      <c r="AZ945" s="1061" t="s">
        <v>21</v>
      </c>
      <c r="BC945" s="29"/>
      <c r="BD945" s="29"/>
      <c r="BE945" s="13"/>
      <c r="BL945" s="368"/>
    </row>
    <row r="946" spans="1:64" ht="12" customHeight="1" x14ac:dyDescent="0.2">
      <c r="A946" s="39">
        <f>acute_overview_children!A146</f>
        <v>4</v>
      </c>
      <c r="B946" s="23">
        <f t="shared" si="315"/>
        <v>241010</v>
      </c>
      <c r="C946" s="23" t="str">
        <f t="shared" si="316"/>
        <v xml:space="preserve">Broccoli </v>
      </c>
      <c r="D946" s="135"/>
      <c r="E946" s="1027"/>
      <c r="F946" s="87"/>
      <c r="G946" s="87"/>
      <c r="H946" s="1027"/>
      <c r="I946" s="1030"/>
      <c r="J946" s="1039" t="e">
        <f t="shared" ref="J946:AR946" si="329">IF(J146="",0,IF(OR(1=RANK(J546,J$412:J$790,0),(2=RANK(J546,J$412:J$790,0))),J546,J146))</f>
        <v>#DIV/0!</v>
      </c>
      <c r="K946" s="1040" t="e">
        <f t="shared" si="329"/>
        <v>#DIV/0!</v>
      </c>
      <c r="L946" s="1040" t="e">
        <f t="shared" si="329"/>
        <v>#DIV/0!</v>
      </c>
      <c r="M946" s="1040" t="e">
        <f t="shared" si="329"/>
        <v>#DIV/0!</v>
      </c>
      <c r="N946" s="1040" t="e">
        <f t="shared" si="329"/>
        <v>#DIV/0!</v>
      </c>
      <c r="O946" s="1040" t="e">
        <f t="shared" si="329"/>
        <v>#DIV/0!</v>
      </c>
      <c r="P946" s="1040" t="e">
        <f t="shared" si="329"/>
        <v>#DIV/0!</v>
      </c>
      <c r="Q946" s="1040" t="e">
        <f t="shared" si="329"/>
        <v>#DIV/0!</v>
      </c>
      <c r="R946" s="1040" t="e">
        <f t="shared" si="329"/>
        <v>#DIV/0!</v>
      </c>
      <c r="S946" s="1040" t="e">
        <f t="shared" si="329"/>
        <v>#DIV/0!</v>
      </c>
      <c r="T946" s="1040" t="e">
        <f t="shared" si="329"/>
        <v>#DIV/0!</v>
      </c>
      <c r="U946" s="1040" t="e">
        <f t="shared" si="329"/>
        <v>#DIV/0!</v>
      </c>
      <c r="V946" s="1040" t="e">
        <f t="shared" si="329"/>
        <v>#DIV/0!</v>
      </c>
      <c r="W946" s="1040" t="e">
        <f t="shared" si="329"/>
        <v>#DIV/0!</v>
      </c>
      <c r="X946" s="1040" t="e">
        <f t="shared" si="329"/>
        <v>#DIV/0!</v>
      </c>
      <c r="Y946" s="1040" t="e">
        <f t="shared" si="329"/>
        <v>#DIV/0!</v>
      </c>
      <c r="Z946" s="1040" t="e">
        <f t="shared" si="329"/>
        <v>#DIV/0!</v>
      </c>
      <c r="AA946" s="1040" t="e">
        <f t="shared" si="329"/>
        <v>#DIV/0!</v>
      </c>
      <c r="AB946" s="1040" t="e">
        <f t="shared" si="329"/>
        <v>#DIV/0!</v>
      </c>
      <c r="AC946" s="1040" t="e">
        <f t="shared" si="329"/>
        <v>#DIV/0!</v>
      </c>
      <c r="AD946" s="1040" t="e">
        <f t="shared" si="329"/>
        <v>#DIV/0!</v>
      </c>
      <c r="AE946" s="1040" t="e">
        <f t="shared" si="329"/>
        <v>#DIV/0!</v>
      </c>
      <c r="AF946" s="1040" t="e">
        <f t="shared" si="329"/>
        <v>#DIV/0!</v>
      </c>
      <c r="AG946" s="1040" t="e">
        <f t="shared" si="329"/>
        <v>#DIV/0!</v>
      </c>
      <c r="AH946" s="1040" t="e">
        <f t="shared" si="329"/>
        <v>#DIV/0!</v>
      </c>
      <c r="AI946" s="1040" t="e">
        <f t="shared" si="329"/>
        <v>#DIV/0!</v>
      </c>
      <c r="AJ946" s="1040" t="e">
        <f t="shared" si="329"/>
        <v>#DIV/0!</v>
      </c>
      <c r="AK946" s="1040" t="e">
        <f t="shared" si="329"/>
        <v>#DIV/0!</v>
      </c>
      <c r="AL946" s="1040" t="e">
        <f t="shared" si="329"/>
        <v>#DIV/0!</v>
      </c>
      <c r="AM946" s="1040" t="e">
        <f t="shared" si="329"/>
        <v>#DIV/0!</v>
      </c>
      <c r="AN946" s="1040" t="e">
        <f t="shared" si="329"/>
        <v>#DIV/0!</v>
      </c>
      <c r="AO946" s="1040" t="e">
        <f t="shared" si="329"/>
        <v>#DIV/0!</v>
      </c>
      <c r="AP946" s="1040" t="e">
        <f t="shared" si="329"/>
        <v>#DIV/0!</v>
      </c>
      <c r="AQ946" s="1040" t="e">
        <f t="shared" si="329"/>
        <v>#DIV/0!</v>
      </c>
      <c r="AR946" s="1040" t="e">
        <f t="shared" si="329"/>
        <v>#DIV/0!</v>
      </c>
      <c r="AS946" s="1040" t="e">
        <f t="shared" ref="AS946:AY946" si="330">IF(AS146="",0,IF(OR(1=RANK(AS546,AS$412:AS$790,0),(2=RANK(AS546,AS$412:AS$790,0))),AS546,AS146))</f>
        <v>#DIV/0!</v>
      </c>
      <c r="AT946" s="1040" t="e">
        <f t="shared" si="330"/>
        <v>#DIV/0!</v>
      </c>
      <c r="AU946" s="1040">
        <f t="shared" si="330"/>
        <v>0</v>
      </c>
      <c r="AV946" s="1040" t="e">
        <f t="shared" si="330"/>
        <v>#DIV/0!</v>
      </c>
      <c r="AW946" s="1040" t="e">
        <f t="shared" si="330"/>
        <v>#DIV/0!</v>
      </c>
      <c r="AX946" s="1040" t="e">
        <f t="shared" si="330"/>
        <v>#DIV/0!</v>
      </c>
      <c r="AY946" s="1040" t="e">
        <f t="shared" si="330"/>
        <v>#DIV/0!</v>
      </c>
      <c r="AZ946" s="1061" t="s">
        <v>21</v>
      </c>
      <c r="BC946" s="29"/>
      <c r="BD946" s="29"/>
      <c r="BE946" s="13"/>
      <c r="BL946" s="368"/>
    </row>
    <row r="947" spans="1:64" ht="12" customHeight="1" x14ac:dyDescent="0.2">
      <c r="A947" s="39">
        <f>acute_overview_children!A147</f>
        <v>4</v>
      </c>
      <c r="B947" s="23">
        <f t="shared" si="315"/>
        <v>241020</v>
      </c>
      <c r="C947" s="23" t="str">
        <f t="shared" si="316"/>
        <v>Cauliflowers</v>
      </c>
      <c r="D947" s="135"/>
      <c r="E947" s="1027"/>
      <c r="F947" s="87"/>
      <c r="G947" s="87"/>
      <c r="H947" s="1027"/>
      <c r="I947" s="1030"/>
      <c r="J947" s="1039" t="e">
        <f t="shared" ref="J947:AR947" si="331">IF(J147="",0,IF(OR(1=RANK(J547,J$412:J$790,0),(2=RANK(J547,J$412:J$790,0))),J547,J147))</f>
        <v>#DIV/0!</v>
      </c>
      <c r="K947" s="1040" t="e">
        <f t="shared" si="331"/>
        <v>#DIV/0!</v>
      </c>
      <c r="L947" s="1040" t="e">
        <f t="shared" si="331"/>
        <v>#DIV/0!</v>
      </c>
      <c r="M947" s="1040" t="e">
        <f t="shared" si="331"/>
        <v>#DIV/0!</v>
      </c>
      <c r="N947" s="1040" t="e">
        <f t="shared" si="331"/>
        <v>#DIV/0!</v>
      </c>
      <c r="O947" s="1040" t="e">
        <f t="shared" si="331"/>
        <v>#DIV/0!</v>
      </c>
      <c r="P947" s="1040" t="e">
        <f t="shared" si="331"/>
        <v>#DIV/0!</v>
      </c>
      <c r="Q947" s="1040" t="e">
        <f t="shared" si="331"/>
        <v>#DIV/0!</v>
      </c>
      <c r="R947" s="1040" t="e">
        <f t="shared" si="331"/>
        <v>#DIV/0!</v>
      </c>
      <c r="S947" s="1040" t="e">
        <f t="shared" si="331"/>
        <v>#DIV/0!</v>
      </c>
      <c r="T947" s="1040" t="e">
        <f t="shared" si="331"/>
        <v>#DIV/0!</v>
      </c>
      <c r="U947" s="1040" t="e">
        <f t="shared" si="331"/>
        <v>#DIV/0!</v>
      </c>
      <c r="V947" s="1040" t="e">
        <f t="shared" si="331"/>
        <v>#DIV/0!</v>
      </c>
      <c r="W947" s="1040" t="e">
        <f t="shared" si="331"/>
        <v>#DIV/0!</v>
      </c>
      <c r="X947" s="1040" t="e">
        <f t="shared" si="331"/>
        <v>#DIV/0!</v>
      </c>
      <c r="Y947" s="1040" t="e">
        <f t="shared" si="331"/>
        <v>#DIV/0!</v>
      </c>
      <c r="Z947" s="1040" t="e">
        <f t="shared" si="331"/>
        <v>#DIV/0!</v>
      </c>
      <c r="AA947" s="1040" t="e">
        <f t="shared" si="331"/>
        <v>#DIV/0!</v>
      </c>
      <c r="AB947" s="1040" t="e">
        <f t="shared" si="331"/>
        <v>#DIV/0!</v>
      </c>
      <c r="AC947" s="1040" t="e">
        <f t="shared" si="331"/>
        <v>#DIV/0!</v>
      </c>
      <c r="AD947" s="1040" t="e">
        <f t="shared" si="331"/>
        <v>#DIV/0!</v>
      </c>
      <c r="AE947" s="1040" t="e">
        <f t="shared" si="331"/>
        <v>#DIV/0!</v>
      </c>
      <c r="AF947" s="1040" t="e">
        <f t="shared" si="331"/>
        <v>#DIV/0!</v>
      </c>
      <c r="AG947" s="1040" t="e">
        <f t="shared" si="331"/>
        <v>#DIV/0!</v>
      </c>
      <c r="AH947" s="1040" t="e">
        <f t="shared" si="331"/>
        <v>#DIV/0!</v>
      </c>
      <c r="AI947" s="1040" t="e">
        <f t="shared" si="331"/>
        <v>#DIV/0!</v>
      </c>
      <c r="AJ947" s="1040" t="e">
        <f t="shared" si="331"/>
        <v>#DIV/0!</v>
      </c>
      <c r="AK947" s="1040" t="e">
        <f t="shared" si="331"/>
        <v>#DIV/0!</v>
      </c>
      <c r="AL947" s="1040" t="e">
        <f t="shared" si="331"/>
        <v>#DIV/0!</v>
      </c>
      <c r="AM947" s="1040" t="e">
        <f t="shared" si="331"/>
        <v>#DIV/0!</v>
      </c>
      <c r="AN947" s="1040" t="e">
        <f t="shared" si="331"/>
        <v>#DIV/0!</v>
      </c>
      <c r="AO947" s="1040" t="e">
        <f t="shared" si="331"/>
        <v>#DIV/0!</v>
      </c>
      <c r="AP947" s="1040" t="e">
        <f t="shared" si="331"/>
        <v>#DIV/0!</v>
      </c>
      <c r="AQ947" s="1040" t="e">
        <f t="shared" si="331"/>
        <v>#DIV/0!</v>
      </c>
      <c r="AR947" s="1040" t="e">
        <f t="shared" si="331"/>
        <v>#DIV/0!</v>
      </c>
      <c r="AS947" s="1040" t="e">
        <f t="shared" ref="AS947:AY947" si="332">IF(AS147="",0,IF(OR(1=RANK(AS547,AS$412:AS$790,0),(2=RANK(AS547,AS$412:AS$790,0))),AS547,AS147))</f>
        <v>#DIV/0!</v>
      </c>
      <c r="AT947" s="1040" t="e">
        <f t="shared" si="332"/>
        <v>#DIV/0!</v>
      </c>
      <c r="AU947" s="1040">
        <f t="shared" si="332"/>
        <v>0</v>
      </c>
      <c r="AV947" s="1040" t="e">
        <f t="shared" si="332"/>
        <v>#DIV/0!</v>
      </c>
      <c r="AW947" s="1040" t="e">
        <f t="shared" si="332"/>
        <v>#DIV/0!</v>
      </c>
      <c r="AX947" s="1040" t="e">
        <f t="shared" si="332"/>
        <v>#DIV/0!</v>
      </c>
      <c r="AY947" s="1040" t="e">
        <f t="shared" si="332"/>
        <v>#DIV/0!</v>
      </c>
      <c r="AZ947" s="1061" t="s">
        <v>21</v>
      </c>
      <c r="BC947" s="29"/>
      <c r="BD947" s="29"/>
      <c r="BE947" s="13"/>
      <c r="BL947" s="368"/>
    </row>
    <row r="948" spans="1:64" ht="12" customHeight="1" x14ac:dyDescent="0.2">
      <c r="A948" s="39">
        <f>acute_overview_children!A148</f>
        <v>4</v>
      </c>
      <c r="B948" s="23">
        <f t="shared" si="315"/>
        <v>241990</v>
      </c>
      <c r="C948" s="23" t="str">
        <f t="shared" si="316"/>
        <v>Other flowering brassica</v>
      </c>
      <c r="D948" s="135"/>
      <c r="E948" s="1027"/>
      <c r="F948" s="87"/>
      <c r="G948" s="87"/>
      <c r="H948" s="1027"/>
      <c r="I948" s="1030"/>
      <c r="J948" s="1039" t="e">
        <f t="shared" ref="J948:AR948" si="333">IF(J148="",0,IF(OR(1=RANK(J548,J$412:J$790,0),(2=RANK(J548,J$412:J$790,0))),J548,J148))</f>
        <v>#DIV/0!</v>
      </c>
      <c r="K948" s="1040" t="e">
        <f t="shared" si="333"/>
        <v>#DIV/0!</v>
      </c>
      <c r="L948" s="1040" t="e">
        <f t="shared" si="333"/>
        <v>#DIV/0!</v>
      </c>
      <c r="M948" s="1040" t="e">
        <f t="shared" si="333"/>
        <v>#DIV/0!</v>
      </c>
      <c r="N948" s="1040" t="e">
        <f t="shared" si="333"/>
        <v>#DIV/0!</v>
      </c>
      <c r="O948" s="1040" t="e">
        <f t="shared" si="333"/>
        <v>#DIV/0!</v>
      </c>
      <c r="P948" s="1040" t="e">
        <f t="shared" si="333"/>
        <v>#DIV/0!</v>
      </c>
      <c r="Q948" s="1040" t="e">
        <f t="shared" si="333"/>
        <v>#DIV/0!</v>
      </c>
      <c r="R948" s="1040" t="e">
        <f t="shared" si="333"/>
        <v>#DIV/0!</v>
      </c>
      <c r="S948" s="1040" t="e">
        <f t="shared" si="333"/>
        <v>#DIV/0!</v>
      </c>
      <c r="T948" s="1040" t="e">
        <f t="shared" si="333"/>
        <v>#DIV/0!</v>
      </c>
      <c r="U948" s="1040" t="e">
        <f t="shared" si="333"/>
        <v>#DIV/0!</v>
      </c>
      <c r="V948" s="1040" t="e">
        <f t="shared" si="333"/>
        <v>#DIV/0!</v>
      </c>
      <c r="W948" s="1040" t="e">
        <f t="shared" si="333"/>
        <v>#DIV/0!</v>
      </c>
      <c r="X948" s="1040" t="e">
        <f t="shared" si="333"/>
        <v>#DIV/0!</v>
      </c>
      <c r="Y948" s="1040" t="e">
        <f t="shared" si="333"/>
        <v>#DIV/0!</v>
      </c>
      <c r="Z948" s="1040" t="e">
        <f t="shared" si="333"/>
        <v>#DIV/0!</v>
      </c>
      <c r="AA948" s="1040" t="e">
        <f t="shared" si="333"/>
        <v>#DIV/0!</v>
      </c>
      <c r="AB948" s="1040" t="e">
        <f t="shared" si="333"/>
        <v>#DIV/0!</v>
      </c>
      <c r="AC948" s="1040" t="e">
        <f t="shared" si="333"/>
        <v>#DIV/0!</v>
      </c>
      <c r="AD948" s="1040" t="e">
        <f t="shared" si="333"/>
        <v>#DIV/0!</v>
      </c>
      <c r="AE948" s="1040" t="e">
        <f t="shared" si="333"/>
        <v>#DIV/0!</v>
      </c>
      <c r="AF948" s="1040" t="e">
        <f t="shared" si="333"/>
        <v>#DIV/0!</v>
      </c>
      <c r="AG948" s="1040" t="e">
        <f t="shared" si="333"/>
        <v>#DIV/0!</v>
      </c>
      <c r="AH948" s="1040" t="e">
        <f t="shared" si="333"/>
        <v>#DIV/0!</v>
      </c>
      <c r="AI948" s="1040" t="e">
        <f t="shared" si="333"/>
        <v>#DIV/0!</v>
      </c>
      <c r="AJ948" s="1040" t="e">
        <f t="shared" si="333"/>
        <v>#DIV/0!</v>
      </c>
      <c r="AK948" s="1040" t="e">
        <f t="shared" si="333"/>
        <v>#DIV/0!</v>
      </c>
      <c r="AL948" s="1040" t="e">
        <f t="shared" si="333"/>
        <v>#DIV/0!</v>
      </c>
      <c r="AM948" s="1040" t="e">
        <f t="shared" si="333"/>
        <v>#DIV/0!</v>
      </c>
      <c r="AN948" s="1040" t="e">
        <f t="shared" si="333"/>
        <v>#DIV/0!</v>
      </c>
      <c r="AO948" s="1040" t="e">
        <f t="shared" si="333"/>
        <v>#DIV/0!</v>
      </c>
      <c r="AP948" s="1040" t="e">
        <f t="shared" si="333"/>
        <v>#DIV/0!</v>
      </c>
      <c r="AQ948" s="1040" t="e">
        <f t="shared" si="333"/>
        <v>#DIV/0!</v>
      </c>
      <c r="AR948" s="1040" t="e">
        <f t="shared" si="333"/>
        <v>#DIV/0!</v>
      </c>
      <c r="AS948" s="1040" t="e">
        <f t="shared" ref="AS948:AY948" si="334">IF(AS148="",0,IF(OR(1=RANK(AS548,AS$412:AS$790,0),(2=RANK(AS548,AS$412:AS$790,0))),AS548,AS148))</f>
        <v>#DIV/0!</v>
      </c>
      <c r="AT948" s="1040" t="e">
        <f t="shared" si="334"/>
        <v>#DIV/0!</v>
      </c>
      <c r="AU948" s="1040">
        <f t="shared" si="334"/>
        <v>0</v>
      </c>
      <c r="AV948" s="1040" t="e">
        <f t="shared" si="334"/>
        <v>#DIV/0!</v>
      </c>
      <c r="AW948" s="1040" t="e">
        <f t="shared" si="334"/>
        <v>#DIV/0!</v>
      </c>
      <c r="AX948" s="1040" t="e">
        <f t="shared" si="334"/>
        <v>#DIV/0!</v>
      </c>
      <c r="AY948" s="1040" t="e">
        <f t="shared" si="334"/>
        <v>#DIV/0!</v>
      </c>
      <c r="AZ948" s="1061" t="s">
        <v>21</v>
      </c>
      <c r="BC948" s="29"/>
      <c r="BD948" s="29"/>
      <c r="BE948" s="13"/>
      <c r="BL948" s="368"/>
    </row>
    <row r="949" spans="1:64" ht="12" customHeight="1" x14ac:dyDescent="0.2">
      <c r="A949" s="132">
        <f>acute_overview_children!A149</f>
        <v>3</v>
      </c>
      <c r="B949" s="3">
        <f t="shared" si="315"/>
        <v>242000</v>
      </c>
      <c r="C949" s="3" t="str">
        <f t="shared" si="316"/>
        <v>Head brassica</v>
      </c>
      <c r="D949" s="1042"/>
      <c r="E949" s="1027"/>
      <c r="F949" s="87"/>
      <c r="G949" s="87"/>
      <c r="H949" s="1027"/>
      <c r="I949" s="1030"/>
      <c r="J949" s="1043" t="e">
        <f t="shared" ref="J949:AR949" si="335">IF(J149="",0,IF(OR(1=RANK(J549,J$412:J$790,0),(2=RANK(J549,J$412:J$790,0))),J549,J149))</f>
        <v>#DIV/0!</v>
      </c>
      <c r="K949" s="1044" t="e">
        <f t="shared" si="335"/>
        <v>#DIV/0!</v>
      </c>
      <c r="L949" s="1044" t="e">
        <f t="shared" si="335"/>
        <v>#DIV/0!</v>
      </c>
      <c r="M949" s="1044" t="e">
        <f t="shared" si="335"/>
        <v>#DIV/0!</v>
      </c>
      <c r="N949" s="1044" t="e">
        <f t="shared" si="335"/>
        <v>#DIV/0!</v>
      </c>
      <c r="O949" s="1044" t="e">
        <f t="shared" si="335"/>
        <v>#DIV/0!</v>
      </c>
      <c r="P949" s="1044" t="e">
        <f t="shared" si="335"/>
        <v>#DIV/0!</v>
      </c>
      <c r="Q949" s="1044" t="e">
        <f t="shared" si="335"/>
        <v>#DIV/0!</v>
      </c>
      <c r="R949" s="1044" t="e">
        <f t="shared" si="335"/>
        <v>#DIV/0!</v>
      </c>
      <c r="S949" s="1044" t="e">
        <f t="shared" si="335"/>
        <v>#DIV/0!</v>
      </c>
      <c r="T949" s="1044" t="e">
        <f t="shared" si="335"/>
        <v>#DIV/0!</v>
      </c>
      <c r="U949" s="1044" t="e">
        <f t="shared" si="335"/>
        <v>#DIV/0!</v>
      </c>
      <c r="V949" s="1044" t="e">
        <f t="shared" si="335"/>
        <v>#DIV/0!</v>
      </c>
      <c r="W949" s="1044" t="e">
        <f t="shared" si="335"/>
        <v>#DIV/0!</v>
      </c>
      <c r="X949" s="1044" t="e">
        <f t="shared" si="335"/>
        <v>#DIV/0!</v>
      </c>
      <c r="Y949" s="1044" t="e">
        <f t="shared" si="335"/>
        <v>#DIV/0!</v>
      </c>
      <c r="Z949" s="1044" t="e">
        <f t="shared" si="335"/>
        <v>#DIV/0!</v>
      </c>
      <c r="AA949" s="1044" t="e">
        <f t="shared" si="335"/>
        <v>#DIV/0!</v>
      </c>
      <c r="AB949" s="1044" t="e">
        <f t="shared" si="335"/>
        <v>#DIV/0!</v>
      </c>
      <c r="AC949" s="1044" t="e">
        <f t="shared" si="335"/>
        <v>#DIV/0!</v>
      </c>
      <c r="AD949" s="1044" t="e">
        <f t="shared" si="335"/>
        <v>#DIV/0!</v>
      </c>
      <c r="AE949" s="1044" t="e">
        <f t="shared" si="335"/>
        <v>#DIV/0!</v>
      </c>
      <c r="AF949" s="1044" t="e">
        <f t="shared" si="335"/>
        <v>#DIV/0!</v>
      </c>
      <c r="AG949" s="1044" t="e">
        <f t="shared" si="335"/>
        <v>#DIV/0!</v>
      </c>
      <c r="AH949" s="1044" t="e">
        <f t="shared" si="335"/>
        <v>#DIV/0!</v>
      </c>
      <c r="AI949" s="1044" t="e">
        <f t="shared" si="335"/>
        <v>#DIV/0!</v>
      </c>
      <c r="AJ949" s="1044" t="e">
        <f t="shared" si="335"/>
        <v>#DIV/0!</v>
      </c>
      <c r="AK949" s="1044" t="e">
        <f t="shared" si="335"/>
        <v>#DIV/0!</v>
      </c>
      <c r="AL949" s="1044" t="e">
        <f t="shared" si="335"/>
        <v>#DIV/0!</v>
      </c>
      <c r="AM949" s="1044" t="e">
        <f t="shared" si="335"/>
        <v>#DIV/0!</v>
      </c>
      <c r="AN949" s="1044" t="e">
        <f t="shared" si="335"/>
        <v>#DIV/0!</v>
      </c>
      <c r="AO949" s="1044" t="e">
        <f t="shared" si="335"/>
        <v>#DIV/0!</v>
      </c>
      <c r="AP949" s="1044" t="e">
        <f t="shared" si="335"/>
        <v>#DIV/0!</v>
      </c>
      <c r="AQ949" s="1044" t="e">
        <f t="shared" si="335"/>
        <v>#DIV/0!</v>
      </c>
      <c r="AR949" s="1044" t="e">
        <f t="shared" si="335"/>
        <v>#DIV/0!</v>
      </c>
      <c r="AS949" s="1044" t="e">
        <f t="shared" ref="AS949:AY949" si="336">IF(AS149="",0,IF(OR(1=RANK(AS549,AS$412:AS$790,0),(2=RANK(AS549,AS$412:AS$790,0))),AS549,AS149))</f>
        <v>#DIV/0!</v>
      </c>
      <c r="AT949" s="1044" t="e">
        <f t="shared" si="336"/>
        <v>#DIV/0!</v>
      </c>
      <c r="AU949" s="1044">
        <f t="shared" si="336"/>
        <v>0</v>
      </c>
      <c r="AV949" s="1044" t="e">
        <f t="shared" si="336"/>
        <v>#DIV/0!</v>
      </c>
      <c r="AW949" s="1044" t="e">
        <f t="shared" si="336"/>
        <v>#DIV/0!</v>
      </c>
      <c r="AX949" s="1044" t="e">
        <f t="shared" si="336"/>
        <v>#DIV/0!</v>
      </c>
      <c r="AY949" s="1044" t="e">
        <f t="shared" si="336"/>
        <v>#DIV/0!</v>
      </c>
      <c r="AZ949" s="1061" t="s">
        <v>21</v>
      </c>
      <c r="BC949" s="29"/>
      <c r="BD949" s="29"/>
      <c r="BE949" s="13"/>
      <c r="BL949" s="368"/>
    </row>
    <row r="950" spans="1:64" ht="12" customHeight="1" x14ac:dyDescent="0.2">
      <c r="A950" s="39">
        <f>acute_overview_children!A150</f>
        <v>4</v>
      </c>
      <c r="B950" s="23">
        <f t="shared" si="315"/>
        <v>242010</v>
      </c>
      <c r="C950" s="23" t="str">
        <f t="shared" si="316"/>
        <v>Brussels sprouts</v>
      </c>
      <c r="D950" s="135"/>
      <c r="E950" s="1027"/>
      <c r="F950" s="87"/>
      <c r="G950" s="87"/>
      <c r="H950" s="1027"/>
      <c r="I950" s="1030"/>
      <c r="J950" s="1039" t="e">
        <f t="shared" ref="J950:AR950" si="337">IF(J150="",0,IF(OR(1=RANK(J550,J$412:J$790,0),(2=RANK(J550,J$412:J$790,0))),J550,J150))</f>
        <v>#DIV/0!</v>
      </c>
      <c r="K950" s="1040" t="e">
        <f t="shared" si="337"/>
        <v>#DIV/0!</v>
      </c>
      <c r="L950" s="1040" t="e">
        <f t="shared" si="337"/>
        <v>#DIV/0!</v>
      </c>
      <c r="M950" s="1040" t="e">
        <f t="shared" si="337"/>
        <v>#DIV/0!</v>
      </c>
      <c r="N950" s="1040" t="e">
        <f t="shared" si="337"/>
        <v>#DIV/0!</v>
      </c>
      <c r="O950" s="1040" t="e">
        <f t="shared" si="337"/>
        <v>#DIV/0!</v>
      </c>
      <c r="P950" s="1040" t="e">
        <f t="shared" si="337"/>
        <v>#DIV/0!</v>
      </c>
      <c r="Q950" s="1040" t="e">
        <f t="shared" si="337"/>
        <v>#DIV/0!</v>
      </c>
      <c r="R950" s="1040" t="e">
        <f t="shared" si="337"/>
        <v>#DIV/0!</v>
      </c>
      <c r="S950" s="1040" t="e">
        <f t="shared" si="337"/>
        <v>#DIV/0!</v>
      </c>
      <c r="T950" s="1040" t="e">
        <f t="shared" si="337"/>
        <v>#DIV/0!</v>
      </c>
      <c r="U950" s="1040" t="e">
        <f t="shared" si="337"/>
        <v>#DIV/0!</v>
      </c>
      <c r="V950" s="1040" t="e">
        <f t="shared" si="337"/>
        <v>#DIV/0!</v>
      </c>
      <c r="W950" s="1040" t="e">
        <f t="shared" si="337"/>
        <v>#DIV/0!</v>
      </c>
      <c r="X950" s="1040" t="e">
        <f t="shared" si="337"/>
        <v>#DIV/0!</v>
      </c>
      <c r="Y950" s="1040" t="e">
        <f t="shared" si="337"/>
        <v>#DIV/0!</v>
      </c>
      <c r="Z950" s="1040" t="e">
        <f t="shared" si="337"/>
        <v>#DIV/0!</v>
      </c>
      <c r="AA950" s="1040" t="e">
        <f t="shared" si="337"/>
        <v>#DIV/0!</v>
      </c>
      <c r="AB950" s="1040" t="e">
        <f t="shared" si="337"/>
        <v>#DIV/0!</v>
      </c>
      <c r="AC950" s="1040" t="e">
        <f t="shared" si="337"/>
        <v>#DIV/0!</v>
      </c>
      <c r="AD950" s="1040" t="e">
        <f t="shared" si="337"/>
        <v>#DIV/0!</v>
      </c>
      <c r="AE950" s="1040" t="e">
        <f t="shared" si="337"/>
        <v>#DIV/0!</v>
      </c>
      <c r="AF950" s="1040" t="e">
        <f t="shared" si="337"/>
        <v>#DIV/0!</v>
      </c>
      <c r="AG950" s="1040" t="e">
        <f t="shared" si="337"/>
        <v>#DIV/0!</v>
      </c>
      <c r="AH950" s="1040" t="e">
        <f t="shared" si="337"/>
        <v>#DIV/0!</v>
      </c>
      <c r="AI950" s="1040" t="e">
        <f t="shared" si="337"/>
        <v>#DIV/0!</v>
      </c>
      <c r="AJ950" s="1040" t="e">
        <f t="shared" si="337"/>
        <v>#DIV/0!</v>
      </c>
      <c r="AK950" s="1040" t="e">
        <f t="shared" si="337"/>
        <v>#DIV/0!</v>
      </c>
      <c r="AL950" s="1040" t="e">
        <f t="shared" si="337"/>
        <v>#DIV/0!</v>
      </c>
      <c r="AM950" s="1040" t="e">
        <f t="shared" si="337"/>
        <v>#DIV/0!</v>
      </c>
      <c r="AN950" s="1040" t="e">
        <f t="shared" si="337"/>
        <v>#DIV/0!</v>
      </c>
      <c r="AO950" s="1040" t="e">
        <f t="shared" si="337"/>
        <v>#DIV/0!</v>
      </c>
      <c r="AP950" s="1040" t="e">
        <f t="shared" si="337"/>
        <v>#DIV/0!</v>
      </c>
      <c r="AQ950" s="1040" t="e">
        <f t="shared" si="337"/>
        <v>#DIV/0!</v>
      </c>
      <c r="AR950" s="1040" t="e">
        <f t="shared" si="337"/>
        <v>#DIV/0!</v>
      </c>
      <c r="AS950" s="1040" t="e">
        <f t="shared" ref="AS950:AY950" si="338">IF(AS150="",0,IF(OR(1=RANK(AS550,AS$412:AS$790,0),(2=RANK(AS550,AS$412:AS$790,0))),AS550,AS150))</f>
        <v>#DIV/0!</v>
      </c>
      <c r="AT950" s="1040" t="e">
        <f t="shared" si="338"/>
        <v>#DIV/0!</v>
      </c>
      <c r="AU950" s="1040">
        <f t="shared" si="338"/>
        <v>0</v>
      </c>
      <c r="AV950" s="1040" t="e">
        <f t="shared" si="338"/>
        <v>#DIV/0!</v>
      </c>
      <c r="AW950" s="1040" t="e">
        <f t="shared" si="338"/>
        <v>#DIV/0!</v>
      </c>
      <c r="AX950" s="1040" t="e">
        <f t="shared" si="338"/>
        <v>#DIV/0!</v>
      </c>
      <c r="AY950" s="1040" t="e">
        <f t="shared" si="338"/>
        <v>#DIV/0!</v>
      </c>
      <c r="AZ950" s="1061" t="s">
        <v>21</v>
      </c>
      <c r="BC950" s="29"/>
      <c r="BD950" s="29"/>
      <c r="BE950" s="13"/>
      <c r="BL950" s="368"/>
    </row>
    <row r="951" spans="1:64" ht="12" customHeight="1" x14ac:dyDescent="0.2">
      <c r="A951" s="39">
        <f>acute_overview_children!A151</f>
        <v>4</v>
      </c>
      <c r="B951" s="23">
        <f t="shared" si="315"/>
        <v>242020</v>
      </c>
      <c r="C951" s="23" t="str">
        <f t="shared" si="316"/>
        <v>Head cabbages</v>
      </c>
      <c r="D951" s="135"/>
      <c r="E951" s="1027"/>
      <c r="F951" s="87"/>
      <c r="G951" s="87"/>
      <c r="H951" s="1027"/>
      <c r="I951" s="1030"/>
      <c r="J951" s="1039" t="e">
        <f t="shared" ref="J951:AR951" si="339">IF(J151="",0,IF(OR(1=RANK(J551,J$412:J$790,0),(2=RANK(J551,J$412:J$790,0))),J551,J151))</f>
        <v>#DIV/0!</v>
      </c>
      <c r="K951" s="1040" t="e">
        <f t="shared" si="339"/>
        <v>#DIV/0!</v>
      </c>
      <c r="L951" s="1040" t="e">
        <f t="shared" si="339"/>
        <v>#DIV/0!</v>
      </c>
      <c r="M951" s="1040" t="e">
        <f t="shared" si="339"/>
        <v>#DIV/0!</v>
      </c>
      <c r="N951" s="1040" t="e">
        <f t="shared" si="339"/>
        <v>#DIV/0!</v>
      </c>
      <c r="O951" s="1040" t="e">
        <f t="shared" si="339"/>
        <v>#DIV/0!</v>
      </c>
      <c r="P951" s="1040" t="e">
        <f t="shared" si="339"/>
        <v>#DIV/0!</v>
      </c>
      <c r="Q951" s="1040" t="e">
        <f t="shared" si="339"/>
        <v>#DIV/0!</v>
      </c>
      <c r="R951" s="1040" t="e">
        <f t="shared" si="339"/>
        <v>#DIV/0!</v>
      </c>
      <c r="S951" s="1040" t="e">
        <f t="shared" si="339"/>
        <v>#DIV/0!</v>
      </c>
      <c r="T951" s="1040" t="e">
        <f t="shared" si="339"/>
        <v>#DIV/0!</v>
      </c>
      <c r="U951" s="1040" t="e">
        <f t="shared" si="339"/>
        <v>#DIV/0!</v>
      </c>
      <c r="V951" s="1040" t="e">
        <f t="shared" si="339"/>
        <v>#DIV/0!</v>
      </c>
      <c r="W951" s="1040" t="e">
        <f t="shared" si="339"/>
        <v>#DIV/0!</v>
      </c>
      <c r="X951" s="1040" t="e">
        <f t="shared" si="339"/>
        <v>#DIV/0!</v>
      </c>
      <c r="Y951" s="1040" t="e">
        <f t="shared" si="339"/>
        <v>#DIV/0!</v>
      </c>
      <c r="Z951" s="1040" t="e">
        <f t="shared" si="339"/>
        <v>#DIV/0!</v>
      </c>
      <c r="AA951" s="1040" t="e">
        <f t="shared" si="339"/>
        <v>#DIV/0!</v>
      </c>
      <c r="AB951" s="1040" t="e">
        <f t="shared" si="339"/>
        <v>#DIV/0!</v>
      </c>
      <c r="AC951" s="1040" t="e">
        <f t="shared" si="339"/>
        <v>#DIV/0!</v>
      </c>
      <c r="AD951" s="1040" t="e">
        <f t="shared" si="339"/>
        <v>#DIV/0!</v>
      </c>
      <c r="AE951" s="1040" t="e">
        <f t="shared" si="339"/>
        <v>#DIV/0!</v>
      </c>
      <c r="AF951" s="1040" t="e">
        <f t="shared" si="339"/>
        <v>#DIV/0!</v>
      </c>
      <c r="AG951" s="1040" t="e">
        <f t="shared" si="339"/>
        <v>#DIV/0!</v>
      </c>
      <c r="AH951" s="1040" t="e">
        <f t="shared" si="339"/>
        <v>#DIV/0!</v>
      </c>
      <c r="AI951" s="1040" t="e">
        <f t="shared" si="339"/>
        <v>#DIV/0!</v>
      </c>
      <c r="AJ951" s="1040" t="e">
        <f t="shared" si="339"/>
        <v>#DIV/0!</v>
      </c>
      <c r="AK951" s="1040" t="e">
        <f t="shared" si="339"/>
        <v>#DIV/0!</v>
      </c>
      <c r="AL951" s="1040" t="e">
        <f t="shared" si="339"/>
        <v>#DIV/0!</v>
      </c>
      <c r="AM951" s="1040" t="e">
        <f t="shared" si="339"/>
        <v>#DIV/0!</v>
      </c>
      <c r="AN951" s="1040" t="e">
        <f t="shared" si="339"/>
        <v>#DIV/0!</v>
      </c>
      <c r="AO951" s="1040" t="e">
        <f t="shared" si="339"/>
        <v>#DIV/0!</v>
      </c>
      <c r="AP951" s="1040" t="e">
        <f t="shared" si="339"/>
        <v>#DIV/0!</v>
      </c>
      <c r="AQ951" s="1040" t="e">
        <f t="shared" si="339"/>
        <v>#DIV/0!</v>
      </c>
      <c r="AR951" s="1040" t="e">
        <f t="shared" si="339"/>
        <v>#DIV/0!</v>
      </c>
      <c r="AS951" s="1040" t="e">
        <f t="shared" ref="AS951:AY951" si="340">IF(AS151="",0,IF(OR(1=RANK(AS551,AS$412:AS$790,0),(2=RANK(AS551,AS$412:AS$790,0))),AS551,AS151))</f>
        <v>#DIV/0!</v>
      </c>
      <c r="AT951" s="1040" t="e">
        <f t="shared" si="340"/>
        <v>#DIV/0!</v>
      </c>
      <c r="AU951" s="1040">
        <f t="shared" si="340"/>
        <v>0</v>
      </c>
      <c r="AV951" s="1040" t="e">
        <f t="shared" si="340"/>
        <v>#DIV/0!</v>
      </c>
      <c r="AW951" s="1040" t="e">
        <f t="shared" si="340"/>
        <v>#DIV/0!</v>
      </c>
      <c r="AX951" s="1040" t="e">
        <f t="shared" si="340"/>
        <v>#DIV/0!</v>
      </c>
      <c r="AY951" s="1040" t="e">
        <f t="shared" si="340"/>
        <v>#DIV/0!</v>
      </c>
      <c r="AZ951" s="1061" t="s">
        <v>21</v>
      </c>
      <c r="BC951" s="29"/>
      <c r="BD951" s="29"/>
      <c r="BE951" s="13"/>
      <c r="BL951" s="368"/>
    </row>
    <row r="952" spans="1:64" ht="12" customHeight="1" x14ac:dyDescent="0.2">
      <c r="A952" s="39">
        <f>acute_overview_children!A152</f>
        <v>4</v>
      </c>
      <c r="B952" s="23">
        <f t="shared" si="315"/>
        <v>242990</v>
      </c>
      <c r="C952" s="23" t="str">
        <f t="shared" si="316"/>
        <v>Other head brassica</v>
      </c>
      <c r="D952" s="135"/>
      <c r="E952" s="1027"/>
      <c r="F952" s="87"/>
      <c r="G952" s="87"/>
      <c r="H952" s="1027"/>
      <c r="I952" s="1030"/>
      <c r="J952" s="1039" t="e">
        <f t="shared" ref="J952:AR952" si="341">IF(J152="",0,IF(OR(1=RANK(J552,J$412:J$790,0),(2=RANK(J552,J$412:J$790,0))),J552,J152))</f>
        <v>#DIV/0!</v>
      </c>
      <c r="K952" s="1040" t="e">
        <f t="shared" si="341"/>
        <v>#DIV/0!</v>
      </c>
      <c r="L952" s="1040" t="e">
        <f t="shared" si="341"/>
        <v>#DIV/0!</v>
      </c>
      <c r="M952" s="1040" t="e">
        <f t="shared" si="341"/>
        <v>#DIV/0!</v>
      </c>
      <c r="N952" s="1040" t="e">
        <f t="shared" si="341"/>
        <v>#DIV/0!</v>
      </c>
      <c r="O952" s="1040" t="e">
        <f t="shared" si="341"/>
        <v>#DIV/0!</v>
      </c>
      <c r="P952" s="1040" t="e">
        <f t="shared" si="341"/>
        <v>#DIV/0!</v>
      </c>
      <c r="Q952" s="1040" t="e">
        <f t="shared" si="341"/>
        <v>#DIV/0!</v>
      </c>
      <c r="R952" s="1040" t="e">
        <f t="shared" si="341"/>
        <v>#DIV/0!</v>
      </c>
      <c r="S952" s="1040" t="e">
        <f t="shared" si="341"/>
        <v>#DIV/0!</v>
      </c>
      <c r="T952" s="1040" t="e">
        <f t="shared" si="341"/>
        <v>#DIV/0!</v>
      </c>
      <c r="U952" s="1040" t="e">
        <f t="shared" si="341"/>
        <v>#DIV/0!</v>
      </c>
      <c r="V952" s="1040" t="e">
        <f t="shared" si="341"/>
        <v>#DIV/0!</v>
      </c>
      <c r="W952" s="1040" t="e">
        <f t="shared" si="341"/>
        <v>#DIV/0!</v>
      </c>
      <c r="X952" s="1040" t="e">
        <f t="shared" si="341"/>
        <v>#DIV/0!</v>
      </c>
      <c r="Y952" s="1040" t="e">
        <f t="shared" si="341"/>
        <v>#DIV/0!</v>
      </c>
      <c r="Z952" s="1040" t="e">
        <f t="shared" si="341"/>
        <v>#DIV/0!</v>
      </c>
      <c r="AA952" s="1040" t="e">
        <f t="shared" si="341"/>
        <v>#DIV/0!</v>
      </c>
      <c r="AB952" s="1040" t="e">
        <f t="shared" si="341"/>
        <v>#DIV/0!</v>
      </c>
      <c r="AC952" s="1040" t="e">
        <f t="shared" si="341"/>
        <v>#DIV/0!</v>
      </c>
      <c r="AD952" s="1040" t="e">
        <f t="shared" si="341"/>
        <v>#DIV/0!</v>
      </c>
      <c r="AE952" s="1040" t="e">
        <f t="shared" si="341"/>
        <v>#DIV/0!</v>
      </c>
      <c r="AF952" s="1040" t="e">
        <f t="shared" si="341"/>
        <v>#DIV/0!</v>
      </c>
      <c r="AG952" s="1040" t="e">
        <f t="shared" si="341"/>
        <v>#DIV/0!</v>
      </c>
      <c r="AH952" s="1040" t="e">
        <f t="shared" si="341"/>
        <v>#DIV/0!</v>
      </c>
      <c r="AI952" s="1040" t="e">
        <f t="shared" si="341"/>
        <v>#DIV/0!</v>
      </c>
      <c r="AJ952" s="1040" t="e">
        <f t="shared" si="341"/>
        <v>#DIV/0!</v>
      </c>
      <c r="AK952" s="1040" t="e">
        <f t="shared" si="341"/>
        <v>#DIV/0!</v>
      </c>
      <c r="AL952" s="1040" t="e">
        <f t="shared" si="341"/>
        <v>#DIV/0!</v>
      </c>
      <c r="AM952" s="1040" t="e">
        <f t="shared" si="341"/>
        <v>#DIV/0!</v>
      </c>
      <c r="AN952" s="1040" t="e">
        <f t="shared" si="341"/>
        <v>#DIV/0!</v>
      </c>
      <c r="AO952" s="1040" t="e">
        <f t="shared" si="341"/>
        <v>#DIV/0!</v>
      </c>
      <c r="AP952" s="1040" t="e">
        <f t="shared" si="341"/>
        <v>#DIV/0!</v>
      </c>
      <c r="AQ952" s="1040" t="e">
        <f t="shared" si="341"/>
        <v>#DIV/0!</v>
      </c>
      <c r="AR952" s="1040" t="e">
        <f t="shared" si="341"/>
        <v>#DIV/0!</v>
      </c>
      <c r="AS952" s="1040" t="e">
        <f t="shared" ref="AS952:AY952" si="342">IF(AS152="",0,IF(OR(1=RANK(AS552,AS$412:AS$790,0),(2=RANK(AS552,AS$412:AS$790,0))),AS552,AS152))</f>
        <v>#DIV/0!</v>
      </c>
      <c r="AT952" s="1040" t="e">
        <f t="shared" si="342"/>
        <v>#DIV/0!</v>
      </c>
      <c r="AU952" s="1040">
        <f t="shared" si="342"/>
        <v>0</v>
      </c>
      <c r="AV952" s="1040" t="e">
        <f t="shared" si="342"/>
        <v>#DIV/0!</v>
      </c>
      <c r="AW952" s="1040" t="e">
        <f t="shared" si="342"/>
        <v>#DIV/0!</v>
      </c>
      <c r="AX952" s="1040" t="e">
        <f t="shared" si="342"/>
        <v>#DIV/0!</v>
      </c>
      <c r="AY952" s="1040" t="e">
        <f t="shared" si="342"/>
        <v>#DIV/0!</v>
      </c>
      <c r="AZ952" s="1061" t="s">
        <v>21</v>
      </c>
      <c r="BC952" s="29"/>
      <c r="BD952" s="29"/>
      <c r="BE952" s="13"/>
      <c r="BL952" s="368"/>
    </row>
    <row r="953" spans="1:64" ht="12" customHeight="1" x14ac:dyDescent="0.2">
      <c r="A953" s="132">
        <f>acute_overview_children!A153</f>
        <v>3</v>
      </c>
      <c r="B953" s="3">
        <f t="shared" si="315"/>
        <v>243000</v>
      </c>
      <c r="C953" s="3" t="str">
        <f t="shared" si="316"/>
        <v>Leafy brassica</v>
      </c>
      <c r="D953" s="1042"/>
      <c r="E953" s="1027"/>
      <c r="F953" s="87"/>
      <c r="G953" s="87"/>
      <c r="H953" s="1027"/>
      <c r="I953" s="1030"/>
      <c r="J953" s="1043" t="e">
        <f t="shared" ref="J953:AR953" si="343">IF(J153="",0,IF(OR(1=RANK(J553,J$412:J$790,0),(2=RANK(J553,J$412:J$790,0))),J553,J153))</f>
        <v>#DIV/0!</v>
      </c>
      <c r="K953" s="1044" t="e">
        <f t="shared" si="343"/>
        <v>#DIV/0!</v>
      </c>
      <c r="L953" s="1044" t="e">
        <f t="shared" si="343"/>
        <v>#DIV/0!</v>
      </c>
      <c r="M953" s="1044" t="e">
        <f t="shared" si="343"/>
        <v>#DIV/0!</v>
      </c>
      <c r="N953" s="1044" t="e">
        <f t="shared" si="343"/>
        <v>#DIV/0!</v>
      </c>
      <c r="O953" s="1044" t="e">
        <f t="shared" si="343"/>
        <v>#DIV/0!</v>
      </c>
      <c r="P953" s="1044" t="e">
        <f t="shared" si="343"/>
        <v>#DIV/0!</v>
      </c>
      <c r="Q953" s="1044" t="e">
        <f t="shared" si="343"/>
        <v>#DIV/0!</v>
      </c>
      <c r="R953" s="1044" t="e">
        <f t="shared" si="343"/>
        <v>#DIV/0!</v>
      </c>
      <c r="S953" s="1044" t="e">
        <f t="shared" si="343"/>
        <v>#DIV/0!</v>
      </c>
      <c r="T953" s="1044" t="e">
        <f t="shared" si="343"/>
        <v>#DIV/0!</v>
      </c>
      <c r="U953" s="1044" t="e">
        <f t="shared" si="343"/>
        <v>#DIV/0!</v>
      </c>
      <c r="V953" s="1044" t="e">
        <f t="shared" si="343"/>
        <v>#DIV/0!</v>
      </c>
      <c r="W953" s="1044" t="e">
        <f t="shared" si="343"/>
        <v>#DIV/0!</v>
      </c>
      <c r="X953" s="1044" t="e">
        <f t="shared" si="343"/>
        <v>#DIV/0!</v>
      </c>
      <c r="Y953" s="1044" t="e">
        <f t="shared" si="343"/>
        <v>#DIV/0!</v>
      </c>
      <c r="Z953" s="1044" t="e">
        <f t="shared" si="343"/>
        <v>#DIV/0!</v>
      </c>
      <c r="AA953" s="1044" t="e">
        <f t="shared" si="343"/>
        <v>#DIV/0!</v>
      </c>
      <c r="AB953" s="1044" t="e">
        <f t="shared" si="343"/>
        <v>#DIV/0!</v>
      </c>
      <c r="AC953" s="1044" t="e">
        <f t="shared" si="343"/>
        <v>#DIV/0!</v>
      </c>
      <c r="AD953" s="1044" t="e">
        <f t="shared" si="343"/>
        <v>#DIV/0!</v>
      </c>
      <c r="AE953" s="1044" t="e">
        <f t="shared" si="343"/>
        <v>#DIV/0!</v>
      </c>
      <c r="AF953" s="1044" t="e">
        <f t="shared" si="343"/>
        <v>#DIV/0!</v>
      </c>
      <c r="AG953" s="1044" t="e">
        <f t="shared" si="343"/>
        <v>#DIV/0!</v>
      </c>
      <c r="AH953" s="1044" t="e">
        <f t="shared" si="343"/>
        <v>#DIV/0!</v>
      </c>
      <c r="AI953" s="1044" t="e">
        <f t="shared" si="343"/>
        <v>#DIV/0!</v>
      </c>
      <c r="AJ953" s="1044" t="e">
        <f t="shared" si="343"/>
        <v>#DIV/0!</v>
      </c>
      <c r="AK953" s="1044" t="e">
        <f t="shared" si="343"/>
        <v>#DIV/0!</v>
      </c>
      <c r="AL953" s="1044" t="e">
        <f t="shared" si="343"/>
        <v>#DIV/0!</v>
      </c>
      <c r="AM953" s="1044" t="e">
        <f t="shared" si="343"/>
        <v>#DIV/0!</v>
      </c>
      <c r="AN953" s="1044" t="e">
        <f t="shared" si="343"/>
        <v>#DIV/0!</v>
      </c>
      <c r="AO953" s="1044" t="e">
        <f t="shared" si="343"/>
        <v>#DIV/0!</v>
      </c>
      <c r="AP953" s="1044" t="e">
        <f t="shared" si="343"/>
        <v>#DIV/0!</v>
      </c>
      <c r="AQ953" s="1044" t="e">
        <f t="shared" si="343"/>
        <v>#DIV/0!</v>
      </c>
      <c r="AR953" s="1044" t="e">
        <f t="shared" si="343"/>
        <v>#DIV/0!</v>
      </c>
      <c r="AS953" s="1044" t="e">
        <f t="shared" ref="AS953:AY953" si="344">IF(AS153="",0,IF(OR(1=RANK(AS553,AS$412:AS$790,0),(2=RANK(AS553,AS$412:AS$790,0))),AS553,AS153))</f>
        <v>#DIV/0!</v>
      </c>
      <c r="AT953" s="1044" t="e">
        <f t="shared" si="344"/>
        <v>#DIV/0!</v>
      </c>
      <c r="AU953" s="1044">
        <f t="shared" si="344"/>
        <v>0</v>
      </c>
      <c r="AV953" s="1044" t="e">
        <f t="shared" si="344"/>
        <v>#DIV/0!</v>
      </c>
      <c r="AW953" s="1044" t="e">
        <f t="shared" si="344"/>
        <v>#DIV/0!</v>
      </c>
      <c r="AX953" s="1044" t="e">
        <f t="shared" si="344"/>
        <v>#DIV/0!</v>
      </c>
      <c r="AY953" s="1044" t="e">
        <f t="shared" si="344"/>
        <v>#DIV/0!</v>
      </c>
      <c r="AZ953" s="1061" t="s">
        <v>21</v>
      </c>
      <c r="BC953" s="29"/>
      <c r="BD953" s="29"/>
      <c r="BE953" s="13"/>
      <c r="BL953" s="368"/>
    </row>
    <row r="954" spans="1:64" ht="12" customHeight="1" x14ac:dyDescent="0.2">
      <c r="A954" s="39">
        <f>acute_overview_children!A154</f>
        <v>4</v>
      </c>
      <c r="B954" s="23">
        <f t="shared" si="315"/>
        <v>243010</v>
      </c>
      <c r="C954" s="23" t="str">
        <f t="shared" si="316"/>
        <v>Chinese cabbages/pe-tsai</v>
      </c>
      <c r="D954" s="135"/>
      <c r="E954" s="1027"/>
      <c r="F954" s="87"/>
      <c r="G954" s="87"/>
      <c r="H954" s="1027"/>
      <c r="I954" s="1030"/>
      <c r="J954" s="1039" t="e">
        <f t="shared" ref="J954:AR954" si="345">IF(J154="",0,IF(OR(1=RANK(J554,J$412:J$790,0),(2=RANK(J554,J$412:J$790,0))),J554,J154))</f>
        <v>#DIV/0!</v>
      </c>
      <c r="K954" s="1040" t="e">
        <f t="shared" si="345"/>
        <v>#DIV/0!</v>
      </c>
      <c r="L954" s="1040" t="e">
        <f t="shared" si="345"/>
        <v>#DIV/0!</v>
      </c>
      <c r="M954" s="1040" t="e">
        <f t="shared" si="345"/>
        <v>#DIV/0!</v>
      </c>
      <c r="N954" s="1040" t="e">
        <f t="shared" si="345"/>
        <v>#DIV/0!</v>
      </c>
      <c r="O954" s="1040" t="e">
        <f t="shared" si="345"/>
        <v>#DIV/0!</v>
      </c>
      <c r="P954" s="1040" t="e">
        <f t="shared" si="345"/>
        <v>#DIV/0!</v>
      </c>
      <c r="Q954" s="1040" t="e">
        <f t="shared" si="345"/>
        <v>#DIV/0!</v>
      </c>
      <c r="R954" s="1040" t="e">
        <f t="shared" si="345"/>
        <v>#DIV/0!</v>
      </c>
      <c r="S954" s="1040" t="e">
        <f t="shared" si="345"/>
        <v>#DIV/0!</v>
      </c>
      <c r="T954" s="1040" t="e">
        <f t="shared" si="345"/>
        <v>#DIV/0!</v>
      </c>
      <c r="U954" s="1040" t="e">
        <f t="shared" si="345"/>
        <v>#DIV/0!</v>
      </c>
      <c r="V954" s="1040" t="e">
        <f t="shared" si="345"/>
        <v>#DIV/0!</v>
      </c>
      <c r="W954" s="1040" t="e">
        <f t="shared" si="345"/>
        <v>#DIV/0!</v>
      </c>
      <c r="X954" s="1040" t="e">
        <f t="shared" si="345"/>
        <v>#DIV/0!</v>
      </c>
      <c r="Y954" s="1040" t="e">
        <f t="shared" si="345"/>
        <v>#DIV/0!</v>
      </c>
      <c r="Z954" s="1040" t="e">
        <f t="shared" si="345"/>
        <v>#DIV/0!</v>
      </c>
      <c r="AA954" s="1040" t="e">
        <f t="shared" si="345"/>
        <v>#DIV/0!</v>
      </c>
      <c r="AB954" s="1040" t="e">
        <f t="shared" si="345"/>
        <v>#DIV/0!</v>
      </c>
      <c r="AC954" s="1040" t="e">
        <f t="shared" si="345"/>
        <v>#DIV/0!</v>
      </c>
      <c r="AD954" s="1040" t="e">
        <f t="shared" si="345"/>
        <v>#DIV/0!</v>
      </c>
      <c r="AE954" s="1040" t="e">
        <f t="shared" si="345"/>
        <v>#DIV/0!</v>
      </c>
      <c r="AF954" s="1040" t="e">
        <f t="shared" si="345"/>
        <v>#DIV/0!</v>
      </c>
      <c r="AG954" s="1040" t="e">
        <f t="shared" si="345"/>
        <v>#DIV/0!</v>
      </c>
      <c r="AH954" s="1040" t="e">
        <f t="shared" si="345"/>
        <v>#DIV/0!</v>
      </c>
      <c r="AI954" s="1040" t="e">
        <f t="shared" si="345"/>
        <v>#DIV/0!</v>
      </c>
      <c r="AJ954" s="1040" t="e">
        <f t="shared" si="345"/>
        <v>#DIV/0!</v>
      </c>
      <c r="AK954" s="1040" t="e">
        <f t="shared" si="345"/>
        <v>#DIV/0!</v>
      </c>
      <c r="AL954" s="1040" t="e">
        <f t="shared" si="345"/>
        <v>#DIV/0!</v>
      </c>
      <c r="AM954" s="1040" t="e">
        <f t="shared" si="345"/>
        <v>#DIV/0!</v>
      </c>
      <c r="AN954" s="1040" t="e">
        <f t="shared" si="345"/>
        <v>#DIV/0!</v>
      </c>
      <c r="AO954" s="1040" t="e">
        <f t="shared" si="345"/>
        <v>#DIV/0!</v>
      </c>
      <c r="AP954" s="1040" t="e">
        <f t="shared" si="345"/>
        <v>#DIV/0!</v>
      </c>
      <c r="AQ954" s="1040" t="e">
        <f t="shared" si="345"/>
        <v>#DIV/0!</v>
      </c>
      <c r="AR954" s="1040" t="e">
        <f t="shared" si="345"/>
        <v>#DIV/0!</v>
      </c>
      <c r="AS954" s="1040" t="e">
        <f t="shared" ref="AS954:AY954" si="346">IF(AS154="",0,IF(OR(1=RANK(AS554,AS$412:AS$790,0),(2=RANK(AS554,AS$412:AS$790,0))),AS554,AS154))</f>
        <v>#DIV/0!</v>
      </c>
      <c r="AT954" s="1040" t="e">
        <f t="shared" si="346"/>
        <v>#DIV/0!</v>
      </c>
      <c r="AU954" s="1040">
        <f t="shared" si="346"/>
        <v>0</v>
      </c>
      <c r="AV954" s="1040" t="e">
        <f t="shared" si="346"/>
        <v>#DIV/0!</v>
      </c>
      <c r="AW954" s="1040" t="e">
        <f t="shared" si="346"/>
        <v>#DIV/0!</v>
      </c>
      <c r="AX954" s="1040" t="e">
        <f t="shared" si="346"/>
        <v>#DIV/0!</v>
      </c>
      <c r="AY954" s="1040" t="e">
        <f t="shared" si="346"/>
        <v>#DIV/0!</v>
      </c>
      <c r="AZ954" s="1061" t="s">
        <v>21</v>
      </c>
      <c r="BC954" s="29"/>
      <c r="BD954" s="29"/>
      <c r="BE954" s="13"/>
      <c r="BL954" s="368"/>
    </row>
    <row r="955" spans="1:64" ht="12" customHeight="1" x14ac:dyDescent="0.2">
      <c r="A955" s="39">
        <f>acute_overview_children!A155</f>
        <v>4</v>
      </c>
      <c r="B955" s="23">
        <f t="shared" si="315"/>
        <v>243020</v>
      </c>
      <c r="C955" s="23" t="str">
        <f t="shared" si="316"/>
        <v>Kales</v>
      </c>
      <c r="D955" s="135"/>
      <c r="E955" s="1027"/>
      <c r="F955" s="87"/>
      <c r="G955" s="87"/>
      <c r="H955" s="1027"/>
      <c r="I955" s="1030"/>
      <c r="J955" s="1039" t="e">
        <f t="shared" ref="J955:AR955" si="347">IF(J155="",0,IF(OR(1=RANK(J555,J$412:J$790,0),(2=RANK(J555,J$412:J$790,0))),J555,J155))</f>
        <v>#DIV/0!</v>
      </c>
      <c r="K955" s="1040" t="e">
        <f t="shared" si="347"/>
        <v>#DIV/0!</v>
      </c>
      <c r="L955" s="1040" t="e">
        <f t="shared" si="347"/>
        <v>#DIV/0!</v>
      </c>
      <c r="M955" s="1040" t="e">
        <f t="shared" si="347"/>
        <v>#DIV/0!</v>
      </c>
      <c r="N955" s="1040" t="e">
        <f t="shared" si="347"/>
        <v>#DIV/0!</v>
      </c>
      <c r="O955" s="1040" t="e">
        <f t="shared" si="347"/>
        <v>#DIV/0!</v>
      </c>
      <c r="P955" s="1040" t="e">
        <f t="shared" si="347"/>
        <v>#DIV/0!</v>
      </c>
      <c r="Q955" s="1040" t="e">
        <f t="shared" si="347"/>
        <v>#DIV/0!</v>
      </c>
      <c r="R955" s="1040" t="e">
        <f t="shared" si="347"/>
        <v>#DIV/0!</v>
      </c>
      <c r="S955" s="1040" t="e">
        <f t="shared" si="347"/>
        <v>#DIV/0!</v>
      </c>
      <c r="T955" s="1040" t="e">
        <f t="shared" si="347"/>
        <v>#DIV/0!</v>
      </c>
      <c r="U955" s="1040" t="e">
        <f t="shared" si="347"/>
        <v>#DIV/0!</v>
      </c>
      <c r="V955" s="1040" t="e">
        <f t="shared" si="347"/>
        <v>#DIV/0!</v>
      </c>
      <c r="W955" s="1040" t="e">
        <f t="shared" si="347"/>
        <v>#DIV/0!</v>
      </c>
      <c r="X955" s="1040" t="e">
        <f t="shared" si="347"/>
        <v>#DIV/0!</v>
      </c>
      <c r="Y955" s="1040" t="e">
        <f t="shared" si="347"/>
        <v>#DIV/0!</v>
      </c>
      <c r="Z955" s="1040" t="e">
        <f t="shared" si="347"/>
        <v>#DIV/0!</v>
      </c>
      <c r="AA955" s="1040" t="e">
        <f t="shared" si="347"/>
        <v>#DIV/0!</v>
      </c>
      <c r="AB955" s="1040" t="e">
        <f t="shared" si="347"/>
        <v>#DIV/0!</v>
      </c>
      <c r="AC955" s="1040" t="e">
        <f t="shared" si="347"/>
        <v>#DIV/0!</v>
      </c>
      <c r="AD955" s="1040" t="e">
        <f t="shared" si="347"/>
        <v>#DIV/0!</v>
      </c>
      <c r="AE955" s="1040" t="e">
        <f t="shared" si="347"/>
        <v>#DIV/0!</v>
      </c>
      <c r="AF955" s="1040" t="e">
        <f t="shared" si="347"/>
        <v>#DIV/0!</v>
      </c>
      <c r="AG955" s="1040" t="e">
        <f t="shared" si="347"/>
        <v>#DIV/0!</v>
      </c>
      <c r="AH955" s="1040" t="e">
        <f t="shared" si="347"/>
        <v>#DIV/0!</v>
      </c>
      <c r="AI955" s="1040" t="e">
        <f t="shared" si="347"/>
        <v>#DIV/0!</v>
      </c>
      <c r="AJ955" s="1040" t="e">
        <f t="shared" si="347"/>
        <v>#DIV/0!</v>
      </c>
      <c r="AK955" s="1040" t="e">
        <f t="shared" si="347"/>
        <v>#DIV/0!</v>
      </c>
      <c r="AL955" s="1040" t="e">
        <f t="shared" si="347"/>
        <v>#DIV/0!</v>
      </c>
      <c r="AM955" s="1040" t="e">
        <f t="shared" si="347"/>
        <v>#DIV/0!</v>
      </c>
      <c r="AN955" s="1040" t="e">
        <f t="shared" si="347"/>
        <v>#DIV/0!</v>
      </c>
      <c r="AO955" s="1040" t="e">
        <f t="shared" si="347"/>
        <v>#DIV/0!</v>
      </c>
      <c r="AP955" s="1040" t="e">
        <f t="shared" si="347"/>
        <v>#DIV/0!</v>
      </c>
      <c r="AQ955" s="1040" t="e">
        <f t="shared" si="347"/>
        <v>#DIV/0!</v>
      </c>
      <c r="AR955" s="1040" t="e">
        <f t="shared" si="347"/>
        <v>#DIV/0!</v>
      </c>
      <c r="AS955" s="1040" t="e">
        <f t="shared" ref="AS955:AY955" si="348">IF(AS155="",0,IF(OR(1=RANK(AS555,AS$412:AS$790,0),(2=RANK(AS555,AS$412:AS$790,0))),AS555,AS155))</f>
        <v>#DIV/0!</v>
      </c>
      <c r="AT955" s="1040" t="e">
        <f t="shared" si="348"/>
        <v>#DIV/0!</v>
      </c>
      <c r="AU955" s="1040">
        <f t="shared" si="348"/>
        <v>0</v>
      </c>
      <c r="AV955" s="1040" t="e">
        <f t="shared" si="348"/>
        <v>#DIV/0!</v>
      </c>
      <c r="AW955" s="1040" t="e">
        <f t="shared" si="348"/>
        <v>#DIV/0!</v>
      </c>
      <c r="AX955" s="1040" t="e">
        <f t="shared" si="348"/>
        <v>#DIV/0!</v>
      </c>
      <c r="AY955" s="1040" t="e">
        <f t="shared" si="348"/>
        <v>#DIV/0!</v>
      </c>
      <c r="AZ955" s="1061" t="s">
        <v>21</v>
      </c>
      <c r="BC955" s="29"/>
      <c r="BD955" s="29"/>
      <c r="BE955" s="13"/>
      <c r="BL955" s="368"/>
    </row>
    <row r="956" spans="1:64" ht="12" customHeight="1" x14ac:dyDescent="0.2">
      <c r="A956" s="39">
        <f>acute_overview_children!A156</f>
        <v>4</v>
      </c>
      <c r="B956" s="23">
        <f t="shared" si="315"/>
        <v>243990</v>
      </c>
      <c r="C956" s="23" t="str">
        <f t="shared" si="316"/>
        <v>Other leafy brassica</v>
      </c>
      <c r="D956" s="135"/>
      <c r="E956" s="1027"/>
      <c r="F956" s="87"/>
      <c r="G956" s="87"/>
      <c r="H956" s="1027"/>
      <c r="I956" s="1030"/>
      <c r="J956" s="1039" t="e">
        <f t="shared" ref="J956:AR956" si="349">IF(J156="",0,IF(OR(1=RANK(J556,J$412:J$790,0),(2=RANK(J556,J$412:J$790,0))),J556,J156))</f>
        <v>#DIV/0!</v>
      </c>
      <c r="K956" s="1040" t="e">
        <f t="shared" si="349"/>
        <v>#DIV/0!</v>
      </c>
      <c r="L956" s="1040" t="e">
        <f t="shared" si="349"/>
        <v>#DIV/0!</v>
      </c>
      <c r="M956" s="1040" t="e">
        <f t="shared" si="349"/>
        <v>#DIV/0!</v>
      </c>
      <c r="N956" s="1040" t="e">
        <f t="shared" si="349"/>
        <v>#DIV/0!</v>
      </c>
      <c r="O956" s="1040" t="e">
        <f t="shared" si="349"/>
        <v>#DIV/0!</v>
      </c>
      <c r="P956" s="1040" t="e">
        <f t="shared" si="349"/>
        <v>#DIV/0!</v>
      </c>
      <c r="Q956" s="1040" t="e">
        <f t="shared" si="349"/>
        <v>#DIV/0!</v>
      </c>
      <c r="R956" s="1040" t="e">
        <f t="shared" si="349"/>
        <v>#DIV/0!</v>
      </c>
      <c r="S956" s="1040" t="e">
        <f t="shared" si="349"/>
        <v>#DIV/0!</v>
      </c>
      <c r="T956" s="1040" t="e">
        <f t="shared" si="349"/>
        <v>#DIV/0!</v>
      </c>
      <c r="U956" s="1040" t="e">
        <f t="shared" si="349"/>
        <v>#DIV/0!</v>
      </c>
      <c r="V956" s="1040" t="e">
        <f t="shared" si="349"/>
        <v>#DIV/0!</v>
      </c>
      <c r="W956" s="1040" t="e">
        <f t="shared" si="349"/>
        <v>#DIV/0!</v>
      </c>
      <c r="X956" s="1040" t="e">
        <f t="shared" si="349"/>
        <v>#DIV/0!</v>
      </c>
      <c r="Y956" s="1040" t="e">
        <f t="shared" si="349"/>
        <v>#DIV/0!</v>
      </c>
      <c r="Z956" s="1040" t="e">
        <f t="shared" si="349"/>
        <v>#DIV/0!</v>
      </c>
      <c r="AA956" s="1040" t="e">
        <f t="shared" si="349"/>
        <v>#DIV/0!</v>
      </c>
      <c r="AB956" s="1040" t="e">
        <f t="shared" si="349"/>
        <v>#DIV/0!</v>
      </c>
      <c r="AC956" s="1040" t="e">
        <f t="shared" si="349"/>
        <v>#DIV/0!</v>
      </c>
      <c r="AD956" s="1040" t="e">
        <f t="shared" si="349"/>
        <v>#DIV/0!</v>
      </c>
      <c r="AE956" s="1040" t="e">
        <f t="shared" si="349"/>
        <v>#DIV/0!</v>
      </c>
      <c r="AF956" s="1040" t="e">
        <f t="shared" si="349"/>
        <v>#DIV/0!</v>
      </c>
      <c r="AG956" s="1040" t="e">
        <f t="shared" si="349"/>
        <v>#DIV/0!</v>
      </c>
      <c r="AH956" s="1040" t="e">
        <f t="shared" si="349"/>
        <v>#DIV/0!</v>
      </c>
      <c r="AI956" s="1040" t="e">
        <f t="shared" si="349"/>
        <v>#DIV/0!</v>
      </c>
      <c r="AJ956" s="1040" t="e">
        <f t="shared" si="349"/>
        <v>#DIV/0!</v>
      </c>
      <c r="AK956" s="1040" t="e">
        <f t="shared" si="349"/>
        <v>#DIV/0!</v>
      </c>
      <c r="AL956" s="1040" t="e">
        <f t="shared" si="349"/>
        <v>#DIV/0!</v>
      </c>
      <c r="AM956" s="1040" t="e">
        <f t="shared" si="349"/>
        <v>#DIV/0!</v>
      </c>
      <c r="AN956" s="1040" t="e">
        <f t="shared" si="349"/>
        <v>#DIV/0!</v>
      </c>
      <c r="AO956" s="1040" t="e">
        <f t="shared" si="349"/>
        <v>#DIV/0!</v>
      </c>
      <c r="AP956" s="1040" t="e">
        <f t="shared" si="349"/>
        <v>#DIV/0!</v>
      </c>
      <c r="AQ956" s="1040" t="e">
        <f t="shared" si="349"/>
        <v>#DIV/0!</v>
      </c>
      <c r="AR956" s="1040" t="e">
        <f t="shared" si="349"/>
        <v>#DIV/0!</v>
      </c>
      <c r="AS956" s="1040" t="e">
        <f t="shared" ref="AS956:AY956" si="350">IF(AS156="",0,IF(OR(1=RANK(AS556,AS$412:AS$790,0),(2=RANK(AS556,AS$412:AS$790,0))),AS556,AS156))</f>
        <v>#DIV/0!</v>
      </c>
      <c r="AT956" s="1040" t="e">
        <f t="shared" si="350"/>
        <v>#DIV/0!</v>
      </c>
      <c r="AU956" s="1040">
        <f t="shared" si="350"/>
        <v>0</v>
      </c>
      <c r="AV956" s="1040" t="e">
        <f t="shared" si="350"/>
        <v>#DIV/0!</v>
      </c>
      <c r="AW956" s="1040" t="e">
        <f t="shared" si="350"/>
        <v>#DIV/0!</v>
      </c>
      <c r="AX956" s="1040" t="e">
        <f t="shared" si="350"/>
        <v>#DIV/0!</v>
      </c>
      <c r="AY956" s="1040" t="e">
        <f t="shared" si="350"/>
        <v>#DIV/0!</v>
      </c>
      <c r="AZ956" s="1061" t="s">
        <v>21</v>
      </c>
      <c r="BC956" s="29"/>
      <c r="BD956" s="29"/>
      <c r="BE956" s="13"/>
      <c r="BL956" s="368"/>
    </row>
    <row r="957" spans="1:64" ht="12" customHeight="1" x14ac:dyDescent="0.2">
      <c r="A957" s="132">
        <f>acute_overview_children!A157</f>
        <v>3</v>
      </c>
      <c r="B957" s="3">
        <f t="shared" si="315"/>
        <v>244000</v>
      </c>
      <c r="C957" s="3" t="str">
        <f t="shared" si="316"/>
        <v>Kohlrabies</v>
      </c>
      <c r="D957" s="1042"/>
      <c r="E957" s="1027"/>
      <c r="F957" s="87"/>
      <c r="G957" s="87"/>
      <c r="H957" s="1027"/>
      <c r="I957" s="1030"/>
      <c r="J957" s="1043" t="e">
        <f t="shared" ref="J957:AR957" si="351">IF(J157="",0,IF(OR(1=RANK(J557,J$412:J$790,0),(2=RANK(J557,J$412:J$790,0))),J557,J157))</f>
        <v>#DIV/0!</v>
      </c>
      <c r="K957" s="1044" t="e">
        <f t="shared" si="351"/>
        <v>#DIV/0!</v>
      </c>
      <c r="L957" s="1044" t="e">
        <f t="shared" si="351"/>
        <v>#DIV/0!</v>
      </c>
      <c r="M957" s="1044" t="e">
        <f t="shared" si="351"/>
        <v>#DIV/0!</v>
      </c>
      <c r="N957" s="1044" t="e">
        <f t="shared" si="351"/>
        <v>#DIV/0!</v>
      </c>
      <c r="O957" s="1044" t="e">
        <f t="shared" si="351"/>
        <v>#DIV/0!</v>
      </c>
      <c r="P957" s="1044" t="e">
        <f t="shared" si="351"/>
        <v>#DIV/0!</v>
      </c>
      <c r="Q957" s="1044" t="e">
        <f t="shared" si="351"/>
        <v>#DIV/0!</v>
      </c>
      <c r="R957" s="1044" t="e">
        <f t="shared" si="351"/>
        <v>#DIV/0!</v>
      </c>
      <c r="S957" s="1044" t="e">
        <f t="shared" si="351"/>
        <v>#DIV/0!</v>
      </c>
      <c r="T957" s="1044" t="e">
        <f t="shared" si="351"/>
        <v>#DIV/0!</v>
      </c>
      <c r="U957" s="1044" t="e">
        <f t="shared" si="351"/>
        <v>#DIV/0!</v>
      </c>
      <c r="V957" s="1044" t="e">
        <f t="shared" si="351"/>
        <v>#DIV/0!</v>
      </c>
      <c r="W957" s="1044" t="e">
        <f t="shared" si="351"/>
        <v>#DIV/0!</v>
      </c>
      <c r="X957" s="1044" t="e">
        <f t="shared" si="351"/>
        <v>#DIV/0!</v>
      </c>
      <c r="Y957" s="1044" t="e">
        <f t="shared" si="351"/>
        <v>#DIV/0!</v>
      </c>
      <c r="Z957" s="1044" t="e">
        <f t="shared" si="351"/>
        <v>#DIV/0!</v>
      </c>
      <c r="AA957" s="1044" t="e">
        <f t="shared" si="351"/>
        <v>#DIV/0!</v>
      </c>
      <c r="AB957" s="1044" t="e">
        <f t="shared" si="351"/>
        <v>#DIV/0!</v>
      </c>
      <c r="AC957" s="1044" t="e">
        <f t="shared" si="351"/>
        <v>#DIV/0!</v>
      </c>
      <c r="AD957" s="1044" t="e">
        <f t="shared" si="351"/>
        <v>#DIV/0!</v>
      </c>
      <c r="AE957" s="1044" t="e">
        <f t="shared" si="351"/>
        <v>#DIV/0!</v>
      </c>
      <c r="AF957" s="1044" t="e">
        <f t="shared" si="351"/>
        <v>#DIV/0!</v>
      </c>
      <c r="AG957" s="1044" t="e">
        <f t="shared" si="351"/>
        <v>#DIV/0!</v>
      </c>
      <c r="AH957" s="1044" t="e">
        <f t="shared" si="351"/>
        <v>#DIV/0!</v>
      </c>
      <c r="AI957" s="1044" t="e">
        <f t="shared" si="351"/>
        <v>#DIV/0!</v>
      </c>
      <c r="AJ957" s="1044" t="e">
        <f t="shared" si="351"/>
        <v>#DIV/0!</v>
      </c>
      <c r="AK957" s="1044" t="e">
        <f t="shared" si="351"/>
        <v>#DIV/0!</v>
      </c>
      <c r="AL957" s="1044" t="e">
        <f t="shared" si="351"/>
        <v>#DIV/0!</v>
      </c>
      <c r="AM957" s="1044" t="e">
        <f t="shared" si="351"/>
        <v>#DIV/0!</v>
      </c>
      <c r="AN957" s="1044" t="e">
        <f t="shared" si="351"/>
        <v>#DIV/0!</v>
      </c>
      <c r="AO957" s="1044" t="e">
        <f t="shared" si="351"/>
        <v>#DIV/0!</v>
      </c>
      <c r="AP957" s="1044" t="e">
        <f t="shared" si="351"/>
        <v>#DIV/0!</v>
      </c>
      <c r="AQ957" s="1044" t="e">
        <f t="shared" si="351"/>
        <v>#DIV/0!</v>
      </c>
      <c r="AR957" s="1044" t="e">
        <f t="shared" si="351"/>
        <v>#DIV/0!</v>
      </c>
      <c r="AS957" s="1044" t="e">
        <f t="shared" ref="AS957:AY957" si="352">IF(AS157="",0,IF(OR(1=RANK(AS557,AS$412:AS$790,0),(2=RANK(AS557,AS$412:AS$790,0))),AS557,AS157))</f>
        <v>#DIV/0!</v>
      </c>
      <c r="AT957" s="1044" t="e">
        <f t="shared" si="352"/>
        <v>#DIV/0!</v>
      </c>
      <c r="AU957" s="1044">
        <f t="shared" si="352"/>
        <v>0</v>
      </c>
      <c r="AV957" s="1044" t="e">
        <f t="shared" si="352"/>
        <v>#DIV/0!</v>
      </c>
      <c r="AW957" s="1044" t="e">
        <f t="shared" si="352"/>
        <v>#DIV/0!</v>
      </c>
      <c r="AX957" s="1044" t="e">
        <f t="shared" si="352"/>
        <v>#DIV/0!</v>
      </c>
      <c r="AY957" s="1044" t="e">
        <f t="shared" si="352"/>
        <v>#DIV/0!</v>
      </c>
      <c r="AZ957" s="1061" t="s">
        <v>21</v>
      </c>
      <c r="BC957" s="29"/>
      <c r="BD957" s="29"/>
      <c r="BE957" s="13"/>
      <c r="BL957" s="368"/>
    </row>
    <row r="958" spans="1:64" ht="12" customHeight="1" x14ac:dyDescent="0.2">
      <c r="A958" s="515">
        <f>acute_overview_children!A158</f>
        <v>2</v>
      </c>
      <c r="B958" s="131">
        <f t="shared" si="315"/>
        <v>250000</v>
      </c>
      <c r="C958" s="131" t="str">
        <f t="shared" si="316"/>
        <v>Leaf vegetables, herbs and edible flowers</v>
      </c>
      <c r="D958" s="1035"/>
      <c r="E958" s="1027"/>
      <c r="F958" s="87"/>
      <c r="G958" s="87"/>
      <c r="H958" s="1027"/>
      <c r="I958" s="1030"/>
      <c r="J958" s="1037" t="e">
        <f t="shared" ref="J958:AR958" si="353">IF(J158="",0,IF(OR(1=RANK(J558,J$412:J$790,0),(2=RANK(J558,J$412:J$790,0))),J558,J158))</f>
        <v>#DIV/0!</v>
      </c>
      <c r="K958" s="1038" t="e">
        <f t="shared" si="353"/>
        <v>#DIV/0!</v>
      </c>
      <c r="L958" s="1038" t="e">
        <f t="shared" si="353"/>
        <v>#DIV/0!</v>
      </c>
      <c r="M958" s="1038" t="e">
        <f t="shared" si="353"/>
        <v>#DIV/0!</v>
      </c>
      <c r="N958" s="1038" t="e">
        <f t="shared" si="353"/>
        <v>#DIV/0!</v>
      </c>
      <c r="O958" s="1038" t="e">
        <f t="shared" si="353"/>
        <v>#DIV/0!</v>
      </c>
      <c r="P958" s="1038" t="e">
        <f t="shared" si="353"/>
        <v>#DIV/0!</v>
      </c>
      <c r="Q958" s="1038" t="e">
        <f t="shared" si="353"/>
        <v>#DIV/0!</v>
      </c>
      <c r="R958" s="1038" t="e">
        <f t="shared" si="353"/>
        <v>#DIV/0!</v>
      </c>
      <c r="S958" s="1038" t="e">
        <f t="shared" si="353"/>
        <v>#DIV/0!</v>
      </c>
      <c r="T958" s="1038" t="e">
        <f t="shared" si="353"/>
        <v>#DIV/0!</v>
      </c>
      <c r="U958" s="1038" t="e">
        <f t="shared" si="353"/>
        <v>#DIV/0!</v>
      </c>
      <c r="V958" s="1038" t="e">
        <f t="shared" si="353"/>
        <v>#DIV/0!</v>
      </c>
      <c r="W958" s="1038" t="e">
        <f t="shared" si="353"/>
        <v>#DIV/0!</v>
      </c>
      <c r="X958" s="1038" t="e">
        <f t="shared" si="353"/>
        <v>#DIV/0!</v>
      </c>
      <c r="Y958" s="1038" t="e">
        <f t="shared" si="353"/>
        <v>#DIV/0!</v>
      </c>
      <c r="Z958" s="1038" t="e">
        <f t="shared" si="353"/>
        <v>#DIV/0!</v>
      </c>
      <c r="AA958" s="1038" t="e">
        <f t="shared" si="353"/>
        <v>#DIV/0!</v>
      </c>
      <c r="AB958" s="1038" t="e">
        <f t="shared" si="353"/>
        <v>#DIV/0!</v>
      </c>
      <c r="AC958" s="1038" t="e">
        <f t="shared" si="353"/>
        <v>#DIV/0!</v>
      </c>
      <c r="AD958" s="1038" t="e">
        <f t="shared" si="353"/>
        <v>#DIV/0!</v>
      </c>
      <c r="AE958" s="1038" t="e">
        <f t="shared" si="353"/>
        <v>#DIV/0!</v>
      </c>
      <c r="AF958" s="1038" t="e">
        <f t="shared" si="353"/>
        <v>#DIV/0!</v>
      </c>
      <c r="AG958" s="1038" t="e">
        <f t="shared" si="353"/>
        <v>#DIV/0!</v>
      </c>
      <c r="AH958" s="1038" t="e">
        <f t="shared" si="353"/>
        <v>#DIV/0!</v>
      </c>
      <c r="AI958" s="1038" t="e">
        <f t="shared" si="353"/>
        <v>#DIV/0!</v>
      </c>
      <c r="AJ958" s="1038" t="e">
        <f t="shared" si="353"/>
        <v>#DIV/0!</v>
      </c>
      <c r="AK958" s="1038" t="e">
        <f t="shared" si="353"/>
        <v>#DIV/0!</v>
      </c>
      <c r="AL958" s="1038" t="e">
        <f t="shared" si="353"/>
        <v>#DIV/0!</v>
      </c>
      <c r="AM958" s="1038" t="e">
        <f t="shared" si="353"/>
        <v>#DIV/0!</v>
      </c>
      <c r="AN958" s="1038" t="e">
        <f t="shared" si="353"/>
        <v>#DIV/0!</v>
      </c>
      <c r="AO958" s="1038" t="e">
        <f t="shared" si="353"/>
        <v>#DIV/0!</v>
      </c>
      <c r="AP958" s="1038" t="e">
        <f t="shared" si="353"/>
        <v>#DIV/0!</v>
      </c>
      <c r="AQ958" s="1038" t="e">
        <f t="shared" si="353"/>
        <v>#DIV/0!</v>
      </c>
      <c r="AR958" s="1038" t="e">
        <f t="shared" si="353"/>
        <v>#DIV/0!</v>
      </c>
      <c r="AS958" s="1038" t="e">
        <f t="shared" ref="AS958:AY958" si="354">IF(AS158="",0,IF(OR(1=RANK(AS558,AS$412:AS$790,0),(2=RANK(AS558,AS$412:AS$790,0))),AS558,AS158))</f>
        <v>#DIV/0!</v>
      </c>
      <c r="AT958" s="1038" t="e">
        <f t="shared" si="354"/>
        <v>#DIV/0!</v>
      </c>
      <c r="AU958" s="1038">
        <f t="shared" si="354"/>
        <v>0</v>
      </c>
      <c r="AV958" s="1038" t="e">
        <f t="shared" si="354"/>
        <v>#DIV/0!</v>
      </c>
      <c r="AW958" s="1038" t="e">
        <f t="shared" si="354"/>
        <v>#DIV/0!</v>
      </c>
      <c r="AX958" s="1038" t="e">
        <f t="shared" si="354"/>
        <v>#DIV/0!</v>
      </c>
      <c r="AY958" s="1038" t="e">
        <f t="shared" si="354"/>
        <v>#DIV/0!</v>
      </c>
      <c r="AZ958" s="1061" t="s">
        <v>21</v>
      </c>
      <c r="BC958" s="29"/>
      <c r="BD958" s="29"/>
      <c r="BE958" s="13"/>
      <c r="BL958" s="368"/>
    </row>
    <row r="959" spans="1:64" ht="12" customHeight="1" x14ac:dyDescent="0.2">
      <c r="A959" s="132">
        <f>acute_overview_children!A159</f>
        <v>3</v>
      </c>
      <c r="B959" s="3">
        <f t="shared" si="315"/>
        <v>251000</v>
      </c>
      <c r="C959" s="3" t="str">
        <f t="shared" si="316"/>
        <v>Lettuce and other salad plants including Brassicacea</v>
      </c>
      <c r="D959" s="1042"/>
      <c r="E959" s="1027"/>
      <c r="F959" s="87"/>
      <c r="G959" s="87"/>
      <c r="H959" s="1027"/>
      <c r="I959" s="1030"/>
      <c r="J959" s="1043" t="e">
        <f t="shared" ref="J959:AR959" si="355">IF(J159="",0,IF(OR(1=RANK(J559,J$412:J$790,0),(2=RANK(J559,J$412:J$790,0))),J559,J159))</f>
        <v>#DIV/0!</v>
      </c>
      <c r="K959" s="1044" t="e">
        <f t="shared" si="355"/>
        <v>#DIV/0!</v>
      </c>
      <c r="L959" s="1044" t="e">
        <f t="shared" si="355"/>
        <v>#DIV/0!</v>
      </c>
      <c r="M959" s="1044" t="e">
        <f t="shared" si="355"/>
        <v>#DIV/0!</v>
      </c>
      <c r="N959" s="1044" t="e">
        <f t="shared" si="355"/>
        <v>#DIV/0!</v>
      </c>
      <c r="O959" s="1044" t="e">
        <f t="shared" si="355"/>
        <v>#DIV/0!</v>
      </c>
      <c r="P959" s="1044" t="e">
        <f t="shared" si="355"/>
        <v>#DIV/0!</v>
      </c>
      <c r="Q959" s="1044" t="e">
        <f t="shared" si="355"/>
        <v>#DIV/0!</v>
      </c>
      <c r="R959" s="1044" t="e">
        <f t="shared" si="355"/>
        <v>#DIV/0!</v>
      </c>
      <c r="S959" s="1044" t="e">
        <f t="shared" si="355"/>
        <v>#DIV/0!</v>
      </c>
      <c r="T959" s="1044" t="e">
        <f t="shared" si="355"/>
        <v>#DIV/0!</v>
      </c>
      <c r="U959" s="1044" t="e">
        <f t="shared" si="355"/>
        <v>#DIV/0!</v>
      </c>
      <c r="V959" s="1044" t="e">
        <f t="shared" si="355"/>
        <v>#DIV/0!</v>
      </c>
      <c r="W959" s="1044" t="e">
        <f t="shared" si="355"/>
        <v>#DIV/0!</v>
      </c>
      <c r="X959" s="1044" t="e">
        <f t="shared" si="355"/>
        <v>#DIV/0!</v>
      </c>
      <c r="Y959" s="1044" t="e">
        <f t="shared" si="355"/>
        <v>#DIV/0!</v>
      </c>
      <c r="Z959" s="1044" t="e">
        <f t="shared" si="355"/>
        <v>#DIV/0!</v>
      </c>
      <c r="AA959" s="1044" t="e">
        <f t="shared" si="355"/>
        <v>#DIV/0!</v>
      </c>
      <c r="AB959" s="1044" t="e">
        <f t="shared" si="355"/>
        <v>#DIV/0!</v>
      </c>
      <c r="AC959" s="1044" t="e">
        <f t="shared" si="355"/>
        <v>#DIV/0!</v>
      </c>
      <c r="AD959" s="1044" t="e">
        <f t="shared" si="355"/>
        <v>#DIV/0!</v>
      </c>
      <c r="AE959" s="1044" t="e">
        <f t="shared" si="355"/>
        <v>#DIV/0!</v>
      </c>
      <c r="AF959" s="1044" t="e">
        <f t="shared" si="355"/>
        <v>#DIV/0!</v>
      </c>
      <c r="AG959" s="1044" t="e">
        <f t="shared" si="355"/>
        <v>#DIV/0!</v>
      </c>
      <c r="AH959" s="1044" t="e">
        <f t="shared" si="355"/>
        <v>#DIV/0!</v>
      </c>
      <c r="AI959" s="1044" t="e">
        <f t="shared" si="355"/>
        <v>#DIV/0!</v>
      </c>
      <c r="AJ959" s="1044" t="e">
        <f t="shared" si="355"/>
        <v>#DIV/0!</v>
      </c>
      <c r="AK959" s="1044" t="e">
        <f t="shared" si="355"/>
        <v>#DIV/0!</v>
      </c>
      <c r="AL959" s="1044" t="e">
        <f t="shared" si="355"/>
        <v>#DIV/0!</v>
      </c>
      <c r="AM959" s="1044" t="e">
        <f t="shared" si="355"/>
        <v>#DIV/0!</v>
      </c>
      <c r="AN959" s="1044" t="e">
        <f t="shared" si="355"/>
        <v>#DIV/0!</v>
      </c>
      <c r="AO959" s="1044" t="e">
        <f t="shared" si="355"/>
        <v>#DIV/0!</v>
      </c>
      <c r="AP959" s="1044" t="e">
        <f t="shared" si="355"/>
        <v>#DIV/0!</v>
      </c>
      <c r="AQ959" s="1044" t="e">
        <f t="shared" si="355"/>
        <v>#DIV/0!</v>
      </c>
      <c r="AR959" s="1044" t="e">
        <f t="shared" si="355"/>
        <v>#DIV/0!</v>
      </c>
      <c r="AS959" s="1044" t="e">
        <f t="shared" ref="AS959:AY959" si="356">IF(AS159="",0,IF(OR(1=RANK(AS559,AS$412:AS$790,0),(2=RANK(AS559,AS$412:AS$790,0))),AS559,AS159))</f>
        <v>#DIV/0!</v>
      </c>
      <c r="AT959" s="1044" t="e">
        <f t="shared" si="356"/>
        <v>#DIV/0!</v>
      </c>
      <c r="AU959" s="1044">
        <f t="shared" si="356"/>
        <v>0</v>
      </c>
      <c r="AV959" s="1044" t="e">
        <f t="shared" si="356"/>
        <v>#DIV/0!</v>
      </c>
      <c r="AW959" s="1044" t="e">
        <f t="shared" si="356"/>
        <v>#DIV/0!</v>
      </c>
      <c r="AX959" s="1044" t="e">
        <f t="shared" si="356"/>
        <v>#DIV/0!</v>
      </c>
      <c r="AY959" s="1044" t="e">
        <f t="shared" si="356"/>
        <v>#DIV/0!</v>
      </c>
      <c r="AZ959" s="1061" t="s">
        <v>21</v>
      </c>
      <c r="BC959" s="29"/>
      <c r="BD959" s="29"/>
      <c r="BE959" s="13"/>
      <c r="BL959" s="368"/>
    </row>
    <row r="960" spans="1:64" ht="12" customHeight="1" x14ac:dyDescent="0.2">
      <c r="A960" s="39">
        <f>acute_overview_children!A160</f>
        <v>4</v>
      </c>
      <c r="B960" s="23">
        <f t="shared" si="315"/>
        <v>251010</v>
      </c>
      <c r="C960" s="23" t="str">
        <f t="shared" si="316"/>
        <v>Lamb's lettuce/corn salads</v>
      </c>
      <c r="D960" s="135"/>
      <c r="E960" s="1027"/>
      <c r="F960" s="87"/>
      <c r="G960" s="87"/>
      <c r="H960" s="1027"/>
      <c r="I960" s="1030"/>
      <c r="J960" s="1039" t="e">
        <f t="shared" ref="J960:AR960" si="357">IF(J160="",0,IF(OR(1=RANK(J560,J$412:J$790,0),(2=RANK(J560,J$412:J$790,0))),J560,J160))</f>
        <v>#DIV/0!</v>
      </c>
      <c r="K960" s="1040" t="e">
        <f t="shared" si="357"/>
        <v>#DIV/0!</v>
      </c>
      <c r="L960" s="1040" t="e">
        <f t="shared" si="357"/>
        <v>#DIV/0!</v>
      </c>
      <c r="M960" s="1040" t="e">
        <f t="shared" si="357"/>
        <v>#DIV/0!</v>
      </c>
      <c r="N960" s="1040" t="e">
        <f t="shared" si="357"/>
        <v>#DIV/0!</v>
      </c>
      <c r="O960" s="1040" t="e">
        <f t="shared" si="357"/>
        <v>#DIV/0!</v>
      </c>
      <c r="P960" s="1040" t="e">
        <f t="shared" si="357"/>
        <v>#DIV/0!</v>
      </c>
      <c r="Q960" s="1040" t="e">
        <f t="shared" si="357"/>
        <v>#DIV/0!</v>
      </c>
      <c r="R960" s="1040" t="e">
        <f t="shared" si="357"/>
        <v>#DIV/0!</v>
      </c>
      <c r="S960" s="1040" t="e">
        <f t="shared" si="357"/>
        <v>#DIV/0!</v>
      </c>
      <c r="T960" s="1040" t="e">
        <f t="shared" si="357"/>
        <v>#DIV/0!</v>
      </c>
      <c r="U960" s="1040" t="e">
        <f t="shared" si="357"/>
        <v>#DIV/0!</v>
      </c>
      <c r="V960" s="1040" t="e">
        <f t="shared" si="357"/>
        <v>#DIV/0!</v>
      </c>
      <c r="W960" s="1040" t="e">
        <f t="shared" si="357"/>
        <v>#DIV/0!</v>
      </c>
      <c r="X960" s="1040" t="e">
        <f t="shared" si="357"/>
        <v>#DIV/0!</v>
      </c>
      <c r="Y960" s="1040" t="e">
        <f t="shared" si="357"/>
        <v>#DIV/0!</v>
      </c>
      <c r="Z960" s="1040" t="e">
        <f t="shared" si="357"/>
        <v>#DIV/0!</v>
      </c>
      <c r="AA960" s="1040" t="e">
        <f t="shared" si="357"/>
        <v>#DIV/0!</v>
      </c>
      <c r="AB960" s="1040" t="e">
        <f t="shared" si="357"/>
        <v>#DIV/0!</v>
      </c>
      <c r="AC960" s="1040" t="e">
        <f t="shared" si="357"/>
        <v>#DIV/0!</v>
      </c>
      <c r="AD960" s="1040" t="e">
        <f t="shared" si="357"/>
        <v>#DIV/0!</v>
      </c>
      <c r="AE960" s="1040" t="e">
        <f t="shared" si="357"/>
        <v>#DIV/0!</v>
      </c>
      <c r="AF960" s="1040" t="e">
        <f t="shared" si="357"/>
        <v>#DIV/0!</v>
      </c>
      <c r="AG960" s="1040" t="e">
        <f t="shared" si="357"/>
        <v>#DIV/0!</v>
      </c>
      <c r="AH960" s="1040" t="e">
        <f t="shared" si="357"/>
        <v>#DIV/0!</v>
      </c>
      <c r="AI960" s="1040" t="e">
        <f t="shared" si="357"/>
        <v>#DIV/0!</v>
      </c>
      <c r="AJ960" s="1040" t="e">
        <f t="shared" si="357"/>
        <v>#DIV/0!</v>
      </c>
      <c r="AK960" s="1040" t="e">
        <f t="shared" si="357"/>
        <v>#DIV/0!</v>
      </c>
      <c r="AL960" s="1040" t="e">
        <f t="shared" si="357"/>
        <v>#DIV/0!</v>
      </c>
      <c r="AM960" s="1040" t="e">
        <f t="shared" si="357"/>
        <v>#DIV/0!</v>
      </c>
      <c r="AN960" s="1040" t="e">
        <f t="shared" si="357"/>
        <v>#DIV/0!</v>
      </c>
      <c r="AO960" s="1040" t="e">
        <f t="shared" si="357"/>
        <v>#DIV/0!</v>
      </c>
      <c r="AP960" s="1040" t="e">
        <f t="shared" si="357"/>
        <v>#DIV/0!</v>
      </c>
      <c r="AQ960" s="1040" t="e">
        <f t="shared" si="357"/>
        <v>#DIV/0!</v>
      </c>
      <c r="AR960" s="1040" t="e">
        <f t="shared" si="357"/>
        <v>#DIV/0!</v>
      </c>
      <c r="AS960" s="1040" t="e">
        <f t="shared" ref="AS960:AY960" si="358">IF(AS160="",0,IF(OR(1=RANK(AS560,AS$412:AS$790,0),(2=RANK(AS560,AS$412:AS$790,0))),AS560,AS160))</f>
        <v>#DIV/0!</v>
      </c>
      <c r="AT960" s="1040" t="e">
        <f t="shared" si="358"/>
        <v>#DIV/0!</v>
      </c>
      <c r="AU960" s="1040">
        <f t="shared" si="358"/>
        <v>0</v>
      </c>
      <c r="AV960" s="1040" t="e">
        <f t="shared" si="358"/>
        <v>#DIV/0!</v>
      </c>
      <c r="AW960" s="1040" t="e">
        <f t="shared" si="358"/>
        <v>#DIV/0!</v>
      </c>
      <c r="AX960" s="1040" t="e">
        <f t="shared" si="358"/>
        <v>#DIV/0!</v>
      </c>
      <c r="AY960" s="1040" t="e">
        <f t="shared" si="358"/>
        <v>#DIV/0!</v>
      </c>
      <c r="AZ960" s="1061" t="s">
        <v>21</v>
      </c>
      <c r="BC960" s="29"/>
      <c r="BD960" s="29"/>
      <c r="BE960" s="13"/>
      <c r="BL960" s="368"/>
    </row>
    <row r="961" spans="1:64" ht="12" customHeight="1" x14ac:dyDescent="0.2">
      <c r="A961" s="39">
        <f>acute_overview_children!A161</f>
        <v>4</v>
      </c>
      <c r="B961" s="23">
        <f t="shared" si="315"/>
        <v>251020</v>
      </c>
      <c r="C961" s="23" t="str">
        <f t="shared" si="316"/>
        <v>Lettuces</v>
      </c>
      <c r="D961" s="135"/>
      <c r="E961" s="1027"/>
      <c r="F961" s="87"/>
      <c r="G961" s="87"/>
      <c r="H961" s="1027"/>
      <c r="I961" s="1030"/>
      <c r="J961" s="1039" t="e">
        <f t="shared" ref="J961:AR961" si="359">IF(J161="",0,IF(OR(1=RANK(J561,J$412:J$790,0),(2=RANK(J561,J$412:J$790,0))),J561,J161))</f>
        <v>#DIV/0!</v>
      </c>
      <c r="K961" s="1040" t="e">
        <f t="shared" si="359"/>
        <v>#DIV/0!</v>
      </c>
      <c r="L961" s="1040" t="e">
        <f t="shared" si="359"/>
        <v>#DIV/0!</v>
      </c>
      <c r="M961" s="1040" t="e">
        <f t="shared" si="359"/>
        <v>#DIV/0!</v>
      </c>
      <c r="N961" s="1040" t="e">
        <f t="shared" si="359"/>
        <v>#DIV/0!</v>
      </c>
      <c r="O961" s="1040" t="e">
        <f t="shared" si="359"/>
        <v>#DIV/0!</v>
      </c>
      <c r="P961" s="1040" t="e">
        <f t="shared" si="359"/>
        <v>#DIV/0!</v>
      </c>
      <c r="Q961" s="1040" t="e">
        <f t="shared" si="359"/>
        <v>#DIV/0!</v>
      </c>
      <c r="R961" s="1040" t="e">
        <f t="shared" si="359"/>
        <v>#DIV/0!</v>
      </c>
      <c r="S961" s="1040" t="e">
        <f t="shared" si="359"/>
        <v>#DIV/0!</v>
      </c>
      <c r="T961" s="1040" t="e">
        <f t="shared" si="359"/>
        <v>#DIV/0!</v>
      </c>
      <c r="U961" s="1040" t="e">
        <f t="shared" si="359"/>
        <v>#DIV/0!</v>
      </c>
      <c r="V961" s="1040" t="e">
        <f t="shared" si="359"/>
        <v>#DIV/0!</v>
      </c>
      <c r="W961" s="1040" t="e">
        <f t="shared" si="359"/>
        <v>#DIV/0!</v>
      </c>
      <c r="X961" s="1040" t="e">
        <f t="shared" si="359"/>
        <v>#DIV/0!</v>
      </c>
      <c r="Y961" s="1040" t="e">
        <f t="shared" si="359"/>
        <v>#DIV/0!</v>
      </c>
      <c r="Z961" s="1040" t="e">
        <f t="shared" si="359"/>
        <v>#DIV/0!</v>
      </c>
      <c r="AA961" s="1040" t="e">
        <f t="shared" si="359"/>
        <v>#DIV/0!</v>
      </c>
      <c r="AB961" s="1040" t="e">
        <f t="shared" si="359"/>
        <v>#DIV/0!</v>
      </c>
      <c r="AC961" s="1040" t="e">
        <f t="shared" si="359"/>
        <v>#DIV/0!</v>
      </c>
      <c r="AD961" s="1040" t="e">
        <f t="shared" si="359"/>
        <v>#DIV/0!</v>
      </c>
      <c r="AE961" s="1040" t="e">
        <f t="shared" si="359"/>
        <v>#DIV/0!</v>
      </c>
      <c r="AF961" s="1040" t="e">
        <f t="shared" si="359"/>
        <v>#DIV/0!</v>
      </c>
      <c r="AG961" s="1040" t="e">
        <f t="shared" si="359"/>
        <v>#DIV/0!</v>
      </c>
      <c r="AH961" s="1040" t="e">
        <f t="shared" si="359"/>
        <v>#DIV/0!</v>
      </c>
      <c r="AI961" s="1040" t="e">
        <f t="shared" si="359"/>
        <v>#DIV/0!</v>
      </c>
      <c r="AJ961" s="1040" t="e">
        <f t="shared" si="359"/>
        <v>#DIV/0!</v>
      </c>
      <c r="AK961" s="1040" t="e">
        <f t="shared" si="359"/>
        <v>#DIV/0!</v>
      </c>
      <c r="AL961" s="1040" t="e">
        <f t="shared" si="359"/>
        <v>#DIV/0!</v>
      </c>
      <c r="AM961" s="1040" t="e">
        <f t="shared" si="359"/>
        <v>#DIV/0!</v>
      </c>
      <c r="AN961" s="1040" t="e">
        <f t="shared" si="359"/>
        <v>#DIV/0!</v>
      </c>
      <c r="AO961" s="1040" t="e">
        <f t="shared" si="359"/>
        <v>#DIV/0!</v>
      </c>
      <c r="AP961" s="1040" t="e">
        <f t="shared" si="359"/>
        <v>#DIV/0!</v>
      </c>
      <c r="AQ961" s="1040" t="e">
        <f t="shared" si="359"/>
        <v>#DIV/0!</v>
      </c>
      <c r="AR961" s="1040" t="e">
        <f t="shared" si="359"/>
        <v>#DIV/0!</v>
      </c>
      <c r="AS961" s="1040" t="e">
        <f t="shared" ref="AS961:AY961" si="360">IF(AS161="",0,IF(OR(1=RANK(AS561,AS$412:AS$790,0),(2=RANK(AS561,AS$412:AS$790,0))),AS561,AS161))</f>
        <v>#DIV/0!</v>
      </c>
      <c r="AT961" s="1040" t="e">
        <f t="shared" si="360"/>
        <v>#DIV/0!</v>
      </c>
      <c r="AU961" s="1040">
        <f t="shared" si="360"/>
        <v>0</v>
      </c>
      <c r="AV961" s="1040" t="e">
        <f t="shared" si="360"/>
        <v>#DIV/0!</v>
      </c>
      <c r="AW961" s="1040" t="e">
        <f t="shared" si="360"/>
        <v>#DIV/0!</v>
      </c>
      <c r="AX961" s="1040" t="e">
        <f t="shared" si="360"/>
        <v>#DIV/0!</v>
      </c>
      <c r="AY961" s="1040" t="e">
        <f t="shared" si="360"/>
        <v>#DIV/0!</v>
      </c>
      <c r="AZ961" s="1061" t="s">
        <v>21</v>
      </c>
      <c r="BC961" s="29"/>
      <c r="BD961" s="29"/>
      <c r="BE961" s="13"/>
      <c r="BL961" s="368"/>
    </row>
    <row r="962" spans="1:64" ht="12" customHeight="1" x14ac:dyDescent="0.2">
      <c r="A962" s="39">
        <f>acute_overview_children!A162</f>
        <v>4</v>
      </c>
      <c r="B962" s="23">
        <f t="shared" si="315"/>
        <v>251030</v>
      </c>
      <c r="C962" s="23" t="str">
        <f t="shared" si="316"/>
        <v>Escaroles/broad-leaved endives</v>
      </c>
      <c r="D962" s="135"/>
      <c r="E962" s="1027"/>
      <c r="F962" s="87"/>
      <c r="G962" s="87"/>
      <c r="H962" s="1027"/>
      <c r="I962" s="1030"/>
      <c r="J962" s="1039" t="e">
        <f t="shared" ref="J962:AR962" si="361">IF(J162="",0,IF(OR(1=RANK(J562,J$412:J$790,0),(2=RANK(J562,J$412:J$790,0))),J562,J162))</f>
        <v>#DIV/0!</v>
      </c>
      <c r="K962" s="1040" t="e">
        <f t="shared" si="361"/>
        <v>#DIV/0!</v>
      </c>
      <c r="L962" s="1040" t="e">
        <f t="shared" si="361"/>
        <v>#DIV/0!</v>
      </c>
      <c r="M962" s="1040" t="e">
        <f t="shared" si="361"/>
        <v>#DIV/0!</v>
      </c>
      <c r="N962" s="1040" t="e">
        <f t="shared" si="361"/>
        <v>#DIV/0!</v>
      </c>
      <c r="O962" s="1040" t="e">
        <f t="shared" si="361"/>
        <v>#DIV/0!</v>
      </c>
      <c r="P962" s="1040" t="e">
        <f t="shared" si="361"/>
        <v>#DIV/0!</v>
      </c>
      <c r="Q962" s="1040" t="e">
        <f t="shared" si="361"/>
        <v>#DIV/0!</v>
      </c>
      <c r="R962" s="1040" t="e">
        <f t="shared" si="361"/>
        <v>#DIV/0!</v>
      </c>
      <c r="S962" s="1040" t="e">
        <f t="shared" si="361"/>
        <v>#DIV/0!</v>
      </c>
      <c r="T962" s="1040" t="e">
        <f t="shared" si="361"/>
        <v>#DIV/0!</v>
      </c>
      <c r="U962" s="1040" t="e">
        <f t="shared" si="361"/>
        <v>#DIV/0!</v>
      </c>
      <c r="V962" s="1040" t="e">
        <f t="shared" si="361"/>
        <v>#DIV/0!</v>
      </c>
      <c r="W962" s="1040" t="e">
        <f t="shared" si="361"/>
        <v>#DIV/0!</v>
      </c>
      <c r="X962" s="1040" t="e">
        <f t="shared" si="361"/>
        <v>#DIV/0!</v>
      </c>
      <c r="Y962" s="1040" t="e">
        <f t="shared" si="361"/>
        <v>#DIV/0!</v>
      </c>
      <c r="Z962" s="1040" t="e">
        <f t="shared" si="361"/>
        <v>#DIV/0!</v>
      </c>
      <c r="AA962" s="1040" t="e">
        <f t="shared" si="361"/>
        <v>#DIV/0!</v>
      </c>
      <c r="AB962" s="1040" t="e">
        <f t="shared" si="361"/>
        <v>#DIV/0!</v>
      </c>
      <c r="AC962" s="1040" t="e">
        <f t="shared" si="361"/>
        <v>#DIV/0!</v>
      </c>
      <c r="AD962" s="1040" t="e">
        <f t="shared" si="361"/>
        <v>#DIV/0!</v>
      </c>
      <c r="AE962" s="1040" t="e">
        <f t="shared" si="361"/>
        <v>#DIV/0!</v>
      </c>
      <c r="AF962" s="1040" t="e">
        <f t="shared" si="361"/>
        <v>#DIV/0!</v>
      </c>
      <c r="AG962" s="1040" t="e">
        <f t="shared" si="361"/>
        <v>#DIV/0!</v>
      </c>
      <c r="AH962" s="1040" t="e">
        <f t="shared" si="361"/>
        <v>#DIV/0!</v>
      </c>
      <c r="AI962" s="1040" t="e">
        <f t="shared" si="361"/>
        <v>#DIV/0!</v>
      </c>
      <c r="AJ962" s="1040" t="e">
        <f t="shared" si="361"/>
        <v>#DIV/0!</v>
      </c>
      <c r="AK962" s="1040" t="e">
        <f t="shared" si="361"/>
        <v>#DIV/0!</v>
      </c>
      <c r="AL962" s="1040" t="e">
        <f t="shared" si="361"/>
        <v>#DIV/0!</v>
      </c>
      <c r="AM962" s="1040" t="e">
        <f t="shared" si="361"/>
        <v>#DIV/0!</v>
      </c>
      <c r="AN962" s="1040" t="e">
        <f t="shared" si="361"/>
        <v>#DIV/0!</v>
      </c>
      <c r="AO962" s="1040" t="e">
        <f t="shared" si="361"/>
        <v>#DIV/0!</v>
      </c>
      <c r="AP962" s="1040" t="e">
        <f t="shared" si="361"/>
        <v>#DIV/0!</v>
      </c>
      <c r="AQ962" s="1040" t="e">
        <f t="shared" si="361"/>
        <v>#DIV/0!</v>
      </c>
      <c r="AR962" s="1040" t="e">
        <f t="shared" si="361"/>
        <v>#DIV/0!</v>
      </c>
      <c r="AS962" s="1040" t="e">
        <f t="shared" ref="AS962:AY962" si="362">IF(AS162="",0,IF(OR(1=RANK(AS562,AS$412:AS$790,0),(2=RANK(AS562,AS$412:AS$790,0))),AS562,AS162))</f>
        <v>#DIV/0!</v>
      </c>
      <c r="AT962" s="1040" t="e">
        <f t="shared" si="362"/>
        <v>#DIV/0!</v>
      </c>
      <c r="AU962" s="1040">
        <f t="shared" si="362"/>
        <v>0</v>
      </c>
      <c r="AV962" s="1040" t="e">
        <f t="shared" si="362"/>
        <v>#DIV/0!</v>
      </c>
      <c r="AW962" s="1040" t="e">
        <f t="shared" si="362"/>
        <v>#DIV/0!</v>
      </c>
      <c r="AX962" s="1040" t="e">
        <f t="shared" si="362"/>
        <v>#DIV/0!</v>
      </c>
      <c r="AY962" s="1040" t="e">
        <f t="shared" si="362"/>
        <v>#DIV/0!</v>
      </c>
      <c r="AZ962" s="1061" t="s">
        <v>21</v>
      </c>
      <c r="BC962" s="29"/>
      <c r="BD962" s="29"/>
      <c r="BE962" s="13"/>
      <c r="BL962" s="368"/>
    </row>
    <row r="963" spans="1:64" ht="12" customHeight="1" x14ac:dyDescent="0.2">
      <c r="A963" s="39">
        <f>acute_overview_children!A163</f>
        <v>4</v>
      </c>
      <c r="B963" s="26">
        <f t="shared" si="315"/>
        <v>251040</v>
      </c>
      <c r="C963" s="23" t="str">
        <f t="shared" si="316"/>
        <v>Cress and other sprouts and shoots</v>
      </c>
      <c r="D963" s="135"/>
      <c r="E963" s="1027"/>
      <c r="F963" s="87"/>
      <c r="G963" s="87"/>
      <c r="H963" s="1027"/>
      <c r="I963" s="1030"/>
      <c r="J963" s="1039" t="e">
        <f t="shared" ref="J963:AR963" si="363">IF(J163="",0,IF(OR(1=RANK(J563,J$412:J$790,0),(2=RANK(J563,J$412:J$790,0))),J563,J163))</f>
        <v>#DIV/0!</v>
      </c>
      <c r="K963" s="1040" t="e">
        <f t="shared" si="363"/>
        <v>#DIV/0!</v>
      </c>
      <c r="L963" s="1040" t="e">
        <f t="shared" si="363"/>
        <v>#DIV/0!</v>
      </c>
      <c r="M963" s="1040" t="e">
        <f t="shared" si="363"/>
        <v>#DIV/0!</v>
      </c>
      <c r="N963" s="1040" t="e">
        <f t="shared" si="363"/>
        <v>#DIV/0!</v>
      </c>
      <c r="O963" s="1040" t="e">
        <f t="shared" si="363"/>
        <v>#DIV/0!</v>
      </c>
      <c r="P963" s="1040" t="e">
        <f t="shared" si="363"/>
        <v>#DIV/0!</v>
      </c>
      <c r="Q963" s="1040" t="e">
        <f t="shared" si="363"/>
        <v>#DIV/0!</v>
      </c>
      <c r="R963" s="1040" t="e">
        <f t="shared" si="363"/>
        <v>#DIV/0!</v>
      </c>
      <c r="S963" s="1040" t="e">
        <f t="shared" si="363"/>
        <v>#DIV/0!</v>
      </c>
      <c r="T963" s="1040" t="e">
        <f t="shared" si="363"/>
        <v>#DIV/0!</v>
      </c>
      <c r="U963" s="1040" t="e">
        <f t="shared" si="363"/>
        <v>#DIV/0!</v>
      </c>
      <c r="V963" s="1040" t="e">
        <f t="shared" si="363"/>
        <v>#DIV/0!</v>
      </c>
      <c r="W963" s="1040" t="e">
        <f t="shared" si="363"/>
        <v>#DIV/0!</v>
      </c>
      <c r="X963" s="1040" t="e">
        <f t="shared" si="363"/>
        <v>#DIV/0!</v>
      </c>
      <c r="Y963" s="1040" t="e">
        <f t="shared" si="363"/>
        <v>#DIV/0!</v>
      </c>
      <c r="Z963" s="1040" t="e">
        <f t="shared" si="363"/>
        <v>#DIV/0!</v>
      </c>
      <c r="AA963" s="1040" t="e">
        <f t="shared" si="363"/>
        <v>#DIV/0!</v>
      </c>
      <c r="AB963" s="1040" t="e">
        <f t="shared" si="363"/>
        <v>#DIV/0!</v>
      </c>
      <c r="AC963" s="1040" t="e">
        <f t="shared" si="363"/>
        <v>#DIV/0!</v>
      </c>
      <c r="AD963" s="1040" t="e">
        <f t="shared" si="363"/>
        <v>#DIV/0!</v>
      </c>
      <c r="AE963" s="1040" t="e">
        <f t="shared" si="363"/>
        <v>#DIV/0!</v>
      </c>
      <c r="AF963" s="1040" t="e">
        <f t="shared" si="363"/>
        <v>#DIV/0!</v>
      </c>
      <c r="AG963" s="1040" t="e">
        <f t="shared" si="363"/>
        <v>#DIV/0!</v>
      </c>
      <c r="AH963" s="1040" t="e">
        <f t="shared" si="363"/>
        <v>#DIV/0!</v>
      </c>
      <c r="AI963" s="1040" t="e">
        <f t="shared" si="363"/>
        <v>#DIV/0!</v>
      </c>
      <c r="AJ963" s="1040" t="e">
        <f t="shared" si="363"/>
        <v>#DIV/0!</v>
      </c>
      <c r="AK963" s="1040" t="e">
        <f t="shared" si="363"/>
        <v>#DIV/0!</v>
      </c>
      <c r="AL963" s="1040" t="e">
        <f t="shared" si="363"/>
        <v>#DIV/0!</v>
      </c>
      <c r="AM963" s="1040" t="e">
        <f t="shared" si="363"/>
        <v>#DIV/0!</v>
      </c>
      <c r="AN963" s="1040" t="e">
        <f t="shared" si="363"/>
        <v>#DIV/0!</v>
      </c>
      <c r="AO963" s="1040" t="e">
        <f t="shared" si="363"/>
        <v>#DIV/0!</v>
      </c>
      <c r="AP963" s="1040" t="e">
        <f t="shared" si="363"/>
        <v>#DIV/0!</v>
      </c>
      <c r="AQ963" s="1040" t="e">
        <f t="shared" si="363"/>
        <v>#DIV/0!</v>
      </c>
      <c r="AR963" s="1040" t="e">
        <f t="shared" si="363"/>
        <v>#DIV/0!</v>
      </c>
      <c r="AS963" s="1040" t="e">
        <f t="shared" ref="AS963:AY963" si="364">IF(AS163="",0,IF(OR(1=RANK(AS563,AS$412:AS$790,0),(2=RANK(AS563,AS$412:AS$790,0))),AS563,AS163))</f>
        <v>#DIV/0!</v>
      </c>
      <c r="AT963" s="1040" t="e">
        <f t="shared" si="364"/>
        <v>#DIV/0!</v>
      </c>
      <c r="AU963" s="1040">
        <f t="shared" si="364"/>
        <v>0</v>
      </c>
      <c r="AV963" s="1040" t="e">
        <f t="shared" si="364"/>
        <v>#DIV/0!</v>
      </c>
      <c r="AW963" s="1040" t="e">
        <f t="shared" si="364"/>
        <v>#DIV/0!</v>
      </c>
      <c r="AX963" s="1040" t="e">
        <f t="shared" si="364"/>
        <v>#DIV/0!</v>
      </c>
      <c r="AY963" s="1040" t="e">
        <f t="shared" si="364"/>
        <v>#DIV/0!</v>
      </c>
      <c r="AZ963" s="1061" t="s">
        <v>21</v>
      </c>
      <c r="BC963" s="29"/>
      <c r="BD963" s="29"/>
      <c r="BE963" s="13"/>
      <c r="BL963" s="368"/>
    </row>
    <row r="964" spans="1:64" ht="12" customHeight="1" x14ac:dyDescent="0.2">
      <c r="A964" s="39">
        <f>acute_overview_children!A164</f>
        <v>4</v>
      </c>
      <c r="B964" s="26">
        <f t="shared" si="315"/>
        <v>251050</v>
      </c>
      <c r="C964" s="23" t="str">
        <f t="shared" si="316"/>
        <v xml:space="preserve">Land cress </v>
      </c>
      <c r="D964" s="135"/>
      <c r="E964" s="1027"/>
      <c r="F964" s="87"/>
      <c r="G964" s="87"/>
      <c r="H964" s="1027"/>
      <c r="I964" s="1030"/>
      <c r="J964" s="1039" t="e">
        <f t="shared" ref="J964:AR964" si="365">IF(J164="",0,IF(OR(1=RANK(J564,J$412:J$790,0),(2=RANK(J564,J$412:J$790,0))),J564,J164))</f>
        <v>#DIV/0!</v>
      </c>
      <c r="K964" s="1040" t="e">
        <f t="shared" si="365"/>
        <v>#DIV/0!</v>
      </c>
      <c r="L964" s="1040" t="e">
        <f t="shared" si="365"/>
        <v>#DIV/0!</v>
      </c>
      <c r="M964" s="1040" t="e">
        <f t="shared" si="365"/>
        <v>#DIV/0!</v>
      </c>
      <c r="N964" s="1040" t="e">
        <f t="shared" si="365"/>
        <v>#DIV/0!</v>
      </c>
      <c r="O964" s="1040" t="e">
        <f t="shared" si="365"/>
        <v>#DIV/0!</v>
      </c>
      <c r="P964" s="1040" t="e">
        <f t="shared" si="365"/>
        <v>#DIV/0!</v>
      </c>
      <c r="Q964" s="1040" t="e">
        <f t="shared" si="365"/>
        <v>#DIV/0!</v>
      </c>
      <c r="R964" s="1040" t="e">
        <f t="shared" si="365"/>
        <v>#DIV/0!</v>
      </c>
      <c r="S964" s="1040" t="e">
        <f t="shared" si="365"/>
        <v>#DIV/0!</v>
      </c>
      <c r="T964" s="1040" t="e">
        <f t="shared" si="365"/>
        <v>#DIV/0!</v>
      </c>
      <c r="U964" s="1040" t="e">
        <f t="shared" si="365"/>
        <v>#DIV/0!</v>
      </c>
      <c r="V964" s="1040" t="e">
        <f t="shared" si="365"/>
        <v>#DIV/0!</v>
      </c>
      <c r="W964" s="1040" t="e">
        <f t="shared" si="365"/>
        <v>#DIV/0!</v>
      </c>
      <c r="X964" s="1040" t="e">
        <f t="shared" si="365"/>
        <v>#DIV/0!</v>
      </c>
      <c r="Y964" s="1040" t="e">
        <f t="shared" si="365"/>
        <v>#DIV/0!</v>
      </c>
      <c r="Z964" s="1040" t="e">
        <f t="shared" si="365"/>
        <v>#DIV/0!</v>
      </c>
      <c r="AA964" s="1040" t="e">
        <f t="shared" si="365"/>
        <v>#DIV/0!</v>
      </c>
      <c r="AB964" s="1040" t="e">
        <f t="shared" si="365"/>
        <v>#DIV/0!</v>
      </c>
      <c r="AC964" s="1040" t="e">
        <f t="shared" si="365"/>
        <v>#DIV/0!</v>
      </c>
      <c r="AD964" s="1040" t="e">
        <f t="shared" si="365"/>
        <v>#DIV/0!</v>
      </c>
      <c r="AE964" s="1040" t="e">
        <f t="shared" si="365"/>
        <v>#DIV/0!</v>
      </c>
      <c r="AF964" s="1040" t="e">
        <f t="shared" si="365"/>
        <v>#DIV/0!</v>
      </c>
      <c r="AG964" s="1040" t="e">
        <f t="shared" si="365"/>
        <v>#DIV/0!</v>
      </c>
      <c r="AH964" s="1040" t="e">
        <f t="shared" si="365"/>
        <v>#DIV/0!</v>
      </c>
      <c r="AI964" s="1040" t="e">
        <f t="shared" si="365"/>
        <v>#DIV/0!</v>
      </c>
      <c r="AJ964" s="1040" t="e">
        <f t="shared" si="365"/>
        <v>#DIV/0!</v>
      </c>
      <c r="AK964" s="1040" t="e">
        <f t="shared" si="365"/>
        <v>#DIV/0!</v>
      </c>
      <c r="AL964" s="1040" t="e">
        <f t="shared" si="365"/>
        <v>#DIV/0!</v>
      </c>
      <c r="AM964" s="1040" t="e">
        <f t="shared" si="365"/>
        <v>#DIV/0!</v>
      </c>
      <c r="AN964" s="1040" t="e">
        <f t="shared" si="365"/>
        <v>#DIV/0!</v>
      </c>
      <c r="AO964" s="1040" t="e">
        <f t="shared" si="365"/>
        <v>#DIV/0!</v>
      </c>
      <c r="AP964" s="1040" t="e">
        <f t="shared" si="365"/>
        <v>#DIV/0!</v>
      </c>
      <c r="AQ964" s="1040" t="e">
        <f t="shared" si="365"/>
        <v>#DIV/0!</v>
      </c>
      <c r="AR964" s="1040" t="e">
        <f t="shared" si="365"/>
        <v>#DIV/0!</v>
      </c>
      <c r="AS964" s="1040" t="e">
        <f t="shared" ref="AS964:AY964" si="366">IF(AS164="",0,IF(OR(1=RANK(AS564,AS$412:AS$790,0),(2=RANK(AS564,AS$412:AS$790,0))),AS564,AS164))</f>
        <v>#DIV/0!</v>
      </c>
      <c r="AT964" s="1040" t="e">
        <f t="shared" si="366"/>
        <v>#DIV/0!</v>
      </c>
      <c r="AU964" s="1040">
        <f t="shared" si="366"/>
        <v>0</v>
      </c>
      <c r="AV964" s="1040" t="e">
        <f t="shared" si="366"/>
        <v>#DIV/0!</v>
      </c>
      <c r="AW964" s="1040" t="e">
        <f t="shared" si="366"/>
        <v>#DIV/0!</v>
      </c>
      <c r="AX964" s="1040" t="e">
        <f t="shared" si="366"/>
        <v>#DIV/0!</v>
      </c>
      <c r="AY964" s="1040" t="e">
        <f t="shared" si="366"/>
        <v>#DIV/0!</v>
      </c>
      <c r="AZ964" s="1061" t="s">
        <v>21</v>
      </c>
      <c r="BC964" s="29"/>
      <c r="BD964" s="29"/>
      <c r="BE964" s="13"/>
      <c r="BL964" s="368"/>
    </row>
    <row r="965" spans="1:64" ht="12" customHeight="1" x14ac:dyDescent="0.2">
      <c r="A965" s="39">
        <f>acute_overview_children!A165</f>
        <v>4</v>
      </c>
      <c r="B965" s="26">
        <f t="shared" si="315"/>
        <v>251060</v>
      </c>
      <c r="C965" s="23" t="str">
        <f t="shared" si="316"/>
        <v>Roman rocket/rucola</v>
      </c>
      <c r="D965" s="135"/>
      <c r="E965" s="1027"/>
      <c r="F965" s="87"/>
      <c r="G965" s="87"/>
      <c r="H965" s="1027"/>
      <c r="I965" s="1030"/>
      <c r="J965" s="1039" t="e">
        <f t="shared" ref="J965:AR965" si="367">IF(J165="",0,IF(OR(1=RANK(J565,J$412:J$790,0),(2=RANK(J565,J$412:J$790,0))),J565,J165))</f>
        <v>#DIV/0!</v>
      </c>
      <c r="K965" s="1040" t="e">
        <f t="shared" si="367"/>
        <v>#DIV/0!</v>
      </c>
      <c r="L965" s="1040" t="e">
        <f t="shared" si="367"/>
        <v>#DIV/0!</v>
      </c>
      <c r="M965" s="1040" t="e">
        <f t="shared" si="367"/>
        <v>#DIV/0!</v>
      </c>
      <c r="N965" s="1040" t="e">
        <f t="shared" si="367"/>
        <v>#DIV/0!</v>
      </c>
      <c r="O965" s="1040" t="e">
        <f t="shared" si="367"/>
        <v>#DIV/0!</v>
      </c>
      <c r="P965" s="1040" t="e">
        <f t="shared" si="367"/>
        <v>#DIV/0!</v>
      </c>
      <c r="Q965" s="1040" t="e">
        <f t="shared" si="367"/>
        <v>#DIV/0!</v>
      </c>
      <c r="R965" s="1040" t="e">
        <f t="shared" si="367"/>
        <v>#DIV/0!</v>
      </c>
      <c r="S965" s="1040" t="e">
        <f t="shared" si="367"/>
        <v>#DIV/0!</v>
      </c>
      <c r="T965" s="1040" t="e">
        <f t="shared" si="367"/>
        <v>#DIV/0!</v>
      </c>
      <c r="U965" s="1040" t="e">
        <f t="shared" si="367"/>
        <v>#DIV/0!</v>
      </c>
      <c r="V965" s="1040" t="e">
        <f t="shared" si="367"/>
        <v>#DIV/0!</v>
      </c>
      <c r="W965" s="1040" t="e">
        <f t="shared" si="367"/>
        <v>#DIV/0!</v>
      </c>
      <c r="X965" s="1040" t="e">
        <f t="shared" si="367"/>
        <v>#DIV/0!</v>
      </c>
      <c r="Y965" s="1040" t="e">
        <f t="shared" si="367"/>
        <v>#DIV/0!</v>
      </c>
      <c r="Z965" s="1040" t="e">
        <f t="shared" si="367"/>
        <v>#DIV/0!</v>
      </c>
      <c r="AA965" s="1040" t="e">
        <f t="shared" si="367"/>
        <v>#DIV/0!</v>
      </c>
      <c r="AB965" s="1040" t="e">
        <f t="shared" si="367"/>
        <v>#DIV/0!</v>
      </c>
      <c r="AC965" s="1040" t="e">
        <f t="shared" si="367"/>
        <v>#DIV/0!</v>
      </c>
      <c r="AD965" s="1040" t="e">
        <f t="shared" si="367"/>
        <v>#DIV/0!</v>
      </c>
      <c r="AE965" s="1040" t="e">
        <f t="shared" si="367"/>
        <v>#DIV/0!</v>
      </c>
      <c r="AF965" s="1040" t="e">
        <f t="shared" si="367"/>
        <v>#DIV/0!</v>
      </c>
      <c r="AG965" s="1040" t="e">
        <f t="shared" si="367"/>
        <v>#DIV/0!</v>
      </c>
      <c r="AH965" s="1040" t="e">
        <f t="shared" si="367"/>
        <v>#DIV/0!</v>
      </c>
      <c r="AI965" s="1040" t="e">
        <f t="shared" si="367"/>
        <v>#DIV/0!</v>
      </c>
      <c r="AJ965" s="1040" t="e">
        <f t="shared" si="367"/>
        <v>#DIV/0!</v>
      </c>
      <c r="AK965" s="1040" t="e">
        <f t="shared" si="367"/>
        <v>#DIV/0!</v>
      </c>
      <c r="AL965" s="1040" t="e">
        <f t="shared" si="367"/>
        <v>#DIV/0!</v>
      </c>
      <c r="AM965" s="1040" t="e">
        <f t="shared" si="367"/>
        <v>#DIV/0!</v>
      </c>
      <c r="AN965" s="1040" t="e">
        <f t="shared" si="367"/>
        <v>#DIV/0!</v>
      </c>
      <c r="AO965" s="1040" t="e">
        <f t="shared" si="367"/>
        <v>#DIV/0!</v>
      </c>
      <c r="AP965" s="1040" t="e">
        <f t="shared" si="367"/>
        <v>#DIV/0!</v>
      </c>
      <c r="AQ965" s="1040" t="e">
        <f t="shared" si="367"/>
        <v>#DIV/0!</v>
      </c>
      <c r="AR965" s="1040" t="e">
        <f t="shared" si="367"/>
        <v>#DIV/0!</v>
      </c>
      <c r="AS965" s="1040" t="e">
        <f t="shared" ref="AS965:AY965" si="368">IF(AS165="",0,IF(OR(1=RANK(AS565,AS$412:AS$790,0),(2=RANK(AS565,AS$412:AS$790,0))),AS565,AS165))</f>
        <v>#DIV/0!</v>
      </c>
      <c r="AT965" s="1040" t="e">
        <f t="shared" si="368"/>
        <v>#DIV/0!</v>
      </c>
      <c r="AU965" s="1040">
        <f t="shared" si="368"/>
        <v>0</v>
      </c>
      <c r="AV965" s="1040" t="e">
        <f t="shared" si="368"/>
        <v>#DIV/0!</v>
      </c>
      <c r="AW965" s="1040" t="e">
        <f t="shared" si="368"/>
        <v>#DIV/0!</v>
      </c>
      <c r="AX965" s="1040" t="e">
        <f t="shared" si="368"/>
        <v>#DIV/0!</v>
      </c>
      <c r="AY965" s="1040" t="e">
        <f t="shared" si="368"/>
        <v>#DIV/0!</v>
      </c>
      <c r="AZ965" s="1061" t="s">
        <v>21</v>
      </c>
      <c r="BC965" s="29"/>
      <c r="BD965" s="29"/>
      <c r="BE965" s="13"/>
      <c r="BL965" s="368"/>
    </row>
    <row r="966" spans="1:64" ht="12" customHeight="1" x14ac:dyDescent="0.2">
      <c r="A966" s="39">
        <f>acute_overview_children!A166</f>
        <v>4</v>
      </c>
      <c r="B966" s="26">
        <f t="shared" si="315"/>
        <v>251070</v>
      </c>
      <c r="C966" s="23" t="str">
        <f t="shared" si="316"/>
        <v>Red mustards</v>
      </c>
      <c r="D966" s="135"/>
      <c r="E966" s="1027"/>
      <c r="F966" s="87"/>
      <c r="G966" s="87"/>
      <c r="H966" s="1027"/>
      <c r="I966" s="1030"/>
      <c r="J966" s="1039" t="e">
        <f t="shared" ref="J966:AR966" si="369">IF(J166="",0,IF(OR(1=RANK(J566,J$412:J$790,0),(2=RANK(J566,J$412:J$790,0))),J566,J166))</f>
        <v>#DIV/0!</v>
      </c>
      <c r="K966" s="1040" t="e">
        <f t="shared" si="369"/>
        <v>#DIV/0!</v>
      </c>
      <c r="L966" s="1040" t="e">
        <f t="shared" si="369"/>
        <v>#DIV/0!</v>
      </c>
      <c r="M966" s="1040" t="e">
        <f t="shared" si="369"/>
        <v>#DIV/0!</v>
      </c>
      <c r="N966" s="1040" t="e">
        <f t="shared" si="369"/>
        <v>#DIV/0!</v>
      </c>
      <c r="O966" s="1040" t="e">
        <f t="shared" si="369"/>
        <v>#DIV/0!</v>
      </c>
      <c r="P966" s="1040" t="e">
        <f t="shared" si="369"/>
        <v>#DIV/0!</v>
      </c>
      <c r="Q966" s="1040" t="e">
        <f t="shared" si="369"/>
        <v>#DIV/0!</v>
      </c>
      <c r="R966" s="1040" t="e">
        <f t="shared" si="369"/>
        <v>#DIV/0!</v>
      </c>
      <c r="S966" s="1040" t="e">
        <f t="shared" si="369"/>
        <v>#DIV/0!</v>
      </c>
      <c r="T966" s="1040" t="e">
        <f t="shared" si="369"/>
        <v>#DIV/0!</v>
      </c>
      <c r="U966" s="1040" t="e">
        <f t="shared" si="369"/>
        <v>#DIV/0!</v>
      </c>
      <c r="V966" s="1040" t="e">
        <f t="shared" si="369"/>
        <v>#DIV/0!</v>
      </c>
      <c r="W966" s="1040" t="e">
        <f t="shared" si="369"/>
        <v>#DIV/0!</v>
      </c>
      <c r="X966" s="1040" t="e">
        <f t="shared" si="369"/>
        <v>#DIV/0!</v>
      </c>
      <c r="Y966" s="1040" t="e">
        <f t="shared" si="369"/>
        <v>#DIV/0!</v>
      </c>
      <c r="Z966" s="1040" t="e">
        <f t="shared" si="369"/>
        <v>#DIV/0!</v>
      </c>
      <c r="AA966" s="1040" t="e">
        <f t="shared" si="369"/>
        <v>#DIV/0!</v>
      </c>
      <c r="AB966" s="1040" t="e">
        <f t="shared" si="369"/>
        <v>#DIV/0!</v>
      </c>
      <c r="AC966" s="1040" t="e">
        <f t="shared" si="369"/>
        <v>#DIV/0!</v>
      </c>
      <c r="AD966" s="1040" t="e">
        <f t="shared" si="369"/>
        <v>#DIV/0!</v>
      </c>
      <c r="AE966" s="1040" t="e">
        <f t="shared" si="369"/>
        <v>#DIV/0!</v>
      </c>
      <c r="AF966" s="1040" t="e">
        <f t="shared" si="369"/>
        <v>#DIV/0!</v>
      </c>
      <c r="AG966" s="1040" t="e">
        <f t="shared" si="369"/>
        <v>#DIV/0!</v>
      </c>
      <c r="AH966" s="1040" t="e">
        <f t="shared" si="369"/>
        <v>#DIV/0!</v>
      </c>
      <c r="AI966" s="1040" t="e">
        <f t="shared" si="369"/>
        <v>#DIV/0!</v>
      </c>
      <c r="AJ966" s="1040" t="e">
        <f t="shared" si="369"/>
        <v>#DIV/0!</v>
      </c>
      <c r="AK966" s="1040" t="e">
        <f t="shared" si="369"/>
        <v>#DIV/0!</v>
      </c>
      <c r="AL966" s="1040" t="e">
        <f t="shared" si="369"/>
        <v>#DIV/0!</v>
      </c>
      <c r="AM966" s="1040" t="e">
        <f t="shared" si="369"/>
        <v>#DIV/0!</v>
      </c>
      <c r="AN966" s="1040" t="e">
        <f t="shared" si="369"/>
        <v>#DIV/0!</v>
      </c>
      <c r="AO966" s="1040" t="e">
        <f t="shared" si="369"/>
        <v>#DIV/0!</v>
      </c>
      <c r="AP966" s="1040" t="e">
        <f t="shared" si="369"/>
        <v>#DIV/0!</v>
      </c>
      <c r="AQ966" s="1040" t="e">
        <f t="shared" si="369"/>
        <v>#DIV/0!</v>
      </c>
      <c r="AR966" s="1040" t="e">
        <f t="shared" si="369"/>
        <v>#DIV/0!</v>
      </c>
      <c r="AS966" s="1040" t="e">
        <f t="shared" ref="AS966:AY966" si="370">IF(AS166="",0,IF(OR(1=RANK(AS566,AS$412:AS$790,0),(2=RANK(AS566,AS$412:AS$790,0))),AS566,AS166))</f>
        <v>#DIV/0!</v>
      </c>
      <c r="AT966" s="1040" t="e">
        <f t="shared" si="370"/>
        <v>#DIV/0!</v>
      </c>
      <c r="AU966" s="1040">
        <f t="shared" si="370"/>
        <v>0</v>
      </c>
      <c r="AV966" s="1040" t="e">
        <f t="shared" si="370"/>
        <v>#DIV/0!</v>
      </c>
      <c r="AW966" s="1040" t="e">
        <f t="shared" si="370"/>
        <v>#DIV/0!</v>
      </c>
      <c r="AX966" s="1040" t="e">
        <f t="shared" si="370"/>
        <v>#DIV/0!</v>
      </c>
      <c r="AY966" s="1040" t="e">
        <f t="shared" si="370"/>
        <v>#DIV/0!</v>
      </c>
      <c r="AZ966" s="1061" t="s">
        <v>21</v>
      </c>
      <c r="BC966" s="29"/>
      <c r="BD966" s="29"/>
      <c r="BE966" s="13"/>
      <c r="BL966" s="368"/>
    </row>
    <row r="967" spans="1:64" ht="12" customHeight="1" x14ac:dyDescent="0.2">
      <c r="A967" s="39">
        <f>acute_overview_children!A167</f>
        <v>4</v>
      </c>
      <c r="B967" s="26">
        <f t="shared" si="315"/>
        <v>251080</v>
      </c>
      <c r="C967" s="23" t="str">
        <f t="shared" si="316"/>
        <v>Baby leaf crops (including brassica species)</v>
      </c>
      <c r="D967" s="135"/>
      <c r="E967" s="1027"/>
      <c r="F967" s="87"/>
      <c r="G967" s="87"/>
      <c r="H967" s="1027"/>
      <c r="I967" s="1030"/>
      <c r="J967" s="1039" t="e">
        <f t="shared" ref="J967:AR967" si="371">IF(J167="",0,IF(OR(1=RANK(J567,J$412:J$790,0),(2=RANK(J567,J$412:J$790,0))),J567,J167))</f>
        <v>#DIV/0!</v>
      </c>
      <c r="K967" s="1040" t="e">
        <f t="shared" si="371"/>
        <v>#DIV/0!</v>
      </c>
      <c r="L967" s="1040" t="e">
        <f t="shared" si="371"/>
        <v>#DIV/0!</v>
      </c>
      <c r="M967" s="1040" t="e">
        <f t="shared" si="371"/>
        <v>#DIV/0!</v>
      </c>
      <c r="N967" s="1040" t="e">
        <f t="shared" si="371"/>
        <v>#DIV/0!</v>
      </c>
      <c r="O967" s="1040" t="e">
        <f t="shared" si="371"/>
        <v>#DIV/0!</v>
      </c>
      <c r="P967" s="1040" t="e">
        <f t="shared" si="371"/>
        <v>#DIV/0!</v>
      </c>
      <c r="Q967" s="1040" t="e">
        <f t="shared" si="371"/>
        <v>#DIV/0!</v>
      </c>
      <c r="R967" s="1040" t="e">
        <f t="shared" si="371"/>
        <v>#DIV/0!</v>
      </c>
      <c r="S967" s="1040" t="e">
        <f t="shared" si="371"/>
        <v>#DIV/0!</v>
      </c>
      <c r="T967" s="1040" t="e">
        <f t="shared" si="371"/>
        <v>#DIV/0!</v>
      </c>
      <c r="U967" s="1040" t="e">
        <f t="shared" si="371"/>
        <v>#DIV/0!</v>
      </c>
      <c r="V967" s="1040" t="e">
        <f t="shared" si="371"/>
        <v>#DIV/0!</v>
      </c>
      <c r="W967" s="1040" t="e">
        <f t="shared" si="371"/>
        <v>#DIV/0!</v>
      </c>
      <c r="X967" s="1040" t="e">
        <f t="shared" si="371"/>
        <v>#DIV/0!</v>
      </c>
      <c r="Y967" s="1040" t="e">
        <f t="shared" si="371"/>
        <v>#DIV/0!</v>
      </c>
      <c r="Z967" s="1040" t="e">
        <f t="shared" si="371"/>
        <v>#DIV/0!</v>
      </c>
      <c r="AA967" s="1040" t="e">
        <f t="shared" si="371"/>
        <v>#DIV/0!</v>
      </c>
      <c r="AB967" s="1040" t="e">
        <f t="shared" si="371"/>
        <v>#DIV/0!</v>
      </c>
      <c r="AC967" s="1040" t="e">
        <f t="shared" si="371"/>
        <v>#DIV/0!</v>
      </c>
      <c r="AD967" s="1040" t="e">
        <f t="shared" si="371"/>
        <v>#DIV/0!</v>
      </c>
      <c r="AE967" s="1040" t="e">
        <f t="shared" si="371"/>
        <v>#DIV/0!</v>
      </c>
      <c r="AF967" s="1040" t="e">
        <f t="shared" si="371"/>
        <v>#DIV/0!</v>
      </c>
      <c r="AG967" s="1040" t="e">
        <f t="shared" si="371"/>
        <v>#DIV/0!</v>
      </c>
      <c r="AH967" s="1040" t="e">
        <f t="shared" si="371"/>
        <v>#DIV/0!</v>
      </c>
      <c r="AI967" s="1040" t="e">
        <f t="shared" si="371"/>
        <v>#DIV/0!</v>
      </c>
      <c r="AJ967" s="1040" t="e">
        <f t="shared" si="371"/>
        <v>#DIV/0!</v>
      </c>
      <c r="AK967" s="1040" t="e">
        <f t="shared" si="371"/>
        <v>#DIV/0!</v>
      </c>
      <c r="AL967" s="1040" t="e">
        <f t="shared" si="371"/>
        <v>#DIV/0!</v>
      </c>
      <c r="AM967" s="1040" t="e">
        <f t="shared" si="371"/>
        <v>#DIV/0!</v>
      </c>
      <c r="AN967" s="1040" t="e">
        <f t="shared" si="371"/>
        <v>#DIV/0!</v>
      </c>
      <c r="AO967" s="1040" t="e">
        <f t="shared" si="371"/>
        <v>#DIV/0!</v>
      </c>
      <c r="AP967" s="1040" t="e">
        <f t="shared" si="371"/>
        <v>#DIV/0!</v>
      </c>
      <c r="AQ967" s="1040" t="e">
        <f t="shared" si="371"/>
        <v>#DIV/0!</v>
      </c>
      <c r="AR967" s="1040" t="e">
        <f t="shared" si="371"/>
        <v>#DIV/0!</v>
      </c>
      <c r="AS967" s="1040" t="e">
        <f t="shared" ref="AS967:AY967" si="372">IF(AS167="",0,IF(OR(1=RANK(AS567,AS$412:AS$790,0),(2=RANK(AS567,AS$412:AS$790,0))),AS567,AS167))</f>
        <v>#DIV/0!</v>
      </c>
      <c r="AT967" s="1040" t="e">
        <f t="shared" si="372"/>
        <v>#DIV/0!</v>
      </c>
      <c r="AU967" s="1040">
        <f t="shared" si="372"/>
        <v>0</v>
      </c>
      <c r="AV967" s="1040" t="e">
        <f t="shared" si="372"/>
        <v>#DIV/0!</v>
      </c>
      <c r="AW967" s="1040" t="e">
        <f t="shared" si="372"/>
        <v>#DIV/0!</v>
      </c>
      <c r="AX967" s="1040" t="e">
        <f t="shared" si="372"/>
        <v>#DIV/0!</v>
      </c>
      <c r="AY967" s="1040" t="e">
        <f t="shared" si="372"/>
        <v>#DIV/0!</v>
      </c>
      <c r="AZ967" s="1061" t="s">
        <v>21</v>
      </c>
      <c r="BC967" s="29"/>
      <c r="BD967" s="29"/>
      <c r="BE967" s="13"/>
      <c r="BL967" s="368"/>
    </row>
    <row r="968" spans="1:64" ht="12" customHeight="1" x14ac:dyDescent="0.2">
      <c r="A968" s="39">
        <f>acute_overview_children!A168</f>
        <v>4</v>
      </c>
      <c r="B968" s="23">
        <f t="shared" si="315"/>
        <v>251990</v>
      </c>
      <c r="C968" s="23" t="str">
        <f t="shared" si="316"/>
        <v>Other lettuce and other salad plants</v>
      </c>
      <c r="D968" s="135"/>
      <c r="E968" s="1027"/>
      <c r="F968" s="87"/>
      <c r="G968" s="87"/>
      <c r="H968" s="1027"/>
      <c r="I968" s="1030"/>
      <c r="J968" s="1039" t="e">
        <f t="shared" ref="J968:AR968" si="373">IF(J168="",0,IF(OR(1=RANK(J568,J$412:J$790,0),(2=RANK(J568,J$412:J$790,0))),J568,J168))</f>
        <v>#DIV/0!</v>
      </c>
      <c r="K968" s="1040" t="e">
        <f t="shared" si="373"/>
        <v>#DIV/0!</v>
      </c>
      <c r="L968" s="1040" t="e">
        <f t="shared" si="373"/>
        <v>#DIV/0!</v>
      </c>
      <c r="M968" s="1040" t="e">
        <f t="shared" si="373"/>
        <v>#DIV/0!</v>
      </c>
      <c r="N968" s="1040" t="e">
        <f t="shared" si="373"/>
        <v>#DIV/0!</v>
      </c>
      <c r="O968" s="1040" t="e">
        <f t="shared" si="373"/>
        <v>#DIV/0!</v>
      </c>
      <c r="P968" s="1040" t="e">
        <f t="shared" si="373"/>
        <v>#DIV/0!</v>
      </c>
      <c r="Q968" s="1040" t="e">
        <f t="shared" si="373"/>
        <v>#DIV/0!</v>
      </c>
      <c r="R968" s="1040" t="e">
        <f t="shared" si="373"/>
        <v>#DIV/0!</v>
      </c>
      <c r="S968" s="1040" t="e">
        <f t="shared" si="373"/>
        <v>#DIV/0!</v>
      </c>
      <c r="T968" s="1040" t="e">
        <f t="shared" si="373"/>
        <v>#DIV/0!</v>
      </c>
      <c r="U968" s="1040" t="e">
        <f t="shared" si="373"/>
        <v>#DIV/0!</v>
      </c>
      <c r="V968" s="1040" t="e">
        <f t="shared" si="373"/>
        <v>#DIV/0!</v>
      </c>
      <c r="W968" s="1040" t="e">
        <f t="shared" si="373"/>
        <v>#DIV/0!</v>
      </c>
      <c r="X968" s="1040" t="e">
        <f t="shared" si="373"/>
        <v>#DIV/0!</v>
      </c>
      <c r="Y968" s="1040" t="e">
        <f t="shared" si="373"/>
        <v>#DIV/0!</v>
      </c>
      <c r="Z968" s="1040" t="e">
        <f t="shared" si="373"/>
        <v>#DIV/0!</v>
      </c>
      <c r="AA968" s="1040" t="e">
        <f t="shared" si="373"/>
        <v>#DIV/0!</v>
      </c>
      <c r="AB968" s="1040" t="e">
        <f t="shared" si="373"/>
        <v>#DIV/0!</v>
      </c>
      <c r="AC968" s="1040" t="e">
        <f t="shared" si="373"/>
        <v>#DIV/0!</v>
      </c>
      <c r="AD968" s="1040" t="e">
        <f t="shared" si="373"/>
        <v>#DIV/0!</v>
      </c>
      <c r="AE968" s="1040" t="e">
        <f t="shared" si="373"/>
        <v>#DIV/0!</v>
      </c>
      <c r="AF968" s="1040" t="e">
        <f t="shared" si="373"/>
        <v>#DIV/0!</v>
      </c>
      <c r="AG968" s="1040" t="e">
        <f t="shared" si="373"/>
        <v>#DIV/0!</v>
      </c>
      <c r="AH968" s="1040" t="e">
        <f t="shared" si="373"/>
        <v>#DIV/0!</v>
      </c>
      <c r="AI968" s="1040" t="e">
        <f t="shared" si="373"/>
        <v>#DIV/0!</v>
      </c>
      <c r="AJ968" s="1040" t="e">
        <f t="shared" si="373"/>
        <v>#DIV/0!</v>
      </c>
      <c r="AK968" s="1040" t="e">
        <f t="shared" si="373"/>
        <v>#DIV/0!</v>
      </c>
      <c r="AL968" s="1040" t="e">
        <f t="shared" si="373"/>
        <v>#DIV/0!</v>
      </c>
      <c r="AM968" s="1040" t="e">
        <f t="shared" si="373"/>
        <v>#DIV/0!</v>
      </c>
      <c r="AN968" s="1040" t="e">
        <f t="shared" si="373"/>
        <v>#DIV/0!</v>
      </c>
      <c r="AO968" s="1040" t="e">
        <f t="shared" si="373"/>
        <v>#DIV/0!</v>
      </c>
      <c r="AP968" s="1040" t="e">
        <f t="shared" si="373"/>
        <v>#DIV/0!</v>
      </c>
      <c r="AQ968" s="1040" t="e">
        <f t="shared" si="373"/>
        <v>#DIV/0!</v>
      </c>
      <c r="AR968" s="1040" t="e">
        <f t="shared" si="373"/>
        <v>#DIV/0!</v>
      </c>
      <c r="AS968" s="1040" t="e">
        <f t="shared" ref="AS968:AY968" si="374">IF(AS168="",0,IF(OR(1=RANK(AS568,AS$412:AS$790,0),(2=RANK(AS568,AS$412:AS$790,0))),AS568,AS168))</f>
        <v>#DIV/0!</v>
      </c>
      <c r="AT968" s="1040" t="e">
        <f t="shared" si="374"/>
        <v>#DIV/0!</v>
      </c>
      <c r="AU968" s="1040">
        <f t="shared" si="374"/>
        <v>0</v>
      </c>
      <c r="AV968" s="1040" t="e">
        <f t="shared" si="374"/>
        <v>#DIV/0!</v>
      </c>
      <c r="AW968" s="1040" t="e">
        <f t="shared" si="374"/>
        <v>#DIV/0!</v>
      </c>
      <c r="AX968" s="1040" t="e">
        <f t="shared" si="374"/>
        <v>#DIV/0!</v>
      </c>
      <c r="AY968" s="1040" t="e">
        <f t="shared" si="374"/>
        <v>#DIV/0!</v>
      </c>
      <c r="AZ968" s="1061" t="s">
        <v>21</v>
      </c>
      <c r="BC968" s="29"/>
      <c r="BD968" s="29"/>
      <c r="BE968" s="13"/>
      <c r="BL968" s="368"/>
    </row>
    <row r="969" spans="1:64" ht="12" customHeight="1" x14ac:dyDescent="0.2">
      <c r="A969" s="132">
        <f>acute_overview_children!A169</f>
        <v>3</v>
      </c>
      <c r="B969" s="3">
        <f t="shared" si="315"/>
        <v>252000</v>
      </c>
      <c r="C969" s="3" t="str">
        <f t="shared" si="316"/>
        <v>Spinach &amp; similar (leaves)</v>
      </c>
      <c r="D969" s="1042"/>
      <c r="E969" s="1027"/>
      <c r="F969" s="87"/>
      <c r="G969" s="87"/>
      <c r="H969" s="1027"/>
      <c r="I969" s="1030"/>
      <c r="J969" s="1043" t="e">
        <f t="shared" ref="J969:AR969" si="375">IF(J169="",0,IF(OR(1=RANK(J569,J$412:J$790,0),(2=RANK(J569,J$412:J$790,0))),J569,J169))</f>
        <v>#DIV/0!</v>
      </c>
      <c r="K969" s="1044" t="e">
        <f t="shared" si="375"/>
        <v>#DIV/0!</v>
      </c>
      <c r="L969" s="1044" t="e">
        <f t="shared" si="375"/>
        <v>#DIV/0!</v>
      </c>
      <c r="M969" s="1044" t="e">
        <f t="shared" si="375"/>
        <v>#DIV/0!</v>
      </c>
      <c r="N969" s="1044" t="e">
        <f t="shared" si="375"/>
        <v>#DIV/0!</v>
      </c>
      <c r="O969" s="1044" t="e">
        <f t="shared" si="375"/>
        <v>#DIV/0!</v>
      </c>
      <c r="P969" s="1044" t="e">
        <f t="shared" si="375"/>
        <v>#DIV/0!</v>
      </c>
      <c r="Q969" s="1044" t="e">
        <f t="shared" si="375"/>
        <v>#DIV/0!</v>
      </c>
      <c r="R969" s="1044" t="e">
        <f t="shared" si="375"/>
        <v>#DIV/0!</v>
      </c>
      <c r="S969" s="1044" t="e">
        <f t="shared" si="375"/>
        <v>#DIV/0!</v>
      </c>
      <c r="T969" s="1044" t="e">
        <f t="shared" si="375"/>
        <v>#DIV/0!</v>
      </c>
      <c r="U969" s="1044" t="e">
        <f t="shared" si="375"/>
        <v>#DIV/0!</v>
      </c>
      <c r="V969" s="1044" t="e">
        <f t="shared" si="375"/>
        <v>#DIV/0!</v>
      </c>
      <c r="W969" s="1044" t="e">
        <f t="shared" si="375"/>
        <v>#DIV/0!</v>
      </c>
      <c r="X969" s="1044" t="e">
        <f t="shared" si="375"/>
        <v>#DIV/0!</v>
      </c>
      <c r="Y969" s="1044" t="e">
        <f t="shared" si="375"/>
        <v>#DIV/0!</v>
      </c>
      <c r="Z969" s="1044" t="e">
        <f t="shared" si="375"/>
        <v>#DIV/0!</v>
      </c>
      <c r="AA969" s="1044" t="e">
        <f t="shared" si="375"/>
        <v>#DIV/0!</v>
      </c>
      <c r="AB969" s="1044" t="e">
        <f t="shared" si="375"/>
        <v>#DIV/0!</v>
      </c>
      <c r="AC969" s="1044" t="e">
        <f t="shared" si="375"/>
        <v>#DIV/0!</v>
      </c>
      <c r="AD969" s="1044" t="e">
        <f t="shared" si="375"/>
        <v>#DIV/0!</v>
      </c>
      <c r="AE969" s="1044" t="e">
        <f t="shared" si="375"/>
        <v>#DIV/0!</v>
      </c>
      <c r="AF969" s="1044" t="e">
        <f t="shared" si="375"/>
        <v>#DIV/0!</v>
      </c>
      <c r="AG969" s="1044" t="e">
        <f t="shared" si="375"/>
        <v>#DIV/0!</v>
      </c>
      <c r="AH969" s="1044" t="e">
        <f t="shared" si="375"/>
        <v>#DIV/0!</v>
      </c>
      <c r="AI969" s="1044" t="e">
        <f t="shared" si="375"/>
        <v>#DIV/0!</v>
      </c>
      <c r="AJ969" s="1044" t="e">
        <f t="shared" si="375"/>
        <v>#DIV/0!</v>
      </c>
      <c r="AK969" s="1044" t="e">
        <f t="shared" si="375"/>
        <v>#DIV/0!</v>
      </c>
      <c r="AL969" s="1044" t="e">
        <f t="shared" si="375"/>
        <v>#DIV/0!</v>
      </c>
      <c r="AM969" s="1044" t="e">
        <f t="shared" si="375"/>
        <v>#DIV/0!</v>
      </c>
      <c r="AN969" s="1044" t="e">
        <f t="shared" si="375"/>
        <v>#DIV/0!</v>
      </c>
      <c r="AO969" s="1044" t="e">
        <f t="shared" si="375"/>
        <v>#DIV/0!</v>
      </c>
      <c r="AP969" s="1044" t="e">
        <f t="shared" si="375"/>
        <v>#DIV/0!</v>
      </c>
      <c r="AQ969" s="1044" t="e">
        <f t="shared" si="375"/>
        <v>#DIV/0!</v>
      </c>
      <c r="AR969" s="1044" t="e">
        <f t="shared" si="375"/>
        <v>#DIV/0!</v>
      </c>
      <c r="AS969" s="1044" t="e">
        <f t="shared" ref="AS969:AY969" si="376">IF(AS169="",0,IF(OR(1=RANK(AS569,AS$412:AS$790,0),(2=RANK(AS569,AS$412:AS$790,0))),AS569,AS169))</f>
        <v>#DIV/0!</v>
      </c>
      <c r="AT969" s="1044" t="e">
        <f t="shared" si="376"/>
        <v>#DIV/0!</v>
      </c>
      <c r="AU969" s="1044">
        <f t="shared" si="376"/>
        <v>0</v>
      </c>
      <c r="AV969" s="1044" t="e">
        <f t="shared" si="376"/>
        <v>#DIV/0!</v>
      </c>
      <c r="AW969" s="1044" t="e">
        <f t="shared" si="376"/>
        <v>#DIV/0!</v>
      </c>
      <c r="AX969" s="1044" t="e">
        <f t="shared" si="376"/>
        <v>#DIV/0!</v>
      </c>
      <c r="AY969" s="1044" t="e">
        <f t="shared" si="376"/>
        <v>#DIV/0!</v>
      </c>
      <c r="AZ969" s="1061" t="s">
        <v>21</v>
      </c>
      <c r="BC969" s="29"/>
      <c r="BD969" s="29"/>
      <c r="BE969" s="13"/>
      <c r="BL969" s="368"/>
    </row>
    <row r="970" spans="1:64" ht="12" customHeight="1" x14ac:dyDescent="0.2">
      <c r="A970" s="39">
        <f>acute_overview_children!A170</f>
        <v>4</v>
      </c>
      <c r="B970" s="23">
        <f t="shared" si="315"/>
        <v>252010</v>
      </c>
      <c r="C970" s="23" t="str">
        <f t="shared" si="316"/>
        <v>Spinaches</v>
      </c>
      <c r="D970" s="135"/>
      <c r="E970" s="1027"/>
      <c r="F970" s="87"/>
      <c r="G970" s="87"/>
      <c r="H970" s="1027"/>
      <c r="I970" s="1030"/>
      <c r="J970" s="1039" t="e">
        <f t="shared" ref="J970:AR970" si="377">IF(J170="",0,IF(OR(1=RANK(J570,J$412:J$790,0),(2=RANK(J570,J$412:J$790,0))),J570,J170))</f>
        <v>#DIV/0!</v>
      </c>
      <c r="K970" s="1040" t="e">
        <f t="shared" si="377"/>
        <v>#DIV/0!</v>
      </c>
      <c r="L970" s="1040" t="e">
        <f t="shared" si="377"/>
        <v>#DIV/0!</v>
      </c>
      <c r="M970" s="1040" t="e">
        <f t="shared" si="377"/>
        <v>#DIV/0!</v>
      </c>
      <c r="N970" s="1040" t="e">
        <f t="shared" si="377"/>
        <v>#DIV/0!</v>
      </c>
      <c r="O970" s="1040" t="e">
        <f t="shared" si="377"/>
        <v>#DIV/0!</v>
      </c>
      <c r="P970" s="1040" t="e">
        <f t="shared" si="377"/>
        <v>#DIV/0!</v>
      </c>
      <c r="Q970" s="1040" t="e">
        <f t="shared" si="377"/>
        <v>#DIV/0!</v>
      </c>
      <c r="R970" s="1040" t="e">
        <f t="shared" si="377"/>
        <v>#DIV/0!</v>
      </c>
      <c r="S970" s="1040" t="e">
        <f t="shared" si="377"/>
        <v>#DIV/0!</v>
      </c>
      <c r="T970" s="1040" t="e">
        <f t="shared" si="377"/>
        <v>#DIV/0!</v>
      </c>
      <c r="U970" s="1040" t="e">
        <f t="shared" si="377"/>
        <v>#DIV/0!</v>
      </c>
      <c r="V970" s="1040" t="e">
        <f t="shared" si="377"/>
        <v>#DIV/0!</v>
      </c>
      <c r="W970" s="1040" t="e">
        <f t="shared" si="377"/>
        <v>#DIV/0!</v>
      </c>
      <c r="X970" s="1040" t="e">
        <f t="shared" si="377"/>
        <v>#DIV/0!</v>
      </c>
      <c r="Y970" s="1040" t="e">
        <f t="shared" si="377"/>
        <v>#DIV/0!</v>
      </c>
      <c r="Z970" s="1040" t="e">
        <f t="shared" si="377"/>
        <v>#DIV/0!</v>
      </c>
      <c r="AA970" s="1040" t="e">
        <f t="shared" si="377"/>
        <v>#DIV/0!</v>
      </c>
      <c r="AB970" s="1040" t="e">
        <f t="shared" si="377"/>
        <v>#DIV/0!</v>
      </c>
      <c r="AC970" s="1040" t="e">
        <f t="shared" si="377"/>
        <v>#DIV/0!</v>
      </c>
      <c r="AD970" s="1040" t="e">
        <f t="shared" si="377"/>
        <v>#DIV/0!</v>
      </c>
      <c r="AE970" s="1040" t="e">
        <f t="shared" si="377"/>
        <v>#DIV/0!</v>
      </c>
      <c r="AF970" s="1040" t="e">
        <f t="shared" si="377"/>
        <v>#DIV/0!</v>
      </c>
      <c r="AG970" s="1040" t="e">
        <f t="shared" si="377"/>
        <v>#DIV/0!</v>
      </c>
      <c r="AH970" s="1040" t="e">
        <f t="shared" si="377"/>
        <v>#DIV/0!</v>
      </c>
      <c r="AI970" s="1040" t="e">
        <f t="shared" si="377"/>
        <v>#DIV/0!</v>
      </c>
      <c r="AJ970" s="1040" t="e">
        <f t="shared" si="377"/>
        <v>#DIV/0!</v>
      </c>
      <c r="AK970" s="1040" t="e">
        <f t="shared" si="377"/>
        <v>#DIV/0!</v>
      </c>
      <c r="AL970" s="1040" t="e">
        <f t="shared" si="377"/>
        <v>#DIV/0!</v>
      </c>
      <c r="AM970" s="1040" t="e">
        <f t="shared" si="377"/>
        <v>#DIV/0!</v>
      </c>
      <c r="AN970" s="1040" t="e">
        <f t="shared" si="377"/>
        <v>#DIV/0!</v>
      </c>
      <c r="AO970" s="1040" t="e">
        <f t="shared" si="377"/>
        <v>#DIV/0!</v>
      </c>
      <c r="AP970" s="1040" t="e">
        <f t="shared" si="377"/>
        <v>#DIV/0!</v>
      </c>
      <c r="AQ970" s="1040" t="e">
        <f t="shared" si="377"/>
        <v>#DIV/0!</v>
      </c>
      <c r="AR970" s="1040" t="e">
        <f t="shared" si="377"/>
        <v>#DIV/0!</v>
      </c>
      <c r="AS970" s="1040" t="e">
        <f t="shared" ref="AS970:AY970" si="378">IF(AS170="",0,IF(OR(1=RANK(AS570,AS$412:AS$790,0),(2=RANK(AS570,AS$412:AS$790,0))),AS570,AS170))</f>
        <v>#DIV/0!</v>
      </c>
      <c r="AT970" s="1040" t="e">
        <f t="shared" si="378"/>
        <v>#DIV/0!</v>
      </c>
      <c r="AU970" s="1040">
        <f t="shared" si="378"/>
        <v>0</v>
      </c>
      <c r="AV970" s="1040" t="e">
        <f t="shared" si="378"/>
        <v>#DIV/0!</v>
      </c>
      <c r="AW970" s="1040" t="e">
        <f t="shared" si="378"/>
        <v>#DIV/0!</v>
      </c>
      <c r="AX970" s="1040" t="e">
        <f t="shared" si="378"/>
        <v>#DIV/0!</v>
      </c>
      <c r="AY970" s="1040" t="e">
        <f t="shared" si="378"/>
        <v>#DIV/0!</v>
      </c>
      <c r="AZ970" s="1061" t="s">
        <v>21</v>
      </c>
      <c r="BC970" s="29"/>
      <c r="BD970" s="29"/>
      <c r="BE970" s="13"/>
      <c r="BL970" s="368"/>
    </row>
    <row r="971" spans="1:64" ht="12" customHeight="1" x14ac:dyDescent="0.2">
      <c r="A971" s="39">
        <f>acute_overview_children!A171</f>
        <v>4</v>
      </c>
      <c r="B971" s="23">
        <f t="shared" si="315"/>
        <v>252020</v>
      </c>
      <c r="C971" s="23" t="str">
        <f t="shared" si="316"/>
        <v>Purslanes</v>
      </c>
      <c r="D971" s="135"/>
      <c r="E971" s="1027"/>
      <c r="F971" s="87"/>
      <c r="G971" s="87"/>
      <c r="H971" s="1027"/>
      <c r="I971" s="1030"/>
      <c r="J971" s="1039" t="e">
        <f t="shared" ref="J971:AR971" si="379">IF(J171="",0,IF(OR(1=RANK(J571,J$412:J$790,0),(2=RANK(J571,J$412:J$790,0))),J571,J171))</f>
        <v>#DIV/0!</v>
      </c>
      <c r="K971" s="1040" t="e">
        <f t="shared" si="379"/>
        <v>#DIV/0!</v>
      </c>
      <c r="L971" s="1040" t="e">
        <f t="shared" si="379"/>
        <v>#DIV/0!</v>
      </c>
      <c r="M971" s="1040" t="e">
        <f t="shared" si="379"/>
        <v>#DIV/0!</v>
      </c>
      <c r="N971" s="1040" t="e">
        <f t="shared" si="379"/>
        <v>#DIV/0!</v>
      </c>
      <c r="O971" s="1040" t="e">
        <f t="shared" si="379"/>
        <v>#DIV/0!</v>
      </c>
      <c r="P971" s="1040" t="e">
        <f t="shared" si="379"/>
        <v>#DIV/0!</v>
      </c>
      <c r="Q971" s="1040" t="e">
        <f t="shared" si="379"/>
        <v>#DIV/0!</v>
      </c>
      <c r="R971" s="1040" t="e">
        <f t="shared" si="379"/>
        <v>#DIV/0!</v>
      </c>
      <c r="S971" s="1040" t="e">
        <f t="shared" si="379"/>
        <v>#DIV/0!</v>
      </c>
      <c r="T971" s="1040" t="e">
        <f t="shared" si="379"/>
        <v>#DIV/0!</v>
      </c>
      <c r="U971" s="1040" t="e">
        <f t="shared" si="379"/>
        <v>#DIV/0!</v>
      </c>
      <c r="V971" s="1040" t="e">
        <f t="shared" si="379"/>
        <v>#DIV/0!</v>
      </c>
      <c r="W971" s="1040" t="e">
        <f t="shared" si="379"/>
        <v>#DIV/0!</v>
      </c>
      <c r="X971" s="1040" t="e">
        <f t="shared" si="379"/>
        <v>#DIV/0!</v>
      </c>
      <c r="Y971" s="1040" t="e">
        <f t="shared" si="379"/>
        <v>#DIV/0!</v>
      </c>
      <c r="Z971" s="1040" t="e">
        <f t="shared" si="379"/>
        <v>#DIV/0!</v>
      </c>
      <c r="AA971" s="1040" t="e">
        <f t="shared" si="379"/>
        <v>#DIV/0!</v>
      </c>
      <c r="AB971" s="1040" t="e">
        <f t="shared" si="379"/>
        <v>#DIV/0!</v>
      </c>
      <c r="AC971" s="1040" t="e">
        <f t="shared" si="379"/>
        <v>#DIV/0!</v>
      </c>
      <c r="AD971" s="1040" t="e">
        <f t="shared" si="379"/>
        <v>#DIV/0!</v>
      </c>
      <c r="AE971" s="1040" t="e">
        <f t="shared" si="379"/>
        <v>#DIV/0!</v>
      </c>
      <c r="AF971" s="1040" t="e">
        <f t="shared" si="379"/>
        <v>#DIV/0!</v>
      </c>
      <c r="AG971" s="1040" t="e">
        <f t="shared" si="379"/>
        <v>#DIV/0!</v>
      </c>
      <c r="AH971" s="1040" t="e">
        <f t="shared" si="379"/>
        <v>#DIV/0!</v>
      </c>
      <c r="AI971" s="1040" t="e">
        <f t="shared" si="379"/>
        <v>#DIV/0!</v>
      </c>
      <c r="AJ971" s="1040" t="e">
        <f t="shared" si="379"/>
        <v>#DIV/0!</v>
      </c>
      <c r="AK971" s="1040" t="e">
        <f t="shared" si="379"/>
        <v>#DIV/0!</v>
      </c>
      <c r="AL971" s="1040" t="e">
        <f t="shared" si="379"/>
        <v>#DIV/0!</v>
      </c>
      <c r="AM971" s="1040" t="e">
        <f t="shared" si="379"/>
        <v>#DIV/0!</v>
      </c>
      <c r="AN971" s="1040" t="e">
        <f t="shared" si="379"/>
        <v>#DIV/0!</v>
      </c>
      <c r="AO971" s="1040" t="e">
        <f t="shared" si="379"/>
        <v>#DIV/0!</v>
      </c>
      <c r="AP971" s="1040" t="e">
        <f t="shared" si="379"/>
        <v>#DIV/0!</v>
      </c>
      <c r="AQ971" s="1040" t="e">
        <f t="shared" si="379"/>
        <v>#DIV/0!</v>
      </c>
      <c r="AR971" s="1040" t="e">
        <f t="shared" si="379"/>
        <v>#DIV/0!</v>
      </c>
      <c r="AS971" s="1040" t="e">
        <f t="shared" ref="AS971:AY971" si="380">IF(AS171="",0,IF(OR(1=RANK(AS571,AS$412:AS$790,0),(2=RANK(AS571,AS$412:AS$790,0))),AS571,AS171))</f>
        <v>#DIV/0!</v>
      </c>
      <c r="AT971" s="1040" t="e">
        <f t="shared" si="380"/>
        <v>#DIV/0!</v>
      </c>
      <c r="AU971" s="1040">
        <f t="shared" si="380"/>
        <v>0</v>
      </c>
      <c r="AV971" s="1040" t="e">
        <f t="shared" si="380"/>
        <v>#DIV/0!</v>
      </c>
      <c r="AW971" s="1040" t="e">
        <f t="shared" si="380"/>
        <v>#DIV/0!</v>
      </c>
      <c r="AX971" s="1040" t="e">
        <f t="shared" si="380"/>
        <v>#DIV/0!</v>
      </c>
      <c r="AY971" s="1040" t="e">
        <f t="shared" si="380"/>
        <v>#DIV/0!</v>
      </c>
      <c r="AZ971" s="1061" t="s">
        <v>21</v>
      </c>
      <c r="BC971" s="29"/>
      <c r="BD971" s="29"/>
      <c r="BE971" s="13"/>
      <c r="BL971" s="368"/>
    </row>
    <row r="972" spans="1:64" ht="12" customHeight="1" x14ac:dyDescent="0.2">
      <c r="A972" s="39">
        <f>acute_overview_children!A172</f>
        <v>4</v>
      </c>
      <c r="B972" s="23">
        <f t="shared" si="315"/>
        <v>252030</v>
      </c>
      <c r="C972" s="23" t="str">
        <f t="shared" si="316"/>
        <v>Chards/beet leaves</v>
      </c>
      <c r="D972" s="135"/>
      <c r="E972" s="1027"/>
      <c r="F972" s="87"/>
      <c r="G972" s="87"/>
      <c r="H972" s="1027"/>
      <c r="I972" s="1030"/>
      <c r="J972" s="1039" t="e">
        <f t="shared" ref="J972:AR972" si="381">IF(J172="",0,IF(OR(1=RANK(J572,J$412:J$790,0),(2=RANK(J572,J$412:J$790,0))),J572,J172))</f>
        <v>#DIV/0!</v>
      </c>
      <c r="K972" s="1040" t="e">
        <f t="shared" si="381"/>
        <v>#DIV/0!</v>
      </c>
      <c r="L972" s="1040" t="e">
        <f t="shared" si="381"/>
        <v>#DIV/0!</v>
      </c>
      <c r="M972" s="1040" t="e">
        <f t="shared" si="381"/>
        <v>#DIV/0!</v>
      </c>
      <c r="N972" s="1040" t="e">
        <f t="shared" si="381"/>
        <v>#DIV/0!</v>
      </c>
      <c r="O972" s="1040" t="e">
        <f t="shared" si="381"/>
        <v>#DIV/0!</v>
      </c>
      <c r="P972" s="1040" t="e">
        <f t="shared" si="381"/>
        <v>#DIV/0!</v>
      </c>
      <c r="Q972" s="1040" t="e">
        <f t="shared" si="381"/>
        <v>#DIV/0!</v>
      </c>
      <c r="R972" s="1040" t="e">
        <f t="shared" si="381"/>
        <v>#DIV/0!</v>
      </c>
      <c r="S972" s="1040" t="e">
        <f t="shared" si="381"/>
        <v>#DIV/0!</v>
      </c>
      <c r="T972" s="1040" t="e">
        <f t="shared" si="381"/>
        <v>#DIV/0!</v>
      </c>
      <c r="U972" s="1040" t="e">
        <f t="shared" si="381"/>
        <v>#DIV/0!</v>
      </c>
      <c r="V972" s="1040" t="e">
        <f t="shared" si="381"/>
        <v>#DIV/0!</v>
      </c>
      <c r="W972" s="1040" t="e">
        <f t="shared" si="381"/>
        <v>#DIV/0!</v>
      </c>
      <c r="X972" s="1040" t="e">
        <f t="shared" si="381"/>
        <v>#DIV/0!</v>
      </c>
      <c r="Y972" s="1040" t="e">
        <f t="shared" si="381"/>
        <v>#DIV/0!</v>
      </c>
      <c r="Z972" s="1040" t="e">
        <f t="shared" si="381"/>
        <v>#DIV/0!</v>
      </c>
      <c r="AA972" s="1040" t="e">
        <f t="shared" si="381"/>
        <v>#DIV/0!</v>
      </c>
      <c r="AB972" s="1040" t="e">
        <f t="shared" si="381"/>
        <v>#DIV/0!</v>
      </c>
      <c r="AC972" s="1040" t="e">
        <f t="shared" si="381"/>
        <v>#DIV/0!</v>
      </c>
      <c r="AD972" s="1040" t="e">
        <f t="shared" si="381"/>
        <v>#DIV/0!</v>
      </c>
      <c r="AE972" s="1040" t="e">
        <f t="shared" si="381"/>
        <v>#DIV/0!</v>
      </c>
      <c r="AF972" s="1040" t="e">
        <f t="shared" si="381"/>
        <v>#DIV/0!</v>
      </c>
      <c r="AG972" s="1040" t="e">
        <f t="shared" si="381"/>
        <v>#DIV/0!</v>
      </c>
      <c r="AH972" s="1040" t="e">
        <f t="shared" si="381"/>
        <v>#DIV/0!</v>
      </c>
      <c r="AI972" s="1040" t="e">
        <f t="shared" si="381"/>
        <v>#DIV/0!</v>
      </c>
      <c r="AJ972" s="1040" t="e">
        <f t="shared" si="381"/>
        <v>#DIV/0!</v>
      </c>
      <c r="AK972" s="1040" t="e">
        <f t="shared" si="381"/>
        <v>#DIV/0!</v>
      </c>
      <c r="AL972" s="1040" t="e">
        <f t="shared" si="381"/>
        <v>#DIV/0!</v>
      </c>
      <c r="AM972" s="1040" t="e">
        <f t="shared" si="381"/>
        <v>#DIV/0!</v>
      </c>
      <c r="AN972" s="1040" t="e">
        <f t="shared" si="381"/>
        <v>#DIV/0!</v>
      </c>
      <c r="AO972" s="1040" t="e">
        <f t="shared" si="381"/>
        <v>#DIV/0!</v>
      </c>
      <c r="AP972" s="1040" t="e">
        <f t="shared" si="381"/>
        <v>#DIV/0!</v>
      </c>
      <c r="AQ972" s="1040" t="e">
        <f t="shared" si="381"/>
        <v>#DIV/0!</v>
      </c>
      <c r="AR972" s="1040" t="e">
        <f t="shared" si="381"/>
        <v>#DIV/0!</v>
      </c>
      <c r="AS972" s="1040" t="e">
        <f t="shared" ref="AS972:AY972" si="382">IF(AS172="",0,IF(OR(1=RANK(AS572,AS$412:AS$790,0),(2=RANK(AS572,AS$412:AS$790,0))),AS572,AS172))</f>
        <v>#DIV/0!</v>
      </c>
      <c r="AT972" s="1040" t="e">
        <f t="shared" si="382"/>
        <v>#DIV/0!</v>
      </c>
      <c r="AU972" s="1040">
        <f t="shared" si="382"/>
        <v>0</v>
      </c>
      <c r="AV972" s="1040" t="e">
        <f t="shared" si="382"/>
        <v>#DIV/0!</v>
      </c>
      <c r="AW972" s="1040" t="e">
        <f t="shared" si="382"/>
        <v>#DIV/0!</v>
      </c>
      <c r="AX972" s="1040" t="e">
        <f t="shared" si="382"/>
        <v>#DIV/0!</v>
      </c>
      <c r="AY972" s="1040" t="e">
        <f t="shared" si="382"/>
        <v>#DIV/0!</v>
      </c>
      <c r="AZ972" s="1061" t="s">
        <v>21</v>
      </c>
      <c r="BC972" s="29"/>
      <c r="BD972" s="29"/>
      <c r="BE972" s="13"/>
      <c r="BL972" s="368"/>
    </row>
    <row r="973" spans="1:64" ht="12" customHeight="1" x14ac:dyDescent="0.2">
      <c r="A973" s="39">
        <f>acute_overview_children!A173</f>
        <v>4</v>
      </c>
      <c r="B973" s="23">
        <f t="shared" si="315"/>
        <v>252990</v>
      </c>
      <c r="C973" s="23" t="str">
        <f t="shared" si="316"/>
        <v>Other spinach and similar</v>
      </c>
      <c r="D973" s="135"/>
      <c r="E973" s="1027"/>
      <c r="F973" s="87"/>
      <c r="G973" s="87"/>
      <c r="H973" s="1027"/>
      <c r="I973" s="1030"/>
      <c r="J973" s="1039" t="e">
        <f t="shared" ref="J973:AR973" si="383">IF(J173="",0,IF(OR(1=RANK(J573,J$412:J$790,0),(2=RANK(J573,J$412:J$790,0))),J573,J173))</f>
        <v>#DIV/0!</v>
      </c>
      <c r="K973" s="1040" t="e">
        <f t="shared" si="383"/>
        <v>#DIV/0!</v>
      </c>
      <c r="L973" s="1040" t="e">
        <f t="shared" si="383"/>
        <v>#DIV/0!</v>
      </c>
      <c r="M973" s="1040" t="e">
        <f t="shared" si="383"/>
        <v>#DIV/0!</v>
      </c>
      <c r="N973" s="1040" t="e">
        <f t="shared" si="383"/>
        <v>#DIV/0!</v>
      </c>
      <c r="O973" s="1040" t="e">
        <f t="shared" si="383"/>
        <v>#DIV/0!</v>
      </c>
      <c r="P973" s="1040" t="e">
        <f t="shared" si="383"/>
        <v>#DIV/0!</v>
      </c>
      <c r="Q973" s="1040" t="e">
        <f t="shared" si="383"/>
        <v>#DIV/0!</v>
      </c>
      <c r="R973" s="1040" t="e">
        <f t="shared" si="383"/>
        <v>#DIV/0!</v>
      </c>
      <c r="S973" s="1040" t="e">
        <f t="shared" si="383"/>
        <v>#DIV/0!</v>
      </c>
      <c r="T973" s="1040" t="e">
        <f t="shared" si="383"/>
        <v>#DIV/0!</v>
      </c>
      <c r="U973" s="1040" t="e">
        <f t="shared" si="383"/>
        <v>#DIV/0!</v>
      </c>
      <c r="V973" s="1040" t="e">
        <f t="shared" si="383"/>
        <v>#DIV/0!</v>
      </c>
      <c r="W973" s="1040" t="e">
        <f t="shared" si="383"/>
        <v>#DIV/0!</v>
      </c>
      <c r="X973" s="1040" t="e">
        <f t="shared" si="383"/>
        <v>#DIV/0!</v>
      </c>
      <c r="Y973" s="1040" t="e">
        <f t="shared" si="383"/>
        <v>#DIV/0!</v>
      </c>
      <c r="Z973" s="1040" t="e">
        <f t="shared" si="383"/>
        <v>#DIV/0!</v>
      </c>
      <c r="AA973" s="1040" t="e">
        <f t="shared" si="383"/>
        <v>#DIV/0!</v>
      </c>
      <c r="AB973" s="1040" t="e">
        <f t="shared" si="383"/>
        <v>#DIV/0!</v>
      </c>
      <c r="AC973" s="1040" t="e">
        <f t="shared" si="383"/>
        <v>#DIV/0!</v>
      </c>
      <c r="AD973" s="1040" t="e">
        <f t="shared" si="383"/>
        <v>#DIV/0!</v>
      </c>
      <c r="AE973" s="1040" t="e">
        <f t="shared" si="383"/>
        <v>#DIV/0!</v>
      </c>
      <c r="AF973" s="1040" t="e">
        <f t="shared" si="383"/>
        <v>#DIV/0!</v>
      </c>
      <c r="AG973" s="1040" t="e">
        <f t="shared" si="383"/>
        <v>#DIV/0!</v>
      </c>
      <c r="AH973" s="1040" t="e">
        <f t="shared" si="383"/>
        <v>#DIV/0!</v>
      </c>
      <c r="AI973" s="1040" t="e">
        <f t="shared" si="383"/>
        <v>#DIV/0!</v>
      </c>
      <c r="AJ973" s="1040" t="e">
        <f t="shared" si="383"/>
        <v>#DIV/0!</v>
      </c>
      <c r="AK973" s="1040" t="e">
        <f t="shared" si="383"/>
        <v>#DIV/0!</v>
      </c>
      <c r="AL973" s="1040" t="e">
        <f t="shared" si="383"/>
        <v>#DIV/0!</v>
      </c>
      <c r="AM973" s="1040" t="e">
        <f t="shared" si="383"/>
        <v>#DIV/0!</v>
      </c>
      <c r="AN973" s="1040" t="e">
        <f t="shared" si="383"/>
        <v>#DIV/0!</v>
      </c>
      <c r="AO973" s="1040" t="e">
        <f t="shared" si="383"/>
        <v>#DIV/0!</v>
      </c>
      <c r="AP973" s="1040" t="e">
        <f t="shared" si="383"/>
        <v>#DIV/0!</v>
      </c>
      <c r="AQ973" s="1040" t="e">
        <f t="shared" si="383"/>
        <v>#DIV/0!</v>
      </c>
      <c r="AR973" s="1040" t="e">
        <f t="shared" si="383"/>
        <v>#DIV/0!</v>
      </c>
      <c r="AS973" s="1040" t="e">
        <f t="shared" ref="AS973:AY973" si="384">IF(AS173="",0,IF(OR(1=RANK(AS573,AS$412:AS$790,0),(2=RANK(AS573,AS$412:AS$790,0))),AS573,AS173))</f>
        <v>#DIV/0!</v>
      </c>
      <c r="AT973" s="1040" t="e">
        <f t="shared" si="384"/>
        <v>#DIV/0!</v>
      </c>
      <c r="AU973" s="1040">
        <f t="shared" si="384"/>
        <v>0</v>
      </c>
      <c r="AV973" s="1040" t="e">
        <f t="shared" si="384"/>
        <v>#DIV/0!</v>
      </c>
      <c r="AW973" s="1040" t="e">
        <f t="shared" si="384"/>
        <v>#DIV/0!</v>
      </c>
      <c r="AX973" s="1040" t="e">
        <f t="shared" si="384"/>
        <v>#DIV/0!</v>
      </c>
      <c r="AY973" s="1040" t="e">
        <f t="shared" si="384"/>
        <v>#DIV/0!</v>
      </c>
      <c r="AZ973" s="1061" t="s">
        <v>21</v>
      </c>
      <c r="BC973" s="29"/>
      <c r="BD973" s="29"/>
      <c r="BE973" s="13"/>
      <c r="BL973" s="368"/>
    </row>
    <row r="974" spans="1:64" ht="12" customHeight="1" x14ac:dyDescent="0.2">
      <c r="A974" s="132">
        <f>acute_overview_children!A174</f>
        <v>3</v>
      </c>
      <c r="B974" s="3">
        <f t="shared" si="315"/>
        <v>253000</v>
      </c>
      <c r="C974" s="3" t="str">
        <f t="shared" si="316"/>
        <v>Grape leaves and similar species</v>
      </c>
      <c r="D974" s="1042"/>
      <c r="E974" s="1027"/>
      <c r="F974" s="87"/>
      <c r="G974" s="87"/>
      <c r="H974" s="1027"/>
      <c r="I974" s="1030"/>
      <c r="J974" s="1043" t="e">
        <f t="shared" ref="J974:AR974" si="385">IF(J174="",0,IF(OR(1=RANK(J574,J$412:J$790,0),(2=RANK(J574,J$412:J$790,0))),J574,J174))</f>
        <v>#DIV/0!</v>
      </c>
      <c r="K974" s="1044" t="e">
        <f t="shared" si="385"/>
        <v>#DIV/0!</v>
      </c>
      <c r="L974" s="1044" t="e">
        <f t="shared" si="385"/>
        <v>#DIV/0!</v>
      </c>
      <c r="M974" s="1044" t="e">
        <f t="shared" si="385"/>
        <v>#DIV/0!</v>
      </c>
      <c r="N974" s="1044" t="e">
        <f t="shared" si="385"/>
        <v>#DIV/0!</v>
      </c>
      <c r="O974" s="1044" t="e">
        <f t="shared" si="385"/>
        <v>#DIV/0!</v>
      </c>
      <c r="P974" s="1044" t="e">
        <f t="shared" si="385"/>
        <v>#DIV/0!</v>
      </c>
      <c r="Q974" s="1044" t="e">
        <f t="shared" si="385"/>
        <v>#DIV/0!</v>
      </c>
      <c r="R974" s="1044" t="e">
        <f t="shared" si="385"/>
        <v>#DIV/0!</v>
      </c>
      <c r="S974" s="1044" t="e">
        <f t="shared" si="385"/>
        <v>#DIV/0!</v>
      </c>
      <c r="T974" s="1044" t="e">
        <f t="shared" si="385"/>
        <v>#DIV/0!</v>
      </c>
      <c r="U974" s="1044" t="e">
        <f t="shared" si="385"/>
        <v>#DIV/0!</v>
      </c>
      <c r="V974" s="1044" t="e">
        <f t="shared" si="385"/>
        <v>#DIV/0!</v>
      </c>
      <c r="W974" s="1044" t="e">
        <f t="shared" si="385"/>
        <v>#DIV/0!</v>
      </c>
      <c r="X974" s="1044" t="e">
        <f t="shared" si="385"/>
        <v>#DIV/0!</v>
      </c>
      <c r="Y974" s="1044" t="e">
        <f t="shared" si="385"/>
        <v>#DIV/0!</v>
      </c>
      <c r="Z974" s="1044" t="e">
        <f t="shared" si="385"/>
        <v>#DIV/0!</v>
      </c>
      <c r="AA974" s="1044" t="e">
        <f t="shared" si="385"/>
        <v>#DIV/0!</v>
      </c>
      <c r="AB974" s="1044" t="e">
        <f t="shared" si="385"/>
        <v>#DIV/0!</v>
      </c>
      <c r="AC974" s="1044" t="e">
        <f t="shared" si="385"/>
        <v>#DIV/0!</v>
      </c>
      <c r="AD974" s="1044" t="e">
        <f t="shared" si="385"/>
        <v>#DIV/0!</v>
      </c>
      <c r="AE974" s="1044" t="e">
        <f t="shared" si="385"/>
        <v>#DIV/0!</v>
      </c>
      <c r="AF974" s="1044" t="e">
        <f t="shared" si="385"/>
        <v>#DIV/0!</v>
      </c>
      <c r="AG974" s="1044" t="e">
        <f t="shared" si="385"/>
        <v>#DIV/0!</v>
      </c>
      <c r="AH974" s="1044" t="e">
        <f t="shared" si="385"/>
        <v>#DIV/0!</v>
      </c>
      <c r="AI974" s="1044" t="e">
        <f t="shared" si="385"/>
        <v>#DIV/0!</v>
      </c>
      <c r="AJ974" s="1044" t="e">
        <f t="shared" si="385"/>
        <v>#DIV/0!</v>
      </c>
      <c r="AK974" s="1044" t="e">
        <f t="shared" si="385"/>
        <v>#DIV/0!</v>
      </c>
      <c r="AL974" s="1044" t="e">
        <f t="shared" si="385"/>
        <v>#DIV/0!</v>
      </c>
      <c r="AM974" s="1044" t="e">
        <f t="shared" si="385"/>
        <v>#DIV/0!</v>
      </c>
      <c r="AN974" s="1044" t="e">
        <f t="shared" si="385"/>
        <v>#DIV/0!</v>
      </c>
      <c r="AO974" s="1044" t="e">
        <f t="shared" si="385"/>
        <v>#DIV/0!</v>
      </c>
      <c r="AP974" s="1044" t="e">
        <f t="shared" si="385"/>
        <v>#DIV/0!</v>
      </c>
      <c r="AQ974" s="1044" t="e">
        <f t="shared" si="385"/>
        <v>#DIV/0!</v>
      </c>
      <c r="AR974" s="1044" t="e">
        <f t="shared" si="385"/>
        <v>#DIV/0!</v>
      </c>
      <c r="AS974" s="1044" t="e">
        <f t="shared" ref="AS974:AY974" si="386">IF(AS174="",0,IF(OR(1=RANK(AS574,AS$412:AS$790,0),(2=RANK(AS574,AS$412:AS$790,0))),AS574,AS174))</f>
        <v>#DIV/0!</v>
      </c>
      <c r="AT974" s="1044" t="e">
        <f t="shared" si="386"/>
        <v>#DIV/0!</v>
      </c>
      <c r="AU974" s="1044">
        <f t="shared" si="386"/>
        <v>0</v>
      </c>
      <c r="AV974" s="1044" t="e">
        <f t="shared" si="386"/>
        <v>#DIV/0!</v>
      </c>
      <c r="AW974" s="1044" t="e">
        <f t="shared" si="386"/>
        <v>#DIV/0!</v>
      </c>
      <c r="AX974" s="1044" t="e">
        <f t="shared" si="386"/>
        <v>#DIV/0!</v>
      </c>
      <c r="AY974" s="1044" t="e">
        <f t="shared" si="386"/>
        <v>#DIV/0!</v>
      </c>
      <c r="AZ974" s="1061" t="s">
        <v>21</v>
      </c>
      <c r="BC974" s="29"/>
      <c r="BD974" s="29"/>
      <c r="BE974" s="13"/>
      <c r="BL974" s="368"/>
    </row>
    <row r="975" spans="1:64" ht="12" customHeight="1" x14ac:dyDescent="0.2">
      <c r="A975" s="132">
        <f>acute_overview_children!A175</f>
        <v>3</v>
      </c>
      <c r="B975" s="3">
        <f t="shared" si="315"/>
        <v>254000</v>
      </c>
      <c r="C975" s="3" t="str">
        <f t="shared" si="316"/>
        <v>Watercress</v>
      </c>
      <c r="D975" s="1042"/>
      <c r="E975" s="1027"/>
      <c r="F975" s="87"/>
      <c r="G975" s="87"/>
      <c r="H975" s="1027"/>
      <c r="I975" s="1030"/>
      <c r="J975" s="1043" t="e">
        <f t="shared" ref="J975:AR975" si="387">IF(J175="",0,IF(OR(1=RANK(J575,J$412:J$790,0),(2=RANK(J575,J$412:J$790,0))),J575,J175))</f>
        <v>#DIV/0!</v>
      </c>
      <c r="K975" s="1044" t="e">
        <f t="shared" si="387"/>
        <v>#DIV/0!</v>
      </c>
      <c r="L975" s="1044" t="e">
        <f t="shared" si="387"/>
        <v>#DIV/0!</v>
      </c>
      <c r="M975" s="1044" t="e">
        <f t="shared" si="387"/>
        <v>#DIV/0!</v>
      </c>
      <c r="N975" s="1044" t="e">
        <f t="shared" si="387"/>
        <v>#DIV/0!</v>
      </c>
      <c r="O975" s="1044" t="e">
        <f t="shared" si="387"/>
        <v>#DIV/0!</v>
      </c>
      <c r="P975" s="1044" t="e">
        <f t="shared" si="387"/>
        <v>#DIV/0!</v>
      </c>
      <c r="Q975" s="1044" t="e">
        <f t="shared" si="387"/>
        <v>#DIV/0!</v>
      </c>
      <c r="R975" s="1044" t="e">
        <f t="shared" si="387"/>
        <v>#DIV/0!</v>
      </c>
      <c r="S975" s="1044" t="e">
        <f t="shared" si="387"/>
        <v>#DIV/0!</v>
      </c>
      <c r="T975" s="1044" t="e">
        <f t="shared" si="387"/>
        <v>#DIV/0!</v>
      </c>
      <c r="U975" s="1044" t="e">
        <f t="shared" si="387"/>
        <v>#DIV/0!</v>
      </c>
      <c r="V975" s="1044" t="e">
        <f t="shared" si="387"/>
        <v>#DIV/0!</v>
      </c>
      <c r="W975" s="1044" t="e">
        <f t="shared" si="387"/>
        <v>#DIV/0!</v>
      </c>
      <c r="X975" s="1044" t="e">
        <f t="shared" si="387"/>
        <v>#DIV/0!</v>
      </c>
      <c r="Y975" s="1044" t="e">
        <f t="shared" si="387"/>
        <v>#DIV/0!</v>
      </c>
      <c r="Z975" s="1044" t="e">
        <f t="shared" si="387"/>
        <v>#DIV/0!</v>
      </c>
      <c r="AA975" s="1044" t="e">
        <f t="shared" si="387"/>
        <v>#DIV/0!</v>
      </c>
      <c r="AB975" s="1044" t="e">
        <f t="shared" si="387"/>
        <v>#DIV/0!</v>
      </c>
      <c r="AC975" s="1044" t="e">
        <f t="shared" si="387"/>
        <v>#DIV/0!</v>
      </c>
      <c r="AD975" s="1044" t="e">
        <f t="shared" si="387"/>
        <v>#DIV/0!</v>
      </c>
      <c r="AE975" s="1044" t="e">
        <f t="shared" si="387"/>
        <v>#DIV/0!</v>
      </c>
      <c r="AF975" s="1044" t="e">
        <f t="shared" si="387"/>
        <v>#DIV/0!</v>
      </c>
      <c r="AG975" s="1044" t="e">
        <f t="shared" si="387"/>
        <v>#DIV/0!</v>
      </c>
      <c r="AH975" s="1044" t="e">
        <f t="shared" si="387"/>
        <v>#DIV/0!</v>
      </c>
      <c r="AI975" s="1044" t="e">
        <f t="shared" si="387"/>
        <v>#DIV/0!</v>
      </c>
      <c r="AJ975" s="1044" t="e">
        <f t="shared" si="387"/>
        <v>#DIV/0!</v>
      </c>
      <c r="AK975" s="1044" t="e">
        <f t="shared" si="387"/>
        <v>#DIV/0!</v>
      </c>
      <c r="AL975" s="1044" t="e">
        <f t="shared" si="387"/>
        <v>#DIV/0!</v>
      </c>
      <c r="AM975" s="1044" t="e">
        <f t="shared" si="387"/>
        <v>#DIV/0!</v>
      </c>
      <c r="AN975" s="1044" t="e">
        <f t="shared" si="387"/>
        <v>#DIV/0!</v>
      </c>
      <c r="AO975" s="1044" t="e">
        <f t="shared" si="387"/>
        <v>#DIV/0!</v>
      </c>
      <c r="AP975" s="1044" t="e">
        <f t="shared" si="387"/>
        <v>#DIV/0!</v>
      </c>
      <c r="AQ975" s="1044" t="e">
        <f t="shared" si="387"/>
        <v>#DIV/0!</v>
      </c>
      <c r="AR975" s="1044" t="e">
        <f t="shared" si="387"/>
        <v>#DIV/0!</v>
      </c>
      <c r="AS975" s="1044" t="e">
        <f t="shared" ref="AS975:AY975" si="388">IF(AS175="",0,IF(OR(1=RANK(AS575,AS$412:AS$790,0),(2=RANK(AS575,AS$412:AS$790,0))),AS575,AS175))</f>
        <v>#DIV/0!</v>
      </c>
      <c r="AT975" s="1044" t="e">
        <f t="shared" si="388"/>
        <v>#DIV/0!</v>
      </c>
      <c r="AU975" s="1044">
        <f t="shared" si="388"/>
        <v>0</v>
      </c>
      <c r="AV975" s="1044" t="e">
        <f t="shared" si="388"/>
        <v>#DIV/0!</v>
      </c>
      <c r="AW975" s="1044" t="e">
        <f t="shared" si="388"/>
        <v>#DIV/0!</v>
      </c>
      <c r="AX975" s="1044" t="e">
        <f t="shared" si="388"/>
        <v>#DIV/0!</v>
      </c>
      <c r="AY975" s="1044" t="e">
        <f t="shared" si="388"/>
        <v>#DIV/0!</v>
      </c>
      <c r="AZ975" s="1061" t="s">
        <v>21</v>
      </c>
      <c r="BC975" s="29"/>
      <c r="BD975" s="29"/>
      <c r="BE975" s="13"/>
      <c r="BL975" s="368"/>
    </row>
    <row r="976" spans="1:64" ht="12" customHeight="1" x14ac:dyDescent="0.2">
      <c r="A976" s="132">
        <f>acute_overview_children!A176</f>
        <v>3</v>
      </c>
      <c r="B976" s="3">
        <f t="shared" si="315"/>
        <v>255000</v>
      </c>
      <c r="C976" s="3" t="str">
        <f t="shared" si="316"/>
        <v>Witloofs/Belgian endives</v>
      </c>
      <c r="D976" s="1042"/>
      <c r="E976" s="1027"/>
      <c r="F976" s="87"/>
      <c r="G976" s="87"/>
      <c r="H976" s="1027"/>
      <c r="I976" s="1030"/>
      <c r="J976" s="1043" t="e">
        <f t="shared" ref="J976:AR976" si="389">IF(J176="",0,IF(OR(1=RANK(J576,J$412:J$790,0),(2=RANK(J576,J$412:J$790,0))),J576,J176))</f>
        <v>#DIV/0!</v>
      </c>
      <c r="K976" s="1044" t="e">
        <f t="shared" si="389"/>
        <v>#DIV/0!</v>
      </c>
      <c r="L976" s="1044" t="e">
        <f t="shared" si="389"/>
        <v>#DIV/0!</v>
      </c>
      <c r="M976" s="1044" t="e">
        <f t="shared" si="389"/>
        <v>#DIV/0!</v>
      </c>
      <c r="N976" s="1044" t="e">
        <f t="shared" si="389"/>
        <v>#DIV/0!</v>
      </c>
      <c r="O976" s="1044" t="e">
        <f t="shared" si="389"/>
        <v>#DIV/0!</v>
      </c>
      <c r="P976" s="1044" t="e">
        <f t="shared" si="389"/>
        <v>#DIV/0!</v>
      </c>
      <c r="Q976" s="1044" t="e">
        <f t="shared" si="389"/>
        <v>#DIV/0!</v>
      </c>
      <c r="R976" s="1044" t="e">
        <f t="shared" si="389"/>
        <v>#DIV/0!</v>
      </c>
      <c r="S976" s="1044" t="e">
        <f t="shared" si="389"/>
        <v>#DIV/0!</v>
      </c>
      <c r="T976" s="1044" t="e">
        <f t="shared" si="389"/>
        <v>#DIV/0!</v>
      </c>
      <c r="U976" s="1044" t="e">
        <f t="shared" si="389"/>
        <v>#DIV/0!</v>
      </c>
      <c r="V976" s="1044" t="e">
        <f t="shared" si="389"/>
        <v>#DIV/0!</v>
      </c>
      <c r="W976" s="1044" t="e">
        <f t="shared" si="389"/>
        <v>#DIV/0!</v>
      </c>
      <c r="X976" s="1044" t="e">
        <f t="shared" si="389"/>
        <v>#DIV/0!</v>
      </c>
      <c r="Y976" s="1044" t="e">
        <f t="shared" si="389"/>
        <v>#DIV/0!</v>
      </c>
      <c r="Z976" s="1044" t="e">
        <f t="shared" si="389"/>
        <v>#DIV/0!</v>
      </c>
      <c r="AA976" s="1044" t="e">
        <f t="shared" si="389"/>
        <v>#DIV/0!</v>
      </c>
      <c r="AB976" s="1044" t="e">
        <f t="shared" si="389"/>
        <v>#DIV/0!</v>
      </c>
      <c r="AC976" s="1044" t="e">
        <f t="shared" si="389"/>
        <v>#DIV/0!</v>
      </c>
      <c r="AD976" s="1044" t="e">
        <f t="shared" si="389"/>
        <v>#DIV/0!</v>
      </c>
      <c r="AE976" s="1044" t="e">
        <f t="shared" si="389"/>
        <v>#DIV/0!</v>
      </c>
      <c r="AF976" s="1044" t="e">
        <f t="shared" si="389"/>
        <v>#DIV/0!</v>
      </c>
      <c r="AG976" s="1044" t="e">
        <f t="shared" si="389"/>
        <v>#DIV/0!</v>
      </c>
      <c r="AH976" s="1044" t="e">
        <f t="shared" si="389"/>
        <v>#DIV/0!</v>
      </c>
      <c r="AI976" s="1044" t="e">
        <f t="shared" si="389"/>
        <v>#DIV/0!</v>
      </c>
      <c r="AJ976" s="1044" t="e">
        <f t="shared" si="389"/>
        <v>#DIV/0!</v>
      </c>
      <c r="AK976" s="1044" t="e">
        <f t="shared" si="389"/>
        <v>#DIV/0!</v>
      </c>
      <c r="AL976" s="1044" t="e">
        <f t="shared" si="389"/>
        <v>#DIV/0!</v>
      </c>
      <c r="AM976" s="1044" t="e">
        <f t="shared" si="389"/>
        <v>#DIV/0!</v>
      </c>
      <c r="AN976" s="1044" t="e">
        <f t="shared" si="389"/>
        <v>#DIV/0!</v>
      </c>
      <c r="AO976" s="1044" t="e">
        <f t="shared" si="389"/>
        <v>#DIV/0!</v>
      </c>
      <c r="AP976" s="1044" t="e">
        <f t="shared" si="389"/>
        <v>#DIV/0!</v>
      </c>
      <c r="AQ976" s="1044" t="e">
        <f t="shared" si="389"/>
        <v>#DIV/0!</v>
      </c>
      <c r="AR976" s="1044" t="e">
        <f t="shared" si="389"/>
        <v>#DIV/0!</v>
      </c>
      <c r="AS976" s="1044" t="e">
        <f t="shared" ref="AS976:AY976" si="390">IF(AS176="",0,IF(OR(1=RANK(AS576,AS$412:AS$790,0),(2=RANK(AS576,AS$412:AS$790,0))),AS576,AS176))</f>
        <v>#DIV/0!</v>
      </c>
      <c r="AT976" s="1044" t="e">
        <f t="shared" si="390"/>
        <v>#DIV/0!</v>
      </c>
      <c r="AU976" s="1044">
        <f t="shared" si="390"/>
        <v>0</v>
      </c>
      <c r="AV976" s="1044" t="e">
        <f t="shared" si="390"/>
        <v>#DIV/0!</v>
      </c>
      <c r="AW976" s="1044" t="e">
        <f t="shared" si="390"/>
        <v>#DIV/0!</v>
      </c>
      <c r="AX976" s="1044" t="e">
        <f t="shared" si="390"/>
        <v>#DIV/0!</v>
      </c>
      <c r="AY976" s="1044" t="e">
        <f t="shared" si="390"/>
        <v>#DIV/0!</v>
      </c>
      <c r="AZ976" s="1061" t="s">
        <v>21</v>
      </c>
      <c r="BC976" s="29"/>
      <c r="BD976" s="29"/>
      <c r="BE976" s="13"/>
      <c r="BL976" s="368"/>
    </row>
    <row r="977" spans="1:64" ht="12" customHeight="1" x14ac:dyDescent="0.2">
      <c r="A977" s="132">
        <f>acute_overview_children!A177</f>
        <v>3</v>
      </c>
      <c r="B977" s="3">
        <f t="shared" si="315"/>
        <v>256000</v>
      </c>
      <c r="C977" s="3" t="str">
        <f t="shared" si="316"/>
        <v>Herbs and edible flowers</v>
      </c>
      <c r="D977" s="1042"/>
      <c r="E977" s="1027"/>
      <c r="F977" s="87"/>
      <c r="G977" s="87"/>
      <c r="H977" s="1027"/>
      <c r="I977" s="1030"/>
      <c r="J977" s="1043" t="e">
        <f t="shared" ref="J977:AR977" si="391">IF(J177="",0,IF(OR(1=RANK(J577,J$412:J$790,0),(2=RANK(J577,J$412:J$790,0))),J577,J177))</f>
        <v>#DIV/0!</v>
      </c>
      <c r="K977" s="1044" t="e">
        <f t="shared" si="391"/>
        <v>#DIV/0!</v>
      </c>
      <c r="L977" s="1044" t="e">
        <f t="shared" si="391"/>
        <v>#DIV/0!</v>
      </c>
      <c r="M977" s="1044" t="e">
        <f t="shared" si="391"/>
        <v>#DIV/0!</v>
      </c>
      <c r="N977" s="1044" t="e">
        <f t="shared" si="391"/>
        <v>#DIV/0!</v>
      </c>
      <c r="O977" s="1044" t="e">
        <f t="shared" si="391"/>
        <v>#DIV/0!</v>
      </c>
      <c r="P977" s="1044" t="e">
        <f t="shared" si="391"/>
        <v>#DIV/0!</v>
      </c>
      <c r="Q977" s="1044" t="e">
        <f t="shared" si="391"/>
        <v>#DIV/0!</v>
      </c>
      <c r="R977" s="1044" t="e">
        <f t="shared" si="391"/>
        <v>#DIV/0!</v>
      </c>
      <c r="S977" s="1044" t="e">
        <f t="shared" si="391"/>
        <v>#DIV/0!</v>
      </c>
      <c r="T977" s="1044" t="e">
        <f t="shared" si="391"/>
        <v>#DIV/0!</v>
      </c>
      <c r="U977" s="1044" t="e">
        <f t="shared" si="391"/>
        <v>#DIV/0!</v>
      </c>
      <c r="V977" s="1044" t="e">
        <f t="shared" si="391"/>
        <v>#DIV/0!</v>
      </c>
      <c r="W977" s="1044" t="e">
        <f t="shared" si="391"/>
        <v>#DIV/0!</v>
      </c>
      <c r="X977" s="1044" t="e">
        <f t="shared" si="391"/>
        <v>#DIV/0!</v>
      </c>
      <c r="Y977" s="1044" t="e">
        <f t="shared" si="391"/>
        <v>#DIV/0!</v>
      </c>
      <c r="Z977" s="1044" t="e">
        <f t="shared" si="391"/>
        <v>#DIV/0!</v>
      </c>
      <c r="AA977" s="1044" t="e">
        <f t="shared" si="391"/>
        <v>#DIV/0!</v>
      </c>
      <c r="AB977" s="1044" t="e">
        <f t="shared" si="391"/>
        <v>#DIV/0!</v>
      </c>
      <c r="AC977" s="1044" t="e">
        <f t="shared" si="391"/>
        <v>#DIV/0!</v>
      </c>
      <c r="AD977" s="1044" t="e">
        <f t="shared" si="391"/>
        <v>#DIV/0!</v>
      </c>
      <c r="AE977" s="1044" t="e">
        <f t="shared" si="391"/>
        <v>#DIV/0!</v>
      </c>
      <c r="AF977" s="1044" t="e">
        <f t="shared" si="391"/>
        <v>#DIV/0!</v>
      </c>
      <c r="AG977" s="1044" t="e">
        <f t="shared" si="391"/>
        <v>#DIV/0!</v>
      </c>
      <c r="AH977" s="1044" t="e">
        <f t="shared" si="391"/>
        <v>#DIV/0!</v>
      </c>
      <c r="AI977" s="1044" t="e">
        <f t="shared" si="391"/>
        <v>#DIV/0!</v>
      </c>
      <c r="AJ977" s="1044" t="e">
        <f t="shared" si="391"/>
        <v>#DIV/0!</v>
      </c>
      <c r="AK977" s="1044" t="e">
        <f t="shared" si="391"/>
        <v>#DIV/0!</v>
      </c>
      <c r="AL977" s="1044" t="e">
        <f t="shared" si="391"/>
        <v>#DIV/0!</v>
      </c>
      <c r="AM977" s="1044" t="e">
        <f t="shared" si="391"/>
        <v>#DIV/0!</v>
      </c>
      <c r="AN977" s="1044" t="e">
        <f t="shared" si="391"/>
        <v>#DIV/0!</v>
      </c>
      <c r="AO977" s="1044" t="e">
        <f t="shared" si="391"/>
        <v>#DIV/0!</v>
      </c>
      <c r="AP977" s="1044" t="e">
        <f t="shared" si="391"/>
        <v>#DIV/0!</v>
      </c>
      <c r="AQ977" s="1044" t="e">
        <f t="shared" si="391"/>
        <v>#DIV/0!</v>
      </c>
      <c r="AR977" s="1044" t="e">
        <f t="shared" si="391"/>
        <v>#DIV/0!</v>
      </c>
      <c r="AS977" s="1044" t="e">
        <f t="shared" ref="AS977:AY977" si="392">IF(AS177="",0,IF(OR(1=RANK(AS577,AS$412:AS$790,0),(2=RANK(AS577,AS$412:AS$790,0))),AS577,AS177))</f>
        <v>#DIV/0!</v>
      </c>
      <c r="AT977" s="1044" t="e">
        <f t="shared" si="392"/>
        <v>#DIV/0!</v>
      </c>
      <c r="AU977" s="1044">
        <f t="shared" si="392"/>
        <v>0</v>
      </c>
      <c r="AV977" s="1044" t="e">
        <f t="shared" si="392"/>
        <v>#DIV/0!</v>
      </c>
      <c r="AW977" s="1044" t="e">
        <f t="shared" si="392"/>
        <v>#DIV/0!</v>
      </c>
      <c r="AX977" s="1044" t="e">
        <f t="shared" si="392"/>
        <v>#DIV/0!</v>
      </c>
      <c r="AY977" s="1044" t="e">
        <f t="shared" si="392"/>
        <v>#DIV/0!</v>
      </c>
      <c r="AZ977" s="1061" t="s">
        <v>21</v>
      </c>
      <c r="BC977" s="29"/>
      <c r="BD977" s="29"/>
      <c r="BE977" s="13"/>
      <c r="BL977" s="368"/>
    </row>
    <row r="978" spans="1:64" ht="12" customHeight="1" x14ac:dyDescent="0.2">
      <c r="A978" s="39">
        <f>acute_overview_children!A178</f>
        <v>4</v>
      </c>
      <c r="B978" s="23">
        <f t="shared" si="315"/>
        <v>256010</v>
      </c>
      <c r="C978" s="23" t="str">
        <f t="shared" si="316"/>
        <v>Chervil</v>
      </c>
      <c r="D978" s="135"/>
      <c r="E978" s="1027"/>
      <c r="F978" s="87"/>
      <c r="G978" s="87"/>
      <c r="H978" s="1027"/>
      <c r="I978" s="1030"/>
      <c r="J978" s="1039" t="e">
        <f t="shared" ref="J978:AR978" si="393">IF(J178="",0,IF(OR(1=RANK(J578,J$412:J$790,0),(2=RANK(J578,J$412:J$790,0))),J578,J178))</f>
        <v>#DIV/0!</v>
      </c>
      <c r="K978" s="1040" t="e">
        <f t="shared" si="393"/>
        <v>#DIV/0!</v>
      </c>
      <c r="L978" s="1040" t="e">
        <f t="shared" si="393"/>
        <v>#DIV/0!</v>
      </c>
      <c r="M978" s="1040" t="e">
        <f t="shared" si="393"/>
        <v>#DIV/0!</v>
      </c>
      <c r="N978" s="1040" t="e">
        <f t="shared" si="393"/>
        <v>#DIV/0!</v>
      </c>
      <c r="O978" s="1040" t="e">
        <f t="shared" si="393"/>
        <v>#DIV/0!</v>
      </c>
      <c r="P978" s="1040" t="e">
        <f t="shared" si="393"/>
        <v>#DIV/0!</v>
      </c>
      <c r="Q978" s="1040" t="e">
        <f t="shared" si="393"/>
        <v>#DIV/0!</v>
      </c>
      <c r="R978" s="1040" t="e">
        <f t="shared" si="393"/>
        <v>#DIV/0!</v>
      </c>
      <c r="S978" s="1040" t="e">
        <f t="shared" si="393"/>
        <v>#DIV/0!</v>
      </c>
      <c r="T978" s="1040" t="e">
        <f t="shared" si="393"/>
        <v>#DIV/0!</v>
      </c>
      <c r="U978" s="1040" t="e">
        <f t="shared" si="393"/>
        <v>#DIV/0!</v>
      </c>
      <c r="V978" s="1040" t="e">
        <f t="shared" si="393"/>
        <v>#DIV/0!</v>
      </c>
      <c r="W978" s="1040" t="e">
        <f t="shared" si="393"/>
        <v>#DIV/0!</v>
      </c>
      <c r="X978" s="1040" t="e">
        <f t="shared" si="393"/>
        <v>#DIV/0!</v>
      </c>
      <c r="Y978" s="1040" t="e">
        <f t="shared" si="393"/>
        <v>#DIV/0!</v>
      </c>
      <c r="Z978" s="1040" t="e">
        <f t="shared" si="393"/>
        <v>#DIV/0!</v>
      </c>
      <c r="AA978" s="1040" t="e">
        <f t="shared" si="393"/>
        <v>#DIV/0!</v>
      </c>
      <c r="AB978" s="1040" t="e">
        <f t="shared" si="393"/>
        <v>#DIV/0!</v>
      </c>
      <c r="AC978" s="1040" t="e">
        <f t="shared" si="393"/>
        <v>#DIV/0!</v>
      </c>
      <c r="AD978" s="1040" t="e">
        <f t="shared" si="393"/>
        <v>#DIV/0!</v>
      </c>
      <c r="AE978" s="1040" t="e">
        <f t="shared" si="393"/>
        <v>#DIV/0!</v>
      </c>
      <c r="AF978" s="1040" t="e">
        <f t="shared" si="393"/>
        <v>#DIV/0!</v>
      </c>
      <c r="AG978" s="1040" t="e">
        <f t="shared" si="393"/>
        <v>#DIV/0!</v>
      </c>
      <c r="AH978" s="1040" t="e">
        <f t="shared" si="393"/>
        <v>#DIV/0!</v>
      </c>
      <c r="AI978" s="1040" t="e">
        <f t="shared" si="393"/>
        <v>#DIV/0!</v>
      </c>
      <c r="AJ978" s="1040" t="e">
        <f t="shared" si="393"/>
        <v>#DIV/0!</v>
      </c>
      <c r="AK978" s="1040" t="e">
        <f t="shared" si="393"/>
        <v>#DIV/0!</v>
      </c>
      <c r="AL978" s="1040" t="e">
        <f t="shared" si="393"/>
        <v>#DIV/0!</v>
      </c>
      <c r="AM978" s="1040" t="e">
        <f t="shared" si="393"/>
        <v>#DIV/0!</v>
      </c>
      <c r="AN978" s="1040" t="e">
        <f t="shared" si="393"/>
        <v>#DIV/0!</v>
      </c>
      <c r="AO978" s="1040" t="e">
        <f t="shared" si="393"/>
        <v>#DIV/0!</v>
      </c>
      <c r="AP978" s="1040" t="e">
        <f t="shared" si="393"/>
        <v>#DIV/0!</v>
      </c>
      <c r="AQ978" s="1040" t="e">
        <f t="shared" si="393"/>
        <v>#DIV/0!</v>
      </c>
      <c r="AR978" s="1040" t="e">
        <f t="shared" si="393"/>
        <v>#DIV/0!</v>
      </c>
      <c r="AS978" s="1040" t="e">
        <f t="shared" ref="AS978:AY978" si="394">IF(AS178="",0,IF(OR(1=RANK(AS578,AS$412:AS$790,0),(2=RANK(AS578,AS$412:AS$790,0))),AS578,AS178))</f>
        <v>#DIV/0!</v>
      </c>
      <c r="AT978" s="1040" t="e">
        <f t="shared" si="394"/>
        <v>#DIV/0!</v>
      </c>
      <c r="AU978" s="1040">
        <f t="shared" si="394"/>
        <v>0</v>
      </c>
      <c r="AV978" s="1040" t="e">
        <f t="shared" si="394"/>
        <v>#DIV/0!</v>
      </c>
      <c r="AW978" s="1040" t="e">
        <f t="shared" si="394"/>
        <v>#DIV/0!</v>
      </c>
      <c r="AX978" s="1040" t="e">
        <f t="shared" si="394"/>
        <v>#DIV/0!</v>
      </c>
      <c r="AY978" s="1040" t="e">
        <f t="shared" si="394"/>
        <v>#DIV/0!</v>
      </c>
      <c r="AZ978" s="1061" t="s">
        <v>21</v>
      </c>
      <c r="BC978" s="29"/>
      <c r="BD978" s="29"/>
      <c r="BE978" s="13"/>
      <c r="BL978" s="368"/>
    </row>
    <row r="979" spans="1:64" ht="12" customHeight="1" x14ac:dyDescent="0.2">
      <c r="A979" s="39">
        <f>acute_overview_children!A179</f>
        <v>4</v>
      </c>
      <c r="B979" s="23">
        <f t="shared" si="315"/>
        <v>256020</v>
      </c>
      <c r="C979" s="23" t="str">
        <f t="shared" si="316"/>
        <v>Chives</v>
      </c>
      <c r="D979" s="135"/>
      <c r="E979" s="1027"/>
      <c r="F979" s="87"/>
      <c r="G979" s="87"/>
      <c r="H979" s="1027"/>
      <c r="I979" s="1030"/>
      <c r="J979" s="1039" t="e">
        <f t="shared" ref="J979:AR979" si="395">IF(J179="",0,IF(OR(1=RANK(J579,J$412:J$790,0),(2=RANK(J579,J$412:J$790,0))),J579,J179))</f>
        <v>#DIV/0!</v>
      </c>
      <c r="K979" s="1040" t="e">
        <f t="shared" si="395"/>
        <v>#DIV/0!</v>
      </c>
      <c r="L979" s="1040" t="e">
        <f t="shared" si="395"/>
        <v>#DIV/0!</v>
      </c>
      <c r="M979" s="1040" t="e">
        <f t="shared" si="395"/>
        <v>#DIV/0!</v>
      </c>
      <c r="N979" s="1040" t="e">
        <f t="shared" si="395"/>
        <v>#DIV/0!</v>
      </c>
      <c r="O979" s="1040" t="e">
        <f t="shared" si="395"/>
        <v>#DIV/0!</v>
      </c>
      <c r="P979" s="1040" t="e">
        <f t="shared" si="395"/>
        <v>#DIV/0!</v>
      </c>
      <c r="Q979" s="1040" t="e">
        <f t="shared" si="395"/>
        <v>#DIV/0!</v>
      </c>
      <c r="R979" s="1040" t="e">
        <f t="shared" si="395"/>
        <v>#DIV/0!</v>
      </c>
      <c r="S979" s="1040" t="e">
        <f t="shared" si="395"/>
        <v>#DIV/0!</v>
      </c>
      <c r="T979" s="1040" t="e">
        <f t="shared" si="395"/>
        <v>#DIV/0!</v>
      </c>
      <c r="U979" s="1040" t="e">
        <f t="shared" si="395"/>
        <v>#DIV/0!</v>
      </c>
      <c r="V979" s="1040" t="e">
        <f t="shared" si="395"/>
        <v>#DIV/0!</v>
      </c>
      <c r="W979" s="1040" t="e">
        <f t="shared" si="395"/>
        <v>#DIV/0!</v>
      </c>
      <c r="X979" s="1040" t="e">
        <f t="shared" si="395"/>
        <v>#DIV/0!</v>
      </c>
      <c r="Y979" s="1040" t="e">
        <f t="shared" si="395"/>
        <v>#DIV/0!</v>
      </c>
      <c r="Z979" s="1040" t="e">
        <f t="shared" si="395"/>
        <v>#DIV/0!</v>
      </c>
      <c r="AA979" s="1040" t="e">
        <f t="shared" si="395"/>
        <v>#DIV/0!</v>
      </c>
      <c r="AB979" s="1040" t="e">
        <f t="shared" si="395"/>
        <v>#DIV/0!</v>
      </c>
      <c r="AC979" s="1040" t="e">
        <f t="shared" si="395"/>
        <v>#DIV/0!</v>
      </c>
      <c r="AD979" s="1040" t="e">
        <f t="shared" si="395"/>
        <v>#DIV/0!</v>
      </c>
      <c r="AE979" s="1040" t="e">
        <f t="shared" si="395"/>
        <v>#DIV/0!</v>
      </c>
      <c r="AF979" s="1040" t="e">
        <f t="shared" si="395"/>
        <v>#DIV/0!</v>
      </c>
      <c r="AG979" s="1040" t="e">
        <f t="shared" si="395"/>
        <v>#DIV/0!</v>
      </c>
      <c r="AH979" s="1040" t="e">
        <f t="shared" si="395"/>
        <v>#DIV/0!</v>
      </c>
      <c r="AI979" s="1040" t="e">
        <f t="shared" si="395"/>
        <v>#DIV/0!</v>
      </c>
      <c r="AJ979" s="1040" t="e">
        <f t="shared" si="395"/>
        <v>#DIV/0!</v>
      </c>
      <c r="AK979" s="1040" t="e">
        <f t="shared" si="395"/>
        <v>#DIV/0!</v>
      </c>
      <c r="AL979" s="1040" t="e">
        <f t="shared" si="395"/>
        <v>#DIV/0!</v>
      </c>
      <c r="AM979" s="1040" t="e">
        <f t="shared" si="395"/>
        <v>#DIV/0!</v>
      </c>
      <c r="AN979" s="1040" t="e">
        <f t="shared" si="395"/>
        <v>#DIV/0!</v>
      </c>
      <c r="AO979" s="1040" t="e">
        <f t="shared" si="395"/>
        <v>#DIV/0!</v>
      </c>
      <c r="AP979" s="1040" t="e">
        <f t="shared" si="395"/>
        <v>#DIV/0!</v>
      </c>
      <c r="AQ979" s="1040" t="e">
        <f t="shared" si="395"/>
        <v>#DIV/0!</v>
      </c>
      <c r="AR979" s="1040" t="e">
        <f t="shared" si="395"/>
        <v>#DIV/0!</v>
      </c>
      <c r="AS979" s="1040" t="e">
        <f t="shared" ref="AS979:AY979" si="396">IF(AS179="",0,IF(OR(1=RANK(AS579,AS$412:AS$790,0),(2=RANK(AS579,AS$412:AS$790,0))),AS579,AS179))</f>
        <v>#DIV/0!</v>
      </c>
      <c r="AT979" s="1040" t="e">
        <f t="shared" si="396"/>
        <v>#DIV/0!</v>
      </c>
      <c r="AU979" s="1040">
        <f t="shared" si="396"/>
        <v>0</v>
      </c>
      <c r="AV979" s="1040" t="e">
        <f t="shared" si="396"/>
        <v>#DIV/0!</v>
      </c>
      <c r="AW979" s="1040" t="e">
        <f t="shared" si="396"/>
        <v>#DIV/0!</v>
      </c>
      <c r="AX979" s="1040" t="e">
        <f t="shared" si="396"/>
        <v>#DIV/0!</v>
      </c>
      <c r="AY979" s="1040" t="e">
        <f t="shared" si="396"/>
        <v>#DIV/0!</v>
      </c>
      <c r="AZ979" s="1061" t="s">
        <v>21</v>
      </c>
      <c r="BC979" s="29"/>
      <c r="BD979" s="29"/>
      <c r="BE979" s="13"/>
      <c r="BL979" s="368"/>
    </row>
    <row r="980" spans="1:64" ht="12" customHeight="1" x14ac:dyDescent="0.2">
      <c r="A980" s="39">
        <f>acute_overview_children!A180</f>
        <v>4</v>
      </c>
      <c r="B980" s="23">
        <f t="shared" si="315"/>
        <v>256030</v>
      </c>
      <c r="C980" s="23" t="str">
        <f t="shared" si="316"/>
        <v>Celery leaves</v>
      </c>
      <c r="D980" s="135"/>
      <c r="E980" s="1027"/>
      <c r="F980" s="87"/>
      <c r="G980" s="87"/>
      <c r="H980" s="1027"/>
      <c r="I980" s="1030"/>
      <c r="J980" s="1039" t="e">
        <f t="shared" ref="J980:AR980" si="397">IF(J180="",0,IF(OR(1=RANK(J580,J$412:J$790,0),(2=RANK(J580,J$412:J$790,0))),J580,J180))</f>
        <v>#DIV/0!</v>
      </c>
      <c r="K980" s="1040" t="e">
        <f t="shared" si="397"/>
        <v>#DIV/0!</v>
      </c>
      <c r="L980" s="1040" t="e">
        <f t="shared" si="397"/>
        <v>#DIV/0!</v>
      </c>
      <c r="M980" s="1040" t="e">
        <f t="shared" si="397"/>
        <v>#DIV/0!</v>
      </c>
      <c r="N980" s="1040" t="e">
        <f t="shared" si="397"/>
        <v>#DIV/0!</v>
      </c>
      <c r="O980" s="1040" t="e">
        <f t="shared" si="397"/>
        <v>#DIV/0!</v>
      </c>
      <c r="P980" s="1040" t="e">
        <f t="shared" si="397"/>
        <v>#DIV/0!</v>
      </c>
      <c r="Q980" s="1040" t="e">
        <f t="shared" si="397"/>
        <v>#DIV/0!</v>
      </c>
      <c r="R980" s="1040" t="e">
        <f t="shared" si="397"/>
        <v>#DIV/0!</v>
      </c>
      <c r="S980" s="1040" t="e">
        <f t="shared" si="397"/>
        <v>#DIV/0!</v>
      </c>
      <c r="T980" s="1040" t="e">
        <f t="shared" si="397"/>
        <v>#DIV/0!</v>
      </c>
      <c r="U980" s="1040" t="e">
        <f t="shared" si="397"/>
        <v>#DIV/0!</v>
      </c>
      <c r="V980" s="1040" t="e">
        <f t="shared" si="397"/>
        <v>#DIV/0!</v>
      </c>
      <c r="W980" s="1040" t="e">
        <f t="shared" si="397"/>
        <v>#DIV/0!</v>
      </c>
      <c r="X980" s="1040" t="e">
        <f t="shared" si="397"/>
        <v>#DIV/0!</v>
      </c>
      <c r="Y980" s="1040" t="e">
        <f t="shared" si="397"/>
        <v>#DIV/0!</v>
      </c>
      <c r="Z980" s="1040" t="e">
        <f t="shared" si="397"/>
        <v>#DIV/0!</v>
      </c>
      <c r="AA980" s="1040" t="e">
        <f t="shared" si="397"/>
        <v>#DIV/0!</v>
      </c>
      <c r="AB980" s="1040" t="e">
        <f t="shared" si="397"/>
        <v>#DIV/0!</v>
      </c>
      <c r="AC980" s="1040" t="e">
        <f t="shared" si="397"/>
        <v>#DIV/0!</v>
      </c>
      <c r="AD980" s="1040" t="e">
        <f t="shared" si="397"/>
        <v>#DIV/0!</v>
      </c>
      <c r="AE980" s="1040" t="e">
        <f t="shared" si="397"/>
        <v>#DIV/0!</v>
      </c>
      <c r="AF980" s="1040" t="e">
        <f t="shared" si="397"/>
        <v>#DIV/0!</v>
      </c>
      <c r="AG980" s="1040" t="e">
        <f t="shared" si="397"/>
        <v>#DIV/0!</v>
      </c>
      <c r="AH980" s="1040" t="e">
        <f t="shared" si="397"/>
        <v>#DIV/0!</v>
      </c>
      <c r="AI980" s="1040" t="e">
        <f t="shared" si="397"/>
        <v>#DIV/0!</v>
      </c>
      <c r="AJ980" s="1040" t="e">
        <f t="shared" si="397"/>
        <v>#DIV/0!</v>
      </c>
      <c r="AK980" s="1040" t="e">
        <f t="shared" si="397"/>
        <v>#DIV/0!</v>
      </c>
      <c r="AL980" s="1040" t="e">
        <f t="shared" si="397"/>
        <v>#DIV/0!</v>
      </c>
      <c r="AM980" s="1040" t="e">
        <f t="shared" si="397"/>
        <v>#DIV/0!</v>
      </c>
      <c r="AN980" s="1040" t="e">
        <f t="shared" si="397"/>
        <v>#DIV/0!</v>
      </c>
      <c r="AO980" s="1040" t="e">
        <f t="shared" si="397"/>
        <v>#DIV/0!</v>
      </c>
      <c r="AP980" s="1040" t="e">
        <f t="shared" si="397"/>
        <v>#DIV/0!</v>
      </c>
      <c r="AQ980" s="1040" t="e">
        <f t="shared" si="397"/>
        <v>#DIV/0!</v>
      </c>
      <c r="AR980" s="1040" t="e">
        <f t="shared" si="397"/>
        <v>#DIV/0!</v>
      </c>
      <c r="AS980" s="1040" t="e">
        <f t="shared" ref="AS980:AY980" si="398">IF(AS180="",0,IF(OR(1=RANK(AS580,AS$412:AS$790,0),(2=RANK(AS580,AS$412:AS$790,0))),AS580,AS180))</f>
        <v>#DIV/0!</v>
      </c>
      <c r="AT980" s="1040" t="e">
        <f t="shared" si="398"/>
        <v>#DIV/0!</v>
      </c>
      <c r="AU980" s="1040">
        <f t="shared" si="398"/>
        <v>0</v>
      </c>
      <c r="AV980" s="1040" t="e">
        <f t="shared" si="398"/>
        <v>#DIV/0!</v>
      </c>
      <c r="AW980" s="1040" t="e">
        <f t="shared" si="398"/>
        <v>#DIV/0!</v>
      </c>
      <c r="AX980" s="1040" t="e">
        <f t="shared" si="398"/>
        <v>#DIV/0!</v>
      </c>
      <c r="AY980" s="1040" t="e">
        <f t="shared" si="398"/>
        <v>#DIV/0!</v>
      </c>
      <c r="AZ980" s="1061" t="s">
        <v>21</v>
      </c>
      <c r="BC980" s="29"/>
      <c r="BD980" s="29"/>
      <c r="BE980" s="13"/>
      <c r="BL980" s="368"/>
    </row>
    <row r="981" spans="1:64" ht="12" customHeight="1" x14ac:dyDescent="0.2">
      <c r="A981" s="39">
        <f>acute_overview_children!A181</f>
        <v>4</v>
      </c>
      <c r="B981" s="23">
        <f t="shared" si="315"/>
        <v>256040</v>
      </c>
      <c r="C981" s="23" t="str">
        <f t="shared" si="316"/>
        <v>Parsley</v>
      </c>
      <c r="D981" s="135"/>
      <c r="E981" s="1027"/>
      <c r="F981" s="87"/>
      <c r="G981" s="87"/>
      <c r="H981" s="1027"/>
      <c r="I981" s="1030"/>
      <c r="J981" s="1039" t="e">
        <f t="shared" ref="J981:AR981" si="399">IF(J181="",0,IF(OR(1=RANK(J581,J$412:J$790,0),(2=RANK(J581,J$412:J$790,0))),J581,J181))</f>
        <v>#DIV/0!</v>
      </c>
      <c r="K981" s="1040" t="e">
        <f t="shared" si="399"/>
        <v>#DIV/0!</v>
      </c>
      <c r="L981" s="1040" t="e">
        <f t="shared" si="399"/>
        <v>#DIV/0!</v>
      </c>
      <c r="M981" s="1040" t="e">
        <f t="shared" si="399"/>
        <v>#DIV/0!</v>
      </c>
      <c r="N981" s="1040" t="e">
        <f t="shared" si="399"/>
        <v>#DIV/0!</v>
      </c>
      <c r="O981" s="1040" t="e">
        <f t="shared" si="399"/>
        <v>#DIV/0!</v>
      </c>
      <c r="P981" s="1040" t="e">
        <f t="shared" si="399"/>
        <v>#DIV/0!</v>
      </c>
      <c r="Q981" s="1040" t="e">
        <f t="shared" si="399"/>
        <v>#DIV/0!</v>
      </c>
      <c r="R981" s="1040" t="e">
        <f t="shared" si="399"/>
        <v>#DIV/0!</v>
      </c>
      <c r="S981" s="1040" t="e">
        <f t="shared" si="399"/>
        <v>#DIV/0!</v>
      </c>
      <c r="T981" s="1040" t="e">
        <f t="shared" si="399"/>
        <v>#DIV/0!</v>
      </c>
      <c r="U981" s="1040" t="e">
        <f t="shared" si="399"/>
        <v>#DIV/0!</v>
      </c>
      <c r="V981" s="1040" t="e">
        <f t="shared" si="399"/>
        <v>#DIV/0!</v>
      </c>
      <c r="W981" s="1040" t="e">
        <f t="shared" si="399"/>
        <v>#DIV/0!</v>
      </c>
      <c r="X981" s="1040" t="e">
        <f t="shared" si="399"/>
        <v>#DIV/0!</v>
      </c>
      <c r="Y981" s="1040" t="e">
        <f t="shared" si="399"/>
        <v>#DIV/0!</v>
      </c>
      <c r="Z981" s="1040" t="e">
        <f t="shared" si="399"/>
        <v>#DIV/0!</v>
      </c>
      <c r="AA981" s="1040" t="e">
        <f t="shared" si="399"/>
        <v>#DIV/0!</v>
      </c>
      <c r="AB981" s="1040" t="e">
        <f t="shared" si="399"/>
        <v>#DIV/0!</v>
      </c>
      <c r="AC981" s="1040" t="e">
        <f t="shared" si="399"/>
        <v>#DIV/0!</v>
      </c>
      <c r="AD981" s="1040" t="e">
        <f t="shared" si="399"/>
        <v>#DIV/0!</v>
      </c>
      <c r="AE981" s="1040" t="e">
        <f t="shared" si="399"/>
        <v>#DIV/0!</v>
      </c>
      <c r="AF981" s="1040" t="e">
        <f t="shared" si="399"/>
        <v>#DIV/0!</v>
      </c>
      <c r="AG981" s="1040" t="e">
        <f t="shared" si="399"/>
        <v>#DIV/0!</v>
      </c>
      <c r="AH981" s="1040" t="e">
        <f t="shared" si="399"/>
        <v>#DIV/0!</v>
      </c>
      <c r="AI981" s="1040" t="e">
        <f t="shared" si="399"/>
        <v>#DIV/0!</v>
      </c>
      <c r="AJ981" s="1040" t="e">
        <f t="shared" si="399"/>
        <v>#DIV/0!</v>
      </c>
      <c r="AK981" s="1040" t="e">
        <f t="shared" si="399"/>
        <v>#DIV/0!</v>
      </c>
      <c r="AL981" s="1040" t="e">
        <f t="shared" si="399"/>
        <v>#DIV/0!</v>
      </c>
      <c r="AM981" s="1040" t="e">
        <f t="shared" si="399"/>
        <v>#DIV/0!</v>
      </c>
      <c r="AN981" s="1040" t="e">
        <f t="shared" si="399"/>
        <v>#DIV/0!</v>
      </c>
      <c r="AO981" s="1040" t="e">
        <f t="shared" si="399"/>
        <v>#DIV/0!</v>
      </c>
      <c r="AP981" s="1040" t="e">
        <f t="shared" si="399"/>
        <v>#DIV/0!</v>
      </c>
      <c r="AQ981" s="1040" t="e">
        <f t="shared" si="399"/>
        <v>#DIV/0!</v>
      </c>
      <c r="AR981" s="1040" t="e">
        <f t="shared" si="399"/>
        <v>#DIV/0!</v>
      </c>
      <c r="AS981" s="1040" t="e">
        <f t="shared" ref="AS981:AY981" si="400">IF(AS181="",0,IF(OR(1=RANK(AS581,AS$412:AS$790,0),(2=RANK(AS581,AS$412:AS$790,0))),AS581,AS181))</f>
        <v>#DIV/0!</v>
      </c>
      <c r="AT981" s="1040" t="e">
        <f t="shared" si="400"/>
        <v>#DIV/0!</v>
      </c>
      <c r="AU981" s="1040">
        <f t="shared" si="400"/>
        <v>0</v>
      </c>
      <c r="AV981" s="1040" t="e">
        <f t="shared" si="400"/>
        <v>#DIV/0!</v>
      </c>
      <c r="AW981" s="1040" t="e">
        <f t="shared" si="400"/>
        <v>#DIV/0!</v>
      </c>
      <c r="AX981" s="1040" t="e">
        <f t="shared" si="400"/>
        <v>#DIV/0!</v>
      </c>
      <c r="AY981" s="1040" t="e">
        <f t="shared" si="400"/>
        <v>#DIV/0!</v>
      </c>
      <c r="AZ981" s="1061" t="s">
        <v>21</v>
      </c>
      <c r="BC981" s="29"/>
      <c r="BD981" s="29"/>
      <c r="BE981" s="13"/>
      <c r="BL981" s="368"/>
    </row>
    <row r="982" spans="1:64" ht="12" customHeight="1" x14ac:dyDescent="0.2">
      <c r="A982" s="39">
        <f>acute_overview_children!A182</f>
        <v>4</v>
      </c>
      <c r="B982" s="23">
        <f t="shared" si="315"/>
        <v>256050</v>
      </c>
      <c r="C982" s="23" t="str">
        <f t="shared" si="316"/>
        <v>Sage</v>
      </c>
      <c r="D982" s="135"/>
      <c r="E982" s="1027"/>
      <c r="F982" s="87"/>
      <c r="G982" s="87"/>
      <c r="H982" s="1027"/>
      <c r="I982" s="1030"/>
      <c r="J982" s="1039" t="e">
        <f t="shared" ref="J982:AR982" si="401">IF(J182="",0,IF(OR(1=RANK(J582,J$412:J$790,0),(2=RANK(J582,J$412:J$790,0))),J582,J182))</f>
        <v>#DIV/0!</v>
      </c>
      <c r="K982" s="1040" t="e">
        <f t="shared" si="401"/>
        <v>#DIV/0!</v>
      </c>
      <c r="L982" s="1040" t="e">
        <f t="shared" si="401"/>
        <v>#DIV/0!</v>
      </c>
      <c r="M982" s="1040" t="e">
        <f t="shared" si="401"/>
        <v>#DIV/0!</v>
      </c>
      <c r="N982" s="1040" t="e">
        <f t="shared" si="401"/>
        <v>#DIV/0!</v>
      </c>
      <c r="O982" s="1040" t="e">
        <f t="shared" si="401"/>
        <v>#DIV/0!</v>
      </c>
      <c r="P982" s="1040" t="e">
        <f t="shared" si="401"/>
        <v>#DIV/0!</v>
      </c>
      <c r="Q982" s="1040" t="e">
        <f t="shared" si="401"/>
        <v>#DIV/0!</v>
      </c>
      <c r="R982" s="1040" t="e">
        <f t="shared" si="401"/>
        <v>#DIV/0!</v>
      </c>
      <c r="S982" s="1040" t="e">
        <f t="shared" si="401"/>
        <v>#DIV/0!</v>
      </c>
      <c r="T982" s="1040" t="e">
        <f t="shared" si="401"/>
        <v>#DIV/0!</v>
      </c>
      <c r="U982" s="1040" t="e">
        <f t="shared" si="401"/>
        <v>#DIV/0!</v>
      </c>
      <c r="V982" s="1040" t="e">
        <f t="shared" si="401"/>
        <v>#DIV/0!</v>
      </c>
      <c r="W982" s="1040" t="e">
        <f t="shared" si="401"/>
        <v>#DIV/0!</v>
      </c>
      <c r="X982" s="1040" t="e">
        <f t="shared" si="401"/>
        <v>#DIV/0!</v>
      </c>
      <c r="Y982" s="1040" t="e">
        <f t="shared" si="401"/>
        <v>#DIV/0!</v>
      </c>
      <c r="Z982" s="1040" t="e">
        <f t="shared" si="401"/>
        <v>#DIV/0!</v>
      </c>
      <c r="AA982" s="1040" t="e">
        <f t="shared" si="401"/>
        <v>#DIV/0!</v>
      </c>
      <c r="AB982" s="1040" t="e">
        <f t="shared" si="401"/>
        <v>#DIV/0!</v>
      </c>
      <c r="AC982" s="1040" t="e">
        <f t="shared" si="401"/>
        <v>#DIV/0!</v>
      </c>
      <c r="AD982" s="1040" t="e">
        <f t="shared" si="401"/>
        <v>#DIV/0!</v>
      </c>
      <c r="AE982" s="1040" t="e">
        <f t="shared" si="401"/>
        <v>#DIV/0!</v>
      </c>
      <c r="AF982" s="1040" t="e">
        <f t="shared" si="401"/>
        <v>#DIV/0!</v>
      </c>
      <c r="AG982" s="1040" t="e">
        <f t="shared" si="401"/>
        <v>#DIV/0!</v>
      </c>
      <c r="AH982" s="1040" t="e">
        <f t="shared" si="401"/>
        <v>#DIV/0!</v>
      </c>
      <c r="AI982" s="1040" t="e">
        <f t="shared" si="401"/>
        <v>#DIV/0!</v>
      </c>
      <c r="AJ982" s="1040" t="e">
        <f t="shared" si="401"/>
        <v>#DIV/0!</v>
      </c>
      <c r="AK982" s="1040" t="e">
        <f t="shared" si="401"/>
        <v>#DIV/0!</v>
      </c>
      <c r="AL982" s="1040" t="e">
        <f t="shared" si="401"/>
        <v>#DIV/0!</v>
      </c>
      <c r="AM982" s="1040" t="e">
        <f t="shared" si="401"/>
        <v>#DIV/0!</v>
      </c>
      <c r="AN982" s="1040" t="e">
        <f t="shared" si="401"/>
        <v>#DIV/0!</v>
      </c>
      <c r="AO982" s="1040" t="e">
        <f t="shared" si="401"/>
        <v>#DIV/0!</v>
      </c>
      <c r="AP982" s="1040" t="e">
        <f t="shared" si="401"/>
        <v>#DIV/0!</v>
      </c>
      <c r="AQ982" s="1040" t="e">
        <f t="shared" si="401"/>
        <v>#DIV/0!</v>
      </c>
      <c r="AR982" s="1040" t="e">
        <f t="shared" si="401"/>
        <v>#DIV/0!</v>
      </c>
      <c r="AS982" s="1040" t="e">
        <f t="shared" ref="AS982:AY982" si="402">IF(AS182="",0,IF(OR(1=RANK(AS582,AS$412:AS$790,0),(2=RANK(AS582,AS$412:AS$790,0))),AS582,AS182))</f>
        <v>#DIV/0!</v>
      </c>
      <c r="AT982" s="1040" t="e">
        <f t="shared" si="402"/>
        <v>#DIV/0!</v>
      </c>
      <c r="AU982" s="1040">
        <f t="shared" si="402"/>
        <v>0</v>
      </c>
      <c r="AV982" s="1040" t="e">
        <f t="shared" si="402"/>
        <v>#DIV/0!</v>
      </c>
      <c r="AW982" s="1040" t="e">
        <f t="shared" si="402"/>
        <v>#DIV/0!</v>
      </c>
      <c r="AX982" s="1040" t="e">
        <f t="shared" si="402"/>
        <v>#DIV/0!</v>
      </c>
      <c r="AY982" s="1040" t="e">
        <f t="shared" si="402"/>
        <v>#DIV/0!</v>
      </c>
      <c r="AZ982" s="1061" t="s">
        <v>21</v>
      </c>
      <c r="BC982" s="29"/>
      <c r="BD982" s="29"/>
      <c r="BE982" s="13"/>
      <c r="BL982" s="368"/>
    </row>
    <row r="983" spans="1:64" ht="12" customHeight="1" x14ac:dyDescent="0.2">
      <c r="A983" s="39">
        <f>acute_overview_children!A183</f>
        <v>4</v>
      </c>
      <c r="B983" s="23">
        <f t="shared" si="315"/>
        <v>256060</v>
      </c>
      <c r="C983" s="23" t="str">
        <f t="shared" si="316"/>
        <v>Rosemary</v>
      </c>
      <c r="D983" s="135"/>
      <c r="E983" s="1027"/>
      <c r="F983" s="87"/>
      <c r="G983" s="87"/>
      <c r="H983" s="1027"/>
      <c r="I983" s="1030"/>
      <c r="J983" s="1039" t="e">
        <f t="shared" ref="J983:AR983" si="403">IF(J183="",0,IF(OR(1=RANK(J583,J$412:J$790,0),(2=RANK(J583,J$412:J$790,0))),J583,J183))</f>
        <v>#DIV/0!</v>
      </c>
      <c r="K983" s="1040" t="e">
        <f t="shared" si="403"/>
        <v>#DIV/0!</v>
      </c>
      <c r="L983" s="1040" t="e">
        <f t="shared" si="403"/>
        <v>#DIV/0!</v>
      </c>
      <c r="M983" s="1040" t="e">
        <f t="shared" si="403"/>
        <v>#DIV/0!</v>
      </c>
      <c r="N983" s="1040" t="e">
        <f t="shared" si="403"/>
        <v>#DIV/0!</v>
      </c>
      <c r="O983" s="1040" t="e">
        <f t="shared" si="403"/>
        <v>#DIV/0!</v>
      </c>
      <c r="P983" s="1040" t="e">
        <f t="shared" si="403"/>
        <v>#DIV/0!</v>
      </c>
      <c r="Q983" s="1040" t="e">
        <f t="shared" si="403"/>
        <v>#DIV/0!</v>
      </c>
      <c r="R983" s="1040" t="e">
        <f t="shared" si="403"/>
        <v>#DIV/0!</v>
      </c>
      <c r="S983" s="1040" t="e">
        <f t="shared" si="403"/>
        <v>#DIV/0!</v>
      </c>
      <c r="T983" s="1040" t="e">
        <f t="shared" si="403"/>
        <v>#DIV/0!</v>
      </c>
      <c r="U983" s="1040" t="e">
        <f t="shared" si="403"/>
        <v>#DIV/0!</v>
      </c>
      <c r="V983" s="1040" t="e">
        <f t="shared" si="403"/>
        <v>#DIV/0!</v>
      </c>
      <c r="W983" s="1040" t="e">
        <f t="shared" si="403"/>
        <v>#DIV/0!</v>
      </c>
      <c r="X983" s="1040" t="e">
        <f t="shared" si="403"/>
        <v>#DIV/0!</v>
      </c>
      <c r="Y983" s="1040" t="e">
        <f t="shared" si="403"/>
        <v>#DIV/0!</v>
      </c>
      <c r="Z983" s="1040" t="e">
        <f t="shared" si="403"/>
        <v>#DIV/0!</v>
      </c>
      <c r="AA983" s="1040" t="e">
        <f t="shared" si="403"/>
        <v>#DIV/0!</v>
      </c>
      <c r="AB983" s="1040" t="e">
        <f t="shared" si="403"/>
        <v>#DIV/0!</v>
      </c>
      <c r="AC983" s="1040" t="e">
        <f t="shared" si="403"/>
        <v>#DIV/0!</v>
      </c>
      <c r="AD983" s="1040" t="e">
        <f t="shared" si="403"/>
        <v>#DIV/0!</v>
      </c>
      <c r="AE983" s="1040" t="e">
        <f t="shared" si="403"/>
        <v>#DIV/0!</v>
      </c>
      <c r="AF983" s="1040" t="e">
        <f t="shared" si="403"/>
        <v>#DIV/0!</v>
      </c>
      <c r="AG983" s="1040" t="e">
        <f t="shared" si="403"/>
        <v>#DIV/0!</v>
      </c>
      <c r="AH983" s="1040" t="e">
        <f t="shared" si="403"/>
        <v>#DIV/0!</v>
      </c>
      <c r="AI983" s="1040" t="e">
        <f t="shared" si="403"/>
        <v>#DIV/0!</v>
      </c>
      <c r="AJ983" s="1040" t="e">
        <f t="shared" si="403"/>
        <v>#DIV/0!</v>
      </c>
      <c r="AK983" s="1040" t="e">
        <f t="shared" si="403"/>
        <v>#DIV/0!</v>
      </c>
      <c r="AL983" s="1040" t="e">
        <f t="shared" si="403"/>
        <v>#DIV/0!</v>
      </c>
      <c r="AM983" s="1040" t="e">
        <f t="shared" si="403"/>
        <v>#DIV/0!</v>
      </c>
      <c r="AN983" s="1040" t="e">
        <f t="shared" si="403"/>
        <v>#DIV/0!</v>
      </c>
      <c r="AO983" s="1040" t="e">
        <f t="shared" si="403"/>
        <v>#DIV/0!</v>
      </c>
      <c r="AP983" s="1040" t="e">
        <f t="shared" si="403"/>
        <v>#DIV/0!</v>
      </c>
      <c r="AQ983" s="1040" t="e">
        <f t="shared" si="403"/>
        <v>#DIV/0!</v>
      </c>
      <c r="AR983" s="1040" t="e">
        <f t="shared" si="403"/>
        <v>#DIV/0!</v>
      </c>
      <c r="AS983" s="1040" t="e">
        <f t="shared" ref="AS983:AY983" si="404">IF(AS183="",0,IF(OR(1=RANK(AS583,AS$412:AS$790,0),(2=RANK(AS583,AS$412:AS$790,0))),AS583,AS183))</f>
        <v>#DIV/0!</v>
      </c>
      <c r="AT983" s="1040" t="e">
        <f t="shared" si="404"/>
        <v>#DIV/0!</v>
      </c>
      <c r="AU983" s="1040">
        <f t="shared" si="404"/>
        <v>0</v>
      </c>
      <c r="AV983" s="1040" t="e">
        <f t="shared" si="404"/>
        <v>#DIV/0!</v>
      </c>
      <c r="AW983" s="1040" t="e">
        <f t="shared" si="404"/>
        <v>#DIV/0!</v>
      </c>
      <c r="AX983" s="1040" t="e">
        <f t="shared" si="404"/>
        <v>#DIV/0!</v>
      </c>
      <c r="AY983" s="1040" t="e">
        <f t="shared" si="404"/>
        <v>#DIV/0!</v>
      </c>
      <c r="AZ983" s="1061" t="s">
        <v>21</v>
      </c>
      <c r="BC983" s="29"/>
      <c r="BD983" s="29"/>
      <c r="BE983" s="13"/>
      <c r="BL983" s="368"/>
    </row>
    <row r="984" spans="1:64" ht="12" customHeight="1" x14ac:dyDescent="0.2">
      <c r="A984" s="39">
        <f>acute_overview_children!A184</f>
        <v>4</v>
      </c>
      <c r="B984" s="23">
        <f t="shared" si="315"/>
        <v>256070</v>
      </c>
      <c r="C984" s="23" t="str">
        <f t="shared" si="316"/>
        <v>Thyme</v>
      </c>
      <c r="D984" s="135"/>
      <c r="E984" s="1027"/>
      <c r="F984" s="87"/>
      <c r="G984" s="87"/>
      <c r="H984" s="1027"/>
      <c r="I984" s="1030"/>
      <c r="J984" s="1039" t="e">
        <f t="shared" ref="J984:AR984" si="405">IF(J184="",0,IF(OR(1=RANK(J584,J$412:J$790,0),(2=RANK(J584,J$412:J$790,0))),J584,J184))</f>
        <v>#DIV/0!</v>
      </c>
      <c r="K984" s="1040" t="e">
        <f t="shared" si="405"/>
        <v>#DIV/0!</v>
      </c>
      <c r="L984" s="1040" t="e">
        <f t="shared" si="405"/>
        <v>#DIV/0!</v>
      </c>
      <c r="M984" s="1040" t="e">
        <f t="shared" si="405"/>
        <v>#DIV/0!</v>
      </c>
      <c r="N984" s="1040" t="e">
        <f t="shared" si="405"/>
        <v>#DIV/0!</v>
      </c>
      <c r="O984" s="1040" t="e">
        <f t="shared" si="405"/>
        <v>#DIV/0!</v>
      </c>
      <c r="P984" s="1040" t="e">
        <f t="shared" si="405"/>
        <v>#DIV/0!</v>
      </c>
      <c r="Q984" s="1040" t="e">
        <f t="shared" si="405"/>
        <v>#DIV/0!</v>
      </c>
      <c r="R984" s="1040" t="e">
        <f t="shared" si="405"/>
        <v>#DIV/0!</v>
      </c>
      <c r="S984" s="1040" t="e">
        <f t="shared" si="405"/>
        <v>#DIV/0!</v>
      </c>
      <c r="T984" s="1040" t="e">
        <f t="shared" si="405"/>
        <v>#DIV/0!</v>
      </c>
      <c r="U984" s="1040" t="e">
        <f t="shared" si="405"/>
        <v>#DIV/0!</v>
      </c>
      <c r="V984" s="1040" t="e">
        <f t="shared" si="405"/>
        <v>#DIV/0!</v>
      </c>
      <c r="W984" s="1040" t="e">
        <f t="shared" si="405"/>
        <v>#DIV/0!</v>
      </c>
      <c r="X984" s="1040" t="e">
        <f t="shared" si="405"/>
        <v>#DIV/0!</v>
      </c>
      <c r="Y984" s="1040" t="e">
        <f t="shared" si="405"/>
        <v>#DIV/0!</v>
      </c>
      <c r="Z984" s="1040" t="e">
        <f t="shared" si="405"/>
        <v>#DIV/0!</v>
      </c>
      <c r="AA984" s="1040" t="e">
        <f t="shared" si="405"/>
        <v>#DIV/0!</v>
      </c>
      <c r="AB984" s="1040" t="e">
        <f t="shared" si="405"/>
        <v>#DIV/0!</v>
      </c>
      <c r="AC984" s="1040" t="e">
        <f t="shared" si="405"/>
        <v>#DIV/0!</v>
      </c>
      <c r="AD984" s="1040" t="e">
        <f t="shared" si="405"/>
        <v>#DIV/0!</v>
      </c>
      <c r="AE984" s="1040" t="e">
        <f t="shared" si="405"/>
        <v>#DIV/0!</v>
      </c>
      <c r="AF984" s="1040" t="e">
        <f t="shared" si="405"/>
        <v>#DIV/0!</v>
      </c>
      <c r="AG984" s="1040" t="e">
        <f t="shared" si="405"/>
        <v>#DIV/0!</v>
      </c>
      <c r="AH984" s="1040" t="e">
        <f t="shared" si="405"/>
        <v>#DIV/0!</v>
      </c>
      <c r="AI984" s="1040" t="e">
        <f t="shared" si="405"/>
        <v>#DIV/0!</v>
      </c>
      <c r="AJ984" s="1040" t="e">
        <f t="shared" si="405"/>
        <v>#DIV/0!</v>
      </c>
      <c r="AK984" s="1040" t="e">
        <f t="shared" si="405"/>
        <v>#DIV/0!</v>
      </c>
      <c r="AL984" s="1040" t="e">
        <f t="shared" si="405"/>
        <v>#DIV/0!</v>
      </c>
      <c r="AM984" s="1040" t="e">
        <f t="shared" si="405"/>
        <v>#DIV/0!</v>
      </c>
      <c r="AN984" s="1040" t="e">
        <f t="shared" si="405"/>
        <v>#DIV/0!</v>
      </c>
      <c r="AO984" s="1040" t="e">
        <f t="shared" si="405"/>
        <v>#DIV/0!</v>
      </c>
      <c r="AP984" s="1040" t="e">
        <f t="shared" si="405"/>
        <v>#DIV/0!</v>
      </c>
      <c r="AQ984" s="1040" t="e">
        <f t="shared" si="405"/>
        <v>#DIV/0!</v>
      </c>
      <c r="AR984" s="1040" t="e">
        <f t="shared" si="405"/>
        <v>#DIV/0!</v>
      </c>
      <c r="AS984" s="1040" t="e">
        <f t="shared" ref="AS984:AY984" si="406">IF(AS184="",0,IF(OR(1=RANK(AS584,AS$412:AS$790,0),(2=RANK(AS584,AS$412:AS$790,0))),AS584,AS184))</f>
        <v>#DIV/0!</v>
      </c>
      <c r="AT984" s="1040" t="e">
        <f t="shared" si="406"/>
        <v>#DIV/0!</v>
      </c>
      <c r="AU984" s="1040">
        <f t="shared" si="406"/>
        <v>0</v>
      </c>
      <c r="AV984" s="1040" t="e">
        <f t="shared" si="406"/>
        <v>#DIV/0!</v>
      </c>
      <c r="AW984" s="1040" t="e">
        <f t="shared" si="406"/>
        <v>#DIV/0!</v>
      </c>
      <c r="AX984" s="1040" t="e">
        <f t="shared" si="406"/>
        <v>#DIV/0!</v>
      </c>
      <c r="AY984" s="1040" t="e">
        <f t="shared" si="406"/>
        <v>#DIV/0!</v>
      </c>
      <c r="AZ984" s="1061" t="s">
        <v>21</v>
      </c>
      <c r="BC984" s="29"/>
      <c r="BD984" s="29"/>
      <c r="BE984" s="13"/>
      <c r="BL984" s="368"/>
    </row>
    <row r="985" spans="1:64" ht="12" customHeight="1" x14ac:dyDescent="0.2">
      <c r="A985" s="39">
        <f>acute_overview_children!A185</f>
        <v>4</v>
      </c>
      <c r="B985" s="23">
        <f t="shared" si="315"/>
        <v>256080</v>
      </c>
      <c r="C985" s="23" t="str">
        <f t="shared" si="316"/>
        <v>Basil and edible flowers</v>
      </c>
      <c r="D985" s="135"/>
      <c r="E985" s="1027"/>
      <c r="F985" s="87"/>
      <c r="G985" s="87"/>
      <c r="H985" s="1027"/>
      <c r="I985" s="1030"/>
      <c r="J985" s="1039" t="e">
        <f t="shared" ref="J985:AR985" si="407">IF(J185="",0,IF(OR(1=RANK(J585,J$412:J$790,0),(2=RANK(J585,J$412:J$790,0))),J585,J185))</f>
        <v>#DIV/0!</v>
      </c>
      <c r="K985" s="1040" t="e">
        <f t="shared" si="407"/>
        <v>#DIV/0!</v>
      </c>
      <c r="L985" s="1040" t="e">
        <f t="shared" si="407"/>
        <v>#DIV/0!</v>
      </c>
      <c r="M985" s="1040" t="e">
        <f t="shared" si="407"/>
        <v>#DIV/0!</v>
      </c>
      <c r="N985" s="1040" t="e">
        <f t="shared" si="407"/>
        <v>#DIV/0!</v>
      </c>
      <c r="O985" s="1040" t="e">
        <f t="shared" si="407"/>
        <v>#DIV/0!</v>
      </c>
      <c r="P985" s="1040" t="e">
        <f t="shared" si="407"/>
        <v>#DIV/0!</v>
      </c>
      <c r="Q985" s="1040" t="e">
        <f t="shared" si="407"/>
        <v>#DIV/0!</v>
      </c>
      <c r="R985" s="1040" t="e">
        <f t="shared" si="407"/>
        <v>#DIV/0!</v>
      </c>
      <c r="S985" s="1040" t="e">
        <f t="shared" si="407"/>
        <v>#DIV/0!</v>
      </c>
      <c r="T985" s="1040" t="e">
        <f t="shared" si="407"/>
        <v>#DIV/0!</v>
      </c>
      <c r="U985" s="1040" t="e">
        <f t="shared" si="407"/>
        <v>#DIV/0!</v>
      </c>
      <c r="V985" s="1040" t="e">
        <f t="shared" si="407"/>
        <v>#DIV/0!</v>
      </c>
      <c r="W985" s="1040" t="e">
        <f t="shared" si="407"/>
        <v>#DIV/0!</v>
      </c>
      <c r="X985" s="1040" t="e">
        <f t="shared" si="407"/>
        <v>#DIV/0!</v>
      </c>
      <c r="Y985" s="1040" t="e">
        <f t="shared" si="407"/>
        <v>#DIV/0!</v>
      </c>
      <c r="Z985" s="1040" t="e">
        <f t="shared" si="407"/>
        <v>#DIV/0!</v>
      </c>
      <c r="AA985" s="1040" t="e">
        <f t="shared" si="407"/>
        <v>#DIV/0!</v>
      </c>
      <c r="AB985" s="1040" t="e">
        <f t="shared" si="407"/>
        <v>#DIV/0!</v>
      </c>
      <c r="AC985" s="1040" t="e">
        <f t="shared" si="407"/>
        <v>#DIV/0!</v>
      </c>
      <c r="AD985" s="1040" t="e">
        <f t="shared" si="407"/>
        <v>#DIV/0!</v>
      </c>
      <c r="AE985" s="1040" t="e">
        <f t="shared" si="407"/>
        <v>#DIV/0!</v>
      </c>
      <c r="AF985" s="1040" t="e">
        <f t="shared" si="407"/>
        <v>#DIV/0!</v>
      </c>
      <c r="AG985" s="1040" t="e">
        <f t="shared" si="407"/>
        <v>#DIV/0!</v>
      </c>
      <c r="AH985" s="1040" t="e">
        <f t="shared" si="407"/>
        <v>#DIV/0!</v>
      </c>
      <c r="AI985" s="1040" t="e">
        <f t="shared" si="407"/>
        <v>#DIV/0!</v>
      </c>
      <c r="AJ985" s="1040" t="e">
        <f t="shared" si="407"/>
        <v>#DIV/0!</v>
      </c>
      <c r="AK985" s="1040" t="e">
        <f t="shared" si="407"/>
        <v>#DIV/0!</v>
      </c>
      <c r="AL985" s="1040" t="e">
        <f t="shared" si="407"/>
        <v>#DIV/0!</v>
      </c>
      <c r="AM985" s="1040" t="e">
        <f t="shared" si="407"/>
        <v>#DIV/0!</v>
      </c>
      <c r="AN985" s="1040" t="e">
        <f t="shared" si="407"/>
        <v>#DIV/0!</v>
      </c>
      <c r="AO985" s="1040" t="e">
        <f t="shared" si="407"/>
        <v>#DIV/0!</v>
      </c>
      <c r="AP985" s="1040" t="e">
        <f t="shared" si="407"/>
        <v>#DIV/0!</v>
      </c>
      <c r="AQ985" s="1040" t="e">
        <f t="shared" si="407"/>
        <v>#DIV/0!</v>
      </c>
      <c r="AR985" s="1040" t="e">
        <f t="shared" si="407"/>
        <v>#DIV/0!</v>
      </c>
      <c r="AS985" s="1040" t="e">
        <f t="shared" ref="AS985:AY985" si="408">IF(AS185="",0,IF(OR(1=RANK(AS585,AS$412:AS$790,0),(2=RANK(AS585,AS$412:AS$790,0))),AS585,AS185))</f>
        <v>#DIV/0!</v>
      </c>
      <c r="AT985" s="1040" t="e">
        <f t="shared" si="408"/>
        <v>#DIV/0!</v>
      </c>
      <c r="AU985" s="1040">
        <f t="shared" si="408"/>
        <v>0</v>
      </c>
      <c r="AV985" s="1040" t="e">
        <f t="shared" si="408"/>
        <v>#DIV/0!</v>
      </c>
      <c r="AW985" s="1040" t="e">
        <f t="shared" si="408"/>
        <v>#DIV/0!</v>
      </c>
      <c r="AX985" s="1040" t="e">
        <f t="shared" si="408"/>
        <v>#DIV/0!</v>
      </c>
      <c r="AY985" s="1040" t="e">
        <f t="shared" si="408"/>
        <v>#DIV/0!</v>
      </c>
      <c r="AZ985" s="1061" t="s">
        <v>21</v>
      </c>
      <c r="BC985" s="29"/>
      <c r="BD985" s="29"/>
      <c r="BE985" s="13"/>
      <c r="BL985" s="368"/>
    </row>
    <row r="986" spans="1:64" ht="12" customHeight="1" x14ac:dyDescent="0.2">
      <c r="A986" s="39">
        <f>acute_overview_children!A186</f>
        <v>4</v>
      </c>
      <c r="B986" s="23">
        <f t="shared" si="315"/>
        <v>256090</v>
      </c>
      <c r="C986" s="23" t="str">
        <f t="shared" si="316"/>
        <v>Laurel/bay leaves</v>
      </c>
      <c r="D986" s="135"/>
      <c r="E986" s="1027"/>
      <c r="F986" s="87"/>
      <c r="G986" s="87"/>
      <c r="H986" s="1027"/>
      <c r="I986" s="1030"/>
      <c r="J986" s="1039" t="e">
        <f t="shared" ref="J986:AR986" si="409">IF(J186="",0,IF(OR(1=RANK(J586,J$412:J$790,0),(2=RANK(J586,J$412:J$790,0))),J586,J186))</f>
        <v>#DIV/0!</v>
      </c>
      <c r="K986" s="1040" t="e">
        <f t="shared" si="409"/>
        <v>#DIV/0!</v>
      </c>
      <c r="L986" s="1040" t="e">
        <f t="shared" si="409"/>
        <v>#DIV/0!</v>
      </c>
      <c r="M986" s="1040" t="e">
        <f t="shared" si="409"/>
        <v>#DIV/0!</v>
      </c>
      <c r="N986" s="1040" t="e">
        <f t="shared" si="409"/>
        <v>#DIV/0!</v>
      </c>
      <c r="O986" s="1040" t="e">
        <f t="shared" si="409"/>
        <v>#DIV/0!</v>
      </c>
      <c r="P986" s="1040" t="e">
        <f t="shared" si="409"/>
        <v>#DIV/0!</v>
      </c>
      <c r="Q986" s="1040" t="e">
        <f t="shared" si="409"/>
        <v>#DIV/0!</v>
      </c>
      <c r="R986" s="1040" t="e">
        <f t="shared" si="409"/>
        <v>#DIV/0!</v>
      </c>
      <c r="S986" s="1040" t="e">
        <f t="shared" si="409"/>
        <v>#DIV/0!</v>
      </c>
      <c r="T986" s="1040" t="e">
        <f t="shared" si="409"/>
        <v>#DIV/0!</v>
      </c>
      <c r="U986" s="1040" t="e">
        <f t="shared" si="409"/>
        <v>#DIV/0!</v>
      </c>
      <c r="V986" s="1040" t="e">
        <f t="shared" si="409"/>
        <v>#DIV/0!</v>
      </c>
      <c r="W986" s="1040" t="e">
        <f t="shared" si="409"/>
        <v>#DIV/0!</v>
      </c>
      <c r="X986" s="1040" t="e">
        <f t="shared" si="409"/>
        <v>#DIV/0!</v>
      </c>
      <c r="Y986" s="1040" t="e">
        <f t="shared" si="409"/>
        <v>#DIV/0!</v>
      </c>
      <c r="Z986" s="1040" t="e">
        <f t="shared" si="409"/>
        <v>#DIV/0!</v>
      </c>
      <c r="AA986" s="1040" t="e">
        <f t="shared" si="409"/>
        <v>#DIV/0!</v>
      </c>
      <c r="AB986" s="1040" t="e">
        <f t="shared" si="409"/>
        <v>#DIV/0!</v>
      </c>
      <c r="AC986" s="1040" t="e">
        <f t="shared" si="409"/>
        <v>#DIV/0!</v>
      </c>
      <c r="AD986" s="1040" t="e">
        <f t="shared" si="409"/>
        <v>#DIV/0!</v>
      </c>
      <c r="AE986" s="1040" t="e">
        <f t="shared" si="409"/>
        <v>#DIV/0!</v>
      </c>
      <c r="AF986" s="1040" t="e">
        <f t="shared" si="409"/>
        <v>#DIV/0!</v>
      </c>
      <c r="AG986" s="1040" t="e">
        <f t="shared" si="409"/>
        <v>#DIV/0!</v>
      </c>
      <c r="AH986" s="1040" t="e">
        <f t="shared" si="409"/>
        <v>#DIV/0!</v>
      </c>
      <c r="AI986" s="1040" t="e">
        <f t="shared" si="409"/>
        <v>#DIV/0!</v>
      </c>
      <c r="AJ986" s="1040" t="e">
        <f t="shared" si="409"/>
        <v>#DIV/0!</v>
      </c>
      <c r="AK986" s="1040" t="e">
        <f t="shared" si="409"/>
        <v>#DIV/0!</v>
      </c>
      <c r="AL986" s="1040" t="e">
        <f t="shared" si="409"/>
        <v>#DIV/0!</v>
      </c>
      <c r="AM986" s="1040" t="e">
        <f t="shared" si="409"/>
        <v>#DIV/0!</v>
      </c>
      <c r="AN986" s="1040" t="e">
        <f t="shared" si="409"/>
        <v>#DIV/0!</v>
      </c>
      <c r="AO986" s="1040" t="e">
        <f t="shared" si="409"/>
        <v>#DIV/0!</v>
      </c>
      <c r="AP986" s="1040" t="e">
        <f t="shared" si="409"/>
        <v>#DIV/0!</v>
      </c>
      <c r="AQ986" s="1040" t="e">
        <f t="shared" si="409"/>
        <v>#DIV/0!</v>
      </c>
      <c r="AR986" s="1040" t="e">
        <f t="shared" si="409"/>
        <v>#DIV/0!</v>
      </c>
      <c r="AS986" s="1040" t="e">
        <f t="shared" ref="AS986:AY986" si="410">IF(AS186="",0,IF(OR(1=RANK(AS586,AS$412:AS$790,0),(2=RANK(AS586,AS$412:AS$790,0))),AS586,AS186))</f>
        <v>#DIV/0!</v>
      </c>
      <c r="AT986" s="1040" t="e">
        <f t="shared" si="410"/>
        <v>#DIV/0!</v>
      </c>
      <c r="AU986" s="1040">
        <f t="shared" si="410"/>
        <v>0</v>
      </c>
      <c r="AV986" s="1040" t="e">
        <f t="shared" si="410"/>
        <v>#DIV/0!</v>
      </c>
      <c r="AW986" s="1040" t="e">
        <f t="shared" si="410"/>
        <v>#DIV/0!</v>
      </c>
      <c r="AX986" s="1040" t="e">
        <f t="shared" si="410"/>
        <v>#DIV/0!</v>
      </c>
      <c r="AY986" s="1040" t="e">
        <f t="shared" si="410"/>
        <v>#DIV/0!</v>
      </c>
      <c r="AZ986" s="1061" t="s">
        <v>21</v>
      </c>
      <c r="BC986" s="29"/>
      <c r="BD986" s="29"/>
      <c r="BE986" s="13"/>
      <c r="BL986" s="368"/>
    </row>
    <row r="987" spans="1:64" ht="12" customHeight="1" x14ac:dyDescent="0.2">
      <c r="A987" s="39">
        <f>acute_overview_children!A187</f>
        <v>4</v>
      </c>
      <c r="B987" s="23">
        <f t="shared" si="315"/>
        <v>256100</v>
      </c>
      <c r="C987" s="23" t="str">
        <f t="shared" si="316"/>
        <v>Tarragon</v>
      </c>
      <c r="D987" s="135"/>
      <c r="E987" s="1027"/>
      <c r="F987" s="87"/>
      <c r="G987" s="87"/>
      <c r="H987" s="1027"/>
      <c r="I987" s="1030"/>
      <c r="J987" s="1039" t="e">
        <f t="shared" ref="J987:AR987" si="411">IF(J187="",0,IF(OR(1=RANK(J587,J$412:J$790,0),(2=RANK(J587,J$412:J$790,0))),J587,J187))</f>
        <v>#DIV/0!</v>
      </c>
      <c r="K987" s="1040" t="e">
        <f t="shared" si="411"/>
        <v>#DIV/0!</v>
      </c>
      <c r="L987" s="1040" t="e">
        <f t="shared" si="411"/>
        <v>#DIV/0!</v>
      </c>
      <c r="M987" s="1040" t="e">
        <f t="shared" si="411"/>
        <v>#DIV/0!</v>
      </c>
      <c r="N987" s="1040" t="e">
        <f t="shared" si="411"/>
        <v>#DIV/0!</v>
      </c>
      <c r="O987" s="1040" t="e">
        <f t="shared" si="411"/>
        <v>#DIV/0!</v>
      </c>
      <c r="P987" s="1040" t="e">
        <f t="shared" si="411"/>
        <v>#DIV/0!</v>
      </c>
      <c r="Q987" s="1040" t="e">
        <f t="shared" si="411"/>
        <v>#DIV/0!</v>
      </c>
      <c r="R987" s="1040" t="e">
        <f t="shared" si="411"/>
        <v>#DIV/0!</v>
      </c>
      <c r="S987" s="1040" t="e">
        <f t="shared" si="411"/>
        <v>#DIV/0!</v>
      </c>
      <c r="T987" s="1040" t="e">
        <f t="shared" si="411"/>
        <v>#DIV/0!</v>
      </c>
      <c r="U987" s="1040" t="e">
        <f t="shared" si="411"/>
        <v>#DIV/0!</v>
      </c>
      <c r="V987" s="1040" t="e">
        <f t="shared" si="411"/>
        <v>#DIV/0!</v>
      </c>
      <c r="W987" s="1040" t="e">
        <f t="shared" si="411"/>
        <v>#DIV/0!</v>
      </c>
      <c r="X987" s="1040" t="e">
        <f t="shared" si="411"/>
        <v>#DIV/0!</v>
      </c>
      <c r="Y987" s="1040" t="e">
        <f t="shared" si="411"/>
        <v>#DIV/0!</v>
      </c>
      <c r="Z987" s="1040" t="e">
        <f t="shared" si="411"/>
        <v>#DIV/0!</v>
      </c>
      <c r="AA987" s="1040" t="e">
        <f t="shared" si="411"/>
        <v>#DIV/0!</v>
      </c>
      <c r="AB987" s="1040" t="e">
        <f t="shared" si="411"/>
        <v>#DIV/0!</v>
      </c>
      <c r="AC987" s="1040" t="e">
        <f t="shared" si="411"/>
        <v>#DIV/0!</v>
      </c>
      <c r="AD987" s="1040" t="e">
        <f t="shared" si="411"/>
        <v>#DIV/0!</v>
      </c>
      <c r="AE987" s="1040" t="e">
        <f t="shared" si="411"/>
        <v>#DIV/0!</v>
      </c>
      <c r="AF987" s="1040" t="e">
        <f t="shared" si="411"/>
        <v>#DIV/0!</v>
      </c>
      <c r="AG987" s="1040" t="e">
        <f t="shared" si="411"/>
        <v>#DIV/0!</v>
      </c>
      <c r="AH987" s="1040" t="e">
        <f t="shared" si="411"/>
        <v>#DIV/0!</v>
      </c>
      <c r="AI987" s="1040" t="e">
        <f t="shared" si="411"/>
        <v>#DIV/0!</v>
      </c>
      <c r="AJ987" s="1040" t="e">
        <f t="shared" si="411"/>
        <v>#DIV/0!</v>
      </c>
      <c r="AK987" s="1040" t="e">
        <f t="shared" si="411"/>
        <v>#DIV/0!</v>
      </c>
      <c r="AL987" s="1040" t="e">
        <f t="shared" si="411"/>
        <v>#DIV/0!</v>
      </c>
      <c r="AM987" s="1040" t="e">
        <f t="shared" si="411"/>
        <v>#DIV/0!</v>
      </c>
      <c r="AN987" s="1040" t="e">
        <f t="shared" si="411"/>
        <v>#DIV/0!</v>
      </c>
      <c r="AO987" s="1040" t="e">
        <f t="shared" si="411"/>
        <v>#DIV/0!</v>
      </c>
      <c r="AP987" s="1040" t="e">
        <f t="shared" si="411"/>
        <v>#DIV/0!</v>
      </c>
      <c r="AQ987" s="1040" t="e">
        <f t="shared" si="411"/>
        <v>#DIV/0!</v>
      </c>
      <c r="AR987" s="1040" t="e">
        <f t="shared" si="411"/>
        <v>#DIV/0!</v>
      </c>
      <c r="AS987" s="1040" t="e">
        <f t="shared" ref="AS987:AY987" si="412">IF(AS187="",0,IF(OR(1=RANK(AS587,AS$412:AS$790,0),(2=RANK(AS587,AS$412:AS$790,0))),AS587,AS187))</f>
        <v>#DIV/0!</v>
      </c>
      <c r="AT987" s="1040" t="e">
        <f t="shared" si="412"/>
        <v>#DIV/0!</v>
      </c>
      <c r="AU987" s="1040">
        <f t="shared" si="412"/>
        <v>0</v>
      </c>
      <c r="AV987" s="1040" t="e">
        <f t="shared" si="412"/>
        <v>#DIV/0!</v>
      </c>
      <c r="AW987" s="1040" t="e">
        <f t="shared" si="412"/>
        <v>#DIV/0!</v>
      </c>
      <c r="AX987" s="1040" t="e">
        <f t="shared" si="412"/>
        <v>#DIV/0!</v>
      </c>
      <c r="AY987" s="1040" t="e">
        <f t="shared" si="412"/>
        <v>#DIV/0!</v>
      </c>
      <c r="AZ987" s="1061" t="s">
        <v>21</v>
      </c>
      <c r="BC987" s="29"/>
      <c r="BD987" s="29"/>
      <c r="BE987" s="13"/>
      <c r="BL987" s="368"/>
    </row>
    <row r="988" spans="1:64" ht="12" customHeight="1" x14ac:dyDescent="0.2">
      <c r="A988" s="39">
        <f>acute_overview_children!A188</f>
        <v>4</v>
      </c>
      <c r="B988" s="23">
        <f t="shared" si="315"/>
        <v>256990</v>
      </c>
      <c r="C988" s="23" t="str">
        <f t="shared" si="316"/>
        <v>Other herbs</v>
      </c>
      <c r="D988" s="135"/>
      <c r="E988" s="1027"/>
      <c r="F988" s="87"/>
      <c r="G988" s="87"/>
      <c r="H988" s="1027"/>
      <c r="I988" s="1030"/>
      <c r="J988" s="1039" t="e">
        <f t="shared" ref="J988:AR988" si="413">IF(J188="",0,IF(OR(1=RANK(J588,J$412:J$790,0),(2=RANK(J588,J$412:J$790,0))),J588,J188))</f>
        <v>#DIV/0!</v>
      </c>
      <c r="K988" s="1040" t="e">
        <f t="shared" si="413"/>
        <v>#DIV/0!</v>
      </c>
      <c r="L988" s="1040" t="e">
        <f t="shared" si="413"/>
        <v>#DIV/0!</v>
      </c>
      <c r="M988" s="1040" t="e">
        <f t="shared" si="413"/>
        <v>#DIV/0!</v>
      </c>
      <c r="N988" s="1040" t="e">
        <f t="shared" si="413"/>
        <v>#DIV/0!</v>
      </c>
      <c r="O988" s="1040" t="e">
        <f t="shared" si="413"/>
        <v>#DIV/0!</v>
      </c>
      <c r="P988" s="1040" t="e">
        <f t="shared" si="413"/>
        <v>#DIV/0!</v>
      </c>
      <c r="Q988" s="1040" t="e">
        <f t="shared" si="413"/>
        <v>#DIV/0!</v>
      </c>
      <c r="R988" s="1040" t="e">
        <f t="shared" si="413"/>
        <v>#DIV/0!</v>
      </c>
      <c r="S988" s="1040" t="e">
        <f t="shared" si="413"/>
        <v>#DIV/0!</v>
      </c>
      <c r="T988" s="1040" t="e">
        <f t="shared" si="413"/>
        <v>#DIV/0!</v>
      </c>
      <c r="U988" s="1040" t="e">
        <f t="shared" si="413"/>
        <v>#DIV/0!</v>
      </c>
      <c r="V988" s="1040" t="e">
        <f t="shared" si="413"/>
        <v>#DIV/0!</v>
      </c>
      <c r="W988" s="1040" t="e">
        <f t="shared" si="413"/>
        <v>#DIV/0!</v>
      </c>
      <c r="X988" s="1040" t="e">
        <f t="shared" si="413"/>
        <v>#DIV/0!</v>
      </c>
      <c r="Y988" s="1040" t="e">
        <f t="shared" si="413"/>
        <v>#DIV/0!</v>
      </c>
      <c r="Z988" s="1040" t="e">
        <f t="shared" si="413"/>
        <v>#DIV/0!</v>
      </c>
      <c r="AA988" s="1040" t="e">
        <f t="shared" si="413"/>
        <v>#DIV/0!</v>
      </c>
      <c r="AB988" s="1040" t="e">
        <f t="shared" si="413"/>
        <v>#DIV/0!</v>
      </c>
      <c r="AC988" s="1040" t="e">
        <f t="shared" si="413"/>
        <v>#DIV/0!</v>
      </c>
      <c r="AD988" s="1040" t="e">
        <f t="shared" si="413"/>
        <v>#DIV/0!</v>
      </c>
      <c r="AE988" s="1040" t="e">
        <f t="shared" si="413"/>
        <v>#DIV/0!</v>
      </c>
      <c r="AF988" s="1040" t="e">
        <f t="shared" si="413"/>
        <v>#DIV/0!</v>
      </c>
      <c r="AG988" s="1040" t="e">
        <f t="shared" si="413"/>
        <v>#DIV/0!</v>
      </c>
      <c r="AH988" s="1040" t="e">
        <f t="shared" si="413"/>
        <v>#DIV/0!</v>
      </c>
      <c r="AI988" s="1040" t="e">
        <f t="shared" si="413"/>
        <v>#DIV/0!</v>
      </c>
      <c r="AJ988" s="1040" t="e">
        <f t="shared" si="413"/>
        <v>#DIV/0!</v>
      </c>
      <c r="AK988" s="1040" t="e">
        <f t="shared" si="413"/>
        <v>#DIV/0!</v>
      </c>
      <c r="AL988" s="1040" t="e">
        <f t="shared" si="413"/>
        <v>#DIV/0!</v>
      </c>
      <c r="AM988" s="1040" t="e">
        <f t="shared" si="413"/>
        <v>#DIV/0!</v>
      </c>
      <c r="AN988" s="1040" t="e">
        <f t="shared" si="413"/>
        <v>#DIV/0!</v>
      </c>
      <c r="AO988" s="1040" t="e">
        <f t="shared" si="413"/>
        <v>#DIV/0!</v>
      </c>
      <c r="AP988" s="1040" t="e">
        <f t="shared" si="413"/>
        <v>#DIV/0!</v>
      </c>
      <c r="AQ988" s="1040" t="e">
        <f t="shared" si="413"/>
        <v>#DIV/0!</v>
      </c>
      <c r="AR988" s="1040" t="e">
        <f t="shared" si="413"/>
        <v>#DIV/0!</v>
      </c>
      <c r="AS988" s="1040" t="e">
        <f t="shared" ref="AS988:AY988" si="414">IF(AS188="",0,IF(OR(1=RANK(AS588,AS$412:AS$790,0),(2=RANK(AS588,AS$412:AS$790,0))),AS588,AS188))</f>
        <v>#DIV/0!</v>
      </c>
      <c r="AT988" s="1040" t="e">
        <f t="shared" si="414"/>
        <v>#DIV/0!</v>
      </c>
      <c r="AU988" s="1040">
        <f t="shared" si="414"/>
        <v>0</v>
      </c>
      <c r="AV988" s="1040" t="e">
        <f t="shared" si="414"/>
        <v>#DIV/0!</v>
      </c>
      <c r="AW988" s="1040" t="e">
        <f t="shared" si="414"/>
        <v>#DIV/0!</v>
      </c>
      <c r="AX988" s="1040" t="e">
        <f t="shared" si="414"/>
        <v>#DIV/0!</v>
      </c>
      <c r="AY988" s="1040" t="e">
        <f t="shared" si="414"/>
        <v>#DIV/0!</v>
      </c>
      <c r="AZ988" s="1061" t="s">
        <v>21</v>
      </c>
      <c r="BC988" s="29"/>
      <c r="BD988" s="29"/>
      <c r="BE988" s="13"/>
      <c r="BL988" s="368"/>
    </row>
    <row r="989" spans="1:64" ht="12" customHeight="1" x14ac:dyDescent="0.2">
      <c r="A989" s="515">
        <f>acute_overview_children!A189</f>
        <v>2</v>
      </c>
      <c r="B989" s="131">
        <f t="shared" si="315"/>
        <v>260000</v>
      </c>
      <c r="C989" s="131" t="str">
        <f t="shared" si="316"/>
        <v xml:space="preserve">Legume vegetables </v>
      </c>
      <c r="D989" s="1035"/>
      <c r="E989" s="1027"/>
      <c r="F989" s="87"/>
      <c r="G989" s="87"/>
      <c r="H989" s="1027"/>
      <c r="I989" s="1030"/>
      <c r="J989" s="1037" t="e">
        <f t="shared" ref="J989:AR989" si="415">IF(J189="",0,IF(OR(1=RANK(J589,J$412:J$790,0),(2=RANK(J589,J$412:J$790,0))),J589,J189))</f>
        <v>#DIV/0!</v>
      </c>
      <c r="K989" s="1038" t="e">
        <f t="shared" si="415"/>
        <v>#DIV/0!</v>
      </c>
      <c r="L989" s="1038" t="e">
        <f t="shared" si="415"/>
        <v>#DIV/0!</v>
      </c>
      <c r="M989" s="1038" t="e">
        <f t="shared" si="415"/>
        <v>#DIV/0!</v>
      </c>
      <c r="N989" s="1038" t="e">
        <f t="shared" si="415"/>
        <v>#DIV/0!</v>
      </c>
      <c r="O989" s="1038" t="e">
        <f t="shared" si="415"/>
        <v>#DIV/0!</v>
      </c>
      <c r="P989" s="1038" t="e">
        <f t="shared" si="415"/>
        <v>#DIV/0!</v>
      </c>
      <c r="Q989" s="1038" t="e">
        <f t="shared" si="415"/>
        <v>#DIV/0!</v>
      </c>
      <c r="R989" s="1038" t="e">
        <f t="shared" si="415"/>
        <v>#DIV/0!</v>
      </c>
      <c r="S989" s="1038" t="e">
        <f t="shared" si="415"/>
        <v>#DIV/0!</v>
      </c>
      <c r="T989" s="1038" t="e">
        <f t="shared" si="415"/>
        <v>#DIV/0!</v>
      </c>
      <c r="U989" s="1038" t="e">
        <f t="shared" si="415"/>
        <v>#DIV/0!</v>
      </c>
      <c r="V989" s="1038" t="e">
        <f t="shared" si="415"/>
        <v>#DIV/0!</v>
      </c>
      <c r="W989" s="1038" t="e">
        <f t="shared" si="415"/>
        <v>#DIV/0!</v>
      </c>
      <c r="X989" s="1038" t="e">
        <f t="shared" si="415"/>
        <v>#DIV/0!</v>
      </c>
      <c r="Y989" s="1038" t="e">
        <f t="shared" si="415"/>
        <v>#DIV/0!</v>
      </c>
      <c r="Z989" s="1038" t="e">
        <f t="shared" si="415"/>
        <v>#DIV/0!</v>
      </c>
      <c r="AA989" s="1038" t="e">
        <f t="shared" si="415"/>
        <v>#DIV/0!</v>
      </c>
      <c r="AB989" s="1038" t="e">
        <f t="shared" si="415"/>
        <v>#DIV/0!</v>
      </c>
      <c r="AC989" s="1038" t="e">
        <f t="shared" si="415"/>
        <v>#DIV/0!</v>
      </c>
      <c r="AD989" s="1038" t="e">
        <f t="shared" si="415"/>
        <v>#DIV/0!</v>
      </c>
      <c r="AE989" s="1038" t="e">
        <f t="shared" si="415"/>
        <v>#DIV/0!</v>
      </c>
      <c r="AF989" s="1038" t="e">
        <f t="shared" si="415"/>
        <v>#DIV/0!</v>
      </c>
      <c r="AG989" s="1038" t="e">
        <f t="shared" si="415"/>
        <v>#DIV/0!</v>
      </c>
      <c r="AH989" s="1038" t="e">
        <f t="shared" si="415"/>
        <v>#DIV/0!</v>
      </c>
      <c r="AI989" s="1038" t="e">
        <f t="shared" si="415"/>
        <v>#DIV/0!</v>
      </c>
      <c r="AJ989" s="1038" t="e">
        <f t="shared" si="415"/>
        <v>#DIV/0!</v>
      </c>
      <c r="AK989" s="1038" t="e">
        <f t="shared" si="415"/>
        <v>#DIV/0!</v>
      </c>
      <c r="AL989" s="1038" t="e">
        <f t="shared" si="415"/>
        <v>#DIV/0!</v>
      </c>
      <c r="AM989" s="1038" t="e">
        <f t="shared" si="415"/>
        <v>#DIV/0!</v>
      </c>
      <c r="AN989" s="1038" t="e">
        <f t="shared" si="415"/>
        <v>#DIV/0!</v>
      </c>
      <c r="AO989" s="1038" t="e">
        <f t="shared" si="415"/>
        <v>#DIV/0!</v>
      </c>
      <c r="AP989" s="1038" t="e">
        <f t="shared" si="415"/>
        <v>#DIV/0!</v>
      </c>
      <c r="AQ989" s="1038" t="e">
        <f t="shared" si="415"/>
        <v>#DIV/0!</v>
      </c>
      <c r="AR989" s="1038" t="e">
        <f t="shared" si="415"/>
        <v>#DIV/0!</v>
      </c>
      <c r="AS989" s="1038" t="e">
        <f t="shared" ref="AS989:AY989" si="416">IF(AS189="",0,IF(OR(1=RANK(AS589,AS$412:AS$790,0),(2=RANK(AS589,AS$412:AS$790,0))),AS589,AS189))</f>
        <v>#DIV/0!</v>
      </c>
      <c r="AT989" s="1038" t="e">
        <f t="shared" si="416"/>
        <v>#DIV/0!</v>
      </c>
      <c r="AU989" s="1038">
        <f t="shared" si="416"/>
        <v>0</v>
      </c>
      <c r="AV989" s="1038" t="e">
        <f t="shared" si="416"/>
        <v>#DIV/0!</v>
      </c>
      <c r="AW989" s="1038" t="e">
        <f t="shared" si="416"/>
        <v>#DIV/0!</v>
      </c>
      <c r="AX989" s="1038" t="e">
        <f t="shared" si="416"/>
        <v>#DIV/0!</v>
      </c>
      <c r="AY989" s="1038" t="e">
        <f t="shared" si="416"/>
        <v>#DIV/0!</v>
      </c>
      <c r="AZ989" s="1061" t="s">
        <v>21</v>
      </c>
      <c r="BC989" s="29"/>
      <c r="BD989" s="29"/>
      <c r="BE989" s="13"/>
      <c r="BL989" s="368"/>
    </row>
    <row r="990" spans="1:64" ht="12" customHeight="1" x14ac:dyDescent="0.2">
      <c r="A990" s="39">
        <f>acute_overview_children!A190</f>
        <v>4</v>
      </c>
      <c r="B990" s="23">
        <f t="shared" si="315"/>
        <v>260010</v>
      </c>
      <c r="C990" s="23" t="str">
        <f t="shared" si="316"/>
        <v>Beans (with pods)</v>
      </c>
      <c r="D990" s="135"/>
      <c r="E990" s="1027"/>
      <c r="F990" s="87"/>
      <c r="G990" s="87"/>
      <c r="H990" s="1027"/>
      <c r="I990" s="1030"/>
      <c r="J990" s="1039" t="e">
        <f t="shared" ref="J990:AR990" si="417">IF(J190="",0,IF(OR(1=RANK(J590,J$412:J$790,0),(2=RANK(J590,J$412:J$790,0))),J590,J190))</f>
        <v>#DIV/0!</v>
      </c>
      <c r="K990" s="1040" t="e">
        <f t="shared" si="417"/>
        <v>#DIV/0!</v>
      </c>
      <c r="L990" s="1040" t="e">
        <f t="shared" si="417"/>
        <v>#DIV/0!</v>
      </c>
      <c r="M990" s="1040" t="e">
        <f t="shared" si="417"/>
        <v>#DIV/0!</v>
      </c>
      <c r="N990" s="1040" t="e">
        <f t="shared" si="417"/>
        <v>#DIV/0!</v>
      </c>
      <c r="O990" s="1040" t="e">
        <f t="shared" si="417"/>
        <v>#DIV/0!</v>
      </c>
      <c r="P990" s="1040" t="e">
        <f t="shared" si="417"/>
        <v>#DIV/0!</v>
      </c>
      <c r="Q990" s="1040" t="e">
        <f t="shared" si="417"/>
        <v>#DIV/0!</v>
      </c>
      <c r="R990" s="1040" t="e">
        <f t="shared" si="417"/>
        <v>#DIV/0!</v>
      </c>
      <c r="S990" s="1040" t="e">
        <f t="shared" si="417"/>
        <v>#DIV/0!</v>
      </c>
      <c r="T990" s="1040" t="e">
        <f t="shared" si="417"/>
        <v>#DIV/0!</v>
      </c>
      <c r="U990" s="1040" t="e">
        <f t="shared" si="417"/>
        <v>#DIV/0!</v>
      </c>
      <c r="V990" s="1040" t="e">
        <f t="shared" si="417"/>
        <v>#DIV/0!</v>
      </c>
      <c r="W990" s="1040" t="e">
        <f t="shared" si="417"/>
        <v>#DIV/0!</v>
      </c>
      <c r="X990" s="1040" t="e">
        <f t="shared" si="417"/>
        <v>#DIV/0!</v>
      </c>
      <c r="Y990" s="1040" t="e">
        <f t="shared" si="417"/>
        <v>#DIV/0!</v>
      </c>
      <c r="Z990" s="1040" t="e">
        <f t="shared" si="417"/>
        <v>#DIV/0!</v>
      </c>
      <c r="AA990" s="1040" t="e">
        <f t="shared" si="417"/>
        <v>#DIV/0!</v>
      </c>
      <c r="AB990" s="1040" t="e">
        <f t="shared" si="417"/>
        <v>#DIV/0!</v>
      </c>
      <c r="AC990" s="1040" t="e">
        <f t="shared" si="417"/>
        <v>#DIV/0!</v>
      </c>
      <c r="AD990" s="1040" t="e">
        <f t="shared" si="417"/>
        <v>#DIV/0!</v>
      </c>
      <c r="AE990" s="1040" t="e">
        <f t="shared" si="417"/>
        <v>#DIV/0!</v>
      </c>
      <c r="AF990" s="1040" t="e">
        <f t="shared" si="417"/>
        <v>#DIV/0!</v>
      </c>
      <c r="AG990" s="1040" t="e">
        <f t="shared" si="417"/>
        <v>#DIV/0!</v>
      </c>
      <c r="AH990" s="1040" t="e">
        <f t="shared" si="417"/>
        <v>#DIV/0!</v>
      </c>
      <c r="AI990" s="1040" t="e">
        <f t="shared" si="417"/>
        <v>#DIV/0!</v>
      </c>
      <c r="AJ990" s="1040" t="e">
        <f t="shared" si="417"/>
        <v>#DIV/0!</v>
      </c>
      <c r="AK990" s="1040" t="e">
        <f t="shared" si="417"/>
        <v>#DIV/0!</v>
      </c>
      <c r="AL990" s="1040" t="e">
        <f t="shared" si="417"/>
        <v>#DIV/0!</v>
      </c>
      <c r="AM990" s="1040" t="e">
        <f t="shared" si="417"/>
        <v>#DIV/0!</v>
      </c>
      <c r="AN990" s="1040" t="e">
        <f t="shared" si="417"/>
        <v>#DIV/0!</v>
      </c>
      <c r="AO990" s="1040" t="e">
        <f t="shared" si="417"/>
        <v>#DIV/0!</v>
      </c>
      <c r="AP990" s="1040" t="e">
        <f t="shared" si="417"/>
        <v>#DIV/0!</v>
      </c>
      <c r="AQ990" s="1040" t="e">
        <f t="shared" si="417"/>
        <v>#DIV/0!</v>
      </c>
      <c r="AR990" s="1040" t="e">
        <f t="shared" si="417"/>
        <v>#DIV/0!</v>
      </c>
      <c r="AS990" s="1040" t="e">
        <f t="shared" ref="AS990:AY990" si="418">IF(AS190="",0,IF(OR(1=RANK(AS590,AS$412:AS$790,0),(2=RANK(AS590,AS$412:AS$790,0))),AS590,AS190))</f>
        <v>#DIV/0!</v>
      </c>
      <c r="AT990" s="1040" t="e">
        <f t="shared" si="418"/>
        <v>#DIV/0!</v>
      </c>
      <c r="AU990" s="1040">
        <f t="shared" si="418"/>
        <v>0</v>
      </c>
      <c r="AV990" s="1040" t="e">
        <f t="shared" si="418"/>
        <v>#DIV/0!</v>
      </c>
      <c r="AW990" s="1040" t="e">
        <f t="shared" si="418"/>
        <v>#DIV/0!</v>
      </c>
      <c r="AX990" s="1040" t="e">
        <f t="shared" si="418"/>
        <v>#DIV/0!</v>
      </c>
      <c r="AY990" s="1040" t="e">
        <f t="shared" si="418"/>
        <v>#DIV/0!</v>
      </c>
      <c r="AZ990" s="1061" t="s">
        <v>21</v>
      </c>
      <c r="BC990" s="29"/>
      <c r="BD990" s="29"/>
      <c r="BE990" s="13"/>
      <c r="BL990" s="368"/>
    </row>
    <row r="991" spans="1:64" ht="12" customHeight="1" x14ac:dyDescent="0.2">
      <c r="A991" s="39">
        <f>acute_overview_children!A191</f>
        <v>4</v>
      </c>
      <c r="B991" s="23">
        <f t="shared" si="315"/>
        <v>260020</v>
      </c>
      <c r="C991" s="23" t="str">
        <f t="shared" si="316"/>
        <v>Beans (without pods)</v>
      </c>
      <c r="D991" s="135"/>
      <c r="E991" s="1027"/>
      <c r="F991" s="87"/>
      <c r="G991" s="87"/>
      <c r="H991" s="1027"/>
      <c r="I991" s="1030"/>
      <c r="J991" s="1039" t="e">
        <f t="shared" ref="J991:AR991" si="419">IF(J191="",0,IF(OR(1=RANK(J591,J$412:J$790,0),(2=RANK(J591,J$412:J$790,0))),J591,J191))</f>
        <v>#DIV/0!</v>
      </c>
      <c r="K991" s="1040" t="e">
        <f t="shared" si="419"/>
        <v>#DIV/0!</v>
      </c>
      <c r="L991" s="1040" t="e">
        <f t="shared" si="419"/>
        <v>#DIV/0!</v>
      </c>
      <c r="M991" s="1040" t="e">
        <f t="shared" si="419"/>
        <v>#DIV/0!</v>
      </c>
      <c r="N991" s="1040" t="e">
        <f t="shared" si="419"/>
        <v>#DIV/0!</v>
      </c>
      <c r="O991" s="1040" t="e">
        <f t="shared" si="419"/>
        <v>#DIV/0!</v>
      </c>
      <c r="P991" s="1040" t="e">
        <f t="shared" si="419"/>
        <v>#DIV/0!</v>
      </c>
      <c r="Q991" s="1040" t="e">
        <f t="shared" si="419"/>
        <v>#DIV/0!</v>
      </c>
      <c r="R991" s="1040" t="e">
        <f t="shared" si="419"/>
        <v>#DIV/0!</v>
      </c>
      <c r="S991" s="1040" t="e">
        <f t="shared" si="419"/>
        <v>#DIV/0!</v>
      </c>
      <c r="T991" s="1040" t="e">
        <f t="shared" si="419"/>
        <v>#DIV/0!</v>
      </c>
      <c r="U991" s="1040" t="e">
        <f t="shared" si="419"/>
        <v>#DIV/0!</v>
      </c>
      <c r="V991" s="1040" t="e">
        <f t="shared" si="419"/>
        <v>#DIV/0!</v>
      </c>
      <c r="W991" s="1040" t="e">
        <f t="shared" si="419"/>
        <v>#DIV/0!</v>
      </c>
      <c r="X991" s="1040" t="e">
        <f t="shared" si="419"/>
        <v>#DIV/0!</v>
      </c>
      <c r="Y991" s="1040" t="e">
        <f t="shared" si="419"/>
        <v>#DIV/0!</v>
      </c>
      <c r="Z991" s="1040" t="e">
        <f t="shared" si="419"/>
        <v>#DIV/0!</v>
      </c>
      <c r="AA991" s="1040" t="e">
        <f t="shared" si="419"/>
        <v>#DIV/0!</v>
      </c>
      <c r="AB991" s="1040" t="e">
        <f t="shared" si="419"/>
        <v>#DIV/0!</v>
      </c>
      <c r="AC991" s="1040" t="e">
        <f t="shared" si="419"/>
        <v>#DIV/0!</v>
      </c>
      <c r="AD991" s="1040" t="e">
        <f t="shared" si="419"/>
        <v>#DIV/0!</v>
      </c>
      <c r="AE991" s="1040" t="e">
        <f t="shared" si="419"/>
        <v>#DIV/0!</v>
      </c>
      <c r="AF991" s="1040" t="e">
        <f t="shared" si="419"/>
        <v>#DIV/0!</v>
      </c>
      <c r="AG991" s="1040" t="e">
        <f t="shared" si="419"/>
        <v>#DIV/0!</v>
      </c>
      <c r="AH991" s="1040" t="e">
        <f t="shared" si="419"/>
        <v>#DIV/0!</v>
      </c>
      <c r="AI991" s="1040" t="e">
        <f t="shared" si="419"/>
        <v>#DIV/0!</v>
      </c>
      <c r="AJ991" s="1040" t="e">
        <f t="shared" si="419"/>
        <v>#DIV/0!</v>
      </c>
      <c r="AK991" s="1040" t="e">
        <f t="shared" si="419"/>
        <v>#DIV/0!</v>
      </c>
      <c r="AL991" s="1040" t="e">
        <f t="shared" si="419"/>
        <v>#DIV/0!</v>
      </c>
      <c r="AM991" s="1040" t="e">
        <f t="shared" si="419"/>
        <v>#DIV/0!</v>
      </c>
      <c r="AN991" s="1040" t="e">
        <f t="shared" si="419"/>
        <v>#DIV/0!</v>
      </c>
      <c r="AO991" s="1040" t="e">
        <f t="shared" si="419"/>
        <v>#DIV/0!</v>
      </c>
      <c r="AP991" s="1040" t="e">
        <f t="shared" si="419"/>
        <v>#DIV/0!</v>
      </c>
      <c r="AQ991" s="1040" t="e">
        <f t="shared" si="419"/>
        <v>#DIV/0!</v>
      </c>
      <c r="AR991" s="1040" t="e">
        <f t="shared" si="419"/>
        <v>#DIV/0!</v>
      </c>
      <c r="AS991" s="1040" t="e">
        <f t="shared" ref="AS991:AY991" si="420">IF(AS191="",0,IF(OR(1=RANK(AS591,AS$412:AS$790,0),(2=RANK(AS591,AS$412:AS$790,0))),AS591,AS191))</f>
        <v>#DIV/0!</v>
      </c>
      <c r="AT991" s="1040" t="e">
        <f t="shared" si="420"/>
        <v>#DIV/0!</v>
      </c>
      <c r="AU991" s="1040">
        <f t="shared" si="420"/>
        <v>0</v>
      </c>
      <c r="AV991" s="1040" t="e">
        <f t="shared" si="420"/>
        <v>#DIV/0!</v>
      </c>
      <c r="AW991" s="1040" t="e">
        <f t="shared" si="420"/>
        <v>#DIV/0!</v>
      </c>
      <c r="AX991" s="1040" t="e">
        <f t="shared" si="420"/>
        <v>#DIV/0!</v>
      </c>
      <c r="AY991" s="1040" t="e">
        <f t="shared" si="420"/>
        <v>#DIV/0!</v>
      </c>
      <c r="AZ991" s="1061" t="s">
        <v>21</v>
      </c>
      <c r="BC991" s="29"/>
      <c r="BD991" s="29"/>
      <c r="BE991" s="13"/>
      <c r="BL991" s="368"/>
    </row>
    <row r="992" spans="1:64" ht="12" customHeight="1" x14ac:dyDescent="0.2">
      <c r="A992" s="39">
        <f>acute_overview_children!A192</f>
        <v>4</v>
      </c>
      <c r="B992" s="23">
        <f t="shared" si="315"/>
        <v>260030</v>
      </c>
      <c r="C992" s="23" t="str">
        <f t="shared" si="316"/>
        <v>Peas (with pods)</v>
      </c>
      <c r="D992" s="135"/>
      <c r="E992" s="1027"/>
      <c r="F992" s="87"/>
      <c r="G992" s="87"/>
      <c r="H992" s="1027"/>
      <c r="I992" s="1030"/>
      <c r="J992" s="1039" t="e">
        <f t="shared" ref="J992:AR992" si="421">IF(J192="",0,IF(OR(1=RANK(J592,J$412:J$790,0),(2=RANK(J592,J$412:J$790,0))),J592,J192))</f>
        <v>#DIV/0!</v>
      </c>
      <c r="K992" s="1040" t="e">
        <f t="shared" si="421"/>
        <v>#DIV/0!</v>
      </c>
      <c r="L992" s="1040" t="e">
        <f t="shared" si="421"/>
        <v>#DIV/0!</v>
      </c>
      <c r="M992" s="1040" t="e">
        <f t="shared" si="421"/>
        <v>#DIV/0!</v>
      </c>
      <c r="N992" s="1040" t="e">
        <f t="shared" si="421"/>
        <v>#DIV/0!</v>
      </c>
      <c r="O992" s="1040" t="e">
        <f t="shared" si="421"/>
        <v>#DIV/0!</v>
      </c>
      <c r="P992" s="1040" t="e">
        <f t="shared" si="421"/>
        <v>#DIV/0!</v>
      </c>
      <c r="Q992" s="1040" t="e">
        <f t="shared" si="421"/>
        <v>#DIV/0!</v>
      </c>
      <c r="R992" s="1040" t="e">
        <f t="shared" si="421"/>
        <v>#DIV/0!</v>
      </c>
      <c r="S992" s="1040" t="e">
        <f t="shared" si="421"/>
        <v>#DIV/0!</v>
      </c>
      <c r="T992" s="1040" t="e">
        <f t="shared" si="421"/>
        <v>#DIV/0!</v>
      </c>
      <c r="U992" s="1040" t="e">
        <f t="shared" si="421"/>
        <v>#DIV/0!</v>
      </c>
      <c r="V992" s="1040" t="e">
        <f t="shared" si="421"/>
        <v>#DIV/0!</v>
      </c>
      <c r="W992" s="1040" t="e">
        <f t="shared" si="421"/>
        <v>#DIV/0!</v>
      </c>
      <c r="X992" s="1040" t="e">
        <f t="shared" si="421"/>
        <v>#DIV/0!</v>
      </c>
      <c r="Y992" s="1040" t="e">
        <f t="shared" si="421"/>
        <v>#DIV/0!</v>
      </c>
      <c r="Z992" s="1040" t="e">
        <f t="shared" si="421"/>
        <v>#DIV/0!</v>
      </c>
      <c r="AA992" s="1040" t="e">
        <f t="shared" si="421"/>
        <v>#DIV/0!</v>
      </c>
      <c r="AB992" s="1040" t="e">
        <f t="shared" si="421"/>
        <v>#DIV/0!</v>
      </c>
      <c r="AC992" s="1040" t="e">
        <f t="shared" si="421"/>
        <v>#DIV/0!</v>
      </c>
      <c r="AD992" s="1040" t="e">
        <f t="shared" si="421"/>
        <v>#DIV/0!</v>
      </c>
      <c r="AE992" s="1040" t="e">
        <f t="shared" si="421"/>
        <v>#DIV/0!</v>
      </c>
      <c r="AF992" s="1040" t="e">
        <f t="shared" si="421"/>
        <v>#DIV/0!</v>
      </c>
      <c r="AG992" s="1040" t="e">
        <f t="shared" si="421"/>
        <v>#DIV/0!</v>
      </c>
      <c r="AH992" s="1040" t="e">
        <f t="shared" si="421"/>
        <v>#DIV/0!</v>
      </c>
      <c r="AI992" s="1040" t="e">
        <f t="shared" si="421"/>
        <v>#DIV/0!</v>
      </c>
      <c r="AJ992" s="1040" t="e">
        <f t="shared" si="421"/>
        <v>#DIV/0!</v>
      </c>
      <c r="AK992" s="1040" t="e">
        <f t="shared" si="421"/>
        <v>#DIV/0!</v>
      </c>
      <c r="AL992" s="1040" t="e">
        <f t="shared" si="421"/>
        <v>#DIV/0!</v>
      </c>
      <c r="AM992" s="1040" t="e">
        <f t="shared" si="421"/>
        <v>#DIV/0!</v>
      </c>
      <c r="AN992" s="1040" t="e">
        <f t="shared" si="421"/>
        <v>#DIV/0!</v>
      </c>
      <c r="AO992" s="1040" t="e">
        <f t="shared" si="421"/>
        <v>#DIV/0!</v>
      </c>
      <c r="AP992" s="1040" t="e">
        <f t="shared" si="421"/>
        <v>#DIV/0!</v>
      </c>
      <c r="AQ992" s="1040" t="e">
        <f t="shared" si="421"/>
        <v>#DIV/0!</v>
      </c>
      <c r="AR992" s="1040" t="e">
        <f t="shared" si="421"/>
        <v>#DIV/0!</v>
      </c>
      <c r="AS992" s="1040" t="e">
        <f t="shared" ref="AS992:AY992" si="422">IF(AS192="",0,IF(OR(1=RANK(AS592,AS$412:AS$790,0),(2=RANK(AS592,AS$412:AS$790,0))),AS592,AS192))</f>
        <v>#DIV/0!</v>
      </c>
      <c r="AT992" s="1040" t="e">
        <f t="shared" si="422"/>
        <v>#DIV/0!</v>
      </c>
      <c r="AU992" s="1040">
        <f t="shared" si="422"/>
        <v>0</v>
      </c>
      <c r="AV992" s="1040" t="e">
        <f t="shared" si="422"/>
        <v>#DIV/0!</v>
      </c>
      <c r="AW992" s="1040" t="e">
        <f t="shared" si="422"/>
        <v>#DIV/0!</v>
      </c>
      <c r="AX992" s="1040" t="e">
        <f t="shared" si="422"/>
        <v>#DIV/0!</v>
      </c>
      <c r="AY992" s="1040" t="e">
        <f t="shared" si="422"/>
        <v>#DIV/0!</v>
      </c>
      <c r="AZ992" s="1061" t="s">
        <v>21</v>
      </c>
      <c r="BC992" s="29"/>
      <c r="BD992" s="29"/>
      <c r="BE992" s="13"/>
      <c r="BL992" s="368"/>
    </row>
    <row r="993" spans="1:64" ht="12" customHeight="1" x14ac:dyDescent="0.2">
      <c r="A993" s="39">
        <f>acute_overview_children!A193</f>
        <v>4</v>
      </c>
      <c r="B993" s="23">
        <f t="shared" si="315"/>
        <v>260040</v>
      </c>
      <c r="C993" s="23" t="str">
        <f t="shared" si="316"/>
        <v>Peas (without pods)</v>
      </c>
      <c r="D993" s="135"/>
      <c r="E993" s="1027"/>
      <c r="F993" s="87"/>
      <c r="G993" s="87"/>
      <c r="H993" s="1027"/>
      <c r="I993" s="1030"/>
      <c r="J993" s="1039" t="e">
        <f t="shared" ref="J993:AR993" si="423">IF(J193="",0,IF(OR(1=RANK(J593,J$412:J$790,0),(2=RANK(J593,J$412:J$790,0))),J593,J193))</f>
        <v>#DIV/0!</v>
      </c>
      <c r="K993" s="1040" t="e">
        <f t="shared" si="423"/>
        <v>#DIV/0!</v>
      </c>
      <c r="L993" s="1040" t="e">
        <f t="shared" si="423"/>
        <v>#DIV/0!</v>
      </c>
      <c r="M993" s="1040" t="e">
        <f t="shared" si="423"/>
        <v>#DIV/0!</v>
      </c>
      <c r="N993" s="1040" t="e">
        <f t="shared" si="423"/>
        <v>#DIV/0!</v>
      </c>
      <c r="O993" s="1040" t="e">
        <f t="shared" si="423"/>
        <v>#DIV/0!</v>
      </c>
      <c r="P993" s="1040" t="e">
        <f t="shared" si="423"/>
        <v>#DIV/0!</v>
      </c>
      <c r="Q993" s="1040" t="e">
        <f t="shared" si="423"/>
        <v>#DIV/0!</v>
      </c>
      <c r="R993" s="1040" t="e">
        <f t="shared" si="423"/>
        <v>#DIV/0!</v>
      </c>
      <c r="S993" s="1040" t="e">
        <f t="shared" si="423"/>
        <v>#DIV/0!</v>
      </c>
      <c r="T993" s="1040" t="e">
        <f t="shared" si="423"/>
        <v>#DIV/0!</v>
      </c>
      <c r="U993" s="1040" t="e">
        <f t="shared" si="423"/>
        <v>#DIV/0!</v>
      </c>
      <c r="V993" s="1040" t="e">
        <f t="shared" si="423"/>
        <v>#DIV/0!</v>
      </c>
      <c r="W993" s="1040" t="e">
        <f t="shared" si="423"/>
        <v>#DIV/0!</v>
      </c>
      <c r="X993" s="1040" t="e">
        <f t="shared" si="423"/>
        <v>#DIV/0!</v>
      </c>
      <c r="Y993" s="1040" t="e">
        <f t="shared" si="423"/>
        <v>#DIV/0!</v>
      </c>
      <c r="Z993" s="1040" t="e">
        <f t="shared" si="423"/>
        <v>#DIV/0!</v>
      </c>
      <c r="AA993" s="1040" t="e">
        <f t="shared" si="423"/>
        <v>#DIV/0!</v>
      </c>
      <c r="AB993" s="1040" t="e">
        <f t="shared" si="423"/>
        <v>#DIV/0!</v>
      </c>
      <c r="AC993" s="1040" t="e">
        <f t="shared" si="423"/>
        <v>#DIV/0!</v>
      </c>
      <c r="AD993" s="1040" t="e">
        <f t="shared" si="423"/>
        <v>#DIV/0!</v>
      </c>
      <c r="AE993" s="1040" t="e">
        <f t="shared" si="423"/>
        <v>#DIV/0!</v>
      </c>
      <c r="AF993" s="1040" t="e">
        <f t="shared" si="423"/>
        <v>#DIV/0!</v>
      </c>
      <c r="AG993" s="1040" t="e">
        <f t="shared" si="423"/>
        <v>#DIV/0!</v>
      </c>
      <c r="AH993" s="1040" t="e">
        <f t="shared" si="423"/>
        <v>#DIV/0!</v>
      </c>
      <c r="AI993" s="1040" t="e">
        <f t="shared" si="423"/>
        <v>#DIV/0!</v>
      </c>
      <c r="AJ993" s="1040" t="e">
        <f t="shared" si="423"/>
        <v>#DIV/0!</v>
      </c>
      <c r="AK993" s="1040" t="e">
        <f t="shared" si="423"/>
        <v>#DIV/0!</v>
      </c>
      <c r="AL993" s="1040" t="e">
        <f t="shared" si="423"/>
        <v>#DIV/0!</v>
      </c>
      <c r="AM993" s="1040" t="e">
        <f t="shared" si="423"/>
        <v>#DIV/0!</v>
      </c>
      <c r="AN993" s="1040" t="e">
        <f t="shared" si="423"/>
        <v>#DIV/0!</v>
      </c>
      <c r="AO993" s="1040" t="e">
        <f t="shared" si="423"/>
        <v>#DIV/0!</v>
      </c>
      <c r="AP993" s="1040" t="e">
        <f t="shared" si="423"/>
        <v>#DIV/0!</v>
      </c>
      <c r="AQ993" s="1040" t="e">
        <f t="shared" si="423"/>
        <v>#DIV/0!</v>
      </c>
      <c r="AR993" s="1040" t="e">
        <f t="shared" si="423"/>
        <v>#DIV/0!</v>
      </c>
      <c r="AS993" s="1040" t="e">
        <f t="shared" ref="AS993:AY993" si="424">IF(AS193="",0,IF(OR(1=RANK(AS593,AS$412:AS$790,0),(2=RANK(AS593,AS$412:AS$790,0))),AS593,AS193))</f>
        <v>#DIV/0!</v>
      </c>
      <c r="AT993" s="1040" t="e">
        <f t="shared" si="424"/>
        <v>#DIV/0!</v>
      </c>
      <c r="AU993" s="1040">
        <f t="shared" si="424"/>
        <v>0</v>
      </c>
      <c r="AV993" s="1040" t="e">
        <f t="shared" si="424"/>
        <v>#DIV/0!</v>
      </c>
      <c r="AW993" s="1040" t="e">
        <f t="shared" si="424"/>
        <v>#DIV/0!</v>
      </c>
      <c r="AX993" s="1040" t="e">
        <f t="shared" si="424"/>
        <v>#DIV/0!</v>
      </c>
      <c r="AY993" s="1040" t="e">
        <f t="shared" si="424"/>
        <v>#DIV/0!</v>
      </c>
      <c r="AZ993" s="1061" t="s">
        <v>21</v>
      </c>
      <c r="BC993" s="29"/>
      <c r="BD993" s="29"/>
      <c r="BE993" s="13"/>
      <c r="BL993" s="368"/>
    </row>
    <row r="994" spans="1:64" ht="12" customHeight="1" x14ac:dyDescent="0.2">
      <c r="A994" s="39">
        <f>acute_overview_children!A194</f>
        <v>4</v>
      </c>
      <c r="B994" s="23">
        <f t="shared" si="315"/>
        <v>260050</v>
      </c>
      <c r="C994" s="23" t="str">
        <f t="shared" si="316"/>
        <v>Lentils (fresh)</v>
      </c>
      <c r="D994" s="135"/>
      <c r="E994" s="1027"/>
      <c r="F994" s="87"/>
      <c r="G994" s="87"/>
      <c r="H994" s="1027"/>
      <c r="I994" s="1030"/>
      <c r="J994" s="1039" t="e">
        <f t="shared" ref="J994:AR994" si="425">IF(J194="",0,IF(OR(1=RANK(J594,J$412:J$790,0),(2=RANK(J594,J$412:J$790,0))),J594,J194))</f>
        <v>#DIV/0!</v>
      </c>
      <c r="K994" s="1040" t="e">
        <f t="shared" si="425"/>
        <v>#DIV/0!</v>
      </c>
      <c r="L994" s="1040" t="e">
        <f t="shared" si="425"/>
        <v>#DIV/0!</v>
      </c>
      <c r="M994" s="1040" t="e">
        <f t="shared" si="425"/>
        <v>#DIV/0!</v>
      </c>
      <c r="N994" s="1040" t="e">
        <f t="shared" si="425"/>
        <v>#DIV/0!</v>
      </c>
      <c r="O994" s="1040" t="e">
        <f t="shared" si="425"/>
        <v>#DIV/0!</v>
      </c>
      <c r="P994" s="1040" t="e">
        <f t="shared" si="425"/>
        <v>#DIV/0!</v>
      </c>
      <c r="Q994" s="1040" t="e">
        <f t="shared" si="425"/>
        <v>#DIV/0!</v>
      </c>
      <c r="R994" s="1040" t="e">
        <f t="shared" si="425"/>
        <v>#DIV/0!</v>
      </c>
      <c r="S994" s="1040" t="e">
        <f t="shared" si="425"/>
        <v>#DIV/0!</v>
      </c>
      <c r="T994" s="1040" t="e">
        <f t="shared" si="425"/>
        <v>#DIV/0!</v>
      </c>
      <c r="U994" s="1040" t="e">
        <f t="shared" si="425"/>
        <v>#DIV/0!</v>
      </c>
      <c r="V994" s="1040" t="e">
        <f t="shared" si="425"/>
        <v>#DIV/0!</v>
      </c>
      <c r="W994" s="1040" t="e">
        <f t="shared" si="425"/>
        <v>#DIV/0!</v>
      </c>
      <c r="X994" s="1040" t="e">
        <f t="shared" si="425"/>
        <v>#DIV/0!</v>
      </c>
      <c r="Y994" s="1040" t="e">
        <f t="shared" si="425"/>
        <v>#DIV/0!</v>
      </c>
      <c r="Z994" s="1040" t="e">
        <f t="shared" si="425"/>
        <v>#DIV/0!</v>
      </c>
      <c r="AA994" s="1040" t="e">
        <f t="shared" si="425"/>
        <v>#DIV/0!</v>
      </c>
      <c r="AB994" s="1040" t="e">
        <f t="shared" si="425"/>
        <v>#DIV/0!</v>
      </c>
      <c r="AC994" s="1040" t="e">
        <f t="shared" si="425"/>
        <v>#DIV/0!</v>
      </c>
      <c r="AD994" s="1040" t="e">
        <f t="shared" si="425"/>
        <v>#DIV/0!</v>
      </c>
      <c r="AE994" s="1040" t="e">
        <f t="shared" si="425"/>
        <v>#DIV/0!</v>
      </c>
      <c r="AF994" s="1040" t="e">
        <f t="shared" si="425"/>
        <v>#DIV/0!</v>
      </c>
      <c r="AG994" s="1040" t="e">
        <f t="shared" si="425"/>
        <v>#DIV/0!</v>
      </c>
      <c r="AH994" s="1040" t="e">
        <f t="shared" si="425"/>
        <v>#DIV/0!</v>
      </c>
      <c r="AI994" s="1040" t="e">
        <f t="shared" si="425"/>
        <v>#DIV/0!</v>
      </c>
      <c r="AJ994" s="1040" t="e">
        <f t="shared" si="425"/>
        <v>#DIV/0!</v>
      </c>
      <c r="AK994" s="1040" t="e">
        <f t="shared" si="425"/>
        <v>#DIV/0!</v>
      </c>
      <c r="AL994" s="1040" t="e">
        <f t="shared" si="425"/>
        <v>#DIV/0!</v>
      </c>
      <c r="AM994" s="1040" t="e">
        <f t="shared" si="425"/>
        <v>#DIV/0!</v>
      </c>
      <c r="AN994" s="1040" t="e">
        <f t="shared" si="425"/>
        <v>#DIV/0!</v>
      </c>
      <c r="AO994" s="1040" t="e">
        <f t="shared" si="425"/>
        <v>#DIV/0!</v>
      </c>
      <c r="AP994" s="1040" t="e">
        <f t="shared" si="425"/>
        <v>#DIV/0!</v>
      </c>
      <c r="AQ994" s="1040" t="e">
        <f t="shared" si="425"/>
        <v>#DIV/0!</v>
      </c>
      <c r="AR994" s="1040" t="e">
        <f t="shared" si="425"/>
        <v>#DIV/0!</v>
      </c>
      <c r="AS994" s="1040" t="e">
        <f t="shared" ref="AS994:AY994" si="426">IF(AS194="",0,IF(OR(1=RANK(AS594,AS$412:AS$790,0),(2=RANK(AS594,AS$412:AS$790,0))),AS594,AS194))</f>
        <v>#DIV/0!</v>
      </c>
      <c r="AT994" s="1040" t="e">
        <f t="shared" si="426"/>
        <v>#DIV/0!</v>
      </c>
      <c r="AU994" s="1040">
        <f t="shared" si="426"/>
        <v>0</v>
      </c>
      <c r="AV994" s="1040" t="e">
        <f t="shared" si="426"/>
        <v>#DIV/0!</v>
      </c>
      <c r="AW994" s="1040" t="e">
        <f t="shared" si="426"/>
        <v>#DIV/0!</v>
      </c>
      <c r="AX994" s="1040" t="e">
        <f t="shared" si="426"/>
        <v>#DIV/0!</v>
      </c>
      <c r="AY994" s="1040" t="e">
        <f t="shared" si="426"/>
        <v>#DIV/0!</v>
      </c>
      <c r="AZ994" s="1061" t="s">
        <v>21</v>
      </c>
      <c r="BC994" s="29"/>
      <c r="BD994" s="29"/>
      <c r="BE994" s="13"/>
      <c r="BL994" s="368"/>
    </row>
    <row r="995" spans="1:64" ht="12" customHeight="1" x14ac:dyDescent="0.2">
      <c r="A995" s="39">
        <f>acute_overview_children!A195</f>
        <v>4</v>
      </c>
      <c r="B995" s="23">
        <f t="shared" si="315"/>
        <v>260990</v>
      </c>
      <c r="C995" s="23" t="str">
        <f t="shared" si="316"/>
        <v>Other legume vegetables (fresh)</v>
      </c>
      <c r="D995" s="135"/>
      <c r="E995" s="1027"/>
      <c r="F995" s="87"/>
      <c r="G995" s="87"/>
      <c r="H995" s="1027"/>
      <c r="I995" s="1030"/>
      <c r="J995" s="1039" t="e">
        <f t="shared" ref="J995:AR995" si="427">IF(J195="",0,IF(OR(1=RANK(J595,J$412:J$790,0),(2=RANK(J595,J$412:J$790,0))),J595,J195))</f>
        <v>#DIV/0!</v>
      </c>
      <c r="K995" s="1040" t="e">
        <f t="shared" si="427"/>
        <v>#DIV/0!</v>
      </c>
      <c r="L995" s="1040" t="e">
        <f t="shared" si="427"/>
        <v>#DIV/0!</v>
      </c>
      <c r="M995" s="1040" t="e">
        <f t="shared" si="427"/>
        <v>#DIV/0!</v>
      </c>
      <c r="N995" s="1040" t="e">
        <f t="shared" si="427"/>
        <v>#DIV/0!</v>
      </c>
      <c r="O995" s="1040" t="e">
        <f t="shared" si="427"/>
        <v>#DIV/0!</v>
      </c>
      <c r="P995" s="1040" t="e">
        <f t="shared" si="427"/>
        <v>#DIV/0!</v>
      </c>
      <c r="Q995" s="1040" t="e">
        <f t="shared" si="427"/>
        <v>#DIV/0!</v>
      </c>
      <c r="R995" s="1040" t="e">
        <f t="shared" si="427"/>
        <v>#DIV/0!</v>
      </c>
      <c r="S995" s="1040" t="e">
        <f t="shared" si="427"/>
        <v>#DIV/0!</v>
      </c>
      <c r="T995" s="1040" t="e">
        <f t="shared" si="427"/>
        <v>#DIV/0!</v>
      </c>
      <c r="U995" s="1040" t="e">
        <f t="shared" si="427"/>
        <v>#DIV/0!</v>
      </c>
      <c r="V995" s="1040" t="e">
        <f t="shared" si="427"/>
        <v>#DIV/0!</v>
      </c>
      <c r="W995" s="1040" t="e">
        <f t="shared" si="427"/>
        <v>#DIV/0!</v>
      </c>
      <c r="X995" s="1040" t="e">
        <f t="shared" si="427"/>
        <v>#DIV/0!</v>
      </c>
      <c r="Y995" s="1040" t="e">
        <f t="shared" si="427"/>
        <v>#DIV/0!</v>
      </c>
      <c r="Z995" s="1040" t="e">
        <f t="shared" si="427"/>
        <v>#DIV/0!</v>
      </c>
      <c r="AA995" s="1040" t="e">
        <f t="shared" si="427"/>
        <v>#DIV/0!</v>
      </c>
      <c r="AB995" s="1040" t="e">
        <f t="shared" si="427"/>
        <v>#DIV/0!</v>
      </c>
      <c r="AC995" s="1040" t="e">
        <f t="shared" si="427"/>
        <v>#DIV/0!</v>
      </c>
      <c r="AD995" s="1040" t="e">
        <f t="shared" si="427"/>
        <v>#DIV/0!</v>
      </c>
      <c r="AE995" s="1040" t="e">
        <f t="shared" si="427"/>
        <v>#DIV/0!</v>
      </c>
      <c r="AF995" s="1040" t="e">
        <f t="shared" si="427"/>
        <v>#DIV/0!</v>
      </c>
      <c r="AG995" s="1040" t="e">
        <f t="shared" si="427"/>
        <v>#DIV/0!</v>
      </c>
      <c r="AH995" s="1040" t="e">
        <f t="shared" si="427"/>
        <v>#DIV/0!</v>
      </c>
      <c r="AI995" s="1040" t="e">
        <f t="shared" si="427"/>
        <v>#DIV/0!</v>
      </c>
      <c r="AJ995" s="1040" t="e">
        <f t="shared" si="427"/>
        <v>#DIV/0!</v>
      </c>
      <c r="AK995" s="1040" t="e">
        <f t="shared" si="427"/>
        <v>#DIV/0!</v>
      </c>
      <c r="AL995" s="1040" t="e">
        <f t="shared" si="427"/>
        <v>#DIV/0!</v>
      </c>
      <c r="AM995" s="1040" t="e">
        <f t="shared" si="427"/>
        <v>#DIV/0!</v>
      </c>
      <c r="AN995" s="1040" t="e">
        <f t="shared" si="427"/>
        <v>#DIV/0!</v>
      </c>
      <c r="AO995" s="1040" t="e">
        <f t="shared" si="427"/>
        <v>#DIV/0!</v>
      </c>
      <c r="AP995" s="1040" t="e">
        <f t="shared" si="427"/>
        <v>#DIV/0!</v>
      </c>
      <c r="AQ995" s="1040" t="e">
        <f t="shared" si="427"/>
        <v>#DIV/0!</v>
      </c>
      <c r="AR995" s="1040" t="e">
        <f t="shared" si="427"/>
        <v>#DIV/0!</v>
      </c>
      <c r="AS995" s="1040" t="e">
        <f t="shared" ref="AS995:AY995" si="428">IF(AS195="",0,IF(OR(1=RANK(AS595,AS$412:AS$790,0),(2=RANK(AS595,AS$412:AS$790,0))),AS595,AS195))</f>
        <v>#DIV/0!</v>
      </c>
      <c r="AT995" s="1040" t="e">
        <f t="shared" si="428"/>
        <v>#DIV/0!</v>
      </c>
      <c r="AU995" s="1040">
        <f t="shared" si="428"/>
        <v>0</v>
      </c>
      <c r="AV995" s="1040" t="e">
        <f t="shared" si="428"/>
        <v>#DIV/0!</v>
      </c>
      <c r="AW995" s="1040" t="e">
        <f t="shared" si="428"/>
        <v>#DIV/0!</v>
      </c>
      <c r="AX995" s="1040" t="e">
        <f t="shared" si="428"/>
        <v>#DIV/0!</v>
      </c>
      <c r="AY995" s="1040" t="e">
        <f t="shared" si="428"/>
        <v>#DIV/0!</v>
      </c>
      <c r="AZ995" s="1061" t="s">
        <v>21</v>
      </c>
      <c r="BC995" s="29"/>
      <c r="BD995" s="29"/>
      <c r="BE995" s="13"/>
      <c r="BL995" s="368"/>
    </row>
    <row r="996" spans="1:64" ht="12" customHeight="1" x14ac:dyDescent="0.2">
      <c r="A996" s="515">
        <f>acute_overview_children!A196</f>
        <v>2</v>
      </c>
      <c r="B996" s="131">
        <f t="shared" si="315"/>
        <v>270000</v>
      </c>
      <c r="C996" s="131" t="str">
        <f t="shared" si="316"/>
        <v xml:space="preserve">Stem vegetables </v>
      </c>
      <c r="D996" s="1035"/>
      <c r="E996" s="1027"/>
      <c r="F996" s="87"/>
      <c r="G996" s="87"/>
      <c r="H996" s="1027"/>
      <c r="I996" s="1030"/>
      <c r="J996" s="1037" t="e">
        <f t="shared" ref="J996:AR996" si="429">IF(J196="",0,IF(OR(1=RANK(J596,J$412:J$790,0),(2=RANK(J596,J$412:J$790,0))),J596,J196))</f>
        <v>#DIV/0!</v>
      </c>
      <c r="K996" s="1038" t="e">
        <f t="shared" si="429"/>
        <v>#DIV/0!</v>
      </c>
      <c r="L996" s="1038" t="e">
        <f t="shared" si="429"/>
        <v>#DIV/0!</v>
      </c>
      <c r="M996" s="1038" t="e">
        <f t="shared" si="429"/>
        <v>#DIV/0!</v>
      </c>
      <c r="N996" s="1038" t="e">
        <f t="shared" si="429"/>
        <v>#DIV/0!</v>
      </c>
      <c r="O996" s="1038" t="e">
        <f t="shared" si="429"/>
        <v>#DIV/0!</v>
      </c>
      <c r="P996" s="1038" t="e">
        <f t="shared" si="429"/>
        <v>#DIV/0!</v>
      </c>
      <c r="Q996" s="1038" t="e">
        <f t="shared" si="429"/>
        <v>#DIV/0!</v>
      </c>
      <c r="R996" s="1038" t="e">
        <f t="shared" si="429"/>
        <v>#DIV/0!</v>
      </c>
      <c r="S996" s="1038" t="e">
        <f t="shared" si="429"/>
        <v>#DIV/0!</v>
      </c>
      <c r="T996" s="1038" t="e">
        <f t="shared" si="429"/>
        <v>#DIV/0!</v>
      </c>
      <c r="U996" s="1038" t="e">
        <f t="shared" si="429"/>
        <v>#DIV/0!</v>
      </c>
      <c r="V996" s="1038" t="e">
        <f t="shared" si="429"/>
        <v>#DIV/0!</v>
      </c>
      <c r="W996" s="1038" t="e">
        <f t="shared" si="429"/>
        <v>#DIV/0!</v>
      </c>
      <c r="X996" s="1038" t="e">
        <f t="shared" si="429"/>
        <v>#DIV/0!</v>
      </c>
      <c r="Y996" s="1038" t="e">
        <f t="shared" si="429"/>
        <v>#DIV/0!</v>
      </c>
      <c r="Z996" s="1038" t="e">
        <f t="shared" si="429"/>
        <v>#DIV/0!</v>
      </c>
      <c r="AA996" s="1038" t="e">
        <f t="shared" si="429"/>
        <v>#DIV/0!</v>
      </c>
      <c r="AB996" s="1038" t="e">
        <f t="shared" si="429"/>
        <v>#DIV/0!</v>
      </c>
      <c r="AC996" s="1038" t="e">
        <f t="shared" si="429"/>
        <v>#DIV/0!</v>
      </c>
      <c r="AD996" s="1038" t="e">
        <f t="shared" si="429"/>
        <v>#DIV/0!</v>
      </c>
      <c r="AE996" s="1038" t="e">
        <f t="shared" si="429"/>
        <v>#DIV/0!</v>
      </c>
      <c r="AF996" s="1038" t="e">
        <f t="shared" si="429"/>
        <v>#DIV/0!</v>
      </c>
      <c r="AG996" s="1038" t="e">
        <f t="shared" si="429"/>
        <v>#DIV/0!</v>
      </c>
      <c r="AH996" s="1038" t="e">
        <f t="shared" si="429"/>
        <v>#DIV/0!</v>
      </c>
      <c r="AI996" s="1038" t="e">
        <f t="shared" si="429"/>
        <v>#DIV/0!</v>
      </c>
      <c r="AJ996" s="1038" t="e">
        <f t="shared" si="429"/>
        <v>#DIV/0!</v>
      </c>
      <c r="AK996" s="1038" t="e">
        <f t="shared" si="429"/>
        <v>#DIV/0!</v>
      </c>
      <c r="AL996" s="1038" t="e">
        <f t="shared" si="429"/>
        <v>#DIV/0!</v>
      </c>
      <c r="AM996" s="1038" t="e">
        <f t="shared" si="429"/>
        <v>#DIV/0!</v>
      </c>
      <c r="AN996" s="1038" t="e">
        <f t="shared" si="429"/>
        <v>#DIV/0!</v>
      </c>
      <c r="AO996" s="1038" t="e">
        <f t="shared" si="429"/>
        <v>#DIV/0!</v>
      </c>
      <c r="AP996" s="1038" t="e">
        <f t="shared" si="429"/>
        <v>#DIV/0!</v>
      </c>
      <c r="AQ996" s="1038" t="e">
        <f t="shared" si="429"/>
        <v>#DIV/0!</v>
      </c>
      <c r="AR996" s="1038" t="e">
        <f t="shared" si="429"/>
        <v>#DIV/0!</v>
      </c>
      <c r="AS996" s="1038" t="e">
        <f t="shared" ref="AS996:AY996" si="430">IF(AS196="",0,IF(OR(1=RANK(AS596,AS$412:AS$790,0),(2=RANK(AS596,AS$412:AS$790,0))),AS596,AS196))</f>
        <v>#DIV/0!</v>
      </c>
      <c r="AT996" s="1038" t="e">
        <f t="shared" si="430"/>
        <v>#DIV/0!</v>
      </c>
      <c r="AU996" s="1038">
        <f t="shared" si="430"/>
        <v>0</v>
      </c>
      <c r="AV996" s="1038" t="e">
        <f t="shared" si="430"/>
        <v>#DIV/0!</v>
      </c>
      <c r="AW996" s="1038" t="e">
        <f t="shared" si="430"/>
        <v>#DIV/0!</v>
      </c>
      <c r="AX996" s="1038" t="e">
        <f t="shared" si="430"/>
        <v>#DIV/0!</v>
      </c>
      <c r="AY996" s="1038" t="e">
        <f t="shared" si="430"/>
        <v>#DIV/0!</v>
      </c>
      <c r="AZ996" s="1061" t="s">
        <v>21</v>
      </c>
      <c r="BC996" s="29"/>
      <c r="BD996" s="29"/>
      <c r="BE996" s="13"/>
      <c r="BL996" s="368"/>
    </row>
    <row r="997" spans="1:64" ht="12" customHeight="1" x14ac:dyDescent="0.2">
      <c r="A997" s="39">
        <f>acute_overview_children!A197</f>
        <v>4</v>
      </c>
      <c r="B997" s="23">
        <f t="shared" si="315"/>
        <v>270010</v>
      </c>
      <c r="C997" s="23" t="str">
        <f t="shared" si="316"/>
        <v>Asparagus</v>
      </c>
      <c r="D997" s="135"/>
      <c r="E997" s="1027"/>
      <c r="F997" s="87"/>
      <c r="G997" s="87"/>
      <c r="H997" s="1027"/>
      <c r="I997" s="1030"/>
      <c r="J997" s="1039" t="e">
        <f t="shared" ref="J997:AR997" si="431">IF(J197="",0,IF(OR(1=RANK(J597,J$412:J$790,0),(2=RANK(J597,J$412:J$790,0))),J597,J197))</f>
        <v>#DIV/0!</v>
      </c>
      <c r="K997" s="1040" t="e">
        <f t="shared" si="431"/>
        <v>#DIV/0!</v>
      </c>
      <c r="L997" s="1040" t="e">
        <f t="shared" si="431"/>
        <v>#DIV/0!</v>
      </c>
      <c r="M997" s="1040" t="e">
        <f t="shared" si="431"/>
        <v>#DIV/0!</v>
      </c>
      <c r="N997" s="1040" t="e">
        <f t="shared" si="431"/>
        <v>#DIV/0!</v>
      </c>
      <c r="O997" s="1040" t="e">
        <f t="shared" si="431"/>
        <v>#DIV/0!</v>
      </c>
      <c r="P997" s="1040" t="e">
        <f t="shared" si="431"/>
        <v>#DIV/0!</v>
      </c>
      <c r="Q997" s="1040" t="e">
        <f t="shared" si="431"/>
        <v>#DIV/0!</v>
      </c>
      <c r="R997" s="1040" t="e">
        <f t="shared" si="431"/>
        <v>#DIV/0!</v>
      </c>
      <c r="S997" s="1040" t="e">
        <f t="shared" si="431"/>
        <v>#DIV/0!</v>
      </c>
      <c r="T997" s="1040" t="e">
        <f t="shared" si="431"/>
        <v>#DIV/0!</v>
      </c>
      <c r="U997" s="1040" t="e">
        <f t="shared" si="431"/>
        <v>#DIV/0!</v>
      </c>
      <c r="V997" s="1040" t="e">
        <f t="shared" si="431"/>
        <v>#DIV/0!</v>
      </c>
      <c r="W997" s="1040" t="e">
        <f t="shared" si="431"/>
        <v>#DIV/0!</v>
      </c>
      <c r="X997" s="1040" t="e">
        <f t="shared" si="431"/>
        <v>#DIV/0!</v>
      </c>
      <c r="Y997" s="1040" t="e">
        <f t="shared" si="431"/>
        <v>#DIV/0!</v>
      </c>
      <c r="Z997" s="1040" t="e">
        <f t="shared" si="431"/>
        <v>#DIV/0!</v>
      </c>
      <c r="AA997" s="1040" t="e">
        <f t="shared" si="431"/>
        <v>#DIV/0!</v>
      </c>
      <c r="AB997" s="1040" t="e">
        <f t="shared" si="431"/>
        <v>#DIV/0!</v>
      </c>
      <c r="AC997" s="1040" t="e">
        <f t="shared" si="431"/>
        <v>#DIV/0!</v>
      </c>
      <c r="AD997" s="1040" t="e">
        <f t="shared" si="431"/>
        <v>#DIV/0!</v>
      </c>
      <c r="AE997" s="1040" t="e">
        <f t="shared" si="431"/>
        <v>#DIV/0!</v>
      </c>
      <c r="AF997" s="1040" t="e">
        <f t="shared" si="431"/>
        <v>#DIV/0!</v>
      </c>
      <c r="AG997" s="1040" t="e">
        <f t="shared" si="431"/>
        <v>#DIV/0!</v>
      </c>
      <c r="AH997" s="1040" t="e">
        <f t="shared" si="431"/>
        <v>#DIV/0!</v>
      </c>
      <c r="AI997" s="1040" t="e">
        <f t="shared" si="431"/>
        <v>#DIV/0!</v>
      </c>
      <c r="AJ997" s="1040" t="e">
        <f t="shared" si="431"/>
        <v>#DIV/0!</v>
      </c>
      <c r="AK997" s="1040" t="e">
        <f t="shared" si="431"/>
        <v>#DIV/0!</v>
      </c>
      <c r="AL997" s="1040" t="e">
        <f t="shared" si="431"/>
        <v>#DIV/0!</v>
      </c>
      <c r="AM997" s="1040" t="e">
        <f t="shared" si="431"/>
        <v>#DIV/0!</v>
      </c>
      <c r="AN997" s="1040" t="e">
        <f t="shared" si="431"/>
        <v>#DIV/0!</v>
      </c>
      <c r="AO997" s="1040" t="e">
        <f t="shared" si="431"/>
        <v>#DIV/0!</v>
      </c>
      <c r="AP997" s="1040" t="e">
        <f t="shared" si="431"/>
        <v>#DIV/0!</v>
      </c>
      <c r="AQ997" s="1040" t="e">
        <f t="shared" si="431"/>
        <v>#DIV/0!</v>
      </c>
      <c r="AR997" s="1040" t="e">
        <f t="shared" si="431"/>
        <v>#DIV/0!</v>
      </c>
      <c r="AS997" s="1040" t="e">
        <f t="shared" ref="AS997:AY997" si="432">IF(AS197="",0,IF(OR(1=RANK(AS597,AS$412:AS$790,0),(2=RANK(AS597,AS$412:AS$790,0))),AS597,AS197))</f>
        <v>#DIV/0!</v>
      </c>
      <c r="AT997" s="1040" t="e">
        <f t="shared" si="432"/>
        <v>#DIV/0!</v>
      </c>
      <c r="AU997" s="1040">
        <f t="shared" si="432"/>
        <v>0</v>
      </c>
      <c r="AV997" s="1040" t="e">
        <f t="shared" si="432"/>
        <v>#DIV/0!</v>
      </c>
      <c r="AW997" s="1040" t="e">
        <f t="shared" si="432"/>
        <v>#DIV/0!</v>
      </c>
      <c r="AX997" s="1040" t="e">
        <f t="shared" si="432"/>
        <v>#DIV/0!</v>
      </c>
      <c r="AY997" s="1040" t="e">
        <f t="shared" si="432"/>
        <v>#DIV/0!</v>
      </c>
      <c r="AZ997" s="1061" t="s">
        <v>21</v>
      </c>
      <c r="BC997" s="29"/>
      <c r="BD997" s="29"/>
      <c r="BE997" s="13"/>
      <c r="BL997" s="368"/>
    </row>
    <row r="998" spans="1:64" ht="12" customHeight="1" x14ac:dyDescent="0.2">
      <c r="A998" s="39">
        <f>acute_overview_children!A198</f>
        <v>4</v>
      </c>
      <c r="B998" s="23">
        <f t="shared" si="315"/>
        <v>270020</v>
      </c>
      <c r="C998" s="23" t="str">
        <f t="shared" si="316"/>
        <v>Cardoons</v>
      </c>
      <c r="D998" s="135"/>
      <c r="E998" s="1027"/>
      <c r="F998" s="87"/>
      <c r="G998" s="87"/>
      <c r="H998" s="1027"/>
      <c r="I998" s="1030"/>
      <c r="J998" s="1039" t="e">
        <f t="shared" ref="J998:AR998" si="433">IF(J198="",0,IF(OR(1=RANK(J598,J$412:J$790,0),(2=RANK(J598,J$412:J$790,0))),J598,J198))</f>
        <v>#DIV/0!</v>
      </c>
      <c r="K998" s="1040" t="e">
        <f t="shared" si="433"/>
        <v>#DIV/0!</v>
      </c>
      <c r="L998" s="1040" t="e">
        <f t="shared" si="433"/>
        <v>#DIV/0!</v>
      </c>
      <c r="M998" s="1040" t="e">
        <f t="shared" si="433"/>
        <v>#DIV/0!</v>
      </c>
      <c r="N998" s="1040" t="e">
        <f t="shared" si="433"/>
        <v>#DIV/0!</v>
      </c>
      <c r="O998" s="1040" t="e">
        <f t="shared" si="433"/>
        <v>#DIV/0!</v>
      </c>
      <c r="P998" s="1040" t="e">
        <f t="shared" si="433"/>
        <v>#DIV/0!</v>
      </c>
      <c r="Q998" s="1040" t="e">
        <f t="shared" si="433"/>
        <v>#DIV/0!</v>
      </c>
      <c r="R998" s="1040" t="e">
        <f t="shared" si="433"/>
        <v>#DIV/0!</v>
      </c>
      <c r="S998" s="1040" t="e">
        <f t="shared" si="433"/>
        <v>#DIV/0!</v>
      </c>
      <c r="T998" s="1040" t="e">
        <f t="shared" si="433"/>
        <v>#DIV/0!</v>
      </c>
      <c r="U998" s="1040" t="e">
        <f t="shared" si="433"/>
        <v>#DIV/0!</v>
      </c>
      <c r="V998" s="1040" t="e">
        <f t="shared" si="433"/>
        <v>#DIV/0!</v>
      </c>
      <c r="W998" s="1040" t="e">
        <f t="shared" si="433"/>
        <v>#DIV/0!</v>
      </c>
      <c r="X998" s="1040" t="e">
        <f t="shared" si="433"/>
        <v>#DIV/0!</v>
      </c>
      <c r="Y998" s="1040" t="e">
        <f t="shared" si="433"/>
        <v>#DIV/0!</v>
      </c>
      <c r="Z998" s="1040" t="e">
        <f t="shared" si="433"/>
        <v>#DIV/0!</v>
      </c>
      <c r="AA998" s="1040" t="e">
        <f t="shared" si="433"/>
        <v>#DIV/0!</v>
      </c>
      <c r="AB998" s="1040" t="e">
        <f t="shared" si="433"/>
        <v>#DIV/0!</v>
      </c>
      <c r="AC998" s="1040" t="e">
        <f t="shared" si="433"/>
        <v>#DIV/0!</v>
      </c>
      <c r="AD998" s="1040" t="e">
        <f t="shared" si="433"/>
        <v>#DIV/0!</v>
      </c>
      <c r="AE998" s="1040" t="e">
        <f t="shared" si="433"/>
        <v>#DIV/0!</v>
      </c>
      <c r="AF998" s="1040" t="e">
        <f t="shared" si="433"/>
        <v>#DIV/0!</v>
      </c>
      <c r="AG998" s="1040" t="e">
        <f t="shared" si="433"/>
        <v>#DIV/0!</v>
      </c>
      <c r="AH998" s="1040" t="e">
        <f t="shared" si="433"/>
        <v>#DIV/0!</v>
      </c>
      <c r="AI998" s="1040" t="e">
        <f t="shared" si="433"/>
        <v>#DIV/0!</v>
      </c>
      <c r="AJ998" s="1040" t="e">
        <f t="shared" si="433"/>
        <v>#DIV/0!</v>
      </c>
      <c r="AK998" s="1040" t="e">
        <f t="shared" si="433"/>
        <v>#DIV/0!</v>
      </c>
      <c r="AL998" s="1040" t="e">
        <f t="shared" si="433"/>
        <v>#DIV/0!</v>
      </c>
      <c r="AM998" s="1040" t="e">
        <f t="shared" si="433"/>
        <v>#DIV/0!</v>
      </c>
      <c r="AN998" s="1040" t="e">
        <f t="shared" si="433"/>
        <v>#DIV/0!</v>
      </c>
      <c r="AO998" s="1040" t="e">
        <f t="shared" si="433"/>
        <v>#DIV/0!</v>
      </c>
      <c r="AP998" s="1040" t="e">
        <f t="shared" si="433"/>
        <v>#DIV/0!</v>
      </c>
      <c r="AQ998" s="1040" t="e">
        <f t="shared" si="433"/>
        <v>#DIV/0!</v>
      </c>
      <c r="AR998" s="1040" t="e">
        <f t="shared" si="433"/>
        <v>#DIV/0!</v>
      </c>
      <c r="AS998" s="1040" t="e">
        <f t="shared" ref="AS998:AY998" si="434">IF(AS198="",0,IF(OR(1=RANK(AS598,AS$412:AS$790,0),(2=RANK(AS598,AS$412:AS$790,0))),AS598,AS198))</f>
        <v>#DIV/0!</v>
      </c>
      <c r="AT998" s="1040" t="e">
        <f t="shared" si="434"/>
        <v>#DIV/0!</v>
      </c>
      <c r="AU998" s="1040">
        <f t="shared" si="434"/>
        <v>0</v>
      </c>
      <c r="AV998" s="1040" t="e">
        <f t="shared" si="434"/>
        <v>#DIV/0!</v>
      </c>
      <c r="AW998" s="1040" t="e">
        <f t="shared" si="434"/>
        <v>#DIV/0!</v>
      </c>
      <c r="AX998" s="1040" t="e">
        <f t="shared" si="434"/>
        <v>#DIV/0!</v>
      </c>
      <c r="AY998" s="1040" t="e">
        <f t="shared" si="434"/>
        <v>#DIV/0!</v>
      </c>
      <c r="AZ998" s="1061" t="s">
        <v>21</v>
      </c>
      <c r="BC998" s="29"/>
      <c r="BD998" s="29"/>
      <c r="BE998" s="13"/>
      <c r="BL998" s="368"/>
    </row>
    <row r="999" spans="1:64" ht="12" customHeight="1" x14ac:dyDescent="0.2">
      <c r="A999" s="39">
        <f>acute_overview_children!A199</f>
        <v>4</v>
      </c>
      <c r="B999" s="23">
        <f t="shared" si="315"/>
        <v>270030</v>
      </c>
      <c r="C999" s="23" t="str">
        <f t="shared" si="316"/>
        <v>Celeries</v>
      </c>
      <c r="D999" s="135"/>
      <c r="E999" s="1027"/>
      <c r="F999" s="87"/>
      <c r="G999" s="87"/>
      <c r="H999" s="1027"/>
      <c r="I999" s="1030"/>
      <c r="J999" s="1039" t="e">
        <f t="shared" ref="J999:AR999" si="435">IF(J199="",0,IF(OR(1=RANK(J599,J$412:J$790,0),(2=RANK(J599,J$412:J$790,0))),J599,J199))</f>
        <v>#DIV/0!</v>
      </c>
      <c r="K999" s="1040" t="e">
        <f t="shared" si="435"/>
        <v>#DIV/0!</v>
      </c>
      <c r="L999" s="1040" t="e">
        <f t="shared" si="435"/>
        <v>#DIV/0!</v>
      </c>
      <c r="M999" s="1040" t="e">
        <f t="shared" si="435"/>
        <v>#DIV/0!</v>
      </c>
      <c r="N999" s="1040" t="e">
        <f t="shared" si="435"/>
        <v>#DIV/0!</v>
      </c>
      <c r="O999" s="1040" t="e">
        <f t="shared" si="435"/>
        <v>#DIV/0!</v>
      </c>
      <c r="P999" s="1040" t="e">
        <f t="shared" si="435"/>
        <v>#DIV/0!</v>
      </c>
      <c r="Q999" s="1040" t="e">
        <f t="shared" si="435"/>
        <v>#DIV/0!</v>
      </c>
      <c r="R999" s="1040" t="e">
        <f t="shared" si="435"/>
        <v>#DIV/0!</v>
      </c>
      <c r="S999" s="1040" t="e">
        <f t="shared" si="435"/>
        <v>#DIV/0!</v>
      </c>
      <c r="T999" s="1040" t="e">
        <f t="shared" si="435"/>
        <v>#DIV/0!</v>
      </c>
      <c r="U999" s="1040" t="e">
        <f t="shared" si="435"/>
        <v>#DIV/0!</v>
      </c>
      <c r="V999" s="1040" t="e">
        <f t="shared" si="435"/>
        <v>#DIV/0!</v>
      </c>
      <c r="W999" s="1040" t="e">
        <f t="shared" si="435"/>
        <v>#DIV/0!</v>
      </c>
      <c r="X999" s="1040" t="e">
        <f t="shared" si="435"/>
        <v>#DIV/0!</v>
      </c>
      <c r="Y999" s="1040" t="e">
        <f t="shared" si="435"/>
        <v>#DIV/0!</v>
      </c>
      <c r="Z999" s="1040" t="e">
        <f t="shared" si="435"/>
        <v>#DIV/0!</v>
      </c>
      <c r="AA999" s="1040" t="e">
        <f t="shared" si="435"/>
        <v>#DIV/0!</v>
      </c>
      <c r="AB999" s="1040" t="e">
        <f t="shared" si="435"/>
        <v>#DIV/0!</v>
      </c>
      <c r="AC999" s="1040" t="e">
        <f t="shared" si="435"/>
        <v>#DIV/0!</v>
      </c>
      <c r="AD999" s="1040" t="e">
        <f t="shared" si="435"/>
        <v>#DIV/0!</v>
      </c>
      <c r="AE999" s="1040" t="e">
        <f t="shared" si="435"/>
        <v>#DIV/0!</v>
      </c>
      <c r="AF999" s="1040" t="e">
        <f t="shared" si="435"/>
        <v>#DIV/0!</v>
      </c>
      <c r="AG999" s="1040" t="e">
        <f t="shared" si="435"/>
        <v>#DIV/0!</v>
      </c>
      <c r="AH999" s="1040" t="e">
        <f t="shared" si="435"/>
        <v>#DIV/0!</v>
      </c>
      <c r="AI999" s="1040" t="e">
        <f t="shared" si="435"/>
        <v>#DIV/0!</v>
      </c>
      <c r="AJ999" s="1040" t="e">
        <f t="shared" si="435"/>
        <v>#DIV/0!</v>
      </c>
      <c r="AK999" s="1040" t="e">
        <f t="shared" si="435"/>
        <v>#DIV/0!</v>
      </c>
      <c r="AL999" s="1040" t="e">
        <f t="shared" si="435"/>
        <v>#DIV/0!</v>
      </c>
      <c r="AM999" s="1040" t="e">
        <f t="shared" si="435"/>
        <v>#DIV/0!</v>
      </c>
      <c r="AN999" s="1040" t="e">
        <f t="shared" si="435"/>
        <v>#DIV/0!</v>
      </c>
      <c r="AO999" s="1040" t="e">
        <f t="shared" si="435"/>
        <v>#DIV/0!</v>
      </c>
      <c r="AP999" s="1040" t="e">
        <f t="shared" si="435"/>
        <v>#DIV/0!</v>
      </c>
      <c r="AQ999" s="1040" t="e">
        <f t="shared" si="435"/>
        <v>#DIV/0!</v>
      </c>
      <c r="AR999" s="1040" t="e">
        <f t="shared" si="435"/>
        <v>#DIV/0!</v>
      </c>
      <c r="AS999" s="1040" t="e">
        <f t="shared" ref="AS999:AY999" si="436">IF(AS199="",0,IF(OR(1=RANK(AS599,AS$412:AS$790,0),(2=RANK(AS599,AS$412:AS$790,0))),AS599,AS199))</f>
        <v>#DIV/0!</v>
      </c>
      <c r="AT999" s="1040" t="e">
        <f t="shared" si="436"/>
        <v>#DIV/0!</v>
      </c>
      <c r="AU999" s="1040">
        <f t="shared" si="436"/>
        <v>0</v>
      </c>
      <c r="AV999" s="1040" t="e">
        <f t="shared" si="436"/>
        <v>#DIV/0!</v>
      </c>
      <c r="AW999" s="1040" t="e">
        <f t="shared" si="436"/>
        <v>#DIV/0!</v>
      </c>
      <c r="AX999" s="1040" t="e">
        <f t="shared" si="436"/>
        <v>#DIV/0!</v>
      </c>
      <c r="AY999" s="1040" t="e">
        <f t="shared" si="436"/>
        <v>#DIV/0!</v>
      </c>
      <c r="AZ999" s="1061" t="s">
        <v>21</v>
      </c>
      <c r="BC999" s="29"/>
      <c r="BD999" s="29"/>
      <c r="BE999" s="13"/>
      <c r="BL999" s="368"/>
    </row>
    <row r="1000" spans="1:64" ht="12" customHeight="1" x14ac:dyDescent="0.2">
      <c r="A1000" s="39">
        <f>acute_overview_children!A200</f>
        <v>4</v>
      </c>
      <c r="B1000" s="23">
        <f t="shared" si="315"/>
        <v>270040</v>
      </c>
      <c r="C1000" s="23" t="str">
        <f t="shared" si="316"/>
        <v>Florence fennels</v>
      </c>
      <c r="D1000" s="135"/>
      <c r="E1000" s="1027"/>
      <c r="F1000" s="87"/>
      <c r="G1000" s="87"/>
      <c r="H1000" s="1027"/>
      <c r="I1000" s="1030"/>
      <c r="J1000" s="1039" t="e">
        <f t="shared" ref="J1000:AR1000" si="437">IF(J200="",0,IF(OR(1=RANK(J600,J$412:J$790,0),(2=RANK(J600,J$412:J$790,0))),J600,J200))</f>
        <v>#DIV/0!</v>
      </c>
      <c r="K1000" s="1040" t="e">
        <f t="shared" si="437"/>
        <v>#DIV/0!</v>
      </c>
      <c r="L1000" s="1040" t="e">
        <f t="shared" si="437"/>
        <v>#DIV/0!</v>
      </c>
      <c r="M1000" s="1040" t="e">
        <f t="shared" si="437"/>
        <v>#DIV/0!</v>
      </c>
      <c r="N1000" s="1040" t="e">
        <f t="shared" si="437"/>
        <v>#DIV/0!</v>
      </c>
      <c r="O1000" s="1040" t="e">
        <f t="shared" si="437"/>
        <v>#DIV/0!</v>
      </c>
      <c r="P1000" s="1040" t="e">
        <f t="shared" si="437"/>
        <v>#DIV/0!</v>
      </c>
      <c r="Q1000" s="1040" t="e">
        <f t="shared" si="437"/>
        <v>#DIV/0!</v>
      </c>
      <c r="R1000" s="1040" t="e">
        <f t="shared" si="437"/>
        <v>#DIV/0!</v>
      </c>
      <c r="S1000" s="1040" t="e">
        <f t="shared" si="437"/>
        <v>#DIV/0!</v>
      </c>
      <c r="T1000" s="1040" t="e">
        <f t="shared" si="437"/>
        <v>#DIV/0!</v>
      </c>
      <c r="U1000" s="1040" t="e">
        <f t="shared" si="437"/>
        <v>#DIV/0!</v>
      </c>
      <c r="V1000" s="1040" t="e">
        <f t="shared" si="437"/>
        <v>#DIV/0!</v>
      </c>
      <c r="W1000" s="1040" t="e">
        <f t="shared" si="437"/>
        <v>#DIV/0!</v>
      </c>
      <c r="X1000" s="1040" t="e">
        <f t="shared" si="437"/>
        <v>#DIV/0!</v>
      </c>
      <c r="Y1000" s="1040" t="e">
        <f t="shared" si="437"/>
        <v>#DIV/0!</v>
      </c>
      <c r="Z1000" s="1040" t="e">
        <f t="shared" si="437"/>
        <v>#DIV/0!</v>
      </c>
      <c r="AA1000" s="1040" t="e">
        <f t="shared" si="437"/>
        <v>#DIV/0!</v>
      </c>
      <c r="AB1000" s="1040" t="e">
        <f t="shared" si="437"/>
        <v>#DIV/0!</v>
      </c>
      <c r="AC1000" s="1040" t="e">
        <f t="shared" si="437"/>
        <v>#DIV/0!</v>
      </c>
      <c r="AD1000" s="1040" t="e">
        <f t="shared" si="437"/>
        <v>#DIV/0!</v>
      </c>
      <c r="AE1000" s="1040" t="e">
        <f t="shared" si="437"/>
        <v>#DIV/0!</v>
      </c>
      <c r="AF1000" s="1040" t="e">
        <f t="shared" si="437"/>
        <v>#DIV/0!</v>
      </c>
      <c r="AG1000" s="1040" t="e">
        <f t="shared" si="437"/>
        <v>#DIV/0!</v>
      </c>
      <c r="AH1000" s="1040" t="e">
        <f t="shared" si="437"/>
        <v>#DIV/0!</v>
      </c>
      <c r="AI1000" s="1040" t="e">
        <f t="shared" si="437"/>
        <v>#DIV/0!</v>
      </c>
      <c r="AJ1000" s="1040" t="e">
        <f t="shared" si="437"/>
        <v>#DIV/0!</v>
      </c>
      <c r="AK1000" s="1040" t="e">
        <f t="shared" si="437"/>
        <v>#DIV/0!</v>
      </c>
      <c r="AL1000" s="1040" t="e">
        <f t="shared" si="437"/>
        <v>#DIV/0!</v>
      </c>
      <c r="AM1000" s="1040" t="e">
        <f t="shared" si="437"/>
        <v>#DIV/0!</v>
      </c>
      <c r="AN1000" s="1040" t="e">
        <f t="shared" si="437"/>
        <v>#DIV/0!</v>
      </c>
      <c r="AO1000" s="1040" t="e">
        <f t="shared" si="437"/>
        <v>#DIV/0!</v>
      </c>
      <c r="AP1000" s="1040" t="e">
        <f t="shared" si="437"/>
        <v>#DIV/0!</v>
      </c>
      <c r="AQ1000" s="1040" t="e">
        <f t="shared" si="437"/>
        <v>#DIV/0!</v>
      </c>
      <c r="AR1000" s="1040" t="e">
        <f t="shared" si="437"/>
        <v>#DIV/0!</v>
      </c>
      <c r="AS1000" s="1040" t="e">
        <f t="shared" ref="AS1000:AY1000" si="438">IF(AS200="",0,IF(OR(1=RANK(AS600,AS$412:AS$790,0),(2=RANK(AS600,AS$412:AS$790,0))),AS600,AS200))</f>
        <v>#DIV/0!</v>
      </c>
      <c r="AT1000" s="1040" t="e">
        <f t="shared" si="438"/>
        <v>#DIV/0!</v>
      </c>
      <c r="AU1000" s="1040">
        <f t="shared" si="438"/>
        <v>0</v>
      </c>
      <c r="AV1000" s="1040" t="e">
        <f t="shared" si="438"/>
        <v>#DIV/0!</v>
      </c>
      <c r="AW1000" s="1040" t="e">
        <f t="shared" si="438"/>
        <v>#DIV/0!</v>
      </c>
      <c r="AX1000" s="1040" t="e">
        <f t="shared" si="438"/>
        <v>#DIV/0!</v>
      </c>
      <c r="AY1000" s="1040" t="e">
        <f t="shared" si="438"/>
        <v>#DIV/0!</v>
      </c>
      <c r="AZ1000" s="1061" t="s">
        <v>21</v>
      </c>
      <c r="BC1000" s="29"/>
      <c r="BD1000" s="29"/>
      <c r="BE1000" s="13"/>
      <c r="BL1000" s="368"/>
    </row>
    <row r="1001" spans="1:64" ht="12" customHeight="1" x14ac:dyDescent="0.2">
      <c r="A1001" s="39">
        <f>acute_overview_children!A201</f>
        <v>4</v>
      </c>
      <c r="B1001" s="23">
        <f t="shared" si="315"/>
        <v>270050</v>
      </c>
      <c r="C1001" s="23" t="str">
        <f t="shared" si="316"/>
        <v>Globe artichokes</v>
      </c>
      <c r="D1001" s="135"/>
      <c r="E1001" s="1027"/>
      <c r="F1001" s="87"/>
      <c r="G1001" s="87"/>
      <c r="H1001" s="1027"/>
      <c r="I1001" s="1030"/>
      <c r="J1001" s="1039" t="e">
        <f t="shared" ref="J1001:AR1001" si="439">IF(J201="",0,IF(OR(1=RANK(J601,J$412:J$790,0),(2=RANK(J601,J$412:J$790,0))),J601,J201))</f>
        <v>#DIV/0!</v>
      </c>
      <c r="K1001" s="1040" t="e">
        <f t="shared" si="439"/>
        <v>#DIV/0!</v>
      </c>
      <c r="L1001" s="1040" t="e">
        <f t="shared" si="439"/>
        <v>#DIV/0!</v>
      </c>
      <c r="M1001" s="1040" t="e">
        <f t="shared" si="439"/>
        <v>#DIV/0!</v>
      </c>
      <c r="N1001" s="1040" t="e">
        <f t="shared" si="439"/>
        <v>#DIV/0!</v>
      </c>
      <c r="O1001" s="1040" t="e">
        <f t="shared" si="439"/>
        <v>#DIV/0!</v>
      </c>
      <c r="P1001" s="1040" t="e">
        <f t="shared" si="439"/>
        <v>#DIV/0!</v>
      </c>
      <c r="Q1001" s="1040" t="e">
        <f t="shared" si="439"/>
        <v>#DIV/0!</v>
      </c>
      <c r="R1001" s="1040" t="e">
        <f t="shared" si="439"/>
        <v>#DIV/0!</v>
      </c>
      <c r="S1001" s="1040" t="e">
        <f t="shared" si="439"/>
        <v>#DIV/0!</v>
      </c>
      <c r="T1001" s="1040" t="e">
        <f t="shared" si="439"/>
        <v>#DIV/0!</v>
      </c>
      <c r="U1001" s="1040" t="e">
        <f t="shared" si="439"/>
        <v>#DIV/0!</v>
      </c>
      <c r="V1001" s="1040" t="e">
        <f t="shared" si="439"/>
        <v>#DIV/0!</v>
      </c>
      <c r="W1001" s="1040" t="e">
        <f t="shared" si="439"/>
        <v>#DIV/0!</v>
      </c>
      <c r="X1001" s="1040" t="e">
        <f t="shared" si="439"/>
        <v>#DIV/0!</v>
      </c>
      <c r="Y1001" s="1040" t="e">
        <f t="shared" si="439"/>
        <v>#DIV/0!</v>
      </c>
      <c r="Z1001" s="1040" t="e">
        <f t="shared" si="439"/>
        <v>#DIV/0!</v>
      </c>
      <c r="AA1001" s="1040" t="e">
        <f t="shared" si="439"/>
        <v>#DIV/0!</v>
      </c>
      <c r="AB1001" s="1040" t="e">
        <f t="shared" si="439"/>
        <v>#DIV/0!</v>
      </c>
      <c r="AC1001" s="1040" t="e">
        <f t="shared" si="439"/>
        <v>#DIV/0!</v>
      </c>
      <c r="AD1001" s="1040" t="e">
        <f t="shared" si="439"/>
        <v>#DIV/0!</v>
      </c>
      <c r="AE1001" s="1040" t="e">
        <f t="shared" si="439"/>
        <v>#DIV/0!</v>
      </c>
      <c r="AF1001" s="1040" t="e">
        <f t="shared" si="439"/>
        <v>#DIV/0!</v>
      </c>
      <c r="AG1001" s="1040" t="e">
        <f t="shared" si="439"/>
        <v>#DIV/0!</v>
      </c>
      <c r="AH1001" s="1040" t="e">
        <f t="shared" si="439"/>
        <v>#DIV/0!</v>
      </c>
      <c r="AI1001" s="1040" t="e">
        <f t="shared" si="439"/>
        <v>#DIV/0!</v>
      </c>
      <c r="AJ1001" s="1040" t="e">
        <f t="shared" si="439"/>
        <v>#DIV/0!</v>
      </c>
      <c r="AK1001" s="1040" t="e">
        <f t="shared" si="439"/>
        <v>#DIV/0!</v>
      </c>
      <c r="AL1001" s="1040" t="e">
        <f t="shared" si="439"/>
        <v>#DIV/0!</v>
      </c>
      <c r="AM1001" s="1040" t="e">
        <f t="shared" si="439"/>
        <v>#DIV/0!</v>
      </c>
      <c r="AN1001" s="1040" t="e">
        <f t="shared" si="439"/>
        <v>#DIV/0!</v>
      </c>
      <c r="AO1001" s="1040" t="e">
        <f t="shared" si="439"/>
        <v>#DIV/0!</v>
      </c>
      <c r="AP1001" s="1040" t="e">
        <f t="shared" si="439"/>
        <v>#DIV/0!</v>
      </c>
      <c r="AQ1001" s="1040" t="e">
        <f t="shared" si="439"/>
        <v>#DIV/0!</v>
      </c>
      <c r="AR1001" s="1040" t="e">
        <f t="shared" si="439"/>
        <v>#DIV/0!</v>
      </c>
      <c r="AS1001" s="1040" t="e">
        <f t="shared" ref="AS1001:AY1001" si="440">IF(AS201="",0,IF(OR(1=RANK(AS601,AS$412:AS$790,0),(2=RANK(AS601,AS$412:AS$790,0))),AS601,AS201))</f>
        <v>#DIV/0!</v>
      </c>
      <c r="AT1001" s="1040" t="e">
        <f t="shared" si="440"/>
        <v>#DIV/0!</v>
      </c>
      <c r="AU1001" s="1040">
        <f t="shared" si="440"/>
        <v>0</v>
      </c>
      <c r="AV1001" s="1040" t="e">
        <f t="shared" si="440"/>
        <v>#DIV/0!</v>
      </c>
      <c r="AW1001" s="1040" t="e">
        <f t="shared" si="440"/>
        <v>#DIV/0!</v>
      </c>
      <c r="AX1001" s="1040" t="e">
        <f t="shared" si="440"/>
        <v>#DIV/0!</v>
      </c>
      <c r="AY1001" s="1040" t="e">
        <f t="shared" si="440"/>
        <v>#DIV/0!</v>
      </c>
      <c r="AZ1001" s="1061" t="s">
        <v>21</v>
      </c>
      <c r="BC1001" s="29"/>
      <c r="BD1001" s="29"/>
      <c r="BE1001" s="13"/>
      <c r="BL1001" s="368"/>
    </row>
    <row r="1002" spans="1:64" ht="12" customHeight="1" x14ac:dyDescent="0.2">
      <c r="A1002" s="39">
        <f>acute_overview_children!A202</f>
        <v>4</v>
      </c>
      <c r="B1002" s="23">
        <f t="shared" si="315"/>
        <v>270060</v>
      </c>
      <c r="C1002" s="23" t="str">
        <f t="shared" si="316"/>
        <v>Leeks</v>
      </c>
      <c r="D1002" s="135"/>
      <c r="E1002" s="1027"/>
      <c r="F1002" s="87"/>
      <c r="G1002" s="87"/>
      <c r="H1002" s="1027"/>
      <c r="I1002" s="1030"/>
      <c r="J1002" s="1039" t="e">
        <f t="shared" ref="J1002:AR1002" si="441">IF(J202="",0,IF(OR(1=RANK(J602,J$412:J$790,0),(2=RANK(J602,J$412:J$790,0))),J602,J202))</f>
        <v>#DIV/0!</v>
      </c>
      <c r="K1002" s="1040" t="e">
        <f t="shared" si="441"/>
        <v>#DIV/0!</v>
      </c>
      <c r="L1002" s="1040" t="e">
        <f t="shared" si="441"/>
        <v>#DIV/0!</v>
      </c>
      <c r="M1002" s="1040" t="e">
        <f t="shared" si="441"/>
        <v>#DIV/0!</v>
      </c>
      <c r="N1002" s="1040" t="e">
        <f t="shared" si="441"/>
        <v>#DIV/0!</v>
      </c>
      <c r="O1002" s="1040" t="e">
        <f t="shared" si="441"/>
        <v>#DIV/0!</v>
      </c>
      <c r="P1002" s="1040" t="e">
        <f t="shared" si="441"/>
        <v>#DIV/0!</v>
      </c>
      <c r="Q1002" s="1040" t="e">
        <f t="shared" si="441"/>
        <v>#DIV/0!</v>
      </c>
      <c r="R1002" s="1040" t="e">
        <f t="shared" si="441"/>
        <v>#DIV/0!</v>
      </c>
      <c r="S1002" s="1040" t="e">
        <f t="shared" si="441"/>
        <v>#DIV/0!</v>
      </c>
      <c r="T1002" s="1040" t="e">
        <f t="shared" si="441"/>
        <v>#DIV/0!</v>
      </c>
      <c r="U1002" s="1040" t="e">
        <f t="shared" si="441"/>
        <v>#DIV/0!</v>
      </c>
      <c r="V1002" s="1040" t="e">
        <f t="shared" si="441"/>
        <v>#DIV/0!</v>
      </c>
      <c r="W1002" s="1040" t="e">
        <f t="shared" si="441"/>
        <v>#DIV/0!</v>
      </c>
      <c r="X1002" s="1040" t="e">
        <f t="shared" si="441"/>
        <v>#DIV/0!</v>
      </c>
      <c r="Y1002" s="1040" t="e">
        <f t="shared" si="441"/>
        <v>#DIV/0!</v>
      </c>
      <c r="Z1002" s="1040" t="e">
        <f t="shared" si="441"/>
        <v>#DIV/0!</v>
      </c>
      <c r="AA1002" s="1040" t="e">
        <f t="shared" si="441"/>
        <v>#DIV/0!</v>
      </c>
      <c r="AB1002" s="1040" t="e">
        <f t="shared" si="441"/>
        <v>#DIV/0!</v>
      </c>
      <c r="AC1002" s="1040" t="e">
        <f t="shared" si="441"/>
        <v>#DIV/0!</v>
      </c>
      <c r="AD1002" s="1040" t="e">
        <f t="shared" si="441"/>
        <v>#DIV/0!</v>
      </c>
      <c r="AE1002" s="1040" t="e">
        <f t="shared" si="441"/>
        <v>#DIV/0!</v>
      </c>
      <c r="AF1002" s="1040" t="e">
        <f t="shared" si="441"/>
        <v>#DIV/0!</v>
      </c>
      <c r="AG1002" s="1040" t="e">
        <f t="shared" si="441"/>
        <v>#DIV/0!</v>
      </c>
      <c r="AH1002" s="1040" t="e">
        <f t="shared" si="441"/>
        <v>#DIV/0!</v>
      </c>
      <c r="AI1002" s="1040" t="e">
        <f t="shared" si="441"/>
        <v>#DIV/0!</v>
      </c>
      <c r="AJ1002" s="1040" t="e">
        <f t="shared" si="441"/>
        <v>#DIV/0!</v>
      </c>
      <c r="AK1002" s="1040" t="e">
        <f t="shared" si="441"/>
        <v>#DIV/0!</v>
      </c>
      <c r="AL1002" s="1040" t="e">
        <f t="shared" si="441"/>
        <v>#DIV/0!</v>
      </c>
      <c r="AM1002" s="1040" t="e">
        <f t="shared" si="441"/>
        <v>#DIV/0!</v>
      </c>
      <c r="AN1002" s="1040" t="e">
        <f t="shared" si="441"/>
        <v>#DIV/0!</v>
      </c>
      <c r="AO1002" s="1040" t="e">
        <f t="shared" si="441"/>
        <v>#DIV/0!</v>
      </c>
      <c r="AP1002" s="1040" t="e">
        <f t="shared" si="441"/>
        <v>#DIV/0!</v>
      </c>
      <c r="AQ1002" s="1040" t="e">
        <f t="shared" si="441"/>
        <v>#DIV/0!</v>
      </c>
      <c r="AR1002" s="1040" t="e">
        <f t="shared" si="441"/>
        <v>#DIV/0!</v>
      </c>
      <c r="AS1002" s="1040" t="e">
        <f t="shared" ref="AS1002:AY1002" si="442">IF(AS202="",0,IF(OR(1=RANK(AS602,AS$412:AS$790,0),(2=RANK(AS602,AS$412:AS$790,0))),AS602,AS202))</f>
        <v>#DIV/0!</v>
      </c>
      <c r="AT1002" s="1040" t="e">
        <f t="shared" si="442"/>
        <v>#DIV/0!</v>
      </c>
      <c r="AU1002" s="1040">
        <f t="shared" si="442"/>
        <v>0</v>
      </c>
      <c r="AV1002" s="1040" t="e">
        <f t="shared" si="442"/>
        <v>#DIV/0!</v>
      </c>
      <c r="AW1002" s="1040" t="e">
        <f t="shared" si="442"/>
        <v>#DIV/0!</v>
      </c>
      <c r="AX1002" s="1040" t="e">
        <f t="shared" si="442"/>
        <v>#DIV/0!</v>
      </c>
      <c r="AY1002" s="1040" t="e">
        <f t="shared" si="442"/>
        <v>#DIV/0!</v>
      </c>
      <c r="AZ1002" s="1061" t="s">
        <v>21</v>
      </c>
      <c r="BC1002" s="29"/>
      <c r="BD1002" s="29"/>
      <c r="BE1002" s="13"/>
      <c r="BL1002" s="368"/>
    </row>
    <row r="1003" spans="1:64" ht="12" customHeight="1" x14ac:dyDescent="0.2">
      <c r="A1003" s="39">
        <f>acute_overview_children!A203</f>
        <v>4</v>
      </c>
      <c r="B1003" s="23">
        <f t="shared" si="315"/>
        <v>270070</v>
      </c>
      <c r="C1003" s="23" t="str">
        <f t="shared" si="316"/>
        <v>Rhubarbs</v>
      </c>
      <c r="D1003" s="135"/>
      <c r="E1003" s="1027"/>
      <c r="F1003" s="87"/>
      <c r="G1003" s="87"/>
      <c r="H1003" s="1027"/>
      <c r="I1003" s="1030"/>
      <c r="J1003" s="1039" t="e">
        <f t="shared" ref="J1003:AR1003" si="443">IF(J203="",0,IF(OR(1=RANK(J603,J$412:J$790,0),(2=RANK(J603,J$412:J$790,0))),J603,J203))</f>
        <v>#DIV/0!</v>
      </c>
      <c r="K1003" s="1040" t="e">
        <f t="shared" si="443"/>
        <v>#DIV/0!</v>
      </c>
      <c r="L1003" s="1040" t="e">
        <f t="shared" si="443"/>
        <v>#DIV/0!</v>
      </c>
      <c r="M1003" s="1040" t="e">
        <f t="shared" si="443"/>
        <v>#DIV/0!</v>
      </c>
      <c r="N1003" s="1040" t="e">
        <f t="shared" si="443"/>
        <v>#DIV/0!</v>
      </c>
      <c r="O1003" s="1040" t="e">
        <f t="shared" si="443"/>
        <v>#DIV/0!</v>
      </c>
      <c r="P1003" s="1040" t="e">
        <f t="shared" si="443"/>
        <v>#DIV/0!</v>
      </c>
      <c r="Q1003" s="1040" t="e">
        <f t="shared" si="443"/>
        <v>#DIV/0!</v>
      </c>
      <c r="R1003" s="1040" t="e">
        <f t="shared" si="443"/>
        <v>#DIV/0!</v>
      </c>
      <c r="S1003" s="1040" t="e">
        <f t="shared" si="443"/>
        <v>#DIV/0!</v>
      </c>
      <c r="T1003" s="1040" t="e">
        <f t="shared" si="443"/>
        <v>#DIV/0!</v>
      </c>
      <c r="U1003" s="1040" t="e">
        <f t="shared" si="443"/>
        <v>#DIV/0!</v>
      </c>
      <c r="V1003" s="1040" t="e">
        <f t="shared" si="443"/>
        <v>#DIV/0!</v>
      </c>
      <c r="W1003" s="1040" t="e">
        <f t="shared" si="443"/>
        <v>#DIV/0!</v>
      </c>
      <c r="X1003" s="1040" t="e">
        <f t="shared" si="443"/>
        <v>#DIV/0!</v>
      </c>
      <c r="Y1003" s="1040" t="e">
        <f t="shared" si="443"/>
        <v>#DIV/0!</v>
      </c>
      <c r="Z1003" s="1040" t="e">
        <f t="shared" si="443"/>
        <v>#DIV/0!</v>
      </c>
      <c r="AA1003" s="1040" t="e">
        <f t="shared" si="443"/>
        <v>#DIV/0!</v>
      </c>
      <c r="AB1003" s="1040" t="e">
        <f t="shared" si="443"/>
        <v>#DIV/0!</v>
      </c>
      <c r="AC1003" s="1040" t="e">
        <f t="shared" si="443"/>
        <v>#DIV/0!</v>
      </c>
      <c r="AD1003" s="1040" t="e">
        <f t="shared" si="443"/>
        <v>#DIV/0!</v>
      </c>
      <c r="AE1003" s="1040" t="e">
        <f t="shared" si="443"/>
        <v>#DIV/0!</v>
      </c>
      <c r="AF1003" s="1040" t="e">
        <f t="shared" si="443"/>
        <v>#DIV/0!</v>
      </c>
      <c r="AG1003" s="1040" t="e">
        <f t="shared" si="443"/>
        <v>#DIV/0!</v>
      </c>
      <c r="AH1003" s="1040" t="e">
        <f t="shared" si="443"/>
        <v>#DIV/0!</v>
      </c>
      <c r="AI1003" s="1040" t="e">
        <f t="shared" si="443"/>
        <v>#DIV/0!</v>
      </c>
      <c r="AJ1003" s="1040" t="e">
        <f t="shared" si="443"/>
        <v>#DIV/0!</v>
      </c>
      <c r="AK1003" s="1040" t="e">
        <f t="shared" si="443"/>
        <v>#DIV/0!</v>
      </c>
      <c r="AL1003" s="1040" t="e">
        <f t="shared" si="443"/>
        <v>#DIV/0!</v>
      </c>
      <c r="AM1003" s="1040" t="e">
        <f t="shared" si="443"/>
        <v>#DIV/0!</v>
      </c>
      <c r="AN1003" s="1040" t="e">
        <f t="shared" si="443"/>
        <v>#DIV/0!</v>
      </c>
      <c r="AO1003" s="1040" t="e">
        <f t="shared" si="443"/>
        <v>#DIV/0!</v>
      </c>
      <c r="AP1003" s="1040" t="e">
        <f t="shared" si="443"/>
        <v>#DIV/0!</v>
      </c>
      <c r="AQ1003" s="1040" t="e">
        <f t="shared" si="443"/>
        <v>#DIV/0!</v>
      </c>
      <c r="AR1003" s="1040" t="e">
        <f t="shared" si="443"/>
        <v>#DIV/0!</v>
      </c>
      <c r="AS1003" s="1040" t="e">
        <f t="shared" ref="AS1003:AY1003" si="444">IF(AS203="",0,IF(OR(1=RANK(AS603,AS$412:AS$790,0),(2=RANK(AS603,AS$412:AS$790,0))),AS603,AS203))</f>
        <v>#DIV/0!</v>
      </c>
      <c r="AT1003" s="1040" t="e">
        <f t="shared" si="444"/>
        <v>#DIV/0!</v>
      </c>
      <c r="AU1003" s="1040">
        <f t="shared" si="444"/>
        <v>0</v>
      </c>
      <c r="AV1003" s="1040" t="e">
        <f t="shared" si="444"/>
        <v>#DIV/0!</v>
      </c>
      <c r="AW1003" s="1040" t="e">
        <f t="shared" si="444"/>
        <v>#DIV/0!</v>
      </c>
      <c r="AX1003" s="1040" t="e">
        <f t="shared" si="444"/>
        <v>#DIV/0!</v>
      </c>
      <c r="AY1003" s="1040" t="e">
        <f t="shared" si="444"/>
        <v>#DIV/0!</v>
      </c>
      <c r="AZ1003" s="1061" t="s">
        <v>21</v>
      </c>
      <c r="BC1003" s="29"/>
      <c r="BD1003" s="29"/>
      <c r="BE1003" s="13"/>
      <c r="BL1003" s="368"/>
    </row>
    <row r="1004" spans="1:64" ht="12" customHeight="1" x14ac:dyDescent="0.2">
      <c r="A1004" s="39">
        <f>acute_overview_children!A204</f>
        <v>4</v>
      </c>
      <c r="B1004" s="23">
        <f t="shared" ref="B1004:B1067" si="445">B204</f>
        <v>270080</v>
      </c>
      <c r="C1004" s="23" t="str">
        <f t="shared" ref="C1004:C1067" si="446">C204</f>
        <v>Bamboo shoots</v>
      </c>
      <c r="D1004" s="135"/>
      <c r="E1004" s="1027"/>
      <c r="F1004" s="87"/>
      <c r="G1004" s="87"/>
      <c r="H1004" s="1027"/>
      <c r="I1004" s="1030"/>
      <c r="J1004" s="1039" t="e">
        <f t="shared" ref="J1004:AR1004" si="447">IF(J204="",0,IF(OR(1=RANK(J604,J$412:J$790,0),(2=RANK(J604,J$412:J$790,0))),J604,J204))</f>
        <v>#DIV/0!</v>
      </c>
      <c r="K1004" s="1040" t="e">
        <f t="shared" si="447"/>
        <v>#DIV/0!</v>
      </c>
      <c r="L1004" s="1040" t="e">
        <f t="shared" si="447"/>
        <v>#DIV/0!</v>
      </c>
      <c r="M1004" s="1040" t="e">
        <f t="shared" si="447"/>
        <v>#DIV/0!</v>
      </c>
      <c r="N1004" s="1040" t="e">
        <f t="shared" si="447"/>
        <v>#DIV/0!</v>
      </c>
      <c r="O1004" s="1040" t="e">
        <f t="shared" si="447"/>
        <v>#DIV/0!</v>
      </c>
      <c r="P1004" s="1040" t="e">
        <f t="shared" si="447"/>
        <v>#DIV/0!</v>
      </c>
      <c r="Q1004" s="1040" t="e">
        <f t="shared" si="447"/>
        <v>#DIV/0!</v>
      </c>
      <c r="R1004" s="1040" t="e">
        <f t="shared" si="447"/>
        <v>#DIV/0!</v>
      </c>
      <c r="S1004" s="1040" t="e">
        <f t="shared" si="447"/>
        <v>#DIV/0!</v>
      </c>
      <c r="T1004" s="1040" t="e">
        <f t="shared" si="447"/>
        <v>#DIV/0!</v>
      </c>
      <c r="U1004" s="1040" t="e">
        <f t="shared" si="447"/>
        <v>#DIV/0!</v>
      </c>
      <c r="V1004" s="1040" t="e">
        <f t="shared" si="447"/>
        <v>#DIV/0!</v>
      </c>
      <c r="W1004" s="1040" t="e">
        <f t="shared" si="447"/>
        <v>#DIV/0!</v>
      </c>
      <c r="X1004" s="1040" t="e">
        <f t="shared" si="447"/>
        <v>#DIV/0!</v>
      </c>
      <c r="Y1004" s="1040" t="e">
        <f t="shared" si="447"/>
        <v>#DIV/0!</v>
      </c>
      <c r="Z1004" s="1040" t="e">
        <f t="shared" si="447"/>
        <v>#DIV/0!</v>
      </c>
      <c r="AA1004" s="1040" t="e">
        <f t="shared" si="447"/>
        <v>#DIV/0!</v>
      </c>
      <c r="AB1004" s="1040" t="e">
        <f t="shared" si="447"/>
        <v>#DIV/0!</v>
      </c>
      <c r="AC1004" s="1040" t="e">
        <f t="shared" si="447"/>
        <v>#DIV/0!</v>
      </c>
      <c r="AD1004" s="1040" t="e">
        <f t="shared" si="447"/>
        <v>#DIV/0!</v>
      </c>
      <c r="AE1004" s="1040" t="e">
        <f t="shared" si="447"/>
        <v>#DIV/0!</v>
      </c>
      <c r="AF1004" s="1040" t="e">
        <f t="shared" si="447"/>
        <v>#DIV/0!</v>
      </c>
      <c r="AG1004" s="1040" t="e">
        <f t="shared" si="447"/>
        <v>#DIV/0!</v>
      </c>
      <c r="AH1004" s="1040" t="e">
        <f t="shared" si="447"/>
        <v>#DIV/0!</v>
      </c>
      <c r="AI1004" s="1040" t="e">
        <f t="shared" si="447"/>
        <v>#DIV/0!</v>
      </c>
      <c r="AJ1004" s="1040" t="e">
        <f t="shared" si="447"/>
        <v>#DIV/0!</v>
      </c>
      <c r="AK1004" s="1040" t="e">
        <f t="shared" si="447"/>
        <v>#DIV/0!</v>
      </c>
      <c r="AL1004" s="1040" t="e">
        <f t="shared" si="447"/>
        <v>#DIV/0!</v>
      </c>
      <c r="AM1004" s="1040" t="e">
        <f t="shared" si="447"/>
        <v>#DIV/0!</v>
      </c>
      <c r="AN1004" s="1040" t="e">
        <f t="shared" si="447"/>
        <v>#DIV/0!</v>
      </c>
      <c r="AO1004" s="1040" t="e">
        <f t="shared" si="447"/>
        <v>#DIV/0!</v>
      </c>
      <c r="AP1004" s="1040" t="e">
        <f t="shared" si="447"/>
        <v>#DIV/0!</v>
      </c>
      <c r="AQ1004" s="1040" t="e">
        <f t="shared" si="447"/>
        <v>#DIV/0!</v>
      </c>
      <c r="AR1004" s="1040" t="e">
        <f t="shared" si="447"/>
        <v>#DIV/0!</v>
      </c>
      <c r="AS1004" s="1040" t="e">
        <f t="shared" ref="AS1004:AY1004" si="448">IF(AS204="",0,IF(OR(1=RANK(AS604,AS$412:AS$790,0),(2=RANK(AS604,AS$412:AS$790,0))),AS604,AS204))</f>
        <v>#DIV/0!</v>
      </c>
      <c r="AT1004" s="1040" t="e">
        <f t="shared" si="448"/>
        <v>#DIV/0!</v>
      </c>
      <c r="AU1004" s="1040">
        <f t="shared" si="448"/>
        <v>0</v>
      </c>
      <c r="AV1004" s="1040" t="e">
        <f t="shared" si="448"/>
        <v>#DIV/0!</v>
      </c>
      <c r="AW1004" s="1040" t="e">
        <f t="shared" si="448"/>
        <v>#DIV/0!</v>
      </c>
      <c r="AX1004" s="1040" t="e">
        <f t="shared" si="448"/>
        <v>#DIV/0!</v>
      </c>
      <c r="AY1004" s="1040" t="e">
        <f t="shared" si="448"/>
        <v>#DIV/0!</v>
      </c>
      <c r="AZ1004" s="1061" t="s">
        <v>21</v>
      </c>
      <c r="BC1004" s="29"/>
      <c r="BD1004" s="29"/>
      <c r="BE1004" s="13"/>
      <c r="BL1004" s="368"/>
    </row>
    <row r="1005" spans="1:64" ht="12" customHeight="1" x14ac:dyDescent="0.2">
      <c r="A1005" s="39">
        <f>acute_overview_children!A205</f>
        <v>4</v>
      </c>
      <c r="B1005" s="23">
        <f t="shared" si="445"/>
        <v>270090</v>
      </c>
      <c r="C1005" s="23" t="str">
        <f t="shared" si="446"/>
        <v>Palm hearts</v>
      </c>
      <c r="D1005" s="135"/>
      <c r="E1005" s="1027"/>
      <c r="F1005" s="87"/>
      <c r="G1005" s="87"/>
      <c r="H1005" s="1027"/>
      <c r="I1005" s="1030"/>
      <c r="J1005" s="1039" t="e">
        <f t="shared" ref="J1005:AR1005" si="449">IF(J205="",0,IF(OR(1=RANK(J605,J$412:J$790,0),(2=RANK(J605,J$412:J$790,0))),J605,J205))</f>
        <v>#DIV/0!</v>
      </c>
      <c r="K1005" s="1040" t="e">
        <f t="shared" si="449"/>
        <v>#DIV/0!</v>
      </c>
      <c r="L1005" s="1040" t="e">
        <f t="shared" si="449"/>
        <v>#DIV/0!</v>
      </c>
      <c r="M1005" s="1040" t="e">
        <f t="shared" si="449"/>
        <v>#DIV/0!</v>
      </c>
      <c r="N1005" s="1040" t="e">
        <f t="shared" si="449"/>
        <v>#DIV/0!</v>
      </c>
      <c r="O1005" s="1040" t="e">
        <f t="shared" si="449"/>
        <v>#DIV/0!</v>
      </c>
      <c r="P1005" s="1040" t="e">
        <f t="shared" si="449"/>
        <v>#DIV/0!</v>
      </c>
      <c r="Q1005" s="1040" t="e">
        <f t="shared" si="449"/>
        <v>#DIV/0!</v>
      </c>
      <c r="R1005" s="1040" t="e">
        <f t="shared" si="449"/>
        <v>#DIV/0!</v>
      </c>
      <c r="S1005" s="1040" t="e">
        <f t="shared" si="449"/>
        <v>#DIV/0!</v>
      </c>
      <c r="T1005" s="1040" t="e">
        <f t="shared" si="449"/>
        <v>#DIV/0!</v>
      </c>
      <c r="U1005" s="1040" t="e">
        <f t="shared" si="449"/>
        <v>#DIV/0!</v>
      </c>
      <c r="V1005" s="1040" t="e">
        <f t="shared" si="449"/>
        <v>#DIV/0!</v>
      </c>
      <c r="W1005" s="1040" t="e">
        <f t="shared" si="449"/>
        <v>#DIV/0!</v>
      </c>
      <c r="X1005" s="1040" t="e">
        <f t="shared" si="449"/>
        <v>#DIV/0!</v>
      </c>
      <c r="Y1005" s="1040" t="e">
        <f t="shared" si="449"/>
        <v>#DIV/0!</v>
      </c>
      <c r="Z1005" s="1040" t="e">
        <f t="shared" si="449"/>
        <v>#DIV/0!</v>
      </c>
      <c r="AA1005" s="1040" t="e">
        <f t="shared" si="449"/>
        <v>#DIV/0!</v>
      </c>
      <c r="AB1005" s="1040" t="e">
        <f t="shared" si="449"/>
        <v>#DIV/0!</v>
      </c>
      <c r="AC1005" s="1040" t="e">
        <f t="shared" si="449"/>
        <v>#DIV/0!</v>
      </c>
      <c r="AD1005" s="1040" t="e">
        <f t="shared" si="449"/>
        <v>#DIV/0!</v>
      </c>
      <c r="AE1005" s="1040" t="e">
        <f t="shared" si="449"/>
        <v>#DIV/0!</v>
      </c>
      <c r="AF1005" s="1040" t="e">
        <f t="shared" si="449"/>
        <v>#DIV/0!</v>
      </c>
      <c r="AG1005" s="1040" t="e">
        <f t="shared" si="449"/>
        <v>#DIV/0!</v>
      </c>
      <c r="AH1005" s="1040" t="e">
        <f t="shared" si="449"/>
        <v>#DIV/0!</v>
      </c>
      <c r="AI1005" s="1040" t="e">
        <f t="shared" si="449"/>
        <v>#DIV/0!</v>
      </c>
      <c r="AJ1005" s="1040" t="e">
        <f t="shared" si="449"/>
        <v>#DIV/0!</v>
      </c>
      <c r="AK1005" s="1040" t="e">
        <f t="shared" si="449"/>
        <v>#DIV/0!</v>
      </c>
      <c r="AL1005" s="1040" t="e">
        <f t="shared" si="449"/>
        <v>#DIV/0!</v>
      </c>
      <c r="AM1005" s="1040" t="e">
        <f t="shared" si="449"/>
        <v>#DIV/0!</v>
      </c>
      <c r="AN1005" s="1040" t="e">
        <f t="shared" si="449"/>
        <v>#DIV/0!</v>
      </c>
      <c r="AO1005" s="1040" t="e">
        <f t="shared" si="449"/>
        <v>#DIV/0!</v>
      </c>
      <c r="AP1005" s="1040" t="e">
        <f t="shared" si="449"/>
        <v>#DIV/0!</v>
      </c>
      <c r="AQ1005" s="1040" t="e">
        <f t="shared" si="449"/>
        <v>#DIV/0!</v>
      </c>
      <c r="AR1005" s="1040" t="e">
        <f t="shared" si="449"/>
        <v>#DIV/0!</v>
      </c>
      <c r="AS1005" s="1040" t="e">
        <f t="shared" ref="AS1005:AY1005" si="450">IF(AS205="",0,IF(OR(1=RANK(AS605,AS$412:AS$790,0),(2=RANK(AS605,AS$412:AS$790,0))),AS605,AS205))</f>
        <v>#DIV/0!</v>
      </c>
      <c r="AT1005" s="1040" t="e">
        <f t="shared" si="450"/>
        <v>#DIV/0!</v>
      </c>
      <c r="AU1005" s="1040">
        <f t="shared" si="450"/>
        <v>0</v>
      </c>
      <c r="AV1005" s="1040" t="e">
        <f t="shared" si="450"/>
        <v>#DIV/0!</v>
      </c>
      <c r="AW1005" s="1040" t="e">
        <f t="shared" si="450"/>
        <v>#DIV/0!</v>
      </c>
      <c r="AX1005" s="1040" t="e">
        <f t="shared" si="450"/>
        <v>#DIV/0!</v>
      </c>
      <c r="AY1005" s="1040" t="e">
        <f t="shared" si="450"/>
        <v>#DIV/0!</v>
      </c>
      <c r="AZ1005" s="1061" t="s">
        <v>21</v>
      </c>
      <c r="BC1005" s="29"/>
      <c r="BD1005" s="29"/>
      <c r="BE1005" s="13"/>
      <c r="BL1005" s="368"/>
    </row>
    <row r="1006" spans="1:64" ht="12" customHeight="1" x14ac:dyDescent="0.2">
      <c r="A1006" s="39">
        <f>acute_overview_children!A206</f>
        <v>4</v>
      </c>
      <c r="B1006" s="23">
        <f t="shared" si="445"/>
        <v>270990</v>
      </c>
      <c r="C1006" s="23" t="str">
        <f t="shared" si="446"/>
        <v>Other stem vegetables</v>
      </c>
      <c r="D1006" s="135"/>
      <c r="E1006" s="1027"/>
      <c r="F1006" s="87"/>
      <c r="G1006" s="87"/>
      <c r="H1006" s="1027"/>
      <c r="I1006" s="1030"/>
      <c r="J1006" s="1039" t="e">
        <f t="shared" ref="J1006:AR1006" si="451">IF(J206="",0,IF(OR(1=RANK(J606,J$412:J$790,0),(2=RANK(J606,J$412:J$790,0))),J606,J206))</f>
        <v>#DIV/0!</v>
      </c>
      <c r="K1006" s="1040" t="e">
        <f t="shared" si="451"/>
        <v>#DIV/0!</v>
      </c>
      <c r="L1006" s="1040" t="e">
        <f t="shared" si="451"/>
        <v>#DIV/0!</v>
      </c>
      <c r="M1006" s="1040" t="e">
        <f t="shared" si="451"/>
        <v>#DIV/0!</v>
      </c>
      <c r="N1006" s="1040" t="e">
        <f t="shared" si="451"/>
        <v>#DIV/0!</v>
      </c>
      <c r="O1006" s="1040" t="e">
        <f t="shared" si="451"/>
        <v>#DIV/0!</v>
      </c>
      <c r="P1006" s="1040" t="e">
        <f t="shared" si="451"/>
        <v>#DIV/0!</v>
      </c>
      <c r="Q1006" s="1040" t="e">
        <f t="shared" si="451"/>
        <v>#DIV/0!</v>
      </c>
      <c r="R1006" s="1040" t="e">
        <f t="shared" si="451"/>
        <v>#DIV/0!</v>
      </c>
      <c r="S1006" s="1040" t="e">
        <f t="shared" si="451"/>
        <v>#DIV/0!</v>
      </c>
      <c r="T1006" s="1040" t="e">
        <f t="shared" si="451"/>
        <v>#DIV/0!</v>
      </c>
      <c r="U1006" s="1040" t="e">
        <f t="shared" si="451"/>
        <v>#DIV/0!</v>
      </c>
      <c r="V1006" s="1040" t="e">
        <f t="shared" si="451"/>
        <v>#DIV/0!</v>
      </c>
      <c r="W1006" s="1040" t="e">
        <f t="shared" si="451"/>
        <v>#DIV/0!</v>
      </c>
      <c r="X1006" s="1040" t="e">
        <f t="shared" si="451"/>
        <v>#DIV/0!</v>
      </c>
      <c r="Y1006" s="1040" t="e">
        <f t="shared" si="451"/>
        <v>#DIV/0!</v>
      </c>
      <c r="Z1006" s="1040" t="e">
        <f t="shared" si="451"/>
        <v>#DIV/0!</v>
      </c>
      <c r="AA1006" s="1040" t="e">
        <f t="shared" si="451"/>
        <v>#DIV/0!</v>
      </c>
      <c r="AB1006" s="1040" t="e">
        <f t="shared" si="451"/>
        <v>#DIV/0!</v>
      </c>
      <c r="AC1006" s="1040" t="e">
        <f t="shared" si="451"/>
        <v>#DIV/0!</v>
      </c>
      <c r="AD1006" s="1040" t="e">
        <f t="shared" si="451"/>
        <v>#DIV/0!</v>
      </c>
      <c r="AE1006" s="1040" t="e">
        <f t="shared" si="451"/>
        <v>#DIV/0!</v>
      </c>
      <c r="AF1006" s="1040" t="e">
        <f t="shared" si="451"/>
        <v>#DIV/0!</v>
      </c>
      <c r="AG1006" s="1040" t="e">
        <f t="shared" si="451"/>
        <v>#DIV/0!</v>
      </c>
      <c r="AH1006" s="1040" t="e">
        <f t="shared" si="451"/>
        <v>#DIV/0!</v>
      </c>
      <c r="AI1006" s="1040" t="e">
        <f t="shared" si="451"/>
        <v>#DIV/0!</v>
      </c>
      <c r="AJ1006" s="1040" t="e">
        <f t="shared" si="451"/>
        <v>#DIV/0!</v>
      </c>
      <c r="AK1006" s="1040" t="e">
        <f t="shared" si="451"/>
        <v>#DIV/0!</v>
      </c>
      <c r="AL1006" s="1040" t="e">
        <f t="shared" si="451"/>
        <v>#DIV/0!</v>
      </c>
      <c r="AM1006" s="1040" t="e">
        <f t="shared" si="451"/>
        <v>#DIV/0!</v>
      </c>
      <c r="AN1006" s="1040" t="e">
        <f t="shared" si="451"/>
        <v>#DIV/0!</v>
      </c>
      <c r="AO1006" s="1040" t="e">
        <f t="shared" si="451"/>
        <v>#DIV/0!</v>
      </c>
      <c r="AP1006" s="1040" t="e">
        <f t="shared" si="451"/>
        <v>#DIV/0!</v>
      </c>
      <c r="AQ1006" s="1040" t="e">
        <f t="shared" si="451"/>
        <v>#DIV/0!</v>
      </c>
      <c r="AR1006" s="1040" t="e">
        <f t="shared" si="451"/>
        <v>#DIV/0!</v>
      </c>
      <c r="AS1006" s="1040" t="e">
        <f t="shared" ref="AS1006:AY1006" si="452">IF(AS206="",0,IF(OR(1=RANK(AS606,AS$412:AS$790,0),(2=RANK(AS606,AS$412:AS$790,0))),AS606,AS206))</f>
        <v>#DIV/0!</v>
      </c>
      <c r="AT1006" s="1040" t="e">
        <f t="shared" si="452"/>
        <v>#DIV/0!</v>
      </c>
      <c r="AU1006" s="1040">
        <f t="shared" si="452"/>
        <v>0</v>
      </c>
      <c r="AV1006" s="1040" t="e">
        <f t="shared" si="452"/>
        <v>#DIV/0!</v>
      </c>
      <c r="AW1006" s="1040" t="e">
        <f t="shared" si="452"/>
        <v>#DIV/0!</v>
      </c>
      <c r="AX1006" s="1040" t="e">
        <f t="shared" si="452"/>
        <v>#DIV/0!</v>
      </c>
      <c r="AY1006" s="1040" t="e">
        <f t="shared" si="452"/>
        <v>#DIV/0!</v>
      </c>
      <c r="AZ1006" s="1061" t="s">
        <v>21</v>
      </c>
      <c r="BC1006" s="29"/>
      <c r="BD1006" s="29"/>
      <c r="BE1006" s="13"/>
      <c r="BL1006" s="368"/>
    </row>
    <row r="1007" spans="1:64" ht="12" customHeight="1" x14ac:dyDescent="0.2">
      <c r="A1007" s="515">
        <f>acute_overview_children!A207</f>
        <v>2</v>
      </c>
      <c r="B1007" s="131">
        <f t="shared" si="445"/>
        <v>280000</v>
      </c>
      <c r="C1007" s="131" t="str">
        <f t="shared" si="446"/>
        <v>Fungi</v>
      </c>
      <c r="D1007" s="1035"/>
      <c r="E1007" s="1027"/>
      <c r="F1007" s="87"/>
      <c r="G1007" s="87"/>
      <c r="H1007" s="1027"/>
      <c r="I1007" s="1030"/>
      <c r="J1007" s="1037" t="e">
        <f t="shared" ref="J1007:AR1007" si="453">IF(J207="",0,IF(OR(1=RANK(J607,J$412:J$790,0),(2=RANK(J607,J$412:J$790,0))),J607,J207))</f>
        <v>#DIV/0!</v>
      </c>
      <c r="K1007" s="1038" t="e">
        <f t="shared" si="453"/>
        <v>#DIV/0!</v>
      </c>
      <c r="L1007" s="1038" t="e">
        <f t="shared" si="453"/>
        <v>#DIV/0!</v>
      </c>
      <c r="M1007" s="1038" t="e">
        <f t="shared" si="453"/>
        <v>#DIV/0!</v>
      </c>
      <c r="N1007" s="1038" t="e">
        <f t="shared" si="453"/>
        <v>#DIV/0!</v>
      </c>
      <c r="O1007" s="1038" t="e">
        <f t="shared" si="453"/>
        <v>#DIV/0!</v>
      </c>
      <c r="P1007" s="1038" t="e">
        <f t="shared" si="453"/>
        <v>#DIV/0!</v>
      </c>
      <c r="Q1007" s="1038" t="e">
        <f t="shared" si="453"/>
        <v>#DIV/0!</v>
      </c>
      <c r="R1007" s="1038" t="e">
        <f t="shared" si="453"/>
        <v>#DIV/0!</v>
      </c>
      <c r="S1007" s="1038" t="e">
        <f t="shared" si="453"/>
        <v>#DIV/0!</v>
      </c>
      <c r="T1007" s="1038" t="e">
        <f t="shared" si="453"/>
        <v>#DIV/0!</v>
      </c>
      <c r="U1007" s="1038" t="e">
        <f t="shared" si="453"/>
        <v>#DIV/0!</v>
      </c>
      <c r="V1007" s="1038" t="e">
        <f t="shared" si="453"/>
        <v>#DIV/0!</v>
      </c>
      <c r="W1007" s="1038" t="e">
        <f t="shared" si="453"/>
        <v>#DIV/0!</v>
      </c>
      <c r="X1007" s="1038" t="e">
        <f t="shared" si="453"/>
        <v>#DIV/0!</v>
      </c>
      <c r="Y1007" s="1038" t="e">
        <f t="shared" si="453"/>
        <v>#DIV/0!</v>
      </c>
      <c r="Z1007" s="1038" t="e">
        <f t="shared" si="453"/>
        <v>#DIV/0!</v>
      </c>
      <c r="AA1007" s="1038" t="e">
        <f t="shared" si="453"/>
        <v>#DIV/0!</v>
      </c>
      <c r="AB1007" s="1038" t="e">
        <f t="shared" si="453"/>
        <v>#DIV/0!</v>
      </c>
      <c r="AC1007" s="1038" t="e">
        <f t="shared" si="453"/>
        <v>#DIV/0!</v>
      </c>
      <c r="AD1007" s="1038" t="e">
        <f t="shared" si="453"/>
        <v>#DIV/0!</v>
      </c>
      <c r="AE1007" s="1038" t="e">
        <f t="shared" si="453"/>
        <v>#DIV/0!</v>
      </c>
      <c r="AF1007" s="1038" t="e">
        <f t="shared" si="453"/>
        <v>#DIV/0!</v>
      </c>
      <c r="AG1007" s="1038" t="e">
        <f t="shared" si="453"/>
        <v>#DIV/0!</v>
      </c>
      <c r="AH1007" s="1038" t="e">
        <f t="shared" si="453"/>
        <v>#DIV/0!</v>
      </c>
      <c r="AI1007" s="1038" t="e">
        <f t="shared" si="453"/>
        <v>#DIV/0!</v>
      </c>
      <c r="AJ1007" s="1038" t="e">
        <f t="shared" si="453"/>
        <v>#DIV/0!</v>
      </c>
      <c r="AK1007" s="1038" t="e">
        <f t="shared" si="453"/>
        <v>#DIV/0!</v>
      </c>
      <c r="AL1007" s="1038" t="e">
        <f t="shared" si="453"/>
        <v>#DIV/0!</v>
      </c>
      <c r="AM1007" s="1038" t="e">
        <f t="shared" si="453"/>
        <v>#DIV/0!</v>
      </c>
      <c r="AN1007" s="1038" t="e">
        <f t="shared" si="453"/>
        <v>#DIV/0!</v>
      </c>
      <c r="AO1007" s="1038" t="e">
        <f t="shared" si="453"/>
        <v>#DIV/0!</v>
      </c>
      <c r="AP1007" s="1038" t="e">
        <f t="shared" si="453"/>
        <v>#DIV/0!</v>
      </c>
      <c r="AQ1007" s="1038" t="e">
        <f t="shared" si="453"/>
        <v>#DIV/0!</v>
      </c>
      <c r="AR1007" s="1038" t="e">
        <f t="shared" si="453"/>
        <v>#DIV/0!</v>
      </c>
      <c r="AS1007" s="1038" t="e">
        <f t="shared" ref="AS1007:AY1007" si="454">IF(AS207="",0,IF(OR(1=RANK(AS607,AS$412:AS$790,0),(2=RANK(AS607,AS$412:AS$790,0))),AS607,AS207))</f>
        <v>#DIV/0!</v>
      </c>
      <c r="AT1007" s="1038" t="e">
        <f t="shared" si="454"/>
        <v>#DIV/0!</v>
      </c>
      <c r="AU1007" s="1038">
        <f t="shared" si="454"/>
        <v>0</v>
      </c>
      <c r="AV1007" s="1038" t="e">
        <f t="shared" si="454"/>
        <v>#DIV/0!</v>
      </c>
      <c r="AW1007" s="1038" t="e">
        <f t="shared" si="454"/>
        <v>#DIV/0!</v>
      </c>
      <c r="AX1007" s="1038" t="e">
        <f t="shared" si="454"/>
        <v>#DIV/0!</v>
      </c>
      <c r="AY1007" s="1038" t="e">
        <f t="shared" si="454"/>
        <v>#DIV/0!</v>
      </c>
      <c r="AZ1007" s="1061" t="s">
        <v>21</v>
      </c>
      <c r="BC1007" s="29"/>
      <c r="BD1007" s="29"/>
      <c r="BE1007" s="13"/>
      <c r="BL1007" s="368"/>
    </row>
    <row r="1008" spans="1:64" ht="12" customHeight="1" x14ac:dyDescent="0.2">
      <c r="A1008" s="39">
        <f>acute_overview_children!A208</f>
        <v>4</v>
      </c>
      <c r="B1008" s="23">
        <f t="shared" si="445"/>
        <v>280010</v>
      </c>
      <c r="C1008" s="23" t="str">
        <f t="shared" si="446"/>
        <v>Cultivated fungi</v>
      </c>
      <c r="D1008" s="135"/>
      <c r="E1008" s="1027"/>
      <c r="F1008" s="87"/>
      <c r="G1008" s="87"/>
      <c r="H1008" s="1027"/>
      <c r="I1008" s="1030"/>
      <c r="J1008" s="1039" t="e">
        <f t="shared" ref="J1008:AR1008" si="455">IF(J208="",0,IF(OR(1=RANK(J608,J$412:J$790,0),(2=RANK(J608,J$412:J$790,0))),J608,J208))</f>
        <v>#DIV/0!</v>
      </c>
      <c r="K1008" s="1040" t="e">
        <f t="shared" si="455"/>
        <v>#DIV/0!</v>
      </c>
      <c r="L1008" s="1040" t="e">
        <f t="shared" si="455"/>
        <v>#DIV/0!</v>
      </c>
      <c r="M1008" s="1040" t="e">
        <f t="shared" si="455"/>
        <v>#DIV/0!</v>
      </c>
      <c r="N1008" s="1040" t="e">
        <f t="shared" si="455"/>
        <v>#DIV/0!</v>
      </c>
      <c r="O1008" s="1040" t="e">
        <f t="shared" si="455"/>
        <v>#DIV/0!</v>
      </c>
      <c r="P1008" s="1040" t="e">
        <f t="shared" si="455"/>
        <v>#DIV/0!</v>
      </c>
      <c r="Q1008" s="1040" t="e">
        <f t="shared" si="455"/>
        <v>#DIV/0!</v>
      </c>
      <c r="R1008" s="1040" t="e">
        <f t="shared" si="455"/>
        <v>#DIV/0!</v>
      </c>
      <c r="S1008" s="1040" t="e">
        <f t="shared" si="455"/>
        <v>#DIV/0!</v>
      </c>
      <c r="T1008" s="1040" t="e">
        <f t="shared" si="455"/>
        <v>#DIV/0!</v>
      </c>
      <c r="U1008" s="1040" t="e">
        <f t="shared" si="455"/>
        <v>#DIV/0!</v>
      </c>
      <c r="V1008" s="1040" t="e">
        <f t="shared" si="455"/>
        <v>#DIV/0!</v>
      </c>
      <c r="W1008" s="1040" t="e">
        <f t="shared" si="455"/>
        <v>#DIV/0!</v>
      </c>
      <c r="X1008" s="1040" t="e">
        <f t="shared" si="455"/>
        <v>#DIV/0!</v>
      </c>
      <c r="Y1008" s="1040" t="e">
        <f t="shared" si="455"/>
        <v>#DIV/0!</v>
      </c>
      <c r="Z1008" s="1040" t="e">
        <f t="shared" si="455"/>
        <v>#DIV/0!</v>
      </c>
      <c r="AA1008" s="1040" t="e">
        <f t="shared" si="455"/>
        <v>#DIV/0!</v>
      </c>
      <c r="AB1008" s="1040" t="e">
        <f t="shared" si="455"/>
        <v>#DIV/0!</v>
      </c>
      <c r="AC1008" s="1040" t="e">
        <f t="shared" si="455"/>
        <v>#DIV/0!</v>
      </c>
      <c r="AD1008" s="1040" t="e">
        <f t="shared" si="455"/>
        <v>#DIV/0!</v>
      </c>
      <c r="AE1008" s="1040" t="e">
        <f t="shared" si="455"/>
        <v>#DIV/0!</v>
      </c>
      <c r="AF1008" s="1040" t="e">
        <f t="shared" si="455"/>
        <v>#DIV/0!</v>
      </c>
      <c r="AG1008" s="1040" t="e">
        <f t="shared" si="455"/>
        <v>#DIV/0!</v>
      </c>
      <c r="AH1008" s="1040" t="e">
        <f t="shared" si="455"/>
        <v>#DIV/0!</v>
      </c>
      <c r="AI1008" s="1040" t="e">
        <f t="shared" si="455"/>
        <v>#DIV/0!</v>
      </c>
      <c r="AJ1008" s="1040" t="e">
        <f t="shared" si="455"/>
        <v>#DIV/0!</v>
      </c>
      <c r="AK1008" s="1040" t="e">
        <f t="shared" si="455"/>
        <v>#DIV/0!</v>
      </c>
      <c r="AL1008" s="1040" t="e">
        <f t="shared" si="455"/>
        <v>#DIV/0!</v>
      </c>
      <c r="AM1008" s="1040" t="e">
        <f t="shared" si="455"/>
        <v>#DIV/0!</v>
      </c>
      <c r="AN1008" s="1040" t="e">
        <f t="shared" si="455"/>
        <v>#DIV/0!</v>
      </c>
      <c r="AO1008" s="1040" t="e">
        <f t="shared" si="455"/>
        <v>#DIV/0!</v>
      </c>
      <c r="AP1008" s="1040" t="e">
        <f t="shared" si="455"/>
        <v>#DIV/0!</v>
      </c>
      <c r="AQ1008" s="1040" t="e">
        <f t="shared" si="455"/>
        <v>#DIV/0!</v>
      </c>
      <c r="AR1008" s="1040" t="e">
        <f t="shared" si="455"/>
        <v>#DIV/0!</v>
      </c>
      <c r="AS1008" s="1040" t="e">
        <f t="shared" ref="AS1008:AY1008" si="456">IF(AS208="",0,IF(OR(1=RANK(AS608,AS$412:AS$790,0),(2=RANK(AS608,AS$412:AS$790,0))),AS608,AS208))</f>
        <v>#DIV/0!</v>
      </c>
      <c r="AT1008" s="1040" t="e">
        <f t="shared" si="456"/>
        <v>#DIV/0!</v>
      </c>
      <c r="AU1008" s="1040">
        <f t="shared" si="456"/>
        <v>0</v>
      </c>
      <c r="AV1008" s="1040" t="e">
        <f t="shared" si="456"/>
        <v>#DIV/0!</v>
      </c>
      <c r="AW1008" s="1040" t="e">
        <f t="shared" si="456"/>
        <v>#DIV/0!</v>
      </c>
      <c r="AX1008" s="1040" t="e">
        <f t="shared" si="456"/>
        <v>#DIV/0!</v>
      </c>
      <c r="AY1008" s="1040" t="e">
        <f t="shared" si="456"/>
        <v>#DIV/0!</v>
      </c>
      <c r="AZ1008" s="1061" t="s">
        <v>21</v>
      </c>
      <c r="BC1008" s="29"/>
      <c r="BD1008" s="29"/>
      <c r="BE1008" s="13"/>
      <c r="BL1008" s="368"/>
    </row>
    <row r="1009" spans="1:64" ht="12" customHeight="1" x14ac:dyDescent="0.2">
      <c r="A1009" s="39">
        <f>acute_overview_children!A209</f>
        <v>4</v>
      </c>
      <c r="B1009" s="23">
        <f t="shared" si="445"/>
        <v>280020</v>
      </c>
      <c r="C1009" s="23" t="str">
        <f t="shared" si="446"/>
        <v>Wild fungi</v>
      </c>
      <c r="D1009" s="135"/>
      <c r="E1009" s="1027"/>
      <c r="F1009" s="87"/>
      <c r="G1009" s="87"/>
      <c r="H1009" s="1027"/>
      <c r="I1009" s="1030"/>
      <c r="J1009" s="1039" t="e">
        <f t="shared" ref="J1009:AR1009" si="457">IF(J209="",0,IF(OR(1=RANK(J609,J$412:J$790,0),(2=RANK(J609,J$412:J$790,0))),J609,J209))</f>
        <v>#DIV/0!</v>
      </c>
      <c r="K1009" s="1040" t="e">
        <f t="shared" si="457"/>
        <v>#DIV/0!</v>
      </c>
      <c r="L1009" s="1040" t="e">
        <f t="shared" si="457"/>
        <v>#DIV/0!</v>
      </c>
      <c r="M1009" s="1040" t="e">
        <f t="shared" si="457"/>
        <v>#DIV/0!</v>
      </c>
      <c r="N1009" s="1040" t="e">
        <f t="shared" si="457"/>
        <v>#DIV/0!</v>
      </c>
      <c r="O1009" s="1040" t="e">
        <f t="shared" si="457"/>
        <v>#DIV/0!</v>
      </c>
      <c r="P1009" s="1040" t="e">
        <f t="shared" si="457"/>
        <v>#DIV/0!</v>
      </c>
      <c r="Q1009" s="1040" t="e">
        <f t="shared" si="457"/>
        <v>#DIV/0!</v>
      </c>
      <c r="R1009" s="1040" t="e">
        <f t="shared" si="457"/>
        <v>#DIV/0!</v>
      </c>
      <c r="S1009" s="1040" t="e">
        <f t="shared" si="457"/>
        <v>#DIV/0!</v>
      </c>
      <c r="T1009" s="1040" t="e">
        <f t="shared" si="457"/>
        <v>#DIV/0!</v>
      </c>
      <c r="U1009" s="1040" t="e">
        <f t="shared" si="457"/>
        <v>#DIV/0!</v>
      </c>
      <c r="V1009" s="1040" t="e">
        <f t="shared" si="457"/>
        <v>#DIV/0!</v>
      </c>
      <c r="W1009" s="1040" t="e">
        <f t="shared" si="457"/>
        <v>#DIV/0!</v>
      </c>
      <c r="X1009" s="1040" t="e">
        <f t="shared" si="457"/>
        <v>#DIV/0!</v>
      </c>
      <c r="Y1009" s="1040" t="e">
        <f t="shared" si="457"/>
        <v>#DIV/0!</v>
      </c>
      <c r="Z1009" s="1040" t="e">
        <f t="shared" si="457"/>
        <v>#DIV/0!</v>
      </c>
      <c r="AA1009" s="1040" t="e">
        <f t="shared" si="457"/>
        <v>#DIV/0!</v>
      </c>
      <c r="AB1009" s="1040" t="e">
        <f t="shared" si="457"/>
        <v>#DIV/0!</v>
      </c>
      <c r="AC1009" s="1040" t="e">
        <f t="shared" si="457"/>
        <v>#DIV/0!</v>
      </c>
      <c r="AD1009" s="1040" t="e">
        <f t="shared" si="457"/>
        <v>#DIV/0!</v>
      </c>
      <c r="AE1009" s="1040" t="e">
        <f t="shared" si="457"/>
        <v>#DIV/0!</v>
      </c>
      <c r="AF1009" s="1040" t="e">
        <f t="shared" si="457"/>
        <v>#DIV/0!</v>
      </c>
      <c r="AG1009" s="1040" t="e">
        <f t="shared" si="457"/>
        <v>#DIV/0!</v>
      </c>
      <c r="AH1009" s="1040" t="e">
        <f t="shared" si="457"/>
        <v>#DIV/0!</v>
      </c>
      <c r="AI1009" s="1040" t="e">
        <f t="shared" si="457"/>
        <v>#DIV/0!</v>
      </c>
      <c r="AJ1009" s="1040" t="e">
        <f t="shared" si="457"/>
        <v>#DIV/0!</v>
      </c>
      <c r="AK1009" s="1040" t="e">
        <f t="shared" si="457"/>
        <v>#DIV/0!</v>
      </c>
      <c r="AL1009" s="1040" t="e">
        <f t="shared" si="457"/>
        <v>#DIV/0!</v>
      </c>
      <c r="AM1009" s="1040" t="e">
        <f t="shared" si="457"/>
        <v>#DIV/0!</v>
      </c>
      <c r="AN1009" s="1040" t="e">
        <f t="shared" si="457"/>
        <v>#DIV/0!</v>
      </c>
      <c r="AO1009" s="1040" t="e">
        <f t="shared" si="457"/>
        <v>#DIV/0!</v>
      </c>
      <c r="AP1009" s="1040" t="e">
        <f t="shared" si="457"/>
        <v>#DIV/0!</v>
      </c>
      <c r="AQ1009" s="1040" t="e">
        <f t="shared" si="457"/>
        <v>#DIV/0!</v>
      </c>
      <c r="AR1009" s="1040" t="e">
        <f t="shared" si="457"/>
        <v>#DIV/0!</v>
      </c>
      <c r="AS1009" s="1040" t="e">
        <f t="shared" ref="AS1009:AY1009" si="458">IF(AS209="",0,IF(OR(1=RANK(AS609,AS$412:AS$790,0),(2=RANK(AS609,AS$412:AS$790,0))),AS609,AS209))</f>
        <v>#DIV/0!</v>
      </c>
      <c r="AT1009" s="1040" t="e">
        <f t="shared" si="458"/>
        <v>#DIV/0!</v>
      </c>
      <c r="AU1009" s="1040">
        <f t="shared" si="458"/>
        <v>0</v>
      </c>
      <c r="AV1009" s="1040" t="e">
        <f t="shared" si="458"/>
        <v>#DIV/0!</v>
      </c>
      <c r="AW1009" s="1040" t="e">
        <f t="shared" si="458"/>
        <v>#DIV/0!</v>
      </c>
      <c r="AX1009" s="1040" t="e">
        <f t="shared" si="458"/>
        <v>#DIV/0!</v>
      </c>
      <c r="AY1009" s="1040" t="e">
        <f t="shared" si="458"/>
        <v>#DIV/0!</v>
      </c>
      <c r="AZ1009" s="1061" t="s">
        <v>21</v>
      </c>
      <c r="BC1009" s="29"/>
      <c r="BD1009" s="29"/>
      <c r="BE1009" s="13"/>
      <c r="BL1009" s="368"/>
    </row>
    <row r="1010" spans="1:64" ht="12" customHeight="1" x14ac:dyDescent="0.2">
      <c r="A1010" s="39">
        <f>acute_overview_children!A210</f>
        <v>4</v>
      </c>
      <c r="B1010" s="23">
        <f t="shared" si="445"/>
        <v>280990</v>
      </c>
      <c r="C1010" s="23" t="str">
        <f t="shared" si="446"/>
        <v>Mosses and lichens</v>
      </c>
      <c r="D1010" s="135"/>
      <c r="E1010" s="1027"/>
      <c r="F1010" s="87"/>
      <c r="G1010" s="87"/>
      <c r="H1010" s="1027"/>
      <c r="I1010" s="1030"/>
      <c r="J1010" s="1039" t="e">
        <f t="shared" ref="J1010:AR1010" si="459">IF(J210="",0,IF(OR(1=RANK(J610,J$412:J$790,0),(2=RANK(J610,J$412:J$790,0))),J610,J210))</f>
        <v>#DIV/0!</v>
      </c>
      <c r="K1010" s="1040" t="e">
        <f t="shared" si="459"/>
        <v>#DIV/0!</v>
      </c>
      <c r="L1010" s="1040" t="e">
        <f t="shared" si="459"/>
        <v>#DIV/0!</v>
      </c>
      <c r="M1010" s="1040" t="e">
        <f t="shared" si="459"/>
        <v>#DIV/0!</v>
      </c>
      <c r="N1010" s="1040" t="e">
        <f t="shared" si="459"/>
        <v>#DIV/0!</v>
      </c>
      <c r="O1010" s="1040" t="e">
        <f t="shared" si="459"/>
        <v>#DIV/0!</v>
      </c>
      <c r="P1010" s="1040" t="e">
        <f t="shared" si="459"/>
        <v>#DIV/0!</v>
      </c>
      <c r="Q1010" s="1040" t="e">
        <f t="shared" si="459"/>
        <v>#DIV/0!</v>
      </c>
      <c r="R1010" s="1040" t="e">
        <f t="shared" si="459"/>
        <v>#DIV/0!</v>
      </c>
      <c r="S1010" s="1040" t="e">
        <f t="shared" si="459"/>
        <v>#DIV/0!</v>
      </c>
      <c r="T1010" s="1040" t="e">
        <f t="shared" si="459"/>
        <v>#DIV/0!</v>
      </c>
      <c r="U1010" s="1040" t="e">
        <f t="shared" si="459"/>
        <v>#DIV/0!</v>
      </c>
      <c r="V1010" s="1040" t="e">
        <f t="shared" si="459"/>
        <v>#DIV/0!</v>
      </c>
      <c r="W1010" s="1040" t="e">
        <f t="shared" si="459"/>
        <v>#DIV/0!</v>
      </c>
      <c r="X1010" s="1040" t="e">
        <f t="shared" si="459"/>
        <v>#DIV/0!</v>
      </c>
      <c r="Y1010" s="1040" t="e">
        <f t="shared" si="459"/>
        <v>#DIV/0!</v>
      </c>
      <c r="Z1010" s="1040" t="e">
        <f t="shared" si="459"/>
        <v>#DIV/0!</v>
      </c>
      <c r="AA1010" s="1040" t="e">
        <f t="shared" si="459"/>
        <v>#DIV/0!</v>
      </c>
      <c r="AB1010" s="1040" t="e">
        <f t="shared" si="459"/>
        <v>#DIV/0!</v>
      </c>
      <c r="AC1010" s="1040" t="e">
        <f t="shared" si="459"/>
        <v>#DIV/0!</v>
      </c>
      <c r="AD1010" s="1040" t="e">
        <f t="shared" si="459"/>
        <v>#DIV/0!</v>
      </c>
      <c r="AE1010" s="1040" t="e">
        <f t="shared" si="459"/>
        <v>#DIV/0!</v>
      </c>
      <c r="AF1010" s="1040" t="e">
        <f t="shared" si="459"/>
        <v>#DIV/0!</v>
      </c>
      <c r="AG1010" s="1040" t="e">
        <f t="shared" si="459"/>
        <v>#DIV/0!</v>
      </c>
      <c r="AH1010" s="1040" t="e">
        <f t="shared" si="459"/>
        <v>#DIV/0!</v>
      </c>
      <c r="AI1010" s="1040" t="e">
        <f t="shared" si="459"/>
        <v>#DIV/0!</v>
      </c>
      <c r="AJ1010" s="1040" t="e">
        <f t="shared" si="459"/>
        <v>#DIV/0!</v>
      </c>
      <c r="AK1010" s="1040" t="e">
        <f t="shared" si="459"/>
        <v>#DIV/0!</v>
      </c>
      <c r="AL1010" s="1040" t="e">
        <f t="shared" si="459"/>
        <v>#DIV/0!</v>
      </c>
      <c r="AM1010" s="1040" t="e">
        <f t="shared" si="459"/>
        <v>#DIV/0!</v>
      </c>
      <c r="AN1010" s="1040" t="e">
        <f t="shared" si="459"/>
        <v>#DIV/0!</v>
      </c>
      <c r="AO1010" s="1040" t="e">
        <f t="shared" si="459"/>
        <v>#DIV/0!</v>
      </c>
      <c r="AP1010" s="1040" t="e">
        <f t="shared" si="459"/>
        <v>#DIV/0!</v>
      </c>
      <c r="AQ1010" s="1040" t="e">
        <f t="shared" si="459"/>
        <v>#DIV/0!</v>
      </c>
      <c r="AR1010" s="1040" t="e">
        <f t="shared" si="459"/>
        <v>#DIV/0!</v>
      </c>
      <c r="AS1010" s="1040" t="e">
        <f t="shared" ref="AS1010:AY1010" si="460">IF(AS210="",0,IF(OR(1=RANK(AS610,AS$412:AS$790,0),(2=RANK(AS610,AS$412:AS$790,0))),AS610,AS210))</f>
        <v>#DIV/0!</v>
      </c>
      <c r="AT1010" s="1040" t="e">
        <f t="shared" si="460"/>
        <v>#DIV/0!</v>
      </c>
      <c r="AU1010" s="1040">
        <f t="shared" si="460"/>
        <v>0</v>
      </c>
      <c r="AV1010" s="1040" t="e">
        <f t="shared" si="460"/>
        <v>#DIV/0!</v>
      </c>
      <c r="AW1010" s="1040" t="e">
        <f t="shared" si="460"/>
        <v>#DIV/0!</v>
      </c>
      <c r="AX1010" s="1040" t="e">
        <f t="shared" si="460"/>
        <v>#DIV/0!</v>
      </c>
      <c r="AY1010" s="1040" t="e">
        <f t="shared" si="460"/>
        <v>#DIV/0!</v>
      </c>
      <c r="AZ1010" s="1061" t="s">
        <v>21</v>
      </c>
      <c r="BC1010" s="29"/>
      <c r="BD1010" s="29"/>
      <c r="BE1010" s="13"/>
      <c r="BL1010" s="368"/>
    </row>
    <row r="1011" spans="1:64" ht="12" customHeight="1" x14ac:dyDescent="0.2">
      <c r="A1011" s="515">
        <f>acute_overview_children!A211</f>
        <v>2</v>
      </c>
      <c r="B1011" s="131">
        <f t="shared" si="445"/>
        <v>290000</v>
      </c>
      <c r="C1011" s="131" t="str">
        <f t="shared" si="446"/>
        <v>Algae and prokaryotes organisms</v>
      </c>
      <c r="D1011" s="1035"/>
      <c r="E1011" s="1027"/>
      <c r="F1011" s="87"/>
      <c r="G1011" s="87"/>
      <c r="H1011" s="1027"/>
      <c r="I1011" s="1030"/>
      <c r="J1011" s="1037" t="e">
        <f t="shared" ref="J1011:AR1011" si="461">IF(J211="",0,IF(OR(1=RANK(J611,J$412:J$790,0),(2=RANK(J611,J$412:J$790,0))),J611,J211))</f>
        <v>#DIV/0!</v>
      </c>
      <c r="K1011" s="1038" t="e">
        <f t="shared" si="461"/>
        <v>#DIV/0!</v>
      </c>
      <c r="L1011" s="1038" t="e">
        <f t="shared" si="461"/>
        <v>#DIV/0!</v>
      </c>
      <c r="M1011" s="1038" t="e">
        <f t="shared" si="461"/>
        <v>#DIV/0!</v>
      </c>
      <c r="N1011" s="1038" t="e">
        <f t="shared" si="461"/>
        <v>#DIV/0!</v>
      </c>
      <c r="O1011" s="1038" t="e">
        <f t="shared" si="461"/>
        <v>#DIV/0!</v>
      </c>
      <c r="P1011" s="1038" t="e">
        <f t="shared" si="461"/>
        <v>#DIV/0!</v>
      </c>
      <c r="Q1011" s="1038" t="e">
        <f t="shared" si="461"/>
        <v>#DIV/0!</v>
      </c>
      <c r="R1011" s="1038" t="e">
        <f t="shared" si="461"/>
        <v>#DIV/0!</v>
      </c>
      <c r="S1011" s="1038" t="e">
        <f t="shared" si="461"/>
        <v>#DIV/0!</v>
      </c>
      <c r="T1011" s="1038" t="e">
        <f t="shared" si="461"/>
        <v>#DIV/0!</v>
      </c>
      <c r="U1011" s="1038" t="e">
        <f t="shared" si="461"/>
        <v>#DIV/0!</v>
      </c>
      <c r="V1011" s="1038" t="e">
        <f t="shared" si="461"/>
        <v>#DIV/0!</v>
      </c>
      <c r="W1011" s="1038" t="e">
        <f t="shared" si="461"/>
        <v>#DIV/0!</v>
      </c>
      <c r="X1011" s="1038" t="e">
        <f t="shared" si="461"/>
        <v>#DIV/0!</v>
      </c>
      <c r="Y1011" s="1038" t="e">
        <f t="shared" si="461"/>
        <v>#DIV/0!</v>
      </c>
      <c r="Z1011" s="1038" t="e">
        <f t="shared" si="461"/>
        <v>#DIV/0!</v>
      </c>
      <c r="AA1011" s="1038" t="e">
        <f t="shared" si="461"/>
        <v>#DIV/0!</v>
      </c>
      <c r="AB1011" s="1038" t="e">
        <f t="shared" si="461"/>
        <v>#DIV/0!</v>
      </c>
      <c r="AC1011" s="1038" t="e">
        <f t="shared" si="461"/>
        <v>#DIV/0!</v>
      </c>
      <c r="AD1011" s="1038" t="e">
        <f t="shared" si="461"/>
        <v>#DIV/0!</v>
      </c>
      <c r="AE1011" s="1038" t="e">
        <f t="shared" si="461"/>
        <v>#DIV/0!</v>
      </c>
      <c r="AF1011" s="1038" t="e">
        <f t="shared" si="461"/>
        <v>#DIV/0!</v>
      </c>
      <c r="AG1011" s="1038" t="e">
        <f t="shared" si="461"/>
        <v>#DIV/0!</v>
      </c>
      <c r="AH1011" s="1038" t="e">
        <f t="shared" si="461"/>
        <v>#DIV/0!</v>
      </c>
      <c r="AI1011" s="1038" t="e">
        <f t="shared" si="461"/>
        <v>#DIV/0!</v>
      </c>
      <c r="AJ1011" s="1038" t="e">
        <f t="shared" si="461"/>
        <v>#DIV/0!</v>
      </c>
      <c r="AK1011" s="1038" t="e">
        <f t="shared" si="461"/>
        <v>#DIV/0!</v>
      </c>
      <c r="AL1011" s="1038" t="e">
        <f t="shared" si="461"/>
        <v>#DIV/0!</v>
      </c>
      <c r="AM1011" s="1038" t="e">
        <f t="shared" si="461"/>
        <v>#DIV/0!</v>
      </c>
      <c r="AN1011" s="1038" t="e">
        <f t="shared" si="461"/>
        <v>#DIV/0!</v>
      </c>
      <c r="AO1011" s="1038" t="e">
        <f t="shared" si="461"/>
        <v>#DIV/0!</v>
      </c>
      <c r="AP1011" s="1038" t="e">
        <f t="shared" si="461"/>
        <v>#DIV/0!</v>
      </c>
      <c r="AQ1011" s="1038" t="e">
        <f t="shared" si="461"/>
        <v>#DIV/0!</v>
      </c>
      <c r="AR1011" s="1038" t="e">
        <f t="shared" si="461"/>
        <v>#DIV/0!</v>
      </c>
      <c r="AS1011" s="1038" t="e">
        <f t="shared" ref="AS1011:AY1011" si="462">IF(AS211="",0,IF(OR(1=RANK(AS611,AS$412:AS$790,0),(2=RANK(AS611,AS$412:AS$790,0))),AS611,AS211))</f>
        <v>#DIV/0!</v>
      </c>
      <c r="AT1011" s="1038" t="e">
        <f t="shared" si="462"/>
        <v>#DIV/0!</v>
      </c>
      <c r="AU1011" s="1038">
        <f t="shared" si="462"/>
        <v>0</v>
      </c>
      <c r="AV1011" s="1038" t="e">
        <f t="shared" si="462"/>
        <v>#DIV/0!</v>
      </c>
      <c r="AW1011" s="1038" t="e">
        <f t="shared" si="462"/>
        <v>#DIV/0!</v>
      </c>
      <c r="AX1011" s="1038" t="e">
        <f t="shared" si="462"/>
        <v>#DIV/0!</v>
      </c>
      <c r="AY1011" s="1038" t="e">
        <f t="shared" si="462"/>
        <v>#DIV/0!</v>
      </c>
      <c r="AZ1011" s="1061" t="s">
        <v>21</v>
      </c>
      <c r="BC1011" s="29"/>
      <c r="BD1011" s="29"/>
      <c r="BE1011" s="13"/>
      <c r="BL1011" s="368"/>
    </row>
    <row r="1012" spans="1:64" ht="12" customHeight="1" x14ac:dyDescent="0.2">
      <c r="A1012" s="514">
        <f>acute_overview_children!A212</f>
        <v>1</v>
      </c>
      <c r="B1012" s="127">
        <f t="shared" si="445"/>
        <v>300000</v>
      </c>
      <c r="C1012" s="127" t="str">
        <f t="shared" si="446"/>
        <v>PULSES</v>
      </c>
      <c r="D1012" s="135"/>
      <c r="E1012" s="1027"/>
      <c r="F1012" s="87"/>
      <c r="G1012" s="87"/>
      <c r="H1012" s="1027"/>
      <c r="I1012" s="1030"/>
      <c r="J1012" s="1031" t="e">
        <f t="shared" ref="J1012:AR1012" si="463">IF(J212="",0,IF(OR(1=RANK(J612,J$412:J$790,0),(2=RANK(J612,J$412:J$790,0))),J612,J212))</f>
        <v>#DIV/0!</v>
      </c>
      <c r="K1012" s="1032" t="e">
        <f t="shared" si="463"/>
        <v>#DIV/0!</v>
      </c>
      <c r="L1012" s="1032" t="e">
        <f t="shared" si="463"/>
        <v>#DIV/0!</v>
      </c>
      <c r="M1012" s="1032" t="e">
        <f t="shared" si="463"/>
        <v>#DIV/0!</v>
      </c>
      <c r="N1012" s="1032" t="e">
        <f t="shared" si="463"/>
        <v>#DIV/0!</v>
      </c>
      <c r="O1012" s="1032" t="e">
        <f t="shared" si="463"/>
        <v>#DIV/0!</v>
      </c>
      <c r="P1012" s="1032" t="e">
        <f t="shared" si="463"/>
        <v>#DIV/0!</v>
      </c>
      <c r="Q1012" s="1032" t="e">
        <f t="shared" si="463"/>
        <v>#DIV/0!</v>
      </c>
      <c r="R1012" s="1032" t="e">
        <f t="shared" si="463"/>
        <v>#DIV/0!</v>
      </c>
      <c r="S1012" s="1032" t="e">
        <f t="shared" si="463"/>
        <v>#DIV/0!</v>
      </c>
      <c r="T1012" s="1032" t="e">
        <f t="shared" si="463"/>
        <v>#DIV/0!</v>
      </c>
      <c r="U1012" s="1032" t="e">
        <f t="shared" si="463"/>
        <v>#DIV/0!</v>
      </c>
      <c r="V1012" s="1032" t="e">
        <f t="shared" si="463"/>
        <v>#DIV/0!</v>
      </c>
      <c r="W1012" s="1032" t="e">
        <f t="shared" si="463"/>
        <v>#DIV/0!</v>
      </c>
      <c r="X1012" s="1032" t="e">
        <f t="shared" si="463"/>
        <v>#DIV/0!</v>
      </c>
      <c r="Y1012" s="1032" t="e">
        <f t="shared" si="463"/>
        <v>#DIV/0!</v>
      </c>
      <c r="Z1012" s="1032" t="e">
        <f t="shared" si="463"/>
        <v>#DIV/0!</v>
      </c>
      <c r="AA1012" s="1032" t="e">
        <f t="shared" si="463"/>
        <v>#DIV/0!</v>
      </c>
      <c r="AB1012" s="1032" t="e">
        <f t="shared" si="463"/>
        <v>#DIV/0!</v>
      </c>
      <c r="AC1012" s="1032" t="e">
        <f t="shared" si="463"/>
        <v>#DIV/0!</v>
      </c>
      <c r="AD1012" s="1032" t="e">
        <f t="shared" si="463"/>
        <v>#DIV/0!</v>
      </c>
      <c r="AE1012" s="1032" t="e">
        <f t="shared" si="463"/>
        <v>#DIV/0!</v>
      </c>
      <c r="AF1012" s="1032" t="e">
        <f t="shared" si="463"/>
        <v>#DIV/0!</v>
      </c>
      <c r="AG1012" s="1032" t="e">
        <f t="shared" si="463"/>
        <v>#DIV/0!</v>
      </c>
      <c r="AH1012" s="1032" t="e">
        <f t="shared" si="463"/>
        <v>#DIV/0!</v>
      </c>
      <c r="AI1012" s="1032" t="e">
        <f t="shared" si="463"/>
        <v>#DIV/0!</v>
      </c>
      <c r="AJ1012" s="1032" t="e">
        <f t="shared" si="463"/>
        <v>#DIV/0!</v>
      </c>
      <c r="AK1012" s="1032" t="e">
        <f t="shared" si="463"/>
        <v>#DIV/0!</v>
      </c>
      <c r="AL1012" s="1032" t="e">
        <f t="shared" si="463"/>
        <v>#DIV/0!</v>
      </c>
      <c r="AM1012" s="1032" t="e">
        <f t="shared" si="463"/>
        <v>#DIV/0!</v>
      </c>
      <c r="AN1012" s="1032" t="e">
        <f t="shared" si="463"/>
        <v>#DIV/0!</v>
      </c>
      <c r="AO1012" s="1032" t="e">
        <f t="shared" si="463"/>
        <v>#DIV/0!</v>
      </c>
      <c r="AP1012" s="1032" t="e">
        <f t="shared" si="463"/>
        <v>#DIV/0!</v>
      </c>
      <c r="AQ1012" s="1032" t="e">
        <f t="shared" si="463"/>
        <v>#DIV/0!</v>
      </c>
      <c r="AR1012" s="1032" t="e">
        <f t="shared" si="463"/>
        <v>#DIV/0!</v>
      </c>
      <c r="AS1012" s="1032" t="e">
        <f t="shared" ref="AS1012:AY1012" si="464">IF(AS212="",0,IF(OR(1=RANK(AS612,AS$412:AS$790,0),(2=RANK(AS612,AS$412:AS$790,0))),AS612,AS212))</f>
        <v>#DIV/0!</v>
      </c>
      <c r="AT1012" s="1032" t="e">
        <f t="shared" si="464"/>
        <v>#DIV/0!</v>
      </c>
      <c r="AU1012" s="1032">
        <f t="shared" si="464"/>
        <v>0</v>
      </c>
      <c r="AV1012" s="1032" t="e">
        <f t="shared" si="464"/>
        <v>#DIV/0!</v>
      </c>
      <c r="AW1012" s="1032" t="e">
        <f t="shared" si="464"/>
        <v>#DIV/0!</v>
      </c>
      <c r="AX1012" s="1032" t="e">
        <f t="shared" si="464"/>
        <v>#DIV/0!</v>
      </c>
      <c r="AY1012" s="1032" t="e">
        <f t="shared" si="464"/>
        <v>#DIV/0!</v>
      </c>
      <c r="AZ1012" s="1061" t="s">
        <v>21</v>
      </c>
      <c r="BC1012" s="29"/>
      <c r="BD1012" s="29"/>
      <c r="BE1012" s="13"/>
      <c r="BL1012" s="368"/>
    </row>
    <row r="1013" spans="1:64" ht="12" customHeight="1" x14ac:dyDescent="0.2">
      <c r="A1013" s="39">
        <f>acute_overview_children!A213</f>
        <v>4</v>
      </c>
      <c r="B1013" s="23">
        <f t="shared" si="445"/>
        <v>300010</v>
      </c>
      <c r="C1013" s="23" t="str">
        <f t="shared" si="446"/>
        <v>Beans</v>
      </c>
      <c r="D1013" s="135"/>
      <c r="E1013" s="1027"/>
      <c r="F1013" s="87"/>
      <c r="G1013" s="87"/>
      <c r="H1013" s="1027"/>
      <c r="I1013" s="1030"/>
      <c r="J1013" s="1039" t="e">
        <f t="shared" ref="J1013:AR1013" si="465">IF(J213="",0,IF(OR(1=RANK(J613,J$412:J$790,0),(2=RANK(J613,J$412:J$790,0))),J613,J213))</f>
        <v>#DIV/0!</v>
      </c>
      <c r="K1013" s="1040" t="e">
        <f t="shared" si="465"/>
        <v>#DIV/0!</v>
      </c>
      <c r="L1013" s="1040" t="e">
        <f t="shared" si="465"/>
        <v>#DIV/0!</v>
      </c>
      <c r="M1013" s="1040" t="e">
        <f t="shared" si="465"/>
        <v>#DIV/0!</v>
      </c>
      <c r="N1013" s="1040" t="e">
        <f t="shared" si="465"/>
        <v>#DIV/0!</v>
      </c>
      <c r="O1013" s="1040" t="e">
        <f t="shared" si="465"/>
        <v>#DIV/0!</v>
      </c>
      <c r="P1013" s="1040" t="e">
        <f t="shared" si="465"/>
        <v>#DIV/0!</v>
      </c>
      <c r="Q1013" s="1040" t="e">
        <f t="shared" si="465"/>
        <v>#DIV/0!</v>
      </c>
      <c r="R1013" s="1040" t="e">
        <f t="shared" si="465"/>
        <v>#DIV/0!</v>
      </c>
      <c r="S1013" s="1040" t="e">
        <f t="shared" si="465"/>
        <v>#DIV/0!</v>
      </c>
      <c r="T1013" s="1040" t="e">
        <f t="shared" si="465"/>
        <v>#DIV/0!</v>
      </c>
      <c r="U1013" s="1040" t="e">
        <f t="shared" si="465"/>
        <v>#DIV/0!</v>
      </c>
      <c r="V1013" s="1040" t="e">
        <f t="shared" si="465"/>
        <v>#DIV/0!</v>
      </c>
      <c r="W1013" s="1040" t="e">
        <f t="shared" si="465"/>
        <v>#DIV/0!</v>
      </c>
      <c r="X1013" s="1040" t="e">
        <f t="shared" si="465"/>
        <v>#DIV/0!</v>
      </c>
      <c r="Y1013" s="1040" t="e">
        <f t="shared" si="465"/>
        <v>#DIV/0!</v>
      </c>
      <c r="Z1013" s="1040" t="e">
        <f t="shared" si="465"/>
        <v>#DIV/0!</v>
      </c>
      <c r="AA1013" s="1040" t="e">
        <f t="shared" si="465"/>
        <v>#DIV/0!</v>
      </c>
      <c r="AB1013" s="1040" t="e">
        <f t="shared" si="465"/>
        <v>#DIV/0!</v>
      </c>
      <c r="AC1013" s="1040" t="e">
        <f t="shared" si="465"/>
        <v>#DIV/0!</v>
      </c>
      <c r="AD1013" s="1040" t="e">
        <f t="shared" si="465"/>
        <v>#DIV/0!</v>
      </c>
      <c r="AE1013" s="1040" t="e">
        <f t="shared" si="465"/>
        <v>#DIV/0!</v>
      </c>
      <c r="AF1013" s="1040" t="e">
        <f t="shared" si="465"/>
        <v>#DIV/0!</v>
      </c>
      <c r="AG1013" s="1040" t="e">
        <f t="shared" si="465"/>
        <v>#DIV/0!</v>
      </c>
      <c r="AH1013" s="1040" t="e">
        <f t="shared" si="465"/>
        <v>#DIV/0!</v>
      </c>
      <c r="AI1013" s="1040" t="e">
        <f t="shared" si="465"/>
        <v>#DIV/0!</v>
      </c>
      <c r="AJ1013" s="1040" t="e">
        <f t="shared" si="465"/>
        <v>#DIV/0!</v>
      </c>
      <c r="AK1013" s="1040" t="e">
        <f t="shared" si="465"/>
        <v>#DIV/0!</v>
      </c>
      <c r="AL1013" s="1040" t="e">
        <f t="shared" si="465"/>
        <v>#DIV/0!</v>
      </c>
      <c r="AM1013" s="1040" t="e">
        <f t="shared" si="465"/>
        <v>#DIV/0!</v>
      </c>
      <c r="AN1013" s="1040" t="e">
        <f t="shared" si="465"/>
        <v>#DIV/0!</v>
      </c>
      <c r="AO1013" s="1040" t="e">
        <f t="shared" si="465"/>
        <v>#DIV/0!</v>
      </c>
      <c r="AP1013" s="1040" t="e">
        <f t="shared" si="465"/>
        <v>#DIV/0!</v>
      </c>
      <c r="AQ1013" s="1040" t="e">
        <f t="shared" si="465"/>
        <v>#DIV/0!</v>
      </c>
      <c r="AR1013" s="1040" t="e">
        <f t="shared" si="465"/>
        <v>#DIV/0!</v>
      </c>
      <c r="AS1013" s="1040" t="e">
        <f t="shared" ref="AS1013:AY1013" si="466">IF(AS213="",0,IF(OR(1=RANK(AS613,AS$412:AS$790,0),(2=RANK(AS613,AS$412:AS$790,0))),AS613,AS213))</f>
        <v>#DIV/0!</v>
      </c>
      <c r="AT1013" s="1040" t="e">
        <f t="shared" si="466"/>
        <v>#DIV/0!</v>
      </c>
      <c r="AU1013" s="1040">
        <f t="shared" si="466"/>
        <v>0</v>
      </c>
      <c r="AV1013" s="1040" t="e">
        <f t="shared" si="466"/>
        <v>#DIV/0!</v>
      </c>
      <c r="AW1013" s="1040" t="e">
        <f t="shared" si="466"/>
        <v>#DIV/0!</v>
      </c>
      <c r="AX1013" s="1040" t="e">
        <f t="shared" si="466"/>
        <v>#DIV/0!</v>
      </c>
      <c r="AY1013" s="1040" t="e">
        <f t="shared" si="466"/>
        <v>#DIV/0!</v>
      </c>
      <c r="AZ1013" s="1061" t="s">
        <v>21</v>
      </c>
      <c r="BC1013" s="29"/>
      <c r="BD1013" s="29"/>
      <c r="BE1013" s="13"/>
      <c r="BL1013" s="368"/>
    </row>
    <row r="1014" spans="1:64" ht="12" customHeight="1" x14ac:dyDescent="0.2">
      <c r="A1014" s="39">
        <f>acute_overview_children!A214</f>
        <v>4</v>
      </c>
      <c r="B1014" s="23">
        <f t="shared" si="445"/>
        <v>300020</v>
      </c>
      <c r="C1014" s="23" t="str">
        <f t="shared" si="446"/>
        <v>Lentils</v>
      </c>
      <c r="D1014" s="135"/>
      <c r="E1014" s="1027"/>
      <c r="F1014" s="87"/>
      <c r="G1014" s="87"/>
      <c r="H1014" s="1027"/>
      <c r="I1014" s="1030"/>
      <c r="J1014" s="1039" t="e">
        <f t="shared" ref="J1014:AR1014" si="467">IF(J214="",0,IF(OR(1=RANK(J614,J$412:J$790,0),(2=RANK(J614,J$412:J$790,0))),J614,J214))</f>
        <v>#DIV/0!</v>
      </c>
      <c r="K1014" s="1040" t="e">
        <f t="shared" si="467"/>
        <v>#DIV/0!</v>
      </c>
      <c r="L1014" s="1040" t="e">
        <f t="shared" si="467"/>
        <v>#DIV/0!</v>
      </c>
      <c r="M1014" s="1040" t="e">
        <f t="shared" si="467"/>
        <v>#DIV/0!</v>
      </c>
      <c r="N1014" s="1040" t="e">
        <f t="shared" si="467"/>
        <v>#DIV/0!</v>
      </c>
      <c r="O1014" s="1040" t="e">
        <f t="shared" si="467"/>
        <v>#DIV/0!</v>
      </c>
      <c r="P1014" s="1040" t="e">
        <f t="shared" si="467"/>
        <v>#DIV/0!</v>
      </c>
      <c r="Q1014" s="1040" t="e">
        <f t="shared" si="467"/>
        <v>#DIV/0!</v>
      </c>
      <c r="R1014" s="1040" t="e">
        <f t="shared" si="467"/>
        <v>#DIV/0!</v>
      </c>
      <c r="S1014" s="1040" t="e">
        <f t="shared" si="467"/>
        <v>#DIV/0!</v>
      </c>
      <c r="T1014" s="1040" t="e">
        <f t="shared" si="467"/>
        <v>#DIV/0!</v>
      </c>
      <c r="U1014" s="1040" t="e">
        <f t="shared" si="467"/>
        <v>#DIV/0!</v>
      </c>
      <c r="V1014" s="1040" t="e">
        <f t="shared" si="467"/>
        <v>#DIV/0!</v>
      </c>
      <c r="W1014" s="1040" t="e">
        <f t="shared" si="467"/>
        <v>#DIV/0!</v>
      </c>
      <c r="X1014" s="1040" t="e">
        <f t="shared" si="467"/>
        <v>#DIV/0!</v>
      </c>
      <c r="Y1014" s="1040" t="e">
        <f t="shared" si="467"/>
        <v>#DIV/0!</v>
      </c>
      <c r="Z1014" s="1040" t="e">
        <f t="shared" si="467"/>
        <v>#DIV/0!</v>
      </c>
      <c r="AA1014" s="1040" t="e">
        <f t="shared" si="467"/>
        <v>#DIV/0!</v>
      </c>
      <c r="AB1014" s="1040" t="e">
        <f t="shared" si="467"/>
        <v>#DIV/0!</v>
      </c>
      <c r="AC1014" s="1040" t="e">
        <f t="shared" si="467"/>
        <v>#DIV/0!</v>
      </c>
      <c r="AD1014" s="1040" t="e">
        <f t="shared" si="467"/>
        <v>#DIV/0!</v>
      </c>
      <c r="AE1014" s="1040" t="e">
        <f t="shared" si="467"/>
        <v>#DIV/0!</v>
      </c>
      <c r="AF1014" s="1040" t="e">
        <f t="shared" si="467"/>
        <v>#DIV/0!</v>
      </c>
      <c r="AG1014" s="1040" t="e">
        <f t="shared" si="467"/>
        <v>#DIV/0!</v>
      </c>
      <c r="AH1014" s="1040" t="e">
        <f t="shared" si="467"/>
        <v>#DIV/0!</v>
      </c>
      <c r="AI1014" s="1040" t="e">
        <f t="shared" si="467"/>
        <v>#DIV/0!</v>
      </c>
      <c r="AJ1014" s="1040" t="e">
        <f t="shared" si="467"/>
        <v>#DIV/0!</v>
      </c>
      <c r="AK1014" s="1040" t="e">
        <f t="shared" si="467"/>
        <v>#DIV/0!</v>
      </c>
      <c r="AL1014" s="1040" t="e">
        <f t="shared" si="467"/>
        <v>#DIV/0!</v>
      </c>
      <c r="AM1014" s="1040" t="e">
        <f t="shared" si="467"/>
        <v>#DIV/0!</v>
      </c>
      <c r="AN1014" s="1040" t="e">
        <f t="shared" si="467"/>
        <v>#DIV/0!</v>
      </c>
      <c r="AO1014" s="1040" t="e">
        <f t="shared" si="467"/>
        <v>#DIV/0!</v>
      </c>
      <c r="AP1014" s="1040" t="e">
        <f t="shared" si="467"/>
        <v>#DIV/0!</v>
      </c>
      <c r="AQ1014" s="1040" t="e">
        <f t="shared" si="467"/>
        <v>#DIV/0!</v>
      </c>
      <c r="AR1014" s="1040" t="e">
        <f t="shared" si="467"/>
        <v>#DIV/0!</v>
      </c>
      <c r="AS1014" s="1040" t="e">
        <f t="shared" ref="AS1014:AY1014" si="468">IF(AS214="",0,IF(OR(1=RANK(AS614,AS$412:AS$790,0),(2=RANK(AS614,AS$412:AS$790,0))),AS614,AS214))</f>
        <v>#DIV/0!</v>
      </c>
      <c r="AT1014" s="1040" t="e">
        <f t="shared" si="468"/>
        <v>#DIV/0!</v>
      </c>
      <c r="AU1014" s="1040">
        <f t="shared" si="468"/>
        <v>0</v>
      </c>
      <c r="AV1014" s="1040" t="e">
        <f t="shared" si="468"/>
        <v>#DIV/0!</v>
      </c>
      <c r="AW1014" s="1040" t="e">
        <f t="shared" si="468"/>
        <v>#DIV/0!</v>
      </c>
      <c r="AX1014" s="1040" t="e">
        <f t="shared" si="468"/>
        <v>#DIV/0!</v>
      </c>
      <c r="AY1014" s="1040" t="e">
        <f t="shared" si="468"/>
        <v>#DIV/0!</v>
      </c>
      <c r="AZ1014" s="1061" t="s">
        <v>21</v>
      </c>
      <c r="BC1014" s="29"/>
      <c r="BD1014" s="29"/>
      <c r="BE1014" s="13"/>
      <c r="BL1014" s="368"/>
    </row>
    <row r="1015" spans="1:64" ht="12" customHeight="1" x14ac:dyDescent="0.2">
      <c r="A1015" s="39">
        <f>acute_overview_children!A215</f>
        <v>4</v>
      </c>
      <c r="B1015" s="23">
        <f t="shared" si="445"/>
        <v>300030</v>
      </c>
      <c r="C1015" s="23" t="str">
        <f t="shared" si="446"/>
        <v>Peas</v>
      </c>
      <c r="D1015" s="135"/>
      <c r="E1015" s="1027"/>
      <c r="F1015" s="87"/>
      <c r="G1015" s="87"/>
      <c r="H1015" s="1027"/>
      <c r="I1015" s="1030"/>
      <c r="J1015" s="1039" t="e">
        <f t="shared" ref="J1015:AR1015" si="469">IF(J215="",0,IF(OR(1=RANK(J615,J$412:J$790,0),(2=RANK(J615,J$412:J$790,0))),J615,J215))</f>
        <v>#DIV/0!</v>
      </c>
      <c r="K1015" s="1040" t="e">
        <f t="shared" si="469"/>
        <v>#DIV/0!</v>
      </c>
      <c r="L1015" s="1040" t="e">
        <f t="shared" si="469"/>
        <v>#DIV/0!</v>
      </c>
      <c r="M1015" s="1040" t="e">
        <f t="shared" si="469"/>
        <v>#DIV/0!</v>
      </c>
      <c r="N1015" s="1040" t="e">
        <f t="shared" si="469"/>
        <v>#DIV/0!</v>
      </c>
      <c r="O1015" s="1040" t="e">
        <f t="shared" si="469"/>
        <v>#DIV/0!</v>
      </c>
      <c r="P1015" s="1040" t="e">
        <f t="shared" si="469"/>
        <v>#DIV/0!</v>
      </c>
      <c r="Q1015" s="1040" t="e">
        <f t="shared" si="469"/>
        <v>#DIV/0!</v>
      </c>
      <c r="R1015" s="1040" t="e">
        <f t="shared" si="469"/>
        <v>#DIV/0!</v>
      </c>
      <c r="S1015" s="1040" t="e">
        <f t="shared" si="469"/>
        <v>#DIV/0!</v>
      </c>
      <c r="T1015" s="1040" t="e">
        <f t="shared" si="469"/>
        <v>#DIV/0!</v>
      </c>
      <c r="U1015" s="1040" t="e">
        <f t="shared" si="469"/>
        <v>#DIV/0!</v>
      </c>
      <c r="V1015" s="1040" t="e">
        <f t="shared" si="469"/>
        <v>#DIV/0!</v>
      </c>
      <c r="W1015" s="1040" t="e">
        <f t="shared" si="469"/>
        <v>#DIV/0!</v>
      </c>
      <c r="X1015" s="1040" t="e">
        <f t="shared" si="469"/>
        <v>#DIV/0!</v>
      </c>
      <c r="Y1015" s="1040" t="e">
        <f t="shared" si="469"/>
        <v>#DIV/0!</v>
      </c>
      <c r="Z1015" s="1040" t="e">
        <f t="shared" si="469"/>
        <v>#DIV/0!</v>
      </c>
      <c r="AA1015" s="1040" t="e">
        <f t="shared" si="469"/>
        <v>#DIV/0!</v>
      </c>
      <c r="AB1015" s="1040" t="e">
        <f t="shared" si="469"/>
        <v>#DIV/0!</v>
      </c>
      <c r="AC1015" s="1040" t="e">
        <f t="shared" si="469"/>
        <v>#DIV/0!</v>
      </c>
      <c r="AD1015" s="1040" t="e">
        <f t="shared" si="469"/>
        <v>#DIV/0!</v>
      </c>
      <c r="AE1015" s="1040" t="e">
        <f t="shared" si="469"/>
        <v>#DIV/0!</v>
      </c>
      <c r="AF1015" s="1040" t="e">
        <f t="shared" si="469"/>
        <v>#DIV/0!</v>
      </c>
      <c r="AG1015" s="1040" t="e">
        <f t="shared" si="469"/>
        <v>#DIV/0!</v>
      </c>
      <c r="AH1015" s="1040" t="e">
        <f t="shared" si="469"/>
        <v>#DIV/0!</v>
      </c>
      <c r="AI1015" s="1040" t="e">
        <f t="shared" si="469"/>
        <v>#DIV/0!</v>
      </c>
      <c r="AJ1015" s="1040" t="e">
        <f t="shared" si="469"/>
        <v>#DIV/0!</v>
      </c>
      <c r="AK1015" s="1040" t="e">
        <f t="shared" si="469"/>
        <v>#DIV/0!</v>
      </c>
      <c r="AL1015" s="1040" t="e">
        <f t="shared" si="469"/>
        <v>#DIV/0!</v>
      </c>
      <c r="AM1015" s="1040" t="e">
        <f t="shared" si="469"/>
        <v>#DIV/0!</v>
      </c>
      <c r="AN1015" s="1040" t="e">
        <f t="shared" si="469"/>
        <v>#DIV/0!</v>
      </c>
      <c r="AO1015" s="1040" t="e">
        <f t="shared" si="469"/>
        <v>#DIV/0!</v>
      </c>
      <c r="AP1015" s="1040" t="e">
        <f t="shared" si="469"/>
        <v>#DIV/0!</v>
      </c>
      <c r="AQ1015" s="1040" t="e">
        <f t="shared" si="469"/>
        <v>#DIV/0!</v>
      </c>
      <c r="AR1015" s="1040" t="e">
        <f t="shared" si="469"/>
        <v>#DIV/0!</v>
      </c>
      <c r="AS1015" s="1040" t="e">
        <f t="shared" ref="AS1015:AY1015" si="470">IF(AS215="",0,IF(OR(1=RANK(AS615,AS$412:AS$790,0),(2=RANK(AS615,AS$412:AS$790,0))),AS615,AS215))</f>
        <v>#DIV/0!</v>
      </c>
      <c r="AT1015" s="1040" t="e">
        <f t="shared" si="470"/>
        <v>#DIV/0!</v>
      </c>
      <c r="AU1015" s="1040">
        <f t="shared" si="470"/>
        <v>0</v>
      </c>
      <c r="AV1015" s="1040" t="e">
        <f t="shared" si="470"/>
        <v>#DIV/0!</v>
      </c>
      <c r="AW1015" s="1040" t="e">
        <f t="shared" si="470"/>
        <v>#DIV/0!</v>
      </c>
      <c r="AX1015" s="1040" t="e">
        <f t="shared" si="470"/>
        <v>#DIV/0!</v>
      </c>
      <c r="AY1015" s="1040" t="e">
        <f t="shared" si="470"/>
        <v>#DIV/0!</v>
      </c>
      <c r="AZ1015" s="1061" t="s">
        <v>21</v>
      </c>
      <c r="BC1015" s="29"/>
      <c r="BD1015" s="29"/>
      <c r="BE1015" s="13"/>
      <c r="BL1015" s="368"/>
    </row>
    <row r="1016" spans="1:64" ht="12" customHeight="1" x14ac:dyDescent="0.2">
      <c r="A1016" s="39">
        <f>acute_overview_children!A216</f>
        <v>4</v>
      </c>
      <c r="B1016" s="23">
        <f t="shared" si="445"/>
        <v>300040</v>
      </c>
      <c r="C1016" s="23" t="str">
        <f t="shared" si="446"/>
        <v>Lupins/lupini beans</v>
      </c>
      <c r="D1016" s="135"/>
      <c r="E1016" s="1027"/>
      <c r="F1016" s="87"/>
      <c r="G1016" s="87"/>
      <c r="H1016" s="1027"/>
      <c r="I1016" s="1030"/>
      <c r="J1016" s="1039" t="e">
        <f t="shared" ref="J1016:AR1016" si="471">IF(J216="",0,IF(OR(1=RANK(J616,J$412:J$790,0),(2=RANK(J616,J$412:J$790,0))),J616,J216))</f>
        <v>#DIV/0!</v>
      </c>
      <c r="K1016" s="1040" t="e">
        <f t="shared" si="471"/>
        <v>#DIV/0!</v>
      </c>
      <c r="L1016" s="1040" t="e">
        <f t="shared" si="471"/>
        <v>#DIV/0!</v>
      </c>
      <c r="M1016" s="1040" t="e">
        <f t="shared" si="471"/>
        <v>#DIV/0!</v>
      </c>
      <c r="N1016" s="1040" t="e">
        <f t="shared" si="471"/>
        <v>#DIV/0!</v>
      </c>
      <c r="O1016" s="1040" t="e">
        <f t="shared" si="471"/>
        <v>#DIV/0!</v>
      </c>
      <c r="P1016" s="1040" t="e">
        <f t="shared" si="471"/>
        <v>#DIV/0!</v>
      </c>
      <c r="Q1016" s="1040" t="e">
        <f t="shared" si="471"/>
        <v>#DIV/0!</v>
      </c>
      <c r="R1016" s="1040" t="e">
        <f t="shared" si="471"/>
        <v>#DIV/0!</v>
      </c>
      <c r="S1016" s="1040" t="e">
        <f t="shared" si="471"/>
        <v>#DIV/0!</v>
      </c>
      <c r="T1016" s="1040" t="e">
        <f t="shared" si="471"/>
        <v>#DIV/0!</v>
      </c>
      <c r="U1016" s="1040" t="e">
        <f t="shared" si="471"/>
        <v>#DIV/0!</v>
      </c>
      <c r="V1016" s="1040" t="e">
        <f t="shared" si="471"/>
        <v>#DIV/0!</v>
      </c>
      <c r="W1016" s="1040" t="e">
        <f t="shared" si="471"/>
        <v>#DIV/0!</v>
      </c>
      <c r="X1016" s="1040" t="e">
        <f t="shared" si="471"/>
        <v>#DIV/0!</v>
      </c>
      <c r="Y1016" s="1040" t="e">
        <f t="shared" si="471"/>
        <v>#DIV/0!</v>
      </c>
      <c r="Z1016" s="1040" t="e">
        <f t="shared" si="471"/>
        <v>#DIV/0!</v>
      </c>
      <c r="AA1016" s="1040" t="e">
        <f t="shared" si="471"/>
        <v>#DIV/0!</v>
      </c>
      <c r="AB1016" s="1040" t="e">
        <f t="shared" si="471"/>
        <v>#DIV/0!</v>
      </c>
      <c r="AC1016" s="1040" t="e">
        <f t="shared" si="471"/>
        <v>#DIV/0!</v>
      </c>
      <c r="AD1016" s="1040" t="e">
        <f t="shared" si="471"/>
        <v>#DIV/0!</v>
      </c>
      <c r="AE1016" s="1040" t="e">
        <f t="shared" si="471"/>
        <v>#DIV/0!</v>
      </c>
      <c r="AF1016" s="1040" t="e">
        <f t="shared" si="471"/>
        <v>#DIV/0!</v>
      </c>
      <c r="AG1016" s="1040" t="e">
        <f t="shared" si="471"/>
        <v>#DIV/0!</v>
      </c>
      <c r="AH1016" s="1040" t="e">
        <f t="shared" si="471"/>
        <v>#DIV/0!</v>
      </c>
      <c r="AI1016" s="1040" t="e">
        <f t="shared" si="471"/>
        <v>#DIV/0!</v>
      </c>
      <c r="AJ1016" s="1040" t="e">
        <f t="shared" si="471"/>
        <v>#DIV/0!</v>
      </c>
      <c r="AK1016" s="1040" t="e">
        <f t="shared" si="471"/>
        <v>#DIV/0!</v>
      </c>
      <c r="AL1016" s="1040" t="e">
        <f t="shared" si="471"/>
        <v>#DIV/0!</v>
      </c>
      <c r="AM1016" s="1040" t="e">
        <f t="shared" si="471"/>
        <v>#DIV/0!</v>
      </c>
      <c r="AN1016" s="1040" t="e">
        <f t="shared" si="471"/>
        <v>#DIV/0!</v>
      </c>
      <c r="AO1016" s="1040" t="e">
        <f t="shared" si="471"/>
        <v>#DIV/0!</v>
      </c>
      <c r="AP1016" s="1040" t="e">
        <f t="shared" si="471"/>
        <v>#DIV/0!</v>
      </c>
      <c r="AQ1016" s="1040" t="e">
        <f t="shared" si="471"/>
        <v>#DIV/0!</v>
      </c>
      <c r="AR1016" s="1040" t="e">
        <f t="shared" si="471"/>
        <v>#DIV/0!</v>
      </c>
      <c r="AS1016" s="1040" t="e">
        <f t="shared" ref="AS1016:AY1016" si="472">IF(AS216="",0,IF(OR(1=RANK(AS616,AS$412:AS$790,0),(2=RANK(AS616,AS$412:AS$790,0))),AS616,AS216))</f>
        <v>#DIV/0!</v>
      </c>
      <c r="AT1016" s="1040" t="e">
        <f t="shared" si="472"/>
        <v>#DIV/0!</v>
      </c>
      <c r="AU1016" s="1040">
        <f t="shared" si="472"/>
        <v>0</v>
      </c>
      <c r="AV1016" s="1040" t="e">
        <f t="shared" si="472"/>
        <v>#DIV/0!</v>
      </c>
      <c r="AW1016" s="1040" t="e">
        <f t="shared" si="472"/>
        <v>#DIV/0!</v>
      </c>
      <c r="AX1016" s="1040" t="e">
        <f t="shared" si="472"/>
        <v>#DIV/0!</v>
      </c>
      <c r="AY1016" s="1040" t="e">
        <f t="shared" si="472"/>
        <v>#DIV/0!</v>
      </c>
      <c r="AZ1016" s="1061" t="s">
        <v>21</v>
      </c>
      <c r="BC1016" s="29"/>
      <c r="BD1016" s="29"/>
      <c r="BE1016" s="13"/>
      <c r="BL1016" s="368"/>
    </row>
    <row r="1017" spans="1:64" ht="12" customHeight="1" x14ac:dyDescent="0.2">
      <c r="A1017" s="39">
        <f>acute_overview_children!A217</f>
        <v>4</v>
      </c>
      <c r="B1017" s="23">
        <f t="shared" si="445"/>
        <v>300990</v>
      </c>
      <c r="C1017" s="23" t="str">
        <f t="shared" si="446"/>
        <v>Other pulses</v>
      </c>
      <c r="D1017" s="135"/>
      <c r="E1017" s="1027"/>
      <c r="F1017" s="87"/>
      <c r="G1017" s="87"/>
      <c r="H1017" s="1027"/>
      <c r="I1017" s="1030"/>
      <c r="J1017" s="1039" t="e">
        <f t="shared" ref="J1017:AR1017" si="473">IF(J217="",0,IF(OR(1=RANK(J617,J$412:J$790,0),(2=RANK(J617,J$412:J$790,0))),J617,J217))</f>
        <v>#DIV/0!</v>
      </c>
      <c r="K1017" s="1040" t="e">
        <f t="shared" si="473"/>
        <v>#DIV/0!</v>
      </c>
      <c r="L1017" s="1040" t="e">
        <f t="shared" si="473"/>
        <v>#DIV/0!</v>
      </c>
      <c r="M1017" s="1040" t="e">
        <f t="shared" si="473"/>
        <v>#DIV/0!</v>
      </c>
      <c r="N1017" s="1040" t="e">
        <f t="shared" si="473"/>
        <v>#DIV/0!</v>
      </c>
      <c r="O1017" s="1040" t="e">
        <f t="shared" si="473"/>
        <v>#DIV/0!</v>
      </c>
      <c r="P1017" s="1040" t="e">
        <f t="shared" si="473"/>
        <v>#DIV/0!</v>
      </c>
      <c r="Q1017" s="1040" t="e">
        <f t="shared" si="473"/>
        <v>#DIV/0!</v>
      </c>
      <c r="R1017" s="1040" t="e">
        <f t="shared" si="473"/>
        <v>#DIV/0!</v>
      </c>
      <c r="S1017" s="1040" t="e">
        <f t="shared" si="473"/>
        <v>#DIV/0!</v>
      </c>
      <c r="T1017" s="1040" t="e">
        <f t="shared" si="473"/>
        <v>#DIV/0!</v>
      </c>
      <c r="U1017" s="1040" t="e">
        <f t="shared" si="473"/>
        <v>#DIV/0!</v>
      </c>
      <c r="V1017" s="1040" t="e">
        <f t="shared" si="473"/>
        <v>#DIV/0!</v>
      </c>
      <c r="W1017" s="1040" t="e">
        <f t="shared" si="473"/>
        <v>#DIV/0!</v>
      </c>
      <c r="X1017" s="1040" t="e">
        <f t="shared" si="473"/>
        <v>#DIV/0!</v>
      </c>
      <c r="Y1017" s="1040" t="e">
        <f t="shared" si="473"/>
        <v>#DIV/0!</v>
      </c>
      <c r="Z1017" s="1040" t="e">
        <f t="shared" si="473"/>
        <v>#DIV/0!</v>
      </c>
      <c r="AA1017" s="1040" t="e">
        <f t="shared" si="473"/>
        <v>#DIV/0!</v>
      </c>
      <c r="AB1017" s="1040" t="e">
        <f t="shared" si="473"/>
        <v>#DIV/0!</v>
      </c>
      <c r="AC1017" s="1040" t="e">
        <f t="shared" si="473"/>
        <v>#DIV/0!</v>
      </c>
      <c r="AD1017" s="1040" t="e">
        <f t="shared" si="473"/>
        <v>#DIV/0!</v>
      </c>
      <c r="AE1017" s="1040" t="e">
        <f t="shared" si="473"/>
        <v>#DIV/0!</v>
      </c>
      <c r="AF1017" s="1040" t="e">
        <f t="shared" si="473"/>
        <v>#DIV/0!</v>
      </c>
      <c r="AG1017" s="1040" t="e">
        <f t="shared" si="473"/>
        <v>#DIV/0!</v>
      </c>
      <c r="AH1017" s="1040" t="e">
        <f t="shared" si="473"/>
        <v>#DIV/0!</v>
      </c>
      <c r="AI1017" s="1040" t="e">
        <f t="shared" si="473"/>
        <v>#DIV/0!</v>
      </c>
      <c r="AJ1017" s="1040" t="e">
        <f t="shared" si="473"/>
        <v>#DIV/0!</v>
      </c>
      <c r="AK1017" s="1040" t="e">
        <f t="shared" si="473"/>
        <v>#DIV/0!</v>
      </c>
      <c r="AL1017" s="1040" t="e">
        <f t="shared" si="473"/>
        <v>#DIV/0!</v>
      </c>
      <c r="AM1017" s="1040" t="e">
        <f t="shared" si="473"/>
        <v>#DIV/0!</v>
      </c>
      <c r="AN1017" s="1040" t="e">
        <f t="shared" si="473"/>
        <v>#DIV/0!</v>
      </c>
      <c r="AO1017" s="1040" t="e">
        <f t="shared" si="473"/>
        <v>#DIV/0!</v>
      </c>
      <c r="AP1017" s="1040" t="e">
        <f t="shared" si="473"/>
        <v>#DIV/0!</v>
      </c>
      <c r="AQ1017" s="1040" t="e">
        <f t="shared" si="473"/>
        <v>#DIV/0!</v>
      </c>
      <c r="AR1017" s="1040" t="e">
        <f t="shared" si="473"/>
        <v>#DIV/0!</v>
      </c>
      <c r="AS1017" s="1040" t="e">
        <f t="shared" ref="AS1017:AY1017" si="474">IF(AS217="",0,IF(OR(1=RANK(AS617,AS$412:AS$790,0),(2=RANK(AS617,AS$412:AS$790,0))),AS617,AS217))</f>
        <v>#DIV/0!</v>
      </c>
      <c r="AT1017" s="1040" t="e">
        <f t="shared" si="474"/>
        <v>#DIV/0!</v>
      </c>
      <c r="AU1017" s="1040">
        <f t="shared" si="474"/>
        <v>0</v>
      </c>
      <c r="AV1017" s="1040" t="e">
        <f t="shared" si="474"/>
        <v>#DIV/0!</v>
      </c>
      <c r="AW1017" s="1040" t="e">
        <f t="shared" si="474"/>
        <v>#DIV/0!</v>
      </c>
      <c r="AX1017" s="1040" t="e">
        <f t="shared" si="474"/>
        <v>#DIV/0!</v>
      </c>
      <c r="AY1017" s="1040" t="e">
        <f t="shared" si="474"/>
        <v>#DIV/0!</v>
      </c>
      <c r="AZ1017" s="1061" t="s">
        <v>21</v>
      </c>
      <c r="BC1017" s="29"/>
      <c r="BD1017" s="29"/>
      <c r="BE1017" s="13"/>
      <c r="BL1017" s="368"/>
    </row>
    <row r="1018" spans="1:64" ht="12" customHeight="1" x14ac:dyDescent="0.2">
      <c r="A1018" s="514">
        <f>acute_overview_children!A218</f>
        <v>1</v>
      </c>
      <c r="B1018" s="127">
        <f t="shared" si="445"/>
        <v>400000</v>
      </c>
      <c r="C1018" s="127" t="str">
        <f t="shared" si="446"/>
        <v>OILSEEDS AND OILFRUITS</v>
      </c>
      <c r="D1018" s="135"/>
      <c r="E1018" s="1027"/>
      <c r="F1018" s="87"/>
      <c r="G1018" s="87"/>
      <c r="H1018" s="1027"/>
      <c r="I1018" s="1030"/>
      <c r="J1018" s="1031" t="e">
        <f t="shared" ref="J1018:AR1018" si="475">IF(J218="",0,IF(OR(1=RANK(J618,J$412:J$790,0),(2=RANK(J618,J$412:J$790,0))),J618,J218))</f>
        <v>#DIV/0!</v>
      </c>
      <c r="K1018" s="1032" t="e">
        <f t="shared" si="475"/>
        <v>#DIV/0!</v>
      </c>
      <c r="L1018" s="1032" t="e">
        <f t="shared" si="475"/>
        <v>#DIV/0!</v>
      </c>
      <c r="M1018" s="1032" t="e">
        <f t="shared" si="475"/>
        <v>#DIV/0!</v>
      </c>
      <c r="N1018" s="1032" t="e">
        <f t="shared" si="475"/>
        <v>#DIV/0!</v>
      </c>
      <c r="O1018" s="1032" t="e">
        <f t="shared" si="475"/>
        <v>#DIV/0!</v>
      </c>
      <c r="P1018" s="1032" t="e">
        <f t="shared" si="475"/>
        <v>#DIV/0!</v>
      </c>
      <c r="Q1018" s="1032" t="e">
        <f t="shared" si="475"/>
        <v>#DIV/0!</v>
      </c>
      <c r="R1018" s="1032" t="e">
        <f t="shared" si="475"/>
        <v>#DIV/0!</v>
      </c>
      <c r="S1018" s="1032" t="e">
        <f t="shared" si="475"/>
        <v>#DIV/0!</v>
      </c>
      <c r="T1018" s="1032" t="e">
        <f t="shared" si="475"/>
        <v>#DIV/0!</v>
      </c>
      <c r="U1018" s="1032" t="e">
        <f t="shared" si="475"/>
        <v>#DIV/0!</v>
      </c>
      <c r="V1018" s="1032" t="e">
        <f t="shared" si="475"/>
        <v>#DIV/0!</v>
      </c>
      <c r="W1018" s="1032" t="e">
        <f t="shared" si="475"/>
        <v>#DIV/0!</v>
      </c>
      <c r="X1018" s="1032" t="e">
        <f t="shared" si="475"/>
        <v>#DIV/0!</v>
      </c>
      <c r="Y1018" s="1032" t="e">
        <f t="shared" si="475"/>
        <v>#DIV/0!</v>
      </c>
      <c r="Z1018" s="1032" t="e">
        <f t="shared" si="475"/>
        <v>#DIV/0!</v>
      </c>
      <c r="AA1018" s="1032" t="e">
        <f t="shared" si="475"/>
        <v>#DIV/0!</v>
      </c>
      <c r="AB1018" s="1032" t="e">
        <f t="shared" si="475"/>
        <v>#DIV/0!</v>
      </c>
      <c r="AC1018" s="1032" t="e">
        <f t="shared" si="475"/>
        <v>#DIV/0!</v>
      </c>
      <c r="AD1018" s="1032" t="e">
        <f t="shared" si="475"/>
        <v>#DIV/0!</v>
      </c>
      <c r="AE1018" s="1032" t="e">
        <f t="shared" si="475"/>
        <v>#DIV/0!</v>
      </c>
      <c r="AF1018" s="1032" t="e">
        <f t="shared" si="475"/>
        <v>#DIV/0!</v>
      </c>
      <c r="AG1018" s="1032" t="e">
        <f t="shared" si="475"/>
        <v>#DIV/0!</v>
      </c>
      <c r="AH1018" s="1032" t="e">
        <f t="shared" si="475"/>
        <v>#DIV/0!</v>
      </c>
      <c r="AI1018" s="1032" t="e">
        <f t="shared" si="475"/>
        <v>#DIV/0!</v>
      </c>
      <c r="AJ1018" s="1032" t="e">
        <f t="shared" si="475"/>
        <v>#DIV/0!</v>
      </c>
      <c r="AK1018" s="1032" t="e">
        <f t="shared" si="475"/>
        <v>#DIV/0!</v>
      </c>
      <c r="AL1018" s="1032" t="e">
        <f t="shared" si="475"/>
        <v>#DIV/0!</v>
      </c>
      <c r="AM1018" s="1032" t="e">
        <f t="shared" si="475"/>
        <v>#DIV/0!</v>
      </c>
      <c r="AN1018" s="1032" t="e">
        <f t="shared" si="475"/>
        <v>#DIV/0!</v>
      </c>
      <c r="AO1018" s="1032" t="e">
        <f t="shared" si="475"/>
        <v>#DIV/0!</v>
      </c>
      <c r="AP1018" s="1032" t="e">
        <f t="shared" si="475"/>
        <v>#DIV/0!</v>
      </c>
      <c r="AQ1018" s="1032" t="e">
        <f t="shared" si="475"/>
        <v>#DIV/0!</v>
      </c>
      <c r="AR1018" s="1032" t="e">
        <f t="shared" si="475"/>
        <v>#DIV/0!</v>
      </c>
      <c r="AS1018" s="1032" t="e">
        <f t="shared" ref="AS1018:AY1018" si="476">IF(AS218="",0,IF(OR(1=RANK(AS618,AS$412:AS$790,0),(2=RANK(AS618,AS$412:AS$790,0))),AS618,AS218))</f>
        <v>#DIV/0!</v>
      </c>
      <c r="AT1018" s="1032" t="e">
        <f t="shared" si="476"/>
        <v>#DIV/0!</v>
      </c>
      <c r="AU1018" s="1032">
        <f t="shared" si="476"/>
        <v>0</v>
      </c>
      <c r="AV1018" s="1032" t="e">
        <f t="shared" si="476"/>
        <v>#DIV/0!</v>
      </c>
      <c r="AW1018" s="1032" t="e">
        <f t="shared" si="476"/>
        <v>#DIV/0!</v>
      </c>
      <c r="AX1018" s="1032" t="e">
        <f t="shared" si="476"/>
        <v>#DIV/0!</v>
      </c>
      <c r="AY1018" s="1032" t="e">
        <f t="shared" si="476"/>
        <v>#DIV/0!</v>
      </c>
      <c r="AZ1018" s="1061" t="s">
        <v>21</v>
      </c>
      <c r="BC1018" s="29"/>
      <c r="BD1018" s="29"/>
      <c r="BE1018" s="13"/>
      <c r="BL1018" s="368"/>
    </row>
    <row r="1019" spans="1:64" ht="12" customHeight="1" x14ac:dyDescent="0.2">
      <c r="A1019" s="515">
        <f>acute_overview_children!A219</f>
        <v>2</v>
      </c>
      <c r="B1019" s="131">
        <f t="shared" si="445"/>
        <v>401000</v>
      </c>
      <c r="C1019" s="131" t="str">
        <f t="shared" si="446"/>
        <v>Oilseeds</v>
      </c>
      <c r="D1019" s="1035"/>
      <c r="E1019" s="1027"/>
      <c r="F1019" s="87"/>
      <c r="G1019" s="87"/>
      <c r="H1019" s="1027"/>
      <c r="I1019" s="1030"/>
      <c r="J1019" s="1037" t="e">
        <f t="shared" ref="J1019:AR1019" si="477">IF(J219="",0,IF(OR(1=RANK(J619,J$412:J$790,0),(2=RANK(J619,J$412:J$790,0))),J619,J219))</f>
        <v>#DIV/0!</v>
      </c>
      <c r="K1019" s="1038" t="e">
        <f t="shared" si="477"/>
        <v>#DIV/0!</v>
      </c>
      <c r="L1019" s="1038" t="e">
        <f t="shared" si="477"/>
        <v>#DIV/0!</v>
      </c>
      <c r="M1019" s="1038" t="e">
        <f t="shared" si="477"/>
        <v>#DIV/0!</v>
      </c>
      <c r="N1019" s="1038" t="e">
        <f t="shared" si="477"/>
        <v>#DIV/0!</v>
      </c>
      <c r="O1019" s="1038" t="e">
        <f t="shared" si="477"/>
        <v>#DIV/0!</v>
      </c>
      <c r="P1019" s="1038" t="e">
        <f t="shared" si="477"/>
        <v>#DIV/0!</v>
      </c>
      <c r="Q1019" s="1038" t="e">
        <f t="shared" si="477"/>
        <v>#DIV/0!</v>
      </c>
      <c r="R1019" s="1038" t="e">
        <f t="shared" si="477"/>
        <v>#DIV/0!</v>
      </c>
      <c r="S1019" s="1038" t="e">
        <f t="shared" si="477"/>
        <v>#DIV/0!</v>
      </c>
      <c r="T1019" s="1038" t="e">
        <f t="shared" si="477"/>
        <v>#DIV/0!</v>
      </c>
      <c r="U1019" s="1038" t="e">
        <f t="shared" si="477"/>
        <v>#DIV/0!</v>
      </c>
      <c r="V1019" s="1038" t="e">
        <f t="shared" si="477"/>
        <v>#DIV/0!</v>
      </c>
      <c r="W1019" s="1038" t="e">
        <f t="shared" si="477"/>
        <v>#DIV/0!</v>
      </c>
      <c r="X1019" s="1038" t="e">
        <f t="shared" si="477"/>
        <v>#DIV/0!</v>
      </c>
      <c r="Y1019" s="1038" t="e">
        <f t="shared" si="477"/>
        <v>#DIV/0!</v>
      </c>
      <c r="Z1019" s="1038" t="e">
        <f t="shared" si="477"/>
        <v>#DIV/0!</v>
      </c>
      <c r="AA1019" s="1038" t="e">
        <f t="shared" si="477"/>
        <v>#DIV/0!</v>
      </c>
      <c r="AB1019" s="1038" t="e">
        <f t="shared" si="477"/>
        <v>#DIV/0!</v>
      </c>
      <c r="AC1019" s="1038" t="e">
        <f t="shared" si="477"/>
        <v>#DIV/0!</v>
      </c>
      <c r="AD1019" s="1038" t="e">
        <f t="shared" si="477"/>
        <v>#DIV/0!</v>
      </c>
      <c r="AE1019" s="1038" t="e">
        <f t="shared" si="477"/>
        <v>#DIV/0!</v>
      </c>
      <c r="AF1019" s="1038" t="e">
        <f t="shared" si="477"/>
        <v>#DIV/0!</v>
      </c>
      <c r="AG1019" s="1038" t="e">
        <f t="shared" si="477"/>
        <v>#DIV/0!</v>
      </c>
      <c r="AH1019" s="1038" t="e">
        <f t="shared" si="477"/>
        <v>#DIV/0!</v>
      </c>
      <c r="AI1019" s="1038" t="e">
        <f t="shared" si="477"/>
        <v>#DIV/0!</v>
      </c>
      <c r="AJ1019" s="1038" t="e">
        <f t="shared" si="477"/>
        <v>#DIV/0!</v>
      </c>
      <c r="AK1019" s="1038" t="e">
        <f t="shared" si="477"/>
        <v>#DIV/0!</v>
      </c>
      <c r="AL1019" s="1038" t="e">
        <f t="shared" si="477"/>
        <v>#DIV/0!</v>
      </c>
      <c r="AM1019" s="1038" t="e">
        <f t="shared" si="477"/>
        <v>#DIV/0!</v>
      </c>
      <c r="AN1019" s="1038" t="e">
        <f t="shared" si="477"/>
        <v>#DIV/0!</v>
      </c>
      <c r="AO1019" s="1038" t="e">
        <f t="shared" si="477"/>
        <v>#DIV/0!</v>
      </c>
      <c r="AP1019" s="1038" t="e">
        <f t="shared" si="477"/>
        <v>#DIV/0!</v>
      </c>
      <c r="AQ1019" s="1038" t="e">
        <f t="shared" si="477"/>
        <v>#DIV/0!</v>
      </c>
      <c r="AR1019" s="1038" t="e">
        <f t="shared" si="477"/>
        <v>#DIV/0!</v>
      </c>
      <c r="AS1019" s="1038" t="e">
        <f t="shared" ref="AS1019:AY1019" si="478">IF(AS219="",0,IF(OR(1=RANK(AS619,AS$412:AS$790,0),(2=RANK(AS619,AS$412:AS$790,0))),AS619,AS219))</f>
        <v>#DIV/0!</v>
      </c>
      <c r="AT1019" s="1038" t="e">
        <f t="shared" si="478"/>
        <v>#DIV/0!</v>
      </c>
      <c r="AU1019" s="1038">
        <f t="shared" si="478"/>
        <v>0</v>
      </c>
      <c r="AV1019" s="1038" t="e">
        <f t="shared" si="478"/>
        <v>#DIV/0!</v>
      </c>
      <c r="AW1019" s="1038" t="e">
        <f t="shared" si="478"/>
        <v>#DIV/0!</v>
      </c>
      <c r="AX1019" s="1038" t="e">
        <f t="shared" si="478"/>
        <v>#DIV/0!</v>
      </c>
      <c r="AY1019" s="1038" t="e">
        <f t="shared" si="478"/>
        <v>#DIV/0!</v>
      </c>
      <c r="AZ1019" s="1061" t="s">
        <v>21</v>
      </c>
      <c r="BC1019" s="29"/>
      <c r="BD1019" s="29"/>
      <c r="BE1019" s="13"/>
      <c r="BL1019" s="368"/>
    </row>
    <row r="1020" spans="1:64" ht="12" customHeight="1" x14ac:dyDescent="0.2">
      <c r="A1020" s="39">
        <f>acute_overview_children!A220</f>
        <v>4</v>
      </c>
      <c r="B1020" s="23">
        <f t="shared" si="445"/>
        <v>401010</v>
      </c>
      <c r="C1020" s="23" t="str">
        <f t="shared" si="446"/>
        <v>Linseeds</v>
      </c>
      <c r="D1020" s="135"/>
      <c r="E1020" s="1027"/>
      <c r="F1020" s="87"/>
      <c r="G1020" s="87"/>
      <c r="H1020" s="1027"/>
      <c r="I1020" s="1030"/>
      <c r="J1020" s="1039" t="e">
        <f t="shared" ref="J1020:AR1020" si="479">IF(J220="",0,IF(OR(1=RANK(J620,J$412:J$790,0),(2=RANK(J620,J$412:J$790,0))),J620,J220))</f>
        <v>#DIV/0!</v>
      </c>
      <c r="K1020" s="1040" t="e">
        <f t="shared" si="479"/>
        <v>#DIV/0!</v>
      </c>
      <c r="L1020" s="1040" t="e">
        <f t="shared" si="479"/>
        <v>#DIV/0!</v>
      </c>
      <c r="M1020" s="1040" t="e">
        <f t="shared" si="479"/>
        <v>#DIV/0!</v>
      </c>
      <c r="N1020" s="1040" t="e">
        <f t="shared" si="479"/>
        <v>#DIV/0!</v>
      </c>
      <c r="O1020" s="1040" t="e">
        <f t="shared" si="479"/>
        <v>#DIV/0!</v>
      </c>
      <c r="P1020" s="1040" t="e">
        <f t="shared" si="479"/>
        <v>#DIV/0!</v>
      </c>
      <c r="Q1020" s="1040" t="e">
        <f t="shared" si="479"/>
        <v>#DIV/0!</v>
      </c>
      <c r="R1020" s="1040" t="e">
        <f t="shared" si="479"/>
        <v>#DIV/0!</v>
      </c>
      <c r="S1020" s="1040" t="e">
        <f t="shared" si="479"/>
        <v>#DIV/0!</v>
      </c>
      <c r="T1020" s="1040" t="e">
        <f t="shared" si="479"/>
        <v>#DIV/0!</v>
      </c>
      <c r="U1020" s="1040" t="e">
        <f t="shared" si="479"/>
        <v>#DIV/0!</v>
      </c>
      <c r="V1020" s="1040" t="e">
        <f t="shared" si="479"/>
        <v>#DIV/0!</v>
      </c>
      <c r="W1020" s="1040" t="e">
        <f t="shared" si="479"/>
        <v>#DIV/0!</v>
      </c>
      <c r="X1020" s="1040" t="e">
        <f t="shared" si="479"/>
        <v>#DIV/0!</v>
      </c>
      <c r="Y1020" s="1040" t="e">
        <f t="shared" si="479"/>
        <v>#DIV/0!</v>
      </c>
      <c r="Z1020" s="1040" t="e">
        <f t="shared" si="479"/>
        <v>#DIV/0!</v>
      </c>
      <c r="AA1020" s="1040" t="e">
        <f t="shared" si="479"/>
        <v>#DIV/0!</v>
      </c>
      <c r="AB1020" s="1040" t="e">
        <f t="shared" si="479"/>
        <v>#DIV/0!</v>
      </c>
      <c r="AC1020" s="1040" t="e">
        <f t="shared" si="479"/>
        <v>#DIV/0!</v>
      </c>
      <c r="AD1020" s="1040" t="e">
        <f t="shared" si="479"/>
        <v>#DIV/0!</v>
      </c>
      <c r="AE1020" s="1040" t="e">
        <f t="shared" si="479"/>
        <v>#DIV/0!</v>
      </c>
      <c r="AF1020" s="1040" t="e">
        <f t="shared" si="479"/>
        <v>#DIV/0!</v>
      </c>
      <c r="AG1020" s="1040" t="e">
        <f t="shared" si="479"/>
        <v>#DIV/0!</v>
      </c>
      <c r="AH1020" s="1040" t="e">
        <f t="shared" si="479"/>
        <v>#DIV/0!</v>
      </c>
      <c r="AI1020" s="1040" t="e">
        <f t="shared" si="479"/>
        <v>#DIV/0!</v>
      </c>
      <c r="AJ1020" s="1040" t="e">
        <f t="shared" si="479"/>
        <v>#DIV/0!</v>
      </c>
      <c r="AK1020" s="1040" t="e">
        <f t="shared" si="479"/>
        <v>#DIV/0!</v>
      </c>
      <c r="AL1020" s="1040" t="e">
        <f t="shared" si="479"/>
        <v>#DIV/0!</v>
      </c>
      <c r="AM1020" s="1040" t="e">
        <f t="shared" si="479"/>
        <v>#DIV/0!</v>
      </c>
      <c r="AN1020" s="1040" t="e">
        <f t="shared" si="479"/>
        <v>#DIV/0!</v>
      </c>
      <c r="AO1020" s="1040" t="e">
        <f t="shared" si="479"/>
        <v>#DIV/0!</v>
      </c>
      <c r="AP1020" s="1040" t="e">
        <f t="shared" si="479"/>
        <v>#DIV/0!</v>
      </c>
      <c r="AQ1020" s="1040" t="e">
        <f t="shared" si="479"/>
        <v>#DIV/0!</v>
      </c>
      <c r="AR1020" s="1040" t="e">
        <f t="shared" si="479"/>
        <v>#DIV/0!</v>
      </c>
      <c r="AS1020" s="1040" t="e">
        <f t="shared" ref="AS1020:AY1020" si="480">IF(AS220="",0,IF(OR(1=RANK(AS620,AS$412:AS$790,0),(2=RANK(AS620,AS$412:AS$790,0))),AS620,AS220))</f>
        <v>#DIV/0!</v>
      </c>
      <c r="AT1020" s="1040" t="e">
        <f t="shared" si="480"/>
        <v>#DIV/0!</v>
      </c>
      <c r="AU1020" s="1040">
        <f t="shared" si="480"/>
        <v>0</v>
      </c>
      <c r="AV1020" s="1040" t="e">
        <f t="shared" si="480"/>
        <v>#DIV/0!</v>
      </c>
      <c r="AW1020" s="1040" t="e">
        <f t="shared" si="480"/>
        <v>#DIV/0!</v>
      </c>
      <c r="AX1020" s="1040" t="e">
        <f t="shared" si="480"/>
        <v>#DIV/0!</v>
      </c>
      <c r="AY1020" s="1040" t="e">
        <f t="shared" si="480"/>
        <v>#DIV/0!</v>
      </c>
      <c r="AZ1020" s="1061" t="s">
        <v>21</v>
      </c>
      <c r="BC1020" s="29"/>
      <c r="BD1020" s="29"/>
      <c r="BE1020" s="13"/>
      <c r="BL1020" s="368"/>
    </row>
    <row r="1021" spans="1:64" ht="12" customHeight="1" x14ac:dyDescent="0.2">
      <c r="A1021" s="39">
        <f>acute_overview_children!A221</f>
        <v>4</v>
      </c>
      <c r="B1021" s="23">
        <f t="shared" si="445"/>
        <v>401020</v>
      </c>
      <c r="C1021" s="23" t="str">
        <f t="shared" si="446"/>
        <v>Peanuts/groundnuts</v>
      </c>
      <c r="D1021" s="135"/>
      <c r="E1021" s="1027"/>
      <c r="F1021" s="87"/>
      <c r="G1021" s="87"/>
      <c r="H1021" s="1027"/>
      <c r="I1021" s="1030"/>
      <c r="J1021" s="1039" t="e">
        <f t="shared" ref="J1021:AR1021" si="481">IF(J221="",0,IF(OR(1=RANK(J621,J$412:J$790,0),(2=RANK(J621,J$412:J$790,0))),J621,J221))</f>
        <v>#DIV/0!</v>
      </c>
      <c r="K1021" s="1040" t="e">
        <f t="shared" si="481"/>
        <v>#DIV/0!</v>
      </c>
      <c r="L1021" s="1040" t="e">
        <f t="shared" si="481"/>
        <v>#DIV/0!</v>
      </c>
      <c r="M1021" s="1040" t="e">
        <f t="shared" si="481"/>
        <v>#DIV/0!</v>
      </c>
      <c r="N1021" s="1040" t="e">
        <f t="shared" si="481"/>
        <v>#DIV/0!</v>
      </c>
      <c r="O1021" s="1040" t="e">
        <f t="shared" si="481"/>
        <v>#DIV/0!</v>
      </c>
      <c r="P1021" s="1040" t="e">
        <f t="shared" si="481"/>
        <v>#DIV/0!</v>
      </c>
      <c r="Q1021" s="1040" t="e">
        <f t="shared" si="481"/>
        <v>#DIV/0!</v>
      </c>
      <c r="R1021" s="1040" t="e">
        <f t="shared" si="481"/>
        <v>#DIV/0!</v>
      </c>
      <c r="S1021" s="1040" t="e">
        <f t="shared" si="481"/>
        <v>#DIV/0!</v>
      </c>
      <c r="T1021" s="1040" t="e">
        <f t="shared" si="481"/>
        <v>#DIV/0!</v>
      </c>
      <c r="U1021" s="1040" t="e">
        <f t="shared" si="481"/>
        <v>#DIV/0!</v>
      </c>
      <c r="V1021" s="1040" t="e">
        <f t="shared" si="481"/>
        <v>#DIV/0!</v>
      </c>
      <c r="W1021" s="1040" t="e">
        <f t="shared" si="481"/>
        <v>#DIV/0!</v>
      </c>
      <c r="X1021" s="1040" t="e">
        <f t="shared" si="481"/>
        <v>#DIV/0!</v>
      </c>
      <c r="Y1021" s="1040" t="e">
        <f t="shared" si="481"/>
        <v>#DIV/0!</v>
      </c>
      <c r="Z1021" s="1040" t="e">
        <f t="shared" si="481"/>
        <v>#DIV/0!</v>
      </c>
      <c r="AA1021" s="1040" t="e">
        <f t="shared" si="481"/>
        <v>#DIV/0!</v>
      </c>
      <c r="AB1021" s="1040" t="e">
        <f t="shared" si="481"/>
        <v>#DIV/0!</v>
      </c>
      <c r="AC1021" s="1040" t="e">
        <f t="shared" si="481"/>
        <v>#DIV/0!</v>
      </c>
      <c r="AD1021" s="1040" t="e">
        <f t="shared" si="481"/>
        <v>#DIV/0!</v>
      </c>
      <c r="AE1021" s="1040" t="e">
        <f t="shared" si="481"/>
        <v>#DIV/0!</v>
      </c>
      <c r="AF1021" s="1040" t="e">
        <f t="shared" si="481"/>
        <v>#DIV/0!</v>
      </c>
      <c r="AG1021" s="1040" t="e">
        <f t="shared" si="481"/>
        <v>#DIV/0!</v>
      </c>
      <c r="AH1021" s="1040" t="e">
        <f t="shared" si="481"/>
        <v>#DIV/0!</v>
      </c>
      <c r="AI1021" s="1040" t="e">
        <f t="shared" si="481"/>
        <v>#DIV/0!</v>
      </c>
      <c r="AJ1021" s="1040" t="e">
        <f t="shared" si="481"/>
        <v>#DIV/0!</v>
      </c>
      <c r="AK1021" s="1040" t="e">
        <f t="shared" si="481"/>
        <v>#DIV/0!</v>
      </c>
      <c r="AL1021" s="1040" t="e">
        <f t="shared" si="481"/>
        <v>#DIV/0!</v>
      </c>
      <c r="AM1021" s="1040" t="e">
        <f t="shared" si="481"/>
        <v>#DIV/0!</v>
      </c>
      <c r="AN1021" s="1040" t="e">
        <f t="shared" si="481"/>
        <v>#DIV/0!</v>
      </c>
      <c r="AO1021" s="1040" t="e">
        <f t="shared" si="481"/>
        <v>#DIV/0!</v>
      </c>
      <c r="AP1021" s="1040" t="e">
        <f t="shared" si="481"/>
        <v>#DIV/0!</v>
      </c>
      <c r="AQ1021" s="1040" t="e">
        <f t="shared" si="481"/>
        <v>#DIV/0!</v>
      </c>
      <c r="AR1021" s="1040" t="e">
        <f t="shared" si="481"/>
        <v>#DIV/0!</v>
      </c>
      <c r="AS1021" s="1040" t="e">
        <f t="shared" ref="AS1021:AY1021" si="482">IF(AS221="",0,IF(OR(1=RANK(AS621,AS$412:AS$790,0),(2=RANK(AS621,AS$412:AS$790,0))),AS621,AS221))</f>
        <v>#DIV/0!</v>
      </c>
      <c r="AT1021" s="1040" t="e">
        <f t="shared" si="482"/>
        <v>#DIV/0!</v>
      </c>
      <c r="AU1021" s="1040">
        <f t="shared" si="482"/>
        <v>0</v>
      </c>
      <c r="AV1021" s="1040" t="e">
        <f t="shared" si="482"/>
        <v>#DIV/0!</v>
      </c>
      <c r="AW1021" s="1040" t="e">
        <f t="shared" si="482"/>
        <v>#DIV/0!</v>
      </c>
      <c r="AX1021" s="1040" t="e">
        <f t="shared" si="482"/>
        <v>#DIV/0!</v>
      </c>
      <c r="AY1021" s="1040" t="e">
        <f t="shared" si="482"/>
        <v>#DIV/0!</v>
      </c>
      <c r="AZ1021" s="1061" t="s">
        <v>21</v>
      </c>
      <c r="BC1021" s="29"/>
      <c r="BD1021" s="29"/>
      <c r="BE1021" s="13"/>
      <c r="BL1021" s="368"/>
    </row>
    <row r="1022" spans="1:64" ht="12" customHeight="1" x14ac:dyDescent="0.2">
      <c r="A1022" s="39">
        <f>acute_overview_children!A222</f>
        <v>4</v>
      </c>
      <c r="B1022" s="23">
        <f t="shared" si="445"/>
        <v>401030</v>
      </c>
      <c r="C1022" s="23" t="str">
        <f t="shared" si="446"/>
        <v>Poppy seeds</v>
      </c>
      <c r="D1022" s="135"/>
      <c r="E1022" s="1027"/>
      <c r="F1022" s="87"/>
      <c r="G1022" s="87"/>
      <c r="H1022" s="1027"/>
      <c r="I1022" s="1030"/>
      <c r="J1022" s="1039" t="e">
        <f t="shared" ref="J1022:AR1022" si="483">IF(J222="",0,IF(OR(1=RANK(J622,J$412:J$790,0),(2=RANK(J622,J$412:J$790,0))),J622,J222))</f>
        <v>#DIV/0!</v>
      </c>
      <c r="K1022" s="1040" t="e">
        <f t="shared" si="483"/>
        <v>#DIV/0!</v>
      </c>
      <c r="L1022" s="1040" t="e">
        <f t="shared" si="483"/>
        <v>#DIV/0!</v>
      </c>
      <c r="M1022" s="1040" t="e">
        <f t="shared" si="483"/>
        <v>#DIV/0!</v>
      </c>
      <c r="N1022" s="1040" t="e">
        <f t="shared" si="483"/>
        <v>#DIV/0!</v>
      </c>
      <c r="O1022" s="1040" t="e">
        <f t="shared" si="483"/>
        <v>#DIV/0!</v>
      </c>
      <c r="P1022" s="1040" t="e">
        <f t="shared" si="483"/>
        <v>#DIV/0!</v>
      </c>
      <c r="Q1022" s="1040" t="e">
        <f t="shared" si="483"/>
        <v>#DIV/0!</v>
      </c>
      <c r="R1022" s="1040" t="e">
        <f t="shared" si="483"/>
        <v>#DIV/0!</v>
      </c>
      <c r="S1022" s="1040" t="e">
        <f t="shared" si="483"/>
        <v>#DIV/0!</v>
      </c>
      <c r="T1022" s="1040" t="e">
        <f t="shared" si="483"/>
        <v>#DIV/0!</v>
      </c>
      <c r="U1022" s="1040" t="e">
        <f t="shared" si="483"/>
        <v>#DIV/0!</v>
      </c>
      <c r="V1022" s="1040" t="e">
        <f t="shared" si="483"/>
        <v>#DIV/0!</v>
      </c>
      <c r="W1022" s="1040" t="e">
        <f t="shared" si="483"/>
        <v>#DIV/0!</v>
      </c>
      <c r="X1022" s="1040" t="e">
        <f t="shared" si="483"/>
        <v>#DIV/0!</v>
      </c>
      <c r="Y1022" s="1040" t="e">
        <f t="shared" si="483"/>
        <v>#DIV/0!</v>
      </c>
      <c r="Z1022" s="1040" t="e">
        <f t="shared" si="483"/>
        <v>#DIV/0!</v>
      </c>
      <c r="AA1022" s="1040" t="e">
        <f t="shared" si="483"/>
        <v>#DIV/0!</v>
      </c>
      <c r="AB1022" s="1040" t="e">
        <f t="shared" si="483"/>
        <v>#DIV/0!</v>
      </c>
      <c r="AC1022" s="1040" t="e">
        <f t="shared" si="483"/>
        <v>#DIV/0!</v>
      </c>
      <c r="AD1022" s="1040" t="e">
        <f t="shared" si="483"/>
        <v>#DIV/0!</v>
      </c>
      <c r="AE1022" s="1040" t="e">
        <f t="shared" si="483"/>
        <v>#DIV/0!</v>
      </c>
      <c r="AF1022" s="1040" t="e">
        <f t="shared" si="483"/>
        <v>#DIV/0!</v>
      </c>
      <c r="AG1022" s="1040" t="e">
        <f t="shared" si="483"/>
        <v>#DIV/0!</v>
      </c>
      <c r="AH1022" s="1040" t="e">
        <f t="shared" si="483"/>
        <v>#DIV/0!</v>
      </c>
      <c r="AI1022" s="1040" t="e">
        <f t="shared" si="483"/>
        <v>#DIV/0!</v>
      </c>
      <c r="AJ1022" s="1040" t="e">
        <f t="shared" si="483"/>
        <v>#DIV/0!</v>
      </c>
      <c r="AK1022" s="1040" t="e">
        <f t="shared" si="483"/>
        <v>#DIV/0!</v>
      </c>
      <c r="AL1022" s="1040" t="e">
        <f t="shared" si="483"/>
        <v>#DIV/0!</v>
      </c>
      <c r="AM1022" s="1040" t="e">
        <f t="shared" si="483"/>
        <v>#DIV/0!</v>
      </c>
      <c r="AN1022" s="1040" t="e">
        <f t="shared" si="483"/>
        <v>#DIV/0!</v>
      </c>
      <c r="AO1022" s="1040" t="e">
        <f t="shared" si="483"/>
        <v>#DIV/0!</v>
      </c>
      <c r="AP1022" s="1040" t="e">
        <f t="shared" si="483"/>
        <v>#DIV/0!</v>
      </c>
      <c r="AQ1022" s="1040" t="e">
        <f t="shared" si="483"/>
        <v>#DIV/0!</v>
      </c>
      <c r="AR1022" s="1040" t="e">
        <f t="shared" si="483"/>
        <v>#DIV/0!</v>
      </c>
      <c r="AS1022" s="1040" t="e">
        <f t="shared" ref="AS1022:AY1022" si="484">IF(AS222="",0,IF(OR(1=RANK(AS622,AS$412:AS$790,0),(2=RANK(AS622,AS$412:AS$790,0))),AS622,AS222))</f>
        <v>#DIV/0!</v>
      </c>
      <c r="AT1022" s="1040" t="e">
        <f t="shared" si="484"/>
        <v>#DIV/0!</v>
      </c>
      <c r="AU1022" s="1040">
        <f t="shared" si="484"/>
        <v>0</v>
      </c>
      <c r="AV1022" s="1040" t="e">
        <f t="shared" si="484"/>
        <v>#DIV/0!</v>
      </c>
      <c r="AW1022" s="1040" t="e">
        <f t="shared" si="484"/>
        <v>#DIV/0!</v>
      </c>
      <c r="AX1022" s="1040" t="e">
        <f t="shared" si="484"/>
        <v>#DIV/0!</v>
      </c>
      <c r="AY1022" s="1040" t="e">
        <f t="shared" si="484"/>
        <v>#DIV/0!</v>
      </c>
      <c r="AZ1022" s="1061" t="s">
        <v>21</v>
      </c>
      <c r="BC1022" s="29"/>
      <c r="BD1022" s="29"/>
      <c r="BE1022" s="13"/>
      <c r="BL1022" s="368"/>
    </row>
    <row r="1023" spans="1:64" ht="12" customHeight="1" x14ac:dyDescent="0.2">
      <c r="A1023" s="39">
        <f>acute_overview_children!A223</f>
        <v>4</v>
      </c>
      <c r="B1023" s="23">
        <f t="shared" si="445"/>
        <v>401040</v>
      </c>
      <c r="C1023" s="23" t="str">
        <f t="shared" si="446"/>
        <v>Sesame seeds</v>
      </c>
      <c r="D1023" s="135"/>
      <c r="E1023" s="1027"/>
      <c r="F1023" s="87"/>
      <c r="G1023" s="87"/>
      <c r="H1023" s="1027"/>
      <c r="I1023" s="1030"/>
      <c r="J1023" s="1039" t="e">
        <f t="shared" ref="J1023:AR1023" si="485">IF(J223="",0,IF(OR(1=RANK(J623,J$412:J$790,0),(2=RANK(J623,J$412:J$790,0))),J623,J223))</f>
        <v>#DIV/0!</v>
      </c>
      <c r="K1023" s="1040" t="e">
        <f t="shared" si="485"/>
        <v>#DIV/0!</v>
      </c>
      <c r="L1023" s="1040" t="e">
        <f t="shared" si="485"/>
        <v>#DIV/0!</v>
      </c>
      <c r="M1023" s="1040" t="e">
        <f t="shared" si="485"/>
        <v>#DIV/0!</v>
      </c>
      <c r="N1023" s="1040" t="e">
        <f t="shared" si="485"/>
        <v>#DIV/0!</v>
      </c>
      <c r="O1023" s="1040" t="e">
        <f t="shared" si="485"/>
        <v>#DIV/0!</v>
      </c>
      <c r="P1023" s="1040" t="e">
        <f t="shared" si="485"/>
        <v>#DIV/0!</v>
      </c>
      <c r="Q1023" s="1040" t="e">
        <f t="shared" si="485"/>
        <v>#DIV/0!</v>
      </c>
      <c r="R1023" s="1040" t="e">
        <f t="shared" si="485"/>
        <v>#DIV/0!</v>
      </c>
      <c r="S1023" s="1040" t="e">
        <f t="shared" si="485"/>
        <v>#DIV/0!</v>
      </c>
      <c r="T1023" s="1040" t="e">
        <f t="shared" si="485"/>
        <v>#DIV/0!</v>
      </c>
      <c r="U1023" s="1040" t="e">
        <f t="shared" si="485"/>
        <v>#DIV/0!</v>
      </c>
      <c r="V1023" s="1040" t="e">
        <f t="shared" si="485"/>
        <v>#DIV/0!</v>
      </c>
      <c r="W1023" s="1040" t="e">
        <f t="shared" si="485"/>
        <v>#DIV/0!</v>
      </c>
      <c r="X1023" s="1040" t="e">
        <f t="shared" si="485"/>
        <v>#DIV/0!</v>
      </c>
      <c r="Y1023" s="1040" t="e">
        <f t="shared" si="485"/>
        <v>#DIV/0!</v>
      </c>
      <c r="Z1023" s="1040" t="e">
        <f t="shared" si="485"/>
        <v>#DIV/0!</v>
      </c>
      <c r="AA1023" s="1040" t="e">
        <f t="shared" si="485"/>
        <v>#DIV/0!</v>
      </c>
      <c r="AB1023" s="1040" t="e">
        <f t="shared" si="485"/>
        <v>#DIV/0!</v>
      </c>
      <c r="AC1023" s="1040" t="e">
        <f t="shared" si="485"/>
        <v>#DIV/0!</v>
      </c>
      <c r="AD1023" s="1040" t="e">
        <f t="shared" si="485"/>
        <v>#DIV/0!</v>
      </c>
      <c r="AE1023" s="1040" t="e">
        <f t="shared" si="485"/>
        <v>#DIV/0!</v>
      </c>
      <c r="AF1023" s="1040" t="e">
        <f t="shared" si="485"/>
        <v>#DIV/0!</v>
      </c>
      <c r="AG1023" s="1040" t="e">
        <f t="shared" si="485"/>
        <v>#DIV/0!</v>
      </c>
      <c r="AH1023" s="1040" t="e">
        <f t="shared" si="485"/>
        <v>#DIV/0!</v>
      </c>
      <c r="AI1023" s="1040" t="e">
        <f t="shared" si="485"/>
        <v>#DIV/0!</v>
      </c>
      <c r="AJ1023" s="1040" t="e">
        <f t="shared" si="485"/>
        <v>#DIV/0!</v>
      </c>
      <c r="AK1023" s="1040" t="e">
        <f t="shared" si="485"/>
        <v>#DIV/0!</v>
      </c>
      <c r="AL1023" s="1040" t="e">
        <f t="shared" si="485"/>
        <v>#DIV/0!</v>
      </c>
      <c r="AM1023" s="1040" t="e">
        <f t="shared" si="485"/>
        <v>#DIV/0!</v>
      </c>
      <c r="AN1023" s="1040" t="e">
        <f t="shared" si="485"/>
        <v>#DIV/0!</v>
      </c>
      <c r="AO1023" s="1040" t="e">
        <f t="shared" si="485"/>
        <v>#DIV/0!</v>
      </c>
      <c r="AP1023" s="1040" t="e">
        <f t="shared" si="485"/>
        <v>#DIV/0!</v>
      </c>
      <c r="AQ1023" s="1040" t="e">
        <f t="shared" si="485"/>
        <v>#DIV/0!</v>
      </c>
      <c r="AR1023" s="1040" t="e">
        <f t="shared" si="485"/>
        <v>#DIV/0!</v>
      </c>
      <c r="AS1023" s="1040" t="e">
        <f t="shared" ref="AS1023:AY1023" si="486">IF(AS223="",0,IF(OR(1=RANK(AS623,AS$412:AS$790,0),(2=RANK(AS623,AS$412:AS$790,0))),AS623,AS223))</f>
        <v>#DIV/0!</v>
      </c>
      <c r="AT1023" s="1040" t="e">
        <f t="shared" si="486"/>
        <v>#DIV/0!</v>
      </c>
      <c r="AU1023" s="1040">
        <f t="shared" si="486"/>
        <v>0</v>
      </c>
      <c r="AV1023" s="1040" t="e">
        <f t="shared" si="486"/>
        <v>#DIV/0!</v>
      </c>
      <c r="AW1023" s="1040" t="e">
        <f t="shared" si="486"/>
        <v>#DIV/0!</v>
      </c>
      <c r="AX1023" s="1040" t="e">
        <f t="shared" si="486"/>
        <v>#DIV/0!</v>
      </c>
      <c r="AY1023" s="1040" t="e">
        <f t="shared" si="486"/>
        <v>#DIV/0!</v>
      </c>
      <c r="AZ1023" s="1061" t="s">
        <v>21</v>
      </c>
      <c r="BC1023" s="29"/>
      <c r="BD1023" s="29"/>
      <c r="BE1023" s="13"/>
      <c r="BL1023" s="368"/>
    </row>
    <row r="1024" spans="1:64" ht="12" customHeight="1" x14ac:dyDescent="0.2">
      <c r="A1024" s="39">
        <f>acute_overview_children!A224</f>
        <v>4</v>
      </c>
      <c r="B1024" s="23">
        <f t="shared" si="445"/>
        <v>401050</v>
      </c>
      <c r="C1024" s="23" t="str">
        <f t="shared" si="446"/>
        <v>Sunflower seeds</v>
      </c>
      <c r="D1024" s="135"/>
      <c r="E1024" s="1027"/>
      <c r="F1024" s="87"/>
      <c r="G1024" s="87"/>
      <c r="H1024" s="1027"/>
      <c r="I1024" s="1030"/>
      <c r="J1024" s="1039" t="e">
        <f t="shared" ref="J1024:AR1024" si="487">IF(J224="",0,IF(OR(1=RANK(J624,J$412:J$790,0),(2=RANK(J624,J$412:J$790,0))),J624,J224))</f>
        <v>#DIV/0!</v>
      </c>
      <c r="K1024" s="1040" t="e">
        <f t="shared" si="487"/>
        <v>#DIV/0!</v>
      </c>
      <c r="L1024" s="1040" t="e">
        <f t="shared" si="487"/>
        <v>#DIV/0!</v>
      </c>
      <c r="M1024" s="1040" t="e">
        <f t="shared" si="487"/>
        <v>#DIV/0!</v>
      </c>
      <c r="N1024" s="1040" t="e">
        <f t="shared" si="487"/>
        <v>#DIV/0!</v>
      </c>
      <c r="O1024" s="1040" t="e">
        <f t="shared" si="487"/>
        <v>#DIV/0!</v>
      </c>
      <c r="P1024" s="1040" t="e">
        <f t="shared" si="487"/>
        <v>#DIV/0!</v>
      </c>
      <c r="Q1024" s="1040" t="e">
        <f t="shared" si="487"/>
        <v>#DIV/0!</v>
      </c>
      <c r="R1024" s="1040" t="e">
        <f t="shared" si="487"/>
        <v>#DIV/0!</v>
      </c>
      <c r="S1024" s="1040" t="e">
        <f t="shared" si="487"/>
        <v>#DIV/0!</v>
      </c>
      <c r="T1024" s="1040" t="e">
        <f t="shared" si="487"/>
        <v>#DIV/0!</v>
      </c>
      <c r="U1024" s="1040" t="e">
        <f t="shared" si="487"/>
        <v>#DIV/0!</v>
      </c>
      <c r="V1024" s="1040" t="e">
        <f t="shared" si="487"/>
        <v>#DIV/0!</v>
      </c>
      <c r="W1024" s="1040" t="e">
        <f t="shared" si="487"/>
        <v>#DIV/0!</v>
      </c>
      <c r="X1024" s="1040" t="e">
        <f t="shared" si="487"/>
        <v>#DIV/0!</v>
      </c>
      <c r="Y1024" s="1040" t="e">
        <f t="shared" si="487"/>
        <v>#DIV/0!</v>
      </c>
      <c r="Z1024" s="1040" t="e">
        <f t="shared" si="487"/>
        <v>#DIV/0!</v>
      </c>
      <c r="AA1024" s="1040" t="e">
        <f t="shared" si="487"/>
        <v>#DIV/0!</v>
      </c>
      <c r="AB1024" s="1040" t="e">
        <f t="shared" si="487"/>
        <v>#DIV/0!</v>
      </c>
      <c r="AC1024" s="1040" t="e">
        <f t="shared" si="487"/>
        <v>#DIV/0!</v>
      </c>
      <c r="AD1024" s="1040" t="e">
        <f t="shared" si="487"/>
        <v>#DIV/0!</v>
      </c>
      <c r="AE1024" s="1040" t="e">
        <f t="shared" si="487"/>
        <v>#DIV/0!</v>
      </c>
      <c r="AF1024" s="1040" t="e">
        <f t="shared" si="487"/>
        <v>#DIV/0!</v>
      </c>
      <c r="AG1024" s="1040" t="e">
        <f t="shared" si="487"/>
        <v>#DIV/0!</v>
      </c>
      <c r="AH1024" s="1040" t="e">
        <f t="shared" si="487"/>
        <v>#DIV/0!</v>
      </c>
      <c r="AI1024" s="1040" t="e">
        <f t="shared" si="487"/>
        <v>#DIV/0!</v>
      </c>
      <c r="AJ1024" s="1040" t="e">
        <f t="shared" si="487"/>
        <v>#DIV/0!</v>
      </c>
      <c r="AK1024" s="1040" t="e">
        <f t="shared" si="487"/>
        <v>#DIV/0!</v>
      </c>
      <c r="AL1024" s="1040" t="e">
        <f t="shared" si="487"/>
        <v>#DIV/0!</v>
      </c>
      <c r="AM1024" s="1040" t="e">
        <f t="shared" si="487"/>
        <v>#DIV/0!</v>
      </c>
      <c r="AN1024" s="1040" t="e">
        <f t="shared" si="487"/>
        <v>#DIV/0!</v>
      </c>
      <c r="AO1024" s="1040" t="e">
        <f t="shared" si="487"/>
        <v>#DIV/0!</v>
      </c>
      <c r="AP1024" s="1040" t="e">
        <f t="shared" si="487"/>
        <v>#DIV/0!</v>
      </c>
      <c r="AQ1024" s="1040" t="e">
        <f t="shared" si="487"/>
        <v>#DIV/0!</v>
      </c>
      <c r="AR1024" s="1040" t="e">
        <f t="shared" si="487"/>
        <v>#DIV/0!</v>
      </c>
      <c r="AS1024" s="1040" t="e">
        <f t="shared" ref="AS1024:AY1024" si="488">IF(AS224="",0,IF(OR(1=RANK(AS624,AS$412:AS$790,0),(2=RANK(AS624,AS$412:AS$790,0))),AS624,AS224))</f>
        <v>#DIV/0!</v>
      </c>
      <c r="AT1024" s="1040" t="e">
        <f t="shared" si="488"/>
        <v>#DIV/0!</v>
      </c>
      <c r="AU1024" s="1040">
        <f t="shared" si="488"/>
        <v>0</v>
      </c>
      <c r="AV1024" s="1040" t="e">
        <f t="shared" si="488"/>
        <v>#DIV/0!</v>
      </c>
      <c r="AW1024" s="1040" t="e">
        <f t="shared" si="488"/>
        <v>#DIV/0!</v>
      </c>
      <c r="AX1024" s="1040" t="e">
        <f t="shared" si="488"/>
        <v>#DIV/0!</v>
      </c>
      <c r="AY1024" s="1040" t="e">
        <f t="shared" si="488"/>
        <v>#DIV/0!</v>
      </c>
      <c r="AZ1024" s="1061" t="s">
        <v>21</v>
      </c>
      <c r="BC1024" s="29"/>
      <c r="BD1024" s="29"/>
      <c r="BE1024" s="13"/>
      <c r="BL1024" s="368"/>
    </row>
    <row r="1025" spans="1:64" ht="12" customHeight="1" x14ac:dyDescent="0.2">
      <c r="A1025" s="39">
        <f>acute_overview_children!A225</f>
        <v>4</v>
      </c>
      <c r="B1025" s="23">
        <f t="shared" si="445"/>
        <v>401060</v>
      </c>
      <c r="C1025" s="23" t="str">
        <f t="shared" si="446"/>
        <v>Rapeseeds/canola seeds</v>
      </c>
      <c r="D1025" s="135"/>
      <c r="E1025" s="1027"/>
      <c r="F1025" s="87"/>
      <c r="G1025" s="87"/>
      <c r="H1025" s="1027"/>
      <c r="I1025" s="1030"/>
      <c r="J1025" s="1039" t="e">
        <f t="shared" ref="J1025:AR1025" si="489">IF(J225="",0,IF(OR(1=RANK(J625,J$412:J$790,0),(2=RANK(J625,J$412:J$790,0))),J625,J225))</f>
        <v>#DIV/0!</v>
      </c>
      <c r="K1025" s="1040" t="e">
        <f t="shared" si="489"/>
        <v>#DIV/0!</v>
      </c>
      <c r="L1025" s="1040" t="e">
        <f t="shared" si="489"/>
        <v>#DIV/0!</v>
      </c>
      <c r="M1025" s="1040" t="e">
        <f t="shared" si="489"/>
        <v>#DIV/0!</v>
      </c>
      <c r="N1025" s="1040" t="e">
        <f t="shared" si="489"/>
        <v>#DIV/0!</v>
      </c>
      <c r="O1025" s="1040" t="e">
        <f t="shared" si="489"/>
        <v>#DIV/0!</v>
      </c>
      <c r="P1025" s="1040" t="e">
        <f t="shared" si="489"/>
        <v>#DIV/0!</v>
      </c>
      <c r="Q1025" s="1040" t="e">
        <f t="shared" si="489"/>
        <v>#DIV/0!</v>
      </c>
      <c r="R1025" s="1040" t="e">
        <f t="shared" si="489"/>
        <v>#DIV/0!</v>
      </c>
      <c r="S1025" s="1040" t="e">
        <f t="shared" si="489"/>
        <v>#DIV/0!</v>
      </c>
      <c r="T1025" s="1040" t="e">
        <f t="shared" si="489"/>
        <v>#DIV/0!</v>
      </c>
      <c r="U1025" s="1040" t="e">
        <f t="shared" si="489"/>
        <v>#DIV/0!</v>
      </c>
      <c r="V1025" s="1040" t="e">
        <f t="shared" si="489"/>
        <v>#DIV/0!</v>
      </c>
      <c r="W1025" s="1040" t="e">
        <f t="shared" si="489"/>
        <v>#DIV/0!</v>
      </c>
      <c r="X1025" s="1040" t="e">
        <f t="shared" si="489"/>
        <v>#DIV/0!</v>
      </c>
      <c r="Y1025" s="1040" t="e">
        <f t="shared" si="489"/>
        <v>#DIV/0!</v>
      </c>
      <c r="Z1025" s="1040" t="e">
        <f t="shared" si="489"/>
        <v>#DIV/0!</v>
      </c>
      <c r="AA1025" s="1040" t="e">
        <f t="shared" si="489"/>
        <v>#DIV/0!</v>
      </c>
      <c r="AB1025" s="1040" t="e">
        <f t="shared" si="489"/>
        <v>#DIV/0!</v>
      </c>
      <c r="AC1025" s="1040" t="e">
        <f t="shared" si="489"/>
        <v>#DIV/0!</v>
      </c>
      <c r="AD1025" s="1040" t="e">
        <f t="shared" si="489"/>
        <v>#DIV/0!</v>
      </c>
      <c r="AE1025" s="1040" t="e">
        <f t="shared" si="489"/>
        <v>#DIV/0!</v>
      </c>
      <c r="AF1025" s="1040" t="e">
        <f t="shared" si="489"/>
        <v>#DIV/0!</v>
      </c>
      <c r="AG1025" s="1040" t="e">
        <f t="shared" si="489"/>
        <v>#DIV/0!</v>
      </c>
      <c r="AH1025" s="1040" t="e">
        <f t="shared" si="489"/>
        <v>#DIV/0!</v>
      </c>
      <c r="AI1025" s="1040" t="e">
        <f t="shared" si="489"/>
        <v>#DIV/0!</v>
      </c>
      <c r="AJ1025" s="1040" t="e">
        <f t="shared" si="489"/>
        <v>#DIV/0!</v>
      </c>
      <c r="AK1025" s="1040" t="e">
        <f t="shared" si="489"/>
        <v>#DIV/0!</v>
      </c>
      <c r="AL1025" s="1040" t="e">
        <f t="shared" si="489"/>
        <v>#DIV/0!</v>
      </c>
      <c r="AM1025" s="1040" t="e">
        <f t="shared" si="489"/>
        <v>#DIV/0!</v>
      </c>
      <c r="AN1025" s="1040" t="e">
        <f t="shared" si="489"/>
        <v>#DIV/0!</v>
      </c>
      <c r="AO1025" s="1040" t="e">
        <f t="shared" si="489"/>
        <v>#DIV/0!</v>
      </c>
      <c r="AP1025" s="1040" t="e">
        <f t="shared" si="489"/>
        <v>#DIV/0!</v>
      </c>
      <c r="AQ1025" s="1040" t="e">
        <f t="shared" si="489"/>
        <v>#DIV/0!</v>
      </c>
      <c r="AR1025" s="1040" t="e">
        <f t="shared" si="489"/>
        <v>#DIV/0!</v>
      </c>
      <c r="AS1025" s="1040" t="e">
        <f t="shared" ref="AS1025:AY1025" si="490">IF(AS225="",0,IF(OR(1=RANK(AS625,AS$412:AS$790,0),(2=RANK(AS625,AS$412:AS$790,0))),AS625,AS225))</f>
        <v>#DIV/0!</v>
      </c>
      <c r="AT1025" s="1040" t="e">
        <f t="shared" si="490"/>
        <v>#DIV/0!</v>
      </c>
      <c r="AU1025" s="1040">
        <f t="shared" si="490"/>
        <v>0</v>
      </c>
      <c r="AV1025" s="1040" t="e">
        <f t="shared" si="490"/>
        <v>#DIV/0!</v>
      </c>
      <c r="AW1025" s="1040" t="e">
        <f t="shared" si="490"/>
        <v>#DIV/0!</v>
      </c>
      <c r="AX1025" s="1040" t="e">
        <f t="shared" si="490"/>
        <v>#DIV/0!</v>
      </c>
      <c r="AY1025" s="1040" t="e">
        <f t="shared" si="490"/>
        <v>#DIV/0!</v>
      </c>
      <c r="AZ1025" s="1061" t="s">
        <v>21</v>
      </c>
      <c r="BC1025" s="29"/>
      <c r="BD1025" s="29"/>
      <c r="BE1025" s="13"/>
      <c r="BL1025" s="368"/>
    </row>
    <row r="1026" spans="1:64" ht="12" customHeight="1" x14ac:dyDescent="0.2">
      <c r="A1026" s="39">
        <f>acute_overview_children!A226</f>
        <v>4</v>
      </c>
      <c r="B1026" s="23">
        <f t="shared" si="445"/>
        <v>401070</v>
      </c>
      <c r="C1026" s="23" t="str">
        <f t="shared" si="446"/>
        <v>Soyabeans</v>
      </c>
      <c r="D1026" s="135"/>
      <c r="E1026" s="1027"/>
      <c r="F1026" s="87"/>
      <c r="G1026" s="87"/>
      <c r="H1026" s="1027"/>
      <c r="I1026" s="1030"/>
      <c r="J1026" s="1039" t="e">
        <f t="shared" ref="J1026:AR1026" si="491">IF(J226="",0,IF(OR(1=RANK(J626,J$412:J$790,0),(2=RANK(J626,J$412:J$790,0))),J626,J226))</f>
        <v>#DIV/0!</v>
      </c>
      <c r="K1026" s="1040" t="e">
        <f t="shared" si="491"/>
        <v>#DIV/0!</v>
      </c>
      <c r="L1026" s="1040" t="e">
        <f t="shared" si="491"/>
        <v>#DIV/0!</v>
      </c>
      <c r="M1026" s="1040" t="e">
        <f t="shared" si="491"/>
        <v>#DIV/0!</v>
      </c>
      <c r="N1026" s="1040" t="e">
        <f t="shared" si="491"/>
        <v>#DIV/0!</v>
      </c>
      <c r="O1026" s="1040" t="e">
        <f t="shared" si="491"/>
        <v>#DIV/0!</v>
      </c>
      <c r="P1026" s="1040" t="e">
        <f t="shared" si="491"/>
        <v>#DIV/0!</v>
      </c>
      <c r="Q1026" s="1040" t="e">
        <f t="shared" si="491"/>
        <v>#DIV/0!</v>
      </c>
      <c r="R1026" s="1040" t="e">
        <f t="shared" si="491"/>
        <v>#DIV/0!</v>
      </c>
      <c r="S1026" s="1040" t="e">
        <f t="shared" si="491"/>
        <v>#DIV/0!</v>
      </c>
      <c r="T1026" s="1040" t="e">
        <f t="shared" si="491"/>
        <v>#DIV/0!</v>
      </c>
      <c r="U1026" s="1040" t="e">
        <f t="shared" si="491"/>
        <v>#DIV/0!</v>
      </c>
      <c r="V1026" s="1040" t="e">
        <f t="shared" si="491"/>
        <v>#DIV/0!</v>
      </c>
      <c r="W1026" s="1040" t="e">
        <f t="shared" si="491"/>
        <v>#DIV/0!</v>
      </c>
      <c r="X1026" s="1040" t="e">
        <f t="shared" si="491"/>
        <v>#DIV/0!</v>
      </c>
      <c r="Y1026" s="1040" t="e">
        <f t="shared" si="491"/>
        <v>#DIV/0!</v>
      </c>
      <c r="Z1026" s="1040" t="e">
        <f t="shared" si="491"/>
        <v>#DIV/0!</v>
      </c>
      <c r="AA1026" s="1040" t="e">
        <f t="shared" si="491"/>
        <v>#DIV/0!</v>
      </c>
      <c r="AB1026" s="1040" t="e">
        <f t="shared" si="491"/>
        <v>#DIV/0!</v>
      </c>
      <c r="AC1026" s="1040" t="e">
        <f t="shared" si="491"/>
        <v>#DIV/0!</v>
      </c>
      <c r="AD1026" s="1040" t="e">
        <f t="shared" si="491"/>
        <v>#DIV/0!</v>
      </c>
      <c r="AE1026" s="1040" t="e">
        <f t="shared" si="491"/>
        <v>#DIV/0!</v>
      </c>
      <c r="AF1026" s="1040" t="e">
        <f t="shared" si="491"/>
        <v>#DIV/0!</v>
      </c>
      <c r="AG1026" s="1040" t="e">
        <f t="shared" si="491"/>
        <v>#DIV/0!</v>
      </c>
      <c r="AH1026" s="1040" t="e">
        <f t="shared" si="491"/>
        <v>#DIV/0!</v>
      </c>
      <c r="AI1026" s="1040" t="e">
        <f t="shared" si="491"/>
        <v>#DIV/0!</v>
      </c>
      <c r="AJ1026" s="1040" t="e">
        <f t="shared" si="491"/>
        <v>#DIV/0!</v>
      </c>
      <c r="AK1026" s="1040" t="e">
        <f t="shared" si="491"/>
        <v>#DIV/0!</v>
      </c>
      <c r="AL1026" s="1040" t="e">
        <f t="shared" si="491"/>
        <v>#DIV/0!</v>
      </c>
      <c r="AM1026" s="1040" t="e">
        <f t="shared" si="491"/>
        <v>#DIV/0!</v>
      </c>
      <c r="AN1026" s="1040" t="e">
        <f t="shared" si="491"/>
        <v>#DIV/0!</v>
      </c>
      <c r="AO1026" s="1040" t="e">
        <f t="shared" si="491"/>
        <v>#DIV/0!</v>
      </c>
      <c r="AP1026" s="1040" t="e">
        <f t="shared" si="491"/>
        <v>#DIV/0!</v>
      </c>
      <c r="AQ1026" s="1040" t="e">
        <f t="shared" si="491"/>
        <v>#DIV/0!</v>
      </c>
      <c r="AR1026" s="1040" t="e">
        <f t="shared" si="491"/>
        <v>#DIV/0!</v>
      </c>
      <c r="AS1026" s="1040" t="e">
        <f t="shared" ref="AS1026:AY1026" si="492">IF(AS226="",0,IF(OR(1=RANK(AS626,AS$412:AS$790,0),(2=RANK(AS626,AS$412:AS$790,0))),AS626,AS226))</f>
        <v>#DIV/0!</v>
      </c>
      <c r="AT1026" s="1040" t="e">
        <f t="shared" si="492"/>
        <v>#DIV/0!</v>
      </c>
      <c r="AU1026" s="1040">
        <f t="shared" si="492"/>
        <v>0</v>
      </c>
      <c r="AV1026" s="1040" t="e">
        <f t="shared" si="492"/>
        <v>#DIV/0!</v>
      </c>
      <c r="AW1026" s="1040" t="e">
        <f t="shared" si="492"/>
        <v>#DIV/0!</v>
      </c>
      <c r="AX1026" s="1040" t="e">
        <f t="shared" si="492"/>
        <v>#DIV/0!</v>
      </c>
      <c r="AY1026" s="1040" t="e">
        <f t="shared" si="492"/>
        <v>#DIV/0!</v>
      </c>
      <c r="AZ1026" s="1061" t="s">
        <v>21</v>
      </c>
      <c r="BC1026" s="29"/>
      <c r="BD1026" s="29"/>
      <c r="BE1026" s="13"/>
      <c r="BL1026" s="368"/>
    </row>
    <row r="1027" spans="1:64" ht="12" customHeight="1" x14ac:dyDescent="0.2">
      <c r="A1027" s="39">
        <f>acute_overview_children!A227</f>
        <v>4</v>
      </c>
      <c r="B1027" s="23">
        <f t="shared" si="445"/>
        <v>401080</v>
      </c>
      <c r="C1027" s="23" t="str">
        <f t="shared" si="446"/>
        <v>Mustard seeds</v>
      </c>
      <c r="D1027" s="135"/>
      <c r="E1027" s="1027"/>
      <c r="F1027" s="87"/>
      <c r="G1027" s="87"/>
      <c r="H1027" s="1027"/>
      <c r="I1027" s="1030"/>
      <c r="J1027" s="1039" t="e">
        <f t="shared" ref="J1027:AR1027" si="493">IF(J227="",0,IF(OR(1=RANK(J627,J$412:J$790,0),(2=RANK(J627,J$412:J$790,0))),J627,J227))</f>
        <v>#DIV/0!</v>
      </c>
      <c r="K1027" s="1040" t="e">
        <f t="shared" si="493"/>
        <v>#DIV/0!</v>
      </c>
      <c r="L1027" s="1040" t="e">
        <f t="shared" si="493"/>
        <v>#DIV/0!</v>
      </c>
      <c r="M1027" s="1040" t="e">
        <f t="shared" si="493"/>
        <v>#DIV/0!</v>
      </c>
      <c r="N1027" s="1040" t="e">
        <f t="shared" si="493"/>
        <v>#DIV/0!</v>
      </c>
      <c r="O1027" s="1040" t="e">
        <f t="shared" si="493"/>
        <v>#DIV/0!</v>
      </c>
      <c r="P1027" s="1040" t="e">
        <f t="shared" si="493"/>
        <v>#DIV/0!</v>
      </c>
      <c r="Q1027" s="1040" t="e">
        <f t="shared" si="493"/>
        <v>#DIV/0!</v>
      </c>
      <c r="R1027" s="1040" t="e">
        <f t="shared" si="493"/>
        <v>#DIV/0!</v>
      </c>
      <c r="S1027" s="1040" t="e">
        <f t="shared" si="493"/>
        <v>#DIV/0!</v>
      </c>
      <c r="T1027" s="1040" t="e">
        <f t="shared" si="493"/>
        <v>#DIV/0!</v>
      </c>
      <c r="U1027" s="1040" t="e">
        <f t="shared" si="493"/>
        <v>#DIV/0!</v>
      </c>
      <c r="V1027" s="1040" t="e">
        <f t="shared" si="493"/>
        <v>#DIV/0!</v>
      </c>
      <c r="W1027" s="1040" t="e">
        <f t="shared" si="493"/>
        <v>#DIV/0!</v>
      </c>
      <c r="X1027" s="1040" t="e">
        <f t="shared" si="493"/>
        <v>#DIV/0!</v>
      </c>
      <c r="Y1027" s="1040" t="e">
        <f t="shared" si="493"/>
        <v>#DIV/0!</v>
      </c>
      <c r="Z1027" s="1040" t="e">
        <f t="shared" si="493"/>
        <v>#DIV/0!</v>
      </c>
      <c r="AA1027" s="1040" t="e">
        <f t="shared" si="493"/>
        <v>#DIV/0!</v>
      </c>
      <c r="AB1027" s="1040" t="e">
        <f t="shared" si="493"/>
        <v>#DIV/0!</v>
      </c>
      <c r="AC1027" s="1040" t="e">
        <f t="shared" si="493"/>
        <v>#DIV/0!</v>
      </c>
      <c r="AD1027" s="1040" t="e">
        <f t="shared" si="493"/>
        <v>#DIV/0!</v>
      </c>
      <c r="AE1027" s="1040" t="e">
        <f t="shared" si="493"/>
        <v>#DIV/0!</v>
      </c>
      <c r="AF1027" s="1040" t="e">
        <f t="shared" si="493"/>
        <v>#DIV/0!</v>
      </c>
      <c r="AG1027" s="1040" t="e">
        <f t="shared" si="493"/>
        <v>#DIV/0!</v>
      </c>
      <c r="AH1027" s="1040" t="e">
        <f t="shared" si="493"/>
        <v>#DIV/0!</v>
      </c>
      <c r="AI1027" s="1040" t="e">
        <f t="shared" si="493"/>
        <v>#DIV/0!</v>
      </c>
      <c r="AJ1027" s="1040" t="e">
        <f t="shared" si="493"/>
        <v>#DIV/0!</v>
      </c>
      <c r="AK1027" s="1040" t="e">
        <f t="shared" si="493"/>
        <v>#DIV/0!</v>
      </c>
      <c r="AL1027" s="1040" t="e">
        <f t="shared" si="493"/>
        <v>#DIV/0!</v>
      </c>
      <c r="AM1027" s="1040" t="e">
        <f t="shared" si="493"/>
        <v>#DIV/0!</v>
      </c>
      <c r="AN1027" s="1040" t="e">
        <f t="shared" si="493"/>
        <v>#DIV/0!</v>
      </c>
      <c r="AO1027" s="1040" t="e">
        <f t="shared" si="493"/>
        <v>#DIV/0!</v>
      </c>
      <c r="AP1027" s="1040" t="e">
        <f t="shared" si="493"/>
        <v>#DIV/0!</v>
      </c>
      <c r="AQ1027" s="1040" t="e">
        <f t="shared" si="493"/>
        <v>#DIV/0!</v>
      </c>
      <c r="AR1027" s="1040" t="e">
        <f t="shared" si="493"/>
        <v>#DIV/0!</v>
      </c>
      <c r="AS1027" s="1040" t="e">
        <f t="shared" ref="AS1027:AY1027" si="494">IF(AS227="",0,IF(OR(1=RANK(AS627,AS$412:AS$790,0),(2=RANK(AS627,AS$412:AS$790,0))),AS627,AS227))</f>
        <v>#DIV/0!</v>
      </c>
      <c r="AT1027" s="1040" t="e">
        <f t="shared" si="494"/>
        <v>#DIV/0!</v>
      </c>
      <c r="AU1027" s="1040">
        <f t="shared" si="494"/>
        <v>0</v>
      </c>
      <c r="AV1027" s="1040" t="e">
        <f t="shared" si="494"/>
        <v>#DIV/0!</v>
      </c>
      <c r="AW1027" s="1040" t="e">
        <f t="shared" si="494"/>
        <v>#DIV/0!</v>
      </c>
      <c r="AX1027" s="1040" t="e">
        <f t="shared" si="494"/>
        <v>#DIV/0!</v>
      </c>
      <c r="AY1027" s="1040" t="e">
        <f t="shared" si="494"/>
        <v>#DIV/0!</v>
      </c>
      <c r="AZ1027" s="1061" t="s">
        <v>21</v>
      </c>
      <c r="BC1027" s="29"/>
      <c r="BD1027" s="29"/>
      <c r="BE1027" s="13"/>
      <c r="BL1027" s="368"/>
    </row>
    <row r="1028" spans="1:64" ht="12" customHeight="1" x14ac:dyDescent="0.2">
      <c r="A1028" s="39">
        <f>acute_overview_children!A228</f>
        <v>4</v>
      </c>
      <c r="B1028" s="23">
        <f t="shared" si="445"/>
        <v>401090</v>
      </c>
      <c r="C1028" s="23" t="str">
        <f t="shared" si="446"/>
        <v>Cotton seeds</v>
      </c>
      <c r="D1028" s="135"/>
      <c r="E1028" s="1027"/>
      <c r="F1028" s="87"/>
      <c r="G1028" s="87"/>
      <c r="H1028" s="1027"/>
      <c r="I1028" s="1030"/>
      <c r="J1028" s="1039" t="e">
        <f t="shared" ref="J1028:AR1028" si="495">IF(J228="",0,IF(OR(1=RANK(J628,J$412:J$790,0),(2=RANK(J628,J$412:J$790,0))),J628,J228))</f>
        <v>#DIV/0!</v>
      </c>
      <c r="K1028" s="1040" t="e">
        <f t="shared" si="495"/>
        <v>#DIV/0!</v>
      </c>
      <c r="L1028" s="1040" t="e">
        <f t="shared" si="495"/>
        <v>#DIV/0!</v>
      </c>
      <c r="M1028" s="1040" t="e">
        <f t="shared" si="495"/>
        <v>#DIV/0!</v>
      </c>
      <c r="N1028" s="1040" t="e">
        <f t="shared" si="495"/>
        <v>#DIV/0!</v>
      </c>
      <c r="O1028" s="1040" t="e">
        <f t="shared" si="495"/>
        <v>#DIV/0!</v>
      </c>
      <c r="P1028" s="1040" t="e">
        <f t="shared" si="495"/>
        <v>#DIV/0!</v>
      </c>
      <c r="Q1028" s="1040" t="e">
        <f t="shared" si="495"/>
        <v>#DIV/0!</v>
      </c>
      <c r="R1028" s="1040" t="e">
        <f t="shared" si="495"/>
        <v>#DIV/0!</v>
      </c>
      <c r="S1028" s="1040" t="e">
        <f t="shared" si="495"/>
        <v>#DIV/0!</v>
      </c>
      <c r="T1028" s="1040" t="e">
        <f t="shared" si="495"/>
        <v>#DIV/0!</v>
      </c>
      <c r="U1028" s="1040" t="e">
        <f t="shared" si="495"/>
        <v>#DIV/0!</v>
      </c>
      <c r="V1028" s="1040" t="e">
        <f t="shared" si="495"/>
        <v>#DIV/0!</v>
      </c>
      <c r="W1028" s="1040" t="e">
        <f t="shared" si="495"/>
        <v>#DIV/0!</v>
      </c>
      <c r="X1028" s="1040" t="e">
        <f t="shared" si="495"/>
        <v>#DIV/0!</v>
      </c>
      <c r="Y1028" s="1040" t="e">
        <f t="shared" si="495"/>
        <v>#DIV/0!</v>
      </c>
      <c r="Z1028" s="1040" t="e">
        <f t="shared" si="495"/>
        <v>#DIV/0!</v>
      </c>
      <c r="AA1028" s="1040" t="e">
        <f t="shared" si="495"/>
        <v>#DIV/0!</v>
      </c>
      <c r="AB1028" s="1040" t="e">
        <f t="shared" si="495"/>
        <v>#DIV/0!</v>
      </c>
      <c r="AC1028" s="1040" t="e">
        <f t="shared" si="495"/>
        <v>#DIV/0!</v>
      </c>
      <c r="AD1028" s="1040" t="e">
        <f t="shared" si="495"/>
        <v>#DIV/0!</v>
      </c>
      <c r="AE1028" s="1040" t="e">
        <f t="shared" si="495"/>
        <v>#DIV/0!</v>
      </c>
      <c r="AF1028" s="1040" t="e">
        <f t="shared" si="495"/>
        <v>#DIV/0!</v>
      </c>
      <c r="AG1028" s="1040" t="e">
        <f t="shared" si="495"/>
        <v>#DIV/0!</v>
      </c>
      <c r="AH1028" s="1040" t="e">
        <f t="shared" si="495"/>
        <v>#DIV/0!</v>
      </c>
      <c r="AI1028" s="1040" t="e">
        <f t="shared" si="495"/>
        <v>#DIV/0!</v>
      </c>
      <c r="AJ1028" s="1040" t="e">
        <f t="shared" si="495"/>
        <v>#DIV/0!</v>
      </c>
      <c r="AK1028" s="1040" t="e">
        <f t="shared" si="495"/>
        <v>#DIV/0!</v>
      </c>
      <c r="AL1028" s="1040" t="e">
        <f t="shared" si="495"/>
        <v>#DIV/0!</v>
      </c>
      <c r="AM1028" s="1040" t="e">
        <f t="shared" si="495"/>
        <v>#DIV/0!</v>
      </c>
      <c r="AN1028" s="1040" t="e">
        <f t="shared" si="495"/>
        <v>#DIV/0!</v>
      </c>
      <c r="AO1028" s="1040" t="e">
        <f t="shared" si="495"/>
        <v>#DIV/0!</v>
      </c>
      <c r="AP1028" s="1040" t="e">
        <f t="shared" si="495"/>
        <v>#DIV/0!</v>
      </c>
      <c r="AQ1028" s="1040" t="e">
        <f t="shared" si="495"/>
        <v>#DIV/0!</v>
      </c>
      <c r="AR1028" s="1040" t="e">
        <f t="shared" si="495"/>
        <v>#DIV/0!</v>
      </c>
      <c r="AS1028" s="1040" t="e">
        <f t="shared" ref="AS1028:AY1028" si="496">IF(AS228="",0,IF(OR(1=RANK(AS628,AS$412:AS$790,0),(2=RANK(AS628,AS$412:AS$790,0))),AS628,AS228))</f>
        <v>#DIV/0!</v>
      </c>
      <c r="AT1028" s="1040" t="e">
        <f t="shared" si="496"/>
        <v>#DIV/0!</v>
      </c>
      <c r="AU1028" s="1040">
        <f t="shared" si="496"/>
        <v>0</v>
      </c>
      <c r="AV1028" s="1040" t="e">
        <f t="shared" si="496"/>
        <v>#DIV/0!</v>
      </c>
      <c r="AW1028" s="1040" t="e">
        <f t="shared" si="496"/>
        <v>#DIV/0!</v>
      </c>
      <c r="AX1028" s="1040" t="e">
        <f t="shared" si="496"/>
        <v>#DIV/0!</v>
      </c>
      <c r="AY1028" s="1040" t="e">
        <f t="shared" si="496"/>
        <v>#DIV/0!</v>
      </c>
      <c r="AZ1028" s="1061" t="s">
        <v>21</v>
      </c>
      <c r="BC1028" s="29"/>
      <c r="BD1028" s="29"/>
      <c r="BE1028" s="13"/>
      <c r="BL1028" s="368"/>
    </row>
    <row r="1029" spans="1:64" ht="12" customHeight="1" x14ac:dyDescent="0.2">
      <c r="A1029" s="39">
        <f>acute_overview_children!A229</f>
        <v>4</v>
      </c>
      <c r="B1029" s="23">
        <f t="shared" si="445"/>
        <v>401100</v>
      </c>
      <c r="C1029" s="23" t="str">
        <f t="shared" si="446"/>
        <v>Pumpkin seeds</v>
      </c>
      <c r="D1029" s="135"/>
      <c r="E1029" s="1027"/>
      <c r="F1029" s="87"/>
      <c r="G1029" s="87"/>
      <c r="H1029" s="1027"/>
      <c r="I1029" s="1030"/>
      <c r="J1029" s="1039" t="e">
        <f t="shared" ref="J1029:AR1029" si="497">IF(J229="",0,IF(OR(1=RANK(J629,J$412:J$790,0),(2=RANK(J629,J$412:J$790,0))),J629,J229))</f>
        <v>#DIV/0!</v>
      </c>
      <c r="K1029" s="1040" t="e">
        <f t="shared" si="497"/>
        <v>#DIV/0!</v>
      </c>
      <c r="L1029" s="1040" t="e">
        <f t="shared" si="497"/>
        <v>#DIV/0!</v>
      </c>
      <c r="M1029" s="1040" t="e">
        <f t="shared" si="497"/>
        <v>#DIV/0!</v>
      </c>
      <c r="N1029" s="1040" t="e">
        <f t="shared" si="497"/>
        <v>#DIV/0!</v>
      </c>
      <c r="O1029" s="1040" t="e">
        <f t="shared" si="497"/>
        <v>#DIV/0!</v>
      </c>
      <c r="P1029" s="1040" t="e">
        <f t="shared" si="497"/>
        <v>#DIV/0!</v>
      </c>
      <c r="Q1029" s="1040" t="e">
        <f t="shared" si="497"/>
        <v>#DIV/0!</v>
      </c>
      <c r="R1029" s="1040" t="e">
        <f t="shared" si="497"/>
        <v>#DIV/0!</v>
      </c>
      <c r="S1029" s="1040" t="e">
        <f t="shared" si="497"/>
        <v>#DIV/0!</v>
      </c>
      <c r="T1029" s="1040" t="e">
        <f t="shared" si="497"/>
        <v>#DIV/0!</v>
      </c>
      <c r="U1029" s="1040" t="e">
        <f t="shared" si="497"/>
        <v>#DIV/0!</v>
      </c>
      <c r="V1029" s="1040" t="e">
        <f t="shared" si="497"/>
        <v>#DIV/0!</v>
      </c>
      <c r="W1029" s="1040" t="e">
        <f t="shared" si="497"/>
        <v>#DIV/0!</v>
      </c>
      <c r="X1029" s="1040" t="e">
        <f t="shared" si="497"/>
        <v>#DIV/0!</v>
      </c>
      <c r="Y1029" s="1040" t="e">
        <f t="shared" si="497"/>
        <v>#DIV/0!</v>
      </c>
      <c r="Z1029" s="1040" t="e">
        <f t="shared" si="497"/>
        <v>#DIV/0!</v>
      </c>
      <c r="AA1029" s="1040" t="e">
        <f t="shared" si="497"/>
        <v>#DIV/0!</v>
      </c>
      <c r="AB1029" s="1040" t="e">
        <f t="shared" si="497"/>
        <v>#DIV/0!</v>
      </c>
      <c r="AC1029" s="1040" t="e">
        <f t="shared" si="497"/>
        <v>#DIV/0!</v>
      </c>
      <c r="AD1029" s="1040" t="e">
        <f t="shared" si="497"/>
        <v>#DIV/0!</v>
      </c>
      <c r="AE1029" s="1040" t="e">
        <f t="shared" si="497"/>
        <v>#DIV/0!</v>
      </c>
      <c r="AF1029" s="1040" t="e">
        <f t="shared" si="497"/>
        <v>#DIV/0!</v>
      </c>
      <c r="AG1029" s="1040" t="e">
        <f t="shared" si="497"/>
        <v>#DIV/0!</v>
      </c>
      <c r="AH1029" s="1040" t="e">
        <f t="shared" si="497"/>
        <v>#DIV/0!</v>
      </c>
      <c r="AI1029" s="1040" t="e">
        <f t="shared" si="497"/>
        <v>#DIV/0!</v>
      </c>
      <c r="AJ1029" s="1040" t="e">
        <f t="shared" si="497"/>
        <v>#DIV/0!</v>
      </c>
      <c r="AK1029" s="1040" t="e">
        <f t="shared" si="497"/>
        <v>#DIV/0!</v>
      </c>
      <c r="AL1029" s="1040" t="e">
        <f t="shared" si="497"/>
        <v>#DIV/0!</v>
      </c>
      <c r="AM1029" s="1040" t="e">
        <f t="shared" si="497"/>
        <v>#DIV/0!</v>
      </c>
      <c r="AN1029" s="1040" t="e">
        <f t="shared" si="497"/>
        <v>#DIV/0!</v>
      </c>
      <c r="AO1029" s="1040" t="e">
        <f t="shared" si="497"/>
        <v>#DIV/0!</v>
      </c>
      <c r="AP1029" s="1040" t="e">
        <f t="shared" si="497"/>
        <v>#DIV/0!</v>
      </c>
      <c r="AQ1029" s="1040" t="e">
        <f t="shared" si="497"/>
        <v>#DIV/0!</v>
      </c>
      <c r="AR1029" s="1040" t="e">
        <f t="shared" si="497"/>
        <v>#DIV/0!</v>
      </c>
      <c r="AS1029" s="1040" t="e">
        <f t="shared" ref="AS1029:AY1029" si="498">IF(AS229="",0,IF(OR(1=RANK(AS629,AS$412:AS$790,0),(2=RANK(AS629,AS$412:AS$790,0))),AS629,AS229))</f>
        <v>#DIV/0!</v>
      </c>
      <c r="AT1029" s="1040" t="e">
        <f t="shared" si="498"/>
        <v>#DIV/0!</v>
      </c>
      <c r="AU1029" s="1040">
        <f t="shared" si="498"/>
        <v>0</v>
      </c>
      <c r="AV1029" s="1040" t="e">
        <f t="shared" si="498"/>
        <v>#DIV/0!</v>
      </c>
      <c r="AW1029" s="1040" t="e">
        <f t="shared" si="498"/>
        <v>#DIV/0!</v>
      </c>
      <c r="AX1029" s="1040" t="e">
        <f t="shared" si="498"/>
        <v>#DIV/0!</v>
      </c>
      <c r="AY1029" s="1040" t="e">
        <f t="shared" si="498"/>
        <v>#DIV/0!</v>
      </c>
      <c r="AZ1029" s="1061" t="s">
        <v>21</v>
      </c>
      <c r="BC1029" s="29"/>
      <c r="BD1029" s="29"/>
      <c r="BE1029" s="13"/>
      <c r="BL1029" s="368"/>
    </row>
    <row r="1030" spans="1:64" ht="12" customHeight="1" x14ac:dyDescent="0.2">
      <c r="A1030" s="39">
        <f>acute_overview_children!A230</f>
        <v>4</v>
      </c>
      <c r="B1030" s="23">
        <f t="shared" si="445"/>
        <v>401110</v>
      </c>
      <c r="C1030" s="23" t="str">
        <f t="shared" si="446"/>
        <v>Safflower seeds</v>
      </c>
      <c r="D1030" s="135"/>
      <c r="E1030" s="1027"/>
      <c r="F1030" s="87"/>
      <c r="G1030" s="87"/>
      <c r="H1030" s="1027"/>
      <c r="I1030" s="1030"/>
      <c r="J1030" s="1039" t="e">
        <f t="shared" ref="J1030:AR1030" si="499">IF(J230="",0,IF(OR(1=RANK(J630,J$412:J$790,0),(2=RANK(J630,J$412:J$790,0))),J630,J230))</f>
        <v>#DIV/0!</v>
      </c>
      <c r="K1030" s="1040" t="e">
        <f t="shared" si="499"/>
        <v>#DIV/0!</v>
      </c>
      <c r="L1030" s="1040" t="e">
        <f t="shared" si="499"/>
        <v>#DIV/0!</v>
      </c>
      <c r="M1030" s="1040" t="e">
        <f t="shared" si="499"/>
        <v>#DIV/0!</v>
      </c>
      <c r="N1030" s="1040" t="e">
        <f t="shared" si="499"/>
        <v>#DIV/0!</v>
      </c>
      <c r="O1030" s="1040" t="e">
        <f t="shared" si="499"/>
        <v>#DIV/0!</v>
      </c>
      <c r="P1030" s="1040" t="e">
        <f t="shared" si="499"/>
        <v>#DIV/0!</v>
      </c>
      <c r="Q1030" s="1040" t="e">
        <f t="shared" si="499"/>
        <v>#DIV/0!</v>
      </c>
      <c r="R1030" s="1040" t="e">
        <f t="shared" si="499"/>
        <v>#DIV/0!</v>
      </c>
      <c r="S1030" s="1040" t="e">
        <f t="shared" si="499"/>
        <v>#DIV/0!</v>
      </c>
      <c r="T1030" s="1040" t="e">
        <f t="shared" si="499"/>
        <v>#DIV/0!</v>
      </c>
      <c r="U1030" s="1040" t="e">
        <f t="shared" si="499"/>
        <v>#DIV/0!</v>
      </c>
      <c r="V1030" s="1040" t="e">
        <f t="shared" si="499"/>
        <v>#DIV/0!</v>
      </c>
      <c r="W1030" s="1040" t="e">
        <f t="shared" si="499"/>
        <v>#DIV/0!</v>
      </c>
      <c r="X1030" s="1040" t="e">
        <f t="shared" si="499"/>
        <v>#DIV/0!</v>
      </c>
      <c r="Y1030" s="1040" t="e">
        <f t="shared" si="499"/>
        <v>#DIV/0!</v>
      </c>
      <c r="Z1030" s="1040" t="e">
        <f t="shared" si="499"/>
        <v>#DIV/0!</v>
      </c>
      <c r="AA1030" s="1040" t="e">
        <f t="shared" si="499"/>
        <v>#DIV/0!</v>
      </c>
      <c r="AB1030" s="1040" t="e">
        <f t="shared" si="499"/>
        <v>#DIV/0!</v>
      </c>
      <c r="AC1030" s="1040" t="e">
        <f t="shared" si="499"/>
        <v>#DIV/0!</v>
      </c>
      <c r="AD1030" s="1040" t="e">
        <f t="shared" si="499"/>
        <v>#DIV/0!</v>
      </c>
      <c r="AE1030" s="1040" t="e">
        <f t="shared" si="499"/>
        <v>#DIV/0!</v>
      </c>
      <c r="AF1030" s="1040" t="e">
        <f t="shared" si="499"/>
        <v>#DIV/0!</v>
      </c>
      <c r="AG1030" s="1040" t="e">
        <f t="shared" si="499"/>
        <v>#DIV/0!</v>
      </c>
      <c r="AH1030" s="1040" t="e">
        <f t="shared" si="499"/>
        <v>#DIV/0!</v>
      </c>
      <c r="AI1030" s="1040" t="e">
        <f t="shared" si="499"/>
        <v>#DIV/0!</v>
      </c>
      <c r="AJ1030" s="1040" t="e">
        <f t="shared" si="499"/>
        <v>#DIV/0!</v>
      </c>
      <c r="AK1030" s="1040" t="e">
        <f t="shared" si="499"/>
        <v>#DIV/0!</v>
      </c>
      <c r="AL1030" s="1040" t="e">
        <f t="shared" si="499"/>
        <v>#DIV/0!</v>
      </c>
      <c r="AM1030" s="1040" t="e">
        <f t="shared" si="499"/>
        <v>#DIV/0!</v>
      </c>
      <c r="AN1030" s="1040" t="e">
        <f t="shared" si="499"/>
        <v>#DIV/0!</v>
      </c>
      <c r="AO1030" s="1040" t="e">
        <f t="shared" si="499"/>
        <v>#DIV/0!</v>
      </c>
      <c r="AP1030" s="1040" t="e">
        <f t="shared" si="499"/>
        <v>#DIV/0!</v>
      </c>
      <c r="AQ1030" s="1040" t="e">
        <f t="shared" si="499"/>
        <v>#DIV/0!</v>
      </c>
      <c r="AR1030" s="1040" t="e">
        <f t="shared" si="499"/>
        <v>#DIV/0!</v>
      </c>
      <c r="AS1030" s="1040" t="e">
        <f t="shared" ref="AS1030:AY1030" si="500">IF(AS230="",0,IF(OR(1=RANK(AS630,AS$412:AS$790,0),(2=RANK(AS630,AS$412:AS$790,0))),AS630,AS230))</f>
        <v>#DIV/0!</v>
      </c>
      <c r="AT1030" s="1040" t="e">
        <f t="shared" si="500"/>
        <v>#DIV/0!</v>
      </c>
      <c r="AU1030" s="1040">
        <f t="shared" si="500"/>
        <v>0</v>
      </c>
      <c r="AV1030" s="1040" t="e">
        <f t="shared" si="500"/>
        <v>#DIV/0!</v>
      </c>
      <c r="AW1030" s="1040" t="e">
        <f t="shared" si="500"/>
        <v>#DIV/0!</v>
      </c>
      <c r="AX1030" s="1040" t="e">
        <f t="shared" si="500"/>
        <v>#DIV/0!</v>
      </c>
      <c r="AY1030" s="1040" t="e">
        <f t="shared" si="500"/>
        <v>#DIV/0!</v>
      </c>
      <c r="AZ1030" s="1061" t="s">
        <v>21</v>
      </c>
      <c r="BC1030" s="29"/>
      <c r="BD1030" s="29"/>
      <c r="BE1030" s="13"/>
      <c r="BL1030" s="368"/>
    </row>
    <row r="1031" spans="1:64" ht="12" customHeight="1" x14ac:dyDescent="0.2">
      <c r="A1031" s="39">
        <f>acute_overview_children!A231</f>
        <v>4</v>
      </c>
      <c r="B1031" s="23">
        <f t="shared" si="445"/>
        <v>401120</v>
      </c>
      <c r="C1031" s="23" t="str">
        <f t="shared" si="446"/>
        <v>Borage seeds</v>
      </c>
      <c r="D1031" s="135"/>
      <c r="E1031" s="1027"/>
      <c r="F1031" s="87"/>
      <c r="G1031" s="87"/>
      <c r="H1031" s="1027"/>
      <c r="I1031" s="1030"/>
      <c r="J1031" s="1039" t="e">
        <f t="shared" ref="J1031:AR1031" si="501">IF(J231="",0,IF(OR(1=RANK(J631,J$412:J$790,0),(2=RANK(J631,J$412:J$790,0))),J631,J231))</f>
        <v>#DIV/0!</v>
      </c>
      <c r="K1031" s="1040" t="e">
        <f t="shared" si="501"/>
        <v>#DIV/0!</v>
      </c>
      <c r="L1031" s="1040" t="e">
        <f t="shared" si="501"/>
        <v>#DIV/0!</v>
      </c>
      <c r="M1031" s="1040" t="e">
        <f t="shared" si="501"/>
        <v>#DIV/0!</v>
      </c>
      <c r="N1031" s="1040" t="e">
        <f t="shared" si="501"/>
        <v>#DIV/0!</v>
      </c>
      <c r="O1031" s="1040" t="e">
        <f t="shared" si="501"/>
        <v>#DIV/0!</v>
      </c>
      <c r="P1031" s="1040" t="e">
        <f t="shared" si="501"/>
        <v>#DIV/0!</v>
      </c>
      <c r="Q1031" s="1040" t="e">
        <f t="shared" si="501"/>
        <v>#DIV/0!</v>
      </c>
      <c r="R1031" s="1040" t="e">
        <f t="shared" si="501"/>
        <v>#DIV/0!</v>
      </c>
      <c r="S1031" s="1040" t="e">
        <f t="shared" si="501"/>
        <v>#DIV/0!</v>
      </c>
      <c r="T1031" s="1040" t="e">
        <f t="shared" si="501"/>
        <v>#DIV/0!</v>
      </c>
      <c r="U1031" s="1040" t="e">
        <f t="shared" si="501"/>
        <v>#DIV/0!</v>
      </c>
      <c r="V1031" s="1040" t="e">
        <f t="shared" si="501"/>
        <v>#DIV/0!</v>
      </c>
      <c r="W1031" s="1040" t="e">
        <f t="shared" si="501"/>
        <v>#DIV/0!</v>
      </c>
      <c r="X1031" s="1040" t="e">
        <f t="shared" si="501"/>
        <v>#DIV/0!</v>
      </c>
      <c r="Y1031" s="1040" t="e">
        <f t="shared" si="501"/>
        <v>#DIV/0!</v>
      </c>
      <c r="Z1031" s="1040" t="e">
        <f t="shared" si="501"/>
        <v>#DIV/0!</v>
      </c>
      <c r="AA1031" s="1040" t="e">
        <f t="shared" si="501"/>
        <v>#DIV/0!</v>
      </c>
      <c r="AB1031" s="1040" t="e">
        <f t="shared" si="501"/>
        <v>#DIV/0!</v>
      </c>
      <c r="AC1031" s="1040" t="e">
        <f t="shared" si="501"/>
        <v>#DIV/0!</v>
      </c>
      <c r="AD1031" s="1040" t="e">
        <f t="shared" si="501"/>
        <v>#DIV/0!</v>
      </c>
      <c r="AE1031" s="1040" t="e">
        <f t="shared" si="501"/>
        <v>#DIV/0!</v>
      </c>
      <c r="AF1031" s="1040" t="e">
        <f t="shared" si="501"/>
        <v>#DIV/0!</v>
      </c>
      <c r="AG1031" s="1040" t="e">
        <f t="shared" si="501"/>
        <v>#DIV/0!</v>
      </c>
      <c r="AH1031" s="1040" t="e">
        <f t="shared" si="501"/>
        <v>#DIV/0!</v>
      </c>
      <c r="AI1031" s="1040" t="e">
        <f t="shared" si="501"/>
        <v>#DIV/0!</v>
      </c>
      <c r="AJ1031" s="1040" t="e">
        <f t="shared" si="501"/>
        <v>#DIV/0!</v>
      </c>
      <c r="AK1031" s="1040" t="e">
        <f t="shared" si="501"/>
        <v>#DIV/0!</v>
      </c>
      <c r="AL1031" s="1040" t="e">
        <f t="shared" si="501"/>
        <v>#DIV/0!</v>
      </c>
      <c r="AM1031" s="1040" t="e">
        <f t="shared" si="501"/>
        <v>#DIV/0!</v>
      </c>
      <c r="AN1031" s="1040" t="e">
        <f t="shared" si="501"/>
        <v>#DIV/0!</v>
      </c>
      <c r="AO1031" s="1040" t="e">
        <f t="shared" si="501"/>
        <v>#DIV/0!</v>
      </c>
      <c r="AP1031" s="1040" t="e">
        <f t="shared" si="501"/>
        <v>#DIV/0!</v>
      </c>
      <c r="AQ1031" s="1040" t="e">
        <f t="shared" si="501"/>
        <v>#DIV/0!</v>
      </c>
      <c r="AR1031" s="1040" t="e">
        <f t="shared" si="501"/>
        <v>#DIV/0!</v>
      </c>
      <c r="AS1031" s="1040" t="e">
        <f t="shared" ref="AS1031:AY1031" si="502">IF(AS231="",0,IF(OR(1=RANK(AS631,AS$412:AS$790,0),(2=RANK(AS631,AS$412:AS$790,0))),AS631,AS231))</f>
        <v>#DIV/0!</v>
      </c>
      <c r="AT1031" s="1040" t="e">
        <f t="shared" si="502"/>
        <v>#DIV/0!</v>
      </c>
      <c r="AU1031" s="1040">
        <f t="shared" si="502"/>
        <v>0</v>
      </c>
      <c r="AV1031" s="1040" t="e">
        <f t="shared" si="502"/>
        <v>#DIV/0!</v>
      </c>
      <c r="AW1031" s="1040" t="e">
        <f t="shared" si="502"/>
        <v>#DIV/0!</v>
      </c>
      <c r="AX1031" s="1040" t="e">
        <f t="shared" si="502"/>
        <v>#DIV/0!</v>
      </c>
      <c r="AY1031" s="1040" t="e">
        <f t="shared" si="502"/>
        <v>#DIV/0!</v>
      </c>
      <c r="AZ1031" s="1061" t="s">
        <v>21</v>
      </c>
      <c r="BC1031" s="29"/>
      <c r="BD1031" s="29"/>
      <c r="BE1031" s="13"/>
      <c r="BL1031" s="368"/>
    </row>
    <row r="1032" spans="1:64" ht="12" customHeight="1" x14ac:dyDescent="0.2">
      <c r="A1032" s="39">
        <f>acute_overview_children!A232</f>
        <v>4</v>
      </c>
      <c r="B1032" s="23">
        <f t="shared" si="445"/>
        <v>401130</v>
      </c>
      <c r="C1032" s="23" t="str">
        <f t="shared" si="446"/>
        <v>Gold of pleasure seeds</v>
      </c>
      <c r="D1032" s="135"/>
      <c r="E1032" s="1027"/>
      <c r="F1032" s="87"/>
      <c r="G1032" s="87"/>
      <c r="H1032" s="1027"/>
      <c r="I1032" s="1030"/>
      <c r="J1032" s="1039" t="e">
        <f t="shared" ref="J1032:AR1032" si="503">IF(J232="",0,IF(OR(1=RANK(J632,J$412:J$790,0),(2=RANK(J632,J$412:J$790,0))),J632,J232))</f>
        <v>#DIV/0!</v>
      </c>
      <c r="K1032" s="1040" t="e">
        <f t="shared" si="503"/>
        <v>#DIV/0!</v>
      </c>
      <c r="L1032" s="1040" t="e">
        <f t="shared" si="503"/>
        <v>#DIV/0!</v>
      </c>
      <c r="M1032" s="1040" t="e">
        <f t="shared" si="503"/>
        <v>#DIV/0!</v>
      </c>
      <c r="N1032" s="1040" t="e">
        <f t="shared" si="503"/>
        <v>#DIV/0!</v>
      </c>
      <c r="O1032" s="1040" t="e">
        <f t="shared" si="503"/>
        <v>#DIV/0!</v>
      </c>
      <c r="P1032" s="1040" t="e">
        <f t="shared" si="503"/>
        <v>#DIV/0!</v>
      </c>
      <c r="Q1032" s="1040" t="e">
        <f t="shared" si="503"/>
        <v>#DIV/0!</v>
      </c>
      <c r="R1032" s="1040" t="e">
        <f t="shared" si="503"/>
        <v>#DIV/0!</v>
      </c>
      <c r="S1032" s="1040" t="e">
        <f t="shared" si="503"/>
        <v>#DIV/0!</v>
      </c>
      <c r="T1032" s="1040" t="e">
        <f t="shared" si="503"/>
        <v>#DIV/0!</v>
      </c>
      <c r="U1032" s="1040" t="e">
        <f t="shared" si="503"/>
        <v>#DIV/0!</v>
      </c>
      <c r="V1032" s="1040" t="e">
        <f t="shared" si="503"/>
        <v>#DIV/0!</v>
      </c>
      <c r="W1032" s="1040" t="e">
        <f t="shared" si="503"/>
        <v>#DIV/0!</v>
      </c>
      <c r="X1032" s="1040" t="e">
        <f t="shared" si="503"/>
        <v>#DIV/0!</v>
      </c>
      <c r="Y1032" s="1040" t="e">
        <f t="shared" si="503"/>
        <v>#DIV/0!</v>
      </c>
      <c r="Z1032" s="1040" t="e">
        <f t="shared" si="503"/>
        <v>#DIV/0!</v>
      </c>
      <c r="AA1032" s="1040" t="e">
        <f t="shared" si="503"/>
        <v>#DIV/0!</v>
      </c>
      <c r="AB1032" s="1040" t="e">
        <f t="shared" si="503"/>
        <v>#DIV/0!</v>
      </c>
      <c r="AC1032" s="1040" t="e">
        <f t="shared" si="503"/>
        <v>#DIV/0!</v>
      </c>
      <c r="AD1032" s="1040" t="e">
        <f t="shared" si="503"/>
        <v>#DIV/0!</v>
      </c>
      <c r="AE1032" s="1040" t="e">
        <f t="shared" si="503"/>
        <v>#DIV/0!</v>
      </c>
      <c r="AF1032" s="1040" t="e">
        <f t="shared" si="503"/>
        <v>#DIV/0!</v>
      </c>
      <c r="AG1032" s="1040" t="e">
        <f t="shared" si="503"/>
        <v>#DIV/0!</v>
      </c>
      <c r="AH1032" s="1040" t="e">
        <f t="shared" si="503"/>
        <v>#DIV/0!</v>
      </c>
      <c r="AI1032" s="1040" t="e">
        <f t="shared" si="503"/>
        <v>#DIV/0!</v>
      </c>
      <c r="AJ1032" s="1040" t="e">
        <f t="shared" si="503"/>
        <v>#DIV/0!</v>
      </c>
      <c r="AK1032" s="1040" t="e">
        <f t="shared" si="503"/>
        <v>#DIV/0!</v>
      </c>
      <c r="AL1032" s="1040" t="e">
        <f t="shared" si="503"/>
        <v>#DIV/0!</v>
      </c>
      <c r="AM1032" s="1040" t="e">
        <f t="shared" si="503"/>
        <v>#DIV/0!</v>
      </c>
      <c r="AN1032" s="1040" t="e">
        <f t="shared" si="503"/>
        <v>#DIV/0!</v>
      </c>
      <c r="AO1032" s="1040" t="e">
        <f t="shared" si="503"/>
        <v>#DIV/0!</v>
      </c>
      <c r="AP1032" s="1040" t="e">
        <f t="shared" si="503"/>
        <v>#DIV/0!</v>
      </c>
      <c r="AQ1032" s="1040" t="e">
        <f t="shared" si="503"/>
        <v>#DIV/0!</v>
      </c>
      <c r="AR1032" s="1040" t="e">
        <f t="shared" si="503"/>
        <v>#DIV/0!</v>
      </c>
      <c r="AS1032" s="1040" t="e">
        <f t="shared" ref="AS1032:AY1032" si="504">IF(AS232="",0,IF(OR(1=RANK(AS632,AS$412:AS$790,0),(2=RANK(AS632,AS$412:AS$790,0))),AS632,AS232))</f>
        <v>#DIV/0!</v>
      </c>
      <c r="AT1032" s="1040" t="e">
        <f t="shared" si="504"/>
        <v>#DIV/0!</v>
      </c>
      <c r="AU1032" s="1040">
        <f t="shared" si="504"/>
        <v>0</v>
      </c>
      <c r="AV1032" s="1040" t="e">
        <f t="shared" si="504"/>
        <v>#DIV/0!</v>
      </c>
      <c r="AW1032" s="1040" t="e">
        <f t="shared" si="504"/>
        <v>#DIV/0!</v>
      </c>
      <c r="AX1032" s="1040" t="e">
        <f t="shared" si="504"/>
        <v>#DIV/0!</v>
      </c>
      <c r="AY1032" s="1040" t="e">
        <f t="shared" si="504"/>
        <v>#DIV/0!</v>
      </c>
      <c r="AZ1032" s="1061" t="s">
        <v>21</v>
      </c>
      <c r="BC1032" s="29"/>
      <c r="BD1032" s="29"/>
      <c r="BE1032" s="13"/>
      <c r="BL1032" s="368"/>
    </row>
    <row r="1033" spans="1:64" ht="12" customHeight="1" x14ac:dyDescent="0.2">
      <c r="A1033" s="39">
        <f>acute_overview_children!A233</f>
        <v>4</v>
      </c>
      <c r="B1033" s="23">
        <f t="shared" si="445"/>
        <v>401140</v>
      </c>
      <c r="C1033" s="23" t="str">
        <f t="shared" si="446"/>
        <v>Hemp seeds</v>
      </c>
      <c r="D1033" s="135"/>
      <c r="E1033" s="1027"/>
      <c r="F1033" s="87"/>
      <c r="G1033" s="87"/>
      <c r="H1033" s="1027"/>
      <c r="I1033" s="1030"/>
      <c r="J1033" s="1039" t="e">
        <f t="shared" ref="J1033:AR1033" si="505">IF(J233="",0,IF(OR(1=RANK(J633,J$412:J$790,0),(2=RANK(J633,J$412:J$790,0))),J633,J233))</f>
        <v>#DIV/0!</v>
      </c>
      <c r="K1033" s="1040" t="e">
        <f t="shared" si="505"/>
        <v>#DIV/0!</v>
      </c>
      <c r="L1033" s="1040" t="e">
        <f t="shared" si="505"/>
        <v>#DIV/0!</v>
      </c>
      <c r="M1033" s="1040" t="e">
        <f t="shared" si="505"/>
        <v>#DIV/0!</v>
      </c>
      <c r="N1033" s="1040" t="e">
        <f t="shared" si="505"/>
        <v>#DIV/0!</v>
      </c>
      <c r="O1033" s="1040" t="e">
        <f t="shared" si="505"/>
        <v>#DIV/0!</v>
      </c>
      <c r="P1033" s="1040" t="e">
        <f t="shared" si="505"/>
        <v>#DIV/0!</v>
      </c>
      <c r="Q1033" s="1040" t="e">
        <f t="shared" si="505"/>
        <v>#DIV/0!</v>
      </c>
      <c r="R1033" s="1040" t="e">
        <f t="shared" si="505"/>
        <v>#DIV/0!</v>
      </c>
      <c r="S1033" s="1040" t="e">
        <f t="shared" si="505"/>
        <v>#DIV/0!</v>
      </c>
      <c r="T1033" s="1040" t="e">
        <f t="shared" si="505"/>
        <v>#DIV/0!</v>
      </c>
      <c r="U1033" s="1040" t="e">
        <f t="shared" si="505"/>
        <v>#DIV/0!</v>
      </c>
      <c r="V1033" s="1040" t="e">
        <f t="shared" si="505"/>
        <v>#DIV/0!</v>
      </c>
      <c r="W1033" s="1040" t="e">
        <f t="shared" si="505"/>
        <v>#DIV/0!</v>
      </c>
      <c r="X1033" s="1040" t="e">
        <f t="shared" si="505"/>
        <v>#DIV/0!</v>
      </c>
      <c r="Y1033" s="1040" t="e">
        <f t="shared" si="505"/>
        <v>#DIV/0!</v>
      </c>
      <c r="Z1033" s="1040" t="e">
        <f t="shared" si="505"/>
        <v>#DIV/0!</v>
      </c>
      <c r="AA1033" s="1040" t="e">
        <f t="shared" si="505"/>
        <v>#DIV/0!</v>
      </c>
      <c r="AB1033" s="1040" t="e">
        <f t="shared" si="505"/>
        <v>#DIV/0!</v>
      </c>
      <c r="AC1033" s="1040" t="e">
        <f t="shared" si="505"/>
        <v>#DIV/0!</v>
      </c>
      <c r="AD1033" s="1040" t="e">
        <f t="shared" si="505"/>
        <v>#DIV/0!</v>
      </c>
      <c r="AE1033" s="1040" t="e">
        <f t="shared" si="505"/>
        <v>#DIV/0!</v>
      </c>
      <c r="AF1033" s="1040" t="e">
        <f t="shared" si="505"/>
        <v>#DIV/0!</v>
      </c>
      <c r="AG1033" s="1040" t="e">
        <f t="shared" si="505"/>
        <v>#DIV/0!</v>
      </c>
      <c r="AH1033" s="1040" t="e">
        <f t="shared" si="505"/>
        <v>#DIV/0!</v>
      </c>
      <c r="AI1033" s="1040" t="e">
        <f t="shared" si="505"/>
        <v>#DIV/0!</v>
      </c>
      <c r="AJ1033" s="1040" t="e">
        <f t="shared" si="505"/>
        <v>#DIV/0!</v>
      </c>
      <c r="AK1033" s="1040" t="e">
        <f t="shared" si="505"/>
        <v>#DIV/0!</v>
      </c>
      <c r="AL1033" s="1040" t="e">
        <f t="shared" si="505"/>
        <v>#DIV/0!</v>
      </c>
      <c r="AM1033" s="1040" t="e">
        <f t="shared" si="505"/>
        <v>#DIV/0!</v>
      </c>
      <c r="AN1033" s="1040" t="e">
        <f t="shared" si="505"/>
        <v>#DIV/0!</v>
      </c>
      <c r="AO1033" s="1040" t="e">
        <f t="shared" si="505"/>
        <v>#DIV/0!</v>
      </c>
      <c r="AP1033" s="1040" t="e">
        <f t="shared" si="505"/>
        <v>#DIV/0!</v>
      </c>
      <c r="AQ1033" s="1040" t="e">
        <f t="shared" si="505"/>
        <v>#DIV/0!</v>
      </c>
      <c r="AR1033" s="1040" t="e">
        <f t="shared" si="505"/>
        <v>#DIV/0!</v>
      </c>
      <c r="AS1033" s="1040" t="e">
        <f t="shared" ref="AS1033:AY1033" si="506">IF(AS233="",0,IF(OR(1=RANK(AS633,AS$412:AS$790,0),(2=RANK(AS633,AS$412:AS$790,0))),AS633,AS233))</f>
        <v>#DIV/0!</v>
      </c>
      <c r="AT1033" s="1040" t="e">
        <f t="shared" si="506"/>
        <v>#DIV/0!</v>
      </c>
      <c r="AU1033" s="1040">
        <f t="shared" si="506"/>
        <v>0</v>
      </c>
      <c r="AV1033" s="1040" t="e">
        <f t="shared" si="506"/>
        <v>#DIV/0!</v>
      </c>
      <c r="AW1033" s="1040" t="e">
        <f t="shared" si="506"/>
        <v>#DIV/0!</v>
      </c>
      <c r="AX1033" s="1040" t="e">
        <f t="shared" si="506"/>
        <v>#DIV/0!</v>
      </c>
      <c r="AY1033" s="1040" t="e">
        <f t="shared" si="506"/>
        <v>#DIV/0!</v>
      </c>
      <c r="AZ1033" s="1061" t="s">
        <v>21</v>
      </c>
      <c r="BC1033" s="29"/>
      <c r="BD1033" s="29"/>
      <c r="BE1033" s="13"/>
      <c r="BL1033" s="368"/>
    </row>
    <row r="1034" spans="1:64" ht="12" customHeight="1" x14ac:dyDescent="0.2">
      <c r="A1034" s="39">
        <f>acute_overview_children!A234</f>
        <v>4</v>
      </c>
      <c r="B1034" s="23">
        <f t="shared" si="445"/>
        <v>401150</v>
      </c>
      <c r="C1034" s="23" t="str">
        <f t="shared" si="446"/>
        <v>Castor beans</v>
      </c>
      <c r="D1034" s="135"/>
      <c r="E1034" s="1027"/>
      <c r="F1034" s="87"/>
      <c r="G1034" s="87"/>
      <c r="H1034" s="1027"/>
      <c r="I1034" s="1030"/>
      <c r="J1034" s="1039" t="e">
        <f t="shared" ref="J1034:AR1034" si="507">IF(J234="",0,IF(OR(1=RANK(J634,J$412:J$790,0),(2=RANK(J634,J$412:J$790,0))),J634,J234))</f>
        <v>#DIV/0!</v>
      </c>
      <c r="K1034" s="1040" t="e">
        <f t="shared" si="507"/>
        <v>#DIV/0!</v>
      </c>
      <c r="L1034" s="1040" t="e">
        <f t="shared" si="507"/>
        <v>#DIV/0!</v>
      </c>
      <c r="M1034" s="1040" t="e">
        <f t="shared" si="507"/>
        <v>#DIV/0!</v>
      </c>
      <c r="N1034" s="1040" t="e">
        <f t="shared" si="507"/>
        <v>#DIV/0!</v>
      </c>
      <c r="O1034" s="1040" t="e">
        <f t="shared" si="507"/>
        <v>#DIV/0!</v>
      </c>
      <c r="P1034" s="1040" t="e">
        <f t="shared" si="507"/>
        <v>#DIV/0!</v>
      </c>
      <c r="Q1034" s="1040" t="e">
        <f t="shared" si="507"/>
        <v>#DIV/0!</v>
      </c>
      <c r="R1034" s="1040" t="e">
        <f t="shared" si="507"/>
        <v>#DIV/0!</v>
      </c>
      <c r="S1034" s="1040" t="e">
        <f t="shared" si="507"/>
        <v>#DIV/0!</v>
      </c>
      <c r="T1034" s="1040" t="e">
        <f t="shared" si="507"/>
        <v>#DIV/0!</v>
      </c>
      <c r="U1034" s="1040" t="e">
        <f t="shared" si="507"/>
        <v>#DIV/0!</v>
      </c>
      <c r="V1034" s="1040" t="e">
        <f t="shared" si="507"/>
        <v>#DIV/0!</v>
      </c>
      <c r="W1034" s="1040" t="e">
        <f t="shared" si="507"/>
        <v>#DIV/0!</v>
      </c>
      <c r="X1034" s="1040" t="e">
        <f t="shared" si="507"/>
        <v>#DIV/0!</v>
      </c>
      <c r="Y1034" s="1040" t="e">
        <f t="shared" si="507"/>
        <v>#DIV/0!</v>
      </c>
      <c r="Z1034" s="1040" t="e">
        <f t="shared" si="507"/>
        <v>#DIV/0!</v>
      </c>
      <c r="AA1034" s="1040" t="e">
        <f t="shared" si="507"/>
        <v>#DIV/0!</v>
      </c>
      <c r="AB1034" s="1040" t="e">
        <f t="shared" si="507"/>
        <v>#DIV/0!</v>
      </c>
      <c r="AC1034" s="1040" t="e">
        <f t="shared" si="507"/>
        <v>#DIV/0!</v>
      </c>
      <c r="AD1034" s="1040" t="e">
        <f t="shared" si="507"/>
        <v>#DIV/0!</v>
      </c>
      <c r="AE1034" s="1040" t="e">
        <f t="shared" si="507"/>
        <v>#DIV/0!</v>
      </c>
      <c r="AF1034" s="1040" t="e">
        <f t="shared" si="507"/>
        <v>#DIV/0!</v>
      </c>
      <c r="AG1034" s="1040" t="e">
        <f t="shared" si="507"/>
        <v>#DIV/0!</v>
      </c>
      <c r="AH1034" s="1040" t="e">
        <f t="shared" si="507"/>
        <v>#DIV/0!</v>
      </c>
      <c r="AI1034" s="1040" t="e">
        <f t="shared" si="507"/>
        <v>#DIV/0!</v>
      </c>
      <c r="AJ1034" s="1040" t="e">
        <f t="shared" si="507"/>
        <v>#DIV/0!</v>
      </c>
      <c r="AK1034" s="1040" t="e">
        <f t="shared" si="507"/>
        <v>#DIV/0!</v>
      </c>
      <c r="AL1034" s="1040" t="e">
        <f t="shared" si="507"/>
        <v>#DIV/0!</v>
      </c>
      <c r="AM1034" s="1040" t="e">
        <f t="shared" si="507"/>
        <v>#DIV/0!</v>
      </c>
      <c r="AN1034" s="1040" t="e">
        <f t="shared" si="507"/>
        <v>#DIV/0!</v>
      </c>
      <c r="AO1034" s="1040" t="e">
        <f t="shared" si="507"/>
        <v>#DIV/0!</v>
      </c>
      <c r="AP1034" s="1040" t="e">
        <f t="shared" si="507"/>
        <v>#DIV/0!</v>
      </c>
      <c r="AQ1034" s="1040" t="e">
        <f t="shared" si="507"/>
        <v>#DIV/0!</v>
      </c>
      <c r="AR1034" s="1040" t="e">
        <f t="shared" si="507"/>
        <v>#DIV/0!</v>
      </c>
      <c r="AS1034" s="1040" t="e">
        <f t="shared" ref="AS1034:AY1034" si="508">IF(AS234="",0,IF(OR(1=RANK(AS634,AS$412:AS$790,0),(2=RANK(AS634,AS$412:AS$790,0))),AS634,AS234))</f>
        <v>#DIV/0!</v>
      </c>
      <c r="AT1034" s="1040" t="e">
        <f t="shared" si="508"/>
        <v>#DIV/0!</v>
      </c>
      <c r="AU1034" s="1040">
        <f t="shared" si="508"/>
        <v>0</v>
      </c>
      <c r="AV1034" s="1040" t="e">
        <f t="shared" si="508"/>
        <v>#DIV/0!</v>
      </c>
      <c r="AW1034" s="1040" t="e">
        <f t="shared" si="508"/>
        <v>#DIV/0!</v>
      </c>
      <c r="AX1034" s="1040" t="e">
        <f t="shared" si="508"/>
        <v>#DIV/0!</v>
      </c>
      <c r="AY1034" s="1040" t="e">
        <f t="shared" si="508"/>
        <v>#DIV/0!</v>
      </c>
      <c r="AZ1034" s="1061" t="s">
        <v>21</v>
      </c>
      <c r="BC1034" s="29"/>
      <c r="BD1034" s="29"/>
      <c r="BE1034" s="13"/>
      <c r="BL1034" s="368"/>
    </row>
    <row r="1035" spans="1:64" ht="12" customHeight="1" x14ac:dyDescent="0.2">
      <c r="A1035" s="39">
        <f>acute_overview_children!A235</f>
        <v>4</v>
      </c>
      <c r="B1035" s="23">
        <f t="shared" si="445"/>
        <v>401990</v>
      </c>
      <c r="C1035" s="23" t="str">
        <f t="shared" si="446"/>
        <v>Other oilseeds</v>
      </c>
      <c r="D1035" s="135"/>
      <c r="E1035" s="1027"/>
      <c r="F1035" s="87"/>
      <c r="G1035" s="87"/>
      <c r="H1035" s="1027"/>
      <c r="I1035" s="1030"/>
      <c r="J1035" s="1039" t="e">
        <f t="shared" ref="J1035:AR1035" si="509">IF(J235="",0,IF(OR(1=RANK(J635,J$412:J$790,0),(2=RANK(J635,J$412:J$790,0))),J635,J235))</f>
        <v>#DIV/0!</v>
      </c>
      <c r="K1035" s="1040" t="e">
        <f t="shared" si="509"/>
        <v>#DIV/0!</v>
      </c>
      <c r="L1035" s="1040" t="e">
        <f t="shared" si="509"/>
        <v>#DIV/0!</v>
      </c>
      <c r="M1035" s="1040" t="e">
        <f t="shared" si="509"/>
        <v>#DIV/0!</v>
      </c>
      <c r="N1035" s="1040" t="e">
        <f t="shared" si="509"/>
        <v>#DIV/0!</v>
      </c>
      <c r="O1035" s="1040" t="e">
        <f t="shared" si="509"/>
        <v>#DIV/0!</v>
      </c>
      <c r="P1035" s="1040" t="e">
        <f t="shared" si="509"/>
        <v>#DIV/0!</v>
      </c>
      <c r="Q1035" s="1040" t="e">
        <f t="shared" si="509"/>
        <v>#DIV/0!</v>
      </c>
      <c r="R1035" s="1040" t="e">
        <f t="shared" si="509"/>
        <v>#DIV/0!</v>
      </c>
      <c r="S1035" s="1040" t="e">
        <f t="shared" si="509"/>
        <v>#DIV/0!</v>
      </c>
      <c r="T1035" s="1040" t="e">
        <f t="shared" si="509"/>
        <v>#DIV/0!</v>
      </c>
      <c r="U1035" s="1040" t="e">
        <f t="shared" si="509"/>
        <v>#DIV/0!</v>
      </c>
      <c r="V1035" s="1040" t="e">
        <f t="shared" si="509"/>
        <v>#DIV/0!</v>
      </c>
      <c r="W1035" s="1040" t="e">
        <f t="shared" si="509"/>
        <v>#DIV/0!</v>
      </c>
      <c r="X1035" s="1040" t="e">
        <f t="shared" si="509"/>
        <v>#DIV/0!</v>
      </c>
      <c r="Y1035" s="1040" t="e">
        <f t="shared" si="509"/>
        <v>#DIV/0!</v>
      </c>
      <c r="Z1035" s="1040" t="e">
        <f t="shared" si="509"/>
        <v>#DIV/0!</v>
      </c>
      <c r="AA1035" s="1040" t="e">
        <f t="shared" si="509"/>
        <v>#DIV/0!</v>
      </c>
      <c r="AB1035" s="1040" t="e">
        <f t="shared" si="509"/>
        <v>#DIV/0!</v>
      </c>
      <c r="AC1035" s="1040" t="e">
        <f t="shared" si="509"/>
        <v>#DIV/0!</v>
      </c>
      <c r="AD1035" s="1040" t="e">
        <f t="shared" si="509"/>
        <v>#DIV/0!</v>
      </c>
      <c r="AE1035" s="1040" t="e">
        <f t="shared" si="509"/>
        <v>#DIV/0!</v>
      </c>
      <c r="AF1035" s="1040" t="e">
        <f t="shared" si="509"/>
        <v>#DIV/0!</v>
      </c>
      <c r="AG1035" s="1040" t="e">
        <f t="shared" si="509"/>
        <v>#DIV/0!</v>
      </c>
      <c r="AH1035" s="1040" t="e">
        <f t="shared" si="509"/>
        <v>#DIV/0!</v>
      </c>
      <c r="AI1035" s="1040" t="e">
        <f t="shared" si="509"/>
        <v>#DIV/0!</v>
      </c>
      <c r="AJ1035" s="1040" t="e">
        <f t="shared" si="509"/>
        <v>#DIV/0!</v>
      </c>
      <c r="AK1035" s="1040" t="e">
        <f t="shared" si="509"/>
        <v>#DIV/0!</v>
      </c>
      <c r="AL1035" s="1040" t="e">
        <f t="shared" si="509"/>
        <v>#DIV/0!</v>
      </c>
      <c r="AM1035" s="1040" t="e">
        <f t="shared" si="509"/>
        <v>#DIV/0!</v>
      </c>
      <c r="AN1035" s="1040" t="e">
        <f t="shared" si="509"/>
        <v>#DIV/0!</v>
      </c>
      <c r="AO1035" s="1040" t="e">
        <f t="shared" si="509"/>
        <v>#DIV/0!</v>
      </c>
      <c r="AP1035" s="1040" t="e">
        <f t="shared" si="509"/>
        <v>#DIV/0!</v>
      </c>
      <c r="AQ1035" s="1040" t="e">
        <f t="shared" si="509"/>
        <v>#DIV/0!</v>
      </c>
      <c r="AR1035" s="1040" t="e">
        <f t="shared" si="509"/>
        <v>#DIV/0!</v>
      </c>
      <c r="AS1035" s="1040" t="e">
        <f t="shared" ref="AS1035:AY1035" si="510">IF(AS235="",0,IF(OR(1=RANK(AS635,AS$412:AS$790,0),(2=RANK(AS635,AS$412:AS$790,0))),AS635,AS235))</f>
        <v>#DIV/0!</v>
      </c>
      <c r="AT1035" s="1040" t="e">
        <f t="shared" si="510"/>
        <v>#DIV/0!</v>
      </c>
      <c r="AU1035" s="1040">
        <f t="shared" si="510"/>
        <v>0</v>
      </c>
      <c r="AV1035" s="1040" t="e">
        <f t="shared" si="510"/>
        <v>#DIV/0!</v>
      </c>
      <c r="AW1035" s="1040" t="e">
        <f t="shared" si="510"/>
        <v>#DIV/0!</v>
      </c>
      <c r="AX1035" s="1040" t="e">
        <f t="shared" si="510"/>
        <v>#DIV/0!</v>
      </c>
      <c r="AY1035" s="1040" t="e">
        <f t="shared" si="510"/>
        <v>#DIV/0!</v>
      </c>
      <c r="AZ1035" s="1061" t="s">
        <v>21</v>
      </c>
      <c r="BC1035" s="29"/>
      <c r="BD1035" s="29"/>
      <c r="BE1035" s="13"/>
      <c r="BL1035" s="368"/>
    </row>
    <row r="1036" spans="1:64" ht="12" customHeight="1" x14ac:dyDescent="0.2">
      <c r="A1036" s="515">
        <f>acute_overview_children!A236</f>
        <v>2</v>
      </c>
      <c r="B1036" s="131">
        <f t="shared" si="445"/>
        <v>402000</v>
      </c>
      <c r="C1036" s="131" t="str">
        <f t="shared" si="446"/>
        <v>Oil fruits</v>
      </c>
      <c r="D1036" s="1035"/>
      <c r="E1036" s="1027"/>
      <c r="F1036" s="87"/>
      <c r="G1036" s="87"/>
      <c r="H1036" s="1027"/>
      <c r="I1036" s="1030"/>
      <c r="J1036" s="1037" t="e">
        <f t="shared" ref="J1036:AR1036" si="511">IF(J236="",0,IF(OR(1=RANK(J636,J$412:J$790,0),(2=RANK(J636,J$412:J$790,0))),J636,J236))</f>
        <v>#DIV/0!</v>
      </c>
      <c r="K1036" s="1038" t="e">
        <f t="shared" si="511"/>
        <v>#DIV/0!</v>
      </c>
      <c r="L1036" s="1038" t="e">
        <f t="shared" si="511"/>
        <v>#DIV/0!</v>
      </c>
      <c r="M1036" s="1038" t="e">
        <f t="shared" si="511"/>
        <v>#DIV/0!</v>
      </c>
      <c r="N1036" s="1038" t="e">
        <f t="shared" si="511"/>
        <v>#DIV/0!</v>
      </c>
      <c r="O1036" s="1038" t="e">
        <f t="shared" si="511"/>
        <v>#DIV/0!</v>
      </c>
      <c r="P1036" s="1038" t="e">
        <f t="shared" si="511"/>
        <v>#DIV/0!</v>
      </c>
      <c r="Q1036" s="1038" t="e">
        <f t="shared" si="511"/>
        <v>#DIV/0!</v>
      </c>
      <c r="R1036" s="1038" t="e">
        <f t="shared" si="511"/>
        <v>#DIV/0!</v>
      </c>
      <c r="S1036" s="1038" t="e">
        <f t="shared" si="511"/>
        <v>#DIV/0!</v>
      </c>
      <c r="T1036" s="1038" t="e">
        <f t="shared" si="511"/>
        <v>#DIV/0!</v>
      </c>
      <c r="U1036" s="1038" t="e">
        <f t="shared" si="511"/>
        <v>#DIV/0!</v>
      </c>
      <c r="V1036" s="1038" t="e">
        <f t="shared" si="511"/>
        <v>#DIV/0!</v>
      </c>
      <c r="W1036" s="1038" t="e">
        <f t="shared" si="511"/>
        <v>#DIV/0!</v>
      </c>
      <c r="X1036" s="1038" t="e">
        <f t="shared" si="511"/>
        <v>#DIV/0!</v>
      </c>
      <c r="Y1036" s="1038" t="e">
        <f t="shared" si="511"/>
        <v>#DIV/0!</v>
      </c>
      <c r="Z1036" s="1038" t="e">
        <f t="shared" si="511"/>
        <v>#DIV/0!</v>
      </c>
      <c r="AA1036" s="1038" t="e">
        <f t="shared" si="511"/>
        <v>#DIV/0!</v>
      </c>
      <c r="AB1036" s="1038" t="e">
        <f t="shared" si="511"/>
        <v>#DIV/0!</v>
      </c>
      <c r="AC1036" s="1038" t="e">
        <f t="shared" si="511"/>
        <v>#DIV/0!</v>
      </c>
      <c r="AD1036" s="1038" t="e">
        <f t="shared" si="511"/>
        <v>#DIV/0!</v>
      </c>
      <c r="AE1036" s="1038" t="e">
        <f t="shared" si="511"/>
        <v>#DIV/0!</v>
      </c>
      <c r="AF1036" s="1038" t="e">
        <f t="shared" si="511"/>
        <v>#DIV/0!</v>
      </c>
      <c r="AG1036" s="1038" t="e">
        <f t="shared" si="511"/>
        <v>#DIV/0!</v>
      </c>
      <c r="AH1036" s="1038" t="e">
        <f t="shared" si="511"/>
        <v>#DIV/0!</v>
      </c>
      <c r="AI1036" s="1038" t="e">
        <f t="shared" si="511"/>
        <v>#DIV/0!</v>
      </c>
      <c r="AJ1036" s="1038" t="e">
        <f t="shared" si="511"/>
        <v>#DIV/0!</v>
      </c>
      <c r="AK1036" s="1038" t="e">
        <f t="shared" si="511"/>
        <v>#DIV/0!</v>
      </c>
      <c r="AL1036" s="1038" t="e">
        <f t="shared" si="511"/>
        <v>#DIV/0!</v>
      </c>
      <c r="AM1036" s="1038" t="e">
        <f t="shared" si="511"/>
        <v>#DIV/0!</v>
      </c>
      <c r="AN1036" s="1038" t="e">
        <f t="shared" si="511"/>
        <v>#DIV/0!</v>
      </c>
      <c r="AO1036" s="1038" t="e">
        <f t="shared" si="511"/>
        <v>#DIV/0!</v>
      </c>
      <c r="AP1036" s="1038" t="e">
        <f t="shared" si="511"/>
        <v>#DIV/0!</v>
      </c>
      <c r="AQ1036" s="1038" t="e">
        <f t="shared" si="511"/>
        <v>#DIV/0!</v>
      </c>
      <c r="AR1036" s="1038" t="e">
        <f t="shared" si="511"/>
        <v>#DIV/0!</v>
      </c>
      <c r="AS1036" s="1038" t="e">
        <f t="shared" ref="AS1036:AY1036" si="512">IF(AS236="",0,IF(OR(1=RANK(AS636,AS$412:AS$790,0),(2=RANK(AS636,AS$412:AS$790,0))),AS636,AS236))</f>
        <v>#DIV/0!</v>
      </c>
      <c r="AT1036" s="1038" t="e">
        <f t="shared" si="512"/>
        <v>#DIV/0!</v>
      </c>
      <c r="AU1036" s="1038">
        <f t="shared" si="512"/>
        <v>0</v>
      </c>
      <c r="AV1036" s="1038" t="e">
        <f t="shared" si="512"/>
        <v>#DIV/0!</v>
      </c>
      <c r="AW1036" s="1038" t="e">
        <f t="shared" si="512"/>
        <v>#DIV/0!</v>
      </c>
      <c r="AX1036" s="1038" t="e">
        <f t="shared" si="512"/>
        <v>#DIV/0!</v>
      </c>
      <c r="AY1036" s="1038" t="e">
        <f t="shared" si="512"/>
        <v>#DIV/0!</v>
      </c>
      <c r="AZ1036" s="1061" t="s">
        <v>21</v>
      </c>
      <c r="BC1036" s="29"/>
      <c r="BD1036" s="29"/>
      <c r="BE1036" s="13"/>
      <c r="BL1036" s="368"/>
    </row>
    <row r="1037" spans="1:64" ht="12" customHeight="1" x14ac:dyDescent="0.2">
      <c r="A1037" s="39">
        <f>acute_overview_children!A237</f>
        <v>4</v>
      </c>
      <c r="B1037" s="23">
        <f t="shared" si="445"/>
        <v>402010</v>
      </c>
      <c r="C1037" s="23" t="str">
        <f t="shared" si="446"/>
        <v>Olives for oil production</v>
      </c>
      <c r="D1037" s="135"/>
      <c r="E1037" s="1027"/>
      <c r="F1037" s="87"/>
      <c r="G1037" s="87"/>
      <c r="H1037" s="1027"/>
      <c r="I1037" s="1030"/>
      <c r="J1037" s="1039" t="e">
        <f t="shared" ref="J1037:AR1037" si="513">IF(J237="",0,IF(OR(1=RANK(J637,J$412:J$790,0),(2=RANK(J637,J$412:J$790,0))),J637,J237))</f>
        <v>#DIV/0!</v>
      </c>
      <c r="K1037" s="1040" t="e">
        <f t="shared" si="513"/>
        <v>#DIV/0!</v>
      </c>
      <c r="L1037" s="1040" t="e">
        <f t="shared" si="513"/>
        <v>#DIV/0!</v>
      </c>
      <c r="M1037" s="1040" t="e">
        <f t="shared" si="513"/>
        <v>#DIV/0!</v>
      </c>
      <c r="N1037" s="1040" t="e">
        <f t="shared" si="513"/>
        <v>#DIV/0!</v>
      </c>
      <c r="O1037" s="1040" t="e">
        <f t="shared" si="513"/>
        <v>#DIV/0!</v>
      </c>
      <c r="P1037" s="1040" t="e">
        <f t="shared" si="513"/>
        <v>#DIV/0!</v>
      </c>
      <c r="Q1037" s="1040" t="e">
        <f t="shared" si="513"/>
        <v>#DIV/0!</v>
      </c>
      <c r="R1037" s="1040" t="e">
        <f t="shared" si="513"/>
        <v>#DIV/0!</v>
      </c>
      <c r="S1037" s="1040" t="e">
        <f t="shared" si="513"/>
        <v>#DIV/0!</v>
      </c>
      <c r="T1037" s="1040" t="e">
        <f t="shared" si="513"/>
        <v>#DIV/0!</v>
      </c>
      <c r="U1037" s="1040" t="e">
        <f t="shared" si="513"/>
        <v>#DIV/0!</v>
      </c>
      <c r="V1037" s="1040" t="e">
        <f t="shared" si="513"/>
        <v>#DIV/0!</v>
      </c>
      <c r="W1037" s="1040" t="e">
        <f t="shared" si="513"/>
        <v>#DIV/0!</v>
      </c>
      <c r="X1037" s="1040" t="e">
        <f t="shared" si="513"/>
        <v>#DIV/0!</v>
      </c>
      <c r="Y1037" s="1040" t="e">
        <f t="shared" si="513"/>
        <v>#DIV/0!</v>
      </c>
      <c r="Z1037" s="1040" t="e">
        <f t="shared" si="513"/>
        <v>#DIV/0!</v>
      </c>
      <c r="AA1037" s="1040" t="e">
        <f t="shared" si="513"/>
        <v>#DIV/0!</v>
      </c>
      <c r="AB1037" s="1040" t="e">
        <f t="shared" si="513"/>
        <v>#DIV/0!</v>
      </c>
      <c r="AC1037" s="1040" t="e">
        <f t="shared" si="513"/>
        <v>#DIV/0!</v>
      </c>
      <c r="AD1037" s="1040" t="e">
        <f t="shared" si="513"/>
        <v>#DIV/0!</v>
      </c>
      <c r="AE1037" s="1040" t="e">
        <f t="shared" si="513"/>
        <v>#DIV/0!</v>
      </c>
      <c r="AF1037" s="1040" t="e">
        <f t="shared" si="513"/>
        <v>#DIV/0!</v>
      </c>
      <c r="AG1037" s="1040" t="e">
        <f t="shared" si="513"/>
        <v>#DIV/0!</v>
      </c>
      <c r="AH1037" s="1040" t="e">
        <f t="shared" si="513"/>
        <v>#DIV/0!</v>
      </c>
      <c r="AI1037" s="1040" t="e">
        <f t="shared" si="513"/>
        <v>#DIV/0!</v>
      </c>
      <c r="AJ1037" s="1040" t="e">
        <f t="shared" si="513"/>
        <v>#DIV/0!</v>
      </c>
      <c r="AK1037" s="1040" t="e">
        <f t="shared" si="513"/>
        <v>#DIV/0!</v>
      </c>
      <c r="AL1037" s="1040" t="e">
        <f t="shared" si="513"/>
        <v>#DIV/0!</v>
      </c>
      <c r="AM1037" s="1040" t="e">
        <f t="shared" si="513"/>
        <v>#DIV/0!</v>
      </c>
      <c r="AN1037" s="1040" t="e">
        <f t="shared" si="513"/>
        <v>#DIV/0!</v>
      </c>
      <c r="AO1037" s="1040" t="e">
        <f t="shared" si="513"/>
        <v>#DIV/0!</v>
      </c>
      <c r="AP1037" s="1040" t="e">
        <f t="shared" si="513"/>
        <v>#DIV/0!</v>
      </c>
      <c r="AQ1037" s="1040" t="e">
        <f t="shared" si="513"/>
        <v>#DIV/0!</v>
      </c>
      <c r="AR1037" s="1040" t="e">
        <f t="shared" si="513"/>
        <v>#DIV/0!</v>
      </c>
      <c r="AS1037" s="1040" t="e">
        <f t="shared" ref="AS1037:AY1037" si="514">IF(AS237="",0,IF(OR(1=RANK(AS637,AS$412:AS$790,0),(2=RANK(AS637,AS$412:AS$790,0))),AS637,AS237))</f>
        <v>#DIV/0!</v>
      </c>
      <c r="AT1037" s="1040" t="e">
        <f t="shared" si="514"/>
        <v>#DIV/0!</v>
      </c>
      <c r="AU1037" s="1040">
        <f t="shared" si="514"/>
        <v>0</v>
      </c>
      <c r="AV1037" s="1040" t="e">
        <f t="shared" si="514"/>
        <v>#DIV/0!</v>
      </c>
      <c r="AW1037" s="1040" t="e">
        <f t="shared" si="514"/>
        <v>#DIV/0!</v>
      </c>
      <c r="AX1037" s="1040" t="e">
        <f t="shared" si="514"/>
        <v>#DIV/0!</v>
      </c>
      <c r="AY1037" s="1040" t="e">
        <f t="shared" si="514"/>
        <v>#DIV/0!</v>
      </c>
      <c r="AZ1037" s="1061" t="s">
        <v>21</v>
      </c>
      <c r="BC1037" s="29"/>
      <c r="BD1037" s="29"/>
      <c r="BE1037" s="13"/>
      <c r="BL1037" s="368"/>
    </row>
    <row r="1038" spans="1:64" ht="12" customHeight="1" x14ac:dyDescent="0.2">
      <c r="A1038" s="39">
        <f>acute_overview_children!A238</f>
        <v>4</v>
      </c>
      <c r="B1038" s="23">
        <f t="shared" si="445"/>
        <v>402020</v>
      </c>
      <c r="C1038" s="23" t="str">
        <f t="shared" si="446"/>
        <v>Oil palm kernels</v>
      </c>
      <c r="D1038" s="135"/>
      <c r="E1038" s="1027"/>
      <c r="F1038" s="87"/>
      <c r="G1038" s="87"/>
      <c r="H1038" s="1027"/>
      <c r="I1038" s="1030"/>
      <c r="J1038" s="1039" t="e">
        <f t="shared" ref="J1038:AR1038" si="515">IF(J238="",0,IF(OR(1=RANK(J638,J$412:J$790,0),(2=RANK(J638,J$412:J$790,0))),J638,J238))</f>
        <v>#DIV/0!</v>
      </c>
      <c r="K1038" s="1040" t="e">
        <f t="shared" si="515"/>
        <v>#DIV/0!</v>
      </c>
      <c r="L1038" s="1040" t="e">
        <f t="shared" si="515"/>
        <v>#DIV/0!</v>
      </c>
      <c r="M1038" s="1040" t="e">
        <f t="shared" si="515"/>
        <v>#DIV/0!</v>
      </c>
      <c r="N1038" s="1040" t="e">
        <f t="shared" si="515"/>
        <v>#DIV/0!</v>
      </c>
      <c r="O1038" s="1040" t="e">
        <f t="shared" si="515"/>
        <v>#DIV/0!</v>
      </c>
      <c r="P1038" s="1040" t="e">
        <f t="shared" si="515"/>
        <v>#DIV/0!</v>
      </c>
      <c r="Q1038" s="1040" t="e">
        <f t="shared" si="515"/>
        <v>#DIV/0!</v>
      </c>
      <c r="R1038" s="1040" t="e">
        <f t="shared" si="515"/>
        <v>#DIV/0!</v>
      </c>
      <c r="S1038" s="1040" t="e">
        <f t="shared" si="515"/>
        <v>#DIV/0!</v>
      </c>
      <c r="T1038" s="1040" t="e">
        <f t="shared" si="515"/>
        <v>#DIV/0!</v>
      </c>
      <c r="U1038" s="1040" t="e">
        <f t="shared" si="515"/>
        <v>#DIV/0!</v>
      </c>
      <c r="V1038" s="1040" t="e">
        <f t="shared" si="515"/>
        <v>#DIV/0!</v>
      </c>
      <c r="W1038" s="1040" t="e">
        <f t="shared" si="515"/>
        <v>#DIV/0!</v>
      </c>
      <c r="X1038" s="1040" t="e">
        <f t="shared" si="515"/>
        <v>#DIV/0!</v>
      </c>
      <c r="Y1038" s="1040" t="e">
        <f t="shared" si="515"/>
        <v>#DIV/0!</v>
      </c>
      <c r="Z1038" s="1040" t="e">
        <f t="shared" si="515"/>
        <v>#DIV/0!</v>
      </c>
      <c r="AA1038" s="1040" t="e">
        <f t="shared" si="515"/>
        <v>#DIV/0!</v>
      </c>
      <c r="AB1038" s="1040" t="e">
        <f t="shared" si="515"/>
        <v>#DIV/0!</v>
      </c>
      <c r="AC1038" s="1040" t="e">
        <f t="shared" si="515"/>
        <v>#DIV/0!</v>
      </c>
      <c r="AD1038" s="1040" t="e">
        <f t="shared" si="515"/>
        <v>#DIV/0!</v>
      </c>
      <c r="AE1038" s="1040" t="e">
        <f t="shared" si="515"/>
        <v>#DIV/0!</v>
      </c>
      <c r="AF1038" s="1040" t="e">
        <f t="shared" si="515"/>
        <v>#DIV/0!</v>
      </c>
      <c r="AG1038" s="1040" t="e">
        <f t="shared" si="515"/>
        <v>#DIV/0!</v>
      </c>
      <c r="AH1038" s="1040" t="e">
        <f t="shared" si="515"/>
        <v>#DIV/0!</v>
      </c>
      <c r="AI1038" s="1040" t="e">
        <f t="shared" si="515"/>
        <v>#DIV/0!</v>
      </c>
      <c r="AJ1038" s="1040" t="e">
        <f t="shared" si="515"/>
        <v>#DIV/0!</v>
      </c>
      <c r="AK1038" s="1040" t="e">
        <f t="shared" si="515"/>
        <v>#DIV/0!</v>
      </c>
      <c r="AL1038" s="1040" t="e">
        <f t="shared" si="515"/>
        <v>#DIV/0!</v>
      </c>
      <c r="AM1038" s="1040" t="e">
        <f t="shared" si="515"/>
        <v>#DIV/0!</v>
      </c>
      <c r="AN1038" s="1040" t="e">
        <f t="shared" si="515"/>
        <v>#DIV/0!</v>
      </c>
      <c r="AO1038" s="1040" t="e">
        <f t="shared" si="515"/>
        <v>#DIV/0!</v>
      </c>
      <c r="AP1038" s="1040" t="e">
        <f t="shared" si="515"/>
        <v>#DIV/0!</v>
      </c>
      <c r="AQ1038" s="1040" t="e">
        <f t="shared" si="515"/>
        <v>#DIV/0!</v>
      </c>
      <c r="AR1038" s="1040" t="e">
        <f t="shared" si="515"/>
        <v>#DIV/0!</v>
      </c>
      <c r="AS1038" s="1040" t="e">
        <f t="shared" ref="AS1038:AY1038" si="516">IF(AS238="",0,IF(OR(1=RANK(AS638,AS$412:AS$790,0),(2=RANK(AS638,AS$412:AS$790,0))),AS638,AS238))</f>
        <v>#DIV/0!</v>
      </c>
      <c r="AT1038" s="1040" t="e">
        <f t="shared" si="516"/>
        <v>#DIV/0!</v>
      </c>
      <c r="AU1038" s="1040">
        <f t="shared" si="516"/>
        <v>0</v>
      </c>
      <c r="AV1038" s="1040" t="e">
        <f t="shared" si="516"/>
        <v>#DIV/0!</v>
      </c>
      <c r="AW1038" s="1040" t="e">
        <f t="shared" si="516"/>
        <v>#DIV/0!</v>
      </c>
      <c r="AX1038" s="1040" t="e">
        <f t="shared" si="516"/>
        <v>#DIV/0!</v>
      </c>
      <c r="AY1038" s="1040" t="e">
        <f t="shared" si="516"/>
        <v>#DIV/0!</v>
      </c>
      <c r="AZ1038" s="1061" t="s">
        <v>21</v>
      </c>
      <c r="BC1038" s="29"/>
      <c r="BD1038" s="29"/>
      <c r="BE1038" s="13"/>
      <c r="BL1038" s="368"/>
    </row>
    <row r="1039" spans="1:64" ht="12" customHeight="1" x14ac:dyDescent="0.2">
      <c r="A1039" s="39">
        <f>acute_overview_children!A239</f>
        <v>4</v>
      </c>
      <c r="B1039" s="23">
        <f t="shared" si="445"/>
        <v>402030</v>
      </c>
      <c r="C1039" s="23" t="str">
        <f t="shared" si="446"/>
        <v>Oil palm fruits</v>
      </c>
      <c r="D1039" s="135"/>
      <c r="E1039" s="1027"/>
      <c r="F1039" s="87"/>
      <c r="G1039" s="87"/>
      <c r="H1039" s="1027"/>
      <c r="I1039" s="1030"/>
      <c r="J1039" s="1039" t="e">
        <f t="shared" ref="J1039:AR1039" si="517">IF(J239="",0,IF(OR(1=RANK(J639,J$412:J$790,0),(2=RANK(J639,J$412:J$790,0))),J639,J239))</f>
        <v>#DIV/0!</v>
      </c>
      <c r="K1039" s="1040" t="e">
        <f t="shared" si="517"/>
        <v>#DIV/0!</v>
      </c>
      <c r="L1039" s="1040" t="e">
        <f t="shared" si="517"/>
        <v>#DIV/0!</v>
      </c>
      <c r="M1039" s="1040" t="e">
        <f t="shared" si="517"/>
        <v>#DIV/0!</v>
      </c>
      <c r="N1039" s="1040" t="e">
        <f t="shared" si="517"/>
        <v>#DIV/0!</v>
      </c>
      <c r="O1039" s="1040" t="e">
        <f t="shared" si="517"/>
        <v>#DIV/0!</v>
      </c>
      <c r="P1039" s="1040" t="e">
        <f t="shared" si="517"/>
        <v>#DIV/0!</v>
      </c>
      <c r="Q1039" s="1040" t="e">
        <f t="shared" si="517"/>
        <v>#DIV/0!</v>
      </c>
      <c r="R1039" s="1040" t="e">
        <f t="shared" si="517"/>
        <v>#DIV/0!</v>
      </c>
      <c r="S1039" s="1040" t="e">
        <f t="shared" si="517"/>
        <v>#DIV/0!</v>
      </c>
      <c r="T1039" s="1040" t="e">
        <f t="shared" si="517"/>
        <v>#DIV/0!</v>
      </c>
      <c r="U1039" s="1040" t="e">
        <f t="shared" si="517"/>
        <v>#DIV/0!</v>
      </c>
      <c r="V1039" s="1040" t="e">
        <f t="shared" si="517"/>
        <v>#DIV/0!</v>
      </c>
      <c r="W1039" s="1040" t="e">
        <f t="shared" si="517"/>
        <v>#DIV/0!</v>
      </c>
      <c r="X1039" s="1040" t="e">
        <f t="shared" si="517"/>
        <v>#DIV/0!</v>
      </c>
      <c r="Y1039" s="1040" t="e">
        <f t="shared" si="517"/>
        <v>#DIV/0!</v>
      </c>
      <c r="Z1039" s="1040" t="e">
        <f t="shared" si="517"/>
        <v>#DIV/0!</v>
      </c>
      <c r="AA1039" s="1040" t="e">
        <f t="shared" si="517"/>
        <v>#DIV/0!</v>
      </c>
      <c r="AB1039" s="1040" t="e">
        <f t="shared" si="517"/>
        <v>#DIV/0!</v>
      </c>
      <c r="AC1039" s="1040" t="e">
        <f t="shared" si="517"/>
        <v>#DIV/0!</v>
      </c>
      <c r="AD1039" s="1040" t="e">
        <f t="shared" si="517"/>
        <v>#DIV/0!</v>
      </c>
      <c r="AE1039" s="1040" t="e">
        <f t="shared" si="517"/>
        <v>#DIV/0!</v>
      </c>
      <c r="AF1039" s="1040" t="e">
        <f t="shared" si="517"/>
        <v>#DIV/0!</v>
      </c>
      <c r="AG1039" s="1040" t="e">
        <f t="shared" si="517"/>
        <v>#DIV/0!</v>
      </c>
      <c r="AH1039" s="1040" t="e">
        <f t="shared" si="517"/>
        <v>#DIV/0!</v>
      </c>
      <c r="AI1039" s="1040" t="e">
        <f t="shared" si="517"/>
        <v>#DIV/0!</v>
      </c>
      <c r="AJ1039" s="1040" t="e">
        <f t="shared" si="517"/>
        <v>#DIV/0!</v>
      </c>
      <c r="AK1039" s="1040" t="e">
        <f t="shared" si="517"/>
        <v>#DIV/0!</v>
      </c>
      <c r="AL1039" s="1040" t="e">
        <f t="shared" si="517"/>
        <v>#DIV/0!</v>
      </c>
      <c r="AM1039" s="1040" t="e">
        <f t="shared" si="517"/>
        <v>#DIV/0!</v>
      </c>
      <c r="AN1039" s="1040" t="e">
        <f t="shared" si="517"/>
        <v>#DIV/0!</v>
      </c>
      <c r="AO1039" s="1040" t="e">
        <f t="shared" si="517"/>
        <v>#DIV/0!</v>
      </c>
      <c r="AP1039" s="1040" t="e">
        <f t="shared" si="517"/>
        <v>#DIV/0!</v>
      </c>
      <c r="AQ1039" s="1040" t="e">
        <f t="shared" si="517"/>
        <v>#DIV/0!</v>
      </c>
      <c r="AR1039" s="1040" t="e">
        <f t="shared" si="517"/>
        <v>#DIV/0!</v>
      </c>
      <c r="AS1039" s="1040" t="e">
        <f t="shared" ref="AS1039:AY1039" si="518">IF(AS239="",0,IF(OR(1=RANK(AS639,AS$412:AS$790,0),(2=RANK(AS639,AS$412:AS$790,0))),AS639,AS239))</f>
        <v>#DIV/0!</v>
      </c>
      <c r="AT1039" s="1040" t="e">
        <f t="shared" si="518"/>
        <v>#DIV/0!</v>
      </c>
      <c r="AU1039" s="1040">
        <f t="shared" si="518"/>
        <v>0</v>
      </c>
      <c r="AV1039" s="1040" t="e">
        <f t="shared" si="518"/>
        <v>#DIV/0!</v>
      </c>
      <c r="AW1039" s="1040" t="e">
        <f t="shared" si="518"/>
        <v>#DIV/0!</v>
      </c>
      <c r="AX1039" s="1040" t="e">
        <f t="shared" si="518"/>
        <v>#DIV/0!</v>
      </c>
      <c r="AY1039" s="1040" t="e">
        <f t="shared" si="518"/>
        <v>#DIV/0!</v>
      </c>
      <c r="AZ1039" s="1061" t="s">
        <v>21</v>
      </c>
      <c r="BC1039" s="29"/>
      <c r="BD1039" s="29"/>
      <c r="BE1039" s="13"/>
      <c r="BL1039" s="368"/>
    </row>
    <row r="1040" spans="1:64" ht="12" customHeight="1" x14ac:dyDescent="0.2">
      <c r="A1040" s="39">
        <f>acute_overview_children!A240</f>
        <v>4</v>
      </c>
      <c r="B1040" s="23">
        <f t="shared" si="445"/>
        <v>402040</v>
      </c>
      <c r="C1040" s="23" t="str">
        <f t="shared" si="446"/>
        <v>Kapok</v>
      </c>
      <c r="D1040" s="135"/>
      <c r="E1040" s="1027"/>
      <c r="F1040" s="87"/>
      <c r="G1040" s="87"/>
      <c r="H1040" s="1027"/>
      <c r="I1040" s="1030"/>
      <c r="J1040" s="1039" t="e">
        <f t="shared" ref="J1040:AR1040" si="519">IF(J240="",0,IF(OR(1=RANK(J640,J$412:J$790,0),(2=RANK(J640,J$412:J$790,0))),J640,J240))</f>
        <v>#DIV/0!</v>
      </c>
      <c r="K1040" s="1040" t="e">
        <f t="shared" si="519"/>
        <v>#DIV/0!</v>
      </c>
      <c r="L1040" s="1040" t="e">
        <f t="shared" si="519"/>
        <v>#DIV/0!</v>
      </c>
      <c r="M1040" s="1040" t="e">
        <f t="shared" si="519"/>
        <v>#DIV/0!</v>
      </c>
      <c r="N1040" s="1040" t="e">
        <f t="shared" si="519"/>
        <v>#DIV/0!</v>
      </c>
      <c r="O1040" s="1040" t="e">
        <f t="shared" si="519"/>
        <v>#DIV/0!</v>
      </c>
      <c r="P1040" s="1040" t="e">
        <f t="shared" si="519"/>
        <v>#DIV/0!</v>
      </c>
      <c r="Q1040" s="1040" t="e">
        <f t="shared" si="519"/>
        <v>#DIV/0!</v>
      </c>
      <c r="R1040" s="1040" t="e">
        <f t="shared" si="519"/>
        <v>#DIV/0!</v>
      </c>
      <c r="S1040" s="1040" t="e">
        <f t="shared" si="519"/>
        <v>#DIV/0!</v>
      </c>
      <c r="T1040" s="1040" t="e">
        <f t="shared" si="519"/>
        <v>#DIV/0!</v>
      </c>
      <c r="U1040" s="1040" t="e">
        <f t="shared" si="519"/>
        <v>#DIV/0!</v>
      </c>
      <c r="V1040" s="1040" t="e">
        <f t="shared" si="519"/>
        <v>#DIV/0!</v>
      </c>
      <c r="W1040" s="1040" t="e">
        <f t="shared" si="519"/>
        <v>#DIV/0!</v>
      </c>
      <c r="X1040" s="1040" t="e">
        <f t="shared" si="519"/>
        <v>#DIV/0!</v>
      </c>
      <c r="Y1040" s="1040" t="e">
        <f t="shared" si="519"/>
        <v>#DIV/0!</v>
      </c>
      <c r="Z1040" s="1040" t="e">
        <f t="shared" si="519"/>
        <v>#DIV/0!</v>
      </c>
      <c r="AA1040" s="1040" t="e">
        <f t="shared" si="519"/>
        <v>#DIV/0!</v>
      </c>
      <c r="AB1040" s="1040" t="e">
        <f t="shared" si="519"/>
        <v>#DIV/0!</v>
      </c>
      <c r="AC1040" s="1040" t="e">
        <f t="shared" si="519"/>
        <v>#DIV/0!</v>
      </c>
      <c r="AD1040" s="1040" t="e">
        <f t="shared" si="519"/>
        <v>#DIV/0!</v>
      </c>
      <c r="AE1040" s="1040" t="e">
        <f t="shared" si="519"/>
        <v>#DIV/0!</v>
      </c>
      <c r="AF1040" s="1040" t="e">
        <f t="shared" si="519"/>
        <v>#DIV/0!</v>
      </c>
      <c r="AG1040" s="1040" t="e">
        <f t="shared" si="519"/>
        <v>#DIV/0!</v>
      </c>
      <c r="AH1040" s="1040" t="e">
        <f t="shared" si="519"/>
        <v>#DIV/0!</v>
      </c>
      <c r="AI1040" s="1040" t="e">
        <f t="shared" si="519"/>
        <v>#DIV/0!</v>
      </c>
      <c r="AJ1040" s="1040" t="e">
        <f t="shared" si="519"/>
        <v>#DIV/0!</v>
      </c>
      <c r="AK1040" s="1040" t="e">
        <f t="shared" si="519"/>
        <v>#DIV/0!</v>
      </c>
      <c r="AL1040" s="1040" t="e">
        <f t="shared" si="519"/>
        <v>#DIV/0!</v>
      </c>
      <c r="AM1040" s="1040" t="e">
        <f t="shared" si="519"/>
        <v>#DIV/0!</v>
      </c>
      <c r="AN1040" s="1040" t="e">
        <f t="shared" si="519"/>
        <v>#DIV/0!</v>
      </c>
      <c r="AO1040" s="1040" t="e">
        <f t="shared" si="519"/>
        <v>#DIV/0!</v>
      </c>
      <c r="AP1040" s="1040" t="e">
        <f t="shared" si="519"/>
        <v>#DIV/0!</v>
      </c>
      <c r="AQ1040" s="1040" t="e">
        <f t="shared" si="519"/>
        <v>#DIV/0!</v>
      </c>
      <c r="AR1040" s="1040" t="e">
        <f t="shared" si="519"/>
        <v>#DIV/0!</v>
      </c>
      <c r="AS1040" s="1040" t="e">
        <f t="shared" ref="AS1040:AY1040" si="520">IF(AS240="",0,IF(OR(1=RANK(AS640,AS$412:AS$790,0),(2=RANK(AS640,AS$412:AS$790,0))),AS640,AS240))</f>
        <v>#DIV/0!</v>
      </c>
      <c r="AT1040" s="1040" t="e">
        <f t="shared" si="520"/>
        <v>#DIV/0!</v>
      </c>
      <c r="AU1040" s="1040">
        <f t="shared" si="520"/>
        <v>0</v>
      </c>
      <c r="AV1040" s="1040" t="e">
        <f t="shared" si="520"/>
        <v>#DIV/0!</v>
      </c>
      <c r="AW1040" s="1040" t="e">
        <f t="shared" si="520"/>
        <v>#DIV/0!</v>
      </c>
      <c r="AX1040" s="1040" t="e">
        <f t="shared" si="520"/>
        <v>#DIV/0!</v>
      </c>
      <c r="AY1040" s="1040" t="e">
        <f t="shared" si="520"/>
        <v>#DIV/0!</v>
      </c>
      <c r="AZ1040" s="1061" t="s">
        <v>21</v>
      </c>
      <c r="BC1040" s="29"/>
      <c r="BD1040" s="29"/>
      <c r="BE1040" s="13"/>
      <c r="BL1040" s="368"/>
    </row>
    <row r="1041" spans="1:64" ht="12" customHeight="1" x14ac:dyDescent="0.2">
      <c r="A1041" s="39">
        <f>acute_overview_children!A241</f>
        <v>4</v>
      </c>
      <c r="B1041" s="23">
        <f t="shared" si="445"/>
        <v>402990</v>
      </c>
      <c r="C1041" s="23" t="str">
        <f t="shared" si="446"/>
        <v>Other oilfruit</v>
      </c>
      <c r="D1041" s="135"/>
      <c r="E1041" s="1027"/>
      <c r="F1041" s="87"/>
      <c r="G1041" s="87"/>
      <c r="H1041" s="1027"/>
      <c r="I1041" s="1030"/>
      <c r="J1041" s="1039" t="e">
        <f t="shared" ref="J1041:AR1041" si="521">IF(J241="",0,IF(OR(1=RANK(J641,J$412:J$790,0),(2=RANK(J641,J$412:J$790,0))),J641,J241))</f>
        <v>#DIV/0!</v>
      </c>
      <c r="K1041" s="1040" t="e">
        <f t="shared" si="521"/>
        <v>#DIV/0!</v>
      </c>
      <c r="L1041" s="1040" t="e">
        <f t="shared" si="521"/>
        <v>#DIV/0!</v>
      </c>
      <c r="M1041" s="1040" t="e">
        <f t="shared" si="521"/>
        <v>#DIV/0!</v>
      </c>
      <c r="N1041" s="1040" t="e">
        <f t="shared" si="521"/>
        <v>#DIV/0!</v>
      </c>
      <c r="O1041" s="1040" t="e">
        <f t="shared" si="521"/>
        <v>#DIV/0!</v>
      </c>
      <c r="P1041" s="1040" t="e">
        <f t="shared" si="521"/>
        <v>#DIV/0!</v>
      </c>
      <c r="Q1041" s="1040" t="e">
        <f t="shared" si="521"/>
        <v>#DIV/0!</v>
      </c>
      <c r="R1041" s="1040" t="e">
        <f t="shared" si="521"/>
        <v>#DIV/0!</v>
      </c>
      <c r="S1041" s="1040" t="e">
        <f t="shared" si="521"/>
        <v>#DIV/0!</v>
      </c>
      <c r="T1041" s="1040" t="e">
        <f t="shared" si="521"/>
        <v>#DIV/0!</v>
      </c>
      <c r="U1041" s="1040" t="e">
        <f t="shared" si="521"/>
        <v>#DIV/0!</v>
      </c>
      <c r="V1041" s="1040" t="e">
        <f t="shared" si="521"/>
        <v>#DIV/0!</v>
      </c>
      <c r="W1041" s="1040" t="e">
        <f t="shared" si="521"/>
        <v>#DIV/0!</v>
      </c>
      <c r="X1041" s="1040" t="e">
        <f t="shared" si="521"/>
        <v>#DIV/0!</v>
      </c>
      <c r="Y1041" s="1040" t="e">
        <f t="shared" si="521"/>
        <v>#DIV/0!</v>
      </c>
      <c r="Z1041" s="1040" t="e">
        <f t="shared" si="521"/>
        <v>#DIV/0!</v>
      </c>
      <c r="AA1041" s="1040" t="e">
        <f t="shared" si="521"/>
        <v>#DIV/0!</v>
      </c>
      <c r="AB1041" s="1040" t="e">
        <f t="shared" si="521"/>
        <v>#DIV/0!</v>
      </c>
      <c r="AC1041" s="1040" t="e">
        <f t="shared" si="521"/>
        <v>#DIV/0!</v>
      </c>
      <c r="AD1041" s="1040" t="e">
        <f t="shared" si="521"/>
        <v>#DIV/0!</v>
      </c>
      <c r="AE1041" s="1040" t="e">
        <f t="shared" si="521"/>
        <v>#DIV/0!</v>
      </c>
      <c r="AF1041" s="1040" t="e">
        <f t="shared" si="521"/>
        <v>#DIV/0!</v>
      </c>
      <c r="AG1041" s="1040" t="e">
        <f t="shared" si="521"/>
        <v>#DIV/0!</v>
      </c>
      <c r="AH1041" s="1040" t="e">
        <f t="shared" si="521"/>
        <v>#DIV/0!</v>
      </c>
      <c r="AI1041" s="1040" t="e">
        <f t="shared" si="521"/>
        <v>#DIV/0!</v>
      </c>
      <c r="AJ1041" s="1040" t="e">
        <f t="shared" si="521"/>
        <v>#DIV/0!</v>
      </c>
      <c r="AK1041" s="1040" t="e">
        <f t="shared" si="521"/>
        <v>#DIV/0!</v>
      </c>
      <c r="AL1041" s="1040" t="e">
        <f t="shared" si="521"/>
        <v>#DIV/0!</v>
      </c>
      <c r="AM1041" s="1040" t="e">
        <f t="shared" si="521"/>
        <v>#DIV/0!</v>
      </c>
      <c r="AN1041" s="1040" t="e">
        <f t="shared" si="521"/>
        <v>#DIV/0!</v>
      </c>
      <c r="AO1041" s="1040" t="e">
        <f t="shared" si="521"/>
        <v>#DIV/0!</v>
      </c>
      <c r="AP1041" s="1040" t="e">
        <f t="shared" si="521"/>
        <v>#DIV/0!</v>
      </c>
      <c r="AQ1041" s="1040" t="e">
        <f t="shared" si="521"/>
        <v>#DIV/0!</v>
      </c>
      <c r="AR1041" s="1040" t="e">
        <f t="shared" si="521"/>
        <v>#DIV/0!</v>
      </c>
      <c r="AS1041" s="1040" t="e">
        <f t="shared" ref="AS1041:AY1041" si="522">IF(AS241="",0,IF(OR(1=RANK(AS641,AS$412:AS$790,0),(2=RANK(AS641,AS$412:AS$790,0))),AS641,AS241))</f>
        <v>#DIV/0!</v>
      </c>
      <c r="AT1041" s="1040" t="e">
        <f t="shared" si="522"/>
        <v>#DIV/0!</v>
      </c>
      <c r="AU1041" s="1040">
        <f t="shared" si="522"/>
        <v>0</v>
      </c>
      <c r="AV1041" s="1040" t="e">
        <f t="shared" si="522"/>
        <v>#DIV/0!</v>
      </c>
      <c r="AW1041" s="1040" t="e">
        <f t="shared" si="522"/>
        <v>#DIV/0!</v>
      </c>
      <c r="AX1041" s="1040" t="e">
        <f t="shared" si="522"/>
        <v>#DIV/0!</v>
      </c>
      <c r="AY1041" s="1040" t="e">
        <f t="shared" si="522"/>
        <v>#DIV/0!</v>
      </c>
      <c r="AZ1041" s="1061" t="s">
        <v>21</v>
      </c>
      <c r="BC1041" s="29"/>
      <c r="BD1041" s="29"/>
      <c r="BE1041" s="13"/>
      <c r="BL1041" s="368"/>
    </row>
    <row r="1042" spans="1:64" ht="12" customHeight="1" x14ac:dyDescent="0.2">
      <c r="A1042" s="514">
        <f>acute_overview_children!A242</f>
        <v>1</v>
      </c>
      <c r="B1042" s="127">
        <f t="shared" si="445"/>
        <v>500000</v>
      </c>
      <c r="C1042" s="127" t="str">
        <f t="shared" si="446"/>
        <v>CEREALS</v>
      </c>
      <c r="D1042" s="135"/>
      <c r="E1042" s="1027"/>
      <c r="F1042" s="87"/>
      <c r="G1042" s="87"/>
      <c r="H1042" s="1027"/>
      <c r="I1042" s="1030"/>
      <c r="J1042" s="1031" t="e">
        <f t="shared" ref="J1042:AR1042" si="523">IF(J242="",0,IF(OR(1=RANK(J642,J$412:J$790,0),(2=RANK(J642,J$412:J$790,0))),J642,J242))</f>
        <v>#DIV/0!</v>
      </c>
      <c r="K1042" s="1032" t="e">
        <f t="shared" si="523"/>
        <v>#DIV/0!</v>
      </c>
      <c r="L1042" s="1032" t="e">
        <f t="shared" si="523"/>
        <v>#DIV/0!</v>
      </c>
      <c r="M1042" s="1032" t="e">
        <f t="shared" si="523"/>
        <v>#DIV/0!</v>
      </c>
      <c r="N1042" s="1032" t="e">
        <f t="shared" si="523"/>
        <v>#DIV/0!</v>
      </c>
      <c r="O1042" s="1032" t="e">
        <f t="shared" si="523"/>
        <v>#DIV/0!</v>
      </c>
      <c r="P1042" s="1032" t="e">
        <f t="shared" si="523"/>
        <v>#DIV/0!</v>
      </c>
      <c r="Q1042" s="1032" t="e">
        <f t="shared" si="523"/>
        <v>#DIV/0!</v>
      </c>
      <c r="R1042" s="1032" t="e">
        <f t="shared" si="523"/>
        <v>#DIV/0!</v>
      </c>
      <c r="S1042" s="1032" t="e">
        <f t="shared" si="523"/>
        <v>#DIV/0!</v>
      </c>
      <c r="T1042" s="1032" t="e">
        <f t="shared" si="523"/>
        <v>#DIV/0!</v>
      </c>
      <c r="U1042" s="1032" t="e">
        <f t="shared" si="523"/>
        <v>#DIV/0!</v>
      </c>
      <c r="V1042" s="1032" t="e">
        <f t="shared" si="523"/>
        <v>#DIV/0!</v>
      </c>
      <c r="W1042" s="1032" t="e">
        <f t="shared" si="523"/>
        <v>#DIV/0!</v>
      </c>
      <c r="X1042" s="1032" t="e">
        <f t="shared" si="523"/>
        <v>#DIV/0!</v>
      </c>
      <c r="Y1042" s="1032" t="e">
        <f t="shared" si="523"/>
        <v>#DIV/0!</v>
      </c>
      <c r="Z1042" s="1032" t="e">
        <f t="shared" si="523"/>
        <v>#DIV/0!</v>
      </c>
      <c r="AA1042" s="1032" t="e">
        <f t="shared" si="523"/>
        <v>#DIV/0!</v>
      </c>
      <c r="AB1042" s="1032" t="e">
        <f t="shared" si="523"/>
        <v>#DIV/0!</v>
      </c>
      <c r="AC1042" s="1032" t="e">
        <f t="shared" si="523"/>
        <v>#DIV/0!</v>
      </c>
      <c r="AD1042" s="1032" t="e">
        <f t="shared" si="523"/>
        <v>#DIV/0!</v>
      </c>
      <c r="AE1042" s="1032" t="e">
        <f t="shared" si="523"/>
        <v>#DIV/0!</v>
      </c>
      <c r="AF1042" s="1032" t="e">
        <f t="shared" si="523"/>
        <v>#DIV/0!</v>
      </c>
      <c r="AG1042" s="1032" t="e">
        <f t="shared" si="523"/>
        <v>#DIV/0!</v>
      </c>
      <c r="AH1042" s="1032" t="e">
        <f t="shared" si="523"/>
        <v>#DIV/0!</v>
      </c>
      <c r="AI1042" s="1032" t="e">
        <f t="shared" si="523"/>
        <v>#DIV/0!</v>
      </c>
      <c r="AJ1042" s="1032" t="e">
        <f t="shared" si="523"/>
        <v>#DIV/0!</v>
      </c>
      <c r="AK1042" s="1032" t="e">
        <f t="shared" si="523"/>
        <v>#DIV/0!</v>
      </c>
      <c r="AL1042" s="1032" t="e">
        <f t="shared" si="523"/>
        <v>#DIV/0!</v>
      </c>
      <c r="AM1042" s="1032" t="e">
        <f t="shared" si="523"/>
        <v>#DIV/0!</v>
      </c>
      <c r="AN1042" s="1032" t="e">
        <f t="shared" si="523"/>
        <v>#DIV/0!</v>
      </c>
      <c r="AO1042" s="1032" t="e">
        <f t="shared" si="523"/>
        <v>#DIV/0!</v>
      </c>
      <c r="AP1042" s="1032" t="e">
        <f t="shared" si="523"/>
        <v>#DIV/0!</v>
      </c>
      <c r="AQ1042" s="1032" t="e">
        <f t="shared" si="523"/>
        <v>#DIV/0!</v>
      </c>
      <c r="AR1042" s="1032" t="e">
        <f t="shared" si="523"/>
        <v>#DIV/0!</v>
      </c>
      <c r="AS1042" s="1032" t="e">
        <f t="shared" ref="AS1042:AY1042" si="524">IF(AS242="",0,IF(OR(1=RANK(AS642,AS$412:AS$790,0),(2=RANK(AS642,AS$412:AS$790,0))),AS642,AS242))</f>
        <v>#DIV/0!</v>
      </c>
      <c r="AT1042" s="1032" t="e">
        <f t="shared" si="524"/>
        <v>#DIV/0!</v>
      </c>
      <c r="AU1042" s="1032">
        <f t="shared" si="524"/>
        <v>0</v>
      </c>
      <c r="AV1042" s="1032" t="e">
        <f t="shared" si="524"/>
        <v>#DIV/0!</v>
      </c>
      <c r="AW1042" s="1032" t="e">
        <f t="shared" si="524"/>
        <v>#DIV/0!</v>
      </c>
      <c r="AX1042" s="1032" t="e">
        <f t="shared" si="524"/>
        <v>#DIV/0!</v>
      </c>
      <c r="AY1042" s="1032" t="e">
        <f t="shared" si="524"/>
        <v>#DIV/0!</v>
      </c>
      <c r="AZ1042" s="1061" t="s">
        <v>21</v>
      </c>
      <c r="BC1042" s="29"/>
      <c r="BD1042" s="29"/>
      <c r="BE1042" s="13"/>
      <c r="BL1042" s="368"/>
    </row>
    <row r="1043" spans="1:64" ht="12" customHeight="1" x14ac:dyDescent="0.2">
      <c r="A1043" s="39">
        <f>acute_overview_children!A243</f>
        <v>4</v>
      </c>
      <c r="B1043" s="23">
        <f t="shared" si="445"/>
        <v>500010</v>
      </c>
      <c r="C1043" s="23" t="str">
        <f t="shared" si="446"/>
        <v xml:space="preserve">Barley </v>
      </c>
      <c r="D1043" s="135"/>
      <c r="E1043" s="1027"/>
      <c r="F1043" s="87"/>
      <c r="G1043" s="87"/>
      <c r="H1043" s="1027"/>
      <c r="I1043" s="1030"/>
      <c r="J1043" s="1039" t="e">
        <f t="shared" ref="J1043:AR1043" si="525">IF(J243="",0,IF(OR(1=RANK(J643,J$412:J$790,0),(2=RANK(J643,J$412:J$790,0))),J643,J243))</f>
        <v>#DIV/0!</v>
      </c>
      <c r="K1043" s="1040" t="e">
        <f t="shared" si="525"/>
        <v>#DIV/0!</v>
      </c>
      <c r="L1043" s="1040" t="e">
        <f t="shared" si="525"/>
        <v>#DIV/0!</v>
      </c>
      <c r="M1043" s="1040" t="e">
        <f t="shared" si="525"/>
        <v>#DIV/0!</v>
      </c>
      <c r="N1043" s="1040" t="e">
        <f t="shared" si="525"/>
        <v>#DIV/0!</v>
      </c>
      <c r="O1043" s="1040" t="e">
        <f t="shared" si="525"/>
        <v>#DIV/0!</v>
      </c>
      <c r="P1043" s="1040" t="e">
        <f t="shared" si="525"/>
        <v>#DIV/0!</v>
      </c>
      <c r="Q1043" s="1040" t="e">
        <f t="shared" si="525"/>
        <v>#DIV/0!</v>
      </c>
      <c r="R1043" s="1040" t="e">
        <f t="shared" si="525"/>
        <v>#DIV/0!</v>
      </c>
      <c r="S1043" s="1040" t="e">
        <f t="shared" si="525"/>
        <v>#DIV/0!</v>
      </c>
      <c r="T1043" s="1040" t="e">
        <f t="shared" si="525"/>
        <v>#DIV/0!</v>
      </c>
      <c r="U1043" s="1040" t="e">
        <f t="shared" si="525"/>
        <v>#DIV/0!</v>
      </c>
      <c r="V1043" s="1040" t="e">
        <f t="shared" si="525"/>
        <v>#DIV/0!</v>
      </c>
      <c r="W1043" s="1040" t="e">
        <f t="shared" si="525"/>
        <v>#DIV/0!</v>
      </c>
      <c r="X1043" s="1040" t="e">
        <f t="shared" si="525"/>
        <v>#DIV/0!</v>
      </c>
      <c r="Y1043" s="1040" t="e">
        <f t="shared" si="525"/>
        <v>#DIV/0!</v>
      </c>
      <c r="Z1043" s="1040" t="e">
        <f t="shared" si="525"/>
        <v>#DIV/0!</v>
      </c>
      <c r="AA1043" s="1040" t="e">
        <f t="shared" si="525"/>
        <v>#DIV/0!</v>
      </c>
      <c r="AB1043" s="1040" t="e">
        <f t="shared" si="525"/>
        <v>#DIV/0!</v>
      </c>
      <c r="AC1043" s="1040" t="e">
        <f t="shared" si="525"/>
        <v>#DIV/0!</v>
      </c>
      <c r="AD1043" s="1040" t="e">
        <f t="shared" si="525"/>
        <v>#DIV/0!</v>
      </c>
      <c r="AE1043" s="1040" t="e">
        <f t="shared" si="525"/>
        <v>#DIV/0!</v>
      </c>
      <c r="AF1043" s="1040" t="e">
        <f t="shared" si="525"/>
        <v>#DIV/0!</v>
      </c>
      <c r="AG1043" s="1040" t="e">
        <f t="shared" si="525"/>
        <v>#DIV/0!</v>
      </c>
      <c r="AH1043" s="1040" t="e">
        <f t="shared" si="525"/>
        <v>#DIV/0!</v>
      </c>
      <c r="AI1043" s="1040" t="e">
        <f t="shared" si="525"/>
        <v>#DIV/0!</v>
      </c>
      <c r="AJ1043" s="1040" t="e">
        <f t="shared" si="525"/>
        <v>#DIV/0!</v>
      </c>
      <c r="AK1043" s="1040" t="e">
        <f t="shared" si="525"/>
        <v>#DIV/0!</v>
      </c>
      <c r="AL1043" s="1040" t="e">
        <f t="shared" si="525"/>
        <v>#DIV/0!</v>
      </c>
      <c r="AM1043" s="1040" t="e">
        <f t="shared" si="525"/>
        <v>#DIV/0!</v>
      </c>
      <c r="AN1043" s="1040" t="e">
        <f t="shared" si="525"/>
        <v>#DIV/0!</v>
      </c>
      <c r="AO1043" s="1040" t="e">
        <f t="shared" si="525"/>
        <v>#DIV/0!</v>
      </c>
      <c r="AP1043" s="1040" t="e">
        <f t="shared" si="525"/>
        <v>#DIV/0!</v>
      </c>
      <c r="AQ1043" s="1040" t="e">
        <f t="shared" si="525"/>
        <v>#DIV/0!</v>
      </c>
      <c r="AR1043" s="1040" t="e">
        <f t="shared" si="525"/>
        <v>#DIV/0!</v>
      </c>
      <c r="AS1043" s="1040" t="e">
        <f t="shared" ref="AS1043:AY1043" si="526">IF(AS243="",0,IF(OR(1=RANK(AS643,AS$412:AS$790,0),(2=RANK(AS643,AS$412:AS$790,0))),AS643,AS243))</f>
        <v>#DIV/0!</v>
      </c>
      <c r="AT1043" s="1040" t="e">
        <f t="shared" si="526"/>
        <v>#DIV/0!</v>
      </c>
      <c r="AU1043" s="1040">
        <f t="shared" si="526"/>
        <v>0</v>
      </c>
      <c r="AV1043" s="1040" t="e">
        <f t="shared" si="526"/>
        <v>#DIV/0!</v>
      </c>
      <c r="AW1043" s="1040" t="e">
        <f t="shared" si="526"/>
        <v>#DIV/0!</v>
      </c>
      <c r="AX1043" s="1040" t="e">
        <f t="shared" si="526"/>
        <v>#DIV/0!</v>
      </c>
      <c r="AY1043" s="1040" t="e">
        <f t="shared" si="526"/>
        <v>#DIV/0!</v>
      </c>
      <c r="AZ1043" s="1061" t="s">
        <v>21</v>
      </c>
      <c r="BC1043" s="29"/>
      <c r="BD1043" s="29"/>
      <c r="BE1043" s="13"/>
      <c r="BL1043" s="368"/>
    </row>
    <row r="1044" spans="1:64" ht="12" customHeight="1" x14ac:dyDescent="0.2">
      <c r="A1044" s="39">
        <f>acute_overview_children!A244</f>
        <v>4</v>
      </c>
      <c r="B1044" s="23">
        <f t="shared" si="445"/>
        <v>500020</v>
      </c>
      <c r="C1044" s="23" t="str">
        <f t="shared" si="446"/>
        <v>Buckwheat and other pseudo-cereals</v>
      </c>
      <c r="D1044" s="135"/>
      <c r="E1044" s="1027"/>
      <c r="F1044" s="87"/>
      <c r="G1044" s="87"/>
      <c r="H1044" s="1027"/>
      <c r="I1044" s="1030"/>
      <c r="J1044" s="1039" t="e">
        <f t="shared" ref="J1044:AR1044" si="527">IF(J244="",0,IF(OR(1=RANK(J644,J$412:J$790,0),(2=RANK(J644,J$412:J$790,0))),J644,J244))</f>
        <v>#DIV/0!</v>
      </c>
      <c r="K1044" s="1040" t="e">
        <f t="shared" si="527"/>
        <v>#DIV/0!</v>
      </c>
      <c r="L1044" s="1040" t="e">
        <f t="shared" si="527"/>
        <v>#DIV/0!</v>
      </c>
      <c r="M1044" s="1040" t="e">
        <f t="shared" si="527"/>
        <v>#DIV/0!</v>
      </c>
      <c r="N1044" s="1040" t="e">
        <f t="shared" si="527"/>
        <v>#DIV/0!</v>
      </c>
      <c r="O1044" s="1040" t="e">
        <f t="shared" si="527"/>
        <v>#DIV/0!</v>
      </c>
      <c r="P1044" s="1040" t="e">
        <f t="shared" si="527"/>
        <v>#DIV/0!</v>
      </c>
      <c r="Q1044" s="1040" t="e">
        <f t="shared" si="527"/>
        <v>#DIV/0!</v>
      </c>
      <c r="R1044" s="1040" t="e">
        <f t="shared" si="527"/>
        <v>#DIV/0!</v>
      </c>
      <c r="S1044" s="1040" t="e">
        <f t="shared" si="527"/>
        <v>#DIV/0!</v>
      </c>
      <c r="T1044" s="1040" t="e">
        <f t="shared" si="527"/>
        <v>#DIV/0!</v>
      </c>
      <c r="U1044" s="1040" t="e">
        <f t="shared" si="527"/>
        <v>#DIV/0!</v>
      </c>
      <c r="V1044" s="1040" t="e">
        <f t="shared" si="527"/>
        <v>#DIV/0!</v>
      </c>
      <c r="W1044" s="1040" t="e">
        <f t="shared" si="527"/>
        <v>#DIV/0!</v>
      </c>
      <c r="X1044" s="1040" t="e">
        <f t="shared" si="527"/>
        <v>#DIV/0!</v>
      </c>
      <c r="Y1044" s="1040" t="e">
        <f t="shared" si="527"/>
        <v>#DIV/0!</v>
      </c>
      <c r="Z1044" s="1040" t="e">
        <f t="shared" si="527"/>
        <v>#DIV/0!</v>
      </c>
      <c r="AA1044" s="1040" t="e">
        <f t="shared" si="527"/>
        <v>#DIV/0!</v>
      </c>
      <c r="AB1044" s="1040" t="e">
        <f t="shared" si="527"/>
        <v>#DIV/0!</v>
      </c>
      <c r="AC1044" s="1040" t="e">
        <f t="shared" si="527"/>
        <v>#DIV/0!</v>
      </c>
      <c r="AD1044" s="1040" t="e">
        <f t="shared" si="527"/>
        <v>#DIV/0!</v>
      </c>
      <c r="AE1044" s="1040" t="e">
        <f t="shared" si="527"/>
        <v>#DIV/0!</v>
      </c>
      <c r="AF1044" s="1040" t="e">
        <f t="shared" si="527"/>
        <v>#DIV/0!</v>
      </c>
      <c r="AG1044" s="1040" t="e">
        <f t="shared" si="527"/>
        <v>#DIV/0!</v>
      </c>
      <c r="AH1044" s="1040" t="e">
        <f t="shared" si="527"/>
        <v>#DIV/0!</v>
      </c>
      <c r="AI1044" s="1040" t="e">
        <f t="shared" si="527"/>
        <v>#DIV/0!</v>
      </c>
      <c r="AJ1044" s="1040" t="e">
        <f t="shared" si="527"/>
        <v>#DIV/0!</v>
      </c>
      <c r="AK1044" s="1040" t="e">
        <f t="shared" si="527"/>
        <v>#DIV/0!</v>
      </c>
      <c r="AL1044" s="1040" t="e">
        <f t="shared" si="527"/>
        <v>#DIV/0!</v>
      </c>
      <c r="AM1044" s="1040" t="e">
        <f t="shared" si="527"/>
        <v>#DIV/0!</v>
      </c>
      <c r="AN1044" s="1040" t="e">
        <f t="shared" si="527"/>
        <v>#DIV/0!</v>
      </c>
      <c r="AO1044" s="1040" t="e">
        <f t="shared" si="527"/>
        <v>#DIV/0!</v>
      </c>
      <c r="AP1044" s="1040" t="e">
        <f t="shared" si="527"/>
        <v>#DIV/0!</v>
      </c>
      <c r="AQ1044" s="1040" t="e">
        <f t="shared" si="527"/>
        <v>#DIV/0!</v>
      </c>
      <c r="AR1044" s="1040" t="e">
        <f t="shared" si="527"/>
        <v>#DIV/0!</v>
      </c>
      <c r="AS1044" s="1040" t="e">
        <f t="shared" ref="AS1044:AY1044" si="528">IF(AS244="",0,IF(OR(1=RANK(AS644,AS$412:AS$790,0),(2=RANK(AS644,AS$412:AS$790,0))),AS644,AS244))</f>
        <v>#DIV/0!</v>
      </c>
      <c r="AT1044" s="1040" t="e">
        <f t="shared" si="528"/>
        <v>#DIV/0!</v>
      </c>
      <c r="AU1044" s="1040">
        <f t="shared" si="528"/>
        <v>0</v>
      </c>
      <c r="AV1044" s="1040" t="e">
        <f t="shared" si="528"/>
        <v>#DIV/0!</v>
      </c>
      <c r="AW1044" s="1040" t="e">
        <f t="shared" si="528"/>
        <v>#DIV/0!</v>
      </c>
      <c r="AX1044" s="1040" t="e">
        <f t="shared" si="528"/>
        <v>#DIV/0!</v>
      </c>
      <c r="AY1044" s="1040" t="e">
        <f t="shared" si="528"/>
        <v>#DIV/0!</v>
      </c>
      <c r="AZ1044" s="1061" t="s">
        <v>21</v>
      </c>
      <c r="BC1044" s="29"/>
      <c r="BD1044" s="29"/>
      <c r="BE1044" s="13"/>
      <c r="BL1044" s="368"/>
    </row>
    <row r="1045" spans="1:64" ht="12" customHeight="1" x14ac:dyDescent="0.2">
      <c r="A1045" s="39">
        <f>acute_overview_children!A245</f>
        <v>4</v>
      </c>
      <c r="B1045" s="23">
        <f t="shared" si="445"/>
        <v>500030</v>
      </c>
      <c r="C1045" s="23" t="str">
        <f t="shared" si="446"/>
        <v>Maize/corn</v>
      </c>
      <c r="D1045" s="135"/>
      <c r="E1045" s="1027"/>
      <c r="F1045" s="87"/>
      <c r="G1045" s="87"/>
      <c r="H1045" s="1027"/>
      <c r="I1045" s="1030"/>
      <c r="J1045" s="1039" t="e">
        <f t="shared" ref="J1045:AR1045" si="529">IF(J245="",0,IF(OR(1=RANK(J645,J$412:J$790,0),(2=RANK(J645,J$412:J$790,0))),J645,J245))</f>
        <v>#DIV/0!</v>
      </c>
      <c r="K1045" s="1040" t="e">
        <f t="shared" si="529"/>
        <v>#DIV/0!</v>
      </c>
      <c r="L1045" s="1040" t="e">
        <f t="shared" si="529"/>
        <v>#DIV/0!</v>
      </c>
      <c r="M1045" s="1040" t="e">
        <f t="shared" si="529"/>
        <v>#DIV/0!</v>
      </c>
      <c r="N1045" s="1040" t="e">
        <f t="shared" si="529"/>
        <v>#DIV/0!</v>
      </c>
      <c r="O1045" s="1040" t="e">
        <f t="shared" si="529"/>
        <v>#DIV/0!</v>
      </c>
      <c r="P1045" s="1040" t="e">
        <f t="shared" si="529"/>
        <v>#DIV/0!</v>
      </c>
      <c r="Q1045" s="1040" t="e">
        <f t="shared" si="529"/>
        <v>#DIV/0!</v>
      </c>
      <c r="R1045" s="1040" t="e">
        <f t="shared" si="529"/>
        <v>#DIV/0!</v>
      </c>
      <c r="S1045" s="1040" t="e">
        <f t="shared" si="529"/>
        <v>#DIV/0!</v>
      </c>
      <c r="T1045" s="1040" t="e">
        <f t="shared" si="529"/>
        <v>#DIV/0!</v>
      </c>
      <c r="U1045" s="1040" t="e">
        <f t="shared" si="529"/>
        <v>#DIV/0!</v>
      </c>
      <c r="V1045" s="1040" t="e">
        <f t="shared" si="529"/>
        <v>#DIV/0!</v>
      </c>
      <c r="W1045" s="1040" t="e">
        <f t="shared" si="529"/>
        <v>#DIV/0!</v>
      </c>
      <c r="X1045" s="1040" t="e">
        <f t="shared" si="529"/>
        <v>#DIV/0!</v>
      </c>
      <c r="Y1045" s="1040" t="e">
        <f t="shared" si="529"/>
        <v>#DIV/0!</v>
      </c>
      <c r="Z1045" s="1040" t="e">
        <f t="shared" si="529"/>
        <v>#DIV/0!</v>
      </c>
      <c r="AA1045" s="1040" t="e">
        <f t="shared" si="529"/>
        <v>#DIV/0!</v>
      </c>
      <c r="AB1045" s="1040" t="e">
        <f t="shared" si="529"/>
        <v>#DIV/0!</v>
      </c>
      <c r="AC1045" s="1040" t="e">
        <f t="shared" si="529"/>
        <v>#DIV/0!</v>
      </c>
      <c r="AD1045" s="1040" t="e">
        <f t="shared" si="529"/>
        <v>#DIV/0!</v>
      </c>
      <c r="AE1045" s="1040" t="e">
        <f t="shared" si="529"/>
        <v>#DIV/0!</v>
      </c>
      <c r="AF1045" s="1040" t="e">
        <f t="shared" si="529"/>
        <v>#DIV/0!</v>
      </c>
      <c r="AG1045" s="1040" t="e">
        <f t="shared" si="529"/>
        <v>#DIV/0!</v>
      </c>
      <c r="AH1045" s="1040" t="e">
        <f t="shared" si="529"/>
        <v>#DIV/0!</v>
      </c>
      <c r="AI1045" s="1040" t="e">
        <f t="shared" si="529"/>
        <v>#DIV/0!</v>
      </c>
      <c r="AJ1045" s="1040" t="e">
        <f t="shared" si="529"/>
        <v>#DIV/0!</v>
      </c>
      <c r="AK1045" s="1040" t="e">
        <f t="shared" si="529"/>
        <v>#DIV/0!</v>
      </c>
      <c r="AL1045" s="1040" t="e">
        <f t="shared" si="529"/>
        <v>#DIV/0!</v>
      </c>
      <c r="AM1045" s="1040" t="e">
        <f t="shared" si="529"/>
        <v>#DIV/0!</v>
      </c>
      <c r="AN1045" s="1040" t="e">
        <f t="shared" si="529"/>
        <v>#DIV/0!</v>
      </c>
      <c r="AO1045" s="1040" t="e">
        <f t="shared" si="529"/>
        <v>#DIV/0!</v>
      </c>
      <c r="AP1045" s="1040" t="e">
        <f t="shared" si="529"/>
        <v>#DIV/0!</v>
      </c>
      <c r="AQ1045" s="1040" t="e">
        <f t="shared" si="529"/>
        <v>#DIV/0!</v>
      </c>
      <c r="AR1045" s="1040" t="e">
        <f t="shared" si="529"/>
        <v>#DIV/0!</v>
      </c>
      <c r="AS1045" s="1040" t="e">
        <f t="shared" ref="AS1045:AY1045" si="530">IF(AS245="",0,IF(OR(1=RANK(AS645,AS$412:AS$790,0),(2=RANK(AS645,AS$412:AS$790,0))),AS645,AS245))</f>
        <v>#DIV/0!</v>
      </c>
      <c r="AT1045" s="1040" t="e">
        <f t="shared" si="530"/>
        <v>#DIV/0!</v>
      </c>
      <c r="AU1045" s="1040">
        <f t="shared" si="530"/>
        <v>0</v>
      </c>
      <c r="AV1045" s="1040" t="e">
        <f t="shared" si="530"/>
        <v>#DIV/0!</v>
      </c>
      <c r="AW1045" s="1040" t="e">
        <f t="shared" si="530"/>
        <v>#DIV/0!</v>
      </c>
      <c r="AX1045" s="1040" t="e">
        <f t="shared" si="530"/>
        <v>#DIV/0!</v>
      </c>
      <c r="AY1045" s="1040" t="e">
        <f t="shared" si="530"/>
        <v>#DIV/0!</v>
      </c>
      <c r="AZ1045" s="1061" t="s">
        <v>21</v>
      </c>
      <c r="BC1045" s="29"/>
      <c r="BD1045" s="29"/>
      <c r="BE1045" s="13"/>
      <c r="BL1045" s="368"/>
    </row>
    <row r="1046" spans="1:64" ht="12" customHeight="1" x14ac:dyDescent="0.2">
      <c r="A1046" s="39">
        <f>acute_overview_children!A246</f>
        <v>4</v>
      </c>
      <c r="B1046" s="23">
        <f t="shared" si="445"/>
        <v>500040</v>
      </c>
      <c r="C1046" s="23" t="str">
        <f t="shared" si="446"/>
        <v>Common millet/proso millet</v>
      </c>
      <c r="D1046" s="135"/>
      <c r="E1046" s="1027"/>
      <c r="F1046" s="87"/>
      <c r="G1046" s="87"/>
      <c r="H1046" s="1027"/>
      <c r="I1046" s="1030"/>
      <c r="J1046" s="1039" t="e">
        <f t="shared" ref="J1046:AR1046" si="531">IF(J246="",0,IF(OR(1=RANK(J646,J$412:J$790,0),(2=RANK(J646,J$412:J$790,0))),J646,J246))</f>
        <v>#DIV/0!</v>
      </c>
      <c r="K1046" s="1040" t="e">
        <f t="shared" si="531"/>
        <v>#DIV/0!</v>
      </c>
      <c r="L1046" s="1040" t="e">
        <f t="shared" si="531"/>
        <v>#DIV/0!</v>
      </c>
      <c r="M1046" s="1040" t="e">
        <f t="shared" si="531"/>
        <v>#DIV/0!</v>
      </c>
      <c r="N1046" s="1040" t="e">
        <f t="shared" si="531"/>
        <v>#DIV/0!</v>
      </c>
      <c r="O1046" s="1040" t="e">
        <f t="shared" si="531"/>
        <v>#DIV/0!</v>
      </c>
      <c r="P1046" s="1040" t="e">
        <f t="shared" si="531"/>
        <v>#DIV/0!</v>
      </c>
      <c r="Q1046" s="1040" t="e">
        <f t="shared" si="531"/>
        <v>#DIV/0!</v>
      </c>
      <c r="R1046" s="1040" t="e">
        <f t="shared" si="531"/>
        <v>#DIV/0!</v>
      </c>
      <c r="S1046" s="1040" t="e">
        <f t="shared" si="531"/>
        <v>#DIV/0!</v>
      </c>
      <c r="T1046" s="1040" t="e">
        <f t="shared" si="531"/>
        <v>#DIV/0!</v>
      </c>
      <c r="U1046" s="1040" t="e">
        <f t="shared" si="531"/>
        <v>#DIV/0!</v>
      </c>
      <c r="V1046" s="1040" t="e">
        <f t="shared" si="531"/>
        <v>#DIV/0!</v>
      </c>
      <c r="W1046" s="1040" t="e">
        <f t="shared" si="531"/>
        <v>#DIV/0!</v>
      </c>
      <c r="X1046" s="1040" t="e">
        <f t="shared" si="531"/>
        <v>#DIV/0!</v>
      </c>
      <c r="Y1046" s="1040" t="e">
        <f t="shared" si="531"/>
        <v>#DIV/0!</v>
      </c>
      <c r="Z1046" s="1040" t="e">
        <f t="shared" si="531"/>
        <v>#DIV/0!</v>
      </c>
      <c r="AA1046" s="1040" t="e">
        <f t="shared" si="531"/>
        <v>#DIV/0!</v>
      </c>
      <c r="AB1046" s="1040" t="e">
        <f t="shared" si="531"/>
        <v>#DIV/0!</v>
      </c>
      <c r="AC1046" s="1040" t="e">
        <f t="shared" si="531"/>
        <v>#DIV/0!</v>
      </c>
      <c r="AD1046" s="1040" t="e">
        <f t="shared" si="531"/>
        <v>#DIV/0!</v>
      </c>
      <c r="AE1046" s="1040" t="e">
        <f t="shared" si="531"/>
        <v>#DIV/0!</v>
      </c>
      <c r="AF1046" s="1040" t="e">
        <f t="shared" si="531"/>
        <v>#DIV/0!</v>
      </c>
      <c r="AG1046" s="1040" t="e">
        <f t="shared" si="531"/>
        <v>#DIV/0!</v>
      </c>
      <c r="AH1046" s="1040" t="e">
        <f t="shared" si="531"/>
        <v>#DIV/0!</v>
      </c>
      <c r="AI1046" s="1040" t="e">
        <f t="shared" si="531"/>
        <v>#DIV/0!</v>
      </c>
      <c r="AJ1046" s="1040" t="e">
        <f t="shared" si="531"/>
        <v>#DIV/0!</v>
      </c>
      <c r="AK1046" s="1040" t="e">
        <f t="shared" si="531"/>
        <v>#DIV/0!</v>
      </c>
      <c r="AL1046" s="1040" t="e">
        <f t="shared" si="531"/>
        <v>#DIV/0!</v>
      </c>
      <c r="AM1046" s="1040" t="e">
        <f t="shared" si="531"/>
        <v>#DIV/0!</v>
      </c>
      <c r="AN1046" s="1040" t="e">
        <f t="shared" si="531"/>
        <v>#DIV/0!</v>
      </c>
      <c r="AO1046" s="1040" t="e">
        <f t="shared" si="531"/>
        <v>#DIV/0!</v>
      </c>
      <c r="AP1046" s="1040" t="e">
        <f t="shared" si="531"/>
        <v>#DIV/0!</v>
      </c>
      <c r="AQ1046" s="1040" t="e">
        <f t="shared" si="531"/>
        <v>#DIV/0!</v>
      </c>
      <c r="AR1046" s="1040" t="e">
        <f t="shared" si="531"/>
        <v>#DIV/0!</v>
      </c>
      <c r="AS1046" s="1040" t="e">
        <f t="shared" ref="AS1046:AY1046" si="532">IF(AS246="",0,IF(OR(1=RANK(AS646,AS$412:AS$790,0),(2=RANK(AS646,AS$412:AS$790,0))),AS646,AS246))</f>
        <v>#DIV/0!</v>
      </c>
      <c r="AT1046" s="1040" t="e">
        <f t="shared" si="532"/>
        <v>#DIV/0!</v>
      </c>
      <c r="AU1046" s="1040">
        <f t="shared" si="532"/>
        <v>0</v>
      </c>
      <c r="AV1046" s="1040" t="e">
        <f t="shared" si="532"/>
        <v>#DIV/0!</v>
      </c>
      <c r="AW1046" s="1040" t="e">
        <f t="shared" si="532"/>
        <v>#DIV/0!</v>
      </c>
      <c r="AX1046" s="1040" t="e">
        <f t="shared" si="532"/>
        <v>#DIV/0!</v>
      </c>
      <c r="AY1046" s="1040" t="e">
        <f t="shared" si="532"/>
        <v>#DIV/0!</v>
      </c>
      <c r="AZ1046" s="1061" t="s">
        <v>21</v>
      </c>
      <c r="BC1046" s="29"/>
      <c r="BD1046" s="29"/>
      <c r="BE1046" s="13"/>
      <c r="BL1046" s="368"/>
    </row>
    <row r="1047" spans="1:64" ht="12" customHeight="1" x14ac:dyDescent="0.2">
      <c r="A1047" s="39">
        <f>acute_overview_children!A247</f>
        <v>4</v>
      </c>
      <c r="B1047" s="23">
        <f t="shared" si="445"/>
        <v>500050</v>
      </c>
      <c r="C1047" s="23" t="str">
        <f t="shared" si="446"/>
        <v>Oat</v>
      </c>
      <c r="D1047" s="135"/>
      <c r="E1047" s="1027"/>
      <c r="F1047" s="87"/>
      <c r="G1047" s="87"/>
      <c r="H1047" s="1027"/>
      <c r="I1047" s="1030"/>
      <c r="J1047" s="1039" t="e">
        <f t="shared" ref="J1047:AR1047" si="533">IF(J247="",0,IF(OR(1=RANK(J647,J$412:J$790,0),(2=RANK(J647,J$412:J$790,0))),J647,J247))</f>
        <v>#DIV/0!</v>
      </c>
      <c r="K1047" s="1040" t="e">
        <f t="shared" si="533"/>
        <v>#DIV/0!</v>
      </c>
      <c r="L1047" s="1040" t="e">
        <f t="shared" si="533"/>
        <v>#DIV/0!</v>
      </c>
      <c r="M1047" s="1040" t="e">
        <f t="shared" si="533"/>
        <v>#DIV/0!</v>
      </c>
      <c r="N1047" s="1040" t="e">
        <f t="shared" si="533"/>
        <v>#DIV/0!</v>
      </c>
      <c r="O1047" s="1040" t="e">
        <f t="shared" si="533"/>
        <v>#DIV/0!</v>
      </c>
      <c r="P1047" s="1040" t="e">
        <f t="shared" si="533"/>
        <v>#DIV/0!</v>
      </c>
      <c r="Q1047" s="1040" t="e">
        <f t="shared" si="533"/>
        <v>#DIV/0!</v>
      </c>
      <c r="R1047" s="1040" t="e">
        <f t="shared" si="533"/>
        <v>#DIV/0!</v>
      </c>
      <c r="S1047" s="1040" t="e">
        <f t="shared" si="533"/>
        <v>#DIV/0!</v>
      </c>
      <c r="T1047" s="1040" t="e">
        <f t="shared" si="533"/>
        <v>#DIV/0!</v>
      </c>
      <c r="U1047" s="1040" t="e">
        <f t="shared" si="533"/>
        <v>#DIV/0!</v>
      </c>
      <c r="V1047" s="1040" t="e">
        <f t="shared" si="533"/>
        <v>#DIV/0!</v>
      </c>
      <c r="W1047" s="1040" t="e">
        <f t="shared" si="533"/>
        <v>#DIV/0!</v>
      </c>
      <c r="X1047" s="1040" t="e">
        <f t="shared" si="533"/>
        <v>#DIV/0!</v>
      </c>
      <c r="Y1047" s="1040" t="e">
        <f t="shared" si="533"/>
        <v>#DIV/0!</v>
      </c>
      <c r="Z1047" s="1040" t="e">
        <f t="shared" si="533"/>
        <v>#DIV/0!</v>
      </c>
      <c r="AA1047" s="1040" t="e">
        <f t="shared" si="533"/>
        <v>#DIV/0!</v>
      </c>
      <c r="AB1047" s="1040" t="e">
        <f t="shared" si="533"/>
        <v>#DIV/0!</v>
      </c>
      <c r="AC1047" s="1040" t="e">
        <f t="shared" si="533"/>
        <v>#DIV/0!</v>
      </c>
      <c r="AD1047" s="1040" t="e">
        <f t="shared" si="533"/>
        <v>#DIV/0!</v>
      </c>
      <c r="AE1047" s="1040" t="e">
        <f t="shared" si="533"/>
        <v>#DIV/0!</v>
      </c>
      <c r="AF1047" s="1040" t="e">
        <f t="shared" si="533"/>
        <v>#DIV/0!</v>
      </c>
      <c r="AG1047" s="1040" t="e">
        <f t="shared" si="533"/>
        <v>#DIV/0!</v>
      </c>
      <c r="AH1047" s="1040" t="e">
        <f t="shared" si="533"/>
        <v>#DIV/0!</v>
      </c>
      <c r="AI1047" s="1040" t="e">
        <f t="shared" si="533"/>
        <v>#DIV/0!</v>
      </c>
      <c r="AJ1047" s="1040" t="e">
        <f t="shared" si="533"/>
        <v>#DIV/0!</v>
      </c>
      <c r="AK1047" s="1040" t="e">
        <f t="shared" si="533"/>
        <v>#DIV/0!</v>
      </c>
      <c r="AL1047" s="1040" t="e">
        <f t="shared" si="533"/>
        <v>#DIV/0!</v>
      </c>
      <c r="AM1047" s="1040" t="e">
        <f t="shared" si="533"/>
        <v>#DIV/0!</v>
      </c>
      <c r="AN1047" s="1040" t="e">
        <f t="shared" si="533"/>
        <v>#DIV/0!</v>
      </c>
      <c r="AO1047" s="1040" t="e">
        <f t="shared" si="533"/>
        <v>#DIV/0!</v>
      </c>
      <c r="AP1047" s="1040" t="e">
        <f t="shared" si="533"/>
        <v>#DIV/0!</v>
      </c>
      <c r="AQ1047" s="1040" t="e">
        <f t="shared" si="533"/>
        <v>#DIV/0!</v>
      </c>
      <c r="AR1047" s="1040" t="e">
        <f t="shared" si="533"/>
        <v>#DIV/0!</v>
      </c>
      <c r="AS1047" s="1040" t="e">
        <f t="shared" ref="AS1047:AY1047" si="534">IF(AS247="",0,IF(OR(1=RANK(AS647,AS$412:AS$790,0),(2=RANK(AS647,AS$412:AS$790,0))),AS647,AS247))</f>
        <v>#DIV/0!</v>
      </c>
      <c r="AT1047" s="1040" t="e">
        <f t="shared" si="534"/>
        <v>#DIV/0!</v>
      </c>
      <c r="AU1047" s="1040">
        <f t="shared" si="534"/>
        <v>0</v>
      </c>
      <c r="AV1047" s="1040" t="e">
        <f t="shared" si="534"/>
        <v>#DIV/0!</v>
      </c>
      <c r="AW1047" s="1040" t="e">
        <f t="shared" si="534"/>
        <v>#DIV/0!</v>
      </c>
      <c r="AX1047" s="1040" t="e">
        <f t="shared" si="534"/>
        <v>#DIV/0!</v>
      </c>
      <c r="AY1047" s="1040" t="e">
        <f t="shared" si="534"/>
        <v>#DIV/0!</v>
      </c>
      <c r="AZ1047" s="1061" t="s">
        <v>21</v>
      </c>
      <c r="BC1047" s="29"/>
      <c r="BD1047" s="29"/>
      <c r="BE1047" s="13"/>
      <c r="BL1047" s="368"/>
    </row>
    <row r="1048" spans="1:64" ht="12" customHeight="1" x14ac:dyDescent="0.2">
      <c r="A1048" s="39">
        <f>acute_overview_children!A248</f>
        <v>4</v>
      </c>
      <c r="B1048" s="23">
        <f t="shared" si="445"/>
        <v>500060</v>
      </c>
      <c r="C1048" s="23" t="str">
        <f t="shared" si="446"/>
        <v>Rice</v>
      </c>
      <c r="D1048" s="135"/>
      <c r="E1048" s="1027"/>
      <c r="F1048" s="87"/>
      <c r="G1048" s="87"/>
      <c r="H1048" s="1027"/>
      <c r="I1048" s="1030"/>
      <c r="J1048" s="1039" t="e">
        <f t="shared" ref="J1048:AR1048" si="535">IF(J248="",0,IF(OR(1=RANK(J648,J$412:J$790,0),(2=RANK(J648,J$412:J$790,0))),J648,J248))</f>
        <v>#DIV/0!</v>
      </c>
      <c r="K1048" s="1040" t="e">
        <f t="shared" si="535"/>
        <v>#DIV/0!</v>
      </c>
      <c r="L1048" s="1040" t="e">
        <f t="shared" si="535"/>
        <v>#DIV/0!</v>
      </c>
      <c r="M1048" s="1040" t="e">
        <f t="shared" si="535"/>
        <v>#DIV/0!</v>
      </c>
      <c r="N1048" s="1040" t="e">
        <f t="shared" si="535"/>
        <v>#DIV/0!</v>
      </c>
      <c r="O1048" s="1040" t="e">
        <f t="shared" si="535"/>
        <v>#DIV/0!</v>
      </c>
      <c r="P1048" s="1040" t="e">
        <f t="shared" si="535"/>
        <v>#DIV/0!</v>
      </c>
      <c r="Q1048" s="1040" t="e">
        <f t="shared" si="535"/>
        <v>#DIV/0!</v>
      </c>
      <c r="R1048" s="1040" t="e">
        <f t="shared" si="535"/>
        <v>#DIV/0!</v>
      </c>
      <c r="S1048" s="1040" t="e">
        <f t="shared" si="535"/>
        <v>#DIV/0!</v>
      </c>
      <c r="T1048" s="1040" t="e">
        <f t="shared" si="535"/>
        <v>#DIV/0!</v>
      </c>
      <c r="U1048" s="1040" t="e">
        <f t="shared" si="535"/>
        <v>#DIV/0!</v>
      </c>
      <c r="V1048" s="1040" t="e">
        <f t="shared" si="535"/>
        <v>#DIV/0!</v>
      </c>
      <c r="W1048" s="1040" t="e">
        <f t="shared" si="535"/>
        <v>#DIV/0!</v>
      </c>
      <c r="X1048" s="1040" t="e">
        <f t="shared" si="535"/>
        <v>#DIV/0!</v>
      </c>
      <c r="Y1048" s="1040" t="e">
        <f t="shared" si="535"/>
        <v>#DIV/0!</v>
      </c>
      <c r="Z1048" s="1040" t="e">
        <f t="shared" si="535"/>
        <v>#DIV/0!</v>
      </c>
      <c r="AA1048" s="1040" t="e">
        <f t="shared" si="535"/>
        <v>#DIV/0!</v>
      </c>
      <c r="AB1048" s="1040" t="e">
        <f t="shared" si="535"/>
        <v>#DIV/0!</v>
      </c>
      <c r="AC1048" s="1040" t="e">
        <f t="shared" si="535"/>
        <v>#DIV/0!</v>
      </c>
      <c r="AD1048" s="1040" t="e">
        <f t="shared" si="535"/>
        <v>#DIV/0!</v>
      </c>
      <c r="AE1048" s="1040" t="e">
        <f t="shared" si="535"/>
        <v>#DIV/0!</v>
      </c>
      <c r="AF1048" s="1040" t="e">
        <f t="shared" si="535"/>
        <v>#DIV/0!</v>
      </c>
      <c r="AG1048" s="1040" t="e">
        <f t="shared" si="535"/>
        <v>#DIV/0!</v>
      </c>
      <c r="AH1048" s="1040" t="e">
        <f t="shared" si="535"/>
        <v>#DIV/0!</v>
      </c>
      <c r="AI1048" s="1040" t="e">
        <f t="shared" si="535"/>
        <v>#DIV/0!</v>
      </c>
      <c r="AJ1048" s="1040" t="e">
        <f t="shared" si="535"/>
        <v>#DIV/0!</v>
      </c>
      <c r="AK1048" s="1040" t="e">
        <f t="shared" si="535"/>
        <v>#DIV/0!</v>
      </c>
      <c r="AL1048" s="1040" t="e">
        <f t="shared" si="535"/>
        <v>#DIV/0!</v>
      </c>
      <c r="AM1048" s="1040" t="e">
        <f t="shared" si="535"/>
        <v>#DIV/0!</v>
      </c>
      <c r="AN1048" s="1040" t="e">
        <f t="shared" si="535"/>
        <v>#DIV/0!</v>
      </c>
      <c r="AO1048" s="1040" t="e">
        <f t="shared" si="535"/>
        <v>#DIV/0!</v>
      </c>
      <c r="AP1048" s="1040" t="e">
        <f t="shared" si="535"/>
        <v>#DIV/0!</v>
      </c>
      <c r="AQ1048" s="1040" t="e">
        <f t="shared" si="535"/>
        <v>#DIV/0!</v>
      </c>
      <c r="AR1048" s="1040" t="e">
        <f t="shared" si="535"/>
        <v>#DIV/0!</v>
      </c>
      <c r="AS1048" s="1040" t="e">
        <f t="shared" ref="AS1048:AY1048" si="536">IF(AS248="",0,IF(OR(1=RANK(AS648,AS$412:AS$790,0),(2=RANK(AS648,AS$412:AS$790,0))),AS648,AS248))</f>
        <v>#DIV/0!</v>
      </c>
      <c r="AT1048" s="1040" t="e">
        <f t="shared" si="536"/>
        <v>#DIV/0!</v>
      </c>
      <c r="AU1048" s="1040">
        <f t="shared" si="536"/>
        <v>0</v>
      </c>
      <c r="AV1048" s="1040" t="e">
        <f t="shared" si="536"/>
        <v>#DIV/0!</v>
      </c>
      <c r="AW1048" s="1040" t="e">
        <f t="shared" si="536"/>
        <v>#DIV/0!</v>
      </c>
      <c r="AX1048" s="1040" t="e">
        <f t="shared" si="536"/>
        <v>#DIV/0!</v>
      </c>
      <c r="AY1048" s="1040" t="e">
        <f t="shared" si="536"/>
        <v>#DIV/0!</v>
      </c>
      <c r="AZ1048" s="1061" t="s">
        <v>21</v>
      </c>
      <c r="BC1048" s="29"/>
      <c r="BD1048" s="29"/>
      <c r="BE1048" s="13"/>
      <c r="BL1048" s="368"/>
    </row>
    <row r="1049" spans="1:64" ht="12" customHeight="1" x14ac:dyDescent="0.2">
      <c r="A1049" s="39">
        <f>acute_overview_children!A249</f>
        <v>4</v>
      </c>
      <c r="B1049" s="23">
        <f t="shared" si="445"/>
        <v>500070</v>
      </c>
      <c r="C1049" s="23" t="str">
        <f t="shared" si="446"/>
        <v>Rye</v>
      </c>
      <c r="D1049" s="135"/>
      <c r="E1049" s="1027"/>
      <c r="F1049" s="87"/>
      <c r="G1049" s="87"/>
      <c r="H1049" s="1027"/>
      <c r="I1049" s="1030"/>
      <c r="J1049" s="1039" t="e">
        <f t="shared" ref="J1049:AR1049" si="537">IF(J249="",0,IF(OR(1=RANK(J649,J$412:J$790,0),(2=RANK(J649,J$412:J$790,0))),J649,J249))</f>
        <v>#DIV/0!</v>
      </c>
      <c r="K1049" s="1040" t="e">
        <f t="shared" si="537"/>
        <v>#DIV/0!</v>
      </c>
      <c r="L1049" s="1040" t="e">
        <f t="shared" si="537"/>
        <v>#DIV/0!</v>
      </c>
      <c r="M1049" s="1040" t="e">
        <f t="shared" si="537"/>
        <v>#DIV/0!</v>
      </c>
      <c r="N1049" s="1040" t="e">
        <f t="shared" si="537"/>
        <v>#DIV/0!</v>
      </c>
      <c r="O1049" s="1040" t="e">
        <f t="shared" si="537"/>
        <v>#DIV/0!</v>
      </c>
      <c r="P1049" s="1040" t="e">
        <f t="shared" si="537"/>
        <v>#DIV/0!</v>
      </c>
      <c r="Q1049" s="1040" t="e">
        <f t="shared" si="537"/>
        <v>#DIV/0!</v>
      </c>
      <c r="R1049" s="1040" t="e">
        <f t="shared" si="537"/>
        <v>#DIV/0!</v>
      </c>
      <c r="S1049" s="1040" t="e">
        <f t="shared" si="537"/>
        <v>#DIV/0!</v>
      </c>
      <c r="T1049" s="1040" t="e">
        <f t="shared" si="537"/>
        <v>#DIV/0!</v>
      </c>
      <c r="U1049" s="1040" t="e">
        <f t="shared" si="537"/>
        <v>#DIV/0!</v>
      </c>
      <c r="V1049" s="1040" t="e">
        <f t="shared" si="537"/>
        <v>#DIV/0!</v>
      </c>
      <c r="W1049" s="1040" t="e">
        <f t="shared" si="537"/>
        <v>#DIV/0!</v>
      </c>
      <c r="X1049" s="1040" t="e">
        <f t="shared" si="537"/>
        <v>#DIV/0!</v>
      </c>
      <c r="Y1049" s="1040" t="e">
        <f t="shared" si="537"/>
        <v>#DIV/0!</v>
      </c>
      <c r="Z1049" s="1040" t="e">
        <f t="shared" si="537"/>
        <v>#DIV/0!</v>
      </c>
      <c r="AA1049" s="1040" t="e">
        <f t="shared" si="537"/>
        <v>#DIV/0!</v>
      </c>
      <c r="AB1049" s="1040" t="e">
        <f t="shared" si="537"/>
        <v>#DIV/0!</v>
      </c>
      <c r="AC1049" s="1040" t="e">
        <f t="shared" si="537"/>
        <v>#DIV/0!</v>
      </c>
      <c r="AD1049" s="1040" t="e">
        <f t="shared" si="537"/>
        <v>#DIV/0!</v>
      </c>
      <c r="AE1049" s="1040" t="e">
        <f t="shared" si="537"/>
        <v>#DIV/0!</v>
      </c>
      <c r="AF1049" s="1040" t="e">
        <f t="shared" si="537"/>
        <v>#DIV/0!</v>
      </c>
      <c r="AG1049" s="1040" t="e">
        <f t="shared" si="537"/>
        <v>#DIV/0!</v>
      </c>
      <c r="AH1049" s="1040" t="e">
        <f t="shared" si="537"/>
        <v>#DIV/0!</v>
      </c>
      <c r="AI1049" s="1040" t="e">
        <f t="shared" si="537"/>
        <v>#DIV/0!</v>
      </c>
      <c r="AJ1049" s="1040" t="e">
        <f t="shared" si="537"/>
        <v>#DIV/0!</v>
      </c>
      <c r="AK1049" s="1040" t="e">
        <f t="shared" si="537"/>
        <v>#DIV/0!</v>
      </c>
      <c r="AL1049" s="1040" t="e">
        <f t="shared" si="537"/>
        <v>#DIV/0!</v>
      </c>
      <c r="AM1049" s="1040" t="e">
        <f t="shared" si="537"/>
        <v>#DIV/0!</v>
      </c>
      <c r="AN1049" s="1040" t="e">
        <f t="shared" si="537"/>
        <v>#DIV/0!</v>
      </c>
      <c r="AO1049" s="1040" t="e">
        <f t="shared" si="537"/>
        <v>#DIV/0!</v>
      </c>
      <c r="AP1049" s="1040" t="e">
        <f t="shared" si="537"/>
        <v>#DIV/0!</v>
      </c>
      <c r="AQ1049" s="1040" t="e">
        <f t="shared" si="537"/>
        <v>#DIV/0!</v>
      </c>
      <c r="AR1049" s="1040" t="e">
        <f t="shared" si="537"/>
        <v>#DIV/0!</v>
      </c>
      <c r="AS1049" s="1040" t="e">
        <f t="shared" ref="AS1049:AY1049" si="538">IF(AS249="",0,IF(OR(1=RANK(AS649,AS$412:AS$790,0),(2=RANK(AS649,AS$412:AS$790,0))),AS649,AS249))</f>
        <v>#DIV/0!</v>
      </c>
      <c r="AT1049" s="1040" t="e">
        <f t="shared" si="538"/>
        <v>#DIV/0!</v>
      </c>
      <c r="AU1049" s="1040">
        <f t="shared" si="538"/>
        <v>0</v>
      </c>
      <c r="AV1049" s="1040" t="e">
        <f t="shared" si="538"/>
        <v>#DIV/0!</v>
      </c>
      <c r="AW1049" s="1040" t="e">
        <f t="shared" si="538"/>
        <v>#DIV/0!</v>
      </c>
      <c r="AX1049" s="1040" t="e">
        <f t="shared" si="538"/>
        <v>#DIV/0!</v>
      </c>
      <c r="AY1049" s="1040" t="e">
        <f t="shared" si="538"/>
        <v>#DIV/0!</v>
      </c>
      <c r="AZ1049" s="1061" t="s">
        <v>21</v>
      </c>
      <c r="BC1049" s="29"/>
      <c r="BD1049" s="29"/>
      <c r="BE1049" s="13"/>
      <c r="BL1049" s="368"/>
    </row>
    <row r="1050" spans="1:64" ht="12" customHeight="1" x14ac:dyDescent="0.2">
      <c r="A1050" s="39">
        <f>acute_overview_children!A250</f>
        <v>4</v>
      </c>
      <c r="B1050" s="23">
        <f t="shared" si="445"/>
        <v>500080</v>
      </c>
      <c r="C1050" s="23" t="str">
        <f t="shared" si="446"/>
        <v>Sorghum</v>
      </c>
      <c r="D1050" s="135"/>
      <c r="E1050" s="1027"/>
      <c r="F1050" s="87"/>
      <c r="G1050" s="87"/>
      <c r="H1050" s="1027"/>
      <c r="I1050" s="1030"/>
      <c r="J1050" s="1039" t="e">
        <f t="shared" ref="J1050:AR1050" si="539">IF(J250="",0,IF(OR(1=RANK(J650,J$412:J$790,0),(2=RANK(J650,J$412:J$790,0))),J650,J250))</f>
        <v>#DIV/0!</v>
      </c>
      <c r="K1050" s="1040" t="e">
        <f t="shared" si="539"/>
        <v>#DIV/0!</v>
      </c>
      <c r="L1050" s="1040" t="e">
        <f t="shared" si="539"/>
        <v>#DIV/0!</v>
      </c>
      <c r="M1050" s="1040" t="e">
        <f t="shared" si="539"/>
        <v>#DIV/0!</v>
      </c>
      <c r="N1050" s="1040" t="e">
        <f t="shared" si="539"/>
        <v>#DIV/0!</v>
      </c>
      <c r="O1050" s="1040" t="e">
        <f t="shared" si="539"/>
        <v>#DIV/0!</v>
      </c>
      <c r="P1050" s="1040" t="e">
        <f t="shared" si="539"/>
        <v>#DIV/0!</v>
      </c>
      <c r="Q1050" s="1040" t="e">
        <f t="shared" si="539"/>
        <v>#DIV/0!</v>
      </c>
      <c r="R1050" s="1040" t="e">
        <f t="shared" si="539"/>
        <v>#DIV/0!</v>
      </c>
      <c r="S1050" s="1040" t="e">
        <f t="shared" si="539"/>
        <v>#DIV/0!</v>
      </c>
      <c r="T1050" s="1040" t="e">
        <f t="shared" si="539"/>
        <v>#DIV/0!</v>
      </c>
      <c r="U1050" s="1040" t="e">
        <f t="shared" si="539"/>
        <v>#DIV/0!</v>
      </c>
      <c r="V1050" s="1040" t="e">
        <f t="shared" si="539"/>
        <v>#DIV/0!</v>
      </c>
      <c r="W1050" s="1040" t="e">
        <f t="shared" si="539"/>
        <v>#DIV/0!</v>
      </c>
      <c r="X1050" s="1040" t="e">
        <f t="shared" si="539"/>
        <v>#DIV/0!</v>
      </c>
      <c r="Y1050" s="1040" t="e">
        <f t="shared" si="539"/>
        <v>#DIV/0!</v>
      </c>
      <c r="Z1050" s="1040" t="e">
        <f t="shared" si="539"/>
        <v>#DIV/0!</v>
      </c>
      <c r="AA1050" s="1040" t="e">
        <f t="shared" si="539"/>
        <v>#DIV/0!</v>
      </c>
      <c r="AB1050" s="1040" t="e">
        <f t="shared" si="539"/>
        <v>#DIV/0!</v>
      </c>
      <c r="AC1050" s="1040" t="e">
        <f t="shared" si="539"/>
        <v>#DIV/0!</v>
      </c>
      <c r="AD1050" s="1040" t="e">
        <f t="shared" si="539"/>
        <v>#DIV/0!</v>
      </c>
      <c r="AE1050" s="1040" t="e">
        <f t="shared" si="539"/>
        <v>#DIV/0!</v>
      </c>
      <c r="AF1050" s="1040" t="e">
        <f t="shared" si="539"/>
        <v>#DIV/0!</v>
      </c>
      <c r="AG1050" s="1040" t="e">
        <f t="shared" si="539"/>
        <v>#DIV/0!</v>
      </c>
      <c r="AH1050" s="1040" t="e">
        <f t="shared" si="539"/>
        <v>#DIV/0!</v>
      </c>
      <c r="AI1050" s="1040" t="e">
        <f t="shared" si="539"/>
        <v>#DIV/0!</v>
      </c>
      <c r="AJ1050" s="1040" t="e">
        <f t="shared" si="539"/>
        <v>#DIV/0!</v>
      </c>
      <c r="AK1050" s="1040" t="e">
        <f t="shared" si="539"/>
        <v>#DIV/0!</v>
      </c>
      <c r="AL1050" s="1040" t="e">
        <f t="shared" si="539"/>
        <v>#DIV/0!</v>
      </c>
      <c r="AM1050" s="1040" t="e">
        <f t="shared" si="539"/>
        <v>#DIV/0!</v>
      </c>
      <c r="AN1050" s="1040" t="e">
        <f t="shared" si="539"/>
        <v>#DIV/0!</v>
      </c>
      <c r="AO1050" s="1040" t="e">
        <f t="shared" si="539"/>
        <v>#DIV/0!</v>
      </c>
      <c r="AP1050" s="1040" t="e">
        <f t="shared" si="539"/>
        <v>#DIV/0!</v>
      </c>
      <c r="AQ1050" s="1040" t="e">
        <f t="shared" si="539"/>
        <v>#DIV/0!</v>
      </c>
      <c r="AR1050" s="1040" t="e">
        <f t="shared" si="539"/>
        <v>#DIV/0!</v>
      </c>
      <c r="AS1050" s="1040" t="e">
        <f t="shared" ref="AS1050:AY1050" si="540">IF(AS250="",0,IF(OR(1=RANK(AS650,AS$412:AS$790,0),(2=RANK(AS650,AS$412:AS$790,0))),AS650,AS250))</f>
        <v>#DIV/0!</v>
      </c>
      <c r="AT1050" s="1040" t="e">
        <f t="shared" si="540"/>
        <v>#DIV/0!</v>
      </c>
      <c r="AU1050" s="1040">
        <f t="shared" si="540"/>
        <v>0</v>
      </c>
      <c r="AV1050" s="1040" t="e">
        <f t="shared" si="540"/>
        <v>#DIV/0!</v>
      </c>
      <c r="AW1050" s="1040" t="e">
        <f t="shared" si="540"/>
        <v>#DIV/0!</v>
      </c>
      <c r="AX1050" s="1040" t="e">
        <f t="shared" si="540"/>
        <v>#DIV/0!</v>
      </c>
      <c r="AY1050" s="1040" t="e">
        <f t="shared" si="540"/>
        <v>#DIV/0!</v>
      </c>
      <c r="AZ1050" s="1061" t="s">
        <v>21</v>
      </c>
      <c r="BC1050" s="29"/>
      <c r="BD1050" s="29"/>
      <c r="BE1050" s="13"/>
      <c r="BL1050" s="368"/>
    </row>
    <row r="1051" spans="1:64" ht="12" customHeight="1" x14ac:dyDescent="0.2">
      <c r="A1051" s="39">
        <f>acute_overview_children!A251</f>
        <v>4</v>
      </c>
      <c r="B1051" s="23">
        <f t="shared" si="445"/>
        <v>500090</v>
      </c>
      <c r="C1051" s="23" t="str">
        <f t="shared" si="446"/>
        <v>Wheat</v>
      </c>
      <c r="D1051" s="135"/>
      <c r="E1051" s="1027"/>
      <c r="F1051" s="87"/>
      <c r="G1051" s="87"/>
      <c r="H1051" s="1027"/>
      <c r="I1051" s="1030"/>
      <c r="J1051" s="1039" t="e">
        <f t="shared" ref="J1051:AR1051" si="541">IF(J251="",0,IF(OR(1=RANK(J651,J$412:J$790,0),(2=RANK(J651,J$412:J$790,0))),J651,J251))</f>
        <v>#DIV/0!</v>
      </c>
      <c r="K1051" s="1040" t="e">
        <f t="shared" si="541"/>
        <v>#DIV/0!</v>
      </c>
      <c r="L1051" s="1040" t="e">
        <f t="shared" si="541"/>
        <v>#DIV/0!</v>
      </c>
      <c r="M1051" s="1040" t="e">
        <f t="shared" si="541"/>
        <v>#DIV/0!</v>
      </c>
      <c r="N1051" s="1040" t="e">
        <f t="shared" si="541"/>
        <v>#DIV/0!</v>
      </c>
      <c r="O1051" s="1040" t="e">
        <f t="shared" si="541"/>
        <v>#DIV/0!</v>
      </c>
      <c r="P1051" s="1040" t="e">
        <f t="shared" si="541"/>
        <v>#DIV/0!</v>
      </c>
      <c r="Q1051" s="1040" t="e">
        <f t="shared" si="541"/>
        <v>#DIV/0!</v>
      </c>
      <c r="R1051" s="1040" t="e">
        <f t="shared" si="541"/>
        <v>#DIV/0!</v>
      </c>
      <c r="S1051" s="1040" t="e">
        <f t="shared" si="541"/>
        <v>#DIV/0!</v>
      </c>
      <c r="T1051" s="1040" t="e">
        <f t="shared" si="541"/>
        <v>#DIV/0!</v>
      </c>
      <c r="U1051" s="1040" t="e">
        <f t="shared" si="541"/>
        <v>#DIV/0!</v>
      </c>
      <c r="V1051" s="1040" t="e">
        <f t="shared" si="541"/>
        <v>#DIV/0!</v>
      </c>
      <c r="W1051" s="1040" t="e">
        <f t="shared" si="541"/>
        <v>#DIV/0!</v>
      </c>
      <c r="X1051" s="1040" t="e">
        <f t="shared" si="541"/>
        <v>#DIV/0!</v>
      </c>
      <c r="Y1051" s="1040" t="e">
        <f t="shared" si="541"/>
        <v>#DIV/0!</v>
      </c>
      <c r="Z1051" s="1040" t="e">
        <f t="shared" si="541"/>
        <v>#DIV/0!</v>
      </c>
      <c r="AA1051" s="1040" t="e">
        <f t="shared" si="541"/>
        <v>#DIV/0!</v>
      </c>
      <c r="AB1051" s="1040" t="e">
        <f t="shared" si="541"/>
        <v>#DIV/0!</v>
      </c>
      <c r="AC1051" s="1040" t="e">
        <f t="shared" si="541"/>
        <v>#DIV/0!</v>
      </c>
      <c r="AD1051" s="1040" t="e">
        <f t="shared" si="541"/>
        <v>#DIV/0!</v>
      </c>
      <c r="AE1051" s="1040" t="e">
        <f t="shared" si="541"/>
        <v>#DIV/0!</v>
      </c>
      <c r="AF1051" s="1040" t="e">
        <f t="shared" si="541"/>
        <v>#DIV/0!</v>
      </c>
      <c r="AG1051" s="1040" t="e">
        <f t="shared" si="541"/>
        <v>#DIV/0!</v>
      </c>
      <c r="AH1051" s="1040" t="e">
        <f t="shared" si="541"/>
        <v>#DIV/0!</v>
      </c>
      <c r="AI1051" s="1040" t="e">
        <f t="shared" si="541"/>
        <v>#DIV/0!</v>
      </c>
      <c r="AJ1051" s="1040" t="e">
        <f t="shared" si="541"/>
        <v>#DIV/0!</v>
      </c>
      <c r="AK1051" s="1040" t="e">
        <f t="shared" si="541"/>
        <v>#DIV/0!</v>
      </c>
      <c r="AL1051" s="1040" t="e">
        <f t="shared" si="541"/>
        <v>#DIV/0!</v>
      </c>
      <c r="AM1051" s="1040" t="e">
        <f t="shared" si="541"/>
        <v>#DIV/0!</v>
      </c>
      <c r="AN1051" s="1040" t="e">
        <f t="shared" si="541"/>
        <v>#DIV/0!</v>
      </c>
      <c r="AO1051" s="1040" t="e">
        <f t="shared" si="541"/>
        <v>#DIV/0!</v>
      </c>
      <c r="AP1051" s="1040" t="e">
        <f t="shared" si="541"/>
        <v>#DIV/0!</v>
      </c>
      <c r="AQ1051" s="1040" t="e">
        <f t="shared" si="541"/>
        <v>#DIV/0!</v>
      </c>
      <c r="AR1051" s="1040" t="e">
        <f t="shared" si="541"/>
        <v>#DIV/0!</v>
      </c>
      <c r="AS1051" s="1040" t="e">
        <f t="shared" ref="AS1051:AY1051" si="542">IF(AS251="",0,IF(OR(1=RANK(AS651,AS$412:AS$790,0),(2=RANK(AS651,AS$412:AS$790,0))),AS651,AS251))</f>
        <v>#DIV/0!</v>
      </c>
      <c r="AT1051" s="1040" t="e">
        <f t="shared" si="542"/>
        <v>#DIV/0!</v>
      </c>
      <c r="AU1051" s="1040">
        <f t="shared" si="542"/>
        <v>0</v>
      </c>
      <c r="AV1051" s="1040" t="e">
        <f t="shared" si="542"/>
        <v>#DIV/0!</v>
      </c>
      <c r="AW1051" s="1040" t="e">
        <f t="shared" si="542"/>
        <v>#DIV/0!</v>
      </c>
      <c r="AX1051" s="1040" t="e">
        <f t="shared" si="542"/>
        <v>#DIV/0!</v>
      </c>
      <c r="AY1051" s="1040" t="e">
        <f t="shared" si="542"/>
        <v>#DIV/0!</v>
      </c>
      <c r="AZ1051" s="1061" t="s">
        <v>21</v>
      </c>
      <c r="BC1051" s="29"/>
      <c r="BD1051" s="29"/>
      <c r="BE1051" s="13"/>
      <c r="BL1051" s="368"/>
    </row>
    <row r="1052" spans="1:64" ht="12" customHeight="1" x14ac:dyDescent="0.2">
      <c r="A1052" s="39">
        <f>acute_overview_children!A252</f>
        <v>4</v>
      </c>
      <c r="B1052" s="23">
        <f t="shared" si="445"/>
        <v>500990</v>
      </c>
      <c r="C1052" s="23" t="str">
        <f t="shared" si="446"/>
        <v>Other cereals</v>
      </c>
      <c r="D1052" s="135"/>
      <c r="E1052" s="1027"/>
      <c r="F1052" s="87"/>
      <c r="G1052" s="87"/>
      <c r="H1052" s="1027"/>
      <c r="I1052" s="1030"/>
      <c r="J1052" s="1039" t="e">
        <f t="shared" ref="J1052:AR1052" si="543">IF(J252="",0,IF(OR(1=RANK(J652,J$412:J$790,0),(2=RANK(J652,J$412:J$790,0))),J652,J252))</f>
        <v>#DIV/0!</v>
      </c>
      <c r="K1052" s="1040" t="e">
        <f t="shared" si="543"/>
        <v>#DIV/0!</v>
      </c>
      <c r="L1052" s="1040" t="e">
        <f t="shared" si="543"/>
        <v>#DIV/0!</v>
      </c>
      <c r="M1052" s="1040" t="e">
        <f t="shared" si="543"/>
        <v>#DIV/0!</v>
      </c>
      <c r="N1052" s="1040" t="e">
        <f t="shared" si="543"/>
        <v>#DIV/0!</v>
      </c>
      <c r="O1052" s="1040" t="e">
        <f t="shared" si="543"/>
        <v>#DIV/0!</v>
      </c>
      <c r="P1052" s="1040" t="e">
        <f t="shared" si="543"/>
        <v>#DIV/0!</v>
      </c>
      <c r="Q1052" s="1040" t="e">
        <f t="shared" si="543"/>
        <v>#DIV/0!</v>
      </c>
      <c r="R1052" s="1040" t="e">
        <f t="shared" si="543"/>
        <v>#DIV/0!</v>
      </c>
      <c r="S1052" s="1040" t="e">
        <f t="shared" si="543"/>
        <v>#DIV/0!</v>
      </c>
      <c r="T1052" s="1040" t="e">
        <f t="shared" si="543"/>
        <v>#DIV/0!</v>
      </c>
      <c r="U1052" s="1040" t="e">
        <f t="shared" si="543"/>
        <v>#DIV/0!</v>
      </c>
      <c r="V1052" s="1040" t="e">
        <f t="shared" si="543"/>
        <v>#DIV/0!</v>
      </c>
      <c r="W1052" s="1040" t="e">
        <f t="shared" si="543"/>
        <v>#DIV/0!</v>
      </c>
      <c r="X1052" s="1040" t="e">
        <f t="shared" si="543"/>
        <v>#DIV/0!</v>
      </c>
      <c r="Y1052" s="1040" t="e">
        <f t="shared" si="543"/>
        <v>#DIV/0!</v>
      </c>
      <c r="Z1052" s="1040" t="e">
        <f t="shared" si="543"/>
        <v>#DIV/0!</v>
      </c>
      <c r="AA1052" s="1040" t="e">
        <f t="shared" si="543"/>
        <v>#DIV/0!</v>
      </c>
      <c r="AB1052" s="1040" t="e">
        <f t="shared" si="543"/>
        <v>#DIV/0!</v>
      </c>
      <c r="AC1052" s="1040" t="e">
        <f t="shared" si="543"/>
        <v>#DIV/0!</v>
      </c>
      <c r="AD1052" s="1040" t="e">
        <f t="shared" si="543"/>
        <v>#DIV/0!</v>
      </c>
      <c r="AE1052" s="1040" t="e">
        <f t="shared" si="543"/>
        <v>#DIV/0!</v>
      </c>
      <c r="AF1052" s="1040" t="e">
        <f t="shared" si="543"/>
        <v>#DIV/0!</v>
      </c>
      <c r="AG1052" s="1040" t="e">
        <f t="shared" si="543"/>
        <v>#DIV/0!</v>
      </c>
      <c r="AH1052" s="1040" t="e">
        <f t="shared" si="543"/>
        <v>#DIV/0!</v>
      </c>
      <c r="AI1052" s="1040" t="e">
        <f t="shared" si="543"/>
        <v>#DIV/0!</v>
      </c>
      <c r="AJ1052" s="1040" t="e">
        <f t="shared" si="543"/>
        <v>#DIV/0!</v>
      </c>
      <c r="AK1052" s="1040" t="e">
        <f t="shared" si="543"/>
        <v>#DIV/0!</v>
      </c>
      <c r="AL1052" s="1040" t="e">
        <f t="shared" si="543"/>
        <v>#DIV/0!</v>
      </c>
      <c r="AM1052" s="1040" t="e">
        <f t="shared" si="543"/>
        <v>#DIV/0!</v>
      </c>
      <c r="AN1052" s="1040" t="e">
        <f t="shared" si="543"/>
        <v>#DIV/0!</v>
      </c>
      <c r="AO1052" s="1040" t="e">
        <f t="shared" si="543"/>
        <v>#DIV/0!</v>
      </c>
      <c r="AP1052" s="1040" t="e">
        <f t="shared" si="543"/>
        <v>#DIV/0!</v>
      </c>
      <c r="AQ1052" s="1040" t="e">
        <f t="shared" si="543"/>
        <v>#DIV/0!</v>
      </c>
      <c r="AR1052" s="1040" t="e">
        <f t="shared" si="543"/>
        <v>#DIV/0!</v>
      </c>
      <c r="AS1052" s="1040" t="e">
        <f t="shared" ref="AS1052:AY1052" si="544">IF(AS252="",0,IF(OR(1=RANK(AS652,AS$412:AS$790,0),(2=RANK(AS652,AS$412:AS$790,0))),AS652,AS252))</f>
        <v>#DIV/0!</v>
      </c>
      <c r="AT1052" s="1040" t="e">
        <f t="shared" si="544"/>
        <v>#DIV/0!</v>
      </c>
      <c r="AU1052" s="1040">
        <f t="shared" si="544"/>
        <v>0</v>
      </c>
      <c r="AV1052" s="1040" t="e">
        <f t="shared" si="544"/>
        <v>#DIV/0!</v>
      </c>
      <c r="AW1052" s="1040" t="e">
        <f t="shared" si="544"/>
        <v>#DIV/0!</v>
      </c>
      <c r="AX1052" s="1040" t="e">
        <f t="shared" si="544"/>
        <v>#DIV/0!</v>
      </c>
      <c r="AY1052" s="1040" t="e">
        <f t="shared" si="544"/>
        <v>#DIV/0!</v>
      </c>
      <c r="AZ1052" s="1061" t="s">
        <v>21</v>
      </c>
      <c r="BC1052" s="29"/>
      <c r="BD1052" s="29"/>
      <c r="BE1052" s="13"/>
      <c r="BL1052" s="368"/>
    </row>
    <row r="1053" spans="1:64" ht="12" customHeight="1" x14ac:dyDescent="0.2">
      <c r="A1053" s="514">
        <f>acute_overview_children!A253</f>
        <v>1</v>
      </c>
      <c r="B1053" s="127">
        <f t="shared" si="445"/>
        <v>600000</v>
      </c>
      <c r="C1053" s="127" t="str">
        <f t="shared" si="446"/>
        <v>TEA, COFFEE,  HERBAL INFUSIONS AND COCOA</v>
      </c>
      <c r="D1053" s="135"/>
      <c r="E1053" s="1027"/>
      <c r="F1053" s="87"/>
      <c r="G1053" s="87"/>
      <c r="H1053" s="1027"/>
      <c r="I1053" s="1030"/>
      <c r="J1053" s="1031" t="e">
        <f t="shared" ref="J1053:AR1053" si="545">IF(J253="",0,IF(OR(1=RANK(J653,J$412:J$790,0),(2=RANK(J653,J$412:J$790,0))),J653,J253))</f>
        <v>#DIV/0!</v>
      </c>
      <c r="K1053" s="1032" t="e">
        <f t="shared" si="545"/>
        <v>#DIV/0!</v>
      </c>
      <c r="L1053" s="1032" t="e">
        <f t="shared" si="545"/>
        <v>#DIV/0!</v>
      </c>
      <c r="M1053" s="1032" t="e">
        <f t="shared" si="545"/>
        <v>#DIV/0!</v>
      </c>
      <c r="N1053" s="1032" t="e">
        <f t="shared" si="545"/>
        <v>#DIV/0!</v>
      </c>
      <c r="O1053" s="1032" t="e">
        <f t="shared" si="545"/>
        <v>#DIV/0!</v>
      </c>
      <c r="P1053" s="1032" t="e">
        <f t="shared" si="545"/>
        <v>#DIV/0!</v>
      </c>
      <c r="Q1053" s="1032" t="e">
        <f t="shared" si="545"/>
        <v>#DIV/0!</v>
      </c>
      <c r="R1053" s="1032" t="e">
        <f t="shared" si="545"/>
        <v>#DIV/0!</v>
      </c>
      <c r="S1053" s="1032" t="e">
        <f t="shared" si="545"/>
        <v>#DIV/0!</v>
      </c>
      <c r="T1053" s="1032" t="e">
        <f t="shared" si="545"/>
        <v>#DIV/0!</v>
      </c>
      <c r="U1053" s="1032" t="e">
        <f t="shared" si="545"/>
        <v>#DIV/0!</v>
      </c>
      <c r="V1053" s="1032" t="e">
        <f t="shared" si="545"/>
        <v>#DIV/0!</v>
      </c>
      <c r="W1053" s="1032" t="e">
        <f t="shared" si="545"/>
        <v>#DIV/0!</v>
      </c>
      <c r="X1053" s="1032" t="e">
        <f t="shared" si="545"/>
        <v>#DIV/0!</v>
      </c>
      <c r="Y1053" s="1032" t="e">
        <f t="shared" si="545"/>
        <v>#DIV/0!</v>
      </c>
      <c r="Z1053" s="1032" t="e">
        <f t="shared" si="545"/>
        <v>#DIV/0!</v>
      </c>
      <c r="AA1053" s="1032" t="e">
        <f t="shared" si="545"/>
        <v>#DIV/0!</v>
      </c>
      <c r="AB1053" s="1032" t="e">
        <f t="shared" si="545"/>
        <v>#DIV/0!</v>
      </c>
      <c r="AC1053" s="1032" t="e">
        <f t="shared" si="545"/>
        <v>#DIV/0!</v>
      </c>
      <c r="AD1053" s="1032" t="e">
        <f t="shared" si="545"/>
        <v>#DIV/0!</v>
      </c>
      <c r="AE1053" s="1032" t="e">
        <f t="shared" si="545"/>
        <v>#DIV/0!</v>
      </c>
      <c r="AF1053" s="1032" t="e">
        <f t="shared" si="545"/>
        <v>#DIV/0!</v>
      </c>
      <c r="AG1053" s="1032" t="e">
        <f t="shared" si="545"/>
        <v>#DIV/0!</v>
      </c>
      <c r="AH1053" s="1032" t="e">
        <f t="shared" si="545"/>
        <v>#DIV/0!</v>
      </c>
      <c r="AI1053" s="1032" t="e">
        <f t="shared" si="545"/>
        <v>#DIV/0!</v>
      </c>
      <c r="AJ1053" s="1032" t="e">
        <f t="shared" si="545"/>
        <v>#DIV/0!</v>
      </c>
      <c r="AK1053" s="1032" t="e">
        <f t="shared" si="545"/>
        <v>#DIV/0!</v>
      </c>
      <c r="AL1053" s="1032" t="e">
        <f t="shared" si="545"/>
        <v>#DIV/0!</v>
      </c>
      <c r="AM1053" s="1032" t="e">
        <f t="shared" si="545"/>
        <v>#DIV/0!</v>
      </c>
      <c r="AN1053" s="1032" t="e">
        <f t="shared" si="545"/>
        <v>#DIV/0!</v>
      </c>
      <c r="AO1053" s="1032" t="e">
        <f t="shared" si="545"/>
        <v>#DIV/0!</v>
      </c>
      <c r="AP1053" s="1032" t="e">
        <f t="shared" si="545"/>
        <v>#DIV/0!</v>
      </c>
      <c r="AQ1053" s="1032" t="e">
        <f t="shared" si="545"/>
        <v>#DIV/0!</v>
      </c>
      <c r="AR1053" s="1032" t="e">
        <f t="shared" si="545"/>
        <v>#DIV/0!</v>
      </c>
      <c r="AS1053" s="1032" t="e">
        <f t="shared" ref="AS1053:AY1053" si="546">IF(AS253="",0,IF(OR(1=RANK(AS653,AS$412:AS$790,0),(2=RANK(AS653,AS$412:AS$790,0))),AS653,AS253))</f>
        <v>#DIV/0!</v>
      </c>
      <c r="AT1053" s="1032" t="e">
        <f t="shared" si="546"/>
        <v>#DIV/0!</v>
      </c>
      <c r="AU1053" s="1032">
        <f t="shared" si="546"/>
        <v>0</v>
      </c>
      <c r="AV1053" s="1032" t="e">
        <f t="shared" si="546"/>
        <v>#DIV/0!</v>
      </c>
      <c r="AW1053" s="1032" t="e">
        <f t="shared" si="546"/>
        <v>#DIV/0!</v>
      </c>
      <c r="AX1053" s="1032" t="e">
        <f t="shared" si="546"/>
        <v>#DIV/0!</v>
      </c>
      <c r="AY1053" s="1032" t="e">
        <f t="shared" si="546"/>
        <v>#DIV/0!</v>
      </c>
      <c r="AZ1053" s="1061" t="s">
        <v>21</v>
      </c>
      <c r="BC1053" s="29"/>
      <c r="BD1053" s="29"/>
      <c r="BE1053" s="13"/>
      <c r="BL1053" s="368"/>
    </row>
    <row r="1054" spans="1:64" ht="12" customHeight="1" x14ac:dyDescent="0.2">
      <c r="A1054" s="515">
        <f>acute_overview_children!A254</f>
        <v>2</v>
      </c>
      <c r="B1054" s="131">
        <f t="shared" si="445"/>
        <v>610000</v>
      </c>
      <c r="C1054" s="131" t="str">
        <f t="shared" si="446"/>
        <v>Tea (dried leaves of Camellia sinensis)</v>
      </c>
      <c r="D1054" s="1035"/>
      <c r="E1054" s="1027"/>
      <c r="F1054" s="87"/>
      <c r="G1054" s="87"/>
      <c r="H1054" s="1027"/>
      <c r="I1054" s="1030"/>
      <c r="J1054" s="1037" t="e">
        <f t="shared" ref="J1054:AR1054" si="547">IF(J254="",0,IF(OR(1=RANK(J654,J$412:J$790,0),(2=RANK(J654,J$412:J$790,0))),J654,J254))</f>
        <v>#DIV/0!</v>
      </c>
      <c r="K1054" s="1038" t="e">
        <f t="shared" si="547"/>
        <v>#DIV/0!</v>
      </c>
      <c r="L1054" s="1038" t="e">
        <f t="shared" si="547"/>
        <v>#DIV/0!</v>
      </c>
      <c r="M1054" s="1038" t="e">
        <f t="shared" si="547"/>
        <v>#DIV/0!</v>
      </c>
      <c r="N1054" s="1038" t="e">
        <f t="shared" si="547"/>
        <v>#DIV/0!</v>
      </c>
      <c r="O1054" s="1038" t="e">
        <f t="shared" si="547"/>
        <v>#DIV/0!</v>
      </c>
      <c r="P1054" s="1038" t="e">
        <f t="shared" si="547"/>
        <v>#DIV/0!</v>
      </c>
      <c r="Q1054" s="1038" t="e">
        <f t="shared" si="547"/>
        <v>#DIV/0!</v>
      </c>
      <c r="R1054" s="1038" t="e">
        <f t="shared" si="547"/>
        <v>#DIV/0!</v>
      </c>
      <c r="S1054" s="1038" t="e">
        <f t="shared" si="547"/>
        <v>#DIV/0!</v>
      </c>
      <c r="T1054" s="1038" t="e">
        <f t="shared" si="547"/>
        <v>#DIV/0!</v>
      </c>
      <c r="U1054" s="1038" t="e">
        <f t="shared" si="547"/>
        <v>#DIV/0!</v>
      </c>
      <c r="V1054" s="1038" t="e">
        <f t="shared" si="547"/>
        <v>#DIV/0!</v>
      </c>
      <c r="W1054" s="1038" t="e">
        <f t="shared" si="547"/>
        <v>#DIV/0!</v>
      </c>
      <c r="X1054" s="1038" t="e">
        <f t="shared" si="547"/>
        <v>#DIV/0!</v>
      </c>
      <c r="Y1054" s="1038" t="e">
        <f t="shared" si="547"/>
        <v>#DIV/0!</v>
      </c>
      <c r="Z1054" s="1038" t="e">
        <f t="shared" si="547"/>
        <v>#DIV/0!</v>
      </c>
      <c r="AA1054" s="1038" t="e">
        <f t="shared" si="547"/>
        <v>#DIV/0!</v>
      </c>
      <c r="AB1054" s="1038" t="e">
        <f t="shared" si="547"/>
        <v>#DIV/0!</v>
      </c>
      <c r="AC1054" s="1038" t="e">
        <f t="shared" si="547"/>
        <v>#DIV/0!</v>
      </c>
      <c r="AD1054" s="1038" t="e">
        <f t="shared" si="547"/>
        <v>#DIV/0!</v>
      </c>
      <c r="AE1054" s="1038" t="e">
        <f t="shared" si="547"/>
        <v>#DIV/0!</v>
      </c>
      <c r="AF1054" s="1038" t="e">
        <f t="shared" si="547"/>
        <v>#DIV/0!</v>
      </c>
      <c r="AG1054" s="1038" t="e">
        <f t="shared" si="547"/>
        <v>#DIV/0!</v>
      </c>
      <c r="AH1054" s="1038" t="e">
        <f t="shared" si="547"/>
        <v>#DIV/0!</v>
      </c>
      <c r="AI1054" s="1038" t="e">
        <f t="shared" si="547"/>
        <v>#DIV/0!</v>
      </c>
      <c r="AJ1054" s="1038" t="e">
        <f t="shared" si="547"/>
        <v>#DIV/0!</v>
      </c>
      <c r="AK1054" s="1038" t="e">
        <f t="shared" si="547"/>
        <v>#DIV/0!</v>
      </c>
      <c r="AL1054" s="1038" t="e">
        <f t="shared" si="547"/>
        <v>#DIV/0!</v>
      </c>
      <c r="AM1054" s="1038" t="e">
        <f t="shared" si="547"/>
        <v>#DIV/0!</v>
      </c>
      <c r="AN1054" s="1038" t="e">
        <f t="shared" si="547"/>
        <v>#DIV/0!</v>
      </c>
      <c r="AO1054" s="1038" t="e">
        <f t="shared" si="547"/>
        <v>#DIV/0!</v>
      </c>
      <c r="AP1054" s="1038" t="e">
        <f t="shared" si="547"/>
        <v>#DIV/0!</v>
      </c>
      <c r="AQ1054" s="1038" t="e">
        <f t="shared" si="547"/>
        <v>#DIV/0!</v>
      </c>
      <c r="AR1054" s="1038" t="e">
        <f t="shared" si="547"/>
        <v>#DIV/0!</v>
      </c>
      <c r="AS1054" s="1038" t="e">
        <f t="shared" ref="AS1054:AY1054" si="548">IF(AS254="",0,IF(OR(1=RANK(AS654,AS$412:AS$790,0),(2=RANK(AS654,AS$412:AS$790,0))),AS654,AS254))</f>
        <v>#DIV/0!</v>
      </c>
      <c r="AT1054" s="1038" t="e">
        <f t="shared" si="548"/>
        <v>#DIV/0!</v>
      </c>
      <c r="AU1054" s="1038">
        <f t="shared" si="548"/>
        <v>0</v>
      </c>
      <c r="AV1054" s="1038" t="e">
        <f t="shared" si="548"/>
        <v>#DIV/0!</v>
      </c>
      <c r="AW1054" s="1038" t="e">
        <f t="shared" si="548"/>
        <v>#DIV/0!</v>
      </c>
      <c r="AX1054" s="1038" t="e">
        <f t="shared" si="548"/>
        <v>#DIV/0!</v>
      </c>
      <c r="AY1054" s="1038" t="e">
        <f t="shared" si="548"/>
        <v>#DIV/0!</v>
      </c>
      <c r="AZ1054" s="1061" t="s">
        <v>21</v>
      </c>
      <c r="BC1054" s="29"/>
      <c r="BD1054" s="29"/>
      <c r="BE1054" s="13"/>
      <c r="BL1054" s="368"/>
    </row>
    <row r="1055" spans="1:64" ht="12" customHeight="1" x14ac:dyDescent="0.2">
      <c r="A1055" s="515">
        <f>acute_overview_children!A255</f>
        <v>2</v>
      </c>
      <c r="B1055" s="131">
        <f t="shared" si="445"/>
        <v>620000</v>
      </c>
      <c r="C1055" s="131" t="str">
        <f t="shared" si="446"/>
        <v>Coffee beans</v>
      </c>
      <c r="D1055" s="1035"/>
      <c r="E1055" s="1027"/>
      <c r="F1055" s="87"/>
      <c r="G1055" s="87"/>
      <c r="H1055" s="1027"/>
      <c r="I1055" s="1030"/>
      <c r="J1055" s="1037" t="e">
        <f t="shared" ref="J1055:AR1055" si="549">IF(J255="",0,IF(OR(1=RANK(J655,J$412:J$790,0),(2=RANK(J655,J$412:J$790,0))),J655,J255))</f>
        <v>#DIV/0!</v>
      </c>
      <c r="K1055" s="1038" t="e">
        <f t="shared" si="549"/>
        <v>#DIV/0!</v>
      </c>
      <c r="L1055" s="1038" t="e">
        <f t="shared" si="549"/>
        <v>#DIV/0!</v>
      </c>
      <c r="M1055" s="1038" t="e">
        <f t="shared" si="549"/>
        <v>#DIV/0!</v>
      </c>
      <c r="N1055" s="1038" t="e">
        <f t="shared" si="549"/>
        <v>#DIV/0!</v>
      </c>
      <c r="O1055" s="1038" t="e">
        <f t="shared" si="549"/>
        <v>#DIV/0!</v>
      </c>
      <c r="P1055" s="1038" t="e">
        <f t="shared" si="549"/>
        <v>#DIV/0!</v>
      </c>
      <c r="Q1055" s="1038" t="e">
        <f t="shared" si="549"/>
        <v>#DIV/0!</v>
      </c>
      <c r="R1055" s="1038" t="e">
        <f t="shared" si="549"/>
        <v>#DIV/0!</v>
      </c>
      <c r="S1055" s="1038" t="e">
        <f t="shared" si="549"/>
        <v>#DIV/0!</v>
      </c>
      <c r="T1055" s="1038" t="e">
        <f t="shared" si="549"/>
        <v>#DIV/0!</v>
      </c>
      <c r="U1055" s="1038" t="e">
        <f t="shared" si="549"/>
        <v>#DIV/0!</v>
      </c>
      <c r="V1055" s="1038" t="e">
        <f t="shared" si="549"/>
        <v>#DIV/0!</v>
      </c>
      <c r="W1055" s="1038" t="e">
        <f t="shared" si="549"/>
        <v>#DIV/0!</v>
      </c>
      <c r="X1055" s="1038" t="e">
        <f t="shared" si="549"/>
        <v>#DIV/0!</v>
      </c>
      <c r="Y1055" s="1038" t="e">
        <f t="shared" si="549"/>
        <v>#DIV/0!</v>
      </c>
      <c r="Z1055" s="1038" t="e">
        <f t="shared" si="549"/>
        <v>#DIV/0!</v>
      </c>
      <c r="AA1055" s="1038" t="e">
        <f t="shared" si="549"/>
        <v>#DIV/0!</v>
      </c>
      <c r="AB1055" s="1038" t="e">
        <f t="shared" si="549"/>
        <v>#DIV/0!</v>
      </c>
      <c r="AC1055" s="1038" t="e">
        <f t="shared" si="549"/>
        <v>#DIV/0!</v>
      </c>
      <c r="AD1055" s="1038" t="e">
        <f t="shared" si="549"/>
        <v>#DIV/0!</v>
      </c>
      <c r="AE1055" s="1038" t="e">
        <f t="shared" si="549"/>
        <v>#DIV/0!</v>
      </c>
      <c r="AF1055" s="1038" t="e">
        <f t="shared" si="549"/>
        <v>#DIV/0!</v>
      </c>
      <c r="AG1055" s="1038" t="e">
        <f t="shared" si="549"/>
        <v>#DIV/0!</v>
      </c>
      <c r="AH1055" s="1038" t="e">
        <f t="shared" si="549"/>
        <v>#DIV/0!</v>
      </c>
      <c r="AI1055" s="1038" t="e">
        <f t="shared" si="549"/>
        <v>#DIV/0!</v>
      </c>
      <c r="AJ1055" s="1038" t="e">
        <f t="shared" si="549"/>
        <v>#DIV/0!</v>
      </c>
      <c r="AK1055" s="1038" t="e">
        <f t="shared" si="549"/>
        <v>#DIV/0!</v>
      </c>
      <c r="AL1055" s="1038" t="e">
        <f t="shared" si="549"/>
        <v>#DIV/0!</v>
      </c>
      <c r="AM1055" s="1038" t="e">
        <f t="shared" si="549"/>
        <v>#DIV/0!</v>
      </c>
      <c r="AN1055" s="1038" t="e">
        <f t="shared" si="549"/>
        <v>#DIV/0!</v>
      </c>
      <c r="AO1055" s="1038" t="e">
        <f t="shared" si="549"/>
        <v>#DIV/0!</v>
      </c>
      <c r="AP1055" s="1038" t="e">
        <f t="shared" si="549"/>
        <v>#DIV/0!</v>
      </c>
      <c r="AQ1055" s="1038" t="e">
        <f t="shared" si="549"/>
        <v>#DIV/0!</v>
      </c>
      <c r="AR1055" s="1038" t="e">
        <f t="shared" si="549"/>
        <v>#DIV/0!</v>
      </c>
      <c r="AS1055" s="1038" t="e">
        <f t="shared" ref="AS1055:AY1055" si="550">IF(AS255="",0,IF(OR(1=RANK(AS655,AS$412:AS$790,0),(2=RANK(AS655,AS$412:AS$790,0))),AS655,AS255))</f>
        <v>#DIV/0!</v>
      </c>
      <c r="AT1055" s="1038" t="e">
        <f t="shared" si="550"/>
        <v>#DIV/0!</v>
      </c>
      <c r="AU1055" s="1038">
        <f t="shared" si="550"/>
        <v>0</v>
      </c>
      <c r="AV1055" s="1038" t="e">
        <f t="shared" si="550"/>
        <v>#DIV/0!</v>
      </c>
      <c r="AW1055" s="1038" t="e">
        <f t="shared" si="550"/>
        <v>#DIV/0!</v>
      </c>
      <c r="AX1055" s="1038" t="e">
        <f t="shared" si="550"/>
        <v>#DIV/0!</v>
      </c>
      <c r="AY1055" s="1038" t="e">
        <f t="shared" si="550"/>
        <v>#DIV/0!</v>
      </c>
      <c r="AZ1055" s="1061" t="s">
        <v>21</v>
      </c>
      <c r="BC1055" s="29"/>
      <c r="BD1055" s="29"/>
      <c r="BE1055" s="13"/>
      <c r="BL1055" s="368"/>
    </row>
    <row r="1056" spans="1:64" ht="12" customHeight="1" x14ac:dyDescent="0.2">
      <c r="A1056" s="515">
        <f>acute_overview_children!A256</f>
        <v>2</v>
      </c>
      <c r="B1056" s="131">
        <f t="shared" si="445"/>
        <v>630000</v>
      </c>
      <c r="C1056" s="131" t="str">
        <f t="shared" si="446"/>
        <v>Herbal infusions (dried)</v>
      </c>
      <c r="D1056" s="1035"/>
      <c r="E1056" s="1027"/>
      <c r="F1056" s="87"/>
      <c r="G1056" s="87"/>
      <c r="H1056" s="1027"/>
      <c r="I1056" s="1030"/>
      <c r="J1056" s="1037" t="e">
        <f t="shared" ref="J1056:AR1056" si="551">IF(J256="",0,IF(OR(1=RANK(J656,J$412:J$790,0),(2=RANK(J656,J$412:J$790,0))),J656,J256))</f>
        <v>#DIV/0!</v>
      </c>
      <c r="K1056" s="1038" t="e">
        <f t="shared" si="551"/>
        <v>#DIV/0!</v>
      </c>
      <c r="L1056" s="1038" t="e">
        <f t="shared" si="551"/>
        <v>#DIV/0!</v>
      </c>
      <c r="M1056" s="1038" t="e">
        <f t="shared" si="551"/>
        <v>#DIV/0!</v>
      </c>
      <c r="N1056" s="1038" t="e">
        <f t="shared" si="551"/>
        <v>#DIV/0!</v>
      </c>
      <c r="O1056" s="1038" t="e">
        <f t="shared" si="551"/>
        <v>#DIV/0!</v>
      </c>
      <c r="P1056" s="1038" t="e">
        <f t="shared" si="551"/>
        <v>#DIV/0!</v>
      </c>
      <c r="Q1056" s="1038" t="e">
        <f t="shared" si="551"/>
        <v>#DIV/0!</v>
      </c>
      <c r="R1056" s="1038" t="e">
        <f t="shared" si="551"/>
        <v>#DIV/0!</v>
      </c>
      <c r="S1056" s="1038" t="e">
        <f t="shared" si="551"/>
        <v>#DIV/0!</v>
      </c>
      <c r="T1056" s="1038" t="e">
        <f t="shared" si="551"/>
        <v>#DIV/0!</v>
      </c>
      <c r="U1056" s="1038" t="e">
        <f t="shared" si="551"/>
        <v>#DIV/0!</v>
      </c>
      <c r="V1056" s="1038" t="e">
        <f t="shared" si="551"/>
        <v>#DIV/0!</v>
      </c>
      <c r="W1056" s="1038" t="e">
        <f t="shared" si="551"/>
        <v>#DIV/0!</v>
      </c>
      <c r="X1056" s="1038" t="e">
        <f t="shared" si="551"/>
        <v>#DIV/0!</v>
      </c>
      <c r="Y1056" s="1038" t="e">
        <f t="shared" si="551"/>
        <v>#DIV/0!</v>
      </c>
      <c r="Z1056" s="1038" t="e">
        <f t="shared" si="551"/>
        <v>#DIV/0!</v>
      </c>
      <c r="AA1056" s="1038" t="e">
        <f t="shared" si="551"/>
        <v>#DIV/0!</v>
      </c>
      <c r="AB1056" s="1038" t="e">
        <f t="shared" si="551"/>
        <v>#DIV/0!</v>
      </c>
      <c r="AC1056" s="1038" t="e">
        <f t="shared" si="551"/>
        <v>#DIV/0!</v>
      </c>
      <c r="AD1056" s="1038" t="e">
        <f t="shared" si="551"/>
        <v>#DIV/0!</v>
      </c>
      <c r="AE1056" s="1038" t="e">
        <f t="shared" si="551"/>
        <v>#DIV/0!</v>
      </c>
      <c r="AF1056" s="1038" t="e">
        <f t="shared" si="551"/>
        <v>#DIV/0!</v>
      </c>
      <c r="AG1056" s="1038" t="e">
        <f t="shared" si="551"/>
        <v>#DIV/0!</v>
      </c>
      <c r="AH1056" s="1038" t="e">
        <f t="shared" si="551"/>
        <v>#DIV/0!</v>
      </c>
      <c r="AI1056" s="1038" t="e">
        <f t="shared" si="551"/>
        <v>#DIV/0!</v>
      </c>
      <c r="AJ1056" s="1038" t="e">
        <f t="shared" si="551"/>
        <v>#DIV/0!</v>
      </c>
      <c r="AK1056" s="1038" t="e">
        <f t="shared" si="551"/>
        <v>#DIV/0!</v>
      </c>
      <c r="AL1056" s="1038" t="e">
        <f t="shared" si="551"/>
        <v>#DIV/0!</v>
      </c>
      <c r="AM1056" s="1038" t="e">
        <f t="shared" si="551"/>
        <v>#DIV/0!</v>
      </c>
      <c r="AN1056" s="1038" t="e">
        <f t="shared" si="551"/>
        <v>#DIV/0!</v>
      </c>
      <c r="AO1056" s="1038" t="e">
        <f t="shared" si="551"/>
        <v>#DIV/0!</v>
      </c>
      <c r="AP1056" s="1038" t="e">
        <f t="shared" si="551"/>
        <v>#DIV/0!</v>
      </c>
      <c r="AQ1056" s="1038" t="e">
        <f t="shared" si="551"/>
        <v>#DIV/0!</v>
      </c>
      <c r="AR1056" s="1038" t="e">
        <f t="shared" si="551"/>
        <v>#DIV/0!</v>
      </c>
      <c r="AS1056" s="1038" t="e">
        <f t="shared" ref="AS1056:AY1056" si="552">IF(AS256="",0,IF(OR(1=RANK(AS656,AS$412:AS$790,0),(2=RANK(AS656,AS$412:AS$790,0))),AS656,AS256))</f>
        <v>#DIV/0!</v>
      </c>
      <c r="AT1056" s="1038" t="e">
        <f t="shared" si="552"/>
        <v>#DIV/0!</v>
      </c>
      <c r="AU1056" s="1038">
        <f t="shared" si="552"/>
        <v>0</v>
      </c>
      <c r="AV1056" s="1038" t="e">
        <f t="shared" si="552"/>
        <v>#DIV/0!</v>
      </c>
      <c r="AW1056" s="1038" t="e">
        <f t="shared" si="552"/>
        <v>#DIV/0!</v>
      </c>
      <c r="AX1056" s="1038" t="e">
        <f t="shared" si="552"/>
        <v>#DIV/0!</v>
      </c>
      <c r="AY1056" s="1038" t="e">
        <f t="shared" si="552"/>
        <v>#DIV/0!</v>
      </c>
      <c r="AZ1056" s="1061" t="s">
        <v>21</v>
      </c>
      <c r="BC1056" s="29"/>
      <c r="BD1056" s="29"/>
      <c r="BE1056" s="13"/>
      <c r="BL1056" s="368"/>
    </row>
    <row r="1057" spans="1:64" ht="12" customHeight="1" x14ac:dyDescent="0.2">
      <c r="A1057" s="132">
        <f>acute_overview_children!A257</f>
        <v>3</v>
      </c>
      <c r="B1057" s="3">
        <f t="shared" si="445"/>
        <v>631000</v>
      </c>
      <c r="C1057" s="3" t="str">
        <f t="shared" si="446"/>
        <v>Herbal infusions (dried flowers)</v>
      </c>
      <c r="D1057" s="1042"/>
      <c r="E1057" s="1027"/>
      <c r="F1057" s="87"/>
      <c r="G1057" s="87"/>
      <c r="H1057" s="1027"/>
      <c r="I1057" s="1030"/>
      <c r="J1057" s="1043" t="e">
        <f t="shared" ref="J1057:AR1057" si="553">IF(J257="",0,IF(OR(1=RANK(J657,J$412:J$790,0),(2=RANK(J657,J$412:J$790,0))),J657,J257))</f>
        <v>#DIV/0!</v>
      </c>
      <c r="K1057" s="1044" t="e">
        <f t="shared" si="553"/>
        <v>#DIV/0!</v>
      </c>
      <c r="L1057" s="1044" t="e">
        <f t="shared" si="553"/>
        <v>#DIV/0!</v>
      </c>
      <c r="M1057" s="1044" t="e">
        <f t="shared" si="553"/>
        <v>#DIV/0!</v>
      </c>
      <c r="N1057" s="1044" t="e">
        <f t="shared" si="553"/>
        <v>#DIV/0!</v>
      </c>
      <c r="O1057" s="1044" t="e">
        <f t="shared" si="553"/>
        <v>#DIV/0!</v>
      </c>
      <c r="P1057" s="1044" t="e">
        <f t="shared" si="553"/>
        <v>#DIV/0!</v>
      </c>
      <c r="Q1057" s="1044" t="e">
        <f t="shared" si="553"/>
        <v>#DIV/0!</v>
      </c>
      <c r="R1057" s="1044" t="e">
        <f t="shared" si="553"/>
        <v>#DIV/0!</v>
      </c>
      <c r="S1057" s="1044" t="e">
        <f t="shared" si="553"/>
        <v>#DIV/0!</v>
      </c>
      <c r="T1057" s="1044" t="e">
        <f t="shared" si="553"/>
        <v>#DIV/0!</v>
      </c>
      <c r="U1057" s="1044" t="e">
        <f t="shared" si="553"/>
        <v>#DIV/0!</v>
      </c>
      <c r="V1057" s="1044" t="e">
        <f t="shared" si="553"/>
        <v>#DIV/0!</v>
      </c>
      <c r="W1057" s="1044" t="e">
        <f t="shared" si="553"/>
        <v>#DIV/0!</v>
      </c>
      <c r="X1057" s="1044" t="e">
        <f t="shared" si="553"/>
        <v>#DIV/0!</v>
      </c>
      <c r="Y1057" s="1044" t="e">
        <f t="shared" si="553"/>
        <v>#DIV/0!</v>
      </c>
      <c r="Z1057" s="1044" t="e">
        <f t="shared" si="553"/>
        <v>#DIV/0!</v>
      </c>
      <c r="AA1057" s="1044" t="e">
        <f t="shared" si="553"/>
        <v>#DIV/0!</v>
      </c>
      <c r="AB1057" s="1044" t="e">
        <f t="shared" si="553"/>
        <v>#DIV/0!</v>
      </c>
      <c r="AC1057" s="1044" t="e">
        <f t="shared" si="553"/>
        <v>#DIV/0!</v>
      </c>
      <c r="AD1057" s="1044" t="e">
        <f t="shared" si="553"/>
        <v>#DIV/0!</v>
      </c>
      <c r="AE1057" s="1044" t="e">
        <f t="shared" si="553"/>
        <v>#DIV/0!</v>
      </c>
      <c r="AF1057" s="1044" t="e">
        <f t="shared" si="553"/>
        <v>#DIV/0!</v>
      </c>
      <c r="AG1057" s="1044" t="e">
        <f t="shared" si="553"/>
        <v>#DIV/0!</v>
      </c>
      <c r="AH1057" s="1044" t="e">
        <f t="shared" si="553"/>
        <v>#DIV/0!</v>
      </c>
      <c r="AI1057" s="1044" t="e">
        <f t="shared" si="553"/>
        <v>#DIV/0!</v>
      </c>
      <c r="AJ1057" s="1044" t="e">
        <f t="shared" si="553"/>
        <v>#DIV/0!</v>
      </c>
      <c r="AK1057" s="1044" t="e">
        <f t="shared" si="553"/>
        <v>#DIV/0!</v>
      </c>
      <c r="AL1057" s="1044" t="e">
        <f t="shared" si="553"/>
        <v>#DIV/0!</v>
      </c>
      <c r="AM1057" s="1044" t="e">
        <f t="shared" si="553"/>
        <v>#DIV/0!</v>
      </c>
      <c r="AN1057" s="1044" t="e">
        <f t="shared" si="553"/>
        <v>#DIV/0!</v>
      </c>
      <c r="AO1057" s="1044" t="e">
        <f t="shared" si="553"/>
        <v>#DIV/0!</v>
      </c>
      <c r="AP1057" s="1044" t="e">
        <f t="shared" si="553"/>
        <v>#DIV/0!</v>
      </c>
      <c r="AQ1057" s="1044" t="e">
        <f t="shared" si="553"/>
        <v>#DIV/0!</v>
      </c>
      <c r="AR1057" s="1044" t="e">
        <f t="shared" si="553"/>
        <v>#DIV/0!</v>
      </c>
      <c r="AS1057" s="1044" t="e">
        <f t="shared" ref="AS1057:AY1057" si="554">IF(AS257="",0,IF(OR(1=RANK(AS657,AS$412:AS$790,0),(2=RANK(AS657,AS$412:AS$790,0))),AS657,AS257))</f>
        <v>#DIV/0!</v>
      </c>
      <c r="AT1057" s="1044" t="e">
        <f t="shared" si="554"/>
        <v>#DIV/0!</v>
      </c>
      <c r="AU1057" s="1044">
        <f t="shared" si="554"/>
        <v>0</v>
      </c>
      <c r="AV1057" s="1044" t="e">
        <f t="shared" si="554"/>
        <v>#DIV/0!</v>
      </c>
      <c r="AW1057" s="1044" t="e">
        <f t="shared" si="554"/>
        <v>#DIV/0!</v>
      </c>
      <c r="AX1057" s="1044" t="e">
        <f t="shared" si="554"/>
        <v>#DIV/0!</v>
      </c>
      <c r="AY1057" s="1044" t="e">
        <f t="shared" si="554"/>
        <v>#DIV/0!</v>
      </c>
      <c r="AZ1057" s="1061" t="s">
        <v>21</v>
      </c>
      <c r="BC1057" s="29"/>
      <c r="BD1057" s="29"/>
      <c r="BE1057" s="13"/>
      <c r="BL1057" s="368"/>
    </row>
    <row r="1058" spans="1:64" ht="12" customHeight="1" x14ac:dyDescent="0.2">
      <c r="A1058" s="39">
        <f>acute_overview_children!A258</f>
        <v>4</v>
      </c>
      <c r="B1058" s="23">
        <f t="shared" si="445"/>
        <v>631010</v>
      </c>
      <c r="C1058" s="23" t="str">
        <f t="shared" si="446"/>
        <v>Chamomille</v>
      </c>
      <c r="D1058" s="135"/>
      <c r="E1058" s="1027"/>
      <c r="F1058" s="87"/>
      <c r="G1058" s="87"/>
      <c r="H1058" s="1027"/>
      <c r="I1058" s="1030"/>
      <c r="J1058" s="1039" t="e">
        <f t="shared" ref="J1058:AR1058" si="555">IF(J258="",0,IF(OR(1=RANK(J658,J$412:J$790,0),(2=RANK(J658,J$412:J$790,0))),J658,J258))</f>
        <v>#DIV/0!</v>
      </c>
      <c r="K1058" s="1040" t="e">
        <f t="shared" si="555"/>
        <v>#DIV/0!</v>
      </c>
      <c r="L1058" s="1040" t="e">
        <f t="shared" si="555"/>
        <v>#DIV/0!</v>
      </c>
      <c r="M1058" s="1040" t="e">
        <f t="shared" si="555"/>
        <v>#DIV/0!</v>
      </c>
      <c r="N1058" s="1040" t="e">
        <f t="shared" si="555"/>
        <v>#DIV/0!</v>
      </c>
      <c r="O1058" s="1040" t="e">
        <f t="shared" si="555"/>
        <v>#DIV/0!</v>
      </c>
      <c r="P1058" s="1040" t="e">
        <f t="shared" si="555"/>
        <v>#DIV/0!</v>
      </c>
      <c r="Q1058" s="1040" t="e">
        <f t="shared" si="555"/>
        <v>#DIV/0!</v>
      </c>
      <c r="R1058" s="1040" t="e">
        <f t="shared" si="555"/>
        <v>#DIV/0!</v>
      </c>
      <c r="S1058" s="1040" t="e">
        <f t="shared" si="555"/>
        <v>#DIV/0!</v>
      </c>
      <c r="T1058" s="1040" t="e">
        <f t="shared" si="555"/>
        <v>#DIV/0!</v>
      </c>
      <c r="U1058" s="1040" t="e">
        <f t="shared" si="555"/>
        <v>#DIV/0!</v>
      </c>
      <c r="V1058" s="1040" t="e">
        <f t="shared" si="555"/>
        <v>#DIV/0!</v>
      </c>
      <c r="W1058" s="1040" t="e">
        <f t="shared" si="555"/>
        <v>#DIV/0!</v>
      </c>
      <c r="X1058" s="1040" t="e">
        <f t="shared" si="555"/>
        <v>#DIV/0!</v>
      </c>
      <c r="Y1058" s="1040" t="e">
        <f t="shared" si="555"/>
        <v>#DIV/0!</v>
      </c>
      <c r="Z1058" s="1040" t="e">
        <f t="shared" si="555"/>
        <v>#DIV/0!</v>
      </c>
      <c r="AA1058" s="1040" t="e">
        <f t="shared" si="555"/>
        <v>#DIV/0!</v>
      </c>
      <c r="AB1058" s="1040" t="e">
        <f t="shared" si="555"/>
        <v>#DIV/0!</v>
      </c>
      <c r="AC1058" s="1040" t="e">
        <f t="shared" si="555"/>
        <v>#DIV/0!</v>
      </c>
      <c r="AD1058" s="1040" t="e">
        <f t="shared" si="555"/>
        <v>#DIV/0!</v>
      </c>
      <c r="AE1058" s="1040" t="e">
        <f t="shared" si="555"/>
        <v>#DIV/0!</v>
      </c>
      <c r="AF1058" s="1040" t="e">
        <f t="shared" si="555"/>
        <v>#DIV/0!</v>
      </c>
      <c r="AG1058" s="1040" t="e">
        <f t="shared" si="555"/>
        <v>#DIV/0!</v>
      </c>
      <c r="AH1058" s="1040" t="e">
        <f t="shared" si="555"/>
        <v>#DIV/0!</v>
      </c>
      <c r="AI1058" s="1040" t="e">
        <f t="shared" si="555"/>
        <v>#DIV/0!</v>
      </c>
      <c r="AJ1058" s="1040" t="e">
        <f t="shared" si="555"/>
        <v>#DIV/0!</v>
      </c>
      <c r="AK1058" s="1040" t="e">
        <f t="shared" si="555"/>
        <v>#DIV/0!</v>
      </c>
      <c r="AL1058" s="1040" t="e">
        <f t="shared" si="555"/>
        <v>#DIV/0!</v>
      </c>
      <c r="AM1058" s="1040" t="e">
        <f t="shared" si="555"/>
        <v>#DIV/0!</v>
      </c>
      <c r="AN1058" s="1040" t="e">
        <f t="shared" si="555"/>
        <v>#DIV/0!</v>
      </c>
      <c r="AO1058" s="1040" t="e">
        <f t="shared" si="555"/>
        <v>#DIV/0!</v>
      </c>
      <c r="AP1058" s="1040" t="e">
        <f t="shared" si="555"/>
        <v>#DIV/0!</v>
      </c>
      <c r="AQ1058" s="1040" t="e">
        <f t="shared" si="555"/>
        <v>#DIV/0!</v>
      </c>
      <c r="AR1058" s="1040" t="e">
        <f t="shared" si="555"/>
        <v>#DIV/0!</v>
      </c>
      <c r="AS1058" s="1040" t="e">
        <f t="shared" ref="AS1058:AY1058" si="556">IF(AS258="",0,IF(OR(1=RANK(AS658,AS$412:AS$790,0),(2=RANK(AS658,AS$412:AS$790,0))),AS658,AS258))</f>
        <v>#DIV/0!</v>
      </c>
      <c r="AT1058" s="1040" t="e">
        <f t="shared" si="556"/>
        <v>#DIV/0!</v>
      </c>
      <c r="AU1058" s="1040">
        <f t="shared" si="556"/>
        <v>0</v>
      </c>
      <c r="AV1058" s="1040" t="e">
        <f t="shared" si="556"/>
        <v>#DIV/0!</v>
      </c>
      <c r="AW1058" s="1040" t="e">
        <f t="shared" si="556"/>
        <v>#DIV/0!</v>
      </c>
      <c r="AX1058" s="1040" t="e">
        <f t="shared" si="556"/>
        <v>#DIV/0!</v>
      </c>
      <c r="AY1058" s="1040" t="e">
        <f t="shared" si="556"/>
        <v>#DIV/0!</v>
      </c>
      <c r="AZ1058" s="1061" t="s">
        <v>21</v>
      </c>
      <c r="BC1058" s="29"/>
      <c r="BD1058" s="29"/>
      <c r="BE1058" s="13"/>
      <c r="BL1058" s="368"/>
    </row>
    <row r="1059" spans="1:64" ht="12" customHeight="1" x14ac:dyDescent="0.2">
      <c r="A1059" s="39">
        <f>acute_overview_children!A259</f>
        <v>4</v>
      </c>
      <c r="B1059" s="23">
        <f t="shared" si="445"/>
        <v>631020</v>
      </c>
      <c r="C1059" s="23" t="str">
        <f t="shared" si="446"/>
        <v>Hybiscus/roselle</v>
      </c>
      <c r="D1059" s="135"/>
      <c r="E1059" s="1027"/>
      <c r="F1059" s="87"/>
      <c r="G1059" s="87"/>
      <c r="H1059" s="1027"/>
      <c r="I1059" s="1030"/>
      <c r="J1059" s="1039" t="e">
        <f t="shared" ref="J1059:AR1059" si="557">IF(J259="",0,IF(OR(1=RANK(J659,J$412:J$790,0),(2=RANK(J659,J$412:J$790,0))),J659,J259))</f>
        <v>#DIV/0!</v>
      </c>
      <c r="K1059" s="1040" t="e">
        <f t="shared" si="557"/>
        <v>#DIV/0!</v>
      </c>
      <c r="L1059" s="1040" t="e">
        <f t="shared" si="557"/>
        <v>#DIV/0!</v>
      </c>
      <c r="M1059" s="1040" t="e">
        <f t="shared" si="557"/>
        <v>#DIV/0!</v>
      </c>
      <c r="N1059" s="1040" t="e">
        <f t="shared" si="557"/>
        <v>#DIV/0!</v>
      </c>
      <c r="O1059" s="1040" t="e">
        <f t="shared" si="557"/>
        <v>#DIV/0!</v>
      </c>
      <c r="P1059" s="1040" t="e">
        <f t="shared" si="557"/>
        <v>#DIV/0!</v>
      </c>
      <c r="Q1059" s="1040" t="e">
        <f t="shared" si="557"/>
        <v>#DIV/0!</v>
      </c>
      <c r="R1059" s="1040" t="e">
        <f t="shared" si="557"/>
        <v>#DIV/0!</v>
      </c>
      <c r="S1059" s="1040" t="e">
        <f t="shared" si="557"/>
        <v>#DIV/0!</v>
      </c>
      <c r="T1059" s="1040" t="e">
        <f t="shared" si="557"/>
        <v>#DIV/0!</v>
      </c>
      <c r="U1059" s="1040" t="e">
        <f t="shared" si="557"/>
        <v>#DIV/0!</v>
      </c>
      <c r="V1059" s="1040" t="e">
        <f t="shared" si="557"/>
        <v>#DIV/0!</v>
      </c>
      <c r="W1059" s="1040" t="e">
        <f t="shared" si="557"/>
        <v>#DIV/0!</v>
      </c>
      <c r="X1059" s="1040" t="e">
        <f t="shared" si="557"/>
        <v>#DIV/0!</v>
      </c>
      <c r="Y1059" s="1040" t="e">
        <f t="shared" si="557"/>
        <v>#DIV/0!</v>
      </c>
      <c r="Z1059" s="1040" t="e">
        <f t="shared" si="557"/>
        <v>#DIV/0!</v>
      </c>
      <c r="AA1059" s="1040" t="e">
        <f t="shared" si="557"/>
        <v>#DIV/0!</v>
      </c>
      <c r="AB1059" s="1040" t="e">
        <f t="shared" si="557"/>
        <v>#DIV/0!</v>
      </c>
      <c r="AC1059" s="1040" t="e">
        <f t="shared" si="557"/>
        <v>#DIV/0!</v>
      </c>
      <c r="AD1059" s="1040" t="e">
        <f t="shared" si="557"/>
        <v>#DIV/0!</v>
      </c>
      <c r="AE1059" s="1040" t="e">
        <f t="shared" si="557"/>
        <v>#DIV/0!</v>
      </c>
      <c r="AF1059" s="1040" t="e">
        <f t="shared" si="557"/>
        <v>#DIV/0!</v>
      </c>
      <c r="AG1059" s="1040" t="e">
        <f t="shared" si="557"/>
        <v>#DIV/0!</v>
      </c>
      <c r="AH1059" s="1040" t="e">
        <f t="shared" si="557"/>
        <v>#DIV/0!</v>
      </c>
      <c r="AI1059" s="1040" t="e">
        <f t="shared" si="557"/>
        <v>#DIV/0!</v>
      </c>
      <c r="AJ1059" s="1040" t="e">
        <f t="shared" si="557"/>
        <v>#DIV/0!</v>
      </c>
      <c r="AK1059" s="1040" t="e">
        <f t="shared" si="557"/>
        <v>#DIV/0!</v>
      </c>
      <c r="AL1059" s="1040" t="e">
        <f t="shared" si="557"/>
        <v>#DIV/0!</v>
      </c>
      <c r="AM1059" s="1040" t="e">
        <f t="shared" si="557"/>
        <v>#DIV/0!</v>
      </c>
      <c r="AN1059" s="1040" t="e">
        <f t="shared" si="557"/>
        <v>#DIV/0!</v>
      </c>
      <c r="AO1059" s="1040" t="e">
        <f t="shared" si="557"/>
        <v>#DIV/0!</v>
      </c>
      <c r="AP1059" s="1040" t="e">
        <f t="shared" si="557"/>
        <v>#DIV/0!</v>
      </c>
      <c r="AQ1059" s="1040" t="e">
        <f t="shared" si="557"/>
        <v>#DIV/0!</v>
      </c>
      <c r="AR1059" s="1040" t="e">
        <f t="shared" si="557"/>
        <v>#DIV/0!</v>
      </c>
      <c r="AS1059" s="1040" t="e">
        <f t="shared" ref="AS1059:AY1059" si="558">IF(AS259="",0,IF(OR(1=RANK(AS659,AS$412:AS$790,0),(2=RANK(AS659,AS$412:AS$790,0))),AS659,AS259))</f>
        <v>#DIV/0!</v>
      </c>
      <c r="AT1059" s="1040" t="e">
        <f t="shared" si="558"/>
        <v>#DIV/0!</v>
      </c>
      <c r="AU1059" s="1040">
        <f t="shared" si="558"/>
        <v>0</v>
      </c>
      <c r="AV1059" s="1040" t="e">
        <f t="shared" si="558"/>
        <v>#DIV/0!</v>
      </c>
      <c r="AW1059" s="1040" t="e">
        <f t="shared" si="558"/>
        <v>#DIV/0!</v>
      </c>
      <c r="AX1059" s="1040" t="e">
        <f t="shared" si="558"/>
        <v>#DIV/0!</v>
      </c>
      <c r="AY1059" s="1040" t="e">
        <f t="shared" si="558"/>
        <v>#DIV/0!</v>
      </c>
      <c r="AZ1059" s="1061" t="s">
        <v>21</v>
      </c>
      <c r="BC1059" s="29"/>
      <c r="BD1059" s="29"/>
      <c r="BE1059" s="13"/>
      <c r="BL1059" s="368"/>
    </row>
    <row r="1060" spans="1:64" ht="12" customHeight="1" x14ac:dyDescent="0.2">
      <c r="A1060" s="39">
        <f>acute_overview_children!A260</f>
        <v>4</v>
      </c>
      <c r="B1060" s="23">
        <f t="shared" si="445"/>
        <v>631030</v>
      </c>
      <c r="C1060" s="23" t="str">
        <f t="shared" si="446"/>
        <v>Rose</v>
      </c>
      <c r="D1060" s="135"/>
      <c r="E1060" s="1027"/>
      <c r="F1060" s="87"/>
      <c r="G1060" s="87"/>
      <c r="H1060" s="1027"/>
      <c r="I1060" s="1030"/>
      <c r="J1060" s="1039" t="e">
        <f t="shared" ref="J1060:AR1060" si="559">IF(J260="",0,IF(OR(1=RANK(J660,J$412:J$790,0),(2=RANK(J660,J$412:J$790,0))),J660,J260))</f>
        <v>#DIV/0!</v>
      </c>
      <c r="K1060" s="1040" t="e">
        <f t="shared" si="559"/>
        <v>#DIV/0!</v>
      </c>
      <c r="L1060" s="1040" t="e">
        <f t="shared" si="559"/>
        <v>#DIV/0!</v>
      </c>
      <c r="M1060" s="1040" t="e">
        <f t="shared" si="559"/>
        <v>#DIV/0!</v>
      </c>
      <c r="N1060" s="1040" t="e">
        <f t="shared" si="559"/>
        <v>#DIV/0!</v>
      </c>
      <c r="O1060" s="1040" t="e">
        <f t="shared" si="559"/>
        <v>#DIV/0!</v>
      </c>
      <c r="P1060" s="1040" t="e">
        <f t="shared" si="559"/>
        <v>#DIV/0!</v>
      </c>
      <c r="Q1060" s="1040" t="e">
        <f t="shared" si="559"/>
        <v>#DIV/0!</v>
      </c>
      <c r="R1060" s="1040" t="e">
        <f t="shared" si="559"/>
        <v>#DIV/0!</v>
      </c>
      <c r="S1060" s="1040" t="e">
        <f t="shared" si="559"/>
        <v>#DIV/0!</v>
      </c>
      <c r="T1060" s="1040" t="e">
        <f t="shared" si="559"/>
        <v>#DIV/0!</v>
      </c>
      <c r="U1060" s="1040" t="e">
        <f t="shared" si="559"/>
        <v>#DIV/0!</v>
      </c>
      <c r="V1060" s="1040" t="e">
        <f t="shared" si="559"/>
        <v>#DIV/0!</v>
      </c>
      <c r="W1060" s="1040" t="e">
        <f t="shared" si="559"/>
        <v>#DIV/0!</v>
      </c>
      <c r="X1060" s="1040" t="e">
        <f t="shared" si="559"/>
        <v>#DIV/0!</v>
      </c>
      <c r="Y1060" s="1040" t="e">
        <f t="shared" si="559"/>
        <v>#DIV/0!</v>
      </c>
      <c r="Z1060" s="1040" t="e">
        <f t="shared" si="559"/>
        <v>#DIV/0!</v>
      </c>
      <c r="AA1060" s="1040" t="e">
        <f t="shared" si="559"/>
        <v>#DIV/0!</v>
      </c>
      <c r="AB1060" s="1040" t="e">
        <f t="shared" si="559"/>
        <v>#DIV/0!</v>
      </c>
      <c r="AC1060" s="1040" t="e">
        <f t="shared" si="559"/>
        <v>#DIV/0!</v>
      </c>
      <c r="AD1060" s="1040" t="e">
        <f t="shared" si="559"/>
        <v>#DIV/0!</v>
      </c>
      <c r="AE1060" s="1040" t="e">
        <f t="shared" si="559"/>
        <v>#DIV/0!</v>
      </c>
      <c r="AF1060" s="1040" t="e">
        <f t="shared" si="559"/>
        <v>#DIV/0!</v>
      </c>
      <c r="AG1060" s="1040" t="e">
        <f t="shared" si="559"/>
        <v>#DIV/0!</v>
      </c>
      <c r="AH1060" s="1040" t="e">
        <f t="shared" si="559"/>
        <v>#DIV/0!</v>
      </c>
      <c r="AI1060" s="1040" t="e">
        <f t="shared" si="559"/>
        <v>#DIV/0!</v>
      </c>
      <c r="AJ1060" s="1040" t="e">
        <f t="shared" si="559"/>
        <v>#DIV/0!</v>
      </c>
      <c r="AK1060" s="1040" t="e">
        <f t="shared" si="559"/>
        <v>#DIV/0!</v>
      </c>
      <c r="AL1060" s="1040" t="e">
        <f t="shared" si="559"/>
        <v>#DIV/0!</v>
      </c>
      <c r="AM1060" s="1040" t="e">
        <f t="shared" si="559"/>
        <v>#DIV/0!</v>
      </c>
      <c r="AN1060" s="1040" t="e">
        <f t="shared" si="559"/>
        <v>#DIV/0!</v>
      </c>
      <c r="AO1060" s="1040" t="e">
        <f t="shared" si="559"/>
        <v>#DIV/0!</v>
      </c>
      <c r="AP1060" s="1040" t="e">
        <f t="shared" si="559"/>
        <v>#DIV/0!</v>
      </c>
      <c r="AQ1060" s="1040" t="e">
        <f t="shared" si="559"/>
        <v>#DIV/0!</v>
      </c>
      <c r="AR1060" s="1040" t="e">
        <f t="shared" si="559"/>
        <v>#DIV/0!</v>
      </c>
      <c r="AS1060" s="1040" t="e">
        <f t="shared" ref="AS1060:AY1060" si="560">IF(AS260="",0,IF(OR(1=RANK(AS660,AS$412:AS$790,0),(2=RANK(AS660,AS$412:AS$790,0))),AS660,AS260))</f>
        <v>#DIV/0!</v>
      </c>
      <c r="AT1060" s="1040" t="e">
        <f t="shared" si="560"/>
        <v>#DIV/0!</v>
      </c>
      <c r="AU1060" s="1040">
        <f t="shared" si="560"/>
        <v>0</v>
      </c>
      <c r="AV1060" s="1040" t="e">
        <f t="shared" si="560"/>
        <v>#DIV/0!</v>
      </c>
      <c r="AW1060" s="1040" t="e">
        <f t="shared" si="560"/>
        <v>#DIV/0!</v>
      </c>
      <c r="AX1060" s="1040" t="e">
        <f t="shared" si="560"/>
        <v>#DIV/0!</v>
      </c>
      <c r="AY1060" s="1040" t="e">
        <f t="shared" si="560"/>
        <v>#DIV/0!</v>
      </c>
      <c r="AZ1060" s="1061" t="s">
        <v>21</v>
      </c>
      <c r="BC1060" s="29"/>
      <c r="BD1060" s="29"/>
      <c r="BE1060" s="13"/>
      <c r="BL1060" s="368"/>
    </row>
    <row r="1061" spans="1:64" ht="12" customHeight="1" x14ac:dyDescent="0.2">
      <c r="A1061" s="39">
        <f>acute_overview_children!A261</f>
        <v>4</v>
      </c>
      <c r="B1061" s="23">
        <f t="shared" si="445"/>
        <v>631040</v>
      </c>
      <c r="C1061" s="23" t="str">
        <f t="shared" si="446"/>
        <v>Jasmine</v>
      </c>
      <c r="D1061" s="135"/>
      <c r="E1061" s="1027"/>
      <c r="F1061" s="87"/>
      <c r="G1061" s="87"/>
      <c r="H1061" s="1027"/>
      <c r="I1061" s="1030"/>
      <c r="J1061" s="1039" t="e">
        <f t="shared" ref="J1061:AR1061" si="561">IF(J261="",0,IF(OR(1=RANK(J661,J$412:J$790,0),(2=RANK(J661,J$412:J$790,0))),J661,J261))</f>
        <v>#DIV/0!</v>
      </c>
      <c r="K1061" s="1040" t="e">
        <f t="shared" si="561"/>
        <v>#DIV/0!</v>
      </c>
      <c r="L1061" s="1040" t="e">
        <f t="shared" si="561"/>
        <v>#DIV/0!</v>
      </c>
      <c r="M1061" s="1040" t="e">
        <f t="shared" si="561"/>
        <v>#DIV/0!</v>
      </c>
      <c r="N1061" s="1040" t="e">
        <f t="shared" si="561"/>
        <v>#DIV/0!</v>
      </c>
      <c r="O1061" s="1040" t="e">
        <f t="shared" si="561"/>
        <v>#DIV/0!</v>
      </c>
      <c r="P1061" s="1040" t="e">
        <f t="shared" si="561"/>
        <v>#DIV/0!</v>
      </c>
      <c r="Q1061" s="1040" t="e">
        <f t="shared" si="561"/>
        <v>#DIV/0!</v>
      </c>
      <c r="R1061" s="1040" t="e">
        <f t="shared" si="561"/>
        <v>#DIV/0!</v>
      </c>
      <c r="S1061" s="1040" t="e">
        <f t="shared" si="561"/>
        <v>#DIV/0!</v>
      </c>
      <c r="T1061" s="1040" t="e">
        <f t="shared" si="561"/>
        <v>#DIV/0!</v>
      </c>
      <c r="U1061" s="1040" t="e">
        <f t="shared" si="561"/>
        <v>#DIV/0!</v>
      </c>
      <c r="V1061" s="1040" t="e">
        <f t="shared" si="561"/>
        <v>#DIV/0!</v>
      </c>
      <c r="W1061" s="1040" t="e">
        <f t="shared" si="561"/>
        <v>#DIV/0!</v>
      </c>
      <c r="X1061" s="1040" t="e">
        <f t="shared" si="561"/>
        <v>#DIV/0!</v>
      </c>
      <c r="Y1061" s="1040" t="e">
        <f t="shared" si="561"/>
        <v>#DIV/0!</v>
      </c>
      <c r="Z1061" s="1040" t="e">
        <f t="shared" si="561"/>
        <v>#DIV/0!</v>
      </c>
      <c r="AA1061" s="1040" t="e">
        <f t="shared" si="561"/>
        <v>#DIV/0!</v>
      </c>
      <c r="AB1061" s="1040" t="e">
        <f t="shared" si="561"/>
        <v>#DIV/0!</v>
      </c>
      <c r="AC1061" s="1040" t="e">
        <f t="shared" si="561"/>
        <v>#DIV/0!</v>
      </c>
      <c r="AD1061" s="1040" t="e">
        <f t="shared" si="561"/>
        <v>#DIV/0!</v>
      </c>
      <c r="AE1061" s="1040" t="e">
        <f t="shared" si="561"/>
        <v>#DIV/0!</v>
      </c>
      <c r="AF1061" s="1040" t="e">
        <f t="shared" si="561"/>
        <v>#DIV/0!</v>
      </c>
      <c r="AG1061" s="1040" t="e">
        <f t="shared" si="561"/>
        <v>#DIV/0!</v>
      </c>
      <c r="AH1061" s="1040" t="e">
        <f t="shared" si="561"/>
        <v>#DIV/0!</v>
      </c>
      <c r="AI1061" s="1040" t="e">
        <f t="shared" si="561"/>
        <v>#DIV/0!</v>
      </c>
      <c r="AJ1061" s="1040" t="e">
        <f t="shared" si="561"/>
        <v>#DIV/0!</v>
      </c>
      <c r="AK1061" s="1040" t="e">
        <f t="shared" si="561"/>
        <v>#DIV/0!</v>
      </c>
      <c r="AL1061" s="1040" t="e">
        <f t="shared" si="561"/>
        <v>#DIV/0!</v>
      </c>
      <c r="AM1061" s="1040" t="e">
        <f t="shared" si="561"/>
        <v>#DIV/0!</v>
      </c>
      <c r="AN1061" s="1040" t="e">
        <f t="shared" si="561"/>
        <v>#DIV/0!</v>
      </c>
      <c r="AO1061" s="1040" t="e">
        <f t="shared" si="561"/>
        <v>#DIV/0!</v>
      </c>
      <c r="AP1061" s="1040" t="e">
        <f t="shared" si="561"/>
        <v>#DIV/0!</v>
      </c>
      <c r="AQ1061" s="1040" t="e">
        <f t="shared" si="561"/>
        <v>#DIV/0!</v>
      </c>
      <c r="AR1061" s="1040" t="e">
        <f t="shared" si="561"/>
        <v>#DIV/0!</v>
      </c>
      <c r="AS1061" s="1040" t="e">
        <f t="shared" ref="AS1061:AY1061" si="562">IF(AS261="",0,IF(OR(1=RANK(AS661,AS$412:AS$790,0),(2=RANK(AS661,AS$412:AS$790,0))),AS661,AS261))</f>
        <v>#DIV/0!</v>
      </c>
      <c r="AT1061" s="1040" t="e">
        <f t="shared" si="562"/>
        <v>#DIV/0!</v>
      </c>
      <c r="AU1061" s="1040">
        <f t="shared" si="562"/>
        <v>0</v>
      </c>
      <c r="AV1061" s="1040" t="e">
        <f t="shared" si="562"/>
        <v>#DIV/0!</v>
      </c>
      <c r="AW1061" s="1040" t="e">
        <f t="shared" si="562"/>
        <v>#DIV/0!</v>
      </c>
      <c r="AX1061" s="1040" t="e">
        <f t="shared" si="562"/>
        <v>#DIV/0!</v>
      </c>
      <c r="AY1061" s="1040" t="e">
        <f t="shared" si="562"/>
        <v>#DIV/0!</v>
      </c>
      <c r="AZ1061" s="1061" t="s">
        <v>21</v>
      </c>
      <c r="BC1061" s="29"/>
      <c r="BD1061" s="29"/>
      <c r="BE1061" s="13"/>
      <c r="BL1061" s="368"/>
    </row>
    <row r="1062" spans="1:64" ht="12" customHeight="1" x14ac:dyDescent="0.2">
      <c r="A1062" s="39">
        <f>acute_overview_children!A262</f>
        <v>4</v>
      </c>
      <c r="B1062" s="23">
        <f t="shared" si="445"/>
        <v>631050</v>
      </c>
      <c r="C1062" s="23" t="str">
        <f t="shared" si="446"/>
        <v>Lime/linden</v>
      </c>
      <c r="D1062" s="135"/>
      <c r="E1062" s="1027"/>
      <c r="F1062" s="87"/>
      <c r="G1062" s="87"/>
      <c r="H1062" s="1027"/>
      <c r="I1062" s="1030"/>
      <c r="J1062" s="1039" t="e">
        <f t="shared" ref="J1062:AR1062" si="563">IF(J262="",0,IF(OR(1=RANK(J662,J$412:J$790,0),(2=RANK(J662,J$412:J$790,0))),J662,J262))</f>
        <v>#DIV/0!</v>
      </c>
      <c r="K1062" s="1040" t="e">
        <f t="shared" si="563"/>
        <v>#DIV/0!</v>
      </c>
      <c r="L1062" s="1040" t="e">
        <f t="shared" si="563"/>
        <v>#DIV/0!</v>
      </c>
      <c r="M1062" s="1040" t="e">
        <f t="shared" si="563"/>
        <v>#DIV/0!</v>
      </c>
      <c r="N1062" s="1040" t="e">
        <f t="shared" si="563"/>
        <v>#DIV/0!</v>
      </c>
      <c r="O1062" s="1040" t="e">
        <f t="shared" si="563"/>
        <v>#DIV/0!</v>
      </c>
      <c r="P1062" s="1040" t="e">
        <f t="shared" si="563"/>
        <v>#DIV/0!</v>
      </c>
      <c r="Q1062" s="1040" t="e">
        <f t="shared" si="563"/>
        <v>#DIV/0!</v>
      </c>
      <c r="R1062" s="1040" t="e">
        <f t="shared" si="563"/>
        <v>#DIV/0!</v>
      </c>
      <c r="S1062" s="1040" t="e">
        <f t="shared" si="563"/>
        <v>#DIV/0!</v>
      </c>
      <c r="T1062" s="1040" t="e">
        <f t="shared" si="563"/>
        <v>#DIV/0!</v>
      </c>
      <c r="U1062" s="1040" t="e">
        <f t="shared" si="563"/>
        <v>#DIV/0!</v>
      </c>
      <c r="V1062" s="1040" t="e">
        <f t="shared" si="563"/>
        <v>#DIV/0!</v>
      </c>
      <c r="W1062" s="1040" t="e">
        <f t="shared" si="563"/>
        <v>#DIV/0!</v>
      </c>
      <c r="X1062" s="1040" t="e">
        <f t="shared" si="563"/>
        <v>#DIV/0!</v>
      </c>
      <c r="Y1062" s="1040" t="e">
        <f t="shared" si="563"/>
        <v>#DIV/0!</v>
      </c>
      <c r="Z1062" s="1040" t="e">
        <f t="shared" si="563"/>
        <v>#DIV/0!</v>
      </c>
      <c r="AA1062" s="1040" t="e">
        <f t="shared" si="563"/>
        <v>#DIV/0!</v>
      </c>
      <c r="AB1062" s="1040" t="e">
        <f t="shared" si="563"/>
        <v>#DIV/0!</v>
      </c>
      <c r="AC1062" s="1040" t="e">
        <f t="shared" si="563"/>
        <v>#DIV/0!</v>
      </c>
      <c r="AD1062" s="1040" t="e">
        <f t="shared" si="563"/>
        <v>#DIV/0!</v>
      </c>
      <c r="AE1062" s="1040" t="e">
        <f t="shared" si="563"/>
        <v>#DIV/0!</v>
      </c>
      <c r="AF1062" s="1040" t="e">
        <f t="shared" si="563"/>
        <v>#DIV/0!</v>
      </c>
      <c r="AG1062" s="1040" t="e">
        <f t="shared" si="563"/>
        <v>#DIV/0!</v>
      </c>
      <c r="AH1062" s="1040" t="e">
        <f t="shared" si="563"/>
        <v>#DIV/0!</v>
      </c>
      <c r="AI1062" s="1040" t="e">
        <f t="shared" si="563"/>
        <v>#DIV/0!</v>
      </c>
      <c r="AJ1062" s="1040" t="e">
        <f t="shared" si="563"/>
        <v>#DIV/0!</v>
      </c>
      <c r="AK1062" s="1040" t="e">
        <f t="shared" si="563"/>
        <v>#DIV/0!</v>
      </c>
      <c r="AL1062" s="1040" t="e">
        <f t="shared" si="563"/>
        <v>#DIV/0!</v>
      </c>
      <c r="AM1062" s="1040" t="e">
        <f t="shared" si="563"/>
        <v>#DIV/0!</v>
      </c>
      <c r="AN1062" s="1040" t="e">
        <f t="shared" si="563"/>
        <v>#DIV/0!</v>
      </c>
      <c r="AO1062" s="1040" t="e">
        <f t="shared" si="563"/>
        <v>#DIV/0!</v>
      </c>
      <c r="AP1062" s="1040" t="e">
        <f t="shared" si="563"/>
        <v>#DIV/0!</v>
      </c>
      <c r="AQ1062" s="1040" t="e">
        <f t="shared" si="563"/>
        <v>#DIV/0!</v>
      </c>
      <c r="AR1062" s="1040" t="e">
        <f t="shared" si="563"/>
        <v>#DIV/0!</v>
      </c>
      <c r="AS1062" s="1040" t="e">
        <f t="shared" ref="AS1062:AY1062" si="564">IF(AS262="",0,IF(OR(1=RANK(AS662,AS$412:AS$790,0),(2=RANK(AS662,AS$412:AS$790,0))),AS662,AS262))</f>
        <v>#DIV/0!</v>
      </c>
      <c r="AT1062" s="1040" t="e">
        <f t="shared" si="564"/>
        <v>#DIV/0!</v>
      </c>
      <c r="AU1062" s="1040">
        <f t="shared" si="564"/>
        <v>0</v>
      </c>
      <c r="AV1062" s="1040" t="e">
        <f t="shared" si="564"/>
        <v>#DIV/0!</v>
      </c>
      <c r="AW1062" s="1040" t="e">
        <f t="shared" si="564"/>
        <v>#DIV/0!</v>
      </c>
      <c r="AX1062" s="1040" t="e">
        <f t="shared" si="564"/>
        <v>#DIV/0!</v>
      </c>
      <c r="AY1062" s="1040" t="e">
        <f t="shared" si="564"/>
        <v>#DIV/0!</v>
      </c>
      <c r="AZ1062" s="1061" t="s">
        <v>21</v>
      </c>
      <c r="BC1062" s="29"/>
      <c r="BD1062" s="29"/>
      <c r="BE1062" s="13"/>
      <c r="BL1062" s="368"/>
    </row>
    <row r="1063" spans="1:64" ht="12" customHeight="1" x14ac:dyDescent="0.2">
      <c r="A1063" s="39">
        <f>acute_overview_children!A263</f>
        <v>4</v>
      </c>
      <c r="B1063" s="23">
        <f t="shared" si="445"/>
        <v>631990</v>
      </c>
      <c r="C1063" s="23" t="str">
        <f t="shared" si="446"/>
        <v>Other herbal infusions (dried flowers)</v>
      </c>
      <c r="D1063" s="135"/>
      <c r="E1063" s="1027"/>
      <c r="F1063" s="87"/>
      <c r="G1063" s="87"/>
      <c r="H1063" s="1027"/>
      <c r="I1063" s="1030"/>
      <c r="J1063" s="1039" t="e">
        <f t="shared" ref="J1063:AR1063" si="565">IF(J263="",0,IF(OR(1=RANK(J663,J$412:J$790,0),(2=RANK(J663,J$412:J$790,0))),J663,J263))</f>
        <v>#DIV/0!</v>
      </c>
      <c r="K1063" s="1040" t="e">
        <f t="shared" si="565"/>
        <v>#DIV/0!</v>
      </c>
      <c r="L1063" s="1040" t="e">
        <f t="shared" si="565"/>
        <v>#DIV/0!</v>
      </c>
      <c r="M1063" s="1040" t="e">
        <f t="shared" si="565"/>
        <v>#DIV/0!</v>
      </c>
      <c r="N1063" s="1040" t="e">
        <f t="shared" si="565"/>
        <v>#DIV/0!</v>
      </c>
      <c r="O1063" s="1040" t="e">
        <f t="shared" si="565"/>
        <v>#DIV/0!</v>
      </c>
      <c r="P1063" s="1040" t="e">
        <f t="shared" si="565"/>
        <v>#DIV/0!</v>
      </c>
      <c r="Q1063" s="1040" t="e">
        <f t="shared" si="565"/>
        <v>#DIV/0!</v>
      </c>
      <c r="R1063" s="1040" t="e">
        <f t="shared" si="565"/>
        <v>#DIV/0!</v>
      </c>
      <c r="S1063" s="1040" t="e">
        <f t="shared" si="565"/>
        <v>#DIV/0!</v>
      </c>
      <c r="T1063" s="1040" t="e">
        <f t="shared" si="565"/>
        <v>#DIV/0!</v>
      </c>
      <c r="U1063" s="1040" t="e">
        <f t="shared" si="565"/>
        <v>#DIV/0!</v>
      </c>
      <c r="V1063" s="1040" t="e">
        <f t="shared" si="565"/>
        <v>#DIV/0!</v>
      </c>
      <c r="W1063" s="1040" t="e">
        <f t="shared" si="565"/>
        <v>#DIV/0!</v>
      </c>
      <c r="X1063" s="1040" t="e">
        <f t="shared" si="565"/>
        <v>#DIV/0!</v>
      </c>
      <c r="Y1063" s="1040" t="e">
        <f t="shared" si="565"/>
        <v>#DIV/0!</v>
      </c>
      <c r="Z1063" s="1040" t="e">
        <f t="shared" si="565"/>
        <v>#DIV/0!</v>
      </c>
      <c r="AA1063" s="1040" t="e">
        <f t="shared" si="565"/>
        <v>#DIV/0!</v>
      </c>
      <c r="AB1063" s="1040" t="e">
        <f t="shared" si="565"/>
        <v>#DIV/0!</v>
      </c>
      <c r="AC1063" s="1040" t="e">
        <f t="shared" si="565"/>
        <v>#DIV/0!</v>
      </c>
      <c r="AD1063" s="1040" t="e">
        <f t="shared" si="565"/>
        <v>#DIV/0!</v>
      </c>
      <c r="AE1063" s="1040" t="e">
        <f t="shared" si="565"/>
        <v>#DIV/0!</v>
      </c>
      <c r="AF1063" s="1040" t="e">
        <f t="shared" si="565"/>
        <v>#DIV/0!</v>
      </c>
      <c r="AG1063" s="1040" t="e">
        <f t="shared" si="565"/>
        <v>#DIV/0!</v>
      </c>
      <c r="AH1063" s="1040" t="e">
        <f t="shared" si="565"/>
        <v>#DIV/0!</v>
      </c>
      <c r="AI1063" s="1040" t="e">
        <f t="shared" si="565"/>
        <v>#DIV/0!</v>
      </c>
      <c r="AJ1063" s="1040" t="e">
        <f t="shared" si="565"/>
        <v>#DIV/0!</v>
      </c>
      <c r="AK1063" s="1040" t="e">
        <f t="shared" si="565"/>
        <v>#DIV/0!</v>
      </c>
      <c r="AL1063" s="1040" t="e">
        <f t="shared" si="565"/>
        <v>#DIV/0!</v>
      </c>
      <c r="AM1063" s="1040" t="e">
        <f t="shared" si="565"/>
        <v>#DIV/0!</v>
      </c>
      <c r="AN1063" s="1040" t="e">
        <f t="shared" si="565"/>
        <v>#DIV/0!</v>
      </c>
      <c r="AO1063" s="1040" t="e">
        <f t="shared" si="565"/>
        <v>#DIV/0!</v>
      </c>
      <c r="AP1063" s="1040" t="e">
        <f t="shared" si="565"/>
        <v>#DIV/0!</v>
      </c>
      <c r="AQ1063" s="1040" t="e">
        <f t="shared" si="565"/>
        <v>#DIV/0!</v>
      </c>
      <c r="AR1063" s="1040" t="e">
        <f t="shared" si="565"/>
        <v>#DIV/0!</v>
      </c>
      <c r="AS1063" s="1040" t="e">
        <f t="shared" ref="AS1063:AY1063" si="566">IF(AS263="",0,IF(OR(1=RANK(AS663,AS$412:AS$790,0),(2=RANK(AS663,AS$412:AS$790,0))),AS663,AS263))</f>
        <v>#DIV/0!</v>
      </c>
      <c r="AT1063" s="1040" t="e">
        <f t="shared" si="566"/>
        <v>#DIV/0!</v>
      </c>
      <c r="AU1063" s="1040">
        <f t="shared" si="566"/>
        <v>0</v>
      </c>
      <c r="AV1063" s="1040" t="e">
        <f t="shared" si="566"/>
        <v>#DIV/0!</v>
      </c>
      <c r="AW1063" s="1040" t="e">
        <f t="shared" si="566"/>
        <v>#DIV/0!</v>
      </c>
      <c r="AX1063" s="1040" t="e">
        <f t="shared" si="566"/>
        <v>#DIV/0!</v>
      </c>
      <c r="AY1063" s="1040" t="e">
        <f t="shared" si="566"/>
        <v>#DIV/0!</v>
      </c>
      <c r="AZ1063" s="1061" t="s">
        <v>21</v>
      </c>
      <c r="BC1063" s="29"/>
      <c r="BD1063" s="29"/>
      <c r="BE1063" s="13"/>
      <c r="BL1063" s="368"/>
    </row>
    <row r="1064" spans="1:64" ht="12" customHeight="1" x14ac:dyDescent="0.2">
      <c r="A1064" s="132">
        <f>acute_overview_children!A264</f>
        <v>3</v>
      </c>
      <c r="B1064" s="3">
        <f t="shared" si="445"/>
        <v>632000</v>
      </c>
      <c r="C1064" s="3" t="str">
        <f t="shared" si="446"/>
        <v>Herbal infusions (dried leaves)</v>
      </c>
      <c r="D1064" s="1042"/>
      <c r="E1064" s="1027"/>
      <c r="F1064" s="87"/>
      <c r="G1064" s="87"/>
      <c r="H1064" s="1027"/>
      <c r="I1064" s="1030"/>
      <c r="J1064" s="1043" t="e">
        <f t="shared" ref="J1064:AR1064" si="567">IF(J264="",0,IF(OR(1=RANK(J664,J$412:J$790,0),(2=RANK(J664,J$412:J$790,0))),J664,J264))</f>
        <v>#DIV/0!</v>
      </c>
      <c r="K1064" s="1044" t="e">
        <f t="shared" si="567"/>
        <v>#DIV/0!</v>
      </c>
      <c r="L1064" s="1044" t="e">
        <f t="shared" si="567"/>
        <v>#DIV/0!</v>
      </c>
      <c r="M1064" s="1044" t="e">
        <f t="shared" si="567"/>
        <v>#DIV/0!</v>
      </c>
      <c r="N1064" s="1044" t="e">
        <f t="shared" si="567"/>
        <v>#DIV/0!</v>
      </c>
      <c r="O1064" s="1044" t="e">
        <f t="shared" si="567"/>
        <v>#DIV/0!</v>
      </c>
      <c r="P1064" s="1044" t="e">
        <f t="shared" si="567"/>
        <v>#DIV/0!</v>
      </c>
      <c r="Q1064" s="1044" t="e">
        <f t="shared" si="567"/>
        <v>#DIV/0!</v>
      </c>
      <c r="R1064" s="1044" t="e">
        <f t="shared" si="567"/>
        <v>#DIV/0!</v>
      </c>
      <c r="S1064" s="1044" t="e">
        <f t="shared" si="567"/>
        <v>#DIV/0!</v>
      </c>
      <c r="T1064" s="1044" t="e">
        <f t="shared" si="567"/>
        <v>#DIV/0!</v>
      </c>
      <c r="U1064" s="1044" t="e">
        <f t="shared" si="567"/>
        <v>#DIV/0!</v>
      </c>
      <c r="V1064" s="1044" t="e">
        <f t="shared" si="567"/>
        <v>#DIV/0!</v>
      </c>
      <c r="W1064" s="1044" t="e">
        <f t="shared" si="567"/>
        <v>#DIV/0!</v>
      </c>
      <c r="X1064" s="1044" t="e">
        <f t="shared" si="567"/>
        <v>#DIV/0!</v>
      </c>
      <c r="Y1064" s="1044" t="e">
        <f t="shared" si="567"/>
        <v>#DIV/0!</v>
      </c>
      <c r="Z1064" s="1044" t="e">
        <f t="shared" si="567"/>
        <v>#DIV/0!</v>
      </c>
      <c r="AA1064" s="1044" t="e">
        <f t="shared" si="567"/>
        <v>#DIV/0!</v>
      </c>
      <c r="AB1064" s="1044" t="e">
        <f t="shared" si="567"/>
        <v>#DIV/0!</v>
      </c>
      <c r="AC1064" s="1044" t="e">
        <f t="shared" si="567"/>
        <v>#DIV/0!</v>
      </c>
      <c r="AD1064" s="1044" t="e">
        <f t="shared" si="567"/>
        <v>#DIV/0!</v>
      </c>
      <c r="AE1064" s="1044" t="e">
        <f t="shared" si="567"/>
        <v>#DIV/0!</v>
      </c>
      <c r="AF1064" s="1044" t="e">
        <f t="shared" si="567"/>
        <v>#DIV/0!</v>
      </c>
      <c r="AG1064" s="1044" t="e">
        <f t="shared" si="567"/>
        <v>#DIV/0!</v>
      </c>
      <c r="AH1064" s="1044" t="e">
        <f t="shared" si="567"/>
        <v>#DIV/0!</v>
      </c>
      <c r="AI1064" s="1044" t="e">
        <f t="shared" si="567"/>
        <v>#DIV/0!</v>
      </c>
      <c r="AJ1064" s="1044" t="e">
        <f t="shared" si="567"/>
        <v>#DIV/0!</v>
      </c>
      <c r="AK1064" s="1044" t="e">
        <f t="shared" si="567"/>
        <v>#DIV/0!</v>
      </c>
      <c r="AL1064" s="1044" t="e">
        <f t="shared" si="567"/>
        <v>#DIV/0!</v>
      </c>
      <c r="AM1064" s="1044" t="e">
        <f t="shared" si="567"/>
        <v>#DIV/0!</v>
      </c>
      <c r="AN1064" s="1044" t="e">
        <f t="shared" si="567"/>
        <v>#DIV/0!</v>
      </c>
      <c r="AO1064" s="1044" t="e">
        <f t="shared" si="567"/>
        <v>#DIV/0!</v>
      </c>
      <c r="AP1064" s="1044" t="e">
        <f t="shared" si="567"/>
        <v>#DIV/0!</v>
      </c>
      <c r="AQ1064" s="1044" t="e">
        <f t="shared" si="567"/>
        <v>#DIV/0!</v>
      </c>
      <c r="AR1064" s="1044" t="e">
        <f t="shared" si="567"/>
        <v>#DIV/0!</v>
      </c>
      <c r="AS1064" s="1044" t="e">
        <f t="shared" ref="AS1064:AY1064" si="568">IF(AS264="",0,IF(OR(1=RANK(AS664,AS$412:AS$790,0),(2=RANK(AS664,AS$412:AS$790,0))),AS664,AS264))</f>
        <v>#DIV/0!</v>
      </c>
      <c r="AT1064" s="1044" t="e">
        <f t="shared" si="568"/>
        <v>#DIV/0!</v>
      </c>
      <c r="AU1064" s="1044">
        <f t="shared" si="568"/>
        <v>0</v>
      </c>
      <c r="AV1064" s="1044" t="e">
        <f t="shared" si="568"/>
        <v>#DIV/0!</v>
      </c>
      <c r="AW1064" s="1044" t="e">
        <f t="shared" si="568"/>
        <v>#DIV/0!</v>
      </c>
      <c r="AX1064" s="1044" t="e">
        <f t="shared" si="568"/>
        <v>#DIV/0!</v>
      </c>
      <c r="AY1064" s="1044" t="e">
        <f t="shared" si="568"/>
        <v>#DIV/0!</v>
      </c>
      <c r="AZ1064" s="1061" t="s">
        <v>21</v>
      </c>
      <c r="BC1064" s="29"/>
      <c r="BD1064" s="29"/>
      <c r="BE1064" s="13"/>
      <c r="BL1064" s="368"/>
    </row>
    <row r="1065" spans="1:64" ht="12" customHeight="1" x14ac:dyDescent="0.2">
      <c r="A1065" s="39">
        <f>acute_overview_children!A265</f>
        <v>4</v>
      </c>
      <c r="B1065" s="23">
        <f t="shared" si="445"/>
        <v>632010</v>
      </c>
      <c r="C1065" s="23" t="str">
        <f t="shared" si="446"/>
        <v>Strawberry leaves</v>
      </c>
      <c r="D1065" s="135"/>
      <c r="E1065" s="1027"/>
      <c r="F1065" s="87"/>
      <c r="G1065" s="87"/>
      <c r="H1065" s="1027"/>
      <c r="I1065" s="1030"/>
      <c r="J1065" s="1039" t="e">
        <f t="shared" ref="J1065:AR1065" si="569">IF(J265="",0,IF(OR(1=RANK(J665,J$412:J$790,0),(2=RANK(J665,J$412:J$790,0))),J665,J265))</f>
        <v>#DIV/0!</v>
      </c>
      <c r="K1065" s="1040" t="e">
        <f t="shared" si="569"/>
        <v>#DIV/0!</v>
      </c>
      <c r="L1065" s="1040" t="e">
        <f t="shared" si="569"/>
        <v>#DIV/0!</v>
      </c>
      <c r="M1065" s="1040" t="e">
        <f t="shared" si="569"/>
        <v>#DIV/0!</v>
      </c>
      <c r="N1065" s="1040" t="e">
        <f t="shared" si="569"/>
        <v>#DIV/0!</v>
      </c>
      <c r="O1065" s="1040" t="e">
        <f t="shared" si="569"/>
        <v>#DIV/0!</v>
      </c>
      <c r="P1065" s="1040" t="e">
        <f t="shared" si="569"/>
        <v>#DIV/0!</v>
      </c>
      <c r="Q1065" s="1040" t="e">
        <f t="shared" si="569"/>
        <v>#DIV/0!</v>
      </c>
      <c r="R1065" s="1040" t="e">
        <f t="shared" si="569"/>
        <v>#DIV/0!</v>
      </c>
      <c r="S1065" s="1040" t="e">
        <f t="shared" si="569"/>
        <v>#DIV/0!</v>
      </c>
      <c r="T1065" s="1040" t="e">
        <f t="shared" si="569"/>
        <v>#DIV/0!</v>
      </c>
      <c r="U1065" s="1040" t="e">
        <f t="shared" si="569"/>
        <v>#DIV/0!</v>
      </c>
      <c r="V1065" s="1040" t="e">
        <f t="shared" si="569"/>
        <v>#DIV/0!</v>
      </c>
      <c r="W1065" s="1040" t="e">
        <f t="shared" si="569"/>
        <v>#DIV/0!</v>
      </c>
      <c r="X1065" s="1040" t="e">
        <f t="shared" si="569"/>
        <v>#DIV/0!</v>
      </c>
      <c r="Y1065" s="1040" t="e">
        <f t="shared" si="569"/>
        <v>#DIV/0!</v>
      </c>
      <c r="Z1065" s="1040" t="e">
        <f t="shared" si="569"/>
        <v>#DIV/0!</v>
      </c>
      <c r="AA1065" s="1040" t="e">
        <f t="shared" si="569"/>
        <v>#DIV/0!</v>
      </c>
      <c r="AB1065" s="1040" t="e">
        <f t="shared" si="569"/>
        <v>#DIV/0!</v>
      </c>
      <c r="AC1065" s="1040" t="e">
        <f t="shared" si="569"/>
        <v>#DIV/0!</v>
      </c>
      <c r="AD1065" s="1040" t="e">
        <f t="shared" si="569"/>
        <v>#DIV/0!</v>
      </c>
      <c r="AE1065" s="1040" t="e">
        <f t="shared" si="569"/>
        <v>#DIV/0!</v>
      </c>
      <c r="AF1065" s="1040" t="e">
        <f t="shared" si="569"/>
        <v>#DIV/0!</v>
      </c>
      <c r="AG1065" s="1040" t="e">
        <f t="shared" si="569"/>
        <v>#DIV/0!</v>
      </c>
      <c r="AH1065" s="1040" t="e">
        <f t="shared" si="569"/>
        <v>#DIV/0!</v>
      </c>
      <c r="AI1065" s="1040" t="e">
        <f t="shared" si="569"/>
        <v>#DIV/0!</v>
      </c>
      <c r="AJ1065" s="1040" t="e">
        <f t="shared" si="569"/>
        <v>#DIV/0!</v>
      </c>
      <c r="AK1065" s="1040" t="e">
        <f t="shared" si="569"/>
        <v>#DIV/0!</v>
      </c>
      <c r="AL1065" s="1040" t="e">
        <f t="shared" si="569"/>
        <v>#DIV/0!</v>
      </c>
      <c r="AM1065" s="1040" t="e">
        <f t="shared" si="569"/>
        <v>#DIV/0!</v>
      </c>
      <c r="AN1065" s="1040" t="e">
        <f t="shared" si="569"/>
        <v>#DIV/0!</v>
      </c>
      <c r="AO1065" s="1040" t="e">
        <f t="shared" si="569"/>
        <v>#DIV/0!</v>
      </c>
      <c r="AP1065" s="1040" t="e">
        <f t="shared" si="569"/>
        <v>#DIV/0!</v>
      </c>
      <c r="AQ1065" s="1040" t="e">
        <f t="shared" si="569"/>
        <v>#DIV/0!</v>
      </c>
      <c r="AR1065" s="1040" t="e">
        <f t="shared" si="569"/>
        <v>#DIV/0!</v>
      </c>
      <c r="AS1065" s="1040" t="e">
        <f t="shared" ref="AS1065:AY1065" si="570">IF(AS265="",0,IF(OR(1=RANK(AS665,AS$412:AS$790,0),(2=RANK(AS665,AS$412:AS$790,0))),AS665,AS265))</f>
        <v>#DIV/0!</v>
      </c>
      <c r="AT1065" s="1040" t="e">
        <f t="shared" si="570"/>
        <v>#DIV/0!</v>
      </c>
      <c r="AU1065" s="1040">
        <f t="shared" si="570"/>
        <v>0</v>
      </c>
      <c r="AV1065" s="1040" t="e">
        <f t="shared" si="570"/>
        <v>#DIV/0!</v>
      </c>
      <c r="AW1065" s="1040" t="e">
        <f t="shared" si="570"/>
        <v>#DIV/0!</v>
      </c>
      <c r="AX1065" s="1040" t="e">
        <f t="shared" si="570"/>
        <v>#DIV/0!</v>
      </c>
      <c r="AY1065" s="1040" t="e">
        <f t="shared" si="570"/>
        <v>#DIV/0!</v>
      </c>
      <c r="AZ1065" s="1061" t="s">
        <v>21</v>
      </c>
      <c r="BC1065" s="29"/>
      <c r="BD1065" s="29"/>
      <c r="BE1065" s="13"/>
      <c r="BL1065" s="368"/>
    </row>
    <row r="1066" spans="1:64" ht="12" customHeight="1" x14ac:dyDescent="0.2">
      <c r="A1066" s="39">
        <f>acute_overview_children!A266</f>
        <v>4</v>
      </c>
      <c r="B1066" s="23">
        <f t="shared" si="445"/>
        <v>632020</v>
      </c>
      <c r="C1066" s="23" t="str">
        <f t="shared" si="446"/>
        <v>Rooibos</v>
      </c>
      <c r="D1066" s="135"/>
      <c r="E1066" s="1027"/>
      <c r="F1066" s="87"/>
      <c r="G1066" s="87"/>
      <c r="H1066" s="1027"/>
      <c r="I1066" s="1030"/>
      <c r="J1066" s="1039" t="e">
        <f t="shared" ref="J1066:AR1066" si="571">IF(J266="",0,IF(OR(1=RANK(J666,J$412:J$790,0),(2=RANK(J666,J$412:J$790,0))),J666,J266))</f>
        <v>#DIV/0!</v>
      </c>
      <c r="K1066" s="1040" t="e">
        <f t="shared" si="571"/>
        <v>#DIV/0!</v>
      </c>
      <c r="L1066" s="1040" t="e">
        <f t="shared" si="571"/>
        <v>#DIV/0!</v>
      </c>
      <c r="M1066" s="1040" t="e">
        <f t="shared" si="571"/>
        <v>#DIV/0!</v>
      </c>
      <c r="N1066" s="1040" t="e">
        <f t="shared" si="571"/>
        <v>#DIV/0!</v>
      </c>
      <c r="O1066" s="1040" t="e">
        <f t="shared" si="571"/>
        <v>#DIV/0!</v>
      </c>
      <c r="P1066" s="1040" t="e">
        <f t="shared" si="571"/>
        <v>#DIV/0!</v>
      </c>
      <c r="Q1066" s="1040" t="e">
        <f t="shared" si="571"/>
        <v>#DIV/0!</v>
      </c>
      <c r="R1066" s="1040" t="e">
        <f t="shared" si="571"/>
        <v>#DIV/0!</v>
      </c>
      <c r="S1066" s="1040" t="e">
        <f t="shared" si="571"/>
        <v>#DIV/0!</v>
      </c>
      <c r="T1066" s="1040" t="e">
        <f t="shared" si="571"/>
        <v>#DIV/0!</v>
      </c>
      <c r="U1066" s="1040" t="e">
        <f t="shared" si="571"/>
        <v>#DIV/0!</v>
      </c>
      <c r="V1066" s="1040" t="e">
        <f t="shared" si="571"/>
        <v>#DIV/0!</v>
      </c>
      <c r="W1066" s="1040" t="e">
        <f t="shared" si="571"/>
        <v>#DIV/0!</v>
      </c>
      <c r="X1066" s="1040" t="e">
        <f t="shared" si="571"/>
        <v>#DIV/0!</v>
      </c>
      <c r="Y1066" s="1040" t="e">
        <f t="shared" si="571"/>
        <v>#DIV/0!</v>
      </c>
      <c r="Z1066" s="1040" t="e">
        <f t="shared" si="571"/>
        <v>#DIV/0!</v>
      </c>
      <c r="AA1066" s="1040" t="e">
        <f t="shared" si="571"/>
        <v>#DIV/0!</v>
      </c>
      <c r="AB1066" s="1040" t="e">
        <f t="shared" si="571"/>
        <v>#DIV/0!</v>
      </c>
      <c r="AC1066" s="1040" t="e">
        <f t="shared" si="571"/>
        <v>#DIV/0!</v>
      </c>
      <c r="AD1066" s="1040" t="e">
        <f t="shared" si="571"/>
        <v>#DIV/0!</v>
      </c>
      <c r="AE1066" s="1040" t="e">
        <f t="shared" si="571"/>
        <v>#DIV/0!</v>
      </c>
      <c r="AF1066" s="1040" t="e">
        <f t="shared" si="571"/>
        <v>#DIV/0!</v>
      </c>
      <c r="AG1066" s="1040" t="e">
        <f t="shared" si="571"/>
        <v>#DIV/0!</v>
      </c>
      <c r="AH1066" s="1040" t="e">
        <f t="shared" si="571"/>
        <v>#DIV/0!</v>
      </c>
      <c r="AI1066" s="1040" t="e">
        <f t="shared" si="571"/>
        <v>#DIV/0!</v>
      </c>
      <c r="AJ1066" s="1040" t="e">
        <f t="shared" si="571"/>
        <v>#DIV/0!</v>
      </c>
      <c r="AK1066" s="1040" t="e">
        <f t="shared" si="571"/>
        <v>#DIV/0!</v>
      </c>
      <c r="AL1066" s="1040" t="e">
        <f t="shared" si="571"/>
        <v>#DIV/0!</v>
      </c>
      <c r="AM1066" s="1040" t="e">
        <f t="shared" si="571"/>
        <v>#DIV/0!</v>
      </c>
      <c r="AN1066" s="1040" t="e">
        <f t="shared" si="571"/>
        <v>#DIV/0!</v>
      </c>
      <c r="AO1066" s="1040" t="e">
        <f t="shared" si="571"/>
        <v>#DIV/0!</v>
      </c>
      <c r="AP1066" s="1040" t="e">
        <f t="shared" si="571"/>
        <v>#DIV/0!</v>
      </c>
      <c r="AQ1066" s="1040" t="e">
        <f t="shared" si="571"/>
        <v>#DIV/0!</v>
      </c>
      <c r="AR1066" s="1040" t="e">
        <f t="shared" si="571"/>
        <v>#DIV/0!</v>
      </c>
      <c r="AS1066" s="1040" t="e">
        <f t="shared" ref="AS1066:AY1066" si="572">IF(AS266="",0,IF(OR(1=RANK(AS666,AS$412:AS$790,0),(2=RANK(AS666,AS$412:AS$790,0))),AS666,AS266))</f>
        <v>#DIV/0!</v>
      </c>
      <c r="AT1066" s="1040" t="e">
        <f t="shared" si="572"/>
        <v>#DIV/0!</v>
      </c>
      <c r="AU1066" s="1040">
        <f t="shared" si="572"/>
        <v>0</v>
      </c>
      <c r="AV1066" s="1040" t="e">
        <f t="shared" si="572"/>
        <v>#DIV/0!</v>
      </c>
      <c r="AW1066" s="1040" t="e">
        <f t="shared" si="572"/>
        <v>#DIV/0!</v>
      </c>
      <c r="AX1066" s="1040" t="e">
        <f t="shared" si="572"/>
        <v>#DIV/0!</v>
      </c>
      <c r="AY1066" s="1040" t="e">
        <f t="shared" si="572"/>
        <v>#DIV/0!</v>
      </c>
      <c r="AZ1066" s="1061" t="s">
        <v>21</v>
      </c>
      <c r="BC1066" s="29"/>
      <c r="BD1066" s="29"/>
      <c r="BE1066" s="13"/>
      <c r="BL1066" s="368"/>
    </row>
    <row r="1067" spans="1:64" ht="12" customHeight="1" x14ac:dyDescent="0.2">
      <c r="A1067" s="39">
        <f>acute_overview_children!A267</f>
        <v>4</v>
      </c>
      <c r="B1067" s="23">
        <f t="shared" si="445"/>
        <v>632030</v>
      </c>
      <c r="C1067" s="23" t="str">
        <f t="shared" si="446"/>
        <v>Mate/maté</v>
      </c>
      <c r="D1067" s="135"/>
      <c r="E1067" s="1027"/>
      <c r="F1067" s="87"/>
      <c r="G1067" s="87"/>
      <c r="H1067" s="1027"/>
      <c r="I1067" s="1030"/>
      <c r="J1067" s="1039" t="e">
        <f t="shared" ref="J1067:AR1067" si="573">IF(J267="",0,IF(OR(1=RANK(J667,J$412:J$790,0),(2=RANK(J667,J$412:J$790,0))),J667,J267))</f>
        <v>#DIV/0!</v>
      </c>
      <c r="K1067" s="1040" t="e">
        <f t="shared" si="573"/>
        <v>#DIV/0!</v>
      </c>
      <c r="L1067" s="1040" t="e">
        <f t="shared" si="573"/>
        <v>#DIV/0!</v>
      </c>
      <c r="M1067" s="1040" t="e">
        <f t="shared" si="573"/>
        <v>#DIV/0!</v>
      </c>
      <c r="N1067" s="1040" t="e">
        <f t="shared" si="573"/>
        <v>#DIV/0!</v>
      </c>
      <c r="O1067" s="1040" t="e">
        <f t="shared" si="573"/>
        <v>#DIV/0!</v>
      </c>
      <c r="P1067" s="1040" t="e">
        <f t="shared" si="573"/>
        <v>#DIV/0!</v>
      </c>
      <c r="Q1067" s="1040" t="e">
        <f t="shared" si="573"/>
        <v>#DIV/0!</v>
      </c>
      <c r="R1067" s="1040" t="e">
        <f t="shared" si="573"/>
        <v>#DIV/0!</v>
      </c>
      <c r="S1067" s="1040" t="e">
        <f t="shared" si="573"/>
        <v>#DIV/0!</v>
      </c>
      <c r="T1067" s="1040" t="e">
        <f t="shared" si="573"/>
        <v>#DIV/0!</v>
      </c>
      <c r="U1067" s="1040" t="e">
        <f t="shared" si="573"/>
        <v>#DIV/0!</v>
      </c>
      <c r="V1067" s="1040" t="e">
        <f t="shared" si="573"/>
        <v>#DIV/0!</v>
      </c>
      <c r="W1067" s="1040" t="e">
        <f t="shared" si="573"/>
        <v>#DIV/0!</v>
      </c>
      <c r="X1067" s="1040" t="e">
        <f t="shared" si="573"/>
        <v>#DIV/0!</v>
      </c>
      <c r="Y1067" s="1040" t="e">
        <f t="shared" si="573"/>
        <v>#DIV/0!</v>
      </c>
      <c r="Z1067" s="1040" t="e">
        <f t="shared" si="573"/>
        <v>#DIV/0!</v>
      </c>
      <c r="AA1067" s="1040" t="e">
        <f t="shared" si="573"/>
        <v>#DIV/0!</v>
      </c>
      <c r="AB1067" s="1040" t="e">
        <f t="shared" si="573"/>
        <v>#DIV/0!</v>
      </c>
      <c r="AC1067" s="1040" t="e">
        <f t="shared" si="573"/>
        <v>#DIV/0!</v>
      </c>
      <c r="AD1067" s="1040" t="e">
        <f t="shared" si="573"/>
        <v>#DIV/0!</v>
      </c>
      <c r="AE1067" s="1040" t="e">
        <f t="shared" si="573"/>
        <v>#DIV/0!</v>
      </c>
      <c r="AF1067" s="1040" t="e">
        <f t="shared" si="573"/>
        <v>#DIV/0!</v>
      </c>
      <c r="AG1067" s="1040" t="e">
        <f t="shared" si="573"/>
        <v>#DIV/0!</v>
      </c>
      <c r="AH1067" s="1040" t="e">
        <f t="shared" si="573"/>
        <v>#DIV/0!</v>
      </c>
      <c r="AI1067" s="1040" t="e">
        <f t="shared" si="573"/>
        <v>#DIV/0!</v>
      </c>
      <c r="AJ1067" s="1040" t="e">
        <f t="shared" si="573"/>
        <v>#DIV/0!</v>
      </c>
      <c r="AK1067" s="1040" t="e">
        <f t="shared" si="573"/>
        <v>#DIV/0!</v>
      </c>
      <c r="AL1067" s="1040" t="e">
        <f t="shared" si="573"/>
        <v>#DIV/0!</v>
      </c>
      <c r="AM1067" s="1040" t="e">
        <f t="shared" si="573"/>
        <v>#DIV/0!</v>
      </c>
      <c r="AN1067" s="1040" t="e">
        <f t="shared" si="573"/>
        <v>#DIV/0!</v>
      </c>
      <c r="AO1067" s="1040" t="e">
        <f t="shared" si="573"/>
        <v>#DIV/0!</v>
      </c>
      <c r="AP1067" s="1040" t="e">
        <f t="shared" si="573"/>
        <v>#DIV/0!</v>
      </c>
      <c r="AQ1067" s="1040" t="e">
        <f t="shared" si="573"/>
        <v>#DIV/0!</v>
      </c>
      <c r="AR1067" s="1040" t="e">
        <f t="shared" si="573"/>
        <v>#DIV/0!</v>
      </c>
      <c r="AS1067" s="1040" t="e">
        <f t="shared" ref="AS1067:AY1067" si="574">IF(AS267="",0,IF(OR(1=RANK(AS667,AS$412:AS$790,0),(2=RANK(AS667,AS$412:AS$790,0))),AS667,AS267))</f>
        <v>#DIV/0!</v>
      </c>
      <c r="AT1067" s="1040" t="e">
        <f t="shared" si="574"/>
        <v>#DIV/0!</v>
      </c>
      <c r="AU1067" s="1040">
        <f t="shared" si="574"/>
        <v>0</v>
      </c>
      <c r="AV1067" s="1040" t="e">
        <f t="shared" si="574"/>
        <v>#DIV/0!</v>
      </c>
      <c r="AW1067" s="1040" t="e">
        <f t="shared" si="574"/>
        <v>#DIV/0!</v>
      </c>
      <c r="AX1067" s="1040" t="e">
        <f t="shared" si="574"/>
        <v>#DIV/0!</v>
      </c>
      <c r="AY1067" s="1040" t="e">
        <f t="shared" si="574"/>
        <v>#DIV/0!</v>
      </c>
      <c r="AZ1067" s="1061" t="s">
        <v>21</v>
      </c>
      <c r="BC1067" s="29"/>
      <c r="BD1067" s="29"/>
      <c r="BE1067" s="13"/>
      <c r="BL1067" s="368"/>
    </row>
    <row r="1068" spans="1:64" ht="12" customHeight="1" x14ac:dyDescent="0.2">
      <c r="A1068" s="39">
        <f>acute_overview_children!A268</f>
        <v>4</v>
      </c>
      <c r="B1068" s="23">
        <f t="shared" ref="B1068:B1131" si="575">B268</f>
        <v>632990</v>
      </c>
      <c r="C1068" s="23" t="str">
        <f t="shared" ref="C1068:C1131" si="576">C268</f>
        <v>Other herbal infusions (dried leaves)</v>
      </c>
      <c r="D1068" s="135"/>
      <c r="E1068" s="1027"/>
      <c r="F1068" s="87"/>
      <c r="G1068" s="87"/>
      <c r="H1068" s="1027"/>
      <c r="I1068" s="1030"/>
      <c r="J1068" s="1039" t="e">
        <f t="shared" ref="J1068:AR1068" si="577">IF(J268="",0,IF(OR(1=RANK(J668,J$412:J$790,0),(2=RANK(J668,J$412:J$790,0))),J668,J268))</f>
        <v>#DIV/0!</v>
      </c>
      <c r="K1068" s="1040" t="e">
        <f t="shared" si="577"/>
        <v>#DIV/0!</v>
      </c>
      <c r="L1068" s="1040" t="e">
        <f t="shared" si="577"/>
        <v>#DIV/0!</v>
      </c>
      <c r="M1068" s="1040" t="e">
        <f t="shared" si="577"/>
        <v>#DIV/0!</v>
      </c>
      <c r="N1068" s="1040" t="e">
        <f t="shared" si="577"/>
        <v>#DIV/0!</v>
      </c>
      <c r="O1068" s="1040" t="e">
        <f t="shared" si="577"/>
        <v>#DIV/0!</v>
      </c>
      <c r="P1068" s="1040" t="e">
        <f t="shared" si="577"/>
        <v>#DIV/0!</v>
      </c>
      <c r="Q1068" s="1040" t="e">
        <f t="shared" si="577"/>
        <v>#DIV/0!</v>
      </c>
      <c r="R1068" s="1040" t="e">
        <f t="shared" si="577"/>
        <v>#DIV/0!</v>
      </c>
      <c r="S1068" s="1040" t="e">
        <f t="shared" si="577"/>
        <v>#DIV/0!</v>
      </c>
      <c r="T1068" s="1040" t="e">
        <f t="shared" si="577"/>
        <v>#DIV/0!</v>
      </c>
      <c r="U1068" s="1040" t="e">
        <f t="shared" si="577"/>
        <v>#DIV/0!</v>
      </c>
      <c r="V1068" s="1040" t="e">
        <f t="shared" si="577"/>
        <v>#DIV/0!</v>
      </c>
      <c r="W1068" s="1040" t="e">
        <f t="shared" si="577"/>
        <v>#DIV/0!</v>
      </c>
      <c r="X1068" s="1040" t="e">
        <f t="shared" si="577"/>
        <v>#DIV/0!</v>
      </c>
      <c r="Y1068" s="1040" t="e">
        <f t="shared" si="577"/>
        <v>#DIV/0!</v>
      </c>
      <c r="Z1068" s="1040" t="e">
        <f t="shared" si="577"/>
        <v>#DIV/0!</v>
      </c>
      <c r="AA1068" s="1040" t="e">
        <f t="shared" si="577"/>
        <v>#DIV/0!</v>
      </c>
      <c r="AB1068" s="1040" t="e">
        <f t="shared" si="577"/>
        <v>#DIV/0!</v>
      </c>
      <c r="AC1068" s="1040" t="e">
        <f t="shared" si="577"/>
        <v>#DIV/0!</v>
      </c>
      <c r="AD1068" s="1040" t="e">
        <f t="shared" si="577"/>
        <v>#DIV/0!</v>
      </c>
      <c r="AE1068" s="1040" t="e">
        <f t="shared" si="577"/>
        <v>#DIV/0!</v>
      </c>
      <c r="AF1068" s="1040" t="e">
        <f t="shared" si="577"/>
        <v>#DIV/0!</v>
      </c>
      <c r="AG1068" s="1040" t="e">
        <f t="shared" si="577"/>
        <v>#DIV/0!</v>
      </c>
      <c r="AH1068" s="1040" t="e">
        <f t="shared" si="577"/>
        <v>#DIV/0!</v>
      </c>
      <c r="AI1068" s="1040" t="e">
        <f t="shared" si="577"/>
        <v>#DIV/0!</v>
      </c>
      <c r="AJ1068" s="1040" t="e">
        <f t="shared" si="577"/>
        <v>#DIV/0!</v>
      </c>
      <c r="AK1068" s="1040" t="e">
        <f t="shared" si="577"/>
        <v>#DIV/0!</v>
      </c>
      <c r="AL1068" s="1040" t="e">
        <f t="shared" si="577"/>
        <v>#DIV/0!</v>
      </c>
      <c r="AM1068" s="1040" t="e">
        <f t="shared" si="577"/>
        <v>#DIV/0!</v>
      </c>
      <c r="AN1068" s="1040" t="e">
        <f t="shared" si="577"/>
        <v>#DIV/0!</v>
      </c>
      <c r="AO1068" s="1040" t="e">
        <f t="shared" si="577"/>
        <v>#DIV/0!</v>
      </c>
      <c r="AP1068" s="1040" t="e">
        <f t="shared" si="577"/>
        <v>#DIV/0!</v>
      </c>
      <c r="AQ1068" s="1040" t="e">
        <f t="shared" si="577"/>
        <v>#DIV/0!</v>
      </c>
      <c r="AR1068" s="1040" t="e">
        <f t="shared" si="577"/>
        <v>#DIV/0!</v>
      </c>
      <c r="AS1068" s="1040" t="e">
        <f t="shared" ref="AS1068:AY1068" si="578">IF(AS268="",0,IF(OR(1=RANK(AS668,AS$412:AS$790,0),(2=RANK(AS668,AS$412:AS$790,0))),AS668,AS268))</f>
        <v>#DIV/0!</v>
      </c>
      <c r="AT1068" s="1040" t="e">
        <f t="shared" si="578"/>
        <v>#DIV/0!</v>
      </c>
      <c r="AU1068" s="1040">
        <f t="shared" si="578"/>
        <v>0</v>
      </c>
      <c r="AV1068" s="1040" t="e">
        <f t="shared" si="578"/>
        <v>#DIV/0!</v>
      </c>
      <c r="AW1068" s="1040" t="e">
        <f t="shared" si="578"/>
        <v>#DIV/0!</v>
      </c>
      <c r="AX1068" s="1040" t="e">
        <f t="shared" si="578"/>
        <v>#DIV/0!</v>
      </c>
      <c r="AY1068" s="1040" t="e">
        <f t="shared" si="578"/>
        <v>#DIV/0!</v>
      </c>
      <c r="AZ1068" s="1061" t="s">
        <v>21</v>
      </c>
      <c r="BC1068" s="29"/>
      <c r="BD1068" s="29"/>
      <c r="BE1068" s="13"/>
      <c r="BL1068" s="368"/>
    </row>
    <row r="1069" spans="1:64" ht="12" customHeight="1" x14ac:dyDescent="0.2">
      <c r="A1069" s="132">
        <f>acute_overview_children!A269</f>
        <v>3</v>
      </c>
      <c r="B1069" s="3">
        <f t="shared" si="575"/>
        <v>633000</v>
      </c>
      <c r="C1069" s="3" t="str">
        <f t="shared" si="576"/>
        <v>Herbal infusions (dried roots)</v>
      </c>
      <c r="D1069" s="1042"/>
      <c r="E1069" s="1027"/>
      <c r="F1069" s="87"/>
      <c r="G1069" s="87"/>
      <c r="H1069" s="1027"/>
      <c r="I1069" s="1030"/>
      <c r="J1069" s="1043" t="e">
        <f t="shared" ref="J1069:AR1069" si="579">IF(J269="",0,IF(OR(1=RANK(J669,J$412:J$790,0),(2=RANK(J669,J$412:J$790,0))),J669,J269))</f>
        <v>#DIV/0!</v>
      </c>
      <c r="K1069" s="1044" t="e">
        <f t="shared" si="579"/>
        <v>#DIV/0!</v>
      </c>
      <c r="L1069" s="1044" t="e">
        <f t="shared" si="579"/>
        <v>#DIV/0!</v>
      </c>
      <c r="M1069" s="1044" t="e">
        <f t="shared" si="579"/>
        <v>#DIV/0!</v>
      </c>
      <c r="N1069" s="1044" t="e">
        <f t="shared" si="579"/>
        <v>#DIV/0!</v>
      </c>
      <c r="O1069" s="1044" t="e">
        <f t="shared" si="579"/>
        <v>#DIV/0!</v>
      </c>
      <c r="P1069" s="1044" t="e">
        <f t="shared" si="579"/>
        <v>#DIV/0!</v>
      </c>
      <c r="Q1069" s="1044" t="e">
        <f t="shared" si="579"/>
        <v>#DIV/0!</v>
      </c>
      <c r="R1069" s="1044" t="e">
        <f t="shared" si="579"/>
        <v>#DIV/0!</v>
      </c>
      <c r="S1069" s="1044" t="e">
        <f t="shared" si="579"/>
        <v>#DIV/0!</v>
      </c>
      <c r="T1069" s="1044" t="e">
        <f t="shared" si="579"/>
        <v>#DIV/0!</v>
      </c>
      <c r="U1069" s="1044" t="e">
        <f t="shared" si="579"/>
        <v>#DIV/0!</v>
      </c>
      <c r="V1069" s="1044" t="e">
        <f t="shared" si="579"/>
        <v>#DIV/0!</v>
      </c>
      <c r="W1069" s="1044" t="e">
        <f t="shared" si="579"/>
        <v>#DIV/0!</v>
      </c>
      <c r="X1069" s="1044" t="e">
        <f t="shared" si="579"/>
        <v>#DIV/0!</v>
      </c>
      <c r="Y1069" s="1044" t="e">
        <f t="shared" si="579"/>
        <v>#DIV/0!</v>
      </c>
      <c r="Z1069" s="1044" t="e">
        <f t="shared" si="579"/>
        <v>#DIV/0!</v>
      </c>
      <c r="AA1069" s="1044" t="e">
        <f t="shared" si="579"/>
        <v>#DIV/0!</v>
      </c>
      <c r="AB1069" s="1044" t="e">
        <f t="shared" si="579"/>
        <v>#DIV/0!</v>
      </c>
      <c r="AC1069" s="1044" t="e">
        <f t="shared" si="579"/>
        <v>#DIV/0!</v>
      </c>
      <c r="AD1069" s="1044" t="e">
        <f t="shared" si="579"/>
        <v>#DIV/0!</v>
      </c>
      <c r="AE1069" s="1044" t="e">
        <f t="shared" si="579"/>
        <v>#DIV/0!</v>
      </c>
      <c r="AF1069" s="1044" t="e">
        <f t="shared" si="579"/>
        <v>#DIV/0!</v>
      </c>
      <c r="AG1069" s="1044" t="e">
        <f t="shared" si="579"/>
        <v>#DIV/0!</v>
      </c>
      <c r="AH1069" s="1044" t="e">
        <f t="shared" si="579"/>
        <v>#DIV/0!</v>
      </c>
      <c r="AI1069" s="1044" t="e">
        <f t="shared" si="579"/>
        <v>#DIV/0!</v>
      </c>
      <c r="AJ1069" s="1044" t="e">
        <f t="shared" si="579"/>
        <v>#DIV/0!</v>
      </c>
      <c r="AK1069" s="1044" t="e">
        <f t="shared" si="579"/>
        <v>#DIV/0!</v>
      </c>
      <c r="AL1069" s="1044" t="e">
        <f t="shared" si="579"/>
        <v>#DIV/0!</v>
      </c>
      <c r="AM1069" s="1044" t="e">
        <f t="shared" si="579"/>
        <v>#DIV/0!</v>
      </c>
      <c r="AN1069" s="1044" t="e">
        <f t="shared" si="579"/>
        <v>#DIV/0!</v>
      </c>
      <c r="AO1069" s="1044" t="e">
        <f t="shared" si="579"/>
        <v>#DIV/0!</v>
      </c>
      <c r="AP1069" s="1044" t="e">
        <f t="shared" si="579"/>
        <v>#DIV/0!</v>
      </c>
      <c r="AQ1069" s="1044" t="e">
        <f t="shared" si="579"/>
        <v>#DIV/0!</v>
      </c>
      <c r="AR1069" s="1044" t="e">
        <f t="shared" si="579"/>
        <v>#DIV/0!</v>
      </c>
      <c r="AS1069" s="1044" t="e">
        <f t="shared" ref="AS1069:AY1069" si="580">IF(AS269="",0,IF(OR(1=RANK(AS669,AS$412:AS$790,0),(2=RANK(AS669,AS$412:AS$790,0))),AS669,AS269))</f>
        <v>#DIV/0!</v>
      </c>
      <c r="AT1069" s="1044" t="e">
        <f t="shared" si="580"/>
        <v>#DIV/0!</v>
      </c>
      <c r="AU1069" s="1044">
        <f t="shared" si="580"/>
        <v>0</v>
      </c>
      <c r="AV1069" s="1044" t="e">
        <f t="shared" si="580"/>
        <v>#DIV/0!</v>
      </c>
      <c r="AW1069" s="1044" t="e">
        <f t="shared" si="580"/>
        <v>#DIV/0!</v>
      </c>
      <c r="AX1069" s="1044" t="e">
        <f t="shared" si="580"/>
        <v>#DIV/0!</v>
      </c>
      <c r="AY1069" s="1044" t="e">
        <f t="shared" si="580"/>
        <v>#DIV/0!</v>
      </c>
      <c r="AZ1069" s="1061" t="s">
        <v>21</v>
      </c>
      <c r="BC1069" s="29"/>
      <c r="BD1069" s="29"/>
      <c r="BE1069" s="13"/>
      <c r="BL1069" s="368"/>
    </row>
    <row r="1070" spans="1:64" ht="12" customHeight="1" x14ac:dyDescent="0.2">
      <c r="A1070" s="39">
        <f>acute_overview_children!A270</f>
        <v>4</v>
      </c>
      <c r="B1070" s="23">
        <f t="shared" si="575"/>
        <v>633010</v>
      </c>
      <c r="C1070" s="23" t="str">
        <f t="shared" si="576"/>
        <v xml:space="preserve">Valerian root </v>
      </c>
      <c r="D1070" s="135"/>
      <c r="E1070" s="1027"/>
      <c r="F1070" s="87"/>
      <c r="G1070" s="87"/>
      <c r="H1070" s="1027"/>
      <c r="I1070" s="1030"/>
      <c r="J1070" s="1039" t="e">
        <f t="shared" ref="J1070:AR1070" si="581">IF(J270="",0,IF(OR(1=RANK(J670,J$412:J$790,0),(2=RANK(J670,J$412:J$790,0))),J670,J270))</f>
        <v>#DIV/0!</v>
      </c>
      <c r="K1070" s="1040" t="e">
        <f t="shared" si="581"/>
        <v>#DIV/0!</v>
      </c>
      <c r="L1070" s="1040" t="e">
        <f t="shared" si="581"/>
        <v>#DIV/0!</v>
      </c>
      <c r="M1070" s="1040" t="e">
        <f t="shared" si="581"/>
        <v>#DIV/0!</v>
      </c>
      <c r="N1070" s="1040" t="e">
        <f t="shared" si="581"/>
        <v>#DIV/0!</v>
      </c>
      <c r="O1070" s="1040" t="e">
        <f t="shared" si="581"/>
        <v>#DIV/0!</v>
      </c>
      <c r="P1070" s="1040" t="e">
        <f t="shared" si="581"/>
        <v>#DIV/0!</v>
      </c>
      <c r="Q1070" s="1040" t="e">
        <f t="shared" si="581"/>
        <v>#DIV/0!</v>
      </c>
      <c r="R1070" s="1040" t="e">
        <f t="shared" si="581"/>
        <v>#DIV/0!</v>
      </c>
      <c r="S1070" s="1040" t="e">
        <f t="shared" si="581"/>
        <v>#DIV/0!</v>
      </c>
      <c r="T1070" s="1040" t="e">
        <f t="shared" si="581"/>
        <v>#DIV/0!</v>
      </c>
      <c r="U1070" s="1040" t="e">
        <f t="shared" si="581"/>
        <v>#DIV/0!</v>
      </c>
      <c r="V1070" s="1040" t="e">
        <f t="shared" si="581"/>
        <v>#DIV/0!</v>
      </c>
      <c r="W1070" s="1040" t="e">
        <f t="shared" si="581"/>
        <v>#DIV/0!</v>
      </c>
      <c r="X1070" s="1040" t="e">
        <f t="shared" si="581"/>
        <v>#DIV/0!</v>
      </c>
      <c r="Y1070" s="1040" t="e">
        <f t="shared" si="581"/>
        <v>#DIV/0!</v>
      </c>
      <c r="Z1070" s="1040" t="e">
        <f t="shared" si="581"/>
        <v>#DIV/0!</v>
      </c>
      <c r="AA1070" s="1040" t="e">
        <f t="shared" si="581"/>
        <v>#DIV/0!</v>
      </c>
      <c r="AB1070" s="1040" t="e">
        <f t="shared" si="581"/>
        <v>#DIV/0!</v>
      </c>
      <c r="AC1070" s="1040" t="e">
        <f t="shared" si="581"/>
        <v>#DIV/0!</v>
      </c>
      <c r="AD1070" s="1040" t="e">
        <f t="shared" si="581"/>
        <v>#DIV/0!</v>
      </c>
      <c r="AE1070" s="1040" t="e">
        <f t="shared" si="581"/>
        <v>#DIV/0!</v>
      </c>
      <c r="AF1070" s="1040" t="e">
        <f t="shared" si="581"/>
        <v>#DIV/0!</v>
      </c>
      <c r="AG1070" s="1040" t="e">
        <f t="shared" si="581"/>
        <v>#DIV/0!</v>
      </c>
      <c r="AH1070" s="1040" t="e">
        <f t="shared" si="581"/>
        <v>#DIV/0!</v>
      </c>
      <c r="AI1070" s="1040" t="e">
        <f t="shared" si="581"/>
        <v>#DIV/0!</v>
      </c>
      <c r="AJ1070" s="1040" t="e">
        <f t="shared" si="581"/>
        <v>#DIV/0!</v>
      </c>
      <c r="AK1070" s="1040" t="e">
        <f t="shared" si="581"/>
        <v>#DIV/0!</v>
      </c>
      <c r="AL1070" s="1040" t="e">
        <f t="shared" si="581"/>
        <v>#DIV/0!</v>
      </c>
      <c r="AM1070" s="1040" t="e">
        <f t="shared" si="581"/>
        <v>#DIV/0!</v>
      </c>
      <c r="AN1070" s="1040" t="e">
        <f t="shared" si="581"/>
        <v>#DIV/0!</v>
      </c>
      <c r="AO1070" s="1040" t="e">
        <f t="shared" si="581"/>
        <v>#DIV/0!</v>
      </c>
      <c r="AP1070" s="1040" t="e">
        <f t="shared" si="581"/>
        <v>#DIV/0!</v>
      </c>
      <c r="AQ1070" s="1040" t="e">
        <f t="shared" si="581"/>
        <v>#DIV/0!</v>
      </c>
      <c r="AR1070" s="1040" t="e">
        <f t="shared" si="581"/>
        <v>#DIV/0!</v>
      </c>
      <c r="AS1070" s="1040" t="e">
        <f t="shared" ref="AS1070:AY1070" si="582">IF(AS270="",0,IF(OR(1=RANK(AS670,AS$412:AS$790,0),(2=RANK(AS670,AS$412:AS$790,0))),AS670,AS270))</f>
        <v>#DIV/0!</v>
      </c>
      <c r="AT1070" s="1040" t="e">
        <f t="shared" si="582"/>
        <v>#DIV/0!</v>
      </c>
      <c r="AU1070" s="1040">
        <f t="shared" si="582"/>
        <v>0</v>
      </c>
      <c r="AV1070" s="1040" t="e">
        <f t="shared" si="582"/>
        <v>#DIV/0!</v>
      </c>
      <c r="AW1070" s="1040" t="e">
        <f t="shared" si="582"/>
        <v>#DIV/0!</v>
      </c>
      <c r="AX1070" s="1040" t="e">
        <f t="shared" si="582"/>
        <v>#DIV/0!</v>
      </c>
      <c r="AY1070" s="1040" t="e">
        <f t="shared" si="582"/>
        <v>#DIV/0!</v>
      </c>
      <c r="AZ1070" s="1061" t="s">
        <v>21</v>
      </c>
      <c r="BC1070" s="29"/>
      <c r="BD1070" s="29"/>
      <c r="BE1070" s="13"/>
      <c r="BL1070" s="368"/>
    </row>
    <row r="1071" spans="1:64" ht="12" customHeight="1" x14ac:dyDescent="0.2">
      <c r="A1071" s="39">
        <f>acute_overview_children!A271</f>
        <v>4</v>
      </c>
      <c r="B1071" s="23">
        <f t="shared" si="575"/>
        <v>633020</v>
      </c>
      <c r="C1071" s="23" t="str">
        <f t="shared" si="576"/>
        <v>Ginseng root</v>
      </c>
      <c r="D1071" s="135"/>
      <c r="E1071" s="1027"/>
      <c r="F1071" s="87"/>
      <c r="G1071" s="87"/>
      <c r="H1071" s="1027"/>
      <c r="I1071" s="1030"/>
      <c r="J1071" s="1039" t="e">
        <f t="shared" ref="J1071:AR1071" si="583">IF(J271="",0,IF(OR(1=RANK(J671,J$412:J$790,0),(2=RANK(J671,J$412:J$790,0))),J671,J271))</f>
        <v>#DIV/0!</v>
      </c>
      <c r="K1071" s="1040" t="e">
        <f t="shared" si="583"/>
        <v>#DIV/0!</v>
      </c>
      <c r="L1071" s="1040" t="e">
        <f t="shared" si="583"/>
        <v>#DIV/0!</v>
      </c>
      <c r="M1071" s="1040" t="e">
        <f t="shared" si="583"/>
        <v>#DIV/0!</v>
      </c>
      <c r="N1071" s="1040" t="e">
        <f t="shared" si="583"/>
        <v>#DIV/0!</v>
      </c>
      <c r="O1071" s="1040" t="e">
        <f t="shared" si="583"/>
        <v>#DIV/0!</v>
      </c>
      <c r="P1071" s="1040" t="e">
        <f t="shared" si="583"/>
        <v>#DIV/0!</v>
      </c>
      <c r="Q1071" s="1040" t="e">
        <f t="shared" si="583"/>
        <v>#DIV/0!</v>
      </c>
      <c r="R1071" s="1040" t="e">
        <f t="shared" si="583"/>
        <v>#DIV/0!</v>
      </c>
      <c r="S1071" s="1040" t="e">
        <f t="shared" si="583"/>
        <v>#DIV/0!</v>
      </c>
      <c r="T1071" s="1040" t="e">
        <f t="shared" si="583"/>
        <v>#DIV/0!</v>
      </c>
      <c r="U1071" s="1040" t="e">
        <f t="shared" si="583"/>
        <v>#DIV/0!</v>
      </c>
      <c r="V1071" s="1040" t="e">
        <f t="shared" si="583"/>
        <v>#DIV/0!</v>
      </c>
      <c r="W1071" s="1040" t="e">
        <f t="shared" si="583"/>
        <v>#DIV/0!</v>
      </c>
      <c r="X1071" s="1040" t="e">
        <f t="shared" si="583"/>
        <v>#DIV/0!</v>
      </c>
      <c r="Y1071" s="1040" t="e">
        <f t="shared" si="583"/>
        <v>#DIV/0!</v>
      </c>
      <c r="Z1071" s="1040" t="e">
        <f t="shared" si="583"/>
        <v>#DIV/0!</v>
      </c>
      <c r="AA1071" s="1040" t="e">
        <f t="shared" si="583"/>
        <v>#DIV/0!</v>
      </c>
      <c r="AB1071" s="1040" t="e">
        <f t="shared" si="583"/>
        <v>#DIV/0!</v>
      </c>
      <c r="AC1071" s="1040" t="e">
        <f t="shared" si="583"/>
        <v>#DIV/0!</v>
      </c>
      <c r="AD1071" s="1040" t="e">
        <f t="shared" si="583"/>
        <v>#DIV/0!</v>
      </c>
      <c r="AE1071" s="1040" t="e">
        <f t="shared" si="583"/>
        <v>#DIV/0!</v>
      </c>
      <c r="AF1071" s="1040" t="e">
        <f t="shared" si="583"/>
        <v>#DIV/0!</v>
      </c>
      <c r="AG1071" s="1040" t="e">
        <f t="shared" si="583"/>
        <v>#DIV/0!</v>
      </c>
      <c r="AH1071" s="1040" t="e">
        <f t="shared" si="583"/>
        <v>#DIV/0!</v>
      </c>
      <c r="AI1071" s="1040" t="e">
        <f t="shared" si="583"/>
        <v>#DIV/0!</v>
      </c>
      <c r="AJ1071" s="1040" t="e">
        <f t="shared" si="583"/>
        <v>#DIV/0!</v>
      </c>
      <c r="AK1071" s="1040" t="e">
        <f t="shared" si="583"/>
        <v>#DIV/0!</v>
      </c>
      <c r="AL1071" s="1040" t="e">
        <f t="shared" si="583"/>
        <v>#DIV/0!</v>
      </c>
      <c r="AM1071" s="1040" t="e">
        <f t="shared" si="583"/>
        <v>#DIV/0!</v>
      </c>
      <c r="AN1071" s="1040" t="e">
        <f t="shared" si="583"/>
        <v>#DIV/0!</v>
      </c>
      <c r="AO1071" s="1040" t="e">
        <f t="shared" si="583"/>
        <v>#DIV/0!</v>
      </c>
      <c r="AP1071" s="1040" t="e">
        <f t="shared" si="583"/>
        <v>#DIV/0!</v>
      </c>
      <c r="AQ1071" s="1040" t="e">
        <f t="shared" si="583"/>
        <v>#DIV/0!</v>
      </c>
      <c r="AR1071" s="1040" t="e">
        <f t="shared" si="583"/>
        <v>#DIV/0!</v>
      </c>
      <c r="AS1071" s="1040" t="e">
        <f t="shared" ref="AS1071:AY1071" si="584">IF(AS271="",0,IF(OR(1=RANK(AS671,AS$412:AS$790,0),(2=RANK(AS671,AS$412:AS$790,0))),AS671,AS271))</f>
        <v>#DIV/0!</v>
      </c>
      <c r="AT1071" s="1040" t="e">
        <f t="shared" si="584"/>
        <v>#DIV/0!</v>
      </c>
      <c r="AU1071" s="1040">
        <f t="shared" si="584"/>
        <v>0</v>
      </c>
      <c r="AV1071" s="1040" t="e">
        <f t="shared" si="584"/>
        <v>#DIV/0!</v>
      </c>
      <c r="AW1071" s="1040" t="e">
        <f t="shared" si="584"/>
        <v>#DIV/0!</v>
      </c>
      <c r="AX1071" s="1040" t="e">
        <f t="shared" si="584"/>
        <v>#DIV/0!</v>
      </c>
      <c r="AY1071" s="1040" t="e">
        <f t="shared" si="584"/>
        <v>#DIV/0!</v>
      </c>
      <c r="AZ1071" s="1061" t="s">
        <v>21</v>
      </c>
      <c r="BC1071" s="29"/>
      <c r="BD1071" s="29"/>
      <c r="BE1071" s="13"/>
      <c r="BL1071" s="368"/>
    </row>
    <row r="1072" spans="1:64" ht="12" customHeight="1" x14ac:dyDescent="0.2">
      <c r="A1072" s="39">
        <f>acute_overview_children!A272</f>
        <v>4</v>
      </c>
      <c r="B1072" s="23">
        <f t="shared" si="575"/>
        <v>633990</v>
      </c>
      <c r="C1072" s="23" t="str">
        <f t="shared" si="576"/>
        <v>Other herbal infusions (dried roots)</v>
      </c>
      <c r="D1072" s="135"/>
      <c r="E1072" s="1027"/>
      <c r="F1072" s="87"/>
      <c r="G1072" s="87"/>
      <c r="H1072" s="1027"/>
      <c r="I1072" s="1030"/>
      <c r="J1072" s="1039" t="e">
        <f t="shared" ref="J1072:AR1072" si="585">IF(J272="",0,IF(OR(1=RANK(J672,J$412:J$790,0),(2=RANK(J672,J$412:J$790,0))),J672,J272))</f>
        <v>#DIV/0!</v>
      </c>
      <c r="K1072" s="1040" t="e">
        <f t="shared" si="585"/>
        <v>#DIV/0!</v>
      </c>
      <c r="L1072" s="1040" t="e">
        <f t="shared" si="585"/>
        <v>#DIV/0!</v>
      </c>
      <c r="M1072" s="1040" t="e">
        <f t="shared" si="585"/>
        <v>#DIV/0!</v>
      </c>
      <c r="N1072" s="1040" t="e">
        <f t="shared" si="585"/>
        <v>#DIV/0!</v>
      </c>
      <c r="O1072" s="1040" t="e">
        <f t="shared" si="585"/>
        <v>#DIV/0!</v>
      </c>
      <c r="P1072" s="1040" t="e">
        <f t="shared" si="585"/>
        <v>#DIV/0!</v>
      </c>
      <c r="Q1072" s="1040" t="e">
        <f t="shared" si="585"/>
        <v>#DIV/0!</v>
      </c>
      <c r="R1072" s="1040" t="e">
        <f t="shared" si="585"/>
        <v>#DIV/0!</v>
      </c>
      <c r="S1072" s="1040" t="e">
        <f t="shared" si="585"/>
        <v>#DIV/0!</v>
      </c>
      <c r="T1072" s="1040" t="e">
        <f t="shared" si="585"/>
        <v>#DIV/0!</v>
      </c>
      <c r="U1072" s="1040" t="e">
        <f t="shared" si="585"/>
        <v>#DIV/0!</v>
      </c>
      <c r="V1072" s="1040" t="e">
        <f t="shared" si="585"/>
        <v>#DIV/0!</v>
      </c>
      <c r="W1072" s="1040" t="e">
        <f t="shared" si="585"/>
        <v>#DIV/0!</v>
      </c>
      <c r="X1072" s="1040" t="e">
        <f t="shared" si="585"/>
        <v>#DIV/0!</v>
      </c>
      <c r="Y1072" s="1040" t="e">
        <f t="shared" si="585"/>
        <v>#DIV/0!</v>
      </c>
      <c r="Z1072" s="1040" t="e">
        <f t="shared" si="585"/>
        <v>#DIV/0!</v>
      </c>
      <c r="AA1072" s="1040" t="e">
        <f t="shared" si="585"/>
        <v>#DIV/0!</v>
      </c>
      <c r="AB1072" s="1040" t="e">
        <f t="shared" si="585"/>
        <v>#DIV/0!</v>
      </c>
      <c r="AC1072" s="1040" t="e">
        <f t="shared" si="585"/>
        <v>#DIV/0!</v>
      </c>
      <c r="AD1072" s="1040" t="e">
        <f t="shared" si="585"/>
        <v>#DIV/0!</v>
      </c>
      <c r="AE1072" s="1040" t="e">
        <f t="shared" si="585"/>
        <v>#DIV/0!</v>
      </c>
      <c r="AF1072" s="1040" t="e">
        <f t="shared" si="585"/>
        <v>#DIV/0!</v>
      </c>
      <c r="AG1072" s="1040" t="e">
        <f t="shared" si="585"/>
        <v>#DIV/0!</v>
      </c>
      <c r="AH1072" s="1040" t="e">
        <f t="shared" si="585"/>
        <v>#DIV/0!</v>
      </c>
      <c r="AI1072" s="1040" t="e">
        <f t="shared" si="585"/>
        <v>#DIV/0!</v>
      </c>
      <c r="AJ1072" s="1040" t="e">
        <f t="shared" si="585"/>
        <v>#DIV/0!</v>
      </c>
      <c r="AK1072" s="1040" t="e">
        <f t="shared" si="585"/>
        <v>#DIV/0!</v>
      </c>
      <c r="AL1072" s="1040" t="e">
        <f t="shared" si="585"/>
        <v>#DIV/0!</v>
      </c>
      <c r="AM1072" s="1040" t="e">
        <f t="shared" si="585"/>
        <v>#DIV/0!</v>
      </c>
      <c r="AN1072" s="1040" t="e">
        <f t="shared" si="585"/>
        <v>#DIV/0!</v>
      </c>
      <c r="AO1072" s="1040" t="e">
        <f t="shared" si="585"/>
        <v>#DIV/0!</v>
      </c>
      <c r="AP1072" s="1040" t="e">
        <f t="shared" si="585"/>
        <v>#DIV/0!</v>
      </c>
      <c r="AQ1072" s="1040" t="e">
        <f t="shared" si="585"/>
        <v>#DIV/0!</v>
      </c>
      <c r="AR1072" s="1040" t="e">
        <f t="shared" si="585"/>
        <v>#DIV/0!</v>
      </c>
      <c r="AS1072" s="1040" t="e">
        <f t="shared" ref="AS1072:AY1072" si="586">IF(AS272="",0,IF(OR(1=RANK(AS672,AS$412:AS$790,0),(2=RANK(AS672,AS$412:AS$790,0))),AS672,AS272))</f>
        <v>#DIV/0!</v>
      </c>
      <c r="AT1072" s="1040" t="e">
        <f t="shared" si="586"/>
        <v>#DIV/0!</v>
      </c>
      <c r="AU1072" s="1040">
        <f t="shared" si="586"/>
        <v>0</v>
      </c>
      <c r="AV1072" s="1040" t="e">
        <f t="shared" si="586"/>
        <v>#DIV/0!</v>
      </c>
      <c r="AW1072" s="1040" t="e">
        <f t="shared" si="586"/>
        <v>#DIV/0!</v>
      </c>
      <c r="AX1072" s="1040" t="e">
        <f t="shared" si="586"/>
        <v>#DIV/0!</v>
      </c>
      <c r="AY1072" s="1040" t="e">
        <f t="shared" si="586"/>
        <v>#DIV/0!</v>
      </c>
      <c r="AZ1072" s="1061" t="s">
        <v>21</v>
      </c>
      <c r="BC1072" s="29"/>
      <c r="BD1072" s="29"/>
      <c r="BE1072" s="13"/>
      <c r="BL1072" s="368"/>
    </row>
    <row r="1073" spans="1:64" ht="12" customHeight="1" x14ac:dyDescent="0.2">
      <c r="A1073" s="133">
        <f>acute_overview_children!A273</f>
        <v>3</v>
      </c>
      <c r="B1073" s="5">
        <f t="shared" si="575"/>
        <v>639000</v>
      </c>
      <c r="C1073" s="5" t="str">
        <f t="shared" si="576"/>
        <v>Herbal infusions  -(any other parts of the plant)
(other herbal infusions)</v>
      </c>
      <c r="D1073" s="135"/>
      <c r="E1073" s="1027"/>
      <c r="F1073" s="87"/>
      <c r="G1073" s="87"/>
      <c r="H1073" s="1027"/>
      <c r="I1073" s="1030"/>
      <c r="J1073" s="1047" t="e">
        <f t="shared" ref="J1073:AR1073" si="587">IF(J273="",0,IF(OR(1=RANK(J673,J$412:J$790,0),(2=RANK(J673,J$412:J$790,0))),J673,J273))</f>
        <v>#DIV/0!</v>
      </c>
      <c r="K1073" s="1048" t="e">
        <f t="shared" si="587"/>
        <v>#DIV/0!</v>
      </c>
      <c r="L1073" s="1048" t="e">
        <f t="shared" si="587"/>
        <v>#DIV/0!</v>
      </c>
      <c r="M1073" s="1048" t="e">
        <f t="shared" si="587"/>
        <v>#DIV/0!</v>
      </c>
      <c r="N1073" s="1048" t="e">
        <f t="shared" si="587"/>
        <v>#DIV/0!</v>
      </c>
      <c r="O1073" s="1048" t="e">
        <f t="shared" si="587"/>
        <v>#DIV/0!</v>
      </c>
      <c r="P1073" s="1048" t="e">
        <f t="shared" si="587"/>
        <v>#DIV/0!</v>
      </c>
      <c r="Q1073" s="1048" t="e">
        <f t="shared" si="587"/>
        <v>#DIV/0!</v>
      </c>
      <c r="R1073" s="1048" t="e">
        <f t="shared" si="587"/>
        <v>#DIV/0!</v>
      </c>
      <c r="S1073" s="1048" t="e">
        <f t="shared" si="587"/>
        <v>#DIV/0!</v>
      </c>
      <c r="T1073" s="1048" t="e">
        <f t="shared" si="587"/>
        <v>#DIV/0!</v>
      </c>
      <c r="U1073" s="1048" t="e">
        <f t="shared" si="587"/>
        <v>#DIV/0!</v>
      </c>
      <c r="V1073" s="1048" t="e">
        <f t="shared" si="587"/>
        <v>#DIV/0!</v>
      </c>
      <c r="W1073" s="1048" t="e">
        <f t="shared" si="587"/>
        <v>#DIV/0!</v>
      </c>
      <c r="X1073" s="1048" t="e">
        <f t="shared" si="587"/>
        <v>#DIV/0!</v>
      </c>
      <c r="Y1073" s="1048" t="e">
        <f t="shared" si="587"/>
        <v>#DIV/0!</v>
      </c>
      <c r="Z1073" s="1048" t="e">
        <f t="shared" si="587"/>
        <v>#DIV/0!</v>
      </c>
      <c r="AA1073" s="1048" t="e">
        <f t="shared" si="587"/>
        <v>#DIV/0!</v>
      </c>
      <c r="AB1073" s="1048" t="e">
        <f t="shared" si="587"/>
        <v>#DIV/0!</v>
      </c>
      <c r="AC1073" s="1048" t="e">
        <f t="shared" si="587"/>
        <v>#DIV/0!</v>
      </c>
      <c r="AD1073" s="1048" t="e">
        <f t="shared" si="587"/>
        <v>#DIV/0!</v>
      </c>
      <c r="AE1073" s="1048" t="e">
        <f t="shared" si="587"/>
        <v>#DIV/0!</v>
      </c>
      <c r="AF1073" s="1048" t="e">
        <f t="shared" si="587"/>
        <v>#DIV/0!</v>
      </c>
      <c r="AG1073" s="1048" t="e">
        <f t="shared" si="587"/>
        <v>#DIV/0!</v>
      </c>
      <c r="AH1073" s="1048" t="e">
        <f t="shared" si="587"/>
        <v>#DIV/0!</v>
      </c>
      <c r="AI1073" s="1048" t="e">
        <f t="shared" si="587"/>
        <v>#DIV/0!</v>
      </c>
      <c r="AJ1073" s="1048" t="e">
        <f t="shared" si="587"/>
        <v>#DIV/0!</v>
      </c>
      <c r="AK1073" s="1048" t="e">
        <f t="shared" si="587"/>
        <v>#DIV/0!</v>
      </c>
      <c r="AL1073" s="1048" t="e">
        <f t="shared" si="587"/>
        <v>#DIV/0!</v>
      </c>
      <c r="AM1073" s="1048" t="e">
        <f t="shared" si="587"/>
        <v>#DIV/0!</v>
      </c>
      <c r="AN1073" s="1048" t="e">
        <f t="shared" si="587"/>
        <v>#DIV/0!</v>
      </c>
      <c r="AO1073" s="1048" t="e">
        <f t="shared" si="587"/>
        <v>#DIV/0!</v>
      </c>
      <c r="AP1073" s="1048" t="e">
        <f t="shared" si="587"/>
        <v>#DIV/0!</v>
      </c>
      <c r="AQ1073" s="1048" t="e">
        <f t="shared" si="587"/>
        <v>#DIV/0!</v>
      </c>
      <c r="AR1073" s="1048" t="e">
        <f t="shared" si="587"/>
        <v>#DIV/0!</v>
      </c>
      <c r="AS1073" s="1048" t="e">
        <f t="shared" ref="AS1073:AY1073" si="588">IF(AS273="",0,IF(OR(1=RANK(AS673,AS$412:AS$790,0),(2=RANK(AS673,AS$412:AS$790,0))),AS673,AS273))</f>
        <v>#DIV/0!</v>
      </c>
      <c r="AT1073" s="1048" t="e">
        <f t="shared" si="588"/>
        <v>#DIV/0!</v>
      </c>
      <c r="AU1073" s="1048">
        <f t="shared" si="588"/>
        <v>0</v>
      </c>
      <c r="AV1073" s="1048" t="e">
        <f t="shared" si="588"/>
        <v>#DIV/0!</v>
      </c>
      <c r="AW1073" s="1048" t="e">
        <f t="shared" si="588"/>
        <v>#DIV/0!</v>
      </c>
      <c r="AX1073" s="1048" t="e">
        <f t="shared" si="588"/>
        <v>#DIV/0!</v>
      </c>
      <c r="AY1073" s="1048" t="e">
        <f t="shared" si="588"/>
        <v>#DIV/0!</v>
      </c>
      <c r="AZ1073" s="1061" t="s">
        <v>21</v>
      </c>
      <c r="BC1073" s="29"/>
      <c r="BD1073" s="29"/>
      <c r="BE1073" s="13"/>
      <c r="BL1073" s="368"/>
    </row>
    <row r="1074" spans="1:64" ht="12" customHeight="1" x14ac:dyDescent="0.2">
      <c r="A1074" s="515">
        <f>acute_overview_children!A274</f>
        <v>2</v>
      </c>
      <c r="B1074" s="131">
        <f t="shared" si="575"/>
        <v>640000</v>
      </c>
      <c r="C1074" s="131" t="str">
        <f t="shared" si="576"/>
        <v>Cocoa beans</v>
      </c>
      <c r="D1074" s="1035"/>
      <c r="E1074" s="1027"/>
      <c r="F1074" s="87"/>
      <c r="G1074" s="87"/>
      <c r="H1074" s="1027"/>
      <c r="I1074" s="1030"/>
      <c r="J1074" s="1037" t="e">
        <f t="shared" ref="J1074:AR1074" si="589">IF(J274="",0,IF(OR(1=RANK(J674,J$412:J$790,0),(2=RANK(J674,J$412:J$790,0))),J674,J274))</f>
        <v>#DIV/0!</v>
      </c>
      <c r="K1074" s="1038" t="e">
        <f t="shared" si="589"/>
        <v>#DIV/0!</v>
      </c>
      <c r="L1074" s="1038" t="e">
        <f t="shared" si="589"/>
        <v>#DIV/0!</v>
      </c>
      <c r="M1074" s="1038" t="e">
        <f t="shared" si="589"/>
        <v>#DIV/0!</v>
      </c>
      <c r="N1074" s="1038" t="e">
        <f t="shared" si="589"/>
        <v>#DIV/0!</v>
      </c>
      <c r="O1074" s="1038" t="e">
        <f t="shared" si="589"/>
        <v>#DIV/0!</v>
      </c>
      <c r="P1074" s="1038" t="e">
        <f t="shared" si="589"/>
        <v>#DIV/0!</v>
      </c>
      <c r="Q1074" s="1038" t="e">
        <f t="shared" si="589"/>
        <v>#DIV/0!</v>
      </c>
      <c r="R1074" s="1038" t="e">
        <f t="shared" si="589"/>
        <v>#DIV/0!</v>
      </c>
      <c r="S1074" s="1038" t="e">
        <f t="shared" si="589"/>
        <v>#DIV/0!</v>
      </c>
      <c r="T1074" s="1038" t="e">
        <f t="shared" si="589"/>
        <v>#DIV/0!</v>
      </c>
      <c r="U1074" s="1038" t="e">
        <f t="shared" si="589"/>
        <v>#DIV/0!</v>
      </c>
      <c r="V1074" s="1038" t="e">
        <f t="shared" si="589"/>
        <v>#DIV/0!</v>
      </c>
      <c r="W1074" s="1038" t="e">
        <f t="shared" si="589"/>
        <v>#DIV/0!</v>
      </c>
      <c r="X1074" s="1038" t="e">
        <f t="shared" si="589"/>
        <v>#DIV/0!</v>
      </c>
      <c r="Y1074" s="1038" t="e">
        <f t="shared" si="589"/>
        <v>#DIV/0!</v>
      </c>
      <c r="Z1074" s="1038" t="e">
        <f t="shared" si="589"/>
        <v>#DIV/0!</v>
      </c>
      <c r="AA1074" s="1038" t="e">
        <f t="shared" si="589"/>
        <v>#DIV/0!</v>
      </c>
      <c r="AB1074" s="1038" t="e">
        <f t="shared" si="589"/>
        <v>#DIV/0!</v>
      </c>
      <c r="AC1074" s="1038" t="e">
        <f t="shared" si="589"/>
        <v>#DIV/0!</v>
      </c>
      <c r="AD1074" s="1038" t="e">
        <f t="shared" si="589"/>
        <v>#DIV/0!</v>
      </c>
      <c r="AE1074" s="1038" t="e">
        <f t="shared" si="589"/>
        <v>#DIV/0!</v>
      </c>
      <c r="AF1074" s="1038" t="e">
        <f t="shared" si="589"/>
        <v>#DIV/0!</v>
      </c>
      <c r="AG1074" s="1038" t="e">
        <f t="shared" si="589"/>
        <v>#DIV/0!</v>
      </c>
      <c r="AH1074" s="1038" t="e">
        <f t="shared" si="589"/>
        <v>#DIV/0!</v>
      </c>
      <c r="AI1074" s="1038" t="e">
        <f t="shared" si="589"/>
        <v>#DIV/0!</v>
      </c>
      <c r="AJ1074" s="1038" t="e">
        <f t="shared" si="589"/>
        <v>#DIV/0!</v>
      </c>
      <c r="AK1074" s="1038" t="e">
        <f t="shared" si="589"/>
        <v>#DIV/0!</v>
      </c>
      <c r="AL1074" s="1038" t="e">
        <f t="shared" si="589"/>
        <v>#DIV/0!</v>
      </c>
      <c r="AM1074" s="1038" t="e">
        <f t="shared" si="589"/>
        <v>#DIV/0!</v>
      </c>
      <c r="AN1074" s="1038" t="e">
        <f t="shared" si="589"/>
        <v>#DIV/0!</v>
      </c>
      <c r="AO1074" s="1038" t="e">
        <f t="shared" si="589"/>
        <v>#DIV/0!</v>
      </c>
      <c r="AP1074" s="1038" t="e">
        <f t="shared" si="589"/>
        <v>#DIV/0!</v>
      </c>
      <c r="AQ1074" s="1038" t="e">
        <f t="shared" si="589"/>
        <v>#DIV/0!</v>
      </c>
      <c r="AR1074" s="1038" t="e">
        <f t="shared" si="589"/>
        <v>#DIV/0!</v>
      </c>
      <c r="AS1074" s="1038" t="e">
        <f t="shared" ref="AS1074:AY1074" si="590">IF(AS274="",0,IF(OR(1=RANK(AS674,AS$412:AS$790,0),(2=RANK(AS674,AS$412:AS$790,0))),AS674,AS274))</f>
        <v>#DIV/0!</v>
      </c>
      <c r="AT1074" s="1038" t="e">
        <f t="shared" si="590"/>
        <v>#DIV/0!</v>
      </c>
      <c r="AU1074" s="1038">
        <f t="shared" si="590"/>
        <v>0</v>
      </c>
      <c r="AV1074" s="1038" t="e">
        <f t="shared" si="590"/>
        <v>#DIV/0!</v>
      </c>
      <c r="AW1074" s="1038" t="e">
        <f t="shared" si="590"/>
        <v>#DIV/0!</v>
      </c>
      <c r="AX1074" s="1038" t="e">
        <f t="shared" si="590"/>
        <v>#DIV/0!</v>
      </c>
      <c r="AY1074" s="1038" t="e">
        <f t="shared" si="590"/>
        <v>#DIV/0!</v>
      </c>
      <c r="AZ1074" s="1061" t="s">
        <v>21</v>
      </c>
      <c r="BC1074" s="29"/>
      <c r="BD1074" s="29"/>
      <c r="BE1074" s="13"/>
      <c r="BL1074" s="368"/>
    </row>
    <row r="1075" spans="1:64" ht="12" customHeight="1" x14ac:dyDescent="0.2">
      <c r="A1075" s="515">
        <f>acute_overview_children!A275</f>
        <v>2</v>
      </c>
      <c r="B1075" s="131">
        <f t="shared" si="575"/>
        <v>650000</v>
      </c>
      <c r="C1075" s="131" t="str">
        <f t="shared" si="576"/>
        <v>Carobs/Staint John's bread</v>
      </c>
      <c r="D1075" s="1035"/>
      <c r="E1075" s="1027"/>
      <c r="F1075" s="87"/>
      <c r="G1075" s="87"/>
      <c r="H1075" s="1027"/>
      <c r="I1075" s="1030"/>
      <c r="J1075" s="1037" t="e">
        <f t="shared" ref="J1075:AR1075" si="591">IF(J275="",0,IF(OR(1=RANK(J675,J$412:J$790,0),(2=RANK(J675,J$412:J$790,0))),J675,J275))</f>
        <v>#DIV/0!</v>
      </c>
      <c r="K1075" s="1038" t="e">
        <f t="shared" si="591"/>
        <v>#DIV/0!</v>
      </c>
      <c r="L1075" s="1038" t="e">
        <f t="shared" si="591"/>
        <v>#DIV/0!</v>
      </c>
      <c r="M1075" s="1038" t="e">
        <f t="shared" si="591"/>
        <v>#DIV/0!</v>
      </c>
      <c r="N1075" s="1038" t="e">
        <f t="shared" si="591"/>
        <v>#DIV/0!</v>
      </c>
      <c r="O1075" s="1038" t="e">
        <f t="shared" si="591"/>
        <v>#DIV/0!</v>
      </c>
      <c r="P1075" s="1038" t="e">
        <f t="shared" si="591"/>
        <v>#DIV/0!</v>
      </c>
      <c r="Q1075" s="1038" t="e">
        <f t="shared" si="591"/>
        <v>#DIV/0!</v>
      </c>
      <c r="R1075" s="1038" t="e">
        <f t="shared" si="591"/>
        <v>#DIV/0!</v>
      </c>
      <c r="S1075" s="1038" t="e">
        <f t="shared" si="591"/>
        <v>#DIV/0!</v>
      </c>
      <c r="T1075" s="1038" t="e">
        <f t="shared" si="591"/>
        <v>#DIV/0!</v>
      </c>
      <c r="U1075" s="1038" t="e">
        <f t="shared" si="591"/>
        <v>#DIV/0!</v>
      </c>
      <c r="V1075" s="1038" t="e">
        <f t="shared" si="591"/>
        <v>#DIV/0!</v>
      </c>
      <c r="W1075" s="1038" t="e">
        <f t="shared" si="591"/>
        <v>#DIV/0!</v>
      </c>
      <c r="X1075" s="1038" t="e">
        <f t="shared" si="591"/>
        <v>#DIV/0!</v>
      </c>
      <c r="Y1075" s="1038" t="e">
        <f t="shared" si="591"/>
        <v>#DIV/0!</v>
      </c>
      <c r="Z1075" s="1038" t="e">
        <f t="shared" si="591"/>
        <v>#DIV/0!</v>
      </c>
      <c r="AA1075" s="1038" t="e">
        <f t="shared" si="591"/>
        <v>#DIV/0!</v>
      </c>
      <c r="AB1075" s="1038" t="e">
        <f t="shared" si="591"/>
        <v>#DIV/0!</v>
      </c>
      <c r="AC1075" s="1038" t="e">
        <f t="shared" si="591"/>
        <v>#DIV/0!</v>
      </c>
      <c r="AD1075" s="1038" t="e">
        <f t="shared" si="591"/>
        <v>#DIV/0!</v>
      </c>
      <c r="AE1075" s="1038" t="e">
        <f t="shared" si="591"/>
        <v>#DIV/0!</v>
      </c>
      <c r="AF1075" s="1038" t="e">
        <f t="shared" si="591"/>
        <v>#DIV/0!</v>
      </c>
      <c r="AG1075" s="1038" t="e">
        <f t="shared" si="591"/>
        <v>#DIV/0!</v>
      </c>
      <c r="AH1075" s="1038" t="e">
        <f t="shared" si="591"/>
        <v>#DIV/0!</v>
      </c>
      <c r="AI1075" s="1038" t="e">
        <f t="shared" si="591"/>
        <v>#DIV/0!</v>
      </c>
      <c r="AJ1075" s="1038" t="e">
        <f t="shared" si="591"/>
        <v>#DIV/0!</v>
      </c>
      <c r="AK1075" s="1038" t="e">
        <f t="shared" si="591"/>
        <v>#DIV/0!</v>
      </c>
      <c r="AL1075" s="1038" t="e">
        <f t="shared" si="591"/>
        <v>#DIV/0!</v>
      </c>
      <c r="AM1075" s="1038" t="e">
        <f t="shared" si="591"/>
        <v>#DIV/0!</v>
      </c>
      <c r="AN1075" s="1038" t="e">
        <f t="shared" si="591"/>
        <v>#DIV/0!</v>
      </c>
      <c r="AO1075" s="1038" t="e">
        <f t="shared" si="591"/>
        <v>#DIV/0!</v>
      </c>
      <c r="AP1075" s="1038" t="e">
        <f t="shared" si="591"/>
        <v>#DIV/0!</v>
      </c>
      <c r="AQ1075" s="1038" t="e">
        <f t="shared" si="591"/>
        <v>#DIV/0!</v>
      </c>
      <c r="AR1075" s="1038" t="e">
        <f t="shared" si="591"/>
        <v>#DIV/0!</v>
      </c>
      <c r="AS1075" s="1038" t="e">
        <f t="shared" ref="AS1075:AY1075" si="592">IF(AS275="",0,IF(OR(1=RANK(AS675,AS$412:AS$790,0),(2=RANK(AS675,AS$412:AS$790,0))),AS675,AS275))</f>
        <v>#DIV/0!</v>
      </c>
      <c r="AT1075" s="1038" t="e">
        <f t="shared" si="592"/>
        <v>#DIV/0!</v>
      </c>
      <c r="AU1075" s="1038">
        <f t="shared" si="592"/>
        <v>0</v>
      </c>
      <c r="AV1075" s="1038" t="e">
        <f t="shared" si="592"/>
        <v>#DIV/0!</v>
      </c>
      <c r="AW1075" s="1038" t="e">
        <f t="shared" si="592"/>
        <v>#DIV/0!</v>
      </c>
      <c r="AX1075" s="1038" t="e">
        <f t="shared" si="592"/>
        <v>#DIV/0!</v>
      </c>
      <c r="AY1075" s="1038" t="e">
        <f t="shared" si="592"/>
        <v>#DIV/0!</v>
      </c>
      <c r="AZ1075" s="1061" t="s">
        <v>21</v>
      </c>
      <c r="BC1075" s="29"/>
      <c r="BD1075" s="29"/>
      <c r="BE1075" s="13"/>
      <c r="BL1075" s="368"/>
    </row>
    <row r="1076" spans="1:64" ht="12" customHeight="1" x14ac:dyDescent="0.2">
      <c r="A1076" s="514">
        <f>acute_overview_children!A276</f>
        <v>1</v>
      </c>
      <c r="B1076" s="127">
        <f t="shared" si="575"/>
        <v>700000</v>
      </c>
      <c r="C1076" s="127" t="str">
        <f t="shared" si="576"/>
        <v xml:space="preserve"> HOPS (dried)</v>
      </c>
      <c r="D1076" s="135"/>
      <c r="E1076" s="1027"/>
      <c r="F1076" s="87"/>
      <c r="G1076" s="87"/>
      <c r="H1076" s="1027"/>
      <c r="I1076" s="1030"/>
      <c r="J1076" s="1031" t="e">
        <f t="shared" ref="J1076:AR1076" si="593">IF(J276="",0,IF(OR(1=RANK(J676,J$412:J$790,0),(2=RANK(J676,J$412:J$790,0))),J676,J276))</f>
        <v>#DIV/0!</v>
      </c>
      <c r="K1076" s="1032" t="e">
        <f t="shared" si="593"/>
        <v>#DIV/0!</v>
      </c>
      <c r="L1076" s="1032" t="e">
        <f t="shared" si="593"/>
        <v>#DIV/0!</v>
      </c>
      <c r="M1076" s="1032" t="e">
        <f t="shared" si="593"/>
        <v>#DIV/0!</v>
      </c>
      <c r="N1076" s="1032" t="e">
        <f t="shared" si="593"/>
        <v>#DIV/0!</v>
      </c>
      <c r="O1076" s="1032" t="e">
        <f t="shared" si="593"/>
        <v>#DIV/0!</v>
      </c>
      <c r="P1076" s="1032" t="e">
        <f t="shared" si="593"/>
        <v>#DIV/0!</v>
      </c>
      <c r="Q1076" s="1032" t="e">
        <f t="shared" si="593"/>
        <v>#DIV/0!</v>
      </c>
      <c r="R1076" s="1032" t="e">
        <f t="shared" si="593"/>
        <v>#DIV/0!</v>
      </c>
      <c r="S1076" s="1032" t="e">
        <f t="shared" si="593"/>
        <v>#DIV/0!</v>
      </c>
      <c r="T1076" s="1032" t="e">
        <f t="shared" si="593"/>
        <v>#DIV/0!</v>
      </c>
      <c r="U1076" s="1032" t="e">
        <f t="shared" si="593"/>
        <v>#DIV/0!</v>
      </c>
      <c r="V1076" s="1032" t="e">
        <f t="shared" si="593"/>
        <v>#DIV/0!</v>
      </c>
      <c r="W1076" s="1032" t="e">
        <f t="shared" si="593"/>
        <v>#DIV/0!</v>
      </c>
      <c r="X1076" s="1032" t="e">
        <f t="shared" si="593"/>
        <v>#DIV/0!</v>
      </c>
      <c r="Y1076" s="1032" t="e">
        <f t="shared" si="593"/>
        <v>#DIV/0!</v>
      </c>
      <c r="Z1076" s="1032" t="e">
        <f t="shared" si="593"/>
        <v>#DIV/0!</v>
      </c>
      <c r="AA1076" s="1032" t="e">
        <f t="shared" si="593"/>
        <v>#DIV/0!</v>
      </c>
      <c r="AB1076" s="1032" t="e">
        <f t="shared" si="593"/>
        <v>#DIV/0!</v>
      </c>
      <c r="AC1076" s="1032" t="e">
        <f t="shared" si="593"/>
        <v>#DIV/0!</v>
      </c>
      <c r="AD1076" s="1032" t="e">
        <f t="shared" si="593"/>
        <v>#DIV/0!</v>
      </c>
      <c r="AE1076" s="1032" t="e">
        <f t="shared" si="593"/>
        <v>#DIV/0!</v>
      </c>
      <c r="AF1076" s="1032" t="e">
        <f t="shared" si="593"/>
        <v>#DIV/0!</v>
      </c>
      <c r="AG1076" s="1032" t="e">
        <f t="shared" si="593"/>
        <v>#DIV/0!</v>
      </c>
      <c r="AH1076" s="1032" t="e">
        <f t="shared" si="593"/>
        <v>#DIV/0!</v>
      </c>
      <c r="AI1076" s="1032" t="e">
        <f t="shared" si="593"/>
        <v>#DIV/0!</v>
      </c>
      <c r="AJ1076" s="1032" t="e">
        <f t="shared" si="593"/>
        <v>#DIV/0!</v>
      </c>
      <c r="AK1076" s="1032" t="e">
        <f t="shared" si="593"/>
        <v>#DIV/0!</v>
      </c>
      <c r="AL1076" s="1032" t="e">
        <f t="shared" si="593"/>
        <v>#DIV/0!</v>
      </c>
      <c r="AM1076" s="1032" t="e">
        <f t="shared" si="593"/>
        <v>#DIV/0!</v>
      </c>
      <c r="AN1076" s="1032" t="e">
        <f t="shared" si="593"/>
        <v>#DIV/0!</v>
      </c>
      <c r="AO1076" s="1032" t="e">
        <f t="shared" si="593"/>
        <v>#DIV/0!</v>
      </c>
      <c r="AP1076" s="1032" t="e">
        <f t="shared" si="593"/>
        <v>#DIV/0!</v>
      </c>
      <c r="AQ1076" s="1032" t="e">
        <f t="shared" si="593"/>
        <v>#DIV/0!</v>
      </c>
      <c r="AR1076" s="1032" t="e">
        <f t="shared" si="593"/>
        <v>#DIV/0!</v>
      </c>
      <c r="AS1076" s="1032" t="e">
        <f t="shared" ref="AS1076:AY1076" si="594">IF(AS276="",0,IF(OR(1=RANK(AS676,AS$412:AS$790,0),(2=RANK(AS676,AS$412:AS$790,0))),AS676,AS276))</f>
        <v>#DIV/0!</v>
      </c>
      <c r="AT1076" s="1032" t="e">
        <f t="shared" si="594"/>
        <v>#DIV/0!</v>
      </c>
      <c r="AU1076" s="1032">
        <f t="shared" si="594"/>
        <v>0</v>
      </c>
      <c r="AV1076" s="1032" t="e">
        <f t="shared" si="594"/>
        <v>#DIV/0!</v>
      </c>
      <c r="AW1076" s="1032" t="e">
        <f t="shared" si="594"/>
        <v>#DIV/0!</v>
      </c>
      <c r="AX1076" s="1032" t="e">
        <f t="shared" si="594"/>
        <v>#DIV/0!</v>
      </c>
      <c r="AY1076" s="1032" t="e">
        <f t="shared" si="594"/>
        <v>#DIV/0!</v>
      </c>
      <c r="AZ1076" s="1061" t="s">
        <v>21</v>
      </c>
      <c r="BC1076" s="29"/>
      <c r="BD1076" s="29"/>
      <c r="BE1076" s="13"/>
      <c r="BL1076" s="368"/>
    </row>
    <row r="1077" spans="1:64" ht="12" customHeight="1" x14ac:dyDescent="0.2">
      <c r="A1077" s="514">
        <f>acute_overview_children!A277</f>
        <v>1</v>
      </c>
      <c r="B1077" s="127">
        <f t="shared" si="575"/>
        <v>800000</v>
      </c>
      <c r="C1077" s="127" t="str">
        <f t="shared" si="576"/>
        <v>SPICES</v>
      </c>
      <c r="D1077" s="135"/>
      <c r="E1077" s="1027"/>
      <c r="F1077" s="87"/>
      <c r="G1077" s="87"/>
      <c r="H1077" s="1027"/>
      <c r="I1077" s="1030"/>
      <c r="J1077" s="1031" t="e">
        <f t="shared" ref="J1077:AR1077" si="595">IF(J277="",0,IF(OR(1=RANK(J677,J$412:J$790,0),(2=RANK(J677,J$412:J$790,0))),J677,J277))</f>
        <v>#DIV/0!</v>
      </c>
      <c r="K1077" s="1032" t="e">
        <f t="shared" si="595"/>
        <v>#DIV/0!</v>
      </c>
      <c r="L1077" s="1032" t="e">
        <f t="shared" si="595"/>
        <v>#DIV/0!</v>
      </c>
      <c r="M1077" s="1032" t="e">
        <f t="shared" si="595"/>
        <v>#DIV/0!</v>
      </c>
      <c r="N1077" s="1032" t="e">
        <f t="shared" si="595"/>
        <v>#DIV/0!</v>
      </c>
      <c r="O1077" s="1032" t="e">
        <f t="shared" si="595"/>
        <v>#DIV/0!</v>
      </c>
      <c r="P1077" s="1032" t="e">
        <f t="shared" si="595"/>
        <v>#DIV/0!</v>
      </c>
      <c r="Q1077" s="1032" t="e">
        <f t="shared" si="595"/>
        <v>#DIV/0!</v>
      </c>
      <c r="R1077" s="1032" t="e">
        <f t="shared" si="595"/>
        <v>#DIV/0!</v>
      </c>
      <c r="S1077" s="1032" t="e">
        <f t="shared" si="595"/>
        <v>#DIV/0!</v>
      </c>
      <c r="T1077" s="1032" t="e">
        <f t="shared" si="595"/>
        <v>#DIV/0!</v>
      </c>
      <c r="U1077" s="1032" t="e">
        <f t="shared" si="595"/>
        <v>#DIV/0!</v>
      </c>
      <c r="V1077" s="1032" t="e">
        <f t="shared" si="595"/>
        <v>#DIV/0!</v>
      </c>
      <c r="W1077" s="1032" t="e">
        <f t="shared" si="595"/>
        <v>#DIV/0!</v>
      </c>
      <c r="X1077" s="1032" t="e">
        <f t="shared" si="595"/>
        <v>#DIV/0!</v>
      </c>
      <c r="Y1077" s="1032" t="e">
        <f t="shared" si="595"/>
        <v>#DIV/0!</v>
      </c>
      <c r="Z1077" s="1032" t="e">
        <f t="shared" si="595"/>
        <v>#DIV/0!</v>
      </c>
      <c r="AA1077" s="1032" t="e">
        <f t="shared" si="595"/>
        <v>#DIV/0!</v>
      </c>
      <c r="AB1077" s="1032" t="e">
        <f t="shared" si="595"/>
        <v>#DIV/0!</v>
      </c>
      <c r="AC1077" s="1032" t="e">
        <f t="shared" si="595"/>
        <v>#DIV/0!</v>
      </c>
      <c r="AD1077" s="1032" t="e">
        <f t="shared" si="595"/>
        <v>#DIV/0!</v>
      </c>
      <c r="AE1077" s="1032" t="e">
        <f t="shared" si="595"/>
        <v>#DIV/0!</v>
      </c>
      <c r="AF1077" s="1032" t="e">
        <f t="shared" si="595"/>
        <v>#DIV/0!</v>
      </c>
      <c r="AG1077" s="1032" t="e">
        <f t="shared" si="595"/>
        <v>#DIV/0!</v>
      </c>
      <c r="AH1077" s="1032" t="e">
        <f t="shared" si="595"/>
        <v>#DIV/0!</v>
      </c>
      <c r="AI1077" s="1032" t="e">
        <f t="shared" si="595"/>
        <v>#DIV/0!</v>
      </c>
      <c r="AJ1077" s="1032" t="e">
        <f t="shared" si="595"/>
        <v>#DIV/0!</v>
      </c>
      <c r="AK1077" s="1032" t="e">
        <f t="shared" si="595"/>
        <v>#DIV/0!</v>
      </c>
      <c r="AL1077" s="1032" t="e">
        <f t="shared" si="595"/>
        <v>#DIV/0!</v>
      </c>
      <c r="AM1077" s="1032" t="e">
        <f t="shared" si="595"/>
        <v>#DIV/0!</v>
      </c>
      <c r="AN1077" s="1032" t="e">
        <f t="shared" si="595"/>
        <v>#DIV/0!</v>
      </c>
      <c r="AO1077" s="1032" t="e">
        <f t="shared" si="595"/>
        <v>#DIV/0!</v>
      </c>
      <c r="AP1077" s="1032" t="e">
        <f t="shared" si="595"/>
        <v>#DIV/0!</v>
      </c>
      <c r="AQ1077" s="1032" t="e">
        <f t="shared" si="595"/>
        <v>#DIV/0!</v>
      </c>
      <c r="AR1077" s="1032" t="e">
        <f t="shared" si="595"/>
        <v>#DIV/0!</v>
      </c>
      <c r="AS1077" s="1032" t="e">
        <f t="shared" ref="AS1077:AY1077" si="596">IF(AS277="",0,IF(OR(1=RANK(AS677,AS$412:AS$790,0),(2=RANK(AS677,AS$412:AS$790,0))),AS677,AS277))</f>
        <v>#DIV/0!</v>
      </c>
      <c r="AT1077" s="1032" t="e">
        <f t="shared" si="596"/>
        <v>#DIV/0!</v>
      </c>
      <c r="AU1077" s="1032">
        <f t="shared" si="596"/>
        <v>0</v>
      </c>
      <c r="AV1077" s="1032" t="e">
        <f t="shared" si="596"/>
        <v>#DIV/0!</v>
      </c>
      <c r="AW1077" s="1032" t="e">
        <f t="shared" si="596"/>
        <v>#DIV/0!</v>
      </c>
      <c r="AX1077" s="1032" t="e">
        <f t="shared" si="596"/>
        <v>#DIV/0!</v>
      </c>
      <c r="AY1077" s="1032" t="e">
        <f t="shared" si="596"/>
        <v>#DIV/0!</v>
      </c>
      <c r="AZ1077" s="1061" t="s">
        <v>21</v>
      </c>
      <c r="BC1077" s="29"/>
      <c r="BD1077" s="29"/>
      <c r="BE1077" s="13"/>
      <c r="BL1077" s="368"/>
    </row>
    <row r="1078" spans="1:64" ht="12" customHeight="1" x14ac:dyDescent="0.2">
      <c r="A1078" s="515">
        <f>acute_overview_children!A278</f>
        <v>2</v>
      </c>
      <c r="B1078" s="131">
        <f t="shared" si="575"/>
        <v>810000</v>
      </c>
      <c r="C1078" s="131" t="str">
        <f t="shared" si="576"/>
        <v>Spices (seeds)</v>
      </c>
      <c r="D1078" s="1035"/>
      <c r="E1078" s="1027"/>
      <c r="F1078" s="87"/>
      <c r="G1078" s="87"/>
      <c r="H1078" s="1027"/>
      <c r="I1078" s="1030"/>
      <c r="J1078" s="1037" t="e">
        <f t="shared" ref="J1078:AR1078" si="597">IF(J278="",0,IF(OR(1=RANK(J678,J$412:J$790,0),(2=RANK(J678,J$412:J$790,0))),J678,J278))</f>
        <v>#DIV/0!</v>
      </c>
      <c r="K1078" s="1038" t="e">
        <f t="shared" si="597"/>
        <v>#DIV/0!</v>
      </c>
      <c r="L1078" s="1038" t="e">
        <f t="shared" si="597"/>
        <v>#DIV/0!</v>
      </c>
      <c r="M1078" s="1038" t="e">
        <f t="shared" si="597"/>
        <v>#DIV/0!</v>
      </c>
      <c r="N1078" s="1038" t="e">
        <f t="shared" si="597"/>
        <v>#DIV/0!</v>
      </c>
      <c r="O1078" s="1038" t="e">
        <f t="shared" si="597"/>
        <v>#DIV/0!</v>
      </c>
      <c r="P1078" s="1038" t="e">
        <f t="shared" si="597"/>
        <v>#DIV/0!</v>
      </c>
      <c r="Q1078" s="1038" t="e">
        <f t="shared" si="597"/>
        <v>#DIV/0!</v>
      </c>
      <c r="R1078" s="1038" t="e">
        <f t="shared" si="597"/>
        <v>#DIV/0!</v>
      </c>
      <c r="S1078" s="1038" t="e">
        <f t="shared" si="597"/>
        <v>#DIV/0!</v>
      </c>
      <c r="T1078" s="1038" t="e">
        <f t="shared" si="597"/>
        <v>#DIV/0!</v>
      </c>
      <c r="U1078" s="1038" t="e">
        <f t="shared" si="597"/>
        <v>#DIV/0!</v>
      </c>
      <c r="V1078" s="1038" t="e">
        <f t="shared" si="597"/>
        <v>#DIV/0!</v>
      </c>
      <c r="W1078" s="1038" t="e">
        <f t="shared" si="597"/>
        <v>#DIV/0!</v>
      </c>
      <c r="X1078" s="1038" t="e">
        <f t="shared" si="597"/>
        <v>#DIV/0!</v>
      </c>
      <c r="Y1078" s="1038" t="e">
        <f t="shared" si="597"/>
        <v>#DIV/0!</v>
      </c>
      <c r="Z1078" s="1038" t="e">
        <f t="shared" si="597"/>
        <v>#DIV/0!</v>
      </c>
      <c r="AA1078" s="1038" t="e">
        <f t="shared" si="597"/>
        <v>#DIV/0!</v>
      </c>
      <c r="AB1078" s="1038" t="e">
        <f t="shared" si="597"/>
        <v>#DIV/0!</v>
      </c>
      <c r="AC1078" s="1038" t="e">
        <f t="shared" si="597"/>
        <v>#DIV/0!</v>
      </c>
      <c r="AD1078" s="1038" t="e">
        <f t="shared" si="597"/>
        <v>#DIV/0!</v>
      </c>
      <c r="AE1078" s="1038" t="e">
        <f t="shared" si="597"/>
        <v>#DIV/0!</v>
      </c>
      <c r="AF1078" s="1038" t="e">
        <f t="shared" si="597"/>
        <v>#DIV/0!</v>
      </c>
      <c r="AG1078" s="1038" t="e">
        <f t="shared" si="597"/>
        <v>#DIV/0!</v>
      </c>
      <c r="AH1078" s="1038" t="e">
        <f t="shared" si="597"/>
        <v>#DIV/0!</v>
      </c>
      <c r="AI1078" s="1038" t="e">
        <f t="shared" si="597"/>
        <v>#DIV/0!</v>
      </c>
      <c r="AJ1078" s="1038" t="e">
        <f t="shared" si="597"/>
        <v>#DIV/0!</v>
      </c>
      <c r="AK1078" s="1038" t="e">
        <f t="shared" si="597"/>
        <v>#DIV/0!</v>
      </c>
      <c r="AL1078" s="1038" t="e">
        <f t="shared" si="597"/>
        <v>#DIV/0!</v>
      </c>
      <c r="AM1078" s="1038" t="e">
        <f t="shared" si="597"/>
        <v>#DIV/0!</v>
      </c>
      <c r="AN1078" s="1038" t="e">
        <f t="shared" si="597"/>
        <v>#DIV/0!</v>
      </c>
      <c r="AO1078" s="1038" t="e">
        <f t="shared" si="597"/>
        <v>#DIV/0!</v>
      </c>
      <c r="AP1078" s="1038" t="e">
        <f t="shared" si="597"/>
        <v>#DIV/0!</v>
      </c>
      <c r="AQ1078" s="1038" t="e">
        <f t="shared" si="597"/>
        <v>#DIV/0!</v>
      </c>
      <c r="AR1078" s="1038" t="e">
        <f t="shared" si="597"/>
        <v>#DIV/0!</v>
      </c>
      <c r="AS1078" s="1038" t="e">
        <f t="shared" ref="AS1078:AY1078" si="598">IF(AS278="",0,IF(OR(1=RANK(AS678,AS$412:AS$790,0),(2=RANK(AS678,AS$412:AS$790,0))),AS678,AS278))</f>
        <v>#DIV/0!</v>
      </c>
      <c r="AT1078" s="1038" t="e">
        <f t="shared" si="598"/>
        <v>#DIV/0!</v>
      </c>
      <c r="AU1078" s="1038">
        <f t="shared" si="598"/>
        <v>0</v>
      </c>
      <c r="AV1078" s="1038" t="e">
        <f t="shared" si="598"/>
        <v>#DIV/0!</v>
      </c>
      <c r="AW1078" s="1038" t="e">
        <f t="shared" si="598"/>
        <v>#DIV/0!</v>
      </c>
      <c r="AX1078" s="1038" t="e">
        <f t="shared" si="598"/>
        <v>#DIV/0!</v>
      </c>
      <c r="AY1078" s="1038" t="e">
        <f t="shared" si="598"/>
        <v>#DIV/0!</v>
      </c>
      <c r="AZ1078" s="1061" t="s">
        <v>21</v>
      </c>
      <c r="BC1078" s="29"/>
      <c r="BD1078" s="29"/>
      <c r="BE1078" s="13"/>
      <c r="BL1078" s="368"/>
    </row>
    <row r="1079" spans="1:64" ht="12" customHeight="1" x14ac:dyDescent="0.2">
      <c r="A1079" s="39">
        <f>acute_overview_children!A279</f>
        <v>4</v>
      </c>
      <c r="B1079" s="23">
        <f t="shared" si="575"/>
        <v>810010</v>
      </c>
      <c r="C1079" s="23" t="str">
        <f t="shared" si="576"/>
        <v>Anise/aniseed</v>
      </c>
      <c r="D1079" s="135"/>
      <c r="E1079" s="1027"/>
      <c r="F1079" s="87"/>
      <c r="G1079" s="87"/>
      <c r="H1079" s="1027"/>
      <c r="I1079" s="1030"/>
      <c r="J1079" s="1039" t="e">
        <f t="shared" ref="J1079:AR1079" si="599">IF(J279="",0,IF(OR(1=RANK(J679,J$412:J$790,0),(2=RANK(J679,J$412:J$790,0))),J679,J279))</f>
        <v>#DIV/0!</v>
      </c>
      <c r="K1079" s="1040" t="e">
        <f t="shared" si="599"/>
        <v>#DIV/0!</v>
      </c>
      <c r="L1079" s="1040" t="e">
        <f t="shared" si="599"/>
        <v>#DIV/0!</v>
      </c>
      <c r="M1079" s="1040" t="e">
        <f t="shared" si="599"/>
        <v>#DIV/0!</v>
      </c>
      <c r="N1079" s="1040" t="e">
        <f t="shared" si="599"/>
        <v>#DIV/0!</v>
      </c>
      <c r="O1079" s="1040" t="e">
        <f t="shared" si="599"/>
        <v>#DIV/0!</v>
      </c>
      <c r="P1079" s="1040" t="e">
        <f t="shared" si="599"/>
        <v>#DIV/0!</v>
      </c>
      <c r="Q1079" s="1040" t="e">
        <f t="shared" si="599"/>
        <v>#DIV/0!</v>
      </c>
      <c r="R1079" s="1040" t="e">
        <f t="shared" si="599"/>
        <v>#DIV/0!</v>
      </c>
      <c r="S1079" s="1040" t="e">
        <f t="shared" si="599"/>
        <v>#DIV/0!</v>
      </c>
      <c r="T1079" s="1040" t="e">
        <f t="shared" si="599"/>
        <v>#DIV/0!</v>
      </c>
      <c r="U1079" s="1040" t="e">
        <f t="shared" si="599"/>
        <v>#DIV/0!</v>
      </c>
      <c r="V1079" s="1040" t="e">
        <f t="shared" si="599"/>
        <v>#DIV/0!</v>
      </c>
      <c r="W1079" s="1040" t="e">
        <f t="shared" si="599"/>
        <v>#DIV/0!</v>
      </c>
      <c r="X1079" s="1040" t="e">
        <f t="shared" si="599"/>
        <v>#DIV/0!</v>
      </c>
      <c r="Y1079" s="1040" t="e">
        <f t="shared" si="599"/>
        <v>#DIV/0!</v>
      </c>
      <c r="Z1079" s="1040" t="e">
        <f t="shared" si="599"/>
        <v>#DIV/0!</v>
      </c>
      <c r="AA1079" s="1040" t="e">
        <f t="shared" si="599"/>
        <v>#DIV/0!</v>
      </c>
      <c r="AB1079" s="1040" t="e">
        <f t="shared" si="599"/>
        <v>#DIV/0!</v>
      </c>
      <c r="AC1079" s="1040" t="e">
        <f t="shared" si="599"/>
        <v>#DIV/0!</v>
      </c>
      <c r="AD1079" s="1040" t="e">
        <f t="shared" si="599"/>
        <v>#DIV/0!</v>
      </c>
      <c r="AE1079" s="1040" t="e">
        <f t="shared" si="599"/>
        <v>#DIV/0!</v>
      </c>
      <c r="AF1079" s="1040" t="e">
        <f t="shared" si="599"/>
        <v>#DIV/0!</v>
      </c>
      <c r="AG1079" s="1040" t="e">
        <f t="shared" si="599"/>
        <v>#DIV/0!</v>
      </c>
      <c r="AH1079" s="1040" t="e">
        <f t="shared" si="599"/>
        <v>#DIV/0!</v>
      </c>
      <c r="AI1079" s="1040" t="e">
        <f t="shared" si="599"/>
        <v>#DIV/0!</v>
      </c>
      <c r="AJ1079" s="1040" t="e">
        <f t="shared" si="599"/>
        <v>#DIV/0!</v>
      </c>
      <c r="AK1079" s="1040" t="e">
        <f t="shared" si="599"/>
        <v>#DIV/0!</v>
      </c>
      <c r="AL1079" s="1040" t="e">
        <f t="shared" si="599"/>
        <v>#DIV/0!</v>
      </c>
      <c r="AM1079" s="1040" t="e">
        <f t="shared" si="599"/>
        <v>#DIV/0!</v>
      </c>
      <c r="AN1079" s="1040" t="e">
        <f t="shared" si="599"/>
        <v>#DIV/0!</v>
      </c>
      <c r="AO1079" s="1040" t="e">
        <f t="shared" si="599"/>
        <v>#DIV/0!</v>
      </c>
      <c r="AP1079" s="1040" t="e">
        <f t="shared" si="599"/>
        <v>#DIV/0!</v>
      </c>
      <c r="AQ1079" s="1040" t="e">
        <f t="shared" si="599"/>
        <v>#DIV/0!</v>
      </c>
      <c r="AR1079" s="1040" t="e">
        <f t="shared" si="599"/>
        <v>#DIV/0!</v>
      </c>
      <c r="AS1079" s="1040" t="e">
        <f t="shared" ref="AS1079:AY1079" si="600">IF(AS279="",0,IF(OR(1=RANK(AS679,AS$412:AS$790,0),(2=RANK(AS679,AS$412:AS$790,0))),AS679,AS279))</f>
        <v>#DIV/0!</v>
      </c>
      <c r="AT1079" s="1040" t="e">
        <f t="shared" si="600"/>
        <v>#DIV/0!</v>
      </c>
      <c r="AU1079" s="1040">
        <f t="shared" si="600"/>
        <v>0</v>
      </c>
      <c r="AV1079" s="1040" t="e">
        <f t="shared" si="600"/>
        <v>#DIV/0!</v>
      </c>
      <c r="AW1079" s="1040" t="e">
        <f t="shared" si="600"/>
        <v>#DIV/0!</v>
      </c>
      <c r="AX1079" s="1040" t="e">
        <f t="shared" si="600"/>
        <v>#DIV/0!</v>
      </c>
      <c r="AY1079" s="1040" t="e">
        <f t="shared" si="600"/>
        <v>#DIV/0!</v>
      </c>
      <c r="AZ1079" s="1061" t="s">
        <v>21</v>
      </c>
      <c r="BC1079" s="29"/>
      <c r="BD1079" s="29"/>
      <c r="BE1079" s="13"/>
      <c r="BL1079" s="368"/>
    </row>
    <row r="1080" spans="1:64" ht="12" customHeight="1" x14ac:dyDescent="0.2">
      <c r="A1080" s="39">
        <f>acute_overview_children!A280</f>
        <v>4</v>
      </c>
      <c r="B1080" s="23">
        <f t="shared" si="575"/>
        <v>810020</v>
      </c>
      <c r="C1080" s="23" t="str">
        <f t="shared" si="576"/>
        <v>Black caraway/black cumin</v>
      </c>
      <c r="D1080" s="135"/>
      <c r="E1080" s="1027"/>
      <c r="F1080" s="87"/>
      <c r="G1080" s="87"/>
      <c r="H1080" s="1027"/>
      <c r="I1080" s="1030"/>
      <c r="J1080" s="1039" t="e">
        <f t="shared" ref="J1080:AR1080" si="601">IF(J280="",0,IF(OR(1=RANK(J680,J$412:J$790,0),(2=RANK(J680,J$412:J$790,0))),J680,J280))</f>
        <v>#DIV/0!</v>
      </c>
      <c r="K1080" s="1040" t="e">
        <f t="shared" si="601"/>
        <v>#DIV/0!</v>
      </c>
      <c r="L1080" s="1040" t="e">
        <f t="shared" si="601"/>
        <v>#DIV/0!</v>
      </c>
      <c r="M1080" s="1040" t="e">
        <f t="shared" si="601"/>
        <v>#DIV/0!</v>
      </c>
      <c r="N1080" s="1040" t="e">
        <f t="shared" si="601"/>
        <v>#DIV/0!</v>
      </c>
      <c r="O1080" s="1040" t="e">
        <f t="shared" si="601"/>
        <v>#DIV/0!</v>
      </c>
      <c r="P1080" s="1040" t="e">
        <f t="shared" si="601"/>
        <v>#DIV/0!</v>
      </c>
      <c r="Q1080" s="1040" t="e">
        <f t="shared" si="601"/>
        <v>#DIV/0!</v>
      </c>
      <c r="R1080" s="1040" t="e">
        <f t="shared" si="601"/>
        <v>#DIV/0!</v>
      </c>
      <c r="S1080" s="1040" t="e">
        <f t="shared" si="601"/>
        <v>#DIV/0!</v>
      </c>
      <c r="T1080" s="1040" t="e">
        <f t="shared" si="601"/>
        <v>#DIV/0!</v>
      </c>
      <c r="U1080" s="1040" t="e">
        <f t="shared" si="601"/>
        <v>#DIV/0!</v>
      </c>
      <c r="V1080" s="1040" t="e">
        <f t="shared" si="601"/>
        <v>#DIV/0!</v>
      </c>
      <c r="W1080" s="1040" t="e">
        <f t="shared" si="601"/>
        <v>#DIV/0!</v>
      </c>
      <c r="X1080" s="1040" t="e">
        <f t="shared" si="601"/>
        <v>#DIV/0!</v>
      </c>
      <c r="Y1080" s="1040" t="e">
        <f t="shared" si="601"/>
        <v>#DIV/0!</v>
      </c>
      <c r="Z1080" s="1040" t="e">
        <f t="shared" si="601"/>
        <v>#DIV/0!</v>
      </c>
      <c r="AA1080" s="1040" t="e">
        <f t="shared" si="601"/>
        <v>#DIV/0!</v>
      </c>
      <c r="AB1080" s="1040" t="e">
        <f t="shared" si="601"/>
        <v>#DIV/0!</v>
      </c>
      <c r="AC1080" s="1040" t="e">
        <f t="shared" si="601"/>
        <v>#DIV/0!</v>
      </c>
      <c r="AD1080" s="1040" t="e">
        <f t="shared" si="601"/>
        <v>#DIV/0!</v>
      </c>
      <c r="AE1080" s="1040" t="e">
        <f t="shared" si="601"/>
        <v>#DIV/0!</v>
      </c>
      <c r="AF1080" s="1040" t="e">
        <f t="shared" si="601"/>
        <v>#DIV/0!</v>
      </c>
      <c r="AG1080" s="1040" t="e">
        <f t="shared" si="601"/>
        <v>#DIV/0!</v>
      </c>
      <c r="AH1080" s="1040" t="e">
        <f t="shared" si="601"/>
        <v>#DIV/0!</v>
      </c>
      <c r="AI1080" s="1040" t="e">
        <f t="shared" si="601"/>
        <v>#DIV/0!</v>
      </c>
      <c r="AJ1080" s="1040" t="e">
        <f t="shared" si="601"/>
        <v>#DIV/0!</v>
      </c>
      <c r="AK1080" s="1040" t="e">
        <f t="shared" si="601"/>
        <v>#DIV/0!</v>
      </c>
      <c r="AL1080" s="1040" t="e">
        <f t="shared" si="601"/>
        <v>#DIV/0!</v>
      </c>
      <c r="AM1080" s="1040" t="e">
        <f t="shared" si="601"/>
        <v>#DIV/0!</v>
      </c>
      <c r="AN1080" s="1040" t="e">
        <f t="shared" si="601"/>
        <v>#DIV/0!</v>
      </c>
      <c r="AO1080" s="1040" t="e">
        <f t="shared" si="601"/>
        <v>#DIV/0!</v>
      </c>
      <c r="AP1080" s="1040" t="e">
        <f t="shared" si="601"/>
        <v>#DIV/0!</v>
      </c>
      <c r="AQ1080" s="1040" t="e">
        <f t="shared" si="601"/>
        <v>#DIV/0!</v>
      </c>
      <c r="AR1080" s="1040" t="e">
        <f t="shared" si="601"/>
        <v>#DIV/0!</v>
      </c>
      <c r="AS1080" s="1040" t="e">
        <f t="shared" ref="AS1080:AY1080" si="602">IF(AS280="",0,IF(OR(1=RANK(AS680,AS$412:AS$790,0),(2=RANK(AS680,AS$412:AS$790,0))),AS680,AS280))</f>
        <v>#DIV/0!</v>
      </c>
      <c r="AT1080" s="1040" t="e">
        <f t="shared" si="602"/>
        <v>#DIV/0!</v>
      </c>
      <c r="AU1080" s="1040">
        <f t="shared" si="602"/>
        <v>0</v>
      </c>
      <c r="AV1080" s="1040" t="e">
        <f t="shared" si="602"/>
        <v>#DIV/0!</v>
      </c>
      <c r="AW1080" s="1040" t="e">
        <f t="shared" si="602"/>
        <v>#DIV/0!</v>
      </c>
      <c r="AX1080" s="1040" t="e">
        <f t="shared" si="602"/>
        <v>#DIV/0!</v>
      </c>
      <c r="AY1080" s="1040" t="e">
        <f t="shared" si="602"/>
        <v>#DIV/0!</v>
      </c>
      <c r="AZ1080" s="1061" t="s">
        <v>21</v>
      </c>
      <c r="BC1080" s="29"/>
      <c r="BD1080" s="29"/>
      <c r="BE1080" s="13"/>
      <c r="BL1080" s="368"/>
    </row>
    <row r="1081" spans="1:64" ht="12" customHeight="1" x14ac:dyDescent="0.2">
      <c r="A1081" s="39">
        <f>acute_overview_children!A281</f>
        <v>4</v>
      </c>
      <c r="B1081" s="23">
        <f t="shared" si="575"/>
        <v>810030</v>
      </c>
      <c r="C1081" s="23" t="str">
        <f t="shared" si="576"/>
        <v>Celery seed</v>
      </c>
      <c r="D1081" s="135"/>
      <c r="E1081" s="1027"/>
      <c r="F1081" s="87"/>
      <c r="G1081" s="87"/>
      <c r="H1081" s="1027"/>
      <c r="I1081" s="1030"/>
      <c r="J1081" s="1039" t="e">
        <f t="shared" ref="J1081:AR1081" si="603">IF(J281="",0,IF(OR(1=RANK(J681,J$412:J$790,0),(2=RANK(J681,J$412:J$790,0))),J681,J281))</f>
        <v>#DIV/0!</v>
      </c>
      <c r="K1081" s="1040" t="e">
        <f t="shared" si="603"/>
        <v>#DIV/0!</v>
      </c>
      <c r="L1081" s="1040" t="e">
        <f t="shared" si="603"/>
        <v>#DIV/0!</v>
      </c>
      <c r="M1081" s="1040" t="e">
        <f t="shared" si="603"/>
        <v>#DIV/0!</v>
      </c>
      <c r="N1081" s="1040" t="e">
        <f t="shared" si="603"/>
        <v>#DIV/0!</v>
      </c>
      <c r="O1081" s="1040" t="e">
        <f t="shared" si="603"/>
        <v>#DIV/0!</v>
      </c>
      <c r="P1081" s="1040" t="e">
        <f t="shared" si="603"/>
        <v>#DIV/0!</v>
      </c>
      <c r="Q1081" s="1040" t="e">
        <f t="shared" si="603"/>
        <v>#DIV/0!</v>
      </c>
      <c r="R1081" s="1040" t="e">
        <f t="shared" si="603"/>
        <v>#DIV/0!</v>
      </c>
      <c r="S1081" s="1040" t="e">
        <f t="shared" si="603"/>
        <v>#DIV/0!</v>
      </c>
      <c r="T1081" s="1040" t="e">
        <f t="shared" si="603"/>
        <v>#DIV/0!</v>
      </c>
      <c r="U1081" s="1040" t="e">
        <f t="shared" si="603"/>
        <v>#DIV/0!</v>
      </c>
      <c r="V1081" s="1040" t="e">
        <f t="shared" si="603"/>
        <v>#DIV/0!</v>
      </c>
      <c r="W1081" s="1040" t="e">
        <f t="shared" si="603"/>
        <v>#DIV/0!</v>
      </c>
      <c r="X1081" s="1040" t="e">
        <f t="shared" si="603"/>
        <v>#DIV/0!</v>
      </c>
      <c r="Y1081" s="1040" t="e">
        <f t="shared" si="603"/>
        <v>#DIV/0!</v>
      </c>
      <c r="Z1081" s="1040" t="e">
        <f t="shared" si="603"/>
        <v>#DIV/0!</v>
      </c>
      <c r="AA1081" s="1040" t="e">
        <f t="shared" si="603"/>
        <v>#DIV/0!</v>
      </c>
      <c r="AB1081" s="1040" t="e">
        <f t="shared" si="603"/>
        <v>#DIV/0!</v>
      </c>
      <c r="AC1081" s="1040" t="e">
        <f t="shared" si="603"/>
        <v>#DIV/0!</v>
      </c>
      <c r="AD1081" s="1040" t="e">
        <f t="shared" si="603"/>
        <v>#DIV/0!</v>
      </c>
      <c r="AE1081" s="1040" t="e">
        <f t="shared" si="603"/>
        <v>#DIV/0!</v>
      </c>
      <c r="AF1081" s="1040" t="e">
        <f t="shared" si="603"/>
        <v>#DIV/0!</v>
      </c>
      <c r="AG1081" s="1040" t="e">
        <f t="shared" si="603"/>
        <v>#DIV/0!</v>
      </c>
      <c r="AH1081" s="1040" t="e">
        <f t="shared" si="603"/>
        <v>#DIV/0!</v>
      </c>
      <c r="AI1081" s="1040" t="e">
        <f t="shared" si="603"/>
        <v>#DIV/0!</v>
      </c>
      <c r="AJ1081" s="1040" t="e">
        <f t="shared" si="603"/>
        <v>#DIV/0!</v>
      </c>
      <c r="AK1081" s="1040" t="e">
        <f t="shared" si="603"/>
        <v>#DIV/0!</v>
      </c>
      <c r="AL1081" s="1040" t="e">
        <f t="shared" si="603"/>
        <v>#DIV/0!</v>
      </c>
      <c r="AM1081" s="1040" t="e">
        <f t="shared" si="603"/>
        <v>#DIV/0!</v>
      </c>
      <c r="AN1081" s="1040" t="e">
        <f t="shared" si="603"/>
        <v>#DIV/0!</v>
      </c>
      <c r="AO1081" s="1040" t="e">
        <f t="shared" si="603"/>
        <v>#DIV/0!</v>
      </c>
      <c r="AP1081" s="1040" t="e">
        <f t="shared" si="603"/>
        <v>#DIV/0!</v>
      </c>
      <c r="AQ1081" s="1040" t="e">
        <f t="shared" si="603"/>
        <v>#DIV/0!</v>
      </c>
      <c r="AR1081" s="1040" t="e">
        <f t="shared" si="603"/>
        <v>#DIV/0!</v>
      </c>
      <c r="AS1081" s="1040" t="e">
        <f t="shared" ref="AS1081:AY1081" si="604">IF(AS281="",0,IF(OR(1=RANK(AS681,AS$412:AS$790,0),(2=RANK(AS681,AS$412:AS$790,0))),AS681,AS281))</f>
        <v>#DIV/0!</v>
      </c>
      <c r="AT1081" s="1040" t="e">
        <f t="shared" si="604"/>
        <v>#DIV/0!</v>
      </c>
      <c r="AU1081" s="1040">
        <f t="shared" si="604"/>
        <v>0</v>
      </c>
      <c r="AV1081" s="1040" t="e">
        <f t="shared" si="604"/>
        <v>#DIV/0!</v>
      </c>
      <c r="AW1081" s="1040" t="e">
        <f t="shared" si="604"/>
        <v>#DIV/0!</v>
      </c>
      <c r="AX1081" s="1040" t="e">
        <f t="shared" si="604"/>
        <v>#DIV/0!</v>
      </c>
      <c r="AY1081" s="1040" t="e">
        <f t="shared" si="604"/>
        <v>#DIV/0!</v>
      </c>
      <c r="AZ1081" s="1061" t="s">
        <v>21</v>
      </c>
      <c r="BC1081" s="29"/>
      <c r="BD1081" s="29"/>
      <c r="BE1081" s="13"/>
      <c r="BL1081" s="368"/>
    </row>
    <row r="1082" spans="1:64" ht="12" customHeight="1" x14ac:dyDescent="0.2">
      <c r="A1082" s="39">
        <f>acute_overview_children!A282</f>
        <v>4</v>
      </c>
      <c r="B1082" s="23">
        <f t="shared" si="575"/>
        <v>810040</v>
      </c>
      <c r="C1082" s="23" t="str">
        <f t="shared" si="576"/>
        <v>Coriander seed</v>
      </c>
      <c r="D1082" s="135"/>
      <c r="E1082" s="1027"/>
      <c r="F1082" s="87"/>
      <c r="G1082" s="87"/>
      <c r="H1082" s="1027"/>
      <c r="I1082" s="1030"/>
      <c r="J1082" s="1039" t="e">
        <f t="shared" ref="J1082:AR1082" si="605">IF(J282="",0,IF(OR(1=RANK(J682,J$412:J$790,0),(2=RANK(J682,J$412:J$790,0))),J682,J282))</f>
        <v>#DIV/0!</v>
      </c>
      <c r="K1082" s="1040" t="e">
        <f t="shared" si="605"/>
        <v>#DIV/0!</v>
      </c>
      <c r="L1082" s="1040" t="e">
        <f t="shared" si="605"/>
        <v>#DIV/0!</v>
      </c>
      <c r="M1082" s="1040" t="e">
        <f t="shared" si="605"/>
        <v>#DIV/0!</v>
      </c>
      <c r="N1082" s="1040" t="e">
        <f t="shared" si="605"/>
        <v>#DIV/0!</v>
      </c>
      <c r="O1082" s="1040" t="e">
        <f t="shared" si="605"/>
        <v>#DIV/0!</v>
      </c>
      <c r="P1082" s="1040" t="e">
        <f t="shared" si="605"/>
        <v>#DIV/0!</v>
      </c>
      <c r="Q1082" s="1040" t="e">
        <f t="shared" si="605"/>
        <v>#DIV/0!</v>
      </c>
      <c r="R1082" s="1040" t="e">
        <f t="shared" si="605"/>
        <v>#DIV/0!</v>
      </c>
      <c r="S1082" s="1040" t="e">
        <f t="shared" si="605"/>
        <v>#DIV/0!</v>
      </c>
      <c r="T1082" s="1040" t="e">
        <f t="shared" si="605"/>
        <v>#DIV/0!</v>
      </c>
      <c r="U1082" s="1040" t="e">
        <f t="shared" si="605"/>
        <v>#DIV/0!</v>
      </c>
      <c r="V1082" s="1040" t="e">
        <f t="shared" si="605"/>
        <v>#DIV/0!</v>
      </c>
      <c r="W1082" s="1040" t="e">
        <f t="shared" si="605"/>
        <v>#DIV/0!</v>
      </c>
      <c r="X1082" s="1040" t="e">
        <f t="shared" si="605"/>
        <v>#DIV/0!</v>
      </c>
      <c r="Y1082" s="1040" t="e">
        <f t="shared" si="605"/>
        <v>#DIV/0!</v>
      </c>
      <c r="Z1082" s="1040" t="e">
        <f t="shared" si="605"/>
        <v>#DIV/0!</v>
      </c>
      <c r="AA1082" s="1040" t="e">
        <f t="shared" si="605"/>
        <v>#DIV/0!</v>
      </c>
      <c r="AB1082" s="1040" t="e">
        <f t="shared" si="605"/>
        <v>#DIV/0!</v>
      </c>
      <c r="AC1082" s="1040" t="e">
        <f t="shared" si="605"/>
        <v>#DIV/0!</v>
      </c>
      <c r="AD1082" s="1040" t="e">
        <f t="shared" si="605"/>
        <v>#DIV/0!</v>
      </c>
      <c r="AE1082" s="1040" t="e">
        <f t="shared" si="605"/>
        <v>#DIV/0!</v>
      </c>
      <c r="AF1082" s="1040" t="e">
        <f t="shared" si="605"/>
        <v>#DIV/0!</v>
      </c>
      <c r="AG1082" s="1040" t="e">
        <f t="shared" si="605"/>
        <v>#DIV/0!</v>
      </c>
      <c r="AH1082" s="1040" t="e">
        <f t="shared" si="605"/>
        <v>#DIV/0!</v>
      </c>
      <c r="AI1082" s="1040" t="e">
        <f t="shared" si="605"/>
        <v>#DIV/0!</v>
      </c>
      <c r="AJ1082" s="1040" t="e">
        <f t="shared" si="605"/>
        <v>#DIV/0!</v>
      </c>
      <c r="AK1082" s="1040" t="e">
        <f t="shared" si="605"/>
        <v>#DIV/0!</v>
      </c>
      <c r="AL1082" s="1040" t="e">
        <f t="shared" si="605"/>
        <v>#DIV/0!</v>
      </c>
      <c r="AM1082" s="1040" t="e">
        <f t="shared" si="605"/>
        <v>#DIV/0!</v>
      </c>
      <c r="AN1082" s="1040" t="e">
        <f t="shared" si="605"/>
        <v>#DIV/0!</v>
      </c>
      <c r="AO1082" s="1040" t="e">
        <f t="shared" si="605"/>
        <v>#DIV/0!</v>
      </c>
      <c r="AP1082" s="1040" t="e">
        <f t="shared" si="605"/>
        <v>#DIV/0!</v>
      </c>
      <c r="AQ1082" s="1040" t="e">
        <f t="shared" si="605"/>
        <v>#DIV/0!</v>
      </c>
      <c r="AR1082" s="1040" t="e">
        <f t="shared" si="605"/>
        <v>#DIV/0!</v>
      </c>
      <c r="AS1082" s="1040" t="e">
        <f t="shared" ref="AS1082:AY1082" si="606">IF(AS282="",0,IF(OR(1=RANK(AS682,AS$412:AS$790,0),(2=RANK(AS682,AS$412:AS$790,0))),AS682,AS282))</f>
        <v>#DIV/0!</v>
      </c>
      <c r="AT1082" s="1040" t="e">
        <f t="shared" si="606"/>
        <v>#DIV/0!</v>
      </c>
      <c r="AU1082" s="1040">
        <f t="shared" si="606"/>
        <v>0</v>
      </c>
      <c r="AV1082" s="1040" t="e">
        <f t="shared" si="606"/>
        <v>#DIV/0!</v>
      </c>
      <c r="AW1082" s="1040" t="e">
        <f t="shared" si="606"/>
        <v>#DIV/0!</v>
      </c>
      <c r="AX1082" s="1040" t="e">
        <f t="shared" si="606"/>
        <v>#DIV/0!</v>
      </c>
      <c r="AY1082" s="1040" t="e">
        <f t="shared" si="606"/>
        <v>#DIV/0!</v>
      </c>
      <c r="AZ1082" s="1061" t="s">
        <v>21</v>
      </c>
      <c r="BC1082" s="29"/>
      <c r="BD1082" s="29"/>
      <c r="BE1082" s="13"/>
      <c r="BL1082" s="368"/>
    </row>
    <row r="1083" spans="1:64" ht="12" customHeight="1" x14ac:dyDescent="0.2">
      <c r="A1083" s="39">
        <f>acute_overview_children!A283</f>
        <v>4</v>
      </c>
      <c r="B1083" s="23">
        <f t="shared" si="575"/>
        <v>810050</v>
      </c>
      <c r="C1083" s="23" t="str">
        <f t="shared" si="576"/>
        <v>Cumin seed</v>
      </c>
      <c r="D1083" s="135"/>
      <c r="E1083" s="1027"/>
      <c r="F1083" s="87"/>
      <c r="G1083" s="87"/>
      <c r="H1083" s="1027"/>
      <c r="I1083" s="1030"/>
      <c r="J1083" s="1039" t="e">
        <f t="shared" ref="J1083:AR1083" si="607">IF(J283="",0,IF(OR(1=RANK(J683,J$412:J$790,0),(2=RANK(J683,J$412:J$790,0))),J683,J283))</f>
        <v>#DIV/0!</v>
      </c>
      <c r="K1083" s="1040" t="e">
        <f t="shared" si="607"/>
        <v>#DIV/0!</v>
      </c>
      <c r="L1083" s="1040" t="e">
        <f t="shared" si="607"/>
        <v>#DIV/0!</v>
      </c>
      <c r="M1083" s="1040" t="e">
        <f t="shared" si="607"/>
        <v>#DIV/0!</v>
      </c>
      <c r="N1083" s="1040" t="e">
        <f t="shared" si="607"/>
        <v>#DIV/0!</v>
      </c>
      <c r="O1083" s="1040" t="e">
        <f t="shared" si="607"/>
        <v>#DIV/0!</v>
      </c>
      <c r="P1083" s="1040" t="e">
        <f t="shared" si="607"/>
        <v>#DIV/0!</v>
      </c>
      <c r="Q1083" s="1040" t="e">
        <f t="shared" si="607"/>
        <v>#DIV/0!</v>
      </c>
      <c r="R1083" s="1040" t="e">
        <f t="shared" si="607"/>
        <v>#DIV/0!</v>
      </c>
      <c r="S1083" s="1040" t="e">
        <f t="shared" si="607"/>
        <v>#DIV/0!</v>
      </c>
      <c r="T1083" s="1040" t="e">
        <f t="shared" si="607"/>
        <v>#DIV/0!</v>
      </c>
      <c r="U1083" s="1040" t="e">
        <f t="shared" si="607"/>
        <v>#DIV/0!</v>
      </c>
      <c r="V1083" s="1040" t="e">
        <f t="shared" si="607"/>
        <v>#DIV/0!</v>
      </c>
      <c r="W1083" s="1040" t="e">
        <f t="shared" si="607"/>
        <v>#DIV/0!</v>
      </c>
      <c r="X1083" s="1040" t="e">
        <f t="shared" si="607"/>
        <v>#DIV/0!</v>
      </c>
      <c r="Y1083" s="1040" t="e">
        <f t="shared" si="607"/>
        <v>#DIV/0!</v>
      </c>
      <c r="Z1083" s="1040" t="e">
        <f t="shared" si="607"/>
        <v>#DIV/0!</v>
      </c>
      <c r="AA1083" s="1040" t="e">
        <f t="shared" si="607"/>
        <v>#DIV/0!</v>
      </c>
      <c r="AB1083" s="1040" t="e">
        <f t="shared" si="607"/>
        <v>#DIV/0!</v>
      </c>
      <c r="AC1083" s="1040" t="e">
        <f t="shared" si="607"/>
        <v>#DIV/0!</v>
      </c>
      <c r="AD1083" s="1040" t="e">
        <f t="shared" si="607"/>
        <v>#DIV/0!</v>
      </c>
      <c r="AE1083" s="1040" t="e">
        <f t="shared" si="607"/>
        <v>#DIV/0!</v>
      </c>
      <c r="AF1083" s="1040" t="e">
        <f t="shared" si="607"/>
        <v>#DIV/0!</v>
      </c>
      <c r="AG1083" s="1040" t="e">
        <f t="shared" si="607"/>
        <v>#DIV/0!</v>
      </c>
      <c r="AH1083" s="1040" t="e">
        <f t="shared" si="607"/>
        <v>#DIV/0!</v>
      </c>
      <c r="AI1083" s="1040" t="e">
        <f t="shared" si="607"/>
        <v>#DIV/0!</v>
      </c>
      <c r="AJ1083" s="1040" t="e">
        <f t="shared" si="607"/>
        <v>#DIV/0!</v>
      </c>
      <c r="AK1083" s="1040" t="e">
        <f t="shared" si="607"/>
        <v>#DIV/0!</v>
      </c>
      <c r="AL1083" s="1040" t="e">
        <f t="shared" si="607"/>
        <v>#DIV/0!</v>
      </c>
      <c r="AM1083" s="1040" t="e">
        <f t="shared" si="607"/>
        <v>#DIV/0!</v>
      </c>
      <c r="AN1083" s="1040" t="e">
        <f t="shared" si="607"/>
        <v>#DIV/0!</v>
      </c>
      <c r="AO1083" s="1040" t="e">
        <f t="shared" si="607"/>
        <v>#DIV/0!</v>
      </c>
      <c r="AP1083" s="1040" t="e">
        <f t="shared" si="607"/>
        <v>#DIV/0!</v>
      </c>
      <c r="AQ1083" s="1040" t="e">
        <f t="shared" si="607"/>
        <v>#DIV/0!</v>
      </c>
      <c r="AR1083" s="1040" t="e">
        <f t="shared" si="607"/>
        <v>#DIV/0!</v>
      </c>
      <c r="AS1083" s="1040" t="e">
        <f t="shared" ref="AS1083:AY1083" si="608">IF(AS283="",0,IF(OR(1=RANK(AS683,AS$412:AS$790,0),(2=RANK(AS683,AS$412:AS$790,0))),AS683,AS283))</f>
        <v>#DIV/0!</v>
      </c>
      <c r="AT1083" s="1040" t="e">
        <f t="shared" si="608"/>
        <v>#DIV/0!</v>
      </c>
      <c r="AU1083" s="1040">
        <f t="shared" si="608"/>
        <v>0</v>
      </c>
      <c r="AV1083" s="1040" t="e">
        <f t="shared" si="608"/>
        <v>#DIV/0!</v>
      </c>
      <c r="AW1083" s="1040" t="e">
        <f t="shared" si="608"/>
        <v>#DIV/0!</v>
      </c>
      <c r="AX1083" s="1040" t="e">
        <f t="shared" si="608"/>
        <v>#DIV/0!</v>
      </c>
      <c r="AY1083" s="1040" t="e">
        <f t="shared" si="608"/>
        <v>#DIV/0!</v>
      </c>
      <c r="AZ1083" s="1061" t="s">
        <v>21</v>
      </c>
      <c r="BC1083" s="29"/>
      <c r="BD1083" s="29"/>
      <c r="BE1083" s="13"/>
      <c r="BL1083" s="368"/>
    </row>
    <row r="1084" spans="1:64" ht="12" customHeight="1" x14ac:dyDescent="0.2">
      <c r="A1084" s="39">
        <f>acute_overview_children!A284</f>
        <v>4</v>
      </c>
      <c r="B1084" s="23">
        <f t="shared" si="575"/>
        <v>810060</v>
      </c>
      <c r="C1084" s="23" t="str">
        <f t="shared" si="576"/>
        <v>Dill seed</v>
      </c>
      <c r="D1084" s="135"/>
      <c r="E1084" s="1027"/>
      <c r="F1084" s="87"/>
      <c r="G1084" s="87"/>
      <c r="H1084" s="1027"/>
      <c r="I1084" s="1030"/>
      <c r="J1084" s="1039" t="e">
        <f t="shared" ref="J1084:AR1084" si="609">IF(J284="",0,IF(OR(1=RANK(J684,J$412:J$790,0),(2=RANK(J684,J$412:J$790,0))),J684,J284))</f>
        <v>#DIV/0!</v>
      </c>
      <c r="K1084" s="1040" t="e">
        <f t="shared" si="609"/>
        <v>#DIV/0!</v>
      </c>
      <c r="L1084" s="1040" t="e">
        <f t="shared" si="609"/>
        <v>#DIV/0!</v>
      </c>
      <c r="M1084" s="1040" t="e">
        <f t="shared" si="609"/>
        <v>#DIV/0!</v>
      </c>
      <c r="N1084" s="1040" t="e">
        <f t="shared" si="609"/>
        <v>#DIV/0!</v>
      </c>
      <c r="O1084" s="1040" t="e">
        <f t="shared" si="609"/>
        <v>#DIV/0!</v>
      </c>
      <c r="P1084" s="1040" t="e">
        <f t="shared" si="609"/>
        <v>#DIV/0!</v>
      </c>
      <c r="Q1084" s="1040" t="e">
        <f t="shared" si="609"/>
        <v>#DIV/0!</v>
      </c>
      <c r="R1084" s="1040" t="e">
        <f t="shared" si="609"/>
        <v>#DIV/0!</v>
      </c>
      <c r="S1084" s="1040" t="e">
        <f t="shared" si="609"/>
        <v>#DIV/0!</v>
      </c>
      <c r="T1084" s="1040" t="e">
        <f t="shared" si="609"/>
        <v>#DIV/0!</v>
      </c>
      <c r="U1084" s="1040" t="e">
        <f t="shared" si="609"/>
        <v>#DIV/0!</v>
      </c>
      <c r="V1084" s="1040" t="e">
        <f t="shared" si="609"/>
        <v>#DIV/0!</v>
      </c>
      <c r="W1084" s="1040" t="e">
        <f t="shared" si="609"/>
        <v>#DIV/0!</v>
      </c>
      <c r="X1084" s="1040" t="e">
        <f t="shared" si="609"/>
        <v>#DIV/0!</v>
      </c>
      <c r="Y1084" s="1040" t="e">
        <f t="shared" si="609"/>
        <v>#DIV/0!</v>
      </c>
      <c r="Z1084" s="1040" t="e">
        <f t="shared" si="609"/>
        <v>#DIV/0!</v>
      </c>
      <c r="AA1084" s="1040" t="e">
        <f t="shared" si="609"/>
        <v>#DIV/0!</v>
      </c>
      <c r="AB1084" s="1040" t="e">
        <f t="shared" si="609"/>
        <v>#DIV/0!</v>
      </c>
      <c r="AC1084" s="1040" t="e">
        <f t="shared" si="609"/>
        <v>#DIV/0!</v>
      </c>
      <c r="AD1084" s="1040" t="e">
        <f t="shared" si="609"/>
        <v>#DIV/0!</v>
      </c>
      <c r="AE1084" s="1040" t="e">
        <f t="shared" si="609"/>
        <v>#DIV/0!</v>
      </c>
      <c r="AF1084" s="1040" t="e">
        <f t="shared" si="609"/>
        <v>#DIV/0!</v>
      </c>
      <c r="AG1084" s="1040" t="e">
        <f t="shared" si="609"/>
        <v>#DIV/0!</v>
      </c>
      <c r="AH1084" s="1040" t="e">
        <f t="shared" si="609"/>
        <v>#DIV/0!</v>
      </c>
      <c r="AI1084" s="1040" t="e">
        <f t="shared" si="609"/>
        <v>#DIV/0!</v>
      </c>
      <c r="AJ1084" s="1040" t="e">
        <f t="shared" si="609"/>
        <v>#DIV/0!</v>
      </c>
      <c r="AK1084" s="1040" t="e">
        <f t="shared" si="609"/>
        <v>#DIV/0!</v>
      </c>
      <c r="AL1084" s="1040" t="e">
        <f t="shared" si="609"/>
        <v>#DIV/0!</v>
      </c>
      <c r="AM1084" s="1040" t="e">
        <f t="shared" si="609"/>
        <v>#DIV/0!</v>
      </c>
      <c r="AN1084" s="1040" t="e">
        <f t="shared" si="609"/>
        <v>#DIV/0!</v>
      </c>
      <c r="AO1084" s="1040" t="e">
        <f t="shared" si="609"/>
        <v>#DIV/0!</v>
      </c>
      <c r="AP1084" s="1040" t="e">
        <f t="shared" si="609"/>
        <v>#DIV/0!</v>
      </c>
      <c r="AQ1084" s="1040" t="e">
        <f t="shared" si="609"/>
        <v>#DIV/0!</v>
      </c>
      <c r="AR1084" s="1040" t="e">
        <f t="shared" si="609"/>
        <v>#DIV/0!</v>
      </c>
      <c r="AS1084" s="1040" t="e">
        <f t="shared" ref="AS1084:AY1084" si="610">IF(AS284="",0,IF(OR(1=RANK(AS684,AS$412:AS$790,0),(2=RANK(AS684,AS$412:AS$790,0))),AS684,AS284))</f>
        <v>#DIV/0!</v>
      </c>
      <c r="AT1084" s="1040" t="e">
        <f t="shared" si="610"/>
        <v>#DIV/0!</v>
      </c>
      <c r="AU1084" s="1040">
        <f t="shared" si="610"/>
        <v>0</v>
      </c>
      <c r="AV1084" s="1040" t="e">
        <f t="shared" si="610"/>
        <v>#DIV/0!</v>
      </c>
      <c r="AW1084" s="1040" t="e">
        <f t="shared" si="610"/>
        <v>#DIV/0!</v>
      </c>
      <c r="AX1084" s="1040" t="e">
        <f t="shared" si="610"/>
        <v>#DIV/0!</v>
      </c>
      <c r="AY1084" s="1040" t="e">
        <f t="shared" si="610"/>
        <v>#DIV/0!</v>
      </c>
      <c r="AZ1084" s="1061" t="s">
        <v>21</v>
      </c>
      <c r="BC1084" s="29"/>
      <c r="BD1084" s="29"/>
      <c r="BE1084" s="13"/>
      <c r="BL1084" s="368"/>
    </row>
    <row r="1085" spans="1:64" ht="12" customHeight="1" x14ac:dyDescent="0.2">
      <c r="A1085" s="39">
        <f>acute_overview_children!A285</f>
        <v>4</v>
      </c>
      <c r="B1085" s="23">
        <f t="shared" si="575"/>
        <v>810070</v>
      </c>
      <c r="C1085" s="23" t="str">
        <f t="shared" si="576"/>
        <v>Fennel seed</v>
      </c>
      <c r="D1085" s="135"/>
      <c r="E1085" s="1027"/>
      <c r="F1085" s="87"/>
      <c r="G1085" s="87"/>
      <c r="H1085" s="1027"/>
      <c r="I1085" s="1030"/>
      <c r="J1085" s="1039" t="e">
        <f t="shared" ref="J1085:AR1085" si="611">IF(J285="",0,IF(OR(1=RANK(J685,J$412:J$790,0),(2=RANK(J685,J$412:J$790,0))),J685,J285))</f>
        <v>#DIV/0!</v>
      </c>
      <c r="K1085" s="1040" t="e">
        <f t="shared" si="611"/>
        <v>#DIV/0!</v>
      </c>
      <c r="L1085" s="1040" t="e">
        <f t="shared" si="611"/>
        <v>#DIV/0!</v>
      </c>
      <c r="M1085" s="1040" t="e">
        <f t="shared" si="611"/>
        <v>#DIV/0!</v>
      </c>
      <c r="N1085" s="1040" t="e">
        <f t="shared" si="611"/>
        <v>#DIV/0!</v>
      </c>
      <c r="O1085" s="1040" t="e">
        <f t="shared" si="611"/>
        <v>#DIV/0!</v>
      </c>
      <c r="P1085" s="1040" t="e">
        <f t="shared" si="611"/>
        <v>#DIV/0!</v>
      </c>
      <c r="Q1085" s="1040" t="e">
        <f t="shared" si="611"/>
        <v>#DIV/0!</v>
      </c>
      <c r="R1085" s="1040" t="e">
        <f t="shared" si="611"/>
        <v>#DIV/0!</v>
      </c>
      <c r="S1085" s="1040" t="e">
        <f t="shared" si="611"/>
        <v>#DIV/0!</v>
      </c>
      <c r="T1085" s="1040" t="e">
        <f t="shared" si="611"/>
        <v>#DIV/0!</v>
      </c>
      <c r="U1085" s="1040" t="e">
        <f t="shared" si="611"/>
        <v>#DIV/0!</v>
      </c>
      <c r="V1085" s="1040" t="e">
        <f t="shared" si="611"/>
        <v>#DIV/0!</v>
      </c>
      <c r="W1085" s="1040" t="e">
        <f t="shared" si="611"/>
        <v>#DIV/0!</v>
      </c>
      <c r="X1085" s="1040" t="e">
        <f t="shared" si="611"/>
        <v>#DIV/0!</v>
      </c>
      <c r="Y1085" s="1040" t="e">
        <f t="shared" si="611"/>
        <v>#DIV/0!</v>
      </c>
      <c r="Z1085" s="1040" t="e">
        <f t="shared" si="611"/>
        <v>#DIV/0!</v>
      </c>
      <c r="AA1085" s="1040" t="e">
        <f t="shared" si="611"/>
        <v>#DIV/0!</v>
      </c>
      <c r="AB1085" s="1040" t="e">
        <f t="shared" si="611"/>
        <v>#DIV/0!</v>
      </c>
      <c r="AC1085" s="1040" t="e">
        <f t="shared" si="611"/>
        <v>#DIV/0!</v>
      </c>
      <c r="AD1085" s="1040" t="e">
        <f t="shared" si="611"/>
        <v>#DIV/0!</v>
      </c>
      <c r="AE1085" s="1040" t="e">
        <f t="shared" si="611"/>
        <v>#DIV/0!</v>
      </c>
      <c r="AF1085" s="1040" t="e">
        <f t="shared" si="611"/>
        <v>#DIV/0!</v>
      </c>
      <c r="AG1085" s="1040" t="e">
        <f t="shared" si="611"/>
        <v>#DIV/0!</v>
      </c>
      <c r="AH1085" s="1040" t="e">
        <f t="shared" si="611"/>
        <v>#DIV/0!</v>
      </c>
      <c r="AI1085" s="1040" t="e">
        <f t="shared" si="611"/>
        <v>#DIV/0!</v>
      </c>
      <c r="AJ1085" s="1040" t="e">
        <f t="shared" si="611"/>
        <v>#DIV/0!</v>
      </c>
      <c r="AK1085" s="1040" t="e">
        <f t="shared" si="611"/>
        <v>#DIV/0!</v>
      </c>
      <c r="AL1085" s="1040" t="e">
        <f t="shared" si="611"/>
        <v>#DIV/0!</v>
      </c>
      <c r="AM1085" s="1040" t="e">
        <f t="shared" si="611"/>
        <v>#DIV/0!</v>
      </c>
      <c r="AN1085" s="1040" t="e">
        <f t="shared" si="611"/>
        <v>#DIV/0!</v>
      </c>
      <c r="AO1085" s="1040" t="e">
        <f t="shared" si="611"/>
        <v>#DIV/0!</v>
      </c>
      <c r="AP1085" s="1040" t="e">
        <f t="shared" si="611"/>
        <v>#DIV/0!</v>
      </c>
      <c r="AQ1085" s="1040" t="e">
        <f t="shared" si="611"/>
        <v>#DIV/0!</v>
      </c>
      <c r="AR1085" s="1040" t="e">
        <f t="shared" si="611"/>
        <v>#DIV/0!</v>
      </c>
      <c r="AS1085" s="1040" t="e">
        <f t="shared" ref="AS1085:AY1085" si="612">IF(AS285="",0,IF(OR(1=RANK(AS685,AS$412:AS$790,0),(2=RANK(AS685,AS$412:AS$790,0))),AS685,AS285))</f>
        <v>#DIV/0!</v>
      </c>
      <c r="AT1085" s="1040" t="e">
        <f t="shared" si="612"/>
        <v>#DIV/0!</v>
      </c>
      <c r="AU1085" s="1040">
        <f t="shared" si="612"/>
        <v>0</v>
      </c>
      <c r="AV1085" s="1040" t="e">
        <f t="shared" si="612"/>
        <v>#DIV/0!</v>
      </c>
      <c r="AW1085" s="1040" t="e">
        <f t="shared" si="612"/>
        <v>#DIV/0!</v>
      </c>
      <c r="AX1085" s="1040" t="e">
        <f t="shared" si="612"/>
        <v>#DIV/0!</v>
      </c>
      <c r="AY1085" s="1040" t="e">
        <f t="shared" si="612"/>
        <v>#DIV/0!</v>
      </c>
      <c r="AZ1085" s="1061" t="s">
        <v>21</v>
      </c>
      <c r="BC1085" s="29"/>
      <c r="BD1085" s="29"/>
      <c r="BE1085" s="13"/>
      <c r="BL1085" s="368"/>
    </row>
    <row r="1086" spans="1:64" ht="12" customHeight="1" x14ac:dyDescent="0.2">
      <c r="A1086" s="39">
        <f>acute_overview_children!A286</f>
        <v>4</v>
      </c>
      <c r="B1086" s="23">
        <f t="shared" si="575"/>
        <v>810080</v>
      </c>
      <c r="C1086" s="23" t="str">
        <f t="shared" si="576"/>
        <v>Fenugreek</v>
      </c>
      <c r="D1086" s="135"/>
      <c r="E1086" s="1027"/>
      <c r="F1086" s="87"/>
      <c r="G1086" s="87"/>
      <c r="H1086" s="1027"/>
      <c r="I1086" s="1030"/>
      <c r="J1086" s="1039" t="e">
        <f t="shared" ref="J1086:AR1086" si="613">IF(J286="",0,IF(OR(1=RANK(J686,J$412:J$790,0),(2=RANK(J686,J$412:J$790,0))),J686,J286))</f>
        <v>#DIV/0!</v>
      </c>
      <c r="K1086" s="1040" t="e">
        <f t="shared" si="613"/>
        <v>#DIV/0!</v>
      </c>
      <c r="L1086" s="1040" t="e">
        <f t="shared" si="613"/>
        <v>#DIV/0!</v>
      </c>
      <c r="M1086" s="1040" t="e">
        <f t="shared" si="613"/>
        <v>#DIV/0!</v>
      </c>
      <c r="N1086" s="1040" t="e">
        <f t="shared" si="613"/>
        <v>#DIV/0!</v>
      </c>
      <c r="O1086" s="1040" t="e">
        <f t="shared" si="613"/>
        <v>#DIV/0!</v>
      </c>
      <c r="P1086" s="1040" t="e">
        <f t="shared" si="613"/>
        <v>#DIV/0!</v>
      </c>
      <c r="Q1086" s="1040" t="e">
        <f t="shared" si="613"/>
        <v>#DIV/0!</v>
      </c>
      <c r="R1086" s="1040" t="e">
        <f t="shared" si="613"/>
        <v>#DIV/0!</v>
      </c>
      <c r="S1086" s="1040" t="e">
        <f t="shared" si="613"/>
        <v>#DIV/0!</v>
      </c>
      <c r="T1086" s="1040" t="e">
        <f t="shared" si="613"/>
        <v>#DIV/0!</v>
      </c>
      <c r="U1086" s="1040" t="e">
        <f t="shared" si="613"/>
        <v>#DIV/0!</v>
      </c>
      <c r="V1086" s="1040" t="e">
        <f t="shared" si="613"/>
        <v>#DIV/0!</v>
      </c>
      <c r="W1086" s="1040" t="e">
        <f t="shared" si="613"/>
        <v>#DIV/0!</v>
      </c>
      <c r="X1086" s="1040" t="e">
        <f t="shared" si="613"/>
        <v>#DIV/0!</v>
      </c>
      <c r="Y1086" s="1040" t="e">
        <f t="shared" si="613"/>
        <v>#DIV/0!</v>
      </c>
      <c r="Z1086" s="1040" t="e">
        <f t="shared" si="613"/>
        <v>#DIV/0!</v>
      </c>
      <c r="AA1086" s="1040" t="e">
        <f t="shared" si="613"/>
        <v>#DIV/0!</v>
      </c>
      <c r="AB1086" s="1040" t="e">
        <f t="shared" si="613"/>
        <v>#DIV/0!</v>
      </c>
      <c r="AC1086" s="1040" t="e">
        <f t="shared" si="613"/>
        <v>#DIV/0!</v>
      </c>
      <c r="AD1086" s="1040" t="e">
        <f t="shared" si="613"/>
        <v>#DIV/0!</v>
      </c>
      <c r="AE1086" s="1040" t="e">
        <f t="shared" si="613"/>
        <v>#DIV/0!</v>
      </c>
      <c r="AF1086" s="1040" t="e">
        <f t="shared" si="613"/>
        <v>#DIV/0!</v>
      </c>
      <c r="AG1086" s="1040" t="e">
        <f t="shared" si="613"/>
        <v>#DIV/0!</v>
      </c>
      <c r="AH1086" s="1040" t="e">
        <f t="shared" si="613"/>
        <v>#DIV/0!</v>
      </c>
      <c r="AI1086" s="1040" t="e">
        <f t="shared" si="613"/>
        <v>#DIV/0!</v>
      </c>
      <c r="AJ1086" s="1040" t="e">
        <f t="shared" si="613"/>
        <v>#DIV/0!</v>
      </c>
      <c r="AK1086" s="1040" t="e">
        <f t="shared" si="613"/>
        <v>#DIV/0!</v>
      </c>
      <c r="AL1086" s="1040" t="e">
        <f t="shared" si="613"/>
        <v>#DIV/0!</v>
      </c>
      <c r="AM1086" s="1040" t="e">
        <f t="shared" si="613"/>
        <v>#DIV/0!</v>
      </c>
      <c r="AN1086" s="1040" t="e">
        <f t="shared" si="613"/>
        <v>#DIV/0!</v>
      </c>
      <c r="AO1086" s="1040" t="e">
        <f t="shared" si="613"/>
        <v>#DIV/0!</v>
      </c>
      <c r="AP1086" s="1040" t="e">
        <f t="shared" si="613"/>
        <v>#DIV/0!</v>
      </c>
      <c r="AQ1086" s="1040" t="e">
        <f t="shared" si="613"/>
        <v>#DIV/0!</v>
      </c>
      <c r="AR1086" s="1040" t="e">
        <f t="shared" si="613"/>
        <v>#DIV/0!</v>
      </c>
      <c r="AS1086" s="1040" t="e">
        <f t="shared" ref="AS1086:AY1086" si="614">IF(AS286="",0,IF(OR(1=RANK(AS686,AS$412:AS$790,0),(2=RANK(AS686,AS$412:AS$790,0))),AS686,AS286))</f>
        <v>#DIV/0!</v>
      </c>
      <c r="AT1086" s="1040" t="e">
        <f t="shared" si="614"/>
        <v>#DIV/0!</v>
      </c>
      <c r="AU1086" s="1040">
        <f t="shared" si="614"/>
        <v>0</v>
      </c>
      <c r="AV1086" s="1040" t="e">
        <f t="shared" si="614"/>
        <v>#DIV/0!</v>
      </c>
      <c r="AW1086" s="1040" t="e">
        <f t="shared" si="614"/>
        <v>#DIV/0!</v>
      </c>
      <c r="AX1086" s="1040" t="e">
        <f t="shared" si="614"/>
        <v>#DIV/0!</v>
      </c>
      <c r="AY1086" s="1040" t="e">
        <f t="shared" si="614"/>
        <v>#DIV/0!</v>
      </c>
      <c r="AZ1086" s="1061" t="s">
        <v>21</v>
      </c>
      <c r="BC1086" s="29"/>
      <c r="BD1086" s="29"/>
      <c r="BE1086" s="13"/>
      <c r="BL1086" s="368"/>
    </row>
    <row r="1087" spans="1:64" ht="12" customHeight="1" x14ac:dyDescent="0.2">
      <c r="A1087" s="39">
        <f>acute_overview_children!A287</f>
        <v>4</v>
      </c>
      <c r="B1087" s="23">
        <f t="shared" si="575"/>
        <v>810090</v>
      </c>
      <c r="C1087" s="23" t="str">
        <f t="shared" si="576"/>
        <v>Nutmeg</v>
      </c>
      <c r="D1087" s="135"/>
      <c r="E1087" s="1027"/>
      <c r="F1087" s="87"/>
      <c r="G1087" s="87"/>
      <c r="H1087" s="1027"/>
      <c r="I1087" s="1030"/>
      <c r="J1087" s="1039" t="e">
        <f t="shared" ref="J1087:AR1087" si="615">IF(J287="",0,IF(OR(1=RANK(J687,J$412:J$790,0),(2=RANK(J687,J$412:J$790,0))),J687,J287))</f>
        <v>#DIV/0!</v>
      </c>
      <c r="K1087" s="1040" t="e">
        <f t="shared" si="615"/>
        <v>#DIV/0!</v>
      </c>
      <c r="L1087" s="1040" t="e">
        <f t="shared" si="615"/>
        <v>#DIV/0!</v>
      </c>
      <c r="M1087" s="1040" t="e">
        <f t="shared" si="615"/>
        <v>#DIV/0!</v>
      </c>
      <c r="N1087" s="1040" t="e">
        <f t="shared" si="615"/>
        <v>#DIV/0!</v>
      </c>
      <c r="O1087" s="1040" t="e">
        <f t="shared" si="615"/>
        <v>#DIV/0!</v>
      </c>
      <c r="P1087" s="1040" t="e">
        <f t="shared" si="615"/>
        <v>#DIV/0!</v>
      </c>
      <c r="Q1087" s="1040" t="e">
        <f t="shared" si="615"/>
        <v>#DIV/0!</v>
      </c>
      <c r="R1087" s="1040" t="e">
        <f t="shared" si="615"/>
        <v>#DIV/0!</v>
      </c>
      <c r="S1087" s="1040" t="e">
        <f t="shared" si="615"/>
        <v>#DIV/0!</v>
      </c>
      <c r="T1087" s="1040" t="e">
        <f t="shared" si="615"/>
        <v>#DIV/0!</v>
      </c>
      <c r="U1087" s="1040" t="e">
        <f t="shared" si="615"/>
        <v>#DIV/0!</v>
      </c>
      <c r="V1087" s="1040" t="e">
        <f t="shared" si="615"/>
        <v>#DIV/0!</v>
      </c>
      <c r="W1087" s="1040" t="e">
        <f t="shared" si="615"/>
        <v>#DIV/0!</v>
      </c>
      <c r="X1087" s="1040" t="e">
        <f t="shared" si="615"/>
        <v>#DIV/0!</v>
      </c>
      <c r="Y1087" s="1040" t="e">
        <f t="shared" si="615"/>
        <v>#DIV/0!</v>
      </c>
      <c r="Z1087" s="1040" t="e">
        <f t="shared" si="615"/>
        <v>#DIV/0!</v>
      </c>
      <c r="AA1087" s="1040" t="e">
        <f t="shared" si="615"/>
        <v>#DIV/0!</v>
      </c>
      <c r="AB1087" s="1040" t="e">
        <f t="shared" si="615"/>
        <v>#DIV/0!</v>
      </c>
      <c r="AC1087" s="1040" t="e">
        <f t="shared" si="615"/>
        <v>#DIV/0!</v>
      </c>
      <c r="AD1087" s="1040" t="e">
        <f t="shared" si="615"/>
        <v>#DIV/0!</v>
      </c>
      <c r="AE1087" s="1040" t="e">
        <f t="shared" si="615"/>
        <v>#DIV/0!</v>
      </c>
      <c r="AF1087" s="1040" t="e">
        <f t="shared" si="615"/>
        <v>#DIV/0!</v>
      </c>
      <c r="AG1087" s="1040" t="e">
        <f t="shared" si="615"/>
        <v>#DIV/0!</v>
      </c>
      <c r="AH1087" s="1040" t="e">
        <f t="shared" si="615"/>
        <v>#DIV/0!</v>
      </c>
      <c r="AI1087" s="1040" t="e">
        <f t="shared" si="615"/>
        <v>#DIV/0!</v>
      </c>
      <c r="AJ1087" s="1040" t="e">
        <f t="shared" si="615"/>
        <v>#DIV/0!</v>
      </c>
      <c r="AK1087" s="1040" t="e">
        <f t="shared" si="615"/>
        <v>#DIV/0!</v>
      </c>
      <c r="AL1087" s="1040" t="e">
        <f t="shared" si="615"/>
        <v>#DIV/0!</v>
      </c>
      <c r="AM1087" s="1040" t="e">
        <f t="shared" si="615"/>
        <v>#DIV/0!</v>
      </c>
      <c r="AN1087" s="1040" t="e">
        <f t="shared" si="615"/>
        <v>#DIV/0!</v>
      </c>
      <c r="AO1087" s="1040" t="e">
        <f t="shared" si="615"/>
        <v>#DIV/0!</v>
      </c>
      <c r="AP1087" s="1040" t="e">
        <f t="shared" si="615"/>
        <v>#DIV/0!</v>
      </c>
      <c r="AQ1087" s="1040" t="e">
        <f t="shared" si="615"/>
        <v>#DIV/0!</v>
      </c>
      <c r="AR1087" s="1040" t="e">
        <f t="shared" si="615"/>
        <v>#DIV/0!</v>
      </c>
      <c r="AS1087" s="1040" t="e">
        <f t="shared" ref="AS1087:AY1087" si="616">IF(AS287="",0,IF(OR(1=RANK(AS687,AS$412:AS$790,0),(2=RANK(AS687,AS$412:AS$790,0))),AS687,AS287))</f>
        <v>#DIV/0!</v>
      </c>
      <c r="AT1087" s="1040" t="e">
        <f t="shared" si="616"/>
        <v>#DIV/0!</v>
      </c>
      <c r="AU1087" s="1040">
        <f t="shared" si="616"/>
        <v>0</v>
      </c>
      <c r="AV1087" s="1040" t="e">
        <f t="shared" si="616"/>
        <v>#DIV/0!</v>
      </c>
      <c r="AW1087" s="1040" t="e">
        <f t="shared" si="616"/>
        <v>#DIV/0!</v>
      </c>
      <c r="AX1087" s="1040" t="e">
        <f t="shared" si="616"/>
        <v>#DIV/0!</v>
      </c>
      <c r="AY1087" s="1040" t="e">
        <f t="shared" si="616"/>
        <v>#DIV/0!</v>
      </c>
      <c r="AZ1087" s="1061" t="s">
        <v>21</v>
      </c>
      <c r="BC1087" s="29"/>
      <c r="BD1087" s="29"/>
      <c r="BE1087" s="13"/>
      <c r="BL1087" s="368"/>
    </row>
    <row r="1088" spans="1:64" ht="12" customHeight="1" x14ac:dyDescent="0.2">
      <c r="A1088" s="39">
        <f>acute_overview_children!A288</f>
        <v>4</v>
      </c>
      <c r="B1088" s="23">
        <f t="shared" si="575"/>
        <v>810990</v>
      </c>
      <c r="C1088" s="23" t="str">
        <f t="shared" si="576"/>
        <v>Other spices (seeds)</v>
      </c>
      <c r="D1088" s="135"/>
      <c r="E1088" s="1027"/>
      <c r="F1088" s="87"/>
      <c r="G1088" s="87"/>
      <c r="H1088" s="1027"/>
      <c r="I1088" s="1030"/>
      <c r="J1088" s="1039" t="e">
        <f t="shared" ref="J1088:AR1088" si="617">IF(J288="",0,IF(OR(1=RANK(J688,J$412:J$790,0),(2=RANK(J688,J$412:J$790,0))),J688,J288))</f>
        <v>#DIV/0!</v>
      </c>
      <c r="K1088" s="1040" t="e">
        <f t="shared" si="617"/>
        <v>#DIV/0!</v>
      </c>
      <c r="L1088" s="1040" t="e">
        <f t="shared" si="617"/>
        <v>#DIV/0!</v>
      </c>
      <c r="M1088" s="1040" t="e">
        <f t="shared" si="617"/>
        <v>#DIV/0!</v>
      </c>
      <c r="N1088" s="1040" t="e">
        <f t="shared" si="617"/>
        <v>#DIV/0!</v>
      </c>
      <c r="O1088" s="1040" t="e">
        <f t="shared" si="617"/>
        <v>#DIV/0!</v>
      </c>
      <c r="P1088" s="1040" t="e">
        <f t="shared" si="617"/>
        <v>#DIV/0!</v>
      </c>
      <c r="Q1088" s="1040" t="e">
        <f t="shared" si="617"/>
        <v>#DIV/0!</v>
      </c>
      <c r="R1088" s="1040" t="e">
        <f t="shared" si="617"/>
        <v>#DIV/0!</v>
      </c>
      <c r="S1088" s="1040" t="e">
        <f t="shared" si="617"/>
        <v>#DIV/0!</v>
      </c>
      <c r="T1088" s="1040" t="e">
        <f t="shared" si="617"/>
        <v>#DIV/0!</v>
      </c>
      <c r="U1088" s="1040" t="e">
        <f t="shared" si="617"/>
        <v>#DIV/0!</v>
      </c>
      <c r="V1088" s="1040" t="e">
        <f t="shared" si="617"/>
        <v>#DIV/0!</v>
      </c>
      <c r="W1088" s="1040" t="e">
        <f t="shared" si="617"/>
        <v>#DIV/0!</v>
      </c>
      <c r="X1088" s="1040" t="e">
        <f t="shared" si="617"/>
        <v>#DIV/0!</v>
      </c>
      <c r="Y1088" s="1040" t="e">
        <f t="shared" si="617"/>
        <v>#DIV/0!</v>
      </c>
      <c r="Z1088" s="1040" t="e">
        <f t="shared" si="617"/>
        <v>#DIV/0!</v>
      </c>
      <c r="AA1088" s="1040" t="e">
        <f t="shared" si="617"/>
        <v>#DIV/0!</v>
      </c>
      <c r="AB1088" s="1040" t="e">
        <f t="shared" si="617"/>
        <v>#DIV/0!</v>
      </c>
      <c r="AC1088" s="1040" t="e">
        <f t="shared" si="617"/>
        <v>#DIV/0!</v>
      </c>
      <c r="AD1088" s="1040" t="e">
        <f t="shared" si="617"/>
        <v>#DIV/0!</v>
      </c>
      <c r="AE1088" s="1040" t="e">
        <f t="shared" si="617"/>
        <v>#DIV/0!</v>
      </c>
      <c r="AF1088" s="1040" t="e">
        <f t="shared" si="617"/>
        <v>#DIV/0!</v>
      </c>
      <c r="AG1088" s="1040" t="e">
        <f t="shared" si="617"/>
        <v>#DIV/0!</v>
      </c>
      <c r="AH1088" s="1040" t="e">
        <f t="shared" si="617"/>
        <v>#DIV/0!</v>
      </c>
      <c r="AI1088" s="1040" t="e">
        <f t="shared" si="617"/>
        <v>#DIV/0!</v>
      </c>
      <c r="AJ1088" s="1040" t="e">
        <f t="shared" si="617"/>
        <v>#DIV/0!</v>
      </c>
      <c r="AK1088" s="1040" t="e">
        <f t="shared" si="617"/>
        <v>#DIV/0!</v>
      </c>
      <c r="AL1088" s="1040" t="e">
        <f t="shared" si="617"/>
        <v>#DIV/0!</v>
      </c>
      <c r="AM1088" s="1040" t="e">
        <f t="shared" si="617"/>
        <v>#DIV/0!</v>
      </c>
      <c r="AN1088" s="1040" t="e">
        <f t="shared" si="617"/>
        <v>#DIV/0!</v>
      </c>
      <c r="AO1088" s="1040" t="e">
        <f t="shared" si="617"/>
        <v>#DIV/0!</v>
      </c>
      <c r="AP1088" s="1040" t="e">
        <f t="shared" si="617"/>
        <v>#DIV/0!</v>
      </c>
      <c r="AQ1088" s="1040" t="e">
        <f t="shared" si="617"/>
        <v>#DIV/0!</v>
      </c>
      <c r="AR1088" s="1040" t="e">
        <f t="shared" si="617"/>
        <v>#DIV/0!</v>
      </c>
      <c r="AS1088" s="1040" t="e">
        <f t="shared" ref="AS1088:AY1088" si="618">IF(AS288="",0,IF(OR(1=RANK(AS688,AS$412:AS$790,0),(2=RANK(AS688,AS$412:AS$790,0))),AS688,AS288))</f>
        <v>#DIV/0!</v>
      </c>
      <c r="AT1088" s="1040" t="e">
        <f t="shared" si="618"/>
        <v>#DIV/0!</v>
      </c>
      <c r="AU1088" s="1040">
        <f t="shared" si="618"/>
        <v>0</v>
      </c>
      <c r="AV1088" s="1040" t="e">
        <f t="shared" si="618"/>
        <v>#DIV/0!</v>
      </c>
      <c r="AW1088" s="1040" t="e">
        <f t="shared" si="618"/>
        <v>#DIV/0!</v>
      </c>
      <c r="AX1088" s="1040" t="e">
        <f t="shared" si="618"/>
        <v>#DIV/0!</v>
      </c>
      <c r="AY1088" s="1040" t="e">
        <f t="shared" si="618"/>
        <v>#DIV/0!</v>
      </c>
      <c r="AZ1088" s="1061" t="s">
        <v>21</v>
      </c>
      <c r="BC1088" s="29"/>
      <c r="BD1088" s="29"/>
      <c r="BE1088" s="13"/>
      <c r="BL1088" s="368"/>
    </row>
    <row r="1089" spans="1:64" ht="12" customHeight="1" x14ac:dyDescent="0.2">
      <c r="A1089" s="515">
        <f>acute_overview_children!A289</f>
        <v>2</v>
      </c>
      <c r="B1089" s="131">
        <f t="shared" si="575"/>
        <v>820000</v>
      </c>
      <c r="C1089" s="131" t="str">
        <f t="shared" si="576"/>
        <v>Spices (fruits)</v>
      </c>
      <c r="D1089" s="1035"/>
      <c r="E1089" s="1027"/>
      <c r="F1089" s="87"/>
      <c r="G1089" s="87"/>
      <c r="H1089" s="1027"/>
      <c r="I1089" s="1030"/>
      <c r="J1089" s="1037" t="e">
        <f t="shared" ref="J1089:AR1089" si="619">IF(J289="",0,IF(OR(1=RANK(J689,J$412:J$790,0),(2=RANK(J689,J$412:J$790,0))),J689,J289))</f>
        <v>#DIV/0!</v>
      </c>
      <c r="K1089" s="1038" t="e">
        <f t="shared" si="619"/>
        <v>#DIV/0!</v>
      </c>
      <c r="L1089" s="1038" t="e">
        <f t="shared" si="619"/>
        <v>#DIV/0!</v>
      </c>
      <c r="M1089" s="1038" t="e">
        <f t="shared" si="619"/>
        <v>#DIV/0!</v>
      </c>
      <c r="N1089" s="1038" t="e">
        <f t="shared" si="619"/>
        <v>#DIV/0!</v>
      </c>
      <c r="O1089" s="1038" t="e">
        <f t="shared" si="619"/>
        <v>#DIV/0!</v>
      </c>
      <c r="P1089" s="1038" t="e">
        <f t="shared" si="619"/>
        <v>#DIV/0!</v>
      </c>
      <c r="Q1089" s="1038" t="e">
        <f t="shared" si="619"/>
        <v>#DIV/0!</v>
      </c>
      <c r="R1089" s="1038" t="e">
        <f t="shared" si="619"/>
        <v>#DIV/0!</v>
      </c>
      <c r="S1089" s="1038" t="e">
        <f t="shared" si="619"/>
        <v>#DIV/0!</v>
      </c>
      <c r="T1089" s="1038" t="e">
        <f t="shared" si="619"/>
        <v>#DIV/0!</v>
      </c>
      <c r="U1089" s="1038" t="e">
        <f t="shared" si="619"/>
        <v>#DIV/0!</v>
      </c>
      <c r="V1089" s="1038" t="e">
        <f t="shared" si="619"/>
        <v>#DIV/0!</v>
      </c>
      <c r="W1089" s="1038" t="e">
        <f t="shared" si="619"/>
        <v>#DIV/0!</v>
      </c>
      <c r="X1089" s="1038" t="e">
        <f t="shared" si="619"/>
        <v>#DIV/0!</v>
      </c>
      <c r="Y1089" s="1038" t="e">
        <f t="shared" si="619"/>
        <v>#DIV/0!</v>
      </c>
      <c r="Z1089" s="1038" t="e">
        <f t="shared" si="619"/>
        <v>#DIV/0!</v>
      </c>
      <c r="AA1089" s="1038" t="e">
        <f t="shared" si="619"/>
        <v>#DIV/0!</v>
      </c>
      <c r="AB1089" s="1038" t="e">
        <f t="shared" si="619"/>
        <v>#DIV/0!</v>
      </c>
      <c r="AC1089" s="1038" t="e">
        <f t="shared" si="619"/>
        <v>#DIV/0!</v>
      </c>
      <c r="AD1089" s="1038" t="e">
        <f t="shared" si="619"/>
        <v>#DIV/0!</v>
      </c>
      <c r="AE1089" s="1038" t="e">
        <f t="shared" si="619"/>
        <v>#DIV/0!</v>
      </c>
      <c r="AF1089" s="1038" t="e">
        <f t="shared" si="619"/>
        <v>#DIV/0!</v>
      </c>
      <c r="AG1089" s="1038" t="e">
        <f t="shared" si="619"/>
        <v>#DIV/0!</v>
      </c>
      <c r="AH1089" s="1038" t="e">
        <f t="shared" si="619"/>
        <v>#DIV/0!</v>
      </c>
      <c r="AI1089" s="1038" t="e">
        <f t="shared" si="619"/>
        <v>#DIV/0!</v>
      </c>
      <c r="AJ1089" s="1038" t="e">
        <f t="shared" si="619"/>
        <v>#DIV/0!</v>
      </c>
      <c r="AK1089" s="1038" t="e">
        <f t="shared" si="619"/>
        <v>#DIV/0!</v>
      </c>
      <c r="AL1089" s="1038" t="e">
        <f t="shared" si="619"/>
        <v>#DIV/0!</v>
      </c>
      <c r="AM1089" s="1038" t="e">
        <f t="shared" si="619"/>
        <v>#DIV/0!</v>
      </c>
      <c r="AN1089" s="1038" t="e">
        <f t="shared" si="619"/>
        <v>#DIV/0!</v>
      </c>
      <c r="AO1089" s="1038" t="e">
        <f t="shared" si="619"/>
        <v>#DIV/0!</v>
      </c>
      <c r="AP1089" s="1038" t="e">
        <f t="shared" si="619"/>
        <v>#DIV/0!</v>
      </c>
      <c r="AQ1089" s="1038" t="e">
        <f t="shared" si="619"/>
        <v>#DIV/0!</v>
      </c>
      <c r="AR1089" s="1038" t="e">
        <f t="shared" si="619"/>
        <v>#DIV/0!</v>
      </c>
      <c r="AS1089" s="1038" t="e">
        <f t="shared" ref="AS1089:AY1089" si="620">IF(AS289="",0,IF(OR(1=RANK(AS689,AS$412:AS$790,0),(2=RANK(AS689,AS$412:AS$790,0))),AS689,AS289))</f>
        <v>#DIV/0!</v>
      </c>
      <c r="AT1089" s="1038" t="e">
        <f t="shared" si="620"/>
        <v>#DIV/0!</v>
      </c>
      <c r="AU1089" s="1038">
        <f t="shared" si="620"/>
        <v>0</v>
      </c>
      <c r="AV1089" s="1038" t="e">
        <f t="shared" si="620"/>
        <v>#DIV/0!</v>
      </c>
      <c r="AW1089" s="1038" t="e">
        <f t="shared" si="620"/>
        <v>#DIV/0!</v>
      </c>
      <c r="AX1089" s="1038" t="e">
        <f t="shared" si="620"/>
        <v>#DIV/0!</v>
      </c>
      <c r="AY1089" s="1038" t="e">
        <f t="shared" si="620"/>
        <v>#DIV/0!</v>
      </c>
      <c r="AZ1089" s="1061" t="s">
        <v>21</v>
      </c>
      <c r="BC1089" s="29"/>
      <c r="BD1089" s="29"/>
      <c r="BE1089" s="13"/>
      <c r="BL1089" s="368"/>
    </row>
    <row r="1090" spans="1:64" ht="12" customHeight="1" x14ac:dyDescent="0.2">
      <c r="A1090" s="39">
        <f>acute_overview_children!A290</f>
        <v>4</v>
      </c>
      <c r="B1090" s="23">
        <f t="shared" si="575"/>
        <v>820010</v>
      </c>
      <c r="C1090" s="23" t="str">
        <f t="shared" si="576"/>
        <v>Allspice/pimento</v>
      </c>
      <c r="D1090" s="135"/>
      <c r="E1090" s="1027"/>
      <c r="F1090" s="87"/>
      <c r="G1090" s="87"/>
      <c r="H1090" s="1027"/>
      <c r="I1090" s="1030"/>
      <c r="J1090" s="1039" t="e">
        <f t="shared" ref="J1090:AR1090" si="621">IF(J290="",0,IF(OR(1=RANK(J690,J$412:J$790,0),(2=RANK(J690,J$412:J$790,0))),J690,J290))</f>
        <v>#DIV/0!</v>
      </c>
      <c r="K1090" s="1040" t="e">
        <f t="shared" si="621"/>
        <v>#DIV/0!</v>
      </c>
      <c r="L1090" s="1040" t="e">
        <f t="shared" si="621"/>
        <v>#DIV/0!</v>
      </c>
      <c r="M1090" s="1040" t="e">
        <f t="shared" si="621"/>
        <v>#DIV/0!</v>
      </c>
      <c r="N1090" s="1040" t="e">
        <f t="shared" si="621"/>
        <v>#DIV/0!</v>
      </c>
      <c r="O1090" s="1040" t="e">
        <f t="shared" si="621"/>
        <v>#DIV/0!</v>
      </c>
      <c r="P1090" s="1040" t="e">
        <f t="shared" si="621"/>
        <v>#DIV/0!</v>
      </c>
      <c r="Q1090" s="1040" t="e">
        <f t="shared" si="621"/>
        <v>#DIV/0!</v>
      </c>
      <c r="R1090" s="1040" t="e">
        <f t="shared" si="621"/>
        <v>#DIV/0!</v>
      </c>
      <c r="S1090" s="1040" t="e">
        <f t="shared" si="621"/>
        <v>#DIV/0!</v>
      </c>
      <c r="T1090" s="1040" t="e">
        <f t="shared" si="621"/>
        <v>#DIV/0!</v>
      </c>
      <c r="U1090" s="1040" t="e">
        <f t="shared" si="621"/>
        <v>#DIV/0!</v>
      </c>
      <c r="V1090" s="1040" t="e">
        <f t="shared" si="621"/>
        <v>#DIV/0!</v>
      </c>
      <c r="W1090" s="1040" t="e">
        <f t="shared" si="621"/>
        <v>#DIV/0!</v>
      </c>
      <c r="X1090" s="1040" t="e">
        <f t="shared" si="621"/>
        <v>#DIV/0!</v>
      </c>
      <c r="Y1090" s="1040" t="e">
        <f t="shared" si="621"/>
        <v>#DIV/0!</v>
      </c>
      <c r="Z1090" s="1040" t="e">
        <f t="shared" si="621"/>
        <v>#DIV/0!</v>
      </c>
      <c r="AA1090" s="1040" t="e">
        <f t="shared" si="621"/>
        <v>#DIV/0!</v>
      </c>
      <c r="AB1090" s="1040" t="e">
        <f t="shared" si="621"/>
        <v>#DIV/0!</v>
      </c>
      <c r="AC1090" s="1040" t="e">
        <f t="shared" si="621"/>
        <v>#DIV/0!</v>
      </c>
      <c r="AD1090" s="1040" t="e">
        <f t="shared" si="621"/>
        <v>#DIV/0!</v>
      </c>
      <c r="AE1090" s="1040" t="e">
        <f t="shared" si="621"/>
        <v>#DIV/0!</v>
      </c>
      <c r="AF1090" s="1040" t="e">
        <f t="shared" si="621"/>
        <v>#DIV/0!</v>
      </c>
      <c r="AG1090" s="1040" t="e">
        <f t="shared" si="621"/>
        <v>#DIV/0!</v>
      </c>
      <c r="AH1090" s="1040" t="e">
        <f t="shared" si="621"/>
        <v>#DIV/0!</v>
      </c>
      <c r="AI1090" s="1040" t="e">
        <f t="shared" si="621"/>
        <v>#DIV/0!</v>
      </c>
      <c r="AJ1090" s="1040" t="e">
        <f t="shared" si="621"/>
        <v>#DIV/0!</v>
      </c>
      <c r="AK1090" s="1040" t="e">
        <f t="shared" si="621"/>
        <v>#DIV/0!</v>
      </c>
      <c r="AL1090" s="1040" t="e">
        <f t="shared" si="621"/>
        <v>#DIV/0!</v>
      </c>
      <c r="AM1090" s="1040" t="e">
        <f t="shared" si="621"/>
        <v>#DIV/0!</v>
      </c>
      <c r="AN1090" s="1040" t="e">
        <f t="shared" si="621"/>
        <v>#DIV/0!</v>
      </c>
      <c r="AO1090" s="1040" t="e">
        <f t="shared" si="621"/>
        <v>#DIV/0!</v>
      </c>
      <c r="AP1090" s="1040" t="e">
        <f t="shared" si="621"/>
        <v>#DIV/0!</v>
      </c>
      <c r="AQ1090" s="1040" t="e">
        <f t="shared" si="621"/>
        <v>#DIV/0!</v>
      </c>
      <c r="AR1090" s="1040" t="e">
        <f t="shared" si="621"/>
        <v>#DIV/0!</v>
      </c>
      <c r="AS1090" s="1040" t="e">
        <f t="shared" ref="AS1090:AY1090" si="622">IF(AS290="",0,IF(OR(1=RANK(AS690,AS$412:AS$790,0),(2=RANK(AS690,AS$412:AS$790,0))),AS690,AS290))</f>
        <v>#DIV/0!</v>
      </c>
      <c r="AT1090" s="1040" t="e">
        <f t="shared" si="622"/>
        <v>#DIV/0!</v>
      </c>
      <c r="AU1090" s="1040">
        <f t="shared" si="622"/>
        <v>0</v>
      </c>
      <c r="AV1090" s="1040" t="e">
        <f t="shared" si="622"/>
        <v>#DIV/0!</v>
      </c>
      <c r="AW1090" s="1040" t="e">
        <f t="shared" si="622"/>
        <v>#DIV/0!</v>
      </c>
      <c r="AX1090" s="1040" t="e">
        <f t="shared" si="622"/>
        <v>#DIV/0!</v>
      </c>
      <c r="AY1090" s="1040" t="e">
        <f t="shared" si="622"/>
        <v>#DIV/0!</v>
      </c>
      <c r="AZ1090" s="1061" t="s">
        <v>21</v>
      </c>
      <c r="BC1090" s="29"/>
      <c r="BD1090" s="29"/>
      <c r="BE1090" s="13"/>
      <c r="BL1090" s="368"/>
    </row>
    <row r="1091" spans="1:64" ht="12" customHeight="1" x14ac:dyDescent="0.2">
      <c r="A1091" s="39">
        <f>acute_overview_children!A291</f>
        <v>4</v>
      </c>
      <c r="B1091" s="23">
        <f t="shared" si="575"/>
        <v>820020</v>
      </c>
      <c r="C1091" s="23" t="str">
        <f t="shared" si="576"/>
        <v>Sichuan pepper</v>
      </c>
      <c r="D1091" s="135"/>
      <c r="E1091" s="1027"/>
      <c r="F1091" s="87"/>
      <c r="G1091" s="87"/>
      <c r="H1091" s="1027"/>
      <c r="I1091" s="1030"/>
      <c r="J1091" s="1039" t="e">
        <f t="shared" ref="J1091:AR1091" si="623">IF(J291="",0,IF(OR(1=RANK(J691,J$412:J$790,0),(2=RANK(J691,J$412:J$790,0))),J691,J291))</f>
        <v>#DIV/0!</v>
      </c>
      <c r="K1091" s="1040" t="e">
        <f t="shared" si="623"/>
        <v>#DIV/0!</v>
      </c>
      <c r="L1091" s="1040" t="e">
        <f t="shared" si="623"/>
        <v>#DIV/0!</v>
      </c>
      <c r="M1091" s="1040" t="e">
        <f t="shared" si="623"/>
        <v>#DIV/0!</v>
      </c>
      <c r="N1091" s="1040" t="e">
        <f t="shared" si="623"/>
        <v>#DIV/0!</v>
      </c>
      <c r="O1091" s="1040" t="e">
        <f t="shared" si="623"/>
        <v>#DIV/0!</v>
      </c>
      <c r="P1091" s="1040" t="e">
        <f t="shared" si="623"/>
        <v>#DIV/0!</v>
      </c>
      <c r="Q1091" s="1040" t="e">
        <f t="shared" si="623"/>
        <v>#DIV/0!</v>
      </c>
      <c r="R1091" s="1040" t="e">
        <f t="shared" si="623"/>
        <v>#DIV/0!</v>
      </c>
      <c r="S1091" s="1040" t="e">
        <f t="shared" si="623"/>
        <v>#DIV/0!</v>
      </c>
      <c r="T1091" s="1040" t="e">
        <f t="shared" si="623"/>
        <v>#DIV/0!</v>
      </c>
      <c r="U1091" s="1040" t="e">
        <f t="shared" si="623"/>
        <v>#DIV/0!</v>
      </c>
      <c r="V1091" s="1040" t="e">
        <f t="shared" si="623"/>
        <v>#DIV/0!</v>
      </c>
      <c r="W1091" s="1040" t="e">
        <f t="shared" si="623"/>
        <v>#DIV/0!</v>
      </c>
      <c r="X1091" s="1040" t="e">
        <f t="shared" si="623"/>
        <v>#DIV/0!</v>
      </c>
      <c r="Y1091" s="1040" t="e">
        <f t="shared" si="623"/>
        <v>#DIV/0!</v>
      </c>
      <c r="Z1091" s="1040" t="e">
        <f t="shared" si="623"/>
        <v>#DIV/0!</v>
      </c>
      <c r="AA1091" s="1040" t="e">
        <f t="shared" si="623"/>
        <v>#DIV/0!</v>
      </c>
      <c r="AB1091" s="1040" t="e">
        <f t="shared" si="623"/>
        <v>#DIV/0!</v>
      </c>
      <c r="AC1091" s="1040" t="e">
        <f t="shared" si="623"/>
        <v>#DIV/0!</v>
      </c>
      <c r="AD1091" s="1040" t="e">
        <f t="shared" si="623"/>
        <v>#DIV/0!</v>
      </c>
      <c r="AE1091" s="1040" t="e">
        <f t="shared" si="623"/>
        <v>#DIV/0!</v>
      </c>
      <c r="AF1091" s="1040" t="e">
        <f t="shared" si="623"/>
        <v>#DIV/0!</v>
      </c>
      <c r="AG1091" s="1040" t="e">
        <f t="shared" si="623"/>
        <v>#DIV/0!</v>
      </c>
      <c r="AH1091" s="1040" t="e">
        <f t="shared" si="623"/>
        <v>#DIV/0!</v>
      </c>
      <c r="AI1091" s="1040" t="e">
        <f t="shared" si="623"/>
        <v>#DIV/0!</v>
      </c>
      <c r="AJ1091" s="1040" t="e">
        <f t="shared" si="623"/>
        <v>#DIV/0!</v>
      </c>
      <c r="AK1091" s="1040" t="e">
        <f t="shared" si="623"/>
        <v>#DIV/0!</v>
      </c>
      <c r="AL1091" s="1040" t="e">
        <f t="shared" si="623"/>
        <v>#DIV/0!</v>
      </c>
      <c r="AM1091" s="1040" t="e">
        <f t="shared" si="623"/>
        <v>#DIV/0!</v>
      </c>
      <c r="AN1091" s="1040" t="e">
        <f t="shared" si="623"/>
        <v>#DIV/0!</v>
      </c>
      <c r="AO1091" s="1040" t="e">
        <f t="shared" si="623"/>
        <v>#DIV/0!</v>
      </c>
      <c r="AP1091" s="1040" t="e">
        <f t="shared" si="623"/>
        <v>#DIV/0!</v>
      </c>
      <c r="AQ1091" s="1040" t="e">
        <f t="shared" si="623"/>
        <v>#DIV/0!</v>
      </c>
      <c r="AR1091" s="1040" t="e">
        <f t="shared" si="623"/>
        <v>#DIV/0!</v>
      </c>
      <c r="AS1091" s="1040" t="e">
        <f t="shared" ref="AS1091:AY1091" si="624">IF(AS291="",0,IF(OR(1=RANK(AS691,AS$412:AS$790,0),(2=RANK(AS691,AS$412:AS$790,0))),AS691,AS291))</f>
        <v>#DIV/0!</v>
      </c>
      <c r="AT1091" s="1040" t="e">
        <f t="shared" si="624"/>
        <v>#DIV/0!</v>
      </c>
      <c r="AU1091" s="1040">
        <f t="shared" si="624"/>
        <v>0</v>
      </c>
      <c r="AV1091" s="1040" t="e">
        <f t="shared" si="624"/>
        <v>#DIV/0!</v>
      </c>
      <c r="AW1091" s="1040" t="e">
        <f t="shared" si="624"/>
        <v>#DIV/0!</v>
      </c>
      <c r="AX1091" s="1040" t="e">
        <f t="shared" si="624"/>
        <v>#DIV/0!</v>
      </c>
      <c r="AY1091" s="1040" t="e">
        <f t="shared" si="624"/>
        <v>#DIV/0!</v>
      </c>
      <c r="AZ1091" s="1061" t="s">
        <v>21</v>
      </c>
      <c r="BC1091" s="29"/>
      <c r="BD1091" s="29"/>
      <c r="BE1091" s="13"/>
      <c r="BL1091" s="368"/>
    </row>
    <row r="1092" spans="1:64" ht="12" customHeight="1" x14ac:dyDescent="0.2">
      <c r="A1092" s="39">
        <f>acute_overview_children!A292</f>
        <v>4</v>
      </c>
      <c r="B1092" s="23">
        <f t="shared" si="575"/>
        <v>820030</v>
      </c>
      <c r="C1092" s="23" t="str">
        <f t="shared" si="576"/>
        <v xml:space="preserve">Caraway </v>
      </c>
      <c r="D1092" s="135"/>
      <c r="E1092" s="1027"/>
      <c r="F1092" s="87"/>
      <c r="G1092" s="87"/>
      <c r="H1092" s="1027"/>
      <c r="I1092" s="1030"/>
      <c r="J1092" s="1039" t="e">
        <f t="shared" ref="J1092:AR1092" si="625">IF(J292="",0,IF(OR(1=RANK(J692,J$412:J$790,0),(2=RANK(J692,J$412:J$790,0))),J692,J292))</f>
        <v>#DIV/0!</v>
      </c>
      <c r="K1092" s="1040" t="e">
        <f t="shared" si="625"/>
        <v>#DIV/0!</v>
      </c>
      <c r="L1092" s="1040" t="e">
        <f t="shared" si="625"/>
        <v>#DIV/0!</v>
      </c>
      <c r="M1092" s="1040" t="e">
        <f t="shared" si="625"/>
        <v>#DIV/0!</v>
      </c>
      <c r="N1092" s="1040" t="e">
        <f t="shared" si="625"/>
        <v>#DIV/0!</v>
      </c>
      <c r="O1092" s="1040" t="e">
        <f t="shared" si="625"/>
        <v>#DIV/0!</v>
      </c>
      <c r="P1092" s="1040" t="e">
        <f t="shared" si="625"/>
        <v>#DIV/0!</v>
      </c>
      <c r="Q1092" s="1040" t="e">
        <f t="shared" si="625"/>
        <v>#DIV/0!</v>
      </c>
      <c r="R1092" s="1040" t="e">
        <f t="shared" si="625"/>
        <v>#DIV/0!</v>
      </c>
      <c r="S1092" s="1040" t="e">
        <f t="shared" si="625"/>
        <v>#DIV/0!</v>
      </c>
      <c r="T1092" s="1040" t="e">
        <f t="shared" si="625"/>
        <v>#DIV/0!</v>
      </c>
      <c r="U1092" s="1040" t="e">
        <f t="shared" si="625"/>
        <v>#DIV/0!</v>
      </c>
      <c r="V1092" s="1040" t="e">
        <f t="shared" si="625"/>
        <v>#DIV/0!</v>
      </c>
      <c r="W1092" s="1040" t="e">
        <f t="shared" si="625"/>
        <v>#DIV/0!</v>
      </c>
      <c r="X1092" s="1040" t="e">
        <f t="shared" si="625"/>
        <v>#DIV/0!</v>
      </c>
      <c r="Y1092" s="1040" t="e">
        <f t="shared" si="625"/>
        <v>#DIV/0!</v>
      </c>
      <c r="Z1092" s="1040" t="e">
        <f t="shared" si="625"/>
        <v>#DIV/0!</v>
      </c>
      <c r="AA1092" s="1040" t="e">
        <f t="shared" si="625"/>
        <v>#DIV/0!</v>
      </c>
      <c r="AB1092" s="1040" t="e">
        <f t="shared" si="625"/>
        <v>#DIV/0!</v>
      </c>
      <c r="AC1092" s="1040" t="e">
        <f t="shared" si="625"/>
        <v>#DIV/0!</v>
      </c>
      <c r="AD1092" s="1040" t="e">
        <f t="shared" si="625"/>
        <v>#DIV/0!</v>
      </c>
      <c r="AE1092" s="1040" t="e">
        <f t="shared" si="625"/>
        <v>#DIV/0!</v>
      </c>
      <c r="AF1092" s="1040" t="e">
        <f t="shared" si="625"/>
        <v>#DIV/0!</v>
      </c>
      <c r="AG1092" s="1040" t="e">
        <f t="shared" si="625"/>
        <v>#DIV/0!</v>
      </c>
      <c r="AH1092" s="1040" t="e">
        <f t="shared" si="625"/>
        <v>#DIV/0!</v>
      </c>
      <c r="AI1092" s="1040" t="e">
        <f t="shared" si="625"/>
        <v>#DIV/0!</v>
      </c>
      <c r="AJ1092" s="1040" t="e">
        <f t="shared" si="625"/>
        <v>#DIV/0!</v>
      </c>
      <c r="AK1092" s="1040" t="e">
        <f t="shared" si="625"/>
        <v>#DIV/0!</v>
      </c>
      <c r="AL1092" s="1040" t="e">
        <f t="shared" si="625"/>
        <v>#DIV/0!</v>
      </c>
      <c r="AM1092" s="1040" t="e">
        <f t="shared" si="625"/>
        <v>#DIV/0!</v>
      </c>
      <c r="AN1092" s="1040" t="e">
        <f t="shared" si="625"/>
        <v>#DIV/0!</v>
      </c>
      <c r="AO1092" s="1040" t="e">
        <f t="shared" si="625"/>
        <v>#DIV/0!</v>
      </c>
      <c r="AP1092" s="1040" t="e">
        <f t="shared" si="625"/>
        <v>#DIV/0!</v>
      </c>
      <c r="AQ1092" s="1040" t="e">
        <f t="shared" si="625"/>
        <v>#DIV/0!</v>
      </c>
      <c r="AR1092" s="1040" t="e">
        <f t="shared" si="625"/>
        <v>#DIV/0!</v>
      </c>
      <c r="AS1092" s="1040" t="e">
        <f t="shared" ref="AS1092:AY1092" si="626">IF(AS292="",0,IF(OR(1=RANK(AS692,AS$412:AS$790,0),(2=RANK(AS692,AS$412:AS$790,0))),AS692,AS292))</f>
        <v>#DIV/0!</v>
      </c>
      <c r="AT1092" s="1040" t="e">
        <f t="shared" si="626"/>
        <v>#DIV/0!</v>
      </c>
      <c r="AU1092" s="1040">
        <f t="shared" si="626"/>
        <v>0</v>
      </c>
      <c r="AV1092" s="1040" t="e">
        <f t="shared" si="626"/>
        <v>#DIV/0!</v>
      </c>
      <c r="AW1092" s="1040" t="e">
        <f t="shared" si="626"/>
        <v>#DIV/0!</v>
      </c>
      <c r="AX1092" s="1040" t="e">
        <f t="shared" si="626"/>
        <v>#DIV/0!</v>
      </c>
      <c r="AY1092" s="1040" t="e">
        <f t="shared" si="626"/>
        <v>#DIV/0!</v>
      </c>
      <c r="AZ1092" s="1061" t="s">
        <v>21</v>
      </c>
      <c r="BC1092" s="29"/>
      <c r="BD1092" s="29"/>
      <c r="BE1092" s="13"/>
      <c r="BL1092" s="368"/>
    </row>
    <row r="1093" spans="1:64" ht="12" customHeight="1" x14ac:dyDescent="0.2">
      <c r="A1093" s="39">
        <f>acute_overview_children!A293</f>
        <v>4</v>
      </c>
      <c r="B1093" s="23">
        <f t="shared" si="575"/>
        <v>820040</v>
      </c>
      <c r="C1093" s="23" t="str">
        <f t="shared" si="576"/>
        <v>Cardamom</v>
      </c>
      <c r="D1093" s="135"/>
      <c r="E1093" s="1027"/>
      <c r="F1093" s="87"/>
      <c r="G1093" s="87"/>
      <c r="H1093" s="1027"/>
      <c r="I1093" s="1030"/>
      <c r="J1093" s="1039" t="e">
        <f t="shared" ref="J1093:AR1093" si="627">IF(J293="",0,IF(OR(1=RANK(J693,J$412:J$790,0),(2=RANK(J693,J$412:J$790,0))),J693,J293))</f>
        <v>#DIV/0!</v>
      </c>
      <c r="K1093" s="1040" t="e">
        <f t="shared" si="627"/>
        <v>#DIV/0!</v>
      </c>
      <c r="L1093" s="1040" t="e">
        <f t="shared" si="627"/>
        <v>#DIV/0!</v>
      </c>
      <c r="M1093" s="1040" t="e">
        <f t="shared" si="627"/>
        <v>#DIV/0!</v>
      </c>
      <c r="N1093" s="1040" t="e">
        <f t="shared" si="627"/>
        <v>#DIV/0!</v>
      </c>
      <c r="O1093" s="1040" t="e">
        <f t="shared" si="627"/>
        <v>#DIV/0!</v>
      </c>
      <c r="P1093" s="1040" t="e">
        <f t="shared" si="627"/>
        <v>#DIV/0!</v>
      </c>
      <c r="Q1093" s="1040" t="e">
        <f t="shared" si="627"/>
        <v>#DIV/0!</v>
      </c>
      <c r="R1093" s="1040" t="e">
        <f t="shared" si="627"/>
        <v>#DIV/0!</v>
      </c>
      <c r="S1093" s="1040" t="e">
        <f t="shared" si="627"/>
        <v>#DIV/0!</v>
      </c>
      <c r="T1093" s="1040" t="e">
        <f t="shared" si="627"/>
        <v>#DIV/0!</v>
      </c>
      <c r="U1093" s="1040" t="e">
        <f t="shared" si="627"/>
        <v>#DIV/0!</v>
      </c>
      <c r="V1093" s="1040" t="e">
        <f t="shared" si="627"/>
        <v>#DIV/0!</v>
      </c>
      <c r="W1093" s="1040" t="e">
        <f t="shared" si="627"/>
        <v>#DIV/0!</v>
      </c>
      <c r="X1093" s="1040" t="e">
        <f t="shared" si="627"/>
        <v>#DIV/0!</v>
      </c>
      <c r="Y1093" s="1040" t="e">
        <f t="shared" si="627"/>
        <v>#DIV/0!</v>
      </c>
      <c r="Z1093" s="1040" t="e">
        <f t="shared" si="627"/>
        <v>#DIV/0!</v>
      </c>
      <c r="AA1093" s="1040" t="e">
        <f t="shared" si="627"/>
        <v>#DIV/0!</v>
      </c>
      <c r="AB1093" s="1040" t="e">
        <f t="shared" si="627"/>
        <v>#DIV/0!</v>
      </c>
      <c r="AC1093" s="1040" t="e">
        <f t="shared" si="627"/>
        <v>#DIV/0!</v>
      </c>
      <c r="AD1093" s="1040" t="e">
        <f t="shared" si="627"/>
        <v>#DIV/0!</v>
      </c>
      <c r="AE1093" s="1040" t="e">
        <f t="shared" si="627"/>
        <v>#DIV/0!</v>
      </c>
      <c r="AF1093" s="1040" t="e">
        <f t="shared" si="627"/>
        <v>#DIV/0!</v>
      </c>
      <c r="AG1093" s="1040" t="e">
        <f t="shared" si="627"/>
        <v>#DIV/0!</v>
      </c>
      <c r="AH1093" s="1040" t="e">
        <f t="shared" si="627"/>
        <v>#DIV/0!</v>
      </c>
      <c r="AI1093" s="1040" t="e">
        <f t="shared" si="627"/>
        <v>#DIV/0!</v>
      </c>
      <c r="AJ1093" s="1040" t="e">
        <f t="shared" si="627"/>
        <v>#DIV/0!</v>
      </c>
      <c r="AK1093" s="1040" t="e">
        <f t="shared" si="627"/>
        <v>#DIV/0!</v>
      </c>
      <c r="AL1093" s="1040" t="e">
        <f t="shared" si="627"/>
        <v>#DIV/0!</v>
      </c>
      <c r="AM1093" s="1040" t="e">
        <f t="shared" si="627"/>
        <v>#DIV/0!</v>
      </c>
      <c r="AN1093" s="1040" t="e">
        <f t="shared" si="627"/>
        <v>#DIV/0!</v>
      </c>
      <c r="AO1093" s="1040" t="e">
        <f t="shared" si="627"/>
        <v>#DIV/0!</v>
      </c>
      <c r="AP1093" s="1040" t="e">
        <f t="shared" si="627"/>
        <v>#DIV/0!</v>
      </c>
      <c r="AQ1093" s="1040" t="e">
        <f t="shared" si="627"/>
        <v>#DIV/0!</v>
      </c>
      <c r="AR1093" s="1040" t="e">
        <f t="shared" si="627"/>
        <v>#DIV/0!</v>
      </c>
      <c r="AS1093" s="1040" t="e">
        <f t="shared" ref="AS1093:AY1093" si="628">IF(AS293="",0,IF(OR(1=RANK(AS693,AS$412:AS$790,0),(2=RANK(AS693,AS$412:AS$790,0))),AS693,AS293))</f>
        <v>#DIV/0!</v>
      </c>
      <c r="AT1093" s="1040" t="e">
        <f t="shared" si="628"/>
        <v>#DIV/0!</v>
      </c>
      <c r="AU1093" s="1040">
        <f t="shared" si="628"/>
        <v>0</v>
      </c>
      <c r="AV1093" s="1040" t="e">
        <f t="shared" si="628"/>
        <v>#DIV/0!</v>
      </c>
      <c r="AW1093" s="1040" t="e">
        <f t="shared" si="628"/>
        <v>#DIV/0!</v>
      </c>
      <c r="AX1093" s="1040" t="e">
        <f t="shared" si="628"/>
        <v>#DIV/0!</v>
      </c>
      <c r="AY1093" s="1040" t="e">
        <f t="shared" si="628"/>
        <v>#DIV/0!</v>
      </c>
      <c r="AZ1093" s="1061" t="s">
        <v>21</v>
      </c>
      <c r="BC1093" s="29"/>
      <c r="BD1093" s="29"/>
      <c r="BE1093" s="13"/>
      <c r="BL1093" s="368"/>
    </row>
    <row r="1094" spans="1:64" ht="12" customHeight="1" x14ac:dyDescent="0.2">
      <c r="A1094" s="39">
        <f>acute_overview_children!A294</f>
        <v>4</v>
      </c>
      <c r="B1094" s="23">
        <f t="shared" si="575"/>
        <v>820050</v>
      </c>
      <c r="C1094" s="23" t="str">
        <f t="shared" si="576"/>
        <v>Juniper berry</v>
      </c>
      <c r="D1094" s="135"/>
      <c r="E1094" s="1027"/>
      <c r="F1094" s="87"/>
      <c r="G1094" s="87"/>
      <c r="H1094" s="1027"/>
      <c r="I1094" s="1030"/>
      <c r="J1094" s="1039" t="e">
        <f t="shared" ref="J1094:AR1094" si="629">IF(J294="",0,IF(OR(1=RANK(J694,J$412:J$790,0),(2=RANK(J694,J$412:J$790,0))),J694,J294))</f>
        <v>#DIV/0!</v>
      </c>
      <c r="K1094" s="1040" t="e">
        <f t="shared" si="629"/>
        <v>#DIV/0!</v>
      </c>
      <c r="L1094" s="1040" t="e">
        <f t="shared" si="629"/>
        <v>#DIV/0!</v>
      </c>
      <c r="M1094" s="1040" t="e">
        <f t="shared" si="629"/>
        <v>#DIV/0!</v>
      </c>
      <c r="N1094" s="1040" t="e">
        <f t="shared" si="629"/>
        <v>#DIV/0!</v>
      </c>
      <c r="O1094" s="1040" t="e">
        <f t="shared" si="629"/>
        <v>#DIV/0!</v>
      </c>
      <c r="P1094" s="1040" t="e">
        <f t="shared" si="629"/>
        <v>#DIV/0!</v>
      </c>
      <c r="Q1094" s="1040" t="e">
        <f t="shared" si="629"/>
        <v>#DIV/0!</v>
      </c>
      <c r="R1094" s="1040" t="e">
        <f t="shared" si="629"/>
        <v>#DIV/0!</v>
      </c>
      <c r="S1094" s="1040" t="e">
        <f t="shared" si="629"/>
        <v>#DIV/0!</v>
      </c>
      <c r="T1094" s="1040" t="e">
        <f t="shared" si="629"/>
        <v>#DIV/0!</v>
      </c>
      <c r="U1094" s="1040" t="e">
        <f t="shared" si="629"/>
        <v>#DIV/0!</v>
      </c>
      <c r="V1094" s="1040" t="e">
        <f t="shared" si="629"/>
        <v>#DIV/0!</v>
      </c>
      <c r="W1094" s="1040" t="e">
        <f t="shared" si="629"/>
        <v>#DIV/0!</v>
      </c>
      <c r="X1094" s="1040" t="e">
        <f t="shared" si="629"/>
        <v>#DIV/0!</v>
      </c>
      <c r="Y1094" s="1040" t="e">
        <f t="shared" si="629"/>
        <v>#DIV/0!</v>
      </c>
      <c r="Z1094" s="1040" t="e">
        <f t="shared" si="629"/>
        <v>#DIV/0!</v>
      </c>
      <c r="AA1094" s="1040" t="e">
        <f t="shared" si="629"/>
        <v>#DIV/0!</v>
      </c>
      <c r="AB1094" s="1040" t="e">
        <f t="shared" si="629"/>
        <v>#DIV/0!</v>
      </c>
      <c r="AC1094" s="1040" t="e">
        <f t="shared" si="629"/>
        <v>#DIV/0!</v>
      </c>
      <c r="AD1094" s="1040" t="e">
        <f t="shared" si="629"/>
        <v>#DIV/0!</v>
      </c>
      <c r="AE1094" s="1040" t="e">
        <f t="shared" si="629"/>
        <v>#DIV/0!</v>
      </c>
      <c r="AF1094" s="1040" t="e">
        <f t="shared" si="629"/>
        <v>#DIV/0!</v>
      </c>
      <c r="AG1094" s="1040" t="e">
        <f t="shared" si="629"/>
        <v>#DIV/0!</v>
      </c>
      <c r="AH1094" s="1040" t="e">
        <f t="shared" si="629"/>
        <v>#DIV/0!</v>
      </c>
      <c r="AI1094" s="1040" t="e">
        <f t="shared" si="629"/>
        <v>#DIV/0!</v>
      </c>
      <c r="AJ1094" s="1040" t="e">
        <f t="shared" si="629"/>
        <v>#DIV/0!</v>
      </c>
      <c r="AK1094" s="1040" t="e">
        <f t="shared" si="629"/>
        <v>#DIV/0!</v>
      </c>
      <c r="AL1094" s="1040" t="e">
        <f t="shared" si="629"/>
        <v>#DIV/0!</v>
      </c>
      <c r="AM1094" s="1040" t="e">
        <f t="shared" si="629"/>
        <v>#DIV/0!</v>
      </c>
      <c r="AN1094" s="1040" t="e">
        <f t="shared" si="629"/>
        <v>#DIV/0!</v>
      </c>
      <c r="AO1094" s="1040" t="e">
        <f t="shared" si="629"/>
        <v>#DIV/0!</v>
      </c>
      <c r="AP1094" s="1040" t="e">
        <f t="shared" si="629"/>
        <v>#DIV/0!</v>
      </c>
      <c r="AQ1094" s="1040" t="e">
        <f t="shared" si="629"/>
        <v>#DIV/0!</v>
      </c>
      <c r="AR1094" s="1040" t="e">
        <f t="shared" si="629"/>
        <v>#DIV/0!</v>
      </c>
      <c r="AS1094" s="1040" t="e">
        <f t="shared" ref="AS1094:AY1094" si="630">IF(AS294="",0,IF(OR(1=RANK(AS694,AS$412:AS$790,0),(2=RANK(AS694,AS$412:AS$790,0))),AS694,AS294))</f>
        <v>#DIV/0!</v>
      </c>
      <c r="AT1094" s="1040" t="e">
        <f t="shared" si="630"/>
        <v>#DIV/0!</v>
      </c>
      <c r="AU1094" s="1040">
        <f t="shared" si="630"/>
        <v>0</v>
      </c>
      <c r="AV1094" s="1040" t="e">
        <f t="shared" si="630"/>
        <v>#DIV/0!</v>
      </c>
      <c r="AW1094" s="1040" t="e">
        <f t="shared" si="630"/>
        <v>#DIV/0!</v>
      </c>
      <c r="AX1094" s="1040" t="e">
        <f t="shared" si="630"/>
        <v>#DIV/0!</v>
      </c>
      <c r="AY1094" s="1040" t="e">
        <f t="shared" si="630"/>
        <v>#DIV/0!</v>
      </c>
      <c r="AZ1094" s="1061" t="s">
        <v>21</v>
      </c>
      <c r="BC1094" s="29"/>
      <c r="BD1094" s="29"/>
      <c r="BE1094" s="13"/>
      <c r="BL1094" s="368"/>
    </row>
    <row r="1095" spans="1:64" ht="12" customHeight="1" x14ac:dyDescent="0.2">
      <c r="A1095" s="39">
        <f>acute_overview_children!A295</f>
        <v>4</v>
      </c>
      <c r="B1095" s="23">
        <f t="shared" si="575"/>
        <v>820060</v>
      </c>
      <c r="C1095" s="23" t="str">
        <f t="shared" si="576"/>
        <v xml:space="preserve">Peppercorn (black, green and white) </v>
      </c>
      <c r="D1095" s="135"/>
      <c r="E1095" s="1027"/>
      <c r="F1095" s="87"/>
      <c r="G1095" s="87"/>
      <c r="H1095" s="1027"/>
      <c r="I1095" s="1030"/>
      <c r="J1095" s="1039" t="e">
        <f t="shared" ref="J1095:AR1095" si="631">IF(J295="",0,IF(OR(1=RANK(J695,J$412:J$790,0),(2=RANK(J695,J$412:J$790,0))),J695,J295))</f>
        <v>#DIV/0!</v>
      </c>
      <c r="K1095" s="1040" t="e">
        <f t="shared" si="631"/>
        <v>#DIV/0!</v>
      </c>
      <c r="L1095" s="1040" t="e">
        <f t="shared" si="631"/>
        <v>#DIV/0!</v>
      </c>
      <c r="M1095" s="1040" t="e">
        <f t="shared" si="631"/>
        <v>#DIV/0!</v>
      </c>
      <c r="N1095" s="1040" t="e">
        <f t="shared" si="631"/>
        <v>#DIV/0!</v>
      </c>
      <c r="O1095" s="1040" t="e">
        <f t="shared" si="631"/>
        <v>#DIV/0!</v>
      </c>
      <c r="P1095" s="1040" t="e">
        <f t="shared" si="631"/>
        <v>#DIV/0!</v>
      </c>
      <c r="Q1095" s="1040" t="e">
        <f t="shared" si="631"/>
        <v>#DIV/0!</v>
      </c>
      <c r="R1095" s="1040" t="e">
        <f t="shared" si="631"/>
        <v>#DIV/0!</v>
      </c>
      <c r="S1095" s="1040" t="e">
        <f t="shared" si="631"/>
        <v>#DIV/0!</v>
      </c>
      <c r="T1095" s="1040" t="e">
        <f t="shared" si="631"/>
        <v>#DIV/0!</v>
      </c>
      <c r="U1095" s="1040" t="e">
        <f t="shared" si="631"/>
        <v>#DIV/0!</v>
      </c>
      <c r="V1095" s="1040" t="e">
        <f t="shared" si="631"/>
        <v>#DIV/0!</v>
      </c>
      <c r="W1095" s="1040" t="e">
        <f t="shared" si="631"/>
        <v>#DIV/0!</v>
      </c>
      <c r="X1095" s="1040" t="e">
        <f t="shared" si="631"/>
        <v>#DIV/0!</v>
      </c>
      <c r="Y1095" s="1040" t="e">
        <f t="shared" si="631"/>
        <v>#DIV/0!</v>
      </c>
      <c r="Z1095" s="1040" t="e">
        <f t="shared" si="631"/>
        <v>#DIV/0!</v>
      </c>
      <c r="AA1095" s="1040" t="e">
        <f t="shared" si="631"/>
        <v>#DIV/0!</v>
      </c>
      <c r="AB1095" s="1040" t="e">
        <f t="shared" si="631"/>
        <v>#DIV/0!</v>
      </c>
      <c r="AC1095" s="1040" t="e">
        <f t="shared" si="631"/>
        <v>#DIV/0!</v>
      </c>
      <c r="AD1095" s="1040" t="e">
        <f t="shared" si="631"/>
        <v>#DIV/0!</v>
      </c>
      <c r="AE1095" s="1040" t="e">
        <f t="shared" si="631"/>
        <v>#DIV/0!</v>
      </c>
      <c r="AF1095" s="1040" t="e">
        <f t="shared" si="631"/>
        <v>#DIV/0!</v>
      </c>
      <c r="AG1095" s="1040" t="e">
        <f t="shared" si="631"/>
        <v>#DIV/0!</v>
      </c>
      <c r="AH1095" s="1040" t="e">
        <f t="shared" si="631"/>
        <v>#DIV/0!</v>
      </c>
      <c r="AI1095" s="1040" t="e">
        <f t="shared" si="631"/>
        <v>#DIV/0!</v>
      </c>
      <c r="AJ1095" s="1040" t="e">
        <f t="shared" si="631"/>
        <v>#DIV/0!</v>
      </c>
      <c r="AK1095" s="1040" t="e">
        <f t="shared" si="631"/>
        <v>#DIV/0!</v>
      </c>
      <c r="AL1095" s="1040" t="e">
        <f t="shared" si="631"/>
        <v>#DIV/0!</v>
      </c>
      <c r="AM1095" s="1040" t="e">
        <f t="shared" si="631"/>
        <v>#DIV/0!</v>
      </c>
      <c r="AN1095" s="1040" t="e">
        <f t="shared" si="631"/>
        <v>#DIV/0!</v>
      </c>
      <c r="AO1095" s="1040" t="e">
        <f t="shared" si="631"/>
        <v>#DIV/0!</v>
      </c>
      <c r="AP1095" s="1040" t="e">
        <f t="shared" si="631"/>
        <v>#DIV/0!</v>
      </c>
      <c r="AQ1095" s="1040" t="e">
        <f t="shared" si="631"/>
        <v>#DIV/0!</v>
      </c>
      <c r="AR1095" s="1040" t="e">
        <f t="shared" si="631"/>
        <v>#DIV/0!</v>
      </c>
      <c r="AS1095" s="1040" t="e">
        <f t="shared" ref="AS1095:AY1095" si="632">IF(AS295="",0,IF(OR(1=RANK(AS695,AS$412:AS$790,0),(2=RANK(AS695,AS$412:AS$790,0))),AS695,AS295))</f>
        <v>#DIV/0!</v>
      </c>
      <c r="AT1095" s="1040" t="e">
        <f t="shared" si="632"/>
        <v>#DIV/0!</v>
      </c>
      <c r="AU1095" s="1040">
        <f t="shared" si="632"/>
        <v>0</v>
      </c>
      <c r="AV1095" s="1040" t="e">
        <f t="shared" si="632"/>
        <v>#DIV/0!</v>
      </c>
      <c r="AW1095" s="1040" t="e">
        <f t="shared" si="632"/>
        <v>#DIV/0!</v>
      </c>
      <c r="AX1095" s="1040" t="e">
        <f t="shared" si="632"/>
        <v>#DIV/0!</v>
      </c>
      <c r="AY1095" s="1040" t="e">
        <f t="shared" si="632"/>
        <v>#DIV/0!</v>
      </c>
      <c r="AZ1095" s="1061" t="s">
        <v>21</v>
      </c>
      <c r="BC1095" s="29"/>
      <c r="BD1095" s="29"/>
      <c r="BE1095" s="13"/>
      <c r="BL1095" s="368"/>
    </row>
    <row r="1096" spans="1:64" ht="12" customHeight="1" x14ac:dyDescent="0.2">
      <c r="A1096" s="39">
        <f>acute_overview_children!A296</f>
        <v>4</v>
      </c>
      <c r="B1096" s="23">
        <f t="shared" si="575"/>
        <v>820070</v>
      </c>
      <c r="C1096" s="23" t="str">
        <f t="shared" si="576"/>
        <v>Vanilla pods</v>
      </c>
      <c r="D1096" s="135"/>
      <c r="E1096" s="1027"/>
      <c r="F1096" s="87"/>
      <c r="G1096" s="87"/>
      <c r="H1096" s="1027"/>
      <c r="I1096" s="1030"/>
      <c r="J1096" s="1039" t="e">
        <f t="shared" ref="J1096:AR1096" si="633">IF(J296="",0,IF(OR(1=RANK(J696,J$412:J$790,0),(2=RANK(J696,J$412:J$790,0))),J696,J296))</f>
        <v>#DIV/0!</v>
      </c>
      <c r="K1096" s="1040" t="e">
        <f t="shared" si="633"/>
        <v>#DIV/0!</v>
      </c>
      <c r="L1096" s="1040" t="e">
        <f t="shared" si="633"/>
        <v>#DIV/0!</v>
      </c>
      <c r="M1096" s="1040" t="e">
        <f t="shared" si="633"/>
        <v>#DIV/0!</v>
      </c>
      <c r="N1096" s="1040" t="e">
        <f t="shared" si="633"/>
        <v>#DIV/0!</v>
      </c>
      <c r="O1096" s="1040" t="e">
        <f t="shared" si="633"/>
        <v>#DIV/0!</v>
      </c>
      <c r="P1096" s="1040" t="e">
        <f t="shared" si="633"/>
        <v>#DIV/0!</v>
      </c>
      <c r="Q1096" s="1040" t="e">
        <f t="shared" si="633"/>
        <v>#DIV/0!</v>
      </c>
      <c r="R1096" s="1040" t="e">
        <f t="shared" si="633"/>
        <v>#DIV/0!</v>
      </c>
      <c r="S1096" s="1040" t="e">
        <f t="shared" si="633"/>
        <v>#DIV/0!</v>
      </c>
      <c r="T1096" s="1040" t="e">
        <f t="shared" si="633"/>
        <v>#DIV/0!</v>
      </c>
      <c r="U1096" s="1040" t="e">
        <f t="shared" si="633"/>
        <v>#DIV/0!</v>
      </c>
      <c r="V1096" s="1040" t="e">
        <f t="shared" si="633"/>
        <v>#DIV/0!</v>
      </c>
      <c r="W1096" s="1040" t="e">
        <f t="shared" si="633"/>
        <v>#DIV/0!</v>
      </c>
      <c r="X1096" s="1040" t="e">
        <f t="shared" si="633"/>
        <v>#DIV/0!</v>
      </c>
      <c r="Y1096" s="1040" t="e">
        <f t="shared" si="633"/>
        <v>#DIV/0!</v>
      </c>
      <c r="Z1096" s="1040" t="e">
        <f t="shared" si="633"/>
        <v>#DIV/0!</v>
      </c>
      <c r="AA1096" s="1040" t="e">
        <f t="shared" si="633"/>
        <v>#DIV/0!</v>
      </c>
      <c r="AB1096" s="1040" t="e">
        <f t="shared" si="633"/>
        <v>#DIV/0!</v>
      </c>
      <c r="AC1096" s="1040" t="e">
        <f t="shared" si="633"/>
        <v>#DIV/0!</v>
      </c>
      <c r="AD1096" s="1040" t="e">
        <f t="shared" si="633"/>
        <v>#DIV/0!</v>
      </c>
      <c r="AE1096" s="1040" t="e">
        <f t="shared" si="633"/>
        <v>#DIV/0!</v>
      </c>
      <c r="AF1096" s="1040" t="e">
        <f t="shared" si="633"/>
        <v>#DIV/0!</v>
      </c>
      <c r="AG1096" s="1040" t="e">
        <f t="shared" si="633"/>
        <v>#DIV/0!</v>
      </c>
      <c r="AH1096" s="1040" t="e">
        <f t="shared" si="633"/>
        <v>#DIV/0!</v>
      </c>
      <c r="AI1096" s="1040" t="e">
        <f t="shared" si="633"/>
        <v>#DIV/0!</v>
      </c>
      <c r="AJ1096" s="1040" t="e">
        <f t="shared" si="633"/>
        <v>#DIV/0!</v>
      </c>
      <c r="AK1096" s="1040" t="e">
        <f t="shared" si="633"/>
        <v>#DIV/0!</v>
      </c>
      <c r="AL1096" s="1040" t="e">
        <f t="shared" si="633"/>
        <v>#DIV/0!</v>
      </c>
      <c r="AM1096" s="1040" t="e">
        <f t="shared" si="633"/>
        <v>#DIV/0!</v>
      </c>
      <c r="AN1096" s="1040" t="e">
        <f t="shared" si="633"/>
        <v>#DIV/0!</v>
      </c>
      <c r="AO1096" s="1040" t="e">
        <f t="shared" si="633"/>
        <v>#DIV/0!</v>
      </c>
      <c r="AP1096" s="1040" t="e">
        <f t="shared" si="633"/>
        <v>#DIV/0!</v>
      </c>
      <c r="AQ1096" s="1040" t="e">
        <f t="shared" si="633"/>
        <v>#DIV/0!</v>
      </c>
      <c r="AR1096" s="1040" t="e">
        <f t="shared" si="633"/>
        <v>#DIV/0!</v>
      </c>
      <c r="AS1096" s="1040" t="e">
        <f t="shared" ref="AS1096:AY1096" si="634">IF(AS296="",0,IF(OR(1=RANK(AS696,AS$412:AS$790,0),(2=RANK(AS696,AS$412:AS$790,0))),AS696,AS296))</f>
        <v>#DIV/0!</v>
      </c>
      <c r="AT1096" s="1040" t="e">
        <f t="shared" si="634"/>
        <v>#DIV/0!</v>
      </c>
      <c r="AU1096" s="1040">
        <f t="shared" si="634"/>
        <v>0</v>
      </c>
      <c r="AV1096" s="1040" t="e">
        <f t="shared" si="634"/>
        <v>#DIV/0!</v>
      </c>
      <c r="AW1096" s="1040" t="e">
        <f t="shared" si="634"/>
        <v>#DIV/0!</v>
      </c>
      <c r="AX1096" s="1040" t="e">
        <f t="shared" si="634"/>
        <v>#DIV/0!</v>
      </c>
      <c r="AY1096" s="1040" t="e">
        <f t="shared" si="634"/>
        <v>#DIV/0!</v>
      </c>
      <c r="AZ1096" s="1061" t="s">
        <v>21</v>
      </c>
      <c r="BC1096" s="29"/>
      <c r="BD1096" s="29"/>
      <c r="BE1096" s="13"/>
      <c r="BL1096" s="368"/>
    </row>
    <row r="1097" spans="1:64" ht="12" customHeight="1" x14ac:dyDescent="0.2">
      <c r="A1097" s="39">
        <f>acute_overview_children!A297</f>
        <v>4</v>
      </c>
      <c r="B1097" s="23">
        <f t="shared" si="575"/>
        <v>820080</v>
      </c>
      <c r="C1097" s="23" t="str">
        <f t="shared" si="576"/>
        <v xml:space="preserve">Tamarind </v>
      </c>
      <c r="D1097" s="135"/>
      <c r="E1097" s="1027"/>
      <c r="F1097" s="87"/>
      <c r="G1097" s="87"/>
      <c r="H1097" s="1027"/>
      <c r="I1097" s="1030"/>
      <c r="J1097" s="1039" t="e">
        <f t="shared" ref="J1097:AR1097" si="635">IF(J297="",0,IF(OR(1=RANK(J697,J$412:J$790,0),(2=RANK(J697,J$412:J$790,0))),J697,J297))</f>
        <v>#DIV/0!</v>
      </c>
      <c r="K1097" s="1040" t="e">
        <f t="shared" si="635"/>
        <v>#DIV/0!</v>
      </c>
      <c r="L1097" s="1040" t="e">
        <f t="shared" si="635"/>
        <v>#DIV/0!</v>
      </c>
      <c r="M1097" s="1040" t="e">
        <f t="shared" si="635"/>
        <v>#DIV/0!</v>
      </c>
      <c r="N1097" s="1040" t="e">
        <f t="shared" si="635"/>
        <v>#DIV/0!</v>
      </c>
      <c r="O1097" s="1040" t="e">
        <f t="shared" si="635"/>
        <v>#DIV/0!</v>
      </c>
      <c r="P1097" s="1040" t="e">
        <f t="shared" si="635"/>
        <v>#DIV/0!</v>
      </c>
      <c r="Q1097" s="1040" t="e">
        <f t="shared" si="635"/>
        <v>#DIV/0!</v>
      </c>
      <c r="R1097" s="1040" t="e">
        <f t="shared" si="635"/>
        <v>#DIV/0!</v>
      </c>
      <c r="S1097" s="1040" t="e">
        <f t="shared" si="635"/>
        <v>#DIV/0!</v>
      </c>
      <c r="T1097" s="1040" t="e">
        <f t="shared" si="635"/>
        <v>#DIV/0!</v>
      </c>
      <c r="U1097" s="1040" t="e">
        <f t="shared" si="635"/>
        <v>#DIV/0!</v>
      </c>
      <c r="V1097" s="1040" t="e">
        <f t="shared" si="635"/>
        <v>#DIV/0!</v>
      </c>
      <c r="W1097" s="1040" t="e">
        <f t="shared" si="635"/>
        <v>#DIV/0!</v>
      </c>
      <c r="X1097" s="1040" t="e">
        <f t="shared" si="635"/>
        <v>#DIV/0!</v>
      </c>
      <c r="Y1097" s="1040" t="e">
        <f t="shared" si="635"/>
        <v>#DIV/0!</v>
      </c>
      <c r="Z1097" s="1040" t="e">
        <f t="shared" si="635"/>
        <v>#DIV/0!</v>
      </c>
      <c r="AA1097" s="1040" t="e">
        <f t="shared" si="635"/>
        <v>#DIV/0!</v>
      </c>
      <c r="AB1097" s="1040" t="e">
        <f t="shared" si="635"/>
        <v>#DIV/0!</v>
      </c>
      <c r="AC1097" s="1040" t="e">
        <f t="shared" si="635"/>
        <v>#DIV/0!</v>
      </c>
      <c r="AD1097" s="1040" t="e">
        <f t="shared" si="635"/>
        <v>#DIV/0!</v>
      </c>
      <c r="AE1097" s="1040" t="e">
        <f t="shared" si="635"/>
        <v>#DIV/0!</v>
      </c>
      <c r="AF1097" s="1040" t="e">
        <f t="shared" si="635"/>
        <v>#DIV/0!</v>
      </c>
      <c r="AG1097" s="1040" t="e">
        <f t="shared" si="635"/>
        <v>#DIV/0!</v>
      </c>
      <c r="AH1097" s="1040" t="e">
        <f t="shared" si="635"/>
        <v>#DIV/0!</v>
      </c>
      <c r="AI1097" s="1040" t="e">
        <f t="shared" si="635"/>
        <v>#DIV/0!</v>
      </c>
      <c r="AJ1097" s="1040" t="e">
        <f t="shared" si="635"/>
        <v>#DIV/0!</v>
      </c>
      <c r="AK1097" s="1040" t="e">
        <f t="shared" si="635"/>
        <v>#DIV/0!</v>
      </c>
      <c r="AL1097" s="1040" t="e">
        <f t="shared" si="635"/>
        <v>#DIV/0!</v>
      </c>
      <c r="AM1097" s="1040" t="e">
        <f t="shared" si="635"/>
        <v>#DIV/0!</v>
      </c>
      <c r="AN1097" s="1040" t="e">
        <f t="shared" si="635"/>
        <v>#DIV/0!</v>
      </c>
      <c r="AO1097" s="1040" t="e">
        <f t="shared" si="635"/>
        <v>#DIV/0!</v>
      </c>
      <c r="AP1097" s="1040" t="e">
        <f t="shared" si="635"/>
        <v>#DIV/0!</v>
      </c>
      <c r="AQ1097" s="1040" t="e">
        <f t="shared" si="635"/>
        <v>#DIV/0!</v>
      </c>
      <c r="AR1097" s="1040" t="e">
        <f t="shared" si="635"/>
        <v>#DIV/0!</v>
      </c>
      <c r="AS1097" s="1040" t="e">
        <f t="shared" ref="AS1097:AY1097" si="636">IF(AS297="",0,IF(OR(1=RANK(AS697,AS$412:AS$790,0),(2=RANK(AS697,AS$412:AS$790,0))),AS697,AS297))</f>
        <v>#DIV/0!</v>
      </c>
      <c r="AT1097" s="1040" t="e">
        <f t="shared" si="636"/>
        <v>#DIV/0!</v>
      </c>
      <c r="AU1097" s="1040">
        <f t="shared" si="636"/>
        <v>0</v>
      </c>
      <c r="AV1097" s="1040" t="e">
        <f t="shared" si="636"/>
        <v>#DIV/0!</v>
      </c>
      <c r="AW1097" s="1040" t="e">
        <f t="shared" si="636"/>
        <v>#DIV/0!</v>
      </c>
      <c r="AX1097" s="1040" t="e">
        <f t="shared" si="636"/>
        <v>#DIV/0!</v>
      </c>
      <c r="AY1097" s="1040" t="e">
        <f t="shared" si="636"/>
        <v>#DIV/0!</v>
      </c>
      <c r="AZ1097" s="1061" t="s">
        <v>21</v>
      </c>
      <c r="BC1097" s="29"/>
      <c r="BD1097" s="29"/>
      <c r="BE1097" s="13"/>
      <c r="BL1097" s="368"/>
    </row>
    <row r="1098" spans="1:64" ht="12" customHeight="1" x14ac:dyDescent="0.2">
      <c r="A1098" s="39">
        <f>acute_overview_children!A298</f>
        <v>4</v>
      </c>
      <c r="B1098" s="23">
        <f t="shared" si="575"/>
        <v>820990</v>
      </c>
      <c r="C1098" s="23" t="str">
        <f t="shared" si="576"/>
        <v>Other spices (fruits)</v>
      </c>
      <c r="D1098" s="135"/>
      <c r="E1098" s="1027"/>
      <c r="F1098" s="87"/>
      <c r="G1098" s="87"/>
      <c r="H1098" s="1027"/>
      <c r="I1098" s="1030"/>
      <c r="J1098" s="1039" t="e">
        <f t="shared" ref="J1098:AR1098" si="637">IF(J298="",0,IF(OR(1=RANK(J698,J$412:J$790,0),(2=RANK(J698,J$412:J$790,0))),J698,J298))</f>
        <v>#DIV/0!</v>
      </c>
      <c r="K1098" s="1040" t="e">
        <f t="shared" si="637"/>
        <v>#DIV/0!</v>
      </c>
      <c r="L1098" s="1040" t="e">
        <f t="shared" si="637"/>
        <v>#DIV/0!</v>
      </c>
      <c r="M1098" s="1040" t="e">
        <f t="shared" si="637"/>
        <v>#DIV/0!</v>
      </c>
      <c r="N1098" s="1040" t="e">
        <f t="shared" si="637"/>
        <v>#DIV/0!</v>
      </c>
      <c r="O1098" s="1040" t="e">
        <f t="shared" si="637"/>
        <v>#DIV/0!</v>
      </c>
      <c r="P1098" s="1040" t="e">
        <f t="shared" si="637"/>
        <v>#DIV/0!</v>
      </c>
      <c r="Q1098" s="1040" t="e">
        <f t="shared" si="637"/>
        <v>#DIV/0!</v>
      </c>
      <c r="R1098" s="1040" t="e">
        <f t="shared" si="637"/>
        <v>#DIV/0!</v>
      </c>
      <c r="S1098" s="1040" t="e">
        <f t="shared" si="637"/>
        <v>#DIV/0!</v>
      </c>
      <c r="T1098" s="1040" t="e">
        <f t="shared" si="637"/>
        <v>#DIV/0!</v>
      </c>
      <c r="U1098" s="1040" t="e">
        <f t="shared" si="637"/>
        <v>#DIV/0!</v>
      </c>
      <c r="V1098" s="1040" t="e">
        <f t="shared" si="637"/>
        <v>#DIV/0!</v>
      </c>
      <c r="W1098" s="1040" t="e">
        <f t="shared" si="637"/>
        <v>#DIV/0!</v>
      </c>
      <c r="X1098" s="1040" t="e">
        <f t="shared" si="637"/>
        <v>#DIV/0!</v>
      </c>
      <c r="Y1098" s="1040" t="e">
        <f t="shared" si="637"/>
        <v>#DIV/0!</v>
      </c>
      <c r="Z1098" s="1040" t="e">
        <f t="shared" si="637"/>
        <v>#DIV/0!</v>
      </c>
      <c r="AA1098" s="1040" t="e">
        <f t="shared" si="637"/>
        <v>#DIV/0!</v>
      </c>
      <c r="AB1098" s="1040" t="e">
        <f t="shared" si="637"/>
        <v>#DIV/0!</v>
      </c>
      <c r="AC1098" s="1040" t="e">
        <f t="shared" si="637"/>
        <v>#DIV/0!</v>
      </c>
      <c r="AD1098" s="1040" t="e">
        <f t="shared" si="637"/>
        <v>#DIV/0!</v>
      </c>
      <c r="AE1098" s="1040" t="e">
        <f t="shared" si="637"/>
        <v>#DIV/0!</v>
      </c>
      <c r="AF1098" s="1040" t="e">
        <f t="shared" si="637"/>
        <v>#DIV/0!</v>
      </c>
      <c r="AG1098" s="1040" t="e">
        <f t="shared" si="637"/>
        <v>#DIV/0!</v>
      </c>
      <c r="AH1098" s="1040" t="e">
        <f t="shared" si="637"/>
        <v>#DIV/0!</v>
      </c>
      <c r="AI1098" s="1040" t="e">
        <f t="shared" si="637"/>
        <v>#DIV/0!</v>
      </c>
      <c r="AJ1098" s="1040" t="e">
        <f t="shared" si="637"/>
        <v>#DIV/0!</v>
      </c>
      <c r="AK1098" s="1040" t="e">
        <f t="shared" si="637"/>
        <v>#DIV/0!</v>
      </c>
      <c r="AL1098" s="1040" t="e">
        <f t="shared" si="637"/>
        <v>#DIV/0!</v>
      </c>
      <c r="AM1098" s="1040" t="e">
        <f t="shared" si="637"/>
        <v>#DIV/0!</v>
      </c>
      <c r="AN1098" s="1040" t="e">
        <f t="shared" si="637"/>
        <v>#DIV/0!</v>
      </c>
      <c r="AO1098" s="1040" t="e">
        <f t="shared" si="637"/>
        <v>#DIV/0!</v>
      </c>
      <c r="AP1098" s="1040" t="e">
        <f t="shared" si="637"/>
        <v>#DIV/0!</v>
      </c>
      <c r="AQ1098" s="1040" t="e">
        <f t="shared" si="637"/>
        <v>#DIV/0!</v>
      </c>
      <c r="AR1098" s="1040" t="e">
        <f t="shared" si="637"/>
        <v>#DIV/0!</v>
      </c>
      <c r="AS1098" s="1040" t="e">
        <f t="shared" ref="AS1098:AY1098" si="638">IF(AS298="",0,IF(OR(1=RANK(AS698,AS$412:AS$790,0),(2=RANK(AS698,AS$412:AS$790,0))),AS698,AS298))</f>
        <v>#DIV/0!</v>
      </c>
      <c r="AT1098" s="1040" t="e">
        <f t="shared" si="638"/>
        <v>#DIV/0!</v>
      </c>
      <c r="AU1098" s="1040">
        <f t="shared" si="638"/>
        <v>0</v>
      </c>
      <c r="AV1098" s="1040" t="e">
        <f t="shared" si="638"/>
        <v>#DIV/0!</v>
      </c>
      <c r="AW1098" s="1040" t="e">
        <f t="shared" si="638"/>
        <v>#DIV/0!</v>
      </c>
      <c r="AX1098" s="1040" t="e">
        <f t="shared" si="638"/>
        <v>#DIV/0!</v>
      </c>
      <c r="AY1098" s="1040" t="e">
        <f t="shared" si="638"/>
        <v>#DIV/0!</v>
      </c>
      <c r="AZ1098" s="1061" t="s">
        <v>21</v>
      </c>
      <c r="BC1098" s="29"/>
      <c r="BD1098" s="29"/>
      <c r="BE1098" s="13"/>
      <c r="BL1098" s="368"/>
    </row>
    <row r="1099" spans="1:64" ht="12" customHeight="1" x14ac:dyDescent="0.2">
      <c r="A1099" s="515">
        <f>acute_overview_children!A299</f>
        <v>2</v>
      </c>
      <c r="B1099" s="131">
        <f t="shared" si="575"/>
        <v>830000</v>
      </c>
      <c r="C1099" s="131" t="str">
        <f t="shared" si="576"/>
        <v>Spices (bark)</v>
      </c>
      <c r="D1099" s="1035"/>
      <c r="E1099" s="1027"/>
      <c r="F1099" s="87"/>
      <c r="G1099" s="87"/>
      <c r="H1099" s="1027"/>
      <c r="I1099" s="1030"/>
      <c r="J1099" s="1037" t="e">
        <f t="shared" ref="J1099:AR1099" si="639">IF(J299="",0,IF(OR(1=RANK(J699,J$412:J$790,0),(2=RANK(J699,J$412:J$790,0))),J699,J299))</f>
        <v>#DIV/0!</v>
      </c>
      <c r="K1099" s="1038" t="e">
        <f t="shared" si="639"/>
        <v>#DIV/0!</v>
      </c>
      <c r="L1099" s="1038" t="e">
        <f t="shared" si="639"/>
        <v>#DIV/0!</v>
      </c>
      <c r="M1099" s="1038" t="e">
        <f t="shared" si="639"/>
        <v>#DIV/0!</v>
      </c>
      <c r="N1099" s="1038" t="e">
        <f t="shared" si="639"/>
        <v>#DIV/0!</v>
      </c>
      <c r="O1099" s="1038" t="e">
        <f t="shared" si="639"/>
        <v>#DIV/0!</v>
      </c>
      <c r="P1099" s="1038" t="e">
        <f t="shared" si="639"/>
        <v>#DIV/0!</v>
      </c>
      <c r="Q1099" s="1038" t="e">
        <f t="shared" si="639"/>
        <v>#DIV/0!</v>
      </c>
      <c r="R1099" s="1038" t="e">
        <f t="shared" si="639"/>
        <v>#DIV/0!</v>
      </c>
      <c r="S1099" s="1038" t="e">
        <f t="shared" si="639"/>
        <v>#DIV/0!</v>
      </c>
      <c r="T1099" s="1038" t="e">
        <f t="shared" si="639"/>
        <v>#DIV/0!</v>
      </c>
      <c r="U1099" s="1038" t="e">
        <f t="shared" si="639"/>
        <v>#DIV/0!</v>
      </c>
      <c r="V1099" s="1038" t="e">
        <f t="shared" si="639"/>
        <v>#DIV/0!</v>
      </c>
      <c r="W1099" s="1038" t="e">
        <f t="shared" si="639"/>
        <v>#DIV/0!</v>
      </c>
      <c r="X1099" s="1038" t="e">
        <f t="shared" si="639"/>
        <v>#DIV/0!</v>
      </c>
      <c r="Y1099" s="1038" t="e">
        <f t="shared" si="639"/>
        <v>#DIV/0!</v>
      </c>
      <c r="Z1099" s="1038" t="e">
        <f t="shared" si="639"/>
        <v>#DIV/0!</v>
      </c>
      <c r="AA1099" s="1038" t="e">
        <f t="shared" si="639"/>
        <v>#DIV/0!</v>
      </c>
      <c r="AB1099" s="1038" t="e">
        <f t="shared" si="639"/>
        <v>#DIV/0!</v>
      </c>
      <c r="AC1099" s="1038" t="e">
        <f t="shared" si="639"/>
        <v>#DIV/0!</v>
      </c>
      <c r="AD1099" s="1038" t="e">
        <f t="shared" si="639"/>
        <v>#DIV/0!</v>
      </c>
      <c r="AE1099" s="1038" t="e">
        <f t="shared" si="639"/>
        <v>#DIV/0!</v>
      </c>
      <c r="AF1099" s="1038" t="e">
        <f t="shared" si="639"/>
        <v>#DIV/0!</v>
      </c>
      <c r="AG1099" s="1038" t="e">
        <f t="shared" si="639"/>
        <v>#DIV/0!</v>
      </c>
      <c r="AH1099" s="1038" t="e">
        <f t="shared" si="639"/>
        <v>#DIV/0!</v>
      </c>
      <c r="AI1099" s="1038" t="e">
        <f t="shared" si="639"/>
        <v>#DIV/0!</v>
      </c>
      <c r="AJ1099" s="1038" t="e">
        <f t="shared" si="639"/>
        <v>#DIV/0!</v>
      </c>
      <c r="AK1099" s="1038" t="e">
        <f t="shared" si="639"/>
        <v>#DIV/0!</v>
      </c>
      <c r="AL1099" s="1038" t="e">
        <f t="shared" si="639"/>
        <v>#DIV/0!</v>
      </c>
      <c r="AM1099" s="1038" t="e">
        <f t="shared" si="639"/>
        <v>#DIV/0!</v>
      </c>
      <c r="AN1099" s="1038" t="e">
        <f t="shared" si="639"/>
        <v>#DIV/0!</v>
      </c>
      <c r="AO1099" s="1038" t="e">
        <f t="shared" si="639"/>
        <v>#DIV/0!</v>
      </c>
      <c r="AP1099" s="1038" t="e">
        <f t="shared" si="639"/>
        <v>#DIV/0!</v>
      </c>
      <c r="AQ1099" s="1038" t="e">
        <f t="shared" si="639"/>
        <v>#DIV/0!</v>
      </c>
      <c r="AR1099" s="1038" t="e">
        <f t="shared" si="639"/>
        <v>#DIV/0!</v>
      </c>
      <c r="AS1099" s="1038" t="e">
        <f t="shared" ref="AS1099:AY1099" si="640">IF(AS299="",0,IF(OR(1=RANK(AS699,AS$412:AS$790,0),(2=RANK(AS699,AS$412:AS$790,0))),AS699,AS299))</f>
        <v>#DIV/0!</v>
      </c>
      <c r="AT1099" s="1038" t="e">
        <f t="shared" si="640"/>
        <v>#DIV/0!</v>
      </c>
      <c r="AU1099" s="1038">
        <f t="shared" si="640"/>
        <v>0</v>
      </c>
      <c r="AV1099" s="1038" t="e">
        <f t="shared" si="640"/>
        <v>#DIV/0!</v>
      </c>
      <c r="AW1099" s="1038" t="e">
        <f t="shared" si="640"/>
        <v>#DIV/0!</v>
      </c>
      <c r="AX1099" s="1038" t="e">
        <f t="shared" si="640"/>
        <v>#DIV/0!</v>
      </c>
      <c r="AY1099" s="1038" t="e">
        <f t="shared" si="640"/>
        <v>#DIV/0!</v>
      </c>
      <c r="AZ1099" s="1061" t="s">
        <v>21</v>
      </c>
      <c r="BC1099" s="29"/>
      <c r="BD1099" s="29"/>
      <c r="BE1099" s="13"/>
      <c r="BL1099" s="368"/>
    </row>
    <row r="1100" spans="1:64" ht="12" customHeight="1" x14ac:dyDescent="0.2">
      <c r="A1100" s="39">
        <f>acute_overview_children!A300</f>
        <v>4</v>
      </c>
      <c r="B1100" s="23">
        <f t="shared" si="575"/>
        <v>830010</v>
      </c>
      <c r="C1100" s="23" t="str">
        <f t="shared" si="576"/>
        <v>Cinnamon</v>
      </c>
      <c r="D1100" s="135"/>
      <c r="E1100" s="1027"/>
      <c r="F1100" s="87"/>
      <c r="G1100" s="87"/>
      <c r="H1100" s="1027"/>
      <c r="I1100" s="1030"/>
      <c r="J1100" s="1039" t="e">
        <f t="shared" ref="J1100:AR1100" si="641">IF(J300="",0,IF(OR(1=RANK(J700,J$412:J$790,0),(2=RANK(J700,J$412:J$790,0))),J700,J300))</f>
        <v>#DIV/0!</v>
      </c>
      <c r="K1100" s="1040" t="e">
        <f t="shared" si="641"/>
        <v>#DIV/0!</v>
      </c>
      <c r="L1100" s="1040" t="e">
        <f t="shared" si="641"/>
        <v>#DIV/0!</v>
      </c>
      <c r="M1100" s="1040" t="e">
        <f t="shared" si="641"/>
        <v>#DIV/0!</v>
      </c>
      <c r="N1100" s="1040" t="e">
        <f t="shared" si="641"/>
        <v>#DIV/0!</v>
      </c>
      <c r="O1100" s="1040" t="e">
        <f t="shared" si="641"/>
        <v>#DIV/0!</v>
      </c>
      <c r="P1100" s="1040" t="e">
        <f t="shared" si="641"/>
        <v>#DIV/0!</v>
      </c>
      <c r="Q1100" s="1040" t="e">
        <f t="shared" si="641"/>
        <v>#DIV/0!</v>
      </c>
      <c r="R1100" s="1040" t="e">
        <f t="shared" si="641"/>
        <v>#DIV/0!</v>
      </c>
      <c r="S1100" s="1040" t="e">
        <f t="shared" si="641"/>
        <v>#DIV/0!</v>
      </c>
      <c r="T1100" s="1040" t="e">
        <f t="shared" si="641"/>
        <v>#DIV/0!</v>
      </c>
      <c r="U1100" s="1040" t="e">
        <f t="shared" si="641"/>
        <v>#DIV/0!</v>
      </c>
      <c r="V1100" s="1040" t="e">
        <f t="shared" si="641"/>
        <v>#DIV/0!</v>
      </c>
      <c r="W1100" s="1040" t="e">
        <f t="shared" si="641"/>
        <v>#DIV/0!</v>
      </c>
      <c r="X1100" s="1040" t="e">
        <f t="shared" si="641"/>
        <v>#DIV/0!</v>
      </c>
      <c r="Y1100" s="1040" t="e">
        <f t="shared" si="641"/>
        <v>#DIV/0!</v>
      </c>
      <c r="Z1100" s="1040" t="e">
        <f t="shared" si="641"/>
        <v>#DIV/0!</v>
      </c>
      <c r="AA1100" s="1040" t="e">
        <f t="shared" si="641"/>
        <v>#DIV/0!</v>
      </c>
      <c r="AB1100" s="1040" t="e">
        <f t="shared" si="641"/>
        <v>#DIV/0!</v>
      </c>
      <c r="AC1100" s="1040" t="e">
        <f t="shared" si="641"/>
        <v>#DIV/0!</v>
      </c>
      <c r="AD1100" s="1040" t="e">
        <f t="shared" si="641"/>
        <v>#DIV/0!</v>
      </c>
      <c r="AE1100" s="1040" t="e">
        <f t="shared" si="641"/>
        <v>#DIV/0!</v>
      </c>
      <c r="AF1100" s="1040" t="e">
        <f t="shared" si="641"/>
        <v>#DIV/0!</v>
      </c>
      <c r="AG1100" s="1040" t="e">
        <f t="shared" si="641"/>
        <v>#DIV/0!</v>
      </c>
      <c r="AH1100" s="1040" t="e">
        <f t="shared" si="641"/>
        <v>#DIV/0!</v>
      </c>
      <c r="AI1100" s="1040" t="e">
        <f t="shared" si="641"/>
        <v>#DIV/0!</v>
      </c>
      <c r="AJ1100" s="1040" t="e">
        <f t="shared" si="641"/>
        <v>#DIV/0!</v>
      </c>
      <c r="AK1100" s="1040" t="e">
        <f t="shared" si="641"/>
        <v>#DIV/0!</v>
      </c>
      <c r="AL1100" s="1040" t="e">
        <f t="shared" si="641"/>
        <v>#DIV/0!</v>
      </c>
      <c r="AM1100" s="1040" t="e">
        <f t="shared" si="641"/>
        <v>#DIV/0!</v>
      </c>
      <c r="AN1100" s="1040" t="e">
        <f t="shared" si="641"/>
        <v>#DIV/0!</v>
      </c>
      <c r="AO1100" s="1040" t="e">
        <f t="shared" si="641"/>
        <v>#DIV/0!</v>
      </c>
      <c r="AP1100" s="1040" t="e">
        <f t="shared" si="641"/>
        <v>#DIV/0!</v>
      </c>
      <c r="AQ1100" s="1040" t="e">
        <f t="shared" si="641"/>
        <v>#DIV/0!</v>
      </c>
      <c r="AR1100" s="1040" t="e">
        <f t="shared" si="641"/>
        <v>#DIV/0!</v>
      </c>
      <c r="AS1100" s="1040" t="e">
        <f t="shared" ref="AS1100:AY1100" si="642">IF(AS300="",0,IF(OR(1=RANK(AS700,AS$412:AS$790,0),(2=RANK(AS700,AS$412:AS$790,0))),AS700,AS300))</f>
        <v>#DIV/0!</v>
      </c>
      <c r="AT1100" s="1040" t="e">
        <f t="shared" si="642"/>
        <v>#DIV/0!</v>
      </c>
      <c r="AU1100" s="1040">
        <f t="shared" si="642"/>
        <v>0</v>
      </c>
      <c r="AV1100" s="1040" t="e">
        <f t="shared" si="642"/>
        <v>#DIV/0!</v>
      </c>
      <c r="AW1100" s="1040" t="e">
        <f t="shared" si="642"/>
        <v>#DIV/0!</v>
      </c>
      <c r="AX1100" s="1040" t="e">
        <f t="shared" si="642"/>
        <v>#DIV/0!</v>
      </c>
      <c r="AY1100" s="1040" t="e">
        <f t="shared" si="642"/>
        <v>#DIV/0!</v>
      </c>
      <c r="AZ1100" s="1061" t="s">
        <v>21</v>
      </c>
      <c r="BC1100" s="29"/>
      <c r="BD1100" s="29"/>
      <c r="BE1100" s="13"/>
      <c r="BL1100" s="368"/>
    </row>
    <row r="1101" spans="1:64" ht="12" customHeight="1" x14ac:dyDescent="0.2">
      <c r="A1101" s="39">
        <f>acute_overview_children!A301</f>
        <v>4</v>
      </c>
      <c r="B1101" s="23">
        <f t="shared" si="575"/>
        <v>830990</v>
      </c>
      <c r="C1101" s="23" t="str">
        <f t="shared" si="576"/>
        <v>Other spices (bark)</v>
      </c>
      <c r="D1101" s="135"/>
      <c r="E1101" s="1027"/>
      <c r="F1101" s="87"/>
      <c r="G1101" s="87"/>
      <c r="H1101" s="1027"/>
      <c r="I1101" s="1030"/>
      <c r="J1101" s="1039" t="e">
        <f t="shared" ref="J1101:AR1101" si="643">IF(J301="",0,IF(OR(1=RANK(J701,J$412:J$790,0),(2=RANK(J701,J$412:J$790,0))),J701,J301))</f>
        <v>#DIV/0!</v>
      </c>
      <c r="K1101" s="1040" t="e">
        <f t="shared" si="643"/>
        <v>#DIV/0!</v>
      </c>
      <c r="L1101" s="1040" t="e">
        <f t="shared" si="643"/>
        <v>#DIV/0!</v>
      </c>
      <c r="M1101" s="1040" t="e">
        <f t="shared" si="643"/>
        <v>#DIV/0!</v>
      </c>
      <c r="N1101" s="1040" t="e">
        <f t="shared" si="643"/>
        <v>#DIV/0!</v>
      </c>
      <c r="O1101" s="1040" t="e">
        <f t="shared" si="643"/>
        <v>#DIV/0!</v>
      </c>
      <c r="P1101" s="1040" t="e">
        <f t="shared" si="643"/>
        <v>#DIV/0!</v>
      </c>
      <c r="Q1101" s="1040" t="e">
        <f t="shared" si="643"/>
        <v>#DIV/0!</v>
      </c>
      <c r="R1101" s="1040" t="e">
        <f t="shared" si="643"/>
        <v>#DIV/0!</v>
      </c>
      <c r="S1101" s="1040" t="e">
        <f t="shared" si="643"/>
        <v>#DIV/0!</v>
      </c>
      <c r="T1101" s="1040" t="e">
        <f t="shared" si="643"/>
        <v>#DIV/0!</v>
      </c>
      <c r="U1101" s="1040" t="e">
        <f t="shared" si="643"/>
        <v>#DIV/0!</v>
      </c>
      <c r="V1101" s="1040" t="e">
        <f t="shared" si="643"/>
        <v>#DIV/0!</v>
      </c>
      <c r="W1101" s="1040" t="e">
        <f t="shared" si="643"/>
        <v>#DIV/0!</v>
      </c>
      <c r="X1101" s="1040" t="e">
        <f t="shared" si="643"/>
        <v>#DIV/0!</v>
      </c>
      <c r="Y1101" s="1040" t="e">
        <f t="shared" si="643"/>
        <v>#DIV/0!</v>
      </c>
      <c r="Z1101" s="1040" t="e">
        <f t="shared" si="643"/>
        <v>#DIV/0!</v>
      </c>
      <c r="AA1101" s="1040" t="e">
        <f t="shared" si="643"/>
        <v>#DIV/0!</v>
      </c>
      <c r="AB1101" s="1040" t="e">
        <f t="shared" si="643"/>
        <v>#DIV/0!</v>
      </c>
      <c r="AC1101" s="1040" t="e">
        <f t="shared" si="643"/>
        <v>#DIV/0!</v>
      </c>
      <c r="AD1101" s="1040" t="e">
        <f t="shared" si="643"/>
        <v>#DIV/0!</v>
      </c>
      <c r="AE1101" s="1040" t="e">
        <f t="shared" si="643"/>
        <v>#DIV/0!</v>
      </c>
      <c r="AF1101" s="1040" t="e">
        <f t="shared" si="643"/>
        <v>#DIV/0!</v>
      </c>
      <c r="AG1101" s="1040" t="e">
        <f t="shared" si="643"/>
        <v>#DIV/0!</v>
      </c>
      <c r="AH1101" s="1040" t="e">
        <f t="shared" si="643"/>
        <v>#DIV/0!</v>
      </c>
      <c r="AI1101" s="1040" t="e">
        <f t="shared" si="643"/>
        <v>#DIV/0!</v>
      </c>
      <c r="AJ1101" s="1040" t="e">
        <f t="shared" si="643"/>
        <v>#DIV/0!</v>
      </c>
      <c r="AK1101" s="1040" t="e">
        <f t="shared" si="643"/>
        <v>#DIV/0!</v>
      </c>
      <c r="AL1101" s="1040" t="e">
        <f t="shared" si="643"/>
        <v>#DIV/0!</v>
      </c>
      <c r="AM1101" s="1040" t="e">
        <f t="shared" si="643"/>
        <v>#DIV/0!</v>
      </c>
      <c r="AN1101" s="1040" t="e">
        <f t="shared" si="643"/>
        <v>#DIV/0!</v>
      </c>
      <c r="AO1101" s="1040" t="e">
        <f t="shared" si="643"/>
        <v>#DIV/0!</v>
      </c>
      <c r="AP1101" s="1040" t="e">
        <f t="shared" si="643"/>
        <v>#DIV/0!</v>
      </c>
      <c r="AQ1101" s="1040" t="e">
        <f t="shared" si="643"/>
        <v>#DIV/0!</v>
      </c>
      <c r="AR1101" s="1040" t="e">
        <f t="shared" si="643"/>
        <v>#DIV/0!</v>
      </c>
      <c r="AS1101" s="1040" t="e">
        <f t="shared" ref="AS1101:AY1101" si="644">IF(AS301="",0,IF(OR(1=RANK(AS701,AS$412:AS$790,0),(2=RANK(AS701,AS$412:AS$790,0))),AS701,AS301))</f>
        <v>#DIV/0!</v>
      </c>
      <c r="AT1101" s="1040" t="e">
        <f t="shared" si="644"/>
        <v>#DIV/0!</v>
      </c>
      <c r="AU1101" s="1040">
        <f t="shared" si="644"/>
        <v>0</v>
      </c>
      <c r="AV1101" s="1040" t="e">
        <f t="shared" si="644"/>
        <v>#DIV/0!</v>
      </c>
      <c r="AW1101" s="1040" t="e">
        <f t="shared" si="644"/>
        <v>#DIV/0!</v>
      </c>
      <c r="AX1101" s="1040" t="e">
        <f t="shared" si="644"/>
        <v>#DIV/0!</v>
      </c>
      <c r="AY1101" s="1040" t="e">
        <f t="shared" si="644"/>
        <v>#DIV/0!</v>
      </c>
      <c r="AZ1101" s="1061" t="s">
        <v>21</v>
      </c>
      <c r="BC1101" s="29"/>
      <c r="BD1101" s="29"/>
      <c r="BE1101" s="13"/>
      <c r="BL1101" s="368"/>
    </row>
    <row r="1102" spans="1:64" ht="12" customHeight="1" x14ac:dyDescent="0.2">
      <c r="A1102" s="515">
        <f>acute_overview_children!A302</f>
        <v>2</v>
      </c>
      <c r="B1102" s="131">
        <f t="shared" si="575"/>
        <v>840000</v>
      </c>
      <c r="C1102" s="131" t="str">
        <f t="shared" si="576"/>
        <v>Spices (roots or rhizome)</v>
      </c>
      <c r="D1102" s="1035"/>
      <c r="E1102" s="1027"/>
      <c r="F1102" s="87"/>
      <c r="G1102" s="87"/>
      <c r="H1102" s="1027"/>
      <c r="I1102" s="1030"/>
      <c r="J1102" s="1037" t="e">
        <f t="shared" ref="J1102:AR1102" si="645">IF(J302="",0,IF(OR(1=RANK(J702,J$412:J$790,0),(2=RANK(J702,J$412:J$790,0))),J702,J302))</f>
        <v>#DIV/0!</v>
      </c>
      <c r="K1102" s="1038" t="e">
        <f t="shared" si="645"/>
        <v>#DIV/0!</v>
      </c>
      <c r="L1102" s="1038" t="e">
        <f t="shared" si="645"/>
        <v>#DIV/0!</v>
      </c>
      <c r="M1102" s="1038" t="e">
        <f t="shared" si="645"/>
        <v>#DIV/0!</v>
      </c>
      <c r="N1102" s="1038" t="e">
        <f t="shared" si="645"/>
        <v>#DIV/0!</v>
      </c>
      <c r="O1102" s="1038" t="e">
        <f t="shared" si="645"/>
        <v>#DIV/0!</v>
      </c>
      <c r="P1102" s="1038" t="e">
        <f t="shared" si="645"/>
        <v>#DIV/0!</v>
      </c>
      <c r="Q1102" s="1038" t="e">
        <f t="shared" si="645"/>
        <v>#DIV/0!</v>
      </c>
      <c r="R1102" s="1038" t="e">
        <f t="shared" si="645"/>
        <v>#DIV/0!</v>
      </c>
      <c r="S1102" s="1038" t="e">
        <f t="shared" si="645"/>
        <v>#DIV/0!</v>
      </c>
      <c r="T1102" s="1038" t="e">
        <f t="shared" si="645"/>
        <v>#DIV/0!</v>
      </c>
      <c r="U1102" s="1038" t="e">
        <f t="shared" si="645"/>
        <v>#DIV/0!</v>
      </c>
      <c r="V1102" s="1038" t="e">
        <f t="shared" si="645"/>
        <v>#DIV/0!</v>
      </c>
      <c r="W1102" s="1038" t="e">
        <f t="shared" si="645"/>
        <v>#DIV/0!</v>
      </c>
      <c r="X1102" s="1038" t="e">
        <f t="shared" si="645"/>
        <v>#DIV/0!</v>
      </c>
      <c r="Y1102" s="1038" t="e">
        <f t="shared" si="645"/>
        <v>#DIV/0!</v>
      </c>
      <c r="Z1102" s="1038" t="e">
        <f t="shared" si="645"/>
        <v>#DIV/0!</v>
      </c>
      <c r="AA1102" s="1038" t="e">
        <f t="shared" si="645"/>
        <v>#DIV/0!</v>
      </c>
      <c r="AB1102" s="1038" t="e">
        <f t="shared" si="645"/>
        <v>#DIV/0!</v>
      </c>
      <c r="AC1102" s="1038" t="e">
        <f t="shared" si="645"/>
        <v>#DIV/0!</v>
      </c>
      <c r="AD1102" s="1038" t="e">
        <f t="shared" si="645"/>
        <v>#DIV/0!</v>
      </c>
      <c r="AE1102" s="1038" t="e">
        <f t="shared" si="645"/>
        <v>#DIV/0!</v>
      </c>
      <c r="AF1102" s="1038" t="e">
        <f t="shared" si="645"/>
        <v>#DIV/0!</v>
      </c>
      <c r="AG1102" s="1038" t="e">
        <f t="shared" si="645"/>
        <v>#DIV/0!</v>
      </c>
      <c r="AH1102" s="1038" t="e">
        <f t="shared" si="645"/>
        <v>#DIV/0!</v>
      </c>
      <c r="AI1102" s="1038" t="e">
        <f t="shared" si="645"/>
        <v>#DIV/0!</v>
      </c>
      <c r="AJ1102" s="1038" t="e">
        <f t="shared" si="645"/>
        <v>#DIV/0!</v>
      </c>
      <c r="AK1102" s="1038" t="e">
        <f t="shared" si="645"/>
        <v>#DIV/0!</v>
      </c>
      <c r="AL1102" s="1038" t="e">
        <f t="shared" si="645"/>
        <v>#DIV/0!</v>
      </c>
      <c r="AM1102" s="1038" t="e">
        <f t="shared" si="645"/>
        <v>#DIV/0!</v>
      </c>
      <c r="AN1102" s="1038" t="e">
        <f t="shared" si="645"/>
        <v>#DIV/0!</v>
      </c>
      <c r="AO1102" s="1038" t="e">
        <f t="shared" si="645"/>
        <v>#DIV/0!</v>
      </c>
      <c r="AP1102" s="1038" t="e">
        <f t="shared" si="645"/>
        <v>#DIV/0!</v>
      </c>
      <c r="AQ1102" s="1038" t="e">
        <f t="shared" si="645"/>
        <v>#DIV/0!</v>
      </c>
      <c r="AR1102" s="1038" t="e">
        <f t="shared" si="645"/>
        <v>#DIV/0!</v>
      </c>
      <c r="AS1102" s="1038" t="e">
        <f t="shared" ref="AS1102:AY1102" si="646">IF(AS302="",0,IF(OR(1=RANK(AS702,AS$412:AS$790,0),(2=RANK(AS702,AS$412:AS$790,0))),AS702,AS302))</f>
        <v>#DIV/0!</v>
      </c>
      <c r="AT1102" s="1038" t="e">
        <f t="shared" si="646"/>
        <v>#DIV/0!</v>
      </c>
      <c r="AU1102" s="1038">
        <f t="shared" si="646"/>
        <v>0</v>
      </c>
      <c r="AV1102" s="1038" t="e">
        <f t="shared" si="646"/>
        <v>#DIV/0!</v>
      </c>
      <c r="AW1102" s="1038" t="e">
        <f t="shared" si="646"/>
        <v>#DIV/0!</v>
      </c>
      <c r="AX1102" s="1038" t="e">
        <f t="shared" si="646"/>
        <v>#DIV/0!</v>
      </c>
      <c r="AY1102" s="1038" t="e">
        <f t="shared" si="646"/>
        <v>#DIV/0!</v>
      </c>
      <c r="AZ1102" s="1061" t="s">
        <v>21</v>
      </c>
      <c r="BC1102" s="29"/>
      <c r="BD1102" s="29"/>
      <c r="BE1102" s="13"/>
      <c r="BL1102" s="368"/>
    </row>
    <row r="1103" spans="1:64" ht="12" customHeight="1" x14ac:dyDescent="0.2">
      <c r="A1103" s="39">
        <f>acute_overview_children!A303</f>
        <v>4</v>
      </c>
      <c r="B1103" s="23">
        <f t="shared" si="575"/>
        <v>840010</v>
      </c>
      <c r="C1103" s="23" t="str">
        <f t="shared" si="576"/>
        <v>Liquorice</v>
      </c>
      <c r="D1103" s="135"/>
      <c r="E1103" s="1027"/>
      <c r="F1103" s="87"/>
      <c r="G1103" s="87"/>
      <c r="H1103" s="1027"/>
      <c r="I1103" s="1030"/>
      <c r="J1103" s="1039" t="e">
        <f t="shared" ref="J1103:AR1103" si="647">IF(J303="",0,IF(OR(1=RANK(J703,J$412:J$790,0),(2=RANK(J703,J$412:J$790,0))),J703,J303))</f>
        <v>#DIV/0!</v>
      </c>
      <c r="K1103" s="1040" t="e">
        <f t="shared" si="647"/>
        <v>#DIV/0!</v>
      </c>
      <c r="L1103" s="1040" t="e">
        <f t="shared" si="647"/>
        <v>#DIV/0!</v>
      </c>
      <c r="M1103" s="1040" t="e">
        <f t="shared" si="647"/>
        <v>#DIV/0!</v>
      </c>
      <c r="N1103" s="1040" t="e">
        <f t="shared" si="647"/>
        <v>#DIV/0!</v>
      </c>
      <c r="O1103" s="1040" t="e">
        <f t="shared" si="647"/>
        <v>#DIV/0!</v>
      </c>
      <c r="P1103" s="1040" t="e">
        <f t="shared" si="647"/>
        <v>#DIV/0!</v>
      </c>
      <c r="Q1103" s="1040" t="e">
        <f t="shared" si="647"/>
        <v>#DIV/0!</v>
      </c>
      <c r="R1103" s="1040" t="e">
        <f t="shared" si="647"/>
        <v>#DIV/0!</v>
      </c>
      <c r="S1103" s="1040" t="e">
        <f t="shared" si="647"/>
        <v>#DIV/0!</v>
      </c>
      <c r="T1103" s="1040" t="e">
        <f t="shared" si="647"/>
        <v>#DIV/0!</v>
      </c>
      <c r="U1103" s="1040" t="e">
        <f t="shared" si="647"/>
        <v>#DIV/0!</v>
      </c>
      <c r="V1103" s="1040" t="e">
        <f t="shared" si="647"/>
        <v>#DIV/0!</v>
      </c>
      <c r="W1103" s="1040" t="e">
        <f t="shared" si="647"/>
        <v>#DIV/0!</v>
      </c>
      <c r="X1103" s="1040" t="e">
        <f t="shared" si="647"/>
        <v>#DIV/0!</v>
      </c>
      <c r="Y1103" s="1040" t="e">
        <f t="shared" si="647"/>
        <v>#DIV/0!</v>
      </c>
      <c r="Z1103" s="1040" t="e">
        <f t="shared" si="647"/>
        <v>#DIV/0!</v>
      </c>
      <c r="AA1103" s="1040" t="e">
        <f t="shared" si="647"/>
        <v>#DIV/0!</v>
      </c>
      <c r="AB1103" s="1040" t="e">
        <f t="shared" si="647"/>
        <v>#DIV/0!</v>
      </c>
      <c r="AC1103" s="1040" t="e">
        <f t="shared" si="647"/>
        <v>#DIV/0!</v>
      </c>
      <c r="AD1103" s="1040" t="e">
        <f t="shared" si="647"/>
        <v>#DIV/0!</v>
      </c>
      <c r="AE1103" s="1040" t="e">
        <f t="shared" si="647"/>
        <v>#DIV/0!</v>
      </c>
      <c r="AF1103" s="1040" t="e">
        <f t="shared" si="647"/>
        <v>#DIV/0!</v>
      </c>
      <c r="AG1103" s="1040" t="e">
        <f t="shared" si="647"/>
        <v>#DIV/0!</v>
      </c>
      <c r="AH1103" s="1040" t="e">
        <f t="shared" si="647"/>
        <v>#DIV/0!</v>
      </c>
      <c r="AI1103" s="1040" t="e">
        <f t="shared" si="647"/>
        <v>#DIV/0!</v>
      </c>
      <c r="AJ1103" s="1040" t="e">
        <f t="shared" si="647"/>
        <v>#DIV/0!</v>
      </c>
      <c r="AK1103" s="1040" t="e">
        <f t="shared" si="647"/>
        <v>#DIV/0!</v>
      </c>
      <c r="AL1103" s="1040" t="e">
        <f t="shared" si="647"/>
        <v>#DIV/0!</v>
      </c>
      <c r="AM1103" s="1040" t="e">
        <f t="shared" si="647"/>
        <v>#DIV/0!</v>
      </c>
      <c r="AN1103" s="1040" t="e">
        <f t="shared" si="647"/>
        <v>#DIV/0!</v>
      </c>
      <c r="AO1103" s="1040" t="e">
        <f t="shared" si="647"/>
        <v>#DIV/0!</v>
      </c>
      <c r="AP1103" s="1040" t="e">
        <f t="shared" si="647"/>
        <v>#DIV/0!</v>
      </c>
      <c r="AQ1103" s="1040" t="e">
        <f t="shared" si="647"/>
        <v>#DIV/0!</v>
      </c>
      <c r="AR1103" s="1040" t="e">
        <f t="shared" si="647"/>
        <v>#DIV/0!</v>
      </c>
      <c r="AS1103" s="1040" t="e">
        <f t="shared" ref="AS1103:AY1103" si="648">IF(AS303="",0,IF(OR(1=RANK(AS703,AS$412:AS$790,0),(2=RANK(AS703,AS$412:AS$790,0))),AS703,AS303))</f>
        <v>#DIV/0!</v>
      </c>
      <c r="AT1103" s="1040" t="e">
        <f t="shared" si="648"/>
        <v>#DIV/0!</v>
      </c>
      <c r="AU1103" s="1040">
        <f t="shared" si="648"/>
        <v>0</v>
      </c>
      <c r="AV1103" s="1040" t="e">
        <f t="shared" si="648"/>
        <v>#DIV/0!</v>
      </c>
      <c r="AW1103" s="1040" t="e">
        <f t="shared" si="648"/>
        <v>#DIV/0!</v>
      </c>
      <c r="AX1103" s="1040" t="e">
        <f t="shared" si="648"/>
        <v>#DIV/0!</v>
      </c>
      <c r="AY1103" s="1040" t="e">
        <f t="shared" si="648"/>
        <v>#DIV/0!</v>
      </c>
      <c r="AZ1103" s="1061" t="s">
        <v>21</v>
      </c>
      <c r="BC1103" s="29"/>
      <c r="BD1103" s="29"/>
      <c r="BE1103" s="13"/>
      <c r="BL1103" s="368"/>
    </row>
    <row r="1104" spans="1:64" ht="12" customHeight="1" x14ac:dyDescent="0.2">
      <c r="A1104" s="39">
        <f>acute_overview_children!A304</f>
        <v>4</v>
      </c>
      <c r="B1104" s="23">
        <f t="shared" si="575"/>
        <v>840020</v>
      </c>
      <c r="C1104" s="23" t="str">
        <f t="shared" si="576"/>
        <v xml:space="preserve">Ginger </v>
      </c>
      <c r="D1104" s="135"/>
      <c r="E1104" s="1027"/>
      <c r="F1104" s="87"/>
      <c r="G1104" s="87"/>
      <c r="H1104" s="1027"/>
      <c r="I1104" s="1030"/>
      <c r="J1104" s="1039" t="e">
        <f t="shared" ref="J1104:AR1104" si="649">IF(J304="",0,IF(OR(1=RANK(J704,J$412:J$790,0),(2=RANK(J704,J$412:J$790,0))),J704,J304))</f>
        <v>#DIV/0!</v>
      </c>
      <c r="K1104" s="1040" t="e">
        <f t="shared" si="649"/>
        <v>#DIV/0!</v>
      </c>
      <c r="L1104" s="1040" t="e">
        <f t="shared" si="649"/>
        <v>#DIV/0!</v>
      </c>
      <c r="M1104" s="1040" t="e">
        <f t="shared" si="649"/>
        <v>#DIV/0!</v>
      </c>
      <c r="N1104" s="1040" t="e">
        <f t="shared" si="649"/>
        <v>#DIV/0!</v>
      </c>
      <c r="O1104" s="1040" t="e">
        <f t="shared" si="649"/>
        <v>#DIV/0!</v>
      </c>
      <c r="P1104" s="1040" t="e">
        <f t="shared" si="649"/>
        <v>#DIV/0!</v>
      </c>
      <c r="Q1104" s="1040" t="e">
        <f t="shared" si="649"/>
        <v>#DIV/0!</v>
      </c>
      <c r="R1104" s="1040" t="e">
        <f t="shared" si="649"/>
        <v>#DIV/0!</v>
      </c>
      <c r="S1104" s="1040" t="e">
        <f t="shared" si="649"/>
        <v>#DIV/0!</v>
      </c>
      <c r="T1104" s="1040" t="e">
        <f t="shared" si="649"/>
        <v>#DIV/0!</v>
      </c>
      <c r="U1104" s="1040" t="e">
        <f t="shared" si="649"/>
        <v>#DIV/0!</v>
      </c>
      <c r="V1104" s="1040" t="e">
        <f t="shared" si="649"/>
        <v>#DIV/0!</v>
      </c>
      <c r="W1104" s="1040" t="e">
        <f t="shared" si="649"/>
        <v>#DIV/0!</v>
      </c>
      <c r="X1104" s="1040" t="e">
        <f t="shared" si="649"/>
        <v>#DIV/0!</v>
      </c>
      <c r="Y1104" s="1040" t="e">
        <f t="shared" si="649"/>
        <v>#DIV/0!</v>
      </c>
      <c r="Z1104" s="1040" t="e">
        <f t="shared" si="649"/>
        <v>#DIV/0!</v>
      </c>
      <c r="AA1104" s="1040" t="e">
        <f t="shared" si="649"/>
        <v>#DIV/0!</v>
      </c>
      <c r="AB1104" s="1040" t="e">
        <f t="shared" si="649"/>
        <v>#DIV/0!</v>
      </c>
      <c r="AC1104" s="1040" t="e">
        <f t="shared" si="649"/>
        <v>#DIV/0!</v>
      </c>
      <c r="AD1104" s="1040" t="e">
        <f t="shared" si="649"/>
        <v>#DIV/0!</v>
      </c>
      <c r="AE1104" s="1040" t="e">
        <f t="shared" si="649"/>
        <v>#DIV/0!</v>
      </c>
      <c r="AF1104" s="1040" t="e">
        <f t="shared" si="649"/>
        <v>#DIV/0!</v>
      </c>
      <c r="AG1104" s="1040" t="e">
        <f t="shared" si="649"/>
        <v>#DIV/0!</v>
      </c>
      <c r="AH1104" s="1040" t="e">
        <f t="shared" si="649"/>
        <v>#DIV/0!</v>
      </c>
      <c r="AI1104" s="1040" t="e">
        <f t="shared" si="649"/>
        <v>#DIV/0!</v>
      </c>
      <c r="AJ1104" s="1040" t="e">
        <f t="shared" si="649"/>
        <v>#DIV/0!</v>
      </c>
      <c r="AK1104" s="1040" t="e">
        <f t="shared" si="649"/>
        <v>#DIV/0!</v>
      </c>
      <c r="AL1104" s="1040" t="e">
        <f t="shared" si="649"/>
        <v>#DIV/0!</v>
      </c>
      <c r="AM1104" s="1040" t="e">
        <f t="shared" si="649"/>
        <v>#DIV/0!</v>
      </c>
      <c r="AN1104" s="1040" t="e">
        <f t="shared" si="649"/>
        <v>#DIV/0!</v>
      </c>
      <c r="AO1104" s="1040" t="e">
        <f t="shared" si="649"/>
        <v>#DIV/0!</v>
      </c>
      <c r="AP1104" s="1040" t="e">
        <f t="shared" si="649"/>
        <v>#DIV/0!</v>
      </c>
      <c r="AQ1104" s="1040" t="e">
        <f t="shared" si="649"/>
        <v>#DIV/0!</v>
      </c>
      <c r="AR1104" s="1040" t="e">
        <f t="shared" si="649"/>
        <v>#DIV/0!</v>
      </c>
      <c r="AS1104" s="1040" t="e">
        <f t="shared" ref="AS1104:AY1104" si="650">IF(AS304="",0,IF(OR(1=RANK(AS704,AS$412:AS$790,0),(2=RANK(AS704,AS$412:AS$790,0))),AS704,AS304))</f>
        <v>#DIV/0!</v>
      </c>
      <c r="AT1104" s="1040" t="e">
        <f t="shared" si="650"/>
        <v>#DIV/0!</v>
      </c>
      <c r="AU1104" s="1040">
        <f t="shared" si="650"/>
        <v>0</v>
      </c>
      <c r="AV1104" s="1040" t="e">
        <f t="shared" si="650"/>
        <v>#DIV/0!</v>
      </c>
      <c r="AW1104" s="1040" t="e">
        <f t="shared" si="650"/>
        <v>#DIV/0!</v>
      </c>
      <c r="AX1104" s="1040" t="e">
        <f t="shared" si="650"/>
        <v>#DIV/0!</v>
      </c>
      <c r="AY1104" s="1040" t="e">
        <f t="shared" si="650"/>
        <v>#DIV/0!</v>
      </c>
      <c r="AZ1104" s="1061" t="s">
        <v>21</v>
      </c>
      <c r="BC1104" s="29"/>
      <c r="BD1104" s="29"/>
      <c r="BE1104" s="13"/>
      <c r="BL1104" s="368"/>
    </row>
    <row r="1105" spans="1:64" ht="12" customHeight="1" x14ac:dyDescent="0.2">
      <c r="A1105" s="39">
        <f>acute_overview_children!A305</f>
        <v>4</v>
      </c>
      <c r="B1105" s="23">
        <f t="shared" si="575"/>
        <v>840030</v>
      </c>
      <c r="C1105" s="23" t="str">
        <f t="shared" si="576"/>
        <v>Turmeric/curcuma</v>
      </c>
      <c r="D1105" s="135"/>
      <c r="E1105" s="1027"/>
      <c r="F1105" s="87"/>
      <c r="G1105" s="87"/>
      <c r="H1105" s="1027"/>
      <c r="I1105" s="1030"/>
      <c r="J1105" s="1039" t="e">
        <f t="shared" ref="J1105:AR1105" si="651">IF(J305="",0,IF(OR(1=RANK(J705,J$412:J$790,0),(2=RANK(J705,J$412:J$790,0))),J705,J305))</f>
        <v>#DIV/0!</v>
      </c>
      <c r="K1105" s="1040" t="e">
        <f t="shared" si="651"/>
        <v>#DIV/0!</v>
      </c>
      <c r="L1105" s="1040" t="e">
        <f t="shared" si="651"/>
        <v>#DIV/0!</v>
      </c>
      <c r="M1105" s="1040" t="e">
        <f t="shared" si="651"/>
        <v>#DIV/0!</v>
      </c>
      <c r="N1105" s="1040" t="e">
        <f t="shared" si="651"/>
        <v>#DIV/0!</v>
      </c>
      <c r="O1105" s="1040" t="e">
        <f t="shared" si="651"/>
        <v>#DIV/0!</v>
      </c>
      <c r="P1105" s="1040" t="e">
        <f t="shared" si="651"/>
        <v>#DIV/0!</v>
      </c>
      <c r="Q1105" s="1040" t="e">
        <f t="shared" si="651"/>
        <v>#DIV/0!</v>
      </c>
      <c r="R1105" s="1040" t="e">
        <f t="shared" si="651"/>
        <v>#DIV/0!</v>
      </c>
      <c r="S1105" s="1040" t="e">
        <f t="shared" si="651"/>
        <v>#DIV/0!</v>
      </c>
      <c r="T1105" s="1040" t="e">
        <f t="shared" si="651"/>
        <v>#DIV/0!</v>
      </c>
      <c r="U1105" s="1040" t="e">
        <f t="shared" si="651"/>
        <v>#DIV/0!</v>
      </c>
      <c r="V1105" s="1040" t="e">
        <f t="shared" si="651"/>
        <v>#DIV/0!</v>
      </c>
      <c r="W1105" s="1040" t="e">
        <f t="shared" si="651"/>
        <v>#DIV/0!</v>
      </c>
      <c r="X1105" s="1040" t="e">
        <f t="shared" si="651"/>
        <v>#DIV/0!</v>
      </c>
      <c r="Y1105" s="1040" t="e">
        <f t="shared" si="651"/>
        <v>#DIV/0!</v>
      </c>
      <c r="Z1105" s="1040" t="e">
        <f t="shared" si="651"/>
        <v>#DIV/0!</v>
      </c>
      <c r="AA1105" s="1040" t="e">
        <f t="shared" si="651"/>
        <v>#DIV/0!</v>
      </c>
      <c r="AB1105" s="1040" t="e">
        <f t="shared" si="651"/>
        <v>#DIV/0!</v>
      </c>
      <c r="AC1105" s="1040" t="e">
        <f t="shared" si="651"/>
        <v>#DIV/0!</v>
      </c>
      <c r="AD1105" s="1040" t="e">
        <f t="shared" si="651"/>
        <v>#DIV/0!</v>
      </c>
      <c r="AE1105" s="1040" t="e">
        <f t="shared" si="651"/>
        <v>#DIV/0!</v>
      </c>
      <c r="AF1105" s="1040" t="e">
        <f t="shared" si="651"/>
        <v>#DIV/0!</v>
      </c>
      <c r="AG1105" s="1040" t="e">
        <f t="shared" si="651"/>
        <v>#DIV/0!</v>
      </c>
      <c r="AH1105" s="1040" t="e">
        <f t="shared" si="651"/>
        <v>#DIV/0!</v>
      </c>
      <c r="AI1105" s="1040" t="e">
        <f t="shared" si="651"/>
        <v>#DIV/0!</v>
      </c>
      <c r="AJ1105" s="1040" t="e">
        <f t="shared" si="651"/>
        <v>#DIV/0!</v>
      </c>
      <c r="AK1105" s="1040" t="e">
        <f t="shared" si="651"/>
        <v>#DIV/0!</v>
      </c>
      <c r="AL1105" s="1040" t="e">
        <f t="shared" si="651"/>
        <v>#DIV/0!</v>
      </c>
      <c r="AM1105" s="1040" t="e">
        <f t="shared" si="651"/>
        <v>#DIV/0!</v>
      </c>
      <c r="AN1105" s="1040" t="e">
        <f t="shared" si="651"/>
        <v>#DIV/0!</v>
      </c>
      <c r="AO1105" s="1040" t="e">
        <f t="shared" si="651"/>
        <v>#DIV/0!</v>
      </c>
      <c r="AP1105" s="1040" t="e">
        <f t="shared" si="651"/>
        <v>#DIV/0!</v>
      </c>
      <c r="AQ1105" s="1040" t="e">
        <f t="shared" si="651"/>
        <v>#DIV/0!</v>
      </c>
      <c r="AR1105" s="1040" t="e">
        <f t="shared" si="651"/>
        <v>#DIV/0!</v>
      </c>
      <c r="AS1105" s="1040" t="e">
        <f t="shared" ref="AS1105:AY1105" si="652">IF(AS305="",0,IF(OR(1=RANK(AS705,AS$412:AS$790,0),(2=RANK(AS705,AS$412:AS$790,0))),AS705,AS305))</f>
        <v>#DIV/0!</v>
      </c>
      <c r="AT1105" s="1040" t="e">
        <f t="shared" si="652"/>
        <v>#DIV/0!</v>
      </c>
      <c r="AU1105" s="1040">
        <f t="shared" si="652"/>
        <v>0</v>
      </c>
      <c r="AV1105" s="1040" t="e">
        <f t="shared" si="652"/>
        <v>#DIV/0!</v>
      </c>
      <c r="AW1105" s="1040" t="e">
        <f t="shared" si="652"/>
        <v>#DIV/0!</v>
      </c>
      <c r="AX1105" s="1040" t="e">
        <f t="shared" si="652"/>
        <v>#DIV/0!</v>
      </c>
      <c r="AY1105" s="1040" t="e">
        <f t="shared" si="652"/>
        <v>#DIV/0!</v>
      </c>
      <c r="AZ1105" s="1061" t="s">
        <v>21</v>
      </c>
      <c r="BC1105" s="29"/>
      <c r="BD1105" s="29"/>
      <c r="BE1105" s="13"/>
      <c r="BL1105" s="368"/>
    </row>
    <row r="1106" spans="1:64" ht="12" customHeight="1" x14ac:dyDescent="0.2">
      <c r="A1106" s="39">
        <f>acute_overview_children!A306</f>
        <v>4</v>
      </c>
      <c r="B1106" s="23">
        <f t="shared" si="575"/>
        <v>840040</v>
      </c>
      <c r="C1106" s="23" t="str">
        <f t="shared" si="576"/>
        <v>Horseradish, root spices</v>
      </c>
      <c r="D1106" s="135"/>
      <c r="E1106" s="1027"/>
      <c r="F1106" s="87"/>
      <c r="G1106" s="87"/>
      <c r="H1106" s="1027"/>
      <c r="I1106" s="1030"/>
      <c r="J1106" s="1039" t="e">
        <f t="shared" ref="J1106:AR1106" si="653">IF(J306="",0,IF(OR(1=RANK(J706,J$412:J$790,0),(2=RANK(J706,J$412:J$790,0))),J706,J306))</f>
        <v>#DIV/0!</v>
      </c>
      <c r="K1106" s="1040" t="e">
        <f t="shared" si="653"/>
        <v>#DIV/0!</v>
      </c>
      <c r="L1106" s="1040" t="e">
        <f t="shared" si="653"/>
        <v>#DIV/0!</v>
      </c>
      <c r="M1106" s="1040" t="e">
        <f t="shared" si="653"/>
        <v>#DIV/0!</v>
      </c>
      <c r="N1106" s="1040" t="e">
        <f t="shared" si="653"/>
        <v>#DIV/0!</v>
      </c>
      <c r="O1106" s="1040" t="e">
        <f t="shared" si="653"/>
        <v>#DIV/0!</v>
      </c>
      <c r="P1106" s="1040" t="e">
        <f t="shared" si="653"/>
        <v>#DIV/0!</v>
      </c>
      <c r="Q1106" s="1040" t="e">
        <f t="shared" si="653"/>
        <v>#DIV/0!</v>
      </c>
      <c r="R1106" s="1040" t="e">
        <f t="shared" si="653"/>
        <v>#DIV/0!</v>
      </c>
      <c r="S1106" s="1040" t="e">
        <f t="shared" si="653"/>
        <v>#DIV/0!</v>
      </c>
      <c r="T1106" s="1040" t="e">
        <f t="shared" si="653"/>
        <v>#DIV/0!</v>
      </c>
      <c r="U1106" s="1040" t="e">
        <f t="shared" si="653"/>
        <v>#DIV/0!</v>
      </c>
      <c r="V1106" s="1040" t="e">
        <f t="shared" si="653"/>
        <v>#DIV/0!</v>
      </c>
      <c r="W1106" s="1040" t="e">
        <f t="shared" si="653"/>
        <v>#DIV/0!</v>
      </c>
      <c r="X1106" s="1040" t="e">
        <f t="shared" si="653"/>
        <v>#DIV/0!</v>
      </c>
      <c r="Y1106" s="1040" t="e">
        <f t="shared" si="653"/>
        <v>#DIV/0!</v>
      </c>
      <c r="Z1106" s="1040" t="e">
        <f t="shared" si="653"/>
        <v>#DIV/0!</v>
      </c>
      <c r="AA1106" s="1040" t="e">
        <f t="shared" si="653"/>
        <v>#DIV/0!</v>
      </c>
      <c r="AB1106" s="1040" t="e">
        <f t="shared" si="653"/>
        <v>#DIV/0!</v>
      </c>
      <c r="AC1106" s="1040" t="e">
        <f t="shared" si="653"/>
        <v>#DIV/0!</v>
      </c>
      <c r="AD1106" s="1040" t="e">
        <f t="shared" si="653"/>
        <v>#DIV/0!</v>
      </c>
      <c r="AE1106" s="1040" t="e">
        <f t="shared" si="653"/>
        <v>#DIV/0!</v>
      </c>
      <c r="AF1106" s="1040" t="e">
        <f t="shared" si="653"/>
        <v>#DIV/0!</v>
      </c>
      <c r="AG1106" s="1040" t="e">
        <f t="shared" si="653"/>
        <v>#DIV/0!</v>
      </c>
      <c r="AH1106" s="1040" t="e">
        <f t="shared" si="653"/>
        <v>#DIV/0!</v>
      </c>
      <c r="AI1106" s="1040" t="e">
        <f t="shared" si="653"/>
        <v>#DIV/0!</v>
      </c>
      <c r="AJ1106" s="1040" t="e">
        <f t="shared" si="653"/>
        <v>#DIV/0!</v>
      </c>
      <c r="AK1106" s="1040" t="e">
        <f t="shared" si="653"/>
        <v>#DIV/0!</v>
      </c>
      <c r="AL1106" s="1040" t="e">
        <f t="shared" si="653"/>
        <v>#DIV/0!</v>
      </c>
      <c r="AM1106" s="1040" t="e">
        <f t="shared" si="653"/>
        <v>#DIV/0!</v>
      </c>
      <c r="AN1106" s="1040" t="e">
        <f t="shared" si="653"/>
        <v>#DIV/0!</v>
      </c>
      <c r="AO1106" s="1040" t="e">
        <f t="shared" si="653"/>
        <v>#DIV/0!</v>
      </c>
      <c r="AP1106" s="1040" t="e">
        <f t="shared" si="653"/>
        <v>#DIV/0!</v>
      </c>
      <c r="AQ1106" s="1040" t="e">
        <f t="shared" si="653"/>
        <v>#DIV/0!</v>
      </c>
      <c r="AR1106" s="1040" t="e">
        <f t="shared" si="653"/>
        <v>#DIV/0!</v>
      </c>
      <c r="AS1106" s="1040" t="e">
        <f t="shared" ref="AS1106:AY1106" si="654">IF(AS306="",0,IF(OR(1=RANK(AS706,AS$412:AS$790,0),(2=RANK(AS706,AS$412:AS$790,0))),AS706,AS306))</f>
        <v>#DIV/0!</v>
      </c>
      <c r="AT1106" s="1040" t="e">
        <f t="shared" si="654"/>
        <v>#DIV/0!</v>
      </c>
      <c r="AU1106" s="1040">
        <f t="shared" si="654"/>
        <v>0</v>
      </c>
      <c r="AV1106" s="1040" t="e">
        <f t="shared" si="654"/>
        <v>#DIV/0!</v>
      </c>
      <c r="AW1106" s="1040" t="e">
        <f t="shared" si="654"/>
        <v>#DIV/0!</v>
      </c>
      <c r="AX1106" s="1040" t="e">
        <f t="shared" si="654"/>
        <v>#DIV/0!</v>
      </c>
      <c r="AY1106" s="1040" t="e">
        <f t="shared" si="654"/>
        <v>#DIV/0!</v>
      </c>
      <c r="AZ1106" s="1061" t="s">
        <v>21</v>
      </c>
      <c r="BC1106" s="29"/>
      <c r="BD1106" s="29"/>
      <c r="BE1106" s="13"/>
      <c r="BL1106" s="368"/>
    </row>
    <row r="1107" spans="1:64" ht="12" customHeight="1" x14ac:dyDescent="0.2">
      <c r="A1107" s="39">
        <f>acute_overview_children!A307</f>
        <v>4</v>
      </c>
      <c r="B1107" s="23">
        <f t="shared" si="575"/>
        <v>840990</v>
      </c>
      <c r="C1107" s="23" t="str">
        <f t="shared" si="576"/>
        <v>Other spices (roots)</v>
      </c>
      <c r="D1107" s="135"/>
      <c r="E1107" s="1027"/>
      <c r="F1107" s="87"/>
      <c r="G1107" s="87"/>
      <c r="H1107" s="1027"/>
      <c r="I1107" s="1030"/>
      <c r="J1107" s="1039" t="e">
        <f t="shared" ref="J1107:AR1107" si="655">IF(J307="",0,IF(OR(1=RANK(J707,J$412:J$790,0),(2=RANK(J707,J$412:J$790,0))),J707,J307))</f>
        <v>#DIV/0!</v>
      </c>
      <c r="K1107" s="1040" t="e">
        <f t="shared" si="655"/>
        <v>#DIV/0!</v>
      </c>
      <c r="L1107" s="1040" t="e">
        <f t="shared" si="655"/>
        <v>#DIV/0!</v>
      </c>
      <c r="M1107" s="1040" t="e">
        <f t="shared" si="655"/>
        <v>#DIV/0!</v>
      </c>
      <c r="N1107" s="1040" t="e">
        <f t="shared" si="655"/>
        <v>#DIV/0!</v>
      </c>
      <c r="O1107" s="1040" t="e">
        <f t="shared" si="655"/>
        <v>#DIV/0!</v>
      </c>
      <c r="P1107" s="1040" t="e">
        <f t="shared" si="655"/>
        <v>#DIV/0!</v>
      </c>
      <c r="Q1107" s="1040" t="e">
        <f t="shared" si="655"/>
        <v>#DIV/0!</v>
      </c>
      <c r="R1107" s="1040" t="e">
        <f t="shared" si="655"/>
        <v>#DIV/0!</v>
      </c>
      <c r="S1107" s="1040" t="e">
        <f t="shared" si="655"/>
        <v>#DIV/0!</v>
      </c>
      <c r="T1107" s="1040" t="e">
        <f t="shared" si="655"/>
        <v>#DIV/0!</v>
      </c>
      <c r="U1107" s="1040" t="e">
        <f t="shared" si="655"/>
        <v>#DIV/0!</v>
      </c>
      <c r="V1107" s="1040" t="e">
        <f t="shared" si="655"/>
        <v>#DIV/0!</v>
      </c>
      <c r="W1107" s="1040" t="e">
        <f t="shared" si="655"/>
        <v>#DIV/0!</v>
      </c>
      <c r="X1107" s="1040" t="e">
        <f t="shared" si="655"/>
        <v>#DIV/0!</v>
      </c>
      <c r="Y1107" s="1040" t="e">
        <f t="shared" si="655"/>
        <v>#DIV/0!</v>
      </c>
      <c r="Z1107" s="1040" t="e">
        <f t="shared" si="655"/>
        <v>#DIV/0!</v>
      </c>
      <c r="AA1107" s="1040" t="e">
        <f t="shared" si="655"/>
        <v>#DIV/0!</v>
      </c>
      <c r="AB1107" s="1040" t="e">
        <f t="shared" si="655"/>
        <v>#DIV/0!</v>
      </c>
      <c r="AC1107" s="1040" t="e">
        <f t="shared" si="655"/>
        <v>#DIV/0!</v>
      </c>
      <c r="AD1107" s="1040" t="e">
        <f t="shared" si="655"/>
        <v>#DIV/0!</v>
      </c>
      <c r="AE1107" s="1040" t="e">
        <f t="shared" si="655"/>
        <v>#DIV/0!</v>
      </c>
      <c r="AF1107" s="1040" t="e">
        <f t="shared" si="655"/>
        <v>#DIV/0!</v>
      </c>
      <c r="AG1107" s="1040" t="e">
        <f t="shared" si="655"/>
        <v>#DIV/0!</v>
      </c>
      <c r="AH1107" s="1040" t="e">
        <f t="shared" si="655"/>
        <v>#DIV/0!</v>
      </c>
      <c r="AI1107" s="1040" t="e">
        <f t="shared" si="655"/>
        <v>#DIV/0!</v>
      </c>
      <c r="AJ1107" s="1040" t="e">
        <f t="shared" si="655"/>
        <v>#DIV/0!</v>
      </c>
      <c r="AK1107" s="1040" t="e">
        <f t="shared" si="655"/>
        <v>#DIV/0!</v>
      </c>
      <c r="AL1107" s="1040" t="e">
        <f t="shared" si="655"/>
        <v>#DIV/0!</v>
      </c>
      <c r="AM1107" s="1040" t="e">
        <f t="shared" si="655"/>
        <v>#DIV/0!</v>
      </c>
      <c r="AN1107" s="1040" t="e">
        <f t="shared" si="655"/>
        <v>#DIV/0!</v>
      </c>
      <c r="AO1107" s="1040" t="e">
        <f t="shared" si="655"/>
        <v>#DIV/0!</v>
      </c>
      <c r="AP1107" s="1040" t="e">
        <f t="shared" si="655"/>
        <v>#DIV/0!</v>
      </c>
      <c r="AQ1107" s="1040" t="e">
        <f t="shared" si="655"/>
        <v>#DIV/0!</v>
      </c>
      <c r="AR1107" s="1040" t="e">
        <f t="shared" si="655"/>
        <v>#DIV/0!</v>
      </c>
      <c r="AS1107" s="1040" t="e">
        <f t="shared" ref="AS1107:AY1107" si="656">IF(AS307="",0,IF(OR(1=RANK(AS707,AS$412:AS$790,0),(2=RANK(AS707,AS$412:AS$790,0))),AS707,AS307))</f>
        <v>#DIV/0!</v>
      </c>
      <c r="AT1107" s="1040" t="e">
        <f t="shared" si="656"/>
        <v>#DIV/0!</v>
      </c>
      <c r="AU1107" s="1040">
        <f t="shared" si="656"/>
        <v>0</v>
      </c>
      <c r="AV1107" s="1040" t="e">
        <f t="shared" si="656"/>
        <v>#DIV/0!</v>
      </c>
      <c r="AW1107" s="1040" t="e">
        <f t="shared" si="656"/>
        <v>#DIV/0!</v>
      </c>
      <c r="AX1107" s="1040" t="e">
        <f t="shared" si="656"/>
        <v>#DIV/0!</v>
      </c>
      <c r="AY1107" s="1040" t="e">
        <f t="shared" si="656"/>
        <v>#DIV/0!</v>
      </c>
      <c r="AZ1107" s="1061" t="s">
        <v>21</v>
      </c>
      <c r="BC1107" s="29"/>
      <c r="BD1107" s="29"/>
      <c r="BE1107" s="13"/>
      <c r="BL1107" s="368"/>
    </row>
    <row r="1108" spans="1:64" ht="12" customHeight="1" x14ac:dyDescent="0.2">
      <c r="A1108" s="515">
        <f>acute_overview_children!A308</f>
        <v>2</v>
      </c>
      <c r="B1108" s="131">
        <f t="shared" si="575"/>
        <v>850000</v>
      </c>
      <c r="C1108" s="131" t="str">
        <f t="shared" si="576"/>
        <v>Spices (buds)</v>
      </c>
      <c r="D1108" s="1035"/>
      <c r="E1108" s="1027"/>
      <c r="F1108" s="87"/>
      <c r="G1108" s="87"/>
      <c r="H1108" s="1027"/>
      <c r="I1108" s="1030"/>
      <c r="J1108" s="1037" t="e">
        <f t="shared" ref="J1108:AR1108" si="657">IF(J308="",0,IF(OR(1=RANK(J708,J$412:J$790,0),(2=RANK(J708,J$412:J$790,0))),J708,J308))</f>
        <v>#DIV/0!</v>
      </c>
      <c r="K1108" s="1038" t="e">
        <f t="shared" si="657"/>
        <v>#DIV/0!</v>
      </c>
      <c r="L1108" s="1038" t="e">
        <f t="shared" si="657"/>
        <v>#DIV/0!</v>
      </c>
      <c r="M1108" s="1038" t="e">
        <f t="shared" si="657"/>
        <v>#DIV/0!</v>
      </c>
      <c r="N1108" s="1038" t="e">
        <f t="shared" si="657"/>
        <v>#DIV/0!</v>
      </c>
      <c r="O1108" s="1038" t="e">
        <f t="shared" si="657"/>
        <v>#DIV/0!</v>
      </c>
      <c r="P1108" s="1038" t="e">
        <f t="shared" si="657"/>
        <v>#DIV/0!</v>
      </c>
      <c r="Q1108" s="1038" t="e">
        <f t="shared" si="657"/>
        <v>#DIV/0!</v>
      </c>
      <c r="R1108" s="1038" t="e">
        <f t="shared" si="657"/>
        <v>#DIV/0!</v>
      </c>
      <c r="S1108" s="1038" t="e">
        <f t="shared" si="657"/>
        <v>#DIV/0!</v>
      </c>
      <c r="T1108" s="1038" t="e">
        <f t="shared" si="657"/>
        <v>#DIV/0!</v>
      </c>
      <c r="U1108" s="1038" t="e">
        <f t="shared" si="657"/>
        <v>#DIV/0!</v>
      </c>
      <c r="V1108" s="1038" t="e">
        <f t="shared" si="657"/>
        <v>#DIV/0!</v>
      </c>
      <c r="W1108" s="1038" t="e">
        <f t="shared" si="657"/>
        <v>#DIV/0!</v>
      </c>
      <c r="X1108" s="1038" t="e">
        <f t="shared" si="657"/>
        <v>#DIV/0!</v>
      </c>
      <c r="Y1108" s="1038" t="e">
        <f t="shared" si="657"/>
        <v>#DIV/0!</v>
      </c>
      <c r="Z1108" s="1038" t="e">
        <f t="shared" si="657"/>
        <v>#DIV/0!</v>
      </c>
      <c r="AA1108" s="1038" t="e">
        <f t="shared" si="657"/>
        <v>#DIV/0!</v>
      </c>
      <c r="AB1108" s="1038" t="e">
        <f t="shared" si="657"/>
        <v>#DIV/0!</v>
      </c>
      <c r="AC1108" s="1038" t="e">
        <f t="shared" si="657"/>
        <v>#DIV/0!</v>
      </c>
      <c r="AD1108" s="1038" t="e">
        <f t="shared" si="657"/>
        <v>#DIV/0!</v>
      </c>
      <c r="AE1108" s="1038" t="e">
        <f t="shared" si="657"/>
        <v>#DIV/0!</v>
      </c>
      <c r="AF1108" s="1038" t="e">
        <f t="shared" si="657"/>
        <v>#DIV/0!</v>
      </c>
      <c r="AG1108" s="1038" t="e">
        <f t="shared" si="657"/>
        <v>#DIV/0!</v>
      </c>
      <c r="AH1108" s="1038" t="e">
        <f t="shared" si="657"/>
        <v>#DIV/0!</v>
      </c>
      <c r="AI1108" s="1038" t="e">
        <f t="shared" si="657"/>
        <v>#DIV/0!</v>
      </c>
      <c r="AJ1108" s="1038" t="e">
        <f t="shared" si="657"/>
        <v>#DIV/0!</v>
      </c>
      <c r="AK1108" s="1038" t="e">
        <f t="shared" si="657"/>
        <v>#DIV/0!</v>
      </c>
      <c r="AL1108" s="1038" t="e">
        <f t="shared" si="657"/>
        <v>#DIV/0!</v>
      </c>
      <c r="AM1108" s="1038" t="e">
        <f t="shared" si="657"/>
        <v>#DIV/0!</v>
      </c>
      <c r="AN1108" s="1038" t="e">
        <f t="shared" si="657"/>
        <v>#DIV/0!</v>
      </c>
      <c r="AO1108" s="1038" t="e">
        <f t="shared" si="657"/>
        <v>#DIV/0!</v>
      </c>
      <c r="AP1108" s="1038" t="e">
        <f t="shared" si="657"/>
        <v>#DIV/0!</v>
      </c>
      <c r="AQ1108" s="1038" t="e">
        <f t="shared" si="657"/>
        <v>#DIV/0!</v>
      </c>
      <c r="AR1108" s="1038" t="e">
        <f t="shared" si="657"/>
        <v>#DIV/0!</v>
      </c>
      <c r="AS1108" s="1038" t="e">
        <f t="shared" ref="AS1108:AY1108" si="658">IF(AS308="",0,IF(OR(1=RANK(AS708,AS$412:AS$790,0),(2=RANK(AS708,AS$412:AS$790,0))),AS708,AS308))</f>
        <v>#DIV/0!</v>
      </c>
      <c r="AT1108" s="1038" t="e">
        <f t="shared" si="658"/>
        <v>#DIV/0!</v>
      </c>
      <c r="AU1108" s="1038">
        <f t="shared" si="658"/>
        <v>0</v>
      </c>
      <c r="AV1108" s="1038" t="e">
        <f t="shared" si="658"/>
        <v>#DIV/0!</v>
      </c>
      <c r="AW1108" s="1038" t="e">
        <f t="shared" si="658"/>
        <v>#DIV/0!</v>
      </c>
      <c r="AX1108" s="1038" t="e">
        <f t="shared" si="658"/>
        <v>#DIV/0!</v>
      </c>
      <c r="AY1108" s="1038" t="e">
        <f t="shared" si="658"/>
        <v>#DIV/0!</v>
      </c>
      <c r="AZ1108" s="1061" t="s">
        <v>21</v>
      </c>
      <c r="BC1108" s="29"/>
      <c r="BD1108" s="29"/>
      <c r="BE1108" s="13"/>
      <c r="BL1108" s="368"/>
    </row>
    <row r="1109" spans="1:64" ht="12" customHeight="1" x14ac:dyDescent="0.2">
      <c r="A1109" s="39">
        <f>acute_overview_children!A309</f>
        <v>4</v>
      </c>
      <c r="B1109" s="23">
        <f t="shared" si="575"/>
        <v>850010</v>
      </c>
      <c r="C1109" s="23" t="str">
        <f t="shared" si="576"/>
        <v>Cloves</v>
      </c>
      <c r="D1109" s="135"/>
      <c r="E1109" s="1027"/>
      <c r="F1109" s="87"/>
      <c r="G1109" s="87"/>
      <c r="H1109" s="1027"/>
      <c r="I1109" s="1030"/>
      <c r="J1109" s="1039" t="e">
        <f t="shared" ref="J1109:AR1109" si="659">IF(J309="",0,IF(OR(1=RANK(J709,J$412:J$790,0),(2=RANK(J709,J$412:J$790,0))),J709,J309))</f>
        <v>#DIV/0!</v>
      </c>
      <c r="K1109" s="1040" t="e">
        <f t="shared" si="659"/>
        <v>#DIV/0!</v>
      </c>
      <c r="L1109" s="1040" t="e">
        <f t="shared" si="659"/>
        <v>#DIV/0!</v>
      </c>
      <c r="M1109" s="1040" t="e">
        <f t="shared" si="659"/>
        <v>#DIV/0!</v>
      </c>
      <c r="N1109" s="1040" t="e">
        <f t="shared" si="659"/>
        <v>#DIV/0!</v>
      </c>
      <c r="O1109" s="1040" t="e">
        <f t="shared" si="659"/>
        <v>#DIV/0!</v>
      </c>
      <c r="P1109" s="1040" t="e">
        <f t="shared" si="659"/>
        <v>#DIV/0!</v>
      </c>
      <c r="Q1109" s="1040" t="e">
        <f t="shared" si="659"/>
        <v>#DIV/0!</v>
      </c>
      <c r="R1109" s="1040" t="e">
        <f t="shared" si="659"/>
        <v>#DIV/0!</v>
      </c>
      <c r="S1109" s="1040" t="e">
        <f t="shared" si="659"/>
        <v>#DIV/0!</v>
      </c>
      <c r="T1109" s="1040" t="e">
        <f t="shared" si="659"/>
        <v>#DIV/0!</v>
      </c>
      <c r="U1109" s="1040" t="e">
        <f t="shared" si="659"/>
        <v>#DIV/0!</v>
      </c>
      <c r="V1109" s="1040" t="e">
        <f t="shared" si="659"/>
        <v>#DIV/0!</v>
      </c>
      <c r="W1109" s="1040" t="e">
        <f t="shared" si="659"/>
        <v>#DIV/0!</v>
      </c>
      <c r="X1109" s="1040" t="e">
        <f t="shared" si="659"/>
        <v>#DIV/0!</v>
      </c>
      <c r="Y1109" s="1040" t="e">
        <f t="shared" si="659"/>
        <v>#DIV/0!</v>
      </c>
      <c r="Z1109" s="1040" t="e">
        <f t="shared" si="659"/>
        <v>#DIV/0!</v>
      </c>
      <c r="AA1109" s="1040" t="e">
        <f t="shared" si="659"/>
        <v>#DIV/0!</v>
      </c>
      <c r="AB1109" s="1040" t="e">
        <f t="shared" si="659"/>
        <v>#DIV/0!</v>
      </c>
      <c r="AC1109" s="1040" t="e">
        <f t="shared" si="659"/>
        <v>#DIV/0!</v>
      </c>
      <c r="AD1109" s="1040" t="e">
        <f t="shared" si="659"/>
        <v>#DIV/0!</v>
      </c>
      <c r="AE1109" s="1040" t="e">
        <f t="shared" si="659"/>
        <v>#DIV/0!</v>
      </c>
      <c r="AF1109" s="1040" t="e">
        <f t="shared" si="659"/>
        <v>#DIV/0!</v>
      </c>
      <c r="AG1109" s="1040" t="e">
        <f t="shared" si="659"/>
        <v>#DIV/0!</v>
      </c>
      <c r="AH1109" s="1040" t="e">
        <f t="shared" si="659"/>
        <v>#DIV/0!</v>
      </c>
      <c r="AI1109" s="1040" t="e">
        <f t="shared" si="659"/>
        <v>#DIV/0!</v>
      </c>
      <c r="AJ1109" s="1040" t="e">
        <f t="shared" si="659"/>
        <v>#DIV/0!</v>
      </c>
      <c r="AK1109" s="1040" t="e">
        <f t="shared" si="659"/>
        <v>#DIV/0!</v>
      </c>
      <c r="AL1109" s="1040" t="e">
        <f t="shared" si="659"/>
        <v>#DIV/0!</v>
      </c>
      <c r="AM1109" s="1040" t="e">
        <f t="shared" si="659"/>
        <v>#DIV/0!</v>
      </c>
      <c r="AN1109" s="1040" t="e">
        <f t="shared" si="659"/>
        <v>#DIV/0!</v>
      </c>
      <c r="AO1109" s="1040" t="e">
        <f t="shared" si="659"/>
        <v>#DIV/0!</v>
      </c>
      <c r="AP1109" s="1040" t="e">
        <f t="shared" si="659"/>
        <v>#DIV/0!</v>
      </c>
      <c r="AQ1109" s="1040" t="e">
        <f t="shared" si="659"/>
        <v>#DIV/0!</v>
      </c>
      <c r="AR1109" s="1040" t="e">
        <f t="shared" si="659"/>
        <v>#DIV/0!</v>
      </c>
      <c r="AS1109" s="1040" t="e">
        <f t="shared" ref="AS1109:AY1109" si="660">IF(AS309="",0,IF(OR(1=RANK(AS709,AS$412:AS$790,0),(2=RANK(AS709,AS$412:AS$790,0))),AS709,AS309))</f>
        <v>#DIV/0!</v>
      </c>
      <c r="AT1109" s="1040" t="e">
        <f t="shared" si="660"/>
        <v>#DIV/0!</v>
      </c>
      <c r="AU1109" s="1040">
        <f t="shared" si="660"/>
        <v>0</v>
      </c>
      <c r="AV1109" s="1040" t="e">
        <f t="shared" si="660"/>
        <v>#DIV/0!</v>
      </c>
      <c r="AW1109" s="1040" t="e">
        <f t="shared" si="660"/>
        <v>#DIV/0!</v>
      </c>
      <c r="AX1109" s="1040" t="e">
        <f t="shared" si="660"/>
        <v>#DIV/0!</v>
      </c>
      <c r="AY1109" s="1040" t="e">
        <f t="shared" si="660"/>
        <v>#DIV/0!</v>
      </c>
      <c r="AZ1109" s="1061" t="s">
        <v>21</v>
      </c>
      <c r="BC1109" s="29"/>
      <c r="BD1109" s="29"/>
      <c r="BE1109" s="13"/>
      <c r="BL1109" s="368"/>
    </row>
    <row r="1110" spans="1:64" ht="12" customHeight="1" x14ac:dyDescent="0.2">
      <c r="A1110" s="39">
        <f>acute_overview_children!A310</f>
        <v>4</v>
      </c>
      <c r="B1110" s="23">
        <f t="shared" si="575"/>
        <v>850020</v>
      </c>
      <c r="C1110" s="23" t="str">
        <f t="shared" si="576"/>
        <v>Capers</v>
      </c>
      <c r="D1110" s="135"/>
      <c r="E1110" s="1027"/>
      <c r="F1110" s="87"/>
      <c r="G1110" s="87"/>
      <c r="H1110" s="1027"/>
      <c r="I1110" s="1030"/>
      <c r="J1110" s="1039" t="e">
        <f t="shared" ref="J1110:AR1110" si="661">IF(J310="",0,IF(OR(1=RANK(J710,J$412:J$790,0),(2=RANK(J710,J$412:J$790,0))),J710,J310))</f>
        <v>#DIV/0!</v>
      </c>
      <c r="K1110" s="1040" t="e">
        <f t="shared" si="661"/>
        <v>#DIV/0!</v>
      </c>
      <c r="L1110" s="1040" t="e">
        <f t="shared" si="661"/>
        <v>#DIV/0!</v>
      </c>
      <c r="M1110" s="1040" t="e">
        <f t="shared" si="661"/>
        <v>#DIV/0!</v>
      </c>
      <c r="N1110" s="1040" t="e">
        <f t="shared" si="661"/>
        <v>#DIV/0!</v>
      </c>
      <c r="O1110" s="1040" t="e">
        <f t="shared" si="661"/>
        <v>#DIV/0!</v>
      </c>
      <c r="P1110" s="1040" t="e">
        <f t="shared" si="661"/>
        <v>#DIV/0!</v>
      </c>
      <c r="Q1110" s="1040" t="e">
        <f t="shared" si="661"/>
        <v>#DIV/0!</v>
      </c>
      <c r="R1110" s="1040" t="e">
        <f t="shared" si="661"/>
        <v>#DIV/0!</v>
      </c>
      <c r="S1110" s="1040" t="e">
        <f t="shared" si="661"/>
        <v>#DIV/0!</v>
      </c>
      <c r="T1110" s="1040" t="e">
        <f t="shared" si="661"/>
        <v>#DIV/0!</v>
      </c>
      <c r="U1110" s="1040" t="e">
        <f t="shared" si="661"/>
        <v>#DIV/0!</v>
      </c>
      <c r="V1110" s="1040" t="e">
        <f t="shared" si="661"/>
        <v>#DIV/0!</v>
      </c>
      <c r="W1110" s="1040" t="e">
        <f t="shared" si="661"/>
        <v>#DIV/0!</v>
      </c>
      <c r="X1110" s="1040" t="e">
        <f t="shared" si="661"/>
        <v>#DIV/0!</v>
      </c>
      <c r="Y1110" s="1040" t="e">
        <f t="shared" si="661"/>
        <v>#DIV/0!</v>
      </c>
      <c r="Z1110" s="1040" t="e">
        <f t="shared" si="661"/>
        <v>#DIV/0!</v>
      </c>
      <c r="AA1110" s="1040" t="e">
        <f t="shared" si="661"/>
        <v>#DIV/0!</v>
      </c>
      <c r="AB1110" s="1040" t="e">
        <f t="shared" si="661"/>
        <v>#DIV/0!</v>
      </c>
      <c r="AC1110" s="1040" t="e">
        <f t="shared" si="661"/>
        <v>#DIV/0!</v>
      </c>
      <c r="AD1110" s="1040" t="e">
        <f t="shared" si="661"/>
        <v>#DIV/0!</v>
      </c>
      <c r="AE1110" s="1040" t="e">
        <f t="shared" si="661"/>
        <v>#DIV/0!</v>
      </c>
      <c r="AF1110" s="1040" t="e">
        <f t="shared" si="661"/>
        <v>#DIV/0!</v>
      </c>
      <c r="AG1110" s="1040" t="e">
        <f t="shared" si="661"/>
        <v>#DIV/0!</v>
      </c>
      <c r="AH1110" s="1040" t="e">
        <f t="shared" si="661"/>
        <v>#DIV/0!</v>
      </c>
      <c r="AI1110" s="1040" t="e">
        <f t="shared" si="661"/>
        <v>#DIV/0!</v>
      </c>
      <c r="AJ1110" s="1040" t="e">
        <f t="shared" si="661"/>
        <v>#DIV/0!</v>
      </c>
      <c r="AK1110" s="1040" t="e">
        <f t="shared" si="661"/>
        <v>#DIV/0!</v>
      </c>
      <c r="AL1110" s="1040" t="e">
        <f t="shared" si="661"/>
        <v>#DIV/0!</v>
      </c>
      <c r="AM1110" s="1040" t="e">
        <f t="shared" si="661"/>
        <v>#DIV/0!</v>
      </c>
      <c r="AN1110" s="1040" t="e">
        <f t="shared" si="661"/>
        <v>#DIV/0!</v>
      </c>
      <c r="AO1110" s="1040" t="e">
        <f t="shared" si="661"/>
        <v>#DIV/0!</v>
      </c>
      <c r="AP1110" s="1040" t="e">
        <f t="shared" si="661"/>
        <v>#DIV/0!</v>
      </c>
      <c r="AQ1110" s="1040" t="e">
        <f t="shared" si="661"/>
        <v>#DIV/0!</v>
      </c>
      <c r="AR1110" s="1040" t="e">
        <f t="shared" si="661"/>
        <v>#DIV/0!</v>
      </c>
      <c r="AS1110" s="1040" t="e">
        <f t="shared" ref="AS1110:AY1110" si="662">IF(AS310="",0,IF(OR(1=RANK(AS710,AS$412:AS$790,0),(2=RANK(AS710,AS$412:AS$790,0))),AS710,AS310))</f>
        <v>#DIV/0!</v>
      </c>
      <c r="AT1110" s="1040" t="e">
        <f t="shared" si="662"/>
        <v>#DIV/0!</v>
      </c>
      <c r="AU1110" s="1040">
        <f t="shared" si="662"/>
        <v>0</v>
      </c>
      <c r="AV1110" s="1040" t="e">
        <f t="shared" si="662"/>
        <v>#DIV/0!</v>
      </c>
      <c r="AW1110" s="1040" t="e">
        <f t="shared" si="662"/>
        <v>#DIV/0!</v>
      </c>
      <c r="AX1110" s="1040" t="e">
        <f t="shared" si="662"/>
        <v>#DIV/0!</v>
      </c>
      <c r="AY1110" s="1040" t="e">
        <f t="shared" si="662"/>
        <v>#DIV/0!</v>
      </c>
      <c r="AZ1110" s="1061" t="s">
        <v>21</v>
      </c>
      <c r="BC1110" s="29"/>
      <c r="BD1110" s="29"/>
      <c r="BE1110" s="13"/>
      <c r="BL1110" s="368"/>
    </row>
    <row r="1111" spans="1:64" ht="12" customHeight="1" x14ac:dyDescent="0.2">
      <c r="A1111" s="39">
        <f>acute_overview_children!A311</f>
        <v>4</v>
      </c>
      <c r="B1111" s="23">
        <f t="shared" si="575"/>
        <v>850990</v>
      </c>
      <c r="C1111" s="23" t="str">
        <f t="shared" si="576"/>
        <v>Other spices (buds)</v>
      </c>
      <c r="D1111" s="135"/>
      <c r="E1111" s="1027"/>
      <c r="F1111" s="87"/>
      <c r="G1111" s="87"/>
      <c r="H1111" s="1027"/>
      <c r="I1111" s="1030"/>
      <c r="J1111" s="1039" t="e">
        <f t="shared" ref="J1111:AR1111" si="663">IF(J311="",0,IF(OR(1=RANK(J711,J$412:J$790,0),(2=RANK(J711,J$412:J$790,0))),J711,J311))</f>
        <v>#DIV/0!</v>
      </c>
      <c r="K1111" s="1040" t="e">
        <f t="shared" si="663"/>
        <v>#DIV/0!</v>
      </c>
      <c r="L1111" s="1040" t="e">
        <f t="shared" si="663"/>
        <v>#DIV/0!</v>
      </c>
      <c r="M1111" s="1040" t="e">
        <f t="shared" si="663"/>
        <v>#DIV/0!</v>
      </c>
      <c r="N1111" s="1040" t="e">
        <f t="shared" si="663"/>
        <v>#DIV/0!</v>
      </c>
      <c r="O1111" s="1040" t="e">
        <f t="shared" si="663"/>
        <v>#DIV/0!</v>
      </c>
      <c r="P1111" s="1040" t="e">
        <f t="shared" si="663"/>
        <v>#DIV/0!</v>
      </c>
      <c r="Q1111" s="1040" t="e">
        <f t="shared" si="663"/>
        <v>#DIV/0!</v>
      </c>
      <c r="R1111" s="1040" t="e">
        <f t="shared" si="663"/>
        <v>#DIV/0!</v>
      </c>
      <c r="S1111" s="1040" t="e">
        <f t="shared" si="663"/>
        <v>#DIV/0!</v>
      </c>
      <c r="T1111" s="1040" t="e">
        <f t="shared" si="663"/>
        <v>#DIV/0!</v>
      </c>
      <c r="U1111" s="1040" t="e">
        <f t="shared" si="663"/>
        <v>#DIV/0!</v>
      </c>
      <c r="V1111" s="1040" t="e">
        <f t="shared" si="663"/>
        <v>#DIV/0!</v>
      </c>
      <c r="W1111" s="1040" t="e">
        <f t="shared" si="663"/>
        <v>#DIV/0!</v>
      </c>
      <c r="X1111" s="1040" t="e">
        <f t="shared" si="663"/>
        <v>#DIV/0!</v>
      </c>
      <c r="Y1111" s="1040" t="e">
        <f t="shared" si="663"/>
        <v>#DIV/0!</v>
      </c>
      <c r="Z1111" s="1040" t="e">
        <f t="shared" si="663"/>
        <v>#DIV/0!</v>
      </c>
      <c r="AA1111" s="1040" t="e">
        <f t="shared" si="663"/>
        <v>#DIV/0!</v>
      </c>
      <c r="AB1111" s="1040" t="e">
        <f t="shared" si="663"/>
        <v>#DIV/0!</v>
      </c>
      <c r="AC1111" s="1040" t="e">
        <f t="shared" si="663"/>
        <v>#DIV/0!</v>
      </c>
      <c r="AD1111" s="1040" t="e">
        <f t="shared" si="663"/>
        <v>#DIV/0!</v>
      </c>
      <c r="AE1111" s="1040" t="e">
        <f t="shared" si="663"/>
        <v>#DIV/0!</v>
      </c>
      <c r="AF1111" s="1040" t="e">
        <f t="shared" si="663"/>
        <v>#DIV/0!</v>
      </c>
      <c r="AG1111" s="1040" t="e">
        <f t="shared" si="663"/>
        <v>#DIV/0!</v>
      </c>
      <c r="AH1111" s="1040" t="e">
        <f t="shared" si="663"/>
        <v>#DIV/0!</v>
      </c>
      <c r="AI1111" s="1040" t="e">
        <f t="shared" si="663"/>
        <v>#DIV/0!</v>
      </c>
      <c r="AJ1111" s="1040" t="e">
        <f t="shared" si="663"/>
        <v>#DIV/0!</v>
      </c>
      <c r="AK1111" s="1040" t="e">
        <f t="shared" si="663"/>
        <v>#DIV/0!</v>
      </c>
      <c r="AL1111" s="1040" t="e">
        <f t="shared" si="663"/>
        <v>#DIV/0!</v>
      </c>
      <c r="AM1111" s="1040" t="e">
        <f t="shared" si="663"/>
        <v>#DIV/0!</v>
      </c>
      <c r="AN1111" s="1040" t="e">
        <f t="shared" si="663"/>
        <v>#DIV/0!</v>
      </c>
      <c r="AO1111" s="1040" t="e">
        <f t="shared" si="663"/>
        <v>#DIV/0!</v>
      </c>
      <c r="AP1111" s="1040" t="e">
        <f t="shared" si="663"/>
        <v>#DIV/0!</v>
      </c>
      <c r="AQ1111" s="1040" t="e">
        <f t="shared" si="663"/>
        <v>#DIV/0!</v>
      </c>
      <c r="AR1111" s="1040" t="e">
        <f t="shared" si="663"/>
        <v>#DIV/0!</v>
      </c>
      <c r="AS1111" s="1040" t="e">
        <f t="shared" ref="AS1111:AY1111" si="664">IF(AS311="",0,IF(OR(1=RANK(AS711,AS$412:AS$790,0),(2=RANK(AS711,AS$412:AS$790,0))),AS711,AS311))</f>
        <v>#DIV/0!</v>
      </c>
      <c r="AT1111" s="1040" t="e">
        <f t="shared" si="664"/>
        <v>#DIV/0!</v>
      </c>
      <c r="AU1111" s="1040">
        <f t="shared" si="664"/>
        <v>0</v>
      </c>
      <c r="AV1111" s="1040" t="e">
        <f t="shared" si="664"/>
        <v>#DIV/0!</v>
      </c>
      <c r="AW1111" s="1040" t="e">
        <f t="shared" si="664"/>
        <v>#DIV/0!</v>
      </c>
      <c r="AX1111" s="1040" t="e">
        <f t="shared" si="664"/>
        <v>#DIV/0!</v>
      </c>
      <c r="AY1111" s="1040" t="e">
        <f t="shared" si="664"/>
        <v>#DIV/0!</v>
      </c>
      <c r="AZ1111" s="1061" t="s">
        <v>21</v>
      </c>
      <c r="BC1111" s="29"/>
      <c r="BD1111" s="29"/>
      <c r="BE1111" s="13"/>
      <c r="BL1111" s="368"/>
    </row>
    <row r="1112" spans="1:64" ht="12" customHeight="1" x14ac:dyDescent="0.2">
      <c r="A1112" s="515">
        <f>acute_overview_children!A312</f>
        <v>2</v>
      </c>
      <c r="B1112" s="131">
        <f t="shared" si="575"/>
        <v>860000</v>
      </c>
      <c r="C1112" s="131" t="str">
        <f t="shared" si="576"/>
        <v>Spices (flower stigma)</v>
      </c>
      <c r="D1112" s="1035"/>
      <c r="E1112" s="1027"/>
      <c r="F1112" s="87"/>
      <c r="G1112" s="87"/>
      <c r="H1112" s="1027"/>
      <c r="I1112" s="1030"/>
      <c r="J1112" s="1037" t="e">
        <f t="shared" ref="J1112:AR1112" si="665">IF(J312="",0,IF(OR(1=RANK(J712,J$412:J$790,0),(2=RANK(J712,J$412:J$790,0))),J712,J312))</f>
        <v>#DIV/0!</v>
      </c>
      <c r="K1112" s="1038" t="e">
        <f t="shared" si="665"/>
        <v>#DIV/0!</v>
      </c>
      <c r="L1112" s="1038" t="e">
        <f t="shared" si="665"/>
        <v>#DIV/0!</v>
      </c>
      <c r="M1112" s="1038" t="e">
        <f t="shared" si="665"/>
        <v>#DIV/0!</v>
      </c>
      <c r="N1112" s="1038" t="e">
        <f t="shared" si="665"/>
        <v>#DIV/0!</v>
      </c>
      <c r="O1112" s="1038" t="e">
        <f t="shared" si="665"/>
        <v>#DIV/0!</v>
      </c>
      <c r="P1112" s="1038" t="e">
        <f t="shared" si="665"/>
        <v>#DIV/0!</v>
      </c>
      <c r="Q1112" s="1038" t="e">
        <f t="shared" si="665"/>
        <v>#DIV/0!</v>
      </c>
      <c r="R1112" s="1038" t="e">
        <f t="shared" si="665"/>
        <v>#DIV/0!</v>
      </c>
      <c r="S1112" s="1038" t="e">
        <f t="shared" si="665"/>
        <v>#DIV/0!</v>
      </c>
      <c r="T1112" s="1038" t="e">
        <f t="shared" si="665"/>
        <v>#DIV/0!</v>
      </c>
      <c r="U1112" s="1038" t="e">
        <f t="shared" si="665"/>
        <v>#DIV/0!</v>
      </c>
      <c r="V1112" s="1038" t="e">
        <f t="shared" si="665"/>
        <v>#DIV/0!</v>
      </c>
      <c r="W1112" s="1038" t="e">
        <f t="shared" si="665"/>
        <v>#DIV/0!</v>
      </c>
      <c r="X1112" s="1038" t="e">
        <f t="shared" si="665"/>
        <v>#DIV/0!</v>
      </c>
      <c r="Y1112" s="1038" t="e">
        <f t="shared" si="665"/>
        <v>#DIV/0!</v>
      </c>
      <c r="Z1112" s="1038" t="e">
        <f t="shared" si="665"/>
        <v>#DIV/0!</v>
      </c>
      <c r="AA1112" s="1038" t="e">
        <f t="shared" si="665"/>
        <v>#DIV/0!</v>
      </c>
      <c r="AB1112" s="1038" t="e">
        <f t="shared" si="665"/>
        <v>#DIV/0!</v>
      </c>
      <c r="AC1112" s="1038" t="e">
        <f t="shared" si="665"/>
        <v>#DIV/0!</v>
      </c>
      <c r="AD1112" s="1038" t="e">
        <f t="shared" si="665"/>
        <v>#DIV/0!</v>
      </c>
      <c r="AE1112" s="1038" t="e">
        <f t="shared" si="665"/>
        <v>#DIV/0!</v>
      </c>
      <c r="AF1112" s="1038" t="e">
        <f t="shared" si="665"/>
        <v>#DIV/0!</v>
      </c>
      <c r="AG1112" s="1038" t="e">
        <f t="shared" si="665"/>
        <v>#DIV/0!</v>
      </c>
      <c r="AH1112" s="1038" t="e">
        <f t="shared" si="665"/>
        <v>#DIV/0!</v>
      </c>
      <c r="AI1112" s="1038" t="e">
        <f t="shared" si="665"/>
        <v>#DIV/0!</v>
      </c>
      <c r="AJ1112" s="1038" t="e">
        <f t="shared" si="665"/>
        <v>#DIV/0!</v>
      </c>
      <c r="AK1112" s="1038" t="e">
        <f t="shared" si="665"/>
        <v>#DIV/0!</v>
      </c>
      <c r="AL1112" s="1038" t="e">
        <f t="shared" si="665"/>
        <v>#DIV/0!</v>
      </c>
      <c r="AM1112" s="1038" t="e">
        <f t="shared" si="665"/>
        <v>#DIV/0!</v>
      </c>
      <c r="AN1112" s="1038" t="e">
        <f t="shared" si="665"/>
        <v>#DIV/0!</v>
      </c>
      <c r="AO1112" s="1038" t="e">
        <f t="shared" si="665"/>
        <v>#DIV/0!</v>
      </c>
      <c r="AP1112" s="1038" t="e">
        <f t="shared" si="665"/>
        <v>#DIV/0!</v>
      </c>
      <c r="AQ1112" s="1038" t="e">
        <f t="shared" si="665"/>
        <v>#DIV/0!</v>
      </c>
      <c r="AR1112" s="1038" t="e">
        <f t="shared" si="665"/>
        <v>#DIV/0!</v>
      </c>
      <c r="AS1112" s="1038" t="e">
        <f t="shared" ref="AS1112:AY1112" si="666">IF(AS312="",0,IF(OR(1=RANK(AS712,AS$412:AS$790,0),(2=RANK(AS712,AS$412:AS$790,0))),AS712,AS312))</f>
        <v>#DIV/0!</v>
      </c>
      <c r="AT1112" s="1038" t="e">
        <f t="shared" si="666"/>
        <v>#DIV/0!</v>
      </c>
      <c r="AU1112" s="1038">
        <f t="shared" si="666"/>
        <v>0</v>
      </c>
      <c r="AV1112" s="1038" t="e">
        <f t="shared" si="666"/>
        <v>#DIV/0!</v>
      </c>
      <c r="AW1112" s="1038" t="e">
        <f t="shared" si="666"/>
        <v>#DIV/0!</v>
      </c>
      <c r="AX1112" s="1038" t="e">
        <f t="shared" si="666"/>
        <v>#DIV/0!</v>
      </c>
      <c r="AY1112" s="1038" t="e">
        <f t="shared" si="666"/>
        <v>#DIV/0!</v>
      </c>
      <c r="AZ1112" s="1061" t="s">
        <v>21</v>
      </c>
      <c r="BC1112" s="29"/>
      <c r="BD1112" s="29"/>
      <c r="BE1112" s="13"/>
      <c r="BL1112" s="368"/>
    </row>
    <row r="1113" spans="1:64" ht="12" customHeight="1" x14ac:dyDescent="0.2">
      <c r="A1113" s="39">
        <f>acute_overview_children!A313</f>
        <v>4</v>
      </c>
      <c r="B1113" s="23">
        <f t="shared" si="575"/>
        <v>860010</v>
      </c>
      <c r="C1113" s="23" t="str">
        <f t="shared" si="576"/>
        <v xml:space="preserve">Saffron </v>
      </c>
      <c r="D1113" s="135"/>
      <c r="E1113" s="1027"/>
      <c r="F1113" s="87"/>
      <c r="G1113" s="87"/>
      <c r="H1113" s="1027"/>
      <c r="I1113" s="1030"/>
      <c r="J1113" s="1039" t="e">
        <f t="shared" ref="J1113:AR1113" si="667">IF(J313="",0,IF(OR(1=RANK(J713,J$412:J$790,0),(2=RANK(J713,J$412:J$790,0))),J713,J313))</f>
        <v>#DIV/0!</v>
      </c>
      <c r="K1113" s="1040" t="e">
        <f t="shared" si="667"/>
        <v>#DIV/0!</v>
      </c>
      <c r="L1113" s="1040" t="e">
        <f t="shared" si="667"/>
        <v>#DIV/0!</v>
      </c>
      <c r="M1113" s="1040" t="e">
        <f t="shared" si="667"/>
        <v>#DIV/0!</v>
      </c>
      <c r="N1113" s="1040" t="e">
        <f t="shared" si="667"/>
        <v>#DIV/0!</v>
      </c>
      <c r="O1113" s="1040" t="e">
        <f t="shared" si="667"/>
        <v>#DIV/0!</v>
      </c>
      <c r="P1113" s="1040" t="e">
        <f t="shared" si="667"/>
        <v>#DIV/0!</v>
      </c>
      <c r="Q1113" s="1040" t="e">
        <f t="shared" si="667"/>
        <v>#DIV/0!</v>
      </c>
      <c r="R1113" s="1040" t="e">
        <f t="shared" si="667"/>
        <v>#DIV/0!</v>
      </c>
      <c r="S1113" s="1040" t="e">
        <f t="shared" si="667"/>
        <v>#DIV/0!</v>
      </c>
      <c r="T1113" s="1040" t="e">
        <f t="shared" si="667"/>
        <v>#DIV/0!</v>
      </c>
      <c r="U1113" s="1040" t="e">
        <f t="shared" si="667"/>
        <v>#DIV/0!</v>
      </c>
      <c r="V1113" s="1040" t="e">
        <f t="shared" si="667"/>
        <v>#DIV/0!</v>
      </c>
      <c r="W1113" s="1040" t="e">
        <f t="shared" si="667"/>
        <v>#DIV/0!</v>
      </c>
      <c r="X1113" s="1040" t="e">
        <f t="shared" si="667"/>
        <v>#DIV/0!</v>
      </c>
      <c r="Y1113" s="1040" t="e">
        <f t="shared" si="667"/>
        <v>#DIV/0!</v>
      </c>
      <c r="Z1113" s="1040" t="e">
        <f t="shared" si="667"/>
        <v>#DIV/0!</v>
      </c>
      <c r="AA1113" s="1040" t="e">
        <f t="shared" si="667"/>
        <v>#DIV/0!</v>
      </c>
      <c r="AB1113" s="1040" t="e">
        <f t="shared" si="667"/>
        <v>#DIV/0!</v>
      </c>
      <c r="AC1113" s="1040" t="e">
        <f t="shared" si="667"/>
        <v>#DIV/0!</v>
      </c>
      <c r="AD1113" s="1040" t="e">
        <f t="shared" si="667"/>
        <v>#DIV/0!</v>
      </c>
      <c r="AE1113" s="1040" t="e">
        <f t="shared" si="667"/>
        <v>#DIV/0!</v>
      </c>
      <c r="AF1113" s="1040" t="e">
        <f t="shared" si="667"/>
        <v>#DIV/0!</v>
      </c>
      <c r="AG1113" s="1040" t="e">
        <f t="shared" si="667"/>
        <v>#DIV/0!</v>
      </c>
      <c r="AH1113" s="1040" t="e">
        <f t="shared" si="667"/>
        <v>#DIV/0!</v>
      </c>
      <c r="AI1113" s="1040" t="e">
        <f t="shared" si="667"/>
        <v>#DIV/0!</v>
      </c>
      <c r="AJ1113" s="1040" t="e">
        <f t="shared" si="667"/>
        <v>#DIV/0!</v>
      </c>
      <c r="AK1113" s="1040" t="e">
        <f t="shared" si="667"/>
        <v>#DIV/0!</v>
      </c>
      <c r="AL1113" s="1040" t="e">
        <f t="shared" si="667"/>
        <v>#DIV/0!</v>
      </c>
      <c r="AM1113" s="1040" t="e">
        <f t="shared" si="667"/>
        <v>#DIV/0!</v>
      </c>
      <c r="AN1113" s="1040" t="e">
        <f t="shared" si="667"/>
        <v>#DIV/0!</v>
      </c>
      <c r="AO1113" s="1040" t="e">
        <f t="shared" si="667"/>
        <v>#DIV/0!</v>
      </c>
      <c r="AP1113" s="1040" t="e">
        <f t="shared" si="667"/>
        <v>#DIV/0!</v>
      </c>
      <c r="AQ1113" s="1040" t="e">
        <f t="shared" si="667"/>
        <v>#DIV/0!</v>
      </c>
      <c r="AR1113" s="1040" t="e">
        <f t="shared" si="667"/>
        <v>#DIV/0!</v>
      </c>
      <c r="AS1113" s="1040" t="e">
        <f t="shared" ref="AS1113:AY1113" si="668">IF(AS313="",0,IF(OR(1=RANK(AS713,AS$412:AS$790,0),(2=RANK(AS713,AS$412:AS$790,0))),AS713,AS313))</f>
        <v>#DIV/0!</v>
      </c>
      <c r="AT1113" s="1040" t="e">
        <f t="shared" si="668"/>
        <v>#DIV/0!</v>
      </c>
      <c r="AU1113" s="1040">
        <f t="shared" si="668"/>
        <v>0</v>
      </c>
      <c r="AV1113" s="1040" t="e">
        <f t="shared" si="668"/>
        <v>#DIV/0!</v>
      </c>
      <c r="AW1113" s="1040" t="e">
        <f t="shared" si="668"/>
        <v>#DIV/0!</v>
      </c>
      <c r="AX1113" s="1040" t="e">
        <f t="shared" si="668"/>
        <v>#DIV/0!</v>
      </c>
      <c r="AY1113" s="1040" t="e">
        <f t="shared" si="668"/>
        <v>#DIV/0!</v>
      </c>
      <c r="AZ1113" s="1061" t="s">
        <v>21</v>
      </c>
      <c r="BC1113" s="29"/>
      <c r="BD1113" s="29"/>
      <c r="BE1113" s="13"/>
      <c r="BL1113" s="368"/>
    </row>
    <row r="1114" spans="1:64" ht="12" customHeight="1" x14ac:dyDescent="0.2">
      <c r="A1114" s="39">
        <f>acute_overview_children!A314</f>
        <v>4</v>
      </c>
      <c r="B1114" s="23">
        <f t="shared" si="575"/>
        <v>860990</v>
      </c>
      <c r="C1114" s="23" t="str">
        <f t="shared" si="576"/>
        <v>Other spices (flower stigma)</v>
      </c>
      <c r="D1114" s="135"/>
      <c r="E1114" s="1027"/>
      <c r="F1114" s="87"/>
      <c r="G1114" s="87"/>
      <c r="H1114" s="1027"/>
      <c r="I1114" s="1030"/>
      <c r="J1114" s="1039" t="e">
        <f t="shared" ref="J1114:AR1114" si="669">IF(J314="",0,IF(OR(1=RANK(J714,J$412:J$790,0),(2=RANK(J714,J$412:J$790,0))),J714,J314))</f>
        <v>#DIV/0!</v>
      </c>
      <c r="K1114" s="1040" t="e">
        <f t="shared" si="669"/>
        <v>#DIV/0!</v>
      </c>
      <c r="L1114" s="1040" t="e">
        <f t="shared" si="669"/>
        <v>#DIV/0!</v>
      </c>
      <c r="M1114" s="1040" t="e">
        <f t="shared" si="669"/>
        <v>#DIV/0!</v>
      </c>
      <c r="N1114" s="1040" t="e">
        <f t="shared" si="669"/>
        <v>#DIV/0!</v>
      </c>
      <c r="O1114" s="1040" t="e">
        <f t="shared" si="669"/>
        <v>#DIV/0!</v>
      </c>
      <c r="P1114" s="1040" t="e">
        <f t="shared" si="669"/>
        <v>#DIV/0!</v>
      </c>
      <c r="Q1114" s="1040" t="e">
        <f t="shared" si="669"/>
        <v>#DIV/0!</v>
      </c>
      <c r="R1114" s="1040" t="e">
        <f t="shared" si="669"/>
        <v>#DIV/0!</v>
      </c>
      <c r="S1114" s="1040" t="e">
        <f t="shared" si="669"/>
        <v>#DIV/0!</v>
      </c>
      <c r="T1114" s="1040" t="e">
        <f t="shared" si="669"/>
        <v>#DIV/0!</v>
      </c>
      <c r="U1114" s="1040" t="e">
        <f t="shared" si="669"/>
        <v>#DIV/0!</v>
      </c>
      <c r="V1114" s="1040" t="e">
        <f t="shared" si="669"/>
        <v>#DIV/0!</v>
      </c>
      <c r="W1114" s="1040" t="e">
        <f t="shared" si="669"/>
        <v>#DIV/0!</v>
      </c>
      <c r="X1114" s="1040" t="e">
        <f t="shared" si="669"/>
        <v>#DIV/0!</v>
      </c>
      <c r="Y1114" s="1040" t="e">
        <f t="shared" si="669"/>
        <v>#DIV/0!</v>
      </c>
      <c r="Z1114" s="1040" t="e">
        <f t="shared" si="669"/>
        <v>#DIV/0!</v>
      </c>
      <c r="AA1114" s="1040" t="e">
        <f t="shared" si="669"/>
        <v>#DIV/0!</v>
      </c>
      <c r="AB1114" s="1040" t="e">
        <f t="shared" si="669"/>
        <v>#DIV/0!</v>
      </c>
      <c r="AC1114" s="1040" t="e">
        <f t="shared" si="669"/>
        <v>#DIV/0!</v>
      </c>
      <c r="AD1114" s="1040" t="e">
        <f t="shared" si="669"/>
        <v>#DIV/0!</v>
      </c>
      <c r="AE1114" s="1040" t="e">
        <f t="shared" si="669"/>
        <v>#DIV/0!</v>
      </c>
      <c r="AF1114" s="1040" t="e">
        <f t="shared" si="669"/>
        <v>#DIV/0!</v>
      </c>
      <c r="AG1114" s="1040" t="e">
        <f t="shared" si="669"/>
        <v>#DIV/0!</v>
      </c>
      <c r="AH1114" s="1040" t="e">
        <f t="shared" si="669"/>
        <v>#DIV/0!</v>
      </c>
      <c r="AI1114" s="1040" t="e">
        <f t="shared" si="669"/>
        <v>#DIV/0!</v>
      </c>
      <c r="AJ1114" s="1040" t="e">
        <f t="shared" si="669"/>
        <v>#DIV/0!</v>
      </c>
      <c r="AK1114" s="1040" t="e">
        <f t="shared" si="669"/>
        <v>#DIV/0!</v>
      </c>
      <c r="AL1114" s="1040" t="e">
        <f t="shared" si="669"/>
        <v>#DIV/0!</v>
      </c>
      <c r="AM1114" s="1040" t="e">
        <f t="shared" si="669"/>
        <v>#DIV/0!</v>
      </c>
      <c r="AN1114" s="1040" t="e">
        <f t="shared" si="669"/>
        <v>#DIV/0!</v>
      </c>
      <c r="AO1114" s="1040" t="e">
        <f t="shared" si="669"/>
        <v>#DIV/0!</v>
      </c>
      <c r="AP1114" s="1040" t="e">
        <f t="shared" si="669"/>
        <v>#DIV/0!</v>
      </c>
      <c r="AQ1114" s="1040" t="e">
        <f t="shared" si="669"/>
        <v>#DIV/0!</v>
      </c>
      <c r="AR1114" s="1040" t="e">
        <f t="shared" si="669"/>
        <v>#DIV/0!</v>
      </c>
      <c r="AS1114" s="1040" t="e">
        <f t="shared" ref="AS1114:AY1114" si="670">IF(AS314="",0,IF(OR(1=RANK(AS714,AS$412:AS$790,0),(2=RANK(AS714,AS$412:AS$790,0))),AS714,AS314))</f>
        <v>#DIV/0!</v>
      </c>
      <c r="AT1114" s="1040" t="e">
        <f t="shared" si="670"/>
        <v>#DIV/0!</v>
      </c>
      <c r="AU1114" s="1040">
        <f t="shared" si="670"/>
        <v>0</v>
      </c>
      <c r="AV1114" s="1040" t="e">
        <f t="shared" si="670"/>
        <v>#DIV/0!</v>
      </c>
      <c r="AW1114" s="1040" t="e">
        <f t="shared" si="670"/>
        <v>#DIV/0!</v>
      </c>
      <c r="AX1114" s="1040" t="e">
        <f t="shared" si="670"/>
        <v>#DIV/0!</v>
      </c>
      <c r="AY1114" s="1040" t="e">
        <f t="shared" si="670"/>
        <v>#DIV/0!</v>
      </c>
      <c r="AZ1114" s="1061" t="s">
        <v>21</v>
      </c>
      <c r="BC1114" s="29"/>
      <c r="BD1114" s="29"/>
      <c r="BE1114" s="13"/>
      <c r="BL1114" s="368"/>
    </row>
    <row r="1115" spans="1:64" ht="12" customHeight="1" x14ac:dyDescent="0.2">
      <c r="A1115" s="515">
        <f>acute_overview_children!A315</f>
        <v>2</v>
      </c>
      <c r="B1115" s="131">
        <f t="shared" si="575"/>
        <v>870000</v>
      </c>
      <c r="C1115" s="131" t="str">
        <f t="shared" si="576"/>
        <v>Spices (aril)</v>
      </c>
      <c r="D1115" s="1035"/>
      <c r="E1115" s="1027"/>
      <c r="F1115" s="87"/>
      <c r="G1115" s="87"/>
      <c r="H1115" s="1027"/>
      <c r="I1115" s="1030"/>
      <c r="J1115" s="1037" t="e">
        <f t="shared" ref="J1115:AR1115" si="671">IF(J315="",0,IF(OR(1=RANK(J715,J$412:J$790,0),(2=RANK(J715,J$412:J$790,0))),J715,J315))</f>
        <v>#DIV/0!</v>
      </c>
      <c r="K1115" s="1038" t="e">
        <f t="shared" si="671"/>
        <v>#DIV/0!</v>
      </c>
      <c r="L1115" s="1038" t="e">
        <f t="shared" si="671"/>
        <v>#DIV/0!</v>
      </c>
      <c r="M1115" s="1038" t="e">
        <f t="shared" si="671"/>
        <v>#DIV/0!</v>
      </c>
      <c r="N1115" s="1038" t="e">
        <f t="shared" si="671"/>
        <v>#DIV/0!</v>
      </c>
      <c r="O1115" s="1038" t="e">
        <f t="shared" si="671"/>
        <v>#DIV/0!</v>
      </c>
      <c r="P1115" s="1038" t="e">
        <f t="shared" si="671"/>
        <v>#DIV/0!</v>
      </c>
      <c r="Q1115" s="1038" t="e">
        <f t="shared" si="671"/>
        <v>#DIV/0!</v>
      </c>
      <c r="R1115" s="1038" t="e">
        <f t="shared" si="671"/>
        <v>#DIV/0!</v>
      </c>
      <c r="S1115" s="1038" t="e">
        <f t="shared" si="671"/>
        <v>#DIV/0!</v>
      </c>
      <c r="T1115" s="1038" t="e">
        <f t="shared" si="671"/>
        <v>#DIV/0!</v>
      </c>
      <c r="U1115" s="1038" t="e">
        <f t="shared" si="671"/>
        <v>#DIV/0!</v>
      </c>
      <c r="V1115" s="1038" t="e">
        <f t="shared" si="671"/>
        <v>#DIV/0!</v>
      </c>
      <c r="W1115" s="1038" t="e">
        <f t="shared" si="671"/>
        <v>#DIV/0!</v>
      </c>
      <c r="X1115" s="1038" t="e">
        <f t="shared" si="671"/>
        <v>#DIV/0!</v>
      </c>
      <c r="Y1115" s="1038" t="e">
        <f t="shared" si="671"/>
        <v>#DIV/0!</v>
      </c>
      <c r="Z1115" s="1038" t="e">
        <f t="shared" si="671"/>
        <v>#DIV/0!</v>
      </c>
      <c r="AA1115" s="1038" t="e">
        <f t="shared" si="671"/>
        <v>#DIV/0!</v>
      </c>
      <c r="AB1115" s="1038" t="e">
        <f t="shared" si="671"/>
        <v>#DIV/0!</v>
      </c>
      <c r="AC1115" s="1038" t="e">
        <f t="shared" si="671"/>
        <v>#DIV/0!</v>
      </c>
      <c r="AD1115" s="1038" t="e">
        <f t="shared" si="671"/>
        <v>#DIV/0!</v>
      </c>
      <c r="AE1115" s="1038" t="e">
        <f t="shared" si="671"/>
        <v>#DIV/0!</v>
      </c>
      <c r="AF1115" s="1038" t="e">
        <f t="shared" si="671"/>
        <v>#DIV/0!</v>
      </c>
      <c r="AG1115" s="1038" t="e">
        <f t="shared" si="671"/>
        <v>#DIV/0!</v>
      </c>
      <c r="AH1115" s="1038" t="e">
        <f t="shared" si="671"/>
        <v>#DIV/0!</v>
      </c>
      <c r="AI1115" s="1038" t="e">
        <f t="shared" si="671"/>
        <v>#DIV/0!</v>
      </c>
      <c r="AJ1115" s="1038" t="e">
        <f t="shared" si="671"/>
        <v>#DIV/0!</v>
      </c>
      <c r="AK1115" s="1038" t="e">
        <f t="shared" si="671"/>
        <v>#DIV/0!</v>
      </c>
      <c r="AL1115" s="1038" t="e">
        <f t="shared" si="671"/>
        <v>#DIV/0!</v>
      </c>
      <c r="AM1115" s="1038" t="e">
        <f t="shared" si="671"/>
        <v>#DIV/0!</v>
      </c>
      <c r="AN1115" s="1038" t="e">
        <f t="shared" si="671"/>
        <v>#DIV/0!</v>
      </c>
      <c r="AO1115" s="1038" t="e">
        <f t="shared" si="671"/>
        <v>#DIV/0!</v>
      </c>
      <c r="AP1115" s="1038" t="e">
        <f t="shared" si="671"/>
        <v>#DIV/0!</v>
      </c>
      <c r="AQ1115" s="1038" t="e">
        <f t="shared" si="671"/>
        <v>#DIV/0!</v>
      </c>
      <c r="AR1115" s="1038" t="e">
        <f t="shared" si="671"/>
        <v>#DIV/0!</v>
      </c>
      <c r="AS1115" s="1038" t="e">
        <f t="shared" ref="AS1115:AY1115" si="672">IF(AS315="",0,IF(OR(1=RANK(AS715,AS$412:AS$790,0),(2=RANK(AS715,AS$412:AS$790,0))),AS715,AS315))</f>
        <v>#DIV/0!</v>
      </c>
      <c r="AT1115" s="1038" t="e">
        <f t="shared" si="672"/>
        <v>#DIV/0!</v>
      </c>
      <c r="AU1115" s="1038">
        <f t="shared" si="672"/>
        <v>0</v>
      </c>
      <c r="AV1115" s="1038" t="e">
        <f t="shared" si="672"/>
        <v>#DIV/0!</v>
      </c>
      <c r="AW1115" s="1038" t="e">
        <f t="shared" si="672"/>
        <v>#DIV/0!</v>
      </c>
      <c r="AX1115" s="1038" t="e">
        <f t="shared" si="672"/>
        <v>#DIV/0!</v>
      </c>
      <c r="AY1115" s="1038" t="e">
        <f t="shared" si="672"/>
        <v>#DIV/0!</v>
      </c>
      <c r="AZ1115" s="1061" t="s">
        <v>21</v>
      </c>
      <c r="BC1115" s="29"/>
      <c r="BD1115" s="29"/>
      <c r="BE1115" s="13"/>
      <c r="BL1115" s="368"/>
    </row>
    <row r="1116" spans="1:64" ht="12" customHeight="1" x14ac:dyDescent="0.2">
      <c r="A1116" s="39">
        <f>acute_overview_children!A316</f>
        <v>4</v>
      </c>
      <c r="B1116" s="23">
        <f t="shared" si="575"/>
        <v>870010</v>
      </c>
      <c r="C1116" s="23" t="str">
        <f t="shared" si="576"/>
        <v>Mace</v>
      </c>
      <c r="D1116" s="135"/>
      <c r="E1116" s="1027"/>
      <c r="F1116" s="87"/>
      <c r="G1116" s="87"/>
      <c r="H1116" s="1027"/>
      <c r="I1116" s="1030"/>
      <c r="J1116" s="1039" t="e">
        <f t="shared" ref="J1116:AR1116" si="673">IF(J316="",0,IF(OR(1=RANK(J716,J$412:J$790,0),(2=RANK(J716,J$412:J$790,0))),J716,J316))</f>
        <v>#DIV/0!</v>
      </c>
      <c r="K1116" s="1040" t="e">
        <f t="shared" si="673"/>
        <v>#DIV/0!</v>
      </c>
      <c r="L1116" s="1040" t="e">
        <f t="shared" si="673"/>
        <v>#DIV/0!</v>
      </c>
      <c r="M1116" s="1040" t="e">
        <f t="shared" si="673"/>
        <v>#DIV/0!</v>
      </c>
      <c r="N1116" s="1040" t="e">
        <f t="shared" si="673"/>
        <v>#DIV/0!</v>
      </c>
      <c r="O1116" s="1040" t="e">
        <f t="shared" si="673"/>
        <v>#DIV/0!</v>
      </c>
      <c r="P1116" s="1040" t="e">
        <f t="shared" si="673"/>
        <v>#DIV/0!</v>
      </c>
      <c r="Q1116" s="1040" t="e">
        <f t="shared" si="673"/>
        <v>#DIV/0!</v>
      </c>
      <c r="R1116" s="1040" t="e">
        <f t="shared" si="673"/>
        <v>#DIV/0!</v>
      </c>
      <c r="S1116" s="1040" t="e">
        <f t="shared" si="673"/>
        <v>#DIV/0!</v>
      </c>
      <c r="T1116" s="1040" t="e">
        <f t="shared" si="673"/>
        <v>#DIV/0!</v>
      </c>
      <c r="U1116" s="1040" t="e">
        <f t="shared" si="673"/>
        <v>#DIV/0!</v>
      </c>
      <c r="V1116" s="1040" t="e">
        <f t="shared" si="673"/>
        <v>#DIV/0!</v>
      </c>
      <c r="W1116" s="1040" t="e">
        <f t="shared" si="673"/>
        <v>#DIV/0!</v>
      </c>
      <c r="X1116" s="1040" t="e">
        <f t="shared" si="673"/>
        <v>#DIV/0!</v>
      </c>
      <c r="Y1116" s="1040" t="e">
        <f t="shared" si="673"/>
        <v>#DIV/0!</v>
      </c>
      <c r="Z1116" s="1040" t="e">
        <f t="shared" si="673"/>
        <v>#DIV/0!</v>
      </c>
      <c r="AA1116" s="1040" t="e">
        <f t="shared" si="673"/>
        <v>#DIV/0!</v>
      </c>
      <c r="AB1116" s="1040" t="e">
        <f t="shared" si="673"/>
        <v>#DIV/0!</v>
      </c>
      <c r="AC1116" s="1040" t="e">
        <f t="shared" si="673"/>
        <v>#DIV/0!</v>
      </c>
      <c r="AD1116" s="1040" t="e">
        <f t="shared" si="673"/>
        <v>#DIV/0!</v>
      </c>
      <c r="AE1116" s="1040" t="e">
        <f t="shared" si="673"/>
        <v>#DIV/0!</v>
      </c>
      <c r="AF1116" s="1040" t="e">
        <f t="shared" si="673"/>
        <v>#DIV/0!</v>
      </c>
      <c r="AG1116" s="1040" t="e">
        <f t="shared" si="673"/>
        <v>#DIV/0!</v>
      </c>
      <c r="AH1116" s="1040" t="e">
        <f t="shared" si="673"/>
        <v>#DIV/0!</v>
      </c>
      <c r="AI1116" s="1040" t="e">
        <f t="shared" si="673"/>
        <v>#DIV/0!</v>
      </c>
      <c r="AJ1116" s="1040" t="e">
        <f t="shared" si="673"/>
        <v>#DIV/0!</v>
      </c>
      <c r="AK1116" s="1040" t="e">
        <f t="shared" si="673"/>
        <v>#DIV/0!</v>
      </c>
      <c r="AL1116" s="1040" t="e">
        <f t="shared" si="673"/>
        <v>#DIV/0!</v>
      </c>
      <c r="AM1116" s="1040" t="e">
        <f t="shared" si="673"/>
        <v>#DIV/0!</v>
      </c>
      <c r="AN1116" s="1040" t="e">
        <f t="shared" si="673"/>
        <v>#DIV/0!</v>
      </c>
      <c r="AO1116" s="1040" t="e">
        <f t="shared" si="673"/>
        <v>#DIV/0!</v>
      </c>
      <c r="AP1116" s="1040" t="e">
        <f t="shared" si="673"/>
        <v>#DIV/0!</v>
      </c>
      <c r="AQ1116" s="1040" t="e">
        <f t="shared" si="673"/>
        <v>#DIV/0!</v>
      </c>
      <c r="AR1116" s="1040" t="e">
        <f t="shared" si="673"/>
        <v>#DIV/0!</v>
      </c>
      <c r="AS1116" s="1040" t="e">
        <f t="shared" ref="AS1116:AY1116" si="674">IF(AS316="",0,IF(OR(1=RANK(AS716,AS$412:AS$790,0),(2=RANK(AS716,AS$412:AS$790,0))),AS716,AS316))</f>
        <v>#DIV/0!</v>
      </c>
      <c r="AT1116" s="1040" t="e">
        <f t="shared" si="674"/>
        <v>#DIV/0!</v>
      </c>
      <c r="AU1116" s="1040">
        <f t="shared" si="674"/>
        <v>0</v>
      </c>
      <c r="AV1116" s="1040" t="e">
        <f t="shared" si="674"/>
        <v>#DIV/0!</v>
      </c>
      <c r="AW1116" s="1040" t="e">
        <f t="shared" si="674"/>
        <v>#DIV/0!</v>
      </c>
      <c r="AX1116" s="1040" t="e">
        <f t="shared" si="674"/>
        <v>#DIV/0!</v>
      </c>
      <c r="AY1116" s="1040" t="e">
        <f t="shared" si="674"/>
        <v>#DIV/0!</v>
      </c>
      <c r="AZ1116" s="1061" t="s">
        <v>21</v>
      </c>
      <c r="BC1116" s="29"/>
      <c r="BD1116" s="29"/>
      <c r="BE1116" s="13"/>
      <c r="BL1116" s="368"/>
    </row>
    <row r="1117" spans="1:64" ht="12" customHeight="1" x14ac:dyDescent="0.2">
      <c r="A1117" s="39">
        <f>acute_overview_children!A317</f>
        <v>4</v>
      </c>
      <c r="B1117" s="23">
        <f t="shared" si="575"/>
        <v>870990</v>
      </c>
      <c r="C1117" s="23" t="str">
        <f t="shared" si="576"/>
        <v>Other spices (aril)</v>
      </c>
      <c r="D1117" s="135"/>
      <c r="E1117" s="1027"/>
      <c r="F1117" s="87"/>
      <c r="G1117" s="87"/>
      <c r="H1117" s="1027"/>
      <c r="I1117" s="1030"/>
      <c r="J1117" s="1039" t="e">
        <f t="shared" ref="J1117:AR1117" si="675">IF(J317="",0,IF(OR(1=RANK(J717,J$412:J$790,0),(2=RANK(J717,J$412:J$790,0))),J717,J317))</f>
        <v>#DIV/0!</v>
      </c>
      <c r="K1117" s="1040" t="e">
        <f t="shared" si="675"/>
        <v>#DIV/0!</v>
      </c>
      <c r="L1117" s="1040" t="e">
        <f t="shared" si="675"/>
        <v>#DIV/0!</v>
      </c>
      <c r="M1117" s="1040" t="e">
        <f t="shared" si="675"/>
        <v>#DIV/0!</v>
      </c>
      <c r="N1117" s="1040" t="e">
        <f t="shared" si="675"/>
        <v>#DIV/0!</v>
      </c>
      <c r="O1117" s="1040" t="e">
        <f t="shared" si="675"/>
        <v>#DIV/0!</v>
      </c>
      <c r="P1117" s="1040" t="e">
        <f t="shared" si="675"/>
        <v>#DIV/0!</v>
      </c>
      <c r="Q1117" s="1040" t="e">
        <f t="shared" si="675"/>
        <v>#DIV/0!</v>
      </c>
      <c r="R1117" s="1040" t="e">
        <f t="shared" si="675"/>
        <v>#DIV/0!</v>
      </c>
      <c r="S1117" s="1040" t="e">
        <f t="shared" si="675"/>
        <v>#DIV/0!</v>
      </c>
      <c r="T1117" s="1040" t="e">
        <f t="shared" si="675"/>
        <v>#DIV/0!</v>
      </c>
      <c r="U1117" s="1040" t="e">
        <f t="shared" si="675"/>
        <v>#DIV/0!</v>
      </c>
      <c r="V1117" s="1040" t="e">
        <f t="shared" si="675"/>
        <v>#DIV/0!</v>
      </c>
      <c r="W1117" s="1040" t="e">
        <f t="shared" si="675"/>
        <v>#DIV/0!</v>
      </c>
      <c r="X1117" s="1040" t="e">
        <f t="shared" si="675"/>
        <v>#DIV/0!</v>
      </c>
      <c r="Y1117" s="1040" t="e">
        <f t="shared" si="675"/>
        <v>#DIV/0!</v>
      </c>
      <c r="Z1117" s="1040" t="e">
        <f t="shared" si="675"/>
        <v>#DIV/0!</v>
      </c>
      <c r="AA1117" s="1040" t="e">
        <f t="shared" si="675"/>
        <v>#DIV/0!</v>
      </c>
      <c r="AB1117" s="1040" t="e">
        <f t="shared" si="675"/>
        <v>#DIV/0!</v>
      </c>
      <c r="AC1117" s="1040" t="e">
        <f t="shared" si="675"/>
        <v>#DIV/0!</v>
      </c>
      <c r="AD1117" s="1040" t="e">
        <f t="shared" si="675"/>
        <v>#DIV/0!</v>
      </c>
      <c r="AE1117" s="1040" t="e">
        <f t="shared" si="675"/>
        <v>#DIV/0!</v>
      </c>
      <c r="AF1117" s="1040" t="e">
        <f t="shared" si="675"/>
        <v>#DIV/0!</v>
      </c>
      <c r="AG1117" s="1040" t="e">
        <f t="shared" si="675"/>
        <v>#DIV/0!</v>
      </c>
      <c r="AH1117" s="1040" t="e">
        <f t="shared" si="675"/>
        <v>#DIV/0!</v>
      </c>
      <c r="AI1117" s="1040" t="e">
        <f t="shared" si="675"/>
        <v>#DIV/0!</v>
      </c>
      <c r="AJ1117" s="1040" t="e">
        <f t="shared" si="675"/>
        <v>#DIV/0!</v>
      </c>
      <c r="AK1117" s="1040" t="e">
        <f t="shared" si="675"/>
        <v>#DIV/0!</v>
      </c>
      <c r="AL1117" s="1040" t="e">
        <f t="shared" si="675"/>
        <v>#DIV/0!</v>
      </c>
      <c r="AM1117" s="1040" t="e">
        <f t="shared" si="675"/>
        <v>#DIV/0!</v>
      </c>
      <c r="AN1117" s="1040" t="e">
        <f t="shared" si="675"/>
        <v>#DIV/0!</v>
      </c>
      <c r="AO1117" s="1040" t="e">
        <f t="shared" si="675"/>
        <v>#DIV/0!</v>
      </c>
      <c r="AP1117" s="1040" t="e">
        <f t="shared" si="675"/>
        <v>#DIV/0!</v>
      </c>
      <c r="AQ1117" s="1040" t="e">
        <f t="shared" si="675"/>
        <v>#DIV/0!</v>
      </c>
      <c r="AR1117" s="1040" t="e">
        <f t="shared" si="675"/>
        <v>#DIV/0!</v>
      </c>
      <c r="AS1117" s="1040" t="e">
        <f t="shared" ref="AS1117:AY1117" si="676">IF(AS317="",0,IF(OR(1=RANK(AS717,AS$412:AS$790,0),(2=RANK(AS717,AS$412:AS$790,0))),AS717,AS317))</f>
        <v>#DIV/0!</v>
      </c>
      <c r="AT1117" s="1040" t="e">
        <f t="shared" si="676"/>
        <v>#DIV/0!</v>
      </c>
      <c r="AU1117" s="1040">
        <f t="shared" si="676"/>
        <v>0</v>
      </c>
      <c r="AV1117" s="1040" t="e">
        <f t="shared" si="676"/>
        <v>#DIV/0!</v>
      </c>
      <c r="AW1117" s="1040" t="e">
        <f t="shared" si="676"/>
        <v>#DIV/0!</v>
      </c>
      <c r="AX1117" s="1040" t="e">
        <f t="shared" si="676"/>
        <v>#DIV/0!</v>
      </c>
      <c r="AY1117" s="1040" t="e">
        <f t="shared" si="676"/>
        <v>#DIV/0!</v>
      </c>
      <c r="AZ1117" s="1061" t="s">
        <v>21</v>
      </c>
      <c r="BC1117" s="29"/>
      <c r="BD1117" s="29"/>
      <c r="BE1117" s="13"/>
      <c r="BL1117" s="368"/>
    </row>
    <row r="1118" spans="1:64" ht="12" customHeight="1" x14ac:dyDescent="0.2">
      <c r="A1118" s="514">
        <f>acute_overview_children!A318</f>
        <v>1</v>
      </c>
      <c r="B1118" s="127">
        <f t="shared" si="575"/>
        <v>900000</v>
      </c>
      <c r="C1118" s="127" t="str">
        <f t="shared" si="576"/>
        <v>SUGAR PLANTS</v>
      </c>
      <c r="D1118" s="135"/>
      <c r="E1118" s="1027"/>
      <c r="F1118" s="87"/>
      <c r="G1118" s="87"/>
      <c r="H1118" s="1027"/>
      <c r="I1118" s="1030"/>
      <c r="J1118" s="1031" t="e">
        <f t="shared" ref="J1118:AR1118" si="677">IF(J318="",0,IF(OR(1=RANK(J718,J$412:J$790,0),(2=RANK(J718,J$412:J$790,0))),J718,J318))</f>
        <v>#DIV/0!</v>
      </c>
      <c r="K1118" s="1032" t="e">
        <f t="shared" si="677"/>
        <v>#DIV/0!</v>
      </c>
      <c r="L1118" s="1032" t="e">
        <f t="shared" si="677"/>
        <v>#DIV/0!</v>
      </c>
      <c r="M1118" s="1032" t="e">
        <f t="shared" si="677"/>
        <v>#DIV/0!</v>
      </c>
      <c r="N1118" s="1032" t="e">
        <f t="shared" si="677"/>
        <v>#DIV/0!</v>
      </c>
      <c r="O1118" s="1032" t="e">
        <f t="shared" si="677"/>
        <v>#DIV/0!</v>
      </c>
      <c r="P1118" s="1032" t="e">
        <f t="shared" si="677"/>
        <v>#DIV/0!</v>
      </c>
      <c r="Q1118" s="1032" t="e">
        <f t="shared" si="677"/>
        <v>#DIV/0!</v>
      </c>
      <c r="R1118" s="1032" t="e">
        <f t="shared" si="677"/>
        <v>#DIV/0!</v>
      </c>
      <c r="S1118" s="1032" t="e">
        <f t="shared" si="677"/>
        <v>#DIV/0!</v>
      </c>
      <c r="T1118" s="1032" t="e">
        <f t="shared" si="677"/>
        <v>#DIV/0!</v>
      </c>
      <c r="U1118" s="1032" t="e">
        <f t="shared" si="677"/>
        <v>#DIV/0!</v>
      </c>
      <c r="V1118" s="1032" t="e">
        <f t="shared" si="677"/>
        <v>#DIV/0!</v>
      </c>
      <c r="W1118" s="1032" t="e">
        <f t="shared" si="677"/>
        <v>#DIV/0!</v>
      </c>
      <c r="X1118" s="1032" t="e">
        <f t="shared" si="677"/>
        <v>#DIV/0!</v>
      </c>
      <c r="Y1118" s="1032" t="e">
        <f t="shared" si="677"/>
        <v>#DIV/0!</v>
      </c>
      <c r="Z1118" s="1032" t="e">
        <f t="shared" si="677"/>
        <v>#DIV/0!</v>
      </c>
      <c r="AA1118" s="1032" t="e">
        <f t="shared" si="677"/>
        <v>#DIV/0!</v>
      </c>
      <c r="AB1118" s="1032" t="e">
        <f t="shared" si="677"/>
        <v>#DIV/0!</v>
      </c>
      <c r="AC1118" s="1032" t="e">
        <f t="shared" si="677"/>
        <v>#DIV/0!</v>
      </c>
      <c r="AD1118" s="1032" t="e">
        <f t="shared" si="677"/>
        <v>#DIV/0!</v>
      </c>
      <c r="AE1118" s="1032" t="e">
        <f t="shared" si="677"/>
        <v>#DIV/0!</v>
      </c>
      <c r="AF1118" s="1032" t="e">
        <f t="shared" si="677"/>
        <v>#DIV/0!</v>
      </c>
      <c r="AG1118" s="1032" t="e">
        <f t="shared" si="677"/>
        <v>#DIV/0!</v>
      </c>
      <c r="AH1118" s="1032" t="e">
        <f t="shared" si="677"/>
        <v>#DIV/0!</v>
      </c>
      <c r="AI1118" s="1032" t="e">
        <f t="shared" si="677"/>
        <v>#DIV/0!</v>
      </c>
      <c r="AJ1118" s="1032" t="e">
        <f t="shared" si="677"/>
        <v>#DIV/0!</v>
      </c>
      <c r="AK1118" s="1032" t="e">
        <f t="shared" si="677"/>
        <v>#DIV/0!</v>
      </c>
      <c r="AL1118" s="1032" t="e">
        <f t="shared" si="677"/>
        <v>#DIV/0!</v>
      </c>
      <c r="AM1118" s="1032" t="e">
        <f t="shared" si="677"/>
        <v>#DIV/0!</v>
      </c>
      <c r="AN1118" s="1032" t="e">
        <f t="shared" si="677"/>
        <v>#DIV/0!</v>
      </c>
      <c r="AO1118" s="1032" t="e">
        <f t="shared" si="677"/>
        <v>#DIV/0!</v>
      </c>
      <c r="AP1118" s="1032" t="e">
        <f t="shared" si="677"/>
        <v>#DIV/0!</v>
      </c>
      <c r="AQ1118" s="1032" t="e">
        <f t="shared" si="677"/>
        <v>#DIV/0!</v>
      </c>
      <c r="AR1118" s="1032" t="e">
        <f t="shared" si="677"/>
        <v>#DIV/0!</v>
      </c>
      <c r="AS1118" s="1032" t="e">
        <f t="shared" ref="AS1118:AY1118" si="678">IF(AS318="",0,IF(OR(1=RANK(AS718,AS$412:AS$790,0),(2=RANK(AS718,AS$412:AS$790,0))),AS718,AS318))</f>
        <v>#DIV/0!</v>
      </c>
      <c r="AT1118" s="1032" t="e">
        <f t="shared" si="678"/>
        <v>#DIV/0!</v>
      </c>
      <c r="AU1118" s="1032">
        <f t="shared" si="678"/>
        <v>0</v>
      </c>
      <c r="AV1118" s="1032" t="e">
        <f t="shared" si="678"/>
        <v>#DIV/0!</v>
      </c>
      <c r="AW1118" s="1032" t="e">
        <f t="shared" si="678"/>
        <v>#DIV/0!</v>
      </c>
      <c r="AX1118" s="1032" t="e">
        <f t="shared" si="678"/>
        <v>#DIV/0!</v>
      </c>
      <c r="AY1118" s="1032" t="e">
        <f t="shared" si="678"/>
        <v>#DIV/0!</v>
      </c>
      <c r="AZ1118" s="1061" t="s">
        <v>21</v>
      </c>
      <c r="BC1118" s="29"/>
      <c r="BD1118" s="29"/>
      <c r="BE1118" s="13"/>
      <c r="BL1118" s="368"/>
    </row>
    <row r="1119" spans="1:64" ht="12" customHeight="1" x14ac:dyDescent="0.2">
      <c r="A1119" s="39">
        <f>acute_overview_children!A319</f>
        <v>4</v>
      </c>
      <c r="B1119" s="23">
        <f t="shared" si="575"/>
        <v>900010</v>
      </c>
      <c r="C1119" s="23" t="str">
        <f t="shared" si="576"/>
        <v>Sugar beet roots</v>
      </c>
      <c r="D1119" s="135"/>
      <c r="E1119" s="1027"/>
      <c r="F1119" s="87"/>
      <c r="G1119" s="87"/>
      <c r="H1119" s="1027"/>
      <c r="I1119" s="1030"/>
      <c r="J1119" s="1039" t="e">
        <f t="shared" ref="J1119:AR1119" si="679">IF(J319="",0,IF(OR(1=RANK(J719,J$412:J$790,0),(2=RANK(J719,J$412:J$790,0))),J719,J319))</f>
        <v>#DIV/0!</v>
      </c>
      <c r="K1119" s="1040" t="e">
        <f t="shared" si="679"/>
        <v>#DIV/0!</v>
      </c>
      <c r="L1119" s="1040" t="e">
        <f t="shared" si="679"/>
        <v>#DIV/0!</v>
      </c>
      <c r="M1119" s="1040" t="e">
        <f t="shared" si="679"/>
        <v>#DIV/0!</v>
      </c>
      <c r="N1119" s="1040" t="e">
        <f t="shared" si="679"/>
        <v>#DIV/0!</v>
      </c>
      <c r="O1119" s="1040" t="e">
        <f t="shared" si="679"/>
        <v>#DIV/0!</v>
      </c>
      <c r="P1119" s="1040" t="e">
        <f t="shared" si="679"/>
        <v>#DIV/0!</v>
      </c>
      <c r="Q1119" s="1040" t="e">
        <f t="shared" si="679"/>
        <v>#DIV/0!</v>
      </c>
      <c r="R1119" s="1040" t="e">
        <f t="shared" si="679"/>
        <v>#DIV/0!</v>
      </c>
      <c r="S1119" s="1040" t="e">
        <f t="shared" si="679"/>
        <v>#DIV/0!</v>
      </c>
      <c r="T1119" s="1040" t="e">
        <f t="shared" si="679"/>
        <v>#DIV/0!</v>
      </c>
      <c r="U1119" s="1040" t="e">
        <f t="shared" si="679"/>
        <v>#DIV/0!</v>
      </c>
      <c r="V1119" s="1040" t="e">
        <f t="shared" si="679"/>
        <v>#DIV/0!</v>
      </c>
      <c r="W1119" s="1040" t="e">
        <f t="shared" si="679"/>
        <v>#DIV/0!</v>
      </c>
      <c r="X1119" s="1040" t="e">
        <f t="shared" si="679"/>
        <v>#DIV/0!</v>
      </c>
      <c r="Y1119" s="1040" t="e">
        <f t="shared" si="679"/>
        <v>#DIV/0!</v>
      </c>
      <c r="Z1119" s="1040" t="e">
        <f t="shared" si="679"/>
        <v>#DIV/0!</v>
      </c>
      <c r="AA1119" s="1040" t="e">
        <f t="shared" si="679"/>
        <v>#DIV/0!</v>
      </c>
      <c r="AB1119" s="1040" t="e">
        <f t="shared" si="679"/>
        <v>#DIV/0!</v>
      </c>
      <c r="AC1119" s="1040" t="e">
        <f t="shared" si="679"/>
        <v>#DIV/0!</v>
      </c>
      <c r="AD1119" s="1040" t="e">
        <f t="shared" si="679"/>
        <v>#DIV/0!</v>
      </c>
      <c r="AE1119" s="1040" t="e">
        <f t="shared" si="679"/>
        <v>#DIV/0!</v>
      </c>
      <c r="AF1119" s="1040" t="e">
        <f t="shared" si="679"/>
        <v>#DIV/0!</v>
      </c>
      <c r="AG1119" s="1040" t="e">
        <f t="shared" si="679"/>
        <v>#DIV/0!</v>
      </c>
      <c r="AH1119" s="1040" t="e">
        <f t="shared" si="679"/>
        <v>#DIV/0!</v>
      </c>
      <c r="AI1119" s="1040" t="e">
        <f t="shared" si="679"/>
        <v>#DIV/0!</v>
      </c>
      <c r="AJ1119" s="1040" t="e">
        <f t="shared" si="679"/>
        <v>#DIV/0!</v>
      </c>
      <c r="AK1119" s="1040" t="e">
        <f t="shared" si="679"/>
        <v>#DIV/0!</v>
      </c>
      <c r="AL1119" s="1040" t="e">
        <f t="shared" si="679"/>
        <v>#DIV/0!</v>
      </c>
      <c r="AM1119" s="1040" t="e">
        <f t="shared" si="679"/>
        <v>#DIV/0!</v>
      </c>
      <c r="AN1119" s="1040" t="e">
        <f t="shared" si="679"/>
        <v>#DIV/0!</v>
      </c>
      <c r="AO1119" s="1040" t="e">
        <f t="shared" si="679"/>
        <v>#DIV/0!</v>
      </c>
      <c r="AP1119" s="1040" t="e">
        <f t="shared" si="679"/>
        <v>#DIV/0!</v>
      </c>
      <c r="AQ1119" s="1040" t="e">
        <f t="shared" si="679"/>
        <v>#DIV/0!</v>
      </c>
      <c r="AR1119" s="1040" t="e">
        <f t="shared" si="679"/>
        <v>#DIV/0!</v>
      </c>
      <c r="AS1119" s="1040" t="e">
        <f t="shared" ref="AS1119:AY1119" si="680">IF(AS319="",0,IF(OR(1=RANK(AS719,AS$412:AS$790,0),(2=RANK(AS719,AS$412:AS$790,0))),AS719,AS319))</f>
        <v>#DIV/0!</v>
      </c>
      <c r="AT1119" s="1040" t="e">
        <f t="shared" si="680"/>
        <v>#DIV/0!</v>
      </c>
      <c r="AU1119" s="1040">
        <f t="shared" si="680"/>
        <v>0</v>
      </c>
      <c r="AV1119" s="1040" t="e">
        <f t="shared" si="680"/>
        <v>#DIV/0!</v>
      </c>
      <c r="AW1119" s="1040" t="e">
        <f t="shared" si="680"/>
        <v>#DIV/0!</v>
      </c>
      <c r="AX1119" s="1040" t="e">
        <f t="shared" si="680"/>
        <v>#DIV/0!</v>
      </c>
      <c r="AY1119" s="1040" t="e">
        <f t="shared" si="680"/>
        <v>#DIV/0!</v>
      </c>
      <c r="AZ1119" s="1061" t="s">
        <v>21</v>
      </c>
      <c r="BC1119" s="29"/>
      <c r="BD1119" s="29"/>
      <c r="BE1119" s="13"/>
      <c r="BL1119" s="368"/>
    </row>
    <row r="1120" spans="1:64" ht="12" customHeight="1" x14ac:dyDescent="0.2">
      <c r="A1120" s="39">
        <f>acute_overview_children!A320</f>
        <v>4</v>
      </c>
      <c r="B1120" s="23">
        <f t="shared" si="575"/>
        <v>900020</v>
      </c>
      <c r="C1120" s="23" t="str">
        <f t="shared" si="576"/>
        <v>Sugar canes</v>
      </c>
      <c r="D1120" s="135"/>
      <c r="E1120" s="1027"/>
      <c r="F1120" s="87"/>
      <c r="G1120" s="87"/>
      <c r="H1120" s="1027"/>
      <c r="I1120" s="1030"/>
      <c r="J1120" s="1039" t="e">
        <f t="shared" ref="J1120:AR1120" si="681">IF(J320="",0,IF(OR(1=RANK(J720,J$412:J$790,0),(2=RANK(J720,J$412:J$790,0))),J720,J320))</f>
        <v>#DIV/0!</v>
      </c>
      <c r="K1120" s="1040" t="e">
        <f t="shared" si="681"/>
        <v>#DIV/0!</v>
      </c>
      <c r="L1120" s="1040" t="e">
        <f t="shared" si="681"/>
        <v>#DIV/0!</v>
      </c>
      <c r="M1120" s="1040" t="e">
        <f t="shared" si="681"/>
        <v>#DIV/0!</v>
      </c>
      <c r="N1120" s="1040" t="e">
        <f t="shared" si="681"/>
        <v>#DIV/0!</v>
      </c>
      <c r="O1120" s="1040" t="e">
        <f t="shared" si="681"/>
        <v>#DIV/0!</v>
      </c>
      <c r="P1120" s="1040" t="e">
        <f t="shared" si="681"/>
        <v>#DIV/0!</v>
      </c>
      <c r="Q1120" s="1040" t="e">
        <f t="shared" si="681"/>
        <v>#DIV/0!</v>
      </c>
      <c r="R1120" s="1040" t="e">
        <f t="shared" si="681"/>
        <v>#DIV/0!</v>
      </c>
      <c r="S1120" s="1040" t="e">
        <f t="shared" si="681"/>
        <v>#DIV/0!</v>
      </c>
      <c r="T1120" s="1040" t="e">
        <f t="shared" si="681"/>
        <v>#DIV/0!</v>
      </c>
      <c r="U1120" s="1040" t="e">
        <f t="shared" si="681"/>
        <v>#DIV/0!</v>
      </c>
      <c r="V1120" s="1040" t="e">
        <f t="shared" si="681"/>
        <v>#DIV/0!</v>
      </c>
      <c r="W1120" s="1040" t="e">
        <f t="shared" si="681"/>
        <v>#DIV/0!</v>
      </c>
      <c r="X1120" s="1040" t="e">
        <f t="shared" si="681"/>
        <v>#DIV/0!</v>
      </c>
      <c r="Y1120" s="1040" t="e">
        <f t="shared" si="681"/>
        <v>#DIV/0!</v>
      </c>
      <c r="Z1120" s="1040" t="e">
        <f t="shared" si="681"/>
        <v>#DIV/0!</v>
      </c>
      <c r="AA1120" s="1040" t="e">
        <f t="shared" si="681"/>
        <v>#DIV/0!</v>
      </c>
      <c r="AB1120" s="1040" t="e">
        <f t="shared" si="681"/>
        <v>#DIV/0!</v>
      </c>
      <c r="AC1120" s="1040" t="e">
        <f t="shared" si="681"/>
        <v>#DIV/0!</v>
      </c>
      <c r="AD1120" s="1040" t="e">
        <f t="shared" si="681"/>
        <v>#DIV/0!</v>
      </c>
      <c r="AE1120" s="1040" t="e">
        <f t="shared" si="681"/>
        <v>#DIV/0!</v>
      </c>
      <c r="AF1120" s="1040" t="e">
        <f t="shared" si="681"/>
        <v>#DIV/0!</v>
      </c>
      <c r="AG1120" s="1040" t="e">
        <f t="shared" si="681"/>
        <v>#DIV/0!</v>
      </c>
      <c r="AH1120" s="1040" t="e">
        <f t="shared" si="681"/>
        <v>#DIV/0!</v>
      </c>
      <c r="AI1120" s="1040" t="e">
        <f t="shared" si="681"/>
        <v>#DIV/0!</v>
      </c>
      <c r="AJ1120" s="1040" t="e">
        <f t="shared" si="681"/>
        <v>#DIV/0!</v>
      </c>
      <c r="AK1120" s="1040" t="e">
        <f t="shared" si="681"/>
        <v>#DIV/0!</v>
      </c>
      <c r="AL1120" s="1040" t="e">
        <f t="shared" si="681"/>
        <v>#DIV/0!</v>
      </c>
      <c r="AM1120" s="1040" t="e">
        <f t="shared" si="681"/>
        <v>#DIV/0!</v>
      </c>
      <c r="AN1120" s="1040" t="e">
        <f t="shared" si="681"/>
        <v>#DIV/0!</v>
      </c>
      <c r="AO1120" s="1040" t="e">
        <f t="shared" si="681"/>
        <v>#DIV/0!</v>
      </c>
      <c r="AP1120" s="1040" t="e">
        <f t="shared" si="681"/>
        <v>#DIV/0!</v>
      </c>
      <c r="AQ1120" s="1040" t="e">
        <f t="shared" si="681"/>
        <v>#DIV/0!</v>
      </c>
      <c r="AR1120" s="1040" t="e">
        <f t="shared" si="681"/>
        <v>#DIV/0!</v>
      </c>
      <c r="AS1120" s="1040" t="e">
        <f t="shared" ref="AS1120:AY1120" si="682">IF(AS320="",0,IF(OR(1=RANK(AS720,AS$412:AS$790,0),(2=RANK(AS720,AS$412:AS$790,0))),AS720,AS320))</f>
        <v>#DIV/0!</v>
      </c>
      <c r="AT1120" s="1040" t="e">
        <f t="shared" si="682"/>
        <v>#DIV/0!</v>
      </c>
      <c r="AU1120" s="1040">
        <f t="shared" si="682"/>
        <v>0</v>
      </c>
      <c r="AV1120" s="1040" t="e">
        <f t="shared" si="682"/>
        <v>#DIV/0!</v>
      </c>
      <c r="AW1120" s="1040" t="e">
        <f t="shared" si="682"/>
        <v>#DIV/0!</v>
      </c>
      <c r="AX1120" s="1040" t="e">
        <f t="shared" si="682"/>
        <v>#DIV/0!</v>
      </c>
      <c r="AY1120" s="1040" t="e">
        <f t="shared" si="682"/>
        <v>#DIV/0!</v>
      </c>
      <c r="AZ1120" s="1061" t="s">
        <v>21</v>
      </c>
      <c r="BC1120" s="29"/>
      <c r="BD1120" s="29"/>
      <c r="BE1120" s="13"/>
      <c r="BL1120" s="368"/>
    </row>
    <row r="1121" spans="1:64" ht="12" customHeight="1" x14ac:dyDescent="0.2">
      <c r="A1121" s="39">
        <f>acute_overview_children!A321</f>
        <v>4</v>
      </c>
      <c r="B1121" s="23">
        <f t="shared" si="575"/>
        <v>900030</v>
      </c>
      <c r="C1121" s="23" t="str">
        <f t="shared" si="576"/>
        <v>Chicory roots</v>
      </c>
      <c r="D1121" s="135"/>
      <c r="E1121" s="1027"/>
      <c r="F1121" s="87"/>
      <c r="G1121" s="87"/>
      <c r="H1121" s="1027"/>
      <c r="I1121" s="1030"/>
      <c r="J1121" s="1039" t="e">
        <f t="shared" ref="J1121:AR1121" si="683">IF(J321="",0,IF(OR(1=RANK(J721,J$412:J$790,0),(2=RANK(J721,J$412:J$790,0))),J721,J321))</f>
        <v>#DIV/0!</v>
      </c>
      <c r="K1121" s="1040" t="e">
        <f t="shared" si="683"/>
        <v>#DIV/0!</v>
      </c>
      <c r="L1121" s="1040" t="e">
        <f t="shared" si="683"/>
        <v>#DIV/0!</v>
      </c>
      <c r="M1121" s="1040" t="e">
        <f t="shared" si="683"/>
        <v>#DIV/0!</v>
      </c>
      <c r="N1121" s="1040" t="e">
        <f t="shared" si="683"/>
        <v>#DIV/0!</v>
      </c>
      <c r="O1121" s="1040" t="e">
        <f t="shared" si="683"/>
        <v>#DIV/0!</v>
      </c>
      <c r="P1121" s="1040" t="e">
        <f t="shared" si="683"/>
        <v>#DIV/0!</v>
      </c>
      <c r="Q1121" s="1040" t="e">
        <f t="shared" si="683"/>
        <v>#DIV/0!</v>
      </c>
      <c r="R1121" s="1040" t="e">
        <f t="shared" si="683"/>
        <v>#DIV/0!</v>
      </c>
      <c r="S1121" s="1040" t="e">
        <f t="shared" si="683"/>
        <v>#DIV/0!</v>
      </c>
      <c r="T1121" s="1040" t="e">
        <f t="shared" si="683"/>
        <v>#DIV/0!</v>
      </c>
      <c r="U1121" s="1040" t="e">
        <f t="shared" si="683"/>
        <v>#DIV/0!</v>
      </c>
      <c r="V1121" s="1040" t="e">
        <f t="shared" si="683"/>
        <v>#DIV/0!</v>
      </c>
      <c r="W1121" s="1040" t="e">
        <f t="shared" si="683"/>
        <v>#DIV/0!</v>
      </c>
      <c r="X1121" s="1040" t="e">
        <f t="shared" si="683"/>
        <v>#DIV/0!</v>
      </c>
      <c r="Y1121" s="1040" t="e">
        <f t="shared" si="683"/>
        <v>#DIV/0!</v>
      </c>
      <c r="Z1121" s="1040" t="e">
        <f t="shared" si="683"/>
        <v>#DIV/0!</v>
      </c>
      <c r="AA1121" s="1040" t="e">
        <f t="shared" si="683"/>
        <v>#DIV/0!</v>
      </c>
      <c r="AB1121" s="1040" t="e">
        <f t="shared" si="683"/>
        <v>#DIV/0!</v>
      </c>
      <c r="AC1121" s="1040" t="e">
        <f t="shared" si="683"/>
        <v>#DIV/0!</v>
      </c>
      <c r="AD1121" s="1040" t="e">
        <f t="shared" si="683"/>
        <v>#DIV/0!</v>
      </c>
      <c r="AE1121" s="1040" t="e">
        <f t="shared" si="683"/>
        <v>#DIV/0!</v>
      </c>
      <c r="AF1121" s="1040" t="e">
        <f t="shared" si="683"/>
        <v>#DIV/0!</v>
      </c>
      <c r="AG1121" s="1040" t="e">
        <f t="shared" si="683"/>
        <v>#DIV/0!</v>
      </c>
      <c r="AH1121" s="1040" t="e">
        <f t="shared" si="683"/>
        <v>#DIV/0!</v>
      </c>
      <c r="AI1121" s="1040" t="e">
        <f t="shared" si="683"/>
        <v>#DIV/0!</v>
      </c>
      <c r="AJ1121" s="1040" t="e">
        <f t="shared" si="683"/>
        <v>#DIV/0!</v>
      </c>
      <c r="AK1121" s="1040" t="e">
        <f t="shared" si="683"/>
        <v>#DIV/0!</v>
      </c>
      <c r="AL1121" s="1040" t="e">
        <f t="shared" si="683"/>
        <v>#DIV/0!</v>
      </c>
      <c r="AM1121" s="1040" t="e">
        <f t="shared" si="683"/>
        <v>#DIV/0!</v>
      </c>
      <c r="AN1121" s="1040" t="e">
        <f t="shared" si="683"/>
        <v>#DIV/0!</v>
      </c>
      <c r="AO1121" s="1040" t="e">
        <f t="shared" si="683"/>
        <v>#DIV/0!</v>
      </c>
      <c r="AP1121" s="1040" t="e">
        <f t="shared" si="683"/>
        <v>#DIV/0!</v>
      </c>
      <c r="AQ1121" s="1040" t="e">
        <f t="shared" si="683"/>
        <v>#DIV/0!</v>
      </c>
      <c r="AR1121" s="1040" t="e">
        <f t="shared" si="683"/>
        <v>#DIV/0!</v>
      </c>
      <c r="AS1121" s="1040" t="e">
        <f t="shared" ref="AS1121:AY1121" si="684">IF(AS321="",0,IF(OR(1=RANK(AS721,AS$412:AS$790,0),(2=RANK(AS721,AS$412:AS$790,0))),AS721,AS321))</f>
        <v>#DIV/0!</v>
      </c>
      <c r="AT1121" s="1040" t="e">
        <f t="shared" si="684"/>
        <v>#DIV/0!</v>
      </c>
      <c r="AU1121" s="1040">
        <f t="shared" si="684"/>
        <v>0</v>
      </c>
      <c r="AV1121" s="1040" t="e">
        <f t="shared" si="684"/>
        <v>#DIV/0!</v>
      </c>
      <c r="AW1121" s="1040" t="e">
        <f t="shared" si="684"/>
        <v>#DIV/0!</v>
      </c>
      <c r="AX1121" s="1040" t="e">
        <f t="shared" si="684"/>
        <v>#DIV/0!</v>
      </c>
      <c r="AY1121" s="1040" t="e">
        <f t="shared" si="684"/>
        <v>#DIV/0!</v>
      </c>
      <c r="AZ1121" s="1061" t="s">
        <v>21</v>
      </c>
      <c r="BC1121" s="29"/>
      <c r="BD1121" s="29"/>
      <c r="BE1121" s="13"/>
      <c r="BL1121" s="368"/>
    </row>
    <row r="1122" spans="1:64" ht="12" customHeight="1" x14ac:dyDescent="0.2">
      <c r="A1122" s="39">
        <f>acute_overview_children!A322</f>
        <v>4</v>
      </c>
      <c r="B1122" s="23">
        <f t="shared" si="575"/>
        <v>900990</v>
      </c>
      <c r="C1122" s="23" t="str">
        <f t="shared" si="576"/>
        <v>Other sugar plants</v>
      </c>
      <c r="D1122" s="135"/>
      <c r="E1122" s="1027"/>
      <c r="F1122" s="87"/>
      <c r="G1122" s="87"/>
      <c r="H1122" s="1027"/>
      <c r="I1122" s="1030"/>
      <c r="J1122" s="1039" t="e">
        <f t="shared" ref="J1122:AR1122" si="685">IF(J322="",0,IF(OR(1=RANK(J722,J$412:J$790,0),(2=RANK(J722,J$412:J$790,0))),J722,J322))</f>
        <v>#DIV/0!</v>
      </c>
      <c r="K1122" s="1040" t="e">
        <f t="shared" si="685"/>
        <v>#DIV/0!</v>
      </c>
      <c r="L1122" s="1040" t="e">
        <f t="shared" si="685"/>
        <v>#DIV/0!</v>
      </c>
      <c r="M1122" s="1040" t="e">
        <f t="shared" si="685"/>
        <v>#DIV/0!</v>
      </c>
      <c r="N1122" s="1040" t="e">
        <f t="shared" si="685"/>
        <v>#DIV/0!</v>
      </c>
      <c r="O1122" s="1040" t="e">
        <f t="shared" si="685"/>
        <v>#DIV/0!</v>
      </c>
      <c r="P1122" s="1040" t="e">
        <f t="shared" si="685"/>
        <v>#DIV/0!</v>
      </c>
      <c r="Q1122" s="1040" t="e">
        <f t="shared" si="685"/>
        <v>#DIV/0!</v>
      </c>
      <c r="R1122" s="1040" t="e">
        <f t="shared" si="685"/>
        <v>#DIV/0!</v>
      </c>
      <c r="S1122" s="1040" t="e">
        <f t="shared" si="685"/>
        <v>#DIV/0!</v>
      </c>
      <c r="T1122" s="1040" t="e">
        <f t="shared" si="685"/>
        <v>#DIV/0!</v>
      </c>
      <c r="U1122" s="1040" t="e">
        <f t="shared" si="685"/>
        <v>#DIV/0!</v>
      </c>
      <c r="V1122" s="1040" t="e">
        <f t="shared" si="685"/>
        <v>#DIV/0!</v>
      </c>
      <c r="W1122" s="1040" t="e">
        <f t="shared" si="685"/>
        <v>#DIV/0!</v>
      </c>
      <c r="X1122" s="1040" t="e">
        <f t="shared" si="685"/>
        <v>#DIV/0!</v>
      </c>
      <c r="Y1122" s="1040" t="e">
        <f t="shared" si="685"/>
        <v>#DIV/0!</v>
      </c>
      <c r="Z1122" s="1040" t="e">
        <f t="shared" si="685"/>
        <v>#DIV/0!</v>
      </c>
      <c r="AA1122" s="1040" t="e">
        <f t="shared" si="685"/>
        <v>#DIV/0!</v>
      </c>
      <c r="AB1122" s="1040" t="e">
        <f t="shared" si="685"/>
        <v>#DIV/0!</v>
      </c>
      <c r="AC1122" s="1040" t="e">
        <f t="shared" si="685"/>
        <v>#DIV/0!</v>
      </c>
      <c r="AD1122" s="1040" t="e">
        <f t="shared" si="685"/>
        <v>#DIV/0!</v>
      </c>
      <c r="AE1122" s="1040" t="e">
        <f t="shared" si="685"/>
        <v>#DIV/0!</v>
      </c>
      <c r="AF1122" s="1040" t="e">
        <f t="shared" si="685"/>
        <v>#DIV/0!</v>
      </c>
      <c r="AG1122" s="1040" t="e">
        <f t="shared" si="685"/>
        <v>#DIV/0!</v>
      </c>
      <c r="AH1122" s="1040" t="e">
        <f t="shared" si="685"/>
        <v>#DIV/0!</v>
      </c>
      <c r="AI1122" s="1040" t="e">
        <f t="shared" si="685"/>
        <v>#DIV/0!</v>
      </c>
      <c r="AJ1122" s="1040" t="e">
        <f t="shared" si="685"/>
        <v>#DIV/0!</v>
      </c>
      <c r="AK1122" s="1040" t="e">
        <f t="shared" si="685"/>
        <v>#DIV/0!</v>
      </c>
      <c r="AL1122" s="1040" t="e">
        <f t="shared" si="685"/>
        <v>#DIV/0!</v>
      </c>
      <c r="AM1122" s="1040" t="e">
        <f t="shared" si="685"/>
        <v>#DIV/0!</v>
      </c>
      <c r="AN1122" s="1040" t="e">
        <f t="shared" si="685"/>
        <v>#DIV/0!</v>
      </c>
      <c r="AO1122" s="1040" t="e">
        <f t="shared" si="685"/>
        <v>#DIV/0!</v>
      </c>
      <c r="AP1122" s="1040" t="e">
        <f t="shared" si="685"/>
        <v>#DIV/0!</v>
      </c>
      <c r="AQ1122" s="1040" t="e">
        <f t="shared" si="685"/>
        <v>#DIV/0!</v>
      </c>
      <c r="AR1122" s="1040" t="e">
        <f t="shared" si="685"/>
        <v>#DIV/0!</v>
      </c>
      <c r="AS1122" s="1040" t="e">
        <f t="shared" ref="AS1122:AY1122" si="686">IF(AS322="",0,IF(OR(1=RANK(AS722,AS$412:AS$790,0),(2=RANK(AS722,AS$412:AS$790,0))),AS722,AS322))</f>
        <v>#DIV/0!</v>
      </c>
      <c r="AT1122" s="1040" t="e">
        <f t="shared" si="686"/>
        <v>#DIV/0!</v>
      </c>
      <c r="AU1122" s="1040">
        <f t="shared" si="686"/>
        <v>0</v>
      </c>
      <c r="AV1122" s="1040" t="e">
        <f t="shared" si="686"/>
        <v>#DIV/0!</v>
      </c>
      <c r="AW1122" s="1040" t="e">
        <f t="shared" si="686"/>
        <v>#DIV/0!</v>
      </c>
      <c r="AX1122" s="1040" t="e">
        <f t="shared" si="686"/>
        <v>#DIV/0!</v>
      </c>
      <c r="AY1122" s="1040" t="e">
        <f t="shared" si="686"/>
        <v>#DIV/0!</v>
      </c>
      <c r="AZ1122" s="1061" t="s">
        <v>21</v>
      </c>
      <c r="BC1122" s="29"/>
      <c r="BD1122" s="29"/>
      <c r="BE1122" s="13"/>
      <c r="BL1122" s="368"/>
    </row>
    <row r="1123" spans="1:64" ht="12" customHeight="1" x14ac:dyDescent="0.2">
      <c r="A1123" s="514">
        <f>acute_overview_children!A323</f>
        <v>1</v>
      </c>
      <c r="B1123" s="127">
        <f t="shared" si="575"/>
        <v>1000000</v>
      </c>
      <c r="C1123" s="127" t="str">
        <f t="shared" si="576"/>
        <v>PRODUCTS OF ANIMAL ORIGIN
-TERRESTRIAL ANIMALS</v>
      </c>
      <c r="D1123" s="135"/>
      <c r="E1123" s="1027"/>
      <c r="F1123" s="87"/>
      <c r="G1123" s="87"/>
      <c r="H1123" s="1027"/>
      <c r="I1123" s="1030"/>
      <c r="J1123" s="1031" t="e">
        <f t="shared" ref="J1123:AR1123" si="687">IF(J323="",0,IF(OR(1=RANK(J723,J$412:J$790,0),(2=RANK(J723,J$412:J$790,0))),J723,J323))</f>
        <v>#DIV/0!</v>
      </c>
      <c r="K1123" s="1032" t="e">
        <f t="shared" si="687"/>
        <v>#DIV/0!</v>
      </c>
      <c r="L1123" s="1032" t="e">
        <f t="shared" si="687"/>
        <v>#DIV/0!</v>
      </c>
      <c r="M1123" s="1032" t="e">
        <f t="shared" si="687"/>
        <v>#DIV/0!</v>
      </c>
      <c r="N1123" s="1032" t="e">
        <f t="shared" si="687"/>
        <v>#DIV/0!</v>
      </c>
      <c r="O1123" s="1032" t="e">
        <f t="shared" si="687"/>
        <v>#DIV/0!</v>
      </c>
      <c r="P1123" s="1032" t="e">
        <f t="shared" si="687"/>
        <v>#DIV/0!</v>
      </c>
      <c r="Q1123" s="1032" t="e">
        <f t="shared" si="687"/>
        <v>#DIV/0!</v>
      </c>
      <c r="R1123" s="1032" t="e">
        <f t="shared" si="687"/>
        <v>#DIV/0!</v>
      </c>
      <c r="S1123" s="1032" t="e">
        <f t="shared" si="687"/>
        <v>#DIV/0!</v>
      </c>
      <c r="T1123" s="1032" t="e">
        <f t="shared" si="687"/>
        <v>#DIV/0!</v>
      </c>
      <c r="U1123" s="1032" t="e">
        <f t="shared" si="687"/>
        <v>#DIV/0!</v>
      </c>
      <c r="V1123" s="1032" t="e">
        <f t="shared" si="687"/>
        <v>#DIV/0!</v>
      </c>
      <c r="W1123" s="1032" t="e">
        <f t="shared" si="687"/>
        <v>#DIV/0!</v>
      </c>
      <c r="X1123" s="1032" t="e">
        <f t="shared" si="687"/>
        <v>#DIV/0!</v>
      </c>
      <c r="Y1123" s="1032" t="e">
        <f t="shared" si="687"/>
        <v>#DIV/0!</v>
      </c>
      <c r="Z1123" s="1032" t="e">
        <f t="shared" si="687"/>
        <v>#DIV/0!</v>
      </c>
      <c r="AA1123" s="1032" t="e">
        <f t="shared" si="687"/>
        <v>#DIV/0!</v>
      </c>
      <c r="AB1123" s="1032" t="e">
        <f t="shared" si="687"/>
        <v>#DIV/0!</v>
      </c>
      <c r="AC1123" s="1032" t="e">
        <f t="shared" si="687"/>
        <v>#DIV/0!</v>
      </c>
      <c r="AD1123" s="1032" t="e">
        <f t="shared" si="687"/>
        <v>#DIV/0!</v>
      </c>
      <c r="AE1123" s="1032" t="e">
        <f t="shared" si="687"/>
        <v>#DIV/0!</v>
      </c>
      <c r="AF1123" s="1032" t="e">
        <f t="shared" si="687"/>
        <v>#DIV/0!</v>
      </c>
      <c r="AG1123" s="1032" t="e">
        <f t="shared" si="687"/>
        <v>#DIV/0!</v>
      </c>
      <c r="AH1123" s="1032" t="e">
        <f t="shared" si="687"/>
        <v>#DIV/0!</v>
      </c>
      <c r="AI1123" s="1032" t="e">
        <f t="shared" si="687"/>
        <v>#DIV/0!</v>
      </c>
      <c r="AJ1123" s="1032" t="e">
        <f t="shared" si="687"/>
        <v>#DIV/0!</v>
      </c>
      <c r="AK1123" s="1032" t="e">
        <f t="shared" si="687"/>
        <v>#DIV/0!</v>
      </c>
      <c r="AL1123" s="1032" t="e">
        <f t="shared" si="687"/>
        <v>#DIV/0!</v>
      </c>
      <c r="AM1123" s="1032" t="e">
        <f t="shared" si="687"/>
        <v>#DIV/0!</v>
      </c>
      <c r="AN1123" s="1032" t="e">
        <f t="shared" si="687"/>
        <v>#DIV/0!</v>
      </c>
      <c r="AO1123" s="1032" t="e">
        <f t="shared" si="687"/>
        <v>#DIV/0!</v>
      </c>
      <c r="AP1123" s="1032" t="e">
        <f t="shared" si="687"/>
        <v>#DIV/0!</v>
      </c>
      <c r="AQ1123" s="1032" t="e">
        <f t="shared" si="687"/>
        <v>#DIV/0!</v>
      </c>
      <c r="AR1123" s="1032" t="e">
        <f t="shared" si="687"/>
        <v>#DIV/0!</v>
      </c>
      <c r="AS1123" s="1032" t="e">
        <f t="shared" ref="AS1123:AY1123" si="688">IF(AS323="",0,IF(OR(1=RANK(AS723,AS$412:AS$790,0),(2=RANK(AS723,AS$412:AS$790,0))),AS723,AS323))</f>
        <v>#DIV/0!</v>
      </c>
      <c r="AT1123" s="1032" t="e">
        <f t="shared" si="688"/>
        <v>#DIV/0!</v>
      </c>
      <c r="AU1123" s="1032">
        <f t="shared" si="688"/>
        <v>0</v>
      </c>
      <c r="AV1123" s="1032" t="e">
        <f t="shared" si="688"/>
        <v>#DIV/0!</v>
      </c>
      <c r="AW1123" s="1032" t="e">
        <f t="shared" si="688"/>
        <v>#DIV/0!</v>
      </c>
      <c r="AX1123" s="1032" t="e">
        <f t="shared" si="688"/>
        <v>#DIV/0!</v>
      </c>
      <c r="AY1123" s="1032" t="e">
        <f t="shared" si="688"/>
        <v>#DIV/0!</v>
      </c>
      <c r="AZ1123" s="1061" t="s">
        <v>21</v>
      </c>
      <c r="BC1123" s="29"/>
      <c r="BD1123" s="29"/>
      <c r="BE1123" s="13"/>
      <c r="BL1123" s="368"/>
    </row>
    <row r="1124" spans="1:64" ht="12" customHeight="1" x14ac:dyDescent="0.2">
      <c r="A1124" s="515">
        <f>acute_overview_children!A324</f>
        <v>2</v>
      </c>
      <c r="B1124" s="131">
        <f t="shared" si="575"/>
        <v>1010000</v>
      </c>
      <c r="C1124" s="131" t="str">
        <f t="shared" si="576"/>
        <v>Tissue</v>
      </c>
      <c r="D1124" s="1035"/>
      <c r="E1124" s="1027"/>
      <c r="F1124" s="87"/>
      <c r="G1124" s="87"/>
      <c r="H1124" s="1027"/>
      <c r="I1124" s="1030"/>
      <c r="J1124" s="1037" t="e">
        <f t="shared" ref="J1124:AR1124" si="689">IF(J324="",0,IF(OR(1=RANK(J724,J$412:J$790,0),(2=RANK(J724,J$412:J$790,0))),J724,J324))</f>
        <v>#DIV/0!</v>
      </c>
      <c r="K1124" s="1038" t="e">
        <f t="shared" si="689"/>
        <v>#DIV/0!</v>
      </c>
      <c r="L1124" s="1038" t="e">
        <f t="shared" si="689"/>
        <v>#DIV/0!</v>
      </c>
      <c r="M1124" s="1038" t="e">
        <f t="shared" si="689"/>
        <v>#DIV/0!</v>
      </c>
      <c r="N1124" s="1038" t="e">
        <f t="shared" si="689"/>
        <v>#DIV/0!</v>
      </c>
      <c r="O1124" s="1038" t="e">
        <f t="shared" si="689"/>
        <v>#DIV/0!</v>
      </c>
      <c r="P1124" s="1038" t="e">
        <f t="shared" si="689"/>
        <v>#DIV/0!</v>
      </c>
      <c r="Q1124" s="1038" t="e">
        <f t="shared" si="689"/>
        <v>#DIV/0!</v>
      </c>
      <c r="R1124" s="1038" t="e">
        <f t="shared" si="689"/>
        <v>#DIV/0!</v>
      </c>
      <c r="S1124" s="1038" t="e">
        <f t="shared" si="689"/>
        <v>#DIV/0!</v>
      </c>
      <c r="T1124" s="1038" t="e">
        <f t="shared" si="689"/>
        <v>#DIV/0!</v>
      </c>
      <c r="U1124" s="1038" t="e">
        <f t="shared" si="689"/>
        <v>#DIV/0!</v>
      </c>
      <c r="V1124" s="1038" t="e">
        <f t="shared" si="689"/>
        <v>#DIV/0!</v>
      </c>
      <c r="W1124" s="1038" t="e">
        <f t="shared" si="689"/>
        <v>#DIV/0!</v>
      </c>
      <c r="X1124" s="1038" t="e">
        <f t="shared" si="689"/>
        <v>#DIV/0!</v>
      </c>
      <c r="Y1124" s="1038" t="e">
        <f t="shared" si="689"/>
        <v>#DIV/0!</v>
      </c>
      <c r="Z1124" s="1038" t="e">
        <f t="shared" si="689"/>
        <v>#DIV/0!</v>
      </c>
      <c r="AA1124" s="1038" t="e">
        <f t="shared" si="689"/>
        <v>#DIV/0!</v>
      </c>
      <c r="AB1124" s="1038" t="e">
        <f t="shared" si="689"/>
        <v>#DIV/0!</v>
      </c>
      <c r="AC1124" s="1038" t="e">
        <f t="shared" si="689"/>
        <v>#DIV/0!</v>
      </c>
      <c r="AD1124" s="1038" t="e">
        <f t="shared" si="689"/>
        <v>#DIV/0!</v>
      </c>
      <c r="AE1124" s="1038" t="e">
        <f t="shared" si="689"/>
        <v>#DIV/0!</v>
      </c>
      <c r="AF1124" s="1038" t="e">
        <f t="shared" si="689"/>
        <v>#DIV/0!</v>
      </c>
      <c r="AG1124" s="1038" t="e">
        <f t="shared" si="689"/>
        <v>#DIV/0!</v>
      </c>
      <c r="AH1124" s="1038" t="e">
        <f t="shared" si="689"/>
        <v>#DIV/0!</v>
      </c>
      <c r="AI1124" s="1038" t="e">
        <f t="shared" si="689"/>
        <v>#DIV/0!</v>
      </c>
      <c r="AJ1124" s="1038" t="e">
        <f t="shared" si="689"/>
        <v>#DIV/0!</v>
      </c>
      <c r="AK1124" s="1038" t="e">
        <f t="shared" si="689"/>
        <v>#DIV/0!</v>
      </c>
      <c r="AL1124" s="1038" t="e">
        <f t="shared" si="689"/>
        <v>#DIV/0!</v>
      </c>
      <c r="AM1124" s="1038" t="e">
        <f t="shared" si="689"/>
        <v>#DIV/0!</v>
      </c>
      <c r="AN1124" s="1038" t="e">
        <f t="shared" si="689"/>
        <v>#DIV/0!</v>
      </c>
      <c r="AO1124" s="1038" t="e">
        <f t="shared" si="689"/>
        <v>#DIV/0!</v>
      </c>
      <c r="AP1124" s="1038" t="e">
        <f t="shared" si="689"/>
        <v>#DIV/0!</v>
      </c>
      <c r="AQ1124" s="1038" t="e">
        <f t="shared" si="689"/>
        <v>#DIV/0!</v>
      </c>
      <c r="AR1124" s="1038" t="e">
        <f t="shared" si="689"/>
        <v>#DIV/0!</v>
      </c>
      <c r="AS1124" s="1038" t="e">
        <f t="shared" ref="AS1124:AY1124" si="690">IF(AS324="",0,IF(OR(1=RANK(AS724,AS$412:AS$790,0),(2=RANK(AS724,AS$412:AS$790,0))),AS724,AS324))</f>
        <v>#DIV/0!</v>
      </c>
      <c r="AT1124" s="1038" t="e">
        <f t="shared" si="690"/>
        <v>#DIV/0!</v>
      </c>
      <c r="AU1124" s="1038">
        <f t="shared" si="690"/>
        <v>0</v>
      </c>
      <c r="AV1124" s="1038" t="e">
        <f t="shared" si="690"/>
        <v>#DIV/0!</v>
      </c>
      <c r="AW1124" s="1038" t="e">
        <f t="shared" si="690"/>
        <v>#DIV/0!</v>
      </c>
      <c r="AX1124" s="1038" t="e">
        <f t="shared" si="690"/>
        <v>#DIV/0!</v>
      </c>
      <c r="AY1124" s="1038" t="e">
        <f t="shared" si="690"/>
        <v>#DIV/0!</v>
      </c>
      <c r="AZ1124" s="1061" t="s">
        <v>21</v>
      </c>
      <c r="BC1124" s="29"/>
      <c r="BD1124" s="29"/>
      <c r="BE1124" s="13"/>
      <c r="BL1124" s="368"/>
    </row>
    <row r="1125" spans="1:64" ht="12" customHeight="1" x14ac:dyDescent="0.2">
      <c r="A1125" s="133">
        <f>acute_overview_children!A325</f>
        <v>3</v>
      </c>
      <c r="B1125" s="5">
        <f t="shared" si="575"/>
        <v>1011000</v>
      </c>
      <c r="C1125" s="5" t="str">
        <f t="shared" si="576"/>
        <v xml:space="preserve">Swine </v>
      </c>
      <c r="D1125" s="135"/>
      <c r="E1125" s="1027"/>
      <c r="F1125" s="87"/>
      <c r="G1125" s="87"/>
      <c r="H1125" s="1027"/>
      <c r="I1125" s="1030"/>
      <c r="J1125" s="1047" t="e">
        <f t="shared" ref="J1125:AR1125" si="691">IF(J325="",0,IF(OR(1=RANK(J725,J$412:J$790,0),(2=RANK(J725,J$412:J$790,0))),J725,J325))</f>
        <v>#DIV/0!</v>
      </c>
      <c r="K1125" s="1048" t="e">
        <f t="shared" si="691"/>
        <v>#DIV/0!</v>
      </c>
      <c r="L1125" s="1048" t="e">
        <f t="shared" si="691"/>
        <v>#DIV/0!</v>
      </c>
      <c r="M1125" s="1048" t="e">
        <f t="shared" si="691"/>
        <v>#DIV/0!</v>
      </c>
      <c r="N1125" s="1048" t="e">
        <f t="shared" si="691"/>
        <v>#DIV/0!</v>
      </c>
      <c r="O1125" s="1048" t="e">
        <f t="shared" si="691"/>
        <v>#DIV/0!</v>
      </c>
      <c r="P1125" s="1048" t="e">
        <f t="shared" si="691"/>
        <v>#DIV/0!</v>
      </c>
      <c r="Q1125" s="1048" t="e">
        <f t="shared" si="691"/>
        <v>#DIV/0!</v>
      </c>
      <c r="R1125" s="1048" t="e">
        <f t="shared" si="691"/>
        <v>#DIV/0!</v>
      </c>
      <c r="S1125" s="1048" t="e">
        <f t="shared" si="691"/>
        <v>#DIV/0!</v>
      </c>
      <c r="T1125" s="1048" t="e">
        <f t="shared" si="691"/>
        <v>#DIV/0!</v>
      </c>
      <c r="U1125" s="1048" t="e">
        <f t="shared" si="691"/>
        <v>#DIV/0!</v>
      </c>
      <c r="V1125" s="1048" t="e">
        <f t="shared" si="691"/>
        <v>#DIV/0!</v>
      </c>
      <c r="W1125" s="1048" t="e">
        <f t="shared" si="691"/>
        <v>#DIV/0!</v>
      </c>
      <c r="X1125" s="1048" t="e">
        <f t="shared" si="691"/>
        <v>#DIV/0!</v>
      </c>
      <c r="Y1125" s="1048" t="e">
        <f t="shared" si="691"/>
        <v>#DIV/0!</v>
      </c>
      <c r="Z1125" s="1048" t="e">
        <f t="shared" si="691"/>
        <v>#DIV/0!</v>
      </c>
      <c r="AA1125" s="1048" t="e">
        <f t="shared" si="691"/>
        <v>#DIV/0!</v>
      </c>
      <c r="AB1125" s="1048" t="e">
        <f t="shared" si="691"/>
        <v>#DIV/0!</v>
      </c>
      <c r="AC1125" s="1048" t="e">
        <f t="shared" si="691"/>
        <v>#DIV/0!</v>
      </c>
      <c r="AD1125" s="1048" t="e">
        <f t="shared" si="691"/>
        <v>#DIV/0!</v>
      </c>
      <c r="AE1125" s="1048" t="e">
        <f t="shared" si="691"/>
        <v>#DIV/0!</v>
      </c>
      <c r="AF1125" s="1048" t="e">
        <f t="shared" si="691"/>
        <v>#DIV/0!</v>
      </c>
      <c r="AG1125" s="1048" t="e">
        <f t="shared" si="691"/>
        <v>#DIV/0!</v>
      </c>
      <c r="AH1125" s="1048" t="e">
        <f t="shared" si="691"/>
        <v>#DIV/0!</v>
      </c>
      <c r="AI1125" s="1048" t="e">
        <f t="shared" si="691"/>
        <v>#DIV/0!</v>
      </c>
      <c r="AJ1125" s="1048" t="e">
        <f t="shared" si="691"/>
        <v>#DIV/0!</v>
      </c>
      <c r="AK1125" s="1048" t="e">
        <f t="shared" si="691"/>
        <v>#DIV/0!</v>
      </c>
      <c r="AL1125" s="1048" t="e">
        <f t="shared" si="691"/>
        <v>#DIV/0!</v>
      </c>
      <c r="AM1125" s="1048" t="e">
        <f t="shared" si="691"/>
        <v>#DIV/0!</v>
      </c>
      <c r="AN1125" s="1048" t="e">
        <f t="shared" si="691"/>
        <v>#DIV/0!</v>
      </c>
      <c r="AO1125" s="1048" t="e">
        <f t="shared" si="691"/>
        <v>#DIV/0!</v>
      </c>
      <c r="AP1125" s="1048" t="e">
        <f t="shared" si="691"/>
        <v>#DIV/0!</v>
      </c>
      <c r="AQ1125" s="1048" t="e">
        <f t="shared" si="691"/>
        <v>#DIV/0!</v>
      </c>
      <c r="AR1125" s="1048" t="e">
        <f t="shared" si="691"/>
        <v>#DIV/0!</v>
      </c>
      <c r="AS1125" s="1048" t="e">
        <f t="shared" ref="AS1125:AY1125" si="692">IF(AS325="",0,IF(OR(1=RANK(AS725,AS$412:AS$790,0),(2=RANK(AS725,AS$412:AS$790,0))),AS725,AS325))</f>
        <v>#DIV/0!</v>
      </c>
      <c r="AT1125" s="1048" t="e">
        <f t="shared" si="692"/>
        <v>#DIV/0!</v>
      </c>
      <c r="AU1125" s="1048">
        <f t="shared" si="692"/>
        <v>0</v>
      </c>
      <c r="AV1125" s="1048" t="e">
        <f t="shared" si="692"/>
        <v>#DIV/0!</v>
      </c>
      <c r="AW1125" s="1048" t="e">
        <f t="shared" si="692"/>
        <v>#DIV/0!</v>
      </c>
      <c r="AX1125" s="1048" t="e">
        <f t="shared" si="692"/>
        <v>#DIV/0!</v>
      </c>
      <c r="AY1125" s="1048" t="e">
        <f t="shared" si="692"/>
        <v>#DIV/0!</v>
      </c>
      <c r="AZ1125" s="1061" t="s">
        <v>21</v>
      </c>
      <c r="BC1125" s="29"/>
      <c r="BD1125" s="29"/>
      <c r="BE1125" s="13"/>
      <c r="BL1125" s="368"/>
    </row>
    <row r="1126" spans="1:64" ht="12" customHeight="1" x14ac:dyDescent="0.2">
      <c r="A1126" s="39">
        <f>acute_overview_children!A326</f>
        <v>4</v>
      </c>
      <c r="B1126" s="23">
        <f t="shared" si="575"/>
        <v>1011010</v>
      </c>
      <c r="C1126" s="23" t="str">
        <f t="shared" si="576"/>
        <v>Swine: Muscle/meat</v>
      </c>
      <c r="D1126" s="135"/>
      <c r="E1126" s="1027"/>
      <c r="F1126" s="87"/>
      <c r="G1126" s="87"/>
      <c r="H1126" s="1027"/>
      <c r="I1126" s="1030"/>
      <c r="J1126" s="1039" t="e">
        <f t="shared" ref="J1126:AR1126" si="693">IF(J326="",0,IF(OR(1=RANK(J726,J$412:J$790,0),(2=RANK(J726,J$412:J$790,0))),J726,J326))</f>
        <v>#DIV/0!</v>
      </c>
      <c r="K1126" s="1040" t="e">
        <f t="shared" si="693"/>
        <v>#DIV/0!</v>
      </c>
      <c r="L1126" s="1040" t="e">
        <f t="shared" si="693"/>
        <v>#DIV/0!</v>
      </c>
      <c r="M1126" s="1040" t="e">
        <f t="shared" si="693"/>
        <v>#DIV/0!</v>
      </c>
      <c r="N1126" s="1040" t="e">
        <f t="shared" si="693"/>
        <v>#DIV/0!</v>
      </c>
      <c r="O1126" s="1040" t="e">
        <f t="shared" si="693"/>
        <v>#DIV/0!</v>
      </c>
      <c r="P1126" s="1040" t="e">
        <f t="shared" si="693"/>
        <v>#DIV/0!</v>
      </c>
      <c r="Q1126" s="1040" t="e">
        <f t="shared" si="693"/>
        <v>#DIV/0!</v>
      </c>
      <c r="R1126" s="1040" t="e">
        <f t="shared" si="693"/>
        <v>#DIV/0!</v>
      </c>
      <c r="S1126" s="1040" t="e">
        <f t="shared" si="693"/>
        <v>#DIV/0!</v>
      </c>
      <c r="T1126" s="1040" t="e">
        <f t="shared" si="693"/>
        <v>#DIV/0!</v>
      </c>
      <c r="U1126" s="1040" t="e">
        <f t="shared" si="693"/>
        <v>#DIV/0!</v>
      </c>
      <c r="V1126" s="1040" t="e">
        <f t="shared" si="693"/>
        <v>#DIV/0!</v>
      </c>
      <c r="W1126" s="1040" t="e">
        <f t="shared" si="693"/>
        <v>#DIV/0!</v>
      </c>
      <c r="X1126" s="1040" t="e">
        <f t="shared" si="693"/>
        <v>#DIV/0!</v>
      </c>
      <c r="Y1126" s="1040" t="e">
        <f t="shared" si="693"/>
        <v>#DIV/0!</v>
      </c>
      <c r="Z1126" s="1040" t="e">
        <f t="shared" si="693"/>
        <v>#DIV/0!</v>
      </c>
      <c r="AA1126" s="1040" t="e">
        <f t="shared" si="693"/>
        <v>#DIV/0!</v>
      </c>
      <c r="AB1126" s="1040" t="e">
        <f t="shared" si="693"/>
        <v>#DIV/0!</v>
      </c>
      <c r="AC1126" s="1040" t="e">
        <f t="shared" si="693"/>
        <v>#DIV/0!</v>
      </c>
      <c r="AD1126" s="1040" t="e">
        <f t="shared" si="693"/>
        <v>#DIV/0!</v>
      </c>
      <c r="AE1126" s="1040" t="e">
        <f t="shared" si="693"/>
        <v>#DIV/0!</v>
      </c>
      <c r="AF1126" s="1040" t="e">
        <f t="shared" si="693"/>
        <v>#DIV/0!</v>
      </c>
      <c r="AG1126" s="1040" t="e">
        <f t="shared" si="693"/>
        <v>#DIV/0!</v>
      </c>
      <c r="AH1126" s="1040" t="e">
        <f t="shared" si="693"/>
        <v>#DIV/0!</v>
      </c>
      <c r="AI1126" s="1040" t="e">
        <f t="shared" si="693"/>
        <v>#DIV/0!</v>
      </c>
      <c r="AJ1126" s="1040" t="e">
        <f t="shared" si="693"/>
        <v>#DIV/0!</v>
      </c>
      <c r="AK1126" s="1040" t="e">
        <f t="shared" si="693"/>
        <v>#DIV/0!</v>
      </c>
      <c r="AL1126" s="1040" t="e">
        <f t="shared" si="693"/>
        <v>#DIV/0!</v>
      </c>
      <c r="AM1126" s="1040" t="e">
        <f t="shared" si="693"/>
        <v>#DIV/0!</v>
      </c>
      <c r="AN1126" s="1040" t="e">
        <f t="shared" si="693"/>
        <v>#DIV/0!</v>
      </c>
      <c r="AO1126" s="1040" t="e">
        <f t="shared" si="693"/>
        <v>#DIV/0!</v>
      </c>
      <c r="AP1126" s="1040" t="e">
        <f t="shared" si="693"/>
        <v>#DIV/0!</v>
      </c>
      <c r="AQ1126" s="1040" t="e">
        <f t="shared" si="693"/>
        <v>#DIV/0!</v>
      </c>
      <c r="AR1126" s="1040" t="e">
        <f t="shared" si="693"/>
        <v>#DIV/0!</v>
      </c>
      <c r="AS1126" s="1040" t="e">
        <f t="shared" ref="AS1126:AY1126" si="694">IF(AS326="",0,IF(OR(1=RANK(AS726,AS$412:AS$790,0),(2=RANK(AS726,AS$412:AS$790,0))),AS726,AS326))</f>
        <v>#DIV/0!</v>
      </c>
      <c r="AT1126" s="1040" t="e">
        <f t="shared" si="694"/>
        <v>#DIV/0!</v>
      </c>
      <c r="AU1126" s="1040">
        <f t="shared" si="694"/>
        <v>0</v>
      </c>
      <c r="AV1126" s="1040" t="e">
        <f t="shared" si="694"/>
        <v>#DIV/0!</v>
      </c>
      <c r="AW1126" s="1040" t="e">
        <f t="shared" si="694"/>
        <v>#DIV/0!</v>
      </c>
      <c r="AX1126" s="1040" t="e">
        <f t="shared" si="694"/>
        <v>#DIV/0!</v>
      </c>
      <c r="AY1126" s="1040" t="e">
        <f t="shared" si="694"/>
        <v>#DIV/0!</v>
      </c>
      <c r="AZ1126" s="1061" t="s">
        <v>21</v>
      </c>
      <c r="BC1126" s="29"/>
      <c r="BD1126" s="29"/>
      <c r="BE1126" s="13"/>
      <c r="BL1126" s="368"/>
    </row>
    <row r="1127" spans="1:64" ht="12" customHeight="1" x14ac:dyDescent="0.2">
      <c r="A1127" s="39">
        <f>acute_overview_children!A327</f>
        <v>4</v>
      </c>
      <c r="B1127" s="23">
        <f t="shared" si="575"/>
        <v>1011020</v>
      </c>
      <c r="C1127" s="23" t="str">
        <f t="shared" si="576"/>
        <v>Swine: Fat tissue</v>
      </c>
      <c r="D1127" s="135"/>
      <c r="E1127" s="1027"/>
      <c r="F1127" s="87"/>
      <c r="G1127" s="87"/>
      <c r="H1127" s="1027"/>
      <c r="I1127" s="1030"/>
      <c r="J1127" s="1039" t="e">
        <f t="shared" ref="J1127:AR1127" si="695">IF(J327="",0,IF(OR(1=RANK(J727,J$412:J$790,0),(2=RANK(J727,J$412:J$790,0))),J727,J327))</f>
        <v>#DIV/0!</v>
      </c>
      <c r="K1127" s="1040" t="e">
        <f t="shared" si="695"/>
        <v>#DIV/0!</v>
      </c>
      <c r="L1127" s="1040" t="e">
        <f t="shared" si="695"/>
        <v>#DIV/0!</v>
      </c>
      <c r="M1127" s="1040" t="e">
        <f t="shared" si="695"/>
        <v>#DIV/0!</v>
      </c>
      <c r="N1127" s="1040" t="e">
        <f t="shared" si="695"/>
        <v>#DIV/0!</v>
      </c>
      <c r="O1127" s="1040" t="e">
        <f t="shared" si="695"/>
        <v>#DIV/0!</v>
      </c>
      <c r="P1127" s="1040" t="e">
        <f t="shared" si="695"/>
        <v>#DIV/0!</v>
      </c>
      <c r="Q1127" s="1040" t="e">
        <f t="shared" si="695"/>
        <v>#DIV/0!</v>
      </c>
      <c r="R1127" s="1040" t="e">
        <f t="shared" si="695"/>
        <v>#DIV/0!</v>
      </c>
      <c r="S1127" s="1040" t="e">
        <f t="shared" si="695"/>
        <v>#DIV/0!</v>
      </c>
      <c r="T1127" s="1040" t="e">
        <f t="shared" si="695"/>
        <v>#DIV/0!</v>
      </c>
      <c r="U1127" s="1040" t="e">
        <f t="shared" si="695"/>
        <v>#DIV/0!</v>
      </c>
      <c r="V1127" s="1040" t="e">
        <f t="shared" si="695"/>
        <v>#DIV/0!</v>
      </c>
      <c r="W1127" s="1040" t="e">
        <f t="shared" si="695"/>
        <v>#DIV/0!</v>
      </c>
      <c r="X1127" s="1040" t="e">
        <f t="shared" si="695"/>
        <v>#DIV/0!</v>
      </c>
      <c r="Y1127" s="1040" t="e">
        <f t="shared" si="695"/>
        <v>#DIV/0!</v>
      </c>
      <c r="Z1127" s="1040" t="e">
        <f t="shared" si="695"/>
        <v>#DIV/0!</v>
      </c>
      <c r="AA1127" s="1040" t="e">
        <f t="shared" si="695"/>
        <v>#DIV/0!</v>
      </c>
      <c r="AB1127" s="1040" t="e">
        <f t="shared" si="695"/>
        <v>#DIV/0!</v>
      </c>
      <c r="AC1127" s="1040" t="e">
        <f t="shared" si="695"/>
        <v>#DIV/0!</v>
      </c>
      <c r="AD1127" s="1040" t="e">
        <f t="shared" si="695"/>
        <v>#DIV/0!</v>
      </c>
      <c r="AE1127" s="1040" t="e">
        <f t="shared" si="695"/>
        <v>#DIV/0!</v>
      </c>
      <c r="AF1127" s="1040" t="e">
        <f t="shared" si="695"/>
        <v>#DIV/0!</v>
      </c>
      <c r="AG1127" s="1040" t="e">
        <f t="shared" si="695"/>
        <v>#DIV/0!</v>
      </c>
      <c r="AH1127" s="1040" t="e">
        <f t="shared" si="695"/>
        <v>#DIV/0!</v>
      </c>
      <c r="AI1127" s="1040" t="e">
        <f t="shared" si="695"/>
        <v>#DIV/0!</v>
      </c>
      <c r="AJ1127" s="1040" t="e">
        <f t="shared" si="695"/>
        <v>#DIV/0!</v>
      </c>
      <c r="AK1127" s="1040" t="e">
        <f t="shared" si="695"/>
        <v>#DIV/0!</v>
      </c>
      <c r="AL1127" s="1040" t="e">
        <f t="shared" si="695"/>
        <v>#DIV/0!</v>
      </c>
      <c r="AM1127" s="1040" t="e">
        <f t="shared" si="695"/>
        <v>#DIV/0!</v>
      </c>
      <c r="AN1127" s="1040" t="e">
        <f t="shared" si="695"/>
        <v>#DIV/0!</v>
      </c>
      <c r="AO1127" s="1040" t="e">
        <f t="shared" si="695"/>
        <v>#DIV/0!</v>
      </c>
      <c r="AP1127" s="1040" t="e">
        <f t="shared" si="695"/>
        <v>#DIV/0!</v>
      </c>
      <c r="AQ1127" s="1040" t="e">
        <f t="shared" si="695"/>
        <v>#DIV/0!</v>
      </c>
      <c r="AR1127" s="1040" t="e">
        <f t="shared" si="695"/>
        <v>#DIV/0!</v>
      </c>
      <c r="AS1127" s="1040" t="e">
        <f t="shared" ref="AS1127:AY1127" si="696">IF(AS327="",0,IF(OR(1=RANK(AS727,AS$412:AS$790,0),(2=RANK(AS727,AS$412:AS$790,0))),AS727,AS327))</f>
        <v>#DIV/0!</v>
      </c>
      <c r="AT1127" s="1040" t="e">
        <f t="shared" si="696"/>
        <v>#DIV/0!</v>
      </c>
      <c r="AU1127" s="1040">
        <f t="shared" si="696"/>
        <v>0</v>
      </c>
      <c r="AV1127" s="1040" t="e">
        <f t="shared" si="696"/>
        <v>#DIV/0!</v>
      </c>
      <c r="AW1127" s="1040" t="e">
        <f t="shared" si="696"/>
        <v>#DIV/0!</v>
      </c>
      <c r="AX1127" s="1040" t="e">
        <f t="shared" si="696"/>
        <v>#DIV/0!</v>
      </c>
      <c r="AY1127" s="1040" t="e">
        <f t="shared" si="696"/>
        <v>#DIV/0!</v>
      </c>
      <c r="AZ1127" s="1061" t="s">
        <v>21</v>
      </c>
      <c r="BC1127" s="29"/>
      <c r="BD1127" s="29"/>
      <c r="BE1127" s="13"/>
      <c r="BL1127" s="368"/>
    </row>
    <row r="1128" spans="1:64" ht="12" customHeight="1" x14ac:dyDescent="0.2">
      <c r="A1128" s="39">
        <f>acute_overview_children!A328</f>
        <v>4</v>
      </c>
      <c r="B1128" s="23">
        <f t="shared" si="575"/>
        <v>1011030</v>
      </c>
      <c r="C1128" s="23" t="str">
        <f t="shared" si="576"/>
        <v>Swine: Liver</v>
      </c>
      <c r="D1128" s="135"/>
      <c r="E1128" s="1027"/>
      <c r="F1128" s="87"/>
      <c r="G1128" s="87"/>
      <c r="H1128" s="1027"/>
      <c r="I1128" s="1030"/>
      <c r="J1128" s="1039" t="e">
        <f t="shared" ref="J1128:AR1128" si="697">IF(J328="",0,IF(OR(1=RANK(J728,J$412:J$790,0),(2=RANK(J728,J$412:J$790,0))),J728,J328))</f>
        <v>#DIV/0!</v>
      </c>
      <c r="K1128" s="1040" t="e">
        <f t="shared" si="697"/>
        <v>#DIV/0!</v>
      </c>
      <c r="L1128" s="1040" t="e">
        <f t="shared" si="697"/>
        <v>#DIV/0!</v>
      </c>
      <c r="M1128" s="1040" t="e">
        <f t="shared" si="697"/>
        <v>#DIV/0!</v>
      </c>
      <c r="N1128" s="1040" t="e">
        <f t="shared" si="697"/>
        <v>#DIV/0!</v>
      </c>
      <c r="O1128" s="1040" t="e">
        <f t="shared" si="697"/>
        <v>#DIV/0!</v>
      </c>
      <c r="P1128" s="1040" t="e">
        <f t="shared" si="697"/>
        <v>#DIV/0!</v>
      </c>
      <c r="Q1128" s="1040" t="e">
        <f t="shared" si="697"/>
        <v>#DIV/0!</v>
      </c>
      <c r="R1128" s="1040" t="e">
        <f t="shared" si="697"/>
        <v>#DIV/0!</v>
      </c>
      <c r="S1128" s="1040" t="e">
        <f t="shared" si="697"/>
        <v>#DIV/0!</v>
      </c>
      <c r="T1128" s="1040" t="e">
        <f t="shared" si="697"/>
        <v>#DIV/0!</v>
      </c>
      <c r="U1128" s="1040" t="e">
        <f t="shared" si="697"/>
        <v>#DIV/0!</v>
      </c>
      <c r="V1128" s="1040" t="e">
        <f t="shared" si="697"/>
        <v>#DIV/0!</v>
      </c>
      <c r="W1128" s="1040" t="e">
        <f t="shared" si="697"/>
        <v>#DIV/0!</v>
      </c>
      <c r="X1128" s="1040" t="e">
        <f t="shared" si="697"/>
        <v>#DIV/0!</v>
      </c>
      <c r="Y1128" s="1040" t="e">
        <f t="shared" si="697"/>
        <v>#DIV/0!</v>
      </c>
      <c r="Z1128" s="1040" t="e">
        <f t="shared" si="697"/>
        <v>#DIV/0!</v>
      </c>
      <c r="AA1128" s="1040" t="e">
        <f t="shared" si="697"/>
        <v>#DIV/0!</v>
      </c>
      <c r="AB1128" s="1040" t="e">
        <f t="shared" si="697"/>
        <v>#DIV/0!</v>
      </c>
      <c r="AC1128" s="1040" t="e">
        <f t="shared" si="697"/>
        <v>#DIV/0!</v>
      </c>
      <c r="AD1128" s="1040" t="e">
        <f t="shared" si="697"/>
        <v>#DIV/0!</v>
      </c>
      <c r="AE1128" s="1040" t="e">
        <f t="shared" si="697"/>
        <v>#DIV/0!</v>
      </c>
      <c r="AF1128" s="1040" t="e">
        <f t="shared" si="697"/>
        <v>#DIV/0!</v>
      </c>
      <c r="AG1128" s="1040" t="e">
        <f t="shared" si="697"/>
        <v>#DIV/0!</v>
      </c>
      <c r="AH1128" s="1040" t="e">
        <f t="shared" si="697"/>
        <v>#DIV/0!</v>
      </c>
      <c r="AI1128" s="1040" t="e">
        <f t="shared" si="697"/>
        <v>#DIV/0!</v>
      </c>
      <c r="AJ1128" s="1040" t="e">
        <f t="shared" si="697"/>
        <v>#DIV/0!</v>
      </c>
      <c r="AK1128" s="1040" t="e">
        <f t="shared" si="697"/>
        <v>#DIV/0!</v>
      </c>
      <c r="AL1128" s="1040" t="e">
        <f t="shared" si="697"/>
        <v>#DIV/0!</v>
      </c>
      <c r="AM1128" s="1040" t="e">
        <f t="shared" si="697"/>
        <v>#DIV/0!</v>
      </c>
      <c r="AN1128" s="1040" t="e">
        <f t="shared" si="697"/>
        <v>#DIV/0!</v>
      </c>
      <c r="AO1128" s="1040" t="e">
        <f t="shared" si="697"/>
        <v>#DIV/0!</v>
      </c>
      <c r="AP1128" s="1040" t="e">
        <f t="shared" si="697"/>
        <v>#DIV/0!</v>
      </c>
      <c r="AQ1128" s="1040" t="e">
        <f t="shared" si="697"/>
        <v>#DIV/0!</v>
      </c>
      <c r="AR1128" s="1040" t="e">
        <f t="shared" si="697"/>
        <v>#DIV/0!</v>
      </c>
      <c r="AS1128" s="1040" t="e">
        <f t="shared" ref="AS1128:AY1128" si="698">IF(AS328="",0,IF(OR(1=RANK(AS728,AS$412:AS$790,0),(2=RANK(AS728,AS$412:AS$790,0))),AS728,AS328))</f>
        <v>#DIV/0!</v>
      </c>
      <c r="AT1128" s="1040" t="e">
        <f t="shared" si="698"/>
        <v>#DIV/0!</v>
      </c>
      <c r="AU1128" s="1040">
        <f t="shared" si="698"/>
        <v>0</v>
      </c>
      <c r="AV1128" s="1040" t="e">
        <f t="shared" si="698"/>
        <v>#DIV/0!</v>
      </c>
      <c r="AW1128" s="1040" t="e">
        <f t="shared" si="698"/>
        <v>#DIV/0!</v>
      </c>
      <c r="AX1128" s="1040" t="e">
        <f t="shared" si="698"/>
        <v>#DIV/0!</v>
      </c>
      <c r="AY1128" s="1040" t="e">
        <f t="shared" si="698"/>
        <v>#DIV/0!</v>
      </c>
      <c r="AZ1128" s="1061" t="s">
        <v>21</v>
      </c>
      <c r="BC1128" s="29"/>
      <c r="BD1128" s="29"/>
      <c r="BE1128" s="13"/>
      <c r="BL1128" s="368"/>
    </row>
    <row r="1129" spans="1:64" ht="12" customHeight="1" x14ac:dyDescent="0.2">
      <c r="A1129" s="39">
        <f>acute_overview_children!A329</f>
        <v>4</v>
      </c>
      <c r="B1129" s="23">
        <f t="shared" si="575"/>
        <v>1011040</v>
      </c>
      <c r="C1129" s="23" t="str">
        <f t="shared" si="576"/>
        <v>Swine: Kidney</v>
      </c>
      <c r="D1129" s="135"/>
      <c r="E1129" s="1027"/>
      <c r="F1129" s="87"/>
      <c r="G1129" s="87"/>
      <c r="H1129" s="1027"/>
      <c r="I1129" s="1030"/>
      <c r="J1129" s="1039" t="e">
        <f t="shared" ref="J1129:AR1129" si="699">IF(J329="",0,IF(OR(1=RANK(J729,J$412:J$790,0),(2=RANK(J729,J$412:J$790,0))),J729,J329))</f>
        <v>#DIV/0!</v>
      </c>
      <c r="K1129" s="1040" t="e">
        <f t="shared" si="699"/>
        <v>#DIV/0!</v>
      </c>
      <c r="L1129" s="1040" t="e">
        <f t="shared" si="699"/>
        <v>#DIV/0!</v>
      </c>
      <c r="M1129" s="1040" t="e">
        <f t="shared" si="699"/>
        <v>#DIV/0!</v>
      </c>
      <c r="N1129" s="1040" t="e">
        <f t="shared" si="699"/>
        <v>#DIV/0!</v>
      </c>
      <c r="O1129" s="1040" t="e">
        <f t="shared" si="699"/>
        <v>#DIV/0!</v>
      </c>
      <c r="P1129" s="1040" t="e">
        <f t="shared" si="699"/>
        <v>#DIV/0!</v>
      </c>
      <c r="Q1129" s="1040" t="e">
        <f t="shared" si="699"/>
        <v>#DIV/0!</v>
      </c>
      <c r="R1129" s="1040" t="e">
        <f t="shared" si="699"/>
        <v>#DIV/0!</v>
      </c>
      <c r="S1129" s="1040" t="e">
        <f t="shared" si="699"/>
        <v>#DIV/0!</v>
      </c>
      <c r="T1129" s="1040" t="e">
        <f t="shared" si="699"/>
        <v>#DIV/0!</v>
      </c>
      <c r="U1129" s="1040" t="e">
        <f t="shared" si="699"/>
        <v>#DIV/0!</v>
      </c>
      <c r="V1129" s="1040" t="e">
        <f t="shared" si="699"/>
        <v>#DIV/0!</v>
      </c>
      <c r="W1129" s="1040" t="e">
        <f t="shared" si="699"/>
        <v>#DIV/0!</v>
      </c>
      <c r="X1129" s="1040" t="e">
        <f t="shared" si="699"/>
        <v>#DIV/0!</v>
      </c>
      <c r="Y1129" s="1040" t="e">
        <f t="shared" si="699"/>
        <v>#DIV/0!</v>
      </c>
      <c r="Z1129" s="1040" t="e">
        <f t="shared" si="699"/>
        <v>#DIV/0!</v>
      </c>
      <c r="AA1129" s="1040" t="e">
        <f t="shared" si="699"/>
        <v>#DIV/0!</v>
      </c>
      <c r="AB1129" s="1040" t="e">
        <f t="shared" si="699"/>
        <v>#DIV/0!</v>
      </c>
      <c r="AC1129" s="1040" t="e">
        <f t="shared" si="699"/>
        <v>#DIV/0!</v>
      </c>
      <c r="AD1129" s="1040" t="e">
        <f t="shared" si="699"/>
        <v>#DIV/0!</v>
      </c>
      <c r="AE1129" s="1040" t="e">
        <f t="shared" si="699"/>
        <v>#DIV/0!</v>
      </c>
      <c r="AF1129" s="1040" t="e">
        <f t="shared" si="699"/>
        <v>#DIV/0!</v>
      </c>
      <c r="AG1129" s="1040" t="e">
        <f t="shared" si="699"/>
        <v>#DIV/0!</v>
      </c>
      <c r="AH1129" s="1040" t="e">
        <f t="shared" si="699"/>
        <v>#DIV/0!</v>
      </c>
      <c r="AI1129" s="1040" t="e">
        <f t="shared" si="699"/>
        <v>#DIV/0!</v>
      </c>
      <c r="AJ1129" s="1040" t="e">
        <f t="shared" si="699"/>
        <v>#DIV/0!</v>
      </c>
      <c r="AK1129" s="1040" t="e">
        <f t="shared" si="699"/>
        <v>#DIV/0!</v>
      </c>
      <c r="AL1129" s="1040" t="e">
        <f t="shared" si="699"/>
        <v>#DIV/0!</v>
      </c>
      <c r="AM1129" s="1040" t="e">
        <f t="shared" si="699"/>
        <v>#DIV/0!</v>
      </c>
      <c r="AN1129" s="1040" t="e">
        <f t="shared" si="699"/>
        <v>#DIV/0!</v>
      </c>
      <c r="AO1129" s="1040" t="e">
        <f t="shared" si="699"/>
        <v>#DIV/0!</v>
      </c>
      <c r="AP1129" s="1040" t="e">
        <f t="shared" si="699"/>
        <v>#DIV/0!</v>
      </c>
      <c r="AQ1129" s="1040" t="e">
        <f t="shared" si="699"/>
        <v>#DIV/0!</v>
      </c>
      <c r="AR1129" s="1040" t="e">
        <f t="shared" si="699"/>
        <v>#DIV/0!</v>
      </c>
      <c r="AS1129" s="1040" t="e">
        <f t="shared" ref="AS1129:AY1129" si="700">IF(AS329="",0,IF(OR(1=RANK(AS729,AS$412:AS$790,0),(2=RANK(AS729,AS$412:AS$790,0))),AS729,AS329))</f>
        <v>#DIV/0!</v>
      </c>
      <c r="AT1129" s="1040" t="e">
        <f t="shared" si="700"/>
        <v>#DIV/0!</v>
      </c>
      <c r="AU1129" s="1040">
        <f t="shared" si="700"/>
        <v>0</v>
      </c>
      <c r="AV1129" s="1040" t="e">
        <f t="shared" si="700"/>
        <v>#DIV/0!</v>
      </c>
      <c r="AW1129" s="1040" t="e">
        <f t="shared" si="700"/>
        <v>#DIV/0!</v>
      </c>
      <c r="AX1129" s="1040" t="e">
        <f t="shared" si="700"/>
        <v>#DIV/0!</v>
      </c>
      <c r="AY1129" s="1040" t="e">
        <f t="shared" si="700"/>
        <v>#DIV/0!</v>
      </c>
      <c r="AZ1129" s="1061" t="s">
        <v>21</v>
      </c>
      <c r="BC1129" s="29"/>
      <c r="BD1129" s="29"/>
      <c r="BE1129" s="13"/>
      <c r="BL1129" s="368"/>
    </row>
    <row r="1130" spans="1:64" ht="12" customHeight="1" x14ac:dyDescent="0.2">
      <c r="A1130" s="39">
        <f>acute_overview_children!A330</f>
        <v>4</v>
      </c>
      <c r="B1130" s="23">
        <f t="shared" si="575"/>
        <v>1011050</v>
      </c>
      <c r="C1130" s="23" t="str">
        <f t="shared" si="576"/>
        <v>Swine: Edible offals (other than liver and kidney)</v>
      </c>
      <c r="D1130" s="135"/>
      <c r="E1130" s="1027"/>
      <c r="F1130" s="87"/>
      <c r="G1130" s="87"/>
      <c r="H1130" s="1027"/>
      <c r="I1130" s="1030"/>
      <c r="J1130" s="1039" t="e">
        <f t="shared" ref="J1130:AR1130" si="701">IF(J330="",0,IF(OR(1=RANK(J730,J$412:J$790,0),(2=RANK(J730,J$412:J$790,0))),J730,J330))</f>
        <v>#DIV/0!</v>
      </c>
      <c r="K1130" s="1040" t="e">
        <f t="shared" si="701"/>
        <v>#DIV/0!</v>
      </c>
      <c r="L1130" s="1040" t="e">
        <f t="shared" si="701"/>
        <v>#DIV/0!</v>
      </c>
      <c r="M1130" s="1040" t="e">
        <f t="shared" si="701"/>
        <v>#DIV/0!</v>
      </c>
      <c r="N1130" s="1040" t="e">
        <f t="shared" si="701"/>
        <v>#DIV/0!</v>
      </c>
      <c r="O1130" s="1040" t="e">
        <f t="shared" si="701"/>
        <v>#DIV/0!</v>
      </c>
      <c r="P1130" s="1040" t="e">
        <f t="shared" si="701"/>
        <v>#DIV/0!</v>
      </c>
      <c r="Q1130" s="1040" t="e">
        <f t="shared" si="701"/>
        <v>#DIV/0!</v>
      </c>
      <c r="R1130" s="1040" t="e">
        <f t="shared" si="701"/>
        <v>#DIV/0!</v>
      </c>
      <c r="S1130" s="1040" t="e">
        <f t="shared" si="701"/>
        <v>#DIV/0!</v>
      </c>
      <c r="T1130" s="1040" t="e">
        <f t="shared" si="701"/>
        <v>#DIV/0!</v>
      </c>
      <c r="U1130" s="1040" t="e">
        <f t="shared" si="701"/>
        <v>#DIV/0!</v>
      </c>
      <c r="V1130" s="1040" t="e">
        <f t="shared" si="701"/>
        <v>#DIV/0!</v>
      </c>
      <c r="W1130" s="1040" t="e">
        <f t="shared" si="701"/>
        <v>#DIV/0!</v>
      </c>
      <c r="X1130" s="1040" t="e">
        <f t="shared" si="701"/>
        <v>#DIV/0!</v>
      </c>
      <c r="Y1130" s="1040" t="e">
        <f t="shared" si="701"/>
        <v>#DIV/0!</v>
      </c>
      <c r="Z1130" s="1040" t="e">
        <f t="shared" si="701"/>
        <v>#DIV/0!</v>
      </c>
      <c r="AA1130" s="1040" t="e">
        <f t="shared" si="701"/>
        <v>#DIV/0!</v>
      </c>
      <c r="AB1130" s="1040" t="e">
        <f t="shared" si="701"/>
        <v>#DIV/0!</v>
      </c>
      <c r="AC1130" s="1040" t="e">
        <f t="shared" si="701"/>
        <v>#DIV/0!</v>
      </c>
      <c r="AD1130" s="1040" t="e">
        <f t="shared" si="701"/>
        <v>#DIV/0!</v>
      </c>
      <c r="AE1130" s="1040" t="e">
        <f t="shared" si="701"/>
        <v>#DIV/0!</v>
      </c>
      <c r="AF1130" s="1040" t="e">
        <f t="shared" si="701"/>
        <v>#DIV/0!</v>
      </c>
      <c r="AG1130" s="1040" t="e">
        <f t="shared" si="701"/>
        <v>#DIV/0!</v>
      </c>
      <c r="AH1130" s="1040" t="e">
        <f t="shared" si="701"/>
        <v>#DIV/0!</v>
      </c>
      <c r="AI1130" s="1040" t="e">
        <f t="shared" si="701"/>
        <v>#DIV/0!</v>
      </c>
      <c r="AJ1130" s="1040" t="e">
        <f t="shared" si="701"/>
        <v>#DIV/0!</v>
      </c>
      <c r="AK1130" s="1040" t="e">
        <f t="shared" si="701"/>
        <v>#DIV/0!</v>
      </c>
      <c r="AL1130" s="1040" t="e">
        <f t="shared" si="701"/>
        <v>#DIV/0!</v>
      </c>
      <c r="AM1130" s="1040" t="e">
        <f t="shared" si="701"/>
        <v>#DIV/0!</v>
      </c>
      <c r="AN1130" s="1040" t="e">
        <f t="shared" si="701"/>
        <v>#DIV/0!</v>
      </c>
      <c r="AO1130" s="1040" t="e">
        <f t="shared" si="701"/>
        <v>#DIV/0!</v>
      </c>
      <c r="AP1130" s="1040" t="e">
        <f t="shared" si="701"/>
        <v>#DIV/0!</v>
      </c>
      <c r="AQ1130" s="1040" t="e">
        <f t="shared" si="701"/>
        <v>#DIV/0!</v>
      </c>
      <c r="AR1130" s="1040" t="e">
        <f t="shared" si="701"/>
        <v>#DIV/0!</v>
      </c>
      <c r="AS1130" s="1040" t="e">
        <f t="shared" ref="AS1130:AY1130" si="702">IF(AS330="",0,IF(OR(1=RANK(AS730,AS$412:AS$790,0),(2=RANK(AS730,AS$412:AS$790,0))),AS730,AS330))</f>
        <v>#DIV/0!</v>
      </c>
      <c r="AT1130" s="1040" t="e">
        <f t="shared" si="702"/>
        <v>#DIV/0!</v>
      </c>
      <c r="AU1130" s="1040">
        <f t="shared" si="702"/>
        <v>0</v>
      </c>
      <c r="AV1130" s="1040" t="e">
        <f t="shared" si="702"/>
        <v>#DIV/0!</v>
      </c>
      <c r="AW1130" s="1040" t="e">
        <f t="shared" si="702"/>
        <v>#DIV/0!</v>
      </c>
      <c r="AX1130" s="1040" t="e">
        <f t="shared" si="702"/>
        <v>#DIV/0!</v>
      </c>
      <c r="AY1130" s="1040" t="e">
        <f t="shared" si="702"/>
        <v>#DIV/0!</v>
      </c>
      <c r="AZ1130" s="1061" t="s">
        <v>21</v>
      </c>
      <c r="BC1130" s="29"/>
      <c r="BD1130" s="29"/>
      <c r="BE1130" s="13"/>
      <c r="BL1130" s="368"/>
    </row>
    <row r="1131" spans="1:64" ht="12" customHeight="1" x14ac:dyDescent="0.2">
      <c r="A1131" s="39">
        <f>acute_overview_children!A331</f>
        <v>4</v>
      </c>
      <c r="B1131" s="23">
        <f t="shared" si="575"/>
        <v>1011990</v>
      </c>
      <c r="C1131" s="23" t="str">
        <f t="shared" si="576"/>
        <v>Swine: Other products</v>
      </c>
      <c r="D1131" s="135"/>
      <c r="E1131" s="1027"/>
      <c r="F1131" s="87"/>
      <c r="G1131" s="87"/>
      <c r="H1131" s="1027"/>
      <c r="I1131" s="1030"/>
      <c r="J1131" s="1039" t="e">
        <f t="shared" ref="J1131:AR1131" si="703">IF(J331="",0,IF(OR(1=RANK(J731,J$412:J$790,0),(2=RANK(J731,J$412:J$790,0))),J731,J331))</f>
        <v>#DIV/0!</v>
      </c>
      <c r="K1131" s="1040" t="e">
        <f t="shared" si="703"/>
        <v>#DIV/0!</v>
      </c>
      <c r="L1131" s="1040" t="e">
        <f t="shared" si="703"/>
        <v>#DIV/0!</v>
      </c>
      <c r="M1131" s="1040" t="e">
        <f t="shared" si="703"/>
        <v>#DIV/0!</v>
      </c>
      <c r="N1131" s="1040" t="e">
        <f t="shared" si="703"/>
        <v>#DIV/0!</v>
      </c>
      <c r="O1131" s="1040" t="e">
        <f t="shared" si="703"/>
        <v>#DIV/0!</v>
      </c>
      <c r="P1131" s="1040" t="e">
        <f t="shared" si="703"/>
        <v>#DIV/0!</v>
      </c>
      <c r="Q1131" s="1040" t="e">
        <f t="shared" si="703"/>
        <v>#DIV/0!</v>
      </c>
      <c r="R1131" s="1040" t="e">
        <f t="shared" si="703"/>
        <v>#DIV/0!</v>
      </c>
      <c r="S1131" s="1040" t="e">
        <f t="shared" si="703"/>
        <v>#DIV/0!</v>
      </c>
      <c r="T1131" s="1040" t="e">
        <f t="shared" si="703"/>
        <v>#DIV/0!</v>
      </c>
      <c r="U1131" s="1040" t="e">
        <f t="shared" si="703"/>
        <v>#DIV/0!</v>
      </c>
      <c r="V1131" s="1040" t="e">
        <f t="shared" si="703"/>
        <v>#DIV/0!</v>
      </c>
      <c r="W1131" s="1040" t="e">
        <f t="shared" si="703"/>
        <v>#DIV/0!</v>
      </c>
      <c r="X1131" s="1040" t="e">
        <f t="shared" si="703"/>
        <v>#DIV/0!</v>
      </c>
      <c r="Y1131" s="1040" t="e">
        <f t="shared" si="703"/>
        <v>#DIV/0!</v>
      </c>
      <c r="Z1131" s="1040" t="e">
        <f t="shared" si="703"/>
        <v>#DIV/0!</v>
      </c>
      <c r="AA1131" s="1040" t="e">
        <f t="shared" si="703"/>
        <v>#DIV/0!</v>
      </c>
      <c r="AB1131" s="1040" t="e">
        <f t="shared" si="703"/>
        <v>#DIV/0!</v>
      </c>
      <c r="AC1131" s="1040" t="e">
        <f t="shared" si="703"/>
        <v>#DIV/0!</v>
      </c>
      <c r="AD1131" s="1040" t="e">
        <f t="shared" si="703"/>
        <v>#DIV/0!</v>
      </c>
      <c r="AE1131" s="1040" t="e">
        <f t="shared" si="703"/>
        <v>#DIV/0!</v>
      </c>
      <c r="AF1131" s="1040" t="e">
        <f t="shared" si="703"/>
        <v>#DIV/0!</v>
      </c>
      <c r="AG1131" s="1040" t="e">
        <f t="shared" si="703"/>
        <v>#DIV/0!</v>
      </c>
      <c r="AH1131" s="1040" t="e">
        <f t="shared" si="703"/>
        <v>#DIV/0!</v>
      </c>
      <c r="AI1131" s="1040" t="e">
        <f t="shared" si="703"/>
        <v>#DIV/0!</v>
      </c>
      <c r="AJ1131" s="1040" t="e">
        <f t="shared" si="703"/>
        <v>#DIV/0!</v>
      </c>
      <c r="AK1131" s="1040" t="e">
        <f t="shared" si="703"/>
        <v>#DIV/0!</v>
      </c>
      <c r="AL1131" s="1040" t="e">
        <f t="shared" si="703"/>
        <v>#DIV/0!</v>
      </c>
      <c r="AM1131" s="1040" t="e">
        <f t="shared" si="703"/>
        <v>#DIV/0!</v>
      </c>
      <c r="AN1131" s="1040" t="e">
        <f t="shared" si="703"/>
        <v>#DIV/0!</v>
      </c>
      <c r="AO1131" s="1040" t="e">
        <f t="shared" si="703"/>
        <v>#DIV/0!</v>
      </c>
      <c r="AP1131" s="1040" t="e">
        <f t="shared" si="703"/>
        <v>#DIV/0!</v>
      </c>
      <c r="AQ1131" s="1040" t="e">
        <f t="shared" si="703"/>
        <v>#DIV/0!</v>
      </c>
      <c r="AR1131" s="1040" t="e">
        <f t="shared" si="703"/>
        <v>#DIV/0!</v>
      </c>
      <c r="AS1131" s="1040" t="e">
        <f t="shared" ref="AS1131:AY1131" si="704">IF(AS331="",0,IF(OR(1=RANK(AS731,AS$412:AS$790,0),(2=RANK(AS731,AS$412:AS$790,0))),AS731,AS331))</f>
        <v>#DIV/0!</v>
      </c>
      <c r="AT1131" s="1040" t="e">
        <f t="shared" si="704"/>
        <v>#DIV/0!</v>
      </c>
      <c r="AU1131" s="1040">
        <f t="shared" si="704"/>
        <v>0</v>
      </c>
      <c r="AV1131" s="1040" t="e">
        <f t="shared" si="704"/>
        <v>#DIV/0!</v>
      </c>
      <c r="AW1131" s="1040" t="e">
        <f t="shared" si="704"/>
        <v>#DIV/0!</v>
      </c>
      <c r="AX1131" s="1040" t="e">
        <f t="shared" si="704"/>
        <v>#DIV/0!</v>
      </c>
      <c r="AY1131" s="1040" t="e">
        <f t="shared" si="704"/>
        <v>#DIV/0!</v>
      </c>
      <c r="AZ1131" s="1061" t="s">
        <v>21</v>
      </c>
      <c r="BC1131" s="29"/>
      <c r="BD1131" s="29"/>
      <c r="BE1131" s="13"/>
      <c r="BL1131" s="368"/>
    </row>
    <row r="1132" spans="1:64" ht="12" customHeight="1" x14ac:dyDescent="0.2">
      <c r="A1132" s="133">
        <f>acute_overview_children!A332</f>
        <v>3</v>
      </c>
      <c r="B1132" s="5">
        <f t="shared" ref="B1132:B1195" si="705">B332</f>
        <v>1012000</v>
      </c>
      <c r="C1132" s="5" t="str">
        <f t="shared" ref="C1132:C1195" si="706">C332</f>
        <v>Bovine</v>
      </c>
      <c r="D1132" s="135"/>
      <c r="E1132" s="1027"/>
      <c r="F1132" s="87"/>
      <c r="G1132" s="87"/>
      <c r="H1132" s="1027"/>
      <c r="I1132" s="1030"/>
      <c r="J1132" s="1047" t="e">
        <f t="shared" ref="J1132:AR1132" si="707">IF(J332="",0,IF(OR(1=RANK(J732,J$412:J$790,0),(2=RANK(J732,J$412:J$790,0))),J732,J332))</f>
        <v>#DIV/0!</v>
      </c>
      <c r="K1132" s="1048" t="e">
        <f t="shared" si="707"/>
        <v>#DIV/0!</v>
      </c>
      <c r="L1132" s="1048" t="e">
        <f t="shared" si="707"/>
        <v>#DIV/0!</v>
      </c>
      <c r="M1132" s="1048" t="e">
        <f t="shared" si="707"/>
        <v>#DIV/0!</v>
      </c>
      <c r="N1132" s="1048" t="e">
        <f t="shared" si="707"/>
        <v>#DIV/0!</v>
      </c>
      <c r="O1132" s="1048" t="e">
        <f t="shared" si="707"/>
        <v>#DIV/0!</v>
      </c>
      <c r="P1132" s="1048" t="e">
        <f t="shared" si="707"/>
        <v>#DIV/0!</v>
      </c>
      <c r="Q1132" s="1048" t="e">
        <f t="shared" si="707"/>
        <v>#DIV/0!</v>
      </c>
      <c r="R1132" s="1048" t="e">
        <f t="shared" si="707"/>
        <v>#DIV/0!</v>
      </c>
      <c r="S1132" s="1048" t="e">
        <f t="shared" si="707"/>
        <v>#DIV/0!</v>
      </c>
      <c r="T1132" s="1048" t="e">
        <f t="shared" si="707"/>
        <v>#DIV/0!</v>
      </c>
      <c r="U1132" s="1048" t="e">
        <f t="shared" si="707"/>
        <v>#DIV/0!</v>
      </c>
      <c r="V1132" s="1048" t="e">
        <f t="shared" si="707"/>
        <v>#DIV/0!</v>
      </c>
      <c r="W1132" s="1048" t="e">
        <f t="shared" si="707"/>
        <v>#DIV/0!</v>
      </c>
      <c r="X1132" s="1048" t="e">
        <f t="shared" si="707"/>
        <v>#DIV/0!</v>
      </c>
      <c r="Y1132" s="1048" t="e">
        <f t="shared" si="707"/>
        <v>#DIV/0!</v>
      </c>
      <c r="Z1132" s="1048" t="e">
        <f t="shared" si="707"/>
        <v>#DIV/0!</v>
      </c>
      <c r="AA1132" s="1048" t="e">
        <f t="shared" si="707"/>
        <v>#DIV/0!</v>
      </c>
      <c r="AB1132" s="1048" t="e">
        <f t="shared" si="707"/>
        <v>#DIV/0!</v>
      </c>
      <c r="AC1132" s="1048" t="e">
        <f t="shared" si="707"/>
        <v>#DIV/0!</v>
      </c>
      <c r="AD1132" s="1048" t="e">
        <f t="shared" si="707"/>
        <v>#DIV/0!</v>
      </c>
      <c r="AE1132" s="1048" t="e">
        <f t="shared" si="707"/>
        <v>#DIV/0!</v>
      </c>
      <c r="AF1132" s="1048" t="e">
        <f t="shared" si="707"/>
        <v>#DIV/0!</v>
      </c>
      <c r="AG1132" s="1048" t="e">
        <f t="shared" si="707"/>
        <v>#DIV/0!</v>
      </c>
      <c r="AH1132" s="1048" t="e">
        <f t="shared" si="707"/>
        <v>#DIV/0!</v>
      </c>
      <c r="AI1132" s="1048" t="e">
        <f t="shared" si="707"/>
        <v>#DIV/0!</v>
      </c>
      <c r="AJ1132" s="1048" t="e">
        <f t="shared" si="707"/>
        <v>#DIV/0!</v>
      </c>
      <c r="AK1132" s="1048" t="e">
        <f t="shared" si="707"/>
        <v>#DIV/0!</v>
      </c>
      <c r="AL1132" s="1048" t="e">
        <f t="shared" si="707"/>
        <v>#DIV/0!</v>
      </c>
      <c r="AM1132" s="1048" t="e">
        <f t="shared" si="707"/>
        <v>#DIV/0!</v>
      </c>
      <c r="AN1132" s="1048" t="e">
        <f t="shared" si="707"/>
        <v>#DIV/0!</v>
      </c>
      <c r="AO1132" s="1048" t="e">
        <f t="shared" si="707"/>
        <v>#DIV/0!</v>
      </c>
      <c r="AP1132" s="1048" t="e">
        <f t="shared" si="707"/>
        <v>#DIV/0!</v>
      </c>
      <c r="AQ1132" s="1048" t="e">
        <f t="shared" si="707"/>
        <v>#DIV/0!</v>
      </c>
      <c r="AR1132" s="1048" t="e">
        <f t="shared" si="707"/>
        <v>#DIV/0!</v>
      </c>
      <c r="AS1132" s="1048" t="e">
        <f t="shared" ref="AS1132:AY1132" si="708">IF(AS332="",0,IF(OR(1=RANK(AS732,AS$412:AS$790,0),(2=RANK(AS732,AS$412:AS$790,0))),AS732,AS332))</f>
        <v>#DIV/0!</v>
      </c>
      <c r="AT1132" s="1048" t="e">
        <f t="shared" si="708"/>
        <v>#DIV/0!</v>
      </c>
      <c r="AU1132" s="1048">
        <f t="shared" si="708"/>
        <v>0</v>
      </c>
      <c r="AV1132" s="1048" t="e">
        <f t="shared" si="708"/>
        <v>#DIV/0!</v>
      </c>
      <c r="AW1132" s="1048" t="e">
        <f t="shared" si="708"/>
        <v>#DIV/0!</v>
      </c>
      <c r="AX1132" s="1048" t="e">
        <f t="shared" si="708"/>
        <v>#DIV/0!</v>
      </c>
      <c r="AY1132" s="1048" t="e">
        <f t="shared" si="708"/>
        <v>#DIV/0!</v>
      </c>
      <c r="AZ1132" s="1061" t="s">
        <v>21</v>
      </c>
      <c r="BC1132" s="29"/>
      <c r="BD1132" s="29"/>
      <c r="BE1132" s="13"/>
      <c r="BL1132" s="368"/>
    </row>
    <row r="1133" spans="1:64" ht="12" customHeight="1" x14ac:dyDescent="0.2">
      <c r="A1133" s="39">
        <f>acute_overview_children!A333</f>
        <v>4</v>
      </c>
      <c r="B1133" s="23">
        <f t="shared" si="705"/>
        <v>1012010</v>
      </c>
      <c r="C1133" s="23" t="str">
        <f t="shared" si="706"/>
        <v>Bovine: Muscle/meat</v>
      </c>
      <c r="D1133" s="135"/>
      <c r="E1133" s="1027"/>
      <c r="F1133" s="87"/>
      <c r="G1133" s="87"/>
      <c r="H1133" s="1027"/>
      <c r="I1133" s="1030"/>
      <c r="J1133" s="1039" t="e">
        <f t="shared" ref="J1133:AR1133" si="709">IF(J333="",0,IF(OR(1=RANK(J733,J$412:J$790,0),(2=RANK(J733,J$412:J$790,0))),J733,J333))</f>
        <v>#DIV/0!</v>
      </c>
      <c r="K1133" s="1040" t="e">
        <f t="shared" si="709"/>
        <v>#DIV/0!</v>
      </c>
      <c r="L1133" s="1040" t="e">
        <f t="shared" si="709"/>
        <v>#DIV/0!</v>
      </c>
      <c r="M1133" s="1040" t="e">
        <f t="shared" si="709"/>
        <v>#DIV/0!</v>
      </c>
      <c r="N1133" s="1040" t="e">
        <f t="shared" si="709"/>
        <v>#DIV/0!</v>
      </c>
      <c r="O1133" s="1040" t="e">
        <f t="shared" si="709"/>
        <v>#DIV/0!</v>
      </c>
      <c r="P1133" s="1040" t="e">
        <f t="shared" si="709"/>
        <v>#DIV/0!</v>
      </c>
      <c r="Q1133" s="1040" t="e">
        <f t="shared" si="709"/>
        <v>#DIV/0!</v>
      </c>
      <c r="R1133" s="1040" t="e">
        <f t="shared" si="709"/>
        <v>#DIV/0!</v>
      </c>
      <c r="S1133" s="1040" t="e">
        <f t="shared" si="709"/>
        <v>#DIV/0!</v>
      </c>
      <c r="T1133" s="1040" t="e">
        <f t="shared" si="709"/>
        <v>#DIV/0!</v>
      </c>
      <c r="U1133" s="1040" t="e">
        <f t="shared" si="709"/>
        <v>#DIV/0!</v>
      </c>
      <c r="V1133" s="1040" t="e">
        <f t="shared" si="709"/>
        <v>#DIV/0!</v>
      </c>
      <c r="W1133" s="1040" t="e">
        <f t="shared" si="709"/>
        <v>#DIV/0!</v>
      </c>
      <c r="X1133" s="1040" t="e">
        <f t="shared" si="709"/>
        <v>#DIV/0!</v>
      </c>
      <c r="Y1133" s="1040" t="e">
        <f t="shared" si="709"/>
        <v>#DIV/0!</v>
      </c>
      <c r="Z1133" s="1040" t="e">
        <f t="shared" si="709"/>
        <v>#DIV/0!</v>
      </c>
      <c r="AA1133" s="1040" t="e">
        <f t="shared" si="709"/>
        <v>#DIV/0!</v>
      </c>
      <c r="AB1133" s="1040" t="e">
        <f t="shared" si="709"/>
        <v>#DIV/0!</v>
      </c>
      <c r="AC1133" s="1040" t="e">
        <f t="shared" si="709"/>
        <v>#DIV/0!</v>
      </c>
      <c r="AD1133" s="1040" t="e">
        <f t="shared" si="709"/>
        <v>#DIV/0!</v>
      </c>
      <c r="AE1133" s="1040" t="e">
        <f t="shared" si="709"/>
        <v>#DIV/0!</v>
      </c>
      <c r="AF1133" s="1040" t="e">
        <f t="shared" si="709"/>
        <v>#DIV/0!</v>
      </c>
      <c r="AG1133" s="1040" t="e">
        <f t="shared" si="709"/>
        <v>#DIV/0!</v>
      </c>
      <c r="AH1133" s="1040" t="e">
        <f t="shared" si="709"/>
        <v>#DIV/0!</v>
      </c>
      <c r="AI1133" s="1040" t="e">
        <f t="shared" si="709"/>
        <v>#DIV/0!</v>
      </c>
      <c r="AJ1133" s="1040" t="e">
        <f t="shared" si="709"/>
        <v>#DIV/0!</v>
      </c>
      <c r="AK1133" s="1040" t="e">
        <f t="shared" si="709"/>
        <v>#DIV/0!</v>
      </c>
      <c r="AL1133" s="1040" t="e">
        <f t="shared" si="709"/>
        <v>#DIV/0!</v>
      </c>
      <c r="AM1133" s="1040" t="e">
        <f t="shared" si="709"/>
        <v>#DIV/0!</v>
      </c>
      <c r="AN1133" s="1040" t="e">
        <f t="shared" si="709"/>
        <v>#DIV/0!</v>
      </c>
      <c r="AO1133" s="1040" t="e">
        <f t="shared" si="709"/>
        <v>#DIV/0!</v>
      </c>
      <c r="AP1133" s="1040" t="e">
        <f t="shared" si="709"/>
        <v>#DIV/0!</v>
      </c>
      <c r="AQ1133" s="1040" t="e">
        <f t="shared" si="709"/>
        <v>#DIV/0!</v>
      </c>
      <c r="AR1133" s="1040" t="e">
        <f t="shared" si="709"/>
        <v>#DIV/0!</v>
      </c>
      <c r="AS1133" s="1040" t="e">
        <f t="shared" ref="AS1133:AY1133" si="710">IF(AS333="",0,IF(OR(1=RANK(AS733,AS$412:AS$790,0),(2=RANK(AS733,AS$412:AS$790,0))),AS733,AS333))</f>
        <v>#DIV/0!</v>
      </c>
      <c r="AT1133" s="1040" t="e">
        <f t="shared" si="710"/>
        <v>#DIV/0!</v>
      </c>
      <c r="AU1133" s="1040">
        <f t="shared" si="710"/>
        <v>0</v>
      </c>
      <c r="AV1133" s="1040" t="e">
        <f t="shared" si="710"/>
        <v>#DIV/0!</v>
      </c>
      <c r="AW1133" s="1040" t="e">
        <f t="shared" si="710"/>
        <v>#DIV/0!</v>
      </c>
      <c r="AX1133" s="1040" t="e">
        <f t="shared" si="710"/>
        <v>#DIV/0!</v>
      </c>
      <c r="AY1133" s="1040" t="e">
        <f t="shared" si="710"/>
        <v>#DIV/0!</v>
      </c>
      <c r="AZ1133" s="1061" t="s">
        <v>21</v>
      </c>
      <c r="BC1133" s="29"/>
      <c r="BD1133" s="29"/>
      <c r="BE1133" s="13"/>
      <c r="BL1133" s="368"/>
    </row>
    <row r="1134" spans="1:64" ht="12" customHeight="1" x14ac:dyDescent="0.2">
      <c r="A1134" s="39">
        <f>acute_overview_children!A334</f>
        <v>4</v>
      </c>
      <c r="B1134" s="23">
        <f t="shared" si="705"/>
        <v>1012020</v>
      </c>
      <c r="C1134" s="23" t="str">
        <f t="shared" si="706"/>
        <v>Bovine: Fat tissue</v>
      </c>
      <c r="D1134" s="135"/>
      <c r="E1134" s="1027"/>
      <c r="F1134" s="87"/>
      <c r="G1134" s="87"/>
      <c r="H1134" s="1027"/>
      <c r="I1134" s="1030"/>
      <c r="J1134" s="1039" t="e">
        <f t="shared" ref="J1134:AR1134" si="711">IF(J334="",0,IF(OR(1=RANK(J734,J$412:J$790,0),(2=RANK(J734,J$412:J$790,0))),J734,J334))</f>
        <v>#DIV/0!</v>
      </c>
      <c r="K1134" s="1040" t="e">
        <f t="shared" si="711"/>
        <v>#DIV/0!</v>
      </c>
      <c r="L1134" s="1040" t="e">
        <f t="shared" si="711"/>
        <v>#DIV/0!</v>
      </c>
      <c r="M1134" s="1040" t="e">
        <f t="shared" si="711"/>
        <v>#DIV/0!</v>
      </c>
      <c r="N1134" s="1040" t="e">
        <f t="shared" si="711"/>
        <v>#DIV/0!</v>
      </c>
      <c r="O1134" s="1040" t="e">
        <f t="shared" si="711"/>
        <v>#DIV/0!</v>
      </c>
      <c r="P1134" s="1040" t="e">
        <f t="shared" si="711"/>
        <v>#DIV/0!</v>
      </c>
      <c r="Q1134" s="1040" t="e">
        <f t="shared" si="711"/>
        <v>#DIV/0!</v>
      </c>
      <c r="R1134" s="1040" t="e">
        <f t="shared" si="711"/>
        <v>#DIV/0!</v>
      </c>
      <c r="S1134" s="1040" t="e">
        <f t="shared" si="711"/>
        <v>#DIV/0!</v>
      </c>
      <c r="T1134" s="1040" t="e">
        <f t="shared" si="711"/>
        <v>#DIV/0!</v>
      </c>
      <c r="U1134" s="1040" t="e">
        <f t="shared" si="711"/>
        <v>#DIV/0!</v>
      </c>
      <c r="V1134" s="1040" t="e">
        <f t="shared" si="711"/>
        <v>#DIV/0!</v>
      </c>
      <c r="W1134" s="1040" t="e">
        <f t="shared" si="711"/>
        <v>#DIV/0!</v>
      </c>
      <c r="X1134" s="1040" t="e">
        <f t="shared" si="711"/>
        <v>#DIV/0!</v>
      </c>
      <c r="Y1134" s="1040" t="e">
        <f t="shared" si="711"/>
        <v>#DIV/0!</v>
      </c>
      <c r="Z1134" s="1040" t="e">
        <f t="shared" si="711"/>
        <v>#DIV/0!</v>
      </c>
      <c r="AA1134" s="1040" t="e">
        <f t="shared" si="711"/>
        <v>#DIV/0!</v>
      </c>
      <c r="AB1134" s="1040" t="e">
        <f t="shared" si="711"/>
        <v>#DIV/0!</v>
      </c>
      <c r="AC1134" s="1040" t="e">
        <f t="shared" si="711"/>
        <v>#DIV/0!</v>
      </c>
      <c r="AD1134" s="1040" t="e">
        <f t="shared" si="711"/>
        <v>#DIV/0!</v>
      </c>
      <c r="AE1134" s="1040" t="e">
        <f t="shared" si="711"/>
        <v>#DIV/0!</v>
      </c>
      <c r="AF1134" s="1040" t="e">
        <f t="shared" si="711"/>
        <v>#DIV/0!</v>
      </c>
      <c r="AG1134" s="1040" t="e">
        <f t="shared" si="711"/>
        <v>#DIV/0!</v>
      </c>
      <c r="AH1134" s="1040" t="e">
        <f t="shared" si="711"/>
        <v>#DIV/0!</v>
      </c>
      <c r="AI1134" s="1040" t="e">
        <f t="shared" si="711"/>
        <v>#DIV/0!</v>
      </c>
      <c r="AJ1134" s="1040" t="e">
        <f t="shared" si="711"/>
        <v>#DIV/0!</v>
      </c>
      <c r="AK1134" s="1040" t="e">
        <f t="shared" si="711"/>
        <v>#DIV/0!</v>
      </c>
      <c r="AL1134" s="1040" t="e">
        <f t="shared" si="711"/>
        <v>#DIV/0!</v>
      </c>
      <c r="AM1134" s="1040" t="e">
        <f t="shared" si="711"/>
        <v>#DIV/0!</v>
      </c>
      <c r="AN1134" s="1040" t="e">
        <f t="shared" si="711"/>
        <v>#DIV/0!</v>
      </c>
      <c r="AO1134" s="1040" t="e">
        <f t="shared" si="711"/>
        <v>#DIV/0!</v>
      </c>
      <c r="AP1134" s="1040" t="e">
        <f t="shared" si="711"/>
        <v>#DIV/0!</v>
      </c>
      <c r="AQ1134" s="1040" t="e">
        <f t="shared" si="711"/>
        <v>#DIV/0!</v>
      </c>
      <c r="AR1134" s="1040" t="e">
        <f t="shared" si="711"/>
        <v>#DIV/0!</v>
      </c>
      <c r="AS1134" s="1040" t="e">
        <f t="shared" ref="AS1134:AY1134" si="712">IF(AS334="",0,IF(OR(1=RANK(AS734,AS$412:AS$790,0),(2=RANK(AS734,AS$412:AS$790,0))),AS734,AS334))</f>
        <v>#DIV/0!</v>
      </c>
      <c r="AT1134" s="1040" t="e">
        <f t="shared" si="712"/>
        <v>#DIV/0!</v>
      </c>
      <c r="AU1134" s="1040">
        <f t="shared" si="712"/>
        <v>0</v>
      </c>
      <c r="AV1134" s="1040" t="e">
        <f t="shared" si="712"/>
        <v>#DIV/0!</v>
      </c>
      <c r="AW1134" s="1040" t="e">
        <f t="shared" si="712"/>
        <v>#DIV/0!</v>
      </c>
      <c r="AX1134" s="1040" t="e">
        <f t="shared" si="712"/>
        <v>#DIV/0!</v>
      </c>
      <c r="AY1134" s="1040" t="e">
        <f t="shared" si="712"/>
        <v>#DIV/0!</v>
      </c>
      <c r="AZ1134" s="1061" t="s">
        <v>21</v>
      </c>
      <c r="BC1134" s="29"/>
      <c r="BD1134" s="29"/>
      <c r="BE1134" s="13"/>
      <c r="BL1134" s="368"/>
    </row>
    <row r="1135" spans="1:64" ht="12" customHeight="1" x14ac:dyDescent="0.2">
      <c r="A1135" s="39">
        <f>acute_overview_children!A335</f>
        <v>4</v>
      </c>
      <c r="B1135" s="23">
        <f t="shared" si="705"/>
        <v>1012030</v>
      </c>
      <c r="C1135" s="23" t="str">
        <f t="shared" si="706"/>
        <v>Bovine: Liver</v>
      </c>
      <c r="D1135" s="135"/>
      <c r="E1135" s="1027"/>
      <c r="F1135" s="87"/>
      <c r="G1135" s="87"/>
      <c r="H1135" s="1027"/>
      <c r="I1135" s="1030"/>
      <c r="J1135" s="1039" t="e">
        <f t="shared" ref="J1135:AR1135" si="713">IF(J335="",0,IF(OR(1=RANK(J735,J$412:J$790,0),(2=RANK(J735,J$412:J$790,0))),J735,J335))</f>
        <v>#DIV/0!</v>
      </c>
      <c r="K1135" s="1040" t="e">
        <f t="shared" si="713"/>
        <v>#DIV/0!</v>
      </c>
      <c r="L1135" s="1040" t="e">
        <f t="shared" si="713"/>
        <v>#DIV/0!</v>
      </c>
      <c r="M1135" s="1040" t="e">
        <f t="shared" si="713"/>
        <v>#DIV/0!</v>
      </c>
      <c r="N1135" s="1040" t="e">
        <f t="shared" si="713"/>
        <v>#DIV/0!</v>
      </c>
      <c r="O1135" s="1040" t="e">
        <f t="shared" si="713"/>
        <v>#DIV/0!</v>
      </c>
      <c r="P1135" s="1040" t="e">
        <f t="shared" si="713"/>
        <v>#DIV/0!</v>
      </c>
      <c r="Q1135" s="1040" t="e">
        <f t="shared" si="713"/>
        <v>#DIV/0!</v>
      </c>
      <c r="R1135" s="1040" t="e">
        <f t="shared" si="713"/>
        <v>#DIV/0!</v>
      </c>
      <c r="S1135" s="1040" t="e">
        <f t="shared" si="713"/>
        <v>#DIV/0!</v>
      </c>
      <c r="T1135" s="1040" t="e">
        <f t="shared" si="713"/>
        <v>#DIV/0!</v>
      </c>
      <c r="U1135" s="1040" t="e">
        <f t="shared" si="713"/>
        <v>#DIV/0!</v>
      </c>
      <c r="V1135" s="1040" t="e">
        <f t="shared" si="713"/>
        <v>#DIV/0!</v>
      </c>
      <c r="W1135" s="1040" t="e">
        <f t="shared" si="713"/>
        <v>#DIV/0!</v>
      </c>
      <c r="X1135" s="1040" t="e">
        <f t="shared" si="713"/>
        <v>#DIV/0!</v>
      </c>
      <c r="Y1135" s="1040" t="e">
        <f t="shared" si="713"/>
        <v>#DIV/0!</v>
      </c>
      <c r="Z1135" s="1040" t="e">
        <f t="shared" si="713"/>
        <v>#DIV/0!</v>
      </c>
      <c r="AA1135" s="1040" t="e">
        <f t="shared" si="713"/>
        <v>#DIV/0!</v>
      </c>
      <c r="AB1135" s="1040" t="e">
        <f t="shared" si="713"/>
        <v>#DIV/0!</v>
      </c>
      <c r="AC1135" s="1040" t="e">
        <f t="shared" si="713"/>
        <v>#DIV/0!</v>
      </c>
      <c r="AD1135" s="1040" t="e">
        <f t="shared" si="713"/>
        <v>#DIV/0!</v>
      </c>
      <c r="AE1135" s="1040" t="e">
        <f t="shared" si="713"/>
        <v>#DIV/0!</v>
      </c>
      <c r="AF1135" s="1040" t="e">
        <f t="shared" si="713"/>
        <v>#DIV/0!</v>
      </c>
      <c r="AG1135" s="1040" t="e">
        <f t="shared" si="713"/>
        <v>#DIV/0!</v>
      </c>
      <c r="AH1135" s="1040" t="e">
        <f t="shared" si="713"/>
        <v>#DIV/0!</v>
      </c>
      <c r="AI1135" s="1040" t="e">
        <f t="shared" si="713"/>
        <v>#DIV/0!</v>
      </c>
      <c r="AJ1135" s="1040" t="e">
        <f t="shared" si="713"/>
        <v>#DIV/0!</v>
      </c>
      <c r="AK1135" s="1040" t="e">
        <f t="shared" si="713"/>
        <v>#DIV/0!</v>
      </c>
      <c r="AL1135" s="1040" t="e">
        <f t="shared" si="713"/>
        <v>#DIV/0!</v>
      </c>
      <c r="AM1135" s="1040" t="e">
        <f t="shared" si="713"/>
        <v>#DIV/0!</v>
      </c>
      <c r="AN1135" s="1040" t="e">
        <f t="shared" si="713"/>
        <v>#DIV/0!</v>
      </c>
      <c r="AO1135" s="1040" t="e">
        <f t="shared" si="713"/>
        <v>#DIV/0!</v>
      </c>
      <c r="AP1135" s="1040" t="e">
        <f t="shared" si="713"/>
        <v>#DIV/0!</v>
      </c>
      <c r="AQ1135" s="1040" t="e">
        <f t="shared" si="713"/>
        <v>#DIV/0!</v>
      </c>
      <c r="AR1135" s="1040" t="e">
        <f t="shared" si="713"/>
        <v>#DIV/0!</v>
      </c>
      <c r="AS1135" s="1040" t="e">
        <f t="shared" ref="AS1135:AY1135" si="714">IF(AS335="",0,IF(OR(1=RANK(AS735,AS$412:AS$790,0),(2=RANK(AS735,AS$412:AS$790,0))),AS735,AS335))</f>
        <v>#DIV/0!</v>
      </c>
      <c r="AT1135" s="1040" t="e">
        <f t="shared" si="714"/>
        <v>#DIV/0!</v>
      </c>
      <c r="AU1135" s="1040">
        <f t="shared" si="714"/>
        <v>0</v>
      </c>
      <c r="AV1135" s="1040" t="e">
        <f t="shared" si="714"/>
        <v>#DIV/0!</v>
      </c>
      <c r="AW1135" s="1040" t="e">
        <f t="shared" si="714"/>
        <v>#DIV/0!</v>
      </c>
      <c r="AX1135" s="1040" t="e">
        <f t="shared" si="714"/>
        <v>#DIV/0!</v>
      </c>
      <c r="AY1135" s="1040" t="e">
        <f t="shared" si="714"/>
        <v>#DIV/0!</v>
      </c>
      <c r="AZ1135" s="1061" t="s">
        <v>21</v>
      </c>
      <c r="BC1135" s="29"/>
      <c r="BD1135" s="29"/>
      <c r="BE1135" s="13"/>
      <c r="BL1135" s="368"/>
    </row>
    <row r="1136" spans="1:64" ht="12" customHeight="1" x14ac:dyDescent="0.2">
      <c r="A1136" s="39">
        <f>acute_overview_children!A336</f>
        <v>4</v>
      </c>
      <c r="B1136" s="23">
        <f t="shared" si="705"/>
        <v>1012040</v>
      </c>
      <c r="C1136" s="23" t="str">
        <f t="shared" si="706"/>
        <v>Bovine: Kidney</v>
      </c>
      <c r="D1136" s="135"/>
      <c r="E1136" s="1027"/>
      <c r="F1136" s="87"/>
      <c r="G1136" s="87"/>
      <c r="H1136" s="1027"/>
      <c r="I1136" s="1030"/>
      <c r="J1136" s="1039" t="e">
        <f t="shared" ref="J1136:AR1136" si="715">IF(J336="",0,IF(OR(1=RANK(J736,J$412:J$790,0),(2=RANK(J736,J$412:J$790,0))),J736,J336))</f>
        <v>#DIV/0!</v>
      </c>
      <c r="K1136" s="1040" t="e">
        <f t="shared" si="715"/>
        <v>#DIV/0!</v>
      </c>
      <c r="L1136" s="1040" t="e">
        <f t="shared" si="715"/>
        <v>#DIV/0!</v>
      </c>
      <c r="M1136" s="1040" t="e">
        <f t="shared" si="715"/>
        <v>#DIV/0!</v>
      </c>
      <c r="N1136" s="1040" t="e">
        <f t="shared" si="715"/>
        <v>#DIV/0!</v>
      </c>
      <c r="O1136" s="1040" t="e">
        <f t="shared" si="715"/>
        <v>#DIV/0!</v>
      </c>
      <c r="P1136" s="1040" t="e">
        <f t="shared" si="715"/>
        <v>#DIV/0!</v>
      </c>
      <c r="Q1136" s="1040" t="e">
        <f t="shared" si="715"/>
        <v>#DIV/0!</v>
      </c>
      <c r="R1136" s="1040" t="e">
        <f t="shared" si="715"/>
        <v>#DIV/0!</v>
      </c>
      <c r="S1136" s="1040" t="e">
        <f t="shared" si="715"/>
        <v>#DIV/0!</v>
      </c>
      <c r="T1136" s="1040" t="e">
        <f t="shared" si="715"/>
        <v>#DIV/0!</v>
      </c>
      <c r="U1136" s="1040" t="e">
        <f t="shared" si="715"/>
        <v>#DIV/0!</v>
      </c>
      <c r="V1136" s="1040" t="e">
        <f t="shared" si="715"/>
        <v>#DIV/0!</v>
      </c>
      <c r="W1136" s="1040" t="e">
        <f t="shared" si="715"/>
        <v>#DIV/0!</v>
      </c>
      <c r="X1136" s="1040" t="e">
        <f t="shared" si="715"/>
        <v>#DIV/0!</v>
      </c>
      <c r="Y1136" s="1040" t="e">
        <f t="shared" si="715"/>
        <v>#DIV/0!</v>
      </c>
      <c r="Z1136" s="1040" t="e">
        <f t="shared" si="715"/>
        <v>#DIV/0!</v>
      </c>
      <c r="AA1136" s="1040" t="e">
        <f t="shared" si="715"/>
        <v>#DIV/0!</v>
      </c>
      <c r="AB1136" s="1040" t="e">
        <f t="shared" si="715"/>
        <v>#DIV/0!</v>
      </c>
      <c r="AC1136" s="1040" t="e">
        <f t="shared" si="715"/>
        <v>#DIV/0!</v>
      </c>
      <c r="AD1136" s="1040" t="e">
        <f t="shared" si="715"/>
        <v>#DIV/0!</v>
      </c>
      <c r="AE1136" s="1040" t="e">
        <f t="shared" si="715"/>
        <v>#DIV/0!</v>
      </c>
      <c r="AF1136" s="1040" t="e">
        <f t="shared" si="715"/>
        <v>#DIV/0!</v>
      </c>
      <c r="AG1136" s="1040" t="e">
        <f t="shared" si="715"/>
        <v>#DIV/0!</v>
      </c>
      <c r="AH1136" s="1040" t="e">
        <f t="shared" si="715"/>
        <v>#DIV/0!</v>
      </c>
      <c r="AI1136" s="1040" t="e">
        <f t="shared" si="715"/>
        <v>#DIV/0!</v>
      </c>
      <c r="AJ1136" s="1040" t="e">
        <f t="shared" si="715"/>
        <v>#DIV/0!</v>
      </c>
      <c r="AK1136" s="1040" t="e">
        <f t="shared" si="715"/>
        <v>#DIV/0!</v>
      </c>
      <c r="AL1136" s="1040" t="e">
        <f t="shared" si="715"/>
        <v>#DIV/0!</v>
      </c>
      <c r="AM1136" s="1040" t="e">
        <f t="shared" si="715"/>
        <v>#DIV/0!</v>
      </c>
      <c r="AN1136" s="1040" t="e">
        <f t="shared" si="715"/>
        <v>#DIV/0!</v>
      </c>
      <c r="AO1136" s="1040" t="e">
        <f t="shared" si="715"/>
        <v>#DIV/0!</v>
      </c>
      <c r="AP1136" s="1040" t="e">
        <f t="shared" si="715"/>
        <v>#DIV/0!</v>
      </c>
      <c r="AQ1136" s="1040" t="e">
        <f t="shared" si="715"/>
        <v>#DIV/0!</v>
      </c>
      <c r="AR1136" s="1040" t="e">
        <f t="shared" si="715"/>
        <v>#DIV/0!</v>
      </c>
      <c r="AS1136" s="1040" t="e">
        <f t="shared" ref="AS1136:AY1136" si="716">IF(AS336="",0,IF(OR(1=RANK(AS736,AS$412:AS$790,0),(2=RANK(AS736,AS$412:AS$790,0))),AS736,AS336))</f>
        <v>#DIV/0!</v>
      </c>
      <c r="AT1136" s="1040" t="e">
        <f t="shared" si="716"/>
        <v>#DIV/0!</v>
      </c>
      <c r="AU1136" s="1040">
        <f t="shared" si="716"/>
        <v>0</v>
      </c>
      <c r="AV1136" s="1040" t="e">
        <f t="shared" si="716"/>
        <v>#DIV/0!</v>
      </c>
      <c r="AW1136" s="1040" t="e">
        <f t="shared" si="716"/>
        <v>#DIV/0!</v>
      </c>
      <c r="AX1136" s="1040" t="e">
        <f t="shared" si="716"/>
        <v>#DIV/0!</v>
      </c>
      <c r="AY1136" s="1040" t="e">
        <f t="shared" si="716"/>
        <v>#DIV/0!</v>
      </c>
      <c r="AZ1136" s="1061" t="s">
        <v>21</v>
      </c>
      <c r="BC1136" s="29"/>
      <c r="BD1136" s="29"/>
      <c r="BE1136" s="13"/>
      <c r="BL1136" s="368"/>
    </row>
    <row r="1137" spans="1:64" ht="12" customHeight="1" x14ac:dyDescent="0.2">
      <c r="A1137" s="39">
        <f>acute_overview_children!A337</f>
        <v>4</v>
      </c>
      <c r="B1137" s="23">
        <f t="shared" si="705"/>
        <v>1012050</v>
      </c>
      <c r="C1137" s="23" t="str">
        <f t="shared" si="706"/>
        <v>Bovine: Edible offals (other than liver and kidney)</v>
      </c>
      <c r="D1137" s="135"/>
      <c r="E1137" s="1027"/>
      <c r="F1137" s="87"/>
      <c r="G1137" s="87"/>
      <c r="H1137" s="1027"/>
      <c r="I1137" s="1030"/>
      <c r="J1137" s="1039" t="e">
        <f t="shared" ref="J1137:AR1137" si="717">IF(J337="",0,IF(OR(1=RANK(J737,J$412:J$790,0),(2=RANK(J737,J$412:J$790,0))),J737,J337))</f>
        <v>#DIV/0!</v>
      </c>
      <c r="K1137" s="1040" t="e">
        <f t="shared" si="717"/>
        <v>#DIV/0!</v>
      </c>
      <c r="L1137" s="1040" t="e">
        <f t="shared" si="717"/>
        <v>#DIV/0!</v>
      </c>
      <c r="M1137" s="1040" t="e">
        <f t="shared" si="717"/>
        <v>#DIV/0!</v>
      </c>
      <c r="N1137" s="1040" t="e">
        <f t="shared" si="717"/>
        <v>#DIV/0!</v>
      </c>
      <c r="O1137" s="1040" t="e">
        <f t="shared" si="717"/>
        <v>#DIV/0!</v>
      </c>
      <c r="P1137" s="1040" t="e">
        <f t="shared" si="717"/>
        <v>#DIV/0!</v>
      </c>
      <c r="Q1137" s="1040" t="e">
        <f t="shared" si="717"/>
        <v>#DIV/0!</v>
      </c>
      <c r="R1137" s="1040" t="e">
        <f t="shared" si="717"/>
        <v>#DIV/0!</v>
      </c>
      <c r="S1137" s="1040" t="e">
        <f t="shared" si="717"/>
        <v>#DIV/0!</v>
      </c>
      <c r="T1137" s="1040" t="e">
        <f t="shared" si="717"/>
        <v>#DIV/0!</v>
      </c>
      <c r="U1137" s="1040" t="e">
        <f t="shared" si="717"/>
        <v>#DIV/0!</v>
      </c>
      <c r="V1137" s="1040" t="e">
        <f t="shared" si="717"/>
        <v>#DIV/0!</v>
      </c>
      <c r="W1137" s="1040" t="e">
        <f t="shared" si="717"/>
        <v>#DIV/0!</v>
      </c>
      <c r="X1137" s="1040" t="e">
        <f t="shared" si="717"/>
        <v>#DIV/0!</v>
      </c>
      <c r="Y1137" s="1040" t="e">
        <f t="shared" si="717"/>
        <v>#DIV/0!</v>
      </c>
      <c r="Z1137" s="1040" t="e">
        <f t="shared" si="717"/>
        <v>#DIV/0!</v>
      </c>
      <c r="AA1137" s="1040" t="e">
        <f t="shared" si="717"/>
        <v>#DIV/0!</v>
      </c>
      <c r="AB1137" s="1040" t="e">
        <f t="shared" si="717"/>
        <v>#DIV/0!</v>
      </c>
      <c r="AC1137" s="1040" t="e">
        <f t="shared" si="717"/>
        <v>#DIV/0!</v>
      </c>
      <c r="AD1137" s="1040" t="e">
        <f t="shared" si="717"/>
        <v>#DIV/0!</v>
      </c>
      <c r="AE1137" s="1040" t="e">
        <f t="shared" si="717"/>
        <v>#DIV/0!</v>
      </c>
      <c r="AF1137" s="1040" t="e">
        <f t="shared" si="717"/>
        <v>#DIV/0!</v>
      </c>
      <c r="AG1137" s="1040" t="e">
        <f t="shared" si="717"/>
        <v>#DIV/0!</v>
      </c>
      <c r="AH1137" s="1040" t="e">
        <f t="shared" si="717"/>
        <v>#DIV/0!</v>
      </c>
      <c r="AI1137" s="1040" t="e">
        <f t="shared" si="717"/>
        <v>#DIV/0!</v>
      </c>
      <c r="AJ1137" s="1040" t="e">
        <f t="shared" si="717"/>
        <v>#DIV/0!</v>
      </c>
      <c r="AK1137" s="1040" t="e">
        <f t="shared" si="717"/>
        <v>#DIV/0!</v>
      </c>
      <c r="AL1137" s="1040" t="e">
        <f t="shared" si="717"/>
        <v>#DIV/0!</v>
      </c>
      <c r="AM1137" s="1040" t="e">
        <f t="shared" si="717"/>
        <v>#DIV/0!</v>
      </c>
      <c r="AN1137" s="1040" t="e">
        <f t="shared" si="717"/>
        <v>#DIV/0!</v>
      </c>
      <c r="AO1137" s="1040" t="e">
        <f t="shared" si="717"/>
        <v>#DIV/0!</v>
      </c>
      <c r="AP1137" s="1040" t="e">
        <f t="shared" si="717"/>
        <v>#DIV/0!</v>
      </c>
      <c r="AQ1137" s="1040" t="e">
        <f t="shared" si="717"/>
        <v>#DIV/0!</v>
      </c>
      <c r="AR1137" s="1040" t="e">
        <f t="shared" si="717"/>
        <v>#DIV/0!</v>
      </c>
      <c r="AS1137" s="1040" t="e">
        <f t="shared" ref="AS1137:AY1137" si="718">IF(AS337="",0,IF(OR(1=RANK(AS737,AS$412:AS$790,0),(2=RANK(AS737,AS$412:AS$790,0))),AS737,AS337))</f>
        <v>#DIV/0!</v>
      </c>
      <c r="AT1137" s="1040" t="e">
        <f t="shared" si="718"/>
        <v>#DIV/0!</v>
      </c>
      <c r="AU1137" s="1040">
        <f t="shared" si="718"/>
        <v>0</v>
      </c>
      <c r="AV1137" s="1040" t="e">
        <f t="shared" si="718"/>
        <v>#DIV/0!</v>
      </c>
      <c r="AW1137" s="1040" t="e">
        <f t="shared" si="718"/>
        <v>#DIV/0!</v>
      </c>
      <c r="AX1137" s="1040" t="e">
        <f t="shared" si="718"/>
        <v>#DIV/0!</v>
      </c>
      <c r="AY1137" s="1040" t="e">
        <f t="shared" si="718"/>
        <v>#DIV/0!</v>
      </c>
      <c r="AZ1137" s="1061" t="s">
        <v>21</v>
      </c>
      <c r="BC1137" s="29"/>
      <c r="BD1137" s="29"/>
      <c r="BE1137" s="13"/>
      <c r="BL1137" s="368"/>
    </row>
    <row r="1138" spans="1:64" ht="12" customHeight="1" x14ac:dyDescent="0.2">
      <c r="A1138" s="39">
        <f>acute_overview_children!A338</f>
        <v>4</v>
      </c>
      <c r="B1138" s="23">
        <f t="shared" si="705"/>
        <v>1012990</v>
      </c>
      <c r="C1138" s="23" t="str">
        <f t="shared" si="706"/>
        <v>Bovine: Other products</v>
      </c>
      <c r="D1138" s="135"/>
      <c r="E1138" s="1027"/>
      <c r="F1138" s="87"/>
      <c r="G1138" s="87"/>
      <c r="H1138" s="1027"/>
      <c r="I1138" s="1030"/>
      <c r="J1138" s="1039" t="e">
        <f t="shared" ref="J1138:AR1138" si="719">IF(J338="",0,IF(OR(1=RANK(J738,J$412:J$790,0),(2=RANK(J738,J$412:J$790,0))),J738,J338))</f>
        <v>#DIV/0!</v>
      </c>
      <c r="K1138" s="1040" t="e">
        <f t="shared" si="719"/>
        <v>#DIV/0!</v>
      </c>
      <c r="L1138" s="1040" t="e">
        <f t="shared" si="719"/>
        <v>#DIV/0!</v>
      </c>
      <c r="M1138" s="1040" t="e">
        <f t="shared" si="719"/>
        <v>#DIV/0!</v>
      </c>
      <c r="N1138" s="1040" t="e">
        <f t="shared" si="719"/>
        <v>#DIV/0!</v>
      </c>
      <c r="O1138" s="1040" t="e">
        <f t="shared" si="719"/>
        <v>#DIV/0!</v>
      </c>
      <c r="P1138" s="1040" t="e">
        <f t="shared" si="719"/>
        <v>#DIV/0!</v>
      </c>
      <c r="Q1138" s="1040" t="e">
        <f t="shared" si="719"/>
        <v>#DIV/0!</v>
      </c>
      <c r="R1138" s="1040" t="e">
        <f t="shared" si="719"/>
        <v>#DIV/0!</v>
      </c>
      <c r="S1138" s="1040" t="e">
        <f t="shared" si="719"/>
        <v>#DIV/0!</v>
      </c>
      <c r="T1138" s="1040" t="e">
        <f t="shared" si="719"/>
        <v>#DIV/0!</v>
      </c>
      <c r="U1138" s="1040" t="e">
        <f t="shared" si="719"/>
        <v>#DIV/0!</v>
      </c>
      <c r="V1138" s="1040" t="e">
        <f t="shared" si="719"/>
        <v>#DIV/0!</v>
      </c>
      <c r="W1138" s="1040" t="e">
        <f t="shared" si="719"/>
        <v>#DIV/0!</v>
      </c>
      <c r="X1138" s="1040" t="e">
        <f t="shared" si="719"/>
        <v>#DIV/0!</v>
      </c>
      <c r="Y1138" s="1040" t="e">
        <f t="shared" si="719"/>
        <v>#DIV/0!</v>
      </c>
      <c r="Z1138" s="1040" t="e">
        <f t="shared" si="719"/>
        <v>#DIV/0!</v>
      </c>
      <c r="AA1138" s="1040" t="e">
        <f t="shared" si="719"/>
        <v>#DIV/0!</v>
      </c>
      <c r="AB1138" s="1040" t="e">
        <f t="shared" si="719"/>
        <v>#DIV/0!</v>
      </c>
      <c r="AC1138" s="1040" t="e">
        <f t="shared" si="719"/>
        <v>#DIV/0!</v>
      </c>
      <c r="AD1138" s="1040" t="e">
        <f t="shared" si="719"/>
        <v>#DIV/0!</v>
      </c>
      <c r="AE1138" s="1040" t="e">
        <f t="shared" si="719"/>
        <v>#DIV/0!</v>
      </c>
      <c r="AF1138" s="1040" t="e">
        <f t="shared" si="719"/>
        <v>#DIV/0!</v>
      </c>
      <c r="AG1138" s="1040" t="e">
        <f t="shared" si="719"/>
        <v>#DIV/0!</v>
      </c>
      <c r="AH1138" s="1040" t="e">
        <f t="shared" si="719"/>
        <v>#DIV/0!</v>
      </c>
      <c r="AI1138" s="1040" t="e">
        <f t="shared" si="719"/>
        <v>#DIV/0!</v>
      </c>
      <c r="AJ1138" s="1040" t="e">
        <f t="shared" si="719"/>
        <v>#DIV/0!</v>
      </c>
      <c r="AK1138" s="1040" t="e">
        <f t="shared" si="719"/>
        <v>#DIV/0!</v>
      </c>
      <c r="AL1138" s="1040" t="e">
        <f t="shared" si="719"/>
        <v>#DIV/0!</v>
      </c>
      <c r="AM1138" s="1040" t="e">
        <f t="shared" si="719"/>
        <v>#DIV/0!</v>
      </c>
      <c r="AN1138" s="1040" t="e">
        <f t="shared" si="719"/>
        <v>#DIV/0!</v>
      </c>
      <c r="AO1138" s="1040" t="e">
        <f t="shared" si="719"/>
        <v>#DIV/0!</v>
      </c>
      <c r="AP1138" s="1040" t="e">
        <f t="shared" si="719"/>
        <v>#DIV/0!</v>
      </c>
      <c r="AQ1138" s="1040" t="e">
        <f t="shared" si="719"/>
        <v>#DIV/0!</v>
      </c>
      <c r="AR1138" s="1040" t="e">
        <f t="shared" si="719"/>
        <v>#DIV/0!</v>
      </c>
      <c r="AS1138" s="1040" t="e">
        <f t="shared" ref="AS1138:AY1138" si="720">IF(AS338="",0,IF(OR(1=RANK(AS738,AS$412:AS$790,0),(2=RANK(AS738,AS$412:AS$790,0))),AS738,AS338))</f>
        <v>#DIV/0!</v>
      </c>
      <c r="AT1138" s="1040" t="e">
        <f t="shared" si="720"/>
        <v>#DIV/0!</v>
      </c>
      <c r="AU1138" s="1040">
        <f t="shared" si="720"/>
        <v>0</v>
      </c>
      <c r="AV1138" s="1040" t="e">
        <f t="shared" si="720"/>
        <v>#DIV/0!</v>
      </c>
      <c r="AW1138" s="1040" t="e">
        <f t="shared" si="720"/>
        <v>#DIV/0!</v>
      </c>
      <c r="AX1138" s="1040" t="e">
        <f t="shared" si="720"/>
        <v>#DIV/0!</v>
      </c>
      <c r="AY1138" s="1040" t="e">
        <f t="shared" si="720"/>
        <v>#DIV/0!</v>
      </c>
      <c r="AZ1138" s="1061" t="s">
        <v>21</v>
      </c>
      <c r="BC1138" s="29"/>
      <c r="BD1138" s="29"/>
      <c r="BE1138" s="13"/>
      <c r="BL1138" s="368"/>
    </row>
    <row r="1139" spans="1:64" ht="12" customHeight="1" x14ac:dyDescent="0.2">
      <c r="A1139" s="133">
        <f>acute_overview_children!A339</f>
        <v>3</v>
      </c>
      <c r="B1139" s="5">
        <f t="shared" si="705"/>
        <v>1013000</v>
      </c>
      <c r="C1139" s="5" t="str">
        <f t="shared" si="706"/>
        <v>Sheep</v>
      </c>
      <c r="D1139" s="135"/>
      <c r="E1139" s="1027"/>
      <c r="F1139" s="87"/>
      <c r="G1139" s="87"/>
      <c r="H1139" s="1027"/>
      <c r="I1139" s="1030"/>
      <c r="J1139" s="1047" t="e">
        <f t="shared" ref="J1139:AR1139" si="721">IF(J339="",0,IF(OR(1=RANK(J739,J$412:J$790,0),(2=RANK(J739,J$412:J$790,0))),J739,J339))</f>
        <v>#DIV/0!</v>
      </c>
      <c r="K1139" s="1048" t="e">
        <f t="shared" si="721"/>
        <v>#DIV/0!</v>
      </c>
      <c r="L1139" s="1048" t="e">
        <f t="shared" si="721"/>
        <v>#DIV/0!</v>
      </c>
      <c r="M1139" s="1048" t="e">
        <f t="shared" si="721"/>
        <v>#DIV/0!</v>
      </c>
      <c r="N1139" s="1048" t="e">
        <f t="shared" si="721"/>
        <v>#DIV/0!</v>
      </c>
      <c r="O1139" s="1048" t="e">
        <f t="shared" si="721"/>
        <v>#DIV/0!</v>
      </c>
      <c r="P1139" s="1048" t="e">
        <f t="shared" si="721"/>
        <v>#DIV/0!</v>
      </c>
      <c r="Q1139" s="1048" t="e">
        <f t="shared" si="721"/>
        <v>#DIV/0!</v>
      </c>
      <c r="R1139" s="1048" t="e">
        <f t="shared" si="721"/>
        <v>#DIV/0!</v>
      </c>
      <c r="S1139" s="1048" t="e">
        <f t="shared" si="721"/>
        <v>#DIV/0!</v>
      </c>
      <c r="T1139" s="1048" t="e">
        <f t="shared" si="721"/>
        <v>#DIV/0!</v>
      </c>
      <c r="U1139" s="1048" t="e">
        <f t="shared" si="721"/>
        <v>#DIV/0!</v>
      </c>
      <c r="V1139" s="1048" t="e">
        <f t="shared" si="721"/>
        <v>#DIV/0!</v>
      </c>
      <c r="W1139" s="1048" t="e">
        <f t="shared" si="721"/>
        <v>#DIV/0!</v>
      </c>
      <c r="X1139" s="1048" t="e">
        <f t="shared" si="721"/>
        <v>#DIV/0!</v>
      </c>
      <c r="Y1139" s="1048" t="e">
        <f t="shared" si="721"/>
        <v>#DIV/0!</v>
      </c>
      <c r="Z1139" s="1048" t="e">
        <f t="shared" si="721"/>
        <v>#DIV/0!</v>
      </c>
      <c r="AA1139" s="1048" t="e">
        <f t="shared" si="721"/>
        <v>#DIV/0!</v>
      </c>
      <c r="AB1139" s="1048" t="e">
        <f t="shared" si="721"/>
        <v>#DIV/0!</v>
      </c>
      <c r="AC1139" s="1048" t="e">
        <f t="shared" si="721"/>
        <v>#DIV/0!</v>
      </c>
      <c r="AD1139" s="1048" t="e">
        <f t="shared" si="721"/>
        <v>#DIV/0!</v>
      </c>
      <c r="AE1139" s="1048" t="e">
        <f t="shared" si="721"/>
        <v>#DIV/0!</v>
      </c>
      <c r="AF1139" s="1048" t="e">
        <f t="shared" si="721"/>
        <v>#DIV/0!</v>
      </c>
      <c r="AG1139" s="1048" t="e">
        <f t="shared" si="721"/>
        <v>#DIV/0!</v>
      </c>
      <c r="AH1139" s="1048" t="e">
        <f t="shared" si="721"/>
        <v>#DIV/0!</v>
      </c>
      <c r="AI1139" s="1048" t="e">
        <f t="shared" si="721"/>
        <v>#DIV/0!</v>
      </c>
      <c r="AJ1139" s="1048" t="e">
        <f t="shared" si="721"/>
        <v>#DIV/0!</v>
      </c>
      <c r="AK1139" s="1048" t="e">
        <f t="shared" si="721"/>
        <v>#DIV/0!</v>
      </c>
      <c r="AL1139" s="1048" t="e">
        <f t="shared" si="721"/>
        <v>#DIV/0!</v>
      </c>
      <c r="AM1139" s="1048" t="e">
        <f t="shared" si="721"/>
        <v>#DIV/0!</v>
      </c>
      <c r="AN1139" s="1048" t="e">
        <f t="shared" si="721"/>
        <v>#DIV/0!</v>
      </c>
      <c r="AO1139" s="1048" t="e">
        <f t="shared" si="721"/>
        <v>#DIV/0!</v>
      </c>
      <c r="AP1139" s="1048" t="e">
        <f t="shared" si="721"/>
        <v>#DIV/0!</v>
      </c>
      <c r="AQ1139" s="1048" t="e">
        <f t="shared" si="721"/>
        <v>#DIV/0!</v>
      </c>
      <c r="AR1139" s="1048" t="e">
        <f t="shared" si="721"/>
        <v>#DIV/0!</v>
      </c>
      <c r="AS1139" s="1048" t="e">
        <f t="shared" ref="AS1139:AY1139" si="722">IF(AS339="",0,IF(OR(1=RANK(AS739,AS$412:AS$790,0),(2=RANK(AS739,AS$412:AS$790,0))),AS739,AS339))</f>
        <v>#DIV/0!</v>
      </c>
      <c r="AT1139" s="1048" t="e">
        <f t="shared" si="722"/>
        <v>#DIV/0!</v>
      </c>
      <c r="AU1139" s="1048">
        <f t="shared" si="722"/>
        <v>0</v>
      </c>
      <c r="AV1139" s="1048" t="e">
        <f t="shared" si="722"/>
        <v>#DIV/0!</v>
      </c>
      <c r="AW1139" s="1048" t="e">
        <f t="shared" si="722"/>
        <v>#DIV/0!</v>
      </c>
      <c r="AX1139" s="1048" t="e">
        <f t="shared" si="722"/>
        <v>#DIV/0!</v>
      </c>
      <c r="AY1139" s="1048" t="e">
        <f t="shared" si="722"/>
        <v>#DIV/0!</v>
      </c>
      <c r="AZ1139" s="1061" t="s">
        <v>21</v>
      </c>
      <c r="BC1139" s="29"/>
      <c r="BD1139" s="29"/>
      <c r="BE1139" s="13"/>
      <c r="BL1139" s="368"/>
    </row>
    <row r="1140" spans="1:64" ht="12" customHeight="1" x14ac:dyDescent="0.2">
      <c r="A1140" s="39">
        <f>acute_overview_children!A340</f>
        <v>4</v>
      </c>
      <c r="B1140" s="23">
        <f t="shared" si="705"/>
        <v>1013010</v>
      </c>
      <c r="C1140" s="23" t="str">
        <f t="shared" si="706"/>
        <v>Sheep: Muscle/meat</v>
      </c>
      <c r="D1140" s="135"/>
      <c r="E1140" s="1027"/>
      <c r="F1140" s="87"/>
      <c r="G1140" s="87"/>
      <c r="H1140" s="1027"/>
      <c r="I1140" s="1030"/>
      <c r="J1140" s="1039" t="e">
        <f t="shared" ref="J1140:AR1140" si="723">IF(J340="",0,IF(OR(1=RANK(J740,J$412:J$790,0),(2=RANK(J740,J$412:J$790,0))),J740,J340))</f>
        <v>#DIV/0!</v>
      </c>
      <c r="K1140" s="1040" t="e">
        <f t="shared" si="723"/>
        <v>#DIV/0!</v>
      </c>
      <c r="L1140" s="1040" t="e">
        <f t="shared" si="723"/>
        <v>#DIV/0!</v>
      </c>
      <c r="M1140" s="1040" t="e">
        <f t="shared" si="723"/>
        <v>#DIV/0!</v>
      </c>
      <c r="N1140" s="1040" t="e">
        <f t="shared" si="723"/>
        <v>#DIV/0!</v>
      </c>
      <c r="O1140" s="1040" t="e">
        <f t="shared" si="723"/>
        <v>#DIV/0!</v>
      </c>
      <c r="P1140" s="1040" t="e">
        <f t="shared" si="723"/>
        <v>#DIV/0!</v>
      </c>
      <c r="Q1140" s="1040" t="e">
        <f t="shared" si="723"/>
        <v>#DIV/0!</v>
      </c>
      <c r="R1140" s="1040" t="e">
        <f t="shared" si="723"/>
        <v>#DIV/0!</v>
      </c>
      <c r="S1140" s="1040" t="e">
        <f t="shared" si="723"/>
        <v>#DIV/0!</v>
      </c>
      <c r="T1140" s="1040" t="e">
        <f t="shared" si="723"/>
        <v>#DIV/0!</v>
      </c>
      <c r="U1140" s="1040" t="e">
        <f t="shared" si="723"/>
        <v>#DIV/0!</v>
      </c>
      <c r="V1140" s="1040" t="e">
        <f t="shared" si="723"/>
        <v>#DIV/0!</v>
      </c>
      <c r="W1140" s="1040" t="e">
        <f t="shared" si="723"/>
        <v>#DIV/0!</v>
      </c>
      <c r="X1140" s="1040" t="e">
        <f t="shared" si="723"/>
        <v>#DIV/0!</v>
      </c>
      <c r="Y1140" s="1040" t="e">
        <f t="shared" si="723"/>
        <v>#DIV/0!</v>
      </c>
      <c r="Z1140" s="1040" t="e">
        <f t="shared" si="723"/>
        <v>#DIV/0!</v>
      </c>
      <c r="AA1140" s="1040" t="e">
        <f t="shared" si="723"/>
        <v>#DIV/0!</v>
      </c>
      <c r="AB1140" s="1040" t="e">
        <f t="shared" si="723"/>
        <v>#DIV/0!</v>
      </c>
      <c r="AC1140" s="1040" t="e">
        <f t="shared" si="723"/>
        <v>#DIV/0!</v>
      </c>
      <c r="AD1140" s="1040" t="e">
        <f t="shared" si="723"/>
        <v>#DIV/0!</v>
      </c>
      <c r="AE1140" s="1040" t="e">
        <f t="shared" si="723"/>
        <v>#DIV/0!</v>
      </c>
      <c r="AF1140" s="1040" t="e">
        <f t="shared" si="723"/>
        <v>#DIV/0!</v>
      </c>
      <c r="AG1140" s="1040" t="e">
        <f t="shared" si="723"/>
        <v>#DIV/0!</v>
      </c>
      <c r="AH1140" s="1040" t="e">
        <f t="shared" si="723"/>
        <v>#DIV/0!</v>
      </c>
      <c r="AI1140" s="1040" t="e">
        <f t="shared" si="723"/>
        <v>#DIV/0!</v>
      </c>
      <c r="AJ1140" s="1040" t="e">
        <f t="shared" si="723"/>
        <v>#DIV/0!</v>
      </c>
      <c r="AK1140" s="1040" t="e">
        <f t="shared" si="723"/>
        <v>#DIV/0!</v>
      </c>
      <c r="AL1140" s="1040" t="e">
        <f t="shared" si="723"/>
        <v>#DIV/0!</v>
      </c>
      <c r="AM1140" s="1040" t="e">
        <f t="shared" si="723"/>
        <v>#DIV/0!</v>
      </c>
      <c r="AN1140" s="1040" t="e">
        <f t="shared" si="723"/>
        <v>#DIV/0!</v>
      </c>
      <c r="AO1140" s="1040" t="e">
        <f t="shared" si="723"/>
        <v>#DIV/0!</v>
      </c>
      <c r="AP1140" s="1040" t="e">
        <f t="shared" si="723"/>
        <v>#DIV/0!</v>
      </c>
      <c r="AQ1140" s="1040" t="e">
        <f t="shared" si="723"/>
        <v>#DIV/0!</v>
      </c>
      <c r="AR1140" s="1040" t="e">
        <f t="shared" si="723"/>
        <v>#DIV/0!</v>
      </c>
      <c r="AS1140" s="1040" t="e">
        <f t="shared" ref="AS1140:AY1140" si="724">IF(AS340="",0,IF(OR(1=RANK(AS740,AS$412:AS$790,0),(2=RANK(AS740,AS$412:AS$790,0))),AS740,AS340))</f>
        <v>#DIV/0!</v>
      </c>
      <c r="AT1140" s="1040" t="e">
        <f t="shared" si="724"/>
        <v>#DIV/0!</v>
      </c>
      <c r="AU1140" s="1040">
        <f t="shared" si="724"/>
        <v>0</v>
      </c>
      <c r="AV1140" s="1040" t="e">
        <f t="shared" si="724"/>
        <v>#DIV/0!</v>
      </c>
      <c r="AW1140" s="1040" t="e">
        <f t="shared" si="724"/>
        <v>#DIV/0!</v>
      </c>
      <c r="AX1140" s="1040" t="e">
        <f t="shared" si="724"/>
        <v>#DIV/0!</v>
      </c>
      <c r="AY1140" s="1040" t="e">
        <f t="shared" si="724"/>
        <v>#DIV/0!</v>
      </c>
      <c r="AZ1140" s="1061" t="s">
        <v>21</v>
      </c>
      <c r="BC1140" s="29"/>
      <c r="BD1140" s="29"/>
      <c r="BE1140" s="13"/>
      <c r="BL1140" s="368"/>
    </row>
    <row r="1141" spans="1:64" ht="12" customHeight="1" x14ac:dyDescent="0.2">
      <c r="A1141" s="39">
        <f>acute_overview_children!A341</f>
        <v>4</v>
      </c>
      <c r="B1141" s="23">
        <f t="shared" si="705"/>
        <v>1013020</v>
      </c>
      <c r="C1141" s="23" t="str">
        <f t="shared" si="706"/>
        <v>Sheep: Fat tissue</v>
      </c>
      <c r="D1141" s="135"/>
      <c r="E1141" s="1027"/>
      <c r="F1141" s="87"/>
      <c r="G1141" s="87"/>
      <c r="H1141" s="1027"/>
      <c r="I1141" s="1030"/>
      <c r="J1141" s="1039" t="e">
        <f t="shared" ref="J1141:AR1141" si="725">IF(J341="",0,IF(OR(1=RANK(J741,J$412:J$790,0),(2=RANK(J741,J$412:J$790,0))),J741,J341))</f>
        <v>#DIV/0!</v>
      </c>
      <c r="K1141" s="1040" t="e">
        <f t="shared" si="725"/>
        <v>#DIV/0!</v>
      </c>
      <c r="L1141" s="1040" t="e">
        <f t="shared" si="725"/>
        <v>#DIV/0!</v>
      </c>
      <c r="M1141" s="1040" t="e">
        <f t="shared" si="725"/>
        <v>#DIV/0!</v>
      </c>
      <c r="N1141" s="1040" t="e">
        <f t="shared" si="725"/>
        <v>#DIV/0!</v>
      </c>
      <c r="O1141" s="1040" t="e">
        <f t="shared" si="725"/>
        <v>#DIV/0!</v>
      </c>
      <c r="P1141" s="1040" t="e">
        <f t="shared" si="725"/>
        <v>#DIV/0!</v>
      </c>
      <c r="Q1141" s="1040" t="e">
        <f t="shared" si="725"/>
        <v>#DIV/0!</v>
      </c>
      <c r="R1141" s="1040" t="e">
        <f t="shared" si="725"/>
        <v>#DIV/0!</v>
      </c>
      <c r="S1141" s="1040" t="e">
        <f t="shared" si="725"/>
        <v>#DIV/0!</v>
      </c>
      <c r="T1141" s="1040" t="e">
        <f t="shared" si="725"/>
        <v>#DIV/0!</v>
      </c>
      <c r="U1141" s="1040" t="e">
        <f t="shared" si="725"/>
        <v>#DIV/0!</v>
      </c>
      <c r="V1141" s="1040" t="e">
        <f t="shared" si="725"/>
        <v>#DIV/0!</v>
      </c>
      <c r="W1141" s="1040" t="e">
        <f t="shared" si="725"/>
        <v>#DIV/0!</v>
      </c>
      <c r="X1141" s="1040" t="e">
        <f t="shared" si="725"/>
        <v>#DIV/0!</v>
      </c>
      <c r="Y1141" s="1040" t="e">
        <f t="shared" si="725"/>
        <v>#DIV/0!</v>
      </c>
      <c r="Z1141" s="1040" t="e">
        <f t="shared" si="725"/>
        <v>#DIV/0!</v>
      </c>
      <c r="AA1141" s="1040" t="e">
        <f t="shared" si="725"/>
        <v>#DIV/0!</v>
      </c>
      <c r="AB1141" s="1040" t="e">
        <f t="shared" si="725"/>
        <v>#DIV/0!</v>
      </c>
      <c r="AC1141" s="1040" t="e">
        <f t="shared" si="725"/>
        <v>#DIV/0!</v>
      </c>
      <c r="AD1141" s="1040" t="e">
        <f t="shared" si="725"/>
        <v>#DIV/0!</v>
      </c>
      <c r="AE1141" s="1040" t="e">
        <f t="shared" si="725"/>
        <v>#DIV/0!</v>
      </c>
      <c r="AF1141" s="1040" t="e">
        <f t="shared" si="725"/>
        <v>#DIV/0!</v>
      </c>
      <c r="AG1141" s="1040" t="e">
        <f t="shared" si="725"/>
        <v>#DIV/0!</v>
      </c>
      <c r="AH1141" s="1040" t="e">
        <f t="shared" si="725"/>
        <v>#DIV/0!</v>
      </c>
      <c r="AI1141" s="1040" t="e">
        <f t="shared" si="725"/>
        <v>#DIV/0!</v>
      </c>
      <c r="AJ1141" s="1040" t="e">
        <f t="shared" si="725"/>
        <v>#DIV/0!</v>
      </c>
      <c r="AK1141" s="1040" t="e">
        <f t="shared" si="725"/>
        <v>#DIV/0!</v>
      </c>
      <c r="AL1141" s="1040" t="e">
        <f t="shared" si="725"/>
        <v>#DIV/0!</v>
      </c>
      <c r="AM1141" s="1040" t="e">
        <f t="shared" si="725"/>
        <v>#DIV/0!</v>
      </c>
      <c r="AN1141" s="1040" t="e">
        <f t="shared" si="725"/>
        <v>#DIV/0!</v>
      </c>
      <c r="AO1141" s="1040" t="e">
        <f t="shared" si="725"/>
        <v>#DIV/0!</v>
      </c>
      <c r="AP1141" s="1040" t="e">
        <f t="shared" si="725"/>
        <v>#DIV/0!</v>
      </c>
      <c r="AQ1141" s="1040" t="e">
        <f t="shared" si="725"/>
        <v>#DIV/0!</v>
      </c>
      <c r="AR1141" s="1040" t="e">
        <f t="shared" si="725"/>
        <v>#DIV/0!</v>
      </c>
      <c r="AS1141" s="1040" t="e">
        <f t="shared" ref="AS1141:AY1141" si="726">IF(AS341="",0,IF(OR(1=RANK(AS741,AS$412:AS$790,0),(2=RANK(AS741,AS$412:AS$790,0))),AS741,AS341))</f>
        <v>#DIV/0!</v>
      </c>
      <c r="AT1141" s="1040" t="e">
        <f t="shared" si="726"/>
        <v>#DIV/0!</v>
      </c>
      <c r="AU1141" s="1040">
        <f t="shared" si="726"/>
        <v>0</v>
      </c>
      <c r="AV1141" s="1040" t="e">
        <f t="shared" si="726"/>
        <v>#DIV/0!</v>
      </c>
      <c r="AW1141" s="1040" t="e">
        <f t="shared" si="726"/>
        <v>#DIV/0!</v>
      </c>
      <c r="AX1141" s="1040" t="e">
        <f t="shared" si="726"/>
        <v>#DIV/0!</v>
      </c>
      <c r="AY1141" s="1040" t="e">
        <f t="shared" si="726"/>
        <v>#DIV/0!</v>
      </c>
      <c r="AZ1141" s="1061" t="s">
        <v>21</v>
      </c>
      <c r="BC1141" s="29"/>
      <c r="BD1141" s="29"/>
      <c r="BE1141" s="13"/>
      <c r="BL1141" s="368"/>
    </row>
    <row r="1142" spans="1:64" ht="12" customHeight="1" x14ac:dyDescent="0.2">
      <c r="A1142" s="39">
        <f>acute_overview_children!A342</f>
        <v>4</v>
      </c>
      <c r="B1142" s="23">
        <f t="shared" si="705"/>
        <v>1013030</v>
      </c>
      <c r="C1142" s="23" t="str">
        <f t="shared" si="706"/>
        <v>Sheep: Liver</v>
      </c>
      <c r="D1142" s="135"/>
      <c r="E1142" s="1027"/>
      <c r="F1142" s="87"/>
      <c r="G1142" s="87"/>
      <c r="H1142" s="1027"/>
      <c r="I1142" s="1030"/>
      <c r="J1142" s="1039" t="e">
        <f t="shared" ref="J1142:AR1142" si="727">IF(J342="",0,IF(OR(1=RANK(J742,J$412:J$790,0),(2=RANK(J742,J$412:J$790,0))),J742,J342))</f>
        <v>#DIV/0!</v>
      </c>
      <c r="K1142" s="1040" t="e">
        <f t="shared" si="727"/>
        <v>#DIV/0!</v>
      </c>
      <c r="L1142" s="1040" t="e">
        <f t="shared" si="727"/>
        <v>#DIV/0!</v>
      </c>
      <c r="M1142" s="1040" t="e">
        <f t="shared" si="727"/>
        <v>#DIV/0!</v>
      </c>
      <c r="N1142" s="1040" t="e">
        <f t="shared" si="727"/>
        <v>#DIV/0!</v>
      </c>
      <c r="O1142" s="1040" t="e">
        <f t="shared" si="727"/>
        <v>#DIV/0!</v>
      </c>
      <c r="P1142" s="1040" t="e">
        <f t="shared" si="727"/>
        <v>#DIV/0!</v>
      </c>
      <c r="Q1142" s="1040" t="e">
        <f t="shared" si="727"/>
        <v>#DIV/0!</v>
      </c>
      <c r="R1142" s="1040" t="e">
        <f t="shared" si="727"/>
        <v>#DIV/0!</v>
      </c>
      <c r="S1142" s="1040" t="e">
        <f t="shared" si="727"/>
        <v>#DIV/0!</v>
      </c>
      <c r="T1142" s="1040" t="e">
        <f t="shared" si="727"/>
        <v>#DIV/0!</v>
      </c>
      <c r="U1142" s="1040" t="e">
        <f t="shared" si="727"/>
        <v>#DIV/0!</v>
      </c>
      <c r="V1142" s="1040" t="e">
        <f t="shared" si="727"/>
        <v>#DIV/0!</v>
      </c>
      <c r="W1142" s="1040" t="e">
        <f t="shared" si="727"/>
        <v>#DIV/0!</v>
      </c>
      <c r="X1142" s="1040" t="e">
        <f t="shared" si="727"/>
        <v>#DIV/0!</v>
      </c>
      <c r="Y1142" s="1040" t="e">
        <f t="shared" si="727"/>
        <v>#DIV/0!</v>
      </c>
      <c r="Z1142" s="1040" t="e">
        <f t="shared" si="727"/>
        <v>#DIV/0!</v>
      </c>
      <c r="AA1142" s="1040" t="e">
        <f t="shared" si="727"/>
        <v>#DIV/0!</v>
      </c>
      <c r="AB1142" s="1040" t="e">
        <f t="shared" si="727"/>
        <v>#DIV/0!</v>
      </c>
      <c r="AC1142" s="1040" t="e">
        <f t="shared" si="727"/>
        <v>#DIV/0!</v>
      </c>
      <c r="AD1142" s="1040" t="e">
        <f t="shared" si="727"/>
        <v>#DIV/0!</v>
      </c>
      <c r="AE1142" s="1040" t="e">
        <f t="shared" si="727"/>
        <v>#DIV/0!</v>
      </c>
      <c r="AF1142" s="1040" t="e">
        <f t="shared" si="727"/>
        <v>#DIV/0!</v>
      </c>
      <c r="AG1142" s="1040" t="e">
        <f t="shared" si="727"/>
        <v>#DIV/0!</v>
      </c>
      <c r="AH1142" s="1040" t="e">
        <f t="shared" si="727"/>
        <v>#DIV/0!</v>
      </c>
      <c r="AI1142" s="1040" t="e">
        <f t="shared" si="727"/>
        <v>#DIV/0!</v>
      </c>
      <c r="AJ1142" s="1040" t="e">
        <f t="shared" si="727"/>
        <v>#DIV/0!</v>
      </c>
      <c r="AK1142" s="1040" t="e">
        <f t="shared" si="727"/>
        <v>#DIV/0!</v>
      </c>
      <c r="AL1142" s="1040" t="e">
        <f t="shared" si="727"/>
        <v>#DIV/0!</v>
      </c>
      <c r="AM1142" s="1040" t="e">
        <f t="shared" si="727"/>
        <v>#DIV/0!</v>
      </c>
      <c r="AN1142" s="1040" t="e">
        <f t="shared" si="727"/>
        <v>#DIV/0!</v>
      </c>
      <c r="AO1142" s="1040" t="e">
        <f t="shared" si="727"/>
        <v>#DIV/0!</v>
      </c>
      <c r="AP1142" s="1040" t="e">
        <f t="shared" si="727"/>
        <v>#DIV/0!</v>
      </c>
      <c r="AQ1142" s="1040" t="e">
        <f t="shared" si="727"/>
        <v>#DIV/0!</v>
      </c>
      <c r="AR1142" s="1040" t="e">
        <f t="shared" si="727"/>
        <v>#DIV/0!</v>
      </c>
      <c r="AS1142" s="1040" t="e">
        <f t="shared" ref="AS1142:AY1142" si="728">IF(AS342="",0,IF(OR(1=RANK(AS742,AS$412:AS$790,0),(2=RANK(AS742,AS$412:AS$790,0))),AS742,AS342))</f>
        <v>#DIV/0!</v>
      </c>
      <c r="AT1142" s="1040" t="e">
        <f t="shared" si="728"/>
        <v>#DIV/0!</v>
      </c>
      <c r="AU1142" s="1040">
        <f t="shared" si="728"/>
        <v>0</v>
      </c>
      <c r="AV1142" s="1040" t="e">
        <f t="shared" si="728"/>
        <v>#DIV/0!</v>
      </c>
      <c r="AW1142" s="1040" t="e">
        <f t="shared" si="728"/>
        <v>#DIV/0!</v>
      </c>
      <c r="AX1142" s="1040" t="e">
        <f t="shared" si="728"/>
        <v>#DIV/0!</v>
      </c>
      <c r="AY1142" s="1040" t="e">
        <f t="shared" si="728"/>
        <v>#DIV/0!</v>
      </c>
      <c r="AZ1142" s="1061" t="s">
        <v>21</v>
      </c>
      <c r="BC1142" s="29"/>
      <c r="BD1142" s="29"/>
      <c r="BE1142" s="13"/>
      <c r="BL1142" s="368"/>
    </row>
    <row r="1143" spans="1:64" ht="12" customHeight="1" x14ac:dyDescent="0.2">
      <c r="A1143" s="39">
        <f>acute_overview_children!A343</f>
        <v>4</v>
      </c>
      <c r="B1143" s="23">
        <f t="shared" si="705"/>
        <v>1013040</v>
      </c>
      <c r="C1143" s="23" t="str">
        <f t="shared" si="706"/>
        <v>Sheep: Kidney</v>
      </c>
      <c r="D1143" s="135"/>
      <c r="E1143" s="1027"/>
      <c r="F1143" s="87"/>
      <c r="G1143" s="87"/>
      <c r="H1143" s="1027"/>
      <c r="I1143" s="1030"/>
      <c r="J1143" s="1039" t="e">
        <f t="shared" ref="J1143:AR1143" si="729">IF(J343="",0,IF(OR(1=RANK(J743,J$412:J$790,0),(2=RANK(J743,J$412:J$790,0))),J743,J343))</f>
        <v>#DIV/0!</v>
      </c>
      <c r="K1143" s="1040" t="e">
        <f t="shared" si="729"/>
        <v>#DIV/0!</v>
      </c>
      <c r="L1143" s="1040" t="e">
        <f t="shared" si="729"/>
        <v>#DIV/0!</v>
      </c>
      <c r="M1143" s="1040" t="e">
        <f t="shared" si="729"/>
        <v>#DIV/0!</v>
      </c>
      <c r="N1143" s="1040" t="e">
        <f t="shared" si="729"/>
        <v>#DIV/0!</v>
      </c>
      <c r="O1143" s="1040" t="e">
        <f t="shared" si="729"/>
        <v>#DIV/0!</v>
      </c>
      <c r="P1143" s="1040" t="e">
        <f t="shared" si="729"/>
        <v>#DIV/0!</v>
      </c>
      <c r="Q1143" s="1040" t="e">
        <f t="shared" si="729"/>
        <v>#DIV/0!</v>
      </c>
      <c r="R1143" s="1040" t="e">
        <f t="shared" si="729"/>
        <v>#DIV/0!</v>
      </c>
      <c r="S1143" s="1040" t="e">
        <f t="shared" si="729"/>
        <v>#DIV/0!</v>
      </c>
      <c r="T1143" s="1040" t="e">
        <f t="shared" si="729"/>
        <v>#DIV/0!</v>
      </c>
      <c r="U1143" s="1040" t="e">
        <f t="shared" si="729"/>
        <v>#DIV/0!</v>
      </c>
      <c r="V1143" s="1040" t="e">
        <f t="shared" si="729"/>
        <v>#DIV/0!</v>
      </c>
      <c r="W1143" s="1040" t="e">
        <f t="shared" si="729"/>
        <v>#DIV/0!</v>
      </c>
      <c r="X1143" s="1040" t="e">
        <f t="shared" si="729"/>
        <v>#DIV/0!</v>
      </c>
      <c r="Y1143" s="1040" t="e">
        <f t="shared" si="729"/>
        <v>#DIV/0!</v>
      </c>
      <c r="Z1143" s="1040" t="e">
        <f t="shared" si="729"/>
        <v>#DIV/0!</v>
      </c>
      <c r="AA1143" s="1040" t="e">
        <f t="shared" si="729"/>
        <v>#DIV/0!</v>
      </c>
      <c r="AB1143" s="1040" t="e">
        <f t="shared" si="729"/>
        <v>#DIV/0!</v>
      </c>
      <c r="AC1143" s="1040" t="e">
        <f t="shared" si="729"/>
        <v>#DIV/0!</v>
      </c>
      <c r="AD1143" s="1040" t="e">
        <f t="shared" si="729"/>
        <v>#DIV/0!</v>
      </c>
      <c r="AE1143" s="1040" t="e">
        <f t="shared" si="729"/>
        <v>#DIV/0!</v>
      </c>
      <c r="AF1143" s="1040" t="e">
        <f t="shared" si="729"/>
        <v>#DIV/0!</v>
      </c>
      <c r="AG1143" s="1040" t="e">
        <f t="shared" si="729"/>
        <v>#DIV/0!</v>
      </c>
      <c r="AH1143" s="1040" t="e">
        <f t="shared" si="729"/>
        <v>#DIV/0!</v>
      </c>
      <c r="AI1143" s="1040" t="e">
        <f t="shared" si="729"/>
        <v>#DIV/0!</v>
      </c>
      <c r="AJ1143" s="1040" t="e">
        <f t="shared" si="729"/>
        <v>#DIV/0!</v>
      </c>
      <c r="AK1143" s="1040" t="e">
        <f t="shared" si="729"/>
        <v>#DIV/0!</v>
      </c>
      <c r="AL1143" s="1040" t="e">
        <f t="shared" si="729"/>
        <v>#DIV/0!</v>
      </c>
      <c r="AM1143" s="1040" t="e">
        <f t="shared" si="729"/>
        <v>#DIV/0!</v>
      </c>
      <c r="AN1143" s="1040" t="e">
        <f t="shared" si="729"/>
        <v>#DIV/0!</v>
      </c>
      <c r="AO1143" s="1040" t="e">
        <f t="shared" si="729"/>
        <v>#DIV/0!</v>
      </c>
      <c r="AP1143" s="1040" t="e">
        <f t="shared" si="729"/>
        <v>#DIV/0!</v>
      </c>
      <c r="AQ1143" s="1040" t="e">
        <f t="shared" si="729"/>
        <v>#DIV/0!</v>
      </c>
      <c r="AR1143" s="1040" t="e">
        <f t="shared" si="729"/>
        <v>#DIV/0!</v>
      </c>
      <c r="AS1143" s="1040" t="e">
        <f t="shared" ref="AS1143:AY1143" si="730">IF(AS343="",0,IF(OR(1=RANK(AS743,AS$412:AS$790,0),(2=RANK(AS743,AS$412:AS$790,0))),AS743,AS343))</f>
        <v>#DIV/0!</v>
      </c>
      <c r="AT1143" s="1040" t="e">
        <f t="shared" si="730"/>
        <v>#DIV/0!</v>
      </c>
      <c r="AU1143" s="1040">
        <f t="shared" si="730"/>
        <v>0</v>
      </c>
      <c r="AV1143" s="1040" t="e">
        <f t="shared" si="730"/>
        <v>#DIV/0!</v>
      </c>
      <c r="AW1143" s="1040" t="e">
        <f t="shared" si="730"/>
        <v>#DIV/0!</v>
      </c>
      <c r="AX1143" s="1040" t="e">
        <f t="shared" si="730"/>
        <v>#DIV/0!</v>
      </c>
      <c r="AY1143" s="1040" t="e">
        <f t="shared" si="730"/>
        <v>#DIV/0!</v>
      </c>
      <c r="AZ1143" s="1061" t="s">
        <v>21</v>
      </c>
      <c r="BC1143" s="29"/>
      <c r="BD1143" s="29"/>
      <c r="BE1143" s="13"/>
      <c r="BL1143" s="368"/>
    </row>
    <row r="1144" spans="1:64" ht="12" customHeight="1" x14ac:dyDescent="0.2">
      <c r="A1144" s="39">
        <f>acute_overview_children!A344</f>
        <v>4</v>
      </c>
      <c r="B1144" s="23">
        <f t="shared" si="705"/>
        <v>1013050</v>
      </c>
      <c r="C1144" s="23" t="str">
        <f t="shared" si="706"/>
        <v>Sheep: Edible offals (other than liver and kidney)</v>
      </c>
      <c r="D1144" s="135"/>
      <c r="E1144" s="1027"/>
      <c r="F1144" s="87"/>
      <c r="G1144" s="87"/>
      <c r="H1144" s="1027"/>
      <c r="I1144" s="1030"/>
      <c r="J1144" s="1039" t="e">
        <f t="shared" ref="J1144:AR1144" si="731">IF(J344="",0,IF(OR(1=RANK(J744,J$412:J$790,0),(2=RANK(J744,J$412:J$790,0))),J744,J344))</f>
        <v>#DIV/0!</v>
      </c>
      <c r="K1144" s="1040" t="e">
        <f t="shared" si="731"/>
        <v>#DIV/0!</v>
      </c>
      <c r="L1144" s="1040" t="e">
        <f t="shared" si="731"/>
        <v>#DIV/0!</v>
      </c>
      <c r="M1144" s="1040" t="e">
        <f t="shared" si="731"/>
        <v>#DIV/0!</v>
      </c>
      <c r="N1144" s="1040" t="e">
        <f t="shared" si="731"/>
        <v>#DIV/0!</v>
      </c>
      <c r="O1144" s="1040" t="e">
        <f t="shared" si="731"/>
        <v>#DIV/0!</v>
      </c>
      <c r="P1144" s="1040" t="e">
        <f t="shared" si="731"/>
        <v>#DIV/0!</v>
      </c>
      <c r="Q1144" s="1040" t="e">
        <f t="shared" si="731"/>
        <v>#DIV/0!</v>
      </c>
      <c r="R1144" s="1040" t="e">
        <f t="shared" si="731"/>
        <v>#DIV/0!</v>
      </c>
      <c r="S1144" s="1040" t="e">
        <f t="shared" si="731"/>
        <v>#DIV/0!</v>
      </c>
      <c r="T1144" s="1040" t="e">
        <f t="shared" si="731"/>
        <v>#DIV/0!</v>
      </c>
      <c r="U1144" s="1040" t="e">
        <f t="shared" si="731"/>
        <v>#DIV/0!</v>
      </c>
      <c r="V1144" s="1040" t="e">
        <f t="shared" si="731"/>
        <v>#DIV/0!</v>
      </c>
      <c r="W1144" s="1040" t="e">
        <f t="shared" si="731"/>
        <v>#DIV/0!</v>
      </c>
      <c r="X1144" s="1040" t="e">
        <f t="shared" si="731"/>
        <v>#DIV/0!</v>
      </c>
      <c r="Y1144" s="1040" t="e">
        <f t="shared" si="731"/>
        <v>#DIV/0!</v>
      </c>
      <c r="Z1144" s="1040" t="e">
        <f t="shared" si="731"/>
        <v>#DIV/0!</v>
      </c>
      <c r="AA1144" s="1040" t="e">
        <f t="shared" si="731"/>
        <v>#DIV/0!</v>
      </c>
      <c r="AB1144" s="1040" t="e">
        <f t="shared" si="731"/>
        <v>#DIV/0!</v>
      </c>
      <c r="AC1144" s="1040" t="e">
        <f t="shared" si="731"/>
        <v>#DIV/0!</v>
      </c>
      <c r="AD1144" s="1040" t="e">
        <f t="shared" si="731"/>
        <v>#DIV/0!</v>
      </c>
      <c r="AE1144" s="1040" t="e">
        <f t="shared" si="731"/>
        <v>#DIV/0!</v>
      </c>
      <c r="AF1144" s="1040" t="e">
        <f t="shared" si="731"/>
        <v>#DIV/0!</v>
      </c>
      <c r="AG1144" s="1040" t="e">
        <f t="shared" si="731"/>
        <v>#DIV/0!</v>
      </c>
      <c r="AH1144" s="1040" t="e">
        <f t="shared" si="731"/>
        <v>#DIV/0!</v>
      </c>
      <c r="AI1144" s="1040" t="e">
        <f t="shared" si="731"/>
        <v>#DIV/0!</v>
      </c>
      <c r="AJ1144" s="1040" t="e">
        <f t="shared" si="731"/>
        <v>#DIV/0!</v>
      </c>
      <c r="AK1144" s="1040" t="e">
        <f t="shared" si="731"/>
        <v>#DIV/0!</v>
      </c>
      <c r="AL1144" s="1040" t="e">
        <f t="shared" si="731"/>
        <v>#DIV/0!</v>
      </c>
      <c r="AM1144" s="1040" t="e">
        <f t="shared" si="731"/>
        <v>#DIV/0!</v>
      </c>
      <c r="AN1144" s="1040" t="e">
        <f t="shared" si="731"/>
        <v>#DIV/0!</v>
      </c>
      <c r="AO1144" s="1040" t="e">
        <f t="shared" si="731"/>
        <v>#DIV/0!</v>
      </c>
      <c r="AP1144" s="1040" t="e">
        <f t="shared" si="731"/>
        <v>#DIV/0!</v>
      </c>
      <c r="AQ1144" s="1040" t="e">
        <f t="shared" si="731"/>
        <v>#DIV/0!</v>
      </c>
      <c r="AR1144" s="1040" t="e">
        <f t="shared" si="731"/>
        <v>#DIV/0!</v>
      </c>
      <c r="AS1144" s="1040" t="e">
        <f t="shared" ref="AS1144:AY1144" si="732">IF(AS344="",0,IF(OR(1=RANK(AS744,AS$412:AS$790,0),(2=RANK(AS744,AS$412:AS$790,0))),AS744,AS344))</f>
        <v>#DIV/0!</v>
      </c>
      <c r="AT1144" s="1040" t="e">
        <f t="shared" si="732"/>
        <v>#DIV/0!</v>
      </c>
      <c r="AU1144" s="1040">
        <f t="shared" si="732"/>
        <v>0</v>
      </c>
      <c r="AV1144" s="1040" t="e">
        <f t="shared" si="732"/>
        <v>#DIV/0!</v>
      </c>
      <c r="AW1144" s="1040" t="e">
        <f t="shared" si="732"/>
        <v>#DIV/0!</v>
      </c>
      <c r="AX1144" s="1040" t="e">
        <f t="shared" si="732"/>
        <v>#DIV/0!</v>
      </c>
      <c r="AY1144" s="1040" t="e">
        <f t="shared" si="732"/>
        <v>#DIV/0!</v>
      </c>
      <c r="AZ1144" s="1061" t="s">
        <v>21</v>
      </c>
      <c r="BC1144" s="29"/>
      <c r="BD1144" s="29"/>
      <c r="BE1144" s="13"/>
      <c r="BL1144" s="368"/>
    </row>
    <row r="1145" spans="1:64" ht="12" customHeight="1" x14ac:dyDescent="0.2">
      <c r="A1145" s="39">
        <f>acute_overview_children!A345</f>
        <v>4</v>
      </c>
      <c r="B1145" s="23">
        <f t="shared" si="705"/>
        <v>1013990</v>
      </c>
      <c r="C1145" s="23" t="str">
        <f t="shared" si="706"/>
        <v>Sheep: other products</v>
      </c>
      <c r="D1145" s="135"/>
      <c r="E1145" s="1027"/>
      <c r="F1145" s="87"/>
      <c r="G1145" s="87"/>
      <c r="H1145" s="1027"/>
      <c r="I1145" s="1030"/>
      <c r="J1145" s="1039" t="e">
        <f t="shared" ref="J1145:AR1145" si="733">IF(J345="",0,IF(OR(1=RANK(J745,J$412:J$790,0),(2=RANK(J745,J$412:J$790,0))),J745,J345))</f>
        <v>#DIV/0!</v>
      </c>
      <c r="K1145" s="1040" t="e">
        <f t="shared" si="733"/>
        <v>#DIV/0!</v>
      </c>
      <c r="L1145" s="1040" t="e">
        <f t="shared" si="733"/>
        <v>#DIV/0!</v>
      </c>
      <c r="M1145" s="1040" t="e">
        <f t="shared" si="733"/>
        <v>#DIV/0!</v>
      </c>
      <c r="N1145" s="1040" t="e">
        <f t="shared" si="733"/>
        <v>#DIV/0!</v>
      </c>
      <c r="O1145" s="1040" t="e">
        <f t="shared" si="733"/>
        <v>#DIV/0!</v>
      </c>
      <c r="P1145" s="1040" t="e">
        <f t="shared" si="733"/>
        <v>#DIV/0!</v>
      </c>
      <c r="Q1145" s="1040" t="e">
        <f t="shared" si="733"/>
        <v>#DIV/0!</v>
      </c>
      <c r="R1145" s="1040" t="e">
        <f t="shared" si="733"/>
        <v>#DIV/0!</v>
      </c>
      <c r="S1145" s="1040" t="e">
        <f t="shared" si="733"/>
        <v>#DIV/0!</v>
      </c>
      <c r="T1145" s="1040" t="e">
        <f t="shared" si="733"/>
        <v>#DIV/0!</v>
      </c>
      <c r="U1145" s="1040" t="e">
        <f t="shared" si="733"/>
        <v>#DIV/0!</v>
      </c>
      <c r="V1145" s="1040" t="e">
        <f t="shared" si="733"/>
        <v>#DIV/0!</v>
      </c>
      <c r="W1145" s="1040" t="e">
        <f t="shared" si="733"/>
        <v>#DIV/0!</v>
      </c>
      <c r="X1145" s="1040" t="e">
        <f t="shared" si="733"/>
        <v>#DIV/0!</v>
      </c>
      <c r="Y1145" s="1040" t="e">
        <f t="shared" si="733"/>
        <v>#DIV/0!</v>
      </c>
      <c r="Z1145" s="1040" t="e">
        <f t="shared" si="733"/>
        <v>#DIV/0!</v>
      </c>
      <c r="AA1145" s="1040" t="e">
        <f t="shared" si="733"/>
        <v>#DIV/0!</v>
      </c>
      <c r="AB1145" s="1040" t="e">
        <f t="shared" si="733"/>
        <v>#DIV/0!</v>
      </c>
      <c r="AC1145" s="1040" t="e">
        <f t="shared" si="733"/>
        <v>#DIV/0!</v>
      </c>
      <c r="AD1145" s="1040" t="e">
        <f t="shared" si="733"/>
        <v>#DIV/0!</v>
      </c>
      <c r="AE1145" s="1040" t="e">
        <f t="shared" si="733"/>
        <v>#DIV/0!</v>
      </c>
      <c r="AF1145" s="1040" t="e">
        <f t="shared" si="733"/>
        <v>#DIV/0!</v>
      </c>
      <c r="AG1145" s="1040" t="e">
        <f t="shared" si="733"/>
        <v>#DIV/0!</v>
      </c>
      <c r="AH1145" s="1040" t="e">
        <f t="shared" si="733"/>
        <v>#DIV/0!</v>
      </c>
      <c r="AI1145" s="1040" t="e">
        <f t="shared" si="733"/>
        <v>#DIV/0!</v>
      </c>
      <c r="AJ1145" s="1040" t="e">
        <f t="shared" si="733"/>
        <v>#DIV/0!</v>
      </c>
      <c r="AK1145" s="1040" t="e">
        <f t="shared" si="733"/>
        <v>#DIV/0!</v>
      </c>
      <c r="AL1145" s="1040" t="e">
        <f t="shared" si="733"/>
        <v>#DIV/0!</v>
      </c>
      <c r="AM1145" s="1040" t="e">
        <f t="shared" si="733"/>
        <v>#DIV/0!</v>
      </c>
      <c r="AN1145" s="1040" t="e">
        <f t="shared" si="733"/>
        <v>#DIV/0!</v>
      </c>
      <c r="AO1145" s="1040" t="e">
        <f t="shared" si="733"/>
        <v>#DIV/0!</v>
      </c>
      <c r="AP1145" s="1040" t="e">
        <f t="shared" si="733"/>
        <v>#DIV/0!</v>
      </c>
      <c r="AQ1145" s="1040" t="e">
        <f t="shared" si="733"/>
        <v>#DIV/0!</v>
      </c>
      <c r="AR1145" s="1040" t="e">
        <f t="shared" si="733"/>
        <v>#DIV/0!</v>
      </c>
      <c r="AS1145" s="1040" t="e">
        <f t="shared" ref="AS1145:AY1145" si="734">IF(AS345="",0,IF(OR(1=RANK(AS745,AS$412:AS$790,0),(2=RANK(AS745,AS$412:AS$790,0))),AS745,AS345))</f>
        <v>#DIV/0!</v>
      </c>
      <c r="AT1145" s="1040" t="e">
        <f t="shared" si="734"/>
        <v>#DIV/0!</v>
      </c>
      <c r="AU1145" s="1040">
        <f t="shared" si="734"/>
        <v>0</v>
      </c>
      <c r="AV1145" s="1040" t="e">
        <f t="shared" si="734"/>
        <v>#DIV/0!</v>
      </c>
      <c r="AW1145" s="1040" t="e">
        <f t="shared" si="734"/>
        <v>#DIV/0!</v>
      </c>
      <c r="AX1145" s="1040" t="e">
        <f t="shared" si="734"/>
        <v>#DIV/0!</v>
      </c>
      <c r="AY1145" s="1040" t="e">
        <f t="shared" si="734"/>
        <v>#DIV/0!</v>
      </c>
      <c r="AZ1145" s="1061" t="s">
        <v>21</v>
      </c>
      <c r="BC1145" s="29"/>
      <c r="BD1145" s="29"/>
      <c r="BE1145" s="13"/>
      <c r="BL1145" s="368"/>
    </row>
    <row r="1146" spans="1:64" ht="12" customHeight="1" x14ac:dyDescent="0.2">
      <c r="A1146" s="133">
        <f>acute_overview_children!A346</f>
        <v>3</v>
      </c>
      <c r="B1146" s="5">
        <f t="shared" si="705"/>
        <v>1014000</v>
      </c>
      <c r="C1146" s="5" t="str">
        <f t="shared" si="706"/>
        <v xml:space="preserve">Goat </v>
      </c>
      <c r="D1146" s="135"/>
      <c r="E1146" s="1027"/>
      <c r="F1146" s="87"/>
      <c r="G1146" s="87"/>
      <c r="H1146" s="1027"/>
      <c r="I1146" s="1030"/>
      <c r="J1146" s="1047" t="e">
        <f t="shared" ref="J1146:AR1146" si="735">IF(J346="",0,IF(OR(1=RANK(J746,J$412:J$790,0),(2=RANK(J746,J$412:J$790,0))),J746,J346))</f>
        <v>#DIV/0!</v>
      </c>
      <c r="K1146" s="1048" t="e">
        <f t="shared" si="735"/>
        <v>#DIV/0!</v>
      </c>
      <c r="L1146" s="1048" t="e">
        <f t="shared" si="735"/>
        <v>#DIV/0!</v>
      </c>
      <c r="M1146" s="1048" t="e">
        <f t="shared" si="735"/>
        <v>#DIV/0!</v>
      </c>
      <c r="N1146" s="1048" t="e">
        <f t="shared" si="735"/>
        <v>#DIV/0!</v>
      </c>
      <c r="O1146" s="1048" t="e">
        <f t="shared" si="735"/>
        <v>#DIV/0!</v>
      </c>
      <c r="P1146" s="1048" t="e">
        <f t="shared" si="735"/>
        <v>#DIV/0!</v>
      </c>
      <c r="Q1146" s="1048" t="e">
        <f t="shared" si="735"/>
        <v>#DIV/0!</v>
      </c>
      <c r="R1146" s="1048" t="e">
        <f t="shared" si="735"/>
        <v>#DIV/0!</v>
      </c>
      <c r="S1146" s="1048" t="e">
        <f t="shared" si="735"/>
        <v>#DIV/0!</v>
      </c>
      <c r="T1146" s="1048" t="e">
        <f t="shared" si="735"/>
        <v>#DIV/0!</v>
      </c>
      <c r="U1146" s="1048" t="e">
        <f t="shared" si="735"/>
        <v>#DIV/0!</v>
      </c>
      <c r="V1146" s="1048" t="e">
        <f t="shared" si="735"/>
        <v>#DIV/0!</v>
      </c>
      <c r="W1146" s="1048" t="e">
        <f t="shared" si="735"/>
        <v>#DIV/0!</v>
      </c>
      <c r="X1146" s="1048" t="e">
        <f t="shared" si="735"/>
        <v>#DIV/0!</v>
      </c>
      <c r="Y1146" s="1048" t="e">
        <f t="shared" si="735"/>
        <v>#DIV/0!</v>
      </c>
      <c r="Z1146" s="1048" t="e">
        <f t="shared" si="735"/>
        <v>#DIV/0!</v>
      </c>
      <c r="AA1146" s="1048" t="e">
        <f t="shared" si="735"/>
        <v>#DIV/0!</v>
      </c>
      <c r="AB1146" s="1048" t="e">
        <f t="shared" si="735"/>
        <v>#DIV/0!</v>
      </c>
      <c r="AC1146" s="1048" t="e">
        <f t="shared" si="735"/>
        <v>#DIV/0!</v>
      </c>
      <c r="AD1146" s="1048" t="e">
        <f t="shared" si="735"/>
        <v>#DIV/0!</v>
      </c>
      <c r="AE1146" s="1048" t="e">
        <f t="shared" si="735"/>
        <v>#DIV/0!</v>
      </c>
      <c r="AF1146" s="1048" t="e">
        <f t="shared" si="735"/>
        <v>#DIV/0!</v>
      </c>
      <c r="AG1146" s="1048" t="e">
        <f t="shared" si="735"/>
        <v>#DIV/0!</v>
      </c>
      <c r="AH1146" s="1048" t="e">
        <f t="shared" si="735"/>
        <v>#DIV/0!</v>
      </c>
      <c r="AI1146" s="1048" t="e">
        <f t="shared" si="735"/>
        <v>#DIV/0!</v>
      </c>
      <c r="AJ1146" s="1048" t="e">
        <f t="shared" si="735"/>
        <v>#DIV/0!</v>
      </c>
      <c r="AK1146" s="1048" t="e">
        <f t="shared" si="735"/>
        <v>#DIV/0!</v>
      </c>
      <c r="AL1146" s="1048" t="e">
        <f t="shared" si="735"/>
        <v>#DIV/0!</v>
      </c>
      <c r="AM1146" s="1048" t="e">
        <f t="shared" si="735"/>
        <v>#DIV/0!</v>
      </c>
      <c r="AN1146" s="1048" t="e">
        <f t="shared" si="735"/>
        <v>#DIV/0!</v>
      </c>
      <c r="AO1146" s="1048" t="e">
        <f t="shared" si="735"/>
        <v>#DIV/0!</v>
      </c>
      <c r="AP1146" s="1048" t="e">
        <f t="shared" si="735"/>
        <v>#DIV/0!</v>
      </c>
      <c r="AQ1146" s="1048" t="e">
        <f t="shared" si="735"/>
        <v>#DIV/0!</v>
      </c>
      <c r="AR1146" s="1048" t="e">
        <f t="shared" si="735"/>
        <v>#DIV/0!</v>
      </c>
      <c r="AS1146" s="1048" t="e">
        <f t="shared" ref="AS1146:AY1146" si="736">IF(AS346="",0,IF(OR(1=RANK(AS746,AS$412:AS$790,0),(2=RANK(AS746,AS$412:AS$790,0))),AS746,AS346))</f>
        <v>#DIV/0!</v>
      </c>
      <c r="AT1146" s="1048" t="e">
        <f t="shared" si="736"/>
        <v>#DIV/0!</v>
      </c>
      <c r="AU1146" s="1048">
        <f t="shared" si="736"/>
        <v>0</v>
      </c>
      <c r="AV1146" s="1048" t="e">
        <f t="shared" si="736"/>
        <v>#DIV/0!</v>
      </c>
      <c r="AW1146" s="1048" t="e">
        <f t="shared" si="736"/>
        <v>#DIV/0!</v>
      </c>
      <c r="AX1146" s="1048" t="e">
        <f t="shared" si="736"/>
        <v>#DIV/0!</v>
      </c>
      <c r="AY1146" s="1048" t="e">
        <f t="shared" si="736"/>
        <v>#DIV/0!</v>
      </c>
      <c r="AZ1146" s="1061" t="s">
        <v>21</v>
      </c>
      <c r="BC1146" s="29"/>
      <c r="BD1146" s="29"/>
      <c r="BE1146" s="13"/>
      <c r="BL1146" s="368"/>
    </row>
    <row r="1147" spans="1:64" ht="12" customHeight="1" x14ac:dyDescent="0.2">
      <c r="A1147" s="39">
        <f>acute_overview_children!A347</f>
        <v>4</v>
      </c>
      <c r="B1147" s="23">
        <f t="shared" si="705"/>
        <v>1014010</v>
      </c>
      <c r="C1147" s="23" t="str">
        <f t="shared" si="706"/>
        <v>Goat: Muscle/meat</v>
      </c>
      <c r="D1147" s="135"/>
      <c r="E1147" s="1027"/>
      <c r="F1147" s="87"/>
      <c r="G1147" s="87"/>
      <c r="H1147" s="1027"/>
      <c r="I1147" s="1030"/>
      <c r="J1147" s="1039" t="e">
        <f t="shared" ref="J1147:AR1147" si="737">IF(J347="",0,IF(OR(1=RANK(J747,J$412:J$790,0),(2=RANK(J747,J$412:J$790,0))),J747,J347))</f>
        <v>#DIV/0!</v>
      </c>
      <c r="K1147" s="1040" t="e">
        <f t="shared" si="737"/>
        <v>#DIV/0!</v>
      </c>
      <c r="L1147" s="1040" t="e">
        <f t="shared" si="737"/>
        <v>#DIV/0!</v>
      </c>
      <c r="M1147" s="1040" t="e">
        <f t="shared" si="737"/>
        <v>#DIV/0!</v>
      </c>
      <c r="N1147" s="1040" t="e">
        <f t="shared" si="737"/>
        <v>#DIV/0!</v>
      </c>
      <c r="O1147" s="1040" t="e">
        <f t="shared" si="737"/>
        <v>#DIV/0!</v>
      </c>
      <c r="P1147" s="1040" t="e">
        <f t="shared" si="737"/>
        <v>#DIV/0!</v>
      </c>
      <c r="Q1147" s="1040" t="e">
        <f t="shared" si="737"/>
        <v>#DIV/0!</v>
      </c>
      <c r="R1147" s="1040" t="e">
        <f t="shared" si="737"/>
        <v>#DIV/0!</v>
      </c>
      <c r="S1147" s="1040" t="e">
        <f t="shared" si="737"/>
        <v>#DIV/0!</v>
      </c>
      <c r="T1147" s="1040" t="e">
        <f t="shared" si="737"/>
        <v>#DIV/0!</v>
      </c>
      <c r="U1147" s="1040" t="e">
        <f t="shared" si="737"/>
        <v>#DIV/0!</v>
      </c>
      <c r="V1147" s="1040" t="e">
        <f t="shared" si="737"/>
        <v>#DIV/0!</v>
      </c>
      <c r="W1147" s="1040" t="e">
        <f t="shared" si="737"/>
        <v>#DIV/0!</v>
      </c>
      <c r="X1147" s="1040" t="e">
        <f t="shared" si="737"/>
        <v>#DIV/0!</v>
      </c>
      <c r="Y1147" s="1040" t="e">
        <f t="shared" si="737"/>
        <v>#DIV/0!</v>
      </c>
      <c r="Z1147" s="1040" t="e">
        <f t="shared" si="737"/>
        <v>#DIV/0!</v>
      </c>
      <c r="AA1147" s="1040" t="e">
        <f t="shared" si="737"/>
        <v>#DIV/0!</v>
      </c>
      <c r="AB1147" s="1040" t="e">
        <f t="shared" si="737"/>
        <v>#DIV/0!</v>
      </c>
      <c r="AC1147" s="1040" t="e">
        <f t="shared" si="737"/>
        <v>#DIV/0!</v>
      </c>
      <c r="AD1147" s="1040" t="e">
        <f t="shared" si="737"/>
        <v>#DIV/0!</v>
      </c>
      <c r="AE1147" s="1040" t="e">
        <f t="shared" si="737"/>
        <v>#DIV/0!</v>
      </c>
      <c r="AF1147" s="1040" t="e">
        <f t="shared" si="737"/>
        <v>#DIV/0!</v>
      </c>
      <c r="AG1147" s="1040" t="e">
        <f t="shared" si="737"/>
        <v>#DIV/0!</v>
      </c>
      <c r="AH1147" s="1040" t="e">
        <f t="shared" si="737"/>
        <v>#DIV/0!</v>
      </c>
      <c r="AI1147" s="1040" t="e">
        <f t="shared" si="737"/>
        <v>#DIV/0!</v>
      </c>
      <c r="AJ1147" s="1040" t="e">
        <f t="shared" si="737"/>
        <v>#DIV/0!</v>
      </c>
      <c r="AK1147" s="1040" t="e">
        <f t="shared" si="737"/>
        <v>#DIV/0!</v>
      </c>
      <c r="AL1147" s="1040" t="e">
        <f t="shared" si="737"/>
        <v>#DIV/0!</v>
      </c>
      <c r="AM1147" s="1040" t="e">
        <f t="shared" si="737"/>
        <v>#DIV/0!</v>
      </c>
      <c r="AN1147" s="1040" t="e">
        <f t="shared" si="737"/>
        <v>#DIV/0!</v>
      </c>
      <c r="AO1147" s="1040" t="e">
        <f t="shared" si="737"/>
        <v>#DIV/0!</v>
      </c>
      <c r="AP1147" s="1040" t="e">
        <f t="shared" si="737"/>
        <v>#DIV/0!</v>
      </c>
      <c r="AQ1147" s="1040" t="e">
        <f t="shared" si="737"/>
        <v>#DIV/0!</v>
      </c>
      <c r="AR1147" s="1040" t="e">
        <f t="shared" si="737"/>
        <v>#DIV/0!</v>
      </c>
      <c r="AS1147" s="1040" t="e">
        <f t="shared" ref="AS1147:AY1147" si="738">IF(AS347="",0,IF(OR(1=RANK(AS747,AS$412:AS$790,0),(2=RANK(AS747,AS$412:AS$790,0))),AS747,AS347))</f>
        <v>#DIV/0!</v>
      </c>
      <c r="AT1147" s="1040" t="e">
        <f t="shared" si="738"/>
        <v>#DIV/0!</v>
      </c>
      <c r="AU1147" s="1040">
        <f t="shared" si="738"/>
        <v>0</v>
      </c>
      <c r="AV1147" s="1040" t="e">
        <f t="shared" si="738"/>
        <v>#DIV/0!</v>
      </c>
      <c r="AW1147" s="1040" t="e">
        <f t="shared" si="738"/>
        <v>#DIV/0!</v>
      </c>
      <c r="AX1147" s="1040" t="e">
        <f t="shared" si="738"/>
        <v>#DIV/0!</v>
      </c>
      <c r="AY1147" s="1040" t="e">
        <f t="shared" si="738"/>
        <v>#DIV/0!</v>
      </c>
      <c r="AZ1147" s="1061" t="s">
        <v>21</v>
      </c>
      <c r="BC1147" s="29"/>
      <c r="BD1147" s="29"/>
      <c r="BE1147" s="13"/>
      <c r="BL1147" s="368"/>
    </row>
    <row r="1148" spans="1:64" ht="12" customHeight="1" x14ac:dyDescent="0.2">
      <c r="A1148" s="39">
        <f>acute_overview_children!A348</f>
        <v>4</v>
      </c>
      <c r="B1148" s="23">
        <f t="shared" si="705"/>
        <v>1014020</v>
      </c>
      <c r="C1148" s="23" t="str">
        <f t="shared" si="706"/>
        <v>Goat: Fat tissue</v>
      </c>
      <c r="D1148" s="135"/>
      <c r="E1148" s="1027"/>
      <c r="F1148" s="87"/>
      <c r="G1148" s="87"/>
      <c r="H1148" s="1027"/>
      <c r="I1148" s="1030"/>
      <c r="J1148" s="1039" t="e">
        <f t="shared" ref="J1148:AR1148" si="739">IF(J348="",0,IF(OR(1=RANK(J748,J$412:J$790,0),(2=RANK(J748,J$412:J$790,0))),J748,J348))</f>
        <v>#DIV/0!</v>
      </c>
      <c r="K1148" s="1040" t="e">
        <f t="shared" si="739"/>
        <v>#DIV/0!</v>
      </c>
      <c r="L1148" s="1040" t="e">
        <f t="shared" si="739"/>
        <v>#DIV/0!</v>
      </c>
      <c r="M1148" s="1040" t="e">
        <f t="shared" si="739"/>
        <v>#DIV/0!</v>
      </c>
      <c r="N1148" s="1040" t="e">
        <f t="shared" si="739"/>
        <v>#DIV/0!</v>
      </c>
      <c r="O1148" s="1040" t="e">
        <f t="shared" si="739"/>
        <v>#DIV/0!</v>
      </c>
      <c r="P1148" s="1040" t="e">
        <f t="shared" si="739"/>
        <v>#DIV/0!</v>
      </c>
      <c r="Q1148" s="1040" t="e">
        <f t="shared" si="739"/>
        <v>#DIV/0!</v>
      </c>
      <c r="R1148" s="1040" t="e">
        <f t="shared" si="739"/>
        <v>#DIV/0!</v>
      </c>
      <c r="S1148" s="1040" t="e">
        <f t="shared" si="739"/>
        <v>#DIV/0!</v>
      </c>
      <c r="T1148" s="1040" t="e">
        <f t="shared" si="739"/>
        <v>#DIV/0!</v>
      </c>
      <c r="U1148" s="1040" t="e">
        <f t="shared" si="739"/>
        <v>#DIV/0!</v>
      </c>
      <c r="V1148" s="1040" t="e">
        <f t="shared" si="739"/>
        <v>#DIV/0!</v>
      </c>
      <c r="W1148" s="1040" t="e">
        <f t="shared" si="739"/>
        <v>#DIV/0!</v>
      </c>
      <c r="X1148" s="1040" t="e">
        <f t="shared" si="739"/>
        <v>#DIV/0!</v>
      </c>
      <c r="Y1148" s="1040" t="e">
        <f t="shared" si="739"/>
        <v>#DIV/0!</v>
      </c>
      <c r="Z1148" s="1040" t="e">
        <f t="shared" si="739"/>
        <v>#DIV/0!</v>
      </c>
      <c r="AA1148" s="1040" t="e">
        <f t="shared" si="739"/>
        <v>#DIV/0!</v>
      </c>
      <c r="AB1148" s="1040" t="e">
        <f t="shared" si="739"/>
        <v>#DIV/0!</v>
      </c>
      <c r="AC1148" s="1040" t="e">
        <f t="shared" si="739"/>
        <v>#DIV/0!</v>
      </c>
      <c r="AD1148" s="1040" t="e">
        <f t="shared" si="739"/>
        <v>#DIV/0!</v>
      </c>
      <c r="AE1148" s="1040" t="e">
        <f t="shared" si="739"/>
        <v>#DIV/0!</v>
      </c>
      <c r="AF1148" s="1040" t="e">
        <f t="shared" si="739"/>
        <v>#DIV/0!</v>
      </c>
      <c r="AG1148" s="1040" t="e">
        <f t="shared" si="739"/>
        <v>#DIV/0!</v>
      </c>
      <c r="AH1148" s="1040" t="e">
        <f t="shared" si="739"/>
        <v>#DIV/0!</v>
      </c>
      <c r="AI1148" s="1040" t="e">
        <f t="shared" si="739"/>
        <v>#DIV/0!</v>
      </c>
      <c r="AJ1148" s="1040" t="e">
        <f t="shared" si="739"/>
        <v>#DIV/0!</v>
      </c>
      <c r="AK1148" s="1040" t="e">
        <f t="shared" si="739"/>
        <v>#DIV/0!</v>
      </c>
      <c r="AL1148" s="1040" t="e">
        <f t="shared" si="739"/>
        <v>#DIV/0!</v>
      </c>
      <c r="AM1148" s="1040" t="e">
        <f t="shared" si="739"/>
        <v>#DIV/0!</v>
      </c>
      <c r="AN1148" s="1040" t="e">
        <f t="shared" si="739"/>
        <v>#DIV/0!</v>
      </c>
      <c r="AO1148" s="1040" t="e">
        <f t="shared" si="739"/>
        <v>#DIV/0!</v>
      </c>
      <c r="AP1148" s="1040" t="e">
        <f t="shared" si="739"/>
        <v>#DIV/0!</v>
      </c>
      <c r="AQ1148" s="1040" t="e">
        <f t="shared" si="739"/>
        <v>#DIV/0!</v>
      </c>
      <c r="AR1148" s="1040" t="e">
        <f t="shared" si="739"/>
        <v>#DIV/0!</v>
      </c>
      <c r="AS1148" s="1040" t="e">
        <f t="shared" ref="AS1148:AY1148" si="740">IF(AS348="",0,IF(OR(1=RANK(AS748,AS$412:AS$790,0),(2=RANK(AS748,AS$412:AS$790,0))),AS748,AS348))</f>
        <v>#DIV/0!</v>
      </c>
      <c r="AT1148" s="1040" t="e">
        <f t="shared" si="740"/>
        <v>#DIV/0!</v>
      </c>
      <c r="AU1148" s="1040">
        <f t="shared" si="740"/>
        <v>0</v>
      </c>
      <c r="AV1148" s="1040" t="e">
        <f t="shared" si="740"/>
        <v>#DIV/0!</v>
      </c>
      <c r="AW1148" s="1040" t="e">
        <f t="shared" si="740"/>
        <v>#DIV/0!</v>
      </c>
      <c r="AX1148" s="1040" t="e">
        <f t="shared" si="740"/>
        <v>#DIV/0!</v>
      </c>
      <c r="AY1148" s="1040" t="e">
        <f t="shared" si="740"/>
        <v>#DIV/0!</v>
      </c>
      <c r="AZ1148" s="1061" t="s">
        <v>21</v>
      </c>
      <c r="BC1148" s="29"/>
      <c r="BD1148" s="29"/>
      <c r="BE1148" s="13"/>
      <c r="BL1148" s="368"/>
    </row>
    <row r="1149" spans="1:64" ht="12" customHeight="1" x14ac:dyDescent="0.2">
      <c r="A1149" s="39">
        <f>acute_overview_children!A349</f>
        <v>4</v>
      </c>
      <c r="B1149" s="23">
        <f t="shared" si="705"/>
        <v>1014030</v>
      </c>
      <c r="C1149" s="23" t="str">
        <f t="shared" si="706"/>
        <v>Goat: Liver</v>
      </c>
      <c r="D1149" s="135"/>
      <c r="E1149" s="1027"/>
      <c r="F1149" s="87"/>
      <c r="G1149" s="87"/>
      <c r="H1149" s="1027"/>
      <c r="I1149" s="1030"/>
      <c r="J1149" s="1039" t="e">
        <f t="shared" ref="J1149:AR1149" si="741">IF(J349="",0,IF(OR(1=RANK(J749,J$412:J$790,0),(2=RANK(J749,J$412:J$790,0))),J749,J349))</f>
        <v>#DIV/0!</v>
      </c>
      <c r="K1149" s="1040" t="e">
        <f t="shared" si="741"/>
        <v>#DIV/0!</v>
      </c>
      <c r="L1149" s="1040" t="e">
        <f t="shared" si="741"/>
        <v>#DIV/0!</v>
      </c>
      <c r="M1149" s="1040" t="e">
        <f t="shared" si="741"/>
        <v>#DIV/0!</v>
      </c>
      <c r="N1149" s="1040" t="e">
        <f t="shared" si="741"/>
        <v>#DIV/0!</v>
      </c>
      <c r="O1149" s="1040" t="e">
        <f t="shared" si="741"/>
        <v>#DIV/0!</v>
      </c>
      <c r="P1149" s="1040" t="e">
        <f t="shared" si="741"/>
        <v>#DIV/0!</v>
      </c>
      <c r="Q1149" s="1040" t="e">
        <f t="shared" si="741"/>
        <v>#DIV/0!</v>
      </c>
      <c r="R1149" s="1040" t="e">
        <f t="shared" si="741"/>
        <v>#DIV/0!</v>
      </c>
      <c r="S1149" s="1040" t="e">
        <f t="shared" si="741"/>
        <v>#DIV/0!</v>
      </c>
      <c r="T1149" s="1040" t="e">
        <f t="shared" si="741"/>
        <v>#DIV/0!</v>
      </c>
      <c r="U1149" s="1040" t="e">
        <f t="shared" si="741"/>
        <v>#DIV/0!</v>
      </c>
      <c r="V1149" s="1040" t="e">
        <f t="shared" si="741"/>
        <v>#DIV/0!</v>
      </c>
      <c r="W1149" s="1040" t="e">
        <f t="shared" si="741"/>
        <v>#DIV/0!</v>
      </c>
      <c r="X1149" s="1040" t="e">
        <f t="shared" si="741"/>
        <v>#DIV/0!</v>
      </c>
      <c r="Y1149" s="1040" t="e">
        <f t="shared" si="741"/>
        <v>#DIV/0!</v>
      </c>
      <c r="Z1149" s="1040" t="e">
        <f t="shared" si="741"/>
        <v>#DIV/0!</v>
      </c>
      <c r="AA1149" s="1040" t="e">
        <f t="shared" si="741"/>
        <v>#DIV/0!</v>
      </c>
      <c r="AB1149" s="1040" t="e">
        <f t="shared" si="741"/>
        <v>#DIV/0!</v>
      </c>
      <c r="AC1149" s="1040" t="e">
        <f t="shared" si="741"/>
        <v>#DIV/0!</v>
      </c>
      <c r="AD1149" s="1040" t="e">
        <f t="shared" si="741"/>
        <v>#DIV/0!</v>
      </c>
      <c r="AE1149" s="1040" t="e">
        <f t="shared" si="741"/>
        <v>#DIV/0!</v>
      </c>
      <c r="AF1149" s="1040" t="e">
        <f t="shared" si="741"/>
        <v>#DIV/0!</v>
      </c>
      <c r="AG1149" s="1040" t="e">
        <f t="shared" si="741"/>
        <v>#DIV/0!</v>
      </c>
      <c r="AH1149" s="1040" t="e">
        <f t="shared" si="741"/>
        <v>#DIV/0!</v>
      </c>
      <c r="AI1149" s="1040" t="e">
        <f t="shared" si="741"/>
        <v>#DIV/0!</v>
      </c>
      <c r="AJ1149" s="1040" t="e">
        <f t="shared" si="741"/>
        <v>#DIV/0!</v>
      </c>
      <c r="AK1149" s="1040" t="e">
        <f t="shared" si="741"/>
        <v>#DIV/0!</v>
      </c>
      <c r="AL1149" s="1040" t="e">
        <f t="shared" si="741"/>
        <v>#DIV/0!</v>
      </c>
      <c r="AM1149" s="1040" t="e">
        <f t="shared" si="741"/>
        <v>#DIV/0!</v>
      </c>
      <c r="AN1149" s="1040" t="e">
        <f t="shared" si="741"/>
        <v>#DIV/0!</v>
      </c>
      <c r="AO1149" s="1040" t="e">
        <f t="shared" si="741"/>
        <v>#DIV/0!</v>
      </c>
      <c r="AP1149" s="1040" t="e">
        <f t="shared" si="741"/>
        <v>#DIV/0!</v>
      </c>
      <c r="AQ1149" s="1040" t="e">
        <f t="shared" si="741"/>
        <v>#DIV/0!</v>
      </c>
      <c r="AR1149" s="1040" t="e">
        <f t="shared" si="741"/>
        <v>#DIV/0!</v>
      </c>
      <c r="AS1149" s="1040" t="e">
        <f t="shared" ref="AS1149:AY1149" si="742">IF(AS349="",0,IF(OR(1=RANK(AS749,AS$412:AS$790,0),(2=RANK(AS749,AS$412:AS$790,0))),AS749,AS349))</f>
        <v>#DIV/0!</v>
      </c>
      <c r="AT1149" s="1040" t="e">
        <f t="shared" si="742"/>
        <v>#DIV/0!</v>
      </c>
      <c r="AU1149" s="1040">
        <f t="shared" si="742"/>
        <v>0</v>
      </c>
      <c r="AV1149" s="1040" t="e">
        <f t="shared" si="742"/>
        <v>#DIV/0!</v>
      </c>
      <c r="AW1149" s="1040" t="e">
        <f t="shared" si="742"/>
        <v>#DIV/0!</v>
      </c>
      <c r="AX1149" s="1040" t="e">
        <f t="shared" si="742"/>
        <v>#DIV/0!</v>
      </c>
      <c r="AY1149" s="1040" t="e">
        <f t="shared" si="742"/>
        <v>#DIV/0!</v>
      </c>
      <c r="AZ1149" s="1061" t="s">
        <v>21</v>
      </c>
      <c r="BC1149" s="29"/>
      <c r="BD1149" s="29"/>
      <c r="BE1149" s="13"/>
      <c r="BL1149" s="368"/>
    </row>
    <row r="1150" spans="1:64" ht="12" customHeight="1" x14ac:dyDescent="0.2">
      <c r="A1150" s="39">
        <f>acute_overview_children!A350</f>
        <v>4</v>
      </c>
      <c r="B1150" s="23">
        <f t="shared" si="705"/>
        <v>1014040</v>
      </c>
      <c r="C1150" s="23" t="str">
        <f t="shared" si="706"/>
        <v>Goat: Kidney</v>
      </c>
      <c r="D1150" s="135"/>
      <c r="E1150" s="1027"/>
      <c r="F1150" s="87"/>
      <c r="G1150" s="87"/>
      <c r="H1150" s="1027"/>
      <c r="I1150" s="1030"/>
      <c r="J1150" s="1039" t="e">
        <f t="shared" ref="J1150:AR1150" si="743">IF(J350="",0,IF(OR(1=RANK(J750,J$412:J$790,0),(2=RANK(J750,J$412:J$790,0))),J750,J350))</f>
        <v>#DIV/0!</v>
      </c>
      <c r="K1150" s="1040" t="e">
        <f t="shared" si="743"/>
        <v>#DIV/0!</v>
      </c>
      <c r="L1150" s="1040" t="e">
        <f t="shared" si="743"/>
        <v>#DIV/0!</v>
      </c>
      <c r="M1150" s="1040" t="e">
        <f t="shared" si="743"/>
        <v>#DIV/0!</v>
      </c>
      <c r="N1150" s="1040" t="e">
        <f t="shared" si="743"/>
        <v>#DIV/0!</v>
      </c>
      <c r="O1150" s="1040" t="e">
        <f t="shared" si="743"/>
        <v>#DIV/0!</v>
      </c>
      <c r="P1150" s="1040" t="e">
        <f t="shared" si="743"/>
        <v>#DIV/0!</v>
      </c>
      <c r="Q1150" s="1040" t="e">
        <f t="shared" si="743"/>
        <v>#DIV/0!</v>
      </c>
      <c r="R1150" s="1040" t="e">
        <f t="shared" si="743"/>
        <v>#DIV/0!</v>
      </c>
      <c r="S1150" s="1040" t="e">
        <f t="shared" si="743"/>
        <v>#DIV/0!</v>
      </c>
      <c r="T1150" s="1040" t="e">
        <f t="shared" si="743"/>
        <v>#DIV/0!</v>
      </c>
      <c r="U1150" s="1040" t="e">
        <f t="shared" si="743"/>
        <v>#DIV/0!</v>
      </c>
      <c r="V1150" s="1040" t="e">
        <f t="shared" si="743"/>
        <v>#DIV/0!</v>
      </c>
      <c r="W1150" s="1040" t="e">
        <f t="shared" si="743"/>
        <v>#DIV/0!</v>
      </c>
      <c r="X1150" s="1040" t="e">
        <f t="shared" si="743"/>
        <v>#DIV/0!</v>
      </c>
      <c r="Y1150" s="1040" t="e">
        <f t="shared" si="743"/>
        <v>#DIV/0!</v>
      </c>
      <c r="Z1150" s="1040" t="e">
        <f t="shared" si="743"/>
        <v>#DIV/0!</v>
      </c>
      <c r="AA1150" s="1040" t="e">
        <f t="shared" si="743"/>
        <v>#DIV/0!</v>
      </c>
      <c r="AB1150" s="1040" t="e">
        <f t="shared" si="743"/>
        <v>#DIV/0!</v>
      </c>
      <c r="AC1150" s="1040" t="e">
        <f t="shared" si="743"/>
        <v>#DIV/0!</v>
      </c>
      <c r="AD1150" s="1040" t="e">
        <f t="shared" si="743"/>
        <v>#DIV/0!</v>
      </c>
      <c r="AE1150" s="1040" t="e">
        <f t="shared" si="743"/>
        <v>#DIV/0!</v>
      </c>
      <c r="AF1150" s="1040" t="e">
        <f t="shared" si="743"/>
        <v>#DIV/0!</v>
      </c>
      <c r="AG1150" s="1040" t="e">
        <f t="shared" si="743"/>
        <v>#DIV/0!</v>
      </c>
      <c r="AH1150" s="1040" t="e">
        <f t="shared" si="743"/>
        <v>#DIV/0!</v>
      </c>
      <c r="AI1150" s="1040" t="e">
        <f t="shared" si="743"/>
        <v>#DIV/0!</v>
      </c>
      <c r="AJ1150" s="1040" t="e">
        <f t="shared" si="743"/>
        <v>#DIV/0!</v>
      </c>
      <c r="AK1150" s="1040" t="e">
        <f t="shared" si="743"/>
        <v>#DIV/0!</v>
      </c>
      <c r="AL1150" s="1040" t="e">
        <f t="shared" si="743"/>
        <v>#DIV/0!</v>
      </c>
      <c r="AM1150" s="1040" t="e">
        <f t="shared" si="743"/>
        <v>#DIV/0!</v>
      </c>
      <c r="AN1150" s="1040" t="e">
        <f t="shared" si="743"/>
        <v>#DIV/0!</v>
      </c>
      <c r="AO1150" s="1040" t="e">
        <f t="shared" si="743"/>
        <v>#DIV/0!</v>
      </c>
      <c r="AP1150" s="1040" t="e">
        <f t="shared" si="743"/>
        <v>#DIV/0!</v>
      </c>
      <c r="AQ1150" s="1040" t="e">
        <f t="shared" si="743"/>
        <v>#DIV/0!</v>
      </c>
      <c r="AR1150" s="1040" t="e">
        <f t="shared" si="743"/>
        <v>#DIV/0!</v>
      </c>
      <c r="AS1150" s="1040" t="e">
        <f t="shared" ref="AS1150:AY1150" si="744">IF(AS350="",0,IF(OR(1=RANK(AS750,AS$412:AS$790,0),(2=RANK(AS750,AS$412:AS$790,0))),AS750,AS350))</f>
        <v>#DIV/0!</v>
      </c>
      <c r="AT1150" s="1040" t="e">
        <f t="shared" si="744"/>
        <v>#DIV/0!</v>
      </c>
      <c r="AU1150" s="1040">
        <f t="shared" si="744"/>
        <v>0</v>
      </c>
      <c r="AV1150" s="1040" t="e">
        <f t="shared" si="744"/>
        <v>#DIV/0!</v>
      </c>
      <c r="AW1150" s="1040" t="e">
        <f t="shared" si="744"/>
        <v>#DIV/0!</v>
      </c>
      <c r="AX1150" s="1040" t="e">
        <f t="shared" si="744"/>
        <v>#DIV/0!</v>
      </c>
      <c r="AY1150" s="1040" t="e">
        <f t="shared" si="744"/>
        <v>#DIV/0!</v>
      </c>
      <c r="AZ1150" s="1061" t="s">
        <v>21</v>
      </c>
      <c r="BC1150" s="29"/>
      <c r="BD1150" s="29"/>
      <c r="BE1150" s="13"/>
      <c r="BL1150" s="368"/>
    </row>
    <row r="1151" spans="1:64" ht="12" customHeight="1" x14ac:dyDescent="0.2">
      <c r="A1151" s="39">
        <f>acute_overview_children!A351</f>
        <v>4</v>
      </c>
      <c r="B1151" s="23">
        <f t="shared" si="705"/>
        <v>1014050</v>
      </c>
      <c r="C1151" s="23" t="str">
        <f t="shared" si="706"/>
        <v>Goat: Edible offals (other tha liver and kindey)</v>
      </c>
      <c r="D1151" s="135"/>
      <c r="E1151" s="1027"/>
      <c r="F1151" s="87"/>
      <c r="G1151" s="87"/>
      <c r="H1151" s="1027"/>
      <c r="I1151" s="1030"/>
      <c r="J1151" s="1039" t="e">
        <f t="shared" ref="J1151:AR1151" si="745">IF(J351="",0,IF(OR(1=RANK(J751,J$412:J$790,0),(2=RANK(J751,J$412:J$790,0))),J751,J351))</f>
        <v>#DIV/0!</v>
      </c>
      <c r="K1151" s="1040" t="e">
        <f t="shared" si="745"/>
        <v>#DIV/0!</v>
      </c>
      <c r="L1151" s="1040" t="e">
        <f t="shared" si="745"/>
        <v>#DIV/0!</v>
      </c>
      <c r="M1151" s="1040" t="e">
        <f t="shared" si="745"/>
        <v>#DIV/0!</v>
      </c>
      <c r="N1151" s="1040" t="e">
        <f t="shared" si="745"/>
        <v>#DIV/0!</v>
      </c>
      <c r="O1151" s="1040" t="e">
        <f t="shared" si="745"/>
        <v>#DIV/0!</v>
      </c>
      <c r="P1151" s="1040" t="e">
        <f t="shared" si="745"/>
        <v>#DIV/0!</v>
      </c>
      <c r="Q1151" s="1040" t="e">
        <f t="shared" si="745"/>
        <v>#DIV/0!</v>
      </c>
      <c r="R1151" s="1040" t="e">
        <f t="shared" si="745"/>
        <v>#DIV/0!</v>
      </c>
      <c r="S1151" s="1040" t="e">
        <f t="shared" si="745"/>
        <v>#DIV/0!</v>
      </c>
      <c r="T1151" s="1040" t="e">
        <f t="shared" si="745"/>
        <v>#DIV/0!</v>
      </c>
      <c r="U1151" s="1040" t="e">
        <f t="shared" si="745"/>
        <v>#DIV/0!</v>
      </c>
      <c r="V1151" s="1040" t="e">
        <f t="shared" si="745"/>
        <v>#DIV/0!</v>
      </c>
      <c r="W1151" s="1040" t="e">
        <f t="shared" si="745"/>
        <v>#DIV/0!</v>
      </c>
      <c r="X1151" s="1040" t="e">
        <f t="shared" si="745"/>
        <v>#DIV/0!</v>
      </c>
      <c r="Y1151" s="1040" t="e">
        <f t="shared" si="745"/>
        <v>#DIV/0!</v>
      </c>
      <c r="Z1151" s="1040" t="e">
        <f t="shared" si="745"/>
        <v>#DIV/0!</v>
      </c>
      <c r="AA1151" s="1040" t="e">
        <f t="shared" si="745"/>
        <v>#DIV/0!</v>
      </c>
      <c r="AB1151" s="1040" t="e">
        <f t="shared" si="745"/>
        <v>#DIV/0!</v>
      </c>
      <c r="AC1151" s="1040" t="e">
        <f t="shared" si="745"/>
        <v>#DIV/0!</v>
      </c>
      <c r="AD1151" s="1040" t="e">
        <f t="shared" si="745"/>
        <v>#DIV/0!</v>
      </c>
      <c r="AE1151" s="1040" t="e">
        <f t="shared" si="745"/>
        <v>#DIV/0!</v>
      </c>
      <c r="AF1151" s="1040" t="e">
        <f t="shared" si="745"/>
        <v>#DIV/0!</v>
      </c>
      <c r="AG1151" s="1040" t="e">
        <f t="shared" si="745"/>
        <v>#DIV/0!</v>
      </c>
      <c r="AH1151" s="1040" t="e">
        <f t="shared" si="745"/>
        <v>#DIV/0!</v>
      </c>
      <c r="AI1151" s="1040" t="e">
        <f t="shared" si="745"/>
        <v>#DIV/0!</v>
      </c>
      <c r="AJ1151" s="1040" t="e">
        <f t="shared" si="745"/>
        <v>#DIV/0!</v>
      </c>
      <c r="AK1151" s="1040" t="e">
        <f t="shared" si="745"/>
        <v>#DIV/0!</v>
      </c>
      <c r="AL1151" s="1040" t="e">
        <f t="shared" si="745"/>
        <v>#DIV/0!</v>
      </c>
      <c r="AM1151" s="1040" t="e">
        <f t="shared" si="745"/>
        <v>#DIV/0!</v>
      </c>
      <c r="AN1151" s="1040" t="e">
        <f t="shared" si="745"/>
        <v>#DIV/0!</v>
      </c>
      <c r="AO1151" s="1040" t="e">
        <f t="shared" si="745"/>
        <v>#DIV/0!</v>
      </c>
      <c r="AP1151" s="1040" t="e">
        <f t="shared" si="745"/>
        <v>#DIV/0!</v>
      </c>
      <c r="AQ1151" s="1040" t="e">
        <f t="shared" si="745"/>
        <v>#DIV/0!</v>
      </c>
      <c r="AR1151" s="1040" t="e">
        <f t="shared" si="745"/>
        <v>#DIV/0!</v>
      </c>
      <c r="AS1151" s="1040" t="e">
        <f t="shared" ref="AS1151:AY1151" si="746">IF(AS351="",0,IF(OR(1=RANK(AS751,AS$412:AS$790,0),(2=RANK(AS751,AS$412:AS$790,0))),AS751,AS351))</f>
        <v>#DIV/0!</v>
      </c>
      <c r="AT1151" s="1040" t="e">
        <f t="shared" si="746"/>
        <v>#DIV/0!</v>
      </c>
      <c r="AU1151" s="1040">
        <f t="shared" si="746"/>
        <v>0</v>
      </c>
      <c r="AV1151" s="1040" t="e">
        <f t="shared" si="746"/>
        <v>#DIV/0!</v>
      </c>
      <c r="AW1151" s="1040" t="e">
        <f t="shared" si="746"/>
        <v>#DIV/0!</v>
      </c>
      <c r="AX1151" s="1040" t="e">
        <f t="shared" si="746"/>
        <v>#DIV/0!</v>
      </c>
      <c r="AY1151" s="1040" t="e">
        <f t="shared" si="746"/>
        <v>#DIV/0!</v>
      </c>
      <c r="AZ1151" s="1061" t="s">
        <v>21</v>
      </c>
      <c r="BC1151" s="29"/>
      <c r="BD1151" s="29"/>
      <c r="BE1151" s="13"/>
      <c r="BL1151" s="368"/>
    </row>
    <row r="1152" spans="1:64" ht="12" customHeight="1" x14ac:dyDescent="0.2">
      <c r="A1152" s="39">
        <f>acute_overview_children!A352</f>
        <v>4</v>
      </c>
      <c r="B1152" s="23">
        <f t="shared" si="705"/>
        <v>1014990</v>
      </c>
      <c r="C1152" s="23" t="str">
        <f t="shared" si="706"/>
        <v>Goat: other products</v>
      </c>
      <c r="D1152" s="135"/>
      <c r="E1152" s="1027"/>
      <c r="F1152" s="87"/>
      <c r="G1152" s="87"/>
      <c r="H1152" s="1027"/>
      <c r="I1152" s="1030"/>
      <c r="J1152" s="1039" t="e">
        <f t="shared" ref="J1152:AR1152" si="747">IF(J352="",0,IF(OR(1=RANK(J752,J$412:J$790,0),(2=RANK(J752,J$412:J$790,0))),J752,J352))</f>
        <v>#DIV/0!</v>
      </c>
      <c r="K1152" s="1040" t="e">
        <f t="shared" si="747"/>
        <v>#DIV/0!</v>
      </c>
      <c r="L1152" s="1040" t="e">
        <f t="shared" si="747"/>
        <v>#DIV/0!</v>
      </c>
      <c r="M1152" s="1040" t="e">
        <f t="shared" si="747"/>
        <v>#DIV/0!</v>
      </c>
      <c r="N1152" s="1040" t="e">
        <f t="shared" si="747"/>
        <v>#DIV/0!</v>
      </c>
      <c r="O1152" s="1040" t="e">
        <f t="shared" si="747"/>
        <v>#DIV/0!</v>
      </c>
      <c r="P1152" s="1040" t="e">
        <f t="shared" si="747"/>
        <v>#DIV/0!</v>
      </c>
      <c r="Q1152" s="1040" t="e">
        <f t="shared" si="747"/>
        <v>#DIV/0!</v>
      </c>
      <c r="R1152" s="1040" t="e">
        <f t="shared" si="747"/>
        <v>#DIV/0!</v>
      </c>
      <c r="S1152" s="1040" t="e">
        <f t="shared" si="747"/>
        <v>#DIV/0!</v>
      </c>
      <c r="T1152" s="1040" t="e">
        <f t="shared" si="747"/>
        <v>#DIV/0!</v>
      </c>
      <c r="U1152" s="1040" t="e">
        <f t="shared" si="747"/>
        <v>#DIV/0!</v>
      </c>
      <c r="V1152" s="1040" t="e">
        <f t="shared" si="747"/>
        <v>#DIV/0!</v>
      </c>
      <c r="W1152" s="1040" t="e">
        <f t="shared" si="747"/>
        <v>#DIV/0!</v>
      </c>
      <c r="X1152" s="1040" t="e">
        <f t="shared" si="747"/>
        <v>#DIV/0!</v>
      </c>
      <c r="Y1152" s="1040" t="e">
        <f t="shared" si="747"/>
        <v>#DIV/0!</v>
      </c>
      <c r="Z1152" s="1040" t="e">
        <f t="shared" si="747"/>
        <v>#DIV/0!</v>
      </c>
      <c r="AA1152" s="1040" t="e">
        <f t="shared" si="747"/>
        <v>#DIV/0!</v>
      </c>
      <c r="AB1152" s="1040" t="e">
        <f t="shared" si="747"/>
        <v>#DIV/0!</v>
      </c>
      <c r="AC1152" s="1040" t="e">
        <f t="shared" si="747"/>
        <v>#DIV/0!</v>
      </c>
      <c r="AD1152" s="1040" t="e">
        <f t="shared" si="747"/>
        <v>#DIV/0!</v>
      </c>
      <c r="AE1152" s="1040" t="e">
        <f t="shared" si="747"/>
        <v>#DIV/0!</v>
      </c>
      <c r="AF1152" s="1040" t="e">
        <f t="shared" si="747"/>
        <v>#DIV/0!</v>
      </c>
      <c r="AG1152" s="1040" t="e">
        <f t="shared" si="747"/>
        <v>#DIV/0!</v>
      </c>
      <c r="AH1152" s="1040" t="e">
        <f t="shared" si="747"/>
        <v>#DIV/0!</v>
      </c>
      <c r="AI1152" s="1040" t="e">
        <f t="shared" si="747"/>
        <v>#DIV/0!</v>
      </c>
      <c r="AJ1152" s="1040" t="e">
        <f t="shared" si="747"/>
        <v>#DIV/0!</v>
      </c>
      <c r="AK1152" s="1040" t="e">
        <f t="shared" si="747"/>
        <v>#DIV/0!</v>
      </c>
      <c r="AL1152" s="1040" t="e">
        <f t="shared" si="747"/>
        <v>#DIV/0!</v>
      </c>
      <c r="AM1152" s="1040" t="e">
        <f t="shared" si="747"/>
        <v>#DIV/0!</v>
      </c>
      <c r="AN1152" s="1040" t="e">
        <f t="shared" si="747"/>
        <v>#DIV/0!</v>
      </c>
      <c r="AO1152" s="1040" t="e">
        <f t="shared" si="747"/>
        <v>#DIV/0!</v>
      </c>
      <c r="AP1152" s="1040" t="e">
        <f t="shared" si="747"/>
        <v>#DIV/0!</v>
      </c>
      <c r="AQ1152" s="1040" t="e">
        <f t="shared" si="747"/>
        <v>#DIV/0!</v>
      </c>
      <c r="AR1152" s="1040" t="e">
        <f t="shared" si="747"/>
        <v>#DIV/0!</v>
      </c>
      <c r="AS1152" s="1040" t="e">
        <f t="shared" ref="AS1152:AY1152" si="748">IF(AS352="",0,IF(OR(1=RANK(AS752,AS$412:AS$790,0),(2=RANK(AS752,AS$412:AS$790,0))),AS752,AS352))</f>
        <v>#DIV/0!</v>
      </c>
      <c r="AT1152" s="1040" t="e">
        <f t="shared" si="748"/>
        <v>#DIV/0!</v>
      </c>
      <c r="AU1152" s="1040">
        <f t="shared" si="748"/>
        <v>0</v>
      </c>
      <c r="AV1152" s="1040" t="e">
        <f t="shared" si="748"/>
        <v>#DIV/0!</v>
      </c>
      <c r="AW1152" s="1040" t="e">
        <f t="shared" si="748"/>
        <v>#DIV/0!</v>
      </c>
      <c r="AX1152" s="1040" t="e">
        <f t="shared" si="748"/>
        <v>#DIV/0!</v>
      </c>
      <c r="AY1152" s="1040" t="e">
        <f t="shared" si="748"/>
        <v>#DIV/0!</v>
      </c>
      <c r="AZ1152" s="1061" t="s">
        <v>21</v>
      </c>
      <c r="BC1152" s="29"/>
      <c r="BD1152" s="29"/>
      <c r="BE1152" s="13"/>
      <c r="BL1152" s="368"/>
    </row>
    <row r="1153" spans="1:64" ht="12" customHeight="1" x14ac:dyDescent="0.2">
      <c r="A1153" s="133">
        <f>acute_overview_children!A353</f>
        <v>3</v>
      </c>
      <c r="B1153" s="5">
        <f t="shared" si="705"/>
        <v>1015000</v>
      </c>
      <c r="C1153" s="5" t="str">
        <f t="shared" si="706"/>
        <v>Equine</v>
      </c>
      <c r="D1153" s="135"/>
      <c r="E1153" s="1027"/>
      <c r="F1153" s="87"/>
      <c r="G1153" s="87"/>
      <c r="H1153" s="1027"/>
      <c r="I1153" s="1030"/>
      <c r="J1153" s="1047" t="e">
        <f t="shared" ref="J1153:AR1153" si="749">IF(J353="",0,IF(OR(1=RANK(J753,J$412:J$790,0),(2=RANK(J753,J$412:J$790,0))),J753,J353))</f>
        <v>#DIV/0!</v>
      </c>
      <c r="K1153" s="1048" t="e">
        <f t="shared" si="749"/>
        <v>#DIV/0!</v>
      </c>
      <c r="L1153" s="1048" t="e">
        <f t="shared" si="749"/>
        <v>#DIV/0!</v>
      </c>
      <c r="M1153" s="1048" t="e">
        <f t="shared" si="749"/>
        <v>#DIV/0!</v>
      </c>
      <c r="N1153" s="1048" t="e">
        <f t="shared" si="749"/>
        <v>#DIV/0!</v>
      </c>
      <c r="O1153" s="1048" t="e">
        <f t="shared" si="749"/>
        <v>#DIV/0!</v>
      </c>
      <c r="P1153" s="1048" t="e">
        <f t="shared" si="749"/>
        <v>#DIV/0!</v>
      </c>
      <c r="Q1153" s="1048" t="e">
        <f t="shared" si="749"/>
        <v>#DIV/0!</v>
      </c>
      <c r="R1153" s="1048" t="e">
        <f t="shared" si="749"/>
        <v>#DIV/0!</v>
      </c>
      <c r="S1153" s="1048" t="e">
        <f t="shared" si="749"/>
        <v>#DIV/0!</v>
      </c>
      <c r="T1153" s="1048" t="e">
        <f t="shared" si="749"/>
        <v>#DIV/0!</v>
      </c>
      <c r="U1153" s="1048" t="e">
        <f t="shared" si="749"/>
        <v>#DIV/0!</v>
      </c>
      <c r="V1153" s="1048" t="e">
        <f t="shared" si="749"/>
        <v>#DIV/0!</v>
      </c>
      <c r="W1153" s="1048" t="e">
        <f t="shared" si="749"/>
        <v>#DIV/0!</v>
      </c>
      <c r="X1153" s="1048" t="e">
        <f t="shared" si="749"/>
        <v>#DIV/0!</v>
      </c>
      <c r="Y1153" s="1048" t="e">
        <f t="shared" si="749"/>
        <v>#DIV/0!</v>
      </c>
      <c r="Z1153" s="1048" t="e">
        <f t="shared" si="749"/>
        <v>#DIV/0!</v>
      </c>
      <c r="AA1153" s="1048" t="e">
        <f t="shared" si="749"/>
        <v>#DIV/0!</v>
      </c>
      <c r="AB1153" s="1048" t="e">
        <f t="shared" si="749"/>
        <v>#DIV/0!</v>
      </c>
      <c r="AC1153" s="1048" t="e">
        <f t="shared" si="749"/>
        <v>#DIV/0!</v>
      </c>
      <c r="AD1153" s="1048" t="e">
        <f t="shared" si="749"/>
        <v>#DIV/0!</v>
      </c>
      <c r="AE1153" s="1048" t="e">
        <f t="shared" si="749"/>
        <v>#DIV/0!</v>
      </c>
      <c r="AF1153" s="1048" t="e">
        <f t="shared" si="749"/>
        <v>#DIV/0!</v>
      </c>
      <c r="AG1153" s="1048" t="e">
        <f t="shared" si="749"/>
        <v>#DIV/0!</v>
      </c>
      <c r="AH1153" s="1048" t="e">
        <f t="shared" si="749"/>
        <v>#DIV/0!</v>
      </c>
      <c r="AI1153" s="1048" t="e">
        <f t="shared" si="749"/>
        <v>#DIV/0!</v>
      </c>
      <c r="AJ1153" s="1048" t="e">
        <f t="shared" si="749"/>
        <v>#DIV/0!</v>
      </c>
      <c r="AK1153" s="1048" t="e">
        <f t="shared" si="749"/>
        <v>#DIV/0!</v>
      </c>
      <c r="AL1153" s="1048" t="e">
        <f t="shared" si="749"/>
        <v>#DIV/0!</v>
      </c>
      <c r="AM1153" s="1048" t="e">
        <f t="shared" si="749"/>
        <v>#DIV/0!</v>
      </c>
      <c r="AN1153" s="1048" t="e">
        <f t="shared" si="749"/>
        <v>#DIV/0!</v>
      </c>
      <c r="AO1153" s="1048" t="e">
        <f t="shared" si="749"/>
        <v>#DIV/0!</v>
      </c>
      <c r="AP1153" s="1048" t="e">
        <f t="shared" si="749"/>
        <v>#DIV/0!</v>
      </c>
      <c r="AQ1153" s="1048" t="e">
        <f t="shared" si="749"/>
        <v>#DIV/0!</v>
      </c>
      <c r="AR1153" s="1048" t="e">
        <f t="shared" si="749"/>
        <v>#DIV/0!</v>
      </c>
      <c r="AS1153" s="1048" t="e">
        <f t="shared" ref="AS1153:AY1153" si="750">IF(AS353="",0,IF(OR(1=RANK(AS753,AS$412:AS$790,0),(2=RANK(AS753,AS$412:AS$790,0))),AS753,AS353))</f>
        <v>#DIV/0!</v>
      </c>
      <c r="AT1153" s="1048" t="e">
        <f t="shared" si="750"/>
        <v>#DIV/0!</v>
      </c>
      <c r="AU1153" s="1048">
        <f t="shared" si="750"/>
        <v>0</v>
      </c>
      <c r="AV1153" s="1048" t="e">
        <f t="shared" si="750"/>
        <v>#DIV/0!</v>
      </c>
      <c r="AW1153" s="1048" t="e">
        <f t="shared" si="750"/>
        <v>#DIV/0!</v>
      </c>
      <c r="AX1153" s="1048" t="e">
        <f t="shared" si="750"/>
        <v>#DIV/0!</v>
      </c>
      <c r="AY1153" s="1048" t="e">
        <f t="shared" si="750"/>
        <v>#DIV/0!</v>
      </c>
      <c r="AZ1153" s="1061" t="s">
        <v>21</v>
      </c>
      <c r="BC1153" s="29"/>
      <c r="BD1153" s="29"/>
      <c r="BE1153" s="13"/>
      <c r="BL1153" s="368"/>
    </row>
    <row r="1154" spans="1:64" ht="12" customHeight="1" x14ac:dyDescent="0.2">
      <c r="A1154" s="39">
        <f>acute_overview_children!A354</f>
        <v>4</v>
      </c>
      <c r="B1154" s="23">
        <f t="shared" si="705"/>
        <v>1015010</v>
      </c>
      <c r="C1154" s="23" t="str">
        <f t="shared" si="706"/>
        <v>Equine: Muscle/meat</v>
      </c>
      <c r="D1154" s="135"/>
      <c r="E1154" s="1027"/>
      <c r="F1154" s="87"/>
      <c r="G1154" s="87"/>
      <c r="H1154" s="1027"/>
      <c r="I1154" s="1030"/>
      <c r="J1154" s="1039" t="e">
        <f t="shared" ref="J1154:AR1154" si="751">IF(J354="",0,IF(OR(1=RANK(J754,J$412:J$790,0),(2=RANK(J754,J$412:J$790,0))),J754,J354))</f>
        <v>#DIV/0!</v>
      </c>
      <c r="K1154" s="1040" t="e">
        <f t="shared" si="751"/>
        <v>#DIV/0!</v>
      </c>
      <c r="L1154" s="1040" t="e">
        <f t="shared" si="751"/>
        <v>#DIV/0!</v>
      </c>
      <c r="M1154" s="1040" t="e">
        <f t="shared" si="751"/>
        <v>#DIV/0!</v>
      </c>
      <c r="N1154" s="1040" t="e">
        <f t="shared" si="751"/>
        <v>#DIV/0!</v>
      </c>
      <c r="O1154" s="1040" t="e">
        <f t="shared" si="751"/>
        <v>#DIV/0!</v>
      </c>
      <c r="P1154" s="1040" t="e">
        <f t="shared" si="751"/>
        <v>#DIV/0!</v>
      </c>
      <c r="Q1154" s="1040" t="e">
        <f t="shared" si="751"/>
        <v>#DIV/0!</v>
      </c>
      <c r="R1154" s="1040" t="e">
        <f t="shared" si="751"/>
        <v>#DIV/0!</v>
      </c>
      <c r="S1154" s="1040" t="e">
        <f t="shared" si="751"/>
        <v>#DIV/0!</v>
      </c>
      <c r="T1154" s="1040" t="e">
        <f t="shared" si="751"/>
        <v>#DIV/0!</v>
      </c>
      <c r="U1154" s="1040" t="e">
        <f t="shared" si="751"/>
        <v>#DIV/0!</v>
      </c>
      <c r="V1154" s="1040" t="e">
        <f t="shared" si="751"/>
        <v>#DIV/0!</v>
      </c>
      <c r="W1154" s="1040" t="e">
        <f t="shared" si="751"/>
        <v>#DIV/0!</v>
      </c>
      <c r="X1154" s="1040" t="e">
        <f t="shared" si="751"/>
        <v>#DIV/0!</v>
      </c>
      <c r="Y1154" s="1040" t="e">
        <f t="shared" si="751"/>
        <v>#DIV/0!</v>
      </c>
      <c r="Z1154" s="1040" t="e">
        <f t="shared" si="751"/>
        <v>#DIV/0!</v>
      </c>
      <c r="AA1154" s="1040" t="e">
        <f t="shared" si="751"/>
        <v>#DIV/0!</v>
      </c>
      <c r="AB1154" s="1040" t="e">
        <f t="shared" si="751"/>
        <v>#DIV/0!</v>
      </c>
      <c r="AC1154" s="1040" t="e">
        <f t="shared" si="751"/>
        <v>#DIV/0!</v>
      </c>
      <c r="AD1154" s="1040" t="e">
        <f t="shared" si="751"/>
        <v>#DIV/0!</v>
      </c>
      <c r="AE1154" s="1040" t="e">
        <f t="shared" si="751"/>
        <v>#DIV/0!</v>
      </c>
      <c r="AF1154" s="1040" t="e">
        <f t="shared" si="751"/>
        <v>#DIV/0!</v>
      </c>
      <c r="AG1154" s="1040" t="e">
        <f t="shared" si="751"/>
        <v>#DIV/0!</v>
      </c>
      <c r="AH1154" s="1040" t="e">
        <f t="shared" si="751"/>
        <v>#DIV/0!</v>
      </c>
      <c r="AI1154" s="1040" t="e">
        <f t="shared" si="751"/>
        <v>#DIV/0!</v>
      </c>
      <c r="AJ1154" s="1040" t="e">
        <f t="shared" si="751"/>
        <v>#DIV/0!</v>
      </c>
      <c r="AK1154" s="1040" t="e">
        <f t="shared" si="751"/>
        <v>#DIV/0!</v>
      </c>
      <c r="AL1154" s="1040" t="e">
        <f t="shared" si="751"/>
        <v>#DIV/0!</v>
      </c>
      <c r="AM1154" s="1040" t="e">
        <f t="shared" si="751"/>
        <v>#DIV/0!</v>
      </c>
      <c r="AN1154" s="1040" t="e">
        <f t="shared" si="751"/>
        <v>#DIV/0!</v>
      </c>
      <c r="AO1154" s="1040" t="e">
        <f t="shared" si="751"/>
        <v>#DIV/0!</v>
      </c>
      <c r="AP1154" s="1040" t="e">
        <f t="shared" si="751"/>
        <v>#DIV/0!</v>
      </c>
      <c r="AQ1154" s="1040" t="e">
        <f t="shared" si="751"/>
        <v>#DIV/0!</v>
      </c>
      <c r="AR1154" s="1040" t="e">
        <f t="shared" si="751"/>
        <v>#DIV/0!</v>
      </c>
      <c r="AS1154" s="1040" t="e">
        <f t="shared" ref="AS1154:AY1154" si="752">IF(AS354="",0,IF(OR(1=RANK(AS754,AS$412:AS$790,0),(2=RANK(AS754,AS$412:AS$790,0))),AS754,AS354))</f>
        <v>#DIV/0!</v>
      </c>
      <c r="AT1154" s="1040" t="e">
        <f t="shared" si="752"/>
        <v>#DIV/0!</v>
      </c>
      <c r="AU1154" s="1040">
        <f t="shared" si="752"/>
        <v>0</v>
      </c>
      <c r="AV1154" s="1040" t="e">
        <f t="shared" si="752"/>
        <v>#DIV/0!</v>
      </c>
      <c r="AW1154" s="1040" t="e">
        <f t="shared" si="752"/>
        <v>#DIV/0!</v>
      </c>
      <c r="AX1154" s="1040" t="e">
        <f t="shared" si="752"/>
        <v>#DIV/0!</v>
      </c>
      <c r="AY1154" s="1040" t="e">
        <f t="shared" si="752"/>
        <v>#DIV/0!</v>
      </c>
      <c r="AZ1154" s="1061" t="s">
        <v>21</v>
      </c>
      <c r="BC1154" s="29"/>
      <c r="BD1154" s="29"/>
      <c r="BE1154" s="13"/>
      <c r="BL1154" s="368"/>
    </row>
    <row r="1155" spans="1:64" ht="12" customHeight="1" x14ac:dyDescent="0.2">
      <c r="A1155" s="39">
        <f>acute_overview_children!A355</f>
        <v>4</v>
      </c>
      <c r="B1155" s="23">
        <f t="shared" si="705"/>
        <v>1015020</v>
      </c>
      <c r="C1155" s="23" t="str">
        <f t="shared" si="706"/>
        <v>Equine: Fat tissue</v>
      </c>
      <c r="D1155" s="135"/>
      <c r="E1155" s="1027"/>
      <c r="F1155" s="87"/>
      <c r="G1155" s="87"/>
      <c r="H1155" s="1027"/>
      <c r="I1155" s="1030"/>
      <c r="J1155" s="1039" t="e">
        <f t="shared" ref="J1155:AR1155" si="753">IF(J355="",0,IF(OR(1=RANK(J755,J$412:J$790,0),(2=RANK(J755,J$412:J$790,0))),J755,J355))</f>
        <v>#DIV/0!</v>
      </c>
      <c r="K1155" s="1040" t="e">
        <f t="shared" si="753"/>
        <v>#DIV/0!</v>
      </c>
      <c r="L1155" s="1040" t="e">
        <f t="shared" si="753"/>
        <v>#DIV/0!</v>
      </c>
      <c r="M1155" s="1040" t="e">
        <f t="shared" si="753"/>
        <v>#DIV/0!</v>
      </c>
      <c r="N1155" s="1040" t="e">
        <f t="shared" si="753"/>
        <v>#DIV/0!</v>
      </c>
      <c r="O1155" s="1040" t="e">
        <f t="shared" si="753"/>
        <v>#DIV/0!</v>
      </c>
      <c r="P1155" s="1040" t="e">
        <f t="shared" si="753"/>
        <v>#DIV/0!</v>
      </c>
      <c r="Q1155" s="1040" t="e">
        <f t="shared" si="753"/>
        <v>#DIV/0!</v>
      </c>
      <c r="R1155" s="1040" t="e">
        <f t="shared" si="753"/>
        <v>#DIV/0!</v>
      </c>
      <c r="S1155" s="1040" t="e">
        <f t="shared" si="753"/>
        <v>#DIV/0!</v>
      </c>
      <c r="T1155" s="1040" t="e">
        <f t="shared" si="753"/>
        <v>#DIV/0!</v>
      </c>
      <c r="U1155" s="1040" t="e">
        <f t="shared" si="753"/>
        <v>#DIV/0!</v>
      </c>
      <c r="V1155" s="1040" t="e">
        <f t="shared" si="753"/>
        <v>#DIV/0!</v>
      </c>
      <c r="W1155" s="1040" t="e">
        <f t="shared" si="753"/>
        <v>#DIV/0!</v>
      </c>
      <c r="X1155" s="1040" t="e">
        <f t="shared" si="753"/>
        <v>#DIV/0!</v>
      </c>
      <c r="Y1155" s="1040" t="e">
        <f t="shared" si="753"/>
        <v>#DIV/0!</v>
      </c>
      <c r="Z1155" s="1040" t="e">
        <f t="shared" si="753"/>
        <v>#DIV/0!</v>
      </c>
      <c r="AA1155" s="1040" t="e">
        <f t="shared" si="753"/>
        <v>#DIV/0!</v>
      </c>
      <c r="AB1155" s="1040" t="e">
        <f t="shared" si="753"/>
        <v>#DIV/0!</v>
      </c>
      <c r="AC1155" s="1040" t="e">
        <f t="shared" si="753"/>
        <v>#DIV/0!</v>
      </c>
      <c r="AD1155" s="1040" t="e">
        <f t="shared" si="753"/>
        <v>#DIV/0!</v>
      </c>
      <c r="AE1155" s="1040" t="e">
        <f t="shared" si="753"/>
        <v>#DIV/0!</v>
      </c>
      <c r="AF1155" s="1040" t="e">
        <f t="shared" si="753"/>
        <v>#DIV/0!</v>
      </c>
      <c r="AG1155" s="1040" t="e">
        <f t="shared" si="753"/>
        <v>#DIV/0!</v>
      </c>
      <c r="AH1155" s="1040" t="e">
        <f t="shared" si="753"/>
        <v>#DIV/0!</v>
      </c>
      <c r="AI1155" s="1040" t="e">
        <f t="shared" si="753"/>
        <v>#DIV/0!</v>
      </c>
      <c r="AJ1155" s="1040" t="e">
        <f t="shared" si="753"/>
        <v>#DIV/0!</v>
      </c>
      <c r="AK1155" s="1040" t="e">
        <f t="shared" si="753"/>
        <v>#DIV/0!</v>
      </c>
      <c r="AL1155" s="1040" t="e">
        <f t="shared" si="753"/>
        <v>#DIV/0!</v>
      </c>
      <c r="AM1155" s="1040" t="e">
        <f t="shared" si="753"/>
        <v>#DIV/0!</v>
      </c>
      <c r="AN1155" s="1040" t="e">
        <f t="shared" si="753"/>
        <v>#DIV/0!</v>
      </c>
      <c r="AO1155" s="1040" t="e">
        <f t="shared" si="753"/>
        <v>#DIV/0!</v>
      </c>
      <c r="AP1155" s="1040" t="e">
        <f t="shared" si="753"/>
        <v>#DIV/0!</v>
      </c>
      <c r="AQ1155" s="1040" t="e">
        <f t="shared" si="753"/>
        <v>#DIV/0!</v>
      </c>
      <c r="AR1155" s="1040" t="e">
        <f t="shared" si="753"/>
        <v>#DIV/0!</v>
      </c>
      <c r="AS1155" s="1040" t="e">
        <f t="shared" ref="AS1155:AY1155" si="754">IF(AS355="",0,IF(OR(1=RANK(AS755,AS$412:AS$790,0),(2=RANK(AS755,AS$412:AS$790,0))),AS755,AS355))</f>
        <v>#DIV/0!</v>
      </c>
      <c r="AT1155" s="1040" t="e">
        <f t="shared" si="754"/>
        <v>#DIV/0!</v>
      </c>
      <c r="AU1155" s="1040">
        <f t="shared" si="754"/>
        <v>0</v>
      </c>
      <c r="AV1155" s="1040" t="e">
        <f t="shared" si="754"/>
        <v>#DIV/0!</v>
      </c>
      <c r="AW1155" s="1040" t="e">
        <f t="shared" si="754"/>
        <v>#DIV/0!</v>
      </c>
      <c r="AX1155" s="1040" t="e">
        <f t="shared" si="754"/>
        <v>#DIV/0!</v>
      </c>
      <c r="AY1155" s="1040" t="e">
        <f t="shared" si="754"/>
        <v>#DIV/0!</v>
      </c>
      <c r="AZ1155" s="1061" t="s">
        <v>21</v>
      </c>
      <c r="BC1155" s="29"/>
      <c r="BD1155" s="29"/>
      <c r="BE1155" s="13"/>
      <c r="BL1155" s="368"/>
    </row>
    <row r="1156" spans="1:64" ht="12" customHeight="1" x14ac:dyDescent="0.2">
      <c r="A1156" s="39">
        <f>acute_overview_children!A356</f>
        <v>4</v>
      </c>
      <c r="B1156" s="23">
        <f t="shared" si="705"/>
        <v>1015030</v>
      </c>
      <c r="C1156" s="23" t="str">
        <f t="shared" si="706"/>
        <v>Equine: Liver</v>
      </c>
      <c r="D1156" s="135"/>
      <c r="E1156" s="1027"/>
      <c r="F1156" s="87"/>
      <c r="G1156" s="87"/>
      <c r="H1156" s="1027"/>
      <c r="I1156" s="1030"/>
      <c r="J1156" s="1039" t="e">
        <f t="shared" ref="J1156:AR1156" si="755">IF(J356="",0,IF(OR(1=RANK(J756,J$412:J$790,0),(2=RANK(J756,J$412:J$790,0))),J756,J356))</f>
        <v>#DIV/0!</v>
      </c>
      <c r="K1156" s="1040" t="e">
        <f t="shared" si="755"/>
        <v>#DIV/0!</v>
      </c>
      <c r="L1156" s="1040" t="e">
        <f t="shared" si="755"/>
        <v>#DIV/0!</v>
      </c>
      <c r="M1156" s="1040" t="e">
        <f t="shared" si="755"/>
        <v>#DIV/0!</v>
      </c>
      <c r="N1156" s="1040" t="e">
        <f t="shared" si="755"/>
        <v>#DIV/0!</v>
      </c>
      <c r="O1156" s="1040" t="e">
        <f t="shared" si="755"/>
        <v>#DIV/0!</v>
      </c>
      <c r="P1156" s="1040" t="e">
        <f t="shared" si="755"/>
        <v>#DIV/0!</v>
      </c>
      <c r="Q1156" s="1040" t="e">
        <f t="shared" si="755"/>
        <v>#DIV/0!</v>
      </c>
      <c r="R1156" s="1040" t="e">
        <f t="shared" si="755"/>
        <v>#DIV/0!</v>
      </c>
      <c r="S1156" s="1040" t="e">
        <f t="shared" si="755"/>
        <v>#DIV/0!</v>
      </c>
      <c r="T1156" s="1040" t="e">
        <f t="shared" si="755"/>
        <v>#DIV/0!</v>
      </c>
      <c r="U1156" s="1040" t="e">
        <f t="shared" si="755"/>
        <v>#DIV/0!</v>
      </c>
      <c r="V1156" s="1040" t="e">
        <f t="shared" si="755"/>
        <v>#DIV/0!</v>
      </c>
      <c r="W1156" s="1040" t="e">
        <f t="shared" si="755"/>
        <v>#DIV/0!</v>
      </c>
      <c r="X1156" s="1040" t="e">
        <f t="shared" si="755"/>
        <v>#DIV/0!</v>
      </c>
      <c r="Y1156" s="1040" t="e">
        <f t="shared" si="755"/>
        <v>#DIV/0!</v>
      </c>
      <c r="Z1156" s="1040" t="e">
        <f t="shared" si="755"/>
        <v>#DIV/0!</v>
      </c>
      <c r="AA1156" s="1040" t="e">
        <f t="shared" si="755"/>
        <v>#DIV/0!</v>
      </c>
      <c r="AB1156" s="1040" t="e">
        <f t="shared" si="755"/>
        <v>#DIV/0!</v>
      </c>
      <c r="AC1156" s="1040" t="e">
        <f t="shared" si="755"/>
        <v>#DIV/0!</v>
      </c>
      <c r="AD1156" s="1040" t="e">
        <f t="shared" si="755"/>
        <v>#DIV/0!</v>
      </c>
      <c r="AE1156" s="1040" t="e">
        <f t="shared" si="755"/>
        <v>#DIV/0!</v>
      </c>
      <c r="AF1156" s="1040" t="e">
        <f t="shared" si="755"/>
        <v>#DIV/0!</v>
      </c>
      <c r="AG1156" s="1040" t="e">
        <f t="shared" si="755"/>
        <v>#DIV/0!</v>
      </c>
      <c r="AH1156" s="1040" t="e">
        <f t="shared" si="755"/>
        <v>#DIV/0!</v>
      </c>
      <c r="AI1156" s="1040" t="e">
        <f t="shared" si="755"/>
        <v>#DIV/0!</v>
      </c>
      <c r="AJ1156" s="1040" t="e">
        <f t="shared" si="755"/>
        <v>#DIV/0!</v>
      </c>
      <c r="AK1156" s="1040" t="e">
        <f t="shared" si="755"/>
        <v>#DIV/0!</v>
      </c>
      <c r="AL1156" s="1040" t="e">
        <f t="shared" si="755"/>
        <v>#DIV/0!</v>
      </c>
      <c r="AM1156" s="1040" t="e">
        <f t="shared" si="755"/>
        <v>#DIV/0!</v>
      </c>
      <c r="AN1156" s="1040" t="e">
        <f t="shared" si="755"/>
        <v>#DIV/0!</v>
      </c>
      <c r="AO1156" s="1040" t="e">
        <f t="shared" si="755"/>
        <v>#DIV/0!</v>
      </c>
      <c r="AP1156" s="1040" t="e">
        <f t="shared" si="755"/>
        <v>#DIV/0!</v>
      </c>
      <c r="AQ1156" s="1040" t="e">
        <f t="shared" si="755"/>
        <v>#DIV/0!</v>
      </c>
      <c r="AR1156" s="1040" t="e">
        <f t="shared" si="755"/>
        <v>#DIV/0!</v>
      </c>
      <c r="AS1156" s="1040" t="e">
        <f t="shared" ref="AS1156:AY1156" si="756">IF(AS356="",0,IF(OR(1=RANK(AS756,AS$412:AS$790,0),(2=RANK(AS756,AS$412:AS$790,0))),AS756,AS356))</f>
        <v>#DIV/0!</v>
      </c>
      <c r="AT1156" s="1040" t="e">
        <f t="shared" si="756"/>
        <v>#DIV/0!</v>
      </c>
      <c r="AU1156" s="1040">
        <f t="shared" si="756"/>
        <v>0</v>
      </c>
      <c r="AV1156" s="1040" t="e">
        <f t="shared" si="756"/>
        <v>#DIV/0!</v>
      </c>
      <c r="AW1156" s="1040" t="e">
        <f t="shared" si="756"/>
        <v>#DIV/0!</v>
      </c>
      <c r="AX1156" s="1040" t="e">
        <f t="shared" si="756"/>
        <v>#DIV/0!</v>
      </c>
      <c r="AY1156" s="1040" t="e">
        <f t="shared" si="756"/>
        <v>#DIV/0!</v>
      </c>
      <c r="AZ1156" s="1061" t="s">
        <v>21</v>
      </c>
      <c r="BC1156" s="29"/>
      <c r="BD1156" s="29"/>
      <c r="BE1156" s="13"/>
      <c r="BL1156" s="368"/>
    </row>
    <row r="1157" spans="1:64" ht="12" customHeight="1" x14ac:dyDescent="0.2">
      <c r="A1157" s="39">
        <f>acute_overview_children!A357</f>
        <v>4</v>
      </c>
      <c r="B1157" s="23">
        <f t="shared" si="705"/>
        <v>1015040</v>
      </c>
      <c r="C1157" s="23" t="str">
        <f t="shared" si="706"/>
        <v>Equine: Kidney</v>
      </c>
      <c r="D1157" s="135"/>
      <c r="E1157" s="1027"/>
      <c r="F1157" s="87"/>
      <c r="G1157" s="87"/>
      <c r="H1157" s="1027"/>
      <c r="I1157" s="1030"/>
      <c r="J1157" s="1039" t="e">
        <f t="shared" ref="J1157:AR1157" si="757">IF(J357="",0,IF(OR(1=RANK(J757,J$412:J$790,0),(2=RANK(J757,J$412:J$790,0))),J757,J357))</f>
        <v>#DIV/0!</v>
      </c>
      <c r="K1157" s="1040" t="e">
        <f t="shared" si="757"/>
        <v>#DIV/0!</v>
      </c>
      <c r="L1157" s="1040" t="e">
        <f t="shared" si="757"/>
        <v>#DIV/0!</v>
      </c>
      <c r="M1157" s="1040" t="e">
        <f t="shared" si="757"/>
        <v>#DIV/0!</v>
      </c>
      <c r="N1157" s="1040" t="e">
        <f t="shared" si="757"/>
        <v>#DIV/0!</v>
      </c>
      <c r="O1157" s="1040" t="e">
        <f t="shared" si="757"/>
        <v>#DIV/0!</v>
      </c>
      <c r="P1157" s="1040" t="e">
        <f t="shared" si="757"/>
        <v>#DIV/0!</v>
      </c>
      <c r="Q1157" s="1040" t="e">
        <f t="shared" si="757"/>
        <v>#DIV/0!</v>
      </c>
      <c r="R1157" s="1040" t="e">
        <f t="shared" si="757"/>
        <v>#DIV/0!</v>
      </c>
      <c r="S1157" s="1040" t="e">
        <f t="shared" si="757"/>
        <v>#DIV/0!</v>
      </c>
      <c r="T1157" s="1040" t="e">
        <f t="shared" si="757"/>
        <v>#DIV/0!</v>
      </c>
      <c r="U1157" s="1040" t="e">
        <f t="shared" si="757"/>
        <v>#DIV/0!</v>
      </c>
      <c r="V1157" s="1040" t="e">
        <f t="shared" si="757"/>
        <v>#DIV/0!</v>
      </c>
      <c r="W1157" s="1040" t="e">
        <f t="shared" si="757"/>
        <v>#DIV/0!</v>
      </c>
      <c r="X1157" s="1040" t="e">
        <f t="shared" si="757"/>
        <v>#DIV/0!</v>
      </c>
      <c r="Y1157" s="1040" t="e">
        <f t="shared" si="757"/>
        <v>#DIV/0!</v>
      </c>
      <c r="Z1157" s="1040" t="e">
        <f t="shared" si="757"/>
        <v>#DIV/0!</v>
      </c>
      <c r="AA1157" s="1040" t="e">
        <f t="shared" si="757"/>
        <v>#DIV/0!</v>
      </c>
      <c r="AB1157" s="1040" t="e">
        <f t="shared" si="757"/>
        <v>#DIV/0!</v>
      </c>
      <c r="AC1157" s="1040" t="e">
        <f t="shared" si="757"/>
        <v>#DIV/0!</v>
      </c>
      <c r="AD1157" s="1040" t="e">
        <f t="shared" si="757"/>
        <v>#DIV/0!</v>
      </c>
      <c r="AE1157" s="1040" t="e">
        <f t="shared" si="757"/>
        <v>#DIV/0!</v>
      </c>
      <c r="AF1157" s="1040" t="e">
        <f t="shared" si="757"/>
        <v>#DIV/0!</v>
      </c>
      <c r="AG1157" s="1040" t="e">
        <f t="shared" si="757"/>
        <v>#DIV/0!</v>
      </c>
      <c r="AH1157" s="1040" t="e">
        <f t="shared" si="757"/>
        <v>#DIV/0!</v>
      </c>
      <c r="AI1157" s="1040" t="e">
        <f t="shared" si="757"/>
        <v>#DIV/0!</v>
      </c>
      <c r="AJ1157" s="1040" t="e">
        <f t="shared" si="757"/>
        <v>#DIV/0!</v>
      </c>
      <c r="AK1157" s="1040" t="e">
        <f t="shared" si="757"/>
        <v>#DIV/0!</v>
      </c>
      <c r="AL1157" s="1040" t="e">
        <f t="shared" si="757"/>
        <v>#DIV/0!</v>
      </c>
      <c r="AM1157" s="1040" t="e">
        <f t="shared" si="757"/>
        <v>#DIV/0!</v>
      </c>
      <c r="AN1157" s="1040" t="e">
        <f t="shared" si="757"/>
        <v>#DIV/0!</v>
      </c>
      <c r="AO1157" s="1040" t="e">
        <f t="shared" si="757"/>
        <v>#DIV/0!</v>
      </c>
      <c r="AP1157" s="1040" t="e">
        <f t="shared" si="757"/>
        <v>#DIV/0!</v>
      </c>
      <c r="AQ1157" s="1040" t="e">
        <f t="shared" si="757"/>
        <v>#DIV/0!</v>
      </c>
      <c r="AR1157" s="1040" t="e">
        <f t="shared" si="757"/>
        <v>#DIV/0!</v>
      </c>
      <c r="AS1157" s="1040" t="e">
        <f t="shared" ref="AS1157:AY1157" si="758">IF(AS357="",0,IF(OR(1=RANK(AS757,AS$412:AS$790,0),(2=RANK(AS757,AS$412:AS$790,0))),AS757,AS357))</f>
        <v>#DIV/0!</v>
      </c>
      <c r="AT1157" s="1040" t="e">
        <f t="shared" si="758"/>
        <v>#DIV/0!</v>
      </c>
      <c r="AU1157" s="1040">
        <f t="shared" si="758"/>
        <v>0</v>
      </c>
      <c r="AV1157" s="1040" t="e">
        <f t="shared" si="758"/>
        <v>#DIV/0!</v>
      </c>
      <c r="AW1157" s="1040" t="e">
        <f t="shared" si="758"/>
        <v>#DIV/0!</v>
      </c>
      <c r="AX1157" s="1040" t="e">
        <f t="shared" si="758"/>
        <v>#DIV/0!</v>
      </c>
      <c r="AY1157" s="1040" t="e">
        <f t="shared" si="758"/>
        <v>#DIV/0!</v>
      </c>
      <c r="AZ1157" s="1061" t="s">
        <v>21</v>
      </c>
      <c r="BC1157" s="29"/>
      <c r="BD1157" s="29"/>
      <c r="BE1157" s="13"/>
      <c r="BL1157" s="368"/>
    </row>
    <row r="1158" spans="1:64" ht="12" customHeight="1" x14ac:dyDescent="0.2">
      <c r="A1158" s="39">
        <f>acute_overview_children!A358</f>
        <v>4</v>
      </c>
      <c r="B1158" s="23">
        <f t="shared" si="705"/>
        <v>1015050</v>
      </c>
      <c r="C1158" s="23" t="str">
        <f t="shared" si="706"/>
        <v>Equine: Edible offals (other than liver and kidney)</v>
      </c>
      <c r="D1158" s="135"/>
      <c r="E1158" s="1027"/>
      <c r="F1158" s="87"/>
      <c r="G1158" s="87"/>
      <c r="H1158" s="1027"/>
      <c r="I1158" s="1030"/>
      <c r="J1158" s="1039" t="e">
        <f t="shared" ref="J1158:AR1158" si="759">IF(J358="",0,IF(OR(1=RANK(J758,J$412:J$790,0),(2=RANK(J758,J$412:J$790,0))),J758,J358))</f>
        <v>#DIV/0!</v>
      </c>
      <c r="K1158" s="1040" t="e">
        <f t="shared" si="759"/>
        <v>#DIV/0!</v>
      </c>
      <c r="L1158" s="1040" t="e">
        <f t="shared" si="759"/>
        <v>#DIV/0!</v>
      </c>
      <c r="M1158" s="1040" t="e">
        <f t="shared" si="759"/>
        <v>#DIV/0!</v>
      </c>
      <c r="N1158" s="1040" t="e">
        <f t="shared" si="759"/>
        <v>#DIV/0!</v>
      </c>
      <c r="O1158" s="1040" t="e">
        <f t="shared" si="759"/>
        <v>#DIV/0!</v>
      </c>
      <c r="P1158" s="1040" t="e">
        <f t="shared" si="759"/>
        <v>#DIV/0!</v>
      </c>
      <c r="Q1158" s="1040" t="e">
        <f t="shared" si="759"/>
        <v>#DIV/0!</v>
      </c>
      <c r="R1158" s="1040" t="e">
        <f t="shared" si="759"/>
        <v>#DIV/0!</v>
      </c>
      <c r="S1158" s="1040" t="e">
        <f t="shared" si="759"/>
        <v>#DIV/0!</v>
      </c>
      <c r="T1158" s="1040" t="e">
        <f t="shared" si="759"/>
        <v>#DIV/0!</v>
      </c>
      <c r="U1158" s="1040" t="e">
        <f t="shared" si="759"/>
        <v>#DIV/0!</v>
      </c>
      <c r="V1158" s="1040" t="e">
        <f t="shared" si="759"/>
        <v>#DIV/0!</v>
      </c>
      <c r="W1158" s="1040" t="e">
        <f t="shared" si="759"/>
        <v>#DIV/0!</v>
      </c>
      <c r="X1158" s="1040" t="e">
        <f t="shared" si="759"/>
        <v>#DIV/0!</v>
      </c>
      <c r="Y1158" s="1040" t="e">
        <f t="shared" si="759"/>
        <v>#DIV/0!</v>
      </c>
      <c r="Z1158" s="1040" t="e">
        <f t="shared" si="759"/>
        <v>#DIV/0!</v>
      </c>
      <c r="AA1158" s="1040" t="e">
        <f t="shared" si="759"/>
        <v>#DIV/0!</v>
      </c>
      <c r="AB1158" s="1040" t="e">
        <f t="shared" si="759"/>
        <v>#DIV/0!</v>
      </c>
      <c r="AC1158" s="1040" t="e">
        <f t="shared" si="759"/>
        <v>#DIV/0!</v>
      </c>
      <c r="AD1158" s="1040" t="e">
        <f t="shared" si="759"/>
        <v>#DIV/0!</v>
      </c>
      <c r="AE1158" s="1040" t="e">
        <f t="shared" si="759"/>
        <v>#DIV/0!</v>
      </c>
      <c r="AF1158" s="1040" t="e">
        <f t="shared" si="759"/>
        <v>#DIV/0!</v>
      </c>
      <c r="AG1158" s="1040" t="e">
        <f t="shared" si="759"/>
        <v>#DIV/0!</v>
      </c>
      <c r="AH1158" s="1040" t="e">
        <f t="shared" si="759"/>
        <v>#DIV/0!</v>
      </c>
      <c r="AI1158" s="1040" t="e">
        <f t="shared" si="759"/>
        <v>#DIV/0!</v>
      </c>
      <c r="AJ1158" s="1040" t="e">
        <f t="shared" si="759"/>
        <v>#DIV/0!</v>
      </c>
      <c r="AK1158" s="1040" t="e">
        <f t="shared" si="759"/>
        <v>#DIV/0!</v>
      </c>
      <c r="AL1158" s="1040" t="e">
        <f t="shared" si="759"/>
        <v>#DIV/0!</v>
      </c>
      <c r="AM1158" s="1040" t="e">
        <f t="shared" si="759"/>
        <v>#DIV/0!</v>
      </c>
      <c r="AN1158" s="1040" t="e">
        <f t="shared" si="759"/>
        <v>#DIV/0!</v>
      </c>
      <c r="AO1158" s="1040" t="e">
        <f t="shared" si="759"/>
        <v>#DIV/0!</v>
      </c>
      <c r="AP1158" s="1040" t="e">
        <f t="shared" si="759"/>
        <v>#DIV/0!</v>
      </c>
      <c r="AQ1158" s="1040" t="e">
        <f t="shared" si="759"/>
        <v>#DIV/0!</v>
      </c>
      <c r="AR1158" s="1040" t="e">
        <f t="shared" si="759"/>
        <v>#DIV/0!</v>
      </c>
      <c r="AS1158" s="1040" t="e">
        <f t="shared" ref="AS1158:AY1158" si="760">IF(AS358="",0,IF(OR(1=RANK(AS758,AS$412:AS$790,0),(2=RANK(AS758,AS$412:AS$790,0))),AS758,AS358))</f>
        <v>#DIV/0!</v>
      </c>
      <c r="AT1158" s="1040" t="e">
        <f t="shared" si="760"/>
        <v>#DIV/0!</v>
      </c>
      <c r="AU1158" s="1040">
        <f t="shared" si="760"/>
        <v>0</v>
      </c>
      <c r="AV1158" s="1040" t="e">
        <f t="shared" si="760"/>
        <v>#DIV/0!</v>
      </c>
      <c r="AW1158" s="1040" t="e">
        <f t="shared" si="760"/>
        <v>#DIV/0!</v>
      </c>
      <c r="AX1158" s="1040" t="e">
        <f t="shared" si="760"/>
        <v>#DIV/0!</v>
      </c>
      <c r="AY1158" s="1040" t="e">
        <f t="shared" si="760"/>
        <v>#DIV/0!</v>
      </c>
      <c r="AZ1158" s="1061" t="s">
        <v>21</v>
      </c>
      <c r="BC1158" s="29"/>
      <c r="BD1158" s="29"/>
      <c r="BE1158" s="13"/>
      <c r="BL1158" s="368"/>
    </row>
    <row r="1159" spans="1:64" ht="12" customHeight="1" x14ac:dyDescent="0.2">
      <c r="A1159" s="39">
        <f>acute_overview_children!A359</f>
        <v>4</v>
      </c>
      <c r="B1159" s="23">
        <f t="shared" si="705"/>
        <v>1015990</v>
      </c>
      <c r="C1159" s="23" t="str">
        <f t="shared" si="706"/>
        <v>Equine: Other products</v>
      </c>
      <c r="D1159" s="135"/>
      <c r="E1159" s="1027"/>
      <c r="F1159" s="87"/>
      <c r="G1159" s="87"/>
      <c r="H1159" s="1027"/>
      <c r="I1159" s="1030"/>
      <c r="J1159" s="1039" t="e">
        <f t="shared" ref="J1159:AR1159" si="761">IF(J359="",0,IF(OR(1=RANK(J759,J$412:J$790,0),(2=RANK(J759,J$412:J$790,0))),J759,J359))</f>
        <v>#DIV/0!</v>
      </c>
      <c r="K1159" s="1040" t="e">
        <f t="shared" si="761"/>
        <v>#DIV/0!</v>
      </c>
      <c r="L1159" s="1040" t="e">
        <f t="shared" si="761"/>
        <v>#DIV/0!</v>
      </c>
      <c r="M1159" s="1040" t="e">
        <f t="shared" si="761"/>
        <v>#DIV/0!</v>
      </c>
      <c r="N1159" s="1040" t="e">
        <f t="shared" si="761"/>
        <v>#DIV/0!</v>
      </c>
      <c r="O1159" s="1040" t="e">
        <f t="shared" si="761"/>
        <v>#DIV/0!</v>
      </c>
      <c r="P1159" s="1040" t="e">
        <f t="shared" si="761"/>
        <v>#DIV/0!</v>
      </c>
      <c r="Q1159" s="1040" t="e">
        <f t="shared" si="761"/>
        <v>#DIV/0!</v>
      </c>
      <c r="R1159" s="1040" t="e">
        <f t="shared" si="761"/>
        <v>#DIV/0!</v>
      </c>
      <c r="S1159" s="1040" t="e">
        <f t="shared" si="761"/>
        <v>#DIV/0!</v>
      </c>
      <c r="T1159" s="1040" t="e">
        <f t="shared" si="761"/>
        <v>#DIV/0!</v>
      </c>
      <c r="U1159" s="1040" t="e">
        <f t="shared" si="761"/>
        <v>#DIV/0!</v>
      </c>
      <c r="V1159" s="1040" t="e">
        <f t="shared" si="761"/>
        <v>#DIV/0!</v>
      </c>
      <c r="W1159" s="1040" t="e">
        <f t="shared" si="761"/>
        <v>#DIV/0!</v>
      </c>
      <c r="X1159" s="1040" t="e">
        <f t="shared" si="761"/>
        <v>#DIV/0!</v>
      </c>
      <c r="Y1159" s="1040" t="e">
        <f t="shared" si="761"/>
        <v>#DIV/0!</v>
      </c>
      <c r="Z1159" s="1040" t="e">
        <f t="shared" si="761"/>
        <v>#DIV/0!</v>
      </c>
      <c r="AA1159" s="1040" t="e">
        <f t="shared" si="761"/>
        <v>#DIV/0!</v>
      </c>
      <c r="AB1159" s="1040" t="e">
        <f t="shared" si="761"/>
        <v>#DIV/0!</v>
      </c>
      <c r="AC1159" s="1040" t="e">
        <f t="shared" si="761"/>
        <v>#DIV/0!</v>
      </c>
      <c r="AD1159" s="1040" t="e">
        <f t="shared" si="761"/>
        <v>#DIV/0!</v>
      </c>
      <c r="AE1159" s="1040" t="e">
        <f t="shared" si="761"/>
        <v>#DIV/0!</v>
      </c>
      <c r="AF1159" s="1040" t="e">
        <f t="shared" si="761"/>
        <v>#DIV/0!</v>
      </c>
      <c r="AG1159" s="1040" t="e">
        <f t="shared" si="761"/>
        <v>#DIV/0!</v>
      </c>
      <c r="AH1159" s="1040" t="e">
        <f t="shared" si="761"/>
        <v>#DIV/0!</v>
      </c>
      <c r="AI1159" s="1040" t="e">
        <f t="shared" si="761"/>
        <v>#DIV/0!</v>
      </c>
      <c r="AJ1159" s="1040" t="e">
        <f t="shared" si="761"/>
        <v>#DIV/0!</v>
      </c>
      <c r="AK1159" s="1040" t="e">
        <f t="shared" si="761"/>
        <v>#DIV/0!</v>
      </c>
      <c r="AL1159" s="1040" t="e">
        <f t="shared" si="761"/>
        <v>#DIV/0!</v>
      </c>
      <c r="AM1159" s="1040" t="e">
        <f t="shared" si="761"/>
        <v>#DIV/0!</v>
      </c>
      <c r="AN1159" s="1040" t="e">
        <f t="shared" si="761"/>
        <v>#DIV/0!</v>
      </c>
      <c r="AO1159" s="1040" t="e">
        <f t="shared" si="761"/>
        <v>#DIV/0!</v>
      </c>
      <c r="AP1159" s="1040" t="e">
        <f t="shared" si="761"/>
        <v>#DIV/0!</v>
      </c>
      <c r="AQ1159" s="1040" t="e">
        <f t="shared" si="761"/>
        <v>#DIV/0!</v>
      </c>
      <c r="AR1159" s="1040" t="e">
        <f t="shared" si="761"/>
        <v>#DIV/0!</v>
      </c>
      <c r="AS1159" s="1040" t="e">
        <f t="shared" ref="AS1159:AY1159" si="762">IF(AS359="",0,IF(OR(1=RANK(AS759,AS$412:AS$790,0),(2=RANK(AS759,AS$412:AS$790,0))),AS759,AS359))</f>
        <v>#DIV/0!</v>
      </c>
      <c r="AT1159" s="1040" t="e">
        <f t="shared" si="762"/>
        <v>#DIV/0!</v>
      </c>
      <c r="AU1159" s="1040">
        <f t="shared" si="762"/>
        <v>0</v>
      </c>
      <c r="AV1159" s="1040" t="e">
        <f t="shared" si="762"/>
        <v>#DIV/0!</v>
      </c>
      <c r="AW1159" s="1040" t="e">
        <f t="shared" si="762"/>
        <v>#DIV/0!</v>
      </c>
      <c r="AX1159" s="1040" t="e">
        <f t="shared" si="762"/>
        <v>#DIV/0!</v>
      </c>
      <c r="AY1159" s="1040" t="e">
        <f t="shared" si="762"/>
        <v>#DIV/0!</v>
      </c>
      <c r="AZ1159" s="1061" t="s">
        <v>21</v>
      </c>
      <c r="BC1159" s="29"/>
      <c r="BD1159" s="29"/>
      <c r="BE1159" s="13"/>
      <c r="BL1159" s="368"/>
    </row>
    <row r="1160" spans="1:64" ht="12" customHeight="1" x14ac:dyDescent="0.2">
      <c r="A1160" s="133">
        <f>acute_overview_children!A360</f>
        <v>3</v>
      </c>
      <c r="B1160" s="5">
        <f t="shared" si="705"/>
        <v>1016000</v>
      </c>
      <c r="C1160" s="5" t="str">
        <f t="shared" si="706"/>
        <v>Poultry</v>
      </c>
      <c r="D1160" s="135"/>
      <c r="E1160" s="1027"/>
      <c r="F1160" s="87"/>
      <c r="G1160" s="87"/>
      <c r="H1160" s="1027"/>
      <c r="I1160" s="1030"/>
      <c r="J1160" s="1047" t="e">
        <f t="shared" ref="J1160:AR1160" si="763">IF(J360="",0,IF(OR(1=RANK(J760,J$412:J$790,0),(2=RANK(J760,J$412:J$790,0))),J760,J360))</f>
        <v>#DIV/0!</v>
      </c>
      <c r="K1160" s="1048" t="e">
        <f t="shared" si="763"/>
        <v>#DIV/0!</v>
      </c>
      <c r="L1160" s="1048" t="e">
        <f t="shared" si="763"/>
        <v>#DIV/0!</v>
      </c>
      <c r="M1160" s="1048" t="e">
        <f t="shared" si="763"/>
        <v>#DIV/0!</v>
      </c>
      <c r="N1160" s="1048" t="e">
        <f t="shared" si="763"/>
        <v>#DIV/0!</v>
      </c>
      <c r="O1160" s="1048" t="e">
        <f t="shared" si="763"/>
        <v>#DIV/0!</v>
      </c>
      <c r="P1160" s="1048" t="e">
        <f t="shared" si="763"/>
        <v>#DIV/0!</v>
      </c>
      <c r="Q1160" s="1048" t="e">
        <f t="shared" si="763"/>
        <v>#DIV/0!</v>
      </c>
      <c r="R1160" s="1048" t="e">
        <f t="shared" si="763"/>
        <v>#DIV/0!</v>
      </c>
      <c r="S1160" s="1048" t="e">
        <f t="shared" si="763"/>
        <v>#DIV/0!</v>
      </c>
      <c r="T1160" s="1048" t="e">
        <f t="shared" si="763"/>
        <v>#DIV/0!</v>
      </c>
      <c r="U1160" s="1048" t="e">
        <f t="shared" si="763"/>
        <v>#DIV/0!</v>
      </c>
      <c r="V1160" s="1048" t="e">
        <f t="shared" si="763"/>
        <v>#DIV/0!</v>
      </c>
      <c r="W1160" s="1048" t="e">
        <f t="shared" si="763"/>
        <v>#DIV/0!</v>
      </c>
      <c r="X1160" s="1048" t="e">
        <f t="shared" si="763"/>
        <v>#DIV/0!</v>
      </c>
      <c r="Y1160" s="1048" t="e">
        <f t="shared" si="763"/>
        <v>#DIV/0!</v>
      </c>
      <c r="Z1160" s="1048" t="e">
        <f t="shared" si="763"/>
        <v>#DIV/0!</v>
      </c>
      <c r="AA1160" s="1048" t="e">
        <f t="shared" si="763"/>
        <v>#DIV/0!</v>
      </c>
      <c r="AB1160" s="1048" t="e">
        <f t="shared" si="763"/>
        <v>#DIV/0!</v>
      </c>
      <c r="AC1160" s="1048" t="e">
        <f t="shared" si="763"/>
        <v>#DIV/0!</v>
      </c>
      <c r="AD1160" s="1048" t="e">
        <f t="shared" si="763"/>
        <v>#DIV/0!</v>
      </c>
      <c r="AE1160" s="1048" t="e">
        <f t="shared" si="763"/>
        <v>#DIV/0!</v>
      </c>
      <c r="AF1160" s="1048" t="e">
        <f t="shared" si="763"/>
        <v>#DIV/0!</v>
      </c>
      <c r="AG1160" s="1048" t="e">
        <f t="shared" si="763"/>
        <v>#DIV/0!</v>
      </c>
      <c r="AH1160" s="1048" t="e">
        <f t="shared" si="763"/>
        <v>#DIV/0!</v>
      </c>
      <c r="AI1160" s="1048" t="e">
        <f t="shared" si="763"/>
        <v>#DIV/0!</v>
      </c>
      <c r="AJ1160" s="1048" t="e">
        <f t="shared" si="763"/>
        <v>#DIV/0!</v>
      </c>
      <c r="AK1160" s="1048" t="e">
        <f t="shared" si="763"/>
        <v>#DIV/0!</v>
      </c>
      <c r="AL1160" s="1048" t="e">
        <f t="shared" si="763"/>
        <v>#DIV/0!</v>
      </c>
      <c r="AM1160" s="1048" t="e">
        <f t="shared" si="763"/>
        <v>#DIV/0!</v>
      </c>
      <c r="AN1160" s="1048" t="e">
        <f t="shared" si="763"/>
        <v>#DIV/0!</v>
      </c>
      <c r="AO1160" s="1048" t="e">
        <f t="shared" si="763"/>
        <v>#DIV/0!</v>
      </c>
      <c r="AP1160" s="1048" t="e">
        <f t="shared" si="763"/>
        <v>#DIV/0!</v>
      </c>
      <c r="AQ1160" s="1048" t="e">
        <f t="shared" si="763"/>
        <v>#DIV/0!</v>
      </c>
      <c r="AR1160" s="1048" t="e">
        <f t="shared" si="763"/>
        <v>#DIV/0!</v>
      </c>
      <c r="AS1160" s="1048" t="e">
        <f t="shared" ref="AS1160:AY1160" si="764">IF(AS360="",0,IF(OR(1=RANK(AS760,AS$412:AS$790,0),(2=RANK(AS760,AS$412:AS$790,0))),AS760,AS360))</f>
        <v>#DIV/0!</v>
      </c>
      <c r="AT1160" s="1048" t="e">
        <f t="shared" si="764"/>
        <v>#DIV/0!</v>
      </c>
      <c r="AU1160" s="1048">
        <f t="shared" si="764"/>
        <v>0</v>
      </c>
      <c r="AV1160" s="1048" t="e">
        <f t="shared" si="764"/>
        <v>#DIV/0!</v>
      </c>
      <c r="AW1160" s="1048" t="e">
        <f t="shared" si="764"/>
        <v>#DIV/0!</v>
      </c>
      <c r="AX1160" s="1048" t="e">
        <f t="shared" si="764"/>
        <v>#DIV/0!</v>
      </c>
      <c r="AY1160" s="1048" t="e">
        <f t="shared" si="764"/>
        <v>#DIV/0!</v>
      </c>
      <c r="AZ1160" s="1061" t="s">
        <v>21</v>
      </c>
      <c r="BC1160" s="29"/>
      <c r="BD1160" s="29"/>
      <c r="BE1160" s="13"/>
      <c r="BL1160" s="368"/>
    </row>
    <row r="1161" spans="1:64" ht="12" customHeight="1" x14ac:dyDescent="0.2">
      <c r="A1161" s="39">
        <f>acute_overview_children!A361</f>
        <v>4</v>
      </c>
      <c r="B1161" s="23">
        <f t="shared" si="705"/>
        <v>1016010</v>
      </c>
      <c r="C1161" s="23" t="str">
        <f t="shared" si="706"/>
        <v>Poultry: Muscle/meat</v>
      </c>
      <c r="D1161" s="135"/>
      <c r="E1161" s="1027"/>
      <c r="F1161" s="87"/>
      <c r="G1161" s="87"/>
      <c r="H1161" s="1027"/>
      <c r="I1161" s="1030"/>
      <c r="J1161" s="1039" t="e">
        <f t="shared" ref="J1161:AR1161" si="765">IF(J361="",0,IF(OR(1=RANK(J761,J$412:J$790,0),(2=RANK(J761,J$412:J$790,0))),J761,J361))</f>
        <v>#DIV/0!</v>
      </c>
      <c r="K1161" s="1040" t="e">
        <f t="shared" si="765"/>
        <v>#DIV/0!</v>
      </c>
      <c r="L1161" s="1040" t="e">
        <f t="shared" si="765"/>
        <v>#DIV/0!</v>
      </c>
      <c r="M1161" s="1040" t="e">
        <f t="shared" si="765"/>
        <v>#DIV/0!</v>
      </c>
      <c r="N1161" s="1040" t="e">
        <f t="shared" si="765"/>
        <v>#DIV/0!</v>
      </c>
      <c r="O1161" s="1040" t="e">
        <f t="shared" si="765"/>
        <v>#DIV/0!</v>
      </c>
      <c r="P1161" s="1040" t="e">
        <f t="shared" si="765"/>
        <v>#DIV/0!</v>
      </c>
      <c r="Q1161" s="1040" t="e">
        <f t="shared" si="765"/>
        <v>#DIV/0!</v>
      </c>
      <c r="R1161" s="1040" t="e">
        <f t="shared" si="765"/>
        <v>#DIV/0!</v>
      </c>
      <c r="S1161" s="1040" t="e">
        <f t="shared" si="765"/>
        <v>#DIV/0!</v>
      </c>
      <c r="T1161" s="1040" t="e">
        <f t="shared" si="765"/>
        <v>#DIV/0!</v>
      </c>
      <c r="U1161" s="1040" t="e">
        <f t="shared" si="765"/>
        <v>#DIV/0!</v>
      </c>
      <c r="V1161" s="1040" t="e">
        <f t="shared" si="765"/>
        <v>#DIV/0!</v>
      </c>
      <c r="W1161" s="1040" t="e">
        <f t="shared" si="765"/>
        <v>#DIV/0!</v>
      </c>
      <c r="X1161" s="1040" t="e">
        <f t="shared" si="765"/>
        <v>#DIV/0!</v>
      </c>
      <c r="Y1161" s="1040" t="e">
        <f t="shared" si="765"/>
        <v>#DIV/0!</v>
      </c>
      <c r="Z1161" s="1040" t="e">
        <f t="shared" si="765"/>
        <v>#DIV/0!</v>
      </c>
      <c r="AA1161" s="1040" t="e">
        <f t="shared" si="765"/>
        <v>#DIV/0!</v>
      </c>
      <c r="AB1161" s="1040" t="e">
        <f t="shared" si="765"/>
        <v>#DIV/0!</v>
      </c>
      <c r="AC1161" s="1040" t="e">
        <f t="shared" si="765"/>
        <v>#DIV/0!</v>
      </c>
      <c r="AD1161" s="1040" t="e">
        <f t="shared" si="765"/>
        <v>#DIV/0!</v>
      </c>
      <c r="AE1161" s="1040" t="e">
        <f t="shared" si="765"/>
        <v>#DIV/0!</v>
      </c>
      <c r="AF1161" s="1040" t="e">
        <f t="shared" si="765"/>
        <v>#DIV/0!</v>
      </c>
      <c r="AG1161" s="1040" t="e">
        <f t="shared" si="765"/>
        <v>#DIV/0!</v>
      </c>
      <c r="AH1161" s="1040" t="e">
        <f t="shared" si="765"/>
        <v>#DIV/0!</v>
      </c>
      <c r="AI1161" s="1040" t="e">
        <f t="shared" si="765"/>
        <v>#DIV/0!</v>
      </c>
      <c r="AJ1161" s="1040" t="e">
        <f t="shared" si="765"/>
        <v>#DIV/0!</v>
      </c>
      <c r="AK1161" s="1040" t="e">
        <f t="shared" si="765"/>
        <v>#DIV/0!</v>
      </c>
      <c r="AL1161" s="1040" t="e">
        <f t="shared" si="765"/>
        <v>#DIV/0!</v>
      </c>
      <c r="AM1161" s="1040" t="e">
        <f t="shared" si="765"/>
        <v>#DIV/0!</v>
      </c>
      <c r="AN1161" s="1040" t="e">
        <f t="shared" si="765"/>
        <v>#DIV/0!</v>
      </c>
      <c r="AO1161" s="1040" t="e">
        <f t="shared" si="765"/>
        <v>#DIV/0!</v>
      </c>
      <c r="AP1161" s="1040" t="e">
        <f t="shared" si="765"/>
        <v>#DIV/0!</v>
      </c>
      <c r="AQ1161" s="1040" t="e">
        <f t="shared" si="765"/>
        <v>#DIV/0!</v>
      </c>
      <c r="AR1161" s="1040" t="e">
        <f t="shared" si="765"/>
        <v>#DIV/0!</v>
      </c>
      <c r="AS1161" s="1040" t="e">
        <f t="shared" ref="AS1161:AY1161" si="766">IF(AS361="",0,IF(OR(1=RANK(AS761,AS$412:AS$790,0),(2=RANK(AS761,AS$412:AS$790,0))),AS761,AS361))</f>
        <v>#DIV/0!</v>
      </c>
      <c r="AT1161" s="1040" t="e">
        <f t="shared" si="766"/>
        <v>#DIV/0!</v>
      </c>
      <c r="AU1161" s="1040">
        <f t="shared" si="766"/>
        <v>0</v>
      </c>
      <c r="AV1161" s="1040" t="e">
        <f t="shared" si="766"/>
        <v>#DIV/0!</v>
      </c>
      <c r="AW1161" s="1040" t="e">
        <f t="shared" si="766"/>
        <v>#DIV/0!</v>
      </c>
      <c r="AX1161" s="1040" t="e">
        <f t="shared" si="766"/>
        <v>#DIV/0!</v>
      </c>
      <c r="AY1161" s="1040" t="e">
        <f t="shared" si="766"/>
        <v>#DIV/0!</v>
      </c>
      <c r="AZ1161" s="1061" t="s">
        <v>21</v>
      </c>
      <c r="BC1161" s="29"/>
      <c r="BD1161" s="29"/>
      <c r="BE1161" s="13"/>
      <c r="BL1161" s="368"/>
    </row>
    <row r="1162" spans="1:64" ht="12" customHeight="1" x14ac:dyDescent="0.2">
      <c r="A1162" s="39">
        <f>acute_overview_children!A362</f>
        <v>4</v>
      </c>
      <c r="B1162" s="23">
        <f t="shared" si="705"/>
        <v>1016020</v>
      </c>
      <c r="C1162" s="23" t="str">
        <f t="shared" si="706"/>
        <v>Poultry: Fat tissue</v>
      </c>
      <c r="D1162" s="135"/>
      <c r="E1162" s="1027"/>
      <c r="F1162" s="87"/>
      <c r="G1162" s="87"/>
      <c r="H1162" s="1027"/>
      <c r="I1162" s="1030"/>
      <c r="J1162" s="1039" t="e">
        <f t="shared" ref="J1162:AR1162" si="767">IF(J362="",0,IF(OR(1=RANK(J762,J$412:J$790,0),(2=RANK(J762,J$412:J$790,0))),J762,J362))</f>
        <v>#DIV/0!</v>
      </c>
      <c r="K1162" s="1040" t="e">
        <f t="shared" si="767"/>
        <v>#DIV/0!</v>
      </c>
      <c r="L1162" s="1040" t="e">
        <f t="shared" si="767"/>
        <v>#DIV/0!</v>
      </c>
      <c r="M1162" s="1040" t="e">
        <f t="shared" si="767"/>
        <v>#DIV/0!</v>
      </c>
      <c r="N1162" s="1040" t="e">
        <f t="shared" si="767"/>
        <v>#DIV/0!</v>
      </c>
      <c r="O1162" s="1040" t="e">
        <f t="shared" si="767"/>
        <v>#DIV/0!</v>
      </c>
      <c r="P1162" s="1040" t="e">
        <f t="shared" si="767"/>
        <v>#DIV/0!</v>
      </c>
      <c r="Q1162" s="1040" t="e">
        <f t="shared" si="767"/>
        <v>#DIV/0!</v>
      </c>
      <c r="R1162" s="1040" t="e">
        <f t="shared" si="767"/>
        <v>#DIV/0!</v>
      </c>
      <c r="S1162" s="1040" t="e">
        <f t="shared" si="767"/>
        <v>#DIV/0!</v>
      </c>
      <c r="T1162" s="1040" t="e">
        <f t="shared" si="767"/>
        <v>#DIV/0!</v>
      </c>
      <c r="U1162" s="1040" t="e">
        <f t="shared" si="767"/>
        <v>#DIV/0!</v>
      </c>
      <c r="V1162" s="1040" t="e">
        <f t="shared" si="767"/>
        <v>#DIV/0!</v>
      </c>
      <c r="W1162" s="1040" t="e">
        <f t="shared" si="767"/>
        <v>#DIV/0!</v>
      </c>
      <c r="X1162" s="1040" t="e">
        <f t="shared" si="767"/>
        <v>#DIV/0!</v>
      </c>
      <c r="Y1162" s="1040" t="e">
        <f t="shared" si="767"/>
        <v>#DIV/0!</v>
      </c>
      <c r="Z1162" s="1040" t="e">
        <f t="shared" si="767"/>
        <v>#DIV/0!</v>
      </c>
      <c r="AA1162" s="1040" t="e">
        <f t="shared" si="767"/>
        <v>#DIV/0!</v>
      </c>
      <c r="AB1162" s="1040" t="e">
        <f t="shared" si="767"/>
        <v>#DIV/0!</v>
      </c>
      <c r="AC1162" s="1040" t="e">
        <f t="shared" si="767"/>
        <v>#DIV/0!</v>
      </c>
      <c r="AD1162" s="1040" t="e">
        <f t="shared" si="767"/>
        <v>#DIV/0!</v>
      </c>
      <c r="AE1162" s="1040" t="e">
        <f t="shared" si="767"/>
        <v>#DIV/0!</v>
      </c>
      <c r="AF1162" s="1040" t="e">
        <f t="shared" si="767"/>
        <v>#DIV/0!</v>
      </c>
      <c r="AG1162" s="1040" t="e">
        <f t="shared" si="767"/>
        <v>#DIV/0!</v>
      </c>
      <c r="AH1162" s="1040" t="e">
        <f t="shared" si="767"/>
        <v>#DIV/0!</v>
      </c>
      <c r="AI1162" s="1040" t="e">
        <f t="shared" si="767"/>
        <v>#DIV/0!</v>
      </c>
      <c r="AJ1162" s="1040" t="e">
        <f t="shared" si="767"/>
        <v>#DIV/0!</v>
      </c>
      <c r="AK1162" s="1040" t="e">
        <f t="shared" si="767"/>
        <v>#DIV/0!</v>
      </c>
      <c r="AL1162" s="1040" t="e">
        <f t="shared" si="767"/>
        <v>#DIV/0!</v>
      </c>
      <c r="AM1162" s="1040" t="e">
        <f t="shared" si="767"/>
        <v>#DIV/0!</v>
      </c>
      <c r="AN1162" s="1040" t="e">
        <f t="shared" si="767"/>
        <v>#DIV/0!</v>
      </c>
      <c r="AO1162" s="1040" t="e">
        <f t="shared" si="767"/>
        <v>#DIV/0!</v>
      </c>
      <c r="AP1162" s="1040" t="e">
        <f t="shared" si="767"/>
        <v>#DIV/0!</v>
      </c>
      <c r="AQ1162" s="1040" t="e">
        <f t="shared" si="767"/>
        <v>#DIV/0!</v>
      </c>
      <c r="AR1162" s="1040" t="e">
        <f t="shared" si="767"/>
        <v>#DIV/0!</v>
      </c>
      <c r="AS1162" s="1040" t="e">
        <f t="shared" ref="AS1162:AY1162" si="768">IF(AS362="",0,IF(OR(1=RANK(AS762,AS$412:AS$790,0),(2=RANK(AS762,AS$412:AS$790,0))),AS762,AS362))</f>
        <v>#DIV/0!</v>
      </c>
      <c r="AT1162" s="1040" t="e">
        <f t="shared" si="768"/>
        <v>#DIV/0!</v>
      </c>
      <c r="AU1162" s="1040">
        <f t="shared" si="768"/>
        <v>0</v>
      </c>
      <c r="AV1162" s="1040" t="e">
        <f t="shared" si="768"/>
        <v>#DIV/0!</v>
      </c>
      <c r="AW1162" s="1040" t="e">
        <f t="shared" si="768"/>
        <v>#DIV/0!</v>
      </c>
      <c r="AX1162" s="1040" t="e">
        <f t="shared" si="768"/>
        <v>#DIV/0!</v>
      </c>
      <c r="AY1162" s="1040" t="e">
        <f t="shared" si="768"/>
        <v>#DIV/0!</v>
      </c>
      <c r="AZ1162" s="1061" t="s">
        <v>21</v>
      </c>
      <c r="BC1162" s="29"/>
      <c r="BD1162" s="29"/>
      <c r="BE1162" s="13"/>
      <c r="BL1162" s="368"/>
    </row>
    <row r="1163" spans="1:64" ht="12" customHeight="1" x14ac:dyDescent="0.2">
      <c r="A1163" s="39">
        <f>acute_overview_children!A363</f>
        <v>4</v>
      </c>
      <c r="B1163" s="23">
        <f t="shared" si="705"/>
        <v>1016030</v>
      </c>
      <c r="C1163" s="23" t="str">
        <f t="shared" si="706"/>
        <v>Poultry: Liver</v>
      </c>
      <c r="D1163" s="135"/>
      <c r="E1163" s="1027"/>
      <c r="F1163" s="87"/>
      <c r="G1163" s="87"/>
      <c r="H1163" s="1027"/>
      <c r="I1163" s="1030"/>
      <c r="J1163" s="1039" t="e">
        <f t="shared" ref="J1163:AR1163" si="769">IF(J363="",0,IF(OR(1=RANK(J763,J$412:J$790,0),(2=RANK(J763,J$412:J$790,0))),J763,J363))</f>
        <v>#DIV/0!</v>
      </c>
      <c r="K1163" s="1040" t="e">
        <f t="shared" si="769"/>
        <v>#DIV/0!</v>
      </c>
      <c r="L1163" s="1040" t="e">
        <f t="shared" si="769"/>
        <v>#DIV/0!</v>
      </c>
      <c r="M1163" s="1040" t="e">
        <f t="shared" si="769"/>
        <v>#DIV/0!</v>
      </c>
      <c r="N1163" s="1040" t="e">
        <f t="shared" si="769"/>
        <v>#DIV/0!</v>
      </c>
      <c r="O1163" s="1040" t="e">
        <f t="shared" si="769"/>
        <v>#DIV/0!</v>
      </c>
      <c r="P1163" s="1040" t="e">
        <f t="shared" si="769"/>
        <v>#DIV/0!</v>
      </c>
      <c r="Q1163" s="1040" t="e">
        <f t="shared" si="769"/>
        <v>#DIV/0!</v>
      </c>
      <c r="R1163" s="1040" t="e">
        <f t="shared" si="769"/>
        <v>#DIV/0!</v>
      </c>
      <c r="S1163" s="1040" t="e">
        <f t="shared" si="769"/>
        <v>#DIV/0!</v>
      </c>
      <c r="T1163" s="1040" t="e">
        <f t="shared" si="769"/>
        <v>#DIV/0!</v>
      </c>
      <c r="U1163" s="1040" t="e">
        <f t="shared" si="769"/>
        <v>#DIV/0!</v>
      </c>
      <c r="V1163" s="1040" t="e">
        <f t="shared" si="769"/>
        <v>#DIV/0!</v>
      </c>
      <c r="W1163" s="1040" t="e">
        <f t="shared" si="769"/>
        <v>#DIV/0!</v>
      </c>
      <c r="X1163" s="1040" t="e">
        <f t="shared" si="769"/>
        <v>#DIV/0!</v>
      </c>
      <c r="Y1163" s="1040" t="e">
        <f t="shared" si="769"/>
        <v>#DIV/0!</v>
      </c>
      <c r="Z1163" s="1040" t="e">
        <f t="shared" si="769"/>
        <v>#DIV/0!</v>
      </c>
      <c r="AA1163" s="1040" t="e">
        <f t="shared" si="769"/>
        <v>#DIV/0!</v>
      </c>
      <c r="AB1163" s="1040" t="e">
        <f t="shared" si="769"/>
        <v>#DIV/0!</v>
      </c>
      <c r="AC1163" s="1040" t="e">
        <f t="shared" si="769"/>
        <v>#DIV/0!</v>
      </c>
      <c r="AD1163" s="1040" t="e">
        <f t="shared" si="769"/>
        <v>#DIV/0!</v>
      </c>
      <c r="AE1163" s="1040" t="e">
        <f t="shared" si="769"/>
        <v>#DIV/0!</v>
      </c>
      <c r="AF1163" s="1040" t="e">
        <f t="shared" si="769"/>
        <v>#DIV/0!</v>
      </c>
      <c r="AG1163" s="1040" t="e">
        <f t="shared" si="769"/>
        <v>#DIV/0!</v>
      </c>
      <c r="AH1163" s="1040" t="e">
        <f t="shared" si="769"/>
        <v>#DIV/0!</v>
      </c>
      <c r="AI1163" s="1040" t="e">
        <f t="shared" si="769"/>
        <v>#DIV/0!</v>
      </c>
      <c r="AJ1163" s="1040" t="e">
        <f t="shared" si="769"/>
        <v>#DIV/0!</v>
      </c>
      <c r="AK1163" s="1040" t="e">
        <f t="shared" si="769"/>
        <v>#DIV/0!</v>
      </c>
      <c r="AL1163" s="1040" t="e">
        <f t="shared" si="769"/>
        <v>#DIV/0!</v>
      </c>
      <c r="AM1163" s="1040" t="e">
        <f t="shared" si="769"/>
        <v>#DIV/0!</v>
      </c>
      <c r="AN1163" s="1040" t="e">
        <f t="shared" si="769"/>
        <v>#DIV/0!</v>
      </c>
      <c r="AO1163" s="1040" t="e">
        <f t="shared" si="769"/>
        <v>#DIV/0!</v>
      </c>
      <c r="AP1163" s="1040" t="e">
        <f t="shared" si="769"/>
        <v>#DIV/0!</v>
      </c>
      <c r="AQ1163" s="1040" t="e">
        <f t="shared" si="769"/>
        <v>#DIV/0!</v>
      </c>
      <c r="AR1163" s="1040" t="e">
        <f t="shared" si="769"/>
        <v>#DIV/0!</v>
      </c>
      <c r="AS1163" s="1040" t="e">
        <f t="shared" ref="AS1163:AY1163" si="770">IF(AS363="",0,IF(OR(1=RANK(AS763,AS$412:AS$790,0),(2=RANK(AS763,AS$412:AS$790,0))),AS763,AS363))</f>
        <v>#DIV/0!</v>
      </c>
      <c r="AT1163" s="1040" t="e">
        <f t="shared" si="770"/>
        <v>#DIV/0!</v>
      </c>
      <c r="AU1163" s="1040">
        <f t="shared" si="770"/>
        <v>0</v>
      </c>
      <c r="AV1163" s="1040" t="e">
        <f t="shared" si="770"/>
        <v>#DIV/0!</v>
      </c>
      <c r="AW1163" s="1040" t="e">
        <f t="shared" si="770"/>
        <v>#DIV/0!</v>
      </c>
      <c r="AX1163" s="1040" t="e">
        <f t="shared" si="770"/>
        <v>#DIV/0!</v>
      </c>
      <c r="AY1163" s="1040" t="e">
        <f t="shared" si="770"/>
        <v>#DIV/0!</v>
      </c>
      <c r="AZ1163" s="1061" t="s">
        <v>21</v>
      </c>
      <c r="BC1163" s="29"/>
      <c r="BD1163" s="29"/>
      <c r="BE1163" s="13"/>
      <c r="BL1163" s="368"/>
    </row>
    <row r="1164" spans="1:64" ht="12" customHeight="1" x14ac:dyDescent="0.2">
      <c r="A1164" s="39">
        <f>acute_overview_children!A364</f>
        <v>4</v>
      </c>
      <c r="B1164" s="23">
        <f t="shared" si="705"/>
        <v>1016040</v>
      </c>
      <c r="C1164" s="23" t="str">
        <f t="shared" si="706"/>
        <v>Poultry: Kidney</v>
      </c>
      <c r="D1164" s="135"/>
      <c r="E1164" s="1027"/>
      <c r="F1164" s="87"/>
      <c r="G1164" s="87"/>
      <c r="H1164" s="1027"/>
      <c r="I1164" s="1030"/>
      <c r="J1164" s="1039" t="e">
        <f t="shared" ref="J1164:AR1164" si="771">IF(J364="",0,IF(OR(1=RANK(J764,J$412:J$790,0),(2=RANK(J764,J$412:J$790,0))),J764,J364))</f>
        <v>#DIV/0!</v>
      </c>
      <c r="K1164" s="1040" t="e">
        <f t="shared" si="771"/>
        <v>#DIV/0!</v>
      </c>
      <c r="L1164" s="1040" t="e">
        <f t="shared" si="771"/>
        <v>#DIV/0!</v>
      </c>
      <c r="M1164" s="1040" t="e">
        <f t="shared" si="771"/>
        <v>#DIV/0!</v>
      </c>
      <c r="N1164" s="1040" t="e">
        <f t="shared" si="771"/>
        <v>#DIV/0!</v>
      </c>
      <c r="O1164" s="1040" t="e">
        <f t="shared" si="771"/>
        <v>#DIV/0!</v>
      </c>
      <c r="P1164" s="1040" t="e">
        <f t="shared" si="771"/>
        <v>#DIV/0!</v>
      </c>
      <c r="Q1164" s="1040" t="e">
        <f t="shared" si="771"/>
        <v>#DIV/0!</v>
      </c>
      <c r="R1164" s="1040" t="e">
        <f t="shared" si="771"/>
        <v>#DIV/0!</v>
      </c>
      <c r="S1164" s="1040" t="e">
        <f t="shared" si="771"/>
        <v>#DIV/0!</v>
      </c>
      <c r="T1164" s="1040" t="e">
        <f t="shared" si="771"/>
        <v>#DIV/0!</v>
      </c>
      <c r="U1164" s="1040" t="e">
        <f t="shared" si="771"/>
        <v>#DIV/0!</v>
      </c>
      <c r="V1164" s="1040" t="e">
        <f t="shared" si="771"/>
        <v>#DIV/0!</v>
      </c>
      <c r="W1164" s="1040" t="e">
        <f t="shared" si="771"/>
        <v>#DIV/0!</v>
      </c>
      <c r="X1164" s="1040" t="e">
        <f t="shared" si="771"/>
        <v>#DIV/0!</v>
      </c>
      <c r="Y1164" s="1040" t="e">
        <f t="shared" si="771"/>
        <v>#DIV/0!</v>
      </c>
      <c r="Z1164" s="1040" t="e">
        <f t="shared" si="771"/>
        <v>#DIV/0!</v>
      </c>
      <c r="AA1164" s="1040" t="e">
        <f t="shared" si="771"/>
        <v>#DIV/0!</v>
      </c>
      <c r="AB1164" s="1040" t="e">
        <f t="shared" si="771"/>
        <v>#DIV/0!</v>
      </c>
      <c r="AC1164" s="1040" t="e">
        <f t="shared" si="771"/>
        <v>#DIV/0!</v>
      </c>
      <c r="AD1164" s="1040" t="e">
        <f t="shared" si="771"/>
        <v>#DIV/0!</v>
      </c>
      <c r="AE1164" s="1040" t="e">
        <f t="shared" si="771"/>
        <v>#DIV/0!</v>
      </c>
      <c r="AF1164" s="1040" t="e">
        <f t="shared" si="771"/>
        <v>#DIV/0!</v>
      </c>
      <c r="AG1164" s="1040" t="e">
        <f t="shared" si="771"/>
        <v>#DIV/0!</v>
      </c>
      <c r="AH1164" s="1040" t="e">
        <f t="shared" si="771"/>
        <v>#DIV/0!</v>
      </c>
      <c r="AI1164" s="1040" t="e">
        <f t="shared" si="771"/>
        <v>#DIV/0!</v>
      </c>
      <c r="AJ1164" s="1040" t="e">
        <f t="shared" si="771"/>
        <v>#DIV/0!</v>
      </c>
      <c r="AK1164" s="1040" t="e">
        <f t="shared" si="771"/>
        <v>#DIV/0!</v>
      </c>
      <c r="AL1164" s="1040" t="e">
        <f t="shared" si="771"/>
        <v>#DIV/0!</v>
      </c>
      <c r="AM1164" s="1040" t="e">
        <f t="shared" si="771"/>
        <v>#DIV/0!</v>
      </c>
      <c r="AN1164" s="1040" t="e">
        <f t="shared" si="771"/>
        <v>#DIV/0!</v>
      </c>
      <c r="AO1164" s="1040" t="e">
        <f t="shared" si="771"/>
        <v>#DIV/0!</v>
      </c>
      <c r="AP1164" s="1040" t="e">
        <f t="shared" si="771"/>
        <v>#DIV/0!</v>
      </c>
      <c r="AQ1164" s="1040" t="e">
        <f t="shared" si="771"/>
        <v>#DIV/0!</v>
      </c>
      <c r="AR1164" s="1040" t="e">
        <f t="shared" si="771"/>
        <v>#DIV/0!</v>
      </c>
      <c r="AS1164" s="1040" t="e">
        <f t="shared" ref="AS1164:AY1164" si="772">IF(AS364="",0,IF(OR(1=RANK(AS764,AS$412:AS$790,0),(2=RANK(AS764,AS$412:AS$790,0))),AS764,AS364))</f>
        <v>#DIV/0!</v>
      </c>
      <c r="AT1164" s="1040" t="e">
        <f t="shared" si="772"/>
        <v>#DIV/0!</v>
      </c>
      <c r="AU1164" s="1040">
        <f t="shared" si="772"/>
        <v>0</v>
      </c>
      <c r="AV1164" s="1040" t="e">
        <f t="shared" si="772"/>
        <v>#DIV/0!</v>
      </c>
      <c r="AW1164" s="1040" t="e">
        <f t="shared" si="772"/>
        <v>#DIV/0!</v>
      </c>
      <c r="AX1164" s="1040" t="e">
        <f t="shared" si="772"/>
        <v>#DIV/0!</v>
      </c>
      <c r="AY1164" s="1040" t="e">
        <f t="shared" si="772"/>
        <v>#DIV/0!</v>
      </c>
      <c r="AZ1164" s="1061" t="s">
        <v>21</v>
      </c>
      <c r="BC1164" s="29"/>
      <c r="BD1164" s="29"/>
      <c r="BE1164" s="13"/>
      <c r="BL1164" s="368"/>
    </row>
    <row r="1165" spans="1:64" ht="12" customHeight="1" x14ac:dyDescent="0.2">
      <c r="A1165" s="39">
        <f>acute_overview_children!A365</f>
        <v>4</v>
      </c>
      <c r="B1165" s="23">
        <f t="shared" si="705"/>
        <v>1016050</v>
      </c>
      <c r="C1165" s="23" t="str">
        <f t="shared" si="706"/>
        <v>Poultry: Edible offals (other than liver and kideny)</v>
      </c>
      <c r="D1165" s="135"/>
      <c r="E1165" s="1027"/>
      <c r="F1165" s="87"/>
      <c r="G1165" s="87"/>
      <c r="H1165" s="1027"/>
      <c r="I1165" s="1030"/>
      <c r="J1165" s="1039" t="e">
        <f t="shared" ref="J1165:AR1165" si="773">IF(J365="",0,IF(OR(1=RANK(J765,J$412:J$790,0),(2=RANK(J765,J$412:J$790,0))),J765,J365))</f>
        <v>#DIV/0!</v>
      </c>
      <c r="K1165" s="1040" t="e">
        <f t="shared" si="773"/>
        <v>#DIV/0!</v>
      </c>
      <c r="L1165" s="1040" t="e">
        <f t="shared" si="773"/>
        <v>#DIV/0!</v>
      </c>
      <c r="M1165" s="1040" t="e">
        <f t="shared" si="773"/>
        <v>#DIV/0!</v>
      </c>
      <c r="N1165" s="1040" t="e">
        <f t="shared" si="773"/>
        <v>#DIV/0!</v>
      </c>
      <c r="O1165" s="1040" t="e">
        <f t="shared" si="773"/>
        <v>#DIV/0!</v>
      </c>
      <c r="P1165" s="1040" t="e">
        <f t="shared" si="773"/>
        <v>#DIV/0!</v>
      </c>
      <c r="Q1165" s="1040" t="e">
        <f t="shared" si="773"/>
        <v>#DIV/0!</v>
      </c>
      <c r="R1165" s="1040" t="e">
        <f t="shared" si="773"/>
        <v>#DIV/0!</v>
      </c>
      <c r="S1165" s="1040" t="e">
        <f t="shared" si="773"/>
        <v>#DIV/0!</v>
      </c>
      <c r="T1165" s="1040" t="e">
        <f t="shared" si="773"/>
        <v>#DIV/0!</v>
      </c>
      <c r="U1165" s="1040" t="e">
        <f t="shared" si="773"/>
        <v>#DIV/0!</v>
      </c>
      <c r="V1165" s="1040" t="e">
        <f t="shared" si="773"/>
        <v>#DIV/0!</v>
      </c>
      <c r="W1165" s="1040" t="e">
        <f t="shared" si="773"/>
        <v>#DIV/0!</v>
      </c>
      <c r="X1165" s="1040" t="e">
        <f t="shared" si="773"/>
        <v>#DIV/0!</v>
      </c>
      <c r="Y1165" s="1040" t="e">
        <f t="shared" si="773"/>
        <v>#DIV/0!</v>
      </c>
      <c r="Z1165" s="1040" t="e">
        <f t="shared" si="773"/>
        <v>#DIV/0!</v>
      </c>
      <c r="AA1165" s="1040" t="e">
        <f t="shared" si="773"/>
        <v>#DIV/0!</v>
      </c>
      <c r="AB1165" s="1040" t="e">
        <f t="shared" si="773"/>
        <v>#DIV/0!</v>
      </c>
      <c r="AC1165" s="1040" t="e">
        <f t="shared" si="773"/>
        <v>#DIV/0!</v>
      </c>
      <c r="AD1165" s="1040" t="e">
        <f t="shared" si="773"/>
        <v>#DIV/0!</v>
      </c>
      <c r="AE1165" s="1040" t="e">
        <f t="shared" si="773"/>
        <v>#DIV/0!</v>
      </c>
      <c r="AF1165" s="1040" t="e">
        <f t="shared" si="773"/>
        <v>#DIV/0!</v>
      </c>
      <c r="AG1165" s="1040" t="e">
        <f t="shared" si="773"/>
        <v>#DIV/0!</v>
      </c>
      <c r="AH1165" s="1040" t="e">
        <f t="shared" si="773"/>
        <v>#DIV/0!</v>
      </c>
      <c r="AI1165" s="1040" t="e">
        <f t="shared" si="773"/>
        <v>#DIV/0!</v>
      </c>
      <c r="AJ1165" s="1040" t="e">
        <f t="shared" si="773"/>
        <v>#DIV/0!</v>
      </c>
      <c r="AK1165" s="1040" t="e">
        <f t="shared" si="773"/>
        <v>#DIV/0!</v>
      </c>
      <c r="AL1165" s="1040" t="e">
        <f t="shared" si="773"/>
        <v>#DIV/0!</v>
      </c>
      <c r="AM1165" s="1040" t="e">
        <f t="shared" si="773"/>
        <v>#DIV/0!</v>
      </c>
      <c r="AN1165" s="1040" t="e">
        <f t="shared" si="773"/>
        <v>#DIV/0!</v>
      </c>
      <c r="AO1165" s="1040" t="e">
        <f t="shared" si="773"/>
        <v>#DIV/0!</v>
      </c>
      <c r="AP1165" s="1040" t="e">
        <f t="shared" si="773"/>
        <v>#DIV/0!</v>
      </c>
      <c r="AQ1165" s="1040" t="e">
        <f t="shared" si="773"/>
        <v>#DIV/0!</v>
      </c>
      <c r="AR1165" s="1040" t="e">
        <f t="shared" si="773"/>
        <v>#DIV/0!</v>
      </c>
      <c r="AS1165" s="1040" t="e">
        <f t="shared" ref="AS1165:AY1165" si="774">IF(AS365="",0,IF(OR(1=RANK(AS765,AS$412:AS$790,0),(2=RANK(AS765,AS$412:AS$790,0))),AS765,AS365))</f>
        <v>#DIV/0!</v>
      </c>
      <c r="AT1165" s="1040" t="e">
        <f t="shared" si="774"/>
        <v>#DIV/0!</v>
      </c>
      <c r="AU1165" s="1040">
        <f t="shared" si="774"/>
        <v>0</v>
      </c>
      <c r="AV1165" s="1040" t="e">
        <f t="shared" si="774"/>
        <v>#DIV/0!</v>
      </c>
      <c r="AW1165" s="1040" t="e">
        <f t="shared" si="774"/>
        <v>#DIV/0!</v>
      </c>
      <c r="AX1165" s="1040" t="e">
        <f t="shared" si="774"/>
        <v>#DIV/0!</v>
      </c>
      <c r="AY1165" s="1040" t="e">
        <f t="shared" si="774"/>
        <v>#DIV/0!</v>
      </c>
      <c r="AZ1165" s="1061" t="s">
        <v>21</v>
      </c>
      <c r="BC1165" s="29"/>
      <c r="BD1165" s="29"/>
      <c r="BE1165" s="13"/>
      <c r="BL1165" s="368"/>
    </row>
    <row r="1166" spans="1:64" ht="12" customHeight="1" x14ac:dyDescent="0.2">
      <c r="A1166" s="39">
        <f>acute_overview_children!A366</f>
        <v>4</v>
      </c>
      <c r="B1166" s="23">
        <f t="shared" si="705"/>
        <v>1016990</v>
      </c>
      <c r="C1166" s="23" t="str">
        <f t="shared" si="706"/>
        <v>Poultry: Other products</v>
      </c>
      <c r="D1166" s="135"/>
      <c r="E1166" s="1027"/>
      <c r="F1166" s="87"/>
      <c r="G1166" s="87"/>
      <c r="H1166" s="1027"/>
      <c r="I1166" s="1030"/>
      <c r="J1166" s="1039" t="e">
        <f t="shared" ref="J1166:AR1166" si="775">IF(J366="",0,IF(OR(1=RANK(J766,J$412:J$790,0),(2=RANK(J766,J$412:J$790,0))),J766,J366))</f>
        <v>#DIV/0!</v>
      </c>
      <c r="K1166" s="1040" t="e">
        <f t="shared" si="775"/>
        <v>#DIV/0!</v>
      </c>
      <c r="L1166" s="1040" t="e">
        <f t="shared" si="775"/>
        <v>#DIV/0!</v>
      </c>
      <c r="M1166" s="1040" t="e">
        <f t="shared" si="775"/>
        <v>#DIV/0!</v>
      </c>
      <c r="N1166" s="1040" t="e">
        <f t="shared" si="775"/>
        <v>#DIV/0!</v>
      </c>
      <c r="O1166" s="1040" t="e">
        <f t="shared" si="775"/>
        <v>#DIV/0!</v>
      </c>
      <c r="P1166" s="1040" t="e">
        <f t="shared" si="775"/>
        <v>#DIV/0!</v>
      </c>
      <c r="Q1166" s="1040" t="e">
        <f t="shared" si="775"/>
        <v>#DIV/0!</v>
      </c>
      <c r="R1166" s="1040" t="e">
        <f t="shared" si="775"/>
        <v>#DIV/0!</v>
      </c>
      <c r="S1166" s="1040" t="e">
        <f t="shared" si="775"/>
        <v>#DIV/0!</v>
      </c>
      <c r="T1166" s="1040" t="e">
        <f t="shared" si="775"/>
        <v>#DIV/0!</v>
      </c>
      <c r="U1166" s="1040" t="e">
        <f t="shared" si="775"/>
        <v>#DIV/0!</v>
      </c>
      <c r="V1166" s="1040" t="e">
        <f t="shared" si="775"/>
        <v>#DIV/0!</v>
      </c>
      <c r="W1166" s="1040" t="e">
        <f t="shared" si="775"/>
        <v>#DIV/0!</v>
      </c>
      <c r="X1166" s="1040" t="e">
        <f t="shared" si="775"/>
        <v>#DIV/0!</v>
      </c>
      <c r="Y1166" s="1040" t="e">
        <f t="shared" si="775"/>
        <v>#DIV/0!</v>
      </c>
      <c r="Z1166" s="1040" t="e">
        <f t="shared" si="775"/>
        <v>#DIV/0!</v>
      </c>
      <c r="AA1166" s="1040" t="e">
        <f t="shared" si="775"/>
        <v>#DIV/0!</v>
      </c>
      <c r="AB1166" s="1040" t="e">
        <f t="shared" si="775"/>
        <v>#DIV/0!</v>
      </c>
      <c r="AC1166" s="1040" t="e">
        <f t="shared" si="775"/>
        <v>#DIV/0!</v>
      </c>
      <c r="AD1166" s="1040" t="e">
        <f t="shared" si="775"/>
        <v>#DIV/0!</v>
      </c>
      <c r="AE1166" s="1040" t="e">
        <f t="shared" si="775"/>
        <v>#DIV/0!</v>
      </c>
      <c r="AF1166" s="1040" t="e">
        <f t="shared" si="775"/>
        <v>#DIV/0!</v>
      </c>
      <c r="AG1166" s="1040" t="e">
        <f t="shared" si="775"/>
        <v>#DIV/0!</v>
      </c>
      <c r="AH1166" s="1040" t="e">
        <f t="shared" si="775"/>
        <v>#DIV/0!</v>
      </c>
      <c r="AI1166" s="1040" t="e">
        <f t="shared" si="775"/>
        <v>#DIV/0!</v>
      </c>
      <c r="AJ1166" s="1040" t="e">
        <f t="shared" si="775"/>
        <v>#DIV/0!</v>
      </c>
      <c r="AK1166" s="1040" t="e">
        <f t="shared" si="775"/>
        <v>#DIV/0!</v>
      </c>
      <c r="AL1166" s="1040" t="e">
        <f t="shared" si="775"/>
        <v>#DIV/0!</v>
      </c>
      <c r="AM1166" s="1040" t="e">
        <f t="shared" si="775"/>
        <v>#DIV/0!</v>
      </c>
      <c r="AN1166" s="1040" t="e">
        <f t="shared" si="775"/>
        <v>#DIV/0!</v>
      </c>
      <c r="AO1166" s="1040" t="e">
        <f t="shared" si="775"/>
        <v>#DIV/0!</v>
      </c>
      <c r="AP1166" s="1040" t="e">
        <f t="shared" si="775"/>
        <v>#DIV/0!</v>
      </c>
      <c r="AQ1166" s="1040" t="e">
        <f t="shared" si="775"/>
        <v>#DIV/0!</v>
      </c>
      <c r="AR1166" s="1040" t="e">
        <f t="shared" si="775"/>
        <v>#DIV/0!</v>
      </c>
      <c r="AS1166" s="1040" t="e">
        <f t="shared" ref="AS1166:AY1166" si="776">IF(AS366="",0,IF(OR(1=RANK(AS766,AS$412:AS$790,0),(2=RANK(AS766,AS$412:AS$790,0))),AS766,AS366))</f>
        <v>#DIV/0!</v>
      </c>
      <c r="AT1166" s="1040" t="e">
        <f t="shared" si="776"/>
        <v>#DIV/0!</v>
      </c>
      <c r="AU1166" s="1040">
        <f t="shared" si="776"/>
        <v>0</v>
      </c>
      <c r="AV1166" s="1040" t="e">
        <f t="shared" si="776"/>
        <v>#DIV/0!</v>
      </c>
      <c r="AW1166" s="1040" t="e">
        <f t="shared" si="776"/>
        <v>#DIV/0!</v>
      </c>
      <c r="AX1166" s="1040" t="e">
        <f t="shared" si="776"/>
        <v>#DIV/0!</v>
      </c>
      <c r="AY1166" s="1040" t="e">
        <f t="shared" si="776"/>
        <v>#DIV/0!</v>
      </c>
      <c r="AZ1166" s="1061" t="s">
        <v>21</v>
      </c>
      <c r="BC1166" s="29"/>
      <c r="BD1166" s="29"/>
      <c r="BE1166" s="13"/>
      <c r="BL1166" s="368"/>
    </row>
    <row r="1167" spans="1:64" ht="12" customHeight="1" x14ac:dyDescent="0.2">
      <c r="A1167" s="133">
        <f>acute_overview_children!A367</f>
        <v>3</v>
      </c>
      <c r="B1167" s="5">
        <f t="shared" si="705"/>
        <v>1017000</v>
      </c>
      <c r="C1167" s="5" t="str">
        <f t="shared" si="706"/>
        <v>Other farmed terrestrial animals</v>
      </c>
      <c r="D1167" s="135"/>
      <c r="E1167" s="1027"/>
      <c r="F1167" s="87"/>
      <c r="G1167" s="87"/>
      <c r="H1167" s="1027"/>
      <c r="I1167" s="1030"/>
      <c r="J1167" s="1047" t="e">
        <f t="shared" ref="J1167:AR1167" si="777">IF(J367="",0,IF(OR(1=RANK(J767,J$412:J$790,0),(2=RANK(J767,J$412:J$790,0))),J767,J367))</f>
        <v>#DIV/0!</v>
      </c>
      <c r="K1167" s="1048" t="e">
        <f t="shared" si="777"/>
        <v>#DIV/0!</v>
      </c>
      <c r="L1167" s="1048" t="e">
        <f t="shared" si="777"/>
        <v>#DIV/0!</v>
      </c>
      <c r="M1167" s="1048" t="e">
        <f t="shared" si="777"/>
        <v>#DIV/0!</v>
      </c>
      <c r="N1167" s="1048" t="e">
        <f t="shared" si="777"/>
        <v>#DIV/0!</v>
      </c>
      <c r="O1167" s="1048" t="e">
        <f t="shared" si="777"/>
        <v>#DIV/0!</v>
      </c>
      <c r="P1167" s="1048" t="e">
        <f t="shared" si="777"/>
        <v>#DIV/0!</v>
      </c>
      <c r="Q1167" s="1048" t="e">
        <f t="shared" si="777"/>
        <v>#DIV/0!</v>
      </c>
      <c r="R1167" s="1048" t="e">
        <f t="shared" si="777"/>
        <v>#DIV/0!</v>
      </c>
      <c r="S1167" s="1048" t="e">
        <f t="shared" si="777"/>
        <v>#DIV/0!</v>
      </c>
      <c r="T1167" s="1048" t="e">
        <f t="shared" si="777"/>
        <v>#DIV/0!</v>
      </c>
      <c r="U1167" s="1048" t="e">
        <f t="shared" si="777"/>
        <v>#DIV/0!</v>
      </c>
      <c r="V1167" s="1048" t="e">
        <f t="shared" si="777"/>
        <v>#DIV/0!</v>
      </c>
      <c r="W1167" s="1048" t="e">
        <f t="shared" si="777"/>
        <v>#DIV/0!</v>
      </c>
      <c r="X1167" s="1048" t="e">
        <f t="shared" si="777"/>
        <v>#DIV/0!</v>
      </c>
      <c r="Y1167" s="1048" t="e">
        <f t="shared" si="777"/>
        <v>#DIV/0!</v>
      </c>
      <c r="Z1167" s="1048" t="e">
        <f t="shared" si="777"/>
        <v>#DIV/0!</v>
      </c>
      <c r="AA1167" s="1048" t="e">
        <f t="shared" si="777"/>
        <v>#DIV/0!</v>
      </c>
      <c r="AB1167" s="1048" t="e">
        <f t="shared" si="777"/>
        <v>#DIV/0!</v>
      </c>
      <c r="AC1167" s="1048" t="e">
        <f t="shared" si="777"/>
        <v>#DIV/0!</v>
      </c>
      <c r="AD1167" s="1048" t="e">
        <f t="shared" si="777"/>
        <v>#DIV/0!</v>
      </c>
      <c r="AE1167" s="1048" t="e">
        <f t="shared" si="777"/>
        <v>#DIV/0!</v>
      </c>
      <c r="AF1167" s="1048" t="e">
        <f t="shared" si="777"/>
        <v>#DIV/0!</v>
      </c>
      <c r="AG1167" s="1048" t="e">
        <f t="shared" si="777"/>
        <v>#DIV/0!</v>
      </c>
      <c r="AH1167" s="1048" t="e">
        <f t="shared" si="777"/>
        <v>#DIV/0!</v>
      </c>
      <c r="AI1167" s="1048" t="e">
        <f t="shared" si="777"/>
        <v>#DIV/0!</v>
      </c>
      <c r="AJ1167" s="1048" t="e">
        <f t="shared" si="777"/>
        <v>#DIV/0!</v>
      </c>
      <c r="AK1167" s="1048" t="e">
        <f t="shared" si="777"/>
        <v>#DIV/0!</v>
      </c>
      <c r="AL1167" s="1048" t="e">
        <f t="shared" si="777"/>
        <v>#DIV/0!</v>
      </c>
      <c r="AM1167" s="1048" t="e">
        <f t="shared" si="777"/>
        <v>#DIV/0!</v>
      </c>
      <c r="AN1167" s="1048" t="e">
        <f t="shared" si="777"/>
        <v>#DIV/0!</v>
      </c>
      <c r="AO1167" s="1048" t="e">
        <f t="shared" si="777"/>
        <v>#DIV/0!</v>
      </c>
      <c r="AP1167" s="1048" t="e">
        <f t="shared" si="777"/>
        <v>#DIV/0!</v>
      </c>
      <c r="AQ1167" s="1048" t="e">
        <f t="shared" si="777"/>
        <v>#DIV/0!</v>
      </c>
      <c r="AR1167" s="1048" t="e">
        <f t="shared" si="777"/>
        <v>#DIV/0!</v>
      </c>
      <c r="AS1167" s="1048" t="e">
        <f t="shared" ref="AS1167:AY1167" si="778">IF(AS367="",0,IF(OR(1=RANK(AS767,AS$412:AS$790,0),(2=RANK(AS767,AS$412:AS$790,0))),AS767,AS367))</f>
        <v>#DIV/0!</v>
      </c>
      <c r="AT1167" s="1048" t="e">
        <f t="shared" si="778"/>
        <v>#DIV/0!</v>
      </c>
      <c r="AU1167" s="1048">
        <f t="shared" si="778"/>
        <v>0</v>
      </c>
      <c r="AV1167" s="1048" t="e">
        <f t="shared" si="778"/>
        <v>#DIV/0!</v>
      </c>
      <c r="AW1167" s="1048" t="e">
        <f t="shared" si="778"/>
        <v>#DIV/0!</v>
      </c>
      <c r="AX1167" s="1048" t="e">
        <f t="shared" si="778"/>
        <v>#DIV/0!</v>
      </c>
      <c r="AY1167" s="1048" t="e">
        <f t="shared" si="778"/>
        <v>#DIV/0!</v>
      </c>
      <c r="AZ1167" s="1061" t="s">
        <v>21</v>
      </c>
      <c r="BC1167" s="29"/>
      <c r="BD1167" s="29"/>
      <c r="BE1167" s="13"/>
      <c r="BL1167" s="368"/>
    </row>
    <row r="1168" spans="1:64" ht="12" customHeight="1" x14ac:dyDescent="0.2">
      <c r="A1168" s="39">
        <f>acute_overview_children!A368</f>
        <v>4</v>
      </c>
      <c r="B1168" s="23">
        <f t="shared" si="705"/>
        <v>1017010</v>
      </c>
      <c r="C1168" s="23" t="str">
        <f t="shared" si="706"/>
        <v xml:space="preserve"> Other farmed animals: Muscle/meat</v>
      </c>
      <c r="D1168" s="135"/>
      <c r="E1168" s="1027"/>
      <c r="F1168" s="87"/>
      <c r="G1168" s="87"/>
      <c r="H1168" s="1027"/>
      <c r="I1168" s="1030"/>
      <c r="J1168" s="1039" t="e">
        <f t="shared" ref="J1168:AR1168" si="779">IF(J368="",0,IF(OR(1=RANK(J768,J$412:J$790,0),(2=RANK(J768,J$412:J$790,0))),J768,J368))</f>
        <v>#DIV/0!</v>
      </c>
      <c r="K1168" s="1040" t="e">
        <f t="shared" si="779"/>
        <v>#DIV/0!</v>
      </c>
      <c r="L1168" s="1040" t="e">
        <f t="shared" si="779"/>
        <v>#DIV/0!</v>
      </c>
      <c r="M1168" s="1040" t="e">
        <f t="shared" si="779"/>
        <v>#DIV/0!</v>
      </c>
      <c r="N1168" s="1040" t="e">
        <f t="shared" si="779"/>
        <v>#DIV/0!</v>
      </c>
      <c r="O1168" s="1040" t="e">
        <f t="shared" si="779"/>
        <v>#DIV/0!</v>
      </c>
      <c r="P1168" s="1040" t="e">
        <f t="shared" si="779"/>
        <v>#DIV/0!</v>
      </c>
      <c r="Q1168" s="1040" t="e">
        <f t="shared" si="779"/>
        <v>#DIV/0!</v>
      </c>
      <c r="R1168" s="1040" t="e">
        <f t="shared" si="779"/>
        <v>#DIV/0!</v>
      </c>
      <c r="S1168" s="1040" t="e">
        <f t="shared" si="779"/>
        <v>#DIV/0!</v>
      </c>
      <c r="T1168" s="1040" t="e">
        <f t="shared" si="779"/>
        <v>#DIV/0!</v>
      </c>
      <c r="U1168" s="1040" t="e">
        <f t="shared" si="779"/>
        <v>#DIV/0!</v>
      </c>
      <c r="V1168" s="1040" t="e">
        <f t="shared" si="779"/>
        <v>#DIV/0!</v>
      </c>
      <c r="W1168" s="1040" t="e">
        <f t="shared" si="779"/>
        <v>#DIV/0!</v>
      </c>
      <c r="X1168" s="1040" t="e">
        <f t="shared" si="779"/>
        <v>#DIV/0!</v>
      </c>
      <c r="Y1168" s="1040" t="e">
        <f t="shared" si="779"/>
        <v>#DIV/0!</v>
      </c>
      <c r="Z1168" s="1040" t="e">
        <f t="shared" si="779"/>
        <v>#DIV/0!</v>
      </c>
      <c r="AA1168" s="1040" t="e">
        <f t="shared" si="779"/>
        <v>#DIV/0!</v>
      </c>
      <c r="AB1168" s="1040" t="e">
        <f t="shared" si="779"/>
        <v>#DIV/0!</v>
      </c>
      <c r="AC1168" s="1040" t="e">
        <f t="shared" si="779"/>
        <v>#DIV/0!</v>
      </c>
      <c r="AD1168" s="1040" t="e">
        <f t="shared" si="779"/>
        <v>#DIV/0!</v>
      </c>
      <c r="AE1168" s="1040" t="e">
        <f t="shared" si="779"/>
        <v>#DIV/0!</v>
      </c>
      <c r="AF1168" s="1040" t="e">
        <f t="shared" si="779"/>
        <v>#DIV/0!</v>
      </c>
      <c r="AG1168" s="1040" t="e">
        <f t="shared" si="779"/>
        <v>#DIV/0!</v>
      </c>
      <c r="AH1168" s="1040" t="e">
        <f t="shared" si="779"/>
        <v>#DIV/0!</v>
      </c>
      <c r="AI1168" s="1040" t="e">
        <f t="shared" si="779"/>
        <v>#DIV/0!</v>
      </c>
      <c r="AJ1168" s="1040" t="e">
        <f t="shared" si="779"/>
        <v>#DIV/0!</v>
      </c>
      <c r="AK1168" s="1040" t="e">
        <f t="shared" si="779"/>
        <v>#DIV/0!</v>
      </c>
      <c r="AL1168" s="1040" t="e">
        <f t="shared" si="779"/>
        <v>#DIV/0!</v>
      </c>
      <c r="AM1168" s="1040" t="e">
        <f t="shared" si="779"/>
        <v>#DIV/0!</v>
      </c>
      <c r="AN1168" s="1040" t="e">
        <f t="shared" si="779"/>
        <v>#DIV/0!</v>
      </c>
      <c r="AO1168" s="1040" t="e">
        <f t="shared" si="779"/>
        <v>#DIV/0!</v>
      </c>
      <c r="AP1168" s="1040" t="e">
        <f t="shared" si="779"/>
        <v>#DIV/0!</v>
      </c>
      <c r="AQ1168" s="1040" t="e">
        <f t="shared" si="779"/>
        <v>#DIV/0!</v>
      </c>
      <c r="AR1168" s="1040" t="e">
        <f t="shared" si="779"/>
        <v>#DIV/0!</v>
      </c>
      <c r="AS1168" s="1040" t="e">
        <f t="shared" ref="AS1168:AY1168" si="780">IF(AS368="",0,IF(OR(1=RANK(AS768,AS$412:AS$790,0),(2=RANK(AS768,AS$412:AS$790,0))),AS768,AS368))</f>
        <v>#DIV/0!</v>
      </c>
      <c r="AT1168" s="1040" t="e">
        <f t="shared" si="780"/>
        <v>#DIV/0!</v>
      </c>
      <c r="AU1168" s="1040">
        <f t="shared" si="780"/>
        <v>0</v>
      </c>
      <c r="AV1168" s="1040" t="e">
        <f t="shared" si="780"/>
        <v>#DIV/0!</v>
      </c>
      <c r="AW1168" s="1040" t="e">
        <f t="shared" si="780"/>
        <v>#DIV/0!</v>
      </c>
      <c r="AX1168" s="1040" t="e">
        <f t="shared" si="780"/>
        <v>#DIV/0!</v>
      </c>
      <c r="AY1168" s="1040" t="e">
        <f t="shared" si="780"/>
        <v>#DIV/0!</v>
      </c>
      <c r="AZ1168" s="1061" t="s">
        <v>21</v>
      </c>
      <c r="BC1168" s="29"/>
      <c r="BD1168" s="29"/>
      <c r="BE1168" s="13"/>
      <c r="BL1168" s="368"/>
    </row>
    <row r="1169" spans="1:64" ht="12" customHeight="1" x14ac:dyDescent="0.2">
      <c r="A1169" s="39">
        <f>acute_overview_children!A369</f>
        <v>4</v>
      </c>
      <c r="B1169" s="23">
        <f t="shared" si="705"/>
        <v>1017020</v>
      </c>
      <c r="C1169" s="23" t="str">
        <f t="shared" si="706"/>
        <v xml:space="preserve"> Other farmed animals: Fat tissue</v>
      </c>
      <c r="D1169" s="135"/>
      <c r="E1169" s="1027"/>
      <c r="F1169" s="87"/>
      <c r="G1169" s="87"/>
      <c r="H1169" s="1027"/>
      <c r="I1169" s="1030"/>
      <c r="J1169" s="1039" t="e">
        <f t="shared" ref="J1169:AR1169" si="781">IF(J369="",0,IF(OR(1=RANK(J769,J$412:J$790,0),(2=RANK(J769,J$412:J$790,0))),J769,J369))</f>
        <v>#DIV/0!</v>
      </c>
      <c r="K1169" s="1040" t="e">
        <f t="shared" si="781"/>
        <v>#DIV/0!</v>
      </c>
      <c r="L1169" s="1040" t="e">
        <f t="shared" si="781"/>
        <v>#DIV/0!</v>
      </c>
      <c r="M1169" s="1040" t="e">
        <f t="shared" si="781"/>
        <v>#DIV/0!</v>
      </c>
      <c r="N1169" s="1040" t="e">
        <f t="shared" si="781"/>
        <v>#DIV/0!</v>
      </c>
      <c r="O1169" s="1040" t="e">
        <f t="shared" si="781"/>
        <v>#DIV/0!</v>
      </c>
      <c r="P1169" s="1040" t="e">
        <f t="shared" si="781"/>
        <v>#DIV/0!</v>
      </c>
      <c r="Q1169" s="1040" t="e">
        <f t="shared" si="781"/>
        <v>#DIV/0!</v>
      </c>
      <c r="R1169" s="1040" t="e">
        <f t="shared" si="781"/>
        <v>#DIV/0!</v>
      </c>
      <c r="S1169" s="1040" t="e">
        <f t="shared" si="781"/>
        <v>#DIV/0!</v>
      </c>
      <c r="T1169" s="1040" t="e">
        <f t="shared" si="781"/>
        <v>#DIV/0!</v>
      </c>
      <c r="U1169" s="1040" t="e">
        <f t="shared" si="781"/>
        <v>#DIV/0!</v>
      </c>
      <c r="V1169" s="1040" t="e">
        <f t="shared" si="781"/>
        <v>#DIV/0!</v>
      </c>
      <c r="W1169" s="1040" t="e">
        <f t="shared" si="781"/>
        <v>#DIV/0!</v>
      </c>
      <c r="X1169" s="1040" t="e">
        <f t="shared" si="781"/>
        <v>#DIV/0!</v>
      </c>
      <c r="Y1169" s="1040" t="e">
        <f t="shared" si="781"/>
        <v>#DIV/0!</v>
      </c>
      <c r="Z1169" s="1040" t="e">
        <f t="shared" si="781"/>
        <v>#DIV/0!</v>
      </c>
      <c r="AA1169" s="1040" t="e">
        <f t="shared" si="781"/>
        <v>#DIV/0!</v>
      </c>
      <c r="AB1169" s="1040" t="e">
        <f t="shared" si="781"/>
        <v>#DIV/0!</v>
      </c>
      <c r="AC1169" s="1040" t="e">
        <f t="shared" si="781"/>
        <v>#DIV/0!</v>
      </c>
      <c r="AD1169" s="1040" t="e">
        <f t="shared" si="781"/>
        <v>#DIV/0!</v>
      </c>
      <c r="AE1169" s="1040" t="e">
        <f t="shared" si="781"/>
        <v>#DIV/0!</v>
      </c>
      <c r="AF1169" s="1040" t="e">
        <f t="shared" si="781"/>
        <v>#DIV/0!</v>
      </c>
      <c r="AG1169" s="1040" t="e">
        <f t="shared" si="781"/>
        <v>#DIV/0!</v>
      </c>
      <c r="AH1169" s="1040" t="e">
        <f t="shared" si="781"/>
        <v>#DIV/0!</v>
      </c>
      <c r="AI1169" s="1040" t="e">
        <f t="shared" si="781"/>
        <v>#DIV/0!</v>
      </c>
      <c r="AJ1169" s="1040" t="e">
        <f t="shared" si="781"/>
        <v>#DIV/0!</v>
      </c>
      <c r="AK1169" s="1040" t="e">
        <f t="shared" si="781"/>
        <v>#DIV/0!</v>
      </c>
      <c r="AL1169" s="1040" t="e">
        <f t="shared" si="781"/>
        <v>#DIV/0!</v>
      </c>
      <c r="AM1169" s="1040" t="e">
        <f t="shared" si="781"/>
        <v>#DIV/0!</v>
      </c>
      <c r="AN1169" s="1040" t="e">
        <f t="shared" si="781"/>
        <v>#DIV/0!</v>
      </c>
      <c r="AO1169" s="1040" t="e">
        <f t="shared" si="781"/>
        <v>#DIV/0!</v>
      </c>
      <c r="AP1169" s="1040" t="e">
        <f t="shared" si="781"/>
        <v>#DIV/0!</v>
      </c>
      <c r="AQ1169" s="1040" t="e">
        <f t="shared" si="781"/>
        <v>#DIV/0!</v>
      </c>
      <c r="AR1169" s="1040" t="e">
        <f t="shared" si="781"/>
        <v>#DIV/0!</v>
      </c>
      <c r="AS1169" s="1040" t="e">
        <f t="shared" ref="AS1169:AY1169" si="782">IF(AS369="",0,IF(OR(1=RANK(AS769,AS$412:AS$790,0),(2=RANK(AS769,AS$412:AS$790,0))),AS769,AS369))</f>
        <v>#DIV/0!</v>
      </c>
      <c r="AT1169" s="1040" t="e">
        <f t="shared" si="782"/>
        <v>#DIV/0!</v>
      </c>
      <c r="AU1169" s="1040">
        <f t="shared" si="782"/>
        <v>0</v>
      </c>
      <c r="AV1169" s="1040" t="e">
        <f t="shared" si="782"/>
        <v>#DIV/0!</v>
      </c>
      <c r="AW1169" s="1040" t="e">
        <f t="shared" si="782"/>
        <v>#DIV/0!</v>
      </c>
      <c r="AX1169" s="1040" t="e">
        <f t="shared" si="782"/>
        <v>#DIV/0!</v>
      </c>
      <c r="AY1169" s="1040" t="e">
        <f t="shared" si="782"/>
        <v>#DIV/0!</v>
      </c>
      <c r="AZ1169" s="1061" t="s">
        <v>21</v>
      </c>
      <c r="BC1169" s="29"/>
      <c r="BD1169" s="29"/>
      <c r="BE1169" s="13"/>
      <c r="BL1169" s="368"/>
    </row>
    <row r="1170" spans="1:64" ht="12" customHeight="1" x14ac:dyDescent="0.2">
      <c r="A1170" s="39">
        <f>acute_overview_children!A370</f>
        <v>4</v>
      </c>
      <c r="B1170" s="23">
        <f t="shared" si="705"/>
        <v>1017030</v>
      </c>
      <c r="C1170" s="23" t="str">
        <f t="shared" si="706"/>
        <v xml:space="preserve"> Other farmed animals: Liver</v>
      </c>
      <c r="D1170" s="135"/>
      <c r="E1170" s="1027"/>
      <c r="F1170" s="87"/>
      <c r="G1170" s="87"/>
      <c r="H1170" s="1027"/>
      <c r="I1170" s="1030"/>
      <c r="J1170" s="1039" t="e">
        <f t="shared" ref="J1170:AR1170" si="783">IF(J370="",0,IF(OR(1=RANK(J770,J$412:J$790,0),(2=RANK(J770,J$412:J$790,0))),J770,J370))</f>
        <v>#DIV/0!</v>
      </c>
      <c r="K1170" s="1040" t="e">
        <f t="shared" si="783"/>
        <v>#DIV/0!</v>
      </c>
      <c r="L1170" s="1040" t="e">
        <f t="shared" si="783"/>
        <v>#DIV/0!</v>
      </c>
      <c r="M1170" s="1040" t="e">
        <f t="shared" si="783"/>
        <v>#DIV/0!</v>
      </c>
      <c r="N1170" s="1040" t="e">
        <f t="shared" si="783"/>
        <v>#DIV/0!</v>
      </c>
      <c r="O1170" s="1040" t="e">
        <f t="shared" si="783"/>
        <v>#DIV/0!</v>
      </c>
      <c r="P1170" s="1040" t="e">
        <f t="shared" si="783"/>
        <v>#DIV/0!</v>
      </c>
      <c r="Q1170" s="1040" t="e">
        <f t="shared" si="783"/>
        <v>#DIV/0!</v>
      </c>
      <c r="R1170" s="1040" t="e">
        <f t="shared" si="783"/>
        <v>#DIV/0!</v>
      </c>
      <c r="S1170" s="1040" t="e">
        <f t="shared" si="783"/>
        <v>#DIV/0!</v>
      </c>
      <c r="T1170" s="1040" t="e">
        <f t="shared" si="783"/>
        <v>#DIV/0!</v>
      </c>
      <c r="U1170" s="1040" t="e">
        <f t="shared" si="783"/>
        <v>#DIV/0!</v>
      </c>
      <c r="V1170" s="1040" t="e">
        <f t="shared" si="783"/>
        <v>#DIV/0!</v>
      </c>
      <c r="W1170" s="1040" t="e">
        <f t="shared" si="783"/>
        <v>#DIV/0!</v>
      </c>
      <c r="X1170" s="1040" t="e">
        <f t="shared" si="783"/>
        <v>#DIV/0!</v>
      </c>
      <c r="Y1170" s="1040" t="e">
        <f t="shared" si="783"/>
        <v>#DIV/0!</v>
      </c>
      <c r="Z1170" s="1040" t="e">
        <f t="shared" si="783"/>
        <v>#DIV/0!</v>
      </c>
      <c r="AA1170" s="1040" t="e">
        <f t="shared" si="783"/>
        <v>#DIV/0!</v>
      </c>
      <c r="AB1170" s="1040" t="e">
        <f t="shared" si="783"/>
        <v>#DIV/0!</v>
      </c>
      <c r="AC1170" s="1040" t="e">
        <f t="shared" si="783"/>
        <v>#DIV/0!</v>
      </c>
      <c r="AD1170" s="1040" t="e">
        <f t="shared" si="783"/>
        <v>#DIV/0!</v>
      </c>
      <c r="AE1170" s="1040" t="e">
        <f t="shared" si="783"/>
        <v>#DIV/0!</v>
      </c>
      <c r="AF1170" s="1040" t="e">
        <f t="shared" si="783"/>
        <v>#DIV/0!</v>
      </c>
      <c r="AG1170" s="1040" t="e">
        <f t="shared" si="783"/>
        <v>#DIV/0!</v>
      </c>
      <c r="AH1170" s="1040" t="e">
        <f t="shared" si="783"/>
        <v>#DIV/0!</v>
      </c>
      <c r="AI1170" s="1040" t="e">
        <f t="shared" si="783"/>
        <v>#DIV/0!</v>
      </c>
      <c r="AJ1170" s="1040" t="e">
        <f t="shared" si="783"/>
        <v>#DIV/0!</v>
      </c>
      <c r="AK1170" s="1040" t="e">
        <f t="shared" si="783"/>
        <v>#DIV/0!</v>
      </c>
      <c r="AL1170" s="1040" t="e">
        <f t="shared" si="783"/>
        <v>#DIV/0!</v>
      </c>
      <c r="AM1170" s="1040" t="e">
        <f t="shared" si="783"/>
        <v>#DIV/0!</v>
      </c>
      <c r="AN1170" s="1040" t="e">
        <f t="shared" si="783"/>
        <v>#DIV/0!</v>
      </c>
      <c r="AO1170" s="1040" t="e">
        <f t="shared" si="783"/>
        <v>#DIV/0!</v>
      </c>
      <c r="AP1170" s="1040" t="e">
        <f t="shared" si="783"/>
        <v>#DIV/0!</v>
      </c>
      <c r="AQ1170" s="1040" t="e">
        <f t="shared" si="783"/>
        <v>#DIV/0!</v>
      </c>
      <c r="AR1170" s="1040" t="e">
        <f t="shared" si="783"/>
        <v>#DIV/0!</v>
      </c>
      <c r="AS1170" s="1040" t="e">
        <f t="shared" ref="AS1170:AY1170" si="784">IF(AS370="",0,IF(OR(1=RANK(AS770,AS$412:AS$790,0),(2=RANK(AS770,AS$412:AS$790,0))),AS770,AS370))</f>
        <v>#DIV/0!</v>
      </c>
      <c r="AT1170" s="1040" t="e">
        <f t="shared" si="784"/>
        <v>#DIV/0!</v>
      </c>
      <c r="AU1170" s="1040">
        <f t="shared" si="784"/>
        <v>0</v>
      </c>
      <c r="AV1170" s="1040" t="e">
        <f t="shared" si="784"/>
        <v>#DIV/0!</v>
      </c>
      <c r="AW1170" s="1040" t="e">
        <f t="shared" si="784"/>
        <v>#DIV/0!</v>
      </c>
      <c r="AX1170" s="1040" t="e">
        <f t="shared" si="784"/>
        <v>#DIV/0!</v>
      </c>
      <c r="AY1170" s="1040" t="e">
        <f t="shared" si="784"/>
        <v>#DIV/0!</v>
      </c>
      <c r="AZ1170" s="1061" t="s">
        <v>21</v>
      </c>
      <c r="BC1170" s="29"/>
      <c r="BD1170" s="29"/>
      <c r="BE1170" s="13"/>
      <c r="BL1170" s="368"/>
    </row>
    <row r="1171" spans="1:64" ht="12" customHeight="1" x14ac:dyDescent="0.2">
      <c r="A1171" s="39">
        <f>acute_overview_children!A371</f>
        <v>4</v>
      </c>
      <c r="B1171" s="23">
        <f t="shared" si="705"/>
        <v>1017040</v>
      </c>
      <c r="C1171" s="23" t="str">
        <f t="shared" si="706"/>
        <v xml:space="preserve"> Other farmed animals: Kidney</v>
      </c>
      <c r="D1171" s="135"/>
      <c r="E1171" s="1027"/>
      <c r="F1171" s="87"/>
      <c r="G1171" s="87"/>
      <c r="H1171" s="1027"/>
      <c r="I1171" s="1030"/>
      <c r="J1171" s="1039" t="e">
        <f t="shared" ref="J1171:AR1171" si="785">IF(J371="",0,IF(OR(1=RANK(J771,J$412:J$790,0),(2=RANK(J771,J$412:J$790,0))),J771,J371))</f>
        <v>#DIV/0!</v>
      </c>
      <c r="K1171" s="1040" t="e">
        <f t="shared" si="785"/>
        <v>#DIV/0!</v>
      </c>
      <c r="L1171" s="1040" t="e">
        <f t="shared" si="785"/>
        <v>#DIV/0!</v>
      </c>
      <c r="M1171" s="1040" t="e">
        <f t="shared" si="785"/>
        <v>#DIV/0!</v>
      </c>
      <c r="N1171" s="1040" t="e">
        <f t="shared" si="785"/>
        <v>#DIV/0!</v>
      </c>
      <c r="O1171" s="1040" t="e">
        <f t="shared" si="785"/>
        <v>#DIV/0!</v>
      </c>
      <c r="P1171" s="1040" t="e">
        <f t="shared" si="785"/>
        <v>#DIV/0!</v>
      </c>
      <c r="Q1171" s="1040" t="e">
        <f t="shared" si="785"/>
        <v>#DIV/0!</v>
      </c>
      <c r="R1171" s="1040" t="e">
        <f t="shared" si="785"/>
        <v>#DIV/0!</v>
      </c>
      <c r="S1171" s="1040" t="e">
        <f t="shared" si="785"/>
        <v>#DIV/0!</v>
      </c>
      <c r="T1171" s="1040" t="e">
        <f t="shared" si="785"/>
        <v>#DIV/0!</v>
      </c>
      <c r="U1171" s="1040" t="e">
        <f t="shared" si="785"/>
        <v>#DIV/0!</v>
      </c>
      <c r="V1171" s="1040" t="e">
        <f t="shared" si="785"/>
        <v>#DIV/0!</v>
      </c>
      <c r="W1171" s="1040" t="e">
        <f t="shared" si="785"/>
        <v>#DIV/0!</v>
      </c>
      <c r="X1171" s="1040" t="e">
        <f t="shared" si="785"/>
        <v>#DIV/0!</v>
      </c>
      <c r="Y1171" s="1040" t="e">
        <f t="shared" si="785"/>
        <v>#DIV/0!</v>
      </c>
      <c r="Z1171" s="1040" t="e">
        <f t="shared" si="785"/>
        <v>#DIV/0!</v>
      </c>
      <c r="AA1171" s="1040" t="e">
        <f t="shared" si="785"/>
        <v>#DIV/0!</v>
      </c>
      <c r="AB1171" s="1040" t="e">
        <f t="shared" si="785"/>
        <v>#DIV/0!</v>
      </c>
      <c r="AC1171" s="1040" t="e">
        <f t="shared" si="785"/>
        <v>#DIV/0!</v>
      </c>
      <c r="AD1171" s="1040" t="e">
        <f t="shared" si="785"/>
        <v>#DIV/0!</v>
      </c>
      <c r="AE1171" s="1040" t="e">
        <f t="shared" si="785"/>
        <v>#DIV/0!</v>
      </c>
      <c r="AF1171" s="1040" t="e">
        <f t="shared" si="785"/>
        <v>#DIV/0!</v>
      </c>
      <c r="AG1171" s="1040" t="e">
        <f t="shared" si="785"/>
        <v>#DIV/0!</v>
      </c>
      <c r="AH1171" s="1040" t="e">
        <f t="shared" si="785"/>
        <v>#DIV/0!</v>
      </c>
      <c r="AI1171" s="1040" t="e">
        <f t="shared" si="785"/>
        <v>#DIV/0!</v>
      </c>
      <c r="AJ1171" s="1040" t="e">
        <f t="shared" si="785"/>
        <v>#DIV/0!</v>
      </c>
      <c r="AK1171" s="1040" t="e">
        <f t="shared" si="785"/>
        <v>#DIV/0!</v>
      </c>
      <c r="AL1171" s="1040" t="e">
        <f t="shared" si="785"/>
        <v>#DIV/0!</v>
      </c>
      <c r="AM1171" s="1040" t="e">
        <f t="shared" si="785"/>
        <v>#DIV/0!</v>
      </c>
      <c r="AN1171" s="1040" t="e">
        <f t="shared" si="785"/>
        <v>#DIV/0!</v>
      </c>
      <c r="AO1171" s="1040" t="e">
        <f t="shared" si="785"/>
        <v>#DIV/0!</v>
      </c>
      <c r="AP1171" s="1040" t="e">
        <f t="shared" si="785"/>
        <v>#DIV/0!</v>
      </c>
      <c r="AQ1171" s="1040" t="e">
        <f t="shared" si="785"/>
        <v>#DIV/0!</v>
      </c>
      <c r="AR1171" s="1040" t="e">
        <f t="shared" si="785"/>
        <v>#DIV/0!</v>
      </c>
      <c r="AS1171" s="1040" t="e">
        <f t="shared" ref="AS1171:AY1171" si="786">IF(AS371="",0,IF(OR(1=RANK(AS771,AS$412:AS$790,0),(2=RANK(AS771,AS$412:AS$790,0))),AS771,AS371))</f>
        <v>#DIV/0!</v>
      </c>
      <c r="AT1171" s="1040" t="e">
        <f t="shared" si="786"/>
        <v>#DIV/0!</v>
      </c>
      <c r="AU1171" s="1040">
        <f t="shared" si="786"/>
        <v>0</v>
      </c>
      <c r="AV1171" s="1040" t="e">
        <f t="shared" si="786"/>
        <v>#DIV/0!</v>
      </c>
      <c r="AW1171" s="1040" t="e">
        <f t="shared" si="786"/>
        <v>#DIV/0!</v>
      </c>
      <c r="AX1171" s="1040" t="e">
        <f t="shared" si="786"/>
        <v>#DIV/0!</v>
      </c>
      <c r="AY1171" s="1040" t="e">
        <f t="shared" si="786"/>
        <v>#DIV/0!</v>
      </c>
      <c r="AZ1171" s="1061" t="s">
        <v>21</v>
      </c>
      <c r="BC1171" s="29"/>
      <c r="BD1171" s="29"/>
      <c r="BE1171" s="13"/>
      <c r="BL1171" s="368"/>
    </row>
    <row r="1172" spans="1:64" ht="12" customHeight="1" x14ac:dyDescent="0.2">
      <c r="A1172" s="39">
        <f>acute_overview_children!A372</f>
        <v>4</v>
      </c>
      <c r="B1172" s="23">
        <f t="shared" si="705"/>
        <v>1017050</v>
      </c>
      <c r="C1172" s="23" t="str">
        <f t="shared" si="706"/>
        <v xml:space="preserve"> Other farmed animals: Edible offals (other than liver and kidney)</v>
      </c>
      <c r="D1172" s="135"/>
      <c r="E1172" s="1027"/>
      <c r="F1172" s="87"/>
      <c r="G1172" s="87"/>
      <c r="H1172" s="1027"/>
      <c r="I1172" s="1030"/>
      <c r="J1172" s="1039" t="e">
        <f t="shared" ref="J1172:AR1172" si="787">IF(J372="",0,IF(OR(1=RANK(J772,J$412:J$790,0),(2=RANK(J772,J$412:J$790,0))),J772,J372))</f>
        <v>#DIV/0!</v>
      </c>
      <c r="K1172" s="1040" t="e">
        <f t="shared" si="787"/>
        <v>#DIV/0!</v>
      </c>
      <c r="L1172" s="1040" t="e">
        <f t="shared" si="787"/>
        <v>#DIV/0!</v>
      </c>
      <c r="M1172" s="1040" t="e">
        <f t="shared" si="787"/>
        <v>#DIV/0!</v>
      </c>
      <c r="N1172" s="1040" t="e">
        <f t="shared" si="787"/>
        <v>#DIV/0!</v>
      </c>
      <c r="O1172" s="1040" t="e">
        <f t="shared" si="787"/>
        <v>#DIV/0!</v>
      </c>
      <c r="P1172" s="1040" t="e">
        <f t="shared" si="787"/>
        <v>#DIV/0!</v>
      </c>
      <c r="Q1172" s="1040" t="e">
        <f t="shared" si="787"/>
        <v>#DIV/0!</v>
      </c>
      <c r="R1172" s="1040" t="e">
        <f t="shared" si="787"/>
        <v>#DIV/0!</v>
      </c>
      <c r="S1172" s="1040" t="e">
        <f t="shared" si="787"/>
        <v>#DIV/0!</v>
      </c>
      <c r="T1172" s="1040" t="e">
        <f t="shared" si="787"/>
        <v>#DIV/0!</v>
      </c>
      <c r="U1172" s="1040" t="e">
        <f t="shared" si="787"/>
        <v>#DIV/0!</v>
      </c>
      <c r="V1172" s="1040" t="e">
        <f t="shared" si="787"/>
        <v>#DIV/0!</v>
      </c>
      <c r="W1172" s="1040" t="e">
        <f t="shared" si="787"/>
        <v>#DIV/0!</v>
      </c>
      <c r="X1172" s="1040" t="e">
        <f t="shared" si="787"/>
        <v>#DIV/0!</v>
      </c>
      <c r="Y1172" s="1040" t="e">
        <f t="shared" si="787"/>
        <v>#DIV/0!</v>
      </c>
      <c r="Z1172" s="1040" t="e">
        <f t="shared" si="787"/>
        <v>#DIV/0!</v>
      </c>
      <c r="AA1172" s="1040" t="e">
        <f t="shared" si="787"/>
        <v>#DIV/0!</v>
      </c>
      <c r="AB1172" s="1040" t="e">
        <f t="shared" si="787"/>
        <v>#DIV/0!</v>
      </c>
      <c r="AC1172" s="1040" t="e">
        <f t="shared" si="787"/>
        <v>#DIV/0!</v>
      </c>
      <c r="AD1172" s="1040" t="e">
        <f t="shared" si="787"/>
        <v>#DIV/0!</v>
      </c>
      <c r="AE1172" s="1040" t="e">
        <f t="shared" si="787"/>
        <v>#DIV/0!</v>
      </c>
      <c r="AF1172" s="1040" t="e">
        <f t="shared" si="787"/>
        <v>#DIV/0!</v>
      </c>
      <c r="AG1172" s="1040" t="e">
        <f t="shared" si="787"/>
        <v>#DIV/0!</v>
      </c>
      <c r="AH1172" s="1040" t="e">
        <f t="shared" si="787"/>
        <v>#DIV/0!</v>
      </c>
      <c r="AI1172" s="1040" t="e">
        <f t="shared" si="787"/>
        <v>#DIV/0!</v>
      </c>
      <c r="AJ1172" s="1040" t="e">
        <f t="shared" si="787"/>
        <v>#DIV/0!</v>
      </c>
      <c r="AK1172" s="1040" t="e">
        <f t="shared" si="787"/>
        <v>#DIV/0!</v>
      </c>
      <c r="AL1172" s="1040" t="e">
        <f t="shared" si="787"/>
        <v>#DIV/0!</v>
      </c>
      <c r="AM1172" s="1040" t="e">
        <f t="shared" si="787"/>
        <v>#DIV/0!</v>
      </c>
      <c r="AN1172" s="1040" t="e">
        <f t="shared" si="787"/>
        <v>#DIV/0!</v>
      </c>
      <c r="AO1172" s="1040" t="e">
        <f t="shared" si="787"/>
        <v>#DIV/0!</v>
      </c>
      <c r="AP1172" s="1040" t="e">
        <f t="shared" si="787"/>
        <v>#DIV/0!</v>
      </c>
      <c r="AQ1172" s="1040" t="e">
        <f t="shared" si="787"/>
        <v>#DIV/0!</v>
      </c>
      <c r="AR1172" s="1040" t="e">
        <f t="shared" si="787"/>
        <v>#DIV/0!</v>
      </c>
      <c r="AS1172" s="1040" t="e">
        <f t="shared" ref="AS1172:AY1172" si="788">IF(AS372="",0,IF(OR(1=RANK(AS772,AS$412:AS$790,0),(2=RANK(AS772,AS$412:AS$790,0))),AS772,AS372))</f>
        <v>#DIV/0!</v>
      </c>
      <c r="AT1172" s="1040" t="e">
        <f t="shared" si="788"/>
        <v>#DIV/0!</v>
      </c>
      <c r="AU1172" s="1040">
        <f t="shared" si="788"/>
        <v>0</v>
      </c>
      <c r="AV1172" s="1040" t="e">
        <f t="shared" si="788"/>
        <v>#DIV/0!</v>
      </c>
      <c r="AW1172" s="1040" t="e">
        <f t="shared" si="788"/>
        <v>#DIV/0!</v>
      </c>
      <c r="AX1172" s="1040" t="e">
        <f t="shared" si="788"/>
        <v>#DIV/0!</v>
      </c>
      <c r="AY1172" s="1040" t="e">
        <f t="shared" si="788"/>
        <v>#DIV/0!</v>
      </c>
      <c r="AZ1172" s="1061" t="s">
        <v>21</v>
      </c>
      <c r="BC1172" s="29"/>
      <c r="BD1172" s="29"/>
      <c r="BE1172" s="13"/>
      <c r="BL1172" s="368"/>
    </row>
    <row r="1173" spans="1:64" ht="12" customHeight="1" x14ac:dyDescent="0.2">
      <c r="A1173" s="39">
        <f>acute_overview_children!A373</f>
        <v>4</v>
      </c>
      <c r="B1173" s="23">
        <f t="shared" si="705"/>
        <v>1017990</v>
      </c>
      <c r="C1173" s="23" t="str">
        <f t="shared" si="706"/>
        <v>Other farmed animals: Other products</v>
      </c>
      <c r="D1173" s="135"/>
      <c r="E1173" s="1027"/>
      <c r="F1173" s="87"/>
      <c r="G1173" s="87"/>
      <c r="H1173" s="1027"/>
      <c r="I1173" s="1030"/>
      <c r="J1173" s="1039" t="e">
        <f t="shared" ref="J1173:AR1173" si="789">IF(J373="",0,IF(OR(1=RANK(J773,J$412:J$790,0),(2=RANK(J773,J$412:J$790,0))),J773,J373))</f>
        <v>#DIV/0!</v>
      </c>
      <c r="K1173" s="1040" t="e">
        <f t="shared" si="789"/>
        <v>#DIV/0!</v>
      </c>
      <c r="L1173" s="1040" t="e">
        <f t="shared" si="789"/>
        <v>#DIV/0!</v>
      </c>
      <c r="M1173" s="1040" t="e">
        <f t="shared" si="789"/>
        <v>#DIV/0!</v>
      </c>
      <c r="N1173" s="1040" t="e">
        <f t="shared" si="789"/>
        <v>#DIV/0!</v>
      </c>
      <c r="O1173" s="1040" t="e">
        <f t="shared" si="789"/>
        <v>#DIV/0!</v>
      </c>
      <c r="P1173" s="1040" t="e">
        <f t="shared" si="789"/>
        <v>#DIV/0!</v>
      </c>
      <c r="Q1173" s="1040" t="e">
        <f t="shared" si="789"/>
        <v>#DIV/0!</v>
      </c>
      <c r="R1173" s="1040" t="e">
        <f t="shared" si="789"/>
        <v>#DIV/0!</v>
      </c>
      <c r="S1173" s="1040" t="e">
        <f t="shared" si="789"/>
        <v>#DIV/0!</v>
      </c>
      <c r="T1173" s="1040" t="e">
        <f t="shared" si="789"/>
        <v>#DIV/0!</v>
      </c>
      <c r="U1173" s="1040" t="e">
        <f t="shared" si="789"/>
        <v>#DIV/0!</v>
      </c>
      <c r="V1173" s="1040" t="e">
        <f t="shared" si="789"/>
        <v>#DIV/0!</v>
      </c>
      <c r="W1173" s="1040" t="e">
        <f t="shared" si="789"/>
        <v>#DIV/0!</v>
      </c>
      <c r="X1173" s="1040" t="e">
        <f t="shared" si="789"/>
        <v>#DIV/0!</v>
      </c>
      <c r="Y1173" s="1040" t="e">
        <f t="shared" si="789"/>
        <v>#DIV/0!</v>
      </c>
      <c r="Z1173" s="1040" t="e">
        <f t="shared" si="789"/>
        <v>#DIV/0!</v>
      </c>
      <c r="AA1173" s="1040" t="e">
        <f t="shared" si="789"/>
        <v>#DIV/0!</v>
      </c>
      <c r="AB1173" s="1040" t="e">
        <f t="shared" si="789"/>
        <v>#DIV/0!</v>
      </c>
      <c r="AC1173" s="1040" t="e">
        <f t="shared" si="789"/>
        <v>#DIV/0!</v>
      </c>
      <c r="AD1173" s="1040" t="e">
        <f t="shared" si="789"/>
        <v>#DIV/0!</v>
      </c>
      <c r="AE1173" s="1040" t="e">
        <f t="shared" si="789"/>
        <v>#DIV/0!</v>
      </c>
      <c r="AF1173" s="1040" t="e">
        <f t="shared" si="789"/>
        <v>#DIV/0!</v>
      </c>
      <c r="AG1173" s="1040" t="e">
        <f t="shared" si="789"/>
        <v>#DIV/0!</v>
      </c>
      <c r="AH1173" s="1040" t="e">
        <f t="shared" si="789"/>
        <v>#DIV/0!</v>
      </c>
      <c r="AI1173" s="1040" t="e">
        <f t="shared" si="789"/>
        <v>#DIV/0!</v>
      </c>
      <c r="AJ1173" s="1040" t="e">
        <f t="shared" si="789"/>
        <v>#DIV/0!</v>
      </c>
      <c r="AK1173" s="1040" t="e">
        <f t="shared" si="789"/>
        <v>#DIV/0!</v>
      </c>
      <c r="AL1173" s="1040" t="e">
        <f t="shared" si="789"/>
        <v>#DIV/0!</v>
      </c>
      <c r="AM1173" s="1040" t="e">
        <f t="shared" si="789"/>
        <v>#DIV/0!</v>
      </c>
      <c r="AN1173" s="1040" t="e">
        <f t="shared" si="789"/>
        <v>#DIV/0!</v>
      </c>
      <c r="AO1173" s="1040" t="e">
        <f t="shared" si="789"/>
        <v>#DIV/0!</v>
      </c>
      <c r="AP1173" s="1040" t="e">
        <f t="shared" si="789"/>
        <v>#DIV/0!</v>
      </c>
      <c r="AQ1173" s="1040" t="e">
        <f t="shared" si="789"/>
        <v>#DIV/0!</v>
      </c>
      <c r="AR1173" s="1040" t="e">
        <f t="shared" si="789"/>
        <v>#DIV/0!</v>
      </c>
      <c r="AS1173" s="1040" t="e">
        <f t="shared" ref="AS1173:AY1173" si="790">IF(AS373="",0,IF(OR(1=RANK(AS773,AS$412:AS$790,0),(2=RANK(AS773,AS$412:AS$790,0))),AS773,AS373))</f>
        <v>#DIV/0!</v>
      </c>
      <c r="AT1173" s="1040" t="e">
        <f t="shared" si="790"/>
        <v>#DIV/0!</v>
      </c>
      <c r="AU1173" s="1040">
        <f t="shared" si="790"/>
        <v>0</v>
      </c>
      <c r="AV1173" s="1040" t="e">
        <f t="shared" si="790"/>
        <v>#DIV/0!</v>
      </c>
      <c r="AW1173" s="1040" t="e">
        <f t="shared" si="790"/>
        <v>#DIV/0!</v>
      </c>
      <c r="AX1173" s="1040" t="e">
        <f t="shared" si="790"/>
        <v>#DIV/0!</v>
      </c>
      <c r="AY1173" s="1040" t="e">
        <f t="shared" si="790"/>
        <v>#DIV/0!</v>
      </c>
      <c r="AZ1173" s="1061" t="s">
        <v>21</v>
      </c>
      <c r="BC1173" s="29"/>
      <c r="BD1173" s="29"/>
      <c r="BE1173" s="13"/>
      <c r="BL1173" s="368"/>
    </row>
    <row r="1174" spans="1:64" ht="12" customHeight="1" x14ac:dyDescent="0.2">
      <c r="A1174" s="515">
        <f>acute_overview_children!A374</f>
        <v>2</v>
      </c>
      <c r="B1174" s="131">
        <f t="shared" si="705"/>
        <v>1020000</v>
      </c>
      <c r="C1174" s="131" t="str">
        <f t="shared" si="706"/>
        <v>Milk</v>
      </c>
      <c r="D1174" s="1035"/>
      <c r="E1174" s="1027"/>
      <c r="F1174" s="87"/>
      <c r="G1174" s="87"/>
      <c r="H1174" s="1027"/>
      <c r="I1174" s="1030"/>
      <c r="J1174" s="1037" t="e">
        <f t="shared" ref="J1174:AR1174" si="791">IF(J374="",0,IF(OR(1=RANK(J774,J$412:J$790,0),(2=RANK(J774,J$412:J$790,0))),J774,J374))</f>
        <v>#DIV/0!</v>
      </c>
      <c r="K1174" s="1038" t="e">
        <f t="shared" si="791"/>
        <v>#DIV/0!</v>
      </c>
      <c r="L1174" s="1038" t="e">
        <f t="shared" si="791"/>
        <v>#DIV/0!</v>
      </c>
      <c r="M1174" s="1038" t="e">
        <f t="shared" si="791"/>
        <v>#DIV/0!</v>
      </c>
      <c r="N1174" s="1038" t="e">
        <f t="shared" si="791"/>
        <v>#DIV/0!</v>
      </c>
      <c r="O1174" s="1038" t="e">
        <f t="shared" si="791"/>
        <v>#DIV/0!</v>
      </c>
      <c r="P1174" s="1038" t="e">
        <f t="shared" si="791"/>
        <v>#DIV/0!</v>
      </c>
      <c r="Q1174" s="1038" t="e">
        <f t="shared" si="791"/>
        <v>#DIV/0!</v>
      </c>
      <c r="R1174" s="1038" t="e">
        <f t="shared" si="791"/>
        <v>#DIV/0!</v>
      </c>
      <c r="S1174" s="1038" t="e">
        <f t="shared" si="791"/>
        <v>#DIV/0!</v>
      </c>
      <c r="T1174" s="1038" t="e">
        <f t="shared" si="791"/>
        <v>#DIV/0!</v>
      </c>
      <c r="U1174" s="1038" t="e">
        <f t="shared" si="791"/>
        <v>#DIV/0!</v>
      </c>
      <c r="V1174" s="1038" t="e">
        <f t="shared" si="791"/>
        <v>#DIV/0!</v>
      </c>
      <c r="W1174" s="1038" t="e">
        <f t="shared" si="791"/>
        <v>#DIV/0!</v>
      </c>
      <c r="X1174" s="1038" t="e">
        <f t="shared" si="791"/>
        <v>#DIV/0!</v>
      </c>
      <c r="Y1174" s="1038" t="e">
        <f t="shared" si="791"/>
        <v>#DIV/0!</v>
      </c>
      <c r="Z1174" s="1038" t="e">
        <f t="shared" si="791"/>
        <v>#DIV/0!</v>
      </c>
      <c r="AA1174" s="1038" t="e">
        <f t="shared" si="791"/>
        <v>#DIV/0!</v>
      </c>
      <c r="AB1174" s="1038" t="e">
        <f t="shared" si="791"/>
        <v>#DIV/0!</v>
      </c>
      <c r="AC1174" s="1038" t="e">
        <f t="shared" si="791"/>
        <v>#DIV/0!</v>
      </c>
      <c r="AD1174" s="1038" t="e">
        <f t="shared" si="791"/>
        <v>#DIV/0!</v>
      </c>
      <c r="AE1174" s="1038" t="e">
        <f t="shared" si="791"/>
        <v>#DIV/0!</v>
      </c>
      <c r="AF1174" s="1038" t="e">
        <f t="shared" si="791"/>
        <v>#DIV/0!</v>
      </c>
      <c r="AG1174" s="1038" t="e">
        <f t="shared" si="791"/>
        <v>#DIV/0!</v>
      </c>
      <c r="AH1174" s="1038" t="e">
        <f t="shared" si="791"/>
        <v>#DIV/0!</v>
      </c>
      <c r="AI1174" s="1038" t="e">
        <f t="shared" si="791"/>
        <v>#DIV/0!</v>
      </c>
      <c r="AJ1174" s="1038" t="e">
        <f t="shared" si="791"/>
        <v>#DIV/0!</v>
      </c>
      <c r="AK1174" s="1038" t="e">
        <f t="shared" si="791"/>
        <v>#DIV/0!</v>
      </c>
      <c r="AL1174" s="1038" t="e">
        <f t="shared" si="791"/>
        <v>#DIV/0!</v>
      </c>
      <c r="AM1174" s="1038" t="e">
        <f t="shared" si="791"/>
        <v>#DIV/0!</v>
      </c>
      <c r="AN1174" s="1038" t="e">
        <f t="shared" si="791"/>
        <v>#DIV/0!</v>
      </c>
      <c r="AO1174" s="1038" t="e">
        <f t="shared" si="791"/>
        <v>#DIV/0!</v>
      </c>
      <c r="AP1174" s="1038" t="e">
        <f t="shared" si="791"/>
        <v>#DIV/0!</v>
      </c>
      <c r="AQ1174" s="1038" t="e">
        <f t="shared" si="791"/>
        <v>#DIV/0!</v>
      </c>
      <c r="AR1174" s="1038" t="e">
        <f t="shared" si="791"/>
        <v>#DIV/0!</v>
      </c>
      <c r="AS1174" s="1038" t="e">
        <f t="shared" ref="AS1174:AY1174" si="792">IF(AS374="",0,IF(OR(1=RANK(AS774,AS$412:AS$790,0),(2=RANK(AS774,AS$412:AS$790,0))),AS774,AS374))</f>
        <v>#DIV/0!</v>
      </c>
      <c r="AT1174" s="1038" t="e">
        <f t="shared" si="792"/>
        <v>#DIV/0!</v>
      </c>
      <c r="AU1174" s="1038">
        <f t="shared" si="792"/>
        <v>0</v>
      </c>
      <c r="AV1174" s="1038" t="e">
        <f t="shared" si="792"/>
        <v>#DIV/0!</v>
      </c>
      <c r="AW1174" s="1038" t="e">
        <f t="shared" si="792"/>
        <v>#DIV/0!</v>
      </c>
      <c r="AX1174" s="1038" t="e">
        <f t="shared" si="792"/>
        <v>#DIV/0!</v>
      </c>
      <c r="AY1174" s="1038" t="e">
        <f t="shared" si="792"/>
        <v>#DIV/0!</v>
      </c>
      <c r="AZ1174" s="1061" t="s">
        <v>21</v>
      </c>
      <c r="BC1174" s="29"/>
      <c r="BD1174" s="29"/>
      <c r="BE1174" s="13"/>
      <c r="BL1174" s="368"/>
    </row>
    <row r="1175" spans="1:64" ht="12" customHeight="1" x14ac:dyDescent="0.2">
      <c r="A1175" s="39">
        <f>acute_overview_children!A375</f>
        <v>4</v>
      </c>
      <c r="B1175" s="23">
        <f t="shared" si="705"/>
        <v>1020010</v>
      </c>
      <c r="C1175" s="23" t="str">
        <f t="shared" si="706"/>
        <v>Milk:  Cattle</v>
      </c>
      <c r="D1175" s="135"/>
      <c r="E1175" s="1027"/>
      <c r="F1175" s="87"/>
      <c r="G1175" s="87"/>
      <c r="H1175" s="1027"/>
      <c r="I1175" s="1030"/>
      <c r="J1175" s="1039" t="e">
        <f t="shared" ref="J1175:AR1175" si="793">IF(J375="",0,IF(OR(1=RANK(J775,J$412:J$790,0),(2=RANK(J775,J$412:J$790,0))),J775,J375))</f>
        <v>#DIV/0!</v>
      </c>
      <c r="K1175" s="1040" t="e">
        <f t="shared" si="793"/>
        <v>#DIV/0!</v>
      </c>
      <c r="L1175" s="1040" t="e">
        <f t="shared" si="793"/>
        <v>#DIV/0!</v>
      </c>
      <c r="M1175" s="1040" t="e">
        <f t="shared" si="793"/>
        <v>#DIV/0!</v>
      </c>
      <c r="N1175" s="1040" t="e">
        <f t="shared" si="793"/>
        <v>#DIV/0!</v>
      </c>
      <c r="O1175" s="1040" t="e">
        <f t="shared" si="793"/>
        <v>#DIV/0!</v>
      </c>
      <c r="P1175" s="1040" t="e">
        <f t="shared" si="793"/>
        <v>#DIV/0!</v>
      </c>
      <c r="Q1175" s="1040" t="e">
        <f t="shared" si="793"/>
        <v>#DIV/0!</v>
      </c>
      <c r="R1175" s="1040" t="e">
        <f t="shared" si="793"/>
        <v>#DIV/0!</v>
      </c>
      <c r="S1175" s="1040" t="e">
        <f t="shared" si="793"/>
        <v>#DIV/0!</v>
      </c>
      <c r="T1175" s="1040" t="e">
        <f t="shared" si="793"/>
        <v>#DIV/0!</v>
      </c>
      <c r="U1175" s="1040" t="e">
        <f t="shared" si="793"/>
        <v>#DIV/0!</v>
      </c>
      <c r="V1175" s="1040" t="e">
        <f t="shared" si="793"/>
        <v>#DIV/0!</v>
      </c>
      <c r="W1175" s="1040" t="e">
        <f t="shared" si="793"/>
        <v>#DIV/0!</v>
      </c>
      <c r="X1175" s="1040" t="e">
        <f t="shared" si="793"/>
        <v>#DIV/0!</v>
      </c>
      <c r="Y1175" s="1040" t="e">
        <f t="shared" si="793"/>
        <v>#DIV/0!</v>
      </c>
      <c r="Z1175" s="1040" t="e">
        <f t="shared" si="793"/>
        <v>#DIV/0!</v>
      </c>
      <c r="AA1175" s="1040" t="e">
        <f t="shared" si="793"/>
        <v>#DIV/0!</v>
      </c>
      <c r="AB1175" s="1040" t="e">
        <f t="shared" si="793"/>
        <v>#DIV/0!</v>
      </c>
      <c r="AC1175" s="1040" t="e">
        <f t="shared" si="793"/>
        <v>#DIV/0!</v>
      </c>
      <c r="AD1175" s="1040" t="e">
        <f t="shared" si="793"/>
        <v>#DIV/0!</v>
      </c>
      <c r="AE1175" s="1040" t="e">
        <f t="shared" si="793"/>
        <v>#DIV/0!</v>
      </c>
      <c r="AF1175" s="1040" t="e">
        <f t="shared" si="793"/>
        <v>#DIV/0!</v>
      </c>
      <c r="AG1175" s="1040" t="e">
        <f t="shared" si="793"/>
        <v>#DIV/0!</v>
      </c>
      <c r="AH1175" s="1040" t="e">
        <f t="shared" si="793"/>
        <v>#DIV/0!</v>
      </c>
      <c r="AI1175" s="1040" t="e">
        <f t="shared" si="793"/>
        <v>#DIV/0!</v>
      </c>
      <c r="AJ1175" s="1040" t="e">
        <f t="shared" si="793"/>
        <v>#DIV/0!</v>
      </c>
      <c r="AK1175" s="1040" t="e">
        <f t="shared" si="793"/>
        <v>#DIV/0!</v>
      </c>
      <c r="AL1175" s="1040" t="e">
        <f t="shared" si="793"/>
        <v>#DIV/0!</v>
      </c>
      <c r="AM1175" s="1040" t="e">
        <f t="shared" si="793"/>
        <v>#DIV/0!</v>
      </c>
      <c r="AN1175" s="1040" t="e">
        <f t="shared" si="793"/>
        <v>#DIV/0!</v>
      </c>
      <c r="AO1175" s="1040" t="e">
        <f t="shared" si="793"/>
        <v>#DIV/0!</v>
      </c>
      <c r="AP1175" s="1040" t="e">
        <f t="shared" si="793"/>
        <v>#DIV/0!</v>
      </c>
      <c r="AQ1175" s="1040" t="e">
        <f t="shared" si="793"/>
        <v>#DIV/0!</v>
      </c>
      <c r="AR1175" s="1040" t="e">
        <f t="shared" si="793"/>
        <v>#DIV/0!</v>
      </c>
      <c r="AS1175" s="1040" t="e">
        <f t="shared" ref="AS1175:AY1175" si="794">IF(AS375="",0,IF(OR(1=RANK(AS775,AS$412:AS$790,0),(2=RANK(AS775,AS$412:AS$790,0))),AS775,AS375))</f>
        <v>#DIV/0!</v>
      </c>
      <c r="AT1175" s="1040" t="e">
        <f t="shared" si="794"/>
        <v>#DIV/0!</v>
      </c>
      <c r="AU1175" s="1040">
        <f t="shared" si="794"/>
        <v>0</v>
      </c>
      <c r="AV1175" s="1040" t="e">
        <f t="shared" si="794"/>
        <v>#DIV/0!</v>
      </c>
      <c r="AW1175" s="1040" t="e">
        <f t="shared" si="794"/>
        <v>#DIV/0!</v>
      </c>
      <c r="AX1175" s="1040" t="e">
        <f t="shared" si="794"/>
        <v>#DIV/0!</v>
      </c>
      <c r="AY1175" s="1040" t="e">
        <f t="shared" si="794"/>
        <v>#DIV/0!</v>
      </c>
      <c r="AZ1175" s="1061" t="s">
        <v>21</v>
      </c>
      <c r="BC1175" s="29"/>
      <c r="BD1175" s="29"/>
      <c r="BE1175" s="13"/>
      <c r="BL1175" s="368"/>
    </row>
    <row r="1176" spans="1:64" ht="12" customHeight="1" x14ac:dyDescent="0.2">
      <c r="A1176" s="39">
        <f>acute_overview_children!A376</f>
        <v>4</v>
      </c>
      <c r="B1176" s="23">
        <f t="shared" si="705"/>
        <v>1020020</v>
      </c>
      <c r="C1176" s="23" t="str">
        <f t="shared" si="706"/>
        <v>Milk: Sheep</v>
      </c>
      <c r="D1176" s="135"/>
      <c r="E1176" s="1027"/>
      <c r="F1176" s="87"/>
      <c r="G1176" s="87"/>
      <c r="H1176" s="1027"/>
      <c r="I1176" s="1030"/>
      <c r="J1176" s="1039" t="e">
        <f t="shared" ref="J1176:AR1176" si="795">IF(J376="",0,IF(OR(1=RANK(J776,J$412:J$790,0),(2=RANK(J776,J$412:J$790,0))),J776,J376))</f>
        <v>#DIV/0!</v>
      </c>
      <c r="K1176" s="1040" t="e">
        <f t="shared" si="795"/>
        <v>#DIV/0!</v>
      </c>
      <c r="L1176" s="1040" t="e">
        <f t="shared" si="795"/>
        <v>#DIV/0!</v>
      </c>
      <c r="M1176" s="1040" t="e">
        <f t="shared" si="795"/>
        <v>#DIV/0!</v>
      </c>
      <c r="N1176" s="1040" t="e">
        <f t="shared" si="795"/>
        <v>#DIV/0!</v>
      </c>
      <c r="O1176" s="1040" t="e">
        <f t="shared" si="795"/>
        <v>#DIV/0!</v>
      </c>
      <c r="P1176" s="1040" t="e">
        <f t="shared" si="795"/>
        <v>#DIV/0!</v>
      </c>
      <c r="Q1176" s="1040" t="e">
        <f t="shared" si="795"/>
        <v>#DIV/0!</v>
      </c>
      <c r="R1176" s="1040" t="e">
        <f t="shared" si="795"/>
        <v>#DIV/0!</v>
      </c>
      <c r="S1176" s="1040" t="e">
        <f t="shared" si="795"/>
        <v>#DIV/0!</v>
      </c>
      <c r="T1176" s="1040" t="e">
        <f t="shared" si="795"/>
        <v>#DIV/0!</v>
      </c>
      <c r="U1176" s="1040" t="e">
        <f t="shared" si="795"/>
        <v>#DIV/0!</v>
      </c>
      <c r="V1176" s="1040" t="e">
        <f t="shared" si="795"/>
        <v>#DIV/0!</v>
      </c>
      <c r="W1176" s="1040" t="e">
        <f t="shared" si="795"/>
        <v>#DIV/0!</v>
      </c>
      <c r="X1176" s="1040" t="e">
        <f t="shared" si="795"/>
        <v>#DIV/0!</v>
      </c>
      <c r="Y1176" s="1040" t="e">
        <f t="shared" si="795"/>
        <v>#DIV/0!</v>
      </c>
      <c r="Z1176" s="1040" t="e">
        <f t="shared" si="795"/>
        <v>#DIV/0!</v>
      </c>
      <c r="AA1176" s="1040" t="e">
        <f t="shared" si="795"/>
        <v>#DIV/0!</v>
      </c>
      <c r="AB1176" s="1040" t="e">
        <f t="shared" si="795"/>
        <v>#DIV/0!</v>
      </c>
      <c r="AC1176" s="1040" t="e">
        <f t="shared" si="795"/>
        <v>#DIV/0!</v>
      </c>
      <c r="AD1176" s="1040" t="e">
        <f t="shared" si="795"/>
        <v>#DIV/0!</v>
      </c>
      <c r="AE1176" s="1040" t="e">
        <f t="shared" si="795"/>
        <v>#DIV/0!</v>
      </c>
      <c r="AF1176" s="1040" t="e">
        <f t="shared" si="795"/>
        <v>#DIV/0!</v>
      </c>
      <c r="AG1176" s="1040" t="e">
        <f t="shared" si="795"/>
        <v>#DIV/0!</v>
      </c>
      <c r="AH1176" s="1040" t="e">
        <f t="shared" si="795"/>
        <v>#DIV/0!</v>
      </c>
      <c r="AI1176" s="1040" t="e">
        <f t="shared" si="795"/>
        <v>#DIV/0!</v>
      </c>
      <c r="AJ1176" s="1040" t="e">
        <f t="shared" si="795"/>
        <v>#DIV/0!</v>
      </c>
      <c r="AK1176" s="1040" t="e">
        <f t="shared" si="795"/>
        <v>#DIV/0!</v>
      </c>
      <c r="AL1176" s="1040" t="e">
        <f t="shared" si="795"/>
        <v>#DIV/0!</v>
      </c>
      <c r="AM1176" s="1040" t="e">
        <f t="shared" si="795"/>
        <v>#DIV/0!</v>
      </c>
      <c r="AN1176" s="1040" t="e">
        <f t="shared" si="795"/>
        <v>#DIV/0!</v>
      </c>
      <c r="AO1176" s="1040" t="e">
        <f t="shared" si="795"/>
        <v>#DIV/0!</v>
      </c>
      <c r="AP1176" s="1040" t="e">
        <f t="shared" si="795"/>
        <v>#DIV/0!</v>
      </c>
      <c r="AQ1176" s="1040" t="e">
        <f t="shared" si="795"/>
        <v>#DIV/0!</v>
      </c>
      <c r="AR1176" s="1040" t="e">
        <f t="shared" si="795"/>
        <v>#DIV/0!</v>
      </c>
      <c r="AS1176" s="1040" t="e">
        <f t="shared" ref="AS1176:AY1176" si="796">IF(AS376="",0,IF(OR(1=RANK(AS776,AS$412:AS$790,0),(2=RANK(AS776,AS$412:AS$790,0))),AS776,AS376))</f>
        <v>#DIV/0!</v>
      </c>
      <c r="AT1176" s="1040" t="e">
        <f t="shared" si="796"/>
        <v>#DIV/0!</v>
      </c>
      <c r="AU1176" s="1040">
        <f t="shared" si="796"/>
        <v>0</v>
      </c>
      <c r="AV1176" s="1040" t="e">
        <f t="shared" si="796"/>
        <v>#DIV/0!</v>
      </c>
      <c r="AW1176" s="1040" t="e">
        <f t="shared" si="796"/>
        <v>#DIV/0!</v>
      </c>
      <c r="AX1176" s="1040" t="e">
        <f t="shared" si="796"/>
        <v>#DIV/0!</v>
      </c>
      <c r="AY1176" s="1040" t="e">
        <f t="shared" si="796"/>
        <v>#DIV/0!</v>
      </c>
      <c r="AZ1176" s="1061" t="s">
        <v>21</v>
      </c>
      <c r="BC1176" s="29"/>
      <c r="BD1176" s="29"/>
      <c r="BE1176" s="13"/>
      <c r="BL1176" s="368"/>
    </row>
    <row r="1177" spans="1:64" ht="12" customHeight="1" x14ac:dyDescent="0.2">
      <c r="A1177" s="39">
        <f>acute_overview_children!A377</f>
        <v>4</v>
      </c>
      <c r="B1177" s="23">
        <f t="shared" si="705"/>
        <v>1020030</v>
      </c>
      <c r="C1177" s="23" t="str">
        <f t="shared" si="706"/>
        <v>Milk: Goat</v>
      </c>
      <c r="D1177" s="135"/>
      <c r="E1177" s="1027"/>
      <c r="F1177" s="87"/>
      <c r="G1177" s="87"/>
      <c r="H1177" s="1027"/>
      <c r="I1177" s="1030"/>
      <c r="J1177" s="1039" t="e">
        <f t="shared" ref="J1177:AR1177" si="797">IF(J377="",0,IF(OR(1=RANK(J777,J$412:J$790,0),(2=RANK(J777,J$412:J$790,0))),J777,J377))</f>
        <v>#DIV/0!</v>
      </c>
      <c r="K1177" s="1040" t="e">
        <f t="shared" si="797"/>
        <v>#DIV/0!</v>
      </c>
      <c r="L1177" s="1040" t="e">
        <f t="shared" si="797"/>
        <v>#DIV/0!</v>
      </c>
      <c r="M1177" s="1040" t="e">
        <f t="shared" si="797"/>
        <v>#DIV/0!</v>
      </c>
      <c r="N1177" s="1040" t="e">
        <f t="shared" si="797"/>
        <v>#DIV/0!</v>
      </c>
      <c r="O1177" s="1040" t="e">
        <f t="shared" si="797"/>
        <v>#DIV/0!</v>
      </c>
      <c r="P1177" s="1040" t="e">
        <f t="shared" si="797"/>
        <v>#DIV/0!</v>
      </c>
      <c r="Q1177" s="1040" t="e">
        <f t="shared" si="797"/>
        <v>#DIV/0!</v>
      </c>
      <c r="R1177" s="1040" t="e">
        <f t="shared" si="797"/>
        <v>#DIV/0!</v>
      </c>
      <c r="S1177" s="1040" t="e">
        <f t="shared" si="797"/>
        <v>#DIV/0!</v>
      </c>
      <c r="T1177" s="1040" t="e">
        <f t="shared" si="797"/>
        <v>#DIV/0!</v>
      </c>
      <c r="U1177" s="1040" t="e">
        <f t="shared" si="797"/>
        <v>#DIV/0!</v>
      </c>
      <c r="V1177" s="1040" t="e">
        <f t="shared" si="797"/>
        <v>#DIV/0!</v>
      </c>
      <c r="W1177" s="1040" t="e">
        <f t="shared" si="797"/>
        <v>#DIV/0!</v>
      </c>
      <c r="X1177" s="1040" t="e">
        <f t="shared" si="797"/>
        <v>#DIV/0!</v>
      </c>
      <c r="Y1177" s="1040" t="e">
        <f t="shared" si="797"/>
        <v>#DIV/0!</v>
      </c>
      <c r="Z1177" s="1040" t="e">
        <f t="shared" si="797"/>
        <v>#DIV/0!</v>
      </c>
      <c r="AA1177" s="1040" t="e">
        <f t="shared" si="797"/>
        <v>#DIV/0!</v>
      </c>
      <c r="AB1177" s="1040" t="e">
        <f t="shared" si="797"/>
        <v>#DIV/0!</v>
      </c>
      <c r="AC1177" s="1040" t="e">
        <f t="shared" si="797"/>
        <v>#DIV/0!</v>
      </c>
      <c r="AD1177" s="1040" t="e">
        <f t="shared" si="797"/>
        <v>#DIV/0!</v>
      </c>
      <c r="AE1177" s="1040" t="e">
        <f t="shared" si="797"/>
        <v>#DIV/0!</v>
      </c>
      <c r="AF1177" s="1040" t="e">
        <f t="shared" si="797"/>
        <v>#DIV/0!</v>
      </c>
      <c r="AG1177" s="1040" t="e">
        <f t="shared" si="797"/>
        <v>#DIV/0!</v>
      </c>
      <c r="AH1177" s="1040" t="e">
        <f t="shared" si="797"/>
        <v>#DIV/0!</v>
      </c>
      <c r="AI1177" s="1040" t="e">
        <f t="shared" si="797"/>
        <v>#DIV/0!</v>
      </c>
      <c r="AJ1177" s="1040" t="e">
        <f t="shared" si="797"/>
        <v>#DIV/0!</v>
      </c>
      <c r="AK1177" s="1040" t="e">
        <f t="shared" si="797"/>
        <v>#DIV/0!</v>
      </c>
      <c r="AL1177" s="1040" t="e">
        <f t="shared" si="797"/>
        <v>#DIV/0!</v>
      </c>
      <c r="AM1177" s="1040" t="e">
        <f t="shared" si="797"/>
        <v>#DIV/0!</v>
      </c>
      <c r="AN1177" s="1040" t="e">
        <f t="shared" si="797"/>
        <v>#DIV/0!</v>
      </c>
      <c r="AO1177" s="1040" t="e">
        <f t="shared" si="797"/>
        <v>#DIV/0!</v>
      </c>
      <c r="AP1177" s="1040" t="e">
        <f t="shared" si="797"/>
        <v>#DIV/0!</v>
      </c>
      <c r="AQ1177" s="1040" t="e">
        <f t="shared" si="797"/>
        <v>#DIV/0!</v>
      </c>
      <c r="AR1177" s="1040" t="e">
        <f t="shared" si="797"/>
        <v>#DIV/0!</v>
      </c>
      <c r="AS1177" s="1040" t="e">
        <f t="shared" ref="AS1177:AY1177" si="798">IF(AS377="",0,IF(OR(1=RANK(AS777,AS$412:AS$790,0),(2=RANK(AS777,AS$412:AS$790,0))),AS777,AS377))</f>
        <v>#DIV/0!</v>
      </c>
      <c r="AT1177" s="1040" t="e">
        <f t="shared" si="798"/>
        <v>#DIV/0!</v>
      </c>
      <c r="AU1177" s="1040">
        <f t="shared" si="798"/>
        <v>0</v>
      </c>
      <c r="AV1177" s="1040" t="e">
        <f t="shared" si="798"/>
        <v>#DIV/0!</v>
      </c>
      <c r="AW1177" s="1040" t="e">
        <f t="shared" si="798"/>
        <v>#DIV/0!</v>
      </c>
      <c r="AX1177" s="1040" t="e">
        <f t="shared" si="798"/>
        <v>#DIV/0!</v>
      </c>
      <c r="AY1177" s="1040" t="e">
        <f t="shared" si="798"/>
        <v>#DIV/0!</v>
      </c>
      <c r="AZ1177" s="1061" t="s">
        <v>21</v>
      </c>
      <c r="BC1177" s="29"/>
      <c r="BD1177" s="29"/>
      <c r="BE1177" s="13"/>
      <c r="BL1177" s="368"/>
    </row>
    <row r="1178" spans="1:64" ht="12" customHeight="1" x14ac:dyDescent="0.2">
      <c r="A1178" s="39">
        <f>acute_overview_children!A378</f>
        <v>4</v>
      </c>
      <c r="B1178" s="23">
        <f t="shared" si="705"/>
        <v>1020040</v>
      </c>
      <c r="C1178" s="23" t="str">
        <f t="shared" si="706"/>
        <v xml:space="preserve">Milk: Horse </v>
      </c>
      <c r="D1178" s="135"/>
      <c r="E1178" s="1027"/>
      <c r="F1178" s="87"/>
      <c r="G1178" s="87"/>
      <c r="H1178" s="1027"/>
      <c r="I1178" s="1030"/>
      <c r="J1178" s="1039" t="e">
        <f t="shared" ref="J1178:AR1178" si="799">IF(J378="",0,IF(OR(1=RANK(J778,J$412:J$790,0),(2=RANK(J778,J$412:J$790,0))),J778,J378))</f>
        <v>#DIV/0!</v>
      </c>
      <c r="K1178" s="1040" t="e">
        <f t="shared" si="799"/>
        <v>#DIV/0!</v>
      </c>
      <c r="L1178" s="1040" t="e">
        <f t="shared" si="799"/>
        <v>#DIV/0!</v>
      </c>
      <c r="M1178" s="1040" t="e">
        <f t="shared" si="799"/>
        <v>#DIV/0!</v>
      </c>
      <c r="N1178" s="1040" t="e">
        <f t="shared" si="799"/>
        <v>#DIV/0!</v>
      </c>
      <c r="O1178" s="1040" t="e">
        <f t="shared" si="799"/>
        <v>#DIV/0!</v>
      </c>
      <c r="P1178" s="1040" t="e">
        <f t="shared" si="799"/>
        <v>#DIV/0!</v>
      </c>
      <c r="Q1178" s="1040" t="e">
        <f t="shared" si="799"/>
        <v>#DIV/0!</v>
      </c>
      <c r="R1178" s="1040" t="e">
        <f t="shared" si="799"/>
        <v>#DIV/0!</v>
      </c>
      <c r="S1178" s="1040" t="e">
        <f t="shared" si="799"/>
        <v>#DIV/0!</v>
      </c>
      <c r="T1178" s="1040" t="e">
        <f t="shared" si="799"/>
        <v>#DIV/0!</v>
      </c>
      <c r="U1178" s="1040" t="e">
        <f t="shared" si="799"/>
        <v>#DIV/0!</v>
      </c>
      <c r="V1178" s="1040" t="e">
        <f t="shared" si="799"/>
        <v>#DIV/0!</v>
      </c>
      <c r="W1178" s="1040" t="e">
        <f t="shared" si="799"/>
        <v>#DIV/0!</v>
      </c>
      <c r="X1178" s="1040" t="e">
        <f t="shared" si="799"/>
        <v>#DIV/0!</v>
      </c>
      <c r="Y1178" s="1040" t="e">
        <f t="shared" si="799"/>
        <v>#DIV/0!</v>
      </c>
      <c r="Z1178" s="1040" t="e">
        <f t="shared" si="799"/>
        <v>#DIV/0!</v>
      </c>
      <c r="AA1178" s="1040" t="e">
        <f t="shared" si="799"/>
        <v>#DIV/0!</v>
      </c>
      <c r="AB1178" s="1040" t="e">
        <f t="shared" si="799"/>
        <v>#DIV/0!</v>
      </c>
      <c r="AC1178" s="1040" t="e">
        <f t="shared" si="799"/>
        <v>#DIV/0!</v>
      </c>
      <c r="AD1178" s="1040" t="e">
        <f t="shared" si="799"/>
        <v>#DIV/0!</v>
      </c>
      <c r="AE1178" s="1040" t="e">
        <f t="shared" si="799"/>
        <v>#DIV/0!</v>
      </c>
      <c r="AF1178" s="1040" t="e">
        <f t="shared" si="799"/>
        <v>#DIV/0!</v>
      </c>
      <c r="AG1178" s="1040" t="e">
        <f t="shared" si="799"/>
        <v>#DIV/0!</v>
      </c>
      <c r="AH1178" s="1040" t="e">
        <f t="shared" si="799"/>
        <v>#DIV/0!</v>
      </c>
      <c r="AI1178" s="1040" t="e">
        <f t="shared" si="799"/>
        <v>#DIV/0!</v>
      </c>
      <c r="AJ1178" s="1040" t="e">
        <f t="shared" si="799"/>
        <v>#DIV/0!</v>
      </c>
      <c r="AK1178" s="1040" t="e">
        <f t="shared" si="799"/>
        <v>#DIV/0!</v>
      </c>
      <c r="AL1178" s="1040" t="e">
        <f t="shared" si="799"/>
        <v>#DIV/0!</v>
      </c>
      <c r="AM1178" s="1040" t="e">
        <f t="shared" si="799"/>
        <v>#DIV/0!</v>
      </c>
      <c r="AN1178" s="1040" t="e">
        <f t="shared" si="799"/>
        <v>#DIV/0!</v>
      </c>
      <c r="AO1178" s="1040" t="e">
        <f t="shared" si="799"/>
        <v>#DIV/0!</v>
      </c>
      <c r="AP1178" s="1040" t="e">
        <f t="shared" si="799"/>
        <v>#DIV/0!</v>
      </c>
      <c r="AQ1178" s="1040" t="e">
        <f t="shared" si="799"/>
        <v>#DIV/0!</v>
      </c>
      <c r="AR1178" s="1040" t="e">
        <f t="shared" si="799"/>
        <v>#DIV/0!</v>
      </c>
      <c r="AS1178" s="1040" t="e">
        <f t="shared" ref="AS1178:AY1178" si="800">IF(AS378="",0,IF(OR(1=RANK(AS778,AS$412:AS$790,0),(2=RANK(AS778,AS$412:AS$790,0))),AS778,AS378))</f>
        <v>#DIV/0!</v>
      </c>
      <c r="AT1178" s="1040" t="e">
        <f t="shared" si="800"/>
        <v>#DIV/0!</v>
      </c>
      <c r="AU1178" s="1040">
        <f t="shared" si="800"/>
        <v>0</v>
      </c>
      <c r="AV1178" s="1040" t="e">
        <f t="shared" si="800"/>
        <v>#DIV/0!</v>
      </c>
      <c r="AW1178" s="1040" t="e">
        <f t="shared" si="800"/>
        <v>#DIV/0!</v>
      </c>
      <c r="AX1178" s="1040" t="e">
        <f t="shared" si="800"/>
        <v>#DIV/0!</v>
      </c>
      <c r="AY1178" s="1040" t="e">
        <f t="shared" si="800"/>
        <v>#DIV/0!</v>
      </c>
      <c r="AZ1178" s="1061" t="s">
        <v>21</v>
      </c>
      <c r="BC1178" s="29"/>
      <c r="BD1178" s="29"/>
      <c r="BE1178" s="13"/>
      <c r="BL1178" s="368"/>
    </row>
    <row r="1179" spans="1:64" ht="12" customHeight="1" x14ac:dyDescent="0.2">
      <c r="A1179" s="39">
        <f>acute_overview_children!A379</f>
        <v>4</v>
      </c>
      <c r="B1179" s="23">
        <f t="shared" si="705"/>
        <v>1020990</v>
      </c>
      <c r="C1179" s="23" t="str">
        <f t="shared" si="706"/>
        <v xml:space="preserve">Milk: Others </v>
      </c>
      <c r="D1179" s="135"/>
      <c r="E1179" s="1027"/>
      <c r="F1179" s="87"/>
      <c r="G1179" s="87"/>
      <c r="H1179" s="1027"/>
      <c r="I1179" s="1030"/>
      <c r="J1179" s="1039" t="e">
        <f t="shared" ref="J1179:AR1179" si="801">IF(J379="",0,IF(OR(1=RANK(J779,J$412:J$790,0),(2=RANK(J779,J$412:J$790,0))),J779,J379))</f>
        <v>#DIV/0!</v>
      </c>
      <c r="K1179" s="1040" t="e">
        <f t="shared" si="801"/>
        <v>#DIV/0!</v>
      </c>
      <c r="L1179" s="1040" t="e">
        <f t="shared" si="801"/>
        <v>#DIV/0!</v>
      </c>
      <c r="M1179" s="1040" t="e">
        <f t="shared" si="801"/>
        <v>#DIV/0!</v>
      </c>
      <c r="N1179" s="1040" t="e">
        <f t="shared" si="801"/>
        <v>#DIV/0!</v>
      </c>
      <c r="O1179" s="1040" t="e">
        <f t="shared" si="801"/>
        <v>#DIV/0!</v>
      </c>
      <c r="P1179" s="1040" t="e">
        <f t="shared" si="801"/>
        <v>#DIV/0!</v>
      </c>
      <c r="Q1179" s="1040" t="e">
        <f t="shared" si="801"/>
        <v>#DIV/0!</v>
      </c>
      <c r="R1179" s="1040" t="e">
        <f t="shared" si="801"/>
        <v>#DIV/0!</v>
      </c>
      <c r="S1179" s="1040" t="e">
        <f t="shared" si="801"/>
        <v>#DIV/0!</v>
      </c>
      <c r="T1179" s="1040" t="e">
        <f t="shared" si="801"/>
        <v>#DIV/0!</v>
      </c>
      <c r="U1179" s="1040" t="e">
        <f t="shared" si="801"/>
        <v>#DIV/0!</v>
      </c>
      <c r="V1179" s="1040" t="e">
        <f t="shared" si="801"/>
        <v>#DIV/0!</v>
      </c>
      <c r="W1179" s="1040" t="e">
        <f t="shared" si="801"/>
        <v>#DIV/0!</v>
      </c>
      <c r="X1179" s="1040" t="e">
        <f t="shared" si="801"/>
        <v>#DIV/0!</v>
      </c>
      <c r="Y1179" s="1040" t="e">
        <f t="shared" si="801"/>
        <v>#DIV/0!</v>
      </c>
      <c r="Z1179" s="1040" t="e">
        <f t="shared" si="801"/>
        <v>#DIV/0!</v>
      </c>
      <c r="AA1179" s="1040" t="e">
        <f t="shared" si="801"/>
        <v>#DIV/0!</v>
      </c>
      <c r="AB1179" s="1040" t="e">
        <f t="shared" si="801"/>
        <v>#DIV/0!</v>
      </c>
      <c r="AC1179" s="1040" t="e">
        <f t="shared" si="801"/>
        <v>#DIV/0!</v>
      </c>
      <c r="AD1179" s="1040" t="e">
        <f t="shared" si="801"/>
        <v>#DIV/0!</v>
      </c>
      <c r="AE1179" s="1040" t="e">
        <f t="shared" si="801"/>
        <v>#DIV/0!</v>
      </c>
      <c r="AF1179" s="1040" t="e">
        <f t="shared" si="801"/>
        <v>#DIV/0!</v>
      </c>
      <c r="AG1179" s="1040" t="e">
        <f t="shared" si="801"/>
        <v>#DIV/0!</v>
      </c>
      <c r="AH1179" s="1040" t="e">
        <f t="shared" si="801"/>
        <v>#DIV/0!</v>
      </c>
      <c r="AI1179" s="1040" t="e">
        <f t="shared" si="801"/>
        <v>#DIV/0!</v>
      </c>
      <c r="AJ1179" s="1040" t="e">
        <f t="shared" si="801"/>
        <v>#DIV/0!</v>
      </c>
      <c r="AK1179" s="1040" t="e">
        <f t="shared" si="801"/>
        <v>#DIV/0!</v>
      </c>
      <c r="AL1179" s="1040" t="e">
        <f t="shared" si="801"/>
        <v>#DIV/0!</v>
      </c>
      <c r="AM1179" s="1040" t="e">
        <f t="shared" si="801"/>
        <v>#DIV/0!</v>
      </c>
      <c r="AN1179" s="1040" t="e">
        <f t="shared" si="801"/>
        <v>#DIV/0!</v>
      </c>
      <c r="AO1179" s="1040" t="e">
        <f t="shared" si="801"/>
        <v>#DIV/0!</v>
      </c>
      <c r="AP1179" s="1040" t="e">
        <f t="shared" si="801"/>
        <v>#DIV/0!</v>
      </c>
      <c r="AQ1179" s="1040" t="e">
        <f t="shared" si="801"/>
        <v>#DIV/0!</v>
      </c>
      <c r="AR1179" s="1040" t="e">
        <f t="shared" si="801"/>
        <v>#DIV/0!</v>
      </c>
      <c r="AS1179" s="1040" t="e">
        <f t="shared" ref="AS1179:AY1179" si="802">IF(AS379="",0,IF(OR(1=RANK(AS779,AS$412:AS$790,0),(2=RANK(AS779,AS$412:AS$790,0))),AS779,AS379))</f>
        <v>#DIV/0!</v>
      </c>
      <c r="AT1179" s="1040" t="e">
        <f t="shared" si="802"/>
        <v>#DIV/0!</v>
      </c>
      <c r="AU1179" s="1040">
        <f t="shared" si="802"/>
        <v>0</v>
      </c>
      <c r="AV1179" s="1040" t="e">
        <f t="shared" si="802"/>
        <v>#DIV/0!</v>
      </c>
      <c r="AW1179" s="1040" t="e">
        <f t="shared" si="802"/>
        <v>#DIV/0!</v>
      </c>
      <c r="AX1179" s="1040" t="e">
        <f t="shared" si="802"/>
        <v>#DIV/0!</v>
      </c>
      <c r="AY1179" s="1040" t="e">
        <f t="shared" si="802"/>
        <v>#DIV/0!</v>
      </c>
      <c r="AZ1179" s="1061" t="s">
        <v>21</v>
      </c>
      <c r="BC1179" s="29"/>
      <c r="BD1179" s="29"/>
      <c r="BE1179" s="13"/>
      <c r="BL1179" s="368"/>
    </row>
    <row r="1180" spans="1:64" ht="12" customHeight="1" x14ac:dyDescent="0.2">
      <c r="A1180" s="515">
        <f>acute_overview_children!A380</f>
        <v>2</v>
      </c>
      <c r="B1180" s="131">
        <f t="shared" si="705"/>
        <v>1030000</v>
      </c>
      <c r="C1180" s="131" t="str">
        <f t="shared" si="706"/>
        <v>Birds eggs</v>
      </c>
      <c r="D1180" s="1035"/>
      <c r="E1180" s="1027"/>
      <c r="F1180" s="87"/>
      <c r="G1180" s="87"/>
      <c r="H1180" s="1027"/>
      <c r="I1180" s="1030"/>
      <c r="J1180" s="1037" t="e">
        <f t="shared" ref="J1180:AR1180" si="803">IF(J380="",0,IF(OR(1=RANK(J780,J$412:J$790,0),(2=RANK(J780,J$412:J$790,0))),J780,J380))</f>
        <v>#DIV/0!</v>
      </c>
      <c r="K1180" s="1038" t="e">
        <f t="shared" si="803"/>
        <v>#DIV/0!</v>
      </c>
      <c r="L1180" s="1038" t="e">
        <f t="shared" si="803"/>
        <v>#DIV/0!</v>
      </c>
      <c r="M1180" s="1038" t="e">
        <f t="shared" si="803"/>
        <v>#DIV/0!</v>
      </c>
      <c r="N1180" s="1038" t="e">
        <f t="shared" si="803"/>
        <v>#DIV/0!</v>
      </c>
      <c r="O1180" s="1038" t="e">
        <f t="shared" si="803"/>
        <v>#DIV/0!</v>
      </c>
      <c r="P1180" s="1038" t="e">
        <f t="shared" si="803"/>
        <v>#DIV/0!</v>
      </c>
      <c r="Q1180" s="1038" t="e">
        <f t="shared" si="803"/>
        <v>#DIV/0!</v>
      </c>
      <c r="R1180" s="1038" t="e">
        <f t="shared" si="803"/>
        <v>#DIV/0!</v>
      </c>
      <c r="S1180" s="1038" t="e">
        <f t="shared" si="803"/>
        <v>#DIV/0!</v>
      </c>
      <c r="T1180" s="1038" t="e">
        <f t="shared" si="803"/>
        <v>#DIV/0!</v>
      </c>
      <c r="U1180" s="1038" t="e">
        <f t="shared" si="803"/>
        <v>#DIV/0!</v>
      </c>
      <c r="V1180" s="1038" t="e">
        <f t="shared" si="803"/>
        <v>#DIV/0!</v>
      </c>
      <c r="W1180" s="1038" t="e">
        <f t="shared" si="803"/>
        <v>#DIV/0!</v>
      </c>
      <c r="X1180" s="1038" t="e">
        <f t="shared" si="803"/>
        <v>#DIV/0!</v>
      </c>
      <c r="Y1180" s="1038" t="e">
        <f t="shared" si="803"/>
        <v>#DIV/0!</v>
      </c>
      <c r="Z1180" s="1038" t="e">
        <f t="shared" si="803"/>
        <v>#DIV/0!</v>
      </c>
      <c r="AA1180" s="1038" t="e">
        <f t="shared" si="803"/>
        <v>#DIV/0!</v>
      </c>
      <c r="AB1180" s="1038" t="e">
        <f t="shared" si="803"/>
        <v>#DIV/0!</v>
      </c>
      <c r="AC1180" s="1038" t="e">
        <f t="shared" si="803"/>
        <v>#DIV/0!</v>
      </c>
      <c r="AD1180" s="1038" t="e">
        <f t="shared" si="803"/>
        <v>#DIV/0!</v>
      </c>
      <c r="AE1180" s="1038" t="e">
        <f t="shared" si="803"/>
        <v>#DIV/0!</v>
      </c>
      <c r="AF1180" s="1038" t="e">
        <f t="shared" si="803"/>
        <v>#DIV/0!</v>
      </c>
      <c r="AG1180" s="1038" t="e">
        <f t="shared" si="803"/>
        <v>#DIV/0!</v>
      </c>
      <c r="AH1180" s="1038" t="e">
        <f t="shared" si="803"/>
        <v>#DIV/0!</v>
      </c>
      <c r="AI1180" s="1038" t="e">
        <f t="shared" si="803"/>
        <v>#DIV/0!</v>
      </c>
      <c r="AJ1180" s="1038" t="e">
        <f t="shared" si="803"/>
        <v>#DIV/0!</v>
      </c>
      <c r="AK1180" s="1038" t="e">
        <f t="shared" si="803"/>
        <v>#DIV/0!</v>
      </c>
      <c r="AL1180" s="1038" t="e">
        <f t="shared" si="803"/>
        <v>#DIV/0!</v>
      </c>
      <c r="AM1180" s="1038" t="e">
        <f t="shared" si="803"/>
        <v>#DIV/0!</v>
      </c>
      <c r="AN1180" s="1038" t="e">
        <f t="shared" si="803"/>
        <v>#DIV/0!</v>
      </c>
      <c r="AO1180" s="1038" t="e">
        <f t="shared" si="803"/>
        <v>#DIV/0!</v>
      </c>
      <c r="AP1180" s="1038" t="e">
        <f t="shared" si="803"/>
        <v>#DIV/0!</v>
      </c>
      <c r="AQ1180" s="1038" t="e">
        <f t="shared" si="803"/>
        <v>#DIV/0!</v>
      </c>
      <c r="AR1180" s="1038" t="e">
        <f t="shared" si="803"/>
        <v>#DIV/0!</v>
      </c>
      <c r="AS1180" s="1038" t="e">
        <f t="shared" ref="AS1180:AY1180" si="804">IF(AS380="",0,IF(OR(1=RANK(AS780,AS$412:AS$790,0),(2=RANK(AS780,AS$412:AS$790,0))),AS780,AS380))</f>
        <v>#DIV/0!</v>
      </c>
      <c r="AT1180" s="1038" t="e">
        <f t="shared" si="804"/>
        <v>#DIV/0!</v>
      </c>
      <c r="AU1180" s="1038">
        <f t="shared" si="804"/>
        <v>0</v>
      </c>
      <c r="AV1180" s="1038" t="e">
        <f t="shared" si="804"/>
        <v>#DIV/0!</v>
      </c>
      <c r="AW1180" s="1038" t="e">
        <f t="shared" si="804"/>
        <v>#DIV/0!</v>
      </c>
      <c r="AX1180" s="1038" t="e">
        <f t="shared" si="804"/>
        <v>#DIV/0!</v>
      </c>
      <c r="AY1180" s="1038" t="e">
        <f t="shared" si="804"/>
        <v>#DIV/0!</v>
      </c>
      <c r="AZ1180" s="1061" t="s">
        <v>21</v>
      </c>
      <c r="BC1180" s="29"/>
      <c r="BD1180" s="29"/>
      <c r="BE1180" s="13"/>
      <c r="BL1180" s="368"/>
    </row>
    <row r="1181" spans="1:64" ht="12" customHeight="1" x14ac:dyDescent="0.2">
      <c r="A1181" s="39">
        <f>acute_overview_children!A381</f>
        <v>4</v>
      </c>
      <c r="B1181" s="23">
        <f t="shared" si="705"/>
        <v>1030010</v>
      </c>
      <c r="C1181" s="23" t="str">
        <f t="shared" si="706"/>
        <v xml:space="preserve">Eggs: Chicken </v>
      </c>
      <c r="D1181" s="135"/>
      <c r="E1181" s="1027"/>
      <c r="F1181" s="87"/>
      <c r="G1181" s="87"/>
      <c r="H1181" s="1027"/>
      <c r="I1181" s="1030"/>
      <c r="J1181" s="1039" t="e">
        <f t="shared" ref="J1181:AR1181" si="805">IF(J381="",0,IF(OR(1=RANK(J781,J$412:J$790,0),(2=RANK(J781,J$412:J$790,0))),J781,J381))</f>
        <v>#DIV/0!</v>
      </c>
      <c r="K1181" s="1040" t="e">
        <f t="shared" si="805"/>
        <v>#DIV/0!</v>
      </c>
      <c r="L1181" s="1040" t="e">
        <f t="shared" si="805"/>
        <v>#DIV/0!</v>
      </c>
      <c r="M1181" s="1040" t="e">
        <f t="shared" si="805"/>
        <v>#DIV/0!</v>
      </c>
      <c r="N1181" s="1040" t="e">
        <f t="shared" si="805"/>
        <v>#DIV/0!</v>
      </c>
      <c r="O1181" s="1040" t="e">
        <f t="shared" si="805"/>
        <v>#DIV/0!</v>
      </c>
      <c r="P1181" s="1040" t="e">
        <f t="shared" si="805"/>
        <v>#DIV/0!</v>
      </c>
      <c r="Q1181" s="1040" t="e">
        <f t="shared" si="805"/>
        <v>#DIV/0!</v>
      </c>
      <c r="R1181" s="1040" t="e">
        <f t="shared" si="805"/>
        <v>#DIV/0!</v>
      </c>
      <c r="S1181" s="1040" t="e">
        <f t="shared" si="805"/>
        <v>#DIV/0!</v>
      </c>
      <c r="T1181" s="1040" t="e">
        <f t="shared" si="805"/>
        <v>#DIV/0!</v>
      </c>
      <c r="U1181" s="1040" t="e">
        <f t="shared" si="805"/>
        <v>#DIV/0!</v>
      </c>
      <c r="V1181" s="1040" t="e">
        <f t="shared" si="805"/>
        <v>#DIV/0!</v>
      </c>
      <c r="W1181" s="1040" t="e">
        <f t="shared" si="805"/>
        <v>#DIV/0!</v>
      </c>
      <c r="X1181" s="1040" t="e">
        <f t="shared" si="805"/>
        <v>#DIV/0!</v>
      </c>
      <c r="Y1181" s="1040" t="e">
        <f t="shared" si="805"/>
        <v>#DIV/0!</v>
      </c>
      <c r="Z1181" s="1040" t="e">
        <f t="shared" si="805"/>
        <v>#DIV/0!</v>
      </c>
      <c r="AA1181" s="1040" t="e">
        <f t="shared" si="805"/>
        <v>#DIV/0!</v>
      </c>
      <c r="AB1181" s="1040" t="e">
        <f t="shared" si="805"/>
        <v>#DIV/0!</v>
      </c>
      <c r="AC1181" s="1040" t="e">
        <f t="shared" si="805"/>
        <v>#DIV/0!</v>
      </c>
      <c r="AD1181" s="1040" t="e">
        <f t="shared" si="805"/>
        <v>#DIV/0!</v>
      </c>
      <c r="AE1181" s="1040" t="e">
        <f t="shared" si="805"/>
        <v>#DIV/0!</v>
      </c>
      <c r="AF1181" s="1040" t="e">
        <f t="shared" si="805"/>
        <v>#DIV/0!</v>
      </c>
      <c r="AG1181" s="1040" t="e">
        <f t="shared" si="805"/>
        <v>#DIV/0!</v>
      </c>
      <c r="AH1181" s="1040" t="e">
        <f t="shared" si="805"/>
        <v>#DIV/0!</v>
      </c>
      <c r="AI1181" s="1040" t="e">
        <f t="shared" si="805"/>
        <v>#DIV/0!</v>
      </c>
      <c r="AJ1181" s="1040" t="e">
        <f t="shared" si="805"/>
        <v>#DIV/0!</v>
      </c>
      <c r="AK1181" s="1040" t="e">
        <f t="shared" si="805"/>
        <v>#DIV/0!</v>
      </c>
      <c r="AL1181" s="1040" t="e">
        <f t="shared" si="805"/>
        <v>#DIV/0!</v>
      </c>
      <c r="AM1181" s="1040" t="e">
        <f t="shared" si="805"/>
        <v>#DIV/0!</v>
      </c>
      <c r="AN1181" s="1040" t="e">
        <f t="shared" si="805"/>
        <v>#DIV/0!</v>
      </c>
      <c r="AO1181" s="1040" t="e">
        <f t="shared" si="805"/>
        <v>#DIV/0!</v>
      </c>
      <c r="AP1181" s="1040" t="e">
        <f t="shared" si="805"/>
        <v>#DIV/0!</v>
      </c>
      <c r="AQ1181" s="1040" t="e">
        <f t="shared" si="805"/>
        <v>#DIV/0!</v>
      </c>
      <c r="AR1181" s="1040" t="e">
        <f t="shared" si="805"/>
        <v>#DIV/0!</v>
      </c>
      <c r="AS1181" s="1040" t="e">
        <f t="shared" ref="AS1181:AY1181" si="806">IF(AS381="",0,IF(OR(1=RANK(AS781,AS$412:AS$790,0),(2=RANK(AS781,AS$412:AS$790,0))),AS781,AS381))</f>
        <v>#DIV/0!</v>
      </c>
      <c r="AT1181" s="1040" t="e">
        <f t="shared" si="806"/>
        <v>#DIV/0!</v>
      </c>
      <c r="AU1181" s="1040">
        <f t="shared" si="806"/>
        <v>0</v>
      </c>
      <c r="AV1181" s="1040" t="e">
        <f t="shared" si="806"/>
        <v>#DIV/0!</v>
      </c>
      <c r="AW1181" s="1040" t="e">
        <f t="shared" si="806"/>
        <v>#DIV/0!</v>
      </c>
      <c r="AX1181" s="1040" t="e">
        <f t="shared" si="806"/>
        <v>#DIV/0!</v>
      </c>
      <c r="AY1181" s="1040" t="e">
        <f t="shared" si="806"/>
        <v>#DIV/0!</v>
      </c>
      <c r="AZ1181" s="1061" t="s">
        <v>21</v>
      </c>
      <c r="BC1181" s="29"/>
      <c r="BD1181" s="29"/>
      <c r="BE1181" s="13"/>
      <c r="BL1181" s="368"/>
    </row>
    <row r="1182" spans="1:64" ht="12" customHeight="1" x14ac:dyDescent="0.2">
      <c r="A1182" s="39">
        <f>acute_overview_children!A382</f>
        <v>4</v>
      </c>
      <c r="B1182" s="23">
        <f t="shared" si="705"/>
        <v>1030020</v>
      </c>
      <c r="C1182" s="23" t="str">
        <f t="shared" si="706"/>
        <v>Eggs: Duck</v>
      </c>
      <c r="D1182" s="135"/>
      <c r="E1182" s="1027"/>
      <c r="F1182" s="87"/>
      <c r="G1182" s="87"/>
      <c r="H1182" s="1027"/>
      <c r="I1182" s="1030"/>
      <c r="J1182" s="1039" t="e">
        <f t="shared" ref="J1182:AR1182" si="807">IF(J382="",0,IF(OR(1=RANK(J782,J$412:J$790,0),(2=RANK(J782,J$412:J$790,0))),J782,J382))</f>
        <v>#DIV/0!</v>
      </c>
      <c r="K1182" s="1040" t="e">
        <f t="shared" si="807"/>
        <v>#DIV/0!</v>
      </c>
      <c r="L1182" s="1040" t="e">
        <f t="shared" si="807"/>
        <v>#DIV/0!</v>
      </c>
      <c r="M1182" s="1040" t="e">
        <f t="shared" si="807"/>
        <v>#DIV/0!</v>
      </c>
      <c r="N1182" s="1040" t="e">
        <f t="shared" si="807"/>
        <v>#DIV/0!</v>
      </c>
      <c r="O1182" s="1040" t="e">
        <f t="shared" si="807"/>
        <v>#DIV/0!</v>
      </c>
      <c r="P1182" s="1040" t="e">
        <f t="shared" si="807"/>
        <v>#DIV/0!</v>
      </c>
      <c r="Q1182" s="1040" t="e">
        <f t="shared" si="807"/>
        <v>#DIV/0!</v>
      </c>
      <c r="R1182" s="1040" t="e">
        <f t="shared" si="807"/>
        <v>#DIV/0!</v>
      </c>
      <c r="S1182" s="1040" t="e">
        <f t="shared" si="807"/>
        <v>#DIV/0!</v>
      </c>
      <c r="T1182" s="1040" t="e">
        <f t="shared" si="807"/>
        <v>#DIV/0!</v>
      </c>
      <c r="U1182" s="1040" t="e">
        <f t="shared" si="807"/>
        <v>#DIV/0!</v>
      </c>
      <c r="V1182" s="1040" t="e">
        <f t="shared" si="807"/>
        <v>#DIV/0!</v>
      </c>
      <c r="W1182" s="1040" t="e">
        <f t="shared" si="807"/>
        <v>#DIV/0!</v>
      </c>
      <c r="X1182" s="1040" t="e">
        <f t="shared" si="807"/>
        <v>#DIV/0!</v>
      </c>
      <c r="Y1182" s="1040" t="e">
        <f t="shared" si="807"/>
        <v>#DIV/0!</v>
      </c>
      <c r="Z1182" s="1040" t="e">
        <f t="shared" si="807"/>
        <v>#DIV/0!</v>
      </c>
      <c r="AA1182" s="1040" t="e">
        <f t="shared" si="807"/>
        <v>#DIV/0!</v>
      </c>
      <c r="AB1182" s="1040" t="e">
        <f t="shared" si="807"/>
        <v>#DIV/0!</v>
      </c>
      <c r="AC1182" s="1040" t="e">
        <f t="shared" si="807"/>
        <v>#DIV/0!</v>
      </c>
      <c r="AD1182" s="1040" t="e">
        <f t="shared" si="807"/>
        <v>#DIV/0!</v>
      </c>
      <c r="AE1182" s="1040" t="e">
        <f t="shared" si="807"/>
        <v>#DIV/0!</v>
      </c>
      <c r="AF1182" s="1040" t="e">
        <f t="shared" si="807"/>
        <v>#DIV/0!</v>
      </c>
      <c r="AG1182" s="1040" t="e">
        <f t="shared" si="807"/>
        <v>#DIV/0!</v>
      </c>
      <c r="AH1182" s="1040" t="e">
        <f t="shared" si="807"/>
        <v>#DIV/0!</v>
      </c>
      <c r="AI1182" s="1040" t="e">
        <f t="shared" si="807"/>
        <v>#DIV/0!</v>
      </c>
      <c r="AJ1182" s="1040" t="e">
        <f t="shared" si="807"/>
        <v>#DIV/0!</v>
      </c>
      <c r="AK1182" s="1040" t="e">
        <f t="shared" si="807"/>
        <v>#DIV/0!</v>
      </c>
      <c r="AL1182" s="1040" t="e">
        <f t="shared" si="807"/>
        <v>#DIV/0!</v>
      </c>
      <c r="AM1182" s="1040" t="e">
        <f t="shared" si="807"/>
        <v>#DIV/0!</v>
      </c>
      <c r="AN1182" s="1040" t="e">
        <f t="shared" si="807"/>
        <v>#DIV/0!</v>
      </c>
      <c r="AO1182" s="1040" t="e">
        <f t="shared" si="807"/>
        <v>#DIV/0!</v>
      </c>
      <c r="AP1182" s="1040" t="e">
        <f t="shared" si="807"/>
        <v>#DIV/0!</v>
      </c>
      <c r="AQ1182" s="1040" t="e">
        <f t="shared" si="807"/>
        <v>#DIV/0!</v>
      </c>
      <c r="AR1182" s="1040" t="e">
        <f t="shared" si="807"/>
        <v>#DIV/0!</v>
      </c>
      <c r="AS1182" s="1040" t="e">
        <f t="shared" ref="AS1182:AY1182" si="808">IF(AS382="",0,IF(OR(1=RANK(AS782,AS$412:AS$790,0),(2=RANK(AS782,AS$412:AS$790,0))),AS782,AS382))</f>
        <v>#DIV/0!</v>
      </c>
      <c r="AT1182" s="1040" t="e">
        <f t="shared" si="808"/>
        <v>#DIV/0!</v>
      </c>
      <c r="AU1182" s="1040">
        <f t="shared" si="808"/>
        <v>0</v>
      </c>
      <c r="AV1182" s="1040" t="e">
        <f t="shared" si="808"/>
        <v>#DIV/0!</v>
      </c>
      <c r="AW1182" s="1040" t="e">
        <f t="shared" si="808"/>
        <v>#DIV/0!</v>
      </c>
      <c r="AX1182" s="1040" t="e">
        <f t="shared" si="808"/>
        <v>#DIV/0!</v>
      </c>
      <c r="AY1182" s="1040" t="e">
        <f t="shared" si="808"/>
        <v>#DIV/0!</v>
      </c>
      <c r="AZ1182" s="1061" t="s">
        <v>21</v>
      </c>
      <c r="BC1182" s="29"/>
      <c r="BD1182" s="29"/>
      <c r="BE1182" s="13"/>
      <c r="BL1182" s="368"/>
    </row>
    <row r="1183" spans="1:64" ht="12" customHeight="1" x14ac:dyDescent="0.2">
      <c r="A1183" s="39">
        <f>acute_overview_children!A383</f>
        <v>4</v>
      </c>
      <c r="B1183" s="23">
        <f t="shared" si="705"/>
        <v>1030030</v>
      </c>
      <c r="C1183" s="23" t="str">
        <f t="shared" si="706"/>
        <v>Eggs: Goose</v>
      </c>
      <c r="D1183" s="135"/>
      <c r="E1183" s="1027"/>
      <c r="F1183" s="87"/>
      <c r="G1183" s="87"/>
      <c r="H1183" s="1027"/>
      <c r="I1183" s="1030"/>
      <c r="J1183" s="1039" t="e">
        <f t="shared" ref="J1183:AR1183" si="809">IF(J383="",0,IF(OR(1=RANK(J783,J$412:J$790,0),(2=RANK(J783,J$412:J$790,0))),J783,J383))</f>
        <v>#DIV/0!</v>
      </c>
      <c r="K1183" s="1040" t="e">
        <f t="shared" si="809"/>
        <v>#DIV/0!</v>
      </c>
      <c r="L1183" s="1040" t="e">
        <f t="shared" si="809"/>
        <v>#DIV/0!</v>
      </c>
      <c r="M1183" s="1040" t="e">
        <f t="shared" si="809"/>
        <v>#DIV/0!</v>
      </c>
      <c r="N1183" s="1040" t="e">
        <f t="shared" si="809"/>
        <v>#DIV/0!</v>
      </c>
      <c r="O1183" s="1040" t="e">
        <f t="shared" si="809"/>
        <v>#DIV/0!</v>
      </c>
      <c r="P1183" s="1040" t="e">
        <f t="shared" si="809"/>
        <v>#DIV/0!</v>
      </c>
      <c r="Q1183" s="1040" t="e">
        <f t="shared" si="809"/>
        <v>#DIV/0!</v>
      </c>
      <c r="R1183" s="1040" t="e">
        <f t="shared" si="809"/>
        <v>#DIV/0!</v>
      </c>
      <c r="S1183" s="1040" t="e">
        <f t="shared" si="809"/>
        <v>#DIV/0!</v>
      </c>
      <c r="T1183" s="1040" t="e">
        <f t="shared" si="809"/>
        <v>#DIV/0!</v>
      </c>
      <c r="U1183" s="1040" t="e">
        <f t="shared" si="809"/>
        <v>#DIV/0!</v>
      </c>
      <c r="V1183" s="1040" t="e">
        <f t="shared" si="809"/>
        <v>#DIV/0!</v>
      </c>
      <c r="W1183" s="1040" t="e">
        <f t="shared" si="809"/>
        <v>#DIV/0!</v>
      </c>
      <c r="X1183" s="1040" t="e">
        <f t="shared" si="809"/>
        <v>#DIV/0!</v>
      </c>
      <c r="Y1183" s="1040" t="e">
        <f t="shared" si="809"/>
        <v>#DIV/0!</v>
      </c>
      <c r="Z1183" s="1040" t="e">
        <f t="shared" si="809"/>
        <v>#DIV/0!</v>
      </c>
      <c r="AA1183" s="1040" t="e">
        <f t="shared" si="809"/>
        <v>#DIV/0!</v>
      </c>
      <c r="AB1183" s="1040" t="e">
        <f t="shared" si="809"/>
        <v>#DIV/0!</v>
      </c>
      <c r="AC1183" s="1040" t="e">
        <f t="shared" si="809"/>
        <v>#DIV/0!</v>
      </c>
      <c r="AD1183" s="1040" t="e">
        <f t="shared" si="809"/>
        <v>#DIV/0!</v>
      </c>
      <c r="AE1183" s="1040" t="e">
        <f t="shared" si="809"/>
        <v>#DIV/0!</v>
      </c>
      <c r="AF1183" s="1040" t="e">
        <f t="shared" si="809"/>
        <v>#DIV/0!</v>
      </c>
      <c r="AG1183" s="1040" t="e">
        <f t="shared" si="809"/>
        <v>#DIV/0!</v>
      </c>
      <c r="AH1183" s="1040" t="e">
        <f t="shared" si="809"/>
        <v>#DIV/0!</v>
      </c>
      <c r="AI1183" s="1040" t="e">
        <f t="shared" si="809"/>
        <v>#DIV/0!</v>
      </c>
      <c r="AJ1183" s="1040" t="e">
        <f t="shared" si="809"/>
        <v>#DIV/0!</v>
      </c>
      <c r="AK1183" s="1040" t="e">
        <f t="shared" si="809"/>
        <v>#DIV/0!</v>
      </c>
      <c r="AL1183" s="1040" t="e">
        <f t="shared" si="809"/>
        <v>#DIV/0!</v>
      </c>
      <c r="AM1183" s="1040" t="e">
        <f t="shared" si="809"/>
        <v>#DIV/0!</v>
      </c>
      <c r="AN1183" s="1040" t="e">
        <f t="shared" si="809"/>
        <v>#DIV/0!</v>
      </c>
      <c r="AO1183" s="1040" t="e">
        <f t="shared" si="809"/>
        <v>#DIV/0!</v>
      </c>
      <c r="AP1183" s="1040" t="e">
        <f t="shared" si="809"/>
        <v>#DIV/0!</v>
      </c>
      <c r="AQ1183" s="1040" t="e">
        <f t="shared" si="809"/>
        <v>#DIV/0!</v>
      </c>
      <c r="AR1183" s="1040" t="e">
        <f t="shared" si="809"/>
        <v>#DIV/0!</v>
      </c>
      <c r="AS1183" s="1040" t="e">
        <f t="shared" ref="AS1183:AY1183" si="810">IF(AS383="",0,IF(OR(1=RANK(AS783,AS$412:AS$790,0),(2=RANK(AS783,AS$412:AS$790,0))),AS783,AS383))</f>
        <v>#DIV/0!</v>
      </c>
      <c r="AT1183" s="1040" t="e">
        <f t="shared" si="810"/>
        <v>#DIV/0!</v>
      </c>
      <c r="AU1183" s="1040">
        <f t="shared" si="810"/>
        <v>0</v>
      </c>
      <c r="AV1183" s="1040" t="e">
        <f t="shared" si="810"/>
        <v>#DIV/0!</v>
      </c>
      <c r="AW1183" s="1040" t="e">
        <f t="shared" si="810"/>
        <v>#DIV/0!</v>
      </c>
      <c r="AX1183" s="1040" t="e">
        <f t="shared" si="810"/>
        <v>#DIV/0!</v>
      </c>
      <c r="AY1183" s="1040" t="e">
        <f t="shared" si="810"/>
        <v>#DIV/0!</v>
      </c>
      <c r="AZ1183" s="1061" t="s">
        <v>21</v>
      </c>
      <c r="BC1183" s="29"/>
      <c r="BD1183" s="29"/>
      <c r="BE1183" s="13"/>
      <c r="BL1183" s="368"/>
    </row>
    <row r="1184" spans="1:64" ht="12" customHeight="1" x14ac:dyDescent="0.2">
      <c r="A1184" s="39">
        <f>acute_overview_children!A384</f>
        <v>4</v>
      </c>
      <c r="B1184" s="23">
        <f t="shared" si="705"/>
        <v>1030040</v>
      </c>
      <c r="C1184" s="23" t="str">
        <f t="shared" si="706"/>
        <v xml:space="preserve">Eggs: Quail </v>
      </c>
      <c r="D1184" s="135"/>
      <c r="E1184" s="1027"/>
      <c r="F1184" s="87"/>
      <c r="G1184" s="87"/>
      <c r="H1184" s="1027"/>
      <c r="I1184" s="1030"/>
      <c r="J1184" s="1039" t="e">
        <f t="shared" ref="J1184:AR1184" si="811">IF(J384="",0,IF(OR(1=RANK(J784,J$412:J$790,0),(2=RANK(J784,J$412:J$790,0))),J784,J384))</f>
        <v>#DIV/0!</v>
      </c>
      <c r="K1184" s="1040" t="e">
        <f t="shared" si="811"/>
        <v>#DIV/0!</v>
      </c>
      <c r="L1184" s="1040" t="e">
        <f t="shared" si="811"/>
        <v>#DIV/0!</v>
      </c>
      <c r="M1184" s="1040" t="e">
        <f t="shared" si="811"/>
        <v>#DIV/0!</v>
      </c>
      <c r="N1184" s="1040" t="e">
        <f t="shared" si="811"/>
        <v>#DIV/0!</v>
      </c>
      <c r="O1184" s="1040" t="e">
        <f t="shared" si="811"/>
        <v>#DIV/0!</v>
      </c>
      <c r="P1184" s="1040" t="e">
        <f t="shared" si="811"/>
        <v>#DIV/0!</v>
      </c>
      <c r="Q1184" s="1040" t="e">
        <f t="shared" si="811"/>
        <v>#DIV/0!</v>
      </c>
      <c r="R1184" s="1040" t="e">
        <f t="shared" si="811"/>
        <v>#DIV/0!</v>
      </c>
      <c r="S1184" s="1040" t="e">
        <f t="shared" si="811"/>
        <v>#DIV/0!</v>
      </c>
      <c r="T1184" s="1040" t="e">
        <f t="shared" si="811"/>
        <v>#DIV/0!</v>
      </c>
      <c r="U1184" s="1040" t="e">
        <f t="shared" si="811"/>
        <v>#DIV/0!</v>
      </c>
      <c r="V1184" s="1040" t="e">
        <f t="shared" si="811"/>
        <v>#DIV/0!</v>
      </c>
      <c r="W1184" s="1040" t="e">
        <f t="shared" si="811"/>
        <v>#DIV/0!</v>
      </c>
      <c r="X1184" s="1040" t="e">
        <f t="shared" si="811"/>
        <v>#DIV/0!</v>
      </c>
      <c r="Y1184" s="1040" t="e">
        <f t="shared" si="811"/>
        <v>#DIV/0!</v>
      </c>
      <c r="Z1184" s="1040" t="e">
        <f t="shared" si="811"/>
        <v>#DIV/0!</v>
      </c>
      <c r="AA1184" s="1040" t="e">
        <f t="shared" si="811"/>
        <v>#DIV/0!</v>
      </c>
      <c r="AB1184" s="1040" t="e">
        <f t="shared" si="811"/>
        <v>#DIV/0!</v>
      </c>
      <c r="AC1184" s="1040" t="e">
        <f t="shared" si="811"/>
        <v>#DIV/0!</v>
      </c>
      <c r="AD1184" s="1040" t="e">
        <f t="shared" si="811"/>
        <v>#DIV/0!</v>
      </c>
      <c r="AE1184" s="1040" t="e">
        <f t="shared" si="811"/>
        <v>#DIV/0!</v>
      </c>
      <c r="AF1184" s="1040" t="e">
        <f t="shared" si="811"/>
        <v>#DIV/0!</v>
      </c>
      <c r="AG1184" s="1040" t="e">
        <f t="shared" si="811"/>
        <v>#DIV/0!</v>
      </c>
      <c r="AH1184" s="1040" t="e">
        <f t="shared" si="811"/>
        <v>#DIV/0!</v>
      </c>
      <c r="AI1184" s="1040" t="e">
        <f t="shared" si="811"/>
        <v>#DIV/0!</v>
      </c>
      <c r="AJ1184" s="1040" t="e">
        <f t="shared" si="811"/>
        <v>#DIV/0!</v>
      </c>
      <c r="AK1184" s="1040" t="e">
        <f t="shared" si="811"/>
        <v>#DIV/0!</v>
      </c>
      <c r="AL1184" s="1040" t="e">
        <f t="shared" si="811"/>
        <v>#DIV/0!</v>
      </c>
      <c r="AM1184" s="1040" t="e">
        <f t="shared" si="811"/>
        <v>#DIV/0!</v>
      </c>
      <c r="AN1184" s="1040" t="e">
        <f t="shared" si="811"/>
        <v>#DIV/0!</v>
      </c>
      <c r="AO1184" s="1040" t="e">
        <f t="shared" si="811"/>
        <v>#DIV/0!</v>
      </c>
      <c r="AP1184" s="1040" t="e">
        <f t="shared" si="811"/>
        <v>#DIV/0!</v>
      </c>
      <c r="AQ1184" s="1040" t="e">
        <f t="shared" si="811"/>
        <v>#DIV/0!</v>
      </c>
      <c r="AR1184" s="1040" t="e">
        <f t="shared" si="811"/>
        <v>#DIV/0!</v>
      </c>
      <c r="AS1184" s="1040" t="e">
        <f t="shared" ref="AS1184:AY1184" si="812">IF(AS384="",0,IF(OR(1=RANK(AS784,AS$412:AS$790,0),(2=RANK(AS784,AS$412:AS$790,0))),AS784,AS384))</f>
        <v>#DIV/0!</v>
      </c>
      <c r="AT1184" s="1040" t="e">
        <f t="shared" si="812"/>
        <v>#DIV/0!</v>
      </c>
      <c r="AU1184" s="1040">
        <f t="shared" si="812"/>
        <v>0</v>
      </c>
      <c r="AV1184" s="1040" t="e">
        <f t="shared" si="812"/>
        <v>#DIV/0!</v>
      </c>
      <c r="AW1184" s="1040" t="e">
        <f t="shared" si="812"/>
        <v>#DIV/0!</v>
      </c>
      <c r="AX1184" s="1040" t="e">
        <f t="shared" si="812"/>
        <v>#DIV/0!</v>
      </c>
      <c r="AY1184" s="1040" t="e">
        <f t="shared" si="812"/>
        <v>#DIV/0!</v>
      </c>
      <c r="AZ1184" s="1061" t="s">
        <v>21</v>
      </c>
      <c r="BC1184" s="29"/>
      <c r="BD1184" s="29"/>
      <c r="BE1184" s="13"/>
      <c r="BL1184" s="368"/>
    </row>
    <row r="1185" spans="1:64" ht="12" customHeight="1" x14ac:dyDescent="0.2">
      <c r="A1185" s="39">
        <f>acute_overview_children!A385</f>
        <v>4</v>
      </c>
      <c r="B1185" s="23">
        <f t="shared" si="705"/>
        <v>1030990</v>
      </c>
      <c r="C1185" s="23" t="str">
        <f t="shared" si="706"/>
        <v>Eggs: Others</v>
      </c>
      <c r="D1185" s="135"/>
      <c r="E1185" s="1027"/>
      <c r="F1185" s="87"/>
      <c r="G1185" s="87"/>
      <c r="H1185" s="1027"/>
      <c r="I1185" s="1030"/>
      <c r="J1185" s="1039" t="e">
        <f t="shared" ref="J1185:AR1185" si="813">IF(J385="",0,IF(OR(1=RANK(J785,J$412:J$790,0),(2=RANK(J785,J$412:J$790,0))),J785,J385))</f>
        <v>#DIV/0!</v>
      </c>
      <c r="K1185" s="1040" t="e">
        <f t="shared" si="813"/>
        <v>#DIV/0!</v>
      </c>
      <c r="L1185" s="1040" t="e">
        <f t="shared" si="813"/>
        <v>#DIV/0!</v>
      </c>
      <c r="M1185" s="1040" t="e">
        <f t="shared" si="813"/>
        <v>#DIV/0!</v>
      </c>
      <c r="N1185" s="1040" t="e">
        <f t="shared" si="813"/>
        <v>#DIV/0!</v>
      </c>
      <c r="O1185" s="1040" t="e">
        <f t="shared" si="813"/>
        <v>#DIV/0!</v>
      </c>
      <c r="P1185" s="1040" t="e">
        <f t="shared" si="813"/>
        <v>#DIV/0!</v>
      </c>
      <c r="Q1185" s="1040" t="e">
        <f t="shared" si="813"/>
        <v>#DIV/0!</v>
      </c>
      <c r="R1185" s="1040" t="e">
        <f t="shared" si="813"/>
        <v>#DIV/0!</v>
      </c>
      <c r="S1185" s="1040" t="e">
        <f t="shared" si="813"/>
        <v>#DIV/0!</v>
      </c>
      <c r="T1185" s="1040" t="e">
        <f t="shared" si="813"/>
        <v>#DIV/0!</v>
      </c>
      <c r="U1185" s="1040" t="e">
        <f t="shared" si="813"/>
        <v>#DIV/0!</v>
      </c>
      <c r="V1185" s="1040" t="e">
        <f t="shared" si="813"/>
        <v>#DIV/0!</v>
      </c>
      <c r="W1185" s="1040" t="e">
        <f t="shared" si="813"/>
        <v>#DIV/0!</v>
      </c>
      <c r="X1185" s="1040" t="e">
        <f t="shared" si="813"/>
        <v>#DIV/0!</v>
      </c>
      <c r="Y1185" s="1040" t="e">
        <f t="shared" si="813"/>
        <v>#DIV/0!</v>
      </c>
      <c r="Z1185" s="1040" t="e">
        <f t="shared" si="813"/>
        <v>#DIV/0!</v>
      </c>
      <c r="AA1185" s="1040" t="e">
        <f t="shared" si="813"/>
        <v>#DIV/0!</v>
      </c>
      <c r="AB1185" s="1040" t="e">
        <f t="shared" si="813"/>
        <v>#DIV/0!</v>
      </c>
      <c r="AC1185" s="1040" t="e">
        <f t="shared" si="813"/>
        <v>#DIV/0!</v>
      </c>
      <c r="AD1185" s="1040" t="e">
        <f t="shared" si="813"/>
        <v>#DIV/0!</v>
      </c>
      <c r="AE1185" s="1040" t="e">
        <f t="shared" si="813"/>
        <v>#DIV/0!</v>
      </c>
      <c r="AF1185" s="1040" t="e">
        <f t="shared" si="813"/>
        <v>#DIV/0!</v>
      </c>
      <c r="AG1185" s="1040" t="e">
        <f t="shared" si="813"/>
        <v>#DIV/0!</v>
      </c>
      <c r="AH1185" s="1040" t="e">
        <f t="shared" si="813"/>
        <v>#DIV/0!</v>
      </c>
      <c r="AI1185" s="1040" t="e">
        <f t="shared" si="813"/>
        <v>#DIV/0!</v>
      </c>
      <c r="AJ1185" s="1040" t="e">
        <f t="shared" si="813"/>
        <v>#DIV/0!</v>
      </c>
      <c r="AK1185" s="1040" t="e">
        <f t="shared" si="813"/>
        <v>#DIV/0!</v>
      </c>
      <c r="AL1185" s="1040" t="e">
        <f t="shared" si="813"/>
        <v>#DIV/0!</v>
      </c>
      <c r="AM1185" s="1040" t="e">
        <f t="shared" si="813"/>
        <v>#DIV/0!</v>
      </c>
      <c r="AN1185" s="1040" t="e">
        <f t="shared" si="813"/>
        <v>#DIV/0!</v>
      </c>
      <c r="AO1185" s="1040" t="e">
        <f t="shared" si="813"/>
        <v>#DIV/0!</v>
      </c>
      <c r="AP1185" s="1040" t="e">
        <f t="shared" si="813"/>
        <v>#DIV/0!</v>
      </c>
      <c r="AQ1185" s="1040" t="e">
        <f t="shared" si="813"/>
        <v>#DIV/0!</v>
      </c>
      <c r="AR1185" s="1040" t="e">
        <f t="shared" si="813"/>
        <v>#DIV/0!</v>
      </c>
      <c r="AS1185" s="1040" t="e">
        <f t="shared" ref="AS1185:AY1185" si="814">IF(AS385="",0,IF(OR(1=RANK(AS785,AS$412:AS$790,0),(2=RANK(AS785,AS$412:AS$790,0))),AS785,AS385))</f>
        <v>#DIV/0!</v>
      </c>
      <c r="AT1185" s="1040" t="e">
        <f t="shared" si="814"/>
        <v>#DIV/0!</v>
      </c>
      <c r="AU1185" s="1040">
        <f t="shared" si="814"/>
        <v>0</v>
      </c>
      <c r="AV1185" s="1040" t="e">
        <f t="shared" si="814"/>
        <v>#DIV/0!</v>
      </c>
      <c r="AW1185" s="1040" t="e">
        <f t="shared" si="814"/>
        <v>#DIV/0!</v>
      </c>
      <c r="AX1185" s="1040" t="e">
        <f t="shared" si="814"/>
        <v>#DIV/0!</v>
      </c>
      <c r="AY1185" s="1040" t="e">
        <f t="shared" si="814"/>
        <v>#DIV/0!</v>
      </c>
      <c r="AZ1185" s="1061" t="s">
        <v>21</v>
      </c>
      <c r="BC1185" s="29"/>
      <c r="BD1185" s="29"/>
      <c r="BE1185" s="13"/>
      <c r="BL1185" s="368"/>
    </row>
    <row r="1186" spans="1:64" ht="12" customHeight="1" x14ac:dyDescent="0.2">
      <c r="A1186" s="515">
        <f>acute_overview_children!A386</f>
        <v>2</v>
      </c>
      <c r="B1186" s="131">
        <f t="shared" si="705"/>
        <v>1040000</v>
      </c>
      <c r="C1186" s="131" t="str">
        <f t="shared" si="706"/>
        <v>Honey and other apiculture products</v>
      </c>
      <c r="D1186" s="1035"/>
      <c r="E1186" s="1027"/>
      <c r="F1186" s="87"/>
      <c r="G1186" s="87"/>
      <c r="H1186" s="1027"/>
      <c r="I1186" s="1030"/>
      <c r="J1186" s="1037" t="e">
        <f t="shared" ref="J1186:AR1186" si="815">IF(J386="",0,IF(OR(1=RANK(J786,J$412:J$790,0),(2=RANK(J786,J$412:J$790,0))),J786,J386))</f>
        <v>#DIV/0!</v>
      </c>
      <c r="K1186" s="1038" t="e">
        <f t="shared" si="815"/>
        <v>#DIV/0!</v>
      </c>
      <c r="L1186" s="1038" t="e">
        <f t="shared" si="815"/>
        <v>#DIV/0!</v>
      </c>
      <c r="M1186" s="1038" t="e">
        <f t="shared" si="815"/>
        <v>#DIV/0!</v>
      </c>
      <c r="N1186" s="1038" t="e">
        <f t="shared" si="815"/>
        <v>#DIV/0!</v>
      </c>
      <c r="O1186" s="1038" t="e">
        <f t="shared" si="815"/>
        <v>#DIV/0!</v>
      </c>
      <c r="P1186" s="1038" t="e">
        <f t="shared" si="815"/>
        <v>#DIV/0!</v>
      </c>
      <c r="Q1186" s="1038" t="e">
        <f t="shared" si="815"/>
        <v>#DIV/0!</v>
      </c>
      <c r="R1186" s="1038" t="e">
        <f t="shared" si="815"/>
        <v>#DIV/0!</v>
      </c>
      <c r="S1186" s="1038" t="e">
        <f t="shared" si="815"/>
        <v>#DIV/0!</v>
      </c>
      <c r="T1186" s="1038" t="e">
        <f t="shared" si="815"/>
        <v>#DIV/0!</v>
      </c>
      <c r="U1186" s="1038" t="e">
        <f t="shared" si="815"/>
        <v>#DIV/0!</v>
      </c>
      <c r="V1186" s="1038" t="e">
        <f t="shared" si="815"/>
        <v>#DIV/0!</v>
      </c>
      <c r="W1186" s="1038" t="e">
        <f t="shared" si="815"/>
        <v>#DIV/0!</v>
      </c>
      <c r="X1186" s="1038" t="e">
        <f t="shared" si="815"/>
        <v>#DIV/0!</v>
      </c>
      <c r="Y1186" s="1038" t="e">
        <f t="shared" si="815"/>
        <v>#DIV/0!</v>
      </c>
      <c r="Z1186" s="1038" t="e">
        <f t="shared" si="815"/>
        <v>#DIV/0!</v>
      </c>
      <c r="AA1186" s="1038" t="e">
        <f t="shared" si="815"/>
        <v>#DIV/0!</v>
      </c>
      <c r="AB1186" s="1038" t="e">
        <f t="shared" si="815"/>
        <v>#DIV/0!</v>
      </c>
      <c r="AC1186" s="1038" t="e">
        <f t="shared" si="815"/>
        <v>#DIV/0!</v>
      </c>
      <c r="AD1186" s="1038" t="e">
        <f t="shared" si="815"/>
        <v>#DIV/0!</v>
      </c>
      <c r="AE1186" s="1038" t="e">
        <f t="shared" si="815"/>
        <v>#DIV/0!</v>
      </c>
      <c r="AF1186" s="1038" t="e">
        <f t="shared" si="815"/>
        <v>#DIV/0!</v>
      </c>
      <c r="AG1186" s="1038" t="e">
        <f t="shared" si="815"/>
        <v>#DIV/0!</v>
      </c>
      <c r="AH1186" s="1038" t="e">
        <f t="shared" si="815"/>
        <v>#DIV/0!</v>
      </c>
      <c r="AI1186" s="1038" t="e">
        <f t="shared" si="815"/>
        <v>#DIV/0!</v>
      </c>
      <c r="AJ1186" s="1038" t="e">
        <f t="shared" si="815"/>
        <v>#DIV/0!</v>
      </c>
      <c r="AK1186" s="1038" t="e">
        <f t="shared" si="815"/>
        <v>#DIV/0!</v>
      </c>
      <c r="AL1186" s="1038" t="e">
        <f t="shared" si="815"/>
        <v>#DIV/0!</v>
      </c>
      <c r="AM1186" s="1038" t="e">
        <f t="shared" si="815"/>
        <v>#DIV/0!</v>
      </c>
      <c r="AN1186" s="1038" t="e">
        <f t="shared" si="815"/>
        <v>#DIV/0!</v>
      </c>
      <c r="AO1186" s="1038" t="e">
        <f t="shared" si="815"/>
        <v>#DIV/0!</v>
      </c>
      <c r="AP1186" s="1038" t="e">
        <f t="shared" si="815"/>
        <v>#DIV/0!</v>
      </c>
      <c r="AQ1186" s="1038" t="e">
        <f t="shared" si="815"/>
        <v>#DIV/0!</v>
      </c>
      <c r="AR1186" s="1038" t="e">
        <f t="shared" si="815"/>
        <v>#DIV/0!</v>
      </c>
      <c r="AS1186" s="1038" t="e">
        <f t="shared" ref="AS1186:AY1186" si="816">IF(AS386="",0,IF(OR(1=RANK(AS786,AS$412:AS$790,0),(2=RANK(AS786,AS$412:AS$790,0))),AS786,AS386))</f>
        <v>#DIV/0!</v>
      </c>
      <c r="AT1186" s="1038" t="e">
        <f t="shared" si="816"/>
        <v>#DIV/0!</v>
      </c>
      <c r="AU1186" s="1038">
        <f t="shared" si="816"/>
        <v>0</v>
      </c>
      <c r="AV1186" s="1038" t="e">
        <f t="shared" si="816"/>
        <v>#DIV/0!</v>
      </c>
      <c r="AW1186" s="1038" t="e">
        <f t="shared" si="816"/>
        <v>#DIV/0!</v>
      </c>
      <c r="AX1186" s="1038" t="e">
        <f t="shared" si="816"/>
        <v>#DIV/0!</v>
      </c>
      <c r="AY1186" s="1038" t="e">
        <f t="shared" si="816"/>
        <v>#DIV/0!</v>
      </c>
      <c r="AZ1186" s="1061" t="s">
        <v>21</v>
      </c>
      <c r="BC1186" s="29"/>
      <c r="BD1186" s="29"/>
      <c r="BE1186" s="13"/>
      <c r="BL1186" s="368"/>
    </row>
    <row r="1187" spans="1:64" ht="12" customHeight="1" x14ac:dyDescent="0.2">
      <c r="A1187" s="515">
        <f>acute_overview_children!A387</f>
        <v>2</v>
      </c>
      <c r="B1187" s="131">
        <f t="shared" si="705"/>
        <v>1050000</v>
      </c>
      <c r="C1187" s="131" t="str">
        <f t="shared" si="706"/>
        <v xml:space="preserve">Amphibians and reptiles </v>
      </c>
      <c r="D1187" s="1035"/>
      <c r="E1187" s="1027"/>
      <c r="F1187" s="87"/>
      <c r="G1187" s="87"/>
      <c r="H1187" s="1027"/>
      <c r="I1187" s="1030"/>
      <c r="J1187" s="1037" t="e">
        <f t="shared" ref="J1187:AR1187" si="817">IF(J387="",0,IF(OR(1=RANK(J787,J$412:J$790,0),(2=RANK(J787,J$412:J$790,0))),J787,J387))</f>
        <v>#DIV/0!</v>
      </c>
      <c r="K1187" s="1038" t="e">
        <f t="shared" si="817"/>
        <v>#DIV/0!</v>
      </c>
      <c r="L1187" s="1038" t="e">
        <f t="shared" si="817"/>
        <v>#DIV/0!</v>
      </c>
      <c r="M1187" s="1038" t="e">
        <f t="shared" si="817"/>
        <v>#DIV/0!</v>
      </c>
      <c r="N1187" s="1038" t="e">
        <f t="shared" si="817"/>
        <v>#DIV/0!</v>
      </c>
      <c r="O1187" s="1038" t="e">
        <f t="shared" si="817"/>
        <v>#DIV/0!</v>
      </c>
      <c r="P1187" s="1038" t="e">
        <f t="shared" si="817"/>
        <v>#DIV/0!</v>
      </c>
      <c r="Q1187" s="1038" t="e">
        <f t="shared" si="817"/>
        <v>#DIV/0!</v>
      </c>
      <c r="R1187" s="1038" t="e">
        <f t="shared" si="817"/>
        <v>#DIV/0!</v>
      </c>
      <c r="S1187" s="1038" t="e">
        <f t="shared" si="817"/>
        <v>#DIV/0!</v>
      </c>
      <c r="T1187" s="1038" t="e">
        <f t="shared" si="817"/>
        <v>#DIV/0!</v>
      </c>
      <c r="U1187" s="1038" t="e">
        <f t="shared" si="817"/>
        <v>#DIV/0!</v>
      </c>
      <c r="V1187" s="1038" t="e">
        <f t="shared" si="817"/>
        <v>#DIV/0!</v>
      </c>
      <c r="W1187" s="1038" t="e">
        <f t="shared" si="817"/>
        <v>#DIV/0!</v>
      </c>
      <c r="X1187" s="1038" t="e">
        <f t="shared" si="817"/>
        <v>#DIV/0!</v>
      </c>
      <c r="Y1187" s="1038" t="e">
        <f t="shared" si="817"/>
        <v>#DIV/0!</v>
      </c>
      <c r="Z1187" s="1038" t="e">
        <f t="shared" si="817"/>
        <v>#DIV/0!</v>
      </c>
      <c r="AA1187" s="1038" t="e">
        <f t="shared" si="817"/>
        <v>#DIV/0!</v>
      </c>
      <c r="AB1187" s="1038" t="e">
        <f t="shared" si="817"/>
        <v>#DIV/0!</v>
      </c>
      <c r="AC1187" s="1038" t="e">
        <f t="shared" si="817"/>
        <v>#DIV/0!</v>
      </c>
      <c r="AD1187" s="1038" t="e">
        <f t="shared" si="817"/>
        <v>#DIV/0!</v>
      </c>
      <c r="AE1187" s="1038" t="e">
        <f t="shared" si="817"/>
        <v>#DIV/0!</v>
      </c>
      <c r="AF1187" s="1038" t="e">
        <f t="shared" si="817"/>
        <v>#DIV/0!</v>
      </c>
      <c r="AG1187" s="1038" t="e">
        <f t="shared" si="817"/>
        <v>#DIV/0!</v>
      </c>
      <c r="AH1187" s="1038" t="e">
        <f t="shared" si="817"/>
        <v>#DIV/0!</v>
      </c>
      <c r="AI1187" s="1038" t="e">
        <f t="shared" si="817"/>
        <v>#DIV/0!</v>
      </c>
      <c r="AJ1187" s="1038" t="e">
        <f t="shared" si="817"/>
        <v>#DIV/0!</v>
      </c>
      <c r="AK1187" s="1038" t="e">
        <f t="shared" si="817"/>
        <v>#DIV/0!</v>
      </c>
      <c r="AL1187" s="1038" t="e">
        <f t="shared" si="817"/>
        <v>#DIV/0!</v>
      </c>
      <c r="AM1187" s="1038" t="e">
        <f t="shared" si="817"/>
        <v>#DIV/0!</v>
      </c>
      <c r="AN1187" s="1038" t="e">
        <f t="shared" si="817"/>
        <v>#DIV/0!</v>
      </c>
      <c r="AO1187" s="1038" t="e">
        <f t="shared" si="817"/>
        <v>#DIV/0!</v>
      </c>
      <c r="AP1187" s="1038" t="e">
        <f t="shared" si="817"/>
        <v>#DIV/0!</v>
      </c>
      <c r="AQ1187" s="1038" t="e">
        <f t="shared" si="817"/>
        <v>#DIV/0!</v>
      </c>
      <c r="AR1187" s="1038" t="e">
        <f t="shared" si="817"/>
        <v>#DIV/0!</v>
      </c>
      <c r="AS1187" s="1038" t="e">
        <f t="shared" ref="AS1187:AY1187" si="818">IF(AS387="",0,IF(OR(1=RANK(AS787,AS$412:AS$790,0),(2=RANK(AS787,AS$412:AS$790,0))),AS787,AS387))</f>
        <v>#DIV/0!</v>
      </c>
      <c r="AT1187" s="1038" t="e">
        <f t="shared" si="818"/>
        <v>#DIV/0!</v>
      </c>
      <c r="AU1187" s="1038">
        <f t="shared" si="818"/>
        <v>0</v>
      </c>
      <c r="AV1187" s="1038" t="e">
        <f t="shared" si="818"/>
        <v>#DIV/0!</v>
      </c>
      <c r="AW1187" s="1038" t="e">
        <f t="shared" si="818"/>
        <v>#DIV/0!</v>
      </c>
      <c r="AX1187" s="1038" t="e">
        <f t="shared" si="818"/>
        <v>#DIV/0!</v>
      </c>
      <c r="AY1187" s="1038" t="e">
        <f t="shared" si="818"/>
        <v>#DIV/0!</v>
      </c>
      <c r="AZ1187" s="1061" t="s">
        <v>21</v>
      </c>
      <c r="BC1187" s="29"/>
      <c r="BD1187" s="29"/>
      <c r="BE1187" s="13"/>
      <c r="BL1187" s="368"/>
    </row>
    <row r="1188" spans="1:64" ht="12" customHeight="1" x14ac:dyDescent="0.2">
      <c r="A1188" s="515">
        <f>acute_overview_children!A388</f>
        <v>2</v>
      </c>
      <c r="B1188" s="131">
        <f t="shared" si="705"/>
        <v>1060000</v>
      </c>
      <c r="C1188" s="131" t="str">
        <f t="shared" si="706"/>
        <v>Terrestrial invertebrate animals</v>
      </c>
      <c r="D1188" s="1035"/>
      <c r="E1188" s="1027"/>
      <c r="F1188" s="87"/>
      <c r="G1188" s="87"/>
      <c r="H1188" s="1027"/>
      <c r="I1188" s="1030"/>
      <c r="J1188" s="1037" t="e">
        <f t="shared" ref="J1188:AR1188" si="819">IF(J388="",0,IF(OR(1=RANK(J788,J$412:J$790,0),(2=RANK(J788,J$412:J$790,0))),J788,J388))</f>
        <v>#DIV/0!</v>
      </c>
      <c r="K1188" s="1038" t="e">
        <f t="shared" si="819"/>
        <v>#DIV/0!</v>
      </c>
      <c r="L1188" s="1038" t="e">
        <f t="shared" si="819"/>
        <v>#DIV/0!</v>
      </c>
      <c r="M1188" s="1038" t="e">
        <f t="shared" si="819"/>
        <v>#DIV/0!</v>
      </c>
      <c r="N1188" s="1038" t="e">
        <f t="shared" si="819"/>
        <v>#DIV/0!</v>
      </c>
      <c r="O1188" s="1038" t="e">
        <f t="shared" si="819"/>
        <v>#DIV/0!</v>
      </c>
      <c r="P1188" s="1038" t="e">
        <f t="shared" si="819"/>
        <v>#DIV/0!</v>
      </c>
      <c r="Q1188" s="1038" t="e">
        <f t="shared" si="819"/>
        <v>#DIV/0!</v>
      </c>
      <c r="R1188" s="1038" t="e">
        <f t="shared" si="819"/>
        <v>#DIV/0!</v>
      </c>
      <c r="S1188" s="1038" t="e">
        <f t="shared" si="819"/>
        <v>#DIV/0!</v>
      </c>
      <c r="T1188" s="1038" t="e">
        <f t="shared" si="819"/>
        <v>#DIV/0!</v>
      </c>
      <c r="U1188" s="1038" t="e">
        <f t="shared" si="819"/>
        <v>#DIV/0!</v>
      </c>
      <c r="V1188" s="1038" t="e">
        <f t="shared" si="819"/>
        <v>#DIV/0!</v>
      </c>
      <c r="W1188" s="1038" t="e">
        <f t="shared" si="819"/>
        <v>#DIV/0!</v>
      </c>
      <c r="X1188" s="1038" t="e">
        <f t="shared" si="819"/>
        <v>#DIV/0!</v>
      </c>
      <c r="Y1188" s="1038" t="e">
        <f t="shared" si="819"/>
        <v>#DIV/0!</v>
      </c>
      <c r="Z1188" s="1038" t="e">
        <f t="shared" si="819"/>
        <v>#DIV/0!</v>
      </c>
      <c r="AA1188" s="1038" t="e">
        <f t="shared" si="819"/>
        <v>#DIV/0!</v>
      </c>
      <c r="AB1188" s="1038" t="e">
        <f t="shared" si="819"/>
        <v>#DIV/0!</v>
      </c>
      <c r="AC1188" s="1038" t="e">
        <f t="shared" si="819"/>
        <v>#DIV/0!</v>
      </c>
      <c r="AD1188" s="1038" t="e">
        <f t="shared" si="819"/>
        <v>#DIV/0!</v>
      </c>
      <c r="AE1188" s="1038" t="e">
        <f t="shared" si="819"/>
        <v>#DIV/0!</v>
      </c>
      <c r="AF1188" s="1038" t="e">
        <f t="shared" si="819"/>
        <v>#DIV/0!</v>
      </c>
      <c r="AG1188" s="1038" t="e">
        <f t="shared" si="819"/>
        <v>#DIV/0!</v>
      </c>
      <c r="AH1188" s="1038" t="e">
        <f t="shared" si="819"/>
        <v>#DIV/0!</v>
      </c>
      <c r="AI1188" s="1038" t="e">
        <f t="shared" si="819"/>
        <v>#DIV/0!</v>
      </c>
      <c r="AJ1188" s="1038" t="e">
        <f t="shared" si="819"/>
        <v>#DIV/0!</v>
      </c>
      <c r="AK1188" s="1038" t="e">
        <f t="shared" si="819"/>
        <v>#DIV/0!</v>
      </c>
      <c r="AL1188" s="1038" t="e">
        <f t="shared" si="819"/>
        <v>#DIV/0!</v>
      </c>
      <c r="AM1188" s="1038" t="e">
        <f t="shared" si="819"/>
        <v>#DIV/0!</v>
      </c>
      <c r="AN1188" s="1038" t="e">
        <f t="shared" si="819"/>
        <v>#DIV/0!</v>
      </c>
      <c r="AO1188" s="1038" t="e">
        <f t="shared" si="819"/>
        <v>#DIV/0!</v>
      </c>
      <c r="AP1188" s="1038" t="e">
        <f t="shared" si="819"/>
        <v>#DIV/0!</v>
      </c>
      <c r="AQ1188" s="1038" t="e">
        <f t="shared" si="819"/>
        <v>#DIV/0!</v>
      </c>
      <c r="AR1188" s="1038" t="e">
        <f t="shared" si="819"/>
        <v>#DIV/0!</v>
      </c>
      <c r="AS1188" s="1038" t="e">
        <f t="shared" ref="AS1188:AY1188" si="820">IF(AS388="",0,IF(OR(1=RANK(AS788,AS$412:AS$790,0),(2=RANK(AS788,AS$412:AS$790,0))),AS788,AS388))</f>
        <v>#DIV/0!</v>
      </c>
      <c r="AT1188" s="1038" t="e">
        <f t="shared" si="820"/>
        <v>#DIV/0!</v>
      </c>
      <c r="AU1188" s="1038">
        <f t="shared" si="820"/>
        <v>0</v>
      </c>
      <c r="AV1188" s="1038" t="e">
        <f t="shared" si="820"/>
        <v>#DIV/0!</v>
      </c>
      <c r="AW1188" s="1038" t="e">
        <f t="shared" si="820"/>
        <v>#DIV/0!</v>
      </c>
      <c r="AX1188" s="1038" t="e">
        <f t="shared" si="820"/>
        <v>#DIV/0!</v>
      </c>
      <c r="AY1188" s="1038" t="e">
        <f t="shared" si="820"/>
        <v>#DIV/0!</v>
      </c>
      <c r="AZ1188" s="1061" t="s">
        <v>21</v>
      </c>
      <c r="BC1188" s="29"/>
      <c r="BD1188" s="29"/>
      <c r="BE1188" s="13"/>
      <c r="BL1188" s="368"/>
    </row>
    <row r="1189" spans="1:64" ht="12" customHeight="1" x14ac:dyDescent="0.2">
      <c r="A1189" s="515">
        <f>acute_overview_children!A389</f>
        <v>2</v>
      </c>
      <c r="B1189" s="131">
        <f t="shared" si="705"/>
        <v>1070000</v>
      </c>
      <c r="C1189" s="131" t="str">
        <f t="shared" si="706"/>
        <v>Wild terrestrial vertebrate animals</v>
      </c>
      <c r="D1189" s="1035"/>
      <c r="E1189" s="1027"/>
      <c r="F1189" s="87"/>
      <c r="G1189" s="87"/>
      <c r="H1189" s="1027"/>
      <c r="I1189" s="1030"/>
      <c r="J1189" s="1037" t="e">
        <f t="shared" ref="J1189:AR1189" si="821">IF(J389="",0,IF(OR(1=RANK(J789,J$412:J$790,0),(2=RANK(J789,J$412:J$790,0))),J789,J389))</f>
        <v>#DIV/0!</v>
      </c>
      <c r="K1189" s="1038" t="e">
        <f t="shared" si="821"/>
        <v>#DIV/0!</v>
      </c>
      <c r="L1189" s="1038" t="e">
        <f t="shared" si="821"/>
        <v>#DIV/0!</v>
      </c>
      <c r="M1189" s="1038" t="e">
        <f t="shared" si="821"/>
        <v>#DIV/0!</v>
      </c>
      <c r="N1189" s="1038" t="e">
        <f t="shared" si="821"/>
        <v>#DIV/0!</v>
      </c>
      <c r="O1189" s="1038" t="e">
        <f t="shared" si="821"/>
        <v>#DIV/0!</v>
      </c>
      <c r="P1189" s="1038" t="e">
        <f t="shared" si="821"/>
        <v>#DIV/0!</v>
      </c>
      <c r="Q1189" s="1038" t="e">
        <f t="shared" si="821"/>
        <v>#DIV/0!</v>
      </c>
      <c r="R1189" s="1038" t="e">
        <f t="shared" si="821"/>
        <v>#DIV/0!</v>
      </c>
      <c r="S1189" s="1038" t="e">
        <f t="shared" si="821"/>
        <v>#DIV/0!</v>
      </c>
      <c r="T1189" s="1038" t="e">
        <f t="shared" si="821"/>
        <v>#DIV/0!</v>
      </c>
      <c r="U1189" s="1038" t="e">
        <f t="shared" si="821"/>
        <v>#DIV/0!</v>
      </c>
      <c r="V1189" s="1038" t="e">
        <f t="shared" si="821"/>
        <v>#DIV/0!</v>
      </c>
      <c r="W1189" s="1038" t="e">
        <f t="shared" si="821"/>
        <v>#DIV/0!</v>
      </c>
      <c r="X1189" s="1038" t="e">
        <f t="shared" si="821"/>
        <v>#DIV/0!</v>
      </c>
      <c r="Y1189" s="1038" t="e">
        <f t="shared" si="821"/>
        <v>#DIV/0!</v>
      </c>
      <c r="Z1189" s="1038" t="e">
        <f t="shared" si="821"/>
        <v>#DIV/0!</v>
      </c>
      <c r="AA1189" s="1038" t="e">
        <f t="shared" si="821"/>
        <v>#DIV/0!</v>
      </c>
      <c r="AB1189" s="1038" t="e">
        <f t="shared" si="821"/>
        <v>#DIV/0!</v>
      </c>
      <c r="AC1189" s="1038" t="e">
        <f t="shared" si="821"/>
        <v>#DIV/0!</v>
      </c>
      <c r="AD1189" s="1038" t="e">
        <f t="shared" si="821"/>
        <v>#DIV/0!</v>
      </c>
      <c r="AE1189" s="1038" t="e">
        <f t="shared" si="821"/>
        <v>#DIV/0!</v>
      </c>
      <c r="AF1189" s="1038" t="e">
        <f t="shared" si="821"/>
        <v>#DIV/0!</v>
      </c>
      <c r="AG1189" s="1038" t="e">
        <f t="shared" si="821"/>
        <v>#DIV/0!</v>
      </c>
      <c r="AH1189" s="1038" t="e">
        <f t="shared" si="821"/>
        <v>#DIV/0!</v>
      </c>
      <c r="AI1189" s="1038" t="e">
        <f t="shared" si="821"/>
        <v>#DIV/0!</v>
      </c>
      <c r="AJ1189" s="1038" t="e">
        <f t="shared" si="821"/>
        <v>#DIV/0!</v>
      </c>
      <c r="AK1189" s="1038" t="e">
        <f t="shared" si="821"/>
        <v>#DIV/0!</v>
      </c>
      <c r="AL1189" s="1038" t="e">
        <f t="shared" si="821"/>
        <v>#DIV/0!</v>
      </c>
      <c r="AM1189" s="1038" t="e">
        <f t="shared" si="821"/>
        <v>#DIV/0!</v>
      </c>
      <c r="AN1189" s="1038" t="e">
        <f t="shared" si="821"/>
        <v>#DIV/0!</v>
      </c>
      <c r="AO1189" s="1038" t="e">
        <f t="shared" si="821"/>
        <v>#DIV/0!</v>
      </c>
      <c r="AP1189" s="1038" t="e">
        <f t="shared" si="821"/>
        <v>#DIV/0!</v>
      </c>
      <c r="AQ1189" s="1038" t="e">
        <f t="shared" si="821"/>
        <v>#DIV/0!</v>
      </c>
      <c r="AR1189" s="1038" t="e">
        <f t="shared" si="821"/>
        <v>#DIV/0!</v>
      </c>
      <c r="AS1189" s="1038" t="e">
        <f t="shared" ref="AS1189:AY1189" si="822">IF(AS389="",0,IF(OR(1=RANK(AS789,AS$412:AS$790,0),(2=RANK(AS789,AS$412:AS$790,0))),AS789,AS389))</f>
        <v>#DIV/0!</v>
      </c>
      <c r="AT1189" s="1038" t="e">
        <f t="shared" si="822"/>
        <v>#DIV/0!</v>
      </c>
      <c r="AU1189" s="1038">
        <f t="shared" si="822"/>
        <v>0</v>
      </c>
      <c r="AV1189" s="1038" t="e">
        <f t="shared" si="822"/>
        <v>#DIV/0!</v>
      </c>
      <c r="AW1189" s="1038" t="e">
        <f t="shared" si="822"/>
        <v>#DIV/0!</v>
      </c>
      <c r="AX1189" s="1038" t="e">
        <f t="shared" si="822"/>
        <v>#DIV/0!</v>
      </c>
      <c r="AY1189" s="1038" t="e">
        <f t="shared" si="822"/>
        <v>#DIV/0!</v>
      </c>
      <c r="AZ1189" s="1061" t="s">
        <v>21</v>
      </c>
      <c r="BC1189" s="29"/>
      <c r="BD1189" s="29"/>
      <c r="BE1189" s="13"/>
      <c r="BL1189" s="368"/>
    </row>
    <row r="1190" spans="1:64" ht="12" customHeight="1" x14ac:dyDescent="0.2">
      <c r="A1190" s="514">
        <f>acute_overview_children!A390</f>
        <v>1</v>
      </c>
      <c r="B1190" s="127">
        <f t="shared" si="705"/>
        <v>1100000</v>
      </c>
      <c r="C1190" s="127" t="str">
        <f t="shared" si="706"/>
        <v>FISH, FISHPRODUCTS AND ANY OTHER MARINE AND FRESHWATER FOOD PRODUCTS</v>
      </c>
      <c r="D1190" s="135"/>
      <c r="E1190" s="1027"/>
      <c r="F1190" s="87"/>
      <c r="G1190" s="87"/>
      <c r="H1190" s="1027"/>
      <c r="I1190" s="1030"/>
      <c r="J1190" s="1049" t="e">
        <f t="shared" ref="J1190:AR1190" si="823">IF(J390="",0,IF(OR(1=RANK(J790,J$412:J$790,0),(2=RANK(J790,J$412:J$790,0))),J790,J390))</f>
        <v>#DIV/0!</v>
      </c>
      <c r="K1190" s="1050" t="e">
        <f t="shared" si="823"/>
        <v>#DIV/0!</v>
      </c>
      <c r="L1190" s="1050" t="e">
        <f t="shared" si="823"/>
        <v>#DIV/0!</v>
      </c>
      <c r="M1190" s="1050" t="e">
        <f t="shared" si="823"/>
        <v>#DIV/0!</v>
      </c>
      <c r="N1190" s="1050" t="e">
        <f t="shared" si="823"/>
        <v>#DIV/0!</v>
      </c>
      <c r="O1190" s="1050" t="e">
        <f t="shared" si="823"/>
        <v>#DIV/0!</v>
      </c>
      <c r="P1190" s="1050" t="e">
        <f t="shared" si="823"/>
        <v>#DIV/0!</v>
      </c>
      <c r="Q1190" s="1050" t="e">
        <f t="shared" si="823"/>
        <v>#DIV/0!</v>
      </c>
      <c r="R1190" s="1050" t="e">
        <f t="shared" si="823"/>
        <v>#DIV/0!</v>
      </c>
      <c r="S1190" s="1050" t="e">
        <f t="shared" si="823"/>
        <v>#DIV/0!</v>
      </c>
      <c r="T1190" s="1050" t="e">
        <f t="shared" si="823"/>
        <v>#DIV/0!</v>
      </c>
      <c r="U1190" s="1050" t="e">
        <f t="shared" si="823"/>
        <v>#DIV/0!</v>
      </c>
      <c r="V1190" s="1050" t="e">
        <f t="shared" si="823"/>
        <v>#DIV/0!</v>
      </c>
      <c r="W1190" s="1050" t="e">
        <f t="shared" si="823"/>
        <v>#DIV/0!</v>
      </c>
      <c r="X1190" s="1050" t="e">
        <f t="shared" si="823"/>
        <v>#DIV/0!</v>
      </c>
      <c r="Y1190" s="1050" t="e">
        <f t="shared" si="823"/>
        <v>#DIV/0!</v>
      </c>
      <c r="Z1190" s="1050" t="e">
        <f t="shared" si="823"/>
        <v>#DIV/0!</v>
      </c>
      <c r="AA1190" s="1050" t="e">
        <f t="shared" si="823"/>
        <v>#DIV/0!</v>
      </c>
      <c r="AB1190" s="1050" t="e">
        <f t="shared" si="823"/>
        <v>#DIV/0!</v>
      </c>
      <c r="AC1190" s="1050" t="e">
        <f t="shared" si="823"/>
        <v>#DIV/0!</v>
      </c>
      <c r="AD1190" s="1050" t="e">
        <f t="shared" si="823"/>
        <v>#DIV/0!</v>
      </c>
      <c r="AE1190" s="1050" t="e">
        <f t="shared" si="823"/>
        <v>#DIV/0!</v>
      </c>
      <c r="AF1190" s="1050" t="e">
        <f t="shared" si="823"/>
        <v>#DIV/0!</v>
      </c>
      <c r="AG1190" s="1050" t="e">
        <f t="shared" si="823"/>
        <v>#DIV/0!</v>
      </c>
      <c r="AH1190" s="1050" t="e">
        <f t="shared" si="823"/>
        <v>#DIV/0!</v>
      </c>
      <c r="AI1190" s="1050" t="e">
        <f t="shared" si="823"/>
        <v>#DIV/0!</v>
      </c>
      <c r="AJ1190" s="1050" t="e">
        <f t="shared" si="823"/>
        <v>#DIV/0!</v>
      </c>
      <c r="AK1190" s="1050" t="e">
        <f t="shared" si="823"/>
        <v>#DIV/0!</v>
      </c>
      <c r="AL1190" s="1050" t="e">
        <f t="shared" si="823"/>
        <v>#DIV/0!</v>
      </c>
      <c r="AM1190" s="1050" t="e">
        <f t="shared" si="823"/>
        <v>#DIV/0!</v>
      </c>
      <c r="AN1190" s="1050" t="e">
        <f t="shared" si="823"/>
        <v>#DIV/0!</v>
      </c>
      <c r="AO1190" s="1050" t="e">
        <f t="shared" si="823"/>
        <v>#DIV/0!</v>
      </c>
      <c r="AP1190" s="1050" t="e">
        <f t="shared" si="823"/>
        <v>#DIV/0!</v>
      </c>
      <c r="AQ1190" s="1050" t="e">
        <f t="shared" si="823"/>
        <v>#DIV/0!</v>
      </c>
      <c r="AR1190" s="1050" t="e">
        <f t="shared" si="823"/>
        <v>#DIV/0!</v>
      </c>
      <c r="AS1190" s="1050" t="e">
        <f t="shared" ref="AS1190:AY1190" si="824">IF(AS390="",0,IF(OR(1=RANK(AS790,AS$412:AS$790,0),(2=RANK(AS790,AS$412:AS$790,0))),AS790,AS390))</f>
        <v>#DIV/0!</v>
      </c>
      <c r="AT1190" s="1050" t="e">
        <f t="shared" si="824"/>
        <v>#DIV/0!</v>
      </c>
      <c r="AU1190" s="1050">
        <f t="shared" si="824"/>
        <v>0</v>
      </c>
      <c r="AV1190" s="1050" t="e">
        <f t="shared" si="824"/>
        <v>#DIV/0!</v>
      </c>
      <c r="AW1190" s="1050" t="e">
        <f t="shared" si="824"/>
        <v>#DIV/0!</v>
      </c>
      <c r="AX1190" s="1050" t="e">
        <f t="shared" si="824"/>
        <v>#DIV/0!</v>
      </c>
      <c r="AY1190" s="1050" t="e">
        <f t="shared" si="824"/>
        <v>#DIV/0!</v>
      </c>
      <c r="AZ1190" s="1061" t="s">
        <v>21</v>
      </c>
      <c r="BC1190" s="29"/>
      <c r="BD1190" s="29"/>
      <c r="BE1190" s="13"/>
      <c r="BL1190" s="368"/>
    </row>
    <row r="1191" spans="1:64" x14ac:dyDescent="0.2">
      <c r="A1191" s="66" t="str">
        <f>acute_overview_children!A391</f>
        <v>.</v>
      </c>
      <c r="B1191" s="8">
        <f t="shared" si="705"/>
        <v>0</v>
      </c>
      <c r="C1191" s="8">
        <f t="shared" si="706"/>
        <v>0</v>
      </c>
      <c r="D1191" s="1062"/>
      <c r="E1191" s="1062"/>
      <c r="F1191" s="1062"/>
      <c r="G1191" s="1062"/>
      <c r="H1191" s="1062"/>
      <c r="I1191" s="1062"/>
      <c r="J1191" s="1055">
        <f t="shared" ref="J1191:AR1191" si="825">IF(J791=0,0,IF(OR(1=RANK(J791,J$412:J$791,0),(2=RANK(J791,J$412:J$791,0))),J791,J391))</f>
        <v>0</v>
      </c>
      <c r="K1191" s="1056">
        <f t="shared" si="825"/>
        <v>0</v>
      </c>
      <c r="L1191" s="1056">
        <f t="shared" si="825"/>
        <v>0</v>
      </c>
      <c r="M1191" s="1056">
        <f t="shared" si="825"/>
        <v>0</v>
      </c>
      <c r="N1191" s="1056">
        <f t="shared" si="825"/>
        <v>0</v>
      </c>
      <c r="O1191" s="1056">
        <f t="shared" si="825"/>
        <v>0</v>
      </c>
      <c r="P1191" s="1056">
        <f t="shared" si="825"/>
        <v>0</v>
      </c>
      <c r="Q1191" s="1056">
        <f t="shared" si="825"/>
        <v>0</v>
      </c>
      <c r="R1191" s="1056">
        <f t="shared" si="825"/>
        <v>0</v>
      </c>
      <c r="S1191" s="1056">
        <f t="shared" si="825"/>
        <v>0</v>
      </c>
      <c r="T1191" s="1056">
        <f t="shared" si="825"/>
        <v>0</v>
      </c>
      <c r="U1191" s="1056">
        <f t="shared" si="825"/>
        <v>0</v>
      </c>
      <c r="V1191" s="1056">
        <f t="shared" si="825"/>
        <v>0</v>
      </c>
      <c r="W1191" s="1056">
        <f t="shared" si="825"/>
        <v>0</v>
      </c>
      <c r="X1191" s="1056">
        <f t="shared" si="825"/>
        <v>0</v>
      </c>
      <c r="Y1191" s="1056">
        <f t="shared" si="825"/>
        <v>0</v>
      </c>
      <c r="Z1191" s="1056">
        <f t="shared" si="825"/>
        <v>0</v>
      </c>
      <c r="AA1191" s="1056">
        <f t="shared" si="825"/>
        <v>0</v>
      </c>
      <c r="AB1191" s="1056">
        <f t="shared" si="825"/>
        <v>0</v>
      </c>
      <c r="AC1191" s="1056">
        <f t="shared" si="825"/>
        <v>0</v>
      </c>
      <c r="AD1191" s="1056">
        <f t="shared" si="825"/>
        <v>0</v>
      </c>
      <c r="AE1191" s="1056">
        <f t="shared" si="825"/>
        <v>0</v>
      </c>
      <c r="AF1191" s="1056">
        <f t="shared" si="825"/>
        <v>0</v>
      </c>
      <c r="AG1191" s="1056">
        <f t="shared" si="825"/>
        <v>0</v>
      </c>
      <c r="AH1191" s="1056">
        <f t="shared" si="825"/>
        <v>0</v>
      </c>
      <c r="AI1191" s="1056">
        <f t="shared" si="825"/>
        <v>0</v>
      </c>
      <c r="AJ1191" s="1056">
        <f t="shared" si="825"/>
        <v>0</v>
      </c>
      <c r="AK1191" s="1056">
        <f t="shared" si="825"/>
        <v>0</v>
      </c>
      <c r="AL1191" s="1056">
        <f t="shared" si="825"/>
        <v>0</v>
      </c>
      <c r="AM1191" s="1056">
        <f t="shared" si="825"/>
        <v>0</v>
      </c>
      <c r="AN1191" s="1056">
        <f t="shared" si="825"/>
        <v>0</v>
      </c>
      <c r="AO1191" s="1056">
        <f t="shared" si="825"/>
        <v>0</v>
      </c>
      <c r="AP1191" s="1056">
        <f t="shared" si="825"/>
        <v>0</v>
      </c>
      <c r="AQ1191" s="1056">
        <f t="shared" si="825"/>
        <v>0</v>
      </c>
      <c r="AR1191" s="1056">
        <f t="shared" si="825"/>
        <v>0</v>
      </c>
      <c r="AS1191" s="1056">
        <f t="shared" ref="AS1191:AY1191" si="826">IF(AS791=0,0,IF(OR(1=RANK(AS791,AS$412:AS$791,0),(2=RANK(AS791,AS$412:AS$791,0))),AS791,AS391))</f>
        <v>0</v>
      </c>
      <c r="AT1191" s="1056">
        <f t="shared" si="826"/>
        <v>0</v>
      </c>
      <c r="AU1191" s="1056">
        <f t="shared" si="826"/>
        <v>0</v>
      </c>
      <c r="AV1191" s="1056">
        <f t="shared" si="826"/>
        <v>0</v>
      </c>
      <c r="AW1191" s="1056">
        <f t="shared" si="826"/>
        <v>0</v>
      </c>
      <c r="AX1191" s="1056">
        <f t="shared" si="826"/>
        <v>0</v>
      </c>
      <c r="AY1191" s="1056">
        <f t="shared" si="826"/>
        <v>0</v>
      </c>
      <c r="AZ1191" s="1061"/>
      <c r="BC1191" s="29"/>
      <c r="BD1191" s="29"/>
      <c r="BE1191" s="13"/>
      <c r="BL1191" s="368"/>
    </row>
    <row r="1192" spans="1:64" x14ac:dyDescent="0.2">
      <c r="A1192" s="39" t="s">
        <v>456</v>
      </c>
      <c r="B1192" s="23">
        <f t="shared" si="705"/>
        <v>0</v>
      </c>
      <c r="C1192" s="981">
        <f t="shared" si="706"/>
        <v>0</v>
      </c>
      <c r="D1192" s="981"/>
      <c r="E1192" s="982"/>
      <c r="F1192" s="983"/>
      <c r="G1192" s="1063"/>
      <c r="H1192" s="982"/>
      <c r="I1192" s="574"/>
      <c r="J1192" s="987"/>
      <c r="K1192" s="333"/>
      <c r="L1192" s="333"/>
      <c r="M1192" s="333"/>
      <c r="N1192" s="333"/>
      <c r="O1192" s="333"/>
      <c r="P1192" s="333"/>
      <c r="Q1192" s="333"/>
      <c r="R1192" s="333"/>
      <c r="S1192" s="333"/>
      <c r="T1192" s="333"/>
      <c r="U1192" s="333"/>
      <c r="V1192" s="333"/>
      <c r="W1192" s="333"/>
      <c r="X1192" s="333"/>
      <c r="Y1192" s="333"/>
      <c r="Z1192" s="333"/>
      <c r="AA1192" s="333"/>
      <c r="AB1192" s="333"/>
      <c r="AC1192" s="333"/>
      <c r="AD1192" s="333"/>
      <c r="AE1192" s="333"/>
      <c r="AF1192" s="333"/>
      <c r="AG1192" s="333"/>
      <c r="AH1192" s="333"/>
      <c r="AI1192" s="333"/>
      <c r="AJ1192" s="333"/>
      <c r="AK1192" s="333"/>
      <c r="AL1192" s="333"/>
      <c r="AM1192" s="333"/>
      <c r="AN1192" s="333"/>
      <c r="AO1192" s="333"/>
      <c r="AP1192" s="333"/>
      <c r="AQ1192" s="333"/>
      <c r="AR1192" s="333"/>
      <c r="AS1192" s="333"/>
      <c r="AT1192" s="333"/>
      <c r="AU1192" s="333"/>
      <c r="AV1192" s="333"/>
      <c r="AW1192" s="333"/>
      <c r="AX1192" s="333"/>
      <c r="AY1192" s="333"/>
      <c r="AZ1192" s="1061"/>
      <c r="BC1192" s="29"/>
      <c r="BD1192" s="29"/>
      <c r="BE1192" s="13"/>
      <c r="BL1192" s="368"/>
    </row>
    <row r="1193" spans="1:64" s="228" customFormat="1" ht="24.75" customHeight="1" x14ac:dyDescent="0.2">
      <c r="A1193" s="1064"/>
      <c r="B1193" s="988">
        <f t="shared" si="705"/>
        <v>0</v>
      </c>
      <c r="C1193" s="990" t="str">
        <f t="shared" si="706"/>
        <v>IEDI (%of ADI)</v>
      </c>
      <c r="D1193" s="1065"/>
      <c r="E1193" s="1066"/>
      <c r="F1193" s="1067"/>
      <c r="G1193" s="1066"/>
      <c r="H1193" s="1066"/>
      <c r="I1193" s="1068"/>
      <c r="J1193" s="1068" t="e">
        <f>SUM(J812:J1190)</f>
        <v>#DIV/0!</v>
      </c>
      <c r="K1193" s="1068" t="e">
        <f t="shared" ref="K1193:AR1193" si="827">SUM(K812:K1190)</f>
        <v>#DIV/0!</v>
      </c>
      <c r="L1193" s="1068" t="e">
        <f t="shared" si="827"/>
        <v>#DIV/0!</v>
      </c>
      <c r="M1193" s="1068" t="e">
        <f t="shared" si="827"/>
        <v>#DIV/0!</v>
      </c>
      <c r="N1193" s="1068" t="e">
        <f t="shared" si="827"/>
        <v>#DIV/0!</v>
      </c>
      <c r="O1193" s="1068" t="e">
        <f t="shared" si="827"/>
        <v>#DIV/0!</v>
      </c>
      <c r="P1193" s="1068" t="e">
        <f t="shared" si="827"/>
        <v>#DIV/0!</v>
      </c>
      <c r="Q1193" s="1068" t="e">
        <f t="shared" si="827"/>
        <v>#DIV/0!</v>
      </c>
      <c r="R1193" s="1068" t="e">
        <f t="shared" si="827"/>
        <v>#DIV/0!</v>
      </c>
      <c r="S1193" s="1068" t="e">
        <f>SUM(S812:S1190)</f>
        <v>#DIV/0!</v>
      </c>
      <c r="T1193" s="1068" t="e">
        <f t="shared" si="827"/>
        <v>#DIV/0!</v>
      </c>
      <c r="U1193" s="1068" t="e">
        <f t="shared" si="827"/>
        <v>#DIV/0!</v>
      </c>
      <c r="V1193" s="1068" t="e">
        <f t="shared" si="827"/>
        <v>#DIV/0!</v>
      </c>
      <c r="W1193" s="1068" t="e">
        <f t="shared" si="827"/>
        <v>#DIV/0!</v>
      </c>
      <c r="X1193" s="1068" t="e">
        <f t="shared" si="827"/>
        <v>#DIV/0!</v>
      </c>
      <c r="Y1193" s="1068" t="e">
        <f t="shared" si="827"/>
        <v>#DIV/0!</v>
      </c>
      <c r="Z1193" s="1068" t="e">
        <f t="shared" si="827"/>
        <v>#DIV/0!</v>
      </c>
      <c r="AA1193" s="1068" t="e">
        <f t="shared" si="827"/>
        <v>#DIV/0!</v>
      </c>
      <c r="AB1193" s="1068" t="e">
        <f t="shared" si="827"/>
        <v>#DIV/0!</v>
      </c>
      <c r="AC1193" s="1068" t="e">
        <f t="shared" si="827"/>
        <v>#DIV/0!</v>
      </c>
      <c r="AD1193" s="1068" t="e">
        <f t="shared" si="827"/>
        <v>#DIV/0!</v>
      </c>
      <c r="AE1193" s="1068" t="e">
        <f t="shared" si="827"/>
        <v>#DIV/0!</v>
      </c>
      <c r="AF1193" s="1068" t="e">
        <f t="shared" si="827"/>
        <v>#DIV/0!</v>
      </c>
      <c r="AG1193" s="1068" t="e">
        <f t="shared" si="827"/>
        <v>#DIV/0!</v>
      </c>
      <c r="AH1193" s="1068" t="e">
        <f t="shared" si="827"/>
        <v>#DIV/0!</v>
      </c>
      <c r="AI1193" s="1068" t="e">
        <f t="shared" si="827"/>
        <v>#DIV/0!</v>
      </c>
      <c r="AJ1193" s="1068" t="e">
        <f t="shared" si="827"/>
        <v>#DIV/0!</v>
      </c>
      <c r="AK1193" s="1068" t="e">
        <f t="shared" si="827"/>
        <v>#DIV/0!</v>
      </c>
      <c r="AL1193" s="1068" t="e">
        <f t="shared" si="827"/>
        <v>#DIV/0!</v>
      </c>
      <c r="AM1193" s="1068" t="e">
        <f t="shared" si="827"/>
        <v>#DIV/0!</v>
      </c>
      <c r="AN1193" s="1068" t="e">
        <f t="shared" si="827"/>
        <v>#DIV/0!</v>
      </c>
      <c r="AO1193" s="1068" t="e">
        <f t="shared" si="827"/>
        <v>#DIV/0!</v>
      </c>
      <c r="AP1193" s="1068" t="e">
        <f t="shared" si="827"/>
        <v>#DIV/0!</v>
      </c>
      <c r="AQ1193" s="1068" t="e">
        <f t="shared" si="827"/>
        <v>#DIV/0!</v>
      </c>
      <c r="AR1193" s="1068" t="e">
        <f t="shared" si="827"/>
        <v>#DIV/0!</v>
      </c>
      <c r="AS1193" s="1068" t="e">
        <f t="shared" ref="AS1193:AY1193" si="828">SUM(AS812:AS1190)</f>
        <v>#DIV/0!</v>
      </c>
      <c r="AT1193" s="1068" t="e">
        <f t="shared" si="828"/>
        <v>#DIV/0!</v>
      </c>
      <c r="AU1193" s="1068">
        <f t="shared" si="828"/>
        <v>0</v>
      </c>
      <c r="AV1193" s="1068" t="e">
        <f t="shared" si="828"/>
        <v>#DIV/0!</v>
      </c>
      <c r="AW1193" s="1068" t="e">
        <f t="shared" si="828"/>
        <v>#DIV/0!</v>
      </c>
      <c r="AX1193" s="1068" t="e">
        <f t="shared" si="828"/>
        <v>#DIV/0!</v>
      </c>
      <c r="AY1193" s="1068" t="e">
        <f t="shared" si="828"/>
        <v>#DIV/0!</v>
      </c>
      <c r="AZ1193" s="1061"/>
      <c r="BL1193" s="156"/>
    </row>
    <row r="1194" spans="1:64" s="228" customFormat="1" ht="23.25" customHeight="1" x14ac:dyDescent="0.2">
      <c r="A1194" s="1069" t="s">
        <v>456</v>
      </c>
      <c r="B1194" s="1002">
        <f t="shared" si="705"/>
        <v>0</v>
      </c>
      <c r="C1194" s="1070" t="str">
        <f t="shared" si="706"/>
        <v>IEDI (% of ADI) resulting from LOQ-MRLs (does not include LOQ*CF, LOQ*PeF or LOQ*CF*PeF)</v>
      </c>
      <c r="D1194" s="1071"/>
      <c r="E1194" s="1072"/>
      <c r="F1194" s="1073"/>
      <c r="G1194" s="1072"/>
      <c r="H1194" s="1072"/>
      <c r="I1194" s="1069"/>
      <c r="J1194" s="1069">
        <f>SUMIF($G$12:$G$390,"LOQ",chronic_intake_assessment!J$812:J$1190)</f>
        <v>0</v>
      </c>
      <c r="K1194" s="1074">
        <f>SUMIF($G$12:$G$390,"LOQ",chronic_intake_assessment!K$812:K$1190)</f>
        <v>0</v>
      </c>
      <c r="L1194" s="1074">
        <f>SUMIF($G$12:$G$390,"LOQ",chronic_intake_assessment!L$812:L$1190)</f>
        <v>0</v>
      </c>
      <c r="M1194" s="1074">
        <f>SUMIF($G$12:$G$390,"LOQ",chronic_intake_assessment!M$812:M$1190)</f>
        <v>0</v>
      </c>
      <c r="N1194" s="1074">
        <f>SUMIF($G$12:$G$390,"LOQ",chronic_intake_assessment!N$812:N$1190)</f>
        <v>0</v>
      </c>
      <c r="O1194" s="1074">
        <f>SUMIF($G$12:$G$390,"LOQ",chronic_intake_assessment!O$812:O$1190)</f>
        <v>0</v>
      </c>
      <c r="P1194" s="1074">
        <f>SUMIF($G$12:$G$390,"LOQ",chronic_intake_assessment!P$812:P$1190)</f>
        <v>0</v>
      </c>
      <c r="Q1194" s="1074">
        <f>SUMIF($G$12:$G$390,"LOQ",chronic_intake_assessment!Q$812:Q$1190)</f>
        <v>0</v>
      </c>
      <c r="R1194" s="1074">
        <f>SUMIF($G$12:$G$390,"LOQ",chronic_intake_assessment!R$812:R$1190)</f>
        <v>0</v>
      </c>
      <c r="S1194" s="1074">
        <f>SUMIF($G$12:$G$390,"LOQ",chronic_intake_assessment!S$812:S$1190)</f>
        <v>0</v>
      </c>
      <c r="T1194" s="1074">
        <f>SUMIF($G$12:$G$390,"LOQ",chronic_intake_assessment!T$812:T$1190)</f>
        <v>0</v>
      </c>
      <c r="U1194" s="1074">
        <f>SUMIF($G$12:$G$390,"LOQ",chronic_intake_assessment!U$812:U$1190)</f>
        <v>0</v>
      </c>
      <c r="V1194" s="1074">
        <f>SUMIF($G$12:$G$390,"LOQ",chronic_intake_assessment!V$812:V$1190)</f>
        <v>0</v>
      </c>
      <c r="W1194" s="1074">
        <f>SUMIF($G$12:$G$390,"LOQ",chronic_intake_assessment!W$812:W$1190)</f>
        <v>0</v>
      </c>
      <c r="X1194" s="1074">
        <f>SUMIF($G$12:$G$390,"LOQ",chronic_intake_assessment!X$812:X$1190)</f>
        <v>0</v>
      </c>
      <c r="Y1194" s="1074">
        <f>SUMIF($G$12:$G$390,"LOQ",chronic_intake_assessment!Y$812:Y$1190)</f>
        <v>0</v>
      </c>
      <c r="Z1194" s="1074">
        <f>SUMIF($G$12:$G$390,"LOQ",chronic_intake_assessment!Z$812:Z$1190)</f>
        <v>0</v>
      </c>
      <c r="AA1194" s="1074">
        <f>SUMIF($G$12:$G$390,"LOQ",chronic_intake_assessment!AA$812:AA$1190)</f>
        <v>0</v>
      </c>
      <c r="AB1194" s="1074">
        <f>SUMIF($G$12:$G$390,"LOQ",chronic_intake_assessment!AB$812:AB$1190)</f>
        <v>0</v>
      </c>
      <c r="AC1194" s="1074">
        <f>SUMIF($G$12:$G$390,"LOQ",chronic_intake_assessment!AC$812:AC$1190)</f>
        <v>0</v>
      </c>
      <c r="AD1194" s="1074">
        <f>SUMIF($G$12:$G$390,"LOQ",chronic_intake_assessment!AD$812:AD$1190)</f>
        <v>0</v>
      </c>
      <c r="AE1194" s="1074">
        <f>SUMIF($G$12:$G$390,"LOQ",chronic_intake_assessment!AE$812:AE$1190)</f>
        <v>0</v>
      </c>
      <c r="AF1194" s="1074">
        <f>SUMIF($G$12:$G$390,"LOQ",chronic_intake_assessment!AF$812:AF$1190)</f>
        <v>0</v>
      </c>
      <c r="AG1194" s="1074">
        <f>SUMIF($G$12:$G$390,"LOQ",chronic_intake_assessment!AG$812:AG$1190)</f>
        <v>0</v>
      </c>
      <c r="AH1194" s="1074">
        <f>SUMIF($G$12:$G$390,"LOQ",chronic_intake_assessment!AH$812:AH$1190)</f>
        <v>0</v>
      </c>
      <c r="AI1194" s="1074">
        <f>SUMIF($G$12:$G$390,"LOQ",chronic_intake_assessment!AI$812:AI$1190)</f>
        <v>0</v>
      </c>
      <c r="AJ1194" s="1074">
        <f>SUMIF($G$12:$G$390,"LOQ",chronic_intake_assessment!AJ$812:AJ$1190)</f>
        <v>0</v>
      </c>
      <c r="AK1194" s="1074">
        <f>SUMIF($G$12:$G$390,"LOQ",chronic_intake_assessment!AK$812:AK$1190)</f>
        <v>0</v>
      </c>
      <c r="AL1194" s="1074">
        <f>SUMIF($G$12:$G$390,"LOQ",chronic_intake_assessment!AL$812:AL$1190)</f>
        <v>0</v>
      </c>
      <c r="AM1194" s="1074">
        <f>SUMIF($G$12:$G$390,"LOQ",chronic_intake_assessment!AM$812:AM$1190)</f>
        <v>0</v>
      </c>
      <c r="AN1194" s="1074">
        <f>SUMIF($G$12:$G$390,"LOQ",chronic_intake_assessment!AN$812:AN$1190)</f>
        <v>0</v>
      </c>
      <c r="AO1194" s="1074">
        <f>SUMIF($G$12:$G$390,"LOQ",chronic_intake_assessment!AO$812:AO$1190)</f>
        <v>0</v>
      </c>
      <c r="AP1194" s="1074">
        <f>SUMIF($G$12:$G$390,"LOQ",chronic_intake_assessment!AP$812:AP$1190)</f>
        <v>0</v>
      </c>
      <c r="AQ1194" s="1074">
        <f ca="1">SUMIF($E$12:$E$1190,"Y",chronic_intake_assessment!AQ$812:AQ$1190)</f>
        <v>0</v>
      </c>
      <c r="AR1194" s="1074">
        <f ca="1">SUMIF($E$12:$E$1190,"Y",chronic_intake_assessment!AR$812:AR$1190)</f>
        <v>0</v>
      </c>
      <c r="AS1194" s="1074">
        <f ca="1">SUMIF($E$12:$E$1190,"Y",chronic_intake_assessment!AS$812:AS$1190)</f>
        <v>0</v>
      </c>
      <c r="AT1194" s="1074">
        <f ca="1">SUMIF($E$12:$E$1190,"Y",chronic_intake_assessment!AT$812:AT$1190)</f>
        <v>0</v>
      </c>
      <c r="AU1194" s="1074">
        <f ca="1">SUMIF($E$12:$E$1190,"Y",chronic_intake_assessment!AU$812:AU$1190)</f>
        <v>0</v>
      </c>
      <c r="AV1194" s="1074">
        <f ca="1">SUMIF($E$12:$E$1190,"Y",chronic_intake_assessment!AV$812:AV$1190)</f>
        <v>0</v>
      </c>
      <c r="AW1194" s="1074">
        <f ca="1">SUMIF($E$12:$E$1190,"Y",chronic_intake_assessment!AW$812:AW$1190)</f>
        <v>0</v>
      </c>
      <c r="AX1194" s="1074">
        <f ca="1">SUMIF($E$12:$E$1190,"Y",chronic_intake_assessment!AX$812:AX$1190)</f>
        <v>0</v>
      </c>
      <c r="AY1194" s="1074">
        <f ca="1">SUMIF($E$12:$E$1190,"Y",chronic_intake_assessment!AY$812:AY$1190)</f>
        <v>0</v>
      </c>
      <c r="AZ1194" s="1061"/>
      <c r="BL1194" s="156"/>
    </row>
    <row r="1195" spans="1:64" ht="20.25" customHeight="1" x14ac:dyDescent="0.2">
      <c r="A1195" s="1075" t="s">
        <v>456</v>
      </c>
      <c r="B1195" s="1076">
        <f t="shared" si="705"/>
        <v>0</v>
      </c>
      <c r="C1195" s="1077" t="str">
        <f t="shared" si="706"/>
        <v>IEDI (% of ADI) resulting from commodities with GAPs not under assessment</v>
      </c>
      <c r="D1195" s="1078"/>
      <c r="E1195" s="1079"/>
      <c r="F1195" s="1080"/>
      <c r="G1195" s="1079"/>
      <c r="H1195" s="1079"/>
      <c r="I1195" s="1075"/>
      <c r="J1195" s="1075">
        <f>SUMIF($H$12:$H$390,"Y",chronic_intake_assessment!J$812:J$1190)</f>
        <v>0</v>
      </c>
      <c r="K1195" s="1081">
        <f>SUMIF($H$12:$H$390,"Y",chronic_intake_assessment!K$812:K$1190)</f>
        <v>0</v>
      </c>
      <c r="L1195" s="1081">
        <f>SUMIF($H$12:$H$390,"Y",chronic_intake_assessment!L$812:L$1190)</f>
        <v>0</v>
      </c>
      <c r="M1195" s="1081">
        <f>SUMIF($H$12:$H$390,"Y",chronic_intake_assessment!M$812:M$1190)</f>
        <v>0</v>
      </c>
      <c r="N1195" s="1081">
        <f>SUMIF($H$12:$H$390,"Y",chronic_intake_assessment!N$812:N$1190)</f>
        <v>0</v>
      </c>
      <c r="O1195" s="1081">
        <f>SUMIF($H$12:$H$390,"Y",chronic_intake_assessment!O$812:O$1190)</f>
        <v>0</v>
      </c>
      <c r="P1195" s="1081">
        <f>SUMIF($H$12:$H$390,"Y",chronic_intake_assessment!P$812:P$1190)</f>
        <v>0</v>
      </c>
      <c r="Q1195" s="1081">
        <f>SUMIF($H$12:$H$390,"Y",chronic_intake_assessment!Q$812:Q$1190)</f>
        <v>0</v>
      </c>
      <c r="R1195" s="1081">
        <f>SUMIF($H$12:$H$390,"Y",chronic_intake_assessment!R$812:R$1190)</f>
        <v>0</v>
      </c>
      <c r="S1195" s="1081">
        <f>SUMIF($H$12:$H$390,"Y",chronic_intake_assessment!S$812:S$1190)</f>
        <v>0</v>
      </c>
      <c r="T1195" s="1081">
        <f>SUMIF($H$12:$H$390,"Y",chronic_intake_assessment!T$812:T$1190)</f>
        <v>0</v>
      </c>
      <c r="U1195" s="1081">
        <f>SUMIF($H$12:$H$390,"Y",chronic_intake_assessment!U$812:U$1190)</f>
        <v>0</v>
      </c>
      <c r="V1195" s="1081">
        <f>SUMIF($H$12:$H$390,"Y",chronic_intake_assessment!V$812:V$1190)</f>
        <v>0</v>
      </c>
      <c r="W1195" s="1081">
        <f>SUMIF($H$12:$H$390,"Y",chronic_intake_assessment!W$812:W$1190)</f>
        <v>0</v>
      </c>
      <c r="X1195" s="1081">
        <f>SUMIF($H$12:$H$390,"Y",chronic_intake_assessment!X$812:X$1190)</f>
        <v>0</v>
      </c>
      <c r="Y1195" s="1081">
        <f>SUMIF($H$12:$H$390,"Y",chronic_intake_assessment!Y$812:Y$1190)</f>
        <v>0</v>
      </c>
      <c r="Z1195" s="1081">
        <f>SUMIF($H$12:$H$390,"Y",chronic_intake_assessment!Z$812:Z$1190)</f>
        <v>0</v>
      </c>
      <c r="AA1195" s="1081">
        <f>SUMIF($H$12:$H$390,"Y",chronic_intake_assessment!AA$812:AA$1190)</f>
        <v>0</v>
      </c>
      <c r="AB1195" s="1081">
        <f>SUMIF($H$12:$H$390,"Y",chronic_intake_assessment!AB$812:AB$1190)</f>
        <v>0</v>
      </c>
      <c r="AC1195" s="1081">
        <f>SUMIF($H$12:$H$390,"Y",chronic_intake_assessment!AC$812:AC$1190)</f>
        <v>0</v>
      </c>
      <c r="AD1195" s="1081">
        <f>SUMIF($H$12:$H$390,"Y",chronic_intake_assessment!AD$812:AD$1190)</f>
        <v>0</v>
      </c>
      <c r="AE1195" s="1081">
        <f>SUMIF($H$12:$H$390,"Y",chronic_intake_assessment!AE$812:AE$1190)</f>
        <v>0</v>
      </c>
      <c r="AF1195" s="1081">
        <f>SUMIF($H$12:$H$390,"Y",chronic_intake_assessment!AF$812:AF$1190)</f>
        <v>0</v>
      </c>
      <c r="AG1195" s="1081">
        <f>SUMIF($H$12:$H$390,"Y",chronic_intake_assessment!AG$812:AG$1190)</f>
        <v>0</v>
      </c>
      <c r="AH1195" s="1081">
        <f>SUMIF($H$12:$H$390,"Y",chronic_intake_assessment!AH$812:AH$1190)</f>
        <v>0</v>
      </c>
      <c r="AI1195" s="1081">
        <f>SUMIF($H$12:$H$390,"Y",chronic_intake_assessment!AI$812:AI$1190)</f>
        <v>0</v>
      </c>
      <c r="AJ1195" s="1081">
        <f>SUMIF($H$12:$H$390,"Y",chronic_intake_assessment!AJ$812:AJ$1190)</f>
        <v>0</v>
      </c>
      <c r="AK1195" s="1081">
        <f>SUMIF($H$12:$H$390,"Y",chronic_intake_assessment!AK$812:AK$1190)</f>
        <v>0</v>
      </c>
      <c r="AL1195" s="1081">
        <f>SUMIF($H$12:$H$390,"Y",chronic_intake_assessment!AL$812:AL$1190)</f>
        <v>0</v>
      </c>
      <c r="AM1195" s="1081">
        <f>SUMIF($H$12:$H$390,"Y",chronic_intake_assessment!AM$812:AM$1190)</f>
        <v>0</v>
      </c>
      <c r="AN1195" s="1081">
        <f>SUMIF($H$12:$H$390,"Y",chronic_intake_assessment!AN$812:AN$1190)</f>
        <v>0</v>
      </c>
      <c r="AO1195" s="1081">
        <f>SUMIF($H$12:$H$390,"Y",chronic_intake_assessment!AO$812:AO$1190)</f>
        <v>0</v>
      </c>
      <c r="AP1195" s="1081">
        <f>SUMIF($H$12:$H$390,"Y",chronic_intake_assessment!AP$812:AP$1190)</f>
        <v>0</v>
      </c>
      <c r="AQ1195" s="1081">
        <f ca="1">SUMIF($H$12:$H$1190,"Y",chronic_intake_assessment!AQ$812:AQ$1190)</f>
        <v>0</v>
      </c>
      <c r="AR1195" s="1081">
        <f ca="1">SUMIF($H$12:$H$1190,"Y",chronic_intake_assessment!AR$812:AR$1190)</f>
        <v>0</v>
      </c>
      <c r="AS1195" s="1081">
        <f ca="1">SUMIF($H$12:$H$1190,"Y",chronic_intake_assessment!AS$812:AS$1190)</f>
        <v>0</v>
      </c>
      <c r="AT1195" s="1081">
        <f ca="1">SUMIF($H$12:$H$1190,"Y",chronic_intake_assessment!AT$812:AT$1190)</f>
        <v>0</v>
      </c>
      <c r="AU1195" s="1081">
        <f ca="1">SUMIF($H$12:$H$1190,"Y",chronic_intake_assessment!AU$812:AU$1190)</f>
        <v>0</v>
      </c>
      <c r="AV1195" s="1081">
        <f ca="1">SUMIF($H$12:$H$1190,"Y",chronic_intake_assessment!AV$812:AV$1190)</f>
        <v>0</v>
      </c>
      <c r="AW1195" s="1081">
        <f ca="1">SUMIF($H$12:$H$1190,"Y",chronic_intake_assessment!AW$812:AW$1190)</f>
        <v>0</v>
      </c>
      <c r="AX1195" s="1081">
        <f ca="1">SUMIF($H$12:$H$1190,"Y",chronic_intake_assessment!AX$812:AX$1190)</f>
        <v>0</v>
      </c>
      <c r="AY1195" s="1081">
        <f ca="1">SUMIF($H$12:$H$1190,"Y",chronic_intake_assessment!AY$812:AY$1190)</f>
        <v>0</v>
      </c>
      <c r="AZ1195" s="1082"/>
      <c r="BC1195" s="29"/>
      <c r="BD1195" s="29"/>
      <c r="BE1195" s="13"/>
      <c r="BL1195" s="368"/>
    </row>
    <row r="1196" spans="1:64" x14ac:dyDescent="0.2">
      <c r="AS1196" s="13"/>
      <c r="AV1196" s="29"/>
      <c r="AX1196" s="13"/>
    </row>
    <row r="1197" spans="1:64" x14ac:dyDescent="0.2">
      <c r="AS1197" s="13"/>
      <c r="AV1197" s="29"/>
      <c r="AX1197" s="13"/>
    </row>
    <row r="1198" spans="1:64" x14ac:dyDescent="0.2">
      <c r="AS1198" s="13"/>
      <c r="AV1198" s="29"/>
      <c r="AX1198" s="13"/>
    </row>
    <row r="1199" spans="1:64" x14ac:dyDescent="0.2">
      <c r="AS1199" s="13"/>
      <c r="AV1199" s="29"/>
      <c r="AX1199" s="13"/>
    </row>
    <row r="1200" spans="1:64" x14ac:dyDescent="0.2">
      <c r="AS1200" s="13"/>
      <c r="AV1200" s="29"/>
      <c r="AX1200" s="13"/>
    </row>
    <row r="1201" spans="2:58" x14ac:dyDescent="0.2">
      <c r="AS1201" s="13"/>
      <c r="AV1201" s="29"/>
      <c r="AX1201" s="13"/>
    </row>
    <row r="1202" spans="2:58" x14ac:dyDescent="0.2">
      <c r="AS1202" s="13"/>
      <c r="AV1202" s="29"/>
      <c r="AX1202" s="13"/>
    </row>
    <row r="1203" spans="2:58" x14ac:dyDescent="0.2">
      <c r="AS1203" s="13"/>
      <c r="AV1203" s="29"/>
      <c r="AX1203" s="13"/>
    </row>
    <row r="1204" spans="2:58" x14ac:dyDescent="0.2">
      <c r="AS1204" s="13"/>
      <c r="AV1204" s="29"/>
      <c r="AX1204" s="13"/>
    </row>
    <row r="1205" spans="2:58" x14ac:dyDescent="0.2">
      <c r="AS1205" s="13"/>
      <c r="AV1205" s="29"/>
      <c r="AX1205" s="13"/>
    </row>
    <row r="1206" spans="2:58" x14ac:dyDescent="0.2">
      <c r="AS1206" s="13"/>
      <c r="AV1206" s="29"/>
      <c r="AX1206" s="13"/>
    </row>
    <row r="1207" spans="2:58" x14ac:dyDescent="0.2">
      <c r="G1207" s="1083"/>
      <c r="AS1207" s="13"/>
      <c r="AV1207" s="29"/>
      <c r="AX1207" s="13"/>
    </row>
    <row r="1208" spans="2:58" x14ac:dyDescent="0.2">
      <c r="AS1208" s="13"/>
      <c r="AV1208" s="29"/>
      <c r="AX1208" s="13"/>
    </row>
    <row r="1209" spans="2:58" ht="38.450000000000003" customHeight="1" x14ac:dyDescent="0.3">
      <c r="B1209" s="1656" t="s">
        <v>1013</v>
      </c>
      <c r="C1209" s="1656"/>
      <c r="D1209" s="1656"/>
      <c r="E1209" s="1656"/>
      <c r="F1209" s="1656"/>
      <c r="G1209" s="1656"/>
      <c r="H1209" s="1656"/>
      <c r="I1209" s="1656"/>
      <c r="J1209" s="1656"/>
      <c r="K1209" s="1656"/>
      <c r="L1209" s="1656"/>
      <c r="M1209" s="1656"/>
      <c r="N1209" s="1656"/>
      <c r="O1209" s="1656"/>
      <c r="P1209" s="1656"/>
      <c r="Q1209" s="1656"/>
      <c r="R1209" s="1656"/>
      <c r="S1209" s="1656"/>
      <c r="T1209" s="1656"/>
      <c r="U1209" s="1656"/>
      <c r="V1209" s="1656"/>
      <c r="W1209" s="1656"/>
      <c r="X1209" s="1656"/>
      <c r="Y1209" s="1656"/>
      <c r="Z1209" s="1656"/>
      <c r="AA1209" s="1656"/>
      <c r="AB1209" s="1656"/>
      <c r="AC1209" s="1656"/>
      <c r="AD1209" s="1656"/>
      <c r="AE1209" s="1656"/>
      <c r="AF1209" s="1656"/>
      <c r="AG1209" s="1656"/>
      <c r="AH1209" s="1656"/>
      <c r="AI1209" s="1656"/>
      <c r="AJ1209" s="1656"/>
      <c r="AK1209" s="1656"/>
      <c r="AL1209" s="1656"/>
      <c r="AM1209" s="1656"/>
      <c r="AN1209" s="1656"/>
      <c r="AO1209" s="1656"/>
      <c r="AP1209" s="1656"/>
      <c r="AQ1209" s="1656"/>
      <c r="AR1209" s="1656"/>
      <c r="AS1209" s="1656"/>
      <c r="AT1209" s="1656"/>
      <c r="AU1209" s="1656"/>
      <c r="AV1209" s="1656"/>
      <c r="AW1209" s="1656"/>
      <c r="AX1209" s="1656"/>
      <c r="AY1209" s="1656"/>
      <c r="AZ1209" s="1656"/>
      <c r="BA1209" s="1656"/>
      <c r="BB1209" s="1656"/>
      <c r="BC1209" s="1656"/>
      <c r="BD1209" s="1656"/>
      <c r="BE1209" s="1656"/>
      <c r="BF1209" s="1656"/>
    </row>
    <row r="1210" spans="2:58" x14ac:dyDescent="0.2">
      <c r="AS1210" s="13"/>
      <c r="AV1210" s="29"/>
      <c r="AX1210" s="13"/>
    </row>
    <row r="1211" spans="2:58" ht="108" x14ac:dyDescent="0.2">
      <c r="B1211" s="169" t="s">
        <v>44</v>
      </c>
      <c r="C1211" s="496" t="s">
        <v>71</v>
      </c>
      <c r="D1211" s="496" t="s">
        <v>364</v>
      </c>
      <c r="E1211" s="159" t="s">
        <v>303</v>
      </c>
      <c r="F1211" s="159" t="s">
        <v>1017</v>
      </c>
      <c r="G1211" s="159" t="s">
        <v>668</v>
      </c>
      <c r="H1211" s="159" t="s">
        <v>922</v>
      </c>
      <c r="I1211" s="159" t="s">
        <v>972</v>
      </c>
      <c r="J1211" s="1059" t="s">
        <v>256</v>
      </c>
      <c r="K1211" s="1059" t="s">
        <v>257</v>
      </c>
      <c r="L1211" s="1059" t="s">
        <v>1</v>
      </c>
      <c r="M1211" s="1059" t="s">
        <v>258</v>
      </c>
      <c r="N1211" s="1059" t="s">
        <v>309</v>
      </c>
      <c r="O1211" s="1059" t="s">
        <v>310</v>
      </c>
      <c r="P1211" s="1059" t="s">
        <v>311</v>
      </c>
      <c r="Q1211" s="1059" t="s">
        <v>329</v>
      </c>
      <c r="R1211" s="1059" t="s">
        <v>259</v>
      </c>
      <c r="S1211" s="1059" t="s">
        <v>89</v>
      </c>
      <c r="T1211" s="1059" t="s">
        <v>91</v>
      </c>
      <c r="U1211" s="1059" t="s">
        <v>252</v>
      </c>
      <c r="V1211" s="1059" t="s">
        <v>0</v>
      </c>
      <c r="W1211" s="1059" t="s">
        <v>312</v>
      </c>
      <c r="X1211" s="1059" t="s">
        <v>313</v>
      </c>
      <c r="Y1211" s="1059" t="s">
        <v>644</v>
      </c>
      <c r="Z1211" s="1059" t="s">
        <v>253</v>
      </c>
      <c r="AA1211" s="1059" t="s">
        <v>244</v>
      </c>
      <c r="AB1211" s="1059" t="s">
        <v>254</v>
      </c>
      <c r="AC1211" s="1059" t="s">
        <v>338</v>
      </c>
      <c r="AD1211" s="1059" t="s">
        <v>314</v>
      </c>
      <c r="AE1211" s="1059" t="s">
        <v>315</v>
      </c>
      <c r="AF1211" s="1059" t="s">
        <v>316</v>
      </c>
      <c r="AG1211" s="1059" t="s">
        <v>317</v>
      </c>
      <c r="AH1211" s="1059" t="s">
        <v>105</v>
      </c>
      <c r="AI1211" s="1059" t="s">
        <v>255</v>
      </c>
      <c r="AJ1211" s="1059" t="s">
        <v>854</v>
      </c>
      <c r="AK1211" s="1059" t="s">
        <v>855</v>
      </c>
      <c r="AL1211" s="1059" t="s">
        <v>856</v>
      </c>
      <c r="AM1211" s="1059" t="s">
        <v>857</v>
      </c>
      <c r="AN1211" s="1059" t="s">
        <v>858</v>
      </c>
      <c r="AO1211" s="1059" t="s">
        <v>859</v>
      </c>
      <c r="AP1211" s="1059" t="s">
        <v>339</v>
      </c>
      <c r="AQ1211" s="1059" t="s">
        <v>340</v>
      </c>
      <c r="AR1211" s="1059" t="s">
        <v>330</v>
      </c>
      <c r="AS1211" s="1025" t="s">
        <v>944</v>
      </c>
      <c r="AT1211" s="1025" t="s">
        <v>945</v>
      </c>
      <c r="AU1211" s="1025" t="s">
        <v>951</v>
      </c>
      <c r="AV1211" s="1025" t="s">
        <v>950</v>
      </c>
      <c r="AW1211" s="1025" t="s">
        <v>946</v>
      </c>
      <c r="AX1211" s="1025" t="s">
        <v>938</v>
      </c>
      <c r="AY1211" s="1025" t="s">
        <v>860</v>
      </c>
      <c r="AZ1211" s="1025" t="s">
        <v>344</v>
      </c>
      <c r="BA1211" s="1025" t="s">
        <v>1019</v>
      </c>
      <c r="BB1211" s="1025" t="s">
        <v>349</v>
      </c>
      <c r="BC1211" s="1025" t="s">
        <v>1018</v>
      </c>
      <c r="BD1211" s="1025" t="s">
        <v>1022</v>
      </c>
    </row>
    <row r="1212" spans="2:58" x14ac:dyDescent="0.2">
      <c r="B1212" s="127">
        <f t="shared" ref="B1212:C1231" si="829">B12</f>
        <v>100000</v>
      </c>
      <c r="C1212" s="127" t="str">
        <f t="shared" si="829"/>
        <v>FRUIT AND TREE NUTS</v>
      </c>
      <c r="D1212" s="1084">
        <f>input_values!E12</f>
        <v>0</v>
      </c>
      <c r="E1212" s="1084">
        <f>input_values!F12</f>
        <v>0</v>
      </c>
      <c r="F1212" s="1085">
        <f>input_values!W12</f>
        <v>0</v>
      </c>
      <c r="G1212" s="1086" t="str">
        <f>IF(Table3[[#This Row],[CF]]&gt;0,CONCATENATE(IF(Table3[[#This Row],[LOQ]]="*","LOQ","MRL"),IF(input_values!G12&gt;0,"×CFrisk","")),"")</f>
        <v/>
      </c>
      <c r="H1212" s="1087">
        <f>input_values!L12</f>
        <v>0</v>
      </c>
      <c r="I1212" s="1088">
        <f>input_values!D12</f>
        <v>0</v>
      </c>
      <c r="J1212" s="1089" t="e">
        <f>IF($D$1212="",0,$D1212*Table3[[#This Row],[CF]]*chronic_consumption!$E12/1000/$C$3)</f>
        <v>#DIV/0!</v>
      </c>
      <c r="K1212" s="1089" t="e">
        <f>IF($D$1212="",0,$D1212*Table3[[#This Row],[CF]]*chronic_consumption!$F12/1000/$C$3)</f>
        <v>#DIV/0!</v>
      </c>
      <c r="L1212" s="1089" t="e">
        <f>IF($D$1212="",0,$D1212*Table3[[#This Row],[CF]]*chronic_consumption!$G12/1000/$C$3)</f>
        <v>#DIV/0!</v>
      </c>
      <c r="M1212" s="1089" t="e">
        <f>IF($D$1212="",0,$D1212*Table3[[#This Row],[CF]]*chronic_consumption!$H12/1000/$C$3)</f>
        <v>#DIV/0!</v>
      </c>
      <c r="N1212" s="1089" t="e">
        <f>IF($D$1212="",0,$D1212*Table3[[#This Row],[CF]]*chronic_consumption!$I12/1000/$C$3)</f>
        <v>#DIV/0!</v>
      </c>
      <c r="O1212" s="1089" t="e">
        <f>IF($D$1212="",0,$D1212*Table3[[#This Row],[CF]]*chronic_consumption!$J12/1000/$C$3)</f>
        <v>#DIV/0!</v>
      </c>
      <c r="P1212" s="1089" t="e">
        <f>IF($D$1212="",0,$D1212*Table3[[#This Row],[CF]]*chronic_consumption!$K12/1000/$C$3)</f>
        <v>#DIV/0!</v>
      </c>
      <c r="Q1212" s="1089" t="e">
        <f>IF($D$1212="",0,$D1212*Table3[[#This Row],[CF]]*chronic_consumption!$L12/1000/$C$3)</f>
        <v>#DIV/0!</v>
      </c>
      <c r="R1212" s="1089" t="e">
        <f>IF($D$1212="",0,$D1212*Table3[[#This Row],[CF]]*chronic_consumption!$M12/1000/$C$3)</f>
        <v>#DIV/0!</v>
      </c>
      <c r="S1212" s="1089" t="e">
        <f>IF($D$1212="",0,$D1212*Table3[[#This Row],[CF]]*chronic_consumption!$N12/1000/$C$3)</f>
        <v>#DIV/0!</v>
      </c>
      <c r="T1212" s="1089" t="e">
        <f>IF($D$1212="",0,$D1212*Table3[[#This Row],[CF]]*chronic_consumption!$O12/1000/$C$3)</f>
        <v>#DIV/0!</v>
      </c>
      <c r="U1212" s="1089" t="e">
        <f>IF($D$1212="",0,$D1212*Table3[[#This Row],[CF]]*chronic_consumption!$P12/1000/$C$3)</f>
        <v>#DIV/0!</v>
      </c>
      <c r="V1212" s="1089" t="e">
        <f>IF($D$1212="",0,$D1212*Table3[[#This Row],[CF]]*chronic_consumption!$Q12/1000/$C$3)</f>
        <v>#DIV/0!</v>
      </c>
      <c r="W1212" s="1089" t="e">
        <f>IF($D$1212="",0,$D1212*Table3[[#This Row],[CF]]*chronic_consumption!$R12/1000/$C$3)</f>
        <v>#DIV/0!</v>
      </c>
      <c r="X1212" s="1089" t="e">
        <f>IF($D$1212="",0,$D1212*Table3[[#This Row],[CF]]*chronic_consumption!$S12/1000/$C$3)</f>
        <v>#DIV/0!</v>
      </c>
      <c r="Y1212" s="1089" t="e">
        <f>IF($D$1212="",0,$D1212*Table3[[#This Row],[CF]]*chronic_consumption!$T12/1000/$C$3)</f>
        <v>#DIV/0!</v>
      </c>
      <c r="Z1212" s="1089" t="e">
        <f>IF($D$1212="",0,$D1212*Table3[[#This Row],[CF]]*chronic_consumption!$U12/1000/$C$3)</f>
        <v>#DIV/0!</v>
      </c>
      <c r="AA1212" s="1089" t="e">
        <f>IF($D$1212="",0,$D1212*Table3[[#This Row],[CF]]*chronic_consumption!$V12/1000/$C$3)</f>
        <v>#DIV/0!</v>
      </c>
      <c r="AB1212" s="1089" t="e">
        <f>IF($D$1212="",0,$D1212*Table3[[#This Row],[CF]]*chronic_consumption!$W12/1000/$C$3)</f>
        <v>#DIV/0!</v>
      </c>
      <c r="AC1212" s="1089" t="e">
        <f>IF($D$1212="",0,$D1212*Table3[[#This Row],[CF]]*chronic_consumption!$X12/1000/$C$3)</f>
        <v>#DIV/0!</v>
      </c>
      <c r="AD1212" s="1089" t="e">
        <f>IF($D$1212="",0,$D1212*Table3[[#This Row],[CF]]*chronic_consumption!$Y12/1000/$C$3)</f>
        <v>#DIV/0!</v>
      </c>
      <c r="AE1212" s="1089" t="e">
        <f>IF($D$1212="",0,$D1212*Table3[[#This Row],[CF]]*chronic_consumption!$Z12/1000/$C$3)</f>
        <v>#DIV/0!</v>
      </c>
      <c r="AF1212" s="1089" t="e">
        <f>IF($D$1212="",0,$D1212*Table3[[#This Row],[CF]]*chronic_consumption!$AA12/1000/$C$3)</f>
        <v>#DIV/0!</v>
      </c>
      <c r="AG1212" s="1089" t="e">
        <f>IF($D$1212="",0,$D1212*Table3[[#This Row],[CF]]*chronic_consumption!$AB12/1000/$C$3)</f>
        <v>#DIV/0!</v>
      </c>
      <c r="AH1212" s="1089" t="e">
        <f>IF($D$1212="",0,$D1212*Table3[[#This Row],[CF]]*chronic_consumption!$AC12/1000/$C$3)</f>
        <v>#DIV/0!</v>
      </c>
      <c r="AI1212" s="1089" t="e">
        <f>IF($D$1212="",0,$D1212*Table3[[#This Row],[CF]]*chronic_consumption!$AD12/1000/$C$3)</f>
        <v>#DIV/0!</v>
      </c>
      <c r="AJ1212" s="1089" t="e">
        <f>IF($D$1212="",0,$D1212*Table3[[#This Row],[CF]]*chronic_consumption!$AE12/1000/$C$3)</f>
        <v>#DIV/0!</v>
      </c>
      <c r="AK1212" s="1089" t="e">
        <f>IF($D$1212="",0,$D1212*Table3[[#This Row],[CF]]*chronic_consumption!$AF12/1000/$C$3)</f>
        <v>#DIV/0!</v>
      </c>
      <c r="AL1212" s="1089" t="e">
        <f>IF($D$1212="",0,$D1212*Table3[[#This Row],[CF]]*chronic_consumption!$AG12/1000/$C$3)</f>
        <v>#DIV/0!</v>
      </c>
      <c r="AM1212" s="1089" t="e">
        <f>IF($D$1212="",0,$D1212*Table3[[#This Row],[CF]]*chronic_consumption!$AH12/1000/$C$3)</f>
        <v>#DIV/0!</v>
      </c>
      <c r="AN1212" s="1089" t="e">
        <f>IF($D$1212="",0,$D1212*Table3[[#This Row],[CF]]*chronic_consumption!$AI12/1000/$C$3)</f>
        <v>#DIV/0!</v>
      </c>
      <c r="AO1212" s="1089" t="e">
        <f>IF($D$1212="",0,$D1212*Table3[[#This Row],[CF]]*chronic_consumption!$AJ12/1000/$C$3)</f>
        <v>#DIV/0!</v>
      </c>
      <c r="AP1212" s="1089" t="e">
        <f>IF($D$1212="",0,$D1212*Table3[[#This Row],[CF]]*chronic_consumption!$AK12/1000/$C$3)</f>
        <v>#DIV/0!</v>
      </c>
      <c r="AQ1212" s="1089" t="e">
        <f>IF($D$1212="",0,$D1212*Table3[[#This Row],[CF]]*chronic_consumption!$AL12/1000/$C$3)</f>
        <v>#DIV/0!</v>
      </c>
      <c r="AR1212" s="1089" t="e">
        <f>IF($D$1212="",0,$D1212*Table3[[#This Row],[CF]]*chronic_consumption!$AM12/1000/$C$3)</f>
        <v>#DIV/0!</v>
      </c>
      <c r="AS1212" s="1089" t="e">
        <f>IF($D$1212="",0,$D1212*Table3[[#This Row],[CF]]*chronic_consumption!$AN12/1000/$C$3)</f>
        <v>#DIV/0!</v>
      </c>
      <c r="AT1212" s="1089" t="e">
        <f>IF($D$1212="",0,$D1212*Table3[[#This Row],[CF]]*chronic_consumption!$AO12/1000/$C$3)</f>
        <v>#DIV/0!</v>
      </c>
      <c r="AU1212" s="1090" t="e">
        <f t="shared" ref="AU1212:AY1221" si="830">IF(AU412="",0,IF(OR(1=RANK(AU812,AU$412:AU$790,0),(2=RANK(AU812,AU$412:AU$790,0))),AU812,AU412))</f>
        <v>#DIV/0!</v>
      </c>
      <c r="AV1212" s="1090" t="e">
        <f t="shared" si="830"/>
        <v>#DIV/0!</v>
      </c>
      <c r="AW1212" s="1090" t="e">
        <f t="shared" si="830"/>
        <v>#DIV/0!</v>
      </c>
      <c r="AX1212" s="1090" t="e">
        <f t="shared" si="830"/>
        <v>#DIV/0!</v>
      </c>
      <c r="AY1212" s="1090" t="e">
        <f t="shared" si="830"/>
        <v>#DIV/0!</v>
      </c>
      <c r="AZ1212" s="1091" t="s">
        <v>1012</v>
      </c>
      <c r="BA1212" s="1092" t="e">
        <f>IF(Table3[[#This Row],[max]]&lt;&gt;0,RANK(Table3[[#This Row],[max]],Table3[max],0),"")</f>
        <v>#DIV/0!</v>
      </c>
      <c r="BB1212" s="1093" t="e">
        <f t="shared" ref="BB1212:BB1275" si="831">MAX(J1212:AY1212)</f>
        <v>#DIV/0!</v>
      </c>
      <c r="BC1212" s="1093" t="e">
        <f t="shared" ref="BC1212:BC1275" ca="1" si="832">IF(BB1212&gt;0,OFFSET($I$10,1,MATCH(BB1212,J1212:AY1212,0)),"")</f>
        <v>#DIV/0!</v>
      </c>
      <c r="BD1212" s="1094" t="e">
        <f>IF(Table3[[#This Row],[max]]&gt;0,Table3[[#This Row],[Crop groups and examples of individual products within the groups to which the MRLs apply]],"")</f>
        <v>#DIV/0!</v>
      </c>
      <c r="BE1212" s="368">
        <f>COUNT(Table3[rank])</f>
        <v>0</v>
      </c>
    </row>
    <row r="1213" spans="2:58" x14ac:dyDescent="0.2">
      <c r="B1213" s="131">
        <f t="shared" si="829"/>
        <v>110000</v>
      </c>
      <c r="C1213" s="131" t="str">
        <f t="shared" si="829"/>
        <v>Citrus fruit</v>
      </c>
      <c r="D1213" s="1084">
        <f>input_values!E13</f>
        <v>0</v>
      </c>
      <c r="E1213" s="1084">
        <f>input_values!F13</f>
        <v>0</v>
      </c>
      <c r="F1213" s="1085">
        <f>input_values!W13</f>
        <v>0</v>
      </c>
      <c r="G1213" s="1085" t="str">
        <f>IF(Table3[[#This Row],[CF]]&gt;0,CONCATENATE(IF(Table3[[#This Row],[LOQ]]="*","LOQ","MRL"),IF(input_values!G13&gt;0,"×CFrisk","")),"")</f>
        <v/>
      </c>
      <c r="H1213" s="1087">
        <f>input_values!L13</f>
        <v>0</v>
      </c>
      <c r="I1213" s="1088">
        <f>input_values!D13</f>
        <v>0</v>
      </c>
      <c r="J1213" s="1095" t="e">
        <f>IF($D$1212="",0,$D1213*Table3[[#This Row],[CF]]*chronic_consumption!$E13/1000/$C$3)</f>
        <v>#DIV/0!</v>
      </c>
      <c r="K1213" s="1095" t="e">
        <f>IF($D$1212="",0,$D1213*Table3[[#This Row],[CF]]*chronic_consumption!$F13/1000/$C$3)</f>
        <v>#DIV/0!</v>
      </c>
      <c r="L1213" s="1095" t="e">
        <f>IF($D$1212="",0,$D1213*Table3[[#This Row],[CF]]*chronic_consumption!$G13/1000/$C$3)</f>
        <v>#DIV/0!</v>
      </c>
      <c r="M1213" s="1095" t="e">
        <f>IF($D$1212="",0,$D1213*Table3[[#This Row],[CF]]*chronic_consumption!$H13/1000/$C$3)</f>
        <v>#DIV/0!</v>
      </c>
      <c r="N1213" s="1095" t="e">
        <f>IF($D$1212="",0,$D1213*Table3[[#This Row],[CF]]*chronic_consumption!$I13/1000/$C$3)</f>
        <v>#DIV/0!</v>
      </c>
      <c r="O1213" s="1095" t="e">
        <f>IF($D$1212="",0,$D1213*Table3[[#This Row],[CF]]*chronic_consumption!$J13/1000/$C$3)</f>
        <v>#DIV/0!</v>
      </c>
      <c r="P1213" s="1095" t="e">
        <f>IF($D$1212="",0,$D1213*Table3[[#This Row],[CF]]*chronic_consumption!$K13/1000/$C$3)</f>
        <v>#DIV/0!</v>
      </c>
      <c r="Q1213" s="1095" t="e">
        <f>IF($D$1212="",0,$D1213*Table3[[#This Row],[CF]]*chronic_consumption!$L13/1000/$C$3)</f>
        <v>#DIV/0!</v>
      </c>
      <c r="R1213" s="1095" t="e">
        <f>IF($D$1212="",0,$D1213*Table3[[#This Row],[CF]]*chronic_consumption!$M13/1000/$C$3)</f>
        <v>#DIV/0!</v>
      </c>
      <c r="S1213" s="1095" t="e">
        <f>IF($D$1212="",0,$D1213*Table3[[#This Row],[CF]]*chronic_consumption!$N13/1000/$C$3)</f>
        <v>#DIV/0!</v>
      </c>
      <c r="T1213" s="1095" t="e">
        <f>IF($D$1212="",0,$D1213*Table3[[#This Row],[CF]]*chronic_consumption!$O13/1000/$C$3)</f>
        <v>#DIV/0!</v>
      </c>
      <c r="U1213" s="1095" t="e">
        <f>IF($D$1212="",0,$D1213*Table3[[#This Row],[CF]]*chronic_consumption!$P13/1000/$C$3)</f>
        <v>#DIV/0!</v>
      </c>
      <c r="V1213" s="1095" t="e">
        <f>IF($D$1212="",0,$D1213*Table3[[#This Row],[CF]]*chronic_consumption!$Q13/1000/$C$3)</f>
        <v>#DIV/0!</v>
      </c>
      <c r="W1213" s="1095" t="e">
        <f>IF($D$1212="",0,$D1213*Table3[[#This Row],[CF]]*chronic_consumption!$R13/1000/$C$3)</f>
        <v>#DIV/0!</v>
      </c>
      <c r="X1213" s="1095" t="e">
        <f>IF($D$1212="",0,$D1213*Table3[[#This Row],[CF]]*chronic_consumption!$S13/1000/$C$3)</f>
        <v>#DIV/0!</v>
      </c>
      <c r="Y1213" s="1095" t="e">
        <f>IF($D$1212="",0,$D1213*Table3[[#This Row],[CF]]*chronic_consumption!$T13/1000/$C$3)</f>
        <v>#DIV/0!</v>
      </c>
      <c r="Z1213" s="1095" t="e">
        <f>IF($D$1212="",0,$D1213*Table3[[#This Row],[CF]]*chronic_consumption!$U13/1000/$C$3)</f>
        <v>#DIV/0!</v>
      </c>
      <c r="AA1213" s="1095" t="e">
        <f>IF($D$1212="",0,$D1213*Table3[[#This Row],[CF]]*chronic_consumption!$V13/1000/$C$3)</f>
        <v>#DIV/0!</v>
      </c>
      <c r="AB1213" s="1095" t="e">
        <f>IF($D$1212="",0,$D1213*Table3[[#This Row],[CF]]*chronic_consumption!$W13/1000/$C$3)</f>
        <v>#DIV/0!</v>
      </c>
      <c r="AC1213" s="1095" t="e">
        <f>IF($D$1212="",0,$D1213*Table3[[#This Row],[CF]]*chronic_consumption!$X13/1000/$C$3)</f>
        <v>#DIV/0!</v>
      </c>
      <c r="AD1213" s="1095" t="e">
        <f>IF($D$1212="",0,$D1213*Table3[[#This Row],[CF]]*chronic_consumption!$Y13/1000/$C$3)</f>
        <v>#DIV/0!</v>
      </c>
      <c r="AE1213" s="1095" t="e">
        <f>IF($D$1212="",0,$D1213*Table3[[#This Row],[CF]]*chronic_consumption!$Z13/1000/$C$3)</f>
        <v>#DIV/0!</v>
      </c>
      <c r="AF1213" s="1095" t="e">
        <f>IF($D$1212="",0,$D1213*Table3[[#This Row],[CF]]*chronic_consumption!$AA13/1000/$C$3)</f>
        <v>#DIV/0!</v>
      </c>
      <c r="AG1213" s="1095" t="e">
        <f>IF($D$1212="",0,$D1213*Table3[[#This Row],[CF]]*chronic_consumption!$AB13/1000/$C$3)</f>
        <v>#DIV/0!</v>
      </c>
      <c r="AH1213" s="1095" t="e">
        <f>IF($D$1212="",0,$D1213*Table3[[#This Row],[CF]]*chronic_consumption!$AC13/1000/$C$3)</f>
        <v>#DIV/0!</v>
      </c>
      <c r="AI1213" s="1095" t="e">
        <f>IF($D$1212="",0,$D1213*Table3[[#This Row],[CF]]*chronic_consumption!$AD13/1000/$C$3)</f>
        <v>#DIV/0!</v>
      </c>
      <c r="AJ1213" s="1095" t="e">
        <f>IF($D$1212="",0,$D1213*Table3[[#This Row],[CF]]*chronic_consumption!$AE13/1000/$C$3)</f>
        <v>#DIV/0!</v>
      </c>
      <c r="AK1213" s="1095" t="e">
        <f>IF($D$1212="",0,$D1213*Table3[[#This Row],[CF]]*chronic_consumption!$AF13/1000/$C$3)</f>
        <v>#DIV/0!</v>
      </c>
      <c r="AL1213" s="1095" t="e">
        <f>IF($D$1212="",0,$D1213*Table3[[#This Row],[CF]]*chronic_consumption!$AG13/1000/$C$3)</f>
        <v>#DIV/0!</v>
      </c>
      <c r="AM1213" s="1095" t="e">
        <f>IF($D$1212="",0,$D1213*Table3[[#This Row],[CF]]*chronic_consumption!$AH13/1000/$C$3)</f>
        <v>#DIV/0!</v>
      </c>
      <c r="AN1213" s="1095" t="e">
        <f>IF($D$1212="",0,$D1213*Table3[[#This Row],[CF]]*chronic_consumption!$AI13/1000/$C$3)</f>
        <v>#DIV/0!</v>
      </c>
      <c r="AO1213" s="1095" t="e">
        <f>IF($D$1212="",0,$D1213*Table3[[#This Row],[CF]]*chronic_consumption!$AJ13/1000/$C$3)</f>
        <v>#DIV/0!</v>
      </c>
      <c r="AP1213" s="1095" t="e">
        <f>IF($D$1212="",0,$D1213*Table3[[#This Row],[CF]]*chronic_consumption!$AK13/1000/$C$3)</f>
        <v>#DIV/0!</v>
      </c>
      <c r="AQ1213" s="1095" t="e">
        <f>IF($D$1212="",0,$D1213*Table3[[#This Row],[CF]]*chronic_consumption!$AL13/1000/$C$3)</f>
        <v>#DIV/0!</v>
      </c>
      <c r="AR1213" s="1095" t="e">
        <f>IF($D$1212="",0,$D1213*Table3[[#This Row],[CF]]*chronic_consumption!$AM13/1000/$C$3)</f>
        <v>#DIV/0!</v>
      </c>
      <c r="AS1213" s="1095" t="e">
        <f>IF($D$1212="",0,$D1213*Table3[[#This Row],[CF]]*chronic_consumption!$AN13/1000/$C$3)</f>
        <v>#DIV/0!</v>
      </c>
      <c r="AT1213" s="1095" t="e">
        <f>IF($D$1212="",0,$D1213*Table3[[#This Row],[CF]]*chronic_consumption!$AO13/1000/$C$3)</f>
        <v>#DIV/0!</v>
      </c>
      <c r="AU1213" s="1096" t="e">
        <f t="shared" si="830"/>
        <v>#DIV/0!</v>
      </c>
      <c r="AV1213" s="1096" t="e">
        <f t="shared" si="830"/>
        <v>#DIV/0!</v>
      </c>
      <c r="AW1213" s="1096" t="e">
        <f t="shared" si="830"/>
        <v>#DIV/0!</v>
      </c>
      <c r="AX1213" s="1096" t="e">
        <f t="shared" si="830"/>
        <v>#DIV/0!</v>
      </c>
      <c r="AY1213" s="1096" t="e">
        <f t="shared" si="830"/>
        <v>#DIV/0!</v>
      </c>
      <c r="AZ1213" s="1091" t="s">
        <v>1012</v>
      </c>
      <c r="BA1213" s="1097" t="e">
        <f>IF(Table3[[#This Row],[max]]&lt;&gt;0,RANK(Table3[[#This Row],[max]],Table3[max],0),"")</f>
        <v>#DIV/0!</v>
      </c>
      <c r="BB1213" s="1096" t="e">
        <f t="shared" si="831"/>
        <v>#DIV/0!</v>
      </c>
      <c r="BC1213" s="1096" t="e">
        <f t="shared" ca="1" si="832"/>
        <v>#DIV/0!</v>
      </c>
      <c r="BD1213" s="1096" t="e">
        <f>IF(Table3[[#This Row],[max]]&gt;0,Table3[[#This Row],[Crop groups and examples of individual products within the groups to which the MRLs apply]],"")</f>
        <v>#DIV/0!</v>
      </c>
    </row>
    <row r="1214" spans="2:58" x14ac:dyDescent="0.2">
      <c r="B1214" s="23">
        <f t="shared" si="829"/>
        <v>110010</v>
      </c>
      <c r="C1214" s="23" t="str">
        <f t="shared" si="829"/>
        <v>Grapefruits</v>
      </c>
      <c r="D1214" s="1084">
        <f>input_values!E14</f>
        <v>0</v>
      </c>
      <c r="E1214" s="1084">
        <f>input_values!F14</f>
        <v>0</v>
      </c>
      <c r="F1214" s="1085">
        <f>input_values!W14</f>
        <v>1</v>
      </c>
      <c r="G1214" s="1085" t="str">
        <f>IF(Table3[[#This Row],[CF]]&gt;0,CONCATENATE(IF(Table3[[#This Row],[LOQ]]="*","LOQ","MRL"),IF(input_values!G14&gt;0,"×CFrisk","")),"")</f>
        <v>MRL</v>
      </c>
      <c r="H1214" s="1087">
        <f>input_values!L14</f>
        <v>0</v>
      </c>
      <c r="I1214" s="1088">
        <f>input_values!D14</f>
        <v>0</v>
      </c>
      <c r="J1214" s="1098" t="e">
        <f>IF($D$1212="",0,$D1214*Table3[[#This Row],[CF]]*chronic_consumption!$E14/1000/$C$3)</f>
        <v>#DIV/0!</v>
      </c>
      <c r="K1214" s="1098" t="e">
        <f>IF($D$1212="",0,$D1214*Table3[[#This Row],[CF]]*chronic_consumption!$F14/1000/$C$3)</f>
        <v>#DIV/0!</v>
      </c>
      <c r="L1214" s="1098" t="e">
        <f>IF($D$1212="",0,$D1214*Table3[[#This Row],[CF]]*chronic_consumption!$G14/1000/$C$3)</f>
        <v>#DIV/0!</v>
      </c>
      <c r="M1214" s="1098" t="e">
        <f>IF($D$1212="",0,$D1214*Table3[[#This Row],[CF]]*chronic_consumption!$H14/1000/$C$3)</f>
        <v>#DIV/0!</v>
      </c>
      <c r="N1214" s="1098" t="e">
        <f>IF($D$1212="",0,$D1214*Table3[[#This Row],[CF]]*chronic_consumption!$I14/1000/$C$3)</f>
        <v>#DIV/0!</v>
      </c>
      <c r="O1214" s="1098" t="e">
        <f>IF($D$1212="",0,$D1214*Table3[[#This Row],[CF]]*chronic_consumption!$J14/1000/$C$3)</f>
        <v>#DIV/0!</v>
      </c>
      <c r="P1214" s="1098" t="e">
        <f>IF($D$1212="",0,$D1214*Table3[[#This Row],[CF]]*chronic_consumption!$K14/1000/$C$3)</f>
        <v>#DIV/0!</v>
      </c>
      <c r="Q1214" s="1098" t="e">
        <f>IF($D$1212="",0,$D1214*Table3[[#This Row],[CF]]*chronic_consumption!$L14/1000/$C$3)</f>
        <v>#DIV/0!</v>
      </c>
      <c r="R1214" s="1098" t="e">
        <f>IF($D$1212="",0,$D1214*Table3[[#This Row],[CF]]*chronic_consumption!$M14/1000/$C$3)</f>
        <v>#DIV/0!</v>
      </c>
      <c r="S1214" s="1098" t="e">
        <f>IF($D$1212="",0,$D1214*Table3[[#This Row],[CF]]*chronic_consumption!$N14/1000/$C$3)</f>
        <v>#DIV/0!</v>
      </c>
      <c r="T1214" s="1098" t="e">
        <f>IF($D$1212="",0,$D1214*Table3[[#This Row],[CF]]*chronic_consumption!$O14/1000/$C$3)</f>
        <v>#DIV/0!</v>
      </c>
      <c r="U1214" s="1098" t="e">
        <f>IF($D$1212="",0,$D1214*Table3[[#This Row],[CF]]*chronic_consumption!$P14/1000/$C$3)</f>
        <v>#DIV/0!</v>
      </c>
      <c r="V1214" s="1098" t="e">
        <f>IF($D$1212="",0,$D1214*Table3[[#This Row],[CF]]*chronic_consumption!$Q14/1000/$C$3)</f>
        <v>#DIV/0!</v>
      </c>
      <c r="W1214" s="1098" t="e">
        <f>IF($D$1212="",0,$D1214*Table3[[#This Row],[CF]]*chronic_consumption!$R14/1000/$C$3)</f>
        <v>#DIV/0!</v>
      </c>
      <c r="X1214" s="1098" t="e">
        <f>IF($D$1212="",0,$D1214*Table3[[#This Row],[CF]]*chronic_consumption!$S14/1000/$C$3)</f>
        <v>#DIV/0!</v>
      </c>
      <c r="Y1214" s="1098" t="e">
        <f>IF($D$1212="",0,$D1214*Table3[[#This Row],[CF]]*chronic_consumption!$T14/1000/$C$3)</f>
        <v>#DIV/0!</v>
      </c>
      <c r="Z1214" s="1098" t="e">
        <f>IF($D$1212="",0,$D1214*Table3[[#This Row],[CF]]*chronic_consumption!$U14/1000/$C$3)</f>
        <v>#DIV/0!</v>
      </c>
      <c r="AA1214" s="1098" t="e">
        <f>IF($D$1212="",0,$D1214*Table3[[#This Row],[CF]]*chronic_consumption!$V14/1000/$C$3)</f>
        <v>#DIV/0!</v>
      </c>
      <c r="AB1214" s="1098" t="e">
        <f>IF($D$1212="",0,$D1214*Table3[[#This Row],[CF]]*chronic_consumption!$W14/1000/$C$3)</f>
        <v>#DIV/0!</v>
      </c>
      <c r="AC1214" s="1098" t="e">
        <f>IF($D$1212="",0,$D1214*Table3[[#This Row],[CF]]*chronic_consumption!$X14/1000/$C$3)</f>
        <v>#DIV/0!</v>
      </c>
      <c r="AD1214" s="1098" t="e">
        <f>IF($D$1212="",0,$D1214*Table3[[#This Row],[CF]]*chronic_consumption!$Y14/1000/$C$3)</f>
        <v>#DIV/0!</v>
      </c>
      <c r="AE1214" s="1098" t="e">
        <f>IF($D$1212="",0,$D1214*Table3[[#This Row],[CF]]*chronic_consumption!$Z14/1000/$C$3)</f>
        <v>#DIV/0!</v>
      </c>
      <c r="AF1214" s="1098" t="e">
        <f>IF($D$1212="",0,$D1214*Table3[[#This Row],[CF]]*chronic_consumption!$AA14/1000/$C$3)</f>
        <v>#DIV/0!</v>
      </c>
      <c r="AG1214" s="1098" t="e">
        <f>IF($D$1212="",0,$D1214*Table3[[#This Row],[CF]]*chronic_consumption!$AB14/1000/$C$3)</f>
        <v>#DIV/0!</v>
      </c>
      <c r="AH1214" s="1098" t="e">
        <f>IF($D$1212="",0,$D1214*Table3[[#This Row],[CF]]*chronic_consumption!$AC14/1000/$C$3)</f>
        <v>#DIV/0!</v>
      </c>
      <c r="AI1214" s="1098" t="e">
        <f>IF($D$1212="",0,$D1214*Table3[[#This Row],[CF]]*chronic_consumption!$AD14/1000/$C$3)</f>
        <v>#DIV/0!</v>
      </c>
      <c r="AJ1214" s="1098" t="e">
        <f>IF($D$1212="",0,$D1214*Table3[[#This Row],[CF]]*chronic_consumption!$AE14/1000/$C$3)</f>
        <v>#DIV/0!</v>
      </c>
      <c r="AK1214" s="1098" t="e">
        <f>IF($D$1212="",0,$D1214*Table3[[#This Row],[CF]]*chronic_consumption!$AF14/1000/$C$3)</f>
        <v>#DIV/0!</v>
      </c>
      <c r="AL1214" s="1098" t="e">
        <f>IF($D$1212="",0,$D1214*Table3[[#This Row],[CF]]*chronic_consumption!$AG14/1000/$C$3)</f>
        <v>#DIV/0!</v>
      </c>
      <c r="AM1214" s="1098" t="e">
        <f>IF($D$1212="",0,$D1214*Table3[[#This Row],[CF]]*chronic_consumption!$AH14/1000/$C$3)</f>
        <v>#DIV/0!</v>
      </c>
      <c r="AN1214" s="1098" t="e">
        <f>IF($D$1212="",0,$D1214*Table3[[#This Row],[CF]]*chronic_consumption!$AI14/1000/$C$3)</f>
        <v>#DIV/0!</v>
      </c>
      <c r="AO1214" s="1098" t="e">
        <f>IF($D$1212="",0,$D1214*Table3[[#This Row],[CF]]*chronic_consumption!$AJ14/1000/$C$3)</f>
        <v>#DIV/0!</v>
      </c>
      <c r="AP1214" s="1098" t="e">
        <f>IF($D$1212="",0,$D1214*Table3[[#This Row],[CF]]*chronic_consumption!$AK14/1000/$C$3)</f>
        <v>#DIV/0!</v>
      </c>
      <c r="AQ1214" s="1098" t="e">
        <f>IF($D$1212="",0,$D1214*Table3[[#This Row],[CF]]*chronic_consumption!$AL14/1000/$C$3)</f>
        <v>#DIV/0!</v>
      </c>
      <c r="AR1214" s="1098" t="e">
        <f>IF($D$1212="",0,$D1214*Table3[[#This Row],[CF]]*chronic_consumption!$AM14/1000/$C$3)</f>
        <v>#DIV/0!</v>
      </c>
      <c r="AS1214" s="1098" t="e">
        <f>IF($D$1212="",0,$D1214*Table3[[#This Row],[CF]]*chronic_consumption!$AN14/1000/$C$3)</f>
        <v>#DIV/0!</v>
      </c>
      <c r="AT1214" s="1098" t="e">
        <f>IF($D$1212="",0,$D1214*Table3[[#This Row],[CF]]*chronic_consumption!$AO14/1000/$C$3)</f>
        <v>#DIV/0!</v>
      </c>
      <c r="AU1214" s="1099" t="e">
        <f t="shared" si="830"/>
        <v>#DIV/0!</v>
      </c>
      <c r="AV1214" s="1099" t="e">
        <f t="shared" si="830"/>
        <v>#DIV/0!</v>
      </c>
      <c r="AW1214" s="1099" t="e">
        <f t="shared" si="830"/>
        <v>#DIV/0!</v>
      </c>
      <c r="AX1214" s="1099" t="e">
        <f t="shared" si="830"/>
        <v>#DIV/0!</v>
      </c>
      <c r="AY1214" s="1099" t="e">
        <f t="shared" si="830"/>
        <v>#DIV/0!</v>
      </c>
      <c r="AZ1214" s="1091" t="s">
        <v>1012</v>
      </c>
      <c r="BA1214" s="1097" t="e">
        <f>IF(Table3[[#This Row],[max]]&lt;&gt;0,RANK(Table3[[#This Row],[max]],Table3[max],0),"")</f>
        <v>#DIV/0!</v>
      </c>
      <c r="BB1214" s="1096" t="e">
        <f t="shared" si="831"/>
        <v>#DIV/0!</v>
      </c>
      <c r="BC1214" s="1096" t="e">
        <f t="shared" ca="1" si="832"/>
        <v>#DIV/0!</v>
      </c>
      <c r="BD1214" s="1096" t="e">
        <f>IF(Table3[[#This Row],[max]]&gt;0,Table3[[#This Row],[Crop groups and examples of individual products within the groups to which the MRLs apply]],"")</f>
        <v>#DIV/0!</v>
      </c>
    </row>
    <row r="1215" spans="2:58" x14ac:dyDescent="0.2">
      <c r="B1215" s="23">
        <f t="shared" si="829"/>
        <v>110020</v>
      </c>
      <c r="C1215" s="23" t="str">
        <f t="shared" si="829"/>
        <v>Oranges</v>
      </c>
      <c r="D1215" s="1084">
        <f>input_values!E15</f>
        <v>0</v>
      </c>
      <c r="E1215" s="1084">
        <f>input_values!F15</f>
        <v>0</v>
      </c>
      <c r="F1215" s="1085">
        <f>input_values!W15</f>
        <v>1</v>
      </c>
      <c r="G1215" s="1085" t="str">
        <f>IF(Table3[[#This Row],[CF]]&gt;0,CONCATENATE(IF(Table3[[#This Row],[LOQ]]="*","LOQ","MRL"),IF(input_values!G15&gt;0,"×CFrisk","")),"")</f>
        <v>MRL</v>
      </c>
      <c r="H1215" s="1087">
        <f>input_values!L15</f>
        <v>0</v>
      </c>
      <c r="I1215" s="1088">
        <f>input_values!D15</f>
        <v>0</v>
      </c>
      <c r="J1215" s="1098" t="e">
        <f>IF($D$1212="",0,$D1215*Table3[[#This Row],[CF]]*chronic_consumption!$E15/1000/$C$3)</f>
        <v>#DIV/0!</v>
      </c>
      <c r="K1215" s="1098" t="e">
        <f>IF($D$1212="",0,$D1215*Table3[[#This Row],[CF]]*chronic_consumption!$F15/1000/$C$3)</f>
        <v>#DIV/0!</v>
      </c>
      <c r="L1215" s="1098" t="e">
        <f>IF($D$1212="",0,$D1215*Table3[[#This Row],[CF]]*chronic_consumption!$G15/1000/$C$3)</f>
        <v>#DIV/0!</v>
      </c>
      <c r="M1215" s="1098" t="e">
        <f>IF($D$1212="",0,$D1215*Table3[[#This Row],[CF]]*chronic_consumption!$H15/1000/$C$3)</f>
        <v>#DIV/0!</v>
      </c>
      <c r="N1215" s="1098" t="e">
        <f>IF($D$1212="",0,$D1215*Table3[[#This Row],[CF]]*chronic_consumption!$I15/1000/$C$3)</f>
        <v>#DIV/0!</v>
      </c>
      <c r="O1215" s="1098" t="e">
        <f>IF($D$1212="",0,$D1215*Table3[[#This Row],[CF]]*chronic_consumption!$J15/1000/$C$3)</f>
        <v>#DIV/0!</v>
      </c>
      <c r="P1215" s="1098" t="e">
        <f>IF($D$1212="",0,$D1215*Table3[[#This Row],[CF]]*chronic_consumption!$K15/1000/$C$3)</f>
        <v>#DIV/0!</v>
      </c>
      <c r="Q1215" s="1098" t="e">
        <f>IF($D$1212="",0,$D1215*Table3[[#This Row],[CF]]*chronic_consumption!$L15/1000/$C$3)</f>
        <v>#DIV/0!</v>
      </c>
      <c r="R1215" s="1098" t="e">
        <f>IF($D$1212="",0,$D1215*Table3[[#This Row],[CF]]*chronic_consumption!$M15/1000/$C$3)</f>
        <v>#DIV/0!</v>
      </c>
      <c r="S1215" s="1098" t="e">
        <f>IF($D$1212="",0,$D1215*Table3[[#This Row],[CF]]*chronic_consumption!$N15/1000/$C$3)</f>
        <v>#DIV/0!</v>
      </c>
      <c r="T1215" s="1098" t="e">
        <f>IF($D$1212="",0,$D1215*Table3[[#This Row],[CF]]*chronic_consumption!$O15/1000/$C$3)</f>
        <v>#DIV/0!</v>
      </c>
      <c r="U1215" s="1098" t="e">
        <f>IF($D$1212="",0,$D1215*Table3[[#This Row],[CF]]*chronic_consumption!$P15/1000/$C$3)</f>
        <v>#DIV/0!</v>
      </c>
      <c r="V1215" s="1098" t="e">
        <f>IF($D$1212="",0,$D1215*Table3[[#This Row],[CF]]*chronic_consumption!$Q15/1000/$C$3)</f>
        <v>#DIV/0!</v>
      </c>
      <c r="W1215" s="1098" t="e">
        <f>IF($D$1212="",0,$D1215*Table3[[#This Row],[CF]]*chronic_consumption!$R15/1000/$C$3)</f>
        <v>#DIV/0!</v>
      </c>
      <c r="X1215" s="1098" t="e">
        <f>IF($D$1212="",0,$D1215*Table3[[#This Row],[CF]]*chronic_consumption!$S15/1000/$C$3)</f>
        <v>#DIV/0!</v>
      </c>
      <c r="Y1215" s="1098" t="e">
        <f>IF($D$1212="",0,$D1215*Table3[[#This Row],[CF]]*chronic_consumption!$T15/1000/$C$3)</f>
        <v>#DIV/0!</v>
      </c>
      <c r="Z1215" s="1098" t="e">
        <f>IF($D$1212="",0,$D1215*Table3[[#This Row],[CF]]*chronic_consumption!$U15/1000/$C$3)</f>
        <v>#DIV/0!</v>
      </c>
      <c r="AA1215" s="1098" t="e">
        <f>IF($D$1212="",0,$D1215*Table3[[#This Row],[CF]]*chronic_consumption!$V15/1000/$C$3)</f>
        <v>#DIV/0!</v>
      </c>
      <c r="AB1215" s="1098" t="e">
        <f>IF($D$1212="",0,$D1215*Table3[[#This Row],[CF]]*chronic_consumption!$W15/1000/$C$3)</f>
        <v>#DIV/0!</v>
      </c>
      <c r="AC1215" s="1098" t="e">
        <f>IF($D$1212="",0,$D1215*Table3[[#This Row],[CF]]*chronic_consumption!$X15/1000/$C$3)</f>
        <v>#DIV/0!</v>
      </c>
      <c r="AD1215" s="1098" t="e">
        <f>IF($D$1212="",0,$D1215*Table3[[#This Row],[CF]]*chronic_consumption!$Y15/1000/$C$3)</f>
        <v>#DIV/0!</v>
      </c>
      <c r="AE1215" s="1098" t="e">
        <f>IF($D$1212="",0,$D1215*Table3[[#This Row],[CF]]*chronic_consumption!$Z15/1000/$C$3)</f>
        <v>#DIV/0!</v>
      </c>
      <c r="AF1215" s="1098" t="e">
        <f>IF($D$1212="",0,$D1215*Table3[[#This Row],[CF]]*chronic_consumption!$AA15/1000/$C$3)</f>
        <v>#DIV/0!</v>
      </c>
      <c r="AG1215" s="1098" t="e">
        <f>IF($D$1212="",0,$D1215*Table3[[#This Row],[CF]]*chronic_consumption!$AB15/1000/$C$3)</f>
        <v>#DIV/0!</v>
      </c>
      <c r="AH1215" s="1098" t="e">
        <f>IF($D$1212="",0,$D1215*Table3[[#This Row],[CF]]*chronic_consumption!$AC15/1000/$C$3)</f>
        <v>#DIV/0!</v>
      </c>
      <c r="AI1215" s="1098" t="e">
        <f>IF($D$1212="",0,$D1215*Table3[[#This Row],[CF]]*chronic_consumption!$AD15/1000/$C$3)</f>
        <v>#DIV/0!</v>
      </c>
      <c r="AJ1215" s="1098" t="e">
        <f>IF($D$1212="",0,$D1215*Table3[[#This Row],[CF]]*chronic_consumption!$AE15/1000/$C$3)</f>
        <v>#DIV/0!</v>
      </c>
      <c r="AK1215" s="1098" t="e">
        <f>IF($D$1212="",0,$D1215*Table3[[#This Row],[CF]]*chronic_consumption!$AF15/1000/$C$3)</f>
        <v>#DIV/0!</v>
      </c>
      <c r="AL1215" s="1098" t="e">
        <f>IF($D$1212="",0,$D1215*Table3[[#This Row],[CF]]*chronic_consumption!$AG15/1000/$C$3)</f>
        <v>#DIV/0!</v>
      </c>
      <c r="AM1215" s="1098" t="e">
        <f>IF($D$1212="",0,$D1215*Table3[[#This Row],[CF]]*chronic_consumption!$AH15/1000/$C$3)</f>
        <v>#DIV/0!</v>
      </c>
      <c r="AN1215" s="1098" t="e">
        <f>IF($D$1212="",0,$D1215*Table3[[#This Row],[CF]]*chronic_consumption!$AI15/1000/$C$3)</f>
        <v>#DIV/0!</v>
      </c>
      <c r="AO1215" s="1098" t="e">
        <f>IF($D$1212="",0,$D1215*Table3[[#This Row],[CF]]*chronic_consumption!$AJ15/1000/$C$3)</f>
        <v>#DIV/0!</v>
      </c>
      <c r="AP1215" s="1098" t="e">
        <f>IF($D$1212="",0,$D1215*Table3[[#This Row],[CF]]*chronic_consumption!$AK15/1000/$C$3)</f>
        <v>#DIV/0!</v>
      </c>
      <c r="AQ1215" s="1098" t="e">
        <f>IF($D$1212="",0,$D1215*Table3[[#This Row],[CF]]*chronic_consumption!$AL15/1000/$C$3)</f>
        <v>#DIV/0!</v>
      </c>
      <c r="AR1215" s="1098" t="e">
        <f>IF($D$1212="",0,$D1215*Table3[[#This Row],[CF]]*chronic_consumption!$AM15/1000/$C$3)</f>
        <v>#DIV/0!</v>
      </c>
      <c r="AS1215" s="1098" t="e">
        <f>IF($D$1212="",0,$D1215*Table3[[#This Row],[CF]]*chronic_consumption!$AN15/1000/$C$3)</f>
        <v>#DIV/0!</v>
      </c>
      <c r="AT1215" s="1098" t="e">
        <f>IF($D$1212="",0,$D1215*Table3[[#This Row],[CF]]*chronic_consumption!$AO15/1000/$C$3)</f>
        <v>#DIV/0!</v>
      </c>
      <c r="AU1215" s="1099" t="e">
        <f t="shared" si="830"/>
        <v>#DIV/0!</v>
      </c>
      <c r="AV1215" s="1099" t="e">
        <f t="shared" si="830"/>
        <v>#DIV/0!</v>
      </c>
      <c r="AW1215" s="1099" t="e">
        <f t="shared" si="830"/>
        <v>#DIV/0!</v>
      </c>
      <c r="AX1215" s="1099" t="e">
        <f t="shared" si="830"/>
        <v>#DIV/0!</v>
      </c>
      <c r="AY1215" s="1099" t="e">
        <f t="shared" si="830"/>
        <v>#DIV/0!</v>
      </c>
      <c r="AZ1215" s="1091" t="s">
        <v>1012</v>
      </c>
      <c r="BA1215" s="1097" t="e">
        <f>IF(Table3[[#This Row],[max]]&lt;&gt;0,RANK(Table3[[#This Row],[max]],Table3[max],0),"")</f>
        <v>#DIV/0!</v>
      </c>
      <c r="BB1215" s="1096" t="e">
        <f t="shared" si="831"/>
        <v>#DIV/0!</v>
      </c>
      <c r="BC1215" s="1096" t="e">
        <f t="shared" ca="1" si="832"/>
        <v>#DIV/0!</v>
      </c>
      <c r="BD1215" s="1096" t="e">
        <f>IF(Table3[[#This Row],[max]]&gt;0,Table3[[#This Row],[Crop groups and examples of individual products within the groups to which the MRLs apply]],"")</f>
        <v>#DIV/0!</v>
      </c>
    </row>
    <row r="1216" spans="2:58" x14ac:dyDescent="0.2">
      <c r="B1216" s="23">
        <f t="shared" si="829"/>
        <v>110030</v>
      </c>
      <c r="C1216" s="23" t="str">
        <f t="shared" si="829"/>
        <v>Lemons</v>
      </c>
      <c r="D1216" s="1084">
        <f>input_values!E16</f>
        <v>0</v>
      </c>
      <c r="E1216" s="1084">
        <f>input_values!F16</f>
        <v>0</v>
      </c>
      <c r="F1216" s="1085">
        <f>input_values!W16</f>
        <v>1</v>
      </c>
      <c r="G1216" s="1085" t="str">
        <f>IF(Table3[[#This Row],[CF]]&gt;0,CONCATENATE(IF(Table3[[#This Row],[LOQ]]="*","LOQ","MRL"),IF(input_values!G16&gt;0,"×CFrisk","")),"")</f>
        <v>MRL</v>
      </c>
      <c r="H1216" s="1087">
        <f>input_values!L16</f>
        <v>0</v>
      </c>
      <c r="I1216" s="1088">
        <f>input_values!D16</f>
        <v>0</v>
      </c>
      <c r="J1216" s="1098" t="e">
        <f>IF($D$1212="",0,$D1216*Table3[[#This Row],[CF]]*chronic_consumption!$E16/1000/$C$3)</f>
        <v>#DIV/0!</v>
      </c>
      <c r="K1216" s="1098" t="e">
        <f>IF($D$1212="",0,$D1216*Table3[[#This Row],[CF]]*chronic_consumption!$F16/1000/$C$3)</f>
        <v>#DIV/0!</v>
      </c>
      <c r="L1216" s="1098" t="e">
        <f>IF($D$1212="",0,$D1216*Table3[[#This Row],[CF]]*chronic_consumption!$G16/1000/$C$3)</f>
        <v>#DIV/0!</v>
      </c>
      <c r="M1216" s="1098" t="e">
        <f>IF($D$1212="",0,$D1216*Table3[[#This Row],[CF]]*chronic_consumption!$H16/1000/$C$3)</f>
        <v>#DIV/0!</v>
      </c>
      <c r="N1216" s="1098" t="e">
        <f>IF($D$1212="",0,$D1216*Table3[[#This Row],[CF]]*chronic_consumption!$I16/1000/$C$3)</f>
        <v>#DIV/0!</v>
      </c>
      <c r="O1216" s="1098" t="e">
        <f>IF($D$1212="",0,$D1216*Table3[[#This Row],[CF]]*chronic_consumption!$J16/1000/$C$3)</f>
        <v>#DIV/0!</v>
      </c>
      <c r="P1216" s="1098" t="e">
        <f>IF($D$1212="",0,$D1216*Table3[[#This Row],[CF]]*chronic_consumption!$K16/1000/$C$3)</f>
        <v>#DIV/0!</v>
      </c>
      <c r="Q1216" s="1098" t="e">
        <f>IF($D$1212="",0,$D1216*Table3[[#This Row],[CF]]*chronic_consumption!$L16/1000/$C$3)</f>
        <v>#DIV/0!</v>
      </c>
      <c r="R1216" s="1098" t="e">
        <f>IF($D$1212="",0,$D1216*Table3[[#This Row],[CF]]*chronic_consumption!$M16/1000/$C$3)</f>
        <v>#DIV/0!</v>
      </c>
      <c r="S1216" s="1098" t="e">
        <f>IF($D$1212="",0,$D1216*Table3[[#This Row],[CF]]*chronic_consumption!$N16/1000/$C$3)</f>
        <v>#DIV/0!</v>
      </c>
      <c r="T1216" s="1098" t="e">
        <f>IF($D$1212="",0,$D1216*Table3[[#This Row],[CF]]*chronic_consumption!$O16/1000/$C$3)</f>
        <v>#DIV/0!</v>
      </c>
      <c r="U1216" s="1098" t="e">
        <f>IF($D$1212="",0,$D1216*Table3[[#This Row],[CF]]*chronic_consumption!$P16/1000/$C$3)</f>
        <v>#DIV/0!</v>
      </c>
      <c r="V1216" s="1098" t="e">
        <f>IF($D$1212="",0,$D1216*Table3[[#This Row],[CF]]*chronic_consumption!$Q16/1000/$C$3)</f>
        <v>#DIV/0!</v>
      </c>
      <c r="W1216" s="1098" t="e">
        <f>IF($D$1212="",0,$D1216*Table3[[#This Row],[CF]]*chronic_consumption!$R16/1000/$C$3)</f>
        <v>#DIV/0!</v>
      </c>
      <c r="X1216" s="1098" t="e">
        <f>IF($D$1212="",0,$D1216*Table3[[#This Row],[CF]]*chronic_consumption!$S16/1000/$C$3)</f>
        <v>#DIV/0!</v>
      </c>
      <c r="Y1216" s="1098" t="e">
        <f>IF($D$1212="",0,$D1216*Table3[[#This Row],[CF]]*chronic_consumption!$T16/1000/$C$3)</f>
        <v>#DIV/0!</v>
      </c>
      <c r="Z1216" s="1098" t="e">
        <f>IF($D$1212="",0,$D1216*Table3[[#This Row],[CF]]*chronic_consumption!$U16/1000/$C$3)</f>
        <v>#DIV/0!</v>
      </c>
      <c r="AA1216" s="1098" t="e">
        <f>IF($D$1212="",0,$D1216*Table3[[#This Row],[CF]]*chronic_consumption!$V16/1000/$C$3)</f>
        <v>#DIV/0!</v>
      </c>
      <c r="AB1216" s="1098" t="e">
        <f>IF($D$1212="",0,$D1216*Table3[[#This Row],[CF]]*chronic_consumption!$W16/1000/$C$3)</f>
        <v>#DIV/0!</v>
      </c>
      <c r="AC1216" s="1098" t="e">
        <f>IF($D$1212="",0,$D1216*Table3[[#This Row],[CF]]*chronic_consumption!$X16/1000/$C$3)</f>
        <v>#DIV/0!</v>
      </c>
      <c r="AD1216" s="1098" t="e">
        <f>IF($D$1212="",0,$D1216*Table3[[#This Row],[CF]]*chronic_consumption!$Y16/1000/$C$3)</f>
        <v>#DIV/0!</v>
      </c>
      <c r="AE1216" s="1098" t="e">
        <f>IF($D$1212="",0,$D1216*Table3[[#This Row],[CF]]*chronic_consumption!$Z16/1000/$C$3)</f>
        <v>#DIV/0!</v>
      </c>
      <c r="AF1216" s="1098" t="e">
        <f>IF($D$1212="",0,$D1216*Table3[[#This Row],[CF]]*chronic_consumption!$AA16/1000/$C$3)</f>
        <v>#DIV/0!</v>
      </c>
      <c r="AG1216" s="1098" t="e">
        <f>IF($D$1212="",0,$D1216*Table3[[#This Row],[CF]]*chronic_consumption!$AB16/1000/$C$3)</f>
        <v>#DIV/0!</v>
      </c>
      <c r="AH1216" s="1098" t="e">
        <f>IF($D$1212="",0,$D1216*Table3[[#This Row],[CF]]*chronic_consumption!$AC16/1000/$C$3)</f>
        <v>#DIV/0!</v>
      </c>
      <c r="AI1216" s="1098" t="e">
        <f>IF($D$1212="",0,$D1216*Table3[[#This Row],[CF]]*chronic_consumption!$AD16/1000/$C$3)</f>
        <v>#DIV/0!</v>
      </c>
      <c r="AJ1216" s="1098" t="e">
        <f>IF($D$1212="",0,$D1216*Table3[[#This Row],[CF]]*chronic_consumption!$AE16/1000/$C$3)</f>
        <v>#DIV/0!</v>
      </c>
      <c r="AK1216" s="1098" t="e">
        <f>IF($D$1212="",0,$D1216*Table3[[#This Row],[CF]]*chronic_consumption!$AF16/1000/$C$3)</f>
        <v>#DIV/0!</v>
      </c>
      <c r="AL1216" s="1098" t="e">
        <f>IF($D$1212="",0,$D1216*Table3[[#This Row],[CF]]*chronic_consumption!$AG16/1000/$C$3)</f>
        <v>#DIV/0!</v>
      </c>
      <c r="AM1216" s="1098" t="e">
        <f>IF($D$1212="",0,$D1216*Table3[[#This Row],[CF]]*chronic_consumption!$AH16/1000/$C$3)</f>
        <v>#DIV/0!</v>
      </c>
      <c r="AN1216" s="1098" t="e">
        <f>IF($D$1212="",0,$D1216*Table3[[#This Row],[CF]]*chronic_consumption!$AI16/1000/$C$3)</f>
        <v>#DIV/0!</v>
      </c>
      <c r="AO1216" s="1098" t="e">
        <f>IF($D$1212="",0,$D1216*Table3[[#This Row],[CF]]*chronic_consumption!$AJ16/1000/$C$3)</f>
        <v>#DIV/0!</v>
      </c>
      <c r="AP1216" s="1098" t="e">
        <f>IF($D$1212="",0,$D1216*Table3[[#This Row],[CF]]*chronic_consumption!$AK16/1000/$C$3)</f>
        <v>#DIV/0!</v>
      </c>
      <c r="AQ1216" s="1098" t="e">
        <f>IF($D$1212="",0,$D1216*Table3[[#This Row],[CF]]*chronic_consumption!$AL16/1000/$C$3)</f>
        <v>#DIV/0!</v>
      </c>
      <c r="AR1216" s="1098" t="e">
        <f>IF($D$1212="",0,$D1216*Table3[[#This Row],[CF]]*chronic_consumption!$AM16/1000/$C$3)</f>
        <v>#DIV/0!</v>
      </c>
      <c r="AS1216" s="1098" t="e">
        <f>IF($D$1212="",0,$D1216*Table3[[#This Row],[CF]]*chronic_consumption!$AN16/1000/$C$3)</f>
        <v>#DIV/0!</v>
      </c>
      <c r="AT1216" s="1098" t="e">
        <f>IF($D$1212="",0,$D1216*Table3[[#This Row],[CF]]*chronic_consumption!$AO16/1000/$C$3)</f>
        <v>#DIV/0!</v>
      </c>
      <c r="AU1216" s="1099" t="e">
        <f t="shared" si="830"/>
        <v>#DIV/0!</v>
      </c>
      <c r="AV1216" s="1099" t="e">
        <f t="shared" si="830"/>
        <v>#DIV/0!</v>
      </c>
      <c r="AW1216" s="1099" t="e">
        <f t="shared" si="830"/>
        <v>#DIV/0!</v>
      </c>
      <c r="AX1216" s="1099" t="e">
        <f t="shared" si="830"/>
        <v>#DIV/0!</v>
      </c>
      <c r="AY1216" s="1099" t="e">
        <f t="shared" si="830"/>
        <v>#DIV/0!</v>
      </c>
      <c r="AZ1216" s="1091" t="s">
        <v>1012</v>
      </c>
      <c r="BA1216" s="1097" t="e">
        <f>IF(Table3[[#This Row],[max]]&lt;&gt;0,RANK(Table3[[#This Row],[max]],Table3[max],0),"")</f>
        <v>#DIV/0!</v>
      </c>
      <c r="BB1216" s="1096" t="e">
        <f t="shared" si="831"/>
        <v>#DIV/0!</v>
      </c>
      <c r="BC1216" s="1096" t="e">
        <f t="shared" ca="1" si="832"/>
        <v>#DIV/0!</v>
      </c>
      <c r="BD1216" s="1096" t="e">
        <f>IF(Table3[[#This Row],[max]]&gt;0,Table3[[#This Row],[Crop groups and examples of individual products within the groups to which the MRLs apply]],"")</f>
        <v>#DIV/0!</v>
      </c>
    </row>
    <row r="1217" spans="2:56" x14ac:dyDescent="0.2">
      <c r="B1217" s="23">
        <f t="shared" si="829"/>
        <v>110040</v>
      </c>
      <c r="C1217" s="23" t="str">
        <f t="shared" si="829"/>
        <v>Limes</v>
      </c>
      <c r="D1217" s="1084">
        <f>input_values!E17</f>
        <v>0</v>
      </c>
      <c r="E1217" s="1084">
        <f>input_values!F17</f>
        <v>0</v>
      </c>
      <c r="F1217" s="1085">
        <f>input_values!W17</f>
        <v>1</v>
      </c>
      <c r="G1217" s="1085" t="str">
        <f>IF(Table3[[#This Row],[CF]]&gt;0,CONCATENATE(IF(Table3[[#This Row],[LOQ]]="*","LOQ","MRL"),IF(input_values!G17&gt;0,"×CFrisk","")),"")</f>
        <v>MRL</v>
      </c>
      <c r="H1217" s="1087">
        <f>input_values!L17</f>
        <v>0</v>
      </c>
      <c r="I1217" s="1088">
        <f>input_values!D17</f>
        <v>0</v>
      </c>
      <c r="J1217" s="1098" t="e">
        <f>IF($D$1212="",0,$D1217*Table3[[#This Row],[CF]]*chronic_consumption!$E17/1000/$C$3)</f>
        <v>#DIV/0!</v>
      </c>
      <c r="K1217" s="1098" t="e">
        <f>IF($D$1212="",0,$D1217*Table3[[#This Row],[CF]]*chronic_consumption!$F17/1000/$C$3)</f>
        <v>#DIV/0!</v>
      </c>
      <c r="L1217" s="1098" t="e">
        <f>IF($D$1212="",0,$D1217*Table3[[#This Row],[CF]]*chronic_consumption!$G17/1000/$C$3)</f>
        <v>#DIV/0!</v>
      </c>
      <c r="M1217" s="1098" t="e">
        <f>IF($D$1212="",0,$D1217*Table3[[#This Row],[CF]]*chronic_consumption!$H17/1000/$C$3)</f>
        <v>#DIV/0!</v>
      </c>
      <c r="N1217" s="1098" t="e">
        <f>IF($D$1212="",0,$D1217*Table3[[#This Row],[CF]]*chronic_consumption!$I17/1000/$C$3)</f>
        <v>#DIV/0!</v>
      </c>
      <c r="O1217" s="1098" t="e">
        <f>IF($D$1212="",0,$D1217*Table3[[#This Row],[CF]]*chronic_consumption!$J17/1000/$C$3)</f>
        <v>#DIV/0!</v>
      </c>
      <c r="P1217" s="1098" t="e">
        <f>IF($D$1212="",0,$D1217*Table3[[#This Row],[CF]]*chronic_consumption!$K17/1000/$C$3)</f>
        <v>#DIV/0!</v>
      </c>
      <c r="Q1217" s="1098" t="e">
        <f>IF($D$1212="",0,$D1217*Table3[[#This Row],[CF]]*chronic_consumption!$L17/1000/$C$3)</f>
        <v>#DIV/0!</v>
      </c>
      <c r="R1217" s="1098" t="e">
        <f>IF($D$1212="",0,$D1217*Table3[[#This Row],[CF]]*chronic_consumption!$M17/1000/$C$3)</f>
        <v>#DIV/0!</v>
      </c>
      <c r="S1217" s="1098" t="e">
        <f>IF($D$1212="",0,$D1217*Table3[[#This Row],[CF]]*chronic_consumption!$N17/1000/$C$3)</f>
        <v>#DIV/0!</v>
      </c>
      <c r="T1217" s="1098" t="e">
        <f>IF($D$1212="",0,$D1217*Table3[[#This Row],[CF]]*chronic_consumption!$O17/1000/$C$3)</f>
        <v>#DIV/0!</v>
      </c>
      <c r="U1217" s="1098" t="e">
        <f>IF($D$1212="",0,$D1217*Table3[[#This Row],[CF]]*chronic_consumption!$P17/1000/$C$3)</f>
        <v>#DIV/0!</v>
      </c>
      <c r="V1217" s="1098" t="e">
        <f>IF($D$1212="",0,$D1217*Table3[[#This Row],[CF]]*chronic_consumption!$Q17/1000/$C$3)</f>
        <v>#DIV/0!</v>
      </c>
      <c r="W1217" s="1098" t="e">
        <f>IF($D$1212="",0,$D1217*Table3[[#This Row],[CF]]*chronic_consumption!$R17/1000/$C$3)</f>
        <v>#DIV/0!</v>
      </c>
      <c r="X1217" s="1098" t="e">
        <f>IF($D$1212="",0,$D1217*Table3[[#This Row],[CF]]*chronic_consumption!$S17/1000/$C$3)</f>
        <v>#DIV/0!</v>
      </c>
      <c r="Y1217" s="1098" t="e">
        <f>IF($D$1212="",0,$D1217*Table3[[#This Row],[CF]]*chronic_consumption!$T17/1000/$C$3)</f>
        <v>#DIV/0!</v>
      </c>
      <c r="Z1217" s="1098" t="e">
        <f>IF($D$1212="",0,$D1217*Table3[[#This Row],[CF]]*chronic_consumption!$U17/1000/$C$3)</f>
        <v>#DIV/0!</v>
      </c>
      <c r="AA1217" s="1098" t="e">
        <f>IF($D$1212="",0,$D1217*Table3[[#This Row],[CF]]*chronic_consumption!$V17/1000/$C$3)</f>
        <v>#DIV/0!</v>
      </c>
      <c r="AB1217" s="1098" t="e">
        <f>IF($D$1212="",0,$D1217*Table3[[#This Row],[CF]]*chronic_consumption!$W17/1000/$C$3)</f>
        <v>#DIV/0!</v>
      </c>
      <c r="AC1217" s="1098" t="e">
        <f>IF($D$1212="",0,$D1217*Table3[[#This Row],[CF]]*chronic_consumption!$X17/1000/$C$3)</f>
        <v>#DIV/0!</v>
      </c>
      <c r="AD1217" s="1098" t="e">
        <f>IF($D$1212="",0,$D1217*Table3[[#This Row],[CF]]*chronic_consumption!$Y17/1000/$C$3)</f>
        <v>#DIV/0!</v>
      </c>
      <c r="AE1217" s="1098" t="e">
        <f>IF($D$1212="",0,$D1217*Table3[[#This Row],[CF]]*chronic_consumption!$Z17/1000/$C$3)</f>
        <v>#DIV/0!</v>
      </c>
      <c r="AF1217" s="1098" t="e">
        <f>IF($D$1212="",0,$D1217*Table3[[#This Row],[CF]]*chronic_consumption!$AA17/1000/$C$3)</f>
        <v>#DIV/0!</v>
      </c>
      <c r="AG1217" s="1098" t="e">
        <f>IF($D$1212="",0,$D1217*Table3[[#This Row],[CF]]*chronic_consumption!$AB17/1000/$C$3)</f>
        <v>#DIV/0!</v>
      </c>
      <c r="AH1217" s="1098" t="e">
        <f>IF($D$1212="",0,$D1217*Table3[[#This Row],[CF]]*chronic_consumption!$AC17/1000/$C$3)</f>
        <v>#DIV/0!</v>
      </c>
      <c r="AI1217" s="1098" t="e">
        <f>IF($D$1212="",0,$D1217*Table3[[#This Row],[CF]]*chronic_consumption!$AD17/1000/$C$3)</f>
        <v>#DIV/0!</v>
      </c>
      <c r="AJ1217" s="1098" t="e">
        <f>IF($D$1212="",0,$D1217*Table3[[#This Row],[CF]]*chronic_consumption!$AE17/1000/$C$3)</f>
        <v>#DIV/0!</v>
      </c>
      <c r="AK1217" s="1098" t="e">
        <f>IF($D$1212="",0,$D1217*Table3[[#This Row],[CF]]*chronic_consumption!$AF17/1000/$C$3)</f>
        <v>#DIV/0!</v>
      </c>
      <c r="AL1217" s="1098" t="e">
        <f>IF($D$1212="",0,$D1217*Table3[[#This Row],[CF]]*chronic_consumption!$AG17/1000/$C$3)</f>
        <v>#DIV/0!</v>
      </c>
      <c r="AM1217" s="1098" t="e">
        <f>IF($D$1212="",0,$D1217*Table3[[#This Row],[CF]]*chronic_consumption!$AH17/1000/$C$3)</f>
        <v>#DIV/0!</v>
      </c>
      <c r="AN1217" s="1098" t="e">
        <f>IF($D$1212="",0,$D1217*Table3[[#This Row],[CF]]*chronic_consumption!$AI17/1000/$C$3)</f>
        <v>#DIV/0!</v>
      </c>
      <c r="AO1217" s="1098" t="e">
        <f>IF($D$1212="",0,$D1217*Table3[[#This Row],[CF]]*chronic_consumption!$AJ17/1000/$C$3)</f>
        <v>#DIV/0!</v>
      </c>
      <c r="AP1217" s="1098" t="e">
        <f>IF($D$1212="",0,$D1217*Table3[[#This Row],[CF]]*chronic_consumption!$AK17/1000/$C$3)</f>
        <v>#DIV/0!</v>
      </c>
      <c r="AQ1217" s="1098" t="e">
        <f>IF($D$1212="",0,$D1217*Table3[[#This Row],[CF]]*chronic_consumption!$AL17/1000/$C$3)</f>
        <v>#DIV/0!</v>
      </c>
      <c r="AR1217" s="1098" t="e">
        <f>IF($D$1212="",0,$D1217*Table3[[#This Row],[CF]]*chronic_consumption!$AM17/1000/$C$3)</f>
        <v>#DIV/0!</v>
      </c>
      <c r="AS1217" s="1098" t="e">
        <f>IF($D$1212="",0,$D1217*Table3[[#This Row],[CF]]*chronic_consumption!$AN17/1000/$C$3)</f>
        <v>#DIV/0!</v>
      </c>
      <c r="AT1217" s="1098" t="e">
        <f>IF($D$1212="",0,$D1217*Table3[[#This Row],[CF]]*chronic_consumption!$AO17/1000/$C$3)</f>
        <v>#DIV/0!</v>
      </c>
      <c r="AU1217" s="1099" t="e">
        <f t="shared" si="830"/>
        <v>#DIV/0!</v>
      </c>
      <c r="AV1217" s="1099" t="e">
        <f t="shared" si="830"/>
        <v>#DIV/0!</v>
      </c>
      <c r="AW1217" s="1099" t="e">
        <f t="shared" si="830"/>
        <v>#DIV/0!</v>
      </c>
      <c r="AX1217" s="1099" t="e">
        <f t="shared" si="830"/>
        <v>#DIV/0!</v>
      </c>
      <c r="AY1217" s="1099" t="e">
        <f t="shared" si="830"/>
        <v>#DIV/0!</v>
      </c>
      <c r="AZ1217" s="1091" t="s">
        <v>1012</v>
      </c>
      <c r="BA1217" s="1097" t="e">
        <f>IF(Table3[[#This Row],[max]]&lt;&gt;0,RANK(Table3[[#This Row],[max]],Table3[max],0),"")</f>
        <v>#DIV/0!</v>
      </c>
      <c r="BB1217" s="1096" t="e">
        <f t="shared" si="831"/>
        <v>#DIV/0!</v>
      </c>
      <c r="BC1217" s="1096" t="e">
        <f t="shared" ca="1" si="832"/>
        <v>#DIV/0!</v>
      </c>
      <c r="BD1217" s="1096" t="e">
        <f>IF(Table3[[#This Row],[max]]&gt;0,Table3[[#This Row],[Crop groups and examples of individual products within the groups to which the MRLs apply]],"")</f>
        <v>#DIV/0!</v>
      </c>
    </row>
    <row r="1218" spans="2:56" x14ac:dyDescent="0.2">
      <c r="B1218" s="23">
        <f t="shared" si="829"/>
        <v>110050</v>
      </c>
      <c r="C1218" s="23" t="str">
        <f t="shared" si="829"/>
        <v xml:space="preserve">Mandarins </v>
      </c>
      <c r="D1218" s="1084">
        <f>input_values!E18</f>
        <v>0</v>
      </c>
      <c r="E1218" s="1084">
        <f>input_values!F18</f>
        <v>0</v>
      </c>
      <c r="F1218" s="1085">
        <f>input_values!W18</f>
        <v>1</v>
      </c>
      <c r="G1218" s="1085" t="str">
        <f>IF(Table3[[#This Row],[CF]]&gt;0,CONCATENATE(IF(Table3[[#This Row],[LOQ]]="*","LOQ","MRL"),IF(input_values!G18&gt;0,"×CFrisk","")),"")</f>
        <v>MRL</v>
      </c>
      <c r="H1218" s="1087">
        <f>input_values!L18</f>
        <v>0</v>
      </c>
      <c r="I1218" s="1088">
        <f>input_values!D18</f>
        <v>0</v>
      </c>
      <c r="J1218" s="1098" t="e">
        <f>IF($D$1212="",0,$D1218*Table3[[#This Row],[CF]]*chronic_consumption!$E18/1000/$C$3)</f>
        <v>#DIV/0!</v>
      </c>
      <c r="K1218" s="1098" t="e">
        <f>IF($D$1212="",0,$D1218*Table3[[#This Row],[CF]]*chronic_consumption!$F18/1000/$C$3)</f>
        <v>#DIV/0!</v>
      </c>
      <c r="L1218" s="1098" t="e">
        <f>IF($D$1212="",0,$D1218*Table3[[#This Row],[CF]]*chronic_consumption!$G18/1000/$C$3)</f>
        <v>#DIV/0!</v>
      </c>
      <c r="M1218" s="1098" t="e">
        <f>IF($D$1212="",0,$D1218*Table3[[#This Row],[CF]]*chronic_consumption!$H18/1000/$C$3)</f>
        <v>#DIV/0!</v>
      </c>
      <c r="N1218" s="1098" t="e">
        <f>IF($D$1212="",0,$D1218*Table3[[#This Row],[CF]]*chronic_consumption!$I18/1000/$C$3)</f>
        <v>#DIV/0!</v>
      </c>
      <c r="O1218" s="1098" t="e">
        <f>IF($D$1212="",0,$D1218*Table3[[#This Row],[CF]]*chronic_consumption!$J18/1000/$C$3)</f>
        <v>#DIV/0!</v>
      </c>
      <c r="P1218" s="1098" t="e">
        <f>IF($D$1212="",0,$D1218*Table3[[#This Row],[CF]]*chronic_consumption!$K18/1000/$C$3)</f>
        <v>#DIV/0!</v>
      </c>
      <c r="Q1218" s="1098" t="e">
        <f>IF($D$1212="",0,$D1218*Table3[[#This Row],[CF]]*chronic_consumption!$L18/1000/$C$3)</f>
        <v>#DIV/0!</v>
      </c>
      <c r="R1218" s="1098" t="e">
        <f>IF($D$1212="",0,$D1218*Table3[[#This Row],[CF]]*chronic_consumption!$M18/1000/$C$3)</f>
        <v>#DIV/0!</v>
      </c>
      <c r="S1218" s="1098" t="e">
        <f>IF($D$1212="",0,$D1218*Table3[[#This Row],[CF]]*chronic_consumption!$N18/1000/$C$3)</f>
        <v>#DIV/0!</v>
      </c>
      <c r="T1218" s="1098" t="e">
        <f>IF($D$1212="",0,$D1218*Table3[[#This Row],[CF]]*chronic_consumption!$O18/1000/$C$3)</f>
        <v>#DIV/0!</v>
      </c>
      <c r="U1218" s="1098" t="e">
        <f>IF($D$1212="",0,$D1218*Table3[[#This Row],[CF]]*chronic_consumption!$P18/1000/$C$3)</f>
        <v>#DIV/0!</v>
      </c>
      <c r="V1218" s="1098" t="e">
        <f>IF($D$1212="",0,$D1218*Table3[[#This Row],[CF]]*chronic_consumption!$Q18/1000/$C$3)</f>
        <v>#DIV/0!</v>
      </c>
      <c r="W1218" s="1098" t="e">
        <f>IF($D$1212="",0,$D1218*Table3[[#This Row],[CF]]*chronic_consumption!$R18/1000/$C$3)</f>
        <v>#DIV/0!</v>
      </c>
      <c r="X1218" s="1098" t="e">
        <f>IF($D$1212="",0,$D1218*Table3[[#This Row],[CF]]*chronic_consumption!$S18/1000/$C$3)</f>
        <v>#DIV/0!</v>
      </c>
      <c r="Y1218" s="1098" t="e">
        <f>IF($D$1212="",0,$D1218*Table3[[#This Row],[CF]]*chronic_consumption!$T18/1000/$C$3)</f>
        <v>#DIV/0!</v>
      </c>
      <c r="Z1218" s="1098" t="e">
        <f>IF($D$1212="",0,$D1218*Table3[[#This Row],[CF]]*chronic_consumption!$U18/1000/$C$3)</f>
        <v>#DIV/0!</v>
      </c>
      <c r="AA1218" s="1098" t="e">
        <f>IF($D$1212="",0,$D1218*Table3[[#This Row],[CF]]*chronic_consumption!$V18/1000/$C$3)</f>
        <v>#DIV/0!</v>
      </c>
      <c r="AB1218" s="1098" t="e">
        <f>IF($D$1212="",0,$D1218*Table3[[#This Row],[CF]]*chronic_consumption!$W18/1000/$C$3)</f>
        <v>#DIV/0!</v>
      </c>
      <c r="AC1218" s="1098" t="e">
        <f>IF($D$1212="",0,$D1218*Table3[[#This Row],[CF]]*chronic_consumption!$X18/1000/$C$3)</f>
        <v>#DIV/0!</v>
      </c>
      <c r="AD1218" s="1098" t="e">
        <f>IF($D$1212="",0,$D1218*Table3[[#This Row],[CF]]*chronic_consumption!$Y18/1000/$C$3)</f>
        <v>#DIV/0!</v>
      </c>
      <c r="AE1218" s="1098" t="e">
        <f>IF($D$1212="",0,$D1218*Table3[[#This Row],[CF]]*chronic_consumption!$Z18/1000/$C$3)</f>
        <v>#DIV/0!</v>
      </c>
      <c r="AF1218" s="1098" t="e">
        <f>IF($D$1212="",0,$D1218*Table3[[#This Row],[CF]]*chronic_consumption!$AA18/1000/$C$3)</f>
        <v>#DIV/0!</v>
      </c>
      <c r="AG1218" s="1098" t="e">
        <f>IF($D$1212="",0,$D1218*Table3[[#This Row],[CF]]*chronic_consumption!$AB18/1000/$C$3)</f>
        <v>#DIV/0!</v>
      </c>
      <c r="AH1218" s="1098" t="e">
        <f>IF($D$1212="",0,$D1218*Table3[[#This Row],[CF]]*chronic_consumption!$AC18/1000/$C$3)</f>
        <v>#DIV/0!</v>
      </c>
      <c r="AI1218" s="1098" t="e">
        <f>IF($D$1212="",0,$D1218*Table3[[#This Row],[CF]]*chronic_consumption!$AD18/1000/$C$3)</f>
        <v>#DIV/0!</v>
      </c>
      <c r="AJ1218" s="1098" t="e">
        <f>IF($D$1212="",0,$D1218*Table3[[#This Row],[CF]]*chronic_consumption!$AE18/1000/$C$3)</f>
        <v>#DIV/0!</v>
      </c>
      <c r="AK1218" s="1098" t="e">
        <f>IF($D$1212="",0,$D1218*Table3[[#This Row],[CF]]*chronic_consumption!$AF18/1000/$C$3)</f>
        <v>#DIV/0!</v>
      </c>
      <c r="AL1218" s="1098" t="e">
        <f>IF($D$1212="",0,$D1218*Table3[[#This Row],[CF]]*chronic_consumption!$AG18/1000/$C$3)</f>
        <v>#DIV/0!</v>
      </c>
      <c r="AM1218" s="1098" t="e">
        <f>IF($D$1212="",0,$D1218*Table3[[#This Row],[CF]]*chronic_consumption!$AH18/1000/$C$3)</f>
        <v>#DIV/0!</v>
      </c>
      <c r="AN1218" s="1098" t="e">
        <f>IF($D$1212="",0,$D1218*Table3[[#This Row],[CF]]*chronic_consumption!$AI18/1000/$C$3)</f>
        <v>#DIV/0!</v>
      </c>
      <c r="AO1218" s="1098" t="e">
        <f>IF($D$1212="",0,$D1218*Table3[[#This Row],[CF]]*chronic_consumption!$AJ18/1000/$C$3)</f>
        <v>#DIV/0!</v>
      </c>
      <c r="AP1218" s="1098" t="e">
        <f>IF($D$1212="",0,$D1218*Table3[[#This Row],[CF]]*chronic_consumption!$AK18/1000/$C$3)</f>
        <v>#DIV/0!</v>
      </c>
      <c r="AQ1218" s="1098" t="e">
        <f>IF($D$1212="",0,$D1218*Table3[[#This Row],[CF]]*chronic_consumption!$AL18/1000/$C$3)</f>
        <v>#DIV/0!</v>
      </c>
      <c r="AR1218" s="1098" t="e">
        <f>IF($D$1212="",0,$D1218*Table3[[#This Row],[CF]]*chronic_consumption!$AM18/1000/$C$3)</f>
        <v>#DIV/0!</v>
      </c>
      <c r="AS1218" s="1098" t="e">
        <f>IF($D$1212="",0,$D1218*Table3[[#This Row],[CF]]*chronic_consumption!$AN18/1000/$C$3)</f>
        <v>#DIV/0!</v>
      </c>
      <c r="AT1218" s="1098" t="e">
        <f>IF($D$1212="",0,$D1218*Table3[[#This Row],[CF]]*chronic_consumption!$AO18/1000/$C$3)</f>
        <v>#DIV/0!</v>
      </c>
      <c r="AU1218" s="1099" t="e">
        <f t="shared" si="830"/>
        <v>#DIV/0!</v>
      </c>
      <c r="AV1218" s="1099" t="e">
        <f t="shared" si="830"/>
        <v>#DIV/0!</v>
      </c>
      <c r="AW1218" s="1099" t="e">
        <f t="shared" si="830"/>
        <v>#DIV/0!</v>
      </c>
      <c r="AX1218" s="1099" t="e">
        <f t="shared" si="830"/>
        <v>#DIV/0!</v>
      </c>
      <c r="AY1218" s="1099" t="e">
        <f t="shared" si="830"/>
        <v>#DIV/0!</v>
      </c>
      <c r="AZ1218" s="1091" t="s">
        <v>1012</v>
      </c>
      <c r="BA1218" s="1097" t="e">
        <f>IF(Table3[[#This Row],[max]]&lt;&gt;0,RANK(Table3[[#This Row],[max]],Table3[max],0),"")</f>
        <v>#DIV/0!</v>
      </c>
      <c r="BB1218" s="1096" t="e">
        <f t="shared" si="831"/>
        <v>#DIV/0!</v>
      </c>
      <c r="BC1218" s="1096" t="e">
        <f t="shared" ca="1" si="832"/>
        <v>#DIV/0!</v>
      </c>
      <c r="BD1218" s="1096" t="e">
        <f>IF(Table3[[#This Row],[max]]&gt;0,Table3[[#This Row],[Crop groups and examples of individual products within the groups to which the MRLs apply]],"")</f>
        <v>#DIV/0!</v>
      </c>
    </row>
    <row r="1219" spans="2:56" x14ac:dyDescent="0.2">
      <c r="B1219" s="23">
        <f t="shared" si="829"/>
        <v>110990</v>
      </c>
      <c r="C1219" s="23" t="str">
        <f t="shared" si="829"/>
        <v>Other citrus fruit</v>
      </c>
      <c r="D1219" s="1084">
        <f>input_values!E19</f>
        <v>0</v>
      </c>
      <c r="E1219" s="1084">
        <f>input_values!F19</f>
        <v>0</v>
      </c>
      <c r="F1219" s="1085">
        <f>input_values!W19</f>
        <v>1</v>
      </c>
      <c r="G1219" s="1085" t="str">
        <f>IF(Table3[[#This Row],[CF]]&gt;0,CONCATENATE(IF(Table3[[#This Row],[LOQ]]="*","LOQ","MRL"),IF(input_values!G19&gt;0,"×CFrisk","")),"")</f>
        <v>MRL</v>
      </c>
      <c r="H1219" s="1087">
        <f>input_values!L19</f>
        <v>0</v>
      </c>
      <c r="I1219" s="1088">
        <f>input_values!D19</f>
        <v>0</v>
      </c>
      <c r="J1219" s="1098" t="e">
        <f>IF($D$1212="",0,$D1219*Table3[[#This Row],[CF]]*chronic_consumption!$E19/1000/$C$3)</f>
        <v>#DIV/0!</v>
      </c>
      <c r="K1219" s="1098" t="e">
        <f>IF($D$1212="",0,$D1219*Table3[[#This Row],[CF]]*chronic_consumption!$F19/1000/$C$3)</f>
        <v>#DIV/0!</v>
      </c>
      <c r="L1219" s="1098" t="e">
        <f>IF($D$1212="",0,$D1219*Table3[[#This Row],[CF]]*chronic_consumption!$G19/1000/$C$3)</f>
        <v>#DIV/0!</v>
      </c>
      <c r="M1219" s="1098" t="e">
        <f>IF($D$1212="",0,$D1219*Table3[[#This Row],[CF]]*chronic_consumption!$H19/1000/$C$3)</f>
        <v>#DIV/0!</v>
      </c>
      <c r="N1219" s="1098" t="e">
        <f>IF($D$1212="",0,$D1219*Table3[[#This Row],[CF]]*chronic_consumption!$I19/1000/$C$3)</f>
        <v>#DIV/0!</v>
      </c>
      <c r="O1219" s="1098" t="e">
        <f>IF($D$1212="",0,$D1219*Table3[[#This Row],[CF]]*chronic_consumption!$J19/1000/$C$3)</f>
        <v>#DIV/0!</v>
      </c>
      <c r="P1219" s="1098" t="e">
        <f>IF($D$1212="",0,$D1219*Table3[[#This Row],[CF]]*chronic_consumption!$K19/1000/$C$3)</f>
        <v>#DIV/0!</v>
      </c>
      <c r="Q1219" s="1098" t="e">
        <f>IF($D$1212="",0,$D1219*Table3[[#This Row],[CF]]*chronic_consumption!$L19/1000/$C$3)</f>
        <v>#DIV/0!</v>
      </c>
      <c r="R1219" s="1098" t="e">
        <f>IF($D$1212="",0,$D1219*Table3[[#This Row],[CF]]*chronic_consumption!$M19/1000/$C$3)</f>
        <v>#DIV/0!</v>
      </c>
      <c r="S1219" s="1098" t="e">
        <f>IF($D$1212="",0,$D1219*Table3[[#This Row],[CF]]*chronic_consumption!$N19/1000/$C$3)</f>
        <v>#DIV/0!</v>
      </c>
      <c r="T1219" s="1098" t="e">
        <f>IF($D$1212="",0,$D1219*Table3[[#This Row],[CF]]*chronic_consumption!$O19/1000/$C$3)</f>
        <v>#DIV/0!</v>
      </c>
      <c r="U1219" s="1098" t="e">
        <f>IF($D$1212="",0,$D1219*Table3[[#This Row],[CF]]*chronic_consumption!$P19/1000/$C$3)</f>
        <v>#DIV/0!</v>
      </c>
      <c r="V1219" s="1098" t="e">
        <f>IF($D$1212="",0,$D1219*Table3[[#This Row],[CF]]*chronic_consumption!$Q19/1000/$C$3)</f>
        <v>#DIV/0!</v>
      </c>
      <c r="W1219" s="1098" t="e">
        <f>IF($D$1212="",0,$D1219*Table3[[#This Row],[CF]]*chronic_consumption!$R19/1000/$C$3)</f>
        <v>#DIV/0!</v>
      </c>
      <c r="X1219" s="1098" t="e">
        <f>IF($D$1212="",0,$D1219*Table3[[#This Row],[CF]]*chronic_consumption!$S19/1000/$C$3)</f>
        <v>#DIV/0!</v>
      </c>
      <c r="Y1219" s="1098" t="e">
        <f>IF($D$1212="",0,$D1219*Table3[[#This Row],[CF]]*chronic_consumption!$T19/1000/$C$3)</f>
        <v>#DIV/0!</v>
      </c>
      <c r="Z1219" s="1098" t="e">
        <f>IF($D$1212="",0,$D1219*Table3[[#This Row],[CF]]*chronic_consumption!$U19/1000/$C$3)</f>
        <v>#DIV/0!</v>
      </c>
      <c r="AA1219" s="1098" t="e">
        <f>IF($D$1212="",0,$D1219*Table3[[#This Row],[CF]]*chronic_consumption!$V19/1000/$C$3)</f>
        <v>#DIV/0!</v>
      </c>
      <c r="AB1219" s="1098" t="e">
        <f>IF($D$1212="",0,$D1219*Table3[[#This Row],[CF]]*chronic_consumption!$W19/1000/$C$3)</f>
        <v>#DIV/0!</v>
      </c>
      <c r="AC1219" s="1098" t="e">
        <f>IF($D$1212="",0,$D1219*Table3[[#This Row],[CF]]*chronic_consumption!$X19/1000/$C$3)</f>
        <v>#DIV/0!</v>
      </c>
      <c r="AD1219" s="1098" t="e">
        <f>IF($D$1212="",0,$D1219*Table3[[#This Row],[CF]]*chronic_consumption!$Y19/1000/$C$3)</f>
        <v>#DIV/0!</v>
      </c>
      <c r="AE1219" s="1098" t="e">
        <f>IF($D$1212="",0,$D1219*Table3[[#This Row],[CF]]*chronic_consumption!$Z19/1000/$C$3)</f>
        <v>#DIV/0!</v>
      </c>
      <c r="AF1219" s="1098" t="e">
        <f>IF($D$1212="",0,$D1219*Table3[[#This Row],[CF]]*chronic_consumption!$AA19/1000/$C$3)</f>
        <v>#DIV/0!</v>
      </c>
      <c r="AG1219" s="1098" t="e">
        <f>IF($D$1212="",0,$D1219*Table3[[#This Row],[CF]]*chronic_consumption!$AB19/1000/$C$3)</f>
        <v>#DIV/0!</v>
      </c>
      <c r="AH1219" s="1098" t="e">
        <f>IF($D$1212="",0,$D1219*Table3[[#This Row],[CF]]*chronic_consumption!$AC19/1000/$C$3)</f>
        <v>#DIV/0!</v>
      </c>
      <c r="AI1219" s="1098" t="e">
        <f>IF($D$1212="",0,$D1219*Table3[[#This Row],[CF]]*chronic_consumption!$AD19/1000/$C$3)</f>
        <v>#DIV/0!</v>
      </c>
      <c r="AJ1219" s="1098" t="e">
        <f>IF($D$1212="",0,$D1219*Table3[[#This Row],[CF]]*chronic_consumption!$AE19/1000/$C$3)</f>
        <v>#DIV/0!</v>
      </c>
      <c r="AK1219" s="1098" t="e">
        <f>IF($D$1212="",0,$D1219*Table3[[#This Row],[CF]]*chronic_consumption!$AF19/1000/$C$3)</f>
        <v>#DIV/0!</v>
      </c>
      <c r="AL1219" s="1098" t="e">
        <f>IF($D$1212="",0,$D1219*Table3[[#This Row],[CF]]*chronic_consumption!$AG19/1000/$C$3)</f>
        <v>#DIV/0!</v>
      </c>
      <c r="AM1219" s="1098" t="e">
        <f>IF($D$1212="",0,$D1219*Table3[[#This Row],[CF]]*chronic_consumption!$AH19/1000/$C$3)</f>
        <v>#DIV/0!</v>
      </c>
      <c r="AN1219" s="1098" t="e">
        <f>IF($D$1212="",0,$D1219*Table3[[#This Row],[CF]]*chronic_consumption!$AI19/1000/$C$3)</f>
        <v>#DIV/0!</v>
      </c>
      <c r="AO1219" s="1098" t="e">
        <f>IF($D$1212="",0,$D1219*Table3[[#This Row],[CF]]*chronic_consumption!$AJ19/1000/$C$3)</f>
        <v>#DIV/0!</v>
      </c>
      <c r="AP1219" s="1098" t="e">
        <f>IF($D$1212="",0,$D1219*Table3[[#This Row],[CF]]*chronic_consumption!$AK19/1000/$C$3)</f>
        <v>#DIV/0!</v>
      </c>
      <c r="AQ1219" s="1098" t="e">
        <f>IF($D$1212="",0,$D1219*Table3[[#This Row],[CF]]*chronic_consumption!$AL19/1000/$C$3)</f>
        <v>#DIV/0!</v>
      </c>
      <c r="AR1219" s="1098" t="e">
        <f>IF($D$1212="",0,$D1219*Table3[[#This Row],[CF]]*chronic_consumption!$AM19/1000/$C$3)</f>
        <v>#DIV/0!</v>
      </c>
      <c r="AS1219" s="1098" t="e">
        <f>IF($D$1212="",0,$D1219*Table3[[#This Row],[CF]]*chronic_consumption!$AN19/1000/$C$3)</f>
        <v>#DIV/0!</v>
      </c>
      <c r="AT1219" s="1098" t="e">
        <f>IF($D$1212="",0,$D1219*Table3[[#This Row],[CF]]*chronic_consumption!$AO19/1000/$C$3)</f>
        <v>#DIV/0!</v>
      </c>
      <c r="AU1219" s="1099" t="e">
        <f t="shared" si="830"/>
        <v>#DIV/0!</v>
      </c>
      <c r="AV1219" s="1099" t="e">
        <f t="shared" si="830"/>
        <v>#DIV/0!</v>
      </c>
      <c r="AW1219" s="1099" t="e">
        <f t="shared" si="830"/>
        <v>#DIV/0!</v>
      </c>
      <c r="AX1219" s="1099" t="e">
        <f t="shared" si="830"/>
        <v>#DIV/0!</v>
      </c>
      <c r="AY1219" s="1099" t="e">
        <f t="shared" si="830"/>
        <v>#DIV/0!</v>
      </c>
      <c r="AZ1219" s="1091" t="s">
        <v>1012</v>
      </c>
      <c r="BA1219" s="1097" t="e">
        <f>IF(Table3[[#This Row],[max]]&lt;&gt;0,RANK(Table3[[#This Row],[max]],Table3[max],0),"")</f>
        <v>#DIV/0!</v>
      </c>
      <c r="BB1219" s="1096" t="e">
        <f t="shared" si="831"/>
        <v>#DIV/0!</v>
      </c>
      <c r="BC1219" s="1096" t="e">
        <f t="shared" ca="1" si="832"/>
        <v>#DIV/0!</v>
      </c>
      <c r="BD1219" s="1096" t="e">
        <f>IF(Table3[[#This Row],[max]]&gt;0,Table3[[#This Row],[Crop groups and examples of individual products within the groups to which the MRLs apply]],"")</f>
        <v>#DIV/0!</v>
      </c>
    </row>
    <row r="1220" spans="2:56" x14ac:dyDescent="0.2">
      <c r="B1220" s="131">
        <f t="shared" si="829"/>
        <v>120000</v>
      </c>
      <c r="C1220" s="131" t="str">
        <f t="shared" si="829"/>
        <v xml:space="preserve">Tree nuts </v>
      </c>
      <c r="D1220" s="1084">
        <f>input_values!E20</f>
        <v>0</v>
      </c>
      <c r="E1220" s="1084">
        <f>input_values!F20</f>
        <v>0</v>
      </c>
      <c r="F1220" s="1085">
        <f>input_values!W20</f>
        <v>0</v>
      </c>
      <c r="G1220" s="1085" t="str">
        <f>IF(Table3[[#This Row],[CF]]&gt;0,CONCATENATE(IF(Table3[[#This Row],[LOQ]]="*","LOQ","MRL"),IF(input_values!G20&gt;0,"×CFrisk","")),"")</f>
        <v/>
      </c>
      <c r="H1220" s="1087">
        <f>input_values!L20</f>
        <v>0</v>
      </c>
      <c r="I1220" s="1088">
        <f>input_values!D20</f>
        <v>0</v>
      </c>
      <c r="J1220" s="1095" t="e">
        <f>IF($D$1212="",0,$D1220*Table3[[#This Row],[CF]]*chronic_consumption!$E20/1000/$C$3)</f>
        <v>#DIV/0!</v>
      </c>
      <c r="K1220" s="1095" t="e">
        <f>IF($D$1212="",0,$D1220*Table3[[#This Row],[CF]]*chronic_consumption!$F20/1000/$C$3)</f>
        <v>#DIV/0!</v>
      </c>
      <c r="L1220" s="1095" t="e">
        <f>IF($D$1212="",0,$D1220*Table3[[#This Row],[CF]]*chronic_consumption!$G20/1000/$C$3)</f>
        <v>#DIV/0!</v>
      </c>
      <c r="M1220" s="1095" t="e">
        <f>IF($D$1212="",0,$D1220*Table3[[#This Row],[CF]]*chronic_consumption!$H20/1000/$C$3)</f>
        <v>#DIV/0!</v>
      </c>
      <c r="N1220" s="1095" t="e">
        <f>IF($D$1212="",0,$D1220*Table3[[#This Row],[CF]]*chronic_consumption!$I20/1000/$C$3)</f>
        <v>#DIV/0!</v>
      </c>
      <c r="O1220" s="1095" t="e">
        <f>IF($D$1212="",0,$D1220*Table3[[#This Row],[CF]]*chronic_consumption!$J20/1000/$C$3)</f>
        <v>#DIV/0!</v>
      </c>
      <c r="P1220" s="1095" t="e">
        <f>IF($D$1212="",0,$D1220*Table3[[#This Row],[CF]]*chronic_consumption!$K20/1000/$C$3)</f>
        <v>#DIV/0!</v>
      </c>
      <c r="Q1220" s="1095" t="e">
        <f>IF($D$1212="",0,$D1220*Table3[[#This Row],[CF]]*chronic_consumption!$L20/1000/$C$3)</f>
        <v>#DIV/0!</v>
      </c>
      <c r="R1220" s="1095" t="e">
        <f>IF($D$1212="",0,$D1220*Table3[[#This Row],[CF]]*chronic_consumption!$M20/1000/$C$3)</f>
        <v>#DIV/0!</v>
      </c>
      <c r="S1220" s="1095" t="e">
        <f>IF($D$1212="",0,$D1220*Table3[[#This Row],[CF]]*chronic_consumption!$N20/1000/$C$3)</f>
        <v>#DIV/0!</v>
      </c>
      <c r="T1220" s="1095" t="e">
        <f>IF($D$1212="",0,$D1220*Table3[[#This Row],[CF]]*chronic_consumption!$O20/1000/$C$3)</f>
        <v>#DIV/0!</v>
      </c>
      <c r="U1220" s="1095" t="e">
        <f>IF($D$1212="",0,$D1220*Table3[[#This Row],[CF]]*chronic_consumption!$P20/1000/$C$3)</f>
        <v>#DIV/0!</v>
      </c>
      <c r="V1220" s="1095" t="e">
        <f>IF($D$1212="",0,$D1220*Table3[[#This Row],[CF]]*chronic_consumption!$Q20/1000/$C$3)</f>
        <v>#DIV/0!</v>
      </c>
      <c r="W1220" s="1095" t="e">
        <f>IF($D$1212="",0,$D1220*Table3[[#This Row],[CF]]*chronic_consumption!$R20/1000/$C$3)</f>
        <v>#DIV/0!</v>
      </c>
      <c r="X1220" s="1095" t="e">
        <f>IF($D$1212="",0,$D1220*Table3[[#This Row],[CF]]*chronic_consumption!$S20/1000/$C$3)</f>
        <v>#DIV/0!</v>
      </c>
      <c r="Y1220" s="1095" t="e">
        <f>IF($D$1212="",0,$D1220*Table3[[#This Row],[CF]]*chronic_consumption!$T20/1000/$C$3)</f>
        <v>#DIV/0!</v>
      </c>
      <c r="Z1220" s="1095" t="e">
        <f>IF($D$1212="",0,$D1220*Table3[[#This Row],[CF]]*chronic_consumption!$U20/1000/$C$3)</f>
        <v>#DIV/0!</v>
      </c>
      <c r="AA1220" s="1095" t="e">
        <f>IF($D$1212="",0,$D1220*Table3[[#This Row],[CF]]*chronic_consumption!$V20/1000/$C$3)</f>
        <v>#DIV/0!</v>
      </c>
      <c r="AB1220" s="1095" t="e">
        <f>IF($D$1212="",0,$D1220*Table3[[#This Row],[CF]]*chronic_consumption!$W20/1000/$C$3)</f>
        <v>#DIV/0!</v>
      </c>
      <c r="AC1220" s="1095" t="e">
        <f>IF($D$1212="",0,$D1220*Table3[[#This Row],[CF]]*chronic_consumption!$X20/1000/$C$3)</f>
        <v>#DIV/0!</v>
      </c>
      <c r="AD1220" s="1095" t="e">
        <f>IF($D$1212="",0,$D1220*Table3[[#This Row],[CF]]*chronic_consumption!$Y20/1000/$C$3)</f>
        <v>#DIV/0!</v>
      </c>
      <c r="AE1220" s="1095" t="e">
        <f>IF($D$1212="",0,$D1220*Table3[[#This Row],[CF]]*chronic_consumption!$Z20/1000/$C$3)</f>
        <v>#DIV/0!</v>
      </c>
      <c r="AF1220" s="1095" t="e">
        <f>IF($D$1212="",0,$D1220*Table3[[#This Row],[CF]]*chronic_consumption!$AA20/1000/$C$3)</f>
        <v>#DIV/0!</v>
      </c>
      <c r="AG1220" s="1095" t="e">
        <f>IF($D$1212="",0,$D1220*Table3[[#This Row],[CF]]*chronic_consumption!$AB20/1000/$C$3)</f>
        <v>#DIV/0!</v>
      </c>
      <c r="AH1220" s="1095" t="e">
        <f>IF($D$1212="",0,$D1220*Table3[[#This Row],[CF]]*chronic_consumption!$AC20/1000/$C$3)</f>
        <v>#DIV/0!</v>
      </c>
      <c r="AI1220" s="1095" t="e">
        <f>IF($D$1212="",0,$D1220*Table3[[#This Row],[CF]]*chronic_consumption!$AD20/1000/$C$3)</f>
        <v>#DIV/0!</v>
      </c>
      <c r="AJ1220" s="1095" t="e">
        <f>IF($D$1212="",0,$D1220*Table3[[#This Row],[CF]]*chronic_consumption!$AE20/1000/$C$3)</f>
        <v>#DIV/0!</v>
      </c>
      <c r="AK1220" s="1095" t="e">
        <f>IF($D$1212="",0,$D1220*Table3[[#This Row],[CF]]*chronic_consumption!$AF20/1000/$C$3)</f>
        <v>#DIV/0!</v>
      </c>
      <c r="AL1220" s="1095" t="e">
        <f>IF($D$1212="",0,$D1220*Table3[[#This Row],[CF]]*chronic_consumption!$AG20/1000/$C$3)</f>
        <v>#DIV/0!</v>
      </c>
      <c r="AM1220" s="1095" t="e">
        <f>IF($D$1212="",0,$D1220*Table3[[#This Row],[CF]]*chronic_consumption!$AH20/1000/$C$3)</f>
        <v>#DIV/0!</v>
      </c>
      <c r="AN1220" s="1095" t="e">
        <f>IF($D$1212="",0,$D1220*Table3[[#This Row],[CF]]*chronic_consumption!$AI20/1000/$C$3)</f>
        <v>#DIV/0!</v>
      </c>
      <c r="AO1220" s="1095" t="e">
        <f>IF($D$1212="",0,$D1220*Table3[[#This Row],[CF]]*chronic_consumption!$AJ20/1000/$C$3)</f>
        <v>#DIV/0!</v>
      </c>
      <c r="AP1220" s="1095" t="e">
        <f>IF($D$1212="",0,$D1220*Table3[[#This Row],[CF]]*chronic_consumption!$AK20/1000/$C$3)</f>
        <v>#DIV/0!</v>
      </c>
      <c r="AQ1220" s="1095" t="e">
        <f>IF($D$1212="",0,$D1220*Table3[[#This Row],[CF]]*chronic_consumption!$AL20/1000/$C$3)</f>
        <v>#DIV/0!</v>
      </c>
      <c r="AR1220" s="1095" t="e">
        <f>IF($D$1212="",0,$D1220*Table3[[#This Row],[CF]]*chronic_consumption!$AM20/1000/$C$3)</f>
        <v>#DIV/0!</v>
      </c>
      <c r="AS1220" s="1095" t="e">
        <f>IF($D$1212="",0,$D1220*Table3[[#This Row],[CF]]*chronic_consumption!$AN20/1000/$C$3)</f>
        <v>#DIV/0!</v>
      </c>
      <c r="AT1220" s="1095" t="e">
        <f>IF($D$1212="",0,$D1220*Table3[[#This Row],[CF]]*chronic_consumption!$AO20/1000/$C$3)</f>
        <v>#DIV/0!</v>
      </c>
      <c r="AU1220" s="1096" t="e">
        <f t="shared" si="830"/>
        <v>#DIV/0!</v>
      </c>
      <c r="AV1220" s="1096" t="e">
        <f t="shared" si="830"/>
        <v>#DIV/0!</v>
      </c>
      <c r="AW1220" s="1096" t="e">
        <f t="shared" si="830"/>
        <v>#DIV/0!</v>
      </c>
      <c r="AX1220" s="1096" t="e">
        <f t="shared" si="830"/>
        <v>#DIV/0!</v>
      </c>
      <c r="AY1220" s="1096" t="e">
        <f t="shared" si="830"/>
        <v>#DIV/0!</v>
      </c>
      <c r="AZ1220" s="1091" t="s">
        <v>1012</v>
      </c>
      <c r="BA1220" s="1097" t="e">
        <f>IF(Table3[[#This Row],[max]]&lt;&gt;0,RANK(Table3[[#This Row],[max]],Table3[max],0),"")</f>
        <v>#DIV/0!</v>
      </c>
      <c r="BB1220" s="1096" t="e">
        <f t="shared" si="831"/>
        <v>#DIV/0!</v>
      </c>
      <c r="BC1220" s="1096" t="e">
        <f t="shared" ca="1" si="832"/>
        <v>#DIV/0!</v>
      </c>
      <c r="BD1220" s="1096" t="e">
        <f>IF(Table3[[#This Row],[max]]&gt;0,Table3[[#This Row],[Crop groups and examples of individual products within the groups to which the MRLs apply]],"")</f>
        <v>#DIV/0!</v>
      </c>
    </row>
    <row r="1221" spans="2:56" x14ac:dyDescent="0.2">
      <c r="B1221" s="23">
        <f t="shared" si="829"/>
        <v>120010</v>
      </c>
      <c r="C1221" s="23" t="str">
        <f t="shared" si="829"/>
        <v>Almonds</v>
      </c>
      <c r="D1221" s="1084">
        <f>input_values!E21</f>
        <v>0</v>
      </c>
      <c r="E1221" s="1084">
        <f>input_values!F21</f>
        <v>0</v>
      </c>
      <c r="F1221" s="1085">
        <f>input_values!W21</f>
        <v>1</v>
      </c>
      <c r="G1221" s="1085" t="str">
        <f>IF(Table3[[#This Row],[CF]]&gt;0,CONCATENATE(IF(Table3[[#This Row],[LOQ]]="*","LOQ","MRL"),IF(input_values!G21&gt;0,"×CFrisk","")),"")</f>
        <v>MRL</v>
      </c>
      <c r="H1221" s="1087">
        <f>input_values!L21</f>
        <v>0</v>
      </c>
      <c r="I1221" s="1088">
        <f>input_values!D21</f>
        <v>0</v>
      </c>
      <c r="J1221" s="1098" t="e">
        <f>IF($D$1212="",0,$D1221*Table3[[#This Row],[CF]]*chronic_consumption!$E21/1000/$C$3)</f>
        <v>#DIV/0!</v>
      </c>
      <c r="K1221" s="1098" t="e">
        <f>IF($D$1212="",0,$D1221*Table3[[#This Row],[CF]]*chronic_consumption!$F21/1000/$C$3)</f>
        <v>#DIV/0!</v>
      </c>
      <c r="L1221" s="1098" t="e">
        <f>IF($D$1212="",0,$D1221*Table3[[#This Row],[CF]]*chronic_consumption!$G21/1000/$C$3)</f>
        <v>#DIV/0!</v>
      </c>
      <c r="M1221" s="1098" t="e">
        <f>IF($D$1212="",0,$D1221*Table3[[#This Row],[CF]]*chronic_consumption!$H21/1000/$C$3)</f>
        <v>#DIV/0!</v>
      </c>
      <c r="N1221" s="1098" t="e">
        <f>IF($D$1212="",0,$D1221*Table3[[#This Row],[CF]]*chronic_consumption!$I21/1000/$C$3)</f>
        <v>#DIV/0!</v>
      </c>
      <c r="O1221" s="1098" t="e">
        <f>IF($D$1212="",0,$D1221*Table3[[#This Row],[CF]]*chronic_consumption!$J21/1000/$C$3)</f>
        <v>#DIV/0!</v>
      </c>
      <c r="P1221" s="1098" t="e">
        <f>IF($D$1212="",0,$D1221*Table3[[#This Row],[CF]]*chronic_consumption!$K21/1000/$C$3)</f>
        <v>#DIV/0!</v>
      </c>
      <c r="Q1221" s="1098" t="e">
        <f>IF($D$1212="",0,$D1221*Table3[[#This Row],[CF]]*chronic_consumption!$L21/1000/$C$3)</f>
        <v>#DIV/0!</v>
      </c>
      <c r="R1221" s="1098" t="e">
        <f>IF($D$1212="",0,$D1221*Table3[[#This Row],[CF]]*chronic_consumption!$M21/1000/$C$3)</f>
        <v>#DIV/0!</v>
      </c>
      <c r="S1221" s="1098" t="e">
        <f>IF($D$1212="",0,$D1221*Table3[[#This Row],[CF]]*chronic_consumption!$N21/1000/$C$3)</f>
        <v>#DIV/0!</v>
      </c>
      <c r="T1221" s="1098" t="e">
        <f>IF($D$1212="",0,$D1221*Table3[[#This Row],[CF]]*chronic_consumption!$O21/1000/$C$3)</f>
        <v>#DIV/0!</v>
      </c>
      <c r="U1221" s="1098" t="e">
        <f>IF($D$1212="",0,$D1221*Table3[[#This Row],[CF]]*chronic_consumption!$P21/1000/$C$3)</f>
        <v>#DIV/0!</v>
      </c>
      <c r="V1221" s="1098" t="e">
        <f>IF($D$1212="",0,$D1221*Table3[[#This Row],[CF]]*chronic_consumption!$Q21/1000/$C$3)</f>
        <v>#DIV/0!</v>
      </c>
      <c r="W1221" s="1098" t="e">
        <f>IF($D$1212="",0,$D1221*Table3[[#This Row],[CF]]*chronic_consumption!$R21/1000/$C$3)</f>
        <v>#DIV/0!</v>
      </c>
      <c r="X1221" s="1098" t="e">
        <f>IF($D$1212="",0,$D1221*Table3[[#This Row],[CF]]*chronic_consumption!$S21/1000/$C$3)</f>
        <v>#DIV/0!</v>
      </c>
      <c r="Y1221" s="1098" t="e">
        <f>IF($D$1212="",0,$D1221*Table3[[#This Row],[CF]]*chronic_consumption!$T21/1000/$C$3)</f>
        <v>#DIV/0!</v>
      </c>
      <c r="Z1221" s="1098" t="e">
        <f>IF($D$1212="",0,$D1221*Table3[[#This Row],[CF]]*chronic_consumption!$U21/1000/$C$3)</f>
        <v>#DIV/0!</v>
      </c>
      <c r="AA1221" s="1098" t="e">
        <f>IF($D$1212="",0,$D1221*Table3[[#This Row],[CF]]*chronic_consumption!$V21/1000/$C$3)</f>
        <v>#DIV/0!</v>
      </c>
      <c r="AB1221" s="1098" t="e">
        <f>IF($D$1212="",0,$D1221*Table3[[#This Row],[CF]]*chronic_consumption!$W21/1000/$C$3)</f>
        <v>#DIV/0!</v>
      </c>
      <c r="AC1221" s="1098" t="e">
        <f>IF($D$1212="",0,$D1221*Table3[[#This Row],[CF]]*chronic_consumption!$X21/1000/$C$3)</f>
        <v>#DIV/0!</v>
      </c>
      <c r="AD1221" s="1098" t="e">
        <f>IF($D$1212="",0,$D1221*Table3[[#This Row],[CF]]*chronic_consumption!$Y21/1000/$C$3)</f>
        <v>#DIV/0!</v>
      </c>
      <c r="AE1221" s="1098" t="e">
        <f>IF($D$1212="",0,$D1221*Table3[[#This Row],[CF]]*chronic_consumption!$Z21/1000/$C$3)</f>
        <v>#DIV/0!</v>
      </c>
      <c r="AF1221" s="1098" t="e">
        <f>IF($D$1212="",0,$D1221*Table3[[#This Row],[CF]]*chronic_consumption!$AA21/1000/$C$3)</f>
        <v>#DIV/0!</v>
      </c>
      <c r="AG1221" s="1098" t="e">
        <f>IF($D$1212="",0,$D1221*Table3[[#This Row],[CF]]*chronic_consumption!$AB21/1000/$C$3)</f>
        <v>#DIV/0!</v>
      </c>
      <c r="AH1221" s="1098" t="e">
        <f>IF($D$1212="",0,$D1221*Table3[[#This Row],[CF]]*chronic_consumption!$AC21/1000/$C$3)</f>
        <v>#DIV/0!</v>
      </c>
      <c r="AI1221" s="1098" t="e">
        <f>IF($D$1212="",0,$D1221*Table3[[#This Row],[CF]]*chronic_consumption!$AD21/1000/$C$3)</f>
        <v>#DIV/0!</v>
      </c>
      <c r="AJ1221" s="1098" t="e">
        <f>IF($D$1212="",0,$D1221*Table3[[#This Row],[CF]]*chronic_consumption!$AE21/1000/$C$3)</f>
        <v>#DIV/0!</v>
      </c>
      <c r="AK1221" s="1098" t="e">
        <f>IF($D$1212="",0,$D1221*Table3[[#This Row],[CF]]*chronic_consumption!$AF21/1000/$C$3)</f>
        <v>#DIV/0!</v>
      </c>
      <c r="AL1221" s="1098" t="e">
        <f>IF($D$1212="",0,$D1221*Table3[[#This Row],[CF]]*chronic_consumption!$AG21/1000/$C$3)</f>
        <v>#DIV/0!</v>
      </c>
      <c r="AM1221" s="1098" t="e">
        <f>IF($D$1212="",0,$D1221*Table3[[#This Row],[CF]]*chronic_consumption!$AH21/1000/$C$3)</f>
        <v>#DIV/0!</v>
      </c>
      <c r="AN1221" s="1098" t="e">
        <f>IF($D$1212="",0,$D1221*Table3[[#This Row],[CF]]*chronic_consumption!$AI21/1000/$C$3)</f>
        <v>#DIV/0!</v>
      </c>
      <c r="AO1221" s="1098" t="e">
        <f>IF($D$1212="",0,$D1221*Table3[[#This Row],[CF]]*chronic_consumption!$AJ21/1000/$C$3)</f>
        <v>#DIV/0!</v>
      </c>
      <c r="AP1221" s="1098" t="e">
        <f>IF($D$1212="",0,$D1221*Table3[[#This Row],[CF]]*chronic_consumption!$AK21/1000/$C$3)</f>
        <v>#DIV/0!</v>
      </c>
      <c r="AQ1221" s="1098" t="e">
        <f>IF($D$1212="",0,$D1221*Table3[[#This Row],[CF]]*chronic_consumption!$AL21/1000/$C$3)</f>
        <v>#DIV/0!</v>
      </c>
      <c r="AR1221" s="1098" t="e">
        <f>IF($D$1212="",0,$D1221*Table3[[#This Row],[CF]]*chronic_consumption!$AM21/1000/$C$3)</f>
        <v>#DIV/0!</v>
      </c>
      <c r="AS1221" s="1098" t="e">
        <f>IF($D$1212="",0,$D1221*Table3[[#This Row],[CF]]*chronic_consumption!$AN21/1000/$C$3)</f>
        <v>#DIV/0!</v>
      </c>
      <c r="AT1221" s="1098" t="e">
        <f>IF($D$1212="",0,$D1221*Table3[[#This Row],[CF]]*chronic_consumption!$AO21/1000/$C$3)</f>
        <v>#DIV/0!</v>
      </c>
      <c r="AU1221" s="1099" t="e">
        <f t="shared" si="830"/>
        <v>#DIV/0!</v>
      </c>
      <c r="AV1221" s="1099" t="e">
        <f t="shared" si="830"/>
        <v>#DIV/0!</v>
      </c>
      <c r="AW1221" s="1099" t="e">
        <f t="shared" si="830"/>
        <v>#DIV/0!</v>
      </c>
      <c r="AX1221" s="1099" t="e">
        <f t="shared" si="830"/>
        <v>#DIV/0!</v>
      </c>
      <c r="AY1221" s="1099" t="e">
        <f t="shared" si="830"/>
        <v>#DIV/0!</v>
      </c>
      <c r="AZ1221" s="1091" t="s">
        <v>1012</v>
      </c>
      <c r="BA1221" s="1097" t="e">
        <f>IF(Table3[[#This Row],[max]]&lt;&gt;0,RANK(Table3[[#This Row],[max]],Table3[max],0),"")</f>
        <v>#DIV/0!</v>
      </c>
      <c r="BB1221" s="1096" t="e">
        <f t="shared" si="831"/>
        <v>#DIV/0!</v>
      </c>
      <c r="BC1221" s="1096" t="e">
        <f t="shared" ca="1" si="832"/>
        <v>#DIV/0!</v>
      </c>
      <c r="BD1221" s="1096" t="e">
        <f>IF(Table3[[#This Row],[max]]&gt;0,Table3[[#This Row],[Crop groups and examples of individual products within the groups to which the MRLs apply]],"")</f>
        <v>#DIV/0!</v>
      </c>
    </row>
    <row r="1222" spans="2:56" x14ac:dyDescent="0.2">
      <c r="B1222" s="23">
        <f t="shared" si="829"/>
        <v>120020</v>
      </c>
      <c r="C1222" s="23" t="str">
        <f t="shared" si="829"/>
        <v>Brazil nuts</v>
      </c>
      <c r="D1222" s="1084">
        <f>input_values!E22</f>
        <v>0</v>
      </c>
      <c r="E1222" s="1084">
        <f>input_values!F22</f>
        <v>0</v>
      </c>
      <c r="F1222" s="1085">
        <f>input_values!W22</f>
        <v>1</v>
      </c>
      <c r="G1222" s="1085" t="str">
        <f>IF(Table3[[#This Row],[CF]]&gt;0,CONCATENATE(IF(Table3[[#This Row],[LOQ]]="*","LOQ","MRL"),IF(input_values!G22&gt;0,"×CFrisk","")),"")</f>
        <v>MRL</v>
      </c>
      <c r="H1222" s="1087">
        <f>input_values!L22</f>
        <v>0</v>
      </c>
      <c r="I1222" s="1088">
        <f>input_values!D22</f>
        <v>0</v>
      </c>
      <c r="J1222" s="1098" t="e">
        <f>IF($D$1212="",0,$D1222*Table3[[#This Row],[CF]]*chronic_consumption!$E22/1000/$C$3)</f>
        <v>#DIV/0!</v>
      </c>
      <c r="K1222" s="1098" t="e">
        <f>IF($D$1212="",0,$D1222*Table3[[#This Row],[CF]]*chronic_consumption!$F22/1000/$C$3)</f>
        <v>#DIV/0!</v>
      </c>
      <c r="L1222" s="1098" t="e">
        <f>IF($D$1212="",0,$D1222*Table3[[#This Row],[CF]]*chronic_consumption!$G22/1000/$C$3)</f>
        <v>#DIV/0!</v>
      </c>
      <c r="M1222" s="1098" t="e">
        <f>IF($D$1212="",0,$D1222*Table3[[#This Row],[CF]]*chronic_consumption!$H22/1000/$C$3)</f>
        <v>#DIV/0!</v>
      </c>
      <c r="N1222" s="1098" t="e">
        <f>IF($D$1212="",0,$D1222*Table3[[#This Row],[CF]]*chronic_consumption!$I22/1000/$C$3)</f>
        <v>#DIV/0!</v>
      </c>
      <c r="O1222" s="1098" t="e">
        <f>IF($D$1212="",0,$D1222*Table3[[#This Row],[CF]]*chronic_consumption!$J22/1000/$C$3)</f>
        <v>#DIV/0!</v>
      </c>
      <c r="P1222" s="1098" t="e">
        <f>IF($D$1212="",0,$D1222*Table3[[#This Row],[CF]]*chronic_consumption!$K22/1000/$C$3)</f>
        <v>#DIV/0!</v>
      </c>
      <c r="Q1222" s="1098" t="e">
        <f>IF($D$1212="",0,$D1222*Table3[[#This Row],[CF]]*chronic_consumption!$L22/1000/$C$3)</f>
        <v>#DIV/0!</v>
      </c>
      <c r="R1222" s="1098" t="e">
        <f>IF($D$1212="",0,$D1222*Table3[[#This Row],[CF]]*chronic_consumption!$M22/1000/$C$3)</f>
        <v>#DIV/0!</v>
      </c>
      <c r="S1222" s="1098" t="e">
        <f>IF($D$1212="",0,$D1222*Table3[[#This Row],[CF]]*chronic_consumption!$N22/1000/$C$3)</f>
        <v>#DIV/0!</v>
      </c>
      <c r="T1222" s="1098" t="e">
        <f>IF($D$1212="",0,$D1222*Table3[[#This Row],[CF]]*chronic_consumption!$O22/1000/$C$3)</f>
        <v>#DIV/0!</v>
      </c>
      <c r="U1222" s="1098" t="e">
        <f>IF($D$1212="",0,$D1222*Table3[[#This Row],[CF]]*chronic_consumption!$P22/1000/$C$3)</f>
        <v>#DIV/0!</v>
      </c>
      <c r="V1222" s="1098" t="e">
        <f>IF($D$1212="",0,$D1222*Table3[[#This Row],[CF]]*chronic_consumption!$Q22/1000/$C$3)</f>
        <v>#DIV/0!</v>
      </c>
      <c r="W1222" s="1098" t="e">
        <f>IF($D$1212="",0,$D1222*Table3[[#This Row],[CF]]*chronic_consumption!$R22/1000/$C$3)</f>
        <v>#DIV/0!</v>
      </c>
      <c r="X1222" s="1098" t="e">
        <f>IF($D$1212="",0,$D1222*Table3[[#This Row],[CF]]*chronic_consumption!$S22/1000/$C$3)</f>
        <v>#DIV/0!</v>
      </c>
      <c r="Y1222" s="1098" t="e">
        <f>IF($D$1212="",0,$D1222*Table3[[#This Row],[CF]]*chronic_consumption!$T22/1000/$C$3)</f>
        <v>#DIV/0!</v>
      </c>
      <c r="Z1222" s="1098" t="e">
        <f>IF($D$1212="",0,$D1222*Table3[[#This Row],[CF]]*chronic_consumption!$U22/1000/$C$3)</f>
        <v>#DIV/0!</v>
      </c>
      <c r="AA1222" s="1098" t="e">
        <f>IF($D$1212="",0,$D1222*Table3[[#This Row],[CF]]*chronic_consumption!$V22/1000/$C$3)</f>
        <v>#DIV/0!</v>
      </c>
      <c r="AB1222" s="1098" t="e">
        <f>IF($D$1212="",0,$D1222*Table3[[#This Row],[CF]]*chronic_consumption!$W22/1000/$C$3)</f>
        <v>#DIV/0!</v>
      </c>
      <c r="AC1222" s="1098" t="e">
        <f>IF($D$1212="",0,$D1222*Table3[[#This Row],[CF]]*chronic_consumption!$X22/1000/$C$3)</f>
        <v>#DIV/0!</v>
      </c>
      <c r="AD1222" s="1098" t="e">
        <f>IF($D$1212="",0,$D1222*Table3[[#This Row],[CF]]*chronic_consumption!$Y22/1000/$C$3)</f>
        <v>#DIV/0!</v>
      </c>
      <c r="AE1222" s="1098" t="e">
        <f>IF($D$1212="",0,$D1222*Table3[[#This Row],[CF]]*chronic_consumption!$Z22/1000/$C$3)</f>
        <v>#DIV/0!</v>
      </c>
      <c r="AF1222" s="1098" t="e">
        <f>IF($D$1212="",0,$D1222*Table3[[#This Row],[CF]]*chronic_consumption!$AA22/1000/$C$3)</f>
        <v>#DIV/0!</v>
      </c>
      <c r="AG1222" s="1098" t="e">
        <f>IF($D$1212="",0,$D1222*Table3[[#This Row],[CF]]*chronic_consumption!$AB22/1000/$C$3)</f>
        <v>#DIV/0!</v>
      </c>
      <c r="AH1222" s="1098" t="e">
        <f>IF($D$1212="",0,$D1222*Table3[[#This Row],[CF]]*chronic_consumption!$AC22/1000/$C$3)</f>
        <v>#DIV/0!</v>
      </c>
      <c r="AI1222" s="1098" t="e">
        <f>IF($D$1212="",0,$D1222*Table3[[#This Row],[CF]]*chronic_consumption!$AD22/1000/$C$3)</f>
        <v>#DIV/0!</v>
      </c>
      <c r="AJ1222" s="1098" t="e">
        <f>IF($D$1212="",0,$D1222*Table3[[#This Row],[CF]]*chronic_consumption!$AE22/1000/$C$3)</f>
        <v>#DIV/0!</v>
      </c>
      <c r="AK1222" s="1098" t="e">
        <f>IF($D$1212="",0,$D1222*Table3[[#This Row],[CF]]*chronic_consumption!$AF22/1000/$C$3)</f>
        <v>#DIV/0!</v>
      </c>
      <c r="AL1222" s="1098" t="e">
        <f>IF($D$1212="",0,$D1222*Table3[[#This Row],[CF]]*chronic_consumption!$AG22/1000/$C$3)</f>
        <v>#DIV/0!</v>
      </c>
      <c r="AM1222" s="1098" t="e">
        <f>IF($D$1212="",0,$D1222*Table3[[#This Row],[CF]]*chronic_consumption!$AH22/1000/$C$3)</f>
        <v>#DIV/0!</v>
      </c>
      <c r="AN1222" s="1098" t="e">
        <f>IF($D$1212="",0,$D1222*Table3[[#This Row],[CF]]*chronic_consumption!$AI22/1000/$C$3)</f>
        <v>#DIV/0!</v>
      </c>
      <c r="AO1222" s="1098" t="e">
        <f>IF($D$1212="",0,$D1222*Table3[[#This Row],[CF]]*chronic_consumption!$AJ22/1000/$C$3)</f>
        <v>#DIV/0!</v>
      </c>
      <c r="AP1222" s="1098" t="e">
        <f>IF($D$1212="",0,$D1222*Table3[[#This Row],[CF]]*chronic_consumption!$AK22/1000/$C$3)</f>
        <v>#DIV/0!</v>
      </c>
      <c r="AQ1222" s="1098" t="e">
        <f>IF($D$1212="",0,$D1222*Table3[[#This Row],[CF]]*chronic_consumption!$AL22/1000/$C$3)</f>
        <v>#DIV/0!</v>
      </c>
      <c r="AR1222" s="1098" t="e">
        <f>IF($D$1212="",0,$D1222*Table3[[#This Row],[CF]]*chronic_consumption!$AM22/1000/$C$3)</f>
        <v>#DIV/0!</v>
      </c>
      <c r="AS1222" s="1098" t="e">
        <f>IF($D$1212="",0,$D1222*Table3[[#This Row],[CF]]*chronic_consumption!$AN22/1000/$C$3)</f>
        <v>#DIV/0!</v>
      </c>
      <c r="AT1222" s="1098" t="e">
        <f>IF($D$1212="",0,$D1222*Table3[[#This Row],[CF]]*chronic_consumption!$AO22/1000/$C$3)</f>
        <v>#DIV/0!</v>
      </c>
      <c r="AU1222" s="1099" t="e">
        <f t="shared" ref="AU1222:AY1231" si="833">IF(AU422="",0,IF(OR(1=RANK(AU822,AU$412:AU$790,0),(2=RANK(AU822,AU$412:AU$790,0))),AU822,AU422))</f>
        <v>#DIV/0!</v>
      </c>
      <c r="AV1222" s="1099" t="e">
        <f t="shared" si="833"/>
        <v>#DIV/0!</v>
      </c>
      <c r="AW1222" s="1099" t="e">
        <f t="shared" si="833"/>
        <v>#DIV/0!</v>
      </c>
      <c r="AX1222" s="1099" t="e">
        <f t="shared" si="833"/>
        <v>#DIV/0!</v>
      </c>
      <c r="AY1222" s="1099" t="e">
        <f t="shared" si="833"/>
        <v>#DIV/0!</v>
      </c>
      <c r="AZ1222" s="1091" t="s">
        <v>1012</v>
      </c>
      <c r="BA1222" s="1097" t="e">
        <f>IF(Table3[[#This Row],[max]]&lt;&gt;0,RANK(Table3[[#This Row],[max]],Table3[max],0),"")</f>
        <v>#DIV/0!</v>
      </c>
      <c r="BB1222" s="1096" t="e">
        <f t="shared" si="831"/>
        <v>#DIV/0!</v>
      </c>
      <c r="BC1222" s="1096" t="e">
        <f t="shared" ca="1" si="832"/>
        <v>#DIV/0!</v>
      </c>
      <c r="BD1222" s="1096" t="e">
        <f>IF(Table3[[#This Row],[max]]&gt;0,Table3[[#This Row],[Crop groups and examples of individual products within the groups to which the MRLs apply]],"")</f>
        <v>#DIV/0!</v>
      </c>
    </row>
    <row r="1223" spans="2:56" x14ac:dyDescent="0.2">
      <c r="B1223" s="23">
        <f t="shared" si="829"/>
        <v>120030</v>
      </c>
      <c r="C1223" s="23" t="str">
        <f t="shared" si="829"/>
        <v>Cashew nuts</v>
      </c>
      <c r="D1223" s="1084">
        <f>input_values!E23</f>
        <v>0</v>
      </c>
      <c r="E1223" s="1084">
        <f>input_values!F23</f>
        <v>0</v>
      </c>
      <c r="F1223" s="1085">
        <f>input_values!W23</f>
        <v>1</v>
      </c>
      <c r="G1223" s="1085" t="str">
        <f>IF(Table3[[#This Row],[CF]]&gt;0,CONCATENATE(IF(Table3[[#This Row],[LOQ]]="*","LOQ","MRL"),IF(input_values!G23&gt;0,"×CFrisk","")),"")</f>
        <v>MRL</v>
      </c>
      <c r="H1223" s="1087">
        <f>input_values!L23</f>
        <v>0</v>
      </c>
      <c r="I1223" s="1088">
        <f>input_values!D23</f>
        <v>0</v>
      </c>
      <c r="J1223" s="1098" t="e">
        <f>IF($D$1212="",0,$D1223*Table3[[#This Row],[CF]]*chronic_consumption!$E23/1000/$C$3)</f>
        <v>#DIV/0!</v>
      </c>
      <c r="K1223" s="1098" t="e">
        <f>IF($D$1212="",0,$D1223*Table3[[#This Row],[CF]]*chronic_consumption!$F23/1000/$C$3)</f>
        <v>#DIV/0!</v>
      </c>
      <c r="L1223" s="1098" t="e">
        <f>IF($D$1212="",0,$D1223*Table3[[#This Row],[CF]]*chronic_consumption!$G23/1000/$C$3)</f>
        <v>#DIV/0!</v>
      </c>
      <c r="M1223" s="1098" t="e">
        <f>IF($D$1212="",0,$D1223*Table3[[#This Row],[CF]]*chronic_consumption!$H23/1000/$C$3)</f>
        <v>#DIV/0!</v>
      </c>
      <c r="N1223" s="1098" t="e">
        <f>IF($D$1212="",0,$D1223*Table3[[#This Row],[CF]]*chronic_consumption!$I23/1000/$C$3)</f>
        <v>#DIV/0!</v>
      </c>
      <c r="O1223" s="1098" t="e">
        <f>IF($D$1212="",0,$D1223*Table3[[#This Row],[CF]]*chronic_consumption!$J23/1000/$C$3)</f>
        <v>#DIV/0!</v>
      </c>
      <c r="P1223" s="1098" t="e">
        <f>IF($D$1212="",0,$D1223*Table3[[#This Row],[CF]]*chronic_consumption!$K23/1000/$C$3)</f>
        <v>#DIV/0!</v>
      </c>
      <c r="Q1223" s="1098" t="e">
        <f>IF($D$1212="",0,$D1223*Table3[[#This Row],[CF]]*chronic_consumption!$L23/1000/$C$3)</f>
        <v>#DIV/0!</v>
      </c>
      <c r="R1223" s="1098" t="e">
        <f>IF($D$1212="",0,$D1223*Table3[[#This Row],[CF]]*chronic_consumption!$M23/1000/$C$3)</f>
        <v>#DIV/0!</v>
      </c>
      <c r="S1223" s="1098" t="e">
        <f>IF($D$1212="",0,$D1223*Table3[[#This Row],[CF]]*chronic_consumption!$N23/1000/$C$3)</f>
        <v>#DIV/0!</v>
      </c>
      <c r="T1223" s="1098" t="e">
        <f>IF($D$1212="",0,$D1223*Table3[[#This Row],[CF]]*chronic_consumption!$O23/1000/$C$3)</f>
        <v>#DIV/0!</v>
      </c>
      <c r="U1223" s="1098" t="e">
        <f>IF($D$1212="",0,$D1223*Table3[[#This Row],[CF]]*chronic_consumption!$P23/1000/$C$3)</f>
        <v>#DIV/0!</v>
      </c>
      <c r="V1223" s="1098" t="e">
        <f>IF($D$1212="",0,$D1223*Table3[[#This Row],[CF]]*chronic_consumption!$Q23/1000/$C$3)</f>
        <v>#DIV/0!</v>
      </c>
      <c r="W1223" s="1098" t="e">
        <f>IF($D$1212="",0,$D1223*Table3[[#This Row],[CF]]*chronic_consumption!$R23/1000/$C$3)</f>
        <v>#DIV/0!</v>
      </c>
      <c r="X1223" s="1098" t="e">
        <f>IF($D$1212="",0,$D1223*Table3[[#This Row],[CF]]*chronic_consumption!$S23/1000/$C$3)</f>
        <v>#DIV/0!</v>
      </c>
      <c r="Y1223" s="1098" t="e">
        <f>IF($D$1212="",0,$D1223*Table3[[#This Row],[CF]]*chronic_consumption!$T23/1000/$C$3)</f>
        <v>#DIV/0!</v>
      </c>
      <c r="Z1223" s="1098" t="e">
        <f>IF($D$1212="",0,$D1223*Table3[[#This Row],[CF]]*chronic_consumption!$U23/1000/$C$3)</f>
        <v>#DIV/0!</v>
      </c>
      <c r="AA1223" s="1098" t="e">
        <f>IF($D$1212="",0,$D1223*Table3[[#This Row],[CF]]*chronic_consumption!$V23/1000/$C$3)</f>
        <v>#DIV/0!</v>
      </c>
      <c r="AB1223" s="1098" t="e">
        <f>IF($D$1212="",0,$D1223*Table3[[#This Row],[CF]]*chronic_consumption!$W23/1000/$C$3)</f>
        <v>#DIV/0!</v>
      </c>
      <c r="AC1223" s="1098" t="e">
        <f>IF($D$1212="",0,$D1223*Table3[[#This Row],[CF]]*chronic_consumption!$X23/1000/$C$3)</f>
        <v>#DIV/0!</v>
      </c>
      <c r="AD1223" s="1098" t="e">
        <f>IF($D$1212="",0,$D1223*Table3[[#This Row],[CF]]*chronic_consumption!$Y23/1000/$C$3)</f>
        <v>#DIV/0!</v>
      </c>
      <c r="AE1223" s="1098" t="e">
        <f>IF($D$1212="",0,$D1223*Table3[[#This Row],[CF]]*chronic_consumption!$Z23/1000/$C$3)</f>
        <v>#DIV/0!</v>
      </c>
      <c r="AF1223" s="1098" t="e">
        <f>IF($D$1212="",0,$D1223*Table3[[#This Row],[CF]]*chronic_consumption!$AA23/1000/$C$3)</f>
        <v>#DIV/0!</v>
      </c>
      <c r="AG1223" s="1098" t="e">
        <f>IF($D$1212="",0,$D1223*Table3[[#This Row],[CF]]*chronic_consumption!$AB23/1000/$C$3)</f>
        <v>#DIV/0!</v>
      </c>
      <c r="AH1223" s="1098" t="e">
        <f>IF($D$1212="",0,$D1223*Table3[[#This Row],[CF]]*chronic_consumption!$AC23/1000/$C$3)</f>
        <v>#DIV/0!</v>
      </c>
      <c r="AI1223" s="1098" t="e">
        <f>IF($D$1212="",0,$D1223*Table3[[#This Row],[CF]]*chronic_consumption!$AD23/1000/$C$3)</f>
        <v>#DIV/0!</v>
      </c>
      <c r="AJ1223" s="1098" t="e">
        <f>IF($D$1212="",0,$D1223*Table3[[#This Row],[CF]]*chronic_consumption!$AE23/1000/$C$3)</f>
        <v>#DIV/0!</v>
      </c>
      <c r="AK1223" s="1098" t="e">
        <f>IF($D$1212="",0,$D1223*Table3[[#This Row],[CF]]*chronic_consumption!$AF23/1000/$C$3)</f>
        <v>#DIV/0!</v>
      </c>
      <c r="AL1223" s="1098" t="e">
        <f>IF($D$1212="",0,$D1223*Table3[[#This Row],[CF]]*chronic_consumption!$AG23/1000/$C$3)</f>
        <v>#DIV/0!</v>
      </c>
      <c r="AM1223" s="1098" t="e">
        <f>IF($D$1212="",0,$D1223*Table3[[#This Row],[CF]]*chronic_consumption!$AH23/1000/$C$3)</f>
        <v>#DIV/0!</v>
      </c>
      <c r="AN1223" s="1098" t="e">
        <f>IF($D$1212="",0,$D1223*Table3[[#This Row],[CF]]*chronic_consumption!$AI23/1000/$C$3)</f>
        <v>#DIV/0!</v>
      </c>
      <c r="AO1223" s="1098" t="e">
        <f>IF($D$1212="",0,$D1223*Table3[[#This Row],[CF]]*chronic_consumption!$AJ23/1000/$C$3)</f>
        <v>#DIV/0!</v>
      </c>
      <c r="AP1223" s="1098" t="e">
        <f>IF($D$1212="",0,$D1223*Table3[[#This Row],[CF]]*chronic_consumption!$AK23/1000/$C$3)</f>
        <v>#DIV/0!</v>
      </c>
      <c r="AQ1223" s="1098" t="e">
        <f>IF($D$1212="",0,$D1223*Table3[[#This Row],[CF]]*chronic_consumption!$AL23/1000/$C$3)</f>
        <v>#DIV/0!</v>
      </c>
      <c r="AR1223" s="1098" t="e">
        <f>IF($D$1212="",0,$D1223*Table3[[#This Row],[CF]]*chronic_consumption!$AM23/1000/$C$3)</f>
        <v>#DIV/0!</v>
      </c>
      <c r="AS1223" s="1098" t="e">
        <f>IF($D$1212="",0,$D1223*Table3[[#This Row],[CF]]*chronic_consumption!$AN23/1000/$C$3)</f>
        <v>#DIV/0!</v>
      </c>
      <c r="AT1223" s="1098" t="e">
        <f>IF($D$1212="",0,$D1223*Table3[[#This Row],[CF]]*chronic_consumption!$AO23/1000/$C$3)</f>
        <v>#DIV/0!</v>
      </c>
      <c r="AU1223" s="1099" t="e">
        <f t="shared" si="833"/>
        <v>#DIV/0!</v>
      </c>
      <c r="AV1223" s="1099" t="e">
        <f t="shared" si="833"/>
        <v>#DIV/0!</v>
      </c>
      <c r="AW1223" s="1099" t="e">
        <f t="shared" si="833"/>
        <v>#DIV/0!</v>
      </c>
      <c r="AX1223" s="1099" t="e">
        <f t="shared" si="833"/>
        <v>#DIV/0!</v>
      </c>
      <c r="AY1223" s="1099" t="e">
        <f t="shared" si="833"/>
        <v>#DIV/0!</v>
      </c>
      <c r="AZ1223" s="1091" t="s">
        <v>1012</v>
      </c>
      <c r="BA1223" s="1097" t="e">
        <f>IF(Table3[[#This Row],[max]]&lt;&gt;0,RANK(Table3[[#This Row],[max]],Table3[max],0),"")</f>
        <v>#DIV/0!</v>
      </c>
      <c r="BB1223" s="1096" t="e">
        <f t="shared" si="831"/>
        <v>#DIV/0!</v>
      </c>
      <c r="BC1223" s="1096" t="e">
        <f t="shared" ca="1" si="832"/>
        <v>#DIV/0!</v>
      </c>
      <c r="BD1223" s="1096" t="e">
        <f>IF(Table3[[#This Row],[max]]&gt;0,Table3[[#This Row],[Crop groups and examples of individual products within the groups to which the MRLs apply]],"")</f>
        <v>#DIV/0!</v>
      </c>
    </row>
    <row r="1224" spans="2:56" x14ac:dyDescent="0.2">
      <c r="B1224" s="23">
        <f t="shared" si="829"/>
        <v>120040</v>
      </c>
      <c r="C1224" s="23" t="str">
        <f t="shared" si="829"/>
        <v>Chestnuts</v>
      </c>
      <c r="D1224" s="1084">
        <f>input_values!E24</f>
        <v>0</v>
      </c>
      <c r="E1224" s="1084">
        <f>input_values!F24</f>
        <v>0</v>
      </c>
      <c r="F1224" s="1085">
        <f>input_values!W24</f>
        <v>1</v>
      </c>
      <c r="G1224" s="1085" t="str">
        <f>IF(Table3[[#This Row],[CF]]&gt;0,CONCATENATE(IF(Table3[[#This Row],[LOQ]]="*","LOQ","MRL"),IF(input_values!G24&gt;0,"×CFrisk","")),"")</f>
        <v>MRL</v>
      </c>
      <c r="H1224" s="1087">
        <f>input_values!L24</f>
        <v>0</v>
      </c>
      <c r="I1224" s="1088">
        <f>input_values!D24</f>
        <v>0</v>
      </c>
      <c r="J1224" s="1098" t="e">
        <f>IF($D$1212="",0,$D1224*Table3[[#This Row],[CF]]*chronic_consumption!$E24/1000/$C$3)</f>
        <v>#DIV/0!</v>
      </c>
      <c r="K1224" s="1098" t="e">
        <f>IF($D$1212="",0,$D1224*Table3[[#This Row],[CF]]*chronic_consumption!$F24/1000/$C$3)</f>
        <v>#DIV/0!</v>
      </c>
      <c r="L1224" s="1098" t="e">
        <f>IF($D$1212="",0,$D1224*Table3[[#This Row],[CF]]*chronic_consumption!$G24/1000/$C$3)</f>
        <v>#DIV/0!</v>
      </c>
      <c r="M1224" s="1098" t="e">
        <f>IF($D$1212="",0,$D1224*Table3[[#This Row],[CF]]*chronic_consumption!$H24/1000/$C$3)</f>
        <v>#DIV/0!</v>
      </c>
      <c r="N1224" s="1098" t="e">
        <f>IF($D$1212="",0,$D1224*Table3[[#This Row],[CF]]*chronic_consumption!$I24/1000/$C$3)</f>
        <v>#DIV/0!</v>
      </c>
      <c r="O1224" s="1098" t="e">
        <f>IF($D$1212="",0,$D1224*Table3[[#This Row],[CF]]*chronic_consumption!$J24/1000/$C$3)</f>
        <v>#DIV/0!</v>
      </c>
      <c r="P1224" s="1098" t="e">
        <f>IF($D$1212="",0,$D1224*Table3[[#This Row],[CF]]*chronic_consumption!$K24/1000/$C$3)</f>
        <v>#DIV/0!</v>
      </c>
      <c r="Q1224" s="1098" t="e">
        <f>IF($D$1212="",0,$D1224*Table3[[#This Row],[CF]]*chronic_consumption!$L24/1000/$C$3)</f>
        <v>#DIV/0!</v>
      </c>
      <c r="R1224" s="1098" t="e">
        <f>IF($D$1212="",0,$D1224*Table3[[#This Row],[CF]]*chronic_consumption!$M24/1000/$C$3)</f>
        <v>#DIV/0!</v>
      </c>
      <c r="S1224" s="1098" t="e">
        <f>IF($D$1212="",0,$D1224*Table3[[#This Row],[CF]]*chronic_consumption!$N24/1000/$C$3)</f>
        <v>#DIV/0!</v>
      </c>
      <c r="T1224" s="1098" t="e">
        <f>IF($D$1212="",0,$D1224*Table3[[#This Row],[CF]]*chronic_consumption!$O24/1000/$C$3)</f>
        <v>#DIV/0!</v>
      </c>
      <c r="U1224" s="1098" t="e">
        <f>IF($D$1212="",0,$D1224*Table3[[#This Row],[CF]]*chronic_consumption!$P24/1000/$C$3)</f>
        <v>#DIV/0!</v>
      </c>
      <c r="V1224" s="1098" t="e">
        <f>IF($D$1212="",0,$D1224*Table3[[#This Row],[CF]]*chronic_consumption!$Q24/1000/$C$3)</f>
        <v>#DIV/0!</v>
      </c>
      <c r="W1224" s="1098" t="e">
        <f>IF($D$1212="",0,$D1224*Table3[[#This Row],[CF]]*chronic_consumption!$R24/1000/$C$3)</f>
        <v>#DIV/0!</v>
      </c>
      <c r="X1224" s="1098" t="e">
        <f>IF($D$1212="",0,$D1224*Table3[[#This Row],[CF]]*chronic_consumption!$S24/1000/$C$3)</f>
        <v>#DIV/0!</v>
      </c>
      <c r="Y1224" s="1098" t="e">
        <f>IF($D$1212="",0,$D1224*Table3[[#This Row],[CF]]*chronic_consumption!$T24/1000/$C$3)</f>
        <v>#DIV/0!</v>
      </c>
      <c r="Z1224" s="1098" t="e">
        <f>IF($D$1212="",0,$D1224*Table3[[#This Row],[CF]]*chronic_consumption!$U24/1000/$C$3)</f>
        <v>#DIV/0!</v>
      </c>
      <c r="AA1224" s="1098" t="e">
        <f>IF($D$1212="",0,$D1224*Table3[[#This Row],[CF]]*chronic_consumption!$V24/1000/$C$3)</f>
        <v>#DIV/0!</v>
      </c>
      <c r="AB1224" s="1098" t="e">
        <f>IF($D$1212="",0,$D1224*Table3[[#This Row],[CF]]*chronic_consumption!$W24/1000/$C$3)</f>
        <v>#DIV/0!</v>
      </c>
      <c r="AC1224" s="1098" t="e">
        <f>IF($D$1212="",0,$D1224*Table3[[#This Row],[CF]]*chronic_consumption!$X24/1000/$C$3)</f>
        <v>#DIV/0!</v>
      </c>
      <c r="AD1224" s="1098" t="e">
        <f>IF($D$1212="",0,$D1224*Table3[[#This Row],[CF]]*chronic_consumption!$Y24/1000/$C$3)</f>
        <v>#DIV/0!</v>
      </c>
      <c r="AE1224" s="1098" t="e">
        <f>IF($D$1212="",0,$D1224*Table3[[#This Row],[CF]]*chronic_consumption!$Z24/1000/$C$3)</f>
        <v>#DIV/0!</v>
      </c>
      <c r="AF1224" s="1098" t="e">
        <f>IF($D$1212="",0,$D1224*Table3[[#This Row],[CF]]*chronic_consumption!$AA24/1000/$C$3)</f>
        <v>#DIV/0!</v>
      </c>
      <c r="AG1224" s="1098" t="e">
        <f>IF($D$1212="",0,$D1224*Table3[[#This Row],[CF]]*chronic_consumption!$AB24/1000/$C$3)</f>
        <v>#DIV/0!</v>
      </c>
      <c r="AH1224" s="1098" t="e">
        <f>IF($D$1212="",0,$D1224*Table3[[#This Row],[CF]]*chronic_consumption!$AC24/1000/$C$3)</f>
        <v>#DIV/0!</v>
      </c>
      <c r="AI1224" s="1098" t="e">
        <f>IF($D$1212="",0,$D1224*Table3[[#This Row],[CF]]*chronic_consumption!$AD24/1000/$C$3)</f>
        <v>#DIV/0!</v>
      </c>
      <c r="AJ1224" s="1098" t="e">
        <f>IF($D$1212="",0,$D1224*Table3[[#This Row],[CF]]*chronic_consumption!$AE24/1000/$C$3)</f>
        <v>#DIV/0!</v>
      </c>
      <c r="AK1224" s="1098" t="e">
        <f>IF($D$1212="",0,$D1224*Table3[[#This Row],[CF]]*chronic_consumption!$AF24/1000/$C$3)</f>
        <v>#DIV/0!</v>
      </c>
      <c r="AL1224" s="1098" t="e">
        <f>IF($D$1212="",0,$D1224*Table3[[#This Row],[CF]]*chronic_consumption!$AG24/1000/$C$3)</f>
        <v>#DIV/0!</v>
      </c>
      <c r="AM1224" s="1098" t="e">
        <f>IF($D$1212="",0,$D1224*Table3[[#This Row],[CF]]*chronic_consumption!$AH24/1000/$C$3)</f>
        <v>#DIV/0!</v>
      </c>
      <c r="AN1224" s="1098" t="e">
        <f>IF($D$1212="",0,$D1224*Table3[[#This Row],[CF]]*chronic_consumption!$AI24/1000/$C$3)</f>
        <v>#DIV/0!</v>
      </c>
      <c r="AO1224" s="1098" t="e">
        <f>IF($D$1212="",0,$D1224*Table3[[#This Row],[CF]]*chronic_consumption!$AJ24/1000/$C$3)</f>
        <v>#DIV/0!</v>
      </c>
      <c r="AP1224" s="1098" t="e">
        <f>IF($D$1212="",0,$D1224*Table3[[#This Row],[CF]]*chronic_consumption!$AK24/1000/$C$3)</f>
        <v>#DIV/0!</v>
      </c>
      <c r="AQ1224" s="1098" t="e">
        <f>IF($D$1212="",0,$D1224*Table3[[#This Row],[CF]]*chronic_consumption!$AL24/1000/$C$3)</f>
        <v>#DIV/0!</v>
      </c>
      <c r="AR1224" s="1098" t="e">
        <f>IF($D$1212="",0,$D1224*Table3[[#This Row],[CF]]*chronic_consumption!$AM24/1000/$C$3)</f>
        <v>#DIV/0!</v>
      </c>
      <c r="AS1224" s="1098" t="e">
        <f>IF($D$1212="",0,$D1224*Table3[[#This Row],[CF]]*chronic_consumption!$AN24/1000/$C$3)</f>
        <v>#DIV/0!</v>
      </c>
      <c r="AT1224" s="1098" t="e">
        <f>IF($D$1212="",0,$D1224*Table3[[#This Row],[CF]]*chronic_consumption!$AO24/1000/$C$3)</f>
        <v>#DIV/0!</v>
      </c>
      <c r="AU1224" s="1099" t="e">
        <f t="shared" si="833"/>
        <v>#DIV/0!</v>
      </c>
      <c r="AV1224" s="1099" t="e">
        <f t="shared" si="833"/>
        <v>#DIV/0!</v>
      </c>
      <c r="AW1224" s="1099" t="e">
        <f t="shared" si="833"/>
        <v>#DIV/0!</v>
      </c>
      <c r="AX1224" s="1099" t="e">
        <f t="shared" si="833"/>
        <v>#DIV/0!</v>
      </c>
      <c r="AY1224" s="1099" t="e">
        <f t="shared" si="833"/>
        <v>#DIV/0!</v>
      </c>
      <c r="AZ1224" s="1091" t="s">
        <v>1012</v>
      </c>
      <c r="BA1224" s="1097" t="e">
        <f>IF(Table3[[#This Row],[max]]&lt;&gt;0,RANK(Table3[[#This Row],[max]],Table3[max],0),"")</f>
        <v>#DIV/0!</v>
      </c>
      <c r="BB1224" s="1096" t="e">
        <f t="shared" si="831"/>
        <v>#DIV/0!</v>
      </c>
      <c r="BC1224" s="1096" t="e">
        <f t="shared" ca="1" si="832"/>
        <v>#DIV/0!</v>
      </c>
      <c r="BD1224" s="1096" t="e">
        <f>IF(Table3[[#This Row],[max]]&gt;0,Table3[[#This Row],[Crop groups and examples of individual products within the groups to which the MRLs apply]],"")</f>
        <v>#DIV/0!</v>
      </c>
    </row>
    <row r="1225" spans="2:56" x14ac:dyDescent="0.2">
      <c r="B1225" s="23">
        <f t="shared" si="829"/>
        <v>120050</v>
      </c>
      <c r="C1225" s="23" t="str">
        <f t="shared" si="829"/>
        <v>Coconuts</v>
      </c>
      <c r="D1225" s="1084">
        <f>input_values!E25</f>
        <v>0</v>
      </c>
      <c r="E1225" s="1084">
        <f>input_values!F25</f>
        <v>0</v>
      </c>
      <c r="F1225" s="1085">
        <f>input_values!W25</f>
        <v>1</v>
      </c>
      <c r="G1225" s="1085" t="str">
        <f>IF(Table3[[#This Row],[CF]]&gt;0,CONCATENATE(IF(Table3[[#This Row],[LOQ]]="*","LOQ","MRL"),IF(input_values!G25&gt;0,"×CFrisk","")),"")</f>
        <v>MRL</v>
      </c>
      <c r="H1225" s="1087">
        <f>input_values!L25</f>
        <v>0</v>
      </c>
      <c r="I1225" s="1088">
        <f>input_values!D25</f>
        <v>0</v>
      </c>
      <c r="J1225" s="1098" t="e">
        <f>IF($D$1212="",0,$D1225*Table3[[#This Row],[CF]]*chronic_consumption!$E25/1000/$C$3)</f>
        <v>#DIV/0!</v>
      </c>
      <c r="K1225" s="1098" t="e">
        <f>IF($D$1212="",0,$D1225*Table3[[#This Row],[CF]]*chronic_consumption!$F25/1000/$C$3)</f>
        <v>#DIV/0!</v>
      </c>
      <c r="L1225" s="1098" t="e">
        <f>IF($D$1212="",0,$D1225*Table3[[#This Row],[CF]]*chronic_consumption!$G25/1000/$C$3)</f>
        <v>#DIV/0!</v>
      </c>
      <c r="M1225" s="1098" t="e">
        <f>IF($D$1212="",0,$D1225*Table3[[#This Row],[CF]]*chronic_consumption!$H25/1000/$C$3)</f>
        <v>#DIV/0!</v>
      </c>
      <c r="N1225" s="1098" t="e">
        <f>IF($D$1212="",0,$D1225*Table3[[#This Row],[CF]]*chronic_consumption!$I25/1000/$C$3)</f>
        <v>#DIV/0!</v>
      </c>
      <c r="O1225" s="1098" t="e">
        <f>IF($D$1212="",0,$D1225*Table3[[#This Row],[CF]]*chronic_consumption!$J25/1000/$C$3)</f>
        <v>#DIV/0!</v>
      </c>
      <c r="P1225" s="1098" t="e">
        <f>IF($D$1212="",0,$D1225*Table3[[#This Row],[CF]]*chronic_consumption!$K25/1000/$C$3)</f>
        <v>#DIV/0!</v>
      </c>
      <c r="Q1225" s="1098" t="e">
        <f>IF($D$1212="",0,$D1225*Table3[[#This Row],[CF]]*chronic_consumption!$L25/1000/$C$3)</f>
        <v>#DIV/0!</v>
      </c>
      <c r="R1225" s="1098" t="e">
        <f>IF($D$1212="",0,$D1225*Table3[[#This Row],[CF]]*chronic_consumption!$M25/1000/$C$3)</f>
        <v>#DIV/0!</v>
      </c>
      <c r="S1225" s="1098" t="e">
        <f>IF($D$1212="",0,$D1225*Table3[[#This Row],[CF]]*chronic_consumption!$N25/1000/$C$3)</f>
        <v>#DIV/0!</v>
      </c>
      <c r="T1225" s="1098" t="e">
        <f>IF($D$1212="",0,$D1225*Table3[[#This Row],[CF]]*chronic_consumption!$O25/1000/$C$3)</f>
        <v>#DIV/0!</v>
      </c>
      <c r="U1225" s="1098" t="e">
        <f>IF($D$1212="",0,$D1225*Table3[[#This Row],[CF]]*chronic_consumption!$P25/1000/$C$3)</f>
        <v>#DIV/0!</v>
      </c>
      <c r="V1225" s="1098" t="e">
        <f>IF($D$1212="",0,$D1225*Table3[[#This Row],[CF]]*chronic_consumption!$Q25/1000/$C$3)</f>
        <v>#DIV/0!</v>
      </c>
      <c r="W1225" s="1098" t="e">
        <f>IF($D$1212="",0,$D1225*Table3[[#This Row],[CF]]*chronic_consumption!$R25/1000/$C$3)</f>
        <v>#DIV/0!</v>
      </c>
      <c r="X1225" s="1098" t="e">
        <f>IF($D$1212="",0,$D1225*Table3[[#This Row],[CF]]*chronic_consumption!$S25/1000/$C$3)</f>
        <v>#DIV/0!</v>
      </c>
      <c r="Y1225" s="1098" t="e">
        <f>IF($D$1212="",0,$D1225*Table3[[#This Row],[CF]]*chronic_consumption!$T25/1000/$C$3)</f>
        <v>#DIV/0!</v>
      </c>
      <c r="Z1225" s="1098" t="e">
        <f>IF($D$1212="",0,$D1225*Table3[[#This Row],[CF]]*chronic_consumption!$U25/1000/$C$3)</f>
        <v>#DIV/0!</v>
      </c>
      <c r="AA1225" s="1098" t="e">
        <f>IF($D$1212="",0,$D1225*Table3[[#This Row],[CF]]*chronic_consumption!$V25/1000/$C$3)</f>
        <v>#DIV/0!</v>
      </c>
      <c r="AB1225" s="1098" t="e">
        <f>IF($D$1212="",0,$D1225*Table3[[#This Row],[CF]]*chronic_consumption!$W25/1000/$C$3)</f>
        <v>#DIV/0!</v>
      </c>
      <c r="AC1225" s="1098" t="e">
        <f>IF($D$1212="",0,$D1225*Table3[[#This Row],[CF]]*chronic_consumption!$X25/1000/$C$3)</f>
        <v>#DIV/0!</v>
      </c>
      <c r="AD1225" s="1098" t="e">
        <f>IF($D$1212="",0,$D1225*Table3[[#This Row],[CF]]*chronic_consumption!$Y25/1000/$C$3)</f>
        <v>#DIV/0!</v>
      </c>
      <c r="AE1225" s="1098" t="e">
        <f>IF($D$1212="",0,$D1225*Table3[[#This Row],[CF]]*chronic_consumption!$Z25/1000/$C$3)</f>
        <v>#DIV/0!</v>
      </c>
      <c r="AF1225" s="1098" t="e">
        <f>IF($D$1212="",0,$D1225*Table3[[#This Row],[CF]]*chronic_consumption!$AA25/1000/$C$3)</f>
        <v>#DIV/0!</v>
      </c>
      <c r="AG1225" s="1098" t="e">
        <f>IF($D$1212="",0,$D1225*Table3[[#This Row],[CF]]*chronic_consumption!$AB25/1000/$C$3)</f>
        <v>#DIV/0!</v>
      </c>
      <c r="AH1225" s="1098" t="e">
        <f>IF($D$1212="",0,$D1225*Table3[[#This Row],[CF]]*chronic_consumption!$AC25/1000/$C$3)</f>
        <v>#DIV/0!</v>
      </c>
      <c r="AI1225" s="1098" t="e">
        <f>IF($D$1212="",0,$D1225*Table3[[#This Row],[CF]]*chronic_consumption!$AD25/1000/$C$3)</f>
        <v>#DIV/0!</v>
      </c>
      <c r="AJ1225" s="1098" t="e">
        <f>IF($D$1212="",0,$D1225*Table3[[#This Row],[CF]]*chronic_consumption!$AE25/1000/$C$3)</f>
        <v>#DIV/0!</v>
      </c>
      <c r="AK1225" s="1098" t="e">
        <f>IF($D$1212="",0,$D1225*Table3[[#This Row],[CF]]*chronic_consumption!$AF25/1000/$C$3)</f>
        <v>#DIV/0!</v>
      </c>
      <c r="AL1225" s="1098" t="e">
        <f>IF($D$1212="",0,$D1225*Table3[[#This Row],[CF]]*chronic_consumption!$AG25/1000/$C$3)</f>
        <v>#DIV/0!</v>
      </c>
      <c r="AM1225" s="1098" t="e">
        <f>IF($D$1212="",0,$D1225*Table3[[#This Row],[CF]]*chronic_consumption!$AH25/1000/$C$3)</f>
        <v>#DIV/0!</v>
      </c>
      <c r="AN1225" s="1098" t="e">
        <f>IF($D$1212="",0,$D1225*Table3[[#This Row],[CF]]*chronic_consumption!$AI25/1000/$C$3)</f>
        <v>#DIV/0!</v>
      </c>
      <c r="AO1225" s="1098" t="e">
        <f>IF($D$1212="",0,$D1225*Table3[[#This Row],[CF]]*chronic_consumption!$AJ25/1000/$C$3)</f>
        <v>#DIV/0!</v>
      </c>
      <c r="AP1225" s="1098" t="e">
        <f>IF($D$1212="",0,$D1225*Table3[[#This Row],[CF]]*chronic_consumption!$AK25/1000/$C$3)</f>
        <v>#DIV/0!</v>
      </c>
      <c r="AQ1225" s="1098" t="e">
        <f>IF($D$1212="",0,$D1225*Table3[[#This Row],[CF]]*chronic_consumption!$AL25/1000/$C$3)</f>
        <v>#DIV/0!</v>
      </c>
      <c r="AR1225" s="1098" t="e">
        <f>IF($D$1212="",0,$D1225*Table3[[#This Row],[CF]]*chronic_consumption!$AM25/1000/$C$3)</f>
        <v>#DIV/0!</v>
      </c>
      <c r="AS1225" s="1098" t="e">
        <f>IF($D$1212="",0,$D1225*Table3[[#This Row],[CF]]*chronic_consumption!$AN25/1000/$C$3)</f>
        <v>#DIV/0!</v>
      </c>
      <c r="AT1225" s="1098" t="e">
        <f>IF($D$1212="",0,$D1225*Table3[[#This Row],[CF]]*chronic_consumption!$AO25/1000/$C$3)</f>
        <v>#DIV/0!</v>
      </c>
      <c r="AU1225" s="1099" t="e">
        <f t="shared" si="833"/>
        <v>#DIV/0!</v>
      </c>
      <c r="AV1225" s="1099" t="e">
        <f t="shared" si="833"/>
        <v>#DIV/0!</v>
      </c>
      <c r="AW1225" s="1099" t="e">
        <f t="shared" si="833"/>
        <v>#DIV/0!</v>
      </c>
      <c r="AX1225" s="1099" t="e">
        <f t="shared" si="833"/>
        <v>#DIV/0!</v>
      </c>
      <c r="AY1225" s="1099" t="e">
        <f t="shared" si="833"/>
        <v>#DIV/0!</v>
      </c>
      <c r="AZ1225" s="1091" t="s">
        <v>1012</v>
      </c>
      <c r="BA1225" s="1097" t="e">
        <f>IF(Table3[[#This Row],[max]]&lt;&gt;0,RANK(Table3[[#This Row],[max]],Table3[max],0),"")</f>
        <v>#DIV/0!</v>
      </c>
      <c r="BB1225" s="1096" t="e">
        <f t="shared" si="831"/>
        <v>#DIV/0!</v>
      </c>
      <c r="BC1225" s="1096" t="e">
        <f t="shared" ca="1" si="832"/>
        <v>#DIV/0!</v>
      </c>
      <c r="BD1225" s="1096" t="e">
        <f>IF(Table3[[#This Row],[max]]&gt;0,Table3[[#This Row],[Crop groups and examples of individual products within the groups to which the MRLs apply]],"")</f>
        <v>#DIV/0!</v>
      </c>
    </row>
    <row r="1226" spans="2:56" x14ac:dyDescent="0.2">
      <c r="B1226" s="23">
        <f t="shared" si="829"/>
        <v>120060</v>
      </c>
      <c r="C1226" s="23" t="str">
        <f t="shared" si="829"/>
        <v>Hazelnuts/cobnuts</v>
      </c>
      <c r="D1226" s="1084">
        <f>input_values!E26</f>
        <v>0</v>
      </c>
      <c r="E1226" s="1084">
        <f>input_values!F26</f>
        <v>0</v>
      </c>
      <c r="F1226" s="1085">
        <f>input_values!W26</f>
        <v>1</v>
      </c>
      <c r="G1226" s="1085" t="str">
        <f>IF(Table3[[#This Row],[CF]]&gt;0,CONCATENATE(IF(Table3[[#This Row],[LOQ]]="*","LOQ","MRL"),IF(input_values!G26&gt;0,"×CFrisk","")),"")</f>
        <v>MRL</v>
      </c>
      <c r="H1226" s="1087">
        <f>input_values!L26</f>
        <v>0</v>
      </c>
      <c r="I1226" s="1088">
        <f>input_values!D26</f>
        <v>0</v>
      </c>
      <c r="J1226" s="1098" t="e">
        <f>IF($D$1212="",0,$D1226*Table3[[#This Row],[CF]]*chronic_consumption!$E26/1000/$C$3)</f>
        <v>#DIV/0!</v>
      </c>
      <c r="K1226" s="1098" t="e">
        <f>IF($D$1212="",0,$D1226*Table3[[#This Row],[CF]]*chronic_consumption!$F26/1000/$C$3)</f>
        <v>#DIV/0!</v>
      </c>
      <c r="L1226" s="1098" t="e">
        <f>IF($D$1212="",0,$D1226*Table3[[#This Row],[CF]]*chronic_consumption!$G26/1000/$C$3)</f>
        <v>#DIV/0!</v>
      </c>
      <c r="M1226" s="1098" t="e">
        <f>IF($D$1212="",0,$D1226*Table3[[#This Row],[CF]]*chronic_consumption!$H26/1000/$C$3)</f>
        <v>#DIV/0!</v>
      </c>
      <c r="N1226" s="1098" t="e">
        <f>IF($D$1212="",0,$D1226*Table3[[#This Row],[CF]]*chronic_consumption!$I26/1000/$C$3)</f>
        <v>#DIV/0!</v>
      </c>
      <c r="O1226" s="1098" t="e">
        <f>IF($D$1212="",0,$D1226*Table3[[#This Row],[CF]]*chronic_consumption!$J26/1000/$C$3)</f>
        <v>#DIV/0!</v>
      </c>
      <c r="P1226" s="1098" t="e">
        <f>IF($D$1212="",0,$D1226*Table3[[#This Row],[CF]]*chronic_consumption!$K26/1000/$C$3)</f>
        <v>#DIV/0!</v>
      </c>
      <c r="Q1226" s="1098" t="e">
        <f>IF($D$1212="",0,$D1226*Table3[[#This Row],[CF]]*chronic_consumption!$L26/1000/$C$3)</f>
        <v>#DIV/0!</v>
      </c>
      <c r="R1226" s="1098" t="e">
        <f>IF($D$1212="",0,$D1226*Table3[[#This Row],[CF]]*chronic_consumption!$M26/1000/$C$3)</f>
        <v>#DIV/0!</v>
      </c>
      <c r="S1226" s="1098" t="e">
        <f>IF($D$1212="",0,$D1226*Table3[[#This Row],[CF]]*chronic_consumption!$N26/1000/$C$3)</f>
        <v>#DIV/0!</v>
      </c>
      <c r="T1226" s="1098" t="e">
        <f>IF($D$1212="",0,$D1226*Table3[[#This Row],[CF]]*chronic_consumption!$O26/1000/$C$3)</f>
        <v>#DIV/0!</v>
      </c>
      <c r="U1226" s="1098" t="e">
        <f>IF($D$1212="",0,$D1226*Table3[[#This Row],[CF]]*chronic_consumption!$P26/1000/$C$3)</f>
        <v>#DIV/0!</v>
      </c>
      <c r="V1226" s="1098" t="e">
        <f>IF($D$1212="",0,$D1226*Table3[[#This Row],[CF]]*chronic_consumption!$Q26/1000/$C$3)</f>
        <v>#DIV/0!</v>
      </c>
      <c r="W1226" s="1098" t="e">
        <f>IF($D$1212="",0,$D1226*Table3[[#This Row],[CF]]*chronic_consumption!$R26/1000/$C$3)</f>
        <v>#DIV/0!</v>
      </c>
      <c r="X1226" s="1098" t="e">
        <f>IF($D$1212="",0,$D1226*Table3[[#This Row],[CF]]*chronic_consumption!$S26/1000/$C$3)</f>
        <v>#DIV/0!</v>
      </c>
      <c r="Y1226" s="1098" t="e">
        <f>IF($D$1212="",0,$D1226*Table3[[#This Row],[CF]]*chronic_consumption!$T26/1000/$C$3)</f>
        <v>#DIV/0!</v>
      </c>
      <c r="Z1226" s="1098" t="e">
        <f>IF($D$1212="",0,$D1226*Table3[[#This Row],[CF]]*chronic_consumption!$U26/1000/$C$3)</f>
        <v>#DIV/0!</v>
      </c>
      <c r="AA1226" s="1098" t="e">
        <f>IF($D$1212="",0,$D1226*Table3[[#This Row],[CF]]*chronic_consumption!$V26/1000/$C$3)</f>
        <v>#DIV/0!</v>
      </c>
      <c r="AB1226" s="1098" t="e">
        <f>IF($D$1212="",0,$D1226*Table3[[#This Row],[CF]]*chronic_consumption!$W26/1000/$C$3)</f>
        <v>#DIV/0!</v>
      </c>
      <c r="AC1226" s="1098" t="e">
        <f>IF($D$1212="",0,$D1226*Table3[[#This Row],[CF]]*chronic_consumption!$X26/1000/$C$3)</f>
        <v>#DIV/0!</v>
      </c>
      <c r="AD1226" s="1098" t="e">
        <f>IF($D$1212="",0,$D1226*Table3[[#This Row],[CF]]*chronic_consumption!$Y26/1000/$C$3)</f>
        <v>#DIV/0!</v>
      </c>
      <c r="AE1226" s="1098" t="e">
        <f>IF($D$1212="",0,$D1226*Table3[[#This Row],[CF]]*chronic_consumption!$Z26/1000/$C$3)</f>
        <v>#DIV/0!</v>
      </c>
      <c r="AF1226" s="1098" t="e">
        <f>IF($D$1212="",0,$D1226*Table3[[#This Row],[CF]]*chronic_consumption!$AA26/1000/$C$3)</f>
        <v>#DIV/0!</v>
      </c>
      <c r="AG1226" s="1098" t="e">
        <f>IF($D$1212="",0,$D1226*Table3[[#This Row],[CF]]*chronic_consumption!$AB26/1000/$C$3)</f>
        <v>#DIV/0!</v>
      </c>
      <c r="AH1226" s="1098" t="e">
        <f>IF($D$1212="",0,$D1226*Table3[[#This Row],[CF]]*chronic_consumption!$AC26/1000/$C$3)</f>
        <v>#DIV/0!</v>
      </c>
      <c r="AI1226" s="1098" t="e">
        <f>IF($D$1212="",0,$D1226*Table3[[#This Row],[CF]]*chronic_consumption!$AD26/1000/$C$3)</f>
        <v>#DIV/0!</v>
      </c>
      <c r="AJ1226" s="1098" t="e">
        <f>IF($D$1212="",0,$D1226*Table3[[#This Row],[CF]]*chronic_consumption!$AE26/1000/$C$3)</f>
        <v>#DIV/0!</v>
      </c>
      <c r="AK1226" s="1098" t="e">
        <f>IF($D$1212="",0,$D1226*Table3[[#This Row],[CF]]*chronic_consumption!$AF26/1000/$C$3)</f>
        <v>#DIV/0!</v>
      </c>
      <c r="AL1226" s="1098" t="e">
        <f>IF($D$1212="",0,$D1226*Table3[[#This Row],[CF]]*chronic_consumption!$AG26/1000/$C$3)</f>
        <v>#DIV/0!</v>
      </c>
      <c r="AM1226" s="1098" t="e">
        <f>IF($D$1212="",0,$D1226*Table3[[#This Row],[CF]]*chronic_consumption!$AH26/1000/$C$3)</f>
        <v>#DIV/0!</v>
      </c>
      <c r="AN1226" s="1098" t="e">
        <f>IF($D$1212="",0,$D1226*Table3[[#This Row],[CF]]*chronic_consumption!$AI26/1000/$C$3)</f>
        <v>#DIV/0!</v>
      </c>
      <c r="AO1226" s="1098" t="e">
        <f>IF($D$1212="",0,$D1226*Table3[[#This Row],[CF]]*chronic_consumption!$AJ26/1000/$C$3)</f>
        <v>#DIV/0!</v>
      </c>
      <c r="AP1226" s="1098" t="e">
        <f>IF($D$1212="",0,$D1226*Table3[[#This Row],[CF]]*chronic_consumption!$AK26/1000/$C$3)</f>
        <v>#DIV/0!</v>
      </c>
      <c r="AQ1226" s="1098" t="e">
        <f>IF($D$1212="",0,$D1226*Table3[[#This Row],[CF]]*chronic_consumption!$AL26/1000/$C$3)</f>
        <v>#DIV/0!</v>
      </c>
      <c r="AR1226" s="1098" t="e">
        <f>IF($D$1212="",0,$D1226*Table3[[#This Row],[CF]]*chronic_consumption!$AM26/1000/$C$3)</f>
        <v>#DIV/0!</v>
      </c>
      <c r="AS1226" s="1098" t="e">
        <f>IF($D$1212="",0,$D1226*Table3[[#This Row],[CF]]*chronic_consumption!$AN26/1000/$C$3)</f>
        <v>#DIV/0!</v>
      </c>
      <c r="AT1226" s="1098" t="e">
        <f>IF($D$1212="",0,$D1226*Table3[[#This Row],[CF]]*chronic_consumption!$AO26/1000/$C$3)</f>
        <v>#DIV/0!</v>
      </c>
      <c r="AU1226" s="1099" t="e">
        <f t="shared" si="833"/>
        <v>#DIV/0!</v>
      </c>
      <c r="AV1226" s="1099" t="e">
        <f t="shared" si="833"/>
        <v>#DIV/0!</v>
      </c>
      <c r="AW1226" s="1099" t="e">
        <f t="shared" si="833"/>
        <v>#DIV/0!</v>
      </c>
      <c r="AX1226" s="1099" t="e">
        <f t="shared" si="833"/>
        <v>#DIV/0!</v>
      </c>
      <c r="AY1226" s="1099" t="e">
        <f t="shared" si="833"/>
        <v>#DIV/0!</v>
      </c>
      <c r="AZ1226" s="1091" t="s">
        <v>1012</v>
      </c>
      <c r="BA1226" s="1097" t="e">
        <f>IF(Table3[[#This Row],[max]]&lt;&gt;0,RANK(Table3[[#This Row],[max]],Table3[max],0),"")</f>
        <v>#DIV/0!</v>
      </c>
      <c r="BB1226" s="1096" t="e">
        <f t="shared" si="831"/>
        <v>#DIV/0!</v>
      </c>
      <c r="BC1226" s="1096" t="e">
        <f t="shared" ca="1" si="832"/>
        <v>#DIV/0!</v>
      </c>
      <c r="BD1226" s="1096" t="e">
        <f>IF(Table3[[#This Row],[max]]&gt;0,Table3[[#This Row],[Crop groups and examples of individual products within the groups to which the MRLs apply]],"")</f>
        <v>#DIV/0!</v>
      </c>
    </row>
    <row r="1227" spans="2:56" x14ac:dyDescent="0.2">
      <c r="B1227" s="23">
        <f t="shared" si="829"/>
        <v>120070</v>
      </c>
      <c r="C1227" s="23" t="str">
        <f t="shared" si="829"/>
        <v>Macadamia</v>
      </c>
      <c r="D1227" s="1084">
        <f>input_values!E27</f>
        <v>0</v>
      </c>
      <c r="E1227" s="1084">
        <f>input_values!F27</f>
        <v>0</v>
      </c>
      <c r="F1227" s="1085">
        <f>input_values!W27</f>
        <v>1</v>
      </c>
      <c r="G1227" s="1085" t="str">
        <f>IF(Table3[[#This Row],[CF]]&gt;0,CONCATENATE(IF(Table3[[#This Row],[LOQ]]="*","LOQ","MRL"),IF(input_values!G27&gt;0,"×CFrisk","")),"")</f>
        <v>MRL</v>
      </c>
      <c r="H1227" s="1087">
        <f>input_values!L27</f>
        <v>0</v>
      </c>
      <c r="I1227" s="1088">
        <f>input_values!D27</f>
        <v>0</v>
      </c>
      <c r="J1227" s="1098" t="e">
        <f>IF($D$1212="",0,$D1227*Table3[[#This Row],[CF]]*chronic_consumption!$E27/1000/$C$3)</f>
        <v>#DIV/0!</v>
      </c>
      <c r="K1227" s="1098" t="e">
        <f>IF($D$1212="",0,$D1227*Table3[[#This Row],[CF]]*chronic_consumption!$F27/1000/$C$3)</f>
        <v>#DIV/0!</v>
      </c>
      <c r="L1227" s="1098" t="e">
        <f>IF($D$1212="",0,$D1227*Table3[[#This Row],[CF]]*chronic_consumption!$G27/1000/$C$3)</f>
        <v>#DIV/0!</v>
      </c>
      <c r="M1227" s="1098" t="e">
        <f>IF($D$1212="",0,$D1227*Table3[[#This Row],[CF]]*chronic_consumption!$H27/1000/$C$3)</f>
        <v>#DIV/0!</v>
      </c>
      <c r="N1227" s="1098" t="e">
        <f>IF($D$1212="",0,$D1227*Table3[[#This Row],[CF]]*chronic_consumption!$I27/1000/$C$3)</f>
        <v>#DIV/0!</v>
      </c>
      <c r="O1227" s="1098" t="e">
        <f>IF($D$1212="",0,$D1227*Table3[[#This Row],[CF]]*chronic_consumption!$J27/1000/$C$3)</f>
        <v>#DIV/0!</v>
      </c>
      <c r="P1227" s="1098" t="e">
        <f>IF($D$1212="",0,$D1227*Table3[[#This Row],[CF]]*chronic_consumption!$K27/1000/$C$3)</f>
        <v>#DIV/0!</v>
      </c>
      <c r="Q1227" s="1098" t="e">
        <f>IF($D$1212="",0,$D1227*Table3[[#This Row],[CF]]*chronic_consumption!$L27/1000/$C$3)</f>
        <v>#DIV/0!</v>
      </c>
      <c r="R1227" s="1098" t="e">
        <f>IF($D$1212="",0,$D1227*Table3[[#This Row],[CF]]*chronic_consumption!$M27/1000/$C$3)</f>
        <v>#DIV/0!</v>
      </c>
      <c r="S1227" s="1098" t="e">
        <f>IF($D$1212="",0,$D1227*Table3[[#This Row],[CF]]*chronic_consumption!$N27/1000/$C$3)</f>
        <v>#DIV/0!</v>
      </c>
      <c r="T1227" s="1098" t="e">
        <f>IF($D$1212="",0,$D1227*Table3[[#This Row],[CF]]*chronic_consumption!$O27/1000/$C$3)</f>
        <v>#DIV/0!</v>
      </c>
      <c r="U1227" s="1098" t="e">
        <f>IF($D$1212="",0,$D1227*Table3[[#This Row],[CF]]*chronic_consumption!$P27/1000/$C$3)</f>
        <v>#DIV/0!</v>
      </c>
      <c r="V1227" s="1098" t="e">
        <f>IF($D$1212="",0,$D1227*Table3[[#This Row],[CF]]*chronic_consumption!$Q27/1000/$C$3)</f>
        <v>#DIV/0!</v>
      </c>
      <c r="W1227" s="1098" t="e">
        <f>IF($D$1212="",0,$D1227*Table3[[#This Row],[CF]]*chronic_consumption!$R27/1000/$C$3)</f>
        <v>#DIV/0!</v>
      </c>
      <c r="X1227" s="1098" t="e">
        <f>IF($D$1212="",0,$D1227*Table3[[#This Row],[CF]]*chronic_consumption!$S27/1000/$C$3)</f>
        <v>#DIV/0!</v>
      </c>
      <c r="Y1227" s="1098" t="e">
        <f>IF($D$1212="",0,$D1227*Table3[[#This Row],[CF]]*chronic_consumption!$T27/1000/$C$3)</f>
        <v>#DIV/0!</v>
      </c>
      <c r="Z1227" s="1098" t="e">
        <f>IF($D$1212="",0,$D1227*Table3[[#This Row],[CF]]*chronic_consumption!$U27/1000/$C$3)</f>
        <v>#DIV/0!</v>
      </c>
      <c r="AA1227" s="1098" t="e">
        <f>IF($D$1212="",0,$D1227*Table3[[#This Row],[CF]]*chronic_consumption!$V27/1000/$C$3)</f>
        <v>#DIV/0!</v>
      </c>
      <c r="AB1227" s="1098" t="e">
        <f>IF($D$1212="",0,$D1227*Table3[[#This Row],[CF]]*chronic_consumption!$W27/1000/$C$3)</f>
        <v>#DIV/0!</v>
      </c>
      <c r="AC1227" s="1098" t="e">
        <f>IF($D$1212="",0,$D1227*Table3[[#This Row],[CF]]*chronic_consumption!$X27/1000/$C$3)</f>
        <v>#DIV/0!</v>
      </c>
      <c r="AD1227" s="1098" t="e">
        <f>IF($D$1212="",0,$D1227*Table3[[#This Row],[CF]]*chronic_consumption!$Y27/1000/$C$3)</f>
        <v>#DIV/0!</v>
      </c>
      <c r="AE1227" s="1098" t="e">
        <f>IF($D$1212="",0,$D1227*Table3[[#This Row],[CF]]*chronic_consumption!$Z27/1000/$C$3)</f>
        <v>#DIV/0!</v>
      </c>
      <c r="AF1227" s="1098" t="e">
        <f>IF($D$1212="",0,$D1227*Table3[[#This Row],[CF]]*chronic_consumption!$AA27/1000/$C$3)</f>
        <v>#DIV/0!</v>
      </c>
      <c r="AG1227" s="1098" t="e">
        <f>IF($D$1212="",0,$D1227*Table3[[#This Row],[CF]]*chronic_consumption!$AB27/1000/$C$3)</f>
        <v>#DIV/0!</v>
      </c>
      <c r="AH1227" s="1098" t="e">
        <f>IF($D$1212="",0,$D1227*Table3[[#This Row],[CF]]*chronic_consumption!$AC27/1000/$C$3)</f>
        <v>#DIV/0!</v>
      </c>
      <c r="AI1227" s="1098" t="e">
        <f>IF($D$1212="",0,$D1227*Table3[[#This Row],[CF]]*chronic_consumption!$AD27/1000/$C$3)</f>
        <v>#DIV/0!</v>
      </c>
      <c r="AJ1227" s="1098" t="e">
        <f>IF($D$1212="",0,$D1227*Table3[[#This Row],[CF]]*chronic_consumption!$AE27/1000/$C$3)</f>
        <v>#DIV/0!</v>
      </c>
      <c r="AK1227" s="1098" t="e">
        <f>IF($D$1212="",0,$D1227*Table3[[#This Row],[CF]]*chronic_consumption!$AF27/1000/$C$3)</f>
        <v>#DIV/0!</v>
      </c>
      <c r="AL1227" s="1098" t="e">
        <f>IF($D$1212="",0,$D1227*Table3[[#This Row],[CF]]*chronic_consumption!$AG27/1000/$C$3)</f>
        <v>#DIV/0!</v>
      </c>
      <c r="AM1227" s="1098" t="e">
        <f>IF($D$1212="",0,$D1227*Table3[[#This Row],[CF]]*chronic_consumption!$AH27/1000/$C$3)</f>
        <v>#DIV/0!</v>
      </c>
      <c r="AN1227" s="1098" t="e">
        <f>IF($D$1212="",0,$D1227*Table3[[#This Row],[CF]]*chronic_consumption!$AI27/1000/$C$3)</f>
        <v>#DIV/0!</v>
      </c>
      <c r="AO1227" s="1098" t="e">
        <f>IF($D$1212="",0,$D1227*Table3[[#This Row],[CF]]*chronic_consumption!$AJ27/1000/$C$3)</f>
        <v>#DIV/0!</v>
      </c>
      <c r="AP1227" s="1098" t="e">
        <f>IF($D$1212="",0,$D1227*Table3[[#This Row],[CF]]*chronic_consumption!$AK27/1000/$C$3)</f>
        <v>#DIV/0!</v>
      </c>
      <c r="AQ1227" s="1098" t="e">
        <f>IF($D$1212="",0,$D1227*Table3[[#This Row],[CF]]*chronic_consumption!$AL27/1000/$C$3)</f>
        <v>#DIV/0!</v>
      </c>
      <c r="AR1227" s="1098" t="e">
        <f>IF($D$1212="",0,$D1227*Table3[[#This Row],[CF]]*chronic_consumption!$AM27/1000/$C$3)</f>
        <v>#DIV/0!</v>
      </c>
      <c r="AS1227" s="1098" t="e">
        <f>IF($D$1212="",0,$D1227*Table3[[#This Row],[CF]]*chronic_consumption!$AN27/1000/$C$3)</f>
        <v>#DIV/0!</v>
      </c>
      <c r="AT1227" s="1098" t="e">
        <f>IF($D$1212="",0,$D1227*Table3[[#This Row],[CF]]*chronic_consumption!$AO27/1000/$C$3)</f>
        <v>#DIV/0!</v>
      </c>
      <c r="AU1227" s="1099" t="e">
        <f t="shared" si="833"/>
        <v>#DIV/0!</v>
      </c>
      <c r="AV1227" s="1099" t="e">
        <f t="shared" si="833"/>
        <v>#DIV/0!</v>
      </c>
      <c r="AW1227" s="1099" t="e">
        <f t="shared" si="833"/>
        <v>#DIV/0!</v>
      </c>
      <c r="AX1227" s="1099" t="e">
        <f t="shared" si="833"/>
        <v>#DIV/0!</v>
      </c>
      <c r="AY1227" s="1099" t="e">
        <f t="shared" si="833"/>
        <v>#DIV/0!</v>
      </c>
      <c r="AZ1227" s="1091" t="s">
        <v>1012</v>
      </c>
      <c r="BA1227" s="1097" t="e">
        <f>IF(Table3[[#This Row],[max]]&lt;&gt;0,RANK(Table3[[#This Row],[max]],Table3[max],0),"")</f>
        <v>#DIV/0!</v>
      </c>
      <c r="BB1227" s="1096" t="e">
        <f>MAX(J1227:AY1227)</f>
        <v>#DIV/0!</v>
      </c>
      <c r="BC1227" s="1096" t="e">
        <f t="shared" ca="1" si="832"/>
        <v>#DIV/0!</v>
      </c>
      <c r="BD1227" s="1096" t="e">
        <f>IF(Table3[[#This Row],[max]]&gt;0,Table3[[#This Row],[Crop groups and examples of individual products within the groups to which the MRLs apply]],"")</f>
        <v>#DIV/0!</v>
      </c>
    </row>
    <row r="1228" spans="2:56" x14ac:dyDescent="0.2">
      <c r="B1228" s="23">
        <f t="shared" si="829"/>
        <v>120080</v>
      </c>
      <c r="C1228" s="23" t="str">
        <f t="shared" si="829"/>
        <v>Pecans</v>
      </c>
      <c r="D1228" s="1084">
        <f>input_values!E28</f>
        <v>0</v>
      </c>
      <c r="E1228" s="1084">
        <f>input_values!F28</f>
        <v>0</v>
      </c>
      <c r="F1228" s="1085">
        <f>input_values!W28</f>
        <v>1</v>
      </c>
      <c r="G1228" s="1085" t="str">
        <f>IF(Table3[[#This Row],[CF]]&gt;0,CONCATENATE(IF(Table3[[#This Row],[LOQ]]="*","LOQ","MRL"),IF(input_values!G28&gt;0,"×CFrisk","")),"")</f>
        <v>MRL</v>
      </c>
      <c r="H1228" s="1087">
        <f>input_values!L28</f>
        <v>0</v>
      </c>
      <c r="I1228" s="1088">
        <f>input_values!D28</f>
        <v>0</v>
      </c>
      <c r="J1228" s="1098" t="e">
        <f>IF($D$1212="",0,$D1228*Table3[[#This Row],[CF]]*chronic_consumption!$E28/1000/$C$3)</f>
        <v>#DIV/0!</v>
      </c>
      <c r="K1228" s="1098" t="e">
        <f>IF($D$1212="",0,$D1228*Table3[[#This Row],[CF]]*chronic_consumption!$F28/1000/$C$3)</f>
        <v>#DIV/0!</v>
      </c>
      <c r="L1228" s="1098" t="e">
        <f>IF($D$1212="",0,$D1228*Table3[[#This Row],[CF]]*chronic_consumption!$G28/1000/$C$3)</f>
        <v>#DIV/0!</v>
      </c>
      <c r="M1228" s="1098" t="e">
        <f>IF($D$1212="",0,$D1228*Table3[[#This Row],[CF]]*chronic_consumption!$H28/1000/$C$3)</f>
        <v>#DIV/0!</v>
      </c>
      <c r="N1228" s="1098" t="e">
        <f>IF($D$1212="",0,$D1228*Table3[[#This Row],[CF]]*chronic_consumption!$I28/1000/$C$3)</f>
        <v>#DIV/0!</v>
      </c>
      <c r="O1228" s="1098" t="e">
        <f>IF($D$1212="",0,$D1228*Table3[[#This Row],[CF]]*chronic_consumption!$J28/1000/$C$3)</f>
        <v>#DIV/0!</v>
      </c>
      <c r="P1228" s="1098" t="e">
        <f>IF($D$1212="",0,$D1228*Table3[[#This Row],[CF]]*chronic_consumption!$K28/1000/$C$3)</f>
        <v>#DIV/0!</v>
      </c>
      <c r="Q1228" s="1098" t="e">
        <f>IF($D$1212="",0,$D1228*Table3[[#This Row],[CF]]*chronic_consumption!$L28/1000/$C$3)</f>
        <v>#DIV/0!</v>
      </c>
      <c r="R1228" s="1098" t="e">
        <f>IF($D$1212="",0,$D1228*Table3[[#This Row],[CF]]*chronic_consumption!$M28/1000/$C$3)</f>
        <v>#DIV/0!</v>
      </c>
      <c r="S1228" s="1098" t="e">
        <f>IF($D$1212="",0,$D1228*Table3[[#This Row],[CF]]*chronic_consumption!$N28/1000/$C$3)</f>
        <v>#DIV/0!</v>
      </c>
      <c r="T1228" s="1098" t="e">
        <f>IF($D$1212="",0,$D1228*Table3[[#This Row],[CF]]*chronic_consumption!$O28/1000/$C$3)</f>
        <v>#DIV/0!</v>
      </c>
      <c r="U1228" s="1098" t="e">
        <f>IF($D$1212="",0,$D1228*Table3[[#This Row],[CF]]*chronic_consumption!$P28/1000/$C$3)</f>
        <v>#DIV/0!</v>
      </c>
      <c r="V1228" s="1098" t="e">
        <f>IF($D$1212="",0,$D1228*Table3[[#This Row],[CF]]*chronic_consumption!$Q28/1000/$C$3)</f>
        <v>#DIV/0!</v>
      </c>
      <c r="W1228" s="1098" t="e">
        <f>IF($D$1212="",0,$D1228*Table3[[#This Row],[CF]]*chronic_consumption!$R28/1000/$C$3)</f>
        <v>#DIV/0!</v>
      </c>
      <c r="X1228" s="1098" t="e">
        <f>IF($D$1212="",0,$D1228*Table3[[#This Row],[CF]]*chronic_consumption!$S28/1000/$C$3)</f>
        <v>#DIV/0!</v>
      </c>
      <c r="Y1228" s="1098" t="e">
        <f>IF($D$1212="",0,$D1228*Table3[[#This Row],[CF]]*chronic_consumption!$T28/1000/$C$3)</f>
        <v>#DIV/0!</v>
      </c>
      <c r="Z1228" s="1098" t="e">
        <f>IF($D$1212="",0,$D1228*Table3[[#This Row],[CF]]*chronic_consumption!$U28/1000/$C$3)</f>
        <v>#DIV/0!</v>
      </c>
      <c r="AA1228" s="1098" t="e">
        <f>IF($D$1212="",0,$D1228*Table3[[#This Row],[CF]]*chronic_consumption!$V28/1000/$C$3)</f>
        <v>#DIV/0!</v>
      </c>
      <c r="AB1228" s="1098" t="e">
        <f>IF($D$1212="",0,$D1228*Table3[[#This Row],[CF]]*chronic_consumption!$W28/1000/$C$3)</f>
        <v>#DIV/0!</v>
      </c>
      <c r="AC1228" s="1098" t="e">
        <f>IF($D$1212="",0,$D1228*Table3[[#This Row],[CF]]*chronic_consumption!$X28/1000/$C$3)</f>
        <v>#DIV/0!</v>
      </c>
      <c r="AD1228" s="1098" t="e">
        <f>IF($D$1212="",0,$D1228*Table3[[#This Row],[CF]]*chronic_consumption!$Y28/1000/$C$3)</f>
        <v>#DIV/0!</v>
      </c>
      <c r="AE1228" s="1098" t="e">
        <f>IF($D$1212="",0,$D1228*Table3[[#This Row],[CF]]*chronic_consumption!$Z28/1000/$C$3)</f>
        <v>#DIV/0!</v>
      </c>
      <c r="AF1228" s="1098" t="e">
        <f>IF($D$1212="",0,$D1228*Table3[[#This Row],[CF]]*chronic_consumption!$AA28/1000/$C$3)</f>
        <v>#DIV/0!</v>
      </c>
      <c r="AG1228" s="1098" t="e">
        <f>IF($D$1212="",0,$D1228*Table3[[#This Row],[CF]]*chronic_consumption!$AB28/1000/$C$3)</f>
        <v>#DIV/0!</v>
      </c>
      <c r="AH1228" s="1098" t="e">
        <f>IF($D$1212="",0,$D1228*Table3[[#This Row],[CF]]*chronic_consumption!$AC28/1000/$C$3)</f>
        <v>#DIV/0!</v>
      </c>
      <c r="AI1228" s="1098" t="e">
        <f>IF($D$1212="",0,$D1228*Table3[[#This Row],[CF]]*chronic_consumption!$AD28/1000/$C$3)</f>
        <v>#DIV/0!</v>
      </c>
      <c r="AJ1228" s="1098" t="e">
        <f>IF($D$1212="",0,$D1228*Table3[[#This Row],[CF]]*chronic_consumption!$AE28/1000/$C$3)</f>
        <v>#DIV/0!</v>
      </c>
      <c r="AK1228" s="1098" t="e">
        <f>IF($D$1212="",0,$D1228*Table3[[#This Row],[CF]]*chronic_consumption!$AF28/1000/$C$3)</f>
        <v>#DIV/0!</v>
      </c>
      <c r="AL1228" s="1098" t="e">
        <f>IF($D$1212="",0,$D1228*Table3[[#This Row],[CF]]*chronic_consumption!$AG28/1000/$C$3)</f>
        <v>#DIV/0!</v>
      </c>
      <c r="AM1228" s="1098" t="e">
        <f>IF($D$1212="",0,$D1228*Table3[[#This Row],[CF]]*chronic_consumption!$AH28/1000/$C$3)</f>
        <v>#DIV/0!</v>
      </c>
      <c r="AN1228" s="1098" t="e">
        <f>IF($D$1212="",0,$D1228*Table3[[#This Row],[CF]]*chronic_consumption!$AI28/1000/$C$3)</f>
        <v>#DIV/0!</v>
      </c>
      <c r="AO1228" s="1098" t="e">
        <f>IF($D$1212="",0,$D1228*Table3[[#This Row],[CF]]*chronic_consumption!$AJ28/1000/$C$3)</f>
        <v>#DIV/0!</v>
      </c>
      <c r="AP1228" s="1098" t="e">
        <f>IF($D$1212="",0,$D1228*Table3[[#This Row],[CF]]*chronic_consumption!$AK28/1000/$C$3)</f>
        <v>#DIV/0!</v>
      </c>
      <c r="AQ1228" s="1098" t="e">
        <f>IF($D$1212="",0,$D1228*Table3[[#This Row],[CF]]*chronic_consumption!$AL28/1000/$C$3)</f>
        <v>#DIV/0!</v>
      </c>
      <c r="AR1228" s="1098" t="e">
        <f>IF($D$1212="",0,$D1228*Table3[[#This Row],[CF]]*chronic_consumption!$AM28/1000/$C$3)</f>
        <v>#DIV/0!</v>
      </c>
      <c r="AS1228" s="1098" t="e">
        <f>IF($D$1212="",0,$D1228*Table3[[#This Row],[CF]]*chronic_consumption!$AN28/1000/$C$3)</f>
        <v>#DIV/0!</v>
      </c>
      <c r="AT1228" s="1098" t="e">
        <f>IF($D$1212="",0,$D1228*Table3[[#This Row],[CF]]*chronic_consumption!$AO28/1000/$C$3)</f>
        <v>#DIV/0!</v>
      </c>
      <c r="AU1228" s="1099" t="e">
        <f t="shared" si="833"/>
        <v>#DIV/0!</v>
      </c>
      <c r="AV1228" s="1099" t="e">
        <f t="shared" si="833"/>
        <v>#DIV/0!</v>
      </c>
      <c r="AW1228" s="1099" t="e">
        <f t="shared" si="833"/>
        <v>#DIV/0!</v>
      </c>
      <c r="AX1228" s="1099" t="e">
        <f t="shared" si="833"/>
        <v>#DIV/0!</v>
      </c>
      <c r="AY1228" s="1099" t="e">
        <f t="shared" si="833"/>
        <v>#DIV/0!</v>
      </c>
      <c r="AZ1228" s="1091" t="s">
        <v>1012</v>
      </c>
      <c r="BA1228" s="1097" t="e">
        <f>IF(Table3[[#This Row],[max]]&lt;&gt;0,RANK(Table3[[#This Row],[max]],Table3[max],0),"")</f>
        <v>#DIV/0!</v>
      </c>
      <c r="BB1228" s="1096" t="e">
        <f t="shared" si="831"/>
        <v>#DIV/0!</v>
      </c>
      <c r="BC1228" s="1096" t="e">
        <f t="shared" ca="1" si="832"/>
        <v>#DIV/0!</v>
      </c>
      <c r="BD1228" s="1096" t="e">
        <f>IF(Table3[[#This Row],[max]]&gt;0,Table3[[#This Row],[Crop groups and examples of individual products within the groups to which the MRLs apply]],"")</f>
        <v>#DIV/0!</v>
      </c>
    </row>
    <row r="1229" spans="2:56" x14ac:dyDescent="0.2">
      <c r="B1229" s="23">
        <f t="shared" si="829"/>
        <v>120090</v>
      </c>
      <c r="C1229" s="23" t="str">
        <f t="shared" si="829"/>
        <v>Pine nut kernels</v>
      </c>
      <c r="D1229" s="1084">
        <f>input_values!E29</f>
        <v>0</v>
      </c>
      <c r="E1229" s="1084">
        <f>input_values!F29</f>
        <v>0</v>
      </c>
      <c r="F1229" s="1085">
        <f>input_values!W29</f>
        <v>1</v>
      </c>
      <c r="G1229" s="1085" t="str">
        <f>IF(Table3[[#This Row],[CF]]&gt;0,CONCATENATE(IF(Table3[[#This Row],[LOQ]]="*","LOQ","MRL"),IF(input_values!G29&gt;0,"×CFrisk","")),"")</f>
        <v>MRL</v>
      </c>
      <c r="H1229" s="1087">
        <f>input_values!L29</f>
        <v>0</v>
      </c>
      <c r="I1229" s="1088">
        <f>input_values!D29</f>
        <v>0</v>
      </c>
      <c r="J1229" s="1098" t="e">
        <f>IF($D$1212="",0,$D1229*Table3[[#This Row],[CF]]*chronic_consumption!$E29/1000/$C$3)</f>
        <v>#DIV/0!</v>
      </c>
      <c r="K1229" s="1098" t="e">
        <f>IF($D$1212="",0,$D1229*Table3[[#This Row],[CF]]*chronic_consumption!$F29/1000/$C$3)</f>
        <v>#DIV/0!</v>
      </c>
      <c r="L1229" s="1098" t="e">
        <f>IF($D$1212="",0,$D1229*Table3[[#This Row],[CF]]*chronic_consumption!$G29/1000/$C$3)</f>
        <v>#DIV/0!</v>
      </c>
      <c r="M1229" s="1098" t="e">
        <f>IF($D$1212="",0,$D1229*Table3[[#This Row],[CF]]*chronic_consumption!$H29/1000/$C$3)</f>
        <v>#DIV/0!</v>
      </c>
      <c r="N1229" s="1098" t="e">
        <f>IF($D$1212="",0,$D1229*Table3[[#This Row],[CF]]*chronic_consumption!$I29/1000/$C$3)</f>
        <v>#DIV/0!</v>
      </c>
      <c r="O1229" s="1098" t="e">
        <f>IF($D$1212="",0,$D1229*Table3[[#This Row],[CF]]*chronic_consumption!$J29/1000/$C$3)</f>
        <v>#DIV/0!</v>
      </c>
      <c r="P1229" s="1098" t="e">
        <f>IF($D$1212="",0,$D1229*Table3[[#This Row],[CF]]*chronic_consumption!$K29/1000/$C$3)</f>
        <v>#DIV/0!</v>
      </c>
      <c r="Q1229" s="1098" t="e">
        <f>IF($D$1212="",0,$D1229*Table3[[#This Row],[CF]]*chronic_consumption!$L29/1000/$C$3)</f>
        <v>#DIV/0!</v>
      </c>
      <c r="R1229" s="1098" t="e">
        <f>IF($D$1212="",0,$D1229*Table3[[#This Row],[CF]]*chronic_consumption!$M29/1000/$C$3)</f>
        <v>#DIV/0!</v>
      </c>
      <c r="S1229" s="1098" t="e">
        <f>IF($D$1212="",0,$D1229*Table3[[#This Row],[CF]]*chronic_consumption!$N29/1000/$C$3)</f>
        <v>#DIV/0!</v>
      </c>
      <c r="T1229" s="1098" t="e">
        <f>IF($D$1212="",0,$D1229*Table3[[#This Row],[CF]]*chronic_consumption!$O29/1000/$C$3)</f>
        <v>#DIV/0!</v>
      </c>
      <c r="U1229" s="1098" t="e">
        <f>IF($D$1212="",0,$D1229*Table3[[#This Row],[CF]]*chronic_consumption!$P29/1000/$C$3)</f>
        <v>#DIV/0!</v>
      </c>
      <c r="V1229" s="1098" t="e">
        <f>IF($D$1212="",0,$D1229*Table3[[#This Row],[CF]]*chronic_consumption!$Q29/1000/$C$3)</f>
        <v>#DIV/0!</v>
      </c>
      <c r="W1229" s="1098" t="e">
        <f>IF($D$1212="",0,$D1229*Table3[[#This Row],[CF]]*chronic_consumption!$R29/1000/$C$3)</f>
        <v>#DIV/0!</v>
      </c>
      <c r="X1229" s="1098" t="e">
        <f>IF($D$1212="",0,$D1229*Table3[[#This Row],[CF]]*chronic_consumption!$S29/1000/$C$3)</f>
        <v>#DIV/0!</v>
      </c>
      <c r="Y1229" s="1098" t="e">
        <f>IF($D$1212="",0,$D1229*Table3[[#This Row],[CF]]*chronic_consumption!$T29/1000/$C$3)</f>
        <v>#DIV/0!</v>
      </c>
      <c r="Z1229" s="1098" t="e">
        <f>IF($D$1212="",0,$D1229*Table3[[#This Row],[CF]]*chronic_consumption!$U29/1000/$C$3)</f>
        <v>#DIV/0!</v>
      </c>
      <c r="AA1229" s="1098" t="e">
        <f>IF($D$1212="",0,$D1229*Table3[[#This Row],[CF]]*chronic_consumption!$V29/1000/$C$3)</f>
        <v>#DIV/0!</v>
      </c>
      <c r="AB1229" s="1098" t="e">
        <f>IF($D$1212="",0,$D1229*Table3[[#This Row],[CF]]*chronic_consumption!$W29/1000/$C$3)</f>
        <v>#DIV/0!</v>
      </c>
      <c r="AC1229" s="1098" t="e">
        <f>IF($D$1212="",0,$D1229*Table3[[#This Row],[CF]]*chronic_consumption!$X29/1000/$C$3)</f>
        <v>#DIV/0!</v>
      </c>
      <c r="AD1229" s="1098" t="e">
        <f>IF($D$1212="",0,$D1229*Table3[[#This Row],[CF]]*chronic_consumption!$Y29/1000/$C$3)</f>
        <v>#DIV/0!</v>
      </c>
      <c r="AE1229" s="1098" t="e">
        <f>IF($D$1212="",0,$D1229*Table3[[#This Row],[CF]]*chronic_consumption!$Z29/1000/$C$3)</f>
        <v>#DIV/0!</v>
      </c>
      <c r="AF1229" s="1098" t="e">
        <f>IF($D$1212="",0,$D1229*Table3[[#This Row],[CF]]*chronic_consumption!$AA29/1000/$C$3)</f>
        <v>#DIV/0!</v>
      </c>
      <c r="AG1229" s="1098" t="e">
        <f>IF($D$1212="",0,$D1229*Table3[[#This Row],[CF]]*chronic_consumption!$AB29/1000/$C$3)</f>
        <v>#DIV/0!</v>
      </c>
      <c r="AH1229" s="1098" t="e">
        <f>IF($D$1212="",0,$D1229*Table3[[#This Row],[CF]]*chronic_consumption!$AC29/1000/$C$3)</f>
        <v>#DIV/0!</v>
      </c>
      <c r="AI1229" s="1098" t="e">
        <f>IF($D$1212="",0,$D1229*Table3[[#This Row],[CF]]*chronic_consumption!$AD29/1000/$C$3)</f>
        <v>#DIV/0!</v>
      </c>
      <c r="AJ1229" s="1098" t="e">
        <f>IF($D$1212="",0,$D1229*Table3[[#This Row],[CF]]*chronic_consumption!$AE29/1000/$C$3)</f>
        <v>#DIV/0!</v>
      </c>
      <c r="AK1229" s="1098" t="e">
        <f>IF($D$1212="",0,$D1229*Table3[[#This Row],[CF]]*chronic_consumption!$AF29/1000/$C$3)</f>
        <v>#DIV/0!</v>
      </c>
      <c r="AL1229" s="1098" t="e">
        <f>IF($D$1212="",0,$D1229*Table3[[#This Row],[CF]]*chronic_consumption!$AG29/1000/$C$3)</f>
        <v>#DIV/0!</v>
      </c>
      <c r="AM1229" s="1098" t="e">
        <f>IF($D$1212="",0,$D1229*Table3[[#This Row],[CF]]*chronic_consumption!$AH29/1000/$C$3)</f>
        <v>#DIV/0!</v>
      </c>
      <c r="AN1229" s="1098" t="e">
        <f>IF($D$1212="",0,$D1229*Table3[[#This Row],[CF]]*chronic_consumption!$AI29/1000/$C$3)</f>
        <v>#DIV/0!</v>
      </c>
      <c r="AO1229" s="1098" t="e">
        <f>IF($D$1212="",0,$D1229*Table3[[#This Row],[CF]]*chronic_consumption!$AJ29/1000/$C$3)</f>
        <v>#DIV/0!</v>
      </c>
      <c r="AP1229" s="1098" t="e">
        <f>IF($D$1212="",0,$D1229*Table3[[#This Row],[CF]]*chronic_consumption!$AK29/1000/$C$3)</f>
        <v>#DIV/0!</v>
      </c>
      <c r="AQ1229" s="1098" t="e">
        <f>IF($D$1212="",0,$D1229*Table3[[#This Row],[CF]]*chronic_consumption!$AL29/1000/$C$3)</f>
        <v>#DIV/0!</v>
      </c>
      <c r="AR1229" s="1098" t="e">
        <f>IF($D$1212="",0,$D1229*Table3[[#This Row],[CF]]*chronic_consumption!$AM29/1000/$C$3)</f>
        <v>#DIV/0!</v>
      </c>
      <c r="AS1229" s="1098" t="e">
        <f>IF($D$1212="",0,$D1229*Table3[[#This Row],[CF]]*chronic_consumption!$AN29/1000/$C$3)</f>
        <v>#DIV/0!</v>
      </c>
      <c r="AT1229" s="1098" t="e">
        <f>IF($D$1212="",0,$D1229*Table3[[#This Row],[CF]]*chronic_consumption!$AO29/1000/$C$3)</f>
        <v>#DIV/0!</v>
      </c>
      <c r="AU1229" s="1099" t="e">
        <f t="shared" si="833"/>
        <v>#DIV/0!</v>
      </c>
      <c r="AV1229" s="1099" t="e">
        <f t="shared" si="833"/>
        <v>#DIV/0!</v>
      </c>
      <c r="AW1229" s="1099" t="e">
        <f t="shared" si="833"/>
        <v>#DIV/0!</v>
      </c>
      <c r="AX1229" s="1099" t="e">
        <f t="shared" si="833"/>
        <v>#DIV/0!</v>
      </c>
      <c r="AY1229" s="1099" t="e">
        <f t="shared" si="833"/>
        <v>#DIV/0!</v>
      </c>
      <c r="AZ1229" s="1091" t="s">
        <v>1012</v>
      </c>
      <c r="BA1229" s="1097" t="e">
        <f>IF(Table3[[#This Row],[max]]&lt;&gt;0,RANK(Table3[[#This Row],[max]],Table3[max],0),"")</f>
        <v>#DIV/0!</v>
      </c>
      <c r="BB1229" s="1096" t="e">
        <f t="shared" si="831"/>
        <v>#DIV/0!</v>
      </c>
      <c r="BC1229" s="1096" t="e">
        <f t="shared" ca="1" si="832"/>
        <v>#DIV/0!</v>
      </c>
      <c r="BD1229" s="1096" t="e">
        <f>IF(Table3[[#This Row],[max]]&gt;0,Table3[[#This Row],[Crop groups and examples of individual products within the groups to which the MRLs apply]],"")</f>
        <v>#DIV/0!</v>
      </c>
    </row>
    <row r="1230" spans="2:56" x14ac:dyDescent="0.2">
      <c r="B1230" s="23">
        <f t="shared" si="829"/>
        <v>120100</v>
      </c>
      <c r="C1230" s="23" t="str">
        <f t="shared" si="829"/>
        <v>Pistachios</v>
      </c>
      <c r="D1230" s="1084">
        <f>input_values!E30</f>
        <v>0</v>
      </c>
      <c r="E1230" s="1084">
        <f>input_values!F30</f>
        <v>0</v>
      </c>
      <c r="F1230" s="1085">
        <f>input_values!W30</f>
        <v>1</v>
      </c>
      <c r="G1230" s="1085" t="str">
        <f>IF(Table3[[#This Row],[CF]]&gt;0,CONCATENATE(IF(Table3[[#This Row],[LOQ]]="*","LOQ","MRL"),IF(input_values!G30&gt;0,"×CFrisk","")),"")</f>
        <v>MRL</v>
      </c>
      <c r="H1230" s="1087">
        <f>input_values!L30</f>
        <v>0</v>
      </c>
      <c r="I1230" s="1088">
        <f>input_values!D30</f>
        <v>0</v>
      </c>
      <c r="J1230" s="1098" t="e">
        <f>IF($D$1212="",0,$D1230*Table3[[#This Row],[CF]]*chronic_consumption!$E30/1000/$C$3)</f>
        <v>#DIV/0!</v>
      </c>
      <c r="K1230" s="1098" t="e">
        <f>IF($D$1212="",0,$D1230*Table3[[#This Row],[CF]]*chronic_consumption!$F30/1000/$C$3)</f>
        <v>#DIV/0!</v>
      </c>
      <c r="L1230" s="1098" t="e">
        <f>IF($D$1212="",0,$D1230*Table3[[#This Row],[CF]]*chronic_consumption!$G30/1000/$C$3)</f>
        <v>#DIV/0!</v>
      </c>
      <c r="M1230" s="1098" t="e">
        <f>IF($D$1212="",0,$D1230*Table3[[#This Row],[CF]]*chronic_consumption!$H30/1000/$C$3)</f>
        <v>#DIV/0!</v>
      </c>
      <c r="N1230" s="1098" t="e">
        <f>IF($D$1212="",0,$D1230*Table3[[#This Row],[CF]]*chronic_consumption!$I30/1000/$C$3)</f>
        <v>#DIV/0!</v>
      </c>
      <c r="O1230" s="1098" t="e">
        <f>IF($D$1212="",0,$D1230*Table3[[#This Row],[CF]]*chronic_consumption!$J30/1000/$C$3)</f>
        <v>#DIV/0!</v>
      </c>
      <c r="P1230" s="1098" t="e">
        <f>IF($D$1212="",0,$D1230*Table3[[#This Row],[CF]]*chronic_consumption!$K30/1000/$C$3)</f>
        <v>#DIV/0!</v>
      </c>
      <c r="Q1230" s="1098" t="e">
        <f>IF($D$1212="",0,$D1230*Table3[[#This Row],[CF]]*chronic_consumption!$L30/1000/$C$3)</f>
        <v>#DIV/0!</v>
      </c>
      <c r="R1230" s="1098" t="e">
        <f>IF($D$1212="",0,$D1230*Table3[[#This Row],[CF]]*chronic_consumption!$M30/1000/$C$3)</f>
        <v>#DIV/0!</v>
      </c>
      <c r="S1230" s="1098" t="e">
        <f>IF($D$1212="",0,$D1230*Table3[[#This Row],[CF]]*chronic_consumption!$N30/1000/$C$3)</f>
        <v>#DIV/0!</v>
      </c>
      <c r="T1230" s="1098" t="e">
        <f>IF($D$1212="",0,$D1230*Table3[[#This Row],[CF]]*chronic_consumption!$O30/1000/$C$3)</f>
        <v>#DIV/0!</v>
      </c>
      <c r="U1230" s="1098" t="e">
        <f>IF($D$1212="",0,$D1230*Table3[[#This Row],[CF]]*chronic_consumption!$P30/1000/$C$3)</f>
        <v>#DIV/0!</v>
      </c>
      <c r="V1230" s="1098" t="e">
        <f>IF($D$1212="",0,$D1230*Table3[[#This Row],[CF]]*chronic_consumption!$Q30/1000/$C$3)</f>
        <v>#DIV/0!</v>
      </c>
      <c r="W1230" s="1098" t="e">
        <f>IF($D$1212="",0,$D1230*Table3[[#This Row],[CF]]*chronic_consumption!$R30/1000/$C$3)</f>
        <v>#DIV/0!</v>
      </c>
      <c r="X1230" s="1098" t="e">
        <f>IF($D$1212="",0,$D1230*Table3[[#This Row],[CF]]*chronic_consumption!$S30/1000/$C$3)</f>
        <v>#DIV/0!</v>
      </c>
      <c r="Y1230" s="1098" t="e">
        <f>IF($D$1212="",0,$D1230*Table3[[#This Row],[CF]]*chronic_consumption!$T30/1000/$C$3)</f>
        <v>#DIV/0!</v>
      </c>
      <c r="Z1230" s="1098" t="e">
        <f>IF($D$1212="",0,$D1230*Table3[[#This Row],[CF]]*chronic_consumption!$U30/1000/$C$3)</f>
        <v>#DIV/0!</v>
      </c>
      <c r="AA1230" s="1098" t="e">
        <f>IF($D$1212="",0,$D1230*Table3[[#This Row],[CF]]*chronic_consumption!$V30/1000/$C$3)</f>
        <v>#DIV/0!</v>
      </c>
      <c r="AB1230" s="1098" t="e">
        <f>IF($D$1212="",0,$D1230*Table3[[#This Row],[CF]]*chronic_consumption!$W30/1000/$C$3)</f>
        <v>#DIV/0!</v>
      </c>
      <c r="AC1230" s="1098" t="e">
        <f>IF($D$1212="",0,$D1230*Table3[[#This Row],[CF]]*chronic_consumption!$X30/1000/$C$3)</f>
        <v>#DIV/0!</v>
      </c>
      <c r="AD1230" s="1098" t="e">
        <f>IF($D$1212="",0,$D1230*Table3[[#This Row],[CF]]*chronic_consumption!$Y30/1000/$C$3)</f>
        <v>#DIV/0!</v>
      </c>
      <c r="AE1230" s="1098" t="e">
        <f>IF($D$1212="",0,$D1230*Table3[[#This Row],[CF]]*chronic_consumption!$Z30/1000/$C$3)</f>
        <v>#DIV/0!</v>
      </c>
      <c r="AF1230" s="1098" t="e">
        <f>IF($D$1212="",0,$D1230*Table3[[#This Row],[CF]]*chronic_consumption!$AA30/1000/$C$3)</f>
        <v>#DIV/0!</v>
      </c>
      <c r="AG1230" s="1098" t="e">
        <f>IF($D$1212="",0,$D1230*Table3[[#This Row],[CF]]*chronic_consumption!$AB30/1000/$C$3)</f>
        <v>#DIV/0!</v>
      </c>
      <c r="AH1230" s="1098" t="e">
        <f>IF($D$1212="",0,$D1230*Table3[[#This Row],[CF]]*chronic_consumption!$AC30/1000/$C$3)</f>
        <v>#DIV/0!</v>
      </c>
      <c r="AI1230" s="1098" t="e">
        <f>IF($D$1212="",0,$D1230*Table3[[#This Row],[CF]]*chronic_consumption!$AD30/1000/$C$3)</f>
        <v>#DIV/0!</v>
      </c>
      <c r="AJ1230" s="1098" t="e">
        <f>IF($D$1212="",0,$D1230*Table3[[#This Row],[CF]]*chronic_consumption!$AE30/1000/$C$3)</f>
        <v>#DIV/0!</v>
      </c>
      <c r="AK1230" s="1098" t="e">
        <f>IF($D$1212="",0,$D1230*Table3[[#This Row],[CF]]*chronic_consumption!$AF30/1000/$C$3)</f>
        <v>#DIV/0!</v>
      </c>
      <c r="AL1230" s="1098" t="e">
        <f>IF($D$1212="",0,$D1230*Table3[[#This Row],[CF]]*chronic_consumption!$AG30/1000/$C$3)</f>
        <v>#DIV/0!</v>
      </c>
      <c r="AM1230" s="1098" t="e">
        <f>IF($D$1212="",0,$D1230*Table3[[#This Row],[CF]]*chronic_consumption!$AH30/1000/$C$3)</f>
        <v>#DIV/0!</v>
      </c>
      <c r="AN1230" s="1098" t="e">
        <f>IF($D$1212="",0,$D1230*Table3[[#This Row],[CF]]*chronic_consumption!$AI30/1000/$C$3)</f>
        <v>#DIV/0!</v>
      </c>
      <c r="AO1230" s="1098" t="e">
        <f>IF($D$1212="",0,$D1230*Table3[[#This Row],[CF]]*chronic_consumption!$AJ30/1000/$C$3)</f>
        <v>#DIV/0!</v>
      </c>
      <c r="AP1230" s="1098" t="e">
        <f>IF($D$1212="",0,$D1230*Table3[[#This Row],[CF]]*chronic_consumption!$AK30/1000/$C$3)</f>
        <v>#DIV/0!</v>
      </c>
      <c r="AQ1230" s="1098" t="e">
        <f>IF($D$1212="",0,$D1230*Table3[[#This Row],[CF]]*chronic_consumption!$AL30/1000/$C$3)</f>
        <v>#DIV/0!</v>
      </c>
      <c r="AR1230" s="1098" t="e">
        <f>IF($D$1212="",0,$D1230*Table3[[#This Row],[CF]]*chronic_consumption!$AM30/1000/$C$3)</f>
        <v>#DIV/0!</v>
      </c>
      <c r="AS1230" s="1098" t="e">
        <f>IF($D$1212="",0,$D1230*Table3[[#This Row],[CF]]*chronic_consumption!$AN30/1000/$C$3)</f>
        <v>#DIV/0!</v>
      </c>
      <c r="AT1230" s="1098" t="e">
        <f>IF($D$1212="",0,$D1230*Table3[[#This Row],[CF]]*chronic_consumption!$AO30/1000/$C$3)</f>
        <v>#DIV/0!</v>
      </c>
      <c r="AU1230" s="1099" t="e">
        <f t="shared" si="833"/>
        <v>#DIV/0!</v>
      </c>
      <c r="AV1230" s="1099" t="e">
        <f t="shared" si="833"/>
        <v>#DIV/0!</v>
      </c>
      <c r="AW1230" s="1099" t="e">
        <f t="shared" si="833"/>
        <v>#DIV/0!</v>
      </c>
      <c r="AX1230" s="1099" t="e">
        <f t="shared" si="833"/>
        <v>#DIV/0!</v>
      </c>
      <c r="AY1230" s="1099" t="e">
        <f t="shared" si="833"/>
        <v>#DIV/0!</v>
      </c>
      <c r="AZ1230" s="1091" t="s">
        <v>1012</v>
      </c>
      <c r="BA1230" s="1097" t="e">
        <f>IF(Table3[[#This Row],[max]]&lt;&gt;0,RANK(Table3[[#This Row],[max]],Table3[max],0),"")</f>
        <v>#DIV/0!</v>
      </c>
      <c r="BB1230" s="1096" t="e">
        <f t="shared" si="831"/>
        <v>#DIV/0!</v>
      </c>
      <c r="BC1230" s="1096" t="e">
        <f t="shared" ca="1" si="832"/>
        <v>#DIV/0!</v>
      </c>
      <c r="BD1230" s="1096" t="e">
        <f>IF(Table3[[#This Row],[max]]&gt;0,Table3[[#This Row],[Crop groups and examples of individual products within the groups to which the MRLs apply]],"")</f>
        <v>#DIV/0!</v>
      </c>
    </row>
    <row r="1231" spans="2:56" x14ac:dyDescent="0.2">
      <c r="B1231" s="23">
        <f t="shared" si="829"/>
        <v>120110</v>
      </c>
      <c r="C1231" s="23" t="str">
        <f t="shared" si="829"/>
        <v>Walnuts</v>
      </c>
      <c r="D1231" s="1084">
        <f>input_values!E31</f>
        <v>0</v>
      </c>
      <c r="E1231" s="1084">
        <f>input_values!F31</f>
        <v>0</v>
      </c>
      <c r="F1231" s="1085">
        <f>input_values!W31</f>
        <v>1</v>
      </c>
      <c r="G1231" s="1085" t="str">
        <f>IF(Table3[[#This Row],[CF]]&gt;0,CONCATENATE(IF(Table3[[#This Row],[LOQ]]="*","LOQ","MRL"),IF(input_values!G31&gt;0,"×CFrisk","")),"")</f>
        <v>MRL</v>
      </c>
      <c r="H1231" s="1087">
        <f>input_values!L31</f>
        <v>0</v>
      </c>
      <c r="I1231" s="1088">
        <f>input_values!D31</f>
        <v>0</v>
      </c>
      <c r="J1231" s="1098" t="e">
        <f>IF($D$1212="",0,$D1231*Table3[[#This Row],[CF]]*chronic_consumption!$E31/1000/$C$3)</f>
        <v>#DIV/0!</v>
      </c>
      <c r="K1231" s="1098" t="e">
        <f>IF($D$1212="",0,$D1231*Table3[[#This Row],[CF]]*chronic_consumption!$F31/1000/$C$3)</f>
        <v>#DIV/0!</v>
      </c>
      <c r="L1231" s="1098" t="e">
        <f>IF($D$1212="",0,$D1231*Table3[[#This Row],[CF]]*chronic_consumption!$G31/1000/$C$3)</f>
        <v>#DIV/0!</v>
      </c>
      <c r="M1231" s="1098" t="e">
        <f>IF($D$1212="",0,$D1231*Table3[[#This Row],[CF]]*chronic_consumption!$H31/1000/$C$3)</f>
        <v>#DIV/0!</v>
      </c>
      <c r="N1231" s="1098" t="e">
        <f>IF($D$1212="",0,$D1231*Table3[[#This Row],[CF]]*chronic_consumption!$I31/1000/$C$3)</f>
        <v>#DIV/0!</v>
      </c>
      <c r="O1231" s="1098" t="e">
        <f>IF($D$1212="",0,$D1231*Table3[[#This Row],[CF]]*chronic_consumption!$J31/1000/$C$3)</f>
        <v>#DIV/0!</v>
      </c>
      <c r="P1231" s="1098" t="e">
        <f>IF($D$1212="",0,$D1231*Table3[[#This Row],[CF]]*chronic_consumption!$K31/1000/$C$3)</f>
        <v>#DIV/0!</v>
      </c>
      <c r="Q1231" s="1098" t="e">
        <f>IF($D$1212="",0,$D1231*Table3[[#This Row],[CF]]*chronic_consumption!$L31/1000/$C$3)</f>
        <v>#DIV/0!</v>
      </c>
      <c r="R1231" s="1098" t="e">
        <f>IF($D$1212="",0,$D1231*Table3[[#This Row],[CF]]*chronic_consumption!$M31/1000/$C$3)</f>
        <v>#DIV/0!</v>
      </c>
      <c r="S1231" s="1098" t="e">
        <f>IF($D$1212="",0,$D1231*Table3[[#This Row],[CF]]*chronic_consumption!$N31/1000/$C$3)</f>
        <v>#DIV/0!</v>
      </c>
      <c r="T1231" s="1098" t="e">
        <f>IF($D$1212="",0,$D1231*Table3[[#This Row],[CF]]*chronic_consumption!$O31/1000/$C$3)</f>
        <v>#DIV/0!</v>
      </c>
      <c r="U1231" s="1098" t="e">
        <f>IF($D$1212="",0,$D1231*Table3[[#This Row],[CF]]*chronic_consumption!$P31/1000/$C$3)</f>
        <v>#DIV/0!</v>
      </c>
      <c r="V1231" s="1098" t="e">
        <f>IF($D$1212="",0,$D1231*Table3[[#This Row],[CF]]*chronic_consumption!$Q31/1000/$C$3)</f>
        <v>#DIV/0!</v>
      </c>
      <c r="W1231" s="1098" t="e">
        <f>IF($D$1212="",0,$D1231*Table3[[#This Row],[CF]]*chronic_consumption!$R31/1000/$C$3)</f>
        <v>#DIV/0!</v>
      </c>
      <c r="X1231" s="1098" t="e">
        <f>IF($D$1212="",0,$D1231*Table3[[#This Row],[CF]]*chronic_consumption!$S31/1000/$C$3)</f>
        <v>#DIV/0!</v>
      </c>
      <c r="Y1231" s="1098" t="e">
        <f>IF($D$1212="",0,$D1231*Table3[[#This Row],[CF]]*chronic_consumption!$T31/1000/$C$3)</f>
        <v>#DIV/0!</v>
      </c>
      <c r="Z1231" s="1098" t="e">
        <f>IF($D$1212="",0,$D1231*Table3[[#This Row],[CF]]*chronic_consumption!$U31/1000/$C$3)</f>
        <v>#DIV/0!</v>
      </c>
      <c r="AA1231" s="1098" t="e">
        <f>IF($D$1212="",0,$D1231*Table3[[#This Row],[CF]]*chronic_consumption!$V31/1000/$C$3)</f>
        <v>#DIV/0!</v>
      </c>
      <c r="AB1231" s="1098" t="e">
        <f>IF($D$1212="",0,$D1231*Table3[[#This Row],[CF]]*chronic_consumption!$W31/1000/$C$3)</f>
        <v>#DIV/0!</v>
      </c>
      <c r="AC1231" s="1098" t="e">
        <f>IF($D$1212="",0,$D1231*Table3[[#This Row],[CF]]*chronic_consumption!$X31/1000/$C$3)</f>
        <v>#DIV/0!</v>
      </c>
      <c r="AD1231" s="1098" t="e">
        <f>IF($D$1212="",0,$D1231*Table3[[#This Row],[CF]]*chronic_consumption!$Y31/1000/$C$3)</f>
        <v>#DIV/0!</v>
      </c>
      <c r="AE1231" s="1098" t="e">
        <f>IF($D$1212="",0,$D1231*Table3[[#This Row],[CF]]*chronic_consumption!$Z31/1000/$C$3)</f>
        <v>#DIV/0!</v>
      </c>
      <c r="AF1231" s="1098" t="e">
        <f>IF($D$1212="",0,$D1231*Table3[[#This Row],[CF]]*chronic_consumption!$AA31/1000/$C$3)</f>
        <v>#DIV/0!</v>
      </c>
      <c r="AG1231" s="1098" t="e">
        <f>IF($D$1212="",0,$D1231*Table3[[#This Row],[CF]]*chronic_consumption!$AB31/1000/$C$3)</f>
        <v>#DIV/0!</v>
      </c>
      <c r="AH1231" s="1098" t="e">
        <f>IF($D$1212="",0,$D1231*Table3[[#This Row],[CF]]*chronic_consumption!$AC31/1000/$C$3)</f>
        <v>#DIV/0!</v>
      </c>
      <c r="AI1231" s="1098" t="e">
        <f>IF($D$1212="",0,$D1231*Table3[[#This Row],[CF]]*chronic_consumption!$AD31/1000/$C$3)</f>
        <v>#DIV/0!</v>
      </c>
      <c r="AJ1231" s="1098" t="e">
        <f>IF($D$1212="",0,$D1231*Table3[[#This Row],[CF]]*chronic_consumption!$AE31/1000/$C$3)</f>
        <v>#DIV/0!</v>
      </c>
      <c r="AK1231" s="1098" t="e">
        <f>IF($D$1212="",0,$D1231*Table3[[#This Row],[CF]]*chronic_consumption!$AF31/1000/$C$3)</f>
        <v>#DIV/0!</v>
      </c>
      <c r="AL1231" s="1098" t="e">
        <f>IF($D$1212="",0,$D1231*Table3[[#This Row],[CF]]*chronic_consumption!$AG31/1000/$C$3)</f>
        <v>#DIV/0!</v>
      </c>
      <c r="AM1231" s="1098" t="e">
        <f>IF($D$1212="",0,$D1231*Table3[[#This Row],[CF]]*chronic_consumption!$AH31/1000/$C$3)</f>
        <v>#DIV/0!</v>
      </c>
      <c r="AN1231" s="1098" t="e">
        <f>IF($D$1212="",0,$D1231*Table3[[#This Row],[CF]]*chronic_consumption!$AI31/1000/$C$3)</f>
        <v>#DIV/0!</v>
      </c>
      <c r="AO1231" s="1098" t="e">
        <f>IF($D$1212="",0,$D1231*Table3[[#This Row],[CF]]*chronic_consumption!$AJ31/1000/$C$3)</f>
        <v>#DIV/0!</v>
      </c>
      <c r="AP1231" s="1098" t="e">
        <f>IF($D$1212="",0,$D1231*Table3[[#This Row],[CF]]*chronic_consumption!$AK31/1000/$C$3)</f>
        <v>#DIV/0!</v>
      </c>
      <c r="AQ1231" s="1098" t="e">
        <f>IF($D$1212="",0,$D1231*Table3[[#This Row],[CF]]*chronic_consumption!$AL31/1000/$C$3)</f>
        <v>#DIV/0!</v>
      </c>
      <c r="AR1231" s="1098" t="e">
        <f>IF($D$1212="",0,$D1231*Table3[[#This Row],[CF]]*chronic_consumption!$AM31/1000/$C$3)</f>
        <v>#DIV/0!</v>
      </c>
      <c r="AS1231" s="1098" t="e">
        <f>IF($D$1212="",0,$D1231*Table3[[#This Row],[CF]]*chronic_consumption!$AN31/1000/$C$3)</f>
        <v>#DIV/0!</v>
      </c>
      <c r="AT1231" s="1098" t="e">
        <f>IF($D$1212="",0,$D1231*Table3[[#This Row],[CF]]*chronic_consumption!$AO31/1000/$C$3)</f>
        <v>#DIV/0!</v>
      </c>
      <c r="AU1231" s="1099" t="e">
        <f t="shared" si="833"/>
        <v>#DIV/0!</v>
      </c>
      <c r="AV1231" s="1099" t="e">
        <f t="shared" si="833"/>
        <v>#DIV/0!</v>
      </c>
      <c r="AW1231" s="1099" t="e">
        <f t="shared" si="833"/>
        <v>#DIV/0!</v>
      </c>
      <c r="AX1231" s="1099" t="e">
        <f t="shared" si="833"/>
        <v>#DIV/0!</v>
      </c>
      <c r="AY1231" s="1099" t="e">
        <f t="shared" si="833"/>
        <v>#DIV/0!</v>
      </c>
      <c r="AZ1231" s="1091" t="s">
        <v>1012</v>
      </c>
      <c r="BA1231" s="1097" t="e">
        <f>IF(Table3[[#This Row],[max]]&lt;&gt;0,RANK(Table3[[#This Row],[max]],Table3[max],0),"")</f>
        <v>#DIV/0!</v>
      </c>
      <c r="BB1231" s="1096" t="e">
        <f t="shared" si="831"/>
        <v>#DIV/0!</v>
      </c>
      <c r="BC1231" s="1096" t="e">
        <f t="shared" ca="1" si="832"/>
        <v>#DIV/0!</v>
      </c>
      <c r="BD1231" s="1096" t="e">
        <f>IF(Table3[[#This Row],[max]]&gt;0,Table3[[#This Row],[Crop groups and examples of individual products within the groups to which the MRLs apply]],"")</f>
        <v>#DIV/0!</v>
      </c>
    </row>
    <row r="1232" spans="2:56" x14ac:dyDescent="0.2">
      <c r="B1232" s="23">
        <f t="shared" ref="B1232:C1251" si="834">B32</f>
        <v>120990</v>
      </c>
      <c r="C1232" s="23" t="str">
        <f t="shared" si="834"/>
        <v>Other tree nuts</v>
      </c>
      <c r="D1232" s="1084">
        <f>input_values!E32</f>
        <v>0</v>
      </c>
      <c r="E1232" s="1084">
        <f>input_values!F32</f>
        <v>0</v>
      </c>
      <c r="F1232" s="1085">
        <f>input_values!W32</f>
        <v>1</v>
      </c>
      <c r="G1232" s="1085" t="str">
        <f>IF(Table3[[#This Row],[CF]]&gt;0,CONCATENATE(IF(Table3[[#This Row],[LOQ]]="*","LOQ","MRL"),IF(input_values!G32&gt;0,"×CFrisk","")),"")</f>
        <v>MRL</v>
      </c>
      <c r="H1232" s="1087">
        <f>input_values!L32</f>
        <v>0</v>
      </c>
      <c r="I1232" s="1088">
        <f>input_values!D32</f>
        <v>0</v>
      </c>
      <c r="J1232" s="1098" t="e">
        <f>IF($D$1212="",0,$D1232*Table3[[#This Row],[CF]]*chronic_consumption!$E32/1000/$C$3)</f>
        <v>#DIV/0!</v>
      </c>
      <c r="K1232" s="1098" t="e">
        <f>IF($D$1212="",0,$D1232*Table3[[#This Row],[CF]]*chronic_consumption!$F32/1000/$C$3)</f>
        <v>#DIV/0!</v>
      </c>
      <c r="L1232" s="1098" t="e">
        <f>IF($D$1212="",0,$D1232*Table3[[#This Row],[CF]]*chronic_consumption!$G32/1000/$C$3)</f>
        <v>#DIV/0!</v>
      </c>
      <c r="M1232" s="1098" t="e">
        <f>IF($D$1212="",0,$D1232*Table3[[#This Row],[CF]]*chronic_consumption!$H32/1000/$C$3)</f>
        <v>#DIV/0!</v>
      </c>
      <c r="N1232" s="1098" t="e">
        <f>IF($D$1212="",0,$D1232*Table3[[#This Row],[CF]]*chronic_consumption!$I32/1000/$C$3)</f>
        <v>#DIV/0!</v>
      </c>
      <c r="O1232" s="1098" t="e">
        <f>IF($D$1212="",0,$D1232*Table3[[#This Row],[CF]]*chronic_consumption!$J32/1000/$C$3)</f>
        <v>#DIV/0!</v>
      </c>
      <c r="P1232" s="1098" t="e">
        <f>IF($D$1212="",0,$D1232*Table3[[#This Row],[CF]]*chronic_consumption!$K32/1000/$C$3)</f>
        <v>#DIV/0!</v>
      </c>
      <c r="Q1232" s="1098" t="e">
        <f>IF($D$1212="",0,$D1232*Table3[[#This Row],[CF]]*chronic_consumption!$L32/1000/$C$3)</f>
        <v>#DIV/0!</v>
      </c>
      <c r="R1232" s="1098" t="e">
        <f>IF($D$1212="",0,$D1232*Table3[[#This Row],[CF]]*chronic_consumption!$M32/1000/$C$3)</f>
        <v>#DIV/0!</v>
      </c>
      <c r="S1232" s="1098" t="e">
        <f>IF($D$1212="",0,$D1232*Table3[[#This Row],[CF]]*chronic_consumption!$N32/1000/$C$3)</f>
        <v>#DIV/0!</v>
      </c>
      <c r="T1232" s="1098" t="e">
        <f>IF($D$1212="",0,$D1232*Table3[[#This Row],[CF]]*chronic_consumption!$O32/1000/$C$3)</f>
        <v>#DIV/0!</v>
      </c>
      <c r="U1232" s="1098" t="e">
        <f>IF($D$1212="",0,$D1232*Table3[[#This Row],[CF]]*chronic_consumption!$P32/1000/$C$3)</f>
        <v>#DIV/0!</v>
      </c>
      <c r="V1232" s="1098" t="e">
        <f>IF($D$1212="",0,$D1232*Table3[[#This Row],[CF]]*chronic_consumption!$Q32/1000/$C$3)</f>
        <v>#DIV/0!</v>
      </c>
      <c r="W1232" s="1098" t="e">
        <f>IF($D$1212="",0,$D1232*Table3[[#This Row],[CF]]*chronic_consumption!$R32/1000/$C$3)</f>
        <v>#DIV/0!</v>
      </c>
      <c r="X1232" s="1098" t="e">
        <f>IF($D$1212="",0,$D1232*Table3[[#This Row],[CF]]*chronic_consumption!$S32/1000/$C$3)</f>
        <v>#DIV/0!</v>
      </c>
      <c r="Y1232" s="1098" t="e">
        <f>IF($D$1212="",0,$D1232*Table3[[#This Row],[CF]]*chronic_consumption!$T32/1000/$C$3)</f>
        <v>#DIV/0!</v>
      </c>
      <c r="Z1232" s="1098" t="e">
        <f>IF($D$1212="",0,$D1232*Table3[[#This Row],[CF]]*chronic_consumption!$U32/1000/$C$3)</f>
        <v>#DIV/0!</v>
      </c>
      <c r="AA1232" s="1098" t="e">
        <f>IF($D$1212="",0,$D1232*Table3[[#This Row],[CF]]*chronic_consumption!$V32/1000/$C$3)</f>
        <v>#DIV/0!</v>
      </c>
      <c r="AB1232" s="1098" t="e">
        <f>IF($D$1212="",0,$D1232*Table3[[#This Row],[CF]]*chronic_consumption!$W32/1000/$C$3)</f>
        <v>#DIV/0!</v>
      </c>
      <c r="AC1232" s="1098" t="e">
        <f>IF($D$1212="",0,$D1232*Table3[[#This Row],[CF]]*chronic_consumption!$X32/1000/$C$3)</f>
        <v>#DIV/0!</v>
      </c>
      <c r="AD1232" s="1098" t="e">
        <f>IF($D$1212="",0,$D1232*Table3[[#This Row],[CF]]*chronic_consumption!$Y32/1000/$C$3)</f>
        <v>#DIV/0!</v>
      </c>
      <c r="AE1232" s="1098" t="e">
        <f>IF($D$1212="",0,$D1232*Table3[[#This Row],[CF]]*chronic_consumption!$Z32/1000/$C$3)</f>
        <v>#DIV/0!</v>
      </c>
      <c r="AF1232" s="1098" t="e">
        <f>IF($D$1212="",0,$D1232*Table3[[#This Row],[CF]]*chronic_consumption!$AA32/1000/$C$3)</f>
        <v>#DIV/0!</v>
      </c>
      <c r="AG1232" s="1098" t="e">
        <f>IF($D$1212="",0,$D1232*Table3[[#This Row],[CF]]*chronic_consumption!$AB32/1000/$C$3)</f>
        <v>#DIV/0!</v>
      </c>
      <c r="AH1232" s="1098" t="e">
        <f>IF($D$1212="",0,$D1232*Table3[[#This Row],[CF]]*chronic_consumption!$AC32/1000/$C$3)</f>
        <v>#DIV/0!</v>
      </c>
      <c r="AI1232" s="1098" t="e">
        <f>IF($D$1212="",0,$D1232*Table3[[#This Row],[CF]]*chronic_consumption!$AD32/1000/$C$3)</f>
        <v>#DIV/0!</v>
      </c>
      <c r="AJ1232" s="1098" t="e">
        <f>IF($D$1212="",0,$D1232*Table3[[#This Row],[CF]]*chronic_consumption!$AE32/1000/$C$3)</f>
        <v>#DIV/0!</v>
      </c>
      <c r="AK1232" s="1098" t="e">
        <f>IF($D$1212="",0,$D1232*Table3[[#This Row],[CF]]*chronic_consumption!$AF32/1000/$C$3)</f>
        <v>#DIV/0!</v>
      </c>
      <c r="AL1232" s="1098" t="e">
        <f>IF($D$1212="",0,$D1232*Table3[[#This Row],[CF]]*chronic_consumption!$AG32/1000/$C$3)</f>
        <v>#DIV/0!</v>
      </c>
      <c r="AM1232" s="1098" t="e">
        <f>IF($D$1212="",0,$D1232*Table3[[#This Row],[CF]]*chronic_consumption!$AH32/1000/$C$3)</f>
        <v>#DIV/0!</v>
      </c>
      <c r="AN1232" s="1098" t="e">
        <f>IF($D$1212="",0,$D1232*Table3[[#This Row],[CF]]*chronic_consumption!$AI32/1000/$C$3)</f>
        <v>#DIV/0!</v>
      </c>
      <c r="AO1232" s="1098" t="e">
        <f>IF($D$1212="",0,$D1232*Table3[[#This Row],[CF]]*chronic_consumption!$AJ32/1000/$C$3)</f>
        <v>#DIV/0!</v>
      </c>
      <c r="AP1232" s="1098" t="e">
        <f>IF($D$1212="",0,$D1232*Table3[[#This Row],[CF]]*chronic_consumption!$AK32/1000/$C$3)</f>
        <v>#DIV/0!</v>
      </c>
      <c r="AQ1232" s="1098" t="e">
        <f>IF($D$1212="",0,$D1232*Table3[[#This Row],[CF]]*chronic_consumption!$AL32/1000/$C$3)</f>
        <v>#DIV/0!</v>
      </c>
      <c r="AR1232" s="1098" t="e">
        <f>IF($D$1212="",0,$D1232*Table3[[#This Row],[CF]]*chronic_consumption!$AM32/1000/$C$3)</f>
        <v>#DIV/0!</v>
      </c>
      <c r="AS1232" s="1098" t="e">
        <f>IF($D$1212="",0,$D1232*Table3[[#This Row],[CF]]*chronic_consumption!$AN32/1000/$C$3)</f>
        <v>#DIV/0!</v>
      </c>
      <c r="AT1232" s="1098" t="e">
        <f>IF($D$1212="",0,$D1232*Table3[[#This Row],[CF]]*chronic_consumption!$AO32/1000/$C$3)</f>
        <v>#DIV/0!</v>
      </c>
      <c r="AU1232" s="1099" t="e">
        <f t="shared" ref="AU1232:AY1241" si="835">IF(AU432="",0,IF(OR(1=RANK(AU832,AU$412:AU$790,0),(2=RANK(AU832,AU$412:AU$790,0))),AU832,AU432))</f>
        <v>#DIV/0!</v>
      </c>
      <c r="AV1232" s="1099" t="e">
        <f t="shared" si="835"/>
        <v>#DIV/0!</v>
      </c>
      <c r="AW1232" s="1099" t="e">
        <f t="shared" si="835"/>
        <v>#DIV/0!</v>
      </c>
      <c r="AX1232" s="1099" t="e">
        <f t="shared" si="835"/>
        <v>#DIV/0!</v>
      </c>
      <c r="AY1232" s="1099" t="e">
        <f t="shared" si="835"/>
        <v>#DIV/0!</v>
      </c>
      <c r="AZ1232" s="1091" t="s">
        <v>1012</v>
      </c>
      <c r="BA1232" s="1097" t="e">
        <f>IF(Table3[[#This Row],[max]]&lt;&gt;0,RANK(Table3[[#This Row],[max]],Table3[max],0),"")</f>
        <v>#DIV/0!</v>
      </c>
      <c r="BB1232" s="1096" t="e">
        <f t="shared" si="831"/>
        <v>#DIV/0!</v>
      </c>
      <c r="BC1232" s="1096" t="e">
        <f t="shared" ca="1" si="832"/>
        <v>#DIV/0!</v>
      </c>
      <c r="BD1232" s="1096" t="e">
        <f>IF(Table3[[#This Row],[max]]&gt;0,Table3[[#This Row],[Crop groups and examples of individual products within the groups to which the MRLs apply]],"")</f>
        <v>#DIV/0!</v>
      </c>
    </row>
    <row r="1233" spans="2:56" x14ac:dyDescent="0.2">
      <c r="B1233" s="131">
        <f t="shared" si="834"/>
        <v>130000</v>
      </c>
      <c r="C1233" s="131" t="str">
        <f t="shared" si="834"/>
        <v xml:space="preserve"> Pome fruit</v>
      </c>
      <c r="D1233" s="1084">
        <f>input_values!E33</f>
        <v>0</v>
      </c>
      <c r="E1233" s="1084">
        <f>input_values!F33</f>
        <v>0</v>
      </c>
      <c r="F1233" s="1085">
        <f>input_values!W33</f>
        <v>0</v>
      </c>
      <c r="G1233" s="1085" t="str">
        <f>IF(Table3[[#This Row],[CF]]&gt;0,CONCATENATE(IF(Table3[[#This Row],[LOQ]]="*","LOQ","MRL"),IF(input_values!G33&gt;0,"×CFrisk","")),"")</f>
        <v/>
      </c>
      <c r="H1233" s="1087">
        <f>input_values!L33</f>
        <v>0</v>
      </c>
      <c r="I1233" s="1088">
        <f>input_values!D33</f>
        <v>0</v>
      </c>
      <c r="J1233" s="1095" t="e">
        <f>IF($D$1212="",0,$D1233*Table3[[#This Row],[CF]]*chronic_consumption!$E33/1000/$C$3)</f>
        <v>#DIV/0!</v>
      </c>
      <c r="K1233" s="1095" t="e">
        <f>IF($D$1212="",0,$D1233*Table3[[#This Row],[CF]]*chronic_consumption!$F33/1000/$C$3)</f>
        <v>#DIV/0!</v>
      </c>
      <c r="L1233" s="1095" t="e">
        <f>IF($D$1212="",0,$D1233*Table3[[#This Row],[CF]]*chronic_consumption!$G33/1000/$C$3)</f>
        <v>#DIV/0!</v>
      </c>
      <c r="M1233" s="1095" t="e">
        <f>IF($D$1212="",0,$D1233*Table3[[#This Row],[CF]]*chronic_consumption!$H33/1000/$C$3)</f>
        <v>#DIV/0!</v>
      </c>
      <c r="N1233" s="1095" t="e">
        <f>IF($D$1212="",0,$D1233*Table3[[#This Row],[CF]]*chronic_consumption!$I33/1000/$C$3)</f>
        <v>#DIV/0!</v>
      </c>
      <c r="O1233" s="1095" t="e">
        <f>IF($D$1212="",0,$D1233*Table3[[#This Row],[CF]]*chronic_consumption!$J33/1000/$C$3)</f>
        <v>#DIV/0!</v>
      </c>
      <c r="P1233" s="1095" t="e">
        <f>IF($D$1212="",0,$D1233*Table3[[#This Row],[CF]]*chronic_consumption!$K33/1000/$C$3)</f>
        <v>#DIV/0!</v>
      </c>
      <c r="Q1233" s="1095" t="e">
        <f>IF($D$1212="",0,$D1233*Table3[[#This Row],[CF]]*chronic_consumption!$L33/1000/$C$3)</f>
        <v>#DIV/0!</v>
      </c>
      <c r="R1233" s="1095" t="e">
        <f>IF($D$1212="",0,$D1233*Table3[[#This Row],[CF]]*chronic_consumption!$M33/1000/$C$3)</f>
        <v>#DIV/0!</v>
      </c>
      <c r="S1233" s="1095" t="e">
        <f>IF($D$1212="",0,$D1233*Table3[[#This Row],[CF]]*chronic_consumption!$N33/1000/$C$3)</f>
        <v>#DIV/0!</v>
      </c>
      <c r="T1233" s="1095" t="e">
        <f>IF($D$1212="",0,$D1233*Table3[[#This Row],[CF]]*chronic_consumption!$O33/1000/$C$3)</f>
        <v>#DIV/0!</v>
      </c>
      <c r="U1233" s="1095" t="e">
        <f>IF($D$1212="",0,$D1233*Table3[[#This Row],[CF]]*chronic_consumption!$P33/1000/$C$3)</f>
        <v>#DIV/0!</v>
      </c>
      <c r="V1233" s="1095" t="e">
        <f>IF($D$1212="",0,$D1233*Table3[[#This Row],[CF]]*chronic_consumption!$Q33/1000/$C$3)</f>
        <v>#DIV/0!</v>
      </c>
      <c r="W1233" s="1095" t="e">
        <f>IF($D$1212="",0,$D1233*Table3[[#This Row],[CF]]*chronic_consumption!$R33/1000/$C$3)</f>
        <v>#DIV/0!</v>
      </c>
      <c r="X1233" s="1095" t="e">
        <f>IF($D$1212="",0,$D1233*Table3[[#This Row],[CF]]*chronic_consumption!$S33/1000/$C$3)</f>
        <v>#DIV/0!</v>
      </c>
      <c r="Y1233" s="1095" t="e">
        <f>IF($D$1212="",0,$D1233*Table3[[#This Row],[CF]]*chronic_consumption!$T33/1000/$C$3)</f>
        <v>#DIV/0!</v>
      </c>
      <c r="Z1233" s="1095" t="e">
        <f>IF($D$1212="",0,$D1233*Table3[[#This Row],[CF]]*chronic_consumption!$U33/1000/$C$3)</f>
        <v>#DIV/0!</v>
      </c>
      <c r="AA1233" s="1095" t="e">
        <f>IF($D$1212="",0,$D1233*Table3[[#This Row],[CF]]*chronic_consumption!$V33/1000/$C$3)</f>
        <v>#DIV/0!</v>
      </c>
      <c r="AB1233" s="1095" t="e">
        <f>IF($D$1212="",0,$D1233*Table3[[#This Row],[CF]]*chronic_consumption!$W33/1000/$C$3)</f>
        <v>#DIV/0!</v>
      </c>
      <c r="AC1233" s="1095" t="e">
        <f>IF($D$1212="",0,$D1233*Table3[[#This Row],[CF]]*chronic_consumption!$X33/1000/$C$3)</f>
        <v>#DIV/0!</v>
      </c>
      <c r="AD1233" s="1095" t="e">
        <f>IF($D$1212="",0,$D1233*Table3[[#This Row],[CF]]*chronic_consumption!$Y33/1000/$C$3)</f>
        <v>#DIV/0!</v>
      </c>
      <c r="AE1233" s="1095" t="e">
        <f>IF($D$1212="",0,$D1233*Table3[[#This Row],[CF]]*chronic_consumption!$Z33/1000/$C$3)</f>
        <v>#DIV/0!</v>
      </c>
      <c r="AF1233" s="1095" t="e">
        <f>IF($D$1212="",0,$D1233*Table3[[#This Row],[CF]]*chronic_consumption!$AA33/1000/$C$3)</f>
        <v>#DIV/0!</v>
      </c>
      <c r="AG1233" s="1095" t="e">
        <f>IF($D$1212="",0,$D1233*Table3[[#This Row],[CF]]*chronic_consumption!$AB33/1000/$C$3)</f>
        <v>#DIV/0!</v>
      </c>
      <c r="AH1233" s="1095" t="e">
        <f>IF($D$1212="",0,$D1233*Table3[[#This Row],[CF]]*chronic_consumption!$AC33/1000/$C$3)</f>
        <v>#DIV/0!</v>
      </c>
      <c r="AI1233" s="1095" t="e">
        <f>IF($D$1212="",0,$D1233*Table3[[#This Row],[CF]]*chronic_consumption!$AD33/1000/$C$3)</f>
        <v>#DIV/0!</v>
      </c>
      <c r="AJ1233" s="1095" t="e">
        <f>IF($D$1212="",0,$D1233*Table3[[#This Row],[CF]]*chronic_consumption!$AE33/1000/$C$3)</f>
        <v>#DIV/0!</v>
      </c>
      <c r="AK1233" s="1095" t="e">
        <f>IF($D$1212="",0,$D1233*Table3[[#This Row],[CF]]*chronic_consumption!$AF33/1000/$C$3)</f>
        <v>#DIV/0!</v>
      </c>
      <c r="AL1233" s="1095" t="e">
        <f>IF($D$1212="",0,$D1233*Table3[[#This Row],[CF]]*chronic_consumption!$AG33/1000/$C$3)</f>
        <v>#DIV/0!</v>
      </c>
      <c r="AM1233" s="1095" t="e">
        <f>IF($D$1212="",0,$D1233*Table3[[#This Row],[CF]]*chronic_consumption!$AH33/1000/$C$3)</f>
        <v>#DIV/0!</v>
      </c>
      <c r="AN1233" s="1095" t="e">
        <f>IF($D$1212="",0,$D1233*Table3[[#This Row],[CF]]*chronic_consumption!$AI33/1000/$C$3)</f>
        <v>#DIV/0!</v>
      </c>
      <c r="AO1233" s="1095" t="e">
        <f>IF($D$1212="",0,$D1233*Table3[[#This Row],[CF]]*chronic_consumption!$AJ33/1000/$C$3)</f>
        <v>#DIV/0!</v>
      </c>
      <c r="AP1233" s="1095" t="e">
        <f>IF($D$1212="",0,$D1233*Table3[[#This Row],[CF]]*chronic_consumption!$AK33/1000/$C$3)</f>
        <v>#DIV/0!</v>
      </c>
      <c r="AQ1233" s="1095" t="e">
        <f>IF($D$1212="",0,$D1233*Table3[[#This Row],[CF]]*chronic_consumption!$AL33/1000/$C$3)</f>
        <v>#DIV/0!</v>
      </c>
      <c r="AR1233" s="1095" t="e">
        <f>IF($D$1212="",0,$D1233*Table3[[#This Row],[CF]]*chronic_consumption!$AM33/1000/$C$3)</f>
        <v>#DIV/0!</v>
      </c>
      <c r="AS1233" s="1095" t="e">
        <f>IF($D$1212="",0,$D1233*Table3[[#This Row],[CF]]*chronic_consumption!$AN33/1000/$C$3)</f>
        <v>#DIV/0!</v>
      </c>
      <c r="AT1233" s="1095" t="e">
        <f>IF($D$1212="",0,$D1233*Table3[[#This Row],[CF]]*chronic_consumption!$AO33/1000/$C$3)</f>
        <v>#DIV/0!</v>
      </c>
      <c r="AU1233" s="1096" t="e">
        <f t="shared" si="835"/>
        <v>#DIV/0!</v>
      </c>
      <c r="AV1233" s="1096" t="e">
        <f t="shared" si="835"/>
        <v>#DIV/0!</v>
      </c>
      <c r="AW1233" s="1096" t="e">
        <f t="shared" si="835"/>
        <v>#DIV/0!</v>
      </c>
      <c r="AX1233" s="1096" t="e">
        <f t="shared" si="835"/>
        <v>#DIV/0!</v>
      </c>
      <c r="AY1233" s="1096" t="e">
        <f t="shared" si="835"/>
        <v>#DIV/0!</v>
      </c>
      <c r="AZ1233" s="1091" t="s">
        <v>1012</v>
      </c>
      <c r="BA1233" s="1097" t="e">
        <f>IF(Table3[[#This Row],[max]]&lt;&gt;0,RANK(Table3[[#This Row],[max]],Table3[max],0),"")</f>
        <v>#DIV/0!</v>
      </c>
      <c r="BB1233" s="1096" t="e">
        <f t="shared" si="831"/>
        <v>#DIV/0!</v>
      </c>
      <c r="BC1233" s="1096" t="e">
        <f t="shared" ca="1" si="832"/>
        <v>#DIV/0!</v>
      </c>
      <c r="BD1233" s="1096" t="e">
        <f>IF(Table3[[#This Row],[max]]&gt;0,Table3[[#This Row],[Crop groups and examples of individual products within the groups to which the MRLs apply]],"")</f>
        <v>#DIV/0!</v>
      </c>
    </row>
    <row r="1234" spans="2:56" x14ac:dyDescent="0.2">
      <c r="B1234" s="23">
        <f t="shared" si="834"/>
        <v>130010</v>
      </c>
      <c r="C1234" s="23" t="str">
        <f t="shared" si="834"/>
        <v>Apples</v>
      </c>
      <c r="D1234" s="1084">
        <f>input_values!E34</f>
        <v>0</v>
      </c>
      <c r="E1234" s="1084">
        <f>input_values!F34</f>
        <v>0</v>
      </c>
      <c r="F1234" s="1085">
        <f>input_values!W34</f>
        <v>1</v>
      </c>
      <c r="G1234" s="1085" t="str">
        <f>IF(Table3[[#This Row],[CF]]&gt;0,CONCATENATE(IF(Table3[[#This Row],[LOQ]]="*","LOQ","MRL"),IF(input_values!G34&gt;0,"×CFrisk","")),"")</f>
        <v>MRL</v>
      </c>
      <c r="H1234" s="1087">
        <f>input_values!L34</f>
        <v>0</v>
      </c>
      <c r="I1234" s="1088">
        <f>input_values!D34</f>
        <v>0</v>
      </c>
      <c r="J1234" s="1098" t="e">
        <f>IF($D$1212="",0,$D1234*Table3[[#This Row],[CF]]*chronic_consumption!$E34/1000/$C$3)</f>
        <v>#DIV/0!</v>
      </c>
      <c r="K1234" s="1098" t="e">
        <f>IF($D$1212="",0,$D1234*Table3[[#This Row],[CF]]*chronic_consumption!$F34/1000/$C$3)</f>
        <v>#DIV/0!</v>
      </c>
      <c r="L1234" s="1098" t="e">
        <f>IF($D$1212="",0,$D1234*Table3[[#This Row],[CF]]*chronic_consumption!$G34/1000/$C$3)</f>
        <v>#DIV/0!</v>
      </c>
      <c r="M1234" s="1098" t="e">
        <f>IF($D$1212="",0,$D1234*Table3[[#This Row],[CF]]*chronic_consumption!$H34/1000/$C$3)</f>
        <v>#DIV/0!</v>
      </c>
      <c r="N1234" s="1098" t="e">
        <f>IF($D$1212="",0,$D1234*Table3[[#This Row],[CF]]*chronic_consumption!$I34/1000/$C$3)</f>
        <v>#DIV/0!</v>
      </c>
      <c r="O1234" s="1098" t="e">
        <f>IF($D$1212="",0,$D1234*Table3[[#This Row],[CF]]*chronic_consumption!$J34/1000/$C$3)</f>
        <v>#DIV/0!</v>
      </c>
      <c r="P1234" s="1098" t="e">
        <f>IF($D$1212="",0,$D1234*Table3[[#This Row],[CF]]*chronic_consumption!$K34/1000/$C$3)</f>
        <v>#DIV/0!</v>
      </c>
      <c r="Q1234" s="1098" t="e">
        <f>IF($D$1212="",0,$D1234*Table3[[#This Row],[CF]]*chronic_consumption!$L34/1000/$C$3)</f>
        <v>#DIV/0!</v>
      </c>
      <c r="R1234" s="1098" t="e">
        <f>IF($D$1212="",0,$D1234*Table3[[#This Row],[CF]]*chronic_consumption!$M34/1000/$C$3)</f>
        <v>#DIV/0!</v>
      </c>
      <c r="S1234" s="1098" t="e">
        <f>IF($D$1212="",0,$D1234*Table3[[#This Row],[CF]]*chronic_consumption!$N34/1000/$C$3)</f>
        <v>#DIV/0!</v>
      </c>
      <c r="T1234" s="1098" t="e">
        <f>IF($D$1212="",0,$D1234*Table3[[#This Row],[CF]]*chronic_consumption!$O34/1000/$C$3)</f>
        <v>#DIV/0!</v>
      </c>
      <c r="U1234" s="1098" t="e">
        <f>IF($D$1212="",0,$D1234*Table3[[#This Row],[CF]]*chronic_consumption!$P34/1000/$C$3)</f>
        <v>#DIV/0!</v>
      </c>
      <c r="V1234" s="1098" t="e">
        <f>IF($D$1212="",0,$D1234*Table3[[#This Row],[CF]]*chronic_consumption!$Q34/1000/$C$3)</f>
        <v>#DIV/0!</v>
      </c>
      <c r="W1234" s="1098" t="e">
        <f>IF($D$1212="",0,$D1234*Table3[[#This Row],[CF]]*chronic_consumption!$R34/1000/$C$3)</f>
        <v>#DIV/0!</v>
      </c>
      <c r="X1234" s="1098" t="e">
        <f>IF($D$1212="",0,$D1234*Table3[[#This Row],[CF]]*chronic_consumption!$S34/1000/$C$3)</f>
        <v>#DIV/0!</v>
      </c>
      <c r="Y1234" s="1098" t="e">
        <f>IF($D$1212="",0,$D1234*Table3[[#This Row],[CF]]*chronic_consumption!$T34/1000/$C$3)</f>
        <v>#DIV/0!</v>
      </c>
      <c r="Z1234" s="1098" t="e">
        <f>IF($D$1212="",0,$D1234*Table3[[#This Row],[CF]]*chronic_consumption!$U34/1000/$C$3)</f>
        <v>#DIV/0!</v>
      </c>
      <c r="AA1234" s="1098" t="e">
        <f>IF($D$1212="",0,$D1234*Table3[[#This Row],[CF]]*chronic_consumption!$V34/1000/$C$3)</f>
        <v>#DIV/0!</v>
      </c>
      <c r="AB1234" s="1098" t="e">
        <f>IF($D$1212="",0,$D1234*Table3[[#This Row],[CF]]*chronic_consumption!$W34/1000/$C$3)</f>
        <v>#DIV/0!</v>
      </c>
      <c r="AC1234" s="1098" t="e">
        <f>IF($D$1212="",0,$D1234*Table3[[#This Row],[CF]]*chronic_consumption!$X34/1000/$C$3)</f>
        <v>#DIV/0!</v>
      </c>
      <c r="AD1234" s="1098" t="e">
        <f>IF($D$1212="",0,$D1234*Table3[[#This Row],[CF]]*chronic_consumption!$Y34/1000/$C$3)</f>
        <v>#DIV/0!</v>
      </c>
      <c r="AE1234" s="1098" t="e">
        <f>IF($D$1212="",0,$D1234*Table3[[#This Row],[CF]]*chronic_consumption!$Z34/1000/$C$3)</f>
        <v>#DIV/0!</v>
      </c>
      <c r="AF1234" s="1098" t="e">
        <f>IF($D$1212="",0,$D1234*Table3[[#This Row],[CF]]*chronic_consumption!$AA34/1000/$C$3)</f>
        <v>#DIV/0!</v>
      </c>
      <c r="AG1234" s="1098" t="e">
        <f>IF($D$1212="",0,$D1234*Table3[[#This Row],[CF]]*chronic_consumption!$AB34/1000/$C$3)</f>
        <v>#DIV/0!</v>
      </c>
      <c r="AH1234" s="1098" t="e">
        <f>IF($D$1212="",0,$D1234*Table3[[#This Row],[CF]]*chronic_consumption!$AC34/1000/$C$3)</f>
        <v>#DIV/0!</v>
      </c>
      <c r="AI1234" s="1098" t="e">
        <f>IF($D$1212="",0,$D1234*Table3[[#This Row],[CF]]*chronic_consumption!$AD34/1000/$C$3)</f>
        <v>#DIV/0!</v>
      </c>
      <c r="AJ1234" s="1098" t="e">
        <f>IF($D$1212="",0,$D1234*Table3[[#This Row],[CF]]*chronic_consumption!$AE34/1000/$C$3)</f>
        <v>#DIV/0!</v>
      </c>
      <c r="AK1234" s="1098" t="e">
        <f>IF($D$1212="",0,$D1234*Table3[[#This Row],[CF]]*chronic_consumption!$AF34/1000/$C$3)</f>
        <v>#DIV/0!</v>
      </c>
      <c r="AL1234" s="1098" t="e">
        <f>IF($D$1212="",0,$D1234*Table3[[#This Row],[CF]]*chronic_consumption!$AG34/1000/$C$3)</f>
        <v>#DIV/0!</v>
      </c>
      <c r="AM1234" s="1098" t="e">
        <f>IF($D$1212="",0,$D1234*Table3[[#This Row],[CF]]*chronic_consumption!$AH34/1000/$C$3)</f>
        <v>#DIV/0!</v>
      </c>
      <c r="AN1234" s="1098" t="e">
        <f>IF($D$1212="",0,$D1234*Table3[[#This Row],[CF]]*chronic_consumption!$AI34/1000/$C$3)</f>
        <v>#DIV/0!</v>
      </c>
      <c r="AO1234" s="1098" t="e">
        <f>IF($D$1212="",0,$D1234*Table3[[#This Row],[CF]]*chronic_consumption!$AJ34/1000/$C$3)</f>
        <v>#DIV/0!</v>
      </c>
      <c r="AP1234" s="1098" t="e">
        <f>IF($D$1212="",0,$D1234*Table3[[#This Row],[CF]]*chronic_consumption!$AK34/1000/$C$3)</f>
        <v>#DIV/0!</v>
      </c>
      <c r="AQ1234" s="1098" t="e">
        <f>IF($D$1212="",0,$D1234*Table3[[#This Row],[CF]]*chronic_consumption!$AL34/1000/$C$3)</f>
        <v>#DIV/0!</v>
      </c>
      <c r="AR1234" s="1098" t="e">
        <f>IF($D$1212="",0,$D1234*Table3[[#This Row],[CF]]*chronic_consumption!$AM34/1000/$C$3)</f>
        <v>#DIV/0!</v>
      </c>
      <c r="AS1234" s="1098" t="e">
        <f>IF($D$1212="",0,$D1234*Table3[[#This Row],[CF]]*chronic_consumption!$AN34/1000/$C$3)</f>
        <v>#DIV/0!</v>
      </c>
      <c r="AT1234" s="1098" t="e">
        <f>IF($D$1212="",0,$D1234*Table3[[#This Row],[CF]]*chronic_consumption!$AO34/1000/$C$3)</f>
        <v>#DIV/0!</v>
      </c>
      <c r="AU1234" s="1099" t="e">
        <f t="shared" si="835"/>
        <v>#DIV/0!</v>
      </c>
      <c r="AV1234" s="1099" t="e">
        <f t="shared" si="835"/>
        <v>#DIV/0!</v>
      </c>
      <c r="AW1234" s="1099" t="e">
        <f t="shared" si="835"/>
        <v>#DIV/0!</v>
      </c>
      <c r="AX1234" s="1099" t="e">
        <f t="shared" si="835"/>
        <v>#DIV/0!</v>
      </c>
      <c r="AY1234" s="1099" t="e">
        <f t="shared" si="835"/>
        <v>#DIV/0!</v>
      </c>
      <c r="AZ1234" s="1091" t="s">
        <v>1012</v>
      </c>
      <c r="BA1234" s="1097" t="e">
        <f>IF(Table3[[#This Row],[max]]&lt;&gt;0,RANK(Table3[[#This Row],[max]],Table3[max],0),"")</f>
        <v>#DIV/0!</v>
      </c>
      <c r="BB1234" s="1096" t="e">
        <f t="shared" si="831"/>
        <v>#DIV/0!</v>
      </c>
      <c r="BC1234" s="1096" t="e">
        <f t="shared" ca="1" si="832"/>
        <v>#DIV/0!</v>
      </c>
      <c r="BD1234" s="1096" t="e">
        <f>IF(Table3[[#This Row],[max]]&gt;0,Table3[[#This Row],[Crop groups and examples of individual products within the groups to which the MRLs apply]],"")</f>
        <v>#DIV/0!</v>
      </c>
    </row>
    <row r="1235" spans="2:56" x14ac:dyDescent="0.2">
      <c r="B1235" s="23">
        <f t="shared" si="834"/>
        <v>130020</v>
      </c>
      <c r="C1235" s="23" t="str">
        <f t="shared" si="834"/>
        <v>Pears</v>
      </c>
      <c r="D1235" s="1084">
        <f>input_values!E35</f>
        <v>0</v>
      </c>
      <c r="E1235" s="1084">
        <f>input_values!F35</f>
        <v>0</v>
      </c>
      <c r="F1235" s="1085">
        <f>input_values!W35</f>
        <v>1</v>
      </c>
      <c r="G1235" s="1085" t="str">
        <f>IF(Table3[[#This Row],[CF]]&gt;0,CONCATENATE(IF(Table3[[#This Row],[LOQ]]="*","LOQ","MRL"),IF(input_values!G35&gt;0,"×CFrisk","")),"")</f>
        <v>MRL</v>
      </c>
      <c r="H1235" s="1087">
        <f>input_values!L35</f>
        <v>0</v>
      </c>
      <c r="I1235" s="1088">
        <f>input_values!D35</f>
        <v>0</v>
      </c>
      <c r="J1235" s="1098" t="e">
        <f>IF($D$1212="",0,$D1235*Table3[[#This Row],[CF]]*chronic_consumption!$E35/1000/$C$3)</f>
        <v>#DIV/0!</v>
      </c>
      <c r="K1235" s="1098" t="e">
        <f>IF($D$1212="",0,$D1235*Table3[[#This Row],[CF]]*chronic_consumption!$F35/1000/$C$3)</f>
        <v>#DIV/0!</v>
      </c>
      <c r="L1235" s="1098" t="e">
        <f>IF($D$1212="",0,$D1235*Table3[[#This Row],[CF]]*chronic_consumption!$G35/1000/$C$3)</f>
        <v>#DIV/0!</v>
      </c>
      <c r="M1235" s="1098" t="e">
        <f>IF($D$1212="",0,$D1235*Table3[[#This Row],[CF]]*chronic_consumption!$H35/1000/$C$3)</f>
        <v>#DIV/0!</v>
      </c>
      <c r="N1235" s="1098" t="e">
        <f>IF($D$1212="",0,$D1235*Table3[[#This Row],[CF]]*chronic_consumption!$I35/1000/$C$3)</f>
        <v>#DIV/0!</v>
      </c>
      <c r="O1235" s="1098" t="e">
        <f>IF($D$1212="",0,$D1235*Table3[[#This Row],[CF]]*chronic_consumption!$J35/1000/$C$3)</f>
        <v>#DIV/0!</v>
      </c>
      <c r="P1235" s="1098" t="e">
        <f>IF($D$1212="",0,$D1235*Table3[[#This Row],[CF]]*chronic_consumption!$K35/1000/$C$3)</f>
        <v>#DIV/0!</v>
      </c>
      <c r="Q1235" s="1098" t="e">
        <f>IF($D$1212="",0,$D1235*Table3[[#This Row],[CF]]*chronic_consumption!$L35/1000/$C$3)</f>
        <v>#DIV/0!</v>
      </c>
      <c r="R1235" s="1098" t="e">
        <f>IF($D$1212="",0,$D1235*Table3[[#This Row],[CF]]*chronic_consumption!$M35/1000/$C$3)</f>
        <v>#DIV/0!</v>
      </c>
      <c r="S1235" s="1098" t="e">
        <f>IF($D$1212="",0,$D1235*Table3[[#This Row],[CF]]*chronic_consumption!$N35/1000/$C$3)</f>
        <v>#DIV/0!</v>
      </c>
      <c r="T1235" s="1098" t="e">
        <f>IF($D$1212="",0,$D1235*Table3[[#This Row],[CF]]*chronic_consumption!$O35/1000/$C$3)</f>
        <v>#DIV/0!</v>
      </c>
      <c r="U1235" s="1098" t="e">
        <f>IF($D$1212="",0,$D1235*Table3[[#This Row],[CF]]*chronic_consumption!$P35/1000/$C$3)</f>
        <v>#DIV/0!</v>
      </c>
      <c r="V1235" s="1098" t="e">
        <f>IF($D$1212="",0,$D1235*Table3[[#This Row],[CF]]*chronic_consumption!$Q35/1000/$C$3)</f>
        <v>#DIV/0!</v>
      </c>
      <c r="W1235" s="1098" t="e">
        <f>IF($D$1212="",0,$D1235*Table3[[#This Row],[CF]]*chronic_consumption!$R35/1000/$C$3)</f>
        <v>#DIV/0!</v>
      </c>
      <c r="X1235" s="1098" t="e">
        <f>IF($D$1212="",0,$D1235*Table3[[#This Row],[CF]]*chronic_consumption!$S35/1000/$C$3)</f>
        <v>#DIV/0!</v>
      </c>
      <c r="Y1235" s="1098" t="e">
        <f>IF($D$1212="",0,$D1235*Table3[[#This Row],[CF]]*chronic_consumption!$T35/1000/$C$3)</f>
        <v>#DIV/0!</v>
      </c>
      <c r="Z1235" s="1098" t="e">
        <f>IF($D$1212="",0,$D1235*Table3[[#This Row],[CF]]*chronic_consumption!$U35/1000/$C$3)</f>
        <v>#DIV/0!</v>
      </c>
      <c r="AA1235" s="1098" t="e">
        <f>IF($D$1212="",0,$D1235*Table3[[#This Row],[CF]]*chronic_consumption!$V35/1000/$C$3)</f>
        <v>#DIV/0!</v>
      </c>
      <c r="AB1235" s="1098" t="e">
        <f>IF($D$1212="",0,$D1235*Table3[[#This Row],[CF]]*chronic_consumption!$W35/1000/$C$3)</f>
        <v>#DIV/0!</v>
      </c>
      <c r="AC1235" s="1098" t="e">
        <f>IF($D$1212="",0,$D1235*Table3[[#This Row],[CF]]*chronic_consumption!$X35/1000/$C$3)</f>
        <v>#DIV/0!</v>
      </c>
      <c r="AD1235" s="1098" t="e">
        <f>IF($D$1212="",0,$D1235*Table3[[#This Row],[CF]]*chronic_consumption!$Y35/1000/$C$3)</f>
        <v>#DIV/0!</v>
      </c>
      <c r="AE1235" s="1098" t="e">
        <f>IF($D$1212="",0,$D1235*Table3[[#This Row],[CF]]*chronic_consumption!$Z35/1000/$C$3)</f>
        <v>#DIV/0!</v>
      </c>
      <c r="AF1235" s="1098" t="e">
        <f>IF($D$1212="",0,$D1235*Table3[[#This Row],[CF]]*chronic_consumption!$AA35/1000/$C$3)</f>
        <v>#DIV/0!</v>
      </c>
      <c r="AG1235" s="1098" t="e">
        <f>IF($D$1212="",0,$D1235*Table3[[#This Row],[CF]]*chronic_consumption!$AB35/1000/$C$3)</f>
        <v>#DIV/0!</v>
      </c>
      <c r="AH1235" s="1098" t="e">
        <f>IF($D$1212="",0,$D1235*Table3[[#This Row],[CF]]*chronic_consumption!$AC35/1000/$C$3)</f>
        <v>#DIV/0!</v>
      </c>
      <c r="AI1235" s="1098" t="e">
        <f>IF($D$1212="",0,$D1235*Table3[[#This Row],[CF]]*chronic_consumption!$AD35/1000/$C$3)</f>
        <v>#DIV/0!</v>
      </c>
      <c r="AJ1235" s="1098" t="e">
        <f>IF($D$1212="",0,$D1235*Table3[[#This Row],[CF]]*chronic_consumption!$AE35/1000/$C$3)</f>
        <v>#DIV/0!</v>
      </c>
      <c r="AK1235" s="1098" t="e">
        <f>IF($D$1212="",0,$D1235*Table3[[#This Row],[CF]]*chronic_consumption!$AF35/1000/$C$3)</f>
        <v>#DIV/0!</v>
      </c>
      <c r="AL1235" s="1098" t="e">
        <f>IF($D$1212="",0,$D1235*Table3[[#This Row],[CF]]*chronic_consumption!$AG35/1000/$C$3)</f>
        <v>#DIV/0!</v>
      </c>
      <c r="AM1235" s="1098" t="e">
        <f>IF($D$1212="",0,$D1235*Table3[[#This Row],[CF]]*chronic_consumption!$AH35/1000/$C$3)</f>
        <v>#DIV/0!</v>
      </c>
      <c r="AN1235" s="1098" t="e">
        <f>IF($D$1212="",0,$D1235*Table3[[#This Row],[CF]]*chronic_consumption!$AI35/1000/$C$3)</f>
        <v>#DIV/0!</v>
      </c>
      <c r="AO1235" s="1098" t="e">
        <f>IF($D$1212="",0,$D1235*Table3[[#This Row],[CF]]*chronic_consumption!$AJ35/1000/$C$3)</f>
        <v>#DIV/0!</v>
      </c>
      <c r="AP1235" s="1098" t="e">
        <f>IF($D$1212="",0,$D1235*Table3[[#This Row],[CF]]*chronic_consumption!$AK35/1000/$C$3)</f>
        <v>#DIV/0!</v>
      </c>
      <c r="AQ1235" s="1098" t="e">
        <f>IF($D$1212="",0,$D1235*Table3[[#This Row],[CF]]*chronic_consumption!$AL35/1000/$C$3)</f>
        <v>#DIV/0!</v>
      </c>
      <c r="AR1235" s="1098" t="e">
        <f>IF($D$1212="",0,$D1235*Table3[[#This Row],[CF]]*chronic_consumption!$AM35/1000/$C$3)</f>
        <v>#DIV/0!</v>
      </c>
      <c r="AS1235" s="1098" t="e">
        <f>IF($D$1212="",0,$D1235*Table3[[#This Row],[CF]]*chronic_consumption!$AN35/1000/$C$3)</f>
        <v>#DIV/0!</v>
      </c>
      <c r="AT1235" s="1098" t="e">
        <f>IF($D$1212="",0,$D1235*Table3[[#This Row],[CF]]*chronic_consumption!$AO35/1000/$C$3)</f>
        <v>#DIV/0!</v>
      </c>
      <c r="AU1235" s="1099" t="e">
        <f t="shared" si="835"/>
        <v>#DIV/0!</v>
      </c>
      <c r="AV1235" s="1099" t="e">
        <f t="shared" si="835"/>
        <v>#DIV/0!</v>
      </c>
      <c r="AW1235" s="1099" t="e">
        <f t="shared" si="835"/>
        <v>#DIV/0!</v>
      </c>
      <c r="AX1235" s="1099" t="e">
        <f t="shared" si="835"/>
        <v>#DIV/0!</v>
      </c>
      <c r="AY1235" s="1099" t="e">
        <f t="shared" si="835"/>
        <v>#DIV/0!</v>
      </c>
      <c r="AZ1235" s="1091" t="s">
        <v>1012</v>
      </c>
      <c r="BA1235" s="1097" t="e">
        <f>IF(Table3[[#This Row],[max]]&lt;&gt;0,RANK(Table3[[#This Row],[max]],Table3[max],0),"")</f>
        <v>#DIV/0!</v>
      </c>
      <c r="BB1235" s="1096" t="e">
        <f t="shared" si="831"/>
        <v>#DIV/0!</v>
      </c>
      <c r="BC1235" s="1096" t="e">
        <f t="shared" ca="1" si="832"/>
        <v>#DIV/0!</v>
      </c>
      <c r="BD1235" s="1096" t="e">
        <f>IF(Table3[[#This Row],[max]]&gt;0,Table3[[#This Row],[Crop groups and examples of individual products within the groups to which the MRLs apply]],"")</f>
        <v>#DIV/0!</v>
      </c>
    </row>
    <row r="1236" spans="2:56" x14ac:dyDescent="0.2">
      <c r="B1236" s="23">
        <f t="shared" si="834"/>
        <v>130030</v>
      </c>
      <c r="C1236" s="23" t="str">
        <f t="shared" si="834"/>
        <v>Quinces</v>
      </c>
      <c r="D1236" s="1084">
        <f>input_values!E36</f>
        <v>0</v>
      </c>
      <c r="E1236" s="1084">
        <f>input_values!F36</f>
        <v>0</v>
      </c>
      <c r="F1236" s="1085">
        <f>input_values!W36</f>
        <v>1</v>
      </c>
      <c r="G1236" s="1085" t="str">
        <f>IF(Table3[[#This Row],[CF]]&gt;0,CONCATENATE(IF(Table3[[#This Row],[LOQ]]="*","LOQ","MRL"),IF(input_values!G36&gt;0,"×CFrisk","")),"")</f>
        <v>MRL</v>
      </c>
      <c r="H1236" s="1087">
        <f>input_values!L36</f>
        <v>0</v>
      </c>
      <c r="I1236" s="1088">
        <f>input_values!D36</f>
        <v>0</v>
      </c>
      <c r="J1236" s="1098" t="e">
        <f>IF($D$1212="",0,$D1236*Table3[[#This Row],[CF]]*chronic_consumption!$E36/1000/$C$3)</f>
        <v>#DIV/0!</v>
      </c>
      <c r="K1236" s="1098" t="e">
        <f>IF($D$1212="",0,$D1236*Table3[[#This Row],[CF]]*chronic_consumption!$F36/1000/$C$3)</f>
        <v>#DIV/0!</v>
      </c>
      <c r="L1236" s="1098" t="e">
        <f>IF($D$1212="",0,$D1236*Table3[[#This Row],[CF]]*chronic_consumption!$G36/1000/$C$3)</f>
        <v>#DIV/0!</v>
      </c>
      <c r="M1236" s="1098" t="e">
        <f>IF($D$1212="",0,$D1236*Table3[[#This Row],[CF]]*chronic_consumption!$H36/1000/$C$3)</f>
        <v>#DIV/0!</v>
      </c>
      <c r="N1236" s="1098" t="e">
        <f>IF($D$1212="",0,$D1236*Table3[[#This Row],[CF]]*chronic_consumption!$I36/1000/$C$3)</f>
        <v>#DIV/0!</v>
      </c>
      <c r="O1236" s="1098" t="e">
        <f>IF($D$1212="",0,$D1236*Table3[[#This Row],[CF]]*chronic_consumption!$J36/1000/$C$3)</f>
        <v>#DIV/0!</v>
      </c>
      <c r="P1236" s="1098" t="e">
        <f>IF($D$1212="",0,$D1236*Table3[[#This Row],[CF]]*chronic_consumption!$K36/1000/$C$3)</f>
        <v>#DIV/0!</v>
      </c>
      <c r="Q1236" s="1098" t="e">
        <f>IF($D$1212="",0,$D1236*Table3[[#This Row],[CF]]*chronic_consumption!$L36/1000/$C$3)</f>
        <v>#DIV/0!</v>
      </c>
      <c r="R1236" s="1098" t="e">
        <f>IF($D$1212="",0,$D1236*Table3[[#This Row],[CF]]*chronic_consumption!$M36/1000/$C$3)</f>
        <v>#DIV/0!</v>
      </c>
      <c r="S1236" s="1098" t="e">
        <f>IF($D$1212="",0,$D1236*Table3[[#This Row],[CF]]*chronic_consumption!$N36/1000/$C$3)</f>
        <v>#DIV/0!</v>
      </c>
      <c r="T1236" s="1098" t="e">
        <f>IF($D$1212="",0,$D1236*Table3[[#This Row],[CF]]*chronic_consumption!$O36/1000/$C$3)</f>
        <v>#DIV/0!</v>
      </c>
      <c r="U1236" s="1098" t="e">
        <f>IF($D$1212="",0,$D1236*Table3[[#This Row],[CF]]*chronic_consumption!$P36/1000/$C$3)</f>
        <v>#DIV/0!</v>
      </c>
      <c r="V1236" s="1098" t="e">
        <f>IF($D$1212="",0,$D1236*Table3[[#This Row],[CF]]*chronic_consumption!$Q36/1000/$C$3)</f>
        <v>#DIV/0!</v>
      </c>
      <c r="W1236" s="1098" t="e">
        <f>IF($D$1212="",0,$D1236*Table3[[#This Row],[CF]]*chronic_consumption!$R36/1000/$C$3)</f>
        <v>#DIV/0!</v>
      </c>
      <c r="X1236" s="1098" t="e">
        <f>IF($D$1212="",0,$D1236*Table3[[#This Row],[CF]]*chronic_consumption!$S36/1000/$C$3)</f>
        <v>#DIV/0!</v>
      </c>
      <c r="Y1236" s="1098" t="e">
        <f>IF($D$1212="",0,$D1236*Table3[[#This Row],[CF]]*chronic_consumption!$T36/1000/$C$3)</f>
        <v>#DIV/0!</v>
      </c>
      <c r="Z1236" s="1098" t="e">
        <f>IF($D$1212="",0,$D1236*Table3[[#This Row],[CF]]*chronic_consumption!$U36/1000/$C$3)</f>
        <v>#DIV/0!</v>
      </c>
      <c r="AA1236" s="1098" t="e">
        <f>IF($D$1212="",0,$D1236*Table3[[#This Row],[CF]]*chronic_consumption!$V36/1000/$C$3)</f>
        <v>#DIV/0!</v>
      </c>
      <c r="AB1236" s="1098" t="e">
        <f>IF($D$1212="",0,$D1236*Table3[[#This Row],[CF]]*chronic_consumption!$W36/1000/$C$3)</f>
        <v>#DIV/0!</v>
      </c>
      <c r="AC1236" s="1098" t="e">
        <f>IF($D$1212="",0,$D1236*Table3[[#This Row],[CF]]*chronic_consumption!$X36/1000/$C$3)</f>
        <v>#DIV/0!</v>
      </c>
      <c r="AD1236" s="1098" t="e">
        <f>IF($D$1212="",0,$D1236*Table3[[#This Row],[CF]]*chronic_consumption!$Y36/1000/$C$3)</f>
        <v>#DIV/0!</v>
      </c>
      <c r="AE1236" s="1098" t="e">
        <f>IF($D$1212="",0,$D1236*Table3[[#This Row],[CF]]*chronic_consumption!$Z36/1000/$C$3)</f>
        <v>#DIV/0!</v>
      </c>
      <c r="AF1236" s="1098" t="e">
        <f>IF($D$1212="",0,$D1236*Table3[[#This Row],[CF]]*chronic_consumption!$AA36/1000/$C$3)</f>
        <v>#DIV/0!</v>
      </c>
      <c r="AG1236" s="1098" t="e">
        <f>IF($D$1212="",0,$D1236*Table3[[#This Row],[CF]]*chronic_consumption!$AB36/1000/$C$3)</f>
        <v>#DIV/0!</v>
      </c>
      <c r="AH1236" s="1098" t="e">
        <f>IF($D$1212="",0,$D1236*Table3[[#This Row],[CF]]*chronic_consumption!$AC36/1000/$C$3)</f>
        <v>#DIV/0!</v>
      </c>
      <c r="AI1236" s="1098" t="e">
        <f>IF($D$1212="",0,$D1236*Table3[[#This Row],[CF]]*chronic_consumption!$AD36/1000/$C$3)</f>
        <v>#DIV/0!</v>
      </c>
      <c r="AJ1236" s="1098" t="e">
        <f>IF($D$1212="",0,$D1236*Table3[[#This Row],[CF]]*chronic_consumption!$AE36/1000/$C$3)</f>
        <v>#DIV/0!</v>
      </c>
      <c r="AK1236" s="1098" t="e">
        <f>IF($D$1212="",0,$D1236*Table3[[#This Row],[CF]]*chronic_consumption!$AF36/1000/$C$3)</f>
        <v>#DIV/0!</v>
      </c>
      <c r="AL1236" s="1098" t="e">
        <f>IF($D$1212="",0,$D1236*Table3[[#This Row],[CF]]*chronic_consumption!$AG36/1000/$C$3)</f>
        <v>#DIV/0!</v>
      </c>
      <c r="AM1236" s="1098" t="e">
        <f>IF($D$1212="",0,$D1236*Table3[[#This Row],[CF]]*chronic_consumption!$AH36/1000/$C$3)</f>
        <v>#DIV/0!</v>
      </c>
      <c r="AN1236" s="1098" t="e">
        <f>IF($D$1212="",0,$D1236*Table3[[#This Row],[CF]]*chronic_consumption!$AI36/1000/$C$3)</f>
        <v>#DIV/0!</v>
      </c>
      <c r="AO1236" s="1098" t="e">
        <f>IF($D$1212="",0,$D1236*Table3[[#This Row],[CF]]*chronic_consumption!$AJ36/1000/$C$3)</f>
        <v>#DIV/0!</v>
      </c>
      <c r="AP1236" s="1098" t="e">
        <f>IF($D$1212="",0,$D1236*Table3[[#This Row],[CF]]*chronic_consumption!$AK36/1000/$C$3)</f>
        <v>#DIV/0!</v>
      </c>
      <c r="AQ1236" s="1098" t="e">
        <f>IF($D$1212="",0,$D1236*Table3[[#This Row],[CF]]*chronic_consumption!$AL36/1000/$C$3)</f>
        <v>#DIV/0!</v>
      </c>
      <c r="AR1236" s="1098" t="e">
        <f>IF($D$1212="",0,$D1236*Table3[[#This Row],[CF]]*chronic_consumption!$AM36/1000/$C$3)</f>
        <v>#DIV/0!</v>
      </c>
      <c r="AS1236" s="1098" t="e">
        <f>IF($D$1212="",0,$D1236*Table3[[#This Row],[CF]]*chronic_consumption!$AN36/1000/$C$3)</f>
        <v>#DIV/0!</v>
      </c>
      <c r="AT1236" s="1098" t="e">
        <f>IF($D$1212="",0,$D1236*Table3[[#This Row],[CF]]*chronic_consumption!$AO36/1000/$C$3)</f>
        <v>#DIV/0!</v>
      </c>
      <c r="AU1236" s="1099" t="e">
        <f t="shared" si="835"/>
        <v>#DIV/0!</v>
      </c>
      <c r="AV1236" s="1099" t="e">
        <f t="shared" si="835"/>
        <v>#DIV/0!</v>
      </c>
      <c r="AW1236" s="1099" t="e">
        <f t="shared" si="835"/>
        <v>#DIV/0!</v>
      </c>
      <c r="AX1236" s="1099" t="e">
        <f t="shared" si="835"/>
        <v>#DIV/0!</v>
      </c>
      <c r="AY1236" s="1099" t="e">
        <f t="shared" si="835"/>
        <v>#DIV/0!</v>
      </c>
      <c r="AZ1236" s="1091" t="s">
        <v>1012</v>
      </c>
      <c r="BA1236" s="1097" t="e">
        <f>IF(Table3[[#This Row],[max]]&lt;&gt;0,RANK(Table3[[#This Row],[max]],Table3[max],0),"")</f>
        <v>#DIV/0!</v>
      </c>
      <c r="BB1236" s="1096" t="e">
        <f t="shared" si="831"/>
        <v>#DIV/0!</v>
      </c>
      <c r="BC1236" s="1096" t="e">
        <f t="shared" ca="1" si="832"/>
        <v>#DIV/0!</v>
      </c>
      <c r="BD1236" s="1096" t="e">
        <f>IF(Table3[[#This Row],[max]]&gt;0,Table3[[#This Row],[Crop groups and examples of individual products within the groups to which the MRLs apply]],"")</f>
        <v>#DIV/0!</v>
      </c>
    </row>
    <row r="1237" spans="2:56" x14ac:dyDescent="0.2">
      <c r="B1237" s="23">
        <f t="shared" si="834"/>
        <v>130040</v>
      </c>
      <c r="C1237" s="23" t="str">
        <f t="shared" si="834"/>
        <v xml:space="preserve">Medlar </v>
      </c>
      <c r="D1237" s="1084">
        <f>input_values!E37</f>
        <v>0</v>
      </c>
      <c r="E1237" s="1084">
        <f>input_values!F37</f>
        <v>0</v>
      </c>
      <c r="F1237" s="1085">
        <f>input_values!W37</f>
        <v>1</v>
      </c>
      <c r="G1237" s="1085" t="str">
        <f>IF(Table3[[#This Row],[CF]]&gt;0,CONCATENATE(IF(Table3[[#This Row],[LOQ]]="*","LOQ","MRL"),IF(input_values!G37&gt;0,"×CFrisk","")),"")</f>
        <v>MRL</v>
      </c>
      <c r="H1237" s="1087">
        <f>input_values!L37</f>
        <v>0</v>
      </c>
      <c r="I1237" s="1088">
        <f>input_values!D37</f>
        <v>0</v>
      </c>
      <c r="J1237" s="1098" t="e">
        <f>IF($D$1212="",0,$D1237*Table3[[#This Row],[CF]]*chronic_consumption!$E37/1000/$C$3)</f>
        <v>#DIV/0!</v>
      </c>
      <c r="K1237" s="1098" t="e">
        <f>IF($D$1212="",0,$D1237*Table3[[#This Row],[CF]]*chronic_consumption!$F37/1000/$C$3)</f>
        <v>#DIV/0!</v>
      </c>
      <c r="L1237" s="1098" t="e">
        <f>IF($D$1212="",0,$D1237*Table3[[#This Row],[CF]]*chronic_consumption!$G37/1000/$C$3)</f>
        <v>#DIV/0!</v>
      </c>
      <c r="M1237" s="1098" t="e">
        <f>IF($D$1212="",0,$D1237*Table3[[#This Row],[CF]]*chronic_consumption!$H37/1000/$C$3)</f>
        <v>#DIV/0!</v>
      </c>
      <c r="N1237" s="1098" t="e">
        <f>IF($D$1212="",0,$D1237*Table3[[#This Row],[CF]]*chronic_consumption!$I37/1000/$C$3)</f>
        <v>#DIV/0!</v>
      </c>
      <c r="O1237" s="1098" t="e">
        <f>IF($D$1212="",0,$D1237*Table3[[#This Row],[CF]]*chronic_consumption!$J37/1000/$C$3)</f>
        <v>#DIV/0!</v>
      </c>
      <c r="P1237" s="1098" t="e">
        <f>IF($D$1212="",0,$D1237*Table3[[#This Row],[CF]]*chronic_consumption!$K37/1000/$C$3)</f>
        <v>#DIV/0!</v>
      </c>
      <c r="Q1237" s="1098" t="e">
        <f>IF($D$1212="",0,$D1237*Table3[[#This Row],[CF]]*chronic_consumption!$L37/1000/$C$3)</f>
        <v>#DIV/0!</v>
      </c>
      <c r="R1237" s="1098" t="e">
        <f>IF($D$1212="",0,$D1237*Table3[[#This Row],[CF]]*chronic_consumption!$M37/1000/$C$3)</f>
        <v>#DIV/0!</v>
      </c>
      <c r="S1237" s="1098" t="e">
        <f>IF($D$1212="",0,$D1237*Table3[[#This Row],[CF]]*chronic_consumption!$N37/1000/$C$3)</f>
        <v>#DIV/0!</v>
      </c>
      <c r="T1237" s="1098" t="e">
        <f>IF($D$1212="",0,$D1237*Table3[[#This Row],[CF]]*chronic_consumption!$O37/1000/$C$3)</f>
        <v>#DIV/0!</v>
      </c>
      <c r="U1237" s="1098" t="e">
        <f>IF($D$1212="",0,$D1237*Table3[[#This Row],[CF]]*chronic_consumption!$P37/1000/$C$3)</f>
        <v>#DIV/0!</v>
      </c>
      <c r="V1237" s="1098" t="e">
        <f>IF($D$1212="",0,$D1237*Table3[[#This Row],[CF]]*chronic_consumption!$Q37/1000/$C$3)</f>
        <v>#DIV/0!</v>
      </c>
      <c r="W1237" s="1098" t="e">
        <f>IF($D$1212="",0,$D1237*Table3[[#This Row],[CF]]*chronic_consumption!$R37/1000/$C$3)</f>
        <v>#DIV/0!</v>
      </c>
      <c r="X1237" s="1098" t="e">
        <f>IF($D$1212="",0,$D1237*Table3[[#This Row],[CF]]*chronic_consumption!$S37/1000/$C$3)</f>
        <v>#DIV/0!</v>
      </c>
      <c r="Y1237" s="1098" t="e">
        <f>IF($D$1212="",0,$D1237*Table3[[#This Row],[CF]]*chronic_consumption!$T37/1000/$C$3)</f>
        <v>#DIV/0!</v>
      </c>
      <c r="Z1237" s="1098" t="e">
        <f>IF($D$1212="",0,$D1237*Table3[[#This Row],[CF]]*chronic_consumption!$U37/1000/$C$3)</f>
        <v>#DIV/0!</v>
      </c>
      <c r="AA1237" s="1098" t="e">
        <f>IF($D$1212="",0,$D1237*Table3[[#This Row],[CF]]*chronic_consumption!$V37/1000/$C$3)</f>
        <v>#DIV/0!</v>
      </c>
      <c r="AB1237" s="1098" t="e">
        <f>IF($D$1212="",0,$D1237*Table3[[#This Row],[CF]]*chronic_consumption!$W37/1000/$C$3)</f>
        <v>#DIV/0!</v>
      </c>
      <c r="AC1237" s="1098" t="e">
        <f>IF($D$1212="",0,$D1237*Table3[[#This Row],[CF]]*chronic_consumption!$X37/1000/$C$3)</f>
        <v>#DIV/0!</v>
      </c>
      <c r="AD1237" s="1098" t="e">
        <f>IF($D$1212="",0,$D1237*Table3[[#This Row],[CF]]*chronic_consumption!$Y37/1000/$C$3)</f>
        <v>#DIV/0!</v>
      </c>
      <c r="AE1237" s="1098" t="e">
        <f>IF($D$1212="",0,$D1237*Table3[[#This Row],[CF]]*chronic_consumption!$Z37/1000/$C$3)</f>
        <v>#DIV/0!</v>
      </c>
      <c r="AF1237" s="1098" t="e">
        <f>IF($D$1212="",0,$D1237*Table3[[#This Row],[CF]]*chronic_consumption!$AA37/1000/$C$3)</f>
        <v>#DIV/0!</v>
      </c>
      <c r="AG1237" s="1098" t="e">
        <f>IF($D$1212="",0,$D1237*Table3[[#This Row],[CF]]*chronic_consumption!$AB37/1000/$C$3)</f>
        <v>#DIV/0!</v>
      </c>
      <c r="AH1237" s="1098" t="e">
        <f>IF($D$1212="",0,$D1237*Table3[[#This Row],[CF]]*chronic_consumption!$AC37/1000/$C$3)</f>
        <v>#DIV/0!</v>
      </c>
      <c r="AI1237" s="1098" t="e">
        <f>IF($D$1212="",0,$D1237*Table3[[#This Row],[CF]]*chronic_consumption!$AD37/1000/$C$3)</f>
        <v>#DIV/0!</v>
      </c>
      <c r="AJ1237" s="1098" t="e">
        <f>IF($D$1212="",0,$D1237*Table3[[#This Row],[CF]]*chronic_consumption!$AE37/1000/$C$3)</f>
        <v>#DIV/0!</v>
      </c>
      <c r="AK1237" s="1098" t="e">
        <f>IF($D$1212="",0,$D1237*Table3[[#This Row],[CF]]*chronic_consumption!$AF37/1000/$C$3)</f>
        <v>#DIV/0!</v>
      </c>
      <c r="AL1237" s="1098" t="e">
        <f>IF($D$1212="",0,$D1237*Table3[[#This Row],[CF]]*chronic_consumption!$AG37/1000/$C$3)</f>
        <v>#DIV/0!</v>
      </c>
      <c r="AM1237" s="1098" t="e">
        <f>IF($D$1212="",0,$D1237*Table3[[#This Row],[CF]]*chronic_consumption!$AH37/1000/$C$3)</f>
        <v>#DIV/0!</v>
      </c>
      <c r="AN1237" s="1098" t="e">
        <f>IF($D$1212="",0,$D1237*Table3[[#This Row],[CF]]*chronic_consumption!$AI37/1000/$C$3)</f>
        <v>#DIV/0!</v>
      </c>
      <c r="AO1237" s="1098" t="e">
        <f>IF($D$1212="",0,$D1237*Table3[[#This Row],[CF]]*chronic_consumption!$AJ37/1000/$C$3)</f>
        <v>#DIV/0!</v>
      </c>
      <c r="AP1237" s="1098" t="e">
        <f>IF($D$1212="",0,$D1237*Table3[[#This Row],[CF]]*chronic_consumption!$AK37/1000/$C$3)</f>
        <v>#DIV/0!</v>
      </c>
      <c r="AQ1237" s="1098" t="e">
        <f>IF($D$1212="",0,$D1237*Table3[[#This Row],[CF]]*chronic_consumption!$AL37/1000/$C$3)</f>
        <v>#DIV/0!</v>
      </c>
      <c r="AR1237" s="1098" t="e">
        <f>IF($D$1212="",0,$D1237*Table3[[#This Row],[CF]]*chronic_consumption!$AM37/1000/$C$3)</f>
        <v>#DIV/0!</v>
      </c>
      <c r="AS1237" s="1098" t="e">
        <f>IF($D$1212="",0,$D1237*Table3[[#This Row],[CF]]*chronic_consumption!$AN37/1000/$C$3)</f>
        <v>#DIV/0!</v>
      </c>
      <c r="AT1237" s="1098" t="e">
        <f>IF($D$1212="",0,$D1237*Table3[[#This Row],[CF]]*chronic_consumption!$AO37/1000/$C$3)</f>
        <v>#DIV/0!</v>
      </c>
      <c r="AU1237" s="1099" t="e">
        <f t="shared" si="835"/>
        <v>#DIV/0!</v>
      </c>
      <c r="AV1237" s="1099" t="e">
        <f t="shared" si="835"/>
        <v>#DIV/0!</v>
      </c>
      <c r="AW1237" s="1099" t="e">
        <f t="shared" si="835"/>
        <v>#DIV/0!</v>
      </c>
      <c r="AX1237" s="1099" t="e">
        <f t="shared" si="835"/>
        <v>#DIV/0!</v>
      </c>
      <c r="AY1237" s="1099" t="e">
        <f t="shared" si="835"/>
        <v>#DIV/0!</v>
      </c>
      <c r="AZ1237" s="1091" t="s">
        <v>1012</v>
      </c>
      <c r="BA1237" s="1097" t="e">
        <f>IF(Table3[[#This Row],[max]]&lt;&gt;0,RANK(Table3[[#This Row],[max]],Table3[max],0),"")</f>
        <v>#DIV/0!</v>
      </c>
      <c r="BB1237" s="1096" t="e">
        <f t="shared" si="831"/>
        <v>#DIV/0!</v>
      </c>
      <c r="BC1237" s="1096" t="e">
        <f t="shared" ca="1" si="832"/>
        <v>#DIV/0!</v>
      </c>
      <c r="BD1237" s="1096" t="e">
        <f>IF(Table3[[#This Row],[max]]&gt;0,Table3[[#This Row],[Crop groups and examples of individual products within the groups to which the MRLs apply]],"")</f>
        <v>#DIV/0!</v>
      </c>
    </row>
    <row r="1238" spans="2:56" x14ac:dyDescent="0.2">
      <c r="B1238" s="23">
        <f t="shared" si="834"/>
        <v>130050</v>
      </c>
      <c r="C1238" s="23" t="str">
        <f t="shared" si="834"/>
        <v>Loquats/Japanese medlars</v>
      </c>
      <c r="D1238" s="1084">
        <f>input_values!E38</f>
        <v>0</v>
      </c>
      <c r="E1238" s="1084">
        <f>input_values!F38</f>
        <v>0</v>
      </c>
      <c r="F1238" s="1085">
        <f>input_values!W38</f>
        <v>1</v>
      </c>
      <c r="G1238" s="1085" t="str">
        <f>IF(Table3[[#This Row],[CF]]&gt;0,CONCATENATE(IF(Table3[[#This Row],[LOQ]]="*","LOQ","MRL"),IF(input_values!G38&gt;0,"×CFrisk","")),"")</f>
        <v>MRL</v>
      </c>
      <c r="H1238" s="1087">
        <f>input_values!L38</f>
        <v>0</v>
      </c>
      <c r="I1238" s="1088">
        <f>input_values!D38</f>
        <v>0</v>
      </c>
      <c r="J1238" s="1098" t="e">
        <f>IF($D$1212="",0,$D1238*Table3[[#This Row],[CF]]*chronic_consumption!$E38/1000/$C$3)</f>
        <v>#DIV/0!</v>
      </c>
      <c r="K1238" s="1098" t="e">
        <f>IF($D$1212="",0,$D1238*Table3[[#This Row],[CF]]*chronic_consumption!$F38/1000/$C$3)</f>
        <v>#DIV/0!</v>
      </c>
      <c r="L1238" s="1098" t="e">
        <f>IF($D$1212="",0,$D1238*Table3[[#This Row],[CF]]*chronic_consumption!$G38/1000/$C$3)</f>
        <v>#DIV/0!</v>
      </c>
      <c r="M1238" s="1098" t="e">
        <f>IF($D$1212="",0,$D1238*Table3[[#This Row],[CF]]*chronic_consumption!$H38/1000/$C$3)</f>
        <v>#DIV/0!</v>
      </c>
      <c r="N1238" s="1098" t="e">
        <f>IF($D$1212="",0,$D1238*Table3[[#This Row],[CF]]*chronic_consumption!$I38/1000/$C$3)</f>
        <v>#DIV/0!</v>
      </c>
      <c r="O1238" s="1098" t="e">
        <f>IF($D$1212="",0,$D1238*Table3[[#This Row],[CF]]*chronic_consumption!$J38/1000/$C$3)</f>
        <v>#DIV/0!</v>
      </c>
      <c r="P1238" s="1098" t="e">
        <f>IF($D$1212="",0,$D1238*Table3[[#This Row],[CF]]*chronic_consumption!$K38/1000/$C$3)</f>
        <v>#DIV/0!</v>
      </c>
      <c r="Q1238" s="1098" t="e">
        <f>IF($D$1212="",0,$D1238*Table3[[#This Row],[CF]]*chronic_consumption!$L38/1000/$C$3)</f>
        <v>#DIV/0!</v>
      </c>
      <c r="R1238" s="1098" t="e">
        <f>IF($D$1212="",0,$D1238*Table3[[#This Row],[CF]]*chronic_consumption!$M38/1000/$C$3)</f>
        <v>#DIV/0!</v>
      </c>
      <c r="S1238" s="1098" t="e">
        <f>IF($D$1212="",0,$D1238*Table3[[#This Row],[CF]]*chronic_consumption!$N38/1000/$C$3)</f>
        <v>#DIV/0!</v>
      </c>
      <c r="T1238" s="1098" t="e">
        <f>IF($D$1212="",0,$D1238*Table3[[#This Row],[CF]]*chronic_consumption!$O38/1000/$C$3)</f>
        <v>#DIV/0!</v>
      </c>
      <c r="U1238" s="1098" t="e">
        <f>IF($D$1212="",0,$D1238*Table3[[#This Row],[CF]]*chronic_consumption!$P38/1000/$C$3)</f>
        <v>#DIV/0!</v>
      </c>
      <c r="V1238" s="1098" t="e">
        <f>IF($D$1212="",0,$D1238*Table3[[#This Row],[CF]]*chronic_consumption!$Q38/1000/$C$3)</f>
        <v>#DIV/0!</v>
      </c>
      <c r="W1238" s="1098" t="e">
        <f>IF($D$1212="",0,$D1238*Table3[[#This Row],[CF]]*chronic_consumption!$R38/1000/$C$3)</f>
        <v>#DIV/0!</v>
      </c>
      <c r="X1238" s="1098" t="e">
        <f>IF($D$1212="",0,$D1238*Table3[[#This Row],[CF]]*chronic_consumption!$S38/1000/$C$3)</f>
        <v>#DIV/0!</v>
      </c>
      <c r="Y1238" s="1098" t="e">
        <f>IF($D$1212="",0,$D1238*Table3[[#This Row],[CF]]*chronic_consumption!$T38/1000/$C$3)</f>
        <v>#DIV/0!</v>
      </c>
      <c r="Z1238" s="1098" t="e">
        <f>IF($D$1212="",0,$D1238*Table3[[#This Row],[CF]]*chronic_consumption!$U38/1000/$C$3)</f>
        <v>#DIV/0!</v>
      </c>
      <c r="AA1238" s="1098" t="e">
        <f>IF($D$1212="",0,$D1238*Table3[[#This Row],[CF]]*chronic_consumption!$V38/1000/$C$3)</f>
        <v>#DIV/0!</v>
      </c>
      <c r="AB1238" s="1098" t="e">
        <f>IF($D$1212="",0,$D1238*Table3[[#This Row],[CF]]*chronic_consumption!$W38/1000/$C$3)</f>
        <v>#DIV/0!</v>
      </c>
      <c r="AC1238" s="1098" t="e">
        <f>IF($D$1212="",0,$D1238*Table3[[#This Row],[CF]]*chronic_consumption!$X38/1000/$C$3)</f>
        <v>#DIV/0!</v>
      </c>
      <c r="AD1238" s="1098" t="e">
        <f>IF($D$1212="",0,$D1238*Table3[[#This Row],[CF]]*chronic_consumption!$Y38/1000/$C$3)</f>
        <v>#DIV/0!</v>
      </c>
      <c r="AE1238" s="1098" t="e">
        <f>IF($D$1212="",0,$D1238*Table3[[#This Row],[CF]]*chronic_consumption!$Z38/1000/$C$3)</f>
        <v>#DIV/0!</v>
      </c>
      <c r="AF1238" s="1098" t="e">
        <f>IF($D$1212="",0,$D1238*Table3[[#This Row],[CF]]*chronic_consumption!$AA38/1000/$C$3)</f>
        <v>#DIV/0!</v>
      </c>
      <c r="AG1238" s="1098" t="e">
        <f>IF($D$1212="",0,$D1238*Table3[[#This Row],[CF]]*chronic_consumption!$AB38/1000/$C$3)</f>
        <v>#DIV/0!</v>
      </c>
      <c r="AH1238" s="1098" t="e">
        <f>IF($D$1212="",0,$D1238*Table3[[#This Row],[CF]]*chronic_consumption!$AC38/1000/$C$3)</f>
        <v>#DIV/0!</v>
      </c>
      <c r="AI1238" s="1098" t="e">
        <f>IF($D$1212="",0,$D1238*Table3[[#This Row],[CF]]*chronic_consumption!$AD38/1000/$C$3)</f>
        <v>#DIV/0!</v>
      </c>
      <c r="AJ1238" s="1098" t="e">
        <f>IF($D$1212="",0,$D1238*Table3[[#This Row],[CF]]*chronic_consumption!$AE38/1000/$C$3)</f>
        <v>#DIV/0!</v>
      </c>
      <c r="AK1238" s="1098" t="e">
        <f>IF($D$1212="",0,$D1238*Table3[[#This Row],[CF]]*chronic_consumption!$AF38/1000/$C$3)</f>
        <v>#DIV/0!</v>
      </c>
      <c r="AL1238" s="1098" t="e">
        <f>IF($D$1212="",0,$D1238*Table3[[#This Row],[CF]]*chronic_consumption!$AG38/1000/$C$3)</f>
        <v>#DIV/0!</v>
      </c>
      <c r="AM1238" s="1098" t="e">
        <f>IF($D$1212="",0,$D1238*Table3[[#This Row],[CF]]*chronic_consumption!$AH38/1000/$C$3)</f>
        <v>#DIV/0!</v>
      </c>
      <c r="AN1238" s="1098" t="e">
        <f>IF($D$1212="",0,$D1238*Table3[[#This Row],[CF]]*chronic_consumption!$AI38/1000/$C$3)</f>
        <v>#DIV/0!</v>
      </c>
      <c r="AO1238" s="1098" t="e">
        <f>IF($D$1212="",0,$D1238*Table3[[#This Row],[CF]]*chronic_consumption!$AJ38/1000/$C$3)</f>
        <v>#DIV/0!</v>
      </c>
      <c r="AP1238" s="1098" t="e">
        <f>IF($D$1212="",0,$D1238*Table3[[#This Row],[CF]]*chronic_consumption!$AK38/1000/$C$3)</f>
        <v>#DIV/0!</v>
      </c>
      <c r="AQ1238" s="1098" t="e">
        <f>IF($D$1212="",0,$D1238*Table3[[#This Row],[CF]]*chronic_consumption!$AL38/1000/$C$3)</f>
        <v>#DIV/0!</v>
      </c>
      <c r="AR1238" s="1098" t="e">
        <f>IF($D$1212="",0,$D1238*Table3[[#This Row],[CF]]*chronic_consumption!$AM38/1000/$C$3)</f>
        <v>#DIV/0!</v>
      </c>
      <c r="AS1238" s="1098" t="e">
        <f>IF($D$1212="",0,$D1238*Table3[[#This Row],[CF]]*chronic_consumption!$AN38/1000/$C$3)</f>
        <v>#DIV/0!</v>
      </c>
      <c r="AT1238" s="1098" t="e">
        <f>IF($D$1212="",0,$D1238*Table3[[#This Row],[CF]]*chronic_consumption!$AO38/1000/$C$3)</f>
        <v>#DIV/0!</v>
      </c>
      <c r="AU1238" s="1099" t="e">
        <f t="shared" si="835"/>
        <v>#DIV/0!</v>
      </c>
      <c r="AV1238" s="1099" t="e">
        <f t="shared" si="835"/>
        <v>#DIV/0!</v>
      </c>
      <c r="AW1238" s="1099" t="e">
        <f t="shared" si="835"/>
        <v>#DIV/0!</v>
      </c>
      <c r="AX1238" s="1099" t="e">
        <f t="shared" si="835"/>
        <v>#DIV/0!</v>
      </c>
      <c r="AY1238" s="1099" t="e">
        <f t="shared" si="835"/>
        <v>#DIV/0!</v>
      </c>
      <c r="AZ1238" s="1091" t="s">
        <v>1012</v>
      </c>
      <c r="BA1238" s="1097" t="e">
        <f>IF(Table3[[#This Row],[max]]&lt;&gt;0,RANK(Table3[[#This Row],[max]],Table3[max],0),"")</f>
        <v>#DIV/0!</v>
      </c>
      <c r="BB1238" s="1096" t="e">
        <f t="shared" si="831"/>
        <v>#DIV/0!</v>
      </c>
      <c r="BC1238" s="1096" t="e">
        <f t="shared" ca="1" si="832"/>
        <v>#DIV/0!</v>
      </c>
      <c r="BD1238" s="1096" t="e">
        <f>IF(Table3[[#This Row],[max]]&gt;0,Table3[[#This Row],[Crop groups and examples of individual products within the groups to which the MRLs apply]],"")</f>
        <v>#DIV/0!</v>
      </c>
    </row>
    <row r="1239" spans="2:56" x14ac:dyDescent="0.2">
      <c r="B1239" s="23">
        <f t="shared" si="834"/>
        <v>130990</v>
      </c>
      <c r="C1239" s="23" t="str">
        <f t="shared" si="834"/>
        <v>Other pome fruit</v>
      </c>
      <c r="D1239" s="1084">
        <f>input_values!E39</f>
        <v>0</v>
      </c>
      <c r="E1239" s="1084">
        <f>input_values!F39</f>
        <v>0</v>
      </c>
      <c r="F1239" s="1085">
        <f>input_values!W39</f>
        <v>1</v>
      </c>
      <c r="G1239" s="1085" t="str">
        <f>IF(Table3[[#This Row],[CF]]&gt;0,CONCATENATE(IF(Table3[[#This Row],[LOQ]]="*","LOQ","MRL"),IF(input_values!G39&gt;0,"×CFrisk","")),"")</f>
        <v>MRL</v>
      </c>
      <c r="H1239" s="1087">
        <f>input_values!L39</f>
        <v>0</v>
      </c>
      <c r="I1239" s="1088">
        <f>input_values!D39</f>
        <v>0</v>
      </c>
      <c r="J1239" s="1098" t="e">
        <f>IF($D$1212="",0,$D1239*Table3[[#This Row],[CF]]*chronic_consumption!$E39/1000/$C$3)</f>
        <v>#DIV/0!</v>
      </c>
      <c r="K1239" s="1098" t="e">
        <f>IF($D$1212="",0,$D1239*Table3[[#This Row],[CF]]*chronic_consumption!$F39/1000/$C$3)</f>
        <v>#DIV/0!</v>
      </c>
      <c r="L1239" s="1098" t="e">
        <f>IF($D$1212="",0,$D1239*Table3[[#This Row],[CF]]*chronic_consumption!$G39/1000/$C$3)</f>
        <v>#DIV/0!</v>
      </c>
      <c r="M1239" s="1098" t="e">
        <f>IF($D$1212="",0,$D1239*Table3[[#This Row],[CF]]*chronic_consumption!$H39/1000/$C$3)</f>
        <v>#DIV/0!</v>
      </c>
      <c r="N1239" s="1098" t="e">
        <f>IF($D$1212="",0,$D1239*Table3[[#This Row],[CF]]*chronic_consumption!$I39/1000/$C$3)</f>
        <v>#DIV/0!</v>
      </c>
      <c r="O1239" s="1098" t="e">
        <f>IF($D$1212="",0,$D1239*Table3[[#This Row],[CF]]*chronic_consumption!$J39/1000/$C$3)</f>
        <v>#DIV/0!</v>
      </c>
      <c r="P1239" s="1098" t="e">
        <f>IF($D$1212="",0,$D1239*Table3[[#This Row],[CF]]*chronic_consumption!$K39/1000/$C$3)</f>
        <v>#DIV/0!</v>
      </c>
      <c r="Q1239" s="1098" t="e">
        <f>IF($D$1212="",0,$D1239*Table3[[#This Row],[CF]]*chronic_consumption!$L39/1000/$C$3)</f>
        <v>#DIV/0!</v>
      </c>
      <c r="R1239" s="1098" t="e">
        <f>IF($D$1212="",0,$D1239*Table3[[#This Row],[CF]]*chronic_consumption!$M39/1000/$C$3)</f>
        <v>#DIV/0!</v>
      </c>
      <c r="S1239" s="1098" t="e">
        <f>IF($D$1212="",0,$D1239*Table3[[#This Row],[CF]]*chronic_consumption!$N39/1000/$C$3)</f>
        <v>#DIV/0!</v>
      </c>
      <c r="T1239" s="1098" t="e">
        <f>IF($D$1212="",0,$D1239*Table3[[#This Row],[CF]]*chronic_consumption!$O39/1000/$C$3)</f>
        <v>#DIV/0!</v>
      </c>
      <c r="U1239" s="1098" t="e">
        <f>IF($D$1212="",0,$D1239*Table3[[#This Row],[CF]]*chronic_consumption!$P39/1000/$C$3)</f>
        <v>#DIV/0!</v>
      </c>
      <c r="V1239" s="1098" t="e">
        <f>IF($D$1212="",0,$D1239*Table3[[#This Row],[CF]]*chronic_consumption!$Q39/1000/$C$3)</f>
        <v>#DIV/0!</v>
      </c>
      <c r="W1239" s="1098" t="e">
        <f>IF($D$1212="",0,$D1239*Table3[[#This Row],[CF]]*chronic_consumption!$R39/1000/$C$3)</f>
        <v>#DIV/0!</v>
      </c>
      <c r="X1239" s="1098" t="e">
        <f>IF($D$1212="",0,$D1239*Table3[[#This Row],[CF]]*chronic_consumption!$S39/1000/$C$3)</f>
        <v>#DIV/0!</v>
      </c>
      <c r="Y1239" s="1098" t="e">
        <f>IF($D$1212="",0,$D1239*Table3[[#This Row],[CF]]*chronic_consumption!$T39/1000/$C$3)</f>
        <v>#DIV/0!</v>
      </c>
      <c r="Z1239" s="1098" t="e">
        <f>IF($D$1212="",0,$D1239*Table3[[#This Row],[CF]]*chronic_consumption!$U39/1000/$C$3)</f>
        <v>#DIV/0!</v>
      </c>
      <c r="AA1239" s="1098" t="e">
        <f>IF($D$1212="",0,$D1239*Table3[[#This Row],[CF]]*chronic_consumption!$V39/1000/$C$3)</f>
        <v>#DIV/0!</v>
      </c>
      <c r="AB1239" s="1098" t="e">
        <f>IF($D$1212="",0,$D1239*Table3[[#This Row],[CF]]*chronic_consumption!$W39/1000/$C$3)</f>
        <v>#DIV/0!</v>
      </c>
      <c r="AC1239" s="1098" t="e">
        <f>IF($D$1212="",0,$D1239*Table3[[#This Row],[CF]]*chronic_consumption!$X39/1000/$C$3)</f>
        <v>#DIV/0!</v>
      </c>
      <c r="AD1239" s="1098" t="e">
        <f>IF($D$1212="",0,$D1239*Table3[[#This Row],[CF]]*chronic_consumption!$Y39/1000/$C$3)</f>
        <v>#DIV/0!</v>
      </c>
      <c r="AE1239" s="1098" t="e">
        <f>IF($D$1212="",0,$D1239*Table3[[#This Row],[CF]]*chronic_consumption!$Z39/1000/$C$3)</f>
        <v>#DIV/0!</v>
      </c>
      <c r="AF1239" s="1098" t="e">
        <f>IF($D$1212="",0,$D1239*Table3[[#This Row],[CF]]*chronic_consumption!$AA39/1000/$C$3)</f>
        <v>#DIV/0!</v>
      </c>
      <c r="AG1239" s="1098" t="e">
        <f>IF($D$1212="",0,$D1239*Table3[[#This Row],[CF]]*chronic_consumption!$AB39/1000/$C$3)</f>
        <v>#DIV/0!</v>
      </c>
      <c r="AH1239" s="1098" t="e">
        <f>IF($D$1212="",0,$D1239*Table3[[#This Row],[CF]]*chronic_consumption!$AC39/1000/$C$3)</f>
        <v>#DIV/0!</v>
      </c>
      <c r="AI1239" s="1098" t="e">
        <f>IF($D$1212="",0,$D1239*Table3[[#This Row],[CF]]*chronic_consumption!$AD39/1000/$C$3)</f>
        <v>#DIV/0!</v>
      </c>
      <c r="AJ1239" s="1098" t="e">
        <f>IF($D$1212="",0,$D1239*Table3[[#This Row],[CF]]*chronic_consumption!$AE39/1000/$C$3)</f>
        <v>#DIV/0!</v>
      </c>
      <c r="AK1239" s="1098" t="e">
        <f>IF($D$1212="",0,$D1239*Table3[[#This Row],[CF]]*chronic_consumption!$AF39/1000/$C$3)</f>
        <v>#DIV/0!</v>
      </c>
      <c r="AL1239" s="1098" t="e">
        <f>IF($D$1212="",0,$D1239*Table3[[#This Row],[CF]]*chronic_consumption!$AG39/1000/$C$3)</f>
        <v>#DIV/0!</v>
      </c>
      <c r="AM1239" s="1098" t="e">
        <f>IF($D$1212="",0,$D1239*Table3[[#This Row],[CF]]*chronic_consumption!$AH39/1000/$C$3)</f>
        <v>#DIV/0!</v>
      </c>
      <c r="AN1239" s="1098" t="e">
        <f>IF($D$1212="",0,$D1239*Table3[[#This Row],[CF]]*chronic_consumption!$AI39/1000/$C$3)</f>
        <v>#DIV/0!</v>
      </c>
      <c r="AO1239" s="1098" t="e">
        <f>IF($D$1212="",0,$D1239*Table3[[#This Row],[CF]]*chronic_consumption!$AJ39/1000/$C$3)</f>
        <v>#DIV/0!</v>
      </c>
      <c r="AP1239" s="1098" t="e">
        <f>IF($D$1212="",0,$D1239*Table3[[#This Row],[CF]]*chronic_consumption!$AK39/1000/$C$3)</f>
        <v>#DIV/0!</v>
      </c>
      <c r="AQ1239" s="1098" t="e">
        <f>IF($D$1212="",0,$D1239*Table3[[#This Row],[CF]]*chronic_consumption!$AL39/1000/$C$3)</f>
        <v>#DIV/0!</v>
      </c>
      <c r="AR1239" s="1098" t="e">
        <f>IF($D$1212="",0,$D1239*Table3[[#This Row],[CF]]*chronic_consumption!$AM39/1000/$C$3)</f>
        <v>#DIV/0!</v>
      </c>
      <c r="AS1239" s="1098" t="e">
        <f>IF($D$1212="",0,$D1239*Table3[[#This Row],[CF]]*chronic_consumption!$AN39/1000/$C$3)</f>
        <v>#DIV/0!</v>
      </c>
      <c r="AT1239" s="1098" t="e">
        <f>IF($D$1212="",0,$D1239*Table3[[#This Row],[CF]]*chronic_consumption!$AO39/1000/$C$3)</f>
        <v>#DIV/0!</v>
      </c>
      <c r="AU1239" s="1099" t="e">
        <f t="shared" si="835"/>
        <v>#DIV/0!</v>
      </c>
      <c r="AV1239" s="1099" t="e">
        <f t="shared" si="835"/>
        <v>#DIV/0!</v>
      </c>
      <c r="AW1239" s="1099" t="e">
        <f t="shared" si="835"/>
        <v>#DIV/0!</v>
      </c>
      <c r="AX1239" s="1099" t="e">
        <f t="shared" si="835"/>
        <v>#DIV/0!</v>
      </c>
      <c r="AY1239" s="1099" t="e">
        <f t="shared" si="835"/>
        <v>#DIV/0!</v>
      </c>
      <c r="AZ1239" s="1091" t="s">
        <v>1012</v>
      </c>
      <c r="BA1239" s="1097" t="e">
        <f>IF(Table3[[#This Row],[max]]&lt;&gt;0,RANK(Table3[[#This Row],[max]],Table3[max],0),"")</f>
        <v>#DIV/0!</v>
      </c>
      <c r="BB1239" s="1096" t="e">
        <f t="shared" si="831"/>
        <v>#DIV/0!</v>
      </c>
      <c r="BC1239" s="1096" t="e">
        <f t="shared" ca="1" si="832"/>
        <v>#DIV/0!</v>
      </c>
      <c r="BD1239" s="1096" t="e">
        <f>IF(Table3[[#This Row],[max]]&gt;0,Table3[[#This Row],[Crop groups and examples of individual products within the groups to which the MRLs apply]],"")</f>
        <v>#DIV/0!</v>
      </c>
    </row>
    <row r="1240" spans="2:56" x14ac:dyDescent="0.2">
      <c r="B1240" s="131">
        <f t="shared" si="834"/>
        <v>140000</v>
      </c>
      <c r="C1240" s="131" t="str">
        <f t="shared" si="834"/>
        <v>Stone fruit</v>
      </c>
      <c r="D1240" s="1084">
        <f>input_values!E40</f>
        <v>0</v>
      </c>
      <c r="E1240" s="1084">
        <f>input_values!F40</f>
        <v>0</v>
      </c>
      <c r="F1240" s="1085">
        <f>input_values!W40</f>
        <v>0</v>
      </c>
      <c r="G1240" s="1085" t="str">
        <f>IF(Table3[[#This Row],[CF]]&gt;0,CONCATENATE(IF(Table3[[#This Row],[LOQ]]="*","LOQ","MRL"),IF(input_values!G40&gt;0,"×CFrisk","")),"")</f>
        <v/>
      </c>
      <c r="H1240" s="1087">
        <f>input_values!L40</f>
        <v>0</v>
      </c>
      <c r="I1240" s="1088">
        <f>input_values!D40</f>
        <v>0</v>
      </c>
      <c r="J1240" s="1095" t="e">
        <f>IF($D$1212="",0,$D1240*Table3[[#This Row],[CF]]*chronic_consumption!$E40/1000/$C$3)</f>
        <v>#DIV/0!</v>
      </c>
      <c r="K1240" s="1095" t="e">
        <f>IF($D$1212="",0,$D1240*Table3[[#This Row],[CF]]*chronic_consumption!$F40/1000/$C$3)</f>
        <v>#DIV/0!</v>
      </c>
      <c r="L1240" s="1095" t="e">
        <f>IF($D$1212="",0,$D1240*Table3[[#This Row],[CF]]*chronic_consumption!$G40/1000/$C$3)</f>
        <v>#DIV/0!</v>
      </c>
      <c r="M1240" s="1095" t="e">
        <f>IF($D$1212="",0,$D1240*Table3[[#This Row],[CF]]*chronic_consumption!$H40/1000/$C$3)</f>
        <v>#DIV/0!</v>
      </c>
      <c r="N1240" s="1095" t="e">
        <f>IF($D$1212="",0,$D1240*Table3[[#This Row],[CF]]*chronic_consumption!$I40/1000/$C$3)</f>
        <v>#DIV/0!</v>
      </c>
      <c r="O1240" s="1095" t="e">
        <f>IF($D$1212="",0,$D1240*Table3[[#This Row],[CF]]*chronic_consumption!$J40/1000/$C$3)</f>
        <v>#DIV/0!</v>
      </c>
      <c r="P1240" s="1095" t="e">
        <f>IF($D$1212="",0,$D1240*Table3[[#This Row],[CF]]*chronic_consumption!$K40/1000/$C$3)</f>
        <v>#DIV/0!</v>
      </c>
      <c r="Q1240" s="1095" t="e">
        <f>IF($D$1212="",0,$D1240*Table3[[#This Row],[CF]]*chronic_consumption!$L40/1000/$C$3)</f>
        <v>#DIV/0!</v>
      </c>
      <c r="R1240" s="1095" t="e">
        <f>IF($D$1212="",0,$D1240*Table3[[#This Row],[CF]]*chronic_consumption!$M40/1000/$C$3)</f>
        <v>#DIV/0!</v>
      </c>
      <c r="S1240" s="1095" t="e">
        <f>IF($D$1212="",0,$D1240*Table3[[#This Row],[CF]]*chronic_consumption!$N40/1000/$C$3)</f>
        <v>#DIV/0!</v>
      </c>
      <c r="T1240" s="1095" t="e">
        <f>IF($D$1212="",0,$D1240*Table3[[#This Row],[CF]]*chronic_consumption!$O40/1000/$C$3)</f>
        <v>#DIV/0!</v>
      </c>
      <c r="U1240" s="1095" t="e">
        <f>IF($D$1212="",0,$D1240*Table3[[#This Row],[CF]]*chronic_consumption!$P40/1000/$C$3)</f>
        <v>#DIV/0!</v>
      </c>
      <c r="V1240" s="1095" t="e">
        <f>IF($D$1212="",0,$D1240*Table3[[#This Row],[CF]]*chronic_consumption!$Q40/1000/$C$3)</f>
        <v>#DIV/0!</v>
      </c>
      <c r="W1240" s="1095" t="e">
        <f>IF($D$1212="",0,$D1240*Table3[[#This Row],[CF]]*chronic_consumption!$R40/1000/$C$3)</f>
        <v>#DIV/0!</v>
      </c>
      <c r="X1240" s="1095" t="e">
        <f>IF($D$1212="",0,$D1240*Table3[[#This Row],[CF]]*chronic_consumption!$S40/1000/$C$3)</f>
        <v>#DIV/0!</v>
      </c>
      <c r="Y1240" s="1095" t="e">
        <f>IF($D$1212="",0,$D1240*Table3[[#This Row],[CF]]*chronic_consumption!$T40/1000/$C$3)</f>
        <v>#DIV/0!</v>
      </c>
      <c r="Z1240" s="1095" t="e">
        <f>IF($D$1212="",0,$D1240*Table3[[#This Row],[CF]]*chronic_consumption!$U40/1000/$C$3)</f>
        <v>#DIV/0!</v>
      </c>
      <c r="AA1240" s="1095" t="e">
        <f>IF($D$1212="",0,$D1240*Table3[[#This Row],[CF]]*chronic_consumption!$V40/1000/$C$3)</f>
        <v>#DIV/0!</v>
      </c>
      <c r="AB1240" s="1095" t="e">
        <f>IF($D$1212="",0,$D1240*Table3[[#This Row],[CF]]*chronic_consumption!$W40/1000/$C$3)</f>
        <v>#DIV/0!</v>
      </c>
      <c r="AC1240" s="1095" t="e">
        <f>IF($D$1212="",0,$D1240*Table3[[#This Row],[CF]]*chronic_consumption!$X40/1000/$C$3)</f>
        <v>#DIV/0!</v>
      </c>
      <c r="AD1240" s="1095" t="e">
        <f>IF($D$1212="",0,$D1240*Table3[[#This Row],[CF]]*chronic_consumption!$Y40/1000/$C$3)</f>
        <v>#DIV/0!</v>
      </c>
      <c r="AE1240" s="1095" t="e">
        <f>IF($D$1212="",0,$D1240*Table3[[#This Row],[CF]]*chronic_consumption!$Z40/1000/$C$3)</f>
        <v>#DIV/0!</v>
      </c>
      <c r="AF1240" s="1095" t="e">
        <f>IF($D$1212="",0,$D1240*Table3[[#This Row],[CF]]*chronic_consumption!$AA40/1000/$C$3)</f>
        <v>#DIV/0!</v>
      </c>
      <c r="AG1240" s="1095" t="e">
        <f>IF($D$1212="",0,$D1240*Table3[[#This Row],[CF]]*chronic_consumption!$AB40/1000/$C$3)</f>
        <v>#DIV/0!</v>
      </c>
      <c r="AH1240" s="1095" t="e">
        <f>IF($D$1212="",0,$D1240*Table3[[#This Row],[CF]]*chronic_consumption!$AC40/1000/$C$3)</f>
        <v>#DIV/0!</v>
      </c>
      <c r="AI1240" s="1095" t="e">
        <f>IF($D$1212="",0,$D1240*Table3[[#This Row],[CF]]*chronic_consumption!$AD40/1000/$C$3)</f>
        <v>#DIV/0!</v>
      </c>
      <c r="AJ1240" s="1095" t="e">
        <f>IF($D$1212="",0,$D1240*Table3[[#This Row],[CF]]*chronic_consumption!$AE40/1000/$C$3)</f>
        <v>#DIV/0!</v>
      </c>
      <c r="AK1240" s="1095" t="e">
        <f>IF($D$1212="",0,$D1240*Table3[[#This Row],[CF]]*chronic_consumption!$AF40/1000/$C$3)</f>
        <v>#DIV/0!</v>
      </c>
      <c r="AL1240" s="1095" t="e">
        <f>IF($D$1212="",0,$D1240*Table3[[#This Row],[CF]]*chronic_consumption!$AG40/1000/$C$3)</f>
        <v>#DIV/0!</v>
      </c>
      <c r="AM1240" s="1095" t="e">
        <f>IF($D$1212="",0,$D1240*Table3[[#This Row],[CF]]*chronic_consumption!$AH40/1000/$C$3)</f>
        <v>#DIV/0!</v>
      </c>
      <c r="AN1240" s="1095" t="e">
        <f>IF($D$1212="",0,$D1240*Table3[[#This Row],[CF]]*chronic_consumption!$AI40/1000/$C$3)</f>
        <v>#DIV/0!</v>
      </c>
      <c r="AO1240" s="1095" t="e">
        <f>IF($D$1212="",0,$D1240*Table3[[#This Row],[CF]]*chronic_consumption!$AJ40/1000/$C$3)</f>
        <v>#DIV/0!</v>
      </c>
      <c r="AP1240" s="1095" t="e">
        <f>IF($D$1212="",0,$D1240*Table3[[#This Row],[CF]]*chronic_consumption!$AK40/1000/$C$3)</f>
        <v>#DIV/0!</v>
      </c>
      <c r="AQ1240" s="1095" t="e">
        <f>IF($D$1212="",0,$D1240*Table3[[#This Row],[CF]]*chronic_consumption!$AL40/1000/$C$3)</f>
        <v>#DIV/0!</v>
      </c>
      <c r="AR1240" s="1095" t="e">
        <f>IF($D$1212="",0,$D1240*Table3[[#This Row],[CF]]*chronic_consumption!$AM40/1000/$C$3)</f>
        <v>#DIV/0!</v>
      </c>
      <c r="AS1240" s="1095" t="e">
        <f>IF($D$1212="",0,$D1240*Table3[[#This Row],[CF]]*chronic_consumption!$AN40/1000/$C$3)</f>
        <v>#DIV/0!</v>
      </c>
      <c r="AT1240" s="1095" t="e">
        <f>IF($D$1212="",0,$D1240*Table3[[#This Row],[CF]]*chronic_consumption!$AO40/1000/$C$3)</f>
        <v>#DIV/0!</v>
      </c>
      <c r="AU1240" s="1096" t="e">
        <f t="shared" si="835"/>
        <v>#DIV/0!</v>
      </c>
      <c r="AV1240" s="1096" t="e">
        <f t="shared" si="835"/>
        <v>#DIV/0!</v>
      </c>
      <c r="AW1240" s="1096" t="e">
        <f t="shared" si="835"/>
        <v>#DIV/0!</v>
      </c>
      <c r="AX1240" s="1096" t="e">
        <f t="shared" si="835"/>
        <v>#DIV/0!</v>
      </c>
      <c r="AY1240" s="1096" t="e">
        <f t="shared" si="835"/>
        <v>#DIV/0!</v>
      </c>
      <c r="AZ1240" s="1091" t="s">
        <v>1012</v>
      </c>
      <c r="BA1240" s="1097" t="e">
        <f>IF(Table3[[#This Row],[max]]&lt;&gt;0,RANK(Table3[[#This Row],[max]],Table3[max],0),"")</f>
        <v>#DIV/0!</v>
      </c>
      <c r="BB1240" s="1096" t="e">
        <f t="shared" si="831"/>
        <v>#DIV/0!</v>
      </c>
      <c r="BC1240" s="1096" t="e">
        <f t="shared" ca="1" si="832"/>
        <v>#DIV/0!</v>
      </c>
      <c r="BD1240" s="1096" t="e">
        <f>IF(Table3[[#This Row],[max]]&gt;0,Table3[[#This Row],[Crop groups and examples of individual products within the groups to which the MRLs apply]],"")</f>
        <v>#DIV/0!</v>
      </c>
    </row>
    <row r="1241" spans="2:56" x14ac:dyDescent="0.2">
      <c r="B1241" s="23">
        <f t="shared" si="834"/>
        <v>140010</v>
      </c>
      <c r="C1241" s="23" t="str">
        <f t="shared" si="834"/>
        <v>Apricots</v>
      </c>
      <c r="D1241" s="1084">
        <f>input_values!E41</f>
        <v>0</v>
      </c>
      <c r="E1241" s="1084">
        <f>input_values!F41</f>
        <v>0</v>
      </c>
      <c r="F1241" s="1085">
        <f>input_values!W41</f>
        <v>1</v>
      </c>
      <c r="G1241" s="1085" t="str">
        <f>IF(Table3[[#This Row],[CF]]&gt;0,CONCATENATE(IF(Table3[[#This Row],[LOQ]]="*","LOQ","MRL"),IF(input_values!G41&gt;0,"×CFrisk","")),"")</f>
        <v>MRL</v>
      </c>
      <c r="H1241" s="1087">
        <f>input_values!L41</f>
        <v>0</v>
      </c>
      <c r="I1241" s="1088">
        <f>input_values!D41</f>
        <v>0</v>
      </c>
      <c r="J1241" s="1098" t="e">
        <f>IF($D$1212="",0,$D1241*Table3[[#This Row],[CF]]*chronic_consumption!$E41/1000/$C$3)</f>
        <v>#DIV/0!</v>
      </c>
      <c r="K1241" s="1098" t="e">
        <f>IF($D$1212="",0,$D1241*Table3[[#This Row],[CF]]*chronic_consumption!$F41/1000/$C$3)</f>
        <v>#DIV/0!</v>
      </c>
      <c r="L1241" s="1098" t="e">
        <f>IF($D$1212="",0,$D1241*Table3[[#This Row],[CF]]*chronic_consumption!$G41/1000/$C$3)</f>
        <v>#DIV/0!</v>
      </c>
      <c r="M1241" s="1098" t="e">
        <f>IF($D$1212="",0,$D1241*Table3[[#This Row],[CF]]*chronic_consumption!$H41/1000/$C$3)</f>
        <v>#DIV/0!</v>
      </c>
      <c r="N1241" s="1098" t="e">
        <f>IF($D$1212="",0,$D1241*Table3[[#This Row],[CF]]*chronic_consumption!$I41/1000/$C$3)</f>
        <v>#DIV/0!</v>
      </c>
      <c r="O1241" s="1098" t="e">
        <f>IF($D$1212="",0,$D1241*Table3[[#This Row],[CF]]*chronic_consumption!$J41/1000/$C$3)</f>
        <v>#DIV/0!</v>
      </c>
      <c r="P1241" s="1098" t="e">
        <f>IF($D$1212="",0,$D1241*Table3[[#This Row],[CF]]*chronic_consumption!$K41/1000/$C$3)</f>
        <v>#DIV/0!</v>
      </c>
      <c r="Q1241" s="1098" t="e">
        <f>IF($D$1212="",0,$D1241*Table3[[#This Row],[CF]]*chronic_consumption!$L41/1000/$C$3)</f>
        <v>#DIV/0!</v>
      </c>
      <c r="R1241" s="1098" t="e">
        <f>IF($D$1212="",0,$D1241*Table3[[#This Row],[CF]]*chronic_consumption!$M41/1000/$C$3)</f>
        <v>#DIV/0!</v>
      </c>
      <c r="S1241" s="1098" t="e">
        <f>IF($D$1212="",0,$D1241*Table3[[#This Row],[CF]]*chronic_consumption!$N41/1000/$C$3)</f>
        <v>#DIV/0!</v>
      </c>
      <c r="T1241" s="1098" t="e">
        <f>IF($D$1212="",0,$D1241*Table3[[#This Row],[CF]]*chronic_consumption!$O41/1000/$C$3)</f>
        <v>#DIV/0!</v>
      </c>
      <c r="U1241" s="1098" t="e">
        <f>IF($D$1212="",0,$D1241*Table3[[#This Row],[CF]]*chronic_consumption!$P41/1000/$C$3)</f>
        <v>#DIV/0!</v>
      </c>
      <c r="V1241" s="1098" t="e">
        <f>IF($D$1212="",0,$D1241*Table3[[#This Row],[CF]]*chronic_consumption!$Q41/1000/$C$3)</f>
        <v>#DIV/0!</v>
      </c>
      <c r="W1241" s="1098" t="e">
        <f>IF($D$1212="",0,$D1241*Table3[[#This Row],[CF]]*chronic_consumption!$R41/1000/$C$3)</f>
        <v>#DIV/0!</v>
      </c>
      <c r="X1241" s="1098" t="e">
        <f>IF($D$1212="",0,$D1241*Table3[[#This Row],[CF]]*chronic_consumption!$S41/1000/$C$3)</f>
        <v>#DIV/0!</v>
      </c>
      <c r="Y1241" s="1098" t="e">
        <f>IF($D$1212="",0,$D1241*Table3[[#This Row],[CF]]*chronic_consumption!$T41/1000/$C$3)</f>
        <v>#DIV/0!</v>
      </c>
      <c r="Z1241" s="1098" t="e">
        <f>IF($D$1212="",0,$D1241*Table3[[#This Row],[CF]]*chronic_consumption!$U41/1000/$C$3)</f>
        <v>#DIV/0!</v>
      </c>
      <c r="AA1241" s="1098" t="e">
        <f>IF($D$1212="",0,$D1241*Table3[[#This Row],[CF]]*chronic_consumption!$V41/1000/$C$3)</f>
        <v>#DIV/0!</v>
      </c>
      <c r="AB1241" s="1098" t="e">
        <f>IF($D$1212="",0,$D1241*Table3[[#This Row],[CF]]*chronic_consumption!$W41/1000/$C$3)</f>
        <v>#DIV/0!</v>
      </c>
      <c r="AC1241" s="1098" t="e">
        <f>IF($D$1212="",0,$D1241*Table3[[#This Row],[CF]]*chronic_consumption!$X41/1000/$C$3)</f>
        <v>#DIV/0!</v>
      </c>
      <c r="AD1241" s="1098" t="e">
        <f>IF($D$1212="",0,$D1241*Table3[[#This Row],[CF]]*chronic_consumption!$Y41/1000/$C$3)</f>
        <v>#DIV/0!</v>
      </c>
      <c r="AE1241" s="1098" t="e">
        <f>IF($D$1212="",0,$D1241*Table3[[#This Row],[CF]]*chronic_consumption!$Z41/1000/$C$3)</f>
        <v>#DIV/0!</v>
      </c>
      <c r="AF1241" s="1098" t="e">
        <f>IF($D$1212="",0,$D1241*Table3[[#This Row],[CF]]*chronic_consumption!$AA41/1000/$C$3)</f>
        <v>#DIV/0!</v>
      </c>
      <c r="AG1241" s="1098" t="e">
        <f>IF($D$1212="",0,$D1241*Table3[[#This Row],[CF]]*chronic_consumption!$AB41/1000/$C$3)</f>
        <v>#DIV/0!</v>
      </c>
      <c r="AH1241" s="1098" t="e">
        <f>IF($D$1212="",0,$D1241*Table3[[#This Row],[CF]]*chronic_consumption!$AC41/1000/$C$3)</f>
        <v>#DIV/0!</v>
      </c>
      <c r="AI1241" s="1098" t="e">
        <f>IF($D$1212="",0,$D1241*Table3[[#This Row],[CF]]*chronic_consumption!$AD41/1000/$C$3)</f>
        <v>#DIV/0!</v>
      </c>
      <c r="AJ1241" s="1098" t="e">
        <f>IF($D$1212="",0,$D1241*Table3[[#This Row],[CF]]*chronic_consumption!$AE41/1000/$C$3)</f>
        <v>#DIV/0!</v>
      </c>
      <c r="AK1241" s="1098" t="e">
        <f>IF($D$1212="",0,$D1241*Table3[[#This Row],[CF]]*chronic_consumption!$AF41/1000/$C$3)</f>
        <v>#DIV/0!</v>
      </c>
      <c r="AL1241" s="1098" t="e">
        <f>IF($D$1212="",0,$D1241*Table3[[#This Row],[CF]]*chronic_consumption!$AG41/1000/$C$3)</f>
        <v>#DIV/0!</v>
      </c>
      <c r="AM1241" s="1098" t="e">
        <f>IF($D$1212="",0,$D1241*Table3[[#This Row],[CF]]*chronic_consumption!$AH41/1000/$C$3)</f>
        <v>#DIV/0!</v>
      </c>
      <c r="AN1241" s="1098" t="e">
        <f>IF($D$1212="",0,$D1241*Table3[[#This Row],[CF]]*chronic_consumption!$AI41/1000/$C$3)</f>
        <v>#DIV/0!</v>
      </c>
      <c r="AO1241" s="1098" t="e">
        <f>IF($D$1212="",0,$D1241*Table3[[#This Row],[CF]]*chronic_consumption!$AJ41/1000/$C$3)</f>
        <v>#DIV/0!</v>
      </c>
      <c r="AP1241" s="1098" t="e">
        <f>IF($D$1212="",0,$D1241*Table3[[#This Row],[CF]]*chronic_consumption!$AK41/1000/$C$3)</f>
        <v>#DIV/0!</v>
      </c>
      <c r="AQ1241" s="1098" t="e">
        <f>IF($D$1212="",0,$D1241*Table3[[#This Row],[CF]]*chronic_consumption!$AL41/1000/$C$3)</f>
        <v>#DIV/0!</v>
      </c>
      <c r="AR1241" s="1098" t="e">
        <f>IF($D$1212="",0,$D1241*Table3[[#This Row],[CF]]*chronic_consumption!$AM41/1000/$C$3)</f>
        <v>#DIV/0!</v>
      </c>
      <c r="AS1241" s="1098" t="e">
        <f>IF($D$1212="",0,$D1241*Table3[[#This Row],[CF]]*chronic_consumption!$AN41/1000/$C$3)</f>
        <v>#DIV/0!</v>
      </c>
      <c r="AT1241" s="1098" t="e">
        <f>IF($D$1212="",0,$D1241*Table3[[#This Row],[CF]]*chronic_consumption!$AO41/1000/$C$3)</f>
        <v>#DIV/0!</v>
      </c>
      <c r="AU1241" s="1099" t="e">
        <f t="shared" si="835"/>
        <v>#DIV/0!</v>
      </c>
      <c r="AV1241" s="1099" t="e">
        <f t="shared" si="835"/>
        <v>#DIV/0!</v>
      </c>
      <c r="AW1241" s="1099" t="e">
        <f t="shared" si="835"/>
        <v>#DIV/0!</v>
      </c>
      <c r="AX1241" s="1099" t="e">
        <f t="shared" si="835"/>
        <v>#DIV/0!</v>
      </c>
      <c r="AY1241" s="1099" t="e">
        <f t="shared" si="835"/>
        <v>#DIV/0!</v>
      </c>
      <c r="AZ1241" s="1091" t="s">
        <v>1012</v>
      </c>
      <c r="BA1241" s="1097" t="e">
        <f>IF(Table3[[#This Row],[max]]&lt;&gt;0,RANK(Table3[[#This Row],[max]],Table3[max],0),"")</f>
        <v>#DIV/0!</v>
      </c>
      <c r="BB1241" s="1096" t="e">
        <f t="shared" si="831"/>
        <v>#DIV/0!</v>
      </c>
      <c r="BC1241" s="1096" t="e">
        <f t="shared" ca="1" si="832"/>
        <v>#DIV/0!</v>
      </c>
      <c r="BD1241" s="1096" t="e">
        <f>IF(Table3[[#This Row],[max]]&gt;0,Table3[[#This Row],[Crop groups and examples of individual products within the groups to which the MRLs apply]],"")</f>
        <v>#DIV/0!</v>
      </c>
    </row>
    <row r="1242" spans="2:56" x14ac:dyDescent="0.2">
      <c r="B1242" s="23">
        <f t="shared" si="834"/>
        <v>140020</v>
      </c>
      <c r="C1242" s="23" t="str">
        <f t="shared" si="834"/>
        <v>Cherries (sweet)</v>
      </c>
      <c r="D1242" s="1084">
        <f>input_values!E42</f>
        <v>0</v>
      </c>
      <c r="E1242" s="1084">
        <f>input_values!F42</f>
        <v>0</v>
      </c>
      <c r="F1242" s="1085">
        <f>input_values!W42</f>
        <v>1</v>
      </c>
      <c r="G1242" s="1085" t="str">
        <f>IF(Table3[[#This Row],[CF]]&gt;0,CONCATENATE(IF(Table3[[#This Row],[LOQ]]="*","LOQ","MRL"),IF(input_values!G42&gt;0,"×CFrisk","")),"")</f>
        <v>MRL</v>
      </c>
      <c r="H1242" s="1087">
        <f>input_values!L42</f>
        <v>0</v>
      </c>
      <c r="I1242" s="1088">
        <f>input_values!D42</f>
        <v>0</v>
      </c>
      <c r="J1242" s="1098" t="e">
        <f>IF($D$1212="",0,$D1242*Table3[[#This Row],[CF]]*chronic_consumption!$E42/1000/$C$3)</f>
        <v>#DIV/0!</v>
      </c>
      <c r="K1242" s="1098" t="e">
        <f>IF($D$1212="",0,$D1242*Table3[[#This Row],[CF]]*chronic_consumption!$F42/1000/$C$3)</f>
        <v>#DIV/0!</v>
      </c>
      <c r="L1242" s="1098" t="e">
        <f>IF($D$1212="",0,$D1242*Table3[[#This Row],[CF]]*chronic_consumption!$G42/1000/$C$3)</f>
        <v>#DIV/0!</v>
      </c>
      <c r="M1242" s="1098" t="e">
        <f>IF($D$1212="",0,$D1242*Table3[[#This Row],[CF]]*chronic_consumption!$H42/1000/$C$3)</f>
        <v>#DIV/0!</v>
      </c>
      <c r="N1242" s="1098" t="e">
        <f>IF($D$1212="",0,$D1242*Table3[[#This Row],[CF]]*chronic_consumption!$I42/1000/$C$3)</f>
        <v>#DIV/0!</v>
      </c>
      <c r="O1242" s="1098" t="e">
        <f>IF($D$1212="",0,$D1242*Table3[[#This Row],[CF]]*chronic_consumption!$J42/1000/$C$3)</f>
        <v>#DIV/0!</v>
      </c>
      <c r="P1242" s="1098" t="e">
        <f>IF($D$1212="",0,$D1242*Table3[[#This Row],[CF]]*chronic_consumption!$K42/1000/$C$3)</f>
        <v>#DIV/0!</v>
      </c>
      <c r="Q1242" s="1098" t="e">
        <f>IF($D$1212="",0,$D1242*Table3[[#This Row],[CF]]*chronic_consumption!$L42/1000/$C$3)</f>
        <v>#DIV/0!</v>
      </c>
      <c r="R1242" s="1098" t="e">
        <f>IF($D$1212="",0,$D1242*Table3[[#This Row],[CF]]*chronic_consumption!$M42/1000/$C$3)</f>
        <v>#DIV/0!</v>
      </c>
      <c r="S1242" s="1098" t="e">
        <f>IF($D$1212="",0,$D1242*Table3[[#This Row],[CF]]*chronic_consumption!$N42/1000/$C$3)</f>
        <v>#DIV/0!</v>
      </c>
      <c r="T1242" s="1098" t="e">
        <f>IF($D$1212="",0,$D1242*Table3[[#This Row],[CF]]*chronic_consumption!$O42/1000/$C$3)</f>
        <v>#DIV/0!</v>
      </c>
      <c r="U1242" s="1098" t="e">
        <f>IF($D$1212="",0,$D1242*Table3[[#This Row],[CF]]*chronic_consumption!$P42/1000/$C$3)</f>
        <v>#DIV/0!</v>
      </c>
      <c r="V1242" s="1098" t="e">
        <f>IF($D$1212="",0,$D1242*Table3[[#This Row],[CF]]*chronic_consumption!$Q42/1000/$C$3)</f>
        <v>#DIV/0!</v>
      </c>
      <c r="W1242" s="1098" t="e">
        <f>IF($D$1212="",0,$D1242*Table3[[#This Row],[CF]]*chronic_consumption!$R42/1000/$C$3)</f>
        <v>#DIV/0!</v>
      </c>
      <c r="X1242" s="1098" t="e">
        <f>IF($D$1212="",0,$D1242*Table3[[#This Row],[CF]]*chronic_consumption!$S42/1000/$C$3)</f>
        <v>#DIV/0!</v>
      </c>
      <c r="Y1242" s="1098" t="e">
        <f>IF($D$1212="",0,$D1242*Table3[[#This Row],[CF]]*chronic_consumption!$T42/1000/$C$3)</f>
        <v>#DIV/0!</v>
      </c>
      <c r="Z1242" s="1098" t="e">
        <f>IF($D$1212="",0,$D1242*Table3[[#This Row],[CF]]*chronic_consumption!$U42/1000/$C$3)</f>
        <v>#DIV/0!</v>
      </c>
      <c r="AA1242" s="1098" t="e">
        <f>IF($D$1212="",0,$D1242*Table3[[#This Row],[CF]]*chronic_consumption!$V42/1000/$C$3)</f>
        <v>#DIV/0!</v>
      </c>
      <c r="AB1242" s="1098" t="e">
        <f>IF($D$1212="",0,$D1242*Table3[[#This Row],[CF]]*chronic_consumption!$W42/1000/$C$3)</f>
        <v>#DIV/0!</v>
      </c>
      <c r="AC1242" s="1098" t="e">
        <f>IF($D$1212="",0,$D1242*Table3[[#This Row],[CF]]*chronic_consumption!$X42/1000/$C$3)</f>
        <v>#DIV/0!</v>
      </c>
      <c r="AD1242" s="1098" t="e">
        <f>IF($D$1212="",0,$D1242*Table3[[#This Row],[CF]]*chronic_consumption!$Y42/1000/$C$3)</f>
        <v>#DIV/0!</v>
      </c>
      <c r="AE1242" s="1098" t="e">
        <f>IF($D$1212="",0,$D1242*Table3[[#This Row],[CF]]*chronic_consumption!$Z42/1000/$C$3)</f>
        <v>#DIV/0!</v>
      </c>
      <c r="AF1242" s="1098" t="e">
        <f>IF($D$1212="",0,$D1242*Table3[[#This Row],[CF]]*chronic_consumption!$AA42/1000/$C$3)</f>
        <v>#DIV/0!</v>
      </c>
      <c r="AG1242" s="1098" t="e">
        <f>IF($D$1212="",0,$D1242*Table3[[#This Row],[CF]]*chronic_consumption!$AB42/1000/$C$3)</f>
        <v>#DIV/0!</v>
      </c>
      <c r="AH1242" s="1098" t="e">
        <f>IF($D$1212="",0,$D1242*Table3[[#This Row],[CF]]*chronic_consumption!$AC42/1000/$C$3)</f>
        <v>#DIV/0!</v>
      </c>
      <c r="AI1242" s="1098" t="e">
        <f>IF($D$1212="",0,$D1242*Table3[[#This Row],[CF]]*chronic_consumption!$AD42/1000/$C$3)</f>
        <v>#DIV/0!</v>
      </c>
      <c r="AJ1242" s="1098" t="e">
        <f>IF($D$1212="",0,$D1242*Table3[[#This Row],[CF]]*chronic_consumption!$AE42/1000/$C$3)</f>
        <v>#DIV/0!</v>
      </c>
      <c r="AK1242" s="1098" t="e">
        <f>IF($D$1212="",0,$D1242*Table3[[#This Row],[CF]]*chronic_consumption!$AF42/1000/$C$3)</f>
        <v>#DIV/0!</v>
      </c>
      <c r="AL1242" s="1098" t="e">
        <f>IF($D$1212="",0,$D1242*Table3[[#This Row],[CF]]*chronic_consumption!$AG42/1000/$C$3)</f>
        <v>#DIV/0!</v>
      </c>
      <c r="AM1242" s="1098" t="e">
        <f>IF($D$1212="",0,$D1242*Table3[[#This Row],[CF]]*chronic_consumption!$AH42/1000/$C$3)</f>
        <v>#DIV/0!</v>
      </c>
      <c r="AN1242" s="1098" t="e">
        <f>IF($D$1212="",0,$D1242*Table3[[#This Row],[CF]]*chronic_consumption!$AI42/1000/$C$3)</f>
        <v>#DIV/0!</v>
      </c>
      <c r="AO1242" s="1098" t="e">
        <f>IF($D$1212="",0,$D1242*Table3[[#This Row],[CF]]*chronic_consumption!$AJ42/1000/$C$3)</f>
        <v>#DIV/0!</v>
      </c>
      <c r="AP1242" s="1098" t="e">
        <f>IF($D$1212="",0,$D1242*Table3[[#This Row],[CF]]*chronic_consumption!$AK42/1000/$C$3)</f>
        <v>#DIV/0!</v>
      </c>
      <c r="AQ1242" s="1098" t="e">
        <f>IF($D$1212="",0,$D1242*Table3[[#This Row],[CF]]*chronic_consumption!$AL42/1000/$C$3)</f>
        <v>#DIV/0!</v>
      </c>
      <c r="AR1242" s="1098" t="e">
        <f>IF($D$1212="",0,$D1242*Table3[[#This Row],[CF]]*chronic_consumption!$AM42/1000/$C$3)</f>
        <v>#DIV/0!</v>
      </c>
      <c r="AS1242" s="1098" t="e">
        <f>IF($D$1212="",0,$D1242*Table3[[#This Row],[CF]]*chronic_consumption!$AN42/1000/$C$3)</f>
        <v>#DIV/0!</v>
      </c>
      <c r="AT1242" s="1098" t="e">
        <f>IF($D$1212="",0,$D1242*Table3[[#This Row],[CF]]*chronic_consumption!$AO42/1000/$C$3)</f>
        <v>#DIV/0!</v>
      </c>
      <c r="AU1242" s="1099" t="e">
        <f t="shared" ref="AU1242:AY1251" si="836">IF(AU442="",0,IF(OR(1=RANK(AU842,AU$412:AU$790,0),(2=RANK(AU842,AU$412:AU$790,0))),AU842,AU442))</f>
        <v>#DIV/0!</v>
      </c>
      <c r="AV1242" s="1099" t="e">
        <f t="shared" si="836"/>
        <v>#DIV/0!</v>
      </c>
      <c r="AW1242" s="1099" t="e">
        <f t="shared" si="836"/>
        <v>#DIV/0!</v>
      </c>
      <c r="AX1242" s="1099" t="e">
        <f t="shared" si="836"/>
        <v>#DIV/0!</v>
      </c>
      <c r="AY1242" s="1099" t="e">
        <f t="shared" si="836"/>
        <v>#DIV/0!</v>
      </c>
      <c r="AZ1242" s="1091" t="s">
        <v>1012</v>
      </c>
      <c r="BA1242" s="1097" t="e">
        <f>IF(Table3[[#This Row],[max]]&lt;&gt;0,RANK(Table3[[#This Row],[max]],Table3[max],0),"")</f>
        <v>#DIV/0!</v>
      </c>
      <c r="BB1242" s="1096" t="e">
        <f t="shared" si="831"/>
        <v>#DIV/0!</v>
      </c>
      <c r="BC1242" s="1096" t="e">
        <f t="shared" ca="1" si="832"/>
        <v>#DIV/0!</v>
      </c>
      <c r="BD1242" s="1096" t="e">
        <f>IF(Table3[[#This Row],[max]]&gt;0,Table3[[#This Row],[Crop groups and examples of individual products within the groups to which the MRLs apply]],"")</f>
        <v>#DIV/0!</v>
      </c>
    </row>
    <row r="1243" spans="2:56" x14ac:dyDescent="0.2">
      <c r="B1243" s="23">
        <f t="shared" si="834"/>
        <v>140030</v>
      </c>
      <c r="C1243" s="23" t="str">
        <f t="shared" si="834"/>
        <v>Peaches</v>
      </c>
      <c r="D1243" s="1084">
        <f>input_values!E43</f>
        <v>0</v>
      </c>
      <c r="E1243" s="1084">
        <f>input_values!F43</f>
        <v>0</v>
      </c>
      <c r="F1243" s="1085">
        <f>input_values!W43</f>
        <v>1</v>
      </c>
      <c r="G1243" s="1085" t="str">
        <f>IF(Table3[[#This Row],[CF]]&gt;0,CONCATENATE(IF(Table3[[#This Row],[LOQ]]="*","LOQ","MRL"),IF(input_values!G43&gt;0,"×CFrisk","")),"")</f>
        <v>MRL</v>
      </c>
      <c r="H1243" s="1087">
        <f>input_values!L43</f>
        <v>0</v>
      </c>
      <c r="I1243" s="1088">
        <f>input_values!D43</f>
        <v>0</v>
      </c>
      <c r="J1243" s="1098" t="e">
        <f>IF($D$1212="",0,$D1243*Table3[[#This Row],[CF]]*chronic_consumption!$E43/1000/$C$3)</f>
        <v>#DIV/0!</v>
      </c>
      <c r="K1243" s="1098" t="e">
        <f>IF($D$1212="",0,$D1243*Table3[[#This Row],[CF]]*chronic_consumption!$F43/1000/$C$3)</f>
        <v>#DIV/0!</v>
      </c>
      <c r="L1243" s="1098" t="e">
        <f>IF($D$1212="",0,$D1243*Table3[[#This Row],[CF]]*chronic_consumption!$G43/1000/$C$3)</f>
        <v>#DIV/0!</v>
      </c>
      <c r="M1243" s="1098" t="e">
        <f>IF($D$1212="",0,$D1243*Table3[[#This Row],[CF]]*chronic_consumption!$H43/1000/$C$3)</f>
        <v>#DIV/0!</v>
      </c>
      <c r="N1243" s="1098" t="e">
        <f>IF($D$1212="",0,$D1243*Table3[[#This Row],[CF]]*chronic_consumption!$I43/1000/$C$3)</f>
        <v>#DIV/0!</v>
      </c>
      <c r="O1243" s="1098" t="e">
        <f>IF($D$1212="",0,$D1243*Table3[[#This Row],[CF]]*chronic_consumption!$J43/1000/$C$3)</f>
        <v>#DIV/0!</v>
      </c>
      <c r="P1243" s="1098" t="e">
        <f>IF($D$1212="",0,$D1243*Table3[[#This Row],[CF]]*chronic_consumption!$K43/1000/$C$3)</f>
        <v>#DIV/0!</v>
      </c>
      <c r="Q1243" s="1098" t="e">
        <f>IF($D$1212="",0,$D1243*Table3[[#This Row],[CF]]*chronic_consumption!$L43/1000/$C$3)</f>
        <v>#DIV/0!</v>
      </c>
      <c r="R1243" s="1098" t="e">
        <f>IF($D$1212="",0,$D1243*Table3[[#This Row],[CF]]*chronic_consumption!$M43/1000/$C$3)</f>
        <v>#DIV/0!</v>
      </c>
      <c r="S1243" s="1098" t="e">
        <f>IF($D$1212="",0,$D1243*Table3[[#This Row],[CF]]*chronic_consumption!$N43/1000/$C$3)</f>
        <v>#DIV/0!</v>
      </c>
      <c r="T1243" s="1098" t="e">
        <f>IF($D$1212="",0,$D1243*Table3[[#This Row],[CF]]*chronic_consumption!$O43/1000/$C$3)</f>
        <v>#DIV/0!</v>
      </c>
      <c r="U1243" s="1098" t="e">
        <f>IF($D$1212="",0,$D1243*Table3[[#This Row],[CF]]*chronic_consumption!$P43/1000/$C$3)</f>
        <v>#DIV/0!</v>
      </c>
      <c r="V1243" s="1098" t="e">
        <f>IF($D$1212="",0,$D1243*Table3[[#This Row],[CF]]*chronic_consumption!$Q43/1000/$C$3)</f>
        <v>#DIV/0!</v>
      </c>
      <c r="W1243" s="1098" t="e">
        <f>IF($D$1212="",0,$D1243*Table3[[#This Row],[CF]]*chronic_consumption!$R43/1000/$C$3)</f>
        <v>#DIV/0!</v>
      </c>
      <c r="X1243" s="1098" t="e">
        <f>IF($D$1212="",0,$D1243*Table3[[#This Row],[CF]]*chronic_consumption!$S43/1000/$C$3)</f>
        <v>#DIV/0!</v>
      </c>
      <c r="Y1243" s="1098" t="e">
        <f>IF($D$1212="",0,$D1243*Table3[[#This Row],[CF]]*chronic_consumption!$T43/1000/$C$3)</f>
        <v>#DIV/0!</v>
      </c>
      <c r="Z1243" s="1098" t="e">
        <f>IF($D$1212="",0,$D1243*Table3[[#This Row],[CF]]*chronic_consumption!$U43/1000/$C$3)</f>
        <v>#DIV/0!</v>
      </c>
      <c r="AA1243" s="1098" t="e">
        <f>IF($D$1212="",0,$D1243*Table3[[#This Row],[CF]]*chronic_consumption!$V43/1000/$C$3)</f>
        <v>#DIV/0!</v>
      </c>
      <c r="AB1243" s="1098" t="e">
        <f>IF($D$1212="",0,$D1243*Table3[[#This Row],[CF]]*chronic_consumption!$W43/1000/$C$3)</f>
        <v>#DIV/0!</v>
      </c>
      <c r="AC1243" s="1098" t="e">
        <f>IF($D$1212="",0,$D1243*Table3[[#This Row],[CF]]*chronic_consumption!$X43/1000/$C$3)</f>
        <v>#DIV/0!</v>
      </c>
      <c r="AD1243" s="1098" t="e">
        <f>IF($D$1212="",0,$D1243*Table3[[#This Row],[CF]]*chronic_consumption!$Y43/1000/$C$3)</f>
        <v>#DIV/0!</v>
      </c>
      <c r="AE1243" s="1098" t="e">
        <f>IF($D$1212="",0,$D1243*Table3[[#This Row],[CF]]*chronic_consumption!$Z43/1000/$C$3)</f>
        <v>#DIV/0!</v>
      </c>
      <c r="AF1243" s="1098" t="e">
        <f>IF($D$1212="",0,$D1243*Table3[[#This Row],[CF]]*chronic_consumption!$AA43/1000/$C$3)</f>
        <v>#DIV/0!</v>
      </c>
      <c r="AG1243" s="1098" t="e">
        <f>IF($D$1212="",0,$D1243*Table3[[#This Row],[CF]]*chronic_consumption!$AB43/1000/$C$3)</f>
        <v>#DIV/0!</v>
      </c>
      <c r="AH1243" s="1098" t="e">
        <f>IF($D$1212="",0,$D1243*Table3[[#This Row],[CF]]*chronic_consumption!$AC43/1000/$C$3)</f>
        <v>#DIV/0!</v>
      </c>
      <c r="AI1243" s="1098" t="e">
        <f>IF($D$1212="",0,$D1243*Table3[[#This Row],[CF]]*chronic_consumption!$AD43/1000/$C$3)</f>
        <v>#DIV/0!</v>
      </c>
      <c r="AJ1243" s="1098" t="e">
        <f>IF($D$1212="",0,$D1243*Table3[[#This Row],[CF]]*chronic_consumption!$AE43/1000/$C$3)</f>
        <v>#DIV/0!</v>
      </c>
      <c r="AK1243" s="1098" t="e">
        <f>IF($D$1212="",0,$D1243*Table3[[#This Row],[CF]]*chronic_consumption!$AF43/1000/$C$3)</f>
        <v>#DIV/0!</v>
      </c>
      <c r="AL1243" s="1098" t="e">
        <f>IF($D$1212="",0,$D1243*Table3[[#This Row],[CF]]*chronic_consumption!$AG43/1000/$C$3)</f>
        <v>#DIV/0!</v>
      </c>
      <c r="AM1243" s="1098" t="e">
        <f>IF($D$1212="",0,$D1243*Table3[[#This Row],[CF]]*chronic_consumption!$AH43/1000/$C$3)</f>
        <v>#DIV/0!</v>
      </c>
      <c r="AN1243" s="1098" t="e">
        <f>IF($D$1212="",0,$D1243*Table3[[#This Row],[CF]]*chronic_consumption!$AI43/1000/$C$3)</f>
        <v>#DIV/0!</v>
      </c>
      <c r="AO1243" s="1098" t="e">
        <f>IF($D$1212="",0,$D1243*Table3[[#This Row],[CF]]*chronic_consumption!$AJ43/1000/$C$3)</f>
        <v>#DIV/0!</v>
      </c>
      <c r="AP1243" s="1098" t="e">
        <f>IF($D$1212="",0,$D1243*Table3[[#This Row],[CF]]*chronic_consumption!$AK43/1000/$C$3)</f>
        <v>#DIV/0!</v>
      </c>
      <c r="AQ1243" s="1098" t="e">
        <f>IF($D$1212="",0,$D1243*Table3[[#This Row],[CF]]*chronic_consumption!$AL43/1000/$C$3)</f>
        <v>#DIV/0!</v>
      </c>
      <c r="AR1243" s="1098" t="e">
        <f>IF($D$1212="",0,$D1243*Table3[[#This Row],[CF]]*chronic_consumption!$AM43/1000/$C$3)</f>
        <v>#DIV/0!</v>
      </c>
      <c r="AS1243" s="1098" t="e">
        <f>IF($D$1212="",0,$D1243*Table3[[#This Row],[CF]]*chronic_consumption!$AN43/1000/$C$3)</f>
        <v>#DIV/0!</v>
      </c>
      <c r="AT1243" s="1098" t="e">
        <f>IF($D$1212="",0,$D1243*Table3[[#This Row],[CF]]*chronic_consumption!$AO43/1000/$C$3)</f>
        <v>#DIV/0!</v>
      </c>
      <c r="AU1243" s="1099" t="e">
        <f t="shared" si="836"/>
        <v>#DIV/0!</v>
      </c>
      <c r="AV1243" s="1099" t="e">
        <f t="shared" si="836"/>
        <v>#DIV/0!</v>
      </c>
      <c r="AW1243" s="1099" t="e">
        <f t="shared" si="836"/>
        <v>#DIV/0!</v>
      </c>
      <c r="AX1243" s="1099" t="e">
        <f t="shared" si="836"/>
        <v>#DIV/0!</v>
      </c>
      <c r="AY1243" s="1099" t="e">
        <f t="shared" si="836"/>
        <v>#DIV/0!</v>
      </c>
      <c r="AZ1243" s="1091" t="s">
        <v>1012</v>
      </c>
      <c r="BA1243" s="1097" t="e">
        <f>IF(Table3[[#This Row],[max]]&lt;&gt;0,RANK(Table3[[#This Row],[max]],Table3[max],0),"")</f>
        <v>#DIV/0!</v>
      </c>
      <c r="BB1243" s="1096" t="e">
        <f t="shared" si="831"/>
        <v>#DIV/0!</v>
      </c>
      <c r="BC1243" s="1096" t="e">
        <f t="shared" ca="1" si="832"/>
        <v>#DIV/0!</v>
      </c>
      <c r="BD1243" s="1096" t="e">
        <f>IF(Table3[[#This Row],[max]]&gt;0,Table3[[#This Row],[Crop groups and examples of individual products within the groups to which the MRLs apply]],"")</f>
        <v>#DIV/0!</v>
      </c>
    </row>
    <row r="1244" spans="2:56" x14ac:dyDescent="0.2">
      <c r="B1244" s="23">
        <f t="shared" si="834"/>
        <v>140040</v>
      </c>
      <c r="C1244" s="23" t="str">
        <f t="shared" si="834"/>
        <v>Plums</v>
      </c>
      <c r="D1244" s="1084">
        <f>input_values!E44</f>
        <v>0</v>
      </c>
      <c r="E1244" s="1084">
        <f>input_values!F44</f>
        <v>0</v>
      </c>
      <c r="F1244" s="1085">
        <f>input_values!W44</f>
        <v>1</v>
      </c>
      <c r="G1244" s="1085" t="str">
        <f>IF(Table3[[#This Row],[CF]]&gt;0,CONCATENATE(IF(Table3[[#This Row],[LOQ]]="*","LOQ","MRL"),IF(input_values!G44&gt;0,"×CFrisk","")),"")</f>
        <v>MRL</v>
      </c>
      <c r="H1244" s="1087">
        <f>input_values!L44</f>
        <v>0</v>
      </c>
      <c r="I1244" s="1088">
        <f>input_values!D44</f>
        <v>0</v>
      </c>
      <c r="J1244" s="1098" t="e">
        <f>IF($D$1212="",0,$D1244*Table3[[#This Row],[CF]]*chronic_consumption!$E44/1000/$C$3)</f>
        <v>#DIV/0!</v>
      </c>
      <c r="K1244" s="1098" t="e">
        <f>IF($D$1212="",0,$D1244*Table3[[#This Row],[CF]]*chronic_consumption!$F44/1000/$C$3)</f>
        <v>#DIV/0!</v>
      </c>
      <c r="L1244" s="1098" t="e">
        <f>IF($D$1212="",0,$D1244*Table3[[#This Row],[CF]]*chronic_consumption!$G44/1000/$C$3)</f>
        <v>#DIV/0!</v>
      </c>
      <c r="M1244" s="1098" t="e">
        <f>IF($D$1212="",0,$D1244*Table3[[#This Row],[CF]]*chronic_consumption!$H44/1000/$C$3)</f>
        <v>#DIV/0!</v>
      </c>
      <c r="N1244" s="1098" t="e">
        <f>IF($D$1212="",0,$D1244*Table3[[#This Row],[CF]]*chronic_consumption!$I44/1000/$C$3)</f>
        <v>#DIV/0!</v>
      </c>
      <c r="O1244" s="1098" t="e">
        <f>IF($D$1212="",0,$D1244*Table3[[#This Row],[CF]]*chronic_consumption!$J44/1000/$C$3)</f>
        <v>#DIV/0!</v>
      </c>
      <c r="P1244" s="1098" t="e">
        <f>IF($D$1212="",0,$D1244*Table3[[#This Row],[CF]]*chronic_consumption!$K44/1000/$C$3)</f>
        <v>#DIV/0!</v>
      </c>
      <c r="Q1244" s="1098" t="e">
        <f>IF($D$1212="",0,$D1244*Table3[[#This Row],[CF]]*chronic_consumption!$L44/1000/$C$3)</f>
        <v>#DIV/0!</v>
      </c>
      <c r="R1244" s="1098" t="e">
        <f>IF($D$1212="",0,$D1244*Table3[[#This Row],[CF]]*chronic_consumption!$M44/1000/$C$3)</f>
        <v>#DIV/0!</v>
      </c>
      <c r="S1244" s="1098" t="e">
        <f>IF($D$1212="",0,$D1244*Table3[[#This Row],[CF]]*chronic_consumption!$N44/1000/$C$3)</f>
        <v>#DIV/0!</v>
      </c>
      <c r="T1244" s="1098" t="e">
        <f>IF($D$1212="",0,$D1244*Table3[[#This Row],[CF]]*chronic_consumption!$O44/1000/$C$3)</f>
        <v>#DIV/0!</v>
      </c>
      <c r="U1244" s="1098" t="e">
        <f>IF($D$1212="",0,$D1244*Table3[[#This Row],[CF]]*chronic_consumption!$P44/1000/$C$3)</f>
        <v>#DIV/0!</v>
      </c>
      <c r="V1244" s="1098" t="e">
        <f>IF($D$1212="",0,$D1244*Table3[[#This Row],[CF]]*chronic_consumption!$Q44/1000/$C$3)</f>
        <v>#DIV/0!</v>
      </c>
      <c r="W1244" s="1098" t="e">
        <f>IF($D$1212="",0,$D1244*Table3[[#This Row],[CF]]*chronic_consumption!$R44/1000/$C$3)</f>
        <v>#DIV/0!</v>
      </c>
      <c r="X1244" s="1098" t="e">
        <f>IF($D$1212="",0,$D1244*Table3[[#This Row],[CF]]*chronic_consumption!$S44/1000/$C$3)</f>
        <v>#DIV/0!</v>
      </c>
      <c r="Y1244" s="1098" t="e">
        <f>IF($D$1212="",0,$D1244*Table3[[#This Row],[CF]]*chronic_consumption!$T44/1000/$C$3)</f>
        <v>#DIV/0!</v>
      </c>
      <c r="Z1244" s="1098" t="e">
        <f>IF($D$1212="",0,$D1244*Table3[[#This Row],[CF]]*chronic_consumption!$U44/1000/$C$3)</f>
        <v>#DIV/0!</v>
      </c>
      <c r="AA1244" s="1098" t="e">
        <f>IF($D$1212="",0,$D1244*Table3[[#This Row],[CF]]*chronic_consumption!$V44/1000/$C$3)</f>
        <v>#DIV/0!</v>
      </c>
      <c r="AB1244" s="1098" t="e">
        <f>IF($D$1212="",0,$D1244*Table3[[#This Row],[CF]]*chronic_consumption!$W44/1000/$C$3)</f>
        <v>#DIV/0!</v>
      </c>
      <c r="AC1244" s="1098" t="e">
        <f>IF($D$1212="",0,$D1244*Table3[[#This Row],[CF]]*chronic_consumption!$X44/1000/$C$3)</f>
        <v>#DIV/0!</v>
      </c>
      <c r="AD1244" s="1098" t="e">
        <f>IF($D$1212="",0,$D1244*Table3[[#This Row],[CF]]*chronic_consumption!$Y44/1000/$C$3)</f>
        <v>#DIV/0!</v>
      </c>
      <c r="AE1244" s="1098" t="e">
        <f>IF($D$1212="",0,$D1244*Table3[[#This Row],[CF]]*chronic_consumption!$Z44/1000/$C$3)</f>
        <v>#DIV/0!</v>
      </c>
      <c r="AF1244" s="1098" t="e">
        <f>IF($D$1212="",0,$D1244*Table3[[#This Row],[CF]]*chronic_consumption!$AA44/1000/$C$3)</f>
        <v>#DIV/0!</v>
      </c>
      <c r="AG1244" s="1098" t="e">
        <f>IF($D$1212="",0,$D1244*Table3[[#This Row],[CF]]*chronic_consumption!$AB44/1000/$C$3)</f>
        <v>#DIV/0!</v>
      </c>
      <c r="AH1244" s="1098" t="e">
        <f>IF($D$1212="",0,$D1244*Table3[[#This Row],[CF]]*chronic_consumption!$AC44/1000/$C$3)</f>
        <v>#DIV/0!</v>
      </c>
      <c r="AI1244" s="1098" t="e">
        <f>IF($D$1212="",0,$D1244*Table3[[#This Row],[CF]]*chronic_consumption!$AD44/1000/$C$3)</f>
        <v>#DIV/0!</v>
      </c>
      <c r="AJ1244" s="1098" t="e">
        <f>IF($D$1212="",0,$D1244*Table3[[#This Row],[CF]]*chronic_consumption!$AE44/1000/$C$3)</f>
        <v>#DIV/0!</v>
      </c>
      <c r="AK1244" s="1098" t="e">
        <f>IF($D$1212="",0,$D1244*Table3[[#This Row],[CF]]*chronic_consumption!$AF44/1000/$C$3)</f>
        <v>#DIV/0!</v>
      </c>
      <c r="AL1244" s="1098" t="e">
        <f>IF($D$1212="",0,$D1244*Table3[[#This Row],[CF]]*chronic_consumption!$AG44/1000/$C$3)</f>
        <v>#DIV/0!</v>
      </c>
      <c r="AM1244" s="1098" t="e">
        <f>IF($D$1212="",0,$D1244*Table3[[#This Row],[CF]]*chronic_consumption!$AH44/1000/$C$3)</f>
        <v>#DIV/0!</v>
      </c>
      <c r="AN1244" s="1098" t="e">
        <f>IF($D$1212="",0,$D1244*Table3[[#This Row],[CF]]*chronic_consumption!$AI44/1000/$C$3)</f>
        <v>#DIV/0!</v>
      </c>
      <c r="AO1244" s="1098" t="e">
        <f>IF($D$1212="",0,$D1244*Table3[[#This Row],[CF]]*chronic_consumption!$AJ44/1000/$C$3)</f>
        <v>#DIV/0!</v>
      </c>
      <c r="AP1244" s="1098" t="e">
        <f>IF($D$1212="",0,$D1244*Table3[[#This Row],[CF]]*chronic_consumption!$AK44/1000/$C$3)</f>
        <v>#DIV/0!</v>
      </c>
      <c r="AQ1244" s="1098" t="e">
        <f>IF($D$1212="",0,$D1244*Table3[[#This Row],[CF]]*chronic_consumption!$AL44/1000/$C$3)</f>
        <v>#DIV/0!</v>
      </c>
      <c r="AR1244" s="1098" t="e">
        <f>IF($D$1212="",0,$D1244*Table3[[#This Row],[CF]]*chronic_consumption!$AM44/1000/$C$3)</f>
        <v>#DIV/0!</v>
      </c>
      <c r="AS1244" s="1098" t="e">
        <f>IF($D$1212="",0,$D1244*Table3[[#This Row],[CF]]*chronic_consumption!$AN44/1000/$C$3)</f>
        <v>#DIV/0!</v>
      </c>
      <c r="AT1244" s="1098" t="e">
        <f>IF($D$1212="",0,$D1244*Table3[[#This Row],[CF]]*chronic_consumption!$AO44/1000/$C$3)</f>
        <v>#DIV/0!</v>
      </c>
      <c r="AU1244" s="1099" t="e">
        <f t="shared" si="836"/>
        <v>#DIV/0!</v>
      </c>
      <c r="AV1244" s="1099" t="e">
        <f t="shared" si="836"/>
        <v>#DIV/0!</v>
      </c>
      <c r="AW1244" s="1099" t="e">
        <f t="shared" si="836"/>
        <v>#DIV/0!</v>
      </c>
      <c r="AX1244" s="1099" t="e">
        <f t="shared" si="836"/>
        <v>#DIV/0!</v>
      </c>
      <c r="AY1244" s="1099" t="e">
        <f t="shared" si="836"/>
        <v>#DIV/0!</v>
      </c>
      <c r="AZ1244" s="1091" t="s">
        <v>1012</v>
      </c>
      <c r="BA1244" s="1097" t="e">
        <f>IF(Table3[[#This Row],[max]]&lt;&gt;0,RANK(Table3[[#This Row],[max]],Table3[max],0),"")</f>
        <v>#DIV/0!</v>
      </c>
      <c r="BB1244" s="1096" t="e">
        <f t="shared" si="831"/>
        <v>#DIV/0!</v>
      </c>
      <c r="BC1244" s="1096" t="e">
        <f t="shared" ca="1" si="832"/>
        <v>#DIV/0!</v>
      </c>
      <c r="BD1244" s="1096" t="e">
        <f>IF(Table3[[#This Row],[max]]&gt;0,Table3[[#This Row],[Crop groups and examples of individual products within the groups to which the MRLs apply]],"")</f>
        <v>#DIV/0!</v>
      </c>
    </row>
    <row r="1245" spans="2:56" x14ac:dyDescent="0.2">
      <c r="B1245" s="23">
        <f t="shared" si="834"/>
        <v>140990</v>
      </c>
      <c r="C1245" s="23" t="str">
        <f t="shared" si="834"/>
        <v>Other stone fruit</v>
      </c>
      <c r="D1245" s="1084">
        <f>input_values!E45</f>
        <v>0</v>
      </c>
      <c r="E1245" s="1084">
        <f>input_values!F45</f>
        <v>0</v>
      </c>
      <c r="F1245" s="1085">
        <f>input_values!W45</f>
        <v>1</v>
      </c>
      <c r="G1245" s="1085" t="str">
        <f>IF(Table3[[#This Row],[CF]]&gt;0,CONCATENATE(IF(Table3[[#This Row],[LOQ]]="*","LOQ","MRL"),IF(input_values!G45&gt;0,"×CFrisk","")),"")</f>
        <v>MRL</v>
      </c>
      <c r="H1245" s="1087">
        <f>input_values!L45</f>
        <v>0</v>
      </c>
      <c r="I1245" s="1088">
        <f>input_values!D45</f>
        <v>0</v>
      </c>
      <c r="J1245" s="1098" t="e">
        <f>IF($D$1212="",0,$D1245*Table3[[#This Row],[CF]]*chronic_consumption!$E45/1000/$C$3)</f>
        <v>#DIV/0!</v>
      </c>
      <c r="K1245" s="1098" t="e">
        <f>IF($D$1212="",0,$D1245*Table3[[#This Row],[CF]]*chronic_consumption!$F45/1000/$C$3)</f>
        <v>#DIV/0!</v>
      </c>
      <c r="L1245" s="1098" t="e">
        <f>IF($D$1212="",0,$D1245*Table3[[#This Row],[CF]]*chronic_consumption!$G45/1000/$C$3)</f>
        <v>#DIV/0!</v>
      </c>
      <c r="M1245" s="1098" t="e">
        <f>IF($D$1212="",0,$D1245*Table3[[#This Row],[CF]]*chronic_consumption!$H45/1000/$C$3)</f>
        <v>#DIV/0!</v>
      </c>
      <c r="N1245" s="1098" t="e">
        <f>IF($D$1212="",0,$D1245*Table3[[#This Row],[CF]]*chronic_consumption!$I45/1000/$C$3)</f>
        <v>#DIV/0!</v>
      </c>
      <c r="O1245" s="1098" t="e">
        <f>IF($D$1212="",0,$D1245*Table3[[#This Row],[CF]]*chronic_consumption!$J45/1000/$C$3)</f>
        <v>#DIV/0!</v>
      </c>
      <c r="P1245" s="1098" t="e">
        <f>IF($D$1212="",0,$D1245*Table3[[#This Row],[CF]]*chronic_consumption!$K45/1000/$C$3)</f>
        <v>#DIV/0!</v>
      </c>
      <c r="Q1245" s="1098" t="e">
        <f>IF($D$1212="",0,$D1245*Table3[[#This Row],[CF]]*chronic_consumption!$L45/1000/$C$3)</f>
        <v>#DIV/0!</v>
      </c>
      <c r="R1245" s="1098" t="e">
        <f>IF($D$1212="",0,$D1245*Table3[[#This Row],[CF]]*chronic_consumption!$M45/1000/$C$3)</f>
        <v>#DIV/0!</v>
      </c>
      <c r="S1245" s="1098" t="e">
        <f>IF($D$1212="",0,$D1245*Table3[[#This Row],[CF]]*chronic_consumption!$N45/1000/$C$3)</f>
        <v>#DIV/0!</v>
      </c>
      <c r="T1245" s="1098" t="e">
        <f>IF($D$1212="",0,$D1245*Table3[[#This Row],[CF]]*chronic_consumption!$O45/1000/$C$3)</f>
        <v>#DIV/0!</v>
      </c>
      <c r="U1245" s="1098" t="e">
        <f>IF($D$1212="",0,$D1245*Table3[[#This Row],[CF]]*chronic_consumption!$P45/1000/$C$3)</f>
        <v>#DIV/0!</v>
      </c>
      <c r="V1245" s="1098" t="e">
        <f>IF($D$1212="",0,$D1245*Table3[[#This Row],[CF]]*chronic_consumption!$Q45/1000/$C$3)</f>
        <v>#DIV/0!</v>
      </c>
      <c r="W1245" s="1098" t="e">
        <f>IF($D$1212="",0,$D1245*Table3[[#This Row],[CF]]*chronic_consumption!$R45/1000/$C$3)</f>
        <v>#DIV/0!</v>
      </c>
      <c r="X1245" s="1098" t="e">
        <f>IF($D$1212="",0,$D1245*Table3[[#This Row],[CF]]*chronic_consumption!$S45/1000/$C$3)</f>
        <v>#DIV/0!</v>
      </c>
      <c r="Y1245" s="1098" t="e">
        <f>IF($D$1212="",0,$D1245*Table3[[#This Row],[CF]]*chronic_consumption!$T45/1000/$C$3)</f>
        <v>#DIV/0!</v>
      </c>
      <c r="Z1245" s="1098" t="e">
        <f>IF($D$1212="",0,$D1245*Table3[[#This Row],[CF]]*chronic_consumption!$U45/1000/$C$3)</f>
        <v>#DIV/0!</v>
      </c>
      <c r="AA1245" s="1098" t="e">
        <f>IF($D$1212="",0,$D1245*Table3[[#This Row],[CF]]*chronic_consumption!$V45/1000/$C$3)</f>
        <v>#DIV/0!</v>
      </c>
      <c r="AB1245" s="1098" t="e">
        <f>IF($D$1212="",0,$D1245*Table3[[#This Row],[CF]]*chronic_consumption!$W45/1000/$C$3)</f>
        <v>#DIV/0!</v>
      </c>
      <c r="AC1245" s="1098" t="e">
        <f>IF($D$1212="",0,$D1245*Table3[[#This Row],[CF]]*chronic_consumption!$X45/1000/$C$3)</f>
        <v>#DIV/0!</v>
      </c>
      <c r="AD1245" s="1098" t="e">
        <f>IF($D$1212="",0,$D1245*Table3[[#This Row],[CF]]*chronic_consumption!$Y45/1000/$C$3)</f>
        <v>#DIV/0!</v>
      </c>
      <c r="AE1245" s="1098" t="e">
        <f>IF($D$1212="",0,$D1245*Table3[[#This Row],[CF]]*chronic_consumption!$Z45/1000/$C$3)</f>
        <v>#DIV/0!</v>
      </c>
      <c r="AF1245" s="1098" t="e">
        <f>IF($D$1212="",0,$D1245*Table3[[#This Row],[CF]]*chronic_consumption!$AA45/1000/$C$3)</f>
        <v>#DIV/0!</v>
      </c>
      <c r="AG1245" s="1098" t="e">
        <f>IF($D$1212="",0,$D1245*Table3[[#This Row],[CF]]*chronic_consumption!$AB45/1000/$C$3)</f>
        <v>#DIV/0!</v>
      </c>
      <c r="AH1245" s="1098" t="e">
        <f>IF($D$1212="",0,$D1245*Table3[[#This Row],[CF]]*chronic_consumption!$AC45/1000/$C$3)</f>
        <v>#DIV/0!</v>
      </c>
      <c r="AI1245" s="1098" t="e">
        <f>IF($D$1212="",0,$D1245*Table3[[#This Row],[CF]]*chronic_consumption!$AD45/1000/$C$3)</f>
        <v>#DIV/0!</v>
      </c>
      <c r="AJ1245" s="1098" t="e">
        <f>IF($D$1212="",0,$D1245*Table3[[#This Row],[CF]]*chronic_consumption!$AE45/1000/$C$3)</f>
        <v>#DIV/0!</v>
      </c>
      <c r="AK1245" s="1098" t="e">
        <f>IF($D$1212="",0,$D1245*Table3[[#This Row],[CF]]*chronic_consumption!$AF45/1000/$C$3)</f>
        <v>#DIV/0!</v>
      </c>
      <c r="AL1245" s="1098" t="e">
        <f>IF($D$1212="",0,$D1245*Table3[[#This Row],[CF]]*chronic_consumption!$AG45/1000/$C$3)</f>
        <v>#DIV/0!</v>
      </c>
      <c r="AM1245" s="1098" t="e">
        <f>IF($D$1212="",0,$D1245*Table3[[#This Row],[CF]]*chronic_consumption!$AH45/1000/$C$3)</f>
        <v>#DIV/0!</v>
      </c>
      <c r="AN1245" s="1098" t="e">
        <f>IF($D$1212="",0,$D1245*Table3[[#This Row],[CF]]*chronic_consumption!$AI45/1000/$C$3)</f>
        <v>#DIV/0!</v>
      </c>
      <c r="AO1245" s="1098" t="e">
        <f>IF($D$1212="",0,$D1245*Table3[[#This Row],[CF]]*chronic_consumption!$AJ45/1000/$C$3)</f>
        <v>#DIV/0!</v>
      </c>
      <c r="AP1245" s="1098" t="e">
        <f>IF($D$1212="",0,$D1245*Table3[[#This Row],[CF]]*chronic_consumption!$AK45/1000/$C$3)</f>
        <v>#DIV/0!</v>
      </c>
      <c r="AQ1245" s="1098" t="e">
        <f>IF($D$1212="",0,$D1245*Table3[[#This Row],[CF]]*chronic_consumption!$AL45/1000/$C$3)</f>
        <v>#DIV/0!</v>
      </c>
      <c r="AR1245" s="1098" t="e">
        <f>IF($D$1212="",0,$D1245*Table3[[#This Row],[CF]]*chronic_consumption!$AM45/1000/$C$3)</f>
        <v>#DIV/0!</v>
      </c>
      <c r="AS1245" s="1098" t="e">
        <f>IF($D$1212="",0,$D1245*Table3[[#This Row],[CF]]*chronic_consumption!$AN45/1000/$C$3)</f>
        <v>#DIV/0!</v>
      </c>
      <c r="AT1245" s="1098" t="e">
        <f>IF($D$1212="",0,$D1245*Table3[[#This Row],[CF]]*chronic_consumption!$AO45/1000/$C$3)</f>
        <v>#DIV/0!</v>
      </c>
      <c r="AU1245" s="1099" t="e">
        <f t="shared" si="836"/>
        <v>#DIV/0!</v>
      </c>
      <c r="AV1245" s="1099" t="e">
        <f t="shared" si="836"/>
        <v>#DIV/0!</v>
      </c>
      <c r="AW1245" s="1099" t="e">
        <f t="shared" si="836"/>
        <v>#DIV/0!</v>
      </c>
      <c r="AX1245" s="1099" t="e">
        <f t="shared" si="836"/>
        <v>#DIV/0!</v>
      </c>
      <c r="AY1245" s="1099" t="e">
        <f t="shared" si="836"/>
        <v>#DIV/0!</v>
      </c>
      <c r="AZ1245" s="1091" t="s">
        <v>1012</v>
      </c>
      <c r="BA1245" s="1097" t="e">
        <f>IF(Table3[[#This Row],[max]]&lt;&gt;0,RANK(Table3[[#This Row],[max]],Table3[max],0),"")</f>
        <v>#DIV/0!</v>
      </c>
      <c r="BB1245" s="1096" t="e">
        <f t="shared" si="831"/>
        <v>#DIV/0!</v>
      </c>
      <c r="BC1245" s="1096" t="e">
        <f t="shared" ca="1" si="832"/>
        <v>#DIV/0!</v>
      </c>
      <c r="BD1245" s="1096" t="e">
        <f>IF(Table3[[#This Row],[max]]&gt;0,Table3[[#This Row],[Crop groups and examples of individual products within the groups to which the MRLs apply]],"")</f>
        <v>#DIV/0!</v>
      </c>
    </row>
    <row r="1246" spans="2:56" x14ac:dyDescent="0.2">
      <c r="B1246" s="131">
        <f t="shared" si="834"/>
        <v>150000</v>
      </c>
      <c r="C1246" s="131" t="str">
        <f t="shared" si="834"/>
        <v>Berries &amp; small fruit</v>
      </c>
      <c r="D1246" s="1084">
        <f>input_values!E46</f>
        <v>0</v>
      </c>
      <c r="E1246" s="1084">
        <f>input_values!F46</f>
        <v>0</v>
      </c>
      <c r="F1246" s="1085">
        <f>input_values!W46</f>
        <v>0</v>
      </c>
      <c r="G1246" s="1085" t="str">
        <f>IF(Table3[[#This Row],[CF]]&gt;0,CONCATENATE(IF(Table3[[#This Row],[LOQ]]="*","LOQ","MRL"),IF(input_values!G46&gt;0,"×CFrisk","")),"")</f>
        <v/>
      </c>
      <c r="H1246" s="1087">
        <f>input_values!L46</f>
        <v>0</v>
      </c>
      <c r="I1246" s="1088">
        <f>input_values!D46</f>
        <v>0</v>
      </c>
      <c r="J1246" s="1095" t="e">
        <f>IF($D$1212="",0,$D1246*Table3[[#This Row],[CF]]*chronic_consumption!$E46/1000/$C$3)</f>
        <v>#DIV/0!</v>
      </c>
      <c r="K1246" s="1095" t="e">
        <f>IF($D$1212="",0,$D1246*Table3[[#This Row],[CF]]*chronic_consumption!$F46/1000/$C$3)</f>
        <v>#DIV/0!</v>
      </c>
      <c r="L1246" s="1095" t="e">
        <f>IF($D$1212="",0,$D1246*Table3[[#This Row],[CF]]*chronic_consumption!$G46/1000/$C$3)</f>
        <v>#DIV/0!</v>
      </c>
      <c r="M1246" s="1095" t="e">
        <f>IF($D$1212="",0,$D1246*Table3[[#This Row],[CF]]*chronic_consumption!$H46/1000/$C$3)</f>
        <v>#DIV/0!</v>
      </c>
      <c r="N1246" s="1095" t="e">
        <f>IF($D$1212="",0,$D1246*Table3[[#This Row],[CF]]*chronic_consumption!$I46/1000/$C$3)</f>
        <v>#DIV/0!</v>
      </c>
      <c r="O1246" s="1095" t="e">
        <f>IF($D$1212="",0,$D1246*Table3[[#This Row],[CF]]*chronic_consumption!$J46/1000/$C$3)</f>
        <v>#DIV/0!</v>
      </c>
      <c r="P1246" s="1095" t="e">
        <f>IF($D$1212="",0,$D1246*Table3[[#This Row],[CF]]*chronic_consumption!$K46/1000/$C$3)</f>
        <v>#DIV/0!</v>
      </c>
      <c r="Q1246" s="1095" t="e">
        <f>IF($D$1212="",0,$D1246*Table3[[#This Row],[CF]]*chronic_consumption!$L46/1000/$C$3)</f>
        <v>#DIV/0!</v>
      </c>
      <c r="R1246" s="1095" t="e">
        <f>IF($D$1212="",0,$D1246*Table3[[#This Row],[CF]]*chronic_consumption!$M46/1000/$C$3)</f>
        <v>#DIV/0!</v>
      </c>
      <c r="S1246" s="1095" t="e">
        <f>IF($D$1212="",0,$D1246*Table3[[#This Row],[CF]]*chronic_consumption!$N46/1000/$C$3)</f>
        <v>#DIV/0!</v>
      </c>
      <c r="T1246" s="1095" t="e">
        <f>IF($D$1212="",0,$D1246*Table3[[#This Row],[CF]]*chronic_consumption!$O46/1000/$C$3)</f>
        <v>#DIV/0!</v>
      </c>
      <c r="U1246" s="1095" t="e">
        <f>IF($D$1212="",0,$D1246*Table3[[#This Row],[CF]]*chronic_consumption!$P46/1000/$C$3)</f>
        <v>#DIV/0!</v>
      </c>
      <c r="V1246" s="1095" t="e">
        <f>IF($D$1212="",0,$D1246*Table3[[#This Row],[CF]]*chronic_consumption!$Q46/1000/$C$3)</f>
        <v>#DIV/0!</v>
      </c>
      <c r="W1246" s="1095" t="e">
        <f>IF($D$1212="",0,$D1246*Table3[[#This Row],[CF]]*chronic_consumption!$R46/1000/$C$3)</f>
        <v>#DIV/0!</v>
      </c>
      <c r="X1246" s="1095" t="e">
        <f>IF($D$1212="",0,$D1246*Table3[[#This Row],[CF]]*chronic_consumption!$S46/1000/$C$3)</f>
        <v>#DIV/0!</v>
      </c>
      <c r="Y1246" s="1095" t="e">
        <f>IF($D$1212="",0,$D1246*Table3[[#This Row],[CF]]*chronic_consumption!$T46/1000/$C$3)</f>
        <v>#DIV/0!</v>
      </c>
      <c r="Z1246" s="1095" t="e">
        <f>IF($D$1212="",0,$D1246*Table3[[#This Row],[CF]]*chronic_consumption!$U46/1000/$C$3)</f>
        <v>#DIV/0!</v>
      </c>
      <c r="AA1246" s="1095" t="e">
        <f>IF($D$1212="",0,$D1246*Table3[[#This Row],[CF]]*chronic_consumption!$V46/1000/$C$3)</f>
        <v>#DIV/0!</v>
      </c>
      <c r="AB1246" s="1095" t="e">
        <f>IF($D$1212="",0,$D1246*Table3[[#This Row],[CF]]*chronic_consumption!$W46/1000/$C$3)</f>
        <v>#DIV/0!</v>
      </c>
      <c r="AC1246" s="1095" t="e">
        <f>IF($D$1212="",0,$D1246*Table3[[#This Row],[CF]]*chronic_consumption!$X46/1000/$C$3)</f>
        <v>#DIV/0!</v>
      </c>
      <c r="AD1246" s="1095" t="e">
        <f>IF($D$1212="",0,$D1246*Table3[[#This Row],[CF]]*chronic_consumption!$Y46/1000/$C$3)</f>
        <v>#DIV/0!</v>
      </c>
      <c r="AE1246" s="1095" t="e">
        <f>IF($D$1212="",0,$D1246*Table3[[#This Row],[CF]]*chronic_consumption!$Z46/1000/$C$3)</f>
        <v>#DIV/0!</v>
      </c>
      <c r="AF1246" s="1095" t="e">
        <f>IF($D$1212="",0,$D1246*Table3[[#This Row],[CF]]*chronic_consumption!$AA46/1000/$C$3)</f>
        <v>#DIV/0!</v>
      </c>
      <c r="AG1246" s="1095" t="e">
        <f>IF($D$1212="",0,$D1246*Table3[[#This Row],[CF]]*chronic_consumption!$AB46/1000/$C$3)</f>
        <v>#DIV/0!</v>
      </c>
      <c r="AH1246" s="1095" t="e">
        <f>IF($D$1212="",0,$D1246*Table3[[#This Row],[CF]]*chronic_consumption!$AC46/1000/$C$3)</f>
        <v>#DIV/0!</v>
      </c>
      <c r="AI1246" s="1095" t="e">
        <f>IF($D$1212="",0,$D1246*Table3[[#This Row],[CF]]*chronic_consumption!$AD46/1000/$C$3)</f>
        <v>#DIV/0!</v>
      </c>
      <c r="AJ1246" s="1095" t="e">
        <f>IF($D$1212="",0,$D1246*Table3[[#This Row],[CF]]*chronic_consumption!$AE46/1000/$C$3)</f>
        <v>#DIV/0!</v>
      </c>
      <c r="AK1246" s="1095" t="e">
        <f>IF($D$1212="",0,$D1246*Table3[[#This Row],[CF]]*chronic_consumption!$AF46/1000/$C$3)</f>
        <v>#DIV/0!</v>
      </c>
      <c r="AL1246" s="1095" t="e">
        <f>IF($D$1212="",0,$D1246*Table3[[#This Row],[CF]]*chronic_consumption!$AG46/1000/$C$3)</f>
        <v>#DIV/0!</v>
      </c>
      <c r="AM1246" s="1095" t="e">
        <f>IF($D$1212="",0,$D1246*Table3[[#This Row],[CF]]*chronic_consumption!$AH46/1000/$C$3)</f>
        <v>#DIV/0!</v>
      </c>
      <c r="AN1246" s="1095" t="e">
        <f>IF($D$1212="",0,$D1246*Table3[[#This Row],[CF]]*chronic_consumption!$AI46/1000/$C$3)</f>
        <v>#DIV/0!</v>
      </c>
      <c r="AO1246" s="1095" t="e">
        <f>IF($D$1212="",0,$D1246*Table3[[#This Row],[CF]]*chronic_consumption!$AJ46/1000/$C$3)</f>
        <v>#DIV/0!</v>
      </c>
      <c r="AP1246" s="1095" t="e">
        <f>IF($D$1212="",0,$D1246*Table3[[#This Row],[CF]]*chronic_consumption!$AK46/1000/$C$3)</f>
        <v>#DIV/0!</v>
      </c>
      <c r="AQ1246" s="1095" t="e">
        <f>IF($D$1212="",0,$D1246*Table3[[#This Row],[CF]]*chronic_consumption!$AL46/1000/$C$3)</f>
        <v>#DIV/0!</v>
      </c>
      <c r="AR1246" s="1095" t="e">
        <f>IF($D$1212="",0,$D1246*Table3[[#This Row],[CF]]*chronic_consumption!$AM46/1000/$C$3)</f>
        <v>#DIV/0!</v>
      </c>
      <c r="AS1246" s="1095" t="e">
        <f>IF($D$1212="",0,$D1246*Table3[[#This Row],[CF]]*chronic_consumption!$AN46/1000/$C$3)</f>
        <v>#DIV/0!</v>
      </c>
      <c r="AT1246" s="1095" t="e">
        <f>IF($D$1212="",0,$D1246*Table3[[#This Row],[CF]]*chronic_consumption!$AO46/1000/$C$3)</f>
        <v>#DIV/0!</v>
      </c>
      <c r="AU1246" s="1096" t="e">
        <f t="shared" si="836"/>
        <v>#DIV/0!</v>
      </c>
      <c r="AV1246" s="1096" t="e">
        <f t="shared" si="836"/>
        <v>#DIV/0!</v>
      </c>
      <c r="AW1246" s="1096" t="e">
        <f t="shared" si="836"/>
        <v>#DIV/0!</v>
      </c>
      <c r="AX1246" s="1096" t="e">
        <f t="shared" si="836"/>
        <v>#DIV/0!</v>
      </c>
      <c r="AY1246" s="1096" t="e">
        <f t="shared" si="836"/>
        <v>#DIV/0!</v>
      </c>
      <c r="AZ1246" s="1091" t="s">
        <v>1012</v>
      </c>
      <c r="BA1246" s="1097" t="e">
        <f>IF(Table3[[#This Row],[max]]&lt;&gt;0,RANK(Table3[[#This Row],[max]],Table3[max],0),"")</f>
        <v>#DIV/0!</v>
      </c>
      <c r="BB1246" s="1096" t="e">
        <f t="shared" si="831"/>
        <v>#DIV/0!</v>
      </c>
      <c r="BC1246" s="1096" t="e">
        <f t="shared" ca="1" si="832"/>
        <v>#DIV/0!</v>
      </c>
      <c r="BD1246" s="1096" t="e">
        <f>IF(Table3[[#This Row],[max]]&gt;0,Table3[[#This Row],[Crop groups and examples of individual products within the groups to which the MRLs apply]],"")</f>
        <v>#DIV/0!</v>
      </c>
    </row>
    <row r="1247" spans="2:56" x14ac:dyDescent="0.2">
      <c r="B1247" s="3">
        <f t="shared" si="834"/>
        <v>151000</v>
      </c>
      <c r="C1247" s="3" t="str">
        <f t="shared" si="834"/>
        <v xml:space="preserve">Table and wine grapes </v>
      </c>
      <c r="D1247" s="1084">
        <f>input_values!E47</f>
        <v>0</v>
      </c>
      <c r="E1247" s="1084">
        <f>input_values!F47</f>
        <v>0</v>
      </c>
      <c r="F1247" s="1085">
        <f>input_values!W47</f>
        <v>0</v>
      </c>
      <c r="G1247" s="1085" t="str">
        <f>IF(Table3[[#This Row],[CF]]&gt;0,CONCATENATE(IF(Table3[[#This Row],[LOQ]]="*","LOQ","MRL"),IF(input_values!G47&gt;0,"×CFrisk","")),"")</f>
        <v/>
      </c>
      <c r="H1247" s="1087">
        <f>input_values!L47</f>
        <v>0</v>
      </c>
      <c r="I1247" s="1088">
        <f>input_values!D47</f>
        <v>0</v>
      </c>
      <c r="J1247" s="1100" t="e">
        <f>IF($D$1212="",0,$D1247*Table3[[#This Row],[CF]]*chronic_consumption!$E47/1000/$C$3)</f>
        <v>#DIV/0!</v>
      </c>
      <c r="K1247" s="1100" t="e">
        <f>IF($D$1212="",0,$D1247*Table3[[#This Row],[CF]]*chronic_consumption!$F47/1000/$C$3)</f>
        <v>#DIV/0!</v>
      </c>
      <c r="L1247" s="1100" t="e">
        <f>IF($D$1212="",0,$D1247*Table3[[#This Row],[CF]]*chronic_consumption!$G47/1000/$C$3)</f>
        <v>#DIV/0!</v>
      </c>
      <c r="M1247" s="1100" t="e">
        <f>IF($D$1212="",0,$D1247*Table3[[#This Row],[CF]]*chronic_consumption!$H47/1000/$C$3)</f>
        <v>#DIV/0!</v>
      </c>
      <c r="N1247" s="1100" t="e">
        <f>IF($D$1212="",0,$D1247*Table3[[#This Row],[CF]]*chronic_consumption!$I47/1000/$C$3)</f>
        <v>#DIV/0!</v>
      </c>
      <c r="O1247" s="1100" t="e">
        <f>IF($D$1212="",0,$D1247*Table3[[#This Row],[CF]]*chronic_consumption!$J47/1000/$C$3)</f>
        <v>#DIV/0!</v>
      </c>
      <c r="P1247" s="1100" t="e">
        <f>IF($D$1212="",0,$D1247*Table3[[#This Row],[CF]]*chronic_consumption!$K47/1000/$C$3)</f>
        <v>#DIV/0!</v>
      </c>
      <c r="Q1247" s="1100" t="e">
        <f>IF($D$1212="",0,$D1247*Table3[[#This Row],[CF]]*chronic_consumption!$L47/1000/$C$3)</f>
        <v>#DIV/0!</v>
      </c>
      <c r="R1247" s="1100" t="e">
        <f>IF($D$1212="",0,$D1247*Table3[[#This Row],[CF]]*chronic_consumption!$M47/1000/$C$3)</f>
        <v>#DIV/0!</v>
      </c>
      <c r="S1247" s="1100" t="e">
        <f>IF($D$1212="",0,$D1247*Table3[[#This Row],[CF]]*chronic_consumption!$N47/1000/$C$3)</f>
        <v>#DIV/0!</v>
      </c>
      <c r="T1247" s="1100" t="e">
        <f>IF($D$1212="",0,$D1247*Table3[[#This Row],[CF]]*chronic_consumption!$O47/1000/$C$3)</f>
        <v>#DIV/0!</v>
      </c>
      <c r="U1247" s="1100" t="e">
        <f>IF($D$1212="",0,$D1247*Table3[[#This Row],[CF]]*chronic_consumption!$P47/1000/$C$3)</f>
        <v>#DIV/0!</v>
      </c>
      <c r="V1247" s="1100" t="e">
        <f>IF($D$1212="",0,$D1247*Table3[[#This Row],[CF]]*chronic_consumption!$Q47/1000/$C$3)</f>
        <v>#DIV/0!</v>
      </c>
      <c r="W1247" s="1100" t="e">
        <f>IF($D$1212="",0,$D1247*Table3[[#This Row],[CF]]*chronic_consumption!$R47/1000/$C$3)</f>
        <v>#DIV/0!</v>
      </c>
      <c r="X1247" s="1100" t="e">
        <f>IF($D$1212="",0,$D1247*Table3[[#This Row],[CF]]*chronic_consumption!$S47/1000/$C$3)</f>
        <v>#DIV/0!</v>
      </c>
      <c r="Y1247" s="1100" t="e">
        <f>IF($D$1212="",0,$D1247*Table3[[#This Row],[CF]]*chronic_consumption!$T47/1000/$C$3)</f>
        <v>#DIV/0!</v>
      </c>
      <c r="Z1247" s="1100" t="e">
        <f>IF($D$1212="",0,$D1247*Table3[[#This Row],[CF]]*chronic_consumption!$U47/1000/$C$3)</f>
        <v>#DIV/0!</v>
      </c>
      <c r="AA1247" s="1100" t="e">
        <f>IF($D$1212="",0,$D1247*Table3[[#This Row],[CF]]*chronic_consumption!$V47/1000/$C$3)</f>
        <v>#DIV/0!</v>
      </c>
      <c r="AB1247" s="1100" t="e">
        <f>IF($D$1212="",0,$D1247*Table3[[#This Row],[CF]]*chronic_consumption!$W47/1000/$C$3)</f>
        <v>#DIV/0!</v>
      </c>
      <c r="AC1247" s="1100" t="e">
        <f>IF($D$1212="",0,$D1247*Table3[[#This Row],[CF]]*chronic_consumption!$X47/1000/$C$3)</f>
        <v>#DIV/0!</v>
      </c>
      <c r="AD1247" s="1100" t="e">
        <f>IF($D$1212="",0,$D1247*Table3[[#This Row],[CF]]*chronic_consumption!$Y47/1000/$C$3)</f>
        <v>#DIV/0!</v>
      </c>
      <c r="AE1247" s="1100" t="e">
        <f>IF($D$1212="",0,$D1247*Table3[[#This Row],[CF]]*chronic_consumption!$Z47/1000/$C$3)</f>
        <v>#DIV/0!</v>
      </c>
      <c r="AF1247" s="1100" t="e">
        <f>IF($D$1212="",0,$D1247*Table3[[#This Row],[CF]]*chronic_consumption!$AA47/1000/$C$3)</f>
        <v>#DIV/0!</v>
      </c>
      <c r="AG1247" s="1100" t="e">
        <f>IF($D$1212="",0,$D1247*Table3[[#This Row],[CF]]*chronic_consumption!$AB47/1000/$C$3)</f>
        <v>#DIV/0!</v>
      </c>
      <c r="AH1247" s="1100" t="e">
        <f>IF($D$1212="",0,$D1247*Table3[[#This Row],[CF]]*chronic_consumption!$AC47/1000/$C$3)</f>
        <v>#DIV/0!</v>
      </c>
      <c r="AI1247" s="1100" t="e">
        <f>IF($D$1212="",0,$D1247*Table3[[#This Row],[CF]]*chronic_consumption!$AD47/1000/$C$3)</f>
        <v>#DIV/0!</v>
      </c>
      <c r="AJ1247" s="1100" t="e">
        <f>IF($D$1212="",0,$D1247*Table3[[#This Row],[CF]]*chronic_consumption!$AE47/1000/$C$3)</f>
        <v>#DIV/0!</v>
      </c>
      <c r="AK1247" s="1100" t="e">
        <f>IF($D$1212="",0,$D1247*Table3[[#This Row],[CF]]*chronic_consumption!$AF47/1000/$C$3)</f>
        <v>#DIV/0!</v>
      </c>
      <c r="AL1247" s="1100" t="e">
        <f>IF($D$1212="",0,$D1247*Table3[[#This Row],[CF]]*chronic_consumption!$AG47/1000/$C$3)</f>
        <v>#DIV/0!</v>
      </c>
      <c r="AM1247" s="1100" t="e">
        <f>IF($D$1212="",0,$D1247*Table3[[#This Row],[CF]]*chronic_consumption!$AH47/1000/$C$3)</f>
        <v>#DIV/0!</v>
      </c>
      <c r="AN1247" s="1100" t="e">
        <f>IF($D$1212="",0,$D1247*Table3[[#This Row],[CF]]*chronic_consumption!$AI47/1000/$C$3)</f>
        <v>#DIV/0!</v>
      </c>
      <c r="AO1247" s="1100" t="e">
        <f>IF($D$1212="",0,$D1247*Table3[[#This Row],[CF]]*chronic_consumption!$AJ47/1000/$C$3)</f>
        <v>#DIV/0!</v>
      </c>
      <c r="AP1247" s="1100" t="e">
        <f>IF($D$1212="",0,$D1247*Table3[[#This Row],[CF]]*chronic_consumption!$AK47/1000/$C$3)</f>
        <v>#DIV/0!</v>
      </c>
      <c r="AQ1247" s="1100" t="e">
        <f>IF($D$1212="",0,$D1247*Table3[[#This Row],[CF]]*chronic_consumption!$AL47/1000/$C$3)</f>
        <v>#DIV/0!</v>
      </c>
      <c r="AR1247" s="1100" t="e">
        <f>IF($D$1212="",0,$D1247*Table3[[#This Row],[CF]]*chronic_consumption!$AM47/1000/$C$3)</f>
        <v>#DIV/0!</v>
      </c>
      <c r="AS1247" s="1100" t="e">
        <f>IF($D$1212="",0,$D1247*Table3[[#This Row],[CF]]*chronic_consumption!$AN47/1000/$C$3)</f>
        <v>#DIV/0!</v>
      </c>
      <c r="AT1247" s="1100" t="e">
        <f>IF($D$1212="",0,$D1247*Table3[[#This Row],[CF]]*chronic_consumption!$AO47/1000/$C$3)</f>
        <v>#DIV/0!</v>
      </c>
      <c r="AU1247" s="1101" t="e">
        <f t="shared" si="836"/>
        <v>#DIV/0!</v>
      </c>
      <c r="AV1247" s="1101" t="e">
        <f t="shared" si="836"/>
        <v>#DIV/0!</v>
      </c>
      <c r="AW1247" s="1101" t="e">
        <f t="shared" si="836"/>
        <v>#DIV/0!</v>
      </c>
      <c r="AX1247" s="1101" t="e">
        <f t="shared" si="836"/>
        <v>#DIV/0!</v>
      </c>
      <c r="AY1247" s="1101" t="e">
        <f t="shared" si="836"/>
        <v>#DIV/0!</v>
      </c>
      <c r="AZ1247" s="1091" t="s">
        <v>1012</v>
      </c>
      <c r="BA1247" s="1097" t="e">
        <f>IF(Table3[[#This Row],[max]]&lt;&gt;0,RANK(Table3[[#This Row],[max]],Table3[max],0),"")</f>
        <v>#DIV/0!</v>
      </c>
      <c r="BB1247" s="1096" t="e">
        <f t="shared" si="831"/>
        <v>#DIV/0!</v>
      </c>
      <c r="BC1247" s="1096" t="e">
        <f t="shared" ca="1" si="832"/>
        <v>#DIV/0!</v>
      </c>
      <c r="BD1247" s="1096" t="e">
        <f>IF(Table3[[#This Row],[max]]&gt;0,Table3[[#This Row],[Crop groups and examples of individual products within the groups to which the MRLs apply]],"")</f>
        <v>#DIV/0!</v>
      </c>
    </row>
    <row r="1248" spans="2:56" x14ac:dyDescent="0.2">
      <c r="B1248" s="23">
        <f t="shared" si="834"/>
        <v>151010</v>
      </c>
      <c r="C1248" s="23" t="str">
        <f t="shared" si="834"/>
        <v>Table grapes</v>
      </c>
      <c r="D1248" s="1084">
        <f>input_values!E48</f>
        <v>0</v>
      </c>
      <c r="E1248" s="1084">
        <f>input_values!F48</f>
        <v>0</v>
      </c>
      <c r="F1248" s="1085">
        <f>input_values!W48</f>
        <v>1</v>
      </c>
      <c r="G1248" s="1085" t="str">
        <f>IF(Table3[[#This Row],[CF]]&gt;0,CONCATENATE(IF(Table3[[#This Row],[LOQ]]="*","LOQ","MRL"),IF(input_values!G48&gt;0,"×CFrisk","")),"")</f>
        <v>MRL</v>
      </c>
      <c r="H1248" s="1087">
        <f>input_values!L48</f>
        <v>0</v>
      </c>
      <c r="I1248" s="1088">
        <f>input_values!D48</f>
        <v>0</v>
      </c>
      <c r="J1248" s="1098" t="e">
        <f>IF($D$1212="",0,$D1248*Table3[[#This Row],[CF]]*chronic_consumption!$E48/1000/$C$3)</f>
        <v>#DIV/0!</v>
      </c>
      <c r="K1248" s="1098" t="e">
        <f>IF($D$1212="",0,$D1248*Table3[[#This Row],[CF]]*chronic_consumption!$F48/1000/$C$3)</f>
        <v>#DIV/0!</v>
      </c>
      <c r="L1248" s="1098" t="e">
        <f>IF($D$1212="",0,$D1248*Table3[[#This Row],[CF]]*chronic_consumption!$G48/1000/$C$3)</f>
        <v>#DIV/0!</v>
      </c>
      <c r="M1248" s="1098" t="e">
        <f>IF($D$1212="",0,$D1248*Table3[[#This Row],[CF]]*chronic_consumption!$H48/1000/$C$3)</f>
        <v>#DIV/0!</v>
      </c>
      <c r="N1248" s="1098" t="e">
        <f>IF($D$1212="",0,$D1248*Table3[[#This Row],[CF]]*chronic_consumption!$I48/1000/$C$3)</f>
        <v>#DIV/0!</v>
      </c>
      <c r="O1248" s="1098" t="e">
        <f>IF($D$1212="",0,$D1248*Table3[[#This Row],[CF]]*chronic_consumption!$J48/1000/$C$3)</f>
        <v>#DIV/0!</v>
      </c>
      <c r="P1248" s="1098" t="e">
        <f>IF($D$1212="",0,$D1248*Table3[[#This Row],[CF]]*chronic_consumption!$K48/1000/$C$3)</f>
        <v>#DIV/0!</v>
      </c>
      <c r="Q1248" s="1098" t="e">
        <f>IF($D$1212="",0,$D1248*Table3[[#This Row],[CF]]*chronic_consumption!$L48/1000/$C$3)</f>
        <v>#DIV/0!</v>
      </c>
      <c r="R1248" s="1098" t="e">
        <f>IF($D$1212="",0,$D1248*Table3[[#This Row],[CF]]*chronic_consumption!$M48/1000/$C$3)</f>
        <v>#DIV/0!</v>
      </c>
      <c r="S1248" s="1098" t="e">
        <f>IF($D$1212="",0,$D1248*Table3[[#This Row],[CF]]*chronic_consumption!$N48/1000/$C$3)</f>
        <v>#DIV/0!</v>
      </c>
      <c r="T1248" s="1098" t="e">
        <f>IF($D$1212="",0,$D1248*Table3[[#This Row],[CF]]*chronic_consumption!$O48/1000/$C$3)</f>
        <v>#DIV/0!</v>
      </c>
      <c r="U1248" s="1098" t="e">
        <f>IF($D$1212="",0,$D1248*Table3[[#This Row],[CF]]*chronic_consumption!$P48/1000/$C$3)</f>
        <v>#DIV/0!</v>
      </c>
      <c r="V1248" s="1098" t="e">
        <f>IF($D$1212="",0,$D1248*Table3[[#This Row],[CF]]*chronic_consumption!$Q48/1000/$C$3)</f>
        <v>#DIV/0!</v>
      </c>
      <c r="W1248" s="1098" t="e">
        <f>IF($D$1212="",0,$D1248*Table3[[#This Row],[CF]]*chronic_consumption!$R48/1000/$C$3)</f>
        <v>#DIV/0!</v>
      </c>
      <c r="X1248" s="1098" t="e">
        <f>IF($D$1212="",0,$D1248*Table3[[#This Row],[CF]]*chronic_consumption!$S48/1000/$C$3)</f>
        <v>#DIV/0!</v>
      </c>
      <c r="Y1248" s="1098" t="e">
        <f>IF($D$1212="",0,$D1248*Table3[[#This Row],[CF]]*chronic_consumption!$T48/1000/$C$3)</f>
        <v>#DIV/0!</v>
      </c>
      <c r="Z1248" s="1098" t="e">
        <f>IF($D$1212="",0,$D1248*Table3[[#This Row],[CF]]*chronic_consumption!$U48/1000/$C$3)</f>
        <v>#DIV/0!</v>
      </c>
      <c r="AA1248" s="1098" t="e">
        <f>IF($D$1212="",0,$D1248*Table3[[#This Row],[CF]]*chronic_consumption!$V48/1000/$C$3)</f>
        <v>#DIV/0!</v>
      </c>
      <c r="AB1248" s="1098" t="e">
        <f>IF($D$1212="",0,$D1248*Table3[[#This Row],[CF]]*chronic_consumption!$W48/1000/$C$3)</f>
        <v>#DIV/0!</v>
      </c>
      <c r="AC1248" s="1098" t="e">
        <f>IF($D$1212="",0,$D1248*Table3[[#This Row],[CF]]*chronic_consumption!$X48/1000/$C$3)</f>
        <v>#DIV/0!</v>
      </c>
      <c r="AD1248" s="1098" t="e">
        <f>IF($D$1212="",0,$D1248*Table3[[#This Row],[CF]]*chronic_consumption!$Y48/1000/$C$3)</f>
        <v>#DIV/0!</v>
      </c>
      <c r="AE1248" s="1098" t="e">
        <f>IF($D$1212="",0,$D1248*Table3[[#This Row],[CF]]*chronic_consumption!$Z48/1000/$C$3)</f>
        <v>#DIV/0!</v>
      </c>
      <c r="AF1248" s="1098" t="e">
        <f>IF($D$1212="",0,$D1248*Table3[[#This Row],[CF]]*chronic_consumption!$AA48/1000/$C$3)</f>
        <v>#DIV/0!</v>
      </c>
      <c r="AG1248" s="1098" t="e">
        <f>IF($D$1212="",0,$D1248*Table3[[#This Row],[CF]]*chronic_consumption!$AB48/1000/$C$3)</f>
        <v>#DIV/0!</v>
      </c>
      <c r="AH1248" s="1098" t="e">
        <f>IF($D$1212="",0,$D1248*Table3[[#This Row],[CF]]*chronic_consumption!$AC48/1000/$C$3)</f>
        <v>#DIV/0!</v>
      </c>
      <c r="AI1248" s="1098" t="e">
        <f>IF($D$1212="",0,$D1248*Table3[[#This Row],[CF]]*chronic_consumption!$AD48/1000/$C$3)</f>
        <v>#DIV/0!</v>
      </c>
      <c r="AJ1248" s="1098" t="e">
        <f>IF($D$1212="",0,$D1248*Table3[[#This Row],[CF]]*chronic_consumption!$AE48/1000/$C$3)</f>
        <v>#DIV/0!</v>
      </c>
      <c r="AK1248" s="1098" t="e">
        <f>IF($D$1212="",0,$D1248*Table3[[#This Row],[CF]]*chronic_consumption!$AF48/1000/$C$3)</f>
        <v>#DIV/0!</v>
      </c>
      <c r="AL1248" s="1098" t="e">
        <f>IF($D$1212="",0,$D1248*Table3[[#This Row],[CF]]*chronic_consumption!$AG48/1000/$C$3)</f>
        <v>#DIV/0!</v>
      </c>
      <c r="AM1248" s="1098" t="e">
        <f>IF($D$1212="",0,$D1248*Table3[[#This Row],[CF]]*chronic_consumption!$AH48/1000/$C$3)</f>
        <v>#DIV/0!</v>
      </c>
      <c r="AN1248" s="1098" t="e">
        <f>IF($D$1212="",0,$D1248*Table3[[#This Row],[CF]]*chronic_consumption!$AI48/1000/$C$3)</f>
        <v>#DIV/0!</v>
      </c>
      <c r="AO1248" s="1098" t="e">
        <f>IF($D$1212="",0,$D1248*Table3[[#This Row],[CF]]*chronic_consumption!$AJ48/1000/$C$3)</f>
        <v>#DIV/0!</v>
      </c>
      <c r="AP1248" s="1098" t="e">
        <f>IF($D$1212="",0,$D1248*Table3[[#This Row],[CF]]*chronic_consumption!$AK48/1000/$C$3)</f>
        <v>#DIV/0!</v>
      </c>
      <c r="AQ1248" s="1098" t="e">
        <f>IF($D$1212="",0,$D1248*Table3[[#This Row],[CF]]*chronic_consumption!$AL48/1000/$C$3)</f>
        <v>#DIV/0!</v>
      </c>
      <c r="AR1248" s="1098" t="e">
        <f>IF($D$1212="",0,$D1248*Table3[[#This Row],[CF]]*chronic_consumption!$AM48/1000/$C$3)</f>
        <v>#DIV/0!</v>
      </c>
      <c r="AS1248" s="1098" t="e">
        <f>IF($D$1212="",0,$D1248*Table3[[#This Row],[CF]]*chronic_consumption!$AN48/1000/$C$3)</f>
        <v>#DIV/0!</v>
      </c>
      <c r="AT1248" s="1098" t="e">
        <f>IF($D$1212="",0,$D1248*Table3[[#This Row],[CF]]*chronic_consumption!$AO48/1000/$C$3)</f>
        <v>#DIV/0!</v>
      </c>
      <c r="AU1248" s="1099" t="e">
        <f t="shared" si="836"/>
        <v>#DIV/0!</v>
      </c>
      <c r="AV1248" s="1099" t="e">
        <f t="shared" si="836"/>
        <v>#DIV/0!</v>
      </c>
      <c r="AW1248" s="1099" t="e">
        <f t="shared" si="836"/>
        <v>#DIV/0!</v>
      </c>
      <c r="AX1248" s="1099" t="e">
        <f t="shared" si="836"/>
        <v>#DIV/0!</v>
      </c>
      <c r="AY1248" s="1099" t="e">
        <f t="shared" si="836"/>
        <v>#DIV/0!</v>
      </c>
      <c r="AZ1248" s="1091" t="s">
        <v>1012</v>
      </c>
      <c r="BA1248" s="1097" t="e">
        <f>IF(Table3[[#This Row],[max]]&lt;&gt;0,RANK(Table3[[#This Row],[max]],Table3[max],0),"")</f>
        <v>#DIV/0!</v>
      </c>
      <c r="BB1248" s="1096" t="e">
        <f t="shared" si="831"/>
        <v>#DIV/0!</v>
      </c>
      <c r="BC1248" s="1096" t="e">
        <f t="shared" ca="1" si="832"/>
        <v>#DIV/0!</v>
      </c>
      <c r="BD1248" s="1096" t="e">
        <f>IF(Table3[[#This Row],[max]]&gt;0,Table3[[#This Row],[Crop groups and examples of individual products within the groups to which the MRLs apply]],"")</f>
        <v>#DIV/0!</v>
      </c>
    </row>
    <row r="1249" spans="2:56" x14ac:dyDescent="0.2">
      <c r="B1249" s="23">
        <f t="shared" si="834"/>
        <v>151020</v>
      </c>
      <c r="C1249" s="23" t="str">
        <f t="shared" si="834"/>
        <v>Wine grapes</v>
      </c>
      <c r="D1249" s="1084">
        <f>input_values!E49</f>
        <v>0</v>
      </c>
      <c r="E1249" s="1084">
        <f>input_values!F49</f>
        <v>0</v>
      </c>
      <c r="F1249" s="1085">
        <f>input_values!W49</f>
        <v>1</v>
      </c>
      <c r="G1249" s="1085" t="str">
        <f>IF(Table3[[#This Row],[CF]]&gt;0,CONCATENATE(IF(Table3[[#This Row],[LOQ]]="*","LOQ","MRL"),IF(input_values!G49&gt;0,"×CFrisk","")),"")</f>
        <v>MRL</v>
      </c>
      <c r="H1249" s="1087">
        <f>input_values!L49</f>
        <v>0</v>
      </c>
      <c r="I1249" s="1088">
        <f>input_values!D49</f>
        <v>0</v>
      </c>
      <c r="J1249" s="1098" t="e">
        <f>IF($D$1212="",0,$D1249*Table3[[#This Row],[CF]]*chronic_consumption!$E49/1000/$C$3)</f>
        <v>#DIV/0!</v>
      </c>
      <c r="K1249" s="1098" t="e">
        <f>IF($D$1212="",0,$D1249*Table3[[#This Row],[CF]]*chronic_consumption!$F49/1000/$C$3)</f>
        <v>#DIV/0!</v>
      </c>
      <c r="L1249" s="1098" t="e">
        <f>IF($D$1212="",0,$D1249*Table3[[#This Row],[CF]]*chronic_consumption!$G49/1000/$C$3)</f>
        <v>#DIV/0!</v>
      </c>
      <c r="M1249" s="1098" t="e">
        <f>IF($D$1212="",0,$D1249*Table3[[#This Row],[CF]]*chronic_consumption!$H49/1000/$C$3)</f>
        <v>#DIV/0!</v>
      </c>
      <c r="N1249" s="1098" t="e">
        <f>IF($D$1212="",0,$D1249*Table3[[#This Row],[CF]]*chronic_consumption!$I49/1000/$C$3)</f>
        <v>#DIV/0!</v>
      </c>
      <c r="O1249" s="1098" t="e">
        <f>IF($D$1212="",0,$D1249*Table3[[#This Row],[CF]]*chronic_consumption!$J49/1000/$C$3)</f>
        <v>#DIV/0!</v>
      </c>
      <c r="P1249" s="1098" t="e">
        <f>IF($D$1212="",0,$D1249*Table3[[#This Row],[CF]]*chronic_consumption!$K49/1000/$C$3)</f>
        <v>#DIV/0!</v>
      </c>
      <c r="Q1249" s="1098" t="e">
        <f>IF($D$1212="",0,$D1249*Table3[[#This Row],[CF]]*chronic_consumption!$L49/1000/$C$3)</f>
        <v>#DIV/0!</v>
      </c>
      <c r="R1249" s="1098" t="e">
        <f>IF($D$1212="",0,$D1249*Table3[[#This Row],[CF]]*chronic_consumption!$M49/1000/$C$3)</f>
        <v>#DIV/0!</v>
      </c>
      <c r="S1249" s="1098" t="e">
        <f>IF($D$1212="",0,$D1249*Table3[[#This Row],[CF]]*chronic_consumption!$N49/1000/$C$3)</f>
        <v>#DIV/0!</v>
      </c>
      <c r="T1249" s="1098" t="e">
        <f>IF($D$1212="",0,$D1249*Table3[[#This Row],[CF]]*chronic_consumption!$O49/1000/$C$3)</f>
        <v>#DIV/0!</v>
      </c>
      <c r="U1249" s="1098" t="e">
        <f>IF($D$1212="",0,$D1249*Table3[[#This Row],[CF]]*chronic_consumption!$P49/1000/$C$3)</f>
        <v>#DIV/0!</v>
      </c>
      <c r="V1249" s="1098" t="e">
        <f>IF($D$1212="",0,$D1249*Table3[[#This Row],[CF]]*chronic_consumption!$Q49/1000/$C$3)</f>
        <v>#DIV/0!</v>
      </c>
      <c r="W1249" s="1098" t="e">
        <f>IF($D$1212="",0,$D1249*Table3[[#This Row],[CF]]*chronic_consumption!$R49/1000/$C$3)</f>
        <v>#DIV/0!</v>
      </c>
      <c r="X1249" s="1098" t="e">
        <f>IF($D$1212="",0,$D1249*Table3[[#This Row],[CF]]*chronic_consumption!$S49/1000/$C$3)</f>
        <v>#DIV/0!</v>
      </c>
      <c r="Y1249" s="1098" t="e">
        <f>IF($D$1212="",0,$D1249*Table3[[#This Row],[CF]]*chronic_consumption!$T49/1000/$C$3)</f>
        <v>#DIV/0!</v>
      </c>
      <c r="Z1249" s="1098" t="e">
        <f>IF($D$1212="",0,$D1249*Table3[[#This Row],[CF]]*chronic_consumption!$U49/1000/$C$3)</f>
        <v>#DIV/0!</v>
      </c>
      <c r="AA1249" s="1098" t="e">
        <f>IF($D$1212="",0,$D1249*Table3[[#This Row],[CF]]*chronic_consumption!$V49/1000/$C$3)</f>
        <v>#DIV/0!</v>
      </c>
      <c r="AB1249" s="1098" t="e">
        <f>IF($D$1212="",0,$D1249*Table3[[#This Row],[CF]]*chronic_consumption!$W49/1000/$C$3)</f>
        <v>#DIV/0!</v>
      </c>
      <c r="AC1249" s="1098" t="e">
        <f>IF($D$1212="",0,$D1249*Table3[[#This Row],[CF]]*chronic_consumption!$X49/1000/$C$3)</f>
        <v>#DIV/0!</v>
      </c>
      <c r="AD1249" s="1098" t="e">
        <f>IF($D$1212="",0,$D1249*Table3[[#This Row],[CF]]*chronic_consumption!$Y49/1000/$C$3)</f>
        <v>#DIV/0!</v>
      </c>
      <c r="AE1249" s="1098" t="e">
        <f>IF($D$1212="",0,$D1249*Table3[[#This Row],[CF]]*chronic_consumption!$Z49/1000/$C$3)</f>
        <v>#DIV/0!</v>
      </c>
      <c r="AF1249" s="1098" t="e">
        <f>IF($D$1212="",0,$D1249*Table3[[#This Row],[CF]]*chronic_consumption!$AA49/1000/$C$3)</f>
        <v>#DIV/0!</v>
      </c>
      <c r="AG1249" s="1098" t="e">
        <f>IF($D$1212="",0,$D1249*Table3[[#This Row],[CF]]*chronic_consumption!$AB49/1000/$C$3)</f>
        <v>#DIV/0!</v>
      </c>
      <c r="AH1249" s="1098" t="e">
        <f>IF($D$1212="",0,$D1249*Table3[[#This Row],[CF]]*chronic_consumption!$AC49/1000/$C$3)</f>
        <v>#DIV/0!</v>
      </c>
      <c r="AI1249" s="1098" t="e">
        <f>IF($D$1212="",0,$D1249*Table3[[#This Row],[CF]]*chronic_consumption!$AD49/1000/$C$3)</f>
        <v>#DIV/0!</v>
      </c>
      <c r="AJ1249" s="1098" t="e">
        <f>IF($D$1212="",0,$D1249*Table3[[#This Row],[CF]]*chronic_consumption!$AE49/1000/$C$3)</f>
        <v>#DIV/0!</v>
      </c>
      <c r="AK1249" s="1098" t="e">
        <f>IF($D$1212="",0,$D1249*Table3[[#This Row],[CF]]*chronic_consumption!$AF49/1000/$C$3)</f>
        <v>#DIV/0!</v>
      </c>
      <c r="AL1249" s="1098" t="e">
        <f>IF($D$1212="",0,$D1249*Table3[[#This Row],[CF]]*chronic_consumption!$AG49/1000/$C$3)</f>
        <v>#DIV/0!</v>
      </c>
      <c r="AM1249" s="1098" t="e">
        <f>IF($D$1212="",0,$D1249*Table3[[#This Row],[CF]]*chronic_consumption!$AH49/1000/$C$3)</f>
        <v>#DIV/0!</v>
      </c>
      <c r="AN1249" s="1098" t="e">
        <f>IF($D$1212="",0,$D1249*Table3[[#This Row],[CF]]*chronic_consumption!$AI49/1000/$C$3)</f>
        <v>#DIV/0!</v>
      </c>
      <c r="AO1249" s="1098" t="e">
        <f>IF($D$1212="",0,$D1249*Table3[[#This Row],[CF]]*chronic_consumption!$AJ49/1000/$C$3)</f>
        <v>#DIV/0!</v>
      </c>
      <c r="AP1249" s="1098" t="e">
        <f>IF($D$1212="",0,$D1249*Table3[[#This Row],[CF]]*chronic_consumption!$AK49/1000/$C$3)</f>
        <v>#DIV/0!</v>
      </c>
      <c r="AQ1249" s="1098" t="e">
        <f>IF($D$1212="",0,$D1249*Table3[[#This Row],[CF]]*chronic_consumption!$AL49/1000/$C$3)</f>
        <v>#DIV/0!</v>
      </c>
      <c r="AR1249" s="1098" t="e">
        <f>IF($D$1212="",0,$D1249*Table3[[#This Row],[CF]]*chronic_consumption!$AM49/1000/$C$3)</f>
        <v>#DIV/0!</v>
      </c>
      <c r="AS1249" s="1098" t="e">
        <f>IF($D$1212="",0,$D1249*Table3[[#This Row],[CF]]*chronic_consumption!$AN49/1000/$C$3)</f>
        <v>#DIV/0!</v>
      </c>
      <c r="AT1249" s="1098" t="e">
        <f>IF($D$1212="",0,$D1249*Table3[[#This Row],[CF]]*chronic_consumption!$AO49/1000/$C$3)</f>
        <v>#DIV/0!</v>
      </c>
      <c r="AU1249" s="1099" t="e">
        <f t="shared" si="836"/>
        <v>#DIV/0!</v>
      </c>
      <c r="AV1249" s="1099" t="e">
        <f t="shared" si="836"/>
        <v>#DIV/0!</v>
      </c>
      <c r="AW1249" s="1099" t="e">
        <f t="shared" si="836"/>
        <v>#DIV/0!</v>
      </c>
      <c r="AX1249" s="1099" t="e">
        <f t="shared" si="836"/>
        <v>#DIV/0!</v>
      </c>
      <c r="AY1249" s="1099" t="e">
        <f t="shared" si="836"/>
        <v>#DIV/0!</v>
      </c>
      <c r="AZ1249" s="1091" t="s">
        <v>1012</v>
      </c>
      <c r="BA1249" s="1097" t="e">
        <f>IF(Table3[[#This Row],[max]]&lt;&gt;0,RANK(Table3[[#This Row],[max]],Table3[max],0),"")</f>
        <v>#DIV/0!</v>
      </c>
      <c r="BB1249" s="1096" t="e">
        <f t="shared" si="831"/>
        <v>#DIV/0!</v>
      </c>
      <c r="BC1249" s="1096" t="e">
        <f t="shared" ca="1" si="832"/>
        <v>#DIV/0!</v>
      </c>
      <c r="BD1249" s="1096" t="e">
        <f>IF(Table3[[#This Row],[max]]&gt;0,Table3[[#This Row],[Crop groups and examples of individual products within the groups to which the MRLs apply]],"")</f>
        <v>#DIV/0!</v>
      </c>
    </row>
    <row r="1250" spans="2:56" x14ac:dyDescent="0.2">
      <c r="B1250" s="3">
        <f t="shared" si="834"/>
        <v>152000</v>
      </c>
      <c r="C1250" s="3" t="str">
        <f t="shared" si="834"/>
        <v xml:space="preserve">Strawberries </v>
      </c>
      <c r="D1250" s="1084">
        <f>input_values!E50</f>
        <v>0</v>
      </c>
      <c r="E1250" s="1084">
        <f>input_values!F50</f>
        <v>0</v>
      </c>
      <c r="F1250" s="1085">
        <f>input_values!W50</f>
        <v>1</v>
      </c>
      <c r="G1250" s="1085" t="str">
        <f>IF(Table3[[#This Row],[CF]]&gt;0,CONCATENATE(IF(Table3[[#This Row],[LOQ]]="*","LOQ","MRL"),IF(input_values!G50&gt;0,"×CFrisk","")),"")</f>
        <v>MRL</v>
      </c>
      <c r="H1250" s="1087">
        <f>input_values!L50</f>
        <v>0</v>
      </c>
      <c r="I1250" s="1088">
        <f>input_values!D50</f>
        <v>0</v>
      </c>
      <c r="J1250" s="1100" t="e">
        <f>IF($D$1212="",0,$D1250*Table3[[#This Row],[CF]]*chronic_consumption!$E50/1000/$C$3)</f>
        <v>#DIV/0!</v>
      </c>
      <c r="K1250" s="1100" t="e">
        <f>IF($D$1212="",0,$D1250*Table3[[#This Row],[CF]]*chronic_consumption!$F50/1000/$C$3)</f>
        <v>#DIV/0!</v>
      </c>
      <c r="L1250" s="1100" t="e">
        <f>IF($D$1212="",0,$D1250*Table3[[#This Row],[CF]]*chronic_consumption!$G50/1000/$C$3)</f>
        <v>#DIV/0!</v>
      </c>
      <c r="M1250" s="1100" t="e">
        <f>IF($D$1212="",0,$D1250*Table3[[#This Row],[CF]]*chronic_consumption!$H50/1000/$C$3)</f>
        <v>#DIV/0!</v>
      </c>
      <c r="N1250" s="1100" t="e">
        <f>IF($D$1212="",0,$D1250*Table3[[#This Row],[CF]]*chronic_consumption!$I50/1000/$C$3)</f>
        <v>#DIV/0!</v>
      </c>
      <c r="O1250" s="1100" t="e">
        <f>IF($D$1212="",0,$D1250*Table3[[#This Row],[CF]]*chronic_consumption!$J50/1000/$C$3)</f>
        <v>#DIV/0!</v>
      </c>
      <c r="P1250" s="1100" t="e">
        <f>IF($D$1212="",0,$D1250*Table3[[#This Row],[CF]]*chronic_consumption!$K50/1000/$C$3)</f>
        <v>#DIV/0!</v>
      </c>
      <c r="Q1250" s="1100" t="e">
        <f>IF($D$1212="",0,$D1250*Table3[[#This Row],[CF]]*chronic_consumption!$L50/1000/$C$3)</f>
        <v>#DIV/0!</v>
      </c>
      <c r="R1250" s="1100" t="e">
        <f>IF($D$1212="",0,$D1250*Table3[[#This Row],[CF]]*chronic_consumption!$M50/1000/$C$3)</f>
        <v>#DIV/0!</v>
      </c>
      <c r="S1250" s="1100" t="e">
        <f>IF($D$1212="",0,$D1250*Table3[[#This Row],[CF]]*chronic_consumption!$N50/1000/$C$3)</f>
        <v>#DIV/0!</v>
      </c>
      <c r="T1250" s="1100" t="e">
        <f>IF($D$1212="",0,$D1250*Table3[[#This Row],[CF]]*chronic_consumption!$O50/1000/$C$3)</f>
        <v>#DIV/0!</v>
      </c>
      <c r="U1250" s="1100" t="e">
        <f>IF($D$1212="",0,$D1250*Table3[[#This Row],[CF]]*chronic_consumption!$P50/1000/$C$3)</f>
        <v>#DIV/0!</v>
      </c>
      <c r="V1250" s="1100" t="e">
        <f>IF($D$1212="",0,$D1250*Table3[[#This Row],[CF]]*chronic_consumption!$Q50/1000/$C$3)</f>
        <v>#DIV/0!</v>
      </c>
      <c r="W1250" s="1100" t="e">
        <f>IF($D$1212="",0,$D1250*Table3[[#This Row],[CF]]*chronic_consumption!$R50/1000/$C$3)</f>
        <v>#DIV/0!</v>
      </c>
      <c r="X1250" s="1100" t="e">
        <f>IF($D$1212="",0,$D1250*Table3[[#This Row],[CF]]*chronic_consumption!$S50/1000/$C$3)</f>
        <v>#DIV/0!</v>
      </c>
      <c r="Y1250" s="1100" t="e">
        <f>IF($D$1212="",0,$D1250*Table3[[#This Row],[CF]]*chronic_consumption!$T50/1000/$C$3)</f>
        <v>#DIV/0!</v>
      </c>
      <c r="Z1250" s="1100" t="e">
        <f>IF($D$1212="",0,$D1250*Table3[[#This Row],[CF]]*chronic_consumption!$U50/1000/$C$3)</f>
        <v>#DIV/0!</v>
      </c>
      <c r="AA1250" s="1100" t="e">
        <f>IF($D$1212="",0,$D1250*Table3[[#This Row],[CF]]*chronic_consumption!$V50/1000/$C$3)</f>
        <v>#DIV/0!</v>
      </c>
      <c r="AB1250" s="1100" t="e">
        <f>IF($D$1212="",0,$D1250*Table3[[#This Row],[CF]]*chronic_consumption!$W50/1000/$C$3)</f>
        <v>#DIV/0!</v>
      </c>
      <c r="AC1250" s="1100" t="e">
        <f>IF($D$1212="",0,$D1250*Table3[[#This Row],[CF]]*chronic_consumption!$X50/1000/$C$3)</f>
        <v>#DIV/0!</v>
      </c>
      <c r="AD1250" s="1100" t="e">
        <f>IF($D$1212="",0,$D1250*Table3[[#This Row],[CF]]*chronic_consumption!$Y50/1000/$C$3)</f>
        <v>#DIV/0!</v>
      </c>
      <c r="AE1250" s="1100" t="e">
        <f>IF($D$1212="",0,$D1250*Table3[[#This Row],[CF]]*chronic_consumption!$Z50/1000/$C$3)</f>
        <v>#DIV/0!</v>
      </c>
      <c r="AF1250" s="1100" t="e">
        <f>IF($D$1212="",0,$D1250*Table3[[#This Row],[CF]]*chronic_consumption!$AA50/1000/$C$3)</f>
        <v>#DIV/0!</v>
      </c>
      <c r="AG1250" s="1100" t="e">
        <f>IF($D$1212="",0,$D1250*Table3[[#This Row],[CF]]*chronic_consumption!$AB50/1000/$C$3)</f>
        <v>#DIV/0!</v>
      </c>
      <c r="AH1250" s="1100" t="e">
        <f>IF($D$1212="",0,$D1250*Table3[[#This Row],[CF]]*chronic_consumption!$AC50/1000/$C$3)</f>
        <v>#DIV/0!</v>
      </c>
      <c r="AI1250" s="1100" t="e">
        <f>IF($D$1212="",0,$D1250*Table3[[#This Row],[CF]]*chronic_consumption!$AD50/1000/$C$3)</f>
        <v>#DIV/0!</v>
      </c>
      <c r="AJ1250" s="1100" t="e">
        <f>IF($D$1212="",0,$D1250*Table3[[#This Row],[CF]]*chronic_consumption!$AE50/1000/$C$3)</f>
        <v>#DIV/0!</v>
      </c>
      <c r="AK1250" s="1100" t="e">
        <f>IF($D$1212="",0,$D1250*Table3[[#This Row],[CF]]*chronic_consumption!$AF50/1000/$C$3)</f>
        <v>#DIV/0!</v>
      </c>
      <c r="AL1250" s="1100" t="e">
        <f>IF($D$1212="",0,$D1250*Table3[[#This Row],[CF]]*chronic_consumption!$AG50/1000/$C$3)</f>
        <v>#DIV/0!</v>
      </c>
      <c r="AM1250" s="1100" t="e">
        <f>IF($D$1212="",0,$D1250*Table3[[#This Row],[CF]]*chronic_consumption!$AH50/1000/$C$3)</f>
        <v>#DIV/0!</v>
      </c>
      <c r="AN1250" s="1100" t="e">
        <f>IF($D$1212="",0,$D1250*Table3[[#This Row],[CF]]*chronic_consumption!$AI50/1000/$C$3)</f>
        <v>#DIV/0!</v>
      </c>
      <c r="AO1250" s="1100" t="e">
        <f>IF($D$1212="",0,$D1250*Table3[[#This Row],[CF]]*chronic_consumption!$AJ50/1000/$C$3)</f>
        <v>#DIV/0!</v>
      </c>
      <c r="AP1250" s="1100" t="e">
        <f>IF($D$1212="",0,$D1250*Table3[[#This Row],[CF]]*chronic_consumption!$AK50/1000/$C$3)</f>
        <v>#DIV/0!</v>
      </c>
      <c r="AQ1250" s="1100" t="e">
        <f>IF($D$1212="",0,$D1250*Table3[[#This Row],[CF]]*chronic_consumption!$AL50/1000/$C$3)</f>
        <v>#DIV/0!</v>
      </c>
      <c r="AR1250" s="1100" t="e">
        <f>IF($D$1212="",0,$D1250*Table3[[#This Row],[CF]]*chronic_consumption!$AM50/1000/$C$3)</f>
        <v>#DIV/0!</v>
      </c>
      <c r="AS1250" s="1100" t="e">
        <f>IF($D$1212="",0,$D1250*Table3[[#This Row],[CF]]*chronic_consumption!$AN50/1000/$C$3)</f>
        <v>#DIV/0!</v>
      </c>
      <c r="AT1250" s="1100" t="e">
        <f>IF($D$1212="",0,$D1250*Table3[[#This Row],[CF]]*chronic_consumption!$AO50/1000/$C$3)</f>
        <v>#DIV/0!</v>
      </c>
      <c r="AU1250" s="1101" t="e">
        <f t="shared" si="836"/>
        <v>#DIV/0!</v>
      </c>
      <c r="AV1250" s="1101" t="e">
        <f t="shared" si="836"/>
        <v>#DIV/0!</v>
      </c>
      <c r="AW1250" s="1101" t="e">
        <f t="shared" si="836"/>
        <v>#DIV/0!</v>
      </c>
      <c r="AX1250" s="1101" t="e">
        <f t="shared" si="836"/>
        <v>#DIV/0!</v>
      </c>
      <c r="AY1250" s="1101" t="e">
        <f t="shared" si="836"/>
        <v>#DIV/0!</v>
      </c>
      <c r="AZ1250" s="1091" t="s">
        <v>1012</v>
      </c>
      <c r="BA1250" s="1097" t="e">
        <f>IF(Table3[[#This Row],[max]]&lt;&gt;0,RANK(Table3[[#This Row],[max]],Table3[max],0),"")</f>
        <v>#DIV/0!</v>
      </c>
      <c r="BB1250" s="1096" t="e">
        <f t="shared" si="831"/>
        <v>#DIV/0!</v>
      </c>
      <c r="BC1250" s="1096" t="e">
        <f t="shared" ca="1" si="832"/>
        <v>#DIV/0!</v>
      </c>
      <c r="BD1250" s="1096" t="e">
        <f>IF(Table3[[#This Row],[max]]&gt;0,Table3[[#This Row],[Crop groups and examples of individual products within the groups to which the MRLs apply]],"")</f>
        <v>#DIV/0!</v>
      </c>
    </row>
    <row r="1251" spans="2:56" x14ac:dyDescent="0.2">
      <c r="B1251" s="3">
        <f t="shared" si="834"/>
        <v>153000</v>
      </c>
      <c r="C1251" s="3" t="str">
        <f t="shared" si="834"/>
        <v xml:space="preserve">Cane fruit </v>
      </c>
      <c r="D1251" s="1084">
        <f>input_values!E51</f>
        <v>0</v>
      </c>
      <c r="E1251" s="1084">
        <f>input_values!F51</f>
        <v>0</v>
      </c>
      <c r="F1251" s="1085">
        <f>input_values!W51</f>
        <v>0</v>
      </c>
      <c r="G1251" s="1085" t="str">
        <f>IF(Table3[[#This Row],[CF]]&gt;0,CONCATENATE(IF(Table3[[#This Row],[LOQ]]="*","LOQ","MRL"),IF(input_values!G51&gt;0,"×CFrisk","")),"")</f>
        <v/>
      </c>
      <c r="H1251" s="1087">
        <f>input_values!L51</f>
        <v>0</v>
      </c>
      <c r="I1251" s="1088">
        <f>input_values!D51</f>
        <v>0</v>
      </c>
      <c r="J1251" s="1100" t="e">
        <f>IF($D$1212="",0,$D1251*Table3[[#This Row],[CF]]*chronic_consumption!$E51/1000/$C$3)</f>
        <v>#DIV/0!</v>
      </c>
      <c r="K1251" s="1100" t="e">
        <f>IF($D$1212="",0,$D1251*Table3[[#This Row],[CF]]*chronic_consumption!$F51/1000/$C$3)</f>
        <v>#DIV/0!</v>
      </c>
      <c r="L1251" s="1100" t="e">
        <f>IF($D$1212="",0,$D1251*Table3[[#This Row],[CF]]*chronic_consumption!$G51/1000/$C$3)</f>
        <v>#DIV/0!</v>
      </c>
      <c r="M1251" s="1100" t="e">
        <f>IF($D$1212="",0,$D1251*Table3[[#This Row],[CF]]*chronic_consumption!$H51/1000/$C$3)</f>
        <v>#DIV/0!</v>
      </c>
      <c r="N1251" s="1100" t="e">
        <f>IF($D$1212="",0,$D1251*Table3[[#This Row],[CF]]*chronic_consumption!$I51/1000/$C$3)</f>
        <v>#DIV/0!</v>
      </c>
      <c r="O1251" s="1100" t="e">
        <f>IF($D$1212="",0,$D1251*Table3[[#This Row],[CF]]*chronic_consumption!$J51/1000/$C$3)</f>
        <v>#DIV/0!</v>
      </c>
      <c r="P1251" s="1100" t="e">
        <f>IF($D$1212="",0,$D1251*Table3[[#This Row],[CF]]*chronic_consumption!$K51/1000/$C$3)</f>
        <v>#DIV/0!</v>
      </c>
      <c r="Q1251" s="1100" t="e">
        <f>IF($D$1212="",0,$D1251*Table3[[#This Row],[CF]]*chronic_consumption!$L51/1000/$C$3)</f>
        <v>#DIV/0!</v>
      </c>
      <c r="R1251" s="1100" t="e">
        <f>IF($D$1212="",0,$D1251*Table3[[#This Row],[CF]]*chronic_consumption!$M51/1000/$C$3)</f>
        <v>#DIV/0!</v>
      </c>
      <c r="S1251" s="1100" t="e">
        <f>IF($D$1212="",0,$D1251*Table3[[#This Row],[CF]]*chronic_consumption!$N51/1000/$C$3)</f>
        <v>#DIV/0!</v>
      </c>
      <c r="T1251" s="1100" t="e">
        <f>IF($D$1212="",0,$D1251*Table3[[#This Row],[CF]]*chronic_consumption!$O51/1000/$C$3)</f>
        <v>#DIV/0!</v>
      </c>
      <c r="U1251" s="1100" t="e">
        <f>IF($D$1212="",0,$D1251*Table3[[#This Row],[CF]]*chronic_consumption!$P51/1000/$C$3)</f>
        <v>#DIV/0!</v>
      </c>
      <c r="V1251" s="1100" t="e">
        <f>IF($D$1212="",0,$D1251*Table3[[#This Row],[CF]]*chronic_consumption!$Q51/1000/$C$3)</f>
        <v>#DIV/0!</v>
      </c>
      <c r="W1251" s="1100" t="e">
        <f>IF($D$1212="",0,$D1251*Table3[[#This Row],[CF]]*chronic_consumption!$R51/1000/$C$3)</f>
        <v>#DIV/0!</v>
      </c>
      <c r="X1251" s="1100" t="e">
        <f>IF($D$1212="",0,$D1251*Table3[[#This Row],[CF]]*chronic_consumption!$S51/1000/$C$3)</f>
        <v>#DIV/0!</v>
      </c>
      <c r="Y1251" s="1100" t="e">
        <f>IF($D$1212="",0,$D1251*Table3[[#This Row],[CF]]*chronic_consumption!$T51/1000/$C$3)</f>
        <v>#DIV/0!</v>
      </c>
      <c r="Z1251" s="1100" t="e">
        <f>IF($D$1212="",0,$D1251*Table3[[#This Row],[CF]]*chronic_consumption!$U51/1000/$C$3)</f>
        <v>#DIV/0!</v>
      </c>
      <c r="AA1251" s="1100" t="e">
        <f>IF($D$1212="",0,$D1251*Table3[[#This Row],[CF]]*chronic_consumption!$V51/1000/$C$3)</f>
        <v>#DIV/0!</v>
      </c>
      <c r="AB1251" s="1100" t="e">
        <f>IF($D$1212="",0,$D1251*Table3[[#This Row],[CF]]*chronic_consumption!$W51/1000/$C$3)</f>
        <v>#DIV/0!</v>
      </c>
      <c r="AC1251" s="1100" t="e">
        <f>IF($D$1212="",0,$D1251*Table3[[#This Row],[CF]]*chronic_consumption!$X51/1000/$C$3)</f>
        <v>#DIV/0!</v>
      </c>
      <c r="AD1251" s="1100" t="e">
        <f>IF($D$1212="",0,$D1251*Table3[[#This Row],[CF]]*chronic_consumption!$Y51/1000/$C$3)</f>
        <v>#DIV/0!</v>
      </c>
      <c r="AE1251" s="1100" t="e">
        <f>IF($D$1212="",0,$D1251*Table3[[#This Row],[CF]]*chronic_consumption!$Z51/1000/$C$3)</f>
        <v>#DIV/0!</v>
      </c>
      <c r="AF1251" s="1100" t="e">
        <f>IF($D$1212="",0,$D1251*Table3[[#This Row],[CF]]*chronic_consumption!$AA51/1000/$C$3)</f>
        <v>#DIV/0!</v>
      </c>
      <c r="AG1251" s="1100" t="e">
        <f>IF($D$1212="",0,$D1251*Table3[[#This Row],[CF]]*chronic_consumption!$AB51/1000/$C$3)</f>
        <v>#DIV/0!</v>
      </c>
      <c r="AH1251" s="1100" t="e">
        <f>IF($D$1212="",0,$D1251*Table3[[#This Row],[CF]]*chronic_consumption!$AC51/1000/$C$3)</f>
        <v>#DIV/0!</v>
      </c>
      <c r="AI1251" s="1100" t="e">
        <f>IF($D$1212="",0,$D1251*Table3[[#This Row],[CF]]*chronic_consumption!$AD51/1000/$C$3)</f>
        <v>#DIV/0!</v>
      </c>
      <c r="AJ1251" s="1100" t="e">
        <f>IF($D$1212="",0,$D1251*Table3[[#This Row],[CF]]*chronic_consumption!$AE51/1000/$C$3)</f>
        <v>#DIV/0!</v>
      </c>
      <c r="AK1251" s="1100" t="e">
        <f>IF($D$1212="",0,$D1251*Table3[[#This Row],[CF]]*chronic_consumption!$AF51/1000/$C$3)</f>
        <v>#DIV/0!</v>
      </c>
      <c r="AL1251" s="1100" t="e">
        <f>IF($D$1212="",0,$D1251*Table3[[#This Row],[CF]]*chronic_consumption!$AG51/1000/$C$3)</f>
        <v>#DIV/0!</v>
      </c>
      <c r="AM1251" s="1100" t="e">
        <f>IF($D$1212="",0,$D1251*Table3[[#This Row],[CF]]*chronic_consumption!$AH51/1000/$C$3)</f>
        <v>#DIV/0!</v>
      </c>
      <c r="AN1251" s="1100" t="e">
        <f>IF($D$1212="",0,$D1251*Table3[[#This Row],[CF]]*chronic_consumption!$AI51/1000/$C$3)</f>
        <v>#DIV/0!</v>
      </c>
      <c r="AO1251" s="1100" t="e">
        <f>IF($D$1212="",0,$D1251*Table3[[#This Row],[CF]]*chronic_consumption!$AJ51/1000/$C$3)</f>
        <v>#DIV/0!</v>
      </c>
      <c r="AP1251" s="1100" t="e">
        <f>IF($D$1212="",0,$D1251*Table3[[#This Row],[CF]]*chronic_consumption!$AK51/1000/$C$3)</f>
        <v>#DIV/0!</v>
      </c>
      <c r="AQ1251" s="1100" t="e">
        <f>IF($D$1212="",0,$D1251*Table3[[#This Row],[CF]]*chronic_consumption!$AL51/1000/$C$3)</f>
        <v>#DIV/0!</v>
      </c>
      <c r="AR1251" s="1100" t="e">
        <f>IF($D$1212="",0,$D1251*Table3[[#This Row],[CF]]*chronic_consumption!$AM51/1000/$C$3)</f>
        <v>#DIV/0!</v>
      </c>
      <c r="AS1251" s="1100" t="e">
        <f>IF($D$1212="",0,$D1251*Table3[[#This Row],[CF]]*chronic_consumption!$AN51/1000/$C$3)</f>
        <v>#DIV/0!</v>
      </c>
      <c r="AT1251" s="1100" t="e">
        <f>IF($D$1212="",0,$D1251*Table3[[#This Row],[CF]]*chronic_consumption!$AO51/1000/$C$3)</f>
        <v>#DIV/0!</v>
      </c>
      <c r="AU1251" s="1101" t="e">
        <f t="shared" si="836"/>
        <v>#DIV/0!</v>
      </c>
      <c r="AV1251" s="1101" t="e">
        <f t="shared" si="836"/>
        <v>#DIV/0!</v>
      </c>
      <c r="AW1251" s="1101" t="e">
        <f t="shared" si="836"/>
        <v>#DIV/0!</v>
      </c>
      <c r="AX1251" s="1101" t="e">
        <f t="shared" si="836"/>
        <v>#DIV/0!</v>
      </c>
      <c r="AY1251" s="1101" t="e">
        <f t="shared" si="836"/>
        <v>#DIV/0!</v>
      </c>
      <c r="AZ1251" s="1091" t="s">
        <v>1012</v>
      </c>
      <c r="BA1251" s="1097" t="e">
        <f>IF(Table3[[#This Row],[max]]&lt;&gt;0,RANK(Table3[[#This Row],[max]],Table3[max],0),"")</f>
        <v>#DIV/0!</v>
      </c>
      <c r="BB1251" s="1096" t="e">
        <f t="shared" si="831"/>
        <v>#DIV/0!</v>
      </c>
      <c r="BC1251" s="1096" t="e">
        <f t="shared" ca="1" si="832"/>
        <v>#DIV/0!</v>
      </c>
      <c r="BD1251" s="1096" t="e">
        <f>IF(Table3[[#This Row],[max]]&gt;0,Table3[[#This Row],[Crop groups and examples of individual products within the groups to which the MRLs apply]],"")</f>
        <v>#DIV/0!</v>
      </c>
    </row>
    <row r="1252" spans="2:56" x14ac:dyDescent="0.2">
      <c r="B1252" s="23">
        <f t="shared" ref="B1252:C1271" si="837">B52</f>
        <v>153010</v>
      </c>
      <c r="C1252" s="23" t="str">
        <f t="shared" si="837"/>
        <v>Blackberries</v>
      </c>
      <c r="D1252" s="1084">
        <f>input_values!E52</f>
        <v>0</v>
      </c>
      <c r="E1252" s="1084">
        <f>input_values!F52</f>
        <v>0</v>
      </c>
      <c r="F1252" s="1085">
        <f>input_values!W52</f>
        <v>1</v>
      </c>
      <c r="G1252" s="1085" t="str">
        <f>IF(Table3[[#This Row],[CF]]&gt;0,CONCATENATE(IF(Table3[[#This Row],[LOQ]]="*","LOQ","MRL"),IF(input_values!G52&gt;0,"×CFrisk","")),"")</f>
        <v>MRL</v>
      </c>
      <c r="H1252" s="1087">
        <f>input_values!L52</f>
        <v>0</v>
      </c>
      <c r="I1252" s="1088">
        <f>input_values!D52</f>
        <v>0</v>
      </c>
      <c r="J1252" s="1098" t="e">
        <f>IF($D$1212="",0,$D1252*Table3[[#This Row],[CF]]*chronic_consumption!$E52/1000/$C$3)</f>
        <v>#DIV/0!</v>
      </c>
      <c r="K1252" s="1098" t="e">
        <f>IF($D$1212="",0,$D1252*Table3[[#This Row],[CF]]*chronic_consumption!$F52/1000/$C$3)</f>
        <v>#DIV/0!</v>
      </c>
      <c r="L1252" s="1098" t="e">
        <f>IF($D$1212="",0,$D1252*Table3[[#This Row],[CF]]*chronic_consumption!$G52/1000/$C$3)</f>
        <v>#DIV/0!</v>
      </c>
      <c r="M1252" s="1098" t="e">
        <f>IF($D$1212="",0,$D1252*Table3[[#This Row],[CF]]*chronic_consumption!$H52/1000/$C$3)</f>
        <v>#DIV/0!</v>
      </c>
      <c r="N1252" s="1098" t="e">
        <f>IF($D$1212="",0,$D1252*Table3[[#This Row],[CF]]*chronic_consumption!$I52/1000/$C$3)</f>
        <v>#DIV/0!</v>
      </c>
      <c r="O1252" s="1098" t="e">
        <f>IF($D$1212="",0,$D1252*Table3[[#This Row],[CF]]*chronic_consumption!$J52/1000/$C$3)</f>
        <v>#DIV/0!</v>
      </c>
      <c r="P1252" s="1098" t="e">
        <f>IF($D$1212="",0,$D1252*Table3[[#This Row],[CF]]*chronic_consumption!$K52/1000/$C$3)</f>
        <v>#DIV/0!</v>
      </c>
      <c r="Q1252" s="1098" t="e">
        <f>IF($D$1212="",0,$D1252*Table3[[#This Row],[CF]]*chronic_consumption!$L52/1000/$C$3)</f>
        <v>#DIV/0!</v>
      </c>
      <c r="R1252" s="1098" t="e">
        <f>IF($D$1212="",0,$D1252*Table3[[#This Row],[CF]]*chronic_consumption!$M52/1000/$C$3)</f>
        <v>#DIV/0!</v>
      </c>
      <c r="S1252" s="1098" t="e">
        <f>IF($D$1212="",0,$D1252*Table3[[#This Row],[CF]]*chronic_consumption!$N52/1000/$C$3)</f>
        <v>#DIV/0!</v>
      </c>
      <c r="T1252" s="1098" t="e">
        <f>IF($D$1212="",0,$D1252*Table3[[#This Row],[CF]]*chronic_consumption!$O52/1000/$C$3)</f>
        <v>#DIV/0!</v>
      </c>
      <c r="U1252" s="1098" t="e">
        <f>IF($D$1212="",0,$D1252*Table3[[#This Row],[CF]]*chronic_consumption!$P52/1000/$C$3)</f>
        <v>#DIV/0!</v>
      </c>
      <c r="V1252" s="1098" t="e">
        <f>IF($D$1212="",0,$D1252*Table3[[#This Row],[CF]]*chronic_consumption!$Q52/1000/$C$3)</f>
        <v>#DIV/0!</v>
      </c>
      <c r="W1252" s="1098" t="e">
        <f>IF($D$1212="",0,$D1252*Table3[[#This Row],[CF]]*chronic_consumption!$R52/1000/$C$3)</f>
        <v>#DIV/0!</v>
      </c>
      <c r="X1252" s="1098" t="e">
        <f>IF($D$1212="",0,$D1252*Table3[[#This Row],[CF]]*chronic_consumption!$S52/1000/$C$3)</f>
        <v>#DIV/0!</v>
      </c>
      <c r="Y1252" s="1098" t="e">
        <f>IF($D$1212="",0,$D1252*Table3[[#This Row],[CF]]*chronic_consumption!$T52/1000/$C$3)</f>
        <v>#DIV/0!</v>
      </c>
      <c r="Z1252" s="1098" t="e">
        <f>IF($D$1212="",0,$D1252*Table3[[#This Row],[CF]]*chronic_consumption!$U52/1000/$C$3)</f>
        <v>#DIV/0!</v>
      </c>
      <c r="AA1252" s="1098" t="e">
        <f>IF($D$1212="",0,$D1252*Table3[[#This Row],[CF]]*chronic_consumption!$V52/1000/$C$3)</f>
        <v>#DIV/0!</v>
      </c>
      <c r="AB1252" s="1098" t="e">
        <f>IF($D$1212="",0,$D1252*Table3[[#This Row],[CF]]*chronic_consumption!$W52/1000/$C$3)</f>
        <v>#DIV/0!</v>
      </c>
      <c r="AC1252" s="1098" t="e">
        <f>IF($D$1212="",0,$D1252*Table3[[#This Row],[CF]]*chronic_consumption!$X52/1000/$C$3)</f>
        <v>#DIV/0!</v>
      </c>
      <c r="AD1252" s="1098" t="e">
        <f>IF($D$1212="",0,$D1252*Table3[[#This Row],[CF]]*chronic_consumption!$Y52/1000/$C$3)</f>
        <v>#DIV/0!</v>
      </c>
      <c r="AE1252" s="1098" t="e">
        <f>IF($D$1212="",0,$D1252*Table3[[#This Row],[CF]]*chronic_consumption!$Z52/1000/$C$3)</f>
        <v>#DIV/0!</v>
      </c>
      <c r="AF1252" s="1098" t="e">
        <f>IF($D$1212="",0,$D1252*Table3[[#This Row],[CF]]*chronic_consumption!$AA52/1000/$C$3)</f>
        <v>#DIV/0!</v>
      </c>
      <c r="AG1252" s="1098" t="e">
        <f>IF($D$1212="",0,$D1252*Table3[[#This Row],[CF]]*chronic_consumption!$AB52/1000/$C$3)</f>
        <v>#DIV/0!</v>
      </c>
      <c r="AH1252" s="1098" t="e">
        <f>IF($D$1212="",0,$D1252*Table3[[#This Row],[CF]]*chronic_consumption!$AC52/1000/$C$3)</f>
        <v>#DIV/0!</v>
      </c>
      <c r="AI1252" s="1098" t="e">
        <f>IF($D$1212="",0,$D1252*Table3[[#This Row],[CF]]*chronic_consumption!$AD52/1000/$C$3)</f>
        <v>#DIV/0!</v>
      </c>
      <c r="AJ1252" s="1098" t="e">
        <f>IF($D$1212="",0,$D1252*Table3[[#This Row],[CF]]*chronic_consumption!$AE52/1000/$C$3)</f>
        <v>#DIV/0!</v>
      </c>
      <c r="AK1252" s="1098" t="e">
        <f>IF($D$1212="",0,$D1252*Table3[[#This Row],[CF]]*chronic_consumption!$AF52/1000/$C$3)</f>
        <v>#DIV/0!</v>
      </c>
      <c r="AL1252" s="1098" t="e">
        <f>IF($D$1212="",0,$D1252*Table3[[#This Row],[CF]]*chronic_consumption!$AG52/1000/$C$3)</f>
        <v>#DIV/0!</v>
      </c>
      <c r="AM1252" s="1098" t="e">
        <f>IF($D$1212="",0,$D1252*Table3[[#This Row],[CF]]*chronic_consumption!$AH52/1000/$C$3)</f>
        <v>#DIV/0!</v>
      </c>
      <c r="AN1252" s="1098" t="e">
        <f>IF($D$1212="",0,$D1252*Table3[[#This Row],[CF]]*chronic_consumption!$AI52/1000/$C$3)</f>
        <v>#DIV/0!</v>
      </c>
      <c r="AO1252" s="1098" t="e">
        <f>IF($D$1212="",0,$D1252*Table3[[#This Row],[CF]]*chronic_consumption!$AJ52/1000/$C$3)</f>
        <v>#DIV/0!</v>
      </c>
      <c r="AP1252" s="1098" t="e">
        <f>IF($D$1212="",0,$D1252*Table3[[#This Row],[CF]]*chronic_consumption!$AK52/1000/$C$3)</f>
        <v>#DIV/0!</v>
      </c>
      <c r="AQ1252" s="1098" t="e">
        <f>IF($D$1212="",0,$D1252*Table3[[#This Row],[CF]]*chronic_consumption!$AL52/1000/$C$3)</f>
        <v>#DIV/0!</v>
      </c>
      <c r="AR1252" s="1098" t="e">
        <f>IF($D$1212="",0,$D1252*Table3[[#This Row],[CF]]*chronic_consumption!$AM52/1000/$C$3)</f>
        <v>#DIV/0!</v>
      </c>
      <c r="AS1252" s="1098" t="e">
        <f>IF($D$1212="",0,$D1252*Table3[[#This Row],[CF]]*chronic_consumption!$AN52/1000/$C$3)</f>
        <v>#DIV/0!</v>
      </c>
      <c r="AT1252" s="1098" t="e">
        <f>IF($D$1212="",0,$D1252*Table3[[#This Row],[CF]]*chronic_consumption!$AO52/1000/$C$3)</f>
        <v>#DIV/0!</v>
      </c>
      <c r="AU1252" s="1099" t="e">
        <f t="shared" ref="AU1252:AY1261" si="838">IF(AU452="",0,IF(OR(1=RANK(AU852,AU$412:AU$790,0),(2=RANK(AU852,AU$412:AU$790,0))),AU852,AU452))</f>
        <v>#DIV/0!</v>
      </c>
      <c r="AV1252" s="1099" t="e">
        <f t="shared" si="838"/>
        <v>#DIV/0!</v>
      </c>
      <c r="AW1252" s="1099" t="e">
        <f t="shared" si="838"/>
        <v>#DIV/0!</v>
      </c>
      <c r="AX1252" s="1099" t="e">
        <f t="shared" si="838"/>
        <v>#DIV/0!</v>
      </c>
      <c r="AY1252" s="1099" t="e">
        <f t="shared" si="838"/>
        <v>#DIV/0!</v>
      </c>
      <c r="AZ1252" s="1091" t="s">
        <v>1012</v>
      </c>
      <c r="BA1252" s="1097" t="e">
        <f>IF(Table3[[#This Row],[max]]&lt;&gt;0,RANK(Table3[[#This Row],[max]],Table3[max],0),"")</f>
        <v>#DIV/0!</v>
      </c>
      <c r="BB1252" s="1096" t="e">
        <f t="shared" si="831"/>
        <v>#DIV/0!</v>
      </c>
      <c r="BC1252" s="1096" t="e">
        <f t="shared" ca="1" si="832"/>
        <v>#DIV/0!</v>
      </c>
      <c r="BD1252" s="1096" t="e">
        <f>IF(Table3[[#This Row],[max]]&gt;0,Table3[[#This Row],[Crop groups and examples of individual products within the groups to which the MRLs apply]],"")</f>
        <v>#DIV/0!</v>
      </c>
    </row>
    <row r="1253" spans="2:56" x14ac:dyDescent="0.2">
      <c r="B1253" s="23">
        <f t="shared" si="837"/>
        <v>153020</v>
      </c>
      <c r="C1253" s="23" t="str">
        <f t="shared" si="837"/>
        <v>Dewberries</v>
      </c>
      <c r="D1253" s="1084">
        <f>input_values!E53</f>
        <v>0</v>
      </c>
      <c r="E1253" s="1084">
        <f>input_values!F53</f>
        <v>0</v>
      </c>
      <c r="F1253" s="1085">
        <f>input_values!W53</f>
        <v>1</v>
      </c>
      <c r="G1253" s="1085" t="str">
        <f>IF(Table3[[#This Row],[CF]]&gt;0,CONCATENATE(IF(Table3[[#This Row],[LOQ]]="*","LOQ","MRL"),IF(input_values!G53&gt;0,"×CFrisk","")),"")</f>
        <v>MRL</v>
      </c>
      <c r="H1253" s="1087">
        <f>input_values!L53</f>
        <v>0</v>
      </c>
      <c r="I1253" s="1088">
        <f>input_values!D53</f>
        <v>0</v>
      </c>
      <c r="J1253" s="1098" t="e">
        <f>IF($D$1212="",0,$D1253*Table3[[#This Row],[CF]]*chronic_consumption!$E53/1000/$C$3)</f>
        <v>#DIV/0!</v>
      </c>
      <c r="K1253" s="1098" t="e">
        <f>IF($D$1212="",0,$D1253*Table3[[#This Row],[CF]]*chronic_consumption!$F53/1000/$C$3)</f>
        <v>#DIV/0!</v>
      </c>
      <c r="L1253" s="1098" t="e">
        <f>IF($D$1212="",0,$D1253*Table3[[#This Row],[CF]]*chronic_consumption!$G53/1000/$C$3)</f>
        <v>#DIV/0!</v>
      </c>
      <c r="M1253" s="1098" t="e">
        <f>IF($D$1212="",0,$D1253*Table3[[#This Row],[CF]]*chronic_consumption!$H53/1000/$C$3)</f>
        <v>#DIV/0!</v>
      </c>
      <c r="N1253" s="1098" t="e">
        <f>IF($D$1212="",0,$D1253*Table3[[#This Row],[CF]]*chronic_consumption!$I53/1000/$C$3)</f>
        <v>#DIV/0!</v>
      </c>
      <c r="O1253" s="1098" t="e">
        <f>IF($D$1212="",0,$D1253*Table3[[#This Row],[CF]]*chronic_consumption!$J53/1000/$C$3)</f>
        <v>#DIV/0!</v>
      </c>
      <c r="P1253" s="1098" t="e">
        <f>IF($D$1212="",0,$D1253*Table3[[#This Row],[CF]]*chronic_consumption!$K53/1000/$C$3)</f>
        <v>#DIV/0!</v>
      </c>
      <c r="Q1253" s="1098" t="e">
        <f>IF($D$1212="",0,$D1253*Table3[[#This Row],[CF]]*chronic_consumption!$L53/1000/$C$3)</f>
        <v>#DIV/0!</v>
      </c>
      <c r="R1253" s="1098" t="e">
        <f>IF($D$1212="",0,$D1253*Table3[[#This Row],[CF]]*chronic_consumption!$M53/1000/$C$3)</f>
        <v>#DIV/0!</v>
      </c>
      <c r="S1253" s="1098" t="e">
        <f>IF($D$1212="",0,$D1253*Table3[[#This Row],[CF]]*chronic_consumption!$N53/1000/$C$3)</f>
        <v>#DIV/0!</v>
      </c>
      <c r="T1253" s="1098" t="e">
        <f>IF($D$1212="",0,$D1253*Table3[[#This Row],[CF]]*chronic_consumption!$O53/1000/$C$3)</f>
        <v>#DIV/0!</v>
      </c>
      <c r="U1253" s="1098" t="e">
        <f>IF($D$1212="",0,$D1253*Table3[[#This Row],[CF]]*chronic_consumption!$P53/1000/$C$3)</f>
        <v>#DIV/0!</v>
      </c>
      <c r="V1253" s="1098" t="e">
        <f>IF($D$1212="",0,$D1253*Table3[[#This Row],[CF]]*chronic_consumption!$Q53/1000/$C$3)</f>
        <v>#DIV/0!</v>
      </c>
      <c r="W1253" s="1098" t="e">
        <f>IF($D$1212="",0,$D1253*Table3[[#This Row],[CF]]*chronic_consumption!$R53/1000/$C$3)</f>
        <v>#DIV/0!</v>
      </c>
      <c r="X1253" s="1098" t="e">
        <f>IF($D$1212="",0,$D1253*Table3[[#This Row],[CF]]*chronic_consumption!$S53/1000/$C$3)</f>
        <v>#DIV/0!</v>
      </c>
      <c r="Y1253" s="1098" t="e">
        <f>IF($D$1212="",0,$D1253*Table3[[#This Row],[CF]]*chronic_consumption!$T53/1000/$C$3)</f>
        <v>#DIV/0!</v>
      </c>
      <c r="Z1253" s="1098" t="e">
        <f>IF($D$1212="",0,$D1253*Table3[[#This Row],[CF]]*chronic_consumption!$U53/1000/$C$3)</f>
        <v>#DIV/0!</v>
      </c>
      <c r="AA1253" s="1098" t="e">
        <f>IF($D$1212="",0,$D1253*Table3[[#This Row],[CF]]*chronic_consumption!$V53/1000/$C$3)</f>
        <v>#DIV/0!</v>
      </c>
      <c r="AB1253" s="1098" t="e">
        <f>IF($D$1212="",0,$D1253*Table3[[#This Row],[CF]]*chronic_consumption!$W53/1000/$C$3)</f>
        <v>#DIV/0!</v>
      </c>
      <c r="AC1253" s="1098" t="e">
        <f>IF($D$1212="",0,$D1253*Table3[[#This Row],[CF]]*chronic_consumption!$X53/1000/$C$3)</f>
        <v>#DIV/0!</v>
      </c>
      <c r="AD1253" s="1098" t="e">
        <f>IF($D$1212="",0,$D1253*Table3[[#This Row],[CF]]*chronic_consumption!$Y53/1000/$C$3)</f>
        <v>#DIV/0!</v>
      </c>
      <c r="AE1253" s="1098" t="e">
        <f>IF($D$1212="",0,$D1253*Table3[[#This Row],[CF]]*chronic_consumption!$Z53/1000/$C$3)</f>
        <v>#DIV/0!</v>
      </c>
      <c r="AF1253" s="1098" t="e">
        <f>IF($D$1212="",0,$D1253*Table3[[#This Row],[CF]]*chronic_consumption!$AA53/1000/$C$3)</f>
        <v>#DIV/0!</v>
      </c>
      <c r="AG1253" s="1098" t="e">
        <f>IF($D$1212="",0,$D1253*Table3[[#This Row],[CF]]*chronic_consumption!$AB53/1000/$C$3)</f>
        <v>#DIV/0!</v>
      </c>
      <c r="AH1253" s="1098" t="e">
        <f>IF($D$1212="",0,$D1253*Table3[[#This Row],[CF]]*chronic_consumption!$AC53/1000/$C$3)</f>
        <v>#DIV/0!</v>
      </c>
      <c r="AI1253" s="1098" t="e">
        <f>IF($D$1212="",0,$D1253*Table3[[#This Row],[CF]]*chronic_consumption!$AD53/1000/$C$3)</f>
        <v>#DIV/0!</v>
      </c>
      <c r="AJ1253" s="1098" t="e">
        <f>IF($D$1212="",0,$D1253*Table3[[#This Row],[CF]]*chronic_consumption!$AE53/1000/$C$3)</f>
        <v>#DIV/0!</v>
      </c>
      <c r="AK1253" s="1098" t="e">
        <f>IF($D$1212="",0,$D1253*Table3[[#This Row],[CF]]*chronic_consumption!$AF53/1000/$C$3)</f>
        <v>#DIV/0!</v>
      </c>
      <c r="AL1253" s="1098" t="e">
        <f>IF($D$1212="",0,$D1253*Table3[[#This Row],[CF]]*chronic_consumption!$AG53/1000/$C$3)</f>
        <v>#DIV/0!</v>
      </c>
      <c r="AM1253" s="1098" t="e">
        <f>IF($D$1212="",0,$D1253*Table3[[#This Row],[CF]]*chronic_consumption!$AH53/1000/$C$3)</f>
        <v>#DIV/0!</v>
      </c>
      <c r="AN1253" s="1098" t="e">
        <f>IF($D$1212="",0,$D1253*Table3[[#This Row],[CF]]*chronic_consumption!$AI53/1000/$C$3)</f>
        <v>#DIV/0!</v>
      </c>
      <c r="AO1253" s="1098" t="e">
        <f>IF($D$1212="",0,$D1253*Table3[[#This Row],[CF]]*chronic_consumption!$AJ53/1000/$C$3)</f>
        <v>#DIV/0!</v>
      </c>
      <c r="AP1253" s="1098" t="e">
        <f>IF($D$1212="",0,$D1253*Table3[[#This Row],[CF]]*chronic_consumption!$AK53/1000/$C$3)</f>
        <v>#DIV/0!</v>
      </c>
      <c r="AQ1253" s="1098" t="e">
        <f>IF($D$1212="",0,$D1253*Table3[[#This Row],[CF]]*chronic_consumption!$AL53/1000/$C$3)</f>
        <v>#DIV/0!</v>
      </c>
      <c r="AR1253" s="1098" t="e">
        <f>IF($D$1212="",0,$D1253*Table3[[#This Row],[CF]]*chronic_consumption!$AM53/1000/$C$3)</f>
        <v>#DIV/0!</v>
      </c>
      <c r="AS1253" s="1098" t="e">
        <f>IF($D$1212="",0,$D1253*Table3[[#This Row],[CF]]*chronic_consumption!$AN53/1000/$C$3)</f>
        <v>#DIV/0!</v>
      </c>
      <c r="AT1253" s="1098" t="e">
        <f>IF($D$1212="",0,$D1253*Table3[[#This Row],[CF]]*chronic_consumption!$AO53/1000/$C$3)</f>
        <v>#DIV/0!</v>
      </c>
      <c r="AU1253" s="1099" t="e">
        <f t="shared" si="838"/>
        <v>#DIV/0!</v>
      </c>
      <c r="AV1253" s="1099" t="e">
        <f t="shared" si="838"/>
        <v>#DIV/0!</v>
      </c>
      <c r="AW1253" s="1099" t="e">
        <f t="shared" si="838"/>
        <v>#DIV/0!</v>
      </c>
      <c r="AX1253" s="1099" t="e">
        <f t="shared" si="838"/>
        <v>#DIV/0!</v>
      </c>
      <c r="AY1253" s="1099" t="e">
        <f t="shared" si="838"/>
        <v>#DIV/0!</v>
      </c>
      <c r="AZ1253" s="1091" t="s">
        <v>1012</v>
      </c>
      <c r="BA1253" s="1097" t="e">
        <f>IF(Table3[[#This Row],[max]]&lt;&gt;0,RANK(Table3[[#This Row],[max]],Table3[max],0),"")</f>
        <v>#DIV/0!</v>
      </c>
      <c r="BB1253" s="1096" t="e">
        <f t="shared" si="831"/>
        <v>#DIV/0!</v>
      </c>
      <c r="BC1253" s="1096" t="e">
        <f t="shared" ca="1" si="832"/>
        <v>#DIV/0!</v>
      </c>
      <c r="BD1253" s="1096" t="e">
        <f>IF(Table3[[#This Row],[max]]&gt;0,Table3[[#This Row],[Crop groups and examples of individual products within the groups to which the MRLs apply]],"")</f>
        <v>#DIV/0!</v>
      </c>
    </row>
    <row r="1254" spans="2:56" x14ac:dyDescent="0.2">
      <c r="B1254" s="23">
        <f t="shared" si="837"/>
        <v>153030</v>
      </c>
      <c r="C1254" s="23" t="str">
        <f t="shared" si="837"/>
        <v>Raspberries (red and yellow)</v>
      </c>
      <c r="D1254" s="1084">
        <f>input_values!E54</f>
        <v>0</v>
      </c>
      <c r="E1254" s="1084">
        <f>input_values!F54</f>
        <v>0</v>
      </c>
      <c r="F1254" s="1085">
        <f>input_values!W54</f>
        <v>1</v>
      </c>
      <c r="G1254" s="1085" t="str">
        <f>IF(Table3[[#This Row],[CF]]&gt;0,CONCATENATE(IF(Table3[[#This Row],[LOQ]]="*","LOQ","MRL"),IF(input_values!G54&gt;0,"×CFrisk","")),"")</f>
        <v>MRL</v>
      </c>
      <c r="H1254" s="1087">
        <f>input_values!L54</f>
        <v>0</v>
      </c>
      <c r="I1254" s="1088">
        <f>input_values!D54</f>
        <v>0</v>
      </c>
      <c r="J1254" s="1098" t="e">
        <f>IF($D$1212="",0,$D1254*Table3[[#This Row],[CF]]*chronic_consumption!$E54/1000/$C$3)</f>
        <v>#DIV/0!</v>
      </c>
      <c r="K1254" s="1098" t="e">
        <f>IF($D$1212="",0,$D1254*Table3[[#This Row],[CF]]*chronic_consumption!$F54/1000/$C$3)</f>
        <v>#DIV/0!</v>
      </c>
      <c r="L1254" s="1098" t="e">
        <f>IF($D$1212="",0,$D1254*Table3[[#This Row],[CF]]*chronic_consumption!$G54/1000/$C$3)</f>
        <v>#DIV/0!</v>
      </c>
      <c r="M1254" s="1098" t="e">
        <f>IF($D$1212="",0,$D1254*Table3[[#This Row],[CF]]*chronic_consumption!$H54/1000/$C$3)</f>
        <v>#DIV/0!</v>
      </c>
      <c r="N1254" s="1098" t="e">
        <f>IF($D$1212="",0,$D1254*Table3[[#This Row],[CF]]*chronic_consumption!$I54/1000/$C$3)</f>
        <v>#DIV/0!</v>
      </c>
      <c r="O1254" s="1098" t="e">
        <f>IF($D$1212="",0,$D1254*Table3[[#This Row],[CF]]*chronic_consumption!$J54/1000/$C$3)</f>
        <v>#DIV/0!</v>
      </c>
      <c r="P1254" s="1098" t="e">
        <f>IF($D$1212="",0,$D1254*Table3[[#This Row],[CF]]*chronic_consumption!$K54/1000/$C$3)</f>
        <v>#DIV/0!</v>
      </c>
      <c r="Q1254" s="1098" t="e">
        <f>IF($D$1212="",0,$D1254*Table3[[#This Row],[CF]]*chronic_consumption!$L54/1000/$C$3)</f>
        <v>#DIV/0!</v>
      </c>
      <c r="R1254" s="1098" t="e">
        <f>IF($D$1212="",0,$D1254*Table3[[#This Row],[CF]]*chronic_consumption!$M54/1000/$C$3)</f>
        <v>#DIV/0!</v>
      </c>
      <c r="S1254" s="1098" t="e">
        <f>IF($D$1212="",0,$D1254*Table3[[#This Row],[CF]]*chronic_consumption!$N54/1000/$C$3)</f>
        <v>#DIV/0!</v>
      </c>
      <c r="T1254" s="1098" t="e">
        <f>IF($D$1212="",0,$D1254*Table3[[#This Row],[CF]]*chronic_consumption!$O54/1000/$C$3)</f>
        <v>#DIV/0!</v>
      </c>
      <c r="U1254" s="1098" t="e">
        <f>IF($D$1212="",0,$D1254*Table3[[#This Row],[CF]]*chronic_consumption!$P54/1000/$C$3)</f>
        <v>#DIV/0!</v>
      </c>
      <c r="V1254" s="1098" t="e">
        <f>IF($D$1212="",0,$D1254*Table3[[#This Row],[CF]]*chronic_consumption!$Q54/1000/$C$3)</f>
        <v>#DIV/0!</v>
      </c>
      <c r="W1254" s="1098" t="e">
        <f>IF($D$1212="",0,$D1254*Table3[[#This Row],[CF]]*chronic_consumption!$R54/1000/$C$3)</f>
        <v>#DIV/0!</v>
      </c>
      <c r="X1254" s="1098" t="e">
        <f>IF($D$1212="",0,$D1254*Table3[[#This Row],[CF]]*chronic_consumption!$S54/1000/$C$3)</f>
        <v>#DIV/0!</v>
      </c>
      <c r="Y1254" s="1098" t="e">
        <f>IF($D$1212="",0,$D1254*Table3[[#This Row],[CF]]*chronic_consumption!$T54/1000/$C$3)</f>
        <v>#DIV/0!</v>
      </c>
      <c r="Z1254" s="1098" t="e">
        <f>IF($D$1212="",0,$D1254*Table3[[#This Row],[CF]]*chronic_consumption!$U54/1000/$C$3)</f>
        <v>#DIV/0!</v>
      </c>
      <c r="AA1254" s="1098" t="e">
        <f>IF($D$1212="",0,$D1254*Table3[[#This Row],[CF]]*chronic_consumption!$V54/1000/$C$3)</f>
        <v>#DIV/0!</v>
      </c>
      <c r="AB1254" s="1098" t="e">
        <f>IF($D$1212="",0,$D1254*Table3[[#This Row],[CF]]*chronic_consumption!$W54/1000/$C$3)</f>
        <v>#DIV/0!</v>
      </c>
      <c r="AC1254" s="1098" t="e">
        <f>IF($D$1212="",0,$D1254*Table3[[#This Row],[CF]]*chronic_consumption!$X54/1000/$C$3)</f>
        <v>#DIV/0!</v>
      </c>
      <c r="AD1254" s="1098" t="e">
        <f>IF($D$1212="",0,$D1254*Table3[[#This Row],[CF]]*chronic_consumption!$Y54/1000/$C$3)</f>
        <v>#DIV/0!</v>
      </c>
      <c r="AE1254" s="1098" t="e">
        <f>IF($D$1212="",0,$D1254*Table3[[#This Row],[CF]]*chronic_consumption!$Z54/1000/$C$3)</f>
        <v>#DIV/0!</v>
      </c>
      <c r="AF1254" s="1098" t="e">
        <f>IF($D$1212="",0,$D1254*Table3[[#This Row],[CF]]*chronic_consumption!$AA54/1000/$C$3)</f>
        <v>#DIV/0!</v>
      </c>
      <c r="AG1254" s="1098" t="e">
        <f>IF($D$1212="",0,$D1254*Table3[[#This Row],[CF]]*chronic_consumption!$AB54/1000/$C$3)</f>
        <v>#DIV/0!</v>
      </c>
      <c r="AH1254" s="1098" t="e">
        <f>IF($D$1212="",0,$D1254*Table3[[#This Row],[CF]]*chronic_consumption!$AC54/1000/$C$3)</f>
        <v>#DIV/0!</v>
      </c>
      <c r="AI1254" s="1098" t="e">
        <f>IF($D$1212="",0,$D1254*Table3[[#This Row],[CF]]*chronic_consumption!$AD54/1000/$C$3)</f>
        <v>#DIV/0!</v>
      </c>
      <c r="AJ1254" s="1098" t="e">
        <f>IF($D$1212="",0,$D1254*Table3[[#This Row],[CF]]*chronic_consumption!$AE54/1000/$C$3)</f>
        <v>#DIV/0!</v>
      </c>
      <c r="AK1254" s="1098" t="e">
        <f>IF($D$1212="",0,$D1254*Table3[[#This Row],[CF]]*chronic_consumption!$AF54/1000/$C$3)</f>
        <v>#DIV/0!</v>
      </c>
      <c r="AL1254" s="1098" t="e">
        <f>IF($D$1212="",0,$D1254*Table3[[#This Row],[CF]]*chronic_consumption!$AG54/1000/$C$3)</f>
        <v>#DIV/0!</v>
      </c>
      <c r="AM1254" s="1098" t="e">
        <f>IF($D$1212="",0,$D1254*Table3[[#This Row],[CF]]*chronic_consumption!$AH54/1000/$C$3)</f>
        <v>#DIV/0!</v>
      </c>
      <c r="AN1254" s="1098" t="e">
        <f>IF($D$1212="",0,$D1254*Table3[[#This Row],[CF]]*chronic_consumption!$AI54/1000/$C$3)</f>
        <v>#DIV/0!</v>
      </c>
      <c r="AO1254" s="1098" t="e">
        <f>IF($D$1212="",0,$D1254*Table3[[#This Row],[CF]]*chronic_consumption!$AJ54/1000/$C$3)</f>
        <v>#DIV/0!</v>
      </c>
      <c r="AP1254" s="1098" t="e">
        <f>IF($D$1212="",0,$D1254*Table3[[#This Row],[CF]]*chronic_consumption!$AK54/1000/$C$3)</f>
        <v>#DIV/0!</v>
      </c>
      <c r="AQ1254" s="1098" t="e">
        <f>IF($D$1212="",0,$D1254*Table3[[#This Row],[CF]]*chronic_consumption!$AL54/1000/$C$3)</f>
        <v>#DIV/0!</v>
      </c>
      <c r="AR1254" s="1098" t="e">
        <f>IF($D$1212="",0,$D1254*Table3[[#This Row],[CF]]*chronic_consumption!$AM54/1000/$C$3)</f>
        <v>#DIV/0!</v>
      </c>
      <c r="AS1254" s="1098" t="e">
        <f>IF($D$1212="",0,$D1254*Table3[[#This Row],[CF]]*chronic_consumption!$AN54/1000/$C$3)</f>
        <v>#DIV/0!</v>
      </c>
      <c r="AT1254" s="1098" t="e">
        <f>IF($D$1212="",0,$D1254*Table3[[#This Row],[CF]]*chronic_consumption!$AO54/1000/$C$3)</f>
        <v>#DIV/0!</v>
      </c>
      <c r="AU1254" s="1099" t="e">
        <f t="shared" si="838"/>
        <v>#DIV/0!</v>
      </c>
      <c r="AV1254" s="1099" t="e">
        <f t="shared" si="838"/>
        <v>#DIV/0!</v>
      </c>
      <c r="AW1254" s="1099" t="e">
        <f t="shared" si="838"/>
        <v>#DIV/0!</v>
      </c>
      <c r="AX1254" s="1099" t="e">
        <f t="shared" si="838"/>
        <v>#DIV/0!</v>
      </c>
      <c r="AY1254" s="1099" t="e">
        <f t="shared" si="838"/>
        <v>#DIV/0!</v>
      </c>
      <c r="AZ1254" s="1091" t="s">
        <v>1012</v>
      </c>
      <c r="BA1254" s="1097" t="e">
        <f>IF(Table3[[#This Row],[max]]&lt;&gt;0,RANK(Table3[[#This Row],[max]],Table3[max],0),"")</f>
        <v>#DIV/0!</v>
      </c>
      <c r="BB1254" s="1096" t="e">
        <f t="shared" si="831"/>
        <v>#DIV/0!</v>
      </c>
      <c r="BC1254" s="1096" t="e">
        <f t="shared" ca="1" si="832"/>
        <v>#DIV/0!</v>
      </c>
      <c r="BD1254" s="1096" t="e">
        <f>IF(Table3[[#This Row],[max]]&gt;0,Table3[[#This Row],[Crop groups and examples of individual products within the groups to which the MRLs apply]],"")</f>
        <v>#DIV/0!</v>
      </c>
    </row>
    <row r="1255" spans="2:56" x14ac:dyDescent="0.2">
      <c r="B1255" s="23">
        <f t="shared" si="837"/>
        <v>153990</v>
      </c>
      <c r="C1255" s="23" t="str">
        <f t="shared" si="837"/>
        <v>Other cane fruit</v>
      </c>
      <c r="D1255" s="1084">
        <f>input_values!E55</f>
        <v>0</v>
      </c>
      <c r="E1255" s="1084">
        <f>input_values!F55</f>
        <v>0</v>
      </c>
      <c r="F1255" s="1085">
        <f>input_values!W55</f>
        <v>1</v>
      </c>
      <c r="G1255" s="1085" t="str">
        <f>IF(Table3[[#This Row],[CF]]&gt;0,CONCATENATE(IF(Table3[[#This Row],[LOQ]]="*","LOQ","MRL"),IF(input_values!G55&gt;0,"×CFrisk","")),"")</f>
        <v>MRL</v>
      </c>
      <c r="H1255" s="1087">
        <f>input_values!L55</f>
        <v>0</v>
      </c>
      <c r="I1255" s="1088">
        <f>input_values!D55</f>
        <v>0</v>
      </c>
      <c r="J1255" s="1098" t="e">
        <f>IF($D$1212="",0,$D1255*Table3[[#This Row],[CF]]*chronic_consumption!$E55/1000/$C$3)</f>
        <v>#DIV/0!</v>
      </c>
      <c r="K1255" s="1098" t="e">
        <f>IF($D$1212="",0,$D1255*Table3[[#This Row],[CF]]*chronic_consumption!$F55/1000/$C$3)</f>
        <v>#DIV/0!</v>
      </c>
      <c r="L1255" s="1098" t="e">
        <f>IF($D$1212="",0,$D1255*Table3[[#This Row],[CF]]*chronic_consumption!$G55/1000/$C$3)</f>
        <v>#DIV/0!</v>
      </c>
      <c r="M1255" s="1098" t="e">
        <f>IF($D$1212="",0,$D1255*Table3[[#This Row],[CF]]*chronic_consumption!$H55/1000/$C$3)</f>
        <v>#DIV/0!</v>
      </c>
      <c r="N1255" s="1098" t="e">
        <f>IF($D$1212="",0,$D1255*Table3[[#This Row],[CF]]*chronic_consumption!$I55/1000/$C$3)</f>
        <v>#DIV/0!</v>
      </c>
      <c r="O1255" s="1098" t="e">
        <f>IF($D$1212="",0,$D1255*Table3[[#This Row],[CF]]*chronic_consumption!$J55/1000/$C$3)</f>
        <v>#DIV/0!</v>
      </c>
      <c r="P1255" s="1098" t="e">
        <f>IF($D$1212="",0,$D1255*Table3[[#This Row],[CF]]*chronic_consumption!$K55/1000/$C$3)</f>
        <v>#DIV/0!</v>
      </c>
      <c r="Q1255" s="1098" t="e">
        <f>IF($D$1212="",0,$D1255*Table3[[#This Row],[CF]]*chronic_consumption!$L55/1000/$C$3)</f>
        <v>#DIV/0!</v>
      </c>
      <c r="R1255" s="1098" t="e">
        <f>IF($D$1212="",0,$D1255*Table3[[#This Row],[CF]]*chronic_consumption!$M55/1000/$C$3)</f>
        <v>#DIV/0!</v>
      </c>
      <c r="S1255" s="1098" t="e">
        <f>IF($D$1212="",0,$D1255*Table3[[#This Row],[CF]]*chronic_consumption!$N55/1000/$C$3)</f>
        <v>#DIV/0!</v>
      </c>
      <c r="T1255" s="1098" t="e">
        <f>IF($D$1212="",0,$D1255*Table3[[#This Row],[CF]]*chronic_consumption!$O55/1000/$C$3)</f>
        <v>#DIV/0!</v>
      </c>
      <c r="U1255" s="1098" t="e">
        <f>IF($D$1212="",0,$D1255*Table3[[#This Row],[CF]]*chronic_consumption!$P55/1000/$C$3)</f>
        <v>#DIV/0!</v>
      </c>
      <c r="V1255" s="1098" t="e">
        <f>IF($D$1212="",0,$D1255*Table3[[#This Row],[CF]]*chronic_consumption!$Q55/1000/$C$3)</f>
        <v>#DIV/0!</v>
      </c>
      <c r="W1255" s="1098" t="e">
        <f>IF($D$1212="",0,$D1255*Table3[[#This Row],[CF]]*chronic_consumption!$R55/1000/$C$3)</f>
        <v>#DIV/0!</v>
      </c>
      <c r="X1255" s="1098" t="e">
        <f>IF($D$1212="",0,$D1255*Table3[[#This Row],[CF]]*chronic_consumption!$S55/1000/$C$3)</f>
        <v>#DIV/0!</v>
      </c>
      <c r="Y1255" s="1098" t="e">
        <f>IF($D$1212="",0,$D1255*Table3[[#This Row],[CF]]*chronic_consumption!$T55/1000/$C$3)</f>
        <v>#DIV/0!</v>
      </c>
      <c r="Z1255" s="1098" t="e">
        <f>IF($D$1212="",0,$D1255*Table3[[#This Row],[CF]]*chronic_consumption!$U55/1000/$C$3)</f>
        <v>#DIV/0!</v>
      </c>
      <c r="AA1255" s="1098" t="e">
        <f>IF($D$1212="",0,$D1255*Table3[[#This Row],[CF]]*chronic_consumption!$V55/1000/$C$3)</f>
        <v>#DIV/0!</v>
      </c>
      <c r="AB1255" s="1098" t="e">
        <f>IF($D$1212="",0,$D1255*Table3[[#This Row],[CF]]*chronic_consumption!$W55/1000/$C$3)</f>
        <v>#DIV/0!</v>
      </c>
      <c r="AC1255" s="1098" t="e">
        <f>IF($D$1212="",0,$D1255*Table3[[#This Row],[CF]]*chronic_consumption!$X55/1000/$C$3)</f>
        <v>#DIV/0!</v>
      </c>
      <c r="AD1255" s="1098" t="e">
        <f>IF($D$1212="",0,$D1255*Table3[[#This Row],[CF]]*chronic_consumption!$Y55/1000/$C$3)</f>
        <v>#DIV/0!</v>
      </c>
      <c r="AE1255" s="1098" t="e">
        <f>IF($D$1212="",0,$D1255*Table3[[#This Row],[CF]]*chronic_consumption!$Z55/1000/$C$3)</f>
        <v>#DIV/0!</v>
      </c>
      <c r="AF1255" s="1098" t="e">
        <f>IF($D$1212="",0,$D1255*Table3[[#This Row],[CF]]*chronic_consumption!$AA55/1000/$C$3)</f>
        <v>#DIV/0!</v>
      </c>
      <c r="AG1255" s="1098" t="e">
        <f>IF($D$1212="",0,$D1255*Table3[[#This Row],[CF]]*chronic_consumption!$AB55/1000/$C$3)</f>
        <v>#DIV/0!</v>
      </c>
      <c r="AH1255" s="1098" t="e">
        <f>IF($D$1212="",0,$D1255*Table3[[#This Row],[CF]]*chronic_consumption!$AC55/1000/$C$3)</f>
        <v>#DIV/0!</v>
      </c>
      <c r="AI1255" s="1098" t="e">
        <f>IF($D$1212="",0,$D1255*Table3[[#This Row],[CF]]*chronic_consumption!$AD55/1000/$C$3)</f>
        <v>#DIV/0!</v>
      </c>
      <c r="AJ1255" s="1098" t="e">
        <f>IF($D$1212="",0,$D1255*Table3[[#This Row],[CF]]*chronic_consumption!$AE55/1000/$C$3)</f>
        <v>#DIV/0!</v>
      </c>
      <c r="AK1255" s="1098" t="e">
        <f>IF($D$1212="",0,$D1255*Table3[[#This Row],[CF]]*chronic_consumption!$AF55/1000/$C$3)</f>
        <v>#DIV/0!</v>
      </c>
      <c r="AL1255" s="1098" t="e">
        <f>IF($D$1212="",0,$D1255*Table3[[#This Row],[CF]]*chronic_consumption!$AG55/1000/$C$3)</f>
        <v>#DIV/0!</v>
      </c>
      <c r="AM1255" s="1098" t="e">
        <f>IF($D$1212="",0,$D1255*Table3[[#This Row],[CF]]*chronic_consumption!$AH55/1000/$C$3)</f>
        <v>#DIV/0!</v>
      </c>
      <c r="AN1255" s="1098" t="e">
        <f>IF($D$1212="",0,$D1255*Table3[[#This Row],[CF]]*chronic_consumption!$AI55/1000/$C$3)</f>
        <v>#DIV/0!</v>
      </c>
      <c r="AO1255" s="1098" t="e">
        <f>IF($D$1212="",0,$D1255*Table3[[#This Row],[CF]]*chronic_consumption!$AJ55/1000/$C$3)</f>
        <v>#DIV/0!</v>
      </c>
      <c r="AP1255" s="1098" t="e">
        <f>IF($D$1212="",0,$D1255*Table3[[#This Row],[CF]]*chronic_consumption!$AK55/1000/$C$3)</f>
        <v>#DIV/0!</v>
      </c>
      <c r="AQ1255" s="1098" t="e">
        <f>IF($D$1212="",0,$D1255*Table3[[#This Row],[CF]]*chronic_consumption!$AL55/1000/$C$3)</f>
        <v>#DIV/0!</v>
      </c>
      <c r="AR1255" s="1098" t="e">
        <f>IF($D$1212="",0,$D1255*Table3[[#This Row],[CF]]*chronic_consumption!$AM55/1000/$C$3)</f>
        <v>#DIV/0!</v>
      </c>
      <c r="AS1255" s="1098" t="e">
        <f>IF($D$1212="",0,$D1255*Table3[[#This Row],[CF]]*chronic_consumption!$AN55/1000/$C$3)</f>
        <v>#DIV/0!</v>
      </c>
      <c r="AT1255" s="1098" t="e">
        <f>IF($D$1212="",0,$D1255*Table3[[#This Row],[CF]]*chronic_consumption!$AO55/1000/$C$3)</f>
        <v>#DIV/0!</v>
      </c>
      <c r="AU1255" s="1099" t="e">
        <f t="shared" si="838"/>
        <v>#DIV/0!</v>
      </c>
      <c r="AV1255" s="1099" t="e">
        <f t="shared" si="838"/>
        <v>#DIV/0!</v>
      </c>
      <c r="AW1255" s="1099" t="e">
        <f t="shared" si="838"/>
        <v>#DIV/0!</v>
      </c>
      <c r="AX1255" s="1099" t="e">
        <f t="shared" si="838"/>
        <v>#DIV/0!</v>
      </c>
      <c r="AY1255" s="1099" t="e">
        <f t="shared" si="838"/>
        <v>#DIV/0!</v>
      </c>
      <c r="AZ1255" s="1091" t="s">
        <v>1012</v>
      </c>
      <c r="BA1255" s="1097" t="e">
        <f>IF(Table3[[#This Row],[max]]&lt;&gt;0,RANK(Table3[[#This Row],[max]],Table3[max],0),"")</f>
        <v>#DIV/0!</v>
      </c>
      <c r="BB1255" s="1096" t="e">
        <f t="shared" si="831"/>
        <v>#DIV/0!</v>
      </c>
      <c r="BC1255" s="1096" t="e">
        <f t="shared" ca="1" si="832"/>
        <v>#DIV/0!</v>
      </c>
      <c r="BD1255" s="1096" t="e">
        <f>IF(Table3[[#This Row],[max]]&gt;0,Table3[[#This Row],[Crop groups and examples of individual products within the groups to which the MRLs apply]],"")</f>
        <v>#DIV/0!</v>
      </c>
    </row>
    <row r="1256" spans="2:56" x14ac:dyDescent="0.2">
      <c r="B1256" s="3">
        <f t="shared" si="837"/>
        <v>154000</v>
      </c>
      <c r="C1256" s="3" t="str">
        <f t="shared" si="837"/>
        <v xml:space="preserve">Other small fruit &amp; berries </v>
      </c>
      <c r="D1256" s="1084">
        <f>input_values!E56</f>
        <v>0</v>
      </c>
      <c r="E1256" s="1084">
        <f>input_values!F56</f>
        <v>0</v>
      </c>
      <c r="F1256" s="1085">
        <f>input_values!W56</f>
        <v>0</v>
      </c>
      <c r="G1256" s="1085" t="str">
        <f>IF(Table3[[#This Row],[CF]]&gt;0,CONCATENATE(IF(Table3[[#This Row],[LOQ]]="*","LOQ","MRL"),IF(input_values!G56&gt;0,"×CFrisk","")),"")</f>
        <v/>
      </c>
      <c r="H1256" s="1087">
        <f>input_values!L56</f>
        <v>0</v>
      </c>
      <c r="I1256" s="1088">
        <f>input_values!D56</f>
        <v>0</v>
      </c>
      <c r="J1256" s="1100" t="e">
        <f>IF($D$1212="",0,$D1256*Table3[[#This Row],[CF]]*chronic_consumption!$E56/1000/$C$3)</f>
        <v>#DIV/0!</v>
      </c>
      <c r="K1256" s="1100" t="e">
        <f>IF($D$1212="",0,$D1256*Table3[[#This Row],[CF]]*chronic_consumption!$F56/1000/$C$3)</f>
        <v>#DIV/0!</v>
      </c>
      <c r="L1256" s="1100" t="e">
        <f>IF($D$1212="",0,$D1256*Table3[[#This Row],[CF]]*chronic_consumption!$G56/1000/$C$3)</f>
        <v>#DIV/0!</v>
      </c>
      <c r="M1256" s="1100" t="e">
        <f>IF($D$1212="",0,$D1256*Table3[[#This Row],[CF]]*chronic_consumption!$H56/1000/$C$3)</f>
        <v>#DIV/0!</v>
      </c>
      <c r="N1256" s="1100" t="e">
        <f>IF($D$1212="",0,$D1256*Table3[[#This Row],[CF]]*chronic_consumption!$I56/1000/$C$3)</f>
        <v>#DIV/0!</v>
      </c>
      <c r="O1256" s="1100" t="e">
        <f>IF($D$1212="",0,$D1256*Table3[[#This Row],[CF]]*chronic_consumption!$J56/1000/$C$3)</f>
        <v>#DIV/0!</v>
      </c>
      <c r="P1256" s="1100" t="e">
        <f>IF($D$1212="",0,$D1256*Table3[[#This Row],[CF]]*chronic_consumption!$K56/1000/$C$3)</f>
        <v>#DIV/0!</v>
      </c>
      <c r="Q1256" s="1100" t="e">
        <f>IF($D$1212="",0,$D1256*Table3[[#This Row],[CF]]*chronic_consumption!$L56/1000/$C$3)</f>
        <v>#DIV/0!</v>
      </c>
      <c r="R1256" s="1100" t="e">
        <f>IF($D$1212="",0,$D1256*Table3[[#This Row],[CF]]*chronic_consumption!$M56/1000/$C$3)</f>
        <v>#DIV/0!</v>
      </c>
      <c r="S1256" s="1100" t="e">
        <f>IF($D$1212="",0,$D1256*Table3[[#This Row],[CF]]*chronic_consumption!$N56/1000/$C$3)</f>
        <v>#DIV/0!</v>
      </c>
      <c r="T1256" s="1100" t="e">
        <f>IF($D$1212="",0,$D1256*Table3[[#This Row],[CF]]*chronic_consumption!$O56/1000/$C$3)</f>
        <v>#DIV/0!</v>
      </c>
      <c r="U1256" s="1100" t="e">
        <f>IF($D$1212="",0,$D1256*Table3[[#This Row],[CF]]*chronic_consumption!$P56/1000/$C$3)</f>
        <v>#DIV/0!</v>
      </c>
      <c r="V1256" s="1100" t="e">
        <f>IF($D$1212="",0,$D1256*Table3[[#This Row],[CF]]*chronic_consumption!$Q56/1000/$C$3)</f>
        <v>#DIV/0!</v>
      </c>
      <c r="W1256" s="1100" t="e">
        <f>IF($D$1212="",0,$D1256*Table3[[#This Row],[CF]]*chronic_consumption!$R56/1000/$C$3)</f>
        <v>#DIV/0!</v>
      </c>
      <c r="X1256" s="1100" t="e">
        <f>IF($D$1212="",0,$D1256*Table3[[#This Row],[CF]]*chronic_consumption!$S56/1000/$C$3)</f>
        <v>#DIV/0!</v>
      </c>
      <c r="Y1256" s="1100" t="e">
        <f>IF($D$1212="",0,$D1256*Table3[[#This Row],[CF]]*chronic_consumption!$T56/1000/$C$3)</f>
        <v>#DIV/0!</v>
      </c>
      <c r="Z1256" s="1100" t="e">
        <f>IF($D$1212="",0,$D1256*Table3[[#This Row],[CF]]*chronic_consumption!$U56/1000/$C$3)</f>
        <v>#DIV/0!</v>
      </c>
      <c r="AA1256" s="1100" t="e">
        <f>IF($D$1212="",0,$D1256*Table3[[#This Row],[CF]]*chronic_consumption!$V56/1000/$C$3)</f>
        <v>#DIV/0!</v>
      </c>
      <c r="AB1256" s="1100" t="e">
        <f>IF($D$1212="",0,$D1256*Table3[[#This Row],[CF]]*chronic_consumption!$W56/1000/$C$3)</f>
        <v>#DIV/0!</v>
      </c>
      <c r="AC1256" s="1100" t="e">
        <f>IF($D$1212="",0,$D1256*Table3[[#This Row],[CF]]*chronic_consumption!$X56/1000/$C$3)</f>
        <v>#DIV/0!</v>
      </c>
      <c r="AD1256" s="1100" t="e">
        <f>IF($D$1212="",0,$D1256*Table3[[#This Row],[CF]]*chronic_consumption!$Y56/1000/$C$3)</f>
        <v>#DIV/0!</v>
      </c>
      <c r="AE1256" s="1100" t="e">
        <f>IF($D$1212="",0,$D1256*Table3[[#This Row],[CF]]*chronic_consumption!$Z56/1000/$C$3)</f>
        <v>#DIV/0!</v>
      </c>
      <c r="AF1256" s="1100" t="e">
        <f>IF($D$1212="",0,$D1256*Table3[[#This Row],[CF]]*chronic_consumption!$AA56/1000/$C$3)</f>
        <v>#DIV/0!</v>
      </c>
      <c r="AG1256" s="1100" t="e">
        <f>IF($D$1212="",0,$D1256*Table3[[#This Row],[CF]]*chronic_consumption!$AB56/1000/$C$3)</f>
        <v>#DIV/0!</v>
      </c>
      <c r="AH1256" s="1100" t="e">
        <f>IF($D$1212="",0,$D1256*Table3[[#This Row],[CF]]*chronic_consumption!$AC56/1000/$C$3)</f>
        <v>#DIV/0!</v>
      </c>
      <c r="AI1256" s="1100" t="e">
        <f>IF($D$1212="",0,$D1256*Table3[[#This Row],[CF]]*chronic_consumption!$AD56/1000/$C$3)</f>
        <v>#DIV/0!</v>
      </c>
      <c r="AJ1256" s="1100" t="e">
        <f>IF($D$1212="",0,$D1256*Table3[[#This Row],[CF]]*chronic_consumption!$AE56/1000/$C$3)</f>
        <v>#DIV/0!</v>
      </c>
      <c r="AK1256" s="1100" t="e">
        <f>IF($D$1212="",0,$D1256*Table3[[#This Row],[CF]]*chronic_consumption!$AF56/1000/$C$3)</f>
        <v>#DIV/0!</v>
      </c>
      <c r="AL1256" s="1100" t="e">
        <f>IF($D$1212="",0,$D1256*Table3[[#This Row],[CF]]*chronic_consumption!$AG56/1000/$C$3)</f>
        <v>#DIV/0!</v>
      </c>
      <c r="AM1256" s="1100" t="e">
        <f>IF($D$1212="",0,$D1256*Table3[[#This Row],[CF]]*chronic_consumption!$AH56/1000/$C$3)</f>
        <v>#DIV/0!</v>
      </c>
      <c r="AN1256" s="1100" t="e">
        <f>IF($D$1212="",0,$D1256*Table3[[#This Row],[CF]]*chronic_consumption!$AI56/1000/$C$3)</f>
        <v>#DIV/0!</v>
      </c>
      <c r="AO1256" s="1100" t="e">
        <f>IF($D$1212="",0,$D1256*Table3[[#This Row],[CF]]*chronic_consumption!$AJ56/1000/$C$3)</f>
        <v>#DIV/0!</v>
      </c>
      <c r="AP1256" s="1100" t="e">
        <f>IF($D$1212="",0,$D1256*Table3[[#This Row],[CF]]*chronic_consumption!$AK56/1000/$C$3)</f>
        <v>#DIV/0!</v>
      </c>
      <c r="AQ1256" s="1100" t="e">
        <f>IF($D$1212="",0,$D1256*Table3[[#This Row],[CF]]*chronic_consumption!$AL56/1000/$C$3)</f>
        <v>#DIV/0!</v>
      </c>
      <c r="AR1256" s="1100" t="e">
        <f>IF($D$1212="",0,$D1256*Table3[[#This Row],[CF]]*chronic_consumption!$AM56/1000/$C$3)</f>
        <v>#DIV/0!</v>
      </c>
      <c r="AS1256" s="1100" t="e">
        <f>IF($D$1212="",0,$D1256*Table3[[#This Row],[CF]]*chronic_consumption!$AN56/1000/$C$3)</f>
        <v>#DIV/0!</v>
      </c>
      <c r="AT1256" s="1100" t="e">
        <f>IF($D$1212="",0,$D1256*Table3[[#This Row],[CF]]*chronic_consumption!$AO56/1000/$C$3)</f>
        <v>#DIV/0!</v>
      </c>
      <c r="AU1256" s="1101" t="e">
        <f t="shared" si="838"/>
        <v>#DIV/0!</v>
      </c>
      <c r="AV1256" s="1101" t="e">
        <f t="shared" si="838"/>
        <v>#DIV/0!</v>
      </c>
      <c r="AW1256" s="1101" t="e">
        <f t="shared" si="838"/>
        <v>#DIV/0!</v>
      </c>
      <c r="AX1256" s="1101" t="e">
        <f t="shared" si="838"/>
        <v>#DIV/0!</v>
      </c>
      <c r="AY1256" s="1101" t="e">
        <f t="shared" si="838"/>
        <v>#DIV/0!</v>
      </c>
      <c r="AZ1256" s="1091" t="s">
        <v>1012</v>
      </c>
      <c r="BA1256" s="1097" t="e">
        <f>IF(Table3[[#This Row],[max]]&lt;&gt;0,RANK(Table3[[#This Row],[max]],Table3[max],0),"")</f>
        <v>#DIV/0!</v>
      </c>
      <c r="BB1256" s="1096" t="e">
        <f t="shared" si="831"/>
        <v>#DIV/0!</v>
      </c>
      <c r="BC1256" s="1096" t="e">
        <f t="shared" ca="1" si="832"/>
        <v>#DIV/0!</v>
      </c>
      <c r="BD1256" s="1096" t="e">
        <f>IF(Table3[[#This Row],[max]]&gt;0,Table3[[#This Row],[Crop groups and examples of individual products within the groups to which the MRLs apply]],"")</f>
        <v>#DIV/0!</v>
      </c>
    </row>
    <row r="1257" spans="2:56" x14ac:dyDescent="0.2">
      <c r="B1257" s="23">
        <f t="shared" si="837"/>
        <v>154010</v>
      </c>
      <c r="C1257" s="23" t="str">
        <f t="shared" si="837"/>
        <v>Blueberries</v>
      </c>
      <c r="D1257" s="1084">
        <f>input_values!E57</f>
        <v>0</v>
      </c>
      <c r="E1257" s="1084">
        <f>input_values!F57</f>
        <v>0</v>
      </c>
      <c r="F1257" s="1085">
        <f>input_values!W57</f>
        <v>1</v>
      </c>
      <c r="G1257" s="1085" t="str">
        <f>IF(Table3[[#This Row],[CF]]&gt;0,CONCATENATE(IF(Table3[[#This Row],[LOQ]]="*","LOQ","MRL"),IF(input_values!G57&gt;0,"×CFrisk","")),"")</f>
        <v>MRL</v>
      </c>
      <c r="H1257" s="1087">
        <f>input_values!L57</f>
        <v>0</v>
      </c>
      <c r="I1257" s="1088">
        <f>input_values!D57</f>
        <v>0</v>
      </c>
      <c r="J1257" s="1098" t="e">
        <f>IF($D$1212="",0,$D1257*Table3[[#This Row],[CF]]*chronic_consumption!$E57/1000/$C$3)</f>
        <v>#DIV/0!</v>
      </c>
      <c r="K1257" s="1098" t="e">
        <f>IF($D$1212="",0,$D1257*Table3[[#This Row],[CF]]*chronic_consumption!$F57/1000/$C$3)</f>
        <v>#DIV/0!</v>
      </c>
      <c r="L1257" s="1098" t="e">
        <f>IF($D$1212="",0,$D1257*Table3[[#This Row],[CF]]*chronic_consumption!$G57/1000/$C$3)</f>
        <v>#DIV/0!</v>
      </c>
      <c r="M1257" s="1098" t="e">
        <f>IF($D$1212="",0,$D1257*Table3[[#This Row],[CF]]*chronic_consumption!$H57/1000/$C$3)</f>
        <v>#DIV/0!</v>
      </c>
      <c r="N1257" s="1098" t="e">
        <f>IF($D$1212="",0,$D1257*Table3[[#This Row],[CF]]*chronic_consumption!$I57/1000/$C$3)</f>
        <v>#DIV/0!</v>
      </c>
      <c r="O1257" s="1098" t="e">
        <f>IF($D$1212="",0,$D1257*Table3[[#This Row],[CF]]*chronic_consumption!$J57/1000/$C$3)</f>
        <v>#DIV/0!</v>
      </c>
      <c r="P1257" s="1098" t="e">
        <f>IF($D$1212="",0,$D1257*Table3[[#This Row],[CF]]*chronic_consumption!$K57/1000/$C$3)</f>
        <v>#DIV/0!</v>
      </c>
      <c r="Q1257" s="1098" t="e">
        <f>IF($D$1212="",0,$D1257*Table3[[#This Row],[CF]]*chronic_consumption!$L57/1000/$C$3)</f>
        <v>#DIV/0!</v>
      </c>
      <c r="R1257" s="1098" t="e">
        <f>IF($D$1212="",0,$D1257*Table3[[#This Row],[CF]]*chronic_consumption!$M57/1000/$C$3)</f>
        <v>#DIV/0!</v>
      </c>
      <c r="S1257" s="1098" t="e">
        <f>IF($D$1212="",0,$D1257*Table3[[#This Row],[CF]]*chronic_consumption!$N57/1000/$C$3)</f>
        <v>#DIV/0!</v>
      </c>
      <c r="T1257" s="1098" t="e">
        <f>IF($D$1212="",0,$D1257*Table3[[#This Row],[CF]]*chronic_consumption!$O57/1000/$C$3)</f>
        <v>#DIV/0!</v>
      </c>
      <c r="U1257" s="1098" t="e">
        <f>IF($D$1212="",0,$D1257*Table3[[#This Row],[CF]]*chronic_consumption!$P57/1000/$C$3)</f>
        <v>#DIV/0!</v>
      </c>
      <c r="V1257" s="1098" t="e">
        <f>IF($D$1212="",0,$D1257*Table3[[#This Row],[CF]]*chronic_consumption!$Q57/1000/$C$3)</f>
        <v>#DIV/0!</v>
      </c>
      <c r="W1257" s="1098" t="e">
        <f>IF($D$1212="",0,$D1257*Table3[[#This Row],[CF]]*chronic_consumption!$R57/1000/$C$3)</f>
        <v>#DIV/0!</v>
      </c>
      <c r="X1257" s="1098" t="e">
        <f>IF($D$1212="",0,$D1257*Table3[[#This Row],[CF]]*chronic_consumption!$S57/1000/$C$3)</f>
        <v>#DIV/0!</v>
      </c>
      <c r="Y1257" s="1098" t="e">
        <f>IF($D$1212="",0,$D1257*Table3[[#This Row],[CF]]*chronic_consumption!$T57/1000/$C$3)</f>
        <v>#DIV/0!</v>
      </c>
      <c r="Z1257" s="1098" t="e">
        <f>IF($D$1212="",0,$D1257*Table3[[#This Row],[CF]]*chronic_consumption!$U57/1000/$C$3)</f>
        <v>#DIV/0!</v>
      </c>
      <c r="AA1257" s="1098" t="e">
        <f>IF($D$1212="",0,$D1257*Table3[[#This Row],[CF]]*chronic_consumption!$V57/1000/$C$3)</f>
        <v>#DIV/0!</v>
      </c>
      <c r="AB1257" s="1098" t="e">
        <f>IF($D$1212="",0,$D1257*Table3[[#This Row],[CF]]*chronic_consumption!$W57/1000/$C$3)</f>
        <v>#DIV/0!</v>
      </c>
      <c r="AC1257" s="1098" t="e">
        <f>IF($D$1212="",0,$D1257*Table3[[#This Row],[CF]]*chronic_consumption!$X57/1000/$C$3)</f>
        <v>#DIV/0!</v>
      </c>
      <c r="AD1257" s="1098" t="e">
        <f>IF($D$1212="",0,$D1257*Table3[[#This Row],[CF]]*chronic_consumption!$Y57/1000/$C$3)</f>
        <v>#DIV/0!</v>
      </c>
      <c r="AE1257" s="1098" t="e">
        <f>IF($D$1212="",0,$D1257*Table3[[#This Row],[CF]]*chronic_consumption!$Z57/1000/$C$3)</f>
        <v>#DIV/0!</v>
      </c>
      <c r="AF1257" s="1098" t="e">
        <f>IF($D$1212="",0,$D1257*Table3[[#This Row],[CF]]*chronic_consumption!$AA57/1000/$C$3)</f>
        <v>#DIV/0!</v>
      </c>
      <c r="AG1257" s="1098" t="e">
        <f>IF($D$1212="",0,$D1257*Table3[[#This Row],[CF]]*chronic_consumption!$AB57/1000/$C$3)</f>
        <v>#DIV/0!</v>
      </c>
      <c r="AH1257" s="1098" t="e">
        <f>IF($D$1212="",0,$D1257*Table3[[#This Row],[CF]]*chronic_consumption!$AC57/1000/$C$3)</f>
        <v>#DIV/0!</v>
      </c>
      <c r="AI1257" s="1098" t="e">
        <f>IF($D$1212="",0,$D1257*Table3[[#This Row],[CF]]*chronic_consumption!$AD57/1000/$C$3)</f>
        <v>#DIV/0!</v>
      </c>
      <c r="AJ1257" s="1098" t="e">
        <f>IF($D$1212="",0,$D1257*Table3[[#This Row],[CF]]*chronic_consumption!$AE57/1000/$C$3)</f>
        <v>#DIV/0!</v>
      </c>
      <c r="AK1257" s="1098" t="e">
        <f>IF($D$1212="",0,$D1257*Table3[[#This Row],[CF]]*chronic_consumption!$AF57/1000/$C$3)</f>
        <v>#DIV/0!</v>
      </c>
      <c r="AL1257" s="1098" t="e">
        <f>IF($D$1212="",0,$D1257*Table3[[#This Row],[CF]]*chronic_consumption!$AG57/1000/$C$3)</f>
        <v>#DIV/0!</v>
      </c>
      <c r="AM1257" s="1098" t="e">
        <f>IF($D$1212="",0,$D1257*Table3[[#This Row],[CF]]*chronic_consumption!$AH57/1000/$C$3)</f>
        <v>#DIV/0!</v>
      </c>
      <c r="AN1257" s="1098" t="e">
        <f>IF($D$1212="",0,$D1257*Table3[[#This Row],[CF]]*chronic_consumption!$AI57/1000/$C$3)</f>
        <v>#DIV/0!</v>
      </c>
      <c r="AO1257" s="1098" t="e">
        <f>IF($D$1212="",0,$D1257*Table3[[#This Row],[CF]]*chronic_consumption!$AJ57/1000/$C$3)</f>
        <v>#DIV/0!</v>
      </c>
      <c r="AP1257" s="1098" t="e">
        <f>IF($D$1212="",0,$D1257*Table3[[#This Row],[CF]]*chronic_consumption!$AK57/1000/$C$3)</f>
        <v>#DIV/0!</v>
      </c>
      <c r="AQ1257" s="1098" t="e">
        <f>IF($D$1212="",0,$D1257*Table3[[#This Row],[CF]]*chronic_consumption!$AL57/1000/$C$3)</f>
        <v>#DIV/0!</v>
      </c>
      <c r="AR1257" s="1098" t="e">
        <f>IF($D$1212="",0,$D1257*Table3[[#This Row],[CF]]*chronic_consumption!$AM57/1000/$C$3)</f>
        <v>#DIV/0!</v>
      </c>
      <c r="AS1257" s="1098" t="e">
        <f>IF($D$1212="",0,$D1257*Table3[[#This Row],[CF]]*chronic_consumption!$AN57/1000/$C$3)</f>
        <v>#DIV/0!</v>
      </c>
      <c r="AT1257" s="1098" t="e">
        <f>IF($D$1212="",0,$D1257*Table3[[#This Row],[CF]]*chronic_consumption!$AO57/1000/$C$3)</f>
        <v>#DIV/0!</v>
      </c>
      <c r="AU1257" s="1099" t="e">
        <f t="shared" si="838"/>
        <v>#DIV/0!</v>
      </c>
      <c r="AV1257" s="1099" t="e">
        <f t="shared" si="838"/>
        <v>#DIV/0!</v>
      </c>
      <c r="AW1257" s="1099" t="e">
        <f t="shared" si="838"/>
        <v>#DIV/0!</v>
      </c>
      <c r="AX1257" s="1099" t="e">
        <f t="shared" si="838"/>
        <v>#DIV/0!</v>
      </c>
      <c r="AY1257" s="1099" t="e">
        <f t="shared" si="838"/>
        <v>#DIV/0!</v>
      </c>
      <c r="AZ1257" s="1091" t="s">
        <v>1012</v>
      </c>
      <c r="BA1257" s="1097" t="e">
        <f>IF(Table3[[#This Row],[max]]&lt;&gt;0,RANK(Table3[[#This Row],[max]],Table3[max],0),"")</f>
        <v>#DIV/0!</v>
      </c>
      <c r="BB1257" s="1096" t="e">
        <f t="shared" si="831"/>
        <v>#DIV/0!</v>
      </c>
      <c r="BC1257" s="1096" t="e">
        <f t="shared" ca="1" si="832"/>
        <v>#DIV/0!</v>
      </c>
      <c r="BD1257" s="1096" t="e">
        <f>IF(Table3[[#This Row],[max]]&gt;0,Table3[[#This Row],[Crop groups and examples of individual products within the groups to which the MRLs apply]],"")</f>
        <v>#DIV/0!</v>
      </c>
    </row>
    <row r="1258" spans="2:56" x14ac:dyDescent="0.2">
      <c r="B1258" s="23">
        <f t="shared" si="837"/>
        <v>154020</v>
      </c>
      <c r="C1258" s="23" t="str">
        <f t="shared" si="837"/>
        <v>Cranberries</v>
      </c>
      <c r="D1258" s="1084">
        <f>input_values!E58</f>
        <v>0</v>
      </c>
      <c r="E1258" s="1084">
        <f>input_values!F58</f>
        <v>0</v>
      </c>
      <c r="F1258" s="1085">
        <f>input_values!W58</f>
        <v>1</v>
      </c>
      <c r="G1258" s="1085" t="str">
        <f>IF(Table3[[#This Row],[CF]]&gt;0,CONCATENATE(IF(Table3[[#This Row],[LOQ]]="*","LOQ","MRL"),IF(input_values!G58&gt;0,"×CFrisk","")),"")</f>
        <v>MRL</v>
      </c>
      <c r="H1258" s="1087">
        <f>input_values!L58</f>
        <v>0</v>
      </c>
      <c r="I1258" s="1088">
        <f>input_values!D58</f>
        <v>0</v>
      </c>
      <c r="J1258" s="1098" t="e">
        <f>IF($D$1212="",0,$D1258*Table3[[#This Row],[CF]]*chronic_consumption!$E58/1000/$C$3)</f>
        <v>#DIV/0!</v>
      </c>
      <c r="K1258" s="1098" t="e">
        <f>IF($D$1212="",0,$D1258*Table3[[#This Row],[CF]]*chronic_consumption!$F58/1000/$C$3)</f>
        <v>#DIV/0!</v>
      </c>
      <c r="L1258" s="1098" t="e">
        <f>IF($D$1212="",0,$D1258*Table3[[#This Row],[CF]]*chronic_consumption!$G58/1000/$C$3)</f>
        <v>#DIV/0!</v>
      </c>
      <c r="M1258" s="1098" t="e">
        <f>IF($D$1212="",0,$D1258*Table3[[#This Row],[CF]]*chronic_consumption!$H58/1000/$C$3)</f>
        <v>#DIV/0!</v>
      </c>
      <c r="N1258" s="1098" t="e">
        <f>IF($D$1212="",0,$D1258*Table3[[#This Row],[CF]]*chronic_consumption!$I58/1000/$C$3)</f>
        <v>#DIV/0!</v>
      </c>
      <c r="O1258" s="1098" t="e">
        <f>IF($D$1212="",0,$D1258*Table3[[#This Row],[CF]]*chronic_consumption!$J58/1000/$C$3)</f>
        <v>#DIV/0!</v>
      </c>
      <c r="P1258" s="1098" t="e">
        <f>IF($D$1212="",0,$D1258*Table3[[#This Row],[CF]]*chronic_consumption!$K58/1000/$C$3)</f>
        <v>#DIV/0!</v>
      </c>
      <c r="Q1258" s="1098" t="e">
        <f>IF($D$1212="",0,$D1258*Table3[[#This Row],[CF]]*chronic_consumption!$L58/1000/$C$3)</f>
        <v>#DIV/0!</v>
      </c>
      <c r="R1258" s="1098" t="e">
        <f>IF($D$1212="",0,$D1258*Table3[[#This Row],[CF]]*chronic_consumption!$M58/1000/$C$3)</f>
        <v>#DIV/0!</v>
      </c>
      <c r="S1258" s="1098" t="e">
        <f>IF($D$1212="",0,$D1258*Table3[[#This Row],[CF]]*chronic_consumption!$N58/1000/$C$3)</f>
        <v>#DIV/0!</v>
      </c>
      <c r="T1258" s="1098" t="e">
        <f>IF($D$1212="",0,$D1258*Table3[[#This Row],[CF]]*chronic_consumption!$O58/1000/$C$3)</f>
        <v>#DIV/0!</v>
      </c>
      <c r="U1258" s="1098" t="e">
        <f>IF($D$1212="",0,$D1258*Table3[[#This Row],[CF]]*chronic_consumption!$P58/1000/$C$3)</f>
        <v>#DIV/0!</v>
      </c>
      <c r="V1258" s="1098" t="e">
        <f>IF($D$1212="",0,$D1258*Table3[[#This Row],[CF]]*chronic_consumption!$Q58/1000/$C$3)</f>
        <v>#DIV/0!</v>
      </c>
      <c r="W1258" s="1098" t="e">
        <f>IF($D$1212="",0,$D1258*Table3[[#This Row],[CF]]*chronic_consumption!$R58/1000/$C$3)</f>
        <v>#DIV/0!</v>
      </c>
      <c r="X1258" s="1098" t="e">
        <f>IF($D$1212="",0,$D1258*Table3[[#This Row],[CF]]*chronic_consumption!$S58/1000/$C$3)</f>
        <v>#DIV/0!</v>
      </c>
      <c r="Y1258" s="1098" t="e">
        <f>IF($D$1212="",0,$D1258*Table3[[#This Row],[CF]]*chronic_consumption!$T58/1000/$C$3)</f>
        <v>#DIV/0!</v>
      </c>
      <c r="Z1258" s="1098" t="e">
        <f>IF($D$1212="",0,$D1258*Table3[[#This Row],[CF]]*chronic_consumption!$U58/1000/$C$3)</f>
        <v>#DIV/0!</v>
      </c>
      <c r="AA1258" s="1098" t="e">
        <f>IF($D$1212="",0,$D1258*Table3[[#This Row],[CF]]*chronic_consumption!$V58/1000/$C$3)</f>
        <v>#DIV/0!</v>
      </c>
      <c r="AB1258" s="1098" t="e">
        <f>IF($D$1212="",0,$D1258*Table3[[#This Row],[CF]]*chronic_consumption!$W58/1000/$C$3)</f>
        <v>#DIV/0!</v>
      </c>
      <c r="AC1258" s="1098" t="e">
        <f>IF($D$1212="",0,$D1258*Table3[[#This Row],[CF]]*chronic_consumption!$X58/1000/$C$3)</f>
        <v>#DIV/0!</v>
      </c>
      <c r="AD1258" s="1098" t="e">
        <f>IF($D$1212="",0,$D1258*Table3[[#This Row],[CF]]*chronic_consumption!$Y58/1000/$C$3)</f>
        <v>#DIV/0!</v>
      </c>
      <c r="AE1258" s="1098" t="e">
        <f>IF($D$1212="",0,$D1258*Table3[[#This Row],[CF]]*chronic_consumption!$Z58/1000/$C$3)</f>
        <v>#DIV/0!</v>
      </c>
      <c r="AF1258" s="1098" t="e">
        <f>IF($D$1212="",0,$D1258*Table3[[#This Row],[CF]]*chronic_consumption!$AA58/1000/$C$3)</f>
        <v>#DIV/0!</v>
      </c>
      <c r="AG1258" s="1098" t="e">
        <f>IF($D$1212="",0,$D1258*Table3[[#This Row],[CF]]*chronic_consumption!$AB58/1000/$C$3)</f>
        <v>#DIV/0!</v>
      </c>
      <c r="AH1258" s="1098" t="e">
        <f>IF($D$1212="",0,$D1258*Table3[[#This Row],[CF]]*chronic_consumption!$AC58/1000/$C$3)</f>
        <v>#DIV/0!</v>
      </c>
      <c r="AI1258" s="1098" t="e">
        <f>IF($D$1212="",0,$D1258*Table3[[#This Row],[CF]]*chronic_consumption!$AD58/1000/$C$3)</f>
        <v>#DIV/0!</v>
      </c>
      <c r="AJ1258" s="1098" t="e">
        <f>IF($D$1212="",0,$D1258*Table3[[#This Row],[CF]]*chronic_consumption!$AE58/1000/$C$3)</f>
        <v>#DIV/0!</v>
      </c>
      <c r="AK1258" s="1098" t="e">
        <f>IF($D$1212="",0,$D1258*Table3[[#This Row],[CF]]*chronic_consumption!$AF58/1000/$C$3)</f>
        <v>#DIV/0!</v>
      </c>
      <c r="AL1258" s="1098" t="e">
        <f>IF($D$1212="",0,$D1258*Table3[[#This Row],[CF]]*chronic_consumption!$AG58/1000/$C$3)</f>
        <v>#DIV/0!</v>
      </c>
      <c r="AM1258" s="1098" t="e">
        <f>IF($D$1212="",0,$D1258*Table3[[#This Row],[CF]]*chronic_consumption!$AH58/1000/$C$3)</f>
        <v>#DIV/0!</v>
      </c>
      <c r="AN1258" s="1098" t="e">
        <f>IF($D$1212="",0,$D1258*Table3[[#This Row],[CF]]*chronic_consumption!$AI58/1000/$C$3)</f>
        <v>#DIV/0!</v>
      </c>
      <c r="AO1258" s="1098" t="e">
        <f>IF($D$1212="",0,$D1258*Table3[[#This Row],[CF]]*chronic_consumption!$AJ58/1000/$C$3)</f>
        <v>#DIV/0!</v>
      </c>
      <c r="AP1258" s="1098" t="e">
        <f>IF($D$1212="",0,$D1258*Table3[[#This Row],[CF]]*chronic_consumption!$AK58/1000/$C$3)</f>
        <v>#DIV/0!</v>
      </c>
      <c r="AQ1258" s="1098" t="e">
        <f>IF($D$1212="",0,$D1258*Table3[[#This Row],[CF]]*chronic_consumption!$AL58/1000/$C$3)</f>
        <v>#DIV/0!</v>
      </c>
      <c r="AR1258" s="1098" t="e">
        <f>IF($D$1212="",0,$D1258*Table3[[#This Row],[CF]]*chronic_consumption!$AM58/1000/$C$3)</f>
        <v>#DIV/0!</v>
      </c>
      <c r="AS1258" s="1098" t="e">
        <f>IF($D$1212="",0,$D1258*Table3[[#This Row],[CF]]*chronic_consumption!$AN58/1000/$C$3)</f>
        <v>#DIV/0!</v>
      </c>
      <c r="AT1258" s="1098" t="e">
        <f>IF($D$1212="",0,$D1258*Table3[[#This Row],[CF]]*chronic_consumption!$AO58/1000/$C$3)</f>
        <v>#DIV/0!</v>
      </c>
      <c r="AU1258" s="1099" t="e">
        <f t="shared" si="838"/>
        <v>#DIV/0!</v>
      </c>
      <c r="AV1258" s="1099" t="e">
        <f t="shared" si="838"/>
        <v>#DIV/0!</v>
      </c>
      <c r="AW1258" s="1099" t="e">
        <f t="shared" si="838"/>
        <v>#DIV/0!</v>
      </c>
      <c r="AX1258" s="1099" t="e">
        <f t="shared" si="838"/>
        <v>#DIV/0!</v>
      </c>
      <c r="AY1258" s="1099" t="e">
        <f t="shared" si="838"/>
        <v>#DIV/0!</v>
      </c>
      <c r="AZ1258" s="1091" t="s">
        <v>1012</v>
      </c>
      <c r="BA1258" s="1097" t="e">
        <f>IF(Table3[[#This Row],[max]]&lt;&gt;0,RANK(Table3[[#This Row],[max]],Table3[max],0),"")</f>
        <v>#DIV/0!</v>
      </c>
      <c r="BB1258" s="1096" t="e">
        <f t="shared" si="831"/>
        <v>#DIV/0!</v>
      </c>
      <c r="BC1258" s="1096" t="e">
        <f t="shared" ca="1" si="832"/>
        <v>#DIV/0!</v>
      </c>
      <c r="BD1258" s="1096" t="e">
        <f>IF(Table3[[#This Row],[max]]&gt;0,Table3[[#This Row],[Crop groups and examples of individual products within the groups to which the MRLs apply]],"")</f>
        <v>#DIV/0!</v>
      </c>
    </row>
    <row r="1259" spans="2:56" x14ac:dyDescent="0.2">
      <c r="B1259" s="23">
        <f t="shared" si="837"/>
        <v>154030</v>
      </c>
      <c r="C1259" s="23" t="str">
        <f t="shared" si="837"/>
        <v>Currants (red, black and white)</v>
      </c>
      <c r="D1259" s="1084">
        <f>input_values!E59</f>
        <v>0</v>
      </c>
      <c r="E1259" s="1084">
        <f>input_values!F59</f>
        <v>0</v>
      </c>
      <c r="F1259" s="1085">
        <f>input_values!W59</f>
        <v>1</v>
      </c>
      <c r="G1259" s="1085" t="str">
        <f>IF(Table3[[#This Row],[CF]]&gt;0,CONCATENATE(IF(Table3[[#This Row],[LOQ]]="*","LOQ","MRL"),IF(input_values!G59&gt;0,"×CFrisk","")),"")</f>
        <v>MRL</v>
      </c>
      <c r="H1259" s="1087">
        <f>input_values!L59</f>
        <v>0</v>
      </c>
      <c r="I1259" s="1088">
        <f>input_values!D59</f>
        <v>0</v>
      </c>
      <c r="J1259" s="1098" t="e">
        <f>IF($D$1212="",0,$D1259*Table3[[#This Row],[CF]]*chronic_consumption!$E59/1000/$C$3)</f>
        <v>#DIV/0!</v>
      </c>
      <c r="K1259" s="1098" t="e">
        <f>IF($D$1212="",0,$D1259*Table3[[#This Row],[CF]]*chronic_consumption!$F59/1000/$C$3)</f>
        <v>#DIV/0!</v>
      </c>
      <c r="L1259" s="1098" t="e">
        <f>IF($D$1212="",0,$D1259*Table3[[#This Row],[CF]]*chronic_consumption!$G59/1000/$C$3)</f>
        <v>#DIV/0!</v>
      </c>
      <c r="M1259" s="1098" t="e">
        <f>IF($D$1212="",0,$D1259*Table3[[#This Row],[CF]]*chronic_consumption!$H59/1000/$C$3)</f>
        <v>#DIV/0!</v>
      </c>
      <c r="N1259" s="1098" t="e">
        <f>IF($D$1212="",0,$D1259*Table3[[#This Row],[CF]]*chronic_consumption!$I59/1000/$C$3)</f>
        <v>#DIV/0!</v>
      </c>
      <c r="O1259" s="1098" t="e">
        <f>IF($D$1212="",0,$D1259*Table3[[#This Row],[CF]]*chronic_consumption!$J59/1000/$C$3)</f>
        <v>#DIV/0!</v>
      </c>
      <c r="P1259" s="1098" t="e">
        <f>IF($D$1212="",0,$D1259*Table3[[#This Row],[CF]]*chronic_consumption!$K59/1000/$C$3)</f>
        <v>#DIV/0!</v>
      </c>
      <c r="Q1259" s="1098" t="e">
        <f>IF($D$1212="",0,$D1259*Table3[[#This Row],[CF]]*chronic_consumption!$L59/1000/$C$3)</f>
        <v>#DIV/0!</v>
      </c>
      <c r="R1259" s="1098" t="e">
        <f>IF($D$1212="",0,$D1259*Table3[[#This Row],[CF]]*chronic_consumption!$M59/1000/$C$3)</f>
        <v>#DIV/0!</v>
      </c>
      <c r="S1259" s="1098" t="e">
        <f>IF($D$1212="",0,$D1259*Table3[[#This Row],[CF]]*chronic_consumption!$N59/1000/$C$3)</f>
        <v>#DIV/0!</v>
      </c>
      <c r="T1259" s="1098" t="e">
        <f>IF($D$1212="",0,$D1259*Table3[[#This Row],[CF]]*chronic_consumption!$O59/1000/$C$3)</f>
        <v>#DIV/0!</v>
      </c>
      <c r="U1259" s="1098" t="e">
        <f>IF($D$1212="",0,$D1259*Table3[[#This Row],[CF]]*chronic_consumption!$P59/1000/$C$3)</f>
        <v>#DIV/0!</v>
      </c>
      <c r="V1259" s="1098" t="e">
        <f>IF($D$1212="",0,$D1259*Table3[[#This Row],[CF]]*chronic_consumption!$Q59/1000/$C$3)</f>
        <v>#DIV/0!</v>
      </c>
      <c r="W1259" s="1098" t="e">
        <f>IF($D$1212="",0,$D1259*Table3[[#This Row],[CF]]*chronic_consumption!$R59/1000/$C$3)</f>
        <v>#DIV/0!</v>
      </c>
      <c r="X1259" s="1098" t="e">
        <f>IF($D$1212="",0,$D1259*Table3[[#This Row],[CF]]*chronic_consumption!$S59/1000/$C$3)</f>
        <v>#DIV/0!</v>
      </c>
      <c r="Y1259" s="1098" t="e">
        <f>IF($D$1212="",0,$D1259*Table3[[#This Row],[CF]]*chronic_consumption!$T59/1000/$C$3)</f>
        <v>#DIV/0!</v>
      </c>
      <c r="Z1259" s="1098" t="e">
        <f>IF($D$1212="",0,$D1259*Table3[[#This Row],[CF]]*chronic_consumption!$U59/1000/$C$3)</f>
        <v>#DIV/0!</v>
      </c>
      <c r="AA1259" s="1098" t="e">
        <f>IF($D$1212="",0,$D1259*Table3[[#This Row],[CF]]*chronic_consumption!$V59/1000/$C$3)</f>
        <v>#DIV/0!</v>
      </c>
      <c r="AB1259" s="1098" t="e">
        <f>IF($D$1212="",0,$D1259*Table3[[#This Row],[CF]]*chronic_consumption!$W59/1000/$C$3)</f>
        <v>#DIV/0!</v>
      </c>
      <c r="AC1259" s="1098" t="e">
        <f>IF($D$1212="",0,$D1259*Table3[[#This Row],[CF]]*chronic_consumption!$X59/1000/$C$3)</f>
        <v>#DIV/0!</v>
      </c>
      <c r="AD1259" s="1098" t="e">
        <f>IF($D$1212="",0,$D1259*Table3[[#This Row],[CF]]*chronic_consumption!$Y59/1000/$C$3)</f>
        <v>#DIV/0!</v>
      </c>
      <c r="AE1259" s="1098" t="e">
        <f>IF($D$1212="",0,$D1259*Table3[[#This Row],[CF]]*chronic_consumption!$Z59/1000/$C$3)</f>
        <v>#DIV/0!</v>
      </c>
      <c r="AF1259" s="1098" t="e">
        <f>IF($D$1212="",0,$D1259*Table3[[#This Row],[CF]]*chronic_consumption!$AA59/1000/$C$3)</f>
        <v>#DIV/0!</v>
      </c>
      <c r="AG1259" s="1098" t="e">
        <f>IF($D$1212="",0,$D1259*Table3[[#This Row],[CF]]*chronic_consumption!$AB59/1000/$C$3)</f>
        <v>#DIV/0!</v>
      </c>
      <c r="AH1259" s="1098" t="e">
        <f>IF($D$1212="",0,$D1259*Table3[[#This Row],[CF]]*chronic_consumption!$AC59/1000/$C$3)</f>
        <v>#DIV/0!</v>
      </c>
      <c r="AI1259" s="1098" t="e">
        <f>IF($D$1212="",0,$D1259*Table3[[#This Row],[CF]]*chronic_consumption!$AD59/1000/$C$3)</f>
        <v>#DIV/0!</v>
      </c>
      <c r="AJ1259" s="1098" t="e">
        <f>IF($D$1212="",0,$D1259*Table3[[#This Row],[CF]]*chronic_consumption!$AE59/1000/$C$3)</f>
        <v>#DIV/0!</v>
      </c>
      <c r="AK1259" s="1098" t="e">
        <f>IF($D$1212="",0,$D1259*Table3[[#This Row],[CF]]*chronic_consumption!$AF59/1000/$C$3)</f>
        <v>#DIV/0!</v>
      </c>
      <c r="AL1259" s="1098" t="e">
        <f>IF($D$1212="",0,$D1259*Table3[[#This Row],[CF]]*chronic_consumption!$AG59/1000/$C$3)</f>
        <v>#DIV/0!</v>
      </c>
      <c r="AM1259" s="1098" t="e">
        <f>IF($D$1212="",0,$D1259*Table3[[#This Row],[CF]]*chronic_consumption!$AH59/1000/$C$3)</f>
        <v>#DIV/0!</v>
      </c>
      <c r="AN1259" s="1098" t="e">
        <f>IF($D$1212="",0,$D1259*Table3[[#This Row],[CF]]*chronic_consumption!$AI59/1000/$C$3)</f>
        <v>#DIV/0!</v>
      </c>
      <c r="AO1259" s="1098" t="e">
        <f>IF($D$1212="",0,$D1259*Table3[[#This Row],[CF]]*chronic_consumption!$AJ59/1000/$C$3)</f>
        <v>#DIV/0!</v>
      </c>
      <c r="AP1259" s="1098" t="e">
        <f>IF($D$1212="",0,$D1259*Table3[[#This Row],[CF]]*chronic_consumption!$AK59/1000/$C$3)</f>
        <v>#DIV/0!</v>
      </c>
      <c r="AQ1259" s="1098" t="e">
        <f>IF($D$1212="",0,$D1259*Table3[[#This Row],[CF]]*chronic_consumption!$AL59/1000/$C$3)</f>
        <v>#DIV/0!</v>
      </c>
      <c r="AR1259" s="1098" t="e">
        <f>IF($D$1212="",0,$D1259*Table3[[#This Row],[CF]]*chronic_consumption!$AM59/1000/$C$3)</f>
        <v>#DIV/0!</v>
      </c>
      <c r="AS1259" s="1098" t="e">
        <f>IF($D$1212="",0,$D1259*Table3[[#This Row],[CF]]*chronic_consumption!$AN59/1000/$C$3)</f>
        <v>#DIV/0!</v>
      </c>
      <c r="AT1259" s="1098" t="e">
        <f>IF($D$1212="",0,$D1259*Table3[[#This Row],[CF]]*chronic_consumption!$AO59/1000/$C$3)</f>
        <v>#DIV/0!</v>
      </c>
      <c r="AU1259" s="1099" t="e">
        <f t="shared" si="838"/>
        <v>#DIV/0!</v>
      </c>
      <c r="AV1259" s="1099" t="e">
        <f t="shared" si="838"/>
        <v>#DIV/0!</v>
      </c>
      <c r="AW1259" s="1099" t="e">
        <f t="shared" si="838"/>
        <v>#DIV/0!</v>
      </c>
      <c r="AX1259" s="1099" t="e">
        <f t="shared" si="838"/>
        <v>#DIV/0!</v>
      </c>
      <c r="AY1259" s="1099" t="e">
        <f t="shared" si="838"/>
        <v>#DIV/0!</v>
      </c>
      <c r="AZ1259" s="1091" t="s">
        <v>1012</v>
      </c>
      <c r="BA1259" s="1097" t="e">
        <f>IF(Table3[[#This Row],[max]]&lt;&gt;0,RANK(Table3[[#This Row],[max]],Table3[max],0),"")</f>
        <v>#DIV/0!</v>
      </c>
      <c r="BB1259" s="1096" t="e">
        <f t="shared" si="831"/>
        <v>#DIV/0!</v>
      </c>
      <c r="BC1259" s="1096" t="e">
        <f t="shared" ca="1" si="832"/>
        <v>#DIV/0!</v>
      </c>
      <c r="BD1259" s="1096" t="e">
        <f>IF(Table3[[#This Row],[max]]&gt;0,Table3[[#This Row],[Crop groups and examples of individual products within the groups to which the MRLs apply]],"")</f>
        <v>#DIV/0!</v>
      </c>
    </row>
    <row r="1260" spans="2:56" x14ac:dyDescent="0.2">
      <c r="B1260" s="23">
        <f t="shared" si="837"/>
        <v>154040</v>
      </c>
      <c r="C1260" s="23" t="str">
        <f t="shared" si="837"/>
        <v>Gooseberries (green, red and yellow)</v>
      </c>
      <c r="D1260" s="1084">
        <f>input_values!E60</f>
        <v>0</v>
      </c>
      <c r="E1260" s="1084">
        <f>input_values!F60</f>
        <v>0</v>
      </c>
      <c r="F1260" s="1085">
        <f>input_values!W60</f>
        <v>1</v>
      </c>
      <c r="G1260" s="1085" t="str">
        <f>IF(Table3[[#This Row],[CF]]&gt;0,CONCATENATE(IF(Table3[[#This Row],[LOQ]]="*","LOQ","MRL"),IF(input_values!G60&gt;0,"×CFrisk","")),"")</f>
        <v>MRL</v>
      </c>
      <c r="H1260" s="1087">
        <f>input_values!L60</f>
        <v>0</v>
      </c>
      <c r="I1260" s="1088">
        <f>input_values!D60</f>
        <v>0</v>
      </c>
      <c r="J1260" s="1098" t="e">
        <f>IF($D$1212="",0,$D1260*Table3[[#This Row],[CF]]*chronic_consumption!$E60/1000/$C$3)</f>
        <v>#DIV/0!</v>
      </c>
      <c r="K1260" s="1098" t="e">
        <f>IF($D$1212="",0,$D1260*Table3[[#This Row],[CF]]*chronic_consumption!$F60/1000/$C$3)</f>
        <v>#DIV/0!</v>
      </c>
      <c r="L1260" s="1098" t="e">
        <f>IF($D$1212="",0,$D1260*Table3[[#This Row],[CF]]*chronic_consumption!$G60/1000/$C$3)</f>
        <v>#DIV/0!</v>
      </c>
      <c r="M1260" s="1098" t="e">
        <f>IF($D$1212="",0,$D1260*Table3[[#This Row],[CF]]*chronic_consumption!$H60/1000/$C$3)</f>
        <v>#DIV/0!</v>
      </c>
      <c r="N1260" s="1098" t="e">
        <f>IF($D$1212="",0,$D1260*Table3[[#This Row],[CF]]*chronic_consumption!$I60/1000/$C$3)</f>
        <v>#DIV/0!</v>
      </c>
      <c r="O1260" s="1098" t="e">
        <f>IF($D$1212="",0,$D1260*Table3[[#This Row],[CF]]*chronic_consumption!$J60/1000/$C$3)</f>
        <v>#DIV/0!</v>
      </c>
      <c r="P1260" s="1098" t="e">
        <f>IF($D$1212="",0,$D1260*Table3[[#This Row],[CF]]*chronic_consumption!$K60/1000/$C$3)</f>
        <v>#DIV/0!</v>
      </c>
      <c r="Q1260" s="1098" t="e">
        <f>IF($D$1212="",0,$D1260*Table3[[#This Row],[CF]]*chronic_consumption!$L60/1000/$C$3)</f>
        <v>#DIV/0!</v>
      </c>
      <c r="R1260" s="1098" t="e">
        <f>IF($D$1212="",0,$D1260*Table3[[#This Row],[CF]]*chronic_consumption!$M60/1000/$C$3)</f>
        <v>#DIV/0!</v>
      </c>
      <c r="S1260" s="1098" t="e">
        <f>IF($D$1212="",0,$D1260*Table3[[#This Row],[CF]]*chronic_consumption!$N60/1000/$C$3)</f>
        <v>#DIV/0!</v>
      </c>
      <c r="T1260" s="1098" t="e">
        <f>IF($D$1212="",0,$D1260*Table3[[#This Row],[CF]]*chronic_consumption!$O60/1000/$C$3)</f>
        <v>#DIV/0!</v>
      </c>
      <c r="U1260" s="1098" t="e">
        <f>IF($D$1212="",0,$D1260*Table3[[#This Row],[CF]]*chronic_consumption!$P60/1000/$C$3)</f>
        <v>#DIV/0!</v>
      </c>
      <c r="V1260" s="1098" t="e">
        <f>IF($D$1212="",0,$D1260*Table3[[#This Row],[CF]]*chronic_consumption!$Q60/1000/$C$3)</f>
        <v>#DIV/0!</v>
      </c>
      <c r="W1260" s="1098" t="e">
        <f>IF($D$1212="",0,$D1260*Table3[[#This Row],[CF]]*chronic_consumption!$R60/1000/$C$3)</f>
        <v>#DIV/0!</v>
      </c>
      <c r="X1260" s="1098" t="e">
        <f>IF($D$1212="",0,$D1260*Table3[[#This Row],[CF]]*chronic_consumption!$S60/1000/$C$3)</f>
        <v>#DIV/0!</v>
      </c>
      <c r="Y1260" s="1098" t="e">
        <f>IF($D$1212="",0,$D1260*Table3[[#This Row],[CF]]*chronic_consumption!$T60/1000/$C$3)</f>
        <v>#DIV/0!</v>
      </c>
      <c r="Z1260" s="1098" t="e">
        <f>IF($D$1212="",0,$D1260*Table3[[#This Row],[CF]]*chronic_consumption!$U60/1000/$C$3)</f>
        <v>#DIV/0!</v>
      </c>
      <c r="AA1260" s="1098" t="e">
        <f>IF($D$1212="",0,$D1260*Table3[[#This Row],[CF]]*chronic_consumption!$V60/1000/$C$3)</f>
        <v>#DIV/0!</v>
      </c>
      <c r="AB1260" s="1098" t="e">
        <f>IF($D$1212="",0,$D1260*Table3[[#This Row],[CF]]*chronic_consumption!$W60/1000/$C$3)</f>
        <v>#DIV/0!</v>
      </c>
      <c r="AC1260" s="1098" t="e">
        <f>IF($D$1212="",0,$D1260*Table3[[#This Row],[CF]]*chronic_consumption!$X60/1000/$C$3)</f>
        <v>#DIV/0!</v>
      </c>
      <c r="AD1260" s="1098" t="e">
        <f>IF($D$1212="",0,$D1260*Table3[[#This Row],[CF]]*chronic_consumption!$Y60/1000/$C$3)</f>
        <v>#DIV/0!</v>
      </c>
      <c r="AE1260" s="1098" t="e">
        <f>IF($D$1212="",0,$D1260*Table3[[#This Row],[CF]]*chronic_consumption!$Z60/1000/$C$3)</f>
        <v>#DIV/0!</v>
      </c>
      <c r="AF1260" s="1098" t="e">
        <f>IF($D$1212="",0,$D1260*Table3[[#This Row],[CF]]*chronic_consumption!$AA60/1000/$C$3)</f>
        <v>#DIV/0!</v>
      </c>
      <c r="AG1260" s="1098" t="e">
        <f>IF($D$1212="",0,$D1260*Table3[[#This Row],[CF]]*chronic_consumption!$AB60/1000/$C$3)</f>
        <v>#DIV/0!</v>
      </c>
      <c r="AH1260" s="1098" t="e">
        <f>IF($D$1212="",0,$D1260*Table3[[#This Row],[CF]]*chronic_consumption!$AC60/1000/$C$3)</f>
        <v>#DIV/0!</v>
      </c>
      <c r="AI1260" s="1098" t="e">
        <f>IF($D$1212="",0,$D1260*Table3[[#This Row],[CF]]*chronic_consumption!$AD60/1000/$C$3)</f>
        <v>#DIV/0!</v>
      </c>
      <c r="AJ1260" s="1098" t="e">
        <f>IF($D$1212="",0,$D1260*Table3[[#This Row],[CF]]*chronic_consumption!$AE60/1000/$C$3)</f>
        <v>#DIV/0!</v>
      </c>
      <c r="AK1260" s="1098" t="e">
        <f>IF($D$1212="",0,$D1260*Table3[[#This Row],[CF]]*chronic_consumption!$AF60/1000/$C$3)</f>
        <v>#DIV/0!</v>
      </c>
      <c r="AL1260" s="1098" t="e">
        <f>IF($D$1212="",0,$D1260*Table3[[#This Row],[CF]]*chronic_consumption!$AG60/1000/$C$3)</f>
        <v>#DIV/0!</v>
      </c>
      <c r="AM1260" s="1098" t="e">
        <f>IF($D$1212="",0,$D1260*Table3[[#This Row],[CF]]*chronic_consumption!$AH60/1000/$C$3)</f>
        <v>#DIV/0!</v>
      </c>
      <c r="AN1260" s="1098" t="e">
        <f>IF($D$1212="",0,$D1260*Table3[[#This Row],[CF]]*chronic_consumption!$AI60/1000/$C$3)</f>
        <v>#DIV/0!</v>
      </c>
      <c r="AO1260" s="1098" t="e">
        <f>IF($D$1212="",0,$D1260*Table3[[#This Row],[CF]]*chronic_consumption!$AJ60/1000/$C$3)</f>
        <v>#DIV/0!</v>
      </c>
      <c r="AP1260" s="1098" t="e">
        <f>IF($D$1212="",0,$D1260*Table3[[#This Row],[CF]]*chronic_consumption!$AK60/1000/$C$3)</f>
        <v>#DIV/0!</v>
      </c>
      <c r="AQ1260" s="1098" t="e">
        <f>IF($D$1212="",0,$D1260*Table3[[#This Row],[CF]]*chronic_consumption!$AL60/1000/$C$3)</f>
        <v>#DIV/0!</v>
      </c>
      <c r="AR1260" s="1098" t="e">
        <f>IF($D$1212="",0,$D1260*Table3[[#This Row],[CF]]*chronic_consumption!$AM60/1000/$C$3)</f>
        <v>#DIV/0!</v>
      </c>
      <c r="AS1260" s="1098" t="e">
        <f>IF($D$1212="",0,$D1260*Table3[[#This Row],[CF]]*chronic_consumption!$AN60/1000/$C$3)</f>
        <v>#DIV/0!</v>
      </c>
      <c r="AT1260" s="1098" t="e">
        <f>IF($D$1212="",0,$D1260*Table3[[#This Row],[CF]]*chronic_consumption!$AO60/1000/$C$3)</f>
        <v>#DIV/0!</v>
      </c>
      <c r="AU1260" s="1099" t="e">
        <f t="shared" si="838"/>
        <v>#DIV/0!</v>
      </c>
      <c r="AV1260" s="1099" t="e">
        <f t="shared" si="838"/>
        <v>#DIV/0!</v>
      </c>
      <c r="AW1260" s="1099" t="e">
        <f t="shared" si="838"/>
        <v>#DIV/0!</v>
      </c>
      <c r="AX1260" s="1099" t="e">
        <f t="shared" si="838"/>
        <v>#DIV/0!</v>
      </c>
      <c r="AY1260" s="1099" t="e">
        <f t="shared" si="838"/>
        <v>#DIV/0!</v>
      </c>
      <c r="AZ1260" s="1091" t="s">
        <v>1012</v>
      </c>
      <c r="BA1260" s="1097" t="e">
        <f>IF(Table3[[#This Row],[max]]&lt;&gt;0,RANK(Table3[[#This Row],[max]],Table3[max],0),"")</f>
        <v>#DIV/0!</v>
      </c>
      <c r="BB1260" s="1096" t="e">
        <f t="shared" si="831"/>
        <v>#DIV/0!</v>
      </c>
      <c r="BC1260" s="1096" t="e">
        <f t="shared" ca="1" si="832"/>
        <v>#DIV/0!</v>
      </c>
      <c r="BD1260" s="1096" t="e">
        <f>IF(Table3[[#This Row],[max]]&gt;0,Table3[[#This Row],[Crop groups and examples of individual products within the groups to which the MRLs apply]],"")</f>
        <v>#DIV/0!</v>
      </c>
    </row>
    <row r="1261" spans="2:56" x14ac:dyDescent="0.2">
      <c r="B1261" s="23">
        <f t="shared" si="837"/>
        <v>154050</v>
      </c>
      <c r="C1261" s="23" t="str">
        <f t="shared" si="837"/>
        <v>Rose hips</v>
      </c>
      <c r="D1261" s="1084">
        <f>input_values!E61</f>
        <v>0</v>
      </c>
      <c r="E1261" s="1084">
        <f>input_values!F61</f>
        <v>0</v>
      </c>
      <c r="F1261" s="1085">
        <f>input_values!W61</f>
        <v>1</v>
      </c>
      <c r="G1261" s="1085" t="str">
        <f>IF(Table3[[#This Row],[CF]]&gt;0,CONCATENATE(IF(Table3[[#This Row],[LOQ]]="*","LOQ","MRL"),IF(input_values!G61&gt;0,"×CFrisk","")),"")</f>
        <v>MRL</v>
      </c>
      <c r="H1261" s="1087">
        <f>input_values!L61</f>
        <v>0</v>
      </c>
      <c r="I1261" s="1088">
        <f>input_values!D61</f>
        <v>0</v>
      </c>
      <c r="J1261" s="1098" t="e">
        <f>IF($D$1212="",0,$D1261*Table3[[#This Row],[CF]]*chronic_consumption!$E61/1000/$C$3)</f>
        <v>#DIV/0!</v>
      </c>
      <c r="K1261" s="1098" t="e">
        <f>IF($D$1212="",0,$D1261*Table3[[#This Row],[CF]]*chronic_consumption!$F61/1000/$C$3)</f>
        <v>#DIV/0!</v>
      </c>
      <c r="L1261" s="1098" t="e">
        <f>IF($D$1212="",0,$D1261*Table3[[#This Row],[CF]]*chronic_consumption!$G61/1000/$C$3)</f>
        <v>#DIV/0!</v>
      </c>
      <c r="M1261" s="1098" t="e">
        <f>IF($D$1212="",0,$D1261*Table3[[#This Row],[CF]]*chronic_consumption!$H61/1000/$C$3)</f>
        <v>#DIV/0!</v>
      </c>
      <c r="N1261" s="1098" t="e">
        <f>IF($D$1212="",0,$D1261*Table3[[#This Row],[CF]]*chronic_consumption!$I61/1000/$C$3)</f>
        <v>#DIV/0!</v>
      </c>
      <c r="O1261" s="1098" t="e">
        <f>IF($D$1212="",0,$D1261*Table3[[#This Row],[CF]]*chronic_consumption!$J61/1000/$C$3)</f>
        <v>#DIV/0!</v>
      </c>
      <c r="P1261" s="1098" t="e">
        <f>IF($D$1212="",0,$D1261*Table3[[#This Row],[CF]]*chronic_consumption!$K61/1000/$C$3)</f>
        <v>#DIV/0!</v>
      </c>
      <c r="Q1261" s="1098" t="e">
        <f>IF($D$1212="",0,$D1261*Table3[[#This Row],[CF]]*chronic_consumption!$L61/1000/$C$3)</f>
        <v>#DIV/0!</v>
      </c>
      <c r="R1261" s="1098" t="e">
        <f>IF($D$1212="",0,$D1261*Table3[[#This Row],[CF]]*chronic_consumption!$M61/1000/$C$3)</f>
        <v>#DIV/0!</v>
      </c>
      <c r="S1261" s="1098" t="e">
        <f>IF($D$1212="",0,$D1261*Table3[[#This Row],[CF]]*chronic_consumption!$N61/1000/$C$3)</f>
        <v>#DIV/0!</v>
      </c>
      <c r="T1261" s="1098" t="e">
        <f>IF($D$1212="",0,$D1261*Table3[[#This Row],[CF]]*chronic_consumption!$O61/1000/$C$3)</f>
        <v>#DIV/0!</v>
      </c>
      <c r="U1261" s="1098" t="e">
        <f>IF($D$1212="",0,$D1261*Table3[[#This Row],[CF]]*chronic_consumption!$P61/1000/$C$3)</f>
        <v>#DIV/0!</v>
      </c>
      <c r="V1261" s="1098" t="e">
        <f>IF($D$1212="",0,$D1261*Table3[[#This Row],[CF]]*chronic_consumption!$Q61/1000/$C$3)</f>
        <v>#DIV/0!</v>
      </c>
      <c r="W1261" s="1098" t="e">
        <f>IF($D$1212="",0,$D1261*Table3[[#This Row],[CF]]*chronic_consumption!$R61/1000/$C$3)</f>
        <v>#DIV/0!</v>
      </c>
      <c r="X1261" s="1098" t="e">
        <f>IF($D$1212="",0,$D1261*Table3[[#This Row],[CF]]*chronic_consumption!$S61/1000/$C$3)</f>
        <v>#DIV/0!</v>
      </c>
      <c r="Y1261" s="1098" t="e">
        <f>IF($D$1212="",0,$D1261*Table3[[#This Row],[CF]]*chronic_consumption!$T61/1000/$C$3)</f>
        <v>#DIV/0!</v>
      </c>
      <c r="Z1261" s="1098" t="e">
        <f>IF($D$1212="",0,$D1261*Table3[[#This Row],[CF]]*chronic_consumption!$U61/1000/$C$3)</f>
        <v>#DIV/0!</v>
      </c>
      <c r="AA1261" s="1098" t="e">
        <f>IF($D$1212="",0,$D1261*Table3[[#This Row],[CF]]*chronic_consumption!$V61/1000/$C$3)</f>
        <v>#DIV/0!</v>
      </c>
      <c r="AB1261" s="1098" t="e">
        <f>IF($D$1212="",0,$D1261*Table3[[#This Row],[CF]]*chronic_consumption!$W61/1000/$C$3)</f>
        <v>#DIV/0!</v>
      </c>
      <c r="AC1261" s="1098" t="e">
        <f>IF($D$1212="",0,$D1261*Table3[[#This Row],[CF]]*chronic_consumption!$X61/1000/$C$3)</f>
        <v>#DIV/0!</v>
      </c>
      <c r="AD1261" s="1098" t="e">
        <f>IF($D$1212="",0,$D1261*Table3[[#This Row],[CF]]*chronic_consumption!$Y61/1000/$C$3)</f>
        <v>#DIV/0!</v>
      </c>
      <c r="AE1261" s="1098" t="e">
        <f>IF($D$1212="",0,$D1261*Table3[[#This Row],[CF]]*chronic_consumption!$Z61/1000/$C$3)</f>
        <v>#DIV/0!</v>
      </c>
      <c r="AF1261" s="1098" t="e">
        <f>IF($D$1212="",0,$D1261*Table3[[#This Row],[CF]]*chronic_consumption!$AA61/1000/$C$3)</f>
        <v>#DIV/0!</v>
      </c>
      <c r="AG1261" s="1098" t="e">
        <f>IF($D$1212="",0,$D1261*Table3[[#This Row],[CF]]*chronic_consumption!$AB61/1000/$C$3)</f>
        <v>#DIV/0!</v>
      </c>
      <c r="AH1261" s="1098" t="e">
        <f>IF($D$1212="",0,$D1261*Table3[[#This Row],[CF]]*chronic_consumption!$AC61/1000/$C$3)</f>
        <v>#DIV/0!</v>
      </c>
      <c r="AI1261" s="1098" t="e">
        <f>IF($D$1212="",0,$D1261*Table3[[#This Row],[CF]]*chronic_consumption!$AD61/1000/$C$3)</f>
        <v>#DIV/0!</v>
      </c>
      <c r="AJ1261" s="1098" t="e">
        <f>IF($D$1212="",0,$D1261*Table3[[#This Row],[CF]]*chronic_consumption!$AE61/1000/$C$3)</f>
        <v>#DIV/0!</v>
      </c>
      <c r="AK1261" s="1098" t="e">
        <f>IF($D$1212="",0,$D1261*Table3[[#This Row],[CF]]*chronic_consumption!$AF61/1000/$C$3)</f>
        <v>#DIV/0!</v>
      </c>
      <c r="AL1261" s="1098" t="e">
        <f>IF($D$1212="",0,$D1261*Table3[[#This Row],[CF]]*chronic_consumption!$AG61/1000/$C$3)</f>
        <v>#DIV/0!</v>
      </c>
      <c r="AM1261" s="1098" t="e">
        <f>IF($D$1212="",0,$D1261*Table3[[#This Row],[CF]]*chronic_consumption!$AH61/1000/$C$3)</f>
        <v>#DIV/0!</v>
      </c>
      <c r="AN1261" s="1098" t="e">
        <f>IF($D$1212="",0,$D1261*Table3[[#This Row],[CF]]*chronic_consumption!$AI61/1000/$C$3)</f>
        <v>#DIV/0!</v>
      </c>
      <c r="AO1261" s="1098" t="e">
        <f>IF($D$1212="",0,$D1261*Table3[[#This Row],[CF]]*chronic_consumption!$AJ61/1000/$C$3)</f>
        <v>#DIV/0!</v>
      </c>
      <c r="AP1261" s="1098" t="e">
        <f>IF($D$1212="",0,$D1261*Table3[[#This Row],[CF]]*chronic_consumption!$AK61/1000/$C$3)</f>
        <v>#DIV/0!</v>
      </c>
      <c r="AQ1261" s="1098" t="e">
        <f>IF($D$1212="",0,$D1261*Table3[[#This Row],[CF]]*chronic_consumption!$AL61/1000/$C$3)</f>
        <v>#DIV/0!</v>
      </c>
      <c r="AR1261" s="1098" t="e">
        <f>IF($D$1212="",0,$D1261*Table3[[#This Row],[CF]]*chronic_consumption!$AM61/1000/$C$3)</f>
        <v>#DIV/0!</v>
      </c>
      <c r="AS1261" s="1098" t="e">
        <f>IF($D$1212="",0,$D1261*Table3[[#This Row],[CF]]*chronic_consumption!$AN61/1000/$C$3)</f>
        <v>#DIV/0!</v>
      </c>
      <c r="AT1261" s="1098" t="e">
        <f>IF($D$1212="",0,$D1261*Table3[[#This Row],[CF]]*chronic_consumption!$AO61/1000/$C$3)</f>
        <v>#DIV/0!</v>
      </c>
      <c r="AU1261" s="1099" t="e">
        <f t="shared" si="838"/>
        <v>#DIV/0!</v>
      </c>
      <c r="AV1261" s="1099" t="e">
        <f t="shared" si="838"/>
        <v>#DIV/0!</v>
      </c>
      <c r="AW1261" s="1099" t="e">
        <f t="shared" si="838"/>
        <v>#DIV/0!</v>
      </c>
      <c r="AX1261" s="1099" t="e">
        <f t="shared" si="838"/>
        <v>#DIV/0!</v>
      </c>
      <c r="AY1261" s="1099" t="e">
        <f t="shared" si="838"/>
        <v>#DIV/0!</v>
      </c>
      <c r="AZ1261" s="1091" t="s">
        <v>1012</v>
      </c>
      <c r="BA1261" s="1097" t="e">
        <f>IF(Table3[[#This Row],[max]]&lt;&gt;0,RANK(Table3[[#This Row],[max]],Table3[max],0),"")</f>
        <v>#DIV/0!</v>
      </c>
      <c r="BB1261" s="1096" t="e">
        <f t="shared" si="831"/>
        <v>#DIV/0!</v>
      </c>
      <c r="BC1261" s="1096" t="e">
        <f t="shared" ca="1" si="832"/>
        <v>#DIV/0!</v>
      </c>
      <c r="BD1261" s="1096" t="e">
        <f>IF(Table3[[#This Row],[max]]&gt;0,Table3[[#This Row],[Crop groups and examples of individual products within the groups to which the MRLs apply]],"")</f>
        <v>#DIV/0!</v>
      </c>
    </row>
    <row r="1262" spans="2:56" x14ac:dyDescent="0.2">
      <c r="B1262" s="23">
        <f t="shared" si="837"/>
        <v>154060</v>
      </c>
      <c r="C1262" s="23" t="str">
        <f t="shared" si="837"/>
        <v>Mulberries (black and white)</v>
      </c>
      <c r="D1262" s="1084">
        <f>input_values!E62</f>
        <v>0</v>
      </c>
      <c r="E1262" s="1084">
        <f>input_values!F62</f>
        <v>0</v>
      </c>
      <c r="F1262" s="1085">
        <f>input_values!W62</f>
        <v>1</v>
      </c>
      <c r="G1262" s="1085" t="str">
        <f>IF(Table3[[#This Row],[CF]]&gt;0,CONCATENATE(IF(Table3[[#This Row],[LOQ]]="*","LOQ","MRL"),IF(input_values!G62&gt;0,"×CFrisk","")),"")</f>
        <v>MRL</v>
      </c>
      <c r="H1262" s="1087">
        <f>input_values!L62</f>
        <v>0</v>
      </c>
      <c r="I1262" s="1088">
        <f>input_values!D62</f>
        <v>0</v>
      </c>
      <c r="J1262" s="1098" t="e">
        <f>IF($D$1212="",0,$D1262*Table3[[#This Row],[CF]]*chronic_consumption!$E62/1000/$C$3)</f>
        <v>#DIV/0!</v>
      </c>
      <c r="K1262" s="1098" t="e">
        <f>IF($D$1212="",0,$D1262*Table3[[#This Row],[CF]]*chronic_consumption!$F62/1000/$C$3)</f>
        <v>#DIV/0!</v>
      </c>
      <c r="L1262" s="1098" t="e">
        <f>IF($D$1212="",0,$D1262*Table3[[#This Row],[CF]]*chronic_consumption!$G62/1000/$C$3)</f>
        <v>#DIV/0!</v>
      </c>
      <c r="M1262" s="1098" t="e">
        <f>IF($D$1212="",0,$D1262*Table3[[#This Row],[CF]]*chronic_consumption!$H62/1000/$C$3)</f>
        <v>#DIV/0!</v>
      </c>
      <c r="N1262" s="1098" t="e">
        <f>IF($D$1212="",0,$D1262*Table3[[#This Row],[CF]]*chronic_consumption!$I62/1000/$C$3)</f>
        <v>#DIV/0!</v>
      </c>
      <c r="O1262" s="1098" t="e">
        <f>IF($D$1212="",0,$D1262*Table3[[#This Row],[CF]]*chronic_consumption!$J62/1000/$C$3)</f>
        <v>#DIV/0!</v>
      </c>
      <c r="P1262" s="1098" t="e">
        <f>IF($D$1212="",0,$D1262*Table3[[#This Row],[CF]]*chronic_consumption!$K62/1000/$C$3)</f>
        <v>#DIV/0!</v>
      </c>
      <c r="Q1262" s="1098" t="e">
        <f>IF($D$1212="",0,$D1262*Table3[[#This Row],[CF]]*chronic_consumption!$L62/1000/$C$3)</f>
        <v>#DIV/0!</v>
      </c>
      <c r="R1262" s="1098" t="e">
        <f>IF($D$1212="",0,$D1262*Table3[[#This Row],[CF]]*chronic_consumption!$M62/1000/$C$3)</f>
        <v>#DIV/0!</v>
      </c>
      <c r="S1262" s="1098" t="e">
        <f>IF($D$1212="",0,$D1262*Table3[[#This Row],[CF]]*chronic_consumption!$N62/1000/$C$3)</f>
        <v>#DIV/0!</v>
      </c>
      <c r="T1262" s="1098" t="e">
        <f>IF($D$1212="",0,$D1262*Table3[[#This Row],[CF]]*chronic_consumption!$O62/1000/$C$3)</f>
        <v>#DIV/0!</v>
      </c>
      <c r="U1262" s="1098" t="e">
        <f>IF($D$1212="",0,$D1262*Table3[[#This Row],[CF]]*chronic_consumption!$P62/1000/$C$3)</f>
        <v>#DIV/0!</v>
      </c>
      <c r="V1262" s="1098" t="e">
        <f>IF($D$1212="",0,$D1262*Table3[[#This Row],[CF]]*chronic_consumption!$Q62/1000/$C$3)</f>
        <v>#DIV/0!</v>
      </c>
      <c r="W1262" s="1098" t="e">
        <f>IF($D$1212="",0,$D1262*Table3[[#This Row],[CF]]*chronic_consumption!$R62/1000/$C$3)</f>
        <v>#DIV/0!</v>
      </c>
      <c r="X1262" s="1098" t="e">
        <f>IF($D$1212="",0,$D1262*Table3[[#This Row],[CF]]*chronic_consumption!$S62/1000/$C$3)</f>
        <v>#DIV/0!</v>
      </c>
      <c r="Y1262" s="1098" t="e">
        <f>IF($D$1212="",0,$D1262*Table3[[#This Row],[CF]]*chronic_consumption!$T62/1000/$C$3)</f>
        <v>#DIV/0!</v>
      </c>
      <c r="Z1262" s="1098" t="e">
        <f>IF($D$1212="",0,$D1262*Table3[[#This Row],[CF]]*chronic_consumption!$U62/1000/$C$3)</f>
        <v>#DIV/0!</v>
      </c>
      <c r="AA1262" s="1098" t="e">
        <f>IF($D$1212="",0,$D1262*Table3[[#This Row],[CF]]*chronic_consumption!$V62/1000/$C$3)</f>
        <v>#DIV/0!</v>
      </c>
      <c r="AB1262" s="1098" t="e">
        <f>IF($D$1212="",0,$D1262*Table3[[#This Row],[CF]]*chronic_consumption!$W62/1000/$C$3)</f>
        <v>#DIV/0!</v>
      </c>
      <c r="AC1262" s="1098" t="e">
        <f>IF($D$1212="",0,$D1262*Table3[[#This Row],[CF]]*chronic_consumption!$X62/1000/$C$3)</f>
        <v>#DIV/0!</v>
      </c>
      <c r="AD1262" s="1098" t="e">
        <f>IF($D$1212="",0,$D1262*Table3[[#This Row],[CF]]*chronic_consumption!$Y62/1000/$C$3)</f>
        <v>#DIV/0!</v>
      </c>
      <c r="AE1262" s="1098" t="e">
        <f>IF($D$1212="",0,$D1262*Table3[[#This Row],[CF]]*chronic_consumption!$Z62/1000/$C$3)</f>
        <v>#DIV/0!</v>
      </c>
      <c r="AF1262" s="1098" t="e">
        <f>IF($D$1212="",0,$D1262*Table3[[#This Row],[CF]]*chronic_consumption!$AA62/1000/$C$3)</f>
        <v>#DIV/0!</v>
      </c>
      <c r="AG1262" s="1098" t="e">
        <f>IF($D$1212="",0,$D1262*Table3[[#This Row],[CF]]*chronic_consumption!$AB62/1000/$C$3)</f>
        <v>#DIV/0!</v>
      </c>
      <c r="AH1262" s="1098" t="e">
        <f>IF($D$1212="",0,$D1262*Table3[[#This Row],[CF]]*chronic_consumption!$AC62/1000/$C$3)</f>
        <v>#DIV/0!</v>
      </c>
      <c r="AI1262" s="1098" t="e">
        <f>IF($D$1212="",0,$D1262*Table3[[#This Row],[CF]]*chronic_consumption!$AD62/1000/$C$3)</f>
        <v>#DIV/0!</v>
      </c>
      <c r="AJ1262" s="1098" t="e">
        <f>IF($D$1212="",0,$D1262*Table3[[#This Row],[CF]]*chronic_consumption!$AE62/1000/$C$3)</f>
        <v>#DIV/0!</v>
      </c>
      <c r="AK1262" s="1098" t="e">
        <f>IF($D$1212="",0,$D1262*Table3[[#This Row],[CF]]*chronic_consumption!$AF62/1000/$C$3)</f>
        <v>#DIV/0!</v>
      </c>
      <c r="AL1262" s="1098" t="e">
        <f>IF($D$1212="",0,$D1262*Table3[[#This Row],[CF]]*chronic_consumption!$AG62/1000/$C$3)</f>
        <v>#DIV/0!</v>
      </c>
      <c r="AM1262" s="1098" t="e">
        <f>IF($D$1212="",0,$D1262*Table3[[#This Row],[CF]]*chronic_consumption!$AH62/1000/$C$3)</f>
        <v>#DIV/0!</v>
      </c>
      <c r="AN1262" s="1098" t="e">
        <f>IF($D$1212="",0,$D1262*Table3[[#This Row],[CF]]*chronic_consumption!$AI62/1000/$C$3)</f>
        <v>#DIV/0!</v>
      </c>
      <c r="AO1262" s="1098" t="e">
        <f>IF($D$1212="",0,$D1262*Table3[[#This Row],[CF]]*chronic_consumption!$AJ62/1000/$C$3)</f>
        <v>#DIV/0!</v>
      </c>
      <c r="AP1262" s="1098" t="e">
        <f>IF($D$1212="",0,$D1262*Table3[[#This Row],[CF]]*chronic_consumption!$AK62/1000/$C$3)</f>
        <v>#DIV/0!</v>
      </c>
      <c r="AQ1262" s="1098" t="e">
        <f>IF($D$1212="",0,$D1262*Table3[[#This Row],[CF]]*chronic_consumption!$AL62/1000/$C$3)</f>
        <v>#DIV/0!</v>
      </c>
      <c r="AR1262" s="1098" t="e">
        <f>IF($D$1212="",0,$D1262*Table3[[#This Row],[CF]]*chronic_consumption!$AM62/1000/$C$3)</f>
        <v>#DIV/0!</v>
      </c>
      <c r="AS1262" s="1098" t="e">
        <f>IF($D$1212="",0,$D1262*Table3[[#This Row],[CF]]*chronic_consumption!$AN62/1000/$C$3)</f>
        <v>#DIV/0!</v>
      </c>
      <c r="AT1262" s="1098" t="e">
        <f>IF($D$1212="",0,$D1262*Table3[[#This Row],[CF]]*chronic_consumption!$AO62/1000/$C$3)</f>
        <v>#DIV/0!</v>
      </c>
      <c r="AU1262" s="1099" t="e">
        <f t="shared" ref="AU1262:AY1271" si="839">IF(AU462="",0,IF(OR(1=RANK(AU862,AU$412:AU$790,0),(2=RANK(AU862,AU$412:AU$790,0))),AU862,AU462))</f>
        <v>#DIV/0!</v>
      </c>
      <c r="AV1262" s="1099" t="e">
        <f t="shared" si="839"/>
        <v>#DIV/0!</v>
      </c>
      <c r="AW1262" s="1099" t="e">
        <f t="shared" si="839"/>
        <v>#DIV/0!</v>
      </c>
      <c r="AX1262" s="1099" t="e">
        <f t="shared" si="839"/>
        <v>#DIV/0!</v>
      </c>
      <c r="AY1262" s="1099" t="e">
        <f t="shared" si="839"/>
        <v>#DIV/0!</v>
      </c>
      <c r="AZ1262" s="1091" t="s">
        <v>1012</v>
      </c>
      <c r="BA1262" s="1097" t="e">
        <f>IF(Table3[[#This Row],[max]]&lt;&gt;0,RANK(Table3[[#This Row],[max]],Table3[max],0),"")</f>
        <v>#DIV/0!</v>
      </c>
      <c r="BB1262" s="1096" t="e">
        <f t="shared" si="831"/>
        <v>#DIV/0!</v>
      </c>
      <c r="BC1262" s="1096" t="e">
        <f t="shared" ca="1" si="832"/>
        <v>#DIV/0!</v>
      </c>
      <c r="BD1262" s="1096" t="e">
        <f>IF(Table3[[#This Row],[max]]&gt;0,Table3[[#This Row],[Crop groups and examples of individual products within the groups to which the MRLs apply]],"")</f>
        <v>#DIV/0!</v>
      </c>
    </row>
    <row r="1263" spans="2:56" x14ac:dyDescent="0.2">
      <c r="B1263" s="23">
        <f t="shared" si="837"/>
        <v>154070</v>
      </c>
      <c r="C1263" s="23" t="str">
        <f t="shared" si="837"/>
        <v>Azarole/Mediteranean medlar</v>
      </c>
      <c r="D1263" s="1084">
        <f>input_values!E63</f>
        <v>0</v>
      </c>
      <c r="E1263" s="1084">
        <f>input_values!F63</f>
        <v>0</v>
      </c>
      <c r="F1263" s="1085">
        <f>input_values!W63</f>
        <v>1</v>
      </c>
      <c r="G1263" s="1085" t="str">
        <f>IF(Table3[[#This Row],[CF]]&gt;0,CONCATENATE(IF(Table3[[#This Row],[LOQ]]="*","LOQ","MRL"),IF(input_values!G63&gt;0,"×CFrisk","")),"")</f>
        <v>MRL</v>
      </c>
      <c r="H1263" s="1087">
        <f>input_values!L63</f>
        <v>0</v>
      </c>
      <c r="I1263" s="1088">
        <f>input_values!D63</f>
        <v>0</v>
      </c>
      <c r="J1263" s="1098" t="e">
        <f>IF($D$1212="",0,$D1263*Table3[[#This Row],[CF]]*chronic_consumption!$E63/1000/$C$3)</f>
        <v>#DIV/0!</v>
      </c>
      <c r="K1263" s="1098" t="e">
        <f>IF($D$1212="",0,$D1263*Table3[[#This Row],[CF]]*chronic_consumption!$F63/1000/$C$3)</f>
        <v>#DIV/0!</v>
      </c>
      <c r="L1263" s="1098" t="e">
        <f>IF($D$1212="",0,$D1263*Table3[[#This Row],[CF]]*chronic_consumption!$G63/1000/$C$3)</f>
        <v>#DIV/0!</v>
      </c>
      <c r="M1263" s="1098" t="e">
        <f>IF($D$1212="",0,$D1263*Table3[[#This Row],[CF]]*chronic_consumption!$H63/1000/$C$3)</f>
        <v>#DIV/0!</v>
      </c>
      <c r="N1263" s="1098" t="e">
        <f>IF($D$1212="",0,$D1263*Table3[[#This Row],[CF]]*chronic_consumption!$I63/1000/$C$3)</f>
        <v>#DIV/0!</v>
      </c>
      <c r="O1263" s="1098" t="e">
        <f>IF($D$1212="",0,$D1263*Table3[[#This Row],[CF]]*chronic_consumption!$J63/1000/$C$3)</f>
        <v>#DIV/0!</v>
      </c>
      <c r="P1263" s="1098" t="e">
        <f>IF($D$1212="",0,$D1263*Table3[[#This Row],[CF]]*chronic_consumption!$K63/1000/$C$3)</f>
        <v>#DIV/0!</v>
      </c>
      <c r="Q1263" s="1098" t="e">
        <f>IF($D$1212="",0,$D1263*Table3[[#This Row],[CF]]*chronic_consumption!$L63/1000/$C$3)</f>
        <v>#DIV/0!</v>
      </c>
      <c r="R1263" s="1098" t="e">
        <f>IF($D$1212="",0,$D1263*Table3[[#This Row],[CF]]*chronic_consumption!$M63/1000/$C$3)</f>
        <v>#DIV/0!</v>
      </c>
      <c r="S1263" s="1098" t="e">
        <f>IF($D$1212="",0,$D1263*Table3[[#This Row],[CF]]*chronic_consumption!$N63/1000/$C$3)</f>
        <v>#DIV/0!</v>
      </c>
      <c r="T1263" s="1098" t="e">
        <f>IF($D$1212="",0,$D1263*Table3[[#This Row],[CF]]*chronic_consumption!$O63/1000/$C$3)</f>
        <v>#DIV/0!</v>
      </c>
      <c r="U1263" s="1098" t="e">
        <f>IF($D$1212="",0,$D1263*Table3[[#This Row],[CF]]*chronic_consumption!$P63/1000/$C$3)</f>
        <v>#DIV/0!</v>
      </c>
      <c r="V1263" s="1098" t="e">
        <f>IF($D$1212="",0,$D1263*Table3[[#This Row],[CF]]*chronic_consumption!$Q63/1000/$C$3)</f>
        <v>#DIV/0!</v>
      </c>
      <c r="W1263" s="1098" t="e">
        <f>IF($D$1212="",0,$D1263*Table3[[#This Row],[CF]]*chronic_consumption!$R63/1000/$C$3)</f>
        <v>#DIV/0!</v>
      </c>
      <c r="X1263" s="1098" t="e">
        <f>IF($D$1212="",0,$D1263*Table3[[#This Row],[CF]]*chronic_consumption!$S63/1000/$C$3)</f>
        <v>#DIV/0!</v>
      </c>
      <c r="Y1263" s="1098" t="e">
        <f>IF($D$1212="",0,$D1263*Table3[[#This Row],[CF]]*chronic_consumption!$T63/1000/$C$3)</f>
        <v>#DIV/0!</v>
      </c>
      <c r="Z1263" s="1098" t="e">
        <f>IF($D$1212="",0,$D1263*Table3[[#This Row],[CF]]*chronic_consumption!$U63/1000/$C$3)</f>
        <v>#DIV/0!</v>
      </c>
      <c r="AA1263" s="1098" t="e">
        <f>IF($D$1212="",0,$D1263*Table3[[#This Row],[CF]]*chronic_consumption!$V63/1000/$C$3)</f>
        <v>#DIV/0!</v>
      </c>
      <c r="AB1263" s="1098" t="e">
        <f>IF($D$1212="",0,$D1263*Table3[[#This Row],[CF]]*chronic_consumption!$W63/1000/$C$3)</f>
        <v>#DIV/0!</v>
      </c>
      <c r="AC1263" s="1098" t="e">
        <f>IF($D$1212="",0,$D1263*Table3[[#This Row],[CF]]*chronic_consumption!$X63/1000/$C$3)</f>
        <v>#DIV/0!</v>
      </c>
      <c r="AD1263" s="1098" t="e">
        <f>IF($D$1212="",0,$D1263*Table3[[#This Row],[CF]]*chronic_consumption!$Y63/1000/$C$3)</f>
        <v>#DIV/0!</v>
      </c>
      <c r="AE1263" s="1098" t="e">
        <f>IF($D$1212="",0,$D1263*Table3[[#This Row],[CF]]*chronic_consumption!$Z63/1000/$C$3)</f>
        <v>#DIV/0!</v>
      </c>
      <c r="AF1263" s="1098" t="e">
        <f>IF($D$1212="",0,$D1263*Table3[[#This Row],[CF]]*chronic_consumption!$AA63/1000/$C$3)</f>
        <v>#DIV/0!</v>
      </c>
      <c r="AG1263" s="1098" t="e">
        <f>IF($D$1212="",0,$D1263*Table3[[#This Row],[CF]]*chronic_consumption!$AB63/1000/$C$3)</f>
        <v>#DIV/0!</v>
      </c>
      <c r="AH1263" s="1098" t="e">
        <f>IF($D$1212="",0,$D1263*Table3[[#This Row],[CF]]*chronic_consumption!$AC63/1000/$C$3)</f>
        <v>#DIV/0!</v>
      </c>
      <c r="AI1263" s="1098" t="e">
        <f>IF($D$1212="",0,$D1263*Table3[[#This Row],[CF]]*chronic_consumption!$AD63/1000/$C$3)</f>
        <v>#DIV/0!</v>
      </c>
      <c r="AJ1263" s="1098" t="e">
        <f>IF($D$1212="",0,$D1263*Table3[[#This Row],[CF]]*chronic_consumption!$AE63/1000/$C$3)</f>
        <v>#DIV/0!</v>
      </c>
      <c r="AK1263" s="1098" t="e">
        <f>IF($D$1212="",0,$D1263*Table3[[#This Row],[CF]]*chronic_consumption!$AF63/1000/$C$3)</f>
        <v>#DIV/0!</v>
      </c>
      <c r="AL1263" s="1098" t="e">
        <f>IF($D$1212="",0,$D1263*Table3[[#This Row],[CF]]*chronic_consumption!$AG63/1000/$C$3)</f>
        <v>#DIV/0!</v>
      </c>
      <c r="AM1263" s="1098" t="e">
        <f>IF($D$1212="",0,$D1263*Table3[[#This Row],[CF]]*chronic_consumption!$AH63/1000/$C$3)</f>
        <v>#DIV/0!</v>
      </c>
      <c r="AN1263" s="1098" t="e">
        <f>IF($D$1212="",0,$D1263*Table3[[#This Row],[CF]]*chronic_consumption!$AI63/1000/$C$3)</f>
        <v>#DIV/0!</v>
      </c>
      <c r="AO1263" s="1098" t="e">
        <f>IF($D$1212="",0,$D1263*Table3[[#This Row],[CF]]*chronic_consumption!$AJ63/1000/$C$3)</f>
        <v>#DIV/0!</v>
      </c>
      <c r="AP1263" s="1098" t="e">
        <f>IF($D$1212="",0,$D1263*Table3[[#This Row],[CF]]*chronic_consumption!$AK63/1000/$C$3)</f>
        <v>#DIV/0!</v>
      </c>
      <c r="AQ1263" s="1098" t="e">
        <f>IF($D$1212="",0,$D1263*Table3[[#This Row],[CF]]*chronic_consumption!$AL63/1000/$C$3)</f>
        <v>#DIV/0!</v>
      </c>
      <c r="AR1263" s="1098" t="e">
        <f>IF($D$1212="",0,$D1263*Table3[[#This Row],[CF]]*chronic_consumption!$AM63/1000/$C$3)</f>
        <v>#DIV/0!</v>
      </c>
      <c r="AS1263" s="1098" t="e">
        <f>IF($D$1212="",0,$D1263*Table3[[#This Row],[CF]]*chronic_consumption!$AN63/1000/$C$3)</f>
        <v>#DIV/0!</v>
      </c>
      <c r="AT1263" s="1098" t="e">
        <f>IF($D$1212="",0,$D1263*Table3[[#This Row],[CF]]*chronic_consumption!$AO63/1000/$C$3)</f>
        <v>#DIV/0!</v>
      </c>
      <c r="AU1263" s="1099" t="e">
        <f t="shared" si="839"/>
        <v>#DIV/0!</v>
      </c>
      <c r="AV1263" s="1099" t="e">
        <f t="shared" si="839"/>
        <v>#DIV/0!</v>
      </c>
      <c r="AW1263" s="1099" t="e">
        <f t="shared" si="839"/>
        <v>#DIV/0!</v>
      </c>
      <c r="AX1263" s="1099" t="e">
        <f t="shared" si="839"/>
        <v>#DIV/0!</v>
      </c>
      <c r="AY1263" s="1099" t="e">
        <f t="shared" si="839"/>
        <v>#DIV/0!</v>
      </c>
      <c r="AZ1263" s="1091" t="s">
        <v>1012</v>
      </c>
      <c r="BA1263" s="1097" t="e">
        <f>IF(Table3[[#This Row],[max]]&lt;&gt;0,RANK(Table3[[#This Row],[max]],Table3[max],0),"")</f>
        <v>#DIV/0!</v>
      </c>
      <c r="BB1263" s="1096" t="e">
        <f t="shared" si="831"/>
        <v>#DIV/0!</v>
      </c>
      <c r="BC1263" s="1096" t="e">
        <f t="shared" ca="1" si="832"/>
        <v>#DIV/0!</v>
      </c>
      <c r="BD1263" s="1096" t="e">
        <f>IF(Table3[[#This Row],[max]]&gt;0,Table3[[#This Row],[Crop groups and examples of individual products within the groups to which the MRLs apply]],"")</f>
        <v>#DIV/0!</v>
      </c>
    </row>
    <row r="1264" spans="2:56" x14ac:dyDescent="0.2">
      <c r="B1264" s="23">
        <f t="shared" si="837"/>
        <v>154080</v>
      </c>
      <c r="C1264" s="23" t="str">
        <f t="shared" si="837"/>
        <v>Elderberries</v>
      </c>
      <c r="D1264" s="1084">
        <f>input_values!E64</f>
        <v>0</v>
      </c>
      <c r="E1264" s="1084">
        <f>input_values!F64</f>
        <v>0</v>
      </c>
      <c r="F1264" s="1085">
        <f>input_values!W64</f>
        <v>1</v>
      </c>
      <c r="G1264" s="1085" t="str">
        <f>IF(Table3[[#This Row],[CF]]&gt;0,CONCATENATE(IF(Table3[[#This Row],[LOQ]]="*","LOQ","MRL"),IF(input_values!G64&gt;0,"×CFrisk","")),"")</f>
        <v>MRL</v>
      </c>
      <c r="H1264" s="1087">
        <f>input_values!L64</f>
        <v>0</v>
      </c>
      <c r="I1264" s="1088">
        <f>input_values!D64</f>
        <v>0</v>
      </c>
      <c r="J1264" s="1098" t="e">
        <f>IF($D$1212="",0,$D1264*Table3[[#This Row],[CF]]*chronic_consumption!$E64/1000/$C$3)</f>
        <v>#DIV/0!</v>
      </c>
      <c r="K1264" s="1098" t="e">
        <f>IF($D$1212="",0,$D1264*Table3[[#This Row],[CF]]*chronic_consumption!$F64/1000/$C$3)</f>
        <v>#DIV/0!</v>
      </c>
      <c r="L1264" s="1098" t="e">
        <f>IF($D$1212="",0,$D1264*Table3[[#This Row],[CF]]*chronic_consumption!$G64/1000/$C$3)</f>
        <v>#DIV/0!</v>
      </c>
      <c r="M1264" s="1098" t="e">
        <f>IF($D$1212="",0,$D1264*Table3[[#This Row],[CF]]*chronic_consumption!$H64/1000/$C$3)</f>
        <v>#DIV/0!</v>
      </c>
      <c r="N1264" s="1098" t="e">
        <f>IF($D$1212="",0,$D1264*Table3[[#This Row],[CF]]*chronic_consumption!$I64/1000/$C$3)</f>
        <v>#DIV/0!</v>
      </c>
      <c r="O1264" s="1098" t="e">
        <f>IF($D$1212="",0,$D1264*Table3[[#This Row],[CF]]*chronic_consumption!$J64/1000/$C$3)</f>
        <v>#DIV/0!</v>
      </c>
      <c r="P1264" s="1098" t="e">
        <f>IF($D$1212="",0,$D1264*Table3[[#This Row],[CF]]*chronic_consumption!$K64/1000/$C$3)</f>
        <v>#DIV/0!</v>
      </c>
      <c r="Q1264" s="1098" t="e">
        <f>IF($D$1212="",0,$D1264*Table3[[#This Row],[CF]]*chronic_consumption!$L64/1000/$C$3)</f>
        <v>#DIV/0!</v>
      </c>
      <c r="R1264" s="1098" t="e">
        <f>IF($D$1212="",0,$D1264*Table3[[#This Row],[CF]]*chronic_consumption!$M64/1000/$C$3)</f>
        <v>#DIV/0!</v>
      </c>
      <c r="S1264" s="1098" t="e">
        <f>IF($D$1212="",0,$D1264*Table3[[#This Row],[CF]]*chronic_consumption!$N64/1000/$C$3)</f>
        <v>#DIV/0!</v>
      </c>
      <c r="T1264" s="1098" t="e">
        <f>IF($D$1212="",0,$D1264*Table3[[#This Row],[CF]]*chronic_consumption!$O64/1000/$C$3)</f>
        <v>#DIV/0!</v>
      </c>
      <c r="U1264" s="1098" t="e">
        <f>IF($D$1212="",0,$D1264*Table3[[#This Row],[CF]]*chronic_consumption!$P64/1000/$C$3)</f>
        <v>#DIV/0!</v>
      </c>
      <c r="V1264" s="1098" t="e">
        <f>IF($D$1212="",0,$D1264*Table3[[#This Row],[CF]]*chronic_consumption!$Q64/1000/$C$3)</f>
        <v>#DIV/0!</v>
      </c>
      <c r="W1264" s="1098" t="e">
        <f>IF($D$1212="",0,$D1264*Table3[[#This Row],[CF]]*chronic_consumption!$R64/1000/$C$3)</f>
        <v>#DIV/0!</v>
      </c>
      <c r="X1264" s="1098" t="e">
        <f>IF($D$1212="",0,$D1264*Table3[[#This Row],[CF]]*chronic_consumption!$S64/1000/$C$3)</f>
        <v>#DIV/0!</v>
      </c>
      <c r="Y1264" s="1098" t="e">
        <f>IF($D$1212="",0,$D1264*Table3[[#This Row],[CF]]*chronic_consumption!$T64/1000/$C$3)</f>
        <v>#DIV/0!</v>
      </c>
      <c r="Z1264" s="1098" t="e">
        <f>IF($D$1212="",0,$D1264*Table3[[#This Row],[CF]]*chronic_consumption!$U64/1000/$C$3)</f>
        <v>#DIV/0!</v>
      </c>
      <c r="AA1264" s="1098" t="e">
        <f>IF($D$1212="",0,$D1264*Table3[[#This Row],[CF]]*chronic_consumption!$V64/1000/$C$3)</f>
        <v>#DIV/0!</v>
      </c>
      <c r="AB1264" s="1098" t="e">
        <f>IF($D$1212="",0,$D1264*Table3[[#This Row],[CF]]*chronic_consumption!$W64/1000/$C$3)</f>
        <v>#DIV/0!</v>
      </c>
      <c r="AC1264" s="1098" t="e">
        <f>IF($D$1212="",0,$D1264*Table3[[#This Row],[CF]]*chronic_consumption!$X64/1000/$C$3)</f>
        <v>#DIV/0!</v>
      </c>
      <c r="AD1264" s="1098" t="e">
        <f>IF($D$1212="",0,$D1264*Table3[[#This Row],[CF]]*chronic_consumption!$Y64/1000/$C$3)</f>
        <v>#DIV/0!</v>
      </c>
      <c r="AE1264" s="1098" t="e">
        <f>IF($D$1212="",0,$D1264*Table3[[#This Row],[CF]]*chronic_consumption!$Z64/1000/$C$3)</f>
        <v>#DIV/0!</v>
      </c>
      <c r="AF1264" s="1098" t="e">
        <f>IF($D$1212="",0,$D1264*Table3[[#This Row],[CF]]*chronic_consumption!$AA64/1000/$C$3)</f>
        <v>#DIV/0!</v>
      </c>
      <c r="AG1264" s="1098" t="e">
        <f>IF($D$1212="",0,$D1264*Table3[[#This Row],[CF]]*chronic_consumption!$AB64/1000/$C$3)</f>
        <v>#DIV/0!</v>
      </c>
      <c r="AH1264" s="1098" t="e">
        <f>IF($D$1212="",0,$D1264*Table3[[#This Row],[CF]]*chronic_consumption!$AC64/1000/$C$3)</f>
        <v>#DIV/0!</v>
      </c>
      <c r="AI1264" s="1098" t="e">
        <f>IF($D$1212="",0,$D1264*Table3[[#This Row],[CF]]*chronic_consumption!$AD64/1000/$C$3)</f>
        <v>#DIV/0!</v>
      </c>
      <c r="AJ1264" s="1098" t="e">
        <f>IF($D$1212="",0,$D1264*Table3[[#This Row],[CF]]*chronic_consumption!$AE64/1000/$C$3)</f>
        <v>#DIV/0!</v>
      </c>
      <c r="AK1264" s="1098" t="e">
        <f>IF($D$1212="",0,$D1264*Table3[[#This Row],[CF]]*chronic_consumption!$AF64/1000/$C$3)</f>
        <v>#DIV/0!</v>
      </c>
      <c r="AL1264" s="1098" t="e">
        <f>IF($D$1212="",0,$D1264*Table3[[#This Row],[CF]]*chronic_consumption!$AG64/1000/$C$3)</f>
        <v>#DIV/0!</v>
      </c>
      <c r="AM1264" s="1098" t="e">
        <f>IF($D$1212="",0,$D1264*Table3[[#This Row],[CF]]*chronic_consumption!$AH64/1000/$C$3)</f>
        <v>#DIV/0!</v>
      </c>
      <c r="AN1264" s="1098" t="e">
        <f>IF($D$1212="",0,$D1264*Table3[[#This Row],[CF]]*chronic_consumption!$AI64/1000/$C$3)</f>
        <v>#DIV/0!</v>
      </c>
      <c r="AO1264" s="1098" t="e">
        <f>IF($D$1212="",0,$D1264*Table3[[#This Row],[CF]]*chronic_consumption!$AJ64/1000/$C$3)</f>
        <v>#DIV/0!</v>
      </c>
      <c r="AP1264" s="1098" t="e">
        <f>IF($D$1212="",0,$D1264*Table3[[#This Row],[CF]]*chronic_consumption!$AK64/1000/$C$3)</f>
        <v>#DIV/0!</v>
      </c>
      <c r="AQ1264" s="1098" t="e">
        <f>IF($D$1212="",0,$D1264*Table3[[#This Row],[CF]]*chronic_consumption!$AL64/1000/$C$3)</f>
        <v>#DIV/0!</v>
      </c>
      <c r="AR1264" s="1098" t="e">
        <f>IF($D$1212="",0,$D1264*Table3[[#This Row],[CF]]*chronic_consumption!$AM64/1000/$C$3)</f>
        <v>#DIV/0!</v>
      </c>
      <c r="AS1264" s="1098" t="e">
        <f>IF($D$1212="",0,$D1264*Table3[[#This Row],[CF]]*chronic_consumption!$AN64/1000/$C$3)</f>
        <v>#DIV/0!</v>
      </c>
      <c r="AT1264" s="1098" t="e">
        <f>IF($D$1212="",0,$D1264*Table3[[#This Row],[CF]]*chronic_consumption!$AO64/1000/$C$3)</f>
        <v>#DIV/0!</v>
      </c>
      <c r="AU1264" s="1099" t="e">
        <f t="shared" si="839"/>
        <v>#DIV/0!</v>
      </c>
      <c r="AV1264" s="1099" t="e">
        <f t="shared" si="839"/>
        <v>#DIV/0!</v>
      </c>
      <c r="AW1264" s="1099" t="e">
        <f t="shared" si="839"/>
        <v>#DIV/0!</v>
      </c>
      <c r="AX1264" s="1099" t="e">
        <f t="shared" si="839"/>
        <v>#DIV/0!</v>
      </c>
      <c r="AY1264" s="1099" t="e">
        <f t="shared" si="839"/>
        <v>#DIV/0!</v>
      </c>
      <c r="AZ1264" s="1091" t="s">
        <v>1012</v>
      </c>
      <c r="BA1264" s="1097" t="e">
        <f>IF(Table3[[#This Row],[max]]&lt;&gt;0,RANK(Table3[[#This Row],[max]],Table3[max],0),"")</f>
        <v>#DIV/0!</v>
      </c>
      <c r="BB1264" s="1096" t="e">
        <f t="shared" si="831"/>
        <v>#DIV/0!</v>
      </c>
      <c r="BC1264" s="1096" t="e">
        <f t="shared" ca="1" si="832"/>
        <v>#DIV/0!</v>
      </c>
      <c r="BD1264" s="1096" t="e">
        <f>IF(Table3[[#This Row],[max]]&gt;0,Table3[[#This Row],[Crop groups and examples of individual products within the groups to which the MRLs apply]],"")</f>
        <v>#DIV/0!</v>
      </c>
    </row>
    <row r="1265" spans="2:56" x14ac:dyDescent="0.2">
      <c r="B1265" s="23">
        <f t="shared" si="837"/>
        <v>154990</v>
      </c>
      <c r="C1265" s="23" t="str">
        <f t="shared" si="837"/>
        <v xml:space="preserve">Other other small fruit &amp; berries </v>
      </c>
      <c r="D1265" s="1084">
        <f>input_values!E65</f>
        <v>0</v>
      </c>
      <c r="E1265" s="1084">
        <f>input_values!F65</f>
        <v>0</v>
      </c>
      <c r="F1265" s="1085">
        <f>input_values!W65</f>
        <v>1</v>
      </c>
      <c r="G1265" s="1085" t="str">
        <f>IF(Table3[[#This Row],[CF]]&gt;0,CONCATENATE(IF(Table3[[#This Row],[LOQ]]="*","LOQ","MRL"),IF(input_values!G65&gt;0,"×CFrisk","")),"")</f>
        <v>MRL</v>
      </c>
      <c r="H1265" s="1087">
        <f>input_values!L65</f>
        <v>0</v>
      </c>
      <c r="I1265" s="1088">
        <f>input_values!D65</f>
        <v>0</v>
      </c>
      <c r="J1265" s="1098" t="e">
        <f>IF($D$1212="",0,$D1265*Table3[[#This Row],[CF]]*chronic_consumption!$E65/1000/$C$3)</f>
        <v>#DIV/0!</v>
      </c>
      <c r="K1265" s="1098" t="e">
        <f>IF($D$1212="",0,$D1265*Table3[[#This Row],[CF]]*chronic_consumption!$F65/1000/$C$3)</f>
        <v>#DIV/0!</v>
      </c>
      <c r="L1265" s="1098" t="e">
        <f>IF($D$1212="",0,$D1265*Table3[[#This Row],[CF]]*chronic_consumption!$G65/1000/$C$3)</f>
        <v>#DIV/0!</v>
      </c>
      <c r="M1265" s="1098" t="e">
        <f>IF($D$1212="",0,$D1265*Table3[[#This Row],[CF]]*chronic_consumption!$H65/1000/$C$3)</f>
        <v>#DIV/0!</v>
      </c>
      <c r="N1265" s="1098" t="e">
        <f>IF($D$1212="",0,$D1265*Table3[[#This Row],[CF]]*chronic_consumption!$I65/1000/$C$3)</f>
        <v>#DIV/0!</v>
      </c>
      <c r="O1265" s="1098" t="e">
        <f>IF($D$1212="",0,$D1265*Table3[[#This Row],[CF]]*chronic_consumption!$J65/1000/$C$3)</f>
        <v>#DIV/0!</v>
      </c>
      <c r="P1265" s="1098" t="e">
        <f>IF($D$1212="",0,$D1265*Table3[[#This Row],[CF]]*chronic_consumption!$K65/1000/$C$3)</f>
        <v>#DIV/0!</v>
      </c>
      <c r="Q1265" s="1098" t="e">
        <f>IF($D$1212="",0,$D1265*Table3[[#This Row],[CF]]*chronic_consumption!$L65/1000/$C$3)</f>
        <v>#DIV/0!</v>
      </c>
      <c r="R1265" s="1098" t="e">
        <f>IF($D$1212="",0,$D1265*Table3[[#This Row],[CF]]*chronic_consumption!$M65/1000/$C$3)</f>
        <v>#DIV/0!</v>
      </c>
      <c r="S1265" s="1098" t="e">
        <f>IF($D$1212="",0,$D1265*Table3[[#This Row],[CF]]*chronic_consumption!$N65/1000/$C$3)</f>
        <v>#DIV/0!</v>
      </c>
      <c r="T1265" s="1098" t="e">
        <f>IF($D$1212="",0,$D1265*Table3[[#This Row],[CF]]*chronic_consumption!$O65/1000/$C$3)</f>
        <v>#DIV/0!</v>
      </c>
      <c r="U1265" s="1098" t="e">
        <f>IF($D$1212="",0,$D1265*Table3[[#This Row],[CF]]*chronic_consumption!$P65/1000/$C$3)</f>
        <v>#DIV/0!</v>
      </c>
      <c r="V1265" s="1098" t="e">
        <f>IF($D$1212="",0,$D1265*Table3[[#This Row],[CF]]*chronic_consumption!$Q65/1000/$C$3)</f>
        <v>#DIV/0!</v>
      </c>
      <c r="W1265" s="1098" t="e">
        <f>IF($D$1212="",0,$D1265*Table3[[#This Row],[CF]]*chronic_consumption!$R65/1000/$C$3)</f>
        <v>#DIV/0!</v>
      </c>
      <c r="X1265" s="1098" t="e">
        <f>IF($D$1212="",0,$D1265*Table3[[#This Row],[CF]]*chronic_consumption!$S65/1000/$C$3)</f>
        <v>#DIV/0!</v>
      </c>
      <c r="Y1265" s="1098" t="e">
        <f>IF($D$1212="",0,$D1265*Table3[[#This Row],[CF]]*chronic_consumption!$T65/1000/$C$3)</f>
        <v>#DIV/0!</v>
      </c>
      <c r="Z1265" s="1098" t="e">
        <f>IF($D$1212="",0,$D1265*Table3[[#This Row],[CF]]*chronic_consumption!$U65/1000/$C$3)</f>
        <v>#DIV/0!</v>
      </c>
      <c r="AA1265" s="1098" t="e">
        <f>IF($D$1212="",0,$D1265*Table3[[#This Row],[CF]]*chronic_consumption!$V65/1000/$C$3)</f>
        <v>#DIV/0!</v>
      </c>
      <c r="AB1265" s="1098" t="e">
        <f>IF($D$1212="",0,$D1265*Table3[[#This Row],[CF]]*chronic_consumption!$W65/1000/$C$3)</f>
        <v>#DIV/0!</v>
      </c>
      <c r="AC1265" s="1098" t="e">
        <f>IF($D$1212="",0,$D1265*Table3[[#This Row],[CF]]*chronic_consumption!$X65/1000/$C$3)</f>
        <v>#DIV/0!</v>
      </c>
      <c r="AD1265" s="1098" t="e">
        <f>IF($D$1212="",0,$D1265*Table3[[#This Row],[CF]]*chronic_consumption!$Y65/1000/$C$3)</f>
        <v>#DIV/0!</v>
      </c>
      <c r="AE1265" s="1098" t="e">
        <f>IF($D$1212="",0,$D1265*Table3[[#This Row],[CF]]*chronic_consumption!$Z65/1000/$C$3)</f>
        <v>#DIV/0!</v>
      </c>
      <c r="AF1265" s="1098" t="e">
        <f>IF($D$1212="",0,$D1265*Table3[[#This Row],[CF]]*chronic_consumption!$AA65/1000/$C$3)</f>
        <v>#DIV/0!</v>
      </c>
      <c r="AG1265" s="1098" t="e">
        <f>IF($D$1212="",0,$D1265*Table3[[#This Row],[CF]]*chronic_consumption!$AB65/1000/$C$3)</f>
        <v>#DIV/0!</v>
      </c>
      <c r="AH1265" s="1098" t="e">
        <f>IF($D$1212="",0,$D1265*Table3[[#This Row],[CF]]*chronic_consumption!$AC65/1000/$C$3)</f>
        <v>#DIV/0!</v>
      </c>
      <c r="AI1265" s="1098" t="e">
        <f>IF($D$1212="",0,$D1265*Table3[[#This Row],[CF]]*chronic_consumption!$AD65/1000/$C$3)</f>
        <v>#DIV/0!</v>
      </c>
      <c r="AJ1265" s="1098" t="e">
        <f>IF($D$1212="",0,$D1265*Table3[[#This Row],[CF]]*chronic_consumption!$AE65/1000/$C$3)</f>
        <v>#DIV/0!</v>
      </c>
      <c r="AK1265" s="1098" t="e">
        <f>IF($D$1212="",0,$D1265*Table3[[#This Row],[CF]]*chronic_consumption!$AF65/1000/$C$3)</f>
        <v>#DIV/0!</v>
      </c>
      <c r="AL1265" s="1098" t="e">
        <f>IF($D$1212="",0,$D1265*Table3[[#This Row],[CF]]*chronic_consumption!$AG65/1000/$C$3)</f>
        <v>#DIV/0!</v>
      </c>
      <c r="AM1265" s="1098" t="e">
        <f>IF($D$1212="",0,$D1265*Table3[[#This Row],[CF]]*chronic_consumption!$AH65/1000/$C$3)</f>
        <v>#DIV/0!</v>
      </c>
      <c r="AN1265" s="1098" t="e">
        <f>IF($D$1212="",0,$D1265*Table3[[#This Row],[CF]]*chronic_consumption!$AI65/1000/$C$3)</f>
        <v>#DIV/0!</v>
      </c>
      <c r="AO1265" s="1098" t="e">
        <f>IF($D$1212="",0,$D1265*Table3[[#This Row],[CF]]*chronic_consumption!$AJ65/1000/$C$3)</f>
        <v>#DIV/0!</v>
      </c>
      <c r="AP1265" s="1098" t="e">
        <f>IF($D$1212="",0,$D1265*Table3[[#This Row],[CF]]*chronic_consumption!$AK65/1000/$C$3)</f>
        <v>#DIV/0!</v>
      </c>
      <c r="AQ1265" s="1098" t="e">
        <f>IF($D$1212="",0,$D1265*Table3[[#This Row],[CF]]*chronic_consumption!$AL65/1000/$C$3)</f>
        <v>#DIV/0!</v>
      </c>
      <c r="AR1265" s="1098" t="e">
        <f>IF($D$1212="",0,$D1265*Table3[[#This Row],[CF]]*chronic_consumption!$AM65/1000/$C$3)</f>
        <v>#DIV/0!</v>
      </c>
      <c r="AS1265" s="1098" t="e">
        <f>IF($D$1212="",0,$D1265*Table3[[#This Row],[CF]]*chronic_consumption!$AN65/1000/$C$3)</f>
        <v>#DIV/0!</v>
      </c>
      <c r="AT1265" s="1098" t="e">
        <f>IF($D$1212="",0,$D1265*Table3[[#This Row],[CF]]*chronic_consumption!$AO65/1000/$C$3)</f>
        <v>#DIV/0!</v>
      </c>
      <c r="AU1265" s="1099" t="e">
        <f t="shared" si="839"/>
        <v>#DIV/0!</v>
      </c>
      <c r="AV1265" s="1099" t="e">
        <f t="shared" si="839"/>
        <v>#DIV/0!</v>
      </c>
      <c r="AW1265" s="1099" t="e">
        <f t="shared" si="839"/>
        <v>#DIV/0!</v>
      </c>
      <c r="AX1265" s="1099" t="e">
        <f t="shared" si="839"/>
        <v>#DIV/0!</v>
      </c>
      <c r="AY1265" s="1099" t="e">
        <f t="shared" si="839"/>
        <v>#DIV/0!</v>
      </c>
      <c r="AZ1265" s="1091" t="s">
        <v>1012</v>
      </c>
      <c r="BA1265" s="1097" t="e">
        <f>IF(Table3[[#This Row],[max]]&lt;&gt;0,RANK(Table3[[#This Row],[max]],Table3[max],0),"")</f>
        <v>#DIV/0!</v>
      </c>
      <c r="BB1265" s="1096" t="e">
        <f t="shared" si="831"/>
        <v>#DIV/0!</v>
      </c>
      <c r="BC1265" s="1096" t="e">
        <f t="shared" ca="1" si="832"/>
        <v>#DIV/0!</v>
      </c>
      <c r="BD1265" s="1096" t="e">
        <f>IF(Table3[[#This Row],[max]]&gt;0,Table3[[#This Row],[Crop groups and examples of individual products within the groups to which the MRLs apply]],"")</f>
        <v>#DIV/0!</v>
      </c>
    </row>
    <row r="1266" spans="2:56" x14ac:dyDescent="0.2">
      <c r="B1266" s="131">
        <f t="shared" si="837"/>
        <v>160000</v>
      </c>
      <c r="C1266" s="131" t="str">
        <f t="shared" si="837"/>
        <v>Miscellaneous fruit</v>
      </c>
      <c r="D1266" s="1084">
        <f>input_values!E66</f>
        <v>0</v>
      </c>
      <c r="E1266" s="1084">
        <f>input_values!F66</f>
        <v>0</v>
      </c>
      <c r="F1266" s="1085">
        <f>input_values!W66</f>
        <v>0</v>
      </c>
      <c r="G1266" s="1085" t="str">
        <f>IF(Table3[[#This Row],[CF]]&gt;0,CONCATENATE(IF(Table3[[#This Row],[LOQ]]="*","LOQ","MRL"),IF(input_values!G66&gt;0,"×CFrisk","")),"")</f>
        <v/>
      </c>
      <c r="H1266" s="1087">
        <f>input_values!L66</f>
        <v>0</v>
      </c>
      <c r="I1266" s="1088">
        <f>input_values!D66</f>
        <v>0</v>
      </c>
      <c r="J1266" s="1095" t="e">
        <f>IF($D$1212="",0,$D1266*Table3[[#This Row],[CF]]*chronic_consumption!$E66/1000/$C$3)</f>
        <v>#DIV/0!</v>
      </c>
      <c r="K1266" s="1095" t="e">
        <f>IF($D$1212="",0,$D1266*Table3[[#This Row],[CF]]*chronic_consumption!$F66/1000/$C$3)</f>
        <v>#DIV/0!</v>
      </c>
      <c r="L1266" s="1095" t="e">
        <f>IF($D$1212="",0,$D1266*Table3[[#This Row],[CF]]*chronic_consumption!$G66/1000/$C$3)</f>
        <v>#DIV/0!</v>
      </c>
      <c r="M1266" s="1095" t="e">
        <f>IF($D$1212="",0,$D1266*Table3[[#This Row],[CF]]*chronic_consumption!$H66/1000/$C$3)</f>
        <v>#DIV/0!</v>
      </c>
      <c r="N1266" s="1095" t="e">
        <f>IF($D$1212="",0,$D1266*Table3[[#This Row],[CF]]*chronic_consumption!$I66/1000/$C$3)</f>
        <v>#DIV/0!</v>
      </c>
      <c r="O1266" s="1095" t="e">
        <f>IF($D$1212="",0,$D1266*Table3[[#This Row],[CF]]*chronic_consumption!$J66/1000/$C$3)</f>
        <v>#DIV/0!</v>
      </c>
      <c r="P1266" s="1095" t="e">
        <f>IF($D$1212="",0,$D1266*Table3[[#This Row],[CF]]*chronic_consumption!$K66/1000/$C$3)</f>
        <v>#DIV/0!</v>
      </c>
      <c r="Q1266" s="1095" t="e">
        <f>IF($D$1212="",0,$D1266*Table3[[#This Row],[CF]]*chronic_consumption!$L66/1000/$C$3)</f>
        <v>#DIV/0!</v>
      </c>
      <c r="R1266" s="1095" t="e">
        <f>IF($D$1212="",0,$D1266*Table3[[#This Row],[CF]]*chronic_consumption!$M66/1000/$C$3)</f>
        <v>#DIV/0!</v>
      </c>
      <c r="S1266" s="1095" t="e">
        <f>IF($D$1212="",0,$D1266*Table3[[#This Row],[CF]]*chronic_consumption!$N66/1000/$C$3)</f>
        <v>#DIV/0!</v>
      </c>
      <c r="T1266" s="1095" t="e">
        <f>IF($D$1212="",0,$D1266*Table3[[#This Row],[CF]]*chronic_consumption!$O66/1000/$C$3)</f>
        <v>#DIV/0!</v>
      </c>
      <c r="U1266" s="1095" t="e">
        <f>IF($D$1212="",0,$D1266*Table3[[#This Row],[CF]]*chronic_consumption!$P66/1000/$C$3)</f>
        <v>#DIV/0!</v>
      </c>
      <c r="V1266" s="1095" t="e">
        <f>IF($D$1212="",0,$D1266*Table3[[#This Row],[CF]]*chronic_consumption!$Q66/1000/$C$3)</f>
        <v>#DIV/0!</v>
      </c>
      <c r="W1266" s="1095" t="e">
        <f>IF($D$1212="",0,$D1266*Table3[[#This Row],[CF]]*chronic_consumption!$R66/1000/$C$3)</f>
        <v>#DIV/0!</v>
      </c>
      <c r="X1266" s="1095" t="e">
        <f>IF($D$1212="",0,$D1266*Table3[[#This Row],[CF]]*chronic_consumption!$S66/1000/$C$3)</f>
        <v>#DIV/0!</v>
      </c>
      <c r="Y1266" s="1095" t="e">
        <f>IF($D$1212="",0,$D1266*Table3[[#This Row],[CF]]*chronic_consumption!$T66/1000/$C$3)</f>
        <v>#DIV/0!</v>
      </c>
      <c r="Z1266" s="1095" t="e">
        <f>IF($D$1212="",0,$D1266*Table3[[#This Row],[CF]]*chronic_consumption!$U66/1000/$C$3)</f>
        <v>#DIV/0!</v>
      </c>
      <c r="AA1266" s="1095" t="e">
        <f>IF($D$1212="",0,$D1266*Table3[[#This Row],[CF]]*chronic_consumption!$V66/1000/$C$3)</f>
        <v>#DIV/0!</v>
      </c>
      <c r="AB1266" s="1095" t="e">
        <f>IF($D$1212="",0,$D1266*Table3[[#This Row],[CF]]*chronic_consumption!$W66/1000/$C$3)</f>
        <v>#DIV/0!</v>
      </c>
      <c r="AC1266" s="1095" t="e">
        <f>IF($D$1212="",0,$D1266*Table3[[#This Row],[CF]]*chronic_consumption!$X66/1000/$C$3)</f>
        <v>#DIV/0!</v>
      </c>
      <c r="AD1266" s="1095" t="e">
        <f>IF($D$1212="",0,$D1266*Table3[[#This Row],[CF]]*chronic_consumption!$Y66/1000/$C$3)</f>
        <v>#DIV/0!</v>
      </c>
      <c r="AE1266" s="1095" t="e">
        <f>IF($D$1212="",0,$D1266*Table3[[#This Row],[CF]]*chronic_consumption!$Z66/1000/$C$3)</f>
        <v>#DIV/0!</v>
      </c>
      <c r="AF1266" s="1095" t="e">
        <f>IF($D$1212="",0,$D1266*Table3[[#This Row],[CF]]*chronic_consumption!$AA66/1000/$C$3)</f>
        <v>#DIV/0!</v>
      </c>
      <c r="AG1266" s="1095" t="e">
        <f>IF($D$1212="",0,$D1266*Table3[[#This Row],[CF]]*chronic_consumption!$AB66/1000/$C$3)</f>
        <v>#DIV/0!</v>
      </c>
      <c r="AH1266" s="1095" t="e">
        <f>IF($D$1212="",0,$D1266*Table3[[#This Row],[CF]]*chronic_consumption!$AC66/1000/$C$3)</f>
        <v>#DIV/0!</v>
      </c>
      <c r="AI1266" s="1095" t="e">
        <f>IF($D$1212="",0,$D1266*Table3[[#This Row],[CF]]*chronic_consumption!$AD66/1000/$C$3)</f>
        <v>#DIV/0!</v>
      </c>
      <c r="AJ1266" s="1095" t="e">
        <f>IF($D$1212="",0,$D1266*Table3[[#This Row],[CF]]*chronic_consumption!$AE66/1000/$C$3)</f>
        <v>#DIV/0!</v>
      </c>
      <c r="AK1266" s="1095" t="e">
        <f>IF($D$1212="",0,$D1266*Table3[[#This Row],[CF]]*chronic_consumption!$AF66/1000/$C$3)</f>
        <v>#DIV/0!</v>
      </c>
      <c r="AL1266" s="1095" t="e">
        <f>IF($D$1212="",0,$D1266*Table3[[#This Row],[CF]]*chronic_consumption!$AG66/1000/$C$3)</f>
        <v>#DIV/0!</v>
      </c>
      <c r="AM1266" s="1095" t="e">
        <f>IF($D$1212="",0,$D1266*Table3[[#This Row],[CF]]*chronic_consumption!$AH66/1000/$C$3)</f>
        <v>#DIV/0!</v>
      </c>
      <c r="AN1266" s="1095" t="e">
        <f>IF($D$1212="",0,$D1266*Table3[[#This Row],[CF]]*chronic_consumption!$AI66/1000/$C$3)</f>
        <v>#DIV/0!</v>
      </c>
      <c r="AO1266" s="1095" t="e">
        <f>IF($D$1212="",0,$D1266*Table3[[#This Row],[CF]]*chronic_consumption!$AJ66/1000/$C$3)</f>
        <v>#DIV/0!</v>
      </c>
      <c r="AP1266" s="1095" t="e">
        <f>IF($D$1212="",0,$D1266*Table3[[#This Row],[CF]]*chronic_consumption!$AK66/1000/$C$3)</f>
        <v>#DIV/0!</v>
      </c>
      <c r="AQ1266" s="1095" t="e">
        <f>IF($D$1212="",0,$D1266*Table3[[#This Row],[CF]]*chronic_consumption!$AL66/1000/$C$3)</f>
        <v>#DIV/0!</v>
      </c>
      <c r="AR1266" s="1095" t="e">
        <f>IF($D$1212="",0,$D1266*Table3[[#This Row],[CF]]*chronic_consumption!$AM66/1000/$C$3)</f>
        <v>#DIV/0!</v>
      </c>
      <c r="AS1266" s="1095" t="e">
        <f>IF($D$1212="",0,$D1266*Table3[[#This Row],[CF]]*chronic_consumption!$AN66/1000/$C$3)</f>
        <v>#DIV/0!</v>
      </c>
      <c r="AT1266" s="1095" t="e">
        <f>IF($D$1212="",0,$D1266*Table3[[#This Row],[CF]]*chronic_consumption!$AO66/1000/$C$3)</f>
        <v>#DIV/0!</v>
      </c>
      <c r="AU1266" s="1096" t="e">
        <f t="shared" si="839"/>
        <v>#DIV/0!</v>
      </c>
      <c r="AV1266" s="1096" t="e">
        <f t="shared" si="839"/>
        <v>#DIV/0!</v>
      </c>
      <c r="AW1266" s="1096" t="e">
        <f t="shared" si="839"/>
        <v>#DIV/0!</v>
      </c>
      <c r="AX1266" s="1096" t="e">
        <f t="shared" si="839"/>
        <v>#DIV/0!</v>
      </c>
      <c r="AY1266" s="1096" t="e">
        <f t="shared" si="839"/>
        <v>#DIV/0!</v>
      </c>
      <c r="AZ1266" s="1091" t="s">
        <v>1012</v>
      </c>
      <c r="BA1266" s="1097" t="e">
        <f>IF(Table3[[#This Row],[max]]&lt;&gt;0,RANK(Table3[[#This Row],[max]],Table3[max],0),"")</f>
        <v>#DIV/0!</v>
      </c>
      <c r="BB1266" s="1096" t="e">
        <f t="shared" si="831"/>
        <v>#DIV/0!</v>
      </c>
      <c r="BC1266" s="1096" t="e">
        <f t="shared" ca="1" si="832"/>
        <v>#DIV/0!</v>
      </c>
      <c r="BD1266" s="1096" t="e">
        <f>IF(Table3[[#This Row],[max]]&gt;0,Table3[[#This Row],[Crop groups and examples of individual products within the groups to which the MRLs apply]],"")</f>
        <v>#DIV/0!</v>
      </c>
    </row>
    <row r="1267" spans="2:56" x14ac:dyDescent="0.2">
      <c r="B1267" s="3">
        <f t="shared" si="837"/>
        <v>161000</v>
      </c>
      <c r="C1267" s="3" t="str">
        <f t="shared" si="837"/>
        <v>Miscellaneous fruit (edible peel)</v>
      </c>
      <c r="D1267" s="1084">
        <f>input_values!E67</f>
        <v>0</v>
      </c>
      <c r="E1267" s="1084">
        <f>input_values!F67</f>
        <v>0</v>
      </c>
      <c r="F1267" s="1085">
        <f>input_values!W67</f>
        <v>0</v>
      </c>
      <c r="G1267" s="1085" t="str">
        <f>IF(Table3[[#This Row],[CF]]&gt;0,CONCATENATE(IF(Table3[[#This Row],[LOQ]]="*","LOQ","MRL"),IF(input_values!G67&gt;0,"×CFrisk","")),"")</f>
        <v/>
      </c>
      <c r="H1267" s="1087">
        <f>input_values!L67</f>
        <v>0</v>
      </c>
      <c r="I1267" s="1088">
        <f>input_values!D67</f>
        <v>0</v>
      </c>
      <c r="J1267" s="1100" t="e">
        <f>IF($D$1212="",0,$D1267*Table3[[#This Row],[CF]]*chronic_consumption!$E67/1000/$C$3)</f>
        <v>#DIV/0!</v>
      </c>
      <c r="K1267" s="1100" t="e">
        <f>IF($D$1212="",0,$D1267*Table3[[#This Row],[CF]]*chronic_consumption!$F67/1000/$C$3)</f>
        <v>#DIV/0!</v>
      </c>
      <c r="L1267" s="1100" t="e">
        <f>IF($D$1212="",0,$D1267*Table3[[#This Row],[CF]]*chronic_consumption!$G67/1000/$C$3)</f>
        <v>#DIV/0!</v>
      </c>
      <c r="M1267" s="1100" t="e">
        <f>IF($D$1212="",0,$D1267*Table3[[#This Row],[CF]]*chronic_consumption!$H67/1000/$C$3)</f>
        <v>#DIV/0!</v>
      </c>
      <c r="N1267" s="1100" t="e">
        <f>IF($D$1212="",0,$D1267*Table3[[#This Row],[CF]]*chronic_consumption!$I67/1000/$C$3)</f>
        <v>#DIV/0!</v>
      </c>
      <c r="O1267" s="1100" t="e">
        <f>IF($D$1212="",0,$D1267*Table3[[#This Row],[CF]]*chronic_consumption!$J67/1000/$C$3)</f>
        <v>#DIV/0!</v>
      </c>
      <c r="P1267" s="1100" t="e">
        <f>IF($D$1212="",0,$D1267*Table3[[#This Row],[CF]]*chronic_consumption!$K67/1000/$C$3)</f>
        <v>#DIV/0!</v>
      </c>
      <c r="Q1267" s="1100" t="e">
        <f>IF($D$1212="",0,$D1267*Table3[[#This Row],[CF]]*chronic_consumption!$L67/1000/$C$3)</f>
        <v>#DIV/0!</v>
      </c>
      <c r="R1267" s="1100" t="e">
        <f>IF($D$1212="",0,$D1267*Table3[[#This Row],[CF]]*chronic_consumption!$M67/1000/$C$3)</f>
        <v>#DIV/0!</v>
      </c>
      <c r="S1267" s="1100" t="e">
        <f>IF($D$1212="",0,$D1267*Table3[[#This Row],[CF]]*chronic_consumption!$N67/1000/$C$3)</f>
        <v>#DIV/0!</v>
      </c>
      <c r="T1267" s="1100" t="e">
        <f>IF($D$1212="",0,$D1267*Table3[[#This Row],[CF]]*chronic_consumption!$O67/1000/$C$3)</f>
        <v>#DIV/0!</v>
      </c>
      <c r="U1267" s="1100" t="e">
        <f>IF($D$1212="",0,$D1267*Table3[[#This Row],[CF]]*chronic_consumption!$P67/1000/$C$3)</f>
        <v>#DIV/0!</v>
      </c>
      <c r="V1267" s="1100" t="e">
        <f>IF($D$1212="",0,$D1267*Table3[[#This Row],[CF]]*chronic_consumption!$Q67/1000/$C$3)</f>
        <v>#DIV/0!</v>
      </c>
      <c r="W1267" s="1100" t="e">
        <f>IF($D$1212="",0,$D1267*Table3[[#This Row],[CF]]*chronic_consumption!$R67/1000/$C$3)</f>
        <v>#DIV/0!</v>
      </c>
      <c r="X1267" s="1100" t="e">
        <f>IF($D$1212="",0,$D1267*Table3[[#This Row],[CF]]*chronic_consumption!$S67/1000/$C$3)</f>
        <v>#DIV/0!</v>
      </c>
      <c r="Y1267" s="1100" t="e">
        <f>IF($D$1212="",0,$D1267*Table3[[#This Row],[CF]]*chronic_consumption!$T67/1000/$C$3)</f>
        <v>#DIV/0!</v>
      </c>
      <c r="Z1267" s="1100" t="e">
        <f>IF($D$1212="",0,$D1267*Table3[[#This Row],[CF]]*chronic_consumption!$U67/1000/$C$3)</f>
        <v>#DIV/0!</v>
      </c>
      <c r="AA1267" s="1100" t="e">
        <f>IF($D$1212="",0,$D1267*Table3[[#This Row],[CF]]*chronic_consumption!$V67/1000/$C$3)</f>
        <v>#DIV/0!</v>
      </c>
      <c r="AB1267" s="1100" t="e">
        <f>IF($D$1212="",0,$D1267*Table3[[#This Row],[CF]]*chronic_consumption!$W67/1000/$C$3)</f>
        <v>#DIV/0!</v>
      </c>
      <c r="AC1267" s="1100" t="e">
        <f>IF($D$1212="",0,$D1267*Table3[[#This Row],[CF]]*chronic_consumption!$X67/1000/$C$3)</f>
        <v>#DIV/0!</v>
      </c>
      <c r="AD1267" s="1100" t="e">
        <f>IF($D$1212="",0,$D1267*Table3[[#This Row],[CF]]*chronic_consumption!$Y67/1000/$C$3)</f>
        <v>#DIV/0!</v>
      </c>
      <c r="AE1267" s="1100" t="e">
        <f>IF($D$1212="",0,$D1267*Table3[[#This Row],[CF]]*chronic_consumption!$Z67/1000/$C$3)</f>
        <v>#DIV/0!</v>
      </c>
      <c r="AF1267" s="1100" t="e">
        <f>IF($D$1212="",0,$D1267*Table3[[#This Row],[CF]]*chronic_consumption!$AA67/1000/$C$3)</f>
        <v>#DIV/0!</v>
      </c>
      <c r="AG1267" s="1100" t="e">
        <f>IF($D$1212="",0,$D1267*Table3[[#This Row],[CF]]*chronic_consumption!$AB67/1000/$C$3)</f>
        <v>#DIV/0!</v>
      </c>
      <c r="AH1267" s="1100" t="e">
        <f>IF($D$1212="",0,$D1267*Table3[[#This Row],[CF]]*chronic_consumption!$AC67/1000/$C$3)</f>
        <v>#DIV/0!</v>
      </c>
      <c r="AI1267" s="1100" t="e">
        <f>IF($D$1212="",0,$D1267*Table3[[#This Row],[CF]]*chronic_consumption!$AD67/1000/$C$3)</f>
        <v>#DIV/0!</v>
      </c>
      <c r="AJ1267" s="1100" t="e">
        <f>IF($D$1212="",0,$D1267*Table3[[#This Row],[CF]]*chronic_consumption!$AE67/1000/$C$3)</f>
        <v>#DIV/0!</v>
      </c>
      <c r="AK1267" s="1100" t="e">
        <f>IF($D$1212="",0,$D1267*Table3[[#This Row],[CF]]*chronic_consumption!$AF67/1000/$C$3)</f>
        <v>#DIV/0!</v>
      </c>
      <c r="AL1267" s="1100" t="e">
        <f>IF($D$1212="",0,$D1267*Table3[[#This Row],[CF]]*chronic_consumption!$AG67/1000/$C$3)</f>
        <v>#DIV/0!</v>
      </c>
      <c r="AM1267" s="1100" t="e">
        <f>IF($D$1212="",0,$D1267*Table3[[#This Row],[CF]]*chronic_consumption!$AH67/1000/$C$3)</f>
        <v>#DIV/0!</v>
      </c>
      <c r="AN1267" s="1100" t="e">
        <f>IF($D$1212="",0,$D1267*Table3[[#This Row],[CF]]*chronic_consumption!$AI67/1000/$C$3)</f>
        <v>#DIV/0!</v>
      </c>
      <c r="AO1267" s="1100" t="e">
        <f>IF($D$1212="",0,$D1267*Table3[[#This Row],[CF]]*chronic_consumption!$AJ67/1000/$C$3)</f>
        <v>#DIV/0!</v>
      </c>
      <c r="AP1267" s="1100" t="e">
        <f>IF($D$1212="",0,$D1267*Table3[[#This Row],[CF]]*chronic_consumption!$AK67/1000/$C$3)</f>
        <v>#DIV/0!</v>
      </c>
      <c r="AQ1267" s="1100" t="e">
        <f>IF($D$1212="",0,$D1267*Table3[[#This Row],[CF]]*chronic_consumption!$AL67/1000/$C$3)</f>
        <v>#DIV/0!</v>
      </c>
      <c r="AR1267" s="1100" t="e">
        <f>IF($D$1212="",0,$D1267*Table3[[#This Row],[CF]]*chronic_consumption!$AM67/1000/$C$3)</f>
        <v>#DIV/0!</v>
      </c>
      <c r="AS1267" s="1100" t="e">
        <f>IF($D$1212="",0,$D1267*Table3[[#This Row],[CF]]*chronic_consumption!$AN67/1000/$C$3)</f>
        <v>#DIV/0!</v>
      </c>
      <c r="AT1267" s="1100" t="e">
        <f>IF($D$1212="",0,$D1267*Table3[[#This Row],[CF]]*chronic_consumption!$AO67/1000/$C$3)</f>
        <v>#DIV/0!</v>
      </c>
      <c r="AU1267" s="1101" t="e">
        <f t="shared" si="839"/>
        <v>#DIV/0!</v>
      </c>
      <c r="AV1267" s="1101" t="e">
        <f t="shared" si="839"/>
        <v>#DIV/0!</v>
      </c>
      <c r="AW1267" s="1101" t="e">
        <f t="shared" si="839"/>
        <v>#DIV/0!</v>
      </c>
      <c r="AX1267" s="1101" t="e">
        <f t="shared" si="839"/>
        <v>#DIV/0!</v>
      </c>
      <c r="AY1267" s="1101" t="e">
        <f t="shared" si="839"/>
        <v>#DIV/0!</v>
      </c>
      <c r="AZ1267" s="1091" t="s">
        <v>1012</v>
      </c>
      <c r="BA1267" s="1097" t="e">
        <f>IF(Table3[[#This Row],[max]]&lt;&gt;0,RANK(Table3[[#This Row],[max]],Table3[max],0),"")</f>
        <v>#DIV/0!</v>
      </c>
      <c r="BB1267" s="1096" t="e">
        <f t="shared" si="831"/>
        <v>#DIV/0!</v>
      </c>
      <c r="BC1267" s="1096" t="e">
        <f t="shared" ca="1" si="832"/>
        <v>#DIV/0!</v>
      </c>
      <c r="BD1267" s="1096" t="e">
        <f>IF(Table3[[#This Row],[max]]&gt;0,Table3[[#This Row],[Crop groups and examples of individual products within the groups to which the MRLs apply]],"")</f>
        <v>#DIV/0!</v>
      </c>
    </row>
    <row r="1268" spans="2:56" x14ac:dyDescent="0.2">
      <c r="B1268" s="23">
        <f t="shared" si="837"/>
        <v>161010</v>
      </c>
      <c r="C1268" s="23" t="str">
        <f t="shared" si="837"/>
        <v>Dates</v>
      </c>
      <c r="D1268" s="1084">
        <f>input_values!E68</f>
        <v>0</v>
      </c>
      <c r="E1268" s="1084">
        <f>input_values!F68</f>
        <v>0</v>
      </c>
      <c r="F1268" s="1085">
        <f>input_values!W68</f>
        <v>1</v>
      </c>
      <c r="G1268" s="1085" t="str">
        <f>IF(Table3[[#This Row],[CF]]&gt;0,CONCATENATE(IF(Table3[[#This Row],[LOQ]]="*","LOQ","MRL"),IF(input_values!G68&gt;0,"×CFrisk","")),"")</f>
        <v>MRL</v>
      </c>
      <c r="H1268" s="1087">
        <f>input_values!L68</f>
        <v>0</v>
      </c>
      <c r="I1268" s="1088">
        <f>input_values!D68</f>
        <v>0</v>
      </c>
      <c r="J1268" s="1098" t="e">
        <f>IF($D$1212="",0,$D1268*Table3[[#This Row],[CF]]*chronic_consumption!$E68/1000/$C$3)</f>
        <v>#DIV/0!</v>
      </c>
      <c r="K1268" s="1098" t="e">
        <f>IF($D$1212="",0,$D1268*Table3[[#This Row],[CF]]*chronic_consumption!$F68/1000/$C$3)</f>
        <v>#DIV/0!</v>
      </c>
      <c r="L1268" s="1098" t="e">
        <f>IF($D$1212="",0,$D1268*Table3[[#This Row],[CF]]*chronic_consumption!$G68/1000/$C$3)</f>
        <v>#DIV/0!</v>
      </c>
      <c r="M1268" s="1098" t="e">
        <f>IF($D$1212="",0,$D1268*Table3[[#This Row],[CF]]*chronic_consumption!$H68/1000/$C$3)</f>
        <v>#DIV/0!</v>
      </c>
      <c r="N1268" s="1098" t="e">
        <f>IF($D$1212="",0,$D1268*Table3[[#This Row],[CF]]*chronic_consumption!$I68/1000/$C$3)</f>
        <v>#DIV/0!</v>
      </c>
      <c r="O1268" s="1098" t="e">
        <f>IF($D$1212="",0,$D1268*Table3[[#This Row],[CF]]*chronic_consumption!$J68/1000/$C$3)</f>
        <v>#DIV/0!</v>
      </c>
      <c r="P1268" s="1098" t="e">
        <f>IF($D$1212="",0,$D1268*Table3[[#This Row],[CF]]*chronic_consumption!$K68/1000/$C$3)</f>
        <v>#DIV/0!</v>
      </c>
      <c r="Q1268" s="1098" t="e">
        <f>IF($D$1212="",0,$D1268*Table3[[#This Row],[CF]]*chronic_consumption!$L68/1000/$C$3)</f>
        <v>#DIV/0!</v>
      </c>
      <c r="R1268" s="1098" t="e">
        <f>IF($D$1212="",0,$D1268*Table3[[#This Row],[CF]]*chronic_consumption!$M68/1000/$C$3)</f>
        <v>#DIV/0!</v>
      </c>
      <c r="S1268" s="1098" t="e">
        <f>IF($D$1212="",0,$D1268*Table3[[#This Row],[CF]]*chronic_consumption!$N68/1000/$C$3)</f>
        <v>#DIV/0!</v>
      </c>
      <c r="T1268" s="1098" t="e">
        <f>IF($D$1212="",0,$D1268*Table3[[#This Row],[CF]]*chronic_consumption!$O68/1000/$C$3)</f>
        <v>#DIV/0!</v>
      </c>
      <c r="U1268" s="1098" t="e">
        <f>IF($D$1212="",0,$D1268*Table3[[#This Row],[CF]]*chronic_consumption!$P68/1000/$C$3)</f>
        <v>#DIV/0!</v>
      </c>
      <c r="V1268" s="1098" t="e">
        <f>IF($D$1212="",0,$D1268*Table3[[#This Row],[CF]]*chronic_consumption!$Q68/1000/$C$3)</f>
        <v>#DIV/0!</v>
      </c>
      <c r="W1268" s="1098" t="e">
        <f>IF($D$1212="",0,$D1268*Table3[[#This Row],[CF]]*chronic_consumption!$R68/1000/$C$3)</f>
        <v>#DIV/0!</v>
      </c>
      <c r="X1268" s="1098" t="e">
        <f>IF($D$1212="",0,$D1268*Table3[[#This Row],[CF]]*chronic_consumption!$S68/1000/$C$3)</f>
        <v>#DIV/0!</v>
      </c>
      <c r="Y1268" s="1098" t="e">
        <f>IF($D$1212="",0,$D1268*Table3[[#This Row],[CF]]*chronic_consumption!$T68/1000/$C$3)</f>
        <v>#DIV/0!</v>
      </c>
      <c r="Z1268" s="1098" t="e">
        <f>IF($D$1212="",0,$D1268*Table3[[#This Row],[CF]]*chronic_consumption!$U68/1000/$C$3)</f>
        <v>#DIV/0!</v>
      </c>
      <c r="AA1268" s="1098" t="e">
        <f>IF($D$1212="",0,$D1268*Table3[[#This Row],[CF]]*chronic_consumption!$V68/1000/$C$3)</f>
        <v>#DIV/0!</v>
      </c>
      <c r="AB1268" s="1098" t="e">
        <f>IF($D$1212="",0,$D1268*Table3[[#This Row],[CF]]*chronic_consumption!$W68/1000/$C$3)</f>
        <v>#DIV/0!</v>
      </c>
      <c r="AC1268" s="1098" t="e">
        <f>IF($D$1212="",0,$D1268*Table3[[#This Row],[CF]]*chronic_consumption!$X68/1000/$C$3)</f>
        <v>#DIV/0!</v>
      </c>
      <c r="AD1268" s="1098" t="e">
        <f>IF($D$1212="",0,$D1268*Table3[[#This Row],[CF]]*chronic_consumption!$Y68/1000/$C$3)</f>
        <v>#DIV/0!</v>
      </c>
      <c r="AE1268" s="1098" t="e">
        <f>IF($D$1212="",0,$D1268*Table3[[#This Row],[CF]]*chronic_consumption!$Z68/1000/$C$3)</f>
        <v>#DIV/0!</v>
      </c>
      <c r="AF1268" s="1098" t="e">
        <f>IF($D$1212="",0,$D1268*Table3[[#This Row],[CF]]*chronic_consumption!$AA68/1000/$C$3)</f>
        <v>#DIV/0!</v>
      </c>
      <c r="AG1268" s="1098" t="e">
        <f>IF($D$1212="",0,$D1268*Table3[[#This Row],[CF]]*chronic_consumption!$AB68/1000/$C$3)</f>
        <v>#DIV/0!</v>
      </c>
      <c r="AH1268" s="1098" t="e">
        <f>IF($D$1212="",0,$D1268*Table3[[#This Row],[CF]]*chronic_consumption!$AC68/1000/$C$3)</f>
        <v>#DIV/0!</v>
      </c>
      <c r="AI1268" s="1098" t="e">
        <f>IF($D$1212="",0,$D1268*Table3[[#This Row],[CF]]*chronic_consumption!$AD68/1000/$C$3)</f>
        <v>#DIV/0!</v>
      </c>
      <c r="AJ1268" s="1098" t="e">
        <f>IF($D$1212="",0,$D1268*Table3[[#This Row],[CF]]*chronic_consumption!$AE68/1000/$C$3)</f>
        <v>#DIV/0!</v>
      </c>
      <c r="AK1268" s="1098" t="e">
        <f>IF($D$1212="",0,$D1268*Table3[[#This Row],[CF]]*chronic_consumption!$AF68/1000/$C$3)</f>
        <v>#DIV/0!</v>
      </c>
      <c r="AL1268" s="1098" t="e">
        <f>IF($D$1212="",0,$D1268*Table3[[#This Row],[CF]]*chronic_consumption!$AG68/1000/$C$3)</f>
        <v>#DIV/0!</v>
      </c>
      <c r="AM1268" s="1098" t="e">
        <f>IF($D$1212="",0,$D1268*Table3[[#This Row],[CF]]*chronic_consumption!$AH68/1000/$C$3)</f>
        <v>#DIV/0!</v>
      </c>
      <c r="AN1268" s="1098" t="e">
        <f>IF($D$1212="",0,$D1268*Table3[[#This Row],[CF]]*chronic_consumption!$AI68/1000/$C$3)</f>
        <v>#DIV/0!</v>
      </c>
      <c r="AO1268" s="1098" t="e">
        <f>IF($D$1212="",0,$D1268*Table3[[#This Row],[CF]]*chronic_consumption!$AJ68/1000/$C$3)</f>
        <v>#DIV/0!</v>
      </c>
      <c r="AP1268" s="1098" t="e">
        <f>IF($D$1212="",0,$D1268*Table3[[#This Row],[CF]]*chronic_consumption!$AK68/1000/$C$3)</f>
        <v>#DIV/0!</v>
      </c>
      <c r="AQ1268" s="1098" t="e">
        <f>IF($D$1212="",0,$D1268*Table3[[#This Row],[CF]]*chronic_consumption!$AL68/1000/$C$3)</f>
        <v>#DIV/0!</v>
      </c>
      <c r="AR1268" s="1098" t="e">
        <f>IF($D$1212="",0,$D1268*Table3[[#This Row],[CF]]*chronic_consumption!$AM68/1000/$C$3)</f>
        <v>#DIV/0!</v>
      </c>
      <c r="AS1268" s="1098" t="e">
        <f>IF($D$1212="",0,$D1268*Table3[[#This Row],[CF]]*chronic_consumption!$AN68/1000/$C$3)</f>
        <v>#DIV/0!</v>
      </c>
      <c r="AT1268" s="1098" t="e">
        <f>IF($D$1212="",0,$D1268*Table3[[#This Row],[CF]]*chronic_consumption!$AO68/1000/$C$3)</f>
        <v>#DIV/0!</v>
      </c>
      <c r="AU1268" s="1099" t="e">
        <f t="shared" si="839"/>
        <v>#DIV/0!</v>
      </c>
      <c r="AV1268" s="1099" t="e">
        <f t="shared" si="839"/>
        <v>#DIV/0!</v>
      </c>
      <c r="AW1268" s="1099" t="e">
        <f t="shared" si="839"/>
        <v>#DIV/0!</v>
      </c>
      <c r="AX1268" s="1099" t="e">
        <f t="shared" si="839"/>
        <v>#DIV/0!</v>
      </c>
      <c r="AY1268" s="1099" t="e">
        <f t="shared" si="839"/>
        <v>#DIV/0!</v>
      </c>
      <c r="AZ1268" s="1091" t="s">
        <v>1012</v>
      </c>
      <c r="BA1268" s="1097" t="e">
        <f>IF(Table3[[#This Row],[max]]&lt;&gt;0,RANK(Table3[[#This Row],[max]],Table3[max],0),"")</f>
        <v>#DIV/0!</v>
      </c>
      <c r="BB1268" s="1096" t="e">
        <f t="shared" si="831"/>
        <v>#DIV/0!</v>
      </c>
      <c r="BC1268" s="1096" t="e">
        <f t="shared" ca="1" si="832"/>
        <v>#DIV/0!</v>
      </c>
      <c r="BD1268" s="1096" t="e">
        <f>IF(Table3[[#This Row],[max]]&gt;0,Table3[[#This Row],[Crop groups and examples of individual products within the groups to which the MRLs apply]],"")</f>
        <v>#DIV/0!</v>
      </c>
    </row>
    <row r="1269" spans="2:56" x14ac:dyDescent="0.2">
      <c r="B1269" s="23">
        <f t="shared" si="837"/>
        <v>161020</v>
      </c>
      <c r="C1269" s="23" t="str">
        <f t="shared" si="837"/>
        <v>Figs</v>
      </c>
      <c r="D1269" s="1084">
        <f>input_values!E69</f>
        <v>0</v>
      </c>
      <c r="E1269" s="1084">
        <f>input_values!F69</f>
        <v>0</v>
      </c>
      <c r="F1269" s="1085">
        <f>input_values!W69</f>
        <v>1</v>
      </c>
      <c r="G1269" s="1085" t="str">
        <f>IF(Table3[[#This Row],[CF]]&gt;0,CONCATENATE(IF(Table3[[#This Row],[LOQ]]="*","LOQ","MRL"),IF(input_values!G69&gt;0,"×CFrisk","")),"")</f>
        <v>MRL</v>
      </c>
      <c r="H1269" s="1087">
        <f>input_values!L69</f>
        <v>0</v>
      </c>
      <c r="I1269" s="1088">
        <f>input_values!D69</f>
        <v>0</v>
      </c>
      <c r="J1269" s="1098" t="e">
        <f>IF($D$1212="",0,$D1269*Table3[[#This Row],[CF]]*chronic_consumption!$E69/1000/$C$3)</f>
        <v>#DIV/0!</v>
      </c>
      <c r="K1269" s="1098" t="e">
        <f>IF($D$1212="",0,$D1269*Table3[[#This Row],[CF]]*chronic_consumption!$F69/1000/$C$3)</f>
        <v>#DIV/0!</v>
      </c>
      <c r="L1269" s="1098" t="e">
        <f>IF($D$1212="",0,$D1269*Table3[[#This Row],[CF]]*chronic_consumption!$G69/1000/$C$3)</f>
        <v>#DIV/0!</v>
      </c>
      <c r="M1269" s="1098" t="e">
        <f>IF($D$1212="",0,$D1269*Table3[[#This Row],[CF]]*chronic_consumption!$H69/1000/$C$3)</f>
        <v>#DIV/0!</v>
      </c>
      <c r="N1269" s="1098" t="e">
        <f>IF($D$1212="",0,$D1269*Table3[[#This Row],[CF]]*chronic_consumption!$I69/1000/$C$3)</f>
        <v>#DIV/0!</v>
      </c>
      <c r="O1269" s="1098" t="e">
        <f>IF($D$1212="",0,$D1269*Table3[[#This Row],[CF]]*chronic_consumption!$J69/1000/$C$3)</f>
        <v>#DIV/0!</v>
      </c>
      <c r="P1269" s="1098" t="e">
        <f>IF($D$1212="",0,$D1269*Table3[[#This Row],[CF]]*chronic_consumption!$K69/1000/$C$3)</f>
        <v>#DIV/0!</v>
      </c>
      <c r="Q1269" s="1098" t="e">
        <f>IF($D$1212="",0,$D1269*Table3[[#This Row],[CF]]*chronic_consumption!$L69/1000/$C$3)</f>
        <v>#DIV/0!</v>
      </c>
      <c r="R1269" s="1098" t="e">
        <f>IF($D$1212="",0,$D1269*Table3[[#This Row],[CF]]*chronic_consumption!$M69/1000/$C$3)</f>
        <v>#DIV/0!</v>
      </c>
      <c r="S1269" s="1098" t="e">
        <f>IF($D$1212="",0,$D1269*Table3[[#This Row],[CF]]*chronic_consumption!$N69/1000/$C$3)</f>
        <v>#DIV/0!</v>
      </c>
      <c r="T1269" s="1098" t="e">
        <f>IF($D$1212="",0,$D1269*Table3[[#This Row],[CF]]*chronic_consumption!$O69/1000/$C$3)</f>
        <v>#DIV/0!</v>
      </c>
      <c r="U1269" s="1098" t="e">
        <f>IF($D$1212="",0,$D1269*Table3[[#This Row],[CF]]*chronic_consumption!$P69/1000/$C$3)</f>
        <v>#DIV/0!</v>
      </c>
      <c r="V1269" s="1098" t="e">
        <f>IF($D$1212="",0,$D1269*Table3[[#This Row],[CF]]*chronic_consumption!$Q69/1000/$C$3)</f>
        <v>#DIV/0!</v>
      </c>
      <c r="W1269" s="1098" t="e">
        <f>IF($D$1212="",0,$D1269*Table3[[#This Row],[CF]]*chronic_consumption!$R69/1000/$C$3)</f>
        <v>#DIV/0!</v>
      </c>
      <c r="X1269" s="1098" t="e">
        <f>IF($D$1212="",0,$D1269*Table3[[#This Row],[CF]]*chronic_consumption!$S69/1000/$C$3)</f>
        <v>#DIV/0!</v>
      </c>
      <c r="Y1269" s="1098" t="e">
        <f>IF($D$1212="",0,$D1269*Table3[[#This Row],[CF]]*chronic_consumption!$T69/1000/$C$3)</f>
        <v>#DIV/0!</v>
      </c>
      <c r="Z1269" s="1098" t="e">
        <f>IF($D$1212="",0,$D1269*Table3[[#This Row],[CF]]*chronic_consumption!$U69/1000/$C$3)</f>
        <v>#DIV/0!</v>
      </c>
      <c r="AA1269" s="1098" t="e">
        <f>IF($D$1212="",0,$D1269*Table3[[#This Row],[CF]]*chronic_consumption!$V69/1000/$C$3)</f>
        <v>#DIV/0!</v>
      </c>
      <c r="AB1269" s="1098" t="e">
        <f>IF($D$1212="",0,$D1269*Table3[[#This Row],[CF]]*chronic_consumption!$W69/1000/$C$3)</f>
        <v>#DIV/0!</v>
      </c>
      <c r="AC1269" s="1098" t="e">
        <f>IF($D$1212="",0,$D1269*Table3[[#This Row],[CF]]*chronic_consumption!$X69/1000/$C$3)</f>
        <v>#DIV/0!</v>
      </c>
      <c r="AD1269" s="1098" t="e">
        <f>IF($D$1212="",0,$D1269*Table3[[#This Row],[CF]]*chronic_consumption!$Y69/1000/$C$3)</f>
        <v>#DIV/0!</v>
      </c>
      <c r="AE1269" s="1098" t="e">
        <f>IF($D$1212="",0,$D1269*Table3[[#This Row],[CF]]*chronic_consumption!$Z69/1000/$C$3)</f>
        <v>#DIV/0!</v>
      </c>
      <c r="AF1269" s="1098" t="e">
        <f>IF($D$1212="",0,$D1269*Table3[[#This Row],[CF]]*chronic_consumption!$AA69/1000/$C$3)</f>
        <v>#DIV/0!</v>
      </c>
      <c r="AG1269" s="1098" t="e">
        <f>IF($D$1212="",0,$D1269*Table3[[#This Row],[CF]]*chronic_consumption!$AB69/1000/$C$3)</f>
        <v>#DIV/0!</v>
      </c>
      <c r="AH1269" s="1098" t="e">
        <f>IF($D$1212="",0,$D1269*Table3[[#This Row],[CF]]*chronic_consumption!$AC69/1000/$C$3)</f>
        <v>#DIV/0!</v>
      </c>
      <c r="AI1269" s="1098" t="e">
        <f>IF($D$1212="",0,$D1269*Table3[[#This Row],[CF]]*chronic_consumption!$AD69/1000/$C$3)</f>
        <v>#DIV/0!</v>
      </c>
      <c r="AJ1269" s="1098" t="e">
        <f>IF($D$1212="",0,$D1269*Table3[[#This Row],[CF]]*chronic_consumption!$AE69/1000/$C$3)</f>
        <v>#DIV/0!</v>
      </c>
      <c r="AK1269" s="1098" t="e">
        <f>IF($D$1212="",0,$D1269*Table3[[#This Row],[CF]]*chronic_consumption!$AF69/1000/$C$3)</f>
        <v>#DIV/0!</v>
      </c>
      <c r="AL1269" s="1098" t="e">
        <f>IF($D$1212="",0,$D1269*Table3[[#This Row],[CF]]*chronic_consumption!$AG69/1000/$C$3)</f>
        <v>#DIV/0!</v>
      </c>
      <c r="AM1269" s="1098" t="e">
        <f>IF($D$1212="",0,$D1269*Table3[[#This Row],[CF]]*chronic_consumption!$AH69/1000/$C$3)</f>
        <v>#DIV/0!</v>
      </c>
      <c r="AN1269" s="1098" t="e">
        <f>IF($D$1212="",0,$D1269*Table3[[#This Row],[CF]]*chronic_consumption!$AI69/1000/$C$3)</f>
        <v>#DIV/0!</v>
      </c>
      <c r="AO1269" s="1098" t="e">
        <f>IF($D$1212="",0,$D1269*Table3[[#This Row],[CF]]*chronic_consumption!$AJ69/1000/$C$3)</f>
        <v>#DIV/0!</v>
      </c>
      <c r="AP1269" s="1098" t="e">
        <f>IF($D$1212="",0,$D1269*Table3[[#This Row],[CF]]*chronic_consumption!$AK69/1000/$C$3)</f>
        <v>#DIV/0!</v>
      </c>
      <c r="AQ1269" s="1098" t="e">
        <f>IF($D$1212="",0,$D1269*Table3[[#This Row],[CF]]*chronic_consumption!$AL69/1000/$C$3)</f>
        <v>#DIV/0!</v>
      </c>
      <c r="AR1269" s="1098" t="e">
        <f>IF($D$1212="",0,$D1269*Table3[[#This Row],[CF]]*chronic_consumption!$AM69/1000/$C$3)</f>
        <v>#DIV/0!</v>
      </c>
      <c r="AS1269" s="1098" t="e">
        <f>IF($D$1212="",0,$D1269*Table3[[#This Row],[CF]]*chronic_consumption!$AN69/1000/$C$3)</f>
        <v>#DIV/0!</v>
      </c>
      <c r="AT1269" s="1098" t="e">
        <f>IF($D$1212="",0,$D1269*Table3[[#This Row],[CF]]*chronic_consumption!$AO69/1000/$C$3)</f>
        <v>#DIV/0!</v>
      </c>
      <c r="AU1269" s="1099" t="e">
        <f t="shared" si="839"/>
        <v>#DIV/0!</v>
      </c>
      <c r="AV1269" s="1099" t="e">
        <f t="shared" si="839"/>
        <v>#DIV/0!</v>
      </c>
      <c r="AW1269" s="1099" t="e">
        <f t="shared" si="839"/>
        <v>#DIV/0!</v>
      </c>
      <c r="AX1269" s="1099" t="e">
        <f t="shared" si="839"/>
        <v>#DIV/0!</v>
      </c>
      <c r="AY1269" s="1099" t="e">
        <f t="shared" si="839"/>
        <v>#DIV/0!</v>
      </c>
      <c r="AZ1269" s="1091" t="s">
        <v>1012</v>
      </c>
      <c r="BA1269" s="1097" t="e">
        <f>IF(Table3[[#This Row],[max]]&lt;&gt;0,RANK(Table3[[#This Row],[max]],Table3[max],0),"")</f>
        <v>#DIV/0!</v>
      </c>
      <c r="BB1269" s="1096" t="e">
        <f t="shared" si="831"/>
        <v>#DIV/0!</v>
      </c>
      <c r="BC1269" s="1096" t="e">
        <f t="shared" ca="1" si="832"/>
        <v>#DIV/0!</v>
      </c>
      <c r="BD1269" s="1096" t="e">
        <f>IF(Table3[[#This Row],[max]]&gt;0,Table3[[#This Row],[Crop groups and examples of individual products within the groups to which the MRLs apply]],"")</f>
        <v>#DIV/0!</v>
      </c>
    </row>
    <row r="1270" spans="2:56" x14ac:dyDescent="0.2">
      <c r="B1270" s="23">
        <f t="shared" si="837"/>
        <v>161030</v>
      </c>
      <c r="C1270" s="23" t="str">
        <f t="shared" si="837"/>
        <v xml:space="preserve">Table olives </v>
      </c>
      <c r="D1270" s="1084">
        <f>input_values!E70</f>
        <v>0</v>
      </c>
      <c r="E1270" s="1084">
        <f>input_values!F70</f>
        <v>0</v>
      </c>
      <c r="F1270" s="1085">
        <f>input_values!W70</f>
        <v>1</v>
      </c>
      <c r="G1270" s="1085" t="str">
        <f>IF(Table3[[#This Row],[CF]]&gt;0,CONCATENATE(IF(Table3[[#This Row],[LOQ]]="*","LOQ","MRL"),IF(input_values!G70&gt;0,"×CFrisk","")),"")</f>
        <v>MRL</v>
      </c>
      <c r="H1270" s="1087">
        <f>input_values!L70</f>
        <v>0</v>
      </c>
      <c r="I1270" s="1088">
        <f>input_values!D70</f>
        <v>0</v>
      </c>
      <c r="J1270" s="1098" t="e">
        <f>IF($D$1212="",0,$D1270*Table3[[#This Row],[CF]]*chronic_consumption!$E70/1000/$C$3)</f>
        <v>#DIV/0!</v>
      </c>
      <c r="K1270" s="1098" t="e">
        <f>IF($D$1212="",0,$D1270*Table3[[#This Row],[CF]]*chronic_consumption!$F70/1000/$C$3)</f>
        <v>#DIV/0!</v>
      </c>
      <c r="L1270" s="1098" t="e">
        <f>IF($D$1212="",0,$D1270*Table3[[#This Row],[CF]]*chronic_consumption!$G70/1000/$C$3)</f>
        <v>#DIV/0!</v>
      </c>
      <c r="M1270" s="1098" t="e">
        <f>IF($D$1212="",0,$D1270*Table3[[#This Row],[CF]]*chronic_consumption!$H70/1000/$C$3)</f>
        <v>#DIV/0!</v>
      </c>
      <c r="N1270" s="1098" t="e">
        <f>IF($D$1212="",0,$D1270*Table3[[#This Row],[CF]]*chronic_consumption!$I70/1000/$C$3)</f>
        <v>#DIV/0!</v>
      </c>
      <c r="O1270" s="1098" t="e">
        <f>IF($D$1212="",0,$D1270*Table3[[#This Row],[CF]]*chronic_consumption!$J70/1000/$C$3)</f>
        <v>#DIV/0!</v>
      </c>
      <c r="P1270" s="1098" t="e">
        <f>IF($D$1212="",0,$D1270*Table3[[#This Row],[CF]]*chronic_consumption!$K70/1000/$C$3)</f>
        <v>#DIV/0!</v>
      </c>
      <c r="Q1270" s="1098" t="e">
        <f>IF($D$1212="",0,$D1270*Table3[[#This Row],[CF]]*chronic_consumption!$L70/1000/$C$3)</f>
        <v>#DIV/0!</v>
      </c>
      <c r="R1270" s="1098" t="e">
        <f>IF($D$1212="",0,$D1270*Table3[[#This Row],[CF]]*chronic_consumption!$M70/1000/$C$3)</f>
        <v>#DIV/0!</v>
      </c>
      <c r="S1270" s="1098" t="e">
        <f>IF($D$1212="",0,$D1270*Table3[[#This Row],[CF]]*chronic_consumption!$N70/1000/$C$3)</f>
        <v>#DIV/0!</v>
      </c>
      <c r="T1270" s="1098" t="e">
        <f>IF($D$1212="",0,$D1270*Table3[[#This Row],[CF]]*chronic_consumption!$O70/1000/$C$3)</f>
        <v>#DIV/0!</v>
      </c>
      <c r="U1270" s="1098" t="e">
        <f>IF($D$1212="",0,$D1270*Table3[[#This Row],[CF]]*chronic_consumption!$P70/1000/$C$3)</f>
        <v>#DIV/0!</v>
      </c>
      <c r="V1270" s="1098" t="e">
        <f>IF($D$1212="",0,$D1270*Table3[[#This Row],[CF]]*chronic_consumption!$Q70/1000/$C$3)</f>
        <v>#DIV/0!</v>
      </c>
      <c r="W1270" s="1098" t="e">
        <f>IF($D$1212="",0,$D1270*Table3[[#This Row],[CF]]*chronic_consumption!$R70/1000/$C$3)</f>
        <v>#DIV/0!</v>
      </c>
      <c r="X1270" s="1098" t="e">
        <f>IF($D$1212="",0,$D1270*Table3[[#This Row],[CF]]*chronic_consumption!$S70/1000/$C$3)</f>
        <v>#DIV/0!</v>
      </c>
      <c r="Y1270" s="1098" t="e">
        <f>IF($D$1212="",0,$D1270*Table3[[#This Row],[CF]]*chronic_consumption!$T70/1000/$C$3)</f>
        <v>#DIV/0!</v>
      </c>
      <c r="Z1270" s="1098" t="e">
        <f>IF($D$1212="",0,$D1270*Table3[[#This Row],[CF]]*chronic_consumption!$U70/1000/$C$3)</f>
        <v>#DIV/0!</v>
      </c>
      <c r="AA1270" s="1098" t="e">
        <f>IF($D$1212="",0,$D1270*Table3[[#This Row],[CF]]*chronic_consumption!$V70/1000/$C$3)</f>
        <v>#DIV/0!</v>
      </c>
      <c r="AB1270" s="1098" t="e">
        <f>IF($D$1212="",0,$D1270*Table3[[#This Row],[CF]]*chronic_consumption!$W70/1000/$C$3)</f>
        <v>#DIV/0!</v>
      </c>
      <c r="AC1270" s="1098" t="e">
        <f>IF($D$1212="",0,$D1270*Table3[[#This Row],[CF]]*chronic_consumption!$X70/1000/$C$3)</f>
        <v>#DIV/0!</v>
      </c>
      <c r="AD1270" s="1098" t="e">
        <f>IF($D$1212="",0,$D1270*Table3[[#This Row],[CF]]*chronic_consumption!$Y70/1000/$C$3)</f>
        <v>#DIV/0!</v>
      </c>
      <c r="AE1270" s="1098" t="e">
        <f>IF($D$1212="",0,$D1270*Table3[[#This Row],[CF]]*chronic_consumption!$Z70/1000/$C$3)</f>
        <v>#DIV/0!</v>
      </c>
      <c r="AF1270" s="1098" t="e">
        <f>IF($D$1212="",0,$D1270*Table3[[#This Row],[CF]]*chronic_consumption!$AA70/1000/$C$3)</f>
        <v>#DIV/0!</v>
      </c>
      <c r="AG1270" s="1098" t="e">
        <f>IF($D$1212="",0,$D1270*Table3[[#This Row],[CF]]*chronic_consumption!$AB70/1000/$C$3)</f>
        <v>#DIV/0!</v>
      </c>
      <c r="AH1270" s="1098" t="e">
        <f>IF($D$1212="",0,$D1270*Table3[[#This Row],[CF]]*chronic_consumption!$AC70/1000/$C$3)</f>
        <v>#DIV/0!</v>
      </c>
      <c r="AI1270" s="1098" t="e">
        <f>IF($D$1212="",0,$D1270*Table3[[#This Row],[CF]]*chronic_consumption!$AD70/1000/$C$3)</f>
        <v>#DIV/0!</v>
      </c>
      <c r="AJ1270" s="1098" t="e">
        <f>IF($D$1212="",0,$D1270*Table3[[#This Row],[CF]]*chronic_consumption!$AE70/1000/$C$3)</f>
        <v>#DIV/0!</v>
      </c>
      <c r="AK1270" s="1098" t="e">
        <f>IF($D$1212="",0,$D1270*Table3[[#This Row],[CF]]*chronic_consumption!$AF70/1000/$C$3)</f>
        <v>#DIV/0!</v>
      </c>
      <c r="AL1270" s="1098" t="e">
        <f>IF($D$1212="",0,$D1270*Table3[[#This Row],[CF]]*chronic_consumption!$AG70/1000/$C$3)</f>
        <v>#DIV/0!</v>
      </c>
      <c r="AM1270" s="1098" t="e">
        <f>IF($D$1212="",0,$D1270*Table3[[#This Row],[CF]]*chronic_consumption!$AH70/1000/$C$3)</f>
        <v>#DIV/0!</v>
      </c>
      <c r="AN1270" s="1098" t="e">
        <f>IF($D$1212="",0,$D1270*Table3[[#This Row],[CF]]*chronic_consumption!$AI70/1000/$C$3)</f>
        <v>#DIV/0!</v>
      </c>
      <c r="AO1270" s="1098" t="e">
        <f>IF($D$1212="",0,$D1270*Table3[[#This Row],[CF]]*chronic_consumption!$AJ70/1000/$C$3)</f>
        <v>#DIV/0!</v>
      </c>
      <c r="AP1270" s="1098" t="e">
        <f>IF($D$1212="",0,$D1270*Table3[[#This Row],[CF]]*chronic_consumption!$AK70/1000/$C$3)</f>
        <v>#DIV/0!</v>
      </c>
      <c r="AQ1270" s="1098" t="e">
        <f>IF($D$1212="",0,$D1270*Table3[[#This Row],[CF]]*chronic_consumption!$AL70/1000/$C$3)</f>
        <v>#DIV/0!</v>
      </c>
      <c r="AR1270" s="1098" t="e">
        <f>IF($D$1212="",0,$D1270*Table3[[#This Row],[CF]]*chronic_consumption!$AM70/1000/$C$3)</f>
        <v>#DIV/0!</v>
      </c>
      <c r="AS1270" s="1098" t="e">
        <f>IF($D$1212="",0,$D1270*Table3[[#This Row],[CF]]*chronic_consumption!$AN70/1000/$C$3)</f>
        <v>#DIV/0!</v>
      </c>
      <c r="AT1270" s="1098" t="e">
        <f>IF($D$1212="",0,$D1270*Table3[[#This Row],[CF]]*chronic_consumption!$AO70/1000/$C$3)</f>
        <v>#DIV/0!</v>
      </c>
      <c r="AU1270" s="1099" t="e">
        <f t="shared" si="839"/>
        <v>#DIV/0!</v>
      </c>
      <c r="AV1270" s="1099" t="e">
        <f t="shared" si="839"/>
        <v>#DIV/0!</v>
      </c>
      <c r="AW1270" s="1099" t="e">
        <f t="shared" si="839"/>
        <v>#DIV/0!</v>
      </c>
      <c r="AX1270" s="1099" t="e">
        <f t="shared" si="839"/>
        <v>#DIV/0!</v>
      </c>
      <c r="AY1270" s="1099" t="e">
        <f t="shared" si="839"/>
        <v>#DIV/0!</v>
      </c>
      <c r="AZ1270" s="1091" t="s">
        <v>1012</v>
      </c>
      <c r="BA1270" s="1097" t="e">
        <f>IF(Table3[[#This Row],[max]]&lt;&gt;0,RANK(Table3[[#This Row],[max]],Table3[max],0),"")</f>
        <v>#DIV/0!</v>
      </c>
      <c r="BB1270" s="1096" t="e">
        <f t="shared" si="831"/>
        <v>#DIV/0!</v>
      </c>
      <c r="BC1270" s="1096" t="e">
        <f t="shared" ca="1" si="832"/>
        <v>#DIV/0!</v>
      </c>
      <c r="BD1270" s="1096" t="e">
        <f>IF(Table3[[#This Row],[max]]&gt;0,Table3[[#This Row],[Crop groups and examples of individual products within the groups to which the MRLs apply]],"")</f>
        <v>#DIV/0!</v>
      </c>
    </row>
    <row r="1271" spans="2:56" x14ac:dyDescent="0.2">
      <c r="B1271" s="23">
        <f t="shared" si="837"/>
        <v>161040</v>
      </c>
      <c r="C1271" s="23" t="str">
        <f t="shared" si="837"/>
        <v>Kumquats</v>
      </c>
      <c r="D1271" s="1084">
        <f>input_values!E71</f>
        <v>0</v>
      </c>
      <c r="E1271" s="1084">
        <f>input_values!F71</f>
        <v>0</v>
      </c>
      <c r="F1271" s="1085">
        <f>input_values!W71</f>
        <v>1</v>
      </c>
      <c r="G1271" s="1085" t="str">
        <f>IF(Table3[[#This Row],[CF]]&gt;0,CONCATENATE(IF(Table3[[#This Row],[LOQ]]="*","LOQ","MRL"),IF(input_values!G71&gt;0,"×CFrisk","")),"")</f>
        <v>MRL</v>
      </c>
      <c r="H1271" s="1087">
        <f>input_values!L71</f>
        <v>0</v>
      </c>
      <c r="I1271" s="1088">
        <f>input_values!D71</f>
        <v>0</v>
      </c>
      <c r="J1271" s="1098" t="e">
        <f>IF($D$1212="",0,$D1271*Table3[[#This Row],[CF]]*chronic_consumption!$E71/1000/$C$3)</f>
        <v>#DIV/0!</v>
      </c>
      <c r="K1271" s="1098" t="e">
        <f>IF($D$1212="",0,$D1271*Table3[[#This Row],[CF]]*chronic_consumption!$F71/1000/$C$3)</f>
        <v>#DIV/0!</v>
      </c>
      <c r="L1271" s="1098" t="e">
        <f>IF($D$1212="",0,$D1271*Table3[[#This Row],[CF]]*chronic_consumption!$G71/1000/$C$3)</f>
        <v>#DIV/0!</v>
      </c>
      <c r="M1271" s="1098" t="e">
        <f>IF($D$1212="",0,$D1271*Table3[[#This Row],[CF]]*chronic_consumption!$H71/1000/$C$3)</f>
        <v>#DIV/0!</v>
      </c>
      <c r="N1271" s="1098" t="e">
        <f>IF($D$1212="",0,$D1271*Table3[[#This Row],[CF]]*chronic_consumption!$I71/1000/$C$3)</f>
        <v>#DIV/0!</v>
      </c>
      <c r="O1271" s="1098" t="e">
        <f>IF($D$1212="",0,$D1271*Table3[[#This Row],[CF]]*chronic_consumption!$J71/1000/$C$3)</f>
        <v>#DIV/0!</v>
      </c>
      <c r="P1271" s="1098" t="e">
        <f>IF($D$1212="",0,$D1271*Table3[[#This Row],[CF]]*chronic_consumption!$K71/1000/$C$3)</f>
        <v>#DIV/0!</v>
      </c>
      <c r="Q1271" s="1098" t="e">
        <f>IF($D$1212="",0,$D1271*Table3[[#This Row],[CF]]*chronic_consumption!$L71/1000/$C$3)</f>
        <v>#DIV/0!</v>
      </c>
      <c r="R1271" s="1098" t="e">
        <f>IF($D$1212="",0,$D1271*Table3[[#This Row],[CF]]*chronic_consumption!$M71/1000/$C$3)</f>
        <v>#DIV/0!</v>
      </c>
      <c r="S1271" s="1098" t="e">
        <f>IF($D$1212="",0,$D1271*Table3[[#This Row],[CF]]*chronic_consumption!$N71/1000/$C$3)</f>
        <v>#DIV/0!</v>
      </c>
      <c r="T1271" s="1098" t="e">
        <f>IF($D$1212="",0,$D1271*Table3[[#This Row],[CF]]*chronic_consumption!$O71/1000/$C$3)</f>
        <v>#DIV/0!</v>
      </c>
      <c r="U1271" s="1098" t="e">
        <f>IF($D$1212="",0,$D1271*Table3[[#This Row],[CF]]*chronic_consumption!$P71/1000/$C$3)</f>
        <v>#DIV/0!</v>
      </c>
      <c r="V1271" s="1098" t="e">
        <f>IF($D$1212="",0,$D1271*Table3[[#This Row],[CF]]*chronic_consumption!$Q71/1000/$C$3)</f>
        <v>#DIV/0!</v>
      </c>
      <c r="W1271" s="1098" t="e">
        <f>IF($D$1212="",0,$D1271*Table3[[#This Row],[CF]]*chronic_consumption!$R71/1000/$C$3)</f>
        <v>#DIV/0!</v>
      </c>
      <c r="X1271" s="1098" t="e">
        <f>IF($D$1212="",0,$D1271*Table3[[#This Row],[CF]]*chronic_consumption!$S71/1000/$C$3)</f>
        <v>#DIV/0!</v>
      </c>
      <c r="Y1271" s="1098" t="e">
        <f>IF($D$1212="",0,$D1271*Table3[[#This Row],[CF]]*chronic_consumption!$T71/1000/$C$3)</f>
        <v>#DIV/0!</v>
      </c>
      <c r="Z1271" s="1098" t="e">
        <f>IF($D$1212="",0,$D1271*Table3[[#This Row],[CF]]*chronic_consumption!$U71/1000/$C$3)</f>
        <v>#DIV/0!</v>
      </c>
      <c r="AA1271" s="1098" t="e">
        <f>IF($D$1212="",0,$D1271*Table3[[#This Row],[CF]]*chronic_consumption!$V71/1000/$C$3)</f>
        <v>#DIV/0!</v>
      </c>
      <c r="AB1271" s="1098" t="e">
        <f>IF($D$1212="",0,$D1271*Table3[[#This Row],[CF]]*chronic_consumption!$W71/1000/$C$3)</f>
        <v>#DIV/0!</v>
      </c>
      <c r="AC1271" s="1098" t="e">
        <f>IF($D$1212="",0,$D1271*Table3[[#This Row],[CF]]*chronic_consumption!$X71/1000/$C$3)</f>
        <v>#DIV/0!</v>
      </c>
      <c r="AD1271" s="1098" t="e">
        <f>IF($D$1212="",0,$D1271*Table3[[#This Row],[CF]]*chronic_consumption!$Y71/1000/$C$3)</f>
        <v>#DIV/0!</v>
      </c>
      <c r="AE1271" s="1098" t="e">
        <f>IF($D$1212="",0,$D1271*Table3[[#This Row],[CF]]*chronic_consumption!$Z71/1000/$C$3)</f>
        <v>#DIV/0!</v>
      </c>
      <c r="AF1271" s="1098" t="e">
        <f>IF($D$1212="",0,$D1271*Table3[[#This Row],[CF]]*chronic_consumption!$AA71/1000/$C$3)</f>
        <v>#DIV/0!</v>
      </c>
      <c r="AG1271" s="1098" t="e">
        <f>IF($D$1212="",0,$D1271*Table3[[#This Row],[CF]]*chronic_consumption!$AB71/1000/$C$3)</f>
        <v>#DIV/0!</v>
      </c>
      <c r="AH1271" s="1098" t="e">
        <f>IF($D$1212="",0,$D1271*Table3[[#This Row],[CF]]*chronic_consumption!$AC71/1000/$C$3)</f>
        <v>#DIV/0!</v>
      </c>
      <c r="AI1271" s="1098" t="e">
        <f>IF($D$1212="",0,$D1271*Table3[[#This Row],[CF]]*chronic_consumption!$AD71/1000/$C$3)</f>
        <v>#DIV/0!</v>
      </c>
      <c r="AJ1271" s="1098" t="e">
        <f>IF($D$1212="",0,$D1271*Table3[[#This Row],[CF]]*chronic_consumption!$AE71/1000/$C$3)</f>
        <v>#DIV/0!</v>
      </c>
      <c r="AK1271" s="1098" t="e">
        <f>IF($D$1212="",0,$D1271*Table3[[#This Row],[CF]]*chronic_consumption!$AF71/1000/$C$3)</f>
        <v>#DIV/0!</v>
      </c>
      <c r="AL1271" s="1098" t="e">
        <f>IF($D$1212="",0,$D1271*Table3[[#This Row],[CF]]*chronic_consumption!$AG71/1000/$C$3)</f>
        <v>#DIV/0!</v>
      </c>
      <c r="AM1271" s="1098" t="e">
        <f>IF($D$1212="",0,$D1271*Table3[[#This Row],[CF]]*chronic_consumption!$AH71/1000/$C$3)</f>
        <v>#DIV/0!</v>
      </c>
      <c r="AN1271" s="1098" t="e">
        <f>IF($D$1212="",0,$D1271*Table3[[#This Row],[CF]]*chronic_consumption!$AI71/1000/$C$3)</f>
        <v>#DIV/0!</v>
      </c>
      <c r="AO1271" s="1098" t="e">
        <f>IF($D$1212="",0,$D1271*Table3[[#This Row],[CF]]*chronic_consumption!$AJ71/1000/$C$3)</f>
        <v>#DIV/0!</v>
      </c>
      <c r="AP1271" s="1098" t="e">
        <f>IF($D$1212="",0,$D1271*Table3[[#This Row],[CF]]*chronic_consumption!$AK71/1000/$C$3)</f>
        <v>#DIV/0!</v>
      </c>
      <c r="AQ1271" s="1098" t="e">
        <f>IF($D$1212="",0,$D1271*Table3[[#This Row],[CF]]*chronic_consumption!$AL71/1000/$C$3)</f>
        <v>#DIV/0!</v>
      </c>
      <c r="AR1271" s="1098" t="e">
        <f>IF($D$1212="",0,$D1271*Table3[[#This Row],[CF]]*chronic_consumption!$AM71/1000/$C$3)</f>
        <v>#DIV/0!</v>
      </c>
      <c r="AS1271" s="1098" t="e">
        <f>IF($D$1212="",0,$D1271*Table3[[#This Row],[CF]]*chronic_consumption!$AN71/1000/$C$3)</f>
        <v>#DIV/0!</v>
      </c>
      <c r="AT1271" s="1098" t="e">
        <f>IF($D$1212="",0,$D1271*Table3[[#This Row],[CF]]*chronic_consumption!$AO71/1000/$C$3)</f>
        <v>#DIV/0!</v>
      </c>
      <c r="AU1271" s="1099" t="e">
        <f t="shared" si="839"/>
        <v>#DIV/0!</v>
      </c>
      <c r="AV1271" s="1099" t="e">
        <f t="shared" si="839"/>
        <v>#DIV/0!</v>
      </c>
      <c r="AW1271" s="1099" t="e">
        <f t="shared" si="839"/>
        <v>#DIV/0!</v>
      </c>
      <c r="AX1271" s="1099" t="e">
        <f t="shared" si="839"/>
        <v>#DIV/0!</v>
      </c>
      <c r="AY1271" s="1099" t="e">
        <f t="shared" si="839"/>
        <v>#DIV/0!</v>
      </c>
      <c r="AZ1271" s="1091" t="s">
        <v>1012</v>
      </c>
      <c r="BA1271" s="1097" t="e">
        <f>IF(Table3[[#This Row],[max]]&lt;&gt;0,RANK(Table3[[#This Row],[max]],Table3[max],0),"")</f>
        <v>#DIV/0!</v>
      </c>
      <c r="BB1271" s="1096" t="e">
        <f t="shared" si="831"/>
        <v>#DIV/0!</v>
      </c>
      <c r="BC1271" s="1096" t="e">
        <f t="shared" ca="1" si="832"/>
        <v>#DIV/0!</v>
      </c>
      <c r="BD1271" s="1096" t="e">
        <f>IF(Table3[[#This Row],[max]]&gt;0,Table3[[#This Row],[Crop groups and examples of individual products within the groups to which the MRLs apply]],"")</f>
        <v>#DIV/0!</v>
      </c>
    </row>
    <row r="1272" spans="2:56" x14ac:dyDescent="0.2">
      <c r="B1272" s="23">
        <f t="shared" ref="B1272:C1291" si="840">B72</f>
        <v>161050</v>
      </c>
      <c r="C1272" s="23" t="str">
        <f t="shared" si="840"/>
        <v>Carambolas</v>
      </c>
      <c r="D1272" s="1084">
        <f>input_values!E72</f>
        <v>0</v>
      </c>
      <c r="E1272" s="1084">
        <f>input_values!F72</f>
        <v>0</v>
      </c>
      <c r="F1272" s="1085">
        <f>input_values!W72</f>
        <v>1</v>
      </c>
      <c r="G1272" s="1085" t="str">
        <f>IF(Table3[[#This Row],[CF]]&gt;0,CONCATENATE(IF(Table3[[#This Row],[LOQ]]="*","LOQ","MRL"),IF(input_values!G72&gt;0,"×CFrisk","")),"")</f>
        <v>MRL</v>
      </c>
      <c r="H1272" s="1087">
        <f>input_values!L72</f>
        <v>0</v>
      </c>
      <c r="I1272" s="1088">
        <f>input_values!D72</f>
        <v>0</v>
      </c>
      <c r="J1272" s="1098" t="e">
        <f>IF($D$1212="",0,$D1272*Table3[[#This Row],[CF]]*chronic_consumption!$E72/1000/$C$3)</f>
        <v>#DIV/0!</v>
      </c>
      <c r="K1272" s="1098" t="e">
        <f>IF($D$1212="",0,$D1272*Table3[[#This Row],[CF]]*chronic_consumption!$F72/1000/$C$3)</f>
        <v>#DIV/0!</v>
      </c>
      <c r="L1272" s="1098" t="e">
        <f>IF($D$1212="",0,$D1272*Table3[[#This Row],[CF]]*chronic_consumption!$G72/1000/$C$3)</f>
        <v>#DIV/0!</v>
      </c>
      <c r="M1272" s="1098" t="e">
        <f>IF($D$1212="",0,$D1272*Table3[[#This Row],[CF]]*chronic_consumption!$H72/1000/$C$3)</f>
        <v>#DIV/0!</v>
      </c>
      <c r="N1272" s="1098" t="e">
        <f>IF($D$1212="",0,$D1272*Table3[[#This Row],[CF]]*chronic_consumption!$I72/1000/$C$3)</f>
        <v>#DIV/0!</v>
      </c>
      <c r="O1272" s="1098" t="e">
        <f>IF($D$1212="",0,$D1272*Table3[[#This Row],[CF]]*chronic_consumption!$J72/1000/$C$3)</f>
        <v>#DIV/0!</v>
      </c>
      <c r="P1272" s="1098" t="e">
        <f>IF($D$1212="",0,$D1272*Table3[[#This Row],[CF]]*chronic_consumption!$K72/1000/$C$3)</f>
        <v>#DIV/0!</v>
      </c>
      <c r="Q1272" s="1098" t="e">
        <f>IF($D$1212="",0,$D1272*Table3[[#This Row],[CF]]*chronic_consumption!$L72/1000/$C$3)</f>
        <v>#DIV/0!</v>
      </c>
      <c r="R1272" s="1098" t="e">
        <f>IF($D$1212="",0,$D1272*Table3[[#This Row],[CF]]*chronic_consumption!$M72/1000/$C$3)</f>
        <v>#DIV/0!</v>
      </c>
      <c r="S1272" s="1098" t="e">
        <f>IF($D$1212="",0,$D1272*Table3[[#This Row],[CF]]*chronic_consumption!$N72/1000/$C$3)</f>
        <v>#DIV/0!</v>
      </c>
      <c r="T1272" s="1098" t="e">
        <f>IF($D$1212="",0,$D1272*Table3[[#This Row],[CF]]*chronic_consumption!$O72/1000/$C$3)</f>
        <v>#DIV/0!</v>
      </c>
      <c r="U1272" s="1098" t="e">
        <f>IF($D$1212="",0,$D1272*Table3[[#This Row],[CF]]*chronic_consumption!$P72/1000/$C$3)</f>
        <v>#DIV/0!</v>
      </c>
      <c r="V1272" s="1098" t="e">
        <f>IF($D$1212="",0,$D1272*Table3[[#This Row],[CF]]*chronic_consumption!$Q72/1000/$C$3)</f>
        <v>#DIV/0!</v>
      </c>
      <c r="W1272" s="1098" t="e">
        <f>IF($D$1212="",0,$D1272*Table3[[#This Row],[CF]]*chronic_consumption!$R72/1000/$C$3)</f>
        <v>#DIV/0!</v>
      </c>
      <c r="X1272" s="1098" t="e">
        <f>IF($D$1212="",0,$D1272*Table3[[#This Row],[CF]]*chronic_consumption!$S72/1000/$C$3)</f>
        <v>#DIV/0!</v>
      </c>
      <c r="Y1272" s="1098" t="e">
        <f>IF($D$1212="",0,$D1272*Table3[[#This Row],[CF]]*chronic_consumption!$T72/1000/$C$3)</f>
        <v>#DIV/0!</v>
      </c>
      <c r="Z1272" s="1098" t="e">
        <f>IF($D$1212="",0,$D1272*Table3[[#This Row],[CF]]*chronic_consumption!$U72/1000/$C$3)</f>
        <v>#DIV/0!</v>
      </c>
      <c r="AA1272" s="1098" t="e">
        <f>IF($D$1212="",0,$D1272*Table3[[#This Row],[CF]]*chronic_consumption!$V72/1000/$C$3)</f>
        <v>#DIV/0!</v>
      </c>
      <c r="AB1272" s="1098" t="e">
        <f>IF($D$1212="",0,$D1272*Table3[[#This Row],[CF]]*chronic_consumption!$W72/1000/$C$3)</f>
        <v>#DIV/0!</v>
      </c>
      <c r="AC1272" s="1098" t="e">
        <f>IF($D$1212="",0,$D1272*Table3[[#This Row],[CF]]*chronic_consumption!$X72/1000/$C$3)</f>
        <v>#DIV/0!</v>
      </c>
      <c r="AD1272" s="1098" t="e">
        <f>IF($D$1212="",0,$D1272*Table3[[#This Row],[CF]]*chronic_consumption!$Y72/1000/$C$3)</f>
        <v>#DIV/0!</v>
      </c>
      <c r="AE1272" s="1098" t="e">
        <f>IF($D$1212="",0,$D1272*Table3[[#This Row],[CF]]*chronic_consumption!$Z72/1000/$C$3)</f>
        <v>#DIV/0!</v>
      </c>
      <c r="AF1272" s="1098" t="e">
        <f>IF($D$1212="",0,$D1272*Table3[[#This Row],[CF]]*chronic_consumption!$AA72/1000/$C$3)</f>
        <v>#DIV/0!</v>
      </c>
      <c r="AG1272" s="1098" t="e">
        <f>IF($D$1212="",0,$D1272*Table3[[#This Row],[CF]]*chronic_consumption!$AB72/1000/$C$3)</f>
        <v>#DIV/0!</v>
      </c>
      <c r="AH1272" s="1098" t="e">
        <f>IF($D$1212="",0,$D1272*Table3[[#This Row],[CF]]*chronic_consumption!$AC72/1000/$C$3)</f>
        <v>#DIV/0!</v>
      </c>
      <c r="AI1272" s="1098" t="e">
        <f>IF($D$1212="",0,$D1272*Table3[[#This Row],[CF]]*chronic_consumption!$AD72/1000/$C$3)</f>
        <v>#DIV/0!</v>
      </c>
      <c r="AJ1272" s="1098" t="e">
        <f>IF($D$1212="",0,$D1272*Table3[[#This Row],[CF]]*chronic_consumption!$AE72/1000/$C$3)</f>
        <v>#DIV/0!</v>
      </c>
      <c r="AK1272" s="1098" t="e">
        <f>IF($D$1212="",0,$D1272*Table3[[#This Row],[CF]]*chronic_consumption!$AF72/1000/$C$3)</f>
        <v>#DIV/0!</v>
      </c>
      <c r="AL1272" s="1098" t="e">
        <f>IF($D$1212="",0,$D1272*Table3[[#This Row],[CF]]*chronic_consumption!$AG72/1000/$C$3)</f>
        <v>#DIV/0!</v>
      </c>
      <c r="AM1272" s="1098" t="e">
        <f>IF($D$1212="",0,$D1272*Table3[[#This Row],[CF]]*chronic_consumption!$AH72/1000/$C$3)</f>
        <v>#DIV/0!</v>
      </c>
      <c r="AN1272" s="1098" t="e">
        <f>IF($D$1212="",0,$D1272*Table3[[#This Row],[CF]]*chronic_consumption!$AI72/1000/$C$3)</f>
        <v>#DIV/0!</v>
      </c>
      <c r="AO1272" s="1098" t="e">
        <f>IF($D$1212="",0,$D1272*Table3[[#This Row],[CF]]*chronic_consumption!$AJ72/1000/$C$3)</f>
        <v>#DIV/0!</v>
      </c>
      <c r="AP1272" s="1098" t="e">
        <f>IF($D$1212="",0,$D1272*Table3[[#This Row],[CF]]*chronic_consumption!$AK72/1000/$C$3)</f>
        <v>#DIV/0!</v>
      </c>
      <c r="AQ1272" s="1098" t="e">
        <f>IF($D$1212="",0,$D1272*Table3[[#This Row],[CF]]*chronic_consumption!$AL72/1000/$C$3)</f>
        <v>#DIV/0!</v>
      </c>
      <c r="AR1272" s="1098" t="e">
        <f>IF($D$1212="",0,$D1272*Table3[[#This Row],[CF]]*chronic_consumption!$AM72/1000/$C$3)</f>
        <v>#DIV/0!</v>
      </c>
      <c r="AS1272" s="1098" t="e">
        <f>IF($D$1212="",0,$D1272*Table3[[#This Row],[CF]]*chronic_consumption!$AN72/1000/$C$3)</f>
        <v>#DIV/0!</v>
      </c>
      <c r="AT1272" s="1098" t="e">
        <f>IF($D$1212="",0,$D1272*Table3[[#This Row],[CF]]*chronic_consumption!$AO72/1000/$C$3)</f>
        <v>#DIV/0!</v>
      </c>
      <c r="AU1272" s="1099" t="e">
        <f t="shared" ref="AU1272:AY1281" si="841">IF(AU472="",0,IF(OR(1=RANK(AU872,AU$412:AU$790,0),(2=RANK(AU872,AU$412:AU$790,0))),AU872,AU472))</f>
        <v>#DIV/0!</v>
      </c>
      <c r="AV1272" s="1099" t="e">
        <f t="shared" si="841"/>
        <v>#DIV/0!</v>
      </c>
      <c r="AW1272" s="1099" t="e">
        <f t="shared" si="841"/>
        <v>#DIV/0!</v>
      </c>
      <c r="AX1272" s="1099" t="e">
        <f t="shared" si="841"/>
        <v>#DIV/0!</v>
      </c>
      <c r="AY1272" s="1099" t="e">
        <f t="shared" si="841"/>
        <v>#DIV/0!</v>
      </c>
      <c r="AZ1272" s="1091" t="s">
        <v>1012</v>
      </c>
      <c r="BA1272" s="1097" t="e">
        <f>IF(Table3[[#This Row],[max]]&lt;&gt;0,RANK(Table3[[#This Row],[max]],Table3[max],0),"")</f>
        <v>#DIV/0!</v>
      </c>
      <c r="BB1272" s="1096" t="e">
        <f t="shared" si="831"/>
        <v>#DIV/0!</v>
      </c>
      <c r="BC1272" s="1096" t="e">
        <f t="shared" ca="1" si="832"/>
        <v>#DIV/0!</v>
      </c>
      <c r="BD1272" s="1096" t="e">
        <f>IF(Table3[[#This Row],[max]]&gt;0,Table3[[#This Row],[Crop groups and examples of individual products within the groups to which the MRLs apply]],"")</f>
        <v>#DIV/0!</v>
      </c>
    </row>
    <row r="1273" spans="2:56" x14ac:dyDescent="0.2">
      <c r="B1273" s="23">
        <f t="shared" si="840"/>
        <v>161060</v>
      </c>
      <c r="C1273" s="23" t="str">
        <f t="shared" si="840"/>
        <v xml:space="preserve">Kaki/Japanese persimmons </v>
      </c>
      <c r="D1273" s="1084">
        <f>input_values!E73</f>
        <v>0</v>
      </c>
      <c r="E1273" s="1084">
        <f>input_values!F73</f>
        <v>0</v>
      </c>
      <c r="F1273" s="1085">
        <f>input_values!W73</f>
        <v>1</v>
      </c>
      <c r="G1273" s="1085" t="str">
        <f>IF(Table3[[#This Row],[CF]]&gt;0,CONCATENATE(IF(Table3[[#This Row],[LOQ]]="*","LOQ","MRL"),IF(input_values!G73&gt;0,"×CFrisk","")),"")</f>
        <v>MRL</v>
      </c>
      <c r="H1273" s="1087">
        <f>input_values!L73</f>
        <v>0</v>
      </c>
      <c r="I1273" s="1088">
        <f>input_values!D73</f>
        <v>0</v>
      </c>
      <c r="J1273" s="1098" t="e">
        <f>IF($D$1212="",0,$D1273*Table3[[#This Row],[CF]]*chronic_consumption!$E73/1000/$C$3)</f>
        <v>#DIV/0!</v>
      </c>
      <c r="K1273" s="1098" t="e">
        <f>IF($D$1212="",0,$D1273*Table3[[#This Row],[CF]]*chronic_consumption!$F73/1000/$C$3)</f>
        <v>#DIV/0!</v>
      </c>
      <c r="L1273" s="1098" t="e">
        <f>IF($D$1212="",0,$D1273*Table3[[#This Row],[CF]]*chronic_consumption!$G73/1000/$C$3)</f>
        <v>#DIV/0!</v>
      </c>
      <c r="M1273" s="1098" t="e">
        <f>IF($D$1212="",0,$D1273*Table3[[#This Row],[CF]]*chronic_consumption!$H73/1000/$C$3)</f>
        <v>#DIV/0!</v>
      </c>
      <c r="N1273" s="1098" t="e">
        <f>IF($D$1212="",0,$D1273*Table3[[#This Row],[CF]]*chronic_consumption!$I73/1000/$C$3)</f>
        <v>#DIV/0!</v>
      </c>
      <c r="O1273" s="1098" t="e">
        <f>IF($D$1212="",0,$D1273*Table3[[#This Row],[CF]]*chronic_consumption!$J73/1000/$C$3)</f>
        <v>#DIV/0!</v>
      </c>
      <c r="P1273" s="1098" t="e">
        <f>IF($D$1212="",0,$D1273*Table3[[#This Row],[CF]]*chronic_consumption!$K73/1000/$C$3)</f>
        <v>#DIV/0!</v>
      </c>
      <c r="Q1273" s="1098" t="e">
        <f>IF($D$1212="",0,$D1273*Table3[[#This Row],[CF]]*chronic_consumption!$L73/1000/$C$3)</f>
        <v>#DIV/0!</v>
      </c>
      <c r="R1273" s="1098" t="e">
        <f>IF($D$1212="",0,$D1273*Table3[[#This Row],[CF]]*chronic_consumption!$M73/1000/$C$3)</f>
        <v>#DIV/0!</v>
      </c>
      <c r="S1273" s="1098" t="e">
        <f>IF($D$1212="",0,$D1273*Table3[[#This Row],[CF]]*chronic_consumption!$N73/1000/$C$3)</f>
        <v>#DIV/0!</v>
      </c>
      <c r="T1273" s="1098" t="e">
        <f>IF($D$1212="",0,$D1273*Table3[[#This Row],[CF]]*chronic_consumption!$O73/1000/$C$3)</f>
        <v>#DIV/0!</v>
      </c>
      <c r="U1273" s="1098" t="e">
        <f>IF($D$1212="",0,$D1273*Table3[[#This Row],[CF]]*chronic_consumption!$P73/1000/$C$3)</f>
        <v>#DIV/0!</v>
      </c>
      <c r="V1273" s="1098" t="e">
        <f>IF($D$1212="",0,$D1273*Table3[[#This Row],[CF]]*chronic_consumption!$Q73/1000/$C$3)</f>
        <v>#DIV/0!</v>
      </c>
      <c r="W1273" s="1098" t="e">
        <f>IF($D$1212="",0,$D1273*Table3[[#This Row],[CF]]*chronic_consumption!$R73/1000/$C$3)</f>
        <v>#DIV/0!</v>
      </c>
      <c r="X1273" s="1098" t="e">
        <f>IF($D$1212="",0,$D1273*Table3[[#This Row],[CF]]*chronic_consumption!$S73/1000/$C$3)</f>
        <v>#DIV/0!</v>
      </c>
      <c r="Y1273" s="1098" t="e">
        <f>IF($D$1212="",0,$D1273*Table3[[#This Row],[CF]]*chronic_consumption!$T73/1000/$C$3)</f>
        <v>#DIV/0!</v>
      </c>
      <c r="Z1273" s="1098" t="e">
        <f>IF($D$1212="",0,$D1273*Table3[[#This Row],[CF]]*chronic_consumption!$U73/1000/$C$3)</f>
        <v>#DIV/0!</v>
      </c>
      <c r="AA1273" s="1098" t="e">
        <f>IF($D$1212="",0,$D1273*Table3[[#This Row],[CF]]*chronic_consumption!$V73/1000/$C$3)</f>
        <v>#DIV/0!</v>
      </c>
      <c r="AB1273" s="1098" t="e">
        <f>IF($D$1212="",0,$D1273*Table3[[#This Row],[CF]]*chronic_consumption!$W73/1000/$C$3)</f>
        <v>#DIV/0!</v>
      </c>
      <c r="AC1273" s="1098" t="e">
        <f>IF($D$1212="",0,$D1273*Table3[[#This Row],[CF]]*chronic_consumption!$X73/1000/$C$3)</f>
        <v>#DIV/0!</v>
      </c>
      <c r="AD1273" s="1098" t="e">
        <f>IF($D$1212="",0,$D1273*Table3[[#This Row],[CF]]*chronic_consumption!$Y73/1000/$C$3)</f>
        <v>#DIV/0!</v>
      </c>
      <c r="AE1273" s="1098" t="e">
        <f>IF($D$1212="",0,$D1273*Table3[[#This Row],[CF]]*chronic_consumption!$Z73/1000/$C$3)</f>
        <v>#DIV/0!</v>
      </c>
      <c r="AF1273" s="1098" t="e">
        <f>IF($D$1212="",0,$D1273*Table3[[#This Row],[CF]]*chronic_consumption!$AA73/1000/$C$3)</f>
        <v>#DIV/0!</v>
      </c>
      <c r="AG1273" s="1098" t="e">
        <f>IF($D$1212="",0,$D1273*Table3[[#This Row],[CF]]*chronic_consumption!$AB73/1000/$C$3)</f>
        <v>#DIV/0!</v>
      </c>
      <c r="AH1273" s="1098" t="e">
        <f>IF($D$1212="",0,$D1273*Table3[[#This Row],[CF]]*chronic_consumption!$AC73/1000/$C$3)</f>
        <v>#DIV/0!</v>
      </c>
      <c r="AI1273" s="1098" t="e">
        <f>IF($D$1212="",0,$D1273*Table3[[#This Row],[CF]]*chronic_consumption!$AD73/1000/$C$3)</f>
        <v>#DIV/0!</v>
      </c>
      <c r="AJ1273" s="1098" t="e">
        <f>IF($D$1212="",0,$D1273*Table3[[#This Row],[CF]]*chronic_consumption!$AE73/1000/$C$3)</f>
        <v>#DIV/0!</v>
      </c>
      <c r="AK1273" s="1098" t="e">
        <f>IF($D$1212="",0,$D1273*Table3[[#This Row],[CF]]*chronic_consumption!$AF73/1000/$C$3)</f>
        <v>#DIV/0!</v>
      </c>
      <c r="AL1273" s="1098" t="e">
        <f>IF($D$1212="",0,$D1273*Table3[[#This Row],[CF]]*chronic_consumption!$AG73/1000/$C$3)</f>
        <v>#DIV/0!</v>
      </c>
      <c r="AM1273" s="1098" t="e">
        <f>IF($D$1212="",0,$D1273*Table3[[#This Row],[CF]]*chronic_consumption!$AH73/1000/$C$3)</f>
        <v>#DIV/0!</v>
      </c>
      <c r="AN1273" s="1098" t="e">
        <f>IF($D$1212="",0,$D1273*Table3[[#This Row],[CF]]*chronic_consumption!$AI73/1000/$C$3)</f>
        <v>#DIV/0!</v>
      </c>
      <c r="AO1273" s="1098" t="e">
        <f>IF($D$1212="",0,$D1273*Table3[[#This Row],[CF]]*chronic_consumption!$AJ73/1000/$C$3)</f>
        <v>#DIV/0!</v>
      </c>
      <c r="AP1273" s="1098" t="e">
        <f>IF($D$1212="",0,$D1273*Table3[[#This Row],[CF]]*chronic_consumption!$AK73/1000/$C$3)</f>
        <v>#DIV/0!</v>
      </c>
      <c r="AQ1273" s="1098" t="e">
        <f>IF($D$1212="",0,$D1273*Table3[[#This Row],[CF]]*chronic_consumption!$AL73/1000/$C$3)</f>
        <v>#DIV/0!</v>
      </c>
      <c r="AR1273" s="1098" t="e">
        <f>IF($D$1212="",0,$D1273*Table3[[#This Row],[CF]]*chronic_consumption!$AM73/1000/$C$3)</f>
        <v>#DIV/0!</v>
      </c>
      <c r="AS1273" s="1098" t="e">
        <f>IF($D$1212="",0,$D1273*Table3[[#This Row],[CF]]*chronic_consumption!$AN73/1000/$C$3)</f>
        <v>#DIV/0!</v>
      </c>
      <c r="AT1273" s="1098" t="e">
        <f>IF($D$1212="",0,$D1273*Table3[[#This Row],[CF]]*chronic_consumption!$AO73/1000/$C$3)</f>
        <v>#DIV/0!</v>
      </c>
      <c r="AU1273" s="1099" t="e">
        <f t="shared" si="841"/>
        <v>#DIV/0!</v>
      </c>
      <c r="AV1273" s="1099" t="e">
        <f t="shared" si="841"/>
        <v>#DIV/0!</v>
      </c>
      <c r="AW1273" s="1099" t="e">
        <f t="shared" si="841"/>
        <v>#DIV/0!</v>
      </c>
      <c r="AX1273" s="1099" t="e">
        <f t="shared" si="841"/>
        <v>#DIV/0!</v>
      </c>
      <c r="AY1273" s="1099" t="e">
        <f t="shared" si="841"/>
        <v>#DIV/0!</v>
      </c>
      <c r="AZ1273" s="1091" t="s">
        <v>1012</v>
      </c>
      <c r="BA1273" s="1097" t="e">
        <f>IF(Table3[[#This Row],[max]]&lt;&gt;0,RANK(Table3[[#This Row],[max]],Table3[max],0),"")</f>
        <v>#DIV/0!</v>
      </c>
      <c r="BB1273" s="1096" t="e">
        <f t="shared" si="831"/>
        <v>#DIV/0!</v>
      </c>
      <c r="BC1273" s="1096" t="e">
        <f t="shared" ca="1" si="832"/>
        <v>#DIV/0!</v>
      </c>
      <c r="BD1273" s="1096" t="e">
        <f>IF(Table3[[#This Row],[max]]&gt;0,Table3[[#This Row],[Crop groups and examples of individual products within the groups to which the MRLs apply]],"")</f>
        <v>#DIV/0!</v>
      </c>
    </row>
    <row r="1274" spans="2:56" x14ac:dyDescent="0.2">
      <c r="B1274" s="23">
        <f t="shared" si="840"/>
        <v>161070</v>
      </c>
      <c r="C1274" s="23" t="str">
        <f t="shared" si="840"/>
        <v>Jambuls/jambolans</v>
      </c>
      <c r="D1274" s="1084">
        <f>input_values!E74</f>
        <v>0</v>
      </c>
      <c r="E1274" s="1084">
        <f>input_values!F74</f>
        <v>0</v>
      </c>
      <c r="F1274" s="1085">
        <f>input_values!W74</f>
        <v>1</v>
      </c>
      <c r="G1274" s="1085" t="str">
        <f>IF(Table3[[#This Row],[CF]]&gt;0,CONCATENATE(IF(Table3[[#This Row],[LOQ]]="*","LOQ","MRL"),IF(input_values!G74&gt;0,"×CFrisk","")),"")</f>
        <v>MRL</v>
      </c>
      <c r="H1274" s="1087">
        <f>input_values!L74</f>
        <v>0</v>
      </c>
      <c r="I1274" s="1088">
        <f>input_values!D74</f>
        <v>0</v>
      </c>
      <c r="J1274" s="1098" t="e">
        <f>IF($D$1212="",0,$D1274*Table3[[#This Row],[CF]]*chronic_consumption!$E74/1000/$C$3)</f>
        <v>#DIV/0!</v>
      </c>
      <c r="K1274" s="1098" t="e">
        <f>IF($D$1212="",0,$D1274*Table3[[#This Row],[CF]]*chronic_consumption!$F74/1000/$C$3)</f>
        <v>#DIV/0!</v>
      </c>
      <c r="L1274" s="1098" t="e">
        <f>IF($D$1212="",0,$D1274*Table3[[#This Row],[CF]]*chronic_consumption!$G74/1000/$C$3)</f>
        <v>#DIV/0!</v>
      </c>
      <c r="M1274" s="1098" t="e">
        <f>IF($D$1212="",0,$D1274*Table3[[#This Row],[CF]]*chronic_consumption!$H74/1000/$C$3)</f>
        <v>#DIV/0!</v>
      </c>
      <c r="N1274" s="1098" t="e">
        <f>IF($D$1212="",0,$D1274*Table3[[#This Row],[CF]]*chronic_consumption!$I74/1000/$C$3)</f>
        <v>#DIV/0!</v>
      </c>
      <c r="O1274" s="1098" t="e">
        <f>IF($D$1212="",0,$D1274*Table3[[#This Row],[CF]]*chronic_consumption!$J74/1000/$C$3)</f>
        <v>#DIV/0!</v>
      </c>
      <c r="P1274" s="1098" t="e">
        <f>IF($D$1212="",0,$D1274*Table3[[#This Row],[CF]]*chronic_consumption!$K74/1000/$C$3)</f>
        <v>#DIV/0!</v>
      </c>
      <c r="Q1274" s="1098" t="e">
        <f>IF($D$1212="",0,$D1274*Table3[[#This Row],[CF]]*chronic_consumption!$L74/1000/$C$3)</f>
        <v>#DIV/0!</v>
      </c>
      <c r="R1274" s="1098" t="e">
        <f>IF($D$1212="",0,$D1274*Table3[[#This Row],[CF]]*chronic_consumption!$M74/1000/$C$3)</f>
        <v>#DIV/0!</v>
      </c>
      <c r="S1274" s="1098" t="e">
        <f>IF($D$1212="",0,$D1274*Table3[[#This Row],[CF]]*chronic_consumption!$N74/1000/$C$3)</f>
        <v>#DIV/0!</v>
      </c>
      <c r="T1274" s="1098" t="e">
        <f>IF($D$1212="",0,$D1274*Table3[[#This Row],[CF]]*chronic_consumption!$O74/1000/$C$3)</f>
        <v>#DIV/0!</v>
      </c>
      <c r="U1274" s="1098" t="e">
        <f>IF($D$1212="",0,$D1274*Table3[[#This Row],[CF]]*chronic_consumption!$P74/1000/$C$3)</f>
        <v>#DIV/0!</v>
      </c>
      <c r="V1274" s="1098" t="e">
        <f>IF($D$1212="",0,$D1274*Table3[[#This Row],[CF]]*chronic_consumption!$Q74/1000/$C$3)</f>
        <v>#DIV/0!</v>
      </c>
      <c r="W1274" s="1098" t="e">
        <f>IF($D$1212="",0,$D1274*Table3[[#This Row],[CF]]*chronic_consumption!$R74/1000/$C$3)</f>
        <v>#DIV/0!</v>
      </c>
      <c r="X1274" s="1098" t="e">
        <f>IF($D$1212="",0,$D1274*Table3[[#This Row],[CF]]*chronic_consumption!$S74/1000/$C$3)</f>
        <v>#DIV/0!</v>
      </c>
      <c r="Y1274" s="1098" t="e">
        <f>IF($D$1212="",0,$D1274*Table3[[#This Row],[CF]]*chronic_consumption!$T74/1000/$C$3)</f>
        <v>#DIV/0!</v>
      </c>
      <c r="Z1274" s="1098" t="e">
        <f>IF($D$1212="",0,$D1274*Table3[[#This Row],[CF]]*chronic_consumption!$U74/1000/$C$3)</f>
        <v>#DIV/0!</v>
      </c>
      <c r="AA1274" s="1098" t="e">
        <f>IF($D$1212="",0,$D1274*Table3[[#This Row],[CF]]*chronic_consumption!$V74/1000/$C$3)</f>
        <v>#DIV/0!</v>
      </c>
      <c r="AB1274" s="1098" t="e">
        <f>IF($D$1212="",0,$D1274*Table3[[#This Row],[CF]]*chronic_consumption!$W74/1000/$C$3)</f>
        <v>#DIV/0!</v>
      </c>
      <c r="AC1274" s="1098" t="e">
        <f>IF($D$1212="",0,$D1274*Table3[[#This Row],[CF]]*chronic_consumption!$X74/1000/$C$3)</f>
        <v>#DIV/0!</v>
      </c>
      <c r="AD1274" s="1098" t="e">
        <f>IF($D$1212="",0,$D1274*Table3[[#This Row],[CF]]*chronic_consumption!$Y74/1000/$C$3)</f>
        <v>#DIV/0!</v>
      </c>
      <c r="AE1274" s="1098" t="e">
        <f>IF($D$1212="",0,$D1274*Table3[[#This Row],[CF]]*chronic_consumption!$Z74/1000/$C$3)</f>
        <v>#DIV/0!</v>
      </c>
      <c r="AF1274" s="1098" t="e">
        <f>IF($D$1212="",0,$D1274*Table3[[#This Row],[CF]]*chronic_consumption!$AA74/1000/$C$3)</f>
        <v>#DIV/0!</v>
      </c>
      <c r="AG1274" s="1098" t="e">
        <f>IF($D$1212="",0,$D1274*Table3[[#This Row],[CF]]*chronic_consumption!$AB74/1000/$C$3)</f>
        <v>#DIV/0!</v>
      </c>
      <c r="AH1274" s="1098" t="e">
        <f>IF($D$1212="",0,$D1274*Table3[[#This Row],[CF]]*chronic_consumption!$AC74/1000/$C$3)</f>
        <v>#DIV/0!</v>
      </c>
      <c r="AI1274" s="1098" t="e">
        <f>IF($D$1212="",0,$D1274*Table3[[#This Row],[CF]]*chronic_consumption!$AD74/1000/$C$3)</f>
        <v>#DIV/0!</v>
      </c>
      <c r="AJ1274" s="1098" t="e">
        <f>IF($D$1212="",0,$D1274*Table3[[#This Row],[CF]]*chronic_consumption!$AE74/1000/$C$3)</f>
        <v>#DIV/0!</v>
      </c>
      <c r="AK1274" s="1098" t="e">
        <f>IF($D$1212="",0,$D1274*Table3[[#This Row],[CF]]*chronic_consumption!$AF74/1000/$C$3)</f>
        <v>#DIV/0!</v>
      </c>
      <c r="AL1274" s="1098" t="e">
        <f>IF($D$1212="",0,$D1274*Table3[[#This Row],[CF]]*chronic_consumption!$AG74/1000/$C$3)</f>
        <v>#DIV/0!</v>
      </c>
      <c r="AM1274" s="1098" t="e">
        <f>IF($D$1212="",0,$D1274*Table3[[#This Row],[CF]]*chronic_consumption!$AH74/1000/$C$3)</f>
        <v>#DIV/0!</v>
      </c>
      <c r="AN1274" s="1098" t="e">
        <f>IF($D$1212="",0,$D1274*Table3[[#This Row],[CF]]*chronic_consumption!$AI74/1000/$C$3)</f>
        <v>#DIV/0!</v>
      </c>
      <c r="AO1274" s="1098" t="e">
        <f>IF($D$1212="",0,$D1274*Table3[[#This Row],[CF]]*chronic_consumption!$AJ74/1000/$C$3)</f>
        <v>#DIV/0!</v>
      </c>
      <c r="AP1274" s="1098" t="e">
        <f>IF($D$1212="",0,$D1274*Table3[[#This Row],[CF]]*chronic_consumption!$AK74/1000/$C$3)</f>
        <v>#DIV/0!</v>
      </c>
      <c r="AQ1274" s="1098" t="e">
        <f>IF($D$1212="",0,$D1274*Table3[[#This Row],[CF]]*chronic_consumption!$AL74/1000/$C$3)</f>
        <v>#DIV/0!</v>
      </c>
      <c r="AR1274" s="1098" t="e">
        <f>IF($D$1212="",0,$D1274*Table3[[#This Row],[CF]]*chronic_consumption!$AM74/1000/$C$3)</f>
        <v>#DIV/0!</v>
      </c>
      <c r="AS1274" s="1098" t="e">
        <f>IF($D$1212="",0,$D1274*Table3[[#This Row],[CF]]*chronic_consumption!$AN74/1000/$C$3)</f>
        <v>#DIV/0!</v>
      </c>
      <c r="AT1274" s="1098" t="e">
        <f>IF($D$1212="",0,$D1274*Table3[[#This Row],[CF]]*chronic_consumption!$AO74/1000/$C$3)</f>
        <v>#DIV/0!</v>
      </c>
      <c r="AU1274" s="1099" t="e">
        <f t="shared" si="841"/>
        <v>#DIV/0!</v>
      </c>
      <c r="AV1274" s="1099" t="e">
        <f t="shared" si="841"/>
        <v>#DIV/0!</v>
      </c>
      <c r="AW1274" s="1099" t="e">
        <f t="shared" si="841"/>
        <v>#DIV/0!</v>
      </c>
      <c r="AX1274" s="1099" t="e">
        <f t="shared" si="841"/>
        <v>#DIV/0!</v>
      </c>
      <c r="AY1274" s="1099" t="e">
        <f t="shared" si="841"/>
        <v>#DIV/0!</v>
      </c>
      <c r="AZ1274" s="1091" t="s">
        <v>1012</v>
      </c>
      <c r="BA1274" s="1097" t="e">
        <f>IF(Table3[[#This Row],[max]]&lt;&gt;0,RANK(Table3[[#This Row],[max]],Table3[max],0),"")</f>
        <v>#DIV/0!</v>
      </c>
      <c r="BB1274" s="1096" t="e">
        <f t="shared" si="831"/>
        <v>#DIV/0!</v>
      </c>
      <c r="BC1274" s="1096" t="e">
        <f t="shared" ca="1" si="832"/>
        <v>#DIV/0!</v>
      </c>
      <c r="BD1274" s="1096" t="e">
        <f>IF(Table3[[#This Row],[max]]&gt;0,Table3[[#This Row],[Crop groups and examples of individual products within the groups to which the MRLs apply]],"")</f>
        <v>#DIV/0!</v>
      </c>
    </row>
    <row r="1275" spans="2:56" x14ac:dyDescent="0.2">
      <c r="B1275" s="23">
        <f t="shared" si="840"/>
        <v>161990</v>
      </c>
      <c r="C1275" s="23" t="str">
        <f t="shared" si="840"/>
        <v>Other miscellaneous fruit (edible peel)</v>
      </c>
      <c r="D1275" s="1084">
        <f>input_values!E75</f>
        <v>0</v>
      </c>
      <c r="E1275" s="1084">
        <f>input_values!F75</f>
        <v>0</v>
      </c>
      <c r="F1275" s="1085">
        <f>input_values!W75</f>
        <v>1</v>
      </c>
      <c r="G1275" s="1085" t="str">
        <f>IF(Table3[[#This Row],[CF]]&gt;0,CONCATENATE(IF(Table3[[#This Row],[LOQ]]="*","LOQ","MRL"),IF(input_values!G75&gt;0,"×CFrisk","")),"")</f>
        <v>MRL</v>
      </c>
      <c r="H1275" s="1087">
        <f>input_values!L75</f>
        <v>0</v>
      </c>
      <c r="I1275" s="1088">
        <f>input_values!D75</f>
        <v>0</v>
      </c>
      <c r="J1275" s="1098" t="e">
        <f>IF($D$1212="",0,$D1275*Table3[[#This Row],[CF]]*chronic_consumption!$E75/1000/$C$3)</f>
        <v>#DIV/0!</v>
      </c>
      <c r="K1275" s="1098" t="e">
        <f>IF($D$1212="",0,$D1275*Table3[[#This Row],[CF]]*chronic_consumption!$F75/1000/$C$3)</f>
        <v>#DIV/0!</v>
      </c>
      <c r="L1275" s="1098" t="e">
        <f>IF($D$1212="",0,$D1275*Table3[[#This Row],[CF]]*chronic_consumption!$G75/1000/$C$3)</f>
        <v>#DIV/0!</v>
      </c>
      <c r="M1275" s="1098" t="e">
        <f>IF($D$1212="",0,$D1275*Table3[[#This Row],[CF]]*chronic_consumption!$H75/1000/$C$3)</f>
        <v>#DIV/0!</v>
      </c>
      <c r="N1275" s="1098" t="e">
        <f>IF($D$1212="",0,$D1275*Table3[[#This Row],[CF]]*chronic_consumption!$I75/1000/$C$3)</f>
        <v>#DIV/0!</v>
      </c>
      <c r="O1275" s="1098" t="e">
        <f>IF($D$1212="",0,$D1275*Table3[[#This Row],[CF]]*chronic_consumption!$J75/1000/$C$3)</f>
        <v>#DIV/0!</v>
      </c>
      <c r="P1275" s="1098" t="e">
        <f>IF($D$1212="",0,$D1275*Table3[[#This Row],[CF]]*chronic_consumption!$K75/1000/$C$3)</f>
        <v>#DIV/0!</v>
      </c>
      <c r="Q1275" s="1098" t="e">
        <f>IF($D$1212="",0,$D1275*Table3[[#This Row],[CF]]*chronic_consumption!$L75/1000/$C$3)</f>
        <v>#DIV/0!</v>
      </c>
      <c r="R1275" s="1098" t="e">
        <f>IF($D$1212="",0,$D1275*Table3[[#This Row],[CF]]*chronic_consumption!$M75/1000/$C$3)</f>
        <v>#DIV/0!</v>
      </c>
      <c r="S1275" s="1098" t="e">
        <f>IF($D$1212="",0,$D1275*Table3[[#This Row],[CF]]*chronic_consumption!$N75/1000/$C$3)</f>
        <v>#DIV/0!</v>
      </c>
      <c r="T1275" s="1098" t="e">
        <f>IF($D$1212="",0,$D1275*Table3[[#This Row],[CF]]*chronic_consumption!$O75/1000/$C$3)</f>
        <v>#DIV/0!</v>
      </c>
      <c r="U1275" s="1098" t="e">
        <f>IF($D$1212="",0,$D1275*Table3[[#This Row],[CF]]*chronic_consumption!$P75/1000/$C$3)</f>
        <v>#DIV/0!</v>
      </c>
      <c r="V1275" s="1098" t="e">
        <f>IF($D$1212="",0,$D1275*Table3[[#This Row],[CF]]*chronic_consumption!$Q75/1000/$C$3)</f>
        <v>#DIV/0!</v>
      </c>
      <c r="W1275" s="1098" t="e">
        <f>IF($D$1212="",0,$D1275*Table3[[#This Row],[CF]]*chronic_consumption!$R75/1000/$C$3)</f>
        <v>#DIV/0!</v>
      </c>
      <c r="X1275" s="1098" t="e">
        <f>IF($D$1212="",0,$D1275*Table3[[#This Row],[CF]]*chronic_consumption!$S75/1000/$C$3)</f>
        <v>#DIV/0!</v>
      </c>
      <c r="Y1275" s="1098" t="e">
        <f>IF($D$1212="",0,$D1275*Table3[[#This Row],[CF]]*chronic_consumption!$T75/1000/$C$3)</f>
        <v>#DIV/0!</v>
      </c>
      <c r="Z1275" s="1098" t="e">
        <f>IF($D$1212="",0,$D1275*Table3[[#This Row],[CF]]*chronic_consumption!$U75/1000/$C$3)</f>
        <v>#DIV/0!</v>
      </c>
      <c r="AA1275" s="1098" t="e">
        <f>IF($D$1212="",0,$D1275*Table3[[#This Row],[CF]]*chronic_consumption!$V75/1000/$C$3)</f>
        <v>#DIV/0!</v>
      </c>
      <c r="AB1275" s="1098" t="e">
        <f>IF($D$1212="",0,$D1275*Table3[[#This Row],[CF]]*chronic_consumption!$W75/1000/$C$3)</f>
        <v>#DIV/0!</v>
      </c>
      <c r="AC1275" s="1098" t="e">
        <f>IF($D$1212="",0,$D1275*Table3[[#This Row],[CF]]*chronic_consumption!$X75/1000/$C$3)</f>
        <v>#DIV/0!</v>
      </c>
      <c r="AD1275" s="1098" t="e">
        <f>IF($D$1212="",0,$D1275*Table3[[#This Row],[CF]]*chronic_consumption!$Y75/1000/$C$3)</f>
        <v>#DIV/0!</v>
      </c>
      <c r="AE1275" s="1098" t="e">
        <f>IF($D$1212="",0,$D1275*Table3[[#This Row],[CF]]*chronic_consumption!$Z75/1000/$C$3)</f>
        <v>#DIV/0!</v>
      </c>
      <c r="AF1275" s="1098" t="e">
        <f>IF($D$1212="",0,$D1275*Table3[[#This Row],[CF]]*chronic_consumption!$AA75/1000/$C$3)</f>
        <v>#DIV/0!</v>
      </c>
      <c r="AG1275" s="1098" t="e">
        <f>IF($D$1212="",0,$D1275*Table3[[#This Row],[CF]]*chronic_consumption!$AB75/1000/$C$3)</f>
        <v>#DIV/0!</v>
      </c>
      <c r="AH1275" s="1098" t="e">
        <f>IF($D$1212="",0,$D1275*Table3[[#This Row],[CF]]*chronic_consumption!$AC75/1000/$C$3)</f>
        <v>#DIV/0!</v>
      </c>
      <c r="AI1275" s="1098" t="e">
        <f>IF($D$1212="",0,$D1275*Table3[[#This Row],[CF]]*chronic_consumption!$AD75/1000/$C$3)</f>
        <v>#DIV/0!</v>
      </c>
      <c r="AJ1275" s="1098" t="e">
        <f>IF($D$1212="",0,$D1275*Table3[[#This Row],[CF]]*chronic_consumption!$AE75/1000/$C$3)</f>
        <v>#DIV/0!</v>
      </c>
      <c r="AK1275" s="1098" t="e">
        <f>IF($D$1212="",0,$D1275*Table3[[#This Row],[CF]]*chronic_consumption!$AF75/1000/$C$3)</f>
        <v>#DIV/0!</v>
      </c>
      <c r="AL1275" s="1098" t="e">
        <f>IF($D$1212="",0,$D1275*Table3[[#This Row],[CF]]*chronic_consumption!$AG75/1000/$C$3)</f>
        <v>#DIV/0!</v>
      </c>
      <c r="AM1275" s="1098" t="e">
        <f>IF($D$1212="",0,$D1275*Table3[[#This Row],[CF]]*chronic_consumption!$AH75/1000/$C$3)</f>
        <v>#DIV/0!</v>
      </c>
      <c r="AN1275" s="1098" t="e">
        <f>IF($D$1212="",0,$D1275*Table3[[#This Row],[CF]]*chronic_consumption!$AI75/1000/$C$3)</f>
        <v>#DIV/0!</v>
      </c>
      <c r="AO1275" s="1098" t="e">
        <f>IF($D$1212="",0,$D1275*Table3[[#This Row],[CF]]*chronic_consumption!$AJ75/1000/$C$3)</f>
        <v>#DIV/0!</v>
      </c>
      <c r="AP1275" s="1098" t="e">
        <f>IF($D$1212="",0,$D1275*Table3[[#This Row],[CF]]*chronic_consumption!$AK75/1000/$C$3)</f>
        <v>#DIV/0!</v>
      </c>
      <c r="AQ1275" s="1098" t="e">
        <f>IF($D$1212="",0,$D1275*Table3[[#This Row],[CF]]*chronic_consumption!$AL75/1000/$C$3)</f>
        <v>#DIV/0!</v>
      </c>
      <c r="AR1275" s="1098" t="e">
        <f>IF($D$1212="",0,$D1275*Table3[[#This Row],[CF]]*chronic_consumption!$AM75/1000/$C$3)</f>
        <v>#DIV/0!</v>
      </c>
      <c r="AS1275" s="1098" t="e">
        <f>IF($D$1212="",0,$D1275*Table3[[#This Row],[CF]]*chronic_consumption!$AN75/1000/$C$3)</f>
        <v>#DIV/0!</v>
      </c>
      <c r="AT1275" s="1098" t="e">
        <f>IF($D$1212="",0,$D1275*Table3[[#This Row],[CF]]*chronic_consumption!$AO75/1000/$C$3)</f>
        <v>#DIV/0!</v>
      </c>
      <c r="AU1275" s="1099" t="e">
        <f t="shared" si="841"/>
        <v>#DIV/0!</v>
      </c>
      <c r="AV1275" s="1099" t="e">
        <f t="shared" si="841"/>
        <v>#DIV/0!</v>
      </c>
      <c r="AW1275" s="1099" t="e">
        <f t="shared" si="841"/>
        <v>#DIV/0!</v>
      </c>
      <c r="AX1275" s="1099" t="e">
        <f t="shared" si="841"/>
        <v>#DIV/0!</v>
      </c>
      <c r="AY1275" s="1099" t="e">
        <f t="shared" si="841"/>
        <v>#DIV/0!</v>
      </c>
      <c r="AZ1275" s="1091" t="s">
        <v>1012</v>
      </c>
      <c r="BA1275" s="1097" t="e">
        <f>IF(Table3[[#This Row],[max]]&lt;&gt;0,RANK(Table3[[#This Row],[max]],Table3[max],0),"")</f>
        <v>#DIV/0!</v>
      </c>
      <c r="BB1275" s="1096" t="e">
        <f t="shared" si="831"/>
        <v>#DIV/0!</v>
      </c>
      <c r="BC1275" s="1096" t="e">
        <f t="shared" ca="1" si="832"/>
        <v>#DIV/0!</v>
      </c>
      <c r="BD1275" s="1096" t="e">
        <f>IF(Table3[[#This Row],[max]]&gt;0,Table3[[#This Row],[Crop groups and examples of individual products within the groups to which the MRLs apply]],"")</f>
        <v>#DIV/0!</v>
      </c>
    </row>
    <row r="1276" spans="2:56" ht="24" x14ac:dyDescent="0.2">
      <c r="B1276" s="3">
        <f t="shared" si="840"/>
        <v>162000</v>
      </c>
      <c r="C1276" s="3" t="str">
        <f t="shared" si="840"/>
        <v>Miscellaneous fruit (inedible peel,
small)</v>
      </c>
      <c r="D1276" s="1084">
        <f>input_values!E76</f>
        <v>0</v>
      </c>
      <c r="E1276" s="1084">
        <f>input_values!F76</f>
        <v>0</v>
      </c>
      <c r="F1276" s="1085">
        <f>input_values!W76</f>
        <v>0</v>
      </c>
      <c r="G1276" s="1085" t="str">
        <f>IF(Table3[[#This Row],[CF]]&gt;0,CONCATENATE(IF(Table3[[#This Row],[LOQ]]="*","LOQ","MRL"),IF(input_values!G76&gt;0,"×CFrisk","")),"")</f>
        <v/>
      </c>
      <c r="H1276" s="1087">
        <f>input_values!L76</f>
        <v>0</v>
      </c>
      <c r="I1276" s="1088">
        <f>input_values!D76</f>
        <v>0</v>
      </c>
      <c r="J1276" s="1100" t="e">
        <f>IF($D$1212="",0,$D1276*Table3[[#This Row],[CF]]*chronic_consumption!$E76/1000/$C$3)</f>
        <v>#DIV/0!</v>
      </c>
      <c r="K1276" s="1100" t="e">
        <f>IF($D$1212="",0,$D1276*Table3[[#This Row],[CF]]*chronic_consumption!$F76/1000/$C$3)</f>
        <v>#DIV/0!</v>
      </c>
      <c r="L1276" s="1100" t="e">
        <f>IF($D$1212="",0,$D1276*Table3[[#This Row],[CF]]*chronic_consumption!$G76/1000/$C$3)</f>
        <v>#DIV/0!</v>
      </c>
      <c r="M1276" s="1100" t="e">
        <f>IF($D$1212="",0,$D1276*Table3[[#This Row],[CF]]*chronic_consumption!$H76/1000/$C$3)</f>
        <v>#DIV/0!</v>
      </c>
      <c r="N1276" s="1100" t="e">
        <f>IF($D$1212="",0,$D1276*Table3[[#This Row],[CF]]*chronic_consumption!$I76/1000/$C$3)</f>
        <v>#DIV/0!</v>
      </c>
      <c r="O1276" s="1100" t="e">
        <f>IF($D$1212="",0,$D1276*Table3[[#This Row],[CF]]*chronic_consumption!$J76/1000/$C$3)</f>
        <v>#DIV/0!</v>
      </c>
      <c r="P1276" s="1100" t="e">
        <f>IF($D$1212="",0,$D1276*Table3[[#This Row],[CF]]*chronic_consumption!$K76/1000/$C$3)</f>
        <v>#DIV/0!</v>
      </c>
      <c r="Q1276" s="1100" t="e">
        <f>IF($D$1212="",0,$D1276*Table3[[#This Row],[CF]]*chronic_consumption!$L76/1000/$C$3)</f>
        <v>#DIV/0!</v>
      </c>
      <c r="R1276" s="1100" t="e">
        <f>IF($D$1212="",0,$D1276*Table3[[#This Row],[CF]]*chronic_consumption!$M76/1000/$C$3)</f>
        <v>#DIV/0!</v>
      </c>
      <c r="S1276" s="1100" t="e">
        <f>IF($D$1212="",0,$D1276*Table3[[#This Row],[CF]]*chronic_consumption!$N76/1000/$C$3)</f>
        <v>#DIV/0!</v>
      </c>
      <c r="T1276" s="1100" t="e">
        <f>IF($D$1212="",0,$D1276*Table3[[#This Row],[CF]]*chronic_consumption!$O76/1000/$C$3)</f>
        <v>#DIV/0!</v>
      </c>
      <c r="U1276" s="1100" t="e">
        <f>IF($D$1212="",0,$D1276*Table3[[#This Row],[CF]]*chronic_consumption!$P76/1000/$C$3)</f>
        <v>#DIV/0!</v>
      </c>
      <c r="V1276" s="1100" t="e">
        <f>IF($D$1212="",0,$D1276*Table3[[#This Row],[CF]]*chronic_consumption!$Q76/1000/$C$3)</f>
        <v>#DIV/0!</v>
      </c>
      <c r="W1276" s="1100" t="e">
        <f>IF($D$1212="",0,$D1276*Table3[[#This Row],[CF]]*chronic_consumption!$R76/1000/$C$3)</f>
        <v>#DIV/0!</v>
      </c>
      <c r="X1276" s="1100" t="e">
        <f>IF($D$1212="",0,$D1276*Table3[[#This Row],[CF]]*chronic_consumption!$S76/1000/$C$3)</f>
        <v>#DIV/0!</v>
      </c>
      <c r="Y1276" s="1100" t="e">
        <f>IF($D$1212="",0,$D1276*Table3[[#This Row],[CF]]*chronic_consumption!$T76/1000/$C$3)</f>
        <v>#DIV/0!</v>
      </c>
      <c r="Z1276" s="1100" t="e">
        <f>IF($D$1212="",0,$D1276*Table3[[#This Row],[CF]]*chronic_consumption!$U76/1000/$C$3)</f>
        <v>#DIV/0!</v>
      </c>
      <c r="AA1276" s="1100" t="e">
        <f>IF($D$1212="",0,$D1276*Table3[[#This Row],[CF]]*chronic_consumption!$V76/1000/$C$3)</f>
        <v>#DIV/0!</v>
      </c>
      <c r="AB1276" s="1100" t="e">
        <f>IF($D$1212="",0,$D1276*Table3[[#This Row],[CF]]*chronic_consumption!$W76/1000/$C$3)</f>
        <v>#DIV/0!</v>
      </c>
      <c r="AC1276" s="1100" t="e">
        <f>IF($D$1212="",0,$D1276*Table3[[#This Row],[CF]]*chronic_consumption!$X76/1000/$C$3)</f>
        <v>#DIV/0!</v>
      </c>
      <c r="AD1276" s="1100" t="e">
        <f>IF($D$1212="",0,$D1276*Table3[[#This Row],[CF]]*chronic_consumption!$Y76/1000/$C$3)</f>
        <v>#DIV/0!</v>
      </c>
      <c r="AE1276" s="1100" t="e">
        <f>IF($D$1212="",0,$D1276*Table3[[#This Row],[CF]]*chronic_consumption!$Z76/1000/$C$3)</f>
        <v>#DIV/0!</v>
      </c>
      <c r="AF1276" s="1100" t="e">
        <f>IF($D$1212="",0,$D1276*Table3[[#This Row],[CF]]*chronic_consumption!$AA76/1000/$C$3)</f>
        <v>#DIV/0!</v>
      </c>
      <c r="AG1276" s="1100" t="e">
        <f>IF($D$1212="",0,$D1276*Table3[[#This Row],[CF]]*chronic_consumption!$AB76/1000/$C$3)</f>
        <v>#DIV/0!</v>
      </c>
      <c r="AH1276" s="1100" t="e">
        <f>IF($D$1212="",0,$D1276*Table3[[#This Row],[CF]]*chronic_consumption!$AC76/1000/$C$3)</f>
        <v>#DIV/0!</v>
      </c>
      <c r="AI1276" s="1100" t="e">
        <f>IF($D$1212="",0,$D1276*Table3[[#This Row],[CF]]*chronic_consumption!$AD76/1000/$C$3)</f>
        <v>#DIV/0!</v>
      </c>
      <c r="AJ1276" s="1100" t="e">
        <f>IF($D$1212="",0,$D1276*Table3[[#This Row],[CF]]*chronic_consumption!$AE76/1000/$C$3)</f>
        <v>#DIV/0!</v>
      </c>
      <c r="AK1276" s="1100" t="e">
        <f>IF($D$1212="",0,$D1276*Table3[[#This Row],[CF]]*chronic_consumption!$AF76/1000/$C$3)</f>
        <v>#DIV/0!</v>
      </c>
      <c r="AL1276" s="1100" t="e">
        <f>IF($D$1212="",0,$D1276*Table3[[#This Row],[CF]]*chronic_consumption!$AG76/1000/$C$3)</f>
        <v>#DIV/0!</v>
      </c>
      <c r="AM1276" s="1100" t="e">
        <f>IF($D$1212="",0,$D1276*Table3[[#This Row],[CF]]*chronic_consumption!$AH76/1000/$C$3)</f>
        <v>#DIV/0!</v>
      </c>
      <c r="AN1276" s="1100" t="e">
        <f>IF($D$1212="",0,$D1276*Table3[[#This Row],[CF]]*chronic_consumption!$AI76/1000/$C$3)</f>
        <v>#DIV/0!</v>
      </c>
      <c r="AO1276" s="1100" t="e">
        <f>IF($D$1212="",0,$D1276*Table3[[#This Row],[CF]]*chronic_consumption!$AJ76/1000/$C$3)</f>
        <v>#DIV/0!</v>
      </c>
      <c r="AP1276" s="1100" t="e">
        <f>IF($D$1212="",0,$D1276*Table3[[#This Row],[CF]]*chronic_consumption!$AK76/1000/$C$3)</f>
        <v>#DIV/0!</v>
      </c>
      <c r="AQ1276" s="1100" t="e">
        <f>IF($D$1212="",0,$D1276*Table3[[#This Row],[CF]]*chronic_consumption!$AL76/1000/$C$3)</f>
        <v>#DIV/0!</v>
      </c>
      <c r="AR1276" s="1100" t="e">
        <f>IF($D$1212="",0,$D1276*Table3[[#This Row],[CF]]*chronic_consumption!$AM76/1000/$C$3)</f>
        <v>#DIV/0!</v>
      </c>
      <c r="AS1276" s="1100" t="e">
        <f>IF($D$1212="",0,$D1276*Table3[[#This Row],[CF]]*chronic_consumption!$AN76/1000/$C$3)</f>
        <v>#DIV/0!</v>
      </c>
      <c r="AT1276" s="1100" t="e">
        <f>IF($D$1212="",0,$D1276*Table3[[#This Row],[CF]]*chronic_consumption!$AO76/1000/$C$3)</f>
        <v>#DIV/0!</v>
      </c>
      <c r="AU1276" s="1101" t="e">
        <f t="shared" si="841"/>
        <v>#DIV/0!</v>
      </c>
      <c r="AV1276" s="1101" t="e">
        <f t="shared" si="841"/>
        <v>#DIV/0!</v>
      </c>
      <c r="AW1276" s="1101" t="e">
        <f t="shared" si="841"/>
        <v>#DIV/0!</v>
      </c>
      <c r="AX1276" s="1101" t="e">
        <f t="shared" si="841"/>
        <v>#DIV/0!</v>
      </c>
      <c r="AY1276" s="1101" t="e">
        <f t="shared" si="841"/>
        <v>#DIV/0!</v>
      </c>
      <c r="AZ1276" s="1091" t="s">
        <v>1012</v>
      </c>
      <c r="BA1276" s="1097" t="e">
        <f>IF(Table3[[#This Row],[max]]&lt;&gt;0,RANK(Table3[[#This Row],[max]],Table3[max],0),"")</f>
        <v>#DIV/0!</v>
      </c>
      <c r="BB1276" s="1096" t="e">
        <f t="shared" ref="BB1276:BB1339" si="842">MAX(J1276:AY1276)</f>
        <v>#DIV/0!</v>
      </c>
      <c r="BC1276" s="1096" t="e">
        <f t="shared" ref="BC1276:BC1339" ca="1" si="843">IF(BB1276&gt;0,OFFSET($I$10,1,MATCH(BB1276,J1276:AY1276,0)),"")</f>
        <v>#DIV/0!</v>
      </c>
      <c r="BD1276" s="1096" t="e">
        <f>IF(Table3[[#This Row],[max]]&gt;0,Table3[[#This Row],[Crop groups and examples of individual products within the groups to which the MRLs apply]],"")</f>
        <v>#DIV/0!</v>
      </c>
    </row>
    <row r="1277" spans="2:56" x14ac:dyDescent="0.2">
      <c r="B1277" s="23">
        <f t="shared" si="840"/>
        <v>162010</v>
      </c>
      <c r="C1277" s="23" t="str">
        <f t="shared" si="840"/>
        <v>Kiwi fruits (green, red, yellow)</v>
      </c>
      <c r="D1277" s="1084">
        <f>input_values!E77</f>
        <v>0</v>
      </c>
      <c r="E1277" s="1084">
        <f>input_values!F77</f>
        <v>0</v>
      </c>
      <c r="F1277" s="1085">
        <f>input_values!W77</f>
        <v>1</v>
      </c>
      <c r="G1277" s="1085" t="str">
        <f>IF(Table3[[#This Row],[CF]]&gt;0,CONCATENATE(IF(Table3[[#This Row],[LOQ]]="*","LOQ","MRL"),IF(input_values!G77&gt;0,"×CFrisk","")),"")</f>
        <v>MRL</v>
      </c>
      <c r="H1277" s="1087">
        <f>input_values!L77</f>
        <v>0</v>
      </c>
      <c r="I1277" s="1088">
        <f>input_values!D77</f>
        <v>0</v>
      </c>
      <c r="J1277" s="1098" t="e">
        <f>IF($D$1212="",0,$D1277*Table3[[#This Row],[CF]]*chronic_consumption!$E77/1000/$C$3)</f>
        <v>#DIV/0!</v>
      </c>
      <c r="K1277" s="1098" t="e">
        <f>IF($D$1212="",0,$D1277*Table3[[#This Row],[CF]]*chronic_consumption!$F77/1000/$C$3)</f>
        <v>#DIV/0!</v>
      </c>
      <c r="L1277" s="1098" t="e">
        <f>IF($D$1212="",0,$D1277*Table3[[#This Row],[CF]]*chronic_consumption!$G77/1000/$C$3)</f>
        <v>#DIV/0!</v>
      </c>
      <c r="M1277" s="1098" t="e">
        <f>IF($D$1212="",0,$D1277*Table3[[#This Row],[CF]]*chronic_consumption!$H77/1000/$C$3)</f>
        <v>#DIV/0!</v>
      </c>
      <c r="N1277" s="1098" t="e">
        <f>IF($D$1212="",0,$D1277*Table3[[#This Row],[CF]]*chronic_consumption!$I77/1000/$C$3)</f>
        <v>#DIV/0!</v>
      </c>
      <c r="O1277" s="1098" t="e">
        <f>IF($D$1212="",0,$D1277*Table3[[#This Row],[CF]]*chronic_consumption!$J77/1000/$C$3)</f>
        <v>#DIV/0!</v>
      </c>
      <c r="P1277" s="1098" t="e">
        <f>IF($D$1212="",0,$D1277*Table3[[#This Row],[CF]]*chronic_consumption!$K77/1000/$C$3)</f>
        <v>#DIV/0!</v>
      </c>
      <c r="Q1277" s="1098" t="e">
        <f>IF($D$1212="",0,$D1277*Table3[[#This Row],[CF]]*chronic_consumption!$L77/1000/$C$3)</f>
        <v>#DIV/0!</v>
      </c>
      <c r="R1277" s="1098" t="e">
        <f>IF($D$1212="",0,$D1277*Table3[[#This Row],[CF]]*chronic_consumption!$M77/1000/$C$3)</f>
        <v>#DIV/0!</v>
      </c>
      <c r="S1277" s="1098" t="e">
        <f>IF($D$1212="",0,$D1277*Table3[[#This Row],[CF]]*chronic_consumption!$N77/1000/$C$3)</f>
        <v>#DIV/0!</v>
      </c>
      <c r="T1277" s="1098" t="e">
        <f>IF($D$1212="",0,$D1277*Table3[[#This Row],[CF]]*chronic_consumption!$O77/1000/$C$3)</f>
        <v>#DIV/0!</v>
      </c>
      <c r="U1277" s="1098" t="e">
        <f>IF($D$1212="",0,$D1277*Table3[[#This Row],[CF]]*chronic_consumption!$P77/1000/$C$3)</f>
        <v>#DIV/0!</v>
      </c>
      <c r="V1277" s="1098" t="e">
        <f>IF($D$1212="",0,$D1277*Table3[[#This Row],[CF]]*chronic_consumption!$Q77/1000/$C$3)</f>
        <v>#DIV/0!</v>
      </c>
      <c r="W1277" s="1098" t="e">
        <f>IF($D$1212="",0,$D1277*Table3[[#This Row],[CF]]*chronic_consumption!$R77/1000/$C$3)</f>
        <v>#DIV/0!</v>
      </c>
      <c r="X1277" s="1098" t="e">
        <f>IF($D$1212="",0,$D1277*Table3[[#This Row],[CF]]*chronic_consumption!$S77/1000/$C$3)</f>
        <v>#DIV/0!</v>
      </c>
      <c r="Y1277" s="1098" t="e">
        <f>IF($D$1212="",0,$D1277*Table3[[#This Row],[CF]]*chronic_consumption!$T77/1000/$C$3)</f>
        <v>#DIV/0!</v>
      </c>
      <c r="Z1277" s="1098" t="e">
        <f>IF($D$1212="",0,$D1277*Table3[[#This Row],[CF]]*chronic_consumption!$U77/1000/$C$3)</f>
        <v>#DIV/0!</v>
      </c>
      <c r="AA1277" s="1098" t="e">
        <f>IF($D$1212="",0,$D1277*Table3[[#This Row],[CF]]*chronic_consumption!$V77/1000/$C$3)</f>
        <v>#DIV/0!</v>
      </c>
      <c r="AB1277" s="1098" t="e">
        <f>IF($D$1212="",0,$D1277*Table3[[#This Row],[CF]]*chronic_consumption!$W77/1000/$C$3)</f>
        <v>#DIV/0!</v>
      </c>
      <c r="AC1277" s="1098" t="e">
        <f>IF($D$1212="",0,$D1277*Table3[[#This Row],[CF]]*chronic_consumption!$X77/1000/$C$3)</f>
        <v>#DIV/0!</v>
      </c>
      <c r="AD1277" s="1098" t="e">
        <f>IF($D$1212="",0,$D1277*Table3[[#This Row],[CF]]*chronic_consumption!$Y77/1000/$C$3)</f>
        <v>#DIV/0!</v>
      </c>
      <c r="AE1277" s="1098" t="e">
        <f>IF($D$1212="",0,$D1277*Table3[[#This Row],[CF]]*chronic_consumption!$Z77/1000/$C$3)</f>
        <v>#DIV/0!</v>
      </c>
      <c r="AF1277" s="1098" t="e">
        <f>IF($D$1212="",0,$D1277*Table3[[#This Row],[CF]]*chronic_consumption!$AA77/1000/$C$3)</f>
        <v>#DIV/0!</v>
      </c>
      <c r="AG1277" s="1098" t="e">
        <f>IF($D$1212="",0,$D1277*Table3[[#This Row],[CF]]*chronic_consumption!$AB77/1000/$C$3)</f>
        <v>#DIV/0!</v>
      </c>
      <c r="AH1277" s="1098" t="e">
        <f>IF($D$1212="",0,$D1277*Table3[[#This Row],[CF]]*chronic_consumption!$AC77/1000/$C$3)</f>
        <v>#DIV/0!</v>
      </c>
      <c r="AI1277" s="1098" t="e">
        <f>IF($D$1212="",0,$D1277*Table3[[#This Row],[CF]]*chronic_consumption!$AD77/1000/$C$3)</f>
        <v>#DIV/0!</v>
      </c>
      <c r="AJ1277" s="1098" t="e">
        <f>IF($D$1212="",0,$D1277*Table3[[#This Row],[CF]]*chronic_consumption!$AE77/1000/$C$3)</f>
        <v>#DIV/0!</v>
      </c>
      <c r="AK1277" s="1098" t="e">
        <f>IF($D$1212="",0,$D1277*Table3[[#This Row],[CF]]*chronic_consumption!$AF77/1000/$C$3)</f>
        <v>#DIV/0!</v>
      </c>
      <c r="AL1277" s="1098" t="e">
        <f>IF($D$1212="",0,$D1277*Table3[[#This Row],[CF]]*chronic_consumption!$AG77/1000/$C$3)</f>
        <v>#DIV/0!</v>
      </c>
      <c r="AM1277" s="1098" t="e">
        <f>IF($D$1212="",0,$D1277*Table3[[#This Row],[CF]]*chronic_consumption!$AH77/1000/$C$3)</f>
        <v>#DIV/0!</v>
      </c>
      <c r="AN1277" s="1098" t="e">
        <f>IF($D$1212="",0,$D1277*Table3[[#This Row],[CF]]*chronic_consumption!$AI77/1000/$C$3)</f>
        <v>#DIV/0!</v>
      </c>
      <c r="AO1277" s="1098" t="e">
        <f>IF($D$1212="",0,$D1277*Table3[[#This Row],[CF]]*chronic_consumption!$AJ77/1000/$C$3)</f>
        <v>#DIV/0!</v>
      </c>
      <c r="AP1277" s="1098" t="e">
        <f>IF($D$1212="",0,$D1277*Table3[[#This Row],[CF]]*chronic_consumption!$AK77/1000/$C$3)</f>
        <v>#DIV/0!</v>
      </c>
      <c r="AQ1277" s="1098" t="e">
        <f>IF($D$1212="",0,$D1277*Table3[[#This Row],[CF]]*chronic_consumption!$AL77/1000/$C$3)</f>
        <v>#DIV/0!</v>
      </c>
      <c r="AR1277" s="1098" t="e">
        <f>IF($D$1212="",0,$D1277*Table3[[#This Row],[CF]]*chronic_consumption!$AM77/1000/$C$3)</f>
        <v>#DIV/0!</v>
      </c>
      <c r="AS1277" s="1098" t="e">
        <f>IF($D$1212="",0,$D1277*Table3[[#This Row],[CF]]*chronic_consumption!$AN77/1000/$C$3)</f>
        <v>#DIV/0!</v>
      </c>
      <c r="AT1277" s="1098" t="e">
        <f>IF($D$1212="",0,$D1277*Table3[[#This Row],[CF]]*chronic_consumption!$AO77/1000/$C$3)</f>
        <v>#DIV/0!</v>
      </c>
      <c r="AU1277" s="1099" t="e">
        <f t="shared" si="841"/>
        <v>#DIV/0!</v>
      </c>
      <c r="AV1277" s="1099" t="e">
        <f t="shared" si="841"/>
        <v>#DIV/0!</v>
      </c>
      <c r="AW1277" s="1099" t="e">
        <f t="shared" si="841"/>
        <v>#DIV/0!</v>
      </c>
      <c r="AX1277" s="1099" t="e">
        <f t="shared" si="841"/>
        <v>#DIV/0!</v>
      </c>
      <c r="AY1277" s="1099" t="e">
        <f t="shared" si="841"/>
        <v>#DIV/0!</v>
      </c>
      <c r="AZ1277" s="1091" t="s">
        <v>1012</v>
      </c>
      <c r="BA1277" s="1097" t="e">
        <f>IF(Table3[[#This Row],[max]]&lt;&gt;0,RANK(Table3[[#This Row],[max]],Table3[max],0),"")</f>
        <v>#DIV/0!</v>
      </c>
      <c r="BB1277" s="1096" t="e">
        <f t="shared" si="842"/>
        <v>#DIV/0!</v>
      </c>
      <c r="BC1277" s="1096" t="e">
        <f t="shared" ca="1" si="843"/>
        <v>#DIV/0!</v>
      </c>
      <c r="BD1277" s="1096" t="e">
        <f>IF(Table3[[#This Row],[max]]&gt;0,Table3[[#This Row],[Crop groups and examples of individual products within the groups to which the MRLs apply]],"")</f>
        <v>#DIV/0!</v>
      </c>
    </row>
    <row r="1278" spans="2:56" x14ac:dyDescent="0.2">
      <c r="B1278" s="23">
        <f t="shared" si="840"/>
        <v>162020</v>
      </c>
      <c r="C1278" s="23" t="str">
        <f t="shared" si="840"/>
        <v>Litchis/lychees</v>
      </c>
      <c r="D1278" s="1084">
        <f>input_values!E78</f>
        <v>0</v>
      </c>
      <c r="E1278" s="1084">
        <f>input_values!F78</f>
        <v>0</v>
      </c>
      <c r="F1278" s="1085">
        <f>input_values!W78</f>
        <v>1</v>
      </c>
      <c r="G1278" s="1085" t="str">
        <f>IF(Table3[[#This Row],[CF]]&gt;0,CONCATENATE(IF(Table3[[#This Row],[LOQ]]="*","LOQ","MRL"),IF(input_values!G78&gt;0,"×CFrisk","")),"")</f>
        <v>MRL</v>
      </c>
      <c r="H1278" s="1087">
        <f>input_values!L78</f>
        <v>0</v>
      </c>
      <c r="I1278" s="1088">
        <f>input_values!D78</f>
        <v>0</v>
      </c>
      <c r="J1278" s="1098" t="e">
        <f>IF($D$1212="",0,$D1278*Table3[[#This Row],[CF]]*chronic_consumption!$E78/1000/$C$3)</f>
        <v>#DIV/0!</v>
      </c>
      <c r="K1278" s="1098" t="e">
        <f>IF($D$1212="",0,$D1278*Table3[[#This Row],[CF]]*chronic_consumption!$F78/1000/$C$3)</f>
        <v>#DIV/0!</v>
      </c>
      <c r="L1278" s="1098" t="e">
        <f>IF($D$1212="",0,$D1278*Table3[[#This Row],[CF]]*chronic_consumption!$G78/1000/$C$3)</f>
        <v>#DIV/0!</v>
      </c>
      <c r="M1278" s="1098" t="e">
        <f>IF($D$1212="",0,$D1278*Table3[[#This Row],[CF]]*chronic_consumption!$H78/1000/$C$3)</f>
        <v>#DIV/0!</v>
      </c>
      <c r="N1278" s="1098" t="e">
        <f>IF($D$1212="",0,$D1278*Table3[[#This Row],[CF]]*chronic_consumption!$I78/1000/$C$3)</f>
        <v>#DIV/0!</v>
      </c>
      <c r="O1278" s="1098" t="e">
        <f>IF($D$1212="",0,$D1278*Table3[[#This Row],[CF]]*chronic_consumption!$J78/1000/$C$3)</f>
        <v>#DIV/0!</v>
      </c>
      <c r="P1278" s="1098" t="e">
        <f>IF($D$1212="",0,$D1278*Table3[[#This Row],[CF]]*chronic_consumption!$K78/1000/$C$3)</f>
        <v>#DIV/0!</v>
      </c>
      <c r="Q1278" s="1098" t="e">
        <f>IF($D$1212="",0,$D1278*Table3[[#This Row],[CF]]*chronic_consumption!$L78/1000/$C$3)</f>
        <v>#DIV/0!</v>
      </c>
      <c r="R1278" s="1098" t="e">
        <f>IF($D$1212="",0,$D1278*Table3[[#This Row],[CF]]*chronic_consumption!$M78/1000/$C$3)</f>
        <v>#DIV/0!</v>
      </c>
      <c r="S1278" s="1098" t="e">
        <f>IF($D$1212="",0,$D1278*Table3[[#This Row],[CF]]*chronic_consumption!$N78/1000/$C$3)</f>
        <v>#DIV/0!</v>
      </c>
      <c r="T1278" s="1098" t="e">
        <f>IF($D$1212="",0,$D1278*Table3[[#This Row],[CF]]*chronic_consumption!$O78/1000/$C$3)</f>
        <v>#DIV/0!</v>
      </c>
      <c r="U1278" s="1098" t="e">
        <f>IF($D$1212="",0,$D1278*Table3[[#This Row],[CF]]*chronic_consumption!$P78/1000/$C$3)</f>
        <v>#DIV/0!</v>
      </c>
      <c r="V1278" s="1098" t="e">
        <f>IF($D$1212="",0,$D1278*Table3[[#This Row],[CF]]*chronic_consumption!$Q78/1000/$C$3)</f>
        <v>#DIV/0!</v>
      </c>
      <c r="W1278" s="1098" t="e">
        <f>IF($D$1212="",0,$D1278*Table3[[#This Row],[CF]]*chronic_consumption!$R78/1000/$C$3)</f>
        <v>#DIV/0!</v>
      </c>
      <c r="X1278" s="1098" t="e">
        <f>IF($D$1212="",0,$D1278*Table3[[#This Row],[CF]]*chronic_consumption!$S78/1000/$C$3)</f>
        <v>#DIV/0!</v>
      </c>
      <c r="Y1278" s="1098" t="e">
        <f>IF($D$1212="",0,$D1278*Table3[[#This Row],[CF]]*chronic_consumption!$T78/1000/$C$3)</f>
        <v>#DIV/0!</v>
      </c>
      <c r="Z1278" s="1098" t="e">
        <f>IF($D$1212="",0,$D1278*Table3[[#This Row],[CF]]*chronic_consumption!$U78/1000/$C$3)</f>
        <v>#DIV/0!</v>
      </c>
      <c r="AA1278" s="1098" t="e">
        <f>IF($D$1212="",0,$D1278*Table3[[#This Row],[CF]]*chronic_consumption!$V78/1000/$C$3)</f>
        <v>#DIV/0!</v>
      </c>
      <c r="AB1278" s="1098" t="e">
        <f>IF($D$1212="",0,$D1278*Table3[[#This Row],[CF]]*chronic_consumption!$W78/1000/$C$3)</f>
        <v>#DIV/0!</v>
      </c>
      <c r="AC1278" s="1098" t="e">
        <f>IF($D$1212="",0,$D1278*Table3[[#This Row],[CF]]*chronic_consumption!$X78/1000/$C$3)</f>
        <v>#DIV/0!</v>
      </c>
      <c r="AD1278" s="1098" t="e">
        <f>IF($D$1212="",0,$D1278*Table3[[#This Row],[CF]]*chronic_consumption!$Y78/1000/$C$3)</f>
        <v>#DIV/0!</v>
      </c>
      <c r="AE1278" s="1098" t="e">
        <f>IF($D$1212="",0,$D1278*Table3[[#This Row],[CF]]*chronic_consumption!$Z78/1000/$C$3)</f>
        <v>#DIV/0!</v>
      </c>
      <c r="AF1278" s="1098" t="e">
        <f>IF($D$1212="",0,$D1278*Table3[[#This Row],[CF]]*chronic_consumption!$AA78/1000/$C$3)</f>
        <v>#DIV/0!</v>
      </c>
      <c r="AG1278" s="1098" t="e">
        <f>IF($D$1212="",0,$D1278*Table3[[#This Row],[CF]]*chronic_consumption!$AB78/1000/$C$3)</f>
        <v>#DIV/0!</v>
      </c>
      <c r="AH1278" s="1098" t="e">
        <f>IF($D$1212="",0,$D1278*Table3[[#This Row],[CF]]*chronic_consumption!$AC78/1000/$C$3)</f>
        <v>#DIV/0!</v>
      </c>
      <c r="AI1278" s="1098" t="e">
        <f>IF($D$1212="",0,$D1278*Table3[[#This Row],[CF]]*chronic_consumption!$AD78/1000/$C$3)</f>
        <v>#DIV/0!</v>
      </c>
      <c r="AJ1278" s="1098" t="e">
        <f>IF($D$1212="",0,$D1278*Table3[[#This Row],[CF]]*chronic_consumption!$AE78/1000/$C$3)</f>
        <v>#DIV/0!</v>
      </c>
      <c r="AK1278" s="1098" t="e">
        <f>IF($D$1212="",0,$D1278*Table3[[#This Row],[CF]]*chronic_consumption!$AF78/1000/$C$3)</f>
        <v>#DIV/0!</v>
      </c>
      <c r="AL1278" s="1098" t="e">
        <f>IF($D$1212="",0,$D1278*Table3[[#This Row],[CF]]*chronic_consumption!$AG78/1000/$C$3)</f>
        <v>#DIV/0!</v>
      </c>
      <c r="AM1278" s="1098" t="e">
        <f>IF($D$1212="",0,$D1278*Table3[[#This Row],[CF]]*chronic_consumption!$AH78/1000/$C$3)</f>
        <v>#DIV/0!</v>
      </c>
      <c r="AN1278" s="1098" t="e">
        <f>IF($D$1212="",0,$D1278*Table3[[#This Row],[CF]]*chronic_consumption!$AI78/1000/$C$3)</f>
        <v>#DIV/0!</v>
      </c>
      <c r="AO1278" s="1098" t="e">
        <f>IF($D$1212="",0,$D1278*Table3[[#This Row],[CF]]*chronic_consumption!$AJ78/1000/$C$3)</f>
        <v>#DIV/0!</v>
      </c>
      <c r="AP1278" s="1098" t="e">
        <f>IF($D$1212="",0,$D1278*Table3[[#This Row],[CF]]*chronic_consumption!$AK78/1000/$C$3)</f>
        <v>#DIV/0!</v>
      </c>
      <c r="AQ1278" s="1098" t="e">
        <f>IF($D$1212="",0,$D1278*Table3[[#This Row],[CF]]*chronic_consumption!$AL78/1000/$C$3)</f>
        <v>#DIV/0!</v>
      </c>
      <c r="AR1278" s="1098" t="e">
        <f>IF($D$1212="",0,$D1278*Table3[[#This Row],[CF]]*chronic_consumption!$AM78/1000/$C$3)</f>
        <v>#DIV/0!</v>
      </c>
      <c r="AS1278" s="1098" t="e">
        <f>IF($D$1212="",0,$D1278*Table3[[#This Row],[CF]]*chronic_consumption!$AN78/1000/$C$3)</f>
        <v>#DIV/0!</v>
      </c>
      <c r="AT1278" s="1098" t="e">
        <f>IF($D$1212="",0,$D1278*Table3[[#This Row],[CF]]*chronic_consumption!$AO78/1000/$C$3)</f>
        <v>#DIV/0!</v>
      </c>
      <c r="AU1278" s="1099" t="e">
        <f t="shared" si="841"/>
        <v>#DIV/0!</v>
      </c>
      <c r="AV1278" s="1099" t="e">
        <f t="shared" si="841"/>
        <v>#DIV/0!</v>
      </c>
      <c r="AW1278" s="1099" t="e">
        <f t="shared" si="841"/>
        <v>#DIV/0!</v>
      </c>
      <c r="AX1278" s="1099" t="e">
        <f t="shared" si="841"/>
        <v>#DIV/0!</v>
      </c>
      <c r="AY1278" s="1099" t="e">
        <f t="shared" si="841"/>
        <v>#DIV/0!</v>
      </c>
      <c r="AZ1278" s="1091" t="s">
        <v>1012</v>
      </c>
      <c r="BA1278" s="1097" t="e">
        <f>IF(Table3[[#This Row],[max]]&lt;&gt;0,RANK(Table3[[#This Row],[max]],Table3[max],0),"")</f>
        <v>#DIV/0!</v>
      </c>
      <c r="BB1278" s="1096" t="e">
        <f t="shared" si="842"/>
        <v>#DIV/0!</v>
      </c>
      <c r="BC1278" s="1096" t="e">
        <f t="shared" ca="1" si="843"/>
        <v>#DIV/0!</v>
      </c>
      <c r="BD1278" s="1096" t="e">
        <f>IF(Table3[[#This Row],[max]]&gt;0,Table3[[#This Row],[Crop groups and examples of individual products within the groups to which the MRLs apply]],"")</f>
        <v>#DIV/0!</v>
      </c>
    </row>
    <row r="1279" spans="2:56" x14ac:dyDescent="0.2">
      <c r="B1279" s="23">
        <f t="shared" si="840"/>
        <v>162030</v>
      </c>
      <c r="C1279" s="23" t="str">
        <f t="shared" si="840"/>
        <v>Passionfruits/maracujas</v>
      </c>
      <c r="D1279" s="1084">
        <f>input_values!E79</f>
        <v>0</v>
      </c>
      <c r="E1279" s="1084">
        <f>input_values!F79</f>
        <v>0</v>
      </c>
      <c r="F1279" s="1085">
        <f>input_values!W79</f>
        <v>1</v>
      </c>
      <c r="G1279" s="1085" t="str">
        <f>IF(Table3[[#This Row],[CF]]&gt;0,CONCATENATE(IF(Table3[[#This Row],[LOQ]]="*","LOQ","MRL"),IF(input_values!G79&gt;0,"×CFrisk","")),"")</f>
        <v>MRL</v>
      </c>
      <c r="H1279" s="1087">
        <f>input_values!L79</f>
        <v>0</v>
      </c>
      <c r="I1279" s="1088">
        <f>input_values!D79</f>
        <v>0</v>
      </c>
      <c r="J1279" s="1098" t="e">
        <f>IF($D$1212="",0,$D1279*Table3[[#This Row],[CF]]*chronic_consumption!$E79/1000/$C$3)</f>
        <v>#DIV/0!</v>
      </c>
      <c r="K1279" s="1098" t="e">
        <f>IF($D$1212="",0,$D1279*Table3[[#This Row],[CF]]*chronic_consumption!$F79/1000/$C$3)</f>
        <v>#DIV/0!</v>
      </c>
      <c r="L1279" s="1098" t="e">
        <f>IF($D$1212="",0,$D1279*Table3[[#This Row],[CF]]*chronic_consumption!$G79/1000/$C$3)</f>
        <v>#DIV/0!</v>
      </c>
      <c r="M1279" s="1098" t="e">
        <f>IF($D$1212="",0,$D1279*Table3[[#This Row],[CF]]*chronic_consumption!$H79/1000/$C$3)</f>
        <v>#DIV/0!</v>
      </c>
      <c r="N1279" s="1098" t="e">
        <f>IF($D$1212="",0,$D1279*Table3[[#This Row],[CF]]*chronic_consumption!$I79/1000/$C$3)</f>
        <v>#DIV/0!</v>
      </c>
      <c r="O1279" s="1098" t="e">
        <f>IF($D$1212="",0,$D1279*Table3[[#This Row],[CF]]*chronic_consumption!$J79/1000/$C$3)</f>
        <v>#DIV/0!</v>
      </c>
      <c r="P1279" s="1098" t="e">
        <f>IF($D$1212="",0,$D1279*Table3[[#This Row],[CF]]*chronic_consumption!$K79/1000/$C$3)</f>
        <v>#DIV/0!</v>
      </c>
      <c r="Q1279" s="1098" t="e">
        <f>IF($D$1212="",0,$D1279*Table3[[#This Row],[CF]]*chronic_consumption!$L79/1000/$C$3)</f>
        <v>#DIV/0!</v>
      </c>
      <c r="R1279" s="1098" t="e">
        <f>IF($D$1212="",0,$D1279*Table3[[#This Row],[CF]]*chronic_consumption!$M79/1000/$C$3)</f>
        <v>#DIV/0!</v>
      </c>
      <c r="S1279" s="1098" t="e">
        <f>IF($D$1212="",0,$D1279*Table3[[#This Row],[CF]]*chronic_consumption!$N79/1000/$C$3)</f>
        <v>#DIV/0!</v>
      </c>
      <c r="T1279" s="1098" t="e">
        <f>IF($D$1212="",0,$D1279*Table3[[#This Row],[CF]]*chronic_consumption!$O79/1000/$C$3)</f>
        <v>#DIV/0!</v>
      </c>
      <c r="U1279" s="1098" t="e">
        <f>IF($D$1212="",0,$D1279*Table3[[#This Row],[CF]]*chronic_consumption!$P79/1000/$C$3)</f>
        <v>#DIV/0!</v>
      </c>
      <c r="V1279" s="1098" t="e">
        <f>IF($D$1212="",0,$D1279*Table3[[#This Row],[CF]]*chronic_consumption!$Q79/1000/$C$3)</f>
        <v>#DIV/0!</v>
      </c>
      <c r="W1279" s="1098" t="e">
        <f>IF($D$1212="",0,$D1279*Table3[[#This Row],[CF]]*chronic_consumption!$R79/1000/$C$3)</f>
        <v>#DIV/0!</v>
      </c>
      <c r="X1279" s="1098" t="e">
        <f>IF($D$1212="",0,$D1279*Table3[[#This Row],[CF]]*chronic_consumption!$S79/1000/$C$3)</f>
        <v>#DIV/0!</v>
      </c>
      <c r="Y1279" s="1098" t="e">
        <f>IF($D$1212="",0,$D1279*Table3[[#This Row],[CF]]*chronic_consumption!$T79/1000/$C$3)</f>
        <v>#DIV/0!</v>
      </c>
      <c r="Z1279" s="1098" t="e">
        <f>IF($D$1212="",0,$D1279*Table3[[#This Row],[CF]]*chronic_consumption!$U79/1000/$C$3)</f>
        <v>#DIV/0!</v>
      </c>
      <c r="AA1279" s="1098" t="e">
        <f>IF($D$1212="",0,$D1279*Table3[[#This Row],[CF]]*chronic_consumption!$V79/1000/$C$3)</f>
        <v>#DIV/0!</v>
      </c>
      <c r="AB1279" s="1098" t="e">
        <f>IF($D$1212="",0,$D1279*Table3[[#This Row],[CF]]*chronic_consumption!$W79/1000/$C$3)</f>
        <v>#DIV/0!</v>
      </c>
      <c r="AC1279" s="1098" t="e">
        <f>IF($D$1212="",0,$D1279*Table3[[#This Row],[CF]]*chronic_consumption!$X79/1000/$C$3)</f>
        <v>#DIV/0!</v>
      </c>
      <c r="AD1279" s="1098" t="e">
        <f>IF($D$1212="",0,$D1279*Table3[[#This Row],[CF]]*chronic_consumption!$Y79/1000/$C$3)</f>
        <v>#DIV/0!</v>
      </c>
      <c r="AE1279" s="1098" t="e">
        <f>IF($D$1212="",0,$D1279*Table3[[#This Row],[CF]]*chronic_consumption!$Z79/1000/$C$3)</f>
        <v>#DIV/0!</v>
      </c>
      <c r="AF1279" s="1098" t="e">
        <f>IF($D$1212="",0,$D1279*Table3[[#This Row],[CF]]*chronic_consumption!$AA79/1000/$C$3)</f>
        <v>#DIV/0!</v>
      </c>
      <c r="AG1279" s="1098" t="e">
        <f>IF($D$1212="",0,$D1279*Table3[[#This Row],[CF]]*chronic_consumption!$AB79/1000/$C$3)</f>
        <v>#DIV/0!</v>
      </c>
      <c r="AH1279" s="1098" t="e">
        <f>IF($D$1212="",0,$D1279*Table3[[#This Row],[CF]]*chronic_consumption!$AC79/1000/$C$3)</f>
        <v>#DIV/0!</v>
      </c>
      <c r="AI1279" s="1098" t="e">
        <f>IF($D$1212="",0,$D1279*Table3[[#This Row],[CF]]*chronic_consumption!$AD79/1000/$C$3)</f>
        <v>#DIV/0!</v>
      </c>
      <c r="AJ1279" s="1098" t="e">
        <f>IF($D$1212="",0,$D1279*Table3[[#This Row],[CF]]*chronic_consumption!$AE79/1000/$C$3)</f>
        <v>#DIV/0!</v>
      </c>
      <c r="AK1279" s="1098" t="e">
        <f>IF($D$1212="",0,$D1279*Table3[[#This Row],[CF]]*chronic_consumption!$AF79/1000/$C$3)</f>
        <v>#DIV/0!</v>
      </c>
      <c r="AL1279" s="1098" t="e">
        <f>IF($D$1212="",0,$D1279*Table3[[#This Row],[CF]]*chronic_consumption!$AG79/1000/$C$3)</f>
        <v>#DIV/0!</v>
      </c>
      <c r="AM1279" s="1098" t="e">
        <f>IF($D$1212="",0,$D1279*Table3[[#This Row],[CF]]*chronic_consumption!$AH79/1000/$C$3)</f>
        <v>#DIV/0!</v>
      </c>
      <c r="AN1279" s="1098" t="e">
        <f>IF($D$1212="",0,$D1279*Table3[[#This Row],[CF]]*chronic_consumption!$AI79/1000/$C$3)</f>
        <v>#DIV/0!</v>
      </c>
      <c r="AO1279" s="1098" t="e">
        <f>IF($D$1212="",0,$D1279*Table3[[#This Row],[CF]]*chronic_consumption!$AJ79/1000/$C$3)</f>
        <v>#DIV/0!</v>
      </c>
      <c r="AP1279" s="1098" t="e">
        <f>IF($D$1212="",0,$D1279*Table3[[#This Row],[CF]]*chronic_consumption!$AK79/1000/$C$3)</f>
        <v>#DIV/0!</v>
      </c>
      <c r="AQ1279" s="1098" t="e">
        <f>IF($D$1212="",0,$D1279*Table3[[#This Row],[CF]]*chronic_consumption!$AL79/1000/$C$3)</f>
        <v>#DIV/0!</v>
      </c>
      <c r="AR1279" s="1098" t="e">
        <f>IF($D$1212="",0,$D1279*Table3[[#This Row],[CF]]*chronic_consumption!$AM79/1000/$C$3)</f>
        <v>#DIV/0!</v>
      </c>
      <c r="AS1279" s="1098" t="e">
        <f>IF($D$1212="",0,$D1279*Table3[[#This Row],[CF]]*chronic_consumption!$AN79/1000/$C$3)</f>
        <v>#DIV/0!</v>
      </c>
      <c r="AT1279" s="1098" t="e">
        <f>IF($D$1212="",0,$D1279*Table3[[#This Row],[CF]]*chronic_consumption!$AO79/1000/$C$3)</f>
        <v>#DIV/0!</v>
      </c>
      <c r="AU1279" s="1099" t="e">
        <f t="shared" si="841"/>
        <v>#DIV/0!</v>
      </c>
      <c r="AV1279" s="1099" t="e">
        <f t="shared" si="841"/>
        <v>#DIV/0!</v>
      </c>
      <c r="AW1279" s="1099" t="e">
        <f t="shared" si="841"/>
        <v>#DIV/0!</v>
      </c>
      <c r="AX1279" s="1099" t="e">
        <f t="shared" si="841"/>
        <v>#DIV/0!</v>
      </c>
      <c r="AY1279" s="1099" t="e">
        <f t="shared" si="841"/>
        <v>#DIV/0!</v>
      </c>
      <c r="AZ1279" s="1091" t="s">
        <v>1012</v>
      </c>
      <c r="BA1279" s="1097" t="e">
        <f>IF(Table3[[#This Row],[max]]&lt;&gt;0,RANK(Table3[[#This Row],[max]],Table3[max],0),"")</f>
        <v>#DIV/0!</v>
      </c>
      <c r="BB1279" s="1096" t="e">
        <f t="shared" si="842"/>
        <v>#DIV/0!</v>
      </c>
      <c r="BC1279" s="1096" t="e">
        <f t="shared" ca="1" si="843"/>
        <v>#DIV/0!</v>
      </c>
      <c r="BD1279" s="1096" t="e">
        <f>IF(Table3[[#This Row],[max]]&gt;0,Table3[[#This Row],[Crop groups and examples of individual products within the groups to which the MRLs apply]],"")</f>
        <v>#DIV/0!</v>
      </c>
    </row>
    <row r="1280" spans="2:56" x14ac:dyDescent="0.2">
      <c r="B1280" s="23">
        <f t="shared" si="840"/>
        <v>162040</v>
      </c>
      <c r="C1280" s="23" t="str">
        <f t="shared" si="840"/>
        <v>Prickly pears/cactus fruits</v>
      </c>
      <c r="D1280" s="1084">
        <f>input_values!E80</f>
        <v>0</v>
      </c>
      <c r="E1280" s="1084">
        <f>input_values!F80</f>
        <v>0</v>
      </c>
      <c r="F1280" s="1085">
        <f>input_values!W80</f>
        <v>1</v>
      </c>
      <c r="G1280" s="1085" t="str">
        <f>IF(Table3[[#This Row],[CF]]&gt;0,CONCATENATE(IF(Table3[[#This Row],[LOQ]]="*","LOQ","MRL"),IF(input_values!G80&gt;0,"×CFrisk","")),"")</f>
        <v>MRL</v>
      </c>
      <c r="H1280" s="1087">
        <f>input_values!L80</f>
        <v>0</v>
      </c>
      <c r="I1280" s="1088">
        <f>input_values!D80</f>
        <v>0</v>
      </c>
      <c r="J1280" s="1098" t="e">
        <f>IF($D$1212="",0,$D1280*Table3[[#This Row],[CF]]*chronic_consumption!$E80/1000/$C$3)</f>
        <v>#DIV/0!</v>
      </c>
      <c r="K1280" s="1098" t="e">
        <f>IF($D$1212="",0,$D1280*Table3[[#This Row],[CF]]*chronic_consumption!$F80/1000/$C$3)</f>
        <v>#DIV/0!</v>
      </c>
      <c r="L1280" s="1098" t="e">
        <f>IF($D$1212="",0,$D1280*Table3[[#This Row],[CF]]*chronic_consumption!$G80/1000/$C$3)</f>
        <v>#DIV/0!</v>
      </c>
      <c r="M1280" s="1098" t="e">
        <f>IF($D$1212="",0,$D1280*Table3[[#This Row],[CF]]*chronic_consumption!$H80/1000/$C$3)</f>
        <v>#DIV/0!</v>
      </c>
      <c r="N1280" s="1098" t="e">
        <f>IF($D$1212="",0,$D1280*Table3[[#This Row],[CF]]*chronic_consumption!$I80/1000/$C$3)</f>
        <v>#DIV/0!</v>
      </c>
      <c r="O1280" s="1098" t="e">
        <f>IF($D$1212="",0,$D1280*Table3[[#This Row],[CF]]*chronic_consumption!$J80/1000/$C$3)</f>
        <v>#DIV/0!</v>
      </c>
      <c r="P1280" s="1098" t="e">
        <f>IF($D$1212="",0,$D1280*Table3[[#This Row],[CF]]*chronic_consumption!$K80/1000/$C$3)</f>
        <v>#DIV/0!</v>
      </c>
      <c r="Q1280" s="1098" t="e">
        <f>IF($D$1212="",0,$D1280*Table3[[#This Row],[CF]]*chronic_consumption!$L80/1000/$C$3)</f>
        <v>#DIV/0!</v>
      </c>
      <c r="R1280" s="1098" t="e">
        <f>IF($D$1212="",0,$D1280*Table3[[#This Row],[CF]]*chronic_consumption!$M80/1000/$C$3)</f>
        <v>#DIV/0!</v>
      </c>
      <c r="S1280" s="1098" t="e">
        <f>IF($D$1212="",0,$D1280*Table3[[#This Row],[CF]]*chronic_consumption!$N80/1000/$C$3)</f>
        <v>#DIV/0!</v>
      </c>
      <c r="T1280" s="1098" t="e">
        <f>IF($D$1212="",0,$D1280*Table3[[#This Row],[CF]]*chronic_consumption!$O80/1000/$C$3)</f>
        <v>#DIV/0!</v>
      </c>
      <c r="U1280" s="1098" t="e">
        <f>IF($D$1212="",0,$D1280*Table3[[#This Row],[CF]]*chronic_consumption!$P80/1000/$C$3)</f>
        <v>#DIV/0!</v>
      </c>
      <c r="V1280" s="1098" t="e">
        <f>IF($D$1212="",0,$D1280*Table3[[#This Row],[CF]]*chronic_consumption!$Q80/1000/$C$3)</f>
        <v>#DIV/0!</v>
      </c>
      <c r="W1280" s="1098" t="e">
        <f>IF($D$1212="",0,$D1280*Table3[[#This Row],[CF]]*chronic_consumption!$R80/1000/$C$3)</f>
        <v>#DIV/0!</v>
      </c>
      <c r="X1280" s="1098" t="e">
        <f>IF($D$1212="",0,$D1280*Table3[[#This Row],[CF]]*chronic_consumption!$S80/1000/$C$3)</f>
        <v>#DIV/0!</v>
      </c>
      <c r="Y1280" s="1098" t="e">
        <f>IF($D$1212="",0,$D1280*Table3[[#This Row],[CF]]*chronic_consumption!$T80/1000/$C$3)</f>
        <v>#DIV/0!</v>
      </c>
      <c r="Z1280" s="1098" t="e">
        <f>IF($D$1212="",0,$D1280*Table3[[#This Row],[CF]]*chronic_consumption!$U80/1000/$C$3)</f>
        <v>#DIV/0!</v>
      </c>
      <c r="AA1280" s="1098" t="e">
        <f>IF($D$1212="",0,$D1280*Table3[[#This Row],[CF]]*chronic_consumption!$V80/1000/$C$3)</f>
        <v>#DIV/0!</v>
      </c>
      <c r="AB1280" s="1098" t="e">
        <f>IF($D$1212="",0,$D1280*Table3[[#This Row],[CF]]*chronic_consumption!$W80/1000/$C$3)</f>
        <v>#DIV/0!</v>
      </c>
      <c r="AC1280" s="1098" t="e">
        <f>IF($D$1212="",0,$D1280*Table3[[#This Row],[CF]]*chronic_consumption!$X80/1000/$C$3)</f>
        <v>#DIV/0!</v>
      </c>
      <c r="AD1280" s="1098" t="e">
        <f>IF($D$1212="",0,$D1280*Table3[[#This Row],[CF]]*chronic_consumption!$Y80/1000/$C$3)</f>
        <v>#DIV/0!</v>
      </c>
      <c r="AE1280" s="1098" t="e">
        <f>IF($D$1212="",0,$D1280*Table3[[#This Row],[CF]]*chronic_consumption!$Z80/1000/$C$3)</f>
        <v>#DIV/0!</v>
      </c>
      <c r="AF1280" s="1098" t="e">
        <f>IF($D$1212="",0,$D1280*Table3[[#This Row],[CF]]*chronic_consumption!$AA80/1000/$C$3)</f>
        <v>#DIV/0!</v>
      </c>
      <c r="AG1280" s="1098" t="e">
        <f>IF($D$1212="",0,$D1280*Table3[[#This Row],[CF]]*chronic_consumption!$AB80/1000/$C$3)</f>
        <v>#DIV/0!</v>
      </c>
      <c r="AH1280" s="1098" t="e">
        <f>IF($D$1212="",0,$D1280*Table3[[#This Row],[CF]]*chronic_consumption!$AC80/1000/$C$3)</f>
        <v>#DIV/0!</v>
      </c>
      <c r="AI1280" s="1098" t="e">
        <f>IF($D$1212="",0,$D1280*Table3[[#This Row],[CF]]*chronic_consumption!$AD80/1000/$C$3)</f>
        <v>#DIV/0!</v>
      </c>
      <c r="AJ1280" s="1098" t="e">
        <f>IF($D$1212="",0,$D1280*Table3[[#This Row],[CF]]*chronic_consumption!$AE80/1000/$C$3)</f>
        <v>#DIV/0!</v>
      </c>
      <c r="AK1280" s="1098" t="e">
        <f>IF($D$1212="",0,$D1280*Table3[[#This Row],[CF]]*chronic_consumption!$AF80/1000/$C$3)</f>
        <v>#DIV/0!</v>
      </c>
      <c r="AL1280" s="1098" t="e">
        <f>IF($D$1212="",0,$D1280*Table3[[#This Row],[CF]]*chronic_consumption!$AG80/1000/$C$3)</f>
        <v>#DIV/0!</v>
      </c>
      <c r="AM1280" s="1098" t="e">
        <f>IF($D$1212="",0,$D1280*Table3[[#This Row],[CF]]*chronic_consumption!$AH80/1000/$C$3)</f>
        <v>#DIV/0!</v>
      </c>
      <c r="AN1280" s="1098" t="e">
        <f>IF($D$1212="",0,$D1280*Table3[[#This Row],[CF]]*chronic_consumption!$AI80/1000/$C$3)</f>
        <v>#DIV/0!</v>
      </c>
      <c r="AO1280" s="1098" t="e">
        <f>IF($D$1212="",0,$D1280*Table3[[#This Row],[CF]]*chronic_consumption!$AJ80/1000/$C$3)</f>
        <v>#DIV/0!</v>
      </c>
      <c r="AP1280" s="1098" t="e">
        <f>IF($D$1212="",0,$D1280*Table3[[#This Row],[CF]]*chronic_consumption!$AK80/1000/$C$3)</f>
        <v>#DIV/0!</v>
      </c>
      <c r="AQ1280" s="1098" t="e">
        <f>IF($D$1212="",0,$D1280*Table3[[#This Row],[CF]]*chronic_consumption!$AL80/1000/$C$3)</f>
        <v>#DIV/0!</v>
      </c>
      <c r="AR1280" s="1098" t="e">
        <f>IF($D$1212="",0,$D1280*Table3[[#This Row],[CF]]*chronic_consumption!$AM80/1000/$C$3)</f>
        <v>#DIV/0!</v>
      </c>
      <c r="AS1280" s="1098" t="e">
        <f>IF($D$1212="",0,$D1280*Table3[[#This Row],[CF]]*chronic_consumption!$AN80/1000/$C$3)</f>
        <v>#DIV/0!</v>
      </c>
      <c r="AT1280" s="1098" t="e">
        <f>IF($D$1212="",0,$D1280*Table3[[#This Row],[CF]]*chronic_consumption!$AO80/1000/$C$3)</f>
        <v>#DIV/0!</v>
      </c>
      <c r="AU1280" s="1099" t="e">
        <f t="shared" si="841"/>
        <v>#DIV/0!</v>
      </c>
      <c r="AV1280" s="1099" t="e">
        <f t="shared" si="841"/>
        <v>#DIV/0!</v>
      </c>
      <c r="AW1280" s="1099" t="e">
        <f t="shared" si="841"/>
        <v>#DIV/0!</v>
      </c>
      <c r="AX1280" s="1099" t="e">
        <f t="shared" si="841"/>
        <v>#DIV/0!</v>
      </c>
      <c r="AY1280" s="1099" t="e">
        <f t="shared" si="841"/>
        <v>#DIV/0!</v>
      </c>
      <c r="AZ1280" s="1091" t="s">
        <v>1012</v>
      </c>
      <c r="BA1280" s="1097" t="e">
        <f>IF(Table3[[#This Row],[max]]&lt;&gt;0,RANK(Table3[[#This Row],[max]],Table3[max],0),"")</f>
        <v>#DIV/0!</v>
      </c>
      <c r="BB1280" s="1096" t="e">
        <f t="shared" si="842"/>
        <v>#DIV/0!</v>
      </c>
      <c r="BC1280" s="1096" t="e">
        <f t="shared" ca="1" si="843"/>
        <v>#DIV/0!</v>
      </c>
      <c r="BD1280" s="1096" t="e">
        <f>IF(Table3[[#This Row],[max]]&gt;0,Table3[[#This Row],[Crop groups and examples of individual products within the groups to which the MRLs apply]],"")</f>
        <v>#DIV/0!</v>
      </c>
    </row>
    <row r="1281" spans="2:56" x14ac:dyDescent="0.2">
      <c r="B1281" s="23">
        <f t="shared" si="840"/>
        <v>162050</v>
      </c>
      <c r="C1281" s="23" t="str">
        <f t="shared" si="840"/>
        <v>Star apples/cainitos</v>
      </c>
      <c r="D1281" s="1084">
        <f>input_values!E81</f>
        <v>0</v>
      </c>
      <c r="E1281" s="1084">
        <f>input_values!F81</f>
        <v>0</v>
      </c>
      <c r="F1281" s="1085">
        <f>input_values!W81</f>
        <v>1</v>
      </c>
      <c r="G1281" s="1085" t="str">
        <f>IF(Table3[[#This Row],[CF]]&gt;0,CONCATENATE(IF(Table3[[#This Row],[LOQ]]="*","LOQ","MRL"),IF(input_values!G81&gt;0,"×CFrisk","")),"")</f>
        <v>MRL</v>
      </c>
      <c r="H1281" s="1087">
        <f>input_values!L81</f>
        <v>0</v>
      </c>
      <c r="I1281" s="1088">
        <f>input_values!D81</f>
        <v>0</v>
      </c>
      <c r="J1281" s="1098" t="e">
        <f>IF($D$1212="",0,$D1281*Table3[[#This Row],[CF]]*chronic_consumption!$E81/1000/$C$3)</f>
        <v>#DIV/0!</v>
      </c>
      <c r="K1281" s="1098" t="e">
        <f>IF($D$1212="",0,$D1281*Table3[[#This Row],[CF]]*chronic_consumption!$F81/1000/$C$3)</f>
        <v>#DIV/0!</v>
      </c>
      <c r="L1281" s="1098" t="e">
        <f>IF($D$1212="",0,$D1281*Table3[[#This Row],[CF]]*chronic_consumption!$G81/1000/$C$3)</f>
        <v>#DIV/0!</v>
      </c>
      <c r="M1281" s="1098" t="e">
        <f>IF($D$1212="",0,$D1281*Table3[[#This Row],[CF]]*chronic_consumption!$H81/1000/$C$3)</f>
        <v>#DIV/0!</v>
      </c>
      <c r="N1281" s="1098" t="e">
        <f>IF($D$1212="",0,$D1281*Table3[[#This Row],[CF]]*chronic_consumption!$I81/1000/$C$3)</f>
        <v>#DIV/0!</v>
      </c>
      <c r="O1281" s="1098" t="e">
        <f>IF($D$1212="",0,$D1281*Table3[[#This Row],[CF]]*chronic_consumption!$J81/1000/$C$3)</f>
        <v>#DIV/0!</v>
      </c>
      <c r="P1281" s="1098" t="e">
        <f>IF($D$1212="",0,$D1281*Table3[[#This Row],[CF]]*chronic_consumption!$K81/1000/$C$3)</f>
        <v>#DIV/0!</v>
      </c>
      <c r="Q1281" s="1098" t="e">
        <f>IF($D$1212="",0,$D1281*Table3[[#This Row],[CF]]*chronic_consumption!$L81/1000/$C$3)</f>
        <v>#DIV/0!</v>
      </c>
      <c r="R1281" s="1098" t="e">
        <f>IF($D$1212="",0,$D1281*Table3[[#This Row],[CF]]*chronic_consumption!$M81/1000/$C$3)</f>
        <v>#DIV/0!</v>
      </c>
      <c r="S1281" s="1098" t="e">
        <f>IF($D$1212="",0,$D1281*Table3[[#This Row],[CF]]*chronic_consumption!$N81/1000/$C$3)</f>
        <v>#DIV/0!</v>
      </c>
      <c r="T1281" s="1098" t="e">
        <f>IF($D$1212="",0,$D1281*Table3[[#This Row],[CF]]*chronic_consumption!$O81/1000/$C$3)</f>
        <v>#DIV/0!</v>
      </c>
      <c r="U1281" s="1098" t="e">
        <f>IF($D$1212="",0,$D1281*Table3[[#This Row],[CF]]*chronic_consumption!$P81/1000/$C$3)</f>
        <v>#DIV/0!</v>
      </c>
      <c r="V1281" s="1098" t="e">
        <f>IF($D$1212="",0,$D1281*Table3[[#This Row],[CF]]*chronic_consumption!$Q81/1000/$C$3)</f>
        <v>#DIV/0!</v>
      </c>
      <c r="W1281" s="1098" t="e">
        <f>IF($D$1212="",0,$D1281*Table3[[#This Row],[CF]]*chronic_consumption!$R81/1000/$C$3)</f>
        <v>#DIV/0!</v>
      </c>
      <c r="X1281" s="1098" t="e">
        <f>IF($D$1212="",0,$D1281*Table3[[#This Row],[CF]]*chronic_consumption!$S81/1000/$C$3)</f>
        <v>#DIV/0!</v>
      </c>
      <c r="Y1281" s="1098" t="e">
        <f>IF($D$1212="",0,$D1281*Table3[[#This Row],[CF]]*chronic_consumption!$T81/1000/$C$3)</f>
        <v>#DIV/0!</v>
      </c>
      <c r="Z1281" s="1098" t="e">
        <f>IF($D$1212="",0,$D1281*Table3[[#This Row],[CF]]*chronic_consumption!$U81/1000/$C$3)</f>
        <v>#DIV/0!</v>
      </c>
      <c r="AA1281" s="1098" t="e">
        <f>IF($D$1212="",0,$D1281*Table3[[#This Row],[CF]]*chronic_consumption!$V81/1000/$C$3)</f>
        <v>#DIV/0!</v>
      </c>
      <c r="AB1281" s="1098" t="e">
        <f>IF($D$1212="",0,$D1281*Table3[[#This Row],[CF]]*chronic_consumption!$W81/1000/$C$3)</f>
        <v>#DIV/0!</v>
      </c>
      <c r="AC1281" s="1098" t="e">
        <f>IF($D$1212="",0,$D1281*Table3[[#This Row],[CF]]*chronic_consumption!$X81/1000/$C$3)</f>
        <v>#DIV/0!</v>
      </c>
      <c r="AD1281" s="1098" t="e">
        <f>IF($D$1212="",0,$D1281*Table3[[#This Row],[CF]]*chronic_consumption!$Y81/1000/$C$3)</f>
        <v>#DIV/0!</v>
      </c>
      <c r="AE1281" s="1098" t="e">
        <f>IF($D$1212="",0,$D1281*Table3[[#This Row],[CF]]*chronic_consumption!$Z81/1000/$C$3)</f>
        <v>#DIV/0!</v>
      </c>
      <c r="AF1281" s="1098" t="e">
        <f>IF($D$1212="",0,$D1281*Table3[[#This Row],[CF]]*chronic_consumption!$AA81/1000/$C$3)</f>
        <v>#DIV/0!</v>
      </c>
      <c r="AG1281" s="1098" t="e">
        <f>IF($D$1212="",0,$D1281*Table3[[#This Row],[CF]]*chronic_consumption!$AB81/1000/$C$3)</f>
        <v>#DIV/0!</v>
      </c>
      <c r="AH1281" s="1098" t="e">
        <f>IF($D$1212="",0,$D1281*Table3[[#This Row],[CF]]*chronic_consumption!$AC81/1000/$C$3)</f>
        <v>#DIV/0!</v>
      </c>
      <c r="AI1281" s="1098" t="e">
        <f>IF($D$1212="",0,$D1281*Table3[[#This Row],[CF]]*chronic_consumption!$AD81/1000/$C$3)</f>
        <v>#DIV/0!</v>
      </c>
      <c r="AJ1281" s="1098" t="e">
        <f>IF($D$1212="",0,$D1281*Table3[[#This Row],[CF]]*chronic_consumption!$AE81/1000/$C$3)</f>
        <v>#DIV/0!</v>
      </c>
      <c r="AK1281" s="1098" t="e">
        <f>IF($D$1212="",0,$D1281*Table3[[#This Row],[CF]]*chronic_consumption!$AF81/1000/$C$3)</f>
        <v>#DIV/0!</v>
      </c>
      <c r="AL1281" s="1098" t="e">
        <f>IF($D$1212="",0,$D1281*Table3[[#This Row],[CF]]*chronic_consumption!$AG81/1000/$C$3)</f>
        <v>#DIV/0!</v>
      </c>
      <c r="AM1281" s="1098" t="e">
        <f>IF($D$1212="",0,$D1281*Table3[[#This Row],[CF]]*chronic_consumption!$AH81/1000/$C$3)</f>
        <v>#DIV/0!</v>
      </c>
      <c r="AN1281" s="1098" t="e">
        <f>IF($D$1212="",0,$D1281*Table3[[#This Row],[CF]]*chronic_consumption!$AI81/1000/$C$3)</f>
        <v>#DIV/0!</v>
      </c>
      <c r="AO1281" s="1098" t="e">
        <f>IF($D$1212="",0,$D1281*Table3[[#This Row],[CF]]*chronic_consumption!$AJ81/1000/$C$3)</f>
        <v>#DIV/0!</v>
      </c>
      <c r="AP1281" s="1098" t="e">
        <f>IF($D$1212="",0,$D1281*Table3[[#This Row],[CF]]*chronic_consumption!$AK81/1000/$C$3)</f>
        <v>#DIV/0!</v>
      </c>
      <c r="AQ1281" s="1098" t="e">
        <f>IF($D$1212="",0,$D1281*Table3[[#This Row],[CF]]*chronic_consumption!$AL81/1000/$C$3)</f>
        <v>#DIV/0!</v>
      </c>
      <c r="AR1281" s="1098" t="e">
        <f>IF($D$1212="",0,$D1281*Table3[[#This Row],[CF]]*chronic_consumption!$AM81/1000/$C$3)</f>
        <v>#DIV/0!</v>
      </c>
      <c r="AS1281" s="1098" t="e">
        <f>IF($D$1212="",0,$D1281*Table3[[#This Row],[CF]]*chronic_consumption!$AN81/1000/$C$3)</f>
        <v>#DIV/0!</v>
      </c>
      <c r="AT1281" s="1098" t="e">
        <f>IF($D$1212="",0,$D1281*Table3[[#This Row],[CF]]*chronic_consumption!$AO81/1000/$C$3)</f>
        <v>#DIV/0!</v>
      </c>
      <c r="AU1281" s="1099" t="e">
        <f t="shared" si="841"/>
        <v>#DIV/0!</v>
      </c>
      <c r="AV1281" s="1099" t="e">
        <f t="shared" si="841"/>
        <v>#DIV/0!</v>
      </c>
      <c r="AW1281" s="1099" t="e">
        <f t="shared" si="841"/>
        <v>#DIV/0!</v>
      </c>
      <c r="AX1281" s="1099" t="e">
        <f t="shared" si="841"/>
        <v>#DIV/0!</v>
      </c>
      <c r="AY1281" s="1099" t="e">
        <f t="shared" si="841"/>
        <v>#DIV/0!</v>
      </c>
      <c r="AZ1281" s="1091" t="s">
        <v>1012</v>
      </c>
      <c r="BA1281" s="1097" t="e">
        <f>IF(Table3[[#This Row],[max]]&lt;&gt;0,RANK(Table3[[#This Row],[max]],Table3[max],0),"")</f>
        <v>#DIV/0!</v>
      </c>
      <c r="BB1281" s="1096" t="e">
        <f t="shared" si="842"/>
        <v>#DIV/0!</v>
      </c>
      <c r="BC1281" s="1096" t="e">
        <f t="shared" ca="1" si="843"/>
        <v>#DIV/0!</v>
      </c>
      <c r="BD1281" s="1096" t="e">
        <f>IF(Table3[[#This Row],[max]]&gt;0,Table3[[#This Row],[Crop groups and examples of individual products within the groups to which the MRLs apply]],"")</f>
        <v>#DIV/0!</v>
      </c>
    </row>
    <row r="1282" spans="2:56" x14ac:dyDescent="0.2">
      <c r="B1282" s="23">
        <f t="shared" si="840"/>
        <v>162060</v>
      </c>
      <c r="C1282" s="23" t="str">
        <f t="shared" si="840"/>
        <v>American persimmon/Virginia kaki</v>
      </c>
      <c r="D1282" s="1084">
        <f>input_values!E82</f>
        <v>0</v>
      </c>
      <c r="E1282" s="1084">
        <f>input_values!F82</f>
        <v>0</v>
      </c>
      <c r="F1282" s="1085">
        <f>input_values!W82</f>
        <v>1</v>
      </c>
      <c r="G1282" s="1085" t="str">
        <f>IF(Table3[[#This Row],[CF]]&gt;0,CONCATENATE(IF(Table3[[#This Row],[LOQ]]="*","LOQ","MRL"),IF(input_values!G82&gt;0,"×CFrisk","")),"")</f>
        <v>MRL</v>
      </c>
      <c r="H1282" s="1087">
        <f>input_values!L82</f>
        <v>0</v>
      </c>
      <c r="I1282" s="1088">
        <f>input_values!D82</f>
        <v>0</v>
      </c>
      <c r="J1282" s="1098" t="e">
        <f>IF($D$1212="",0,$D1282*Table3[[#This Row],[CF]]*chronic_consumption!$E82/1000/$C$3)</f>
        <v>#DIV/0!</v>
      </c>
      <c r="K1282" s="1098" t="e">
        <f>IF($D$1212="",0,$D1282*Table3[[#This Row],[CF]]*chronic_consumption!$F82/1000/$C$3)</f>
        <v>#DIV/0!</v>
      </c>
      <c r="L1282" s="1098" t="e">
        <f>IF($D$1212="",0,$D1282*Table3[[#This Row],[CF]]*chronic_consumption!$G82/1000/$C$3)</f>
        <v>#DIV/0!</v>
      </c>
      <c r="M1282" s="1098" t="e">
        <f>IF($D$1212="",0,$D1282*Table3[[#This Row],[CF]]*chronic_consumption!$H82/1000/$C$3)</f>
        <v>#DIV/0!</v>
      </c>
      <c r="N1282" s="1098" t="e">
        <f>IF($D$1212="",0,$D1282*Table3[[#This Row],[CF]]*chronic_consumption!$I82/1000/$C$3)</f>
        <v>#DIV/0!</v>
      </c>
      <c r="O1282" s="1098" t="e">
        <f>IF($D$1212="",0,$D1282*Table3[[#This Row],[CF]]*chronic_consumption!$J82/1000/$C$3)</f>
        <v>#DIV/0!</v>
      </c>
      <c r="P1282" s="1098" t="e">
        <f>IF($D$1212="",0,$D1282*Table3[[#This Row],[CF]]*chronic_consumption!$K82/1000/$C$3)</f>
        <v>#DIV/0!</v>
      </c>
      <c r="Q1282" s="1098" t="e">
        <f>IF($D$1212="",0,$D1282*Table3[[#This Row],[CF]]*chronic_consumption!$L82/1000/$C$3)</f>
        <v>#DIV/0!</v>
      </c>
      <c r="R1282" s="1098" t="e">
        <f>IF($D$1212="",0,$D1282*Table3[[#This Row],[CF]]*chronic_consumption!$M82/1000/$C$3)</f>
        <v>#DIV/0!</v>
      </c>
      <c r="S1282" s="1098" t="e">
        <f>IF($D$1212="",0,$D1282*Table3[[#This Row],[CF]]*chronic_consumption!$N82/1000/$C$3)</f>
        <v>#DIV/0!</v>
      </c>
      <c r="T1282" s="1098" t="e">
        <f>IF($D$1212="",0,$D1282*Table3[[#This Row],[CF]]*chronic_consumption!$O82/1000/$C$3)</f>
        <v>#DIV/0!</v>
      </c>
      <c r="U1282" s="1098" t="e">
        <f>IF($D$1212="",0,$D1282*Table3[[#This Row],[CF]]*chronic_consumption!$P82/1000/$C$3)</f>
        <v>#DIV/0!</v>
      </c>
      <c r="V1282" s="1098" t="e">
        <f>IF($D$1212="",0,$D1282*Table3[[#This Row],[CF]]*chronic_consumption!$Q82/1000/$C$3)</f>
        <v>#DIV/0!</v>
      </c>
      <c r="W1282" s="1098" t="e">
        <f>IF($D$1212="",0,$D1282*Table3[[#This Row],[CF]]*chronic_consumption!$R82/1000/$C$3)</f>
        <v>#DIV/0!</v>
      </c>
      <c r="X1282" s="1098" t="e">
        <f>IF($D$1212="",0,$D1282*Table3[[#This Row],[CF]]*chronic_consumption!$S82/1000/$C$3)</f>
        <v>#DIV/0!</v>
      </c>
      <c r="Y1282" s="1098" t="e">
        <f>IF($D$1212="",0,$D1282*Table3[[#This Row],[CF]]*chronic_consumption!$T82/1000/$C$3)</f>
        <v>#DIV/0!</v>
      </c>
      <c r="Z1282" s="1098" t="e">
        <f>IF($D$1212="",0,$D1282*Table3[[#This Row],[CF]]*chronic_consumption!$U82/1000/$C$3)</f>
        <v>#DIV/0!</v>
      </c>
      <c r="AA1282" s="1098" t="e">
        <f>IF($D$1212="",0,$D1282*Table3[[#This Row],[CF]]*chronic_consumption!$V82/1000/$C$3)</f>
        <v>#DIV/0!</v>
      </c>
      <c r="AB1282" s="1098" t="e">
        <f>IF($D$1212="",0,$D1282*Table3[[#This Row],[CF]]*chronic_consumption!$W82/1000/$C$3)</f>
        <v>#DIV/0!</v>
      </c>
      <c r="AC1282" s="1098" t="e">
        <f>IF($D$1212="",0,$D1282*Table3[[#This Row],[CF]]*chronic_consumption!$X82/1000/$C$3)</f>
        <v>#DIV/0!</v>
      </c>
      <c r="AD1282" s="1098" t="e">
        <f>IF($D$1212="",0,$D1282*Table3[[#This Row],[CF]]*chronic_consumption!$Y82/1000/$C$3)</f>
        <v>#DIV/0!</v>
      </c>
      <c r="AE1282" s="1098" t="e">
        <f>IF($D$1212="",0,$D1282*Table3[[#This Row],[CF]]*chronic_consumption!$Z82/1000/$C$3)</f>
        <v>#DIV/0!</v>
      </c>
      <c r="AF1282" s="1098" t="e">
        <f>IF($D$1212="",0,$D1282*Table3[[#This Row],[CF]]*chronic_consumption!$AA82/1000/$C$3)</f>
        <v>#DIV/0!</v>
      </c>
      <c r="AG1282" s="1098" t="e">
        <f>IF($D$1212="",0,$D1282*Table3[[#This Row],[CF]]*chronic_consumption!$AB82/1000/$C$3)</f>
        <v>#DIV/0!</v>
      </c>
      <c r="AH1282" s="1098" t="e">
        <f>IF($D$1212="",0,$D1282*Table3[[#This Row],[CF]]*chronic_consumption!$AC82/1000/$C$3)</f>
        <v>#DIV/0!</v>
      </c>
      <c r="AI1282" s="1098" t="e">
        <f>IF($D$1212="",0,$D1282*Table3[[#This Row],[CF]]*chronic_consumption!$AD82/1000/$C$3)</f>
        <v>#DIV/0!</v>
      </c>
      <c r="AJ1282" s="1098" t="e">
        <f>IF($D$1212="",0,$D1282*Table3[[#This Row],[CF]]*chronic_consumption!$AE82/1000/$C$3)</f>
        <v>#DIV/0!</v>
      </c>
      <c r="AK1282" s="1098" t="e">
        <f>IF($D$1212="",0,$D1282*Table3[[#This Row],[CF]]*chronic_consumption!$AF82/1000/$C$3)</f>
        <v>#DIV/0!</v>
      </c>
      <c r="AL1282" s="1098" t="e">
        <f>IF($D$1212="",0,$D1282*Table3[[#This Row],[CF]]*chronic_consumption!$AG82/1000/$C$3)</f>
        <v>#DIV/0!</v>
      </c>
      <c r="AM1282" s="1098" t="e">
        <f>IF($D$1212="",0,$D1282*Table3[[#This Row],[CF]]*chronic_consumption!$AH82/1000/$C$3)</f>
        <v>#DIV/0!</v>
      </c>
      <c r="AN1282" s="1098" t="e">
        <f>IF($D$1212="",0,$D1282*Table3[[#This Row],[CF]]*chronic_consumption!$AI82/1000/$C$3)</f>
        <v>#DIV/0!</v>
      </c>
      <c r="AO1282" s="1098" t="e">
        <f>IF($D$1212="",0,$D1282*Table3[[#This Row],[CF]]*chronic_consumption!$AJ82/1000/$C$3)</f>
        <v>#DIV/0!</v>
      </c>
      <c r="AP1282" s="1098" t="e">
        <f>IF($D$1212="",0,$D1282*Table3[[#This Row],[CF]]*chronic_consumption!$AK82/1000/$C$3)</f>
        <v>#DIV/0!</v>
      </c>
      <c r="AQ1282" s="1098" t="e">
        <f>IF($D$1212="",0,$D1282*Table3[[#This Row],[CF]]*chronic_consumption!$AL82/1000/$C$3)</f>
        <v>#DIV/0!</v>
      </c>
      <c r="AR1282" s="1098" t="e">
        <f>IF($D$1212="",0,$D1282*Table3[[#This Row],[CF]]*chronic_consumption!$AM82/1000/$C$3)</f>
        <v>#DIV/0!</v>
      </c>
      <c r="AS1282" s="1098" t="e">
        <f>IF($D$1212="",0,$D1282*Table3[[#This Row],[CF]]*chronic_consumption!$AN82/1000/$C$3)</f>
        <v>#DIV/0!</v>
      </c>
      <c r="AT1282" s="1098" t="e">
        <f>IF($D$1212="",0,$D1282*Table3[[#This Row],[CF]]*chronic_consumption!$AO82/1000/$C$3)</f>
        <v>#DIV/0!</v>
      </c>
      <c r="AU1282" s="1099" t="e">
        <f t="shared" ref="AU1282:AY1291" si="844">IF(AU482="",0,IF(OR(1=RANK(AU882,AU$412:AU$790,0),(2=RANK(AU882,AU$412:AU$790,0))),AU882,AU482))</f>
        <v>#DIV/0!</v>
      </c>
      <c r="AV1282" s="1099" t="e">
        <f t="shared" si="844"/>
        <v>#DIV/0!</v>
      </c>
      <c r="AW1282" s="1099" t="e">
        <f t="shared" si="844"/>
        <v>#DIV/0!</v>
      </c>
      <c r="AX1282" s="1099" t="e">
        <f t="shared" si="844"/>
        <v>#DIV/0!</v>
      </c>
      <c r="AY1282" s="1099" t="e">
        <f t="shared" si="844"/>
        <v>#DIV/0!</v>
      </c>
      <c r="AZ1282" s="1091" t="s">
        <v>1012</v>
      </c>
      <c r="BA1282" s="1097" t="e">
        <f>IF(Table3[[#This Row],[max]]&lt;&gt;0,RANK(Table3[[#This Row],[max]],Table3[max],0),"")</f>
        <v>#DIV/0!</v>
      </c>
      <c r="BB1282" s="1096" t="e">
        <f t="shared" si="842"/>
        <v>#DIV/0!</v>
      </c>
      <c r="BC1282" s="1096" t="e">
        <f t="shared" ca="1" si="843"/>
        <v>#DIV/0!</v>
      </c>
      <c r="BD1282" s="1096" t="e">
        <f>IF(Table3[[#This Row],[max]]&gt;0,Table3[[#This Row],[Crop groups and examples of individual products within the groups to which the MRLs apply]],"")</f>
        <v>#DIV/0!</v>
      </c>
    </row>
    <row r="1283" spans="2:56" x14ac:dyDescent="0.2">
      <c r="B1283" s="23">
        <f t="shared" si="840"/>
        <v>162990</v>
      </c>
      <c r="C1283" s="23" t="str">
        <f t="shared" si="840"/>
        <v>Other miscellaneous fruit (inedible peel, small)</v>
      </c>
      <c r="D1283" s="1084">
        <f>input_values!E83</f>
        <v>0</v>
      </c>
      <c r="E1283" s="1084">
        <f>input_values!F83</f>
        <v>0</v>
      </c>
      <c r="F1283" s="1085">
        <f>input_values!W83</f>
        <v>1</v>
      </c>
      <c r="G1283" s="1085" t="str">
        <f>IF(Table3[[#This Row],[CF]]&gt;0,CONCATENATE(IF(Table3[[#This Row],[LOQ]]="*","LOQ","MRL"),IF(input_values!G83&gt;0,"×CFrisk","")),"")</f>
        <v>MRL</v>
      </c>
      <c r="H1283" s="1087">
        <f>input_values!L83</f>
        <v>0</v>
      </c>
      <c r="I1283" s="1088">
        <f>input_values!D83</f>
        <v>0</v>
      </c>
      <c r="J1283" s="1098" t="e">
        <f>IF($D$1212="",0,$D1283*Table3[[#This Row],[CF]]*chronic_consumption!$E83/1000/$C$3)</f>
        <v>#DIV/0!</v>
      </c>
      <c r="K1283" s="1098" t="e">
        <f>IF($D$1212="",0,$D1283*Table3[[#This Row],[CF]]*chronic_consumption!$F83/1000/$C$3)</f>
        <v>#DIV/0!</v>
      </c>
      <c r="L1283" s="1098" t="e">
        <f>IF($D$1212="",0,$D1283*Table3[[#This Row],[CF]]*chronic_consumption!$G83/1000/$C$3)</f>
        <v>#DIV/0!</v>
      </c>
      <c r="M1283" s="1098" t="e">
        <f>IF($D$1212="",0,$D1283*Table3[[#This Row],[CF]]*chronic_consumption!$H83/1000/$C$3)</f>
        <v>#DIV/0!</v>
      </c>
      <c r="N1283" s="1098" t="e">
        <f>IF($D$1212="",0,$D1283*Table3[[#This Row],[CF]]*chronic_consumption!$I83/1000/$C$3)</f>
        <v>#DIV/0!</v>
      </c>
      <c r="O1283" s="1098" t="e">
        <f>IF($D$1212="",0,$D1283*Table3[[#This Row],[CF]]*chronic_consumption!$J83/1000/$C$3)</f>
        <v>#DIV/0!</v>
      </c>
      <c r="P1283" s="1098" t="e">
        <f>IF($D$1212="",0,$D1283*Table3[[#This Row],[CF]]*chronic_consumption!$K83/1000/$C$3)</f>
        <v>#DIV/0!</v>
      </c>
      <c r="Q1283" s="1098" t="e">
        <f>IF($D$1212="",0,$D1283*Table3[[#This Row],[CF]]*chronic_consumption!$L83/1000/$C$3)</f>
        <v>#DIV/0!</v>
      </c>
      <c r="R1283" s="1098" t="e">
        <f>IF($D$1212="",0,$D1283*Table3[[#This Row],[CF]]*chronic_consumption!$M83/1000/$C$3)</f>
        <v>#DIV/0!</v>
      </c>
      <c r="S1283" s="1098" t="e">
        <f>IF($D$1212="",0,$D1283*Table3[[#This Row],[CF]]*chronic_consumption!$N83/1000/$C$3)</f>
        <v>#DIV/0!</v>
      </c>
      <c r="T1283" s="1098" t="e">
        <f>IF($D$1212="",0,$D1283*Table3[[#This Row],[CF]]*chronic_consumption!$O83/1000/$C$3)</f>
        <v>#DIV/0!</v>
      </c>
      <c r="U1283" s="1098" t="e">
        <f>IF($D$1212="",0,$D1283*Table3[[#This Row],[CF]]*chronic_consumption!$P83/1000/$C$3)</f>
        <v>#DIV/0!</v>
      </c>
      <c r="V1283" s="1098" t="e">
        <f>IF($D$1212="",0,$D1283*Table3[[#This Row],[CF]]*chronic_consumption!$Q83/1000/$C$3)</f>
        <v>#DIV/0!</v>
      </c>
      <c r="W1283" s="1098" t="e">
        <f>IF($D$1212="",0,$D1283*Table3[[#This Row],[CF]]*chronic_consumption!$R83/1000/$C$3)</f>
        <v>#DIV/0!</v>
      </c>
      <c r="X1283" s="1098" t="e">
        <f>IF($D$1212="",0,$D1283*Table3[[#This Row],[CF]]*chronic_consumption!$S83/1000/$C$3)</f>
        <v>#DIV/0!</v>
      </c>
      <c r="Y1283" s="1098" t="e">
        <f>IF($D$1212="",0,$D1283*Table3[[#This Row],[CF]]*chronic_consumption!$T83/1000/$C$3)</f>
        <v>#DIV/0!</v>
      </c>
      <c r="Z1283" s="1098" t="e">
        <f>IF($D$1212="",0,$D1283*Table3[[#This Row],[CF]]*chronic_consumption!$U83/1000/$C$3)</f>
        <v>#DIV/0!</v>
      </c>
      <c r="AA1283" s="1098" t="e">
        <f>IF($D$1212="",0,$D1283*Table3[[#This Row],[CF]]*chronic_consumption!$V83/1000/$C$3)</f>
        <v>#DIV/0!</v>
      </c>
      <c r="AB1283" s="1098" t="e">
        <f>IF($D$1212="",0,$D1283*Table3[[#This Row],[CF]]*chronic_consumption!$W83/1000/$C$3)</f>
        <v>#DIV/0!</v>
      </c>
      <c r="AC1283" s="1098" t="e">
        <f>IF($D$1212="",0,$D1283*Table3[[#This Row],[CF]]*chronic_consumption!$X83/1000/$C$3)</f>
        <v>#DIV/0!</v>
      </c>
      <c r="AD1283" s="1098" t="e">
        <f>IF($D$1212="",0,$D1283*Table3[[#This Row],[CF]]*chronic_consumption!$Y83/1000/$C$3)</f>
        <v>#DIV/0!</v>
      </c>
      <c r="AE1283" s="1098" t="e">
        <f>IF($D$1212="",0,$D1283*Table3[[#This Row],[CF]]*chronic_consumption!$Z83/1000/$C$3)</f>
        <v>#DIV/0!</v>
      </c>
      <c r="AF1283" s="1098" t="e">
        <f>IF($D$1212="",0,$D1283*Table3[[#This Row],[CF]]*chronic_consumption!$AA83/1000/$C$3)</f>
        <v>#DIV/0!</v>
      </c>
      <c r="AG1283" s="1098" t="e">
        <f>IF($D$1212="",0,$D1283*Table3[[#This Row],[CF]]*chronic_consumption!$AB83/1000/$C$3)</f>
        <v>#DIV/0!</v>
      </c>
      <c r="AH1283" s="1098" t="e">
        <f>IF($D$1212="",0,$D1283*Table3[[#This Row],[CF]]*chronic_consumption!$AC83/1000/$C$3)</f>
        <v>#DIV/0!</v>
      </c>
      <c r="AI1283" s="1098" t="e">
        <f>IF($D$1212="",0,$D1283*Table3[[#This Row],[CF]]*chronic_consumption!$AD83/1000/$C$3)</f>
        <v>#DIV/0!</v>
      </c>
      <c r="AJ1283" s="1098" t="e">
        <f>IF($D$1212="",0,$D1283*Table3[[#This Row],[CF]]*chronic_consumption!$AE83/1000/$C$3)</f>
        <v>#DIV/0!</v>
      </c>
      <c r="AK1283" s="1098" t="e">
        <f>IF($D$1212="",0,$D1283*Table3[[#This Row],[CF]]*chronic_consumption!$AF83/1000/$C$3)</f>
        <v>#DIV/0!</v>
      </c>
      <c r="AL1283" s="1098" t="e">
        <f>IF($D$1212="",0,$D1283*Table3[[#This Row],[CF]]*chronic_consumption!$AG83/1000/$C$3)</f>
        <v>#DIV/0!</v>
      </c>
      <c r="AM1283" s="1098" t="e">
        <f>IF($D$1212="",0,$D1283*Table3[[#This Row],[CF]]*chronic_consumption!$AH83/1000/$C$3)</f>
        <v>#DIV/0!</v>
      </c>
      <c r="AN1283" s="1098" t="e">
        <f>IF($D$1212="",0,$D1283*Table3[[#This Row],[CF]]*chronic_consumption!$AI83/1000/$C$3)</f>
        <v>#DIV/0!</v>
      </c>
      <c r="AO1283" s="1098" t="e">
        <f>IF($D$1212="",0,$D1283*Table3[[#This Row],[CF]]*chronic_consumption!$AJ83/1000/$C$3)</f>
        <v>#DIV/0!</v>
      </c>
      <c r="AP1283" s="1098" t="e">
        <f>IF($D$1212="",0,$D1283*Table3[[#This Row],[CF]]*chronic_consumption!$AK83/1000/$C$3)</f>
        <v>#DIV/0!</v>
      </c>
      <c r="AQ1283" s="1098" t="e">
        <f>IF($D$1212="",0,$D1283*Table3[[#This Row],[CF]]*chronic_consumption!$AL83/1000/$C$3)</f>
        <v>#DIV/0!</v>
      </c>
      <c r="AR1283" s="1098" t="e">
        <f>IF($D$1212="",0,$D1283*Table3[[#This Row],[CF]]*chronic_consumption!$AM83/1000/$C$3)</f>
        <v>#DIV/0!</v>
      </c>
      <c r="AS1283" s="1098" t="e">
        <f>IF($D$1212="",0,$D1283*Table3[[#This Row],[CF]]*chronic_consumption!$AN83/1000/$C$3)</f>
        <v>#DIV/0!</v>
      </c>
      <c r="AT1283" s="1098" t="e">
        <f>IF($D$1212="",0,$D1283*Table3[[#This Row],[CF]]*chronic_consumption!$AO83/1000/$C$3)</f>
        <v>#DIV/0!</v>
      </c>
      <c r="AU1283" s="1099" t="e">
        <f t="shared" si="844"/>
        <v>#DIV/0!</v>
      </c>
      <c r="AV1283" s="1099" t="e">
        <f t="shared" si="844"/>
        <v>#DIV/0!</v>
      </c>
      <c r="AW1283" s="1099" t="e">
        <f t="shared" si="844"/>
        <v>#DIV/0!</v>
      </c>
      <c r="AX1283" s="1099" t="e">
        <f t="shared" si="844"/>
        <v>#DIV/0!</v>
      </c>
      <c r="AY1283" s="1099" t="e">
        <f t="shared" si="844"/>
        <v>#DIV/0!</v>
      </c>
      <c r="AZ1283" s="1091" t="s">
        <v>1012</v>
      </c>
      <c r="BA1283" s="1097" t="e">
        <f>IF(Table3[[#This Row],[max]]&lt;&gt;0,RANK(Table3[[#This Row],[max]],Table3[max],0),"")</f>
        <v>#DIV/0!</v>
      </c>
      <c r="BB1283" s="1096" t="e">
        <f t="shared" si="842"/>
        <v>#DIV/0!</v>
      </c>
      <c r="BC1283" s="1096" t="e">
        <f t="shared" ca="1" si="843"/>
        <v>#DIV/0!</v>
      </c>
      <c r="BD1283" s="1096" t="e">
        <f>IF(Table3[[#This Row],[max]]&gt;0,Table3[[#This Row],[Crop groups and examples of individual products within the groups to which the MRLs apply]],"")</f>
        <v>#DIV/0!</v>
      </c>
    </row>
    <row r="1284" spans="2:56" ht="24" x14ac:dyDescent="0.2">
      <c r="B1284" s="3">
        <f t="shared" si="840"/>
        <v>163000</v>
      </c>
      <c r="C1284" s="3" t="str">
        <f t="shared" si="840"/>
        <v>Miscellaneous fruit (inedible peel,
large)</v>
      </c>
      <c r="D1284" s="1084">
        <f>input_values!E84</f>
        <v>0</v>
      </c>
      <c r="E1284" s="1084">
        <f>input_values!F84</f>
        <v>0</v>
      </c>
      <c r="F1284" s="1085">
        <f>input_values!W84</f>
        <v>0</v>
      </c>
      <c r="G1284" s="1085" t="str">
        <f>IF(Table3[[#This Row],[CF]]&gt;0,CONCATENATE(IF(Table3[[#This Row],[LOQ]]="*","LOQ","MRL"),IF(input_values!G84&gt;0,"×CFrisk","")),"")</f>
        <v/>
      </c>
      <c r="H1284" s="1087">
        <f>input_values!L84</f>
        <v>0</v>
      </c>
      <c r="I1284" s="1088">
        <f>input_values!D84</f>
        <v>0</v>
      </c>
      <c r="J1284" s="1100" t="e">
        <f>IF($D$1212="",0,$D1284*Table3[[#This Row],[CF]]*chronic_consumption!$E84/1000/$C$3)</f>
        <v>#DIV/0!</v>
      </c>
      <c r="K1284" s="1100" t="e">
        <f>IF($D$1212="",0,$D1284*Table3[[#This Row],[CF]]*chronic_consumption!$F84/1000/$C$3)</f>
        <v>#DIV/0!</v>
      </c>
      <c r="L1284" s="1100" t="e">
        <f>IF($D$1212="",0,$D1284*Table3[[#This Row],[CF]]*chronic_consumption!$G84/1000/$C$3)</f>
        <v>#DIV/0!</v>
      </c>
      <c r="M1284" s="1100" t="e">
        <f>IF($D$1212="",0,$D1284*Table3[[#This Row],[CF]]*chronic_consumption!$H84/1000/$C$3)</f>
        <v>#DIV/0!</v>
      </c>
      <c r="N1284" s="1100" t="e">
        <f>IF($D$1212="",0,$D1284*Table3[[#This Row],[CF]]*chronic_consumption!$I84/1000/$C$3)</f>
        <v>#DIV/0!</v>
      </c>
      <c r="O1284" s="1100" t="e">
        <f>IF($D$1212="",0,$D1284*Table3[[#This Row],[CF]]*chronic_consumption!$J84/1000/$C$3)</f>
        <v>#DIV/0!</v>
      </c>
      <c r="P1284" s="1100" t="e">
        <f>IF($D$1212="",0,$D1284*Table3[[#This Row],[CF]]*chronic_consumption!$K84/1000/$C$3)</f>
        <v>#DIV/0!</v>
      </c>
      <c r="Q1284" s="1100" t="e">
        <f>IF($D$1212="",0,$D1284*Table3[[#This Row],[CF]]*chronic_consumption!$L84/1000/$C$3)</f>
        <v>#DIV/0!</v>
      </c>
      <c r="R1284" s="1100" t="e">
        <f>IF($D$1212="",0,$D1284*Table3[[#This Row],[CF]]*chronic_consumption!$M84/1000/$C$3)</f>
        <v>#DIV/0!</v>
      </c>
      <c r="S1284" s="1100" t="e">
        <f>IF($D$1212="",0,$D1284*Table3[[#This Row],[CF]]*chronic_consumption!$N84/1000/$C$3)</f>
        <v>#DIV/0!</v>
      </c>
      <c r="T1284" s="1100" t="e">
        <f>IF($D$1212="",0,$D1284*Table3[[#This Row],[CF]]*chronic_consumption!$O84/1000/$C$3)</f>
        <v>#DIV/0!</v>
      </c>
      <c r="U1284" s="1100" t="e">
        <f>IF($D$1212="",0,$D1284*Table3[[#This Row],[CF]]*chronic_consumption!$P84/1000/$C$3)</f>
        <v>#DIV/0!</v>
      </c>
      <c r="V1284" s="1100" t="e">
        <f>IF($D$1212="",0,$D1284*Table3[[#This Row],[CF]]*chronic_consumption!$Q84/1000/$C$3)</f>
        <v>#DIV/0!</v>
      </c>
      <c r="W1284" s="1100" t="e">
        <f>IF($D$1212="",0,$D1284*Table3[[#This Row],[CF]]*chronic_consumption!$R84/1000/$C$3)</f>
        <v>#DIV/0!</v>
      </c>
      <c r="X1284" s="1100" t="e">
        <f>IF($D$1212="",0,$D1284*Table3[[#This Row],[CF]]*chronic_consumption!$S84/1000/$C$3)</f>
        <v>#DIV/0!</v>
      </c>
      <c r="Y1284" s="1100" t="e">
        <f>IF($D$1212="",0,$D1284*Table3[[#This Row],[CF]]*chronic_consumption!$T84/1000/$C$3)</f>
        <v>#DIV/0!</v>
      </c>
      <c r="Z1284" s="1100" t="e">
        <f>IF($D$1212="",0,$D1284*Table3[[#This Row],[CF]]*chronic_consumption!$U84/1000/$C$3)</f>
        <v>#DIV/0!</v>
      </c>
      <c r="AA1284" s="1100" t="e">
        <f>IF($D$1212="",0,$D1284*Table3[[#This Row],[CF]]*chronic_consumption!$V84/1000/$C$3)</f>
        <v>#DIV/0!</v>
      </c>
      <c r="AB1284" s="1100" t="e">
        <f>IF($D$1212="",0,$D1284*Table3[[#This Row],[CF]]*chronic_consumption!$W84/1000/$C$3)</f>
        <v>#DIV/0!</v>
      </c>
      <c r="AC1284" s="1100" t="e">
        <f>IF($D$1212="",0,$D1284*Table3[[#This Row],[CF]]*chronic_consumption!$X84/1000/$C$3)</f>
        <v>#DIV/0!</v>
      </c>
      <c r="AD1284" s="1100" t="e">
        <f>IF($D$1212="",0,$D1284*Table3[[#This Row],[CF]]*chronic_consumption!$Y84/1000/$C$3)</f>
        <v>#DIV/0!</v>
      </c>
      <c r="AE1284" s="1100" t="e">
        <f>IF($D$1212="",0,$D1284*Table3[[#This Row],[CF]]*chronic_consumption!$Z84/1000/$C$3)</f>
        <v>#DIV/0!</v>
      </c>
      <c r="AF1284" s="1100" t="e">
        <f>IF($D$1212="",0,$D1284*Table3[[#This Row],[CF]]*chronic_consumption!$AA84/1000/$C$3)</f>
        <v>#DIV/0!</v>
      </c>
      <c r="AG1284" s="1100" t="e">
        <f>IF($D$1212="",0,$D1284*Table3[[#This Row],[CF]]*chronic_consumption!$AB84/1000/$C$3)</f>
        <v>#DIV/0!</v>
      </c>
      <c r="AH1284" s="1100" t="e">
        <f>IF($D$1212="",0,$D1284*Table3[[#This Row],[CF]]*chronic_consumption!$AC84/1000/$C$3)</f>
        <v>#DIV/0!</v>
      </c>
      <c r="AI1284" s="1100" t="e">
        <f>IF($D$1212="",0,$D1284*Table3[[#This Row],[CF]]*chronic_consumption!$AD84/1000/$C$3)</f>
        <v>#DIV/0!</v>
      </c>
      <c r="AJ1284" s="1100" t="e">
        <f>IF($D$1212="",0,$D1284*Table3[[#This Row],[CF]]*chronic_consumption!$AE84/1000/$C$3)</f>
        <v>#DIV/0!</v>
      </c>
      <c r="AK1284" s="1100" t="e">
        <f>IF($D$1212="",0,$D1284*Table3[[#This Row],[CF]]*chronic_consumption!$AF84/1000/$C$3)</f>
        <v>#DIV/0!</v>
      </c>
      <c r="AL1284" s="1100" t="e">
        <f>IF($D$1212="",0,$D1284*Table3[[#This Row],[CF]]*chronic_consumption!$AG84/1000/$C$3)</f>
        <v>#DIV/0!</v>
      </c>
      <c r="AM1284" s="1100" t="e">
        <f>IF($D$1212="",0,$D1284*Table3[[#This Row],[CF]]*chronic_consumption!$AH84/1000/$C$3)</f>
        <v>#DIV/0!</v>
      </c>
      <c r="AN1284" s="1100" t="e">
        <f>IF($D$1212="",0,$D1284*Table3[[#This Row],[CF]]*chronic_consumption!$AI84/1000/$C$3)</f>
        <v>#DIV/0!</v>
      </c>
      <c r="AO1284" s="1100" t="e">
        <f>IF($D$1212="",0,$D1284*Table3[[#This Row],[CF]]*chronic_consumption!$AJ84/1000/$C$3)</f>
        <v>#DIV/0!</v>
      </c>
      <c r="AP1284" s="1100" t="e">
        <f>IF($D$1212="",0,$D1284*Table3[[#This Row],[CF]]*chronic_consumption!$AK84/1000/$C$3)</f>
        <v>#DIV/0!</v>
      </c>
      <c r="AQ1284" s="1100" t="e">
        <f>IF($D$1212="",0,$D1284*Table3[[#This Row],[CF]]*chronic_consumption!$AL84/1000/$C$3)</f>
        <v>#DIV/0!</v>
      </c>
      <c r="AR1284" s="1100" t="e">
        <f>IF($D$1212="",0,$D1284*Table3[[#This Row],[CF]]*chronic_consumption!$AM84/1000/$C$3)</f>
        <v>#DIV/0!</v>
      </c>
      <c r="AS1284" s="1100" t="e">
        <f>IF($D$1212="",0,$D1284*Table3[[#This Row],[CF]]*chronic_consumption!$AN84/1000/$C$3)</f>
        <v>#DIV/0!</v>
      </c>
      <c r="AT1284" s="1100" t="e">
        <f>IF($D$1212="",0,$D1284*Table3[[#This Row],[CF]]*chronic_consumption!$AO84/1000/$C$3)</f>
        <v>#DIV/0!</v>
      </c>
      <c r="AU1284" s="1101" t="e">
        <f t="shared" si="844"/>
        <v>#DIV/0!</v>
      </c>
      <c r="AV1284" s="1101" t="e">
        <f t="shared" si="844"/>
        <v>#DIV/0!</v>
      </c>
      <c r="AW1284" s="1101" t="e">
        <f t="shared" si="844"/>
        <v>#DIV/0!</v>
      </c>
      <c r="AX1284" s="1101" t="e">
        <f t="shared" si="844"/>
        <v>#DIV/0!</v>
      </c>
      <c r="AY1284" s="1101" t="e">
        <f t="shared" si="844"/>
        <v>#DIV/0!</v>
      </c>
      <c r="AZ1284" s="1091" t="s">
        <v>1012</v>
      </c>
      <c r="BA1284" s="1097" t="e">
        <f>IF(Table3[[#This Row],[max]]&lt;&gt;0,RANK(Table3[[#This Row],[max]],Table3[max],0),"")</f>
        <v>#DIV/0!</v>
      </c>
      <c r="BB1284" s="1096" t="e">
        <f t="shared" si="842"/>
        <v>#DIV/0!</v>
      </c>
      <c r="BC1284" s="1096" t="e">
        <f t="shared" ca="1" si="843"/>
        <v>#DIV/0!</v>
      </c>
      <c r="BD1284" s="1096" t="e">
        <f>IF(Table3[[#This Row],[max]]&gt;0,Table3[[#This Row],[Crop groups and examples of individual products within the groups to which the MRLs apply]],"")</f>
        <v>#DIV/0!</v>
      </c>
    </row>
    <row r="1285" spans="2:56" x14ac:dyDescent="0.2">
      <c r="B1285" s="23">
        <f t="shared" si="840"/>
        <v>163010</v>
      </c>
      <c r="C1285" s="23" t="str">
        <f t="shared" si="840"/>
        <v>Avocados</v>
      </c>
      <c r="D1285" s="1084">
        <f>input_values!E85</f>
        <v>0</v>
      </c>
      <c r="E1285" s="1084">
        <f>input_values!F85</f>
        <v>0</v>
      </c>
      <c r="F1285" s="1085">
        <f>input_values!W85</f>
        <v>1</v>
      </c>
      <c r="G1285" s="1085" t="str">
        <f>IF(Table3[[#This Row],[CF]]&gt;0,CONCATENATE(IF(Table3[[#This Row],[LOQ]]="*","LOQ","MRL"),IF(input_values!G85&gt;0,"×CFrisk","")),"")</f>
        <v>MRL</v>
      </c>
      <c r="H1285" s="1087">
        <f>input_values!L85</f>
        <v>0</v>
      </c>
      <c r="I1285" s="1088">
        <f>input_values!D85</f>
        <v>0</v>
      </c>
      <c r="J1285" s="1098" t="e">
        <f>IF($D$1212="",0,$D1285*Table3[[#This Row],[CF]]*chronic_consumption!$E85/1000/$C$3)</f>
        <v>#DIV/0!</v>
      </c>
      <c r="K1285" s="1098" t="e">
        <f>IF($D$1212="",0,$D1285*Table3[[#This Row],[CF]]*chronic_consumption!$F85/1000/$C$3)</f>
        <v>#DIV/0!</v>
      </c>
      <c r="L1285" s="1098" t="e">
        <f>IF($D$1212="",0,$D1285*Table3[[#This Row],[CF]]*chronic_consumption!$G85/1000/$C$3)</f>
        <v>#DIV/0!</v>
      </c>
      <c r="M1285" s="1098" t="e">
        <f>IF($D$1212="",0,$D1285*Table3[[#This Row],[CF]]*chronic_consumption!$H85/1000/$C$3)</f>
        <v>#DIV/0!</v>
      </c>
      <c r="N1285" s="1098" t="e">
        <f>IF($D$1212="",0,$D1285*Table3[[#This Row],[CF]]*chronic_consumption!$I85/1000/$C$3)</f>
        <v>#DIV/0!</v>
      </c>
      <c r="O1285" s="1098" t="e">
        <f>IF($D$1212="",0,$D1285*Table3[[#This Row],[CF]]*chronic_consumption!$J85/1000/$C$3)</f>
        <v>#DIV/0!</v>
      </c>
      <c r="P1285" s="1098" t="e">
        <f>IF($D$1212="",0,$D1285*Table3[[#This Row],[CF]]*chronic_consumption!$K85/1000/$C$3)</f>
        <v>#DIV/0!</v>
      </c>
      <c r="Q1285" s="1098" t="e">
        <f>IF($D$1212="",0,$D1285*Table3[[#This Row],[CF]]*chronic_consumption!$L85/1000/$C$3)</f>
        <v>#DIV/0!</v>
      </c>
      <c r="R1285" s="1098" t="e">
        <f>IF($D$1212="",0,$D1285*Table3[[#This Row],[CF]]*chronic_consumption!$M85/1000/$C$3)</f>
        <v>#DIV/0!</v>
      </c>
      <c r="S1285" s="1098" t="e">
        <f>IF($D$1212="",0,$D1285*Table3[[#This Row],[CF]]*chronic_consumption!$N85/1000/$C$3)</f>
        <v>#DIV/0!</v>
      </c>
      <c r="T1285" s="1098" t="e">
        <f>IF($D$1212="",0,$D1285*Table3[[#This Row],[CF]]*chronic_consumption!$O85/1000/$C$3)</f>
        <v>#DIV/0!</v>
      </c>
      <c r="U1285" s="1098" t="e">
        <f>IF($D$1212="",0,$D1285*Table3[[#This Row],[CF]]*chronic_consumption!$P85/1000/$C$3)</f>
        <v>#DIV/0!</v>
      </c>
      <c r="V1285" s="1098" t="e">
        <f>IF($D$1212="",0,$D1285*Table3[[#This Row],[CF]]*chronic_consumption!$Q85/1000/$C$3)</f>
        <v>#DIV/0!</v>
      </c>
      <c r="W1285" s="1098" t="e">
        <f>IF($D$1212="",0,$D1285*Table3[[#This Row],[CF]]*chronic_consumption!$R85/1000/$C$3)</f>
        <v>#DIV/0!</v>
      </c>
      <c r="X1285" s="1098" t="e">
        <f>IF($D$1212="",0,$D1285*Table3[[#This Row],[CF]]*chronic_consumption!$S85/1000/$C$3)</f>
        <v>#DIV/0!</v>
      </c>
      <c r="Y1285" s="1098" t="e">
        <f>IF($D$1212="",0,$D1285*Table3[[#This Row],[CF]]*chronic_consumption!$T85/1000/$C$3)</f>
        <v>#DIV/0!</v>
      </c>
      <c r="Z1285" s="1098" t="e">
        <f>IF($D$1212="",0,$D1285*Table3[[#This Row],[CF]]*chronic_consumption!$U85/1000/$C$3)</f>
        <v>#DIV/0!</v>
      </c>
      <c r="AA1285" s="1098" t="e">
        <f>IF($D$1212="",0,$D1285*Table3[[#This Row],[CF]]*chronic_consumption!$V85/1000/$C$3)</f>
        <v>#DIV/0!</v>
      </c>
      <c r="AB1285" s="1098" t="e">
        <f>IF($D$1212="",0,$D1285*Table3[[#This Row],[CF]]*chronic_consumption!$W85/1000/$C$3)</f>
        <v>#DIV/0!</v>
      </c>
      <c r="AC1285" s="1098" t="e">
        <f>IF($D$1212="",0,$D1285*Table3[[#This Row],[CF]]*chronic_consumption!$X85/1000/$C$3)</f>
        <v>#DIV/0!</v>
      </c>
      <c r="AD1285" s="1098" t="e">
        <f>IF($D$1212="",0,$D1285*Table3[[#This Row],[CF]]*chronic_consumption!$Y85/1000/$C$3)</f>
        <v>#DIV/0!</v>
      </c>
      <c r="AE1285" s="1098" t="e">
        <f>IF($D$1212="",0,$D1285*Table3[[#This Row],[CF]]*chronic_consumption!$Z85/1000/$C$3)</f>
        <v>#DIV/0!</v>
      </c>
      <c r="AF1285" s="1098" t="e">
        <f>IF($D$1212="",0,$D1285*Table3[[#This Row],[CF]]*chronic_consumption!$AA85/1000/$C$3)</f>
        <v>#DIV/0!</v>
      </c>
      <c r="AG1285" s="1098" t="e">
        <f>IF($D$1212="",0,$D1285*Table3[[#This Row],[CF]]*chronic_consumption!$AB85/1000/$C$3)</f>
        <v>#DIV/0!</v>
      </c>
      <c r="AH1285" s="1098" t="e">
        <f>IF($D$1212="",0,$D1285*Table3[[#This Row],[CF]]*chronic_consumption!$AC85/1000/$C$3)</f>
        <v>#DIV/0!</v>
      </c>
      <c r="AI1285" s="1098" t="e">
        <f>IF($D$1212="",0,$D1285*Table3[[#This Row],[CF]]*chronic_consumption!$AD85/1000/$C$3)</f>
        <v>#DIV/0!</v>
      </c>
      <c r="AJ1285" s="1098" t="e">
        <f>IF($D$1212="",0,$D1285*Table3[[#This Row],[CF]]*chronic_consumption!$AE85/1000/$C$3)</f>
        <v>#DIV/0!</v>
      </c>
      <c r="AK1285" s="1098" t="e">
        <f>IF($D$1212="",0,$D1285*Table3[[#This Row],[CF]]*chronic_consumption!$AF85/1000/$C$3)</f>
        <v>#DIV/0!</v>
      </c>
      <c r="AL1285" s="1098" t="e">
        <f>IF($D$1212="",0,$D1285*Table3[[#This Row],[CF]]*chronic_consumption!$AG85/1000/$C$3)</f>
        <v>#DIV/0!</v>
      </c>
      <c r="AM1285" s="1098" t="e">
        <f>IF($D$1212="",0,$D1285*Table3[[#This Row],[CF]]*chronic_consumption!$AH85/1000/$C$3)</f>
        <v>#DIV/0!</v>
      </c>
      <c r="AN1285" s="1098" t="e">
        <f>IF($D$1212="",0,$D1285*Table3[[#This Row],[CF]]*chronic_consumption!$AI85/1000/$C$3)</f>
        <v>#DIV/0!</v>
      </c>
      <c r="AO1285" s="1098" t="e">
        <f>IF($D$1212="",0,$D1285*Table3[[#This Row],[CF]]*chronic_consumption!$AJ85/1000/$C$3)</f>
        <v>#DIV/0!</v>
      </c>
      <c r="AP1285" s="1098" t="e">
        <f>IF($D$1212="",0,$D1285*Table3[[#This Row],[CF]]*chronic_consumption!$AK85/1000/$C$3)</f>
        <v>#DIV/0!</v>
      </c>
      <c r="AQ1285" s="1098" t="e">
        <f>IF($D$1212="",0,$D1285*Table3[[#This Row],[CF]]*chronic_consumption!$AL85/1000/$C$3)</f>
        <v>#DIV/0!</v>
      </c>
      <c r="AR1285" s="1098" t="e">
        <f>IF($D$1212="",0,$D1285*Table3[[#This Row],[CF]]*chronic_consumption!$AM85/1000/$C$3)</f>
        <v>#DIV/0!</v>
      </c>
      <c r="AS1285" s="1098" t="e">
        <f>IF($D$1212="",0,$D1285*Table3[[#This Row],[CF]]*chronic_consumption!$AN85/1000/$C$3)</f>
        <v>#DIV/0!</v>
      </c>
      <c r="AT1285" s="1098" t="e">
        <f>IF($D$1212="",0,$D1285*Table3[[#This Row],[CF]]*chronic_consumption!$AO85/1000/$C$3)</f>
        <v>#DIV/0!</v>
      </c>
      <c r="AU1285" s="1099" t="e">
        <f t="shared" si="844"/>
        <v>#DIV/0!</v>
      </c>
      <c r="AV1285" s="1099" t="e">
        <f t="shared" si="844"/>
        <v>#DIV/0!</v>
      </c>
      <c r="AW1285" s="1099" t="e">
        <f t="shared" si="844"/>
        <v>#DIV/0!</v>
      </c>
      <c r="AX1285" s="1099" t="e">
        <f t="shared" si="844"/>
        <v>#DIV/0!</v>
      </c>
      <c r="AY1285" s="1099" t="e">
        <f t="shared" si="844"/>
        <v>#DIV/0!</v>
      </c>
      <c r="AZ1285" s="1091" t="s">
        <v>1012</v>
      </c>
      <c r="BA1285" s="1097" t="e">
        <f>IF(Table3[[#This Row],[max]]&lt;&gt;0,RANK(Table3[[#This Row],[max]],Table3[max],0),"")</f>
        <v>#DIV/0!</v>
      </c>
      <c r="BB1285" s="1096" t="e">
        <f t="shared" si="842"/>
        <v>#DIV/0!</v>
      </c>
      <c r="BC1285" s="1096" t="e">
        <f t="shared" ca="1" si="843"/>
        <v>#DIV/0!</v>
      </c>
      <c r="BD1285" s="1096" t="e">
        <f>IF(Table3[[#This Row],[max]]&gt;0,Table3[[#This Row],[Crop groups and examples of individual products within the groups to which the MRLs apply]],"")</f>
        <v>#DIV/0!</v>
      </c>
    </row>
    <row r="1286" spans="2:56" x14ac:dyDescent="0.2">
      <c r="B1286" s="23">
        <f t="shared" si="840"/>
        <v>163020</v>
      </c>
      <c r="C1286" s="23" t="str">
        <f t="shared" si="840"/>
        <v>Bananas</v>
      </c>
      <c r="D1286" s="1084">
        <f>input_values!E86</f>
        <v>0</v>
      </c>
      <c r="E1286" s="1084">
        <f>input_values!F86</f>
        <v>0</v>
      </c>
      <c r="F1286" s="1085">
        <f>input_values!W86</f>
        <v>1</v>
      </c>
      <c r="G1286" s="1085" t="str">
        <f>IF(Table3[[#This Row],[CF]]&gt;0,CONCATENATE(IF(Table3[[#This Row],[LOQ]]="*","LOQ","MRL"),IF(input_values!G86&gt;0,"×CFrisk","")),"")</f>
        <v>MRL</v>
      </c>
      <c r="H1286" s="1087">
        <f>input_values!L86</f>
        <v>0</v>
      </c>
      <c r="I1286" s="1088">
        <f>input_values!D86</f>
        <v>0</v>
      </c>
      <c r="J1286" s="1098" t="e">
        <f>IF($D$1212="",0,$D1286*Table3[[#This Row],[CF]]*chronic_consumption!$E86/1000/$C$3)</f>
        <v>#DIV/0!</v>
      </c>
      <c r="K1286" s="1098" t="e">
        <f>IF($D$1212="",0,$D1286*Table3[[#This Row],[CF]]*chronic_consumption!$F86/1000/$C$3)</f>
        <v>#DIV/0!</v>
      </c>
      <c r="L1286" s="1098" t="e">
        <f>IF($D$1212="",0,$D1286*Table3[[#This Row],[CF]]*chronic_consumption!$G86/1000/$C$3)</f>
        <v>#DIV/0!</v>
      </c>
      <c r="M1286" s="1098" t="e">
        <f>IF($D$1212="",0,$D1286*Table3[[#This Row],[CF]]*chronic_consumption!$H86/1000/$C$3)</f>
        <v>#DIV/0!</v>
      </c>
      <c r="N1286" s="1098" t="e">
        <f>IF($D$1212="",0,$D1286*Table3[[#This Row],[CF]]*chronic_consumption!$I86/1000/$C$3)</f>
        <v>#DIV/0!</v>
      </c>
      <c r="O1286" s="1098" t="e">
        <f>IF($D$1212="",0,$D1286*Table3[[#This Row],[CF]]*chronic_consumption!$J86/1000/$C$3)</f>
        <v>#DIV/0!</v>
      </c>
      <c r="P1286" s="1098" t="e">
        <f>IF($D$1212="",0,$D1286*Table3[[#This Row],[CF]]*chronic_consumption!$K86/1000/$C$3)</f>
        <v>#DIV/0!</v>
      </c>
      <c r="Q1286" s="1098" t="e">
        <f>IF($D$1212="",0,$D1286*Table3[[#This Row],[CF]]*chronic_consumption!$L86/1000/$C$3)</f>
        <v>#DIV/0!</v>
      </c>
      <c r="R1286" s="1098" t="e">
        <f>IF($D$1212="",0,$D1286*Table3[[#This Row],[CF]]*chronic_consumption!$M86/1000/$C$3)</f>
        <v>#DIV/0!</v>
      </c>
      <c r="S1286" s="1098" t="e">
        <f>IF($D$1212="",0,$D1286*Table3[[#This Row],[CF]]*chronic_consumption!$N86/1000/$C$3)</f>
        <v>#DIV/0!</v>
      </c>
      <c r="T1286" s="1098" t="e">
        <f>IF($D$1212="",0,$D1286*Table3[[#This Row],[CF]]*chronic_consumption!$O86/1000/$C$3)</f>
        <v>#DIV/0!</v>
      </c>
      <c r="U1286" s="1098" t="e">
        <f>IF($D$1212="",0,$D1286*Table3[[#This Row],[CF]]*chronic_consumption!$P86/1000/$C$3)</f>
        <v>#DIV/0!</v>
      </c>
      <c r="V1286" s="1098" t="e">
        <f>IF($D$1212="",0,$D1286*Table3[[#This Row],[CF]]*chronic_consumption!$Q86/1000/$C$3)</f>
        <v>#DIV/0!</v>
      </c>
      <c r="W1286" s="1098" t="e">
        <f>IF($D$1212="",0,$D1286*Table3[[#This Row],[CF]]*chronic_consumption!$R86/1000/$C$3)</f>
        <v>#DIV/0!</v>
      </c>
      <c r="X1286" s="1098" t="e">
        <f>IF($D$1212="",0,$D1286*Table3[[#This Row],[CF]]*chronic_consumption!$S86/1000/$C$3)</f>
        <v>#DIV/0!</v>
      </c>
      <c r="Y1286" s="1098" t="e">
        <f>IF($D$1212="",0,$D1286*Table3[[#This Row],[CF]]*chronic_consumption!$T86/1000/$C$3)</f>
        <v>#DIV/0!</v>
      </c>
      <c r="Z1286" s="1098" t="e">
        <f>IF($D$1212="",0,$D1286*Table3[[#This Row],[CF]]*chronic_consumption!$U86/1000/$C$3)</f>
        <v>#DIV/0!</v>
      </c>
      <c r="AA1286" s="1098" t="e">
        <f>IF($D$1212="",0,$D1286*Table3[[#This Row],[CF]]*chronic_consumption!$V86/1000/$C$3)</f>
        <v>#DIV/0!</v>
      </c>
      <c r="AB1286" s="1098" t="e">
        <f>IF($D$1212="",0,$D1286*Table3[[#This Row],[CF]]*chronic_consumption!$W86/1000/$C$3)</f>
        <v>#DIV/0!</v>
      </c>
      <c r="AC1286" s="1098" t="e">
        <f>IF($D$1212="",0,$D1286*Table3[[#This Row],[CF]]*chronic_consumption!$X86/1000/$C$3)</f>
        <v>#DIV/0!</v>
      </c>
      <c r="AD1286" s="1098" t="e">
        <f>IF($D$1212="",0,$D1286*Table3[[#This Row],[CF]]*chronic_consumption!$Y86/1000/$C$3)</f>
        <v>#DIV/0!</v>
      </c>
      <c r="AE1286" s="1098" t="e">
        <f>IF($D$1212="",0,$D1286*Table3[[#This Row],[CF]]*chronic_consumption!$Z86/1000/$C$3)</f>
        <v>#DIV/0!</v>
      </c>
      <c r="AF1286" s="1098" t="e">
        <f>IF($D$1212="",0,$D1286*Table3[[#This Row],[CF]]*chronic_consumption!$AA86/1000/$C$3)</f>
        <v>#DIV/0!</v>
      </c>
      <c r="AG1286" s="1098" t="e">
        <f>IF($D$1212="",0,$D1286*Table3[[#This Row],[CF]]*chronic_consumption!$AB86/1000/$C$3)</f>
        <v>#DIV/0!</v>
      </c>
      <c r="AH1286" s="1098" t="e">
        <f>IF($D$1212="",0,$D1286*Table3[[#This Row],[CF]]*chronic_consumption!$AC86/1000/$C$3)</f>
        <v>#DIV/0!</v>
      </c>
      <c r="AI1286" s="1098" t="e">
        <f>IF($D$1212="",0,$D1286*Table3[[#This Row],[CF]]*chronic_consumption!$AD86/1000/$C$3)</f>
        <v>#DIV/0!</v>
      </c>
      <c r="AJ1286" s="1098" t="e">
        <f>IF($D$1212="",0,$D1286*Table3[[#This Row],[CF]]*chronic_consumption!$AE86/1000/$C$3)</f>
        <v>#DIV/0!</v>
      </c>
      <c r="AK1286" s="1098" t="e">
        <f>IF($D$1212="",0,$D1286*Table3[[#This Row],[CF]]*chronic_consumption!$AF86/1000/$C$3)</f>
        <v>#DIV/0!</v>
      </c>
      <c r="AL1286" s="1098" t="e">
        <f>IF($D$1212="",0,$D1286*Table3[[#This Row],[CF]]*chronic_consumption!$AG86/1000/$C$3)</f>
        <v>#DIV/0!</v>
      </c>
      <c r="AM1286" s="1098" t="e">
        <f>IF($D$1212="",0,$D1286*Table3[[#This Row],[CF]]*chronic_consumption!$AH86/1000/$C$3)</f>
        <v>#DIV/0!</v>
      </c>
      <c r="AN1286" s="1098" t="e">
        <f>IF($D$1212="",0,$D1286*Table3[[#This Row],[CF]]*chronic_consumption!$AI86/1000/$C$3)</f>
        <v>#DIV/0!</v>
      </c>
      <c r="AO1286" s="1098" t="e">
        <f>IF($D$1212="",0,$D1286*Table3[[#This Row],[CF]]*chronic_consumption!$AJ86/1000/$C$3)</f>
        <v>#DIV/0!</v>
      </c>
      <c r="AP1286" s="1098" t="e">
        <f>IF($D$1212="",0,$D1286*Table3[[#This Row],[CF]]*chronic_consumption!$AK86/1000/$C$3)</f>
        <v>#DIV/0!</v>
      </c>
      <c r="AQ1286" s="1098" t="e">
        <f>IF($D$1212="",0,$D1286*Table3[[#This Row],[CF]]*chronic_consumption!$AL86/1000/$C$3)</f>
        <v>#DIV/0!</v>
      </c>
      <c r="AR1286" s="1098" t="e">
        <f>IF($D$1212="",0,$D1286*Table3[[#This Row],[CF]]*chronic_consumption!$AM86/1000/$C$3)</f>
        <v>#DIV/0!</v>
      </c>
      <c r="AS1286" s="1098" t="e">
        <f>IF($D$1212="",0,$D1286*Table3[[#This Row],[CF]]*chronic_consumption!$AN86/1000/$C$3)</f>
        <v>#DIV/0!</v>
      </c>
      <c r="AT1286" s="1098" t="e">
        <f>IF($D$1212="",0,$D1286*Table3[[#This Row],[CF]]*chronic_consumption!$AO86/1000/$C$3)</f>
        <v>#DIV/0!</v>
      </c>
      <c r="AU1286" s="1099" t="e">
        <f t="shared" si="844"/>
        <v>#DIV/0!</v>
      </c>
      <c r="AV1286" s="1099" t="e">
        <f t="shared" si="844"/>
        <v>#DIV/0!</v>
      </c>
      <c r="AW1286" s="1099" t="e">
        <f t="shared" si="844"/>
        <v>#DIV/0!</v>
      </c>
      <c r="AX1286" s="1099" t="e">
        <f t="shared" si="844"/>
        <v>#DIV/0!</v>
      </c>
      <c r="AY1286" s="1099" t="e">
        <f t="shared" si="844"/>
        <v>#DIV/0!</v>
      </c>
      <c r="AZ1286" s="1091" t="s">
        <v>1012</v>
      </c>
      <c r="BA1286" s="1097" t="e">
        <f>IF(Table3[[#This Row],[max]]&lt;&gt;0,RANK(Table3[[#This Row],[max]],Table3[max],0),"")</f>
        <v>#DIV/0!</v>
      </c>
      <c r="BB1286" s="1096" t="e">
        <f t="shared" si="842"/>
        <v>#DIV/0!</v>
      </c>
      <c r="BC1286" s="1096" t="e">
        <f t="shared" ca="1" si="843"/>
        <v>#DIV/0!</v>
      </c>
      <c r="BD1286" s="1096" t="e">
        <f>IF(Table3[[#This Row],[max]]&gt;0,Table3[[#This Row],[Crop groups and examples of individual products within the groups to which the MRLs apply]],"")</f>
        <v>#DIV/0!</v>
      </c>
    </row>
    <row r="1287" spans="2:56" x14ac:dyDescent="0.2">
      <c r="B1287" s="23">
        <f t="shared" si="840"/>
        <v>163030</v>
      </c>
      <c r="C1287" s="23" t="str">
        <f t="shared" si="840"/>
        <v>Mangoes</v>
      </c>
      <c r="D1287" s="1084">
        <f>input_values!E87</f>
        <v>0</v>
      </c>
      <c r="E1287" s="1084">
        <f>input_values!F87</f>
        <v>0</v>
      </c>
      <c r="F1287" s="1085">
        <f>input_values!W87</f>
        <v>1</v>
      </c>
      <c r="G1287" s="1085" t="str">
        <f>IF(Table3[[#This Row],[CF]]&gt;0,CONCATENATE(IF(Table3[[#This Row],[LOQ]]="*","LOQ","MRL"),IF(input_values!G87&gt;0,"×CFrisk","")),"")</f>
        <v>MRL</v>
      </c>
      <c r="H1287" s="1087">
        <f>input_values!L87</f>
        <v>0</v>
      </c>
      <c r="I1287" s="1088">
        <f>input_values!D87</f>
        <v>0</v>
      </c>
      <c r="J1287" s="1098" t="e">
        <f>IF($D$1212="",0,$D1287*Table3[[#This Row],[CF]]*chronic_consumption!$E87/1000/$C$3)</f>
        <v>#DIV/0!</v>
      </c>
      <c r="K1287" s="1098" t="e">
        <f>IF($D$1212="",0,$D1287*Table3[[#This Row],[CF]]*chronic_consumption!$F87/1000/$C$3)</f>
        <v>#DIV/0!</v>
      </c>
      <c r="L1287" s="1098" t="e">
        <f>IF($D$1212="",0,$D1287*Table3[[#This Row],[CF]]*chronic_consumption!$G87/1000/$C$3)</f>
        <v>#DIV/0!</v>
      </c>
      <c r="M1287" s="1098" t="e">
        <f>IF($D$1212="",0,$D1287*Table3[[#This Row],[CF]]*chronic_consumption!$H87/1000/$C$3)</f>
        <v>#DIV/0!</v>
      </c>
      <c r="N1287" s="1098" t="e">
        <f>IF($D$1212="",0,$D1287*Table3[[#This Row],[CF]]*chronic_consumption!$I87/1000/$C$3)</f>
        <v>#DIV/0!</v>
      </c>
      <c r="O1287" s="1098" t="e">
        <f>IF($D$1212="",0,$D1287*Table3[[#This Row],[CF]]*chronic_consumption!$J87/1000/$C$3)</f>
        <v>#DIV/0!</v>
      </c>
      <c r="P1287" s="1098" t="e">
        <f>IF($D$1212="",0,$D1287*Table3[[#This Row],[CF]]*chronic_consumption!$K87/1000/$C$3)</f>
        <v>#DIV/0!</v>
      </c>
      <c r="Q1287" s="1098" t="e">
        <f>IF($D$1212="",0,$D1287*Table3[[#This Row],[CF]]*chronic_consumption!$L87/1000/$C$3)</f>
        <v>#DIV/0!</v>
      </c>
      <c r="R1287" s="1098" t="e">
        <f>IF($D$1212="",0,$D1287*Table3[[#This Row],[CF]]*chronic_consumption!$M87/1000/$C$3)</f>
        <v>#DIV/0!</v>
      </c>
      <c r="S1287" s="1098" t="e">
        <f>IF($D$1212="",0,$D1287*Table3[[#This Row],[CF]]*chronic_consumption!$N87/1000/$C$3)</f>
        <v>#DIV/0!</v>
      </c>
      <c r="T1287" s="1098" t="e">
        <f>IF($D$1212="",0,$D1287*Table3[[#This Row],[CF]]*chronic_consumption!$O87/1000/$C$3)</f>
        <v>#DIV/0!</v>
      </c>
      <c r="U1287" s="1098" t="e">
        <f>IF($D$1212="",0,$D1287*Table3[[#This Row],[CF]]*chronic_consumption!$P87/1000/$C$3)</f>
        <v>#DIV/0!</v>
      </c>
      <c r="V1287" s="1098" t="e">
        <f>IF($D$1212="",0,$D1287*Table3[[#This Row],[CF]]*chronic_consumption!$Q87/1000/$C$3)</f>
        <v>#DIV/0!</v>
      </c>
      <c r="W1287" s="1098" t="e">
        <f>IF($D$1212="",0,$D1287*Table3[[#This Row],[CF]]*chronic_consumption!$R87/1000/$C$3)</f>
        <v>#DIV/0!</v>
      </c>
      <c r="X1287" s="1098" t="e">
        <f>IF($D$1212="",0,$D1287*Table3[[#This Row],[CF]]*chronic_consumption!$S87/1000/$C$3)</f>
        <v>#DIV/0!</v>
      </c>
      <c r="Y1287" s="1098" t="e">
        <f>IF($D$1212="",0,$D1287*Table3[[#This Row],[CF]]*chronic_consumption!$T87/1000/$C$3)</f>
        <v>#DIV/0!</v>
      </c>
      <c r="Z1287" s="1098" t="e">
        <f>IF($D$1212="",0,$D1287*Table3[[#This Row],[CF]]*chronic_consumption!$U87/1000/$C$3)</f>
        <v>#DIV/0!</v>
      </c>
      <c r="AA1287" s="1098" t="e">
        <f>IF($D$1212="",0,$D1287*Table3[[#This Row],[CF]]*chronic_consumption!$V87/1000/$C$3)</f>
        <v>#DIV/0!</v>
      </c>
      <c r="AB1287" s="1098" t="e">
        <f>IF($D$1212="",0,$D1287*Table3[[#This Row],[CF]]*chronic_consumption!$W87/1000/$C$3)</f>
        <v>#DIV/0!</v>
      </c>
      <c r="AC1287" s="1098" t="e">
        <f>IF($D$1212="",0,$D1287*Table3[[#This Row],[CF]]*chronic_consumption!$X87/1000/$C$3)</f>
        <v>#DIV/0!</v>
      </c>
      <c r="AD1287" s="1098" t="e">
        <f>IF($D$1212="",0,$D1287*Table3[[#This Row],[CF]]*chronic_consumption!$Y87/1000/$C$3)</f>
        <v>#DIV/0!</v>
      </c>
      <c r="AE1287" s="1098" t="e">
        <f>IF($D$1212="",0,$D1287*Table3[[#This Row],[CF]]*chronic_consumption!$Z87/1000/$C$3)</f>
        <v>#DIV/0!</v>
      </c>
      <c r="AF1287" s="1098" t="e">
        <f>IF($D$1212="",0,$D1287*Table3[[#This Row],[CF]]*chronic_consumption!$AA87/1000/$C$3)</f>
        <v>#DIV/0!</v>
      </c>
      <c r="AG1287" s="1098" t="e">
        <f>IF($D$1212="",0,$D1287*Table3[[#This Row],[CF]]*chronic_consumption!$AB87/1000/$C$3)</f>
        <v>#DIV/0!</v>
      </c>
      <c r="AH1287" s="1098" t="e">
        <f>IF($D$1212="",0,$D1287*Table3[[#This Row],[CF]]*chronic_consumption!$AC87/1000/$C$3)</f>
        <v>#DIV/0!</v>
      </c>
      <c r="AI1287" s="1098" t="e">
        <f>IF($D$1212="",0,$D1287*Table3[[#This Row],[CF]]*chronic_consumption!$AD87/1000/$C$3)</f>
        <v>#DIV/0!</v>
      </c>
      <c r="AJ1287" s="1098" t="e">
        <f>IF($D$1212="",0,$D1287*Table3[[#This Row],[CF]]*chronic_consumption!$AE87/1000/$C$3)</f>
        <v>#DIV/0!</v>
      </c>
      <c r="AK1287" s="1098" t="e">
        <f>IF($D$1212="",0,$D1287*Table3[[#This Row],[CF]]*chronic_consumption!$AF87/1000/$C$3)</f>
        <v>#DIV/0!</v>
      </c>
      <c r="AL1287" s="1098" t="e">
        <f>IF($D$1212="",0,$D1287*Table3[[#This Row],[CF]]*chronic_consumption!$AG87/1000/$C$3)</f>
        <v>#DIV/0!</v>
      </c>
      <c r="AM1287" s="1098" t="e">
        <f>IF($D$1212="",0,$D1287*Table3[[#This Row],[CF]]*chronic_consumption!$AH87/1000/$C$3)</f>
        <v>#DIV/0!</v>
      </c>
      <c r="AN1287" s="1098" t="e">
        <f>IF($D$1212="",0,$D1287*Table3[[#This Row],[CF]]*chronic_consumption!$AI87/1000/$C$3)</f>
        <v>#DIV/0!</v>
      </c>
      <c r="AO1287" s="1098" t="e">
        <f>IF($D$1212="",0,$D1287*Table3[[#This Row],[CF]]*chronic_consumption!$AJ87/1000/$C$3)</f>
        <v>#DIV/0!</v>
      </c>
      <c r="AP1287" s="1098" t="e">
        <f>IF($D$1212="",0,$D1287*Table3[[#This Row],[CF]]*chronic_consumption!$AK87/1000/$C$3)</f>
        <v>#DIV/0!</v>
      </c>
      <c r="AQ1287" s="1098" t="e">
        <f>IF($D$1212="",0,$D1287*Table3[[#This Row],[CF]]*chronic_consumption!$AL87/1000/$C$3)</f>
        <v>#DIV/0!</v>
      </c>
      <c r="AR1287" s="1098" t="e">
        <f>IF($D$1212="",0,$D1287*Table3[[#This Row],[CF]]*chronic_consumption!$AM87/1000/$C$3)</f>
        <v>#DIV/0!</v>
      </c>
      <c r="AS1287" s="1098" t="e">
        <f>IF($D$1212="",0,$D1287*Table3[[#This Row],[CF]]*chronic_consumption!$AN87/1000/$C$3)</f>
        <v>#DIV/0!</v>
      </c>
      <c r="AT1287" s="1098" t="e">
        <f>IF($D$1212="",0,$D1287*Table3[[#This Row],[CF]]*chronic_consumption!$AO87/1000/$C$3)</f>
        <v>#DIV/0!</v>
      </c>
      <c r="AU1287" s="1099" t="e">
        <f t="shared" si="844"/>
        <v>#DIV/0!</v>
      </c>
      <c r="AV1287" s="1099" t="e">
        <f t="shared" si="844"/>
        <v>#DIV/0!</v>
      </c>
      <c r="AW1287" s="1099" t="e">
        <f t="shared" si="844"/>
        <v>#DIV/0!</v>
      </c>
      <c r="AX1287" s="1099" t="e">
        <f t="shared" si="844"/>
        <v>#DIV/0!</v>
      </c>
      <c r="AY1287" s="1099" t="e">
        <f t="shared" si="844"/>
        <v>#DIV/0!</v>
      </c>
      <c r="AZ1287" s="1091" t="s">
        <v>1012</v>
      </c>
      <c r="BA1287" s="1097" t="e">
        <f>IF(Table3[[#This Row],[max]]&lt;&gt;0,RANK(Table3[[#This Row],[max]],Table3[max],0),"")</f>
        <v>#DIV/0!</v>
      </c>
      <c r="BB1287" s="1096" t="e">
        <f t="shared" si="842"/>
        <v>#DIV/0!</v>
      </c>
      <c r="BC1287" s="1096" t="e">
        <f t="shared" ca="1" si="843"/>
        <v>#DIV/0!</v>
      </c>
      <c r="BD1287" s="1096" t="e">
        <f>IF(Table3[[#This Row],[max]]&gt;0,Table3[[#This Row],[Crop groups and examples of individual products within the groups to which the MRLs apply]],"")</f>
        <v>#DIV/0!</v>
      </c>
    </row>
    <row r="1288" spans="2:56" x14ac:dyDescent="0.2">
      <c r="B1288" s="23">
        <f t="shared" si="840"/>
        <v>163040</v>
      </c>
      <c r="C1288" s="23" t="str">
        <f t="shared" si="840"/>
        <v>Papayas</v>
      </c>
      <c r="D1288" s="1084">
        <f>input_values!E88</f>
        <v>0</v>
      </c>
      <c r="E1288" s="1084">
        <f>input_values!F88</f>
        <v>0</v>
      </c>
      <c r="F1288" s="1085">
        <f>input_values!W88</f>
        <v>1</v>
      </c>
      <c r="G1288" s="1085" t="str">
        <f>IF(Table3[[#This Row],[CF]]&gt;0,CONCATENATE(IF(Table3[[#This Row],[LOQ]]="*","LOQ","MRL"),IF(input_values!G88&gt;0,"×CFrisk","")),"")</f>
        <v>MRL</v>
      </c>
      <c r="H1288" s="1087">
        <f>input_values!L88</f>
        <v>0</v>
      </c>
      <c r="I1288" s="1088">
        <f>input_values!D88</f>
        <v>0</v>
      </c>
      <c r="J1288" s="1098" t="e">
        <f>IF($D$1212="",0,$D1288*Table3[[#This Row],[CF]]*chronic_consumption!$E88/1000/$C$3)</f>
        <v>#DIV/0!</v>
      </c>
      <c r="K1288" s="1098" t="e">
        <f>IF($D$1212="",0,$D1288*Table3[[#This Row],[CF]]*chronic_consumption!$F88/1000/$C$3)</f>
        <v>#DIV/0!</v>
      </c>
      <c r="L1288" s="1098" t="e">
        <f>IF($D$1212="",0,$D1288*Table3[[#This Row],[CF]]*chronic_consumption!$G88/1000/$C$3)</f>
        <v>#DIV/0!</v>
      </c>
      <c r="M1288" s="1098" t="e">
        <f>IF($D$1212="",0,$D1288*Table3[[#This Row],[CF]]*chronic_consumption!$H88/1000/$C$3)</f>
        <v>#DIV/0!</v>
      </c>
      <c r="N1288" s="1098" t="e">
        <f>IF($D$1212="",0,$D1288*Table3[[#This Row],[CF]]*chronic_consumption!$I88/1000/$C$3)</f>
        <v>#DIV/0!</v>
      </c>
      <c r="O1288" s="1098" t="e">
        <f>IF($D$1212="",0,$D1288*Table3[[#This Row],[CF]]*chronic_consumption!$J88/1000/$C$3)</f>
        <v>#DIV/0!</v>
      </c>
      <c r="P1288" s="1098" t="e">
        <f>IF($D$1212="",0,$D1288*Table3[[#This Row],[CF]]*chronic_consumption!$K88/1000/$C$3)</f>
        <v>#DIV/0!</v>
      </c>
      <c r="Q1288" s="1098" t="e">
        <f>IF($D$1212="",0,$D1288*Table3[[#This Row],[CF]]*chronic_consumption!$L88/1000/$C$3)</f>
        <v>#DIV/0!</v>
      </c>
      <c r="R1288" s="1098" t="e">
        <f>IF($D$1212="",0,$D1288*Table3[[#This Row],[CF]]*chronic_consumption!$M88/1000/$C$3)</f>
        <v>#DIV/0!</v>
      </c>
      <c r="S1288" s="1098" t="e">
        <f>IF($D$1212="",0,$D1288*Table3[[#This Row],[CF]]*chronic_consumption!$N88/1000/$C$3)</f>
        <v>#DIV/0!</v>
      </c>
      <c r="T1288" s="1098" t="e">
        <f>IF($D$1212="",0,$D1288*Table3[[#This Row],[CF]]*chronic_consumption!$O88/1000/$C$3)</f>
        <v>#DIV/0!</v>
      </c>
      <c r="U1288" s="1098" t="e">
        <f>IF($D$1212="",0,$D1288*Table3[[#This Row],[CF]]*chronic_consumption!$P88/1000/$C$3)</f>
        <v>#DIV/0!</v>
      </c>
      <c r="V1288" s="1098" t="e">
        <f>IF($D$1212="",0,$D1288*Table3[[#This Row],[CF]]*chronic_consumption!$Q88/1000/$C$3)</f>
        <v>#DIV/0!</v>
      </c>
      <c r="W1288" s="1098" t="e">
        <f>IF($D$1212="",0,$D1288*Table3[[#This Row],[CF]]*chronic_consumption!$R88/1000/$C$3)</f>
        <v>#DIV/0!</v>
      </c>
      <c r="X1288" s="1098" t="e">
        <f>IF($D$1212="",0,$D1288*Table3[[#This Row],[CF]]*chronic_consumption!$S88/1000/$C$3)</f>
        <v>#DIV/0!</v>
      </c>
      <c r="Y1288" s="1098" t="e">
        <f>IF($D$1212="",0,$D1288*Table3[[#This Row],[CF]]*chronic_consumption!$T88/1000/$C$3)</f>
        <v>#DIV/0!</v>
      </c>
      <c r="Z1288" s="1098" t="e">
        <f>IF($D$1212="",0,$D1288*Table3[[#This Row],[CF]]*chronic_consumption!$U88/1000/$C$3)</f>
        <v>#DIV/0!</v>
      </c>
      <c r="AA1288" s="1098" t="e">
        <f>IF($D$1212="",0,$D1288*Table3[[#This Row],[CF]]*chronic_consumption!$V88/1000/$C$3)</f>
        <v>#DIV/0!</v>
      </c>
      <c r="AB1288" s="1098" t="e">
        <f>IF($D$1212="",0,$D1288*Table3[[#This Row],[CF]]*chronic_consumption!$W88/1000/$C$3)</f>
        <v>#DIV/0!</v>
      </c>
      <c r="AC1288" s="1098" t="e">
        <f>IF($D$1212="",0,$D1288*Table3[[#This Row],[CF]]*chronic_consumption!$X88/1000/$C$3)</f>
        <v>#DIV/0!</v>
      </c>
      <c r="AD1288" s="1098" t="e">
        <f>IF($D$1212="",0,$D1288*Table3[[#This Row],[CF]]*chronic_consumption!$Y88/1000/$C$3)</f>
        <v>#DIV/0!</v>
      </c>
      <c r="AE1288" s="1098" t="e">
        <f>IF($D$1212="",0,$D1288*Table3[[#This Row],[CF]]*chronic_consumption!$Z88/1000/$C$3)</f>
        <v>#DIV/0!</v>
      </c>
      <c r="AF1288" s="1098" t="e">
        <f>IF($D$1212="",0,$D1288*Table3[[#This Row],[CF]]*chronic_consumption!$AA88/1000/$C$3)</f>
        <v>#DIV/0!</v>
      </c>
      <c r="AG1288" s="1098" t="e">
        <f>IF($D$1212="",0,$D1288*Table3[[#This Row],[CF]]*chronic_consumption!$AB88/1000/$C$3)</f>
        <v>#DIV/0!</v>
      </c>
      <c r="AH1288" s="1098" t="e">
        <f>IF($D$1212="",0,$D1288*Table3[[#This Row],[CF]]*chronic_consumption!$AC88/1000/$C$3)</f>
        <v>#DIV/0!</v>
      </c>
      <c r="AI1288" s="1098" t="e">
        <f>IF($D$1212="",0,$D1288*Table3[[#This Row],[CF]]*chronic_consumption!$AD88/1000/$C$3)</f>
        <v>#DIV/0!</v>
      </c>
      <c r="AJ1288" s="1098" t="e">
        <f>IF($D$1212="",0,$D1288*Table3[[#This Row],[CF]]*chronic_consumption!$AE88/1000/$C$3)</f>
        <v>#DIV/0!</v>
      </c>
      <c r="AK1288" s="1098" t="e">
        <f>IF($D$1212="",0,$D1288*Table3[[#This Row],[CF]]*chronic_consumption!$AF88/1000/$C$3)</f>
        <v>#DIV/0!</v>
      </c>
      <c r="AL1288" s="1098" t="e">
        <f>IF($D$1212="",0,$D1288*Table3[[#This Row],[CF]]*chronic_consumption!$AG88/1000/$C$3)</f>
        <v>#DIV/0!</v>
      </c>
      <c r="AM1288" s="1098" t="e">
        <f>IF($D$1212="",0,$D1288*Table3[[#This Row],[CF]]*chronic_consumption!$AH88/1000/$C$3)</f>
        <v>#DIV/0!</v>
      </c>
      <c r="AN1288" s="1098" t="e">
        <f>IF($D$1212="",0,$D1288*Table3[[#This Row],[CF]]*chronic_consumption!$AI88/1000/$C$3)</f>
        <v>#DIV/0!</v>
      </c>
      <c r="AO1288" s="1098" t="e">
        <f>IF($D$1212="",0,$D1288*Table3[[#This Row],[CF]]*chronic_consumption!$AJ88/1000/$C$3)</f>
        <v>#DIV/0!</v>
      </c>
      <c r="AP1288" s="1098" t="e">
        <f>IF($D$1212="",0,$D1288*Table3[[#This Row],[CF]]*chronic_consumption!$AK88/1000/$C$3)</f>
        <v>#DIV/0!</v>
      </c>
      <c r="AQ1288" s="1098" t="e">
        <f>IF($D$1212="",0,$D1288*Table3[[#This Row],[CF]]*chronic_consumption!$AL88/1000/$C$3)</f>
        <v>#DIV/0!</v>
      </c>
      <c r="AR1288" s="1098" t="e">
        <f>IF($D$1212="",0,$D1288*Table3[[#This Row],[CF]]*chronic_consumption!$AM88/1000/$C$3)</f>
        <v>#DIV/0!</v>
      </c>
      <c r="AS1288" s="1098" t="e">
        <f>IF($D$1212="",0,$D1288*Table3[[#This Row],[CF]]*chronic_consumption!$AN88/1000/$C$3)</f>
        <v>#DIV/0!</v>
      </c>
      <c r="AT1288" s="1098" t="e">
        <f>IF($D$1212="",0,$D1288*Table3[[#This Row],[CF]]*chronic_consumption!$AO88/1000/$C$3)</f>
        <v>#DIV/0!</v>
      </c>
      <c r="AU1288" s="1099" t="e">
        <f t="shared" si="844"/>
        <v>#DIV/0!</v>
      </c>
      <c r="AV1288" s="1099" t="e">
        <f t="shared" si="844"/>
        <v>#DIV/0!</v>
      </c>
      <c r="AW1288" s="1099" t="e">
        <f t="shared" si="844"/>
        <v>#DIV/0!</v>
      </c>
      <c r="AX1288" s="1099" t="e">
        <f t="shared" si="844"/>
        <v>#DIV/0!</v>
      </c>
      <c r="AY1288" s="1099" t="e">
        <f t="shared" si="844"/>
        <v>#DIV/0!</v>
      </c>
      <c r="AZ1288" s="1091" t="s">
        <v>1012</v>
      </c>
      <c r="BA1288" s="1097" t="e">
        <f>IF(Table3[[#This Row],[max]]&lt;&gt;0,RANK(Table3[[#This Row],[max]],Table3[max],0),"")</f>
        <v>#DIV/0!</v>
      </c>
      <c r="BB1288" s="1096" t="e">
        <f t="shared" si="842"/>
        <v>#DIV/0!</v>
      </c>
      <c r="BC1288" s="1096" t="e">
        <f t="shared" ca="1" si="843"/>
        <v>#DIV/0!</v>
      </c>
      <c r="BD1288" s="1096" t="e">
        <f>IF(Table3[[#This Row],[max]]&gt;0,Table3[[#This Row],[Crop groups and examples of individual products within the groups to which the MRLs apply]],"")</f>
        <v>#DIV/0!</v>
      </c>
    </row>
    <row r="1289" spans="2:56" x14ac:dyDescent="0.2">
      <c r="B1289" s="23">
        <f t="shared" si="840"/>
        <v>163050</v>
      </c>
      <c r="C1289" s="23" t="str">
        <f t="shared" si="840"/>
        <v>Granate apples/pomegranates</v>
      </c>
      <c r="D1289" s="1084">
        <f>input_values!E89</f>
        <v>0</v>
      </c>
      <c r="E1289" s="1084">
        <f>input_values!F89</f>
        <v>0</v>
      </c>
      <c r="F1289" s="1085">
        <f>input_values!W89</f>
        <v>1</v>
      </c>
      <c r="G1289" s="1085" t="str">
        <f>IF(Table3[[#This Row],[CF]]&gt;0,CONCATENATE(IF(Table3[[#This Row],[LOQ]]="*","LOQ","MRL"),IF(input_values!G89&gt;0,"×CFrisk","")),"")</f>
        <v>MRL</v>
      </c>
      <c r="H1289" s="1087">
        <f>input_values!L89</f>
        <v>0</v>
      </c>
      <c r="I1289" s="1088">
        <f>input_values!D89</f>
        <v>0</v>
      </c>
      <c r="J1289" s="1098" t="e">
        <f>IF($D$1212="",0,$D1289*Table3[[#This Row],[CF]]*chronic_consumption!$E89/1000/$C$3)</f>
        <v>#DIV/0!</v>
      </c>
      <c r="K1289" s="1098" t="e">
        <f>IF($D$1212="",0,$D1289*Table3[[#This Row],[CF]]*chronic_consumption!$F89/1000/$C$3)</f>
        <v>#DIV/0!</v>
      </c>
      <c r="L1289" s="1098" t="e">
        <f>IF($D$1212="",0,$D1289*Table3[[#This Row],[CF]]*chronic_consumption!$G89/1000/$C$3)</f>
        <v>#DIV/0!</v>
      </c>
      <c r="M1289" s="1098" t="e">
        <f>IF($D$1212="",0,$D1289*Table3[[#This Row],[CF]]*chronic_consumption!$H89/1000/$C$3)</f>
        <v>#DIV/0!</v>
      </c>
      <c r="N1289" s="1098" t="e">
        <f>IF($D$1212="",0,$D1289*Table3[[#This Row],[CF]]*chronic_consumption!$I89/1000/$C$3)</f>
        <v>#DIV/0!</v>
      </c>
      <c r="O1289" s="1098" t="e">
        <f>IF($D$1212="",0,$D1289*Table3[[#This Row],[CF]]*chronic_consumption!$J89/1000/$C$3)</f>
        <v>#DIV/0!</v>
      </c>
      <c r="P1289" s="1098" t="e">
        <f>IF($D$1212="",0,$D1289*Table3[[#This Row],[CF]]*chronic_consumption!$K89/1000/$C$3)</f>
        <v>#DIV/0!</v>
      </c>
      <c r="Q1289" s="1098" t="e">
        <f>IF($D$1212="",0,$D1289*Table3[[#This Row],[CF]]*chronic_consumption!$L89/1000/$C$3)</f>
        <v>#DIV/0!</v>
      </c>
      <c r="R1289" s="1098" t="e">
        <f>IF($D$1212="",0,$D1289*Table3[[#This Row],[CF]]*chronic_consumption!$M89/1000/$C$3)</f>
        <v>#DIV/0!</v>
      </c>
      <c r="S1289" s="1098" t="e">
        <f>IF($D$1212="",0,$D1289*Table3[[#This Row],[CF]]*chronic_consumption!$N89/1000/$C$3)</f>
        <v>#DIV/0!</v>
      </c>
      <c r="T1289" s="1098" t="e">
        <f>IF($D$1212="",0,$D1289*Table3[[#This Row],[CF]]*chronic_consumption!$O89/1000/$C$3)</f>
        <v>#DIV/0!</v>
      </c>
      <c r="U1289" s="1098" t="e">
        <f>IF($D$1212="",0,$D1289*Table3[[#This Row],[CF]]*chronic_consumption!$P89/1000/$C$3)</f>
        <v>#DIV/0!</v>
      </c>
      <c r="V1289" s="1098" t="e">
        <f>IF($D$1212="",0,$D1289*Table3[[#This Row],[CF]]*chronic_consumption!$Q89/1000/$C$3)</f>
        <v>#DIV/0!</v>
      </c>
      <c r="W1289" s="1098" t="e">
        <f>IF($D$1212="",0,$D1289*Table3[[#This Row],[CF]]*chronic_consumption!$R89/1000/$C$3)</f>
        <v>#DIV/0!</v>
      </c>
      <c r="X1289" s="1098" t="e">
        <f>IF($D$1212="",0,$D1289*Table3[[#This Row],[CF]]*chronic_consumption!$S89/1000/$C$3)</f>
        <v>#DIV/0!</v>
      </c>
      <c r="Y1289" s="1098" t="e">
        <f>IF($D$1212="",0,$D1289*Table3[[#This Row],[CF]]*chronic_consumption!$T89/1000/$C$3)</f>
        <v>#DIV/0!</v>
      </c>
      <c r="Z1289" s="1098" t="e">
        <f>IF($D$1212="",0,$D1289*Table3[[#This Row],[CF]]*chronic_consumption!$U89/1000/$C$3)</f>
        <v>#DIV/0!</v>
      </c>
      <c r="AA1289" s="1098" t="e">
        <f>IF($D$1212="",0,$D1289*Table3[[#This Row],[CF]]*chronic_consumption!$V89/1000/$C$3)</f>
        <v>#DIV/0!</v>
      </c>
      <c r="AB1289" s="1098" t="e">
        <f>IF($D$1212="",0,$D1289*Table3[[#This Row],[CF]]*chronic_consumption!$W89/1000/$C$3)</f>
        <v>#DIV/0!</v>
      </c>
      <c r="AC1289" s="1098" t="e">
        <f>IF($D$1212="",0,$D1289*Table3[[#This Row],[CF]]*chronic_consumption!$X89/1000/$C$3)</f>
        <v>#DIV/0!</v>
      </c>
      <c r="AD1289" s="1098" t="e">
        <f>IF($D$1212="",0,$D1289*Table3[[#This Row],[CF]]*chronic_consumption!$Y89/1000/$C$3)</f>
        <v>#DIV/0!</v>
      </c>
      <c r="AE1289" s="1098" t="e">
        <f>IF($D$1212="",0,$D1289*Table3[[#This Row],[CF]]*chronic_consumption!$Z89/1000/$C$3)</f>
        <v>#DIV/0!</v>
      </c>
      <c r="AF1289" s="1098" t="e">
        <f>IF($D$1212="",0,$D1289*Table3[[#This Row],[CF]]*chronic_consumption!$AA89/1000/$C$3)</f>
        <v>#DIV/0!</v>
      </c>
      <c r="AG1289" s="1098" t="e">
        <f>IF($D$1212="",0,$D1289*Table3[[#This Row],[CF]]*chronic_consumption!$AB89/1000/$C$3)</f>
        <v>#DIV/0!</v>
      </c>
      <c r="AH1289" s="1098" t="e">
        <f>IF($D$1212="",0,$D1289*Table3[[#This Row],[CF]]*chronic_consumption!$AC89/1000/$C$3)</f>
        <v>#DIV/0!</v>
      </c>
      <c r="AI1289" s="1098" t="e">
        <f>IF($D$1212="",0,$D1289*Table3[[#This Row],[CF]]*chronic_consumption!$AD89/1000/$C$3)</f>
        <v>#DIV/0!</v>
      </c>
      <c r="AJ1289" s="1098" t="e">
        <f>IF($D$1212="",0,$D1289*Table3[[#This Row],[CF]]*chronic_consumption!$AE89/1000/$C$3)</f>
        <v>#DIV/0!</v>
      </c>
      <c r="AK1289" s="1098" t="e">
        <f>IF($D$1212="",0,$D1289*Table3[[#This Row],[CF]]*chronic_consumption!$AF89/1000/$C$3)</f>
        <v>#DIV/0!</v>
      </c>
      <c r="AL1289" s="1098" t="e">
        <f>IF($D$1212="",0,$D1289*Table3[[#This Row],[CF]]*chronic_consumption!$AG89/1000/$C$3)</f>
        <v>#DIV/0!</v>
      </c>
      <c r="AM1289" s="1098" t="e">
        <f>IF($D$1212="",0,$D1289*Table3[[#This Row],[CF]]*chronic_consumption!$AH89/1000/$C$3)</f>
        <v>#DIV/0!</v>
      </c>
      <c r="AN1289" s="1098" t="e">
        <f>IF($D$1212="",0,$D1289*Table3[[#This Row],[CF]]*chronic_consumption!$AI89/1000/$C$3)</f>
        <v>#DIV/0!</v>
      </c>
      <c r="AO1289" s="1098" t="e">
        <f>IF($D$1212="",0,$D1289*Table3[[#This Row],[CF]]*chronic_consumption!$AJ89/1000/$C$3)</f>
        <v>#DIV/0!</v>
      </c>
      <c r="AP1289" s="1098" t="e">
        <f>IF($D$1212="",0,$D1289*Table3[[#This Row],[CF]]*chronic_consumption!$AK89/1000/$C$3)</f>
        <v>#DIV/0!</v>
      </c>
      <c r="AQ1289" s="1098" t="e">
        <f>IF($D$1212="",0,$D1289*Table3[[#This Row],[CF]]*chronic_consumption!$AL89/1000/$C$3)</f>
        <v>#DIV/0!</v>
      </c>
      <c r="AR1289" s="1098" t="e">
        <f>IF($D$1212="",0,$D1289*Table3[[#This Row],[CF]]*chronic_consumption!$AM89/1000/$C$3)</f>
        <v>#DIV/0!</v>
      </c>
      <c r="AS1289" s="1098" t="e">
        <f>IF($D$1212="",0,$D1289*Table3[[#This Row],[CF]]*chronic_consumption!$AN89/1000/$C$3)</f>
        <v>#DIV/0!</v>
      </c>
      <c r="AT1289" s="1098" t="e">
        <f>IF($D$1212="",0,$D1289*Table3[[#This Row],[CF]]*chronic_consumption!$AO89/1000/$C$3)</f>
        <v>#DIV/0!</v>
      </c>
      <c r="AU1289" s="1099" t="e">
        <f t="shared" si="844"/>
        <v>#DIV/0!</v>
      </c>
      <c r="AV1289" s="1099" t="e">
        <f t="shared" si="844"/>
        <v>#DIV/0!</v>
      </c>
      <c r="AW1289" s="1099" t="e">
        <f t="shared" si="844"/>
        <v>#DIV/0!</v>
      </c>
      <c r="AX1289" s="1099" t="e">
        <f t="shared" si="844"/>
        <v>#DIV/0!</v>
      </c>
      <c r="AY1289" s="1099" t="e">
        <f t="shared" si="844"/>
        <v>#DIV/0!</v>
      </c>
      <c r="AZ1289" s="1091" t="s">
        <v>1012</v>
      </c>
      <c r="BA1289" s="1097" t="e">
        <f>IF(Table3[[#This Row],[max]]&lt;&gt;0,RANK(Table3[[#This Row],[max]],Table3[max],0),"")</f>
        <v>#DIV/0!</v>
      </c>
      <c r="BB1289" s="1096" t="e">
        <f t="shared" si="842"/>
        <v>#DIV/0!</v>
      </c>
      <c r="BC1289" s="1096" t="e">
        <f t="shared" ca="1" si="843"/>
        <v>#DIV/0!</v>
      </c>
      <c r="BD1289" s="1096" t="e">
        <f>IF(Table3[[#This Row],[max]]&gt;0,Table3[[#This Row],[Crop groups and examples of individual products within the groups to which the MRLs apply]],"")</f>
        <v>#DIV/0!</v>
      </c>
    </row>
    <row r="1290" spans="2:56" x14ac:dyDescent="0.2">
      <c r="B1290" s="23">
        <f t="shared" si="840"/>
        <v>163060</v>
      </c>
      <c r="C1290" s="23" t="str">
        <f t="shared" si="840"/>
        <v>Cherimoyas</v>
      </c>
      <c r="D1290" s="1084">
        <f>input_values!E90</f>
        <v>0</v>
      </c>
      <c r="E1290" s="1084">
        <f>input_values!F90</f>
        <v>0</v>
      </c>
      <c r="F1290" s="1085">
        <f>input_values!W90</f>
        <v>1</v>
      </c>
      <c r="G1290" s="1085" t="str">
        <f>IF(Table3[[#This Row],[CF]]&gt;0,CONCATENATE(IF(Table3[[#This Row],[LOQ]]="*","LOQ","MRL"),IF(input_values!G90&gt;0,"×CFrisk","")),"")</f>
        <v>MRL</v>
      </c>
      <c r="H1290" s="1087">
        <f>input_values!L90</f>
        <v>0</v>
      </c>
      <c r="I1290" s="1088">
        <f>input_values!D90</f>
        <v>0</v>
      </c>
      <c r="J1290" s="1098" t="e">
        <f>IF($D$1212="",0,$D1290*Table3[[#This Row],[CF]]*chronic_consumption!$E90/1000/$C$3)</f>
        <v>#DIV/0!</v>
      </c>
      <c r="K1290" s="1098" t="e">
        <f>IF($D$1212="",0,$D1290*Table3[[#This Row],[CF]]*chronic_consumption!$F90/1000/$C$3)</f>
        <v>#DIV/0!</v>
      </c>
      <c r="L1290" s="1098" t="e">
        <f>IF($D$1212="",0,$D1290*Table3[[#This Row],[CF]]*chronic_consumption!$G90/1000/$C$3)</f>
        <v>#DIV/0!</v>
      </c>
      <c r="M1290" s="1098" t="e">
        <f>IF($D$1212="",0,$D1290*Table3[[#This Row],[CF]]*chronic_consumption!$H90/1000/$C$3)</f>
        <v>#DIV/0!</v>
      </c>
      <c r="N1290" s="1098" t="e">
        <f>IF($D$1212="",0,$D1290*Table3[[#This Row],[CF]]*chronic_consumption!$I90/1000/$C$3)</f>
        <v>#DIV/0!</v>
      </c>
      <c r="O1290" s="1098" t="e">
        <f>IF($D$1212="",0,$D1290*Table3[[#This Row],[CF]]*chronic_consumption!$J90/1000/$C$3)</f>
        <v>#DIV/0!</v>
      </c>
      <c r="P1290" s="1098" t="e">
        <f>IF($D$1212="",0,$D1290*Table3[[#This Row],[CF]]*chronic_consumption!$K90/1000/$C$3)</f>
        <v>#DIV/0!</v>
      </c>
      <c r="Q1290" s="1098" t="e">
        <f>IF($D$1212="",0,$D1290*Table3[[#This Row],[CF]]*chronic_consumption!$L90/1000/$C$3)</f>
        <v>#DIV/0!</v>
      </c>
      <c r="R1290" s="1098" t="e">
        <f>IF($D$1212="",0,$D1290*Table3[[#This Row],[CF]]*chronic_consumption!$M90/1000/$C$3)</f>
        <v>#DIV/0!</v>
      </c>
      <c r="S1290" s="1098" t="e">
        <f>IF($D$1212="",0,$D1290*Table3[[#This Row],[CF]]*chronic_consumption!$N90/1000/$C$3)</f>
        <v>#DIV/0!</v>
      </c>
      <c r="T1290" s="1098" t="e">
        <f>IF($D$1212="",0,$D1290*Table3[[#This Row],[CF]]*chronic_consumption!$O90/1000/$C$3)</f>
        <v>#DIV/0!</v>
      </c>
      <c r="U1290" s="1098" t="e">
        <f>IF($D$1212="",0,$D1290*Table3[[#This Row],[CF]]*chronic_consumption!$P90/1000/$C$3)</f>
        <v>#DIV/0!</v>
      </c>
      <c r="V1290" s="1098" t="e">
        <f>IF($D$1212="",0,$D1290*Table3[[#This Row],[CF]]*chronic_consumption!$Q90/1000/$C$3)</f>
        <v>#DIV/0!</v>
      </c>
      <c r="W1290" s="1098" t="e">
        <f>IF($D$1212="",0,$D1290*Table3[[#This Row],[CF]]*chronic_consumption!$R90/1000/$C$3)</f>
        <v>#DIV/0!</v>
      </c>
      <c r="X1290" s="1098" t="e">
        <f>IF($D$1212="",0,$D1290*Table3[[#This Row],[CF]]*chronic_consumption!$S90/1000/$C$3)</f>
        <v>#DIV/0!</v>
      </c>
      <c r="Y1290" s="1098" t="e">
        <f>IF($D$1212="",0,$D1290*Table3[[#This Row],[CF]]*chronic_consumption!$T90/1000/$C$3)</f>
        <v>#DIV/0!</v>
      </c>
      <c r="Z1290" s="1098" t="e">
        <f>IF($D$1212="",0,$D1290*Table3[[#This Row],[CF]]*chronic_consumption!$U90/1000/$C$3)</f>
        <v>#DIV/0!</v>
      </c>
      <c r="AA1290" s="1098" t="e">
        <f>IF($D$1212="",0,$D1290*Table3[[#This Row],[CF]]*chronic_consumption!$V90/1000/$C$3)</f>
        <v>#DIV/0!</v>
      </c>
      <c r="AB1290" s="1098" t="e">
        <f>IF($D$1212="",0,$D1290*Table3[[#This Row],[CF]]*chronic_consumption!$W90/1000/$C$3)</f>
        <v>#DIV/0!</v>
      </c>
      <c r="AC1290" s="1098" t="e">
        <f>IF($D$1212="",0,$D1290*Table3[[#This Row],[CF]]*chronic_consumption!$X90/1000/$C$3)</f>
        <v>#DIV/0!</v>
      </c>
      <c r="AD1290" s="1098" t="e">
        <f>IF($D$1212="",0,$D1290*Table3[[#This Row],[CF]]*chronic_consumption!$Y90/1000/$C$3)</f>
        <v>#DIV/0!</v>
      </c>
      <c r="AE1290" s="1098" t="e">
        <f>IF($D$1212="",0,$D1290*Table3[[#This Row],[CF]]*chronic_consumption!$Z90/1000/$C$3)</f>
        <v>#DIV/0!</v>
      </c>
      <c r="AF1290" s="1098" t="e">
        <f>IF($D$1212="",0,$D1290*Table3[[#This Row],[CF]]*chronic_consumption!$AA90/1000/$C$3)</f>
        <v>#DIV/0!</v>
      </c>
      <c r="AG1290" s="1098" t="e">
        <f>IF($D$1212="",0,$D1290*Table3[[#This Row],[CF]]*chronic_consumption!$AB90/1000/$C$3)</f>
        <v>#DIV/0!</v>
      </c>
      <c r="AH1290" s="1098" t="e">
        <f>IF($D$1212="",0,$D1290*Table3[[#This Row],[CF]]*chronic_consumption!$AC90/1000/$C$3)</f>
        <v>#DIV/0!</v>
      </c>
      <c r="AI1290" s="1098" t="e">
        <f>IF($D$1212="",0,$D1290*Table3[[#This Row],[CF]]*chronic_consumption!$AD90/1000/$C$3)</f>
        <v>#DIV/0!</v>
      </c>
      <c r="AJ1290" s="1098" t="e">
        <f>IF($D$1212="",0,$D1290*Table3[[#This Row],[CF]]*chronic_consumption!$AE90/1000/$C$3)</f>
        <v>#DIV/0!</v>
      </c>
      <c r="AK1290" s="1098" t="e">
        <f>IF($D$1212="",0,$D1290*Table3[[#This Row],[CF]]*chronic_consumption!$AF90/1000/$C$3)</f>
        <v>#DIV/0!</v>
      </c>
      <c r="AL1290" s="1098" t="e">
        <f>IF($D$1212="",0,$D1290*Table3[[#This Row],[CF]]*chronic_consumption!$AG90/1000/$C$3)</f>
        <v>#DIV/0!</v>
      </c>
      <c r="AM1290" s="1098" t="e">
        <f>IF($D$1212="",0,$D1290*Table3[[#This Row],[CF]]*chronic_consumption!$AH90/1000/$C$3)</f>
        <v>#DIV/0!</v>
      </c>
      <c r="AN1290" s="1098" t="e">
        <f>IF($D$1212="",0,$D1290*Table3[[#This Row],[CF]]*chronic_consumption!$AI90/1000/$C$3)</f>
        <v>#DIV/0!</v>
      </c>
      <c r="AO1290" s="1098" t="e">
        <f>IF($D$1212="",0,$D1290*Table3[[#This Row],[CF]]*chronic_consumption!$AJ90/1000/$C$3)</f>
        <v>#DIV/0!</v>
      </c>
      <c r="AP1290" s="1098" t="e">
        <f>IF($D$1212="",0,$D1290*Table3[[#This Row],[CF]]*chronic_consumption!$AK90/1000/$C$3)</f>
        <v>#DIV/0!</v>
      </c>
      <c r="AQ1290" s="1098" t="e">
        <f>IF($D$1212="",0,$D1290*Table3[[#This Row],[CF]]*chronic_consumption!$AL90/1000/$C$3)</f>
        <v>#DIV/0!</v>
      </c>
      <c r="AR1290" s="1098" t="e">
        <f>IF($D$1212="",0,$D1290*Table3[[#This Row],[CF]]*chronic_consumption!$AM90/1000/$C$3)</f>
        <v>#DIV/0!</v>
      </c>
      <c r="AS1290" s="1098" t="e">
        <f>IF($D$1212="",0,$D1290*Table3[[#This Row],[CF]]*chronic_consumption!$AN90/1000/$C$3)</f>
        <v>#DIV/0!</v>
      </c>
      <c r="AT1290" s="1098" t="e">
        <f>IF($D$1212="",0,$D1290*Table3[[#This Row],[CF]]*chronic_consumption!$AO90/1000/$C$3)</f>
        <v>#DIV/0!</v>
      </c>
      <c r="AU1290" s="1099" t="e">
        <f t="shared" si="844"/>
        <v>#DIV/0!</v>
      </c>
      <c r="AV1290" s="1099" t="e">
        <f t="shared" si="844"/>
        <v>#DIV/0!</v>
      </c>
      <c r="AW1290" s="1099" t="e">
        <f t="shared" si="844"/>
        <v>#DIV/0!</v>
      </c>
      <c r="AX1290" s="1099" t="e">
        <f t="shared" si="844"/>
        <v>#DIV/0!</v>
      </c>
      <c r="AY1290" s="1099" t="e">
        <f t="shared" si="844"/>
        <v>#DIV/0!</v>
      </c>
      <c r="AZ1290" s="1091" t="s">
        <v>1012</v>
      </c>
      <c r="BA1290" s="1097" t="e">
        <f>IF(Table3[[#This Row],[max]]&lt;&gt;0,RANK(Table3[[#This Row],[max]],Table3[max],0),"")</f>
        <v>#DIV/0!</v>
      </c>
      <c r="BB1290" s="1096" t="e">
        <f t="shared" si="842"/>
        <v>#DIV/0!</v>
      </c>
      <c r="BC1290" s="1096" t="e">
        <f t="shared" ca="1" si="843"/>
        <v>#DIV/0!</v>
      </c>
      <c r="BD1290" s="1096" t="e">
        <f>IF(Table3[[#This Row],[max]]&gt;0,Table3[[#This Row],[Crop groups and examples of individual products within the groups to which the MRLs apply]],"")</f>
        <v>#DIV/0!</v>
      </c>
    </row>
    <row r="1291" spans="2:56" x14ac:dyDescent="0.2">
      <c r="B1291" s="23">
        <f t="shared" si="840"/>
        <v>163070</v>
      </c>
      <c r="C1291" s="23" t="str">
        <f t="shared" si="840"/>
        <v>Guavas</v>
      </c>
      <c r="D1291" s="1084">
        <f>input_values!E91</f>
        <v>0</v>
      </c>
      <c r="E1291" s="1084">
        <f>input_values!F91</f>
        <v>0</v>
      </c>
      <c r="F1291" s="1085">
        <f>input_values!W91</f>
        <v>1</v>
      </c>
      <c r="G1291" s="1085" t="str">
        <f>IF(Table3[[#This Row],[CF]]&gt;0,CONCATENATE(IF(Table3[[#This Row],[LOQ]]="*","LOQ","MRL"),IF(input_values!G91&gt;0,"×CFrisk","")),"")</f>
        <v>MRL</v>
      </c>
      <c r="H1291" s="1087">
        <f>input_values!L91</f>
        <v>0</v>
      </c>
      <c r="I1291" s="1088">
        <f>input_values!D91</f>
        <v>0</v>
      </c>
      <c r="J1291" s="1098" t="e">
        <f>IF($D$1212="",0,$D1291*Table3[[#This Row],[CF]]*chronic_consumption!$E91/1000/$C$3)</f>
        <v>#DIV/0!</v>
      </c>
      <c r="K1291" s="1098" t="e">
        <f>IF($D$1212="",0,$D1291*Table3[[#This Row],[CF]]*chronic_consumption!$F91/1000/$C$3)</f>
        <v>#DIV/0!</v>
      </c>
      <c r="L1291" s="1098" t="e">
        <f>IF($D$1212="",0,$D1291*Table3[[#This Row],[CF]]*chronic_consumption!$G91/1000/$C$3)</f>
        <v>#DIV/0!</v>
      </c>
      <c r="M1291" s="1098" t="e">
        <f>IF($D$1212="",0,$D1291*Table3[[#This Row],[CF]]*chronic_consumption!$H91/1000/$C$3)</f>
        <v>#DIV/0!</v>
      </c>
      <c r="N1291" s="1098" t="e">
        <f>IF($D$1212="",0,$D1291*Table3[[#This Row],[CF]]*chronic_consumption!$I91/1000/$C$3)</f>
        <v>#DIV/0!</v>
      </c>
      <c r="O1291" s="1098" t="e">
        <f>IF($D$1212="",0,$D1291*Table3[[#This Row],[CF]]*chronic_consumption!$J91/1000/$C$3)</f>
        <v>#DIV/0!</v>
      </c>
      <c r="P1291" s="1098" t="e">
        <f>IF($D$1212="",0,$D1291*Table3[[#This Row],[CF]]*chronic_consumption!$K91/1000/$C$3)</f>
        <v>#DIV/0!</v>
      </c>
      <c r="Q1291" s="1098" t="e">
        <f>IF($D$1212="",0,$D1291*Table3[[#This Row],[CF]]*chronic_consumption!$L91/1000/$C$3)</f>
        <v>#DIV/0!</v>
      </c>
      <c r="R1291" s="1098" t="e">
        <f>IF($D$1212="",0,$D1291*Table3[[#This Row],[CF]]*chronic_consumption!$M91/1000/$C$3)</f>
        <v>#DIV/0!</v>
      </c>
      <c r="S1291" s="1098" t="e">
        <f>IF($D$1212="",0,$D1291*Table3[[#This Row],[CF]]*chronic_consumption!$N91/1000/$C$3)</f>
        <v>#DIV/0!</v>
      </c>
      <c r="T1291" s="1098" t="e">
        <f>IF($D$1212="",0,$D1291*Table3[[#This Row],[CF]]*chronic_consumption!$O91/1000/$C$3)</f>
        <v>#DIV/0!</v>
      </c>
      <c r="U1291" s="1098" t="e">
        <f>IF($D$1212="",0,$D1291*Table3[[#This Row],[CF]]*chronic_consumption!$P91/1000/$C$3)</f>
        <v>#DIV/0!</v>
      </c>
      <c r="V1291" s="1098" t="e">
        <f>IF($D$1212="",0,$D1291*Table3[[#This Row],[CF]]*chronic_consumption!$Q91/1000/$C$3)</f>
        <v>#DIV/0!</v>
      </c>
      <c r="W1291" s="1098" t="e">
        <f>IF($D$1212="",0,$D1291*Table3[[#This Row],[CF]]*chronic_consumption!$R91/1000/$C$3)</f>
        <v>#DIV/0!</v>
      </c>
      <c r="X1291" s="1098" t="e">
        <f>IF($D$1212="",0,$D1291*Table3[[#This Row],[CF]]*chronic_consumption!$S91/1000/$C$3)</f>
        <v>#DIV/0!</v>
      </c>
      <c r="Y1291" s="1098" t="e">
        <f>IF($D$1212="",0,$D1291*Table3[[#This Row],[CF]]*chronic_consumption!$T91/1000/$C$3)</f>
        <v>#DIV/0!</v>
      </c>
      <c r="Z1291" s="1098" t="e">
        <f>IF($D$1212="",0,$D1291*Table3[[#This Row],[CF]]*chronic_consumption!$U91/1000/$C$3)</f>
        <v>#DIV/0!</v>
      </c>
      <c r="AA1291" s="1098" t="e">
        <f>IF($D$1212="",0,$D1291*Table3[[#This Row],[CF]]*chronic_consumption!$V91/1000/$C$3)</f>
        <v>#DIV/0!</v>
      </c>
      <c r="AB1291" s="1098" t="e">
        <f>IF($D$1212="",0,$D1291*Table3[[#This Row],[CF]]*chronic_consumption!$W91/1000/$C$3)</f>
        <v>#DIV/0!</v>
      </c>
      <c r="AC1291" s="1098" t="e">
        <f>IF($D$1212="",0,$D1291*Table3[[#This Row],[CF]]*chronic_consumption!$X91/1000/$C$3)</f>
        <v>#DIV/0!</v>
      </c>
      <c r="AD1291" s="1098" t="e">
        <f>IF($D$1212="",0,$D1291*Table3[[#This Row],[CF]]*chronic_consumption!$Y91/1000/$C$3)</f>
        <v>#DIV/0!</v>
      </c>
      <c r="AE1291" s="1098" t="e">
        <f>IF($D$1212="",0,$D1291*Table3[[#This Row],[CF]]*chronic_consumption!$Z91/1000/$C$3)</f>
        <v>#DIV/0!</v>
      </c>
      <c r="AF1291" s="1098" t="e">
        <f>IF($D$1212="",0,$D1291*Table3[[#This Row],[CF]]*chronic_consumption!$AA91/1000/$C$3)</f>
        <v>#DIV/0!</v>
      </c>
      <c r="AG1291" s="1098" t="e">
        <f>IF($D$1212="",0,$D1291*Table3[[#This Row],[CF]]*chronic_consumption!$AB91/1000/$C$3)</f>
        <v>#DIV/0!</v>
      </c>
      <c r="AH1291" s="1098" t="e">
        <f>IF($D$1212="",0,$D1291*Table3[[#This Row],[CF]]*chronic_consumption!$AC91/1000/$C$3)</f>
        <v>#DIV/0!</v>
      </c>
      <c r="AI1291" s="1098" t="e">
        <f>IF($D$1212="",0,$D1291*Table3[[#This Row],[CF]]*chronic_consumption!$AD91/1000/$C$3)</f>
        <v>#DIV/0!</v>
      </c>
      <c r="AJ1291" s="1098" t="e">
        <f>IF($D$1212="",0,$D1291*Table3[[#This Row],[CF]]*chronic_consumption!$AE91/1000/$C$3)</f>
        <v>#DIV/0!</v>
      </c>
      <c r="AK1291" s="1098" t="e">
        <f>IF($D$1212="",0,$D1291*Table3[[#This Row],[CF]]*chronic_consumption!$AF91/1000/$C$3)</f>
        <v>#DIV/0!</v>
      </c>
      <c r="AL1291" s="1098" t="e">
        <f>IF($D$1212="",0,$D1291*Table3[[#This Row],[CF]]*chronic_consumption!$AG91/1000/$C$3)</f>
        <v>#DIV/0!</v>
      </c>
      <c r="AM1291" s="1098" t="e">
        <f>IF($D$1212="",0,$D1291*Table3[[#This Row],[CF]]*chronic_consumption!$AH91/1000/$C$3)</f>
        <v>#DIV/0!</v>
      </c>
      <c r="AN1291" s="1098" t="e">
        <f>IF($D$1212="",0,$D1291*Table3[[#This Row],[CF]]*chronic_consumption!$AI91/1000/$C$3)</f>
        <v>#DIV/0!</v>
      </c>
      <c r="AO1291" s="1098" t="e">
        <f>IF($D$1212="",0,$D1291*Table3[[#This Row],[CF]]*chronic_consumption!$AJ91/1000/$C$3)</f>
        <v>#DIV/0!</v>
      </c>
      <c r="AP1291" s="1098" t="e">
        <f>IF($D$1212="",0,$D1291*Table3[[#This Row],[CF]]*chronic_consumption!$AK91/1000/$C$3)</f>
        <v>#DIV/0!</v>
      </c>
      <c r="AQ1291" s="1098" t="e">
        <f>IF($D$1212="",0,$D1291*Table3[[#This Row],[CF]]*chronic_consumption!$AL91/1000/$C$3)</f>
        <v>#DIV/0!</v>
      </c>
      <c r="AR1291" s="1098" t="e">
        <f>IF($D$1212="",0,$D1291*Table3[[#This Row],[CF]]*chronic_consumption!$AM91/1000/$C$3)</f>
        <v>#DIV/0!</v>
      </c>
      <c r="AS1291" s="1098" t="e">
        <f>IF($D$1212="",0,$D1291*Table3[[#This Row],[CF]]*chronic_consumption!$AN91/1000/$C$3)</f>
        <v>#DIV/0!</v>
      </c>
      <c r="AT1291" s="1098" t="e">
        <f>IF($D$1212="",0,$D1291*Table3[[#This Row],[CF]]*chronic_consumption!$AO91/1000/$C$3)</f>
        <v>#DIV/0!</v>
      </c>
      <c r="AU1291" s="1099" t="e">
        <f t="shared" si="844"/>
        <v>#DIV/0!</v>
      </c>
      <c r="AV1291" s="1099" t="e">
        <f t="shared" si="844"/>
        <v>#DIV/0!</v>
      </c>
      <c r="AW1291" s="1099" t="e">
        <f t="shared" si="844"/>
        <v>#DIV/0!</v>
      </c>
      <c r="AX1291" s="1099" t="e">
        <f t="shared" si="844"/>
        <v>#DIV/0!</v>
      </c>
      <c r="AY1291" s="1099" t="e">
        <f t="shared" si="844"/>
        <v>#DIV/0!</v>
      </c>
      <c r="AZ1291" s="1091" t="s">
        <v>1012</v>
      </c>
      <c r="BA1291" s="1097" t="e">
        <f>IF(Table3[[#This Row],[max]]&lt;&gt;0,RANK(Table3[[#This Row],[max]],Table3[max],0),"")</f>
        <v>#DIV/0!</v>
      </c>
      <c r="BB1291" s="1096" t="e">
        <f t="shared" si="842"/>
        <v>#DIV/0!</v>
      </c>
      <c r="BC1291" s="1096" t="e">
        <f t="shared" ca="1" si="843"/>
        <v>#DIV/0!</v>
      </c>
      <c r="BD1291" s="1096" t="e">
        <f>IF(Table3[[#This Row],[max]]&gt;0,Table3[[#This Row],[Crop groups and examples of individual products within the groups to which the MRLs apply]],"")</f>
        <v>#DIV/0!</v>
      </c>
    </row>
    <row r="1292" spans="2:56" x14ac:dyDescent="0.2">
      <c r="B1292" s="23">
        <f t="shared" ref="B1292:C1311" si="845">B92</f>
        <v>163080</v>
      </c>
      <c r="C1292" s="23" t="str">
        <f t="shared" si="845"/>
        <v>Pineapples</v>
      </c>
      <c r="D1292" s="1084">
        <f>input_values!E92</f>
        <v>0</v>
      </c>
      <c r="E1292" s="1084">
        <f>input_values!F92</f>
        <v>0</v>
      </c>
      <c r="F1292" s="1085">
        <f>input_values!W92</f>
        <v>1</v>
      </c>
      <c r="G1292" s="1085" t="str">
        <f>IF(Table3[[#This Row],[CF]]&gt;0,CONCATENATE(IF(Table3[[#This Row],[LOQ]]="*","LOQ","MRL"),IF(input_values!G92&gt;0,"×CFrisk","")),"")</f>
        <v>MRL</v>
      </c>
      <c r="H1292" s="1087">
        <f>input_values!L92</f>
        <v>0</v>
      </c>
      <c r="I1292" s="1088">
        <f>input_values!D92</f>
        <v>0</v>
      </c>
      <c r="J1292" s="1098" t="e">
        <f>IF($D$1212="",0,$D1292*Table3[[#This Row],[CF]]*chronic_consumption!$E92/1000/$C$3)</f>
        <v>#DIV/0!</v>
      </c>
      <c r="K1292" s="1098" t="e">
        <f>IF($D$1212="",0,$D1292*Table3[[#This Row],[CF]]*chronic_consumption!$F92/1000/$C$3)</f>
        <v>#DIV/0!</v>
      </c>
      <c r="L1292" s="1098" t="e">
        <f>IF($D$1212="",0,$D1292*Table3[[#This Row],[CF]]*chronic_consumption!$G92/1000/$C$3)</f>
        <v>#DIV/0!</v>
      </c>
      <c r="M1292" s="1098" t="e">
        <f>IF($D$1212="",0,$D1292*Table3[[#This Row],[CF]]*chronic_consumption!$H92/1000/$C$3)</f>
        <v>#DIV/0!</v>
      </c>
      <c r="N1292" s="1098" t="e">
        <f>IF($D$1212="",0,$D1292*Table3[[#This Row],[CF]]*chronic_consumption!$I92/1000/$C$3)</f>
        <v>#DIV/0!</v>
      </c>
      <c r="O1292" s="1098" t="e">
        <f>IF($D$1212="",0,$D1292*Table3[[#This Row],[CF]]*chronic_consumption!$J92/1000/$C$3)</f>
        <v>#DIV/0!</v>
      </c>
      <c r="P1292" s="1098" t="e">
        <f>IF($D$1212="",0,$D1292*Table3[[#This Row],[CF]]*chronic_consumption!$K92/1000/$C$3)</f>
        <v>#DIV/0!</v>
      </c>
      <c r="Q1292" s="1098" t="e">
        <f>IF($D$1212="",0,$D1292*Table3[[#This Row],[CF]]*chronic_consumption!$L92/1000/$C$3)</f>
        <v>#DIV/0!</v>
      </c>
      <c r="R1292" s="1098" t="e">
        <f>IF($D$1212="",0,$D1292*Table3[[#This Row],[CF]]*chronic_consumption!$M92/1000/$C$3)</f>
        <v>#DIV/0!</v>
      </c>
      <c r="S1292" s="1098" t="e">
        <f>IF($D$1212="",0,$D1292*Table3[[#This Row],[CF]]*chronic_consumption!$N92/1000/$C$3)</f>
        <v>#DIV/0!</v>
      </c>
      <c r="T1292" s="1098" t="e">
        <f>IF($D$1212="",0,$D1292*Table3[[#This Row],[CF]]*chronic_consumption!$O92/1000/$C$3)</f>
        <v>#DIV/0!</v>
      </c>
      <c r="U1292" s="1098" t="e">
        <f>IF($D$1212="",0,$D1292*Table3[[#This Row],[CF]]*chronic_consumption!$P92/1000/$C$3)</f>
        <v>#DIV/0!</v>
      </c>
      <c r="V1292" s="1098" t="e">
        <f>IF($D$1212="",0,$D1292*Table3[[#This Row],[CF]]*chronic_consumption!$Q92/1000/$C$3)</f>
        <v>#DIV/0!</v>
      </c>
      <c r="W1292" s="1098" t="e">
        <f>IF($D$1212="",0,$D1292*Table3[[#This Row],[CF]]*chronic_consumption!$R92/1000/$C$3)</f>
        <v>#DIV/0!</v>
      </c>
      <c r="X1292" s="1098" t="e">
        <f>IF($D$1212="",0,$D1292*Table3[[#This Row],[CF]]*chronic_consumption!$S92/1000/$C$3)</f>
        <v>#DIV/0!</v>
      </c>
      <c r="Y1292" s="1098" t="e">
        <f>IF($D$1212="",0,$D1292*Table3[[#This Row],[CF]]*chronic_consumption!$T92/1000/$C$3)</f>
        <v>#DIV/0!</v>
      </c>
      <c r="Z1292" s="1098" t="e">
        <f>IF($D$1212="",0,$D1292*Table3[[#This Row],[CF]]*chronic_consumption!$U92/1000/$C$3)</f>
        <v>#DIV/0!</v>
      </c>
      <c r="AA1292" s="1098" t="e">
        <f>IF($D$1212="",0,$D1292*Table3[[#This Row],[CF]]*chronic_consumption!$V92/1000/$C$3)</f>
        <v>#DIV/0!</v>
      </c>
      <c r="AB1292" s="1098" t="e">
        <f>IF($D$1212="",0,$D1292*Table3[[#This Row],[CF]]*chronic_consumption!$W92/1000/$C$3)</f>
        <v>#DIV/0!</v>
      </c>
      <c r="AC1292" s="1098" t="e">
        <f>IF($D$1212="",0,$D1292*Table3[[#This Row],[CF]]*chronic_consumption!$X92/1000/$C$3)</f>
        <v>#DIV/0!</v>
      </c>
      <c r="AD1292" s="1098" t="e">
        <f>IF($D$1212="",0,$D1292*Table3[[#This Row],[CF]]*chronic_consumption!$Y92/1000/$C$3)</f>
        <v>#DIV/0!</v>
      </c>
      <c r="AE1292" s="1098" t="e">
        <f>IF($D$1212="",0,$D1292*Table3[[#This Row],[CF]]*chronic_consumption!$Z92/1000/$C$3)</f>
        <v>#DIV/0!</v>
      </c>
      <c r="AF1292" s="1098" t="e">
        <f>IF($D$1212="",0,$D1292*Table3[[#This Row],[CF]]*chronic_consumption!$AA92/1000/$C$3)</f>
        <v>#DIV/0!</v>
      </c>
      <c r="AG1292" s="1098" t="e">
        <f>IF($D$1212="",0,$D1292*Table3[[#This Row],[CF]]*chronic_consumption!$AB92/1000/$C$3)</f>
        <v>#DIV/0!</v>
      </c>
      <c r="AH1292" s="1098" t="e">
        <f>IF($D$1212="",0,$D1292*Table3[[#This Row],[CF]]*chronic_consumption!$AC92/1000/$C$3)</f>
        <v>#DIV/0!</v>
      </c>
      <c r="AI1292" s="1098" t="e">
        <f>IF($D$1212="",0,$D1292*Table3[[#This Row],[CF]]*chronic_consumption!$AD92/1000/$C$3)</f>
        <v>#DIV/0!</v>
      </c>
      <c r="AJ1292" s="1098" t="e">
        <f>IF($D$1212="",0,$D1292*Table3[[#This Row],[CF]]*chronic_consumption!$AE92/1000/$C$3)</f>
        <v>#DIV/0!</v>
      </c>
      <c r="AK1292" s="1098" t="e">
        <f>IF($D$1212="",0,$D1292*Table3[[#This Row],[CF]]*chronic_consumption!$AF92/1000/$C$3)</f>
        <v>#DIV/0!</v>
      </c>
      <c r="AL1292" s="1098" t="e">
        <f>IF($D$1212="",0,$D1292*Table3[[#This Row],[CF]]*chronic_consumption!$AG92/1000/$C$3)</f>
        <v>#DIV/0!</v>
      </c>
      <c r="AM1292" s="1098" t="e">
        <f>IF($D$1212="",0,$D1292*Table3[[#This Row],[CF]]*chronic_consumption!$AH92/1000/$C$3)</f>
        <v>#DIV/0!</v>
      </c>
      <c r="AN1292" s="1098" t="e">
        <f>IF($D$1212="",0,$D1292*Table3[[#This Row],[CF]]*chronic_consumption!$AI92/1000/$C$3)</f>
        <v>#DIV/0!</v>
      </c>
      <c r="AO1292" s="1098" t="e">
        <f>IF($D$1212="",0,$D1292*Table3[[#This Row],[CF]]*chronic_consumption!$AJ92/1000/$C$3)</f>
        <v>#DIV/0!</v>
      </c>
      <c r="AP1292" s="1098" t="e">
        <f>IF($D$1212="",0,$D1292*Table3[[#This Row],[CF]]*chronic_consumption!$AK92/1000/$C$3)</f>
        <v>#DIV/0!</v>
      </c>
      <c r="AQ1292" s="1098" t="e">
        <f>IF($D$1212="",0,$D1292*Table3[[#This Row],[CF]]*chronic_consumption!$AL92/1000/$C$3)</f>
        <v>#DIV/0!</v>
      </c>
      <c r="AR1292" s="1098" t="e">
        <f>IF($D$1212="",0,$D1292*Table3[[#This Row],[CF]]*chronic_consumption!$AM92/1000/$C$3)</f>
        <v>#DIV/0!</v>
      </c>
      <c r="AS1292" s="1098" t="e">
        <f>IF($D$1212="",0,$D1292*Table3[[#This Row],[CF]]*chronic_consumption!$AN92/1000/$C$3)</f>
        <v>#DIV/0!</v>
      </c>
      <c r="AT1292" s="1098" t="e">
        <f>IF($D$1212="",0,$D1292*Table3[[#This Row],[CF]]*chronic_consumption!$AO92/1000/$C$3)</f>
        <v>#DIV/0!</v>
      </c>
      <c r="AU1292" s="1099" t="e">
        <f t="shared" ref="AU1292:AY1301" si="846">IF(AU492="",0,IF(OR(1=RANK(AU892,AU$412:AU$790,0),(2=RANK(AU892,AU$412:AU$790,0))),AU892,AU492))</f>
        <v>#DIV/0!</v>
      </c>
      <c r="AV1292" s="1099" t="e">
        <f t="shared" si="846"/>
        <v>#DIV/0!</v>
      </c>
      <c r="AW1292" s="1099" t="e">
        <f t="shared" si="846"/>
        <v>#DIV/0!</v>
      </c>
      <c r="AX1292" s="1099" t="e">
        <f t="shared" si="846"/>
        <v>#DIV/0!</v>
      </c>
      <c r="AY1292" s="1099" t="e">
        <f t="shared" si="846"/>
        <v>#DIV/0!</v>
      </c>
      <c r="AZ1292" s="1091" t="s">
        <v>1012</v>
      </c>
      <c r="BA1292" s="1097" t="e">
        <f>IF(Table3[[#This Row],[max]]&lt;&gt;0,RANK(Table3[[#This Row],[max]],Table3[max],0),"")</f>
        <v>#DIV/0!</v>
      </c>
      <c r="BB1292" s="1096" t="e">
        <f t="shared" si="842"/>
        <v>#DIV/0!</v>
      </c>
      <c r="BC1292" s="1096" t="e">
        <f t="shared" ca="1" si="843"/>
        <v>#DIV/0!</v>
      </c>
      <c r="BD1292" s="1096" t="e">
        <f>IF(Table3[[#This Row],[max]]&gt;0,Table3[[#This Row],[Crop groups and examples of individual products within the groups to which the MRLs apply]],"")</f>
        <v>#DIV/0!</v>
      </c>
    </row>
    <row r="1293" spans="2:56" x14ac:dyDescent="0.2">
      <c r="B1293" s="23">
        <f t="shared" si="845"/>
        <v>163090</v>
      </c>
      <c r="C1293" s="23" t="str">
        <f t="shared" si="845"/>
        <v>Breadfruits</v>
      </c>
      <c r="D1293" s="1084">
        <f>input_values!E93</f>
        <v>0</v>
      </c>
      <c r="E1293" s="1084">
        <f>input_values!F93</f>
        <v>0</v>
      </c>
      <c r="F1293" s="1085">
        <f>input_values!W93</f>
        <v>1</v>
      </c>
      <c r="G1293" s="1085" t="str">
        <f>IF(Table3[[#This Row],[CF]]&gt;0,CONCATENATE(IF(Table3[[#This Row],[LOQ]]="*","LOQ","MRL"),IF(input_values!G93&gt;0,"×CFrisk","")),"")</f>
        <v>MRL</v>
      </c>
      <c r="H1293" s="1087">
        <f>input_values!L93</f>
        <v>0</v>
      </c>
      <c r="I1293" s="1088">
        <f>input_values!D93</f>
        <v>0</v>
      </c>
      <c r="J1293" s="1098" t="e">
        <f>IF($D$1212="",0,$D1293*Table3[[#This Row],[CF]]*chronic_consumption!$E93/1000/$C$3)</f>
        <v>#DIV/0!</v>
      </c>
      <c r="K1293" s="1098" t="e">
        <f>IF($D$1212="",0,$D1293*Table3[[#This Row],[CF]]*chronic_consumption!$F93/1000/$C$3)</f>
        <v>#DIV/0!</v>
      </c>
      <c r="L1293" s="1098" t="e">
        <f>IF($D$1212="",0,$D1293*Table3[[#This Row],[CF]]*chronic_consumption!$G93/1000/$C$3)</f>
        <v>#DIV/0!</v>
      </c>
      <c r="M1293" s="1098" t="e">
        <f>IF($D$1212="",0,$D1293*Table3[[#This Row],[CF]]*chronic_consumption!$H93/1000/$C$3)</f>
        <v>#DIV/0!</v>
      </c>
      <c r="N1293" s="1098" t="e">
        <f>IF($D$1212="",0,$D1293*Table3[[#This Row],[CF]]*chronic_consumption!$I93/1000/$C$3)</f>
        <v>#DIV/0!</v>
      </c>
      <c r="O1293" s="1098" t="e">
        <f>IF($D$1212="",0,$D1293*Table3[[#This Row],[CF]]*chronic_consumption!$J93/1000/$C$3)</f>
        <v>#DIV/0!</v>
      </c>
      <c r="P1293" s="1098" t="e">
        <f>IF($D$1212="",0,$D1293*Table3[[#This Row],[CF]]*chronic_consumption!$K93/1000/$C$3)</f>
        <v>#DIV/0!</v>
      </c>
      <c r="Q1293" s="1098" t="e">
        <f>IF($D$1212="",0,$D1293*Table3[[#This Row],[CF]]*chronic_consumption!$L93/1000/$C$3)</f>
        <v>#DIV/0!</v>
      </c>
      <c r="R1293" s="1098" t="e">
        <f>IF($D$1212="",0,$D1293*Table3[[#This Row],[CF]]*chronic_consumption!$M93/1000/$C$3)</f>
        <v>#DIV/0!</v>
      </c>
      <c r="S1293" s="1098" t="e">
        <f>IF($D$1212="",0,$D1293*Table3[[#This Row],[CF]]*chronic_consumption!$N93/1000/$C$3)</f>
        <v>#DIV/0!</v>
      </c>
      <c r="T1293" s="1098" t="e">
        <f>IF($D$1212="",0,$D1293*Table3[[#This Row],[CF]]*chronic_consumption!$O93/1000/$C$3)</f>
        <v>#DIV/0!</v>
      </c>
      <c r="U1293" s="1098" t="e">
        <f>IF($D$1212="",0,$D1293*Table3[[#This Row],[CF]]*chronic_consumption!$P93/1000/$C$3)</f>
        <v>#DIV/0!</v>
      </c>
      <c r="V1293" s="1098" t="e">
        <f>IF($D$1212="",0,$D1293*Table3[[#This Row],[CF]]*chronic_consumption!$Q93/1000/$C$3)</f>
        <v>#DIV/0!</v>
      </c>
      <c r="W1293" s="1098" t="e">
        <f>IF($D$1212="",0,$D1293*Table3[[#This Row],[CF]]*chronic_consumption!$R93/1000/$C$3)</f>
        <v>#DIV/0!</v>
      </c>
      <c r="X1293" s="1098" t="e">
        <f>IF($D$1212="",0,$D1293*Table3[[#This Row],[CF]]*chronic_consumption!$S93/1000/$C$3)</f>
        <v>#DIV/0!</v>
      </c>
      <c r="Y1293" s="1098" t="e">
        <f>IF($D$1212="",0,$D1293*Table3[[#This Row],[CF]]*chronic_consumption!$T93/1000/$C$3)</f>
        <v>#DIV/0!</v>
      </c>
      <c r="Z1293" s="1098" t="e">
        <f>IF($D$1212="",0,$D1293*Table3[[#This Row],[CF]]*chronic_consumption!$U93/1000/$C$3)</f>
        <v>#DIV/0!</v>
      </c>
      <c r="AA1293" s="1098" t="e">
        <f>IF($D$1212="",0,$D1293*Table3[[#This Row],[CF]]*chronic_consumption!$V93/1000/$C$3)</f>
        <v>#DIV/0!</v>
      </c>
      <c r="AB1293" s="1098" t="e">
        <f>IF($D$1212="",0,$D1293*Table3[[#This Row],[CF]]*chronic_consumption!$W93/1000/$C$3)</f>
        <v>#DIV/0!</v>
      </c>
      <c r="AC1293" s="1098" t="e">
        <f>IF($D$1212="",0,$D1293*Table3[[#This Row],[CF]]*chronic_consumption!$X93/1000/$C$3)</f>
        <v>#DIV/0!</v>
      </c>
      <c r="AD1293" s="1098" t="e">
        <f>IF($D$1212="",0,$D1293*Table3[[#This Row],[CF]]*chronic_consumption!$Y93/1000/$C$3)</f>
        <v>#DIV/0!</v>
      </c>
      <c r="AE1293" s="1098" t="e">
        <f>IF($D$1212="",0,$D1293*Table3[[#This Row],[CF]]*chronic_consumption!$Z93/1000/$C$3)</f>
        <v>#DIV/0!</v>
      </c>
      <c r="AF1293" s="1098" t="e">
        <f>IF($D$1212="",0,$D1293*Table3[[#This Row],[CF]]*chronic_consumption!$AA93/1000/$C$3)</f>
        <v>#DIV/0!</v>
      </c>
      <c r="AG1293" s="1098" t="e">
        <f>IF($D$1212="",0,$D1293*Table3[[#This Row],[CF]]*chronic_consumption!$AB93/1000/$C$3)</f>
        <v>#DIV/0!</v>
      </c>
      <c r="AH1293" s="1098" t="e">
        <f>IF($D$1212="",0,$D1293*Table3[[#This Row],[CF]]*chronic_consumption!$AC93/1000/$C$3)</f>
        <v>#DIV/0!</v>
      </c>
      <c r="AI1293" s="1098" t="e">
        <f>IF($D$1212="",0,$D1293*Table3[[#This Row],[CF]]*chronic_consumption!$AD93/1000/$C$3)</f>
        <v>#DIV/0!</v>
      </c>
      <c r="AJ1293" s="1098" t="e">
        <f>IF($D$1212="",0,$D1293*Table3[[#This Row],[CF]]*chronic_consumption!$AE93/1000/$C$3)</f>
        <v>#DIV/0!</v>
      </c>
      <c r="AK1293" s="1098" t="e">
        <f>IF($D$1212="",0,$D1293*Table3[[#This Row],[CF]]*chronic_consumption!$AF93/1000/$C$3)</f>
        <v>#DIV/0!</v>
      </c>
      <c r="AL1293" s="1098" t="e">
        <f>IF($D$1212="",0,$D1293*Table3[[#This Row],[CF]]*chronic_consumption!$AG93/1000/$C$3)</f>
        <v>#DIV/0!</v>
      </c>
      <c r="AM1293" s="1098" t="e">
        <f>IF($D$1212="",0,$D1293*Table3[[#This Row],[CF]]*chronic_consumption!$AH93/1000/$C$3)</f>
        <v>#DIV/0!</v>
      </c>
      <c r="AN1293" s="1098" t="e">
        <f>IF($D$1212="",0,$D1293*Table3[[#This Row],[CF]]*chronic_consumption!$AI93/1000/$C$3)</f>
        <v>#DIV/0!</v>
      </c>
      <c r="AO1293" s="1098" t="e">
        <f>IF($D$1212="",0,$D1293*Table3[[#This Row],[CF]]*chronic_consumption!$AJ93/1000/$C$3)</f>
        <v>#DIV/0!</v>
      </c>
      <c r="AP1293" s="1098" t="e">
        <f>IF($D$1212="",0,$D1293*Table3[[#This Row],[CF]]*chronic_consumption!$AK93/1000/$C$3)</f>
        <v>#DIV/0!</v>
      </c>
      <c r="AQ1293" s="1098" t="e">
        <f>IF($D$1212="",0,$D1293*Table3[[#This Row],[CF]]*chronic_consumption!$AL93/1000/$C$3)</f>
        <v>#DIV/0!</v>
      </c>
      <c r="AR1293" s="1098" t="e">
        <f>IF($D$1212="",0,$D1293*Table3[[#This Row],[CF]]*chronic_consumption!$AM93/1000/$C$3)</f>
        <v>#DIV/0!</v>
      </c>
      <c r="AS1293" s="1098" t="e">
        <f>IF($D$1212="",0,$D1293*Table3[[#This Row],[CF]]*chronic_consumption!$AN93/1000/$C$3)</f>
        <v>#DIV/0!</v>
      </c>
      <c r="AT1293" s="1098" t="e">
        <f>IF($D$1212="",0,$D1293*Table3[[#This Row],[CF]]*chronic_consumption!$AO93/1000/$C$3)</f>
        <v>#DIV/0!</v>
      </c>
      <c r="AU1293" s="1099" t="e">
        <f t="shared" si="846"/>
        <v>#DIV/0!</v>
      </c>
      <c r="AV1293" s="1099" t="e">
        <f t="shared" si="846"/>
        <v>#DIV/0!</v>
      </c>
      <c r="AW1293" s="1099" t="e">
        <f t="shared" si="846"/>
        <v>#DIV/0!</v>
      </c>
      <c r="AX1293" s="1099" t="e">
        <f t="shared" si="846"/>
        <v>#DIV/0!</v>
      </c>
      <c r="AY1293" s="1099" t="e">
        <f t="shared" si="846"/>
        <v>#DIV/0!</v>
      </c>
      <c r="AZ1293" s="1091" t="s">
        <v>1012</v>
      </c>
      <c r="BA1293" s="1097" t="e">
        <f>IF(Table3[[#This Row],[max]]&lt;&gt;0,RANK(Table3[[#This Row],[max]],Table3[max],0),"")</f>
        <v>#DIV/0!</v>
      </c>
      <c r="BB1293" s="1096" t="e">
        <f t="shared" si="842"/>
        <v>#DIV/0!</v>
      </c>
      <c r="BC1293" s="1096" t="e">
        <f t="shared" ca="1" si="843"/>
        <v>#DIV/0!</v>
      </c>
      <c r="BD1293" s="1096" t="e">
        <f>IF(Table3[[#This Row],[max]]&gt;0,Table3[[#This Row],[Crop groups and examples of individual products within the groups to which the MRLs apply]],"")</f>
        <v>#DIV/0!</v>
      </c>
    </row>
    <row r="1294" spans="2:56" x14ac:dyDescent="0.2">
      <c r="B1294" s="23">
        <f t="shared" si="845"/>
        <v>163100</v>
      </c>
      <c r="C1294" s="23" t="str">
        <f t="shared" si="845"/>
        <v>Durians</v>
      </c>
      <c r="D1294" s="1084">
        <f>input_values!E94</f>
        <v>0</v>
      </c>
      <c r="E1294" s="1084">
        <f>input_values!F94</f>
        <v>0</v>
      </c>
      <c r="F1294" s="1085">
        <f>input_values!W94</f>
        <v>1</v>
      </c>
      <c r="G1294" s="1085" t="str">
        <f>IF(Table3[[#This Row],[CF]]&gt;0,CONCATENATE(IF(Table3[[#This Row],[LOQ]]="*","LOQ","MRL"),IF(input_values!G94&gt;0,"×CFrisk","")),"")</f>
        <v>MRL</v>
      </c>
      <c r="H1294" s="1087">
        <f>input_values!L94</f>
        <v>0</v>
      </c>
      <c r="I1294" s="1088">
        <f>input_values!D94</f>
        <v>0</v>
      </c>
      <c r="J1294" s="1098" t="e">
        <f>IF($D$1212="",0,$D1294*Table3[[#This Row],[CF]]*chronic_consumption!$E94/1000/$C$3)</f>
        <v>#DIV/0!</v>
      </c>
      <c r="K1294" s="1098" t="e">
        <f>IF($D$1212="",0,$D1294*Table3[[#This Row],[CF]]*chronic_consumption!$F94/1000/$C$3)</f>
        <v>#DIV/0!</v>
      </c>
      <c r="L1294" s="1098" t="e">
        <f>IF($D$1212="",0,$D1294*Table3[[#This Row],[CF]]*chronic_consumption!$G94/1000/$C$3)</f>
        <v>#DIV/0!</v>
      </c>
      <c r="M1294" s="1098" t="e">
        <f>IF($D$1212="",0,$D1294*Table3[[#This Row],[CF]]*chronic_consumption!$H94/1000/$C$3)</f>
        <v>#DIV/0!</v>
      </c>
      <c r="N1294" s="1098" t="e">
        <f>IF($D$1212="",0,$D1294*Table3[[#This Row],[CF]]*chronic_consumption!$I94/1000/$C$3)</f>
        <v>#DIV/0!</v>
      </c>
      <c r="O1294" s="1098" t="e">
        <f>IF($D$1212="",0,$D1294*Table3[[#This Row],[CF]]*chronic_consumption!$J94/1000/$C$3)</f>
        <v>#DIV/0!</v>
      </c>
      <c r="P1294" s="1098" t="e">
        <f>IF($D$1212="",0,$D1294*Table3[[#This Row],[CF]]*chronic_consumption!$K94/1000/$C$3)</f>
        <v>#DIV/0!</v>
      </c>
      <c r="Q1294" s="1098" t="e">
        <f>IF($D$1212="",0,$D1294*Table3[[#This Row],[CF]]*chronic_consumption!$L94/1000/$C$3)</f>
        <v>#DIV/0!</v>
      </c>
      <c r="R1294" s="1098" t="e">
        <f>IF($D$1212="",0,$D1294*Table3[[#This Row],[CF]]*chronic_consumption!$M94/1000/$C$3)</f>
        <v>#DIV/0!</v>
      </c>
      <c r="S1294" s="1098" t="e">
        <f>IF($D$1212="",0,$D1294*Table3[[#This Row],[CF]]*chronic_consumption!$N94/1000/$C$3)</f>
        <v>#DIV/0!</v>
      </c>
      <c r="T1294" s="1098" t="e">
        <f>IF($D$1212="",0,$D1294*Table3[[#This Row],[CF]]*chronic_consumption!$O94/1000/$C$3)</f>
        <v>#DIV/0!</v>
      </c>
      <c r="U1294" s="1098" t="e">
        <f>IF($D$1212="",0,$D1294*Table3[[#This Row],[CF]]*chronic_consumption!$P94/1000/$C$3)</f>
        <v>#DIV/0!</v>
      </c>
      <c r="V1294" s="1098" t="e">
        <f>IF($D$1212="",0,$D1294*Table3[[#This Row],[CF]]*chronic_consumption!$Q94/1000/$C$3)</f>
        <v>#DIV/0!</v>
      </c>
      <c r="W1294" s="1098" t="e">
        <f>IF($D$1212="",0,$D1294*Table3[[#This Row],[CF]]*chronic_consumption!$R94/1000/$C$3)</f>
        <v>#DIV/0!</v>
      </c>
      <c r="X1294" s="1098" t="e">
        <f>IF($D$1212="",0,$D1294*Table3[[#This Row],[CF]]*chronic_consumption!$S94/1000/$C$3)</f>
        <v>#DIV/0!</v>
      </c>
      <c r="Y1294" s="1098" t="e">
        <f>IF($D$1212="",0,$D1294*Table3[[#This Row],[CF]]*chronic_consumption!$T94/1000/$C$3)</f>
        <v>#DIV/0!</v>
      </c>
      <c r="Z1294" s="1098" t="e">
        <f>IF($D$1212="",0,$D1294*Table3[[#This Row],[CF]]*chronic_consumption!$U94/1000/$C$3)</f>
        <v>#DIV/0!</v>
      </c>
      <c r="AA1294" s="1098" t="e">
        <f>IF($D$1212="",0,$D1294*Table3[[#This Row],[CF]]*chronic_consumption!$V94/1000/$C$3)</f>
        <v>#DIV/0!</v>
      </c>
      <c r="AB1294" s="1098" t="e">
        <f>IF($D$1212="",0,$D1294*Table3[[#This Row],[CF]]*chronic_consumption!$W94/1000/$C$3)</f>
        <v>#DIV/0!</v>
      </c>
      <c r="AC1294" s="1098" t="e">
        <f>IF($D$1212="",0,$D1294*Table3[[#This Row],[CF]]*chronic_consumption!$X94/1000/$C$3)</f>
        <v>#DIV/0!</v>
      </c>
      <c r="AD1294" s="1098" t="e">
        <f>IF($D$1212="",0,$D1294*Table3[[#This Row],[CF]]*chronic_consumption!$Y94/1000/$C$3)</f>
        <v>#DIV/0!</v>
      </c>
      <c r="AE1294" s="1098" t="e">
        <f>IF($D$1212="",0,$D1294*Table3[[#This Row],[CF]]*chronic_consumption!$Z94/1000/$C$3)</f>
        <v>#DIV/0!</v>
      </c>
      <c r="AF1294" s="1098" t="e">
        <f>IF($D$1212="",0,$D1294*Table3[[#This Row],[CF]]*chronic_consumption!$AA94/1000/$C$3)</f>
        <v>#DIV/0!</v>
      </c>
      <c r="AG1294" s="1098" t="e">
        <f>IF($D$1212="",0,$D1294*Table3[[#This Row],[CF]]*chronic_consumption!$AB94/1000/$C$3)</f>
        <v>#DIV/0!</v>
      </c>
      <c r="AH1294" s="1098" t="e">
        <f>IF($D$1212="",0,$D1294*Table3[[#This Row],[CF]]*chronic_consumption!$AC94/1000/$C$3)</f>
        <v>#DIV/0!</v>
      </c>
      <c r="AI1294" s="1098" t="e">
        <f>IF($D$1212="",0,$D1294*Table3[[#This Row],[CF]]*chronic_consumption!$AD94/1000/$C$3)</f>
        <v>#DIV/0!</v>
      </c>
      <c r="AJ1294" s="1098" t="e">
        <f>IF($D$1212="",0,$D1294*Table3[[#This Row],[CF]]*chronic_consumption!$AE94/1000/$C$3)</f>
        <v>#DIV/0!</v>
      </c>
      <c r="AK1294" s="1098" t="e">
        <f>IF($D$1212="",0,$D1294*Table3[[#This Row],[CF]]*chronic_consumption!$AF94/1000/$C$3)</f>
        <v>#DIV/0!</v>
      </c>
      <c r="AL1294" s="1098" t="e">
        <f>IF($D$1212="",0,$D1294*Table3[[#This Row],[CF]]*chronic_consumption!$AG94/1000/$C$3)</f>
        <v>#DIV/0!</v>
      </c>
      <c r="AM1294" s="1098" t="e">
        <f>IF($D$1212="",0,$D1294*Table3[[#This Row],[CF]]*chronic_consumption!$AH94/1000/$C$3)</f>
        <v>#DIV/0!</v>
      </c>
      <c r="AN1294" s="1098" t="e">
        <f>IF($D$1212="",0,$D1294*Table3[[#This Row],[CF]]*chronic_consumption!$AI94/1000/$C$3)</f>
        <v>#DIV/0!</v>
      </c>
      <c r="AO1294" s="1098" t="e">
        <f>IF($D$1212="",0,$D1294*Table3[[#This Row],[CF]]*chronic_consumption!$AJ94/1000/$C$3)</f>
        <v>#DIV/0!</v>
      </c>
      <c r="AP1294" s="1098" t="e">
        <f>IF($D$1212="",0,$D1294*Table3[[#This Row],[CF]]*chronic_consumption!$AK94/1000/$C$3)</f>
        <v>#DIV/0!</v>
      </c>
      <c r="AQ1294" s="1098" t="e">
        <f>IF($D$1212="",0,$D1294*Table3[[#This Row],[CF]]*chronic_consumption!$AL94/1000/$C$3)</f>
        <v>#DIV/0!</v>
      </c>
      <c r="AR1294" s="1098" t="e">
        <f>IF($D$1212="",0,$D1294*Table3[[#This Row],[CF]]*chronic_consumption!$AM94/1000/$C$3)</f>
        <v>#DIV/0!</v>
      </c>
      <c r="AS1294" s="1098" t="e">
        <f>IF($D$1212="",0,$D1294*Table3[[#This Row],[CF]]*chronic_consumption!$AN94/1000/$C$3)</f>
        <v>#DIV/0!</v>
      </c>
      <c r="AT1294" s="1098" t="e">
        <f>IF($D$1212="",0,$D1294*Table3[[#This Row],[CF]]*chronic_consumption!$AO94/1000/$C$3)</f>
        <v>#DIV/0!</v>
      </c>
      <c r="AU1294" s="1099" t="e">
        <f t="shared" si="846"/>
        <v>#DIV/0!</v>
      </c>
      <c r="AV1294" s="1099" t="e">
        <f t="shared" si="846"/>
        <v>#DIV/0!</v>
      </c>
      <c r="AW1294" s="1099" t="e">
        <f t="shared" si="846"/>
        <v>#DIV/0!</v>
      </c>
      <c r="AX1294" s="1099" t="e">
        <f t="shared" si="846"/>
        <v>#DIV/0!</v>
      </c>
      <c r="AY1294" s="1099" t="e">
        <f t="shared" si="846"/>
        <v>#DIV/0!</v>
      </c>
      <c r="AZ1294" s="1091" t="s">
        <v>1012</v>
      </c>
      <c r="BA1294" s="1097" t="e">
        <f>IF(Table3[[#This Row],[max]]&lt;&gt;0,RANK(Table3[[#This Row],[max]],Table3[max],0),"")</f>
        <v>#DIV/0!</v>
      </c>
      <c r="BB1294" s="1096" t="e">
        <f t="shared" si="842"/>
        <v>#DIV/0!</v>
      </c>
      <c r="BC1294" s="1096" t="e">
        <f t="shared" ca="1" si="843"/>
        <v>#DIV/0!</v>
      </c>
      <c r="BD1294" s="1096" t="e">
        <f>IF(Table3[[#This Row],[max]]&gt;0,Table3[[#This Row],[Crop groups and examples of individual products within the groups to which the MRLs apply]],"")</f>
        <v>#DIV/0!</v>
      </c>
    </row>
    <row r="1295" spans="2:56" x14ac:dyDescent="0.2">
      <c r="B1295" s="23">
        <f t="shared" si="845"/>
        <v>163110</v>
      </c>
      <c r="C1295" s="23" t="str">
        <f t="shared" si="845"/>
        <v>Soursops/guanabanas</v>
      </c>
      <c r="D1295" s="1084">
        <f>input_values!E95</f>
        <v>0</v>
      </c>
      <c r="E1295" s="1084">
        <f>input_values!F95</f>
        <v>0</v>
      </c>
      <c r="F1295" s="1085">
        <f>input_values!W95</f>
        <v>1</v>
      </c>
      <c r="G1295" s="1085" t="str">
        <f>IF(Table3[[#This Row],[CF]]&gt;0,CONCATENATE(IF(Table3[[#This Row],[LOQ]]="*","LOQ","MRL"),IF(input_values!G95&gt;0,"×CFrisk","")),"")</f>
        <v>MRL</v>
      </c>
      <c r="H1295" s="1087">
        <f>input_values!L95</f>
        <v>0</v>
      </c>
      <c r="I1295" s="1088">
        <f>input_values!D95</f>
        <v>0</v>
      </c>
      <c r="J1295" s="1098" t="e">
        <f>IF($D$1212="",0,$D1295*Table3[[#This Row],[CF]]*chronic_consumption!$E95/1000/$C$3)</f>
        <v>#DIV/0!</v>
      </c>
      <c r="K1295" s="1098" t="e">
        <f>IF($D$1212="",0,$D1295*Table3[[#This Row],[CF]]*chronic_consumption!$F95/1000/$C$3)</f>
        <v>#DIV/0!</v>
      </c>
      <c r="L1295" s="1098" t="e">
        <f>IF($D$1212="",0,$D1295*Table3[[#This Row],[CF]]*chronic_consumption!$G95/1000/$C$3)</f>
        <v>#DIV/0!</v>
      </c>
      <c r="M1295" s="1098" t="e">
        <f>IF($D$1212="",0,$D1295*Table3[[#This Row],[CF]]*chronic_consumption!$H95/1000/$C$3)</f>
        <v>#DIV/0!</v>
      </c>
      <c r="N1295" s="1098" t="e">
        <f>IF($D$1212="",0,$D1295*Table3[[#This Row],[CF]]*chronic_consumption!$I95/1000/$C$3)</f>
        <v>#DIV/0!</v>
      </c>
      <c r="O1295" s="1098" t="e">
        <f>IF($D$1212="",0,$D1295*Table3[[#This Row],[CF]]*chronic_consumption!$J95/1000/$C$3)</f>
        <v>#DIV/0!</v>
      </c>
      <c r="P1295" s="1098" t="e">
        <f>IF($D$1212="",0,$D1295*Table3[[#This Row],[CF]]*chronic_consumption!$K95/1000/$C$3)</f>
        <v>#DIV/0!</v>
      </c>
      <c r="Q1295" s="1098" t="e">
        <f>IF($D$1212="",0,$D1295*Table3[[#This Row],[CF]]*chronic_consumption!$L95/1000/$C$3)</f>
        <v>#DIV/0!</v>
      </c>
      <c r="R1295" s="1098" t="e">
        <f>IF($D$1212="",0,$D1295*Table3[[#This Row],[CF]]*chronic_consumption!$M95/1000/$C$3)</f>
        <v>#DIV/0!</v>
      </c>
      <c r="S1295" s="1098" t="e">
        <f>IF($D$1212="",0,$D1295*Table3[[#This Row],[CF]]*chronic_consumption!$N95/1000/$C$3)</f>
        <v>#DIV/0!</v>
      </c>
      <c r="T1295" s="1098" t="e">
        <f>IF($D$1212="",0,$D1295*Table3[[#This Row],[CF]]*chronic_consumption!$O95/1000/$C$3)</f>
        <v>#DIV/0!</v>
      </c>
      <c r="U1295" s="1098" t="e">
        <f>IF($D$1212="",0,$D1295*Table3[[#This Row],[CF]]*chronic_consumption!$P95/1000/$C$3)</f>
        <v>#DIV/0!</v>
      </c>
      <c r="V1295" s="1098" t="e">
        <f>IF($D$1212="",0,$D1295*Table3[[#This Row],[CF]]*chronic_consumption!$Q95/1000/$C$3)</f>
        <v>#DIV/0!</v>
      </c>
      <c r="W1295" s="1098" t="e">
        <f>IF($D$1212="",0,$D1295*Table3[[#This Row],[CF]]*chronic_consumption!$R95/1000/$C$3)</f>
        <v>#DIV/0!</v>
      </c>
      <c r="X1295" s="1098" t="e">
        <f>IF($D$1212="",0,$D1295*Table3[[#This Row],[CF]]*chronic_consumption!$S95/1000/$C$3)</f>
        <v>#DIV/0!</v>
      </c>
      <c r="Y1295" s="1098" t="e">
        <f>IF($D$1212="",0,$D1295*Table3[[#This Row],[CF]]*chronic_consumption!$T95/1000/$C$3)</f>
        <v>#DIV/0!</v>
      </c>
      <c r="Z1295" s="1098" t="e">
        <f>IF($D$1212="",0,$D1295*Table3[[#This Row],[CF]]*chronic_consumption!$U95/1000/$C$3)</f>
        <v>#DIV/0!</v>
      </c>
      <c r="AA1295" s="1098" t="e">
        <f>IF($D$1212="",0,$D1295*Table3[[#This Row],[CF]]*chronic_consumption!$V95/1000/$C$3)</f>
        <v>#DIV/0!</v>
      </c>
      <c r="AB1295" s="1098" t="e">
        <f>IF($D$1212="",0,$D1295*Table3[[#This Row],[CF]]*chronic_consumption!$W95/1000/$C$3)</f>
        <v>#DIV/0!</v>
      </c>
      <c r="AC1295" s="1098" t="e">
        <f>IF($D$1212="",0,$D1295*Table3[[#This Row],[CF]]*chronic_consumption!$X95/1000/$C$3)</f>
        <v>#DIV/0!</v>
      </c>
      <c r="AD1295" s="1098" t="e">
        <f>IF($D$1212="",0,$D1295*Table3[[#This Row],[CF]]*chronic_consumption!$Y95/1000/$C$3)</f>
        <v>#DIV/0!</v>
      </c>
      <c r="AE1295" s="1098" t="e">
        <f>IF($D$1212="",0,$D1295*Table3[[#This Row],[CF]]*chronic_consumption!$Z95/1000/$C$3)</f>
        <v>#DIV/0!</v>
      </c>
      <c r="AF1295" s="1098" t="e">
        <f>IF($D$1212="",0,$D1295*Table3[[#This Row],[CF]]*chronic_consumption!$AA95/1000/$C$3)</f>
        <v>#DIV/0!</v>
      </c>
      <c r="AG1295" s="1098" t="e">
        <f>IF($D$1212="",0,$D1295*Table3[[#This Row],[CF]]*chronic_consumption!$AB95/1000/$C$3)</f>
        <v>#DIV/0!</v>
      </c>
      <c r="AH1295" s="1098" t="e">
        <f>IF($D$1212="",0,$D1295*Table3[[#This Row],[CF]]*chronic_consumption!$AC95/1000/$C$3)</f>
        <v>#DIV/0!</v>
      </c>
      <c r="AI1295" s="1098" t="e">
        <f>IF($D$1212="",0,$D1295*Table3[[#This Row],[CF]]*chronic_consumption!$AD95/1000/$C$3)</f>
        <v>#DIV/0!</v>
      </c>
      <c r="AJ1295" s="1098" t="e">
        <f>IF($D$1212="",0,$D1295*Table3[[#This Row],[CF]]*chronic_consumption!$AE95/1000/$C$3)</f>
        <v>#DIV/0!</v>
      </c>
      <c r="AK1295" s="1098" t="e">
        <f>IF($D$1212="",0,$D1295*Table3[[#This Row],[CF]]*chronic_consumption!$AF95/1000/$C$3)</f>
        <v>#DIV/0!</v>
      </c>
      <c r="AL1295" s="1098" t="e">
        <f>IF($D$1212="",0,$D1295*Table3[[#This Row],[CF]]*chronic_consumption!$AG95/1000/$C$3)</f>
        <v>#DIV/0!</v>
      </c>
      <c r="AM1295" s="1098" t="e">
        <f>IF($D$1212="",0,$D1295*Table3[[#This Row],[CF]]*chronic_consumption!$AH95/1000/$C$3)</f>
        <v>#DIV/0!</v>
      </c>
      <c r="AN1295" s="1098" t="e">
        <f>IF($D$1212="",0,$D1295*Table3[[#This Row],[CF]]*chronic_consumption!$AI95/1000/$C$3)</f>
        <v>#DIV/0!</v>
      </c>
      <c r="AO1295" s="1098" t="e">
        <f>IF($D$1212="",0,$D1295*Table3[[#This Row],[CF]]*chronic_consumption!$AJ95/1000/$C$3)</f>
        <v>#DIV/0!</v>
      </c>
      <c r="AP1295" s="1098" t="e">
        <f>IF($D$1212="",0,$D1295*Table3[[#This Row],[CF]]*chronic_consumption!$AK95/1000/$C$3)</f>
        <v>#DIV/0!</v>
      </c>
      <c r="AQ1295" s="1098" t="e">
        <f>IF($D$1212="",0,$D1295*Table3[[#This Row],[CF]]*chronic_consumption!$AL95/1000/$C$3)</f>
        <v>#DIV/0!</v>
      </c>
      <c r="AR1295" s="1098" t="e">
        <f>IF($D$1212="",0,$D1295*Table3[[#This Row],[CF]]*chronic_consumption!$AM95/1000/$C$3)</f>
        <v>#DIV/0!</v>
      </c>
      <c r="AS1295" s="1098" t="e">
        <f>IF($D$1212="",0,$D1295*Table3[[#This Row],[CF]]*chronic_consumption!$AN95/1000/$C$3)</f>
        <v>#DIV/0!</v>
      </c>
      <c r="AT1295" s="1098" t="e">
        <f>IF($D$1212="",0,$D1295*Table3[[#This Row],[CF]]*chronic_consumption!$AO95/1000/$C$3)</f>
        <v>#DIV/0!</v>
      </c>
      <c r="AU1295" s="1099" t="e">
        <f t="shared" si="846"/>
        <v>#DIV/0!</v>
      </c>
      <c r="AV1295" s="1099" t="e">
        <f t="shared" si="846"/>
        <v>#DIV/0!</v>
      </c>
      <c r="AW1295" s="1099" t="e">
        <f t="shared" si="846"/>
        <v>#DIV/0!</v>
      </c>
      <c r="AX1295" s="1099" t="e">
        <f t="shared" si="846"/>
        <v>#DIV/0!</v>
      </c>
      <c r="AY1295" s="1099" t="e">
        <f t="shared" si="846"/>
        <v>#DIV/0!</v>
      </c>
      <c r="AZ1295" s="1091" t="s">
        <v>1012</v>
      </c>
      <c r="BA1295" s="1097" t="e">
        <f>IF(Table3[[#This Row],[max]]&lt;&gt;0,RANK(Table3[[#This Row],[max]],Table3[max],0),"")</f>
        <v>#DIV/0!</v>
      </c>
      <c r="BB1295" s="1096" t="e">
        <f t="shared" si="842"/>
        <v>#DIV/0!</v>
      </c>
      <c r="BC1295" s="1096" t="e">
        <f t="shared" ca="1" si="843"/>
        <v>#DIV/0!</v>
      </c>
      <c r="BD1295" s="1096" t="e">
        <f>IF(Table3[[#This Row],[max]]&gt;0,Table3[[#This Row],[Crop groups and examples of individual products within the groups to which the MRLs apply]],"")</f>
        <v>#DIV/0!</v>
      </c>
    </row>
    <row r="1296" spans="2:56" x14ac:dyDescent="0.2">
      <c r="B1296" s="23">
        <f t="shared" si="845"/>
        <v>163990</v>
      </c>
      <c r="C1296" s="23" t="str">
        <f t="shared" si="845"/>
        <v>Other miscallaneous fruit (inedible peel, large)</v>
      </c>
      <c r="D1296" s="1084">
        <f>input_values!E96</f>
        <v>0</v>
      </c>
      <c r="E1296" s="1084">
        <f>input_values!F96</f>
        <v>0</v>
      </c>
      <c r="F1296" s="1085">
        <f>input_values!W96</f>
        <v>1</v>
      </c>
      <c r="G1296" s="1085" t="str">
        <f>IF(Table3[[#This Row],[CF]]&gt;0,CONCATENATE(IF(Table3[[#This Row],[LOQ]]="*","LOQ","MRL"),IF(input_values!G96&gt;0,"×CFrisk","")),"")</f>
        <v>MRL</v>
      </c>
      <c r="H1296" s="1087">
        <f>input_values!L96</f>
        <v>0</v>
      </c>
      <c r="I1296" s="1088">
        <f>input_values!D96</f>
        <v>0</v>
      </c>
      <c r="J1296" s="1098" t="e">
        <f>IF($D$1212="",0,$D1296*Table3[[#This Row],[CF]]*chronic_consumption!$E96/1000/$C$3)</f>
        <v>#DIV/0!</v>
      </c>
      <c r="K1296" s="1098" t="e">
        <f>IF($D$1212="",0,$D1296*Table3[[#This Row],[CF]]*chronic_consumption!$F96/1000/$C$3)</f>
        <v>#DIV/0!</v>
      </c>
      <c r="L1296" s="1098" t="e">
        <f>IF($D$1212="",0,$D1296*Table3[[#This Row],[CF]]*chronic_consumption!$G96/1000/$C$3)</f>
        <v>#DIV/0!</v>
      </c>
      <c r="M1296" s="1098" t="e">
        <f>IF($D$1212="",0,$D1296*Table3[[#This Row],[CF]]*chronic_consumption!$H96/1000/$C$3)</f>
        <v>#DIV/0!</v>
      </c>
      <c r="N1296" s="1098" t="e">
        <f>IF($D$1212="",0,$D1296*Table3[[#This Row],[CF]]*chronic_consumption!$I96/1000/$C$3)</f>
        <v>#DIV/0!</v>
      </c>
      <c r="O1296" s="1098" t="e">
        <f>IF($D$1212="",0,$D1296*Table3[[#This Row],[CF]]*chronic_consumption!$J96/1000/$C$3)</f>
        <v>#DIV/0!</v>
      </c>
      <c r="P1296" s="1098" t="e">
        <f>IF($D$1212="",0,$D1296*Table3[[#This Row],[CF]]*chronic_consumption!$K96/1000/$C$3)</f>
        <v>#DIV/0!</v>
      </c>
      <c r="Q1296" s="1098" t="e">
        <f>IF($D$1212="",0,$D1296*Table3[[#This Row],[CF]]*chronic_consumption!$L96/1000/$C$3)</f>
        <v>#DIV/0!</v>
      </c>
      <c r="R1296" s="1098" t="e">
        <f>IF($D$1212="",0,$D1296*Table3[[#This Row],[CF]]*chronic_consumption!$M96/1000/$C$3)</f>
        <v>#DIV/0!</v>
      </c>
      <c r="S1296" s="1098" t="e">
        <f>IF($D$1212="",0,$D1296*Table3[[#This Row],[CF]]*chronic_consumption!$N96/1000/$C$3)</f>
        <v>#DIV/0!</v>
      </c>
      <c r="T1296" s="1098" t="e">
        <f>IF($D$1212="",0,$D1296*Table3[[#This Row],[CF]]*chronic_consumption!$O96/1000/$C$3)</f>
        <v>#DIV/0!</v>
      </c>
      <c r="U1296" s="1098" t="e">
        <f>IF($D$1212="",0,$D1296*Table3[[#This Row],[CF]]*chronic_consumption!$P96/1000/$C$3)</f>
        <v>#DIV/0!</v>
      </c>
      <c r="V1296" s="1098" t="e">
        <f>IF($D$1212="",0,$D1296*Table3[[#This Row],[CF]]*chronic_consumption!$Q96/1000/$C$3)</f>
        <v>#DIV/0!</v>
      </c>
      <c r="W1296" s="1098" t="e">
        <f>IF($D$1212="",0,$D1296*Table3[[#This Row],[CF]]*chronic_consumption!$R96/1000/$C$3)</f>
        <v>#DIV/0!</v>
      </c>
      <c r="X1296" s="1098" t="e">
        <f>IF($D$1212="",0,$D1296*Table3[[#This Row],[CF]]*chronic_consumption!$S96/1000/$C$3)</f>
        <v>#DIV/0!</v>
      </c>
      <c r="Y1296" s="1098" t="e">
        <f>IF($D$1212="",0,$D1296*Table3[[#This Row],[CF]]*chronic_consumption!$T96/1000/$C$3)</f>
        <v>#DIV/0!</v>
      </c>
      <c r="Z1296" s="1098" t="e">
        <f>IF($D$1212="",0,$D1296*Table3[[#This Row],[CF]]*chronic_consumption!$U96/1000/$C$3)</f>
        <v>#DIV/0!</v>
      </c>
      <c r="AA1296" s="1098" t="e">
        <f>IF($D$1212="",0,$D1296*Table3[[#This Row],[CF]]*chronic_consumption!$V96/1000/$C$3)</f>
        <v>#DIV/0!</v>
      </c>
      <c r="AB1296" s="1098" t="e">
        <f>IF($D$1212="",0,$D1296*Table3[[#This Row],[CF]]*chronic_consumption!$W96/1000/$C$3)</f>
        <v>#DIV/0!</v>
      </c>
      <c r="AC1296" s="1098" t="e">
        <f>IF($D$1212="",0,$D1296*Table3[[#This Row],[CF]]*chronic_consumption!$X96/1000/$C$3)</f>
        <v>#DIV/0!</v>
      </c>
      <c r="AD1296" s="1098" t="e">
        <f>IF($D$1212="",0,$D1296*Table3[[#This Row],[CF]]*chronic_consumption!$Y96/1000/$C$3)</f>
        <v>#DIV/0!</v>
      </c>
      <c r="AE1296" s="1098" t="e">
        <f>IF($D$1212="",0,$D1296*Table3[[#This Row],[CF]]*chronic_consumption!$Z96/1000/$C$3)</f>
        <v>#DIV/0!</v>
      </c>
      <c r="AF1296" s="1098" t="e">
        <f>IF($D$1212="",0,$D1296*Table3[[#This Row],[CF]]*chronic_consumption!$AA96/1000/$C$3)</f>
        <v>#DIV/0!</v>
      </c>
      <c r="AG1296" s="1098" t="e">
        <f>IF($D$1212="",0,$D1296*Table3[[#This Row],[CF]]*chronic_consumption!$AB96/1000/$C$3)</f>
        <v>#DIV/0!</v>
      </c>
      <c r="AH1296" s="1098" t="e">
        <f>IF($D$1212="",0,$D1296*Table3[[#This Row],[CF]]*chronic_consumption!$AC96/1000/$C$3)</f>
        <v>#DIV/0!</v>
      </c>
      <c r="AI1296" s="1098" t="e">
        <f>IF($D$1212="",0,$D1296*Table3[[#This Row],[CF]]*chronic_consumption!$AD96/1000/$C$3)</f>
        <v>#DIV/0!</v>
      </c>
      <c r="AJ1296" s="1098" t="e">
        <f>IF($D$1212="",0,$D1296*Table3[[#This Row],[CF]]*chronic_consumption!$AE96/1000/$C$3)</f>
        <v>#DIV/0!</v>
      </c>
      <c r="AK1296" s="1098" t="e">
        <f>IF($D$1212="",0,$D1296*Table3[[#This Row],[CF]]*chronic_consumption!$AF96/1000/$C$3)</f>
        <v>#DIV/0!</v>
      </c>
      <c r="AL1296" s="1098" t="e">
        <f>IF($D$1212="",0,$D1296*Table3[[#This Row],[CF]]*chronic_consumption!$AG96/1000/$C$3)</f>
        <v>#DIV/0!</v>
      </c>
      <c r="AM1296" s="1098" t="e">
        <f>IF($D$1212="",0,$D1296*Table3[[#This Row],[CF]]*chronic_consumption!$AH96/1000/$C$3)</f>
        <v>#DIV/0!</v>
      </c>
      <c r="AN1296" s="1098" t="e">
        <f>IF($D$1212="",0,$D1296*Table3[[#This Row],[CF]]*chronic_consumption!$AI96/1000/$C$3)</f>
        <v>#DIV/0!</v>
      </c>
      <c r="AO1296" s="1098" t="e">
        <f>IF($D$1212="",0,$D1296*Table3[[#This Row],[CF]]*chronic_consumption!$AJ96/1000/$C$3)</f>
        <v>#DIV/0!</v>
      </c>
      <c r="AP1296" s="1098" t="e">
        <f>IF($D$1212="",0,$D1296*Table3[[#This Row],[CF]]*chronic_consumption!$AK96/1000/$C$3)</f>
        <v>#DIV/0!</v>
      </c>
      <c r="AQ1296" s="1098" t="e">
        <f>IF($D$1212="",0,$D1296*Table3[[#This Row],[CF]]*chronic_consumption!$AL96/1000/$C$3)</f>
        <v>#DIV/0!</v>
      </c>
      <c r="AR1296" s="1098" t="e">
        <f>IF($D$1212="",0,$D1296*Table3[[#This Row],[CF]]*chronic_consumption!$AM96/1000/$C$3)</f>
        <v>#DIV/0!</v>
      </c>
      <c r="AS1296" s="1098" t="e">
        <f>IF($D$1212="",0,$D1296*Table3[[#This Row],[CF]]*chronic_consumption!$AN96/1000/$C$3)</f>
        <v>#DIV/0!</v>
      </c>
      <c r="AT1296" s="1098" t="e">
        <f>IF($D$1212="",0,$D1296*Table3[[#This Row],[CF]]*chronic_consumption!$AO96/1000/$C$3)</f>
        <v>#DIV/0!</v>
      </c>
      <c r="AU1296" s="1099" t="e">
        <f t="shared" si="846"/>
        <v>#DIV/0!</v>
      </c>
      <c r="AV1296" s="1099" t="e">
        <f t="shared" si="846"/>
        <v>#DIV/0!</v>
      </c>
      <c r="AW1296" s="1099" t="e">
        <f t="shared" si="846"/>
        <v>#DIV/0!</v>
      </c>
      <c r="AX1296" s="1099" t="e">
        <f t="shared" si="846"/>
        <v>#DIV/0!</v>
      </c>
      <c r="AY1296" s="1099" t="e">
        <f t="shared" si="846"/>
        <v>#DIV/0!</v>
      </c>
      <c r="AZ1296" s="1091" t="s">
        <v>1012</v>
      </c>
      <c r="BA1296" s="1097" t="e">
        <f>IF(Table3[[#This Row],[max]]&lt;&gt;0,RANK(Table3[[#This Row],[max]],Table3[max],0),"")</f>
        <v>#DIV/0!</v>
      </c>
      <c r="BB1296" s="1096" t="e">
        <f t="shared" si="842"/>
        <v>#DIV/0!</v>
      </c>
      <c r="BC1296" s="1096" t="e">
        <f t="shared" ca="1" si="843"/>
        <v>#DIV/0!</v>
      </c>
      <c r="BD1296" s="1096" t="e">
        <f>IF(Table3[[#This Row],[max]]&gt;0,Table3[[#This Row],[Crop groups and examples of individual products within the groups to which the MRLs apply]],"")</f>
        <v>#DIV/0!</v>
      </c>
    </row>
    <row r="1297" spans="2:56" ht="24" x14ac:dyDescent="0.2">
      <c r="B1297" s="127">
        <f t="shared" si="845"/>
        <v>200000</v>
      </c>
      <c r="C1297" s="127" t="str">
        <f t="shared" si="845"/>
        <v xml:space="preserve">VEGETABLES 
FRESH OR FROZEN </v>
      </c>
      <c r="D1297" s="1084">
        <f>input_values!E97</f>
        <v>0</v>
      </c>
      <c r="E1297" s="1084">
        <f>input_values!F97</f>
        <v>0</v>
      </c>
      <c r="F1297" s="1085">
        <f>input_values!W97</f>
        <v>0</v>
      </c>
      <c r="G1297" s="1085" t="str">
        <f>IF(Table3[[#This Row],[CF]]&gt;0,CONCATENATE(IF(Table3[[#This Row],[LOQ]]="*","LOQ","MRL"),IF(input_values!G97&gt;0,"×CFrisk","")),"")</f>
        <v/>
      </c>
      <c r="H1297" s="1087">
        <f>input_values!L97</f>
        <v>0</v>
      </c>
      <c r="I1297" s="1088">
        <f>input_values!D97</f>
        <v>0</v>
      </c>
      <c r="J1297" s="1102" t="e">
        <f>IF($D$1212="",0,$D1297*Table3[[#This Row],[CF]]*chronic_consumption!$E97/1000/$C$3)</f>
        <v>#DIV/0!</v>
      </c>
      <c r="K1297" s="1102" t="e">
        <f>IF($D$1212="",0,$D1297*Table3[[#This Row],[CF]]*chronic_consumption!$F97/1000/$C$3)</f>
        <v>#DIV/0!</v>
      </c>
      <c r="L1297" s="1102" t="e">
        <f>IF($D$1212="",0,$D1297*Table3[[#This Row],[CF]]*chronic_consumption!$G97/1000/$C$3)</f>
        <v>#DIV/0!</v>
      </c>
      <c r="M1297" s="1102" t="e">
        <f>IF($D$1212="",0,$D1297*Table3[[#This Row],[CF]]*chronic_consumption!$H97/1000/$C$3)</f>
        <v>#DIV/0!</v>
      </c>
      <c r="N1297" s="1102" t="e">
        <f>IF($D$1212="",0,$D1297*Table3[[#This Row],[CF]]*chronic_consumption!$I97/1000/$C$3)</f>
        <v>#DIV/0!</v>
      </c>
      <c r="O1297" s="1102" t="e">
        <f>IF($D$1212="",0,$D1297*Table3[[#This Row],[CF]]*chronic_consumption!$J97/1000/$C$3)</f>
        <v>#DIV/0!</v>
      </c>
      <c r="P1297" s="1102" t="e">
        <f>IF($D$1212="",0,$D1297*Table3[[#This Row],[CF]]*chronic_consumption!$K97/1000/$C$3)</f>
        <v>#DIV/0!</v>
      </c>
      <c r="Q1297" s="1102" t="e">
        <f>IF($D$1212="",0,$D1297*Table3[[#This Row],[CF]]*chronic_consumption!$L97/1000/$C$3)</f>
        <v>#DIV/0!</v>
      </c>
      <c r="R1297" s="1102" t="e">
        <f>IF($D$1212="",0,$D1297*Table3[[#This Row],[CF]]*chronic_consumption!$M97/1000/$C$3)</f>
        <v>#DIV/0!</v>
      </c>
      <c r="S1297" s="1102" t="e">
        <f>IF($D$1212="",0,$D1297*Table3[[#This Row],[CF]]*chronic_consumption!$N97/1000/$C$3)</f>
        <v>#DIV/0!</v>
      </c>
      <c r="T1297" s="1102" t="e">
        <f>IF($D$1212="",0,$D1297*Table3[[#This Row],[CF]]*chronic_consumption!$O97/1000/$C$3)</f>
        <v>#DIV/0!</v>
      </c>
      <c r="U1297" s="1102" t="e">
        <f>IF($D$1212="",0,$D1297*Table3[[#This Row],[CF]]*chronic_consumption!$P97/1000/$C$3)</f>
        <v>#DIV/0!</v>
      </c>
      <c r="V1297" s="1102" t="e">
        <f>IF($D$1212="",0,$D1297*Table3[[#This Row],[CF]]*chronic_consumption!$Q97/1000/$C$3)</f>
        <v>#DIV/0!</v>
      </c>
      <c r="W1297" s="1102" t="e">
        <f>IF($D$1212="",0,$D1297*Table3[[#This Row],[CF]]*chronic_consumption!$R97/1000/$C$3)</f>
        <v>#DIV/0!</v>
      </c>
      <c r="X1297" s="1102" t="e">
        <f>IF($D$1212="",0,$D1297*Table3[[#This Row],[CF]]*chronic_consumption!$S97/1000/$C$3)</f>
        <v>#DIV/0!</v>
      </c>
      <c r="Y1297" s="1102" t="e">
        <f>IF($D$1212="",0,$D1297*Table3[[#This Row],[CF]]*chronic_consumption!$T97/1000/$C$3)</f>
        <v>#DIV/0!</v>
      </c>
      <c r="Z1297" s="1102" t="e">
        <f>IF($D$1212="",0,$D1297*Table3[[#This Row],[CF]]*chronic_consumption!$U97/1000/$C$3)</f>
        <v>#DIV/0!</v>
      </c>
      <c r="AA1297" s="1102" t="e">
        <f>IF($D$1212="",0,$D1297*Table3[[#This Row],[CF]]*chronic_consumption!$V97/1000/$C$3)</f>
        <v>#DIV/0!</v>
      </c>
      <c r="AB1297" s="1102" t="e">
        <f>IF($D$1212="",0,$D1297*Table3[[#This Row],[CF]]*chronic_consumption!$W97/1000/$C$3)</f>
        <v>#DIV/0!</v>
      </c>
      <c r="AC1297" s="1102" t="e">
        <f>IF($D$1212="",0,$D1297*Table3[[#This Row],[CF]]*chronic_consumption!$X97/1000/$C$3)</f>
        <v>#DIV/0!</v>
      </c>
      <c r="AD1297" s="1102" t="e">
        <f>IF($D$1212="",0,$D1297*Table3[[#This Row],[CF]]*chronic_consumption!$Y97/1000/$C$3)</f>
        <v>#DIV/0!</v>
      </c>
      <c r="AE1297" s="1102" t="e">
        <f>IF($D$1212="",0,$D1297*Table3[[#This Row],[CF]]*chronic_consumption!$Z97/1000/$C$3)</f>
        <v>#DIV/0!</v>
      </c>
      <c r="AF1297" s="1102" t="e">
        <f>IF($D$1212="",0,$D1297*Table3[[#This Row],[CF]]*chronic_consumption!$AA97/1000/$C$3)</f>
        <v>#DIV/0!</v>
      </c>
      <c r="AG1297" s="1102" t="e">
        <f>IF($D$1212="",0,$D1297*Table3[[#This Row],[CF]]*chronic_consumption!$AB97/1000/$C$3)</f>
        <v>#DIV/0!</v>
      </c>
      <c r="AH1297" s="1102" t="e">
        <f>IF($D$1212="",0,$D1297*Table3[[#This Row],[CF]]*chronic_consumption!$AC97/1000/$C$3)</f>
        <v>#DIV/0!</v>
      </c>
      <c r="AI1297" s="1102" t="e">
        <f>IF($D$1212="",0,$D1297*Table3[[#This Row],[CF]]*chronic_consumption!$AD97/1000/$C$3)</f>
        <v>#DIV/0!</v>
      </c>
      <c r="AJ1297" s="1102" t="e">
        <f>IF($D$1212="",0,$D1297*Table3[[#This Row],[CF]]*chronic_consumption!$AE97/1000/$C$3)</f>
        <v>#DIV/0!</v>
      </c>
      <c r="AK1297" s="1102" t="e">
        <f>IF($D$1212="",0,$D1297*Table3[[#This Row],[CF]]*chronic_consumption!$AF97/1000/$C$3)</f>
        <v>#DIV/0!</v>
      </c>
      <c r="AL1297" s="1102" t="e">
        <f>IF($D$1212="",0,$D1297*Table3[[#This Row],[CF]]*chronic_consumption!$AG97/1000/$C$3)</f>
        <v>#DIV/0!</v>
      </c>
      <c r="AM1297" s="1102" t="e">
        <f>IF($D$1212="",0,$D1297*Table3[[#This Row],[CF]]*chronic_consumption!$AH97/1000/$C$3)</f>
        <v>#DIV/0!</v>
      </c>
      <c r="AN1297" s="1102" t="e">
        <f>IF($D$1212="",0,$D1297*Table3[[#This Row],[CF]]*chronic_consumption!$AI97/1000/$C$3)</f>
        <v>#DIV/0!</v>
      </c>
      <c r="AO1297" s="1102" t="e">
        <f>IF($D$1212="",0,$D1297*Table3[[#This Row],[CF]]*chronic_consumption!$AJ97/1000/$C$3)</f>
        <v>#DIV/0!</v>
      </c>
      <c r="AP1297" s="1102" t="e">
        <f>IF($D$1212="",0,$D1297*Table3[[#This Row],[CF]]*chronic_consumption!$AK97/1000/$C$3)</f>
        <v>#DIV/0!</v>
      </c>
      <c r="AQ1297" s="1102" t="e">
        <f>IF($D$1212="",0,$D1297*Table3[[#This Row],[CF]]*chronic_consumption!$AL97/1000/$C$3)</f>
        <v>#DIV/0!</v>
      </c>
      <c r="AR1297" s="1102" t="e">
        <f>IF($D$1212="",0,$D1297*Table3[[#This Row],[CF]]*chronic_consumption!$AM97/1000/$C$3)</f>
        <v>#DIV/0!</v>
      </c>
      <c r="AS1297" s="1102" t="e">
        <f>IF($D$1212="",0,$D1297*Table3[[#This Row],[CF]]*chronic_consumption!$AN97/1000/$C$3)</f>
        <v>#DIV/0!</v>
      </c>
      <c r="AT1297" s="1102" t="e">
        <f>IF($D$1212="",0,$D1297*Table3[[#This Row],[CF]]*chronic_consumption!$AO97/1000/$C$3)</f>
        <v>#DIV/0!</v>
      </c>
      <c r="AU1297" s="1090" t="e">
        <f t="shared" si="846"/>
        <v>#DIV/0!</v>
      </c>
      <c r="AV1297" s="1090" t="e">
        <f t="shared" si="846"/>
        <v>#DIV/0!</v>
      </c>
      <c r="AW1297" s="1090" t="e">
        <f t="shared" si="846"/>
        <v>#DIV/0!</v>
      </c>
      <c r="AX1297" s="1090" t="e">
        <f t="shared" si="846"/>
        <v>#DIV/0!</v>
      </c>
      <c r="AY1297" s="1090" t="e">
        <f t="shared" si="846"/>
        <v>#DIV/0!</v>
      </c>
      <c r="AZ1297" s="1091" t="s">
        <v>1012</v>
      </c>
      <c r="BA1297" s="1097" t="e">
        <f>IF(Table3[[#This Row],[max]]&lt;&gt;0,RANK(Table3[[#This Row],[max]],Table3[max],0),"")</f>
        <v>#DIV/0!</v>
      </c>
      <c r="BB1297" s="1096" t="e">
        <f t="shared" si="842"/>
        <v>#DIV/0!</v>
      </c>
      <c r="BC1297" s="1096" t="e">
        <f t="shared" ca="1" si="843"/>
        <v>#DIV/0!</v>
      </c>
      <c r="BD1297" s="1096" t="e">
        <f>IF(Table3[[#This Row],[max]]&gt;0,Table3[[#This Row],[Crop groups and examples of individual products within the groups to which the MRLs apply]],"")</f>
        <v>#DIV/0!</v>
      </c>
    </row>
    <row r="1298" spans="2:56" ht="24" x14ac:dyDescent="0.2">
      <c r="B1298" s="131">
        <f t="shared" si="845"/>
        <v>210000</v>
      </c>
      <c r="C1298" s="131" t="str">
        <f t="shared" si="845"/>
        <v>Root and tuber vegetables
incl. potaotes)</v>
      </c>
      <c r="D1298" s="1084">
        <f>input_values!E98</f>
        <v>0</v>
      </c>
      <c r="E1298" s="1084">
        <f>input_values!F98</f>
        <v>0</v>
      </c>
      <c r="F1298" s="1085">
        <f>input_values!W98</f>
        <v>0</v>
      </c>
      <c r="G1298" s="1085" t="str">
        <f>IF(Table3[[#This Row],[CF]]&gt;0,CONCATENATE(IF(Table3[[#This Row],[LOQ]]="*","LOQ","MRL"),IF(input_values!G98&gt;0,"×CFrisk","")),"")</f>
        <v/>
      </c>
      <c r="H1298" s="1087">
        <f>input_values!L98</f>
        <v>0</v>
      </c>
      <c r="I1298" s="1088">
        <f>input_values!D98</f>
        <v>0</v>
      </c>
      <c r="J1298" s="1095" t="e">
        <f>IF($D$1212="",0,$D1298*Table3[[#This Row],[CF]]*chronic_consumption!$E98/1000/$C$3)</f>
        <v>#DIV/0!</v>
      </c>
      <c r="K1298" s="1095" t="e">
        <f>IF($D$1212="",0,$D1298*Table3[[#This Row],[CF]]*chronic_consumption!$F98/1000/$C$3)</f>
        <v>#DIV/0!</v>
      </c>
      <c r="L1298" s="1095" t="e">
        <f>IF($D$1212="",0,$D1298*Table3[[#This Row],[CF]]*chronic_consumption!$G98/1000/$C$3)</f>
        <v>#DIV/0!</v>
      </c>
      <c r="M1298" s="1095" t="e">
        <f>IF($D$1212="",0,$D1298*Table3[[#This Row],[CF]]*chronic_consumption!$H98/1000/$C$3)</f>
        <v>#DIV/0!</v>
      </c>
      <c r="N1298" s="1095" t="e">
        <f>IF($D$1212="",0,$D1298*Table3[[#This Row],[CF]]*chronic_consumption!$I98/1000/$C$3)</f>
        <v>#DIV/0!</v>
      </c>
      <c r="O1298" s="1095" t="e">
        <f>IF($D$1212="",0,$D1298*Table3[[#This Row],[CF]]*chronic_consumption!$J98/1000/$C$3)</f>
        <v>#DIV/0!</v>
      </c>
      <c r="P1298" s="1095" t="e">
        <f>IF($D$1212="",0,$D1298*Table3[[#This Row],[CF]]*chronic_consumption!$K98/1000/$C$3)</f>
        <v>#DIV/0!</v>
      </c>
      <c r="Q1298" s="1095" t="e">
        <f>IF($D$1212="",0,$D1298*Table3[[#This Row],[CF]]*chronic_consumption!$L98/1000/$C$3)</f>
        <v>#DIV/0!</v>
      </c>
      <c r="R1298" s="1095" t="e">
        <f>IF($D$1212="",0,$D1298*Table3[[#This Row],[CF]]*chronic_consumption!$M98/1000/$C$3)</f>
        <v>#DIV/0!</v>
      </c>
      <c r="S1298" s="1095" t="e">
        <f>IF($D$1212="",0,$D1298*Table3[[#This Row],[CF]]*chronic_consumption!$N98/1000/$C$3)</f>
        <v>#DIV/0!</v>
      </c>
      <c r="T1298" s="1095" t="e">
        <f>IF($D$1212="",0,$D1298*Table3[[#This Row],[CF]]*chronic_consumption!$O98/1000/$C$3)</f>
        <v>#DIV/0!</v>
      </c>
      <c r="U1298" s="1095" t="e">
        <f>IF($D$1212="",0,$D1298*Table3[[#This Row],[CF]]*chronic_consumption!$P98/1000/$C$3)</f>
        <v>#DIV/0!</v>
      </c>
      <c r="V1298" s="1095" t="e">
        <f>IF($D$1212="",0,$D1298*Table3[[#This Row],[CF]]*chronic_consumption!$Q98/1000/$C$3)</f>
        <v>#DIV/0!</v>
      </c>
      <c r="W1298" s="1095" t="e">
        <f>IF($D$1212="",0,$D1298*Table3[[#This Row],[CF]]*chronic_consumption!$R98/1000/$C$3)</f>
        <v>#DIV/0!</v>
      </c>
      <c r="X1298" s="1095" t="e">
        <f>IF($D$1212="",0,$D1298*Table3[[#This Row],[CF]]*chronic_consumption!$S98/1000/$C$3)</f>
        <v>#DIV/0!</v>
      </c>
      <c r="Y1298" s="1095" t="e">
        <f>IF($D$1212="",0,$D1298*Table3[[#This Row],[CF]]*chronic_consumption!$T98/1000/$C$3)</f>
        <v>#DIV/0!</v>
      </c>
      <c r="Z1298" s="1095" t="e">
        <f>IF($D$1212="",0,$D1298*Table3[[#This Row],[CF]]*chronic_consumption!$U98/1000/$C$3)</f>
        <v>#DIV/0!</v>
      </c>
      <c r="AA1298" s="1095" t="e">
        <f>IF($D$1212="",0,$D1298*Table3[[#This Row],[CF]]*chronic_consumption!$V98/1000/$C$3)</f>
        <v>#DIV/0!</v>
      </c>
      <c r="AB1298" s="1095" t="e">
        <f>IF($D$1212="",0,$D1298*Table3[[#This Row],[CF]]*chronic_consumption!$W98/1000/$C$3)</f>
        <v>#DIV/0!</v>
      </c>
      <c r="AC1298" s="1095" t="e">
        <f>IF($D$1212="",0,$D1298*Table3[[#This Row],[CF]]*chronic_consumption!$X98/1000/$C$3)</f>
        <v>#DIV/0!</v>
      </c>
      <c r="AD1298" s="1095" t="e">
        <f>IF($D$1212="",0,$D1298*Table3[[#This Row],[CF]]*chronic_consumption!$Y98/1000/$C$3)</f>
        <v>#DIV/0!</v>
      </c>
      <c r="AE1298" s="1095" t="e">
        <f>IF($D$1212="",0,$D1298*Table3[[#This Row],[CF]]*chronic_consumption!$Z98/1000/$C$3)</f>
        <v>#DIV/0!</v>
      </c>
      <c r="AF1298" s="1095" t="e">
        <f>IF($D$1212="",0,$D1298*Table3[[#This Row],[CF]]*chronic_consumption!$AA98/1000/$C$3)</f>
        <v>#DIV/0!</v>
      </c>
      <c r="AG1298" s="1095" t="e">
        <f>IF($D$1212="",0,$D1298*Table3[[#This Row],[CF]]*chronic_consumption!$AB98/1000/$C$3)</f>
        <v>#DIV/0!</v>
      </c>
      <c r="AH1298" s="1095" t="e">
        <f>IF($D$1212="",0,$D1298*Table3[[#This Row],[CF]]*chronic_consumption!$AC98/1000/$C$3)</f>
        <v>#DIV/0!</v>
      </c>
      <c r="AI1298" s="1095" t="e">
        <f>IF($D$1212="",0,$D1298*Table3[[#This Row],[CF]]*chronic_consumption!$AD98/1000/$C$3)</f>
        <v>#DIV/0!</v>
      </c>
      <c r="AJ1298" s="1095" t="e">
        <f>IF($D$1212="",0,$D1298*Table3[[#This Row],[CF]]*chronic_consumption!$AE98/1000/$C$3)</f>
        <v>#DIV/0!</v>
      </c>
      <c r="AK1298" s="1095" t="e">
        <f>IF($D$1212="",0,$D1298*Table3[[#This Row],[CF]]*chronic_consumption!$AF98/1000/$C$3)</f>
        <v>#DIV/0!</v>
      </c>
      <c r="AL1298" s="1095" t="e">
        <f>IF($D$1212="",0,$D1298*Table3[[#This Row],[CF]]*chronic_consumption!$AG98/1000/$C$3)</f>
        <v>#DIV/0!</v>
      </c>
      <c r="AM1298" s="1095" t="e">
        <f>IF($D$1212="",0,$D1298*Table3[[#This Row],[CF]]*chronic_consumption!$AH98/1000/$C$3)</f>
        <v>#DIV/0!</v>
      </c>
      <c r="AN1298" s="1095" t="e">
        <f>IF($D$1212="",0,$D1298*Table3[[#This Row],[CF]]*chronic_consumption!$AI98/1000/$C$3)</f>
        <v>#DIV/0!</v>
      </c>
      <c r="AO1298" s="1095" t="e">
        <f>IF($D$1212="",0,$D1298*Table3[[#This Row],[CF]]*chronic_consumption!$AJ98/1000/$C$3)</f>
        <v>#DIV/0!</v>
      </c>
      <c r="AP1298" s="1095" t="e">
        <f>IF($D$1212="",0,$D1298*Table3[[#This Row],[CF]]*chronic_consumption!$AK98/1000/$C$3)</f>
        <v>#DIV/0!</v>
      </c>
      <c r="AQ1298" s="1095" t="e">
        <f>IF($D$1212="",0,$D1298*Table3[[#This Row],[CF]]*chronic_consumption!$AL98/1000/$C$3)</f>
        <v>#DIV/0!</v>
      </c>
      <c r="AR1298" s="1095" t="e">
        <f>IF($D$1212="",0,$D1298*Table3[[#This Row],[CF]]*chronic_consumption!$AM98/1000/$C$3)</f>
        <v>#DIV/0!</v>
      </c>
      <c r="AS1298" s="1095" t="e">
        <f>IF($D$1212="",0,$D1298*Table3[[#This Row],[CF]]*chronic_consumption!$AN98/1000/$C$3)</f>
        <v>#DIV/0!</v>
      </c>
      <c r="AT1298" s="1095" t="e">
        <f>IF($D$1212="",0,$D1298*Table3[[#This Row],[CF]]*chronic_consumption!$AO98/1000/$C$3)</f>
        <v>#DIV/0!</v>
      </c>
      <c r="AU1298" s="1096" t="e">
        <f t="shared" si="846"/>
        <v>#DIV/0!</v>
      </c>
      <c r="AV1298" s="1096" t="e">
        <f t="shared" si="846"/>
        <v>#DIV/0!</v>
      </c>
      <c r="AW1298" s="1096" t="e">
        <f t="shared" si="846"/>
        <v>#DIV/0!</v>
      </c>
      <c r="AX1298" s="1096" t="e">
        <f t="shared" si="846"/>
        <v>#DIV/0!</v>
      </c>
      <c r="AY1298" s="1096" t="e">
        <f t="shared" si="846"/>
        <v>#DIV/0!</v>
      </c>
      <c r="AZ1298" s="1091" t="s">
        <v>1012</v>
      </c>
      <c r="BA1298" s="1097" t="e">
        <f>IF(Table3[[#This Row],[max]]&lt;&gt;0,RANK(Table3[[#This Row],[max]],Table3[max],0),"")</f>
        <v>#DIV/0!</v>
      </c>
      <c r="BB1298" s="1096" t="e">
        <f t="shared" si="842"/>
        <v>#DIV/0!</v>
      </c>
      <c r="BC1298" s="1096" t="e">
        <f t="shared" ca="1" si="843"/>
        <v>#DIV/0!</v>
      </c>
      <c r="BD1298" s="1096" t="e">
        <f>IF(Table3[[#This Row],[max]]&gt;0,Table3[[#This Row],[Crop groups and examples of individual products within the groups to which the MRLs apply]],"")</f>
        <v>#DIV/0!</v>
      </c>
    </row>
    <row r="1299" spans="2:56" x14ac:dyDescent="0.2">
      <c r="B1299" s="3">
        <f t="shared" si="845"/>
        <v>211000</v>
      </c>
      <c r="C1299" s="3" t="str">
        <f t="shared" si="845"/>
        <v>Potatoes</v>
      </c>
      <c r="D1299" s="1084">
        <f>input_values!E99</f>
        <v>0</v>
      </c>
      <c r="E1299" s="1084">
        <f>input_values!F99</f>
        <v>0</v>
      </c>
      <c r="F1299" s="1085">
        <f>input_values!W99</f>
        <v>1</v>
      </c>
      <c r="G1299" s="1085" t="str">
        <f>IF(Table3[[#This Row],[CF]]&gt;0,CONCATENATE(IF(Table3[[#This Row],[LOQ]]="*","LOQ","MRL"),IF(input_values!G99&gt;0,"×CFrisk","")),"")</f>
        <v>MRL</v>
      </c>
      <c r="H1299" s="1087">
        <f>input_values!L99</f>
        <v>0</v>
      </c>
      <c r="I1299" s="1088">
        <f>input_values!D99</f>
        <v>0</v>
      </c>
      <c r="J1299" s="1100" t="e">
        <f>IF($D$1212="",0,$D1299*Table3[[#This Row],[CF]]*chronic_consumption!$E99/1000/$C$3)</f>
        <v>#DIV/0!</v>
      </c>
      <c r="K1299" s="1100" t="e">
        <f>IF($D$1212="",0,$D1299*Table3[[#This Row],[CF]]*chronic_consumption!$F99/1000/$C$3)</f>
        <v>#DIV/0!</v>
      </c>
      <c r="L1299" s="1100" t="e">
        <f>IF($D$1212="",0,$D1299*Table3[[#This Row],[CF]]*chronic_consumption!$G99/1000/$C$3)</f>
        <v>#DIV/0!</v>
      </c>
      <c r="M1299" s="1100" t="e">
        <f>IF($D$1212="",0,$D1299*Table3[[#This Row],[CF]]*chronic_consumption!$H99/1000/$C$3)</f>
        <v>#DIV/0!</v>
      </c>
      <c r="N1299" s="1100" t="e">
        <f>IF($D$1212="",0,$D1299*Table3[[#This Row],[CF]]*chronic_consumption!$I99/1000/$C$3)</f>
        <v>#DIV/0!</v>
      </c>
      <c r="O1299" s="1100" t="e">
        <f>IF($D$1212="",0,$D1299*Table3[[#This Row],[CF]]*chronic_consumption!$J99/1000/$C$3)</f>
        <v>#DIV/0!</v>
      </c>
      <c r="P1299" s="1100" t="e">
        <f>IF($D$1212="",0,$D1299*Table3[[#This Row],[CF]]*chronic_consumption!$K99/1000/$C$3)</f>
        <v>#DIV/0!</v>
      </c>
      <c r="Q1299" s="1100" t="e">
        <f>IF($D$1212="",0,$D1299*Table3[[#This Row],[CF]]*chronic_consumption!$L99/1000/$C$3)</f>
        <v>#DIV/0!</v>
      </c>
      <c r="R1299" s="1100" t="e">
        <f>IF($D$1212="",0,$D1299*Table3[[#This Row],[CF]]*chronic_consumption!$M99/1000/$C$3)</f>
        <v>#DIV/0!</v>
      </c>
      <c r="S1299" s="1100" t="e">
        <f>IF($D$1212="",0,$D1299*Table3[[#This Row],[CF]]*chronic_consumption!$N99/1000/$C$3)</f>
        <v>#DIV/0!</v>
      </c>
      <c r="T1299" s="1100" t="e">
        <f>IF($D$1212="",0,$D1299*Table3[[#This Row],[CF]]*chronic_consumption!$O99/1000/$C$3)</f>
        <v>#DIV/0!</v>
      </c>
      <c r="U1299" s="1100" t="e">
        <f>IF($D$1212="",0,$D1299*Table3[[#This Row],[CF]]*chronic_consumption!$P99/1000/$C$3)</f>
        <v>#DIV/0!</v>
      </c>
      <c r="V1299" s="1100" t="e">
        <f>IF($D$1212="",0,$D1299*Table3[[#This Row],[CF]]*chronic_consumption!$Q99/1000/$C$3)</f>
        <v>#DIV/0!</v>
      </c>
      <c r="W1299" s="1100" t="e">
        <f>IF($D$1212="",0,$D1299*Table3[[#This Row],[CF]]*chronic_consumption!$R99/1000/$C$3)</f>
        <v>#DIV/0!</v>
      </c>
      <c r="X1299" s="1100" t="e">
        <f>IF($D$1212="",0,$D1299*Table3[[#This Row],[CF]]*chronic_consumption!$S99/1000/$C$3)</f>
        <v>#DIV/0!</v>
      </c>
      <c r="Y1299" s="1100" t="e">
        <f>IF($D$1212="",0,$D1299*Table3[[#This Row],[CF]]*chronic_consumption!$T99/1000/$C$3)</f>
        <v>#DIV/0!</v>
      </c>
      <c r="Z1299" s="1100" t="e">
        <f>IF($D$1212="",0,$D1299*Table3[[#This Row],[CF]]*chronic_consumption!$U99/1000/$C$3)</f>
        <v>#DIV/0!</v>
      </c>
      <c r="AA1299" s="1100" t="e">
        <f>IF($D$1212="",0,$D1299*Table3[[#This Row],[CF]]*chronic_consumption!$V99/1000/$C$3)</f>
        <v>#DIV/0!</v>
      </c>
      <c r="AB1299" s="1100" t="e">
        <f>IF($D$1212="",0,$D1299*Table3[[#This Row],[CF]]*chronic_consumption!$W99/1000/$C$3)</f>
        <v>#DIV/0!</v>
      </c>
      <c r="AC1299" s="1100" t="e">
        <f>IF($D$1212="",0,$D1299*Table3[[#This Row],[CF]]*chronic_consumption!$X99/1000/$C$3)</f>
        <v>#DIV/0!</v>
      </c>
      <c r="AD1299" s="1100" t="e">
        <f>IF($D$1212="",0,$D1299*Table3[[#This Row],[CF]]*chronic_consumption!$Y99/1000/$C$3)</f>
        <v>#DIV/0!</v>
      </c>
      <c r="AE1299" s="1100" t="e">
        <f>IF($D$1212="",0,$D1299*Table3[[#This Row],[CF]]*chronic_consumption!$Z99/1000/$C$3)</f>
        <v>#DIV/0!</v>
      </c>
      <c r="AF1299" s="1100" t="e">
        <f>IF($D$1212="",0,$D1299*Table3[[#This Row],[CF]]*chronic_consumption!$AA99/1000/$C$3)</f>
        <v>#DIV/0!</v>
      </c>
      <c r="AG1299" s="1100" t="e">
        <f>IF($D$1212="",0,$D1299*Table3[[#This Row],[CF]]*chronic_consumption!$AB99/1000/$C$3)</f>
        <v>#DIV/0!</v>
      </c>
      <c r="AH1299" s="1100" t="e">
        <f>IF($D$1212="",0,$D1299*Table3[[#This Row],[CF]]*chronic_consumption!$AC99/1000/$C$3)</f>
        <v>#DIV/0!</v>
      </c>
      <c r="AI1299" s="1100" t="e">
        <f>IF($D$1212="",0,$D1299*Table3[[#This Row],[CF]]*chronic_consumption!$AD99/1000/$C$3)</f>
        <v>#DIV/0!</v>
      </c>
      <c r="AJ1299" s="1100" t="e">
        <f>IF($D$1212="",0,$D1299*Table3[[#This Row],[CF]]*chronic_consumption!$AE99/1000/$C$3)</f>
        <v>#DIV/0!</v>
      </c>
      <c r="AK1299" s="1100" t="e">
        <f>IF($D$1212="",0,$D1299*Table3[[#This Row],[CF]]*chronic_consumption!$AF99/1000/$C$3)</f>
        <v>#DIV/0!</v>
      </c>
      <c r="AL1299" s="1100" t="e">
        <f>IF($D$1212="",0,$D1299*Table3[[#This Row],[CF]]*chronic_consumption!$AG99/1000/$C$3)</f>
        <v>#DIV/0!</v>
      </c>
      <c r="AM1299" s="1100" t="e">
        <f>IF($D$1212="",0,$D1299*Table3[[#This Row],[CF]]*chronic_consumption!$AH99/1000/$C$3)</f>
        <v>#DIV/0!</v>
      </c>
      <c r="AN1299" s="1100" t="e">
        <f>IF($D$1212="",0,$D1299*Table3[[#This Row],[CF]]*chronic_consumption!$AI99/1000/$C$3)</f>
        <v>#DIV/0!</v>
      </c>
      <c r="AO1299" s="1100" t="e">
        <f>IF($D$1212="",0,$D1299*Table3[[#This Row],[CF]]*chronic_consumption!$AJ99/1000/$C$3)</f>
        <v>#DIV/0!</v>
      </c>
      <c r="AP1299" s="1100" t="e">
        <f>IF($D$1212="",0,$D1299*Table3[[#This Row],[CF]]*chronic_consumption!$AK99/1000/$C$3)</f>
        <v>#DIV/0!</v>
      </c>
      <c r="AQ1299" s="1100" t="e">
        <f>IF($D$1212="",0,$D1299*Table3[[#This Row],[CF]]*chronic_consumption!$AL99/1000/$C$3)</f>
        <v>#DIV/0!</v>
      </c>
      <c r="AR1299" s="1100" t="e">
        <f>IF($D$1212="",0,$D1299*Table3[[#This Row],[CF]]*chronic_consumption!$AM99/1000/$C$3)</f>
        <v>#DIV/0!</v>
      </c>
      <c r="AS1299" s="1100" t="e">
        <f>IF($D$1212="",0,$D1299*Table3[[#This Row],[CF]]*chronic_consumption!$AN99/1000/$C$3)</f>
        <v>#DIV/0!</v>
      </c>
      <c r="AT1299" s="1100" t="e">
        <f>IF($D$1212="",0,$D1299*Table3[[#This Row],[CF]]*chronic_consumption!$AO99/1000/$C$3)</f>
        <v>#DIV/0!</v>
      </c>
      <c r="AU1299" s="1101" t="e">
        <f t="shared" si="846"/>
        <v>#DIV/0!</v>
      </c>
      <c r="AV1299" s="1101" t="e">
        <f t="shared" si="846"/>
        <v>#DIV/0!</v>
      </c>
      <c r="AW1299" s="1101" t="e">
        <f t="shared" si="846"/>
        <v>#DIV/0!</v>
      </c>
      <c r="AX1299" s="1101" t="e">
        <f t="shared" si="846"/>
        <v>#DIV/0!</v>
      </c>
      <c r="AY1299" s="1101" t="e">
        <f t="shared" si="846"/>
        <v>#DIV/0!</v>
      </c>
      <c r="AZ1299" s="1091" t="s">
        <v>1012</v>
      </c>
      <c r="BA1299" s="1097" t="e">
        <f>IF(Table3[[#This Row],[max]]&lt;&gt;0,RANK(Table3[[#This Row],[max]],Table3[max],0),"")</f>
        <v>#DIV/0!</v>
      </c>
      <c r="BB1299" s="1096" t="e">
        <f t="shared" si="842"/>
        <v>#DIV/0!</v>
      </c>
      <c r="BC1299" s="1096" t="e">
        <f t="shared" ca="1" si="843"/>
        <v>#DIV/0!</v>
      </c>
      <c r="BD1299" s="1096" t="e">
        <f>IF(Table3[[#This Row],[max]]&gt;0,Table3[[#This Row],[Crop groups and examples of individual products within the groups to which the MRLs apply]],"")</f>
        <v>#DIV/0!</v>
      </c>
    </row>
    <row r="1300" spans="2:56" x14ac:dyDescent="0.2">
      <c r="B1300" s="3">
        <f t="shared" si="845"/>
        <v>212000</v>
      </c>
      <c r="C1300" s="3" t="str">
        <f t="shared" si="845"/>
        <v>Tropical root and tuber vegetables</v>
      </c>
      <c r="D1300" s="1084">
        <f>input_values!E100</f>
        <v>0</v>
      </c>
      <c r="E1300" s="1084">
        <f>input_values!F100</f>
        <v>0</v>
      </c>
      <c r="F1300" s="1085">
        <f>input_values!W100</f>
        <v>0</v>
      </c>
      <c r="G1300" s="1085" t="str">
        <f>IF(Table3[[#This Row],[CF]]&gt;0,CONCATENATE(IF(Table3[[#This Row],[LOQ]]="*","LOQ","MRL"),IF(input_values!G100&gt;0,"×CFrisk","")),"")</f>
        <v/>
      </c>
      <c r="H1300" s="1087">
        <f>input_values!L100</f>
        <v>0</v>
      </c>
      <c r="I1300" s="1088">
        <f>input_values!D100</f>
        <v>0</v>
      </c>
      <c r="J1300" s="1100" t="e">
        <f>IF($D$1212="",0,$D1300*Table3[[#This Row],[CF]]*chronic_consumption!$E100/1000/$C$3)</f>
        <v>#DIV/0!</v>
      </c>
      <c r="K1300" s="1100" t="e">
        <f>IF($D$1212="",0,$D1300*Table3[[#This Row],[CF]]*chronic_consumption!$F100/1000/$C$3)</f>
        <v>#DIV/0!</v>
      </c>
      <c r="L1300" s="1100" t="e">
        <f>IF($D$1212="",0,$D1300*Table3[[#This Row],[CF]]*chronic_consumption!$G100/1000/$C$3)</f>
        <v>#DIV/0!</v>
      </c>
      <c r="M1300" s="1100" t="e">
        <f>IF($D$1212="",0,$D1300*Table3[[#This Row],[CF]]*chronic_consumption!$H100/1000/$C$3)</f>
        <v>#DIV/0!</v>
      </c>
      <c r="N1300" s="1100" t="e">
        <f>IF($D$1212="",0,$D1300*Table3[[#This Row],[CF]]*chronic_consumption!$I100/1000/$C$3)</f>
        <v>#DIV/0!</v>
      </c>
      <c r="O1300" s="1100" t="e">
        <f>IF($D$1212="",0,$D1300*Table3[[#This Row],[CF]]*chronic_consumption!$J100/1000/$C$3)</f>
        <v>#DIV/0!</v>
      </c>
      <c r="P1300" s="1100" t="e">
        <f>IF($D$1212="",0,$D1300*Table3[[#This Row],[CF]]*chronic_consumption!$K100/1000/$C$3)</f>
        <v>#DIV/0!</v>
      </c>
      <c r="Q1300" s="1100" t="e">
        <f>IF($D$1212="",0,$D1300*Table3[[#This Row],[CF]]*chronic_consumption!$L100/1000/$C$3)</f>
        <v>#DIV/0!</v>
      </c>
      <c r="R1300" s="1100" t="e">
        <f>IF($D$1212="",0,$D1300*Table3[[#This Row],[CF]]*chronic_consumption!$M100/1000/$C$3)</f>
        <v>#DIV/0!</v>
      </c>
      <c r="S1300" s="1100" t="e">
        <f>IF($D$1212="",0,$D1300*Table3[[#This Row],[CF]]*chronic_consumption!$N100/1000/$C$3)</f>
        <v>#DIV/0!</v>
      </c>
      <c r="T1300" s="1100" t="e">
        <f>IF($D$1212="",0,$D1300*Table3[[#This Row],[CF]]*chronic_consumption!$O100/1000/$C$3)</f>
        <v>#DIV/0!</v>
      </c>
      <c r="U1300" s="1100" t="e">
        <f>IF($D$1212="",0,$D1300*Table3[[#This Row],[CF]]*chronic_consumption!$P100/1000/$C$3)</f>
        <v>#DIV/0!</v>
      </c>
      <c r="V1300" s="1100" t="e">
        <f>IF($D$1212="",0,$D1300*Table3[[#This Row],[CF]]*chronic_consumption!$Q100/1000/$C$3)</f>
        <v>#DIV/0!</v>
      </c>
      <c r="W1300" s="1100" t="e">
        <f>IF($D$1212="",0,$D1300*Table3[[#This Row],[CF]]*chronic_consumption!$R100/1000/$C$3)</f>
        <v>#DIV/0!</v>
      </c>
      <c r="X1300" s="1100" t="e">
        <f>IF($D$1212="",0,$D1300*Table3[[#This Row],[CF]]*chronic_consumption!$S100/1000/$C$3)</f>
        <v>#DIV/0!</v>
      </c>
      <c r="Y1300" s="1100" t="e">
        <f>IF($D$1212="",0,$D1300*Table3[[#This Row],[CF]]*chronic_consumption!$T100/1000/$C$3)</f>
        <v>#DIV/0!</v>
      </c>
      <c r="Z1300" s="1100" t="e">
        <f>IF($D$1212="",0,$D1300*Table3[[#This Row],[CF]]*chronic_consumption!$U100/1000/$C$3)</f>
        <v>#DIV/0!</v>
      </c>
      <c r="AA1300" s="1100" t="e">
        <f>IF($D$1212="",0,$D1300*Table3[[#This Row],[CF]]*chronic_consumption!$V100/1000/$C$3)</f>
        <v>#DIV/0!</v>
      </c>
      <c r="AB1300" s="1100" t="e">
        <f>IF($D$1212="",0,$D1300*Table3[[#This Row],[CF]]*chronic_consumption!$W100/1000/$C$3)</f>
        <v>#DIV/0!</v>
      </c>
      <c r="AC1300" s="1100" t="e">
        <f>IF($D$1212="",0,$D1300*Table3[[#This Row],[CF]]*chronic_consumption!$X100/1000/$C$3)</f>
        <v>#DIV/0!</v>
      </c>
      <c r="AD1300" s="1100" t="e">
        <f>IF($D$1212="",0,$D1300*Table3[[#This Row],[CF]]*chronic_consumption!$Y100/1000/$C$3)</f>
        <v>#DIV/0!</v>
      </c>
      <c r="AE1300" s="1100" t="e">
        <f>IF($D$1212="",0,$D1300*Table3[[#This Row],[CF]]*chronic_consumption!$Z100/1000/$C$3)</f>
        <v>#DIV/0!</v>
      </c>
      <c r="AF1300" s="1100" t="e">
        <f>IF($D$1212="",0,$D1300*Table3[[#This Row],[CF]]*chronic_consumption!$AA100/1000/$C$3)</f>
        <v>#DIV/0!</v>
      </c>
      <c r="AG1300" s="1100" t="e">
        <f>IF($D$1212="",0,$D1300*Table3[[#This Row],[CF]]*chronic_consumption!$AB100/1000/$C$3)</f>
        <v>#DIV/0!</v>
      </c>
      <c r="AH1300" s="1100" t="e">
        <f>IF($D$1212="",0,$D1300*Table3[[#This Row],[CF]]*chronic_consumption!$AC100/1000/$C$3)</f>
        <v>#DIV/0!</v>
      </c>
      <c r="AI1300" s="1100" t="e">
        <f>IF($D$1212="",0,$D1300*Table3[[#This Row],[CF]]*chronic_consumption!$AD100/1000/$C$3)</f>
        <v>#DIV/0!</v>
      </c>
      <c r="AJ1300" s="1100" t="e">
        <f>IF($D$1212="",0,$D1300*Table3[[#This Row],[CF]]*chronic_consumption!$AE100/1000/$C$3)</f>
        <v>#DIV/0!</v>
      </c>
      <c r="AK1300" s="1100" t="e">
        <f>IF($D$1212="",0,$D1300*Table3[[#This Row],[CF]]*chronic_consumption!$AF100/1000/$C$3)</f>
        <v>#DIV/0!</v>
      </c>
      <c r="AL1300" s="1100" t="e">
        <f>IF($D$1212="",0,$D1300*Table3[[#This Row],[CF]]*chronic_consumption!$AG100/1000/$C$3)</f>
        <v>#DIV/0!</v>
      </c>
      <c r="AM1300" s="1100" t="e">
        <f>IF($D$1212="",0,$D1300*Table3[[#This Row],[CF]]*chronic_consumption!$AH100/1000/$C$3)</f>
        <v>#DIV/0!</v>
      </c>
      <c r="AN1300" s="1100" t="e">
        <f>IF($D$1212="",0,$D1300*Table3[[#This Row],[CF]]*chronic_consumption!$AI100/1000/$C$3)</f>
        <v>#DIV/0!</v>
      </c>
      <c r="AO1300" s="1100" t="e">
        <f>IF($D$1212="",0,$D1300*Table3[[#This Row],[CF]]*chronic_consumption!$AJ100/1000/$C$3)</f>
        <v>#DIV/0!</v>
      </c>
      <c r="AP1300" s="1100" t="e">
        <f>IF($D$1212="",0,$D1300*Table3[[#This Row],[CF]]*chronic_consumption!$AK100/1000/$C$3)</f>
        <v>#DIV/0!</v>
      </c>
      <c r="AQ1300" s="1100" t="e">
        <f>IF($D$1212="",0,$D1300*Table3[[#This Row],[CF]]*chronic_consumption!$AL100/1000/$C$3)</f>
        <v>#DIV/0!</v>
      </c>
      <c r="AR1300" s="1100" t="e">
        <f>IF($D$1212="",0,$D1300*Table3[[#This Row],[CF]]*chronic_consumption!$AM100/1000/$C$3)</f>
        <v>#DIV/0!</v>
      </c>
      <c r="AS1300" s="1100" t="e">
        <f>IF($D$1212="",0,$D1300*Table3[[#This Row],[CF]]*chronic_consumption!$AN100/1000/$C$3)</f>
        <v>#DIV/0!</v>
      </c>
      <c r="AT1300" s="1100" t="e">
        <f>IF($D$1212="",0,$D1300*Table3[[#This Row],[CF]]*chronic_consumption!$AO100/1000/$C$3)</f>
        <v>#DIV/0!</v>
      </c>
      <c r="AU1300" s="1101" t="e">
        <f t="shared" si="846"/>
        <v>#DIV/0!</v>
      </c>
      <c r="AV1300" s="1101" t="e">
        <f t="shared" si="846"/>
        <v>#DIV/0!</v>
      </c>
      <c r="AW1300" s="1101" t="e">
        <f t="shared" si="846"/>
        <v>#DIV/0!</v>
      </c>
      <c r="AX1300" s="1101" t="e">
        <f t="shared" si="846"/>
        <v>#DIV/0!</v>
      </c>
      <c r="AY1300" s="1101" t="e">
        <f t="shared" si="846"/>
        <v>#DIV/0!</v>
      </c>
      <c r="AZ1300" s="1091" t="s">
        <v>1012</v>
      </c>
      <c r="BA1300" s="1097" t="e">
        <f>IF(Table3[[#This Row],[max]]&lt;&gt;0,RANK(Table3[[#This Row],[max]],Table3[max],0),"")</f>
        <v>#DIV/0!</v>
      </c>
      <c r="BB1300" s="1096" t="e">
        <f t="shared" si="842"/>
        <v>#DIV/0!</v>
      </c>
      <c r="BC1300" s="1096" t="e">
        <f t="shared" ca="1" si="843"/>
        <v>#DIV/0!</v>
      </c>
      <c r="BD1300" s="1096" t="e">
        <f>IF(Table3[[#This Row],[max]]&gt;0,Table3[[#This Row],[Crop groups and examples of individual products within the groups to which the MRLs apply]],"")</f>
        <v>#DIV/0!</v>
      </c>
    </row>
    <row r="1301" spans="2:56" x14ac:dyDescent="0.2">
      <c r="B1301" s="23">
        <f t="shared" si="845"/>
        <v>212010</v>
      </c>
      <c r="C1301" s="23" t="str">
        <f t="shared" si="845"/>
        <v>Cassava roots/manioc</v>
      </c>
      <c r="D1301" s="1084">
        <f>input_values!E101</f>
        <v>0</v>
      </c>
      <c r="E1301" s="1084">
        <f>input_values!F101</f>
        <v>0</v>
      </c>
      <c r="F1301" s="1085">
        <f>input_values!W101</f>
        <v>1</v>
      </c>
      <c r="G1301" s="1085" t="str">
        <f>IF(Table3[[#This Row],[CF]]&gt;0,CONCATENATE(IF(Table3[[#This Row],[LOQ]]="*","LOQ","MRL"),IF(input_values!G101&gt;0,"×CFrisk","")),"")</f>
        <v>MRL</v>
      </c>
      <c r="H1301" s="1087">
        <f>input_values!L101</f>
        <v>0</v>
      </c>
      <c r="I1301" s="1088">
        <f>input_values!D101</f>
        <v>0</v>
      </c>
      <c r="J1301" s="1098" t="e">
        <f>IF($D$1212="",0,$D1301*Table3[[#This Row],[CF]]*chronic_consumption!$E101/1000/$C$3)</f>
        <v>#DIV/0!</v>
      </c>
      <c r="K1301" s="1098" t="e">
        <f>IF($D$1212="",0,$D1301*Table3[[#This Row],[CF]]*chronic_consumption!$F101/1000/$C$3)</f>
        <v>#DIV/0!</v>
      </c>
      <c r="L1301" s="1098" t="e">
        <f>IF($D$1212="",0,$D1301*Table3[[#This Row],[CF]]*chronic_consumption!$G101/1000/$C$3)</f>
        <v>#DIV/0!</v>
      </c>
      <c r="M1301" s="1098" t="e">
        <f>IF($D$1212="",0,$D1301*Table3[[#This Row],[CF]]*chronic_consumption!$H101/1000/$C$3)</f>
        <v>#DIV/0!</v>
      </c>
      <c r="N1301" s="1098" t="e">
        <f>IF($D$1212="",0,$D1301*Table3[[#This Row],[CF]]*chronic_consumption!$I101/1000/$C$3)</f>
        <v>#DIV/0!</v>
      </c>
      <c r="O1301" s="1098" t="e">
        <f>IF($D$1212="",0,$D1301*Table3[[#This Row],[CF]]*chronic_consumption!$J101/1000/$C$3)</f>
        <v>#DIV/0!</v>
      </c>
      <c r="P1301" s="1098" t="e">
        <f>IF($D$1212="",0,$D1301*Table3[[#This Row],[CF]]*chronic_consumption!$K101/1000/$C$3)</f>
        <v>#DIV/0!</v>
      </c>
      <c r="Q1301" s="1098" t="e">
        <f>IF($D$1212="",0,$D1301*Table3[[#This Row],[CF]]*chronic_consumption!$L101/1000/$C$3)</f>
        <v>#DIV/0!</v>
      </c>
      <c r="R1301" s="1098" t="e">
        <f>IF($D$1212="",0,$D1301*Table3[[#This Row],[CF]]*chronic_consumption!$M101/1000/$C$3)</f>
        <v>#DIV/0!</v>
      </c>
      <c r="S1301" s="1098" t="e">
        <f>IF($D$1212="",0,$D1301*Table3[[#This Row],[CF]]*chronic_consumption!$N101/1000/$C$3)</f>
        <v>#DIV/0!</v>
      </c>
      <c r="T1301" s="1098" t="e">
        <f>IF($D$1212="",0,$D1301*Table3[[#This Row],[CF]]*chronic_consumption!$O101/1000/$C$3)</f>
        <v>#DIV/0!</v>
      </c>
      <c r="U1301" s="1098" t="e">
        <f>IF($D$1212="",0,$D1301*Table3[[#This Row],[CF]]*chronic_consumption!$P101/1000/$C$3)</f>
        <v>#DIV/0!</v>
      </c>
      <c r="V1301" s="1098" t="e">
        <f>IF($D$1212="",0,$D1301*Table3[[#This Row],[CF]]*chronic_consumption!$Q101/1000/$C$3)</f>
        <v>#DIV/0!</v>
      </c>
      <c r="W1301" s="1098" t="e">
        <f>IF($D$1212="",0,$D1301*Table3[[#This Row],[CF]]*chronic_consumption!$R101/1000/$C$3)</f>
        <v>#DIV/0!</v>
      </c>
      <c r="X1301" s="1098" t="e">
        <f>IF($D$1212="",0,$D1301*Table3[[#This Row],[CF]]*chronic_consumption!$S101/1000/$C$3)</f>
        <v>#DIV/0!</v>
      </c>
      <c r="Y1301" s="1098" t="e">
        <f>IF($D$1212="",0,$D1301*Table3[[#This Row],[CF]]*chronic_consumption!$T101/1000/$C$3)</f>
        <v>#DIV/0!</v>
      </c>
      <c r="Z1301" s="1098" t="e">
        <f>IF($D$1212="",0,$D1301*Table3[[#This Row],[CF]]*chronic_consumption!$U101/1000/$C$3)</f>
        <v>#DIV/0!</v>
      </c>
      <c r="AA1301" s="1098" t="e">
        <f>IF($D$1212="",0,$D1301*Table3[[#This Row],[CF]]*chronic_consumption!$V101/1000/$C$3)</f>
        <v>#DIV/0!</v>
      </c>
      <c r="AB1301" s="1098" t="e">
        <f>IF($D$1212="",0,$D1301*Table3[[#This Row],[CF]]*chronic_consumption!$W101/1000/$C$3)</f>
        <v>#DIV/0!</v>
      </c>
      <c r="AC1301" s="1098" t="e">
        <f>IF($D$1212="",0,$D1301*Table3[[#This Row],[CF]]*chronic_consumption!$X101/1000/$C$3)</f>
        <v>#DIV/0!</v>
      </c>
      <c r="AD1301" s="1098" t="e">
        <f>IF($D$1212="",0,$D1301*Table3[[#This Row],[CF]]*chronic_consumption!$Y101/1000/$C$3)</f>
        <v>#DIV/0!</v>
      </c>
      <c r="AE1301" s="1098" t="e">
        <f>IF($D$1212="",0,$D1301*Table3[[#This Row],[CF]]*chronic_consumption!$Z101/1000/$C$3)</f>
        <v>#DIV/0!</v>
      </c>
      <c r="AF1301" s="1098" t="e">
        <f>IF($D$1212="",0,$D1301*Table3[[#This Row],[CF]]*chronic_consumption!$AA101/1000/$C$3)</f>
        <v>#DIV/0!</v>
      </c>
      <c r="AG1301" s="1098" t="e">
        <f>IF($D$1212="",0,$D1301*Table3[[#This Row],[CF]]*chronic_consumption!$AB101/1000/$C$3)</f>
        <v>#DIV/0!</v>
      </c>
      <c r="AH1301" s="1098" t="e">
        <f>IF($D$1212="",0,$D1301*Table3[[#This Row],[CF]]*chronic_consumption!$AC101/1000/$C$3)</f>
        <v>#DIV/0!</v>
      </c>
      <c r="AI1301" s="1098" t="e">
        <f>IF($D$1212="",0,$D1301*Table3[[#This Row],[CF]]*chronic_consumption!$AD101/1000/$C$3)</f>
        <v>#DIV/0!</v>
      </c>
      <c r="AJ1301" s="1098" t="e">
        <f>IF($D$1212="",0,$D1301*Table3[[#This Row],[CF]]*chronic_consumption!$AE101/1000/$C$3)</f>
        <v>#DIV/0!</v>
      </c>
      <c r="AK1301" s="1098" t="e">
        <f>IF($D$1212="",0,$D1301*Table3[[#This Row],[CF]]*chronic_consumption!$AF101/1000/$C$3)</f>
        <v>#DIV/0!</v>
      </c>
      <c r="AL1301" s="1098" t="e">
        <f>IF($D$1212="",0,$D1301*Table3[[#This Row],[CF]]*chronic_consumption!$AG101/1000/$C$3)</f>
        <v>#DIV/0!</v>
      </c>
      <c r="AM1301" s="1098" t="e">
        <f>IF($D$1212="",0,$D1301*Table3[[#This Row],[CF]]*chronic_consumption!$AH101/1000/$C$3)</f>
        <v>#DIV/0!</v>
      </c>
      <c r="AN1301" s="1098" t="e">
        <f>IF($D$1212="",0,$D1301*Table3[[#This Row],[CF]]*chronic_consumption!$AI101/1000/$C$3)</f>
        <v>#DIV/0!</v>
      </c>
      <c r="AO1301" s="1098" t="e">
        <f>IF($D$1212="",0,$D1301*Table3[[#This Row],[CF]]*chronic_consumption!$AJ101/1000/$C$3)</f>
        <v>#DIV/0!</v>
      </c>
      <c r="AP1301" s="1098" t="e">
        <f>IF($D$1212="",0,$D1301*Table3[[#This Row],[CF]]*chronic_consumption!$AK101/1000/$C$3)</f>
        <v>#DIV/0!</v>
      </c>
      <c r="AQ1301" s="1098" t="e">
        <f>IF($D$1212="",0,$D1301*Table3[[#This Row],[CF]]*chronic_consumption!$AL101/1000/$C$3)</f>
        <v>#DIV/0!</v>
      </c>
      <c r="AR1301" s="1098" t="e">
        <f>IF($D$1212="",0,$D1301*Table3[[#This Row],[CF]]*chronic_consumption!$AM101/1000/$C$3)</f>
        <v>#DIV/0!</v>
      </c>
      <c r="AS1301" s="1098" t="e">
        <f>IF($D$1212="",0,$D1301*Table3[[#This Row],[CF]]*chronic_consumption!$AN101/1000/$C$3)</f>
        <v>#DIV/0!</v>
      </c>
      <c r="AT1301" s="1098" t="e">
        <f>IF($D$1212="",0,$D1301*Table3[[#This Row],[CF]]*chronic_consumption!$AO101/1000/$C$3)</f>
        <v>#DIV/0!</v>
      </c>
      <c r="AU1301" s="1099" t="e">
        <f t="shared" si="846"/>
        <v>#DIV/0!</v>
      </c>
      <c r="AV1301" s="1099" t="e">
        <f t="shared" si="846"/>
        <v>#DIV/0!</v>
      </c>
      <c r="AW1301" s="1099" t="e">
        <f t="shared" si="846"/>
        <v>#DIV/0!</v>
      </c>
      <c r="AX1301" s="1099" t="e">
        <f t="shared" si="846"/>
        <v>#DIV/0!</v>
      </c>
      <c r="AY1301" s="1099" t="e">
        <f t="shared" si="846"/>
        <v>#DIV/0!</v>
      </c>
      <c r="AZ1301" s="1091" t="s">
        <v>1012</v>
      </c>
      <c r="BA1301" s="1097" t="e">
        <f>IF(Table3[[#This Row],[max]]&lt;&gt;0,RANK(Table3[[#This Row],[max]],Table3[max],0),"")</f>
        <v>#DIV/0!</v>
      </c>
      <c r="BB1301" s="1096" t="e">
        <f t="shared" si="842"/>
        <v>#DIV/0!</v>
      </c>
      <c r="BC1301" s="1096" t="e">
        <f t="shared" ca="1" si="843"/>
        <v>#DIV/0!</v>
      </c>
      <c r="BD1301" s="1096" t="e">
        <f>IF(Table3[[#This Row],[max]]&gt;0,Table3[[#This Row],[Crop groups and examples of individual products within the groups to which the MRLs apply]],"")</f>
        <v>#DIV/0!</v>
      </c>
    </row>
    <row r="1302" spans="2:56" x14ac:dyDescent="0.2">
      <c r="B1302" s="23">
        <f t="shared" si="845"/>
        <v>212020</v>
      </c>
      <c r="C1302" s="23" t="str">
        <f t="shared" si="845"/>
        <v>Sweet potatoes</v>
      </c>
      <c r="D1302" s="1084">
        <f>input_values!E102</f>
        <v>0</v>
      </c>
      <c r="E1302" s="1084">
        <f>input_values!F102</f>
        <v>0</v>
      </c>
      <c r="F1302" s="1085">
        <f>input_values!W102</f>
        <v>1</v>
      </c>
      <c r="G1302" s="1085" t="str">
        <f>IF(Table3[[#This Row],[CF]]&gt;0,CONCATENATE(IF(Table3[[#This Row],[LOQ]]="*","LOQ","MRL"),IF(input_values!G102&gt;0,"×CFrisk","")),"")</f>
        <v>MRL</v>
      </c>
      <c r="H1302" s="1087">
        <f>input_values!L102</f>
        <v>0</v>
      </c>
      <c r="I1302" s="1088">
        <f>input_values!D102</f>
        <v>0</v>
      </c>
      <c r="J1302" s="1098" t="e">
        <f>IF($D$1212="",0,$D1302*Table3[[#This Row],[CF]]*chronic_consumption!$E102/1000/$C$3)</f>
        <v>#DIV/0!</v>
      </c>
      <c r="K1302" s="1098" t="e">
        <f>IF($D$1212="",0,$D1302*Table3[[#This Row],[CF]]*chronic_consumption!$F102/1000/$C$3)</f>
        <v>#DIV/0!</v>
      </c>
      <c r="L1302" s="1098" t="e">
        <f>IF($D$1212="",0,$D1302*Table3[[#This Row],[CF]]*chronic_consumption!$G102/1000/$C$3)</f>
        <v>#DIV/0!</v>
      </c>
      <c r="M1302" s="1098" t="e">
        <f>IF($D$1212="",0,$D1302*Table3[[#This Row],[CF]]*chronic_consumption!$H102/1000/$C$3)</f>
        <v>#DIV/0!</v>
      </c>
      <c r="N1302" s="1098" t="e">
        <f>IF($D$1212="",0,$D1302*Table3[[#This Row],[CF]]*chronic_consumption!$I102/1000/$C$3)</f>
        <v>#DIV/0!</v>
      </c>
      <c r="O1302" s="1098" t="e">
        <f>IF($D$1212="",0,$D1302*Table3[[#This Row],[CF]]*chronic_consumption!$J102/1000/$C$3)</f>
        <v>#DIV/0!</v>
      </c>
      <c r="P1302" s="1098" t="e">
        <f>IF($D$1212="",0,$D1302*Table3[[#This Row],[CF]]*chronic_consumption!$K102/1000/$C$3)</f>
        <v>#DIV/0!</v>
      </c>
      <c r="Q1302" s="1098" t="e">
        <f>IF($D$1212="",0,$D1302*Table3[[#This Row],[CF]]*chronic_consumption!$L102/1000/$C$3)</f>
        <v>#DIV/0!</v>
      </c>
      <c r="R1302" s="1098" t="e">
        <f>IF($D$1212="",0,$D1302*Table3[[#This Row],[CF]]*chronic_consumption!$M102/1000/$C$3)</f>
        <v>#DIV/0!</v>
      </c>
      <c r="S1302" s="1098" t="e">
        <f>IF($D$1212="",0,$D1302*Table3[[#This Row],[CF]]*chronic_consumption!$N102/1000/$C$3)</f>
        <v>#DIV/0!</v>
      </c>
      <c r="T1302" s="1098" t="e">
        <f>IF($D$1212="",0,$D1302*Table3[[#This Row],[CF]]*chronic_consumption!$O102/1000/$C$3)</f>
        <v>#DIV/0!</v>
      </c>
      <c r="U1302" s="1098" t="e">
        <f>IF($D$1212="",0,$D1302*Table3[[#This Row],[CF]]*chronic_consumption!$P102/1000/$C$3)</f>
        <v>#DIV/0!</v>
      </c>
      <c r="V1302" s="1098" t="e">
        <f>IF($D$1212="",0,$D1302*Table3[[#This Row],[CF]]*chronic_consumption!$Q102/1000/$C$3)</f>
        <v>#DIV/0!</v>
      </c>
      <c r="W1302" s="1098" t="e">
        <f>IF($D$1212="",0,$D1302*Table3[[#This Row],[CF]]*chronic_consumption!$R102/1000/$C$3)</f>
        <v>#DIV/0!</v>
      </c>
      <c r="X1302" s="1098" t="e">
        <f>IF($D$1212="",0,$D1302*Table3[[#This Row],[CF]]*chronic_consumption!$S102/1000/$C$3)</f>
        <v>#DIV/0!</v>
      </c>
      <c r="Y1302" s="1098" t="e">
        <f>IF($D$1212="",0,$D1302*Table3[[#This Row],[CF]]*chronic_consumption!$T102/1000/$C$3)</f>
        <v>#DIV/0!</v>
      </c>
      <c r="Z1302" s="1098" t="e">
        <f>IF($D$1212="",0,$D1302*Table3[[#This Row],[CF]]*chronic_consumption!$U102/1000/$C$3)</f>
        <v>#DIV/0!</v>
      </c>
      <c r="AA1302" s="1098" t="e">
        <f>IF($D$1212="",0,$D1302*Table3[[#This Row],[CF]]*chronic_consumption!$V102/1000/$C$3)</f>
        <v>#DIV/0!</v>
      </c>
      <c r="AB1302" s="1098" t="e">
        <f>IF($D$1212="",0,$D1302*Table3[[#This Row],[CF]]*chronic_consumption!$W102/1000/$C$3)</f>
        <v>#DIV/0!</v>
      </c>
      <c r="AC1302" s="1098" t="e">
        <f>IF($D$1212="",0,$D1302*Table3[[#This Row],[CF]]*chronic_consumption!$X102/1000/$C$3)</f>
        <v>#DIV/0!</v>
      </c>
      <c r="AD1302" s="1098" t="e">
        <f>IF($D$1212="",0,$D1302*Table3[[#This Row],[CF]]*chronic_consumption!$Y102/1000/$C$3)</f>
        <v>#DIV/0!</v>
      </c>
      <c r="AE1302" s="1098" t="e">
        <f>IF($D$1212="",0,$D1302*Table3[[#This Row],[CF]]*chronic_consumption!$Z102/1000/$C$3)</f>
        <v>#DIV/0!</v>
      </c>
      <c r="AF1302" s="1098" t="e">
        <f>IF($D$1212="",0,$D1302*Table3[[#This Row],[CF]]*chronic_consumption!$AA102/1000/$C$3)</f>
        <v>#DIV/0!</v>
      </c>
      <c r="AG1302" s="1098" t="e">
        <f>IF($D$1212="",0,$D1302*Table3[[#This Row],[CF]]*chronic_consumption!$AB102/1000/$C$3)</f>
        <v>#DIV/0!</v>
      </c>
      <c r="AH1302" s="1098" t="e">
        <f>IF($D$1212="",0,$D1302*Table3[[#This Row],[CF]]*chronic_consumption!$AC102/1000/$C$3)</f>
        <v>#DIV/0!</v>
      </c>
      <c r="AI1302" s="1098" t="e">
        <f>IF($D$1212="",0,$D1302*Table3[[#This Row],[CF]]*chronic_consumption!$AD102/1000/$C$3)</f>
        <v>#DIV/0!</v>
      </c>
      <c r="AJ1302" s="1098" t="e">
        <f>IF($D$1212="",0,$D1302*Table3[[#This Row],[CF]]*chronic_consumption!$AE102/1000/$C$3)</f>
        <v>#DIV/0!</v>
      </c>
      <c r="AK1302" s="1098" t="e">
        <f>IF($D$1212="",0,$D1302*Table3[[#This Row],[CF]]*chronic_consumption!$AF102/1000/$C$3)</f>
        <v>#DIV/0!</v>
      </c>
      <c r="AL1302" s="1098" t="e">
        <f>IF($D$1212="",0,$D1302*Table3[[#This Row],[CF]]*chronic_consumption!$AG102/1000/$C$3)</f>
        <v>#DIV/0!</v>
      </c>
      <c r="AM1302" s="1098" t="e">
        <f>IF($D$1212="",0,$D1302*Table3[[#This Row],[CF]]*chronic_consumption!$AH102/1000/$C$3)</f>
        <v>#DIV/0!</v>
      </c>
      <c r="AN1302" s="1098" t="e">
        <f>IF($D$1212="",0,$D1302*Table3[[#This Row],[CF]]*chronic_consumption!$AI102/1000/$C$3)</f>
        <v>#DIV/0!</v>
      </c>
      <c r="AO1302" s="1098" t="e">
        <f>IF($D$1212="",0,$D1302*Table3[[#This Row],[CF]]*chronic_consumption!$AJ102/1000/$C$3)</f>
        <v>#DIV/0!</v>
      </c>
      <c r="AP1302" s="1098" t="e">
        <f>IF($D$1212="",0,$D1302*Table3[[#This Row],[CF]]*chronic_consumption!$AK102/1000/$C$3)</f>
        <v>#DIV/0!</v>
      </c>
      <c r="AQ1302" s="1098" t="e">
        <f>IF($D$1212="",0,$D1302*Table3[[#This Row],[CF]]*chronic_consumption!$AL102/1000/$C$3)</f>
        <v>#DIV/0!</v>
      </c>
      <c r="AR1302" s="1098" t="e">
        <f>IF($D$1212="",0,$D1302*Table3[[#This Row],[CF]]*chronic_consumption!$AM102/1000/$C$3)</f>
        <v>#DIV/0!</v>
      </c>
      <c r="AS1302" s="1098" t="e">
        <f>IF($D$1212="",0,$D1302*Table3[[#This Row],[CF]]*chronic_consumption!$AN102/1000/$C$3)</f>
        <v>#DIV/0!</v>
      </c>
      <c r="AT1302" s="1098" t="e">
        <f>IF($D$1212="",0,$D1302*Table3[[#This Row],[CF]]*chronic_consumption!$AO102/1000/$C$3)</f>
        <v>#DIV/0!</v>
      </c>
      <c r="AU1302" s="1099" t="e">
        <f t="shared" ref="AU1302:AY1311" si="847">IF(AU502="",0,IF(OR(1=RANK(AU902,AU$412:AU$790,0),(2=RANK(AU902,AU$412:AU$790,0))),AU902,AU502))</f>
        <v>#DIV/0!</v>
      </c>
      <c r="AV1302" s="1099" t="e">
        <f t="shared" si="847"/>
        <v>#DIV/0!</v>
      </c>
      <c r="AW1302" s="1099" t="e">
        <f t="shared" si="847"/>
        <v>#DIV/0!</v>
      </c>
      <c r="AX1302" s="1099" t="e">
        <f t="shared" si="847"/>
        <v>#DIV/0!</v>
      </c>
      <c r="AY1302" s="1099" t="e">
        <f t="shared" si="847"/>
        <v>#DIV/0!</v>
      </c>
      <c r="AZ1302" s="1091" t="s">
        <v>1012</v>
      </c>
      <c r="BA1302" s="1097" t="e">
        <f>IF(Table3[[#This Row],[max]]&lt;&gt;0,RANK(Table3[[#This Row],[max]],Table3[max],0),"")</f>
        <v>#DIV/0!</v>
      </c>
      <c r="BB1302" s="1096" t="e">
        <f t="shared" si="842"/>
        <v>#DIV/0!</v>
      </c>
      <c r="BC1302" s="1096" t="e">
        <f t="shared" ca="1" si="843"/>
        <v>#DIV/0!</v>
      </c>
      <c r="BD1302" s="1096" t="e">
        <f>IF(Table3[[#This Row],[max]]&gt;0,Table3[[#This Row],[Crop groups and examples of individual products within the groups to which the MRLs apply]],"")</f>
        <v>#DIV/0!</v>
      </c>
    </row>
    <row r="1303" spans="2:56" x14ac:dyDescent="0.2">
      <c r="B1303" s="23">
        <f t="shared" si="845"/>
        <v>212030</v>
      </c>
      <c r="C1303" s="23" t="str">
        <f t="shared" si="845"/>
        <v>Yams</v>
      </c>
      <c r="D1303" s="1084">
        <f>input_values!E103</f>
        <v>0</v>
      </c>
      <c r="E1303" s="1084">
        <f>input_values!F103</f>
        <v>0</v>
      </c>
      <c r="F1303" s="1085">
        <f>input_values!W103</f>
        <v>1</v>
      </c>
      <c r="G1303" s="1085" t="str">
        <f>IF(Table3[[#This Row],[CF]]&gt;0,CONCATENATE(IF(Table3[[#This Row],[LOQ]]="*","LOQ","MRL"),IF(input_values!G103&gt;0,"×CFrisk","")),"")</f>
        <v>MRL</v>
      </c>
      <c r="H1303" s="1087">
        <f>input_values!L103</f>
        <v>0</v>
      </c>
      <c r="I1303" s="1088">
        <f>input_values!D103</f>
        <v>0</v>
      </c>
      <c r="J1303" s="1098" t="e">
        <f>IF($D$1212="",0,$D1303*Table3[[#This Row],[CF]]*chronic_consumption!$E103/1000/$C$3)</f>
        <v>#DIV/0!</v>
      </c>
      <c r="K1303" s="1098" t="e">
        <f>IF($D$1212="",0,$D1303*Table3[[#This Row],[CF]]*chronic_consumption!$F103/1000/$C$3)</f>
        <v>#DIV/0!</v>
      </c>
      <c r="L1303" s="1098" t="e">
        <f>IF($D$1212="",0,$D1303*Table3[[#This Row],[CF]]*chronic_consumption!$G103/1000/$C$3)</f>
        <v>#DIV/0!</v>
      </c>
      <c r="M1303" s="1098" t="e">
        <f>IF($D$1212="",0,$D1303*Table3[[#This Row],[CF]]*chronic_consumption!$H103/1000/$C$3)</f>
        <v>#DIV/0!</v>
      </c>
      <c r="N1303" s="1098" t="e">
        <f>IF($D$1212="",0,$D1303*Table3[[#This Row],[CF]]*chronic_consumption!$I103/1000/$C$3)</f>
        <v>#DIV/0!</v>
      </c>
      <c r="O1303" s="1098" t="e">
        <f>IF($D$1212="",0,$D1303*Table3[[#This Row],[CF]]*chronic_consumption!$J103/1000/$C$3)</f>
        <v>#DIV/0!</v>
      </c>
      <c r="P1303" s="1098" t="e">
        <f>IF($D$1212="",0,$D1303*Table3[[#This Row],[CF]]*chronic_consumption!$K103/1000/$C$3)</f>
        <v>#DIV/0!</v>
      </c>
      <c r="Q1303" s="1098" t="e">
        <f>IF($D$1212="",0,$D1303*Table3[[#This Row],[CF]]*chronic_consumption!$L103/1000/$C$3)</f>
        <v>#DIV/0!</v>
      </c>
      <c r="R1303" s="1098" t="e">
        <f>IF($D$1212="",0,$D1303*Table3[[#This Row],[CF]]*chronic_consumption!$M103/1000/$C$3)</f>
        <v>#DIV/0!</v>
      </c>
      <c r="S1303" s="1098" t="e">
        <f>IF($D$1212="",0,$D1303*Table3[[#This Row],[CF]]*chronic_consumption!$N103/1000/$C$3)</f>
        <v>#DIV/0!</v>
      </c>
      <c r="T1303" s="1098" t="e">
        <f>IF($D$1212="",0,$D1303*Table3[[#This Row],[CF]]*chronic_consumption!$O103/1000/$C$3)</f>
        <v>#DIV/0!</v>
      </c>
      <c r="U1303" s="1098" t="e">
        <f>IF($D$1212="",0,$D1303*Table3[[#This Row],[CF]]*chronic_consumption!$P103/1000/$C$3)</f>
        <v>#DIV/0!</v>
      </c>
      <c r="V1303" s="1098" t="e">
        <f>IF($D$1212="",0,$D1303*Table3[[#This Row],[CF]]*chronic_consumption!$Q103/1000/$C$3)</f>
        <v>#DIV/0!</v>
      </c>
      <c r="W1303" s="1098" t="e">
        <f>IF($D$1212="",0,$D1303*Table3[[#This Row],[CF]]*chronic_consumption!$R103/1000/$C$3)</f>
        <v>#DIV/0!</v>
      </c>
      <c r="X1303" s="1098" t="e">
        <f>IF($D$1212="",0,$D1303*Table3[[#This Row],[CF]]*chronic_consumption!$S103/1000/$C$3)</f>
        <v>#DIV/0!</v>
      </c>
      <c r="Y1303" s="1098" t="e">
        <f>IF($D$1212="",0,$D1303*Table3[[#This Row],[CF]]*chronic_consumption!$T103/1000/$C$3)</f>
        <v>#DIV/0!</v>
      </c>
      <c r="Z1303" s="1098" t="e">
        <f>IF($D$1212="",0,$D1303*Table3[[#This Row],[CF]]*chronic_consumption!$U103/1000/$C$3)</f>
        <v>#DIV/0!</v>
      </c>
      <c r="AA1303" s="1098" t="e">
        <f>IF($D$1212="",0,$D1303*Table3[[#This Row],[CF]]*chronic_consumption!$V103/1000/$C$3)</f>
        <v>#DIV/0!</v>
      </c>
      <c r="AB1303" s="1098" t="e">
        <f>IF($D$1212="",0,$D1303*Table3[[#This Row],[CF]]*chronic_consumption!$W103/1000/$C$3)</f>
        <v>#DIV/0!</v>
      </c>
      <c r="AC1303" s="1098" t="e">
        <f>IF($D$1212="",0,$D1303*Table3[[#This Row],[CF]]*chronic_consumption!$X103/1000/$C$3)</f>
        <v>#DIV/0!</v>
      </c>
      <c r="AD1303" s="1098" t="e">
        <f>IF($D$1212="",0,$D1303*Table3[[#This Row],[CF]]*chronic_consumption!$Y103/1000/$C$3)</f>
        <v>#DIV/0!</v>
      </c>
      <c r="AE1303" s="1098" t="e">
        <f>IF($D$1212="",0,$D1303*Table3[[#This Row],[CF]]*chronic_consumption!$Z103/1000/$C$3)</f>
        <v>#DIV/0!</v>
      </c>
      <c r="AF1303" s="1098" t="e">
        <f>IF($D$1212="",0,$D1303*Table3[[#This Row],[CF]]*chronic_consumption!$AA103/1000/$C$3)</f>
        <v>#DIV/0!</v>
      </c>
      <c r="AG1303" s="1098" t="e">
        <f>IF($D$1212="",0,$D1303*Table3[[#This Row],[CF]]*chronic_consumption!$AB103/1000/$C$3)</f>
        <v>#DIV/0!</v>
      </c>
      <c r="AH1303" s="1098" t="e">
        <f>IF($D$1212="",0,$D1303*Table3[[#This Row],[CF]]*chronic_consumption!$AC103/1000/$C$3)</f>
        <v>#DIV/0!</v>
      </c>
      <c r="AI1303" s="1098" t="e">
        <f>IF($D$1212="",0,$D1303*Table3[[#This Row],[CF]]*chronic_consumption!$AD103/1000/$C$3)</f>
        <v>#DIV/0!</v>
      </c>
      <c r="AJ1303" s="1098" t="e">
        <f>IF($D$1212="",0,$D1303*Table3[[#This Row],[CF]]*chronic_consumption!$AE103/1000/$C$3)</f>
        <v>#DIV/0!</v>
      </c>
      <c r="AK1303" s="1098" t="e">
        <f>IF($D$1212="",0,$D1303*Table3[[#This Row],[CF]]*chronic_consumption!$AF103/1000/$C$3)</f>
        <v>#DIV/0!</v>
      </c>
      <c r="AL1303" s="1098" t="e">
        <f>IF($D$1212="",0,$D1303*Table3[[#This Row],[CF]]*chronic_consumption!$AG103/1000/$C$3)</f>
        <v>#DIV/0!</v>
      </c>
      <c r="AM1303" s="1098" t="e">
        <f>IF($D$1212="",0,$D1303*Table3[[#This Row],[CF]]*chronic_consumption!$AH103/1000/$C$3)</f>
        <v>#DIV/0!</v>
      </c>
      <c r="AN1303" s="1098" t="e">
        <f>IF($D$1212="",0,$D1303*Table3[[#This Row],[CF]]*chronic_consumption!$AI103/1000/$C$3)</f>
        <v>#DIV/0!</v>
      </c>
      <c r="AO1303" s="1098" t="e">
        <f>IF($D$1212="",0,$D1303*Table3[[#This Row],[CF]]*chronic_consumption!$AJ103/1000/$C$3)</f>
        <v>#DIV/0!</v>
      </c>
      <c r="AP1303" s="1098" t="e">
        <f>IF($D$1212="",0,$D1303*Table3[[#This Row],[CF]]*chronic_consumption!$AK103/1000/$C$3)</f>
        <v>#DIV/0!</v>
      </c>
      <c r="AQ1303" s="1098" t="e">
        <f>IF($D$1212="",0,$D1303*Table3[[#This Row],[CF]]*chronic_consumption!$AL103/1000/$C$3)</f>
        <v>#DIV/0!</v>
      </c>
      <c r="AR1303" s="1098" t="e">
        <f>IF($D$1212="",0,$D1303*Table3[[#This Row],[CF]]*chronic_consumption!$AM103/1000/$C$3)</f>
        <v>#DIV/0!</v>
      </c>
      <c r="AS1303" s="1098" t="e">
        <f>IF($D$1212="",0,$D1303*Table3[[#This Row],[CF]]*chronic_consumption!$AN103/1000/$C$3)</f>
        <v>#DIV/0!</v>
      </c>
      <c r="AT1303" s="1098" t="e">
        <f>IF($D$1212="",0,$D1303*Table3[[#This Row],[CF]]*chronic_consumption!$AO103/1000/$C$3)</f>
        <v>#DIV/0!</v>
      </c>
      <c r="AU1303" s="1099" t="e">
        <f t="shared" si="847"/>
        <v>#DIV/0!</v>
      </c>
      <c r="AV1303" s="1099" t="e">
        <f t="shared" si="847"/>
        <v>#DIV/0!</v>
      </c>
      <c r="AW1303" s="1099" t="e">
        <f t="shared" si="847"/>
        <v>#DIV/0!</v>
      </c>
      <c r="AX1303" s="1099" t="e">
        <f t="shared" si="847"/>
        <v>#DIV/0!</v>
      </c>
      <c r="AY1303" s="1099" t="e">
        <f t="shared" si="847"/>
        <v>#DIV/0!</v>
      </c>
      <c r="AZ1303" s="1091" t="s">
        <v>1012</v>
      </c>
      <c r="BA1303" s="1097" t="e">
        <f>IF(Table3[[#This Row],[max]]&lt;&gt;0,RANK(Table3[[#This Row],[max]],Table3[max],0),"")</f>
        <v>#DIV/0!</v>
      </c>
      <c r="BB1303" s="1096" t="e">
        <f t="shared" si="842"/>
        <v>#DIV/0!</v>
      </c>
      <c r="BC1303" s="1096" t="e">
        <f t="shared" ca="1" si="843"/>
        <v>#DIV/0!</v>
      </c>
      <c r="BD1303" s="1096" t="e">
        <f>IF(Table3[[#This Row],[max]]&gt;0,Table3[[#This Row],[Crop groups and examples of individual products within the groups to which the MRLs apply]],"")</f>
        <v>#DIV/0!</v>
      </c>
    </row>
    <row r="1304" spans="2:56" x14ac:dyDescent="0.2">
      <c r="B1304" s="23">
        <f t="shared" si="845"/>
        <v>212040</v>
      </c>
      <c r="C1304" s="23" t="str">
        <f t="shared" si="845"/>
        <v>Arrowroots</v>
      </c>
      <c r="D1304" s="1084">
        <f>input_values!E104</f>
        <v>0</v>
      </c>
      <c r="E1304" s="1084">
        <f>input_values!F104</f>
        <v>0</v>
      </c>
      <c r="F1304" s="1085">
        <f>input_values!W104</f>
        <v>1</v>
      </c>
      <c r="G1304" s="1085" t="str">
        <f>IF(Table3[[#This Row],[CF]]&gt;0,CONCATENATE(IF(Table3[[#This Row],[LOQ]]="*","LOQ","MRL"),IF(input_values!G104&gt;0,"×CFrisk","")),"")</f>
        <v>MRL</v>
      </c>
      <c r="H1304" s="1087">
        <f>input_values!L104</f>
        <v>0</v>
      </c>
      <c r="I1304" s="1088">
        <f>input_values!D104</f>
        <v>0</v>
      </c>
      <c r="J1304" s="1098" t="e">
        <f>IF($D$1212="",0,$D1304*Table3[[#This Row],[CF]]*chronic_consumption!$E104/1000/$C$3)</f>
        <v>#DIV/0!</v>
      </c>
      <c r="K1304" s="1098" t="e">
        <f>IF($D$1212="",0,$D1304*Table3[[#This Row],[CF]]*chronic_consumption!$F104/1000/$C$3)</f>
        <v>#DIV/0!</v>
      </c>
      <c r="L1304" s="1098" t="e">
        <f>IF($D$1212="",0,$D1304*Table3[[#This Row],[CF]]*chronic_consumption!$G104/1000/$C$3)</f>
        <v>#DIV/0!</v>
      </c>
      <c r="M1304" s="1098" t="e">
        <f>IF($D$1212="",0,$D1304*Table3[[#This Row],[CF]]*chronic_consumption!$H104/1000/$C$3)</f>
        <v>#DIV/0!</v>
      </c>
      <c r="N1304" s="1098" t="e">
        <f>IF($D$1212="",0,$D1304*Table3[[#This Row],[CF]]*chronic_consumption!$I104/1000/$C$3)</f>
        <v>#DIV/0!</v>
      </c>
      <c r="O1304" s="1098" t="e">
        <f>IF($D$1212="",0,$D1304*Table3[[#This Row],[CF]]*chronic_consumption!$J104/1000/$C$3)</f>
        <v>#DIV/0!</v>
      </c>
      <c r="P1304" s="1098" t="e">
        <f>IF($D$1212="",0,$D1304*Table3[[#This Row],[CF]]*chronic_consumption!$K104/1000/$C$3)</f>
        <v>#DIV/0!</v>
      </c>
      <c r="Q1304" s="1098" t="e">
        <f>IF($D$1212="",0,$D1304*Table3[[#This Row],[CF]]*chronic_consumption!$L104/1000/$C$3)</f>
        <v>#DIV/0!</v>
      </c>
      <c r="R1304" s="1098" t="e">
        <f>IF($D$1212="",0,$D1304*Table3[[#This Row],[CF]]*chronic_consumption!$M104/1000/$C$3)</f>
        <v>#DIV/0!</v>
      </c>
      <c r="S1304" s="1098" t="e">
        <f>IF($D$1212="",0,$D1304*Table3[[#This Row],[CF]]*chronic_consumption!$N104/1000/$C$3)</f>
        <v>#DIV/0!</v>
      </c>
      <c r="T1304" s="1098" t="e">
        <f>IF($D$1212="",0,$D1304*Table3[[#This Row],[CF]]*chronic_consumption!$O104/1000/$C$3)</f>
        <v>#DIV/0!</v>
      </c>
      <c r="U1304" s="1098" t="e">
        <f>IF($D$1212="",0,$D1304*Table3[[#This Row],[CF]]*chronic_consumption!$P104/1000/$C$3)</f>
        <v>#DIV/0!</v>
      </c>
      <c r="V1304" s="1098" t="e">
        <f>IF($D$1212="",0,$D1304*Table3[[#This Row],[CF]]*chronic_consumption!$Q104/1000/$C$3)</f>
        <v>#DIV/0!</v>
      </c>
      <c r="W1304" s="1098" t="e">
        <f>IF($D$1212="",0,$D1304*Table3[[#This Row],[CF]]*chronic_consumption!$R104/1000/$C$3)</f>
        <v>#DIV/0!</v>
      </c>
      <c r="X1304" s="1098" t="e">
        <f>IF($D$1212="",0,$D1304*Table3[[#This Row],[CF]]*chronic_consumption!$S104/1000/$C$3)</f>
        <v>#DIV/0!</v>
      </c>
      <c r="Y1304" s="1098" t="e">
        <f>IF($D$1212="",0,$D1304*Table3[[#This Row],[CF]]*chronic_consumption!$T104/1000/$C$3)</f>
        <v>#DIV/0!</v>
      </c>
      <c r="Z1304" s="1098" t="e">
        <f>IF($D$1212="",0,$D1304*Table3[[#This Row],[CF]]*chronic_consumption!$U104/1000/$C$3)</f>
        <v>#DIV/0!</v>
      </c>
      <c r="AA1304" s="1098" t="e">
        <f>IF($D$1212="",0,$D1304*Table3[[#This Row],[CF]]*chronic_consumption!$V104/1000/$C$3)</f>
        <v>#DIV/0!</v>
      </c>
      <c r="AB1304" s="1098" t="e">
        <f>IF($D$1212="",0,$D1304*Table3[[#This Row],[CF]]*chronic_consumption!$W104/1000/$C$3)</f>
        <v>#DIV/0!</v>
      </c>
      <c r="AC1304" s="1098" t="e">
        <f>IF($D$1212="",0,$D1304*Table3[[#This Row],[CF]]*chronic_consumption!$X104/1000/$C$3)</f>
        <v>#DIV/0!</v>
      </c>
      <c r="AD1304" s="1098" t="e">
        <f>IF($D$1212="",0,$D1304*Table3[[#This Row],[CF]]*chronic_consumption!$Y104/1000/$C$3)</f>
        <v>#DIV/0!</v>
      </c>
      <c r="AE1304" s="1098" t="e">
        <f>IF($D$1212="",0,$D1304*Table3[[#This Row],[CF]]*chronic_consumption!$Z104/1000/$C$3)</f>
        <v>#DIV/0!</v>
      </c>
      <c r="AF1304" s="1098" t="e">
        <f>IF($D$1212="",0,$D1304*Table3[[#This Row],[CF]]*chronic_consumption!$AA104/1000/$C$3)</f>
        <v>#DIV/0!</v>
      </c>
      <c r="AG1304" s="1098" t="e">
        <f>IF($D$1212="",0,$D1304*Table3[[#This Row],[CF]]*chronic_consumption!$AB104/1000/$C$3)</f>
        <v>#DIV/0!</v>
      </c>
      <c r="AH1304" s="1098" t="e">
        <f>IF($D$1212="",0,$D1304*Table3[[#This Row],[CF]]*chronic_consumption!$AC104/1000/$C$3)</f>
        <v>#DIV/0!</v>
      </c>
      <c r="AI1304" s="1098" t="e">
        <f>IF($D$1212="",0,$D1304*Table3[[#This Row],[CF]]*chronic_consumption!$AD104/1000/$C$3)</f>
        <v>#DIV/0!</v>
      </c>
      <c r="AJ1304" s="1098" t="e">
        <f>IF($D$1212="",0,$D1304*Table3[[#This Row],[CF]]*chronic_consumption!$AE104/1000/$C$3)</f>
        <v>#DIV/0!</v>
      </c>
      <c r="AK1304" s="1098" t="e">
        <f>IF($D$1212="",0,$D1304*Table3[[#This Row],[CF]]*chronic_consumption!$AF104/1000/$C$3)</f>
        <v>#DIV/0!</v>
      </c>
      <c r="AL1304" s="1098" t="e">
        <f>IF($D$1212="",0,$D1304*Table3[[#This Row],[CF]]*chronic_consumption!$AG104/1000/$C$3)</f>
        <v>#DIV/0!</v>
      </c>
      <c r="AM1304" s="1098" t="e">
        <f>IF($D$1212="",0,$D1304*Table3[[#This Row],[CF]]*chronic_consumption!$AH104/1000/$C$3)</f>
        <v>#DIV/0!</v>
      </c>
      <c r="AN1304" s="1098" t="e">
        <f>IF($D$1212="",0,$D1304*Table3[[#This Row],[CF]]*chronic_consumption!$AI104/1000/$C$3)</f>
        <v>#DIV/0!</v>
      </c>
      <c r="AO1304" s="1098" t="e">
        <f>IF($D$1212="",0,$D1304*Table3[[#This Row],[CF]]*chronic_consumption!$AJ104/1000/$C$3)</f>
        <v>#DIV/0!</v>
      </c>
      <c r="AP1304" s="1098" t="e">
        <f>IF($D$1212="",0,$D1304*Table3[[#This Row],[CF]]*chronic_consumption!$AK104/1000/$C$3)</f>
        <v>#DIV/0!</v>
      </c>
      <c r="AQ1304" s="1098" t="e">
        <f>IF($D$1212="",0,$D1304*Table3[[#This Row],[CF]]*chronic_consumption!$AL104/1000/$C$3)</f>
        <v>#DIV/0!</v>
      </c>
      <c r="AR1304" s="1098" t="e">
        <f>IF($D$1212="",0,$D1304*Table3[[#This Row],[CF]]*chronic_consumption!$AM104/1000/$C$3)</f>
        <v>#DIV/0!</v>
      </c>
      <c r="AS1304" s="1098" t="e">
        <f>IF($D$1212="",0,$D1304*Table3[[#This Row],[CF]]*chronic_consumption!$AN104/1000/$C$3)</f>
        <v>#DIV/0!</v>
      </c>
      <c r="AT1304" s="1098" t="e">
        <f>IF($D$1212="",0,$D1304*Table3[[#This Row],[CF]]*chronic_consumption!$AO104/1000/$C$3)</f>
        <v>#DIV/0!</v>
      </c>
      <c r="AU1304" s="1099" t="e">
        <f t="shared" si="847"/>
        <v>#DIV/0!</v>
      </c>
      <c r="AV1304" s="1099" t="e">
        <f t="shared" si="847"/>
        <v>#DIV/0!</v>
      </c>
      <c r="AW1304" s="1099" t="e">
        <f t="shared" si="847"/>
        <v>#DIV/0!</v>
      </c>
      <c r="AX1304" s="1099" t="e">
        <f t="shared" si="847"/>
        <v>#DIV/0!</v>
      </c>
      <c r="AY1304" s="1099" t="e">
        <f t="shared" si="847"/>
        <v>#DIV/0!</v>
      </c>
      <c r="AZ1304" s="1091" t="s">
        <v>1012</v>
      </c>
      <c r="BA1304" s="1097" t="e">
        <f>IF(Table3[[#This Row],[max]]&lt;&gt;0,RANK(Table3[[#This Row],[max]],Table3[max],0),"")</f>
        <v>#DIV/0!</v>
      </c>
      <c r="BB1304" s="1096" t="e">
        <f t="shared" si="842"/>
        <v>#DIV/0!</v>
      </c>
      <c r="BC1304" s="1096" t="e">
        <f t="shared" ca="1" si="843"/>
        <v>#DIV/0!</v>
      </c>
      <c r="BD1304" s="1096" t="e">
        <f>IF(Table3[[#This Row],[max]]&gt;0,Table3[[#This Row],[Crop groups and examples of individual products within the groups to which the MRLs apply]],"")</f>
        <v>#DIV/0!</v>
      </c>
    </row>
    <row r="1305" spans="2:56" x14ac:dyDescent="0.2">
      <c r="B1305" s="23">
        <f t="shared" si="845"/>
        <v>212990</v>
      </c>
      <c r="C1305" s="23" t="str">
        <f t="shared" si="845"/>
        <v>Other tropical root and tuber vegetables</v>
      </c>
      <c r="D1305" s="1084">
        <f>input_values!E105</f>
        <v>0</v>
      </c>
      <c r="E1305" s="1084">
        <f>input_values!F105</f>
        <v>0</v>
      </c>
      <c r="F1305" s="1085">
        <f>input_values!W105</f>
        <v>1</v>
      </c>
      <c r="G1305" s="1085" t="str">
        <f>IF(Table3[[#This Row],[CF]]&gt;0,CONCATENATE(IF(Table3[[#This Row],[LOQ]]="*","LOQ","MRL"),IF(input_values!G105&gt;0,"×CFrisk","")),"")</f>
        <v>MRL</v>
      </c>
      <c r="H1305" s="1087">
        <f>input_values!L105</f>
        <v>0</v>
      </c>
      <c r="I1305" s="1088">
        <f>input_values!D105</f>
        <v>0</v>
      </c>
      <c r="J1305" s="1098" t="e">
        <f>IF($D$1212="",0,$D1305*Table3[[#This Row],[CF]]*chronic_consumption!$E105/1000/$C$3)</f>
        <v>#DIV/0!</v>
      </c>
      <c r="K1305" s="1098" t="e">
        <f>IF($D$1212="",0,$D1305*Table3[[#This Row],[CF]]*chronic_consumption!$F105/1000/$C$3)</f>
        <v>#DIV/0!</v>
      </c>
      <c r="L1305" s="1098" t="e">
        <f>IF($D$1212="",0,$D1305*Table3[[#This Row],[CF]]*chronic_consumption!$G105/1000/$C$3)</f>
        <v>#DIV/0!</v>
      </c>
      <c r="M1305" s="1098" t="e">
        <f>IF($D$1212="",0,$D1305*Table3[[#This Row],[CF]]*chronic_consumption!$H105/1000/$C$3)</f>
        <v>#DIV/0!</v>
      </c>
      <c r="N1305" s="1098" t="e">
        <f>IF($D$1212="",0,$D1305*Table3[[#This Row],[CF]]*chronic_consumption!$I105/1000/$C$3)</f>
        <v>#DIV/0!</v>
      </c>
      <c r="O1305" s="1098" t="e">
        <f>IF($D$1212="",0,$D1305*Table3[[#This Row],[CF]]*chronic_consumption!$J105/1000/$C$3)</f>
        <v>#DIV/0!</v>
      </c>
      <c r="P1305" s="1098" t="e">
        <f>IF($D$1212="",0,$D1305*Table3[[#This Row],[CF]]*chronic_consumption!$K105/1000/$C$3)</f>
        <v>#DIV/0!</v>
      </c>
      <c r="Q1305" s="1098" t="e">
        <f>IF($D$1212="",0,$D1305*Table3[[#This Row],[CF]]*chronic_consumption!$L105/1000/$C$3)</f>
        <v>#DIV/0!</v>
      </c>
      <c r="R1305" s="1098" t="e">
        <f>IF($D$1212="",0,$D1305*Table3[[#This Row],[CF]]*chronic_consumption!$M105/1000/$C$3)</f>
        <v>#DIV/0!</v>
      </c>
      <c r="S1305" s="1098" t="e">
        <f>IF($D$1212="",0,$D1305*Table3[[#This Row],[CF]]*chronic_consumption!$N105/1000/$C$3)</f>
        <v>#DIV/0!</v>
      </c>
      <c r="T1305" s="1098" t="e">
        <f>IF($D$1212="",0,$D1305*Table3[[#This Row],[CF]]*chronic_consumption!$O105/1000/$C$3)</f>
        <v>#DIV/0!</v>
      </c>
      <c r="U1305" s="1098" t="e">
        <f>IF($D$1212="",0,$D1305*Table3[[#This Row],[CF]]*chronic_consumption!$P105/1000/$C$3)</f>
        <v>#DIV/0!</v>
      </c>
      <c r="V1305" s="1098" t="e">
        <f>IF($D$1212="",0,$D1305*Table3[[#This Row],[CF]]*chronic_consumption!$Q105/1000/$C$3)</f>
        <v>#DIV/0!</v>
      </c>
      <c r="W1305" s="1098" t="e">
        <f>IF($D$1212="",0,$D1305*Table3[[#This Row],[CF]]*chronic_consumption!$R105/1000/$C$3)</f>
        <v>#DIV/0!</v>
      </c>
      <c r="X1305" s="1098" t="e">
        <f>IF($D$1212="",0,$D1305*Table3[[#This Row],[CF]]*chronic_consumption!$S105/1000/$C$3)</f>
        <v>#DIV/0!</v>
      </c>
      <c r="Y1305" s="1098" t="e">
        <f>IF($D$1212="",0,$D1305*Table3[[#This Row],[CF]]*chronic_consumption!$T105/1000/$C$3)</f>
        <v>#DIV/0!</v>
      </c>
      <c r="Z1305" s="1098" t="e">
        <f>IF($D$1212="",0,$D1305*Table3[[#This Row],[CF]]*chronic_consumption!$U105/1000/$C$3)</f>
        <v>#DIV/0!</v>
      </c>
      <c r="AA1305" s="1098" t="e">
        <f>IF($D$1212="",0,$D1305*Table3[[#This Row],[CF]]*chronic_consumption!$V105/1000/$C$3)</f>
        <v>#DIV/0!</v>
      </c>
      <c r="AB1305" s="1098" t="e">
        <f>IF($D$1212="",0,$D1305*Table3[[#This Row],[CF]]*chronic_consumption!$W105/1000/$C$3)</f>
        <v>#DIV/0!</v>
      </c>
      <c r="AC1305" s="1098" t="e">
        <f>IF($D$1212="",0,$D1305*Table3[[#This Row],[CF]]*chronic_consumption!$X105/1000/$C$3)</f>
        <v>#DIV/0!</v>
      </c>
      <c r="AD1305" s="1098" t="e">
        <f>IF($D$1212="",0,$D1305*Table3[[#This Row],[CF]]*chronic_consumption!$Y105/1000/$C$3)</f>
        <v>#DIV/0!</v>
      </c>
      <c r="AE1305" s="1098" t="e">
        <f>IF($D$1212="",0,$D1305*Table3[[#This Row],[CF]]*chronic_consumption!$Z105/1000/$C$3)</f>
        <v>#DIV/0!</v>
      </c>
      <c r="AF1305" s="1098" t="e">
        <f>IF($D$1212="",0,$D1305*Table3[[#This Row],[CF]]*chronic_consumption!$AA105/1000/$C$3)</f>
        <v>#DIV/0!</v>
      </c>
      <c r="AG1305" s="1098" t="e">
        <f>IF($D$1212="",0,$D1305*Table3[[#This Row],[CF]]*chronic_consumption!$AB105/1000/$C$3)</f>
        <v>#DIV/0!</v>
      </c>
      <c r="AH1305" s="1098" t="e">
        <f>IF($D$1212="",0,$D1305*Table3[[#This Row],[CF]]*chronic_consumption!$AC105/1000/$C$3)</f>
        <v>#DIV/0!</v>
      </c>
      <c r="AI1305" s="1098" t="e">
        <f>IF($D$1212="",0,$D1305*Table3[[#This Row],[CF]]*chronic_consumption!$AD105/1000/$C$3)</f>
        <v>#DIV/0!</v>
      </c>
      <c r="AJ1305" s="1098" t="e">
        <f>IF($D$1212="",0,$D1305*Table3[[#This Row],[CF]]*chronic_consumption!$AE105/1000/$C$3)</f>
        <v>#DIV/0!</v>
      </c>
      <c r="AK1305" s="1098" t="e">
        <f>IF($D$1212="",0,$D1305*Table3[[#This Row],[CF]]*chronic_consumption!$AF105/1000/$C$3)</f>
        <v>#DIV/0!</v>
      </c>
      <c r="AL1305" s="1098" t="e">
        <f>IF($D$1212="",0,$D1305*Table3[[#This Row],[CF]]*chronic_consumption!$AG105/1000/$C$3)</f>
        <v>#DIV/0!</v>
      </c>
      <c r="AM1305" s="1098" t="e">
        <f>IF($D$1212="",0,$D1305*Table3[[#This Row],[CF]]*chronic_consumption!$AH105/1000/$C$3)</f>
        <v>#DIV/0!</v>
      </c>
      <c r="AN1305" s="1098" t="e">
        <f>IF($D$1212="",0,$D1305*Table3[[#This Row],[CF]]*chronic_consumption!$AI105/1000/$C$3)</f>
        <v>#DIV/0!</v>
      </c>
      <c r="AO1305" s="1098" t="e">
        <f>IF($D$1212="",0,$D1305*Table3[[#This Row],[CF]]*chronic_consumption!$AJ105/1000/$C$3)</f>
        <v>#DIV/0!</v>
      </c>
      <c r="AP1305" s="1098" t="e">
        <f>IF($D$1212="",0,$D1305*Table3[[#This Row],[CF]]*chronic_consumption!$AK105/1000/$C$3)</f>
        <v>#DIV/0!</v>
      </c>
      <c r="AQ1305" s="1098" t="e">
        <f>IF($D$1212="",0,$D1305*Table3[[#This Row],[CF]]*chronic_consumption!$AL105/1000/$C$3)</f>
        <v>#DIV/0!</v>
      </c>
      <c r="AR1305" s="1098" t="e">
        <f>IF($D$1212="",0,$D1305*Table3[[#This Row],[CF]]*chronic_consumption!$AM105/1000/$C$3)</f>
        <v>#DIV/0!</v>
      </c>
      <c r="AS1305" s="1098" t="e">
        <f>IF($D$1212="",0,$D1305*Table3[[#This Row],[CF]]*chronic_consumption!$AN105/1000/$C$3)</f>
        <v>#DIV/0!</v>
      </c>
      <c r="AT1305" s="1098" t="e">
        <f>IF($D$1212="",0,$D1305*Table3[[#This Row],[CF]]*chronic_consumption!$AO105/1000/$C$3)</f>
        <v>#DIV/0!</v>
      </c>
      <c r="AU1305" s="1099" t="e">
        <f t="shared" si="847"/>
        <v>#DIV/0!</v>
      </c>
      <c r="AV1305" s="1099" t="e">
        <f t="shared" si="847"/>
        <v>#DIV/0!</v>
      </c>
      <c r="AW1305" s="1099" t="e">
        <f t="shared" si="847"/>
        <v>#DIV/0!</v>
      </c>
      <c r="AX1305" s="1099" t="e">
        <f t="shared" si="847"/>
        <v>#DIV/0!</v>
      </c>
      <c r="AY1305" s="1099" t="e">
        <f t="shared" si="847"/>
        <v>#DIV/0!</v>
      </c>
      <c r="AZ1305" s="1091" t="s">
        <v>1012</v>
      </c>
      <c r="BA1305" s="1097" t="e">
        <f>IF(Table3[[#This Row],[max]]&lt;&gt;0,RANK(Table3[[#This Row],[max]],Table3[max],0),"")</f>
        <v>#DIV/0!</v>
      </c>
      <c r="BB1305" s="1096" t="e">
        <f t="shared" si="842"/>
        <v>#DIV/0!</v>
      </c>
      <c r="BC1305" s="1096" t="e">
        <f t="shared" ca="1" si="843"/>
        <v>#DIV/0!</v>
      </c>
      <c r="BD1305" s="1096" t="e">
        <f>IF(Table3[[#This Row],[max]]&gt;0,Table3[[#This Row],[Crop groups and examples of individual products within the groups to which the MRLs apply]],"")</f>
        <v>#DIV/0!</v>
      </c>
    </row>
    <row r="1306" spans="2:56" x14ac:dyDescent="0.2">
      <c r="B1306" s="3">
        <f t="shared" si="845"/>
        <v>213000</v>
      </c>
      <c r="C1306" s="3" t="str">
        <f t="shared" si="845"/>
        <v>Other root and tuber vegetables except sugar beet</v>
      </c>
      <c r="D1306" s="1084">
        <f>input_values!E106</f>
        <v>0</v>
      </c>
      <c r="E1306" s="1084">
        <f>input_values!F106</f>
        <v>0</v>
      </c>
      <c r="F1306" s="1085">
        <f>input_values!W106</f>
        <v>0</v>
      </c>
      <c r="G1306" s="1085" t="str">
        <f>IF(Table3[[#This Row],[CF]]&gt;0,CONCATENATE(IF(Table3[[#This Row],[LOQ]]="*","LOQ","MRL"),IF(input_values!G106&gt;0,"×CFrisk","")),"")</f>
        <v/>
      </c>
      <c r="H1306" s="1087">
        <f>input_values!L106</f>
        <v>0</v>
      </c>
      <c r="I1306" s="1088">
        <f>input_values!D106</f>
        <v>0</v>
      </c>
      <c r="J1306" s="1100" t="e">
        <f>IF($D$1212="",0,$D1306*Table3[[#This Row],[CF]]*chronic_consumption!$E106/1000/$C$3)</f>
        <v>#DIV/0!</v>
      </c>
      <c r="K1306" s="1100" t="e">
        <f>IF($D$1212="",0,$D1306*Table3[[#This Row],[CF]]*chronic_consumption!$F106/1000/$C$3)</f>
        <v>#DIV/0!</v>
      </c>
      <c r="L1306" s="1100" t="e">
        <f>IF($D$1212="",0,$D1306*Table3[[#This Row],[CF]]*chronic_consumption!$G106/1000/$C$3)</f>
        <v>#DIV/0!</v>
      </c>
      <c r="M1306" s="1100" t="e">
        <f>IF($D$1212="",0,$D1306*Table3[[#This Row],[CF]]*chronic_consumption!$H106/1000/$C$3)</f>
        <v>#DIV/0!</v>
      </c>
      <c r="N1306" s="1100" t="e">
        <f>IF($D$1212="",0,$D1306*Table3[[#This Row],[CF]]*chronic_consumption!$I106/1000/$C$3)</f>
        <v>#DIV/0!</v>
      </c>
      <c r="O1306" s="1100" t="e">
        <f>IF($D$1212="",0,$D1306*Table3[[#This Row],[CF]]*chronic_consumption!$J106/1000/$C$3)</f>
        <v>#DIV/0!</v>
      </c>
      <c r="P1306" s="1100" t="e">
        <f>IF($D$1212="",0,$D1306*Table3[[#This Row],[CF]]*chronic_consumption!$K106/1000/$C$3)</f>
        <v>#DIV/0!</v>
      </c>
      <c r="Q1306" s="1100" t="e">
        <f>IF($D$1212="",0,$D1306*Table3[[#This Row],[CF]]*chronic_consumption!$L106/1000/$C$3)</f>
        <v>#DIV/0!</v>
      </c>
      <c r="R1306" s="1100" t="e">
        <f>IF($D$1212="",0,$D1306*Table3[[#This Row],[CF]]*chronic_consumption!$M106/1000/$C$3)</f>
        <v>#DIV/0!</v>
      </c>
      <c r="S1306" s="1100" t="e">
        <f>IF($D$1212="",0,$D1306*Table3[[#This Row],[CF]]*chronic_consumption!$N106/1000/$C$3)</f>
        <v>#DIV/0!</v>
      </c>
      <c r="T1306" s="1100" t="e">
        <f>IF($D$1212="",0,$D1306*Table3[[#This Row],[CF]]*chronic_consumption!$O106/1000/$C$3)</f>
        <v>#DIV/0!</v>
      </c>
      <c r="U1306" s="1100" t="e">
        <f>IF($D$1212="",0,$D1306*Table3[[#This Row],[CF]]*chronic_consumption!$P106/1000/$C$3)</f>
        <v>#DIV/0!</v>
      </c>
      <c r="V1306" s="1100" t="e">
        <f>IF($D$1212="",0,$D1306*Table3[[#This Row],[CF]]*chronic_consumption!$Q106/1000/$C$3)</f>
        <v>#DIV/0!</v>
      </c>
      <c r="W1306" s="1100" t="e">
        <f>IF($D$1212="",0,$D1306*Table3[[#This Row],[CF]]*chronic_consumption!$R106/1000/$C$3)</f>
        <v>#DIV/0!</v>
      </c>
      <c r="X1306" s="1100" t="e">
        <f>IF($D$1212="",0,$D1306*Table3[[#This Row],[CF]]*chronic_consumption!$S106/1000/$C$3)</f>
        <v>#DIV/0!</v>
      </c>
      <c r="Y1306" s="1100" t="e">
        <f>IF($D$1212="",0,$D1306*Table3[[#This Row],[CF]]*chronic_consumption!$T106/1000/$C$3)</f>
        <v>#DIV/0!</v>
      </c>
      <c r="Z1306" s="1100" t="e">
        <f>IF($D$1212="",0,$D1306*Table3[[#This Row],[CF]]*chronic_consumption!$U106/1000/$C$3)</f>
        <v>#DIV/0!</v>
      </c>
      <c r="AA1306" s="1100" t="e">
        <f>IF($D$1212="",0,$D1306*Table3[[#This Row],[CF]]*chronic_consumption!$V106/1000/$C$3)</f>
        <v>#DIV/0!</v>
      </c>
      <c r="AB1306" s="1100" t="e">
        <f>IF($D$1212="",0,$D1306*Table3[[#This Row],[CF]]*chronic_consumption!$W106/1000/$C$3)</f>
        <v>#DIV/0!</v>
      </c>
      <c r="AC1306" s="1100" t="e">
        <f>IF($D$1212="",0,$D1306*Table3[[#This Row],[CF]]*chronic_consumption!$X106/1000/$C$3)</f>
        <v>#DIV/0!</v>
      </c>
      <c r="AD1306" s="1100" t="e">
        <f>IF($D$1212="",0,$D1306*Table3[[#This Row],[CF]]*chronic_consumption!$Y106/1000/$C$3)</f>
        <v>#DIV/0!</v>
      </c>
      <c r="AE1306" s="1100" t="e">
        <f>IF($D$1212="",0,$D1306*Table3[[#This Row],[CF]]*chronic_consumption!$Z106/1000/$C$3)</f>
        <v>#DIV/0!</v>
      </c>
      <c r="AF1306" s="1100" t="e">
        <f>IF($D$1212="",0,$D1306*Table3[[#This Row],[CF]]*chronic_consumption!$AA106/1000/$C$3)</f>
        <v>#DIV/0!</v>
      </c>
      <c r="AG1306" s="1100" t="e">
        <f>IF($D$1212="",0,$D1306*Table3[[#This Row],[CF]]*chronic_consumption!$AB106/1000/$C$3)</f>
        <v>#DIV/0!</v>
      </c>
      <c r="AH1306" s="1100" t="e">
        <f>IF($D$1212="",0,$D1306*Table3[[#This Row],[CF]]*chronic_consumption!$AC106/1000/$C$3)</f>
        <v>#DIV/0!</v>
      </c>
      <c r="AI1306" s="1100" t="e">
        <f>IF($D$1212="",0,$D1306*Table3[[#This Row],[CF]]*chronic_consumption!$AD106/1000/$C$3)</f>
        <v>#DIV/0!</v>
      </c>
      <c r="AJ1306" s="1100" t="e">
        <f>IF($D$1212="",0,$D1306*Table3[[#This Row],[CF]]*chronic_consumption!$AE106/1000/$C$3)</f>
        <v>#DIV/0!</v>
      </c>
      <c r="AK1306" s="1100" t="e">
        <f>IF($D$1212="",0,$D1306*Table3[[#This Row],[CF]]*chronic_consumption!$AF106/1000/$C$3)</f>
        <v>#DIV/0!</v>
      </c>
      <c r="AL1306" s="1100" t="e">
        <f>IF($D$1212="",0,$D1306*Table3[[#This Row],[CF]]*chronic_consumption!$AG106/1000/$C$3)</f>
        <v>#DIV/0!</v>
      </c>
      <c r="AM1306" s="1100" t="e">
        <f>IF($D$1212="",0,$D1306*Table3[[#This Row],[CF]]*chronic_consumption!$AH106/1000/$C$3)</f>
        <v>#DIV/0!</v>
      </c>
      <c r="AN1306" s="1100" t="e">
        <f>IF($D$1212="",0,$D1306*Table3[[#This Row],[CF]]*chronic_consumption!$AI106/1000/$C$3)</f>
        <v>#DIV/0!</v>
      </c>
      <c r="AO1306" s="1100" t="e">
        <f>IF($D$1212="",0,$D1306*Table3[[#This Row],[CF]]*chronic_consumption!$AJ106/1000/$C$3)</f>
        <v>#DIV/0!</v>
      </c>
      <c r="AP1306" s="1100" t="e">
        <f>IF($D$1212="",0,$D1306*Table3[[#This Row],[CF]]*chronic_consumption!$AK106/1000/$C$3)</f>
        <v>#DIV/0!</v>
      </c>
      <c r="AQ1306" s="1100" t="e">
        <f>IF($D$1212="",0,$D1306*Table3[[#This Row],[CF]]*chronic_consumption!$AL106/1000/$C$3)</f>
        <v>#DIV/0!</v>
      </c>
      <c r="AR1306" s="1100" t="e">
        <f>IF($D$1212="",0,$D1306*Table3[[#This Row],[CF]]*chronic_consumption!$AM106/1000/$C$3)</f>
        <v>#DIV/0!</v>
      </c>
      <c r="AS1306" s="1100" t="e">
        <f>IF($D$1212="",0,$D1306*Table3[[#This Row],[CF]]*chronic_consumption!$AN106/1000/$C$3)</f>
        <v>#DIV/0!</v>
      </c>
      <c r="AT1306" s="1100" t="e">
        <f>IF($D$1212="",0,$D1306*Table3[[#This Row],[CF]]*chronic_consumption!$AO106/1000/$C$3)</f>
        <v>#DIV/0!</v>
      </c>
      <c r="AU1306" s="1101" t="e">
        <f t="shared" si="847"/>
        <v>#DIV/0!</v>
      </c>
      <c r="AV1306" s="1101" t="e">
        <f t="shared" si="847"/>
        <v>#DIV/0!</v>
      </c>
      <c r="AW1306" s="1101" t="e">
        <f t="shared" si="847"/>
        <v>#DIV/0!</v>
      </c>
      <c r="AX1306" s="1101" t="e">
        <f t="shared" si="847"/>
        <v>#DIV/0!</v>
      </c>
      <c r="AY1306" s="1101" t="e">
        <f t="shared" si="847"/>
        <v>#DIV/0!</v>
      </c>
      <c r="AZ1306" s="1091" t="s">
        <v>1012</v>
      </c>
      <c r="BA1306" s="1097" t="e">
        <f>IF(Table3[[#This Row],[max]]&lt;&gt;0,RANK(Table3[[#This Row],[max]],Table3[max],0),"")</f>
        <v>#DIV/0!</v>
      </c>
      <c r="BB1306" s="1096" t="e">
        <f t="shared" si="842"/>
        <v>#DIV/0!</v>
      </c>
      <c r="BC1306" s="1096" t="e">
        <f t="shared" ca="1" si="843"/>
        <v>#DIV/0!</v>
      </c>
      <c r="BD1306" s="1096" t="e">
        <f>IF(Table3[[#This Row],[max]]&gt;0,Table3[[#This Row],[Crop groups and examples of individual products within the groups to which the MRLs apply]],"")</f>
        <v>#DIV/0!</v>
      </c>
    </row>
    <row r="1307" spans="2:56" x14ac:dyDescent="0.2">
      <c r="B1307" s="23">
        <f t="shared" si="845"/>
        <v>213010</v>
      </c>
      <c r="C1307" s="23" t="str">
        <f t="shared" si="845"/>
        <v>Beetroots</v>
      </c>
      <c r="D1307" s="1084">
        <f>input_values!E107</f>
        <v>0</v>
      </c>
      <c r="E1307" s="1084">
        <f>input_values!F107</f>
        <v>0</v>
      </c>
      <c r="F1307" s="1085">
        <f>input_values!W107</f>
        <v>1</v>
      </c>
      <c r="G1307" s="1085" t="str">
        <f>IF(Table3[[#This Row],[CF]]&gt;0,CONCATENATE(IF(Table3[[#This Row],[LOQ]]="*","LOQ","MRL"),IF(input_values!G107&gt;0,"×CFrisk","")),"")</f>
        <v>MRL</v>
      </c>
      <c r="H1307" s="1087">
        <f>input_values!L107</f>
        <v>0</v>
      </c>
      <c r="I1307" s="1088">
        <f>input_values!D107</f>
        <v>0</v>
      </c>
      <c r="J1307" s="1098" t="e">
        <f>IF($D$1212="",0,$D1307*Table3[[#This Row],[CF]]*chronic_consumption!$E107/1000/$C$3)</f>
        <v>#DIV/0!</v>
      </c>
      <c r="K1307" s="1098" t="e">
        <f>IF($D$1212="",0,$D1307*Table3[[#This Row],[CF]]*chronic_consumption!$F107/1000/$C$3)</f>
        <v>#DIV/0!</v>
      </c>
      <c r="L1307" s="1098" t="e">
        <f>IF($D$1212="",0,$D1307*Table3[[#This Row],[CF]]*chronic_consumption!$G107/1000/$C$3)</f>
        <v>#DIV/0!</v>
      </c>
      <c r="M1307" s="1098" t="e">
        <f>IF($D$1212="",0,$D1307*Table3[[#This Row],[CF]]*chronic_consumption!$H107/1000/$C$3)</f>
        <v>#DIV/0!</v>
      </c>
      <c r="N1307" s="1098" t="e">
        <f>IF($D$1212="",0,$D1307*Table3[[#This Row],[CF]]*chronic_consumption!$I107/1000/$C$3)</f>
        <v>#DIV/0!</v>
      </c>
      <c r="O1307" s="1098" t="e">
        <f>IF($D$1212="",0,$D1307*Table3[[#This Row],[CF]]*chronic_consumption!$J107/1000/$C$3)</f>
        <v>#DIV/0!</v>
      </c>
      <c r="P1307" s="1098" t="e">
        <f>IF($D$1212="",0,$D1307*Table3[[#This Row],[CF]]*chronic_consumption!$K107/1000/$C$3)</f>
        <v>#DIV/0!</v>
      </c>
      <c r="Q1307" s="1098" t="e">
        <f>IF($D$1212="",0,$D1307*Table3[[#This Row],[CF]]*chronic_consumption!$L107/1000/$C$3)</f>
        <v>#DIV/0!</v>
      </c>
      <c r="R1307" s="1098" t="e">
        <f>IF($D$1212="",0,$D1307*Table3[[#This Row],[CF]]*chronic_consumption!$M107/1000/$C$3)</f>
        <v>#DIV/0!</v>
      </c>
      <c r="S1307" s="1098" t="e">
        <f>IF($D$1212="",0,$D1307*Table3[[#This Row],[CF]]*chronic_consumption!$N107/1000/$C$3)</f>
        <v>#DIV/0!</v>
      </c>
      <c r="T1307" s="1098" t="e">
        <f>IF($D$1212="",0,$D1307*Table3[[#This Row],[CF]]*chronic_consumption!$O107/1000/$C$3)</f>
        <v>#DIV/0!</v>
      </c>
      <c r="U1307" s="1098" t="e">
        <f>IF($D$1212="",0,$D1307*Table3[[#This Row],[CF]]*chronic_consumption!$P107/1000/$C$3)</f>
        <v>#DIV/0!</v>
      </c>
      <c r="V1307" s="1098" t="e">
        <f>IF($D$1212="",0,$D1307*Table3[[#This Row],[CF]]*chronic_consumption!$Q107/1000/$C$3)</f>
        <v>#DIV/0!</v>
      </c>
      <c r="W1307" s="1098" t="e">
        <f>IF($D$1212="",0,$D1307*Table3[[#This Row],[CF]]*chronic_consumption!$R107/1000/$C$3)</f>
        <v>#DIV/0!</v>
      </c>
      <c r="X1307" s="1098" t="e">
        <f>IF($D$1212="",0,$D1307*Table3[[#This Row],[CF]]*chronic_consumption!$S107/1000/$C$3)</f>
        <v>#DIV/0!</v>
      </c>
      <c r="Y1307" s="1098" t="e">
        <f>IF($D$1212="",0,$D1307*Table3[[#This Row],[CF]]*chronic_consumption!$T107/1000/$C$3)</f>
        <v>#DIV/0!</v>
      </c>
      <c r="Z1307" s="1098" t="e">
        <f>IF($D$1212="",0,$D1307*Table3[[#This Row],[CF]]*chronic_consumption!$U107/1000/$C$3)</f>
        <v>#DIV/0!</v>
      </c>
      <c r="AA1307" s="1098" t="e">
        <f>IF($D$1212="",0,$D1307*Table3[[#This Row],[CF]]*chronic_consumption!$V107/1000/$C$3)</f>
        <v>#DIV/0!</v>
      </c>
      <c r="AB1307" s="1098" t="e">
        <f>IF($D$1212="",0,$D1307*Table3[[#This Row],[CF]]*chronic_consumption!$W107/1000/$C$3)</f>
        <v>#DIV/0!</v>
      </c>
      <c r="AC1307" s="1098" t="e">
        <f>IF($D$1212="",0,$D1307*Table3[[#This Row],[CF]]*chronic_consumption!$X107/1000/$C$3)</f>
        <v>#DIV/0!</v>
      </c>
      <c r="AD1307" s="1098" t="e">
        <f>IF($D$1212="",0,$D1307*Table3[[#This Row],[CF]]*chronic_consumption!$Y107/1000/$C$3)</f>
        <v>#DIV/0!</v>
      </c>
      <c r="AE1307" s="1098" t="e">
        <f>IF($D$1212="",0,$D1307*Table3[[#This Row],[CF]]*chronic_consumption!$Z107/1000/$C$3)</f>
        <v>#DIV/0!</v>
      </c>
      <c r="AF1307" s="1098" t="e">
        <f>IF($D$1212="",0,$D1307*Table3[[#This Row],[CF]]*chronic_consumption!$AA107/1000/$C$3)</f>
        <v>#DIV/0!</v>
      </c>
      <c r="AG1307" s="1098" t="e">
        <f>IF($D$1212="",0,$D1307*Table3[[#This Row],[CF]]*chronic_consumption!$AB107/1000/$C$3)</f>
        <v>#DIV/0!</v>
      </c>
      <c r="AH1307" s="1098" t="e">
        <f>IF($D$1212="",0,$D1307*Table3[[#This Row],[CF]]*chronic_consumption!$AC107/1000/$C$3)</f>
        <v>#DIV/0!</v>
      </c>
      <c r="AI1307" s="1098" t="e">
        <f>IF($D$1212="",0,$D1307*Table3[[#This Row],[CF]]*chronic_consumption!$AD107/1000/$C$3)</f>
        <v>#DIV/0!</v>
      </c>
      <c r="AJ1307" s="1098" t="e">
        <f>IF($D$1212="",0,$D1307*Table3[[#This Row],[CF]]*chronic_consumption!$AE107/1000/$C$3)</f>
        <v>#DIV/0!</v>
      </c>
      <c r="AK1307" s="1098" t="e">
        <f>IF($D$1212="",0,$D1307*Table3[[#This Row],[CF]]*chronic_consumption!$AF107/1000/$C$3)</f>
        <v>#DIV/0!</v>
      </c>
      <c r="AL1307" s="1098" t="e">
        <f>IF($D$1212="",0,$D1307*Table3[[#This Row],[CF]]*chronic_consumption!$AG107/1000/$C$3)</f>
        <v>#DIV/0!</v>
      </c>
      <c r="AM1307" s="1098" t="e">
        <f>IF($D$1212="",0,$D1307*Table3[[#This Row],[CF]]*chronic_consumption!$AH107/1000/$C$3)</f>
        <v>#DIV/0!</v>
      </c>
      <c r="AN1307" s="1098" t="e">
        <f>IF($D$1212="",0,$D1307*Table3[[#This Row],[CF]]*chronic_consumption!$AI107/1000/$C$3)</f>
        <v>#DIV/0!</v>
      </c>
      <c r="AO1307" s="1098" t="e">
        <f>IF($D$1212="",0,$D1307*Table3[[#This Row],[CF]]*chronic_consumption!$AJ107/1000/$C$3)</f>
        <v>#DIV/0!</v>
      </c>
      <c r="AP1307" s="1098" t="e">
        <f>IF($D$1212="",0,$D1307*Table3[[#This Row],[CF]]*chronic_consumption!$AK107/1000/$C$3)</f>
        <v>#DIV/0!</v>
      </c>
      <c r="AQ1307" s="1098" t="e">
        <f>IF($D$1212="",0,$D1307*Table3[[#This Row],[CF]]*chronic_consumption!$AL107/1000/$C$3)</f>
        <v>#DIV/0!</v>
      </c>
      <c r="AR1307" s="1098" t="e">
        <f>IF($D$1212="",0,$D1307*Table3[[#This Row],[CF]]*chronic_consumption!$AM107/1000/$C$3)</f>
        <v>#DIV/0!</v>
      </c>
      <c r="AS1307" s="1098" t="e">
        <f>IF($D$1212="",0,$D1307*Table3[[#This Row],[CF]]*chronic_consumption!$AN107/1000/$C$3)</f>
        <v>#DIV/0!</v>
      </c>
      <c r="AT1307" s="1098" t="e">
        <f>IF($D$1212="",0,$D1307*Table3[[#This Row],[CF]]*chronic_consumption!$AO107/1000/$C$3)</f>
        <v>#DIV/0!</v>
      </c>
      <c r="AU1307" s="1099" t="e">
        <f t="shared" si="847"/>
        <v>#DIV/0!</v>
      </c>
      <c r="AV1307" s="1099" t="e">
        <f t="shared" si="847"/>
        <v>#DIV/0!</v>
      </c>
      <c r="AW1307" s="1099" t="e">
        <f t="shared" si="847"/>
        <v>#DIV/0!</v>
      </c>
      <c r="AX1307" s="1099" t="e">
        <f t="shared" si="847"/>
        <v>#DIV/0!</v>
      </c>
      <c r="AY1307" s="1099" t="e">
        <f t="shared" si="847"/>
        <v>#DIV/0!</v>
      </c>
      <c r="AZ1307" s="1091" t="s">
        <v>1012</v>
      </c>
      <c r="BA1307" s="1097" t="e">
        <f>IF(Table3[[#This Row],[max]]&lt;&gt;0,RANK(Table3[[#This Row],[max]],Table3[max],0),"")</f>
        <v>#DIV/0!</v>
      </c>
      <c r="BB1307" s="1096" t="e">
        <f t="shared" si="842"/>
        <v>#DIV/0!</v>
      </c>
      <c r="BC1307" s="1096" t="e">
        <f t="shared" ca="1" si="843"/>
        <v>#DIV/0!</v>
      </c>
      <c r="BD1307" s="1096" t="e">
        <f>IF(Table3[[#This Row],[max]]&gt;0,Table3[[#This Row],[Crop groups and examples of individual products within the groups to which the MRLs apply]],"")</f>
        <v>#DIV/0!</v>
      </c>
    </row>
    <row r="1308" spans="2:56" x14ac:dyDescent="0.2">
      <c r="B1308" s="23">
        <f t="shared" si="845"/>
        <v>213020</v>
      </c>
      <c r="C1308" s="23" t="str">
        <f t="shared" si="845"/>
        <v>Carrots</v>
      </c>
      <c r="D1308" s="1084">
        <f>input_values!E108</f>
        <v>0</v>
      </c>
      <c r="E1308" s="1084">
        <f>input_values!F108</f>
        <v>0</v>
      </c>
      <c r="F1308" s="1085">
        <f>input_values!W108</f>
        <v>1</v>
      </c>
      <c r="G1308" s="1085" t="str">
        <f>IF(Table3[[#This Row],[CF]]&gt;0,CONCATENATE(IF(Table3[[#This Row],[LOQ]]="*","LOQ","MRL"),IF(input_values!G108&gt;0,"×CFrisk","")),"")</f>
        <v>MRL</v>
      </c>
      <c r="H1308" s="1087">
        <f>input_values!L108</f>
        <v>0</v>
      </c>
      <c r="I1308" s="1088">
        <f>input_values!D108</f>
        <v>0</v>
      </c>
      <c r="J1308" s="1098" t="e">
        <f>IF($D$1212="",0,$D1308*Table3[[#This Row],[CF]]*chronic_consumption!$E108/1000/$C$3)</f>
        <v>#DIV/0!</v>
      </c>
      <c r="K1308" s="1098" t="e">
        <f>IF($D$1212="",0,$D1308*Table3[[#This Row],[CF]]*chronic_consumption!$F108/1000/$C$3)</f>
        <v>#DIV/0!</v>
      </c>
      <c r="L1308" s="1098" t="e">
        <f>IF($D$1212="",0,$D1308*Table3[[#This Row],[CF]]*chronic_consumption!$G108/1000/$C$3)</f>
        <v>#DIV/0!</v>
      </c>
      <c r="M1308" s="1098" t="e">
        <f>IF($D$1212="",0,$D1308*Table3[[#This Row],[CF]]*chronic_consumption!$H108/1000/$C$3)</f>
        <v>#DIV/0!</v>
      </c>
      <c r="N1308" s="1098" t="e">
        <f>IF($D$1212="",0,$D1308*Table3[[#This Row],[CF]]*chronic_consumption!$I108/1000/$C$3)</f>
        <v>#DIV/0!</v>
      </c>
      <c r="O1308" s="1098" t="e">
        <f>IF($D$1212="",0,$D1308*Table3[[#This Row],[CF]]*chronic_consumption!$J108/1000/$C$3)</f>
        <v>#DIV/0!</v>
      </c>
      <c r="P1308" s="1098" t="e">
        <f>IF($D$1212="",0,$D1308*Table3[[#This Row],[CF]]*chronic_consumption!$K108/1000/$C$3)</f>
        <v>#DIV/0!</v>
      </c>
      <c r="Q1308" s="1098" t="e">
        <f>IF($D$1212="",0,$D1308*Table3[[#This Row],[CF]]*chronic_consumption!$L108/1000/$C$3)</f>
        <v>#DIV/0!</v>
      </c>
      <c r="R1308" s="1098" t="e">
        <f>IF($D$1212="",0,$D1308*Table3[[#This Row],[CF]]*chronic_consumption!$M108/1000/$C$3)</f>
        <v>#DIV/0!</v>
      </c>
      <c r="S1308" s="1098" t="e">
        <f>IF($D$1212="",0,$D1308*Table3[[#This Row],[CF]]*chronic_consumption!$N108/1000/$C$3)</f>
        <v>#DIV/0!</v>
      </c>
      <c r="T1308" s="1098" t="e">
        <f>IF($D$1212="",0,$D1308*Table3[[#This Row],[CF]]*chronic_consumption!$O108/1000/$C$3)</f>
        <v>#DIV/0!</v>
      </c>
      <c r="U1308" s="1098" t="e">
        <f>IF($D$1212="",0,$D1308*Table3[[#This Row],[CF]]*chronic_consumption!$P108/1000/$C$3)</f>
        <v>#DIV/0!</v>
      </c>
      <c r="V1308" s="1098" t="e">
        <f>IF($D$1212="",0,$D1308*Table3[[#This Row],[CF]]*chronic_consumption!$Q108/1000/$C$3)</f>
        <v>#DIV/0!</v>
      </c>
      <c r="W1308" s="1098" t="e">
        <f>IF($D$1212="",0,$D1308*Table3[[#This Row],[CF]]*chronic_consumption!$R108/1000/$C$3)</f>
        <v>#DIV/0!</v>
      </c>
      <c r="X1308" s="1098" t="e">
        <f>IF($D$1212="",0,$D1308*Table3[[#This Row],[CF]]*chronic_consumption!$S108/1000/$C$3)</f>
        <v>#DIV/0!</v>
      </c>
      <c r="Y1308" s="1098" t="e">
        <f>IF($D$1212="",0,$D1308*Table3[[#This Row],[CF]]*chronic_consumption!$T108/1000/$C$3)</f>
        <v>#DIV/0!</v>
      </c>
      <c r="Z1308" s="1098" t="e">
        <f>IF($D$1212="",0,$D1308*Table3[[#This Row],[CF]]*chronic_consumption!$U108/1000/$C$3)</f>
        <v>#DIV/0!</v>
      </c>
      <c r="AA1308" s="1098" t="e">
        <f>IF($D$1212="",0,$D1308*Table3[[#This Row],[CF]]*chronic_consumption!$V108/1000/$C$3)</f>
        <v>#DIV/0!</v>
      </c>
      <c r="AB1308" s="1098" t="e">
        <f>IF($D$1212="",0,$D1308*Table3[[#This Row],[CF]]*chronic_consumption!$W108/1000/$C$3)</f>
        <v>#DIV/0!</v>
      </c>
      <c r="AC1308" s="1098" t="e">
        <f>IF($D$1212="",0,$D1308*Table3[[#This Row],[CF]]*chronic_consumption!$X108/1000/$C$3)</f>
        <v>#DIV/0!</v>
      </c>
      <c r="AD1308" s="1098" t="e">
        <f>IF($D$1212="",0,$D1308*Table3[[#This Row],[CF]]*chronic_consumption!$Y108/1000/$C$3)</f>
        <v>#DIV/0!</v>
      </c>
      <c r="AE1308" s="1098" t="e">
        <f>IF($D$1212="",0,$D1308*Table3[[#This Row],[CF]]*chronic_consumption!$Z108/1000/$C$3)</f>
        <v>#DIV/0!</v>
      </c>
      <c r="AF1308" s="1098" t="e">
        <f>IF($D$1212="",0,$D1308*Table3[[#This Row],[CF]]*chronic_consumption!$AA108/1000/$C$3)</f>
        <v>#DIV/0!</v>
      </c>
      <c r="AG1308" s="1098" t="e">
        <f>IF($D$1212="",0,$D1308*Table3[[#This Row],[CF]]*chronic_consumption!$AB108/1000/$C$3)</f>
        <v>#DIV/0!</v>
      </c>
      <c r="AH1308" s="1098" t="e">
        <f>IF($D$1212="",0,$D1308*Table3[[#This Row],[CF]]*chronic_consumption!$AC108/1000/$C$3)</f>
        <v>#DIV/0!</v>
      </c>
      <c r="AI1308" s="1098" t="e">
        <f>IF($D$1212="",0,$D1308*Table3[[#This Row],[CF]]*chronic_consumption!$AD108/1000/$C$3)</f>
        <v>#DIV/0!</v>
      </c>
      <c r="AJ1308" s="1098" t="e">
        <f>IF($D$1212="",0,$D1308*Table3[[#This Row],[CF]]*chronic_consumption!$AE108/1000/$C$3)</f>
        <v>#DIV/0!</v>
      </c>
      <c r="AK1308" s="1098" t="e">
        <f>IF($D$1212="",0,$D1308*Table3[[#This Row],[CF]]*chronic_consumption!$AF108/1000/$C$3)</f>
        <v>#DIV/0!</v>
      </c>
      <c r="AL1308" s="1098" t="e">
        <f>IF($D$1212="",0,$D1308*Table3[[#This Row],[CF]]*chronic_consumption!$AG108/1000/$C$3)</f>
        <v>#DIV/0!</v>
      </c>
      <c r="AM1308" s="1098" t="e">
        <f>IF($D$1212="",0,$D1308*Table3[[#This Row],[CF]]*chronic_consumption!$AH108/1000/$C$3)</f>
        <v>#DIV/0!</v>
      </c>
      <c r="AN1308" s="1098" t="e">
        <f>IF($D$1212="",0,$D1308*Table3[[#This Row],[CF]]*chronic_consumption!$AI108/1000/$C$3)</f>
        <v>#DIV/0!</v>
      </c>
      <c r="AO1308" s="1098" t="e">
        <f>IF($D$1212="",0,$D1308*Table3[[#This Row],[CF]]*chronic_consumption!$AJ108/1000/$C$3)</f>
        <v>#DIV/0!</v>
      </c>
      <c r="AP1308" s="1098" t="e">
        <f>IF($D$1212="",0,$D1308*Table3[[#This Row],[CF]]*chronic_consumption!$AK108/1000/$C$3)</f>
        <v>#DIV/0!</v>
      </c>
      <c r="AQ1308" s="1098" t="e">
        <f>IF($D$1212="",0,$D1308*Table3[[#This Row],[CF]]*chronic_consumption!$AL108/1000/$C$3)</f>
        <v>#DIV/0!</v>
      </c>
      <c r="AR1308" s="1098" t="e">
        <f>IF($D$1212="",0,$D1308*Table3[[#This Row],[CF]]*chronic_consumption!$AM108/1000/$C$3)</f>
        <v>#DIV/0!</v>
      </c>
      <c r="AS1308" s="1098" t="e">
        <f>IF($D$1212="",0,$D1308*Table3[[#This Row],[CF]]*chronic_consumption!$AN108/1000/$C$3)</f>
        <v>#DIV/0!</v>
      </c>
      <c r="AT1308" s="1098" t="e">
        <f>IF($D$1212="",0,$D1308*Table3[[#This Row],[CF]]*chronic_consumption!$AO108/1000/$C$3)</f>
        <v>#DIV/0!</v>
      </c>
      <c r="AU1308" s="1099" t="e">
        <f t="shared" si="847"/>
        <v>#DIV/0!</v>
      </c>
      <c r="AV1308" s="1099" t="e">
        <f t="shared" si="847"/>
        <v>#DIV/0!</v>
      </c>
      <c r="AW1308" s="1099" t="e">
        <f t="shared" si="847"/>
        <v>#DIV/0!</v>
      </c>
      <c r="AX1308" s="1099" t="e">
        <f t="shared" si="847"/>
        <v>#DIV/0!</v>
      </c>
      <c r="AY1308" s="1099" t="e">
        <f t="shared" si="847"/>
        <v>#DIV/0!</v>
      </c>
      <c r="AZ1308" s="1091" t="s">
        <v>1012</v>
      </c>
      <c r="BA1308" s="1097" t="e">
        <f>IF(Table3[[#This Row],[max]]&lt;&gt;0,RANK(Table3[[#This Row],[max]],Table3[max],0),"")</f>
        <v>#DIV/0!</v>
      </c>
      <c r="BB1308" s="1096" t="e">
        <f t="shared" si="842"/>
        <v>#DIV/0!</v>
      </c>
      <c r="BC1308" s="1096" t="e">
        <f t="shared" ca="1" si="843"/>
        <v>#DIV/0!</v>
      </c>
      <c r="BD1308" s="1096" t="e">
        <f>IF(Table3[[#This Row],[max]]&gt;0,Table3[[#This Row],[Crop groups and examples of individual products within the groups to which the MRLs apply]],"")</f>
        <v>#DIV/0!</v>
      </c>
    </row>
    <row r="1309" spans="2:56" x14ac:dyDescent="0.2">
      <c r="B1309" s="23">
        <f t="shared" si="845"/>
        <v>213030</v>
      </c>
      <c r="C1309" s="23" t="str">
        <f t="shared" si="845"/>
        <v>Celeriacs/turnip rooted celeries</v>
      </c>
      <c r="D1309" s="1084">
        <f>input_values!E109</f>
        <v>0</v>
      </c>
      <c r="E1309" s="1084">
        <f>input_values!F109</f>
        <v>0</v>
      </c>
      <c r="F1309" s="1085">
        <f>input_values!W109</f>
        <v>1</v>
      </c>
      <c r="G1309" s="1085" t="str">
        <f>IF(Table3[[#This Row],[CF]]&gt;0,CONCATENATE(IF(Table3[[#This Row],[LOQ]]="*","LOQ","MRL"),IF(input_values!G109&gt;0,"×CFrisk","")),"")</f>
        <v>MRL</v>
      </c>
      <c r="H1309" s="1087">
        <f>input_values!L109</f>
        <v>0</v>
      </c>
      <c r="I1309" s="1088">
        <f>input_values!D109</f>
        <v>0</v>
      </c>
      <c r="J1309" s="1098" t="e">
        <f>IF($D$1212="",0,$D1309*Table3[[#This Row],[CF]]*chronic_consumption!$E109/1000/$C$3)</f>
        <v>#DIV/0!</v>
      </c>
      <c r="K1309" s="1098" t="e">
        <f>IF($D$1212="",0,$D1309*Table3[[#This Row],[CF]]*chronic_consumption!$F109/1000/$C$3)</f>
        <v>#DIV/0!</v>
      </c>
      <c r="L1309" s="1098" t="e">
        <f>IF($D$1212="",0,$D1309*Table3[[#This Row],[CF]]*chronic_consumption!$G109/1000/$C$3)</f>
        <v>#DIV/0!</v>
      </c>
      <c r="M1309" s="1098" t="e">
        <f>IF($D$1212="",0,$D1309*Table3[[#This Row],[CF]]*chronic_consumption!$H109/1000/$C$3)</f>
        <v>#DIV/0!</v>
      </c>
      <c r="N1309" s="1098" t="e">
        <f>IF($D$1212="",0,$D1309*Table3[[#This Row],[CF]]*chronic_consumption!$I109/1000/$C$3)</f>
        <v>#DIV/0!</v>
      </c>
      <c r="O1309" s="1098" t="e">
        <f>IF($D$1212="",0,$D1309*Table3[[#This Row],[CF]]*chronic_consumption!$J109/1000/$C$3)</f>
        <v>#DIV/0!</v>
      </c>
      <c r="P1309" s="1098" t="e">
        <f>IF($D$1212="",0,$D1309*Table3[[#This Row],[CF]]*chronic_consumption!$K109/1000/$C$3)</f>
        <v>#DIV/0!</v>
      </c>
      <c r="Q1309" s="1098" t="e">
        <f>IF($D$1212="",0,$D1309*Table3[[#This Row],[CF]]*chronic_consumption!$L109/1000/$C$3)</f>
        <v>#DIV/0!</v>
      </c>
      <c r="R1309" s="1098" t="e">
        <f>IF($D$1212="",0,$D1309*Table3[[#This Row],[CF]]*chronic_consumption!$M109/1000/$C$3)</f>
        <v>#DIV/0!</v>
      </c>
      <c r="S1309" s="1098" t="e">
        <f>IF($D$1212="",0,$D1309*Table3[[#This Row],[CF]]*chronic_consumption!$N109/1000/$C$3)</f>
        <v>#DIV/0!</v>
      </c>
      <c r="T1309" s="1098" t="e">
        <f>IF($D$1212="",0,$D1309*Table3[[#This Row],[CF]]*chronic_consumption!$O109/1000/$C$3)</f>
        <v>#DIV/0!</v>
      </c>
      <c r="U1309" s="1098" t="e">
        <f>IF($D$1212="",0,$D1309*Table3[[#This Row],[CF]]*chronic_consumption!$P109/1000/$C$3)</f>
        <v>#DIV/0!</v>
      </c>
      <c r="V1309" s="1098" t="e">
        <f>IF($D$1212="",0,$D1309*Table3[[#This Row],[CF]]*chronic_consumption!$Q109/1000/$C$3)</f>
        <v>#DIV/0!</v>
      </c>
      <c r="W1309" s="1098" t="e">
        <f>IF($D$1212="",0,$D1309*Table3[[#This Row],[CF]]*chronic_consumption!$R109/1000/$C$3)</f>
        <v>#DIV/0!</v>
      </c>
      <c r="X1309" s="1098" t="e">
        <f>IF($D$1212="",0,$D1309*Table3[[#This Row],[CF]]*chronic_consumption!$S109/1000/$C$3)</f>
        <v>#DIV/0!</v>
      </c>
      <c r="Y1309" s="1098" t="e">
        <f>IF($D$1212="",0,$D1309*Table3[[#This Row],[CF]]*chronic_consumption!$T109/1000/$C$3)</f>
        <v>#DIV/0!</v>
      </c>
      <c r="Z1309" s="1098" t="e">
        <f>IF($D$1212="",0,$D1309*Table3[[#This Row],[CF]]*chronic_consumption!$U109/1000/$C$3)</f>
        <v>#DIV/0!</v>
      </c>
      <c r="AA1309" s="1098" t="e">
        <f>IF($D$1212="",0,$D1309*Table3[[#This Row],[CF]]*chronic_consumption!$V109/1000/$C$3)</f>
        <v>#DIV/0!</v>
      </c>
      <c r="AB1309" s="1098" t="e">
        <f>IF($D$1212="",0,$D1309*Table3[[#This Row],[CF]]*chronic_consumption!$W109/1000/$C$3)</f>
        <v>#DIV/0!</v>
      </c>
      <c r="AC1309" s="1098" t="e">
        <f>IF($D$1212="",0,$D1309*Table3[[#This Row],[CF]]*chronic_consumption!$X109/1000/$C$3)</f>
        <v>#DIV/0!</v>
      </c>
      <c r="AD1309" s="1098" t="e">
        <f>IF($D$1212="",0,$D1309*Table3[[#This Row],[CF]]*chronic_consumption!$Y109/1000/$C$3)</f>
        <v>#DIV/0!</v>
      </c>
      <c r="AE1309" s="1098" t="e">
        <f>IF($D$1212="",0,$D1309*Table3[[#This Row],[CF]]*chronic_consumption!$Z109/1000/$C$3)</f>
        <v>#DIV/0!</v>
      </c>
      <c r="AF1309" s="1098" t="e">
        <f>IF($D$1212="",0,$D1309*Table3[[#This Row],[CF]]*chronic_consumption!$AA109/1000/$C$3)</f>
        <v>#DIV/0!</v>
      </c>
      <c r="AG1309" s="1098" t="e">
        <f>IF($D$1212="",0,$D1309*Table3[[#This Row],[CF]]*chronic_consumption!$AB109/1000/$C$3)</f>
        <v>#DIV/0!</v>
      </c>
      <c r="AH1309" s="1098" t="e">
        <f>IF($D$1212="",0,$D1309*Table3[[#This Row],[CF]]*chronic_consumption!$AC109/1000/$C$3)</f>
        <v>#DIV/0!</v>
      </c>
      <c r="AI1309" s="1098" t="e">
        <f>IF($D$1212="",0,$D1309*Table3[[#This Row],[CF]]*chronic_consumption!$AD109/1000/$C$3)</f>
        <v>#DIV/0!</v>
      </c>
      <c r="AJ1309" s="1098" t="e">
        <f>IF($D$1212="",0,$D1309*Table3[[#This Row],[CF]]*chronic_consumption!$AE109/1000/$C$3)</f>
        <v>#DIV/0!</v>
      </c>
      <c r="AK1309" s="1098" t="e">
        <f>IF($D$1212="",0,$D1309*Table3[[#This Row],[CF]]*chronic_consumption!$AF109/1000/$C$3)</f>
        <v>#DIV/0!</v>
      </c>
      <c r="AL1309" s="1098" t="e">
        <f>IF($D$1212="",0,$D1309*Table3[[#This Row],[CF]]*chronic_consumption!$AG109/1000/$C$3)</f>
        <v>#DIV/0!</v>
      </c>
      <c r="AM1309" s="1098" t="e">
        <f>IF($D$1212="",0,$D1309*Table3[[#This Row],[CF]]*chronic_consumption!$AH109/1000/$C$3)</f>
        <v>#DIV/0!</v>
      </c>
      <c r="AN1309" s="1098" t="e">
        <f>IF($D$1212="",0,$D1309*Table3[[#This Row],[CF]]*chronic_consumption!$AI109/1000/$C$3)</f>
        <v>#DIV/0!</v>
      </c>
      <c r="AO1309" s="1098" t="e">
        <f>IF($D$1212="",0,$D1309*Table3[[#This Row],[CF]]*chronic_consumption!$AJ109/1000/$C$3)</f>
        <v>#DIV/0!</v>
      </c>
      <c r="AP1309" s="1098" t="e">
        <f>IF($D$1212="",0,$D1309*Table3[[#This Row],[CF]]*chronic_consumption!$AK109/1000/$C$3)</f>
        <v>#DIV/0!</v>
      </c>
      <c r="AQ1309" s="1098" t="e">
        <f>IF($D$1212="",0,$D1309*Table3[[#This Row],[CF]]*chronic_consumption!$AL109/1000/$C$3)</f>
        <v>#DIV/0!</v>
      </c>
      <c r="AR1309" s="1098" t="e">
        <f>IF($D$1212="",0,$D1309*Table3[[#This Row],[CF]]*chronic_consumption!$AM109/1000/$C$3)</f>
        <v>#DIV/0!</v>
      </c>
      <c r="AS1309" s="1098" t="e">
        <f>IF($D$1212="",0,$D1309*Table3[[#This Row],[CF]]*chronic_consumption!$AN109/1000/$C$3)</f>
        <v>#DIV/0!</v>
      </c>
      <c r="AT1309" s="1098" t="e">
        <f>IF($D$1212="",0,$D1309*Table3[[#This Row],[CF]]*chronic_consumption!$AO109/1000/$C$3)</f>
        <v>#DIV/0!</v>
      </c>
      <c r="AU1309" s="1099" t="e">
        <f t="shared" si="847"/>
        <v>#DIV/0!</v>
      </c>
      <c r="AV1309" s="1099" t="e">
        <f t="shared" si="847"/>
        <v>#DIV/0!</v>
      </c>
      <c r="AW1309" s="1099" t="e">
        <f t="shared" si="847"/>
        <v>#DIV/0!</v>
      </c>
      <c r="AX1309" s="1099" t="e">
        <f t="shared" si="847"/>
        <v>#DIV/0!</v>
      </c>
      <c r="AY1309" s="1099" t="e">
        <f t="shared" si="847"/>
        <v>#DIV/0!</v>
      </c>
      <c r="AZ1309" s="1091" t="s">
        <v>1012</v>
      </c>
      <c r="BA1309" s="1097" t="e">
        <f>IF(Table3[[#This Row],[max]]&lt;&gt;0,RANK(Table3[[#This Row],[max]],Table3[max],0),"")</f>
        <v>#DIV/0!</v>
      </c>
      <c r="BB1309" s="1096" t="e">
        <f t="shared" si="842"/>
        <v>#DIV/0!</v>
      </c>
      <c r="BC1309" s="1096" t="e">
        <f t="shared" ca="1" si="843"/>
        <v>#DIV/0!</v>
      </c>
      <c r="BD1309" s="1096" t="e">
        <f>IF(Table3[[#This Row],[max]]&gt;0,Table3[[#This Row],[Crop groups and examples of individual products within the groups to which the MRLs apply]],"")</f>
        <v>#DIV/0!</v>
      </c>
    </row>
    <row r="1310" spans="2:56" x14ac:dyDescent="0.2">
      <c r="B1310" s="23">
        <f t="shared" si="845"/>
        <v>213040</v>
      </c>
      <c r="C1310" s="23" t="str">
        <f t="shared" si="845"/>
        <v>Horseradishes</v>
      </c>
      <c r="D1310" s="1084">
        <f>input_values!E110</f>
        <v>0</v>
      </c>
      <c r="E1310" s="1084">
        <f>input_values!F110</f>
        <v>0</v>
      </c>
      <c r="F1310" s="1085">
        <f>input_values!W110</f>
        <v>1</v>
      </c>
      <c r="G1310" s="1085" t="str">
        <f>IF(Table3[[#This Row],[CF]]&gt;0,CONCATENATE(IF(Table3[[#This Row],[LOQ]]="*","LOQ","MRL"),IF(input_values!G110&gt;0,"×CFrisk","")),"")</f>
        <v>MRL</v>
      </c>
      <c r="H1310" s="1087">
        <f>input_values!L110</f>
        <v>0</v>
      </c>
      <c r="I1310" s="1088">
        <f>input_values!D110</f>
        <v>0</v>
      </c>
      <c r="J1310" s="1098" t="e">
        <f>IF($D$1212="",0,$D1310*Table3[[#This Row],[CF]]*chronic_consumption!$E110/1000/$C$3)</f>
        <v>#DIV/0!</v>
      </c>
      <c r="K1310" s="1098" t="e">
        <f>IF($D$1212="",0,$D1310*Table3[[#This Row],[CF]]*chronic_consumption!$F110/1000/$C$3)</f>
        <v>#DIV/0!</v>
      </c>
      <c r="L1310" s="1098" t="e">
        <f>IF($D$1212="",0,$D1310*Table3[[#This Row],[CF]]*chronic_consumption!$G110/1000/$C$3)</f>
        <v>#DIV/0!</v>
      </c>
      <c r="M1310" s="1098" t="e">
        <f>IF($D$1212="",0,$D1310*Table3[[#This Row],[CF]]*chronic_consumption!$H110/1000/$C$3)</f>
        <v>#DIV/0!</v>
      </c>
      <c r="N1310" s="1098" t="e">
        <f>IF($D$1212="",0,$D1310*Table3[[#This Row],[CF]]*chronic_consumption!$I110/1000/$C$3)</f>
        <v>#DIV/0!</v>
      </c>
      <c r="O1310" s="1098" t="e">
        <f>IF($D$1212="",0,$D1310*Table3[[#This Row],[CF]]*chronic_consumption!$J110/1000/$C$3)</f>
        <v>#DIV/0!</v>
      </c>
      <c r="P1310" s="1098" t="e">
        <f>IF($D$1212="",0,$D1310*Table3[[#This Row],[CF]]*chronic_consumption!$K110/1000/$C$3)</f>
        <v>#DIV/0!</v>
      </c>
      <c r="Q1310" s="1098" t="e">
        <f>IF($D$1212="",0,$D1310*Table3[[#This Row],[CF]]*chronic_consumption!$L110/1000/$C$3)</f>
        <v>#DIV/0!</v>
      </c>
      <c r="R1310" s="1098" t="e">
        <f>IF($D$1212="",0,$D1310*Table3[[#This Row],[CF]]*chronic_consumption!$M110/1000/$C$3)</f>
        <v>#DIV/0!</v>
      </c>
      <c r="S1310" s="1098" t="e">
        <f>IF($D$1212="",0,$D1310*Table3[[#This Row],[CF]]*chronic_consumption!$N110/1000/$C$3)</f>
        <v>#DIV/0!</v>
      </c>
      <c r="T1310" s="1098" t="e">
        <f>IF($D$1212="",0,$D1310*Table3[[#This Row],[CF]]*chronic_consumption!$O110/1000/$C$3)</f>
        <v>#DIV/0!</v>
      </c>
      <c r="U1310" s="1098" t="e">
        <f>IF($D$1212="",0,$D1310*Table3[[#This Row],[CF]]*chronic_consumption!$P110/1000/$C$3)</f>
        <v>#DIV/0!</v>
      </c>
      <c r="V1310" s="1098" t="e">
        <f>IF($D$1212="",0,$D1310*Table3[[#This Row],[CF]]*chronic_consumption!$Q110/1000/$C$3)</f>
        <v>#DIV/0!</v>
      </c>
      <c r="W1310" s="1098" t="e">
        <f>IF($D$1212="",0,$D1310*Table3[[#This Row],[CF]]*chronic_consumption!$R110/1000/$C$3)</f>
        <v>#DIV/0!</v>
      </c>
      <c r="X1310" s="1098" t="e">
        <f>IF($D$1212="",0,$D1310*Table3[[#This Row],[CF]]*chronic_consumption!$S110/1000/$C$3)</f>
        <v>#DIV/0!</v>
      </c>
      <c r="Y1310" s="1098" t="e">
        <f>IF($D$1212="",0,$D1310*Table3[[#This Row],[CF]]*chronic_consumption!$T110/1000/$C$3)</f>
        <v>#DIV/0!</v>
      </c>
      <c r="Z1310" s="1098" t="e">
        <f>IF($D$1212="",0,$D1310*Table3[[#This Row],[CF]]*chronic_consumption!$U110/1000/$C$3)</f>
        <v>#DIV/0!</v>
      </c>
      <c r="AA1310" s="1098" t="e">
        <f>IF($D$1212="",0,$D1310*Table3[[#This Row],[CF]]*chronic_consumption!$V110/1000/$C$3)</f>
        <v>#DIV/0!</v>
      </c>
      <c r="AB1310" s="1098" t="e">
        <f>IF($D$1212="",0,$D1310*Table3[[#This Row],[CF]]*chronic_consumption!$W110/1000/$C$3)</f>
        <v>#DIV/0!</v>
      </c>
      <c r="AC1310" s="1098" t="e">
        <f>IF($D$1212="",0,$D1310*Table3[[#This Row],[CF]]*chronic_consumption!$X110/1000/$C$3)</f>
        <v>#DIV/0!</v>
      </c>
      <c r="AD1310" s="1098" t="e">
        <f>IF($D$1212="",0,$D1310*Table3[[#This Row],[CF]]*chronic_consumption!$Y110/1000/$C$3)</f>
        <v>#DIV/0!</v>
      </c>
      <c r="AE1310" s="1098" t="e">
        <f>IF($D$1212="",0,$D1310*Table3[[#This Row],[CF]]*chronic_consumption!$Z110/1000/$C$3)</f>
        <v>#DIV/0!</v>
      </c>
      <c r="AF1310" s="1098" t="e">
        <f>IF($D$1212="",0,$D1310*Table3[[#This Row],[CF]]*chronic_consumption!$AA110/1000/$C$3)</f>
        <v>#DIV/0!</v>
      </c>
      <c r="AG1310" s="1098" t="e">
        <f>IF($D$1212="",0,$D1310*Table3[[#This Row],[CF]]*chronic_consumption!$AB110/1000/$C$3)</f>
        <v>#DIV/0!</v>
      </c>
      <c r="AH1310" s="1098" t="e">
        <f>IF($D$1212="",0,$D1310*Table3[[#This Row],[CF]]*chronic_consumption!$AC110/1000/$C$3)</f>
        <v>#DIV/0!</v>
      </c>
      <c r="AI1310" s="1098" t="e">
        <f>IF($D$1212="",0,$D1310*Table3[[#This Row],[CF]]*chronic_consumption!$AD110/1000/$C$3)</f>
        <v>#DIV/0!</v>
      </c>
      <c r="AJ1310" s="1098" t="e">
        <f>IF($D$1212="",0,$D1310*Table3[[#This Row],[CF]]*chronic_consumption!$AE110/1000/$C$3)</f>
        <v>#DIV/0!</v>
      </c>
      <c r="AK1310" s="1098" t="e">
        <f>IF($D$1212="",0,$D1310*Table3[[#This Row],[CF]]*chronic_consumption!$AF110/1000/$C$3)</f>
        <v>#DIV/0!</v>
      </c>
      <c r="AL1310" s="1098" t="e">
        <f>IF($D$1212="",0,$D1310*Table3[[#This Row],[CF]]*chronic_consumption!$AG110/1000/$C$3)</f>
        <v>#DIV/0!</v>
      </c>
      <c r="AM1310" s="1098" t="e">
        <f>IF($D$1212="",0,$D1310*Table3[[#This Row],[CF]]*chronic_consumption!$AH110/1000/$C$3)</f>
        <v>#DIV/0!</v>
      </c>
      <c r="AN1310" s="1098" t="e">
        <f>IF($D$1212="",0,$D1310*Table3[[#This Row],[CF]]*chronic_consumption!$AI110/1000/$C$3)</f>
        <v>#DIV/0!</v>
      </c>
      <c r="AO1310" s="1098" t="e">
        <f>IF($D$1212="",0,$D1310*Table3[[#This Row],[CF]]*chronic_consumption!$AJ110/1000/$C$3)</f>
        <v>#DIV/0!</v>
      </c>
      <c r="AP1310" s="1098" t="e">
        <f>IF($D$1212="",0,$D1310*Table3[[#This Row],[CF]]*chronic_consumption!$AK110/1000/$C$3)</f>
        <v>#DIV/0!</v>
      </c>
      <c r="AQ1310" s="1098" t="e">
        <f>IF($D$1212="",0,$D1310*Table3[[#This Row],[CF]]*chronic_consumption!$AL110/1000/$C$3)</f>
        <v>#DIV/0!</v>
      </c>
      <c r="AR1310" s="1098" t="e">
        <f>IF($D$1212="",0,$D1310*Table3[[#This Row],[CF]]*chronic_consumption!$AM110/1000/$C$3)</f>
        <v>#DIV/0!</v>
      </c>
      <c r="AS1310" s="1098" t="e">
        <f>IF($D$1212="",0,$D1310*Table3[[#This Row],[CF]]*chronic_consumption!$AN110/1000/$C$3)</f>
        <v>#DIV/0!</v>
      </c>
      <c r="AT1310" s="1098" t="e">
        <f>IF($D$1212="",0,$D1310*Table3[[#This Row],[CF]]*chronic_consumption!$AO110/1000/$C$3)</f>
        <v>#DIV/0!</v>
      </c>
      <c r="AU1310" s="1099" t="e">
        <f t="shared" si="847"/>
        <v>#DIV/0!</v>
      </c>
      <c r="AV1310" s="1099" t="e">
        <f t="shared" si="847"/>
        <v>#DIV/0!</v>
      </c>
      <c r="AW1310" s="1099" t="e">
        <f t="shared" si="847"/>
        <v>#DIV/0!</v>
      </c>
      <c r="AX1310" s="1099" t="e">
        <f t="shared" si="847"/>
        <v>#DIV/0!</v>
      </c>
      <c r="AY1310" s="1099" t="e">
        <f t="shared" si="847"/>
        <v>#DIV/0!</v>
      </c>
      <c r="AZ1310" s="1091" t="s">
        <v>1012</v>
      </c>
      <c r="BA1310" s="1097" t="e">
        <f>IF(Table3[[#This Row],[max]]&lt;&gt;0,RANK(Table3[[#This Row],[max]],Table3[max],0),"")</f>
        <v>#DIV/0!</v>
      </c>
      <c r="BB1310" s="1096" t="e">
        <f t="shared" si="842"/>
        <v>#DIV/0!</v>
      </c>
      <c r="BC1310" s="1096" t="e">
        <f t="shared" ca="1" si="843"/>
        <v>#DIV/0!</v>
      </c>
      <c r="BD1310" s="1096" t="e">
        <f>IF(Table3[[#This Row],[max]]&gt;0,Table3[[#This Row],[Crop groups and examples of individual products within the groups to which the MRLs apply]],"")</f>
        <v>#DIV/0!</v>
      </c>
    </row>
    <row r="1311" spans="2:56" x14ac:dyDescent="0.2">
      <c r="B1311" s="23">
        <f t="shared" si="845"/>
        <v>213050</v>
      </c>
      <c r="C1311" s="23" t="str">
        <f t="shared" si="845"/>
        <v>Jerusalem artichokes</v>
      </c>
      <c r="D1311" s="1084">
        <f>input_values!E111</f>
        <v>0</v>
      </c>
      <c r="E1311" s="1084">
        <f>input_values!F111</f>
        <v>0</v>
      </c>
      <c r="F1311" s="1085">
        <f>input_values!W111</f>
        <v>1</v>
      </c>
      <c r="G1311" s="1085" t="str">
        <f>IF(Table3[[#This Row],[CF]]&gt;0,CONCATENATE(IF(Table3[[#This Row],[LOQ]]="*","LOQ","MRL"),IF(input_values!G111&gt;0,"×CFrisk","")),"")</f>
        <v>MRL</v>
      </c>
      <c r="H1311" s="1087">
        <f>input_values!L111</f>
        <v>0</v>
      </c>
      <c r="I1311" s="1088">
        <f>input_values!D111</f>
        <v>0</v>
      </c>
      <c r="J1311" s="1098" t="e">
        <f>IF($D$1212="",0,$D1311*Table3[[#This Row],[CF]]*chronic_consumption!$E111/1000/$C$3)</f>
        <v>#DIV/0!</v>
      </c>
      <c r="K1311" s="1098" t="e">
        <f>IF($D$1212="",0,$D1311*Table3[[#This Row],[CF]]*chronic_consumption!$F111/1000/$C$3)</f>
        <v>#DIV/0!</v>
      </c>
      <c r="L1311" s="1098" t="e">
        <f>IF($D$1212="",0,$D1311*Table3[[#This Row],[CF]]*chronic_consumption!$G111/1000/$C$3)</f>
        <v>#DIV/0!</v>
      </c>
      <c r="M1311" s="1098" t="e">
        <f>IF($D$1212="",0,$D1311*Table3[[#This Row],[CF]]*chronic_consumption!$H111/1000/$C$3)</f>
        <v>#DIV/0!</v>
      </c>
      <c r="N1311" s="1098" t="e">
        <f>IF($D$1212="",0,$D1311*Table3[[#This Row],[CF]]*chronic_consumption!$I111/1000/$C$3)</f>
        <v>#DIV/0!</v>
      </c>
      <c r="O1311" s="1098" t="e">
        <f>IF($D$1212="",0,$D1311*Table3[[#This Row],[CF]]*chronic_consumption!$J111/1000/$C$3)</f>
        <v>#DIV/0!</v>
      </c>
      <c r="P1311" s="1098" t="e">
        <f>IF($D$1212="",0,$D1311*Table3[[#This Row],[CF]]*chronic_consumption!$K111/1000/$C$3)</f>
        <v>#DIV/0!</v>
      </c>
      <c r="Q1311" s="1098" t="e">
        <f>IF($D$1212="",0,$D1311*Table3[[#This Row],[CF]]*chronic_consumption!$L111/1000/$C$3)</f>
        <v>#DIV/0!</v>
      </c>
      <c r="R1311" s="1098" t="e">
        <f>IF($D$1212="",0,$D1311*Table3[[#This Row],[CF]]*chronic_consumption!$M111/1000/$C$3)</f>
        <v>#DIV/0!</v>
      </c>
      <c r="S1311" s="1098" t="e">
        <f>IF($D$1212="",0,$D1311*Table3[[#This Row],[CF]]*chronic_consumption!$N111/1000/$C$3)</f>
        <v>#DIV/0!</v>
      </c>
      <c r="T1311" s="1098" t="e">
        <f>IF($D$1212="",0,$D1311*Table3[[#This Row],[CF]]*chronic_consumption!$O111/1000/$C$3)</f>
        <v>#DIV/0!</v>
      </c>
      <c r="U1311" s="1098" t="e">
        <f>IF($D$1212="",0,$D1311*Table3[[#This Row],[CF]]*chronic_consumption!$P111/1000/$C$3)</f>
        <v>#DIV/0!</v>
      </c>
      <c r="V1311" s="1098" t="e">
        <f>IF($D$1212="",0,$D1311*Table3[[#This Row],[CF]]*chronic_consumption!$Q111/1000/$C$3)</f>
        <v>#DIV/0!</v>
      </c>
      <c r="W1311" s="1098" t="e">
        <f>IF($D$1212="",0,$D1311*Table3[[#This Row],[CF]]*chronic_consumption!$R111/1000/$C$3)</f>
        <v>#DIV/0!</v>
      </c>
      <c r="X1311" s="1098" t="e">
        <f>IF($D$1212="",0,$D1311*Table3[[#This Row],[CF]]*chronic_consumption!$S111/1000/$C$3)</f>
        <v>#DIV/0!</v>
      </c>
      <c r="Y1311" s="1098" t="e">
        <f>IF($D$1212="",0,$D1311*Table3[[#This Row],[CF]]*chronic_consumption!$T111/1000/$C$3)</f>
        <v>#DIV/0!</v>
      </c>
      <c r="Z1311" s="1098" t="e">
        <f>IF($D$1212="",0,$D1311*Table3[[#This Row],[CF]]*chronic_consumption!$U111/1000/$C$3)</f>
        <v>#DIV/0!</v>
      </c>
      <c r="AA1311" s="1098" t="e">
        <f>IF($D$1212="",0,$D1311*Table3[[#This Row],[CF]]*chronic_consumption!$V111/1000/$C$3)</f>
        <v>#DIV/0!</v>
      </c>
      <c r="AB1311" s="1098" t="e">
        <f>IF($D$1212="",0,$D1311*Table3[[#This Row],[CF]]*chronic_consumption!$W111/1000/$C$3)</f>
        <v>#DIV/0!</v>
      </c>
      <c r="AC1311" s="1098" t="e">
        <f>IF($D$1212="",0,$D1311*Table3[[#This Row],[CF]]*chronic_consumption!$X111/1000/$C$3)</f>
        <v>#DIV/0!</v>
      </c>
      <c r="AD1311" s="1098" t="e">
        <f>IF($D$1212="",0,$D1311*Table3[[#This Row],[CF]]*chronic_consumption!$Y111/1000/$C$3)</f>
        <v>#DIV/0!</v>
      </c>
      <c r="AE1311" s="1098" t="e">
        <f>IF($D$1212="",0,$D1311*Table3[[#This Row],[CF]]*chronic_consumption!$Z111/1000/$C$3)</f>
        <v>#DIV/0!</v>
      </c>
      <c r="AF1311" s="1098" t="e">
        <f>IF($D$1212="",0,$D1311*Table3[[#This Row],[CF]]*chronic_consumption!$AA111/1000/$C$3)</f>
        <v>#DIV/0!</v>
      </c>
      <c r="AG1311" s="1098" t="e">
        <f>IF($D$1212="",0,$D1311*Table3[[#This Row],[CF]]*chronic_consumption!$AB111/1000/$C$3)</f>
        <v>#DIV/0!</v>
      </c>
      <c r="AH1311" s="1098" t="e">
        <f>IF($D$1212="",0,$D1311*Table3[[#This Row],[CF]]*chronic_consumption!$AC111/1000/$C$3)</f>
        <v>#DIV/0!</v>
      </c>
      <c r="AI1311" s="1098" t="e">
        <f>IF($D$1212="",0,$D1311*Table3[[#This Row],[CF]]*chronic_consumption!$AD111/1000/$C$3)</f>
        <v>#DIV/0!</v>
      </c>
      <c r="AJ1311" s="1098" t="e">
        <f>IF($D$1212="",0,$D1311*Table3[[#This Row],[CF]]*chronic_consumption!$AE111/1000/$C$3)</f>
        <v>#DIV/0!</v>
      </c>
      <c r="AK1311" s="1098" t="e">
        <f>IF($D$1212="",0,$D1311*Table3[[#This Row],[CF]]*chronic_consumption!$AF111/1000/$C$3)</f>
        <v>#DIV/0!</v>
      </c>
      <c r="AL1311" s="1098" t="e">
        <f>IF($D$1212="",0,$D1311*Table3[[#This Row],[CF]]*chronic_consumption!$AG111/1000/$C$3)</f>
        <v>#DIV/0!</v>
      </c>
      <c r="AM1311" s="1098" t="e">
        <f>IF($D$1212="",0,$D1311*Table3[[#This Row],[CF]]*chronic_consumption!$AH111/1000/$C$3)</f>
        <v>#DIV/0!</v>
      </c>
      <c r="AN1311" s="1098" t="e">
        <f>IF($D$1212="",0,$D1311*Table3[[#This Row],[CF]]*chronic_consumption!$AI111/1000/$C$3)</f>
        <v>#DIV/0!</v>
      </c>
      <c r="AO1311" s="1098" t="e">
        <f>IF($D$1212="",0,$D1311*Table3[[#This Row],[CF]]*chronic_consumption!$AJ111/1000/$C$3)</f>
        <v>#DIV/0!</v>
      </c>
      <c r="AP1311" s="1098" t="e">
        <f>IF($D$1212="",0,$D1311*Table3[[#This Row],[CF]]*chronic_consumption!$AK111/1000/$C$3)</f>
        <v>#DIV/0!</v>
      </c>
      <c r="AQ1311" s="1098" t="e">
        <f>IF($D$1212="",0,$D1311*Table3[[#This Row],[CF]]*chronic_consumption!$AL111/1000/$C$3)</f>
        <v>#DIV/0!</v>
      </c>
      <c r="AR1311" s="1098" t="e">
        <f>IF($D$1212="",0,$D1311*Table3[[#This Row],[CF]]*chronic_consumption!$AM111/1000/$C$3)</f>
        <v>#DIV/0!</v>
      </c>
      <c r="AS1311" s="1098" t="e">
        <f>IF($D$1212="",0,$D1311*Table3[[#This Row],[CF]]*chronic_consumption!$AN111/1000/$C$3)</f>
        <v>#DIV/0!</v>
      </c>
      <c r="AT1311" s="1098" t="e">
        <f>IF($D$1212="",0,$D1311*Table3[[#This Row],[CF]]*chronic_consumption!$AO111/1000/$C$3)</f>
        <v>#DIV/0!</v>
      </c>
      <c r="AU1311" s="1099" t="e">
        <f t="shared" si="847"/>
        <v>#DIV/0!</v>
      </c>
      <c r="AV1311" s="1099" t="e">
        <f t="shared" si="847"/>
        <v>#DIV/0!</v>
      </c>
      <c r="AW1311" s="1099" t="e">
        <f t="shared" si="847"/>
        <v>#DIV/0!</v>
      </c>
      <c r="AX1311" s="1099" t="e">
        <f t="shared" si="847"/>
        <v>#DIV/0!</v>
      </c>
      <c r="AY1311" s="1099" t="e">
        <f t="shared" si="847"/>
        <v>#DIV/0!</v>
      </c>
      <c r="AZ1311" s="1091" t="s">
        <v>1012</v>
      </c>
      <c r="BA1311" s="1097" t="e">
        <f>IF(Table3[[#This Row],[max]]&lt;&gt;0,RANK(Table3[[#This Row],[max]],Table3[max],0),"")</f>
        <v>#DIV/0!</v>
      </c>
      <c r="BB1311" s="1096" t="e">
        <f t="shared" si="842"/>
        <v>#DIV/0!</v>
      </c>
      <c r="BC1311" s="1096" t="e">
        <f t="shared" ca="1" si="843"/>
        <v>#DIV/0!</v>
      </c>
      <c r="BD1311" s="1096" t="e">
        <f>IF(Table3[[#This Row],[max]]&gt;0,Table3[[#This Row],[Crop groups and examples of individual products within the groups to which the MRLs apply]],"")</f>
        <v>#DIV/0!</v>
      </c>
    </row>
    <row r="1312" spans="2:56" x14ac:dyDescent="0.2">
      <c r="B1312" s="23">
        <f t="shared" ref="B1312:C1331" si="848">B112</f>
        <v>213060</v>
      </c>
      <c r="C1312" s="23" t="str">
        <f t="shared" si="848"/>
        <v>Parsnips</v>
      </c>
      <c r="D1312" s="1084">
        <f>input_values!E112</f>
        <v>0</v>
      </c>
      <c r="E1312" s="1084">
        <f>input_values!F112</f>
        <v>0</v>
      </c>
      <c r="F1312" s="1085">
        <f>input_values!W112</f>
        <v>1</v>
      </c>
      <c r="G1312" s="1085" t="str">
        <f>IF(Table3[[#This Row],[CF]]&gt;0,CONCATENATE(IF(Table3[[#This Row],[LOQ]]="*","LOQ","MRL"),IF(input_values!G112&gt;0,"×CFrisk","")),"")</f>
        <v>MRL</v>
      </c>
      <c r="H1312" s="1087">
        <f>input_values!L112</f>
        <v>0</v>
      </c>
      <c r="I1312" s="1088">
        <f>input_values!D112</f>
        <v>0</v>
      </c>
      <c r="J1312" s="1098" t="e">
        <f>IF($D$1212="",0,$D1312*Table3[[#This Row],[CF]]*chronic_consumption!$E112/1000/$C$3)</f>
        <v>#DIV/0!</v>
      </c>
      <c r="K1312" s="1098" t="e">
        <f>IF($D$1212="",0,$D1312*Table3[[#This Row],[CF]]*chronic_consumption!$F112/1000/$C$3)</f>
        <v>#DIV/0!</v>
      </c>
      <c r="L1312" s="1098" t="e">
        <f>IF($D$1212="",0,$D1312*Table3[[#This Row],[CF]]*chronic_consumption!$G112/1000/$C$3)</f>
        <v>#DIV/0!</v>
      </c>
      <c r="M1312" s="1098" t="e">
        <f>IF($D$1212="",0,$D1312*Table3[[#This Row],[CF]]*chronic_consumption!$H112/1000/$C$3)</f>
        <v>#DIV/0!</v>
      </c>
      <c r="N1312" s="1098" t="e">
        <f>IF($D$1212="",0,$D1312*Table3[[#This Row],[CF]]*chronic_consumption!$I112/1000/$C$3)</f>
        <v>#DIV/0!</v>
      </c>
      <c r="O1312" s="1098" t="e">
        <f>IF($D$1212="",0,$D1312*Table3[[#This Row],[CF]]*chronic_consumption!$J112/1000/$C$3)</f>
        <v>#DIV/0!</v>
      </c>
      <c r="P1312" s="1098" t="e">
        <f>IF($D$1212="",0,$D1312*Table3[[#This Row],[CF]]*chronic_consumption!$K112/1000/$C$3)</f>
        <v>#DIV/0!</v>
      </c>
      <c r="Q1312" s="1098" t="e">
        <f>IF($D$1212="",0,$D1312*Table3[[#This Row],[CF]]*chronic_consumption!$L112/1000/$C$3)</f>
        <v>#DIV/0!</v>
      </c>
      <c r="R1312" s="1098" t="e">
        <f>IF($D$1212="",0,$D1312*Table3[[#This Row],[CF]]*chronic_consumption!$M112/1000/$C$3)</f>
        <v>#DIV/0!</v>
      </c>
      <c r="S1312" s="1098" t="e">
        <f>IF($D$1212="",0,$D1312*Table3[[#This Row],[CF]]*chronic_consumption!$N112/1000/$C$3)</f>
        <v>#DIV/0!</v>
      </c>
      <c r="T1312" s="1098" t="e">
        <f>IF($D$1212="",0,$D1312*Table3[[#This Row],[CF]]*chronic_consumption!$O112/1000/$C$3)</f>
        <v>#DIV/0!</v>
      </c>
      <c r="U1312" s="1098" t="e">
        <f>IF($D$1212="",0,$D1312*Table3[[#This Row],[CF]]*chronic_consumption!$P112/1000/$C$3)</f>
        <v>#DIV/0!</v>
      </c>
      <c r="V1312" s="1098" t="e">
        <f>IF($D$1212="",0,$D1312*Table3[[#This Row],[CF]]*chronic_consumption!$Q112/1000/$C$3)</f>
        <v>#DIV/0!</v>
      </c>
      <c r="W1312" s="1098" t="e">
        <f>IF($D$1212="",0,$D1312*Table3[[#This Row],[CF]]*chronic_consumption!$R112/1000/$C$3)</f>
        <v>#DIV/0!</v>
      </c>
      <c r="X1312" s="1098" t="e">
        <f>IF($D$1212="",0,$D1312*Table3[[#This Row],[CF]]*chronic_consumption!$S112/1000/$C$3)</f>
        <v>#DIV/0!</v>
      </c>
      <c r="Y1312" s="1098" t="e">
        <f>IF($D$1212="",0,$D1312*Table3[[#This Row],[CF]]*chronic_consumption!$T112/1000/$C$3)</f>
        <v>#DIV/0!</v>
      </c>
      <c r="Z1312" s="1098" t="e">
        <f>IF($D$1212="",0,$D1312*Table3[[#This Row],[CF]]*chronic_consumption!$U112/1000/$C$3)</f>
        <v>#DIV/0!</v>
      </c>
      <c r="AA1312" s="1098" t="e">
        <f>IF($D$1212="",0,$D1312*Table3[[#This Row],[CF]]*chronic_consumption!$V112/1000/$C$3)</f>
        <v>#DIV/0!</v>
      </c>
      <c r="AB1312" s="1098" t="e">
        <f>IF($D$1212="",0,$D1312*Table3[[#This Row],[CF]]*chronic_consumption!$W112/1000/$C$3)</f>
        <v>#DIV/0!</v>
      </c>
      <c r="AC1312" s="1098" t="e">
        <f>IF($D$1212="",0,$D1312*Table3[[#This Row],[CF]]*chronic_consumption!$X112/1000/$C$3)</f>
        <v>#DIV/0!</v>
      </c>
      <c r="AD1312" s="1098" t="e">
        <f>IF($D$1212="",0,$D1312*Table3[[#This Row],[CF]]*chronic_consumption!$Y112/1000/$C$3)</f>
        <v>#DIV/0!</v>
      </c>
      <c r="AE1312" s="1098" t="e">
        <f>IF($D$1212="",0,$D1312*Table3[[#This Row],[CF]]*chronic_consumption!$Z112/1000/$C$3)</f>
        <v>#DIV/0!</v>
      </c>
      <c r="AF1312" s="1098" t="e">
        <f>IF($D$1212="",0,$D1312*Table3[[#This Row],[CF]]*chronic_consumption!$AA112/1000/$C$3)</f>
        <v>#DIV/0!</v>
      </c>
      <c r="AG1312" s="1098" t="e">
        <f>IF($D$1212="",0,$D1312*Table3[[#This Row],[CF]]*chronic_consumption!$AB112/1000/$C$3)</f>
        <v>#DIV/0!</v>
      </c>
      <c r="AH1312" s="1098" t="e">
        <f>IF($D$1212="",0,$D1312*Table3[[#This Row],[CF]]*chronic_consumption!$AC112/1000/$C$3)</f>
        <v>#DIV/0!</v>
      </c>
      <c r="AI1312" s="1098" t="e">
        <f>IF($D$1212="",0,$D1312*Table3[[#This Row],[CF]]*chronic_consumption!$AD112/1000/$C$3)</f>
        <v>#DIV/0!</v>
      </c>
      <c r="AJ1312" s="1098" t="e">
        <f>IF($D$1212="",0,$D1312*Table3[[#This Row],[CF]]*chronic_consumption!$AE112/1000/$C$3)</f>
        <v>#DIV/0!</v>
      </c>
      <c r="AK1312" s="1098" t="e">
        <f>IF($D$1212="",0,$D1312*Table3[[#This Row],[CF]]*chronic_consumption!$AF112/1000/$C$3)</f>
        <v>#DIV/0!</v>
      </c>
      <c r="AL1312" s="1098" t="e">
        <f>IF($D$1212="",0,$D1312*Table3[[#This Row],[CF]]*chronic_consumption!$AG112/1000/$C$3)</f>
        <v>#DIV/0!</v>
      </c>
      <c r="AM1312" s="1098" t="e">
        <f>IF($D$1212="",0,$D1312*Table3[[#This Row],[CF]]*chronic_consumption!$AH112/1000/$C$3)</f>
        <v>#DIV/0!</v>
      </c>
      <c r="AN1312" s="1098" t="e">
        <f>IF($D$1212="",0,$D1312*Table3[[#This Row],[CF]]*chronic_consumption!$AI112/1000/$C$3)</f>
        <v>#DIV/0!</v>
      </c>
      <c r="AO1312" s="1098" t="e">
        <f>IF($D$1212="",0,$D1312*Table3[[#This Row],[CF]]*chronic_consumption!$AJ112/1000/$C$3)</f>
        <v>#DIV/0!</v>
      </c>
      <c r="AP1312" s="1098" t="e">
        <f>IF($D$1212="",0,$D1312*Table3[[#This Row],[CF]]*chronic_consumption!$AK112/1000/$C$3)</f>
        <v>#DIV/0!</v>
      </c>
      <c r="AQ1312" s="1098" t="e">
        <f>IF($D$1212="",0,$D1312*Table3[[#This Row],[CF]]*chronic_consumption!$AL112/1000/$C$3)</f>
        <v>#DIV/0!</v>
      </c>
      <c r="AR1312" s="1098" t="e">
        <f>IF($D$1212="",0,$D1312*Table3[[#This Row],[CF]]*chronic_consumption!$AM112/1000/$C$3)</f>
        <v>#DIV/0!</v>
      </c>
      <c r="AS1312" s="1098" t="e">
        <f>IF($D$1212="",0,$D1312*Table3[[#This Row],[CF]]*chronic_consumption!$AN112/1000/$C$3)</f>
        <v>#DIV/0!</v>
      </c>
      <c r="AT1312" s="1098" t="e">
        <f>IF($D$1212="",0,$D1312*Table3[[#This Row],[CF]]*chronic_consumption!$AO112/1000/$C$3)</f>
        <v>#DIV/0!</v>
      </c>
      <c r="AU1312" s="1099" t="e">
        <f t="shared" ref="AU1312:AY1321" si="849">IF(AU512="",0,IF(OR(1=RANK(AU912,AU$412:AU$790,0),(2=RANK(AU912,AU$412:AU$790,0))),AU912,AU512))</f>
        <v>#DIV/0!</v>
      </c>
      <c r="AV1312" s="1099" t="e">
        <f t="shared" si="849"/>
        <v>#DIV/0!</v>
      </c>
      <c r="AW1312" s="1099" t="e">
        <f t="shared" si="849"/>
        <v>#DIV/0!</v>
      </c>
      <c r="AX1312" s="1099" t="e">
        <f t="shared" si="849"/>
        <v>#DIV/0!</v>
      </c>
      <c r="AY1312" s="1099" t="e">
        <f t="shared" si="849"/>
        <v>#DIV/0!</v>
      </c>
      <c r="AZ1312" s="1091" t="s">
        <v>1012</v>
      </c>
      <c r="BA1312" s="1097" t="e">
        <f>IF(Table3[[#This Row],[max]]&lt;&gt;0,RANK(Table3[[#This Row],[max]],Table3[max],0),"")</f>
        <v>#DIV/0!</v>
      </c>
      <c r="BB1312" s="1096" t="e">
        <f t="shared" si="842"/>
        <v>#DIV/0!</v>
      </c>
      <c r="BC1312" s="1096" t="e">
        <f t="shared" ca="1" si="843"/>
        <v>#DIV/0!</v>
      </c>
      <c r="BD1312" s="1096" t="e">
        <f>IF(Table3[[#This Row],[max]]&gt;0,Table3[[#This Row],[Crop groups and examples of individual products within the groups to which the MRLs apply]],"")</f>
        <v>#DIV/0!</v>
      </c>
    </row>
    <row r="1313" spans="2:56" x14ac:dyDescent="0.2">
      <c r="B1313" s="23">
        <f t="shared" si="848"/>
        <v>213070</v>
      </c>
      <c r="C1313" s="23" t="str">
        <f t="shared" si="848"/>
        <v>Parsley roots/Hamburg roots parsley</v>
      </c>
      <c r="D1313" s="1084">
        <f>input_values!E113</f>
        <v>0</v>
      </c>
      <c r="E1313" s="1084">
        <f>input_values!F113</f>
        <v>0</v>
      </c>
      <c r="F1313" s="1085">
        <f>input_values!W113</f>
        <v>1</v>
      </c>
      <c r="G1313" s="1085" t="str">
        <f>IF(Table3[[#This Row],[CF]]&gt;0,CONCATENATE(IF(Table3[[#This Row],[LOQ]]="*","LOQ","MRL"),IF(input_values!G113&gt;0,"×CFrisk","")),"")</f>
        <v>MRL</v>
      </c>
      <c r="H1313" s="1087">
        <f>input_values!L113</f>
        <v>0</v>
      </c>
      <c r="I1313" s="1088">
        <f>input_values!D113</f>
        <v>0</v>
      </c>
      <c r="J1313" s="1098" t="e">
        <f>IF($D$1212="",0,$D1313*Table3[[#This Row],[CF]]*chronic_consumption!$E113/1000/$C$3)</f>
        <v>#DIV/0!</v>
      </c>
      <c r="K1313" s="1098" t="e">
        <f>IF($D$1212="",0,$D1313*Table3[[#This Row],[CF]]*chronic_consumption!$F113/1000/$C$3)</f>
        <v>#DIV/0!</v>
      </c>
      <c r="L1313" s="1098" t="e">
        <f>IF($D$1212="",0,$D1313*Table3[[#This Row],[CF]]*chronic_consumption!$G113/1000/$C$3)</f>
        <v>#DIV/0!</v>
      </c>
      <c r="M1313" s="1098" t="e">
        <f>IF($D$1212="",0,$D1313*Table3[[#This Row],[CF]]*chronic_consumption!$H113/1000/$C$3)</f>
        <v>#DIV/0!</v>
      </c>
      <c r="N1313" s="1098" t="e">
        <f>IF($D$1212="",0,$D1313*Table3[[#This Row],[CF]]*chronic_consumption!$I113/1000/$C$3)</f>
        <v>#DIV/0!</v>
      </c>
      <c r="O1313" s="1098" t="e">
        <f>IF($D$1212="",0,$D1313*Table3[[#This Row],[CF]]*chronic_consumption!$J113/1000/$C$3)</f>
        <v>#DIV/0!</v>
      </c>
      <c r="P1313" s="1098" t="e">
        <f>IF($D$1212="",0,$D1313*Table3[[#This Row],[CF]]*chronic_consumption!$K113/1000/$C$3)</f>
        <v>#DIV/0!</v>
      </c>
      <c r="Q1313" s="1098" t="e">
        <f>IF($D$1212="",0,$D1313*Table3[[#This Row],[CF]]*chronic_consumption!$L113/1000/$C$3)</f>
        <v>#DIV/0!</v>
      </c>
      <c r="R1313" s="1098" t="e">
        <f>IF($D$1212="",0,$D1313*Table3[[#This Row],[CF]]*chronic_consumption!$M113/1000/$C$3)</f>
        <v>#DIV/0!</v>
      </c>
      <c r="S1313" s="1098" t="e">
        <f>IF($D$1212="",0,$D1313*Table3[[#This Row],[CF]]*chronic_consumption!$N113/1000/$C$3)</f>
        <v>#DIV/0!</v>
      </c>
      <c r="T1313" s="1098" t="e">
        <f>IF($D$1212="",0,$D1313*Table3[[#This Row],[CF]]*chronic_consumption!$O113/1000/$C$3)</f>
        <v>#DIV/0!</v>
      </c>
      <c r="U1313" s="1098" t="e">
        <f>IF($D$1212="",0,$D1313*Table3[[#This Row],[CF]]*chronic_consumption!$P113/1000/$C$3)</f>
        <v>#DIV/0!</v>
      </c>
      <c r="V1313" s="1098" t="e">
        <f>IF($D$1212="",0,$D1313*Table3[[#This Row],[CF]]*chronic_consumption!$Q113/1000/$C$3)</f>
        <v>#DIV/0!</v>
      </c>
      <c r="W1313" s="1098" t="e">
        <f>IF($D$1212="",0,$D1313*Table3[[#This Row],[CF]]*chronic_consumption!$R113/1000/$C$3)</f>
        <v>#DIV/0!</v>
      </c>
      <c r="X1313" s="1098" t="e">
        <f>IF($D$1212="",0,$D1313*Table3[[#This Row],[CF]]*chronic_consumption!$S113/1000/$C$3)</f>
        <v>#DIV/0!</v>
      </c>
      <c r="Y1313" s="1098" t="e">
        <f>IF($D$1212="",0,$D1313*Table3[[#This Row],[CF]]*chronic_consumption!$T113/1000/$C$3)</f>
        <v>#DIV/0!</v>
      </c>
      <c r="Z1313" s="1098" t="e">
        <f>IF($D$1212="",0,$D1313*Table3[[#This Row],[CF]]*chronic_consumption!$U113/1000/$C$3)</f>
        <v>#DIV/0!</v>
      </c>
      <c r="AA1313" s="1098" t="e">
        <f>IF($D$1212="",0,$D1313*Table3[[#This Row],[CF]]*chronic_consumption!$V113/1000/$C$3)</f>
        <v>#DIV/0!</v>
      </c>
      <c r="AB1313" s="1098" t="e">
        <f>IF($D$1212="",0,$D1313*Table3[[#This Row],[CF]]*chronic_consumption!$W113/1000/$C$3)</f>
        <v>#DIV/0!</v>
      </c>
      <c r="AC1313" s="1098" t="e">
        <f>IF($D$1212="",0,$D1313*Table3[[#This Row],[CF]]*chronic_consumption!$X113/1000/$C$3)</f>
        <v>#DIV/0!</v>
      </c>
      <c r="AD1313" s="1098" t="e">
        <f>IF($D$1212="",0,$D1313*Table3[[#This Row],[CF]]*chronic_consumption!$Y113/1000/$C$3)</f>
        <v>#DIV/0!</v>
      </c>
      <c r="AE1313" s="1098" t="e">
        <f>IF($D$1212="",0,$D1313*Table3[[#This Row],[CF]]*chronic_consumption!$Z113/1000/$C$3)</f>
        <v>#DIV/0!</v>
      </c>
      <c r="AF1313" s="1098" t="e">
        <f>IF($D$1212="",0,$D1313*Table3[[#This Row],[CF]]*chronic_consumption!$AA113/1000/$C$3)</f>
        <v>#DIV/0!</v>
      </c>
      <c r="AG1313" s="1098" t="e">
        <f>IF($D$1212="",0,$D1313*Table3[[#This Row],[CF]]*chronic_consumption!$AB113/1000/$C$3)</f>
        <v>#DIV/0!</v>
      </c>
      <c r="AH1313" s="1098" t="e">
        <f>IF($D$1212="",0,$D1313*Table3[[#This Row],[CF]]*chronic_consumption!$AC113/1000/$C$3)</f>
        <v>#DIV/0!</v>
      </c>
      <c r="AI1313" s="1098" t="e">
        <f>IF($D$1212="",0,$D1313*Table3[[#This Row],[CF]]*chronic_consumption!$AD113/1000/$C$3)</f>
        <v>#DIV/0!</v>
      </c>
      <c r="AJ1313" s="1098" t="e">
        <f>IF($D$1212="",0,$D1313*Table3[[#This Row],[CF]]*chronic_consumption!$AE113/1000/$C$3)</f>
        <v>#DIV/0!</v>
      </c>
      <c r="AK1313" s="1098" t="e">
        <f>IF($D$1212="",0,$D1313*Table3[[#This Row],[CF]]*chronic_consumption!$AF113/1000/$C$3)</f>
        <v>#DIV/0!</v>
      </c>
      <c r="AL1313" s="1098" t="e">
        <f>IF($D$1212="",0,$D1313*Table3[[#This Row],[CF]]*chronic_consumption!$AG113/1000/$C$3)</f>
        <v>#DIV/0!</v>
      </c>
      <c r="AM1313" s="1098" t="e">
        <f>IF($D$1212="",0,$D1313*Table3[[#This Row],[CF]]*chronic_consumption!$AH113/1000/$C$3)</f>
        <v>#DIV/0!</v>
      </c>
      <c r="AN1313" s="1098" t="e">
        <f>IF($D$1212="",0,$D1313*Table3[[#This Row],[CF]]*chronic_consumption!$AI113/1000/$C$3)</f>
        <v>#DIV/0!</v>
      </c>
      <c r="AO1313" s="1098" t="e">
        <f>IF($D$1212="",0,$D1313*Table3[[#This Row],[CF]]*chronic_consumption!$AJ113/1000/$C$3)</f>
        <v>#DIV/0!</v>
      </c>
      <c r="AP1313" s="1098" t="e">
        <f>IF($D$1212="",0,$D1313*Table3[[#This Row],[CF]]*chronic_consumption!$AK113/1000/$C$3)</f>
        <v>#DIV/0!</v>
      </c>
      <c r="AQ1313" s="1098" t="e">
        <f>IF($D$1212="",0,$D1313*Table3[[#This Row],[CF]]*chronic_consumption!$AL113/1000/$C$3)</f>
        <v>#DIV/0!</v>
      </c>
      <c r="AR1313" s="1098" t="e">
        <f>IF($D$1212="",0,$D1313*Table3[[#This Row],[CF]]*chronic_consumption!$AM113/1000/$C$3)</f>
        <v>#DIV/0!</v>
      </c>
      <c r="AS1313" s="1098" t="e">
        <f>IF($D$1212="",0,$D1313*Table3[[#This Row],[CF]]*chronic_consumption!$AN113/1000/$C$3)</f>
        <v>#DIV/0!</v>
      </c>
      <c r="AT1313" s="1098" t="e">
        <f>IF($D$1212="",0,$D1313*Table3[[#This Row],[CF]]*chronic_consumption!$AO113/1000/$C$3)</f>
        <v>#DIV/0!</v>
      </c>
      <c r="AU1313" s="1099" t="e">
        <f t="shared" si="849"/>
        <v>#DIV/0!</v>
      </c>
      <c r="AV1313" s="1099" t="e">
        <f t="shared" si="849"/>
        <v>#DIV/0!</v>
      </c>
      <c r="AW1313" s="1099" t="e">
        <f t="shared" si="849"/>
        <v>#DIV/0!</v>
      </c>
      <c r="AX1313" s="1099" t="e">
        <f t="shared" si="849"/>
        <v>#DIV/0!</v>
      </c>
      <c r="AY1313" s="1099" t="e">
        <f t="shared" si="849"/>
        <v>#DIV/0!</v>
      </c>
      <c r="AZ1313" s="1091" t="s">
        <v>1012</v>
      </c>
      <c r="BA1313" s="1097" t="e">
        <f>IF(Table3[[#This Row],[max]]&lt;&gt;0,RANK(Table3[[#This Row],[max]],Table3[max],0),"")</f>
        <v>#DIV/0!</v>
      </c>
      <c r="BB1313" s="1096" t="e">
        <f t="shared" si="842"/>
        <v>#DIV/0!</v>
      </c>
      <c r="BC1313" s="1096" t="e">
        <f t="shared" ca="1" si="843"/>
        <v>#DIV/0!</v>
      </c>
      <c r="BD1313" s="1096" t="e">
        <f>IF(Table3[[#This Row],[max]]&gt;0,Table3[[#This Row],[Crop groups and examples of individual products within the groups to which the MRLs apply]],"")</f>
        <v>#DIV/0!</v>
      </c>
    </row>
    <row r="1314" spans="2:56" x14ac:dyDescent="0.2">
      <c r="B1314" s="23">
        <f t="shared" si="848"/>
        <v>213080</v>
      </c>
      <c r="C1314" s="23" t="str">
        <f t="shared" si="848"/>
        <v>Radishes</v>
      </c>
      <c r="D1314" s="1084">
        <f>input_values!E114</f>
        <v>0</v>
      </c>
      <c r="E1314" s="1084">
        <f>input_values!F114</f>
        <v>0</v>
      </c>
      <c r="F1314" s="1085">
        <f>input_values!W114</f>
        <v>1</v>
      </c>
      <c r="G1314" s="1085" t="str">
        <f>IF(Table3[[#This Row],[CF]]&gt;0,CONCATENATE(IF(Table3[[#This Row],[LOQ]]="*","LOQ","MRL"),IF(input_values!G114&gt;0,"×CFrisk","")),"")</f>
        <v>MRL</v>
      </c>
      <c r="H1314" s="1087">
        <f>input_values!L114</f>
        <v>0</v>
      </c>
      <c r="I1314" s="1088">
        <f>input_values!D114</f>
        <v>0</v>
      </c>
      <c r="J1314" s="1098" t="e">
        <f>IF($D$1212="",0,$D1314*Table3[[#This Row],[CF]]*chronic_consumption!$E114/1000/$C$3)</f>
        <v>#DIV/0!</v>
      </c>
      <c r="K1314" s="1098" t="e">
        <f>IF($D$1212="",0,$D1314*Table3[[#This Row],[CF]]*chronic_consumption!$F114/1000/$C$3)</f>
        <v>#DIV/0!</v>
      </c>
      <c r="L1314" s="1098" t="e">
        <f>IF($D$1212="",0,$D1314*Table3[[#This Row],[CF]]*chronic_consumption!$G114/1000/$C$3)</f>
        <v>#DIV/0!</v>
      </c>
      <c r="M1314" s="1098" t="e">
        <f>IF($D$1212="",0,$D1314*Table3[[#This Row],[CF]]*chronic_consumption!$H114/1000/$C$3)</f>
        <v>#DIV/0!</v>
      </c>
      <c r="N1314" s="1098" t="e">
        <f>IF($D$1212="",0,$D1314*Table3[[#This Row],[CF]]*chronic_consumption!$I114/1000/$C$3)</f>
        <v>#DIV/0!</v>
      </c>
      <c r="O1314" s="1098" t="e">
        <f>IF($D$1212="",0,$D1314*Table3[[#This Row],[CF]]*chronic_consumption!$J114/1000/$C$3)</f>
        <v>#DIV/0!</v>
      </c>
      <c r="P1314" s="1098" t="e">
        <f>IF($D$1212="",0,$D1314*Table3[[#This Row],[CF]]*chronic_consumption!$K114/1000/$C$3)</f>
        <v>#DIV/0!</v>
      </c>
      <c r="Q1314" s="1098" t="e">
        <f>IF($D$1212="",0,$D1314*Table3[[#This Row],[CF]]*chronic_consumption!$L114/1000/$C$3)</f>
        <v>#DIV/0!</v>
      </c>
      <c r="R1314" s="1098" t="e">
        <f>IF($D$1212="",0,$D1314*Table3[[#This Row],[CF]]*chronic_consumption!$M114/1000/$C$3)</f>
        <v>#DIV/0!</v>
      </c>
      <c r="S1314" s="1098" t="e">
        <f>IF($D$1212="",0,$D1314*Table3[[#This Row],[CF]]*chronic_consumption!$N114/1000/$C$3)</f>
        <v>#DIV/0!</v>
      </c>
      <c r="T1314" s="1098" t="e">
        <f>IF($D$1212="",0,$D1314*Table3[[#This Row],[CF]]*chronic_consumption!$O114/1000/$C$3)</f>
        <v>#DIV/0!</v>
      </c>
      <c r="U1314" s="1098" t="e">
        <f>IF($D$1212="",0,$D1314*Table3[[#This Row],[CF]]*chronic_consumption!$P114/1000/$C$3)</f>
        <v>#DIV/0!</v>
      </c>
      <c r="V1314" s="1098" t="e">
        <f>IF($D$1212="",0,$D1314*Table3[[#This Row],[CF]]*chronic_consumption!$Q114/1000/$C$3)</f>
        <v>#DIV/0!</v>
      </c>
      <c r="W1314" s="1098" t="e">
        <f>IF($D$1212="",0,$D1314*Table3[[#This Row],[CF]]*chronic_consumption!$R114/1000/$C$3)</f>
        <v>#DIV/0!</v>
      </c>
      <c r="X1314" s="1098" t="e">
        <f>IF($D$1212="",0,$D1314*Table3[[#This Row],[CF]]*chronic_consumption!$S114/1000/$C$3)</f>
        <v>#DIV/0!</v>
      </c>
      <c r="Y1314" s="1098" t="e">
        <f>IF($D$1212="",0,$D1314*Table3[[#This Row],[CF]]*chronic_consumption!$T114/1000/$C$3)</f>
        <v>#DIV/0!</v>
      </c>
      <c r="Z1314" s="1098" t="e">
        <f>IF($D$1212="",0,$D1314*Table3[[#This Row],[CF]]*chronic_consumption!$U114/1000/$C$3)</f>
        <v>#DIV/0!</v>
      </c>
      <c r="AA1314" s="1098" t="e">
        <f>IF($D$1212="",0,$D1314*Table3[[#This Row],[CF]]*chronic_consumption!$V114/1000/$C$3)</f>
        <v>#DIV/0!</v>
      </c>
      <c r="AB1314" s="1098" t="e">
        <f>IF($D$1212="",0,$D1314*Table3[[#This Row],[CF]]*chronic_consumption!$W114/1000/$C$3)</f>
        <v>#DIV/0!</v>
      </c>
      <c r="AC1314" s="1098" t="e">
        <f>IF($D$1212="",0,$D1314*Table3[[#This Row],[CF]]*chronic_consumption!$X114/1000/$C$3)</f>
        <v>#DIV/0!</v>
      </c>
      <c r="AD1314" s="1098" t="e">
        <f>IF($D$1212="",0,$D1314*Table3[[#This Row],[CF]]*chronic_consumption!$Y114/1000/$C$3)</f>
        <v>#DIV/0!</v>
      </c>
      <c r="AE1314" s="1098" t="e">
        <f>IF($D$1212="",0,$D1314*Table3[[#This Row],[CF]]*chronic_consumption!$Z114/1000/$C$3)</f>
        <v>#DIV/0!</v>
      </c>
      <c r="AF1314" s="1098" t="e">
        <f>IF($D$1212="",0,$D1314*Table3[[#This Row],[CF]]*chronic_consumption!$AA114/1000/$C$3)</f>
        <v>#DIV/0!</v>
      </c>
      <c r="AG1314" s="1098" t="e">
        <f>IF($D$1212="",0,$D1314*Table3[[#This Row],[CF]]*chronic_consumption!$AB114/1000/$C$3)</f>
        <v>#DIV/0!</v>
      </c>
      <c r="AH1314" s="1098" t="e">
        <f>IF($D$1212="",0,$D1314*Table3[[#This Row],[CF]]*chronic_consumption!$AC114/1000/$C$3)</f>
        <v>#DIV/0!</v>
      </c>
      <c r="AI1314" s="1098" t="e">
        <f>IF($D$1212="",0,$D1314*Table3[[#This Row],[CF]]*chronic_consumption!$AD114/1000/$C$3)</f>
        <v>#DIV/0!</v>
      </c>
      <c r="AJ1314" s="1098" t="e">
        <f>IF($D$1212="",0,$D1314*Table3[[#This Row],[CF]]*chronic_consumption!$AE114/1000/$C$3)</f>
        <v>#DIV/0!</v>
      </c>
      <c r="AK1314" s="1098" t="e">
        <f>IF($D$1212="",0,$D1314*Table3[[#This Row],[CF]]*chronic_consumption!$AF114/1000/$C$3)</f>
        <v>#DIV/0!</v>
      </c>
      <c r="AL1314" s="1098" t="e">
        <f>IF($D$1212="",0,$D1314*Table3[[#This Row],[CF]]*chronic_consumption!$AG114/1000/$C$3)</f>
        <v>#DIV/0!</v>
      </c>
      <c r="AM1314" s="1098" t="e">
        <f>IF($D$1212="",0,$D1314*Table3[[#This Row],[CF]]*chronic_consumption!$AH114/1000/$C$3)</f>
        <v>#DIV/0!</v>
      </c>
      <c r="AN1314" s="1098" t="e">
        <f>IF($D$1212="",0,$D1314*Table3[[#This Row],[CF]]*chronic_consumption!$AI114/1000/$C$3)</f>
        <v>#DIV/0!</v>
      </c>
      <c r="AO1314" s="1098" t="e">
        <f>IF($D$1212="",0,$D1314*Table3[[#This Row],[CF]]*chronic_consumption!$AJ114/1000/$C$3)</f>
        <v>#DIV/0!</v>
      </c>
      <c r="AP1314" s="1098" t="e">
        <f>IF($D$1212="",0,$D1314*Table3[[#This Row],[CF]]*chronic_consumption!$AK114/1000/$C$3)</f>
        <v>#DIV/0!</v>
      </c>
      <c r="AQ1314" s="1098" t="e">
        <f>IF($D$1212="",0,$D1314*Table3[[#This Row],[CF]]*chronic_consumption!$AL114/1000/$C$3)</f>
        <v>#DIV/0!</v>
      </c>
      <c r="AR1314" s="1098" t="e">
        <f>IF($D$1212="",0,$D1314*Table3[[#This Row],[CF]]*chronic_consumption!$AM114/1000/$C$3)</f>
        <v>#DIV/0!</v>
      </c>
      <c r="AS1314" s="1098" t="e">
        <f>IF($D$1212="",0,$D1314*Table3[[#This Row],[CF]]*chronic_consumption!$AN114/1000/$C$3)</f>
        <v>#DIV/0!</v>
      </c>
      <c r="AT1314" s="1098" t="e">
        <f>IF($D$1212="",0,$D1314*Table3[[#This Row],[CF]]*chronic_consumption!$AO114/1000/$C$3)</f>
        <v>#DIV/0!</v>
      </c>
      <c r="AU1314" s="1099" t="e">
        <f t="shared" si="849"/>
        <v>#DIV/0!</v>
      </c>
      <c r="AV1314" s="1099" t="e">
        <f t="shared" si="849"/>
        <v>#DIV/0!</v>
      </c>
      <c r="AW1314" s="1099" t="e">
        <f t="shared" si="849"/>
        <v>#DIV/0!</v>
      </c>
      <c r="AX1314" s="1099" t="e">
        <f t="shared" si="849"/>
        <v>#DIV/0!</v>
      </c>
      <c r="AY1314" s="1099" t="e">
        <f t="shared" si="849"/>
        <v>#DIV/0!</v>
      </c>
      <c r="AZ1314" s="1091" t="s">
        <v>1012</v>
      </c>
      <c r="BA1314" s="1097" t="e">
        <f>IF(Table3[[#This Row],[max]]&lt;&gt;0,RANK(Table3[[#This Row],[max]],Table3[max],0),"")</f>
        <v>#DIV/0!</v>
      </c>
      <c r="BB1314" s="1096" t="e">
        <f t="shared" si="842"/>
        <v>#DIV/0!</v>
      </c>
      <c r="BC1314" s="1096" t="e">
        <f t="shared" ca="1" si="843"/>
        <v>#DIV/0!</v>
      </c>
      <c r="BD1314" s="1096" t="e">
        <f>IF(Table3[[#This Row],[max]]&gt;0,Table3[[#This Row],[Crop groups and examples of individual products within the groups to which the MRLs apply]],"")</f>
        <v>#DIV/0!</v>
      </c>
    </row>
    <row r="1315" spans="2:56" x14ac:dyDescent="0.2">
      <c r="B1315" s="23">
        <f t="shared" si="848"/>
        <v>213090</v>
      </c>
      <c r="C1315" s="23" t="str">
        <f t="shared" si="848"/>
        <v>Salsifies</v>
      </c>
      <c r="D1315" s="1084">
        <f>input_values!E115</f>
        <v>0</v>
      </c>
      <c r="E1315" s="1084">
        <f>input_values!F115</f>
        <v>0</v>
      </c>
      <c r="F1315" s="1085">
        <f>input_values!W115</f>
        <v>1</v>
      </c>
      <c r="G1315" s="1085" t="str">
        <f>IF(Table3[[#This Row],[CF]]&gt;0,CONCATENATE(IF(Table3[[#This Row],[LOQ]]="*","LOQ","MRL"),IF(input_values!G115&gt;0,"×CFrisk","")),"")</f>
        <v>MRL</v>
      </c>
      <c r="H1315" s="1087">
        <f>input_values!L115</f>
        <v>0</v>
      </c>
      <c r="I1315" s="1088">
        <f>input_values!D115</f>
        <v>0</v>
      </c>
      <c r="J1315" s="1098" t="e">
        <f>IF($D$1212="",0,$D1315*Table3[[#This Row],[CF]]*chronic_consumption!$E115/1000/$C$3)</f>
        <v>#DIV/0!</v>
      </c>
      <c r="K1315" s="1098" t="e">
        <f>IF($D$1212="",0,$D1315*Table3[[#This Row],[CF]]*chronic_consumption!$F115/1000/$C$3)</f>
        <v>#DIV/0!</v>
      </c>
      <c r="L1315" s="1098" t="e">
        <f>IF($D$1212="",0,$D1315*Table3[[#This Row],[CF]]*chronic_consumption!$G115/1000/$C$3)</f>
        <v>#DIV/0!</v>
      </c>
      <c r="M1315" s="1098" t="e">
        <f>IF($D$1212="",0,$D1315*Table3[[#This Row],[CF]]*chronic_consumption!$H115/1000/$C$3)</f>
        <v>#DIV/0!</v>
      </c>
      <c r="N1315" s="1098" t="e">
        <f>IF($D$1212="",0,$D1315*Table3[[#This Row],[CF]]*chronic_consumption!$I115/1000/$C$3)</f>
        <v>#DIV/0!</v>
      </c>
      <c r="O1315" s="1098" t="e">
        <f>IF($D$1212="",0,$D1315*Table3[[#This Row],[CF]]*chronic_consumption!$J115/1000/$C$3)</f>
        <v>#DIV/0!</v>
      </c>
      <c r="P1315" s="1098" t="e">
        <f>IF($D$1212="",0,$D1315*Table3[[#This Row],[CF]]*chronic_consumption!$K115/1000/$C$3)</f>
        <v>#DIV/0!</v>
      </c>
      <c r="Q1315" s="1098" t="e">
        <f>IF($D$1212="",0,$D1315*Table3[[#This Row],[CF]]*chronic_consumption!$L115/1000/$C$3)</f>
        <v>#DIV/0!</v>
      </c>
      <c r="R1315" s="1098" t="e">
        <f>IF($D$1212="",0,$D1315*Table3[[#This Row],[CF]]*chronic_consumption!$M115/1000/$C$3)</f>
        <v>#DIV/0!</v>
      </c>
      <c r="S1315" s="1098" t="e">
        <f>IF($D$1212="",0,$D1315*Table3[[#This Row],[CF]]*chronic_consumption!$N115/1000/$C$3)</f>
        <v>#DIV/0!</v>
      </c>
      <c r="T1315" s="1098" t="e">
        <f>IF($D$1212="",0,$D1315*Table3[[#This Row],[CF]]*chronic_consumption!$O115/1000/$C$3)</f>
        <v>#DIV/0!</v>
      </c>
      <c r="U1315" s="1098" t="e">
        <f>IF($D$1212="",0,$D1315*Table3[[#This Row],[CF]]*chronic_consumption!$P115/1000/$C$3)</f>
        <v>#DIV/0!</v>
      </c>
      <c r="V1315" s="1098" t="e">
        <f>IF($D$1212="",0,$D1315*Table3[[#This Row],[CF]]*chronic_consumption!$Q115/1000/$C$3)</f>
        <v>#DIV/0!</v>
      </c>
      <c r="W1315" s="1098" t="e">
        <f>IF($D$1212="",0,$D1315*Table3[[#This Row],[CF]]*chronic_consumption!$R115/1000/$C$3)</f>
        <v>#DIV/0!</v>
      </c>
      <c r="X1315" s="1098" t="e">
        <f>IF($D$1212="",0,$D1315*Table3[[#This Row],[CF]]*chronic_consumption!$S115/1000/$C$3)</f>
        <v>#DIV/0!</v>
      </c>
      <c r="Y1315" s="1098" t="e">
        <f>IF($D$1212="",0,$D1315*Table3[[#This Row],[CF]]*chronic_consumption!$T115/1000/$C$3)</f>
        <v>#DIV/0!</v>
      </c>
      <c r="Z1315" s="1098" t="e">
        <f>IF($D$1212="",0,$D1315*Table3[[#This Row],[CF]]*chronic_consumption!$U115/1000/$C$3)</f>
        <v>#DIV/0!</v>
      </c>
      <c r="AA1315" s="1098" t="e">
        <f>IF($D$1212="",0,$D1315*Table3[[#This Row],[CF]]*chronic_consumption!$V115/1000/$C$3)</f>
        <v>#DIV/0!</v>
      </c>
      <c r="AB1315" s="1098" t="e">
        <f>IF($D$1212="",0,$D1315*Table3[[#This Row],[CF]]*chronic_consumption!$W115/1000/$C$3)</f>
        <v>#DIV/0!</v>
      </c>
      <c r="AC1315" s="1098" t="e">
        <f>IF($D$1212="",0,$D1315*Table3[[#This Row],[CF]]*chronic_consumption!$X115/1000/$C$3)</f>
        <v>#DIV/0!</v>
      </c>
      <c r="AD1315" s="1098" t="e">
        <f>IF($D$1212="",0,$D1315*Table3[[#This Row],[CF]]*chronic_consumption!$Y115/1000/$C$3)</f>
        <v>#DIV/0!</v>
      </c>
      <c r="AE1315" s="1098" t="e">
        <f>IF($D$1212="",0,$D1315*Table3[[#This Row],[CF]]*chronic_consumption!$Z115/1000/$C$3)</f>
        <v>#DIV/0!</v>
      </c>
      <c r="AF1315" s="1098" t="e">
        <f>IF($D$1212="",0,$D1315*Table3[[#This Row],[CF]]*chronic_consumption!$AA115/1000/$C$3)</f>
        <v>#DIV/0!</v>
      </c>
      <c r="AG1315" s="1098" t="e">
        <f>IF($D$1212="",0,$D1315*Table3[[#This Row],[CF]]*chronic_consumption!$AB115/1000/$C$3)</f>
        <v>#DIV/0!</v>
      </c>
      <c r="AH1315" s="1098" t="e">
        <f>IF($D$1212="",0,$D1315*Table3[[#This Row],[CF]]*chronic_consumption!$AC115/1000/$C$3)</f>
        <v>#DIV/0!</v>
      </c>
      <c r="AI1315" s="1098" t="e">
        <f>IF($D$1212="",0,$D1315*Table3[[#This Row],[CF]]*chronic_consumption!$AD115/1000/$C$3)</f>
        <v>#DIV/0!</v>
      </c>
      <c r="AJ1315" s="1098" t="e">
        <f>IF($D$1212="",0,$D1315*Table3[[#This Row],[CF]]*chronic_consumption!$AE115/1000/$C$3)</f>
        <v>#DIV/0!</v>
      </c>
      <c r="AK1315" s="1098" t="e">
        <f>IF($D$1212="",0,$D1315*Table3[[#This Row],[CF]]*chronic_consumption!$AF115/1000/$C$3)</f>
        <v>#DIV/0!</v>
      </c>
      <c r="AL1315" s="1098" t="e">
        <f>IF($D$1212="",0,$D1315*Table3[[#This Row],[CF]]*chronic_consumption!$AG115/1000/$C$3)</f>
        <v>#DIV/0!</v>
      </c>
      <c r="AM1315" s="1098" t="e">
        <f>IF($D$1212="",0,$D1315*Table3[[#This Row],[CF]]*chronic_consumption!$AH115/1000/$C$3)</f>
        <v>#DIV/0!</v>
      </c>
      <c r="AN1315" s="1098" t="e">
        <f>IF($D$1212="",0,$D1315*Table3[[#This Row],[CF]]*chronic_consumption!$AI115/1000/$C$3)</f>
        <v>#DIV/0!</v>
      </c>
      <c r="AO1315" s="1098" t="e">
        <f>IF($D$1212="",0,$D1315*Table3[[#This Row],[CF]]*chronic_consumption!$AJ115/1000/$C$3)</f>
        <v>#DIV/0!</v>
      </c>
      <c r="AP1315" s="1098" t="e">
        <f>IF($D$1212="",0,$D1315*Table3[[#This Row],[CF]]*chronic_consumption!$AK115/1000/$C$3)</f>
        <v>#DIV/0!</v>
      </c>
      <c r="AQ1315" s="1098" t="e">
        <f>IF($D$1212="",0,$D1315*Table3[[#This Row],[CF]]*chronic_consumption!$AL115/1000/$C$3)</f>
        <v>#DIV/0!</v>
      </c>
      <c r="AR1315" s="1098" t="e">
        <f>IF($D$1212="",0,$D1315*Table3[[#This Row],[CF]]*chronic_consumption!$AM115/1000/$C$3)</f>
        <v>#DIV/0!</v>
      </c>
      <c r="AS1315" s="1098" t="e">
        <f>IF($D$1212="",0,$D1315*Table3[[#This Row],[CF]]*chronic_consumption!$AN115/1000/$C$3)</f>
        <v>#DIV/0!</v>
      </c>
      <c r="AT1315" s="1098" t="e">
        <f>IF($D$1212="",0,$D1315*Table3[[#This Row],[CF]]*chronic_consumption!$AO115/1000/$C$3)</f>
        <v>#DIV/0!</v>
      </c>
      <c r="AU1315" s="1099" t="e">
        <f t="shared" si="849"/>
        <v>#DIV/0!</v>
      </c>
      <c r="AV1315" s="1099" t="e">
        <f t="shared" si="849"/>
        <v>#DIV/0!</v>
      </c>
      <c r="AW1315" s="1099" t="e">
        <f t="shared" si="849"/>
        <v>#DIV/0!</v>
      </c>
      <c r="AX1315" s="1099" t="e">
        <f t="shared" si="849"/>
        <v>#DIV/0!</v>
      </c>
      <c r="AY1315" s="1099" t="e">
        <f t="shared" si="849"/>
        <v>#DIV/0!</v>
      </c>
      <c r="AZ1315" s="1091" t="s">
        <v>1012</v>
      </c>
      <c r="BA1315" s="1097" t="e">
        <f>IF(Table3[[#This Row],[max]]&lt;&gt;0,RANK(Table3[[#This Row],[max]],Table3[max],0),"")</f>
        <v>#DIV/0!</v>
      </c>
      <c r="BB1315" s="1096" t="e">
        <f t="shared" si="842"/>
        <v>#DIV/0!</v>
      </c>
      <c r="BC1315" s="1096" t="e">
        <f t="shared" ca="1" si="843"/>
        <v>#DIV/0!</v>
      </c>
      <c r="BD1315" s="1096" t="e">
        <f>IF(Table3[[#This Row],[max]]&gt;0,Table3[[#This Row],[Crop groups and examples of individual products within the groups to which the MRLs apply]],"")</f>
        <v>#DIV/0!</v>
      </c>
    </row>
    <row r="1316" spans="2:56" x14ac:dyDescent="0.2">
      <c r="B1316" s="23">
        <f t="shared" si="848"/>
        <v>213100</v>
      </c>
      <c r="C1316" s="23" t="str">
        <f t="shared" si="848"/>
        <v>Swedes/rutabagas</v>
      </c>
      <c r="D1316" s="1084">
        <f>input_values!E116</f>
        <v>0</v>
      </c>
      <c r="E1316" s="1084">
        <f>input_values!F116</f>
        <v>0</v>
      </c>
      <c r="F1316" s="1085">
        <f>input_values!W116</f>
        <v>1</v>
      </c>
      <c r="G1316" s="1085" t="str">
        <f>IF(Table3[[#This Row],[CF]]&gt;0,CONCATENATE(IF(Table3[[#This Row],[LOQ]]="*","LOQ","MRL"),IF(input_values!G116&gt;0,"×CFrisk","")),"")</f>
        <v>MRL</v>
      </c>
      <c r="H1316" s="1087">
        <f>input_values!L116</f>
        <v>0</v>
      </c>
      <c r="I1316" s="1088">
        <f>input_values!D116</f>
        <v>0</v>
      </c>
      <c r="J1316" s="1098" t="e">
        <f>IF($D$1212="",0,$D1316*Table3[[#This Row],[CF]]*chronic_consumption!$E116/1000/$C$3)</f>
        <v>#DIV/0!</v>
      </c>
      <c r="K1316" s="1098" t="e">
        <f>IF($D$1212="",0,$D1316*Table3[[#This Row],[CF]]*chronic_consumption!$F116/1000/$C$3)</f>
        <v>#DIV/0!</v>
      </c>
      <c r="L1316" s="1098" t="e">
        <f>IF($D$1212="",0,$D1316*Table3[[#This Row],[CF]]*chronic_consumption!$G116/1000/$C$3)</f>
        <v>#DIV/0!</v>
      </c>
      <c r="M1316" s="1098" t="e">
        <f>IF($D$1212="",0,$D1316*Table3[[#This Row],[CF]]*chronic_consumption!$H116/1000/$C$3)</f>
        <v>#DIV/0!</v>
      </c>
      <c r="N1316" s="1098" t="e">
        <f>IF($D$1212="",0,$D1316*Table3[[#This Row],[CF]]*chronic_consumption!$I116/1000/$C$3)</f>
        <v>#DIV/0!</v>
      </c>
      <c r="O1316" s="1098" t="e">
        <f>IF($D$1212="",0,$D1316*Table3[[#This Row],[CF]]*chronic_consumption!$J116/1000/$C$3)</f>
        <v>#DIV/0!</v>
      </c>
      <c r="P1316" s="1098" t="e">
        <f>IF($D$1212="",0,$D1316*Table3[[#This Row],[CF]]*chronic_consumption!$K116/1000/$C$3)</f>
        <v>#DIV/0!</v>
      </c>
      <c r="Q1316" s="1098" t="e">
        <f>IF($D$1212="",0,$D1316*Table3[[#This Row],[CF]]*chronic_consumption!$L116/1000/$C$3)</f>
        <v>#DIV/0!</v>
      </c>
      <c r="R1316" s="1098" t="e">
        <f>IF($D$1212="",0,$D1316*Table3[[#This Row],[CF]]*chronic_consumption!$M116/1000/$C$3)</f>
        <v>#DIV/0!</v>
      </c>
      <c r="S1316" s="1098" t="e">
        <f>IF($D$1212="",0,$D1316*Table3[[#This Row],[CF]]*chronic_consumption!$N116/1000/$C$3)</f>
        <v>#DIV/0!</v>
      </c>
      <c r="T1316" s="1098" t="e">
        <f>IF($D$1212="",0,$D1316*Table3[[#This Row],[CF]]*chronic_consumption!$O116/1000/$C$3)</f>
        <v>#DIV/0!</v>
      </c>
      <c r="U1316" s="1098" t="e">
        <f>IF($D$1212="",0,$D1316*Table3[[#This Row],[CF]]*chronic_consumption!$P116/1000/$C$3)</f>
        <v>#DIV/0!</v>
      </c>
      <c r="V1316" s="1098" t="e">
        <f>IF($D$1212="",0,$D1316*Table3[[#This Row],[CF]]*chronic_consumption!$Q116/1000/$C$3)</f>
        <v>#DIV/0!</v>
      </c>
      <c r="W1316" s="1098" t="e">
        <f>IF($D$1212="",0,$D1316*Table3[[#This Row],[CF]]*chronic_consumption!$R116/1000/$C$3)</f>
        <v>#DIV/0!</v>
      </c>
      <c r="X1316" s="1098" t="e">
        <f>IF($D$1212="",0,$D1316*Table3[[#This Row],[CF]]*chronic_consumption!$S116/1000/$C$3)</f>
        <v>#DIV/0!</v>
      </c>
      <c r="Y1316" s="1098" t="e">
        <f>IF($D$1212="",0,$D1316*Table3[[#This Row],[CF]]*chronic_consumption!$T116/1000/$C$3)</f>
        <v>#DIV/0!</v>
      </c>
      <c r="Z1316" s="1098" t="e">
        <f>IF($D$1212="",0,$D1316*Table3[[#This Row],[CF]]*chronic_consumption!$U116/1000/$C$3)</f>
        <v>#DIV/0!</v>
      </c>
      <c r="AA1316" s="1098" t="e">
        <f>IF($D$1212="",0,$D1316*Table3[[#This Row],[CF]]*chronic_consumption!$V116/1000/$C$3)</f>
        <v>#DIV/0!</v>
      </c>
      <c r="AB1316" s="1098" t="e">
        <f>IF($D$1212="",0,$D1316*Table3[[#This Row],[CF]]*chronic_consumption!$W116/1000/$C$3)</f>
        <v>#DIV/0!</v>
      </c>
      <c r="AC1316" s="1098" t="e">
        <f>IF($D$1212="",0,$D1316*Table3[[#This Row],[CF]]*chronic_consumption!$X116/1000/$C$3)</f>
        <v>#DIV/0!</v>
      </c>
      <c r="AD1316" s="1098" t="e">
        <f>IF($D$1212="",0,$D1316*Table3[[#This Row],[CF]]*chronic_consumption!$Y116/1000/$C$3)</f>
        <v>#DIV/0!</v>
      </c>
      <c r="AE1316" s="1098" t="e">
        <f>IF($D$1212="",0,$D1316*Table3[[#This Row],[CF]]*chronic_consumption!$Z116/1000/$C$3)</f>
        <v>#DIV/0!</v>
      </c>
      <c r="AF1316" s="1098" t="e">
        <f>IF($D$1212="",0,$D1316*Table3[[#This Row],[CF]]*chronic_consumption!$AA116/1000/$C$3)</f>
        <v>#DIV/0!</v>
      </c>
      <c r="AG1316" s="1098" t="e">
        <f>IF($D$1212="",0,$D1316*Table3[[#This Row],[CF]]*chronic_consumption!$AB116/1000/$C$3)</f>
        <v>#DIV/0!</v>
      </c>
      <c r="AH1316" s="1098" t="e">
        <f>IF($D$1212="",0,$D1316*Table3[[#This Row],[CF]]*chronic_consumption!$AC116/1000/$C$3)</f>
        <v>#DIV/0!</v>
      </c>
      <c r="AI1316" s="1098" t="e">
        <f>IF($D$1212="",0,$D1316*Table3[[#This Row],[CF]]*chronic_consumption!$AD116/1000/$C$3)</f>
        <v>#DIV/0!</v>
      </c>
      <c r="AJ1316" s="1098" t="e">
        <f>IF($D$1212="",0,$D1316*Table3[[#This Row],[CF]]*chronic_consumption!$AE116/1000/$C$3)</f>
        <v>#DIV/0!</v>
      </c>
      <c r="AK1316" s="1098" t="e">
        <f>IF($D$1212="",0,$D1316*Table3[[#This Row],[CF]]*chronic_consumption!$AF116/1000/$C$3)</f>
        <v>#DIV/0!</v>
      </c>
      <c r="AL1316" s="1098" t="e">
        <f>IF($D$1212="",0,$D1316*Table3[[#This Row],[CF]]*chronic_consumption!$AG116/1000/$C$3)</f>
        <v>#DIV/0!</v>
      </c>
      <c r="AM1316" s="1098" t="e">
        <f>IF($D$1212="",0,$D1316*Table3[[#This Row],[CF]]*chronic_consumption!$AH116/1000/$C$3)</f>
        <v>#DIV/0!</v>
      </c>
      <c r="AN1316" s="1098" t="e">
        <f>IF($D$1212="",0,$D1316*Table3[[#This Row],[CF]]*chronic_consumption!$AI116/1000/$C$3)</f>
        <v>#DIV/0!</v>
      </c>
      <c r="AO1316" s="1098" t="e">
        <f>IF($D$1212="",0,$D1316*Table3[[#This Row],[CF]]*chronic_consumption!$AJ116/1000/$C$3)</f>
        <v>#DIV/0!</v>
      </c>
      <c r="AP1316" s="1098" t="e">
        <f>IF($D$1212="",0,$D1316*Table3[[#This Row],[CF]]*chronic_consumption!$AK116/1000/$C$3)</f>
        <v>#DIV/0!</v>
      </c>
      <c r="AQ1316" s="1098" t="e">
        <f>IF($D$1212="",0,$D1316*Table3[[#This Row],[CF]]*chronic_consumption!$AL116/1000/$C$3)</f>
        <v>#DIV/0!</v>
      </c>
      <c r="AR1316" s="1098" t="e">
        <f>IF($D$1212="",0,$D1316*Table3[[#This Row],[CF]]*chronic_consumption!$AM116/1000/$C$3)</f>
        <v>#DIV/0!</v>
      </c>
      <c r="AS1316" s="1098" t="e">
        <f>IF($D$1212="",0,$D1316*Table3[[#This Row],[CF]]*chronic_consumption!$AN116/1000/$C$3)</f>
        <v>#DIV/0!</v>
      </c>
      <c r="AT1316" s="1098" t="e">
        <f>IF($D$1212="",0,$D1316*Table3[[#This Row],[CF]]*chronic_consumption!$AO116/1000/$C$3)</f>
        <v>#DIV/0!</v>
      </c>
      <c r="AU1316" s="1099" t="e">
        <f t="shared" si="849"/>
        <v>#DIV/0!</v>
      </c>
      <c r="AV1316" s="1099" t="e">
        <f t="shared" si="849"/>
        <v>#DIV/0!</v>
      </c>
      <c r="AW1316" s="1099" t="e">
        <f t="shared" si="849"/>
        <v>#DIV/0!</v>
      </c>
      <c r="AX1316" s="1099" t="e">
        <f t="shared" si="849"/>
        <v>#DIV/0!</v>
      </c>
      <c r="AY1316" s="1099" t="e">
        <f t="shared" si="849"/>
        <v>#DIV/0!</v>
      </c>
      <c r="AZ1316" s="1091" t="s">
        <v>1012</v>
      </c>
      <c r="BA1316" s="1097" t="e">
        <f>IF(Table3[[#This Row],[max]]&lt;&gt;0,RANK(Table3[[#This Row],[max]],Table3[max],0),"")</f>
        <v>#DIV/0!</v>
      </c>
      <c r="BB1316" s="1096" t="e">
        <f t="shared" si="842"/>
        <v>#DIV/0!</v>
      </c>
      <c r="BC1316" s="1096" t="e">
        <f t="shared" ca="1" si="843"/>
        <v>#DIV/0!</v>
      </c>
      <c r="BD1316" s="1096" t="e">
        <f>IF(Table3[[#This Row],[max]]&gt;0,Table3[[#This Row],[Crop groups and examples of individual products within the groups to which the MRLs apply]],"")</f>
        <v>#DIV/0!</v>
      </c>
    </row>
    <row r="1317" spans="2:56" x14ac:dyDescent="0.2">
      <c r="B1317" s="23">
        <f t="shared" si="848"/>
        <v>213110</v>
      </c>
      <c r="C1317" s="23" t="str">
        <f t="shared" si="848"/>
        <v>Turnips</v>
      </c>
      <c r="D1317" s="1084">
        <f>input_values!E117</f>
        <v>0</v>
      </c>
      <c r="E1317" s="1084">
        <f>input_values!F117</f>
        <v>0</v>
      </c>
      <c r="F1317" s="1085">
        <f>input_values!W117</f>
        <v>1</v>
      </c>
      <c r="G1317" s="1085" t="str">
        <f>IF(Table3[[#This Row],[CF]]&gt;0,CONCATENATE(IF(Table3[[#This Row],[LOQ]]="*","LOQ","MRL"),IF(input_values!G117&gt;0,"×CFrisk","")),"")</f>
        <v>MRL</v>
      </c>
      <c r="H1317" s="1087">
        <f>input_values!L117</f>
        <v>0</v>
      </c>
      <c r="I1317" s="1088">
        <f>input_values!D117</f>
        <v>0</v>
      </c>
      <c r="J1317" s="1098" t="e">
        <f>IF($D$1212="",0,$D1317*Table3[[#This Row],[CF]]*chronic_consumption!$E117/1000/$C$3)</f>
        <v>#DIV/0!</v>
      </c>
      <c r="K1317" s="1098" t="e">
        <f>IF($D$1212="",0,$D1317*Table3[[#This Row],[CF]]*chronic_consumption!$F117/1000/$C$3)</f>
        <v>#DIV/0!</v>
      </c>
      <c r="L1317" s="1098" t="e">
        <f>IF($D$1212="",0,$D1317*Table3[[#This Row],[CF]]*chronic_consumption!$G117/1000/$C$3)</f>
        <v>#DIV/0!</v>
      </c>
      <c r="M1317" s="1098" t="e">
        <f>IF($D$1212="",0,$D1317*Table3[[#This Row],[CF]]*chronic_consumption!$H117/1000/$C$3)</f>
        <v>#DIV/0!</v>
      </c>
      <c r="N1317" s="1098" t="e">
        <f>IF($D$1212="",0,$D1317*Table3[[#This Row],[CF]]*chronic_consumption!$I117/1000/$C$3)</f>
        <v>#DIV/0!</v>
      </c>
      <c r="O1317" s="1098" t="e">
        <f>IF($D$1212="",0,$D1317*Table3[[#This Row],[CF]]*chronic_consumption!$J117/1000/$C$3)</f>
        <v>#DIV/0!</v>
      </c>
      <c r="P1317" s="1098" t="e">
        <f>IF($D$1212="",0,$D1317*Table3[[#This Row],[CF]]*chronic_consumption!$K117/1000/$C$3)</f>
        <v>#DIV/0!</v>
      </c>
      <c r="Q1317" s="1098" t="e">
        <f>IF($D$1212="",0,$D1317*Table3[[#This Row],[CF]]*chronic_consumption!$L117/1000/$C$3)</f>
        <v>#DIV/0!</v>
      </c>
      <c r="R1317" s="1098" t="e">
        <f>IF($D$1212="",0,$D1317*Table3[[#This Row],[CF]]*chronic_consumption!$M117/1000/$C$3)</f>
        <v>#DIV/0!</v>
      </c>
      <c r="S1317" s="1098" t="e">
        <f>IF($D$1212="",0,$D1317*Table3[[#This Row],[CF]]*chronic_consumption!$N117/1000/$C$3)</f>
        <v>#DIV/0!</v>
      </c>
      <c r="T1317" s="1098" t="e">
        <f>IF($D$1212="",0,$D1317*Table3[[#This Row],[CF]]*chronic_consumption!$O117/1000/$C$3)</f>
        <v>#DIV/0!</v>
      </c>
      <c r="U1317" s="1098" t="e">
        <f>IF($D$1212="",0,$D1317*Table3[[#This Row],[CF]]*chronic_consumption!$P117/1000/$C$3)</f>
        <v>#DIV/0!</v>
      </c>
      <c r="V1317" s="1098" t="e">
        <f>IF($D$1212="",0,$D1317*Table3[[#This Row],[CF]]*chronic_consumption!$Q117/1000/$C$3)</f>
        <v>#DIV/0!</v>
      </c>
      <c r="W1317" s="1098" t="e">
        <f>IF($D$1212="",0,$D1317*Table3[[#This Row],[CF]]*chronic_consumption!$R117/1000/$C$3)</f>
        <v>#DIV/0!</v>
      </c>
      <c r="X1317" s="1098" t="e">
        <f>IF($D$1212="",0,$D1317*Table3[[#This Row],[CF]]*chronic_consumption!$S117/1000/$C$3)</f>
        <v>#DIV/0!</v>
      </c>
      <c r="Y1317" s="1098" t="e">
        <f>IF($D$1212="",0,$D1317*Table3[[#This Row],[CF]]*chronic_consumption!$T117/1000/$C$3)</f>
        <v>#DIV/0!</v>
      </c>
      <c r="Z1317" s="1098" t="e">
        <f>IF($D$1212="",0,$D1317*Table3[[#This Row],[CF]]*chronic_consumption!$U117/1000/$C$3)</f>
        <v>#DIV/0!</v>
      </c>
      <c r="AA1317" s="1098" t="e">
        <f>IF($D$1212="",0,$D1317*Table3[[#This Row],[CF]]*chronic_consumption!$V117/1000/$C$3)</f>
        <v>#DIV/0!</v>
      </c>
      <c r="AB1317" s="1098" t="e">
        <f>IF($D$1212="",0,$D1317*Table3[[#This Row],[CF]]*chronic_consumption!$W117/1000/$C$3)</f>
        <v>#DIV/0!</v>
      </c>
      <c r="AC1317" s="1098" t="e">
        <f>IF($D$1212="",0,$D1317*Table3[[#This Row],[CF]]*chronic_consumption!$X117/1000/$C$3)</f>
        <v>#DIV/0!</v>
      </c>
      <c r="AD1317" s="1098" t="e">
        <f>IF($D$1212="",0,$D1317*Table3[[#This Row],[CF]]*chronic_consumption!$Y117/1000/$C$3)</f>
        <v>#DIV/0!</v>
      </c>
      <c r="AE1317" s="1098" t="e">
        <f>IF($D$1212="",0,$D1317*Table3[[#This Row],[CF]]*chronic_consumption!$Z117/1000/$C$3)</f>
        <v>#DIV/0!</v>
      </c>
      <c r="AF1317" s="1098" t="e">
        <f>IF($D$1212="",0,$D1317*Table3[[#This Row],[CF]]*chronic_consumption!$AA117/1000/$C$3)</f>
        <v>#DIV/0!</v>
      </c>
      <c r="AG1317" s="1098" t="e">
        <f>IF($D$1212="",0,$D1317*Table3[[#This Row],[CF]]*chronic_consumption!$AB117/1000/$C$3)</f>
        <v>#DIV/0!</v>
      </c>
      <c r="AH1317" s="1098" t="e">
        <f>IF($D$1212="",0,$D1317*Table3[[#This Row],[CF]]*chronic_consumption!$AC117/1000/$C$3)</f>
        <v>#DIV/0!</v>
      </c>
      <c r="AI1317" s="1098" t="e">
        <f>IF($D$1212="",0,$D1317*Table3[[#This Row],[CF]]*chronic_consumption!$AD117/1000/$C$3)</f>
        <v>#DIV/0!</v>
      </c>
      <c r="AJ1317" s="1098" t="e">
        <f>IF($D$1212="",0,$D1317*Table3[[#This Row],[CF]]*chronic_consumption!$AE117/1000/$C$3)</f>
        <v>#DIV/0!</v>
      </c>
      <c r="AK1317" s="1098" t="e">
        <f>IF($D$1212="",0,$D1317*Table3[[#This Row],[CF]]*chronic_consumption!$AF117/1000/$C$3)</f>
        <v>#DIV/0!</v>
      </c>
      <c r="AL1317" s="1098" t="e">
        <f>IF($D$1212="",0,$D1317*Table3[[#This Row],[CF]]*chronic_consumption!$AG117/1000/$C$3)</f>
        <v>#DIV/0!</v>
      </c>
      <c r="AM1317" s="1098" t="e">
        <f>IF($D$1212="",0,$D1317*Table3[[#This Row],[CF]]*chronic_consumption!$AH117/1000/$C$3)</f>
        <v>#DIV/0!</v>
      </c>
      <c r="AN1317" s="1098" t="e">
        <f>IF($D$1212="",0,$D1317*Table3[[#This Row],[CF]]*chronic_consumption!$AI117/1000/$C$3)</f>
        <v>#DIV/0!</v>
      </c>
      <c r="AO1317" s="1098" t="e">
        <f>IF($D$1212="",0,$D1317*Table3[[#This Row],[CF]]*chronic_consumption!$AJ117/1000/$C$3)</f>
        <v>#DIV/0!</v>
      </c>
      <c r="AP1317" s="1098" t="e">
        <f>IF($D$1212="",0,$D1317*Table3[[#This Row],[CF]]*chronic_consumption!$AK117/1000/$C$3)</f>
        <v>#DIV/0!</v>
      </c>
      <c r="AQ1317" s="1098" t="e">
        <f>IF($D$1212="",0,$D1317*Table3[[#This Row],[CF]]*chronic_consumption!$AL117/1000/$C$3)</f>
        <v>#DIV/0!</v>
      </c>
      <c r="AR1317" s="1098" t="e">
        <f>IF($D$1212="",0,$D1317*Table3[[#This Row],[CF]]*chronic_consumption!$AM117/1000/$C$3)</f>
        <v>#DIV/0!</v>
      </c>
      <c r="AS1317" s="1098" t="e">
        <f>IF($D$1212="",0,$D1317*Table3[[#This Row],[CF]]*chronic_consumption!$AN117/1000/$C$3)</f>
        <v>#DIV/0!</v>
      </c>
      <c r="AT1317" s="1098" t="e">
        <f>IF($D$1212="",0,$D1317*Table3[[#This Row],[CF]]*chronic_consumption!$AO117/1000/$C$3)</f>
        <v>#DIV/0!</v>
      </c>
      <c r="AU1317" s="1099" t="e">
        <f t="shared" si="849"/>
        <v>#DIV/0!</v>
      </c>
      <c r="AV1317" s="1099" t="e">
        <f t="shared" si="849"/>
        <v>#DIV/0!</v>
      </c>
      <c r="AW1317" s="1099" t="e">
        <f t="shared" si="849"/>
        <v>#DIV/0!</v>
      </c>
      <c r="AX1317" s="1099" t="e">
        <f t="shared" si="849"/>
        <v>#DIV/0!</v>
      </c>
      <c r="AY1317" s="1099" t="e">
        <f t="shared" si="849"/>
        <v>#DIV/0!</v>
      </c>
      <c r="AZ1317" s="1091" t="s">
        <v>1012</v>
      </c>
      <c r="BA1317" s="1097" t="e">
        <f>IF(Table3[[#This Row],[max]]&lt;&gt;0,RANK(Table3[[#This Row],[max]],Table3[max],0),"")</f>
        <v>#DIV/0!</v>
      </c>
      <c r="BB1317" s="1096" t="e">
        <f t="shared" si="842"/>
        <v>#DIV/0!</v>
      </c>
      <c r="BC1317" s="1096" t="e">
        <f t="shared" ca="1" si="843"/>
        <v>#DIV/0!</v>
      </c>
      <c r="BD1317" s="1096" t="e">
        <f>IF(Table3[[#This Row],[max]]&gt;0,Table3[[#This Row],[Crop groups and examples of individual products within the groups to which the MRLs apply]],"")</f>
        <v>#DIV/0!</v>
      </c>
    </row>
    <row r="1318" spans="2:56" x14ac:dyDescent="0.2">
      <c r="B1318" s="23">
        <f t="shared" si="848"/>
        <v>213990</v>
      </c>
      <c r="C1318" s="23" t="str">
        <f t="shared" si="848"/>
        <v xml:space="preserve">Other other root and tuber vegetables </v>
      </c>
      <c r="D1318" s="1084">
        <f>input_values!E118</f>
        <v>0</v>
      </c>
      <c r="E1318" s="1084">
        <f>input_values!F118</f>
        <v>0</v>
      </c>
      <c r="F1318" s="1085">
        <f>input_values!W118</f>
        <v>1</v>
      </c>
      <c r="G1318" s="1085" t="str">
        <f>IF(Table3[[#This Row],[CF]]&gt;0,CONCATENATE(IF(Table3[[#This Row],[LOQ]]="*","LOQ","MRL"),IF(input_values!G118&gt;0,"×CFrisk","")),"")</f>
        <v>MRL</v>
      </c>
      <c r="H1318" s="1087">
        <f>input_values!L118</f>
        <v>0</v>
      </c>
      <c r="I1318" s="1088">
        <f>input_values!D118</f>
        <v>0</v>
      </c>
      <c r="J1318" s="1098" t="e">
        <f>IF($D$1212="",0,$D1318*Table3[[#This Row],[CF]]*chronic_consumption!$E118/1000/$C$3)</f>
        <v>#DIV/0!</v>
      </c>
      <c r="K1318" s="1098" t="e">
        <f>IF($D$1212="",0,$D1318*Table3[[#This Row],[CF]]*chronic_consumption!$F118/1000/$C$3)</f>
        <v>#DIV/0!</v>
      </c>
      <c r="L1318" s="1098" t="e">
        <f>IF($D$1212="",0,$D1318*Table3[[#This Row],[CF]]*chronic_consumption!$G118/1000/$C$3)</f>
        <v>#DIV/0!</v>
      </c>
      <c r="M1318" s="1098" t="e">
        <f>IF($D$1212="",0,$D1318*Table3[[#This Row],[CF]]*chronic_consumption!$H118/1000/$C$3)</f>
        <v>#DIV/0!</v>
      </c>
      <c r="N1318" s="1098" t="e">
        <f>IF($D$1212="",0,$D1318*Table3[[#This Row],[CF]]*chronic_consumption!$I118/1000/$C$3)</f>
        <v>#DIV/0!</v>
      </c>
      <c r="O1318" s="1098" t="e">
        <f>IF($D$1212="",0,$D1318*Table3[[#This Row],[CF]]*chronic_consumption!$J118/1000/$C$3)</f>
        <v>#DIV/0!</v>
      </c>
      <c r="P1318" s="1098" t="e">
        <f>IF($D$1212="",0,$D1318*Table3[[#This Row],[CF]]*chronic_consumption!$K118/1000/$C$3)</f>
        <v>#DIV/0!</v>
      </c>
      <c r="Q1318" s="1098" t="e">
        <f>IF($D$1212="",0,$D1318*Table3[[#This Row],[CF]]*chronic_consumption!$L118/1000/$C$3)</f>
        <v>#DIV/0!</v>
      </c>
      <c r="R1318" s="1098" t="e">
        <f>IF($D$1212="",0,$D1318*Table3[[#This Row],[CF]]*chronic_consumption!$M118/1000/$C$3)</f>
        <v>#DIV/0!</v>
      </c>
      <c r="S1318" s="1098" t="e">
        <f>IF($D$1212="",0,$D1318*Table3[[#This Row],[CF]]*chronic_consumption!$N118/1000/$C$3)</f>
        <v>#DIV/0!</v>
      </c>
      <c r="T1318" s="1098" t="e">
        <f>IF($D$1212="",0,$D1318*Table3[[#This Row],[CF]]*chronic_consumption!$O118/1000/$C$3)</f>
        <v>#DIV/0!</v>
      </c>
      <c r="U1318" s="1098" t="e">
        <f>IF($D$1212="",0,$D1318*Table3[[#This Row],[CF]]*chronic_consumption!$P118/1000/$C$3)</f>
        <v>#DIV/0!</v>
      </c>
      <c r="V1318" s="1098" t="e">
        <f>IF($D$1212="",0,$D1318*Table3[[#This Row],[CF]]*chronic_consumption!$Q118/1000/$C$3)</f>
        <v>#DIV/0!</v>
      </c>
      <c r="W1318" s="1098" t="e">
        <f>IF($D$1212="",0,$D1318*Table3[[#This Row],[CF]]*chronic_consumption!$R118/1000/$C$3)</f>
        <v>#DIV/0!</v>
      </c>
      <c r="X1318" s="1098" t="e">
        <f>IF($D$1212="",0,$D1318*Table3[[#This Row],[CF]]*chronic_consumption!$S118/1000/$C$3)</f>
        <v>#DIV/0!</v>
      </c>
      <c r="Y1318" s="1098" t="e">
        <f>IF($D$1212="",0,$D1318*Table3[[#This Row],[CF]]*chronic_consumption!$T118/1000/$C$3)</f>
        <v>#DIV/0!</v>
      </c>
      <c r="Z1318" s="1098" t="e">
        <f>IF($D$1212="",0,$D1318*Table3[[#This Row],[CF]]*chronic_consumption!$U118/1000/$C$3)</f>
        <v>#DIV/0!</v>
      </c>
      <c r="AA1318" s="1098" t="e">
        <f>IF($D$1212="",0,$D1318*Table3[[#This Row],[CF]]*chronic_consumption!$V118/1000/$C$3)</f>
        <v>#DIV/0!</v>
      </c>
      <c r="AB1318" s="1098" t="e">
        <f>IF($D$1212="",0,$D1318*Table3[[#This Row],[CF]]*chronic_consumption!$W118/1000/$C$3)</f>
        <v>#DIV/0!</v>
      </c>
      <c r="AC1318" s="1098" t="e">
        <f>IF($D$1212="",0,$D1318*Table3[[#This Row],[CF]]*chronic_consumption!$X118/1000/$C$3)</f>
        <v>#DIV/0!</v>
      </c>
      <c r="AD1318" s="1098" t="e">
        <f>IF($D$1212="",0,$D1318*Table3[[#This Row],[CF]]*chronic_consumption!$Y118/1000/$C$3)</f>
        <v>#DIV/0!</v>
      </c>
      <c r="AE1318" s="1098" t="e">
        <f>IF($D$1212="",0,$D1318*Table3[[#This Row],[CF]]*chronic_consumption!$Z118/1000/$C$3)</f>
        <v>#DIV/0!</v>
      </c>
      <c r="AF1318" s="1098" t="e">
        <f>IF($D$1212="",0,$D1318*Table3[[#This Row],[CF]]*chronic_consumption!$AA118/1000/$C$3)</f>
        <v>#DIV/0!</v>
      </c>
      <c r="AG1318" s="1098" t="e">
        <f>IF($D$1212="",0,$D1318*Table3[[#This Row],[CF]]*chronic_consumption!$AB118/1000/$C$3)</f>
        <v>#DIV/0!</v>
      </c>
      <c r="AH1318" s="1098" t="e">
        <f>IF($D$1212="",0,$D1318*Table3[[#This Row],[CF]]*chronic_consumption!$AC118/1000/$C$3)</f>
        <v>#DIV/0!</v>
      </c>
      <c r="AI1318" s="1098" t="e">
        <f>IF($D$1212="",0,$D1318*Table3[[#This Row],[CF]]*chronic_consumption!$AD118/1000/$C$3)</f>
        <v>#DIV/0!</v>
      </c>
      <c r="AJ1318" s="1098" t="e">
        <f>IF($D$1212="",0,$D1318*Table3[[#This Row],[CF]]*chronic_consumption!$AE118/1000/$C$3)</f>
        <v>#DIV/0!</v>
      </c>
      <c r="AK1318" s="1098" t="e">
        <f>IF($D$1212="",0,$D1318*Table3[[#This Row],[CF]]*chronic_consumption!$AF118/1000/$C$3)</f>
        <v>#DIV/0!</v>
      </c>
      <c r="AL1318" s="1098" t="e">
        <f>IF($D$1212="",0,$D1318*Table3[[#This Row],[CF]]*chronic_consumption!$AG118/1000/$C$3)</f>
        <v>#DIV/0!</v>
      </c>
      <c r="AM1318" s="1098" t="e">
        <f>IF($D$1212="",0,$D1318*Table3[[#This Row],[CF]]*chronic_consumption!$AH118/1000/$C$3)</f>
        <v>#DIV/0!</v>
      </c>
      <c r="AN1318" s="1098" t="e">
        <f>IF($D$1212="",0,$D1318*Table3[[#This Row],[CF]]*chronic_consumption!$AI118/1000/$C$3)</f>
        <v>#DIV/0!</v>
      </c>
      <c r="AO1318" s="1098" t="e">
        <f>IF($D$1212="",0,$D1318*Table3[[#This Row],[CF]]*chronic_consumption!$AJ118/1000/$C$3)</f>
        <v>#DIV/0!</v>
      </c>
      <c r="AP1318" s="1098" t="e">
        <f>IF($D$1212="",0,$D1318*Table3[[#This Row],[CF]]*chronic_consumption!$AK118/1000/$C$3)</f>
        <v>#DIV/0!</v>
      </c>
      <c r="AQ1318" s="1098" t="e">
        <f>IF($D$1212="",0,$D1318*Table3[[#This Row],[CF]]*chronic_consumption!$AL118/1000/$C$3)</f>
        <v>#DIV/0!</v>
      </c>
      <c r="AR1318" s="1098" t="e">
        <f>IF($D$1212="",0,$D1318*Table3[[#This Row],[CF]]*chronic_consumption!$AM118/1000/$C$3)</f>
        <v>#DIV/0!</v>
      </c>
      <c r="AS1318" s="1098" t="e">
        <f>IF($D$1212="",0,$D1318*Table3[[#This Row],[CF]]*chronic_consumption!$AN118/1000/$C$3)</f>
        <v>#DIV/0!</v>
      </c>
      <c r="AT1318" s="1098" t="e">
        <f>IF($D$1212="",0,$D1318*Table3[[#This Row],[CF]]*chronic_consumption!$AO118/1000/$C$3)</f>
        <v>#DIV/0!</v>
      </c>
      <c r="AU1318" s="1099" t="e">
        <f t="shared" si="849"/>
        <v>#DIV/0!</v>
      </c>
      <c r="AV1318" s="1099" t="e">
        <f t="shared" si="849"/>
        <v>#DIV/0!</v>
      </c>
      <c r="AW1318" s="1099" t="e">
        <f t="shared" si="849"/>
        <v>#DIV/0!</v>
      </c>
      <c r="AX1318" s="1099" t="e">
        <f t="shared" si="849"/>
        <v>#DIV/0!</v>
      </c>
      <c r="AY1318" s="1099" t="e">
        <f t="shared" si="849"/>
        <v>#DIV/0!</v>
      </c>
      <c r="AZ1318" s="1091" t="s">
        <v>1012</v>
      </c>
      <c r="BA1318" s="1097" t="e">
        <f>IF(Table3[[#This Row],[max]]&lt;&gt;0,RANK(Table3[[#This Row],[max]],Table3[max],0),"")</f>
        <v>#DIV/0!</v>
      </c>
      <c r="BB1318" s="1096" t="e">
        <f t="shared" si="842"/>
        <v>#DIV/0!</v>
      </c>
      <c r="BC1318" s="1096" t="e">
        <f t="shared" ca="1" si="843"/>
        <v>#DIV/0!</v>
      </c>
      <c r="BD1318" s="1096" t="e">
        <f>IF(Table3[[#This Row],[max]]&gt;0,Table3[[#This Row],[Crop groups and examples of individual products within the groups to which the MRLs apply]],"")</f>
        <v>#DIV/0!</v>
      </c>
    </row>
    <row r="1319" spans="2:56" x14ac:dyDescent="0.2">
      <c r="B1319" s="131">
        <f t="shared" si="848"/>
        <v>220000</v>
      </c>
      <c r="C1319" s="131" t="str">
        <f t="shared" si="848"/>
        <v>Bulb vegetables</v>
      </c>
      <c r="D1319" s="1084">
        <f>input_values!E119</f>
        <v>0</v>
      </c>
      <c r="E1319" s="1084">
        <f>input_values!F119</f>
        <v>0</v>
      </c>
      <c r="F1319" s="1085">
        <f>input_values!W119</f>
        <v>0</v>
      </c>
      <c r="G1319" s="1085" t="str">
        <f>IF(Table3[[#This Row],[CF]]&gt;0,CONCATENATE(IF(Table3[[#This Row],[LOQ]]="*","LOQ","MRL"),IF(input_values!G119&gt;0,"×CFrisk","")),"")</f>
        <v/>
      </c>
      <c r="H1319" s="1087">
        <f>input_values!L119</f>
        <v>0</v>
      </c>
      <c r="I1319" s="1088">
        <f>input_values!D119</f>
        <v>0</v>
      </c>
      <c r="J1319" s="1095" t="e">
        <f>IF($D$1212="",0,$D1319*Table3[[#This Row],[CF]]*chronic_consumption!$E119/1000/$C$3)</f>
        <v>#DIV/0!</v>
      </c>
      <c r="K1319" s="1095" t="e">
        <f>IF($D$1212="",0,$D1319*Table3[[#This Row],[CF]]*chronic_consumption!$F119/1000/$C$3)</f>
        <v>#DIV/0!</v>
      </c>
      <c r="L1319" s="1095" t="e">
        <f>IF($D$1212="",0,$D1319*Table3[[#This Row],[CF]]*chronic_consumption!$G119/1000/$C$3)</f>
        <v>#DIV/0!</v>
      </c>
      <c r="M1319" s="1095" t="e">
        <f>IF($D$1212="",0,$D1319*Table3[[#This Row],[CF]]*chronic_consumption!$H119/1000/$C$3)</f>
        <v>#DIV/0!</v>
      </c>
      <c r="N1319" s="1095" t="e">
        <f>IF($D$1212="",0,$D1319*Table3[[#This Row],[CF]]*chronic_consumption!$I119/1000/$C$3)</f>
        <v>#DIV/0!</v>
      </c>
      <c r="O1319" s="1095" t="e">
        <f>IF($D$1212="",0,$D1319*Table3[[#This Row],[CF]]*chronic_consumption!$J119/1000/$C$3)</f>
        <v>#DIV/0!</v>
      </c>
      <c r="P1319" s="1095" t="e">
        <f>IF($D$1212="",0,$D1319*Table3[[#This Row],[CF]]*chronic_consumption!$K119/1000/$C$3)</f>
        <v>#DIV/0!</v>
      </c>
      <c r="Q1319" s="1095" t="e">
        <f>IF($D$1212="",0,$D1319*Table3[[#This Row],[CF]]*chronic_consumption!$L119/1000/$C$3)</f>
        <v>#DIV/0!</v>
      </c>
      <c r="R1319" s="1095" t="e">
        <f>IF($D$1212="",0,$D1319*Table3[[#This Row],[CF]]*chronic_consumption!$M119/1000/$C$3)</f>
        <v>#DIV/0!</v>
      </c>
      <c r="S1319" s="1095" t="e">
        <f>IF($D$1212="",0,$D1319*Table3[[#This Row],[CF]]*chronic_consumption!$N119/1000/$C$3)</f>
        <v>#DIV/0!</v>
      </c>
      <c r="T1319" s="1095" t="e">
        <f>IF($D$1212="",0,$D1319*Table3[[#This Row],[CF]]*chronic_consumption!$O119/1000/$C$3)</f>
        <v>#DIV/0!</v>
      </c>
      <c r="U1319" s="1095" t="e">
        <f>IF($D$1212="",0,$D1319*Table3[[#This Row],[CF]]*chronic_consumption!$P119/1000/$C$3)</f>
        <v>#DIV/0!</v>
      </c>
      <c r="V1319" s="1095" t="e">
        <f>IF($D$1212="",0,$D1319*Table3[[#This Row],[CF]]*chronic_consumption!$Q119/1000/$C$3)</f>
        <v>#DIV/0!</v>
      </c>
      <c r="W1319" s="1095" t="e">
        <f>IF($D$1212="",0,$D1319*Table3[[#This Row],[CF]]*chronic_consumption!$R119/1000/$C$3)</f>
        <v>#DIV/0!</v>
      </c>
      <c r="X1319" s="1095" t="e">
        <f>IF($D$1212="",0,$D1319*Table3[[#This Row],[CF]]*chronic_consumption!$S119/1000/$C$3)</f>
        <v>#DIV/0!</v>
      </c>
      <c r="Y1319" s="1095" t="e">
        <f>IF($D$1212="",0,$D1319*Table3[[#This Row],[CF]]*chronic_consumption!$T119/1000/$C$3)</f>
        <v>#DIV/0!</v>
      </c>
      <c r="Z1319" s="1095" t="e">
        <f>IF($D$1212="",0,$D1319*Table3[[#This Row],[CF]]*chronic_consumption!$U119/1000/$C$3)</f>
        <v>#DIV/0!</v>
      </c>
      <c r="AA1319" s="1095" t="e">
        <f>IF($D$1212="",0,$D1319*Table3[[#This Row],[CF]]*chronic_consumption!$V119/1000/$C$3)</f>
        <v>#DIV/0!</v>
      </c>
      <c r="AB1319" s="1095" t="e">
        <f>IF($D$1212="",0,$D1319*Table3[[#This Row],[CF]]*chronic_consumption!$W119/1000/$C$3)</f>
        <v>#DIV/0!</v>
      </c>
      <c r="AC1319" s="1095" t="e">
        <f>IF($D$1212="",0,$D1319*Table3[[#This Row],[CF]]*chronic_consumption!$X119/1000/$C$3)</f>
        <v>#DIV/0!</v>
      </c>
      <c r="AD1319" s="1095" t="e">
        <f>IF($D$1212="",0,$D1319*Table3[[#This Row],[CF]]*chronic_consumption!$Y119/1000/$C$3)</f>
        <v>#DIV/0!</v>
      </c>
      <c r="AE1319" s="1095" t="e">
        <f>IF($D$1212="",0,$D1319*Table3[[#This Row],[CF]]*chronic_consumption!$Z119/1000/$C$3)</f>
        <v>#DIV/0!</v>
      </c>
      <c r="AF1319" s="1095" t="e">
        <f>IF($D$1212="",0,$D1319*Table3[[#This Row],[CF]]*chronic_consumption!$AA119/1000/$C$3)</f>
        <v>#DIV/0!</v>
      </c>
      <c r="AG1319" s="1095" t="e">
        <f>IF($D$1212="",0,$D1319*Table3[[#This Row],[CF]]*chronic_consumption!$AB119/1000/$C$3)</f>
        <v>#DIV/0!</v>
      </c>
      <c r="AH1319" s="1095" t="e">
        <f>IF($D$1212="",0,$D1319*Table3[[#This Row],[CF]]*chronic_consumption!$AC119/1000/$C$3)</f>
        <v>#DIV/0!</v>
      </c>
      <c r="AI1319" s="1095" t="e">
        <f>IF($D$1212="",0,$D1319*Table3[[#This Row],[CF]]*chronic_consumption!$AD119/1000/$C$3)</f>
        <v>#DIV/0!</v>
      </c>
      <c r="AJ1319" s="1095" t="e">
        <f>IF($D$1212="",0,$D1319*Table3[[#This Row],[CF]]*chronic_consumption!$AE119/1000/$C$3)</f>
        <v>#DIV/0!</v>
      </c>
      <c r="AK1319" s="1095" t="e">
        <f>IF($D$1212="",0,$D1319*Table3[[#This Row],[CF]]*chronic_consumption!$AF119/1000/$C$3)</f>
        <v>#DIV/0!</v>
      </c>
      <c r="AL1319" s="1095" t="e">
        <f>IF($D$1212="",0,$D1319*Table3[[#This Row],[CF]]*chronic_consumption!$AG119/1000/$C$3)</f>
        <v>#DIV/0!</v>
      </c>
      <c r="AM1319" s="1095" t="e">
        <f>IF($D$1212="",0,$D1319*Table3[[#This Row],[CF]]*chronic_consumption!$AH119/1000/$C$3)</f>
        <v>#DIV/0!</v>
      </c>
      <c r="AN1319" s="1095" t="e">
        <f>IF($D$1212="",0,$D1319*Table3[[#This Row],[CF]]*chronic_consumption!$AI119/1000/$C$3)</f>
        <v>#DIV/0!</v>
      </c>
      <c r="AO1319" s="1095" t="e">
        <f>IF($D$1212="",0,$D1319*Table3[[#This Row],[CF]]*chronic_consumption!$AJ119/1000/$C$3)</f>
        <v>#DIV/0!</v>
      </c>
      <c r="AP1319" s="1095" t="e">
        <f>IF($D$1212="",0,$D1319*Table3[[#This Row],[CF]]*chronic_consumption!$AK119/1000/$C$3)</f>
        <v>#DIV/0!</v>
      </c>
      <c r="AQ1319" s="1095" t="e">
        <f>IF($D$1212="",0,$D1319*Table3[[#This Row],[CF]]*chronic_consumption!$AL119/1000/$C$3)</f>
        <v>#DIV/0!</v>
      </c>
      <c r="AR1319" s="1095" t="e">
        <f>IF($D$1212="",0,$D1319*Table3[[#This Row],[CF]]*chronic_consumption!$AM119/1000/$C$3)</f>
        <v>#DIV/0!</v>
      </c>
      <c r="AS1319" s="1095" t="e">
        <f>IF($D$1212="",0,$D1319*Table3[[#This Row],[CF]]*chronic_consumption!$AN119/1000/$C$3)</f>
        <v>#DIV/0!</v>
      </c>
      <c r="AT1319" s="1095" t="e">
        <f>IF($D$1212="",0,$D1319*Table3[[#This Row],[CF]]*chronic_consumption!$AO119/1000/$C$3)</f>
        <v>#DIV/0!</v>
      </c>
      <c r="AU1319" s="1096" t="e">
        <f t="shared" si="849"/>
        <v>#DIV/0!</v>
      </c>
      <c r="AV1319" s="1096" t="e">
        <f t="shared" si="849"/>
        <v>#DIV/0!</v>
      </c>
      <c r="AW1319" s="1096" t="e">
        <f t="shared" si="849"/>
        <v>#DIV/0!</v>
      </c>
      <c r="AX1319" s="1096" t="e">
        <f t="shared" si="849"/>
        <v>#DIV/0!</v>
      </c>
      <c r="AY1319" s="1096" t="e">
        <f t="shared" si="849"/>
        <v>#DIV/0!</v>
      </c>
      <c r="AZ1319" s="1091" t="s">
        <v>1012</v>
      </c>
      <c r="BA1319" s="1097" t="e">
        <f>IF(Table3[[#This Row],[max]]&lt;&gt;0,RANK(Table3[[#This Row],[max]],Table3[max],0),"")</f>
        <v>#DIV/0!</v>
      </c>
      <c r="BB1319" s="1096" t="e">
        <f t="shared" si="842"/>
        <v>#DIV/0!</v>
      </c>
      <c r="BC1319" s="1096" t="e">
        <f t="shared" ca="1" si="843"/>
        <v>#DIV/0!</v>
      </c>
      <c r="BD1319" s="1096" t="e">
        <f>IF(Table3[[#This Row],[max]]&gt;0,Table3[[#This Row],[Crop groups and examples of individual products within the groups to which the MRLs apply]],"")</f>
        <v>#DIV/0!</v>
      </c>
    </row>
    <row r="1320" spans="2:56" x14ac:dyDescent="0.2">
      <c r="B1320" s="23">
        <f t="shared" si="848"/>
        <v>220010</v>
      </c>
      <c r="C1320" s="23" t="str">
        <f t="shared" si="848"/>
        <v>Garlic</v>
      </c>
      <c r="D1320" s="1084">
        <f>input_values!E120</f>
        <v>0</v>
      </c>
      <c r="E1320" s="1084">
        <f>input_values!F120</f>
        <v>0</v>
      </c>
      <c r="F1320" s="1085">
        <f>input_values!W120</f>
        <v>1</v>
      </c>
      <c r="G1320" s="1085" t="str">
        <f>IF(Table3[[#This Row],[CF]]&gt;0,CONCATENATE(IF(Table3[[#This Row],[LOQ]]="*","LOQ","MRL"),IF(input_values!G120&gt;0,"×CFrisk","")),"")</f>
        <v>MRL</v>
      </c>
      <c r="H1320" s="1087">
        <f>input_values!L120</f>
        <v>0</v>
      </c>
      <c r="I1320" s="1088">
        <f>input_values!D120</f>
        <v>0</v>
      </c>
      <c r="J1320" s="1098" t="e">
        <f>IF($D$1212="",0,$D1320*Table3[[#This Row],[CF]]*chronic_consumption!$E120/1000/$C$3)</f>
        <v>#DIV/0!</v>
      </c>
      <c r="K1320" s="1098" t="e">
        <f>IF($D$1212="",0,$D1320*Table3[[#This Row],[CF]]*chronic_consumption!$F120/1000/$C$3)</f>
        <v>#DIV/0!</v>
      </c>
      <c r="L1320" s="1098" t="e">
        <f>IF($D$1212="",0,$D1320*Table3[[#This Row],[CF]]*chronic_consumption!$G120/1000/$C$3)</f>
        <v>#DIV/0!</v>
      </c>
      <c r="M1320" s="1098" t="e">
        <f>IF($D$1212="",0,$D1320*Table3[[#This Row],[CF]]*chronic_consumption!$H120/1000/$C$3)</f>
        <v>#DIV/0!</v>
      </c>
      <c r="N1320" s="1098" t="e">
        <f>IF($D$1212="",0,$D1320*Table3[[#This Row],[CF]]*chronic_consumption!$I120/1000/$C$3)</f>
        <v>#DIV/0!</v>
      </c>
      <c r="O1320" s="1098" t="e">
        <f>IF($D$1212="",0,$D1320*Table3[[#This Row],[CF]]*chronic_consumption!$J120/1000/$C$3)</f>
        <v>#DIV/0!</v>
      </c>
      <c r="P1320" s="1098" t="e">
        <f>IF($D$1212="",0,$D1320*Table3[[#This Row],[CF]]*chronic_consumption!$K120/1000/$C$3)</f>
        <v>#DIV/0!</v>
      </c>
      <c r="Q1320" s="1098" t="e">
        <f>IF($D$1212="",0,$D1320*Table3[[#This Row],[CF]]*chronic_consumption!$L120/1000/$C$3)</f>
        <v>#DIV/0!</v>
      </c>
      <c r="R1320" s="1098" t="e">
        <f>IF($D$1212="",0,$D1320*Table3[[#This Row],[CF]]*chronic_consumption!$M120/1000/$C$3)</f>
        <v>#DIV/0!</v>
      </c>
      <c r="S1320" s="1098" t="e">
        <f>IF($D$1212="",0,$D1320*Table3[[#This Row],[CF]]*chronic_consumption!$N120/1000/$C$3)</f>
        <v>#DIV/0!</v>
      </c>
      <c r="T1320" s="1098" t="e">
        <f>IF($D$1212="",0,$D1320*Table3[[#This Row],[CF]]*chronic_consumption!$O120/1000/$C$3)</f>
        <v>#DIV/0!</v>
      </c>
      <c r="U1320" s="1098" t="e">
        <f>IF($D$1212="",0,$D1320*Table3[[#This Row],[CF]]*chronic_consumption!$P120/1000/$C$3)</f>
        <v>#DIV/0!</v>
      </c>
      <c r="V1320" s="1098" t="e">
        <f>IF($D$1212="",0,$D1320*Table3[[#This Row],[CF]]*chronic_consumption!$Q120/1000/$C$3)</f>
        <v>#DIV/0!</v>
      </c>
      <c r="W1320" s="1098" t="e">
        <f>IF($D$1212="",0,$D1320*Table3[[#This Row],[CF]]*chronic_consumption!$R120/1000/$C$3)</f>
        <v>#DIV/0!</v>
      </c>
      <c r="X1320" s="1098" t="e">
        <f>IF($D$1212="",0,$D1320*Table3[[#This Row],[CF]]*chronic_consumption!$S120/1000/$C$3)</f>
        <v>#DIV/0!</v>
      </c>
      <c r="Y1320" s="1098" t="e">
        <f>IF($D$1212="",0,$D1320*Table3[[#This Row],[CF]]*chronic_consumption!$T120/1000/$C$3)</f>
        <v>#DIV/0!</v>
      </c>
      <c r="Z1320" s="1098" t="e">
        <f>IF($D$1212="",0,$D1320*Table3[[#This Row],[CF]]*chronic_consumption!$U120/1000/$C$3)</f>
        <v>#DIV/0!</v>
      </c>
      <c r="AA1320" s="1098" t="e">
        <f>IF($D$1212="",0,$D1320*Table3[[#This Row],[CF]]*chronic_consumption!$V120/1000/$C$3)</f>
        <v>#DIV/0!</v>
      </c>
      <c r="AB1320" s="1098" t="e">
        <f>IF($D$1212="",0,$D1320*Table3[[#This Row],[CF]]*chronic_consumption!$W120/1000/$C$3)</f>
        <v>#DIV/0!</v>
      </c>
      <c r="AC1320" s="1098" t="e">
        <f>IF($D$1212="",0,$D1320*Table3[[#This Row],[CF]]*chronic_consumption!$X120/1000/$C$3)</f>
        <v>#DIV/0!</v>
      </c>
      <c r="AD1320" s="1098" t="e">
        <f>IF($D$1212="",0,$D1320*Table3[[#This Row],[CF]]*chronic_consumption!$Y120/1000/$C$3)</f>
        <v>#DIV/0!</v>
      </c>
      <c r="AE1320" s="1098" t="e">
        <f>IF($D$1212="",0,$D1320*Table3[[#This Row],[CF]]*chronic_consumption!$Z120/1000/$C$3)</f>
        <v>#DIV/0!</v>
      </c>
      <c r="AF1320" s="1098" t="e">
        <f>IF($D$1212="",0,$D1320*Table3[[#This Row],[CF]]*chronic_consumption!$AA120/1000/$C$3)</f>
        <v>#DIV/0!</v>
      </c>
      <c r="AG1320" s="1098" t="e">
        <f>IF($D$1212="",0,$D1320*Table3[[#This Row],[CF]]*chronic_consumption!$AB120/1000/$C$3)</f>
        <v>#DIV/0!</v>
      </c>
      <c r="AH1320" s="1098" t="e">
        <f>IF($D$1212="",0,$D1320*Table3[[#This Row],[CF]]*chronic_consumption!$AC120/1000/$C$3)</f>
        <v>#DIV/0!</v>
      </c>
      <c r="AI1320" s="1098" t="e">
        <f>IF($D$1212="",0,$D1320*Table3[[#This Row],[CF]]*chronic_consumption!$AD120/1000/$C$3)</f>
        <v>#DIV/0!</v>
      </c>
      <c r="AJ1320" s="1098" t="e">
        <f>IF($D$1212="",0,$D1320*Table3[[#This Row],[CF]]*chronic_consumption!$AE120/1000/$C$3)</f>
        <v>#DIV/0!</v>
      </c>
      <c r="AK1320" s="1098" t="e">
        <f>IF($D$1212="",0,$D1320*Table3[[#This Row],[CF]]*chronic_consumption!$AF120/1000/$C$3)</f>
        <v>#DIV/0!</v>
      </c>
      <c r="AL1320" s="1098" t="e">
        <f>IF($D$1212="",0,$D1320*Table3[[#This Row],[CF]]*chronic_consumption!$AG120/1000/$C$3)</f>
        <v>#DIV/0!</v>
      </c>
      <c r="AM1320" s="1098" t="e">
        <f>IF($D$1212="",0,$D1320*Table3[[#This Row],[CF]]*chronic_consumption!$AH120/1000/$C$3)</f>
        <v>#DIV/0!</v>
      </c>
      <c r="AN1320" s="1098" t="e">
        <f>IF($D$1212="",0,$D1320*Table3[[#This Row],[CF]]*chronic_consumption!$AI120/1000/$C$3)</f>
        <v>#DIV/0!</v>
      </c>
      <c r="AO1320" s="1098" t="e">
        <f>IF($D$1212="",0,$D1320*Table3[[#This Row],[CF]]*chronic_consumption!$AJ120/1000/$C$3)</f>
        <v>#DIV/0!</v>
      </c>
      <c r="AP1320" s="1098" t="e">
        <f>IF($D$1212="",0,$D1320*Table3[[#This Row],[CF]]*chronic_consumption!$AK120/1000/$C$3)</f>
        <v>#DIV/0!</v>
      </c>
      <c r="AQ1320" s="1098" t="e">
        <f>IF($D$1212="",0,$D1320*Table3[[#This Row],[CF]]*chronic_consumption!$AL120/1000/$C$3)</f>
        <v>#DIV/0!</v>
      </c>
      <c r="AR1320" s="1098" t="e">
        <f>IF($D$1212="",0,$D1320*Table3[[#This Row],[CF]]*chronic_consumption!$AM120/1000/$C$3)</f>
        <v>#DIV/0!</v>
      </c>
      <c r="AS1320" s="1098" t="e">
        <f>IF($D$1212="",0,$D1320*Table3[[#This Row],[CF]]*chronic_consumption!$AN120/1000/$C$3)</f>
        <v>#DIV/0!</v>
      </c>
      <c r="AT1320" s="1098" t="e">
        <f>IF($D$1212="",0,$D1320*Table3[[#This Row],[CF]]*chronic_consumption!$AO120/1000/$C$3)</f>
        <v>#DIV/0!</v>
      </c>
      <c r="AU1320" s="1099" t="e">
        <f t="shared" si="849"/>
        <v>#DIV/0!</v>
      </c>
      <c r="AV1320" s="1099" t="e">
        <f t="shared" si="849"/>
        <v>#DIV/0!</v>
      </c>
      <c r="AW1320" s="1099" t="e">
        <f t="shared" si="849"/>
        <v>#DIV/0!</v>
      </c>
      <c r="AX1320" s="1099" t="e">
        <f t="shared" si="849"/>
        <v>#DIV/0!</v>
      </c>
      <c r="AY1320" s="1099" t="e">
        <f t="shared" si="849"/>
        <v>#DIV/0!</v>
      </c>
      <c r="AZ1320" s="1091" t="s">
        <v>1012</v>
      </c>
      <c r="BA1320" s="1097" t="e">
        <f>IF(Table3[[#This Row],[max]]&lt;&gt;0,RANK(Table3[[#This Row],[max]],Table3[max],0),"")</f>
        <v>#DIV/0!</v>
      </c>
      <c r="BB1320" s="1096" t="e">
        <f t="shared" si="842"/>
        <v>#DIV/0!</v>
      </c>
      <c r="BC1320" s="1096" t="e">
        <f t="shared" ca="1" si="843"/>
        <v>#DIV/0!</v>
      </c>
      <c r="BD1320" s="1096" t="e">
        <f>IF(Table3[[#This Row],[max]]&gt;0,Table3[[#This Row],[Crop groups and examples of individual products within the groups to which the MRLs apply]],"")</f>
        <v>#DIV/0!</v>
      </c>
    </row>
    <row r="1321" spans="2:56" x14ac:dyDescent="0.2">
      <c r="B1321" s="23">
        <f t="shared" si="848"/>
        <v>220020</v>
      </c>
      <c r="C1321" s="23" t="str">
        <f t="shared" si="848"/>
        <v>Onions</v>
      </c>
      <c r="D1321" s="1084">
        <f>input_values!E121</f>
        <v>0</v>
      </c>
      <c r="E1321" s="1084">
        <f>input_values!F121</f>
        <v>0</v>
      </c>
      <c r="F1321" s="1085">
        <f>input_values!W121</f>
        <v>1</v>
      </c>
      <c r="G1321" s="1085" t="str">
        <f>IF(Table3[[#This Row],[CF]]&gt;0,CONCATENATE(IF(Table3[[#This Row],[LOQ]]="*","LOQ","MRL"),IF(input_values!G121&gt;0,"×CFrisk","")),"")</f>
        <v>MRL</v>
      </c>
      <c r="H1321" s="1087">
        <f>input_values!L121</f>
        <v>0</v>
      </c>
      <c r="I1321" s="1088">
        <f>input_values!D121</f>
        <v>0</v>
      </c>
      <c r="J1321" s="1098" t="e">
        <f>IF($D$1212="",0,$D1321*Table3[[#This Row],[CF]]*chronic_consumption!$E121/1000/$C$3)</f>
        <v>#DIV/0!</v>
      </c>
      <c r="K1321" s="1098" t="e">
        <f>IF($D$1212="",0,$D1321*Table3[[#This Row],[CF]]*chronic_consumption!$F121/1000/$C$3)</f>
        <v>#DIV/0!</v>
      </c>
      <c r="L1321" s="1098" t="e">
        <f>IF($D$1212="",0,$D1321*Table3[[#This Row],[CF]]*chronic_consumption!$G121/1000/$C$3)</f>
        <v>#DIV/0!</v>
      </c>
      <c r="M1321" s="1098" t="e">
        <f>IF($D$1212="",0,$D1321*Table3[[#This Row],[CF]]*chronic_consumption!$H121/1000/$C$3)</f>
        <v>#DIV/0!</v>
      </c>
      <c r="N1321" s="1098" t="e">
        <f>IF($D$1212="",0,$D1321*Table3[[#This Row],[CF]]*chronic_consumption!$I121/1000/$C$3)</f>
        <v>#DIV/0!</v>
      </c>
      <c r="O1321" s="1098" t="e">
        <f>IF($D$1212="",0,$D1321*Table3[[#This Row],[CF]]*chronic_consumption!$J121/1000/$C$3)</f>
        <v>#DIV/0!</v>
      </c>
      <c r="P1321" s="1098" t="e">
        <f>IF($D$1212="",0,$D1321*Table3[[#This Row],[CF]]*chronic_consumption!$K121/1000/$C$3)</f>
        <v>#DIV/0!</v>
      </c>
      <c r="Q1321" s="1098" t="e">
        <f>IF($D$1212="",0,$D1321*Table3[[#This Row],[CF]]*chronic_consumption!$L121/1000/$C$3)</f>
        <v>#DIV/0!</v>
      </c>
      <c r="R1321" s="1098" t="e">
        <f>IF($D$1212="",0,$D1321*Table3[[#This Row],[CF]]*chronic_consumption!$M121/1000/$C$3)</f>
        <v>#DIV/0!</v>
      </c>
      <c r="S1321" s="1098" t="e">
        <f>IF($D$1212="",0,$D1321*Table3[[#This Row],[CF]]*chronic_consumption!$N121/1000/$C$3)</f>
        <v>#DIV/0!</v>
      </c>
      <c r="T1321" s="1098" t="e">
        <f>IF($D$1212="",0,$D1321*Table3[[#This Row],[CF]]*chronic_consumption!$O121/1000/$C$3)</f>
        <v>#DIV/0!</v>
      </c>
      <c r="U1321" s="1098" t="e">
        <f>IF($D$1212="",0,$D1321*Table3[[#This Row],[CF]]*chronic_consumption!$P121/1000/$C$3)</f>
        <v>#DIV/0!</v>
      </c>
      <c r="V1321" s="1098" t="e">
        <f>IF($D$1212="",0,$D1321*Table3[[#This Row],[CF]]*chronic_consumption!$Q121/1000/$C$3)</f>
        <v>#DIV/0!</v>
      </c>
      <c r="W1321" s="1098" t="e">
        <f>IF($D$1212="",0,$D1321*Table3[[#This Row],[CF]]*chronic_consumption!$R121/1000/$C$3)</f>
        <v>#DIV/0!</v>
      </c>
      <c r="X1321" s="1098" t="e">
        <f>IF($D$1212="",0,$D1321*Table3[[#This Row],[CF]]*chronic_consumption!$S121/1000/$C$3)</f>
        <v>#DIV/0!</v>
      </c>
      <c r="Y1321" s="1098" t="e">
        <f>IF($D$1212="",0,$D1321*Table3[[#This Row],[CF]]*chronic_consumption!$T121/1000/$C$3)</f>
        <v>#DIV/0!</v>
      </c>
      <c r="Z1321" s="1098" t="e">
        <f>IF($D$1212="",0,$D1321*Table3[[#This Row],[CF]]*chronic_consumption!$U121/1000/$C$3)</f>
        <v>#DIV/0!</v>
      </c>
      <c r="AA1321" s="1098" t="e">
        <f>IF($D$1212="",0,$D1321*Table3[[#This Row],[CF]]*chronic_consumption!$V121/1000/$C$3)</f>
        <v>#DIV/0!</v>
      </c>
      <c r="AB1321" s="1098" t="e">
        <f>IF($D$1212="",0,$D1321*Table3[[#This Row],[CF]]*chronic_consumption!$W121/1000/$C$3)</f>
        <v>#DIV/0!</v>
      </c>
      <c r="AC1321" s="1098" t="e">
        <f>IF($D$1212="",0,$D1321*Table3[[#This Row],[CF]]*chronic_consumption!$X121/1000/$C$3)</f>
        <v>#DIV/0!</v>
      </c>
      <c r="AD1321" s="1098" t="e">
        <f>IF($D$1212="",0,$D1321*Table3[[#This Row],[CF]]*chronic_consumption!$Y121/1000/$C$3)</f>
        <v>#DIV/0!</v>
      </c>
      <c r="AE1321" s="1098" t="e">
        <f>IF($D$1212="",0,$D1321*Table3[[#This Row],[CF]]*chronic_consumption!$Z121/1000/$C$3)</f>
        <v>#DIV/0!</v>
      </c>
      <c r="AF1321" s="1098" t="e">
        <f>IF($D$1212="",0,$D1321*Table3[[#This Row],[CF]]*chronic_consumption!$AA121/1000/$C$3)</f>
        <v>#DIV/0!</v>
      </c>
      <c r="AG1321" s="1098" t="e">
        <f>IF($D$1212="",0,$D1321*Table3[[#This Row],[CF]]*chronic_consumption!$AB121/1000/$C$3)</f>
        <v>#DIV/0!</v>
      </c>
      <c r="AH1321" s="1098" t="e">
        <f>IF($D$1212="",0,$D1321*Table3[[#This Row],[CF]]*chronic_consumption!$AC121/1000/$C$3)</f>
        <v>#DIV/0!</v>
      </c>
      <c r="AI1321" s="1098" t="e">
        <f>IF($D$1212="",0,$D1321*Table3[[#This Row],[CF]]*chronic_consumption!$AD121/1000/$C$3)</f>
        <v>#DIV/0!</v>
      </c>
      <c r="AJ1321" s="1098" t="e">
        <f>IF($D$1212="",0,$D1321*Table3[[#This Row],[CF]]*chronic_consumption!$AE121/1000/$C$3)</f>
        <v>#DIV/0!</v>
      </c>
      <c r="AK1321" s="1098" t="e">
        <f>IF($D$1212="",0,$D1321*Table3[[#This Row],[CF]]*chronic_consumption!$AF121/1000/$C$3)</f>
        <v>#DIV/0!</v>
      </c>
      <c r="AL1321" s="1098" t="e">
        <f>IF($D$1212="",0,$D1321*Table3[[#This Row],[CF]]*chronic_consumption!$AG121/1000/$C$3)</f>
        <v>#DIV/0!</v>
      </c>
      <c r="AM1321" s="1098" t="e">
        <f>IF($D$1212="",0,$D1321*Table3[[#This Row],[CF]]*chronic_consumption!$AH121/1000/$C$3)</f>
        <v>#DIV/0!</v>
      </c>
      <c r="AN1321" s="1098" t="e">
        <f>IF($D$1212="",0,$D1321*Table3[[#This Row],[CF]]*chronic_consumption!$AI121/1000/$C$3)</f>
        <v>#DIV/0!</v>
      </c>
      <c r="AO1321" s="1098" t="e">
        <f>IF($D$1212="",0,$D1321*Table3[[#This Row],[CF]]*chronic_consumption!$AJ121/1000/$C$3)</f>
        <v>#DIV/0!</v>
      </c>
      <c r="AP1321" s="1098" t="e">
        <f>IF($D$1212="",0,$D1321*Table3[[#This Row],[CF]]*chronic_consumption!$AK121/1000/$C$3)</f>
        <v>#DIV/0!</v>
      </c>
      <c r="AQ1321" s="1098" t="e">
        <f>IF($D$1212="",0,$D1321*Table3[[#This Row],[CF]]*chronic_consumption!$AL121/1000/$C$3)</f>
        <v>#DIV/0!</v>
      </c>
      <c r="AR1321" s="1098" t="e">
        <f>IF($D$1212="",0,$D1321*Table3[[#This Row],[CF]]*chronic_consumption!$AM121/1000/$C$3)</f>
        <v>#DIV/0!</v>
      </c>
      <c r="AS1321" s="1098" t="e">
        <f>IF($D$1212="",0,$D1321*Table3[[#This Row],[CF]]*chronic_consumption!$AN121/1000/$C$3)</f>
        <v>#DIV/0!</v>
      </c>
      <c r="AT1321" s="1098" t="e">
        <f>IF($D$1212="",0,$D1321*Table3[[#This Row],[CF]]*chronic_consumption!$AO121/1000/$C$3)</f>
        <v>#DIV/0!</v>
      </c>
      <c r="AU1321" s="1099" t="e">
        <f t="shared" si="849"/>
        <v>#DIV/0!</v>
      </c>
      <c r="AV1321" s="1099" t="e">
        <f t="shared" si="849"/>
        <v>#DIV/0!</v>
      </c>
      <c r="AW1321" s="1099" t="e">
        <f t="shared" si="849"/>
        <v>#DIV/0!</v>
      </c>
      <c r="AX1321" s="1099" t="e">
        <f t="shared" si="849"/>
        <v>#DIV/0!</v>
      </c>
      <c r="AY1321" s="1099" t="e">
        <f t="shared" si="849"/>
        <v>#DIV/0!</v>
      </c>
      <c r="AZ1321" s="1091" t="s">
        <v>1012</v>
      </c>
      <c r="BA1321" s="1097" t="e">
        <f>IF(Table3[[#This Row],[max]]&lt;&gt;0,RANK(Table3[[#This Row],[max]],Table3[max],0),"")</f>
        <v>#DIV/0!</v>
      </c>
      <c r="BB1321" s="1096" t="e">
        <f t="shared" si="842"/>
        <v>#DIV/0!</v>
      </c>
      <c r="BC1321" s="1096" t="e">
        <f t="shared" ca="1" si="843"/>
        <v>#DIV/0!</v>
      </c>
      <c r="BD1321" s="1096" t="e">
        <f>IF(Table3[[#This Row],[max]]&gt;0,Table3[[#This Row],[Crop groups and examples of individual products within the groups to which the MRLs apply]],"")</f>
        <v>#DIV/0!</v>
      </c>
    </row>
    <row r="1322" spans="2:56" x14ac:dyDescent="0.2">
      <c r="B1322" s="23">
        <f t="shared" si="848"/>
        <v>220030</v>
      </c>
      <c r="C1322" s="23" t="str">
        <f t="shared" si="848"/>
        <v>Shallots</v>
      </c>
      <c r="D1322" s="1084">
        <f>input_values!E122</f>
        <v>0</v>
      </c>
      <c r="E1322" s="1084">
        <f>input_values!F122</f>
        <v>0</v>
      </c>
      <c r="F1322" s="1085">
        <f>input_values!W122</f>
        <v>1</v>
      </c>
      <c r="G1322" s="1085" t="str">
        <f>IF(Table3[[#This Row],[CF]]&gt;0,CONCATENATE(IF(Table3[[#This Row],[LOQ]]="*","LOQ","MRL"),IF(input_values!G122&gt;0,"×CFrisk","")),"")</f>
        <v>MRL</v>
      </c>
      <c r="H1322" s="1087">
        <f>input_values!L122</f>
        <v>0</v>
      </c>
      <c r="I1322" s="1088">
        <f>input_values!D122</f>
        <v>0</v>
      </c>
      <c r="J1322" s="1098" t="e">
        <f>IF($D$1212="",0,$D1322*Table3[[#This Row],[CF]]*chronic_consumption!$E122/1000/$C$3)</f>
        <v>#DIV/0!</v>
      </c>
      <c r="K1322" s="1098" t="e">
        <f>IF($D$1212="",0,$D1322*Table3[[#This Row],[CF]]*chronic_consumption!$F122/1000/$C$3)</f>
        <v>#DIV/0!</v>
      </c>
      <c r="L1322" s="1098" t="e">
        <f>IF($D$1212="",0,$D1322*Table3[[#This Row],[CF]]*chronic_consumption!$G122/1000/$C$3)</f>
        <v>#DIV/0!</v>
      </c>
      <c r="M1322" s="1098" t="e">
        <f>IF($D$1212="",0,$D1322*Table3[[#This Row],[CF]]*chronic_consumption!$H122/1000/$C$3)</f>
        <v>#DIV/0!</v>
      </c>
      <c r="N1322" s="1098" t="e">
        <f>IF($D$1212="",0,$D1322*Table3[[#This Row],[CF]]*chronic_consumption!$I122/1000/$C$3)</f>
        <v>#DIV/0!</v>
      </c>
      <c r="O1322" s="1098" t="e">
        <f>IF($D$1212="",0,$D1322*Table3[[#This Row],[CF]]*chronic_consumption!$J122/1000/$C$3)</f>
        <v>#DIV/0!</v>
      </c>
      <c r="P1322" s="1098" t="e">
        <f>IF($D$1212="",0,$D1322*Table3[[#This Row],[CF]]*chronic_consumption!$K122/1000/$C$3)</f>
        <v>#DIV/0!</v>
      </c>
      <c r="Q1322" s="1098" t="e">
        <f>IF($D$1212="",0,$D1322*Table3[[#This Row],[CF]]*chronic_consumption!$L122/1000/$C$3)</f>
        <v>#DIV/0!</v>
      </c>
      <c r="R1322" s="1098" t="e">
        <f>IF($D$1212="",0,$D1322*Table3[[#This Row],[CF]]*chronic_consumption!$M122/1000/$C$3)</f>
        <v>#DIV/0!</v>
      </c>
      <c r="S1322" s="1098" t="e">
        <f>IF($D$1212="",0,$D1322*Table3[[#This Row],[CF]]*chronic_consumption!$N122/1000/$C$3)</f>
        <v>#DIV/0!</v>
      </c>
      <c r="T1322" s="1098" t="e">
        <f>IF($D$1212="",0,$D1322*Table3[[#This Row],[CF]]*chronic_consumption!$O122/1000/$C$3)</f>
        <v>#DIV/0!</v>
      </c>
      <c r="U1322" s="1098" t="e">
        <f>IF($D$1212="",0,$D1322*Table3[[#This Row],[CF]]*chronic_consumption!$P122/1000/$C$3)</f>
        <v>#DIV/0!</v>
      </c>
      <c r="V1322" s="1098" t="e">
        <f>IF($D$1212="",0,$D1322*Table3[[#This Row],[CF]]*chronic_consumption!$Q122/1000/$C$3)</f>
        <v>#DIV/0!</v>
      </c>
      <c r="W1322" s="1098" t="e">
        <f>IF($D$1212="",0,$D1322*Table3[[#This Row],[CF]]*chronic_consumption!$R122/1000/$C$3)</f>
        <v>#DIV/0!</v>
      </c>
      <c r="X1322" s="1098" t="e">
        <f>IF($D$1212="",0,$D1322*Table3[[#This Row],[CF]]*chronic_consumption!$S122/1000/$C$3)</f>
        <v>#DIV/0!</v>
      </c>
      <c r="Y1322" s="1098" t="e">
        <f>IF($D$1212="",0,$D1322*Table3[[#This Row],[CF]]*chronic_consumption!$T122/1000/$C$3)</f>
        <v>#DIV/0!</v>
      </c>
      <c r="Z1322" s="1098" t="e">
        <f>IF($D$1212="",0,$D1322*Table3[[#This Row],[CF]]*chronic_consumption!$U122/1000/$C$3)</f>
        <v>#DIV/0!</v>
      </c>
      <c r="AA1322" s="1098" t="e">
        <f>IF($D$1212="",0,$D1322*Table3[[#This Row],[CF]]*chronic_consumption!$V122/1000/$C$3)</f>
        <v>#DIV/0!</v>
      </c>
      <c r="AB1322" s="1098" t="e">
        <f>IF($D$1212="",0,$D1322*Table3[[#This Row],[CF]]*chronic_consumption!$W122/1000/$C$3)</f>
        <v>#DIV/0!</v>
      </c>
      <c r="AC1322" s="1098" t="e">
        <f>IF($D$1212="",0,$D1322*Table3[[#This Row],[CF]]*chronic_consumption!$X122/1000/$C$3)</f>
        <v>#DIV/0!</v>
      </c>
      <c r="AD1322" s="1098" t="e">
        <f>IF($D$1212="",0,$D1322*Table3[[#This Row],[CF]]*chronic_consumption!$Y122/1000/$C$3)</f>
        <v>#DIV/0!</v>
      </c>
      <c r="AE1322" s="1098" t="e">
        <f>IF($D$1212="",0,$D1322*Table3[[#This Row],[CF]]*chronic_consumption!$Z122/1000/$C$3)</f>
        <v>#DIV/0!</v>
      </c>
      <c r="AF1322" s="1098" t="e">
        <f>IF($D$1212="",0,$D1322*Table3[[#This Row],[CF]]*chronic_consumption!$AA122/1000/$C$3)</f>
        <v>#DIV/0!</v>
      </c>
      <c r="AG1322" s="1098" t="e">
        <f>IF($D$1212="",0,$D1322*Table3[[#This Row],[CF]]*chronic_consumption!$AB122/1000/$C$3)</f>
        <v>#DIV/0!</v>
      </c>
      <c r="AH1322" s="1098" t="e">
        <f>IF($D$1212="",0,$D1322*Table3[[#This Row],[CF]]*chronic_consumption!$AC122/1000/$C$3)</f>
        <v>#DIV/0!</v>
      </c>
      <c r="AI1322" s="1098" t="e">
        <f>IF($D$1212="",0,$D1322*Table3[[#This Row],[CF]]*chronic_consumption!$AD122/1000/$C$3)</f>
        <v>#DIV/0!</v>
      </c>
      <c r="AJ1322" s="1098" t="e">
        <f>IF($D$1212="",0,$D1322*Table3[[#This Row],[CF]]*chronic_consumption!$AE122/1000/$C$3)</f>
        <v>#DIV/0!</v>
      </c>
      <c r="AK1322" s="1098" t="e">
        <f>IF($D$1212="",0,$D1322*Table3[[#This Row],[CF]]*chronic_consumption!$AF122/1000/$C$3)</f>
        <v>#DIV/0!</v>
      </c>
      <c r="AL1322" s="1098" t="e">
        <f>IF($D$1212="",0,$D1322*Table3[[#This Row],[CF]]*chronic_consumption!$AG122/1000/$C$3)</f>
        <v>#DIV/0!</v>
      </c>
      <c r="AM1322" s="1098" t="e">
        <f>IF($D$1212="",0,$D1322*Table3[[#This Row],[CF]]*chronic_consumption!$AH122/1000/$C$3)</f>
        <v>#DIV/0!</v>
      </c>
      <c r="AN1322" s="1098" t="e">
        <f>IF($D$1212="",0,$D1322*Table3[[#This Row],[CF]]*chronic_consumption!$AI122/1000/$C$3)</f>
        <v>#DIV/0!</v>
      </c>
      <c r="AO1322" s="1098" t="e">
        <f>IF($D$1212="",0,$D1322*Table3[[#This Row],[CF]]*chronic_consumption!$AJ122/1000/$C$3)</f>
        <v>#DIV/0!</v>
      </c>
      <c r="AP1322" s="1098" t="e">
        <f>IF($D$1212="",0,$D1322*Table3[[#This Row],[CF]]*chronic_consumption!$AK122/1000/$C$3)</f>
        <v>#DIV/0!</v>
      </c>
      <c r="AQ1322" s="1098" t="e">
        <f>IF($D$1212="",0,$D1322*Table3[[#This Row],[CF]]*chronic_consumption!$AL122/1000/$C$3)</f>
        <v>#DIV/0!</v>
      </c>
      <c r="AR1322" s="1098" t="e">
        <f>IF($D$1212="",0,$D1322*Table3[[#This Row],[CF]]*chronic_consumption!$AM122/1000/$C$3)</f>
        <v>#DIV/0!</v>
      </c>
      <c r="AS1322" s="1098" t="e">
        <f>IF($D$1212="",0,$D1322*Table3[[#This Row],[CF]]*chronic_consumption!$AN122/1000/$C$3)</f>
        <v>#DIV/0!</v>
      </c>
      <c r="AT1322" s="1098" t="e">
        <f>IF($D$1212="",0,$D1322*Table3[[#This Row],[CF]]*chronic_consumption!$AO122/1000/$C$3)</f>
        <v>#DIV/0!</v>
      </c>
      <c r="AU1322" s="1099" t="e">
        <f t="shared" ref="AU1322:AY1331" si="850">IF(AU522="",0,IF(OR(1=RANK(AU922,AU$412:AU$790,0),(2=RANK(AU922,AU$412:AU$790,0))),AU922,AU522))</f>
        <v>#DIV/0!</v>
      </c>
      <c r="AV1322" s="1099" t="e">
        <f t="shared" si="850"/>
        <v>#DIV/0!</v>
      </c>
      <c r="AW1322" s="1099" t="e">
        <f t="shared" si="850"/>
        <v>#DIV/0!</v>
      </c>
      <c r="AX1322" s="1099" t="e">
        <f t="shared" si="850"/>
        <v>#DIV/0!</v>
      </c>
      <c r="AY1322" s="1099" t="e">
        <f t="shared" si="850"/>
        <v>#DIV/0!</v>
      </c>
      <c r="AZ1322" s="1091" t="s">
        <v>1012</v>
      </c>
      <c r="BA1322" s="1097" t="e">
        <f>IF(Table3[[#This Row],[max]]&lt;&gt;0,RANK(Table3[[#This Row],[max]],Table3[max],0),"")</f>
        <v>#DIV/0!</v>
      </c>
      <c r="BB1322" s="1096" t="e">
        <f t="shared" si="842"/>
        <v>#DIV/0!</v>
      </c>
      <c r="BC1322" s="1096" t="e">
        <f t="shared" ca="1" si="843"/>
        <v>#DIV/0!</v>
      </c>
      <c r="BD1322" s="1096" t="e">
        <f>IF(Table3[[#This Row],[max]]&gt;0,Table3[[#This Row],[Crop groups and examples of individual products within the groups to which the MRLs apply]],"")</f>
        <v>#DIV/0!</v>
      </c>
    </row>
    <row r="1323" spans="2:56" x14ac:dyDescent="0.2">
      <c r="B1323" s="23">
        <f t="shared" si="848"/>
        <v>220040</v>
      </c>
      <c r="C1323" s="23" t="str">
        <f t="shared" si="848"/>
        <v>Spring onions/green onions and Welsh onions</v>
      </c>
      <c r="D1323" s="1084">
        <f>input_values!E123</f>
        <v>0</v>
      </c>
      <c r="E1323" s="1084">
        <f>input_values!F123</f>
        <v>0</v>
      </c>
      <c r="F1323" s="1085">
        <f>input_values!W123</f>
        <v>1</v>
      </c>
      <c r="G1323" s="1085" t="str">
        <f>IF(Table3[[#This Row],[CF]]&gt;0,CONCATENATE(IF(Table3[[#This Row],[LOQ]]="*","LOQ","MRL"),IF(input_values!G123&gt;0,"×CFrisk","")),"")</f>
        <v>MRL</v>
      </c>
      <c r="H1323" s="1087">
        <f>input_values!L123</f>
        <v>0</v>
      </c>
      <c r="I1323" s="1088">
        <f>input_values!D123</f>
        <v>0</v>
      </c>
      <c r="J1323" s="1098" t="e">
        <f>IF($D$1212="",0,$D1323*Table3[[#This Row],[CF]]*chronic_consumption!$E123/1000/$C$3)</f>
        <v>#DIV/0!</v>
      </c>
      <c r="K1323" s="1098" t="e">
        <f>IF($D$1212="",0,$D1323*Table3[[#This Row],[CF]]*chronic_consumption!$F123/1000/$C$3)</f>
        <v>#DIV/0!</v>
      </c>
      <c r="L1323" s="1098" t="e">
        <f>IF($D$1212="",0,$D1323*Table3[[#This Row],[CF]]*chronic_consumption!$G123/1000/$C$3)</f>
        <v>#DIV/0!</v>
      </c>
      <c r="M1323" s="1098" t="e">
        <f>IF($D$1212="",0,$D1323*Table3[[#This Row],[CF]]*chronic_consumption!$H123/1000/$C$3)</f>
        <v>#DIV/0!</v>
      </c>
      <c r="N1323" s="1098" t="e">
        <f>IF($D$1212="",0,$D1323*Table3[[#This Row],[CF]]*chronic_consumption!$I123/1000/$C$3)</f>
        <v>#DIV/0!</v>
      </c>
      <c r="O1323" s="1098" t="e">
        <f>IF($D$1212="",0,$D1323*Table3[[#This Row],[CF]]*chronic_consumption!$J123/1000/$C$3)</f>
        <v>#DIV/0!</v>
      </c>
      <c r="P1323" s="1098" t="e">
        <f>IF($D$1212="",0,$D1323*Table3[[#This Row],[CF]]*chronic_consumption!$K123/1000/$C$3)</f>
        <v>#DIV/0!</v>
      </c>
      <c r="Q1323" s="1098" t="e">
        <f>IF($D$1212="",0,$D1323*Table3[[#This Row],[CF]]*chronic_consumption!$L123/1000/$C$3)</f>
        <v>#DIV/0!</v>
      </c>
      <c r="R1323" s="1098" t="e">
        <f>IF($D$1212="",0,$D1323*Table3[[#This Row],[CF]]*chronic_consumption!$M123/1000/$C$3)</f>
        <v>#DIV/0!</v>
      </c>
      <c r="S1323" s="1098" t="e">
        <f>IF($D$1212="",0,$D1323*Table3[[#This Row],[CF]]*chronic_consumption!$N123/1000/$C$3)</f>
        <v>#DIV/0!</v>
      </c>
      <c r="T1323" s="1098" t="e">
        <f>IF($D$1212="",0,$D1323*Table3[[#This Row],[CF]]*chronic_consumption!$O123/1000/$C$3)</f>
        <v>#DIV/0!</v>
      </c>
      <c r="U1323" s="1098" t="e">
        <f>IF($D$1212="",0,$D1323*Table3[[#This Row],[CF]]*chronic_consumption!$P123/1000/$C$3)</f>
        <v>#DIV/0!</v>
      </c>
      <c r="V1323" s="1098" t="e">
        <f>IF($D$1212="",0,$D1323*Table3[[#This Row],[CF]]*chronic_consumption!$Q123/1000/$C$3)</f>
        <v>#DIV/0!</v>
      </c>
      <c r="W1323" s="1098" t="e">
        <f>IF($D$1212="",0,$D1323*Table3[[#This Row],[CF]]*chronic_consumption!$R123/1000/$C$3)</f>
        <v>#DIV/0!</v>
      </c>
      <c r="X1323" s="1098" t="e">
        <f>IF($D$1212="",0,$D1323*Table3[[#This Row],[CF]]*chronic_consumption!$S123/1000/$C$3)</f>
        <v>#DIV/0!</v>
      </c>
      <c r="Y1323" s="1098" t="e">
        <f>IF($D$1212="",0,$D1323*Table3[[#This Row],[CF]]*chronic_consumption!$T123/1000/$C$3)</f>
        <v>#DIV/0!</v>
      </c>
      <c r="Z1323" s="1098" t="e">
        <f>IF($D$1212="",0,$D1323*Table3[[#This Row],[CF]]*chronic_consumption!$U123/1000/$C$3)</f>
        <v>#DIV/0!</v>
      </c>
      <c r="AA1323" s="1098" t="e">
        <f>IF($D$1212="",0,$D1323*Table3[[#This Row],[CF]]*chronic_consumption!$V123/1000/$C$3)</f>
        <v>#DIV/0!</v>
      </c>
      <c r="AB1323" s="1098" t="e">
        <f>IF($D$1212="",0,$D1323*Table3[[#This Row],[CF]]*chronic_consumption!$W123/1000/$C$3)</f>
        <v>#DIV/0!</v>
      </c>
      <c r="AC1323" s="1098" t="e">
        <f>IF($D$1212="",0,$D1323*Table3[[#This Row],[CF]]*chronic_consumption!$X123/1000/$C$3)</f>
        <v>#DIV/0!</v>
      </c>
      <c r="AD1323" s="1098" t="e">
        <f>IF($D$1212="",0,$D1323*Table3[[#This Row],[CF]]*chronic_consumption!$Y123/1000/$C$3)</f>
        <v>#DIV/0!</v>
      </c>
      <c r="AE1323" s="1098" t="e">
        <f>IF($D$1212="",0,$D1323*Table3[[#This Row],[CF]]*chronic_consumption!$Z123/1000/$C$3)</f>
        <v>#DIV/0!</v>
      </c>
      <c r="AF1323" s="1098" t="e">
        <f>IF($D$1212="",0,$D1323*Table3[[#This Row],[CF]]*chronic_consumption!$AA123/1000/$C$3)</f>
        <v>#DIV/0!</v>
      </c>
      <c r="AG1323" s="1098" t="e">
        <f>IF($D$1212="",0,$D1323*Table3[[#This Row],[CF]]*chronic_consumption!$AB123/1000/$C$3)</f>
        <v>#DIV/0!</v>
      </c>
      <c r="AH1323" s="1098" t="e">
        <f>IF($D$1212="",0,$D1323*Table3[[#This Row],[CF]]*chronic_consumption!$AC123/1000/$C$3)</f>
        <v>#DIV/0!</v>
      </c>
      <c r="AI1323" s="1098" t="e">
        <f>IF($D$1212="",0,$D1323*Table3[[#This Row],[CF]]*chronic_consumption!$AD123/1000/$C$3)</f>
        <v>#DIV/0!</v>
      </c>
      <c r="AJ1323" s="1098" t="e">
        <f>IF($D$1212="",0,$D1323*Table3[[#This Row],[CF]]*chronic_consumption!$AE123/1000/$C$3)</f>
        <v>#DIV/0!</v>
      </c>
      <c r="AK1323" s="1098" t="e">
        <f>IF($D$1212="",0,$D1323*Table3[[#This Row],[CF]]*chronic_consumption!$AF123/1000/$C$3)</f>
        <v>#DIV/0!</v>
      </c>
      <c r="AL1323" s="1098" t="e">
        <f>IF($D$1212="",0,$D1323*Table3[[#This Row],[CF]]*chronic_consumption!$AG123/1000/$C$3)</f>
        <v>#DIV/0!</v>
      </c>
      <c r="AM1323" s="1098" t="e">
        <f>IF($D$1212="",0,$D1323*Table3[[#This Row],[CF]]*chronic_consumption!$AH123/1000/$C$3)</f>
        <v>#DIV/0!</v>
      </c>
      <c r="AN1323" s="1098" t="e">
        <f>IF($D$1212="",0,$D1323*Table3[[#This Row],[CF]]*chronic_consumption!$AI123/1000/$C$3)</f>
        <v>#DIV/0!</v>
      </c>
      <c r="AO1323" s="1098" t="e">
        <f>IF($D$1212="",0,$D1323*Table3[[#This Row],[CF]]*chronic_consumption!$AJ123/1000/$C$3)</f>
        <v>#DIV/0!</v>
      </c>
      <c r="AP1323" s="1098" t="e">
        <f>IF($D$1212="",0,$D1323*Table3[[#This Row],[CF]]*chronic_consumption!$AK123/1000/$C$3)</f>
        <v>#DIV/0!</v>
      </c>
      <c r="AQ1323" s="1098" t="e">
        <f>IF($D$1212="",0,$D1323*Table3[[#This Row],[CF]]*chronic_consumption!$AL123/1000/$C$3)</f>
        <v>#DIV/0!</v>
      </c>
      <c r="AR1323" s="1098" t="e">
        <f>IF($D$1212="",0,$D1323*Table3[[#This Row],[CF]]*chronic_consumption!$AM123/1000/$C$3)</f>
        <v>#DIV/0!</v>
      </c>
      <c r="AS1323" s="1098" t="e">
        <f>IF($D$1212="",0,$D1323*Table3[[#This Row],[CF]]*chronic_consumption!$AN123/1000/$C$3)</f>
        <v>#DIV/0!</v>
      </c>
      <c r="AT1323" s="1098" t="e">
        <f>IF($D$1212="",0,$D1323*Table3[[#This Row],[CF]]*chronic_consumption!$AO123/1000/$C$3)</f>
        <v>#DIV/0!</v>
      </c>
      <c r="AU1323" s="1099" t="e">
        <f t="shared" si="850"/>
        <v>#DIV/0!</v>
      </c>
      <c r="AV1323" s="1099" t="e">
        <f t="shared" si="850"/>
        <v>#DIV/0!</v>
      </c>
      <c r="AW1323" s="1099" t="e">
        <f t="shared" si="850"/>
        <v>#DIV/0!</v>
      </c>
      <c r="AX1323" s="1099" t="e">
        <f t="shared" si="850"/>
        <v>#DIV/0!</v>
      </c>
      <c r="AY1323" s="1099" t="e">
        <f t="shared" si="850"/>
        <v>#DIV/0!</v>
      </c>
      <c r="AZ1323" s="1091" t="s">
        <v>1012</v>
      </c>
      <c r="BA1323" s="1097" t="e">
        <f>IF(Table3[[#This Row],[max]]&lt;&gt;0,RANK(Table3[[#This Row],[max]],Table3[max],0),"")</f>
        <v>#DIV/0!</v>
      </c>
      <c r="BB1323" s="1096" t="e">
        <f t="shared" si="842"/>
        <v>#DIV/0!</v>
      </c>
      <c r="BC1323" s="1096" t="e">
        <f t="shared" ca="1" si="843"/>
        <v>#DIV/0!</v>
      </c>
      <c r="BD1323" s="1096" t="e">
        <f>IF(Table3[[#This Row],[max]]&gt;0,Table3[[#This Row],[Crop groups and examples of individual products within the groups to which the MRLs apply]],"")</f>
        <v>#DIV/0!</v>
      </c>
    </row>
    <row r="1324" spans="2:56" x14ac:dyDescent="0.2">
      <c r="B1324" s="23">
        <f t="shared" si="848"/>
        <v>220990</v>
      </c>
      <c r="C1324" s="23" t="str">
        <f t="shared" si="848"/>
        <v>Other bulb vegetables</v>
      </c>
      <c r="D1324" s="1084">
        <f>input_values!E124</f>
        <v>0</v>
      </c>
      <c r="E1324" s="1084">
        <f>input_values!F124</f>
        <v>0</v>
      </c>
      <c r="F1324" s="1085">
        <f>input_values!W124</f>
        <v>1</v>
      </c>
      <c r="G1324" s="1085" t="str">
        <f>IF(Table3[[#This Row],[CF]]&gt;0,CONCATENATE(IF(Table3[[#This Row],[LOQ]]="*","LOQ","MRL"),IF(input_values!G124&gt;0,"×CFrisk","")),"")</f>
        <v>MRL</v>
      </c>
      <c r="H1324" s="1087">
        <f>input_values!L124</f>
        <v>0</v>
      </c>
      <c r="I1324" s="1088">
        <f>input_values!D124</f>
        <v>0</v>
      </c>
      <c r="J1324" s="1098" t="e">
        <f>IF($D$1212="",0,$D1324*Table3[[#This Row],[CF]]*chronic_consumption!$E124/1000/$C$3)</f>
        <v>#DIV/0!</v>
      </c>
      <c r="K1324" s="1098" t="e">
        <f>IF($D$1212="",0,$D1324*Table3[[#This Row],[CF]]*chronic_consumption!$F124/1000/$C$3)</f>
        <v>#DIV/0!</v>
      </c>
      <c r="L1324" s="1098" t="e">
        <f>IF($D$1212="",0,$D1324*Table3[[#This Row],[CF]]*chronic_consumption!$G124/1000/$C$3)</f>
        <v>#DIV/0!</v>
      </c>
      <c r="M1324" s="1098" t="e">
        <f>IF($D$1212="",0,$D1324*Table3[[#This Row],[CF]]*chronic_consumption!$H124/1000/$C$3)</f>
        <v>#DIV/0!</v>
      </c>
      <c r="N1324" s="1098" t="e">
        <f>IF($D$1212="",0,$D1324*Table3[[#This Row],[CF]]*chronic_consumption!$I124/1000/$C$3)</f>
        <v>#DIV/0!</v>
      </c>
      <c r="O1324" s="1098" t="e">
        <f>IF($D$1212="",0,$D1324*Table3[[#This Row],[CF]]*chronic_consumption!$J124/1000/$C$3)</f>
        <v>#DIV/0!</v>
      </c>
      <c r="P1324" s="1098" t="e">
        <f>IF($D$1212="",0,$D1324*Table3[[#This Row],[CF]]*chronic_consumption!$K124/1000/$C$3)</f>
        <v>#DIV/0!</v>
      </c>
      <c r="Q1324" s="1098" t="e">
        <f>IF($D$1212="",0,$D1324*Table3[[#This Row],[CF]]*chronic_consumption!$L124/1000/$C$3)</f>
        <v>#DIV/0!</v>
      </c>
      <c r="R1324" s="1098" t="e">
        <f>IF($D$1212="",0,$D1324*Table3[[#This Row],[CF]]*chronic_consumption!$M124/1000/$C$3)</f>
        <v>#DIV/0!</v>
      </c>
      <c r="S1324" s="1098" t="e">
        <f>IF($D$1212="",0,$D1324*Table3[[#This Row],[CF]]*chronic_consumption!$N124/1000/$C$3)</f>
        <v>#DIV/0!</v>
      </c>
      <c r="T1324" s="1098" t="e">
        <f>IF($D$1212="",0,$D1324*Table3[[#This Row],[CF]]*chronic_consumption!$O124/1000/$C$3)</f>
        <v>#DIV/0!</v>
      </c>
      <c r="U1324" s="1098" t="e">
        <f>IF($D$1212="",0,$D1324*Table3[[#This Row],[CF]]*chronic_consumption!$P124/1000/$C$3)</f>
        <v>#DIV/0!</v>
      </c>
      <c r="V1324" s="1098" t="e">
        <f>IF($D$1212="",0,$D1324*Table3[[#This Row],[CF]]*chronic_consumption!$Q124/1000/$C$3)</f>
        <v>#DIV/0!</v>
      </c>
      <c r="W1324" s="1098" t="e">
        <f>IF($D$1212="",0,$D1324*Table3[[#This Row],[CF]]*chronic_consumption!$R124/1000/$C$3)</f>
        <v>#DIV/0!</v>
      </c>
      <c r="X1324" s="1098" t="e">
        <f>IF($D$1212="",0,$D1324*Table3[[#This Row],[CF]]*chronic_consumption!$S124/1000/$C$3)</f>
        <v>#DIV/0!</v>
      </c>
      <c r="Y1324" s="1098" t="e">
        <f>IF($D$1212="",0,$D1324*Table3[[#This Row],[CF]]*chronic_consumption!$T124/1000/$C$3)</f>
        <v>#DIV/0!</v>
      </c>
      <c r="Z1324" s="1098" t="e">
        <f>IF($D$1212="",0,$D1324*Table3[[#This Row],[CF]]*chronic_consumption!$U124/1000/$C$3)</f>
        <v>#DIV/0!</v>
      </c>
      <c r="AA1324" s="1098" t="e">
        <f>IF($D$1212="",0,$D1324*Table3[[#This Row],[CF]]*chronic_consumption!$V124/1000/$C$3)</f>
        <v>#DIV/0!</v>
      </c>
      <c r="AB1324" s="1098" t="e">
        <f>IF($D$1212="",0,$D1324*Table3[[#This Row],[CF]]*chronic_consumption!$W124/1000/$C$3)</f>
        <v>#DIV/0!</v>
      </c>
      <c r="AC1324" s="1098" t="e">
        <f>IF($D$1212="",0,$D1324*Table3[[#This Row],[CF]]*chronic_consumption!$X124/1000/$C$3)</f>
        <v>#DIV/0!</v>
      </c>
      <c r="AD1324" s="1098" t="e">
        <f>IF($D$1212="",0,$D1324*Table3[[#This Row],[CF]]*chronic_consumption!$Y124/1000/$C$3)</f>
        <v>#DIV/0!</v>
      </c>
      <c r="AE1324" s="1098" t="e">
        <f>IF($D$1212="",0,$D1324*Table3[[#This Row],[CF]]*chronic_consumption!$Z124/1000/$C$3)</f>
        <v>#DIV/0!</v>
      </c>
      <c r="AF1324" s="1098" t="e">
        <f>IF($D$1212="",0,$D1324*Table3[[#This Row],[CF]]*chronic_consumption!$AA124/1000/$C$3)</f>
        <v>#DIV/0!</v>
      </c>
      <c r="AG1324" s="1098" t="e">
        <f>IF($D$1212="",0,$D1324*Table3[[#This Row],[CF]]*chronic_consumption!$AB124/1000/$C$3)</f>
        <v>#DIV/0!</v>
      </c>
      <c r="AH1324" s="1098" t="e">
        <f>IF($D$1212="",0,$D1324*Table3[[#This Row],[CF]]*chronic_consumption!$AC124/1000/$C$3)</f>
        <v>#DIV/0!</v>
      </c>
      <c r="AI1324" s="1098" t="e">
        <f>IF($D$1212="",0,$D1324*Table3[[#This Row],[CF]]*chronic_consumption!$AD124/1000/$C$3)</f>
        <v>#DIV/0!</v>
      </c>
      <c r="AJ1324" s="1098" t="e">
        <f>IF($D$1212="",0,$D1324*Table3[[#This Row],[CF]]*chronic_consumption!$AE124/1000/$C$3)</f>
        <v>#DIV/0!</v>
      </c>
      <c r="AK1324" s="1098" t="e">
        <f>IF($D$1212="",0,$D1324*Table3[[#This Row],[CF]]*chronic_consumption!$AF124/1000/$C$3)</f>
        <v>#DIV/0!</v>
      </c>
      <c r="AL1324" s="1098" t="e">
        <f>IF($D$1212="",0,$D1324*Table3[[#This Row],[CF]]*chronic_consumption!$AG124/1000/$C$3)</f>
        <v>#DIV/0!</v>
      </c>
      <c r="AM1324" s="1098" t="e">
        <f>IF($D$1212="",0,$D1324*Table3[[#This Row],[CF]]*chronic_consumption!$AH124/1000/$C$3)</f>
        <v>#DIV/0!</v>
      </c>
      <c r="AN1324" s="1098" t="e">
        <f>IF($D$1212="",0,$D1324*Table3[[#This Row],[CF]]*chronic_consumption!$AI124/1000/$C$3)</f>
        <v>#DIV/0!</v>
      </c>
      <c r="AO1324" s="1098" t="e">
        <f>IF($D$1212="",0,$D1324*Table3[[#This Row],[CF]]*chronic_consumption!$AJ124/1000/$C$3)</f>
        <v>#DIV/0!</v>
      </c>
      <c r="AP1324" s="1098" t="e">
        <f>IF($D$1212="",0,$D1324*Table3[[#This Row],[CF]]*chronic_consumption!$AK124/1000/$C$3)</f>
        <v>#DIV/0!</v>
      </c>
      <c r="AQ1324" s="1098" t="e">
        <f>IF($D$1212="",0,$D1324*Table3[[#This Row],[CF]]*chronic_consumption!$AL124/1000/$C$3)</f>
        <v>#DIV/0!</v>
      </c>
      <c r="AR1324" s="1098" t="e">
        <f>IF($D$1212="",0,$D1324*Table3[[#This Row],[CF]]*chronic_consumption!$AM124/1000/$C$3)</f>
        <v>#DIV/0!</v>
      </c>
      <c r="AS1324" s="1098" t="e">
        <f>IF($D$1212="",0,$D1324*Table3[[#This Row],[CF]]*chronic_consumption!$AN124/1000/$C$3)</f>
        <v>#DIV/0!</v>
      </c>
      <c r="AT1324" s="1098" t="e">
        <f>IF($D$1212="",0,$D1324*Table3[[#This Row],[CF]]*chronic_consumption!$AO124/1000/$C$3)</f>
        <v>#DIV/0!</v>
      </c>
      <c r="AU1324" s="1099" t="e">
        <f t="shared" si="850"/>
        <v>#DIV/0!</v>
      </c>
      <c r="AV1324" s="1099" t="e">
        <f t="shared" si="850"/>
        <v>#DIV/0!</v>
      </c>
      <c r="AW1324" s="1099" t="e">
        <f t="shared" si="850"/>
        <v>#DIV/0!</v>
      </c>
      <c r="AX1324" s="1099" t="e">
        <f t="shared" si="850"/>
        <v>#DIV/0!</v>
      </c>
      <c r="AY1324" s="1099" t="e">
        <f t="shared" si="850"/>
        <v>#DIV/0!</v>
      </c>
      <c r="AZ1324" s="1091" t="s">
        <v>1012</v>
      </c>
      <c r="BA1324" s="1097" t="e">
        <f>IF(Table3[[#This Row],[max]]&lt;&gt;0,RANK(Table3[[#This Row],[max]],Table3[max],0),"")</f>
        <v>#DIV/0!</v>
      </c>
      <c r="BB1324" s="1096" t="e">
        <f t="shared" si="842"/>
        <v>#DIV/0!</v>
      </c>
      <c r="BC1324" s="1096" t="e">
        <f t="shared" ca="1" si="843"/>
        <v>#DIV/0!</v>
      </c>
      <c r="BD1324" s="1096" t="e">
        <f>IF(Table3[[#This Row],[max]]&gt;0,Table3[[#This Row],[Crop groups and examples of individual products within the groups to which the MRLs apply]],"")</f>
        <v>#DIV/0!</v>
      </c>
    </row>
    <row r="1325" spans="2:56" x14ac:dyDescent="0.2">
      <c r="B1325" s="131">
        <f t="shared" si="848"/>
        <v>230000</v>
      </c>
      <c r="C1325" s="131" t="str">
        <f t="shared" si="848"/>
        <v>Fruiting vegetables</v>
      </c>
      <c r="D1325" s="1084">
        <f>input_values!E125</f>
        <v>0</v>
      </c>
      <c r="E1325" s="1084">
        <f>input_values!F125</f>
        <v>0</v>
      </c>
      <c r="F1325" s="1085">
        <f>input_values!W125</f>
        <v>0</v>
      </c>
      <c r="G1325" s="1085" t="str">
        <f>IF(Table3[[#This Row],[CF]]&gt;0,CONCATENATE(IF(Table3[[#This Row],[LOQ]]="*","LOQ","MRL"),IF(input_values!G125&gt;0,"×CFrisk","")),"")</f>
        <v/>
      </c>
      <c r="H1325" s="1087">
        <f>input_values!L125</f>
        <v>0</v>
      </c>
      <c r="I1325" s="1088">
        <f>input_values!D125</f>
        <v>0</v>
      </c>
      <c r="J1325" s="1095" t="e">
        <f>IF($D$1212="",0,$D1325*Table3[[#This Row],[CF]]*chronic_consumption!$E125/1000/$C$3)</f>
        <v>#DIV/0!</v>
      </c>
      <c r="K1325" s="1095" t="e">
        <f>IF($D$1212="",0,$D1325*Table3[[#This Row],[CF]]*chronic_consumption!$F125/1000/$C$3)</f>
        <v>#DIV/0!</v>
      </c>
      <c r="L1325" s="1095" t="e">
        <f>IF($D$1212="",0,$D1325*Table3[[#This Row],[CF]]*chronic_consumption!$G125/1000/$C$3)</f>
        <v>#DIV/0!</v>
      </c>
      <c r="M1325" s="1095" t="e">
        <f>IF($D$1212="",0,$D1325*Table3[[#This Row],[CF]]*chronic_consumption!$H125/1000/$C$3)</f>
        <v>#DIV/0!</v>
      </c>
      <c r="N1325" s="1095" t="e">
        <f>IF($D$1212="",0,$D1325*Table3[[#This Row],[CF]]*chronic_consumption!$I125/1000/$C$3)</f>
        <v>#DIV/0!</v>
      </c>
      <c r="O1325" s="1095" t="e">
        <f>IF($D$1212="",0,$D1325*Table3[[#This Row],[CF]]*chronic_consumption!$J125/1000/$C$3)</f>
        <v>#DIV/0!</v>
      </c>
      <c r="P1325" s="1095" t="e">
        <f>IF($D$1212="",0,$D1325*Table3[[#This Row],[CF]]*chronic_consumption!$K125/1000/$C$3)</f>
        <v>#DIV/0!</v>
      </c>
      <c r="Q1325" s="1095" t="e">
        <f>IF($D$1212="",0,$D1325*Table3[[#This Row],[CF]]*chronic_consumption!$L125/1000/$C$3)</f>
        <v>#DIV/0!</v>
      </c>
      <c r="R1325" s="1095" t="e">
        <f>IF($D$1212="",0,$D1325*Table3[[#This Row],[CF]]*chronic_consumption!$M125/1000/$C$3)</f>
        <v>#DIV/0!</v>
      </c>
      <c r="S1325" s="1095" t="e">
        <f>IF($D$1212="",0,$D1325*Table3[[#This Row],[CF]]*chronic_consumption!$N125/1000/$C$3)</f>
        <v>#DIV/0!</v>
      </c>
      <c r="T1325" s="1095" t="e">
        <f>IF($D$1212="",0,$D1325*Table3[[#This Row],[CF]]*chronic_consumption!$O125/1000/$C$3)</f>
        <v>#DIV/0!</v>
      </c>
      <c r="U1325" s="1095" t="e">
        <f>IF($D$1212="",0,$D1325*Table3[[#This Row],[CF]]*chronic_consumption!$P125/1000/$C$3)</f>
        <v>#DIV/0!</v>
      </c>
      <c r="V1325" s="1095" t="e">
        <f>IF($D$1212="",0,$D1325*Table3[[#This Row],[CF]]*chronic_consumption!$Q125/1000/$C$3)</f>
        <v>#DIV/0!</v>
      </c>
      <c r="W1325" s="1095" t="e">
        <f>IF($D$1212="",0,$D1325*Table3[[#This Row],[CF]]*chronic_consumption!$R125/1000/$C$3)</f>
        <v>#DIV/0!</v>
      </c>
      <c r="X1325" s="1095" t="e">
        <f>IF($D$1212="",0,$D1325*Table3[[#This Row],[CF]]*chronic_consumption!$S125/1000/$C$3)</f>
        <v>#DIV/0!</v>
      </c>
      <c r="Y1325" s="1095" t="e">
        <f>IF($D$1212="",0,$D1325*Table3[[#This Row],[CF]]*chronic_consumption!$T125/1000/$C$3)</f>
        <v>#DIV/0!</v>
      </c>
      <c r="Z1325" s="1095" t="e">
        <f>IF($D$1212="",0,$D1325*Table3[[#This Row],[CF]]*chronic_consumption!$U125/1000/$C$3)</f>
        <v>#DIV/0!</v>
      </c>
      <c r="AA1325" s="1095" t="e">
        <f>IF($D$1212="",0,$D1325*Table3[[#This Row],[CF]]*chronic_consumption!$V125/1000/$C$3)</f>
        <v>#DIV/0!</v>
      </c>
      <c r="AB1325" s="1095" t="e">
        <f>IF($D$1212="",0,$D1325*Table3[[#This Row],[CF]]*chronic_consumption!$W125/1000/$C$3)</f>
        <v>#DIV/0!</v>
      </c>
      <c r="AC1325" s="1095" t="e">
        <f>IF($D$1212="",0,$D1325*Table3[[#This Row],[CF]]*chronic_consumption!$X125/1000/$C$3)</f>
        <v>#DIV/0!</v>
      </c>
      <c r="AD1325" s="1095" t="e">
        <f>IF($D$1212="",0,$D1325*Table3[[#This Row],[CF]]*chronic_consumption!$Y125/1000/$C$3)</f>
        <v>#DIV/0!</v>
      </c>
      <c r="AE1325" s="1095" t="e">
        <f>IF($D$1212="",0,$D1325*Table3[[#This Row],[CF]]*chronic_consumption!$Z125/1000/$C$3)</f>
        <v>#DIV/0!</v>
      </c>
      <c r="AF1325" s="1095" t="e">
        <f>IF($D$1212="",0,$D1325*Table3[[#This Row],[CF]]*chronic_consumption!$AA125/1000/$C$3)</f>
        <v>#DIV/0!</v>
      </c>
      <c r="AG1325" s="1095" t="e">
        <f>IF($D$1212="",0,$D1325*Table3[[#This Row],[CF]]*chronic_consumption!$AB125/1000/$C$3)</f>
        <v>#DIV/0!</v>
      </c>
      <c r="AH1325" s="1095" t="e">
        <f>IF($D$1212="",0,$D1325*Table3[[#This Row],[CF]]*chronic_consumption!$AC125/1000/$C$3)</f>
        <v>#DIV/0!</v>
      </c>
      <c r="AI1325" s="1095" t="e">
        <f>IF($D$1212="",0,$D1325*Table3[[#This Row],[CF]]*chronic_consumption!$AD125/1000/$C$3)</f>
        <v>#DIV/0!</v>
      </c>
      <c r="AJ1325" s="1095" t="e">
        <f>IF($D$1212="",0,$D1325*Table3[[#This Row],[CF]]*chronic_consumption!$AE125/1000/$C$3)</f>
        <v>#DIV/0!</v>
      </c>
      <c r="AK1325" s="1095" t="e">
        <f>IF($D$1212="",0,$D1325*Table3[[#This Row],[CF]]*chronic_consumption!$AF125/1000/$C$3)</f>
        <v>#DIV/0!</v>
      </c>
      <c r="AL1325" s="1095" t="e">
        <f>IF($D$1212="",0,$D1325*Table3[[#This Row],[CF]]*chronic_consumption!$AG125/1000/$C$3)</f>
        <v>#DIV/0!</v>
      </c>
      <c r="AM1325" s="1095" t="e">
        <f>IF($D$1212="",0,$D1325*Table3[[#This Row],[CF]]*chronic_consumption!$AH125/1000/$C$3)</f>
        <v>#DIV/0!</v>
      </c>
      <c r="AN1325" s="1095" t="e">
        <f>IF($D$1212="",0,$D1325*Table3[[#This Row],[CF]]*chronic_consumption!$AI125/1000/$C$3)</f>
        <v>#DIV/0!</v>
      </c>
      <c r="AO1325" s="1095" t="e">
        <f>IF($D$1212="",0,$D1325*Table3[[#This Row],[CF]]*chronic_consumption!$AJ125/1000/$C$3)</f>
        <v>#DIV/0!</v>
      </c>
      <c r="AP1325" s="1095" t="e">
        <f>IF($D$1212="",0,$D1325*Table3[[#This Row],[CF]]*chronic_consumption!$AK125/1000/$C$3)</f>
        <v>#DIV/0!</v>
      </c>
      <c r="AQ1325" s="1095" t="e">
        <f>IF($D$1212="",0,$D1325*Table3[[#This Row],[CF]]*chronic_consumption!$AL125/1000/$C$3)</f>
        <v>#DIV/0!</v>
      </c>
      <c r="AR1325" s="1095" t="e">
        <f>IF($D$1212="",0,$D1325*Table3[[#This Row],[CF]]*chronic_consumption!$AM125/1000/$C$3)</f>
        <v>#DIV/0!</v>
      </c>
      <c r="AS1325" s="1095" t="e">
        <f>IF($D$1212="",0,$D1325*Table3[[#This Row],[CF]]*chronic_consumption!$AN125/1000/$C$3)</f>
        <v>#DIV/0!</v>
      </c>
      <c r="AT1325" s="1095" t="e">
        <f>IF($D$1212="",0,$D1325*Table3[[#This Row],[CF]]*chronic_consumption!$AO125/1000/$C$3)</f>
        <v>#DIV/0!</v>
      </c>
      <c r="AU1325" s="1096" t="e">
        <f t="shared" si="850"/>
        <v>#DIV/0!</v>
      </c>
      <c r="AV1325" s="1096" t="e">
        <f t="shared" si="850"/>
        <v>#DIV/0!</v>
      </c>
      <c r="AW1325" s="1096" t="e">
        <f t="shared" si="850"/>
        <v>#DIV/0!</v>
      </c>
      <c r="AX1325" s="1096" t="e">
        <f t="shared" si="850"/>
        <v>#DIV/0!</v>
      </c>
      <c r="AY1325" s="1096" t="e">
        <f t="shared" si="850"/>
        <v>#DIV/0!</v>
      </c>
      <c r="AZ1325" s="1091" t="s">
        <v>1012</v>
      </c>
      <c r="BA1325" s="1097" t="e">
        <f>IF(Table3[[#This Row],[max]]&lt;&gt;0,RANK(Table3[[#This Row],[max]],Table3[max],0),"")</f>
        <v>#DIV/0!</v>
      </c>
      <c r="BB1325" s="1096" t="e">
        <f t="shared" si="842"/>
        <v>#DIV/0!</v>
      </c>
      <c r="BC1325" s="1096" t="e">
        <f t="shared" ca="1" si="843"/>
        <v>#DIV/0!</v>
      </c>
      <c r="BD1325" s="1096" t="e">
        <f>IF(Table3[[#This Row],[max]]&gt;0,Table3[[#This Row],[Crop groups and examples of individual products within the groups to which the MRLs apply]],"")</f>
        <v>#DIV/0!</v>
      </c>
    </row>
    <row r="1326" spans="2:56" x14ac:dyDescent="0.2">
      <c r="B1326" s="3">
        <f t="shared" si="848"/>
        <v>231000</v>
      </c>
      <c r="C1326" s="3" t="str">
        <f t="shared" si="848"/>
        <v>Solanacea</v>
      </c>
      <c r="D1326" s="1084">
        <f>input_values!E126</f>
        <v>0</v>
      </c>
      <c r="E1326" s="1084">
        <f>input_values!F126</f>
        <v>0</v>
      </c>
      <c r="F1326" s="1085">
        <f>input_values!W126</f>
        <v>0</v>
      </c>
      <c r="G1326" s="1085" t="str">
        <f>IF(Table3[[#This Row],[CF]]&gt;0,CONCATENATE(IF(Table3[[#This Row],[LOQ]]="*","LOQ","MRL"),IF(input_values!G126&gt;0,"×CFrisk","")),"")</f>
        <v/>
      </c>
      <c r="H1326" s="1087">
        <f>input_values!L126</f>
        <v>0</v>
      </c>
      <c r="I1326" s="1088">
        <f>input_values!D126</f>
        <v>0</v>
      </c>
      <c r="J1326" s="1100" t="e">
        <f>IF($D$1212="",0,$D1326*Table3[[#This Row],[CF]]*chronic_consumption!$E126/1000/$C$3)</f>
        <v>#DIV/0!</v>
      </c>
      <c r="K1326" s="1100" t="e">
        <f>IF($D$1212="",0,$D1326*Table3[[#This Row],[CF]]*chronic_consumption!$F126/1000/$C$3)</f>
        <v>#DIV/0!</v>
      </c>
      <c r="L1326" s="1100" t="e">
        <f>IF($D$1212="",0,$D1326*Table3[[#This Row],[CF]]*chronic_consumption!$G126/1000/$C$3)</f>
        <v>#DIV/0!</v>
      </c>
      <c r="M1326" s="1100" t="e">
        <f>IF($D$1212="",0,$D1326*Table3[[#This Row],[CF]]*chronic_consumption!$H126/1000/$C$3)</f>
        <v>#DIV/0!</v>
      </c>
      <c r="N1326" s="1100" t="e">
        <f>IF($D$1212="",0,$D1326*Table3[[#This Row],[CF]]*chronic_consumption!$I126/1000/$C$3)</f>
        <v>#DIV/0!</v>
      </c>
      <c r="O1326" s="1100" t="e">
        <f>IF($D$1212="",0,$D1326*Table3[[#This Row],[CF]]*chronic_consumption!$J126/1000/$C$3)</f>
        <v>#DIV/0!</v>
      </c>
      <c r="P1326" s="1100" t="e">
        <f>IF($D$1212="",0,$D1326*Table3[[#This Row],[CF]]*chronic_consumption!$K126/1000/$C$3)</f>
        <v>#DIV/0!</v>
      </c>
      <c r="Q1326" s="1100" t="e">
        <f>IF($D$1212="",0,$D1326*Table3[[#This Row],[CF]]*chronic_consumption!$L126/1000/$C$3)</f>
        <v>#DIV/0!</v>
      </c>
      <c r="R1326" s="1100" t="e">
        <f>IF($D$1212="",0,$D1326*Table3[[#This Row],[CF]]*chronic_consumption!$M126/1000/$C$3)</f>
        <v>#DIV/0!</v>
      </c>
      <c r="S1326" s="1100" t="e">
        <f>IF($D$1212="",0,$D1326*Table3[[#This Row],[CF]]*chronic_consumption!$N126/1000/$C$3)</f>
        <v>#DIV/0!</v>
      </c>
      <c r="T1326" s="1100" t="e">
        <f>IF($D$1212="",0,$D1326*Table3[[#This Row],[CF]]*chronic_consumption!$O126/1000/$C$3)</f>
        <v>#DIV/0!</v>
      </c>
      <c r="U1326" s="1100" t="e">
        <f>IF($D$1212="",0,$D1326*Table3[[#This Row],[CF]]*chronic_consumption!$P126/1000/$C$3)</f>
        <v>#DIV/0!</v>
      </c>
      <c r="V1326" s="1100" t="e">
        <f>IF($D$1212="",0,$D1326*Table3[[#This Row],[CF]]*chronic_consumption!$Q126/1000/$C$3)</f>
        <v>#DIV/0!</v>
      </c>
      <c r="W1326" s="1100" t="e">
        <f>IF($D$1212="",0,$D1326*Table3[[#This Row],[CF]]*chronic_consumption!$R126/1000/$C$3)</f>
        <v>#DIV/0!</v>
      </c>
      <c r="X1326" s="1100" t="e">
        <f>IF($D$1212="",0,$D1326*Table3[[#This Row],[CF]]*chronic_consumption!$S126/1000/$C$3)</f>
        <v>#DIV/0!</v>
      </c>
      <c r="Y1326" s="1100" t="e">
        <f>IF($D$1212="",0,$D1326*Table3[[#This Row],[CF]]*chronic_consumption!$T126/1000/$C$3)</f>
        <v>#DIV/0!</v>
      </c>
      <c r="Z1326" s="1100" t="e">
        <f>IF($D$1212="",0,$D1326*Table3[[#This Row],[CF]]*chronic_consumption!$U126/1000/$C$3)</f>
        <v>#DIV/0!</v>
      </c>
      <c r="AA1326" s="1100" t="e">
        <f>IF($D$1212="",0,$D1326*Table3[[#This Row],[CF]]*chronic_consumption!$V126/1000/$C$3)</f>
        <v>#DIV/0!</v>
      </c>
      <c r="AB1326" s="1100" t="e">
        <f>IF($D$1212="",0,$D1326*Table3[[#This Row],[CF]]*chronic_consumption!$W126/1000/$C$3)</f>
        <v>#DIV/0!</v>
      </c>
      <c r="AC1326" s="1100" t="e">
        <f>IF($D$1212="",0,$D1326*Table3[[#This Row],[CF]]*chronic_consumption!$X126/1000/$C$3)</f>
        <v>#DIV/0!</v>
      </c>
      <c r="AD1326" s="1100" t="e">
        <f>IF($D$1212="",0,$D1326*Table3[[#This Row],[CF]]*chronic_consumption!$Y126/1000/$C$3)</f>
        <v>#DIV/0!</v>
      </c>
      <c r="AE1326" s="1100" t="e">
        <f>IF($D$1212="",0,$D1326*Table3[[#This Row],[CF]]*chronic_consumption!$Z126/1000/$C$3)</f>
        <v>#DIV/0!</v>
      </c>
      <c r="AF1326" s="1100" t="e">
        <f>IF($D$1212="",0,$D1326*Table3[[#This Row],[CF]]*chronic_consumption!$AA126/1000/$C$3)</f>
        <v>#DIV/0!</v>
      </c>
      <c r="AG1326" s="1100" t="e">
        <f>IF($D$1212="",0,$D1326*Table3[[#This Row],[CF]]*chronic_consumption!$AB126/1000/$C$3)</f>
        <v>#DIV/0!</v>
      </c>
      <c r="AH1326" s="1100" t="e">
        <f>IF($D$1212="",0,$D1326*Table3[[#This Row],[CF]]*chronic_consumption!$AC126/1000/$C$3)</f>
        <v>#DIV/0!</v>
      </c>
      <c r="AI1326" s="1100" t="e">
        <f>IF($D$1212="",0,$D1326*Table3[[#This Row],[CF]]*chronic_consumption!$AD126/1000/$C$3)</f>
        <v>#DIV/0!</v>
      </c>
      <c r="AJ1326" s="1100" t="e">
        <f>IF($D$1212="",0,$D1326*Table3[[#This Row],[CF]]*chronic_consumption!$AE126/1000/$C$3)</f>
        <v>#DIV/0!</v>
      </c>
      <c r="AK1326" s="1100" t="e">
        <f>IF($D$1212="",0,$D1326*Table3[[#This Row],[CF]]*chronic_consumption!$AF126/1000/$C$3)</f>
        <v>#DIV/0!</v>
      </c>
      <c r="AL1326" s="1100" t="e">
        <f>IF($D$1212="",0,$D1326*Table3[[#This Row],[CF]]*chronic_consumption!$AG126/1000/$C$3)</f>
        <v>#DIV/0!</v>
      </c>
      <c r="AM1326" s="1100" t="e">
        <f>IF($D$1212="",0,$D1326*Table3[[#This Row],[CF]]*chronic_consumption!$AH126/1000/$C$3)</f>
        <v>#DIV/0!</v>
      </c>
      <c r="AN1326" s="1100" t="e">
        <f>IF($D$1212="",0,$D1326*Table3[[#This Row],[CF]]*chronic_consumption!$AI126/1000/$C$3)</f>
        <v>#DIV/0!</v>
      </c>
      <c r="AO1326" s="1100" t="e">
        <f>IF($D$1212="",0,$D1326*Table3[[#This Row],[CF]]*chronic_consumption!$AJ126/1000/$C$3)</f>
        <v>#DIV/0!</v>
      </c>
      <c r="AP1326" s="1100" t="e">
        <f>IF($D$1212="",0,$D1326*Table3[[#This Row],[CF]]*chronic_consumption!$AK126/1000/$C$3)</f>
        <v>#DIV/0!</v>
      </c>
      <c r="AQ1326" s="1100" t="e">
        <f>IF($D$1212="",0,$D1326*Table3[[#This Row],[CF]]*chronic_consumption!$AL126/1000/$C$3)</f>
        <v>#DIV/0!</v>
      </c>
      <c r="AR1326" s="1100" t="e">
        <f>IF($D$1212="",0,$D1326*Table3[[#This Row],[CF]]*chronic_consumption!$AM126/1000/$C$3)</f>
        <v>#DIV/0!</v>
      </c>
      <c r="AS1326" s="1100" t="e">
        <f>IF($D$1212="",0,$D1326*Table3[[#This Row],[CF]]*chronic_consumption!$AN126/1000/$C$3)</f>
        <v>#DIV/0!</v>
      </c>
      <c r="AT1326" s="1100" t="e">
        <f>IF($D$1212="",0,$D1326*Table3[[#This Row],[CF]]*chronic_consumption!$AO126/1000/$C$3)</f>
        <v>#DIV/0!</v>
      </c>
      <c r="AU1326" s="1101" t="e">
        <f t="shared" si="850"/>
        <v>#DIV/0!</v>
      </c>
      <c r="AV1326" s="1101" t="e">
        <f t="shared" si="850"/>
        <v>#DIV/0!</v>
      </c>
      <c r="AW1326" s="1101" t="e">
        <f t="shared" si="850"/>
        <v>#DIV/0!</v>
      </c>
      <c r="AX1326" s="1101" t="e">
        <f t="shared" si="850"/>
        <v>#DIV/0!</v>
      </c>
      <c r="AY1326" s="1101" t="e">
        <f t="shared" si="850"/>
        <v>#DIV/0!</v>
      </c>
      <c r="AZ1326" s="1091" t="s">
        <v>1012</v>
      </c>
      <c r="BA1326" s="1097" t="e">
        <f>IF(Table3[[#This Row],[max]]&lt;&gt;0,RANK(Table3[[#This Row],[max]],Table3[max],0),"")</f>
        <v>#DIV/0!</v>
      </c>
      <c r="BB1326" s="1096" t="e">
        <f t="shared" si="842"/>
        <v>#DIV/0!</v>
      </c>
      <c r="BC1326" s="1096" t="e">
        <f t="shared" ca="1" si="843"/>
        <v>#DIV/0!</v>
      </c>
      <c r="BD1326" s="1096" t="e">
        <f>IF(Table3[[#This Row],[max]]&gt;0,Table3[[#This Row],[Crop groups and examples of individual products within the groups to which the MRLs apply]],"")</f>
        <v>#DIV/0!</v>
      </c>
    </row>
    <row r="1327" spans="2:56" x14ac:dyDescent="0.2">
      <c r="B1327" s="23">
        <f t="shared" si="848"/>
        <v>231010</v>
      </c>
      <c r="C1327" s="23" t="str">
        <f t="shared" si="848"/>
        <v>Tomatoes</v>
      </c>
      <c r="D1327" s="1084">
        <f>input_values!E127</f>
        <v>0</v>
      </c>
      <c r="E1327" s="1084">
        <f>input_values!F127</f>
        <v>0</v>
      </c>
      <c r="F1327" s="1085">
        <f>input_values!W127</f>
        <v>1</v>
      </c>
      <c r="G1327" s="1085" t="str">
        <f>IF(Table3[[#This Row],[CF]]&gt;0,CONCATENATE(IF(Table3[[#This Row],[LOQ]]="*","LOQ","MRL"),IF(input_values!G127&gt;0,"×CFrisk","")),"")</f>
        <v>MRL</v>
      </c>
      <c r="H1327" s="1087">
        <f>input_values!L127</f>
        <v>0</v>
      </c>
      <c r="I1327" s="1088">
        <f>input_values!D127</f>
        <v>0</v>
      </c>
      <c r="J1327" s="1098" t="e">
        <f>IF($D$1212="",0,$D1327*Table3[[#This Row],[CF]]*chronic_consumption!$E127/1000/$C$3)</f>
        <v>#DIV/0!</v>
      </c>
      <c r="K1327" s="1098" t="e">
        <f>IF($D$1212="",0,$D1327*Table3[[#This Row],[CF]]*chronic_consumption!$F127/1000/$C$3)</f>
        <v>#DIV/0!</v>
      </c>
      <c r="L1327" s="1098" t="e">
        <f>IF($D$1212="",0,$D1327*Table3[[#This Row],[CF]]*chronic_consumption!$G127/1000/$C$3)</f>
        <v>#DIV/0!</v>
      </c>
      <c r="M1327" s="1098" t="e">
        <f>IF($D$1212="",0,$D1327*Table3[[#This Row],[CF]]*chronic_consumption!$H127/1000/$C$3)</f>
        <v>#DIV/0!</v>
      </c>
      <c r="N1327" s="1098" t="e">
        <f>IF($D$1212="",0,$D1327*Table3[[#This Row],[CF]]*chronic_consumption!$I127/1000/$C$3)</f>
        <v>#DIV/0!</v>
      </c>
      <c r="O1327" s="1098" t="e">
        <f>IF($D$1212="",0,$D1327*Table3[[#This Row],[CF]]*chronic_consumption!$J127/1000/$C$3)</f>
        <v>#DIV/0!</v>
      </c>
      <c r="P1327" s="1098" t="e">
        <f>IF($D$1212="",0,$D1327*Table3[[#This Row],[CF]]*chronic_consumption!$K127/1000/$C$3)</f>
        <v>#DIV/0!</v>
      </c>
      <c r="Q1327" s="1098" t="e">
        <f>IF($D$1212="",0,$D1327*Table3[[#This Row],[CF]]*chronic_consumption!$L127/1000/$C$3)</f>
        <v>#DIV/0!</v>
      </c>
      <c r="R1327" s="1098" t="e">
        <f>IF($D$1212="",0,$D1327*Table3[[#This Row],[CF]]*chronic_consumption!$M127/1000/$C$3)</f>
        <v>#DIV/0!</v>
      </c>
      <c r="S1327" s="1098" t="e">
        <f>IF($D$1212="",0,$D1327*Table3[[#This Row],[CF]]*chronic_consumption!$N127/1000/$C$3)</f>
        <v>#DIV/0!</v>
      </c>
      <c r="T1327" s="1098" t="e">
        <f>IF($D$1212="",0,$D1327*Table3[[#This Row],[CF]]*chronic_consumption!$O127/1000/$C$3)</f>
        <v>#DIV/0!</v>
      </c>
      <c r="U1327" s="1098" t="e">
        <f>IF($D$1212="",0,$D1327*Table3[[#This Row],[CF]]*chronic_consumption!$P127/1000/$C$3)</f>
        <v>#DIV/0!</v>
      </c>
      <c r="V1327" s="1098" t="e">
        <f>IF($D$1212="",0,$D1327*Table3[[#This Row],[CF]]*chronic_consumption!$Q127/1000/$C$3)</f>
        <v>#DIV/0!</v>
      </c>
      <c r="W1327" s="1098" t="e">
        <f>IF($D$1212="",0,$D1327*Table3[[#This Row],[CF]]*chronic_consumption!$R127/1000/$C$3)</f>
        <v>#DIV/0!</v>
      </c>
      <c r="X1327" s="1098" t="e">
        <f>IF($D$1212="",0,$D1327*Table3[[#This Row],[CF]]*chronic_consumption!$S127/1000/$C$3)</f>
        <v>#DIV/0!</v>
      </c>
      <c r="Y1327" s="1098" t="e">
        <f>IF($D$1212="",0,$D1327*Table3[[#This Row],[CF]]*chronic_consumption!$T127/1000/$C$3)</f>
        <v>#DIV/0!</v>
      </c>
      <c r="Z1327" s="1098" t="e">
        <f>IF($D$1212="",0,$D1327*Table3[[#This Row],[CF]]*chronic_consumption!$U127/1000/$C$3)</f>
        <v>#DIV/0!</v>
      </c>
      <c r="AA1327" s="1098" t="e">
        <f>IF($D$1212="",0,$D1327*Table3[[#This Row],[CF]]*chronic_consumption!$V127/1000/$C$3)</f>
        <v>#DIV/0!</v>
      </c>
      <c r="AB1327" s="1098" t="e">
        <f>IF($D$1212="",0,$D1327*Table3[[#This Row],[CF]]*chronic_consumption!$W127/1000/$C$3)</f>
        <v>#DIV/0!</v>
      </c>
      <c r="AC1327" s="1098" t="e">
        <f>IF($D$1212="",0,$D1327*Table3[[#This Row],[CF]]*chronic_consumption!$X127/1000/$C$3)</f>
        <v>#DIV/0!</v>
      </c>
      <c r="AD1327" s="1098" t="e">
        <f>IF($D$1212="",0,$D1327*Table3[[#This Row],[CF]]*chronic_consumption!$Y127/1000/$C$3)</f>
        <v>#DIV/0!</v>
      </c>
      <c r="AE1327" s="1098" t="e">
        <f>IF($D$1212="",0,$D1327*Table3[[#This Row],[CF]]*chronic_consumption!$Z127/1000/$C$3)</f>
        <v>#DIV/0!</v>
      </c>
      <c r="AF1327" s="1098" t="e">
        <f>IF($D$1212="",0,$D1327*Table3[[#This Row],[CF]]*chronic_consumption!$AA127/1000/$C$3)</f>
        <v>#DIV/0!</v>
      </c>
      <c r="AG1327" s="1098" t="e">
        <f>IF($D$1212="",0,$D1327*Table3[[#This Row],[CF]]*chronic_consumption!$AB127/1000/$C$3)</f>
        <v>#DIV/0!</v>
      </c>
      <c r="AH1327" s="1098" t="e">
        <f>IF($D$1212="",0,$D1327*Table3[[#This Row],[CF]]*chronic_consumption!$AC127/1000/$C$3)</f>
        <v>#DIV/0!</v>
      </c>
      <c r="AI1327" s="1098" t="e">
        <f>IF($D$1212="",0,$D1327*Table3[[#This Row],[CF]]*chronic_consumption!$AD127/1000/$C$3)</f>
        <v>#DIV/0!</v>
      </c>
      <c r="AJ1327" s="1098" t="e">
        <f>IF($D$1212="",0,$D1327*Table3[[#This Row],[CF]]*chronic_consumption!$AE127/1000/$C$3)</f>
        <v>#DIV/0!</v>
      </c>
      <c r="AK1327" s="1098" t="e">
        <f>IF($D$1212="",0,$D1327*Table3[[#This Row],[CF]]*chronic_consumption!$AF127/1000/$C$3)</f>
        <v>#DIV/0!</v>
      </c>
      <c r="AL1327" s="1098" t="e">
        <f>IF($D$1212="",0,$D1327*Table3[[#This Row],[CF]]*chronic_consumption!$AG127/1000/$C$3)</f>
        <v>#DIV/0!</v>
      </c>
      <c r="AM1327" s="1098" t="e">
        <f>IF($D$1212="",0,$D1327*Table3[[#This Row],[CF]]*chronic_consumption!$AH127/1000/$C$3)</f>
        <v>#DIV/0!</v>
      </c>
      <c r="AN1327" s="1098" t="e">
        <f>IF($D$1212="",0,$D1327*Table3[[#This Row],[CF]]*chronic_consumption!$AI127/1000/$C$3)</f>
        <v>#DIV/0!</v>
      </c>
      <c r="AO1327" s="1098" t="e">
        <f>IF($D$1212="",0,$D1327*Table3[[#This Row],[CF]]*chronic_consumption!$AJ127/1000/$C$3)</f>
        <v>#DIV/0!</v>
      </c>
      <c r="AP1327" s="1098" t="e">
        <f>IF($D$1212="",0,$D1327*Table3[[#This Row],[CF]]*chronic_consumption!$AK127/1000/$C$3)</f>
        <v>#DIV/0!</v>
      </c>
      <c r="AQ1327" s="1098" t="e">
        <f>IF($D$1212="",0,$D1327*Table3[[#This Row],[CF]]*chronic_consumption!$AL127/1000/$C$3)</f>
        <v>#DIV/0!</v>
      </c>
      <c r="AR1327" s="1098" t="e">
        <f>IF($D$1212="",0,$D1327*Table3[[#This Row],[CF]]*chronic_consumption!$AM127/1000/$C$3)</f>
        <v>#DIV/0!</v>
      </c>
      <c r="AS1327" s="1098" t="e">
        <f>IF($D$1212="",0,$D1327*Table3[[#This Row],[CF]]*chronic_consumption!$AN127/1000/$C$3)</f>
        <v>#DIV/0!</v>
      </c>
      <c r="AT1327" s="1098" t="e">
        <f>IF($D$1212="",0,$D1327*Table3[[#This Row],[CF]]*chronic_consumption!$AO127/1000/$C$3)</f>
        <v>#DIV/0!</v>
      </c>
      <c r="AU1327" s="1099" t="e">
        <f t="shared" si="850"/>
        <v>#DIV/0!</v>
      </c>
      <c r="AV1327" s="1099" t="e">
        <f t="shared" si="850"/>
        <v>#DIV/0!</v>
      </c>
      <c r="AW1327" s="1099" t="e">
        <f t="shared" si="850"/>
        <v>#DIV/0!</v>
      </c>
      <c r="AX1327" s="1099" t="e">
        <f t="shared" si="850"/>
        <v>#DIV/0!</v>
      </c>
      <c r="AY1327" s="1099" t="e">
        <f t="shared" si="850"/>
        <v>#DIV/0!</v>
      </c>
      <c r="AZ1327" s="1091" t="s">
        <v>1012</v>
      </c>
      <c r="BA1327" s="1097" t="e">
        <f>IF(Table3[[#This Row],[max]]&lt;&gt;0,RANK(Table3[[#This Row],[max]],Table3[max],0),"")</f>
        <v>#DIV/0!</v>
      </c>
      <c r="BB1327" s="1096" t="e">
        <f t="shared" si="842"/>
        <v>#DIV/0!</v>
      </c>
      <c r="BC1327" s="1096" t="e">
        <f t="shared" ca="1" si="843"/>
        <v>#DIV/0!</v>
      </c>
      <c r="BD1327" s="1096" t="e">
        <f>IF(Table3[[#This Row],[max]]&gt;0,Table3[[#This Row],[Crop groups and examples of individual products within the groups to which the MRLs apply]],"")</f>
        <v>#DIV/0!</v>
      </c>
    </row>
    <row r="1328" spans="2:56" x14ac:dyDescent="0.2">
      <c r="B1328" s="23">
        <f t="shared" si="848"/>
        <v>231020</v>
      </c>
      <c r="C1328" s="23" t="str">
        <f t="shared" si="848"/>
        <v>Sweet peppers/bell peppers</v>
      </c>
      <c r="D1328" s="1084">
        <f>input_values!E128</f>
        <v>0</v>
      </c>
      <c r="E1328" s="1084">
        <f>input_values!F128</f>
        <v>0</v>
      </c>
      <c r="F1328" s="1085">
        <f>input_values!W128</f>
        <v>1</v>
      </c>
      <c r="G1328" s="1085" t="str">
        <f>IF(Table3[[#This Row],[CF]]&gt;0,CONCATENATE(IF(Table3[[#This Row],[LOQ]]="*","LOQ","MRL"),IF(input_values!G128&gt;0,"×CFrisk","")),"")</f>
        <v>MRL</v>
      </c>
      <c r="H1328" s="1087">
        <f>input_values!L128</f>
        <v>0</v>
      </c>
      <c r="I1328" s="1088">
        <f>input_values!D128</f>
        <v>0</v>
      </c>
      <c r="J1328" s="1098" t="e">
        <f>IF($D$1212="",0,$D1328*Table3[[#This Row],[CF]]*chronic_consumption!$E128/1000/$C$3)</f>
        <v>#DIV/0!</v>
      </c>
      <c r="K1328" s="1098" t="e">
        <f>IF($D$1212="",0,$D1328*Table3[[#This Row],[CF]]*chronic_consumption!$F128/1000/$C$3)</f>
        <v>#DIV/0!</v>
      </c>
      <c r="L1328" s="1098" t="e">
        <f>IF($D$1212="",0,$D1328*Table3[[#This Row],[CF]]*chronic_consumption!$G128/1000/$C$3)</f>
        <v>#DIV/0!</v>
      </c>
      <c r="M1328" s="1098" t="e">
        <f>IF($D$1212="",0,$D1328*Table3[[#This Row],[CF]]*chronic_consumption!$H128/1000/$C$3)</f>
        <v>#DIV/0!</v>
      </c>
      <c r="N1328" s="1098" t="e">
        <f>IF($D$1212="",0,$D1328*Table3[[#This Row],[CF]]*chronic_consumption!$I128/1000/$C$3)</f>
        <v>#DIV/0!</v>
      </c>
      <c r="O1328" s="1098" t="e">
        <f>IF($D$1212="",0,$D1328*Table3[[#This Row],[CF]]*chronic_consumption!$J128/1000/$C$3)</f>
        <v>#DIV/0!</v>
      </c>
      <c r="P1328" s="1098" t="e">
        <f>IF($D$1212="",0,$D1328*Table3[[#This Row],[CF]]*chronic_consumption!$K128/1000/$C$3)</f>
        <v>#DIV/0!</v>
      </c>
      <c r="Q1328" s="1098" t="e">
        <f>IF($D$1212="",0,$D1328*Table3[[#This Row],[CF]]*chronic_consumption!$L128/1000/$C$3)</f>
        <v>#DIV/0!</v>
      </c>
      <c r="R1328" s="1098" t="e">
        <f>IF($D$1212="",0,$D1328*Table3[[#This Row],[CF]]*chronic_consumption!$M128/1000/$C$3)</f>
        <v>#DIV/0!</v>
      </c>
      <c r="S1328" s="1098" t="e">
        <f>IF($D$1212="",0,$D1328*Table3[[#This Row],[CF]]*chronic_consumption!$N128/1000/$C$3)</f>
        <v>#DIV/0!</v>
      </c>
      <c r="T1328" s="1098" t="e">
        <f>IF($D$1212="",0,$D1328*Table3[[#This Row],[CF]]*chronic_consumption!$O128/1000/$C$3)</f>
        <v>#DIV/0!</v>
      </c>
      <c r="U1328" s="1098" t="e">
        <f>IF($D$1212="",0,$D1328*Table3[[#This Row],[CF]]*chronic_consumption!$P128/1000/$C$3)</f>
        <v>#DIV/0!</v>
      </c>
      <c r="V1328" s="1098" t="e">
        <f>IF($D$1212="",0,$D1328*Table3[[#This Row],[CF]]*chronic_consumption!$Q128/1000/$C$3)</f>
        <v>#DIV/0!</v>
      </c>
      <c r="W1328" s="1098" t="e">
        <f>IF($D$1212="",0,$D1328*Table3[[#This Row],[CF]]*chronic_consumption!$R128/1000/$C$3)</f>
        <v>#DIV/0!</v>
      </c>
      <c r="X1328" s="1098" t="e">
        <f>IF($D$1212="",0,$D1328*Table3[[#This Row],[CF]]*chronic_consumption!$S128/1000/$C$3)</f>
        <v>#DIV/0!</v>
      </c>
      <c r="Y1328" s="1098" t="e">
        <f>IF($D$1212="",0,$D1328*Table3[[#This Row],[CF]]*chronic_consumption!$T128/1000/$C$3)</f>
        <v>#DIV/0!</v>
      </c>
      <c r="Z1328" s="1098" t="e">
        <f>IF($D$1212="",0,$D1328*Table3[[#This Row],[CF]]*chronic_consumption!$U128/1000/$C$3)</f>
        <v>#DIV/0!</v>
      </c>
      <c r="AA1328" s="1098" t="e">
        <f>IF($D$1212="",0,$D1328*Table3[[#This Row],[CF]]*chronic_consumption!$V128/1000/$C$3)</f>
        <v>#DIV/0!</v>
      </c>
      <c r="AB1328" s="1098" t="e">
        <f>IF($D$1212="",0,$D1328*Table3[[#This Row],[CF]]*chronic_consumption!$W128/1000/$C$3)</f>
        <v>#DIV/0!</v>
      </c>
      <c r="AC1328" s="1098" t="e">
        <f>IF($D$1212="",0,$D1328*Table3[[#This Row],[CF]]*chronic_consumption!$X128/1000/$C$3)</f>
        <v>#DIV/0!</v>
      </c>
      <c r="AD1328" s="1098" t="e">
        <f>IF($D$1212="",0,$D1328*Table3[[#This Row],[CF]]*chronic_consumption!$Y128/1000/$C$3)</f>
        <v>#DIV/0!</v>
      </c>
      <c r="AE1328" s="1098" t="e">
        <f>IF($D$1212="",0,$D1328*Table3[[#This Row],[CF]]*chronic_consumption!$Z128/1000/$C$3)</f>
        <v>#DIV/0!</v>
      </c>
      <c r="AF1328" s="1098" t="e">
        <f>IF($D$1212="",0,$D1328*Table3[[#This Row],[CF]]*chronic_consumption!$AA128/1000/$C$3)</f>
        <v>#DIV/0!</v>
      </c>
      <c r="AG1328" s="1098" t="e">
        <f>IF($D$1212="",0,$D1328*Table3[[#This Row],[CF]]*chronic_consumption!$AB128/1000/$C$3)</f>
        <v>#DIV/0!</v>
      </c>
      <c r="AH1328" s="1098" t="e">
        <f>IF($D$1212="",0,$D1328*Table3[[#This Row],[CF]]*chronic_consumption!$AC128/1000/$C$3)</f>
        <v>#DIV/0!</v>
      </c>
      <c r="AI1328" s="1098" t="e">
        <f>IF($D$1212="",0,$D1328*Table3[[#This Row],[CF]]*chronic_consumption!$AD128/1000/$C$3)</f>
        <v>#DIV/0!</v>
      </c>
      <c r="AJ1328" s="1098" t="e">
        <f>IF($D$1212="",0,$D1328*Table3[[#This Row],[CF]]*chronic_consumption!$AE128/1000/$C$3)</f>
        <v>#DIV/0!</v>
      </c>
      <c r="AK1328" s="1098" t="e">
        <f>IF($D$1212="",0,$D1328*Table3[[#This Row],[CF]]*chronic_consumption!$AF128/1000/$C$3)</f>
        <v>#DIV/0!</v>
      </c>
      <c r="AL1328" s="1098" t="e">
        <f>IF($D$1212="",0,$D1328*Table3[[#This Row],[CF]]*chronic_consumption!$AG128/1000/$C$3)</f>
        <v>#DIV/0!</v>
      </c>
      <c r="AM1328" s="1098" t="e">
        <f>IF($D$1212="",0,$D1328*Table3[[#This Row],[CF]]*chronic_consumption!$AH128/1000/$C$3)</f>
        <v>#DIV/0!</v>
      </c>
      <c r="AN1328" s="1098" t="e">
        <f>IF($D$1212="",0,$D1328*Table3[[#This Row],[CF]]*chronic_consumption!$AI128/1000/$C$3)</f>
        <v>#DIV/0!</v>
      </c>
      <c r="AO1328" s="1098" t="e">
        <f>IF($D$1212="",0,$D1328*Table3[[#This Row],[CF]]*chronic_consumption!$AJ128/1000/$C$3)</f>
        <v>#DIV/0!</v>
      </c>
      <c r="AP1328" s="1098" t="e">
        <f>IF($D$1212="",0,$D1328*Table3[[#This Row],[CF]]*chronic_consumption!$AK128/1000/$C$3)</f>
        <v>#DIV/0!</v>
      </c>
      <c r="AQ1328" s="1098" t="e">
        <f>IF($D$1212="",0,$D1328*Table3[[#This Row],[CF]]*chronic_consumption!$AL128/1000/$C$3)</f>
        <v>#DIV/0!</v>
      </c>
      <c r="AR1328" s="1098" t="e">
        <f>IF($D$1212="",0,$D1328*Table3[[#This Row],[CF]]*chronic_consumption!$AM128/1000/$C$3)</f>
        <v>#DIV/0!</v>
      </c>
      <c r="AS1328" s="1098" t="e">
        <f>IF($D$1212="",0,$D1328*Table3[[#This Row],[CF]]*chronic_consumption!$AN128/1000/$C$3)</f>
        <v>#DIV/0!</v>
      </c>
      <c r="AT1328" s="1098" t="e">
        <f>IF($D$1212="",0,$D1328*Table3[[#This Row],[CF]]*chronic_consumption!$AO128/1000/$C$3)</f>
        <v>#DIV/0!</v>
      </c>
      <c r="AU1328" s="1099" t="e">
        <f t="shared" si="850"/>
        <v>#DIV/0!</v>
      </c>
      <c r="AV1328" s="1099" t="e">
        <f t="shared" si="850"/>
        <v>#DIV/0!</v>
      </c>
      <c r="AW1328" s="1099" t="e">
        <f t="shared" si="850"/>
        <v>#DIV/0!</v>
      </c>
      <c r="AX1328" s="1099" t="e">
        <f t="shared" si="850"/>
        <v>#DIV/0!</v>
      </c>
      <c r="AY1328" s="1099" t="e">
        <f t="shared" si="850"/>
        <v>#DIV/0!</v>
      </c>
      <c r="AZ1328" s="1091" t="s">
        <v>1012</v>
      </c>
      <c r="BA1328" s="1097" t="e">
        <f>IF(Table3[[#This Row],[max]]&lt;&gt;0,RANK(Table3[[#This Row],[max]],Table3[max],0),"")</f>
        <v>#DIV/0!</v>
      </c>
      <c r="BB1328" s="1096" t="e">
        <f t="shared" si="842"/>
        <v>#DIV/0!</v>
      </c>
      <c r="BC1328" s="1096" t="e">
        <f t="shared" ca="1" si="843"/>
        <v>#DIV/0!</v>
      </c>
      <c r="BD1328" s="1096" t="e">
        <f>IF(Table3[[#This Row],[max]]&gt;0,Table3[[#This Row],[Crop groups and examples of individual products within the groups to which the MRLs apply]],"")</f>
        <v>#DIV/0!</v>
      </c>
    </row>
    <row r="1329" spans="2:56" x14ac:dyDescent="0.2">
      <c r="B1329" s="23">
        <f t="shared" si="848"/>
        <v>231030</v>
      </c>
      <c r="C1329" s="23" t="str">
        <f t="shared" si="848"/>
        <v>Aubergines/egg plants</v>
      </c>
      <c r="D1329" s="1084">
        <f>input_values!E129</f>
        <v>0</v>
      </c>
      <c r="E1329" s="1084">
        <f>input_values!F129</f>
        <v>0</v>
      </c>
      <c r="F1329" s="1085">
        <f>input_values!W129</f>
        <v>1</v>
      </c>
      <c r="G1329" s="1085" t="str">
        <f>IF(Table3[[#This Row],[CF]]&gt;0,CONCATENATE(IF(Table3[[#This Row],[LOQ]]="*","LOQ","MRL"),IF(input_values!G129&gt;0,"×CFrisk","")),"")</f>
        <v>MRL</v>
      </c>
      <c r="H1329" s="1087">
        <f>input_values!L129</f>
        <v>0</v>
      </c>
      <c r="I1329" s="1088">
        <f>input_values!D129</f>
        <v>0</v>
      </c>
      <c r="J1329" s="1098" t="e">
        <f>IF($D$1212="",0,$D1329*Table3[[#This Row],[CF]]*chronic_consumption!$E129/1000/$C$3)</f>
        <v>#DIV/0!</v>
      </c>
      <c r="K1329" s="1098" t="e">
        <f>IF($D$1212="",0,$D1329*Table3[[#This Row],[CF]]*chronic_consumption!$F129/1000/$C$3)</f>
        <v>#DIV/0!</v>
      </c>
      <c r="L1329" s="1098" t="e">
        <f>IF($D$1212="",0,$D1329*Table3[[#This Row],[CF]]*chronic_consumption!$G129/1000/$C$3)</f>
        <v>#DIV/0!</v>
      </c>
      <c r="M1329" s="1098" t="e">
        <f>IF($D$1212="",0,$D1329*Table3[[#This Row],[CF]]*chronic_consumption!$H129/1000/$C$3)</f>
        <v>#DIV/0!</v>
      </c>
      <c r="N1329" s="1098" t="e">
        <f>IF($D$1212="",0,$D1329*Table3[[#This Row],[CF]]*chronic_consumption!$I129/1000/$C$3)</f>
        <v>#DIV/0!</v>
      </c>
      <c r="O1329" s="1098" t="e">
        <f>IF($D$1212="",0,$D1329*Table3[[#This Row],[CF]]*chronic_consumption!$J129/1000/$C$3)</f>
        <v>#DIV/0!</v>
      </c>
      <c r="P1329" s="1098" t="e">
        <f>IF($D$1212="",0,$D1329*Table3[[#This Row],[CF]]*chronic_consumption!$K129/1000/$C$3)</f>
        <v>#DIV/0!</v>
      </c>
      <c r="Q1329" s="1098" t="e">
        <f>IF($D$1212="",0,$D1329*Table3[[#This Row],[CF]]*chronic_consumption!$L129/1000/$C$3)</f>
        <v>#DIV/0!</v>
      </c>
      <c r="R1329" s="1098" t="e">
        <f>IF($D$1212="",0,$D1329*Table3[[#This Row],[CF]]*chronic_consumption!$M129/1000/$C$3)</f>
        <v>#DIV/0!</v>
      </c>
      <c r="S1329" s="1098" t="e">
        <f>IF($D$1212="",0,$D1329*Table3[[#This Row],[CF]]*chronic_consumption!$N129/1000/$C$3)</f>
        <v>#DIV/0!</v>
      </c>
      <c r="T1329" s="1098" t="e">
        <f>IF($D$1212="",0,$D1329*Table3[[#This Row],[CF]]*chronic_consumption!$O129/1000/$C$3)</f>
        <v>#DIV/0!</v>
      </c>
      <c r="U1329" s="1098" t="e">
        <f>IF($D$1212="",0,$D1329*Table3[[#This Row],[CF]]*chronic_consumption!$P129/1000/$C$3)</f>
        <v>#DIV/0!</v>
      </c>
      <c r="V1329" s="1098" t="e">
        <f>IF($D$1212="",0,$D1329*Table3[[#This Row],[CF]]*chronic_consumption!$Q129/1000/$C$3)</f>
        <v>#DIV/0!</v>
      </c>
      <c r="W1329" s="1098" t="e">
        <f>IF($D$1212="",0,$D1329*Table3[[#This Row],[CF]]*chronic_consumption!$R129/1000/$C$3)</f>
        <v>#DIV/0!</v>
      </c>
      <c r="X1329" s="1098" t="e">
        <f>IF($D$1212="",0,$D1329*Table3[[#This Row],[CF]]*chronic_consumption!$S129/1000/$C$3)</f>
        <v>#DIV/0!</v>
      </c>
      <c r="Y1329" s="1098" t="e">
        <f>IF($D$1212="",0,$D1329*Table3[[#This Row],[CF]]*chronic_consumption!$T129/1000/$C$3)</f>
        <v>#DIV/0!</v>
      </c>
      <c r="Z1329" s="1098" t="e">
        <f>IF($D$1212="",0,$D1329*Table3[[#This Row],[CF]]*chronic_consumption!$U129/1000/$C$3)</f>
        <v>#DIV/0!</v>
      </c>
      <c r="AA1329" s="1098" t="e">
        <f>IF($D$1212="",0,$D1329*Table3[[#This Row],[CF]]*chronic_consumption!$V129/1000/$C$3)</f>
        <v>#DIV/0!</v>
      </c>
      <c r="AB1329" s="1098" t="e">
        <f>IF($D$1212="",0,$D1329*Table3[[#This Row],[CF]]*chronic_consumption!$W129/1000/$C$3)</f>
        <v>#DIV/0!</v>
      </c>
      <c r="AC1329" s="1098" t="e">
        <f>IF($D$1212="",0,$D1329*Table3[[#This Row],[CF]]*chronic_consumption!$X129/1000/$C$3)</f>
        <v>#DIV/0!</v>
      </c>
      <c r="AD1329" s="1098" t="e">
        <f>IF($D$1212="",0,$D1329*Table3[[#This Row],[CF]]*chronic_consumption!$Y129/1000/$C$3)</f>
        <v>#DIV/0!</v>
      </c>
      <c r="AE1329" s="1098" t="e">
        <f>IF($D$1212="",0,$D1329*Table3[[#This Row],[CF]]*chronic_consumption!$Z129/1000/$C$3)</f>
        <v>#DIV/0!</v>
      </c>
      <c r="AF1329" s="1098" t="e">
        <f>IF($D$1212="",0,$D1329*Table3[[#This Row],[CF]]*chronic_consumption!$AA129/1000/$C$3)</f>
        <v>#DIV/0!</v>
      </c>
      <c r="AG1329" s="1098" t="e">
        <f>IF($D$1212="",0,$D1329*Table3[[#This Row],[CF]]*chronic_consumption!$AB129/1000/$C$3)</f>
        <v>#DIV/0!</v>
      </c>
      <c r="AH1329" s="1098" t="e">
        <f>IF($D$1212="",0,$D1329*Table3[[#This Row],[CF]]*chronic_consumption!$AC129/1000/$C$3)</f>
        <v>#DIV/0!</v>
      </c>
      <c r="AI1329" s="1098" t="e">
        <f>IF($D$1212="",0,$D1329*Table3[[#This Row],[CF]]*chronic_consumption!$AD129/1000/$C$3)</f>
        <v>#DIV/0!</v>
      </c>
      <c r="AJ1329" s="1098" t="e">
        <f>IF($D$1212="",0,$D1329*Table3[[#This Row],[CF]]*chronic_consumption!$AE129/1000/$C$3)</f>
        <v>#DIV/0!</v>
      </c>
      <c r="AK1329" s="1098" t="e">
        <f>IF($D$1212="",0,$D1329*Table3[[#This Row],[CF]]*chronic_consumption!$AF129/1000/$C$3)</f>
        <v>#DIV/0!</v>
      </c>
      <c r="AL1329" s="1098" t="e">
        <f>IF($D$1212="",0,$D1329*Table3[[#This Row],[CF]]*chronic_consumption!$AG129/1000/$C$3)</f>
        <v>#DIV/0!</v>
      </c>
      <c r="AM1329" s="1098" t="e">
        <f>IF($D$1212="",0,$D1329*Table3[[#This Row],[CF]]*chronic_consumption!$AH129/1000/$C$3)</f>
        <v>#DIV/0!</v>
      </c>
      <c r="AN1329" s="1098" t="e">
        <f>IF($D$1212="",0,$D1329*Table3[[#This Row],[CF]]*chronic_consumption!$AI129/1000/$C$3)</f>
        <v>#DIV/0!</v>
      </c>
      <c r="AO1329" s="1098" t="e">
        <f>IF($D$1212="",0,$D1329*Table3[[#This Row],[CF]]*chronic_consumption!$AJ129/1000/$C$3)</f>
        <v>#DIV/0!</v>
      </c>
      <c r="AP1329" s="1098" t="e">
        <f>IF($D$1212="",0,$D1329*Table3[[#This Row],[CF]]*chronic_consumption!$AK129/1000/$C$3)</f>
        <v>#DIV/0!</v>
      </c>
      <c r="AQ1329" s="1098" t="e">
        <f>IF($D$1212="",0,$D1329*Table3[[#This Row],[CF]]*chronic_consumption!$AL129/1000/$C$3)</f>
        <v>#DIV/0!</v>
      </c>
      <c r="AR1329" s="1098" t="e">
        <f>IF($D$1212="",0,$D1329*Table3[[#This Row],[CF]]*chronic_consumption!$AM129/1000/$C$3)</f>
        <v>#DIV/0!</v>
      </c>
      <c r="AS1329" s="1098" t="e">
        <f>IF($D$1212="",0,$D1329*Table3[[#This Row],[CF]]*chronic_consumption!$AN129/1000/$C$3)</f>
        <v>#DIV/0!</v>
      </c>
      <c r="AT1329" s="1098" t="e">
        <f>IF($D$1212="",0,$D1329*Table3[[#This Row],[CF]]*chronic_consumption!$AO129/1000/$C$3)</f>
        <v>#DIV/0!</v>
      </c>
      <c r="AU1329" s="1099" t="e">
        <f t="shared" si="850"/>
        <v>#DIV/0!</v>
      </c>
      <c r="AV1329" s="1099" t="e">
        <f t="shared" si="850"/>
        <v>#DIV/0!</v>
      </c>
      <c r="AW1329" s="1099" t="e">
        <f t="shared" si="850"/>
        <v>#DIV/0!</v>
      </c>
      <c r="AX1329" s="1099" t="e">
        <f t="shared" si="850"/>
        <v>#DIV/0!</v>
      </c>
      <c r="AY1329" s="1099" t="e">
        <f t="shared" si="850"/>
        <v>#DIV/0!</v>
      </c>
      <c r="AZ1329" s="1091" t="s">
        <v>1012</v>
      </c>
      <c r="BA1329" s="1097" t="e">
        <f>IF(Table3[[#This Row],[max]]&lt;&gt;0,RANK(Table3[[#This Row],[max]],Table3[max],0),"")</f>
        <v>#DIV/0!</v>
      </c>
      <c r="BB1329" s="1096" t="e">
        <f t="shared" si="842"/>
        <v>#DIV/0!</v>
      </c>
      <c r="BC1329" s="1096" t="e">
        <f t="shared" ca="1" si="843"/>
        <v>#DIV/0!</v>
      </c>
      <c r="BD1329" s="1096" t="e">
        <f>IF(Table3[[#This Row],[max]]&gt;0,Table3[[#This Row],[Crop groups and examples of individual products within the groups to which the MRLs apply]],"")</f>
        <v>#DIV/0!</v>
      </c>
    </row>
    <row r="1330" spans="2:56" x14ac:dyDescent="0.2">
      <c r="B1330" s="23">
        <f t="shared" si="848"/>
        <v>231040</v>
      </c>
      <c r="C1330" s="23" t="str">
        <f t="shared" si="848"/>
        <v>Okra/lady’s fingers</v>
      </c>
      <c r="D1330" s="1084">
        <f>input_values!E130</f>
        <v>0</v>
      </c>
      <c r="E1330" s="1084">
        <f>input_values!F130</f>
        <v>0</v>
      </c>
      <c r="F1330" s="1085">
        <f>input_values!W130</f>
        <v>1</v>
      </c>
      <c r="G1330" s="1085" t="str">
        <f>IF(Table3[[#This Row],[CF]]&gt;0,CONCATENATE(IF(Table3[[#This Row],[LOQ]]="*","LOQ","MRL"),IF(input_values!G130&gt;0,"×CFrisk","")),"")</f>
        <v>MRL</v>
      </c>
      <c r="H1330" s="1087">
        <f>input_values!L130</f>
        <v>0</v>
      </c>
      <c r="I1330" s="1088">
        <f>input_values!D130</f>
        <v>0</v>
      </c>
      <c r="J1330" s="1098" t="e">
        <f>IF($D$1212="",0,$D1330*Table3[[#This Row],[CF]]*chronic_consumption!$E130/1000/$C$3)</f>
        <v>#DIV/0!</v>
      </c>
      <c r="K1330" s="1098" t="e">
        <f>IF($D$1212="",0,$D1330*Table3[[#This Row],[CF]]*chronic_consumption!$F130/1000/$C$3)</f>
        <v>#DIV/0!</v>
      </c>
      <c r="L1330" s="1098" t="e">
        <f>IF($D$1212="",0,$D1330*Table3[[#This Row],[CF]]*chronic_consumption!$G130/1000/$C$3)</f>
        <v>#DIV/0!</v>
      </c>
      <c r="M1330" s="1098" t="e">
        <f>IF($D$1212="",0,$D1330*Table3[[#This Row],[CF]]*chronic_consumption!$H130/1000/$C$3)</f>
        <v>#DIV/0!</v>
      </c>
      <c r="N1330" s="1098" t="e">
        <f>IF($D$1212="",0,$D1330*Table3[[#This Row],[CF]]*chronic_consumption!$I130/1000/$C$3)</f>
        <v>#DIV/0!</v>
      </c>
      <c r="O1330" s="1098" t="e">
        <f>IF($D$1212="",0,$D1330*Table3[[#This Row],[CF]]*chronic_consumption!$J130/1000/$C$3)</f>
        <v>#DIV/0!</v>
      </c>
      <c r="P1330" s="1098" t="e">
        <f>IF($D$1212="",0,$D1330*Table3[[#This Row],[CF]]*chronic_consumption!$K130/1000/$C$3)</f>
        <v>#DIV/0!</v>
      </c>
      <c r="Q1330" s="1098" t="e">
        <f>IF($D$1212="",0,$D1330*Table3[[#This Row],[CF]]*chronic_consumption!$L130/1000/$C$3)</f>
        <v>#DIV/0!</v>
      </c>
      <c r="R1330" s="1098" t="e">
        <f>IF($D$1212="",0,$D1330*Table3[[#This Row],[CF]]*chronic_consumption!$M130/1000/$C$3)</f>
        <v>#DIV/0!</v>
      </c>
      <c r="S1330" s="1098" t="e">
        <f>IF($D$1212="",0,$D1330*Table3[[#This Row],[CF]]*chronic_consumption!$N130/1000/$C$3)</f>
        <v>#DIV/0!</v>
      </c>
      <c r="T1330" s="1098" t="e">
        <f>IF($D$1212="",0,$D1330*Table3[[#This Row],[CF]]*chronic_consumption!$O130/1000/$C$3)</f>
        <v>#DIV/0!</v>
      </c>
      <c r="U1330" s="1098" t="e">
        <f>IF($D$1212="",0,$D1330*Table3[[#This Row],[CF]]*chronic_consumption!$P130/1000/$C$3)</f>
        <v>#DIV/0!</v>
      </c>
      <c r="V1330" s="1098" t="e">
        <f>IF($D$1212="",0,$D1330*Table3[[#This Row],[CF]]*chronic_consumption!$Q130/1000/$C$3)</f>
        <v>#DIV/0!</v>
      </c>
      <c r="W1330" s="1098" t="e">
        <f>IF($D$1212="",0,$D1330*Table3[[#This Row],[CF]]*chronic_consumption!$R130/1000/$C$3)</f>
        <v>#DIV/0!</v>
      </c>
      <c r="X1330" s="1098" t="e">
        <f>IF($D$1212="",0,$D1330*Table3[[#This Row],[CF]]*chronic_consumption!$S130/1000/$C$3)</f>
        <v>#DIV/0!</v>
      </c>
      <c r="Y1330" s="1098" t="e">
        <f>IF($D$1212="",0,$D1330*Table3[[#This Row],[CF]]*chronic_consumption!$T130/1000/$C$3)</f>
        <v>#DIV/0!</v>
      </c>
      <c r="Z1330" s="1098" t="e">
        <f>IF($D$1212="",0,$D1330*Table3[[#This Row],[CF]]*chronic_consumption!$U130/1000/$C$3)</f>
        <v>#DIV/0!</v>
      </c>
      <c r="AA1330" s="1098" t="e">
        <f>IF($D$1212="",0,$D1330*Table3[[#This Row],[CF]]*chronic_consumption!$V130/1000/$C$3)</f>
        <v>#DIV/0!</v>
      </c>
      <c r="AB1330" s="1098" t="e">
        <f>IF($D$1212="",0,$D1330*Table3[[#This Row],[CF]]*chronic_consumption!$W130/1000/$C$3)</f>
        <v>#DIV/0!</v>
      </c>
      <c r="AC1330" s="1098" t="e">
        <f>IF($D$1212="",0,$D1330*Table3[[#This Row],[CF]]*chronic_consumption!$X130/1000/$C$3)</f>
        <v>#DIV/0!</v>
      </c>
      <c r="AD1330" s="1098" t="e">
        <f>IF($D$1212="",0,$D1330*Table3[[#This Row],[CF]]*chronic_consumption!$Y130/1000/$C$3)</f>
        <v>#DIV/0!</v>
      </c>
      <c r="AE1330" s="1098" t="e">
        <f>IF($D$1212="",0,$D1330*Table3[[#This Row],[CF]]*chronic_consumption!$Z130/1000/$C$3)</f>
        <v>#DIV/0!</v>
      </c>
      <c r="AF1330" s="1098" t="e">
        <f>IF($D$1212="",0,$D1330*Table3[[#This Row],[CF]]*chronic_consumption!$AA130/1000/$C$3)</f>
        <v>#DIV/0!</v>
      </c>
      <c r="AG1330" s="1098" t="e">
        <f>IF($D$1212="",0,$D1330*Table3[[#This Row],[CF]]*chronic_consumption!$AB130/1000/$C$3)</f>
        <v>#DIV/0!</v>
      </c>
      <c r="AH1330" s="1098" t="e">
        <f>IF($D$1212="",0,$D1330*Table3[[#This Row],[CF]]*chronic_consumption!$AC130/1000/$C$3)</f>
        <v>#DIV/0!</v>
      </c>
      <c r="AI1330" s="1098" t="e">
        <f>IF($D$1212="",0,$D1330*Table3[[#This Row],[CF]]*chronic_consumption!$AD130/1000/$C$3)</f>
        <v>#DIV/0!</v>
      </c>
      <c r="AJ1330" s="1098" t="e">
        <f>IF($D$1212="",0,$D1330*Table3[[#This Row],[CF]]*chronic_consumption!$AE130/1000/$C$3)</f>
        <v>#DIV/0!</v>
      </c>
      <c r="AK1330" s="1098" t="e">
        <f>IF($D$1212="",0,$D1330*Table3[[#This Row],[CF]]*chronic_consumption!$AF130/1000/$C$3)</f>
        <v>#DIV/0!</v>
      </c>
      <c r="AL1330" s="1098" t="e">
        <f>IF($D$1212="",0,$D1330*Table3[[#This Row],[CF]]*chronic_consumption!$AG130/1000/$C$3)</f>
        <v>#DIV/0!</v>
      </c>
      <c r="AM1330" s="1098" t="e">
        <f>IF($D$1212="",0,$D1330*Table3[[#This Row],[CF]]*chronic_consumption!$AH130/1000/$C$3)</f>
        <v>#DIV/0!</v>
      </c>
      <c r="AN1330" s="1098" t="e">
        <f>IF($D$1212="",0,$D1330*Table3[[#This Row],[CF]]*chronic_consumption!$AI130/1000/$C$3)</f>
        <v>#DIV/0!</v>
      </c>
      <c r="AO1330" s="1098" t="e">
        <f>IF($D$1212="",0,$D1330*Table3[[#This Row],[CF]]*chronic_consumption!$AJ130/1000/$C$3)</f>
        <v>#DIV/0!</v>
      </c>
      <c r="AP1330" s="1098" t="e">
        <f>IF($D$1212="",0,$D1330*Table3[[#This Row],[CF]]*chronic_consumption!$AK130/1000/$C$3)</f>
        <v>#DIV/0!</v>
      </c>
      <c r="AQ1330" s="1098" t="e">
        <f>IF($D$1212="",0,$D1330*Table3[[#This Row],[CF]]*chronic_consumption!$AL130/1000/$C$3)</f>
        <v>#DIV/0!</v>
      </c>
      <c r="AR1330" s="1098" t="e">
        <f>IF($D$1212="",0,$D1330*Table3[[#This Row],[CF]]*chronic_consumption!$AM130/1000/$C$3)</f>
        <v>#DIV/0!</v>
      </c>
      <c r="AS1330" s="1098" t="e">
        <f>IF($D$1212="",0,$D1330*Table3[[#This Row],[CF]]*chronic_consumption!$AN130/1000/$C$3)</f>
        <v>#DIV/0!</v>
      </c>
      <c r="AT1330" s="1098" t="e">
        <f>IF($D$1212="",0,$D1330*Table3[[#This Row],[CF]]*chronic_consumption!$AO130/1000/$C$3)</f>
        <v>#DIV/0!</v>
      </c>
      <c r="AU1330" s="1099" t="e">
        <f t="shared" si="850"/>
        <v>#DIV/0!</v>
      </c>
      <c r="AV1330" s="1099" t="e">
        <f t="shared" si="850"/>
        <v>#DIV/0!</v>
      </c>
      <c r="AW1330" s="1099" t="e">
        <f t="shared" si="850"/>
        <v>#DIV/0!</v>
      </c>
      <c r="AX1330" s="1099" t="e">
        <f t="shared" si="850"/>
        <v>#DIV/0!</v>
      </c>
      <c r="AY1330" s="1099" t="e">
        <f t="shared" si="850"/>
        <v>#DIV/0!</v>
      </c>
      <c r="AZ1330" s="1091" t="s">
        <v>1012</v>
      </c>
      <c r="BA1330" s="1097" t="e">
        <f>IF(Table3[[#This Row],[max]]&lt;&gt;0,RANK(Table3[[#This Row],[max]],Table3[max],0),"")</f>
        <v>#DIV/0!</v>
      </c>
      <c r="BB1330" s="1096" t="e">
        <f t="shared" si="842"/>
        <v>#DIV/0!</v>
      </c>
      <c r="BC1330" s="1096" t="e">
        <f t="shared" ca="1" si="843"/>
        <v>#DIV/0!</v>
      </c>
      <c r="BD1330" s="1096" t="e">
        <f>IF(Table3[[#This Row],[max]]&gt;0,Table3[[#This Row],[Crop groups and examples of individual products within the groups to which the MRLs apply]],"")</f>
        <v>#DIV/0!</v>
      </c>
    </row>
    <row r="1331" spans="2:56" x14ac:dyDescent="0.2">
      <c r="B1331" s="23">
        <f t="shared" si="848"/>
        <v>231990</v>
      </c>
      <c r="C1331" s="23" t="str">
        <f t="shared" si="848"/>
        <v>Other solanacea</v>
      </c>
      <c r="D1331" s="1084">
        <f>input_values!E131</f>
        <v>0</v>
      </c>
      <c r="E1331" s="1084">
        <f>input_values!F131</f>
        <v>0</v>
      </c>
      <c r="F1331" s="1085">
        <f>input_values!W131</f>
        <v>1</v>
      </c>
      <c r="G1331" s="1085" t="str">
        <f>IF(Table3[[#This Row],[CF]]&gt;0,CONCATENATE(IF(Table3[[#This Row],[LOQ]]="*","LOQ","MRL"),IF(input_values!G131&gt;0,"×CFrisk","")),"")</f>
        <v>MRL</v>
      </c>
      <c r="H1331" s="1087">
        <f>input_values!L131</f>
        <v>0</v>
      </c>
      <c r="I1331" s="1088">
        <f>input_values!D131</f>
        <v>0</v>
      </c>
      <c r="J1331" s="1098" t="e">
        <f>IF($D$1212="",0,$D1331*Table3[[#This Row],[CF]]*chronic_consumption!$E131/1000/$C$3)</f>
        <v>#DIV/0!</v>
      </c>
      <c r="K1331" s="1098" t="e">
        <f>IF($D$1212="",0,$D1331*Table3[[#This Row],[CF]]*chronic_consumption!$F131/1000/$C$3)</f>
        <v>#DIV/0!</v>
      </c>
      <c r="L1331" s="1098" t="e">
        <f>IF($D$1212="",0,$D1331*Table3[[#This Row],[CF]]*chronic_consumption!$G131/1000/$C$3)</f>
        <v>#DIV/0!</v>
      </c>
      <c r="M1331" s="1098" t="e">
        <f>IF($D$1212="",0,$D1331*Table3[[#This Row],[CF]]*chronic_consumption!$H131/1000/$C$3)</f>
        <v>#DIV/0!</v>
      </c>
      <c r="N1331" s="1098" t="e">
        <f>IF($D$1212="",0,$D1331*Table3[[#This Row],[CF]]*chronic_consumption!$I131/1000/$C$3)</f>
        <v>#DIV/0!</v>
      </c>
      <c r="O1331" s="1098" t="e">
        <f>IF($D$1212="",0,$D1331*Table3[[#This Row],[CF]]*chronic_consumption!$J131/1000/$C$3)</f>
        <v>#DIV/0!</v>
      </c>
      <c r="P1331" s="1098" t="e">
        <f>IF($D$1212="",0,$D1331*Table3[[#This Row],[CF]]*chronic_consumption!$K131/1000/$C$3)</f>
        <v>#DIV/0!</v>
      </c>
      <c r="Q1331" s="1098" t="e">
        <f>IF($D$1212="",0,$D1331*Table3[[#This Row],[CF]]*chronic_consumption!$L131/1000/$C$3)</f>
        <v>#DIV/0!</v>
      </c>
      <c r="R1331" s="1098" t="e">
        <f>IF($D$1212="",0,$D1331*Table3[[#This Row],[CF]]*chronic_consumption!$M131/1000/$C$3)</f>
        <v>#DIV/0!</v>
      </c>
      <c r="S1331" s="1098" t="e">
        <f>IF($D$1212="",0,$D1331*Table3[[#This Row],[CF]]*chronic_consumption!$N131/1000/$C$3)</f>
        <v>#DIV/0!</v>
      </c>
      <c r="T1331" s="1098" t="e">
        <f>IF($D$1212="",0,$D1331*Table3[[#This Row],[CF]]*chronic_consumption!$O131/1000/$C$3)</f>
        <v>#DIV/0!</v>
      </c>
      <c r="U1331" s="1098" t="e">
        <f>IF($D$1212="",0,$D1331*Table3[[#This Row],[CF]]*chronic_consumption!$P131/1000/$C$3)</f>
        <v>#DIV/0!</v>
      </c>
      <c r="V1331" s="1098" t="e">
        <f>IF($D$1212="",0,$D1331*Table3[[#This Row],[CF]]*chronic_consumption!$Q131/1000/$C$3)</f>
        <v>#DIV/0!</v>
      </c>
      <c r="W1331" s="1098" t="e">
        <f>IF($D$1212="",0,$D1331*Table3[[#This Row],[CF]]*chronic_consumption!$R131/1000/$C$3)</f>
        <v>#DIV/0!</v>
      </c>
      <c r="X1331" s="1098" t="e">
        <f>IF($D$1212="",0,$D1331*Table3[[#This Row],[CF]]*chronic_consumption!$S131/1000/$C$3)</f>
        <v>#DIV/0!</v>
      </c>
      <c r="Y1331" s="1098" t="e">
        <f>IF($D$1212="",0,$D1331*Table3[[#This Row],[CF]]*chronic_consumption!$T131/1000/$C$3)</f>
        <v>#DIV/0!</v>
      </c>
      <c r="Z1331" s="1098" t="e">
        <f>IF($D$1212="",0,$D1331*Table3[[#This Row],[CF]]*chronic_consumption!$U131/1000/$C$3)</f>
        <v>#DIV/0!</v>
      </c>
      <c r="AA1331" s="1098" t="e">
        <f>IF($D$1212="",0,$D1331*Table3[[#This Row],[CF]]*chronic_consumption!$V131/1000/$C$3)</f>
        <v>#DIV/0!</v>
      </c>
      <c r="AB1331" s="1098" t="e">
        <f>IF($D$1212="",0,$D1331*Table3[[#This Row],[CF]]*chronic_consumption!$W131/1000/$C$3)</f>
        <v>#DIV/0!</v>
      </c>
      <c r="AC1331" s="1098" t="e">
        <f>IF($D$1212="",0,$D1331*Table3[[#This Row],[CF]]*chronic_consumption!$X131/1000/$C$3)</f>
        <v>#DIV/0!</v>
      </c>
      <c r="AD1331" s="1098" t="e">
        <f>IF($D$1212="",0,$D1331*Table3[[#This Row],[CF]]*chronic_consumption!$Y131/1000/$C$3)</f>
        <v>#DIV/0!</v>
      </c>
      <c r="AE1331" s="1098" t="e">
        <f>IF($D$1212="",0,$D1331*Table3[[#This Row],[CF]]*chronic_consumption!$Z131/1000/$C$3)</f>
        <v>#DIV/0!</v>
      </c>
      <c r="AF1331" s="1098" t="e">
        <f>IF($D$1212="",0,$D1331*Table3[[#This Row],[CF]]*chronic_consumption!$AA131/1000/$C$3)</f>
        <v>#DIV/0!</v>
      </c>
      <c r="AG1331" s="1098" t="e">
        <f>IF($D$1212="",0,$D1331*Table3[[#This Row],[CF]]*chronic_consumption!$AB131/1000/$C$3)</f>
        <v>#DIV/0!</v>
      </c>
      <c r="AH1331" s="1098" t="e">
        <f>IF($D$1212="",0,$D1331*Table3[[#This Row],[CF]]*chronic_consumption!$AC131/1000/$C$3)</f>
        <v>#DIV/0!</v>
      </c>
      <c r="AI1331" s="1098" t="e">
        <f>IF($D$1212="",0,$D1331*Table3[[#This Row],[CF]]*chronic_consumption!$AD131/1000/$C$3)</f>
        <v>#DIV/0!</v>
      </c>
      <c r="AJ1331" s="1098" t="e">
        <f>IF($D$1212="",0,$D1331*Table3[[#This Row],[CF]]*chronic_consumption!$AE131/1000/$C$3)</f>
        <v>#DIV/0!</v>
      </c>
      <c r="AK1331" s="1098" t="e">
        <f>IF($D$1212="",0,$D1331*Table3[[#This Row],[CF]]*chronic_consumption!$AF131/1000/$C$3)</f>
        <v>#DIV/0!</v>
      </c>
      <c r="AL1331" s="1098" t="e">
        <f>IF($D$1212="",0,$D1331*Table3[[#This Row],[CF]]*chronic_consumption!$AG131/1000/$C$3)</f>
        <v>#DIV/0!</v>
      </c>
      <c r="AM1331" s="1098" t="e">
        <f>IF($D$1212="",0,$D1331*Table3[[#This Row],[CF]]*chronic_consumption!$AH131/1000/$C$3)</f>
        <v>#DIV/0!</v>
      </c>
      <c r="AN1331" s="1098" t="e">
        <f>IF($D$1212="",0,$D1331*Table3[[#This Row],[CF]]*chronic_consumption!$AI131/1000/$C$3)</f>
        <v>#DIV/0!</v>
      </c>
      <c r="AO1331" s="1098" t="e">
        <f>IF($D$1212="",0,$D1331*Table3[[#This Row],[CF]]*chronic_consumption!$AJ131/1000/$C$3)</f>
        <v>#DIV/0!</v>
      </c>
      <c r="AP1331" s="1098" t="e">
        <f>IF($D$1212="",0,$D1331*Table3[[#This Row],[CF]]*chronic_consumption!$AK131/1000/$C$3)</f>
        <v>#DIV/0!</v>
      </c>
      <c r="AQ1331" s="1098" t="e">
        <f>IF($D$1212="",0,$D1331*Table3[[#This Row],[CF]]*chronic_consumption!$AL131/1000/$C$3)</f>
        <v>#DIV/0!</v>
      </c>
      <c r="AR1331" s="1098" t="e">
        <f>IF($D$1212="",0,$D1331*Table3[[#This Row],[CF]]*chronic_consumption!$AM131/1000/$C$3)</f>
        <v>#DIV/0!</v>
      </c>
      <c r="AS1331" s="1098" t="e">
        <f>IF($D$1212="",0,$D1331*Table3[[#This Row],[CF]]*chronic_consumption!$AN131/1000/$C$3)</f>
        <v>#DIV/0!</v>
      </c>
      <c r="AT1331" s="1098" t="e">
        <f>IF($D$1212="",0,$D1331*Table3[[#This Row],[CF]]*chronic_consumption!$AO131/1000/$C$3)</f>
        <v>#DIV/0!</v>
      </c>
      <c r="AU1331" s="1099" t="e">
        <f t="shared" si="850"/>
        <v>#DIV/0!</v>
      </c>
      <c r="AV1331" s="1099" t="e">
        <f t="shared" si="850"/>
        <v>#DIV/0!</v>
      </c>
      <c r="AW1331" s="1099" t="e">
        <f t="shared" si="850"/>
        <v>#DIV/0!</v>
      </c>
      <c r="AX1331" s="1099" t="e">
        <f t="shared" si="850"/>
        <v>#DIV/0!</v>
      </c>
      <c r="AY1331" s="1099" t="e">
        <f t="shared" si="850"/>
        <v>#DIV/0!</v>
      </c>
      <c r="AZ1331" s="1091" t="s">
        <v>1012</v>
      </c>
      <c r="BA1331" s="1097" t="e">
        <f>IF(Table3[[#This Row],[max]]&lt;&gt;0,RANK(Table3[[#This Row],[max]],Table3[max],0),"")</f>
        <v>#DIV/0!</v>
      </c>
      <c r="BB1331" s="1096" t="e">
        <f t="shared" si="842"/>
        <v>#DIV/0!</v>
      </c>
      <c r="BC1331" s="1096" t="e">
        <f t="shared" ca="1" si="843"/>
        <v>#DIV/0!</v>
      </c>
      <c r="BD1331" s="1096" t="e">
        <f>IF(Table3[[#This Row],[max]]&gt;0,Table3[[#This Row],[Crop groups and examples of individual products within the groups to which the MRLs apply]],"")</f>
        <v>#DIV/0!</v>
      </c>
    </row>
    <row r="1332" spans="2:56" x14ac:dyDescent="0.2">
      <c r="B1332" s="3">
        <f t="shared" ref="B1332:C1351" si="851">B132</f>
        <v>232000</v>
      </c>
      <c r="C1332" s="3" t="str">
        <f t="shared" si="851"/>
        <v>Cucurbits - edible peel</v>
      </c>
      <c r="D1332" s="1084">
        <f>input_values!E132</f>
        <v>0</v>
      </c>
      <c r="E1332" s="1084">
        <f>input_values!F132</f>
        <v>0</v>
      </c>
      <c r="F1332" s="1085">
        <f>input_values!W132</f>
        <v>0</v>
      </c>
      <c r="G1332" s="1085" t="str">
        <f>IF(Table3[[#This Row],[CF]]&gt;0,CONCATENATE(IF(Table3[[#This Row],[LOQ]]="*","LOQ","MRL"),IF(input_values!G132&gt;0,"×CFrisk","")),"")</f>
        <v/>
      </c>
      <c r="H1332" s="1087">
        <f>input_values!L132</f>
        <v>0</v>
      </c>
      <c r="I1332" s="1088">
        <f>input_values!D132</f>
        <v>0</v>
      </c>
      <c r="J1332" s="1100" t="e">
        <f>IF($D$1212="",0,$D1332*Table3[[#This Row],[CF]]*chronic_consumption!$E132/1000/$C$3)</f>
        <v>#DIV/0!</v>
      </c>
      <c r="K1332" s="1100" t="e">
        <f>IF($D$1212="",0,$D1332*Table3[[#This Row],[CF]]*chronic_consumption!$F132/1000/$C$3)</f>
        <v>#DIV/0!</v>
      </c>
      <c r="L1332" s="1100" t="e">
        <f>IF($D$1212="",0,$D1332*Table3[[#This Row],[CF]]*chronic_consumption!$G132/1000/$C$3)</f>
        <v>#DIV/0!</v>
      </c>
      <c r="M1332" s="1100" t="e">
        <f>IF($D$1212="",0,$D1332*Table3[[#This Row],[CF]]*chronic_consumption!$H132/1000/$C$3)</f>
        <v>#DIV/0!</v>
      </c>
      <c r="N1332" s="1100" t="e">
        <f>IF($D$1212="",0,$D1332*Table3[[#This Row],[CF]]*chronic_consumption!$I132/1000/$C$3)</f>
        <v>#DIV/0!</v>
      </c>
      <c r="O1332" s="1100" t="e">
        <f>IF($D$1212="",0,$D1332*Table3[[#This Row],[CF]]*chronic_consumption!$J132/1000/$C$3)</f>
        <v>#DIV/0!</v>
      </c>
      <c r="P1332" s="1100" t="e">
        <f>IF($D$1212="",0,$D1332*Table3[[#This Row],[CF]]*chronic_consumption!$K132/1000/$C$3)</f>
        <v>#DIV/0!</v>
      </c>
      <c r="Q1332" s="1100" t="e">
        <f>IF($D$1212="",0,$D1332*Table3[[#This Row],[CF]]*chronic_consumption!$L132/1000/$C$3)</f>
        <v>#DIV/0!</v>
      </c>
      <c r="R1332" s="1100" t="e">
        <f>IF($D$1212="",0,$D1332*Table3[[#This Row],[CF]]*chronic_consumption!$M132/1000/$C$3)</f>
        <v>#DIV/0!</v>
      </c>
      <c r="S1332" s="1100" t="e">
        <f>IF($D$1212="",0,$D1332*Table3[[#This Row],[CF]]*chronic_consumption!$N132/1000/$C$3)</f>
        <v>#DIV/0!</v>
      </c>
      <c r="T1332" s="1100" t="e">
        <f>IF($D$1212="",0,$D1332*Table3[[#This Row],[CF]]*chronic_consumption!$O132/1000/$C$3)</f>
        <v>#DIV/0!</v>
      </c>
      <c r="U1332" s="1100" t="e">
        <f>IF($D$1212="",0,$D1332*Table3[[#This Row],[CF]]*chronic_consumption!$P132/1000/$C$3)</f>
        <v>#DIV/0!</v>
      </c>
      <c r="V1332" s="1100" t="e">
        <f>IF($D$1212="",0,$D1332*Table3[[#This Row],[CF]]*chronic_consumption!$Q132/1000/$C$3)</f>
        <v>#DIV/0!</v>
      </c>
      <c r="W1332" s="1100" t="e">
        <f>IF($D$1212="",0,$D1332*Table3[[#This Row],[CF]]*chronic_consumption!$R132/1000/$C$3)</f>
        <v>#DIV/0!</v>
      </c>
      <c r="X1332" s="1100" t="e">
        <f>IF($D$1212="",0,$D1332*Table3[[#This Row],[CF]]*chronic_consumption!$S132/1000/$C$3)</f>
        <v>#DIV/0!</v>
      </c>
      <c r="Y1332" s="1100" t="e">
        <f>IF($D$1212="",0,$D1332*Table3[[#This Row],[CF]]*chronic_consumption!$T132/1000/$C$3)</f>
        <v>#DIV/0!</v>
      </c>
      <c r="Z1332" s="1100" t="e">
        <f>IF($D$1212="",0,$D1332*Table3[[#This Row],[CF]]*chronic_consumption!$U132/1000/$C$3)</f>
        <v>#DIV/0!</v>
      </c>
      <c r="AA1332" s="1100" t="e">
        <f>IF($D$1212="",0,$D1332*Table3[[#This Row],[CF]]*chronic_consumption!$V132/1000/$C$3)</f>
        <v>#DIV/0!</v>
      </c>
      <c r="AB1332" s="1100" t="e">
        <f>IF($D$1212="",0,$D1332*Table3[[#This Row],[CF]]*chronic_consumption!$W132/1000/$C$3)</f>
        <v>#DIV/0!</v>
      </c>
      <c r="AC1332" s="1100" t="e">
        <f>IF($D$1212="",0,$D1332*Table3[[#This Row],[CF]]*chronic_consumption!$X132/1000/$C$3)</f>
        <v>#DIV/0!</v>
      </c>
      <c r="AD1332" s="1100" t="e">
        <f>IF($D$1212="",0,$D1332*Table3[[#This Row],[CF]]*chronic_consumption!$Y132/1000/$C$3)</f>
        <v>#DIV/0!</v>
      </c>
      <c r="AE1332" s="1100" t="e">
        <f>IF($D$1212="",0,$D1332*Table3[[#This Row],[CF]]*chronic_consumption!$Z132/1000/$C$3)</f>
        <v>#DIV/0!</v>
      </c>
      <c r="AF1332" s="1100" t="e">
        <f>IF($D$1212="",0,$D1332*Table3[[#This Row],[CF]]*chronic_consumption!$AA132/1000/$C$3)</f>
        <v>#DIV/0!</v>
      </c>
      <c r="AG1332" s="1100" t="e">
        <f>IF($D$1212="",0,$D1332*Table3[[#This Row],[CF]]*chronic_consumption!$AB132/1000/$C$3)</f>
        <v>#DIV/0!</v>
      </c>
      <c r="AH1332" s="1100" t="e">
        <f>IF($D$1212="",0,$D1332*Table3[[#This Row],[CF]]*chronic_consumption!$AC132/1000/$C$3)</f>
        <v>#DIV/0!</v>
      </c>
      <c r="AI1332" s="1100" t="e">
        <f>IF($D$1212="",0,$D1332*Table3[[#This Row],[CF]]*chronic_consumption!$AD132/1000/$C$3)</f>
        <v>#DIV/0!</v>
      </c>
      <c r="AJ1332" s="1100" t="e">
        <f>IF($D$1212="",0,$D1332*Table3[[#This Row],[CF]]*chronic_consumption!$AE132/1000/$C$3)</f>
        <v>#DIV/0!</v>
      </c>
      <c r="AK1332" s="1100" t="e">
        <f>IF($D$1212="",0,$D1332*Table3[[#This Row],[CF]]*chronic_consumption!$AF132/1000/$C$3)</f>
        <v>#DIV/0!</v>
      </c>
      <c r="AL1332" s="1100" t="e">
        <f>IF($D$1212="",0,$D1332*Table3[[#This Row],[CF]]*chronic_consumption!$AG132/1000/$C$3)</f>
        <v>#DIV/0!</v>
      </c>
      <c r="AM1332" s="1100" t="e">
        <f>IF($D$1212="",0,$D1332*Table3[[#This Row],[CF]]*chronic_consumption!$AH132/1000/$C$3)</f>
        <v>#DIV/0!</v>
      </c>
      <c r="AN1332" s="1100" t="e">
        <f>IF($D$1212="",0,$D1332*Table3[[#This Row],[CF]]*chronic_consumption!$AI132/1000/$C$3)</f>
        <v>#DIV/0!</v>
      </c>
      <c r="AO1332" s="1100" t="e">
        <f>IF($D$1212="",0,$D1332*Table3[[#This Row],[CF]]*chronic_consumption!$AJ132/1000/$C$3)</f>
        <v>#DIV/0!</v>
      </c>
      <c r="AP1332" s="1100" t="e">
        <f>IF($D$1212="",0,$D1332*Table3[[#This Row],[CF]]*chronic_consumption!$AK132/1000/$C$3)</f>
        <v>#DIV/0!</v>
      </c>
      <c r="AQ1332" s="1100" t="e">
        <f>IF($D$1212="",0,$D1332*Table3[[#This Row],[CF]]*chronic_consumption!$AL132/1000/$C$3)</f>
        <v>#DIV/0!</v>
      </c>
      <c r="AR1332" s="1100" t="e">
        <f>IF($D$1212="",0,$D1332*Table3[[#This Row],[CF]]*chronic_consumption!$AM132/1000/$C$3)</f>
        <v>#DIV/0!</v>
      </c>
      <c r="AS1332" s="1100" t="e">
        <f>IF($D$1212="",0,$D1332*Table3[[#This Row],[CF]]*chronic_consumption!$AN132/1000/$C$3)</f>
        <v>#DIV/0!</v>
      </c>
      <c r="AT1332" s="1100" t="e">
        <f>IF($D$1212="",0,$D1332*Table3[[#This Row],[CF]]*chronic_consumption!$AO132/1000/$C$3)</f>
        <v>#DIV/0!</v>
      </c>
      <c r="AU1332" s="1101" t="e">
        <f t="shared" ref="AU1332:AY1341" si="852">IF(AU532="",0,IF(OR(1=RANK(AU932,AU$412:AU$790,0),(2=RANK(AU932,AU$412:AU$790,0))),AU932,AU532))</f>
        <v>#DIV/0!</v>
      </c>
      <c r="AV1332" s="1101" t="e">
        <f t="shared" si="852"/>
        <v>#DIV/0!</v>
      </c>
      <c r="AW1332" s="1101" t="e">
        <f t="shared" si="852"/>
        <v>#DIV/0!</v>
      </c>
      <c r="AX1332" s="1101" t="e">
        <f t="shared" si="852"/>
        <v>#DIV/0!</v>
      </c>
      <c r="AY1332" s="1101" t="e">
        <f t="shared" si="852"/>
        <v>#DIV/0!</v>
      </c>
      <c r="AZ1332" s="1091" t="s">
        <v>1012</v>
      </c>
      <c r="BA1332" s="1097" t="e">
        <f>IF(Table3[[#This Row],[max]]&lt;&gt;0,RANK(Table3[[#This Row],[max]],Table3[max],0),"")</f>
        <v>#DIV/0!</v>
      </c>
      <c r="BB1332" s="1096" t="e">
        <f t="shared" si="842"/>
        <v>#DIV/0!</v>
      </c>
      <c r="BC1332" s="1096" t="e">
        <f t="shared" ca="1" si="843"/>
        <v>#DIV/0!</v>
      </c>
      <c r="BD1332" s="1096" t="e">
        <f>IF(Table3[[#This Row],[max]]&gt;0,Table3[[#This Row],[Crop groups and examples of individual products within the groups to which the MRLs apply]],"")</f>
        <v>#DIV/0!</v>
      </c>
    </row>
    <row r="1333" spans="2:56" x14ac:dyDescent="0.2">
      <c r="B1333" s="23">
        <f t="shared" si="851"/>
        <v>232010</v>
      </c>
      <c r="C1333" s="23" t="str">
        <f t="shared" si="851"/>
        <v>Cucumbers</v>
      </c>
      <c r="D1333" s="1084">
        <f>input_values!E133</f>
        <v>0</v>
      </c>
      <c r="E1333" s="1084">
        <f>input_values!F133</f>
        <v>0</v>
      </c>
      <c r="F1333" s="1085">
        <f>input_values!W133</f>
        <v>1</v>
      </c>
      <c r="G1333" s="1085" t="str">
        <f>IF(Table3[[#This Row],[CF]]&gt;0,CONCATENATE(IF(Table3[[#This Row],[LOQ]]="*","LOQ","MRL"),IF(input_values!G133&gt;0,"×CFrisk","")),"")</f>
        <v>MRL</v>
      </c>
      <c r="H1333" s="1087">
        <f>input_values!L133</f>
        <v>0</v>
      </c>
      <c r="I1333" s="1088">
        <f>input_values!D133</f>
        <v>0</v>
      </c>
      <c r="J1333" s="1098" t="e">
        <f>IF($D$1212="",0,$D1333*Table3[[#This Row],[CF]]*chronic_consumption!$E133/1000/$C$3)</f>
        <v>#DIV/0!</v>
      </c>
      <c r="K1333" s="1098" t="e">
        <f>IF($D$1212="",0,$D1333*Table3[[#This Row],[CF]]*chronic_consumption!$F133/1000/$C$3)</f>
        <v>#DIV/0!</v>
      </c>
      <c r="L1333" s="1098" t="e">
        <f>IF($D$1212="",0,$D1333*Table3[[#This Row],[CF]]*chronic_consumption!$G133/1000/$C$3)</f>
        <v>#DIV/0!</v>
      </c>
      <c r="M1333" s="1098" t="e">
        <f>IF($D$1212="",0,$D1333*Table3[[#This Row],[CF]]*chronic_consumption!$H133/1000/$C$3)</f>
        <v>#DIV/0!</v>
      </c>
      <c r="N1333" s="1098" t="e">
        <f>IF($D$1212="",0,$D1333*Table3[[#This Row],[CF]]*chronic_consumption!$I133/1000/$C$3)</f>
        <v>#DIV/0!</v>
      </c>
      <c r="O1333" s="1098" t="e">
        <f>IF($D$1212="",0,$D1333*Table3[[#This Row],[CF]]*chronic_consumption!$J133/1000/$C$3)</f>
        <v>#DIV/0!</v>
      </c>
      <c r="P1333" s="1098" t="e">
        <f>IF($D$1212="",0,$D1333*Table3[[#This Row],[CF]]*chronic_consumption!$K133/1000/$C$3)</f>
        <v>#DIV/0!</v>
      </c>
      <c r="Q1333" s="1098" t="e">
        <f>IF($D$1212="",0,$D1333*Table3[[#This Row],[CF]]*chronic_consumption!$L133/1000/$C$3)</f>
        <v>#DIV/0!</v>
      </c>
      <c r="R1333" s="1098" t="e">
        <f>IF($D$1212="",0,$D1333*Table3[[#This Row],[CF]]*chronic_consumption!$M133/1000/$C$3)</f>
        <v>#DIV/0!</v>
      </c>
      <c r="S1333" s="1098" t="e">
        <f>IF($D$1212="",0,$D1333*Table3[[#This Row],[CF]]*chronic_consumption!$N133/1000/$C$3)</f>
        <v>#DIV/0!</v>
      </c>
      <c r="T1333" s="1098" t="e">
        <f>IF($D$1212="",0,$D1333*Table3[[#This Row],[CF]]*chronic_consumption!$O133/1000/$C$3)</f>
        <v>#DIV/0!</v>
      </c>
      <c r="U1333" s="1098" t="e">
        <f>IF($D$1212="",0,$D1333*Table3[[#This Row],[CF]]*chronic_consumption!$P133/1000/$C$3)</f>
        <v>#DIV/0!</v>
      </c>
      <c r="V1333" s="1098" t="e">
        <f>IF($D$1212="",0,$D1333*Table3[[#This Row],[CF]]*chronic_consumption!$Q133/1000/$C$3)</f>
        <v>#DIV/0!</v>
      </c>
      <c r="W1333" s="1098" t="e">
        <f>IF($D$1212="",0,$D1333*Table3[[#This Row],[CF]]*chronic_consumption!$R133/1000/$C$3)</f>
        <v>#DIV/0!</v>
      </c>
      <c r="X1333" s="1098" t="e">
        <f>IF($D$1212="",0,$D1333*Table3[[#This Row],[CF]]*chronic_consumption!$S133/1000/$C$3)</f>
        <v>#DIV/0!</v>
      </c>
      <c r="Y1333" s="1098" t="e">
        <f>IF($D$1212="",0,$D1333*Table3[[#This Row],[CF]]*chronic_consumption!$T133/1000/$C$3)</f>
        <v>#DIV/0!</v>
      </c>
      <c r="Z1333" s="1098" t="e">
        <f>IF($D$1212="",0,$D1333*Table3[[#This Row],[CF]]*chronic_consumption!$U133/1000/$C$3)</f>
        <v>#DIV/0!</v>
      </c>
      <c r="AA1333" s="1098" t="e">
        <f>IF($D$1212="",0,$D1333*Table3[[#This Row],[CF]]*chronic_consumption!$V133/1000/$C$3)</f>
        <v>#DIV/0!</v>
      </c>
      <c r="AB1333" s="1098" t="e">
        <f>IF($D$1212="",0,$D1333*Table3[[#This Row],[CF]]*chronic_consumption!$W133/1000/$C$3)</f>
        <v>#DIV/0!</v>
      </c>
      <c r="AC1333" s="1098" t="e">
        <f>IF($D$1212="",0,$D1333*Table3[[#This Row],[CF]]*chronic_consumption!$X133/1000/$C$3)</f>
        <v>#DIV/0!</v>
      </c>
      <c r="AD1333" s="1098" t="e">
        <f>IF($D$1212="",0,$D1333*Table3[[#This Row],[CF]]*chronic_consumption!$Y133/1000/$C$3)</f>
        <v>#DIV/0!</v>
      </c>
      <c r="AE1333" s="1098" t="e">
        <f>IF($D$1212="",0,$D1333*Table3[[#This Row],[CF]]*chronic_consumption!$Z133/1000/$C$3)</f>
        <v>#DIV/0!</v>
      </c>
      <c r="AF1333" s="1098" t="e">
        <f>IF($D$1212="",0,$D1333*Table3[[#This Row],[CF]]*chronic_consumption!$AA133/1000/$C$3)</f>
        <v>#DIV/0!</v>
      </c>
      <c r="AG1333" s="1098" t="e">
        <f>IF($D$1212="",0,$D1333*Table3[[#This Row],[CF]]*chronic_consumption!$AB133/1000/$C$3)</f>
        <v>#DIV/0!</v>
      </c>
      <c r="AH1333" s="1098" t="e">
        <f>IF($D$1212="",0,$D1333*Table3[[#This Row],[CF]]*chronic_consumption!$AC133/1000/$C$3)</f>
        <v>#DIV/0!</v>
      </c>
      <c r="AI1333" s="1098" t="e">
        <f>IF($D$1212="",0,$D1333*Table3[[#This Row],[CF]]*chronic_consumption!$AD133/1000/$C$3)</f>
        <v>#DIV/0!</v>
      </c>
      <c r="AJ1333" s="1098" t="e">
        <f>IF($D$1212="",0,$D1333*Table3[[#This Row],[CF]]*chronic_consumption!$AE133/1000/$C$3)</f>
        <v>#DIV/0!</v>
      </c>
      <c r="AK1333" s="1098" t="e">
        <f>IF($D$1212="",0,$D1333*Table3[[#This Row],[CF]]*chronic_consumption!$AF133/1000/$C$3)</f>
        <v>#DIV/0!</v>
      </c>
      <c r="AL1333" s="1098" t="e">
        <f>IF($D$1212="",0,$D1333*Table3[[#This Row],[CF]]*chronic_consumption!$AG133/1000/$C$3)</f>
        <v>#DIV/0!</v>
      </c>
      <c r="AM1333" s="1098" t="e">
        <f>IF($D$1212="",0,$D1333*Table3[[#This Row],[CF]]*chronic_consumption!$AH133/1000/$C$3)</f>
        <v>#DIV/0!</v>
      </c>
      <c r="AN1333" s="1098" t="e">
        <f>IF($D$1212="",0,$D1333*Table3[[#This Row],[CF]]*chronic_consumption!$AI133/1000/$C$3)</f>
        <v>#DIV/0!</v>
      </c>
      <c r="AO1333" s="1098" t="e">
        <f>IF($D$1212="",0,$D1333*Table3[[#This Row],[CF]]*chronic_consumption!$AJ133/1000/$C$3)</f>
        <v>#DIV/0!</v>
      </c>
      <c r="AP1333" s="1098" t="e">
        <f>IF($D$1212="",0,$D1333*Table3[[#This Row],[CF]]*chronic_consumption!$AK133/1000/$C$3)</f>
        <v>#DIV/0!</v>
      </c>
      <c r="AQ1333" s="1098" t="e">
        <f>IF($D$1212="",0,$D1333*Table3[[#This Row],[CF]]*chronic_consumption!$AL133/1000/$C$3)</f>
        <v>#DIV/0!</v>
      </c>
      <c r="AR1333" s="1098" t="e">
        <f>IF($D$1212="",0,$D1333*Table3[[#This Row],[CF]]*chronic_consumption!$AM133/1000/$C$3)</f>
        <v>#DIV/0!</v>
      </c>
      <c r="AS1333" s="1098" t="e">
        <f>IF($D$1212="",0,$D1333*Table3[[#This Row],[CF]]*chronic_consumption!$AN133/1000/$C$3)</f>
        <v>#DIV/0!</v>
      </c>
      <c r="AT1333" s="1098" t="e">
        <f>IF($D$1212="",0,$D1333*Table3[[#This Row],[CF]]*chronic_consumption!$AO133/1000/$C$3)</f>
        <v>#DIV/0!</v>
      </c>
      <c r="AU1333" s="1099" t="e">
        <f t="shared" si="852"/>
        <v>#DIV/0!</v>
      </c>
      <c r="AV1333" s="1099" t="e">
        <f t="shared" si="852"/>
        <v>#DIV/0!</v>
      </c>
      <c r="AW1333" s="1099" t="e">
        <f t="shared" si="852"/>
        <v>#DIV/0!</v>
      </c>
      <c r="AX1333" s="1099" t="e">
        <f t="shared" si="852"/>
        <v>#DIV/0!</v>
      </c>
      <c r="AY1333" s="1099" t="e">
        <f t="shared" si="852"/>
        <v>#DIV/0!</v>
      </c>
      <c r="AZ1333" s="1091" t="s">
        <v>1012</v>
      </c>
      <c r="BA1333" s="1097" t="e">
        <f>IF(Table3[[#This Row],[max]]&lt;&gt;0,RANK(Table3[[#This Row],[max]],Table3[max],0),"")</f>
        <v>#DIV/0!</v>
      </c>
      <c r="BB1333" s="1096" t="e">
        <f t="shared" si="842"/>
        <v>#DIV/0!</v>
      </c>
      <c r="BC1333" s="1096" t="e">
        <f t="shared" ca="1" si="843"/>
        <v>#DIV/0!</v>
      </c>
      <c r="BD1333" s="1096" t="e">
        <f>IF(Table3[[#This Row],[max]]&gt;0,Table3[[#This Row],[Crop groups and examples of individual products within the groups to which the MRLs apply]],"")</f>
        <v>#DIV/0!</v>
      </c>
    </row>
    <row r="1334" spans="2:56" x14ac:dyDescent="0.2">
      <c r="B1334" s="23">
        <f t="shared" si="851"/>
        <v>232020</v>
      </c>
      <c r="C1334" s="23" t="str">
        <f t="shared" si="851"/>
        <v>Gherkins</v>
      </c>
      <c r="D1334" s="1084">
        <f>input_values!E134</f>
        <v>0</v>
      </c>
      <c r="E1334" s="1084">
        <f>input_values!F134</f>
        <v>0</v>
      </c>
      <c r="F1334" s="1085">
        <f>input_values!W134</f>
        <v>1</v>
      </c>
      <c r="G1334" s="1085" t="str">
        <f>IF(Table3[[#This Row],[CF]]&gt;0,CONCATENATE(IF(Table3[[#This Row],[LOQ]]="*","LOQ","MRL"),IF(input_values!G134&gt;0,"×CFrisk","")),"")</f>
        <v>MRL</v>
      </c>
      <c r="H1334" s="1087">
        <f>input_values!L134</f>
        <v>0</v>
      </c>
      <c r="I1334" s="1088">
        <f>input_values!D134</f>
        <v>0</v>
      </c>
      <c r="J1334" s="1098" t="e">
        <f>IF($D$1212="",0,$D1334*Table3[[#This Row],[CF]]*chronic_consumption!$E134/1000/$C$3)</f>
        <v>#DIV/0!</v>
      </c>
      <c r="K1334" s="1098" t="e">
        <f>IF($D$1212="",0,$D1334*Table3[[#This Row],[CF]]*chronic_consumption!$F134/1000/$C$3)</f>
        <v>#DIV/0!</v>
      </c>
      <c r="L1334" s="1098" t="e">
        <f>IF($D$1212="",0,$D1334*Table3[[#This Row],[CF]]*chronic_consumption!$G134/1000/$C$3)</f>
        <v>#DIV/0!</v>
      </c>
      <c r="M1334" s="1098" t="e">
        <f>IF($D$1212="",0,$D1334*Table3[[#This Row],[CF]]*chronic_consumption!$H134/1000/$C$3)</f>
        <v>#DIV/0!</v>
      </c>
      <c r="N1334" s="1098" t="e">
        <f>IF($D$1212="",0,$D1334*Table3[[#This Row],[CF]]*chronic_consumption!$I134/1000/$C$3)</f>
        <v>#DIV/0!</v>
      </c>
      <c r="O1334" s="1098" t="e">
        <f>IF($D$1212="",0,$D1334*Table3[[#This Row],[CF]]*chronic_consumption!$J134/1000/$C$3)</f>
        <v>#DIV/0!</v>
      </c>
      <c r="P1334" s="1098" t="e">
        <f>IF($D$1212="",0,$D1334*Table3[[#This Row],[CF]]*chronic_consumption!$K134/1000/$C$3)</f>
        <v>#DIV/0!</v>
      </c>
      <c r="Q1334" s="1098" t="e">
        <f>IF($D$1212="",0,$D1334*Table3[[#This Row],[CF]]*chronic_consumption!$L134/1000/$C$3)</f>
        <v>#DIV/0!</v>
      </c>
      <c r="R1334" s="1098" t="e">
        <f>IF($D$1212="",0,$D1334*Table3[[#This Row],[CF]]*chronic_consumption!$M134/1000/$C$3)</f>
        <v>#DIV/0!</v>
      </c>
      <c r="S1334" s="1098" t="e">
        <f>IF($D$1212="",0,$D1334*Table3[[#This Row],[CF]]*chronic_consumption!$N134/1000/$C$3)</f>
        <v>#DIV/0!</v>
      </c>
      <c r="T1334" s="1098" t="e">
        <f>IF($D$1212="",0,$D1334*Table3[[#This Row],[CF]]*chronic_consumption!$O134/1000/$C$3)</f>
        <v>#DIV/0!</v>
      </c>
      <c r="U1334" s="1098" t="e">
        <f>IF($D$1212="",0,$D1334*Table3[[#This Row],[CF]]*chronic_consumption!$P134/1000/$C$3)</f>
        <v>#DIV/0!</v>
      </c>
      <c r="V1334" s="1098" t="e">
        <f>IF($D$1212="",0,$D1334*Table3[[#This Row],[CF]]*chronic_consumption!$Q134/1000/$C$3)</f>
        <v>#DIV/0!</v>
      </c>
      <c r="W1334" s="1098" t="e">
        <f>IF($D$1212="",0,$D1334*Table3[[#This Row],[CF]]*chronic_consumption!$R134/1000/$C$3)</f>
        <v>#DIV/0!</v>
      </c>
      <c r="X1334" s="1098" t="e">
        <f>IF($D$1212="",0,$D1334*Table3[[#This Row],[CF]]*chronic_consumption!$S134/1000/$C$3)</f>
        <v>#DIV/0!</v>
      </c>
      <c r="Y1334" s="1098" t="e">
        <f>IF($D$1212="",0,$D1334*Table3[[#This Row],[CF]]*chronic_consumption!$T134/1000/$C$3)</f>
        <v>#DIV/0!</v>
      </c>
      <c r="Z1334" s="1098" t="e">
        <f>IF($D$1212="",0,$D1334*Table3[[#This Row],[CF]]*chronic_consumption!$U134/1000/$C$3)</f>
        <v>#DIV/0!</v>
      </c>
      <c r="AA1334" s="1098" t="e">
        <f>IF($D$1212="",0,$D1334*Table3[[#This Row],[CF]]*chronic_consumption!$V134/1000/$C$3)</f>
        <v>#DIV/0!</v>
      </c>
      <c r="AB1334" s="1098" t="e">
        <f>IF($D$1212="",0,$D1334*Table3[[#This Row],[CF]]*chronic_consumption!$W134/1000/$C$3)</f>
        <v>#DIV/0!</v>
      </c>
      <c r="AC1334" s="1098" t="e">
        <f>IF($D$1212="",0,$D1334*Table3[[#This Row],[CF]]*chronic_consumption!$X134/1000/$C$3)</f>
        <v>#DIV/0!</v>
      </c>
      <c r="AD1334" s="1098" t="e">
        <f>IF($D$1212="",0,$D1334*Table3[[#This Row],[CF]]*chronic_consumption!$Y134/1000/$C$3)</f>
        <v>#DIV/0!</v>
      </c>
      <c r="AE1334" s="1098" t="e">
        <f>IF($D$1212="",0,$D1334*Table3[[#This Row],[CF]]*chronic_consumption!$Z134/1000/$C$3)</f>
        <v>#DIV/0!</v>
      </c>
      <c r="AF1334" s="1098" t="e">
        <f>IF($D$1212="",0,$D1334*Table3[[#This Row],[CF]]*chronic_consumption!$AA134/1000/$C$3)</f>
        <v>#DIV/0!</v>
      </c>
      <c r="AG1334" s="1098" t="e">
        <f>IF($D$1212="",0,$D1334*Table3[[#This Row],[CF]]*chronic_consumption!$AB134/1000/$C$3)</f>
        <v>#DIV/0!</v>
      </c>
      <c r="AH1334" s="1098" t="e">
        <f>IF($D$1212="",0,$D1334*Table3[[#This Row],[CF]]*chronic_consumption!$AC134/1000/$C$3)</f>
        <v>#DIV/0!</v>
      </c>
      <c r="AI1334" s="1098" t="e">
        <f>IF($D$1212="",0,$D1334*Table3[[#This Row],[CF]]*chronic_consumption!$AD134/1000/$C$3)</f>
        <v>#DIV/0!</v>
      </c>
      <c r="AJ1334" s="1098" t="e">
        <f>IF($D$1212="",0,$D1334*Table3[[#This Row],[CF]]*chronic_consumption!$AE134/1000/$C$3)</f>
        <v>#DIV/0!</v>
      </c>
      <c r="AK1334" s="1098" t="e">
        <f>IF($D$1212="",0,$D1334*Table3[[#This Row],[CF]]*chronic_consumption!$AF134/1000/$C$3)</f>
        <v>#DIV/0!</v>
      </c>
      <c r="AL1334" s="1098" t="e">
        <f>IF($D$1212="",0,$D1334*Table3[[#This Row],[CF]]*chronic_consumption!$AG134/1000/$C$3)</f>
        <v>#DIV/0!</v>
      </c>
      <c r="AM1334" s="1098" t="e">
        <f>IF($D$1212="",0,$D1334*Table3[[#This Row],[CF]]*chronic_consumption!$AH134/1000/$C$3)</f>
        <v>#DIV/0!</v>
      </c>
      <c r="AN1334" s="1098" t="e">
        <f>IF($D$1212="",0,$D1334*Table3[[#This Row],[CF]]*chronic_consumption!$AI134/1000/$C$3)</f>
        <v>#DIV/0!</v>
      </c>
      <c r="AO1334" s="1098" t="e">
        <f>IF($D$1212="",0,$D1334*Table3[[#This Row],[CF]]*chronic_consumption!$AJ134/1000/$C$3)</f>
        <v>#DIV/0!</v>
      </c>
      <c r="AP1334" s="1098" t="e">
        <f>IF($D$1212="",0,$D1334*Table3[[#This Row],[CF]]*chronic_consumption!$AK134/1000/$C$3)</f>
        <v>#DIV/0!</v>
      </c>
      <c r="AQ1334" s="1098" t="e">
        <f>IF($D$1212="",0,$D1334*Table3[[#This Row],[CF]]*chronic_consumption!$AL134/1000/$C$3)</f>
        <v>#DIV/0!</v>
      </c>
      <c r="AR1334" s="1098" t="e">
        <f>IF($D$1212="",0,$D1334*Table3[[#This Row],[CF]]*chronic_consumption!$AM134/1000/$C$3)</f>
        <v>#DIV/0!</v>
      </c>
      <c r="AS1334" s="1098" t="e">
        <f>IF($D$1212="",0,$D1334*Table3[[#This Row],[CF]]*chronic_consumption!$AN134/1000/$C$3)</f>
        <v>#DIV/0!</v>
      </c>
      <c r="AT1334" s="1098" t="e">
        <f>IF($D$1212="",0,$D1334*Table3[[#This Row],[CF]]*chronic_consumption!$AO134/1000/$C$3)</f>
        <v>#DIV/0!</v>
      </c>
      <c r="AU1334" s="1099" t="e">
        <f t="shared" si="852"/>
        <v>#DIV/0!</v>
      </c>
      <c r="AV1334" s="1099" t="e">
        <f t="shared" si="852"/>
        <v>#DIV/0!</v>
      </c>
      <c r="AW1334" s="1099" t="e">
        <f t="shared" si="852"/>
        <v>#DIV/0!</v>
      </c>
      <c r="AX1334" s="1099" t="e">
        <f t="shared" si="852"/>
        <v>#DIV/0!</v>
      </c>
      <c r="AY1334" s="1099" t="e">
        <f t="shared" si="852"/>
        <v>#DIV/0!</v>
      </c>
      <c r="AZ1334" s="1091" t="s">
        <v>1012</v>
      </c>
      <c r="BA1334" s="1097" t="e">
        <f>IF(Table3[[#This Row],[max]]&lt;&gt;0,RANK(Table3[[#This Row],[max]],Table3[max],0),"")</f>
        <v>#DIV/0!</v>
      </c>
      <c r="BB1334" s="1096" t="e">
        <f t="shared" si="842"/>
        <v>#DIV/0!</v>
      </c>
      <c r="BC1334" s="1096" t="e">
        <f t="shared" ca="1" si="843"/>
        <v>#DIV/0!</v>
      </c>
      <c r="BD1334" s="1096" t="e">
        <f>IF(Table3[[#This Row],[max]]&gt;0,Table3[[#This Row],[Crop groups and examples of individual products within the groups to which the MRLs apply]],"")</f>
        <v>#DIV/0!</v>
      </c>
    </row>
    <row r="1335" spans="2:56" x14ac:dyDescent="0.2">
      <c r="B1335" s="23">
        <f t="shared" si="851"/>
        <v>232030</v>
      </c>
      <c r="C1335" s="23" t="str">
        <f t="shared" si="851"/>
        <v>Courgettes</v>
      </c>
      <c r="D1335" s="1084">
        <f>input_values!E135</f>
        <v>0</v>
      </c>
      <c r="E1335" s="1084">
        <f>input_values!F135</f>
        <v>0</v>
      </c>
      <c r="F1335" s="1085">
        <f>input_values!W135</f>
        <v>1</v>
      </c>
      <c r="G1335" s="1085" t="str">
        <f>IF(Table3[[#This Row],[CF]]&gt;0,CONCATENATE(IF(Table3[[#This Row],[LOQ]]="*","LOQ","MRL"),IF(input_values!G135&gt;0,"×CFrisk","")),"")</f>
        <v>MRL</v>
      </c>
      <c r="H1335" s="1087">
        <f>input_values!L135</f>
        <v>0</v>
      </c>
      <c r="I1335" s="1088">
        <f>input_values!D135</f>
        <v>0</v>
      </c>
      <c r="J1335" s="1098" t="e">
        <f>IF($D$1212="",0,$D1335*Table3[[#This Row],[CF]]*chronic_consumption!$E135/1000/$C$3)</f>
        <v>#DIV/0!</v>
      </c>
      <c r="K1335" s="1098" t="e">
        <f>IF($D$1212="",0,$D1335*Table3[[#This Row],[CF]]*chronic_consumption!$F135/1000/$C$3)</f>
        <v>#DIV/0!</v>
      </c>
      <c r="L1335" s="1098" t="e">
        <f>IF($D$1212="",0,$D1335*Table3[[#This Row],[CF]]*chronic_consumption!$G135/1000/$C$3)</f>
        <v>#DIV/0!</v>
      </c>
      <c r="M1335" s="1098" t="e">
        <f>IF($D$1212="",0,$D1335*Table3[[#This Row],[CF]]*chronic_consumption!$H135/1000/$C$3)</f>
        <v>#DIV/0!</v>
      </c>
      <c r="N1335" s="1098" t="e">
        <f>IF($D$1212="",0,$D1335*Table3[[#This Row],[CF]]*chronic_consumption!$I135/1000/$C$3)</f>
        <v>#DIV/0!</v>
      </c>
      <c r="O1335" s="1098" t="e">
        <f>IF($D$1212="",0,$D1335*Table3[[#This Row],[CF]]*chronic_consumption!$J135/1000/$C$3)</f>
        <v>#DIV/0!</v>
      </c>
      <c r="P1335" s="1098" t="e">
        <f>IF($D$1212="",0,$D1335*Table3[[#This Row],[CF]]*chronic_consumption!$K135/1000/$C$3)</f>
        <v>#DIV/0!</v>
      </c>
      <c r="Q1335" s="1098" t="e">
        <f>IF($D$1212="",0,$D1335*Table3[[#This Row],[CF]]*chronic_consumption!$L135/1000/$C$3)</f>
        <v>#DIV/0!</v>
      </c>
      <c r="R1335" s="1098" t="e">
        <f>IF($D$1212="",0,$D1335*Table3[[#This Row],[CF]]*chronic_consumption!$M135/1000/$C$3)</f>
        <v>#DIV/0!</v>
      </c>
      <c r="S1335" s="1098" t="e">
        <f>IF($D$1212="",0,$D1335*Table3[[#This Row],[CF]]*chronic_consumption!$N135/1000/$C$3)</f>
        <v>#DIV/0!</v>
      </c>
      <c r="T1335" s="1098" t="e">
        <f>IF($D$1212="",0,$D1335*Table3[[#This Row],[CF]]*chronic_consumption!$O135/1000/$C$3)</f>
        <v>#DIV/0!</v>
      </c>
      <c r="U1335" s="1098" t="e">
        <f>IF($D$1212="",0,$D1335*Table3[[#This Row],[CF]]*chronic_consumption!$P135/1000/$C$3)</f>
        <v>#DIV/0!</v>
      </c>
      <c r="V1335" s="1098" t="e">
        <f>IF($D$1212="",0,$D1335*Table3[[#This Row],[CF]]*chronic_consumption!$Q135/1000/$C$3)</f>
        <v>#DIV/0!</v>
      </c>
      <c r="W1335" s="1098" t="e">
        <f>IF($D$1212="",0,$D1335*Table3[[#This Row],[CF]]*chronic_consumption!$R135/1000/$C$3)</f>
        <v>#DIV/0!</v>
      </c>
      <c r="X1335" s="1098" t="e">
        <f>IF($D$1212="",0,$D1335*Table3[[#This Row],[CF]]*chronic_consumption!$S135/1000/$C$3)</f>
        <v>#DIV/0!</v>
      </c>
      <c r="Y1335" s="1098" t="e">
        <f>IF($D$1212="",0,$D1335*Table3[[#This Row],[CF]]*chronic_consumption!$T135/1000/$C$3)</f>
        <v>#DIV/0!</v>
      </c>
      <c r="Z1335" s="1098" t="e">
        <f>IF($D$1212="",0,$D1335*Table3[[#This Row],[CF]]*chronic_consumption!$U135/1000/$C$3)</f>
        <v>#DIV/0!</v>
      </c>
      <c r="AA1335" s="1098" t="e">
        <f>IF($D$1212="",0,$D1335*Table3[[#This Row],[CF]]*chronic_consumption!$V135/1000/$C$3)</f>
        <v>#DIV/0!</v>
      </c>
      <c r="AB1335" s="1098" t="e">
        <f>IF($D$1212="",0,$D1335*Table3[[#This Row],[CF]]*chronic_consumption!$W135/1000/$C$3)</f>
        <v>#DIV/0!</v>
      </c>
      <c r="AC1335" s="1098" t="e">
        <f>IF($D$1212="",0,$D1335*Table3[[#This Row],[CF]]*chronic_consumption!$X135/1000/$C$3)</f>
        <v>#DIV/0!</v>
      </c>
      <c r="AD1335" s="1098" t="e">
        <f>IF($D$1212="",0,$D1335*Table3[[#This Row],[CF]]*chronic_consumption!$Y135/1000/$C$3)</f>
        <v>#DIV/0!</v>
      </c>
      <c r="AE1335" s="1098" t="e">
        <f>IF($D$1212="",0,$D1335*Table3[[#This Row],[CF]]*chronic_consumption!$Z135/1000/$C$3)</f>
        <v>#DIV/0!</v>
      </c>
      <c r="AF1335" s="1098" t="e">
        <f>IF($D$1212="",0,$D1335*Table3[[#This Row],[CF]]*chronic_consumption!$AA135/1000/$C$3)</f>
        <v>#DIV/0!</v>
      </c>
      <c r="AG1335" s="1098" t="e">
        <f>IF($D$1212="",0,$D1335*Table3[[#This Row],[CF]]*chronic_consumption!$AB135/1000/$C$3)</f>
        <v>#DIV/0!</v>
      </c>
      <c r="AH1335" s="1098" t="e">
        <f>IF($D$1212="",0,$D1335*Table3[[#This Row],[CF]]*chronic_consumption!$AC135/1000/$C$3)</f>
        <v>#DIV/0!</v>
      </c>
      <c r="AI1335" s="1098" t="e">
        <f>IF($D$1212="",0,$D1335*Table3[[#This Row],[CF]]*chronic_consumption!$AD135/1000/$C$3)</f>
        <v>#DIV/0!</v>
      </c>
      <c r="AJ1335" s="1098" t="e">
        <f>IF($D$1212="",0,$D1335*Table3[[#This Row],[CF]]*chronic_consumption!$AE135/1000/$C$3)</f>
        <v>#DIV/0!</v>
      </c>
      <c r="AK1335" s="1098" t="e">
        <f>IF($D$1212="",0,$D1335*Table3[[#This Row],[CF]]*chronic_consumption!$AF135/1000/$C$3)</f>
        <v>#DIV/0!</v>
      </c>
      <c r="AL1335" s="1098" t="e">
        <f>IF($D$1212="",0,$D1335*Table3[[#This Row],[CF]]*chronic_consumption!$AG135/1000/$C$3)</f>
        <v>#DIV/0!</v>
      </c>
      <c r="AM1335" s="1098" t="e">
        <f>IF($D$1212="",0,$D1335*Table3[[#This Row],[CF]]*chronic_consumption!$AH135/1000/$C$3)</f>
        <v>#DIV/0!</v>
      </c>
      <c r="AN1335" s="1098" t="e">
        <f>IF($D$1212="",0,$D1335*Table3[[#This Row],[CF]]*chronic_consumption!$AI135/1000/$C$3)</f>
        <v>#DIV/0!</v>
      </c>
      <c r="AO1335" s="1098" t="e">
        <f>IF($D$1212="",0,$D1335*Table3[[#This Row],[CF]]*chronic_consumption!$AJ135/1000/$C$3)</f>
        <v>#DIV/0!</v>
      </c>
      <c r="AP1335" s="1098" t="e">
        <f>IF($D$1212="",0,$D1335*Table3[[#This Row],[CF]]*chronic_consumption!$AK135/1000/$C$3)</f>
        <v>#DIV/0!</v>
      </c>
      <c r="AQ1335" s="1098" t="e">
        <f>IF($D$1212="",0,$D1335*Table3[[#This Row],[CF]]*chronic_consumption!$AL135/1000/$C$3)</f>
        <v>#DIV/0!</v>
      </c>
      <c r="AR1335" s="1098" t="e">
        <f>IF($D$1212="",0,$D1335*Table3[[#This Row],[CF]]*chronic_consumption!$AM135/1000/$C$3)</f>
        <v>#DIV/0!</v>
      </c>
      <c r="AS1335" s="1098" t="e">
        <f>IF($D$1212="",0,$D1335*Table3[[#This Row],[CF]]*chronic_consumption!$AN135/1000/$C$3)</f>
        <v>#DIV/0!</v>
      </c>
      <c r="AT1335" s="1098" t="e">
        <f>IF($D$1212="",0,$D1335*Table3[[#This Row],[CF]]*chronic_consumption!$AO135/1000/$C$3)</f>
        <v>#DIV/0!</v>
      </c>
      <c r="AU1335" s="1099" t="e">
        <f t="shared" si="852"/>
        <v>#DIV/0!</v>
      </c>
      <c r="AV1335" s="1099" t="e">
        <f t="shared" si="852"/>
        <v>#DIV/0!</v>
      </c>
      <c r="AW1335" s="1099" t="e">
        <f t="shared" si="852"/>
        <v>#DIV/0!</v>
      </c>
      <c r="AX1335" s="1099" t="e">
        <f t="shared" si="852"/>
        <v>#DIV/0!</v>
      </c>
      <c r="AY1335" s="1099" t="e">
        <f t="shared" si="852"/>
        <v>#DIV/0!</v>
      </c>
      <c r="AZ1335" s="1091" t="s">
        <v>1012</v>
      </c>
      <c r="BA1335" s="1097" t="e">
        <f>IF(Table3[[#This Row],[max]]&lt;&gt;0,RANK(Table3[[#This Row],[max]],Table3[max],0),"")</f>
        <v>#DIV/0!</v>
      </c>
      <c r="BB1335" s="1096" t="e">
        <f t="shared" si="842"/>
        <v>#DIV/0!</v>
      </c>
      <c r="BC1335" s="1096" t="e">
        <f t="shared" ca="1" si="843"/>
        <v>#DIV/0!</v>
      </c>
      <c r="BD1335" s="1096" t="e">
        <f>IF(Table3[[#This Row],[max]]&gt;0,Table3[[#This Row],[Crop groups and examples of individual products within the groups to which the MRLs apply]],"")</f>
        <v>#DIV/0!</v>
      </c>
    </row>
    <row r="1336" spans="2:56" x14ac:dyDescent="0.2">
      <c r="B1336" s="23">
        <f t="shared" si="851"/>
        <v>232990</v>
      </c>
      <c r="C1336" s="23" t="str">
        <f t="shared" si="851"/>
        <v>Other cucurbits - edible peel</v>
      </c>
      <c r="D1336" s="1084">
        <f>input_values!E136</f>
        <v>0</v>
      </c>
      <c r="E1336" s="1084">
        <f>input_values!F136</f>
        <v>0</v>
      </c>
      <c r="F1336" s="1085">
        <f>input_values!W136</f>
        <v>1</v>
      </c>
      <c r="G1336" s="1085" t="str">
        <f>IF(Table3[[#This Row],[CF]]&gt;0,CONCATENATE(IF(Table3[[#This Row],[LOQ]]="*","LOQ","MRL"),IF(input_values!G136&gt;0,"×CFrisk","")),"")</f>
        <v>MRL</v>
      </c>
      <c r="H1336" s="1087">
        <f>input_values!L136</f>
        <v>0</v>
      </c>
      <c r="I1336" s="1088">
        <f>input_values!D136</f>
        <v>0</v>
      </c>
      <c r="J1336" s="1098" t="e">
        <f>IF($D$1212="",0,$D1336*Table3[[#This Row],[CF]]*chronic_consumption!$E136/1000/$C$3)</f>
        <v>#DIV/0!</v>
      </c>
      <c r="K1336" s="1098" t="e">
        <f>IF($D$1212="",0,$D1336*Table3[[#This Row],[CF]]*chronic_consumption!$F136/1000/$C$3)</f>
        <v>#DIV/0!</v>
      </c>
      <c r="L1336" s="1098" t="e">
        <f>IF($D$1212="",0,$D1336*Table3[[#This Row],[CF]]*chronic_consumption!$G136/1000/$C$3)</f>
        <v>#DIV/0!</v>
      </c>
      <c r="M1336" s="1098" t="e">
        <f>IF($D$1212="",0,$D1336*Table3[[#This Row],[CF]]*chronic_consumption!$H136/1000/$C$3)</f>
        <v>#DIV/0!</v>
      </c>
      <c r="N1336" s="1098" t="e">
        <f>IF($D$1212="",0,$D1336*Table3[[#This Row],[CF]]*chronic_consumption!$I136/1000/$C$3)</f>
        <v>#DIV/0!</v>
      </c>
      <c r="O1336" s="1098" t="e">
        <f>IF($D$1212="",0,$D1336*Table3[[#This Row],[CF]]*chronic_consumption!$J136/1000/$C$3)</f>
        <v>#DIV/0!</v>
      </c>
      <c r="P1336" s="1098" t="e">
        <f>IF($D$1212="",0,$D1336*Table3[[#This Row],[CF]]*chronic_consumption!$K136/1000/$C$3)</f>
        <v>#DIV/0!</v>
      </c>
      <c r="Q1336" s="1098" t="e">
        <f>IF($D$1212="",0,$D1336*Table3[[#This Row],[CF]]*chronic_consumption!$L136/1000/$C$3)</f>
        <v>#DIV/0!</v>
      </c>
      <c r="R1336" s="1098" t="e">
        <f>IF($D$1212="",0,$D1336*Table3[[#This Row],[CF]]*chronic_consumption!$M136/1000/$C$3)</f>
        <v>#DIV/0!</v>
      </c>
      <c r="S1336" s="1098" t="e">
        <f>IF($D$1212="",0,$D1336*Table3[[#This Row],[CF]]*chronic_consumption!$N136/1000/$C$3)</f>
        <v>#DIV/0!</v>
      </c>
      <c r="T1336" s="1098" t="e">
        <f>IF($D$1212="",0,$D1336*Table3[[#This Row],[CF]]*chronic_consumption!$O136/1000/$C$3)</f>
        <v>#DIV/0!</v>
      </c>
      <c r="U1336" s="1098" t="e">
        <f>IF($D$1212="",0,$D1336*Table3[[#This Row],[CF]]*chronic_consumption!$P136/1000/$C$3)</f>
        <v>#DIV/0!</v>
      </c>
      <c r="V1336" s="1098" t="e">
        <f>IF($D$1212="",0,$D1336*Table3[[#This Row],[CF]]*chronic_consumption!$Q136/1000/$C$3)</f>
        <v>#DIV/0!</v>
      </c>
      <c r="W1336" s="1098" t="e">
        <f>IF($D$1212="",0,$D1336*Table3[[#This Row],[CF]]*chronic_consumption!$R136/1000/$C$3)</f>
        <v>#DIV/0!</v>
      </c>
      <c r="X1336" s="1098" t="e">
        <f>IF($D$1212="",0,$D1336*Table3[[#This Row],[CF]]*chronic_consumption!$S136/1000/$C$3)</f>
        <v>#DIV/0!</v>
      </c>
      <c r="Y1336" s="1098" t="e">
        <f>IF($D$1212="",0,$D1336*Table3[[#This Row],[CF]]*chronic_consumption!$T136/1000/$C$3)</f>
        <v>#DIV/0!</v>
      </c>
      <c r="Z1336" s="1098" t="e">
        <f>IF($D$1212="",0,$D1336*Table3[[#This Row],[CF]]*chronic_consumption!$U136/1000/$C$3)</f>
        <v>#DIV/0!</v>
      </c>
      <c r="AA1336" s="1098" t="e">
        <f>IF($D$1212="",0,$D1336*Table3[[#This Row],[CF]]*chronic_consumption!$V136/1000/$C$3)</f>
        <v>#DIV/0!</v>
      </c>
      <c r="AB1336" s="1098" t="e">
        <f>IF($D$1212="",0,$D1336*Table3[[#This Row],[CF]]*chronic_consumption!$W136/1000/$C$3)</f>
        <v>#DIV/0!</v>
      </c>
      <c r="AC1336" s="1098" t="e">
        <f>IF($D$1212="",0,$D1336*Table3[[#This Row],[CF]]*chronic_consumption!$X136/1000/$C$3)</f>
        <v>#DIV/0!</v>
      </c>
      <c r="AD1336" s="1098" t="e">
        <f>IF($D$1212="",0,$D1336*Table3[[#This Row],[CF]]*chronic_consumption!$Y136/1000/$C$3)</f>
        <v>#DIV/0!</v>
      </c>
      <c r="AE1336" s="1098" t="e">
        <f>IF($D$1212="",0,$D1336*Table3[[#This Row],[CF]]*chronic_consumption!$Z136/1000/$C$3)</f>
        <v>#DIV/0!</v>
      </c>
      <c r="AF1336" s="1098" t="e">
        <f>IF($D$1212="",0,$D1336*Table3[[#This Row],[CF]]*chronic_consumption!$AA136/1000/$C$3)</f>
        <v>#DIV/0!</v>
      </c>
      <c r="AG1336" s="1098" t="e">
        <f>IF($D$1212="",0,$D1336*Table3[[#This Row],[CF]]*chronic_consumption!$AB136/1000/$C$3)</f>
        <v>#DIV/0!</v>
      </c>
      <c r="AH1336" s="1098" t="e">
        <f>IF($D$1212="",0,$D1336*Table3[[#This Row],[CF]]*chronic_consumption!$AC136/1000/$C$3)</f>
        <v>#DIV/0!</v>
      </c>
      <c r="AI1336" s="1098" t="e">
        <f>IF($D$1212="",0,$D1336*Table3[[#This Row],[CF]]*chronic_consumption!$AD136/1000/$C$3)</f>
        <v>#DIV/0!</v>
      </c>
      <c r="AJ1336" s="1098" t="e">
        <f>IF($D$1212="",0,$D1336*Table3[[#This Row],[CF]]*chronic_consumption!$AE136/1000/$C$3)</f>
        <v>#DIV/0!</v>
      </c>
      <c r="AK1336" s="1098" t="e">
        <f>IF($D$1212="",0,$D1336*Table3[[#This Row],[CF]]*chronic_consumption!$AF136/1000/$C$3)</f>
        <v>#DIV/0!</v>
      </c>
      <c r="AL1336" s="1098" t="e">
        <f>IF($D$1212="",0,$D1336*Table3[[#This Row],[CF]]*chronic_consumption!$AG136/1000/$C$3)</f>
        <v>#DIV/0!</v>
      </c>
      <c r="AM1336" s="1098" t="e">
        <f>IF($D$1212="",0,$D1336*Table3[[#This Row],[CF]]*chronic_consumption!$AH136/1000/$C$3)</f>
        <v>#DIV/0!</v>
      </c>
      <c r="AN1336" s="1098" t="e">
        <f>IF($D$1212="",0,$D1336*Table3[[#This Row],[CF]]*chronic_consumption!$AI136/1000/$C$3)</f>
        <v>#DIV/0!</v>
      </c>
      <c r="AO1336" s="1098" t="e">
        <f>IF($D$1212="",0,$D1336*Table3[[#This Row],[CF]]*chronic_consumption!$AJ136/1000/$C$3)</f>
        <v>#DIV/0!</v>
      </c>
      <c r="AP1336" s="1098" t="e">
        <f>IF($D$1212="",0,$D1336*Table3[[#This Row],[CF]]*chronic_consumption!$AK136/1000/$C$3)</f>
        <v>#DIV/0!</v>
      </c>
      <c r="AQ1336" s="1098" t="e">
        <f>IF($D$1212="",0,$D1336*Table3[[#This Row],[CF]]*chronic_consumption!$AL136/1000/$C$3)</f>
        <v>#DIV/0!</v>
      </c>
      <c r="AR1336" s="1098" t="e">
        <f>IF($D$1212="",0,$D1336*Table3[[#This Row],[CF]]*chronic_consumption!$AM136/1000/$C$3)</f>
        <v>#DIV/0!</v>
      </c>
      <c r="AS1336" s="1098" t="e">
        <f>IF($D$1212="",0,$D1336*Table3[[#This Row],[CF]]*chronic_consumption!$AN136/1000/$C$3)</f>
        <v>#DIV/0!</v>
      </c>
      <c r="AT1336" s="1098" t="e">
        <f>IF($D$1212="",0,$D1336*Table3[[#This Row],[CF]]*chronic_consumption!$AO136/1000/$C$3)</f>
        <v>#DIV/0!</v>
      </c>
      <c r="AU1336" s="1099" t="e">
        <f t="shared" si="852"/>
        <v>#DIV/0!</v>
      </c>
      <c r="AV1336" s="1099" t="e">
        <f t="shared" si="852"/>
        <v>#DIV/0!</v>
      </c>
      <c r="AW1336" s="1099" t="e">
        <f t="shared" si="852"/>
        <v>#DIV/0!</v>
      </c>
      <c r="AX1336" s="1099" t="e">
        <f t="shared" si="852"/>
        <v>#DIV/0!</v>
      </c>
      <c r="AY1336" s="1099" t="e">
        <f t="shared" si="852"/>
        <v>#DIV/0!</v>
      </c>
      <c r="AZ1336" s="1091" t="s">
        <v>1012</v>
      </c>
      <c r="BA1336" s="1097" t="e">
        <f>IF(Table3[[#This Row],[max]]&lt;&gt;0,RANK(Table3[[#This Row],[max]],Table3[max],0),"")</f>
        <v>#DIV/0!</v>
      </c>
      <c r="BB1336" s="1096" t="e">
        <f t="shared" si="842"/>
        <v>#DIV/0!</v>
      </c>
      <c r="BC1336" s="1096" t="e">
        <f t="shared" ca="1" si="843"/>
        <v>#DIV/0!</v>
      </c>
      <c r="BD1336" s="1096" t="e">
        <f>IF(Table3[[#This Row],[max]]&gt;0,Table3[[#This Row],[Crop groups and examples of individual products within the groups to which the MRLs apply]],"")</f>
        <v>#DIV/0!</v>
      </c>
    </row>
    <row r="1337" spans="2:56" x14ac:dyDescent="0.2">
      <c r="B1337" s="3">
        <f t="shared" si="851"/>
        <v>233000</v>
      </c>
      <c r="C1337" s="3" t="str">
        <f t="shared" si="851"/>
        <v>Cucurbits - inedible peel</v>
      </c>
      <c r="D1337" s="1084">
        <f>input_values!E137</f>
        <v>0</v>
      </c>
      <c r="E1337" s="1084">
        <f>input_values!F137</f>
        <v>0</v>
      </c>
      <c r="F1337" s="1085">
        <f>input_values!W137</f>
        <v>0</v>
      </c>
      <c r="G1337" s="1085" t="str">
        <f>IF(Table3[[#This Row],[CF]]&gt;0,CONCATENATE(IF(Table3[[#This Row],[LOQ]]="*","LOQ","MRL"),IF(input_values!G137&gt;0,"×CFrisk","")),"")</f>
        <v/>
      </c>
      <c r="H1337" s="1087">
        <f>input_values!L137</f>
        <v>0</v>
      </c>
      <c r="I1337" s="1088">
        <f>input_values!D137</f>
        <v>0</v>
      </c>
      <c r="J1337" s="1100" t="e">
        <f>IF($D$1212="",0,$D1337*Table3[[#This Row],[CF]]*chronic_consumption!$E137/1000/$C$3)</f>
        <v>#DIV/0!</v>
      </c>
      <c r="K1337" s="1100" t="e">
        <f>IF($D$1212="",0,$D1337*Table3[[#This Row],[CF]]*chronic_consumption!$F137/1000/$C$3)</f>
        <v>#DIV/0!</v>
      </c>
      <c r="L1337" s="1100" t="e">
        <f>IF($D$1212="",0,$D1337*Table3[[#This Row],[CF]]*chronic_consumption!$G137/1000/$C$3)</f>
        <v>#DIV/0!</v>
      </c>
      <c r="M1337" s="1100" t="e">
        <f>IF($D$1212="",0,$D1337*Table3[[#This Row],[CF]]*chronic_consumption!$H137/1000/$C$3)</f>
        <v>#DIV/0!</v>
      </c>
      <c r="N1337" s="1100" t="e">
        <f>IF($D$1212="",0,$D1337*Table3[[#This Row],[CF]]*chronic_consumption!$I137/1000/$C$3)</f>
        <v>#DIV/0!</v>
      </c>
      <c r="O1337" s="1100" t="e">
        <f>IF($D$1212="",0,$D1337*Table3[[#This Row],[CF]]*chronic_consumption!$J137/1000/$C$3)</f>
        <v>#DIV/0!</v>
      </c>
      <c r="P1337" s="1100" t="e">
        <f>IF($D$1212="",0,$D1337*Table3[[#This Row],[CF]]*chronic_consumption!$K137/1000/$C$3)</f>
        <v>#DIV/0!</v>
      </c>
      <c r="Q1337" s="1100" t="e">
        <f>IF($D$1212="",0,$D1337*Table3[[#This Row],[CF]]*chronic_consumption!$L137/1000/$C$3)</f>
        <v>#DIV/0!</v>
      </c>
      <c r="R1337" s="1100" t="e">
        <f>IF($D$1212="",0,$D1337*Table3[[#This Row],[CF]]*chronic_consumption!$M137/1000/$C$3)</f>
        <v>#DIV/0!</v>
      </c>
      <c r="S1337" s="1100" t="e">
        <f>IF($D$1212="",0,$D1337*Table3[[#This Row],[CF]]*chronic_consumption!$N137/1000/$C$3)</f>
        <v>#DIV/0!</v>
      </c>
      <c r="T1337" s="1100" t="e">
        <f>IF($D$1212="",0,$D1337*Table3[[#This Row],[CF]]*chronic_consumption!$O137/1000/$C$3)</f>
        <v>#DIV/0!</v>
      </c>
      <c r="U1337" s="1100" t="e">
        <f>IF($D$1212="",0,$D1337*Table3[[#This Row],[CF]]*chronic_consumption!$P137/1000/$C$3)</f>
        <v>#DIV/0!</v>
      </c>
      <c r="V1337" s="1100" t="e">
        <f>IF($D$1212="",0,$D1337*Table3[[#This Row],[CF]]*chronic_consumption!$Q137/1000/$C$3)</f>
        <v>#DIV/0!</v>
      </c>
      <c r="W1337" s="1100" t="e">
        <f>IF($D$1212="",0,$D1337*Table3[[#This Row],[CF]]*chronic_consumption!$R137/1000/$C$3)</f>
        <v>#DIV/0!</v>
      </c>
      <c r="X1337" s="1100" t="e">
        <f>IF($D$1212="",0,$D1337*Table3[[#This Row],[CF]]*chronic_consumption!$S137/1000/$C$3)</f>
        <v>#DIV/0!</v>
      </c>
      <c r="Y1337" s="1100" t="e">
        <f>IF($D$1212="",0,$D1337*Table3[[#This Row],[CF]]*chronic_consumption!$T137/1000/$C$3)</f>
        <v>#DIV/0!</v>
      </c>
      <c r="Z1337" s="1100" t="e">
        <f>IF($D$1212="",0,$D1337*Table3[[#This Row],[CF]]*chronic_consumption!$U137/1000/$C$3)</f>
        <v>#DIV/0!</v>
      </c>
      <c r="AA1337" s="1100" t="e">
        <f>IF($D$1212="",0,$D1337*Table3[[#This Row],[CF]]*chronic_consumption!$V137/1000/$C$3)</f>
        <v>#DIV/0!</v>
      </c>
      <c r="AB1337" s="1100" t="e">
        <f>IF($D$1212="",0,$D1337*Table3[[#This Row],[CF]]*chronic_consumption!$W137/1000/$C$3)</f>
        <v>#DIV/0!</v>
      </c>
      <c r="AC1337" s="1100" t="e">
        <f>IF($D$1212="",0,$D1337*Table3[[#This Row],[CF]]*chronic_consumption!$X137/1000/$C$3)</f>
        <v>#DIV/0!</v>
      </c>
      <c r="AD1337" s="1100" t="e">
        <f>IF($D$1212="",0,$D1337*Table3[[#This Row],[CF]]*chronic_consumption!$Y137/1000/$C$3)</f>
        <v>#DIV/0!</v>
      </c>
      <c r="AE1337" s="1100" t="e">
        <f>IF($D$1212="",0,$D1337*Table3[[#This Row],[CF]]*chronic_consumption!$Z137/1000/$C$3)</f>
        <v>#DIV/0!</v>
      </c>
      <c r="AF1337" s="1100" t="e">
        <f>IF($D$1212="",0,$D1337*Table3[[#This Row],[CF]]*chronic_consumption!$AA137/1000/$C$3)</f>
        <v>#DIV/0!</v>
      </c>
      <c r="AG1337" s="1100" t="e">
        <f>IF($D$1212="",0,$D1337*Table3[[#This Row],[CF]]*chronic_consumption!$AB137/1000/$C$3)</f>
        <v>#DIV/0!</v>
      </c>
      <c r="AH1337" s="1100" t="e">
        <f>IF($D$1212="",0,$D1337*Table3[[#This Row],[CF]]*chronic_consumption!$AC137/1000/$C$3)</f>
        <v>#DIV/0!</v>
      </c>
      <c r="AI1337" s="1100" t="e">
        <f>IF($D$1212="",0,$D1337*Table3[[#This Row],[CF]]*chronic_consumption!$AD137/1000/$C$3)</f>
        <v>#DIV/0!</v>
      </c>
      <c r="AJ1337" s="1100" t="e">
        <f>IF($D$1212="",0,$D1337*Table3[[#This Row],[CF]]*chronic_consumption!$AE137/1000/$C$3)</f>
        <v>#DIV/0!</v>
      </c>
      <c r="AK1337" s="1100" t="e">
        <f>IF($D$1212="",0,$D1337*Table3[[#This Row],[CF]]*chronic_consumption!$AF137/1000/$C$3)</f>
        <v>#DIV/0!</v>
      </c>
      <c r="AL1337" s="1100" t="e">
        <f>IF($D$1212="",0,$D1337*Table3[[#This Row],[CF]]*chronic_consumption!$AG137/1000/$C$3)</f>
        <v>#DIV/0!</v>
      </c>
      <c r="AM1337" s="1100" t="e">
        <f>IF($D$1212="",0,$D1337*Table3[[#This Row],[CF]]*chronic_consumption!$AH137/1000/$C$3)</f>
        <v>#DIV/0!</v>
      </c>
      <c r="AN1337" s="1100" t="e">
        <f>IF($D$1212="",0,$D1337*Table3[[#This Row],[CF]]*chronic_consumption!$AI137/1000/$C$3)</f>
        <v>#DIV/0!</v>
      </c>
      <c r="AO1337" s="1100" t="e">
        <f>IF($D$1212="",0,$D1337*Table3[[#This Row],[CF]]*chronic_consumption!$AJ137/1000/$C$3)</f>
        <v>#DIV/0!</v>
      </c>
      <c r="AP1337" s="1100" t="e">
        <f>IF($D$1212="",0,$D1337*Table3[[#This Row],[CF]]*chronic_consumption!$AK137/1000/$C$3)</f>
        <v>#DIV/0!</v>
      </c>
      <c r="AQ1337" s="1100" t="e">
        <f>IF($D$1212="",0,$D1337*Table3[[#This Row],[CF]]*chronic_consumption!$AL137/1000/$C$3)</f>
        <v>#DIV/0!</v>
      </c>
      <c r="AR1337" s="1100" t="e">
        <f>IF($D$1212="",0,$D1337*Table3[[#This Row],[CF]]*chronic_consumption!$AM137/1000/$C$3)</f>
        <v>#DIV/0!</v>
      </c>
      <c r="AS1337" s="1100" t="e">
        <f>IF($D$1212="",0,$D1337*Table3[[#This Row],[CF]]*chronic_consumption!$AN137/1000/$C$3)</f>
        <v>#DIV/0!</v>
      </c>
      <c r="AT1337" s="1100" t="e">
        <f>IF($D$1212="",0,$D1337*Table3[[#This Row],[CF]]*chronic_consumption!$AO137/1000/$C$3)</f>
        <v>#DIV/0!</v>
      </c>
      <c r="AU1337" s="1101" t="e">
        <f t="shared" si="852"/>
        <v>#DIV/0!</v>
      </c>
      <c r="AV1337" s="1101" t="e">
        <f t="shared" si="852"/>
        <v>#DIV/0!</v>
      </c>
      <c r="AW1337" s="1101" t="e">
        <f t="shared" si="852"/>
        <v>#DIV/0!</v>
      </c>
      <c r="AX1337" s="1101" t="e">
        <f t="shared" si="852"/>
        <v>#DIV/0!</v>
      </c>
      <c r="AY1337" s="1101" t="e">
        <f t="shared" si="852"/>
        <v>#DIV/0!</v>
      </c>
      <c r="AZ1337" s="1091" t="s">
        <v>1012</v>
      </c>
      <c r="BA1337" s="1097" t="e">
        <f>IF(Table3[[#This Row],[max]]&lt;&gt;0,RANK(Table3[[#This Row],[max]],Table3[max],0),"")</f>
        <v>#DIV/0!</v>
      </c>
      <c r="BB1337" s="1096" t="e">
        <f t="shared" si="842"/>
        <v>#DIV/0!</v>
      </c>
      <c r="BC1337" s="1096" t="e">
        <f t="shared" ca="1" si="843"/>
        <v>#DIV/0!</v>
      </c>
      <c r="BD1337" s="1096" t="e">
        <f>IF(Table3[[#This Row],[max]]&gt;0,Table3[[#This Row],[Crop groups and examples of individual products within the groups to which the MRLs apply]],"")</f>
        <v>#DIV/0!</v>
      </c>
    </row>
    <row r="1338" spans="2:56" x14ac:dyDescent="0.2">
      <c r="B1338" s="23">
        <f t="shared" si="851"/>
        <v>233010</v>
      </c>
      <c r="C1338" s="23" t="str">
        <f t="shared" si="851"/>
        <v>Melons</v>
      </c>
      <c r="D1338" s="1084">
        <f>input_values!E138</f>
        <v>0</v>
      </c>
      <c r="E1338" s="1084">
        <f>input_values!F138</f>
        <v>0</v>
      </c>
      <c r="F1338" s="1085">
        <f>input_values!W138</f>
        <v>1</v>
      </c>
      <c r="G1338" s="1085" t="str">
        <f>IF(Table3[[#This Row],[CF]]&gt;0,CONCATENATE(IF(Table3[[#This Row],[LOQ]]="*","LOQ","MRL"),IF(input_values!G138&gt;0,"×CFrisk","")),"")</f>
        <v>MRL</v>
      </c>
      <c r="H1338" s="1087">
        <f>input_values!L138</f>
        <v>0</v>
      </c>
      <c r="I1338" s="1088">
        <f>input_values!D138</f>
        <v>0</v>
      </c>
      <c r="J1338" s="1098" t="e">
        <f>IF($D$1212="",0,$D1338*Table3[[#This Row],[CF]]*chronic_consumption!$E138/1000/$C$3)</f>
        <v>#DIV/0!</v>
      </c>
      <c r="K1338" s="1098" t="e">
        <f>IF($D$1212="",0,$D1338*Table3[[#This Row],[CF]]*chronic_consumption!$F138/1000/$C$3)</f>
        <v>#DIV/0!</v>
      </c>
      <c r="L1338" s="1098" t="e">
        <f>IF($D$1212="",0,$D1338*Table3[[#This Row],[CF]]*chronic_consumption!$G138/1000/$C$3)</f>
        <v>#DIV/0!</v>
      </c>
      <c r="M1338" s="1098" t="e">
        <f>IF($D$1212="",0,$D1338*Table3[[#This Row],[CF]]*chronic_consumption!$H138/1000/$C$3)</f>
        <v>#DIV/0!</v>
      </c>
      <c r="N1338" s="1098" t="e">
        <f>IF($D$1212="",0,$D1338*Table3[[#This Row],[CF]]*chronic_consumption!$I138/1000/$C$3)</f>
        <v>#DIV/0!</v>
      </c>
      <c r="O1338" s="1098" t="e">
        <f>IF($D$1212="",0,$D1338*Table3[[#This Row],[CF]]*chronic_consumption!$J138/1000/$C$3)</f>
        <v>#DIV/0!</v>
      </c>
      <c r="P1338" s="1098" t="e">
        <f>IF($D$1212="",0,$D1338*Table3[[#This Row],[CF]]*chronic_consumption!$K138/1000/$C$3)</f>
        <v>#DIV/0!</v>
      </c>
      <c r="Q1338" s="1098" t="e">
        <f>IF($D$1212="",0,$D1338*Table3[[#This Row],[CF]]*chronic_consumption!$L138/1000/$C$3)</f>
        <v>#DIV/0!</v>
      </c>
      <c r="R1338" s="1098" t="e">
        <f>IF($D$1212="",0,$D1338*Table3[[#This Row],[CF]]*chronic_consumption!$M138/1000/$C$3)</f>
        <v>#DIV/0!</v>
      </c>
      <c r="S1338" s="1098" t="e">
        <f>IF($D$1212="",0,$D1338*Table3[[#This Row],[CF]]*chronic_consumption!$N138/1000/$C$3)</f>
        <v>#DIV/0!</v>
      </c>
      <c r="T1338" s="1098" t="e">
        <f>IF($D$1212="",0,$D1338*Table3[[#This Row],[CF]]*chronic_consumption!$O138/1000/$C$3)</f>
        <v>#DIV/0!</v>
      </c>
      <c r="U1338" s="1098" t="e">
        <f>IF($D$1212="",0,$D1338*Table3[[#This Row],[CF]]*chronic_consumption!$P138/1000/$C$3)</f>
        <v>#DIV/0!</v>
      </c>
      <c r="V1338" s="1098" t="e">
        <f>IF($D$1212="",0,$D1338*Table3[[#This Row],[CF]]*chronic_consumption!$Q138/1000/$C$3)</f>
        <v>#DIV/0!</v>
      </c>
      <c r="W1338" s="1098" t="e">
        <f>IF($D$1212="",0,$D1338*Table3[[#This Row],[CF]]*chronic_consumption!$R138/1000/$C$3)</f>
        <v>#DIV/0!</v>
      </c>
      <c r="X1338" s="1098" t="e">
        <f>IF($D$1212="",0,$D1338*Table3[[#This Row],[CF]]*chronic_consumption!$S138/1000/$C$3)</f>
        <v>#DIV/0!</v>
      </c>
      <c r="Y1338" s="1098" t="e">
        <f>IF($D$1212="",0,$D1338*Table3[[#This Row],[CF]]*chronic_consumption!$T138/1000/$C$3)</f>
        <v>#DIV/0!</v>
      </c>
      <c r="Z1338" s="1098" t="e">
        <f>IF($D$1212="",0,$D1338*Table3[[#This Row],[CF]]*chronic_consumption!$U138/1000/$C$3)</f>
        <v>#DIV/0!</v>
      </c>
      <c r="AA1338" s="1098" t="e">
        <f>IF($D$1212="",0,$D1338*Table3[[#This Row],[CF]]*chronic_consumption!$V138/1000/$C$3)</f>
        <v>#DIV/0!</v>
      </c>
      <c r="AB1338" s="1098" t="e">
        <f>IF($D$1212="",0,$D1338*Table3[[#This Row],[CF]]*chronic_consumption!$W138/1000/$C$3)</f>
        <v>#DIV/0!</v>
      </c>
      <c r="AC1338" s="1098" t="e">
        <f>IF($D$1212="",0,$D1338*Table3[[#This Row],[CF]]*chronic_consumption!$X138/1000/$C$3)</f>
        <v>#DIV/0!</v>
      </c>
      <c r="AD1338" s="1098" t="e">
        <f>IF($D$1212="",0,$D1338*Table3[[#This Row],[CF]]*chronic_consumption!$Y138/1000/$C$3)</f>
        <v>#DIV/0!</v>
      </c>
      <c r="AE1338" s="1098" t="e">
        <f>IF($D$1212="",0,$D1338*Table3[[#This Row],[CF]]*chronic_consumption!$Z138/1000/$C$3)</f>
        <v>#DIV/0!</v>
      </c>
      <c r="AF1338" s="1098" t="e">
        <f>IF($D$1212="",0,$D1338*Table3[[#This Row],[CF]]*chronic_consumption!$AA138/1000/$C$3)</f>
        <v>#DIV/0!</v>
      </c>
      <c r="AG1338" s="1098" t="e">
        <f>IF($D$1212="",0,$D1338*Table3[[#This Row],[CF]]*chronic_consumption!$AB138/1000/$C$3)</f>
        <v>#DIV/0!</v>
      </c>
      <c r="AH1338" s="1098" t="e">
        <f>IF($D$1212="",0,$D1338*Table3[[#This Row],[CF]]*chronic_consumption!$AC138/1000/$C$3)</f>
        <v>#DIV/0!</v>
      </c>
      <c r="AI1338" s="1098" t="e">
        <f>IF($D$1212="",0,$D1338*Table3[[#This Row],[CF]]*chronic_consumption!$AD138/1000/$C$3)</f>
        <v>#DIV/0!</v>
      </c>
      <c r="AJ1338" s="1098" t="e">
        <f>IF($D$1212="",0,$D1338*Table3[[#This Row],[CF]]*chronic_consumption!$AE138/1000/$C$3)</f>
        <v>#DIV/0!</v>
      </c>
      <c r="AK1338" s="1098" t="e">
        <f>IF($D$1212="",0,$D1338*Table3[[#This Row],[CF]]*chronic_consumption!$AF138/1000/$C$3)</f>
        <v>#DIV/0!</v>
      </c>
      <c r="AL1338" s="1098" t="e">
        <f>IF($D$1212="",0,$D1338*Table3[[#This Row],[CF]]*chronic_consumption!$AG138/1000/$C$3)</f>
        <v>#DIV/0!</v>
      </c>
      <c r="AM1338" s="1098" t="e">
        <f>IF($D$1212="",0,$D1338*Table3[[#This Row],[CF]]*chronic_consumption!$AH138/1000/$C$3)</f>
        <v>#DIV/0!</v>
      </c>
      <c r="AN1338" s="1098" t="e">
        <f>IF($D$1212="",0,$D1338*Table3[[#This Row],[CF]]*chronic_consumption!$AI138/1000/$C$3)</f>
        <v>#DIV/0!</v>
      </c>
      <c r="AO1338" s="1098" t="e">
        <f>IF($D$1212="",0,$D1338*Table3[[#This Row],[CF]]*chronic_consumption!$AJ138/1000/$C$3)</f>
        <v>#DIV/0!</v>
      </c>
      <c r="AP1338" s="1098" t="e">
        <f>IF($D$1212="",0,$D1338*Table3[[#This Row],[CF]]*chronic_consumption!$AK138/1000/$C$3)</f>
        <v>#DIV/0!</v>
      </c>
      <c r="AQ1338" s="1098" t="e">
        <f>IF($D$1212="",0,$D1338*Table3[[#This Row],[CF]]*chronic_consumption!$AL138/1000/$C$3)</f>
        <v>#DIV/0!</v>
      </c>
      <c r="AR1338" s="1098" t="e">
        <f>IF($D$1212="",0,$D1338*Table3[[#This Row],[CF]]*chronic_consumption!$AM138/1000/$C$3)</f>
        <v>#DIV/0!</v>
      </c>
      <c r="AS1338" s="1098" t="e">
        <f>IF($D$1212="",0,$D1338*Table3[[#This Row],[CF]]*chronic_consumption!$AN138/1000/$C$3)</f>
        <v>#DIV/0!</v>
      </c>
      <c r="AT1338" s="1098" t="e">
        <f>IF($D$1212="",0,$D1338*Table3[[#This Row],[CF]]*chronic_consumption!$AO138/1000/$C$3)</f>
        <v>#DIV/0!</v>
      </c>
      <c r="AU1338" s="1099" t="e">
        <f t="shared" si="852"/>
        <v>#DIV/0!</v>
      </c>
      <c r="AV1338" s="1099" t="e">
        <f t="shared" si="852"/>
        <v>#DIV/0!</v>
      </c>
      <c r="AW1338" s="1099" t="e">
        <f t="shared" si="852"/>
        <v>#DIV/0!</v>
      </c>
      <c r="AX1338" s="1099" t="e">
        <f t="shared" si="852"/>
        <v>#DIV/0!</v>
      </c>
      <c r="AY1338" s="1099" t="e">
        <f t="shared" si="852"/>
        <v>#DIV/0!</v>
      </c>
      <c r="AZ1338" s="1091" t="s">
        <v>1012</v>
      </c>
      <c r="BA1338" s="1097" t="e">
        <f>IF(Table3[[#This Row],[max]]&lt;&gt;0,RANK(Table3[[#This Row],[max]],Table3[max],0),"")</f>
        <v>#DIV/0!</v>
      </c>
      <c r="BB1338" s="1096" t="e">
        <f t="shared" si="842"/>
        <v>#DIV/0!</v>
      </c>
      <c r="BC1338" s="1096" t="e">
        <f t="shared" ca="1" si="843"/>
        <v>#DIV/0!</v>
      </c>
      <c r="BD1338" s="1096" t="e">
        <f>IF(Table3[[#This Row],[max]]&gt;0,Table3[[#This Row],[Crop groups and examples of individual products within the groups to which the MRLs apply]],"")</f>
        <v>#DIV/0!</v>
      </c>
    </row>
    <row r="1339" spans="2:56" x14ac:dyDescent="0.2">
      <c r="B1339" s="23">
        <f t="shared" si="851"/>
        <v>233020</v>
      </c>
      <c r="C1339" s="23" t="str">
        <f t="shared" si="851"/>
        <v>Pumpkins</v>
      </c>
      <c r="D1339" s="1084">
        <f>input_values!E139</f>
        <v>0</v>
      </c>
      <c r="E1339" s="1084">
        <f>input_values!F139</f>
        <v>0</v>
      </c>
      <c r="F1339" s="1085">
        <f>input_values!W139</f>
        <v>1</v>
      </c>
      <c r="G1339" s="1085" t="str">
        <f>IF(Table3[[#This Row],[CF]]&gt;0,CONCATENATE(IF(Table3[[#This Row],[LOQ]]="*","LOQ","MRL"),IF(input_values!G139&gt;0,"×CFrisk","")),"")</f>
        <v>MRL</v>
      </c>
      <c r="H1339" s="1087">
        <f>input_values!L139</f>
        <v>0</v>
      </c>
      <c r="I1339" s="1088">
        <f>input_values!D139</f>
        <v>0</v>
      </c>
      <c r="J1339" s="1098" t="e">
        <f>IF($D$1212="",0,$D1339*Table3[[#This Row],[CF]]*chronic_consumption!$E139/1000/$C$3)</f>
        <v>#DIV/0!</v>
      </c>
      <c r="K1339" s="1098" t="e">
        <f>IF($D$1212="",0,$D1339*Table3[[#This Row],[CF]]*chronic_consumption!$F139/1000/$C$3)</f>
        <v>#DIV/0!</v>
      </c>
      <c r="L1339" s="1098" t="e">
        <f>IF($D$1212="",0,$D1339*Table3[[#This Row],[CF]]*chronic_consumption!$G139/1000/$C$3)</f>
        <v>#DIV/0!</v>
      </c>
      <c r="M1339" s="1098" t="e">
        <f>IF($D$1212="",0,$D1339*Table3[[#This Row],[CF]]*chronic_consumption!$H139/1000/$C$3)</f>
        <v>#DIV/0!</v>
      </c>
      <c r="N1339" s="1098" t="e">
        <f>IF($D$1212="",0,$D1339*Table3[[#This Row],[CF]]*chronic_consumption!$I139/1000/$C$3)</f>
        <v>#DIV/0!</v>
      </c>
      <c r="O1339" s="1098" t="e">
        <f>IF($D$1212="",0,$D1339*Table3[[#This Row],[CF]]*chronic_consumption!$J139/1000/$C$3)</f>
        <v>#DIV/0!</v>
      </c>
      <c r="P1339" s="1098" t="e">
        <f>IF($D$1212="",0,$D1339*Table3[[#This Row],[CF]]*chronic_consumption!$K139/1000/$C$3)</f>
        <v>#DIV/0!</v>
      </c>
      <c r="Q1339" s="1098" t="e">
        <f>IF($D$1212="",0,$D1339*Table3[[#This Row],[CF]]*chronic_consumption!$L139/1000/$C$3)</f>
        <v>#DIV/0!</v>
      </c>
      <c r="R1339" s="1098" t="e">
        <f>IF($D$1212="",0,$D1339*Table3[[#This Row],[CF]]*chronic_consumption!$M139/1000/$C$3)</f>
        <v>#DIV/0!</v>
      </c>
      <c r="S1339" s="1098" t="e">
        <f>IF($D$1212="",0,$D1339*Table3[[#This Row],[CF]]*chronic_consumption!$N139/1000/$C$3)</f>
        <v>#DIV/0!</v>
      </c>
      <c r="T1339" s="1098" t="e">
        <f>IF($D$1212="",0,$D1339*Table3[[#This Row],[CF]]*chronic_consumption!$O139/1000/$C$3)</f>
        <v>#DIV/0!</v>
      </c>
      <c r="U1339" s="1098" t="e">
        <f>IF($D$1212="",0,$D1339*Table3[[#This Row],[CF]]*chronic_consumption!$P139/1000/$C$3)</f>
        <v>#DIV/0!</v>
      </c>
      <c r="V1339" s="1098" t="e">
        <f>IF($D$1212="",0,$D1339*Table3[[#This Row],[CF]]*chronic_consumption!$Q139/1000/$C$3)</f>
        <v>#DIV/0!</v>
      </c>
      <c r="W1339" s="1098" t="e">
        <f>IF($D$1212="",0,$D1339*Table3[[#This Row],[CF]]*chronic_consumption!$R139/1000/$C$3)</f>
        <v>#DIV/0!</v>
      </c>
      <c r="X1339" s="1098" t="e">
        <f>IF($D$1212="",0,$D1339*Table3[[#This Row],[CF]]*chronic_consumption!$S139/1000/$C$3)</f>
        <v>#DIV/0!</v>
      </c>
      <c r="Y1339" s="1098" t="e">
        <f>IF($D$1212="",0,$D1339*Table3[[#This Row],[CF]]*chronic_consumption!$T139/1000/$C$3)</f>
        <v>#DIV/0!</v>
      </c>
      <c r="Z1339" s="1098" t="e">
        <f>IF($D$1212="",0,$D1339*Table3[[#This Row],[CF]]*chronic_consumption!$U139/1000/$C$3)</f>
        <v>#DIV/0!</v>
      </c>
      <c r="AA1339" s="1098" t="e">
        <f>IF($D$1212="",0,$D1339*Table3[[#This Row],[CF]]*chronic_consumption!$V139/1000/$C$3)</f>
        <v>#DIV/0!</v>
      </c>
      <c r="AB1339" s="1098" t="e">
        <f>IF($D$1212="",0,$D1339*Table3[[#This Row],[CF]]*chronic_consumption!$W139/1000/$C$3)</f>
        <v>#DIV/0!</v>
      </c>
      <c r="AC1339" s="1098" t="e">
        <f>IF($D$1212="",0,$D1339*Table3[[#This Row],[CF]]*chronic_consumption!$X139/1000/$C$3)</f>
        <v>#DIV/0!</v>
      </c>
      <c r="AD1339" s="1098" t="e">
        <f>IF($D$1212="",0,$D1339*Table3[[#This Row],[CF]]*chronic_consumption!$Y139/1000/$C$3)</f>
        <v>#DIV/0!</v>
      </c>
      <c r="AE1339" s="1098" t="e">
        <f>IF($D$1212="",0,$D1339*Table3[[#This Row],[CF]]*chronic_consumption!$Z139/1000/$C$3)</f>
        <v>#DIV/0!</v>
      </c>
      <c r="AF1339" s="1098" t="e">
        <f>IF($D$1212="",0,$D1339*Table3[[#This Row],[CF]]*chronic_consumption!$AA139/1000/$C$3)</f>
        <v>#DIV/0!</v>
      </c>
      <c r="AG1339" s="1098" t="e">
        <f>IF($D$1212="",0,$D1339*Table3[[#This Row],[CF]]*chronic_consumption!$AB139/1000/$C$3)</f>
        <v>#DIV/0!</v>
      </c>
      <c r="AH1339" s="1098" t="e">
        <f>IF($D$1212="",0,$D1339*Table3[[#This Row],[CF]]*chronic_consumption!$AC139/1000/$C$3)</f>
        <v>#DIV/0!</v>
      </c>
      <c r="AI1339" s="1098" t="e">
        <f>IF($D$1212="",0,$D1339*Table3[[#This Row],[CF]]*chronic_consumption!$AD139/1000/$C$3)</f>
        <v>#DIV/0!</v>
      </c>
      <c r="AJ1339" s="1098" t="e">
        <f>IF($D$1212="",0,$D1339*Table3[[#This Row],[CF]]*chronic_consumption!$AE139/1000/$C$3)</f>
        <v>#DIV/0!</v>
      </c>
      <c r="AK1339" s="1098" t="e">
        <f>IF($D$1212="",0,$D1339*Table3[[#This Row],[CF]]*chronic_consumption!$AF139/1000/$C$3)</f>
        <v>#DIV/0!</v>
      </c>
      <c r="AL1339" s="1098" t="e">
        <f>IF($D$1212="",0,$D1339*Table3[[#This Row],[CF]]*chronic_consumption!$AG139/1000/$C$3)</f>
        <v>#DIV/0!</v>
      </c>
      <c r="AM1339" s="1098" t="e">
        <f>IF($D$1212="",0,$D1339*Table3[[#This Row],[CF]]*chronic_consumption!$AH139/1000/$C$3)</f>
        <v>#DIV/0!</v>
      </c>
      <c r="AN1339" s="1098" t="e">
        <f>IF($D$1212="",0,$D1339*Table3[[#This Row],[CF]]*chronic_consumption!$AI139/1000/$C$3)</f>
        <v>#DIV/0!</v>
      </c>
      <c r="AO1339" s="1098" t="e">
        <f>IF($D$1212="",0,$D1339*Table3[[#This Row],[CF]]*chronic_consumption!$AJ139/1000/$C$3)</f>
        <v>#DIV/0!</v>
      </c>
      <c r="AP1339" s="1098" t="e">
        <f>IF($D$1212="",0,$D1339*Table3[[#This Row],[CF]]*chronic_consumption!$AK139/1000/$C$3)</f>
        <v>#DIV/0!</v>
      </c>
      <c r="AQ1339" s="1098" t="e">
        <f>IF($D$1212="",0,$D1339*Table3[[#This Row],[CF]]*chronic_consumption!$AL139/1000/$C$3)</f>
        <v>#DIV/0!</v>
      </c>
      <c r="AR1339" s="1098" t="e">
        <f>IF($D$1212="",0,$D1339*Table3[[#This Row],[CF]]*chronic_consumption!$AM139/1000/$C$3)</f>
        <v>#DIV/0!</v>
      </c>
      <c r="AS1339" s="1098" t="e">
        <f>IF($D$1212="",0,$D1339*Table3[[#This Row],[CF]]*chronic_consumption!$AN139/1000/$C$3)</f>
        <v>#DIV/0!</v>
      </c>
      <c r="AT1339" s="1098" t="e">
        <f>IF($D$1212="",0,$D1339*Table3[[#This Row],[CF]]*chronic_consumption!$AO139/1000/$C$3)</f>
        <v>#DIV/0!</v>
      </c>
      <c r="AU1339" s="1099" t="e">
        <f t="shared" si="852"/>
        <v>#DIV/0!</v>
      </c>
      <c r="AV1339" s="1099" t="e">
        <f t="shared" si="852"/>
        <v>#DIV/0!</v>
      </c>
      <c r="AW1339" s="1099" t="e">
        <f t="shared" si="852"/>
        <v>#DIV/0!</v>
      </c>
      <c r="AX1339" s="1099" t="e">
        <f t="shared" si="852"/>
        <v>#DIV/0!</v>
      </c>
      <c r="AY1339" s="1099" t="e">
        <f t="shared" si="852"/>
        <v>#DIV/0!</v>
      </c>
      <c r="AZ1339" s="1091" t="s">
        <v>1012</v>
      </c>
      <c r="BA1339" s="1097" t="e">
        <f>IF(Table3[[#This Row],[max]]&lt;&gt;0,RANK(Table3[[#This Row],[max]],Table3[max],0),"")</f>
        <v>#DIV/0!</v>
      </c>
      <c r="BB1339" s="1096" t="e">
        <f t="shared" si="842"/>
        <v>#DIV/0!</v>
      </c>
      <c r="BC1339" s="1096" t="e">
        <f t="shared" ca="1" si="843"/>
        <v>#DIV/0!</v>
      </c>
      <c r="BD1339" s="1096" t="e">
        <f>IF(Table3[[#This Row],[max]]&gt;0,Table3[[#This Row],[Crop groups and examples of individual products within the groups to which the MRLs apply]],"")</f>
        <v>#DIV/0!</v>
      </c>
    </row>
    <row r="1340" spans="2:56" x14ac:dyDescent="0.2">
      <c r="B1340" s="23">
        <f t="shared" si="851"/>
        <v>233030</v>
      </c>
      <c r="C1340" s="23" t="str">
        <f t="shared" si="851"/>
        <v>Watermelons</v>
      </c>
      <c r="D1340" s="1084">
        <f>input_values!E140</f>
        <v>0</v>
      </c>
      <c r="E1340" s="1084">
        <f>input_values!F140</f>
        <v>0</v>
      </c>
      <c r="F1340" s="1085">
        <f>input_values!W140</f>
        <v>1</v>
      </c>
      <c r="G1340" s="1085" t="str">
        <f>IF(Table3[[#This Row],[CF]]&gt;0,CONCATENATE(IF(Table3[[#This Row],[LOQ]]="*","LOQ","MRL"),IF(input_values!G140&gt;0,"×CFrisk","")),"")</f>
        <v>MRL</v>
      </c>
      <c r="H1340" s="1087">
        <f>input_values!L140</f>
        <v>0</v>
      </c>
      <c r="I1340" s="1088">
        <f>input_values!D140</f>
        <v>0</v>
      </c>
      <c r="J1340" s="1098" t="e">
        <f>IF($D$1212="",0,$D1340*Table3[[#This Row],[CF]]*chronic_consumption!$E140/1000/$C$3)</f>
        <v>#DIV/0!</v>
      </c>
      <c r="K1340" s="1098" t="e">
        <f>IF($D$1212="",0,$D1340*Table3[[#This Row],[CF]]*chronic_consumption!$F140/1000/$C$3)</f>
        <v>#DIV/0!</v>
      </c>
      <c r="L1340" s="1098" t="e">
        <f>IF($D$1212="",0,$D1340*Table3[[#This Row],[CF]]*chronic_consumption!$G140/1000/$C$3)</f>
        <v>#DIV/0!</v>
      </c>
      <c r="M1340" s="1098" t="e">
        <f>IF($D$1212="",0,$D1340*Table3[[#This Row],[CF]]*chronic_consumption!$H140/1000/$C$3)</f>
        <v>#DIV/0!</v>
      </c>
      <c r="N1340" s="1098" t="e">
        <f>IF($D$1212="",0,$D1340*Table3[[#This Row],[CF]]*chronic_consumption!$I140/1000/$C$3)</f>
        <v>#DIV/0!</v>
      </c>
      <c r="O1340" s="1098" t="e">
        <f>IF($D$1212="",0,$D1340*Table3[[#This Row],[CF]]*chronic_consumption!$J140/1000/$C$3)</f>
        <v>#DIV/0!</v>
      </c>
      <c r="P1340" s="1098" t="e">
        <f>IF($D$1212="",0,$D1340*Table3[[#This Row],[CF]]*chronic_consumption!$K140/1000/$C$3)</f>
        <v>#DIV/0!</v>
      </c>
      <c r="Q1340" s="1098" t="e">
        <f>IF($D$1212="",0,$D1340*Table3[[#This Row],[CF]]*chronic_consumption!$L140/1000/$C$3)</f>
        <v>#DIV/0!</v>
      </c>
      <c r="R1340" s="1098" t="e">
        <f>IF($D$1212="",0,$D1340*Table3[[#This Row],[CF]]*chronic_consumption!$M140/1000/$C$3)</f>
        <v>#DIV/0!</v>
      </c>
      <c r="S1340" s="1098" t="e">
        <f>IF($D$1212="",0,$D1340*Table3[[#This Row],[CF]]*chronic_consumption!$N140/1000/$C$3)</f>
        <v>#DIV/0!</v>
      </c>
      <c r="T1340" s="1098" t="e">
        <f>IF($D$1212="",0,$D1340*Table3[[#This Row],[CF]]*chronic_consumption!$O140/1000/$C$3)</f>
        <v>#DIV/0!</v>
      </c>
      <c r="U1340" s="1098" t="e">
        <f>IF($D$1212="",0,$D1340*Table3[[#This Row],[CF]]*chronic_consumption!$P140/1000/$C$3)</f>
        <v>#DIV/0!</v>
      </c>
      <c r="V1340" s="1098" t="e">
        <f>IF($D$1212="",0,$D1340*Table3[[#This Row],[CF]]*chronic_consumption!$Q140/1000/$C$3)</f>
        <v>#DIV/0!</v>
      </c>
      <c r="W1340" s="1098" t="e">
        <f>IF($D$1212="",0,$D1340*Table3[[#This Row],[CF]]*chronic_consumption!$R140/1000/$C$3)</f>
        <v>#DIV/0!</v>
      </c>
      <c r="X1340" s="1098" t="e">
        <f>IF($D$1212="",0,$D1340*Table3[[#This Row],[CF]]*chronic_consumption!$S140/1000/$C$3)</f>
        <v>#DIV/0!</v>
      </c>
      <c r="Y1340" s="1098" t="e">
        <f>IF($D$1212="",0,$D1340*Table3[[#This Row],[CF]]*chronic_consumption!$T140/1000/$C$3)</f>
        <v>#DIV/0!</v>
      </c>
      <c r="Z1340" s="1098" t="e">
        <f>IF($D$1212="",0,$D1340*Table3[[#This Row],[CF]]*chronic_consumption!$U140/1000/$C$3)</f>
        <v>#DIV/0!</v>
      </c>
      <c r="AA1340" s="1098" t="e">
        <f>IF($D$1212="",0,$D1340*Table3[[#This Row],[CF]]*chronic_consumption!$V140/1000/$C$3)</f>
        <v>#DIV/0!</v>
      </c>
      <c r="AB1340" s="1098" t="e">
        <f>IF($D$1212="",0,$D1340*Table3[[#This Row],[CF]]*chronic_consumption!$W140/1000/$C$3)</f>
        <v>#DIV/0!</v>
      </c>
      <c r="AC1340" s="1098" t="e">
        <f>IF($D$1212="",0,$D1340*Table3[[#This Row],[CF]]*chronic_consumption!$X140/1000/$C$3)</f>
        <v>#DIV/0!</v>
      </c>
      <c r="AD1340" s="1098" t="e">
        <f>IF($D$1212="",0,$D1340*Table3[[#This Row],[CF]]*chronic_consumption!$Y140/1000/$C$3)</f>
        <v>#DIV/0!</v>
      </c>
      <c r="AE1340" s="1098" t="e">
        <f>IF($D$1212="",0,$D1340*Table3[[#This Row],[CF]]*chronic_consumption!$Z140/1000/$C$3)</f>
        <v>#DIV/0!</v>
      </c>
      <c r="AF1340" s="1098" t="e">
        <f>IF($D$1212="",0,$D1340*Table3[[#This Row],[CF]]*chronic_consumption!$AA140/1000/$C$3)</f>
        <v>#DIV/0!</v>
      </c>
      <c r="AG1340" s="1098" t="e">
        <f>IF($D$1212="",0,$D1340*Table3[[#This Row],[CF]]*chronic_consumption!$AB140/1000/$C$3)</f>
        <v>#DIV/0!</v>
      </c>
      <c r="AH1340" s="1098" t="e">
        <f>IF($D$1212="",0,$D1340*Table3[[#This Row],[CF]]*chronic_consumption!$AC140/1000/$C$3)</f>
        <v>#DIV/0!</v>
      </c>
      <c r="AI1340" s="1098" t="e">
        <f>IF($D$1212="",0,$D1340*Table3[[#This Row],[CF]]*chronic_consumption!$AD140/1000/$C$3)</f>
        <v>#DIV/0!</v>
      </c>
      <c r="AJ1340" s="1098" t="e">
        <f>IF($D$1212="",0,$D1340*Table3[[#This Row],[CF]]*chronic_consumption!$AE140/1000/$C$3)</f>
        <v>#DIV/0!</v>
      </c>
      <c r="AK1340" s="1098" t="e">
        <f>IF($D$1212="",0,$D1340*Table3[[#This Row],[CF]]*chronic_consumption!$AF140/1000/$C$3)</f>
        <v>#DIV/0!</v>
      </c>
      <c r="AL1340" s="1098" t="e">
        <f>IF($D$1212="",0,$D1340*Table3[[#This Row],[CF]]*chronic_consumption!$AG140/1000/$C$3)</f>
        <v>#DIV/0!</v>
      </c>
      <c r="AM1340" s="1098" t="e">
        <f>IF($D$1212="",0,$D1340*Table3[[#This Row],[CF]]*chronic_consumption!$AH140/1000/$C$3)</f>
        <v>#DIV/0!</v>
      </c>
      <c r="AN1340" s="1098" t="e">
        <f>IF($D$1212="",0,$D1340*Table3[[#This Row],[CF]]*chronic_consumption!$AI140/1000/$C$3)</f>
        <v>#DIV/0!</v>
      </c>
      <c r="AO1340" s="1098" t="e">
        <f>IF($D$1212="",0,$D1340*Table3[[#This Row],[CF]]*chronic_consumption!$AJ140/1000/$C$3)</f>
        <v>#DIV/0!</v>
      </c>
      <c r="AP1340" s="1098" t="e">
        <f>IF($D$1212="",0,$D1340*Table3[[#This Row],[CF]]*chronic_consumption!$AK140/1000/$C$3)</f>
        <v>#DIV/0!</v>
      </c>
      <c r="AQ1340" s="1098" t="e">
        <f>IF($D$1212="",0,$D1340*Table3[[#This Row],[CF]]*chronic_consumption!$AL140/1000/$C$3)</f>
        <v>#DIV/0!</v>
      </c>
      <c r="AR1340" s="1098" t="e">
        <f>IF($D$1212="",0,$D1340*Table3[[#This Row],[CF]]*chronic_consumption!$AM140/1000/$C$3)</f>
        <v>#DIV/0!</v>
      </c>
      <c r="AS1340" s="1098" t="e">
        <f>IF($D$1212="",0,$D1340*Table3[[#This Row],[CF]]*chronic_consumption!$AN140/1000/$C$3)</f>
        <v>#DIV/0!</v>
      </c>
      <c r="AT1340" s="1098" t="e">
        <f>IF($D$1212="",0,$D1340*Table3[[#This Row],[CF]]*chronic_consumption!$AO140/1000/$C$3)</f>
        <v>#DIV/0!</v>
      </c>
      <c r="AU1340" s="1099" t="e">
        <f t="shared" si="852"/>
        <v>#DIV/0!</v>
      </c>
      <c r="AV1340" s="1099" t="e">
        <f t="shared" si="852"/>
        <v>#DIV/0!</v>
      </c>
      <c r="AW1340" s="1099" t="e">
        <f t="shared" si="852"/>
        <v>#DIV/0!</v>
      </c>
      <c r="AX1340" s="1099" t="e">
        <f t="shared" si="852"/>
        <v>#DIV/0!</v>
      </c>
      <c r="AY1340" s="1099" t="e">
        <f t="shared" si="852"/>
        <v>#DIV/0!</v>
      </c>
      <c r="AZ1340" s="1091" t="s">
        <v>1012</v>
      </c>
      <c r="BA1340" s="1097" t="e">
        <f>IF(Table3[[#This Row],[max]]&lt;&gt;0,RANK(Table3[[#This Row],[max]],Table3[max],0),"")</f>
        <v>#DIV/0!</v>
      </c>
      <c r="BB1340" s="1096" t="e">
        <f t="shared" ref="BB1340:BB1403" si="853">MAX(J1340:AY1340)</f>
        <v>#DIV/0!</v>
      </c>
      <c r="BC1340" s="1096" t="e">
        <f t="shared" ref="BC1340:BC1403" ca="1" si="854">IF(BB1340&gt;0,OFFSET($I$10,1,MATCH(BB1340,J1340:AY1340,0)),"")</f>
        <v>#DIV/0!</v>
      </c>
      <c r="BD1340" s="1096" t="e">
        <f>IF(Table3[[#This Row],[max]]&gt;0,Table3[[#This Row],[Crop groups and examples of individual products within the groups to which the MRLs apply]],"")</f>
        <v>#DIV/0!</v>
      </c>
    </row>
    <row r="1341" spans="2:56" x14ac:dyDescent="0.2">
      <c r="B1341" s="23">
        <f t="shared" si="851"/>
        <v>233990</v>
      </c>
      <c r="C1341" s="23" t="str">
        <f t="shared" si="851"/>
        <v>Other cucurbits - inedible peel</v>
      </c>
      <c r="D1341" s="1084">
        <f>input_values!E141</f>
        <v>0</v>
      </c>
      <c r="E1341" s="1084">
        <f>input_values!F141</f>
        <v>0</v>
      </c>
      <c r="F1341" s="1085">
        <f>input_values!W141</f>
        <v>1</v>
      </c>
      <c r="G1341" s="1085" t="str">
        <f>IF(Table3[[#This Row],[CF]]&gt;0,CONCATENATE(IF(Table3[[#This Row],[LOQ]]="*","LOQ","MRL"),IF(input_values!G141&gt;0,"×CFrisk","")),"")</f>
        <v>MRL</v>
      </c>
      <c r="H1341" s="1087">
        <f>input_values!L141</f>
        <v>0</v>
      </c>
      <c r="I1341" s="1088">
        <f>input_values!D141</f>
        <v>0</v>
      </c>
      <c r="J1341" s="1098" t="e">
        <f>IF($D$1212="",0,$D1341*Table3[[#This Row],[CF]]*chronic_consumption!$E141/1000/$C$3)</f>
        <v>#DIV/0!</v>
      </c>
      <c r="K1341" s="1098" t="e">
        <f>IF($D$1212="",0,$D1341*Table3[[#This Row],[CF]]*chronic_consumption!$F141/1000/$C$3)</f>
        <v>#DIV/0!</v>
      </c>
      <c r="L1341" s="1098" t="e">
        <f>IF($D$1212="",0,$D1341*Table3[[#This Row],[CF]]*chronic_consumption!$G141/1000/$C$3)</f>
        <v>#DIV/0!</v>
      </c>
      <c r="M1341" s="1098" t="e">
        <f>IF($D$1212="",0,$D1341*Table3[[#This Row],[CF]]*chronic_consumption!$H141/1000/$C$3)</f>
        <v>#DIV/0!</v>
      </c>
      <c r="N1341" s="1098" t="e">
        <f>IF($D$1212="",0,$D1341*Table3[[#This Row],[CF]]*chronic_consumption!$I141/1000/$C$3)</f>
        <v>#DIV/0!</v>
      </c>
      <c r="O1341" s="1098" t="e">
        <f>IF($D$1212="",0,$D1341*Table3[[#This Row],[CF]]*chronic_consumption!$J141/1000/$C$3)</f>
        <v>#DIV/0!</v>
      </c>
      <c r="P1341" s="1098" t="e">
        <f>IF($D$1212="",0,$D1341*Table3[[#This Row],[CF]]*chronic_consumption!$K141/1000/$C$3)</f>
        <v>#DIV/0!</v>
      </c>
      <c r="Q1341" s="1098" t="e">
        <f>IF($D$1212="",0,$D1341*Table3[[#This Row],[CF]]*chronic_consumption!$L141/1000/$C$3)</f>
        <v>#DIV/0!</v>
      </c>
      <c r="R1341" s="1098" t="e">
        <f>IF($D$1212="",0,$D1341*Table3[[#This Row],[CF]]*chronic_consumption!$M141/1000/$C$3)</f>
        <v>#DIV/0!</v>
      </c>
      <c r="S1341" s="1098" t="e">
        <f>IF($D$1212="",0,$D1341*Table3[[#This Row],[CF]]*chronic_consumption!$N141/1000/$C$3)</f>
        <v>#DIV/0!</v>
      </c>
      <c r="T1341" s="1098" t="e">
        <f>IF($D$1212="",0,$D1341*Table3[[#This Row],[CF]]*chronic_consumption!$O141/1000/$C$3)</f>
        <v>#DIV/0!</v>
      </c>
      <c r="U1341" s="1098" t="e">
        <f>IF($D$1212="",0,$D1341*Table3[[#This Row],[CF]]*chronic_consumption!$P141/1000/$C$3)</f>
        <v>#DIV/0!</v>
      </c>
      <c r="V1341" s="1098" t="e">
        <f>IF($D$1212="",0,$D1341*Table3[[#This Row],[CF]]*chronic_consumption!$Q141/1000/$C$3)</f>
        <v>#DIV/0!</v>
      </c>
      <c r="W1341" s="1098" t="e">
        <f>IF($D$1212="",0,$D1341*Table3[[#This Row],[CF]]*chronic_consumption!$R141/1000/$C$3)</f>
        <v>#DIV/0!</v>
      </c>
      <c r="X1341" s="1098" t="e">
        <f>IF($D$1212="",0,$D1341*Table3[[#This Row],[CF]]*chronic_consumption!$S141/1000/$C$3)</f>
        <v>#DIV/0!</v>
      </c>
      <c r="Y1341" s="1098" t="e">
        <f>IF($D$1212="",0,$D1341*Table3[[#This Row],[CF]]*chronic_consumption!$T141/1000/$C$3)</f>
        <v>#DIV/0!</v>
      </c>
      <c r="Z1341" s="1098" t="e">
        <f>IF($D$1212="",0,$D1341*Table3[[#This Row],[CF]]*chronic_consumption!$U141/1000/$C$3)</f>
        <v>#DIV/0!</v>
      </c>
      <c r="AA1341" s="1098" t="e">
        <f>IF($D$1212="",0,$D1341*Table3[[#This Row],[CF]]*chronic_consumption!$V141/1000/$C$3)</f>
        <v>#DIV/0!</v>
      </c>
      <c r="AB1341" s="1098" t="e">
        <f>IF($D$1212="",0,$D1341*Table3[[#This Row],[CF]]*chronic_consumption!$W141/1000/$C$3)</f>
        <v>#DIV/0!</v>
      </c>
      <c r="AC1341" s="1098" t="e">
        <f>IF($D$1212="",0,$D1341*Table3[[#This Row],[CF]]*chronic_consumption!$X141/1000/$C$3)</f>
        <v>#DIV/0!</v>
      </c>
      <c r="AD1341" s="1098" t="e">
        <f>IF($D$1212="",0,$D1341*Table3[[#This Row],[CF]]*chronic_consumption!$Y141/1000/$C$3)</f>
        <v>#DIV/0!</v>
      </c>
      <c r="AE1341" s="1098" t="e">
        <f>IF($D$1212="",0,$D1341*Table3[[#This Row],[CF]]*chronic_consumption!$Z141/1000/$C$3)</f>
        <v>#DIV/0!</v>
      </c>
      <c r="AF1341" s="1098" t="e">
        <f>IF($D$1212="",0,$D1341*Table3[[#This Row],[CF]]*chronic_consumption!$AA141/1000/$C$3)</f>
        <v>#DIV/0!</v>
      </c>
      <c r="AG1341" s="1098" t="e">
        <f>IF($D$1212="",0,$D1341*Table3[[#This Row],[CF]]*chronic_consumption!$AB141/1000/$C$3)</f>
        <v>#DIV/0!</v>
      </c>
      <c r="AH1341" s="1098" t="e">
        <f>IF($D$1212="",0,$D1341*Table3[[#This Row],[CF]]*chronic_consumption!$AC141/1000/$C$3)</f>
        <v>#DIV/0!</v>
      </c>
      <c r="AI1341" s="1098" t="e">
        <f>IF($D$1212="",0,$D1341*Table3[[#This Row],[CF]]*chronic_consumption!$AD141/1000/$C$3)</f>
        <v>#DIV/0!</v>
      </c>
      <c r="AJ1341" s="1098" t="e">
        <f>IF($D$1212="",0,$D1341*Table3[[#This Row],[CF]]*chronic_consumption!$AE141/1000/$C$3)</f>
        <v>#DIV/0!</v>
      </c>
      <c r="AK1341" s="1098" t="e">
        <f>IF($D$1212="",0,$D1341*Table3[[#This Row],[CF]]*chronic_consumption!$AF141/1000/$C$3)</f>
        <v>#DIV/0!</v>
      </c>
      <c r="AL1341" s="1098" t="e">
        <f>IF($D$1212="",0,$D1341*Table3[[#This Row],[CF]]*chronic_consumption!$AG141/1000/$C$3)</f>
        <v>#DIV/0!</v>
      </c>
      <c r="AM1341" s="1098" t="e">
        <f>IF($D$1212="",0,$D1341*Table3[[#This Row],[CF]]*chronic_consumption!$AH141/1000/$C$3)</f>
        <v>#DIV/0!</v>
      </c>
      <c r="AN1341" s="1098" t="e">
        <f>IF($D$1212="",0,$D1341*Table3[[#This Row],[CF]]*chronic_consumption!$AI141/1000/$C$3)</f>
        <v>#DIV/0!</v>
      </c>
      <c r="AO1341" s="1098" t="e">
        <f>IF($D$1212="",0,$D1341*Table3[[#This Row],[CF]]*chronic_consumption!$AJ141/1000/$C$3)</f>
        <v>#DIV/0!</v>
      </c>
      <c r="AP1341" s="1098" t="e">
        <f>IF($D$1212="",0,$D1341*Table3[[#This Row],[CF]]*chronic_consumption!$AK141/1000/$C$3)</f>
        <v>#DIV/0!</v>
      </c>
      <c r="AQ1341" s="1098" t="e">
        <f>IF($D$1212="",0,$D1341*Table3[[#This Row],[CF]]*chronic_consumption!$AL141/1000/$C$3)</f>
        <v>#DIV/0!</v>
      </c>
      <c r="AR1341" s="1098" t="e">
        <f>IF($D$1212="",0,$D1341*Table3[[#This Row],[CF]]*chronic_consumption!$AM141/1000/$C$3)</f>
        <v>#DIV/0!</v>
      </c>
      <c r="AS1341" s="1098" t="e">
        <f>IF($D$1212="",0,$D1341*Table3[[#This Row],[CF]]*chronic_consumption!$AN141/1000/$C$3)</f>
        <v>#DIV/0!</v>
      </c>
      <c r="AT1341" s="1098" t="e">
        <f>IF($D$1212="",0,$D1341*Table3[[#This Row],[CF]]*chronic_consumption!$AO141/1000/$C$3)</f>
        <v>#DIV/0!</v>
      </c>
      <c r="AU1341" s="1099" t="e">
        <f t="shared" si="852"/>
        <v>#DIV/0!</v>
      </c>
      <c r="AV1341" s="1099" t="e">
        <f t="shared" si="852"/>
        <v>#DIV/0!</v>
      </c>
      <c r="AW1341" s="1099" t="e">
        <f t="shared" si="852"/>
        <v>#DIV/0!</v>
      </c>
      <c r="AX1341" s="1099" t="e">
        <f t="shared" si="852"/>
        <v>#DIV/0!</v>
      </c>
      <c r="AY1341" s="1099" t="e">
        <f t="shared" si="852"/>
        <v>#DIV/0!</v>
      </c>
      <c r="AZ1341" s="1091" t="s">
        <v>1012</v>
      </c>
      <c r="BA1341" s="1097" t="e">
        <f>IF(Table3[[#This Row],[max]]&lt;&gt;0,RANK(Table3[[#This Row],[max]],Table3[max],0),"")</f>
        <v>#DIV/0!</v>
      </c>
      <c r="BB1341" s="1096" t="e">
        <f t="shared" si="853"/>
        <v>#DIV/0!</v>
      </c>
      <c r="BC1341" s="1096" t="e">
        <f t="shared" ca="1" si="854"/>
        <v>#DIV/0!</v>
      </c>
      <c r="BD1341" s="1096" t="e">
        <f>IF(Table3[[#This Row],[max]]&gt;0,Table3[[#This Row],[Crop groups and examples of individual products within the groups to which the MRLs apply]],"")</f>
        <v>#DIV/0!</v>
      </c>
    </row>
    <row r="1342" spans="2:56" x14ac:dyDescent="0.2">
      <c r="B1342" s="3">
        <f t="shared" si="851"/>
        <v>234000</v>
      </c>
      <c r="C1342" s="3" t="str">
        <f t="shared" si="851"/>
        <v>Sweet corn</v>
      </c>
      <c r="D1342" s="1084">
        <f>input_values!E142</f>
        <v>0</v>
      </c>
      <c r="E1342" s="1084">
        <f>input_values!F142</f>
        <v>0</v>
      </c>
      <c r="F1342" s="1085">
        <f>input_values!W142</f>
        <v>1</v>
      </c>
      <c r="G1342" s="1085" t="str">
        <f>IF(Table3[[#This Row],[CF]]&gt;0,CONCATENATE(IF(Table3[[#This Row],[LOQ]]="*","LOQ","MRL"),IF(input_values!G142&gt;0,"×CFrisk","")),"")</f>
        <v>MRL</v>
      </c>
      <c r="H1342" s="1087">
        <f>input_values!L142</f>
        <v>0</v>
      </c>
      <c r="I1342" s="1088">
        <f>input_values!D142</f>
        <v>0</v>
      </c>
      <c r="J1342" s="1100" t="e">
        <f>IF($D$1212="",0,$D1342*Table3[[#This Row],[CF]]*chronic_consumption!$E142/1000/$C$3)</f>
        <v>#DIV/0!</v>
      </c>
      <c r="K1342" s="1100" t="e">
        <f>IF($D$1212="",0,$D1342*Table3[[#This Row],[CF]]*chronic_consumption!$F142/1000/$C$3)</f>
        <v>#DIV/0!</v>
      </c>
      <c r="L1342" s="1100" t="e">
        <f>IF($D$1212="",0,$D1342*Table3[[#This Row],[CF]]*chronic_consumption!$G142/1000/$C$3)</f>
        <v>#DIV/0!</v>
      </c>
      <c r="M1342" s="1100" t="e">
        <f>IF($D$1212="",0,$D1342*Table3[[#This Row],[CF]]*chronic_consumption!$H142/1000/$C$3)</f>
        <v>#DIV/0!</v>
      </c>
      <c r="N1342" s="1100" t="e">
        <f>IF($D$1212="",0,$D1342*Table3[[#This Row],[CF]]*chronic_consumption!$I142/1000/$C$3)</f>
        <v>#DIV/0!</v>
      </c>
      <c r="O1342" s="1100" t="e">
        <f>IF($D$1212="",0,$D1342*Table3[[#This Row],[CF]]*chronic_consumption!$J142/1000/$C$3)</f>
        <v>#DIV/0!</v>
      </c>
      <c r="P1342" s="1100" t="e">
        <f>IF($D$1212="",0,$D1342*Table3[[#This Row],[CF]]*chronic_consumption!$K142/1000/$C$3)</f>
        <v>#DIV/0!</v>
      </c>
      <c r="Q1342" s="1100" t="e">
        <f>IF($D$1212="",0,$D1342*Table3[[#This Row],[CF]]*chronic_consumption!$L142/1000/$C$3)</f>
        <v>#DIV/0!</v>
      </c>
      <c r="R1342" s="1100" t="e">
        <f>IF($D$1212="",0,$D1342*Table3[[#This Row],[CF]]*chronic_consumption!$M142/1000/$C$3)</f>
        <v>#DIV/0!</v>
      </c>
      <c r="S1342" s="1100" t="e">
        <f>IF($D$1212="",0,$D1342*Table3[[#This Row],[CF]]*chronic_consumption!$N142/1000/$C$3)</f>
        <v>#DIV/0!</v>
      </c>
      <c r="T1342" s="1100" t="e">
        <f>IF($D$1212="",0,$D1342*Table3[[#This Row],[CF]]*chronic_consumption!$O142/1000/$C$3)</f>
        <v>#DIV/0!</v>
      </c>
      <c r="U1342" s="1100" t="e">
        <f>IF($D$1212="",0,$D1342*Table3[[#This Row],[CF]]*chronic_consumption!$P142/1000/$C$3)</f>
        <v>#DIV/0!</v>
      </c>
      <c r="V1342" s="1100" t="e">
        <f>IF($D$1212="",0,$D1342*Table3[[#This Row],[CF]]*chronic_consumption!$Q142/1000/$C$3)</f>
        <v>#DIV/0!</v>
      </c>
      <c r="W1342" s="1100" t="e">
        <f>IF($D$1212="",0,$D1342*Table3[[#This Row],[CF]]*chronic_consumption!$R142/1000/$C$3)</f>
        <v>#DIV/0!</v>
      </c>
      <c r="X1342" s="1100" t="e">
        <f>IF($D$1212="",0,$D1342*Table3[[#This Row],[CF]]*chronic_consumption!$S142/1000/$C$3)</f>
        <v>#DIV/0!</v>
      </c>
      <c r="Y1342" s="1100" t="e">
        <f>IF($D$1212="",0,$D1342*Table3[[#This Row],[CF]]*chronic_consumption!$T142/1000/$C$3)</f>
        <v>#DIV/0!</v>
      </c>
      <c r="Z1342" s="1100" t="e">
        <f>IF($D$1212="",0,$D1342*Table3[[#This Row],[CF]]*chronic_consumption!$U142/1000/$C$3)</f>
        <v>#DIV/0!</v>
      </c>
      <c r="AA1342" s="1100" t="e">
        <f>IF($D$1212="",0,$D1342*Table3[[#This Row],[CF]]*chronic_consumption!$V142/1000/$C$3)</f>
        <v>#DIV/0!</v>
      </c>
      <c r="AB1342" s="1100" t="e">
        <f>IF($D$1212="",0,$D1342*Table3[[#This Row],[CF]]*chronic_consumption!$W142/1000/$C$3)</f>
        <v>#DIV/0!</v>
      </c>
      <c r="AC1342" s="1100" t="e">
        <f>IF($D$1212="",0,$D1342*Table3[[#This Row],[CF]]*chronic_consumption!$X142/1000/$C$3)</f>
        <v>#DIV/0!</v>
      </c>
      <c r="AD1342" s="1100" t="e">
        <f>IF($D$1212="",0,$D1342*Table3[[#This Row],[CF]]*chronic_consumption!$Y142/1000/$C$3)</f>
        <v>#DIV/0!</v>
      </c>
      <c r="AE1342" s="1100" t="e">
        <f>IF($D$1212="",0,$D1342*Table3[[#This Row],[CF]]*chronic_consumption!$Z142/1000/$C$3)</f>
        <v>#DIV/0!</v>
      </c>
      <c r="AF1342" s="1100" t="e">
        <f>IF($D$1212="",0,$D1342*Table3[[#This Row],[CF]]*chronic_consumption!$AA142/1000/$C$3)</f>
        <v>#DIV/0!</v>
      </c>
      <c r="AG1342" s="1100" t="e">
        <f>IF($D$1212="",0,$D1342*Table3[[#This Row],[CF]]*chronic_consumption!$AB142/1000/$C$3)</f>
        <v>#DIV/0!</v>
      </c>
      <c r="AH1342" s="1100" t="e">
        <f>IF($D$1212="",0,$D1342*Table3[[#This Row],[CF]]*chronic_consumption!$AC142/1000/$C$3)</f>
        <v>#DIV/0!</v>
      </c>
      <c r="AI1342" s="1100" t="e">
        <f>IF($D$1212="",0,$D1342*Table3[[#This Row],[CF]]*chronic_consumption!$AD142/1000/$C$3)</f>
        <v>#DIV/0!</v>
      </c>
      <c r="AJ1342" s="1100" t="e">
        <f>IF($D$1212="",0,$D1342*Table3[[#This Row],[CF]]*chronic_consumption!$AE142/1000/$C$3)</f>
        <v>#DIV/0!</v>
      </c>
      <c r="AK1342" s="1100" t="e">
        <f>IF($D$1212="",0,$D1342*Table3[[#This Row],[CF]]*chronic_consumption!$AF142/1000/$C$3)</f>
        <v>#DIV/0!</v>
      </c>
      <c r="AL1342" s="1100" t="e">
        <f>IF($D$1212="",0,$D1342*Table3[[#This Row],[CF]]*chronic_consumption!$AG142/1000/$C$3)</f>
        <v>#DIV/0!</v>
      </c>
      <c r="AM1342" s="1100" t="e">
        <f>IF($D$1212="",0,$D1342*Table3[[#This Row],[CF]]*chronic_consumption!$AH142/1000/$C$3)</f>
        <v>#DIV/0!</v>
      </c>
      <c r="AN1342" s="1100" t="e">
        <f>IF($D$1212="",0,$D1342*Table3[[#This Row],[CF]]*chronic_consumption!$AI142/1000/$C$3)</f>
        <v>#DIV/0!</v>
      </c>
      <c r="AO1342" s="1100" t="e">
        <f>IF($D$1212="",0,$D1342*Table3[[#This Row],[CF]]*chronic_consumption!$AJ142/1000/$C$3)</f>
        <v>#DIV/0!</v>
      </c>
      <c r="AP1342" s="1100" t="e">
        <f>IF($D$1212="",0,$D1342*Table3[[#This Row],[CF]]*chronic_consumption!$AK142/1000/$C$3)</f>
        <v>#DIV/0!</v>
      </c>
      <c r="AQ1342" s="1100" t="e">
        <f>IF($D$1212="",0,$D1342*Table3[[#This Row],[CF]]*chronic_consumption!$AL142/1000/$C$3)</f>
        <v>#DIV/0!</v>
      </c>
      <c r="AR1342" s="1100" t="e">
        <f>IF($D$1212="",0,$D1342*Table3[[#This Row],[CF]]*chronic_consumption!$AM142/1000/$C$3)</f>
        <v>#DIV/0!</v>
      </c>
      <c r="AS1342" s="1100" t="e">
        <f>IF($D$1212="",0,$D1342*Table3[[#This Row],[CF]]*chronic_consumption!$AN142/1000/$C$3)</f>
        <v>#DIV/0!</v>
      </c>
      <c r="AT1342" s="1100" t="e">
        <f>IF($D$1212="",0,$D1342*Table3[[#This Row],[CF]]*chronic_consumption!$AO142/1000/$C$3)</f>
        <v>#DIV/0!</v>
      </c>
      <c r="AU1342" s="1101" t="e">
        <f t="shared" ref="AU1342:AY1351" si="855">IF(AU542="",0,IF(OR(1=RANK(AU942,AU$412:AU$790,0),(2=RANK(AU942,AU$412:AU$790,0))),AU942,AU542))</f>
        <v>#DIV/0!</v>
      </c>
      <c r="AV1342" s="1101" t="e">
        <f t="shared" si="855"/>
        <v>#DIV/0!</v>
      </c>
      <c r="AW1342" s="1101" t="e">
        <f t="shared" si="855"/>
        <v>#DIV/0!</v>
      </c>
      <c r="AX1342" s="1101" t="e">
        <f t="shared" si="855"/>
        <v>#DIV/0!</v>
      </c>
      <c r="AY1342" s="1101" t="e">
        <f t="shared" si="855"/>
        <v>#DIV/0!</v>
      </c>
      <c r="AZ1342" s="1091" t="s">
        <v>1012</v>
      </c>
      <c r="BA1342" s="1097" t="e">
        <f>IF(Table3[[#This Row],[max]]&lt;&gt;0,RANK(Table3[[#This Row],[max]],Table3[max],0),"")</f>
        <v>#DIV/0!</v>
      </c>
      <c r="BB1342" s="1096" t="e">
        <f t="shared" si="853"/>
        <v>#DIV/0!</v>
      </c>
      <c r="BC1342" s="1096" t="e">
        <f t="shared" ca="1" si="854"/>
        <v>#DIV/0!</v>
      </c>
      <c r="BD1342" s="1096" t="e">
        <f>IF(Table3[[#This Row],[max]]&gt;0,Table3[[#This Row],[Crop groups and examples of individual products within the groups to which the MRLs apply]],"")</f>
        <v>#DIV/0!</v>
      </c>
    </row>
    <row r="1343" spans="2:56" x14ac:dyDescent="0.2">
      <c r="B1343" s="3">
        <f t="shared" si="851"/>
        <v>239000</v>
      </c>
      <c r="C1343" s="3" t="str">
        <f t="shared" si="851"/>
        <v xml:space="preserve">Other fruiting vegetables </v>
      </c>
      <c r="D1343" s="1084">
        <f>input_values!E143</f>
        <v>0</v>
      </c>
      <c r="E1343" s="1084">
        <f>input_values!F143</f>
        <v>0</v>
      </c>
      <c r="F1343" s="1085">
        <f>input_values!W143</f>
        <v>0</v>
      </c>
      <c r="G1343" s="1085" t="str">
        <f>IF(Table3[[#This Row],[CF]]&gt;0,CONCATENATE(IF(Table3[[#This Row],[LOQ]]="*","LOQ","MRL"),IF(input_values!G143&gt;0,"×CFrisk","")),"")</f>
        <v/>
      </c>
      <c r="H1343" s="1087">
        <f>input_values!L143</f>
        <v>0</v>
      </c>
      <c r="I1343" s="1088">
        <f>input_values!D143</f>
        <v>0</v>
      </c>
      <c r="J1343" s="1100" t="e">
        <f>IF($D$1212="",0,$D1343*Table3[[#This Row],[CF]]*chronic_consumption!$E143/1000/$C$3)</f>
        <v>#DIV/0!</v>
      </c>
      <c r="K1343" s="1100" t="e">
        <f>IF($D$1212="",0,$D1343*Table3[[#This Row],[CF]]*chronic_consumption!$F143/1000/$C$3)</f>
        <v>#DIV/0!</v>
      </c>
      <c r="L1343" s="1100" t="e">
        <f>IF($D$1212="",0,$D1343*Table3[[#This Row],[CF]]*chronic_consumption!$G143/1000/$C$3)</f>
        <v>#DIV/0!</v>
      </c>
      <c r="M1343" s="1100" t="e">
        <f>IF($D$1212="",0,$D1343*Table3[[#This Row],[CF]]*chronic_consumption!$H143/1000/$C$3)</f>
        <v>#DIV/0!</v>
      </c>
      <c r="N1343" s="1100" t="e">
        <f>IF($D$1212="",0,$D1343*Table3[[#This Row],[CF]]*chronic_consumption!$I143/1000/$C$3)</f>
        <v>#DIV/0!</v>
      </c>
      <c r="O1343" s="1100" t="e">
        <f>IF($D$1212="",0,$D1343*Table3[[#This Row],[CF]]*chronic_consumption!$J143/1000/$C$3)</f>
        <v>#DIV/0!</v>
      </c>
      <c r="P1343" s="1100" t="e">
        <f>IF($D$1212="",0,$D1343*Table3[[#This Row],[CF]]*chronic_consumption!$K143/1000/$C$3)</f>
        <v>#DIV/0!</v>
      </c>
      <c r="Q1343" s="1100" t="e">
        <f>IF($D$1212="",0,$D1343*Table3[[#This Row],[CF]]*chronic_consumption!$L143/1000/$C$3)</f>
        <v>#DIV/0!</v>
      </c>
      <c r="R1343" s="1100" t="e">
        <f>IF($D$1212="",0,$D1343*Table3[[#This Row],[CF]]*chronic_consumption!$M143/1000/$C$3)</f>
        <v>#DIV/0!</v>
      </c>
      <c r="S1343" s="1100" t="e">
        <f>IF($D$1212="",0,$D1343*Table3[[#This Row],[CF]]*chronic_consumption!$N143/1000/$C$3)</f>
        <v>#DIV/0!</v>
      </c>
      <c r="T1343" s="1100" t="e">
        <f>IF($D$1212="",0,$D1343*Table3[[#This Row],[CF]]*chronic_consumption!$O143/1000/$C$3)</f>
        <v>#DIV/0!</v>
      </c>
      <c r="U1343" s="1100" t="e">
        <f>IF($D$1212="",0,$D1343*Table3[[#This Row],[CF]]*chronic_consumption!$P143/1000/$C$3)</f>
        <v>#DIV/0!</v>
      </c>
      <c r="V1343" s="1100" t="e">
        <f>IF($D$1212="",0,$D1343*Table3[[#This Row],[CF]]*chronic_consumption!$Q143/1000/$C$3)</f>
        <v>#DIV/0!</v>
      </c>
      <c r="W1343" s="1100" t="e">
        <f>IF($D$1212="",0,$D1343*Table3[[#This Row],[CF]]*chronic_consumption!$R143/1000/$C$3)</f>
        <v>#DIV/0!</v>
      </c>
      <c r="X1343" s="1100" t="e">
        <f>IF($D$1212="",0,$D1343*Table3[[#This Row],[CF]]*chronic_consumption!$S143/1000/$C$3)</f>
        <v>#DIV/0!</v>
      </c>
      <c r="Y1343" s="1100" t="e">
        <f>IF($D$1212="",0,$D1343*Table3[[#This Row],[CF]]*chronic_consumption!$T143/1000/$C$3)</f>
        <v>#DIV/0!</v>
      </c>
      <c r="Z1343" s="1100" t="e">
        <f>IF($D$1212="",0,$D1343*Table3[[#This Row],[CF]]*chronic_consumption!$U143/1000/$C$3)</f>
        <v>#DIV/0!</v>
      </c>
      <c r="AA1343" s="1100" t="e">
        <f>IF($D$1212="",0,$D1343*Table3[[#This Row],[CF]]*chronic_consumption!$V143/1000/$C$3)</f>
        <v>#DIV/0!</v>
      </c>
      <c r="AB1343" s="1100" t="e">
        <f>IF($D$1212="",0,$D1343*Table3[[#This Row],[CF]]*chronic_consumption!$W143/1000/$C$3)</f>
        <v>#DIV/0!</v>
      </c>
      <c r="AC1343" s="1100" t="e">
        <f>IF($D$1212="",0,$D1343*Table3[[#This Row],[CF]]*chronic_consumption!$X143/1000/$C$3)</f>
        <v>#DIV/0!</v>
      </c>
      <c r="AD1343" s="1100" t="e">
        <f>IF($D$1212="",0,$D1343*Table3[[#This Row],[CF]]*chronic_consumption!$Y143/1000/$C$3)</f>
        <v>#DIV/0!</v>
      </c>
      <c r="AE1343" s="1100" t="e">
        <f>IF($D$1212="",0,$D1343*Table3[[#This Row],[CF]]*chronic_consumption!$Z143/1000/$C$3)</f>
        <v>#DIV/0!</v>
      </c>
      <c r="AF1343" s="1100" t="e">
        <f>IF($D$1212="",0,$D1343*Table3[[#This Row],[CF]]*chronic_consumption!$AA143/1000/$C$3)</f>
        <v>#DIV/0!</v>
      </c>
      <c r="AG1343" s="1100" t="e">
        <f>IF($D$1212="",0,$D1343*Table3[[#This Row],[CF]]*chronic_consumption!$AB143/1000/$C$3)</f>
        <v>#DIV/0!</v>
      </c>
      <c r="AH1343" s="1100" t="e">
        <f>IF($D$1212="",0,$D1343*Table3[[#This Row],[CF]]*chronic_consumption!$AC143/1000/$C$3)</f>
        <v>#DIV/0!</v>
      </c>
      <c r="AI1343" s="1100" t="e">
        <f>IF($D$1212="",0,$D1343*Table3[[#This Row],[CF]]*chronic_consumption!$AD143/1000/$C$3)</f>
        <v>#DIV/0!</v>
      </c>
      <c r="AJ1343" s="1100" t="e">
        <f>IF($D$1212="",0,$D1343*Table3[[#This Row],[CF]]*chronic_consumption!$AE143/1000/$C$3)</f>
        <v>#DIV/0!</v>
      </c>
      <c r="AK1343" s="1100" t="e">
        <f>IF($D$1212="",0,$D1343*Table3[[#This Row],[CF]]*chronic_consumption!$AF143/1000/$C$3)</f>
        <v>#DIV/0!</v>
      </c>
      <c r="AL1343" s="1100" t="e">
        <f>IF($D$1212="",0,$D1343*Table3[[#This Row],[CF]]*chronic_consumption!$AG143/1000/$C$3)</f>
        <v>#DIV/0!</v>
      </c>
      <c r="AM1343" s="1100" t="e">
        <f>IF($D$1212="",0,$D1343*Table3[[#This Row],[CF]]*chronic_consumption!$AH143/1000/$C$3)</f>
        <v>#DIV/0!</v>
      </c>
      <c r="AN1343" s="1100" t="e">
        <f>IF($D$1212="",0,$D1343*Table3[[#This Row],[CF]]*chronic_consumption!$AI143/1000/$C$3)</f>
        <v>#DIV/0!</v>
      </c>
      <c r="AO1343" s="1100" t="e">
        <f>IF($D$1212="",0,$D1343*Table3[[#This Row],[CF]]*chronic_consumption!$AJ143/1000/$C$3)</f>
        <v>#DIV/0!</v>
      </c>
      <c r="AP1343" s="1100" t="e">
        <f>IF($D$1212="",0,$D1343*Table3[[#This Row],[CF]]*chronic_consumption!$AK143/1000/$C$3)</f>
        <v>#DIV/0!</v>
      </c>
      <c r="AQ1343" s="1100" t="e">
        <f>IF($D$1212="",0,$D1343*Table3[[#This Row],[CF]]*chronic_consumption!$AL143/1000/$C$3)</f>
        <v>#DIV/0!</v>
      </c>
      <c r="AR1343" s="1100" t="e">
        <f>IF($D$1212="",0,$D1343*Table3[[#This Row],[CF]]*chronic_consumption!$AM143/1000/$C$3)</f>
        <v>#DIV/0!</v>
      </c>
      <c r="AS1343" s="1100" t="e">
        <f>IF($D$1212="",0,$D1343*Table3[[#This Row],[CF]]*chronic_consumption!$AN143/1000/$C$3)</f>
        <v>#DIV/0!</v>
      </c>
      <c r="AT1343" s="1100" t="e">
        <f>IF($D$1212="",0,$D1343*Table3[[#This Row],[CF]]*chronic_consumption!$AO143/1000/$C$3)</f>
        <v>#DIV/0!</v>
      </c>
      <c r="AU1343" s="1101" t="e">
        <f t="shared" si="855"/>
        <v>#DIV/0!</v>
      </c>
      <c r="AV1343" s="1101" t="e">
        <f t="shared" si="855"/>
        <v>#DIV/0!</v>
      </c>
      <c r="AW1343" s="1101" t="e">
        <f t="shared" si="855"/>
        <v>#DIV/0!</v>
      </c>
      <c r="AX1343" s="1101" t="e">
        <f t="shared" si="855"/>
        <v>#DIV/0!</v>
      </c>
      <c r="AY1343" s="1101" t="e">
        <f t="shared" si="855"/>
        <v>#DIV/0!</v>
      </c>
      <c r="AZ1343" s="1091" t="s">
        <v>1012</v>
      </c>
      <c r="BA1343" s="1097" t="e">
        <f>IF(Table3[[#This Row],[max]]&lt;&gt;0,RANK(Table3[[#This Row],[max]],Table3[max],0),"")</f>
        <v>#DIV/0!</v>
      </c>
      <c r="BB1343" s="1096" t="e">
        <f t="shared" si="853"/>
        <v>#DIV/0!</v>
      </c>
      <c r="BC1343" s="1096" t="e">
        <f t="shared" ca="1" si="854"/>
        <v>#DIV/0!</v>
      </c>
      <c r="BD1343" s="1096" t="e">
        <f>IF(Table3[[#This Row],[max]]&gt;0,Table3[[#This Row],[Crop groups and examples of individual products within the groups to which the MRLs apply]],"")</f>
        <v>#DIV/0!</v>
      </c>
    </row>
    <row r="1344" spans="2:56" x14ac:dyDescent="0.2">
      <c r="B1344" s="131">
        <f t="shared" si="851"/>
        <v>240000</v>
      </c>
      <c r="C1344" s="131" t="str">
        <f t="shared" si="851"/>
        <v>Brassica vegetables</v>
      </c>
      <c r="D1344" s="1084">
        <f>input_values!E144</f>
        <v>0</v>
      </c>
      <c r="E1344" s="1084">
        <f>input_values!F144</f>
        <v>0</v>
      </c>
      <c r="F1344" s="1085">
        <f>input_values!W144</f>
        <v>0</v>
      </c>
      <c r="G1344" s="1085" t="str">
        <f>IF(Table3[[#This Row],[CF]]&gt;0,CONCATENATE(IF(Table3[[#This Row],[LOQ]]="*","LOQ","MRL"),IF(input_values!G144&gt;0,"×CFrisk","")),"")</f>
        <v/>
      </c>
      <c r="H1344" s="1087">
        <f>input_values!L144</f>
        <v>0</v>
      </c>
      <c r="I1344" s="1088">
        <f>input_values!D144</f>
        <v>0</v>
      </c>
      <c r="J1344" s="1095" t="e">
        <f>IF($D$1212="",0,$D1344*Table3[[#This Row],[CF]]*chronic_consumption!$E144/1000/$C$3)</f>
        <v>#DIV/0!</v>
      </c>
      <c r="K1344" s="1095" t="e">
        <f>IF($D$1212="",0,$D1344*Table3[[#This Row],[CF]]*chronic_consumption!$F144/1000/$C$3)</f>
        <v>#DIV/0!</v>
      </c>
      <c r="L1344" s="1095" t="e">
        <f>IF($D$1212="",0,$D1344*Table3[[#This Row],[CF]]*chronic_consumption!$G144/1000/$C$3)</f>
        <v>#DIV/0!</v>
      </c>
      <c r="M1344" s="1095" t="e">
        <f>IF($D$1212="",0,$D1344*Table3[[#This Row],[CF]]*chronic_consumption!$H144/1000/$C$3)</f>
        <v>#DIV/0!</v>
      </c>
      <c r="N1344" s="1095" t="e">
        <f>IF($D$1212="",0,$D1344*Table3[[#This Row],[CF]]*chronic_consumption!$I144/1000/$C$3)</f>
        <v>#DIV/0!</v>
      </c>
      <c r="O1344" s="1095" t="e">
        <f>IF($D$1212="",0,$D1344*Table3[[#This Row],[CF]]*chronic_consumption!$J144/1000/$C$3)</f>
        <v>#DIV/0!</v>
      </c>
      <c r="P1344" s="1095" t="e">
        <f>IF($D$1212="",0,$D1344*Table3[[#This Row],[CF]]*chronic_consumption!$K144/1000/$C$3)</f>
        <v>#DIV/0!</v>
      </c>
      <c r="Q1344" s="1095" t="e">
        <f>IF($D$1212="",0,$D1344*Table3[[#This Row],[CF]]*chronic_consumption!$L144/1000/$C$3)</f>
        <v>#DIV/0!</v>
      </c>
      <c r="R1344" s="1095" t="e">
        <f>IF($D$1212="",0,$D1344*Table3[[#This Row],[CF]]*chronic_consumption!$M144/1000/$C$3)</f>
        <v>#DIV/0!</v>
      </c>
      <c r="S1344" s="1095" t="e">
        <f>IF($D$1212="",0,$D1344*Table3[[#This Row],[CF]]*chronic_consumption!$N144/1000/$C$3)</f>
        <v>#DIV/0!</v>
      </c>
      <c r="T1344" s="1095" t="e">
        <f>IF($D$1212="",0,$D1344*Table3[[#This Row],[CF]]*chronic_consumption!$O144/1000/$C$3)</f>
        <v>#DIV/0!</v>
      </c>
      <c r="U1344" s="1095" t="e">
        <f>IF($D$1212="",0,$D1344*Table3[[#This Row],[CF]]*chronic_consumption!$P144/1000/$C$3)</f>
        <v>#DIV/0!</v>
      </c>
      <c r="V1344" s="1095" t="e">
        <f>IF($D$1212="",0,$D1344*Table3[[#This Row],[CF]]*chronic_consumption!$Q144/1000/$C$3)</f>
        <v>#DIV/0!</v>
      </c>
      <c r="W1344" s="1095" t="e">
        <f>IF($D$1212="",0,$D1344*Table3[[#This Row],[CF]]*chronic_consumption!$R144/1000/$C$3)</f>
        <v>#DIV/0!</v>
      </c>
      <c r="X1344" s="1095" t="e">
        <f>IF($D$1212="",0,$D1344*Table3[[#This Row],[CF]]*chronic_consumption!$S144/1000/$C$3)</f>
        <v>#DIV/0!</v>
      </c>
      <c r="Y1344" s="1095" t="e">
        <f>IF($D$1212="",0,$D1344*Table3[[#This Row],[CF]]*chronic_consumption!$T144/1000/$C$3)</f>
        <v>#DIV/0!</v>
      </c>
      <c r="Z1344" s="1095" t="e">
        <f>IF($D$1212="",0,$D1344*Table3[[#This Row],[CF]]*chronic_consumption!$U144/1000/$C$3)</f>
        <v>#DIV/0!</v>
      </c>
      <c r="AA1344" s="1095" t="e">
        <f>IF($D$1212="",0,$D1344*Table3[[#This Row],[CF]]*chronic_consumption!$V144/1000/$C$3)</f>
        <v>#DIV/0!</v>
      </c>
      <c r="AB1344" s="1095" t="e">
        <f>IF($D$1212="",0,$D1344*Table3[[#This Row],[CF]]*chronic_consumption!$W144/1000/$C$3)</f>
        <v>#DIV/0!</v>
      </c>
      <c r="AC1344" s="1095" t="e">
        <f>IF($D$1212="",0,$D1344*Table3[[#This Row],[CF]]*chronic_consumption!$X144/1000/$C$3)</f>
        <v>#DIV/0!</v>
      </c>
      <c r="AD1344" s="1095" t="e">
        <f>IF($D$1212="",0,$D1344*Table3[[#This Row],[CF]]*chronic_consumption!$Y144/1000/$C$3)</f>
        <v>#DIV/0!</v>
      </c>
      <c r="AE1344" s="1095" t="e">
        <f>IF($D$1212="",0,$D1344*Table3[[#This Row],[CF]]*chronic_consumption!$Z144/1000/$C$3)</f>
        <v>#DIV/0!</v>
      </c>
      <c r="AF1344" s="1095" t="e">
        <f>IF($D$1212="",0,$D1344*Table3[[#This Row],[CF]]*chronic_consumption!$AA144/1000/$C$3)</f>
        <v>#DIV/0!</v>
      </c>
      <c r="AG1344" s="1095" t="e">
        <f>IF($D$1212="",0,$D1344*Table3[[#This Row],[CF]]*chronic_consumption!$AB144/1000/$C$3)</f>
        <v>#DIV/0!</v>
      </c>
      <c r="AH1344" s="1095" t="e">
        <f>IF($D$1212="",0,$D1344*Table3[[#This Row],[CF]]*chronic_consumption!$AC144/1000/$C$3)</f>
        <v>#DIV/0!</v>
      </c>
      <c r="AI1344" s="1095" t="e">
        <f>IF($D$1212="",0,$D1344*Table3[[#This Row],[CF]]*chronic_consumption!$AD144/1000/$C$3)</f>
        <v>#DIV/0!</v>
      </c>
      <c r="AJ1344" s="1095" t="e">
        <f>IF($D$1212="",0,$D1344*Table3[[#This Row],[CF]]*chronic_consumption!$AE144/1000/$C$3)</f>
        <v>#DIV/0!</v>
      </c>
      <c r="AK1344" s="1095" t="e">
        <f>IF($D$1212="",0,$D1344*Table3[[#This Row],[CF]]*chronic_consumption!$AF144/1000/$C$3)</f>
        <v>#DIV/0!</v>
      </c>
      <c r="AL1344" s="1095" t="e">
        <f>IF($D$1212="",0,$D1344*Table3[[#This Row],[CF]]*chronic_consumption!$AG144/1000/$C$3)</f>
        <v>#DIV/0!</v>
      </c>
      <c r="AM1344" s="1095" t="e">
        <f>IF($D$1212="",0,$D1344*Table3[[#This Row],[CF]]*chronic_consumption!$AH144/1000/$C$3)</f>
        <v>#DIV/0!</v>
      </c>
      <c r="AN1344" s="1095" t="e">
        <f>IF($D$1212="",0,$D1344*Table3[[#This Row],[CF]]*chronic_consumption!$AI144/1000/$C$3)</f>
        <v>#DIV/0!</v>
      </c>
      <c r="AO1344" s="1095" t="e">
        <f>IF($D$1212="",0,$D1344*Table3[[#This Row],[CF]]*chronic_consumption!$AJ144/1000/$C$3)</f>
        <v>#DIV/0!</v>
      </c>
      <c r="AP1344" s="1095" t="e">
        <f>IF($D$1212="",0,$D1344*Table3[[#This Row],[CF]]*chronic_consumption!$AK144/1000/$C$3)</f>
        <v>#DIV/0!</v>
      </c>
      <c r="AQ1344" s="1095" t="e">
        <f>IF($D$1212="",0,$D1344*Table3[[#This Row],[CF]]*chronic_consumption!$AL144/1000/$C$3)</f>
        <v>#DIV/0!</v>
      </c>
      <c r="AR1344" s="1095" t="e">
        <f>IF($D$1212="",0,$D1344*Table3[[#This Row],[CF]]*chronic_consumption!$AM144/1000/$C$3)</f>
        <v>#DIV/0!</v>
      </c>
      <c r="AS1344" s="1095" t="e">
        <f>IF($D$1212="",0,$D1344*Table3[[#This Row],[CF]]*chronic_consumption!$AN144/1000/$C$3)</f>
        <v>#DIV/0!</v>
      </c>
      <c r="AT1344" s="1095" t="e">
        <f>IF($D$1212="",0,$D1344*Table3[[#This Row],[CF]]*chronic_consumption!$AO144/1000/$C$3)</f>
        <v>#DIV/0!</v>
      </c>
      <c r="AU1344" s="1096" t="e">
        <f t="shared" si="855"/>
        <v>#DIV/0!</v>
      </c>
      <c r="AV1344" s="1096" t="e">
        <f t="shared" si="855"/>
        <v>#DIV/0!</v>
      </c>
      <c r="AW1344" s="1096" t="e">
        <f t="shared" si="855"/>
        <v>#DIV/0!</v>
      </c>
      <c r="AX1344" s="1096" t="e">
        <f t="shared" si="855"/>
        <v>#DIV/0!</v>
      </c>
      <c r="AY1344" s="1096" t="e">
        <f t="shared" si="855"/>
        <v>#DIV/0!</v>
      </c>
      <c r="AZ1344" s="1091" t="s">
        <v>1012</v>
      </c>
      <c r="BA1344" s="1097" t="e">
        <f>IF(Table3[[#This Row],[max]]&lt;&gt;0,RANK(Table3[[#This Row],[max]],Table3[max],0),"")</f>
        <v>#DIV/0!</v>
      </c>
      <c r="BB1344" s="1096" t="e">
        <f t="shared" si="853"/>
        <v>#DIV/0!</v>
      </c>
      <c r="BC1344" s="1096" t="e">
        <f t="shared" ca="1" si="854"/>
        <v>#DIV/0!</v>
      </c>
      <c r="BD1344" s="1096" t="e">
        <f>IF(Table3[[#This Row],[max]]&gt;0,Table3[[#This Row],[Crop groups and examples of individual products within the groups to which the MRLs apply]],"")</f>
        <v>#DIV/0!</v>
      </c>
    </row>
    <row r="1345" spans="2:56" x14ac:dyDescent="0.2">
      <c r="B1345" s="3">
        <f t="shared" si="851"/>
        <v>241000</v>
      </c>
      <c r="C1345" s="3" t="str">
        <f t="shared" si="851"/>
        <v>Flowering brassica</v>
      </c>
      <c r="D1345" s="1084">
        <f>input_values!E145</f>
        <v>0</v>
      </c>
      <c r="E1345" s="1084">
        <f>input_values!F145</f>
        <v>0</v>
      </c>
      <c r="F1345" s="1085">
        <f>input_values!W145</f>
        <v>0</v>
      </c>
      <c r="G1345" s="1085" t="str">
        <f>IF(Table3[[#This Row],[CF]]&gt;0,CONCATENATE(IF(Table3[[#This Row],[LOQ]]="*","LOQ","MRL"),IF(input_values!G145&gt;0,"×CFrisk","")),"")</f>
        <v/>
      </c>
      <c r="H1345" s="1087">
        <f>input_values!L145</f>
        <v>0</v>
      </c>
      <c r="I1345" s="1088">
        <f>input_values!D145</f>
        <v>0</v>
      </c>
      <c r="J1345" s="1100" t="e">
        <f>IF($D$1212="",0,$D1345*Table3[[#This Row],[CF]]*chronic_consumption!$E145/1000/$C$3)</f>
        <v>#DIV/0!</v>
      </c>
      <c r="K1345" s="1100" t="e">
        <f>IF($D$1212="",0,$D1345*Table3[[#This Row],[CF]]*chronic_consumption!$F145/1000/$C$3)</f>
        <v>#DIV/0!</v>
      </c>
      <c r="L1345" s="1100" t="e">
        <f>IF($D$1212="",0,$D1345*Table3[[#This Row],[CF]]*chronic_consumption!$G145/1000/$C$3)</f>
        <v>#DIV/0!</v>
      </c>
      <c r="M1345" s="1100" t="e">
        <f>IF($D$1212="",0,$D1345*Table3[[#This Row],[CF]]*chronic_consumption!$H145/1000/$C$3)</f>
        <v>#DIV/0!</v>
      </c>
      <c r="N1345" s="1100" t="e">
        <f>IF($D$1212="",0,$D1345*Table3[[#This Row],[CF]]*chronic_consumption!$I145/1000/$C$3)</f>
        <v>#DIV/0!</v>
      </c>
      <c r="O1345" s="1100" t="e">
        <f>IF($D$1212="",0,$D1345*Table3[[#This Row],[CF]]*chronic_consumption!$J145/1000/$C$3)</f>
        <v>#DIV/0!</v>
      </c>
      <c r="P1345" s="1100" t="e">
        <f>IF($D$1212="",0,$D1345*Table3[[#This Row],[CF]]*chronic_consumption!$K145/1000/$C$3)</f>
        <v>#DIV/0!</v>
      </c>
      <c r="Q1345" s="1100" t="e">
        <f>IF($D$1212="",0,$D1345*Table3[[#This Row],[CF]]*chronic_consumption!$L145/1000/$C$3)</f>
        <v>#DIV/0!</v>
      </c>
      <c r="R1345" s="1100" t="e">
        <f>IF($D$1212="",0,$D1345*Table3[[#This Row],[CF]]*chronic_consumption!$M145/1000/$C$3)</f>
        <v>#DIV/0!</v>
      </c>
      <c r="S1345" s="1100" t="e">
        <f>IF($D$1212="",0,$D1345*Table3[[#This Row],[CF]]*chronic_consumption!$N145/1000/$C$3)</f>
        <v>#DIV/0!</v>
      </c>
      <c r="T1345" s="1100" t="e">
        <f>IF($D$1212="",0,$D1345*Table3[[#This Row],[CF]]*chronic_consumption!$O145/1000/$C$3)</f>
        <v>#DIV/0!</v>
      </c>
      <c r="U1345" s="1100" t="e">
        <f>IF($D$1212="",0,$D1345*Table3[[#This Row],[CF]]*chronic_consumption!$P145/1000/$C$3)</f>
        <v>#DIV/0!</v>
      </c>
      <c r="V1345" s="1100" t="e">
        <f>IF($D$1212="",0,$D1345*Table3[[#This Row],[CF]]*chronic_consumption!$Q145/1000/$C$3)</f>
        <v>#DIV/0!</v>
      </c>
      <c r="W1345" s="1100" t="e">
        <f>IF($D$1212="",0,$D1345*Table3[[#This Row],[CF]]*chronic_consumption!$R145/1000/$C$3)</f>
        <v>#DIV/0!</v>
      </c>
      <c r="X1345" s="1100" t="e">
        <f>IF($D$1212="",0,$D1345*Table3[[#This Row],[CF]]*chronic_consumption!$S145/1000/$C$3)</f>
        <v>#DIV/0!</v>
      </c>
      <c r="Y1345" s="1100" t="e">
        <f>IF($D$1212="",0,$D1345*Table3[[#This Row],[CF]]*chronic_consumption!$T145/1000/$C$3)</f>
        <v>#DIV/0!</v>
      </c>
      <c r="Z1345" s="1100" t="e">
        <f>IF($D$1212="",0,$D1345*Table3[[#This Row],[CF]]*chronic_consumption!$U145/1000/$C$3)</f>
        <v>#DIV/0!</v>
      </c>
      <c r="AA1345" s="1100" t="e">
        <f>IF($D$1212="",0,$D1345*Table3[[#This Row],[CF]]*chronic_consumption!$V145/1000/$C$3)</f>
        <v>#DIV/0!</v>
      </c>
      <c r="AB1345" s="1100" t="e">
        <f>IF($D$1212="",0,$D1345*Table3[[#This Row],[CF]]*chronic_consumption!$W145/1000/$C$3)</f>
        <v>#DIV/0!</v>
      </c>
      <c r="AC1345" s="1100" t="e">
        <f>IF($D$1212="",0,$D1345*Table3[[#This Row],[CF]]*chronic_consumption!$X145/1000/$C$3)</f>
        <v>#DIV/0!</v>
      </c>
      <c r="AD1345" s="1100" t="e">
        <f>IF($D$1212="",0,$D1345*Table3[[#This Row],[CF]]*chronic_consumption!$Y145/1000/$C$3)</f>
        <v>#DIV/0!</v>
      </c>
      <c r="AE1345" s="1100" t="e">
        <f>IF($D$1212="",0,$D1345*Table3[[#This Row],[CF]]*chronic_consumption!$Z145/1000/$C$3)</f>
        <v>#DIV/0!</v>
      </c>
      <c r="AF1345" s="1100" t="e">
        <f>IF($D$1212="",0,$D1345*Table3[[#This Row],[CF]]*chronic_consumption!$AA145/1000/$C$3)</f>
        <v>#DIV/0!</v>
      </c>
      <c r="AG1345" s="1100" t="e">
        <f>IF($D$1212="",0,$D1345*Table3[[#This Row],[CF]]*chronic_consumption!$AB145/1000/$C$3)</f>
        <v>#DIV/0!</v>
      </c>
      <c r="AH1345" s="1100" t="e">
        <f>IF($D$1212="",0,$D1345*Table3[[#This Row],[CF]]*chronic_consumption!$AC145/1000/$C$3)</f>
        <v>#DIV/0!</v>
      </c>
      <c r="AI1345" s="1100" t="e">
        <f>IF($D$1212="",0,$D1345*Table3[[#This Row],[CF]]*chronic_consumption!$AD145/1000/$C$3)</f>
        <v>#DIV/0!</v>
      </c>
      <c r="AJ1345" s="1100" t="e">
        <f>IF($D$1212="",0,$D1345*Table3[[#This Row],[CF]]*chronic_consumption!$AE145/1000/$C$3)</f>
        <v>#DIV/0!</v>
      </c>
      <c r="AK1345" s="1100" t="e">
        <f>IF($D$1212="",0,$D1345*Table3[[#This Row],[CF]]*chronic_consumption!$AF145/1000/$C$3)</f>
        <v>#DIV/0!</v>
      </c>
      <c r="AL1345" s="1100" t="e">
        <f>IF($D$1212="",0,$D1345*Table3[[#This Row],[CF]]*chronic_consumption!$AG145/1000/$C$3)</f>
        <v>#DIV/0!</v>
      </c>
      <c r="AM1345" s="1100" t="e">
        <f>IF($D$1212="",0,$D1345*Table3[[#This Row],[CF]]*chronic_consumption!$AH145/1000/$C$3)</f>
        <v>#DIV/0!</v>
      </c>
      <c r="AN1345" s="1100" t="e">
        <f>IF($D$1212="",0,$D1345*Table3[[#This Row],[CF]]*chronic_consumption!$AI145/1000/$C$3)</f>
        <v>#DIV/0!</v>
      </c>
      <c r="AO1345" s="1100" t="e">
        <f>IF($D$1212="",0,$D1345*Table3[[#This Row],[CF]]*chronic_consumption!$AJ145/1000/$C$3)</f>
        <v>#DIV/0!</v>
      </c>
      <c r="AP1345" s="1100" t="e">
        <f>IF($D$1212="",0,$D1345*Table3[[#This Row],[CF]]*chronic_consumption!$AK145/1000/$C$3)</f>
        <v>#DIV/0!</v>
      </c>
      <c r="AQ1345" s="1100" t="e">
        <f>IF($D$1212="",0,$D1345*Table3[[#This Row],[CF]]*chronic_consumption!$AL145/1000/$C$3)</f>
        <v>#DIV/0!</v>
      </c>
      <c r="AR1345" s="1100" t="e">
        <f>IF($D$1212="",0,$D1345*Table3[[#This Row],[CF]]*chronic_consumption!$AM145/1000/$C$3)</f>
        <v>#DIV/0!</v>
      </c>
      <c r="AS1345" s="1100" t="e">
        <f>IF($D$1212="",0,$D1345*Table3[[#This Row],[CF]]*chronic_consumption!$AN145/1000/$C$3)</f>
        <v>#DIV/0!</v>
      </c>
      <c r="AT1345" s="1100" t="e">
        <f>IF($D$1212="",0,$D1345*Table3[[#This Row],[CF]]*chronic_consumption!$AO145/1000/$C$3)</f>
        <v>#DIV/0!</v>
      </c>
      <c r="AU1345" s="1101" t="e">
        <f t="shared" si="855"/>
        <v>#DIV/0!</v>
      </c>
      <c r="AV1345" s="1101" t="e">
        <f t="shared" si="855"/>
        <v>#DIV/0!</v>
      </c>
      <c r="AW1345" s="1101" t="e">
        <f t="shared" si="855"/>
        <v>#DIV/0!</v>
      </c>
      <c r="AX1345" s="1101" t="e">
        <f t="shared" si="855"/>
        <v>#DIV/0!</v>
      </c>
      <c r="AY1345" s="1101" t="e">
        <f t="shared" si="855"/>
        <v>#DIV/0!</v>
      </c>
      <c r="AZ1345" s="1091" t="s">
        <v>1012</v>
      </c>
      <c r="BA1345" s="1097" t="e">
        <f>IF(Table3[[#This Row],[max]]&lt;&gt;0,RANK(Table3[[#This Row],[max]],Table3[max],0),"")</f>
        <v>#DIV/0!</v>
      </c>
      <c r="BB1345" s="1096" t="e">
        <f t="shared" si="853"/>
        <v>#DIV/0!</v>
      </c>
      <c r="BC1345" s="1096" t="e">
        <f t="shared" ca="1" si="854"/>
        <v>#DIV/0!</v>
      </c>
      <c r="BD1345" s="1096" t="e">
        <f>IF(Table3[[#This Row],[max]]&gt;0,Table3[[#This Row],[Crop groups and examples of individual products within the groups to which the MRLs apply]],"")</f>
        <v>#DIV/0!</v>
      </c>
    </row>
    <row r="1346" spans="2:56" x14ac:dyDescent="0.2">
      <c r="B1346" s="23">
        <f t="shared" si="851"/>
        <v>241010</v>
      </c>
      <c r="C1346" s="23" t="str">
        <f t="shared" si="851"/>
        <v xml:space="preserve">Broccoli </v>
      </c>
      <c r="D1346" s="1084">
        <f>input_values!E146</f>
        <v>0</v>
      </c>
      <c r="E1346" s="1084">
        <f>input_values!F146</f>
        <v>0</v>
      </c>
      <c r="F1346" s="1085">
        <f>input_values!W146</f>
        <v>1</v>
      </c>
      <c r="G1346" s="1085" t="str">
        <f>IF(Table3[[#This Row],[CF]]&gt;0,CONCATENATE(IF(Table3[[#This Row],[LOQ]]="*","LOQ","MRL"),IF(input_values!G146&gt;0,"×CFrisk","")),"")</f>
        <v>MRL</v>
      </c>
      <c r="H1346" s="1087">
        <f>input_values!L146</f>
        <v>0</v>
      </c>
      <c r="I1346" s="1088">
        <f>input_values!D146</f>
        <v>0</v>
      </c>
      <c r="J1346" s="1098" t="e">
        <f>IF($D$1212="",0,$D1346*Table3[[#This Row],[CF]]*chronic_consumption!$E146/1000/$C$3)</f>
        <v>#DIV/0!</v>
      </c>
      <c r="K1346" s="1098" t="e">
        <f>IF($D$1212="",0,$D1346*Table3[[#This Row],[CF]]*chronic_consumption!$F146/1000/$C$3)</f>
        <v>#DIV/0!</v>
      </c>
      <c r="L1346" s="1098" t="e">
        <f>IF($D$1212="",0,$D1346*Table3[[#This Row],[CF]]*chronic_consumption!$G146/1000/$C$3)</f>
        <v>#DIV/0!</v>
      </c>
      <c r="M1346" s="1098" t="e">
        <f>IF($D$1212="",0,$D1346*Table3[[#This Row],[CF]]*chronic_consumption!$H146/1000/$C$3)</f>
        <v>#DIV/0!</v>
      </c>
      <c r="N1346" s="1098" t="e">
        <f>IF($D$1212="",0,$D1346*Table3[[#This Row],[CF]]*chronic_consumption!$I146/1000/$C$3)</f>
        <v>#DIV/0!</v>
      </c>
      <c r="O1346" s="1098" t="e">
        <f>IF($D$1212="",0,$D1346*Table3[[#This Row],[CF]]*chronic_consumption!$J146/1000/$C$3)</f>
        <v>#DIV/0!</v>
      </c>
      <c r="P1346" s="1098" t="e">
        <f>IF($D$1212="",0,$D1346*Table3[[#This Row],[CF]]*chronic_consumption!$K146/1000/$C$3)</f>
        <v>#DIV/0!</v>
      </c>
      <c r="Q1346" s="1098" t="e">
        <f>IF($D$1212="",0,$D1346*Table3[[#This Row],[CF]]*chronic_consumption!$L146/1000/$C$3)</f>
        <v>#DIV/0!</v>
      </c>
      <c r="R1346" s="1098" t="e">
        <f>IF($D$1212="",0,$D1346*Table3[[#This Row],[CF]]*chronic_consumption!$M146/1000/$C$3)</f>
        <v>#DIV/0!</v>
      </c>
      <c r="S1346" s="1098" t="e">
        <f>IF($D$1212="",0,$D1346*Table3[[#This Row],[CF]]*chronic_consumption!$N146/1000/$C$3)</f>
        <v>#DIV/0!</v>
      </c>
      <c r="T1346" s="1098" t="e">
        <f>IF($D$1212="",0,$D1346*Table3[[#This Row],[CF]]*chronic_consumption!$O146/1000/$C$3)</f>
        <v>#DIV/0!</v>
      </c>
      <c r="U1346" s="1098" t="e">
        <f>IF($D$1212="",0,$D1346*Table3[[#This Row],[CF]]*chronic_consumption!$P146/1000/$C$3)</f>
        <v>#DIV/0!</v>
      </c>
      <c r="V1346" s="1098" t="e">
        <f>IF($D$1212="",0,$D1346*Table3[[#This Row],[CF]]*chronic_consumption!$Q146/1000/$C$3)</f>
        <v>#DIV/0!</v>
      </c>
      <c r="W1346" s="1098" t="e">
        <f>IF($D$1212="",0,$D1346*Table3[[#This Row],[CF]]*chronic_consumption!$R146/1000/$C$3)</f>
        <v>#DIV/0!</v>
      </c>
      <c r="X1346" s="1098" t="e">
        <f>IF($D$1212="",0,$D1346*Table3[[#This Row],[CF]]*chronic_consumption!$S146/1000/$C$3)</f>
        <v>#DIV/0!</v>
      </c>
      <c r="Y1346" s="1098" t="e">
        <f>IF($D$1212="",0,$D1346*Table3[[#This Row],[CF]]*chronic_consumption!$T146/1000/$C$3)</f>
        <v>#DIV/0!</v>
      </c>
      <c r="Z1346" s="1098" t="e">
        <f>IF($D$1212="",0,$D1346*Table3[[#This Row],[CF]]*chronic_consumption!$U146/1000/$C$3)</f>
        <v>#DIV/0!</v>
      </c>
      <c r="AA1346" s="1098" t="e">
        <f>IF($D$1212="",0,$D1346*Table3[[#This Row],[CF]]*chronic_consumption!$V146/1000/$C$3)</f>
        <v>#DIV/0!</v>
      </c>
      <c r="AB1346" s="1098" t="e">
        <f>IF($D$1212="",0,$D1346*Table3[[#This Row],[CF]]*chronic_consumption!$W146/1000/$C$3)</f>
        <v>#DIV/0!</v>
      </c>
      <c r="AC1346" s="1098" t="e">
        <f>IF($D$1212="",0,$D1346*Table3[[#This Row],[CF]]*chronic_consumption!$X146/1000/$C$3)</f>
        <v>#DIV/0!</v>
      </c>
      <c r="AD1346" s="1098" t="e">
        <f>IF($D$1212="",0,$D1346*Table3[[#This Row],[CF]]*chronic_consumption!$Y146/1000/$C$3)</f>
        <v>#DIV/0!</v>
      </c>
      <c r="AE1346" s="1098" t="e">
        <f>IF($D$1212="",0,$D1346*Table3[[#This Row],[CF]]*chronic_consumption!$Z146/1000/$C$3)</f>
        <v>#DIV/0!</v>
      </c>
      <c r="AF1346" s="1098" t="e">
        <f>IF($D$1212="",0,$D1346*Table3[[#This Row],[CF]]*chronic_consumption!$AA146/1000/$C$3)</f>
        <v>#DIV/0!</v>
      </c>
      <c r="AG1346" s="1098" t="e">
        <f>IF($D$1212="",0,$D1346*Table3[[#This Row],[CF]]*chronic_consumption!$AB146/1000/$C$3)</f>
        <v>#DIV/0!</v>
      </c>
      <c r="AH1346" s="1098" t="e">
        <f>IF($D$1212="",0,$D1346*Table3[[#This Row],[CF]]*chronic_consumption!$AC146/1000/$C$3)</f>
        <v>#DIV/0!</v>
      </c>
      <c r="AI1346" s="1098" t="e">
        <f>IF($D$1212="",0,$D1346*Table3[[#This Row],[CF]]*chronic_consumption!$AD146/1000/$C$3)</f>
        <v>#DIV/0!</v>
      </c>
      <c r="AJ1346" s="1098" t="e">
        <f>IF($D$1212="",0,$D1346*Table3[[#This Row],[CF]]*chronic_consumption!$AE146/1000/$C$3)</f>
        <v>#DIV/0!</v>
      </c>
      <c r="AK1346" s="1098" t="e">
        <f>IF($D$1212="",0,$D1346*Table3[[#This Row],[CF]]*chronic_consumption!$AF146/1000/$C$3)</f>
        <v>#DIV/0!</v>
      </c>
      <c r="AL1346" s="1098" t="e">
        <f>IF($D$1212="",0,$D1346*Table3[[#This Row],[CF]]*chronic_consumption!$AG146/1000/$C$3)</f>
        <v>#DIV/0!</v>
      </c>
      <c r="AM1346" s="1098" t="e">
        <f>IF($D$1212="",0,$D1346*Table3[[#This Row],[CF]]*chronic_consumption!$AH146/1000/$C$3)</f>
        <v>#DIV/0!</v>
      </c>
      <c r="AN1346" s="1098" t="e">
        <f>IF($D$1212="",0,$D1346*Table3[[#This Row],[CF]]*chronic_consumption!$AI146/1000/$C$3)</f>
        <v>#DIV/0!</v>
      </c>
      <c r="AO1346" s="1098" t="e">
        <f>IF($D$1212="",0,$D1346*Table3[[#This Row],[CF]]*chronic_consumption!$AJ146/1000/$C$3)</f>
        <v>#DIV/0!</v>
      </c>
      <c r="AP1346" s="1098" t="e">
        <f>IF($D$1212="",0,$D1346*Table3[[#This Row],[CF]]*chronic_consumption!$AK146/1000/$C$3)</f>
        <v>#DIV/0!</v>
      </c>
      <c r="AQ1346" s="1098" t="e">
        <f>IF($D$1212="",0,$D1346*Table3[[#This Row],[CF]]*chronic_consumption!$AL146/1000/$C$3)</f>
        <v>#DIV/0!</v>
      </c>
      <c r="AR1346" s="1098" t="e">
        <f>IF($D$1212="",0,$D1346*Table3[[#This Row],[CF]]*chronic_consumption!$AM146/1000/$C$3)</f>
        <v>#DIV/0!</v>
      </c>
      <c r="AS1346" s="1098" t="e">
        <f>IF($D$1212="",0,$D1346*Table3[[#This Row],[CF]]*chronic_consumption!$AN146/1000/$C$3)</f>
        <v>#DIV/0!</v>
      </c>
      <c r="AT1346" s="1098" t="e">
        <f>IF($D$1212="",0,$D1346*Table3[[#This Row],[CF]]*chronic_consumption!$AO146/1000/$C$3)</f>
        <v>#DIV/0!</v>
      </c>
      <c r="AU1346" s="1099" t="e">
        <f t="shared" si="855"/>
        <v>#DIV/0!</v>
      </c>
      <c r="AV1346" s="1099" t="e">
        <f t="shared" si="855"/>
        <v>#DIV/0!</v>
      </c>
      <c r="AW1346" s="1099" t="e">
        <f t="shared" si="855"/>
        <v>#DIV/0!</v>
      </c>
      <c r="AX1346" s="1099" t="e">
        <f t="shared" si="855"/>
        <v>#DIV/0!</v>
      </c>
      <c r="AY1346" s="1099" t="e">
        <f t="shared" si="855"/>
        <v>#DIV/0!</v>
      </c>
      <c r="AZ1346" s="1091" t="s">
        <v>1012</v>
      </c>
      <c r="BA1346" s="1097" t="e">
        <f>IF(Table3[[#This Row],[max]]&lt;&gt;0,RANK(Table3[[#This Row],[max]],Table3[max],0),"")</f>
        <v>#DIV/0!</v>
      </c>
      <c r="BB1346" s="1096" t="e">
        <f t="shared" si="853"/>
        <v>#DIV/0!</v>
      </c>
      <c r="BC1346" s="1096" t="e">
        <f t="shared" ca="1" si="854"/>
        <v>#DIV/0!</v>
      </c>
      <c r="BD1346" s="1096" t="e">
        <f>IF(Table3[[#This Row],[max]]&gt;0,Table3[[#This Row],[Crop groups and examples of individual products within the groups to which the MRLs apply]],"")</f>
        <v>#DIV/0!</v>
      </c>
    </row>
    <row r="1347" spans="2:56" x14ac:dyDescent="0.2">
      <c r="B1347" s="23">
        <f t="shared" si="851"/>
        <v>241020</v>
      </c>
      <c r="C1347" s="23" t="str">
        <f t="shared" si="851"/>
        <v>Cauliflowers</v>
      </c>
      <c r="D1347" s="1084">
        <f>input_values!E147</f>
        <v>0</v>
      </c>
      <c r="E1347" s="1084">
        <f>input_values!F147</f>
        <v>0</v>
      </c>
      <c r="F1347" s="1085">
        <f>input_values!W147</f>
        <v>1</v>
      </c>
      <c r="G1347" s="1085" t="str">
        <f>IF(Table3[[#This Row],[CF]]&gt;0,CONCATENATE(IF(Table3[[#This Row],[LOQ]]="*","LOQ","MRL"),IF(input_values!G147&gt;0,"×CFrisk","")),"")</f>
        <v>MRL</v>
      </c>
      <c r="H1347" s="1087">
        <f>input_values!L147</f>
        <v>0</v>
      </c>
      <c r="I1347" s="1088">
        <f>input_values!D147</f>
        <v>0</v>
      </c>
      <c r="J1347" s="1098" t="e">
        <f>IF($D$1212="",0,$D1347*Table3[[#This Row],[CF]]*chronic_consumption!$E147/1000/$C$3)</f>
        <v>#DIV/0!</v>
      </c>
      <c r="K1347" s="1098" t="e">
        <f>IF($D$1212="",0,$D1347*Table3[[#This Row],[CF]]*chronic_consumption!$F147/1000/$C$3)</f>
        <v>#DIV/0!</v>
      </c>
      <c r="L1347" s="1098" t="e">
        <f>IF($D$1212="",0,$D1347*Table3[[#This Row],[CF]]*chronic_consumption!$G147/1000/$C$3)</f>
        <v>#DIV/0!</v>
      </c>
      <c r="M1347" s="1098" t="e">
        <f>IF($D$1212="",0,$D1347*Table3[[#This Row],[CF]]*chronic_consumption!$H147/1000/$C$3)</f>
        <v>#DIV/0!</v>
      </c>
      <c r="N1347" s="1098" t="e">
        <f>IF($D$1212="",0,$D1347*Table3[[#This Row],[CF]]*chronic_consumption!$I147/1000/$C$3)</f>
        <v>#DIV/0!</v>
      </c>
      <c r="O1347" s="1098" t="e">
        <f>IF($D$1212="",0,$D1347*Table3[[#This Row],[CF]]*chronic_consumption!$J147/1000/$C$3)</f>
        <v>#DIV/0!</v>
      </c>
      <c r="P1347" s="1098" t="e">
        <f>IF($D$1212="",0,$D1347*Table3[[#This Row],[CF]]*chronic_consumption!$K147/1000/$C$3)</f>
        <v>#DIV/0!</v>
      </c>
      <c r="Q1347" s="1098" t="e">
        <f>IF($D$1212="",0,$D1347*Table3[[#This Row],[CF]]*chronic_consumption!$L147/1000/$C$3)</f>
        <v>#DIV/0!</v>
      </c>
      <c r="R1347" s="1098" t="e">
        <f>IF($D$1212="",0,$D1347*Table3[[#This Row],[CF]]*chronic_consumption!$M147/1000/$C$3)</f>
        <v>#DIV/0!</v>
      </c>
      <c r="S1347" s="1098" t="e">
        <f>IF($D$1212="",0,$D1347*Table3[[#This Row],[CF]]*chronic_consumption!$N147/1000/$C$3)</f>
        <v>#DIV/0!</v>
      </c>
      <c r="T1347" s="1098" t="e">
        <f>IF($D$1212="",0,$D1347*Table3[[#This Row],[CF]]*chronic_consumption!$O147/1000/$C$3)</f>
        <v>#DIV/0!</v>
      </c>
      <c r="U1347" s="1098" t="e">
        <f>IF($D$1212="",0,$D1347*Table3[[#This Row],[CF]]*chronic_consumption!$P147/1000/$C$3)</f>
        <v>#DIV/0!</v>
      </c>
      <c r="V1347" s="1098" t="e">
        <f>IF($D$1212="",0,$D1347*Table3[[#This Row],[CF]]*chronic_consumption!$Q147/1000/$C$3)</f>
        <v>#DIV/0!</v>
      </c>
      <c r="W1347" s="1098" t="e">
        <f>IF($D$1212="",0,$D1347*Table3[[#This Row],[CF]]*chronic_consumption!$R147/1000/$C$3)</f>
        <v>#DIV/0!</v>
      </c>
      <c r="X1347" s="1098" t="e">
        <f>IF($D$1212="",0,$D1347*Table3[[#This Row],[CF]]*chronic_consumption!$S147/1000/$C$3)</f>
        <v>#DIV/0!</v>
      </c>
      <c r="Y1347" s="1098" t="e">
        <f>IF($D$1212="",0,$D1347*Table3[[#This Row],[CF]]*chronic_consumption!$T147/1000/$C$3)</f>
        <v>#DIV/0!</v>
      </c>
      <c r="Z1347" s="1098" t="e">
        <f>IF($D$1212="",0,$D1347*Table3[[#This Row],[CF]]*chronic_consumption!$U147/1000/$C$3)</f>
        <v>#DIV/0!</v>
      </c>
      <c r="AA1347" s="1098" t="e">
        <f>IF($D$1212="",0,$D1347*Table3[[#This Row],[CF]]*chronic_consumption!$V147/1000/$C$3)</f>
        <v>#DIV/0!</v>
      </c>
      <c r="AB1347" s="1098" t="e">
        <f>IF($D$1212="",0,$D1347*Table3[[#This Row],[CF]]*chronic_consumption!$W147/1000/$C$3)</f>
        <v>#DIV/0!</v>
      </c>
      <c r="AC1347" s="1098" t="e">
        <f>IF($D$1212="",0,$D1347*Table3[[#This Row],[CF]]*chronic_consumption!$X147/1000/$C$3)</f>
        <v>#DIV/0!</v>
      </c>
      <c r="AD1347" s="1098" t="e">
        <f>IF($D$1212="",0,$D1347*Table3[[#This Row],[CF]]*chronic_consumption!$Y147/1000/$C$3)</f>
        <v>#DIV/0!</v>
      </c>
      <c r="AE1347" s="1098" t="e">
        <f>IF($D$1212="",0,$D1347*Table3[[#This Row],[CF]]*chronic_consumption!$Z147/1000/$C$3)</f>
        <v>#DIV/0!</v>
      </c>
      <c r="AF1347" s="1098" t="e">
        <f>IF($D$1212="",0,$D1347*Table3[[#This Row],[CF]]*chronic_consumption!$AA147/1000/$C$3)</f>
        <v>#DIV/0!</v>
      </c>
      <c r="AG1347" s="1098" t="e">
        <f>IF($D$1212="",0,$D1347*Table3[[#This Row],[CF]]*chronic_consumption!$AB147/1000/$C$3)</f>
        <v>#DIV/0!</v>
      </c>
      <c r="AH1347" s="1098" t="e">
        <f>IF($D$1212="",0,$D1347*Table3[[#This Row],[CF]]*chronic_consumption!$AC147/1000/$C$3)</f>
        <v>#DIV/0!</v>
      </c>
      <c r="AI1347" s="1098" t="e">
        <f>IF($D$1212="",0,$D1347*Table3[[#This Row],[CF]]*chronic_consumption!$AD147/1000/$C$3)</f>
        <v>#DIV/0!</v>
      </c>
      <c r="AJ1347" s="1098" t="e">
        <f>IF($D$1212="",0,$D1347*Table3[[#This Row],[CF]]*chronic_consumption!$AE147/1000/$C$3)</f>
        <v>#DIV/0!</v>
      </c>
      <c r="AK1347" s="1098" t="e">
        <f>IF($D$1212="",0,$D1347*Table3[[#This Row],[CF]]*chronic_consumption!$AF147/1000/$C$3)</f>
        <v>#DIV/0!</v>
      </c>
      <c r="AL1347" s="1098" t="e">
        <f>IF($D$1212="",0,$D1347*Table3[[#This Row],[CF]]*chronic_consumption!$AG147/1000/$C$3)</f>
        <v>#DIV/0!</v>
      </c>
      <c r="AM1347" s="1098" t="e">
        <f>IF($D$1212="",0,$D1347*Table3[[#This Row],[CF]]*chronic_consumption!$AH147/1000/$C$3)</f>
        <v>#DIV/0!</v>
      </c>
      <c r="AN1347" s="1098" t="e">
        <f>IF($D$1212="",0,$D1347*Table3[[#This Row],[CF]]*chronic_consumption!$AI147/1000/$C$3)</f>
        <v>#DIV/0!</v>
      </c>
      <c r="AO1347" s="1098" t="e">
        <f>IF($D$1212="",0,$D1347*Table3[[#This Row],[CF]]*chronic_consumption!$AJ147/1000/$C$3)</f>
        <v>#DIV/0!</v>
      </c>
      <c r="AP1347" s="1098" t="e">
        <f>IF($D$1212="",0,$D1347*Table3[[#This Row],[CF]]*chronic_consumption!$AK147/1000/$C$3)</f>
        <v>#DIV/0!</v>
      </c>
      <c r="AQ1347" s="1098" t="e">
        <f>IF($D$1212="",0,$D1347*Table3[[#This Row],[CF]]*chronic_consumption!$AL147/1000/$C$3)</f>
        <v>#DIV/0!</v>
      </c>
      <c r="AR1347" s="1098" t="e">
        <f>IF($D$1212="",0,$D1347*Table3[[#This Row],[CF]]*chronic_consumption!$AM147/1000/$C$3)</f>
        <v>#DIV/0!</v>
      </c>
      <c r="AS1347" s="1098" t="e">
        <f>IF($D$1212="",0,$D1347*Table3[[#This Row],[CF]]*chronic_consumption!$AN147/1000/$C$3)</f>
        <v>#DIV/0!</v>
      </c>
      <c r="AT1347" s="1098" t="e">
        <f>IF($D$1212="",0,$D1347*Table3[[#This Row],[CF]]*chronic_consumption!$AO147/1000/$C$3)</f>
        <v>#DIV/0!</v>
      </c>
      <c r="AU1347" s="1099" t="e">
        <f t="shared" si="855"/>
        <v>#DIV/0!</v>
      </c>
      <c r="AV1347" s="1099" t="e">
        <f t="shared" si="855"/>
        <v>#DIV/0!</v>
      </c>
      <c r="AW1347" s="1099" t="e">
        <f t="shared" si="855"/>
        <v>#DIV/0!</v>
      </c>
      <c r="AX1347" s="1099" t="e">
        <f t="shared" si="855"/>
        <v>#DIV/0!</v>
      </c>
      <c r="AY1347" s="1099" t="e">
        <f t="shared" si="855"/>
        <v>#DIV/0!</v>
      </c>
      <c r="AZ1347" s="1091" t="s">
        <v>1012</v>
      </c>
      <c r="BA1347" s="1097" t="e">
        <f>IF(Table3[[#This Row],[max]]&lt;&gt;0,RANK(Table3[[#This Row],[max]],Table3[max],0),"")</f>
        <v>#DIV/0!</v>
      </c>
      <c r="BB1347" s="1096" t="e">
        <f t="shared" si="853"/>
        <v>#DIV/0!</v>
      </c>
      <c r="BC1347" s="1096" t="e">
        <f t="shared" ca="1" si="854"/>
        <v>#DIV/0!</v>
      </c>
      <c r="BD1347" s="1096" t="e">
        <f>IF(Table3[[#This Row],[max]]&gt;0,Table3[[#This Row],[Crop groups and examples of individual products within the groups to which the MRLs apply]],"")</f>
        <v>#DIV/0!</v>
      </c>
    </row>
    <row r="1348" spans="2:56" x14ac:dyDescent="0.2">
      <c r="B1348" s="23">
        <f t="shared" si="851"/>
        <v>241990</v>
      </c>
      <c r="C1348" s="23" t="str">
        <f t="shared" si="851"/>
        <v>Other flowering brassica</v>
      </c>
      <c r="D1348" s="1084">
        <f>input_values!E148</f>
        <v>0</v>
      </c>
      <c r="E1348" s="1084">
        <f>input_values!F148</f>
        <v>0</v>
      </c>
      <c r="F1348" s="1085">
        <f>input_values!W148</f>
        <v>1</v>
      </c>
      <c r="G1348" s="1085" t="str">
        <f>IF(Table3[[#This Row],[CF]]&gt;0,CONCATENATE(IF(Table3[[#This Row],[LOQ]]="*","LOQ","MRL"),IF(input_values!G148&gt;0,"×CFrisk","")),"")</f>
        <v>MRL</v>
      </c>
      <c r="H1348" s="1087">
        <f>input_values!L148</f>
        <v>0</v>
      </c>
      <c r="I1348" s="1088">
        <f>input_values!D148</f>
        <v>0</v>
      </c>
      <c r="J1348" s="1098" t="e">
        <f>IF($D$1212="",0,$D1348*Table3[[#This Row],[CF]]*chronic_consumption!$E148/1000/$C$3)</f>
        <v>#DIV/0!</v>
      </c>
      <c r="K1348" s="1098" t="e">
        <f>IF($D$1212="",0,$D1348*Table3[[#This Row],[CF]]*chronic_consumption!$F148/1000/$C$3)</f>
        <v>#DIV/0!</v>
      </c>
      <c r="L1348" s="1098" t="e">
        <f>IF($D$1212="",0,$D1348*Table3[[#This Row],[CF]]*chronic_consumption!$G148/1000/$C$3)</f>
        <v>#DIV/0!</v>
      </c>
      <c r="M1348" s="1098" t="e">
        <f>IF($D$1212="",0,$D1348*Table3[[#This Row],[CF]]*chronic_consumption!$H148/1000/$C$3)</f>
        <v>#DIV/0!</v>
      </c>
      <c r="N1348" s="1098" t="e">
        <f>IF($D$1212="",0,$D1348*Table3[[#This Row],[CF]]*chronic_consumption!$I148/1000/$C$3)</f>
        <v>#DIV/0!</v>
      </c>
      <c r="O1348" s="1098" t="e">
        <f>IF($D$1212="",0,$D1348*Table3[[#This Row],[CF]]*chronic_consumption!$J148/1000/$C$3)</f>
        <v>#DIV/0!</v>
      </c>
      <c r="P1348" s="1098" t="e">
        <f>IF($D$1212="",0,$D1348*Table3[[#This Row],[CF]]*chronic_consumption!$K148/1000/$C$3)</f>
        <v>#DIV/0!</v>
      </c>
      <c r="Q1348" s="1098" t="e">
        <f>IF($D$1212="",0,$D1348*Table3[[#This Row],[CF]]*chronic_consumption!$L148/1000/$C$3)</f>
        <v>#DIV/0!</v>
      </c>
      <c r="R1348" s="1098" t="e">
        <f>IF($D$1212="",0,$D1348*Table3[[#This Row],[CF]]*chronic_consumption!$M148/1000/$C$3)</f>
        <v>#DIV/0!</v>
      </c>
      <c r="S1348" s="1098" t="e">
        <f>IF($D$1212="",0,$D1348*Table3[[#This Row],[CF]]*chronic_consumption!$N148/1000/$C$3)</f>
        <v>#DIV/0!</v>
      </c>
      <c r="T1348" s="1098" t="e">
        <f>IF($D$1212="",0,$D1348*Table3[[#This Row],[CF]]*chronic_consumption!$O148/1000/$C$3)</f>
        <v>#DIV/0!</v>
      </c>
      <c r="U1348" s="1098" t="e">
        <f>IF($D$1212="",0,$D1348*Table3[[#This Row],[CF]]*chronic_consumption!$P148/1000/$C$3)</f>
        <v>#DIV/0!</v>
      </c>
      <c r="V1348" s="1098" t="e">
        <f>IF($D$1212="",0,$D1348*Table3[[#This Row],[CF]]*chronic_consumption!$Q148/1000/$C$3)</f>
        <v>#DIV/0!</v>
      </c>
      <c r="W1348" s="1098" t="e">
        <f>IF($D$1212="",0,$D1348*Table3[[#This Row],[CF]]*chronic_consumption!$R148/1000/$C$3)</f>
        <v>#DIV/0!</v>
      </c>
      <c r="X1348" s="1098" t="e">
        <f>IF($D$1212="",0,$D1348*Table3[[#This Row],[CF]]*chronic_consumption!$S148/1000/$C$3)</f>
        <v>#DIV/0!</v>
      </c>
      <c r="Y1348" s="1098" t="e">
        <f>IF($D$1212="",0,$D1348*Table3[[#This Row],[CF]]*chronic_consumption!$T148/1000/$C$3)</f>
        <v>#DIV/0!</v>
      </c>
      <c r="Z1348" s="1098" t="e">
        <f>IF($D$1212="",0,$D1348*Table3[[#This Row],[CF]]*chronic_consumption!$U148/1000/$C$3)</f>
        <v>#DIV/0!</v>
      </c>
      <c r="AA1348" s="1098" t="e">
        <f>IF($D$1212="",0,$D1348*Table3[[#This Row],[CF]]*chronic_consumption!$V148/1000/$C$3)</f>
        <v>#DIV/0!</v>
      </c>
      <c r="AB1348" s="1098" t="e">
        <f>IF($D$1212="",0,$D1348*Table3[[#This Row],[CF]]*chronic_consumption!$W148/1000/$C$3)</f>
        <v>#DIV/0!</v>
      </c>
      <c r="AC1348" s="1098" t="e">
        <f>IF($D$1212="",0,$D1348*Table3[[#This Row],[CF]]*chronic_consumption!$X148/1000/$C$3)</f>
        <v>#DIV/0!</v>
      </c>
      <c r="AD1348" s="1098" t="e">
        <f>IF($D$1212="",0,$D1348*Table3[[#This Row],[CF]]*chronic_consumption!$Y148/1000/$C$3)</f>
        <v>#DIV/0!</v>
      </c>
      <c r="AE1348" s="1098" t="e">
        <f>IF($D$1212="",0,$D1348*Table3[[#This Row],[CF]]*chronic_consumption!$Z148/1000/$C$3)</f>
        <v>#DIV/0!</v>
      </c>
      <c r="AF1348" s="1098" t="e">
        <f>IF($D$1212="",0,$D1348*Table3[[#This Row],[CF]]*chronic_consumption!$AA148/1000/$C$3)</f>
        <v>#DIV/0!</v>
      </c>
      <c r="AG1348" s="1098" t="e">
        <f>IF($D$1212="",0,$D1348*Table3[[#This Row],[CF]]*chronic_consumption!$AB148/1000/$C$3)</f>
        <v>#DIV/0!</v>
      </c>
      <c r="AH1348" s="1098" t="e">
        <f>IF($D$1212="",0,$D1348*Table3[[#This Row],[CF]]*chronic_consumption!$AC148/1000/$C$3)</f>
        <v>#DIV/0!</v>
      </c>
      <c r="AI1348" s="1098" t="e">
        <f>IF($D$1212="",0,$D1348*Table3[[#This Row],[CF]]*chronic_consumption!$AD148/1000/$C$3)</f>
        <v>#DIV/0!</v>
      </c>
      <c r="AJ1348" s="1098" t="e">
        <f>IF($D$1212="",0,$D1348*Table3[[#This Row],[CF]]*chronic_consumption!$AE148/1000/$C$3)</f>
        <v>#DIV/0!</v>
      </c>
      <c r="AK1348" s="1098" t="e">
        <f>IF($D$1212="",0,$D1348*Table3[[#This Row],[CF]]*chronic_consumption!$AF148/1000/$C$3)</f>
        <v>#DIV/0!</v>
      </c>
      <c r="AL1348" s="1098" t="e">
        <f>IF($D$1212="",0,$D1348*Table3[[#This Row],[CF]]*chronic_consumption!$AG148/1000/$C$3)</f>
        <v>#DIV/0!</v>
      </c>
      <c r="AM1348" s="1098" t="e">
        <f>IF($D$1212="",0,$D1348*Table3[[#This Row],[CF]]*chronic_consumption!$AH148/1000/$C$3)</f>
        <v>#DIV/0!</v>
      </c>
      <c r="AN1348" s="1098" t="e">
        <f>IF($D$1212="",0,$D1348*Table3[[#This Row],[CF]]*chronic_consumption!$AI148/1000/$C$3)</f>
        <v>#DIV/0!</v>
      </c>
      <c r="AO1348" s="1098" t="e">
        <f>IF($D$1212="",0,$D1348*Table3[[#This Row],[CF]]*chronic_consumption!$AJ148/1000/$C$3)</f>
        <v>#DIV/0!</v>
      </c>
      <c r="AP1348" s="1098" t="e">
        <f>IF($D$1212="",0,$D1348*Table3[[#This Row],[CF]]*chronic_consumption!$AK148/1000/$C$3)</f>
        <v>#DIV/0!</v>
      </c>
      <c r="AQ1348" s="1098" t="e">
        <f>IF($D$1212="",0,$D1348*Table3[[#This Row],[CF]]*chronic_consumption!$AL148/1000/$C$3)</f>
        <v>#DIV/0!</v>
      </c>
      <c r="AR1348" s="1098" t="e">
        <f>IF($D$1212="",0,$D1348*Table3[[#This Row],[CF]]*chronic_consumption!$AM148/1000/$C$3)</f>
        <v>#DIV/0!</v>
      </c>
      <c r="AS1348" s="1098" t="e">
        <f>IF($D$1212="",0,$D1348*Table3[[#This Row],[CF]]*chronic_consumption!$AN148/1000/$C$3)</f>
        <v>#DIV/0!</v>
      </c>
      <c r="AT1348" s="1098" t="e">
        <f>IF($D$1212="",0,$D1348*Table3[[#This Row],[CF]]*chronic_consumption!$AO148/1000/$C$3)</f>
        <v>#DIV/0!</v>
      </c>
      <c r="AU1348" s="1099" t="e">
        <f t="shared" si="855"/>
        <v>#DIV/0!</v>
      </c>
      <c r="AV1348" s="1099" t="e">
        <f t="shared" si="855"/>
        <v>#DIV/0!</v>
      </c>
      <c r="AW1348" s="1099" t="e">
        <f t="shared" si="855"/>
        <v>#DIV/0!</v>
      </c>
      <c r="AX1348" s="1099" t="e">
        <f t="shared" si="855"/>
        <v>#DIV/0!</v>
      </c>
      <c r="AY1348" s="1099" t="e">
        <f t="shared" si="855"/>
        <v>#DIV/0!</v>
      </c>
      <c r="AZ1348" s="1091" t="s">
        <v>1012</v>
      </c>
      <c r="BA1348" s="1097" t="e">
        <f>IF(Table3[[#This Row],[max]]&lt;&gt;0,RANK(Table3[[#This Row],[max]],Table3[max],0),"")</f>
        <v>#DIV/0!</v>
      </c>
      <c r="BB1348" s="1096" t="e">
        <f t="shared" si="853"/>
        <v>#DIV/0!</v>
      </c>
      <c r="BC1348" s="1096" t="e">
        <f t="shared" ca="1" si="854"/>
        <v>#DIV/0!</v>
      </c>
      <c r="BD1348" s="1096" t="e">
        <f>IF(Table3[[#This Row],[max]]&gt;0,Table3[[#This Row],[Crop groups and examples of individual products within the groups to which the MRLs apply]],"")</f>
        <v>#DIV/0!</v>
      </c>
    </row>
    <row r="1349" spans="2:56" x14ac:dyDescent="0.2">
      <c r="B1349" s="3">
        <f t="shared" si="851"/>
        <v>242000</v>
      </c>
      <c r="C1349" s="3" t="str">
        <f t="shared" si="851"/>
        <v>Head brassica</v>
      </c>
      <c r="D1349" s="1084">
        <f>input_values!E149</f>
        <v>0</v>
      </c>
      <c r="E1349" s="1084">
        <f>input_values!F149</f>
        <v>0</v>
      </c>
      <c r="F1349" s="1085">
        <f>input_values!W149</f>
        <v>0</v>
      </c>
      <c r="G1349" s="1085" t="str">
        <f>IF(Table3[[#This Row],[CF]]&gt;0,CONCATENATE(IF(Table3[[#This Row],[LOQ]]="*","LOQ","MRL"),IF(input_values!G149&gt;0,"×CFrisk","")),"")</f>
        <v/>
      </c>
      <c r="H1349" s="1087">
        <f>input_values!L149</f>
        <v>0</v>
      </c>
      <c r="I1349" s="1088">
        <f>input_values!D149</f>
        <v>0</v>
      </c>
      <c r="J1349" s="1100" t="e">
        <f>IF($D$1212="",0,$D1349*Table3[[#This Row],[CF]]*chronic_consumption!$E149/1000/$C$3)</f>
        <v>#DIV/0!</v>
      </c>
      <c r="K1349" s="1100" t="e">
        <f>IF($D$1212="",0,$D1349*Table3[[#This Row],[CF]]*chronic_consumption!$F149/1000/$C$3)</f>
        <v>#DIV/0!</v>
      </c>
      <c r="L1349" s="1100" t="e">
        <f>IF($D$1212="",0,$D1349*Table3[[#This Row],[CF]]*chronic_consumption!$G149/1000/$C$3)</f>
        <v>#DIV/0!</v>
      </c>
      <c r="M1349" s="1100" t="e">
        <f>IF($D$1212="",0,$D1349*Table3[[#This Row],[CF]]*chronic_consumption!$H149/1000/$C$3)</f>
        <v>#DIV/0!</v>
      </c>
      <c r="N1349" s="1100" t="e">
        <f>IF($D$1212="",0,$D1349*Table3[[#This Row],[CF]]*chronic_consumption!$I149/1000/$C$3)</f>
        <v>#DIV/0!</v>
      </c>
      <c r="O1349" s="1100" t="e">
        <f>IF($D$1212="",0,$D1349*Table3[[#This Row],[CF]]*chronic_consumption!$J149/1000/$C$3)</f>
        <v>#DIV/0!</v>
      </c>
      <c r="P1349" s="1100" t="e">
        <f>IF($D$1212="",0,$D1349*Table3[[#This Row],[CF]]*chronic_consumption!$K149/1000/$C$3)</f>
        <v>#DIV/0!</v>
      </c>
      <c r="Q1349" s="1100" t="e">
        <f>IF($D$1212="",0,$D1349*Table3[[#This Row],[CF]]*chronic_consumption!$L149/1000/$C$3)</f>
        <v>#DIV/0!</v>
      </c>
      <c r="R1349" s="1100" t="e">
        <f>IF($D$1212="",0,$D1349*Table3[[#This Row],[CF]]*chronic_consumption!$M149/1000/$C$3)</f>
        <v>#DIV/0!</v>
      </c>
      <c r="S1349" s="1100" t="e">
        <f>IF($D$1212="",0,$D1349*Table3[[#This Row],[CF]]*chronic_consumption!$N149/1000/$C$3)</f>
        <v>#DIV/0!</v>
      </c>
      <c r="T1349" s="1100" t="e">
        <f>IF($D$1212="",0,$D1349*Table3[[#This Row],[CF]]*chronic_consumption!$O149/1000/$C$3)</f>
        <v>#DIV/0!</v>
      </c>
      <c r="U1349" s="1100" t="e">
        <f>IF($D$1212="",0,$D1349*Table3[[#This Row],[CF]]*chronic_consumption!$P149/1000/$C$3)</f>
        <v>#DIV/0!</v>
      </c>
      <c r="V1349" s="1100" t="e">
        <f>IF($D$1212="",0,$D1349*Table3[[#This Row],[CF]]*chronic_consumption!$Q149/1000/$C$3)</f>
        <v>#DIV/0!</v>
      </c>
      <c r="W1349" s="1100" t="e">
        <f>IF($D$1212="",0,$D1349*Table3[[#This Row],[CF]]*chronic_consumption!$R149/1000/$C$3)</f>
        <v>#DIV/0!</v>
      </c>
      <c r="X1349" s="1100" t="e">
        <f>IF($D$1212="",0,$D1349*Table3[[#This Row],[CF]]*chronic_consumption!$S149/1000/$C$3)</f>
        <v>#DIV/0!</v>
      </c>
      <c r="Y1349" s="1100" t="e">
        <f>IF($D$1212="",0,$D1349*Table3[[#This Row],[CF]]*chronic_consumption!$T149/1000/$C$3)</f>
        <v>#DIV/0!</v>
      </c>
      <c r="Z1349" s="1100" t="e">
        <f>IF($D$1212="",0,$D1349*Table3[[#This Row],[CF]]*chronic_consumption!$U149/1000/$C$3)</f>
        <v>#DIV/0!</v>
      </c>
      <c r="AA1349" s="1100" t="e">
        <f>IF($D$1212="",0,$D1349*Table3[[#This Row],[CF]]*chronic_consumption!$V149/1000/$C$3)</f>
        <v>#DIV/0!</v>
      </c>
      <c r="AB1349" s="1100" t="e">
        <f>IF($D$1212="",0,$D1349*Table3[[#This Row],[CF]]*chronic_consumption!$W149/1000/$C$3)</f>
        <v>#DIV/0!</v>
      </c>
      <c r="AC1349" s="1100" t="e">
        <f>IF($D$1212="",0,$D1349*Table3[[#This Row],[CF]]*chronic_consumption!$X149/1000/$C$3)</f>
        <v>#DIV/0!</v>
      </c>
      <c r="AD1349" s="1100" t="e">
        <f>IF($D$1212="",0,$D1349*Table3[[#This Row],[CF]]*chronic_consumption!$Y149/1000/$C$3)</f>
        <v>#DIV/0!</v>
      </c>
      <c r="AE1349" s="1100" t="e">
        <f>IF($D$1212="",0,$D1349*Table3[[#This Row],[CF]]*chronic_consumption!$Z149/1000/$C$3)</f>
        <v>#DIV/0!</v>
      </c>
      <c r="AF1349" s="1100" t="e">
        <f>IF($D$1212="",0,$D1349*Table3[[#This Row],[CF]]*chronic_consumption!$AA149/1000/$C$3)</f>
        <v>#DIV/0!</v>
      </c>
      <c r="AG1349" s="1100" t="e">
        <f>IF($D$1212="",0,$D1349*Table3[[#This Row],[CF]]*chronic_consumption!$AB149/1000/$C$3)</f>
        <v>#DIV/0!</v>
      </c>
      <c r="AH1349" s="1100" t="e">
        <f>IF($D$1212="",0,$D1349*Table3[[#This Row],[CF]]*chronic_consumption!$AC149/1000/$C$3)</f>
        <v>#DIV/0!</v>
      </c>
      <c r="AI1349" s="1100" t="e">
        <f>IF($D$1212="",0,$D1349*Table3[[#This Row],[CF]]*chronic_consumption!$AD149/1000/$C$3)</f>
        <v>#DIV/0!</v>
      </c>
      <c r="AJ1349" s="1100" t="e">
        <f>IF($D$1212="",0,$D1349*Table3[[#This Row],[CF]]*chronic_consumption!$AE149/1000/$C$3)</f>
        <v>#DIV/0!</v>
      </c>
      <c r="AK1349" s="1100" t="e">
        <f>IF($D$1212="",0,$D1349*Table3[[#This Row],[CF]]*chronic_consumption!$AF149/1000/$C$3)</f>
        <v>#DIV/0!</v>
      </c>
      <c r="AL1349" s="1100" t="e">
        <f>IF($D$1212="",0,$D1349*Table3[[#This Row],[CF]]*chronic_consumption!$AG149/1000/$C$3)</f>
        <v>#DIV/0!</v>
      </c>
      <c r="AM1349" s="1100" t="e">
        <f>IF($D$1212="",0,$D1349*Table3[[#This Row],[CF]]*chronic_consumption!$AH149/1000/$C$3)</f>
        <v>#DIV/0!</v>
      </c>
      <c r="AN1349" s="1100" t="e">
        <f>IF($D$1212="",0,$D1349*Table3[[#This Row],[CF]]*chronic_consumption!$AI149/1000/$C$3)</f>
        <v>#DIV/0!</v>
      </c>
      <c r="AO1349" s="1100" t="e">
        <f>IF($D$1212="",0,$D1349*Table3[[#This Row],[CF]]*chronic_consumption!$AJ149/1000/$C$3)</f>
        <v>#DIV/0!</v>
      </c>
      <c r="AP1349" s="1100" t="e">
        <f>IF($D$1212="",0,$D1349*Table3[[#This Row],[CF]]*chronic_consumption!$AK149/1000/$C$3)</f>
        <v>#DIV/0!</v>
      </c>
      <c r="AQ1349" s="1100" t="e">
        <f>IF($D$1212="",0,$D1349*Table3[[#This Row],[CF]]*chronic_consumption!$AL149/1000/$C$3)</f>
        <v>#DIV/0!</v>
      </c>
      <c r="AR1349" s="1100" t="e">
        <f>IF($D$1212="",0,$D1349*Table3[[#This Row],[CF]]*chronic_consumption!$AM149/1000/$C$3)</f>
        <v>#DIV/0!</v>
      </c>
      <c r="AS1349" s="1100" t="e">
        <f>IF($D$1212="",0,$D1349*Table3[[#This Row],[CF]]*chronic_consumption!$AN149/1000/$C$3)</f>
        <v>#DIV/0!</v>
      </c>
      <c r="AT1349" s="1100" t="e">
        <f>IF($D$1212="",0,$D1349*Table3[[#This Row],[CF]]*chronic_consumption!$AO149/1000/$C$3)</f>
        <v>#DIV/0!</v>
      </c>
      <c r="AU1349" s="1101" t="e">
        <f t="shared" si="855"/>
        <v>#DIV/0!</v>
      </c>
      <c r="AV1349" s="1101" t="e">
        <f t="shared" si="855"/>
        <v>#DIV/0!</v>
      </c>
      <c r="AW1349" s="1101" t="e">
        <f t="shared" si="855"/>
        <v>#DIV/0!</v>
      </c>
      <c r="AX1349" s="1101" t="e">
        <f t="shared" si="855"/>
        <v>#DIV/0!</v>
      </c>
      <c r="AY1349" s="1101" t="e">
        <f t="shared" si="855"/>
        <v>#DIV/0!</v>
      </c>
      <c r="AZ1349" s="1091" t="s">
        <v>1012</v>
      </c>
      <c r="BA1349" s="1097" t="e">
        <f>IF(Table3[[#This Row],[max]]&lt;&gt;0,RANK(Table3[[#This Row],[max]],Table3[max],0),"")</f>
        <v>#DIV/0!</v>
      </c>
      <c r="BB1349" s="1096" t="e">
        <f t="shared" si="853"/>
        <v>#DIV/0!</v>
      </c>
      <c r="BC1349" s="1096" t="e">
        <f t="shared" ca="1" si="854"/>
        <v>#DIV/0!</v>
      </c>
      <c r="BD1349" s="1096" t="e">
        <f>IF(Table3[[#This Row],[max]]&gt;0,Table3[[#This Row],[Crop groups and examples of individual products within the groups to which the MRLs apply]],"")</f>
        <v>#DIV/0!</v>
      </c>
    </row>
    <row r="1350" spans="2:56" x14ac:dyDescent="0.2">
      <c r="B1350" s="23">
        <f t="shared" si="851"/>
        <v>242010</v>
      </c>
      <c r="C1350" s="23" t="str">
        <f t="shared" si="851"/>
        <v>Brussels sprouts</v>
      </c>
      <c r="D1350" s="1084">
        <f>input_values!E150</f>
        <v>0</v>
      </c>
      <c r="E1350" s="1084">
        <f>input_values!F150</f>
        <v>0</v>
      </c>
      <c r="F1350" s="1085">
        <f>input_values!W150</f>
        <v>1</v>
      </c>
      <c r="G1350" s="1085" t="str">
        <f>IF(Table3[[#This Row],[CF]]&gt;0,CONCATENATE(IF(Table3[[#This Row],[LOQ]]="*","LOQ","MRL"),IF(input_values!G150&gt;0,"×CFrisk","")),"")</f>
        <v>MRL</v>
      </c>
      <c r="H1350" s="1087">
        <f>input_values!L150</f>
        <v>0</v>
      </c>
      <c r="I1350" s="1088">
        <f>input_values!D150</f>
        <v>0</v>
      </c>
      <c r="J1350" s="1098" t="e">
        <f>IF($D$1212="",0,$D1350*Table3[[#This Row],[CF]]*chronic_consumption!$E150/1000/$C$3)</f>
        <v>#DIV/0!</v>
      </c>
      <c r="K1350" s="1098" t="e">
        <f>IF($D$1212="",0,$D1350*Table3[[#This Row],[CF]]*chronic_consumption!$F150/1000/$C$3)</f>
        <v>#DIV/0!</v>
      </c>
      <c r="L1350" s="1098" t="e">
        <f>IF($D$1212="",0,$D1350*Table3[[#This Row],[CF]]*chronic_consumption!$G150/1000/$C$3)</f>
        <v>#DIV/0!</v>
      </c>
      <c r="M1350" s="1098" t="e">
        <f>IF($D$1212="",0,$D1350*Table3[[#This Row],[CF]]*chronic_consumption!$H150/1000/$C$3)</f>
        <v>#DIV/0!</v>
      </c>
      <c r="N1350" s="1098" t="e">
        <f>IF($D$1212="",0,$D1350*Table3[[#This Row],[CF]]*chronic_consumption!$I150/1000/$C$3)</f>
        <v>#DIV/0!</v>
      </c>
      <c r="O1350" s="1098" t="e">
        <f>IF($D$1212="",0,$D1350*Table3[[#This Row],[CF]]*chronic_consumption!$J150/1000/$C$3)</f>
        <v>#DIV/0!</v>
      </c>
      <c r="P1350" s="1098" t="e">
        <f>IF($D$1212="",0,$D1350*Table3[[#This Row],[CF]]*chronic_consumption!$K150/1000/$C$3)</f>
        <v>#DIV/0!</v>
      </c>
      <c r="Q1350" s="1098" t="e">
        <f>IF($D$1212="",0,$D1350*Table3[[#This Row],[CF]]*chronic_consumption!$L150/1000/$C$3)</f>
        <v>#DIV/0!</v>
      </c>
      <c r="R1350" s="1098" t="e">
        <f>IF($D$1212="",0,$D1350*Table3[[#This Row],[CF]]*chronic_consumption!$M150/1000/$C$3)</f>
        <v>#DIV/0!</v>
      </c>
      <c r="S1350" s="1098" t="e">
        <f>IF($D$1212="",0,$D1350*Table3[[#This Row],[CF]]*chronic_consumption!$N150/1000/$C$3)</f>
        <v>#DIV/0!</v>
      </c>
      <c r="T1350" s="1098" t="e">
        <f>IF($D$1212="",0,$D1350*Table3[[#This Row],[CF]]*chronic_consumption!$O150/1000/$C$3)</f>
        <v>#DIV/0!</v>
      </c>
      <c r="U1350" s="1098" t="e">
        <f>IF($D$1212="",0,$D1350*Table3[[#This Row],[CF]]*chronic_consumption!$P150/1000/$C$3)</f>
        <v>#DIV/0!</v>
      </c>
      <c r="V1350" s="1098" t="e">
        <f>IF($D$1212="",0,$D1350*Table3[[#This Row],[CF]]*chronic_consumption!$Q150/1000/$C$3)</f>
        <v>#DIV/0!</v>
      </c>
      <c r="W1350" s="1098" t="e">
        <f>IF($D$1212="",0,$D1350*Table3[[#This Row],[CF]]*chronic_consumption!$R150/1000/$C$3)</f>
        <v>#DIV/0!</v>
      </c>
      <c r="X1350" s="1098" t="e">
        <f>IF($D$1212="",0,$D1350*Table3[[#This Row],[CF]]*chronic_consumption!$S150/1000/$C$3)</f>
        <v>#DIV/0!</v>
      </c>
      <c r="Y1350" s="1098" t="e">
        <f>IF($D$1212="",0,$D1350*Table3[[#This Row],[CF]]*chronic_consumption!$T150/1000/$C$3)</f>
        <v>#DIV/0!</v>
      </c>
      <c r="Z1350" s="1098" t="e">
        <f>IF($D$1212="",0,$D1350*Table3[[#This Row],[CF]]*chronic_consumption!$U150/1000/$C$3)</f>
        <v>#DIV/0!</v>
      </c>
      <c r="AA1350" s="1098" t="e">
        <f>IF($D$1212="",0,$D1350*Table3[[#This Row],[CF]]*chronic_consumption!$V150/1000/$C$3)</f>
        <v>#DIV/0!</v>
      </c>
      <c r="AB1350" s="1098" t="e">
        <f>IF($D$1212="",0,$D1350*Table3[[#This Row],[CF]]*chronic_consumption!$W150/1000/$C$3)</f>
        <v>#DIV/0!</v>
      </c>
      <c r="AC1350" s="1098" t="e">
        <f>IF($D$1212="",0,$D1350*Table3[[#This Row],[CF]]*chronic_consumption!$X150/1000/$C$3)</f>
        <v>#DIV/0!</v>
      </c>
      <c r="AD1350" s="1098" t="e">
        <f>IF($D$1212="",0,$D1350*Table3[[#This Row],[CF]]*chronic_consumption!$Y150/1000/$C$3)</f>
        <v>#DIV/0!</v>
      </c>
      <c r="AE1350" s="1098" t="e">
        <f>IF($D$1212="",0,$D1350*Table3[[#This Row],[CF]]*chronic_consumption!$Z150/1000/$C$3)</f>
        <v>#DIV/0!</v>
      </c>
      <c r="AF1350" s="1098" t="e">
        <f>IF($D$1212="",0,$D1350*Table3[[#This Row],[CF]]*chronic_consumption!$AA150/1000/$C$3)</f>
        <v>#DIV/0!</v>
      </c>
      <c r="AG1350" s="1098" t="e">
        <f>IF($D$1212="",0,$D1350*Table3[[#This Row],[CF]]*chronic_consumption!$AB150/1000/$C$3)</f>
        <v>#DIV/0!</v>
      </c>
      <c r="AH1350" s="1098" t="e">
        <f>IF($D$1212="",0,$D1350*Table3[[#This Row],[CF]]*chronic_consumption!$AC150/1000/$C$3)</f>
        <v>#DIV/0!</v>
      </c>
      <c r="AI1350" s="1098" t="e">
        <f>IF($D$1212="",0,$D1350*Table3[[#This Row],[CF]]*chronic_consumption!$AD150/1000/$C$3)</f>
        <v>#DIV/0!</v>
      </c>
      <c r="AJ1350" s="1098" t="e">
        <f>IF($D$1212="",0,$D1350*Table3[[#This Row],[CF]]*chronic_consumption!$AE150/1000/$C$3)</f>
        <v>#DIV/0!</v>
      </c>
      <c r="AK1350" s="1098" t="e">
        <f>IF($D$1212="",0,$D1350*Table3[[#This Row],[CF]]*chronic_consumption!$AF150/1000/$C$3)</f>
        <v>#DIV/0!</v>
      </c>
      <c r="AL1350" s="1098" t="e">
        <f>IF($D$1212="",0,$D1350*Table3[[#This Row],[CF]]*chronic_consumption!$AG150/1000/$C$3)</f>
        <v>#DIV/0!</v>
      </c>
      <c r="AM1350" s="1098" t="e">
        <f>IF($D$1212="",0,$D1350*Table3[[#This Row],[CF]]*chronic_consumption!$AH150/1000/$C$3)</f>
        <v>#DIV/0!</v>
      </c>
      <c r="AN1350" s="1098" t="e">
        <f>IF($D$1212="",0,$D1350*Table3[[#This Row],[CF]]*chronic_consumption!$AI150/1000/$C$3)</f>
        <v>#DIV/0!</v>
      </c>
      <c r="AO1350" s="1098" t="e">
        <f>IF($D$1212="",0,$D1350*Table3[[#This Row],[CF]]*chronic_consumption!$AJ150/1000/$C$3)</f>
        <v>#DIV/0!</v>
      </c>
      <c r="AP1350" s="1098" t="e">
        <f>IF($D$1212="",0,$D1350*Table3[[#This Row],[CF]]*chronic_consumption!$AK150/1000/$C$3)</f>
        <v>#DIV/0!</v>
      </c>
      <c r="AQ1350" s="1098" t="e">
        <f>IF($D$1212="",0,$D1350*Table3[[#This Row],[CF]]*chronic_consumption!$AL150/1000/$C$3)</f>
        <v>#DIV/0!</v>
      </c>
      <c r="AR1350" s="1098" t="e">
        <f>IF($D$1212="",0,$D1350*Table3[[#This Row],[CF]]*chronic_consumption!$AM150/1000/$C$3)</f>
        <v>#DIV/0!</v>
      </c>
      <c r="AS1350" s="1098" t="e">
        <f>IF($D$1212="",0,$D1350*Table3[[#This Row],[CF]]*chronic_consumption!$AN150/1000/$C$3)</f>
        <v>#DIV/0!</v>
      </c>
      <c r="AT1350" s="1098" t="e">
        <f>IF($D$1212="",0,$D1350*Table3[[#This Row],[CF]]*chronic_consumption!$AO150/1000/$C$3)</f>
        <v>#DIV/0!</v>
      </c>
      <c r="AU1350" s="1099" t="e">
        <f t="shared" si="855"/>
        <v>#DIV/0!</v>
      </c>
      <c r="AV1350" s="1099" t="e">
        <f t="shared" si="855"/>
        <v>#DIV/0!</v>
      </c>
      <c r="AW1350" s="1099" t="e">
        <f t="shared" si="855"/>
        <v>#DIV/0!</v>
      </c>
      <c r="AX1350" s="1099" t="e">
        <f t="shared" si="855"/>
        <v>#DIV/0!</v>
      </c>
      <c r="AY1350" s="1099" t="e">
        <f t="shared" si="855"/>
        <v>#DIV/0!</v>
      </c>
      <c r="AZ1350" s="1091" t="s">
        <v>1012</v>
      </c>
      <c r="BA1350" s="1097" t="e">
        <f>IF(Table3[[#This Row],[max]]&lt;&gt;0,RANK(Table3[[#This Row],[max]],Table3[max],0),"")</f>
        <v>#DIV/0!</v>
      </c>
      <c r="BB1350" s="1096" t="e">
        <f t="shared" si="853"/>
        <v>#DIV/0!</v>
      </c>
      <c r="BC1350" s="1096" t="e">
        <f t="shared" ca="1" si="854"/>
        <v>#DIV/0!</v>
      </c>
      <c r="BD1350" s="1096" t="e">
        <f>IF(Table3[[#This Row],[max]]&gt;0,Table3[[#This Row],[Crop groups and examples of individual products within the groups to which the MRLs apply]],"")</f>
        <v>#DIV/0!</v>
      </c>
    </row>
    <row r="1351" spans="2:56" x14ac:dyDescent="0.2">
      <c r="B1351" s="23">
        <f t="shared" si="851"/>
        <v>242020</v>
      </c>
      <c r="C1351" s="23" t="str">
        <f t="shared" si="851"/>
        <v>Head cabbages</v>
      </c>
      <c r="D1351" s="1084">
        <f>input_values!E151</f>
        <v>0</v>
      </c>
      <c r="E1351" s="1084">
        <f>input_values!F151</f>
        <v>0</v>
      </c>
      <c r="F1351" s="1085">
        <f>input_values!W151</f>
        <v>1</v>
      </c>
      <c r="G1351" s="1085" t="str">
        <f>IF(Table3[[#This Row],[CF]]&gt;0,CONCATENATE(IF(Table3[[#This Row],[LOQ]]="*","LOQ","MRL"),IF(input_values!G151&gt;0,"×CFrisk","")),"")</f>
        <v>MRL</v>
      </c>
      <c r="H1351" s="1087">
        <f>input_values!L151</f>
        <v>0</v>
      </c>
      <c r="I1351" s="1088">
        <f>input_values!D151</f>
        <v>0</v>
      </c>
      <c r="J1351" s="1098" t="e">
        <f>IF($D$1212="",0,$D1351*Table3[[#This Row],[CF]]*chronic_consumption!$E151/1000/$C$3)</f>
        <v>#DIV/0!</v>
      </c>
      <c r="K1351" s="1098" t="e">
        <f>IF($D$1212="",0,$D1351*Table3[[#This Row],[CF]]*chronic_consumption!$F151/1000/$C$3)</f>
        <v>#DIV/0!</v>
      </c>
      <c r="L1351" s="1098" t="e">
        <f>IF($D$1212="",0,$D1351*Table3[[#This Row],[CF]]*chronic_consumption!$G151/1000/$C$3)</f>
        <v>#DIV/0!</v>
      </c>
      <c r="M1351" s="1098" t="e">
        <f>IF($D$1212="",0,$D1351*Table3[[#This Row],[CF]]*chronic_consumption!$H151/1000/$C$3)</f>
        <v>#DIV/0!</v>
      </c>
      <c r="N1351" s="1098" t="e">
        <f>IF($D$1212="",0,$D1351*Table3[[#This Row],[CF]]*chronic_consumption!$I151/1000/$C$3)</f>
        <v>#DIV/0!</v>
      </c>
      <c r="O1351" s="1098" t="e">
        <f>IF($D$1212="",0,$D1351*Table3[[#This Row],[CF]]*chronic_consumption!$J151/1000/$C$3)</f>
        <v>#DIV/0!</v>
      </c>
      <c r="P1351" s="1098" t="e">
        <f>IF($D$1212="",0,$D1351*Table3[[#This Row],[CF]]*chronic_consumption!$K151/1000/$C$3)</f>
        <v>#DIV/0!</v>
      </c>
      <c r="Q1351" s="1098" t="e">
        <f>IF($D$1212="",0,$D1351*Table3[[#This Row],[CF]]*chronic_consumption!$L151/1000/$C$3)</f>
        <v>#DIV/0!</v>
      </c>
      <c r="R1351" s="1098" t="e">
        <f>IF($D$1212="",0,$D1351*Table3[[#This Row],[CF]]*chronic_consumption!$M151/1000/$C$3)</f>
        <v>#DIV/0!</v>
      </c>
      <c r="S1351" s="1098" t="e">
        <f>IF($D$1212="",0,$D1351*Table3[[#This Row],[CF]]*chronic_consumption!$N151/1000/$C$3)</f>
        <v>#DIV/0!</v>
      </c>
      <c r="T1351" s="1098" t="e">
        <f>IF($D$1212="",0,$D1351*Table3[[#This Row],[CF]]*chronic_consumption!$O151/1000/$C$3)</f>
        <v>#DIV/0!</v>
      </c>
      <c r="U1351" s="1098" t="e">
        <f>IF($D$1212="",0,$D1351*Table3[[#This Row],[CF]]*chronic_consumption!$P151/1000/$C$3)</f>
        <v>#DIV/0!</v>
      </c>
      <c r="V1351" s="1098" t="e">
        <f>IF($D$1212="",0,$D1351*Table3[[#This Row],[CF]]*chronic_consumption!$Q151/1000/$C$3)</f>
        <v>#DIV/0!</v>
      </c>
      <c r="W1351" s="1098" t="e">
        <f>IF($D$1212="",0,$D1351*Table3[[#This Row],[CF]]*chronic_consumption!$R151/1000/$C$3)</f>
        <v>#DIV/0!</v>
      </c>
      <c r="X1351" s="1098" t="e">
        <f>IF($D$1212="",0,$D1351*Table3[[#This Row],[CF]]*chronic_consumption!$S151/1000/$C$3)</f>
        <v>#DIV/0!</v>
      </c>
      <c r="Y1351" s="1098" t="e">
        <f>IF($D$1212="",0,$D1351*Table3[[#This Row],[CF]]*chronic_consumption!$T151/1000/$C$3)</f>
        <v>#DIV/0!</v>
      </c>
      <c r="Z1351" s="1098" t="e">
        <f>IF($D$1212="",0,$D1351*Table3[[#This Row],[CF]]*chronic_consumption!$U151/1000/$C$3)</f>
        <v>#DIV/0!</v>
      </c>
      <c r="AA1351" s="1098" t="e">
        <f>IF($D$1212="",0,$D1351*Table3[[#This Row],[CF]]*chronic_consumption!$V151/1000/$C$3)</f>
        <v>#DIV/0!</v>
      </c>
      <c r="AB1351" s="1098" t="e">
        <f>IF($D$1212="",0,$D1351*Table3[[#This Row],[CF]]*chronic_consumption!$W151/1000/$C$3)</f>
        <v>#DIV/0!</v>
      </c>
      <c r="AC1351" s="1098" t="e">
        <f>IF($D$1212="",0,$D1351*Table3[[#This Row],[CF]]*chronic_consumption!$X151/1000/$C$3)</f>
        <v>#DIV/0!</v>
      </c>
      <c r="AD1351" s="1098" t="e">
        <f>IF($D$1212="",0,$D1351*Table3[[#This Row],[CF]]*chronic_consumption!$Y151/1000/$C$3)</f>
        <v>#DIV/0!</v>
      </c>
      <c r="AE1351" s="1098" t="e">
        <f>IF($D$1212="",0,$D1351*Table3[[#This Row],[CF]]*chronic_consumption!$Z151/1000/$C$3)</f>
        <v>#DIV/0!</v>
      </c>
      <c r="AF1351" s="1098" t="e">
        <f>IF($D$1212="",0,$D1351*Table3[[#This Row],[CF]]*chronic_consumption!$AA151/1000/$C$3)</f>
        <v>#DIV/0!</v>
      </c>
      <c r="AG1351" s="1098" t="e">
        <f>IF($D$1212="",0,$D1351*Table3[[#This Row],[CF]]*chronic_consumption!$AB151/1000/$C$3)</f>
        <v>#DIV/0!</v>
      </c>
      <c r="AH1351" s="1098" t="e">
        <f>IF($D$1212="",0,$D1351*Table3[[#This Row],[CF]]*chronic_consumption!$AC151/1000/$C$3)</f>
        <v>#DIV/0!</v>
      </c>
      <c r="AI1351" s="1098" t="e">
        <f>IF($D$1212="",0,$D1351*Table3[[#This Row],[CF]]*chronic_consumption!$AD151/1000/$C$3)</f>
        <v>#DIV/0!</v>
      </c>
      <c r="AJ1351" s="1098" t="e">
        <f>IF($D$1212="",0,$D1351*Table3[[#This Row],[CF]]*chronic_consumption!$AE151/1000/$C$3)</f>
        <v>#DIV/0!</v>
      </c>
      <c r="AK1351" s="1098" t="e">
        <f>IF($D$1212="",0,$D1351*Table3[[#This Row],[CF]]*chronic_consumption!$AF151/1000/$C$3)</f>
        <v>#DIV/0!</v>
      </c>
      <c r="AL1351" s="1098" t="e">
        <f>IF($D$1212="",0,$D1351*Table3[[#This Row],[CF]]*chronic_consumption!$AG151/1000/$C$3)</f>
        <v>#DIV/0!</v>
      </c>
      <c r="AM1351" s="1098" t="e">
        <f>IF($D$1212="",0,$D1351*Table3[[#This Row],[CF]]*chronic_consumption!$AH151/1000/$C$3)</f>
        <v>#DIV/0!</v>
      </c>
      <c r="AN1351" s="1098" t="e">
        <f>IF($D$1212="",0,$D1351*Table3[[#This Row],[CF]]*chronic_consumption!$AI151/1000/$C$3)</f>
        <v>#DIV/0!</v>
      </c>
      <c r="AO1351" s="1098" t="e">
        <f>IF($D$1212="",0,$D1351*Table3[[#This Row],[CF]]*chronic_consumption!$AJ151/1000/$C$3)</f>
        <v>#DIV/0!</v>
      </c>
      <c r="AP1351" s="1098" t="e">
        <f>IF($D$1212="",0,$D1351*Table3[[#This Row],[CF]]*chronic_consumption!$AK151/1000/$C$3)</f>
        <v>#DIV/0!</v>
      </c>
      <c r="AQ1351" s="1098" t="e">
        <f>IF($D$1212="",0,$D1351*Table3[[#This Row],[CF]]*chronic_consumption!$AL151/1000/$C$3)</f>
        <v>#DIV/0!</v>
      </c>
      <c r="AR1351" s="1098" t="e">
        <f>IF($D$1212="",0,$D1351*Table3[[#This Row],[CF]]*chronic_consumption!$AM151/1000/$C$3)</f>
        <v>#DIV/0!</v>
      </c>
      <c r="AS1351" s="1098" t="e">
        <f>IF($D$1212="",0,$D1351*Table3[[#This Row],[CF]]*chronic_consumption!$AN151/1000/$C$3)</f>
        <v>#DIV/0!</v>
      </c>
      <c r="AT1351" s="1098" t="e">
        <f>IF($D$1212="",0,$D1351*Table3[[#This Row],[CF]]*chronic_consumption!$AO151/1000/$C$3)</f>
        <v>#DIV/0!</v>
      </c>
      <c r="AU1351" s="1099" t="e">
        <f t="shared" si="855"/>
        <v>#DIV/0!</v>
      </c>
      <c r="AV1351" s="1099" t="e">
        <f t="shared" si="855"/>
        <v>#DIV/0!</v>
      </c>
      <c r="AW1351" s="1099" t="e">
        <f t="shared" si="855"/>
        <v>#DIV/0!</v>
      </c>
      <c r="AX1351" s="1099" t="e">
        <f t="shared" si="855"/>
        <v>#DIV/0!</v>
      </c>
      <c r="AY1351" s="1099" t="e">
        <f t="shared" si="855"/>
        <v>#DIV/0!</v>
      </c>
      <c r="AZ1351" s="1091" t="s">
        <v>1012</v>
      </c>
      <c r="BA1351" s="1097" t="e">
        <f>IF(Table3[[#This Row],[max]]&lt;&gt;0,RANK(Table3[[#This Row],[max]],Table3[max],0),"")</f>
        <v>#DIV/0!</v>
      </c>
      <c r="BB1351" s="1096" t="e">
        <f t="shared" si="853"/>
        <v>#DIV/0!</v>
      </c>
      <c r="BC1351" s="1096" t="e">
        <f t="shared" ca="1" si="854"/>
        <v>#DIV/0!</v>
      </c>
      <c r="BD1351" s="1096" t="e">
        <f>IF(Table3[[#This Row],[max]]&gt;0,Table3[[#This Row],[Crop groups and examples of individual products within the groups to which the MRLs apply]],"")</f>
        <v>#DIV/0!</v>
      </c>
    </row>
    <row r="1352" spans="2:56" x14ac:dyDescent="0.2">
      <c r="B1352" s="23">
        <f t="shared" ref="B1352:C1371" si="856">B152</f>
        <v>242990</v>
      </c>
      <c r="C1352" s="23" t="str">
        <f t="shared" si="856"/>
        <v>Other head brassica</v>
      </c>
      <c r="D1352" s="1084">
        <f>input_values!E152</f>
        <v>0</v>
      </c>
      <c r="E1352" s="1084">
        <f>input_values!F152</f>
        <v>0</v>
      </c>
      <c r="F1352" s="1085">
        <f>input_values!W152</f>
        <v>1</v>
      </c>
      <c r="G1352" s="1085" t="str">
        <f>IF(Table3[[#This Row],[CF]]&gt;0,CONCATENATE(IF(Table3[[#This Row],[LOQ]]="*","LOQ","MRL"),IF(input_values!G152&gt;0,"×CFrisk","")),"")</f>
        <v>MRL</v>
      </c>
      <c r="H1352" s="1087">
        <f>input_values!L152</f>
        <v>0</v>
      </c>
      <c r="I1352" s="1088">
        <f>input_values!D152</f>
        <v>0</v>
      </c>
      <c r="J1352" s="1098" t="e">
        <f>IF($D$1212="",0,$D1352*Table3[[#This Row],[CF]]*chronic_consumption!$E152/1000/$C$3)</f>
        <v>#DIV/0!</v>
      </c>
      <c r="K1352" s="1098" t="e">
        <f>IF($D$1212="",0,$D1352*Table3[[#This Row],[CF]]*chronic_consumption!$F152/1000/$C$3)</f>
        <v>#DIV/0!</v>
      </c>
      <c r="L1352" s="1098" t="e">
        <f>IF($D$1212="",0,$D1352*Table3[[#This Row],[CF]]*chronic_consumption!$G152/1000/$C$3)</f>
        <v>#DIV/0!</v>
      </c>
      <c r="M1352" s="1098" t="e">
        <f>IF($D$1212="",0,$D1352*Table3[[#This Row],[CF]]*chronic_consumption!$H152/1000/$C$3)</f>
        <v>#DIV/0!</v>
      </c>
      <c r="N1352" s="1098" t="e">
        <f>IF($D$1212="",0,$D1352*Table3[[#This Row],[CF]]*chronic_consumption!$I152/1000/$C$3)</f>
        <v>#DIV/0!</v>
      </c>
      <c r="O1352" s="1098" t="e">
        <f>IF($D$1212="",0,$D1352*Table3[[#This Row],[CF]]*chronic_consumption!$J152/1000/$C$3)</f>
        <v>#DIV/0!</v>
      </c>
      <c r="P1352" s="1098" t="e">
        <f>IF($D$1212="",0,$D1352*Table3[[#This Row],[CF]]*chronic_consumption!$K152/1000/$C$3)</f>
        <v>#DIV/0!</v>
      </c>
      <c r="Q1352" s="1098" t="e">
        <f>IF($D$1212="",0,$D1352*Table3[[#This Row],[CF]]*chronic_consumption!$L152/1000/$C$3)</f>
        <v>#DIV/0!</v>
      </c>
      <c r="R1352" s="1098" t="e">
        <f>IF($D$1212="",0,$D1352*Table3[[#This Row],[CF]]*chronic_consumption!$M152/1000/$C$3)</f>
        <v>#DIV/0!</v>
      </c>
      <c r="S1352" s="1098" t="e">
        <f>IF($D$1212="",0,$D1352*Table3[[#This Row],[CF]]*chronic_consumption!$N152/1000/$C$3)</f>
        <v>#DIV/0!</v>
      </c>
      <c r="T1352" s="1098" t="e">
        <f>IF($D$1212="",0,$D1352*Table3[[#This Row],[CF]]*chronic_consumption!$O152/1000/$C$3)</f>
        <v>#DIV/0!</v>
      </c>
      <c r="U1352" s="1098" t="e">
        <f>IF($D$1212="",0,$D1352*Table3[[#This Row],[CF]]*chronic_consumption!$P152/1000/$C$3)</f>
        <v>#DIV/0!</v>
      </c>
      <c r="V1352" s="1098" t="e">
        <f>IF($D$1212="",0,$D1352*Table3[[#This Row],[CF]]*chronic_consumption!$Q152/1000/$C$3)</f>
        <v>#DIV/0!</v>
      </c>
      <c r="W1352" s="1098" t="e">
        <f>IF($D$1212="",0,$D1352*Table3[[#This Row],[CF]]*chronic_consumption!$R152/1000/$C$3)</f>
        <v>#DIV/0!</v>
      </c>
      <c r="X1352" s="1098" t="e">
        <f>IF($D$1212="",0,$D1352*Table3[[#This Row],[CF]]*chronic_consumption!$S152/1000/$C$3)</f>
        <v>#DIV/0!</v>
      </c>
      <c r="Y1352" s="1098" t="e">
        <f>IF($D$1212="",0,$D1352*Table3[[#This Row],[CF]]*chronic_consumption!$T152/1000/$C$3)</f>
        <v>#DIV/0!</v>
      </c>
      <c r="Z1352" s="1098" t="e">
        <f>IF($D$1212="",0,$D1352*Table3[[#This Row],[CF]]*chronic_consumption!$U152/1000/$C$3)</f>
        <v>#DIV/0!</v>
      </c>
      <c r="AA1352" s="1098" t="e">
        <f>IF($D$1212="",0,$D1352*Table3[[#This Row],[CF]]*chronic_consumption!$V152/1000/$C$3)</f>
        <v>#DIV/0!</v>
      </c>
      <c r="AB1352" s="1098" t="e">
        <f>IF($D$1212="",0,$D1352*Table3[[#This Row],[CF]]*chronic_consumption!$W152/1000/$C$3)</f>
        <v>#DIV/0!</v>
      </c>
      <c r="AC1352" s="1098" t="e">
        <f>IF($D$1212="",0,$D1352*Table3[[#This Row],[CF]]*chronic_consumption!$X152/1000/$C$3)</f>
        <v>#DIV/0!</v>
      </c>
      <c r="AD1352" s="1098" t="e">
        <f>IF($D$1212="",0,$D1352*Table3[[#This Row],[CF]]*chronic_consumption!$Y152/1000/$C$3)</f>
        <v>#DIV/0!</v>
      </c>
      <c r="AE1352" s="1098" t="e">
        <f>IF($D$1212="",0,$D1352*Table3[[#This Row],[CF]]*chronic_consumption!$Z152/1000/$C$3)</f>
        <v>#DIV/0!</v>
      </c>
      <c r="AF1352" s="1098" t="e">
        <f>IF($D$1212="",0,$D1352*Table3[[#This Row],[CF]]*chronic_consumption!$AA152/1000/$C$3)</f>
        <v>#DIV/0!</v>
      </c>
      <c r="AG1352" s="1098" t="e">
        <f>IF($D$1212="",0,$D1352*Table3[[#This Row],[CF]]*chronic_consumption!$AB152/1000/$C$3)</f>
        <v>#DIV/0!</v>
      </c>
      <c r="AH1352" s="1098" t="e">
        <f>IF($D$1212="",0,$D1352*Table3[[#This Row],[CF]]*chronic_consumption!$AC152/1000/$C$3)</f>
        <v>#DIV/0!</v>
      </c>
      <c r="AI1352" s="1098" t="e">
        <f>IF($D$1212="",0,$D1352*Table3[[#This Row],[CF]]*chronic_consumption!$AD152/1000/$C$3)</f>
        <v>#DIV/0!</v>
      </c>
      <c r="AJ1352" s="1098" t="e">
        <f>IF($D$1212="",0,$D1352*Table3[[#This Row],[CF]]*chronic_consumption!$AE152/1000/$C$3)</f>
        <v>#DIV/0!</v>
      </c>
      <c r="AK1352" s="1098" t="e">
        <f>IF($D$1212="",0,$D1352*Table3[[#This Row],[CF]]*chronic_consumption!$AF152/1000/$C$3)</f>
        <v>#DIV/0!</v>
      </c>
      <c r="AL1352" s="1098" t="e">
        <f>IF($D$1212="",0,$D1352*Table3[[#This Row],[CF]]*chronic_consumption!$AG152/1000/$C$3)</f>
        <v>#DIV/0!</v>
      </c>
      <c r="AM1352" s="1098" t="e">
        <f>IF($D$1212="",0,$D1352*Table3[[#This Row],[CF]]*chronic_consumption!$AH152/1000/$C$3)</f>
        <v>#DIV/0!</v>
      </c>
      <c r="AN1352" s="1098" t="e">
        <f>IF($D$1212="",0,$D1352*Table3[[#This Row],[CF]]*chronic_consumption!$AI152/1000/$C$3)</f>
        <v>#DIV/0!</v>
      </c>
      <c r="AO1352" s="1098" t="e">
        <f>IF($D$1212="",0,$D1352*Table3[[#This Row],[CF]]*chronic_consumption!$AJ152/1000/$C$3)</f>
        <v>#DIV/0!</v>
      </c>
      <c r="AP1352" s="1098" t="e">
        <f>IF($D$1212="",0,$D1352*Table3[[#This Row],[CF]]*chronic_consumption!$AK152/1000/$C$3)</f>
        <v>#DIV/0!</v>
      </c>
      <c r="AQ1352" s="1098" t="e">
        <f>IF($D$1212="",0,$D1352*Table3[[#This Row],[CF]]*chronic_consumption!$AL152/1000/$C$3)</f>
        <v>#DIV/0!</v>
      </c>
      <c r="AR1352" s="1098" t="e">
        <f>IF($D$1212="",0,$D1352*Table3[[#This Row],[CF]]*chronic_consumption!$AM152/1000/$C$3)</f>
        <v>#DIV/0!</v>
      </c>
      <c r="AS1352" s="1098" t="e">
        <f>IF($D$1212="",0,$D1352*Table3[[#This Row],[CF]]*chronic_consumption!$AN152/1000/$C$3)</f>
        <v>#DIV/0!</v>
      </c>
      <c r="AT1352" s="1098" t="e">
        <f>IF($D$1212="",0,$D1352*Table3[[#This Row],[CF]]*chronic_consumption!$AO152/1000/$C$3)</f>
        <v>#DIV/0!</v>
      </c>
      <c r="AU1352" s="1099" t="e">
        <f t="shared" ref="AU1352:AY1361" si="857">IF(AU552="",0,IF(OR(1=RANK(AU952,AU$412:AU$790,0),(2=RANK(AU952,AU$412:AU$790,0))),AU952,AU552))</f>
        <v>#DIV/0!</v>
      </c>
      <c r="AV1352" s="1099" t="e">
        <f t="shared" si="857"/>
        <v>#DIV/0!</v>
      </c>
      <c r="AW1352" s="1099" t="e">
        <f t="shared" si="857"/>
        <v>#DIV/0!</v>
      </c>
      <c r="AX1352" s="1099" t="e">
        <f t="shared" si="857"/>
        <v>#DIV/0!</v>
      </c>
      <c r="AY1352" s="1099" t="e">
        <f t="shared" si="857"/>
        <v>#DIV/0!</v>
      </c>
      <c r="AZ1352" s="1091" t="s">
        <v>1012</v>
      </c>
      <c r="BA1352" s="1097" t="e">
        <f>IF(Table3[[#This Row],[max]]&lt;&gt;0,RANK(Table3[[#This Row],[max]],Table3[max],0),"")</f>
        <v>#DIV/0!</v>
      </c>
      <c r="BB1352" s="1096" t="e">
        <f t="shared" si="853"/>
        <v>#DIV/0!</v>
      </c>
      <c r="BC1352" s="1096" t="e">
        <f t="shared" ca="1" si="854"/>
        <v>#DIV/0!</v>
      </c>
      <c r="BD1352" s="1096" t="e">
        <f>IF(Table3[[#This Row],[max]]&gt;0,Table3[[#This Row],[Crop groups and examples of individual products within the groups to which the MRLs apply]],"")</f>
        <v>#DIV/0!</v>
      </c>
    </row>
    <row r="1353" spans="2:56" x14ac:dyDescent="0.2">
      <c r="B1353" s="3">
        <f t="shared" si="856"/>
        <v>243000</v>
      </c>
      <c r="C1353" s="3" t="str">
        <f t="shared" si="856"/>
        <v>Leafy brassica</v>
      </c>
      <c r="D1353" s="1084">
        <f>input_values!E153</f>
        <v>0</v>
      </c>
      <c r="E1353" s="1084">
        <f>input_values!F153</f>
        <v>0</v>
      </c>
      <c r="F1353" s="1085">
        <f>input_values!W153</f>
        <v>0</v>
      </c>
      <c r="G1353" s="1085" t="str">
        <f>IF(Table3[[#This Row],[CF]]&gt;0,CONCATENATE(IF(Table3[[#This Row],[LOQ]]="*","LOQ","MRL"),IF(input_values!G153&gt;0,"×CFrisk","")),"")</f>
        <v/>
      </c>
      <c r="H1353" s="1087">
        <f>input_values!L153</f>
        <v>0</v>
      </c>
      <c r="I1353" s="1088">
        <f>input_values!D153</f>
        <v>0</v>
      </c>
      <c r="J1353" s="1100" t="e">
        <f>IF($D$1212="",0,$D1353*Table3[[#This Row],[CF]]*chronic_consumption!$E153/1000/$C$3)</f>
        <v>#DIV/0!</v>
      </c>
      <c r="K1353" s="1100" t="e">
        <f>IF($D$1212="",0,$D1353*Table3[[#This Row],[CF]]*chronic_consumption!$F153/1000/$C$3)</f>
        <v>#DIV/0!</v>
      </c>
      <c r="L1353" s="1100" t="e">
        <f>IF($D$1212="",0,$D1353*Table3[[#This Row],[CF]]*chronic_consumption!$G153/1000/$C$3)</f>
        <v>#DIV/0!</v>
      </c>
      <c r="M1353" s="1100" t="e">
        <f>IF($D$1212="",0,$D1353*Table3[[#This Row],[CF]]*chronic_consumption!$H153/1000/$C$3)</f>
        <v>#DIV/0!</v>
      </c>
      <c r="N1353" s="1100" t="e">
        <f>IF($D$1212="",0,$D1353*Table3[[#This Row],[CF]]*chronic_consumption!$I153/1000/$C$3)</f>
        <v>#DIV/0!</v>
      </c>
      <c r="O1353" s="1100" t="e">
        <f>IF($D$1212="",0,$D1353*Table3[[#This Row],[CF]]*chronic_consumption!$J153/1000/$C$3)</f>
        <v>#DIV/0!</v>
      </c>
      <c r="P1353" s="1100" t="e">
        <f>IF($D$1212="",0,$D1353*Table3[[#This Row],[CF]]*chronic_consumption!$K153/1000/$C$3)</f>
        <v>#DIV/0!</v>
      </c>
      <c r="Q1353" s="1100" t="e">
        <f>IF($D$1212="",0,$D1353*Table3[[#This Row],[CF]]*chronic_consumption!$L153/1000/$C$3)</f>
        <v>#DIV/0!</v>
      </c>
      <c r="R1353" s="1100" t="e">
        <f>IF($D$1212="",0,$D1353*Table3[[#This Row],[CF]]*chronic_consumption!$M153/1000/$C$3)</f>
        <v>#DIV/0!</v>
      </c>
      <c r="S1353" s="1100" t="e">
        <f>IF($D$1212="",0,$D1353*Table3[[#This Row],[CF]]*chronic_consumption!$N153/1000/$C$3)</f>
        <v>#DIV/0!</v>
      </c>
      <c r="T1353" s="1100" t="e">
        <f>IF($D$1212="",0,$D1353*Table3[[#This Row],[CF]]*chronic_consumption!$O153/1000/$C$3)</f>
        <v>#DIV/0!</v>
      </c>
      <c r="U1353" s="1100" t="e">
        <f>IF($D$1212="",0,$D1353*Table3[[#This Row],[CF]]*chronic_consumption!$P153/1000/$C$3)</f>
        <v>#DIV/0!</v>
      </c>
      <c r="V1353" s="1100" t="e">
        <f>IF($D$1212="",0,$D1353*Table3[[#This Row],[CF]]*chronic_consumption!$Q153/1000/$C$3)</f>
        <v>#DIV/0!</v>
      </c>
      <c r="W1353" s="1100" t="e">
        <f>IF($D$1212="",0,$D1353*Table3[[#This Row],[CF]]*chronic_consumption!$R153/1000/$C$3)</f>
        <v>#DIV/0!</v>
      </c>
      <c r="X1353" s="1100" t="e">
        <f>IF($D$1212="",0,$D1353*Table3[[#This Row],[CF]]*chronic_consumption!$S153/1000/$C$3)</f>
        <v>#DIV/0!</v>
      </c>
      <c r="Y1353" s="1100" t="e">
        <f>IF($D$1212="",0,$D1353*Table3[[#This Row],[CF]]*chronic_consumption!$T153/1000/$C$3)</f>
        <v>#DIV/0!</v>
      </c>
      <c r="Z1353" s="1100" t="e">
        <f>IF($D$1212="",0,$D1353*Table3[[#This Row],[CF]]*chronic_consumption!$U153/1000/$C$3)</f>
        <v>#DIV/0!</v>
      </c>
      <c r="AA1353" s="1100" t="e">
        <f>IF($D$1212="",0,$D1353*Table3[[#This Row],[CF]]*chronic_consumption!$V153/1000/$C$3)</f>
        <v>#DIV/0!</v>
      </c>
      <c r="AB1353" s="1100" t="e">
        <f>IF($D$1212="",0,$D1353*Table3[[#This Row],[CF]]*chronic_consumption!$W153/1000/$C$3)</f>
        <v>#DIV/0!</v>
      </c>
      <c r="AC1353" s="1100" t="e">
        <f>IF($D$1212="",0,$D1353*Table3[[#This Row],[CF]]*chronic_consumption!$X153/1000/$C$3)</f>
        <v>#DIV/0!</v>
      </c>
      <c r="AD1353" s="1100" t="e">
        <f>IF($D$1212="",0,$D1353*Table3[[#This Row],[CF]]*chronic_consumption!$Y153/1000/$C$3)</f>
        <v>#DIV/0!</v>
      </c>
      <c r="AE1353" s="1100" t="e">
        <f>IF($D$1212="",0,$D1353*Table3[[#This Row],[CF]]*chronic_consumption!$Z153/1000/$C$3)</f>
        <v>#DIV/0!</v>
      </c>
      <c r="AF1353" s="1100" t="e">
        <f>IF($D$1212="",0,$D1353*Table3[[#This Row],[CF]]*chronic_consumption!$AA153/1000/$C$3)</f>
        <v>#DIV/0!</v>
      </c>
      <c r="AG1353" s="1100" t="e">
        <f>IF($D$1212="",0,$D1353*Table3[[#This Row],[CF]]*chronic_consumption!$AB153/1000/$C$3)</f>
        <v>#DIV/0!</v>
      </c>
      <c r="AH1353" s="1100" t="e">
        <f>IF($D$1212="",0,$D1353*Table3[[#This Row],[CF]]*chronic_consumption!$AC153/1000/$C$3)</f>
        <v>#DIV/0!</v>
      </c>
      <c r="AI1353" s="1100" t="e">
        <f>IF($D$1212="",0,$D1353*Table3[[#This Row],[CF]]*chronic_consumption!$AD153/1000/$C$3)</f>
        <v>#DIV/0!</v>
      </c>
      <c r="AJ1353" s="1100" t="e">
        <f>IF($D$1212="",0,$D1353*Table3[[#This Row],[CF]]*chronic_consumption!$AE153/1000/$C$3)</f>
        <v>#DIV/0!</v>
      </c>
      <c r="AK1353" s="1100" t="e">
        <f>IF($D$1212="",0,$D1353*Table3[[#This Row],[CF]]*chronic_consumption!$AF153/1000/$C$3)</f>
        <v>#DIV/0!</v>
      </c>
      <c r="AL1353" s="1100" t="e">
        <f>IF($D$1212="",0,$D1353*Table3[[#This Row],[CF]]*chronic_consumption!$AG153/1000/$C$3)</f>
        <v>#DIV/0!</v>
      </c>
      <c r="AM1353" s="1100" t="e">
        <f>IF($D$1212="",0,$D1353*Table3[[#This Row],[CF]]*chronic_consumption!$AH153/1000/$C$3)</f>
        <v>#DIV/0!</v>
      </c>
      <c r="AN1353" s="1100" t="e">
        <f>IF($D$1212="",0,$D1353*Table3[[#This Row],[CF]]*chronic_consumption!$AI153/1000/$C$3)</f>
        <v>#DIV/0!</v>
      </c>
      <c r="AO1353" s="1100" t="e">
        <f>IF($D$1212="",0,$D1353*Table3[[#This Row],[CF]]*chronic_consumption!$AJ153/1000/$C$3)</f>
        <v>#DIV/0!</v>
      </c>
      <c r="AP1353" s="1100" t="e">
        <f>IF($D$1212="",0,$D1353*Table3[[#This Row],[CF]]*chronic_consumption!$AK153/1000/$C$3)</f>
        <v>#DIV/0!</v>
      </c>
      <c r="AQ1353" s="1100" t="e">
        <f>IF($D$1212="",0,$D1353*Table3[[#This Row],[CF]]*chronic_consumption!$AL153/1000/$C$3)</f>
        <v>#DIV/0!</v>
      </c>
      <c r="AR1353" s="1100" t="e">
        <f>IF($D$1212="",0,$D1353*Table3[[#This Row],[CF]]*chronic_consumption!$AM153/1000/$C$3)</f>
        <v>#DIV/0!</v>
      </c>
      <c r="AS1353" s="1100" t="e">
        <f>IF($D$1212="",0,$D1353*Table3[[#This Row],[CF]]*chronic_consumption!$AN153/1000/$C$3)</f>
        <v>#DIV/0!</v>
      </c>
      <c r="AT1353" s="1100" t="e">
        <f>IF($D$1212="",0,$D1353*Table3[[#This Row],[CF]]*chronic_consumption!$AO153/1000/$C$3)</f>
        <v>#DIV/0!</v>
      </c>
      <c r="AU1353" s="1101" t="e">
        <f t="shared" si="857"/>
        <v>#DIV/0!</v>
      </c>
      <c r="AV1353" s="1101" t="e">
        <f t="shared" si="857"/>
        <v>#DIV/0!</v>
      </c>
      <c r="AW1353" s="1101" t="e">
        <f t="shared" si="857"/>
        <v>#DIV/0!</v>
      </c>
      <c r="AX1353" s="1101" t="e">
        <f t="shared" si="857"/>
        <v>#DIV/0!</v>
      </c>
      <c r="AY1353" s="1101" t="e">
        <f t="shared" si="857"/>
        <v>#DIV/0!</v>
      </c>
      <c r="AZ1353" s="1091" t="s">
        <v>1012</v>
      </c>
      <c r="BA1353" s="1097" t="e">
        <f>IF(Table3[[#This Row],[max]]&lt;&gt;0,RANK(Table3[[#This Row],[max]],Table3[max],0),"")</f>
        <v>#DIV/0!</v>
      </c>
      <c r="BB1353" s="1096" t="e">
        <f t="shared" si="853"/>
        <v>#DIV/0!</v>
      </c>
      <c r="BC1353" s="1096" t="e">
        <f t="shared" ca="1" si="854"/>
        <v>#DIV/0!</v>
      </c>
      <c r="BD1353" s="1096" t="e">
        <f>IF(Table3[[#This Row],[max]]&gt;0,Table3[[#This Row],[Crop groups and examples of individual products within the groups to which the MRLs apply]],"")</f>
        <v>#DIV/0!</v>
      </c>
    </row>
    <row r="1354" spans="2:56" x14ac:dyDescent="0.2">
      <c r="B1354" s="23">
        <f t="shared" si="856"/>
        <v>243010</v>
      </c>
      <c r="C1354" s="23" t="str">
        <f t="shared" si="856"/>
        <v>Chinese cabbages/pe-tsai</v>
      </c>
      <c r="D1354" s="1084">
        <f>input_values!E154</f>
        <v>0</v>
      </c>
      <c r="E1354" s="1084">
        <f>input_values!F154</f>
        <v>0</v>
      </c>
      <c r="F1354" s="1085">
        <f>input_values!W154</f>
        <v>1</v>
      </c>
      <c r="G1354" s="1085" t="str">
        <f>IF(Table3[[#This Row],[CF]]&gt;0,CONCATENATE(IF(Table3[[#This Row],[LOQ]]="*","LOQ","MRL"),IF(input_values!G154&gt;0,"×CFrisk","")),"")</f>
        <v>MRL</v>
      </c>
      <c r="H1354" s="1087">
        <f>input_values!L154</f>
        <v>0</v>
      </c>
      <c r="I1354" s="1088">
        <f>input_values!D154</f>
        <v>0</v>
      </c>
      <c r="J1354" s="1098" t="e">
        <f>IF($D$1212="",0,$D1354*Table3[[#This Row],[CF]]*chronic_consumption!$E154/1000/$C$3)</f>
        <v>#DIV/0!</v>
      </c>
      <c r="K1354" s="1098" t="e">
        <f>IF($D$1212="",0,$D1354*Table3[[#This Row],[CF]]*chronic_consumption!$F154/1000/$C$3)</f>
        <v>#DIV/0!</v>
      </c>
      <c r="L1354" s="1098" t="e">
        <f>IF($D$1212="",0,$D1354*Table3[[#This Row],[CF]]*chronic_consumption!$G154/1000/$C$3)</f>
        <v>#DIV/0!</v>
      </c>
      <c r="M1354" s="1098" t="e">
        <f>IF($D$1212="",0,$D1354*Table3[[#This Row],[CF]]*chronic_consumption!$H154/1000/$C$3)</f>
        <v>#DIV/0!</v>
      </c>
      <c r="N1354" s="1098" t="e">
        <f>IF($D$1212="",0,$D1354*Table3[[#This Row],[CF]]*chronic_consumption!$I154/1000/$C$3)</f>
        <v>#DIV/0!</v>
      </c>
      <c r="O1354" s="1098" t="e">
        <f>IF($D$1212="",0,$D1354*Table3[[#This Row],[CF]]*chronic_consumption!$J154/1000/$C$3)</f>
        <v>#DIV/0!</v>
      </c>
      <c r="P1354" s="1098" t="e">
        <f>IF($D$1212="",0,$D1354*Table3[[#This Row],[CF]]*chronic_consumption!$K154/1000/$C$3)</f>
        <v>#DIV/0!</v>
      </c>
      <c r="Q1354" s="1098" t="e">
        <f>IF($D$1212="",0,$D1354*Table3[[#This Row],[CF]]*chronic_consumption!$L154/1000/$C$3)</f>
        <v>#DIV/0!</v>
      </c>
      <c r="R1354" s="1098" t="e">
        <f>IF($D$1212="",0,$D1354*Table3[[#This Row],[CF]]*chronic_consumption!$M154/1000/$C$3)</f>
        <v>#DIV/0!</v>
      </c>
      <c r="S1354" s="1098" t="e">
        <f>IF($D$1212="",0,$D1354*Table3[[#This Row],[CF]]*chronic_consumption!$N154/1000/$C$3)</f>
        <v>#DIV/0!</v>
      </c>
      <c r="T1354" s="1098" t="e">
        <f>IF($D$1212="",0,$D1354*Table3[[#This Row],[CF]]*chronic_consumption!$O154/1000/$C$3)</f>
        <v>#DIV/0!</v>
      </c>
      <c r="U1354" s="1098" t="e">
        <f>IF($D$1212="",0,$D1354*Table3[[#This Row],[CF]]*chronic_consumption!$P154/1000/$C$3)</f>
        <v>#DIV/0!</v>
      </c>
      <c r="V1354" s="1098" t="e">
        <f>IF($D$1212="",0,$D1354*Table3[[#This Row],[CF]]*chronic_consumption!$Q154/1000/$C$3)</f>
        <v>#DIV/0!</v>
      </c>
      <c r="W1354" s="1098" t="e">
        <f>IF($D$1212="",0,$D1354*Table3[[#This Row],[CF]]*chronic_consumption!$R154/1000/$C$3)</f>
        <v>#DIV/0!</v>
      </c>
      <c r="X1354" s="1098" t="e">
        <f>IF($D$1212="",0,$D1354*Table3[[#This Row],[CF]]*chronic_consumption!$S154/1000/$C$3)</f>
        <v>#DIV/0!</v>
      </c>
      <c r="Y1354" s="1098" t="e">
        <f>IF($D$1212="",0,$D1354*Table3[[#This Row],[CF]]*chronic_consumption!$T154/1000/$C$3)</f>
        <v>#DIV/0!</v>
      </c>
      <c r="Z1354" s="1098" t="e">
        <f>IF($D$1212="",0,$D1354*Table3[[#This Row],[CF]]*chronic_consumption!$U154/1000/$C$3)</f>
        <v>#DIV/0!</v>
      </c>
      <c r="AA1354" s="1098" t="e">
        <f>IF($D$1212="",0,$D1354*Table3[[#This Row],[CF]]*chronic_consumption!$V154/1000/$C$3)</f>
        <v>#DIV/0!</v>
      </c>
      <c r="AB1354" s="1098" t="e">
        <f>IF($D$1212="",0,$D1354*Table3[[#This Row],[CF]]*chronic_consumption!$W154/1000/$C$3)</f>
        <v>#DIV/0!</v>
      </c>
      <c r="AC1354" s="1098" t="e">
        <f>IF($D$1212="",0,$D1354*Table3[[#This Row],[CF]]*chronic_consumption!$X154/1000/$C$3)</f>
        <v>#DIV/0!</v>
      </c>
      <c r="AD1354" s="1098" t="e">
        <f>IF($D$1212="",0,$D1354*Table3[[#This Row],[CF]]*chronic_consumption!$Y154/1000/$C$3)</f>
        <v>#DIV/0!</v>
      </c>
      <c r="AE1354" s="1098" t="e">
        <f>IF($D$1212="",0,$D1354*Table3[[#This Row],[CF]]*chronic_consumption!$Z154/1000/$C$3)</f>
        <v>#DIV/0!</v>
      </c>
      <c r="AF1354" s="1098" t="e">
        <f>IF($D$1212="",0,$D1354*Table3[[#This Row],[CF]]*chronic_consumption!$AA154/1000/$C$3)</f>
        <v>#DIV/0!</v>
      </c>
      <c r="AG1354" s="1098" t="e">
        <f>IF($D$1212="",0,$D1354*Table3[[#This Row],[CF]]*chronic_consumption!$AB154/1000/$C$3)</f>
        <v>#DIV/0!</v>
      </c>
      <c r="AH1354" s="1098" t="e">
        <f>IF($D$1212="",0,$D1354*Table3[[#This Row],[CF]]*chronic_consumption!$AC154/1000/$C$3)</f>
        <v>#DIV/0!</v>
      </c>
      <c r="AI1354" s="1098" t="e">
        <f>IF($D$1212="",0,$D1354*Table3[[#This Row],[CF]]*chronic_consumption!$AD154/1000/$C$3)</f>
        <v>#DIV/0!</v>
      </c>
      <c r="AJ1354" s="1098" t="e">
        <f>IF($D$1212="",0,$D1354*Table3[[#This Row],[CF]]*chronic_consumption!$AE154/1000/$C$3)</f>
        <v>#DIV/0!</v>
      </c>
      <c r="AK1354" s="1098" t="e">
        <f>IF($D$1212="",0,$D1354*Table3[[#This Row],[CF]]*chronic_consumption!$AF154/1000/$C$3)</f>
        <v>#DIV/0!</v>
      </c>
      <c r="AL1354" s="1098" t="e">
        <f>IF($D$1212="",0,$D1354*Table3[[#This Row],[CF]]*chronic_consumption!$AG154/1000/$C$3)</f>
        <v>#DIV/0!</v>
      </c>
      <c r="AM1354" s="1098" t="e">
        <f>IF($D$1212="",0,$D1354*Table3[[#This Row],[CF]]*chronic_consumption!$AH154/1000/$C$3)</f>
        <v>#DIV/0!</v>
      </c>
      <c r="AN1354" s="1098" t="e">
        <f>IF($D$1212="",0,$D1354*Table3[[#This Row],[CF]]*chronic_consumption!$AI154/1000/$C$3)</f>
        <v>#DIV/0!</v>
      </c>
      <c r="AO1354" s="1098" t="e">
        <f>IF($D$1212="",0,$D1354*Table3[[#This Row],[CF]]*chronic_consumption!$AJ154/1000/$C$3)</f>
        <v>#DIV/0!</v>
      </c>
      <c r="AP1354" s="1098" t="e">
        <f>IF($D$1212="",0,$D1354*Table3[[#This Row],[CF]]*chronic_consumption!$AK154/1000/$C$3)</f>
        <v>#DIV/0!</v>
      </c>
      <c r="AQ1354" s="1098" t="e">
        <f>IF($D$1212="",0,$D1354*Table3[[#This Row],[CF]]*chronic_consumption!$AL154/1000/$C$3)</f>
        <v>#DIV/0!</v>
      </c>
      <c r="AR1354" s="1098" t="e">
        <f>IF($D$1212="",0,$D1354*Table3[[#This Row],[CF]]*chronic_consumption!$AM154/1000/$C$3)</f>
        <v>#DIV/0!</v>
      </c>
      <c r="AS1354" s="1098" t="e">
        <f>IF($D$1212="",0,$D1354*Table3[[#This Row],[CF]]*chronic_consumption!$AN154/1000/$C$3)</f>
        <v>#DIV/0!</v>
      </c>
      <c r="AT1354" s="1098" t="e">
        <f>IF($D$1212="",0,$D1354*Table3[[#This Row],[CF]]*chronic_consumption!$AO154/1000/$C$3)</f>
        <v>#DIV/0!</v>
      </c>
      <c r="AU1354" s="1099" t="e">
        <f t="shared" si="857"/>
        <v>#DIV/0!</v>
      </c>
      <c r="AV1354" s="1099" t="e">
        <f t="shared" si="857"/>
        <v>#DIV/0!</v>
      </c>
      <c r="AW1354" s="1099" t="e">
        <f t="shared" si="857"/>
        <v>#DIV/0!</v>
      </c>
      <c r="AX1354" s="1099" t="e">
        <f t="shared" si="857"/>
        <v>#DIV/0!</v>
      </c>
      <c r="AY1354" s="1099" t="e">
        <f t="shared" si="857"/>
        <v>#DIV/0!</v>
      </c>
      <c r="AZ1354" s="1091" t="s">
        <v>1012</v>
      </c>
      <c r="BA1354" s="1097" t="e">
        <f>IF(Table3[[#This Row],[max]]&lt;&gt;0,RANK(Table3[[#This Row],[max]],Table3[max],0),"")</f>
        <v>#DIV/0!</v>
      </c>
      <c r="BB1354" s="1096" t="e">
        <f t="shared" si="853"/>
        <v>#DIV/0!</v>
      </c>
      <c r="BC1354" s="1096" t="e">
        <f t="shared" ca="1" si="854"/>
        <v>#DIV/0!</v>
      </c>
      <c r="BD1354" s="1096" t="e">
        <f>IF(Table3[[#This Row],[max]]&gt;0,Table3[[#This Row],[Crop groups and examples of individual products within the groups to which the MRLs apply]],"")</f>
        <v>#DIV/0!</v>
      </c>
    </row>
    <row r="1355" spans="2:56" x14ac:dyDescent="0.2">
      <c r="B1355" s="23">
        <f t="shared" si="856"/>
        <v>243020</v>
      </c>
      <c r="C1355" s="23" t="str">
        <f t="shared" si="856"/>
        <v>Kales</v>
      </c>
      <c r="D1355" s="1084">
        <f>input_values!E155</f>
        <v>0</v>
      </c>
      <c r="E1355" s="1084">
        <f>input_values!F155</f>
        <v>0</v>
      </c>
      <c r="F1355" s="1085">
        <f>input_values!W155</f>
        <v>1</v>
      </c>
      <c r="G1355" s="1085" t="str">
        <f>IF(Table3[[#This Row],[CF]]&gt;0,CONCATENATE(IF(Table3[[#This Row],[LOQ]]="*","LOQ","MRL"),IF(input_values!G155&gt;0,"×CFrisk","")),"")</f>
        <v>MRL</v>
      </c>
      <c r="H1355" s="1087">
        <f>input_values!L155</f>
        <v>0</v>
      </c>
      <c r="I1355" s="1088">
        <f>input_values!D155</f>
        <v>0</v>
      </c>
      <c r="J1355" s="1098" t="e">
        <f>IF($D$1212="",0,$D1355*Table3[[#This Row],[CF]]*chronic_consumption!$E155/1000/$C$3)</f>
        <v>#DIV/0!</v>
      </c>
      <c r="K1355" s="1098" t="e">
        <f>IF($D$1212="",0,$D1355*Table3[[#This Row],[CF]]*chronic_consumption!$F155/1000/$C$3)</f>
        <v>#DIV/0!</v>
      </c>
      <c r="L1355" s="1098" t="e">
        <f>IF($D$1212="",0,$D1355*Table3[[#This Row],[CF]]*chronic_consumption!$G155/1000/$C$3)</f>
        <v>#DIV/0!</v>
      </c>
      <c r="M1355" s="1098" t="e">
        <f>IF($D$1212="",0,$D1355*Table3[[#This Row],[CF]]*chronic_consumption!$H155/1000/$C$3)</f>
        <v>#DIV/0!</v>
      </c>
      <c r="N1355" s="1098" t="e">
        <f>IF($D$1212="",0,$D1355*Table3[[#This Row],[CF]]*chronic_consumption!$I155/1000/$C$3)</f>
        <v>#DIV/0!</v>
      </c>
      <c r="O1355" s="1098" t="e">
        <f>IF($D$1212="",0,$D1355*Table3[[#This Row],[CF]]*chronic_consumption!$J155/1000/$C$3)</f>
        <v>#DIV/0!</v>
      </c>
      <c r="P1355" s="1098" t="e">
        <f>IF($D$1212="",0,$D1355*Table3[[#This Row],[CF]]*chronic_consumption!$K155/1000/$C$3)</f>
        <v>#DIV/0!</v>
      </c>
      <c r="Q1355" s="1098" t="e">
        <f>IF($D$1212="",0,$D1355*Table3[[#This Row],[CF]]*chronic_consumption!$L155/1000/$C$3)</f>
        <v>#DIV/0!</v>
      </c>
      <c r="R1355" s="1098" t="e">
        <f>IF($D$1212="",0,$D1355*Table3[[#This Row],[CF]]*chronic_consumption!$M155/1000/$C$3)</f>
        <v>#DIV/0!</v>
      </c>
      <c r="S1355" s="1098" t="e">
        <f>IF($D$1212="",0,$D1355*Table3[[#This Row],[CF]]*chronic_consumption!$N155/1000/$C$3)</f>
        <v>#DIV/0!</v>
      </c>
      <c r="T1355" s="1098" t="e">
        <f>IF($D$1212="",0,$D1355*Table3[[#This Row],[CF]]*chronic_consumption!$O155/1000/$C$3)</f>
        <v>#DIV/0!</v>
      </c>
      <c r="U1355" s="1098" t="e">
        <f>IF($D$1212="",0,$D1355*Table3[[#This Row],[CF]]*chronic_consumption!$P155/1000/$C$3)</f>
        <v>#DIV/0!</v>
      </c>
      <c r="V1355" s="1098" t="e">
        <f>IF($D$1212="",0,$D1355*Table3[[#This Row],[CF]]*chronic_consumption!$Q155/1000/$C$3)</f>
        <v>#DIV/0!</v>
      </c>
      <c r="W1355" s="1098" t="e">
        <f>IF($D$1212="",0,$D1355*Table3[[#This Row],[CF]]*chronic_consumption!$R155/1000/$C$3)</f>
        <v>#DIV/0!</v>
      </c>
      <c r="X1355" s="1098" t="e">
        <f>IF($D$1212="",0,$D1355*Table3[[#This Row],[CF]]*chronic_consumption!$S155/1000/$C$3)</f>
        <v>#DIV/0!</v>
      </c>
      <c r="Y1355" s="1098" t="e">
        <f>IF($D$1212="",0,$D1355*Table3[[#This Row],[CF]]*chronic_consumption!$T155/1000/$C$3)</f>
        <v>#DIV/0!</v>
      </c>
      <c r="Z1355" s="1098" t="e">
        <f>IF($D$1212="",0,$D1355*Table3[[#This Row],[CF]]*chronic_consumption!$U155/1000/$C$3)</f>
        <v>#DIV/0!</v>
      </c>
      <c r="AA1355" s="1098" t="e">
        <f>IF($D$1212="",0,$D1355*Table3[[#This Row],[CF]]*chronic_consumption!$V155/1000/$C$3)</f>
        <v>#DIV/0!</v>
      </c>
      <c r="AB1355" s="1098" t="e">
        <f>IF($D$1212="",0,$D1355*Table3[[#This Row],[CF]]*chronic_consumption!$W155/1000/$C$3)</f>
        <v>#DIV/0!</v>
      </c>
      <c r="AC1355" s="1098" t="e">
        <f>IF($D$1212="",0,$D1355*Table3[[#This Row],[CF]]*chronic_consumption!$X155/1000/$C$3)</f>
        <v>#DIV/0!</v>
      </c>
      <c r="AD1355" s="1098" t="e">
        <f>IF($D$1212="",0,$D1355*Table3[[#This Row],[CF]]*chronic_consumption!$Y155/1000/$C$3)</f>
        <v>#DIV/0!</v>
      </c>
      <c r="AE1355" s="1098" t="e">
        <f>IF($D$1212="",0,$D1355*Table3[[#This Row],[CF]]*chronic_consumption!$Z155/1000/$C$3)</f>
        <v>#DIV/0!</v>
      </c>
      <c r="AF1355" s="1098" t="e">
        <f>IF($D$1212="",0,$D1355*Table3[[#This Row],[CF]]*chronic_consumption!$AA155/1000/$C$3)</f>
        <v>#DIV/0!</v>
      </c>
      <c r="AG1355" s="1098" t="e">
        <f>IF($D$1212="",0,$D1355*Table3[[#This Row],[CF]]*chronic_consumption!$AB155/1000/$C$3)</f>
        <v>#DIV/0!</v>
      </c>
      <c r="AH1355" s="1098" t="e">
        <f>IF($D$1212="",0,$D1355*Table3[[#This Row],[CF]]*chronic_consumption!$AC155/1000/$C$3)</f>
        <v>#DIV/0!</v>
      </c>
      <c r="AI1355" s="1098" t="e">
        <f>IF($D$1212="",0,$D1355*Table3[[#This Row],[CF]]*chronic_consumption!$AD155/1000/$C$3)</f>
        <v>#DIV/0!</v>
      </c>
      <c r="AJ1355" s="1098" t="e">
        <f>IF($D$1212="",0,$D1355*Table3[[#This Row],[CF]]*chronic_consumption!$AE155/1000/$C$3)</f>
        <v>#DIV/0!</v>
      </c>
      <c r="AK1355" s="1098" t="e">
        <f>IF($D$1212="",0,$D1355*Table3[[#This Row],[CF]]*chronic_consumption!$AF155/1000/$C$3)</f>
        <v>#DIV/0!</v>
      </c>
      <c r="AL1355" s="1098" t="e">
        <f>IF($D$1212="",0,$D1355*Table3[[#This Row],[CF]]*chronic_consumption!$AG155/1000/$C$3)</f>
        <v>#DIV/0!</v>
      </c>
      <c r="AM1355" s="1098" t="e">
        <f>IF($D$1212="",0,$D1355*Table3[[#This Row],[CF]]*chronic_consumption!$AH155/1000/$C$3)</f>
        <v>#DIV/0!</v>
      </c>
      <c r="AN1355" s="1098" t="e">
        <f>IF($D$1212="",0,$D1355*Table3[[#This Row],[CF]]*chronic_consumption!$AI155/1000/$C$3)</f>
        <v>#DIV/0!</v>
      </c>
      <c r="AO1355" s="1098" t="e">
        <f>IF($D$1212="",0,$D1355*Table3[[#This Row],[CF]]*chronic_consumption!$AJ155/1000/$C$3)</f>
        <v>#DIV/0!</v>
      </c>
      <c r="AP1355" s="1098" t="e">
        <f>IF($D$1212="",0,$D1355*Table3[[#This Row],[CF]]*chronic_consumption!$AK155/1000/$C$3)</f>
        <v>#DIV/0!</v>
      </c>
      <c r="AQ1355" s="1098" t="e">
        <f>IF($D$1212="",0,$D1355*Table3[[#This Row],[CF]]*chronic_consumption!$AL155/1000/$C$3)</f>
        <v>#DIV/0!</v>
      </c>
      <c r="AR1355" s="1098" t="e">
        <f>IF($D$1212="",0,$D1355*Table3[[#This Row],[CF]]*chronic_consumption!$AM155/1000/$C$3)</f>
        <v>#DIV/0!</v>
      </c>
      <c r="AS1355" s="1098" t="e">
        <f>IF($D$1212="",0,$D1355*Table3[[#This Row],[CF]]*chronic_consumption!$AN155/1000/$C$3)</f>
        <v>#DIV/0!</v>
      </c>
      <c r="AT1355" s="1098" t="e">
        <f>IF($D$1212="",0,$D1355*Table3[[#This Row],[CF]]*chronic_consumption!$AO155/1000/$C$3)</f>
        <v>#DIV/0!</v>
      </c>
      <c r="AU1355" s="1099" t="e">
        <f t="shared" si="857"/>
        <v>#DIV/0!</v>
      </c>
      <c r="AV1355" s="1099" t="e">
        <f t="shared" si="857"/>
        <v>#DIV/0!</v>
      </c>
      <c r="AW1355" s="1099" t="e">
        <f t="shared" si="857"/>
        <v>#DIV/0!</v>
      </c>
      <c r="AX1355" s="1099" t="e">
        <f t="shared" si="857"/>
        <v>#DIV/0!</v>
      </c>
      <c r="AY1355" s="1099" t="e">
        <f t="shared" si="857"/>
        <v>#DIV/0!</v>
      </c>
      <c r="AZ1355" s="1091" t="s">
        <v>1012</v>
      </c>
      <c r="BA1355" s="1097" t="e">
        <f>IF(Table3[[#This Row],[max]]&lt;&gt;0,RANK(Table3[[#This Row],[max]],Table3[max],0),"")</f>
        <v>#DIV/0!</v>
      </c>
      <c r="BB1355" s="1096" t="e">
        <f t="shared" si="853"/>
        <v>#DIV/0!</v>
      </c>
      <c r="BC1355" s="1096" t="e">
        <f t="shared" ca="1" si="854"/>
        <v>#DIV/0!</v>
      </c>
      <c r="BD1355" s="1096" t="e">
        <f>IF(Table3[[#This Row],[max]]&gt;0,Table3[[#This Row],[Crop groups and examples of individual products within the groups to which the MRLs apply]],"")</f>
        <v>#DIV/0!</v>
      </c>
    </row>
    <row r="1356" spans="2:56" x14ac:dyDescent="0.2">
      <c r="B1356" s="23">
        <f t="shared" si="856"/>
        <v>243990</v>
      </c>
      <c r="C1356" s="23" t="str">
        <f t="shared" si="856"/>
        <v>Other leafy brassica</v>
      </c>
      <c r="D1356" s="1084">
        <f>input_values!E156</f>
        <v>0</v>
      </c>
      <c r="E1356" s="1084">
        <f>input_values!F156</f>
        <v>0</v>
      </c>
      <c r="F1356" s="1085">
        <f>input_values!W156</f>
        <v>1</v>
      </c>
      <c r="G1356" s="1085" t="str">
        <f>IF(Table3[[#This Row],[CF]]&gt;0,CONCATENATE(IF(Table3[[#This Row],[LOQ]]="*","LOQ","MRL"),IF(input_values!G156&gt;0,"×CFrisk","")),"")</f>
        <v>MRL</v>
      </c>
      <c r="H1356" s="1087">
        <f>input_values!L156</f>
        <v>0</v>
      </c>
      <c r="I1356" s="1088">
        <f>input_values!D156</f>
        <v>0</v>
      </c>
      <c r="J1356" s="1098" t="e">
        <f>IF($D$1212="",0,$D1356*Table3[[#This Row],[CF]]*chronic_consumption!$E156/1000/$C$3)</f>
        <v>#DIV/0!</v>
      </c>
      <c r="K1356" s="1098" t="e">
        <f>IF($D$1212="",0,$D1356*Table3[[#This Row],[CF]]*chronic_consumption!$F156/1000/$C$3)</f>
        <v>#DIV/0!</v>
      </c>
      <c r="L1356" s="1098" t="e">
        <f>IF($D$1212="",0,$D1356*Table3[[#This Row],[CF]]*chronic_consumption!$G156/1000/$C$3)</f>
        <v>#DIV/0!</v>
      </c>
      <c r="M1356" s="1098" t="e">
        <f>IF($D$1212="",0,$D1356*Table3[[#This Row],[CF]]*chronic_consumption!$H156/1000/$C$3)</f>
        <v>#DIV/0!</v>
      </c>
      <c r="N1356" s="1098" t="e">
        <f>IF($D$1212="",0,$D1356*Table3[[#This Row],[CF]]*chronic_consumption!$I156/1000/$C$3)</f>
        <v>#DIV/0!</v>
      </c>
      <c r="O1356" s="1098" t="e">
        <f>IF($D$1212="",0,$D1356*Table3[[#This Row],[CF]]*chronic_consumption!$J156/1000/$C$3)</f>
        <v>#DIV/0!</v>
      </c>
      <c r="P1356" s="1098" t="e">
        <f>IF($D$1212="",0,$D1356*Table3[[#This Row],[CF]]*chronic_consumption!$K156/1000/$C$3)</f>
        <v>#DIV/0!</v>
      </c>
      <c r="Q1356" s="1098" t="e">
        <f>IF($D$1212="",0,$D1356*Table3[[#This Row],[CF]]*chronic_consumption!$L156/1000/$C$3)</f>
        <v>#DIV/0!</v>
      </c>
      <c r="R1356" s="1098" t="e">
        <f>IF($D$1212="",0,$D1356*Table3[[#This Row],[CF]]*chronic_consumption!$M156/1000/$C$3)</f>
        <v>#DIV/0!</v>
      </c>
      <c r="S1356" s="1098" t="e">
        <f>IF($D$1212="",0,$D1356*Table3[[#This Row],[CF]]*chronic_consumption!$N156/1000/$C$3)</f>
        <v>#DIV/0!</v>
      </c>
      <c r="T1356" s="1098" t="e">
        <f>IF($D$1212="",0,$D1356*Table3[[#This Row],[CF]]*chronic_consumption!$O156/1000/$C$3)</f>
        <v>#DIV/0!</v>
      </c>
      <c r="U1356" s="1098" t="e">
        <f>IF($D$1212="",0,$D1356*Table3[[#This Row],[CF]]*chronic_consumption!$P156/1000/$C$3)</f>
        <v>#DIV/0!</v>
      </c>
      <c r="V1356" s="1098" t="e">
        <f>IF($D$1212="",0,$D1356*Table3[[#This Row],[CF]]*chronic_consumption!$Q156/1000/$C$3)</f>
        <v>#DIV/0!</v>
      </c>
      <c r="W1356" s="1098" t="e">
        <f>IF($D$1212="",0,$D1356*Table3[[#This Row],[CF]]*chronic_consumption!$R156/1000/$C$3)</f>
        <v>#DIV/0!</v>
      </c>
      <c r="X1356" s="1098" t="e">
        <f>IF($D$1212="",0,$D1356*Table3[[#This Row],[CF]]*chronic_consumption!$S156/1000/$C$3)</f>
        <v>#DIV/0!</v>
      </c>
      <c r="Y1356" s="1098" t="e">
        <f>IF($D$1212="",0,$D1356*Table3[[#This Row],[CF]]*chronic_consumption!$T156/1000/$C$3)</f>
        <v>#DIV/0!</v>
      </c>
      <c r="Z1356" s="1098" t="e">
        <f>IF($D$1212="",0,$D1356*Table3[[#This Row],[CF]]*chronic_consumption!$U156/1000/$C$3)</f>
        <v>#DIV/0!</v>
      </c>
      <c r="AA1356" s="1098" t="e">
        <f>IF($D$1212="",0,$D1356*Table3[[#This Row],[CF]]*chronic_consumption!$V156/1000/$C$3)</f>
        <v>#DIV/0!</v>
      </c>
      <c r="AB1356" s="1098" t="e">
        <f>IF($D$1212="",0,$D1356*Table3[[#This Row],[CF]]*chronic_consumption!$W156/1000/$C$3)</f>
        <v>#DIV/0!</v>
      </c>
      <c r="AC1356" s="1098" t="e">
        <f>IF($D$1212="",0,$D1356*Table3[[#This Row],[CF]]*chronic_consumption!$X156/1000/$C$3)</f>
        <v>#DIV/0!</v>
      </c>
      <c r="AD1356" s="1098" t="e">
        <f>IF($D$1212="",0,$D1356*Table3[[#This Row],[CF]]*chronic_consumption!$Y156/1000/$C$3)</f>
        <v>#DIV/0!</v>
      </c>
      <c r="AE1356" s="1098" t="e">
        <f>IF($D$1212="",0,$D1356*Table3[[#This Row],[CF]]*chronic_consumption!$Z156/1000/$C$3)</f>
        <v>#DIV/0!</v>
      </c>
      <c r="AF1356" s="1098" t="e">
        <f>IF($D$1212="",0,$D1356*Table3[[#This Row],[CF]]*chronic_consumption!$AA156/1000/$C$3)</f>
        <v>#DIV/0!</v>
      </c>
      <c r="AG1356" s="1098" t="e">
        <f>IF($D$1212="",0,$D1356*Table3[[#This Row],[CF]]*chronic_consumption!$AB156/1000/$C$3)</f>
        <v>#DIV/0!</v>
      </c>
      <c r="AH1356" s="1098" t="e">
        <f>IF($D$1212="",0,$D1356*Table3[[#This Row],[CF]]*chronic_consumption!$AC156/1000/$C$3)</f>
        <v>#DIV/0!</v>
      </c>
      <c r="AI1356" s="1098" t="e">
        <f>IF($D$1212="",0,$D1356*Table3[[#This Row],[CF]]*chronic_consumption!$AD156/1000/$C$3)</f>
        <v>#DIV/0!</v>
      </c>
      <c r="AJ1356" s="1098" t="e">
        <f>IF($D$1212="",0,$D1356*Table3[[#This Row],[CF]]*chronic_consumption!$AE156/1000/$C$3)</f>
        <v>#DIV/0!</v>
      </c>
      <c r="AK1356" s="1098" t="e">
        <f>IF($D$1212="",0,$D1356*Table3[[#This Row],[CF]]*chronic_consumption!$AF156/1000/$C$3)</f>
        <v>#DIV/0!</v>
      </c>
      <c r="AL1356" s="1098" t="e">
        <f>IF($D$1212="",0,$D1356*Table3[[#This Row],[CF]]*chronic_consumption!$AG156/1000/$C$3)</f>
        <v>#DIV/0!</v>
      </c>
      <c r="AM1356" s="1098" t="e">
        <f>IF($D$1212="",0,$D1356*Table3[[#This Row],[CF]]*chronic_consumption!$AH156/1000/$C$3)</f>
        <v>#DIV/0!</v>
      </c>
      <c r="AN1356" s="1098" t="e">
        <f>IF($D$1212="",0,$D1356*Table3[[#This Row],[CF]]*chronic_consumption!$AI156/1000/$C$3)</f>
        <v>#DIV/0!</v>
      </c>
      <c r="AO1356" s="1098" t="e">
        <f>IF($D$1212="",0,$D1356*Table3[[#This Row],[CF]]*chronic_consumption!$AJ156/1000/$C$3)</f>
        <v>#DIV/0!</v>
      </c>
      <c r="AP1356" s="1098" t="e">
        <f>IF($D$1212="",0,$D1356*Table3[[#This Row],[CF]]*chronic_consumption!$AK156/1000/$C$3)</f>
        <v>#DIV/0!</v>
      </c>
      <c r="AQ1356" s="1098" t="e">
        <f>IF($D$1212="",0,$D1356*Table3[[#This Row],[CF]]*chronic_consumption!$AL156/1000/$C$3)</f>
        <v>#DIV/0!</v>
      </c>
      <c r="AR1356" s="1098" t="e">
        <f>IF($D$1212="",0,$D1356*Table3[[#This Row],[CF]]*chronic_consumption!$AM156/1000/$C$3)</f>
        <v>#DIV/0!</v>
      </c>
      <c r="AS1356" s="1098" t="e">
        <f>IF($D$1212="",0,$D1356*Table3[[#This Row],[CF]]*chronic_consumption!$AN156/1000/$C$3)</f>
        <v>#DIV/0!</v>
      </c>
      <c r="AT1356" s="1098" t="e">
        <f>IF($D$1212="",0,$D1356*Table3[[#This Row],[CF]]*chronic_consumption!$AO156/1000/$C$3)</f>
        <v>#DIV/0!</v>
      </c>
      <c r="AU1356" s="1099" t="e">
        <f t="shared" si="857"/>
        <v>#DIV/0!</v>
      </c>
      <c r="AV1356" s="1099" t="e">
        <f t="shared" si="857"/>
        <v>#DIV/0!</v>
      </c>
      <c r="AW1356" s="1099" t="e">
        <f t="shared" si="857"/>
        <v>#DIV/0!</v>
      </c>
      <c r="AX1356" s="1099" t="e">
        <f t="shared" si="857"/>
        <v>#DIV/0!</v>
      </c>
      <c r="AY1356" s="1099" t="e">
        <f t="shared" si="857"/>
        <v>#DIV/0!</v>
      </c>
      <c r="AZ1356" s="1091" t="s">
        <v>1012</v>
      </c>
      <c r="BA1356" s="1097" t="e">
        <f>IF(Table3[[#This Row],[max]]&lt;&gt;0,RANK(Table3[[#This Row],[max]],Table3[max],0),"")</f>
        <v>#DIV/0!</v>
      </c>
      <c r="BB1356" s="1096" t="e">
        <f t="shared" si="853"/>
        <v>#DIV/0!</v>
      </c>
      <c r="BC1356" s="1096" t="e">
        <f t="shared" ca="1" si="854"/>
        <v>#DIV/0!</v>
      </c>
      <c r="BD1356" s="1096" t="e">
        <f>IF(Table3[[#This Row],[max]]&gt;0,Table3[[#This Row],[Crop groups and examples of individual products within the groups to which the MRLs apply]],"")</f>
        <v>#DIV/0!</v>
      </c>
    </row>
    <row r="1357" spans="2:56" x14ac:dyDescent="0.2">
      <c r="B1357" s="3">
        <f t="shared" si="856"/>
        <v>244000</v>
      </c>
      <c r="C1357" s="3" t="str">
        <f t="shared" si="856"/>
        <v>Kohlrabies</v>
      </c>
      <c r="D1357" s="1084">
        <f>input_values!E157</f>
        <v>0</v>
      </c>
      <c r="E1357" s="1084">
        <f>input_values!F157</f>
        <v>0</v>
      </c>
      <c r="F1357" s="1085">
        <f>input_values!W157</f>
        <v>1</v>
      </c>
      <c r="G1357" s="1085" t="str">
        <f>IF(Table3[[#This Row],[CF]]&gt;0,CONCATENATE(IF(Table3[[#This Row],[LOQ]]="*","LOQ","MRL"),IF(input_values!G157&gt;0,"×CFrisk","")),"")</f>
        <v>MRL</v>
      </c>
      <c r="H1357" s="1087">
        <f>input_values!L157</f>
        <v>0</v>
      </c>
      <c r="I1357" s="1088">
        <f>input_values!D157</f>
        <v>0</v>
      </c>
      <c r="J1357" s="1100" t="e">
        <f>IF($D$1212="",0,$D1357*Table3[[#This Row],[CF]]*chronic_consumption!$E157/1000/$C$3)</f>
        <v>#DIV/0!</v>
      </c>
      <c r="K1357" s="1100" t="e">
        <f>IF($D$1212="",0,$D1357*Table3[[#This Row],[CF]]*chronic_consumption!$F157/1000/$C$3)</f>
        <v>#DIV/0!</v>
      </c>
      <c r="L1357" s="1100" t="e">
        <f>IF($D$1212="",0,$D1357*Table3[[#This Row],[CF]]*chronic_consumption!$G157/1000/$C$3)</f>
        <v>#DIV/0!</v>
      </c>
      <c r="M1357" s="1100" t="e">
        <f>IF($D$1212="",0,$D1357*Table3[[#This Row],[CF]]*chronic_consumption!$H157/1000/$C$3)</f>
        <v>#DIV/0!</v>
      </c>
      <c r="N1357" s="1100" t="e">
        <f>IF($D$1212="",0,$D1357*Table3[[#This Row],[CF]]*chronic_consumption!$I157/1000/$C$3)</f>
        <v>#DIV/0!</v>
      </c>
      <c r="O1357" s="1100" t="e">
        <f>IF($D$1212="",0,$D1357*Table3[[#This Row],[CF]]*chronic_consumption!$J157/1000/$C$3)</f>
        <v>#DIV/0!</v>
      </c>
      <c r="P1357" s="1100" t="e">
        <f>IF($D$1212="",0,$D1357*Table3[[#This Row],[CF]]*chronic_consumption!$K157/1000/$C$3)</f>
        <v>#DIV/0!</v>
      </c>
      <c r="Q1357" s="1100" t="e">
        <f>IF($D$1212="",0,$D1357*Table3[[#This Row],[CF]]*chronic_consumption!$L157/1000/$C$3)</f>
        <v>#DIV/0!</v>
      </c>
      <c r="R1357" s="1100" t="e">
        <f>IF($D$1212="",0,$D1357*Table3[[#This Row],[CF]]*chronic_consumption!$M157/1000/$C$3)</f>
        <v>#DIV/0!</v>
      </c>
      <c r="S1357" s="1100" t="e">
        <f>IF($D$1212="",0,$D1357*Table3[[#This Row],[CF]]*chronic_consumption!$N157/1000/$C$3)</f>
        <v>#DIV/0!</v>
      </c>
      <c r="T1357" s="1100" t="e">
        <f>IF($D$1212="",0,$D1357*Table3[[#This Row],[CF]]*chronic_consumption!$O157/1000/$C$3)</f>
        <v>#DIV/0!</v>
      </c>
      <c r="U1357" s="1100" t="e">
        <f>IF($D$1212="",0,$D1357*Table3[[#This Row],[CF]]*chronic_consumption!$P157/1000/$C$3)</f>
        <v>#DIV/0!</v>
      </c>
      <c r="V1357" s="1100" t="e">
        <f>IF($D$1212="",0,$D1357*Table3[[#This Row],[CF]]*chronic_consumption!$Q157/1000/$C$3)</f>
        <v>#DIV/0!</v>
      </c>
      <c r="W1357" s="1100" t="e">
        <f>IF($D$1212="",0,$D1357*Table3[[#This Row],[CF]]*chronic_consumption!$R157/1000/$C$3)</f>
        <v>#DIV/0!</v>
      </c>
      <c r="X1357" s="1100" t="e">
        <f>IF($D$1212="",0,$D1357*Table3[[#This Row],[CF]]*chronic_consumption!$S157/1000/$C$3)</f>
        <v>#DIV/0!</v>
      </c>
      <c r="Y1357" s="1100" t="e">
        <f>IF($D$1212="",0,$D1357*Table3[[#This Row],[CF]]*chronic_consumption!$T157/1000/$C$3)</f>
        <v>#DIV/0!</v>
      </c>
      <c r="Z1357" s="1100" t="e">
        <f>IF($D$1212="",0,$D1357*Table3[[#This Row],[CF]]*chronic_consumption!$U157/1000/$C$3)</f>
        <v>#DIV/0!</v>
      </c>
      <c r="AA1357" s="1100" t="e">
        <f>IF($D$1212="",0,$D1357*Table3[[#This Row],[CF]]*chronic_consumption!$V157/1000/$C$3)</f>
        <v>#DIV/0!</v>
      </c>
      <c r="AB1357" s="1100" t="e">
        <f>IF($D$1212="",0,$D1357*Table3[[#This Row],[CF]]*chronic_consumption!$W157/1000/$C$3)</f>
        <v>#DIV/0!</v>
      </c>
      <c r="AC1357" s="1100" t="e">
        <f>IF($D$1212="",0,$D1357*Table3[[#This Row],[CF]]*chronic_consumption!$X157/1000/$C$3)</f>
        <v>#DIV/0!</v>
      </c>
      <c r="AD1357" s="1100" t="e">
        <f>IF($D$1212="",0,$D1357*Table3[[#This Row],[CF]]*chronic_consumption!$Y157/1000/$C$3)</f>
        <v>#DIV/0!</v>
      </c>
      <c r="AE1357" s="1100" t="e">
        <f>IF($D$1212="",0,$D1357*Table3[[#This Row],[CF]]*chronic_consumption!$Z157/1000/$C$3)</f>
        <v>#DIV/0!</v>
      </c>
      <c r="AF1357" s="1100" t="e">
        <f>IF($D$1212="",0,$D1357*Table3[[#This Row],[CF]]*chronic_consumption!$AA157/1000/$C$3)</f>
        <v>#DIV/0!</v>
      </c>
      <c r="AG1357" s="1100" t="e">
        <f>IF($D$1212="",0,$D1357*Table3[[#This Row],[CF]]*chronic_consumption!$AB157/1000/$C$3)</f>
        <v>#DIV/0!</v>
      </c>
      <c r="AH1357" s="1100" t="e">
        <f>IF($D$1212="",0,$D1357*Table3[[#This Row],[CF]]*chronic_consumption!$AC157/1000/$C$3)</f>
        <v>#DIV/0!</v>
      </c>
      <c r="AI1357" s="1100" t="e">
        <f>IF($D$1212="",0,$D1357*Table3[[#This Row],[CF]]*chronic_consumption!$AD157/1000/$C$3)</f>
        <v>#DIV/0!</v>
      </c>
      <c r="AJ1357" s="1100" t="e">
        <f>IF($D$1212="",0,$D1357*Table3[[#This Row],[CF]]*chronic_consumption!$AE157/1000/$C$3)</f>
        <v>#DIV/0!</v>
      </c>
      <c r="AK1357" s="1100" t="e">
        <f>IF($D$1212="",0,$D1357*Table3[[#This Row],[CF]]*chronic_consumption!$AF157/1000/$C$3)</f>
        <v>#DIV/0!</v>
      </c>
      <c r="AL1357" s="1100" t="e">
        <f>IF($D$1212="",0,$D1357*Table3[[#This Row],[CF]]*chronic_consumption!$AG157/1000/$C$3)</f>
        <v>#DIV/0!</v>
      </c>
      <c r="AM1357" s="1100" t="e">
        <f>IF($D$1212="",0,$D1357*Table3[[#This Row],[CF]]*chronic_consumption!$AH157/1000/$C$3)</f>
        <v>#DIV/0!</v>
      </c>
      <c r="AN1357" s="1100" t="e">
        <f>IF($D$1212="",0,$D1357*Table3[[#This Row],[CF]]*chronic_consumption!$AI157/1000/$C$3)</f>
        <v>#DIV/0!</v>
      </c>
      <c r="AO1357" s="1100" t="e">
        <f>IF($D$1212="",0,$D1357*Table3[[#This Row],[CF]]*chronic_consumption!$AJ157/1000/$C$3)</f>
        <v>#DIV/0!</v>
      </c>
      <c r="AP1357" s="1100" t="e">
        <f>IF($D$1212="",0,$D1357*Table3[[#This Row],[CF]]*chronic_consumption!$AK157/1000/$C$3)</f>
        <v>#DIV/0!</v>
      </c>
      <c r="AQ1357" s="1100" t="e">
        <f>IF($D$1212="",0,$D1357*Table3[[#This Row],[CF]]*chronic_consumption!$AL157/1000/$C$3)</f>
        <v>#DIV/0!</v>
      </c>
      <c r="AR1357" s="1100" t="e">
        <f>IF($D$1212="",0,$D1357*Table3[[#This Row],[CF]]*chronic_consumption!$AM157/1000/$C$3)</f>
        <v>#DIV/0!</v>
      </c>
      <c r="AS1357" s="1100" t="e">
        <f>IF($D$1212="",0,$D1357*Table3[[#This Row],[CF]]*chronic_consumption!$AN157/1000/$C$3)</f>
        <v>#DIV/0!</v>
      </c>
      <c r="AT1357" s="1100" t="e">
        <f>IF($D$1212="",0,$D1357*Table3[[#This Row],[CF]]*chronic_consumption!$AO157/1000/$C$3)</f>
        <v>#DIV/0!</v>
      </c>
      <c r="AU1357" s="1101" t="e">
        <f t="shared" si="857"/>
        <v>#DIV/0!</v>
      </c>
      <c r="AV1357" s="1101" t="e">
        <f t="shared" si="857"/>
        <v>#DIV/0!</v>
      </c>
      <c r="AW1357" s="1101" t="e">
        <f t="shared" si="857"/>
        <v>#DIV/0!</v>
      </c>
      <c r="AX1357" s="1101" t="e">
        <f t="shared" si="857"/>
        <v>#DIV/0!</v>
      </c>
      <c r="AY1357" s="1101" t="e">
        <f t="shared" si="857"/>
        <v>#DIV/0!</v>
      </c>
      <c r="AZ1357" s="1091" t="s">
        <v>1012</v>
      </c>
      <c r="BA1357" s="1097" t="e">
        <f>IF(Table3[[#This Row],[max]]&lt;&gt;0,RANK(Table3[[#This Row],[max]],Table3[max],0),"")</f>
        <v>#DIV/0!</v>
      </c>
      <c r="BB1357" s="1096" t="e">
        <f t="shared" si="853"/>
        <v>#DIV/0!</v>
      </c>
      <c r="BC1357" s="1096" t="e">
        <f t="shared" ca="1" si="854"/>
        <v>#DIV/0!</v>
      </c>
      <c r="BD1357" s="1096" t="e">
        <f>IF(Table3[[#This Row],[max]]&gt;0,Table3[[#This Row],[Crop groups and examples of individual products within the groups to which the MRLs apply]],"")</f>
        <v>#DIV/0!</v>
      </c>
    </row>
    <row r="1358" spans="2:56" x14ac:dyDescent="0.2">
      <c r="B1358" s="131">
        <f t="shared" si="856"/>
        <v>250000</v>
      </c>
      <c r="C1358" s="131" t="str">
        <f t="shared" si="856"/>
        <v>Leaf vegetables, herbs and edible flowers</v>
      </c>
      <c r="D1358" s="1084">
        <f>input_values!E158</f>
        <v>0</v>
      </c>
      <c r="E1358" s="1084">
        <f>input_values!F158</f>
        <v>0</v>
      </c>
      <c r="F1358" s="1085">
        <f>input_values!W158</f>
        <v>0</v>
      </c>
      <c r="G1358" s="1085" t="str">
        <f>IF(Table3[[#This Row],[CF]]&gt;0,CONCATENATE(IF(Table3[[#This Row],[LOQ]]="*","LOQ","MRL"),IF(input_values!G158&gt;0,"×CFrisk","")),"")</f>
        <v/>
      </c>
      <c r="H1358" s="1087">
        <f>input_values!L158</f>
        <v>0</v>
      </c>
      <c r="I1358" s="1088">
        <f>input_values!D158</f>
        <v>0</v>
      </c>
      <c r="J1358" s="1095" t="e">
        <f>IF($D$1212="",0,$D1358*Table3[[#This Row],[CF]]*chronic_consumption!$E158/1000/$C$3)</f>
        <v>#DIV/0!</v>
      </c>
      <c r="K1358" s="1095" t="e">
        <f>IF($D$1212="",0,$D1358*Table3[[#This Row],[CF]]*chronic_consumption!$F158/1000/$C$3)</f>
        <v>#DIV/0!</v>
      </c>
      <c r="L1358" s="1095" t="e">
        <f>IF($D$1212="",0,$D1358*Table3[[#This Row],[CF]]*chronic_consumption!$G158/1000/$C$3)</f>
        <v>#DIV/0!</v>
      </c>
      <c r="M1358" s="1095" t="e">
        <f>IF($D$1212="",0,$D1358*Table3[[#This Row],[CF]]*chronic_consumption!$H158/1000/$C$3)</f>
        <v>#DIV/0!</v>
      </c>
      <c r="N1358" s="1095" t="e">
        <f>IF($D$1212="",0,$D1358*Table3[[#This Row],[CF]]*chronic_consumption!$I158/1000/$C$3)</f>
        <v>#DIV/0!</v>
      </c>
      <c r="O1358" s="1095" t="e">
        <f>IF($D$1212="",0,$D1358*Table3[[#This Row],[CF]]*chronic_consumption!$J158/1000/$C$3)</f>
        <v>#DIV/0!</v>
      </c>
      <c r="P1358" s="1095" t="e">
        <f>IF($D$1212="",0,$D1358*Table3[[#This Row],[CF]]*chronic_consumption!$K158/1000/$C$3)</f>
        <v>#DIV/0!</v>
      </c>
      <c r="Q1358" s="1095" t="e">
        <f>IF($D$1212="",0,$D1358*Table3[[#This Row],[CF]]*chronic_consumption!$L158/1000/$C$3)</f>
        <v>#DIV/0!</v>
      </c>
      <c r="R1358" s="1095" t="e">
        <f>IF($D$1212="",0,$D1358*Table3[[#This Row],[CF]]*chronic_consumption!$M158/1000/$C$3)</f>
        <v>#DIV/0!</v>
      </c>
      <c r="S1358" s="1095" t="e">
        <f>IF($D$1212="",0,$D1358*Table3[[#This Row],[CF]]*chronic_consumption!$N158/1000/$C$3)</f>
        <v>#DIV/0!</v>
      </c>
      <c r="T1358" s="1095" t="e">
        <f>IF($D$1212="",0,$D1358*Table3[[#This Row],[CF]]*chronic_consumption!$O158/1000/$C$3)</f>
        <v>#DIV/0!</v>
      </c>
      <c r="U1358" s="1095" t="e">
        <f>IF($D$1212="",0,$D1358*Table3[[#This Row],[CF]]*chronic_consumption!$P158/1000/$C$3)</f>
        <v>#DIV/0!</v>
      </c>
      <c r="V1358" s="1095" t="e">
        <f>IF($D$1212="",0,$D1358*Table3[[#This Row],[CF]]*chronic_consumption!$Q158/1000/$C$3)</f>
        <v>#DIV/0!</v>
      </c>
      <c r="W1358" s="1095" t="e">
        <f>IF($D$1212="",0,$D1358*Table3[[#This Row],[CF]]*chronic_consumption!$R158/1000/$C$3)</f>
        <v>#DIV/0!</v>
      </c>
      <c r="X1358" s="1095" t="e">
        <f>IF($D$1212="",0,$D1358*Table3[[#This Row],[CF]]*chronic_consumption!$S158/1000/$C$3)</f>
        <v>#DIV/0!</v>
      </c>
      <c r="Y1358" s="1095" t="e">
        <f>IF($D$1212="",0,$D1358*Table3[[#This Row],[CF]]*chronic_consumption!$T158/1000/$C$3)</f>
        <v>#DIV/0!</v>
      </c>
      <c r="Z1358" s="1095" t="e">
        <f>IF($D$1212="",0,$D1358*Table3[[#This Row],[CF]]*chronic_consumption!$U158/1000/$C$3)</f>
        <v>#DIV/0!</v>
      </c>
      <c r="AA1358" s="1095" t="e">
        <f>IF($D$1212="",0,$D1358*Table3[[#This Row],[CF]]*chronic_consumption!$V158/1000/$C$3)</f>
        <v>#DIV/0!</v>
      </c>
      <c r="AB1358" s="1095" t="e">
        <f>IF($D$1212="",0,$D1358*Table3[[#This Row],[CF]]*chronic_consumption!$W158/1000/$C$3)</f>
        <v>#DIV/0!</v>
      </c>
      <c r="AC1358" s="1095" t="e">
        <f>IF($D$1212="",0,$D1358*Table3[[#This Row],[CF]]*chronic_consumption!$X158/1000/$C$3)</f>
        <v>#DIV/0!</v>
      </c>
      <c r="AD1358" s="1095" t="e">
        <f>IF($D$1212="",0,$D1358*Table3[[#This Row],[CF]]*chronic_consumption!$Y158/1000/$C$3)</f>
        <v>#DIV/0!</v>
      </c>
      <c r="AE1358" s="1095" t="e">
        <f>IF($D$1212="",0,$D1358*Table3[[#This Row],[CF]]*chronic_consumption!$Z158/1000/$C$3)</f>
        <v>#DIV/0!</v>
      </c>
      <c r="AF1358" s="1095" t="e">
        <f>IF($D$1212="",0,$D1358*Table3[[#This Row],[CF]]*chronic_consumption!$AA158/1000/$C$3)</f>
        <v>#DIV/0!</v>
      </c>
      <c r="AG1358" s="1095" t="e">
        <f>IF($D$1212="",0,$D1358*Table3[[#This Row],[CF]]*chronic_consumption!$AB158/1000/$C$3)</f>
        <v>#DIV/0!</v>
      </c>
      <c r="AH1358" s="1095" t="e">
        <f>IF($D$1212="",0,$D1358*Table3[[#This Row],[CF]]*chronic_consumption!$AC158/1000/$C$3)</f>
        <v>#DIV/0!</v>
      </c>
      <c r="AI1358" s="1095" t="e">
        <f>IF($D$1212="",0,$D1358*Table3[[#This Row],[CF]]*chronic_consumption!$AD158/1000/$C$3)</f>
        <v>#DIV/0!</v>
      </c>
      <c r="AJ1358" s="1095" t="e">
        <f>IF($D$1212="",0,$D1358*Table3[[#This Row],[CF]]*chronic_consumption!$AE158/1000/$C$3)</f>
        <v>#DIV/0!</v>
      </c>
      <c r="AK1358" s="1095" t="e">
        <f>IF($D$1212="",0,$D1358*Table3[[#This Row],[CF]]*chronic_consumption!$AF158/1000/$C$3)</f>
        <v>#DIV/0!</v>
      </c>
      <c r="AL1358" s="1095" t="e">
        <f>IF($D$1212="",0,$D1358*Table3[[#This Row],[CF]]*chronic_consumption!$AG158/1000/$C$3)</f>
        <v>#DIV/0!</v>
      </c>
      <c r="AM1358" s="1095" t="e">
        <f>IF($D$1212="",0,$D1358*Table3[[#This Row],[CF]]*chronic_consumption!$AH158/1000/$C$3)</f>
        <v>#DIV/0!</v>
      </c>
      <c r="AN1358" s="1095" t="e">
        <f>IF($D$1212="",0,$D1358*Table3[[#This Row],[CF]]*chronic_consumption!$AI158/1000/$C$3)</f>
        <v>#DIV/0!</v>
      </c>
      <c r="AO1358" s="1095" t="e">
        <f>IF($D$1212="",0,$D1358*Table3[[#This Row],[CF]]*chronic_consumption!$AJ158/1000/$C$3)</f>
        <v>#DIV/0!</v>
      </c>
      <c r="AP1358" s="1095" t="e">
        <f>IF($D$1212="",0,$D1358*Table3[[#This Row],[CF]]*chronic_consumption!$AK158/1000/$C$3)</f>
        <v>#DIV/0!</v>
      </c>
      <c r="AQ1358" s="1095" t="e">
        <f>IF($D$1212="",0,$D1358*Table3[[#This Row],[CF]]*chronic_consumption!$AL158/1000/$C$3)</f>
        <v>#DIV/0!</v>
      </c>
      <c r="AR1358" s="1095" t="e">
        <f>IF($D$1212="",0,$D1358*Table3[[#This Row],[CF]]*chronic_consumption!$AM158/1000/$C$3)</f>
        <v>#DIV/0!</v>
      </c>
      <c r="AS1358" s="1095" t="e">
        <f>IF($D$1212="",0,$D1358*Table3[[#This Row],[CF]]*chronic_consumption!$AN158/1000/$C$3)</f>
        <v>#DIV/0!</v>
      </c>
      <c r="AT1358" s="1095" t="e">
        <f>IF($D$1212="",0,$D1358*Table3[[#This Row],[CF]]*chronic_consumption!$AO158/1000/$C$3)</f>
        <v>#DIV/0!</v>
      </c>
      <c r="AU1358" s="1096" t="e">
        <f t="shared" si="857"/>
        <v>#DIV/0!</v>
      </c>
      <c r="AV1358" s="1096" t="e">
        <f t="shared" si="857"/>
        <v>#DIV/0!</v>
      </c>
      <c r="AW1358" s="1096" t="e">
        <f t="shared" si="857"/>
        <v>#DIV/0!</v>
      </c>
      <c r="AX1358" s="1096" t="e">
        <f t="shared" si="857"/>
        <v>#DIV/0!</v>
      </c>
      <c r="AY1358" s="1096" t="e">
        <f t="shared" si="857"/>
        <v>#DIV/0!</v>
      </c>
      <c r="AZ1358" s="1091" t="s">
        <v>1012</v>
      </c>
      <c r="BA1358" s="1097" t="e">
        <f>IF(Table3[[#This Row],[max]]&lt;&gt;0,RANK(Table3[[#This Row],[max]],Table3[max],0),"")</f>
        <v>#DIV/0!</v>
      </c>
      <c r="BB1358" s="1096" t="e">
        <f t="shared" si="853"/>
        <v>#DIV/0!</v>
      </c>
      <c r="BC1358" s="1096" t="e">
        <f t="shared" ca="1" si="854"/>
        <v>#DIV/0!</v>
      </c>
      <c r="BD1358" s="1096" t="e">
        <f>IF(Table3[[#This Row],[max]]&gt;0,Table3[[#This Row],[Crop groups and examples of individual products within the groups to which the MRLs apply]],"")</f>
        <v>#DIV/0!</v>
      </c>
    </row>
    <row r="1359" spans="2:56" x14ac:dyDescent="0.2">
      <c r="B1359" s="3">
        <f t="shared" si="856"/>
        <v>251000</v>
      </c>
      <c r="C1359" s="3" t="str">
        <f t="shared" si="856"/>
        <v>Lettuce and other salad plants including Brassicacea</v>
      </c>
      <c r="D1359" s="1084">
        <f>input_values!E159</f>
        <v>0</v>
      </c>
      <c r="E1359" s="1084">
        <f>input_values!F159</f>
        <v>0</v>
      </c>
      <c r="F1359" s="1085">
        <f>input_values!W159</f>
        <v>0</v>
      </c>
      <c r="G1359" s="1085" t="str">
        <f>IF(Table3[[#This Row],[CF]]&gt;0,CONCATENATE(IF(Table3[[#This Row],[LOQ]]="*","LOQ","MRL"),IF(input_values!G159&gt;0,"×CFrisk","")),"")</f>
        <v/>
      </c>
      <c r="H1359" s="1087">
        <f>input_values!L159</f>
        <v>0</v>
      </c>
      <c r="I1359" s="1088">
        <f>input_values!D159</f>
        <v>0</v>
      </c>
      <c r="J1359" s="1100" t="e">
        <f>IF($D$1212="",0,$D1359*Table3[[#This Row],[CF]]*chronic_consumption!$E159/1000/$C$3)</f>
        <v>#DIV/0!</v>
      </c>
      <c r="K1359" s="1100" t="e">
        <f>IF($D$1212="",0,$D1359*Table3[[#This Row],[CF]]*chronic_consumption!$F159/1000/$C$3)</f>
        <v>#DIV/0!</v>
      </c>
      <c r="L1359" s="1100" t="e">
        <f>IF($D$1212="",0,$D1359*Table3[[#This Row],[CF]]*chronic_consumption!$G159/1000/$C$3)</f>
        <v>#DIV/0!</v>
      </c>
      <c r="M1359" s="1100" t="e">
        <f>IF($D$1212="",0,$D1359*Table3[[#This Row],[CF]]*chronic_consumption!$H159/1000/$C$3)</f>
        <v>#DIV/0!</v>
      </c>
      <c r="N1359" s="1100" t="e">
        <f>IF($D$1212="",0,$D1359*Table3[[#This Row],[CF]]*chronic_consumption!$I159/1000/$C$3)</f>
        <v>#DIV/0!</v>
      </c>
      <c r="O1359" s="1100" t="e">
        <f>IF($D$1212="",0,$D1359*Table3[[#This Row],[CF]]*chronic_consumption!$J159/1000/$C$3)</f>
        <v>#DIV/0!</v>
      </c>
      <c r="P1359" s="1100" t="e">
        <f>IF($D$1212="",0,$D1359*Table3[[#This Row],[CF]]*chronic_consumption!$K159/1000/$C$3)</f>
        <v>#DIV/0!</v>
      </c>
      <c r="Q1359" s="1100" t="e">
        <f>IF($D$1212="",0,$D1359*Table3[[#This Row],[CF]]*chronic_consumption!$L159/1000/$C$3)</f>
        <v>#DIV/0!</v>
      </c>
      <c r="R1359" s="1100" t="e">
        <f>IF($D$1212="",0,$D1359*Table3[[#This Row],[CF]]*chronic_consumption!$M159/1000/$C$3)</f>
        <v>#DIV/0!</v>
      </c>
      <c r="S1359" s="1100" t="e">
        <f>IF($D$1212="",0,$D1359*Table3[[#This Row],[CF]]*chronic_consumption!$N159/1000/$C$3)</f>
        <v>#DIV/0!</v>
      </c>
      <c r="T1359" s="1100" t="e">
        <f>IF($D$1212="",0,$D1359*Table3[[#This Row],[CF]]*chronic_consumption!$O159/1000/$C$3)</f>
        <v>#DIV/0!</v>
      </c>
      <c r="U1359" s="1100" t="e">
        <f>IF($D$1212="",0,$D1359*Table3[[#This Row],[CF]]*chronic_consumption!$P159/1000/$C$3)</f>
        <v>#DIV/0!</v>
      </c>
      <c r="V1359" s="1100" t="e">
        <f>IF($D$1212="",0,$D1359*Table3[[#This Row],[CF]]*chronic_consumption!$Q159/1000/$C$3)</f>
        <v>#DIV/0!</v>
      </c>
      <c r="W1359" s="1100" t="e">
        <f>IF($D$1212="",0,$D1359*Table3[[#This Row],[CF]]*chronic_consumption!$R159/1000/$C$3)</f>
        <v>#DIV/0!</v>
      </c>
      <c r="X1359" s="1100" t="e">
        <f>IF($D$1212="",0,$D1359*Table3[[#This Row],[CF]]*chronic_consumption!$S159/1000/$C$3)</f>
        <v>#DIV/0!</v>
      </c>
      <c r="Y1359" s="1100" t="e">
        <f>IF($D$1212="",0,$D1359*Table3[[#This Row],[CF]]*chronic_consumption!$T159/1000/$C$3)</f>
        <v>#DIV/0!</v>
      </c>
      <c r="Z1359" s="1100" t="e">
        <f>IF($D$1212="",0,$D1359*Table3[[#This Row],[CF]]*chronic_consumption!$U159/1000/$C$3)</f>
        <v>#DIV/0!</v>
      </c>
      <c r="AA1359" s="1100" t="e">
        <f>IF($D$1212="",0,$D1359*Table3[[#This Row],[CF]]*chronic_consumption!$V159/1000/$C$3)</f>
        <v>#DIV/0!</v>
      </c>
      <c r="AB1359" s="1100" t="e">
        <f>IF($D$1212="",0,$D1359*Table3[[#This Row],[CF]]*chronic_consumption!$W159/1000/$C$3)</f>
        <v>#DIV/0!</v>
      </c>
      <c r="AC1359" s="1100" t="e">
        <f>IF($D$1212="",0,$D1359*Table3[[#This Row],[CF]]*chronic_consumption!$X159/1000/$C$3)</f>
        <v>#DIV/0!</v>
      </c>
      <c r="AD1359" s="1100" t="e">
        <f>IF($D$1212="",0,$D1359*Table3[[#This Row],[CF]]*chronic_consumption!$Y159/1000/$C$3)</f>
        <v>#DIV/0!</v>
      </c>
      <c r="AE1359" s="1100" t="e">
        <f>IF($D$1212="",0,$D1359*Table3[[#This Row],[CF]]*chronic_consumption!$Z159/1000/$C$3)</f>
        <v>#DIV/0!</v>
      </c>
      <c r="AF1359" s="1100" t="e">
        <f>IF($D$1212="",0,$D1359*Table3[[#This Row],[CF]]*chronic_consumption!$AA159/1000/$C$3)</f>
        <v>#DIV/0!</v>
      </c>
      <c r="AG1359" s="1100" t="e">
        <f>IF($D$1212="",0,$D1359*Table3[[#This Row],[CF]]*chronic_consumption!$AB159/1000/$C$3)</f>
        <v>#DIV/0!</v>
      </c>
      <c r="AH1359" s="1100" t="e">
        <f>IF($D$1212="",0,$D1359*Table3[[#This Row],[CF]]*chronic_consumption!$AC159/1000/$C$3)</f>
        <v>#DIV/0!</v>
      </c>
      <c r="AI1359" s="1100" t="e">
        <f>IF($D$1212="",0,$D1359*Table3[[#This Row],[CF]]*chronic_consumption!$AD159/1000/$C$3)</f>
        <v>#DIV/0!</v>
      </c>
      <c r="AJ1359" s="1100" t="e">
        <f>IF($D$1212="",0,$D1359*Table3[[#This Row],[CF]]*chronic_consumption!$AE159/1000/$C$3)</f>
        <v>#DIV/0!</v>
      </c>
      <c r="AK1359" s="1100" t="e">
        <f>IF($D$1212="",0,$D1359*Table3[[#This Row],[CF]]*chronic_consumption!$AF159/1000/$C$3)</f>
        <v>#DIV/0!</v>
      </c>
      <c r="AL1359" s="1100" t="e">
        <f>IF($D$1212="",0,$D1359*Table3[[#This Row],[CF]]*chronic_consumption!$AG159/1000/$C$3)</f>
        <v>#DIV/0!</v>
      </c>
      <c r="AM1359" s="1100" t="e">
        <f>IF($D$1212="",0,$D1359*Table3[[#This Row],[CF]]*chronic_consumption!$AH159/1000/$C$3)</f>
        <v>#DIV/0!</v>
      </c>
      <c r="AN1359" s="1100" t="e">
        <f>IF($D$1212="",0,$D1359*Table3[[#This Row],[CF]]*chronic_consumption!$AI159/1000/$C$3)</f>
        <v>#DIV/0!</v>
      </c>
      <c r="AO1359" s="1100" t="e">
        <f>IF($D$1212="",0,$D1359*Table3[[#This Row],[CF]]*chronic_consumption!$AJ159/1000/$C$3)</f>
        <v>#DIV/0!</v>
      </c>
      <c r="AP1359" s="1100" t="e">
        <f>IF($D$1212="",0,$D1359*Table3[[#This Row],[CF]]*chronic_consumption!$AK159/1000/$C$3)</f>
        <v>#DIV/0!</v>
      </c>
      <c r="AQ1359" s="1100" t="e">
        <f>IF($D$1212="",0,$D1359*Table3[[#This Row],[CF]]*chronic_consumption!$AL159/1000/$C$3)</f>
        <v>#DIV/0!</v>
      </c>
      <c r="AR1359" s="1100" t="e">
        <f>IF($D$1212="",0,$D1359*Table3[[#This Row],[CF]]*chronic_consumption!$AM159/1000/$C$3)</f>
        <v>#DIV/0!</v>
      </c>
      <c r="AS1359" s="1100" t="e">
        <f>IF($D$1212="",0,$D1359*Table3[[#This Row],[CF]]*chronic_consumption!$AN159/1000/$C$3)</f>
        <v>#DIV/0!</v>
      </c>
      <c r="AT1359" s="1100" t="e">
        <f>IF($D$1212="",0,$D1359*Table3[[#This Row],[CF]]*chronic_consumption!$AO159/1000/$C$3)</f>
        <v>#DIV/0!</v>
      </c>
      <c r="AU1359" s="1101" t="e">
        <f t="shared" si="857"/>
        <v>#DIV/0!</v>
      </c>
      <c r="AV1359" s="1101" t="e">
        <f t="shared" si="857"/>
        <v>#DIV/0!</v>
      </c>
      <c r="AW1359" s="1101" t="e">
        <f t="shared" si="857"/>
        <v>#DIV/0!</v>
      </c>
      <c r="AX1359" s="1101" t="e">
        <f t="shared" si="857"/>
        <v>#DIV/0!</v>
      </c>
      <c r="AY1359" s="1101" t="e">
        <f t="shared" si="857"/>
        <v>#DIV/0!</v>
      </c>
      <c r="AZ1359" s="1091" t="s">
        <v>1012</v>
      </c>
      <c r="BA1359" s="1097" t="e">
        <f>IF(Table3[[#This Row],[max]]&lt;&gt;0,RANK(Table3[[#This Row],[max]],Table3[max],0),"")</f>
        <v>#DIV/0!</v>
      </c>
      <c r="BB1359" s="1096" t="e">
        <f t="shared" si="853"/>
        <v>#DIV/0!</v>
      </c>
      <c r="BC1359" s="1096" t="e">
        <f t="shared" ca="1" si="854"/>
        <v>#DIV/0!</v>
      </c>
      <c r="BD1359" s="1096" t="e">
        <f>IF(Table3[[#This Row],[max]]&gt;0,Table3[[#This Row],[Crop groups and examples of individual products within the groups to which the MRLs apply]],"")</f>
        <v>#DIV/0!</v>
      </c>
    </row>
    <row r="1360" spans="2:56" x14ac:dyDescent="0.2">
      <c r="B1360" s="23">
        <f t="shared" si="856"/>
        <v>251010</v>
      </c>
      <c r="C1360" s="23" t="str">
        <f t="shared" si="856"/>
        <v>Lamb's lettuce/corn salads</v>
      </c>
      <c r="D1360" s="1084">
        <f>input_values!E160</f>
        <v>0</v>
      </c>
      <c r="E1360" s="1084">
        <f>input_values!F160</f>
        <v>0</v>
      </c>
      <c r="F1360" s="1085">
        <f>input_values!W160</f>
        <v>1</v>
      </c>
      <c r="G1360" s="1085" t="str">
        <f>IF(Table3[[#This Row],[CF]]&gt;0,CONCATENATE(IF(Table3[[#This Row],[LOQ]]="*","LOQ","MRL"),IF(input_values!G160&gt;0,"×CFrisk","")),"")</f>
        <v>MRL</v>
      </c>
      <c r="H1360" s="1087">
        <f>input_values!L160</f>
        <v>0</v>
      </c>
      <c r="I1360" s="1088">
        <f>input_values!D160</f>
        <v>0</v>
      </c>
      <c r="J1360" s="1098" t="e">
        <f>IF($D$1212="",0,$D1360*Table3[[#This Row],[CF]]*chronic_consumption!$E160/1000/$C$3)</f>
        <v>#DIV/0!</v>
      </c>
      <c r="K1360" s="1098" t="e">
        <f>IF($D$1212="",0,$D1360*Table3[[#This Row],[CF]]*chronic_consumption!$F160/1000/$C$3)</f>
        <v>#DIV/0!</v>
      </c>
      <c r="L1360" s="1098" t="e">
        <f>IF($D$1212="",0,$D1360*Table3[[#This Row],[CF]]*chronic_consumption!$G160/1000/$C$3)</f>
        <v>#DIV/0!</v>
      </c>
      <c r="M1360" s="1098" t="e">
        <f>IF($D$1212="",0,$D1360*Table3[[#This Row],[CF]]*chronic_consumption!$H160/1000/$C$3)</f>
        <v>#DIV/0!</v>
      </c>
      <c r="N1360" s="1098" t="e">
        <f>IF($D$1212="",0,$D1360*Table3[[#This Row],[CF]]*chronic_consumption!$I160/1000/$C$3)</f>
        <v>#DIV/0!</v>
      </c>
      <c r="O1360" s="1098" t="e">
        <f>IF($D$1212="",0,$D1360*Table3[[#This Row],[CF]]*chronic_consumption!$J160/1000/$C$3)</f>
        <v>#DIV/0!</v>
      </c>
      <c r="P1360" s="1098" t="e">
        <f>IF($D$1212="",0,$D1360*Table3[[#This Row],[CF]]*chronic_consumption!$K160/1000/$C$3)</f>
        <v>#DIV/0!</v>
      </c>
      <c r="Q1360" s="1098" t="e">
        <f>IF($D$1212="",0,$D1360*Table3[[#This Row],[CF]]*chronic_consumption!$L160/1000/$C$3)</f>
        <v>#DIV/0!</v>
      </c>
      <c r="R1360" s="1098" t="e">
        <f>IF($D$1212="",0,$D1360*Table3[[#This Row],[CF]]*chronic_consumption!$M160/1000/$C$3)</f>
        <v>#DIV/0!</v>
      </c>
      <c r="S1360" s="1098" t="e">
        <f>IF($D$1212="",0,$D1360*Table3[[#This Row],[CF]]*chronic_consumption!$N160/1000/$C$3)</f>
        <v>#DIV/0!</v>
      </c>
      <c r="T1360" s="1098" t="e">
        <f>IF($D$1212="",0,$D1360*Table3[[#This Row],[CF]]*chronic_consumption!$O160/1000/$C$3)</f>
        <v>#DIV/0!</v>
      </c>
      <c r="U1360" s="1098" t="e">
        <f>IF($D$1212="",0,$D1360*Table3[[#This Row],[CF]]*chronic_consumption!$P160/1000/$C$3)</f>
        <v>#DIV/0!</v>
      </c>
      <c r="V1360" s="1098" t="e">
        <f>IF($D$1212="",0,$D1360*Table3[[#This Row],[CF]]*chronic_consumption!$Q160/1000/$C$3)</f>
        <v>#DIV/0!</v>
      </c>
      <c r="W1360" s="1098" t="e">
        <f>IF($D$1212="",0,$D1360*Table3[[#This Row],[CF]]*chronic_consumption!$R160/1000/$C$3)</f>
        <v>#DIV/0!</v>
      </c>
      <c r="X1360" s="1098" t="e">
        <f>IF($D$1212="",0,$D1360*Table3[[#This Row],[CF]]*chronic_consumption!$S160/1000/$C$3)</f>
        <v>#DIV/0!</v>
      </c>
      <c r="Y1360" s="1098" t="e">
        <f>IF($D$1212="",0,$D1360*Table3[[#This Row],[CF]]*chronic_consumption!$T160/1000/$C$3)</f>
        <v>#DIV/0!</v>
      </c>
      <c r="Z1360" s="1098" t="e">
        <f>IF($D$1212="",0,$D1360*Table3[[#This Row],[CF]]*chronic_consumption!$U160/1000/$C$3)</f>
        <v>#DIV/0!</v>
      </c>
      <c r="AA1360" s="1098" t="e">
        <f>IF($D$1212="",0,$D1360*Table3[[#This Row],[CF]]*chronic_consumption!$V160/1000/$C$3)</f>
        <v>#DIV/0!</v>
      </c>
      <c r="AB1360" s="1098" t="e">
        <f>IF($D$1212="",0,$D1360*Table3[[#This Row],[CF]]*chronic_consumption!$W160/1000/$C$3)</f>
        <v>#DIV/0!</v>
      </c>
      <c r="AC1360" s="1098" t="e">
        <f>IF($D$1212="",0,$D1360*Table3[[#This Row],[CF]]*chronic_consumption!$X160/1000/$C$3)</f>
        <v>#DIV/0!</v>
      </c>
      <c r="AD1360" s="1098" t="e">
        <f>IF($D$1212="",0,$D1360*Table3[[#This Row],[CF]]*chronic_consumption!$Y160/1000/$C$3)</f>
        <v>#DIV/0!</v>
      </c>
      <c r="AE1360" s="1098" t="e">
        <f>IF($D$1212="",0,$D1360*Table3[[#This Row],[CF]]*chronic_consumption!$Z160/1000/$C$3)</f>
        <v>#DIV/0!</v>
      </c>
      <c r="AF1360" s="1098" t="e">
        <f>IF($D$1212="",0,$D1360*Table3[[#This Row],[CF]]*chronic_consumption!$AA160/1000/$C$3)</f>
        <v>#DIV/0!</v>
      </c>
      <c r="AG1360" s="1098" t="e">
        <f>IF($D$1212="",0,$D1360*Table3[[#This Row],[CF]]*chronic_consumption!$AB160/1000/$C$3)</f>
        <v>#DIV/0!</v>
      </c>
      <c r="AH1360" s="1098" t="e">
        <f>IF($D$1212="",0,$D1360*Table3[[#This Row],[CF]]*chronic_consumption!$AC160/1000/$C$3)</f>
        <v>#DIV/0!</v>
      </c>
      <c r="AI1360" s="1098" t="e">
        <f>IF($D$1212="",0,$D1360*Table3[[#This Row],[CF]]*chronic_consumption!$AD160/1000/$C$3)</f>
        <v>#DIV/0!</v>
      </c>
      <c r="AJ1360" s="1098" t="e">
        <f>IF($D$1212="",0,$D1360*Table3[[#This Row],[CF]]*chronic_consumption!$AE160/1000/$C$3)</f>
        <v>#DIV/0!</v>
      </c>
      <c r="AK1360" s="1098" t="e">
        <f>IF($D$1212="",0,$D1360*Table3[[#This Row],[CF]]*chronic_consumption!$AF160/1000/$C$3)</f>
        <v>#DIV/0!</v>
      </c>
      <c r="AL1360" s="1098" t="e">
        <f>IF($D$1212="",0,$D1360*Table3[[#This Row],[CF]]*chronic_consumption!$AG160/1000/$C$3)</f>
        <v>#DIV/0!</v>
      </c>
      <c r="AM1360" s="1098" t="e">
        <f>IF($D$1212="",0,$D1360*Table3[[#This Row],[CF]]*chronic_consumption!$AH160/1000/$C$3)</f>
        <v>#DIV/0!</v>
      </c>
      <c r="AN1360" s="1098" t="e">
        <f>IF($D$1212="",0,$D1360*Table3[[#This Row],[CF]]*chronic_consumption!$AI160/1000/$C$3)</f>
        <v>#DIV/0!</v>
      </c>
      <c r="AO1360" s="1098" t="e">
        <f>IF($D$1212="",0,$D1360*Table3[[#This Row],[CF]]*chronic_consumption!$AJ160/1000/$C$3)</f>
        <v>#DIV/0!</v>
      </c>
      <c r="AP1360" s="1098" t="e">
        <f>IF($D$1212="",0,$D1360*Table3[[#This Row],[CF]]*chronic_consumption!$AK160/1000/$C$3)</f>
        <v>#DIV/0!</v>
      </c>
      <c r="AQ1360" s="1098" t="e">
        <f>IF($D$1212="",0,$D1360*Table3[[#This Row],[CF]]*chronic_consumption!$AL160/1000/$C$3)</f>
        <v>#DIV/0!</v>
      </c>
      <c r="AR1360" s="1098" t="e">
        <f>IF($D$1212="",0,$D1360*Table3[[#This Row],[CF]]*chronic_consumption!$AM160/1000/$C$3)</f>
        <v>#DIV/0!</v>
      </c>
      <c r="AS1360" s="1098" t="e">
        <f>IF($D$1212="",0,$D1360*Table3[[#This Row],[CF]]*chronic_consumption!$AN160/1000/$C$3)</f>
        <v>#DIV/0!</v>
      </c>
      <c r="AT1360" s="1098" t="e">
        <f>IF($D$1212="",0,$D1360*Table3[[#This Row],[CF]]*chronic_consumption!$AO160/1000/$C$3)</f>
        <v>#DIV/0!</v>
      </c>
      <c r="AU1360" s="1099" t="e">
        <f t="shared" si="857"/>
        <v>#DIV/0!</v>
      </c>
      <c r="AV1360" s="1099" t="e">
        <f t="shared" si="857"/>
        <v>#DIV/0!</v>
      </c>
      <c r="AW1360" s="1099" t="e">
        <f t="shared" si="857"/>
        <v>#DIV/0!</v>
      </c>
      <c r="AX1360" s="1099" t="e">
        <f t="shared" si="857"/>
        <v>#DIV/0!</v>
      </c>
      <c r="AY1360" s="1099" t="e">
        <f t="shared" si="857"/>
        <v>#DIV/0!</v>
      </c>
      <c r="AZ1360" s="1091" t="s">
        <v>1012</v>
      </c>
      <c r="BA1360" s="1097" t="e">
        <f>IF(Table3[[#This Row],[max]]&lt;&gt;0,RANK(Table3[[#This Row],[max]],Table3[max],0),"")</f>
        <v>#DIV/0!</v>
      </c>
      <c r="BB1360" s="1096" t="e">
        <f t="shared" si="853"/>
        <v>#DIV/0!</v>
      </c>
      <c r="BC1360" s="1096" t="e">
        <f t="shared" ca="1" si="854"/>
        <v>#DIV/0!</v>
      </c>
      <c r="BD1360" s="1096" t="e">
        <f>IF(Table3[[#This Row],[max]]&gt;0,Table3[[#This Row],[Crop groups and examples of individual products within the groups to which the MRLs apply]],"")</f>
        <v>#DIV/0!</v>
      </c>
    </row>
    <row r="1361" spans="2:56" x14ac:dyDescent="0.2">
      <c r="B1361" s="23">
        <f t="shared" si="856"/>
        <v>251020</v>
      </c>
      <c r="C1361" s="23" t="str">
        <f t="shared" si="856"/>
        <v>Lettuces</v>
      </c>
      <c r="D1361" s="1084">
        <f>input_values!E161</f>
        <v>0</v>
      </c>
      <c r="E1361" s="1084">
        <f>input_values!F161</f>
        <v>0</v>
      </c>
      <c r="F1361" s="1085">
        <f>input_values!W161</f>
        <v>1</v>
      </c>
      <c r="G1361" s="1085" t="str">
        <f>IF(Table3[[#This Row],[CF]]&gt;0,CONCATENATE(IF(Table3[[#This Row],[LOQ]]="*","LOQ","MRL"),IF(input_values!G161&gt;0,"×CFrisk","")),"")</f>
        <v>MRL</v>
      </c>
      <c r="H1361" s="1087">
        <f>input_values!L161</f>
        <v>0</v>
      </c>
      <c r="I1361" s="1088">
        <f>input_values!D161</f>
        <v>0</v>
      </c>
      <c r="J1361" s="1098" t="e">
        <f>IF($D$1212="",0,$D1361*Table3[[#This Row],[CF]]*chronic_consumption!$E161/1000/$C$3)</f>
        <v>#DIV/0!</v>
      </c>
      <c r="K1361" s="1098" t="e">
        <f>IF($D$1212="",0,$D1361*Table3[[#This Row],[CF]]*chronic_consumption!$F161/1000/$C$3)</f>
        <v>#DIV/0!</v>
      </c>
      <c r="L1361" s="1098" t="e">
        <f>IF($D$1212="",0,$D1361*Table3[[#This Row],[CF]]*chronic_consumption!$G161/1000/$C$3)</f>
        <v>#DIV/0!</v>
      </c>
      <c r="M1361" s="1098" t="e">
        <f>IF($D$1212="",0,$D1361*Table3[[#This Row],[CF]]*chronic_consumption!$H161/1000/$C$3)</f>
        <v>#DIV/0!</v>
      </c>
      <c r="N1361" s="1098" t="e">
        <f>IF($D$1212="",0,$D1361*Table3[[#This Row],[CF]]*chronic_consumption!$I161/1000/$C$3)</f>
        <v>#DIV/0!</v>
      </c>
      <c r="O1361" s="1098" t="e">
        <f>IF($D$1212="",0,$D1361*Table3[[#This Row],[CF]]*chronic_consumption!$J161/1000/$C$3)</f>
        <v>#DIV/0!</v>
      </c>
      <c r="P1361" s="1098" t="e">
        <f>IF($D$1212="",0,$D1361*Table3[[#This Row],[CF]]*chronic_consumption!$K161/1000/$C$3)</f>
        <v>#DIV/0!</v>
      </c>
      <c r="Q1361" s="1098" t="e">
        <f>IF($D$1212="",0,$D1361*Table3[[#This Row],[CF]]*chronic_consumption!$L161/1000/$C$3)</f>
        <v>#DIV/0!</v>
      </c>
      <c r="R1361" s="1098" t="e">
        <f>IF($D$1212="",0,$D1361*Table3[[#This Row],[CF]]*chronic_consumption!$M161/1000/$C$3)</f>
        <v>#DIV/0!</v>
      </c>
      <c r="S1361" s="1098" t="e">
        <f>IF($D$1212="",0,$D1361*Table3[[#This Row],[CF]]*chronic_consumption!$N161/1000/$C$3)</f>
        <v>#DIV/0!</v>
      </c>
      <c r="T1361" s="1098" t="e">
        <f>IF($D$1212="",0,$D1361*Table3[[#This Row],[CF]]*chronic_consumption!$O161/1000/$C$3)</f>
        <v>#DIV/0!</v>
      </c>
      <c r="U1361" s="1098" t="e">
        <f>IF($D$1212="",0,$D1361*Table3[[#This Row],[CF]]*chronic_consumption!$P161/1000/$C$3)</f>
        <v>#DIV/0!</v>
      </c>
      <c r="V1361" s="1098" t="e">
        <f>IF($D$1212="",0,$D1361*Table3[[#This Row],[CF]]*chronic_consumption!$Q161/1000/$C$3)</f>
        <v>#DIV/0!</v>
      </c>
      <c r="W1361" s="1098" t="e">
        <f>IF($D$1212="",0,$D1361*Table3[[#This Row],[CF]]*chronic_consumption!$R161/1000/$C$3)</f>
        <v>#DIV/0!</v>
      </c>
      <c r="X1361" s="1098" t="e">
        <f>IF($D$1212="",0,$D1361*Table3[[#This Row],[CF]]*chronic_consumption!$S161/1000/$C$3)</f>
        <v>#DIV/0!</v>
      </c>
      <c r="Y1361" s="1098" t="e">
        <f>IF($D$1212="",0,$D1361*Table3[[#This Row],[CF]]*chronic_consumption!$T161/1000/$C$3)</f>
        <v>#DIV/0!</v>
      </c>
      <c r="Z1361" s="1098" t="e">
        <f>IF($D$1212="",0,$D1361*Table3[[#This Row],[CF]]*chronic_consumption!$U161/1000/$C$3)</f>
        <v>#DIV/0!</v>
      </c>
      <c r="AA1361" s="1098" t="e">
        <f>IF($D$1212="",0,$D1361*Table3[[#This Row],[CF]]*chronic_consumption!$V161/1000/$C$3)</f>
        <v>#DIV/0!</v>
      </c>
      <c r="AB1361" s="1098" t="e">
        <f>IF($D$1212="",0,$D1361*Table3[[#This Row],[CF]]*chronic_consumption!$W161/1000/$C$3)</f>
        <v>#DIV/0!</v>
      </c>
      <c r="AC1361" s="1098" t="e">
        <f>IF($D$1212="",0,$D1361*Table3[[#This Row],[CF]]*chronic_consumption!$X161/1000/$C$3)</f>
        <v>#DIV/0!</v>
      </c>
      <c r="AD1361" s="1098" t="e">
        <f>IF($D$1212="",0,$D1361*Table3[[#This Row],[CF]]*chronic_consumption!$Y161/1000/$C$3)</f>
        <v>#DIV/0!</v>
      </c>
      <c r="AE1361" s="1098" t="e">
        <f>IF($D$1212="",0,$D1361*Table3[[#This Row],[CF]]*chronic_consumption!$Z161/1000/$C$3)</f>
        <v>#DIV/0!</v>
      </c>
      <c r="AF1361" s="1098" t="e">
        <f>IF($D$1212="",0,$D1361*Table3[[#This Row],[CF]]*chronic_consumption!$AA161/1000/$C$3)</f>
        <v>#DIV/0!</v>
      </c>
      <c r="AG1361" s="1098" t="e">
        <f>IF($D$1212="",0,$D1361*Table3[[#This Row],[CF]]*chronic_consumption!$AB161/1000/$C$3)</f>
        <v>#DIV/0!</v>
      </c>
      <c r="AH1361" s="1098" t="e">
        <f>IF($D$1212="",0,$D1361*Table3[[#This Row],[CF]]*chronic_consumption!$AC161/1000/$C$3)</f>
        <v>#DIV/0!</v>
      </c>
      <c r="AI1361" s="1098" t="e">
        <f>IF($D$1212="",0,$D1361*Table3[[#This Row],[CF]]*chronic_consumption!$AD161/1000/$C$3)</f>
        <v>#DIV/0!</v>
      </c>
      <c r="AJ1361" s="1098" t="e">
        <f>IF($D$1212="",0,$D1361*Table3[[#This Row],[CF]]*chronic_consumption!$AE161/1000/$C$3)</f>
        <v>#DIV/0!</v>
      </c>
      <c r="AK1361" s="1098" t="e">
        <f>IF($D$1212="",0,$D1361*Table3[[#This Row],[CF]]*chronic_consumption!$AF161/1000/$C$3)</f>
        <v>#DIV/0!</v>
      </c>
      <c r="AL1361" s="1098" t="e">
        <f>IF($D$1212="",0,$D1361*Table3[[#This Row],[CF]]*chronic_consumption!$AG161/1000/$C$3)</f>
        <v>#DIV/0!</v>
      </c>
      <c r="AM1361" s="1098" t="e">
        <f>IF($D$1212="",0,$D1361*Table3[[#This Row],[CF]]*chronic_consumption!$AH161/1000/$C$3)</f>
        <v>#DIV/0!</v>
      </c>
      <c r="AN1361" s="1098" t="e">
        <f>IF($D$1212="",0,$D1361*Table3[[#This Row],[CF]]*chronic_consumption!$AI161/1000/$C$3)</f>
        <v>#DIV/0!</v>
      </c>
      <c r="AO1361" s="1098" t="e">
        <f>IF($D$1212="",0,$D1361*Table3[[#This Row],[CF]]*chronic_consumption!$AJ161/1000/$C$3)</f>
        <v>#DIV/0!</v>
      </c>
      <c r="AP1361" s="1098" t="e">
        <f>IF($D$1212="",0,$D1361*Table3[[#This Row],[CF]]*chronic_consumption!$AK161/1000/$C$3)</f>
        <v>#DIV/0!</v>
      </c>
      <c r="AQ1361" s="1098" t="e">
        <f>IF($D$1212="",0,$D1361*Table3[[#This Row],[CF]]*chronic_consumption!$AL161/1000/$C$3)</f>
        <v>#DIV/0!</v>
      </c>
      <c r="AR1361" s="1098" t="e">
        <f>IF($D$1212="",0,$D1361*Table3[[#This Row],[CF]]*chronic_consumption!$AM161/1000/$C$3)</f>
        <v>#DIV/0!</v>
      </c>
      <c r="AS1361" s="1098" t="e">
        <f>IF($D$1212="",0,$D1361*Table3[[#This Row],[CF]]*chronic_consumption!$AN161/1000/$C$3)</f>
        <v>#DIV/0!</v>
      </c>
      <c r="AT1361" s="1098" t="e">
        <f>IF($D$1212="",0,$D1361*Table3[[#This Row],[CF]]*chronic_consumption!$AO161/1000/$C$3)</f>
        <v>#DIV/0!</v>
      </c>
      <c r="AU1361" s="1099" t="e">
        <f t="shared" si="857"/>
        <v>#DIV/0!</v>
      </c>
      <c r="AV1361" s="1099" t="e">
        <f t="shared" si="857"/>
        <v>#DIV/0!</v>
      </c>
      <c r="AW1361" s="1099" t="e">
        <f t="shared" si="857"/>
        <v>#DIV/0!</v>
      </c>
      <c r="AX1361" s="1099" t="e">
        <f t="shared" si="857"/>
        <v>#DIV/0!</v>
      </c>
      <c r="AY1361" s="1099" t="e">
        <f t="shared" si="857"/>
        <v>#DIV/0!</v>
      </c>
      <c r="AZ1361" s="1091" t="s">
        <v>1012</v>
      </c>
      <c r="BA1361" s="1097" t="e">
        <f>IF(Table3[[#This Row],[max]]&lt;&gt;0,RANK(Table3[[#This Row],[max]],Table3[max],0),"")</f>
        <v>#DIV/0!</v>
      </c>
      <c r="BB1361" s="1096" t="e">
        <f t="shared" si="853"/>
        <v>#DIV/0!</v>
      </c>
      <c r="BC1361" s="1096" t="e">
        <f t="shared" ca="1" si="854"/>
        <v>#DIV/0!</v>
      </c>
      <c r="BD1361" s="1096" t="e">
        <f>IF(Table3[[#This Row],[max]]&gt;0,Table3[[#This Row],[Crop groups and examples of individual products within the groups to which the MRLs apply]],"")</f>
        <v>#DIV/0!</v>
      </c>
    </row>
    <row r="1362" spans="2:56" x14ac:dyDescent="0.2">
      <c r="B1362" s="23">
        <f t="shared" si="856"/>
        <v>251030</v>
      </c>
      <c r="C1362" s="23" t="str">
        <f t="shared" si="856"/>
        <v>Escaroles/broad-leaved endives</v>
      </c>
      <c r="D1362" s="1084">
        <f>input_values!E162</f>
        <v>0</v>
      </c>
      <c r="E1362" s="1084">
        <f>input_values!F162</f>
        <v>0</v>
      </c>
      <c r="F1362" s="1085">
        <f>input_values!W162</f>
        <v>1</v>
      </c>
      <c r="G1362" s="1085" t="str">
        <f>IF(Table3[[#This Row],[CF]]&gt;0,CONCATENATE(IF(Table3[[#This Row],[LOQ]]="*","LOQ","MRL"),IF(input_values!G162&gt;0,"×CFrisk","")),"")</f>
        <v>MRL</v>
      </c>
      <c r="H1362" s="1087">
        <f>input_values!L162</f>
        <v>0</v>
      </c>
      <c r="I1362" s="1088">
        <f>input_values!D162</f>
        <v>0</v>
      </c>
      <c r="J1362" s="1098" t="e">
        <f>IF($D$1212="",0,$D1362*Table3[[#This Row],[CF]]*chronic_consumption!$E162/1000/$C$3)</f>
        <v>#DIV/0!</v>
      </c>
      <c r="K1362" s="1098" t="e">
        <f>IF($D$1212="",0,$D1362*Table3[[#This Row],[CF]]*chronic_consumption!$F162/1000/$C$3)</f>
        <v>#DIV/0!</v>
      </c>
      <c r="L1362" s="1098" t="e">
        <f>IF($D$1212="",0,$D1362*Table3[[#This Row],[CF]]*chronic_consumption!$G162/1000/$C$3)</f>
        <v>#DIV/0!</v>
      </c>
      <c r="M1362" s="1098" t="e">
        <f>IF($D$1212="",0,$D1362*Table3[[#This Row],[CF]]*chronic_consumption!$H162/1000/$C$3)</f>
        <v>#DIV/0!</v>
      </c>
      <c r="N1362" s="1098" t="e">
        <f>IF($D$1212="",0,$D1362*Table3[[#This Row],[CF]]*chronic_consumption!$I162/1000/$C$3)</f>
        <v>#DIV/0!</v>
      </c>
      <c r="O1362" s="1098" t="e">
        <f>IF($D$1212="",0,$D1362*Table3[[#This Row],[CF]]*chronic_consumption!$J162/1000/$C$3)</f>
        <v>#DIV/0!</v>
      </c>
      <c r="P1362" s="1098" t="e">
        <f>IF($D$1212="",0,$D1362*Table3[[#This Row],[CF]]*chronic_consumption!$K162/1000/$C$3)</f>
        <v>#DIV/0!</v>
      </c>
      <c r="Q1362" s="1098" t="e">
        <f>IF($D$1212="",0,$D1362*Table3[[#This Row],[CF]]*chronic_consumption!$L162/1000/$C$3)</f>
        <v>#DIV/0!</v>
      </c>
      <c r="R1362" s="1098" t="e">
        <f>IF($D$1212="",0,$D1362*Table3[[#This Row],[CF]]*chronic_consumption!$M162/1000/$C$3)</f>
        <v>#DIV/0!</v>
      </c>
      <c r="S1362" s="1098" t="e">
        <f>IF($D$1212="",0,$D1362*Table3[[#This Row],[CF]]*chronic_consumption!$N162/1000/$C$3)</f>
        <v>#DIV/0!</v>
      </c>
      <c r="T1362" s="1098" t="e">
        <f>IF($D$1212="",0,$D1362*Table3[[#This Row],[CF]]*chronic_consumption!$O162/1000/$C$3)</f>
        <v>#DIV/0!</v>
      </c>
      <c r="U1362" s="1098" t="e">
        <f>IF($D$1212="",0,$D1362*Table3[[#This Row],[CF]]*chronic_consumption!$P162/1000/$C$3)</f>
        <v>#DIV/0!</v>
      </c>
      <c r="V1362" s="1098" t="e">
        <f>IF($D$1212="",0,$D1362*Table3[[#This Row],[CF]]*chronic_consumption!$Q162/1000/$C$3)</f>
        <v>#DIV/0!</v>
      </c>
      <c r="W1362" s="1098" t="e">
        <f>IF($D$1212="",0,$D1362*Table3[[#This Row],[CF]]*chronic_consumption!$R162/1000/$C$3)</f>
        <v>#DIV/0!</v>
      </c>
      <c r="X1362" s="1098" t="e">
        <f>IF($D$1212="",0,$D1362*Table3[[#This Row],[CF]]*chronic_consumption!$S162/1000/$C$3)</f>
        <v>#DIV/0!</v>
      </c>
      <c r="Y1362" s="1098" t="e">
        <f>IF($D$1212="",0,$D1362*Table3[[#This Row],[CF]]*chronic_consumption!$T162/1000/$C$3)</f>
        <v>#DIV/0!</v>
      </c>
      <c r="Z1362" s="1098" t="e">
        <f>IF($D$1212="",0,$D1362*Table3[[#This Row],[CF]]*chronic_consumption!$U162/1000/$C$3)</f>
        <v>#DIV/0!</v>
      </c>
      <c r="AA1362" s="1098" t="e">
        <f>IF($D$1212="",0,$D1362*Table3[[#This Row],[CF]]*chronic_consumption!$V162/1000/$C$3)</f>
        <v>#DIV/0!</v>
      </c>
      <c r="AB1362" s="1098" t="e">
        <f>IF($D$1212="",0,$D1362*Table3[[#This Row],[CF]]*chronic_consumption!$W162/1000/$C$3)</f>
        <v>#DIV/0!</v>
      </c>
      <c r="AC1362" s="1098" t="e">
        <f>IF($D$1212="",0,$D1362*Table3[[#This Row],[CF]]*chronic_consumption!$X162/1000/$C$3)</f>
        <v>#DIV/0!</v>
      </c>
      <c r="AD1362" s="1098" t="e">
        <f>IF($D$1212="",0,$D1362*Table3[[#This Row],[CF]]*chronic_consumption!$Y162/1000/$C$3)</f>
        <v>#DIV/0!</v>
      </c>
      <c r="AE1362" s="1098" t="e">
        <f>IF($D$1212="",0,$D1362*Table3[[#This Row],[CF]]*chronic_consumption!$Z162/1000/$C$3)</f>
        <v>#DIV/0!</v>
      </c>
      <c r="AF1362" s="1098" t="e">
        <f>IF($D$1212="",0,$D1362*Table3[[#This Row],[CF]]*chronic_consumption!$AA162/1000/$C$3)</f>
        <v>#DIV/0!</v>
      </c>
      <c r="AG1362" s="1098" t="e">
        <f>IF($D$1212="",0,$D1362*Table3[[#This Row],[CF]]*chronic_consumption!$AB162/1000/$C$3)</f>
        <v>#DIV/0!</v>
      </c>
      <c r="AH1362" s="1098" t="e">
        <f>IF($D$1212="",0,$D1362*Table3[[#This Row],[CF]]*chronic_consumption!$AC162/1000/$C$3)</f>
        <v>#DIV/0!</v>
      </c>
      <c r="AI1362" s="1098" t="e">
        <f>IF($D$1212="",0,$D1362*Table3[[#This Row],[CF]]*chronic_consumption!$AD162/1000/$C$3)</f>
        <v>#DIV/0!</v>
      </c>
      <c r="AJ1362" s="1098" t="e">
        <f>IF($D$1212="",0,$D1362*Table3[[#This Row],[CF]]*chronic_consumption!$AE162/1000/$C$3)</f>
        <v>#DIV/0!</v>
      </c>
      <c r="AK1362" s="1098" t="e">
        <f>IF($D$1212="",0,$D1362*Table3[[#This Row],[CF]]*chronic_consumption!$AF162/1000/$C$3)</f>
        <v>#DIV/0!</v>
      </c>
      <c r="AL1362" s="1098" t="e">
        <f>IF($D$1212="",0,$D1362*Table3[[#This Row],[CF]]*chronic_consumption!$AG162/1000/$C$3)</f>
        <v>#DIV/0!</v>
      </c>
      <c r="AM1362" s="1098" t="e">
        <f>IF($D$1212="",0,$D1362*Table3[[#This Row],[CF]]*chronic_consumption!$AH162/1000/$C$3)</f>
        <v>#DIV/0!</v>
      </c>
      <c r="AN1362" s="1098" t="e">
        <f>IF($D$1212="",0,$D1362*Table3[[#This Row],[CF]]*chronic_consumption!$AI162/1000/$C$3)</f>
        <v>#DIV/0!</v>
      </c>
      <c r="AO1362" s="1098" t="e">
        <f>IF($D$1212="",0,$D1362*Table3[[#This Row],[CF]]*chronic_consumption!$AJ162/1000/$C$3)</f>
        <v>#DIV/0!</v>
      </c>
      <c r="AP1362" s="1098" t="e">
        <f>IF($D$1212="",0,$D1362*Table3[[#This Row],[CF]]*chronic_consumption!$AK162/1000/$C$3)</f>
        <v>#DIV/0!</v>
      </c>
      <c r="AQ1362" s="1098" t="e">
        <f>IF($D$1212="",0,$D1362*Table3[[#This Row],[CF]]*chronic_consumption!$AL162/1000/$C$3)</f>
        <v>#DIV/0!</v>
      </c>
      <c r="AR1362" s="1098" t="e">
        <f>IF($D$1212="",0,$D1362*Table3[[#This Row],[CF]]*chronic_consumption!$AM162/1000/$C$3)</f>
        <v>#DIV/0!</v>
      </c>
      <c r="AS1362" s="1098" t="e">
        <f>IF($D$1212="",0,$D1362*Table3[[#This Row],[CF]]*chronic_consumption!$AN162/1000/$C$3)</f>
        <v>#DIV/0!</v>
      </c>
      <c r="AT1362" s="1098" t="e">
        <f>IF($D$1212="",0,$D1362*Table3[[#This Row],[CF]]*chronic_consumption!$AO162/1000/$C$3)</f>
        <v>#DIV/0!</v>
      </c>
      <c r="AU1362" s="1099" t="e">
        <f t="shared" ref="AU1362:AY1371" si="858">IF(AU562="",0,IF(OR(1=RANK(AU962,AU$412:AU$790,0),(2=RANK(AU962,AU$412:AU$790,0))),AU962,AU562))</f>
        <v>#DIV/0!</v>
      </c>
      <c r="AV1362" s="1099" t="e">
        <f t="shared" si="858"/>
        <v>#DIV/0!</v>
      </c>
      <c r="AW1362" s="1099" t="e">
        <f t="shared" si="858"/>
        <v>#DIV/0!</v>
      </c>
      <c r="AX1362" s="1099" t="e">
        <f t="shared" si="858"/>
        <v>#DIV/0!</v>
      </c>
      <c r="AY1362" s="1099" t="e">
        <f t="shared" si="858"/>
        <v>#DIV/0!</v>
      </c>
      <c r="AZ1362" s="1091" t="s">
        <v>1012</v>
      </c>
      <c r="BA1362" s="1097" t="e">
        <f>IF(Table3[[#This Row],[max]]&lt;&gt;0,RANK(Table3[[#This Row],[max]],Table3[max],0),"")</f>
        <v>#DIV/0!</v>
      </c>
      <c r="BB1362" s="1096" t="e">
        <f t="shared" si="853"/>
        <v>#DIV/0!</v>
      </c>
      <c r="BC1362" s="1096" t="e">
        <f t="shared" ca="1" si="854"/>
        <v>#DIV/0!</v>
      </c>
      <c r="BD1362" s="1096" t="e">
        <f>IF(Table3[[#This Row],[max]]&gt;0,Table3[[#This Row],[Crop groups and examples of individual products within the groups to which the MRLs apply]],"")</f>
        <v>#DIV/0!</v>
      </c>
    </row>
    <row r="1363" spans="2:56" x14ac:dyDescent="0.2">
      <c r="B1363" s="26">
        <f t="shared" si="856"/>
        <v>251040</v>
      </c>
      <c r="C1363" s="23" t="str">
        <f t="shared" si="856"/>
        <v>Cress and other sprouts and shoots</v>
      </c>
      <c r="D1363" s="1084">
        <f>input_values!E163</f>
        <v>0</v>
      </c>
      <c r="E1363" s="1084">
        <f>input_values!F163</f>
        <v>0</v>
      </c>
      <c r="F1363" s="1085">
        <f>input_values!W163</f>
        <v>1</v>
      </c>
      <c r="G1363" s="1085" t="str">
        <f>IF(Table3[[#This Row],[CF]]&gt;0,CONCATENATE(IF(Table3[[#This Row],[LOQ]]="*","LOQ","MRL"),IF(input_values!G163&gt;0,"×CFrisk","")),"")</f>
        <v>MRL</v>
      </c>
      <c r="H1363" s="1087">
        <f>input_values!L163</f>
        <v>0</v>
      </c>
      <c r="I1363" s="1088">
        <f>input_values!D163</f>
        <v>0</v>
      </c>
      <c r="J1363" s="1098" t="e">
        <f>IF($D$1212="",0,$D1363*Table3[[#This Row],[CF]]*chronic_consumption!$E163/1000/$C$3)</f>
        <v>#DIV/0!</v>
      </c>
      <c r="K1363" s="1098" t="e">
        <f>IF($D$1212="",0,$D1363*Table3[[#This Row],[CF]]*chronic_consumption!$F163/1000/$C$3)</f>
        <v>#DIV/0!</v>
      </c>
      <c r="L1363" s="1098" t="e">
        <f>IF($D$1212="",0,$D1363*Table3[[#This Row],[CF]]*chronic_consumption!$G163/1000/$C$3)</f>
        <v>#DIV/0!</v>
      </c>
      <c r="M1363" s="1098" t="e">
        <f>IF($D$1212="",0,$D1363*Table3[[#This Row],[CF]]*chronic_consumption!$H163/1000/$C$3)</f>
        <v>#DIV/0!</v>
      </c>
      <c r="N1363" s="1098" t="e">
        <f>IF($D$1212="",0,$D1363*Table3[[#This Row],[CF]]*chronic_consumption!$I163/1000/$C$3)</f>
        <v>#DIV/0!</v>
      </c>
      <c r="O1363" s="1098" t="e">
        <f>IF($D$1212="",0,$D1363*Table3[[#This Row],[CF]]*chronic_consumption!$J163/1000/$C$3)</f>
        <v>#DIV/0!</v>
      </c>
      <c r="P1363" s="1098" t="e">
        <f>IF($D$1212="",0,$D1363*Table3[[#This Row],[CF]]*chronic_consumption!$K163/1000/$C$3)</f>
        <v>#DIV/0!</v>
      </c>
      <c r="Q1363" s="1098" t="e">
        <f>IF($D$1212="",0,$D1363*Table3[[#This Row],[CF]]*chronic_consumption!$L163/1000/$C$3)</f>
        <v>#DIV/0!</v>
      </c>
      <c r="R1363" s="1098" t="e">
        <f>IF($D$1212="",0,$D1363*Table3[[#This Row],[CF]]*chronic_consumption!$M163/1000/$C$3)</f>
        <v>#DIV/0!</v>
      </c>
      <c r="S1363" s="1098" t="e">
        <f>IF($D$1212="",0,$D1363*Table3[[#This Row],[CF]]*chronic_consumption!$N163/1000/$C$3)</f>
        <v>#DIV/0!</v>
      </c>
      <c r="T1363" s="1098" t="e">
        <f>IF($D$1212="",0,$D1363*Table3[[#This Row],[CF]]*chronic_consumption!$O163/1000/$C$3)</f>
        <v>#DIV/0!</v>
      </c>
      <c r="U1363" s="1098" t="e">
        <f>IF($D$1212="",0,$D1363*Table3[[#This Row],[CF]]*chronic_consumption!$P163/1000/$C$3)</f>
        <v>#DIV/0!</v>
      </c>
      <c r="V1363" s="1098" t="e">
        <f>IF($D$1212="",0,$D1363*Table3[[#This Row],[CF]]*chronic_consumption!$Q163/1000/$C$3)</f>
        <v>#DIV/0!</v>
      </c>
      <c r="W1363" s="1098" t="e">
        <f>IF($D$1212="",0,$D1363*Table3[[#This Row],[CF]]*chronic_consumption!$R163/1000/$C$3)</f>
        <v>#DIV/0!</v>
      </c>
      <c r="X1363" s="1098" t="e">
        <f>IF($D$1212="",0,$D1363*Table3[[#This Row],[CF]]*chronic_consumption!$S163/1000/$C$3)</f>
        <v>#DIV/0!</v>
      </c>
      <c r="Y1363" s="1098" t="e">
        <f>IF($D$1212="",0,$D1363*Table3[[#This Row],[CF]]*chronic_consumption!$T163/1000/$C$3)</f>
        <v>#DIV/0!</v>
      </c>
      <c r="Z1363" s="1098" t="e">
        <f>IF($D$1212="",0,$D1363*Table3[[#This Row],[CF]]*chronic_consumption!$U163/1000/$C$3)</f>
        <v>#DIV/0!</v>
      </c>
      <c r="AA1363" s="1098" t="e">
        <f>IF($D$1212="",0,$D1363*Table3[[#This Row],[CF]]*chronic_consumption!$V163/1000/$C$3)</f>
        <v>#DIV/0!</v>
      </c>
      <c r="AB1363" s="1098" t="e">
        <f>IF($D$1212="",0,$D1363*Table3[[#This Row],[CF]]*chronic_consumption!$W163/1000/$C$3)</f>
        <v>#DIV/0!</v>
      </c>
      <c r="AC1363" s="1098" t="e">
        <f>IF($D$1212="",0,$D1363*Table3[[#This Row],[CF]]*chronic_consumption!$X163/1000/$C$3)</f>
        <v>#DIV/0!</v>
      </c>
      <c r="AD1363" s="1098" t="e">
        <f>IF($D$1212="",0,$D1363*Table3[[#This Row],[CF]]*chronic_consumption!$Y163/1000/$C$3)</f>
        <v>#DIV/0!</v>
      </c>
      <c r="AE1363" s="1098" t="e">
        <f>IF($D$1212="",0,$D1363*Table3[[#This Row],[CF]]*chronic_consumption!$Z163/1000/$C$3)</f>
        <v>#DIV/0!</v>
      </c>
      <c r="AF1363" s="1098" t="e">
        <f>IF($D$1212="",0,$D1363*Table3[[#This Row],[CF]]*chronic_consumption!$AA163/1000/$C$3)</f>
        <v>#DIV/0!</v>
      </c>
      <c r="AG1363" s="1098" t="e">
        <f>IF($D$1212="",0,$D1363*Table3[[#This Row],[CF]]*chronic_consumption!$AB163/1000/$C$3)</f>
        <v>#DIV/0!</v>
      </c>
      <c r="AH1363" s="1098" t="e">
        <f>IF($D$1212="",0,$D1363*Table3[[#This Row],[CF]]*chronic_consumption!$AC163/1000/$C$3)</f>
        <v>#DIV/0!</v>
      </c>
      <c r="AI1363" s="1098" t="e">
        <f>IF($D$1212="",0,$D1363*Table3[[#This Row],[CF]]*chronic_consumption!$AD163/1000/$C$3)</f>
        <v>#DIV/0!</v>
      </c>
      <c r="AJ1363" s="1098" t="e">
        <f>IF($D$1212="",0,$D1363*Table3[[#This Row],[CF]]*chronic_consumption!$AE163/1000/$C$3)</f>
        <v>#DIV/0!</v>
      </c>
      <c r="AK1363" s="1098" t="e">
        <f>IF($D$1212="",0,$D1363*Table3[[#This Row],[CF]]*chronic_consumption!$AF163/1000/$C$3)</f>
        <v>#DIV/0!</v>
      </c>
      <c r="AL1363" s="1098" t="e">
        <f>IF($D$1212="",0,$D1363*Table3[[#This Row],[CF]]*chronic_consumption!$AG163/1000/$C$3)</f>
        <v>#DIV/0!</v>
      </c>
      <c r="AM1363" s="1098" t="e">
        <f>IF($D$1212="",0,$D1363*Table3[[#This Row],[CF]]*chronic_consumption!$AH163/1000/$C$3)</f>
        <v>#DIV/0!</v>
      </c>
      <c r="AN1363" s="1098" t="e">
        <f>IF($D$1212="",0,$D1363*Table3[[#This Row],[CF]]*chronic_consumption!$AI163/1000/$C$3)</f>
        <v>#DIV/0!</v>
      </c>
      <c r="AO1363" s="1098" t="e">
        <f>IF($D$1212="",0,$D1363*Table3[[#This Row],[CF]]*chronic_consumption!$AJ163/1000/$C$3)</f>
        <v>#DIV/0!</v>
      </c>
      <c r="AP1363" s="1098" t="e">
        <f>IF($D$1212="",0,$D1363*Table3[[#This Row],[CF]]*chronic_consumption!$AK163/1000/$C$3)</f>
        <v>#DIV/0!</v>
      </c>
      <c r="AQ1363" s="1098" t="e">
        <f>IF($D$1212="",0,$D1363*Table3[[#This Row],[CF]]*chronic_consumption!$AL163/1000/$C$3)</f>
        <v>#DIV/0!</v>
      </c>
      <c r="AR1363" s="1098" t="e">
        <f>IF($D$1212="",0,$D1363*Table3[[#This Row],[CF]]*chronic_consumption!$AM163/1000/$C$3)</f>
        <v>#DIV/0!</v>
      </c>
      <c r="AS1363" s="1098" t="e">
        <f>IF($D$1212="",0,$D1363*Table3[[#This Row],[CF]]*chronic_consumption!$AN163/1000/$C$3)</f>
        <v>#DIV/0!</v>
      </c>
      <c r="AT1363" s="1098" t="e">
        <f>IF($D$1212="",0,$D1363*Table3[[#This Row],[CF]]*chronic_consumption!$AO163/1000/$C$3)</f>
        <v>#DIV/0!</v>
      </c>
      <c r="AU1363" s="1099" t="e">
        <f t="shared" si="858"/>
        <v>#DIV/0!</v>
      </c>
      <c r="AV1363" s="1099" t="e">
        <f t="shared" si="858"/>
        <v>#DIV/0!</v>
      </c>
      <c r="AW1363" s="1099" t="e">
        <f t="shared" si="858"/>
        <v>#DIV/0!</v>
      </c>
      <c r="AX1363" s="1099" t="e">
        <f t="shared" si="858"/>
        <v>#DIV/0!</v>
      </c>
      <c r="AY1363" s="1099" t="e">
        <f t="shared" si="858"/>
        <v>#DIV/0!</v>
      </c>
      <c r="AZ1363" s="1091" t="s">
        <v>1012</v>
      </c>
      <c r="BA1363" s="1097" t="e">
        <f>IF(Table3[[#This Row],[max]]&lt;&gt;0,RANK(Table3[[#This Row],[max]],Table3[max],0),"")</f>
        <v>#DIV/0!</v>
      </c>
      <c r="BB1363" s="1096" t="e">
        <f t="shared" si="853"/>
        <v>#DIV/0!</v>
      </c>
      <c r="BC1363" s="1096" t="e">
        <f t="shared" ca="1" si="854"/>
        <v>#DIV/0!</v>
      </c>
      <c r="BD1363" s="1096" t="e">
        <f>IF(Table3[[#This Row],[max]]&gt;0,Table3[[#This Row],[Crop groups and examples of individual products within the groups to which the MRLs apply]],"")</f>
        <v>#DIV/0!</v>
      </c>
    </row>
    <row r="1364" spans="2:56" x14ac:dyDescent="0.2">
      <c r="B1364" s="26">
        <f t="shared" si="856"/>
        <v>251050</v>
      </c>
      <c r="C1364" s="23" t="str">
        <f t="shared" si="856"/>
        <v xml:space="preserve">Land cress </v>
      </c>
      <c r="D1364" s="1084">
        <f>input_values!E164</f>
        <v>0</v>
      </c>
      <c r="E1364" s="1084">
        <f>input_values!F164</f>
        <v>0</v>
      </c>
      <c r="F1364" s="1085">
        <f>input_values!W164</f>
        <v>1</v>
      </c>
      <c r="G1364" s="1085" t="str">
        <f>IF(Table3[[#This Row],[CF]]&gt;0,CONCATENATE(IF(Table3[[#This Row],[LOQ]]="*","LOQ","MRL"),IF(input_values!G164&gt;0,"×CFrisk","")),"")</f>
        <v>MRL</v>
      </c>
      <c r="H1364" s="1087">
        <f>input_values!L164</f>
        <v>0</v>
      </c>
      <c r="I1364" s="1088">
        <f>input_values!D164</f>
        <v>0</v>
      </c>
      <c r="J1364" s="1098" t="e">
        <f>IF($D$1212="",0,$D1364*Table3[[#This Row],[CF]]*chronic_consumption!$E164/1000/$C$3)</f>
        <v>#DIV/0!</v>
      </c>
      <c r="K1364" s="1098" t="e">
        <f>IF($D$1212="",0,$D1364*Table3[[#This Row],[CF]]*chronic_consumption!$F164/1000/$C$3)</f>
        <v>#DIV/0!</v>
      </c>
      <c r="L1364" s="1098" t="e">
        <f>IF($D$1212="",0,$D1364*Table3[[#This Row],[CF]]*chronic_consumption!$G164/1000/$C$3)</f>
        <v>#DIV/0!</v>
      </c>
      <c r="M1364" s="1098" t="e">
        <f>IF($D$1212="",0,$D1364*Table3[[#This Row],[CF]]*chronic_consumption!$H164/1000/$C$3)</f>
        <v>#DIV/0!</v>
      </c>
      <c r="N1364" s="1098" t="e">
        <f>IF($D$1212="",0,$D1364*Table3[[#This Row],[CF]]*chronic_consumption!$I164/1000/$C$3)</f>
        <v>#DIV/0!</v>
      </c>
      <c r="O1364" s="1098" t="e">
        <f>IF($D$1212="",0,$D1364*Table3[[#This Row],[CF]]*chronic_consumption!$J164/1000/$C$3)</f>
        <v>#DIV/0!</v>
      </c>
      <c r="P1364" s="1098" t="e">
        <f>IF($D$1212="",0,$D1364*Table3[[#This Row],[CF]]*chronic_consumption!$K164/1000/$C$3)</f>
        <v>#DIV/0!</v>
      </c>
      <c r="Q1364" s="1098" t="e">
        <f>IF($D$1212="",0,$D1364*Table3[[#This Row],[CF]]*chronic_consumption!$L164/1000/$C$3)</f>
        <v>#DIV/0!</v>
      </c>
      <c r="R1364" s="1098" t="e">
        <f>IF($D$1212="",0,$D1364*Table3[[#This Row],[CF]]*chronic_consumption!$M164/1000/$C$3)</f>
        <v>#DIV/0!</v>
      </c>
      <c r="S1364" s="1098" t="e">
        <f>IF($D$1212="",0,$D1364*Table3[[#This Row],[CF]]*chronic_consumption!$N164/1000/$C$3)</f>
        <v>#DIV/0!</v>
      </c>
      <c r="T1364" s="1098" t="e">
        <f>IF($D$1212="",0,$D1364*Table3[[#This Row],[CF]]*chronic_consumption!$O164/1000/$C$3)</f>
        <v>#DIV/0!</v>
      </c>
      <c r="U1364" s="1098" t="e">
        <f>IF($D$1212="",0,$D1364*Table3[[#This Row],[CF]]*chronic_consumption!$P164/1000/$C$3)</f>
        <v>#DIV/0!</v>
      </c>
      <c r="V1364" s="1098" t="e">
        <f>IF($D$1212="",0,$D1364*Table3[[#This Row],[CF]]*chronic_consumption!$Q164/1000/$C$3)</f>
        <v>#DIV/0!</v>
      </c>
      <c r="W1364" s="1098" t="e">
        <f>IF($D$1212="",0,$D1364*Table3[[#This Row],[CF]]*chronic_consumption!$R164/1000/$C$3)</f>
        <v>#DIV/0!</v>
      </c>
      <c r="X1364" s="1098" t="e">
        <f>IF($D$1212="",0,$D1364*Table3[[#This Row],[CF]]*chronic_consumption!$S164/1000/$C$3)</f>
        <v>#DIV/0!</v>
      </c>
      <c r="Y1364" s="1098" t="e">
        <f>IF($D$1212="",0,$D1364*Table3[[#This Row],[CF]]*chronic_consumption!$T164/1000/$C$3)</f>
        <v>#DIV/0!</v>
      </c>
      <c r="Z1364" s="1098" t="e">
        <f>IF($D$1212="",0,$D1364*Table3[[#This Row],[CF]]*chronic_consumption!$U164/1000/$C$3)</f>
        <v>#DIV/0!</v>
      </c>
      <c r="AA1364" s="1098" t="e">
        <f>IF($D$1212="",0,$D1364*Table3[[#This Row],[CF]]*chronic_consumption!$V164/1000/$C$3)</f>
        <v>#DIV/0!</v>
      </c>
      <c r="AB1364" s="1098" t="e">
        <f>IF($D$1212="",0,$D1364*Table3[[#This Row],[CF]]*chronic_consumption!$W164/1000/$C$3)</f>
        <v>#DIV/0!</v>
      </c>
      <c r="AC1364" s="1098" t="e">
        <f>IF($D$1212="",0,$D1364*Table3[[#This Row],[CF]]*chronic_consumption!$X164/1000/$C$3)</f>
        <v>#DIV/0!</v>
      </c>
      <c r="AD1364" s="1098" t="e">
        <f>IF($D$1212="",0,$D1364*Table3[[#This Row],[CF]]*chronic_consumption!$Y164/1000/$C$3)</f>
        <v>#DIV/0!</v>
      </c>
      <c r="AE1364" s="1098" t="e">
        <f>IF($D$1212="",0,$D1364*Table3[[#This Row],[CF]]*chronic_consumption!$Z164/1000/$C$3)</f>
        <v>#DIV/0!</v>
      </c>
      <c r="AF1364" s="1098" t="e">
        <f>IF($D$1212="",0,$D1364*Table3[[#This Row],[CF]]*chronic_consumption!$AA164/1000/$C$3)</f>
        <v>#DIV/0!</v>
      </c>
      <c r="AG1364" s="1098" t="e">
        <f>IF($D$1212="",0,$D1364*Table3[[#This Row],[CF]]*chronic_consumption!$AB164/1000/$C$3)</f>
        <v>#DIV/0!</v>
      </c>
      <c r="AH1364" s="1098" t="e">
        <f>IF($D$1212="",0,$D1364*Table3[[#This Row],[CF]]*chronic_consumption!$AC164/1000/$C$3)</f>
        <v>#DIV/0!</v>
      </c>
      <c r="AI1364" s="1098" t="e">
        <f>IF($D$1212="",0,$D1364*Table3[[#This Row],[CF]]*chronic_consumption!$AD164/1000/$C$3)</f>
        <v>#DIV/0!</v>
      </c>
      <c r="AJ1364" s="1098" t="e">
        <f>IF($D$1212="",0,$D1364*Table3[[#This Row],[CF]]*chronic_consumption!$AE164/1000/$C$3)</f>
        <v>#DIV/0!</v>
      </c>
      <c r="AK1364" s="1098" t="e">
        <f>IF($D$1212="",0,$D1364*Table3[[#This Row],[CF]]*chronic_consumption!$AF164/1000/$C$3)</f>
        <v>#DIV/0!</v>
      </c>
      <c r="AL1364" s="1098" t="e">
        <f>IF($D$1212="",0,$D1364*Table3[[#This Row],[CF]]*chronic_consumption!$AG164/1000/$C$3)</f>
        <v>#DIV/0!</v>
      </c>
      <c r="AM1364" s="1098" t="e">
        <f>IF($D$1212="",0,$D1364*Table3[[#This Row],[CF]]*chronic_consumption!$AH164/1000/$C$3)</f>
        <v>#DIV/0!</v>
      </c>
      <c r="AN1364" s="1098" t="e">
        <f>IF($D$1212="",0,$D1364*Table3[[#This Row],[CF]]*chronic_consumption!$AI164/1000/$C$3)</f>
        <v>#DIV/0!</v>
      </c>
      <c r="AO1364" s="1098" t="e">
        <f>IF($D$1212="",0,$D1364*Table3[[#This Row],[CF]]*chronic_consumption!$AJ164/1000/$C$3)</f>
        <v>#DIV/0!</v>
      </c>
      <c r="AP1364" s="1098" t="e">
        <f>IF($D$1212="",0,$D1364*Table3[[#This Row],[CF]]*chronic_consumption!$AK164/1000/$C$3)</f>
        <v>#DIV/0!</v>
      </c>
      <c r="AQ1364" s="1098" t="e">
        <f>IF($D$1212="",0,$D1364*Table3[[#This Row],[CF]]*chronic_consumption!$AL164/1000/$C$3)</f>
        <v>#DIV/0!</v>
      </c>
      <c r="AR1364" s="1098" t="e">
        <f>IF($D$1212="",0,$D1364*Table3[[#This Row],[CF]]*chronic_consumption!$AM164/1000/$C$3)</f>
        <v>#DIV/0!</v>
      </c>
      <c r="AS1364" s="1098" t="e">
        <f>IF($D$1212="",0,$D1364*Table3[[#This Row],[CF]]*chronic_consumption!$AN164/1000/$C$3)</f>
        <v>#DIV/0!</v>
      </c>
      <c r="AT1364" s="1098" t="e">
        <f>IF($D$1212="",0,$D1364*Table3[[#This Row],[CF]]*chronic_consumption!$AO164/1000/$C$3)</f>
        <v>#DIV/0!</v>
      </c>
      <c r="AU1364" s="1099" t="e">
        <f t="shared" si="858"/>
        <v>#DIV/0!</v>
      </c>
      <c r="AV1364" s="1099" t="e">
        <f t="shared" si="858"/>
        <v>#DIV/0!</v>
      </c>
      <c r="AW1364" s="1099" t="e">
        <f t="shared" si="858"/>
        <v>#DIV/0!</v>
      </c>
      <c r="AX1364" s="1099" t="e">
        <f t="shared" si="858"/>
        <v>#DIV/0!</v>
      </c>
      <c r="AY1364" s="1099" t="e">
        <f t="shared" si="858"/>
        <v>#DIV/0!</v>
      </c>
      <c r="AZ1364" s="1091" t="s">
        <v>1012</v>
      </c>
      <c r="BA1364" s="1097" t="e">
        <f>IF(Table3[[#This Row],[max]]&lt;&gt;0,RANK(Table3[[#This Row],[max]],Table3[max],0),"")</f>
        <v>#DIV/0!</v>
      </c>
      <c r="BB1364" s="1096" t="e">
        <f t="shared" si="853"/>
        <v>#DIV/0!</v>
      </c>
      <c r="BC1364" s="1096" t="e">
        <f t="shared" ca="1" si="854"/>
        <v>#DIV/0!</v>
      </c>
      <c r="BD1364" s="1096" t="e">
        <f>IF(Table3[[#This Row],[max]]&gt;0,Table3[[#This Row],[Crop groups and examples of individual products within the groups to which the MRLs apply]],"")</f>
        <v>#DIV/0!</v>
      </c>
    </row>
    <row r="1365" spans="2:56" x14ac:dyDescent="0.2">
      <c r="B1365" s="26">
        <f t="shared" si="856"/>
        <v>251060</v>
      </c>
      <c r="C1365" s="23" t="str">
        <f t="shared" si="856"/>
        <v>Roman rocket/rucola</v>
      </c>
      <c r="D1365" s="1084">
        <f>input_values!E165</f>
        <v>0</v>
      </c>
      <c r="E1365" s="1084">
        <f>input_values!F165</f>
        <v>0</v>
      </c>
      <c r="F1365" s="1085">
        <f>input_values!W165</f>
        <v>1</v>
      </c>
      <c r="G1365" s="1085" t="str">
        <f>IF(Table3[[#This Row],[CF]]&gt;0,CONCATENATE(IF(Table3[[#This Row],[LOQ]]="*","LOQ","MRL"),IF(input_values!G165&gt;0,"×CFrisk","")),"")</f>
        <v>MRL</v>
      </c>
      <c r="H1365" s="1087">
        <f>input_values!L165</f>
        <v>0</v>
      </c>
      <c r="I1365" s="1088">
        <f>input_values!D165</f>
        <v>0</v>
      </c>
      <c r="J1365" s="1098" t="e">
        <f>IF($D$1212="",0,$D1365*Table3[[#This Row],[CF]]*chronic_consumption!$E165/1000/$C$3)</f>
        <v>#DIV/0!</v>
      </c>
      <c r="K1365" s="1098" t="e">
        <f>IF($D$1212="",0,$D1365*Table3[[#This Row],[CF]]*chronic_consumption!$F165/1000/$C$3)</f>
        <v>#DIV/0!</v>
      </c>
      <c r="L1365" s="1098" t="e">
        <f>IF($D$1212="",0,$D1365*Table3[[#This Row],[CF]]*chronic_consumption!$G165/1000/$C$3)</f>
        <v>#DIV/0!</v>
      </c>
      <c r="M1365" s="1098" t="e">
        <f>IF($D$1212="",0,$D1365*Table3[[#This Row],[CF]]*chronic_consumption!$H165/1000/$C$3)</f>
        <v>#DIV/0!</v>
      </c>
      <c r="N1365" s="1098" t="e">
        <f>IF($D$1212="",0,$D1365*Table3[[#This Row],[CF]]*chronic_consumption!$I165/1000/$C$3)</f>
        <v>#DIV/0!</v>
      </c>
      <c r="O1365" s="1098" t="e">
        <f>IF($D$1212="",0,$D1365*Table3[[#This Row],[CF]]*chronic_consumption!$J165/1000/$C$3)</f>
        <v>#DIV/0!</v>
      </c>
      <c r="P1365" s="1098" t="e">
        <f>IF($D$1212="",0,$D1365*Table3[[#This Row],[CF]]*chronic_consumption!$K165/1000/$C$3)</f>
        <v>#DIV/0!</v>
      </c>
      <c r="Q1365" s="1098" t="e">
        <f>IF($D$1212="",0,$D1365*Table3[[#This Row],[CF]]*chronic_consumption!$L165/1000/$C$3)</f>
        <v>#DIV/0!</v>
      </c>
      <c r="R1365" s="1098" t="e">
        <f>IF($D$1212="",0,$D1365*Table3[[#This Row],[CF]]*chronic_consumption!$M165/1000/$C$3)</f>
        <v>#DIV/0!</v>
      </c>
      <c r="S1365" s="1098" t="e">
        <f>IF($D$1212="",0,$D1365*Table3[[#This Row],[CF]]*chronic_consumption!$N165/1000/$C$3)</f>
        <v>#DIV/0!</v>
      </c>
      <c r="T1365" s="1098" t="e">
        <f>IF($D$1212="",0,$D1365*Table3[[#This Row],[CF]]*chronic_consumption!$O165/1000/$C$3)</f>
        <v>#DIV/0!</v>
      </c>
      <c r="U1365" s="1098" t="e">
        <f>IF($D$1212="",0,$D1365*Table3[[#This Row],[CF]]*chronic_consumption!$P165/1000/$C$3)</f>
        <v>#DIV/0!</v>
      </c>
      <c r="V1365" s="1098" t="e">
        <f>IF($D$1212="",0,$D1365*Table3[[#This Row],[CF]]*chronic_consumption!$Q165/1000/$C$3)</f>
        <v>#DIV/0!</v>
      </c>
      <c r="W1365" s="1098" t="e">
        <f>IF($D$1212="",0,$D1365*Table3[[#This Row],[CF]]*chronic_consumption!$R165/1000/$C$3)</f>
        <v>#DIV/0!</v>
      </c>
      <c r="X1365" s="1098" t="e">
        <f>IF($D$1212="",0,$D1365*Table3[[#This Row],[CF]]*chronic_consumption!$S165/1000/$C$3)</f>
        <v>#DIV/0!</v>
      </c>
      <c r="Y1365" s="1098" t="e">
        <f>IF($D$1212="",0,$D1365*Table3[[#This Row],[CF]]*chronic_consumption!$T165/1000/$C$3)</f>
        <v>#DIV/0!</v>
      </c>
      <c r="Z1365" s="1098" t="e">
        <f>IF($D$1212="",0,$D1365*Table3[[#This Row],[CF]]*chronic_consumption!$U165/1000/$C$3)</f>
        <v>#DIV/0!</v>
      </c>
      <c r="AA1365" s="1098" t="e">
        <f>IF($D$1212="",0,$D1365*Table3[[#This Row],[CF]]*chronic_consumption!$V165/1000/$C$3)</f>
        <v>#DIV/0!</v>
      </c>
      <c r="AB1365" s="1098" t="e">
        <f>IF($D$1212="",0,$D1365*Table3[[#This Row],[CF]]*chronic_consumption!$W165/1000/$C$3)</f>
        <v>#DIV/0!</v>
      </c>
      <c r="AC1365" s="1098" t="e">
        <f>IF($D$1212="",0,$D1365*Table3[[#This Row],[CF]]*chronic_consumption!$X165/1000/$C$3)</f>
        <v>#DIV/0!</v>
      </c>
      <c r="AD1365" s="1098" t="e">
        <f>IF($D$1212="",0,$D1365*Table3[[#This Row],[CF]]*chronic_consumption!$Y165/1000/$C$3)</f>
        <v>#DIV/0!</v>
      </c>
      <c r="AE1365" s="1098" t="e">
        <f>IF($D$1212="",0,$D1365*Table3[[#This Row],[CF]]*chronic_consumption!$Z165/1000/$C$3)</f>
        <v>#DIV/0!</v>
      </c>
      <c r="AF1365" s="1098" t="e">
        <f>IF($D$1212="",0,$D1365*Table3[[#This Row],[CF]]*chronic_consumption!$AA165/1000/$C$3)</f>
        <v>#DIV/0!</v>
      </c>
      <c r="AG1365" s="1098" t="e">
        <f>IF($D$1212="",0,$D1365*Table3[[#This Row],[CF]]*chronic_consumption!$AB165/1000/$C$3)</f>
        <v>#DIV/0!</v>
      </c>
      <c r="AH1365" s="1098" t="e">
        <f>IF($D$1212="",0,$D1365*Table3[[#This Row],[CF]]*chronic_consumption!$AC165/1000/$C$3)</f>
        <v>#DIV/0!</v>
      </c>
      <c r="AI1365" s="1098" t="e">
        <f>IF($D$1212="",0,$D1365*Table3[[#This Row],[CF]]*chronic_consumption!$AD165/1000/$C$3)</f>
        <v>#DIV/0!</v>
      </c>
      <c r="AJ1365" s="1098" t="e">
        <f>IF($D$1212="",0,$D1365*Table3[[#This Row],[CF]]*chronic_consumption!$AE165/1000/$C$3)</f>
        <v>#DIV/0!</v>
      </c>
      <c r="AK1365" s="1098" t="e">
        <f>IF($D$1212="",0,$D1365*Table3[[#This Row],[CF]]*chronic_consumption!$AF165/1000/$C$3)</f>
        <v>#DIV/0!</v>
      </c>
      <c r="AL1365" s="1098" t="e">
        <f>IF($D$1212="",0,$D1365*Table3[[#This Row],[CF]]*chronic_consumption!$AG165/1000/$C$3)</f>
        <v>#DIV/0!</v>
      </c>
      <c r="AM1365" s="1098" t="e">
        <f>IF($D$1212="",0,$D1365*Table3[[#This Row],[CF]]*chronic_consumption!$AH165/1000/$C$3)</f>
        <v>#DIV/0!</v>
      </c>
      <c r="AN1365" s="1098" t="e">
        <f>IF($D$1212="",0,$D1365*Table3[[#This Row],[CF]]*chronic_consumption!$AI165/1000/$C$3)</f>
        <v>#DIV/0!</v>
      </c>
      <c r="AO1365" s="1098" t="e">
        <f>IF($D$1212="",0,$D1365*Table3[[#This Row],[CF]]*chronic_consumption!$AJ165/1000/$C$3)</f>
        <v>#DIV/0!</v>
      </c>
      <c r="AP1365" s="1098" t="e">
        <f>IF($D$1212="",0,$D1365*Table3[[#This Row],[CF]]*chronic_consumption!$AK165/1000/$C$3)</f>
        <v>#DIV/0!</v>
      </c>
      <c r="AQ1365" s="1098" t="e">
        <f>IF($D$1212="",0,$D1365*Table3[[#This Row],[CF]]*chronic_consumption!$AL165/1000/$C$3)</f>
        <v>#DIV/0!</v>
      </c>
      <c r="AR1365" s="1098" t="e">
        <f>IF($D$1212="",0,$D1365*Table3[[#This Row],[CF]]*chronic_consumption!$AM165/1000/$C$3)</f>
        <v>#DIV/0!</v>
      </c>
      <c r="AS1365" s="1098" t="e">
        <f>IF($D$1212="",0,$D1365*Table3[[#This Row],[CF]]*chronic_consumption!$AN165/1000/$C$3)</f>
        <v>#DIV/0!</v>
      </c>
      <c r="AT1365" s="1098" t="e">
        <f>IF($D$1212="",0,$D1365*Table3[[#This Row],[CF]]*chronic_consumption!$AO165/1000/$C$3)</f>
        <v>#DIV/0!</v>
      </c>
      <c r="AU1365" s="1099" t="e">
        <f t="shared" si="858"/>
        <v>#DIV/0!</v>
      </c>
      <c r="AV1365" s="1099" t="e">
        <f t="shared" si="858"/>
        <v>#DIV/0!</v>
      </c>
      <c r="AW1365" s="1099" t="e">
        <f t="shared" si="858"/>
        <v>#DIV/0!</v>
      </c>
      <c r="AX1365" s="1099" t="e">
        <f t="shared" si="858"/>
        <v>#DIV/0!</v>
      </c>
      <c r="AY1365" s="1099" t="e">
        <f t="shared" si="858"/>
        <v>#DIV/0!</v>
      </c>
      <c r="AZ1365" s="1091" t="s">
        <v>1012</v>
      </c>
      <c r="BA1365" s="1097" t="e">
        <f>IF(Table3[[#This Row],[max]]&lt;&gt;0,RANK(Table3[[#This Row],[max]],Table3[max],0),"")</f>
        <v>#DIV/0!</v>
      </c>
      <c r="BB1365" s="1096" t="e">
        <f t="shared" si="853"/>
        <v>#DIV/0!</v>
      </c>
      <c r="BC1365" s="1096" t="e">
        <f t="shared" ca="1" si="854"/>
        <v>#DIV/0!</v>
      </c>
      <c r="BD1365" s="1096" t="e">
        <f>IF(Table3[[#This Row],[max]]&gt;0,Table3[[#This Row],[Crop groups and examples of individual products within the groups to which the MRLs apply]],"")</f>
        <v>#DIV/0!</v>
      </c>
    </row>
    <row r="1366" spans="2:56" x14ac:dyDescent="0.2">
      <c r="B1366" s="26">
        <f t="shared" si="856"/>
        <v>251070</v>
      </c>
      <c r="C1366" s="23" t="str">
        <f t="shared" si="856"/>
        <v>Red mustards</v>
      </c>
      <c r="D1366" s="1084">
        <f>input_values!E166</f>
        <v>0</v>
      </c>
      <c r="E1366" s="1084">
        <f>input_values!F166</f>
        <v>0</v>
      </c>
      <c r="F1366" s="1085">
        <f>input_values!W166</f>
        <v>1</v>
      </c>
      <c r="G1366" s="1085" t="str">
        <f>IF(Table3[[#This Row],[CF]]&gt;0,CONCATENATE(IF(Table3[[#This Row],[LOQ]]="*","LOQ","MRL"),IF(input_values!G166&gt;0,"×CFrisk","")),"")</f>
        <v>MRL</v>
      </c>
      <c r="H1366" s="1087">
        <f>input_values!L166</f>
        <v>0</v>
      </c>
      <c r="I1366" s="1088">
        <f>input_values!D166</f>
        <v>0</v>
      </c>
      <c r="J1366" s="1098" t="e">
        <f>IF($D$1212="",0,$D1366*Table3[[#This Row],[CF]]*chronic_consumption!$E166/1000/$C$3)</f>
        <v>#DIV/0!</v>
      </c>
      <c r="K1366" s="1098" t="e">
        <f>IF($D$1212="",0,$D1366*Table3[[#This Row],[CF]]*chronic_consumption!$F166/1000/$C$3)</f>
        <v>#DIV/0!</v>
      </c>
      <c r="L1366" s="1098" t="e">
        <f>IF($D$1212="",0,$D1366*Table3[[#This Row],[CF]]*chronic_consumption!$G166/1000/$C$3)</f>
        <v>#DIV/0!</v>
      </c>
      <c r="M1366" s="1098" t="e">
        <f>IF($D$1212="",0,$D1366*Table3[[#This Row],[CF]]*chronic_consumption!$H166/1000/$C$3)</f>
        <v>#DIV/0!</v>
      </c>
      <c r="N1366" s="1098" t="e">
        <f>IF($D$1212="",0,$D1366*Table3[[#This Row],[CF]]*chronic_consumption!$I166/1000/$C$3)</f>
        <v>#DIV/0!</v>
      </c>
      <c r="O1366" s="1098" t="e">
        <f>IF($D$1212="",0,$D1366*Table3[[#This Row],[CF]]*chronic_consumption!$J166/1000/$C$3)</f>
        <v>#DIV/0!</v>
      </c>
      <c r="P1366" s="1098" t="e">
        <f>IF($D$1212="",0,$D1366*Table3[[#This Row],[CF]]*chronic_consumption!$K166/1000/$C$3)</f>
        <v>#DIV/0!</v>
      </c>
      <c r="Q1366" s="1098" t="e">
        <f>IF($D$1212="",0,$D1366*Table3[[#This Row],[CF]]*chronic_consumption!$L166/1000/$C$3)</f>
        <v>#DIV/0!</v>
      </c>
      <c r="R1366" s="1098" t="e">
        <f>IF($D$1212="",0,$D1366*Table3[[#This Row],[CF]]*chronic_consumption!$M166/1000/$C$3)</f>
        <v>#DIV/0!</v>
      </c>
      <c r="S1366" s="1098" t="e">
        <f>IF($D$1212="",0,$D1366*Table3[[#This Row],[CF]]*chronic_consumption!$N166/1000/$C$3)</f>
        <v>#DIV/0!</v>
      </c>
      <c r="T1366" s="1098" t="e">
        <f>IF($D$1212="",0,$D1366*Table3[[#This Row],[CF]]*chronic_consumption!$O166/1000/$C$3)</f>
        <v>#DIV/0!</v>
      </c>
      <c r="U1366" s="1098" t="e">
        <f>IF($D$1212="",0,$D1366*Table3[[#This Row],[CF]]*chronic_consumption!$P166/1000/$C$3)</f>
        <v>#DIV/0!</v>
      </c>
      <c r="V1366" s="1098" t="e">
        <f>IF($D$1212="",0,$D1366*Table3[[#This Row],[CF]]*chronic_consumption!$Q166/1000/$C$3)</f>
        <v>#DIV/0!</v>
      </c>
      <c r="W1366" s="1098" t="e">
        <f>IF($D$1212="",0,$D1366*Table3[[#This Row],[CF]]*chronic_consumption!$R166/1000/$C$3)</f>
        <v>#DIV/0!</v>
      </c>
      <c r="X1366" s="1098" t="e">
        <f>IF($D$1212="",0,$D1366*Table3[[#This Row],[CF]]*chronic_consumption!$S166/1000/$C$3)</f>
        <v>#DIV/0!</v>
      </c>
      <c r="Y1366" s="1098" t="e">
        <f>IF($D$1212="",0,$D1366*Table3[[#This Row],[CF]]*chronic_consumption!$T166/1000/$C$3)</f>
        <v>#DIV/0!</v>
      </c>
      <c r="Z1366" s="1098" t="e">
        <f>IF($D$1212="",0,$D1366*Table3[[#This Row],[CF]]*chronic_consumption!$U166/1000/$C$3)</f>
        <v>#DIV/0!</v>
      </c>
      <c r="AA1366" s="1098" t="e">
        <f>IF($D$1212="",0,$D1366*Table3[[#This Row],[CF]]*chronic_consumption!$V166/1000/$C$3)</f>
        <v>#DIV/0!</v>
      </c>
      <c r="AB1366" s="1098" t="e">
        <f>IF($D$1212="",0,$D1366*Table3[[#This Row],[CF]]*chronic_consumption!$W166/1000/$C$3)</f>
        <v>#DIV/0!</v>
      </c>
      <c r="AC1366" s="1098" t="e">
        <f>IF($D$1212="",0,$D1366*Table3[[#This Row],[CF]]*chronic_consumption!$X166/1000/$C$3)</f>
        <v>#DIV/0!</v>
      </c>
      <c r="AD1366" s="1098" t="e">
        <f>IF($D$1212="",0,$D1366*Table3[[#This Row],[CF]]*chronic_consumption!$Y166/1000/$C$3)</f>
        <v>#DIV/0!</v>
      </c>
      <c r="AE1366" s="1098" t="e">
        <f>IF($D$1212="",0,$D1366*Table3[[#This Row],[CF]]*chronic_consumption!$Z166/1000/$C$3)</f>
        <v>#DIV/0!</v>
      </c>
      <c r="AF1366" s="1098" t="e">
        <f>IF($D$1212="",0,$D1366*Table3[[#This Row],[CF]]*chronic_consumption!$AA166/1000/$C$3)</f>
        <v>#DIV/0!</v>
      </c>
      <c r="AG1366" s="1098" t="e">
        <f>IF($D$1212="",0,$D1366*Table3[[#This Row],[CF]]*chronic_consumption!$AB166/1000/$C$3)</f>
        <v>#DIV/0!</v>
      </c>
      <c r="AH1366" s="1098" t="e">
        <f>IF($D$1212="",0,$D1366*Table3[[#This Row],[CF]]*chronic_consumption!$AC166/1000/$C$3)</f>
        <v>#DIV/0!</v>
      </c>
      <c r="AI1366" s="1098" t="e">
        <f>IF($D$1212="",0,$D1366*Table3[[#This Row],[CF]]*chronic_consumption!$AD166/1000/$C$3)</f>
        <v>#DIV/0!</v>
      </c>
      <c r="AJ1366" s="1098" t="e">
        <f>IF($D$1212="",0,$D1366*Table3[[#This Row],[CF]]*chronic_consumption!$AE166/1000/$C$3)</f>
        <v>#DIV/0!</v>
      </c>
      <c r="AK1366" s="1098" t="e">
        <f>IF($D$1212="",0,$D1366*Table3[[#This Row],[CF]]*chronic_consumption!$AF166/1000/$C$3)</f>
        <v>#DIV/0!</v>
      </c>
      <c r="AL1366" s="1098" t="e">
        <f>IF($D$1212="",0,$D1366*Table3[[#This Row],[CF]]*chronic_consumption!$AG166/1000/$C$3)</f>
        <v>#DIV/0!</v>
      </c>
      <c r="AM1366" s="1098" t="e">
        <f>IF($D$1212="",0,$D1366*Table3[[#This Row],[CF]]*chronic_consumption!$AH166/1000/$C$3)</f>
        <v>#DIV/0!</v>
      </c>
      <c r="AN1366" s="1098" t="e">
        <f>IF($D$1212="",0,$D1366*Table3[[#This Row],[CF]]*chronic_consumption!$AI166/1000/$C$3)</f>
        <v>#DIV/0!</v>
      </c>
      <c r="AO1366" s="1098" t="e">
        <f>IF($D$1212="",0,$D1366*Table3[[#This Row],[CF]]*chronic_consumption!$AJ166/1000/$C$3)</f>
        <v>#DIV/0!</v>
      </c>
      <c r="AP1366" s="1098" t="e">
        <f>IF($D$1212="",0,$D1366*Table3[[#This Row],[CF]]*chronic_consumption!$AK166/1000/$C$3)</f>
        <v>#DIV/0!</v>
      </c>
      <c r="AQ1366" s="1098" t="e">
        <f>IF($D$1212="",0,$D1366*Table3[[#This Row],[CF]]*chronic_consumption!$AL166/1000/$C$3)</f>
        <v>#DIV/0!</v>
      </c>
      <c r="AR1366" s="1098" t="e">
        <f>IF($D$1212="",0,$D1366*Table3[[#This Row],[CF]]*chronic_consumption!$AM166/1000/$C$3)</f>
        <v>#DIV/0!</v>
      </c>
      <c r="AS1366" s="1098" t="e">
        <f>IF($D$1212="",0,$D1366*Table3[[#This Row],[CF]]*chronic_consumption!$AN166/1000/$C$3)</f>
        <v>#DIV/0!</v>
      </c>
      <c r="AT1366" s="1098" t="e">
        <f>IF($D$1212="",0,$D1366*Table3[[#This Row],[CF]]*chronic_consumption!$AO166/1000/$C$3)</f>
        <v>#DIV/0!</v>
      </c>
      <c r="AU1366" s="1099" t="e">
        <f t="shared" si="858"/>
        <v>#DIV/0!</v>
      </c>
      <c r="AV1366" s="1099" t="e">
        <f t="shared" si="858"/>
        <v>#DIV/0!</v>
      </c>
      <c r="AW1366" s="1099" t="e">
        <f t="shared" si="858"/>
        <v>#DIV/0!</v>
      </c>
      <c r="AX1366" s="1099" t="e">
        <f t="shared" si="858"/>
        <v>#DIV/0!</v>
      </c>
      <c r="AY1366" s="1099" t="e">
        <f t="shared" si="858"/>
        <v>#DIV/0!</v>
      </c>
      <c r="AZ1366" s="1091" t="s">
        <v>1012</v>
      </c>
      <c r="BA1366" s="1097" t="e">
        <f>IF(Table3[[#This Row],[max]]&lt;&gt;0,RANK(Table3[[#This Row],[max]],Table3[max],0),"")</f>
        <v>#DIV/0!</v>
      </c>
      <c r="BB1366" s="1096" t="e">
        <f t="shared" si="853"/>
        <v>#DIV/0!</v>
      </c>
      <c r="BC1366" s="1096" t="e">
        <f t="shared" ca="1" si="854"/>
        <v>#DIV/0!</v>
      </c>
      <c r="BD1366" s="1096" t="e">
        <f>IF(Table3[[#This Row],[max]]&gt;0,Table3[[#This Row],[Crop groups and examples of individual products within the groups to which the MRLs apply]],"")</f>
        <v>#DIV/0!</v>
      </c>
    </row>
    <row r="1367" spans="2:56" x14ac:dyDescent="0.2">
      <c r="B1367" s="26">
        <f t="shared" si="856"/>
        <v>251080</v>
      </c>
      <c r="C1367" s="23" t="str">
        <f t="shared" si="856"/>
        <v>Baby leaf crops (including brassica species)</v>
      </c>
      <c r="D1367" s="1084">
        <f>input_values!E167</f>
        <v>0</v>
      </c>
      <c r="E1367" s="1084">
        <f>input_values!F167</f>
        <v>0</v>
      </c>
      <c r="F1367" s="1085">
        <f>input_values!W167</f>
        <v>1</v>
      </c>
      <c r="G1367" s="1085" t="str">
        <f>IF(Table3[[#This Row],[CF]]&gt;0,CONCATENATE(IF(Table3[[#This Row],[LOQ]]="*","LOQ","MRL"),IF(input_values!G167&gt;0,"×CFrisk","")),"")</f>
        <v>MRL</v>
      </c>
      <c r="H1367" s="1087">
        <f>input_values!L167</f>
        <v>0</v>
      </c>
      <c r="I1367" s="1088">
        <f>input_values!D167</f>
        <v>0</v>
      </c>
      <c r="J1367" s="1098" t="e">
        <f>IF($D$1212="",0,$D1367*Table3[[#This Row],[CF]]*chronic_consumption!$E167/1000/$C$3)</f>
        <v>#DIV/0!</v>
      </c>
      <c r="K1367" s="1098" t="e">
        <f>IF($D$1212="",0,$D1367*Table3[[#This Row],[CF]]*chronic_consumption!$F167/1000/$C$3)</f>
        <v>#DIV/0!</v>
      </c>
      <c r="L1367" s="1098" t="e">
        <f>IF($D$1212="",0,$D1367*Table3[[#This Row],[CF]]*chronic_consumption!$G167/1000/$C$3)</f>
        <v>#DIV/0!</v>
      </c>
      <c r="M1367" s="1098" t="e">
        <f>IF($D$1212="",0,$D1367*Table3[[#This Row],[CF]]*chronic_consumption!$H167/1000/$C$3)</f>
        <v>#DIV/0!</v>
      </c>
      <c r="N1367" s="1098" t="e">
        <f>IF($D$1212="",0,$D1367*Table3[[#This Row],[CF]]*chronic_consumption!$I167/1000/$C$3)</f>
        <v>#DIV/0!</v>
      </c>
      <c r="O1367" s="1098" t="e">
        <f>IF($D$1212="",0,$D1367*Table3[[#This Row],[CF]]*chronic_consumption!$J167/1000/$C$3)</f>
        <v>#DIV/0!</v>
      </c>
      <c r="P1367" s="1098" t="e">
        <f>IF($D$1212="",0,$D1367*Table3[[#This Row],[CF]]*chronic_consumption!$K167/1000/$C$3)</f>
        <v>#DIV/0!</v>
      </c>
      <c r="Q1367" s="1098" t="e">
        <f>IF($D$1212="",0,$D1367*Table3[[#This Row],[CF]]*chronic_consumption!$L167/1000/$C$3)</f>
        <v>#DIV/0!</v>
      </c>
      <c r="R1367" s="1098" t="e">
        <f>IF($D$1212="",0,$D1367*Table3[[#This Row],[CF]]*chronic_consumption!$M167/1000/$C$3)</f>
        <v>#DIV/0!</v>
      </c>
      <c r="S1367" s="1098" t="e">
        <f>IF($D$1212="",0,$D1367*Table3[[#This Row],[CF]]*chronic_consumption!$N167/1000/$C$3)</f>
        <v>#DIV/0!</v>
      </c>
      <c r="T1367" s="1098" t="e">
        <f>IF($D$1212="",0,$D1367*Table3[[#This Row],[CF]]*chronic_consumption!$O167/1000/$C$3)</f>
        <v>#DIV/0!</v>
      </c>
      <c r="U1367" s="1098" t="e">
        <f>IF($D$1212="",0,$D1367*Table3[[#This Row],[CF]]*chronic_consumption!$P167/1000/$C$3)</f>
        <v>#DIV/0!</v>
      </c>
      <c r="V1367" s="1098" t="e">
        <f>IF($D$1212="",0,$D1367*Table3[[#This Row],[CF]]*chronic_consumption!$Q167/1000/$C$3)</f>
        <v>#DIV/0!</v>
      </c>
      <c r="W1367" s="1098" t="e">
        <f>IF($D$1212="",0,$D1367*Table3[[#This Row],[CF]]*chronic_consumption!$R167/1000/$C$3)</f>
        <v>#DIV/0!</v>
      </c>
      <c r="X1367" s="1098" t="e">
        <f>IF($D$1212="",0,$D1367*Table3[[#This Row],[CF]]*chronic_consumption!$S167/1000/$C$3)</f>
        <v>#DIV/0!</v>
      </c>
      <c r="Y1367" s="1098" t="e">
        <f>IF($D$1212="",0,$D1367*Table3[[#This Row],[CF]]*chronic_consumption!$T167/1000/$C$3)</f>
        <v>#DIV/0!</v>
      </c>
      <c r="Z1367" s="1098" t="e">
        <f>IF($D$1212="",0,$D1367*Table3[[#This Row],[CF]]*chronic_consumption!$U167/1000/$C$3)</f>
        <v>#DIV/0!</v>
      </c>
      <c r="AA1367" s="1098" t="e">
        <f>IF($D$1212="",0,$D1367*Table3[[#This Row],[CF]]*chronic_consumption!$V167/1000/$C$3)</f>
        <v>#DIV/0!</v>
      </c>
      <c r="AB1367" s="1098" t="e">
        <f>IF($D$1212="",0,$D1367*Table3[[#This Row],[CF]]*chronic_consumption!$W167/1000/$C$3)</f>
        <v>#DIV/0!</v>
      </c>
      <c r="AC1367" s="1098" t="e">
        <f>IF($D$1212="",0,$D1367*Table3[[#This Row],[CF]]*chronic_consumption!$X167/1000/$C$3)</f>
        <v>#DIV/0!</v>
      </c>
      <c r="AD1367" s="1098" t="e">
        <f>IF($D$1212="",0,$D1367*Table3[[#This Row],[CF]]*chronic_consumption!$Y167/1000/$C$3)</f>
        <v>#DIV/0!</v>
      </c>
      <c r="AE1367" s="1098" t="e">
        <f>IF($D$1212="",0,$D1367*Table3[[#This Row],[CF]]*chronic_consumption!$Z167/1000/$C$3)</f>
        <v>#DIV/0!</v>
      </c>
      <c r="AF1367" s="1098" t="e">
        <f>IF($D$1212="",0,$D1367*Table3[[#This Row],[CF]]*chronic_consumption!$AA167/1000/$C$3)</f>
        <v>#DIV/0!</v>
      </c>
      <c r="AG1367" s="1098" t="e">
        <f>IF($D$1212="",0,$D1367*Table3[[#This Row],[CF]]*chronic_consumption!$AB167/1000/$C$3)</f>
        <v>#DIV/0!</v>
      </c>
      <c r="AH1367" s="1098" t="e">
        <f>IF($D$1212="",0,$D1367*Table3[[#This Row],[CF]]*chronic_consumption!$AC167/1000/$C$3)</f>
        <v>#DIV/0!</v>
      </c>
      <c r="AI1367" s="1098" t="e">
        <f>IF($D$1212="",0,$D1367*Table3[[#This Row],[CF]]*chronic_consumption!$AD167/1000/$C$3)</f>
        <v>#DIV/0!</v>
      </c>
      <c r="AJ1367" s="1098" t="e">
        <f>IF($D$1212="",0,$D1367*Table3[[#This Row],[CF]]*chronic_consumption!$AE167/1000/$C$3)</f>
        <v>#DIV/0!</v>
      </c>
      <c r="AK1367" s="1098" t="e">
        <f>IF($D$1212="",0,$D1367*Table3[[#This Row],[CF]]*chronic_consumption!$AF167/1000/$C$3)</f>
        <v>#DIV/0!</v>
      </c>
      <c r="AL1367" s="1098" t="e">
        <f>IF($D$1212="",0,$D1367*Table3[[#This Row],[CF]]*chronic_consumption!$AG167/1000/$C$3)</f>
        <v>#DIV/0!</v>
      </c>
      <c r="AM1367" s="1098" t="e">
        <f>IF($D$1212="",0,$D1367*Table3[[#This Row],[CF]]*chronic_consumption!$AH167/1000/$C$3)</f>
        <v>#DIV/0!</v>
      </c>
      <c r="AN1367" s="1098" t="e">
        <f>IF($D$1212="",0,$D1367*Table3[[#This Row],[CF]]*chronic_consumption!$AI167/1000/$C$3)</f>
        <v>#DIV/0!</v>
      </c>
      <c r="AO1367" s="1098" t="e">
        <f>IF($D$1212="",0,$D1367*Table3[[#This Row],[CF]]*chronic_consumption!$AJ167/1000/$C$3)</f>
        <v>#DIV/0!</v>
      </c>
      <c r="AP1367" s="1098" t="e">
        <f>IF($D$1212="",0,$D1367*Table3[[#This Row],[CF]]*chronic_consumption!$AK167/1000/$C$3)</f>
        <v>#DIV/0!</v>
      </c>
      <c r="AQ1367" s="1098" t="e">
        <f>IF($D$1212="",0,$D1367*Table3[[#This Row],[CF]]*chronic_consumption!$AL167/1000/$C$3)</f>
        <v>#DIV/0!</v>
      </c>
      <c r="AR1367" s="1098" t="e">
        <f>IF($D$1212="",0,$D1367*Table3[[#This Row],[CF]]*chronic_consumption!$AM167/1000/$C$3)</f>
        <v>#DIV/0!</v>
      </c>
      <c r="AS1367" s="1098" t="e">
        <f>IF($D$1212="",0,$D1367*Table3[[#This Row],[CF]]*chronic_consumption!$AN167/1000/$C$3)</f>
        <v>#DIV/0!</v>
      </c>
      <c r="AT1367" s="1098" t="e">
        <f>IF($D$1212="",0,$D1367*Table3[[#This Row],[CF]]*chronic_consumption!$AO167/1000/$C$3)</f>
        <v>#DIV/0!</v>
      </c>
      <c r="AU1367" s="1099" t="e">
        <f t="shared" si="858"/>
        <v>#DIV/0!</v>
      </c>
      <c r="AV1367" s="1099" t="e">
        <f t="shared" si="858"/>
        <v>#DIV/0!</v>
      </c>
      <c r="AW1367" s="1099" t="e">
        <f t="shared" si="858"/>
        <v>#DIV/0!</v>
      </c>
      <c r="AX1367" s="1099" t="e">
        <f t="shared" si="858"/>
        <v>#DIV/0!</v>
      </c>
      <c r="AY1367" s="1099" t="e">
        <f t="shared" si="858"/>
        <v>#DIV/0!</v>
      </c>
      <c r="AZ1367" s="1091" t="s">
        <v>1012</v>
      </c>
      <c r="BA1367" s="1097" t="e">
        <f>IF(Table3[[#This Row],[max]]&lt;&gt;0,RANK(Table3[[#This Row],[max]],Table3[max],0),"")</f>
        <v>#DIV/0!</v>
      </c>
      <c r="BB1367" s="1096" t="e">
        <f t="shared" si="853"/>
        <v>#DIV/0!</v>
      </c>
      <c r="BC1367" s="1096" t="e">
        <f t="shared" ca="1" si="854"/>
        <v>#DIV/0!</v>
      </c>
      <c r="BD1367" s="1096" t="e">
        <f>IF(Table3[[#This Row],[max]]&gt;0,Table3[[#This Row],[Crop groups and examples of individual products within the groups to which the MRLs apply]],"")</f>
        <v>#DIV/0!</v>
      </c>
    </row>
    <row r="1368" spans="2:56" x14ac:dyDescent="0.2">
      <c r="B1368" s="23">
        <f t="shared" si="856"/>
        <v>251990</v>
      </c>
      <c r="C1368" s="23" t="str">
        <f t="shared" si="856"/>
        <v>Other lettuce and other salad plants</v>
      </c>
      <c r="D1368" s="1084">
        <f>input_values!E168</f>
        <v>0</v>
      </c>
      <c r="E1368" s="1084">
        <f>input_values!F168</f>
        <v>0</v>
      </c>
      <c r="F1368" s="1085">
        <f>input_values!W168</f>
        <v>1</v>
      </c>
      <c r="G1368" s="1085" t="str">
        <f>IF(Table3[[#This Row],[CF]]&gt;0,CONCATENATE(IF(Table3[[#This Row],[LOQ]]="*","LOQ","MRL"),IF(input_values!G168&gt;0,"×CFrisk","")),"")</f>
        <v>MRL</v>
      </c>
      <c r="H1368" s="1087">
        <f>input_values!L168</f>
        <v>0</v>
      </c>
      <c r="I1368" s="1088">
        <f>input_values!D168</f>
        <v>0</v>
      </c>
      <c r="J1368" s="1098" t="e">
        <f>IF($D$1212="",0,$D1368*Table3[[#This Row],[CF]]*chronic_consumption!$E168/1000/$C$3)</f>
        <v>#DIV/0!</v>
      </c>
      <c r="K1368" s="1098" t="e">
        <f>IF($D$1212="",0,$D1368*Table3[[#This Row],[CF]]*chronic_consumption!$F168/1000/$C$3)</f>
        <v>#DIV/0!</v>
      </c>
      <c r="L1368" s="1098" t="e">
        <f>IF($D$1212="",0,$D1368*Table3[[#This Row],[CF]]*chronic_consumption!$G168/1000/$C$3)</f>
        <v>#DIV/0!</v>
      </c>
      <c r="M1368" s="1098" t="e">
        <f>IF($D$1212="",0,$D1368*Table3[[#This Row],[CF]]*chronic_consumption!$H168/1000/$C$3)</f>
        <v>#DIV/0!</v>
      </c>
      <c r="N1368" s="1098" t="e">
        <f>IF($D$1212="",0,$D1368*Table3[[#This Row],[CF]]*chronic_consumption!$I168/1000/$C$3)</f>
        <v>#DIV/0!</v>
      </c>
      <c r="O1368" s="1098" t="e">
        <f>IF($D$1212="",0,$D1368*Table3[[#This Row],[CF]]*chronic_consumption!$J168/1000/$C$3)</f>
        <v>#DIV/0!</v>
      </c>
      <c r="P1368" s="1098" t="e">
        <f>IF($D$1212="",0,$D1368*Table3[[#This Row],[CF]]*chronic_consumption!$K168/1000/$C$3)</f>
        <v>#DIV/0!</v>
      </c>
      <c r="Q1368" s="1098" t="e">
        <f>IF($D$1212="",0,$D1368*Table3[[#This Row],[CF]]*chronic_consumption!$L168/1000/$C$3)</f>
        <v>#DIV/0!</v>
      </c>
      <c r="R1368" s="1098" t="e">
        <f>IF($D$1212="",0,$D1368*Table3[[#This Row],[CF]]*chronic_consumption!$M168/1000/$C$3)</f>
        <v>#DIV/0!</v>
      </c>
      <c r="S1368" s="1098" t="e">
        <f>IF($D$1212="",0,$D1368*Table3[[#This Row],[CF]]*chronic_consumption!$N168/1000/$C$3)</f>
        <v>#DIV/0!</v>
      </c>
      <c r="T1368" s="1098" t="e">
        <f>IF($D$1212="",0,$D1368*Table3[[#This Row],[CF]]*chronic_consumption!$O168/1000/$C$3)</f>
        <v>#DIV/0!</v>
      </c>
      <c r="U1368" s="1098" t="e">
        <f>IF($D$1212="",0,$D1368*Table3[[#This Row],[CF]]*chronic_consumption!$P168/1000/$C$3)</f>
        <v>#DIV/0!</v>
      </c>
      <c r="V1368" s="1098" t="e">
        <f>IF($D$1212="",0,$D1368*Table3[[#This Row],[CF]]*chronic_consumption!$Q168/1000/$C$3)</f>
        <v>#DIV/0!</v>
      </c>
      <c r="W1368" s="1098" t="e">
        <f>IF($D$1212="",0,$D1368*Table3[[#This Row],[CF]]*chronic_consumption!$R168/1000/$C$3)</f>
        <v>#DIV/0!</v>
      </c>
      <c r="X1368" s="1098" t="e">
        <f>IF($D$1212="",0,$D1368*Table3[[#This Row],[CF]]*chronic_consumption!$S168/1000/$C$3)</f>
        <v>#DIV/0!</v>
      </c>
      <c r="Y1368" s="1098" t="e">
        <f>IF($D$1212="",0,$D1368*Table3[[#This Row],[CF]]*chronic_consumption!$T168/1000/$C$3)</f>
        <v>#DIV/0!</v>
      </c>
      <c r="Z1368" s="1098" t="e">
        <f>IF($D$1212="",0,$D1368*Table3[[#This Row],[CF]]*chronic_consumption!$U168/1000/$C$3)</f>
        <v>#DIV/0!</v>
      </c>
      <c r="AA1368" s="1098" t="e">
        <f>IF($D$1212="",0,$D1368*Table3[[#This Row],[CF]]*chronic_consumption!$V168/1000/$C$3)</f>
        <v>#DIV/0!</v>
      </c>
      <c r="AB1368" s="1098" t="e">
        <f>IF($D$1212="",0,$D1368*Table3[[#This Row],[CF]]*chronic_consumption!$W168/1000/$C$3)</f>
        <v>#DIV/0!</v>
      </c>
      <c r="AC1368" s="1098" t="e">
        <f>IF($D$1212="",0,$D1368*Table3[[#This Row],[CF]]*chronic_consumption!$X168/1000/$C$3)</f>
        <v>#DIV/0!</v>
      </c>
      <c r="AD1368" s="1098" t="e">
        <f>IF($D$1212="",0,$D1368*Table3[[#This Row],[CF]]*chronic_consumption!$Y168/1000/$C$3)</f>
        <v>#DIV/0!</v>
      </c>
      <c r="AE1368" s="1098" t="e">
        <f>IF($D$1212="",0,$D1368*Table3[[#This Row],[CF]]*chronic_consumption!$Z168/1000/$C$3)</f>
        <v>#DIV/0!</v>
      </c>
      <c r="AF1368" s="1098" t="e">
        <f>IF($D$1212="",0,$D1368*Table3[[#This Row],[CF]]*chronic_consumption!$AA168/1000/$C$3)</f>
        <v>#DIV/0!</v>
      </c>
      <c r="AG1368" s="1098" t="e">
        <f>IF($D$1212="",0,$D1368*Table3[[#This Row],[CF]]*chronic_consumption!$AB168/1000/$C$3)</f>
        <v>#DIV/0!</v>
      </c>
      <c r="AH1368" s="1098" t="e">
        <f>IF($D$1212="",0,$D1368*Table3[[#This Row],[CF]]*chronic_consumption!$AC168/1000/$C$3)</f>
        <v>#DIV/0!</v>
      </c>
      <c r="AI1368" s="1098" t="e">
        <f>IF($D$1212="",0,$D1368*Table3[[#This Row],[CF]]*chronic_consumption!$AD168/1000/$C$3)</f>
        <v>#DIV/0!</v>
      </c>
      <c r="AJ1368" s="1098" t="e">
        <f>IF($D$1212="",0,$D1368*Table3[[#This Row],[CF]]*chronic_consumption!$AE168/1000/$C$3)</f>
        <v>#DIV/0!</v>
      </c>
      <c r="AK1368" s="1098" t="e">
        <f>IF($D$1212="",0,$D1368*Table3[[#This Row],[CF]]*chronic_consumption!$AF168/1000/$C$3)</f>
        <v>#DIV/0!</v>
      </c>
      <c r="AL1368" s="1098" t="e">
        <f>IF($D$1212="",0,$D1368*Table3[[#This Row],[CF]]*chronic_consumption!$AG168/1000/$C$3)</f>
        <v>#DIV/0!</v>
      </c>
      <c r="AM1368" s="1098" t="e">
        <f>IF($D$1212="",0,$D1368*Table3[[#This Row],[CF]]*chronic_consumption!$AH168/1000/$C$3)</f>
        <v>#DIV/0!</v>
      </c>
      <c r="AN1368" s="1098" t="e">
        <f>IF($D$1212="",0,$D1368*Table3[[#This Row],[CF]]*chronic_consumption!$AI168/1000/$C$3)</f>
        <v>#DIV/0!</v>
      </c>
      <c r="AO1368" s="1098" t="e">
        <f>IF($D$1212="",0,$D1368*Table3[[#This Row],[CF]]*chronic_consumption!$AJ168/1000/$C$3)</f>
        <v>#DIV/0!</v>
      </c>
      <c r="AP1368" s="1098" t="e">
        <f>IF($D$1212="",0,$D1368*Table3[[#This Row],[CF]]*chronic_consumption!$AK168/1000/$C$3)</f>
        <v>#DIV/0!</v>
      </c>
      <c r="AQ1368" s="1098" t="e">
        <f>IF($D$1212="",0,$D1368*Table3[[#This Row],[CF]]*chronic_consumption!$AL168/1000/$C$3)</f>
        <v>#DIV/0!</v>
      </c>
      <c r="AR1368" s="1098" t="e">
        <f>IF($D$1212="",0,$D1368*Table3[[#This Row],[CF]]*chronic_consumption!$AM168/1000/$C$3)</f>
        <v>#DIV/0!</v>
      </c>
      <c r="AS1368" s="1098" t="e">
        <f>IF($D$1212="",0,$D1368*Table3[[#This Row],[CF]]*chronic_consumption!$AN168/1000/$C$3)</f>
        <v>#DIV/0!</v>
      </c>
      <c r="AT1368" s="1098" t="e">
        <f>IF($D$1212="",0,$D1368*Table3[[#This Row],[CF]]*chronic_consumption!$AO168/1000/$C$3)</f>
        <v>#DIV/0!</v>
      </c>
      <c r="AU1368" s="1099" t="e">
        <f t="shared" si="858"/>
        <v>#DIV/0!</v>
      </c>
      <c r="AV1368" s="1099" t="e">
        <f t="shared" si="858"/>
        <v>#DIV/0!</v>
      </c>
      <c r="AW1368" s="1099" t="e">
        <f t="shared" si="858"/>
        <v>#DIV/0!</v>
      </c>
      <c r="AX1368" s="1099" t="e">
        <f t="shared" si="858"/>
        <v>#DIV/0!</v>
      </c>
      <c r="AY1368" s="1099" t="e">
        <f t="shared" si="858"/>
        <v>#DIV/0!</v>
      </c>
      <c r="AZ1368" s="1091" t="s">
        <v>1012</v>
      </c>
      <c r="BA1368" s="1097" t="e">
        <f>IF(Table3[[#This Row],[max]]&lt;&gt;0,RANK(Table3[[#This Row],[max]],Table3[max],0),"")</f>
        <v>#DIV/0!</v>
      </c>
      <c r="BB1368" s="1096" t="e">
        <f t="shared" si="853"/>
        <v>#DIV/0!</v>
      </c>
      <c r="BC1368" s="1096" t="e">
        <f t="shared" ca="1" si="854"/>
        <v>#DIV/0!</v>
      </c>
      <c r="BD1368" s="1096" t="e">
        <f>IF(Table3[[#This Row],[max]]&gt;0,Table3[[#This Row],[Crop groups and examples of individual products within the groups to which the MRLs apply]],"")</f>
        <v>#DIV/0!</v>
      </c>
    </row>
    <row r="1369" spans="2:56" x14ac:dyDescent="0.2">
      <c r="B1369" s="3">
        <f t="shared" si="856"/>
        <v>252000</v>
      </c>
      <c r="C1369" s="3" t="str">
        <f t="shared" si="856"/>
        <v>Spinach &amp; similar (leaves)</v>
      </c>
      <c r="D1369" s="1084">
        <f>input_values!E169</f>
        <v>0</v>
      </c>
      <c r="E1369" s="1084">
        <f>input_values!F169</f>
        <v>0</v>
      </c>
      <c r="F1369" s="1085">
        <f>input_values!W169</f>
        <v>0</v>
      </c>
      <c r="G1369" s="1085" t="str">
        <f>IF(Table3[[#This Row],[CF]]&gt;0,CONCATENATE(IF(Table3[[#This Row],[LOQ]]="*","LOQ","MRL"),IF(input_values!G169&gt;0,"×CFrisk","")),"")</f>
        <v/>
      </c>
      <c r="H1369" s="1087">
        <f>input_values!L169</f>
        <v>0</v>
      </c>
      <c r="I1369" s="1088">
        <f>input_values!D169</f>
        <v>0</v>
      </c>
      <c r="J1369" s="1100" t="e">
        <f>IF($D$1212="",0,$D1369*Table3[[#This Row],[CF]]*chronic_consumption!$E169/1000/$C$3)</f>
        <v>#DIV/0!</v>
      </c>
      <c r="K1369" s="1100" t="e">
        <f>IF($D$1212="",0,$D1369*Table3[[#This Row],[CF]]*chronic_consumption!$F169/1000/$C$3)</f>
        <v>#DIV/0!</v>
      </c>
      <c r="L1369" s="1100" t="e">
        <f>IF($D$1212="",0,$D1369*Table3[[#This Row],[CF]]*chronic_consumption!$G169/1000/$C$3)</f>
        <v>#DIV/0!</v>
      </c>
      <c r="M1369" s="1100" t="e">
        <f>IF($D$1212="",0,$D1369*Table3[[#This Row],[CF]]*chronic_consumption!$H169/1000/$C$3)</f>
        <v>#DIV/0!</v>
      </c>
      <c r="N1369" s="1100" t="e">
        <f>IF($D$1212="",0,$D1369*Table3[[#This Row],[CF]]*chronic_consumption!$I169/1000/$C$3)</f>
        <v>#DIV/0!</v>
      </c>
      <c r="O1369" s="1100" t="e">
        <f>IF($D$1212="",0,$D1369*Table3[[#This Row],[CF]]*chronic_consumption!$J169/1000/$C$3)</f>
        <v>#DIV/0!</v>
      </c>
      <c r="P1369" s="1100" t="e">
        <f>IF($D$1212="",0,$D1369*Table3[[#This Row],[CF]]*chronic_consumption!$K169/1000/$C$3)</f>
        <v>#DIV/0!</v>
      </c>
      <c r="Q1369" s="1100" t="e">
        <f>IF($D$1212="",0,$D1369*Table3[[#This Row],[CF]]*chronic_consumption!$L169/1000/$C$3)</f>
        <v>#DIV/0!</v>
      </c>
      <c r="R1369" s="1100" t="e">
        <f>IF($D$1212="",0,$D1369*Table3[[#This Row],[CF]]*chronic_consumption!$M169/1000/$C$3)</f>
        <v>#DIV/0!</v>
      </c>
      <c r="S1369" s="1100" t="e">
        <f>IF($D$1212="",0,$D1369*Table3[[#This Row],[CF]]*chronic_consumption!$N169/1000/$C$3)</f>
        <v>#DIV/0!</v>
      </c>
      <c r="T1369" s="1100" t="e">
        <f>IF($D$1212="",0,$D1369*Table3[[#This Row],[CF]]*chronic_consumption!$O169/1000/$C$3)</f>
        <v>#DIV/0!</v>
      </c>
      <c r="U1369" s="1100" t="e">
        <f>IF($D$1212="",0,$D1369*Table3[[#This Row],[CF]]*chronic_consumption!$P169/1000/$C$3)</f>
        <v>#DIV/0!</v>
      </c>
      <c r="V1369" s="1100" t="e">
        <f>IF($D$1212="",0,$D1369*Table3[[#This Row],[CF]]*chronic_consumption!$Q169/1000/$C$3)</f>
        <v>#DIV/0!</v>
      </c>
      <c r="W1369" s="1100" t="e">
        <f>IF($D$1212="",0,$D1369*Table3[[#This Row],[CF]]*chronic_consumption!$R169/1000/$C$3)</f>
        <v>#DIV/0!</v>
      </c>
      <c r="X1369" s="1100" t="e">
        <f>IF($D$1212="",0,$D1369*Table3[[#This Row],[CF]]*chronic_consumption!$S169/1000/$C$3)</f>
        <v>#DIV/0!</v>
      </c>
      <c r="Y1369" s="1100" t="e">
        <f>IF($D$1212="",0,$D1369*Table3[[#This Row],[CF]]*chronic_consumption!$T169/1000/$C$3)</f>
        <v>#DIV/0!</v>
      </c>
      <c r="Z1369" s="1100" t="e">
        <f>IF($D$1212="",0,$D1369*Table3[[#This Row],[CF]]*chronic_consumption!$U169/1000/$C$3)</f>
        <v>#DIV/0!</v>
      </c>
      <c r="AA1369" s="1100" t="e">
        <f>IF($D$1212="",0,$D1369*Table3[[#This Row],[CF]]*chronic_consumption!$V169/1000/$C$3)</f>
        <v>#DIV/0!</v>
      </c>
      <c r="AB1369" s="1100" t="e">
        <f>IF($D$1212="",0,$D1369*Table3[[#This Row],[CF]]*chronic_consumption!$W169/1000/$C$3)</f>
        <v>#DIV/0!</v>
      </c>
      <c r="AC1369" s="1100" t="e">
        <f>IF($D$1212="",0,$D1369*Table3[[#This Row],[CF]]*chronic_consumption!$X169/1000/$C$3)</f>
        <v>#DIV/0!</v>
      </c>
      <c r="AD1369" s="1100" t="e">
        <f>IF($D$1212="",0,$D1369*Table3[[#This Row],[CF]]*chronic_consumption!$Y169/1000/$C$3)</f>
        <v>#DIV/0!</v>
      </c>
      <c r="AE1369" s="1100" t="e">
        <f>IF($D$1212="",0,$D1369*Table3[[#This Row],[CF]]*chronic_consumption!$Z169/1000/$C$3)</f>
        <v>#DIV/0!</v>
      </c>
      <c r="AF1369" s="1100" t="e">
        <f>IF($D$1212="",0,$D1369*Table3[[#This Row],[CF]]*chronic_consumption!$AA169/1000/$C$3)</f>
        <v>#DIV/0!</v>
      </c>
      <c r="AG1369" s="1100" t="e">
        <f>IF($D$1212="",0,$D1369*Table3[[#This Row],[CF]]*chronic_consumption!$AB169/1000/$C$3)</f>
        <v>#DIV/0!</v>
      </c>
      <c r="AH1369" s="1100" t="e">
        <f>IF($D$1212="",0,$D1369*Table3[[#This Row],[CF]]*chronic_consumption!$AC169/1000/$C$3)</f>
        <v>#DIV/0!</v>
      </c>
      <c r="AI1369" s="1100" t="e">
        <f>IF($D$1212="",0,$D1369*Table3[[#This Row],[CF]]*chronic_consumption!$AD169/1000/$C$3)</f>
        <v>#DIV/0!</v>
      </c>
      <c r="AJ1369" s="1100" t="e">
        <f>IF($D$1212="",0,$D1369*Table3[[#This Row],[CF]]*chronic_consumption!$AE169/1000/$C$3)</f>
        <v>#DIV/0!</v>
      </c>
      <c r="AK1369" s="1100" t="e">
        <f>IF($D$1212="",0,$D1369*Table3[[#This Row],[CF]]*chronic_consumption!$AF169/1000/$C$3)</f>
        <v>#DIV/0!</v>
      </c>
      <c r="AL1369" s="1100" t="e">
        <f>IF($D$1212="",0,$D1369*Table3[[#This Row],[CF]]*chronic_consumption!$AG169/1000/$C$3)</f>
        <v>#DIV/0!</v>
      </c>
      <c r="AM1369" s="1100" t="e">
        <f>IF($D$1212="",0,$D1369*Table3[[#This Row],[CF]]*chronic_consumption!$AH169/1000/$C$3)</f>
        <v>#DIV/0!</v>
      </c>
      <c r="AN1369" s="1100" t="e">
        <f>IF($D$1212="",0,$D1369*Table3[[#This Row],[CF]]*chronic_consumption!$AI169/1000/$C$3)</f>
        <v>#DIV/0!</v>
      </c>
      <c r="AO1369" s="1100" t="e">
        <f>IF($D$1212="",0,$D1369*Table3[[#This Row],[CF]]*chronic_consumption!$AJ169/1000/$C$3)</f>
        <v>#DIV/0!</v>
      </c>
      <c r="AP1369" s="1100" t="e">
        <f>IF($D$1212="",0,$D1369*Table3[[#This Row],[CF]]*chronic_consumption!$AK169/1000/$C$3)</f>
        <v>#DIV/0!</v>
      </c>
      <c r="AQ1369" s="1100" t="e">
        <f>IF($D$1212="",0,$D1369*Table3[[#This Row],[CF]]*chronic_consumption!$AL169/1000/$C$3)</f>
        <v>#DIV/0!</v>
      </c>
      <c r="AR1369" s="1100" t="e">
        <f>IF($D$1212="",0,$D1369*Table3[[#This Row],[CF]]*chronic_consumption!$AM169/1000/$C$3)</f>
        <v>#DIV/0!</v>
      </c>
      <c r="AS1369" s="1100" t="e">
        <f>IF($D$1212="",0,$D1369*Table3[[#This Row],[CF]]*chronic_consumption!$AN169/1000/$C$3)</f>
        <v>#DIV/0!</v>
      </c>
      <c r="AT1369" s="1100" t="e">
        <f>IF($D$1212="",0,$D1369*Table3[[#This Row],[CF]]*chronic_consumption!$AO169/1000/$C$3)</f>
        <v>#DIV/0!</v>
      </c>
      <c r="AU1369" s="1101" t="e">
        <f t="shared" si="858"/>
        <v>#DIV/0!</v>
      </c>
      <c r="AV1369" s="1101" t="e">
        <f t="shared" si="858"/>
        <v>#DIV/0!</v>
      </c>
      <c r="AW1369" s="1101" t="e">
        <f t="shared" si="858"/>
        <v>#DIV/0!</v>
      </c>
      <c r="AX1369" s="1101" t="e">
        <f t="shared" si="858"/>
        <v>#DIV/0!</v>
      </c>
      <c r="AY1369" s="1101" t="e">
        <f t="shared" si="858"/>
        <v>#DIV/0!</v>
      </c>
      <c r="AZ1369" s="1091" t="s">
        <v>1012</v>
      </c>
      <c r="BA1369" s="1097" t="e">
        <f>IF(Table3[[#This Row],[max]]&lt;&gt;0,RANK(Table3[[#This Row],[max]],Table3[max],0),"")</f>
        <v>#DIV/0!</v>
      </c>
      <c r="BB1369" s="1096" t="e">
        <f t="shared" si="853"/>
        <v>#DIV/0!</v>
      </c>
      <c r="BC1369" s="1096" t="e">
        <f t="shared" ca="1" si="854"/>
        <v>#DIV/0!</v>
      </c>
      <c r="BD1369" s="1096" t="e">
        <f>IF(Table3[[#This Row],[max]]&gt;0,Table3[[#This Row],[Crop groups and examples of individual products within the groups to which the MRLs apply]],"")</f>
        <v>#DIV/0!</v>
      </c>
    </row>
    <row r="1370" spans="2:56" x14ac:dyDescent="0.2">
      <c r="B1370" s="23">
        <f t="shared" si="856"/>
        <v>252010</v>
      </c>
      <c r="C1370" s="23" t="str">
        <f t="shared" si="856"/>
        <v>Spinaches</v>
      </c>
      <c r="D1370" s="1084">
        <f>input_values!E170</f>
        <v>0</v>
      </c>
      <c r="E1370" s="1084">
        <f>input_values!F170</f>
        <v>0</v>
      </c>
      <c r="F1370" s="1085">
        <f>input_values!W170</f>
        <v>1</v>
      </c>
      <c r="G1370" s="1085" t="str">
        <f>IF(Table3[[#This Row],[CF]]&gt;0,CONCATENATE(IF(Table3[[#This Row],[LOQ]]="*","LOQ","MRL"),IF(input_values!G170&gt;0,"×CFrisk","")),"")</f>
        <v>MRL</v>
      </c>
      <c r="H1370" s="1087">
        <f>input_values!L170</f>
        <v>0</v>
      </c>
      <c r="I1370" s="1088">
        <f>input_values!D170</f>
        <v>0</v>
      </c>
      <c r="J1370" s="1098" t="e">
        <f>IF($D$1212="",0,$D1370*Table3[[#This Row],[CF]]*chronic_consumption!$E170/1000/$C$3)</f>
        <v>#DIV/0!</v>
      </c>
      <c r="K1370" s="1098" t="e">
        <f>IF($D$1212="",0,$D1370*Table3[[#This Row],[CF]]*chronic_consumption!$F170/1000/$C$3)</f>
        <v>#DIV/0!</v>
      </c>
      <c r="L1370" s="1098" t="e">
        <f>IF($D$1212="",0,$D1370*Table3[[#This Row],[CF]]*chronic_consumption!$G170/1000/$C$3)</f>
        <v>#DIV/0!</v>
      </c>
      <c r="M1370" s="1098" t="e">
        <f>IF($D$1212="",0,$D1370*Table3[[#This Row],[CF]]*chronic_consumption!$H170/1000/$C$3)</f>
        <v>#DIV/0!</v>
      </c>
      <c r="N1370" s="1098" t="e">
        <f>IF($D$1212="",0,$D1370*Table3[[#This Row],[CF]]*chronic_consumption!$I170/1000/$C$3)</f>
        <v>#DIV/0!</v>
      </c>
      <c r="O1370" s="1098" t="e">
        <f>IF($D$1212="",0,$D1370*Table3[[#This Row],[CF]]*chronic_consumption!$J170/1000/$C$3)</f>
        <v>#DIV/0!</v>
      </c>
      <c r="P1370" s="1098" t="e">
        <f>IF($D$1212="",0,$D1370*Table3[[#This Row],[CF]]*chronic_consumption!$K170/1000/$C$3)</f>
        <v>#DIV/0!</v>
      </c>
      <c r="Q1370" s="1098" t="e">
        <f>IF($D$1212="",0,$D1370*Table3[[#This Row],[CF]]*chronic_consumption!$L170/1000/$C$3)</f>
        <v>#DIV/0!</v>
      </c>
      <c r="R1370" s="1098" t="e">
        <f>IF($D$1212="",0,$D1370*Table3[[#This Row],[CF]]*chronic_consumption!$M170/1000/$C$3)</f>
        <v>#DIV/0!</v>
      </c>
      <c r="S1370" s="1098" t="e">
        <f>IF($D$1212="",0,$D1370*Table3[[#This Row],[CF]]*chronic_consumption!$N170/1000/$C$3)</f>
        <v>#DIV/0!</v>
      </c>
      <c r="T1370" s="1098" t="e">
        <f>IF($D$1212="",0,$D1370*Table3[[#This Row],[CF]]*chronic_consumption!$O170/1000/$C$3)</f>
        <v>#DIV/0!</v>
      </c>
      <c r="U1370" s="1098" t="e">
        <f>IF($D$1212="",0,$D1370*Table3[[#This Row],[CF]]*chronic_consumption!$P170/1000/$C$3)</f>
        <v>#DIV/0!</v>
      </c>
      <c r="V1370" s="1098" t="e">
        <f>IF($D$1212="",0,$D1370*Table3[[#This Row],[CF]]*chronic_consumption!$Q170/1000/$C$3)</f>
        <v>#DIV/0!</v>
      </c>
      <c r="W1370" s="1098" t="e">
        <f>IF($D$1212="",0,$D1370*Table3[[#This Row],[CF]]*chronic_consumption!$R170/1000/$C$3)</f>
        <v>#DIV/0!</v>
      </c>
      <c r="X1370" s="1098" t="e">
        <f>IF($D$1212="",0,$D1370*Table3[[#This Row],[CF]]*chronic_consumption!$S170/1000/$C$3)</f>
        <v>#DIV/0!</v>
      </c>
      <c r="Y1370" s="1098" t="e">
        <f>IF($D$1212="",0,$D1370*Table3[[#This Row],[CF]]*chronic_consumption!$T170/1000/$C$3)</f>
        <v>#DIV/0!</v>
      </c>
      <c r="Z1370" s="1098" t="e">
        <f>IF($D$1212="",0,$D1370*Table3[[#This Row],[CF]]*chronic_consumption!$U170/1000/$C$3)</f>
        <v>#DIV/0!</v>
      </c>
      <c r="AA1370" s="1098" t="e">
        <f>IF($D$1212="",0,$D1370*Table3[[#This Row],[CF]]*chronic_consumption!$V170/1000/$C$3)</f>
        <v>#DIV/0!</v>
      </c>
      <c r="AB1370" s="1098" t="e">
        <f>IF($D$1212="",0,$D1370*Table3[[#This Row],[CF]]*chronic_consumption!$W170/1000/$C$3)</f>
        <v>#DIV/0!</v>
      </c>
      <c r="AC1370" s="1098" t="e">
        <f>IF($D$1212="",0,$D1370*Table3[[#This Row],[CF]]*chronic_consumption!$X170/1000/$C$3)</f>
        <v>#DIV/0!</v>
      </c>
      <c r="AD1370" s="1098" t="e">
        <f>IF($D$1212="",0,$D1370*Table3[[#This Row],[CF]]*chronic_consumption!$Y170/1000/$C$3)</f>
        <v>#DIV/0!</v>
      </c>
      <c r="AE1370" s="1098" t="e">
        <f>IF($D$1212="",0,$D1370*Table3[[#This Row],[CF]]*chronic_consumption!$Z170/1000/$C$3)</f>
        <v>#DIV/0!</v>
      </c>
      <c r="AF1370" s="1098" t="e">
        <f>IF($D$1212="",0,$D1370*Table3[[#This Row],[CF]]*chronic_consumption!$AA170/1000/$C$3)</f>
        <v>#DIV/0!</v>
      </c>
      <c r="AG1370" s="1098" t="e">
        <f>IF($D$1212="",0,$D1370*Table3[[#This Row],[CF]]*chronic_consumption!$AB170/1000/$C$3)</f>
        <v>#DIV/0!</v>
      </c>
      <c r="AH1370" s="1098" t="e">
        <f>IF($D$1212="",0,$D1370*Table3[[#This Row],[CF]]*chronic_consumption!$AC170/1000/$C$3)</f>
        <v>#DIV/0!</v>
      </c>
      <c r="AI1370" s="1098" t="e">
        <f>IF($D$1212="",0,$D1370*Table3[[#This Row],[CF]]*chronic_consumption!$AD170/1000/$C$3)</f>
        <v>#DIV/0!</v>
      </c>
      <c r="AJ1370" s="1098" t="e">
        <f>IF($D$1212="",0,$D1370*Table3[[#This Row],[CF]]*chronic_consumption!$AE170/1000/$C$3)</f>
        <v>#DIV/0!</v>
      </c>
      <c r="AK1370" s="1098" t="e">
        <f>IF($D$1212="",0,$D1370*Table3[[#This Row],[CF]]*chronic_consumption!$AF170/1000/$C$3)</f>
        <v>#DIV/0!</v>
      </c>
      <c r="AL1370" s="1098" t="e">
        <f>IF($D$1212="",0,$D1370*Table3[[#This Row],[CF]]*chronic_consumption!$AG170/1000/$C$3)</f>
        <v>#DIV/0!</v>
      </c>
      <c r="AM1370" s="1098" t="e">
        <f>IF($D$1212="",0,$D1370*Table3[[#This Row],[CF]]*chronic_consumption!$AH170/1000/$C$3)</f>
        <v>#DIV/0!</v>
      </c>
      <c r="AN1370" s="1098" t="e">
        <f>IF($D$1212="",0,$D1370*Table3[[#This Row],[CF]]*chronic_consumption!$AI170/1000/$C$3)</f>
        <v>#DIV/0!</v>
      </c>
      <c r="AO1370" s="1098" t="e">
        <f>IF($D$1212="",0,$D1370*Table3[[#This Row],[CF]]*chronic_consumption!$AJ170/1000/$C$3)</f>
        <v>#DIV/0!</v>
      </c>
      <c r="AP1370" s="1098" t="e">
        <f>IF($D$1212="",0,$D1370*Table3[[#This Row],[CF]]*chronic_consumption!$AK170/1000/$C$3)</f>
        <v>#DIV/0!</v>
      </c>
      <c r="AQ1370" s="1098" t="e">
        <f>IF($D$1212="",0,$D1370*Table3[[#This Row],[CF]]*chronic_consumption!$AL170/1000/$C$3)</f>
        <v>#DIV/0!</v>
      </c>
      <c r="AR1370" s="1098" t="e">
        <f>IF($D$1212="",0,$D1370*Table3[[#This Row],[CF]]*chronic_consumption!$AM170/1000/$C$3)</f>
        <v>#DIV/0!</v>
      </c>
      <c r="AS1370" s="1098" t="e">
        <f>IF($D$1212="",0,$D1370*Table3[[#This Row],[CF]]*chronic_consumption!$AN170/1000/$C$3)</f>
        <v>#DIV/0!</v>
      </c>
      <c r="AT1370" s="1098" t="e">
        <f>IF($D$1212="",0,$D1370*Table3[[#This Row],[CF]]*chronic_consumption!$AO170/1000/$C$3)</f>
        <v>#DIV/0!</v>
      </c>
      <c r="AU1370" s="1099" t="e">
        <f t="shared" si="858"/>
        <v>#DIV/0!</v>
      </c>
      <c r="AV1370" s="1099" t="e">
        <f t="shared" si="858"/>
        <v>#DIV/0!</v>
      </c>
      <c r="AW1370" s="1099" t="e">
        <f t="shared" si="858"/>
        <v>#DIV/0!</v>
      </c>
      <c r="AX1370" s="1099" t="e">
        <f t="shared" si="858"/>
        <v>#DIV/0!</v>
      </c>
      <c r="AY1370" s="1099" t="e">
        <f t="shared" si="858"/>
        <v>#DIV/0!</v>
      </c>
      <c r="AZ1370" s="1091" t="s">
        <v>1012</v>
      </c>
      <c r="BA1370" s="1097" t="e">
        <f>IF(Table3[[#This Row],[max]]&lt;&gt;0,RANK(Table3[[#This Row],[max]],Table3[max],0),"")</f>
        <v>#DIV/0!</v>
      </c>
      <c r="BB1370" s="1096" t="e">
        <f t="shared" si="853"/>
        <v>#DIV/0!</v>
      </c>
      <c r="BC1370" s="1096" t="e">
        <f t="shared" ca="1" si="854"/>
        <v>#DIV/0!</v>
      </c>
      <c r="BD1370" s="1096" t="e">
        <f>IF(Table3[[#This Row],[max]]&gt;0,Table3[[#This Row],[Crop groups and examples of individual products within the groups to which the MRLs apply]],"")</f>
        <v>#DIV/0!</v>
      </c>
    </row>
    <row r="1371" spans="2:56" x14ac:dyDescent="0.2">
      <c r="B1371" s="23">
        <f t="shared" si="856"/>
        <v>252020</v>
      </c>
      <c r="C1371" s="23" t="str">
        <f t="shared" si="856"/>
        <v>Purslanes</v>
      </c>
      <c r="D1371" s="1084">
        <f>input_values!E171</f>
        <v>0</v>
      </c>
      <c r="E1371" s="1084">
        <f>input_values!F171</f>
        <v>0</v>
      </c>
      <c r="F1371" s="1085">
        <f>input_values!W171</f>
        <v>1</v>
      </c>
      <c r="G1371" s="1085" t="str">
        <f>IF(Table3[[#This Row],[CF]]&gt;0,CONCATENATE(IF(Table3[[#This Row],[LOQ]]="*","LOQ","MRL"),IF(input_values!G171&gt;0,"×CFrisk","")),"")</f>
        <v>MRL</v>
      </c>
      <c r="H1371" s="1087">
        <f>input_values!L171</f>
        <v>0</v>
      </c>
      <c r="I1371" s="1088">
        <f>input_values!D171</f>
        <v>0</v>
      </c>
      <c r="J1371" s="1098" t="e">
        <f>IF($D$1212="",0,$D1371*Table3[[#This Row],[CF]]*chronic_consumption!$E171/1000/$C$3)</f>
        <v>#DIV/0!</v>
      </c>
      <c r="K1371" s="1098" t="e">
        <f>IF($D$1212="",0,$D1371*Table3[[#This Row],[CF]]*chronic_consumption!$F171/1000/$C$3)</f>
        <v>#DIV/0!</v>
      </c>
      <c r="L1371" s="1098" t="e">
        <f>IF($D$1212="",0,$D1371*Table3[[#This Row],[CF]]*chronic_consumption!$G171/1000/$C$3)</f>
        <v>#DIV/0!</v>
      </c>
      <c r="M1371" s="1098" t="e">
        <f>IF($D$1212="",0,$D1371*Table3[[#This Row],[CF]]*chronic_consumption!$H171/1000/$C$3)</f>
        <v>#DIV/0!</v>
      </c>
      <c r="N1371" s="1098" t="e">
        <f>IF($D$1212="",0,$D1371*Table3[[#This Row],[CF]]*chronic_consumption!$I171/1000/$C$3)</f>
        <v>#DIV/0!</v>
      </c>
      <c r="O1371" s="1098" t="e">
        <f>IF($D$1212="",0,$D1371*Table3[[#This Row],[CF]]*chronic_consumption!$J171/1000/$C$3)</f>
        <v>#DIV/0!</v>
      </c>
      <c r="P1371" s="1098" t="e">
        <f>IF($D$1212="",0,$D1371*Table3[[#This Row],[CF]]*chronic_consumption!$K171/1000/$C$3)</f>
        <v>#DIV/0!</v>
      </c>
      <c r="Q1371" s="1098" t="e">
        <f>IF($D$1212="",0,$D1371*Table3[[#This Row],[CF]]*chronic_consumption!$L171/1000/$C$3)</f>
        <v>#DIV/0!</v>
      </c>
      <c r="R1371" s="1098" t="e">
        <f>IF($D$1212="",0,$D1371*Table3[[#This Row],[CF]]*chronic_consumption!$M171/1000/$C$3)</f>
        <v>#DIV/0!</v>
      </c>
      <c r="S1371" s="1098" t="e">
        <f>IF($D$1212="",0,$D1371*Table3[[#This Row],[CF]]*chronic_consumption!$N171/1000/$C$3)</f>
        <v>#DIV/0!</v>
      </c>
      <c r="T1371" s="1098" t="e">
        <f>IF($D$1212="",0,$D1371*Table3[[#This Row],[CF]]*chronic_consumption!$O171/1000/$C$3)</f>
        <v>#DIV/0!</v>
      </c>
      <c r="U1371" s="1098" t="e">
        <f>IF($D$1212="",0,$D1371*Table3[[#This Row],[CF]]*chronic_consumption!$P171/1000/$C$3)</f>
        <v>#DIV/0!</v>
      </c>
      <c r="V1371" s="1098" t="e">
        <f>IF($D$1212="",0,$D1371*Table3[[#This Row],[CF]]*chronic_consumption!$Q171/1000/$C$3)</f>
        <v>#DIV/0!</v>
      </c>
      <c r="W1371" s="1098" t="e">
        <f>IF($D$1212="",0,$D1371*Table3[[#This Row],[CF]]*chronic_consumption!$R171/1000/$C$3)</f>
        <v>#DIV/0!</v>
      </c>
      <c r="X1371" s="1098" t="e">
        <f>IF($D$1212="",0,$D1371*Table3[[#This Row],[CF]]*chronic_consumption!$S171/1000/$C$3)</f>
        <v>#DIV/0!</v>
      </c>
      <c r="Y1371" s="1098" t="e">
        <f>IF($D$1212="",0,$D1371*Table3[[#This Row],[CF]]*chronic_consumption!$T171/1000/$C$3)</f>
        <v>#DIV/0!</v>
      </c>
      <c r="Z1371" s="1098" t="e">
        <f>IF($D$1212="",0,$D1371*Table3[[#This Row],[CF]]*chronic_consumption!$U171/1000/$C$3)</f>
        <v>#DIV/0!</v>
      </c>
      <c r="AA1371" s="1098" t="e">
        <f>IF($D$1212="",0,$D1371*Table3[[#This Row],[CF]]*chronic_consumption!$V171/1000/$C$3)</f>
        <v>#DIV/0!</v>
      </c>
      <c r="AB1371" s="1098" t="e">
        <f>IF($D$1212="",0,$D1371*Table3[[#This Row],[CF]]*chronic_consumption!$W171/1000/$C$3)</f>
        <v>#DIV/0!</v>
      </c>
      <c r="AC1371" s="1098" t="e">
        <f>IF($D$1212="",0,$D1371*Table3[[#This Row],[CF]]*chronic_consumption!$X171/1000/$C$3)</f>
        <v>#DIV/0!</v>
      </c>
      <c r="AD1371" s="1098" t="e">
        <f>IF($D$1212="",0,$D1371*Table3[[#This Row],[CF]]*chronic_consumption!$Y171/1000/$C$3)</f>
        <v>#DIV/0!</v>
      </c>
      <c r="AE1371" s="1098" t="e">
        <f>IF($D$1212="",0,$D1371*Table3[[#This Row],[CF]]*chronic_consumption!$Z171/1000/$C$3)</f>
        <v>#DIV/0!</v>
      </c>
      <c r="AF1371" s="1098" t="e">
        <f>IF($D$1212="",0,$D1371*Table3[[#This Row],[CF]]*chronic_consumption!$AA171/1000/$C$3)</f>
        <v>#DIV/0!</v>
      </c>
      <c r="AG1371" s="1098" t="e">
        <f>IF($D$1212="",0,$D1371*Table3[[#This Row],[CF]]*chronic_consumption!$AB171/1000/$C$3)</f>
        <v>#DIV/0!</v>
      </c>
      <c r="AH1371" s="1098" t="e">
        <f>IF($D$1212="",0,$D1371*Table3[[#This Row],[CF]]*chronic_consumption!$AC171/1000/$C$3)</f>
        <v>#DIV/0!</v>
      </c>
      <c r="AI1371" s="1098" t="e">
        <f>IF($D$1212="",0,$D1371*Table3[[#This Row],[CF]]*chronic_consumption!$AD171/1000/$C$3)</f>
        <v>#DIV/0!</v>
      </c>
      <c r="AJ1371" s="1098" t="e">
        <f>IF($D$1212="",0,$D1371*Table3[[#This Row],[CF]]*chronic_consumption!$AE171/1000/$C$3)</f>
        <v>#DIV/0!</v>
      </c>
      <c r="AK1371" s="1098" t="e">
        <f>IF($D$1212="",0,$D1371*Table3[[#This Row],[CF]]*chronic_consumption!$AF171/1000/$C$3)</f>
        <v>#DIV/0!</v>
      </c>
      <c r="AL1371" s="1098" t="e">
        <f>IF($D$1212="",0,$D1371*Table3[[#This Row],[CF]]*chronic_consumption!$AG171/1000/$C$3)</f>
        <v>#DIV/0!</v>
      </c>
      <c r="AM1371" s="1098" t="e">
        <f>IF($D$1212="",0,$D1371*Table3[[#This Row],[CF]]*chronic_consumption!$AH171/1000/$C$3)</f>
        <v>#DIV/0!</v>
      </c>
      <c r="AN1371" s="1098" t="e">
        <f>IF($D$1212="",0,$D1371*Table3[[#This Row],[CF]]*chronic_consumption!$AI171/1000/$C$3)</f>
        <v>#DIV/0!</v>
      </c>
      <c r="AO1371" s="1098" t="e">
        <f>IF($D$1212="",0,$D1371*Table3[[#This Row],[CF]]*chronic_consumption!$AJ171/1000/$C$3)</f>
        <v>#DIV/0!</v>
      </c>
      <c r="AP1371" s="1098" t="e">
        <f>IF($D$1212="",0,$D1371*Table3[[#This Row],[CF]]*chronic_consumption!$AK171/1000/$C$3)</f>
        <v>#DIV/0!</v>
      </c>
      <c r="AQ1371" s="1098" t="e">
        <f>IF($D$1212="",0,$D1371*Table3[[#This Row],[CF]]*chronic_consumption!$AL171/1000/$C$3)</f>
        <v>#DIV/0!</v>
      </c>
      <c r="AR1371" s="1098" t="e">
        <f>IF($D$1212="",0,$D1371*Table3[[#This Row],[CF]]*chronic_consumption!$AM171/1000/$C$3)</f>
        <v>#DIV/0!</v>
      </c>
      <c r="AS1371" s="1098" t="e">
        <f>IF($D$1212="",0,$D1371*Table3[[#This Row],[CF]]*chronic_consumption!$AN171/1000/$C$3)</f>
        <v>#DIV/0!</v>
      </c>
      <c r="AT1371" s="1098" t="e">
        <f>IF($D$1212="",0,$D1371*Table3[[#This Row],[CF]]*chronic_consumption!$AO171/1000/$C$3)</f>
        <v>#DIV/0!</v>
      </c>
      <c r="AU1371" s="1099" t="e">
        <f t="shared" si="858"/>
        <v>#DIV/0!</v>
      </c>
      <c r="AV1371" s="1099" t="e">
        <f t="shared" si="858"/>
        <v>#DIV/0!</v>
      </c>
      <c r="AW1371" s="1099" t="e">
        <f t="shared" si="858"/>
        <v>#DIV/0!</v>
      </c>
      <c r="AX1371" s="1099" t="e">
        <f t="shared" si="858"/>
        <v>#DIV/0!</v>
      </c>
      <c r="AY1371" s="1099" t="e">
        <f t="shared" si="858"/>
        <v>#DIV/0!</v>
      </c>
      <c r="AZ1371" s="1091" t="s">
        <v>1012</v>
      </c>
      <c r="BA1371" s="1097" t="e">
        <f>IF(Table3[[#This Row],[max]]&lt;&gt;0,RANK(Table3[[#This Row],[max]],Table3[max],0),"")</f>
        <v>#DIV/0!</v>
      </c>
      <c r="BB1371" s="1096" t="e">
        <f t="shared" si="853"/>
        <v>#DIV/0!</v>
      </c>
      <c r="BC1371" s="1096" t="e">
        <f t="shared" ca="1" si="854"/>
        <v>#DIV/0!</v>
      </c>
      <c r="BD1371" s="1096" t="e">
        <f>IF(Table3[[#This Row],[max]]&gt;0,Table3[[#This Row],[Crop groups and examples of individual products within the groups to which the MRLs apply]],"")</f>
        <v>#DIV/0!</v>
      </c>
    </row>
    <row r="1372" spans="2:56" x14ac:dyDescent="0.2">
      <c r="B1372" s="23">
        <f t="shared" ref="B1372:C1391" si="859">B172</f>
        <v>252030</v>
      </c>
      <c r="C1372" s="23" t="str">
        <f t="shared" si="859"/>
        <v>Chards/beet leaves</v>
      </c>
      <c r="D1372" s="1084">
        <f>input_values!E172</f>
        <v>0</v>
      </c>
      <c r="E1372" s="1084">
        <f>input_values!F172</f>
        <v>0</v>
      </c>
      <c r="F1372" s="1085">
        <f>input_values!W172</f>
        <v>1</v>
      </c>
      <c r="G1372" s="1085" t="str">
        <f>IF(Table3[[#This Row],[CF]]&gt;0,CONCATENATE(IF(Table3[[#This Row],[LOQ]]="*","LOQ","MRL"),IF(input_values!G172&gt;0,"×CFrisk","")),"")</f>
        <v>MRL</v>
      </c>
      <c r="H1372" s="1087">
        <f>input_values!L172</f>
        <v>0</v>
      </c>
      <c r="I1372" s="1088">
        <f>input_values!D172</f>
        <v>0</v>
      </c>
      <c r="J1372" s="1098" t="e">
        <f>IF($D$1212="",0,$D1372*Table3[[#This Row],[CF]]*chronic_consumption!$E172/1000/$C$3)</f>
        <v>#DIV/0!</v>
      </c>
      <c r="K1372" s="1098" t="e">
        <f>IF($D$1212="",0,$D1372*Table3[[#This Row],[CF]]*chronic_consumption!$F172/1000/$C$3)</f>
        <v>#DIV/0!</v>
      </c>
      <c r="L1372" s="1098" t="e">
        <f>IF($D$1212="",0,$D1372*Table3[[#This Row],[CF]]*chronic_consumption!$G172/1000/$C$3)</f>
        <v>#DIV/0!</v>
      </c>
      <c r="M1372" s="1098" t="e">
        <f>IF($D$1212="",0,$D1372*Table3[[#This Row],[CF]]*chronic_consumption!$H172/1000/$C$3)</f>
        <v>#DIV/0!</v>
      </c>
      <c r="N1372" s="1098" t="e">
        <f>IF($D$1212="",0,$D1372*Table3[[#This Row],[CF]]*chronic_consumption!$I172/1000/$C$3)</f>
        <v>#DIV/0!</v>
      </c>
      <c r="O1372" s="1098" t="e">
        <f>IF($D$1212="",0,$D1372*Table3[[#This Row],[CF]]*chronic_consumption!$J172/1000/$C$3)</f>
        <v>#DIV/0!</v>
      </c>
      <c r="P1372" s="1098" t="e">
        <f>IF($D$1212="",0,$D1372*Table3[[#This Row],[CF]]*chronic_consumption!$K172/1000/$C$3)</f>
        <v>#DIV/0!</v>
      </c>
      <c r="Q1372" s="1098" t="e">
        <f>IF($D$1212="",0,$D1372*Table3[[#This Row],[CF]]*chronic_consumption!$L172/1000/$C$3)</f>
        <v>#DIV/0!</v>
      </c>
      <c r="R1372" s="1098" t="e">
        <f>IF($D$1212="",0,$D1372*Table3[[#This Row],[CF]]*chronic_consumption!$M172/1000/$C$3)</f>
        <v>#DIV/0!</v>
      </c>
      <c r="S1372" s="1098" t="e">
        <f>IF($D$1212="",0,$D1372*Table3[[#This Row],[CF]]*chronic_consumption!$N172/1000/$C$3)</f>
        <v>#DIV/0!</v>
      </c>
      <c r="T1372" s="1098" t="e">
        <f>IF($D$1212="",0,$D1372*Table3[[#This Row],[CF]]*chronic_consumption!$O172/1000/$C$3)</f>
        <v>#DIV/0!</v>
      </c>
      <c r="U1372" s="1098" t="e">
        <f>IF($D$1212="",0,$D1372*Table3[[#This Row],[CF]]*chronic_consumption!$P172/1000/$C$3)</f>
        <v>#DIV/0!</v>
      </c>
      <c r="V1372" s="1098" t="e">
        <f>IF($D$1212="",0,$D1372*Table3[[#This Row],[CF]]*chronic_consumption!$Q172/1000/$C$3)</f>
        <v>#DIV/0!</v>
      </c>
      <c r="W1372" s="1098" t="e">
        <f>IF($D$1212="",0,$D1372*Table3[[#This Row],[CF]]*chronic_consumption!$R172/1000/$C$3)</f>
        <v>#DIV/0!</v>
      </c>
      <c r="X1372" s="1098" t="e">
        <f>IF($D$1212="",0,$D1372*Table3[[#This Row],[CF]]*chronic_consumption!$S172/1000/$C$3)</f>
        <v>#DIV/0!</v>
      </c>
      <c r="Y1372" s="1098" t="e">
        <f>IF($D$1212="",0,$D1372*Table3[[#This Row],[CF]]*chronic_consumption!$T172/1000/$C$3)</f>
        <v>#DIV/0!</v>
      </c>
      <c r="Z1372" s="1098" t="e">
        <f>IF($D$1212="",0,$D1372*Table3[[#This Row],[CF]]*chronic_consumption!$U172/1000/$C$3)</f>
        <v>#DIV/0!</v>
      </c>
      <c r="AA1372" s="1098" t="e">
        <f>IF($D$1212="",0,$D1372*Table3[[#This Row],[CF]]*chronic_consumption!$V172/1000/$C$3)</f>
        <v>#DIV/0!</v>
      </c>
      <c r="AB1372" s="1098" t="e">
        <f>IF($D$1212="",0,$D1372*Table3[[#This Row],[CF]]*chronic_consumption!$W172/1000/$C$3)</f>
        <v>#DIV/0!</v>
      </c>
      <c r="AC1372" s="1098" t="e">
        <f>IF($D$1212="",0,$D1372*Table3[[#This Row],[CF]]*chronic_consumption!$X172/1000/$C$3)</f>
        <v>#DIV/0!</v>
      </c>
      <c r="AD1372" s="1098" t="e">
        <f>IF($D$1212="",0,$D1372*Table3[[#This Row],[CF]]*chronic_consumption!$Y172/1000/$C$3)</f>
        <v>#DIV/0!</v>
      </c>
      <c r="AE1372" s="1098" t="e">
        <f>IF($D$1212="",0,$D1372*Table3[[#This Row],[CF]]*chronic_consumption!$Z172/1000/$C$3)</f>
        <v>#DIV/0!</v>
      </c>
      <c r="AF1372" s="1098" t="e">
        <f>IF($D$1212="",0,$D1372*Table3[[#This Row],[CF]]*chronic_consumption!$AA172/1000/$C$3)</f>
        <v>#DIV/0!</v>
      </c>
      <c r="AG1372" s="1098" t="e">
        <f>IF($D$1212="",0,$D1372*Table3[[#This Row],[CF]]*chronic_consumption!$AB172/1000/$C$3)</f>
        <v>#DIV/0!</v>
      </c>
      <c r="AH1372" s="1098" t="e">
        <f>IF($D$1212="",0,$D1372*Table3[[#This Row],[CF]]*chronic_consumption!$AC172/1000/$C$3)</f>
        <v>#DIV/0!</v>
      </c>
      <c r="AI1372" s="1098" t="e">
        <f>IF($D$1212="",0,$D1372*Table3[[#This Row],[CF]]*chronic_consumption!$AD172/1000/$C$3)</f>
        <v>#DIV/0!</v>
      </c>
      <c r="AJ1372" s="1098" t="e">
        <f>IF($D$1212="",0,$D1372*Table3[[#This Row],[CF]]*chronic_consumption!$AE172/1000/$C$3)</f>
        <v>#DIV/0!</v>
      </c>
      <c r="AK1372" s="1098" t="e">
        <f>IF($D$1212="",0,$D1372*Table3[[#This Row],[CF]]*chronic_consumption!$AF172/1000/$C$3)</f>
        <v>#DIV/0!</v>
      </c>
      <c r="AL1372" s="1098" t="e">
        <f>IF($D$1212="",0,$D1372*Table3[[#This Row],[CF]]*chronic_consumption!$AG172/1000/$C$3)</f>
        <v>#DIV/0!</v>
      </c>
      <c r="AM1372" s="1098" t="e">
        <f>IF($D$1212="",0,$D1372*Table3[[#This Row],[CF]]*chronic_consumption!$AH172/1000/$C$3)</f>
        <v>#DIV/0!</v>
      </c>
      <c r="AN1372" s="1098" t="e">
        <f>IF($D$1212="",0,$D1372*Table3[[#This Row],[CF]]*chronic_consumption!$AI172/1000/$C$3)</f>
        <v>#DIV/0!</v>
      </c>
      <c r="AO1372" s="1098" t="e">
        <f>IF($D$1212="",0,$D1372*Table3[[#This Row],[CF]]*chronic_consumption!$AJ172/1000/$C$3)</f>
        <v>#DIV/0!</v>
      </c>
      <c r="AP1372" s="1098" t="e">
        <f>IF($D$1212="",0,$D1372*Table3[[#This Row],[CF]]*chronic_consumption!$AK172/1000/$C$3)</f>
        <v>#DIV/0!</v>
      </c>
      <c r="AQ1372" s="1098" t="e">
        <f>IF($D$1212="",0,$D1372*Table3[[#This Row],[CF]]*chronic_consumption!$AL172/1000/$C$3)</f>
        <v>#DIV/0!</v>
      </c>
      <c r="AR1372" s="1098" t="e">
        <f>IF($D$1212="",0,$D1372*Table3[[#This Row],[CF]]*chronic_consumption!$AM172/1000/$C$3)</f>
        <v>#DIV/0!</v>
      </c>
      <c r="AS1372" s="1098" t="e">
        <f>IF($D$1212="",0,$D1372*Table3[[#This Row],[CF]]*chronic_consumption!$AN172/1000/$C$3)</f>
        <v>#DIV/0!</v>
      </c>
      <c r="AT1372" s="1098" t="e">
        <f>IF($D$1212="",0,$D1372*Table3[[#This Row],[CF]]*chronic_consumption!$AO172/1000/$C$3)</f>
        <v>#DIV/0!</v>
      </c>
      <c r="AU1372" s="1099" t="e">
        <f t="shared" ref="AU1372:AY1381" si="860">IF(AU572="",0,IF(OR(1=RANK(AU972,AU$412:AU$790,0),(2=RANK(AU972,AU$412:AU$790,0))),AU972,AU572))</f>
        <v>#DIV/0!</v>
      </c>
      <c r="AV1372" s="1099" t="e">
        <f t="shared" si="860"/>
        <v>#DIV/0!</v>
      </c>
      <c r="AW1372" s="1099" t="e">
        <f t="shared" si="860"/>
        <v>#DIV/0!</v>
      </c>
      <c r="AX1372" s="1099" t="e">
        <f t="shared" si="860"/>
        <v>#DIV/0!</v>
      </c>
      <c r="AY1372" s="1099" t="e">
        <f t="shared" si="860"/>
        <v>#DIV/0!</v>
      </c>
      <c r="AZ1372" s="1091" t="s">
        <v>1012</v>
      </c>
      <c r="BA1372" s="1097" t="e">
        <f>IF(Table3[[#This Row],[max]]&lt;&gt;0,RANK(Table3[[#This Row],[max]],Table3[max],0),"")</f>
        <v>#DIV/0!</v>
      </c>
      <c r="BB1372" s="1096" t="e">
        <f t="shared" si="853"/>
        <v>#DIV/0!</v>
      </c>
      <c r="BC1372" s="1096" t="e">
        <f t="shared" ca="1" si="854"/>
        <v>#DIV/0!</v>
      </c>
      <c r="BD1372" s="1096" t="e">
        <f>IF(Table3[[#This Row],[max]]&gt;0,Table3[[#This Row],[Crop groups and examples of individual products within the groups to which the MRLs apply]],"")</f>
        <v>#DIV/0!</v>
      </c>
    </row>
    <row r="1373" spans="2:56" x14ac:dyDescent="0.2">
      <c r="B1373" s="23">
        <f t="shared" si="859"/>
        <v>252990</v>
      </c>
      <c r="C1373" s="23" t="str">
        <f t="shared" si="859"/>
        <v>Other spinach and similar</v>
      </c>
      <c r="D1373" s="1084">
        <f>input_values!E173</f>
        <v>0</v>
      </c>
      <c r="E1373" s="1084">
        <f>input_values!F173</f>
        <v>0</v>
      </c>
      <c r="F1373" s="1085">
        <f>input_values!W173</f>
        <v>1</v>
      </c>
      <c r="G1373" s="1085" t="str">
        <f>IF(Table3[[#This Row],[CF]]&gt;0,CONCATENATE(IF(Table3[[#This Row],[LOQ]]="*","LOQ","MRL"),IF(input_values!G173&gt;0,"×CFrisk","")),"")</f>
        <v>MRL</v>
      </c>
      <c r="H1373" s="1087">
        <f>input_values!L173</f>
        <v>0</v>
      </c>
      <c r="I1373" s="1088">
        <f>input_values!D173</f>
        <v>0</v>
      </c>
      <c r="J1373" s="1098" t="e">
        <f>IF($D$1212="",0,$D1373*Table3[[#This Row],[CF]]*chronic_consumption!$E173/1000/$C$3)</f>
        <v>#DIV/0!</v>
      </c>
      <c r="K1373" s="1098" t="e">
        <f>IF($D$1212="",0,$D1373*Table3[[#This Row],[CF]]*chronic_consumption!$F173/1000/$C$3)</f>
        <v>#DIV/0!</v>
      </c>
      <c r="L1373" s="1098" t="e">
        <f>IF($D$1212="",0,$D1373*Table3[[#This Row],[CF]]*chronic_consumption!$G173/1000/$C$3)</f>
        <v>#DIV/0!</v>
      </c>
      <c r="M1373" s="1098" t="e">
        <f>IF($D$1212="",0,$D1373*Table3[[#This Row],[CF]]*chronic_consumption!$H173/1000/$C$3)</f>
        <v>#DIV/0!</v>
      </c>
      <c r="N1373" s="1098" t="e">
        <f>IF($D$1212="",0,$D1373*Table3[[#This Row],[CF]]*chronic_consumption!$I173/1000/$C$3)</f>
        <v>#DIV/0!</v>
      </c>
      <c r="O1373" s="1098" t="e">
        <f>IF($D$1212="",0,$D1373*Table3[[#This Row],[CF]]*chronic_consumption!$J173/1000/$C$3)</f>
        <v>#DIV/0!</v>
      </c>
      <c r="P1373" s="1098" t="e">
        <f>IF($D$1212="",0,$D1373*Table3[[#This Row],[CF]]*chronic_consumption!$K173/1000/$C$3)</f>
        <v>#DIV/0!</v>
      </c>
      <c r="Q1373" s="1098" t="e">
        <f>IF($D$1212="",0,$D1373*Table3[[#This Row],[CF]]*chronic_consumption!$L173/1000/$C$3)</f>
        <v>#DIV/0!</v>
      </c>
      <c r="R1373" s="1098" t="e">
        <f>IF($D$1212="",0,$D1373*Table3[[#This Row],[CF]]*chronic_consumption!$M173/1000/$C$3)</f>
        <v>#DIV/0!</v>
      </c>
      <c r="S1373" s="1098" t="e">
        <f>IF($D$1212="",0,$D1373*Table3[[#This Row],[CF]]*chronic_consumption!$N173/1000/$C$3)</f>
        <v>#DIV/0!</v>
      </c>
      <c r="T1373" s="1098" t="e">
        <f>IF($D$1212="",0,$D1373*Table3[[#This Row],[CF]]*chronic_consumption!$O173/1000/$C$3)</f>
        <v>#DIV/0!</v>
      </c>
      <c r="U1373" s="1098" t="e">
        <f>IF($D$1212="",0,$D1373*Table3[[#This Row],[CF]]*chronic_consumption!$P173/1000/$C$3)</f>
        <v>#DIV/0!</v>
      </c>
      <c r="V1373" s="1098" t="e">
        <f>IF($D$1212="",0,$D1373*Table3[[#This Row],[CF]]*chronic_consumption!$Q173/1000/$C$3)</f>
        <v>#DIV/0!</v>
      </c>
      <c r="W1373" s="1098" t="e">
        <f>IF($D$1212="",0,$D1373*Table3[[#This Row],[CF]]*chronic_consumption!$R173/1000/$C$3)</f>
        <v>#DIV/0!</v>
      </c>
      <c r="X1373" s="1098" t="e">
        <f>IF($D$1212="",0,$D1373*Table3[[#This Row],[CF]]*chronic_consumption!$S173/1000/$C$3)</f>
        <v>#DIV/0!</v>
      </c>
      <c r="Y1373" s="1098" t="e">
        <f>IF($D$1212="",0,$D1373*Table3[[#This Row],[CF]]*chronic_consumption!$T173/1000/$C$3)</f>
        <v>#DIV/0!</v>
      </c>
      <c r="Z1373" s="1098" t="e">
        <f>IF($D$1212="",0,$D1373*Table3[[#This Row],[CF]]*chronic_consumption!$U173/1000/$C$3)</f>
        <v>#DIV/0!</v>
      </c>
      <c r="AA1373" s="1098" t="e">
        <f>IF($D$1212="",0,$D1373*Table3[[#This Row],[CF]]*chronic_consumption!$V173/1000/$C$3)</f>
        <v>#DIV/0!</v>
      </c>
      <c r="AB1373" s="1098" t="e">
        <f>IF($D$1212="",0,$D1373*Table3[[#This Row],[CF]]*chronic_consumption!$W173/1000/$C$3)</f>
        <v>#DIV/0!</v>
      </c>
      <c r="AC1373" s="1098" t="e">
        <f>IF($D$1212="",0,$D1373*Table3[[#This Row],[CF]]*chronic_consumption!$X173/1000/$C$3)</f>
        <v>#DIV/0!</v>
      </c>
      <c r="AD1373" s="1098" t="e">
        <f>IF($D$1212="",0,$D1373*Table3[[#This Row],[CF]]*chronic_consumption!$Y173/1000/$C$3)</f>
        <v>#DIV/0!</v>
      </c>
      <c r="AE1373" s="1098" t="e">
        <f>IF($D$1212="",0,$D1373*Table3[[#This Row],[CF]]*chronic_consumption!$Z173/1000/$C$3)</f>
        <v>#DIV/0!</v>
      </c>
      <c r="AF1373" s="1098" t="e">
        <f>IF($D$1212="",0,$D1373*Table3[[#This Row],[CF]]*chronic_consumption!$AA173/1000/$C$3)</f>
        <v>#DIV/0!</v>
      </c>
      <c r="AG1373" s="1098" t="e">
        <f>IF($D$1212="",0,$D1373*Table3[[#This Row],[CF]]*chronic_consumption!$AB173/1000/$C$3)</f>
        <v>#DIV/0!</v>
      </c>
      <c r="AH1373" s="1098" t="e">
        <f>IF($D$1212="",0,$D1373*Table3[[#This Row],[CF]]*chronic_consumption!$AC173/1000/$C$3)</f>
        <v>#DIV/0!</v>
      </c>
      <c r="AI1373" s="1098" t="e">
        <f>IF($D$1212="",0,$D1373*Table3[[#This Row],[CF]]*chronic_consumption!$AD173/1000/$C$3)</f>
        <v>#DIV/0!</v>
      </c>
      <c r="AJ1373" s="1098" t="e">
        <f>IF($D$1212="",0,$D1373*Table3[[#This Row],[CF]]*chronic_consumption!$AE173/1000/$C$3)</f>
        <v>#DIV/0!</v>
      </c>
      <c r="AK1373" s="1098" t="e">
        <f>IF($D$1212="",0,$D1373*Table3[[#This Row],[CF]]*chronic_consumption!$AF173/1000/$C$3)</f>
        <v>#DIV/0!</v>
      </c>
      <c r="AL1373" s="1098" t="e">
        <f>IF($D$1212="",0,$D1373*Table3[[#This Row],[CF]]*chronic_consumption!$AG173/1000/$C$3)</f>
        <v>#DIV/0!</v>
      </c>
      <c r="AM1373" s="1098" t="e">
        <f>IF($D$1212="",0,$D1373*Table3[[#This Row],[CF]]*chronic_consumption!$AH173/1000/$C$3)</f>
        <v>#DIV/0!</v>
      </c>
      <c r="AN1373" s="1098" t="e">
        <f>IF($D$1212="",0,$D1373*Table3[[#This Row],[CF]]*chronic_consumption!$AI173/1000/$C$3)</f>
        <v>#DIV/0!</v>
      </c>
      <c r="AO1373" s="1098" t="e">
        <f>IF($D$1212="",0,$D1373*Table3[[#This Row],[CF]]*chronic_consumption!$AJ173/1000/$C$3)</f>
        <v>#DIV/0!</v>
      </c>
      <c r="AP1373" s="1098" t="e">
        <f>IF($D$1212="",0,$D1373*Table3[[#This Row],[CF]]*chronic_consumption!$AK173/1000/$C$3)</f>
        <v>#DIV/0!</v>
      </c>
      <c r="AQ1373" s="1098" t="e">
        <f>IF($D$1212="",0,$D1373*Table3[[#This Row],[CF]]*chronic_consumption!$AL173/1000/$C$3)</f>
        <v>#DIV/0!</v>
      </c>
      <c r="AR1373" s="1098" t="e">
        <f>IF($D$1212="",0,$D1373*Table3[[#This Row],[CF]]*chronic_consumption!$AM173/1000/$C$3)</f>
        <v>#DIV/0!</v>
      </c>
      <c r="AS1373" s="1098" t="e">
        <f>IF($D$1212="",0,$D1373*Table3[[#This Row],[CF]]*chronic_consumption!$AN173/1000/$C$3)</f>
        <v>#DIV/0!</v>
      </c>
      <c r="AT1373" s="1098" t="e">
        <f>IF($D$1212="",0,$D1373*Table3[[#This Row],[CF]]*chronic_consumption!$AO173/1000/$C$3)</f>
        <v>#DIV/0!</v>
      </c>
      <c r="AU1373" s="1099" t="e">
        <f t="shared" si="860"/>
        <v>#DIV/0!</v>
      </c>
      <c r="AV1373" s="1099" t="e">
        <f t="shared" si="860"/>
        <v>#DIV/0!</v>
      </c>
      <c r="AW1373" s="1099" t="e">
        <f t="shared" si="860"/>
        <v>#DIV/0!</v>
      </c>
      <c r="AX1373" s="1099" t="e">
        <f t="shared" si="860"/>
        <v>#DIV/0!</v>
      </c>
      <c r="AY1373" s="1099" t="e">
        <f t="shared" si="860"/>
        <v>#DIV/0!</v>
      </c>
      <c r="AZ1373" s="1091" t="s">
        <v>1012</v>
      </c>
      <c r="BA1373" s="1097" t="e">
        <f>IF(Table3[[#This Row],[max]]&lt;&gt;0,RANK(Table3[[#This Row],[max]],Table3[max],0),"")</f>
        <v>#DIV/0!</v>
      </c>
      <c r="BB1373" s="1096" t="e">
        <f t="shared" si="853"/>
        <v>#DIV/0!</v>
      </c>
      <c r="BC1373" s="1096" t="e">
        <f t="shared" ca="1" si="854"/>
        <v>#DIV/0!</v>
      </c>
      <c r="BD1373" s="1096" t="e">
        <f>IF(Table3[[#This Row],[max]]&gt;0,Table3[[#This Row],[Crop groups and examples of individual products within the groups to which the MRLs apply]],"")</f>
        <v>#DIV/0!</v>
      </c>
    </row>
    <row r="1374" spans="2:56" x14ac:dyDescent="0.2">
      <c r="B1374" s="3">
        <f t="shared" si="859"/>
        <v>253000</v>
      </c>
      <c r="C1374" s="3" t="str">
        <f t="shared" si="859"/>
        <v>Grape leaves and similar species</v>
      </c>
      <c r="D1374" s="1084">
        <f>input_values!E174</f>
        <v>0</v>
      </c>
      <c r="E1374" s="1084">
        <f>input_values!F174</f>
        <v>0</v>
      </c>
      <c r="F1374" s="1085">
        <f>input_values!W174</f>
        <v>1</v>
      </c>
      <c r="G1374" s="1085" t="str">
        <f>IF(Table3[[#This Row],[CF]]&gt;0,CONCATENATE(IF(Table3[[#This Row],[LOQ]]="*","LOQ","MRL"),IF(input_values!G174&gt;0,"×CFrisk","")),"")</f>
        <v>MRL</v>
      </c>
      <c r="H1374" s="1087">
        <f>input_values!L174</f>
        <v>0</v>
      </c>
      <c r="I1374" s="1088">
        <f>input_values!D174</f>
        <v>0</v>
      </c>
      <c r="J1374" s="1100" t="e">
        <f>IF($D$1212="",0,$D1374*Table3[[#This Row],[CF]]*chronic_consumption!$E174/1000/$C$3)</f>
        <v>#DIV/0!</v>
      </c>
      <c r="K1374" s="1100" t="e">
        <f>IF($D$1212="",0,$D1374*Table3[[#This Row],[CF]]*chronic_consumption!$F174/1000/$C$3)</f>
        <v>#DIV/0!</v>
      </c>
      <c r="L1374" s="1100" t="e">
        <f>IF($D$1212="",0,$D1374*Table3[[#This Row],[CF]]*chronic_consumption!$G174/1000/$C$3)</f>
        <v>#DIV/0!</v>
      </c>
      <c r="M1374" s="1100" t="e">
        <f>IF($D$1212="",0,$D1374*Table3[[#This Row],[CF]]*chronic_consumption!$H174/1000/$C$3)</f>
        <v>#DIV/0!</v>
      </c>
      <c r="N1374" s="1100" t="e">
        <f>IF($D$1212="",0,$D1374*Table3[[#This Row],[CF]]*chronic_consumption!$I174/1000/$C$3)</f>
        <v>#DIV/0!</v>
      </c>
      <c r="O1374" s="1100" t="e">
        <f>IF($D$1212="",0,$D1374*Table3[[#This Row],[CF]]*chronic_consumption!$J174/1000/$C$3)</f>
        <v>#DIV/0!</v>
      </c>
      <c r="P1374" s="1100" t="e">
        <f>IF($D$1212="",0,$D1374*Table3[[#This Row],[CF]]*chronic_consumption!$K174/1000/$C$3)</f>
        <v>#DIV/0!</v>
      </c>
      <c r="Q1374" s="1100" t="e">
        <f>IF($D$1212="",0,$D1374*Table3[[#This Row],[CF]]*chronic_consumption!$L174/1000/$C$3)</f>
        <v>#DIV/0!</v>
      </c>
      <c r="R1374" s="1100" t="e">
        <f>IF($D$1212="",0,$D1374*Table3[[#This Row],[CF]]*chronic_consumption!$M174/1000/$C$3)</f>
        <v>#DIV/0!</v>
      </c>
      <c r="S1374" s="1100" t="e">
        <f>IF($D$1212="",0,$D1374*Table3[[#This Row],[CF]]*chronic_consumption!$N174/1000/$C$3)</f>
        <v>#DIV/0!</v>
      </c>
      <c r="T1374" s="1100" t="e">
        <f>IF($D$1212="",0,$D1374*Table3[[#This Row],[CF]]*chronic_consumption!$O174/1000/$C$3)</f>
        <v>#DIV/0!</v>
      </c>
      <c r="U1374" s="1100" t="e">
        <f>IF($D$1212="",0,$D1374*Table3[[#This Row],[CF]]*chronic_consumption!$P174/1000/$C$3)</f>
        <v>#DIV/0!</v>
      </c>
      <c r="V1374" s="1100" t="e">
        <f>IF($D$1212="",0,$D1374*Table3[[#This Row],[CF]]*chronic_consumption!$Q174/1000/$C$3)</f>
        <v>#DIV/0!</v>
      </c>
      <c r="W1374" s="1100" t="e">
        <f>IF($D$1212="",0,$D1374*Table3[[#This Row],[CF]]*chronic_consumption!$R174/1000/$C$3)</f>
        <v>#DIV/0!</v>
      </c>
      <c r="X1374" s="1100" t="e">
        <f>IF($D$1212="",0,$D1374*Table3[[#This Row],[CF]]*chronic_consumption!$S174/1000/$C$3)</f>
        <v>#DIV/0!</v>
      </c>
      <c r="Y1374" s="1100" t="e">
        <f>IF($D$1212="",0,$D1374*Table3[[#This Row],[CF]]*chronic_consumption!$T174/1000/$C$3)</f>
        <v>#DIV/0!</v>
      </c>
      <c r="Z1374" s="1100" t="e">
        <f>IF($D$1212="",0,$D1374*Table3[[#This Row],[CF]]*chronic_consumption!$U174/1000/$C$3)</f>
        <v>#DIV/0!</v>
      </c>
      <c r="AA1374" s="1100" t="e">
        <f>IF($D$1212="",0,$D1374*Table3[[#This Row],[CF]]*chronic_consumption!$V174/1000/$C$3)</f>
        <v>#DIV/0!</v>
      </c>
      <c r="AB1374" s="1100" t="e">
        <f>IF($D$1212="",0,$D1374*Table3[[#This Row],[CF]]*chronic_consumption!$W174/1000/$C$3)</f>
        <v>#DIV/0!</v>
      </c>
      <c r="AC1374" s="1100" t="e">
        <f>IF($D$1212="",0,$D1374*Table3[[#This Row],[CF]]*chronic_consumption!$X174/1000/$C$3)</f>
        <v>#DIV/0!</v>
      </c>
      <c r="AD1374" s="1100" t="e">
        <f>IF($D$1212="",0,$D1374*Table3[[#This Row],[CF]]*chronic_consumption!$Y174/1000/$C$3)</f>
        <v>#DIV/0!</v>
      </c>
      <c r="AE1374" s="1100" t="e">
        <f>IF($D$1212="",0,$D1374*Table3[[#This Row],[CF]]*chronic_consumption!$Z174/1000/$C$3)</f>
        <v>#DIV/0!</v>
      </c>
      <c r="AF1374" s="1100" t="e">
        <f>IF($D$1212="",0,$D1374*Table3[[#This Row],[CF]]*chronic_consumption!$AA174/1000/$C$3)</f>
        <v>#DIV/0!</v>
      </c>
      <c r="AG1374" s="1100" t="e">
        <f>IF($D$1212="",0,$D1374*Table3[[#This Row],[CF]]*chronic_consumption!$AB174/1000/$C$3)</f>
        <v>#DIV/0!</v>
      </c>
      <c r="AH1374" s="1100" t="e">
        <f>IF($D$1212="",0,$D1374*Table3[[#This Row],[CF]]*chronic_consumption!$AC174/1000/$C$3)</f>
        <v>#DIV/0!</v>
      </c>
      <c r="AI1374" s="1100" t="e">
        <f>IF($D$1212="",0,$D1374*Table3[[#This Row],[CF]]*chronic_consumption!$AD174/1000/$C$3)</f>
        <v>#DIV/0!</v>
      </c>
      <c r="AJ1374" s="1100" t="e">
        <f>IF($D$1212="",0,$D1374*Table3[[#This Row],[CF]]*chronic_consumption!$AE174/1000/$C$3)</f>
        <v>#DIV/0!</v>
      </c>
      <c r="AK1374" s="1100" t="e">
        <f>IF($D$1212="",0,$D1374*Table3[[#This Row],[CF]]*chronic_consumption!$AF174/1000/$C$3)</f>
        <v>#DIV/0!</v>
      </c>
      <c r="AL1374" s="1100" t="e">
        <f>IF($D$1212="",0,$D1374*Table3[[#This Row],[CF]]*chronic_consumption!$AG174/1000/$C$3)</f>
        <v>#DIV/0!</v>
      </c>
      <c r="AM1374" s="1100" t="e">
        <f>IF($D$1212="",0,$D1374*Table3[[#This Row],[CF]]*chronic_consumption!$AH174/1000/$C$3)</f>
        <v>#DIV/0!</v>
      </c>
      <c r="AN1374" s="1100" t="e">
        <f>IF($D$1212="",0,$D1374*Table3[[#This Row],[CF]]*chronic_consumption!$AI174/1000/$C$3)</f>
        <v>#DIV/0!</v>
      </c>
      <c r="AO1374" s="1100" t="e">
        <f>IF($D$1212="",0,$D1374*Table3[[#This Row],[CF]]*chronic_consumption!$AJ174/1000/$C$3)</f>
        <v>#DIV/0!</v>
      </c>
      <c r="AP1374" s="1100" t="e">
        <f>IF($D$1212="",0,$D1374*Table3[[#This Row],[CF]]*chronic_consumption!$AK174/1000/$C$3)</f>
        <v>#DIV/0!</v>
      </c>
      <c r="AQ1374" s="1100" t="e">
        <f>IF($D$1212="",0,$D1374*Table3[[#This Row],[CF]]*chronic_consumption!$AL174/1000/$C$3)</f>
        <v>#DIV/0!</v>
      </c>
      <c r="AR1374" s="1100" t="e">
        <f>IF($D$1212="",0,$D1374*Table3[[#This Row],[CF]]*chronic_consumption!$AM174/1000/$C$3)</f>
        <v>#DIV/0!</v>
      </c>
      <c r="AS1374" s="1100" t="e">
        <f>IF($D$1212="",0,$D1374*Table3[[#This Row],[CF]]*chronic_consumption!$AN174/1000/$C$3)</f>
        <v>#DIV/0!</v>
      </c>
      <c r="AT1374" s="1100" t="e">
        <f>IF($D$1212="",0,$D1374*Table3[[#This Row],[CF]]*chronic_consumption!$AO174/1000/$C$3)</f>
        <v>#DIV/0!</v>
      </c>
      <c r="AU1374" s="1101" t="e">
        <f t="shared" si="860"/>
        <v>#DIV/0!</v>
      </c>
      <c r="AV1374" s="1101" t="e">
        <f t="shared" si="860"/>
        <v>#DIV/0!</v>
      </c>
      <c r="AW1374" s="1101" t="e">
        <f t="shared" si="860"/>
        <v>#DIV/0!</v>
      </c>
      <c r="AX1374" s="1101" t="e">
        <f t="shared" si="860"/>
        <v>#DIV/0!</v>
      </c>
      <c r="AY1374" s="1101" t="e">
        <f t="shared" si="860"/>
        <v>#DIV/0!</v>
      </c>
      <c r="AZ1374" s="1091" t="s">
        <v>1012</v>
      </c>
      <c r="BA1374" s="1097" t="e">
        <f>IF(Table3[[#This Row],[max]]&lt;&gt;0,RANK(Table3[[#This Row],[max]],Table3[max],0),"")</f>
        <v>#DIV/0!</v>
      </c>
      <c r="BB1374" s="1096" t="e">
        <f t="shared" si="853"/>
        <v>#DIV/0!</v>
      </c>
      <c r="BC1374" s="1096" t="e">
        <f t="shared" ca="1" si="854"/>
        <v>#DIV/0!</v>
      </c>
      <c r="BD1374" s="1096" t="e">
        <f>IF(Table3[[#This Row],[max]]&gt;0,Table3[[#This Row],[Crop groups and examples of individual products within the groups to which the MRLs apply]],"")</f>
        <v>#DIV/0!</v>
      </c>
    </row>
    <row r="1375" spans="2:56" x14ac:dyDescent="0.2">
      <c r="B1375" s="3">
        <f t="shared" si="859"/>
        <v>254000</v>
      </c>
      <c r="C1375" s="3" t="str">
        <f t="shared" si="859"/>
        <v>Watercress</v>
      </c>
      <c r="D1375" s="1084">
        <f>input_values!E175</f>
        <v>0</v>
      </c>
      <c r="E1375" s="1084">
        <f>input_values!F175</f>
        <v>0</v>
      </c>
      <c r="F1375" s="1085">
        <f>input_values!W175</f>
        <v>1</v>
      </c>
      <c r="G1375" s="1085" t="str">
        <f>IF(Table3[[#This Row],[CF]]&gt;0,CONCATENATE(IF(Table3[[#This Row],[LOQ]]="*","LOQ","MRL"),IF(input_values!G175&gt;0,"×CFrisk","")),"")</f>
        <v>MRL</v>
      </c>
      <c r="H1375" s="1087">
        <f>input_values!L175</f>
        <v>0</v>
      </c>
      <c r="I1375" s="1088">
        <f>input_values!D175</f>
        <v>0</v>
      </c>
      <c r="J1375" s="1100" t="e">
        <f>IF($D$1212="",0,$D1375*Table3[[#This Row],[CF]]*chronic_consumption!$E175/1000/$C$3)</f>
        <v>#DIV/0!</v>
      </c>
      <c r="K1375" s="1100" t="e">
        <f>IF($D$1212="",0,$D1375*Table3[[#This Row],[CF]]*chronic_consumption!$F175/1000/$C$3)</f>
        <v>#DIV/0!</v>
      </c>
      <c r="L1375" s="1100" t="e">
        <f>IF($D$1212="",0,$D1375*Table3[[#This Row],[CF]]*chronic_consumption!$G175/1000/$C$3)</f>
        <v>#DIV/0!</v>
      </c>
      <c r="M1375" s="1100" t="e">
        <f>IF($D$1212="",0,$D1375*Table3[[#This Row],[CF]]*chronic_consumption!$H175/1000/$C$3)</f>
        <v>#DIV/0!</v>
      </c>
      <c r="N1375" s="1100" t="e">
        <f>IF($D$1212="",0,$D1375*Table3[[#This Row],[CF]]*chronic_consumption!$I175/1000/$C$3)</f>
        <v>#DIV/0!</v>
      </c>
      <c r="O1375" s="1100" t="e">
        <f>IF($D$1212="",0,$D1375*Table3[[#This Row],[CF]]*chronic_consumption!$J175/1000/$C$3)</f>
        <v>#DIV/0!</v>
      </c>
      <c r="P1375" s="1100" t="e">
        <f>IF($D$1212="",0,$D1375*Table3[[#This Row],[CF]]*chronic_consumption!$K175/1000/$C$3)</f>
        <v>#DIV/0!</v>
      </c>
      <c r="Q1375" s="1100" t="e">
        <f>IF($D$1212="",0,$D1375*Table3[[#This Row],[CF]]*chronic_consumption!$L175/1000/$C$3)</f>
        <v>#DIV/0!</v>
      </c>
      <c r="R1375" s="1100" t="e">
        <f>IF($D$1212="",0,$D1375*Table3[[#This Row],[CF]]*chronic_consumption!$M175/1000/$C$3)</f>
        <v>#DIV/0!</v>
      </c>
      <c r="S1375" s="1100" t="e">
        <f>IF($D$1212="",0,$D1375*Table3[[#This Row],[CF]]*chronic_consumption!$N175/1000/$C$3)</f>
        <v>#DIV/0!</v>
      </c>
      <c r="T1375" s="1100" t="e">
        <f>IF($D$1212="",0,$D1375*Table3[[#This Row],[CF]]*chronic_consumption!$O175/1000/$C$3)</f>
        <v>#DIV/0!</v>
      </c>
      <c r="U1375" s="1100" t="e">
        <f>IF($D$1212="",0,$D1375*Table3[[#This Row],[CF]]*chronic_consumption!$P175/1000/$C$3)</f>
        <v>#DIV/0!</v>
      </c>
      <c r="V1375" s="1100" t="e">
        <f>IF($D$1212="",0,$D1375*Table3[[#This Row],[CF]]*chronic_consumption!$Q175/1000/$C$3)</f>
        <v>#DIV/0!</v>
      </c>
      <c r="W1375" s="1100" t="e">
        <f>IF($D$1212="",0,$D1375*Table3[[#This Row],[CF]]*chronic_consumption!$R175/1000/$C$3)</f>
        <v>#DIV/0!</v>
      </c>
      <c r="X1375" s="1100" t="e">
        <f>IF($D$1212="",0,$D1375*Table3[[#This Row],[CF]]*chronic_consumption!$S175/1000/$C$3)</f>
        <v>#DIV/0!</v>
      </c>
      <c r="Y1375" s="1100" t="e">
        <f>IF($D$1212="",0,$D1375*Table3[[#This Row],[CF]]*chronic_consumption!$T175/1000/$C$3)</f>
        <v>#DIV/0!</v>
      </c>
      <c r="Z1375" s="1100" t="e">
        <f>IF($D$1212="",0,$D1375*Table3[[#This Row],[CF]]*chronic_consumption!$U175/1000/$C$3)</f>
        <v>#DIV/0!</v>
      </c>
      <c r="AA1375" s="1100" t="e">
        <f>IF($D$1212="",0,$D1375*Table3[[#This Row],[CF]]*chronic_consumption!$V175/1000/$C$3)</f>
        <v>#DIV/0!</v>
      </c>
      <c r="AB1375" s="1100" t="e">
        <f>IF($D$1212="",0,$D1375*Table3[[#This Row],[CF]]*chronic_consumption!$W175/1000/$C$3)</f>
        <v>#DIV/0!</v>
      </c>
      <c r="AC1375" s="1100" t="e">
        <f>IF($D$1212="",0,$D1375*Table3[[#This Row],[CF]]*chronic_consumption!$X175/1000/$C$3)</f>
        <v>#DIV/0!</v>
      </c>
      <c r="AD1375" s="1100" t="e">
        <f>IF($D$1212="",0,$D1375*Table3[[#This Row],[CF]]*chronic_consumption!$Y175/1000/$C$3)</f>
        <v>#DIV/0!</v>
      </c>
      <c r="AE1375" s="1100" t="e">
        <f>IF($D$1212="",0,$D1375*Table3[[#This Row],[CF]]*chronic_consumption!$Z175/1000/$C$3)</f>
        <v>#DIV/0!</v>
      </c>
      <c r="AF1375" s="1100" t="e">
        <f>IF($D$1212="",0,$D1375*Table3[[#This Row],[CF]]*chronic_consumption!$AA175/1000/$C$3)</f>
        <v>#DIV/0!</v>
      </c>
      <c r="AG1375" s="1100" t="e">
        <f>IF($D$1212="",0,$D1375*Table3[[#This Row],[CF]]*chronic_consumption!$AB175/1000/$C$3)</f>
        <v>#DIV/0!</v>
      </c>
      <c r="AH1375" s="1100" t="e">
        <f>IF($D$1212="",0,$D1375*Table3[[#This Row],[CF]]*chronic_consumption!$AC175/1000/$C$3)</f>
        <v>#DIV/0!</v>
      </c>
      <c r="AI1375" s="1100" t="e">
        <f>IF($D$1212="",0,$D1375*Table3[[#This Row],[CF]]*chronic_consumption!$AD175/1000/$C$3)</f>
        <v>#DIV/0!</v>
      </c>
      <c r="AJ1375" s="1100" t="e">
        <f>IF($D$1212="",0,$D1375*Table3[[#This Row],[CF]]*chronic_consumption!$AE175/1000/$C$3)</f>
        <v>#DIV/0!</v>
      </c>
      <c r="AK1375" s="1100" t="e">
        <f>IF($D$1212="",0,$D1375*Table3[[#This Row],[CF]]*chronic_consumption!$AF175/1000/$C$3)</f>
        <v>#DIV/0!</v>
      </c>
      <c r="AL1375" s="1100" t="e">
        <f>IF($D$1212="",0,$D1375*Table3[[#This Row],[CF]]*chronic_consumption!$AG175/1000/$C$3)</f>
        <v>#DIV/0!</v>
      </c>
      <c r="AM1375" s="1100" t="e">
        <f>IF($D$1212="",0,$D1375*Table3[[#This Row],[CF]]*chronic_consumption!$AH175/1000/$C$3)</f>
        <v>#DIV/0!</v>
      </c>
      <c r="AN1375" s="1100" t="e">
        <f>IF($D$1212="",0,$D1375*Table3[[#This Row],[CF]]*chronic_consumption!$AI175/1000/$C$3)</f>
        <v>#DIV/0!</v>
      </c>
      <c r="AO1375" s="1100" t="e">
        <f>IF($D$1212="",0,$D1375*Table3[[#This Row],[CF]]*chronic_consumption!$AJ175/1000/$C$3)</f>
        <v>#DIV/0!</v>
      </c>
      <c r="AP1375" s="1100" t="e">
        <f>IF($D$1212="",0,$D1375*Table3[[#This Row],[CF]]*chronic_consumption!$AK175/1000/$C$3)</f>
        <v>#DIV/0!</v>
      </c>
      <c r="AQ1375" s="1100" t="e">
        <f>IF($D$1212="",0,$D1375*Table3[[#This Row],[CF]]*chronic_consumption!$AL175/1000/$C$3)</f>
        <v>#DIV/0!</v>
      </c>
      <c r="AR1375" s="1100" t="e">
        <f>IF($D$1212="",0,$D1375*Table3[[#This Row],[CF]]*chronic_consumption!$AM175/1000/$C$3)</f>
        <v>#DIV/0!</v>
      </c>
      <c r="AS1375" s="1100" t="e">
        <f>IF($D$1212="",0,$D1375*Table3[[#This Row],[CF]]*chronic_consumption!$AN175/1000/$C$3)</f>
        <v>#DIV/0!</v>
      </c>
      <c r="AT1375" s="1100" t="e">
        <f>IF($D$1212="",0,$D1375*Table3[[#This Row],[CF]]*chronic_consumption!$AO175/1000/$C$3)</f>
        <v>#DIV/0!</v>
      </c>
      <c r="AU1375" s="1101" t="e">
        <f t="shared" si="860"/>
        <v>#DIV/0!</v>
      </c>
      <c r="AV1375" s="1101" t="e">
        <f t="shared" si="860"/>
        <v>#DIV/0!</v>
      </c>
      <c r="AW1375" s="1101" t="e">
        <f t="shared" si="860"/>
        <v>#DIV/0!</v>
      </c>
      <c r="AX1375" s="1101" t="e">
        <f t="shared" si="860"/>
        <v>#DIV/0!</v>
      </c>
      <c r="AY1375" s="1101" t="e">
        <f t="shared" si="860"/>
        <v>#DIV/0!</v>
      </c>
      <c r="AZ1375" s="1091" t="s">
        <v>1012</v>
      </c>
      <c r="BA1375" s="1097" t="e">
        <f>IF(Table3[[#This Row],[max]]&lt;&gt;0,RANK(Table3[[#This Row],[max]],Table3[max],0),"")</f>
        <v>#DIV/0!</v>
      </c>
      <c r="BB1375" s="1096" t="e">
        <f t="shared" si="853"/>
        <v>#DIV/0!</v>
      </c>
      <c r="BC1375" s="1096" t="e">
        <f t="shared" ca="1" si="854"/>
        <v>#DIV/0!</v>
      </c>
      <c r="BD1375" s="1096" t="e">
        <f>IF(Table3[[#This Row],[max]]&gt;0,Table3[[#This Row],[Crop groups and examples of individual products within the groups to which the MRLs apply]],"")</f>
        <v>#DIV/0!</v>
      </c>
    </row>
    <row r="1376" spans="2:56" x14ac:dyDescent="0.2">
      <c r="B1376" s="3">
        <f t="shared" si="859"/>
        <v>255000</v>
      </c>
      <c r="C1376" s="3" t="str">
        <f t="shared" si="859"/>
        <v>Witloofs/Belgian endives</v>
      </c>
      <c r="D1376" s="1084">
        <f>input_values!E176</f>
        <v>0</v>
      </c>
      <c r="E1376" s="1084">
        <f>input_values!F176</f>
        <v>0</v>
      </c>
      <c r="F1376" s="1085">
        <f>input_values!W176</f>
        <v>1</v>
      </c>
      <c r="G1376" s="1085" t="str">
        <f>IF(Table3[[#This Row],[CF]]&gt;0,CONCATENATE(IF(Table3[[#This Row],[LOQ]]="*","LOQ","MRL"),IF(input_values!G176&gt;0,"×CFrisk","")),"")</f>
        <v>MRL</v>
      </c>
      <c r="H1376" s="1087">
        <f>input_values!L176</f>
        <v>0</v>
      </c>
      <c r="I1376" s="1088">
        <f>input_values!D176</f>
        <v>0</v>
      </c>
      <c r="J1376" s="1100" t="e">
        <f>IF($D$1212="",0,$D1376*Table3[[#This Row],[CF]]*chronic_consumption!$E176/1000/$C$3)</f>
        <v>#DIV/0!</v>
      </c>
      <c r="K1376" s="1100" t="e">
        <f>IF($D$1212="",0,$D1376*Table3[[#This Row],[CF]]*chronic_consumption!$F176/1000/$C$3)</f>
        <v>#DIV/0!</v>
      </c>
      <c r="L1376" s="1100" t="e">
        <f>IF($D$1212="",0,$D1376*Table3[[#This Row],[CF]]*chronic_consumption!$G176/1000/$C$3)</f>
        <v>#DIV/0!</v>
      </c>
      <c r="M1376" s="1100" t="e">
        <f>IF($D$1212="",0,$D1376*Table3[[#This Row],[CF]]*chronic_consumption!$H176/1000/$C$3)</f>
        <v>#DIV/0!</v>
      </c>
      <c r="N1376" s="1100" t="e">
        <f>IF($D$1212="",0,$D1376*Table3[[#This Row],[CF]]*chronic_consumption!$I176/1000/$C$3)</f>
        <v>#DIV/0!</v>
      </c>
      <c r="O1376" s="1100" t="e">
        <f>IF($D$1212="",0,$D1376*Table3[[#This Row],[CF]]*chronic_consumption!$J176/1000/$C$3)</f>
        <v>#DIV/0!</v>
      </c>
      <c r="P1376" s="1100" t="e">
        <f>IF($D$1212="",0,$D1376*Table3[[#This Row],[CF]]*chronic_consumption!$K176/1000/$C$3)</f>
        <v>#DIV/0!</v>
      </c>
      <c r="Q1376" s="1100" t="e">
        <f>IF($D$1212="",0,$D1376*Table3[[#This Row],[CF]]*chronic_consumption!$L176/1000/$C$3)</f>
        <v>#DIV/0!</v>
      </c>
      <c r="R1376" s="1100" t="e">
        <f>IF($D$1212="",0,$D1376*Table3[[#This Row],[CF]]*chronic_consumption!$M176/1000/$C$3)</f>
        <v>#DIV/0!</v>
      </c>
      <c r="S1376" s="1100" t="e">
        <f>IF($D$1212="",0,$D1376*Table3[[#This Row],[CF]]*chronic_consumption!$N176/1000/$C$3)</f>
        <v>#DIV/0!</v>
      </c>
      <c r="T1376" s="1100" t="e">
        <f>IF($D$1212="",0,$D1376*Table3[[#This Row],[CF]]*chronic_consumption!$O176/1000/$C$3)</f>
        <v>#DIV/0!</v>
      </c>
      <c r="U1376" s="1100" t="e">
        <f>IF($D$1212="",0,$D1376*Table3[[#This Row],[CF]]*chronic_consumption!$P176/1000/$C$3)</f>
        <v>#DIV/0!</v>
      </c>
      <c r="V1376" s="1100" t="e">
        <f>IF($D$1212="",0,$D1376*Table3[[#This Row],[CF]]*chronic_consumption!$Q176/1000/$C$3)</f>
        <v>#DIV/0!</v>
      </c>
      <c r="W1376" s="1100" t="e">
        <f>IF($D$1212="",0,$D1376*Table3[[#This Row],[CF]]*chronic_consumption!$R176/1000/$C$3)</f>
        <v>#DIV/0!</v>
      </c>
      <c r="X1376" s="1100" t="e">
        <f>IF($D$1212="",0,$D1376*Table3[[#This Row],[CF]]*chronic_consumption!$S176/1000/$C$3)</f>
        <v>#DIV/0!</v>
      </c>
      <c r="Y1376" s="1100" t="e">
        <f>IF($D$1212="",0,$D1376*Table3[[#This Row],[CF]]*chronic_consumption!$T176/1000/$C$3)</f>
        <v>#DIV/0!</v>
      </c>
      <c r="Z1376" s="1100" t="e">
        <f>IF($D$1212="",0,$D1376*Table3[[#This Row],[CF]]*chronic_consumption!$U176/1000/$C$3)</f>
        <v>#DIV/0!</v>
      </c>
      <c r="AA1376" s="1100" t="e">
        <f>IF($D$1212="",0,$D1376*Table3[[#This Row],[CF]]*chronic_consumption!$V176/1000/$C$3)</f>
        <v>#DIV/0!</v>
      </c>
      <c r="AB1376" s="1100" t="e">
        <f>IF($D$1212="",0,$D1376*Table3[[#This Row],[CF]]*chronic_consumption!$W176/1000/$C$3)</f>
        <v>#DIV/0!</v>
      </c>
      <c r="AC1376" s="1100" t="e">
        <f>IF($D$1212="",0,$D1376*Table3[[#This Row],[CF]]*chronic_consumption!$X176/1000/$C$3)</f>
        <v>#DIV/0!</v>
      </c>
      <c r="AD1376" s="1100" t="e">
        <f>IF($D$1212="",0,$D1376*Table3[[#This Row],[CF]]*chronic_consumption!$Y176/1000/$C$3)</f>
        <v>#DIV/0!</v>
      </c>
      <c r="AE1376" s="1100" t="e">
        <f>IF($D$1212="",0,$D1376*Table3[[#This Row],[CF]]*chronic_consumption!$Z176/1000/$C$3)</f>
        <v>#DIV/0!</v>
      </c>
      <c r="AF1376" s="1100" t="e">
        <f>IF($D$1212="",0,$D1376*Table3[[#This Row],[CF]]*chronic_consumption!$AA176/1000/$C$3)</f>
        <v>#DIV/0!</v>
      </c>
      <c r="AG1376" s="1100" t="e">
        <f>IF($D$1212="",0,$D1376*Table3[[#This Row],[CF]]*chronic_consumption!$AB176/1000/$C$3)</f>
        <v>#DIV/0!</v>
      </c>
      <c r="AH1376" s="1100" t="e">
        <f>IF($D$1212="",0,$D1376*Table3[[#This Row],[CF]]*chronic_consumption!$AC176/1000/$C$3)</f>
        <v>#DIV/0!</v>
      </c>
      <c r="AI1376" s="1100" t="e">
        <f>IF($D$1212="",0,$D1376*Table3[[#This Row],[CF]]*chronic_consumption!$AD176/1000/$C$3)</f>
        <v>#DIV/0!</v>
      </c>
      <c r="AJ1376" s="1100" t="e">
        <f>IF($D$1212="",0,$D1376*Table3[[#This Row],[CF]]*chronic_consumption!$AE176/1000/$C$3)</f>
        <v>#DIV/0!</v>
      </c>
      <c r="AK1376" s="1100" t="e">
        <f>IF($D$1212="",0,$D1376*Table3[[#This Row],[CF]]*chronic_consumption!$AF176/1000/$C$3)</f>
        <v>#DIV/0!</v>
      </c>
      <c r="AL1376" s="1100" t="e">
        <f>IF($D$1212="",0,$D1376*Table3[[#This Row],[CF]]*chronic_consumption!$AG176/1000/$C$3)</f>
        <v>#DIV/0!</v>
      </c>
      <c r="AM1376" s="1100" t="e">
        <f>IF($D$1212="",0,$D1376*Table3[[#This Row],[CF]]*chronic_consumption!$AH176/1000/$C$3)</f>
        <v>#DIV/0!</v>
      </c>
      <c r="AN1376" s="1100" t="e">
        <f>IF($D$1212="",0,$D1376*Table3[[#This Row],[CF]]*chronic_consumption!$AI176/1000/$C$3)</f>
        <v>#DIV/0!</v>
      </c>
      <c r="AO1376" s="1100" t="e">
        <f>IF($D$1212="",0,$D1376*Table3[[#This Row],[CF]]*chronic_consumption!$AJ176/1000/$C$3)</f>
        <v>#DIV/0!</v>
      </c>
      <c r="AP1376" s="1100" t="e">
        <f>IF($D$1212="",0,$D1376*Table3[[#This Row],[CF]]*chronic_consumption!$AK176/1000/$C$3)</f>
        <v>#DIV/0!</v>
      </c>
      <c r="AQ1376" s="1100" t="e">
        <f>IF($D$1212="",0,$D1376*Table3[[#This Row],[CF]]*chronic_consumption!$AL176/1000/$C$3)</f>
        <v>#DIV/0!</v>
      </c>
      <c r="AR1376" s="1100" t="e">
        <f>IF($D$1212="",0,$D1376*Table3[[#This Row],[CF]]*chronic_consumption!$AM176/1000/$C$3)</f>
        <v>#DIV/0!</v>
      </c>
      <c r="AS1376" s="1100" t="e">
        <f>IF($D$1212="",0,$D1376*Table3[[#This Row],[CF]]*chronic_consumption!$AN176/1000/$C$3)</f>
        <v>#DIV/0!</v>
      </c>
      <c r="AT1376" s="1100" t="e">
        <f>IF($D$1212="",0,$D1376*Table3[[#This Row],[CF]]*chronic_consumption!$AO176/1000/$C$3)</f>
        <v>#DIV/0!</v>
      </c>
      <c r="AU1376" s="1101" t="e">
        <f t="shared" si="860"/>
        <v>#DIV/0!</v>
      </c>
      <c r="AV1376" s="1101" t="e">
        <f t="shared" si="860"/>
        <v>#DIV/0!</v>
      </c>
      <c r="AW1376" s="1101" t="e">
        <f t="shared" si="860"/>
        <v>#DIV/0!</v>
      </c>
      <c r="AX1376" s="1101" t="e">
        <f t="shared" si="860"/>
        <v>#DIV/0!</v>
      </c>
      <c r="AY1376" s="1101" t="e">
        <f t="shared" si="860"/>
        <v>#DIV/0!</v>
      </c>
      <c r="AZ1376" s="1091" t="s">
        <v>1012</v>
      </c>
      <c r="BA1376" s="1097" t="e">
        <f>IF(Table3[[#This Row],[max]]&lt;&gt;0,RANK(Table3[[#This Row],[max]],Table3[max],0),"")</f>
        <v>#DIV/0!</v>
      </c>
      <c r="BB1376" s="1096" t="e">
        <f t="shared" si="853"/>
        <v>#DIV/0!</v>
      </c>
      <c r="BC1376" s="1096" t="e">
        <f t="shared" ca="1" si="854"/>
        <v>#DIV/0!</v>
      </c>
      <c r="BD1376" s="1096" t="e">
        <f>IF(Table3[[#This Row],[max]]&gt;0,Table3[[#This Row],[Crop groups and examples of individual products within the groups to which the MRLs apply]],"")</f>
        <v>#DIV/0!</v>
      </c>
    </row>
    <row r="1377" spans="2:56" x14ac:dyDescent="0.2">
      <c r="B1377" s="3">
        <f t="shared" si="859"/>
        <v>256000</v>
      </c>
      <c r="C1377" s="3" t="str">
        <f t="shared" si="859"/>
        <v>Herbs and edible flowers</v>
      </c>
      <c r="D1377" s="1084">
        <f>input_values!E177</f>
        <v>0</v>
      </c>
      <c r="E1377" s="1084">
        <f>input_values!F177</f>
        <v>0</v>
      </c>
      <c r="F1377" s="1085">
        <f>input_values!W177</f>
        <v>0</v>
      </c>
      <c r="G1377" s="1085" t="str">
        <f>IF(Table3[[#This Row],[CF]]&gt;0,CONCATENATE(IF(Table3[[#This Row],[LOQ]]="*","LOQ","MRL"),IF(input_values!G177&gt;0,"×CFrisk","")),"")</f>
        <v/>
      </c>
      <c r="H1377" s="1087">
        <f>input_values!L177</f>
        <v>0</v>
      </c>
      <c r="I1377" s="1088">
        <f>input_values!D177</f>
        <v>0</v>
      </c>
      <c r="J1377" s="1100" t="e">
        <f>IF($D$1212="",0,$D1377*Table3[[#This Row],[CF]]*chronic_consumption!$E177/1000/$C$3)</f>
        <v>#DIV/0!</v>
      </c>
      <c r="K1377" s="1100" t="e">
        <f>IF($D$1212="",0,$D1377*Table3[[#This Row],[CF]]*chronic_consumption!$F177/1000/$C$3)</f>
        <v>#DIV/0!</v>
      </c>
      <c r="L1377" s="1100" t="e">
        <f>IF($D$1212="",0,$D1377*Table3[[#This Row],[CF]]*chronic_consumption!$G177/1000/$C$3)</f>
        <v>#DIV/0!</v>
      </c>
      <c r="M1377" s="1100" t="e">
        <f>IF($D$1212="",0,$D1377*Table3[[#This Row],[CF]]*chronic_consumption!$H177/1000/$C$3)</f>
        <v>#DIV/0!</v>
      </c>
      <c r="N1377" s="1100" t="e">
        <f>IF($D$1212="",0,$D1377*Table3[[#This Row],[CF]]*chronic_consumption!$I177/1000/$C$3)</f>
        <v>#DIV/0!</v>
      </c>
      <c r="O1377" s="1100" t="e">
        <f>IF($D$1212="",0,$D1377*Table3[[#This Row],[CF]]*chronic_consumption!$J177/1000/$C$3)</f>
        <v>#DIV/0!</v>
      </c>
      <c r="P1377" s="1100" t="e">
        <f>IF($D$1212="",0,$D1377*Table3[[#This Row],[CF]]*chronic_consumption!$K177/1000/$C$3)</f>
        <v>#DIV/0!</v>
      </c>
      <c r="Q1377" s="1100" t="e">
        <f>IF($D$1212="",0,$D1377*Table3[[#This Row],[CF]]*chronic_consumption!$L177/1000/$C$3)</f>
        <v>#DIV/0!</v>
      </c>
      <c r="R1377" s="1100" t="e">
        <f>IF($D$1212="",0,$D1377*Table3[[#This Row],[CF]]*chronic_consumption!$M177/1000/$C$3)</f>
        <v>#DIV/0!</v>
      </c>
      <c r="S1377" s="1100" t="e">
        <f>IF($D$1212="",0,$D1377*Table3[[#This Row],[CF]]*chronic_consumption!$N177/1000/$C$3)</f>
        <v>#DIV/0!</v>
      </c>
      <c r="T1377" s="1100" t="e">
        <f>IF($D$1212="",0,$D1377*Table3[[#This Row],[CF]]*chronic_consumption!$O177/1000/$C$3)</f>
        <v>#DIV/0!</v>
      </c>
      <c r="U1377" s="1100" t="e">
        <f>IF($D$1212="",0,$D1377*Table3[[#This Row],[CF]]*chronic_consumption!$P177/1000/$C$3)</f>
        <v>#DIV/0!</v>
      </c>
      <c r="V1377" s="1100" t="e">
        <f>IF($D$1212="",0,$D1377*Table3[[#This Row],[CF]]*chronic_consumption!$Q177/1000/$C$3)</f>
        <v>#DIV/0!</v>
      </c>
      <c r="W1377" s="1100" t="e">
        <f>IF($D$1212="",0,$D1377*Table3[[#This Row],[CF]]*chronic_consumption!$R177/1000/$C$3)</f>
        <v>#DIV/0!</v>
      </c>
      <c r="X1377" s="1100" t="e">
        <f>IF($D$1212="",0,$D1377*Table3[[#This Row],[CF]]*chronic_consumption!$S177/1000/$C$3)</f>
        <v>#DIV/0!</v>
      </c>
      <c r="Y1377" s="1100" t="e">
        <f>IF($D$1212="",0,$D1377*Table3[[#This Row],[CF]]*chronic_consumption!$T177/1000/$C$3)</f>
        <v>#DIV/0!</v>
      </c>
      <c r="Z1377" s="1100" t="e">
        <f>IF($D$1212="",0,$D1377*Table3[[#This Row],[CF]]*chronic_consumption!$U177/1000/$C$3)</f>
        <v>#DIV/0!</v>
      </c>
      <c r="AA1377" s="1100" t="e">
        <f>IF($D$1212="",0,$D1377*Table3[[#This Row],[CF]]*chronic_consumption!$V177/1000/$C$3)</f>
        <v>#DIV/0!</v>
      </c>
      <c r="AB1377" s="1100" t="e">
        <f>IF($D$1212="",0,$D1377*Table3[[#This Row],[CF]]*chronic_consumption!$W177/1000/$C$3)</f>
        <v>#DIV/0!</v>
      </c>
      <c r="AC1377" s="1100" t="e">
        <f>IF($D$1212="",0,$D1377*Table3[[#This Row],[CF]]*chronic_consumption!$X177/1000/$C$3)</f>
        <v>#DIV/0!</v>
      </c>
      <c r="AD1377" s="1100" t="e">
        <f>IF($D$1212="",0,$D1377*Table3[[#This Row],[CF]]*chronic_consumption!$Y177/1000/$C$3)</f>
        <v>#DIV/0!</v>
      </c>
      <c r="AE1377" s="1100" t="e">
        <f>IF($D$1212="",0,$D1377*Table3[[#This Row],[CF]]*chronic_consumption!$Z177/1000/$C$3)</f>
        <v>#DIV/0!</v>
      </c>
      <c r="AF1377" s="1100" t="e">
        <f>IF($D$1212="",0,$D1377*Table3[[#This Row],[CF]]*chronic_consumption!$AA177/1000/$C$3)</f>
        <v>#DIV/0!</v>
      </c>
      <c r="AG1377" s="1100" t="e">
        <f>IF($D$1212="",0,$D1377*Table3[[#This Row],[CF]]*chronic_consumption!$AB177/1000/$C$3)</f>
        <v>#DIV/0!</v>
      </c>
      <c r="AH1377" s="1100" t="e">
        <f>IF($D$1212="",0,$D1377*Table3[[#This Row],[CF]]*chronic_consumption!$AC177/1000/$C$3)</f>
        <v>#DIV/0!</v>
      </c>
      <c r="AI1377" s="1100" t="e">
        <f>IF($D$1212="",0,$D1377*Table3[[#This Row],[CF]]*chronic_consumption!$AD177/1000/$C$3)</f>
        <v>#DIV/0!</v>
      </c>
      <c r="AJ1377" s="1100" t="e">
        <f>IF($D$1212="",0,$D1377*Table3[[#This Row],[CF]]*chronic_consumption!$AE177/1000/$C$3)</f>
        <v>#DIV/0!</v>
      </c>
      <c r="AK1377" s="1100" t="e">
        <f>IF($D$1212="",0,$D1377*Table3[[#This Row],[CF]]*chronic_consumption!$AF177/1000/$C$3)</f>
        <v>#DIV/0!</v>
      </c>
      <c r="AL1377" s="1100" t="e">
        <f>IF($D$1212="",0,$D1377*Table3[[#This Row],[CF]]*chronic_consumption!$AG177/1000/$C$3)</f>
        <v>#DIV/0!</v>
      </c>
      <c r="AM1377" s="1100" t="e">
        <f>IF($D$1212="",0,$D1377*Table3[[#This Row],[CF]]*chronic_consumption!$AH177/1000/$C$3)</f>
        <v>#DIV/0!</v>
      </c>
      <c r="AN1377" s="1100" t="e">
        <f>IF($D$1212="",0,$D1377*Table3[[#This Row],[CF]]*chronic_consumption!$AI177/1000/$C$3)</f>
        <v>#DIV/0!</v>
      </c>
      <c r="AO1377" s="1100" t="e">
        <f>IF($D$1212="",0,$D1377*Table3[[#This Row],[CF]]*chronic_consumption!$AJ177/1000/$C$3)</f>
        <v>#DIV/0!</v>
      </c>
      <c r="AP1377" s="1100" t="e">
        <f>IF($D$1212="",0,$D1377*Table3[[#This Row],[CF]]*chronic_consumption!$AK177/1000/$C$3)</f>
        <v>#DIV/0!</v>
      </c>
      <c r="AQ1377" s="1100" t="e">
        <f>IF($D$1212="",0,$D1377*Table3[[#This Row],[CF]]*chronic_consumption!$AL177/1000/$C$3)</f>
        <v>#DIV/0!</v>
      </c>
      <c r="AR1377" s="1100" t="e">
        <f>IF($D$1212="",0,$D1377*Table3[[#This Row],[CF]]*chronic_consumption!$AM177/1000/$C$3)</f>
        <v>#DIV/0!</v>
      </c>
      <c r="AS1377" s="1100" t="e">
        <f>IF($D$1212="",0,$D1377*Table3[[#This Row],[CF]]*chronic_consumption!$AN177/1000/$C$3)</f>
        <v>#DIV/0!</v>
      </c>
      <c r="AT1377" s="1100" t="e">
        <f>IF($D$1212="",0,$D1377*Table3[[#This Row],[CF]]*chronic_consumption!$AO177/1000/$C$3)</f>
        <v>#DIV/0!</v>
      </c>
      <c r="AU1377" s="1101" t="e">
        <f t="shared" si="860"/>
        <v>#DIV/0!</v>
      </c>
      <c r="AV1377" s="1101" t="e">
        <f t="shared" si="860"/>
        <v>#DIV/0!</v>
      </c>
      <c r="AW1377" s="1101" t="e">
        <f t="shared" si="860"/>
        <v>#DIV/0!</v>
      </c>
      <c r="AX1377" s="1101" t="e">
        <f t="shared" si="860"/>
        <v>#DIV/0!</v>
      </c>
      <c r="AY1377" s="1101" t="e">
        <f t="shared" si="860"/>
        <v>#DIV/0!</v>
      </c>
      <c r="AZ1377" s="1091" t="s">
        <v>1012</v>
      </c>
      <c r="BA1377" s="1097" t="e">
        <f>IF(Table3[[#This Row],[max]]&lt;&gt;0,RANK(Table3[[#This Row],[max]],Table3[max],0),"")</f>
        <v>#DIV/0!</v>
      </c>
      <c r="BB1377" s="1096" t="e">
        <f t="shared" si="853"/>
        <v>#DIV/0!</v>
      </c>
      <c r="BC1377" s="1096" t="e">
        <f t="shared" ca="1" si="854"/>
        <v>#DIV/0!</v>
      </c>
      <c r="BD1377" s="1096" t="e">
        <f>IF(Table3[[#This Row],[max]]&gt;0,Table3[[#This Row],[Crop groups and examples of individual products within the groups to which the MRLs apply]],"")</f>
        <v>#DIV/0!</v>
      </c>
    </row>
    <row r="1378" spans="2:56" x14ac:dyDescent="0.2">
      <c r="B1378" s="23">
        <f t="shared" si="859"/>
        <v>256010</v>
      </c>
      <c r="C1378" s="23" t="str">
        <f t="shared" si="859"/>
        <v>Chervil</v>
      </c>
      <c r="D1378" s="1084">
        <f>input_values!E178</f>
        <v>0</v>
      </c>
      <c r="E1378" s="1084">
        <f>input_values!F178</f>
        <v>0</v>
      </c>
      <c r="F1378" s="1085">
        <f>input_values!W178</f>
        <v>1</v>
      </c>
      <c r="G1378" s="1085" t="str">
        <f>IF(Table3[[#This Row],[CF]]&gt;0,CONCATENATE(IF(Table3[[#This Row],[LOQ]]="*","LOQ","MRL"),IF(input_values!G178&gt;0,"×CFrisk","")),"")</f>
        <v>MRL</v>
      </c>
      <c r="H1378" s="1087">
        <f>input_values!L178</f>
        <v>0</v>
      </c>
      <c r="I1378" s="1088">
        <f>input_values!D178</f>
        <v>0</v>
      </c>
      <c r="J1378" s="1098" t="e">
        <f>IF($D$1212="",0,$D1378*Table3[[#This Row],[CF]]*chronic_consumption!$E178/1000/$C$3)</f>
        <v>#DIV/0!</v>
      </c>
      <c r="K1378" s="1098" t="e">
        <f>IF($D$1212="",0,$D1378*Table3[[#This Row],[CF]]*chronic_consumption!$F178/1000/$C$3)</f>
        <v>#DIV/0!</v>
      </c>
      <c r="L1378" s="1098" t="e">
        <f>IF($D$1212="",0,$D1378*Table3[[#This Row],[CF]]*chronic_consumption!$G178/1000/$C$3)</f>
        <v>#DIV/0!</v>
      </c>
      <c r="M1378" s="1098" t="e">
        <f>IF($D$1212="",0,$D1378*Table3[[#This Row],[CF]]*chronic_consumption!$H178/1000/$C$3)</f>
        <v>#DIV/0!</v>
      </c>
      <c r="N1378" s="1098" t="e">
        <f>IF($D$1212="",0,$D1378*Table3[[#This Row],[CF]]*chronic_consumption!$I178/1000/$C$3)</f>
        <v>#DIV/0!</v>
      </c>
      <c r="O1378" s="1098" t="e">
        <f>IF($D$1212="",0,$D1378*Table3[[#This Row],[CF]]*chronic_consumption!$J178/1000/$C$3)</f>
        <v>#DIV/0!</v>
      </c>
      <c r="P1378" s="1098" t="e">
        <f>IF($D$1212="",0,$D1378*Table3[[#This Row],[CF]]*chronic_consumption!$K178/1000/$C$3)</f>
        <v>#DIV/0!</v>
      </c>
      <c r="Q1378" s="1098" t="e">
        <f>IF($D$1212="",0,$D1378*Table3[[#This Row],[CF]]*chronic_consumption!$L178/1000/$C$3)</f>
        <v>#DIV/0!</v>
      </c>
      <c r="R1378" s="1098" t="e">
        <f>IF($D$1212="",0,$D1378*Table3[[#This Row],[CF]]*chronic_consumption!$M178/1000/$C$3)</f>
        <v>#DIV/0!</v>
      </c>
      <c r="S1378" s="1098" t="e">
        <f>IF($D$1212="",0,$D1378*Table3[[#This Row],[CF]]*chronic_consumption!$N178/1000/$C$3)</f>
        <v>#DIV/0!</v>
      </c>
      <c r="T1378" s="1098" t="e">
        <f>IF($D$1212="",0,$D1378*Table3[[#This Row],[CF]]*chronic_consumption!$O178/1000/$C$3)</f>
        <v>#DIV/0!</v>
      </c>
      <c r="U1378" s="1098" t="e">
        <f>IF($D$1212="",0,$D1378*Table3[[#This Row],[CF]]*chronic_consumption!$P178/1000/$C$3)</f>
        <v>#DIV/0!</v>
      </c>
      <c r="V1378" s="1098" t="e">
        <f>IF($D$1212="",0,$D1378*Table3[[#This Row],[CF]]*chronic_consumption!$Q178/1000/$C$3)</f>
        <v>#DIV/0!</v>
      </c>
      <c r="W1378" s="1098" t="e">
        <f>IF($D$1212="",0,$D1378*Table3[[#This Row],[CF]]*chronic_consumption!$R178/1000/$C$3)</f>
        <v>#DIV/0!</v>
      </c>
      <c r="X1378" s="1098" t="e">
        <f>IF($D$1212="",0,$D1378*Table3[[#This Row],[CF]]*chronic_consumption!$S178/1000/$C$3)</f>
        <v>#DIV/0!</v>
      </c>
      <c r="Y1378" s="1098" t="e">
        <f>IF($D$1212="",0,$D1378*Table3[[#This Row],[CF]]*chronic_consumption!$T178/1000/$C$3)</f>
        <v>#DIV/0!</v>
      </c>
      <c r="Z1378" s="1098" t="e">
        <f>IF($D$1212="",0,$D1378*Table3[[#This Row],[CF]]*chronic_consumption!$U178/1000/$C$3)</f>
        <v>#DIV/0!</v>
      </c>
      <c r="AA1378" s="1098" t="e">
        <f>IF($D$1212="",0,$D1378*Table3[[#This Row],[CF]]*chronic_consumption!$V178/1000/$C$3)</f>
        <v>#DIV/0!</v>
      </c>
      <c r="AB1378" s="1098" t="e">
        <f>IF($D$1212="",0,$D1378*Table3[[#This Row],[CF]]*chronic_consumption!$W178/1000/$C$3)</f>
        <v>#DIV/0!</v>
      </c>
      <c r="AC1378" s="1098" t="e">
        <f>IF($D$1212="",0,$D1378*Table3[[#This Row],[CF]]*chronic_consumption!$X178/1000/$C$3)</f>
        <v>#DIV/0!</v>
      </c>
      <c r="AD1378" s="1098" t="e">
        <f>IF($D$1212="",0,$D1378*Table3[[#This Row],[CF]]*chronic_consumption!$Y178/1000/$C$3)</f>
        <v>#DIV/0!</v>
      </c>
      <c r="AE1378" s="1098" t="e">
        <f>IF($D$1212="",0,$D1378*Table3[[#This Row],[CF]]*chronic_consumption!$Z178/1000/$C$3)</f>
        <v>#DIV/0!</v>
      </c>
      <c r="AF1378" s="1098" t="e">
        <f>IF($D$1212="",0,$D1378*Table3[[#This Row],[CF]]*chronic_consumption!$AA178/1000/$C$3)</f>
        <v>#DIV/0!</v>
      </c>
      <c r="AG1378" s="1098" t="e">
        <f>IF($D$1212="",0,$D1378*Table3[[#This Row],[CF]]*chronic_consumption!$AB178/1000/$C$3)</f>
        <v>#DIV/0!</v>
      </c>
      <c r="AH1378" s="1098" t="e">
        <f>IF($D$1212="",0,$D1378*Table3[[#This Row],[CF]]*chronic_consumption!$AC178/1000/$C$3)</f>
        <v>#DIV/0!</v>
      </c>
      <c r="AI1378" s="1098" t="e">
        <f>IF($D$1212="",0,$D1378*Table3[[#This Row],[CF]]*chronic_consumption!$AD178/1000/$C$3)</f>
        <v>#DIV/0!</v>
      </c>
      <c r="AJ1378" s="1098" t="e">
        <f>IF($D$1212="",0,$D1378*Table3[[#This Row],[CF]]*chronic_consumption!$AE178/1000/$C$3)</f>
        <v>#DIV/0!</v>
      </c>
      <c r="AK1378" s="1098" t="e">
        <f>IF($D$1212="",0,$D1378*Table3[[#This Row],[CF]]*chronic_consumption!$AF178/1000/$C$3)</f>
        <v>#DIV/0!</v>
      </c>
      <c r="AL1378" s="1098" t="e">
        <f>IF($D$1212="",0,$D1378*Table3[[#This Row],[CF]]*chronic_consumption!$AG178/1000/$C$3)</f>
        <v>#DIV/0!</v>
      </c>
      <c r="AM1378" s="1098" t="e">
        <f>IF($D$1212="",0,$D1378*Table3[[#This Row],[CF]]*chronic_consumption!$AH178/1000/$C$3)</f>
        <v>#DIV/0!</v>
      </c>
      <c r="AN1378" s="1098" t="e">
        <f>IF($D$1212="",0,$D1378*Table3[[#This Row],[CF]]*chronic_consumption!$AI178/1000/$C$3)</f>
        <v>#DIV/0!</v>
      </c>
      <c r="AO1378" s="1098" t="e">
        <f>IF($D$1212="",0,$D1378*Table3[[#This Row],[CF]]*chronic_consumption!$AJ178/1000/$C$3)</f>
        <v>#DIV/0!</v>
      </c>
      <c r="AP1378" s="1098" t="e">
        <f>IF($D$1212="",0,$D1378*Table3[[#This Row],[CF]]*chronic_consumption!$AK178/1000/$C$3)</f>
        <v>#DIV/0!</v>
      </c>
      <c r="AQ1378" s="1098" t="e">
        <f>IF($D$1212="",0,$D1378*Table3[[#This Row],[CF]]*chronic_consumption!$AL178/1000/$C$3)</f>
        <v>#DIV/0!</v>
      </c>
      <c r="AR1378" s="1098" t="e">
        <f>IF($D$1212="",0,$D1378*Table3[[#This Row],[CF]]*chronic_consumption!$AM178/1000/$C$3)</f>
        <v>#DIV/0!</v>
      </c>
      <c r="AS1378" s="1098" t="e">
        <f>IF($D$1212="",0,$D1378*Table3[[#This Row],[CF]]*chronic_consumption!$AN178/1000/$C$3)</f>
        <v>#DIV/0!</v>
      </c>
      <c r="AT1378" s="1098" t="e">
        <f>IF($D$1212="",0,$D1378*Table3[[#This Row],[CF]]*chronic_consumption!$AO178/1000/$C$3)</f>
        <v>#DIV/0!</v>
      </c>
      <c r="AU1378" s="1099" t="e">
        <f t="shared" si="860"/>
        <v>#DIV/0!</v>
      </c>
      <c r="AV1378" s="1099" t="e">
        <f t="shared" si="860"/>
        <v>#DIV/0!</v>
      </c>
      <c r="AW1378" s="1099" t="e">
        <f t="shared" si="860"/>
        <v>#DIV/0!</v>
      </c>
      <c r="AX1378" s="1099" t="e">
        <f t="shared" si="860"/>
        <v>#DIV/0!</v>
      </c>
      <c r="AY1378" s="1099" t="e">
        <f t="shared" si="860"/>
        <v>#DIV/0!</v>
      </c>
      <c r="AZ1378" s="1091" t="s">
        <v>1012</v>
      </c>
      <c r="BA1378" s="1097" t="e">
        <f>IF(Table3[[#This Row],[max]]&lt;&gt;0,RANK(Table3[[#This Row],[max]],Table3[max],0),"")</f>
        <v>#DIV/0!</v>
      </c>
      <c r="BB1378" s="1096" t="e">
        <f t="shared" si="853"/>
        <v>#DIV/0!</v>
      </c>
      <c r="BC1378" s="1096" t="e">
        <f t="shared" ca="1" si="854"/>
        <v>#DIV/0!</v>
      </c>
      <c r="BD1378" s="1096" t="e">
        <f>IF(Table3[[#This Row],[max]]&gt;0,Table3[[#This Row],[Crop groups and examples of individual products within the groups to which the MRLs apply]],"")</f>
        <v>#DIV/0!</v>
      </c>
    </row>
    <row r="1379" spans="2:56" x14ac:dyDescent="0.2">
      <c r="B1379" s="23">
        <f t="shared" si="859"/>
        <v>256020</v>
      </c>
      <c r="C1379" s="23" t="str">
        <f t="shared" si="859"/>
        <v>Chives</v>
      </c>
      <c r="D1379" s="1084">
        <f>input_values!E179</f>
        <v>0</v>
      </c>
      <c r="E1379" s="1084">
        <f>input_values!F179</f>
        <v>0</v>
      </c>
      <c r="F1379" s="1085">
        <f>input_values!W179</f>
        <v>1</v>
      </c>
      <c r="G1379" s="1085" t="str">
        <f>IF(Table3[[#This Row],[CF]]&gt;0,CONCATENATE(IF(Table3[[#This Row],[LOQ]]="*","LOQ","MRL"),IF(input_values!G179&gt;0,"×CFrisk","")),"")</f>
        <v>MRL</v>
      </c>
      <c r="H1379" s="1087">
        <f>input_values!L179</f>
        <v>0</v>
      </c>
      <c r="I1379" s="1088">
        <f>input_values!D179</f>
        <v>0</v>
      </c>
      <c r="J1379" s="1098" t="e">
        <f>IF($D$1212="",0,$D1379*Table3[[#This Row],[CF]]*chronic_consumption!$E179/1000/$C$3)</f>
        <v>#DIV/0!</v>
      </c>
      <c r="K1379" s="1098" t="e">
        <f>IF($D$1212="",0,$D1379*Table3[[#This Row],[CF]]*chronic_consumption!$F179/1000/$C$3)</f>
        <v>#DIV/0!</v>
      </c>
      <c r="L1379" s="1098" t="e">
        <f>IF($D$1212="",0,$D1379*Table3[[#This Row],[CF]]*chronic_consumption!$G179/1000/$C$3)</f>
        <v>#DIV/0!</v>
      </c>
      <c r="M1379" s="1098" t="e">
        <f>IF($D$1212="",0,$D1379*Table3[[#This Row],[CF]]*chronic_consumption!$H179/1000/$C$3)</f>
        <v>#DIV/0!</v>
      </c>
      <c r="N1379" s="1098" t="e">
        <f>IF($D$1212="",0,$D1379*Table3[[#This Row],[CF]]*chronic_consumption!$I179/1000/$C$3)</f>
        <v>#DIV/0!</v>
      </c>
      <c r="O1379" s="1098" t="e">
        <f>IF($D$1212="",0,$D1379*Table3[[#This Row],[CF]]*chronic_consumption!$J179/1000/$C$3)</f>
        <v>#DIV/0!</v>
      </c>
      <c r="P1379" s="1098" t="e">
        <f>IF($D$1212="",0,$D1379*Table3[[#This Row],[CF]]*chronic_consumption!$K179/1000/$C$3)</f>
        <v>#DIV/0!</v>
      </c>
      <c r="Q1379" s="1098" t="e">
        <f>IF($D$1212="",0,$D1379*Table3[[#This Row],[CF]]*chronic_consumption!$L179/1000/$C$3)</f>
        <v>#DIV/0!</v>
      </c>
      <c r="R1379" s="1098" t="e">
        <f>IF($D$1212="",0,$D1379*Table3[[#This Row],[CF]]*chronic_consumption!$M179/1000/$C$3)</f>
        <v>#DIV/0!</v>
      </c>
      <c r="S1379" s="1098" t="e">
        <f>IF($D$1212="",0,$D1379*Table3[[#This Row],[CF]]*chronic_consumption!$N179/1000/$C$3)</f>
        <v>#DIV/0!</v>
      </c>
      <c r="T1379" s="1098" t="e">
        <f>IF($D$1212="",0,$D1379*Table3[[#This Row],[CF]]*chronic_consumption!$O179/1000/$C$3)</f>
        <v>#DIV/0!</v>
      </c>
      <c r="U1379" s="1098" t="e">
        <f>IF($D$1212="",0,$D1379*Table3[[#This Row],[CF]]*chronic_consumption!$P179/1000/$C$3)</f>
        <v>#DIV/0!</v>
      </c>
      <c r="V1379" s="1098" t="e">
        <f>IF($D$1212="",0,$D1379*Table3[[#This Row],[CF]]*chronic_consumption!$Q179/1000/$C$3)</f>
        <v>#DIV/0!</v>
      </c>
      <c r="W1379" s="1098" t="e">
        <f>IF($D$1212="",0,$D1379*Table3[[#This Row],[CF]]*chronic_consumption!$R179/1000/$C$3)</f>
        <v>#DIV/0!</v>
      </c>
      <c r="X1379" s="1098" t="e">
        <f>IF($D$1212="",0,$D1379*Table3[[#This Row],[CF]]*chronic_consumption!$S179/1000/$C$3)</f>
        <v>#DIV/0!</v>
      </c>
      <c r="Y1379" s="1098" t="e">
        <f>IF($D$1212="",0,$D1379*Table3[[#This Row],[CF]]*chronic_consumption!$T179/1000/$C$3)</f>
        <v>#DIV/0!</v>
      </c>
      <c r="Z1379" s="1098" t="e">
        <f>IF($D$1212="",0,$D1379*Table3[[#This Row],[CF]]*chronic_consumption!$U179/1000/$C$3)</f>
        <v>#DIV/0!</v>
      </c>
      <c r="AA1379" s="1098" t="e">
        <f>IF($D$1212="",0,$D1379*Table3[[#This Row],[CF]]*chronic_consumption!$V179/1000/$C$3)</f>
        <v>#DIV/0!</v>
      </c>
      <c r="AB1379" s="1098" t="e">
        <f>IF($D$1212="",0,$D1379*Table3[[#This Row],[CF]]*chronic_consumption!$W179/1000/$C$3)</f>
        <v>#DIV/0!</v>
      </c>
      <c r="AC1379" s="1098" t="e">
        <f>IF($D$1212="",0,$D1379*Table3[[#This Row],[CF]]*chronic_consumption!$X179/1000/$C$3)</f>
        <v>#DIV/0!</v>
      </c>
      <c r="AD1379" s="1098" t="e">
        <f>IF($D$1212="",0,$D1379*Table3[[#This Row],[CF]]*chronic_consumption!$Y179/1000/$C$3)</f>
        <v>#DIV/0!</v>
      </c>
      <c r="AE1379" s="1098" t="e">
        <f>IF($D$1212="",0,$D1379*Table3[[#This Row],[CF]]*chronic_consumption!$Z179/1000/$C$3)</f>
        <v>#DIV/0!</v>
      </c>
      <c r="AF1379" s="1098" t="e">
        <f>IF($D$1212="",0,$D1379*Table3[[#This Row],[CF]]*chronic_consumption!$AA179/1000/$C$3)</f>
        <v>#DIV/0!</v>
      </c>
      <c r="AG1379" s="1098" t="e">
        <f>IF($D$1212="",0,$D1379*Table3[[#This Row],[CF]]*chronic_consumption!$AB179/1000/$C$3)</f>
        <v>#DIV/0!</v>
      </c>
      <c r="AH1379" s="1098" t="e">
        <f>IF($D$1212="",0,$D1379*Table3[[#This Row],[CF]]*chronic_consumption!$AC179/1000/$C$3)</f>
        <v>#DIV/0!</v>
      </c>
      <c r="AI1379" s="1098" t="e">
        <f>IF($D$1212="",0,$D1379*Table3[[#This Row],[CF]]*chronic_consumption!$AD179/1000/$C$3)</f>
        <v>#DIV/0!</v>
      </c>
      <c r="AJ1379" s="1098" t="e">
        <f>IF($D$1212="",0,$D1379*Table3[[#This Row],[CF]]*chronic_consumption!$AE179/1000/$C$3)</f>
        <v>#DIV/0!</v>
      </c>
      <c r="AK1379" s="1098" t="e">
        <f>IF($D$1212="",0,$D1379*Table3[[#This Row],[CF]]*chronic_consumption!$AF179/1000/$C$3)</f>
        <v>#DIV/0!</v>
      </c>
      <c r="AL1379" s="1098" t="e">
        <f>IF($D$1212="",0,$D1379*Table3[[#This Row],[CF]]*chronic_consumption!$AG179/1000/$C$3)</f>
        <v>#DIV/0!</v>
      </c>
      <c r="AM1379" s="1098" t="e">
        <f>IF($D$1212="",0,$D1379*Table3[[#This Row],[CF]]*chronic_consumption!$AH179/1000/$C$3)</f>
        <v>#DIV/0!</v>
      </c>
      <c r="AN1379" s="1098" t="e">
        <f>IF($D$1212="",0,$D1379*Table3[[#This Row],[CF]]*chronic_consumption!$AI179/1000/$C$3)</f>
        <v>#DIV/0!</v>
      </c>
      <c r="AO1379" s="1098" t="e">
        <f>IF($D$1212="",0,$D1379*Table3[[#This Row],[CF]]*chronic_consumption!$AJ179/1000/$C$3)</f>
        <v>#DIV/0!</v>
      </c>
      <c r="AP1379" s="1098" t="e">
        <f>IF($D$1212="",0,$D1379*Table3[[#This Row],[CF]]*chronic_consumption!$AK179/1000/$C$3)</f>
        <v>#DIV/0!</v>
      </c>
      <c r="AQ1379" s="1098" t="e">
        <f>IF($D$1212="",0,$D1379*Table3[[#This Row],[CF]]*chronic_consumption!$AL179/1000/$C$3)</f>
        <v>#DIV/0!</v>
      </c>
      <c r="AR1379" s="1098" t="e">
        <f>IF($D$1212="",0,$D1379*Table3[[#This Row],[CF]]*chronic_consumption!$AM179/1000/$C$3)</f>
        <v>#DIV/0!</v>
      </c>
      <c r="AS1379" s="1098" t="e">
        <f>IF($D$1212="",0,$D1379*Table3[[#This Row],[CF]]*chronic_consumption!$AN179/1000/$C$3)</f>
        <v>#DIV/0!</v>
      </c>
      <c r="AT1379" s="1098" t="e">
        <f>IF($D$1212="",0,$D1379*Table3[[#This Row],[CF]]*chronic_consumption!$AO179/1000/$C$3)</f>
        <v>#DIV/0!</v>
      </c>
      <c r="AU1379" s="1099" t="e">
        <f t="shared" si="860"/>
        <v>#DIV/0!</v>
      </c>
      <c r="AV1379" s="1099" t="e">
        <f t="shared" si="860"/>
        <v>#DIV/0!</v>
      </c>
      <c r="AW1379" s="1099" t="e">
        <f t="shared" si="860"/>
        <v>#DIV/0!</v>
      </c>
      <c r="AX1379" s="1099" t="e">
        <f t="shared" si="860"/>
        <v>#DIV/0!</v>
      </c>
      <c r="AY1379" s="1099" t="e">
        <f t="shared" si="860"/>
        <v>#DIV/0!</v>
      </c>
      <c r="AZ1379" s="1091" t="s">
        <v>1012</v>
      </c>
      <c r="BA1379" s="1097" t="e">
        <f>IF(Table3[[#This Row],[max]]&lt;&gt;0,RANK(Table3[[#This Row],[max]],Table3[max],0),"")</f>
        <v>#DIV/0!</v>
      </c>
      <c r="BB1379" s="1096" t="e">
        <f t="shared" si="853"/>
        <v>#DIV/0!</v>
      </c>
      <c r="BC1379" s="1096" t="e">
        <f t="shared" ca="1" si="854"/>
        <v>#DIV/0!</v>
      </c>
      <c r="BD1379" s="1096" t="e">
        <f>IF(Table3[[#This Row],[max]]&gt;0,Table3[[#This Row],[Crop groups and examples of individual products within the groups to which the MRLs apply]],"")</f>
        <v>#DIV/0!</v>
      </c>
    </row>
    <row r="1380" spans="2:56" x14ac:dyDescent="0.2">
      <c r="B1380" s="23">
        <f t="shared" si="859"/>
        <v>256030</v>
      </c>
      <c r="C1380" s="23" t="str">
        <f t="shared" si="859"/>
        <v>Celery leaves</v>
      </c>
      <c r="D1380" s="1084">
        <f>input_values!E180</f>
        <v>0</v>
      </c>
      <c r="E1380" s="1084">
        <f>input_values!F180</f>
        <v>0</v>
      </c>
      <c r="F1380" s="1085">
        <f>input_values!W180</f>
        <v>1</v>
      </c>
      <c r="G1380" s="1085" t="str">
        <f>IF(Table3[[#This Row],[CF]]&gt;0,CONCATENATE(IF(Table3[[#This Row],[LOQ]]="*","LOQ","MRL"),IF(input_values!G180&gt;0,"×CFrisk","")),"")</f>
        <v>MRL</v>
      </c>
      <c r="H1380" s="1087">
        <f>input_values!L180</f>
        <v>0</v>
      </c>
      <c r="I1380" s="1088">
        <f>input_values!D180</f>
        <v>0</v>
      </c>
      <c r="J1380" s="1098" t="e">
        <f>IF($D$1212="",0,$D1380*Table3[[#This Row],[CF]]*chronic_consumption!$E180/1000/$C$3)</f>
        <v>#DIV/0!</v>
      </c>
      <c r="K1380" s="1098" t="e">
        <f>IF($D$1212="",0,$D1380*Table3[[#This Row],[CF]]*chronic_consumption!$F180/1000/$C$3)</f>
        <v>#DIV/0!</v>
      </c>
      <c r="L1380" s="1098" t="e">
        <f>IF($D$1212="",0,$D1380*Table3[[#This Row],[CF]]*chronic_consumption!$G180/1000/$C$3)</f>
        <v>#DIV/0!</v>
      </c>
      <c r="M1380" s="1098" t="e">
        <f>IF($D$1212="",0,$D1380*Table3[[#This Row],[CF]]*chronic_consumption!$H180/1000/$C$3)</f>
        <v>#DIV/0!</v>
      </c>
      <c r="N1380" s="1098" t="e">
        <f>IF($D$1212="",0,$D1380*Table3[[#This Row],[CF]]*chronic_consumption!$I180/1000/$C$3)</f>
        <v>#DIV/0!</v>
      </c>
      <c r="O1380" s="1098" t="e">
        <f>IF($D$1212="",0,$D1380*Table3[[#This Row],[CF]]*chronic_consumption!$J180/1000/$C$3)</f>
        <v>#DIV/0!</v>
      </c>
      <c r="P1380" s="1098" t="e">
        <f>IF($D$1212="",0,$D1380*Table3[[#This Row],[CF]]*chronic_consumption!$K180/1000/$C$3)</f>
        <v>#DIV/0!</v>
      </c>
      <c r="Q1380" s="1098" t="e">
        <f>IF($D$1212="",0,$D1380*Table3[[#This Row],[CF]]*chronic_consumption!$L180/1000/$C$3)</f>
        <v>#DIV/0!</v>
      </c>
      <c r="R1380" s="1098" t="e">
        <f>IF($D$1212="",0,$D1380*Table3[[#This Row],[CF]]*chronic_consumption!$M180/1000/$C$3)</f>
        <v>#DIV/0!</v>
      </c>
      <c r="S1380" s="1098" t="e">
        <f>IF($D$1212="",0,$D1380*Table3[[#This Row],[CF]]*chronic_consumption!$N180/1000/$C$3)</f>
        <v>#DIV/0!</v>
      </c>
      <c r="T1380" s="1098" t="e">
        <f>IF($D$1212="",0,$D1380*Table3[[#This Row],[CF]]*chronic_consumption!$O180/1000/$C$3)</f>
        <v>#DIV/0!</v>
      </c>
      <c r="U1380" s="1098" t="e">
        <f>IF($D$1212="",0,$D1380*Table3[[#This Row],[CF]]*chronic_consumption!$P180/1000/$C$3)</f>
        <v>#DIV/0!</v>
      </c>
      <c r="V1380" s="1098" t="e">
        <f>IF($D$1212="",0,$D1380*Table3[[#This Row],[CF]]*chronic_consumption!$Q180/1000/$C$3)</f>
        <v>#DIV/0!</v>
      </c>
      <c r="W1380" s="1098" t="e">
        <f>IF($D$1212="",0,$D1380*Table3[[#This Row],[CF]]*chronic_consumption!$R180/1000/$C$3)</f>
        <v>#DIV/0!</v>
      </c>
      <c r="X1380" s="1098" t="e">
        <f>IF($D$1212="",0,$D1380*Table3[[#This Row],[CF]]*chronic_consumption!$S180/1000/$C$3)</f>
        <v>#DIV/0!</v>
      </c>
      <c r="Y1380" s="1098" t="e">
        <f>IF($D$1212="",0,$D1380*Table3[[#This Row],[CF]]*chronic_consumption!$T180/1000/$C$3)</f>
        <v>#DIV/0!</v>
      </c>
      <c r="Z1380" s="1098" t="e">
        <f>IF($D$1212="",0,$D1380*Table3[[#This Row],[CF]]*chronic_consumption!$U180/1000/$C$3)</f>
        <v>#DIV/0!</v>
      </c>
      <c r="AA1380" s="1098" t="e">
        <f>IF($D$1212="",0,$D1380*Table3[[#This Row],[CF]]*chronic_consumption!$V180/1000/$C$3)</f>
        <v>#DIV/0!</v>
      </c>
      <c r="AB1380" s="1098" t="e">
        <f>IF($D$1212="",0,$D1380*Table3[[#This Row],[CF]]*chronic_consumption!$W180/1000/$C$3)</f>
        <v>#DIV/0!</v>
      </c>
      <c r="AC1380" s="1098" t="e">
        <f>IF($D$1212="",0,$D1380*Table3[[#This Row],[CF]]*chronic_consumption!$X180/1000/$C$3)</f>
        <v>#DIV/0!</v>
      </c>
      <c r="AD1380" s="1098" t="e">
        <f>IF($D$1212="",0,$D1380*Table3[[#This Row],[CF]]*chronic_consumption!$Y180/1000/$C$3)</f>
        <v>#DIV/0!</v>
      </c>
      <c r="AE1380" s="1098" t="e">
        <f>IF($D$1212="",0,$D1380*Table3[[#This Row],[CF]]*chronic_consumption!$Z180/1000/$C$3)</f>
        <v>#DIV/0!</v>
      </c>
      <c r="AF1380" s="1098" t="e">
        <f>IF($D$1212="",0,$D1380*Table3[[#This Row],[CF]]*chronic_consumption!$AA180/1000/$C$3)</f>
        <v>#DIV/0!</v>
      </c>
      <c r="AG1380" s="1098" t="e">
        <f>IF($D$1212="",0,$D1380*Table3[[#This Row],[CF]]*chronic_consumption!$AB180/1000/$C$3)</f>
        <v>#DIV/0!</v>
      </c>
      <c r="AH1380" s="1098" t="e">
        <f>IF($D$1212="",0,$D1380*Table3[[#This Row],[CF]]*chronic_consumption!$AC180/1000/$C$3)</f>
        <v>#DIV/0!</v>
      </c>
      <c r="AI1380" s="1098" t="e">
        <f>IF($D$1212="",0,$D1380*Table3[[#This Row],[CF]]*chronic_consumption!$AD180/1000/$C$3)</f>
        <v>#DIV/0!</v>
      </c>
      <c r="AJ1380" s="1098" t="e">
        <f>IF($D$1212="",0,$D1380*Table3[[#This Row],[CF]]*chronic_consumption!$AE180/1000/$C$3)</f>
        <v>#DIV/0!</v>
      </c>
      <c r="AK1380" s="1098" t="e">
        <f>IF($D$1212="",0,$D1380*Table3[[#This Row],[CF]]*chronic_consumption!$AF180/1000/$C$3)</f>
        <v>#DIV/0!</v>
      </c>
      <c r="AL1380" s="1098" t="e">
        <f>IF($D$1212="",0,$D1380*Table3[[#This Row],[CF]]*chronic_consumption!$AG180/1000/$C$3)</f>
        <v>#DIV/0!</v>
      </c>
      <c r="AM1380" s="1098" t="e">
        <f>IF($D$1212="",0,$D1380*Table3[[#This Row],[CF]]*chronic_consumption!$AH180/1000/$C$3)</f>
        <v>#DIV/0!</v>
      </c>
      <c r="AN1380" s="1098" t="e">
        <f>IF($D$1212="",0,$D1380*Table3[[#This Row],[CF]]*chronic_consumption!$AI180/1000/$C$3)</f>
        <v>#DIV/0!</v>
      </c>
      <c r="AO1380" s="1098" t="e">
        <f>IF($D$1212="",0,$D1380*Table3[[#This Row],[CF]]*chronic_consumption!$AJ180/1000/$C$3)</f>
        <v>#DIV/0!</v>
      </c>
      <c r="AP1380" s="1098" t="e">
        <f>IF($D$1212="",0,$D1380*Table3[[#This Row],[CF]]*chronic_consumption!$AK180/1000/$C$3)</f>
        <v>#DIV/0!</v>
      </c>
      <c r="AQ1380" s="1098" t="e">
        <f>IF($D$1212="",0,$D1380*Table3[[#This Row],[CF]]*chronic_consumption!$AL180/1000/$C$3)</f>
        <v>#DIV/0!</v>
      </c>
      <c r="AR1380" s="1098" t="e">
        <f>IF($D$1212="",0,$D1380*Table3[[#This Row],[CF]]*chronic_consumption!$AM180/1000/$C$3)</f>
        <v>#DIV/0!</v>
      </c>
      <c r="AS1380" s="1098" t="e">
        <f>IF($D$1212="",0,$D1380*Table3[[#This Row],[CF]]*chronic_consumption!$AN180/1000/$C$3)</f>
        <v>#DIV/0!</v>
      </c>
      <c r="AT1380" s="1098" t="e">
        <f>IF($D$1212="",0,$D1380*Table3[[#This Row],[CF]]*chronic_consumption!$AO180/1000/$C$3)</f>
        <v>#DIV/0!</v>
      </c>
      <c r="AU1380" s="1099" t="e">
        <f t="shared" si="860"/>
        <v>#DIV/0!</v>
      </c>
      <c r="AV1380" s="1099" t="e">
        <f t="shared" si="860"/>
        <v>#DIV/0!</v>
      </c>
      <c r="AW1380" s="1099" t="e">
        <f t="shared" si="860"/>
        <v>#DIV/0!</v>
      </c>
      <c r="AX1380" s="1099" t="e">
        <f t="shared" si="860"/>
        <v>#DIV/0!</v>
      </c>
      <c r="AY1380" s="1099" t="e">
        <f t="shared" si="860"/>
        <v>#DIV/0!</v>
      </c>
      <c r="AZ1380" s="1091" t="s">
        <v>1012</v>
      </c>
      <c r="BA1380" s="1097" t="e">
        <f>IF(Table3[[#This Row],[max]]&lt;&gt;0,RANK(Table3[[#This Row],[max]],Table3[max],0),"")</f>
        <v>#DIV/0!</v>
      </c>
      <c r="BB1380" s="1096" t="e">
        <f t="shared" si="853"/>
        <v>#DIV/0!</v>
      </c>
      <c r="BC1380" s="1096" t="e">
        <f t="shared" ca="1" si="854"/>
        <v>#DIV/0!</v>
      </c>
      <c r="BD1380" s="1096" t="e">
        <f>IF(Table3[[#This Row],[max]]&gt;0,Table3[[#This Row],[Crop groups and examples of individual products within the groups to which the MRLs apply]],"")</f>
        <v>#DIV/0!</v>
      </c>
    </row>
    <row r="1381" spans="2:56" x14ac:dyDescent="0.2">
      <c r="B1381" s="23">
        <f t="shared" si="859"/>
        <v>256040</v>
      </c>
      <c r="C1381" s="23" t="str">
        <f t="shared" si="859"/>
        <v>Parsley</v>
      </c>
      <c r="D1381" s="1084">
        <f>input_values!E181</f>
        <v>0</v>
      </c>
      <c r="E1381" s="1084">
        <f>input_values!F181</f>
        <v>0</v>
      </c>
      <c r="F1381" s="1085">
        <f>input_values!W181</f>
        <v>1</v>
      </c>
      <c r="G1381" s="1085" t="str">
        <f>IF(Table3[[#This Row],[CF]]&gt;0,CONCATENATE(IF(Table3[[#This Row],[LOQ]]="*","LOQ","MRL"),IF(input_values!G181&gt;0,"×CFrisk","")),"")</f>
        <v>MRL</v>
      </c>
      <c r="H1381" s="1087">
        <f>input_values!L181</f>
        <v>0</v>
      </c>
      <c r="I1381" s="1088">
        <f>input_values!D181</f>
        <v>0</v>
      </c>
      <c r="J1381" s="1098" t="e">
        <f>IF($D$1212="",0,$D1381*Table3[[#This Row],[CF]]*chronic_consumption!$E181/1000/$C$3)</f>
        <v>#DIV/0!</v>
      </c>
      <c r="K1381" s="1098" t="e">
        <f>IF($D$1212="",0,$D1381*Table3[[#This Row],[CF]]*chronic_consumption!$F181/1000/$C$3)</f>
        <v>#DIV/0!</v>
      </c>
      <c r="L1381" s="1098" t="e">
        <f>IF($D$1212="",0,$D1381*Table3[[#This Row],[CF]]*chronic_consumption!$G181/1000/$C$3)</f>
        <v>#DIV/0!</v>
      </c>
      <c r="M1381" s="1098" t="e">
        <f>IF($D$1212="",0,$D1381*Table3[[#This Row],[CF]]*chronic_consumption!$H181/1000/$C$3)</f>
        <v>#DIV/0!</v>
      </c>
      <c r="N1381" s="1098" t="e">
        <f>IF($D$1212="",0,$D1381*Table3[[#This Row],[CF]]*chronic_consumption!$I181/1000/$C$3)</f>
        <v>#DIV/0!</v>
      </c>
      <c r="O1381" s="1098" t="e">
        <f>IF($D$1212="",0,$D1381*Table3[[#This Row],[CF]]*chronic_consumption!$J181/1000/$C$3)</f>
        <v>#DIV/0!</v>
      </c>
      <c r="P1381" s="1098" t="e">
        <f>IF($D$1212="",0,$D1381*Table3[[#This Row],[CF]]*chronic_consumption!$K181/1000/$C$3)</f>
        <v>#DIV/0!</v>
      </c>
      <c r="Q1381" s="1098" t="e">
        <f>IF($D$1212="",0,$D1381*Table3[[#This Row],[CF]]*chronic_consumption!$L181/1000/$C$3)</f>
        <v>#DIV/0!</v>
      </c>
      <c r="R1381" s="1098" t="e">
        <f>IF($D$1212="",0,$D1381*Table3[[#This Row],[CF]]*chronic_consumption!$M181/1000/$C$3)</f>
        <v>#DIV/0!</v>
      </c>
      <c r="S1381" s="1098" t="e">
        <f>IF($D$1212="",0,$D1381*Table3[[#This Row],[CF]]*chronic_consumption!$N181/1000/$C$3)</f>
        <v>#DIV/0!</v>
      </c>
      <c r="T1381" s="1098" t="e">
        <f>IF($D$1212="",0,$D1381*Table3[[#This Row],[CF]]*chronic_consumption!$O181/1000/$C$3)</f>
        <v>#DIV/0!</v>
      </c>
      <c r="U1381" s="1098" t="e">
        <f>IF($D$1212="",0,$D1381*Table3[[#This Row],[CF]]*chronic_consumption!$P181/1000/$C$3)</f>
        <v>#DIV/0!</v>
      </c>
      <c r="V1381" s="1098" t="e">
        <f>IF($D$1212="",0,$D1381*Table3[[#This Row],[CF]]*chronic_consumption!$Q181/1000/$C$3)</f>
        <v>#DIV/0!</v>
      </c>
      <c r="W1381" s="1098" t="e">
        <f>IF($D$1212="",0,$D1381*Table3[[#This Row],[CF]]*chronic_consumption!$R181/1000/$C$3)</f>
        <v>#DIV/0!</v>
      </c>
      <c r="X1381" s="1098" t="e">
        <f>IF($D$1212="",0,$D1381*Table3[[#This Row],[CF]]*chronic_consumption!$S181/1000/$C$3)</f>
        <v>#DIV/0!</v>
      </c>
      <c r="Y1381" s="1098" t="e">
        <f>IF($D$1212="",0,$D1381*Table3[[#This Row],[CF]]*chronic_consumption!$T181/1000/$C$3)</f>
        <v>#DIV/0!</v>
      </c>
      <c r="Z1381" s="1098" t="e">
        <f>IF($D$1212="",0,$D1381*Table3[[#This Row],[CF]]*chronic_consumption!$U181/1000/$C$3)</f>
        <v>#DIV/0!</v>
      </c>
      <c r="AA1381" s="1098" t="e">
        <f>IF($D$1212="",0,$D1381*Table3[[#This Row],[CF]]*chronic_consumption!$V181/1000/$C$3)</f>
        <v>#DIV/0!</v>
      </c>
      <c r="AB1381" s="1098" t="e">
        <f>IF($D$1212="",0,$D1381*Table3[[#This Row],[CF]]*chronic_consumption!$W181/1000/$C$3)</f>
        <v>#DIV/0!</v>
      </c>
      <c r="AC1381" s="1098" t="e">
        <f>IF($D$1212="",0,$D1381*Table3[[#This Row],[CF]]*chronic_consumption!$X181/1000/$C$3)</f>
        <v>#DIV/0!</v>
      </c>
      <c r="AD1381" s="1098" t="e">
        <f>IF($D$1212="",0,$D1381*Table3[[#This Row],[CF]]*chronic_consumption!$Y181/1000/$C$3)</f>
        <v>#DIV/0!</v>
      </c>
      <c r="AE1381" s="1098" t="e">
        <f>IF($D$1212="",0,$D1381*Table3[[#This Row],[CF]]*chronic_consumption!$Z181/1000/$C$3)</f>
        <v>#DIV/0!</v>
      </c>
      <c r="AF1381" s="1098" t="e">
        <f>IF($D$1212="",0,$D1381*Table3[[#This Row],[CF]]*chronic_consumption!$AA181/1000/$C$3)</f>
        <v>#DIV/0!</v>
      </c>
      <c r="AG1381" s="1098" t="e">
        <f>IF($D$1212="",0,$D1381*Table3[[#This Row],[CF]]*chronic_consumption!$AB181/1000/$C$3)</f>
        <v>#DIV/0!</v>
      </c>
      <c r="AH1381" s="1098" t="e">
        <f>IF($D$1212="",0,$D1381*Table3[[#This Row],[CF]]*chronic_consumption!$AC181/1000/$C$3)</f>
        <v>#DIV/0!</v>
      </c>
      <c r="AI1381" s="1098" t="e">
        <f>IF($D$1212="",0,$D1381*Table3[[#This Row],[CF]]*chronic_consumption!$AD181/1000/$C$3)</f>
        <v>#DIV/0!</v>
      </c>
      <c r="AJ1381" s="1098" t="e">
        <f>IF($D$1212="",0,$D1381*Table3[[#This Row],[CF]]*chronic_consumption!$AE181/1000/$C$3)</f>
        <v>#DIV/0!</v>
      </c>
      <c r="AK1381" s="1098" t="e">
        <f>IF($D$1212="",0,$D1381*Table3[[#This Row],[CF]]*chronic_consumption!$AF181/1000/$C$3)</f>
        <v>#DIV/0!</v>
      </c>
      <c r="AL1381" s="1098" t="e">
        <f>IF($D$1212="",0,$D1381*Table3[[#This Row],[CF]]*chronic_consumption!$AG181/1000/$C$3)</f>
        <v>#DIV/0!</v>
      </c>
      <c r="AM1381" s="1098" t="e">
        <f>IF($D$1212="",0,$D1381*Table3[[#This Row],[CF]]*chronic_consumption!$AH181/1000/$C$3)</f>
        <v>#DIV/0!</v>
      </c>
      <c r="AN1381" s="1098" t="e">
        <f>IF($D$1212="",0,$D1381*Table3[[#This Row],[CF]]*chronic_consumption!$AI181/1000/$C$3)</f>
        <v>#DIV/0!</v>
      </c>
      <c r="AO1381" s="1098" t="e">
        <f>IF($D$1212="",0,$D1381*Table3[[#This Row],[CF]]*chronic_consumption!$AJ181/1000/$C$3)</f>
        <v>#DIV/0!</v>
      </c>
      <c r="AP1381" s="1098" t="e">
        <f>IF($D$1212="",0,$D1381*Table3[[#This Row],[CF]]*chronic_consumption!$AK181/1000/$C$3)</f>
        <v>#DIV/0!</v>
      </c>
      <c r="AQ1381" s="1098" t="e">
        <f>IF($D$1212="",0,$D1381*Table3[[#This Row],[CF]]*chronic_consumption!$AL181/1000/$C$3)</f>
        <v>#DIV/0!</v>
      </c>
      <c r="AR1381" s="1098" t="e">
        <f>IF($D$1212="",0,$D1381*Table3[[#This Row],[CF]]*chronic_consumption!$AM181/1000/$C$3)</f>
        <v>#DIV/0!</v>
      </c>
      <c r="AS1381" s="1098" t="e">
        <f>IF($D$1212="",0,$D1381*Table3[[#This Row],[CF]]*chronic_consumption!$AN181/1000/$C$3)</f>
        <v>#DIV/0!</v>
      </c>
      <c r="AT1381" s="1098" t="e">
        <f>IF($D$1212="",0,$D1381*Table3[[#This Row],[CF]]*chronic_consumption!$AO181/1000/$C$3)</f>
        <v>#DIV/0!</v>
      </c>
      <c r="AU1381" s="1099" t="e">
        <f t="shared" si="860"/>
        <v>#DIV/0!</v>
      </c>
      <c r="AV1381" s="1099" t="e">
        <f t="shared" si="860"/>
        <v>#DIV/0!</v>
      </c>
      <c r="AW1381" s="1099" t="e">
        <f t="shared" si="860"/>
        <v>#DIV/0!</v>
      </c>
      <c r="AX1381" s="1099" t="e">
        <f t="shared" si="860"/>
        <v>#DIV/0!</v>
      </c>
      <c r="AY1381" s="1099" t="e">
        <f t="shared" si="860"/>
        <v>#DIV/0!</v>
      </c>
      <c r="AZ1381" s="1091" t="s">
        <v>1012</v>
      </c>
      <c r="BA1381" s="1097" t="e">
        <f>IF(Table3[[#This Row],[max]]&lt;&gt;0,RANK(Table3[[#This Row],[max]],Table3[max],0),"")</f>
        <v>#DIV/0!</v>
      </c>
      <c r="BB1381" s="1096" t="e">
        <f t="shared" si="853"/>
        <v>#DIV/0!</v>
      </c>
      <c r="BC1381" s="1096" t="e">
        <f t="shared" ca="1" si="854"/>
        <v>#DIV/0!</v>
      </c>
      <c r="BD1381" s="1096" t="e">
        <f>IF(Table3[[#This Row],[max]]&gt;0,Table3[[#This Row],[Crop groups and examples of individual products within the groups to which the MRLs apply]],"")</f>
        <v>#DIV/0!</v>
      </c>
    </row>
    <row r="1382" spans="2:56" x14ac:dyDescent="0.2">
      <c r="B1382" s="23">
        <f t="shared" si="859"/>
        <v>256050</v>
      </c>
      <c r="C1382" s="23" t="str">
        <f t="shared" si="859"/>
        <v>Sage</v>
      </c>
      <c r="D1382" s="1084">
        <f>input_values!E182</f>
        <v>0</v>
      </c>
      <c r="E1382" s="1084">
        <f>input_values!F182</f>
        <v>0</v>
      </c>
      <c r="F1382" s="1085">
        <f>input_values!W182</f>
        <v>1</v>
      </c>
      <c r="G1382" s="1085" t="str">
        <f>IF(Table3[[#This Row],[CF]]&gt;0,CONCATENATE(IF(Table3[[#This Row],[LOQ]]="*","LOQ","MRL"),IF(input_values!G182&gt;0,"×CFrisk","")),"")</f>
        <v>MRL</v>
      </c>
      <c r="H1382" s="1087">
        <f>input_values!L182</f>
        <v>0</v>
      </c>
      <c r="I1382" s="1088">
        <f>input_values!D182</f>
        <v>0</v>
      </c>
      <c r="J1382" s="1098" t="e">
        <f>IF($D$1212="",0,$D1382*Table3[[#This Row],[CF]]*chronic_consumption!$E182/1000/$C$3)</f>
        <v>#DIV/0!</v>
      </c>
      <c r="K1382" s="1098" t="e">
        <f>IF($D$1212="",0,$D1382*Table3[[#This Row],[CF]]*chronic_consumption!$F182/1000/$C$3)</f>
        <v>#DIV/0!</v>
      </c>
      <c r="L1382" s="1098" t="e">
        <f>IF($D$1212="",0,$D1382*Table3[[#This Row],[CF]]*chronic_consumption!$G182/1000/$C$3)</f>
        <v>#DIV/0!</v>
      </c>
      <c r="M1382" s="1098" t="e">
        <f>IF($D$1212="",0,$D1382*Table3[[#This Row],[CF]]*chronic_consumption!$H182/1000/$C$3)</f>
        <v>#DIV/0!</v>
      </c>
      <c r="N1382" s="1098" t="e">
        <f>IF($D$1212="",0,$D1382*Table3[[#This Row],[CF]]*chronic_consumption!$I182/1000/$C$3)</f>
        <v>#DIV/0!</v>
      </c>
      <c r="O1382" s="1098" t="e">
        <f>IF($D$1212="",0,$D1382*Table3[[#This Row],[CF]]*chronic_consumption!$J182/1000/$C$3)</f>
        <v>#DIV/0!</v>
      </c>
      <c r="P1382" s="1098" t="e">
        <f>IF($D$1212="",0,$D1382*Table3[[#This Row],[CF]]*chronic_consumption!$K182/1000/$C$3)</f>
        <v>#DIV/0!</v>
      </c>
      <c r="Q1382" s="1098" t="e">
        <f>IF($D$1212="",0,$D1382*Table3[[#This Row],[CF]]*chronic_consumption!$L182/1000/$C$3)</f>
        <v>#DIV/0!</v>
      </c>
      <c r="R1382" s="1098" t="e">
        <f>IF($D$1212="",0,$D1382*Table3[[#This Row],[CF]]*chronic_consumption!$M182/1000/$C$3)</f>
        <v>#DIV/0!</v>
      </c>
      <c r="S1382" s="1098" t="e">
        <f>IF($D$1212="",0,$D1382*Table3[[#This Row],[CF]]*chronic_consumption!$N182/1000/$C$3)</f>
        <v>#DIV/0!</v>
      </c>
      <c r="T1382" s="1098" t="e">
        <f>IF($D$1212="",0,$D1382*Table3[[#This Row],[CF]]*chronic_consumption!$O182/1000/$C$3)</f>
        <v>#DIV/0!</v>
      </c>
      <c r="U1382" s="1098" t="e">
        <f>IF($D$1212="",0,$D1382*Table3[[#This Row],[CF]]*chronic_consumption!$P182/1000/$C$3)</f>
        <v>#DIV/0!</v>
      </c>
      <c r="V1382" s="1098" t="e">
        <f>IF($D$1212="",0,$D1382*Table3[[#This Row],[CF]]*chronic_consumption!$Q182/1000/$C$3)</f>
        <v>#DIV/0!</v>
      </c>
      <c r="W1382" s="1098" t="e">
        <f>IF($D$1212="",0,$D1382*Table3[[#This Row],[CF]]*chronic_consumption!$R182/1000/$C$3)</f>
        <v>#DIV/0!</v>
      </c>
      <c r="X1382" s="1098" t="e">
        <f>IF($D$1212="",0,$D1382*Table3[[#This Row],[CF]]*chronic_consumption!$S182/1000/$C$3)</f>
        <v>#DIV/0!</v>
      </c>
      <c r="Y1382" s="1098" t="e">
        <f>IF($D$1212="",0,$D1382*Table3[[#This Row],[CF]]*chronic_consumption!$T182/1000/$C$3)</f>
        <v>#DIV/0!</v>
      </c>
      <c r="Z1382" s="1098" t="e">
        <f>IF($D$1212="",0,$D1382*Table3[[#This Row],[CF]]*chronic_consumption!$U182/1000/$C$3)</f>
        <v>#DIV/0!</v>
      </c>
      <c r="AA1382" s="1098" t="e">
        <f>IF($D$1212="",0,$D1382*Table3[[#This Row],[CF]]*chronic_consumption!$V182/1000/$C$3)</f>
        <v>#DIV/0!</v>
      </c>
      <c r="AB1382" s="1098" t="e">
        <f>IF($D$1212="",0,$D1382*Table3[[#This Row],[CF]]*chronic_consumption!$W182/1000/$C$3)</f>
        <v>#DIV/0!</v>
      </c>
      <c r="AC1382" s="1098" t="e">
        <f>IF($D$1212="",0,$D1382*Table3[[#This Row],[CF]]*chronic_consumption!$X182/1000/$C$3)</f>
        <v>#DIV/0!</v>
      </c>
      <c r="AD1382" s="1098" t="e">
        <f>IF($D$1212="",0,$D1382*Table3[[#This Row],[CF]]*chronic_consumption!$Y182/1000/$C$3)</f>
        <v>#DIV/0!</v>
      </c>
      <c r="AE1382" s="1098" t="e">
        <f>IF($D$1212="",0,$D1382*Table3[[#This Row],[CF]]*chronic_consumption!$Z182/1000/$C$3)</f>
        <v>#DIV/0!</v>
      </c>
      <c r="AF1382" s="1098" t="e">
        <f>IF($D$1212="",0,$D1382*Table3[[#This Row],[CF]]*chronic_consumption!$AA182/1000/$C$3)</f>
        <v>#DIV/0!</v>
      </c>
      <c r="AG1382" s="1098" t="e">
        <f>IF($D$1212="",0,$D1382*Table3[[#This Row],[CF]]*chronic_consumption!$AB182/1000/$C$3)</f>
        <v>#DIV/0!</v>
      </c>
      <c r="AH1382" s="1098" t="e">
        <f>IF($D$1212="",0,$D1382*Table3[[#This Row],[CF]]*chronic_consumption!$AC182/1000/$C$3)</f>
        <v>#DIV/0!</v>
      </c>
      <c r="AI1382" s="1098" t="e">
        <f>IF($D$1212="",0,$D1382*Table3[[#This Row],[CF]]*chronic_consumption!$AD182/1000/$C$3)</f>
        <v>#DIV/0!</v>
      </c>
      <c r="AJ1382" s="1098" t="e">
        <f>IF($D$1212="",0,$D1382*Table3[[#This Row],[CF]]*chronic_consumption!$AE182/1000/$C$3)</f>
        <v>#DIV/0!</v>
      </c>
      <c r="AK1382" s="1098" t="e">
        <f>IF($D$1212="",0,$D1382*Table3[[#This Row],[CF]]*chronic_consumption!$AF182/1000/$C$3)</f>
        <v>#DIV/0!</v>
      </c>
      <c r="AL1382" s="1098" t="e">
        <f>IF($D$1212="",0,$D1382*Table3[[#This Row],[CF]]*chronic_consumption!$AG182/1000/$C$3)</f>
        <v>#DIV/0!</v>
      </c>
      <c r="AM1382" s="1098" t="e">
        <f>IF($D$1212="",0,$D1382*Table3[[#This Row],[CF]]*chronic_consumption!$AH182/1000/$C$3)</f>
        <v>#DIV/0!</v>
      </c>
      <c r="AN1382" s="1098" t="e">
        <f>IF($D$1212="",0,$D1382*Table3[[#This Row],[CF]]*chronic_consumption!$AI182/1000/$C$3)</f>
        <v>#DIV/0!</v>
      </c>
      <c r="AO1382" s="1098" t="e">
        <f>IF($D$1212="",0,$D1382*Table3[[#This Row],[CF]]*chronic_consumption!$AJ182/1000/$C$3)</f>
        <v>#DIV/0!</v>
      </c>
      <c r="AP1382" s="1098" t="e">
        <f>IF($D$1212="",0,$D1382*Table3[[#This Row],[CF]]*chronic_consumption!$AK182/1000/$C$3)</f>
        <v>#DIV/0!</v>
      </c>
      <c r="AQ1382" s="1098" t="e">
        <f>IF($D$1212="",0,$D1382*Table3[[#This Row],[CF]]*chronic_consumption!$AL182/1000/$C$3)</f>
        <v>#DIV/0!</v>
      </c>
      <c r="AR1382" s="1098" t="e">
        <f>IF($D$1212="",0,$D1382*Table3[[#This Row],[CF]]*chronic_consumption!$AM182/1000/$C$3)</f>
        <v>#DIV/0!</v>
      </c>
      <c r="AS1382" s="1098" t="e">
        <f>IF($D$1212="",0,$D1382*Table3[[#This Row],[CF]]*chronic_consumption!$AN182/1000/$C$3)</f>
        <v>#DIV/0!</v>
      </c>
      <c r="AT1382" s="1098" t="e">
        <f>IF($D$1212="",0,$D1382*Table3[[#This Row],[CF]]*chronic_consumption!$AO182/1000/$C$3)</f>
        <v>#DIV/0!</v>
      </c>
      <c r="AU1382" s="1099" t="e">
        <f t="shared" ref="AU1382:AY1391" si="861">IF(AU582="",0,IF(OR(1=RANK(AU982,AU$412:AU$790,0),(2=RANK(AU982,AU$412:AU$790,0))),AU982,AU582))</f>
        <v>#DIV/0!</v>
      </c>
      <c r="AV1382" s="1099" t="e">
        <f t="shared" si="861"/>
        <v>#DIV/0!</v>
      </c>
      <c r="AW1382" s="1099" t="e">
        <f t="shared" si="861"/>
        <v>#DIV/0!</v>
      </c>
      <c r="AX1382" s="1099" t="e">
        <f t="shared" si="861"/>
        <v>#DIV/0!</v>
      </c>
      <c r="AY1382" s="1099" t="e">
        <f t="shared" si="861"/>
        <v>#DIV/0!</v>
      </c>
      <c r="AZ1382" s="1091" t="s">
        <v>1012</v>
      </c>
      <c r="BA1382" s="1097" t="e">
        <f>IF(Table3[[#This Row],[max]]&lt;&gt;0,RANK(Table3[[#This Row],[max]],Table3[max],0),"")</f>
        <v>#DIV/0!</v>
      </c>
      <c r="BB1382" s="1096" t="e">
        <f t="shared" si="853"/>
        <v>#DIV/0!</v>
      </c>
      <c r="BC1382" s="1096" t="e">
        <f t="shared" ca="1" si="854"/>
        <v>#DIV/0!</v>
      </c>
      <c r="BD1382" s="1096" t="e">
        <f>IF(Table3[[#This Row],[max]]&gt;0,Table3[[#This Row],[Crop groups and examples of individual products within the groups to which the MRLs apply]],"")</f>
        <v>#DIV/0!</v>
      </c>
    </row>
    <row r="1383" spans="2:56" x14ac:dyDescent="0.2">
      <c r="B1383" s="23">
        <f t="shared" si="859"/>
        <v>256060</v>
      </c>
      <c r="C1383" s="23" t="str">
        <f t="shared" si="859"/>
        <v>Rosemary</v>
      </c>
      <c r="D1383" s="1084">
        <f>input_values!E183</f>
        <v>0</v>
      </c>
      <c r="E1383" s="1084">
        <f>input_values!F183</f>
        <v>0</v>
      </c>
      <c r="F1383" s="1085">
        <f>input_values!W183</f>
        <v>1</v>
      </c>
      <c r="G1383" s="1085" t="str">
        <f>IF(Table3[[#This Row],[CF]]&gt;0,CONCATENATE(IF(Table3[[#This Row],[LOQ]]="*","LOQ","MRL"),IF(input_values!G183&gt;0,"×CFrisk","")),"")</f>
        <v>MRL</v>
      </c>
      <c r="H1383" s="1087">
        <f>input_values!L183</f>
        <v>0</v>
      </c>
      <c r="I1383" s="1088">
        <f>input_values!D183</f>
        <v>0</v>
      </c>
      <c r="J1383" s="1098" t="e">
        <f>IF($D$1212="",0,$D1383*Table3[[#This Row],[CF]]*chronic_consumption!$E183/1000/$C$3)</f>
        <v>#DIV/0!</v>
      </c>
      <c r="K1383" s="1098" t="e">
        <f>IF($D$1212="",0,$D1383*Table3[[#This Row],[CF]]*chronic_consumption!$F183/1000/$C$3)</f>
        <v>#DIV/0!</v>
      </c>
      <c r="L1383" s="1098" t="e">
        <f>IF($D$1212="",0,$D1383*Table3[[#This Row],[CF]]*chronic_consumption!$G183/1000/$C$3)</f>
        <v>#DIV/0!</v>
      </c>
      <c r="M1383" s="1098" t="e">
        <f>IF($D$1212="",0,$D1383*Table3[[#This Row],[CF]]*chronic_consumption!$H183/1000/$C$3)</f>
        <v>#DIV/0!</v>
      </c>
      <c r="N1383" s="1098" t="e">
        <f>IF($D$1212="",0,$D1383*Table3[[#This Row],[CF]]*chronic_consumption!$I183/1000/$C$3)</f>
        <v>#DIV/0!</v>
      </c>
      <c r="O1383" s="1098" t="e">
        <f>IF($D$1212="",0,$D1383*Table3[[#This Row],[CF]]*chronic_consumption!$J183/1000/$C$3)</f>
        <v>#DIV/0!</v>
      </c>
      <c r="P1383" s="1098" t="e">
        <f>IF($D$1212="",0,$D1383*Table3[[#This Row],[CF]]*chronic_consumption!$K183/1000/$C$3)</f>
        <v>#DIV/0!</v>
      </c>
      <c r="Q1383" s="1098" t="e">
        <f>IF($D$1212="",0,$D1383*Table3[[#This Row],[CF]]*chronic_consumption!$L183/1000/$C$3)</f>
        <v>#DIV/0!</v>
      </c>
      <c r="R1383" s="1098" t="e">
        <f>IF($D$1212="",0,$D1383*Table3[[#This Row],[CF]]*chronic_consumption!$M183/1000/$C$3)</f>
        <v>#DIV/0!</v>
      </c>
      <c r="S1383" s="1098" t="e">
        <f>IF($D$1212="",0,$D1383*Table3[[#This Row],[CF]]*chronic_consumption!$N183/1000/$C$3)</f>
        <v>#DIV/0!</v>
      </c>
      <c r="T1383" s="1098" t="e">
        <f>IF($D$1212="",0,$D1383*Table3[[#This Row],[CF]]*chronic_consumption!$O183/1000/$C$3)</f>
        <v>#DIV/0!</v>
      </c>
      <c r="U1383" s="1098" t="e">
        <f>IF($D$1212="",0,$D1383*Table3[[#This Row],[CF]]*chronic_consumption!$P183/1000/$C$3)</f>
        <v>#DIV/0!</v>
      </c>
      <c r="V1383" s="1098" t="e">
        <f>IF($D$1212="",0,$D1383*Table3[[#This Row],[CF]]*chronic_consumption!$Q183/1000/$C$3)</f>
        <v>#DIV/0!</v>
      </c>
      <c r="W1383" s="1098" t="e">
        <f>IF($D$1212="",0,$D1383*Table3[[#This Row],[CF]]*chronic_consumption!$R183/1000/$C$3)</f>
        <v>#DIV/0!</v>
      </c>
      <c r="X1383" s="1098" t="e">
        <f>IF($D$1212="",0,$D1383*Table3[[#This Row],[CF]]*chronic_consumption!$S183/1000/$C$3)</f>
        <v>#DIV/0!</v>
      </c>
      <c r="Y1383" s="1098" t="e">
        <f>IF($D$1212="",0,$D1383*Table3[[#This Row],[CF]]*chronic_consumption!$T183/1000/$C$3)</f>
        <v>#DIV/0!</v>
      </c>
      <c r="Z1383" s="1098" t="e">
        <f>IF($D$1212="",0,$D1383*Table3[[#This Row],[CF]]*chronic_consumption!$U183/1000/$C$3)</f>
        <v>#DIV/0!</v>
      </c>
      <c r="AA1383" s="1098" t="e">
        <f>IF($D$1212="",0,$D1383*Table3[[#This Row],[CF]]*chronic_consumption!$V183/1000/$C$3)</f>
        <v>#DIV/0!</v>
      </c>
      <c r="AB1383" s="1098" t="e">
        <f>IF($D$1212="",0,$D1383*Table3[[#This Row],[CF]]*chronic_consumption!$W183/1000/$C$3)</f>
        <v>#DIV/0!</v>
      </c>
      <c r="AC1383" s="1098" t="e">
        <f>IF($D$1212="",0,$D1383*Table3[[#This Row],[CF]]*chronic_consumption!$X183/1000/$C$3)</f>
        <v>#DIV/0!</v>
      </c>
      <c r="AD1383" s="1098" t="e">
        <f>IF($D$1212="",0,$D1383*Table3[[#This Row],[CF]]*chronic_consumption!$Y183/1000/$C$3)</f>
        <v>#DIV/0!</v>
      </c>
      <c r="AE1383" s="1098" t="e">
        <f>IF($D$1212="",0,$D1383*Table3[[#This Row],[CF]]*chronic_consumption!$Z183/1000/$C$3)</f>
        <v>#DIV/0!</v>
      </c>
      <c r="AF1383" s="1098" t="e">
        <f>IF($D$1212="",0,$D1383*Table3[[#This Row],[CF]]*chronic_consumption!$AA183/1000/$C$3)</f>
        <v>#DIV/0!</v>
      </c>
      <c r="AG1383" s="1098" t="e">
        <f>IF($D$1212="",0,$D1383*Table3[[#This Row],[CF]]*chronic_consumption!$AB183/1000/$C$3)</f>
        <v>#DIV/0!</v>
      </c>
      <c r="AH1383" s="1098" t="e">
        <f>IF($D$1212="",0,$D1383*Table3[[#This Row],[CF]]*chronic_consumption!$AC183/1000/$C$3)</f>
        <v>#DIV/0!</v>
      </c>
      <c r="AI1383" s="1098" t="e">
        <f>IF($D$1212="",0,$D1383*Table3[[#This Row],[CF]]*chronic_consumption!$AD183/1000/$C$3)</f>
        <v>#DIV/0!</v>
      </c>
      <c r="AJ1383" s="1098" t="e">
        <f>IF($D$1212="",0,$D1383*Table3[[#This Row],[CF]]*chronic_consumption!$AE183/1000/$C$3)</f>
        <v>#DIV/0!</v>
      </c>
      <c r="AK1383" s="1098" t="e">
        <f>IF($D$1212="",0,$D1383*Table3[[#This Row],[CF]]*chronic_consumption!$AF183/1000/$C$3)</f>
        <v>#DIV/0!</v>
      </c>
      <c r="AL1383" s="1098" t="e">
        <f>IF($D$1212="",0,$D1383*Table3[[#This Row],[CF]]*chronic_consumption!$AG183/1000/$C$3)</f>
        <v>#DIV/0!</v>
      </c>
      <c r="AM1383" s="1098" t="e">
        <f>IF($D$1212="",0,$D1383*Table3[[#This Row],[CF]]*chronic_consumption!$AH183/1000/$C$3)</f>
        <v>#DIV/0!</v>
      </c>
      <c r="AN1383" s="1098" t="e">
        <f>IF($D$1212="",0,$D1383*Table3[[#This Row],[CF]]*chronic_consumption!$AI183/1000/$C$3)</f>
        <v>#DIV/0!</v>
      </c>
      <c r="AO1383" s="1098" t="e">
        <f>IF($D$1212="",0,$D1383*Table3[[#This Row],[CF]]*chronic_consumption!$AJ183/1000/$C$3)</f>
        <v>#DIV/0!</v>
      </c>
      <c r="AP1383" s="1098" t="e">
        <f>IF($D$1212="",0,$D1383*Table3[[#This Row],[CF]]*chronic_consumption!$AK183/1000/$C$3)</f>
        <v>#DIV/0!</v>
      </c>
      <c r="AQ1383" s="1098" t="e">
        <f>IF($D$1212="",0,$D1383*Table3[[#This Row],[CF]]*chronic_consumption!$AL183/1000/$C$3)</f>
        <v>#DIV/0!</v>
      </c>
      <c r="AR1383" s="1098" t="e">
        <f>IF($D$1212="",0,$D1383*Table3[[#This Row],[CF]]*chronic_consumption!$AM183/1000/$C$3)</f>
        <v>#DIV/0!</v>
      </c>
      <c r="AS1383" s="1098" t="e">
        <f>IF($D$1212="",0,$D1383*Table3[[#This Row],[CF]]*chronic_consumption!$AN183/1000/$C$3)</f>
        <v>#DIV/0!</v>
      </c>
      <c r="AT1383" s="1098" t="e">
        <f>IF($D$1212="",0,$D1383*Table3[[#This Row],[CF]]*chronic_consumption!$AO183/1000/$C$3)</f>
        <v>#DIV/0!</v>
      </c>
      <c r="AU1383" s="1099" t="e">
        <f t="shared" si="861"/>
        <v>#DIV/0!</v>
      </c>
      <c r="AV1383" s="1099" t="e">
        <f t="shared" si="861"/>
        <v>#DIV/0!</v>
      </c>
      <c r="AW1383" s="1099" t="e">
        <f t="shared" si="861"/>
        <v>#DIV/0!</v>
      </c>
      <c r="AX1383" s="1099" t="e">
        <f t="shared" si="861"/>
        <v>#DIV/0!</v>
      </c>
      <c r="AY1383" s="1099" t="e">
        <f t="shared" si="861"/>
        <v>#DIV/0!</v>
      </c>
      <c r="AZ1383" s="1091" t="s">
        <v>1012</v>
      </c>
      <c r="BA1383" s="1097" t="e">
        <f>IF(Table3[[#This Row],[max]]&lt;&gt;0,RANK(Table3[[#This Row],[max]],Table3[max],0),"")</f>
        <v>#DIV/0!</v>
      </c>
      <c r="BB1383" s="1096" t="e">
        <f t="shared" si="853"/>
        <v>#DIV/0!</v>
      </c>
      <c r="BC1383" s="1096" t="e">
        <f t="shared" ca="1" si="854"/>
        <v>#DIV/0!</v>
      </c>
      <c r="BD1383" s="1096" t="e">
        <f>IF(Table3[[#This Row],[max]]&gt;0,Table3[[#This Row],[Crop groups and examples of individual products within the groups to which the MRLs apply]],"")</f>
        <v>#DIV/0!</v>
      </c>
    </row>
    <row r="1384" spans="2:56" x14ac:dyDescent="0.2">
      <c r="B1384" s="23">
        <f t="shared" si="859"/>
        <v>256070</v>
      </c>
      <c r="C1384" s="23" t="str">
        <f t="shared" si="859"/>
        <v>Thyme</v>
      </c>
      <c r="D1384" s="1084">
        <f>input_values!E184</f>
        <v>0</v>
      </c>
      <c r="E1384" s="1084">
        <f>input_values!F184</f>
        <v>0</v>
      </c>
      <c r="F1384" s="1085">
        <f>input_values!W184</f>
        <v>1</v>
      </c>
      <c r="G1384" s="1085" t="str">
        <f>IF(Table3[[#This Row],[CF]]&gt;0,CONCATENATE(IF(Table3[[#This Row],[LOQ]]="*","LOQ","MRL"),IF(input_values!G184&gt;0,"×CFrisk","")),"")</f>
        <v>MRL</v>
      </c>
      <c r="H1384" s="1087">
        <f>input_values!L184</f>
        <v>0</v>
      </c>
      <c r="I1384" s="1088">
        <f>input_values!D184</f>
        <v>0</v>
      </c>
      <c r="J1384" s="1098" t="e">
        <f>IF($D$1212="",0,$D1384*Table3[[#This Row],[CF]]*chronic_consumption!$E184/1000/$C$3)</f>
        <v>#DIV/0!</v>
      </c>
      <c r="K1384" s="1098" t="e">
        <f>IF($D$1212="",0,$D1384*Table3[[#This Row],[CF]]*chronic_consumption!$F184/1000/$C$3)</f>
        <v>#DIV/0!</v>
      </c>
      <c r="L1384" s="1098" t="e">
        <f>IF($D$1212="",0,$D1384*Table3[[#This Row],[CF]]*chronic_consumption!$G184/1000/$C$3)</f>
        <v>#DIV/0!</v>
      </c>
      <c r="M1384" s="1098" t="e">
        <f>IF($D$1212="",0,$D1384*Table3[[#This Row],[CF]]*chronic_consumption!$H184/1000/$C$3)</f>
        <v>#DIV/0!</v>
      </c>
      <c r="N1384" s="1098" t="e">
        <f>IF($D$1212="",0,$D1384*Table3[[#This Row],[CF]]*chronic_consumption!$I184/1000/$C$3)</f>
        <v>#DIV/0!</v>
      </c>
      <c r="O1384" s="1098" t="e">
        <f>IF($D$1212="",0,$D1384*Table3[[#This Row],[CF]]*chronic_consumption!$J184/1000/$C$3)</f>
        <v>#DIV/0!</v>
      </c>
      <c r="P1384" s="1098" t="e">
        <f>IF($D$1212="",0,$D1384*Table3[[#This Row],[CF]]*chronic_consumption!$K184/1000/$C$3)</f>
        <v>#DIV/0!</v>
      </c>
      <c r="Q1384" s="1098" t="e">
        <f>IF($D$1212="",0,$D1384*Table3[[#This Row],[CF]]*chronic_consumption!$L184/1000/$C$3)</f>
        <v>#DIV/0!</v>
      </c>
      <c r="R1384" s="1098" t="e">
        <f>IF($D$1212="",0,$D1384*Table3[[#This Row],[CF]]*chronic_consumption!$M184/1000/$C$3)</f>
        <v>#DIV/0!</v>
      </c>
      <c r="S1384" s="1098" t="e">
        <f>IF($D$1212="",0,$D1384*Table3[[#This Row],[CF]]*chronic_consumption!$N184/1000/$C$3)</f>
        <v>#DIV/0!</v>
      </c>
      <c r="T1384" s="1098" t="e">
        <f>IF($D$1212="",0,$D1384*Table3[[#This Row],[CF]]*chronic_consumption!$O184/1000/$C$3)</f>
        <v>#DIV/0!</v>
      </c>
      <c r="U1384" s="1098" t="e">
        <f>IF($D$1212="",0,$D1384*Table3[[#This Row],[CF]]*chronic_consumption!$P184/1000/$C$3)</f>
        <v>#DIV/0!</v>
      </c>
      <c r="V1384" s="1098" t="e">
        <f>IF($D$1212="",0,$D1384*Table3[[#This Row],[CF]]*chronic_consumption!$Q184/1000/$C$3)</f>
        <v>#DIV/0!</v>
      </c>
      <c r="W1384" s="1098" t="e">
        <f>IF($D$1212="",0,$D1384*Table3[[#This Row],[CF]]*chronic_consumption!$R184/1000/$C$3)</f>
        <v>#DIV/0!</v>
      </c>
      <c r="X1384" s="1098" t="e">
        <f>IF($D$1212="",0,$D1384*Table3[[#This Row],[CF]]*chronic_consumption!$S184/1000/$C$3)</f>
        <v>#DIV/0!</v>
      </c>
      <c r="Y1384" s="1098" t="e">
        <f>IF($D$1212="",0,$D1384*Table3[[#This Row],[CF]]*chronic_consumption!$T184/1000/$C$3)</f>
        <v>#DIV/0!</v>
      </c>
      <c r="Z1384" s="1098" t="e">
        <f>IF($D$1212="",0,$D1384*Table3[[#This Row],[CF]]*chronic_consumption!$U184/1000/$C$3)</f>
        <v>#DIV/0!</v>
      </c>
      <c r="AA1384" s="1098" t="e">
        <f>IF($D$1212="",0,$D1384*Table3[[#This Row],[CF]]*chronic_consumption!$V184/1000/$C$3)</f>
        <v>#DIV/0!</v>
      </c>
      <c r="AB1384" s="1098" t="e">
        <f>IF($D$1212="",0,$D1384*Table3[[#This Row],[CF]]*chronic_consumption!$W184/1000/$C$3)</f>
        <v>#DIV/0!</v>
      </c>
      <c r="AC1384" s="1098" t="e">
        <f>IF($D$1212="",0,$D1384*Table3[[#This Row],[CF]]*chronic_consumption!$X184/1000/$C$3)</f>
        <v>#DIV/0!</v>
      </c>
      <c r="AD1384" s="1098" t="e">
        <f>IF($D$1212="",0,$D1384*Table3[[#This Row],[CF]]*chronic_consumption!$Y184/1000/$C$3)</f>
        <v>#DIV/0!</v>
      </c>
      <c r="AE1384" s="1098" t="e">
        <f>IF($D$1212="",0,$D1384*Table3[[#This Row],[CF]]*chronic_consumption!$Z184/1000/$C$3)</f>
        <v>#DIV/0!</v>
      </c>
      <c r="AF1384" s="1098" t="e">
        <f>IF($D$1212="",0,$D1384*Table3[[#This Row],[CF]]*chronic_consumption!$AA184/1000/$C$3)</f>
        <v>#DIV/0!</v>
      </c>
      <c r="AG1384" s="1098" t="e">
        <f>IF($D$1212="",0,$D1384*Table3[[#This Row],[CF]]*chronic_consumption!$AB184/1000/$C$3)</f>
        <v>#DIV/0!</v>
      </c>
      <c r="AH1384" s="1098" t="e">
        <f>IF($D$1212="",0,$D1384*Table3[[#This Row],[CF]]*chronic_consumption!$AC184/1000/$C$3)</f>
        <v>#DIV/0!</v>
      </c>
      <c r="AI1384" s="1098" t="e">
        <f>IF($D$1212="",0,$D1384*Table3[[#This Row],[CF]]*chronic_consumption!$AD184/1000/$C$3)</f>
        <v>#DIV/0!</v>
      </c>
      <c r="AJ1384" s="1098" t="e">
        <f>IF($D$1212="",0,$D1384*Table3[[#This Row],[CF]]*chronic_consumption!$AE184/1000/$C$3)</f>
        <v>#DIV/0!</v>
      </c>
      <c r="AK1384" s="1098" t="e">
        <f>IF($D$1212="",0,$D1384*Table3[[#This Row],[CF]]*chronic_consumption!$AF184/1000/$C$3)</f>
        <v>#DIV/0!</v>
      </c>
      <c r="AL1384" s="1098" t="e">
        <f>IF($D$1212="",0,$D1384*Table3[[#This Row],[CF]]*chronic_consumption!$AG184/1000/$C$3)</f>
        <v>#DIV/0!</v>
      </c>
      <c r="AM1384" s="1098" t="e">
        <f>IF($D$1212="",0,$D1384*Table3[[#This Row],[CF]]*chronic_consumption!$AH184/1000/$C$3)</f>
        <v>#DIV/0!</v>
      </c>
      <c r="AN1384" s="1098" t="e">
        <f>IF($D$1212="",0,$D1384*Table3[[#This Row],[CF]]*chronic_consumption!$AI184/1000/$C$3)</f>
        <v>#DIV/0!</v>
      </c>
      <c r="AO1384" s="1098" t="e">
        <f>IF($D$1212="",0,$D1384*Table3[[#This Row],[CF]]*chronic_consumption!$AJ184/1000/$C$3)</f>
        <v>#DIV/0!</v>
      </c>
      <c r="AP1384" s="1098" t="e">
        <f>IF($D$1212="",0,$D1384*Table3[[#This Row],[CF]]*chronic_consumption!$AK184/1000/$C$3)</f>
        <v>#DIV/0!</v>
      </c>
      <c r="AQ1384" s="1098" t="e">
        <f>IF($D$1212="",0,$D1384*Table3[[#This Row],[CF]]*chronic_consumption!$AL184/1000/$C$3)</f>
        <v>#DIV/0!</v>
      </c>
      <c r="AR1384" s="1098" t="e">
        <f>IF($D$1212="",0,$D1384*Table3[[#This Row],[CF]]*chronic_consumption!$AM184/1000/$C$3)</f>
        <v>#DIV/0!</v>
      </c>
      <c r="AS1384" s="1098" t="e">
        <f>IF($D$1212="",0,$D1384*Table3[[#This Row],[CF]]*chronic_consumption!$AN184/1000/$C$3)</f>
        <v>#DIV/0!</v>
      </c>
      <c r="AT1384" s="1098" t="e">
        <f>IF($D$1212="",0,$D1384*Table3[[#This Row],[CF]]*chronic_consumption!$AO184/1000/$C$3)</f>
        <v>#DIV/0!</v>
      </c>
      <c r="AU1384" s="1099" t="e">
        <f t="shared" si="861"/>
        <v>#DIV/0!</v>
      </c>
      <c r="AV1384" s="1099" t="e">
        <f t="shared" si="861"/>
        <v>#DIV/0!</v>
      </c>
      <c r="AW1384" s="1099" t="e">
        <f t="shared" si="861"/>
        <v>#DIV/0!</v>
      </c>
      <c r="AX1384" s="1099" t="e">
        <f t="shared" si="861"/>
        <v>#DIV/0!</v>
      </c>
      <c r="AY1384" s="1099" t="e">
        <f t="shared" si="861"/>
        <v>#DIV/0!</v>
      </c>
      <c r="AZ1384" s="1091" t="s">
        <v>1012</v>
      </c>
      <c r="BA1384" s="1097" t="e">
        <f>IF(Table3[[#This Row],[max]]&lt;&gt;0,RANK(Table3[[#This Row],[max]],Table3[max],0),"")</f>
        <v>#DIV/0!</v>
      </c>
      <c r="BB1384" s="1096" t="e">
        <f t="shared" si="853"/>
        <v>#DIV/0!</v>
      </c>
      <c r="BC1384" s="1096" t="e">
        <f t="shared" ca="1" si="854"/>
        <v>#DIV/0!</v>
      </c>
      <c r="BD1384" s="1096" t="e">
        <f>IF(Table3[[#This Row],[max]]&gt;0,Table3[[#This Row],[Crop groups and examples of individual products within the groups to which the MRLs apply]],"")</f>
        <v>#DIV/0!</v>
      </c>
    </row>
    <row r="1385" spans="2:56" x14ac:dyDescent="0.2">
      <c r="B1385" s="23">
        <f t="shared" si="859"/>
        <v>256080</v>
      </c>
      <c r="C1385" s="23" t="str">
        <f t="shared" si="859"/>
        <v>Basil and edible flowers</v>
      </c>
      <c r="D1385" s="1084">
        <f>input_values!E185</f>
        <v>0</v>
      </c>
      <c r="E1385" s="1084">
        <f>input_values!F185</f>
        <v>0</v>
      </c>
      <c r="F1385" s="1085">
        <f>input_values!W185</f>
        <v>1</v>
      </c>
      <c r="G1385" s="1085" t="str">
        <f>IF(Table3[[#This Row],[CF]]&gt;0,CONCATENATE(IF(Table3[[#This Row],[LOQ]]="*","LOQ","MRL"),IF(input_values!G185&gt;0,"×CFrisk","")),"")</f>
        <v>MRL</v>
      </c>
      <c r="H1385" s="1087">
        <f>input_values!L185</f>
        <v>0</v>
      </c>
      <c r="I1385" s="1088">
        <f>input_values!D185</f>
        <v>0</v>
      </c>
      <c r="J1385" s="1098" t="e">
        <f>IF($D$1212="",0,$D1385*Table3[[#This Row],[CF]]*chronic_consumption!$E185/1000/$C$3)</f>
        <v>#DIV/0!</v>
      </c>
      <c r="K1385" s="1098" t="e">
        <f>IF($D$1212="",0,$D1385*Table3[[#This Row],[CF]]*chronic_consumption!$F185/1000/$C$3)</f>
        <v>#DIV/0!</v>
      </c>
      <c r="L1385" s="1098" t="e">
        <f>IF($D$1212="",0,$D1385*Table3[[#This Row],[CF]]*chronic_consumption!$G185/1000/$C$3)</f>
        <v>#DIV/0!</v>
      </c>
      <c r="M1385" s="1098" t="e">
        <f>IF($D$1212="",0,$D1385*Table3[[#This Row],[CF]]*chronic_consumption!$H185/1000/$C$3)</f>
        <v>#DIV/0!</v>
      </c>
      <c r="N1385" s="1098" t="e">
        <f>IF($D$1212="",0,$D1385*Table3[[#This Row],[CF]]*chronic_consumption!$I185/1000/$C$3)</f>
        <v>#DIV/0!</v>
      </c>
      <c r="O1385" s="1098" t="e">
        <f>IF($D$1212="",0,$D1385*Table3[[#This Row],[CF]]*chronic_consumption!$J185/1000/$C$3)</f>
        <v>#DIV/0!</v>
      </c>
      <c r="P1385" s="1098" t="e">
        <f>IF($D$1212="",0,$D1385*Table3[[#This Row],[CF]]*chronic_consumption!$K185/1000/$C$3)</f>
        <v>#DIV/0!</v>
      </c>
      <c r="Q1385" s="1098" t="e">
        <f>IF($D$1212="",0,$D1385*Table3[[#This Row],[CF]]*chronic_consumption!$L185/1000/$C$3)</f>
        <v>#DIV/0!</v>
      </c>
      <c r="R1385" s="1098" t="e">
        <f>IF($D$1212="",0,$D1385*Table3[[#This Row],[CF]]*chronic_consumption!$M185/1000/$C$3)</f>
        <v>#DIV/0!</v>
      </c>
      <c r="S1385" s="1098" t="e">
        <f>IF($D$1212="",0,$D1385*Table3[[#This Row],[CF]]*chronic_consumption!$N185/1000/$C$3)</f>
        <v>#DIV/0!</v>
      </c>
      <c r="T1385" s="1098" t="e">
        <f>IF($D$1212="",0,$D1385*Table3[[#This Row],[CF]]*chronic_consumption!$O185/1000/$C$3)</f>
        <v>#DIV/0!</v>
      </c>
      <c r="U1385" s="1098" t="e">
        <f>IF($D$1212="",0,$D1385*Table3[[#This Row],[CF]]*chronic_consumption!$P185/1000/$C$3)</f>
        <v>#DIV/0!</v>
      </c>
      <c r="V1385" s="1098" t="e">
        <f>IF($D$1212="",0,$D1385*Table3[[#This Row],[CF]]*chronic_consumption!$Q185/1000/$C$3)</f>
        <v>#DIV/0!</v>
      </c>
      <c r="W1385" s="1098" t="e">
        <f>IF($D$1212="",0,$D1385*Table3[[#This Row],[CF]]*chronic_consumption!$R185/1000/$C$3)</f>
        <v>#DIV/0!</v>
      </c>
      <c r="X1385" s="1098" t="e">
        <f>IF($D$1212="",0,$D1385*Table3[[#This Row],[CF]]*chronic_consumption!$S185/1000/$C$3)</f>
        <v>#DIV/0!</v>
      </c>
      <c r="Y1385" s="1098" t="e">
        <f>IF($D$1212="",0,$D1385*Table3[[#This Row],[CF]]*chronic_consumption!$T185/1000/$C$3)</f>
        <v>#DIV/0!</v>
      </c>
      <c r="Z1385" s="1098" t="e">
        <f>IF($D$1212="",0,$D1385*Table3[[#This Row],[CF]]*chronic_consumption!$U185/1000/$C$3)</f>
        <v>#DIV/0!</v>
      </c>
      <c r="AA1385" s="1098" t="e">
        <f>IF($D$1212="",0,$D1385*Table3[[#This Row],[CF]]*chronic_consumption!$V185/1000/$C$3)</f>
        <v>#DIV/0!</v>
      </c>
      <c r="AB1385" s="1098" t="e">
        <f>IF($D$1212="",0,$D1385*Table3[[#This Row],[CF]]*chronic_consumption!$W185/1000/$C$3)</f>
        <v>#DIV/0!</v>
      </c>
      <c r="AC1385" s="1098" t="e">
        <f>IF($D$1212="",0,$D1385*Table3[[#This Row],[CF]]*chronic_consumption!$X185/1000/$C$3)</f>
        <v>#DIV/0!</v>
      </c>
      <c r="AD1385" s="1098" t="e">
        <f>IF($D$1212="",0,$D1385*Table3[[#This Row],[CF]]*chronic_consumption!$Y185/1000/$C$3)</f>
        <v>#DIV/0!</v>
      </c>
      <c r="AE1385" s="1098" t="e">
        <f>IF($D$1212="",0,$D1385*Table3[[#This Row],[CF]]*chronic_consumption!$Z185/1000/$C$3)</f>
        <v>#DIV/0!</v>
      </c>
      <c r="AF1385" s="1098" t="e">
        <f>IF($D$1212="",0,$D1385*Table3[[#This Row],[CF]]*chronic_consumption!$AA185/1000/$C$3)</f>
        <v>#DIV/0!</v>
      </c>
      <c r="AG1385" s="1098" t="e">
        <f>IF($D$1212="",0,$D1385*Table3[[#This Row],[CF]]*chronic_consumption!$AB185/1000/$C$3)</f>
        <v>#DIV/0!</v>
      </c>
      <c r="AH1385" s="1098" t="e">
        <f>IF($D$1212="",0,$D1385*Table3[[#This Row],[CF]]*chronic_consumption!$AC185/1000/$C$3)</f>
        <v>#DIV/0!</v>
      </c>
      <c r="AI1385" s="1098" t="e">
        <f>IF($D$1212="",0,$D1385*Table3[[#This Row],[CF]]*chronic_consumption!$AD185/1000/$C$3)</f>
        <v>#DIV/0!</v>
      </c>
      <c r="AJ1385" s="1098" t="e">
        <f>IF($D$1212="",0,$D1385*Table3[[#This Row],[CF]]*chronic_consumption!$AE185/1000/$C$3)</f>
        <v>#DIV/0!</v>
      </c>
      <c r="AK1385" s="1098" t="e">
        <f>IF($D$1212="",0,$D1385*Table3[[#This Row],[CF]]*chronic_consumption!$AF185/1000/$C$3)</f>
        <v>#DIV/0!</v>
      </c>
      <c r="AL1385" s="1098" t="e">
        <f>IF($D$1212="",0,$D1385*Table3[[#This Row],[CF]]*chronic_consumption!$AG185/1000/$C$3)</f>
        <v>#DIV/0!</v>
      </c>
      <c r="AM1385" s="1098" t="e">
        <f>IF($D$1212="",0,$D1385*Table3[[#This Row],[CF]]*chronic_consumption!$AH185/1000/$C$3)</f>
        <v>#DIV/0!</v>
      </c>
      <c r="AN1385" s="1098" t="e">
        <f>IF($D$1212="",0,$D1385*Table3[[#This Row],[CF]]*chronic_consumption!$AI185/1000/$C$3)</f>
        <v>#DIV/0!</v>
      </c>
      <c r="AO1385" s="1098" t="e">
        <f>IF($D$1212="",0,$D1385*Table3[[#This Row],[CF]]*chronic_consumption!$AJ185/1000/$C$3)</f>
        <v>#DIV/0!</v>
      </c>
      <c r="AP1385" s="1098" t="e">
        <f>IF($D$1212="",0,$D1385*Table3[[#This Row],[CF]]*chronic_consumption!$AK185/1000/$C$3)</f>
        <v>#DIV/0!</v>
      </c>
      <c r="AQ1385" s="1098" t="e">
        <f>IF($D$1212="",0,$D1385*Table3[[#This Row],[CF]]*chronic_consumption!$AL185/1000/$C$3)</f>
        <v>#DIV/0!</v>
      </c>
      <c r="AR1385" s="1098" t="e">
        <f>IF($D$1212="",0,$D1385*Table3[[#This Row],[CF]]*chronic_consumption!$AM185/1000/$C$3)</f>
        <v>#DIV/0!</v>
      </c>
      <c r="AS1385" s="1098" t="e">
        <f>IF($D$1212="",0,$D1385*Table3[[#This Row],[CF]]*chronic_consumption!$AN185/1000/$C$3)</f>
        <v>#DIV/0!</v>
      </c>
      <c r="AT1385" s="1098" t="e">
        <f>IF($D$1212="",0,$D1385*Table3[[#This Row],[CF]]*chronic_consumption!$AO185/1000/$C$3)</f>
        <v>#DIV/0!</v>
      </c>
      <c r="AU1385" s="1099" t="e">
        <f t="shared" si="861"/>
        <v>#DIV/0!</v>
      </c>
      <c r="AV1385" s="1099" t="e">
        <f t="shared" si="861"/>
        <v>#DIV/0!</v>
      </c>
      <c r="AW1385" s="1099" t="e">
        <f t="shared" si="861"/>
        <v>#DIV/0!</v>
      </c>
      <c r="AX1385" s="1099" t="e">
        <f t="shared" si="861"/>
        <v>#DIV/0!</v>
      </c>
      <c r="AY1385" s="1099" t="e">
        <f t="shared" si="861"/>
        <v>#DIV/0!</v>
      </c>
      <c r="AZ1385" s="1091" t="s">
        <v>1012</v>
      </c>
      <c r="BA1385" s="1097" t="e">
        <f>IF(Table3[[#This Row],[max]]&lt;&gt;0,RANK(Table3[[#This Row],[max]],Table3[max],0),"")</f>
        <v>#DIV/0!</v>
      </c>
      <c r="BB1385" s="1096" t="e">
        <f t="shared" si="853"/>
        <v>#DIV/0!</v>
      </c>
      <c r="BC1385" s="1096" t="e">
        <f t="shared" ca="1" si="854"/>
        <v>#DIV/0!</v>
      </c>
      <c r="BD1385" s="1096" t="e">
        <f>IF(Table3[[#This Row],[max]]&gt;0,Table3[[#This Row],[Crop groups and examples of individual products within the groups to which the MRLs apply]],"")</f>
        <v>#DIV/0!</v>
      </c>
    </row>
    <row r="1386" spans="2:56" x14ac:dyDescent="0.2">
      <c r="B1386" s="23">
        <f t="shared" si="859"/>
        <v>256090</v>
      </c>
      <c r="C1386" s="23" t="str">
        <f t="shared" si="859"/>
        <v>Laurel/bay leaves</v>
      </c>
      <c r="D1386" s="1084">
        <f>input_values!E186</f>
        <v>0</v>
      </c>
      <c r="E1386" s="1084">
        <f>input_values!F186</f>
        <v>0</v>
      </c>
      <c r="F1386" s="1085">
        <f>input_values!W186</f>
        <v>1</v>
      </c>
      <c r="G1386" s="1085" t="str">
        <f>IF(Table3[[#This Row],[CF]]&gt;0,CONCATENATE(IF(Table3[[#This Row],[LOQ]]="*","LOQ","MRL"),IF(input_values!G186&gt;0,"×CFrisk","")),"")</f>
        <v>MRL</v>
      </c>
      <c r="H1386" s="1087">
        <f>input_values!L186</f>
        <v>0</v>
      </c>
      <c r="I1386" s="1088">
        <f>input_values!D186</f>
        <v>0</v>
      </c>
      <c r="J1386" s="1098" t="e">
        <f>IF($D$1212="",0,$D1386*Table3[[#This Row],[CF]]*chronic_consumption!$E186/1000/$C$3)</f>
        <v>#DIV/0!</v>
      </c>
      <c r="K1386" s="1098" t="e">
        <f>IF($D$1212="",0,$D1386*Table3[[#This Row],[CF]]*chronic_consumption!$F186/1000/$C$3)</f>
        <v>#DIV/0!</v>
      </c>
      <c r="L1386" s="1098" t="e">
        <f>IF($D$1212="",0,$D1386*Table3[[#This Row],[CF]]*chronic_consumption!$G186/1000/$C$3)</f>
        <v>#DIV/0!</v>
      </c>
      <c r="M1386" s="1098" t="e">
        <f>IF($D$1212="",0,$D1386*Table3[[#This Row],[CF]]*chronic_consumption!$H186/1000/$C$3)</f>
        <v>#DIV/0!</v>
      </c>
      <c r="N1386" s="1098" t="e">
        <f>IF($D$1212="",0,$D1386*Table3[[#This Row],[CF]]*chronic_consumption!$I186/1000/$C$3)</f>
        <v>#DIV/0!</v>
      </c>
      <c r="O1386" s="1098" t="e">
        <f>IF($D$1212="",0,$D1386*Table3[[#This Row],[CF]]*chronic_consumption!$J186/1000/$C$3)</f>
        <v>#DIV/0!</v>
      </c>
      <c r="P1386" s="1098" t="e">
        <f>IF($D$1212="",0,$D1386*Table3[[#This Row],[CF]]*chronic_consumption!$K186/1000/$C$3)</f>
        <v>#DIV/0!</v>
      </c>
      <c r="Q1386" s="1098" t="e">
        <f>IF($D$1212="",0,$D1386*Table3[[#This Row],[CF]]*chronic_consumption!$L186/1000/$C$3)</f>
        <v>#DIV/0!</v>
      </c>
      <c r="R1386" s="1098" t="e">
        <f>IF($D$1212="",0,$D1386*Table3[[#This Row],[CF]]*chronic_consumption!$M186/1000/$C$3)</f>
        <v>#DIV/0!</v>
      </c>
      <c r="S1386" s="1098" t="e">
        <f>IF($D$1212="",0,$D1386*Table3[[#This Row],[CF]]*chronic_consumption!$N186/1000/$C$3)</f>
        <v>#DIV/0!</v>
      </c>
      <c r="T1386" s="1098" t="e">
        <f>IF($D$1212="",0,$D1386*Table3[[#This Row],[CF]]*chronic_consumption!$O186/1000/$C$3)</f>
        <v>#DIV/0!</v>
      </c>
      <c r="U1386" s="1098" t="e">
        <f>IF($D$1212="",0,$D1386*Table3[[#This Row],[CF]]*chronic_consumption!$P186/1000/$C$3)</f>
        <v>#DIV/0!</v>
      </c>
      <c r="V1386" s="1098" t="e">
        <f>IF($D$1212="",0,$D1386*Table3[[#This Row],[CF]]*chronic_consumption!$Q186/1000/$C$3)</f>
        <v>#DIV/0!</v>
      </c>
      <c r="W1386" s="1098" t="e">
        <f>IF($D$1212="",0,$D1386*Table3[[#This Row],[CF]]*chronic_consumption!$R186/1000/$C$3)</f>
        <v>#DIV/0!</v>
      </c>
      <c r="X1386" s="1098" t="e">
        <f>IF($D$1212="",0,$D1386*Table3[[#This Row],[CF]]*chronic_consumption!$S186/1000/$C$3)</f>
        <v>#DIV/0!</v>
      </c>
      <c r="Y1386" s="1098" t="e">
        <f>IF($D$1212="",0,$D1386*Table3[[#This Row],[CF]]*chronic_consumption!$T186/1000/$C$3)</f>
        <v>#DIV/0!</v>
      </c>
      <c r="Z1386" s="1098" t="e">
        <f>IF($D$1212="",0,$D1386*Table3[[#This Row],[CF]]*chronic_consumption!$U186/1000/$C$3)</f>
        <v>#DIV/0!</v>
      </c>
      <c r="AA1386" s="1098" t="e">
        <f>IF($D$1212="",0,$D1386*Table3[[#This Row],[CF]]*chronic_consumption!$V186/1000/$C$3)</f>
        <v>#DIV/0!</v>
      </c>
      <c r="AB1386" s="1098" t="e">
        <f>IF($D$1212="",0,$D1386*Table3[[#This Row],[CF]]*chronic_consumption!$W186/1000/$C$3)</f>
        <v>#DIV/0!</v>
      </c>
      <c r="AC1386" s="1098" t="e">
        <f>IF($D$1212="",0,$D1386*Table3[[#This Row],[CF]]*chronic_consumption!$X186/1000/$C$3)</f>
        <v>#DIV/0!</v>
      </c>
      <c r="AD1386" s="1098" t="e">
        <f>IF($D$1212="",0,$D1386*Table3[[#This Row],[CF]]*chronic_consumption!$Y186/1000/$C$3)</f>
        <v>#DIV/0!</v>
      </c>
      <c r="AE1386" s="1098" t="e">
        <f>IF($D$1212="",0,$D1386*Table3[[#This Row],[CF]]*chronic_consumption!$Z186/1000/$C$3)</f>
        <v>#DIV/0!</v>
      </c>
      <c r="AF1386" s="1098" t="e">
        <f>IF($D$1212="",0,$D1386*Table3[[#This Row],[CF]]*chronic_consumption!$AA186/1000/$C$3)</f>
        <v>#DIV/0!</v>
      </c>
      <c r="AG1386" s="1098" t="e">
        <f>IF($D$1212="",0,$D1386*Table3[[#This Row],[CF]]*chronic_consumption!$AB186/1000/$C$3)</f>
        <v>#DIV/0!</v>
      </c>
      <c r="AH1386" s="1098" t="e">
        <f>IF($D$1212="",0,$D1386*Table3[[#This Row],[CF]]*chronic_consumption!$AC186/1000/$C$3)</f>
        <v>#DIV/0!</v>
      </c>
      <c r="AI1386" s="1098" t="e">
        <f>IF($D$1212="",0,$D1386*Table3[[#This Row],[CF]]*chronic_consumption!$AD186/1000/$C$3)</f>
        <v>#DIV/0!</v>
      </c>
      <c r="AJ1386" s="1098" t="e">
        <f>IF($D$1212="",0,$D1386*Table3[[#This Row],[CF]]*chronic_consumption!$AE186/1000/$C$3)</f>
        <v>#DIV/0!</v>
      </c>
      <c r="AK1386" s="1098" t="e">
        <f>IF($D$1212="",0,$D1386*Table3[[#This Row],[CF]]*chronic_consumption!$AF186/1000/$C$3)</f>
        <v>#DIV/0!</v>
      </c>
      <c r="AL1386" s="1098" t="e">
        <f>IF($D$1212="",0,$D1386*Table3[[#This Row],[CF]]*chronic_consumption!$AG186/1000/$C$3)</f>
        <v>#DIV/0!</v>
      </c>
      <c r="AM1386" s="1098" t="e">
        <f>IF($D$1212="",0,$D1386*Table3[[#This Row],[CF]]*chronic_consumption!$AH186/1000/$C$3)</f>
        <v>#DIV/0!</v>
      </c>
      <c r="AN1386" s="1098" t="e">
        <f>IF($D$1212="",0,$D1386*Table3[[#This Row],[CF]]*chronic_consumption!$AI186/1000/$C$3)</f>
        <v>#DIV/0!</v>
      </c>
      <c r="AO1386" s="1098" t="e">
        <f>IF($D$1212="",0,$D1386*Table3[[#This Row],[CF]]*chronic_consumption!$AJ186/1000/$C$3)</f>
        <v>#DIV/0!</v>
      </c>
      <c r="AP1386" s="1098" t="e">
        <f>IF($D$1212="",0,$D1386*Table3[[#This Row],[CF]]*chronic_consumption!$AK186/1000/$C$3)</f>
        <v>#DIV/0!</v>
      </c>
      <c r="AQ1386" s="1098" t="e">
        <f>IF($D$1212="",0,$D1386*Table3[[#This Row],[CF]]*chronic_consumption!$AL186/1000/$C$3)</f>
        <v>#DIV/0!</v>
      </c>
      <c r="AR1386" s="1098" t="e">
        <f>IF($D$1212="",0,$D1386*Table3[[#This Row],[CF]]*chronic_consumption!$AM186/1000/$C$3)</f>
        <v>#DIV/0!</v>
      </c>
      <c r="AS1386" s="1098" t="e">
        <f>IF($D$1212="",0,$D1386*Table3[[#This Row],[CF]]*chronic_consumption!$AN186/1000/$C$3)</f>
        <v>#DIV/0!</v>
      </c>
      <c r="AT1386" s="1098" t="e">
        <f>IF($D$1212="",0,$D1386*Table3[[#This Row],[CF]]*chronic_consumption!$AO186/1000/$C$3)</f>
        <v>#DIV/0!</v>
      </c>
      <c r="AU1386" s="1099" t="e">
        <f t="shared" si="861"/>
        <v>#DIV/0!</v>
      </c>
      <c r="AV1386" s="1099" t="e">
        <f t="shared" si="861"/>
        <v>#DIV/0!</v>
      </c>
      <c r="AW1386" s="1099" t="e">
        <f t="shared" si="861"/>
        <v>#DIV/0!</v>
      </c>
      <c r="AX1386" s="1099" t="e">
        <f t="shared" si="861"/>
        <v>#DIV/0!</v>
      </c>
      <c r="AY1386" s="1099" t="e">
        <f t="shared" si="861"/>
        <v>#DIV/0!</v>
      </c>
      <c r="AZ1386" s="1091" t="s">
        <v>1012</v>
      </c>
      <c r="BA1386" s="1097" t="e">
        <f>IF(Table3[[#This Row],[max]]&lt;&gt;0,RANK(Table3[[#This Row],[max]],Table3[max],0),"")</f>
        <v>#DIV/0!</v>
      </c>
      <c r="BB1386" s="1096" t="e">
        <f t="shared" si="853"/>
        <v>#DIV/0!</v>
      </c>
      <c r="BC1386" s="1096" t="e">
        <f t="shared" ca="1" si="854"/>
        <v>#DIV/0!</v>
      </c>
      <c r="BD1386" s="1096" t="e">
        <f>IF(Table3[[#This Row],[max]]&gt;0,Table3[[#This Row],[Crop groups and examples of individual products within the groups to which the MRLs apply]],"")</f>
        <v>#DIV/0!</v>
      </c>
    </row>
    <row r="1387" spans="2:56" x14ac:dyDescent="0.2">
      <c r="B1387" s="23">
        <f t="shared" si="859"/>
        <v>256100</v>
      </c>
      <c r="C1387" s="23" t="str">
        <f t="shared" si="859"/>
        <v>Tarragon</v>
      </c>
      <c r="D1387" s="1084">
        <f>input_values!E187</f>
        <v>0</v>
      </c>
      <c r="E1387" s="1084">
        <f>input_values!F187</f>
        <v>0</v>
      </c>
      <c r="F1387" s="1085">
        <f>input_values!W187</f>
        <v>1</v>
      </c>
      <c r="G1387" s="1085" t="str">
        <f>IF(Table3[[#This Row],[CF]]&gt;0,CONCATENATE(IF(Table3[[#This Row],[LOQ]]="*","LOQ","MRL"),IF(input_values!G187&gt;0,"×CFrisk","")),"")</f>
        <v>MRL</v>
      </c>
      <c r="H1387" s="1087">
        <f>input_values!L187</f>
        <v>0</v>
      </c>
      <c r="I1387" s="1088">
        <f>input_values!D187</f>
        <v>0</v>
      </c>
      <c r="J1387" s="1098" t="e">
        <f>IF($D$1212="",0,$D1387*Table3[[#This Row],[CF]]*chronic_consumption!$E187/1000/$C$3)</f>
        <v>#DIV/0!</v>
      </c>
      <c r="K1387" s="1098" t="e">
        <f>IF($D$1212="",0,$D1387*Table3[[#This Row],[CF]]*chronic_consumption!$F187/1000/$C$3)</f>
        <v>#DIV/0!</v>
      </c>
      <c r="L1387" s="1098" t="e">
        <f>IF($D$1212="",0,$D1387*Table3[[#This Row],[CF]]*chronic_consumption!$G187/1000/$C$3)</f>
        <v>#DIV/0!</v>
      </c>
      <c r="M1387" s="1098" t="e">
        <f>IF($D$1212="",0,$D1387*Table3[[#This Row],[CF]]*chronic_consumption!$H187/1000/$C$3)</f>
        <v>#DIV/0!</v>
      </c>
      <c r="N1387" s="1098" t="e">
        <f>IF($D$1212="",0,$D1387*Table3[[#This Row],[CF]]*chronic_consumption!$I187/1000/$C$3)</f>
        <v>#DIV/0!</v>
      </c>
      <c r="O1387" s="1098" t="e">
        <f>IF($D$1212="",0,$D1387*Table3[[#This Row],[CF]]*chronic_consumption!$J187/1000/$C$3)</f>
        <v>#DIV/0!</v>
      </c>
      <c r="P1387" s="1098" t="e">
        <f>IF($D$1212="",0,$D1387*Table3[[#This Row],[CF]]*chronic_consumption!$K187/1000/$C$3)</f>
        <v>#DIV/0!</v>
      </c>
      <c r="Q1387" s="1098" t="e">
        <f>IF($D$1212="",0,$D1387*Table3[[#This Row],[CF]]*chronic_consumption!$L187/1000/$C$3)</f>
        <v>#DIV/0!</v>
      </c>
      <c r="R1387" s="1098" t="e">
        <f>IF($D$1212="",0,$D1387*Table3[[#This Row],[CF]]*chronic_consumption!$M187/1000/$C$3)</f>
        <v>#DIV/0!</v>
      </c>
      <c r="S1387" s="1098" t="e">
        <f>IF($D$1212="",0,$D1387*Table3[[#This Row],[CF]]*chronic_consumption!$N187/1000/$C$3)</f>
        <v>#DIV/0!</v>
      </c>
      <c r="T1387" s="1098" t="e">
        <f>IF($D$1212="",0,$D1387*Table3[[#This Row],[CF]]*chronic_consumption!$O187/1000/$C$3)</f>
        <v>#DIV/0!</v>
      </c>
      <c r="U1387" s="1098" t="e">
        <f>IF($D$1212="",0,$D1387*Table3[[#This Row],[CF]]*chronic_consumption!$P187/1000/$C$3)</f>
        <v>#DIV/0!</v>
      </c>
      <c r="V1387" s="1098" t="e">
        <f>IF($D$1212="",0,$D1387*Table3[[#This Row],[CF]]*chronic_consumption!$Q187/1000/$C$3)</f>
        <v>#DIV/0!</v>
      </c>
      <c r="W1387" s="1098" t="e">
        <f>IF($D$1212="",0,$D1387*Table3[[#This Row],[CF]]*chronic_consumption!$R187/1000/$C$3)</f>
        <v>#DIV/0!</v>
      </c>
      <c r="X1387" s="1098" t="e">
        <f>IF($D$1212="",0,$D1387*Table3[[#This Row],[CF]]*chronic_consumption!$S187/1000/$C$3)</f>
        <v>#DIV/0!</v>
      </c>
      <c r="Y1387" s="1098" t="e">
        <f>IF($D$1212="",0,$D1387*Table3[[#This Row],[CF]]*chronic_consumption!$T187/1000/$C$3)</f>
        <v>#DIV/0!</v>
      </c>
      <c r="Z1387" s="1098" t="e">
        <f>IF($D$1212="",0,$D1387*Table3[[#This Row],[CF]]*chronic_consumption!$U187/1000/$C$3)</f>
        <v>#DIV/0!</v>
      </c>
      <c r="AA1387" s="1098" t="e">
        <f>IF($D$1212="",0,$D1387*Table3[[#This Row],[CF]]*chronic_consumption!$V187/1000/$C$3)</f>
        <v>#DIV/0!</v>
      </c>
      <c r="AB1387" s="1098" t="e">
        <f>IF($D$1212="",0,$D1387*Table3[[#This Row],[CF]]*chronic_consumption!$W187/1000/$C$3)</f>
        <v>#DIV/0!</v>
      </c>
      <c r="AC1387" s="1098" t="e">
        <f>IF($D$1212="",0,$D1387*Table3[[#This Row],[CF]]*chronic_consumption!$X187/1000/$C$3)</f>
        <v>#DIV/0!</v>
      </c>
      <c r="AD1387" s="1098" t="e">
        <f>IF($D$1212="",0,$D1387*Table3[[#This Row],[CF]]*chronic_consumption!$Y187/1000/$C$3)</f>
        <v>#DIV/0!</v>
      </c>
      <c r="AE1387" s="1098" t="e">
        <f>IF($D$1212="",0,$D1387*Table3[[#This Row],[CF]]*chronic_consumption!$Z187/1000/$C$3)</f>
        <v>#DIV/0!</v>
      </c>
      <c r="AF1387" s="1098" t="e">
        <f>IF($D$1212="",0,$D1387*Table3[[#This Row],[CF]]*chronic_consumption!$AA187/1000/$C$3)</f>
        <v>#DIV/0!</v>
      </c>
      <c r="AG1387" s="1098" t="e">
        <f>IF($D$1212="",0,$D1387*Table3[[#This Row],[CF]]*chronic_consumption!$AB187/1000/$C$3)</f>
        <v>#DIV/0!</v>
      </c>
      <c r="AH1387" s="1098" t="e">
        <f>IF($D$1212="",0,$D1387*Table3[[#This Row],[CF]]*chronic_consumption!$AC187/1000/$C$3)</f>
        <v>#DIV/0!</v>
      </c>
      <c r="AI1387" s="1098" t="e">
        <f>IF($D$1212="",0,$D1387*Table3[[#This Row],[CF]]*chronic_consumption!$AD187/1000/$C$3)</f>
        <v>#DIV/0!</v>
      </c>
      <c r="AJ1387" s="1098" t="e">
        <f>IF($D$1212="",0,$D1387*Table3[[#This Row],[CF]]*chronic_consumption!$AE187/1000/$C$3)</f>
        <v>#DIV/0!</v>
      </c>
      <c r="AK1387" s="1098" t="e">
        <f>IF($D$1212="",0,$D1387*Table3[[#This Row],[CF]]*chronic_consumption!$AF187/1000/$C$3)</f>
        <v>#DIV/0!</v>
      </c>
      <c r="AL1387" s="1098" t="e">
        <f>IF($D$1212="",0,$D1387*Table3[[#This Row],[CF]]*chronic_consumption!$AG187/1000/$C$3)</f>
        <v>#DIV/0!</v>
      </c>
      <c r="AM1387" s="1098" t="e">
        <f>IF($D$1212="",0,$D1387*Table3[[#This Row],[CF]]*chronic_consumption!$AH187/1000/$C$3)</f>
        <v>#DIV/0!</v>
      </c>
      <c r="AN1387" s="1098" t="e">
        <f>IF($D$1212="",0,$D1387*Table3[[#This Row],[CF]]*chronic_consumption!$AI187/1000/$C$3)</f>
        <v>#DIV/0!</v>
      </c>
      <c r="AO1387" s="1098" t="e">
        <f>IF($D$1212="",0,$D1387*Table3[[#This Row],[CF]]*chronic_consumption!$AJ187/1000/$C$3)</f>
        <v>#DIV/0!</v>
      </c>
      <c r="AP1387" s="1098" t="e">
        <f>IF($D$1212="",0,$D1387*Table3[[#This Row],[CF]]*chronic_consumption!$AK187/1000/$C$3)</f>
        <v>#DIV/0!</v>
      </c>
      <c r="AQ1387" s="1098" t="e">
        <f>IF($D$1212="",0,$D1387*Table3[[#This Row],[CF]]*chronic_consumption!$AL187/1000/$C$3)</f>
        <v>#DIV/0!</v>
      </c>
      <c r="AR1387" s="1098" t="e">
        <f>IF($D$1212="",0,$D1387*Table3[[#This Row],[CF]]*chronic_consumption!$AM187/1000/$C$3)</f>
        <v>#DIV/0!</v>
      </c>
      <c r="AS1387" s="1098" t="e">
        <f>IF($D$1212="",0,$D1387*Table3[[#This Row],[CF]]*chronic_consumption!$AN187/1000/$C$3)</f>
        <v>#DIV/0!</v>
      </c>
      <c r="AT1387" s="1098" t="e">
        <f>IF($D$1212="",0,$D1387*Table3[[#This Row],[CF]]*chronic_consumption!$AO187/1000/$C$3)</f>
        <v>#DIV/0!</v>
      </c>
      <c r="AU1387" s="1099" t="e">
        <f t="shared" si="861"/>
        <v>#DIV/0!</v>
      </c>
      <c r="AV1387" s="1099" t="e">
        <f t="shared" si="861"/>
        <v>#DIV/0!</v>
      </c>
      <c r="AW1387" s="1099" t="e">
        <f t="shared" si="861"/>
        <v>#DIV/0!</v>
      </c>
      <c r="AX1387" s="1099" t="e">
        <f t="shared" si="861"/>
        <v>#DIV/0!</v>
      </c>
      <c r="AY1387" s="1099" t="e">
        <f t="shared" si="861"/>
        <v>#DIV/0!</v>
      </c>
      <c r="AZ1387" s="1091" t="s">
        <v>1012</v>
      </c>
      <c r="BA1387" s="1097" t="e">
        <f>IF(Table3[[#This Row],[max]]&lt;&gt;0,RANK(Table3[[#This Row],[max]],Table3[max],0),"")</f>
        <v>#DIV/0!</v>
      </c>
      <c r="BB1387" s="1096" t="e">
        <f t="shared" si="853"/>
        <v>#DIV/0!</v>
      </c>
      <c r="BC1387" s="1096" t="e">
        <f t="shared" ca="1" si="854"/>
        <v>#DIV/0!</v>
      </c>
      <c r="BD1387" s="1096" t="e">
        <f>IF(Table3[[#This Row],[max]]&gt;0,Table3[[#This Row],[Crop groups and examples of individual products within the groups to which the MRLs apply]],"")</f>
        <v>#DIV/0!</v>
      </c>
    </row>
    <row r="1388" spans="2:56" x14ac:dyDescent="0.2">
      <c r="B1388" s="23">
        <f t="shared" si="859"/>
        <v>256990</v>
      </c>
      <c r="C1388" s="23" t="str">
        <f t="shared" si="859"/>
        <v>Other herbs</v>
      </c>
      <c r="D1388" s="1084">
        <f>input_values!E188</f>
        <v>0</v>
      </c>
      <c r="E1388" s="1084">
        <f>input_values!F188</f>
        <v>0</v>
      </c>
      <c r="F1388" s="1085">
        <f>input_values!W188</f>
        <v>1</v>
      </c>
      <c r="G1388" s="1085" t="str">
        <f>IF(Table3[[#This Row],[CF]]&gt;0,CONCATENATE(IF(Table3[[#This Row],[LOQ]]="*","LOQ","MRL"),IF(input_values!G188&gt;0,"×CFrisk","")),"")</f>
        <v>MRL</v>
      </c>
      <c r="H1388" s="1087">
        <f>input_values!L188</f>
        <v>0</v>
      </c>
      <c r="I1388" s="1088">
        <f>input_values!D188</f>
        <v>0</v>
      </c>
      <c r="J1388" s="1098" t="e">
        <f>IF($D$1212="",0,$D1388*Table3[[#This Row],[CF]]*chronic_consumption!$E188/1000/$C$3)</f>
        <v>#DIV/0!</v>
      </c>
      <c r="K1388" s="1098" t="e">
        <f>IF($D$1212="",0,$D1388*Table3[[#This Row],[CF]]*chronic_consumption!$F188/1000/$C$3)</f>
        <v>#DIV/0!</v>
      </c>
      <c r="L1388" s="1098" t="e">
        <f>IF($D$1212="",0,$D1388*Table3[[#This Row],[CF]]*chronic_consumption!$G188/1000/$C$3)</f>
        <v>#DIV/0!</v>
      </c>
      <c r="M1388" s="1098" t="e">
        <f>IF($D$1212="",0,$D1388*Table3[[#This Row],[CF]]*chronic_consumption!$H188/1000/$C$3)</f>
        <v>#DIV/0!</v>
      </c>
      <c r="N1388" s="1098" t="e">
        <f>IF($D$1212="",0,$D1388*Table3[[#This Row],[CF]]*chronic_consumption!$I188/1000/$C$3)</f>
        <v>#DIV/0!</v>
      </c>
      <c r="O1388" s="1098" t="e">
        <f>IF($D$1212="",0,$D1388*Table3[[#This Row],[CF]]*chronic_consumption!$J188/1000/$C$3)</f>
        <v>#DIV/0!</v>
      </c>
      <c r="P1388" s="1098" t="e">
        <f>IF($D$1212="",0,$D1388*Table3[[#This Row],[CF]]*chronic_consumption!$K188/1000/$C$3)</f>
        <v>#DIV/0!</v>
      </c>
      <c r="Q1388" s="1098" t="e">
        <f>IF($D$1212="",0,$D1388*Table3[[#This Row],[CF]]*chronic_consumption!$L188/1000/$C$3)</f>
        <v>#DIV/0!</v>
      </c>
      <c r="R1388" s="1098" t="e">
        <f>IF($D$1212="",0,$D1388*Table3[[#This Row],[CF]]*chronic_consumption!$M188/1000/$C$3)</f>
        <v>#DIV/0!</v>
      </c>
      <c r="S1388" s="1098" t="e">
        <f>IF($D$1212="",0,$D1388*Table3[[#This Row],[CF]]*chronic_consumption!$N188/1000/$C$3)</f>
        <v>#DIV/0!</v>
      </c>
      <c r="T1388" s="1098" t="e">
        <f>IF($D$1212="",0,$D1388*Table3[[#This Row],[CF]]*chronic_consumption!$O188/1000/$C$3)</f>
        <v>#DIV/0!</v>
      </c>
      <c r="U1388" s="1098" t="e">
        <f>IF($D$1212="",0,$D1388*Table3[[#This Row],[CF]]*chronic_consumption!$P188/1000/$C$3)</f>
        <v>#DIV/0!</v>
      </c>
      <c r="V1388" s="1098" t="e">
        <f>IF($D$1212="",0,$D1388*Table3[[#This Row],[CF]]*chronic_consumption!$Q188/1000/$C$3)</f>
        <v>#DIV/0!</v>
      </c>
      <c r="W1388" s="1098" t="e">
        <f>IF($D$1212="",0,$D1388*Table3[[#This Row],[CF]]*chronic_consumption!$R188/1000/$C$3)</f>
        <v>#DIV/0!</v>
      </c>
      <c r="X1388" s="1098" t="e">
        <f>IF($D$1212="",0,$D1388*Table3[[#This Row],[CF]]*chronic_consumption!$S188/1000/$C$3)</f>
        <v>#DIV/0!</v>
      </c>
      <c r="Y1388" s="1098" t="e">
        <f>IF($D$1212="",0,$D1388*Table3[[#This Row],[CF]]*chronic_consumption!$T188/1000/$C$3)</f>
        <v>#DIV/0!</v>
      </c>
      <c r="Z1388" s="1098" t="e">
        <f>IF($D$1212="",0,$D1388*Table3[[#This Row],[CF]]*chronic_consumption!$U188/1000/$C$3)</f>
        <v>#DIV/0!</v>
      </c>
      <c r="AA1388" s="1098" t="e">
        <f>IF($D$1212="",0,$D1388*Table3[[#This Row],[CF]]*chronic_consumption!$V188/1000/$C$3)</f>
        <v>#DIV/0!</v>
      </c>
      <c r="AB1388" s="1098" t="e">
        <f>IF($D$1212="",0,$D1388*Table3[[#This Row],[CF]]*chronic_consumption!$W188/1000/$C$3)</f>
        <v>#DIV/0!</v>
      </c>
      <c r="AC1388" s="1098" t="e">
        <f>IF($D$1212="",0,$D1388*Table3[[#This Row],[CF]]*chronic_consumption!$X188/1000/$C$3)</f>
        <v>#DIV/0!</v>
      </c>
      <c r="AD1388" s="1098" t="e">
        <f>IF($D$1212="",0,$D1388*Table3[[#This Row],[CF]]*chronic_consumption!$Y188/1000/$C$3)</f>
        <v>#DIV/0!</v>
      </c>
      <c r="AE1388" s="1098" t="e">
        <f>IF($D$1212="",0,$D1388*Table3[[#This Row],[CF]]*chronic_consumption!$Z188/1000/$C$3)</f>
        <v>#DIV/0!</v>
      </c>
      <c r="AF1388" s="1098" t="e">
        <f>IF($D$1212="",0,$D1388*Table3[[#This Row],[CF]]*chronic_consumption!$AA188/1000/$C$3)</f>
        <v>#DIV/0!</v>
      </c>
      <c r="AG1388" s="1098" t="e">
        <f>IF($D$1212="",0,$D1388*Table3[[#This Row],[CF]]*chronic_consumption!$AB188/1000/$C$3)</f>
        <v>#DIV/0!</v>
      </c>
      <c r="AH1388" s="1098" t="e">
        <f>IF($D$1212="",0,$D1388*Table3[[#This Row],[CF]]*chronic_consumption!$AC188/1000/$C$3)</f>
        <v>#DIV/0!</v>
      </c>
      <c r="AI1388" s="1098" t="e">
        <f>IF($D$1212="",0,$D1388*Table3[[#This Row],[CF]]*chronic_consumption!$AD188/1000/$C$3)</f>
        <v>#DIV/0!</v>
      </c>
      <c r="AJ1388" s="1098" t="e">
        <f>IF($D$1212="",0,$D1388*Table3[[#This Row],[CF]]*chronic_consumption!$AE188/1000/$C$3)</f>
        <v>#DIV/0!</v>
      </c>
      <c r="AK1388" s="1098" t="e">
        <f>IF($D$1212="",0,$D1388*Table3[[#This Row],[CF]]*chronic_consumption!$AF188/1000/$C$3)</f>
        <v>#DIV/0!</v>
      </c>
      <c r="AL1388" s="1098" t="e">
        <f>IF($D$1212="",0,$D1388*Table3[[#This Row],[CF]]*chronic_consumption!$AG188/1000/$C$3)</f>
        <v>#DIV/0!</v>
      </c>
      <c r="AM1388" s="1098" t="e">
        <f>IF($D$1212="",0,$D1388*Table3[[#This Row],[CF]]*chronic_consumption!$AH188/1000/$C$3)</f>
        <v>#DIV/0!</v>
      </c>
      <c r="AN1388" s="1098" t="e">
        <f>IF($D$1212="",0,$D1388*Table3[[#This Row],[CF]]*chronic_consumption!$AI188/1000/$C$3)</f>
        <v>#DIV/0!</v>
      </c>
      <c r="AO1388" s="1098" t="e">
        <f>IF($D$1212="",0,$D1388*Table3[[#This Row],[CF]]*chronic_consumption!$AJ188/1000/$C$3)</f>
        <v>#DIV/0!</v>
      </c>
      <c r="AP1388" s="1098" t="e">
        <f>IF($D$1212="",0,$D1388*Table3[[#This Row],[CF]]*chronic_consumption!$AK188/1000/$C$3)</f>
        <v>#DIV/0!</v>
      </c>
      <c r="AQ1388" s="1098" t="e">
        <f>IF($D$1212="",0,$D1388*Table3[[#This Row],[CF]]*chronic_consumption!$AL188/1000/$C$3)</f>
        <v>#DIV/0!</v>
      </c>
      <c r="AR1388" s="1098" t="e">
        <f>IF($D$1212="",0,$D1388*Table3[[#This Row],[CF]]*chronic_consumption!$AM188/1000/$C$3)</f>
        <v>#DIV/0!</v>
      </c>
      <c r="AS1388" s="1098" t="e">
        <f>IF($D$1212="",0,$D1388*Table3[[#This Row],[CF]]*chronic_consumption!$AN188/1000/$C$3)</f>
        <v>#DIV/0!</v>
      </c>
      <c r="AT1388" s="1098" t="e">
        <f>IF($D$1212="",0,$D1388*Table3[[#This Row],[CF]]*chronic_consumption!$AO188/1000/$C$3)</f>
        <v>#DIV/0!</v>
      </c>
      <c r="AU1388" s="1099" t="e">
        <f t="shared" si="861"/>
        <v>#DIV/0!</v>
      </c>
      <c r="AV1388" s="1099" t="e">
        <f t="shared" si="861"/>
        <v>#DIV/0!</v>
      </c>
      <c r="AW1388" s="1099" t="e">
        <f t="shared" si="861"/>
        <v>#DIV/0!</v>
      </c>
      <c r="AX1388" s="1099" t="e">
        <f t="shared" si="861"/>
        <v>#DIV/0!</v>
      </c>
      <c r="AY1388" s="1099" t="e">
        <f t="shared" si="861"/>
        <v>#DIV/0!</v>
      </c>
      <c r="AZ1388" s="1091" t="s">
        <v>1012</v>
      </c>
      <c r="BA1388" s="1097" t="e">
        <f>IF(Table3[[#This Row],[max]]&lt;&gt;0,RANK(Table3[[#This Row],[max]],Table3[max],0),"")</f>
        <v>#DIV/0!</v>
      </c>
      <c r="BB1388" s="1096" t="e">
        <f t="shared" si="853"/>
        <v>#DIV/0!</v>
      </c>
      <c r="BC1388" s="1096" t="e">
        <f t="shared" ca="1" si="854"/>
        <v>#DIV/0!</v>
      </c>
      <c r="BD1388" s="1096" t="e">
        <f>IF(Table3[[#This Row],[max]]&gt;0,Table3[[#This Row],[Crop groups and examples of individual products within the groups to which the MRLs apply]],"")</f>
        <v>#DIV/0!</v>
      </c>
    </row>
    <row r="1389" spans="2:56" x14ac:dyDescent="0.2">
      <c r="B1389" s="131">
        <f t="shared" si="859"/>
        <v>260000</v>
      </c>
      <c r="C1389" s="131" t="str">
        <f t="shared" si="859"/>
        <v xml:space="preserve">Legume vegetables </v>
      </c>
      <c r="D1389" s="1084">
        <f>input_values!E189</f>
        <v>0</v>
      </c>
      <c r="E1389" s="1084">
        <f>input_values!F189</f>
        <v>0</v>
      </c>
      <c r="F1389" s="1085">
        <f>input_values!W189</f>
        <v>0</v>
      </c>
      <c r="G1389" s="1085" t="str">
        <f>IF(Table3[[#This Row],[CF]]&gt;0,CONCATENATE(IF(Table3[[#This Row],[LOQ]]="*","LOQ","MRL"),IF(input_values!G189&gt;0,"×CFrisk","")),"")</f>
        <v/>
      </c>
      <c r="H1389" s="1087">
        <f>input_values!L189</f>
        <v>0</v>
      </c>
      <c r="I1389" s="1088">
        <f>input_values!D189</f>
        <v>0</v>
      </c>
      <c r="J1389" s="1095" t="e">
        <f>IF($D$1212="",0,$D1389*Table3[[#This Row],[CF]]*chronic_consumption!$E189/1000/$C$3)</f>
        <v>#DIV/0!</v>
      </c>
      <c r="K1389" s="1095" t="e">
        <f>IF($D$1212="",0,$D1389*Table3[[#This Row],[CF]]*chronic_consumption!$F189/1000/$C$3)</f>
        <v>#DIV/0!</v>
      </c>
      <c r="L1389" s="1095" t="e">
        <f>IF($D$1212="",0,$D1389*Table3[[#This Row],[CF]]*chronic_consumption!$G189/1000/$C$3)</f>
        <v>#DIV/0!</v>
      </c>
      <c r="M1389" s="1095" t="e">
        <f>IF($D$1212="",0,$D1389*Table3[[#This Row],[CF]]*chronic_consumption!$H189/1000/$C$3)</f>
        <v>#DIV/0!</v>
      </c>
      <c r="N1389" s="1095" t="e">
        <f>IF($D$1212="",0,$D1389*Table3[[#This Row],[CF]]*chronic_consumption!$I189/1000/$C$3)</f>
        <v>#DIV/0!</v>
      </c>
      <c r="O1389" s="1095" t="e">
        <f>IF($D$1212="",0,$D1389*Table3[[#This Row],[CF]]*chronic_consumption!$J189/1000/$C$3)</f>
        <v>#DIV/0!</v>
      </c>
      <c r="P1389" s="1095" t="e">
        <f>IF($D$1212="",0,$D1389*Table3[[#This Row],[CF]]*chronic_consumption!$K189/1000/$C$3)</f>
        <v>#DIV/0!</v>
      </c>
      <c r="Q1389" s="1095" t="e">
        <f>IF($D$1212="",0,$D1389*Table3[[#This Row],[CF]]*chronic_consumption!$L189/1000/$C$3)</f>
        <v>#DIV/0!</v>
      </c>
      <c r="R1389" s="1095" t="e">
        <f>IF($D$1212="",0,$D1389*Table3[[#This Row],[CF]]*chronic_consumption!$M189/1000/$C$3)</f>
        <v>#DIV/0!</v>
      </c>
      <c r="S1389" s="1095" t="e">
        <f>IF($D$1212="",0,$D1389*Table3[[#This Row],[CF]]*chronic_consumption!$N189/1000/$C$3)</f>
        <v>#DIV/0!</v>
      </c>
      <c r="T1389" s="1095" t="e">
        <f>IF($D$1212="",0,$D1389*Table3[[#This Row],[CF]]*chronic_consumption!$O189/1000/$C$3)</f>
        <v>#DIV/0!</v>
      </c>
      <c r="U1389" s="1095" t="e">
        <f>IF($D$1212="",0,$D1389*Table3[[#This Row],[CF]]*chronic_consumption!$P189/1000/$C$3)</f>
        <v>#DIV/0!</v>
      </c>
      <c r="V1389" s="1095" t="e">
        <f>IF($D$1212="",0,$D1389*Table3[[#This Row],[CF]]*chronic_consumption!$Q189/1000/$C$3)</f>
        <v>#DIV/0!</v>
      </c>
      <c r="W1389" s="1095" t="e">
        <f>IF($D$1212="",0,$D1389*Table3[[#This Row],[CF]]*chronic_consumption!$R189/1000/$C$3)</f>
        <v>#DIV/0!</v>
      </c>
      <c r="X1389" s="1095" t="e">
        <f>IF($D$1212="",0,$D1389*Table3[[#This Row],[CF]]*chronic_consumption!$S189/1000/$C$3)</f>
        <v>#DIV/0!</v>
      </c>
      <c r="Y1389" s="1095" t="e">
        <f>IF($D$1212="",0,$D1389*Table3[[#This Row],[CF]]*chronic_consumption!$T189/1000/$C$3)</f>
        <v>#DIV/0!</v>
      </c>
      <c r="Z1389" s="1095" t="e">
        <f>IF($D$1212="",0,$D1389*Table3[[#This Row],[CF]]*chronic_consumption!$U189/1000/$C$3)</f>
        <v>#DIV/0!</v>
      </c>
      <c r="AA1389" s="1095" t="e">
        <f>IF($D$1212="",0,$D1389*Table3[[#This Row],[CF]]*chronic_consumption!$V189/1000/$C$3)</f>
        <v>#DIV/0!</v>
      </c>
      <c r="AB1389" s="1095" t="e">
        <f>IF($D$1212="",0,$D1389*Table3[[#This Row],[CF]]*chronic_consumption!$W189/1000/$C$3)</f>
        <v>#DIV/0!</v>
      </c>
      <c r="AC1389" s="1095" t="e">
        <f>IF($D$1212="",0,$D1389*Table3[[#This Row],[CF]]*chronic_consumption!$X189/1000/$C$3)</f>
        <v>#DIV/0!</v>
      </c>
      <c r="AD1389" s="1095" t="e">
        <f>IF($D$1212="",0,$D1389*Table3[[#This Row],[CF]]*chronic_consumption!$Y189/1000/$C$3)</f>
        <v>#DIV/0!</v>
      </c>
      <c r="AE1389" s="1095" t="e">
        <f>IF($D$1212="",0,$D1389*Table3[[#This Row],[CF]]*chronic_consumption!$Z189/1000/$C$3)</f>
        <v>#DIV/0!</v>
      </c>
      <c r="AF1389" s="1095" t="e">
        <f>IF($D$1212="",0,$D1389*Table3[[#This Row],[CF]]*chronic_consumption!$AA189/1000/$C$3)</f>
        <v>#DIV/0!</v>
      </c>
      <c r="AG1389" s="1095" t="e">
        <f>IF($D$1212="",0,$D1389*Table3[[#This Row],[CF]]*chronic_consumption!$AB189/1000/$C$3)</f>
        <v>#DIV/0!</v>
      </c>
      <c r="AH1389" s="1095" t="e">
        <f>IF($D$1212="",0,$D1389*Table3[[#This Row],[CF]]*chronic_consumption!$AC189/1000/$C$3)</f>
        <v>#DIV/0!</v>
      </c>
      <c r="AI1389" s="1095" t="e">
        <f>IF($D$1212="",0,$D1389*Table3[[#This Row],[CF]]*chronic_consumption!$AD189/1000/$C$3)</f>
        <v>#DIV/0!</v>
      </c>
      <c r="AJ1389" s="1095" t="e">
        <f>IF($D$1212="",0,$D1389*Table3[[#This Row],[CF]]*chronic_consumption!$AE189/1000/$C$3)</f>
        <v>#DIV/0!</v>
      </c>
      <c r="AK1389" s="1095" t="e">
        <f>IF($D$1212="",0,$D1389*Table3[[#This Row],[CF]]*chronic_consumption!$AF189/1000/$C$3)</f>
        <v>#DIV/0!</v>
      </c>
      <c r="AL1389" s="1095" t="e">
        <f>IF($D$1212="",0,$D1389*Table3[[#This Row],[CF]]*chronic_consumption!$AG189/1000/$C$3)</f>
        <v>#DIV/0!</v>
      </c>
      <c r="AM1389" s="1095" t="e">
        <f>IF($D$1212="",0,$D1389*Table3[[#This Row],[CF]]*chronic_consumption!$AH189/1000/$C$3)</f>
        <v>#DIV/0!</v>
      </c>
      <c r="AN1389" s="1095" t="e">
        <f>IF($D$1212="",0,$D1389*Table3[[#This Row],[CF]]*chronic_consumption!$AI189/1000/$C$3)</f>
        <v>#DIV/0!</v>
      </c>
      <c r="AO1389" s="1095" t="e">
        <f>IF($D$1212="",0,$D1389*Table3[[#This Row],[CF]]*chronic_consumption!$AJ189/1000/$C$3)</f>
        <v>#DIV/0!</v>
      </c>
      <c r="AP1389" s="1095" t="e">
        <f>IF($D$1212="",0,$D1389*Table3[[#This Row],[CF]]*chronic_consumption!$AK189/1000/$C$3)</f>
        <v>#DIV/0!</v>
      </c>
      <c r="AQ1389" s="1095" t="e">
        <f>IF($D$1212="",0,$D1389*Table3[[#This Row],[CF]]*chronic_consumption!$AL189/1000/$C$3)</f>
        <v>#DIV/0!</v>
      </c>
      <c r="AR1389" s="1095" t="e">
        <f>IF($D$1212="",0,$D1389*Table3[[#This Row],[CF]]*chronic_consumption!$AM189/1000/$C$3)</f>
        <v>#DIV/0!</v>
      </c>
      <c r="AS1389" s="1095" t="e">
        <f>IF($D$1212="",0,$D1389*Table3[[#This Row],[CF]]*chronic_consumption!$AN189/1000/$C$3)</f>
        <v>#DIV/0!</v>
      </c>
      <c r="AT1389" s="1095" t="e">
        <f>IF($D$1212="",0,$D1389*Table3[[#This Row],[CF]]*chronic_consumption!$AO189/1000/$C$3)</f>
        <v>#DIV/0!</v>
      </c>
      <c r="AU1389" s="1096" t="e">
        <f t="shared" si="861"/>
        <v>#DIV/0!</v>
      </c>
      <c r="AV1389" s="1096" t="e">
        <f t="shared" si="861"/>
        <v>#DIV/0!</v>
      </c>
      <c r="AW1389" s="1096" t="e">
        <f t="shared" si="861"/>
        <v>#DIV/0!</v>
      </c>
      <c r="AX1389" s="1096" t="e">
        <f t="shared" si="861"/>
        <v>#DIV/0!</v>
      </c>
      <c r="AY1389" s="1096" t="e">
        <f t="shared" si="861"/>
        <v>#DIV/0!</v>
      </c>
      <c r="AZ1389" s="1091" t="s">
        <v>1012</v>
      </c>
      <c r="BA1389" s="1097" t="e">
        <f>IF(Table3[[#This Row],[max]]&lt;&gt;0,RANK(Table3[[#This Row],[max]],Table3[max],0),"")</f>
        <v>#DIV/0!</v>
      </c>
      <c r="BB1389" s="1096" t="e">
        <f t="shared" si="853"/>
        <v>#DIV/0!</v>
      </c>
      <c r="BC1389" s="1096" t="e">
        <f t="shared" ca="1" si="854"/>
        <v>#DIV/0!</v>
      </c>
      <c r="BD1389" s="1096" t="e">
        <f>IF(Table3[[#This Row],[max]]&gt;0,Table3[[#This Row],[Crop groups and examples of individual products within the groups to which the MRLs apply]],"")</f>
        <v>#DIV/0!</v>
      </c>
    </row>
    <row r="1390" spans="2:56" x14ac:dyDescent="0.2">
      <c r="B1390" s="23">
        <f t="shared" si="859"/>
        <v>260010</v>
      </c>
      <c r="C1390" s="23" t="str">
        <f t="shared" si="859"/>
        <v>Beans (with pods)</v>
      </c>
      <c r="D1390" s="1084">
        <f>input_values!E190</f>
        <v>0</v>
      </c>
      <c r="E1390" s="1084">
        <f>input_values!F190</f>
        <v>0</v>
      </c>
      <c r="F1390" s="1085">
        <f>input_values!W190</f>
        <v>1</v>
      </c>
      <c r="G1390" s="1085" t="str">
        <f>IF(Table3[[#This Row],[CF]]&gt;0,CONCATENATE(IF(Table3[[#This Row],[LOQ]]="*","LOQ","MRL"),IF(input_values!G190&gt;0,"×CFrisk","")),"")</f>
        <v>MRL</v>
      </c>
      <c r="H1390" s="1087">
        <f>input_values!L190</f>
        <v>0</v>
      </c>
      <c r="I1390" s="1088">
        <f>input_values!D190</f>
        <v>0</v>
      </c>
      <c r="J1390" s="1098" t="e">
        <f>IF($D$1212="",0,$D1390*Table3[[#This Row],[CF]]*chronic_consumption!$E190/1000/$C$3)</f>
        <v>#DIV/0!</v>
      </c>
      <c r="K1390" s="1098" t="e">
        <f>IF($D$1212="",0,$D1390*Table3[[#This Row],[CF]]*chronic_consumption!$F190/1000/$C$3)</f>
        <v>#DIV/0!</v>
      </c>
      <c r="L1390" s="1098" t="e">
        <f>IF($D$1212="",0,$D1390*Table3[[#This Row],[CF]]*chronic_consumption!$G190/1000/$C$3)</f>
        <v>#DIV/0!</v>
      </c>
      <c r="M1390" s="1098" t="e">
        <f>IF($D$1212="",0,$D1390*Table3[[#This Row],[CF]]*chronic_consumption!$H190/1000/$C$3)</f>
        <v>#DIV/0!</v>
      </c>
      <c r="N1390" s="1098" t="e">
        <f>IF($D$1212="",0,$D1390*Table3[[#This Row],[CF]]*chronic_consumption!$I190/1000/$C$3)</f>
        <v>#DIV/0!</v>
      </c>
      <c r="O1390" s="1098" t="e">
        <f>IF($D$1212="",0,$D1390*Table3[[#This Row],[CF]]*chronic_consumption!$J190/1000/$C$3)</f>
        <v>#DIV/0!</v>
      </c>
      <c r="P1390" s="1098" t="e">
        <f>IF($D$1212="",0,$D1390*Table3[[#This Row],[CF]]*chronic_consumption!$K190/1000/$C$3)</f>
        <v>#DIV/0!</v>
      </c>
      <c r="Q1390" s="1098" t="e">
        <f>IF($D$1212="",0,$D1390*Table3[[#This Row],[CF]]*chronic_consumption!$L190/1000/$C$3)</f>
        <v>#DIV/0!</v>
      </c>
      <c r="R1390" s="1098" t="e">
        <f>IF($D$1212="",0,$D1390*Table3[[#This Row],[CF]]*chronic_consumption!$M190/1000/$C$3)</f>
        <v>#DIV/0!</v>
      </c>
      <c r="S1390" s="1098" t="e">
        <f>IF($D$1212="",0,$D1390*Table3[[#This Row],[CF]]*chronic_consumption!$N190/1000/$C$3)</f>
        <v>#DIV/0!</v>
      </c>
      <c r="T1390" s="1098" t="e">
        <f>IF($D$1212="",0,$D1390*Table3[[#This Row],[CF]]*chronic_consumption!$O190/1000/$C$3)</f>
        <v>#DIV/0!</v>
      </c>
      <c r="U1390" s="1098" t="e">
        <f>IF($D$1212="",0,$D1390*Table3[[#This Row],[CF]]*chronic_consumption!$P190/1000/$C$3)</f>
        <v>#DIV/0!</v>
      </c>
      <c r="V1390" s="1098" t="e">
        <f>IF($D$1212="",0,$D1390*Table3[[#This Row],[CF]]*chronic_consumption!$Q190/1000/$C$3)</f>
        <v>#DIV/0!</v>
      </c>
      <c r="W1390" s="1098" t="e">
        <f>IF($D$1212="",0,$D1390*Table3[[#This Row],[CF]]*chronic_consumption!$R190/1000/$C$3)</f>
        <v>#DIV/0!</v>
      </c>
      <c r="X1390" s="1098" t="e">
        <f>IF($D$1212="",0,$D1390*Table3[[#This Row],[CF]]*chronic_consumption!$S190/1000/$C$3)</f>
        <v>#DIV/0!</v>
      </c>
      <c r="Y1390" s="1098" t="e">
        <f>IF($D$1212="",0,$D1390*Table3[[#This Row],[CF]]*chronic_consumption!$T190/1000/$C$3)</f>
        <v>#DIV/0!</v>
      </c>
      <c r="Z1390" s="1098" t="e">
        <f>IF($D$1212="",0,$D1390*Table3[[#This Row],[CF]]*chronic_consumption!$U190/1000/$C$3)</f>
        <v>#DIV/0!</v>
      </c>
      <c r="AA1390" s="1098" t="e">
        <f>IF($D$1212="",0,$D1390*Table3[[#This Row],[CF]]*chronic_consumption!$V190/1000/$C$3)</f>
        <v>#DIV/0!</v>
      </c>
      <c r="AB1390" s="1098" t="e">
        <f>IF($D$1212="",0,$D1390*Table3[[#This Row],[CF]]*chronic_consumption!$W190/1000/$C$3)</f>
        <v>#DIV/0!</v>
      </c>
      <c r="AC1390" s="1098" t="e">
        <f>IF($D$1212="",0,$D1390*Table3[[#This Row],[CF]]*chronic_consumption!$X190/1000/$C$3)</f>
        <v>#DIV/0!</v>
      </c>
      <c r="AD1390" s="1098" t="e">
        <f>IF($D$1212="",0,$D1390*Table3[[#This Row],[CF]]*chronic_consumption!$Y190/1000/$C$3)</f>
        <v>#DIV/0!</v>
      </c>
      <c r="AE1390" s="1098" t="e">
        <f>IF($D$1212="",0,$D1390*Table3[[#This Row],[CF]]*chronic_consumption!$Z190/1000/$C$3)</f>
        <v>#DIV/0!</v>
      </c>
      <c r="AF1390" s="1098" t="e">
        <f>IF($D$1212="",0,$D1390*Table3[[#This Row],[CF]]*chronic_consumption!$AA190/1000/$C$3)</f>
        <v>#DIV/0!</v>
      </c>
      <c r="AG1390" s="1098" t="e">
        <f>IF($D$1212="",0,$D1390*Table3[[#This Row],[CF]]*chronic_consumption!$AB190/1000/$C$3)</f>
        <v>#DIV/0!</v>
      </c>
      <c r="AH1390" s="1098" t="e">
        <f>IF($D$1212="",0,$D1390*Table3[[#This Row],[CF]]*chronic_consumption!$AC190/1000/$C$3)</f>
        <v>#DIV/0!</v>
      </c>
      <c r="AI1390" s="1098" t="e">
        <f>IF($D$1212="",0,$D1390*Table3[[#This Row],[CF]]*chronic_consumption!$AD190/1000/$C$3)</f>
        <v>#DIV/0!</v>
      </c>
      <c r="AJ1390" s="1098" t="e">
        <f>IF($D$1212="",0,$D1390*Table3[[#This Row],[CF]]*chronic_consumption!$AE190/1000/$C$3)</f>
        <v>#DIV/0!</v>
      </c>
      <c r="AK1390" s="1098" t="e">
        <f>IF($D$1212="",0,$D1390*Table3[[#This Row],[CF]]*chronic_consumption!$AF190/1000/$C$3)</f>
        <v>#DIV/0!</v>
      </c>
      <c r="AL1390" s="1098" t="e">
        <f>IF($D$1212="",0,$D1390*Table3[[#This Row],[CF]]*chronic_consumption!$AG190/1000/$C$3)</f>
        <v>#DIV/0!</v>
      </c>
      <c r="AM1390" s="1098" t="e">
        <f>IF($D$1212="",0,$D1390*Table3[[#This Row],[CF]]*chronic_consumption!$AH190/1000/$C$3)</f>
        <v>#DIV/0!</v>
      </c>
      <c r="AN1390" s="1098" t="e">
        <f>IF($D$1212="",0,$D1390*Table3[[#This Row],[CF]]*chronic_consumption!$AI190/1000/$C$3)</f>
        <v>#DIV/0!</v>
      </c>
      <c r="AO1390" s="1098" t="e">
        <f>IF($D$1212="",0,$D1390*Table3[[#This Row],[CF]]*chronic_consumption!$AJ190/1000/$C$3)</f>
        <v>#DIV/0!</v>
      </c>
      <c r="AP1390" s="1098" t="e">
        <f>IF($D$1212="",0,$D1390*Table3[[#This Row],[CF]]*chronic_consumption!$AK190/1000/$C$3)</f>
        <v>#DIV/0!</v>
      </c>
      <c r="AQ1390" s="1098" t="e">
        <f>IF($D$1212="",0,$D1390*Table3[[#This Row],[CF]]*chronic_consumption!$AL190/1000/$C$3)</f>
        <v>#DIV/0!</v>
      </c>
      <c r="AR1390" s="1098" t="e">
        <f>IF($D$1212="",0,$D1390*Table3[[#This Row],[CF]]*chronic_consumption!$AM190/1000/$C$3)</f>
        <v>#DIV/0!</v>
      </c>
      <c r="AS1390" s="1098" t="e">
        <f>IF($D$1212="",0,$D1390*Table3[[#This Row],[CF]]*chronic_consumption!$AN190/1000/$C$3)</f>
        <v>#DIV/0!</v>
      </c>
      <c r="AT1390" s="1098" t="e">
        <f>IF($D$1212="",0,$D1390*Table3[[#This Row],[CF]]*chronic_consumption!$AO190/1000/$C$3)</f>
        <v>#DIV/0!</v>
      </c>
      <c r="AU1390" s="1099" t="e">
        <f t="shared" si="861"/>
        <v>#DIV/0!</v>
      </c>
      <c r="AV1390" s="1099" t="e">
        <f t="shared" si="861"/>
        <v>#DIV/0!</v>
      </c>
      <c r="AW1390" s="1099" t="e">
        <f t="shared" si="861"/>
        <v>#DIV/0!</v>
      </c>
      <c r="AX1390" s="1099" t="e">
        <f t="shared" si="861"/>
        <v>#DIV/0!</v>
      </c>
      <c r="AY1390" s="1099" t="e">
        <f t="shared" si="861"/>
        <v>#DIV/0!</v>
      </c>
      <c r="AZ1390" s="1091" t="s">
        <v>1012</v>
      </c>
      <c r="BA1390" s="1097" t="e">
        <f>IF(Table3[[#This Row],[max]]&lt;&gt;0,RANK(Table3[[#This Row],[max]],Table3[max],0),"")</f>
        <v>#DIV/0!</v>
      </c>
      <c r="BB1390" s="1096" t="e">
        <f t="shared" si="853"/>
        <v>#DIV/0!</v>
      </c>
      <c r="BC1390" s="1096" t="e">
        <f t="shared" ca="1" si="854"/>
        <v>#DIV/0!</v>
      </c>
      <c r="BD1390" s="1096" t="e">
        <f>IF(Table3[[#This Row],[max]]&gt;0,Table3[[#This Row],[Crop groups and examples of individual products within the groups to which the MRLs apply]],"")</f>
        <v>#DIV/0!</v>
      </c>
    </row>
    <row r="1391" spans="2:56" x14ac:dyDescent="0.2">
      <c r="B1391" s="23">
        <f t="shared" si="859"/>
        <v>260020</v>
      </c>
      <c r="C1391" s="23" t="str">
        <f t="shared" si="859"/>
        <v>Beans (without pods)</v>
      </c>
      <c r="D1391" s="1084">
        <f>input_values!E191</f>
        <v>0</v>
      </c>
      <c r="E1391" s="1084">
        <f>input_values!F191</f>
        <v>0</v>
      </c>
      <c r="F1391" s="1085">
        <f>input_values!W191</f>
        <v>1</v>
      </c>
      <c r="G1391" s="1085" t="str">
        <f>IF(Table3[[#This Row],[CF]]&gt;0,CONCATENATE(IF(Table3[[#This Row],[LOQ]]="*","LOQ","MRL"),IF(input_values!G191&gt;0,"×CFrisk","")),"")</f>
        <v>MRL</v>
      </c>
      <c r="H1391" s="1087">
        <f>input_values!L191</f>
        <v>0</v>
      </c>
      <c r="I1391" s="1088">
        <f>input_values!D191</f>
        <v>0</v>
      </c>
      <c r="J1391" s="1098" t="e">
        <f>IF($D$1212="",0,$D1391*Table3[[#This Row],[CF]]*chronic_consumption!$E191/1000/$C$3)</f>
        <v>#DIV/0!</v>
      </c>
      <c r="K1391" s="1098" t="e">
        <f>IF($D$1212="",0,$D1391*Table3[[#This Row],[CF]]*chronic_consumption!$F191/1000/$C$3)</f>
        <v>#DIV/0!</v>
      </c>
      <c r="L1391" s="1098" t="e">
        <f>IF($D$1212="",0,$D1391*Table3[[#This Row],[CF]]*chronic_consumption!$G191/1000/$C$3)</f>
        <v>#DIV/0!</v>
      </c>
      <c r="M1391" s="1098" t="e">
        <f>IF($D$1212="",0,$D1391*Table3[[#This Row],[CF]]*chronic_consumption!$H191/1000/$C$3)</f>
        <v>#DIV/0!</v>
      </c>
      <c r="N1391" s="1098" t="e">
        <f>IF($D$1212="",0,$D1391*Table3[[#This Row],[CF]]*chronic_consumption!$I191/1000/$C$3)</f>
        <v>#DIV/0!</v>
      </c>
      <c r="O1391" s="1098" t="e">
        <f>IF($D$1212="",0,$D1391*Table3[[#This Row],[CF]]*chronic_consumption!$J191/1000/$C$3)</f>
        <v>#DIV/0!</v>
      </c>
      <c r="P1391" s="1098" t="e">
        <f>IF($D$1212="",0,$D1391*Table3[[#This Row],[CF]]*chronic_consumption!$K191/1000/$C$3)</f>
        <v>#DIV/0!</v>
      </c>
      <c r="Q1391" s="1098" t="e">
        <f>IF($D$1212="",0,$D1391*Table3[[#This Row],[CF]]*chronic_consumption!$L191/1000/$C$3)</f>
        <v>#DIV/0!</v>
      </c>
      <c r="R1391" s="1098" t="e">
        <f>IF($D$1212="",0,$D1391*Table3[[#This Row],[CF]]*chronic_consumption!$M191/1000/$C$3)</f>
        <v>#DIV/0!</v>
      </c>
      <c r="S1391" s="1098" t="e">
        <f>IF($D$1212="",0,$D1391*Table3[[#This Row],[CF]]*chronic_consumption!$N191/1000/$C$3)</f>
        <v>#DIV/0!</v>
      </c>
      <c r="T1391" s="1098" t="e">
        <f>IF($D$1212="",0,$D1391*Table3[[#This Row],[CF]]*chronic_consumption!$O191/1000/$C$3)</f>
        <v>#DIV/0!</v>
      </c>
      <c r="U1391" s="1098" t="e">
        <f>IF($D$1212="",0,$D1391*Table3[[#This Row],[CF]]*chronic_consumption!$P191/1000/$C$3)</f>
        <v>#DIV/0!</v>
      </c>
      <c r="V1391" s="1098" t="e">
        <f>IF($D$1212="",0,$D1391*Table3[[#This Row],[CF]]*chronic_consumption!$Q191/1000/$C$3)</f>
        <v>#DIV/0!</v>
      </c>
      <c r="W1391" s="1098" t="e">
        <f>IF($D$1212="",0,$D1391*Table3[[#This Row],[CF]]*chronic_consumption!$R191/1000/$C$3)</f>
        <v>#DIV/0!</v>
      </c>
      <c r="X1391" s="1098" t="e">
        <f>IF($D$1212="",0,$D1391*Table3[[#This Row],[CF]]*chronic_consumption!$S191/1000/$C$3)</f>
        <v>#DIV/0!</v>
      </c>
      <c r="Y1391" s="1098" t="e">
        <f>IF($D$1212="",0,$D1391*Table3[[#This Row],[CF]]*chronic_consumption!$T191/1000/$C$3)</f>
        <v>#DIV/0!</v>
      </c>
      <c r="Z1391" s="1098" t="e">
        <f>IF($D$1212="",0,$D1391*Table3[[#This Row],[CF]]*chronic_consumption!$U191/1000/$C$3)</f>
        <v>#DIV/0!</v>
      </c>
      <c r="AA1391" s="1098" t="e">
        <f>IF($D$1212="",0,$D1391*Table3[[#This Row],[CF]]*chronic_consumption!$V191/1000/$C$3)</f>
        <v>#DIV/0!</v>
      </c>
      <c r="AB1391" s="1098" t="e">
        <f>IF($D$1212="",0,$D1391*Table3[[#This Row],[CF]]*chronic_consumption!$W191/1000/$C$3)</f>
        <v>#DIV/0!</v>
      </c>
      <c r="AC1391" s="1098" t="e">
        <f>IF($D$1212="",0,$D1391*Table3[[#This Row],[CF]]*chronic_consumption!$X191/1000/$C$3)</f>
        <v>#DIV/0!</v>
      </c>
      <c r="AD1391" s="1098" t="e">
        <f>IF($D$1212="",0,$D1391*Table3[[#This Row],[CF]]*chronic_consumption!$Y191/1000/$C$3)</f>
        <v>#DIV/0!</v>
      </c>
      <c r="AE1391" s="1098" t="e">
        <f>IF($D$1212="",0,$D1391*Table3[[#This Row],[CF]]*chronic_consumption!$Z191/1000/$C$3)</f>
        <v>#DIV/0!</v>
      </c>
      <c r="AF1391" s="1098" t="e">
        <f>IF($D$1212="",0,$D1391*Table3[[#This Row],[CF]]*chronic_consumption!$AA191/1000/$C$3)</f>
        <v>#DIV/0!</v>
      </c>
      <c r="AG1391" s="1098" t="e">
        <f>IF($D$1212="",0,$D1391*Table3[[#This Row],[CF]]*chronic_consumption!$AB191/1000/$C$3)</f>
        <v>#DIV/0!</v>
      </c>
      <c r="AH1391" s="1098" t="e">
        <f>IF($D$1212="",0,$D1391*Table3[[#This Row],[CF]]*chronic_consumption!$AC191/1000/$C$3)</f>
        <v>#DIV/0!</v>
      </c>
      <c r="AI1391" s="1098" t="e">
        <f>IF($D$1212="",0,$D1391*Table3[[#This Row],[CF]]*chronic_consumption!$AD191/1000/$C$3)</f>
        <v>#DIV/0!</v>
      </c>
      <c r="AJ1391" s="1098" t="e">
        <f>IF($D$1212="",0,$D1391*Table3[[#This Row],[CF]]*chronic_consumption!$AE191/1000/$C$3)</f>
        <v>#DIV/0!</v>
      </c>
      <c r="AK1391" s="1098" t="e">
        <f>IF($D$1212="",0,$D1391*Table3[[#This Row],[CF]]*chronic_consumption!$AF191/1000/$C$3)</f>
        <v>#DIV/0!</v>
      </c>
      <c r="AL1391" s="1098" t="e">
        <f>IF($D$1212="",0,$D1391*Table3[[#This Row],[CF]]*chronic_consumption!$AG191/1000/$C$3)</f>
        <v>#DIV/0!</v>
      </c>
      <c r="AM1391" s="1098" t="e">
        <f>IF($D$1212="",0,$D1391*Table3[[#This Row],[CF]]*chronic_consumption!$AH191/1000/$C$3)</f>
        <v>#DIV/0!</v>
      </c>
      <c r="AN1391" s="1098" t="e">
        <f>IF($D$1212="",0,$D1391*Table3[[#This Row],[CF]]*chronic_consumption!$AI191/1000/$C$3)</f>
        <v>#DIV/0!</v>
      </c>
      <c r="AO1391" s="1098" t="e">
        <f>IF($D$1212="",0,$D1391*Table3[[#This Row],[CF]]*chronic_consumption!$AJ191/1000/$C$3)</f>
        <v>#DIV/0!</v>
      </c>
      <c r="AP1391" s="1098" t="e">
        <f>IF($D$1212="",0,$D1391*Table3[[#This Row],[CF]]*chronic_consumption!$AK191/1000/$C$3)</f>
        <v>#DIV/0!</v>
      </c>
      <c r="AQ1391" s="1098" t="e">
        <f>IF($D$1212="",0,$D1391*Table3[[#This Row],[CF]]*chronic_consumption!$AL191/1000/$C$3)</f>
        <v>#DIV/0!</v>
      </c>
      <c r="AR1391" s="1098" t="e">
        <f>IF($D$1212="",0,$D1391*Table3[[#This Row],[CF]]*chronic_consumption!$AM191/1000/$C$3)</f>
        <v>#DIV/0!</v>
      </c>
      <c r="AS1391" s="1098" t="e">
        <f>IF($D$1212="",0,$D1391*Table3[[#This Row],[CF]]*chronic_consumption!$AN191/1000/$C$3)</f>
        <v>#DIV/0!</v>
      </c>
      <c r="AT1391" s="1098" t="e">
        <f>IF($D$1212="",0,$D1391*Table3[[#This Row],[CF]]*chronic_consumption!$AO191/1000/$C$3)</f>
        <v>#DIV/0!</v>
      </c>
      <c r="AU1391" s="1099" t="e">
        <f t="shared" si="861"/>
        <v>#DIV/0!</v>
      </c>
      <c r="AV1391" s="1099" t="e">
        <f t="shared" si="861"/>
        <v>#DIV/0!</v>
      </c>
      <c r="AW1391" s="1099" t="e">
        <f t="shared" si="861"/>
        <v>#DIV/0!</v>
      </c>
      <c r="AX1391" s="1099" t="e">
        <f t="shared" si="861"/>
        <v>#DIV/0!</v>
      </c>
      <c r="AY1391" s="1099" t="e">
        <f t="shared" si="861"/>
        <v>#DIV/0!</v>
      </c>
      <c r="AZ1391" s="1091" t="s">
        <v>1012</v>
      </c>
      <c r="BA1391" s="1097" t="e">
        <f>IF(Table3[[#This Row],[max]]&lt;&gt;0,RANK(Table3[[#This Row],[max]],Table3[max],0),"")</f>
        <v>#DIV/0!</v>
      </c>
      <c r="BB1391" s="1096" t="e">
        <f t="shared" si="853"/>
        <v>#DIV/0!</v>
      </c>
      <c r="BC1391" s="1096" t="e">
        <f t="shared" ca="1" si="854"/>
        <v>#DIV/0!</v>
      </c>
      <c r="BD1391" s="1096" t="e">
        <f>IF(Table3[[#This Row],[max]]&gt;0,Table3[[#This Row],[Crop groups and examples of individual products within the groups to which the MRLs apply]],"")</f>
        <v>#DIV/0!</v>
      </c>
    </row>
    <row r="1392" spans="2:56" x14ac:dyDescent="0.2">
      <c r="B1392" s="23">
        <f t="shared" ref="B1392:C1411" si="862">B192</f>
        <v>260030</v>
      </c>
      <c r="C1392" s="23" t="str">
        <f t="shared" si="862"/>
        <v>Peas (with pods)</v>
      </c>
      <c r="D1392" s="1084">
        <f>input_values!E192</f>
        <v>0</v>
      </c>
      <c r="E1392" s="1084">
        <f>input_values!F192</f>
        <v>0</v>
      </c>
      <c r="F1392" s="1085">
        <f>input_values!W192</f>
        <v>1</v>
      </c>
      <c r="G1392" s="1085" t="str">
        <f>IF(Table3[[#This Row],[CF]]&gt;0,CONCATENATE(IF(Table3[[#This Row],[LOQ]]="*","LOQ","MRL"),IF(input_values!G192&gt;0,"×CFrisk","")),"")</f>
        <v>MRL</v>
      </c>
      <c r="H1392" s="1087">
        <f>input_values!L192</f>
        <v>0</v>
      </c>
      <c r="I1392" s="1088">
        <f>input_values!D192</f>
        <v>0</v>
      </c>
      <c r="J1392" s="1098" t="e">
        <f>IF($D$1212="",0,$D1392*Table3[[#This Row],[CF]]*chronic_consumption!$E192/1000/$C$3)</f>
        <v>#DIV/0!</v>
      </c>
      <c r="K1392" s="1098" t="e">
        <f>IF($D$1212="",0,$D1392*Table3[[#This Row],[CF]]*chronic_consumption!$F192/1000/$C$3)</f>
        <v>#DIV/0!</v>
      </c>
      <c r="L1392" s="1098" t="e">
        <f>IF($D$1212="",0,$D1392*Table3[[#This Row],[CF]]*chronic_consumption!$G192/1000/$C$3)</f>
        <v>#DIV/0!</v>
      </c>
      <c r="M1392" s="1098" t="e">
        <f>IF($D$1212="",0,$D1392*Table3[[#This Row],[CF]]*chronic_consumption!$H192/1000/$C$3)</f>
        <v>#DIV/0!</v>
      </c>
      <c r="N1392" s="1098" t="e">
        <f>IF($D$1212="",0,$D1392*Table3[[#This Row],[CF]]*chronic_consumption!$I192/1000/$C$3)</f>
        <v>#DIV/0!</v>
      </c>
      <c r="O1392" s="1098" t="e">
        <f>IF($D$1212="",0,$D1392*Table3[[#This Row],[CF]]*chronic_consumption!$J192/1000/$C$3)</f>
        <v>#DIV/0!</v>
      </c>
      <c r="P1392" s="1098" t="e">
        <f>IF($D$1212="",0,$D1392*Table3[[#This Row],[CF]]*chronic_consumption!$K192/1000/$C$3)</f>
        <v>#DIV/0!</v>
      </c>
      <c r="Q1392" s="1098" t="e">
        <f>IF($D$1212="",0,$D1392*Table3[[#This Row],[CF]]*chronic_consumption!$L192/1000/$C$3)</f>
        <v>#DIV/0!</v>
      </c>
      <c r="R1392" s="1098" t="e">
        <f>IF($D$1212="",0,$D1392*Table3[[#This Row],[CF]]*chronic_consumption!$M192/1000/$C$3)</f>
        <v>#DIV/0!</v>
      </c>
      <c r="S1392" s="1098" t="e">
        <f>IF($D$1212="",0,$D1392*Table3[[#This Row],[CF]]*chronic_consumption!$N192/1000/$C$3)</f>
        <v>#DIV/0!</v>
      </c>
      <c r="T1392" s="1098" t="e">
        <f>IF($D$1212="",0,$D1392*Table3[[#This Row],[CF]]*chronic_consumption!$O192/1000/$C$3)</f>
        <v>#DIV/0!</v>
      </c>
      <c r="U1392" s="1098" t="e">
        <f>IF($D$1212="",0,$D1392*Table3[[#This Row],[CF]]*chronic_consumption!$P192/1000/$C$3)</f>
        <v>#DIV/0!</v>
      </c>
      <c r="V1392" s="1098" t="e">
        <f>IF($D$1212="",0,$D1392*Table3[[#This Row],[CF]]*chronic_consumption!$Q192/1000/$C$3)</f>
        <v>#DIV/0!</v>
      </c>
      <c r="W1392" s="1098" t="e">
        <f>IF($D$1212="",0,$D1392*Table3[[#This Row],[CF]]*chronic_consumption!$R192/1000/$C$3)</f>
        <v>#DIV/0!</v>
      </c>
      <c r="X1392" s="1098" t="e">
        <f>IF($D$1212="",0,$D1392*Table3[[#This Row],[CF]]*chronic_consumption!$S192/1000/$C$3)</f>
        <v>#DIV/0!</v>
      </c>
      <c r="Y1392" s="1098" t="e">
        <f>IF($D$1212="",0,$D1392*Table3[[#This Row],[CF]]*chronic_consumption!$T192/1000/$C$3)</f>
        <v>#DIV/0!</v>
      </c>
      <c r="Z1392" s="1098" t="e">
        <f>IF($D$1212="",0,$D1392*Table3[[#This Row],[CF]]*chronic_consumption!$U192/1000/$C$3)</f>
        <v>#DIV/0!</v>
      </c>
      <c r="AA1392" s="1098" t="e">
        <f>IF($D$1212="",0,$D1392*Table3[[#This Row],[CF]]*chronic_consumption!$V192/1000/$C$3)</f>
        <v>#DIV/0!</v>
      </c>
      <c r="AB1392" s="1098" t="e">
        <f>IF($D$1212="",0,$D1392*Table3[[#This Row],[CF]]*chronic_consumption!$W192/1000/$C$3)</f>
        <v>#DIV/0!</v>
      </c>
      <c r="AC1392" s="1098" t="e">
        <f>IF($D$1212="",0,$D1392*Table3[[#This Row],[CF]]*chronic_consumption!$X192/1000/$C$3)</f>
        <v>#DIV/0!</v>
      </c>
      <c r="AD1392" s="1098" t="e">
        <f>IF($D$1212="",0,$D1392*Table3[[#This Row],[CF]]*chronic_consumption!$Y192/1000/$C$3)</f>
        <v>#DIV/0!</v>
      </c>
      <c r="AE1392" s="1098" t="e">
        <f>IF($D$1212="",0,$D1392*Table3[[#This Row],[CF]]*chronic_consumption!$Z192/1000/$C$3)</f>
        <v>#DIV/0!</v>
      </c>
      <c r="AF1392" s="1098" t="e">
        <f>IF($D$1212="",0,$D1392*Table3[[#This Row],[CF]]*chronic_consumption!$AA192/1000/$C$3)</f>
        <v>#DIV/0!</v>
      </c>
      <c r="AG1392" s="1098" t="e">
        <f>IF($D$1212="",0,$D1392*Table3[[#This Row],[CF]]*chronic_consumption!$AB192/1000/$C$3)</f>
        <v>#DIV/0!</v>
      </c>
      <c r="AH1392" s="1098" t="e">
        <f>IF($D$1212="",0,$D1392*Table3[[#This Row],[CF]]*chronic_consumption!$AC192/1000/$C$3)</f>
        <v>#DIV/0!</v>
      </c>
      <c r="AI1392" s="1098" t="e">
        <f>IF($D$1212="",0,$D1392*Table3[[#This Row],[CF]]*chronic_consumption!$AD192/1000/$C$3)</f>
        <v>#DIV/0!</v>
      </c>
      <c r="AJ1392" s="1098" t="e">
        <f>IF($D$1212="",0,$D1392*Table3[[#This Row],[CF]]*chronic_consumption!$AE192/1000/$C$3)</f>
        <v>#DIV/0!</v>
      </c>
      <c r="AK1392" s="1098" t="e">
        <f>IF($D$1212="",0,$D1392*Table3[[#This Row],[CF]]*chronic_consumption!$AF192/1000/$C$3)</f>
        <v>#DIV/0!</v>
      </c>
      <c r="AL1392" s="1098" t="e">
        <f>IF($D$1212="",0,$D1392*Table3[[#This Row],[CF]]*chronic_consumption!$AG192/1000/$C$3)</f>
        <v>#DIV/0!</v>
      </c>
      <c r="AM1392" s="1098" t="e">
        <f>IF($D$1212="",0,$D1392*Table3[[#This Row],[CF]]*chronic_consumption!$AH192/1000/$C$3)</f>
        <v>#DIV/0!</v>
      </c>
      <c r="AN1392" s="1098" t="e">
        <f>IF($D$1212="",0,$D1392*Table3[[#This Row],[CF]]*chronic_consumption!$AI192/1000/$C$3)</f>
        <v>#DIV/0!</v>
      </c>
      <c r="AO1392" s="1098" t="e">
        <f>IF($D$1212="",0,$D1392*Table3[[#This Row],[CF]]*chronic_consumption!$AJ192/1000/$C$3)</f>
        <v>#DIV/0!</v>
      </c>
      <c r="AP1392" s="1098" t="e">
        <f>IF($D$1212="",0,$D1392*Table3[[#This Row],[CF]]*chronic_consumption!$AK192/1000/$C$3)</f>
        <v>#DIV/0!</v>
      </c>
      <c r="AQ1392" s="1098" t="e">
        <f>IF($D$1212="",0,$D1392*Table3[[#This Row],[CF]]*chronic_consumption!$AL192/1000/$C$3)</f>
        <v>#DIV/0!</v>
      </c>
      <c r="AR1392" s="1098" t="e">
        <f>IF($D$1212="",0,$D1392*Table3[[#This Row],[CF]]*chronic_consumption!$AM192/1000/$C$3)</f>
        <v>#DIV/0!</v>
      </c>
      <c r="AS1392" s="1098" t="e">
        <f>IF($D$1212="",0,$D1392*Table3[[#This Row],[CF]]*chronic_consumption!$AN192/1000/$C$3)</f>
        <v>#DIV/0!</v>
      </c>
      <c r="AT1392" s="1098" t="e">
        <f>IF($D$1212="",0,$D1392*Table3[[#This Row],[CF]]*chronic_consumption!$AO192/1000/$C$3)</f>
        <v>#DIV/0!</v>
      </c>
      <c r="AU1392" s="1099" t="e">
        <f t="shared" ref="AU1392:AY1401" si="863">IF(AU592="",0,IF(OR(1=RANK(AU992,AU$412:AU$790,0),(2=RANK(AU992,AU$412:AU$790,0))),AU992,AU592))</f>
        <v>#DIV/0!</v>
      </c>
      <c r="AV1392" s="1099" t="e">
        <f t="shared" si="863"/>
        <v>#DIV/0!</v>
      </c>
      <c r="AW1392" s="1099" t="e">
        <f t="shared" si="863"/>
        <v>#DIV/0!</v>
      </c>
      <c r="AX1392" s="1099" t="e">
        <f t="shared" si="863"/>
        <v>#DIV/0!</v>
      </c>
      <c r="AY1392" s="1099" t="e">
        <f t="shared" si="863"/>
        <v>#DIV/0!</v>
      </c>
      <c r="AZ1392" s="1091" t="s">
        <v>1012</v>
      </c>
      <c r="BA1392" s="1097" t="e">
        <f>IF(Table3[[#This Row],[max]]&lt;&gt;0,RANK(Table3[[#This Row],[max]],Table3[max],0),"")</f>
        <v>#DIV/0!</v>
      </c>
      <c r="BB1392" s="1096" t="e">
        <f t="shared" si="853"/>
        <v>#DIV/0!</v>
      </c>
      <c r="BC1392" s="1096" t="e">
        <f t="shared" ca="1" si="854"/>
        <v>#DIV/0!</v>
      </c>
      <c r="BD1392" s="1096" t="e">
        <f>IF(Table3[[#This Row],[max]]&gt;0,Table3[[#This Row],[Crop groups and examples of individual products within the groups to which the MRLs apply]],"")</f>
        <v>#DIV/0!</v>
      </c>
    </row>
    <row r="1393" spans="2:56" x14ac:dyDescent="0.2">
      <c r="B1393" s="23">
        <f t="shared" si="862"/>
        <v>260040</v>
      </c>
      <c r="C1393" s="23" t="str">
        <f t="shared" si="862"/>
        <v>Peas (without pods)</v>
      </c>
      <c r="D1393" s="1084">
        <f>input_values!E193</f>
        <v>0</v>
      </c>
      <c r="E1393" s="1084">
        <f>input_values!F193</f>
        <v>0</v>
      </c>
      <c r="F1393" s="1085">
        <f>input_values!W193</f>
        <v>1</v>
      </c>
      <c r="G1393" s="1085" t="str">
        <f>IF(Table3[[#This Row],[CF]]&gt;0,CONCATENATE(IF(Table3[[#This Row],[LOQ]]="*","LOQ","MRL"),IF(input_values!G193&gt;0,"×CFrisk","")),"")</f>
        <v>MRL</v>
      </c>
      <c r="H1393" s="1087">
        <f>input_values!L193</f>
        <v>0</v>
      </c>
      <c r="I1393" s="1088">
        <f>input_values!D193</f>
        <v>0</v>
      </c>
      <c r="J1393" s="1098" t="e">
        <f>IF($D$1212="",0,$D1393*Table3[[#This Row],[CF]]*chronic_consumption!$E193/1000/$C$3)</f>
        <v>#DIV/0!</v>
      </c>
      <c r="K1393" s="1098" t="e">
        <f>IF($D$1212="",0,$D1393*Table3[[#This Row],[CF]]*chronic_consumption!$F193/1000/$C$3)</f>
        <v>#DIV/0!</v>
      </c>
      <c r="L1393" s="1098" t="e">
        <f>IF($D$1212="",0,$D1393*Table3[[#This Row],[CF]]*chronic_consumption!$G193/1000/$C$3)</f>
        <v>#DIV/0!</v>
      </c>
      <c r="M1393" s="1098" t="e">
        <f>IF($D$1212="",0,$D1393*Table3[[#This Row],[CF]]*chronic_consumption!$H193/1000/$C$3)</f>
        <v>#DIV/0!</v>
      </c>
      <c r="N1393" s="1098" t="e">
        <f>IF($D$1212="",0,$D1393*Table3[[#This Row],[CF]]*chronic_consumption!$I193/1000/$C$3)</f>
        <v>#DIV/0!</v>
      </c>
      <c r="O1393" s="1098" t="e">
        <f>IF($D$1212="",0,$D1393*Table3[[#This Row],[CF]]*chronic_consumption!$J193/1000/$C$3)</f>
        <v>#DIV/0!</v>
      </c>
      <c r="P1393" s="1098" t="e">
        <f>IF($D$1212="",0,$D1393*Table3[[#This Row],[CF]]*chronic_consumption!$K193/1000/$C$3)</f>
        <v>#DIV/0!</v>
      </c>
      <c r="Q1393" s="1098" t="e">
        <f>IF($D$1212="",0,$D1393*Table3[[#This Row],[CF]]*chronic_consumption!$L193/1000/$C$3)</f>
        <v>#DIV/0!</v>
      </c>
      <c r="R1393" s="1098" t="e">
        <f>IF($D$1212="",0,$D1393*Table3[[#This Row],[CF]]*chronic_consumption!$M193/1000/$C$3)</f>
        <v>#DIV/0!</v>
      </c>
      <c r="S1393" s="1098" t="e">
        <f>IF($D$1212="",0,$D1393*Table3[[#This Row],[CF]]*chronic_consumption!$N193/1000/$C$3)</f>
        <v>#DIV/0!</v>
      </c>
      <c r="T1393" s="1098" t="e">
        <f>IF($D$1212="",0,$D1393*Table3[[#This Row],[CF]]*chronic_consumption!$O193/1000/$C$3)</f>
        <v>#DIV/0!</v>
      </c>
      <c r="U1393" s="1098" t="e">
        <f>IF($D$1212="",0,$D1393*Table3[[#This Row],[CF]]*chronic_consumption!$P193/1000/$C$3)</f>
        <v>#DIV/0!</v>
      </c>
      <c r="V1393" s="1098" t="e">
        <f>IF($D$1212="",0,$D1393*Table3[[#This Row],[CF]]*chronic_consumption!$Q193/1000/$C$3)</f>
        <v>#DIV/0!</v>
      </c>
      <c r="W1393" s="1098" t="e">
        <f>IF($D$1212="",0,$D1393*Table3[[#This Row],[CF]]*chronic_consumption!$R193/1000/$C$3)</f>
        <v>#DIV/0!</v>
      </c>
      <c r="X1393" s="1098" t="e">
        <f>IF($D$1212="",0,$D1393*Table3[[#This Row],[CF]]*chronic_consumption!$S193/1000/$C$3)</f>
        <v>#DIV/0!</v>
      </c>
      <c r="Y1393" s="1098" t="e">
        <f>IF($D$1212="",0,$D1393*Table3[[#This Row],[CF]]*chronic_consumption!$T193/1000/$C$3)</f>
        <v>#DIV/0!</v>
      </c>
      <c r="Z1393" s="1098" t="e">
        <f>IF($D$1212="",0,$D1393*Table3[[#This Row],[CF]]*chronic_consumption!$U193/1000/$C$3)</f>
        <v>#DIV/0!</v>
      </c>
      <c r="AA1393" s="1098" t="e">
        <f>IF($D$1212="",0,$D1393*Table3[[#This Row],[CF]]*chronic_consumption!$V193/1000/$C$3)</f>
        <v>#DIV/0!</v>
      </c>
      <c r="AB1393" s="1098" t="e">
        <f>IF($D$1212="",0,$D1393*Table3[[#This Row],[CF]]*chronic_consumption!$W193/1000/$C$3)</f>
        <v>#DIV/0!</v>
      </c>
      <c r="AC1393" s="1098" t="e">
        <f>IF($D$1212="",0,$D1393*Table3[[#This Row],[CF]]*chronic_consumption!$X193/1000/$C$3)</f>
        <v>#DIV/0!</v>
      </c>
      <c r="AD1393" s="1098" t="e">
        <f>IF($D$1212="",0,$D1393*Table3[[#This Row],[CF]]*chronic_consumption!$Y193/1000/$C$3)</f>
        <v>#DIV/0!</v>
      </c>
      <c r="AE1393" s="1098" t="e">
        <f>IF($D$1212="",0,$D1393*Table3[[#This Row],[CF]]*chronic_consumption!$Z193/1000/$C$3)</f>
        <v>#DIV/0!</v>
      </c>
      <c r="AF1393" s="1098" t="e">
        <f>IF($D$1212="",0,$D1393*Table3[[#This Row],[CF]]*chronic_consumption!$AA193/1000/$C$3)</f>
        <v>#DIV/0!</v>
      </c>
      <c r="AG1393" s="1098" t="e">
        <f>IF($D$1212="",0,$D1393*Table3[[#This Row],[CF]]*chronic_consumption!$AB193/1000/$C$3)</f>
        <v>#DIV/0!</v>
      </c>
      <c r="AH1393" s="1098" t="e">
        <f>IF($D$1212="",0,$D1393*Table3[[#This Row],[CF]]*chronic_consumption!$AC193/1000/$C$3)</f>
        <v>#DIV/0!</v>
      </c>
      <c r="AI1393" s="1098" t="e">
        <f>IF($D$1212="",0,$D1393*Table3[[#This Row],[CF]]*chronic_consumption!$AD193/1000/$C$3)</f>
        <v>#DIV/0!</v>
      </c>
      <c r="AJ1393" s="1098" t="e">
        <f>IF($D$1212="",0,$D1393*Table3[[#This Row],[CF]]*chronic_consumption!$AE193/1000/$C$3)</f>
        <v>#DIV/0!</v>
      </c>
      <c r="AK1393" s="1098" t="e">
        <f>IF($D$1212="",0,$D1393*Table3[[#This Row],[CF]]*chronic_consumption!$AF193/1000/$C$3)</f>
        <v>#DIV/0!</v>
      </c>
      <c r="AL1393" s="1098" t="e">
        <f>IF($D$1212="",0,$D1393*Table3[[#This Row],[CF]]*chronic_consumption!$AG193/1000/$C$3)</f>
        <v>#DIV/0!</v>
      </c>
      <c r="AM1393" s="1098" t="e">
        <f>IF($D$1212="",0,$D1393*Table3[[#This Row],[CF]]*chronic_consumption!$AH193/1000/$C$3)</f>
        <v>#DIV/0!</v>
      </c>
      <c r="AN1393" s="1098" t="e">
        <f>IF($D$1212="",0,$D1393*Table3[[#This Row],[CF]]*chronic_consumption!$AI193/1000/$C$3)</f>
        <v>#DIV/0!</v>
      </c>
      <c r="AO1393" s="1098" t="e">
        <f>IF($D$1212="",0,$D1393*Table3[[#This Row],[CF]]*chronic_consumption!$AJ193/1000/$C$3)</f>
        <v>#DIV/0!</v>
      </c>
      <c r="AP1393" s="1098" t="e">
        <f>IF($D$1212="",0,$D1393*Table3[[#This Row],[CF]]*chronic_consumption!$AK193/1000/$C$3)</f>
        <v>#DIV/0!</v>
      </c>
      <c r="AQ1393" s="1098" t="e">
        <f>IF($D$1212="",0,$D1393*Table3[[#This Row],[CF]]*chronic_consumption!$AL193/1000/$C$3)</f>
        <v>#DIV/0!</v>
      </c>
      <c r="AR1393" s="1098" t="e">
        <f>IF($D$1212="",0,$D1393*Table3[[#This Row],[CF]]*chronic_consumption!$AM193/1000/$C$3)</f>
        <v>#DIV/0!</v>
      </c>
      <c r="AS1393" s="1098" t="e">
        <f>IF($D$1212="",0,$D1393*Table3[[#This Row],[CF]]*chronic_consumption!$AN193/1000/$C$3)</f>
        <v>#DIV/0!</v>
      </c>
      <c r="AT1393" s="1098" t="e">
        <f>IF($D$1212="",0,$D1393*Table3[[#This Row],[CF]]*chronic_consumption!$AO193/1000/$C$3)</f>
        <v>#DIV/0!</v>
      </c>
      <c r="AU1393" s="1099" t="e">
        <f t="shared" si="863"/>
        <v>#DIV/0!</v>
      </c>
      <c r="AV1393" s="1099" t="e">
        <f t="shared" si="863"/>
        <v>#DIV/0!</v>
      </c>
      <c r="AW1393" s="1099" t="e">
        <f t="shared" si="863"/>
        <v>#DIV/0!</v>
      </c>
      <c r="AX1393" s="1099" t="e">
        <f t="shared" si="863"/>
        <v>#DIV/0!</v>
      </c>
      <c r="AY1393" s="1099" t="e">
        <f t="shared" si="863"/>
        <v>#DIV/0!</v>
      </c>
      <c r="AZ1393" s="1091" t="s">
        <v>1012</v>
      </c>
      <c r="BA1393" s="1097" t="e">
        <f>IF(Table3[[#This Row],[max]]&lt;&gt;0,RANK(Table3[[#This Row],[max]],Table3[max],0),"")</f>
        <v>#DIV/0!</v>
      </c>
      <c r="BB1393" s="1096" t="e">
        <f t="shared" si="853"/>
        <v>#DIV/0!</v>
      </c>
      <c r="BC1393" s="1096" t="e">
        <f t="shared" ca="1" si="854"/>
        <v>#DIV/0!</v>
      </c>
      <c r="BD1393" s="1096" t="e">
        <f>IF(Table3[[#This Row],[max]]&gt;0,Table3[[#This Row],[Crop groups and examples of individual products within the groups to which the MRLs apply]],"")</f>
        <v>#DIV/0!</v>
      </c>
    </row>
    <row r="1394" spans="2:56" x14ac:dyDescent="0.2">
      <c r="B1394" s="23">
        <f t="shared" si="862"/>
        <v>260050</v>
      </c>
      <c r="C1394" s="23" t="str">
        <f t="shared" si="862"/>
        <v>Lentils (fresh)</v>
      </c>
      <c r="D1394" s="1084">
        <f>input_values!E194</f>
        <v>0</v>
      </c>
      <c r="E1394" s="1084">
        <f>input_values!F194</f>
        <v>0</v>
      </c>
      <c r="F1394" s="1085">
        <f>input_values!W194</f>
        <v>1</v>
      </c>
      <c r="G1394" s="1085" t="str">
        <f>IF(Table3[[#This Row],[CF]]&gt;0,CONCATENATE(IF(Table3[[#This Row],[LOQ]]="*","LOQ","MRL"),IF(input_values!G194&gt;0,"×CFrisk","")),"")</f>
        <v>MRL</v>
      </c>
      <c r="H1394" s="1087">
        <f>input_values!L194</f>
        <v>0</v>
      </c>
      <c r="I1394" s="1088">
        <f>input_values!D194</f>
        <v>0</v>
      </c>
      <c r="J1394" s="1098" t="e">
        <f>IF($D$1212="",0,$D1394*Table3[[#This Row],[CF]]*chronic_consumption!$E194/1000/$C$3)</f>
        <v>#DIV/0!</v>
      </c>
      <c r="K1394" s="1098" t="e">
        <f>IF($D$1212="",0,$D1394*Table3[[#This Row],[CF]]*chronic_consumption!$F194/1000/$C$3)</f>
        <v>#DIV/0!</v>
      </c>
      <c r="L1394" s="1098" t="e">
        <f>IF($D$1212="",0,$D1394*Table3[[#This Row],[CF]]*chronic_consumption!$G194/1000/$C$3)</f>
        <v>#DIV/0!</v>
      </c>
      <c r="M1394" s="1098" t="e">
        <f>IF($D$1212="",0,$D1394*Table3[[#This Row],[CF]]*chronic_consumption!$H194/1000/$C$3)</f>
        <v>#DIV/0!</v>
      </c>
      <c r="N1394" s="1098" t="e">
        <f>IF($D$1212="",0,$D1394*Table3[[#This Row],[CF]]*chronic_consumption!$I194/1000/$C$3)</f>
        <v>#DIV/0!</v>
      </c>
      <c r="O1394" s="1098" t="e">
        <f>IF($D$1212="",0,$D1394*Table3[[#This Row],[CF]]*chronic_consumption!$J194/1000/$C$3)</f>
        <v>#DIV/0!</v>
      </c>
      <c r="P1394" s="1098" t="e">
        <f>IF($D$1212="",0,$D1394*Table3[[#This Row],[CF]]*chronic_consumption!$K194/1000/$C$3)</f>
        <v>#DIV/0!</v>
      </c>
      <c r="Q1394" s="1098" t="e">
        <f>IF($D$1212="",0,$D1394*Table3[[#This Row],[CF]]*chronic_consumption!$L194/1000/$C$3)</f>
        <v>#DIV/0!</v>
      </c>
      <c r="R1394" s="1098" t="e">
        <f>IF($D$1212="",0,$D1394*Table3[[#This Row],[CF]]*chronic_consumption!$M194/1000/$C$3)</f>
        <v>#DIV/0!</v>
      </c>
      <c r="S1394" s="1098" t="e">
        <f>IF($D$1212="",0,$D1394*Table3[[#This Row],[CF]]*chronic_consumption!$N194/1000/$C$3)</f>
        <v>#DIV/0!</v>
      </c>
      <c r="T1394" s="1098" t="e">
        <f>IF($D$1212="",0,$D1394*Table3[[#This Row],[CF]]*chronic_consumption!$O194/1000/$C$3)</f>
        <v>#DIV/0!</v>
      </c>
      <c r="U1394" s="1098" t="e">
        <f>IF($D$1212="",0,$D1394*Table3[[#This Row],[CF]]*chronic_consumption!$P194/1000/$C$3)</f>
        <v>#DIV/0!</v>
      </c>
      <c r="V1394" s="1098" t="e">
        <f>IF($D$1212="",0,$D1394*Table3[[#This Row],[CF]]*chronic_consumption!$Q194/1000/$C$3)</f>
        <v>#DIV/0!</v>
      </c>
      <c r="W1394" s="1098" t="e">
        <f>IF($D$1212="",0,$D1394*Table3[[#This Row],[CF]]*chronic_consumption!$R194/1000/$C$3)</f>
        <v>#DIV/0!</v>
      </c>
      <c r="X1394" s="1098" t="e">
        <f>IF($D$1212="",0,$D1394*Table3[[#This Row],[CF]]*chronic_consumption!$S194/1000/$C$3)</f>
        <v>#DIV/0!</v>
      </c>
      <c r="Y1394" s="1098" t="e">
        <f>IF($D$1212="",0,$D1394*Table3[[#This Row],[CF]]*chronic_consumption!$T194/1000/$C$3)</f>
        <v>#DIV/0!</v>
      </c>
      <c r="Z1394" s="1098" t="e">
        <f>IF($D$1212="",0,$D1394*Table3[[#This Row],[CF]]*chronic_consumption!$U194/1000/$C$3)</f>
        <v>#DIV/0!</v>
      </c>
      <c r="AA1394" s="1098" t="e">
        <f>IF($D$1212="",0,$D1394*Table3[[#This Row],[CF]]*chronic_consumption!$V194/1000/$C$3)</f>
        <v>#DIV/0!</v>
      </c>
      <c r="AB1394" s="1098" t="e">
        <f>IF($D$1212="",0,$D1394*Table3[[#This Row],[CF]]*chronic_consumption!$W194/1000/$C$3)</f>
        <v>#DIV/0!</v>
      </c>
      <c r="AC1394" s="1098" t="e">
        <f>IF($D$1212="",0,$D1394*Table3[[#This Row],[CF]]*chronic_consumption!$X194/1000/$C$3)</f>
        <v>#DIV/0!</v>
      </c>
      <c r="AD1394" s="1098" t="e">
        <f>IF($D$1212="",0,$D1394*Table3[[#This Row],[CF]]*chronic_consumption!$Y194/1000/$C$3)</f>
        <v>#DIV/0!</v>
      </c>
      <c r="AE1394" s="1098" t="e">
        <f>IF($D$1212="",0,$D1394*Table3[[#This Row],[CF]]*chronic_consumption!$Z194/1000/$C$3)</f>
        <v>#DIV/0!</v>
      </c>
      <c r="AF1394" s="1098" t="e">
        <f>IF($D$1212="",0,$D1394*Table3[[#This Row],[CF]]*chronic_consumption!$AA194/1000/$C$3)</f>
        <v>#DIV/0!</v>
      </c>
      <c r="AG1394" s="1098" t="e">
        <f>IF($D$1212="",0,$D1394*Table3[[#This Row],[CF]]*chronic_consumption!$AB194/1000/$C$3)</f>
        <v>#DIV/0!</v>
      </c>
      <c r="AH1394" s="1098" t="e">
        <f>IF($D$1212="",0,$D1394*Table3[[#This Row],[CF]]*chronic_consumption!$AC194/1000/$C$3)</f>
        <v>#DIV/0!</v>
      </c>
      <c r="AI1394" s="1098" t="e">
        <f>IF($D$1212="",0,$D1394*Table3[[#This Row],[CF]]*chronic_consumption!$AD194/1000/$C$3)</f>
        <v>#DIV/0!</v>
      </c>
      <c r="AJ1394" s="1098" t="e">
        <f>IF($D$1212="",0,$D1394*Table3[[#This Row],[CF]]*chronic_consumption!$AE194/1000/$C$3)</f>
        <v>#DIV/0!</v>
      </c>
      <c r="AK1394" s="1098" t="e">
        <f>IF($D$1212="",0,$D1394*Table3[[#This Row],[CF]]*chronic_consumption!$AF194/1000/$C$3)</f>
        <v>#DIV/0!</v>
      </c>
      <c r="AL1394" s="1098" t="e">
        <f>IF($D$1212="",0,$D1394*Table3[[#This Row],[CF]]*chronic_consumption!$AG194/1000/$C$3)</f>
        <v>#DIV/0!</v>
      </c>
      <c r="AM1394" s="1098" t="e">
        <f>IF($D$1212="",0,$D1394*Table3[[#This Row],[CF]]*chronic_consumption!$AH194/1000/$C$3)</f>
        <v>#DIV/0!</v>
      </c>
      <c r="AN1394" s="1098" t="e">
        <f>IF($D$1212="",0,$D1394*Table3[[#This Row],[CF]]*chronic_consumption!$AI194/1000/$C$3)</f>
        <v>#DIV/0!</v>
      </c>
      <c r="AO1394" s="1098" t="e">
        <f>IF($D$1212="",0,$D1394*Table3[[#This Row],[CF]]*chronic_consumption!$AJ194/1000/$C$3)</f>
        <v>#DIV/0!</v>
      </c>
      <c r="AP1394" s="1098" t="e">
        <f>IF($D$1212="",0,$D1394*Table3[[#This Row],[CF]]*chronic_consumption!$AK194/1000/$C$3)</f>
        <v>#DIV/0!</v>
      </c>
      <c r="AQ1394" s="1098" t="e">
        <f>IF($D$1212="",0,$D1394*Table3[[#This Row],[CF]]*chronic_consumption!$AL194/1000/$C$3)</f>
        <v>#DIV/0!</v>
      </c>
      <c r="AR1394" s="1098" t="e">
        <f>IF($D$1212="",0,$D1394*Table3[[#This Row],[CF]]*chronic_consumption!$AM194/1000/$C$3)</f>
        <v>#DIV/0!</v>
      </c>
      <c r="AS1394" s="1098" t="e">
        <f>IF($D$1212="",0,$D1394*Table3[[#This Row],[CF]]*chronic_consumption!$AN194/1000/$C$3)</f>
        <v>#DIV/0!</v>
      </c>
      <c r="AT1394" s="1098" t="e">
        <f>IF($D$1212="",0,$D1394*Table3[[#This Row],[CF]]*chronic_consumption!$AO194/1000/$C$3)</f>
        <v>#DIV/0!</v>
      </c>
      <c r="AU1394" s="1099" t="e">
        <f t="shared" si="863"/>
        <v>#DIV/0!</v>
      </c>
      <c r="AV1394" s="1099" t="e">
        <f t="shared" si="863"/>
        <v>#DIV/0!</v>
      </c>
      <c r="AW1394" s="1099" t="e">
        <f t="shared" si="863"/>
        <v>#DIV/0!</v>
      </c>
      <c r="AX1394" s="1099" t="e">
        <f t="shared" si="863"/>
        <v>#DIV/0!</v>
      </c>
      <c r="AY1394" s="1099" t="e">
        <f t="shared" si="863"/>
        <v>#DIV/0!</v>
      </c>
      <c r="AZ1394" s="1091" t="s">
        <v>1012</v>
      </c>
      <c r="BA1394" s="1097" t="e">
        <f>IF(Table3[[#This Row],[max]]&lt;&gt;0,RANK(Table3[[#This Row],[max]],Table3[max],0),"")</f>
        <v>#DIV/0!</v>
      </c>
      <c r="BB1394" s="1096" t="e">
        <f t="shared" si="853"/>
        <v>#DIV/0!</v>
      </c>
      <c r="BC1394" s="1096" t="e">
        <f t="shared" ca="1" si="854"/>
        <v>#DIV/0!</v>
      </c>
      <c r="BD1394" s="1096" t="e">
        <f>IF(Table3[[#This Row],[max]]&gt;0,Table3[[#This Row],[Crop groups and examples of individual products within the groups to which the MRLs apply]],"")</f>
        <v>#DIV/0!</v>
      </c>
    </row>
    <row r="1395" spans="2:56" x14ac:dyDescent="0.2">
      <c r="B1395" s="23">
        <f t="shared" si="862"/>
        <v>260990</v>
      </c>
      <c r="C1395" s="23" t="str">
        <f t="shared" si="862"/>
        <v>Other legume vegetables (fresh)</v>
      </c>
      <c r="D1395" s="1084">
        <f>input_values!E195</f>
        <v>0</v>
      </c>
      <c r="E1395" s="1084">
        <f>input_values!F195</f>
        <v>0</v>
      </c>
      <c r="F1395" s="1085">
        <f>input_values!W195</f>
        <v>1</v>
      </c>
      <c r="G1395" s="1085" t="str">
        <f>IF(Table3[[#This Row],[CF]]&gt;0,CONCATENATE(IF(Table3[[#This Row],[LOQ]]="*","LOQ","MRL"),IF(input_values!G195&gt;0,"×CFrisk","")),"")</f>
        <v>MRL</v>
      </c>
      <c r="H1395" s="1087">
        <f>input_values!L195</f>
        <v>0</v>
      </c>
      <c r="I1395" s="1088">
        <f>input_values!D195</f>
        <v>0</v>
      </c>
      <c r="J1395" s="1098" t="e">
        <f>IF($D$1212="",0,$D1395*Table3[[#This Row],[CF]]*chronic_consumption!$E195/1000/$C$3)</f>
        <v>#DIV/0!</v>
      </c>
      <c r="K1395" s="1098" t="e">
        <f>IF($D$1212="",0,$D1395*Table3[[#This Row],[CF]]*chronic_consumption!$F195/1000/$C$3)</f>
        <v>#DIV/0!</v>
      </c>
      <c r="L1395" s="1098" t="e">
        <f>IF($D$1212="",0,$D1395*Table3[[#This Row],[CF]]*chronic_consumption!$G195/1000/$C$3)</f>
        <v>#DIV/0!</v>
      </c>
      <c r="M1395" s="1098" t="e">
        <f>IF($D$1212="",0,$D1395*Table3[[#This Row],[CF]]*chronic_consumption!$H195/1000/$C$3)</f>
        <v>#DIV/0!</v>
      </c>
      <c r="N1395" s="1098" t="e">
        <f>IF($D$1212="",0,$D1395*Table3[[#This Row],[CF]]*chronic_consumption!$I195/1000/$C$3)</f>
        <v>#DIV/0!</v>
      </c>
      <c r="O1395" s="1098" t="e">
        <f>IF($D$1212="",0,$D1395*Table3[[#This Row],[CF]]*chronic_consumption!$J195/1000/$C$3)</f>
        <v>#DIV/0!</v>
      </c>
      <c r="P1395" s="1098" t="e">
        <f>IF($D$1212="",0,$D1395*Table3[[#This Row],[CF]]*chronic_consumption!$K195/1000/$C$3)</f>
        <v>#DIV/0!</v>
      </c>
      <c r="Q1395" s="1098" t="e">
        <f>IF($D$1212="",0,$D1395*Table3[[#This Row],[CF]]*chronic_consumption!$L195/1000/$C$3)</f>
        <v>#DIV/0!</v>
      </c>
      <c r="R1395" s="1098" t="e">
        <f>IF($D$1212="",0,$D1395*Table3[[#This Row],[CF]]*chronic_consumption!$M195/1000/$C$3)</f>
        <v>#DIV/0!</v>
      </c>
      <c r="S1395" s="1098" t="e">
        <f>IF($D$1212="",0,$D1395*Table3[[#This Row],[CF]]*chronic_consumption!$N195/1000/$C$3)</f>
        <v>#DIV/0!</v>
      </c>
      <c r="T1395" s="1098" t="e">
        <f>IF($D$1212="",0,$D1395*Table3[[#This Row],[CF]]*chronic_consumption!$O195/1000/$C$3)</f>
        <v>#DIV/0!</v>
      </c>
      <c r="U1395" s="1098" t="e">
        <f>IF($D$1212="",0,$D1395*Table3[[#This Row],[CF]]*chronic_consumption!$P195/1000/$C$3)</f>
        <v>#DIV/0!</v>
      </c>
      <c r="V1395" s="1098" t="e">
        <f>IF($D$1212="",0,$D1395*Table3[[#This Row],[CF]]*chronic_consumption!$Q195/1000/$C$3)</f>
        <v>#DIV/0!</v>
      </c>
      <c r="W1395" s="1098" t="e">
        <f>IF($D$1212="",0,$D1395*Table3[[#This Row],[CF]]*chronic_consumption!$R195/1000/$C$3)</f>
        <v>#DIV/0!</v>
      </c>
      <c r="X1395" s="1098" t="e">
        <f>IF($D$1212="",0,$D1395*Table3[[#This Row],[CF]]*chronic_consumption!$S195/1000/$C$3)</f>
        <v>#DIV/0!</v>
      </c>
      <c r="Y1395" s="1098" t="e">
        <f>IF($D$1212="",0,$D1395*Table3[[#This Row],[CF]]*chronic_consumption!$T195/1000/$C$3)</f>
        <v>#DIV/0!</v>
      </c>
      <c r="Z1395" s="1098" t="e">
        <f>IF($D$1212="",0,$D1395*Table3[[#This Row],[CF]]*chronic_consumption!$U195/1000/$C$3)</f>
        <v>#DIV/0!</v>
      </c>
      <c r="AA1395" s="1098" t="e">
        <f>IF($D$1212="",0,$D1395*Table3[[#This Row],[CF]]*chronic_consumption!$V195/1000/$C$3)</f>
        <v>#DIV/0!</v>
      </c>
      <c r="AB1395" s="1098" t="e">
        <f>IF($D$1212="",0,$D1395*Table3[[#This Row],[CF]]*chronic_consumption!$W195/1000/$C$3)</f>
        <v>#DIV/0!</v>
      </c>
      <c r="AC1395" s="1098" t="e">
        <f>IF($D$1212="",0,$D1395*Table3[[#This Row],[CF]]*chronic_consumption!$X195/1000/$C$3)</f>
        <v>#DIV/0!</v>
      </c>
      <c r="AD1395" s="1098" t="e">
        <f>IF($D$1212="",0,$D1395*Table3[[#This Row],[CF]]*chronic_consumption!$Y195/1000/$C$3)</f>
        <v>#DIV/0!</v>
      </c>
      <c r="AE1395" s="1098" t="e">
        <f>IF($D$1212="",0,$D1395*Table3[[#This Row],[CF]]*chronic_consumption!$Z195/1000/$C$3)</f>
        <v>#DIV/0!</v>
      </c>
      <c r="AF1395" s="1098" t="e">
        <f>IF($D$1212="",0,$D1395*Table3[[#This Row],[CF]]*chronic_consumption!$AA195/1000/$C$3)</f>
        <v>#DIV/0!</v>
      </c>
      <c r="AG1395" s="1098" t="e">
        <f>IF($D$1212="",0,$D1395*Table3[[#This Row],[CF]]*chronic_consumption!$AB195/1000/$C$3)</f>
        <v>#DIV/0!</v>
      </c>
      <c r="AH1395" s="1098" t="e">
        <f>IF($D$1212="",0,$D1395*Table3[[#This Row],[CF]]*chronic_consumption!$AC195/1000/$C$3)</f>
        <v>#DIV/0!</v>
      </c>
      <c r="AI1395" s="1098" t="e">
        <f>IF($D$1212="",0,$D1395*Table3[[#This Row],[CF]]*chronic_consumption!$AD195/1000/$C$3)</f>
        <v>#DIV/0!</v>
      </c>
      <c r="AJ1395" s="1098" t="e">
        <f>IF($D$1212="",0,$D1395*Table3[[#This Row],[CF]]*chronic_consumption!$AE195/1000/$C$3)</f>
        <v>#DIV/0!</v>
      </c>
      <c r="AK1395" s="1098" t="e">
        <f>IF($D$1212="",0,$D1395*Table3[[#This Row],[CF]]*chronic_consumption!$AF195/1000/$C$3)</f>
        <v>#DIV/0!</v>
      </c>
      <c r="AL1395" s="1098" t="e">
        <f>IF($D$1212="",0,$D1395*Table3[[#This Row],[CF]]*chronic_consumption!$AG195/1000/$C$3)</f>
        <v>#DIV/0!</v>
      </c>
      <c r="AM1395" s="1098" t="e">
        <f>IF($D$1212="",0,$D1395*Table3[[#This Row],[CF]]*chronic_consumption!$AH195/1000/$C$3)</f>
        <v>#DIV/0!</v>
      </c>
      <c r="AN1395" s="1098" t="e">
        <f>IF($D$1212="",0,$D1395*Table3[[#This Row],[CF]]*chronic_consumption!$AI195/1000/$C$3)</f>
        <v>#DIV/0!</v>
      </c>
      <c r="AO1395" s="1098" t="e">
        <f>IF($D$1212="",0,$D1395*Table3[[#This Row],[CF]]*chronic_consumption!$AJ195/1000/$C$3)</f>
        <v>#DIV/0!</v>
      </c>
      <c r="AP1395" s="1098" t="e">
        <f>IF($D$1212="",0,$D1395*Table3[[#This Row],[CF]]*chronic_consumption!$AK195/1000/$C$3)</f>
        <v>#DIV/0!</v>
      </c>
      <c r="AQ1395" s="1098" t="e">
        <f>IF($D$1212="",0,$D1395*Table3[[#This Row],[CF]]*chronic_consumption!$AL195/1000/$C$3)</f>
        <v>#DIV/0!</v>
      </c>
      <c r="AR1395" s="1098" t="e">
        <f>IF($D$1212="",0,$D1395*Table3[[#This Row],[CF]]*chronic_consumption!$AM195/1000/$C$3)</f>
        <v>#DIV/0!</v>
      </c>
      <c r="AS1395" s="1098" t="e">
        <f>IF($D$1212="",0,$D1395*Table3[[#This Row],[CF]]*chronic_consumption!$AN195/1000/$C$3)</f>
        <v>#DIV/0!</v>
      </c>
      <c r="AT1395" s="1098" t="e">
        <f>IF($D$1212="",0,$D1395*Table3[[#This Row],[CF]]*chronic_consumption!$AO195/1000/$C$3)</f>
        <v>#DIV/0!</v>
      </c>
      <c r="AU1395" s="1099" t="e">
        <f t="shared" si="863"/>
        <v>#DIV/0!</v>
      </c>
      <c r="AV1395" s="1099" t="e">
        <f t="shared" si="863"/>
        <v>#DIV/0!</v>
      </c>
      <c r="AW1395" s="1099" t="e">
        <f t="shared" si="863"/>
        <v>#DIV/0!</v>
      </c>
      <c r="AX1395" s="1099" t="e">
        <f t="shared" si="863"/>
        <v>#DIV/0!</v>
      </c>
      <c r="AY1395" s="1099" t="e">
        <f t="shared" si="863"/>
        <v>#DIV/0!</v>
      </c>
      <c r="AZ1395" s="1091" t="s">
        <v>1012</v>
      </c>
      <c r="BA1395" s="1097" t="e">
        <f>IF(Table3[[#This Row],[max]]&lt;&gt;0,RANK(Table3[[#This Row],[max]],Table3[max],0),"")</f>
        <v>#DIV/0!</v>
      </c>
      <c r="BB1395" s="1096" t="e">
        <f t="shared" si="853"/>
        <v>#DIV/0!</v>
      </c>
      <c r="BC1395" s="1096" t="e">
        <f t="shared" ca="1" si="854"/>
        <v>#DIV/0!</v>
      </c>
      <c r="BD1395" s="1096" t="e">
        <f>IF(Table3[[#This Row],[max]]&gt;0,Table3[[#This Row],[Crop groups and examples of individual products within the groups to which the MRLs apply]],"")</f>
        <v>#DIV/0!</v>
      </c>
    </row>
    <row r="1396" spans="2:56" x14ac:dyDescent="0.2">
      <c r="B1396" s="131">
        <f t="shared" si="862"/>
        <v>270000</v>
      </c>
      <c r="C1396" s="131" t="str">
        <f t="shared" si="862"/>
        <v xml:space="preserve">Stem vegetables </v>
      </c>
      <c r="D1396" s="1084">
        <f>input_values!E196</f>
        <v>0</v>
      </c>
      <c r="E1396" s="1084">
        <f>input_values!F196</f>
        <v>0</v>
      </c>
      <c r="F1396" s="1085">
        <f>input_values!W196</f>
        <v>0</v>
      </c>
      <c r="G1396" s="1085" t="str">
        <f>IF(Table3[[#This Row],[CF]]&gt;0,CONCATENATE(IF(Table3[[#This Row],[LOQ]]="*","LOQ","MRL"),IF(input_values!G196&gt;0,"×CFrisk","")),"")</f>
        <v/>
      </c>
      <c r="H1396" s="1087">
        <f>input_values!L196</f>
        <v>0</v>
      </c>
      <c r="I1396" s="1088">
        <f>input_values!D196</f>
        <v>0</v>
      </c>
      <c r="J1396" s="1095" t="e">
        <f>IF($D$1212="",0,$D1396*Table3[[#This Row],[CF]]*chronic_consumption!$E196/1000/$C$3)</f>
        <v>#DIV/0!</v>
      </c>
      <c r="K1396" s="1095" t="e">
        <f>IF($D$1212="",0,$D1396*Table3[[#This Row],[CF]]*chronic_consumption!$F196/1000/$C$3)</f>
        <v>#DIV/0!</v>
      </c>
      <c r="L1396" s="1095" t="e">
        <f>IF($D$1212="",0,$D1396*Table3[[#This Row],[CF]]*chronic_consumption!$G196/1000/$C$3)</f>
        <v>#DIV/0!</v>
      </c>
      <c r="M1396" s="1095" t="e">
        <f>IF($D$1212="",0,$D1396*Table3[[#This Row],[CF]]*chronic_consumption!$H196/1000/$C$3)</f>
        <v>#DIV/0!</v>
      </c>
      <c r="N1396" s="1095" t="e">
        <f>IF($D$1212="",0,$D1396*Table3[[#This Row],[CF]]*chronic_consumption!$I196/1000/$C$3)</f>
        <v>#DIV/0!</v>
      </c>
      <c r="O1396" s="1095" t="e">
        <f>IF($D$1212="",0,$D1396*Table3[[#This Row],[CF]]*chronic_consumption!$J196/1000/$C$3)</f>
        <v>#DIV/0!</v>
      </c>
      <c r="P1396" s="1095" t="e">
        <f>IF($D$1212="",0,$D1396*Table3[[#This Row],[CF]]*chronic_consumption!$K196/1000/$C$3)</f>
        <v>#DIV/0!</v>
      </c>
      <c r="Q1396" s="1095" t="e">
        <f>IF($D$1212="",0,$D1396*Table3[[#This Row],[CF]]*chronic_consumption!$L196/1000/$C$3)</f>
        <v>#DIV/0!</v>
      </c>
      <c r="R1396" s="1095" t="e">
        <f>IF($D$1212="",0,$D1396*Table3[[#This Row],[CF]]*chronic_consumption!$M196/1000/$C$3)</f>
        <v>#DIV/0!</v>
      </c>
      <c r="S1396" s="1095" t="e">
        <f>IF($D$1212="",0,$D1396*Table3[[#This Row],[CF]]*chronic_consumption!$N196/1000/$C$3)</f>
        <v>#DIV/0!</v>
      </c>
      <c r="T1396" s="1095" t="e">
        <f>IF($D$1212="",0,$D1396*Table3[[#This Row],[CF]]*chronic_consumption!$O196/1000/$C$3)</f>
        <v>#DIV/0!</v>
      </c>
      <c r="U1396" s="1095" t="e">
        <f>IF($D$1212="",0,$D1396*Table3[[#This Row],[CF]]*chronic_consumption!$P196/1000/$C$3)</f>
        <v>#DIV/0!</v>
      </c>
      <c r="V1396" s="1095" t="e">
        <f>IF($D$1212="",0,$D1396*Table3[[#This Row],[CF]]*chronic_consumption!$Q196/1000/$C$3)</f>
        <v>#DIV/0!</v>
      </c>
      <c r="W1396" s="1095" t="e">
        <f>IF($D$1212="",0,$D1396*Table3[[#This Row],[CF]]*chronic_consumption!$R196/1000/$C$3)</f>
        <v>#DIV/0!</v>
      </c>
      <c r="X1396" s="1095" t="e">
        <f>IF($D$1212="",0,$D1396*Table3[[#This Row],[CF]]*chronic_consumption!$S196/1000/$C$3)</f>
        <v>#DIV/0!</v>
      </c>
      <c r="Y1396" s="1095" t="e">
        <f>IF($D$1212="",0,$D1396*Table3[[#This Row],[CF]]*chronic_consumption!$T196/1000/$C$3)</f>
        <v>#DIV/0!</v>
      </c>
      <c r="Z1396" s="1095" t="e">
        <f>IF($D$1212="",0,$D1396*Table3[[#This Row],[CF]]*chronic_consumption!$U196/1000/$C$3)</f>
        <v>#DIV/0!</v>
      </c>
      <c r="AA1396" s="1095" t="e">
        <f>IF($D$1212="",0,$D1396*Table3[[#This Row],[CF]]*chronic_consumption!$V196/1000/$C$3)</f>
        <v>#DIV/0!</v>
      </c>
      <c r="AB1396" s="1095" t="e">
        <f>IF($D$1212="",0,$D1396*Table3[[#This Row],[CF]]*chronic_consumption!$W196/1000/$C$3)</f>
        <v>#DIV/0!</v>
      </c>
      <c r="AC1396" s="1095" t="e">
        <f>IF($D$1212="",0,$D1396*Table3[[#This Row],[CF]]*chronic_consumption!$X196/1000/$C$3)</f>
        <v>#DIV/0!</v>
      </c>
      <c r="AD1396" s="1095" t="e">
        <f>IF($D$1212="",0,$D1396*Table3[[#This Row],[CF]]*chronic_consumption!$Y196/1000/$C$3)</f>
        <v>#DIV/0!</v>
      </c>
      <c r="AE1396" s="1095" t="e">
        <f>IF($D$1212="",0,$D1396*Table3[[#This Row],[CF]]*chronic_consumption!$Z196/1000/$C$3)</f>
        <v>#DIV/0!</v>
      </c>
      <c r="AF1396" s="1095" t="e">
        <f>IF($D$1212="",0,$D1396*Table3[[#This Row],[CF]]*chronic_consumption!$AA196/1000/$C$3)</f>
        <v>#DIV/0!</v>
      </c>
      <c r="AG1396" s="1095" t="e">
        <f>IF($D$1212="",0,$D1396*Table3[[#This Row],[CF]]*chronic_consumption!$AB196/1000/$C$3)</f>
        <v>#DIV/0!</v>
      </c>
      <c r="AH1396" s="1095" t="e">
        <f>IF($D$1212="",0,$D1396*Table3[[#This Row],[CF]]*chronic_consumption!$AC196/1000/$C$3)</f>
        <v>#DIV/0!</v>
      </c>
      <c r="AI1396" s="1095" t="e">
        <f>IF($D$1212="",0,$D1396*Table3[[#This Row],[CF]]*chronic_consumption!$AD196/1000/$C$3)</f>
        <v>#DIV/0!</v>
      </c>
      <c r="AJ1396" s="1095" t="e">
        <f>IF($D$1212="",0,$D1396*Table3[[#This Row],[CF]]*chronic_consumption!$AE196/1000/$C$3)</f>
        <v>#DIV/0!</v>
      </c>
      <c r="AK1396" s="1095" t="e">
        <f>IF($D$1212="",0,$D1396*Table3[[#This Row],[CF]]*chronic_consumption!$AF196/1000/$C$3)</f>
        <v>#DIV/0!</v>
      </c>
      <c r="AL1396" s="1095" t="e">
        <f>IF($D$1212="",0,$D1396*Table3[[#This Row],[CF]]*chronic_consumption!$AG196/1000/$C$3)</f>
        <v>#DIV/0!</v>
      </c>
      <c r="AM1396" s="1095" t="e">
        <f>IF($D$1212="",0,$D1396*Table3[[#This Row],[CF]]*chronic_consumption!$AH196/1000/$C$3)</f>
        <v>#DIV/0!</v>
      </c>
      <c r="AN1396" s="1095" t="e">
        <f>IF($D$1212="",0,$D1396*Table3[[#This Row],[CF]]*chronic_consumption!$AI196/1000/$C$3)</f>
        <v>#DIV/0!</v>
      </c>
      <c r="AO1396" s="1095" t="e">
        <f>IF($D$1212="",0,$D1396*Table3[[#This Row],[CF]]*chronic_consumption!$AJ196/1000/$C$3)</f>
        <v>#DIV/0!</v>
      </c>
      <c r="AP1396" s="1095" t="e">
        <f>IF($D$1212="",0,$D1396*Table3[[#This Row],[CF]]*chronic_consumption!$AK196/1000/$C$3)</f>
        <v>#DIV/0!</v>
      </c>
      <c r="AQ1396" s="1095" t="e">
        <f>IF($D$1212="",0,$D1396*Table3[[#This Row],[CF]]*chronic_consumption!$AL196/1000/$C$3)</f>
        <v>#DIV/0!</v>
      </c>
      <c r="AR1396" s="1095" t="e">
        <f>IF($D$1212="",0,$D1396*Table3[[#This Row],[CF]]*chronic_consumption!$AM196/1000/$C$3)</f>
        <v>#DIV/0!</v>
      </c>
      <c r="AS1396" s="1095" t="e">
        <f>IF($D$1212="",0,$D1396*Table3[[#This Row],[CF]]*chronic_consumption!$AN196/1000/$C$3)</f>
        <v>#DIV/0!</v>
      </c>
      <c r="AT1396" s="1095" t="e">
        <f>IF($D$1212="",0,$D1396*Table3[[#This Row],[CF]]*chronic_consumption!$AO196/1000/$C$3)</f>
        <v>#DIV/0!</v>
      </c>
      <c r="AU1396" s="1096" t="e">
        <f t="shared" si="863"/>
        <v>#DIV/0!</v>
      </c>
      <c r="AV1396" s="1096" t="e">
        <f t="shared" si="863"/>
        <v>#DIV/0!</v>
      </c>
      <c r="AW1396" s="1096" t="e">
        <f t="shared" si="863"/>
        <v>#DIV/0!</v>
      </c>
      <c r="AX1396" s="1096" t="e">
        <f t="shared" si="863"/>
        <v>#DIV/0!</v>
      </c>
      <c r="AY1396" s="1096" t="e">
        <f t="shared" si="863"/>
        <v>#DIV/0!</v>
      </c>
      <c r="AZ1396" s="1091" t="s">
        <v>1012</v>
      </c>
      <c r="BA1396" s="1097" t="e">
        <f>IF(Table3[[#This Row],[max]]&lt;&gt;0,RANK(Table3[[#This Row],[max]],Table3[max],0),"")</f>
        <v>#DIV/0!</v>
      </c>
      <c r="BB1396" s="1096" t="e">
        <f t="shared" si="853"/>
        <v>#DIV/0!</v>
      </c>
      <c r="BC1396" s="1096" t="e">
        <f t="shared" ca="1" si="854"/>
        <v>#DIV/0!</v>
      </c>
      <c r="BD1396" s="1096" t="e">
        <f>IF(Table3[[#This Row],[max]]&gt;0,Table3[[#This Row],[Crop groups and examples of individual products within the groups to which the MRLs apply]],"")</f>
        <v>#DIV/0!</v>
      </c>
    </row>
    <row r="1397" spans="2:56" x14ac:dyDescent="0.2">
      <c r="B1397" s="23">
        <f t="shared" si="862"/>
        <v>270010</v>
      </c>
      <c r="C1397" s="23" t="str">
        <f t="shared" si="862"/>
        <v>Asparagus</v>
      </c>
      <c r="D1397" s="1084">
        <f>input_values!E197</f>
        <v>0</v>
      </c>
      <c r="E1397" s="1084">
        <f>input_values!F197</f>
        <v>0</v>
      </c>
      <c r="F1397" s="1085">
        <f>input_values!W197</f>
        <v>1</v>
      </c>
      <c r="G1397" s="1085" t="str">
        <f>IF(Table3[[#This Row],[CF]]&gt;0,CONCATENATE(IF(Table3[[#This Row],[LOQ]]="*","LOQ","MRL"),IF(input_values!G197&gt;0,"×CFrisk","")),"")</f>
        <v>MRL</v>
      </c>
      <c r="H1397" s="1087">
        <f>input_values!L197</f>
        <v>0</v>
      </c>
      <c r="I1397" s="1088">
        <f>input_values!D197</f>
        <v>0</v>
      </c>
      <c r="J1397" s="1098" t="e">
        <f>IF($D$1212="",0,$D1397*Table3[[#This Row],[CF]]*chronic_consumption!$E197/1000/$C$3)</f>
        <v>#DIV/0!</v>
      </c>
      <c r="K1397" s="1098" t="e">
        <f>IF($D$1212="",0,$D1397*Table3[[#This Row],[CF]]*chronic_consumption!$F197/1000/$C$3)</f>
        <v>#DIV/0!</v>
      </c>
      <c r="L1397" s="1098" t="e">
        <f>IF($D$1212="",0,$D1397*Table3[[#This Row],[CF]]*chronic_consumption!$G197/1000/$C$3)</f>
        <v>#DIV/0!</v>
      </c>
      <c r="M1397" s="1098" t="e">
        <f>IF($D$1212="",0,$D1397*Table3[[#This Row],[CF]]*chronic_consumption!$H197/1000/$C$3)</f>
        <v>#DIV/0!</v>
      </c>
      <c r="N1397" s="1098" t="e">
        <f>IF($D$1212="",0,$D1397*Table3[[#This Row],[CF]]*chronic_consumption!$I197/1000/$C$3)</f>
        <v>#DIV/0!</v>
      </c>
      <c r="O1397" s="1098" t="e">
        <f>IF($D$1212="",0,$D1397*Table3[[#This Row],[CF]]*chronic_consumption!$J197/1000/$C$3)</f>
        <v>#DIV/0!</v>
      </c>
      <c r="P1397" s="1098" t="e">
        <f>IF($D$1212="",0,$D1397*Table3[[#This Row],[CF]]*chronic_consumption!$K197/1000/$C$3)</f>
        <v>#DIV/0!</v>
      </c>
      <c r="Q1397" s="1098" t="e">
        <f>IF($D$1212="",0,$D1397*Table3[[#This Row],[CF]]*chronic_consumption!$L197/1000/$C$3)</f>
        <v>#DIV/0!</v>
      </c>
      <c r="R1397" s="1098" t="e">
        <f>IF($D$1212="",0,$D1397*Table3[[#This Row],[CF]]*chronic_consumption!$M197/1000/$C$3)</f>
        <v>#DIV/0!</v>
      </c>
      <c r="S1397" s="1098" t="e">
        <f>IF($D$1212="",0,$D1397*Table3[[#This Row],[CF]]*chronic_consumption!$N197/1000/$C$3)</f>
        <v>#DIV/0!</v>
      </c>
      <c r="T1397" s="1098" t="e">
        <f>IF($D$1212="",0,$D1397*Table3[[#This Row],[CF]]*chronic_consumption!$O197/1000/$C$3)</f>
        <v>#DIV/0!</v>
      </c>
      <c r="U1397" s="1098" t="e">
        <f>IF($D$1212="",0,$D1397*Table3[[#This Row],[CF]]*chronic_consumption!$P197/1000/$C$3)</f>
        <v>#DIV/0!</v>
      </c>
      <c r="V1397" s="1098" t="e">
        <f>IF($D$1212="",0,$D1397*Table3[[#This Row],[CF]]*chronic_consumption!$Q197/1000/$C$3)</f>
        <v>#DIV/0!</v>
      </c>
      <c r="W1397" s="1098" t="e">
        <f>IF($D$1212="",0,$D1397*Table3[[#This Row],[CF]]*chronic_consumption!$R197/1000/$C$3)</f>
        <v>#DIV/0!</v>
      </c>
      <c r="X1397" s="1098" t="e">
        <f>IF($D$1212="",0,$D1397*Table3[[#This Row],[CF]]*chronic_consumption!$S197/1000/$C$3)</f>
        <v>#DIV/0!</v>
      </c>
      <c r="Y1397" s="1098" t="e">
        <f>IF($D$1212="",0,$D1397*Table3[[#This Row],[CF]]*chronic_consumption!$T197/1000/$C$3)</f>
        <v>#DIV/0!</v>
      </c>
      <c r="Z1397" s="1098" t="e">
        <f>IF($D$1212="",0,$D1397*Table3[[#This Row],[CF]]*chronic_consumption!$U197/1000/$C$3)</f>
        <v>#DIV/0!</v>
      </c>
      <c r="AA1397" s="1098" t="e">
        <f>IF($D$1212="",0,$D1397*Table3[[#This Row],[CF]]*chronic_consumption!$V197/1000/$C$3)</f>
        <v>#DIV/0!</v>
      </c>
      <c r="AB1397" s="1098" t="e">
        <f>IF($D$1212="",0,$D1397*Table3[[#This Row],[CF]]*chronic_consumption!$W197/1000/$C$3)</f>
        <v>#DIV/0!</v>
      </c>
      <c r="AC1397" s="1098" t="e">
        <f>IF($D$1212="",0,$D1397*Table3[[#This Row],[CF]]*chronic_consumption!$X197/1000/$C$3)</f>
        <v>#DIV/0!</v>
      </c>
      <c r="AD1397" s="1098" t="e">
        <f>IF($D$1212="",0,$D1397*Table3[[#This Row],[CF]]*chronic_consumption!$Y197/1000/$C$3)</f>
        <v>#DIV/0!</v>
      </c>
      <c r="AE1397" s="1098" t="e">
        <f>IF($D$1212="",0,$D1397*Table3[[#This Row],[CF]]*chronic_consumption!$Z197/1000/$C$3)</f>
        <v>#DIV/0!</v>
      </c>
      <c r="AF1397" s="1098" t="e">
        <f>IF($D$1212="",0,$D1397*Table3[[#This Row],[CF]]*chronic_consumption!$AA197/1000/$C$3)</f>
        <v>#DIV/0!</v>
      </c>
      <c r="AG1397" s="1098" t="e">
        <f>IF($D$1212="",0,$D1397*Table3[[#This Row],[CF]]*chronic_consumption!$AB197/1000/$C$3)</f>
        <v>#DIV/0!</v>
      </c>
      <c r="AH1397" s="1098" t="e">
        <f>IF($D$1212="",0,$D1397*Table3[[#This Row],[CF]]*chronic_consumption!$AC197/1000/$C$3)</f>
        <v>#DIV/0!</v>
      </c>
      <c r="AI1397" s="1098" t="e">
        <f>IF($D$1212="",0,$D1397*Table3[[#This Row],[CF]]*chronic_consumption!$AD197/1000/$C$3)</f>
        <v>#DIV/0!</v>
      </c>
      <c r="AJ1397" s="1098" t="e">
        <f>IF($D$1212="",0,$D1397*Table3[[#This Row],[CF]]*chronic_consumption!$AE197/1000/$C$3)</f>
        <v>#DIV/0!</v>
      </c>
      <c r="AK1397" s="1098" t="e">
        <f>IF($D$1212="",0,$D1397*Table3[[#This Row],[CF]]*chronic_consumption!$AF197/1000/$C$3)</f>
        <v>#DIV/0!</v>
      </c>
      <c r="AL1397" s="1098" t="e">
        <f>IF($D$1212="",0,$D1397*Table3[[#This Row],[CF]]*chronic_consumption!$AG197/1000/$C$3)</f>
        <v>#DIV/0!</v>
      </c>
      <c r="AM1397" s="1098" t="e">
        <f>IF($D$1212="",0,$D1397*Table3[[#This Row],[CF]]*chronic_consumption!$AH197/1000/$C$3)</f>
        <v>#DIV/0!</v>
      </c>
      <c r="AN1397" s="1098" t="e">
        <f>IF($D$1212="",0,$D1397*Table3[[#This Row],[CF]]*chronic_consumption!$AI197/1000/$C$3)</f>
        <v>#DIV/0!</v>
      </c>
      <c r="AO1397" s="1098" t="e">
        <f>IF($D$1212="",0,$D1397*Table3[[#This Row],[CF]]*chronic_consumption!$AJ197/1000/$C$3)</f>
        <v>#DIV/0!</v>
      </c>
      <c r="AP1397" s="1098" t="e">
        <f>IF($D$1212="",0,$D1397*Table3[[#This Row],[CF]]*chronic_consumption!$AK197/1000/$C$3)</f>
        <v>#DIV/0!</v>
      </c>
      <c r="AQ1397" s="1098" t="e">
        <f>IF($D$1212="",0,$D1397*Table3[[#This Row],[CF]]*chronic_consumption!$AL197/1000/$C$3)</f>
        <v>#DIV/0!</v>
      </c>
      <c r="AR1397" s="1098" t="e">
        <f>IF($D$1212="",0,$D1397*Table3[[#This Row],[CF]]*chronic_consumption!$AM197/1000/$C$3)</f>
        <v>#DIV/0!</v>
      </c>
      <c r="AS1397" s="1098" t="e">
        <f>IF($D$1212="",0,$D1397*Table3[[#This Row],[CF]]*chronic_consumption!$AN197/1000/$C$3)</f>
        <v>#DIV/0!</v>
      </c>
      <c r="AT1397" s="1098" t="e">
        <f>IF($D$1212="",0,$D1397*Table3[[#This Row],[CF]]*chronic_consumption!$AO197/1000/$C$3)</f>
        <v>#DIV/0!</v>
      </c>
      <c r="AU1397" s="1099" t="e">
        <f t="shared" si="863"/>
        <v>#DIV/0!</v>
      </c>
      <c r="AV1397" s="1099" t="e">
        <f t="shared" si="863"/>
        <v>#DIV/0!</v>
      </c>
      <c r="AW1397" s="1099" t="e">
        <f t="shared" si="863"/>
        <v>#DIV/0!</v>
      </c>
      <c r="AX1397" s="1099" t="e">
        <f t="shared" si="863"/>
        <v>#DIV/0!</v>
      </c>
      <c r="AY1397" s="1099" t="e">
        <f t="shared" si="863"/>
        <v>#DIV/0!</v>
      </c>
      <c r="AZ1397" s="1091" t="s">
        <v>1012</v>
      </c>
      <c r="BA1397" s="1097" t="e">
        <f>IF(Table3[[#This Row],[max]]&lt;&gt;0,RANK(Table3[[#This Row],[max]],Table3[max],0),"")</f>
        <v>#DIV/0!</v>
      </c>
      <c r="BB1397" s="1096" t="e">
        <f t="shared" si="853"/>
        <v>#DIV/0!</v>
      </c>
      <c r="BC1397" s="1096" t="e">
        <f t="shared" ca="1" si="854"/>
        <v>#DIV/0!</v>
      </c>
      <c r="BD1397" s="1096" t="e">
        <f>IF(Table3[[#This Row],[max]]&gt;0,Table3[[#This Row],[Crop groups and examples of individual products within the groups to which the MRLs apply]],"")</f>
        <v>#DIV/0!</v>
      </c>
    </row>
    <row r="1398" spans="2:56" x14ac:dyDescent="0.2">
      <c r="B1398" s="23">
        <f t="shared" si="862"/>
        <v>270020</v>
      </c>
      <c r="C1398" s="23" t="str">
        <f t="shared" si="862"/>
        <v>Cardoons</v>
      </c>
      <c r="D1398" s="1084">
        <f>input_values!E198</f>
        <v>0</v>
      </c>
      <c r="E1398" s="1084">
        <f>input_values!F198</f>
        <v>0</v>
      </c>
      <c r="F1398" s="1085">
        <f>input_values!W198</f>
        <v>1</v>
      </c>
      <c r="G1398" s="1085" t="str">
        <f>IF(Table3[[#This Row],[CF]]&gt;0,CONCATENATE(IF(Table3[[#This Row],[LOQ]]="*","LOQ","MRL"),IF(input_values!G198&gt;0,"×CFrisk","")),"")</f>
        <v>MRL</v>
      </c>
      <c r="H1398" s="1087">
        <f>input_values!L198</f>
        <v>0</v>
      </c>
      <c r="I1398" s="1088">
        <f>input_values!D198</f>
        <v>0</v>
      </c>
      <c r="J1398" s="1098" t="e">
        <f>IF($D$1212="",0,$D1398*Table3[[#This Row],[CF]]*chronic_consumption!$E198/1000/$C$3)</f>
        <v>#DIV/0!</v>
      </c>
      <c r="K1398" s="1098" t="e">
        <f>IF($D$1212="",0,$D1398*Table3[[#This Row],[CF]]*chronic_consumption!$F198/1000/$C$3)</f>
        <v>#DIV/0!</v>
      </c>
      <c r="L1398" s="1098" t="e">
        <f>IF($D$1212="",0,$D1398*Table3[[#This Row],[CF]]*chronic_consumption!$G198/1000/$C$3)</f>
        <v>#DIV/0!</v>
      </c>
      <c r="M1398" s="1098" t="e">
        <f>IF($D$1212="",0,$D1398*Table3[[#This Row],[CF]]*chronic_consumption!$H198/1000/$C$3)</f>
        <v>#DIV/0!</v>
      </c>
      <c r="N1398" s="1098" t="e">
        <f>IF($D$1212="",0,$D1398*Table3[[#This Row],[CF]]*chronic_consumption!$I198/1000/$C$3)</f>
        <v>#DIV/0!</v>
      </c>
      <c r="O1398" s="1098" t="e">
        <f>IF($D$1212="",0,$D1398*Table3[[#This Row],[CF]]*chronic_consumption!$J198/1000/$C$3)</f>
        <v>#DIV/0!</v>
      </c>
      <c r="P1398" s="1098" t="e">
        <f>IF($D$1212="",0,$D1398*Table3[[#This Row],[CF]]*chronic_consumption!$K198/1000/$C$3)</f>
        <v>#DIV/0!</v>
      </c>
      <c r="Q1398" s="1098" t="e">
        <f>IF($D$1212="",0,$D1398*Table3[[#This Row],[CF]]*chronic_consumption!$L198/1000/$C$3)</f>
        <v>#DIV/0!</v>
      </c>
      <c r="R1398" s="1098" t="e">
        <f>IF($D$1212="",0,$D1398*Table3[[#This Row],[CF]]*chronic_consumption!$M198/1000/$C$3)</f>
        <v>#DIV/0!</v>
      </c>
      <c r="S1398" s="1098" t="e">
        <f>IF($D$1212="",0,$D1398*Table3[[#This Row],[CF]]*chronic_consumption!$N198/1000/$C$3)</f>
        <v>#DIV/0!</v>
      </c>
      <c r="T1398" s="1098" t="e">
        <f>IF($D$1212="",0,$D1398*Table3[[#This Row],[CF]]*chronic_consumption!$O198/1000/$C$3)</f>
        <v>#DIV/0!</v>
      </c>
      <c r="U1398" s="1098" t="e">
        <f>IF($D$1212="",0,$D1398*Table3[[#This Row],[CF]]*chronic_consumption!$P198/1000/$C$3)</f>
        <v>#DIV/0!</v>
      </c>
      <c r="V1398" s="1098" t="e">
        <f>IF($D$1212="",0,$D1398*Table3[[#This Row],[CF]]*chronic_consumption!$Q198/1000/$C$3)</f>
        <v>#DIV/0!</v>
      </c>
      <c r="W1398" s="1098" t="e">
        <f>IF($D$1212="",0,$D1398*Table3[[#This Row],[CF]]*chronic_consumption!$R198/1000/$C$3)</f>
        <v>#DIV/0!</v>
      </c>
      <c r="X1398" s="1098" t="e">
        <f>IF($D$1212="",0,$D1398*Table3[[#This Row],[CF]]*chronic_consumption!$S198/1000/$C$3)</f>
        <v>#DIV/0!</v>
      </c>
      <c r="Y1398" s="1098" t="e">
        <f>IF($D$1212="",0,$D1398*Table3[[#This Row],[CF]]*chronic_consumption!$T198/1000/$C$3)</f>
        <v>#DIV/0!</v>
      </c>
      <c r="Z1398" s="1098" t="e">
        <f>IF($D$1212="",0,$D1398*Table3[[#This Row],[CF]]*chronic_consumption!$U198/1000/$C$3)</f>
        <v>#DIV/0!</v>
      </c>
      <c r="AA1398" s="1098" t="e">
        <f>IF($D$1212="",0,$D1398*Table3[[#This Row],[CF]]*chronic_consumption!$V198/1000/$C$3)</f>
        <v>#DIV/0!</v>
      </c>
      <c r="AB1398" s="1098" t="e">
        <f>IF($D$1212="",0,$D1398*Table3[[#This Row],[CF]]*chronic_consumption!$W198/1000/$C$3)</f>
        <v>#DIV/0!</v>
      </c>
      <c r="AC1398" s="1098" t="e">
        <f>IF($D$1212="",0,$D1398*Table3[[#This Row],[CF]]*chronic_consumption!$X198/1000/$C$3)</f>
        <v>#DIV/0!</v>
      </c>
      <c r="AD1398" s="1098" t="e">
        <f>IF($D$1212="",0,$D1398*Table3[[#This Row],[CF]]*chronic_consumption!$Y198/1000/$C$3)</f>
        <v>#DIV/0!</v>
      </c>
      <c r="AE1398" s="1098" t="e">
        <f>IF($D$1212="",0,$D1398*Table3[[#This Row],[CF]]*chronic_consumption!$Z198/1000/$C$3)</f>
        <v>#DIV/0!</v>
      </c>
      <c r="AF1398" s="1098" t="e">
        <f>IF($D$1212="",0,$D1398*Table3[[#This Row],[CF]]*chronic_consumption!$AA198/1000/$C$3)</f>
        <v>#DIV/0!</v>
      </c>
      <c r="AG1398" s="1098" t="e">
        <f>IF($D$1212="",0,$D1398*Table3[[#This Row],[CF]]*chronic_consumption!$AB198/1000/$C$3)</f>
        <v>#DIV/0!</v>
      </c>
      <c r="AH1398" s="1098" t="e">
        <f>IF($D$1212="",0,$D1398*Table3[[#This Row],[CF]]*chronic_consumption!$AC198/1000/$C$3)</f>
        <v>#DIV/0!</v>
      </c>
      <c r="AI1398" s="1098" t="e">
        <f>IF($D$1212="",0,$D1398*Table3[[#This Row],[CF]]*chronic_consumption!$AD198/1000/$C$3)</f>
        <v>#DIV/0!</v>
      </c>
      <c r="AJ1398" s="1098" t="e">
        <f>IF($D$1212="",0,$D1398*Table3[[#This Row],[CF]]*chronic_consumption!$AE198/1000/$C$3)</f>
        <v>#DIV/0!</v>
      </c>
      <c r="AK1398" s="1098" t="e">
        <f>IF($D$1212="",0,$D1398*Table3[[#This Row],[CF]]*chronic_consumption!$AF198/1000/$C$3)</f>
        <v>#DIV/0!</v>
      </c>
      <c r="AL1398" s="1098" t="e">
        <f>IF($D$1212="",0,$D1398*Table3[[#This Row],[CF]]*chronic_consumption!$AG198/1000/$C$3)</f>
        <v>#DIV/0!</v>
      </c>
      <c r="AM1398" s="1098" t="e">
        <f>IF($D$1212="",0,$D1398*Table3[[#This Row],[CF]]*chronic_consumption!$AH198/1000/$C$3)</f>
        <v>#DIV/0!</v>
      </c>
      <c r="AN1398" s="1098" t="e">
        <f>IF($D$1212="",0,$D1398*Table3[[#This Row],[CF]]*chronic_consumption!$AI198/1000/$C$3)</f>
        <v>#DIV/0!</v>
      </c>
      <c r="AO1398" s="1098" t="e">
        <f>IF($D$1212="",0,$D1398*Table3[[#This Row],[CF]]*chronic_consumption!$AJ198/1000/$C$3)</f>
        <v>#DIV/0!</v>
      </c>
      <c r="AP1398" s="1098" t="e">
        <f>IF($D$1212="",0,$D1398*Table3[[#This Row],[CF]]*chronic_consumption!$AK198/1000/$C$3)</f>
        <v>#DIV/0!</v>
      </c>
      <c r="AQ1398" s="1098" t="e">
        <f>IF($D$1212="",0,$D1398*Table3[[#This Row],[CF]]*chronic_consumption!$AL198/1000/$C$3)</f>
        <v>#DIV/0!</v>
      </c>
      <c r="AR1398" s="1098" t="e">
        <f>IF($D$1212="",0,$D1398*Table3[[#This Row],[CF]]*chronic_consumption!$AM198/1000/$C$3)</f>
        <v>#DIV/0!</v>
      </c>
      <c r="AS1398" s="1098" t="e">
        <f>IF($D$1212="",0,$D1398*Table3[[#This Row],[CF]]*chronic_consumption!$AN198/1000/$C$3)</f>
        <v>#DIV/0!</v>
      </c>
      <c r="AT1398" s="1098" t="e">
        <f>IF($D$1212="",0,$D1398*Table3[[#This Row],[CF]]*chronic_consumption!$AO198/1000/$C$3)</f>
        <v>#DIV/0!</v>
      </c>
      <c r="AU1398" s="1099" t="e">
        <f t="shared" si="863"/>
        <v>#DIV/0!</v>
      </c>
      <c r="AV1398" s="1099" t="e">
        <f t="shared" si="863"/>
        <v>#DIV/0!</v>
      </c>
      <c r="AW1398" s="1099" t="e">
        <f t="shared" si="863"/>
        <v>#DIV/0!</v>
      </c>
      <c r="AX1398" s="1099" t="e">
        <f t="shared" si="863"/>
        <v>#DIV/0!</v>
      </c>
      <c r="AY1398" s="1099" t="e">
        <f t="shared" si="863"/>
        <v>#DIV/0!</v>
      </c>
      <c r="AZ1398" s="1091" t="s">
        <v>1012</v>
      </c>
      <c r="BA1398" s="1097" t="e">
        <f>IF(Table3[[#This Row],[max]]&lt;&gt;0,RANK(Table3[[#This Row],[max]],Table3[max],0),"")</f>
        <v>#DIV/0!</v>
      </c>
      <c r="BB1398" s="1096" t="e">
        <f t="shared" si="853"/>
        <v>#DIV/0!</v>
      </c>
      <c r="BC1398" s="1096" t="e">
        <f t="shared" ca="1" si="854"/>
        <v>#DIV/0!</v>
      </c>
      <c r="BD1398" s="1096" t="e">
        <f>IF(Table3[[#This Row],[max]]&gt;0,Table3[[#This Row],[Crop groups and examples of individual products within the groups to which the MRLs apply]],"")</f>
        <v>#DIV/0!</v>
      </c>
    </row>
    <row r="1399" spans="2:56" x14ac:dyDescent="0.2">
      <c r="B1399" s="23">
        <f t="shared" si="862"/>
        <v>270030</v>
      </c>
      <c r="C1399" s="23" t="str">
        <f t="shared" si="862"/>
        <v>Celeries</v>
      </c>
      <c r="D1399" s="1084">
        <f>input_values!E199</f>
        <v>0</v>
      </c>
      <c r="E1399" s="1084">
        <f>input_values!F199</f>
        <v>0</v>
      </c>
      <c r="F1399" s="1085">
        <f>input_values!W199</f>
        <v>1</v>
      </c>
      <c r="G1399" s="1085" t="str">
        <f>IF(Table3[[#This Row],[CF]]&gt;0,CONCATENATE(IF(Table3[[#This Row],[LOQ]]="*","LOQ","MRL"),IF(input_values!G199&gt;0,"×CFrisk","")),"")</f>
        <v>MRL</v>
      </c>
      <c r="H1399" s="1087">
        <f>input_values!L199</f>
        <v>0</v>
      </c>
      <c r="I1399" s="1088">
        <f>input_values!D199</f>
        <v>0</v>
      </c>
      <c r="J1399" s="1098" t="e">
        <f>IF($D$1212="",0,$D1399*Table3[[#This Row],[CF]]*chronic_consumption!$E199/1000/$C$3)</f>
        <v>#DIV/0!</v>
      </c>
      <c r="K1399" s="1098" t="e">
        <f>IF($D$1212="",0,$D1399*Table3[[#This Row],[CF]]*chronic_consumption!$F199/1000/$C$3)</f>
        <v>#DIV/0!</v>
      </c>
      <c r="L1399" s="1098" t="e">
        <f>IF($D$1212="",0,$D1399*Table3[[#This Row],[CF]]*chronic_consumption!$G199/1000/$C$3)</f>
        <v>#DIV/0!</v>
      </c>
      <c r="M1399" s="1098" t="e">
        <f>IF($D$1212="",0,$D1399*Table3[[#This Row],[CF]]*chronic_consumption!$H199/1000/$C$3)</f>
        <v>#DIV/0!</v>
      </c>
      <c r="N1399" s="1098" t="e">
        <f>IF($D$1212="",0,$D1399*Table3[[#This Row],[CF]]*chronic_consumption!$I199/1000/$C$3)</f>
        <v>#DIV/0!</v>
      </c>
      <c r="O1399" s="1098" t="e">
        <f>IF($D$1212="",0,$D1399*Table3[[#This Row],[CF]]*chronic_consumption!$J199/1000/$C$3)</f>
        <v>#DIV/0!</v>
      </c>
      <c r="P1399" s="1098" t="e">
        <f>IF($D$1212="",0,$D1399*Table3[[#This Row],[CF]]*chronic_consumption!$K199/1000/$C$3)</f>
        <v>#DIV/0!</v>
      </c>
      <c r="Q1399" s="1098" t="e">
        <f>IF($D$1212="",0,$D1399*Table3[[#This Row],[CF]]*chronic_consumption!$L199/1000/$C$3)</f>
        <v>#DIV/0!</v>
      </c>
      <c r="R1399" s="1098" t="e">
        <f>IF($D$1212="",0,$D1399*Table3[[#This Row],[CF]]*chronic_consumption!$M199/1000/$C$3)</f>
        <v>#DIV/0!</v>
      </c>
      <c r="S1399" s="1098" t="e">
        <f>IF($D$1212="",0,$D1399*Table3[[#This Row],[CF]]*chronic_consumption!$N199/1000/$C$3)</f>
        <v>#DIV/0!</v>
      </c>
      <c r="T1399" s="1098" t="e">
        <f>IF($D$1212="",0,$D1399*Table3[[#This Row],[CF]]*chronic_consumption!$O199/1000/$C$3)</f>
        <v>#DIV/0!</v>
      </c>
      <c r="U1399" s="1098" t="e">
        <f>IF($D$1212="",0,$D1399*Table3[[#This Row],[CF]]*chronic_consumption!$P199/1000/$C$3)</f>
        <v>#DIV/0!</v>
      </c>
      <c r="V1399" s="1098" t="e">
        <f>IF($D$1212="",0,$D1399*Table3[[#This Row],[CF]]*chronic_consumption!$Q199/1000/$C$3)</f>
        <v>#DIV/0!</v>
      </c>
      <c r="W1399" s="1098" t="e">
        <f>IF($D$1212="",0,$D1399*Table3[[#This Row],[CF]]*chronic_consumption!$R199/1000/$C$3)</f>
        <v>#DIV/0!</v>
      </c>
      <c r="X1399" s="1098" t="e">
        <f>IF($D$1212="",0,$D1399*Table3[[#This Row],[CF]]*chronic_consumption!$S199/1000/$C$3)</f>
        <v>#DIV/0!</v>
      </c>
      <c r="Y1399" s="1098" t="e">
        <f>IF($D$1212="",0,$D1399*Table3[[#This Row],[CF]]*chronic_consumption!$T199/1000/$C$3)</f>
        <v>#DIV/0!</v>
      </c>
      <c r="Z1399" s="1098" t="e">
        <f>IF($D$1212="",0,$D1399*Table3[[#This Row],[CF]]*chronic_consumption!$U199/1000/$C$3)</f>
        <v>#DIV/0!</v>
      </c>
      <c r="AA1399" s="1098" t="e">
        <f>IF($D$1212="",0,$D1399*Table3[[#This Row],[CF]]*chronic_consumption!$V199/1000/$C$3)</f>
        <v>#DIV/0!</v>
      </c>
      <c r="AB1399" s="1098" t="e">
        <f>IF($D$1212="",0,$D1399*Table3[[#This Row],[CF]]*chronic_consumption!$W199/1000/$C$3)</f>
        <v>#DIV/0!</v>
      </c>
      <c r="AC1399" s="1098" t="e">
        <f>IF($D$1212="",0,$D1399*Table3[[#This Row],[CF]]*chronic_consumption!$X199/1000/$C$3)</f>
        <v>#DIV/0!</v>
      </c>
      <c r="AD1399" s="1098" t="e">
        <f>IF($D$1212="",0,$D1399*Table3[[#This Row],[CF]]*chronic_consumption!$Y199/1000/$C$3)</f>
        <v>#DIV/0!</v>
      </c>
      <c r="AE1399" s="1098" t="e">
        <f>IF($D$1212="",0,$D1399*Table3[[#This Row],[CF]]*chronic_consumption!$Z199/1000/$C$3)</f>
        <v>#DIV/0!</v>
      </c>
      <c r="AF1399" s="1098" t="e">
        <f>IF($D$1212="",0,$D1399*Table3[[#This Row],[CF]]*chronic_consumption!$AA199/1000/$C$3)</f>
        <v>#DIV/0!</v>
      </c>
      <c r="AG1399" s="1098" t="e">
        <f>IF($D$1212="",0,$D1399*Table3[[#This Row],[CF]]*chronic_consumption!$AB199/1000/$C$3)</f>
        <v>#DIV/0!</v>
      </c>
      <c r="AH1399" s="1098" t="e">
        <f>IF($D$1212="",0,$D1399*Table3[[#This Row],[CF]]*chronic_consumption!$AC199/1000/$C$3)</f>
        <v>#DIV/0!</v>
      </c>
      <c r="AI1399" s="1098" t="e">
        <f>IF($D$1212="",0,$D1399*Table3[[#This Row],[CF]]*chronic_consumption!$AD199/1000/$C$3)</f>
        <v>#DIV/0!</v>
      </c>
      <c r="AJ1399" s="1098" t="e">
        <f>IF($D$1212="",0,$D1399*Table3[[#This Row],[CF]]*chronic_consumption!$AE199/1000/$C$3)</f>
        <v>#DIV/0!</v>
      </c>
      <c r="AK1399" s="1098" t="e">
        <f>IF($D$1212="",0,$D1399*Table3[[#This Row],[CF]]*chronic_consumption!$AF199/1000/$C$3)</f>
        <v>#DIV/0!</v>
      </c>
      <c r="AL1399" s="1098" t="e">
        <f>IF($D$1212="",0,$D1399*Table3[[#This Row],[CF]]*chronic_consumption!$AG199/1000/$C$3)</f>
        <v>#DIV/0!</v>
      </c>
      <c r="AM1399" s="1098" t="e">
        <f>IF($D$1212="",0,$D1399*Table3[[#This Row],[CF]]*chronic_consumption!$AH199/1000/$C$3)</f>
        <v>#DIV/0!</v>
      </c>
      <c r="AN1399" s="1098" t="e">
        <f>IF($D$1212="",0,$D1399*Table3[[#This Row],[CF]]*chronic_consumption!$AI199/1000/$C$3)</f>
        <v>#DIV/0!</v>
      </c>
      <c r="AO1399" s="1098" t="e">
        <f>IF($D$1212="",0,$D1399*Table3[[#This Row],[CF]]*chronic_consumption!$AJ199/1000/$C$3)</f>
        <v>#DIV/0!</v>
      </c>
      <c r="AP1399" s="1098" t="e">
        <f>IF($D$1212="",0,$D1399*Table3[[#This Row],[CF]]*chronic_consumption!$AK199/1000/$C$3)</f>
        <v>#DIV/0!</v>
      </c>
      <c r="AQ1399" s="1098" t="e">
        <f>IF($D$1212="",0,$D1399*Table3[[#This Row],[CF]]*chronic_consumption!$AL199/1000/$C$3)</f>
        <v>#DIV/0!</v>
      </c>
      <c r="AR1399" s="1098" t="e">
        <f>IF($D$1212="",0,$D1399*Table3[[#This Row],[CF]]*chronic_consumption!$AM199/1000/$C$3)</f>
        <v>#DIV/0!</v>
      </c>
      <c r="AS1399" s="1098" t="e">
        <f>IF($D$1212="",0,$D1399*Table3[[#This Row],[CF]]*chronic_consumption!$AN199/1000/$C$3)</f>
        <v>#DIV/0!</v>
      </c>
      <c r="AT1399" s="1098" t="e">
        <f>IF($D$1212="",0,$D1399*Table3[[#This Row],[CF]]*chronic_consumption!$AO199/1000/$C$3)</f>
        <v>#DIV/0!</v>
      </c>
      <c r="AU1399" s="1099" t="e">
        <f t="shared" si="863"/>
        <v>#DIV/0!</v>
      </c>
      <c r="AV1399" s="1099" t="e">
        <f t="shared" si="863"/>
        <v>#DIV/0!</v>
      </c>
      <c r="AW1399" s="1099" t="e">
        <f t="shared" si="863"/>
        <v>#DIV/0!</v>
      </c>
      <c r="AX1399" s="1099" t="e">
        <f t="shared" si="863"/>
        <v>#DIV/0!</v>
      </c>
      <c r="AY1399" s="1099" t="e">
        <f t="shared" si="863"/>
        <v>#DIV/0!</v>
      </c>
      <c r="AZ1399" s="1091" t="s">
        <v>1012</v>
      </c>
      <c r="BA1399" s="1097" t="e">
        <f>IF(Table3[[#This Row],[max]]&lt;&gt;0,RANK(Table3[[#This Row],[max]],Table3[max],0),"")</f>
        <v>#DIV/0!</v>
      </c>
      <c r="BB1399" s="1096" t="e">
        <f t="shared" si="853"/>
        <v>#DIV/0!</v>
      </c>
      <c r="BC1399" s="1096" t="e">
        <f t="shared" ca="1" si="854"/>
        <v>#DIV/0!</v>
      </c>
      <c r="BD1399" s="1096" t="e">
        <f>IF(Table3[[#This Row],[max]]&gt;0,Table3[[#This Row],[Crop groups and examples of individual products within the groups to which the MRLs apply]],"")</f>
        <v>#DIV/0!</v>
      </c>
    </row>
    <row r="1400" spans="2:56" x14ac:dyDescent="0.2">
      <c r="B1400" s="23">
        <f t="shared" si="862"/>
        <v>270040</v>
      </c>
      <c r="C1400" s="23" t="str">
        <f t="shared" si="862"/>
        <v>Florence fennels</v>
      </c>
      <c r="D1400" s="1084">
        <f>input_values!E200</f>
        <v>0</v>
      </c>
      <c r="E1400" s="1084">
        <f>input_values!F200</f>
        <v>0</v>
      </c>
      <c r="F1400" s="1085">
        <f>input_values!W200</f>
        <v>1</v>
      </c>
      <c r="G1400" s="1085" t="str">
        <f>IF(Table3[[#This Row],[CF]]&gt;0,CONCATENATE(IF(Table3[[#This Row],[LOQ]]="*","LOQ","MRL"),IF(input_values!G200&gt;0,"×CFrisk","")),"")</f>
        <v>MRL</v>
      </c>
      <c r="H1400" s="1087">
        <f>input_values!L200</f>
        <v>0</v>
      </c>
      <c r="I1400" s="1088">
        <f>input_values!D200</f>
        <v>0</v>
      </c>
      <c r="J1400" s="1098" t="e">
        <f>IF($D$1212="",0,$D1400*Table3[[#This Row],[CF]]*chronic_consumption!$E200/1000/$C$3)</f>
        <v>#DIV/0!</v>
      </c>
      <c r="K1400" s="1098" t="e">
        <f>IF($D$1212="",0,$D1400*Table3[[#This Row],[CF]]*chronic_consumption!$F200/1000/$C$3)</f>
        <v>#DIV/0!</v>
      </c>
      <c r="L1400" s="1098" t="e">
        <f>IF($D$1212="",0,$D1400*Table3[[#This Row],[CF]]*chronic_consumption!$G200/1000/$C$3)</f>
        <v>#DIV/0!</v>
      </c>
      <c r="M1400" s="1098" t="e">
        <f>IF($D$1212="",0,$D1400*Table3[[#This Row],[CF]]*chronic_consumption!$H200/1000/$C$3)</f>
        <v>#DIV/0!</v>
      </c>
      <c r="N1400" s="1098" t="e">
        <f>IF($D$1212="",0,$D1400*Table3[[#This Row],[CF]]*chronic_consumption!$I200/1000/$C$3)</f>
        <v>#DIV/0!</v>
      </c>
      <c r="O1400" s="1098" t="e">
        <f>IF($D$1212="",0,$D1400*Table3[[#This Row],[CF]]*chronic_consumption!$J200/1000/$C$3)</f>
        <v>#DIV/0!</v>
      </c>
      <c r="P1400" s="1098" t="e">
        <f>IF($D$1212="",0,$D1400*Table3[[#This Row],[CF]]*chronic_consumption!$K200/1000/$C$3)</f>
        <v>#DIV/0!</v>
      </c>
      <c r="Q1400" s="1098" t="e">
        <f>IF($D$1212="",0,$D1400*Table3[[#This Row],[CF]]*chronic_consumption!$L200/1000/$C$3)</f>
        <v>#DIV/0!</v>
      </c>
      <c r="R1400" s="1098" t="e">
        <f>IF($D$1212="",0,$D1400*Table3[[#This Row],[CF]]*chronic_consumption!$M200/1000/$C$3)</f>
        <v>#DIV/0!</v>
      </c>
      <c r="S1400" s="1098" t="e">
        <f>IF($D$1212="",0,$D1400*Table3[[#This Row],[CF]]*chronic_consumption!$N200/1000/$C$3)</f>
        <v>#DIV/0!</v>
      </c>
      <c r="T1400" s="1098" t="e">
        <f>IF($D$1212="",0,$D1400*Table3[[#This Row],[CF]]*chronic_consumption!$O200/1000/$C$3)</f>
        <v>#DIV/0!</v>
      </c>
      <c r="U1400" s="1098" t="e">
        <f>IF($D$1212="",0,$D1400*Table3[[#This Row],[CF]]*chronic_consumption!$P200/1000/$C$3)</f>
        <v>#DIV/0!</v>
      </c>
      <c r="V1400" s="1098" t="e">
        <f>IF($D$1212="",0,$D1400*Table3[[#This Row],[CF]]*chronic_consumption!$Q200/1000/$C$3)</f>
        <v>#DIV/0!</v>
      </c>
      <c r="W1400" s="1098" t="e">
        <f>IF($D$1212="",0,$D1400*Table3[[#This Row],[CF]]*chronic_consumption!$R200/1000/$C$3)</f>
        <v>#DIV/0!</v>
      </c>
      <c r="X1400" s="1098" t="e">
        <f>IF($D$1212="",0,$D1400*Table3[[#This Row],[CF]]*chronic_consumption!$S200/1000/$C$3)</f>
        <v>#DIV/0!</v>
      </c>
      <c r="Y1400" s="1098" t="e">
        <f>IF($D$1212="",0,$D1400*Table3[[#This Row],[CF]]*chronic_consumption!$T200/1000/$C$3)</f>
        <v>#DIV/0!</v>
      </c>
      <c r="Z1400" s="1098" t="e">
        <f>IF($D$1212="",0,$D1400*Table3[[#This Row],[CF]]*chronic_consumption!$U200/1000/$C$3)</f>
        <v>#DIV/0!</v>
      </c>
      <c r="AA1400" s="1098" t="e">
        <f>IF($D$1212="",0,$D1400*Table3[[#This Row],[CF]]*chronic_consumption!$V200/1000/$C$3)</f>
        <v>#DIV/0!</v>
      </c>
      <c r="AB1400" s="1098" t="e">
        <f>IF($D$1212="",0,$D1400*Table3[[#This Row],[CF]]*chronic_consumption!$W200/1000/$C$3)</f>
        <v>#DIV/0!</v>
      </c>
      <c r="AC1400" s="1098" t="e">
        <f>IF($D$1212="",0,$D1400*Table3[[#This Row],[CF]]*chronic_consumption!$X200/1000/$C$3)</f>
        <v>#DIV/0!</v>
      </c>
      <c r="AD1400" s="1098" t="e">
        <f>IF($D$1212="",0,$D1400*Table3[[#This Row],[CF]]*chronic_consumption!$Y200/1000/$C$3)</f>
        <v>#DIV/0!</v>
      </c>
      <c r="AE1400" s="1098" t="e">
        <f>IF($D$1212="",0,$D1400*Table3[[#This Row],[CF]]*chronic_consumption!$Z200/1000/$C$3)</f>
        <v>#DIV/0!</v>
      </c>
      <c r="AF1400" s="1098" t="e">
        <f>IF($D$1212="",0,$D1400*Table3[[#This Row],[CF]]*chronic_consumption!$AA200/1000/$C$3)</f>
        <v>#DIV/0!</v>
      </c>
      <c r="AG1400" s="1098" t="e">
        <f>IF($D$1212="",0,$D1400*Table3[[#This Row],[CF]]*chronic_consumption!$AB200/1000/$C$3)</f>
        <v>#DIV/0!</v>
      </c>
      <c r="AH1400" s="1098" t="e">
        <f>IF($D$1212="",0,$D1400*Table3[[#This Row],[CF]]*chronic_consumption!$AC200/1000/$C$3)</f>
        <v>#DIV/0!</v>
      </c>
      <c r="AI1400" s="1098" t="e">
        <f>IF($D$1212="",0,$D1400*Table3[[#This Row],[CF]]*chronic_consumption!$AD200/1000/$C$3)</f>
        <v>#DIV/0!</v>
      </c>
      <c r="AJ1400" s="1098" t="e">
        <f>IF($D$1212="",0,$D1400*Table3[[#This Row],[CF]]*chronic_consumption!$AE200/1000/$C$3)</f>
        <v>#DIV/0!</v>
      </c>
      <c r="AK1400" s="1098" t="e">
        <f>IF($D$1212="",0,$D1400*Table3[[#This Row],[CF]]*chronic_consumption!$AF200/1000/$C$3)</f>
        <v>#DIV/0!</v>
      </c>
      <c r="AL1400" s="1098" t="e">
        <f>IF($D$1212="",0,$D1400*Table3[[#This Row],[CF]]*chronic_consumption!$AG200/1000/$C$3)</f>
        <v>#DIV/0!</v>
      </c>
      <c r="AM1400" s="1098" t="e">
        <f>IF($D$1212="",0,$D1400*Table3[[#This Row],[CF]]*chronic_consumption!$AH200/1000/$C$3)</f>
        <v>#DIV/0!</v>
      </c>
      <c r="AN1400" s="1098" t="e">
        <f>IF($D$1212="",0,$D1400*Table3[[#This Row],[CF]]*chronic_consumption!$AI200/1000/$C$3)</f>
        <v>#DIV/0!</v>
      </c>
      <c r="AO1400" s="1098" t="e">
        <f>IF($D$1212="",0,$D1400*Table3[[#This Row],[CF]]*chronic_consumption!$AJ200/1000/$C$3)</f>
        <v>#DIV/0!</v>
      </c>
      <c r="AP1400" s="1098" t="e">
        <f>IF($D$1212="",0,$D1400*Table3[[#This Row],[CF]]*chronic_consumption!$AK200/1000/$C$3)</f>
        <v>#DIV/0!</v>
      </c>
      <c r="AQ1400" s="1098" t="e">
        <f>IF($D$1212="",0,$D1400*Table3[[#This Row],[CF]]*chronic_consumption!$AL200/1000/$C$3)</f>
        <v>#DIV/0!</v>
      </c>
      <c r="AR1400" s="1098" t="e">
        <f>IF($D$1212="",0,$D1400*Table3[[#This Row],[CF]]*chronic_consumption!$AM200/1000/$C$3)</f>
        <v>#DIV/0!</v>
      </c>
      <c r="AS1400" s="1098" t="e">
        <f>IF($D$1212="",0,$D1400*Table3[[#This Row],[CF]]*chronic_consumption!$AN200/1000/$C$3)</f>
        <v>#DIV/0!</v>
      </c>
      <c r="AT1400" s="1098" t="e">
        <f>IF($D$1212="",0,$D1400*Table3[[#This Row],[CF]]*chronic_consumption!$AO200/1000/$C$3)</f>
        <v>#DIV/0!</v>
      </c>
      <c r="AU1400" s="1099" t="e">
        <f t="shared" si="863"/>
        <v>#DIV/0!</v>
      </c>
      <c r="AV1400" s="1099" t="e">
        <f t="shared" si="863"/>
        <v>#DIV/0!</v>
      </c>
      <c r="AW1400" s="1099" t="e">
        <f t="shared" si="863"/>
        <v>#DIV/0!</v>
      </c>
      <c r="AX1400" s="1099" t="e">
        <f t="shared" si="863"/>
        <v>#DIV/0!</v>
      </c>
      <c r="AY1400" s="1099" t="e">
        <f t="shared" si="863"/>
        <v>#DIV/0!</v>
      </c>
      <c r="AZ1400" s="1091" t="s">
        <v>1012</v>
      </c>
      <c r="BA1400" s="1097" t="e">
        <f>IF(Table3[[#This Row],[max]]&lt;&gt;0,RANK(Table3[[#This Row],[max]],Table3[max],0),"")</f>
        <v>#DIV/0!</v>
      </c>
      <c r="BB1400" s="1096" t="e">
        <f t="shared" si="853"/>
        <v>#DIV/0!</v>
      </c>
      <c r="BC1400" s="1096" t="e">
        <f t="shared" ca="1" si="854"/>
        <v>#DIV/0!</v>
      </c>
      <c r="BD1400" s="1096" t="e">
        <f>IF(Table3[[#This Row],[max]]&gt;0,Table3[[#This Row],[Crop groups and examples of individual products within the groups to which the MRLs apply]],"")</f>
        <v>#DIV/0!</v>
      </c>
    </row>
    <row r="1401" spans="2:56" x14ac:dyDescent="0.2">
      <c r="B1401" s="23">
        <f t="shared" si="862"/>
        <v>270050</v>
      </c>
      <c r="C1401" s="23" t="str">
        <f t="shared" si="862"/>
        <v>Globe artichokes</v>
      </c>
      <c r="D1401" s="1084">
        <f>input_values!E201</f>
        <v>0</v>
      </c>
      <c r="E1401" s="1084">
        <f>input_values!F201</f>
        <v>0</v>
      </c>
      <c r="F1401" s="1085">
        <f>input_values!W201</f>
        <v>1</v>
      </c>
      <c r="G1401" s="1085" t="str">
        <f>IF(Table3[[#This Row],[CF]]&gt;0,CONCATENATE(IF(Table3[[#This Row],[LOQ]]="*","LOQ","MRL"),IF(input_values!G201&gt;0,"×CFrisk","")),"")</f>
        <v>MRL</v>
      </c>
      <c r="H1401" s="1087">
        <f>input_values!L201</f>
        <v>0</v>
      </c>
      <c r="I1401" s="1088">
        <f>input_values!D201</f>
        <v>0</v>
      </c>
      <c r="J1401" s="1098" t="e">
        <f>IF($D$1212="",0,$D1401*Table3[[#This Row],[CF]]*chronic_consumption!$E201/1000/$C$3)</f>
        <v>#DIV/0!</v>
      </c>
      <c r="K1401" s="1098" t="e">
        <f>IF($D$1212="",0,$D1401*Table3[[#This Row],[CF]]*chronic_consumption!$F201/1000/$C$3)</f>
        <v>#DIV/0!</v>
      </c>
      <c r="L1401" s="1098" t="e">
        <f>IF($D$1212="",0,$D1401*Table3[[#This Row],[CF]]*chronic_consumption!$G201/1000/$C$3)</f>
        <v>#DIV/0!</v>
      </c>
      <c r="M1401" s="1098" t="e">
        <f>IF($D$1212="",0,$D1401*Table3[[#This Row],[CF]]*chronic_consumption!$H201/1000/$C$3)</f>
        <v>#DIV/0!</v>
      </c>
      <c r="N1401" s="1098" t="e">
        <f>IF($D$1212="",0,$D1401*Table3[[#This Row],[CF]]*chronic_consumption!$I201/1000/$C$3)</f>
        <v>#DIV/0!</v>
      </c>
      <c r="O1401" s="1098" t="e">
        <f>IF($D$1212="",0,$D1401*Table3[[#This Row],[CF]]*chronic_consumption!$J201/1000/$C$3)</f>
        <v>#DIV/0!</v>
      </c>
      <c r="P1401" s="1098" t="e">
        <f>IF($D$1212="",0,$D1401*Table3[[#This Row],[CF]]*chronic_consumption!$K201/1000/$C$3)</f>
        <v>#DIV/0!</v>
      </c>
      <c r="Q1401" s="1098" t="e">
        <f>IF($D$1212="",0,$D1401*Table3[[#This Row],[CF]]*chronic_consumption!$L201/1000/$C$3)</f>
        <v>#DIV/0!</v>
      </c>
      <c r="R1401" s="1098" t="e">
        <f>IF($D$1212="",0,$D1401*Table3[[#This Row],[CF]]*chronic_consumption!$M201/1000/$C$3)</f>
        <v>#DIV/0!</v>
      </c>
      <c r="S1401" s="1098" t="e">
        <f>IF($D$1212="",0,$D1401*Table3[[#This Row],[CF]]*chronic_consumption!$N201/1000/$C$3)</f>
        <v>#DIV/0!</v>
      </c>
      <c r="T1401" s="1098" t="e">
        <f>IF($D$1212="",0,$D1401*Table3[[#This Row],[CF]]*chronic_consumption!$O201/1000/$C$3)</f>
        <v>#DIV/0!</v>
      </c>
      <c r="U1401" s="1098" t="e">
        <f>IF($D$1212="",0,$D1401*Table3[[#This Row],[CF]]*chronic_consumption!$P201/1000/$C$3)</f>
        <v>#DIV/0!</v>
      </c>
      <c r="V1401" s="1098" t="e">
        <f>IF($D$1212="",0,$D1401*Table3[[#This Row],[CF]]*chronic_consumption!$Q201/1000/$C$3)</f>
        <v>#DIV/0!</v>
      </c>
      <c r="W1401" s="1098" t="e">
        <f>IF($D$1212="",0,$D1401*Table3[[#This Row],[CF]]*chronic_consumption!$R201/1000/$C$3)</f>
        <v>#DIV/0!</v>
      </c>
      <c r="X1401" s="1098" t="e">
        <f>IF($D$1212="",0,$D1401*Table3[[#This Row],[CF]]*chronic_consumption!$S201/1000/$C$3)</f>
        <v>#DIV/0!</v>
      </c>
      <c r="Y1401" s="1098" t="e">
        <f>IF($D$1212="",0,$D1401*Table3[[#This Row],[CF]]*chronic_consumption!$T201/1000/$C$3)</f>
        <v>#DIV/0!</v>
      </c>
      <c r="Z1401" s="1098" t="e">
        <f>IF($D$1212="",0,$D1401*Table3[[#This Row],[CF]]*chronic_consumption!$U201/1000/$C$3)</f>
        <v>#DIV/0!</v>
      </c>
      <c r="AA1401" s="1098" t="e">
        <f>IF($D$1212="",0,$D1401*Table3[[#This Row],[CF]]*chronic_consumption!$V201/1000/$C$3)</f>
        <v>#DIV/0!</v>
      </c>
      <c r="AB1401" s="1098" t="e">
        <f>IF($D$1212="",0,$D1401*Table3[[#This Row],[CF]]*chronic_consumption!$W201/1000/$C$3)</f>
        <v>#DIV/0!</v>
      </c>
      <c r="AC1401" s="1098" t="e">
        <f>IF($D$1212="",0,$D1401*Table3[[#This Row],[CF]]*chronic_consumption!$X201/1000/$C$3)</f>
        <v>#DIV/0!</v>
      </c>
      <c r="AD1401" s="1098" t="e">
        <f>IF($D$1212="",0,$D1401*Table3[[#This Row],[CF]]*chronic_consumption!$Y201/1000/$C$3)</f>
        <v>#DIV/0!</v>
      </c>
      <c r="AE1401" s="1098" t="e">
        <f>IF($D$1212="",0,$D1401*Table3[[#This Row],[CF]]*chronic_consumption!$Z201/1000/$C$3)</f>
        <v>#DIV/0!</v>
      </c>
      <c r="AF1401" s="1098" t="e">
        <f>IF($D$1212="",0,$D1401*Table3[[#This Row],[CF]]*chronic_consumption!$AA201/1000/$C$3)</f>
        <v>#DIV/0!</v>
      </c>
      <c r="AG1401" s="1098" t="e">
        <f>IF($D$1212="",0,$D1401*Table3[[#This Row],[CF]]*chronic_consumption!$AB201/1000/$C$3)</f>
        <v>#DIV/0!</v>
      </c>
      <c r="AH1401" s="1098" t="e">
        <f>IF($D$1212="",0,$D1401*Table3[[#This Row],[CF]]*chronic_consumption!$AC201/1000/$C$3)</f>
        <v>#DIV/0!</v>
      </c>
      <c r="AI1401" s="1098" t="e">
        <f>IF($D$1212="",0,$D1401*Table3[[#This Row],[CF]]*chronic_consumption!$AD201/1000/$C$3)</f>
        <v>#DIV/0!</v>
      </c>
      <c r="AJ1401" s="1098" t="e">
        <f>IF($D$1212="",0,$D1401*Table3[[#This Row],[CF]]*chronic_consumption!$AE201/1000/$C$3)</f>
        <v>#DIV/0!</v>
      </c>
      <c r="AK1401" s="1098" t="e">
        <f>IF($D$1212="",0,$D1401*Table3[[#This Row],[CF]]*chronic_consumption!$AF201/1000/$C$3)</f>
        <v>#DIV/0!</v>
      </c>
      <c r="AL1401" s="1098" t="e">
        <f>IF($D$1212="",0,$D1401*Table3[[#This Row],[CF]]*chronic_consumption!$AG201/1000/$C$3)</f>
        <v>#DIV/0!</v>
      </c>
      <c r="AM1401" s="1098" t="e">
        <f>IF($D$1212="",0,$D1401*Table3[[#This Row],[CF]]*chronic_consumption!$AH201/1000/$C$3)</f>
        <v>#DIV/0!</v>
      </c>
      <c r="AN1401" s="1098" t="e">
        <f>IF($D$1212="",0,$D1401*Table3[[#This Row],[CF]]*chronic_consumption!$AI201/1000/$C$3)</f>
        <v>#DIV/0!</v>
      </c>
      <c r="AO1401" s="1098" t="e">
        <f>IF($D$1212="",0,$D1401*Table3[[#This Row],[CF]]*chronic_consumption!$AJ201/1000/$C$3)</f>
        <v>#DIV/0!</v>
      </c>
      <c r="AP1401" s="1098" t="e">
        <f>IF($D$1212="",0,$D1401*Table3[[#This Row],[CF]]*chronic_consumption!$AK201/1000/$C$3)</f>
        <v>#DIV/0!</v>
      </c>
      <c r="AQ1401" s="1098" t="e">
        <f>IF($D$1212="",0,$D1401*Table3[[#This Row],[CF]]*chronic_consumption!$AL201/1000/$C$3)</f>
        <v>#DIV/0!</v>
      </c>
      <c r="AR1401" s="1098" t="e">
        <f>IF($D$1212="",0,$D1401*Table3[[#This Row],[CF]]*chronic_consumption!$AM201/1000/$C$3)</f>
        <v>#DIV/0!</v>
      </c>
      <c r="AS1401" s="1098" t="e">
        <f>IF($D$1212="",0,$D1401*Table3[[#This Row],[CF]]*chronic_consumption!$AN201/1000/$C$3)</f>
        <v>#DIV/0!</v>
      </c>
      <c r="AT1401" s="1098" t="e">
        <f>IF($D$1212="",0,$D1401*Table3[[#This Row],[CF]]*chronic_consumption!$AO201/1000/$C$3)</f>
        <v>#DIV/0!</v>
      </c>
      <c r="AU1401" s="1099" t="e">
        <f t="shared" si="863"/>
        <v>#DIV/0!</v>
      </c>
      <c r="AV1401" s="1099" t="e">
        <f t="shared" si="863"/>
        <v>#DIV/0!</v>
      </c>
      <c r="AW1401" s="1099" t="e">
        <f t="shared" si="863"/>
        <v>#DIV/0!</v>
      </c>
      <c r="AX1401" s="1099" t="e">
        <f t="shared" si="863"/>
        <v>#DIV/0!</v>
      </c>
      <c r="AY1401" s="1099" t="e">
        <f t="shared" si="863"/>
        <v>#DIV/0!</v>
      </c>
      <c r="AZ1401" s="1091" t="s">
        <v>1012</v>
      </c>
      <c r="BA1401" s="1097" t="e">
        <f>IF(Table3[[#This Row],[max]]&lt;&gt;0,RANK(Table3[[#This Row],[max]],Table3[max],0),"")</f>
        <v>#DIV/0!</v>
      </c>
      <c r="BB1401" s="1096" t="e">
        <f t="shared" si="853"/>
        <v>#DIV/0!</v>
      </c>
      <c r="BC1401" s="1096" t="e">
        <f t="shared" ca="1" si="854"/>
        <v>#DIV/0!</v>
      </c>
      <c r="BD1401" s="1096" t="e">
        <f>IF(Table3[[#This Row],[max]]&gt;0,Table3[[#This Row],[Crop groups and examples of individual products within the groups to which the MRLs apply]],"")</f>
        <v>#DIV/0!</v>
      </c>
    </row>
    <row r="1402" spans="2:56" x14ac:dyDescent="0.2">
      <c r="B1402" s="23">
        <f t="shared" si="862"/>
        <v>270060</v>
      </c>
      <c r="C1402" s="23" t="str">
        <f t="shared" si="862"/>
        <v>Leeks</v>
      </c>
      <c r="D1402" s="1084">
        <f>input_values!E202</f>
        <v>0</v>
      </c>
      <c r="E1402" s="1084">
        <f>input_values!F202</f>
        <v>0</v>
      </c>
      <c r="F1402" s="1085">
        <f>input_values!W202</f>
        <v>1</v>
      </c>
      <c r="G1402" s="1085" t="str">
        <f>IF(Table3[[#This Row],[CF]]&gt;0,CONCATENATE(IF(Table3[[#This Row],[LOQ]]="*","LOQ","MRL"),IF(input_values!G202&gt;0,"×CFrisk","")),"")</f>
        <v>MRL</v>
      </c>
      <c r="H1402" s="1087">
        <f>input_values!L202</f>
        <v>0</v>
      </c>
      <c r="I1402" s="1088">
        <f>input_values!D202</f>
        <v>0</v>
      </c>
      <c r="J1402" s="1098" t="e">
        <f>IF($D$1212="",0,$D1402*Table3[[#This Row],[CF]]*chronic_consumption!$E202/1000/$C$3)</f>
        <v>#DIV/0!</v>
      </c>
      <c r="K1402" s="1098" t="e">
        <f>IF($D$1212="",0,$D1402*Table3[[#This Row],[CF]]*chronic_consumption!$F202/1000/$C$3)</f>
        <v>#DIV/0!</v>
      </c>
      <c r="L1402" s="1098" t="e">
        <f>IF($D$1212="",0,$D1402*Table3[[#This Row],[CF]]*chronic_consumption!$G202/1000/$C$3)</f>
        <v>#DIV/0!</v>
      </c>
      <c r="M1402" s="1098" t="e">
        <f>IF($D$1212="",0,$D1402*Table3[[#This Row],[CF]]*chronic_consumption!$H202/1000/$C$3)</f>
        <v>#DIV/0!</v>
      </c>
      <c r="N1402" s="1098" t="e">
        <f>IF($D$1212="",0,$D1402*Table3[[#This Row],[CF]]*chronic_consumption!$I202/1000/$C$3)</f>
        <v>#DIV/0!</v>
      </c>
      <c r="O1402" s="1098" t="e">
        <f>IF($D$1212="",0,$D1402*Table3[[#This Row],[CF]]*chronic_consumption!$J202/1000/$C$3)</f>
        <v>#DIV/0!</v>
      </c>
      <c r="P1402" s="1098" t="e">
        <f>IF($D$1212="",0,$D1402*Table3[[#This Row],[CF]]*chronic_consumption!$K202/1000/$C$3)</f>
        <v>#DIV/0!</v>
      </c>
      <c r="Q1402" s="1098" t="e">
        <f>IF($D$1212="",0,$D1402*Table3[[#This Row],[CF]]*chronic_consumption!$L202/1000/$C$3)</f>
        <v>#DIV/0!</v>
      </c>
      <c r="R1402" s="1098" t="e">
        <f>IF($D$1212="",0,$D1402*Table3[[#This Row],[CF]]*chronic_consumption!$M202/1000/$C$3)</f>
        <v>#DIV/0!</v>
      </c>
      <c r="S1402" s="1098" t="e">
        <f>IF($D$1212="",0,$D1402*Table3[[#This Row],[CF]]*chronic_consumption!$N202/1000/$C$3)</f>
        <v>#DIV/0!</v>
      </c>
      <c r="T1402" s="1098" t="e">
        <f>IF($D$1212="",0,$D1402*Table3[[#This Row],[CF]]*chronic_consumption!$O202/1000/$C$3)</f>
        <v>#DIV/0!</v>
      </c>
      <c r="U1402" s="1098" t="e">
        <f>IF($D$1212="",0,$D1402*Table3[[#This Row],[CF]]*chronic_consumption!$P202/1000/$C$3)</f>
        <v>#DIV/0!</v>
      </c>
      <c r="V1402" s="1098" t="e">
        <f>IF($D$1212="",0,$D1402*Table3[[#This Row],[CF]]*chronic_consumption!$Q202/1000/$C$3)</f>
        <v>#DIV/0!</v>
      </c>
      <c r="W1402" s="1098" t="e">
        <f>IF($D$1212="",0,$D1402*Table3[[#This Row],[CF]]*chronic_consumption!$R202/1000/$C$3)</f>
        <v>#DIV/0!</v>
      </c>
      <c r="X1402" s="1098" t="e">
        <f>IF($D$1212="",0,$D1402*Table3[[#This Row],[CF]]*chronic_consumption!$S202/1000/$C$3)</f>
        <v>#DIV/0!</v>
      </c>
      <c r="Y1402" s="1098" t="e">
        <f>IF($D$1212="",0,$D1402*Table3[[#This Row],[CF]]*chronic_consumption!$T202/1000/$C$3)</f>
        <v>#DIV/0!</v>
      </c>
      <c r="Z1402" s="1098" t="e">
        <f>IF($D$1212="",0,$D1402*Table3[[#This Row],[CF]]*chronic_consumption!$U202/1000/$C$3)</f>
        <v>#DIV/0!</v>
      </c>
      <c r="AA1402" s="1098" t="e">
        <f>IF($D$1212="",0,$D1402*Table3[[#This Row],[CF]]*chronic_consumption!$V202/1000/$C$3)</f>
        <v>#DIV/0!</v>
      </c>
      <c r="AB1402" s="1098" t="e">
        <f>IF($D$1212="",0,$D1402*Table3[[#This Row],[CF]]*chronic_consumption!$W202/1000/$C$3)</f>
        <v>#DIV/0!</v>
      </c>
      <c r="AC1402" s="1098" t="e">
        <f>IF($D$1212="",0,$D1402*Table3[[#This Row],[CF]]*chronic_consumption!$X202/1000/$C$3)</f>
        <v>#DIV/0!</v>
      </c>
      <c r="AD1402" s="1098" t="e">
        <f>IF($D$1212="",0,$D1402*Table3[[#This Row],[CF]]*chronic_consumption!$Y202/1000/$C$3)</f>
        <v>#DIV/0!</v>
      </c>
      <c r="AE1402" s="1098" t="e">
        <f>IF($D$1212="",0,$D1402*Table3[[#This Row],[CF]]*chronic_consumption!$Z202/1000/$C$3)</f>
        <v>#DIV/0!</v>
      </c>
      <c r="AF1402" s="1098" t="e">
        <f>IF($D$1212="",0,$D1402*Table3[[#This Row],[CF]]*chronic_consumption!$AA202/1000/$C$3)</f>
        <v>#DIV/0!</v>
      </c>
      <c r="AG1402" s="1098" t="e">
        <f>IF($D$1212="",0,$D1402*Table3[[#This Row],[CF]]*chronic_consumption!$AB202/1000/$C$3)</f>
        <v>#DIV/0!</v>
      </c>
      <c r="AH1402" s="1098" t="e">
        <f>IF($D$1212="",0,$D1402*Table3[[#This Row],[CF]]*chronic_consumption!$AC202/1000/$C$3)</f>
        <v>#DIV/0!</v>
      </c>
      <c r="AI1402" s="1098" t="e">
        <f>IF($D$1212="",0,$D1402*Table3[[#This Row],[CF]]*chronic_consumption!$AD202/1000/$C$3)</f>
        <v>#DIV/0!</v>
      </c>
      <c r="AJ1402" s="1098" t="e">
        <f>IF($D$1212="",0,$D1402*Table3[[#This Row],[CF]]*chronic_consumption!$AE202/1000/$C$3)</f>
        <v>#DIV/0!</v>
      </c>
      <c r="AK1402" s="1098" t="e">
        <f>IF($D$1212="",0,$D1402*Table3[[#This Row],[CF]]*chronic_consumption!$AF202/1000/$C$3)</f>
        <v>#DIV/0!</v>
      </c>
      <c r="AL1402" s="1098" t="e">
        <f>IF($D$1212="",0,$D1402*Table3[[#This Row],[CF]]*chronic_consumption!$AG202/1000/$C$3)</f>
        <v>#DIV/0!</v>
      </c>
      <c r="AM1402" s="1098" t="e">
        <f>IF($D$1212="",0,$D1402*Table3[[#This Row],[CF]]*chronic_consumption!$AH202/1000/$C$3)</f>
        <v>#DIV/0!</v>
      </c>
      <c r="AN1402" s="1098" t="e">
        <f>IF($D$1212="",0,$D1402*Table3[[#This Row],[CF]]*chronic_consumption!$AI202/1000/$C$3)</f>
        <v>#DIV/0!</v>
      </c>
      <c r="AO1402" s="1098" t="e">
        <f>IF($D$1212="",0,$D1402*Table3[[#This Row],[CF]]*chronic_consumption!$AJ202/1000/$C$3)</f>
        <v>#DIV/0!</v>
      </c>
      <c r="AP1402" s="1098" t="e">
        <f>IF($D$1212="",0,$D1402*Table3[[#This Row],[CF]]*chronic_consumption!$AK202/1000/$C$3)</f>
        <v>#DIV/0!</v>
      </c>
      <c r="AQ1402" s="1098" t="e">
        <f>IF($D$1212="",0,$D1402*Table3[[#This Row],[CF]]*chronic_consumption!$AL202/1000/$C$3)</f>
        <v>#DIV/0!</v>
      </c>
      <c r="AR1402" s="1098" t="e">
        <f>IF($D$1212="",0,$D1402*Table3[[#This Row],[CF]]*chronic_consumption!$AM202/1000/$C$3)</f>
        <v>#DIV/0!</v>
      </c>
      <c r="AS1402" s="1098" t="e">
        <f>IF($D$1212="",0,$D1402*Table3[[#This Row],[CF]]*chronic_consumption!$AN202/1000/$C$3)</f>
        <v>#DIV/0!</v>
      </c>
      <c r="AT1402" s="1098" t="e">
        <f>IF($D$1212="",0,$D1402*Table3[[#This Row],[CF]]*chronic_consumption!$AO202/1000/$C$3)</f>
        <v>#DIV/0!</v>
      </c>
      <c r="AU1402" s="1099" t="e">
        <f t="shared" ref="AU1402:AY1411" si="864">IF(AU602="",0,IF(OR(1=RANK(AU1002,AU$412:AU$790,0),(2=RANK(AU1002,AU$412:AU$790,0))),AU1002,AU602))</f>
        <v>#DIV/0!</v>
      </c>
      <c r="AV1402" s="1099" t="e">
        <f t="shared" si="864"/>
        <v>#DIV/0!</v>
      </c>
      <c r="AW1402" s="1099" t="e">
        <f t="shared" si="864"/>
        <v>#DIV/0!</v>
      </c>
      <c r="AX1402" s="1099" t="e">
        <f t="shared" si="864"/>
        <v>#DIV/0!</v>
      </c>
      <c r="AY1402" s="1099" t="e">
        <f t="shared" si="864"/>
        <v>#DIV/0!</v>
      </c>
      <c r="AZ1402" s="1091" t="s">
        <v>1012</v>
      </c>
      <c r="BA1402" s="1097" t="e">
        <f>IF(Table3[[#This Row],[max]]&lt;&gt;0,RANK(Table3[[#This Row],[max]],Table3[max],0),"")</f>
        <v>#DIV/0!</v>
      </c>
      <c r="BB1402" s="1096" t="e">
        <f t="shared" si="853"/>
        <v>#DIV/0!</v>
      </c>
      <c r="BC1402" s="1096" t="e">
        <f t="shared" ca="1" si="854"/>
        <v>#DIV/0!</v>
      </c>
      <c r="BD1402" s="1096" t="e">
        <f>IF(Table3[[#This Row],[max]]&gt;0,Table3[[#This Row],[Crop groups and examples of individual products within the groups to which the MRLs apply]],"")</f>
        <v>#DIV/0!</v>
      </c>
    </row>
    <row r="1403" spans="2:56" x14ac:dyDescent="0.2">
      <c r="B1403" s="23">
        <f t="shared" si="862"/>
        <v>270070</v>
      </c>
      <c r="C1403" s="23" t="str">
        <f t="shared" si="862"/>
        <v>Rhubarbs</v>
      </c>
      <c r="D1403" s="1084">
        <f>input_values!E203</f>
        <v>0</v>
      </c>
      <c r="E1403" s="1084">
        <f>input_values!F203</f>
        <v>0</v>
      </c>
      <c r="F1403" s="1085">
        <f>input_values!W203</f>
        <v>1</v>
      </c>
      <c r="G1403" s="1085" t="str">
        <f>IF(Table3[[#This Row],[CF]]&gt;0,CONCATENATE(IF(Table3[[#This Row],[LOQ]]="*","LOQ","MRL"),IF(input_values!G203&gt;0,"×CFrisk","")),"")</f>
        <v>MRL</v>
      </c>
      <c r="H1403" s="1087">
        <f>input_values!L203</f>
        <v>0</v>
      </c>
      <c r="I1403" s="1088">
        <f>input_values!D203</f>
        <v>0</v>
      </c>
      <c r="J1403" s="1098" t="e">
        <f>IF($D$1212="",0,$D1403*Table3[[#This Row],[CF]]*chronic_consumption!$E203/1000/$C$3)</f>
        <v>#DIV/0!</v>
      </c>
      <c r="K1403" s="1098" t="e">
        <f>IF($D$1212="",0,$D1403*Table3[[#This Row],[CF]]*chronic_consumption!$F203/1000/$C$3)</f>
        <v>#DIV/0!</v>
      </c>
      <c r="L1403" s="1098" t="e">
        <f>IF($D$1212="",0,$D1403*Table3[[#This Row],[CF]]*chronic_consumption!$G203/1000/$C$3)</f>
        <v>#DIV/0!</v>
      </c>
      <c r="M1403" s="1098" t="e">
        <f>IF($D$1212="",0,$D1403*Table3[[#This Row],[CF]]*chronic_consumption!$H203/1000/$C$3)</f>
        <v>#DIV/0!</v>
      </c>
      <c r="N1403" s="1098" t="e">
        <f>IF($D$1212="",0,$D1403*Table3[[#This Row],[CF]]*chronic_consumption!$I203/1000/$C$3)</f>
        <v>#DIV/0!</v>
      </c>
      <c r="O1403" s="1098" t="e">
        <f>IF($D$1212="",0,$D1403*Table3[[#This Row],[CF]]*chronic_consumption!$J203/1000/$C$3)</f>
        <v>#DIV/0!</v>
      </c>
      <c r="P1403" s="1098" t="e">
        <f>IF($D$1212="",0,$D1403*Table3[[#This Row],[CF]]*chronic_consumption!$K203/1000/$C$3)</f>
        <v>#DIV/0!</v>
      </c>
      <c r="Q1403" s="1098" t="e">
        <f>IF($D$1212="",0,$D1403*Table3[[#This Row],[CF]]*chronic_consumption!$L203/1000/$C$3)</f>
        <v>#DIV/0!</v>
      </c>
      <c r="R1403" s="1098" t="e">
        <f>IF($D$1212="",0,$D1403*Table3[[#This Row],[CF]]*chronic_consumption!$M203/1000/$C$3)</f>
        <v>#DIV/0!</v>
      </c>
      <c r="S1403" s="1098" t="e">
        <f>IF($D$1212="",0,$D1403*Table3[[#This Row],[CF]]*chronic_consumption!$N203/1000/$C$3)</f>
        <v>#DIV/0!</v>
      </c>
      <c r="T1403" s="1098" t="e">
        <f>IF($D$1212="",0,$D1403*Table3[[#This Row],[CF]]*chronic_consumption!$O203/1000/$C$3)</f>
        <v>#DIV/0!</v>
      </c>
      <c r="U1403" s="1098" t="e">
        <f>IF($D$1212="",0,$D1403*Table3[[#This Row],[CF]]*chronic_consumption!$P203/1000/$C$3)</f>
        <v>#DIV/0!</v>
      </c>
      <c r="V1403" s="1098" t="e">
        <f>IF($D$1212="",0,$D1403*Table3[[#This Row],[CF]]*chronic_consumption!$Q203/1000/$C$3)</f>
        <v>#DIV/0!</v>
      </c>
      <c r="W1403" s="1098" t="e">
        <f>IF($D$1212="",0,$D1403*Table3[[#This Row],[CF]]*chronic_consumption!$R203/1000/$C$3)</f>
        <v>#DIV/0!</v>
      </c>
      <c r="X1403" s="1098" t="e">
        <f>IF($D$1212="",0,$D1403*Table3[[#This Row],[CF]]*chronic_consumption!$S203/1000/$C$3)</f>
        <v>#DIV/0!</v>
      </c>
      <c r="Y1403" s="1098" t="e">
        <f>IF($D$1212="",0,$D1403*Table3[[#This Row],[CF]]*chronic_consumption!$T203/1000/$C$3)</f>
        <v>#DIV/0!</v>
      </c>
      <c r="Z1403" s="1098" t="e">
        <f>IF($D$1212="",0,$D1403*Table3[[#This Row],[CF]]*chronic_consumption!$U203/1000/$C$3)</f>
        <v>#DIV/0!</v>
      </c>
      <c r="AA1403" s="1098" t="e">
        <f>IF($D$1212="",0,$D1403*Table3[[#This Row],[CF]]*chronic_consumption!$V203/1000/$C$3)</f>
        <v>#DIV/0!</v>
      </c>
      <c r="AB1403" s="1098" t="e">
        <f>IF($D$1212="",0,$D1403*Table3[[#This Row],[CF]]*chronic_consumption!$W203/1000/$C$3)</f>
        <v>#DIV/0!</v>
      </c>
      <c r="AC1403" s="1098" t="e">
        <f>IF($D$1212="",0,$D1403*Table3[[#This Row],[CF]]*chronic_consumption!$X203/1000/$C$3)</f>
        <v>#DIV/0!</v>
      </c>
      <c r="AD1403" s="1098" t="e">
        <f>IF($D$1212="",0,$D1403*Table3[[#This Row],[CF]]*chronic_consumption!$Y203/1000/$C$3)</f>
        <v>#DIV/0!</v>
      </c>
      <c r="AE1403" s="1098" t="e">
        <f>IF($D$1212="",0,$D1403*Table3[[#This Row],[CF]]*chronic_consumption!$Z203/1000/$C$3)</f>
        <v>#DIV/0!</v>
      </c>
      <c r="AF1403" s="1098" t="e">
        <f>IF($D$1212="",0,$D1403*Table3[[#This Row],[CF]]*chronic_consumption!$AA203/1000/$C$3)</f>
        <v>#DIV/0!</v>
      </c>
      <c r="AG1403" s="1098" t="e">
        <f>IF($D$1212="",0,$D1403*Table3[[#This Row],[CF]]*chronic_consumption!$AB203/1000/$C$3)</f>
        <v>#DIV/0!</v>
      </c>
      <c r="AH1403" s="1098" t="e">
        <f>IF($D$1212="",0,$D1403*Table3[[#This Row],[CF]]*chronic_consumption!$AC203/1000/$C$3)</f>
        <v>#DIV/0!</v>
      </c>
      <c r="AI1403" s="1098" t="e">
        <f>IF($D$1212="",0,$D1403*Table3[[#This Row],[CF]]*chronic_consumption!$AD203/1000/$C$3)</f>
        <v>#DIV/0!</v>
      </c>
      <c r="AJ1403" s="1098" t="e">
        <f>IF($D$1212="",0,$D1403*Table3[[#This Row],[CF]]*chronic_consumption!$AE203/1000/$C$3)</f>
        <v>#DIV/0!</v>
      </c>
      <c r="AK1403" s="1098" t="e">
        <f>IF($D$1212="",0,$D1403*Table3[[#This Row],[CF]]*chronic_consumption!$AF203/1000/$C$3)</f>
        <v>#DIV/0!</v>
      </c>
      <c r="AL1403" s="1098" t="e">
        <f>IF($D$1212="",0,$D1403*Table3[[#This Row],[CF]]*chronic_consumption!$AG203/1000/$C$3)</f>
        <v>#DIV/0!</v>
      </c>
      <c r="AM1403" s="1098" t="e">
        <f>IF($D$1212="",0,$D1403*Table3[[#This Row],[CF]]*chronic_consumption!$AH203/1000/$C$3)</f>
        <v>#DIV/0!</v>
      </c>
      <c r="AN1403" s="1098" t="e">
        <f>IF($D$1212="",0,$D1403*Table3[[#This Row],[CF]]*chronic_consumption!$AI203/1000/$C$3)</f>
        <v>#DIV/0!</v>
      </c>
      <c r="AO1403" s="1098" t="e">
        <f>IF($D$1212="",0,$D1403*Table3[[#This Row],[CF]]*chronic_consumption!$AJ203/1000/$C$3)</f>
        <v>#DIV/0!</v>
      </c>
      <c r="AP1403" s="1098" t="e">
        <f>IF($D$1212="",0,$D1403*Table3[[#This Row],[CF]]*chronic_consumption!$AK203/1000/$C$3)</f>
        <v>#DIV/0!</v>
      </c>
      <c r="AQ1403" s="1098" t="e">
        <f>IF($D$1212="",0,$D1403*Table3[[#This Row],[CF]]*chronic_consumption!$AL203/1000/$C$3)</f>
        <v>#DIV/0!</v>
      </c>
      <c r="AR1403" s="1098" t="e">
        <f>IF($D$1212="",0,$D1403*Table3[[#This Row],[CF]]*chronic_consumption!$AM203/1000/$C$3)</f>
        <v>#DIV/0!</v>
      </c>
      <c r="AS1403" s="1098" t="e">
        <f>IF($D$1212="",0,$D1403*Table3[[#This Row],[CF]]*chronic_consumption!$AN203/1000/$C$3)</f>
        <v>#DIV/0!</v>
      </c>
      <c r="AT1403" s="1098" t="e">
        <f>IF($D$1212="",0,$D1403*Table3[[#This Row],[CF]]*chronic_consumption!$AO203/1000/$C$3)</f>
        <v>#DIV/0!</v>
      </c>
      <c r="AU1403" s="1099" t="e">
        <f t="shared" si="864"/>
        <v>#DIV/0!</v>
      </c>
      <c r="AV1403" s="1099" t="e">
        <f t="shared" si="864"/>
        <v>#DIV/0!</v>
      </c>
      <c r="AW1403" s="1099" t="e">
        <f t="shared" si="864"/>
        <v>#DIV/0!</v>
      </c>
      <c r="AX1403" s="1099" t="e">
        <f t="shared" si="864"/>
        <v>#DIV/0!</v>
      </c>
      <c r="AY1403" s="1099" t="e">
        <f t="shared" si="864"/>
        <v>#DIV/0!</v>
      </c>
      <c r="AZ1403" s="1091" t="s">
        <v>1012</v>
      </c>
      <c r="BA1403" s="1097" t="e">
        <f>IF(Table3[[#This Row],[max]]&lt;&gt;0,RANK(Table3[[#This Row],[max]],Table3[max],0),"")</f>
        <v>#DIV/0!</v>
      </c>
      <c r="BB1403" s="1096" t="e">
        <f t="shared" si="853"/>
        <v>#DIV/0!</v>
      </c>
      <c r="BC1403" s="1096" t="e">
        <f t="shared" ca="1" si="854"/>
        <v>#DIV/0!</v>
      </c>
      <c r="BD1403" s="1096" t="e">
        <f>IF(Table3[[#This Row],[max]]&gt;0,Table3[[#This Row],[Crop groups and examples of individual products within the groups to which the MRLs apply]],"")</f>
        <v>#DIV/0!</v>
      </c>
    </row>
    <row r="1404" spans="2:56" x14ac:dyDescent="0.2">
      <c r="B1404" s="23">
        <f t="shared" si="862"/>
        <v>270080</v>
      </c>
      <c r="C1404" s="23" t="str">
        <f t="shared" si="862"/>
        <v>Bamboo shoots</v>
      </c>
      <c r="D1404" s="1084">
        <f>input_values!E204</f>
        <v>0</v>
      </c>
      <c r="E1404" s="1084">
        <f>input_values!F204</f>
        <v>0</v>
      </c>
      <c r="F1404" s="1085">
        <f>input_values!W204</f>
        <v>1</v>
      </c>
      <c r="G1404" s="1085" t="str">
        <f>IF(Table3[[#This Row],[CF]]&gt;0,CONCATENATE(IF(Table3[[#This Row],[LOQ]]="*","LOQ","MRL"),IF(input_values!G204&gt;0,"×CFrisk","")),"")</f>
        <v>MRL</v>
      </c>
      <c r="H1404" s="1087">
        <f>input_values!L204</f>
        <v>0</v>
      </c>
      <c r="I1404" s="1088">
        <f>input_values!D204</f>
        <v>0</v>
      </c>
      <c r="J1404" s="1098" t="e">
        <f>IF($D$1212="",0,$D1404*Table3[[#This Row],[CF]]*chronic_consumption!$E204/1000/$C$3)</f>
        <v>#DIV/0!</v>
      </c>
      <c r="K1404" s="1098" t="e">
        <f>IF($D$1212="",0,$D1404*Table3[[#This Row],[CF]]*chronic_consumption!$F204/1000/$C$3)</f>
        <v>#DIV/0!</v>
      </c>
      <c r="L1404" s="1098" t="e">
        <f>IF($D$1212="",0,$D1404*Table3[[#This Row],[CF]]*chronic_consumption!$G204/1000/$C$3)</f>
        <v>#DIV/0!</v>
      </c>
      <c r="M1404" s="1098" t="e">
        <f>IF($D$1212="",0,$D1404*Table3[[#This Row],[CF]]*chronic_consumption!$H204/1000/$C$3)</f>
        <v>#DIV/0!</v>
      </c>
      <c r="N1404" s="1098" t="e">
        <f>IF($D$1212="",0,$D1404*Table3[[#This Row],[CF]]*chronic_consumption!$I204/1000/$C$3)</f>
        <v>#DIV/0!</v>
      </c>
      <c r="O1404" s="1098" t="e">
        <f>IF($D$1212="",0,$D1404*Table3[[#This Row],[CF]]*chronic_consumption!$J204/1000/$C$3)</f>
        <v>#DIV/0!</v>
      </c>
      <c r="P1404" s="1098" t="e">
        <f>IF($D$1212="",0,$D1404*Table3[[#This Row],[CF]]*chronic_consumption!$K204/1000/$C$3)</f>
        <v>#DIV/0!</v>
      </c>
      <c r="Q1404" s="1098" t="e">
        <f>IF($D$1212="",0,$D1404*Table3[[#This Row],[CF]]*chronic_consumption!$L204/1000/$C$3)</f>
        <v>#DIV/0!</v>
      </c>
      <c r="R1404" s="1098" t="e">
        <f>IF($D$1212="",0,$D1404*Table3[[#This Row],[CF]]*chronic_consumption!$M204/1000/$C$3)</f>
        <v>#DIV/0!</v>
      </c>
      <c r="S1404" s="1098" t="e">
        <f>IF($D$1212="",0,$D1404*Table3[[#This Row],[CF]]*chronic_consumption!$N204/1000/$C$3)</f>
        <v>#DIV/0!</v>
      </c>
      <c r="T1404" s="1098" t="e">
        <f>IF($D$1212="",0,$D1404*Table3[[#This Row],[CF]]*chronic_consumption!$O204/1000/$C$3)</f>
        <v>#DIV/0!</v>
      </c>
      <c r="U1404" s="1098" t="e">
        <f>IF($D$1212="",0,$D1404*Table3[[#This Row],[CF]]*chronic_consumption!$P204/1000/$C$3)</f>
        <v>#DIV/0!</v>
      </c>
      <c r="V1404" s="1098" t="e">
        <f>IF($D$1212="",0,$D1404*Table3[[#This Row],[CF]]*chronic_consumption!$Q204/1000/$C$3)</f>
        <v>#DIV/0!</v>
      </c>
      <c r="W1404" s="1098" t="e">
        <f>IF($D$1212="",0,$D1404*Table3[[#This Row],[CF]]*chronic_consumption!$R204/1000/$C$3)</f>
        <v>#DIV/0!</v>
      </c>
      <c r="X1404" s="1098" t="e">
        <f>IF($D$1212="",0,$D1404*Table3[[#This Row],[CF]]*chronic_consumption!$S204/1000/$C$3)</f>
        <v>#DIV/0!</v>
      </c>
      <c r="Y1404" s="1098" t="e">
        <f>IF($D$1212="",0,$D1404*Table3[[#This Row],[CF]]*chronic_consumption!$T204/1000/$C$3)</f>
        <v>#DIV/0!</v>
      </c>
      <c r="Z1404" s="1098" t="e">
        <f>IF($D$1212="",0,$D1404*Table3[[#This Row],[CF]]*chronic_consumption!$U204/1000/$C$3)</f>
        <v>#DIV/0!</v>
      </c>
      <c r="AA1404" s="1098" t="e">
        <f>IF($D$1212="",0,$D1404*Table3[[#This Row],[CF]]*chronic_consumption!$V204/1000/$C$3)</f>
        <v>#DIV/0!</v>
      </c>
      <c r="AB1404" s="1098" t="e">
        <f>IF($D$1212="",0,$D1404*Table3[[#This Row],[CF]]*chronic_consumption!$W204/1000/$C$3)</f>
        <v>#DIV/0!</v>
      </c>
      <c r="AC1404" s="1098" t="e">
        <f>IF($D$1212="",0,$D1404*Table3[[#This Row],[CF]]*chronic_consumption!$X204/1000/$C$3)</f>
        <v>#DIV/0!</v>
      </c>
      <c r="AD1404" s="1098" t="e">
        <f>IF($D$1212="",0,$D1404*Table3[[#This Row],[CF]]*chronic_consumption!$Y204/1000/$C$3)</f>
        <v>#DIV/0!</v>
      </c>
      <c r="AE1404" s="1098" t="e">
        <f>IF($D$1212="",0,$D1404*Table3[[#This Row],[CF]]*chronic_consumption!$Z204/1000/$C$3)</f>
        <v>#DIV/0!</v>
      </c>
      <c r="AF1404" s="1098" t="e">
        <f>IF($D$1212="",0,$D1404*Table3[[#This Row],[CF]]*chronic_consumption!$AA204/1000/$C$3)</f>
        <v>#DIV/0!</v>
      </c>
      <c r="AG1404" s="1098" t="e">
        <f>IF($D$1212="",0,$D1404*Table3[[#This Row],[CF]]*chronic_consumption!$AB204/1000/$C$3)</f>
        <v>#DIV/0!</v>
      </c>
      <c r="AH1404" s="1098" t="e">
        <f>IF($D$1212="",0,$D1404*Table3[[#This Row],[CF]]*chronic_consumption!$AC204/1000/$C$3)</f>
        <v>#DIV/0!</v>
      </c>
      <c r="AI1404" s="1098" t="e">
        <f>IF($D$1212="",0,$D1404*Table3[[#This Row],[CF]]*chronic_consumption!$AD204/1000/$C$3)</f>
        <v>#DIV/0!</v>
      </c>
      <c r="AJ1404" s="1098" t="e">
        <f>IF($D$1212="",0,$D1404*Table3[[#This Row],[CF]]*chronic_consumption!$AE204/1000/$C$3)</f>
        <v>#DIV/0!</v>
      </c>
      <c r="AK1404" s="1098" t="e">
        <f>IF($D$1212="",0,$D1404*Table3[[#This Row],[CF]]*chronic_consumption!$AF204/1000/$C$3)</f>
        <v>#DIV/0!</v>
      </c>
      <c r="AL1404" s="1098" t="e">
        <f>IF($D$1212="",0,$D1404*Table3[[#This Row],[CF]]*chronic_consumption!$AG204/1000/$C$3)</f>
        <v>#DIV/0!</v>
      </c>
      <c r="AM1404" s="1098" t="e">
        <f>IF($D$1212="",0,$D1404*Table3[[#This Row],[CF]]*chronic_consumption!$AH204/1000/$C$3)</f>
        <v>#DIV/0!</v>
      </c>
      <c r="AN1404" s="1098" t="e">
        <f>IF($D$1212="",0,$D1404*Table3[[#This Row],[CF]]*chronic_consumption!$AI204/1000/$C$3)</f>
        <v>#DIV/0!</v>
      </c>
      <c r="AO1404" s="1098" t="e">
        <f>IF($D$1212="",0,$D1404*Table3[[#This Row],[CF]]*chronic_consumption!$AJ204/1000/$C$3)</f>
        <v>#DIV/0!</v>
      </c>
      <c r="AP1404" s="1098" t="e">
        <f>IF($D$1212="",0,$D1404*Table3[[#This Row],[CF]]*chronic_consumption!$AK204/1000/$C$3)</f>
        <v>#DIV/0!</v>
      </c>
      <c r="AQ1404" s="1098" t="e">
        <f>IF($D$1212="",0,$D1404*Table3[[#This Row],[CF]]*chronic_consumption!$AL204/1000/$C$3)</f>
        <v>#DIV/0!</v>
      </c>
      <c r="AR1404" s="1098" t="e">
        <f>IF($D$1212="",0,$D1404*Table3[[#This Row],[CF]]*chronic_consumption!$AM204/1000/$C$3)</f>
        <v>#DIV/0!</v>
      </c>
      <c r="AS1404" s="1098" t="e">
        <f>IF($D$1212="",0,$D1404*Table3[[#This Row],[CF]]*chronic_consumption!$AN204/1000/$C$3)</f>
        <v>#DIV/0!</v>
      </c>
      <c r="AT1404" s="1098" t="e">
        <f>IF($D$1212="",0,$D1404*Table3[[#This Row],[CF]]*chronic_consumption!$AO204/1000/$C$3)</f>
        <v>#DIV/0!</v>
      </c>
      <c r="AU1404" s="1099" t="e">
        <f t="shared" si="864"/>
        <v>#DIV/0!</v>
      </c>
      <c r="AV1404" s="1099" t="e">
        <f t="shared" si="864"/>
        <v>#DIV/0!</v>
      </c>
      <c r="AW1404" s="1099" t="e">
        <f t="shared" si="864"/>
        <v>#DIV/0!</v>
      </c>
      <c r="AX1404" s="1099" t="e">
        <f t="shared" si="864"/>
        <v>#DIV/0!</v>
      </c>
      <c r="AY1404" s="1099" t="e">
        <f t="shared" si="864"/>
        <v>#DIV/0!</v>
      </c>
      <c r="AZ1404" s="1091" t="s">
        <v>1012</v>
      </c>
      <c r="BA1404" s="1097" t="e">
        <f>IF(Table3[[#This Row],[max]]&lt;&gt;0,RANK(Table3[[#This Row],[max]],Table3[max],0),"")</f>
        <v>#DIV/0!</v>
      </c>
      <c r="BB1404" s="1096" t="e">
        <f t="shared" ref="BB1404:BB1467" si="865">MAX(J1404:AY1404)</f>
        <v>#DIV/0!</v>
      </c>
      <c r="BC1404" s="1096" t="e">
        <f t="shared" ref="BC1404:BC1467" ca="1" si="866">IF(BB1404&gt;0,OFFSET($I$10,1,MATCH(BB1404,J1404:AY1404,0)),"")</f>
        <v>#DIV/0!</v>
      </c>
      <c r="BD1404" s="1096" t="e">
        <f>IF(Table3[[#This Row],[max]]&gt;0,Table3[[#This Row],[Crop groups and examples of individual products within the groups to which the MRLs apply]],"")</f>
        <v>#DIV/0!</v>
      </c>
    </row>
    <row r="1405" spans="2:56" x14ac:dyDescent="0.2">
      <c r="B1405" s="23">
        <f t="shared" si="862"/>
        <v>270090</v>
      </c>
      <c r="C1405" s="23" t="str">
        <f t="shared" si="862"/>
        <v>Palm hearts</v>
      </c>
      <c r="D1405" s="1084">
        <f>input_values!E205</f>
        <v>0</v>
      </c>
      <c r="E1405" s="1084">
        <f>input_values!F205</f>
        <v>0</v>
      </c>
      <c r="F1405" s="1085">
        <f>input_values!W205</f>
        <v>1</v>
      </c>
      <c r="G1405" s="1085" t="str">
        <f>IF(Table3[[#This Row],[CF]]&gt;0,CONCATENATE(IF(Table3[[#This Row],[LOQ]]="*","LOQ","MRL"),IF(input_values!G205&gt;0,"×CFrisk","")),"")</f>
        <v>MRL</v>
      </c>
      <c r="H1405" s="1087">
        <f>input_values!L205</f>
        <v>0</v>
      </c>
      <c r="I1405" s="1088">
        <f>input_values!D205</f>
        <v>0</v>
      </c>
      <c r="J1405" s="1098" t="e">
        <f>IF($D$1212="",0,$D1405*Table3[[#This Row],[CF]]*chronic_consumption!$E205/1000/$C$3)</f>
        <v>#DIV/0!</v>
      </c>
      <c r="K1405" s="1098" t="e">
        <f>IF($D$1212="",0,$D1405*Table3[[#This Row],[CF]]*chronic_consumption!$F205/1000/$C$3)</f>
        <v>#DIV/0!</v>
      </c>
      <c r="L1405" s="1098" t="e">
        <f>IF($D$1212="",0,$D1405*Table3[[#This Row],[CF]]*chronic_consumption!$G205/1000/$C$3)</f>
        <v>#DIV/0!</v>
      </c>
      <c r="M1405" s="1098" t="e">
        <f>IF($D$1212="",0,$D1405*Table3[[#This Row],[CF]]*chronic_consumption!$H205/1000/$C$3)</f>
        <v>#DIV/0!</v>
      </c>
      <c r="N1405" s="1098" t="e">
        <f>IF($D$1212="",0,$D1405*Table3[[#This Row],[CF]]*chronic_consumption!$I205/1000/$C$3)</f>
        <v>#DIV/0!</v>
      </c>
      <c r="O1405" s="1098" t="e">
        <f>IF($D$1212="",0,$D1405*Table3[[#This Row],[CF]]*chronic_consumption!$J205/1000/$C$3)</f>
        <v>#DIV/0!</v>
      </c>
      <c r="P1405" s="1098" t="e">
        <f>IF($D$1212="",0,$D1405*Table3[[#This Row],[CF]]*chronic_consumption!$K205/1000/$C$3)</f>
        <v>#DIV/0!</v>
      </c>
      <c r="Q1405" s="1098" t="e">
        <f>IF($D$1212="",0,$D1405*Table3[[#This Row],[CF]]*chronic_consumption!$L205/1000/$C$3)</f>
        <v>#DIV/0!</v>
      </c>
      <c r="R1405" s="1098" t="e">
        <f>IF($D$1212="",0,$D1405*Table3[[#This Row],[CF]]*chronic_consumption!$M205/1000/$C$3)</f>
        <v>#DIV/0!</v>
      </c>
      <c r="S1405" s="1098" t="e">
        <f>IF($D$1212="",0,$D1405*Table3[[#This Row],[CF]]*chronic_consumption!$N205/1000/$C$3)</f>
        <v>#DIV/0!</v>
      </c>
      <c r="T1405" s="1098" t="e">
        <f>IF($D$1212="",0,$D1405*Table3[[#This Row],[CF]]*chronic_consumption!$O205/1000/$C$3)</f>
        <v>#DIV/0!</v>
      </c>
      <c r="U1405" s="1098" t="e">
        <f>IF($D$1212="",0,$D1405*Table3[[#This Row],[CF]]*chronic_consumption!$P205/1000/$C$3)</f>
        <v>#DIV/0!</v>
      </c>
      <c r="V1405" s="1098" t="e">
        <f>IF($D$1212="",0,$D1405*Table3[[#This Row],[CF]]*chronic_consumption!$Q205/1000/$C$3)</f>
        <v>#DIV/0!</v>
      </c>
      <c r="W1405" s="1098" t="e">
        <f>IF($D$1212="",0,$D1405*Table3[[#This Row],[CF]]*chronic_consumption!$R205/1000/$C$3)</f>
        <v>#DIV/0!</v>
      </c>
      <c r="X1405" s="1098" t="e">
        <f>IF($D$1212="",0,$D1405*Table3[[#This Row],[CF]]*chronic_consumption!$S205/1000/$C$3)</f>
        <v>#DIV/0!</v>
      </c>
      <c r="Y1405" s="1098" t="e">
        <f>IF($D$1212="",0,$D1405*Table3[[#This Row],[CF]]*chronic_consumption!$T205/1000/$C$3)</f>
        <v>#DIV/0!</v>
      </c>
      <c r="Z1405" s="1098" t="e">
        <f>IF($D$1212="",0,$D1405*Table3[[#This Row],[CF]]*chronic_consumption!$U205/1000/$C$3)</f>
        <v>#DIV/0!</v>
      </c>
      <c r="AA1405" s="1098" t="e">
        <f>IF($D$1212="",0,$D1405*Table3[[#This Row],[CF]]*chronic_consumption!$V205/1000/$C$3)</f>
        <v>#DIV/0!</v>
      </c>
      <c r="AB1405" s="1098" t="e">
        <f>IF($D$1212="",0,$D1405*Table3[[#This Row],[CF]]*chronic_consumption!$W205/1000/$C$3)</f>
        <v>#DIV/0!</v>
      </c>
      <c r="AC1405" s="1098" t="e">
        <f>IF($D$1212="",0,$D1405*Table3[[#This Row],[CF]]*chronic_consumption!$X205/1000/$C$3)</f>
        <v>#DIV/0!</v>
      </c>
      <c r="AD1405" s="1098" t="e">
        <f>IF($D$1212="",0,$D1405*Table3[[#This Row],[CF]]*chronic_consumption!$Y205/1000/$C$3)</f>
        <v>#DIV/0!</v>
      </c>
      <c r="AE1405" s="1098" t="e">
        <f>IF($D$1212="",0,$D1405*Table3[[#This Row],[CF]]*chronic_consumption!$Z205/1000/$C$3)</f>
        <v>#DIV/0!</v>
      </c>
      <c r="AF1405" s="1098" t="e">
        <f>IF($D$1212="",0,$D1405*Table3[[#This Row],[CF]]*chronic_consumption!$AA205/1000/$C$3)</f>
        <v>#DIV/0!</v>
      </c>
      <c r="AG1405" s="1098" t="e">
        <f>IF($D$1212="",0,$D1405*Table3[[#This Row],[CF]]*chronic_consumption!$AB205/1000/$C$3)</f>
        <v>#DIV/0!</v>
      </c>
      <c r="AH1405" s="1098" t="e">
        <f>IF($D$1212="",0,$D1405*Table3[[#This Row],[CF]]*chronic_consumption!$AC205/1000/$C$3)</f>
        <v>#DIV/0!</v>
      </c>
      <c r="AI1405" s="1098" t="e">
        <f>IF($D$1212="",0,$D1405*Table3[[#This Row],[CF]]*chronic_consumption!$AD205/1000/$C$3)</f>
        <v>#DIV/0!</v>
      </c>
      <c r="AJ1405" s="1098" t="e">
        <f>IF($D$1212="",0,$D1405*Table3[[#This Row],[CF]]*chronic_consumption!$AE205/1000/$C$3)</f>
        <v>#DIV/0!</v>
      </c>
      <c r="AK1405" s="1098" t="e">
        <f>IF($D$1212="",0,$D1405*Table3[[#This Row],[CF]]*chronic_consumption!$AF205/1000/$C$3)</f>
        <v>#DIV/0!</v>
      </c>
      <c r="AL1405" s="1098" t="e">
        <f>IF($D$1212="",0,$D1405*Table3[[#This Row],[CF]]*chronic_consumption!$AG205/1000/$C$3)</f>
        <v>#DIV/0!</v>
      </c>
      <c r="AM1405" s="1098" t="e">
        <f>IF($D$1212="",0,$D1405*Table3[[#This Row],[CF]]*chronic_consumption!$AH205/1000/$C$3)</f>
        <v>#DIV/0!</v>
      </c>
      <c r="AN1405" s="1098" t="e">
        <f>IF($D$1212="",0,$D1405*Table3[[#This Row],[CF]]*chronic_consumption!$AI205/1000/$C$3)</f>
        <v>#DIV/0!</v>
      </c>
      <c r="AO1405" s="1098" t="e">
        <f>IF($D$1212="",0,$D1405*Table3[[#This Row],[CF]]*chronic_consumption!$AJ205/1000/$C$3)</f>
        <v>#DIV/0!</v>
      </c>
      <c r="AP1405" s="1098" t="e">
        <f>IF($D$1212="",0,$D1405*Table3[[#This Row],[CF]]*chronic_consumption!$AK205/1000/$C$3)</f>
        <v>#DIV/0!</v>
      </c>
      <c r="AQ1405" s="1098" t="e">
        <f>IF($D$1212="",0,$D1405*Table3[[#This Row],[CF]]*chronic_consumption!$AL205/1000/$C$3)</f>
        <v>#DIV/0!</v>
      </c>
      <c r="AR1405" s="1098" t="e">
        <f>IF($D$1212="",0,$D1405*Table3[[#This Row],[CF]]*chronic_consumption!$AM205/1000/$C$3)</f>
        <v>#DIV/0!</v>
      </c>
      <c r="AS1405" s="1098" t="e">
        <f>IF($D$1212="",0,$D1405*Table3[[#This Row],[CF]]*chronic_consumption!$AN205/1000/$C$3)</f>
        <v>#DIV/0!</v>
      </c>
      <c r="AT1405" s="1098" t="e">
        <f>IF($D$1212="",0,$D1405*Table3[[#This Row],[CF]]*chronic_consumption!$AO205/1000/$C$3)</f>
        <v>#DIV/0!</v>
      </c>
      <c r="AU1405" s="1099" t="e">
        <f t="shared" si="864"/>
        <v>#DIV/0!</v>
      </c>
      <c r="AV1405" s="1099" t="e">
        <f t="shared" si="864"/>
        <v>#DIV/0!</v>
      </c>
      <c r="AW1405" s="1099" t="e">
        <f t="shared" si="864"/>
        <v>#DIV/0!</v>
      </c>
      <c r="AX1405" s="1099" t="e">
        <f t="shared" si="864"/>
        <v>#DIV/0!</v>
      </c>
      <c r="AY1405" s="1099" t="e">
        <f t="shared" si="864"/>
        <v>#DIV/0!</v>
      </c>
      <c r="AZ1405" s="1091" t="s">
        <v>1012</v>
      </c>
      <c r="BA1405" s="1097" t="e">
        <f>IF(Table3[[#This Row],[max]]&lt;&gt;0,RANK(Table3[[#This Row],[max]],Table3[max],0),"")</f>
        <v>#DIV/0!</v>
      </c>
      <c r="BB1405" s="1096" t="e">
        <f t="shared" si="865"/>
        <v>#DIV/0!</v>
      </c>
      <c r="BC1405" s="1096" t="e">
        <f t="shared" ca="1" si="866"/>
        <v>#DIV/0!</v>
      </c>
      <c r="BD1405" s="1096" t="e">
        <f>IF(Table3[[#This Row],[max]]&gt;0,Table3[[#This Row],[Crop groups and examples of individual products within the groups to which the MRLs apply]],"")</f>
        <v>#DIV/0!</v>
      </c>
    </row>
    <row r="1406" spans="2:56" x14ac:dyDescent="0.2">
      <c r="B1406" s="23">
        <f t="shared" si="862"/>
        <v>270990</v>
      </c>
      <c r="C1406" s="23" t="str">
        <f t="shared" si="862"/>
        <v>Other stem vegetables</v>
      </c>
      <c r="D1406" s="1084">
        <f>input_values!E206</f>
        <v>0</v>
      </c>
      <c r="E1406" s="1084">
        <f>input_values!F206</f>
        <v>0</v>
      </c>
      <c r="F1406" s="1085">
        <f>input_values!W206</f>
        <v>1</v>
      </c>
      <c r="G1406" s="1085" t="str">
        <f>IF(Table3[[#This Row],[CF]]&gt;0,CONCATENATE(IF(Table3[[#This Row],[LOQ]]="*","LOQ","MRL"),IF(input_values!G206&gt;0,"×CFrisk","")),"")</f>
        <v>MRL</v>
      </c>
      <c r="H1406" s="1087">
        <f>input_values!L206</f>
        <v>0</v>
      </c>
      <c r="I1406" s="1088">
        <f>input_values!D206</f>
        <v>0</v>
      </c>
      <c r="J1406" s="1098" t="e">
        <f>IF($D$1212="",0,$D1406*Table3[[#This Row],[CF]]*chronic_consumption!$E206/1000/$C$3)</f>
        <v>#DIV/0!</v>
      </c>
      <c r="K1406" s="1098" t="e">
        <f>IF($D$1212="",0,$D1406*Table3[[#This Row],[CF]]*chronic_consumption!$F206/1000/$C$3)</f>
        <v>#DIV/0!</v>
      </c>
      <c r="L1406" s="1098" t="e">
        <f>IF($D$1212="",0,$D1406*Table3[[#This Row],[CF]]*chronic_consumption!$G206/1000/$C$3)</f>
        <v>#DIV/0!</v>
      </c>
      <c r="M1406" s="1098" t="e">
        <f>IF($D$1212="",0,$D1406*Table3[[#This Row],[CF]]*chronic_consumption!$H206/1000/$C$3)</f>
        <v>#DIV/0!</v>
      </c>
      <c r="N1406" s="1098" t="e">
        <f>IF($D$1212="",0,$D1406*Table3[[#This Row],[CF]]*chronic_consumption!$I206/1000/$C$3)</f>
        <v>#DIV/0!</v>
      </c>
      <c r="O1406" s="1098" t="e">
        <f>IF($D$1212="",0,$D1406*Table3[[#This Row],[CF]]*chronic_consumption!$J206/1000/$C$3)</f>
        <v>#DIV/0!</v>
      </c>
      <c r="P1406" s="1098" t="e">
        <f>IF($D$1212="",0,$D1406*Table3[[#This Row],[CF]]*chronic_consumption!$K206/1000/$C$3)</f>
        <v>#DIV/0!</v>
      </c>
      <c r="Q1406" s="1098" t="e">
        <f>IF($D$1212="",0,$D1406*Table3[[#This Row],[CF]]*chronic_consumption!$L206/1000/$C$3)</f>
        <v>#DIV/0!</v>
      </c>
      <c r="R1406" s="1098" t="e">
        <f>IF($D$1212="",0,$D1406*Table3[[#This Row],[CF]]*chronic_consumption!$M206/1000/$C$3)</f>
        <v>#DIV/0!</v>
      </c>
      <c r="S1406" s="1098" t="e">
        <f>IF($D$1212="",0,$D1406*Table3[[#This Row],[CF]]*chronic_consumption!$N206/1000/$C$3)</f>
        <v>#DIV/0!</v>
      </c>
      <c r="T1406" s="1098" t="e">
        <f>IF($D$1212="",0,$D1406*Table3[[#This Row],[CF]]*chronic_consumption!$O206/1000/$C$3)</f>
        <v>#DIV/0!</v>
      </c>
      <c r="U1406" s="1098" t="e">
        <f>IF($D$1212="",0,$D1406*Table3[[#This Row],[CF]]*chronic_consumption!$P206/1000/$C$3)</f>
        <v>#DIV/0!</v>
      </c>
      <c r="V1406" s="1098" t="e">
        <f>IF($D$1212="",0,$D1406*Table3[[#This Row],[CF]]*chronic_consumption!$Q206/1000/$C$3)</f>
        <v>#DIV/0!</v>
      </c>
      <c r="W1406" s="1098" t="e">
        <f>IF($D$1212="",0,$D1406*Table3[[#This Row],[CF]]*chronic_consumption!$R206/1000/$C$3)</f>
        <v>#DIV/0!</v>
      </c>
      <c r="X1406" s="1098" t="e">
        <f>IF($D$1212="",0,$D1406*Table3[[#This Row],[CF]]*chronic_consumption!$S206/1000/$C$3)</f>
        <v>#DIV/0!</v>
      </c>
      <c r="Y1406" s="1098" t="e">
        <f>IF($D$1212="",0,$D1406*Table3[[#This Row],[CF]]*chronic_consumption!$T206/1000/$C$3)</f>
        <v>#DIV/0!</v>
      </c>
      <c r="Z1406" s="1098" t="e">
        <f>IF($D$1212="",0,$D1406*Table3[[#This Row],[CF]]*chronic_consumption!$U206/1000/$C$3)</f>
        <v>#DIV/0!</v>
      </c>
      <c r="AA1406" s="1098" t="e">
        <f>IF($D$1212="",0,$D1406*Table3[[#This Row],[CF]]*chronic_consumption!$V206/1000/$C$3)</f>
        <v>#DIV/0!</v>
      </c>
      <c r="AB1406" s="1098" t="e">
        <f>IF($D$1212="",0,$D1406*Table3[[#This Row],[CF]]*chronic_consumption!$W206/1000/$C$3)</f>
        <v>#DIV/0!</v>
      </c>
      <c r="AC1406" s="1098" t="e">
        <f>IF($D$1212="",0,$D1406*Table3[[#This Row],[CF]]*chronic_consumption!$X206/1000/$C$3)</f>
        <v>#DIV/0!</v>
      </c>
      <c r="AD1406" s="1098" t="e">
        <f>IF($D$1212="",0,$D1406*Table3[[#This Row],[CF]]*chronic_consumption!$Y206/1000/$C$3)</f>
        <v>#DIV/0!</v>
      </c>
      <c r="AE1406" s="1098" t="e">
        <f>IF($D$1212="",0,$D1406*Table3[[#This Row],[CF]]*chronic_consumption!$Z206/1000/$C$3)</f>
        <v>#DIV/0!</v>
      </c>
      <c r="AF1406" s="1098" t="e">
        <f>IF($D$1212="",0,$D1406*Table3[[#This Row],[CF]]*chronic_consumption!$AA206/1000/$C$3)</f>
        <v>#DIV/0!</v>
      </c>
      <c r="AG1406" s="1098" t="e">
        <f>IF($D$1212="",0,$D1406*Table3[[#This Row],[CF]]*chronic_consumption!$AB206/1000/$C$3)</f>
        <v>#DIV/0!</v>
      </c>
      <c r="AH1406" s="1098" t="e">
        <f>IF($D$1212="",0,$D1406*Table3[[#This Row],[CF]]*chronic_consumption!$AC206/1000/$C$3)</f>
        <v>#DIV/0!</v>
      </c>
      <c r="AI1406" s="1098" t="e">
        <f>IF($D$1212="",0,$D1406*Table3[[#This Row],[CF]]*chronic_consumption!$AD206/1000/$C$3)</f>
        <v>#DIV/0!</v>
      </c>
      <c r="AJ1406" s="1098" t="e">
        <f>IF($D$1212="",0,$D1406*Table3[[#This Row],[CF]]*chronic_consumption!$AE206/1000/$C$3)</f>
        <v>#DIV/0!</v>
      </c>
      <c r="AK1406" s="1098" t="e">
        <f>IF($D$1212="",0,$D1406*Table3[[#This Row],[CF]]*chronic_consumption!$AF206/1000/$C$3)</f>
        <v>#DIV/0!</v>
      </c>
      <c r="AL1406" s="1098" t="e">
        <f>IF($D$1212="",0,$D1406*Table3[[#This Row],[CF]]*chronic_consumption!$AG206/1000/$C$3)</f>
        <v>#DIV/0!</v>
      </c>
      <c r="AM1406" s="1098" t="e">
        <f>IF($D$1212="",0,$D1406*Table3[[#This Row],[CF]]*chronic_consumption!$AH206/1000/$C$3)</f>
        <v>#DIV/0!</v>
      </c>
      <c r="AN1406" s="1098" t="e">
        <f>IF($D$1212="",0,$D1406*Table3[[#This Row],[CF]]*chronic_consumption!$AI206/1000/$C$3)</f>
        <v>#DIV/0!</v>
      </c>
      <c r="AO1406" s="1098" t="e">
        <f>IF($D$1212="",0,$D1406*Table3[[#This Row],[CF]]*chronic_consumption!$AJ206/1000/$C$3)</f>
        <v>#DIV/0!</v>
      </c>
      <c r="AP1406" s="1098" t="e">
        <f>IF($D$1212="",0,$D1406*Table3[[#This Row],[CF]]*chronic_consumption!$AK206/1000/$C$3)</f>
        <v>#DIV/0!</v>
      </c>
      <c r="AQ1406" s="1098" t="e">
        <f>IF($D$1212="",0,$D1406*Table3[[#This Row],[CF]]*chronic_consumption!$AL206/1000/$C$3)</f>
        <v>#DIV/0!</v>
      </c>
      <c r="AR1406" s="1098" t="e">
        <f>IF($D$1212="",0,$D1406*Table3[[#This Row],[CF]]*chronic_consumption!$AM206/1000/$C$3)</f>
        <v>#DIV/0!</v>
      </c>
      <c r="AS1406" s="1098" t="e">
        <f>IF($D$1212="",0,$D1406*Table3[[#This Row],[CF]]*chronic_consumption!$AN206/1000/$C$3)</f>
        <v>#DIV/0!</v>
      </c>
      <c r="AT1406" s="1098" t="e">
        <f>IF($D$1212="",0,$D1406*Table3[[#This Row],[CF]]*chronic_consumption!$AO206/1000/$C$3)</f>
        <v>#DIV/0!</v>
      </c>
      <c r="AU1406" s="1099" t="e">
        <f t="shared" si="864"/>
        <v>#DIV/0!</v>
      </c>
      <c r="AV1406" s="1099" t="e">
        <f t="shared" si="864"/>
        <v>#DIV/0!</v>
      </c>
      <c r="AW1406" s="1099" t="e">
        <f t="shared" si="864"/>
        <v>#DIV/0!</v>
      </c>
      <c r="AX1406" s="1099" t="e">
        <f t="shared" si="864"/>
        <v>#DIV/0!</v>
      </c>
      <c r="AY1406" s="1099" t="e">
        <f t="shared" si="864"/>
        <v>#DIV/0!</v>
      </c>
      <c r="AZ1406" s="1091" t="s">
        <v>1012</v>
      </c>
      <c r="BA1406" s="1097" t="e">
        <f>IF(Table3[[#This Row],[max]]&lt;&gt;0,RANK(Table3[[#This Row],[max]],Table3[max],0),"")</f>
        <v>#DIV/0!</v>
      </c>
      <c r="BB1406" s="1096" t="e">
        <f t="shared" si="865"/>
        <v>#DIV/0!</v>
      </c>
      <c r="BC1406" s="1096" t="e">
        <f t="shared" ca="1" si="866"/>
        <v>#DIV/0!</v>
      </c>
      <c r="BD1406" s="1096" t="e">
        <f>IF(Table3[[#This Row],[max]]&gt;0,Table3[[#This Row],[Crop groups and examples of individual products within the groups to which the MRLs apply]],"")</f>
        <v>#DIV/0!</v>
      </c>
    </row>
    <row r="1407" spans="2:56" x14ac:dyDescent="0.2">
      <c r="B1407" s="131">
        <f t="shared" si="862"/>
        <v>280000</v>
      </c>
      <c r="C1407" s="131" t="str">
        <f t="shared" si="862"/>
        <v>Fungi</v>
      </c>
      <c r="D1407" s="1084">
        <f>input_values!E207</f>
        <v>0</v>
      </c>
      <c r="E1407" s="1084">
        <f>input_values!F207</f>
        <v>0</v>
      </c>
      <c r="F1407" s="1085">
        <f>input_values!W207</f>
        <v>0</v>
      </c>
      <c r="G1407" s="1085" t="str">
        <f>IF(Table3[[#This Row],[CF]]&gt;0,CONCATENATE(IF(Table3[[#This Row],[LOQ]]="*","LOQ","MRL"),IF(input_values!G207&gt;0,"×CFrisk","")),"")</f>
        <v/>
      </c>
      <c r="H1407" s="1087">
        <f>input_values!L207</f>
        <v>0</v>
      </c>
      <c r="I1407" s="1088">
        <f>input_values!D207</f>
        <v>0</v>
      </c>
      <c r="J1407" s="1095" t="e">
        <f>IF($D$1212="",0,$D1407*Table3[[#This Row],[CF]]*chronic_consumption!$E207/1000/$C$3)</f>
        <v>#DIV/0!</v>
      </c>
      <c r="K1407" s="1095" t="e">
        <f>IF($D$1212="",0,$D1407*Table3[[#This Row],[CF]]*chronic_consumption!$F207/1000/$C$3)</f>
        <v>#DIV/0!</v>
      </c>
      <c r="L1407" s="1095" t="e">
        <f>IF($D$1212="",0,$D1407*Table3[[#This Row],[CF]]*chronic_consumption!$G207/1000/$C$3)</f>
        <v>#DIV/0!</v>
      </c>
      <c r="M1407" s="1095" t="e">
        <f>IF($D$1212="",0,$D1407*Table3[[#This Row],[CF]]*chronic_consumption!$H207/1000/$C$3)</f>
        <v>#DIV/0!</v>
      </c>
      <c r="N1407" s="1095" t="e">
        <f>IF($D$1212="",0,$D1407*Table3[[#This Row],[CF]]*chronic_consumption!$I207/1000/$C$3)</f>
        <v>#DIV/0!</v>
      </c>
      <c r="O1407" s="1095" t="e">
        <f>IF($D$1212="",0,$D1407*Table3[[#This Row],[CF]]*chronic_consumption!$J207/1000/$C$3)</f>
        <v>#DIV/0!</v>
      </c>
      <c r="P1407" s="1095" t="e">
        <f>IF($D$1212="",0,$D1407*Table3[[#This Row],[CF]]*chronic_consumption!$K207/1000/$C$3)</f>
        <v>#DIV/0!</v>
      </c>
      <c r="Q1407" s="1095" t="e">
        <f>IF($D$1212="",0,$D1407*Table3[[#This Row],[CF]]*chronic_consumption!$L207/1000/$C$3)</f>
        <v>#DIV/0!</v>
      </c>
      <c r="R1407" s="1095" t="e">
        <f>IF($D$1212="",0,$D1407*Table3[[#This Row],[CF]]*chronic_consumption!$M207/1000/$C$3)</f>
        <v>#DIV/0!</v>
      </c>
      <c r="S1407" s="1095" t="e">
        <f>IF($D$1212="",0,$D1407*Table3[[#This Row],[CF]]*chronic_consumption!$N207/1000/$C$3)</f>
        <v>#DIV/0!</v>
      </c>
      <c r="T1407" s="1095" t="e">
        <f>IF($D$1212="",0,$D1407*Table3[[#This Row],[CF]]*chronic_consumption!$O207/1000/$C$3)</f>
        <v>#DIV/0!</v>
      </c>
      <c r="U1407" s="1095" t="e">
        <f>IF($D$1212="",0,$D1407*Table3[[#This Row],[CF]]*chronic_consumption!$P207/1000/$C$3)</f>
        <v>#DIV/0!</v>
      </c>
      <c r="V1407" s="1095" t="e">
        <f>IF($D$1212="",0,$D1407*Table3[[#This Row],[CF]]*chronic_consumption!$Q207/1000/$C$3)</f>
        <v>#DIV/0!</v>
      </c>
      <c r="W1407" s="1095" t="e">
        <f>IF($D$1212="",0,$D1407*Table3[[#This Row],[CF]]*chronic_consumption!$R207/1000/$C$3)</f>
        <v>#DIV/0!</v>
      </c>
      <c r="X1407" s="1095" t="e">
        <f>IF($D$1212="",0,$D1407*Table3[[#This Row],[CF]]*chronic_consumption!$S207/1000/$C$3)</f>
        <v>#DIV/0!</v>
      </c>
      <c r="Y1407" s="1095" t="e">
        <f>IF($D$1212="",0,$D1407*Table3[[#This Row],[CF]]*chronic_consumption!$T207/1000/$C$3)</f>
        <v>#DIV/0!</v>
      </c>
      <c r="Z1407" s="1095" t="e">
        <f>IF($D$1212="",0,$D1407*Table3[[#This Row],[CF]]*chronic_consumption!$U207/1000/$C$3)</f>
        <v>#DIV/0!</v>
      </c>
      <c r="AA1407" s="1095" t="e">
        <f>IF($D$1212="",0,$D1407*Table3[[#This Row],[CF]]*chronic_consumption!$V207/1000/$C$3)</f>
        <v>#DIV/0!</v>
      </c>
      <c r="AB1407" s="1095" t="e">
        <f>IF($D$1212="",0,$D1407*Table3[[#This Row],[CF]]*chronic_consumption!$W207/1000/$C$3)</f>
        <v>#DIV/0!</v>
      </c>
      <c r="AC1407" s="1095" t="e">
        <f>IF($D$1212="",0,$D1407*Table3[[#This Row],[CF]]*chronic_consumption!$X207/1000/$C$3)</f>
        <v>#DIV/0!</v>
      </c>
      <c r="AD1407" s="1095" t="e">
        <f>IF($D$1212="",0,$D1407*Table3[[#This Row],[CF]]*chronic_consumption!$Y207/1000/$C$3)</f>
        <v>#DIV/0!</v>
      </c>
      <c r="AE1407" s="1095" t="e">
        <f>IF($D$1212="",0,$D1407*Table3[[#This Row],[CF]]*chronic_consumption!$Z207/1000/$C$3)</f>
        <v>#DIV/0!</v>
      </c>
      <c r="AF1407" s="1095" t="e">
        <f>IF($D$1212="",0,$D1407*Table3[[#This Row],[CF]]*chronic_consumption!$AA207/1000/$C$3)</f>
        <v>#DIV/0!</v>
      </c>
      <c r="AG1407" s="1095" t="e">
        <f>IF($D$1212="",0,$D1407*Table3[[#This Row],[CF]]*chronic_consumption!$AB207/1000/$C$3)</f>
        <v>#DIV/0!</v>
      </c>
      <c r="AH1407" s="1095" t="e">
        <f>IF($D$1212="",0,$D1407*Table3[[#This Row],[CF]]*chronic_consumption!$AC207/1000/$C$3)</f>
        <v>#DIV/0!</v>
      </c>
      <c r="AI1407" s="1095" t="e">
        <f>IF($D$1212="",0,$D1407*Table3[[#This Row],[CF]]*chronic_consumption!$AD207/1000/$C$3)</f>
        <v>#DIV/0!</v>
      </c>
      <c r="AJ1407" s="1095" t="e">
        <f>IF($D$1212="",0,$D1407*Table3[[#This Row],[CF]]*chronic_consumption!$AE207/1000/$C$3)</f>
        <v>#DIV/0!</v>
      </c>
      <c r="AK1407" s="1095" t="e">
        <f>IF($D$1212="",0,$D1407*Table3[[#This Row],[CF]]*chronic_consumption!$AF207/1000/$C$3)</f>
        <v>#DIV/0!</v>
      </c>
      <c r="AL1407" s="1095" t="e">
        <f>IF($D$1212="",0,$D1407*Table3[[#This Row],[CF]]*chronic_consumption!$AG207/1000/$C$3)</f>
        <v>#DIV/0!</v>
      </c>
      <c r="AM1407" s="1095" t="e">
        <f>IF($D$1212="",0,$D1407*Table3[[#This Row],[CF]]*chronic_consumption!$AH207/1000/$C$3)</f>
        <v>#DIV/0!</v>
      </c>
      <c r="AN1407" s="1095" t="e">
        <f>IF($D$1212="",0,$D1407*Table3[[#This Row],[CF]]*chronic_consumption!$AI207/1000/$C$3)</f>
        <v>#DIV/0!</v>
      </c>
      <c r="AO1407" s="1095" t="e">
        <f>IF($D$1212="",0,$D1407*Table3[[#This Row],[CF]]*chronic_consumption!$AJ207/1000/$C$3)</f>
        <v>#DIV/0!</v>
      </c>
      <c r="AP1407" s="1095" t="e">
        <f>IF($D$1212="",0,$D1407*Table3[[#This Row],[CF]]*chronic_consumption!$AK207/1000/$C$3)</f>
        <v>#DIV/0!</v>
      </c>
      <c r="AQ1407" s="1095" t="e">
        <f>IF($D$1212="",0,$D1407*Table3[[#This Row],[CF]]*chronic_consumption!$AL207/1000/$C$3)</f>
        <v>#DIV/0!</v>
      </c>
      <c r="AR1407" s="1095" t="e">
        <f>IF($D$1212="",0,$D1407*Table3[[#This Row],[CF]]*chronic_consumption!$AM207/1000/$C$3)</f>
        <v>#DIV/0!</v>
      </c>
      <c r="AS1407" s="1095" t="e">
        <f>IF($D$1212="",0,$D1407*Table3[[#This Row],[CF]]*chronic_consumption!$AN207/1000/$C$3)</f>
        <v>#DIV/0!</v>
      </c>
      <c r="AT1407" s="1095" t="e">
        <f>IF($D$1212="",0,$D1407*Table3[[#This Row],[CF]]*chronic_consumption!$AO207/1000/$C$3)</f>
        <v>#DIV/0!</v>
      </c>
      <c r="AU1407" s="1096" t="e">
        <f t="shared" si="864"/>
        <v>#DIV/0!</v>
      </c>
      <c r="AV1407" s="1096" t="e">
        <f t="shared" si="864"/>
        <v>#DIV/0!</v>
      </c>
      <c r="AW1407" s="1096" t="e">
        <f t="shared" si="864"/>
        <v>#DIV/0!</v>
      </c>
      <c r="AX1407" s="1096" t="e">
        <f t="shared" si="864"/>
        <v>#DIV/0!</v>
      </c>
      <c r="AY1407" s="1096" t="e">
        <f t="shared" si="864"/>
        <v>#DIV/0!</v>
      </c>
      <c r="AZ1407" s="1091" t="s">
        <v>1012</v>
      </c>
      <c r="BA1407" s="1097" t="e">
        <f>IF(Table3[[#This Row],[max]]&lt;&gt;0,RANK(Table3[[#This Row],[max]],Table3[max],0),"")</f>
        <v>#DIV/0!</v>
      </c>
      <c r="BB1407" s="1096" t="e">
        <f t="shared" si="865"/>
        <v>#DIV/0!</v>
      </c>
      <c r="BC1407" s="1096" t="e">
        <f t="shared" ca="1" si="866"/>
        <v>#DIV/0!</v>
      </c>
      <c r="BD1407" s="1096" t="e">
        <f>IF(Table3[[#This Row],[max]]&gt;0,Table3[[#This Row],[Crop groups and examples of individual products within the groups to which the MRLs apply]],"")</f>
        <v>#DIV/0!</v>
      </c>
    </row>
    <row r="1408" spans="2:56" x14ac:dyDescent="0.2">
      <c r="B1408" s="23">
        <f t="shared" si="862"/>
        <v>280010</v>
      </c>
      <c r="C1408" s="23" t="str">
        <f t="shared" si="862"/>
        <v>Cultivated fungi</v>
      </c>
      <c r="D1408" s="1084">
        <f>input_values!E208</f>
        <v>0</v>
      </c>
      <c r="E1408" s="1084">
        <f>input_values!F208</f>
        <v>0</v>
      </c>
      <c r="F1408" s="1085">
        <f>input_values!W208</f>
        <v>1</v>
      </c>
      <c r="G1408" s="1085" t="str">
        <f>IF(Table3[[#This Row],[CF]]&gt;0,CONCATENATE(IF(Table3[[#This Row],[LOQ]]="*","LOQ","MRL"),IF(input_values!G208&gt;0,"×CFrisk","")),"")</f>
        <v>MRL</v>
      </c>
      <c r="H1408" s="1087">
        <f>input_values!L208</f>
        <v>0</v>
      </c>
      <c r="I1408" s="1088">
        <f>input_values!D208</f>
        <v>0</v>
      </c>
      <c r="J1408" s="1098" t="e">
        <f>IF($D$1212="",0,$D1408*Table3[[#This Row],[CF]]*chronic_consumption!$E208/1000/$C$3)</f>
        <v>#DIV/0!</v>
      </c>
      <c r="K1408" s="1098" t="e">
        <f>IF($D$1212="",0,$D1408*Table3[[#This Row],[CF]]*chronic_consumption!$F208/1000/$C$3)</f>
        <v>#DIV/0!</v>
      </c>
      <c r="L1408" s="1098" t="e">
        <f>IF($D$1212="",0,$D1408*Table3[[#This Row],[CF]]*chronic_consumption!$G208/1000/$C$3)</f>
        <v>#DIV/0!</v>
      </c>
      <c r="M1408" s="1098" t="e">
        <f>IF($D$1212="",0,$D1408*Table3[[#This Row],[CF]]*chronic_consumption!$H208/1000/$C$3)</f>
        <v>#DIV/0!</v>
      </c>
      <c r="N1408" s="1098" t="e">
        <f>IF($D$1212="",0,$D1408*Table3[[#This Row],[CF]]*chronic_consumption!$I208/1000/$C$3)</f>
        <v>#DIV/0!</v>
      </c>
      <c r="O1408" s="1098" t="e">
        <f>IF($D$1212="",0,$D1408*Table3[[#This Row],[CF]]*chronic_consumption!$J208/1000/$C$3)</f>
        <v>#DIV/0!</v>
      </c>
      <c r="P1408" s="1098" t="e">
        <f>IF($D$1212="",0,$D1408*Table3[[#This Row],[CF]]*chronic_consumption!$K208/1000/$C$3)</f>
        <v>#DIV/0!</v>
      </c>
      <c r="Q1408" s="1098" t="e">
        <f>IF($D$1212="",0,$D1408*Table3[[#This Row],[CF]]*chronic_consumption!$L208/1000/$C$3)</f>
        <v>#DIV/0!</v>
      </c>
      <c r="R1408" s="1098" t="e">
        <f>IF($D$1212="",0,$D1408*Table3[[#This Row],[CF]]*chronic_consumption!$M208/1000/$C$3)</f>
        <v>#DIV/0!</v>
      </c>
      <c r="S1408" s="1098" t="e">
        <f>IF($D$1212="",0,$D1408*Table3[[#This Row],[CF]]*chronic_consumption!$N208/1000/$C$3)</f>
        <v>#DIV/0!</v>
      </c>
      <c r="T1408" s="1098" t="e">
        <f>IF($D$1212="",0,$D1408*Table3[[#This Row],[CF]]*chronic_consumption!$O208/1000/$C$3)</f>
        <v>#DIV/0!</v>
      </c>
      <c r="U1408" s="1098" t="e">
        <f>IF($D$1212="",0,$D1408*Table3[[#This Row],[CF]]*chronic_consumption!$P208/1000/$C$3)</f>
        <v>#DIV/0!</v>
      </c>
      <c r="V1408" s="1098" t="e">
        <f>IF($D$1212="",0,$D1408*Table3[[#This Row],[CF]]*chronic_consumption!$Q208/1000/$C$3)</f>
        <v>#DIV/0!</v>
      </c>
      <c r="W1408" s="1098" t="e">
        <f>IF($D$1212="",0,$D1408*Table3[[#This Row],[CF]]*chronic_consumption!$R208/1000/$C$3)</f>
        <v>#DIV/0!</v>
      </c>
      <c r="X1408" s="1098" t="e">
        <f>IF($D$1212="",0,$D1408*Table3[[#This Row],[CF]]*chronic_consumption!$S208/1000/$C$3)</f>
        <v>#DIV/0!</v>
      </c>
      <c r="Y1408" s="1098" t="e">
        <f>IF($D$1212="",0,$D1408*Table3[[#This Row],[CF]]*chronic_consumption!$T208/1000/$C$3)</f>
        <v>#DIV/0!</v>
      </c>
      <c r="Z1408" s="1098" t="e">
        <f>IF($D$1212="",0,$D1408*Table3[[#This Row],[CF]]*chronic_consumption!$U208/1000/$C$3)</f>
        <v>#DIV/0!</v>
      </c>
      <c r="AA1408" s="1098" t="e">
        <f>IF($D$1212="",0,$D1408*Table3[[#This Row],[CF]]*chronic_consumption!$V208/1000/$C$3)</f>
        <v>#DIV/0!</v>
      </c>
      <c r="AB1408" s="1098" t="e">
        <f>IF($D$1212="",0,$D1408*Table3[[#This Row],[CF]]*chronic_consumption!$W208/1000/$C$3)</f>
        <v>#DIV/0!</v>
      </c>
      <c r="AC1408" s="1098" t="e">
        <f>IF($D$1212="",0,$D1408*Table3[[#This Row],[CF]]*chronic_consumption!$X208/1000/$C$3)</f>
        <v>#DIV/0!</v>
      </c>
      <c r="AD1408" s="1098" t="e">
        <f>IF($D$1212="",0,$D1408*Table3[[#This Row],[CF]]*chronic_consumption!$Y208/1000/$C$3)</f>
        <v>#DIV/0!</v>
      </c>
      <c r="AE1408" s="1098" t="e">
        <f>IF($D$1212="",0,$D1408*Table3[[#This Row],[CF]]*chronic_consumption!$Z208/1000/$C$3)</f>
        <v>#DIV/0!</v>
      </c>
      <c r="AF1408" s="1098" t="e">
        <f>IF($D$1212="",0,$D1408*Table3[[#This Row],[CF]]*chronic_consumption!$AA208/1000/$C$3)</f>
        <v>#DIV/0!</v>
      </c>
      <c r="AG1408" s="1098" t="e">
        <f>IF($D$1212="",0,$D1408*Table3[[#This Row],[CF]]*chronic_consumption!$AB208/1000/$C$3)</f>
        <v>#DIV/0!</v>
      </c>
      <c r="AH1408" s="1098" t="e">
        <f>IF($D$1212="",0,$D1408*Table3[[#This Row],[CF]]*chronic_consumption!$AC208/1000/$C$3)</f>
        <v>#DIV/0!</v>
      </c>
      <c r="AI1408" s="1098" t="e">
        <f>IF($D$1212="",0,$D1408*Table3[[#This Row],[CF]]*chronic_consumption!$AD208/1000/$C$3)</f>
        <v>#DIV/0!</v>
      </c>
      <c r="AJ1408" s="1098" t="e">
        <f>IF($D$1212="",0,$D1408*Table3[[#This Row],[CF]]*chronic_consumption!$AE208/1000/$C$3)</f>
        <v>#DIV/0!</v>
      </c>
      <c r="AK1408" s="1098" t="e">
        <f>IF($D$1212="",0,$D1408*Table3[[#This Row],[CF]]*chronic_consumption!$AF208/1000/$C$3)</f>
        <v>#DIV/0!</v>
      </c>
      <c r="AL1408" s="1098" t="e">
        <f>IF($D$1212="",0,$D1408*Table3[[#This Row],[CF]]*chronic_consumption!$AG208/1000/$C$3)</f>
        <v>#DIV/0!</v>
      </c>
      <c r="AM1408" s="1098" t="e">
        <f>IF($D$1212="",0,$D1408*Table3[[#This Row],[CF]]*chronic_consumption!$AH208/1000/$C$3)</f>
        <v>#DIV/0!</v>
      </c>
      <c r="AN1408" s="1098" t="e">
        <f>IF($D$1212="",0,$D1408*Table3[[#This Row],[CF]]*chronic_consumption!$AI208/1000/$C$3)</f>
        <v>#DIV/0!</v>
      </c>
      <c r="AO1408" s="1098" t="e">
        <f>IF($D$1212="",0,$D1408*Table3[[#This Row],[CF]]*chronic_consumption!$AJ208/1000/$C$3)</f>
        <v>#DIV/0!</v>
      </c>
      <c r="AP1408" s="1098" t="e">
        <f>IF($D$1212="",0,$D1408*Table3[[#This Row],[CF]]*chronic_consumption!$AK208/1000/$C$3)</f>
        <v>#DIV/0!</v>
      </c>
      <c r="AQ1408" s="1098" t="e">
        <f>IF($D$1212="",0,$D1408*Table3[[#This Row],[CF]]*chronic_consumption!$AL208/1000/$C$3)</f>
        <v>#DIV/0!</v>
      </c>
      <c r="AR1408" s="1098" t="e">
        <f>IF($D$1212="",0,$D1408*Table3[[#This Row],[CF]]*chronic_consumption!$AM208/1000/$C$3)</f>
        <v>#DIV/0!</v>
      </c>
      <c r="AS1408" s="1098" t="e">
        <f>IF($D$1212="",0,$D1408*Table3[[#This Row],[CF]]*chronic_consumption!$AN208/1000/$C$3)</f>
        <v>#DIV/0!</v>
      </c>
      <c r="AT1408" s="1098" t="e">
        <f>IF($D$1212="",0,$D1408*Table3[[#This Row],[CF]]*chronic_consumption!$AO208/1000/$C$3)</f>
        <v>#DIV/0!</v>
      </c>
      <c r="AU1408" s="1099" t="e">
        <f t="shared" si="864"/>
        <v>#DIV/0!</v>
      </c>
      <c r="AV1408" s="1099" t="e">
        <f t="shared" si="864"/>
        <v>#DIV/0!</v>
      </c>
      <c r="AW1408" s="1099" t="e">
        <f t="shared" si="864"/>
        <v>#DIV/0!</v>
      </c>
      <c r="AX1408" s="1099" t="e">
        <f t="shared" si="864"/>
        <v>#DIV/0!</v>
      </c>
      <c r="AY1408" s="1099" t="e">
        <f t="shared" si="864"/>
        <v>#DIV/0!</v>
      </c>
      <c r="AZ1408" s="1091" t="s">
        <v>1012</v>
      </c>
      <c r="BA1408" s="1097" t="e">
        <f>IF(Table3[[#This Row],[max]]&lt;&gt;0,RANK(Table3[[#This Row],[max]],Table3[max],0),"")</f>
        <v>#DIV/0!</v>
      </c>
      <c r="BB1408" s="1096" t="e">
        <f t="shared" si="865"/>
        <v>#DIV/0!</v>
      </c>
      <c r="BC1408" s="1096" t="e">
        <f t="shared" ca="1" si="866"/>
        <v>#DIV/0!</v>
      </c>
      <c r="BD1408" s="1096" t="e">
        <f>IF(Table3[[#This Row],[max]]&gt;0,Table3[[#This Row],[Crop groups and examples of individual products within the groups to which the MRLs apply]],"")</f>
        <v>#DIV/0!</v>
      </c>
    </row>
    <row r="1409" spans="2:56" x14ac:dyDescent="0.2">
      <c r="B1409" s="23">
        <f t="shared" si="862"/>
        <v>280020</v>
      </c>
      <c r="C1409" s="23" t="str">
        <f t="shared" si="862"/>
        <v>Wild fungi</v>
      </c>
      <c r="D1409" s="1084">
        <f>input_values!E209</f>
        <v>0</v>
      </c>
      <c r="E1409" s="1084">
        <f>input_values!F209</f>
        <v>0</v>
      </c>
      <c r="F1409" s="1085">
        <f>input_values!W209</f>
        <v>1</v>
      </c>
      <c r="G1409" s="1085" t="str">
        <f>IF(Table3[[#This Row],[CF]]&gt;0,CONCATENATE(IF(Table3[[#This Row],[LOQ]]="*","LOQ","MRL"),IF(input_values!G209&gt;0,"×CFrisk","")),"")</f>
        <v>MRL</v>
      </c>
      <c r="H1409" s="1087">
        <f>input_values!L209</f>
        <v>0</v>
      </c>
      <c r="I1409" s="1088">
        <f>input_values!D209</f>
        <v>0</v>
      </c>
      <c r="J1409" s="1098" t="e">
        <f>IF($D$1212="",0,$D1409*Table3[[#This Row],[CF]]*chronic_consumption!$E209/1000/$C$3)</f>
        <v>#DIV/0!</v>
      </c>
      <c r="K1409" s="1098" t="e">
        <f>IF($D$1212="",0,$D1409*Table3[[#This Row],[CF]]*chronic_consumption!$F209/1000/$C$3)</f>
        <v>#DIV/0!</v>
      </c>
      <c r="L1409" s="1098" t="e">
        <f>IF($D$1212="",0,$D1409*Table3[[#This Row],[CF]]*chronic_consumption!$G209/1000/$C$3)</f>
        <v>#DIV/0!</v>
      </c>
      <c r="M1409" s="1098" t="e">
        <f>IF($D$1212="",0,$D1409*Table3[[#This Row],[CF]]*chronic_consumption!$H209/1000/$C$3)</f>
        <v>#DIV/0!</v>
      </c>
      <c r="N1409" s="1098" t="e">
        <f>IF($D$1212="",0,$D1409*Table3[[#This Row],[CF]]*chronic_consumption!$I209/1000/$C$3)</f>
        <v>#DIV/0!</v>
      </c>
      <c r="O1409" s="1098" t="e">
        <f>IF($D$1212="",0,$D1409*Table3[[#This Row],[CF]]*chronic_consumption!$J209/1000/$C$3)</f>
        <v>#DIV/0!</v>
      </c>
      <c r="P1409" s="1098" t="e">
        <f>IF($D$1212="",0,$D1409*Table3[[#This Row],[CF]]*chronic_consumption!$K209/1000/$C$3)</f>
        <v>#DIV/0!</v>
      </c>
      <c r="Q1409" s="1098" t="e">
        <f>IF($D$1212="",0,$D1409*Table3[[#This Row],[CF]]*chronic_consumption!$L209/1000/$C$3)</f>
        <v>#DIV/0!</v>
      </c>
      <c r="R1409" s="1098" t="e">
        <f>IF($D$1212="",0,$D1409*Table3[[#This Row],[CF]]*chronic_consumption!$M209/1000/$C$3)</f>
        <v>#DIV/0!</v>
      </c>
      <c r="S1409" s="1098" t="e">
        <f>IF($D$1212="",0,$D1409*Table3[[#This Row],[CF]]*chronic_consumption!$N209/1000/$C$3)</f>
        <v>#DIV/0!</v>
      </c>
      <c r="T1409" s="1098" t="e">
        <f>IF($D$1212="",0,$D1409*Table3[[#This Row],[CF]]*chronic_consumption!$O209/1000/$C$3)</f>
        <v>#DIV/0!</v>
      </c>
      <c r="U1409" s="1098" t="e">
        <f>IF($D$1212="",0,$D1409*Table3[[#This Row],[CF]]*chronic_consumption!$P209/1000/$C$3)</f>
        <v>#DIV/0!</v>
      </c>
      <c r="V1409" s="1098" t="e">
        <f>IF($D$1212="",0,$D1409*Table3[[#This Row],[CF]]*chronic_consumption!$Q209/1000/$C$3)</f>
        <v>#DIV/0!</v>
      </c>
      <c r="W1409" s="1098" t="e">
        <f>IF($D$1212="",0,$D1409*Table3[[#This Row],[CF]]*chronic_consumption!$R209/1000/$C$3)</f>
        <v>#DIV/0!</v>
      </c>
      <c r="X1409" s="1098" t="e">
        <f>IF($D$1212="",0,$D1409*Table3[[#This Row],[CF]]*chronic_consumption!$S209/1000/$C$3)</f>
        <v>#DIV/0!</v>
      </c>
      <c r="Y1409" s="1098" t="e">
        <f>IF($D$1212="",0,$D1409*Table3[[#This Row],[CF]]*chronic_consumption!$T209/1000/$C$3)</f>
        <v>#DIV/0!</v>
      </c>
      <c r="Z1409" s="1098" t="e">
        <f>IF($D$1212="",0,$D1409*Table3[[#This Row],[CF]]*chronic_consumption!$U209/1000/$C$3)</f>
        <v>#DIV/0!</v>
      </c>
      <c r="AA1409" s="1098" t="e">
        <f>IF($D$1212="",0,$D1409*Table3[[#This Row],[CF]]*chronic_consumption!$V209/1000/$C$3)</f>
        <v>#DIV/0!</v>
      </c>
      <c r="AB1409" s="1098" t="e">
        <f>IF($D$1212="",0,$D1409*Table3[[#This Row],[CF]]*chronic_consumption!$W209/1000/$C$3)</f>
        <v>#DIV/0!</v>
      </c>
      <c r="AC1409" s="1098" t="e">
        <f>IF($D$1212="",0,$D1409*Table3[[#This Row],[CF]]*chronic_consumption!$X209/1000/$C$3)</f>
        <v>#DIV/0!</v>
      </c>
      <c r="AD1409" s="1098" t="e">
        <f>IF($D$1212="",0,$D1409*Table3[[#This Row],[CF]]*chronic_consumption!$Y209/1000/$C$3)</f>
        <v>#DIV/0!</v>
      </c>
      <c r="AE1409" s="1098" t="e">
        <f>IF($D$1212="",0,$D1409*Table3[[#This Row],[CF]]*chronic_consumption!$Z209/1000/$C$3)</f>
        <v>#DIV/0!</v>
      </c>
      <c r="AF1409" s="1098" t="e">
        <f>IF($D$1212="",0,$D1409*Table3[[#This Row],[CF]]*chronic_consumption!$AA209/1000/$C$3)</f>
        <v>#DIV/0!</v>
      </c>
      <c r="AG1409" s="1098" t="e">
        <f>IF($D$1212="",0,$D1409*Table3[[#This Row],[CF]]*chronic_consumption!$AB209/1000/$C$3)</f>
        <v>#DIV/0!</v>
      </c>
      <c r="AH1409" s="1098" t="e">
        <f>IF($D$1212="",0,$D1409*Table3[[#This Row],[CF]]*chronic_consumption!$AC209/1000/$C$3)</f>
        <v>#DIV/0!</v>
      </c>
      <c r="AI1409" s="1098" t="e">
        <f>IF($D$1212="",0,$D1409*Table3[[#This Row],[CF]]*chronic_consumption!$AD209/1000/$C$3)</f>
        <v>#DIV/0!</v>
      </c>
      <c r="AJ1409" s="1098" t="e">
        <f>IF($D$1212="",0,$D1409*Table3[[#This Row],[CF]]*chronic_consumption!$AE209/1000/$C$3)</f>
        <v>#DIV/0!</v>
      </c>
      <c r="AK1409" s="1098" t="e">
        <f>IF($D$1212="",0,$D1409*Table3[[#This Row],[CF]]*chronic_consumption!$AF209/1000/$C$3)</f>
        <v>#DIV/0!</v>
      </c>
      <c r="AL1409" s="1098" t="e">
        <f>IF($D$1212="",0,$D1409*Table3[[#This Row],[CF]]*chronic_consumption!$AG209/1000/$C$3)</f>
        <v>#DIV/0!</v>
      </c>
      <c r="AM1409" s="1098" t="e">
        <f>IF($D$1212="",0,$D1409*Table3[[#This Row],[CF]]*chronic_consumption!$AH209/1000/$C$3)</f>
        <v>#DIV/0!</v>
      </c>
      <c r="AN1409" s="1098" t="e">
        <f>IF($D$1212="",0,$D1409*Table3[[#This Row],[CF]]*chronic_consumption!$AI209/1000/$C$3)</f>
        <v>#DIV/0!</v>
      </c>
      <c r="AO1409" s="1098" t="e">
        <f>IF($D$1212="",0,$D1409*Table3[[#This Row],[CF]]*chronic_consumption!$AJ209/1000/$C$3)</f>
        <v>#DIV/0!</v>
      </c>
      <c r="AP1409" s="1098" t="e">
        <f>IF($D$1212="",0,$D1409*Table3[[#This Row],[CF]]*chronic_consumption!$AK209/1000/$C$3)</f>
        <v>#DIV/0!</v>
      </c>
      <c r="AQ1409" s="1098" t="e">
        <f>IF($D$1212="",0,$D1409*Table3[[#This Row],[CF]]*chronic_consumption!$AL209/1000/$C$3)</f>
        <v>#DIV/0!</v>
      </c>
      <c r="AR1409" s="1098" t="e">
        <f>IF($D$1212="",0,$D1409*Table3[[#This Row],[CF]]*chronic_consumption!$AM209/1000/$C$3)</f>
        <v>#DIV/0!</v>
      </c>
      <c r="AS1409" s="1098" t="e">
        <f>IF($D$1212="",0,$D1409*Table3[[#This Row],[CF]]*chronic_consumption!$AN209/1000/$C$3)</f>
        <v>#DIV/0!</v>
      </c>
      <c r="AT1409" s="1098" t="e">
        <f>IF($D$1212="",0,$D1409*Table3[[#This Row],[CF]]*chronic_consumption!$AO209/1000/$C$3)</f>
        <v>#DIV/0!</v>
      </c>
      <c r="AU1409" s="1099" t="e">
        <f t="shared" si="864"/>
        <v>#DIV/0!</v>
      </c>
      <c r="AV1409" s="1099" t="e">
        <f t="shared" si="864"/>
        <v>#DIV/0!</v>
      </c>
      <c r="AW1409" s="1099" t="e">
        <f t="shared" si="864"/>
        <v>#DIV/0!</v>
      </c>
      <c r="AX1409" s="1099" t="e">
        <f t="shared" si="864"/>
        <v>#DIV/0!</v>
      </c>
      <c r="AY1409" s="1099" t="e">
        <f t="shared" si="864"/>
        <v>#DIV/0!</v>
      </c>
      <c r="AZ1409" s="1091" t="s">
        <v>1012</v>
      </c>
      <c r="BA1409" s="1097" t="e">
        <f>IF(Table3[[#This Row],[max]]&lt;&gt;0,RANK(Table3[[#This Row],[max]],Table3[max],0),"")</f>
        <v>#DIV/0!</v>
      </c>
      <c r="BB1409" s="1096" t="e">
        <f t="shared" si="865"/>
        <v>#DIV/0!</v>
      </c>
      <c r="BC1409" s="1096" t="e">
        <f t="shared" ca="1" si="866"/>
        <v>#DIV/0!</v>
      </c>
      <c r="BD1409" s="1096" t="e">
        <f>IF(Table3[[#This Row],[max]]&gt;0,Table3[[#This Row],[Crop groups and examples of individual products within the groups to which the MRLs apply]],"")</f>
        <v>#DIV/0!</v>
      </c>
    </row>
    <row r="1410" spans="2:56" x14ac:dyDescent="0.2">
      <c r="B1410" s="23">
        <f t="shared" si="862"/>
        <v>280990</v>
      </c>
      <c r="C1410" s="23" t="str">
        <f t="shared" si="862"/>
        <v>Mosses and lichens</v>
      </c>
      <c r="D1410" s="1084">
        <f>input_values!E210</f>
        <v>0</v>
      </c>
      <c r="E1410" s="1084">
        <f>input_values!F210</f>
        <v>0</v>
      </c>
      <c r="F1410" s="1085">
        <f>input_values!W210</f>
        <v>1</v>
      </c>
      <c r="G1410" s="1085" t="str">
        <f>IF(Table3[[#This Row],[CF]]&gt;0,CONCATENATE(IF(Table3[[#This Row],[LOQ]]="*","LOQ","MRL"),IF(input_values!G210&gt;0,"×CFrisk","")),"")</f>
        <v>MRL</v>
      </c>
      <c r="H1410" s="1087">
        <f>input_values!L210</f>
        <v>0</v>
      </c>
      <c r="I1410" s="1088">
        <f>input_values!D210</f>
        <v>0</v>
      </c>
      <c r="J1410" s="1098" t="e">
        <f>IF($D$1212="",0,$D1410*Table3[[#This Row],[CF]]*chronic_consumption!$E210/1000/$C$3)</f>
        <v>#DIV/0!</v>
      </c>
      <c r="K1410" s="1098" t="e">
        <f>IF($D$1212="",0,$D1410*Table3[[#This Row],[CF]]*chronic_consumption!$F210/1000/$C$3)</f>
        <v>#DIV/0!</v>
      </c>
      <c r="L1410" s="1098" t="e">
        <f>IF($D$1212="",0,$D1410*Table3[[#This Row],[CF]]*chronic_consumption!$G210/1000/$C$3)</f>
        <v>#DIV/0!</v>
      </c>
      <c r="M1410" s="1098" t="e">
        <f>IF($D$1212="",0,$D1410*Table3[[#This Row],[CF]]*chronic_consumption!$H210/1000/$C$3)</f>
        <v>#DIV/0!</v>
      </c>
      <c r="N1410" s="1098" t="e">
        <f>IF($D$1212="",0,$D1410*Table3[[#This Row],[CF]]*chronic_consumption!$I210/1000/$C$3)</f>
        <v>#DIV/0!</v>
      </c>
      <c r="O1410" s="1098" t="e">
        <f>IF($D$1212="",0,$D1410*Table3[[#This Row],[CF]]*chronic_consumption!$J210/1000/$C$3)</f>
        <v>#DIV/0!</v>
      </c>
      <c r="P1410" s="1098" t="e">
        <f>IF($D$1212="",0,$D1410*Table3[[#This Row],[CF]]*chronic_consumption!$K210/1000/$C$3)</f>
        <v>#DIV/0!</v>
      </c>
      <c r="Q1410" s="1098" t="e">
        <f>IF($D$1212="",0,$D1410*Table3[[#This Row],[CF]]*chronic_consumption!$L210/1000/$C$3)</f>
        <v>#DIV/0!</v>
      </c>
      <c r="R1410" s="1098" t="e">
        <f>IF($D$1212="",0,$D1410*Table3[[#This Row],[CF]]*chronic_consumption!$M210/1000/$C$3)</f>
        <v>#DIV/0!</v>
      </c>
      <c r="S1410" s="1098" t="e">
        <f>IF($D$1212="",0,$D1410*Table3[[#This Row],[CF]]*chronic_consumption!$N210/1000/$C$3)</f>
        <v>#DIV/0!</v>
      </c>
      <c r="T1410" s="1098" t="e">
        <f>IF($D$1212="",0,$D1410*Table3[[#This Row],[CF]]*chronic_consumption!$O210/1000/$C$3)</f>
        <v>#DIV/0!</v>
      </c>
      <c r="U1410" s="1098" t="e">
        <f>IF($D$1212="",0,$D1410*Table3[[#This Row],[CF]]*chronic_consumption!$P210/1000/$C$3)</f>
        <v>#DIV/0!</v>
      </c>
      <c r="V1410" s="1098" t="e">
        <f>IF($D$1212="",0,$D1410*Table3[[#This Row],[CF]]*chronic_consumption!$Q210/1000/$C$3)</f>
        <v>#DIV/0!</v>
      </c>
      <c r="W1410" s="1098" t="e">
        <f>IF($D$1212="",0,$D1410*Table3[[#This Row],[CF]]*chronic_consumption!$R210/1000/$C$3)</f>
        <v>#DIV/0!</v>
      </c>
      <c r="X1410" s="1098" t="e">
        <f>IF($D$1212="",0,$D1410*Table3[[#This Row],[CF]]*chronic_consumption!$S210/1000/$C$3)</f>
        <v>#DIV/0!</v>
      </c>
      <c r="Y1410" s="1098" t="e">
        <f>IF($D$1212="",0,$D1410*Table3[[#This Row],[CF]]*chronic_consumption!$T210/1000/$C$3)</f>
        <v>#DIV/0!</v>
      </c>
      <c r="Z1410" s="1098" t="e">
        <f>IF($D$1212="",0,$D1410*Table3[[#This Row],[CF]]*chronic_consumption!$U210/1000/$C$3)</f>
        <v>#DIV/0!</v>
      </c>
      <c r="AA1410" s="1098" t="e">
        <f>IF($D$1212="",0,$D1410*Table3[[#This Row],[CF]]*chronic_consumption!$V210/1000/$C$3)</f>
        <v>#DIV/0!</v>
      </c>
      <c r="AB1410" s="1098" t="e">
        <f>IF($D$1212="",0,$D1410*Table3[[#This Row],[CF]]*chronic_consumption!$W210/1000/$C$3)</f>
        <v>#DIV/0!</v>
      </c>
      <c r="AC1410" s="1098" t="e">
        <f>IF($D$1212="",0,$D1410*Table3[[#This Row],[CF]]*chronic_consumption!$X210/1000/$C$3)</f>
        <v>#DIV/0!</v>
      </c>
      <c r="AD1410" s="1098" t="e">
        <f>IF($D$1212="",0,$D1410*Table3[[#This Row],[CF]]*chronic_consumption!$Y210/1000/$C$3)</f>
        <v>#DIV/0!</v>
      </c>
      <c r="AE1410" s="1098" t="e">
        <f>IF($D$1212="",0,$D1410*Table3[[#This Row],[CF]]*chronic_consumption!$Z210/1000/$C$3)</f>
        <v>#DIV/0!</v>
      </c>
      <c r="AF1410" s="1098" t="e">
        <f>IF($D$1212="",0,$D1410*Table3[[#This Row],[CF]]*chronic_consumption!$AA210/1000/$C$3)</f>
        <v>#DIV/0!</v>
      </c>
      <c r="AG1410" s="1098" t="e">
        <f>IF($D$1212="",0,$D1410*Table3[[#This Row],[CF]]*chronic_consumption!$AB210/1000/$C$3)</f>
        <v>#DIV/0!</v>
      </c>
      <c r="AH1410" s="1098" t="e">
        <f>IF($D$1212="",0,$D1410*Table3[[#This Row],[CF]]*chronic_consumption!$AC210/1000/$C$3)</f>
        <v>#DIV/0!</v>
      </c>
      <c r="AI1410" s="1098" t="e">
        <f>IF($D$1212="",0,$D1410*Table3[[#This Row],[CF]]*chronic_consumption!$AD210/1000/$C$3)</f>
        <v>#DIV/0!</v>
      </c>
      <c r="AJ1410" s="1098" t="e">
        <f>IF($D$1212="",0,$D1410*Table3[[#This Row],[CF]]*chronic_consumption!$AE210/1000/$C$3)</f>
        <v>#DIV/0!</v>
      </c>
      <c r="AK1410" s="1098" t="e">
        <f>IF($D$1212="",0,$D1410*Table3[[#This Row],[CF]]*chronic_consumption!$AF210/1000/$C$3)</f>
        <v>#DIV/0!</v>
      </c>
      <c r="AL1410" s="1098" t="e">
        <f>IF($D$1212="",0,$D1410*Table3[[#This Row],[CF]]*chronic_consumption!$AG210/1000/$C$3)</f>
        <v>#DIV/0!</v>
      </c>
      <c r="AM1410" s="1098" t="e">
        <f>IF($D$1212="",0,$D1410*Table3[[#This Row],[CF]]*chronic_consumption!$AH210/1000/$C$3)</f>
        <v>#DIV/0!</v>
      </c>
      <c r="AN1410" s="1098" t="e">
        <f>IF($D$1212="",0,$D1410*Table3[[#This Row],[CF]]*chronic_consumption!$AI210/1000/$C$3)</f>
        <v>#DIV/0!</v>
      </c>
      <c r="AO1410" s="1098" t="e">
        <f>IF($D$1212="",0,$D1410*Table3[[#This Row],[CF]]*chronic_consumption!$AJ210/1000/$C$3)</f>
        <v>#DIV/0!</v>
      </c>
      <c r="AP1410" s="1098" t="e">
        <f>IF($D$1212="",0,$D1410*Table3[[#This Row],[CF]]*chronic_consumption!$AK210/1000/$C$3)</f>
        <v>#DIV/0!</v>
      </c>
      <c r="AQ1410" s="1098" t="e">
        <f>IF($D$1212="",0,$D1410*Table3[[#This Row],[CF]]*chronic_consumption!$AL210/1000/$C$3)</f>
        <v>#DIV/0!</v>
      </c>
      <c r="AR1410" s="1098" t="e">
        <f>IF($D$1212="",0,$D1410*Table3[[#This Row],[CF]]*chronic_consumption!$AM210/1000/$C$3)</f>
        <v>#DIV/0!</v>
      </c>
      <c r="AS1410" s="1098" t="e">
        <f>IF($D$1212="",0,$D1410*Table3[[#This Row],[CF]]*chronic_consumption!$AN210/1000/$C$3)</f>
        <v>#DIV/0!</v>
      </c>
      <c r="AT1410" s="1098" t="e">
        <f>IF($D$1212="",0,$D1410*Table3[[#This Row],[CF]]*chronic_consumption!$AO210/1000/$C$3)</f>
        <v>#DIV/0!</v>
      </c>
      <c r="AU1410" s="1099" t="e">
        <f t="shared" si="864"/>
        <v>#DIV/0!</v>
      </c>
      <c r="AV1410" s="1099" t="e">
        <f t="shared" si="864"/>
        <v>#DIV/0!</v>
      </c>
      <c r="AW1410" s="1099" t="e">
        <f t="shared" si="864"/>
        <v>#DIV/0!</v>
      </c>
      <c r="AX1410" s="1099" t="e">
        <f t="shared" si="864"/>
        <v>#DIV/0!</v>
      </c>
      <c r="AY1410" s="1099" t="e">
        <f t="shared" si="864"/>
        <v>#DIV/0!</v>
      </c>
      <c r="AZ1410" s="1091" t="s">
        <v>1012</v>
      </c>
      <c r="BA1410" s="1097" t="e">
        <f>IF(Table3[[#This Row],[max]]&lt;&gt;0,RANK(Table3[[#This Row],[max]],Table3[max],0),"")</f>
        <v>#DIV/0!</v>
      </c>
      <c r="BB1410" s="1096" t="e">
        <f t="shared" si="865"/>
        <v>#DIV/0!</v>
      </c>
      <c r="BC1410" s="1096" t="e">
        <f t="shared" ca="1" si="866"/>
        <v>#DIV/0!</v>
      </c>
      <c r="BD1410" s="1096" t="e">
        <f>IF(Table3[[#This Row],[max]]&gt;0,Table3[[#This Row],[Crop groups and examples of individual products within the groups to which the MRLs apply]],"")</f>
        <v>#DIV/0!</v>
      </c>
    </row>
    <row r="1411" spans="2:56" x14ac:dyDescent="0.2">
      <c r="B1411" s="131">
        <f t="shared" si="862"/>
        <v>290000</v>
      </c>
      <c r="C1411" s="131" t="str">
        <f t="shared" si="862"/>
        <v>Algae and prokaryotes organisms</v>
      </c>
      <c r="D1411" s="1084">
        <f>input_values!E211</f>
        <v>0</v>
      </c>
      <c r="E1411" s="1084">
        <f>input_values!F211</f>
        <v>0</v>
      </c>
      <c r="F1411" s="1085">
        <f>input_values!W211</f>
        <v>1</v>
      </c>
      <c r="G1411" s="1085" t="str">
        <f>IF(Table3[[#This Row],[CF]]&gt;0,CONCATENATE(IF(Table3[[#This Row],[LOQ]]="*","LOQ","MRL"),IF(input_values!G211&gt;0,"×CFrisk","")),"")</f>
        <v>MRL</v>
      </c>
      <c r="H1411" s="1087">
        <f>input_values!L211</f>
        <v>0</v>
      </c>
      <c r="I1411" s="1088">
        <f>input_values!D211</f>
        <v>0</v>
      </c>
      <c r="J1411" s="1095" t="e">
        <f>IF($D$1212="",0,$D1411*Table3[[#This Row],[CF]]*chronic_consumption!$E211/1000/$C$3)</f>
        <v>#DIV/0!</v>
      </c>
      <c r="K1411" s="1095" t="e">
        <f>IF($D$1212="",0,$D1411*Table3[[#This Row],[CF]]*chronic_consumption!$F211/1000/$C$3)</f>
        <v>#DIV/0!</v>
      </c>
      <c r="L1411" s="1095" t="e">
        <f>IF($D$1212="",0,$D1411*Table3[[#This Row],[CF]]*chronic_consumption!$G211/1000/$C$3)</f>
        <v>#DIV/0!</v>
      </c>
      <c r="M1411" s="1095" t="e">
        <f>IF($D$1212="",0,$D1411*Table3[[#This Row],[CF]]*chronic_consumption!$H211/1000/$C$3)</f>
        <v>#DIV/0!</v>
      </c>
      <c r="N1411" s="1095" t="e">
        <f>IF($D$1212="",0,$D1411*Table3[[#This Row],[CF]]*chronic_consumption!$I211/1000/$C$3)</f>
        <v>#DIV/0!</v>
      </c>
      <c r="O1411" s="1095" t="e">
        <f>IF($D$1212="",0,$D1411*Table3[[#This Row],[CF]]*chronic_consumption!$J211/1000/$C$3)</f>
        <v>#DIV/0!</v>
      </c>
      <c r="P1411" s="1095" t="e">
        <f>IF($D$1212="",0,$D1411*Table3[[#This Row],[CF]]*chronic_consumption!$K211/1000/$C$3)</f>
        <v>#DIV/0!</v>
      </c>
      <c r="Q1411" s="1095" t="e">
        <f>IF($D$1212="",0,$D1411*Table3[[#This Row],[CF]]*chronic_consumption!$L211/1000/$C$3)</f>
        <v>#DIV/0!</v>
      </c>
      <c r="R1411" s="1095" t="e">
        <f>IF($D$1212="",0,$D1411*Table3[[#This Row],[CF]]*chronic_consumption!$M211/1000/$C$3)</f>
        <v>#DIV/0!</v>
      </c>
      <c r="S1411" s="1095" t="e">
        <f>IF($D$1212="",0,$D1411*Table3[[#This Row],[CF]]*chronic_consumption!$N211/1000/$C$3)</f>
        <v>#DIV/0!</v>
      </c>
      <c r="T1411" s="1095" t="e">
        <f>IF($D$1212="",0,$D1411*Table3[[#This Row],[CF]]*chronic_consumption!$O211/1000/$C$3)</f>
        <v>#DIV/0!</v>
      </c>
      <c r="U1411" s="1095" t="e">
        <f>IF($D$1212="",0,$D1411*Table3[[#This Row],[CF]]*chronic_consumption!$P211/1000/$C$3)</f>
        <v>#DIV/0!</v>
      </c>
      <c r="V1411" s="1095" t="e">
        <f>IF($D$1212="",0,$D1411*Table3[[#This Row],[CF]]*chronic_consumption!$Q211/1000/$C$3)</f>
        <v>#DIV/0!</v>
      </c>
      <c r="W1411" s="1095" t="e">
        <f>IF($D$1212="",0,$D1411*Table3[[#This Row],[CF]]*chronic_consumption!$R211/1000/$C$3)</f>
        <v>#DIV/0!</v>
      </c>
      <c r="X1411" s="1095" t="e">
        <f>IF($D$1212="",0,$D1411*Table3[[#This Row],[CF]]*chronic_consumption!$S211/1000/$C$3)</f>
        <v>#DIV/0!</v>
      </c>
      <c r="Y1411" s="1095" t="e">
        <f>IF($D$1212="",0,$D1411*Table3[[#This Row],[CF]]*chronic_consumption!$T211/1000/$C$3)</f>
        <v>#DIV/0!</v>
      </c>
      <c r="Z1411" s="1095" t="e">
        <f>IF($D$1212="",0,$D1411*Table3[[#This Row],[CF]]*chronic_consumption!$U211/1000/$C$3)</f>
        <v>#DIV/0!</v>
      </c>
      <c r="AA1411" s="1095" t="e">
        <f>IF($D$1212="",0,$D1411*Table3[[#This Row],[CF]]*chronic_consumption!$V211/1000/$C$3)</f>
        <v>#DIV/0!</v>
      </c>
      <c r="AB1411" s="1095" t="e">
        <f>IF($D$1212="",0,$D1411*Table3[[#This Row],[CF]]*chronic_consumption!$W211/1000/$C$3)</f>
        <v>#DIV/0!</v>
      </c>
      <c r="AC1411" s="1095" t="e">
        <f>IF($D$1212="",0,$D1411*Table3[[#This Row],[CF]]*chronic_consumption!$X211/1000/$C$3)</f>
        <v>#DIV/0!</v>
      </c>
      <c r="AD1411" s="1095" t="e">
        <f>IF($D$1212="",0,$D1411*Table3[[#This Row],[CF]]*chronic_consumption!$Y211/1000/$C$3)</f>
        <v>#DIV/0!</v>
      </c>
      <c r="AE1411" s="1095" t="e">
        <f>IF($D$1212="",0,$D1411*Table3[[#This Row],[CF]]*chronic_consumption!$Z211/1000/$C$3)</f>
        <v>#DIV/0!</v>
      </c>
      <c r="AF1411" s="1095" t="e">
        <f>IF($D$1212="",0,$D1411*Table3[[#This Row],[CF]]*chronic_consumption!$AA211/1000/$C$3)</f>
        <v>#DIV/0!</v>
      </c>
      <c r="AG1411" s="1095" t="e">
        <f>IF($D$1212="",0,$D1411*Table3[[#This Row],[CF]]*chronic_consumption!$AB211/1000/$C$3)</f>
        <v>#DIV/0!</v>
      </c>
      <c r="AH1411" s="1095" t="e">
        <f>IF($D$1212="",0,$D1411*Table3[[#This Row],[CF]]*chronic_consumption!$AC211/1000/$C$3)</f>
        <v>#DIV/0!</v>
      </c>
      <c r="AI1411" s="1095" t="e">
        <f>IF($D$1212="",0,$D1411*Table3[[#This Row],[CF]]*chronic_consumption!$AD211/1000/$C$3)</f>
        <v>#DIV/0!</v>
      </c>
      <c r="AJ1411" s="1095" t="e">
        <f>IF($D$1212="",0,$D1411*Table3[[#This Row],[CF]]*chronic_consumption!$AE211/1000/$C$3)</f>
        <v>#DIV/0!</v>
      </c>
      <c r="AK1411" s="1095" t="e">
        <f>IF($D$1212="",0,$D1411*Table3[[#This Row],[CF]]*chronic_consumption!$AF211/1000/$C$3)</f>
        <v>#DIV/0!</v>
      </c>
      <c r="AL1411" s="1095" t="e">
        <f>IF($D$1212="",0,$D1411*Table3[[#This Row],[CF]]*chronic_consumption!$AG211/1000/$C$3)</f>
        <v>#DIV/0!</v>
      </c>
      <c r="AM1411" s="1095" t="e">
        <f>IF($D$1212="",0,$D1411*Table3[[#This Row],[CF]]*chronic_consumption!$AH211/1000/$C$3)</f>
        <v>#DIV/0!</v>
      </c>
      <c r="AN1411" s="1095" t="e">
        <f>IF($D$1212="",0,$D1411*Table3[[#This Row],[CF]]*chronic_consumption!$AI211/1000/$C$3)</f>
        <v>#DIV/0!</v>
      </c>
      <c r="AO1411" s="1095" t="e">
        <f>IF($D$1212="",0,$D1411*Table3[[#This Row],[CF]]*chronic_consumption!$AJ211/1000/$C$3)</f>
        <v>#DIV/0!</v>
      </c>
      <c r="AP1411" s="1095" t="e">
        <f>IF($D$1212="",0,$D1411*Table3[[#This Row],[CF]]*chronic_consumption!$AK211/1000/$C$3)</f>
        <v>#DIV/0!</v>
      </c>
      <c r="AQ1411" s="1095" t="e">
        <f>IF($D$1212="",0,$D1411*Table3[[#This Row],[CF]]*chronic_consumption!$AL211/1000/$C$3)</f>
        <v>#DIV/0!</v>
      </c>
      <c r="AR1411" s="1095" t="e">
        <f>IF($D$1212="",0,$D1411*Table3[[#This Row],[CF]]*chronic_consumption!$AM211/1000/$C$3)</f>
        <v>#DIV/0!</v>
      </c>
      <c r="AS1411" s="1095" t="e">
        <f>IF($D$1212="",0,$D1411*Table3[[#This Row],[CF]]*chronic_consumption!$AN211/1000/$C$3)</f>
        <v>#DIV/0!</v>
      </c>
      <c r="AT1411" s="1095" t="e">
        <f>IF($D$1212="",0,$D1411*Table3[[#This Row],[CF]]*chronic_consumption!$AO211/1000/$C$3)</f>
        <v>#DIV/0!</v>
      </c>
      <c r="AU1411" s="1096" t="e">
        <f t="shared" si="864"/>
        <v>#DIV/0!</v>
      </c>
      <c r="AV1411" s="1096" t="e">
        <f t="shared" si="864"/>
        <v>#DIV/0!</v>
      </c>
      <c r="AW1411" s="1096" t="e">
        <f t="shared" si="864"/>
        <v>#DIV/0!</v>
      </c>
      <c r="AX1411" s="1096" t="e">
        <f t="shared" si="864"/>
        <v>#DIV/0!</v>
      </c>
      <c r="AY1411" s="1096" t="e">
        <f t="shared" si="864"/>
        <v>#DIV/0!</v>
      </c>
      <c r="AZ1411" s="1091" t="s">
        <v>1012</v>
      </c>
      <c r="BA1411" s="1097" t="e">
        <f>IF(Table3[[#This Row],[max]]&lt;&gt;0,RANK(Table3[[#This Row],[max]],Table3[max],0),"")</f>
        <v>#DIV/0!</v>
      </c>
      <c r="BB1411" s="1096" t="e">
        <f t="shared" si="865"/>
        <v>#DIV/0!</v>
      </c>
      <c r="BC1411" s="1096" t="e">
        <f t="shared" ca="1" si="866"/>
        <v>#DIV/0!</v>
      </c>
      <c r="BD1411" s="1096" t="e">
        <f>IF(Table3[[#This Row],[max]]&gt;0,Table3[[#This Row],[Crop groups and examples of individual products within the groups to which the MRLs apply]],"")</f>
        <v>#DIV/0!</v>
      </c>
    </row>
    <row r="1412" spans="2:56" x14ac:dyDescent="0.2">
      <c r="B1412" s="127">
        <f t="shared" ref="B1412:C1431" si="867">B212</f>
        <v>300000</v>
      </c>
      <c r="C1412" s="127" t="str">
        <f t="shared" si="867"/>
        <v>PULSES</v>
      </c>
      <c r="D1412" s="1084">
        <f>input_values!E212</f>
        <v>0</v>
      </c>
      <c r="E1412" s="1084">
        <f>input_values!F212</f>
        <v>0</v>
      </c>
      <c r="F1412" s="1085">
        <f>input_values!W212</f>
        <v>0</v>
      </c>
      <c r="G1412" s="1085" t="str">
        <f>IF(Table3[[#This Row],[CF]]&gt;0,CONCATENATE(IF(Table3[[#This Row],[LOQ]]="*","LOQ","MRL"),IF(input_values!G212&gt;0,"×CFrisk","")),"")</f>
        <v/>
      </c>
      <c r="H1412" s="1087">
        <f>input_values!L212</f>
        <v>0</v>
      </c>
      <c r="I1412" s="1088">
        <f>input_values!D212</f>
        <v>0</v>
      </c>
      <c r="J1412" s="1102" t="e">
        <f>IF($D$1212="",0,$D1412*Table3[[#This Row],[CF]]*chronic_consumption!$E212/1000/$C$3)</f>
        <v>#DIV/0!</v>
      </c>
      <c r="K1412" s="1102" t="e">
        <f>IF($D$1212="",0,$D1412*Table3[[#This Row],[CF]]*chronic_consumption!$F212/1000/$C$3)</f>
        <v>#DIV/0!</v>
      </c>
      <c r="L1412" s="1102" t="e">
        <f>IF($D$1212="",0,$D1412*Table3[[#This Row],[CF]]*chronic_consumption!$G212/1000/$C$3)</f>
        <v>#DIV/0!</v>
      </c>
      <c r="M1412" s="1102" t="e">
        <f>IF($D$1212="",0,$D1412*Table3[[#This Row],[CF]]*chronic_consumption!$H212/1000/$C$3)</f>
        <v>#DIV/0!</v>
      </c>
      <c r="N1412" s="1102" t="e">
        <f>IF($D$1212="",0,$D1412*Table3[[#This Row],[CF]]*chronic_consumption!$I212/1000/$C$3)</f>
        <v>#DIV/0!</v>
      </c>
      <c r="O1412" s="1102" t="e">
        <f>IF($D$1212="",0,$D1412*Table3[[#This Row],[CF]]*chronic_consumption!$J212/1000/$C$3)</f>
        <v>#DIV/0!</v>
      </c>
      <c r="P1412" s="1102" t="e">
        <f>IF($D$1212="",0,$D1412*Table3[[#This Row],[CF]]*chronic_consumption!$K212/1000/$C$3)</f>
        <v>#DIV/0!</v>
      </c>
      <c r="Q1412" s="1102" t="e">
        <f>IF($D$1212="",0,$D1412*Table3[[#This Row],[CF]]*chronic_consumption!$L212/1000/$C$3)</f>
        <v>#DIV/0!</v>
      </c>
      <c r="R1412" s="1102" t="e">
        <f>IF($D$1212="",0,$D1412*Table3[[#This Row],[CF]]*chronic_consumption!$M212/1000/$C$3)</f>
        <v>#DIV/0!</v>
      </c>
      <c r="S1412" s="1102" t="e">
        <f>IF($D$1212="",0,$D1412*Table3[[#This Row],[CF]]*chronic_consumption!$N212/1000/$C$3)</f>
        <v>#DIV/0!</v>
      </c>
      <c r="T1412" s="1102" t="e">
        <f>IF($D$1212="",0,$D1412*Table3[[#This Row],[CF]]*chronic_consumption!$O212/1000/$C$3)</f>
        <v>#DIV/0!</v>
      </c>
      <c r="U1412" s="1102" t="e">
        <f>IF($D$1212="",0,$D1412*Table3[[#This Row],[CF]]*chronic_consumption!$P212/1000/$C$3)</f>
        <v>#DIV/0!</v>
      </c>
      <c r="V1412" s="1102" t="e">
        <f>IF($D$1212="",0,$D1412*Table3[[#This Row],[CF]]*chronic_consumption!$Q212/1000/$C$3)</f>
        <v>#DIV/0!</v>
      </c>
      <c r="W1412" s="1102" t="e">
        <f>IF($D$1212="",0,$D1412*Table3[[#This Row],[CF]]*chronic_consumption!$R212/1000/$C$3)</f>
        <v>#DIV/0!</v>
      </c>
      <c r="X1412" s="1102" t="e">
        <f>IF($D$1212="",0,$D1412*Table3[[#This Row],[CF]]*chronic_consumption!$S212/1000/$C$3)</f>
        <v>#DIV/0!</v>
      </c>
      <c r="Y1412" s="1102" t="e">
        <f>IF($D$1212="",0,$D1412*Table3[[#This Row],[CF]]*chronic_consumption!$T212/1000/$C$3)</f>
        <v>#DIV/0!</v>
      </c>
      <c r="Z1412" s="1102" t="e">
        <f>IF($D$1212="",0,$D1412*Table3[[#This Row],[CF]]*chronic_consumption!$U212/1000/$C$3)</f>
        <v>#DIV/0!</v>
      </c>
      <c r="AA1412" s="1102" t="e">
        <f>IF($D$1212="",0,$D1412*Table3[[#This Row],[CF]]*chronic_consumption!$V212/1000/$C$3)</f>
        <v>#DIV/0!</v>
      </c>
      <c r="AB1412" s="1102" t="e">
        <f>IF($D$1212="",0,$D1412*Table3[[#This Row],[CF]]*chronic_consumption!$W212/1000/$C$3)</f>
        <v>#DIV/0!</v>
      </c>
      <c r="AC1412" s="1102" t="e">
        <f>IF($D$1212="",0,$D1412*Table3[[#This Row],[CF]]*chronic_consumption!$X212/1000/$C$3)</f>
        <v>#DIV/0!</v>
      </c>
      <c r="AD1412" s="1102" t="e">
        <f>IF($D$1212="",0,$D1412*Table3[[#This Row],[CF]]*chronic_consumption!$Y212/1000/$C$3)</f>
        <v>#DIV/0!</v>
      </c>
      <c r="AE1412" s="1102" t="e">
        <f>IF($D$1212="",0,$D1412*Table3[[#This Row],[CF]]*chronic_consumption!$Z212/1000/$C$3)</f>
        <v>#DIV/0!</v>
      </c>
      <c r="AF1412" s="1102" t="e">
        <f>IF($D$1212="",0,$D1412*Table3[[#This Row],[CF]]*chronic_consumption!$AA212/1000/$C$3)</f>
        <v>#DIV/0!</v>
      </c>
      <c r="AG1412" s="1102" t="e">
        <f>IF($D$1212="",0,$D1412*Table3[[#This Row],[CF]]*chronic_consumption!$AB212/1000/$C$3)</f>
        <v>#DIV/0!</v>
      </c>
      <c r="AH1412" s="1102" t="e">
        <f>IF($D$1212="",0,$D1412*Table3[[#This Row],[CF]]*chronic_consumption!$AC212/1000/$C$3)</f>
        <v>#DIV/0!</v>
      </c>
      <c r="AI1412" s="1102" t="e">
        <f>IF($D$1212="",0,$D1412*Table3[[#This Row],[CF]]*chronic_consumption!$AD212/1000/$C$3)</f>
        <v>#DIV/0!</v>
      </c>
      <c r="AJ1412" s="1102" t="e">
        <f>IF($D$1212="",0,$D1412*Table3[[#This Row],[CF]]*chronic_consumption!$AE212/1000/$C$3)</f>
        <v>#DIV/0!</v>
      </c>
      <c r="AK1412" s="1102" t="e">
        <f>IF($D$1212="",0,$D1412*Table3[[#This Row],[CF]]*chronic_consumption!$AF212/1000/$C$3)</f>
        <v>#DIV/0!</v>
      </c>
      <c r="AL1412" s="1102" t="e">
        <f>IF($D$1212="",0,$D1412*Table3[[#This Row],[CF]]*chronic_consumption!$AG212/1000/$C$3)</f>
        <v>#DIV/0!</v>
      </c>
      <c r="AM1412" s="1102" t="e">
        <f>IF($D$1212="",0,$D1412*Table3[[#This Row],[CF]]*chronic_consumption!$AH212/1000/$C$3)</f>
        <v>#DIV/0!</v>
      </c>
      <c r="AN1412" s="1102" t="e">
        <f>IF($D$1212="",0,$D1412*Table3[[#This Row],[CF]]*chronic_consumption!$AI212/1000/$C$3)</f>
        <v>#DIV/0!</v>
      </c>
      <c r="AO1412" s="1102" t="e">
        <f>IF($D$1212="",0,$D1412*Table3[[#This Row],[CF]]*chronic_consumption!$AJ212/1000/$C$3)</f>
        <v>#DIV/0!</v>
      </c>
      <c r="AP1412" s="1102" t="e">
        <f>IF($D$1212="",0,$D1412*Table3[[#This Row],[CF]]*chronic_consumption!$AK212/1000/$C$3)</f>
        <v>#DIV/0!</v>
      </c>
      <c r="AQ1412" s="1102" t="e">
        <f>IF($D$1212="",0,$D1412*Table3[[#This Row],[CF]]*chronic_consumption!$AL212/1000/$C$3)</f>
        <v>#DIV/0!</v>
      </c>
      <c r="AR1412" s="1102" t="e">
        <f>IF($D$1212="",0,$D1412*Table3[[#This Row],[CF]]*chronic_consumption!$AM212/1000/$C$3)</f>
        <v>#DIV/0!</v>
      </c>
      <c r="AS1412" s="1102" t="e">
        <f>IF($D$1212="",0,$D1412*Table3[[#This Row],[CF]]*chronic_consumption!$AN212/1000/$C$3)</f>
        <v>#DIV/0!</v>
      </c>
      <c r="AT1412" s="1102" t="e">
        <f>IF($D$1212="",0,$D1412*Table3[[#This Row],[CF]]*chronic_consumption!$AO212/1000/$C$3)</f>
        <v>#DIV/0!</v>
      </c>
      <c r="AU1412" s="1090" t="e">
        <f t="shared" ref="AU1412:AY1421" si="868">IF(AU612="",0,IF(OR(1=RANK(AU1012,AU$412:AU$790,0),(2=RANK(AU1012,AU$412:AU$790,0))),AU1012,AU612))</f>
        <v>#DIV/0!</v>
      </c>
      <c r="AV1412" s="1090" t="e">
        <f t="shared" si="868"/>
        <v>#DIV/0!</v>
      </c>
      <c r="AW1412" s="1090" t="e">
        <f t="shared" si="868"/>
        <v>#DIV/0!</v>
      </c>
      <c r="AX1412" s="1090" t="e">
        <f t="shared" si="868"/>
        <v>#DIV/0!</v>
      </c>
      <c r="AY1412" s="1090" t="e">
        <f t="shared" si="868"/>
        <v>#DIV/0!</v>
      </c>
      <c r="AZ1412" s="1091" t="s">
        <v>1012</v>
      </c>
      <c r="BA1412" s="1097" t="e">
        <f>IF(Table3[[#This Row],[max]]&lt;&gt;0,RANK(Table3[[#This Row],[max]],Table3[max],0),"")</f>
        <v>#DIV/0!</v>
      </c>
      <c r="BB1412" s="1096" t="e">
        <f t="shared" si="865"/>
        <v>#DIV/0!</v>
      </c>
      <c r="BC1412" s="1096" t="e">
        <f t="shared" ca="1" si="866"/>
        <v>#DIV/0!</v>
      </c>
      <c r="BD1412" s="1096" t="e">
        <f>IF(Table3[[#This Row],[max]]&gt;0,Table3[[#This Row],[Crop groups and examples of individual products within the groups to which the MRLs apply]],"")</f>
        <v>#DIV/0!</v>
      </c>
    </row>
    <row r="1413" spans="2:56" x14ac:dyDescent="0.2">
      <c r="B1413" s="23">
        <f t="shared" si="867"/>
        <v>300010</v>
      </c>
      <c r="C1413" s="23" t="str">
        <f t="shared" si="867"/>
        <v>Beans</v>
      </c>
      <c r="D1413" s="1084">
        <f>input_values!E213</f>
        <v>0</v>
      </c>
      <c r="E1413" s="1084">
        <f>input_values!F213</f>
        <v>0</v>
      </c>
      <c r="F1413" s="1085">
        <f>input_values!W213</f>
        <v>1</v>
      </c>
      <c r="G1413" s="1085" t="str">
        <f>IF(Table3[[#This Row],[CF]]&gt;0,CONCATENATE(IF(Table3[[#This Row],[LOQ]]="*","LOQ","MRL"),IF(input_values!G213&gt;0,"×CFrisk","")),"")</f>
        <v>MRL</v>
      </c>
      <c r="H1413" s="1087">
        <f>input_values!L213</f>
        <v>0</v>
      </c>
      <c r="I1413" s="1088">
        <f>input_values!D213</f>
        <v>0</v>
      </c>
      <c r="J1413" s="1098" t="e">
        <f>IF($D$1212="",0,$D1413*Table3[[#This Row],[CF]]*chronic_consumption!$E213/1000/$C$3)</f>
        <v>#DIV/0!</v>
      </c>
      <c r="K1413" s="1098" t="e">
        <f>IF($D$1212="",0,$D1413*Table3[[#This Row],[CF]]*chronic_consumption!$F213/1000/$C$3)</f>
        <v>#DIV/0!</v>
      </c>
      <c r="L1413" s="1098" t="e">
        <f>IF($D$1212="",0,$D1413*Table3[[#This Row],[CF]]*chronic_consumption!$G213/1000/$C$3)</f>
        <v>#DIV/0!</v>
      </c>
      <c r="M1413" s="1098" t="e">
        <f>IF($D$1212="",0,$D1413*Table3[[#This Row],[CF]]*chronic_consumption!$H213/1000/$C$3)</f>
        <v>#DIV/0!</v>
      </c>
      <c r="N1413" s="1098" t="e">
        <f>IF($D$1212="",0,$D1413*Table3[[#This Row],[CF]]*chronic_consumption!$I213/1000/$C$3)</f>
        <v>#DIV/0!</v>
      </c>
      <c r="O1413" s="1098" t="e">
        <f>IF($D$1212="",0,$D1413*Table3[[#This Row],[CF]]*chronic_consumption!$J213/1000/$C$3)</f>
        <v>#DIV/0!</v>
      </c>
      <c r="P1413" s="1098" t="e">
        <f>IF($D$1212="",0,$D1413*Table3[[#This Row],[CF]]*chronic_consumption!$K213/1000/$C$3)</f>
        <v>#DIV/0!</v>
      </c>
      <c r="Q1413" s="1098" t="e">
        <f>IF($D$1212="",0,$D1413*Table3[[#This Row],[CF]]*chronic_consumption!$L213/1000/$C$3)</f>
        <v>#DIV/0!</v>
      </c>
      <c r="R1413" s="1098" t="e">
        <f>IF($D$1212="",0,$D1413*Table3[[#This Row],[CF]]*chronic_consumption!$M213/1000/$C$3)</f>
        <v>#DIV/0!</v>
      </c>
      <c r="S1413" s="1098" t="e">
        <f>IF($D$1212="",0,$D1413*Table3[[#This Row],[CF]]*chronic_consumption!$N213/1000/$C$3)</f>
        <v>#DIV/0!</v>
      </c>
      <c r="T1413" s="1098" t="e">
        <f>IF($D$1212="",0,$D1413*Table3[[#This Row],[CF]]*chronic_consumption!$O213/1000/$C$3)</f>
        <v>#DIV/0!</v>
      </c>
      <c r="U1413" s="1098" t="e">
        <f>IF($D$1212="",0,$D1413*Table3[[#This Row],[CF]]*chronic_consumption!$P213/1000/$C$3)</f>
        <v>#DIV/0!</v>
      </c>
      <c r="V1413" s="1098" t="e">
        <f>IF($D$1212="",0,$D1413*Table3[[#This Row],[CF]]*chronic_consumption!$Q213/1000/$C$3)</f>
        <v>#DIV/0!</v>
      </c>
      <c r="W1413" s="1098" t="e">
        <f>IF($D$1212="",0,$D1413*Table3[[#This Row],[CF]]*chronic_consumption!$R213/1000/$C$3)</f>
        <v>#DIV/0!</v>
      </c>
      <c r="X1413" s="1098" t="e">
        <f>IF($D$1212="",0,$D1413*Table3[[#This Row],[CF]]*chronic_consumption!$S213/1000/$C$3)</f>
        <v>#DIV/0!</v>
      </c>
      <c r="Y1413" s="1098" t="e">
        <f>IF($D$1212="",0,$D1413*Table3[[#This Row],[CF]]*chronic_consumption!$T213/1000/$C$3)</f>
        <v>#DIV/0!</v>
      </c>
      <c r="Z1413" s="1098" t="e">
        <f>IF($D$1212="",0,$D1413*Table3[[#This Row],[CF]]*chronic_consumption!$U213/1000/$C$3)</f>
        <v>#DIV/0!</v>
      </c>
      <c r="AA1413" s="1098" t="e">
        <f>IF($D$1212="",0,$D1413*Table3[[#This Row],[CF]]*chronic_consumption!$V213/1000/$C$3)</f>
        <v>#DIV/0!</v>
      </c>
      <c r="AB1413" s="1098" t="e">
        <f>IF($D$1212="",0,$D1413*Table3[[#This Row],[CF]]*chronic_consumption!$W213/1000/$C$3)</f>
        <v>#DIV/0!</v>
      </c>
      <c r="AC1413" s="1098" t="e">
        <f>IF($D$1212="",0,$D1413*Table3[[#This Row],[CF]]*chronic_consumption!$X213/1000/$C$3)</f>
        <v>#DIV/0!</v>
      </c>
      <c r="AD1413" s="1098" t="e">
        <f>IF($D$1212="",0,$D1413*Table3[[#This Row],[CF]]*chronic_consumption!$Y213/1000/$C$3)</f>
        <v>#DIV/0!</v>
      </c>
      <c r="AE1413" s="1098" t="e">
        <f>IF($D$1212="",0,$D1413*Table3[[#This Row],[CF]]*chronic_consumption!$Z213/1000/$C$3)</f>
        <v>#DIV/0!</v>
      </c>
      <c r="AF1413" s="1098" t="e">
        <f>IF($D$1212="",0,$D1413*Table3[[#This Row],[CF]]*chronic_consumption!$AA213/1000/$C$3)</f>
        <v>#DIV/0!</v>
      </c>
      <c r="AG1413" s="1098" t="e">
        <f>IF($D$1212="",0,$D1413*Table3[[#This Row],[CF]]*chronic_consumption!$AB213/1000/$C$3)</f>
        <v>#DIV/0!</v>
      </c>
      <c r="AH1413" s="1098" t="e">
        <f>IF($D$1212="",0,$D1413*Table3[[#This Row],[CF]]*chronic_consumption!$AC213/1000/$C$3)</f>
        <v>#DIV/0!</v>
      </c>
      <c r="AI1413" s="1098" t="e">
        <f>IF($D$1212="",0,$D1413*Table3[[#This Row],[CF]]*chronic_consumption!$AD213/1000/$C$3)</f>
        <v>#DIV/0!</v>
      </c>
      <c r="AJ1413" s="1098" t="e">
        <f>IF($D$1212="",0,$D1413*Table3[[#This Row],[CF]]*chronic_consumption!$AE213/1000/$C$3)</f>
        <v>#DIV/0!</v>
      </c>
      <c r="AK1413" s="1098" t="e">
        <f>IF($D$1212="",0,$D1413*Table3[[#This Row],[CF]]*chronic_consumption!$AF213/1000/$C$3)</f>
        <v>#DIV/0!</v>
      </c>
      <c r="AL1413" s="1098" t="e">
        <f>IF($D$1212="",0,$D1413*Table3[[#This Row],[CF]]*chronic_consumption!$AG213/1000/$C$3)</f>
        <v>#DIV/0!</v>
      </c>
      <c r="AM1413" s="1098" t="e">
        <f>IF($D$1212="",0,$D1413*Table3[[#This Row],[CF]]*chronic_consumption!$AH213/1000/$C$3)</f>
        <v>#DIV/0!</v>
      </c>
      <c r="AN1413" s="1098" t="e">
        <f>IF($D$1212="",0,$D1413*Table3[[#This Row],[CF]]*chronic_consumption!$AI213/1000/$C$3)</f>
        <v>#DIV/0!</v>
      </c>
      <c r="AO1413" s="1098" t="e">
        <f>IF($D$1212="",0,$D1413*Table3[[#This Row],[CF]]*chronic_consumption!$AJ213/1000/$C$3)</f>
        <v>#DIV/0!</v>
      </c>
      <c r="AP1413" s="1098" t="e">
        <f>IF($D$1212="",0,$D1413*Table3[[#This Row],[CF]]*chronic_consumption!$AK213/1000/$C$3)</f>
        <v>#DIV/0!</v>
      </c>
      <c r="AQ1413" s="1098" t="e">
        <f>IF($D$1212="",0,$D1413*Table3[[#This Row],[CF]]*chronic_consumption!$AL213/1000/$C$3)</f>
        <v>#DIV/0!</v>
      </c>
      <c r="AR1413" s="1098" t="e">
        <f>IF($D$1212="",0,$D1413*Table3[[#This Row],[CF]]*chronic_consumption!$AM213/1000/$C$3)</f>
        <v>#DIV/0!</v>
      </c>
      <c r="AS1413" s="1098" t="e">
        <f>IF($D$1212="",0,$D1413*Table3[[#This Row],[CF]]*chronic_consumption!$AN213/1000/$C$3)</f>
        <v>#DIV/0!</v>
      </c>
      <c r="AT1413" s="1098" t="e">
        <f>IF($D$1212="",0,$D1413*Table3[[#This Row],[CF]]*chronic_consumption!$AO213/1000/$C$3)</f>
        <v>#DIV/0!</v>
      </c>
      <c r="AU1413" s="1099" t="e">
        <f t="shared" si="868"/>
        <v>#DIV/0!</v>
      </c>
      <c r="AV1413" s="1099" t="e">
        <f t="shared" si="868"/>
        <v>#DIV/0!</v>
      </c>
      <c r="AW1413" s="1099" t="e">
        <f t="shared" si="868"/>
        <v>#DIV/0!</v>
      </c>
      <c r="AX1413" s="1099" t="e">
        <f t="shared" si="868"/>
        <v>#DIV/0!</v>
      </c>
      <c r="AY1413" s="1099" t="e">
        <f t="shared" si="868"/>
        <v>#DIV/0!</v>
      </c>
      <c r="AZ1413" s="1091" t="s">
        <v>1012</v>
      </c>
      <c r="BA1413" s="1097" t="e">
        <f>IF(Table3[[#This Row],[max]]&lt;&gt;0,RANK(Table3[[#This Row],[max]],Table3[max],0),"")</f>
        <v>#DIV/0!</v>
      </c>
      <c r="BB1413" s="1096" t="e">
        <f t="shared" si="865"/>
        <v>#DIV/0!</v>
      </c>
      <c r="BC1413" s="1096" t="e">
        <f t="shared" ca="1" si="866"/>
        <v>#DIV/0!</v>
      </c>
      <c r="BD1413" s="1096" t="e">
        <f>IF(Table3[[#This Row],[max]]&gt;0,Table3[[#This Row],[Crop groups and examples of individual products within the groups to which the MRLs apply]],"")</f>
        <v>#DIV/0!</v>
      </c>
    </row>
    <row r="1414" spans="2:56" x14ac:dyDescent="0.2">
      <c r="B1414" s="23">
        <f t="shared" si="867"/>
        <v>300020</v>
      </c>
      <c r="C1414" s="23" t="str">
        <f t="shared" si="867"/>
        <v>Lentils</v>
      </c>
      <c r="D1414" s="1084">
        <f>input_values!E214</f>
        <v>0</v>
      </c>
      <c r="E1414" s="1084">
        <f>input_values!F214</f>
        <v>0</v>
      </c>
      <c r="F1414" s="1085">
        <f>input_values!W214</f>
        <v>1</v>
      </c>
      <c r="G1414" s="1085" t="str">
        <f>IF(Table3[[#This Row],[CF]]&gt;0,CONCATENATE(IF(Table3[[#This Row],[LOQ]]="*","LOQ","MRL"),IF(input_values!G214&gt;0,"×CFrisk","")),"")</f>
        <v>MRL</v>
      </c>
      <c r="H1414" s="1087">
        <f>input_values!L214</f>
        <v>0</v>
      </c>
      <c r="I1414" s="1088">
        <f>input_values!D214</f>
        <v>0</v>
      </c>
      <c r="J1414" s="1098" t="e">
        <f>IF($D$1212="",0,$D1414*Table3[[#This Row],[CF]]*chronic_consumption!$E214/1000/$C$3)</f>
        <v>#DIV/0!</v>
      </c>
      <c r="K1414" s="1098" t="e">
        <f>IF($D$1212="",0,$D1414*Table3[[#This Row],[CF]]*chronic_consumption!$F214/1000/$C$3)</f>
        <v>#DIV/0!</v>
      </c>
      <c r="L1414" s="1098" t="e">
        <f>IF($D$1212="",0,$D1414*Table3[[#This Row],[CF]]*chronic_consumption!$G214/1000/$C$3)</f>
        <v>#DIV/0!</v>
      </c>
      <c r="M1414" s="1098" t="e">
        <f>IF($D$1212="",0,$D1414*Table3[[#This Row],[CF]]*chronic_consumption!$H214/1000/$C$3)</f>
        <v>#DIV/0!</v>
      </c>
      <c r="N1414" s="1098" t="e">
        <f>IF($D$1212="",0,$D1414*Table3[[#This Row],[CF]]*chronic_consumption!$I214/1000/$C$3)</f>
        <v>#DIV/0!</v>
      </c>
      <c r="O1414" s="1098" t="e">
        <f>IF($D$1212="",0,$D1414*Table3[[#This Row],[CF]]*chronic_consumption!$J214/1000/$C$3)</f>
        <v>#DIV/0!</v>
      </c>
      <c r="P1414" s="1098" t="e">
        <f>IF($D$1212="",0,$D1414*Table3[[#This Row],[CF]]*chronic_consumption!$K214/1000/$C$3)</f>
        <v>#DIV/0!</v>
      </c>
      <c r="Q1414" s="1098" t="e">
        <f>IF($D$1212="",0,$D1414*Table3[[#This Row],[CF]]*chronic_consumption!$L214/1000/$C$3)</f>
        <v>#DIV/0!</v>
      </c>
      <c r="R1414" s="1098" t="e">
        <f>IF($D$1212="",0,$D1414*Table3[[#This Row],[CF]]*chronic_consumption!$M214/1000/$C$3)</f>
        <v>#DIV/0!</v>
      </c>
      <c r="S1414" s="1098" t="e">
        <f>IF($D$1212="",0,$D1414*Table3[[#This Row],[CF]]*chronic_consumption!$N214/1000/$C$3)</f>
        <v>#DIV/0!</v>
      </c>
      <c r="T1414" s="1098" t="e">
        <f>IF($D$1212="",0,$D1414*Table3[[#This Row],[CF]]*chronic_consumption!$O214/1000/$C$3)</f>
        <v>#DIV/0!</v>
      </c>
      <c r="U1414" s="1098" t="e">
        <f>IF($D$1212="",0,$D1414*Table3[[#This Row],[CF]]*chronic_consumption!$P214/1000/$C$3)</f>
        <v>#DIV/0!</v>
      </c>
      <c r="V1414" s="1098" t="e">
        <f>IF($D$1212="",0,$D1414*Table3[[#This Row],[CF]]*chronic_consumption!$Q214/1000/$C$3)</f>
        <v>#DIV/0!</v>
      </c>
      <c r="W1414" s="1098" t="e">
        <f>IF($D$1212="",0,$D1414*Table3[[#This Row],[CF]]*chronic_consumption!$R214/1000/$C$3)</f>
        <v>#DIV/0!</v>
      </c>
      <c r="X1414" s="1098" t="e">
        <f>IF($D$1212="",0,$D1414*Table3[[#This Row],[CF]]*chronic_consumption!$S214/1000/$C$3)</f>
        <v>#DIV/0!</v>
      </c>
      <c r="Y1414" s="1098" t="e">
        <f>IF($D$1212="",0,$D1414*Table3[[#This Row],[CF]]*chronic_consumption!$T214/1000/$C$3)</f>
        <v>#DIV/0!</v>
      </c>
      <c r="Z1414" s="1098" t="e">
        <f>IF($D$1212="",0,$D1414*Table3[[#This Row],[CF]]*chronic_consumption!$U214/1000/$C$3)</f>
        <v>#DIV/0!</v>
      </c>
      <c r="AA1414" s="1098" t="e">
        <f>IF($D$1212="",0,$D1414*Table3[[#This Row],[CF]]*chronic_consumption!$V214/1000/$C$3)</f>
        <v>#DIV/0!</v>
      </c>
      <c r="AB1414" s="1098" t="e">
        <f>IF($D$1212="",0,$D1414*Table3[[#This Row],[CF]]*chronic_consumption!$W214/1000/$C$3)</f>
        <v>#DIV/0!</v>
      </c>
      <c r="AC1414" s="1098" t="e">
        <f>IF($D$1212="",0,$D1414*Table3[[#This Row],[CF]]*chronic_consumption!$X214/1000/$C$3)</f>
        <v>#DIV/0!</v>
      </c>
      <c r="AD1414" s="1098" t="e">
        <f>IF($D$1212="",0,$D1414*Table3[[#This Row],[CF]]*chronic_consumption!$Y214/1000/$C$3)</f>
        <v>#DIV/0!</v>
      </c>
      <c r="AE1414" s="1098" t="e">
        <f>IF($D$1212="",0,$D1414*Table3[[#This Row],[CF]]*chronic_consumption!$Z214/1000/$C$3)</f>
        <v>#DIV/0!</v>
      </c>
      <c r="AF1414" s="1098" t="e">
        <f>IF($D$1212="",0,$D1414*Table3[[#This Row],[CF]]*chronic_consumption!$AA214/1000/$C$3)</f>
        <v>#DIV/0!</v>
      </c>
      <c r="AG1414" s="1098" t="e">
        <f>IF($D$1212="",0,$D1414*Table3[[#This Row],[CF]]*chronic_consumption!$AB214/1000/$C$3)</f>
        <v>#DIV/0!</v>
      </c>
      <c r="AH1414" s="1098" t="e">
        <f>IF($D$1212="",0,$D1414*Table3[[#This Row],[CF]]*chronic_consumption!$AC214/1000/$C$3)</f>
        <v>#DIV/0!</v>
      </c>
      <c r="AI1414" s="1098" t="e">
        <f>IF($D$1212="",0,$D1414*Table3[[#This Row],[CF]]*chronic_consumption!$AD214/1000/$C$3)</f>
        <v>#DIV/0!</v>
      </c>
      <c r="AJ1414" s="1098" t="e">
        <f>IF($D$1212="",0,$D1414*Table3[[#This Row],[CF]]*chronic_consumption!$AE214/1000/$C$3)</f>
        <v>#DIV/0!</v>
      </c>
      <c r="AK1414" s="1098" t="e">
        <f>IF($D$1212="",0,$D1414*Table3[[#This Row],[CF]]*chronic_consumption!$AF214/1000/$C$3)</f>
        <v>#DIV/0!</v>
      </c>
      <c r="AL1414" s="1098" t="e">
        <f>IF($D$1212="",0,$D1414*Table3[[#This Row],[CF]]*chronic_consumption!$AG214/1000/$C$3)</f>
        <v>#DIV/0!</v>
      </c>
      <c r="AM1414" s="1098" t="e">
        <f>IF($D$1212="",0,$D1414*Table3[[#This Row],[CF]]*chronic_consumption!$AH214/1000/$C$3)</f>
        <v>#DIV/0!</v>
      </c>
      <c r="AN1414" s="1098" t="e">
        <f>IF($D$1212="",0,$D1414*Table3[[#This Row],[CF]]*chronic_consumption!$AI214/1000/$C$3)</f>
        <v>#DIV/0!</v>
      </c>
      <c r="AO1414" s="1098" t="e">
        <f>IF($D$1212="",0,$D1414*Table3[[#This Row],[CF]]*chronic_consumption!$AJ214/1000/$C$3)</f>
        <v>#DIV/0!</v>
      </c>
      <c r="AP1414" s="1098" t="e">
        <f>IF($D$1212="",0,$D1414*Table3[[#This Row],[CF]]*chronic_consumption!$AK214/1000/$C$3)</f>
        <v>#DIV/0!</v>
      </c>
      <c r="AQ1414" s="1098" t="e">
        <f>IF($D$1212="",0,$D1414*Table3[[#This Row],[CF]]*chronic_consumption!$AL214/1000/$C$3)</f>
        <v>#DIV/0!</v>
      </c>
      <c r="AR1414" s="1098" t="e">
        <f>IF($D$1212="",0,$D1414*Table3[[#This Row],[CF]]*chronic_consumption!$AM214/1000/$C$3)</f>
        <v>#DIV/0!</v>
      </c>
      <c r="AS1414" s="1098" t="e">
        <f>IF($D$1212="",0,$D1414*Table3[[#This Row],[CF]]*chronic_consumption!$AN214/1000/$C$3)</f>
        <v>#DIV/0!</v>
      </c>
      <c r="AT1414" s="1098" t="e">
        <f>IF($D$1212="",0,$D1414*Table3[[#This Row],[CF]]*chronic_consumption!$AO214/1000/$C$3)</f>
        <v>#DIV/0!</v>
      </c>
      <c r="AU1414" s="1099" t="e">
        <f t="shared" si="868"/>
        <v>#DIV/0!</v>
      </c>
      <c r="AV1414" s="1099" t="e">
        <f t="shared" si="868"/>
        <v>#DIV/0!</v>
      </c>
      <c r="AW1414" s="1099" t="e">
        <f t="shared" si="868"/>
        <v>#DIV/0!</v>
      </c>
      <c r="AX1414" s="1099" t="e">
        <f t="shared" si="868"/>
        <v>#DIV/0!</v>
      </c>
      <c r="AY1414" s="1099" t="e">
        <f t="shared" si="868"/>
        <v>#DIV/0!</v>
      </c>
      <c r="AZ1414" s="1091" t="s">
        <v>1012</v>
      </c>
      <c r="BA1414" s="1097" t="e">
        <f>IF(Table3[[#This Row],[max]]&lt;&gt;0,RANK(Table3[[#This Row],[max]],Table3[max],0),"")</f>
        <v>#DIV/0!</v>
      </c>
      <c r="BB1414" s="1096" t="e">
        <f t="shared" si="865"/>
        <v>#DIV/0!</v>
      </c>
      <c r="BC1414" s="1096" t="e">
        <f t="shared" ca="1" si="866"/>
        <v>#DIV/0!</v>
      </c>
      <c r="BD1414" s="1096" t="e">
        <f>IF(Table3[[#This Row],[max]]&gt;0,Table3[[#This Row],[Crop groups and examples of individual products within the groups to which the MRLs apply]],"")</f>
        <v>#DIV/0!</v>
      </c>
    </row>
    <row r="1415" spans="2:56" x14ac:dyDescent="0.2">
      <c r="B1415" s="23">
        <f t="shared" si="867"/>
        <v>300030</v>
      </c>
      <c r="C1415" s="23" t="str">
        <f t="shared" si="867"/>
        <v>Peas</v>
      </c>
      <c r="D1415" s="1084">
        <f>input_values!E215</f>
        <v>0</v>
      </c>
      <c r="E1415" s="1084">
        <f>input_values!F215</f>
        <v>0</v>
      </c>
      <c r="F1415" s="1085">
        <f>input_values!W215</f>
        <v>1</v>
      </c>
      <c r="G1415" s="1085" t="str">
        <f>IF(Table3[[#This Row],[CF]]&gt;0,CONCATENATE(IF(Table3[[#This Row],[LOQ]]="*","LOQ","MRL"),IF(input_values!G215&gt;0,"×CFrisk","")),"")</f>
        <v>MRL</v>
      </c>
      <c r="H1415" s="1087">
        <f>input_values!L215</f>
        <v>0</v>
      </c>
      <c r="I1415" s="1088">
        <f>input_values!D215</f>
        <v>0</v>
      </c>
      <c r="J1415" s="1098" t="e">
        <f>IF($D$1212="",0,$D1415*Table3[[#This Row],[CF]]*chronic_consumption!$E215/1000/$C$3)</f>
        <v>#DIV/0!</v>
      </c>
      <c r="K1415" s="1098" t="e">
        <f>IF($D$1212="",0,$D1415*Table3[[#This Row],[CF]]*chronic_consumption!$F215/1000/$C$3)</f>
        <v>#DIV/0!</v>
      </c>
      <c r="L1415" s="1098" t="e">
        <f>IF($D$1212="",0,$D1415*Table3[[#This Row],[CF]]*chronic_consumption!$G215/1000/$C$3)</f>
        <v>#DIV/0!</v>
      </c>
      <c r="M1415" s="1098" t="e">
        <f>IF($D$1212="",0,$D1415*Table3[[#This Row],[CF]]*chronic_consumption!$H215/1000/$C$3)</f>
        <v>#DIV/0!</v>
      </c>
      <c r="N1415" s="1098" t="e">
        <f>IF($D$1212="",0,$D1415*Table3[[#This Row],[CF]]*chronic_consumption!$I215/1000/$C$3)</f>
        <v>#DIV/0!</v>
      </c>
      <c r="O1415" s="1098" t="e">
        <f>IF($D$1212="",0,$D1415*Table3[[#This Row],[CF]]*chronic_consumption!$J215/1000/$C$3)</f>
        <v>#DIV/0!</v>
      </c>
      <c r="P1415" s="1098" t="e">
        <f>IF($D$1212="",0,$D1415*Table3[[#This Row],[CF]]*chronic_consumption!$K215/1000/$C$3)</f>
        <v>#DIV/0!</v>
      </c>
      <c r="Q1415" s="1098" t="e">
        <f>IF($D$1212="",0,$D1415*Table3[[#This Row],[CF]]*chronic_consumption!$L215/1000/$C$3)</f>
        <v>#DIV/0!</v>
      </c>
      <c r="R1415" s="1098" t="e">
        <f>IF($D$1212="",0,$D1415*Table3[[#This Row],[CF]]*chronic_consumption!$M215/1000/$C$3)</f>
        <v>#DIV/0!</v>
      </c>
      <c r="S1415" s="1098" t="e">
        <f>IF($D$1212="",0,$D1415*Table3[[#This Row],[CF]]*chronic_consumption!$N215/1000/$C$3)</f>
        <v>#DIV/0!</v>
      </c>
      <c r="T1415" s="1098" t="e">
        <f>IF($D$1212="",0,$D1415*Table3[[#This Row],[CF]]*chronic_consumption!$O215/1000/$C$3)</f>
        <v>#DIV/0!</v>
      </c>
      <c r="U1415" s="1098" t="e">
        <f>IF($D$1212="",0,$D1415*Table3[[#This Row],[CF]]*chronic_consumption!$P215/1000/$C$3)</f>
        <v>#DIV/0!</v>
      </c>
      <c r="V1415" s="1098" t="e">
        <f>IF($D$1212="",0,$D1415*Table3[[#This Row],[CF]]*chronic_consumption!$Q215/1000/$C$3)</f>
        <v>#DIV/0!</v>
      </c>
      <c r="W1415" s="1098" t="e">
        <f>IF($D$1212="",0,$D1415*Table3[[#This Row],[CF]]*chronic_consumption!$R215/1000/$C$3)</f>
        <v>#DIV/0!</v>
      </c>
      <c r="X1415" s="1098" t="e">
        <f>IF($D$1212="",0,$D1415*Table3[[#This Row],[CF]]*chronic_consumption!$S215/1000/$C$3)</f>
        <v>#DIV/0!</v>
      </c>
      <c r="Y1415" s="1098" t="e">
        <f>IF($D$1212="",0,$D1415*Table3[[#This Row],[CF]]*chronic_consumption!$T215/1000/$C$3)</f>
        <v>#DIV/0!</v>
      </c>
      <c r="Z1415" s="1098" t="e">
        <f>IF($D$1212="",0,$D1415*Table3[[#This Row],[CF]]*chronic_consumption!$U215/1000/$C$3)</f>
        <v>#DIV/0!</v>
      </c>
      <c r="AA1415" s="1098" t="e">
        <f>IF($D$1212="",0,$D1415*Table3[[#This Row],[CF]]*chronic_consumption!$V215/1000/$C$3)</f>
        <v>#DIV/0!</v>
      </c>
      <c r="AB1415" s="1098" t="e">
        <f>IF($D$1212="",0,$D1415*Table3[[#This Row],[CF]]*chronic_consumption!$W215/1000/$C$3)</f>
        <v>#DIV/0!</v>
      </c>
      <c r="AC1415" s="1098" t="e">
        <f>IF($D$1212="",0,$D1415*Table3[[#This Row],[CF]]*chronic_consumption!$X215/1000/$C$3)</f>
        <v>#DIV/0!</v>
      </c>
      <c r="AD1415" s="1098" t="e">
        <f>IF($D$1212="",0,$D1415*Table3[[#This Row],[CF]]*chronic_consumption!$Y215/1000/$C$3)</f>
        <v>#DIV/0!</v>
      </c>
      <c r="AE1415" s="1098" t="e">
        <f>IF($D$1212="",0,$D1415*Table3[[#This Row],[CF]]*chronic_consumption!$Z215/1000/$C$3)</f>
        <v>#DIV/0!</v>
      </c>
      <c r="AF1415" s="1098" t="e">
        <f>IF($D$1212="",0,$D1415*Table3[[#This Row],[CF]]*chronic_consumption!$AA215/1000/$C$3)</f>
        <v>#DIV/0!</v>
      </c>
      <c r="AG1415" s="1098" t="e">
        <f>IF($D$1212="",0,$D1415*Table3[[#This Row],[CF]]*chronic_consumption!$AB215/1000/$C$3)</f>
        <v>#DIV/0!</v>
      </c>
      <c r="AH1415" s="1098" t="e">
        <f>IF($D$1212="",0,$D1415*Table3[[#This Row],[CF]]*chronic_consumption!$AC215/1000/$C$3)</f>
        <v>#DIV/0!</v>
      </c>
      <c r="AI1415" s="1098" t="e">
        <f>IF($D$1212="",0,$D1415*Table3[[#This Row],[CF]]*chronic_consumption!$AD215/1000/$C$3)</f>
        <v>#DIV/0!</v>
      </c>
      <c r="AJ1415" s="1098" t="e">
        <f>IF($D$1212="",0,$D1415*Table3[[#This Row],[CF]]*chronic_consumption!$AE215/1000/$C$3)</f>
        <v>#DIV/0!</v>
      </c>
      <c r="AK1415" s="1098" t="e">
        <f>IF($D$1212="",0,$D1415*Table3[[#This Row],[CF]]*chronic_consumption!$AF215/1000/$C$3)</f>
        <v>#DIV/0!</v>
      </c>
      <c r="AL1415" s="1098" t="e">
        <f>IF($D$1212="",0,$D1415*Table3[[#This Row],[CF]]*chronic_consumption!$AG215/1000/$C$3)</f>
        <v>#DIV/0!</v>
      </c>
      <c r="AM1415" s="1098" t="e">
        <f>IF($D$1212="",0,$D1415*Table3[[#This Row],[CF]]*chronic_consumption!$AH215/1000/$C$3)</f>
        <v>#DIV/0!</v>
      </c>
      <c r="AN1415" s="1098" t="e">
        <f>IF($D$1212="",0,$D1415*Table3[[#This Row],[CF]]*chronic_consumption!$AI215/1000/$C$3)</f>
        <v>#DIV/0!</v>
      </c>
      <c r="AO1415" s="1098" t="e">
        <f>IF($D$1212="",0,$D1415*Table3[[#This Row],[CF]]*chronic_consumption!$AJ215/1000/$C$3)</f>
        <v>#DIV/0!</v>
      </c>
      <c r="AP1415" s="1098" t="e">
        <f>IF($D$1212="",0,$D1415*Table3[[#This Row],[CF]]*chronic_consumption!$AK215/1000/$C$3)</f>
        <v>#DIV/0!</v>
      </c>
      <c r="AQ1415" s="1098" t="e">
        <f>IF($D$1212="",0,$D1415*Table3[[#This Row],[CF]]*chronic_consumption!$AL215/1000/$C$3)</f>
        <v>#DIV/0!</v>
      </c>
      <c r="AR1415" s="1098" t="e">
        <f>IF($D$1212="",0,$D1415*Table3[[#This Row],[CF]]*chronic_consumption!$AM215/1000/$C$3)</f>
        <v>#DIV/0!</v>
      </c>
      <c r="AS1415" s="1098" t="e">
        <f>IF($D$1212="",0,$D1415*Table3[[#This Row],[CF]]*chronic_consumption!$AN215/1000/$C$3)</f>
        <v>#DIV/0!</v>
      </c>
      <c r="AT1415" s="1098" t="e">
        <f>IF($D$1212="",0,$D1415*Table3[[#This Row],[CF]]*chronic_consumption!$AO215/1000/$C$3)</f>
        <v>#DIV/0!</v>
      </c>
      <c r="AU1415" s="1099" t="e">
        <f t="shared" si="868"/>
        <v>#DIV/0!</v>
      </c>
      <c r="AV1415" s="1099" t="e">
        <f t="shared" si="868"/>
        <v>#DIV/0!</v>
      </c>
      <c r="AW1415" s="1099" t="e">
        <f t="shared" si="868"/>
        <v>#DIV/0!</v>
      </c>
      <c r="AX1415" s="1099" t="e">
        <f t="shared" si="868"/>
        <v>#DIV/0!</v>
      </c>
      <c r="AY1415" s="1099" t="e">
        <f t="shared" si="868"/>
        <v>#DIV/0!</v>
      </c>
      <c r="AZ1415" s="1091" t="s">
        <v>1012</v>
      </c>
      <c r="BA1415" s="1097" t="e">
        <f>IF(Table3[[#This Row],[max]]&lt;&gt;0,RANK(Table3[[#This Row],[max]],Table3[max],0),"")</f>
        <v>#DIV/0!</v>
      </c>
      <c r="BB1415" s="1096" t="e">
        <f t="shared" si="865"/>
        <v>#DIV/0!</v>
      </c>
      <c r="BC1415" s="1096" t="e">
        <f t="shared" ca="1" si="866"/>
        <v>#DIV/0!</v>
      </c>
      <c r="BD1415" s="1096" t="e">
        <f>IF(Table3[[#This Row],[max]]&gt;0,Table3[[#This Row],[Crop groups and examples of individual products within the groups to which the MRLs apply]],"")</f>
        <v>#DIV/0!</v>
      </c>
    </row>
    <row r="1416" spans="2:56" x14ac:dyDescent="0.2">
      <c r="B1416" s="23">
        <f t="shared" si="867"/>
        <v>300040</v>
      </c>
      <c r="C1416" s="23" t="str">
        <f t="shared" si="867"/>
        <v>Lupins/lupini beans</v>
      </c>
      <c r="D1416" s="1084">
        <f>input_values!E216</f>
        <v>0</v>
      </c>
      <c r="E1416" s="1084">
        <f>input_values!F216</f>
        <v>0</v>
      </c>
      <c r="F1416" s="1085">
        <f>input_values!W216</f>
        <v>1</v>
      </c>
      <c r="G1416" s="1085" t="str">
        <f>IF(Table3[[#This Row],[CF]]&gt;0,CONCATENATE(IF(Table3[[#This Row],[LOQ]]="*","LOQ","MRL"),IF(input_values!G216&gt;0,"×CFrisk","")),"")</f>
        <v>MRL</v>
      </c>
      <c r="H1416" s="1087">
        <f>input_values!L216</f>
        <v>0</v>
      </c>
      <c r="I1416" s="1088">
        <f>input_values!D216</f>
        <v>0</v>
      </c>
      <c r="J1416" s="1098" t="e">
        <f>IF($D$1212="",0,$D1416*Table3[[#This Row],[CF]]*chronic_consumption!$E216/1000/$C$3)</f>
        <v>#DIV/0!</v>
      </c>
      <c r="K1416" s="1098" t="e">
        <f>IF($D$1212="",0,$D1416*Table3[[#This Row],[CF]]*chronic_consumption!$F216/1000/$C$3)</f>
        <v>#DIV/0!</v>
      </c>
      <c r="L1416" s="1098" t="e">
        <f>IF($D$1212="",0,$D1416*Table3[[#This Row],[CF]]*chronic_consumption!$G216/1000/$C$3)</f>
        <v>#DIV/0!</v>
      </c>
      <c r="M1416" s="1098" t="e">
        <f>IF($D$1212="",0,$D1416*Table3[[#This Row],[CF]]*chronic_consumption!$H216/1000/$C$3)</f>
        <v>#DIV/0!</v>
      </c>
      <c r="N1416" s="1098" t="e">
        <f>IF($D$1212="",0,$D1416*Table3[[#This Row],[CF]]*chronic_consumption!$I216/1000/$C$3)</f>
        <v>#DIV/0!</v>
      </c>
      <c r="O1416" s="1098" t="e">
        <f>IF($D$1212="",0,$D1416*Table3[[#This Row],[CF]]*chronic_consumption!$J216/1000/$C$3)</f>
        <v>#DIV/0!</v>
      </c>
      <c r="P1416" s="1098" t="e">
        <f>IF($D$1212="",0,$D1416*Table3[[#This Row],[CF]]*chronic_consumption!$K216/1000/$C$3)</f>
        <v>#DIV/0!</v>
      </c>
      <c r="Q1416" s="1098" t="e">
        <f>IF($D$1212="",0,$D1416*Table3[[#This Row],[CF]]*chronic_consumption!$L216/1000/$C$3)</f>
        <v>#DIV/0!</v>
      </c>
      <c r="R1416" s="1098" t="e">
        <f>IF($D$1212="",0,$D1416*Table3[[#This Row],[CF]]*chronic_consumption!$M216/1000/$C$3)</f>
        <v>#DIV/0!</v>
      </c>
      <c r="S1416" s="1098" t="e">
        <f>IF($D$1212="",0,$D1416*Table3[[#This Row],[CF]]*chronic_consumption!$N216/1000/$C$3)</f>
        <v>#DIV/0!</v>
      </c>
      <c r="T1416" s="1098" t="e">
        <f>IF($D$1212="",0,$D1416*Table3[[#This Row],[CF]]*chronic_consumption!$O216/1000/$C$3)</f>
        <v>#DIV/0!</v>
      </c>
      <c r="U1416" s="1098" t="e">
        <f>IF($D$1212="",0,$D1416*Table3[[#This Row],[CF]]*chronic_consumption!$P216/1000/$C$3)</f>
        <v>#DIV/0!</v>
      </c>
      <c r="V1416" s="1098" t="e">
        <f>IF($D$1212="",0,$D1416*Table3[[#This Row],[CF]]*chronic_consumption!$Q216/1000/$C$3)</f>
        <v>#DIV/0!</v>
      </c>
      <c r="W1416" s="1098" t="e">
        <f>IF($D$1212="",0,$D1416*Table3[[#This Row],[CF]]*chronic_consumption!$R216/1000/$C$3)</f>
        <v>#DIV/0!</v>
      </c>
      <c r="X1416" s="1098" t="e">
        <f>IF($D$1212="",0,$D1416*Table3[[#This Row],[CF]]*chronic_consumption!$S216/1000/$C$3)</f>
        <v>#DIV/0!</v>
      </c>
      <c r="Y1416" s="1098" t="e">
        <f>IF($D$1212="",0,$D1416*Table3[[#This Row],[CF]]*chronic_consumption!$T216/1000/$C$3)</f>
        <v>#DIV/0!</v>
      </c>
      <c r="Z1416" s="1098" t="e">
        <f>IF($D$1212="",0,$D1416*Table3[[#This Row],[CF]]*chronic_consumption!$U216/1000/$C$3)</f>
        <v>#DIV/0!</v>
      </c>
      <c r="AA1416" s="1098" t="e">
        <f>IF($D$1212="",0,$D1416*Table3[[#This Row],[CF]]*chronic_consumption!$V216/1000/$C$3)</f>
        <v>#DIV/0!</v>
      </c>
      <c r="AB1416" s="1098" t="e">
        <f>IF($D$1212="",0,$D1416*Table3[[#This Row],[CF]]*chronic_consumption!$W216/1000/$C$3)</f>
        <v>#DIV/0!</v>
      </c>
      <c r="AC1416" s="1098" t="e">
        <f>IF($D$1212="",0,$D1416*Table3[[#This Row],[CF]]*chronic_consumption!$X216/1000/$C$3)</f>
        <v>#DIV/0!</v>
      </c>
      <c r="AD1416" s="1098" t="e">
        <f>IF($D$1212="",0,$D1416*Table3[[#This Row],[CF]]*chronic_consumption!$Y216/1000/$C$3)</f>
        <v>#DIV/0!</v>
      </c>
      <c r="AE1416" s="1098" t="e">
        <f>IF($D$1212="",0,$D1416*Table3[[#This Row],[CF]]*chronic_consumption!$Z216/1000/$C$3)</f>
        <v>#DIV/0!</v>
      </c>
      <c r="AF1416" s="1098" t="e">
        <f>IF($D$1212="",0,$D1416*Table3[[#This Row],[CF]]*chronic_consumption!$AA216/1000/$C$3)</f>
        <v>#DIV/0!</v>
      </c>
      <c r="AG1416" s="1098" t="e">
        <f>IF($D$1212="",0,$D1416*Table3[[#This Row],[CF]]*chronic_consumption!$AB216/1000/$C$3)</f>
        <v>#DIV/0!</v>
      </c>
      <c r="AH1416" s="1098" t="e">
        <f>IF($D$1212="",0,$D1416*Table3[[#This Row],[CF]]*chronic_consumption!$AC216/1000/$C$3)</f>
        <v>#DIV/0!</v>
      </c>
      <c r="AI1416" s="1098" t="e">
        <f>IF($D$1212="",0,$D1416*Table3[[#This Row],[CF]]*chronic_consumption!$AD216/1000/$C$3)</f>
        <v>#DIV/0!</v>
      </c>
      <c r="AJ1416" s="1098" t="e">
        <f>IF($D$1212="",0,$D1416*Table3[[#This Row],[CF]]*chronic_consumption!$AE216/1000/$C$3)</f>
        <v>#DIV/0!</v>
      </c>
      <c r="AK1416" s="1098" t="e">
        <f>IF($D$1212="",0,$D1416*Table3[[#This Row],[CF]]*chronic_consumption!$AF216/1000/$C$3)</f>
        <v>#DIV/0!</v>
      </c>
      <c r="AL1416" s="1098" t="e">
        <f>IF($D$1212="",0,$D1416*Table3[[#This Row],[CF]]*chronic_consumption!$AG216/1000/$C$3)</f>
        <v>#DIV/0!</v>
      </c>
      <c r="AM1416" s="1098" t="e">
        <f>IF($D$1212="",0,$D1416*Table3[[#This Row],[CF]]*chronic_consumption!$AH216/1000/$C$3)</f>
        <v>#DIV/0!</v>
      </c>
      <c r="AN1416" s="1098" t="e">
        <f>IF($D$1212="",0,$D1416*Table3[[#This Row],[CF]]*chronic_consumption!$AI216/1000/$C$3)</f>
        <v>#DIV/0!</v>
      </c>
      <c r="AO1416" s="1098" t="e">
        <f>IF($D$1212="",0,$D1416*Table3[[#This Row],[CF]]*chronic_consumption!$AJ216/1000/$C$3)</f>
        <v>#DIV/0!</v>
      </c>
      <c r="AP1416" s="1098" t="e">
        <f>IF($D$1212="",0,$D1416*Table3[[#This Row],[CF]]*chronic_consumption!$AK216/1000/$C$3)</f>
        <v>#DIV/0!</v>
      </c>
      <c r="AQ1416" s="1098" t="e">
        <f>IF($D$1212="",0,$D1416*Table3[[#This Row],[CF]]*chronic_consumption!$AL216/1000/$C$3)</f>
        <v>#DIV/0!</v>
      </c>
      <c r="AR1416" s="1098" t="e">
        <f>IF($D$1212="",0,$D1416*Table3[[#This Row],[CF]]*chronic_consumption!$AM216/1000/$C$3)</f>
        <v>#DIV/0!</v>
      </c>
      <c r="AS1416" s="1098" t="e">
        <f>IF($D$1212="",0,$D1416*Table3[[#This Row],[CF]]*chronic_consumption!$AN216/1000/$C$3)</f>
        <v>#DIV/0!</v>
      </c>
      <c r="AT1416" s="1098" t="e">
        <f>IF($D$1212="",0,$D1416*Table3[[#This Row],[CF]]*chronic_consumption!$AO216/1000/$C$3)</f>
        <v>#DIV/0!</v>
      </c>
      <c r="AU1416" s="1099" t="e">
        <f t="shared" si="868"/>
        <v>#DIV/0!</v>
      </c>
      <c r="AV1416" s="1099" t="e">
        <f t="shared" si="868"/>
        <v>#DIV/0!</v>
      </c>
      <c r="AW1416" s="1099" t="e">
        <f t="shared" si="868"/>
        <v>#DIV/0!</v>
      </c>
      <c r="AX1416" s="1099" t="e">
        <f t="shared" si="868"/>
        <v>#DIV/0!</v>
      </c>
      <c r="AY1416" s="1099" t="e">
        <f t="shared" si="868"/>
        <v>#DIV/0!</v>
      </c>
      <c r="AZ1416" s="1091" t="s">
        <v>1012</v>
      </c>
      <c r="BA1416" s="1097" t="e">
        <f>IF(Table3[[#This Row],[max]]&lt;&gt;0,RANK(Table3[[#This Row],[max]],Table3[max],0),"")</f>
        <v>#DIV/0!</v>
      </c>
      <c r="BB1416" s="1096" t="e">
        <f t="shared" si="865"/>
        <v>#DIV/0!</v>
      </c>
      <c r="BC1416" s="1096" t="e">
        <f t="shared" ca="1" si="866"/>
        <v>#DIV/0!</v>
      </c>
      <c r="BD1416" s="1096" t="e">
        <f>IF(Table3[[#This Row],[max]]&gt;0,Table3[[#This Row],[Crop groups and examples of individual products within the groups to which the MRLs apply]],"")</f>
        <v>#DIV/0!</v>
      </c>
    </row>
    <row r="1417" spans="2:56" x14ac:dyDescent="0.2">
      <c r="B1417" s="23">
        <f t="shared" si="867"/>
        <v>300990</v>
      </c>
      <c r="C1417" s="23" t="str">
        <f t="shared" si="867"/>
        <v>Other pulses</v>
      </c>
      <c r="D1417" s="1084">
        <f>input_values!E217</f>
        <v>0</v>
      </c>
      <c r="E1417" s="1084">
        <f>input_values!F217</f>
        <v>0</v>
      </c>
      <c r="F1417" s="1085">
        <f>input_values!W217</f>
        <v>1</v>
      </c>
      <c r="G1417" s="1085" t="str">
        <f>IF(Table3[[#This Row],[CF]]&gt;0,CONCATENATE(IF(Table3[[#This Row],[LOQ]]="*","LOQ","MRL"),IF(input_values!G217&gt;0,"×CFrisk","")),"")</f>
        <v>MRL</v>
      </c>
      <c r="H1417" s="1087">
        <f>input_values!L217</f>
        <v>0</v>
      </c>
      <c r="I1417" s="1088">
        <f>input_values!D217</f>
        <v>0</v>
      </c>
      <c r="J1417" s="1098" t="e">
        <f>IF($D$1212="",0,$D1417*Table3[[#This Row],[CF]]*chronic_consumption!$E217/1000/$C$3)</f>
        <v>#DIV/0!</v>
      </c>
      <c r="K1417" s="1098" t="e">
        <f>IF($D$1212="",0,$D1417*Table3[[#This Row],[CF]]*chronic_consumption!$F217/1000/$C$3)</f>
        <v>#DIV/0!</v>
      </c>
      <c r="L1417" s="1098" t="e">
        <f>IF($D$1212="",0,$D1417*Table3[[#This Row],[CF]]*chronic_consumption!$G217/1000/$C$3)</f>
        <v>#DIV/0!</v>
      </c>
      <c r="M1417" s="1098" t="e">
        <f>IF($D$1212="",0,$D1417*Table3[[#This Row],[CF]]*chronic_consumption!$H217/1000/$C$3)</f>
        <v>#DIV/0!</v>
      </c>
      <c r="N1417" s="1098" t="e">
        <f>IF($D$1212="",0,$D1417*Table3[[#This Row],[CF]]*chronic_consumption!$I217/1000/$C$3)</f>
        <v>#DIV/0!</v>
      </c>
      <c r="O1417" s="1098" t="e">
        <f>IF($D$1212="",0,$D1417*Table3[[#This Row],[CF]]*chronic_consumption!$J217/1000/$C$3)</f>
        <v>#DIV/0!</v>
      </c>
      <c r="P1417" s="1098" t="e">
        <f>IF($D$1212="",0,$D1417*Table3[[#This Row],[CF]]*chronic_consumption!$K217/1000/$C$3)</f>
        <v>#DIV/0!</v>
      </c>
      <c r="Q1417" s="1098" t="e">
        <f>IF($D$1212="",0,$D1417*Table3[[#This Row],[CF]]*chronic_consumption!$L217/1000/$C$3)</f>
        <v>#DIV/0!</v>
      </c>
      <c r="R1417" s="1098" t="e">
        <f>IF($D$1212="",0,$D1417*Table3[[#This Row],[CF]]*chronic_consumption!$M217/1000/$C$3)</f>
        <v>#DIV/0!</v>
      </c>
      <c r="S1417" s="1098" t="e">
        <f>IF($D$1212="",0,$D1417*Table3[[#This Row],[CF]]*chronic_consumption!$N217/1000/$C$3)</f>
        <v>#DIV/0!</v>
      </c>
      <c r="T1417" s="1098" t="e">
        <f>IF($D$1212="",0,$D1417*Table3[[#This Row],[CF]]*chronic_consumption!$O217/1000/$C$3)</f>
        <v>#DIV/0!</v>
      </c>
      <c r="U1417" s="1098" t="e">
        <f>IF($D$1212="",0,$D1417*Table3[[#This Row],[CF]]*chronic_consumption!$P217/1000/$C$3)</f>
        <v>#DIV/0!</v>
      </c>
      <c r="V1417" s="1098" t="e">
        <f>IF($D$1212="",0,$D1417*Table3[[#This Row],[CF]]*chronic_consumption!$Q217/1000/$C$3)</f>
        <v>#DIV/0!</v>
      </c>
      <c r="W1417" s="1098" t="e">
        <f>IF($D$1212="",0,$D1417*Table3[[#This Row],[CF]]*chronic_consumption!$R217/1000/$C$3)</f>
        <v>#DIV/0!</v>
      </c>
      <c r="X1417" s="1098" t="e">
        <f>IF($D$1212="",0,$D1417*Table3[[#This Row],[CF]]*chronic_consumption!$S217/1000/$C$3)</f>
        <v>#DIV/0!</v>
      </c>
      <c r="Y1417" s="1098" t="e">
        <f>IF($D$1212="",0,$D1417*Table3[[#This Row],[CF]]*chronic_consumption!$T217/1000/$C$3)</f>
        <v>#DIV/0!</v>
      </c>
      <c r="Z1417" s="1098" t="e">
        <f>IF($D$1212="",0,$D1417*Table3[[#This Row],[CF]]*chronic_consumption!$U217/1000/$C$3)</f>
        <v>#DIV/0!</v>
      </c>
      <c r="AA1417" s="1098" t="e">
        <f>IF($D$1212="",0,$D1417*Table3[[#This Row],[CF]]*chronic_consumption!$V217/1000/$C$3)</f>
        <v>#DIV/0!</v>
      </c>
      <c r="AB1417" s="1098" t="e">
        <f>IF($D$1212="",0,$D1417*Table3[[#This Row],[CF]]*chronic_consumption!$W217/1000/$C$3)</f>
        <v>#DIV/0!</v>
      </c>
      <c r="AC1417" s="1098" t="e">
        <f>IF($D$1212="",0,$D1417*Table3[[#This Row],[CF]]*chronic_consumption!$X217/1000/$C$3)</f>
        <v>#DIV/0!</v>
      </c>
      <c r="AD1417" s="1098" t="e">
        <f>IF($D$1212="",0,$D1417*Table3[[#This Row],[CF]]*chronic_consumption!$Y217/1000/$C$3)</f>
        <v>#DIV/0!</v>
      </c>
      <c r="AE1417" s="1098" t="e">
        <f>IF($D$1212="",0,$D1417*Table3[[#This Row],[CF]]*chronic_consumption!$Z217/1000/$C$3)</f>
        <v>#DIV/0!</v>
      </c>
      <c r="AF1417" s="1098" t="e">
        <f>IF($D$1212="",0,$D1417*Table3[[#This Row],[CF]]*chronic_consumption!$AA217/1000/$C$3)</f>
        <v>#DIV/0!</v>
      </c>
      <c r="AG1417" s="1098" t="e">
        <f>IF($D$1212="",0,$D1417*Table3[[#This Row],[CF]]*chronic_consumption!$AB217/1000/$C$3)</f>
        <v>#DIV/0!</v>
      </c>
      <c r="AH1417" s="1098" t="e">
        <f>IF($D$1212="",0,$D1417*Table3[[#This Row],[CF]]*chronic_consumption!$AC217/1000/$C$3)</f>
        <v>#DIV/0!</v>
      </c>
      <c r="AI1417" s="1098" t="e">
        <f>IF($D$1212="",0,$D1417*Table3[[#This Row],[CF]]*chronic_consumption!$AD217/1000/$C$3)</f>
        <v>#DIV/0!</v>
      </c>
      <c r="AJ1417" s="1098" t="e">
        <f>IF($D$1212="",0,$D1417*Table3[[#This Row],[CF]]*chronic_consumption!$AE217/1000/$C$3)</f>
        <v>#DIV/0!</v>
      </c>
      <c r="AK1417" s="1098" t="e">
        <f>IF($D$1212="",0,$D1417*Table3[[#This Row],[CF]]*chronic_consumption!$AF217/1000/$C$3)</f>
        <v>#DIV/0!</v>
      </c>
      <c r="AL1417" s="1098" t="e">
        <f>IF($D$1212="",0,$D1417*Table3[[#This Row],[CF]]*chronic_consumption!$AG217/1000/$C$3)</f>
        <v>#DIV/0!</v>
      </c>
      <c r="AM1417" s="1098" t="e">
        <f>IF($D$1212="",0,$D1417*Table3[[#This Row],[CF]]*chronic_consumption!$AH217/1000/$C$3)</f>
        <v>#DIV/0!</v>
      </c>
      <c r="AN1417" s="1098" t="e">
        <f>IF($D$1212="",0,$D1417*Table3[[#This Row],[CF]]*chronic_consumption!$AI217/1000/$C$3)</f>
        <v>#DIV/0!</v>
      </c>
      <c r="AO1417" s="1098" t="e">
        <f>IF($D$1212="",0,$D1417*Table3[[#This Row],[CF]]*chronic_consumption!$AJ217/1000/$C$3)</f>
        <v>#DIV/0!</v>
      </c>
      <c r="AP1417" s="1098" t="e">
        <f>IF($D$1212="",0,$D1417*Table3[[#This Row],[CF]]*chronic_consumption!$AK217/1000/$C$3)</f>
        <v>#DIV/0!</v>
      </c>
      <c r="AQ1417" s="1098" t="e">
        <f>IF($D$1212="",0,$D1417*Table3[[#This Row],[CF]]*chronic_consumption!$AL217/1000/$C$3)</f>
        <v>#DIV/0!</v>
      </c>
      <c r="AR1417" s="1098" t="e">
        <f>IF($D$1212="",0,$D1417*Table3[[#This Row],[CF]]*chronic_consumption!$AM217/1000/$C$3)</f>
        <v>#DIV/0!</v>
      </c>
      <c r="AS1417" s="1098" t="e">
        <f>IF($D$1212="",0,$D1417*Table3[[#This Row],[CF]]*chronic_consumption!$AN217/1000/$C$3)</f>
        <v>#DIV/0!</v>
      </c>
      <c r="AT1417" s="1098" t="e">
        <f>IF($D$1212="",0,$D1417*Table3[[#This Row],[CF]]*chronic_consumption!$AO217/1000/$C$3)</f>
        <v>#DIV/0!</v>
      </c>
      <c r="AU1417" s="1099" t="e">
        <f t="shared" si="868"/>
        <v>#DIV/0!</v>
      </c>
      <c r="AV1417" s="1099" t="e">
        <f t="shared" si="868"/>
        <v>#DIV/0!</v>
      </c>
      <c r="AW1417" s="1099" t="e">
        <f t="shared" si="868"/>
        <v>#DIV/0!</v>
      </c>
      <c r="AX1417" s="1099" t="e">
        <f t="shared" si="868"/>
        <v>#DIV/0!</v>
      </c>
      <c r="AY1417" s="1099" t="e">
        <f t="shared" si="868"/>
        <v>#DIV/0!</v>
      </c>
      <c r="AZ1417" s="1091" t="s">
        <v>1012</v>
      </c>
      <c r="BA1417" s="1097" t="e">
        <f>IF(Table3[[#This Row],[max]]&lt;&gt;0,RANK(Table3[[#This Row],[max]],Table3[max],0),"")</f>
        <v>#DIV/0!</v>
      </c>
      <c r="BB1417" s="1096" t="e">
        <f t="shared" si="865"/>
        <v>#DIV/0!</v>
      </c>
      <c r="BC1417" s="1096" t="e">
        <f t="shared" ca="1" si="866"/>
        <v>#DIV/0!</v>
      </c>
      <c r="BD1417" s="1096" t="e">
        <f>IF(Table3[[#This Row],[max]]&gt;0,Table3[[#This Row],[Crop groups and examples of individual products within the groups to which the MRLs apply]],"")</f>
        <v>#DIV/0!</v>
      </c>
    </row>
    <row r="1418" spans="2:56" x14ac:dyDescent="0.2">
      <c r="B1418" s="127">
        <f t="shared" si="867"/>
        <v>400000</v>
      </c>
      <c r="C1418" s="127" t="str">
        <f t="shared" si="867"/>
        <v>OILSEEDS AND OILFRUITS</v>
      </c>
      <c r="D1418" s="1084">
        <f>input_values!E218</f>
        <v>0</v>
      </c>
      <c r="E1418" s="1084">
        <f>input_values!F218</f>
        <v>0</v>
      </c>
      <c r="F1418" s="1085">
        <f>input_values!W218</f>
        <v>0</v>
      </c>
      <c r="G1418" s="1085" t="str">
        <f>IF(Table3[[#This Row],[CF]]&gt;0,CONCATENATE(IF(Table3[[#This Row],[LOQ]]="*","LOQ","MRL"),IF(input_values!G218&gt;0,"×CFrisk","")),"")</f>
        <v/>
      </c>
      <c r="H1418" s="1087">
        <f>input_values!L218</f>
        <v>0</v>
      </c>
      <c r="I1418" s="1088">
        <f>input_values!D218</f>
        <v>0</v>
      </c>
      <c r="J1418" s="1102" t="e">
        <f>IF($D$1212="",0,$D1418*Table3[[#This Row],[CF]]*chronic_consumption!$E218/1000/$C$3)</f>
        <v>#DIV/0!</v>
      </c>
      <c r="K1418" s="1102" t="e">
        <f>IF($D$1212="",0,$D1418*Table3[[#This Row],[CF]]*chronic_consumption!$F218/1000/$C$3)</f>
        <v>#DIV/0!</v>
      </c>
      <c r="L1418" s="1102" t="e">
        <f>IF($D$1212="",0,$D1418*Table3[[#This Row],[CF]]*chronic_consumption!$G218/1000/$C$3)</f>
        <v>#DIV/0!</v>
      </c>
      <c r="M1418" s="1102" t="e">
        <f>IF($D$1212="",0,$D1418*Table3[[#This Row],[CF]]*chronic_consumption!$H218/1000/$C$3)</f>
        <v>#DIV/0!</v>
      </c>
      <c r="N1418" s="1102" t="e">
        <f>IF($D$1212="",0,$D1418*Table3[[#This Row],[CF]]*chronic_consumption!$I218/1000/$C$3)</f>
        <v>#DIV/0!</v>
      </c>
      <c r="O1418" s="1102" t="e">
        <f>IF($D$1212="",0,$D1418*Table3[[#This Row],[CF]]*chronic_consumption!$J218/1000/$C$3)</f>
        <v>#DIV/0!</v>
      </c>
      <c r="P1418" s="1102" t="e">
        <f>IF($D$1212="",0,$D1418*Table3[[#This Row],[CF]]*chronic_consumption!$K218/1000/$C$3)</f>
        <v>#DIV/0!</v>
      </c>
      <c r="Q1418" s="1102" t="e">
        <f>IF($D$1212="",0,$D1418*Table3[[#This Row],[CF]]*chronic_consumption!$L218/1000/$C$3)</f>
        <v>#DIV/0!</v>
      </c>
      <c r="R1418" s="1102" t="e">
        <f>IF($D$1212="",0,$D1418*Table3[[#This Row],[CF]]*chronic_consumption!$M218/1000/$C$3)</f>
        <v>#DIV/0!</v>
      </c>
      <c r="S1418" s="1102" t="e">
        <f>IF($D$1212="",0,$D1418*Table3[[#This Row],[CF]]*chronic_consumption!$N218/1000/$C$3)</f>
        <v>#DIV/0!</v>
      </c>
      <c r="T1418" s="1102" t="e">
        <f>IF($D$1212="",0,$D1418*Table3[[#This Row],[CF]]*chronic_consumption!$O218/1000/$C$3)</f>
        <v>#DIV/0!</v>
      </c>
      <c r="U1418" s="1102" t="e">
        <f>IF($D$1212="",0,$D1418*Table3[[#This Row],[CF]]*chronic_consumption!$P218/1000/$C$3)</f>
        <v>#DIV/0!</v>
      </c>
      <c r="V1418" s="1102" t="e">
        <f>IF($D$1212="",0,$D1418*Table3[[#This Row],[CF]]*chronic_consumption!$Q218/1000/$C$3)</f>
        <v>#DIV/0!</v>
      </c>
      <c r="W1418" s="1102" t="e">
        <f>IF($D$1212="",0,$D1418*Table3[[#This Row],[CF]]*chronic_consumption!$R218/1000/$C$3)</f>
        <v>#DIV/0!</v>
      </c>
      <c r="X1418" s="1102" t="e">
        <f>IF($D$1212="",0,$D1418*Table3[[#This Row],[CF]]*chronic_consumption!$S218/1000/$C$3)</f>
        <v>#DIV/0!</v>
      </c>
      <c r="Y1418" s="1102" t="e">
        <f>IF($D$1212="",0,$D1418*Table3[[#This Row],[CF]]*chronic_consumption!$T218/1000/$C$3)</f>
        <v>#DIV/0!</v>
      </c>
      <c r="Z1418" s="1102" t="e">
        <f>IF($D$1212="",0,$D1418*Table3[[#This Row],[CF]]*chronic_consumption!$U218/1000/$C$3)</f>
        <v>#DIV/0!</v>
      </c>
      <c r="AA1418" s="1102" t="e">
        <f>IF($D$1212="",0,$D1418*Table3[[#This Row],[CF]]*chronic_consumption!$V218/1000/$C$3)</f>
        <v>#DIV/0!</v>
      </c>
      <c r="AB1418" s="1102" t="e">
        <f>IF($D$1212="",0,$D1418*Table3[[#This Row],[CF]]*chronic_consumption!$W218/1000/$C$3)</f>
        <v>#DIV/0!</v>
      </c>
      <c r="AC1418" s="1102" t="e">
        <f>IF($D$1212="",0,$D1418*Table3[[#This Row],[CF]]*chronic_consumption!$X218/1000/$C$3)</f>
        <v>#DIV/0!</v>
      </c>
      <c r="AD1418" s="1102" t="e">
        <f>IF($D$1212="",0,$D1418*Table3[[#This Row],[CF]]*chronic_consumption!$Y218/1000/$C$3)</f>
        <v>#DIV/0!</v>
      </c>
      <c r="AE1418" s="1102" t="e">
        <f>IF($D$1212="",0,$D1418*Table3[[#This Row],[CF]]*chronic_consumption!$Z218/1000/$C$3)</f>
        <v>#DIV/0!</v>
      </c>
      <c r="AF1418" s="1102" t="e">
        <f>IF($D$1212="",0,$D1418*Table3[[#This Row],[CF]]*chronic_consumption!$AA218/1000/$C$3)</f>
        <v>#DIV/0!</v>
      </c>
      <c r="AG1418" s="1102" t="e">
        <f>IF($D$1212="",0,$D1418*Table3[[#This Row],[CF]]*chronic_consumption!$AB218/1000/$C$3)</f>
        <v>#DIV/0!</v>
      </c>
      <c r="AH1418" s="1102" t="e">
        <f>IF($D$1212="",0,$D1418*Table3[[#This Row],[CF]]*chronic_consumption!$AC218/1000/$C$3)</f>
        <v>#DIV/0!</v>
      </c>
      <c r="AI1418" s="1102" t="e">
        <f>IF($D$1212="",0,$D1418*Table3[[#This Row],[CF]]*chronic_consumption!$AD218/1000/$C$3)</f>
        <v>#DIV/0!</v>
      </c>
      <c r="AJ1418" s="1102" t="e">
        <f>IF($D$1212="",0,$D1418*Table3[[#This Row],[CF]]*chronic_consumption!$AE218/1000/$C$3)</f>
        <v>#DIV/0!</v>
      </c>
      <c r="AK1418" s="1102" t="e">
        <f>IF($D$1212="",0,$D1418*Table3[[#This Row],[CF]]*chronic_consumption!$AF218/1000/$C$3)</f>
        <v>#DIV/0!</v>
      </c>
      <c r="AL1418" s="1102" t="e">
        <f>IF($D$1212="",0,$D1418*Table3[[#This Row],[CF]]*chronic_consumption!$AG218/1000/$C$3)</f>
        <v>#DIV/0!</v>
      </c>
      <c r="AM1418" s="1102" t="e">
        <f>IF($D$1212="",0,$D1418*Table3[[#This Row],[CF]]*chronic_consumption!$AH218/1000/$C$3)</f>
        <v>#DIV/0!</v>
      </c>
      <c r="AN1418" s="1102" t="e">
        <f>IF($D$1212="",0,$D1418*Table3[[#This Row],[CF]]*chronic_consumption!$AI218/1000/$C$3)</f>
        <v>#DIV/0!</v>
      </c>
      <c r="AO1418" s="1102" t="e">
        <f>IF($D$1212="",0,$D1418*Table3[[#This Row],[CF]]*chronic_consumption!$AJ218/1000/$C$3)</f>
        <v>#DIV/0!</v>
      </c>
      <c r="AP1418" s="1102" t="e">
        <f>IF($D$1212="",0,$D1418*Table3[[#This Row],[CF]]*chronic_consumption!$AK218/1000/$C$3)</f>
        <v>#DIV/0!</v>
      </c>
      <c r="AQ1418" s="1102" t="e">
        <f>IF($D$1212="",0,$D1418*Table3[[#This Row],[CF]]*chronic_consumption!$AL218/1000/$C$3)</f>
        <v>#DIV/0!</v>
      </c>
      <c r="AR1418" s="1102" t="e">
        <f>IF($D$1212="",0,$D1418*Table3[[#This Row],[CF]]*chronic_consumption!$AM218/1000/$C$3)</f>
        <v>#DIV/0!</v>
      </c>
      <c r="AS1418" s="1102" t="e">
        <f>IF($D$1212="",0,$D1418*Table3[[#This Row],[CF]]*chronic_consumption!$AN218/1000/$C$3)</f>
        <v>#DIV/0!</v>
      </c>
      <c r="AT1418" s="1102" t="e">
        <f>IF($D$1212="",0,$D1418*Table3[[#This Row],[CF]]*chronic_consumption!$AO218/1000/$C$3)</f>
        <v>#DIV/0!</v>
      </c>
      <c r="AU1418" s="1090" t="e">
        <f t="shared" si="868"/>
        <v>#DIV/0!</v>
      </c>
      <c r="AV1418" s="1090" t="e">
        <f t="shared" si="868"/>
        <v>#DIV/0!</v>
      </c>
      <c r="AW1418" s="1090" t="e">
        <f t="shared" si="868"/>
        <v>#DIV/0!</v>
      </c>
      <c r="AX1418" s="1090" t="e">
        <f t="shared" si="868"/>
        <v>#DIV/0!</v>
      </c>
      <c r="AY1418" s="1090" t="e">
        <f t="shared" si="868"/>
        <v>#DIV/0!</v>
      </c>
      <c r="AZ1418" s="1091" t="s">
        <v>1012</v>
      </c>
      <c r="BA1418" s="1097" t="e">
        <f>IF(Table3[[#This Row],[max]]&lt;&gt;0,RANK(Table3[[#This Row],[max]],Table3[max],0),"")</f>
        <v>#DIV/0!</v>
      </c>
      <c r="BB1418" s="1096" t="e">
        <f t="shared" si="865"/>
        <v>#DIV/0!</v>
      </c>
      <c r="BC1418" s="1096" t="e">
        <f t="shared" ca="1" si="866"/>
        <v>#DIV/0!</v>
      </c>
      <c r="BD1418" s="1096" t="e">
        <f>IF(Table3[[#This Row],[max]]&gt;0,Table3[[#This Row],[Crop groups and examples of individual products within the groups to which the MRLs apply]],"")</f>
        <v>#DIV/0!</v>
      </c>
    </row>
    <row r="1419" spans="2:56" x14ac:dyDescent="0.2">
      <c r="B1419" s="131">
        <f t="shared" si="867"/>
        <v>401000</v>
      </c>
      <c r="C1419" s="131" t="str">
        <f t="shared" si="867"/>
        <v>Oilseeds</v>
      </c>
      <c r="D1419" s="1084">
        <f>input_values!E219</f>
        <v>0</v>
      </c>
      <c r="E1419" s="1084">
        <f>input_values!F219</f>
        <v>0</v>
      </c>
      <c r="F1419" s="1085">
        <f>input_values!W219</f>
        <v>0</v>
      </c>
      <c r="G1419" s="1085" t="str">
        <f>IF(Table3[[#This Row],[CF]]&gt;0,CONCATENATE(IF(Table3[[#This Row],[LOQ]]="*","LOQ","MRL"),IF(input_values!G219&gt;0,"×CFrisk","")),"")</f>
        <v/>
      </c>
      <c r="H1419" s="1087">
        <f>input_values!L219</f>
        <v>0</v>
      </c>
      <c r="I1419" s="1088">
        <f>input_values!D219</f>
        <v>0</v>
      </c>
      <c r="J1419" s="1095" t="e">
        <f>IF($D$1212="",0,$D1419*Table3[[#This Row],[CF]]*chronic_consumption!$E219/1000/$C$3)</f>
        <v>#DIV/0!</v>
      </c>
      <c r="K1419" s="1095" t="e">
        <f>IF($D$1212="",0,$D1419*Table3[[#This Row],[CF]]*chronic_consumption!$F219/1000/$C$3)</f>
        <v>#DIV/0!</v>
      </c>
      <c r="L1419" s="1095" t="e">
        <f>IF($D$1212="",0,$D1419*Table3[[#This Row],[CF]]*chronic_consumption!$G219/1000/$C$3)</f>
        <v>#DIV/0!</v>
      </c>
      <c r="M1419" s="1095" t="e">
        <f>IF($D$1212="",0,$D1419*Table3[[#This Row],[CF]]*chronic_consumption!$H219/1000/$C$3)</f>
        <v>#DIV/0!</v>
      </c>
      <c r="N1419" s="1095" t="e">
        <f>IF($D$1212="",0,$D1419*Table3[[#This Row],[CF]]*chronic_consumption!$I219/1000/$C$3)</f>
        <v>#DIV/0!</v>
      </c>
      <c r="O1419" s="1095" t="e">
        <f>IF($D$1212="",0,$D1419*Table3[[#This Row],[CF]]*chronic_consumption!$J219/1000/$C$3)</f>
        <v>#DIV/0!</v>
      </c>
      <c r="P1419" s="1095" t="e">
        <f>IF($D$1212="",0,$D1419*Table3[[#This Row],[CF]]*chronic_consumption!$K219/1000/$C$3)</f>
        <v>#DIV/0!</v>
      </c>
      <c r="Q1419" s="1095" t="e">
        <f>IF($D$1212="",0,$D1419*Table3[[#This Row],[CF]]*chronic_consumption!$L219/1000/$C$3)</f>
        <v>#DIV/0!</v>
      </c>
      <c r="R1419" s="1095" t="e">
        <f>IF($D$1212="",0,$D1419*Table3[[#This Row],[CF]]*chronic_consumption!$M219/1000/$C$3)</f>
        <v>#DIV/0!</v>
      </c>
      <c r="S1419" s="1095" t="e">
        <f>IF($D$1212="",0,$D1419*Table3[[#This Row],[CF]]*chronic_consumption!$N219/1000/$C$3)</f>
        <v>#DIV/0!</v>
      </c>
      <c r="T1419" s="1095" t="e">
        <f>IF($D$1212="",0,$D1419*Table3[[#This Row],[CF]]*chronic_consumption!$O219/1000/$C$3)</f>
        <v>#DIV/0!</v>
      </c>
      <c r="U1419" s="1095" t="e">
        <f>IF($D$1212="",0,$D1419*Table3[[#This Row],[CF]]*chronic_consumption!$P219/1000/$C$3)</f>
        <v>#DIV/0!</v>
      </c>
      <c r="V1419" s="1095" t="e">
        <f>IF($D$1212="",0,$D1419*Table3[[#This Row],[CF]]*chronic_consumption!$Q219/1000/$C$3)</f>
        <v>#DIV/0!</v>
      </c>
      <c r="W1419" s="1095" t="e">
        <f>IF($D$1212="",0,$D1419*Table3[[#This Row],[CF]]*chronic_consumption!$R219/1000/$C$3)</f>
        <v>#DIV/0!</v>
      </c>
      <c r="X1419" s="1095" t="e">
        <f>IF($D$1212="",0,$D1419*Table3[[#This Row],[CF]]*chronic_consumption!$S219/1000/$C$3)</f>
        <v>#DIV/0!</v>
      </c>
      <c r="Y1419" s="1095" t="e">
        <f>IF($D$1212="",0,$D1419*Table3[[#This Row],[CF]]*chronic_consumption!$T219/1000/$C$3)</f>
        <v>#DIV/0!</v>
      </c>
      <c r="Z1419" s="1095" t="e">
        <f>IF($D$1212="",0,$D1419*Table3[[#This Row],[CF]]*chronic_consumption!$U219/1000/$C$3)</f>
        <v>#DIV/0!</v>
      </c>
      <c r="AA1419" s="1095" t="e">
        <f>IF($D$1212="",0,$D1419*Table3[[#This Row],[CF]]*chronic_consumption!$V219/1000/$C$3)</f>
        <v>#DIV/0!</v>
      </c>
      <c r="AB1419" s="1095" t="e">
        <f>IF($D$1212="",0,$D1419*Table3[[#This Row],[CF]]*chronic_consumption!$W219/1000/$C$3)</f>
        <v>#DIV/0!</v>
      </c>
      <c r="AC1419" s="1095" t="e">
        <f>IF($D$1212="",0,$D1419*Table3[[#This Row],[CF]]*chronic_consumption!$X219/1000/$C$3)</f>
        <v>#DIV/0!</v>
      </c>
      <c r="AD1419" s="1095" t="e">
        <f>IF($D$1212="",0,$D1419*Table3[[#This Row],[CF]]*chronic_consumption!$Y219/1000/$C$3)</f>
        <v>#DIV/0!</v>
      </c>
      <c r="AE1419" s="1095" t="e">
        <f>IF($D$1212="",0,$D1419*Table3[[#This Row],[CF]]*chronic_consumption!$Z219/1000/$C$3)</f>
        <v>#DIV/0!</v>
      </c>
      <c r="AF1419" s="1095" t="e">
        <f>IF($D$1212="",0,$D1419*Table3[[#This Row],[CF]]*chronic_consumption!$AA219/1000/$C$3)</f>
        <v>#DIV/0!</v>
      </c>
      <c r="AG1419" s="1095" t="e">
        <f>IF($D$1212="",0,$D1419*Table3[[#This Row],[CF]]*chronic_consumption!$AB219/1000/$C$3)</f>
        <v>#DIV/0!</v>
      </c>
      <c r="AH1419" s="1095" t="e">
        <f>IF($D$1212="",0,$D1419*Table3[[#This Row],[CF]]*chronic_consumption!$AC219/1000/$C$3)</f>
        <v>#DIV/0!</v>
      </c>
      <c r="AI1419" s="1095" t="e">
        <f>IF($D$1212="",0,$D1419*Table3[[#This Row],[CF]]*chronic_consumption!$AD219/1000/$C$3)</f>
        <v>#DIV/0!</v>
      </c>
      <c r="AJ1419" s="1095" t="e">
        <f>IF($D$1212="",0,$D1419*Table3[[#This Row],[CF]]*chronic_consumption!$AE219/1000/$C$3)</f>
        <v>#DIV/0!</v>
      </c>
      <c r="AK1419" s="1095" t="e">
        <f>IF($D$1212="",0,$D1419*Table3[[#This Row],[CF]]*chronic_consumption!$AF219/1000/$C$3)</f>
        <v>#DIV/0!</v>
      </c>
      <c r="AL1419" s="1095" t="e">
        <f>IF($D$1212="",0,$D1419*Table3[[#This Row],[CF]]*chronic_consumption!$AG219/1000/$C$3)</f>
        <v>#DIV/0!</v>
      </c>
      <c r="AM1419" s="1095" t="e">
        <f>IF($D$1212="",0,$D1419*Table3[[#This Row],[CF]]*chronic_consumption!$AH219/1000/$C$3)</f>
        <v>#DIV/0!</v>
      </c>
      <c r="AN1419" s="1095" t="e">
        <f>IF($D$1212="",0,$D1419*Table3[[#This Row],[CF]]*chronic_consumption!$AI219/1000/$C$3)</f>
        <v>#DIV/0!</v>
      </c>
      <c r="AO1419" s="1095" t="e">
        <f>IF($D$1212="",0,$D1419*Table3[[#This Row],[CF]]*chronic_consumption!$AJ219/1000/$C$3)</f>
        <v>#DIV/0!</v>
      </c>
      <c r="AP1419" s="1095" t="e">
        <f>IF($D$1212="",0,$D1419*Table3[[#This Row],[CF]]*chronic_consumption!$AK219/1000/$C$3)</f>
        <v>#DIV/0!</v>
      </c>
      <c r="AQ1419" s="1095" t="e">
        <f>IF($D$1212="",0,$D1419*Table3[[#This Row],[CF]]*chronic_consumption!$AL219/1000/$C$3)</f>
        <v>#DIV/0!</v>
      </c>
      <c r="AR1419" s="1095" t="e">
        <f>IF($D$1212="",0,$D1419*Table3[[#This Row],[CF]]*chronic_consumption!$AM219/1000/$C$3)</f>
        <v>#DIV/0!</v>
      </c>
      <c r="AS1419" s="1095" t="e">
        <f>IF($D$1212="",0,$D1419*Table3[[#This Row],[CF]]*chronic_consumption!$AN219/1000/$C$3)</f>
        <v>#DIV/0!</v>
      </c>
      <c r="AT1419" s="1095" t="e">
        <f>IF($D$1212="",0,$D1419*Table3[[#This Row],[CF]]*chronic_consumption!$AO219/1000/$C$3)</f>
        <v>#DIV/0!</v>
      </c>
      <c r="AU1419" s="1096" t="e">
        <f t="shared" si="868"/>
        <v>#DIV/0!</v>
      </c>
      <c r="AV1419" s="1096" t="e">
        <f t="shared" si="868"/>
        <v>#DIV/0!</v>
      </c>
      <c r="AW1419" s="1096" t="e">
        <f t="shared" si="868"/>
        <v>#DIV/0!</v>
      </c>
      <c r="AX1419" s="1096" t="e">
        <f t="shared" si="868"/>
        <v>#DIV/0!</v>
      </c>
      <c r="AY1419" s="1096" t="e">
        <f t="shared" si="868"/>
        <v>#DIV/0!</v>
      </c>
      <c r="AZ1419" s="1091" t="s">
        <v>1012</v>
      </c>
      <c r="BA1419" s="1097" t="e">
        <f>IF(Table3[[#This Row],[max]]&lt;&gt;0,RANK(Table3[[#This Row],[max]],Table3[max],0),"")</f>
        <v>#DIV/0!</v>
      </c>
      <c r="BB1419" s="1096" t="e">
        <f t="shared" si="865"/>
        <v>#DIV/0!</v>
      </c>
      <c r="BC1419" s="1096" t="e">
        <f t="shared" ca="1" si="866"/>
        <v>#DIV/0!</v>
      </c>
      <c r="BD1419" s="1096" t="e">
        <f>IF(Table3[[#This Row],[max]]&gt;0,Table3[[#This Row],[Crop groups and examples of individual products within the groups to which the MRLs apply]],"")</f>
        <v>#DIV/0!</v>
      </c>
    </row>
    <row r="1420" spans="2:56" x14ac:dyDescent="0.2">
      <c r="B1420" s="23">
        <f t="shared" si="867"/>
        <v>401010</v>
      </c>
      <c r="C1420" s="23" t="str">
        <f t="shared" si="867"/>
        <v>Linseeds</v>
      </c>
      <c r="D1420" s="1084">
        <f>input_values!E220</f>
        <v>0</v>
      </c>
      <c r="E1420" s="1084">
        <f>input_values!F220</f>
        <v>0</v>
      </c>
      <c r="F1420" s="1085">
        <f>input_values!W220</f>
        <v>1</v>
      </c>
      <c r="G1420" s="1085" t="str">
        <f>IF(Table3[[#This Row],[CF]]&gt;0,CONCATENATE(IF(Table3[[#This Row],[LOQ]]="*","LOQ","MRL"),IF(input_values!G220&gt;0,"×CFrisk","")),"")</f>
        <v>MRL</v>
      </c>
      <c r="H1420" s="1087">
        <f>input_values!L220</f>
        <v>0</v>
      </c>
      <c r="I1420" s="1088">
        <f>input_values!D220</f>
        <v>0</v>
      </c>
      <c r="J1420" s="1098" t="e">
        <f>IF($D$1212="",0,$D1420*Table3[[#This Row],[CF]]*chronic_consumption!$E220/1000/$C$3)</f>
        <v>#DIV/0!</v>
      </c>
      <c r="K1420" s="1098" t="e">
        <f>IF($D$1212="",0,$D1420*Table3[[#This Row],[CF]]*chronic_consumption!$F220/1000/$C$3)</f>
        <v>#DIV/0!</v>
      </c>
      <c r="L1420" s="1098" t="e">
        <f>IF($D$1212="",0,$D1420*Table3[[#This Row],[CF]]*chronic_consumption!$G220/1000/$C$3)</f>
        <v>#DIV/0!</v>
      </c>
      <c r="M1420" s="1098" t="e">
        <f>IF($D$1212="",0,$D1420*Table3[[#This Row],[CF]]*chronic_consumption!$H220/1000/$C$3)</f>
        <v>#DIV/0!</v>
      </c>
      <c r="N1420" s="1098" t="e">
        <f>IF($D$1212="",0,$D1420*Table3[[#This Row],[CF]]*chronic_consumption!$I220/1000/$C$3)</f>
        <v>#DIV/0!</v>
      </c>
      <c r="O1420" s="1098" t="e">
        <f>IF($D$1212="",0,$D1420*Table3[[#This Row],[CF]]*chronic_consumption!$J220/1000/$C$3)</f>
        <v>#DIV/0!</v>
      </c>
      <c r="P1420" s="1098" t="e">
        <f>IF($D$1212="",0,$D1420*Table3[[#This Row],[CF]]*chronic_consumption!$K220/1000/$C$3)</f>
        <v>#DIV/0!</v>
      </c>
      <c r="Q1420" s="1098" t="e">
        <f>IF($D$1212="",0,$D1420*Table3[[#This Row],[CF]]*chronic_consumption!$L220/1000/$C$3)</f>
        <v>#DIV/0!</v>
      </c>
      <c r="R1420" s="1098" t="e">
        <f>IF($D$1212="",0,$D1420*Table3[[#This Row],[CF]]*chronic_consumption!$M220/1000/$C$3)</f>
        <v>#DIV/0!</v>
      </c>
      <c r="S1420" s="1098" t="e">
        <f>IF($D$1212="",0,$D1420*Table3[[#This Row],[CF]]*chronic_consumption!$N220/1000/$C$3)</f>
        <v>#DIV/0!</v>
      </c>
      <c r="T1420" s="1098" t="e">
        <f>IF($D$1212="",0,$D1420*Table3[[#This Row],[CF]]*chronic_consumption!$O220/1000/$C$3)</f>
        <v>#DIV/0!</v>
      </c>
      <c r="U1420" s="1098" t="e">
        <f>IF($D$1212="",0,$D1420*Table3[[#This Row],[CF]]*chronic_consumption!$P220/1000/$C$3)</f>
        <v>#DIV/0!</v>
      </c>
      <c r="V1420" s="1098" t="e">
        <f>IF($D$1212="",0,$D1420*Table3[[#This Row],[CF]]*chronic_consumption!$Q220/1000/$C$3)</f>
        <v>#DIV/0!</v>
      </c>
      <c r="W1420" s="1098" t="e">
        <f>IF($D$1212="",0,$D1420*Table3[[#This Row],[CF]]*chronic_consumption!$R220/1000/$C$3)</f>
        <v>#DIV/0!</v>
      </c>
      <c r="X1420" s="1098" t="e">
        <f>IF($D$1212="",0,$D1420*Table3[[#This Row],[CF]]*chronic_consumption!$S220/1000/$C$3)</f>
        <v>#DIV/0!</v>
      </c>
      <c r="Y1420" s="1098" t="e">
        <f>IF($D$1212="",0,$D1420*Table3[[#This Row],[CF]]*chronic_consumption!$T220/1000/$C$3)</f>
        <v>#DIV/0!</v>
      </c>
      <c r="Z1420" s="1098" t="e">
        <f>IF($D$1212="",0,$D1420*Table3[[#This Row],[CF]]*chronic_consumption!$U220/1000/$C$3)</f>
        <v>#DIV/0!</v>
      </c>
      <c r="AA1420" s="1098" t="e">
        <f>IF($D$1212="",0,$D1420*Table3[[#This Row],[CF]]*chronic_consumption!$V220/1000/$C$3)</f>
        <v>#DIV/0!</v>
      </c>
      <c r="AB1420" s="1098" t="e">
        <f>IF($D$1212="",0,$D1420*Table3[[#This Row],[CF]]*chronic_consumption!$W220/1000/$C$3)</f>
        <v>#DIV/0!</v>
      </c>
      <c r="AC1420" s="1098" t="e">
        <f>IF($D$1212="",0,$D1420*Table3[[#This Row],[CF]]*chronic_consumption!$X220/1000/$C$3)</f>
        <v>#DIV/0!</v>
      </c>
      <c r="AD1420" s="1098" t="e">
        <f>IF($D$1212="",0,$D1420*Table3[[#This Row],[CF]]*chronic_consumption!$Y220/1000/$C$3)</f>
        <v>#DIV/0!</v>
      </c>
      <c r="AE1420" s="1098" t="e">
        <f>IF($D$1212="",0,$D1420*Table3[[#This Row],[CF]]*chronic_consumption!$Z220/1000/$C$3)</f>
        <v>#DIV/0!</v>
      </c>
      <c r="AF1420" s="1098" t="e">
        <f>IF($D$1212="",0,$D1420*Table3[[#This Row],[CF]]*chronic_consumption!$AA220/1000/$C$3)</f>
        <v>#DIV/0!</v>
      </c>
      <c r="AG1420" s="1098" t="e">
        <f>IF($D$1212="",0,$D1420*Table3[[#This Row],[CF]]*chronic_consumption!$AB220/1000/$C$3)</f>
        <v>#DIV/0!</v>
      </c>
      <c r="AH1420" s="1098" t="e">
        <f>IF($D$1212="",0,$D1420*Table3[[#This Row],[CF]]*chronic_consumption!$AC220/1000/$C$3)</f>
        <v>#DIV/0!</v>
      </c>
      <c r="AI1420" s="1098" t="e">
        <f>IF($D$1212="",0,$D1420*Table3[[#This Row],[CF]]*chronic_consumption!$AD220/1000/$C$3)</f>
        <v>#DIV/0!</v>
      </c>
      <c r="AJ1420" s="1098" t="e">
        <f>IF($D$1212="",0,$D1420*Table3[[#This Row],[CF]]*chronic_consumption!$AE220/1000/$C$3)</f>
        <v>#DIV/0!</v>
      </c>
      <c r="AK1420" s="1098" t="e">
        <f>IF($D$1212="",0,$D1420*Table3[[#This Row],[CF]]*chronic_consumption!$AF220/1000/$C$3)</f>
        <v>#DIV/0!</v>
      </c>
      <c r="AL1420" s="1098" t="e">
        <f>IF($D$1212="",0,$D1420*Table3[[#This Row],[CF]]*chronic_consumption!$AG220/1000/$C$3)</f>
        <v>#DIV/0!</v>
      </c>
      <c r="AM1420" s="1098" t="e">
        <f>IF($D$1212="",0,$D1420*Table3[[#This Row],[CF]]*chronic_consumption!$AH220/1000/$C$3)</f>
        <v>#DIV/0!</v>
      </c>
      <c r="AN1420" s="1098" t="e">
        <f>IF($D$1212="",0,$D1420*Table3[[#This Row],[CF]]*chronic_consumption!$AI220/1000/$C$3)</f>
        <v>#DIV/0!</v>
      </c>
      <c r="AO1420" s="1098" t="e">
        <f>IF($D$1212="",0,$D1420*Table3[[#This Row],[CF]]*chronic_consumption!$AJ220/1000/$C$3)</f>
        <v>#DIV/0!</v>
      </c>
      <c r="AP1420" s="1098" t="e">
        <f>IF($D$1212="",0,$D1420*Table3[[#This Row],[CF]]*chronic_consumption!$AK220/1000/$C$3)</f>
        <v>#DIV/0!</v>
      </c>
      <c r="AQ1420" s="1098" t="e">
        <f>IF($D$1212="",0,$D1420*Table3[[#This Row],[CF]]*chronic_consumption!$AL220/1000/$C$3)</f>
        <v>#DIV/0!</v>
      </c>
      <c r="AR1420" s="1098" t="e">
        <f>IF($D$1212="",0,$D1420*Table3[[#This Row],[CF]]*chronic_consumption!$AM220/1000/$C$3)</f>
        <v>#DIV/0!</v>
      </c>
      <c r="AS1420" s="1098" t="e">
        <f>IF($D$1212="",0,$D1420*Table3[[#This Row],[CF]]*chronic_consumption!$AN220/1000/$C$3)</f>
        <v>#DIV/0!</v>
      </c>
      <c r="AT1420" s="1098" t="e">
        <f>IF($D$1212="",0,$D1420*Table3[[#This Row],[CF]]*chronic_consumption!$AO220/1000/$C$3)</f>
        <v>#DIV/0!</v>
      </c>
      <c r="AU1420" s="1099" t="e">
        <f t="shared" si="868"/>
        <v>#DIV/0!</v>
      </c>
      <c r="AV1420" s="1099" t="e">
        <f t="shared" si="868"/>
        <v>#DIV/0!</v>
      </c>
      <c r="AW1420" s="1099" t="e">
        <f t="shared" si="868"/>
        <v>#DIV/0!</v>
      </c>
      <c r="AX1420" s="1099" t="e">
        <f t="shared" si="868"/>
        <v>#DIV/0!</v>
      </c>
      <c r="AY1420" s="1099" t="e">
        <f t="shared" si="868"/>
        <v>#DIV/0!</v>
      </c>
      <c r="AZ1420" s="1091" t="s">
        <v>1012</v>
      </c>
      <c r="BA1420" s="1097" t="e">
        <f>IF(Table3[[#This Row],[max]]&lt;&gt;0,RANK(Table3[[#This Row],[max]],Table3[max],0),"")</f>
        <v>#DIV/0!</v>
      </c>
      <c r="BB1420" s="1096" t="e">
        <f t="shared" si="865"/>
        <v>#DIV/0!</v>
      </c>
      <c r="BC1420" s="1096" t="e">
        <f t="shared" ca="1" si="866"/>
        <v>#DIV/0!</v>
      </c>
      <c r="BD1420" s="1096" t="e">
        <f>IF(Table3[[#This Row],[max]]&gt;0,Table3[[#This Row],[Crop groups and examples of individual products within the groups to which the MRLs apply]],"")</f>
        <v>#DIV/0!</v>
      </c>
    </row>
    <row r="1421" spans="2:56" x14ac:dyDescent="0.2">
      <c r="B1421" s="23">
        <f t="shared" si="867"/>
        <v>401020</v>
      </c>
      <c r="C1421" s="23" t="str">
        <f t="shared" si="867"/>
        <v>Peanuts/groundnuts</v>
      </c>
      <c r="D1421" s="1084">
        <f>input_values!E221</f>
        <v>0</v>
      </c>
      <c r="E1421" s="1084">
        <f>input_values!F221</f>
        <v>0</v>
      </c>
      <c r="F1421" s="1085">
        <f>input_values!W221</f>
        <v>1</v>
      </c>
      <c r="G1421" s="1085" t="str">
        <f>IF(Table3[[#This Row],[CF]]&gt;0,CONCATENATE(IF(Table3[[#This Row],[LOQ]]="*","LOQ","MRL"),IF(input_values!G221&gt;0,"×CFrisk","")),"")</f>
        <v>MRL</v>
      </c>
      <c r="H1421" s="1087">
        <f>input_values!L221</f>
        <v>0</v>
      </c>
      <c r="I1421" s="1088">
        <f>input_values!D221</f>
        <v>0</v>
      </c>
      <c r="J1421" s="1098" t="e">
        <f>IF($D$1212="",0,$D1421*Table3[[#This Row],[CF]]*chronic_consumption!$E221/1000/$C$3)</f>
        <v>#DIV/0!</v>
      </c>
      <c r="K1421" s="1098" t="e">
        <f>IF($D$1212="",0,$D1421*Table3[[#This Row],[CF]]*chronic_consumption!$F221/1000/$C$3)</f>
        <v>#DIV/0!</v>
      </c>
      <c r="L1421" s="1098" t="e">
        <f>IF($D$1212="",0,$D1421*Table3[[#This Row],[CF]]*chronic_consumption!$G221/1000/$C$3)</f>
        <v>#DIV/0!</v>
      </c>
      <c r="M1421" s="1098" t="e">
        <f>IF($D$1212="",0,$D1421*Table3[[#This Row],[CF]]*chronic_consumption!$H221/1000/$C$3)</f>
        <v>#DIV/0!</v>
      </c>
      <c r="N1421" s="1098" t="e">
        <f>IF($D$1212="",0,$D1421*Table3[[#This Row],[CF]]*chronic_consumption!$I221/1000/$C$3)</f>
        <v>#DIV/0!</v>
      </c>
      <c r="O1421" s="1098" t="e">
        <f>IF($D$1212="",0,$D1421*Table3[[#This Row],[CF]]*chronic_consumption!$J221/1000/$C$3)</f>
        <v>#DIV/0!</v>
      </c>
      <c r="P1421" s="1098" t="e">
        <f>IF($D$1212="",0,$D1421*Table3[[#This Row],[CF]]*chronic_consumption!$K221/1000/$C$3)</f>
        <v>#DIV/0!</v>
      </c>
      <c r="Q1421" s="1098" t="e">
        <f>IF($D$1212="",0,$D1421*Table3[[#This Row],[CF]]*chronic_consumption!$L221/1000/$C$3)</f>
        <v>#DIV/0!</v>
      </c>
      <c r="R1421" s="1098" t="e">
        <f>IF($D$1212="",0,$D1421*Table3[[#This Row],[CF]]*chronic_consumption!$M221/1000/$C$3)</f>
        <v>#DIV/0!</v>
      </c>
      <c r="S1421" s="1098" t="e">
        <f>IF($D$1212="",0,$D1421*Table3[[#This Row],[CF]]*chronic_consumption!$N221/1000/$C$3)</f>
        <v>#DIV/0!</v>
      </c>
      <c r="T1421" s="1098" t="e">
        <f>IF($D$1212="",0,$D1421*Table3[[#This Row],[CF]]*chronic_consumption!$O221/1000/$C$3)</f>
        <v>#DIV/0!</v>
      </c>
      <c r="U1421" s="1098" t="e">
        <f>IF($D$1212="",0,$D1421*Table3[[#This Row],[CF]]*chronic_consumption!$P221/1000/$C$3)</f>
        <v>#DIV/0!</v>
      </c>
      <c r="V1421" s="1098" t="e">
        <f>IF($D$1212="",0,$D1421*Table3[[#This Row],[CF]]*chronic_consumption!$Q221/1000/$C$3)</f>
        <v>#DIV/0!</v>
      </c>
      <c r="W1421" s="1098" t="e">
        <f>IF($D$1212="",0,$D1421*Table3[[#This Row],[CF]]*chronic_consumption!$R221/1000/$C$3)</f>
        <v>#DIV/0!</v>
      </c>
      <c r="X1421" s="1098" t="e">
        <f>IF($D$1212="",0,$D1421*Table3[[#This Row],[CF]]*chronic_consumption!$S221/1000/$C$3)</f>
        <v>#DIV/0!</v>
      </c>
      <c r="Y1421" s="1098" t="e">
        <f>IF($D$1212="",0,$D1421*Table3[[#This Row],[CF]]*chronic_consumption!$T221/1000/$C$3)</f>
        <v>#DIV/0!</v>
      </c>
      <c r="Z1421" s="1098" t="e">
        <f>IF($D$1212="",0,$D1421*Table3[[#This Row],[CF]]*chronic_consumption!$U221/1000/$C$3)</f>
        <v>#DIV/0!</v>
      </c>
      <c r="AA1421" s="1098" t="e">
        <f>IF($D$1212="",0,$D1421*Table3[[#This Row],[CF]]*chronic_consumption!$V221/1000/$C$3)</f>
        <v>#DIV/0!</v>
      </c>
      <c r="AB1421" s="1098" t="e">
        <f>IF($D$1212="",0,$D1421*Table3[[#This Row],[CF]]*chronic_consumption!$W221/1000/$C$3)</f>
        <v>#DIV/0!</v>
      </c>
      <c r="AC1421" s="1098" t="e">
        <f>IF($D$1212="",0,$D1421*Table3[[#This Row],[CF]]*chronic_consumption!$X221/1000/$C$3)</f>
        <v>#DIV/0!</v>
      </c>
      <c r="AD1421" s="1098" t="e">
        <f>IF($D$1212="",0,$D1421*Table3[[#This Row],[CF]]*chronic_consumption!$Y221/1000/$C$3)</f>
        <v>#DIV/0!</v>
      </c>
      <c r="AE1421" s="1098" t="e">
        <f>IF($D$1212="",0,$D1421*Table3[[#This Row],[CF]]*chronic_consumption!$Z221/1000/$C$3)</f>
        <v>#DIV/0!</v>
      </c>
      <c r="AF1421" s="1098" t="e">
        <f>IF($D$1212="",0,$D1421*Table3[[#This Row],[CF]]*chronic_consumption!$AA221/1000/$C$3)</f>
        <v>#DIV/0!</v>
      </c>
      <c r="AG1421" s="1098" t="e">
        <f>IF($D$1212="",0,$D1421*Table3[[#This Row],[CF]]*chronic_consumption!$AB221/1000/$C$3)</f>
        <v>#DIV/0!</v>
      </c>
      <c r="AH1421" s="1098" t="e">
        <f>IF($D$1212="",0,$D1421*Table3[[#This Row],[CF]]*chronic_consumption!$AC221/1000/$C$3)</f>
        <v>#DIV/0!</v>
      </c>
      <c r="AI1421" s="1098" t="e">
        <f>IF($D$1212="",0,$D1421*Table3[[#This Row],[CF]]*chronic_consumption!$AD221/1000/$C$3)</f>
        <v>#DIV/0!</v>
      </c>
      <c r="AJ1421" s="1098" t="e">
        <f>IF($D$1212="",0,$D1421*Table3[[#This Row],[CF]]*chronic_consumption!$AE221/1000/$C$3)</f>
        <v>#DIV/0!</v>
      </c>
      <c r="AK1421" s="1098" t="e">
        <f>IF($D$1212="",0,$D1421*Table3[[#This Row],[CF]]*chronic_consumption!$AF221/1000/$C$3)</f>
        <v>#DIV/0!</v>
      </c>
      <c r="AL1421" s="1098" t="e">
        <f>IF($D$1212="",0,$D1421*Table3[[#This Row],[CF]]*chronic_consumption!$AG221/1000/$C$3)</f>
        <v>#DIV/0!</v>
      </c>
      <c r="AM1421" s="1098" t="e">
        <f>IF($D$1212="",0,$D1421*Table3[[#This Row],[CF]]*chronic_consumption!$AH221/1000/$C$3)</f>
        <v>#DIV/0!</v>
      </c>
      <c r="AN1421" s="1098" t="e">
        <f>IF($D$1212="",0,$D1421*Table3[[#This Row],[CF]]*chronic_consumption!$AI221/1000/$C$3)</f>
        <v>#DIV/0!</v>
      </c>
      <c r="AO1421" s="1098" t="e">
        <f>IF($D$1212="",0,$D1421*Table3[[#This Row],[CF]]*chronic_consumption!$AJ221/1000/$C$3)</f>
        <v>#DIV/0!</v>
      </c>
      <c r="AP1421" s="1098" t="e">
        <f>IF($D$1212="",0,$D1421*Table3[[#This Row],[CF]]*chronic_consumption!$AK221/1000/$C$3)</f>
        <v>#DIV/0!</v>
      </c>
      <c r="AQ1421" s="1098" t="e">
        <f>IF($D$1212="",0,$D1421*Table3[[#This Row],[CF]]*chronic_consumption!$AL221/1000/$C$3)</f>
        <v>#DIV/0!</v>
      </c>
      <c r="AR1421" s="1098" t="e">
        <f>IF($D$1212="",0,$D1421*Table3[[#This Row],[CF]]*chronic_consumption!$AM221/1000/$C$3)</f>
        <v>#DIV/0!</v>
      </c>
      <c r="AS1421" s="1098" t="e">
        <f>IF($D$1212="",0,$D1421*Table3[[#This Row],[CF]]*chronic_consumption!$AN221/1000/$C$3)</f>
        <v>#DIV/0!</v>
      </c>
      <c r="AT1421" s="1098" t="e">
        <f>IF($D$1212="",0,$D1421*Table3[[#This Row],[CF]]*chronic_consumption!$AO221/1000/$C$3)</f>
        <v>#DIV/0!</v>
      </c>
      <c r="AU1421" s="1099" t="e">
        <f t="shared" si="868"/>
        <v>#DIV/0!</v>
      </c>
      <c r="AV1421" s="1099" t="e">
        <f t="shared" si="868"/>
        <v>#DIV/0!</v>
      </c>
      <c r="AW1421" s="1099" t="e">
        <f t="shared" si="868"/>
        <v>#DIV/0!</v>
      </c>
      <c r="AX1421" s="1099" t="e">
        <f t="shared" si="868"/>
        <v>#DIV/0!</v>
      </c>
      <c r="AY1421" s="1099" t="e">
        <f t="shared" si="868"/>
        <v>#DIV/0!</v>
      </c>
      <c r="AZ1421" s="1091" t="s">
        <v>1012</v>
      </c>
      <c r="BA1421" s="1097" t="e">
        <f>IF(Table3[[#This Row],[max]]&lt;&gt;0,RANK(Table3[[#This Row],[max]],Table3[max],0),"")</f>
        <v>#DIV/0!</v>
      </c>
      <c r="BB1421" s="1096" t="e">
        <f t="shared" si="865"/>
        <v>#DIV/0!</v>
      </c>
      <c r="BC1421" s="1096" t="e">
        <f t="shared" ca="1" si="866"/>
        <v>#DIV/0!</v>
      </c>
      <c r="BD1421" s="1096" t="e">
        <f>IF(Table3[[#This Row],[max]]&gt;0,Table3[[#This Row],[Crop groups and examples of individual products within the groups to which the MRLs apply]],"")</f>
        <v>#DIV/0!</v>
      </c>
    </row>
    <row r="1422" spans="2:56" x14ac:dyDescent="0.2">
      <c r="B1422" s="23">
        <f t="shared" si="867"/>
        <v>401030</v>
      </c>
      <c r="C1422" s="23" t="str">
        <f t="shared" si="867"/>
        <v>Poppy seeds</v>
      </c>
      <c r="D1422" s="1084">
        <f>input_values!E222</f>
        <v>0</v>
      </c>
      <c r="E1422" s="1084">
        <f>input_values!F222</f>
        <v>0</v>
      </c>
      <c r="F1422" s="1085">
        <f>input_values!W222</f>
        <v>1</v>
      </c>
      <c r="G1422" s="1085" t="str">
        <f>IF(Table3[[#This Row],[CF]]&gt;0,CONCATENATE(IF(Table3[[#This Row],[LOQ]]="*","LOQ","MRL"),IF(input_values!G222&gt;0,"×CFrisk","")),"")</f>
        <v>MRL</v>
      </c>
      <c r="H1422" s="1087">
        <f>input_values!L222</f>
        <v>0</v>
      </c>
      <c r="I1422" s="1088">
        <f>input_values!D222</f>
        <v>0</v>
      </c>
      <c r="J1422" s="1098" t="e">
        <f>IF($D$1212="",0,$D1422*Table3[[#This Row],[CF]]*chronic_consumption!$E222/1000/$C$3)</f>
        <v>#DIV/0!</v>
      </c>
      <c r="K1422" s="1098" t="e">
        <f>IF($D$1212="",0,$D1422*Table3[[#This Row],[CF]]*chronic_consumption!$F222/1000/$C$3)</f>
        <v>#DIV/0!</v>
      </c>
      <c r="L1422" s="1098" t="e">
        <f>IF($D$1212="",0,$D1422*Table3[[#This Row],[CF]]*chronic_consumption!$G222/1000/$C$3)</f>
        <v>#DIV/0!</v>
      </c>
      <c r="M1422" s="1098" t="e">
        <f>IF($D$1212="",0,$D1422*Table3[[#This Row],[CF]]*chronic_consumption!$H222/1000/$C$3)</f>
        <v>#DIV/0!</v>
      </c>
      <c r="N1422" s="1098" t="e">
        <f>IF($D$1212="",0,$D1422*Table3[[#This Row],[CF]]*chronic_consumption!$I222/1000/$C$3)</f>
        <v>#DIV/0!</v>
      </c>
      <c r="O1422" s="1098" t="e">
        <f>IF($D$1212="",0,$D1422*Table3[[#This Row],[CF]]*chronic_consumption!$J222/1000/$C$3)</f>
        <v>#DIV/0!</v>
      </c>
      <c r="P1422" s="1098" t="e">
        <f>IF($D$1212="",0,$D1422*Table3[[#This Row],[CF]]*chronic_consumption!$K222/1000/$C$3)</f>
        <v>#DIV/0!</v>
      </c>
      <c r="Q1422" s="1098" t="e">
        <f>IF($D$1212="",0,$D1422*Table3[[#This Row],[CF]]*chronic_consumption!$L222/1000/$C$3)</f>
        <v>#DIV/0!</v>
      </c>
      <c r="R1422" s="1098" t="e">
        <f>IF($D$1212="",0,$D1422*Table3[[#This Row],[CF]]*chronic_consumption!$M222/1000/$C$3)</f>
        <v>#DIV/0!</v>
      </c>
      <c r="S1422" s="1098" t="e">
        <f>IF($D$1212="",0,$D1422*Table3[[#This Row],[CF]]*chronic_consumption!$N222/1000/$C$3)</f>
        <v>#DIV/0!</v>
      </c>
      <c r="T1422" s="1098" t="e">
        <f>IF($D$1212="",0,$D1422*Table3[[#This Row],[CF]]*chronic_consumption!$O222/1000/$C$3)</f>
        <v>#DIV/0!</v>
      </c>
      <c r="U1422" s="1098" t="e">
        <f>IF($D$1212="",0,$D1422*Table3[[#This Row],[CF]]*chronic_consumption!$P222/1000/$C$3)</f>
        <v>#DIV/0!</v>
      </c>
      <c r="V1422" s="1098" t="e">
        <f>IF($D$1212="",0,$D1422*Table3[[#This Row],[CF]]*chronic_consumption!$Q222/1000/$C$3)</f>
        <v>#DIV/0!</v>
      </c>
      <c r="W1422" s="1098" t="e">
        <f>IF($D$1212="",0,$D1422*Table3[[#This Row],[CF]]*chronic_consumption!$R222/1000/$C$3)</f>
        <v>#DIV/0!</v>
      </c>
      <c r="X1422" s="1098" t="e">
        <f>IF($D$1212="",0,$D1422*Table3[[#This Row],[CF]]*chronic_consumption!$S222/1000/$C$3)</f>
        <v>#DIV/0!</v>
      </c>
      <c r="Y1422" s="1098" t="e">
        <f>IF($D$1212="",0,$D1422*Table3[[#This Row],[CF]]*chronic_consumption!$T222/1000/$C$3)</f>
        <v>#DIV/0!</v>
      </c>
      <c r="Z1422" s="1098" t="e">
        <f>IF($D$1212="",0,$D1422*Table3[[#This Row],[CF]]*chronic_consumption!$U222/1000/$C$3)</f>
        <v>#DIV/0!</v>
      </c>
      <c r="AA1422" s="1098" t="e">
        <f>IF($D$1212="",0,$D1422*Table3[[#This Row],[CF]]*chronic_consumption!$V222/1000/$C$3)</f>
        <v>#DIV/0!</v>
      </c>
      <c r="AB1422" s="1098" t="e">
        <f>IF($D$1212="",0,$D1422*Table3[[#This Row],[CF]]*chronic_consumption!$W222/1000/$C$3)</f>
        <v>#DIV/0!</v>
      </c>
      <c r="AC1422" s="1098" t="e">
        <f>IF($D$1212="",0,$D1422*Table3[[#This Row],[CF]]*chronic_consumption!$X222/1000/$C$3)</f>
        <v>#DIV/0!</v>
      </c>
      <c r="AD1422" s="1098" t="e">
        <f>IF($D$1212="",0,$D1422*Table3[[#This Row],[CF]]*chronic_consumption!$Y222/1000/$C$3)</f>
        <v>#DIV/0!</v>
      </c>
      <c r="AE1422" s="1098" t="e">
        <f>IF($D$1212="",0,$D1422*Table3[[#This Row],[CF]]*chronic_consumption!$Z222/1000/$C$3)</f>
        <v>#DIV/0!</v>
      </c>
      <c r="AF1422" s="1098" t="e">
        <f>IF($D$1212="",0,$D1422*Table3[[#This Row],[CF]]*chronic_consumption!$AA222/1000/$C$3)</f>
        <v>#DIV/0!</v>
      </c>
      <c r="AG1422" s="1098" t="e">
        <f>IF($D$1212="",0,$D1422*Table3[[#This Row],[CF]]*chronic_consumption!$AB222/1000/$C$3)</f>
        <v>#DIV/0!</v>
      </c>
      <c r="AH1422" s="1098" t="e">
        <f>IF($D$1212="",0,$D1422*Table3[[#This Row],[CF]]*chronic_consumption!$AC222/1000/$C$3)</f>
        <v>#DIV/0!</v>
      </c>
      <c r="AI1422" s="1098" t="e">
        <f>IF($D$1212="",0,$D1422*Table3[[#This Row],[CF]]*chronic_consumption!$AD222/1000/$C$3)</f>
        <v>#DIV/0!</v>
      </c>
      <c r="AJ1422" s="1098" t="e">
        <f>IF($D$1212="",0,$D1422*Table3[[#This Row],[CF]]*chronic_consumption!$AE222/1000/$C$3)</f>
        <v>#DIV/0!</v>
      </c>
      <c r="AK1422" s="1098" t="e">
        <f>IF($D$1212="",0,$D1422*Table3[[#This Row],[CF]]*chronic_consumption!$AF222/1000/$C$3)</f>
        <v>#DIV/0!</v>
      </c>
      <c r="AL1422" s="1098" t="e">
        <f>IF($D$1212="",0,$D1422*Table3[[#This Row],[CF]]*chronic_consumption!$AG222/1000/$C$3)</f>
        <v>#DIV/0!</v>
      </c>
      <c r="AM1422" s="1098" t="e">
        <f>IF($D$1212="",0,$D1422*Table3[[#This Row],[CF]]*chronic_consumption!$AH222/1000/$C$3)</f>
        <v>#DIV/0!</v>
      </c>
      <c r="AN1422" s="1098" t="e">
        <f>IF($D$1212="",0,$D1422*Table3[[#This Row],[CF]]*chronic_consumption!$AI222/1000/$C$3)</f>
        <v>#DIV/0!</v>
      </c>
      <c r="AO1422" s="1098" t="e">
        <f>IF($D$1212="",0,$D1422*Table3[[#This Row],[CF]]*chronic_consumption!$AJ222/1000/$C$3)</f>
        <v>#DIV/0!</v>
      </c>
      <c r="AP1422" s="1098" t="e">
        <f>IF($D$1212="",0,$D1422*Table3[[#This Row],[CF]]*chronic_consumption!$AK222/1000/$C$3)</f>
        <v>#DIV/0!</v>
      </c>
      <c r="AQ1422" s="1098" t="e">
        <f>IF($D$1212="",0,$D1422*Table3[[#This Row],[CF]]*chronic_consumption!$AL222/1000/$C$3)</f>
        <v>#DIV/0!</v>
      </c>
      <c r="AR1422" s="1098" t="e">
        <f>IF($D$1212="",0,$D1422*Table3[[#This Row],[CF]]*chronic_consumption!$AM222/1000/$C$3)</f>
        <v>#DIV/0!</v>
      </c>
      <c r="AS1422" s="1098" t="e">
        <f>IF($D$1212="",0,$D1422*Table3[[#This Row],[CF]]*chronic_consumption!$AN222/1000/$C$3)</f>
        <v>#DIV/0!</v>
      </c>
      <c r="AT1422" s="1098" t="e">
        <f>IF($D$1212="",0,$D1422*Table3[[#This Row],[CF]]*chronic_consumption!$AO222/1000/$C$3)</f>
        <v>#DIV/0!</v>
      </c>
      <c r="AU1422" s="1099" t="e">
        <f t="shared" ref="AU1422:AY1431" si="869">IF(AU622="",0,IF(OR(1=RANK(AU1022,AU$412:AU$790,0),(2=RANK(AU1022,AU$412:AU$790,0))),AU1022,AU622))</f>
        <v>#DIV/0!</v>
      </c>
      <c r="AV1422" s="1099" t="e">
        <f t="shared" si="869"/>
        <v>#DIV/0!</v>
      </c>
      <c r="AW1422" s="1099" t="e">
        <f t="shared" si="869"/>
        <v>#DIV/0!</v>
      </c>
      <c r="AX1422" s="1099" t="e">
        <f t="shared" si="869"/>
        <v>#DIV/0!</v>
      </c>
      <c r="AY1422" s="1099" t="e">
        <f t="shared" si="869"/>
        <v>#DIV/0!</v>
      </c>
      <c r="AZ1422" s="1091" t="s">
        <v>1012</v>
      </c>
      <c r="BA1422" s="1097" t="e">
        <f>IF(Table3[[#This Row],[max]]&lt;&gt;0,RANK(Table3[[#This Row],[max]],Table3[max],0),"")</f>
        <v>#DIV/0!</v>
      </c>
      <c r="BB1422" s="1096" t="e">
        <f t="shared" si="865"/>
        <v>#DIV/0!</v>
      </c>
      <c r="BC1422" s="1096" t="e">
        <f t="shared" ca="1" si="866"/>
        <v>#DIV/0!</v>
      </c>
      <c r="BD1422" s="1096" t="e">
        <f>IF(Table3[[#This Row],[max]]&gt;0,Table3[[#This Row],[Crop groups and examples of individual products within the groups to which the MRLs apply]],"")</f>
        <v>#DIV/0!</v>
      </c>
    </row>
    <row r="1423" spans="2:56" x14ac:dyDescent="0.2">
      <c r="B1423" s="23">
        <f t="shared" si="867"/>
        <v>401040</v>
      </c>
      <c r="C1423" s="23" t="str">
        <f t="shared" si="867"/>
        <v>Sesame seeds</v>
      </c>
      <c r="D1423" s="1084">
        <f>input_values!E223</f>
        <v>0</v>
      </c>
      <c r="E1423" s="1084">
        <f>input_values!F223</f>
        <v>0</v>
      </c>
      <c r="F1423" s="1085">
        <f>input_values!W223</f>
        <v>1</v>
      </c>
      <c r="G1423" s="1085" t="str">
        <f>IF(Table3[[#This Row],[CF]]&gt;0,CONCATENATE(IF(Table3[[#This Row],[LOQ]]="*","LOQ","MRL"),IF(input_values!G223&gt;0,"×CFrisk","")),"")</f>
        <v>MRL</v>
      </c>
      <c r="H1423" s="1087">
        <f>input_values!L223</f>
        <v>0</v>
      </c>
      <c r="I1423" s="1088">
        <f>input_values!D223</f>
        <v>0</v>
      </c>
      <c r="J1423" s="1098" t="e">
        <f>IF($D$1212="",0,$D1423*Table3[[#This Row],[CF]]*chronic_consumption!$E223/1000/$C$3)</f>
        <v>#DIV/0!</v>
      </c>
      <c r="K1423" s="1098" t="e">
        <f>IF($D$1212="",0,$D1423*Table3[[#This Row],[CF]]*chronic_consumption!$F223/1000/$C$3)</f>
        <v>#DIV/0!</v>
      </c>
      <c r="L1423" s="1098" t="e">
        <f>IF($D$1212="",0,$D1423*Table3[[#This Row],[CF]]*chronic_consumption!$G223/1000/$C$3)</f>
        <v>#DIV/0!</v>
      </c>
      <c r="M1423" s="1098" t="e">
        <f>IF($D$1212="",0,$D1423*Table3[[#This Row],[CF]]*chronic_consumption!$H223/1000/$C$3)</f>
        <v>#DIV/0!</v>
      </c>
      <c r="N1423" s="1098" t="e">
        <f>IF($D$1212="",0,$D1423*Table3[[#This Row],[CF]]*chronic_consumption!$I223/1000/$C$3)</f>
        <v>#DIV/0!</v>
      </c>
      <c r="O1423" s="1098" t="e">
        <f>IF($D$1212="",0,$D1423*Table3[[#This Row],[CF]]*chronic_consumption!$J223/1000/$C$3)</f>
        <v>#DIV/0!</v>
      </c>
      <c r="P1423" s="1098" t="e">
        <f>IF($D$1212="",0,$D1423*Table3[[#This Row],[CF]]*chronic_consumption!$K223/1000/$C$3)</f>
        <v>#DIV/0!</v>
      </c>
      <c r="Q1423" s="1098" t="e">
        <f>IF($D$1212="",0,$D1423*Table3[[#This Row],[CF]]*chronic_consumption!$L223/1000/$C$3)</f>
        <v>#DIV/0!</v>
      </c>
      <c r="R1423" s="1098" t="e">
        <f>IF($D$1212="",0,$D1423*Table3[[#This Row],[CF]]*chronic_consumption!$M223/1000/$C$3)</f>
        <v>#DIV/0!</v>
      </c>
      <c r="S1423" s="1098" t="e">
        <f>IF($D$1212="",0,$D1423*Table3[[#This Row],[CF]]*chronic_consumption!$N223/1000/$C$3)</f>
        <v>#DIV/0!</v>
      </c>
      <c r="T1423" s="1098" t="e">
        <f>IF($D$1212="",0,$D1423*Table3[[#This Row],[CF]]*chronic_consumption!$O223/1000/$C$3)</f>
        <v>#DIV/0!</v>
      </c>
      <c r="U1423" s="1098" t="e">
        <f>IF($D$1212="",0,$D1423*Table3[[#This Row],[CF]]*chronic_consumption!$P223/1000/$C$3)</f>
        <v>#DIV/0!</v>
      </c>
      <c r="V1423" s="1098" t="e">
        <f>IF($D$1212="",0,$D1423*Table3[[#This Row],[CF]]*chronic_consumption!$Q223/1000/$C$3)</f>
        <v>#DIV/0!</v>
      </c>
      <c r="W1423" s="1098" t="e">
        <f>IF($D$1212="",0,$D1423*Table3[[#This Row],[CF]]*chronic_consumption!$R223/1000/$C$3)</f>
        <v>#DIV/0!</v>
      </c>
      <c r="X1423" s="1098" t="e">
        <f>IF($D$1212="",0,$D1423*Table3[[#This Row],[CF]]*chronic_consumption!$S223/1000/$C$3)</f>
        <v>#DIV/0!</v>
      </c>
      <c r="Y1423" s="1098" t="e">
        <f>IF($D$1212="",0,$D1423*Table3[[#This Row],[CF]]*chronic_consumption!$T223/1000/$C$3)</f>
        <v>#DIV/0!</v>
      </c>
      <c r="Z1423" s="1098" t="e">
        <f>IF($D$1212="",0,$D1423*Table3[[#This Row],[CF]]*chronic_consumption!$U223/1000/$C$3)</f>
        <v>#DIV/0!</v>
      </c>
      <c r="AA1423" s="1098" t="e">
        <f>IF($D$1212="",0,$D1423*Table3[[#This Row],[CF]]*chronic_consumption!$V223/1000/$C$3)</f>
        <v>#DIV/0!</v>
      </c>
      <c r="AB1423" s="1098" t="e">
        <f>IF($D$1212="",0,$D1423*Table3[[#This Row],[CF]]*chronic_consumption!$W223/1000/$C$3)</f>
        <v>#DIV/0!</v>
      </c>
      <c r="AC1423" s="1098" t="e">
        <f>IF($D$1212="",0,$D1423*Table3[[#This Row],[CF]]*chronic_consumption!$X223/1000/$C$3)</f>
        <v>#DIV/0!</v>
      </c>
      <c r="AD1423" s="1098" t="e">
        <f>IF($D$1212="",0,$D1423*Table3[[#This Row],[CF]]*chronic_consumption!$Y223/1000/$C$3)</f>
        <v>#DIV/0!</v>
      </c>
      <c r="AE1423" s="1098" t="e">
        <f>IF($D$1212="",0,$D1423*Table3[[#This Row],[CF]]*chronic_consumption!$Z223/1000/$C$3)</f>
        <v>#DIV/0!</v>
      </c>
      <c r="AF1423" s="1098" t="e">
        <f>IF($D$1212="",0,$D1423*Table3[[#This Row],[CF]]*chronic_consumption!$AA223/1000/$C$3)</f>
        <v>#DIV/0!</v>
      </c>
      <c r="AG1423" s="1098" t="e">
        <f>IF($D$1212="",0,$D1423*Table3[[#This Row],[CF]]*chronic_consumption!$AB223/1000/$C$3)</f>
        <v>#DIV/0!</v>
      </c>
      <c r="AH1423" s="1098" t="e">
        <f>IF($D$1212="",0,$D1423*Table3[[#This Row],[CF]]*chronic_consumption!$AC223/1000/$C$3)</f>
        <v>#DIV/0!</v>
      </c>
      <c r="AI1423" s="1098" t="e">
        <f>IF($D$1212="",0,$D1423*Table3[[#This Row],[CF]]*chronic_consumption!$AD223/1000/$C$3)</f>
        <v>#DIV/0!</v>
      </c>
      <c r="AJ1423" s="1098" t="e">
        <f>IF($D$1212="",0,$D1423*Table3[[#This Row],[CF]]*chronic_consumption!$AE223/1000/$C$3)</f>
        <v>#DIV/0!</v>
      </c>
      <c r="AK1423" s="1098" t="e">
        <f>IF($D$1212="",0,$D1423*Table3[[#This Row],[CF]]*chronic_consumption!$AF223/1000/$C$3)</f>
        <v>#DIV/0!</v>
      </c>
      <c r="AL1423" s="1098" t="e">
        <f>IF($D$1212="",0,$D1423*Table3[[#This Row],[CF]]*chronic_consumption!$AG223/1000/$C$3)</f>
        <v>#DIV/0!</v>
      </c>
      <c r="AM1423" s="1098" t="e">
        <f>IF($D$1212="",0,$D1423*Table3[[#This Row],[CF]]*chronic_consumption!$AH223/1000/$C$3)</f>
        <v>#DIV/0!</v>
      </c>
      <c r="AN1423" s="1098" t="e">
        <f>IF($D$1212="",0,$D1423*Table3[[#This Row],[CF]]*chronic_consumption!$AI223/1000/$C$3)</f>
        <v>#DIV/0!</v>
      </c>
      <c r="AO1423" s="1098" t="e">
        <f>IF($D$1212="",0,$D1423*Table3[[#This Row],[CF]]*chronic_consumption!$AJ223/1000/$C$3)</f>
        <v>#DIV/0!</v>
      </c>
      <c r="AP1423" s="1098" t="e">
        <f>IF($D$1212="",0,$D1423*Table3[[#This Row],[CF]]*chronic_consumption!$AK223/1000/$C$3)</f>
        <v>#DIV/0!</v>
      </c>
      <c r="AQ1423" s="1098" t="e">
        <f>IF($D$1212="",0,$D1423*Table3[[#This Row],[CF]]*chronic_consumption!$AL223/1000/$C$3)</f>
        <v>#DIV/0!</v>
      </c>
      <c r="AR1423" s="1098" t="e">
        <f>IF($D$1212="",0,$D1423*Table3[[#This Row],[CF]]*chronic_consumption!$AM223/1000/$C$3)</f>
        <v>#DIV/0!</v>
      </c>
      <c r="AS1423" s="1098" t="e">
        <f>IF($D$1212="",0,$D1423*Table3[[#This Row],[CF]]*chronic_consumption!$AN223/1000/$C$3)</f>
        <v>#DIV/0!</v>
      </c>
      <c r="AT1423" s="1098" t="e">
        <f>IF($D$1212="",0,$D1423*Table3[[#This Row],[CF]]*chronic_consumption!$AO223/1000/$C$3)</f>
        <v>#DIV/0!</v>
      </c>
      <c r="AU1423" s="1099" t="e">
        <f t="shared" si="869"/>
        <v>#DIV/0!</v>
      </c>
      <c r="AV1423" s="1099" t="e">
        <f t="shared" si="869"/>
        <v>#DIV/0!</v>
      </c>
      <c r="AW1423" s="1099" t="e">
        <f t="shared" si="869"/>
        <v>#DIV/0!</v>
      </c>
      <c r="AX1423" s="1099" t="e">
        <f t="shared" si="869"/>
        <v>#DIV/0!</v>
      </c>
      <c r="AY1423" s="1099" t="e">
        <f t="shared" si="869"/>
        <v>#DIV/0!</v>
      </c>
      <c r="AZ1423" s="1091" t="s">
        <v>1012</v>
      </c>
      <c r="BA1423" s="1097" t="e">
        <f>IF(Table3[[#This Row],[max]]&lt;&gt;0,RANK(Table3[[#This Row],[max]],Table3[max],0),"")</f>
        <v>#DIV/0!</v>
      </c>
      <c r="BB1423" s="1096" t="e">
        <f t="shared" si="865"/>
        <v>#DIV/0!</v>
      </c>
      <c r="BC1423" s="1096" t="e">
        <f t="shared" ca="1" si="866"/>
        <v>#DIV/0!</v>
      </c>
      <c r="BD1423" s="1096" t="e">
        <f>IF(Table3[[#This Row],[max]]&gt;0,Table3[[#This Row],[Crop groups and examples of individual products within the groups to which the MRLs apply]],"")</f>
        <v>#DIV/0!</v>
      </c>
    </row>
    <row r="1424" spans="2:56" x14ac:dyDescent="0.2">
      <c r="B1424" s="23">
        <f t="shared" si="867"/>
        <v>401050</v>
      </c>
      <c r="C1424" s="23" t="str">
        <f t="shared" si="867"/>
        <v>Sunflower seeds</v>
      </c>
      <c r="D1424" s="1084">
        <f>input_values!E224</f>
        <v>0</v>
      </c>
      <c r="E1424" s="1084">
        <f>input_values!F224</f>
        <v>0</v>
      </c>
      <c r="F1424" s="1085">
        <f>input_values!W224</f>
        <v>1</v>
      </c>
      <c r="G1424" s="1085" t="str">
        <f>IF(Table3[[#This Row],[CF]]&gt;0,CONCATENATE(IF(Table3[[#This Row],[LOQ]]="*","LOQ","MRL"),IF(input_values!G224&gt;0,"×CFrisk","")),"")</f>
        <v>MRL</v>
      </c>
      <c r="H1424" s="1087">
        <f>input_values!L224</f>
        <v>0</v>
      </c>
      <c r="I1424" s="1088">
        <f>input_values!D224</f>
        <v>0</v>
      </c>
      <c r="J1424" s="1098" t="e">
        <f>IF($D$1212="",0,$D1424*Table3[[#This Row],[CF]]*chronic_consumption!$E224/1000/$C$3)</f>
        <v>#DIV/0!</v>
      </c>
      <c r="K1424" s="1098" t="e">
        <f>IF($D$1212="",0,$D1424*Table3[[#This Row],[CF]]*chronic_consumption!$F224/1000/$C$3)</f>
        <v>#DIV/0!</v>
      </c>
      <c r="L1424" s="1098" t="e">
        <f>IF($D$1212="",0,$D1424*Table3[[#This Row],[CF]]*chronic_consumption!$G224/1000/$C$3)</f>
        <v>#DIV/0!</v>
      </c>
      <c r="M1424" s="1098" t="e">
        <f>IF($D$1212="",0,$D1424*Table3[[#This Row],[CF]]*chronic_consumption!$H224/1000/$C$3)</f>
        <v>#DIV/0!</v>
      </c>
      <c r="N1424" s="1098" t="e">
        <f>IF($D$1212="",0,$D1424*Table3[[#This Row],[CF]]*chronic_consumption!$I224/1000/$C$3)</f>
        <v>#DIV/0!</v>
      </c>
      <c r="O1424" s="1098" t="e">
        <f>IF($D$1212="",0,$D1424*Table3[[#This Row],[CF]]*chronic_consumption!$J224/1000/$C$3)</f>
        <v>#DIV/0!</v>
      </c>
      <c r="P1424" s="1098" t="e">
        <f>IF($D$1212="",0,$D1424*Table3[[#This Row],[CF]]*chronic_consumption!$K224/1000/$C$3)</f>
        <v>#DIV/0!</v>
      </c>
      <c r="Q1424" s="1098" t="e">
        <f>IF($D$1212="",0,$D1424*Table3[[#This Row],[CF]]*chronic_consumption!$L224/1000/$C$3)</f>
        <v>#DIV/0!</v>
      </c>
      <c r="R1424" s="1098" t="e">
        <f>IF($D$1212="",0,$D1424*Table3[[#This Row],[CF]]*chronic_consumption!$M224/1000/$C$3)</f>
        <v>#DIV/0!</v>
      </c>
      <c r="S1424" s="1098" t="e">
        <f>IF($D$1212="",0,$D1424*Table3[[#This Row],[CF]]*chronic_consumption!$N224/1000/$C$3)</f>
        <v>#DIV/0!</v>
      </c>
      <c r="T1424" s="1098" t="e">
        <f>IF($D$1212="",0,$D1424*Table3[[#This Row],[CF]]*chronic_consumption!$O224/1000/$C$3)</f>
        <v>#DIV/0!</v>
      </c>
      <c r="U1424" s="1098" t="e">
        <f>IF($D$1212="",0,$D1424*Table3[[#This Row],[CF]]*chronic_consumption!$P224/1000/$C$3)</f>
        <v>#DIV/0!</v>
      </c>
      <c r="V1424" s="1098" t="e">
        <f>IF($D$1212="",0,$D1424*Table3[[#This Row],[CF]]*chronic_consumption!$Q224/1000/$C$3)</f>
        <v>#DIV/0!</v>
      </c>
      <c r="W1424" s="1098" t="e">
        <f>IF($D$1212="",0,$D1424*Table3[[#This Row],[CF]]*chronic_consumption!$R224/1000/$C$3)</f>
        <v>#DIV/0!</v>
      </c>
      <c r="X1424" s="1098" t="e">
        <f>IF($D$1212="",0,$D1424*Table3[[#This Row],[CF]]*chronic_consumption!$S224/1000/$C$3)</f>
        <v>#DIV/0!</v>
      </c>
      <c r="Y1424" s="1098" t="e">
        <f>IF($D$1212="",0,$D1424*Table3[[#This Row],[CF]]*chronic_consumption!$T224/1000/$C$3)</f>
        <v>#DIV/0!</v>
      </c>
      <c r="Z1424" s="1098" t="e">
        <f>IF($D$1212="",0,$D1424*Table3[[#This Row],[CF]]*chronic_consumption!$U224/1000/$C$3)</f>
        <v>#DIV/0!</v>
      </c>
      <c r="AA1424" s="1098" t="e">
        <f>IF($D$1212="",0,$D1424*Table3[[#This Row],[CF]]*chronic_consumption!$V224/1000/$C$3)</f>
        <v>#DIV/0!</v>
      </c>
      <c r="AB1424" s="1098" t="e">
        <f>IF($D$1212="",0,$D1424*Table3[[#This Row],[CF]]*chronic_consumption!$W224/1000/$C$3)</f>
        <v>#DIV/0!</v>
      </c>
      <c r="AC1424" s="1098" t="e">
        <f>IF($D$1212="",0,$D1424*Table3[[#This Row],[CF]]*chronic_consumption!$X224/1000/$C$3)</f>
        <v>#DIV/0!</v>
      </c>
      <c r="AD1424" s="1098" t="e">
        <f>IF($D$1212="",0,$D1424*Table3[[#This Row],[CF]]*chronic_consumption!$Y224/1000/$C$3)</f>
        <v>#DIV/0!</v>
      </c>
      <c r="AE1424" s="1098" t="e">
        <f>IF($D$1212="",0,$D1424*Table3[[#This Row],[CF]]*chronic_consumption!$Z224/1000/$C$3)</f>
        <v>#DIV/0!</v>
      </c>
      <c r="AF1424" s="1098" t="e">
        <f>IF($D$1212="",0,$D1424*Table3[[#This Row],[CF]]*chronic_consumption!$AA224/1000/$C$3)</f>
        <v>#DIV/0!</v>
      </c>
      <c r="AG1424" s="1098" t="e">
        <f>IF($D$1212="",0,$D1424*Table3[[#This Row],[CF]]*chronic_consumption!$AB224/1000/$C$3)</f>
        <v>#DIV/0!</v>
      </c>
      <c r="AH1424" s="1098" t="e">
        <f>IF($D$1212="",0,$D1424*Table3[[#This Row],[CF]]*chronic_consumption!$AC224/1000/$C$3)</f>
        <v>#DIV/0!</v>
      </c>
      <c r="AI1424" s="1098" t="e">
        <f>IF($D$1212="",0,$D1424*Table3[[#This Row],[CF]]*chronic_consumption!$AD224/1000/$C$3)</f>
        <v>#DIV/0!</v>
      </c>
      <c r="AJ1424" s="1098" t="e">
        <f>IF($D$1212="",0,$D1424*Table3[[#This Row],[CF]]*chronic_consumption!$AE224/1000/$C$3)</f>
        <v>#DIV/0!</v>
      </c>
      <c r="AK1424" s="1098" t="e">
        <f>IF($D$1212="",0,$D1424*Table3[[#This Row],[CF]]*chronic_consumption!$AF224/1000/$C$3)</f>
        <v>#DIV/0!</v>
      </c>
      <c r="AL1424" s="1098" t="e">
        <f>IF($D$1212="",0,$D1424*Table3[[#This Row],[CF]]*chronic_consumption!$AG224/1000/$C$3)</f>
        <v>#DIV/0!</v>
      </c>
      <c r="AM1424" s="1098" t="e">
        <f>IF($D$1212="",0,$D1424*Table3[[#This Row],[CF]]*chronic_consumption!$AH224/1000/$C$3)</f>
        <v>#DIV/0!</v>
      </c>
      <c r="AN1424" s="1098" t="e">
        <f>IF($D$1212="",0,$D1424*Table3[[#This Row],[CF]]*chronic_consumption!$AI224/1000/$C$3)</f>
        <v>#DIV/0!</v>
      </c>
      <c r="AO1424" s="1098" t="e">
        <f>IF($D$1212="",0,$D1424*Table3[[#This Row],[CF]]*chronic_consumption!$AJ224/1000/$C$3)</f>
        <v>#DIV/0!</v>
      </c>
      <c r="AP1424" s="1098" t="e">
        <f>IF($D$1212="",0,$D1424*Table3[[#This Row],[CF]]*chronic_consumption!$AK224/1000/$C$3)</f>
        <v>#DIV/0!</v>
      </c>
      <c r="AQ1424" s="1098" t="e">
        <f>IF($D$1212="",0,$D1424*Table3[[#This Row],[CF]]*chronic_consumption!$AL224/1000/$C$3)</f>
        <v>#DIV/0!</v>
      </c>
      <c r="AR1424" s="1098" t="e">
        <f>IF($D$1212="",0,$D1424*Table3[[#This Row],[CF]]*chronic_consumption!$AM224/1000/$C$3)</f>
        <v>#DIV/0!</v>
      </c>
      <c r="AS1424" s="1098" t="e">
        <f>IF($D$1212="",0,$D1424*Table3[[#This Row],[CF]]*chronic_consumption!$AN224/1000/$C$3)</f>
        <v>#DIV/0!</v>
      </c>
      <c r="AT1424" s="1098" t="e">
        <f>IF($D$1212="",0,$D1424*Table3[[#This Row],[CF]]*chronic_consumption!$AO224/1000/$C$3)</f>
        <v>#DIV/0!</v>
      </c>
      <c r="AU1424" s="1099" t="e">
        <f t="shared" si="869"/>
        <v>#DIV/0!</v>
      </c>
      <c r="AV1424" s="1099" t="e">
        <f t="shared" si="869"/>
        <v>#DIV/0!</v>
      </c>
      <c r="AW1424" s="1099" t="e">
        <f t="shared" si="869"/>
        <v>#DIV/0!</v>
      </c>
      <c r="AX1424" s="1099" t="e">
        <f t="shared" si="869"/>
        <v>#DIV/0!</v>
      </c>
      <c r="AY1424" s="1099" t="e">
        <f t="shared" si="869"/>
        <v>#DIV/0!</v>
      </c>
      <c r="AZ1424" s="1091" t="s">
        <v>1012</v>
      </c>
      <c r="BA1424" s="1097" t="e">
        <f>IF(Table3[[#This Row],[max]]&lt;&gt;0,RANK(Table3[[#This Row],[max]],Table3[max],0),"")</f>
        <v>#DIV/0!</v>
      </c>
      <c r="BB1424" s="1096" t="e">
        <f t="shared" si="865"/>
        <v>#DIV/0!</v>
      </c>
      <c r="BC1424" s="1096" t="e">
        <f t="shared" ca="1" si="866"/>
        <v>#DIV/0!</v>
      </c>
      <c r="BD1424" s="1096" t="e">
        <f>IF(Table3[[#This Row],[max]]&gt;0,Table3[[#This Row],[Crop groups and examples of individual products within the groups to which the MRLs apply]],"")</f>
        <v>#DIV/0!</v>
      </c>
    </row>
    <row r="1425" spans="2:56" x14ac:dyDescent="0.2">
      <c r="B1425" s="23">
        <f t="shared" si="867"/>
        <v>401060</v>
      </c>
      <c r="C1425" s="23" t="str">
        <f t="shared" si="867"/>
        <v>Rapeseeds/canola seeds</v>
      </c>
      <c r="D1425" s="1084">
        <f>input_values!E225</f>
        <v>0</v>
      </c>
      <c r="E1425" s="1084">
        <f>input_values!F225</f>
        <v>0</v>
      </c>
      <c r="F1425" s="1085">
        <f>input_values!W225</f>
        <v>1</v>
      </c>
      <c r="G1425" s="1085" t="str">
        <f>IF(Table3[[#This Row],[CF]]&gt;0,CONCATENATE(IF(Table3[[#This Row],[LOQ]]="*","LOQ","MRL"),IF(input_values!G225&gt;0,"×CFrisk","")),"")</f>
        <v>MRL</v>
      </c>
      <c r="H1425" s="1087">
        <f>input_values!L225</f>
        <v>0</v>
      </c>
      <c r="I1425" s="1088">
        <f>input_values!D225</f>
        <v>0</v>
      </c>
      <c r="J1425" s="1098" t="e">
        <f>IF($D$1212="",0,$D1425*Table3[[#This Row],[CF]]*chronic_consumption!$E225/1000/$C$3)</f>
        <v>#DIV/0!</v>
      </c>
      <c r="K1425" s="1098" t="e">
        <f>IF($D$1212="",0,$D1425*Table3[[#This Row],[CF]]*chronic_consumption!$F225/1000/$C$3)</f>
        <v>#DIV/0!</v>
      </c>
      <c r="L1425" s="1098" t="e">
        <f>IF($D$1212="",0,$D1425*Table3[[#This Row],[CF]]*chronic_consumption!$G225/1000/$C$3)</f>
        <v>#DIV/0!</v>
      </c>
      <c r="M1425" s="1098" t="e">
        <f>IF($D$1212="",0,$D1425*Table3[[#This Row],[CF]]*chronic_consumption!$H225/1000/$C$3)</f>
        <v>#DIV/0!</v>
      </c>
      <c r="N1425" s="1098" t="e">
        <f>IF($D$1212="",0,$D1425*Table3[[#This Row],[CF]]*chronic_consumption!$I225/1000/$C$3)</f>
        <v>#DIV/0!</v>
      </c>
      <c r="O1425" s="1098" t="e">
        <f>IF($D$1212="",0,$D1425*Table3[[#This Row],[CF]]*chronic_consumption!$J225/1000/$C$3)</f>
        <v>#DIV/0!</v>
      </c>
      <c r="P1425" s="1098" t="e">
        <f>IF($D$1212="",0,$D1425*Table3[[#This Row],[CF]]*chronic_consumption!$K225/1000/$C$3)</f>
        <v>#DIV/0!</v>
      </c>
      <c r="Q1425" s="1098" t="e">
        <f>IF($D$1212="",0,$D1425*Table3[[#This Row],[CF]]*chronic_consumption!$L225/1000/$C$3)</f>
        <v>#DIV/0!</v>
      </c>
      <c r="R1425" s="1098" t="e">
        <f>IF($D$1212="",0,$D1425*Table3[[#This Row],[CF]]*chronic_consumption!$M225/1000/$C$3)</f>
        <v>#DIV/0!</v>
      </c>
      <c r="S1425" s="1098" t="e">
        <f>IF($D$1212="",0,$D1425*Table3[[#This Row],[CF]]*chronic_consumption!$N225/1000/$C$3)</f>
        <v>#DIV/0!</v>
      </c>
      <c r="T1425" s="1098" t="e">
        <f>IF($D$1212="",0,$D1425*Table3[[#This Row],[CF]]*chronic_consumption!$O225/1000/$C$3)</f>
        <v>#DIV/0!</v>
      </c>
      <c r="U1425" s="1098" t="e">
        <f>IF($D$1212="",0,$D1425*Table3[[#This Row],[CF]]*chronic_consumption!$P225/1000/$C$3)</f>
        <v>#DIV/0!</v>
      </c>
      <c r="V1425" s="1098" t="e">
        <f>IF($D$1212="",0,$D1425*Table3[[#This Row],[CF]]*chronic_consumption!$Q225/1000/$C$3)</f>
        <v>#DIV/0!</v>
      </c>
      <c r="W1425" s="1098" t="e">
        <f>IF($D$1212="",0,$D1425*Table3[[#This Row],[CF]]*chronic_consumption!$R225/1000/$C$3)</f>
        <v>#DIV/0!</v>
      </c>
      <c r="X1425" s="1098" t="e">
        <f>IF($D$1212="",0,$D1425*Table3[[#This Row],[CF]]*chronic_consumption!$S225/1000/$C$3)</f>
        <v>#DIV/0!</v>
      </c>
      <c r="Y1425" s="1098" t="e">
        <f>IF($D$1212="",0,$D1425*Table3[[#This Row],[CF]]*chronic_consumption!$T225/1000/$C$3)</f>
        <v>#DIV/0!</v>
      </c>
      <c r="Z1425" s="1098" t="e">
        <f>IF($D$1212="",0,$D1425*Table3[[#This Row],[CF]]*chronic_consumption!$U225/1000/$C$3)</f>
        <v>#DIV/0!</v>
      </c>
      <c r="AA1425" s="1098" t="e">
        <f>IF($D$1212="",0,$D1425*Table3[[#This Row],[CF]]*chronic_consumption!$V225/1000/$C$3)</f>
        <v>#DIV/0!</v>
      </c>
      <c r="AB1425" s="1098" t="e">
        <f>IF($D$1212="",0,$D1425*Table3[[#This Row],[CF]]*chronic_consumption!$W225/1000/$C$3)</f>
        <v>#DIV/0!</v>
      </c>
      <c r="AC1425" s="1098" t="e">
        <f>IF($D$1212="",0,$D1425*Table3[[#This Row],[CF]]*chronic_consumption!$X225/1000/$C$3)</f>
        <v>#DIV/0!</v>
      </c>
      <c r="AD1425" s="1098" t="e">
        <f>IF($D$1212="",0,$D1425*Table3[[#This Row],[CF]]*chronic_consumption!$Y225/1000/$C$3)</f>
        <v>#DIV/0!</v>
      </c>
      <c r="AE1425" s="1098" t="e">
        <f>IF($D$1212="",0,$D1425*Table3[[#This Row],[CF]]*chronic_consumption!$Z225/1000/$C$3)</f>
        <v>#DIV/0!</v>
      </c>
      <c r="AF1425" s="1098" t="e">
        <f>IF($D$1212="",0,$D1425*Table3[[#This Row],[CF]]*chronic_consumption!$AA225/1000/$C$3)</f>
        <v>#DIV/0!</v>
      </c>
      <c r="AG1425" s="1098" t="e">
        <f>IF($D$1212="",0,$D1425*Table3[[#This Row],[CF]]*chronic_consumption!$AB225/1000/$C$3)</f>
        <v>#DIV/0!</v>
      </c>
      <c r="AH1425" s="1098" t="e">
        <f>IF($D$1212="",0,$D1425*Table3[[#This Row],[CF]]*chronic_consumption!$AC225/1000/$C$3)</f>
        <v>#DIV/0!</v>
      </c>
      <c r="AI1425" s="1098" t="e">
        <f>IF($D$1212="",0,$D1425*Table3[[#This Row],[CF]]*chronic_consumption!$AD225/1000/$C$3)</f>
        <v>#DIV/0!</v>
      </c>
      <c r="AJ1425" s="1098" t="e">
        <f>IF($D$1212="",0,$D1425*Table3[[#This Row],[CF]]*chronic_consumption!$AE225/1000/$C$3)</f>
        <v>#DIV/0!</v>
      </c>
      <c r="AK1425" s="1098" t="e">
        <f>IF($D$1212="",0,$D1425*Table3[[#This Row],[CF]]*chronic_consumption!$AF225/1000/$C$3)</f>
        <v>#DIV/0!</v>
      </c>
      <c r="AL1425" s="1098" t="e">
        <f>IF($D$1212="",0,$D1425*Table3[[#This Row],[CF]]*chronic_consumption!$AG225/1000/$C$3)</f>
        <v>#DIV/0!</v>
      </c>
      <c r="AM1425" s="1098" t="e">
        <f>IF($D$1212="",0,$D1425*Table3[[#This Row],[CF]]*chronic_consumption!$AH225/1000/$C$3)</f>
        <v>#DIV/0!</v>
      </c>
      <c r="AN1425" s="1098" t="e">
        <f>IF($D$1212="",0,$D1425*Table3[[#This Row],[CF]]*chronic_consumption!$AI225/1000/$C$3)</f>
        <v>#DIV/0!</v>
      </c>
      <c r="AO1425" s="1098" t="e">
        <f>IF($D$1212="",0,$D1425*Table3[[#This Row],[CF]]*chronic_consumption!$AJ225/1000/$C$3)</f>
        <v>#DIV/0!</v>
      </c>
      <c r="AP1425" s="1098" t="e">
        <f>IF($D$1212="",0,$D1425*Table3[[#This Row],[CF]]*chronic_consumption!$AK225/1000/$C$3)</f>
        <v>#DIV/0!</v>
      </c>
      <c r="AQ1425" s="1098" t="e">
        <f>IF($D$1212="",0,$D1425*Table3[[#This Row],[CF]]*chronic_consumption!$AL225/1000/$C$3)</f>
        <v>#DIV/0!</v>
      </c>
      <c r="AR1425" s="1098" t="e">
        <f>IF($D$1212="",0,$D1425*Table3[[#This Row],[CF]]*chronic_consumption!$AM225/1000/$C$3)</f>
        <v>#DIV/0!</v>
      </c>
      <c r="AS1425" s="1098" t="e">
        <f>IF($D$1212="",0,$D1425*Table3[[#This Row],[CF]]*chronic_consumption!$AN225/1000/$C$3)</f>
        <v>#DIV/0!</v>
      </c>
      <c r="AT1425" s="1098" t="e">
        <f>IF($D$1212="",0,$D1425*Table3[[#This Row],[CF]]*chronic_consumption!$AO225/1000/$C$3)</f>
        <v>#DIV/0!</v>
      </c>
      <c r="AU1425" s="1099" t="e">
        <f t="shared" si="869"/>
        <v>#DIV/0!</v>
      </c>
      <c r="AV1425" s="1099" t="e">
        <f t="shared" si="869"/>
        <v>#DIV/0!</v>
      </c>
      <c r="AW1425" s="1099" t="e">
        <f t="shared" si="869"/>
        <v>#DIV/0!</v>
      </c>
      <c r="AX1425" s="1099" t="e">
        <f t="shared" si="869"/>
        <v>#DIV/0!</v>
      </c>
      <c r="AY1425" s="1099" t="e">
        <f t="shared" si="869"/>
        <v>#DIV/0!</v>
      </c>
      <c r="AZ1425" s="1091" t="s">
        <v>1012</v>
      </c>
      <c r="BA1425" s="1097" t="e">
        <f>IF(Table3[[#This Row],[max]]&lt;&gt;0,RANK(Table3[[#This Row],[max]],Table3[max],0),"")</f>
        <v>#DIV/0!</v>
      </c>
      <c r="BB1425" s="1096" t="e">
        <f t="shared" si="865"/>
        <v>#DIV/0!</v>
      </c>
      <c r="BC1425" s="1096" t="e">
        <f t="shared" ca="1" si="866"/>
        <v>#DIV/0!</v>
      </c>
      <c r="BD1425" s="1096" t="e">
        <f>IF(Table3[[#This Row],[max]]&gt;0,Table3[[#This Row],[Crop groups and examples of individual products within the groups to which the MRLs apply]],"")</f>
        <v>#DIV/0!</v>
      </c>
    </row>
    <row r="1426" spans="2:56" x14ac:dyDescent="0.2">
      <c r="B1426" s="23">
        <f t="shared" si="867"/>
        <v>401070</v>
      </c>
      <c r="C1426" s="23" t="str">
        <f t="shared" si="867"/>
        <v>Soyabeans</v>
      </c>
      <c r="D1426" s="1084">
        <f>input_values!E226</f>
        <v>0</v>
      </c>
      <c r="E1426" s="1084">
        <f>input_values!F226</f>
        <v>0</v>
      </c>
      <c r="F1426" s="1085">
        <f>input_values!W226</f>
        <v>1</v>
      </c>
      <c r="G1426" s="1085" t="str">
        <f>IF(Table3[[#This Row],[CF]]&gt;0,CONCATENATE(IF(Table3[[#This Row],[LOQ]]="*","LOQ","MRL"),IF(input_values!G226&gt;0,"×CFrisk","")),"")</f>
        <v>MRL</v>
      </c>
      <c r="H1426" s="1087">
        <f>input_values!L226</f>
        <v>0</v>
      </c>
      <c r="I1426" s="1088">
        <f>input_values!D226</f>
        <v>0</v>
      </c>
      <c r="J1426" s="1098" t="e">
        <f>IF($D$1212="",0,$D1426*Table3[[#This Row],[CF]]*chronic_consumption!$E226/1000/$C$3)</f>
        <v>#DIV/0!</v>
      </c>
      <c r="K1426" s="1098" t="e">
        <f>IF($D$1212="",0,$D1426*Table3[[#This Row],[CF]]*chronic_consumption!$F226/1000/$C$3)</f>
        <v>#DIV/0!</v>
      </c>
      <c r="L1426" s="1098" t="e">
        <f>IF($D$1212="",0,$D1426*Table3[[#This Row],[CF]]*chronic_consumption!$G226/1000/$C$3)</f>
        <v>#DIV/0!</v>
      </c>
      <c r="M1426" s="1098" t="e">
        <f>IF($D$1212="",0,$D1426*Table3[[#This Row],[CF]]*chronic_consumption!$H226/1000/$C$3)</f>
        <v>#DIV/0!</v>
      </c>
      <c r="N1426" s="1098" t="e">
        <f>IF($D$1212="",0,$D1426*Table3[[#This Row],[CF]]*chronic_consumption!$I226/1000/$C$3)</f>
        <v>#DIV/0!</v>
      </c>
      <c r="O1426" s="1098" t="e">
        <f>IF($D$1212="",0,$D1426*Table3[[#This Row],[CF]]*chronic_consumption!$J226/1000/$C$3)</f>
        <v>#DIV/0!</v>
      </c>
      <c r="P1426" s="1098" t="e">
        <f>IF($D$1212="",0,$D1426*Table3[[#This Row],[CF]]*chronic_consumption!$K226/1000/$C$3)</f>
        <v>#DIV/0!</v>
      </c>
      <c r="Q1426" s="1098" t="e">
        <f>IF($D$1212="",0,$D1426*Table3[[#This Row],[CF]]*chronic_consumption!$L226/1000/$C$3)</f>
        <v>#DIV/0!</v>
      </c>
      <c r="R1426" s="1098" t="e">
        <f>IF($D$1212="",0,$D1426*Table3[[#This Row],[CF]]*chronic_consumption!$M226/1000/$C$3)</f>
        <v>#DIV/0!</v>
      </c>
      <c r="S1426" s="1098" t="e">
        <f>IF($D$1212="",0,$D1426*Table3[[#This Row],[CF]]*chronic_consumption!$N226/1000/$C$3)</f>
        <v>#DIV/0!</v>
      </c>
      <c r="T1426" s="1098" t="e">
        <f>IF($D$1212="",0,$D1426*Table3[[#This Row],[CF]]*chronic_consumption!$O226/1000/$C$3)</f>
        <v>#DIV/0!</v>
      </c>
      <c r="U1426" s="1098" t="e">
        <f>IF($D$1212="",0,$D1426*Table3[[#This Row],[CF]]*chronic_consumption!$P226/1000/$C$3)</f>
        <v>#DIV/0!</v>
      </c>
      <c r="V1426" s="1098" t="e">
        <f>IF($D$1212="",0,$D1426*Table3[[#This Row],[CF]]*chronic_consumption!$Q226/1000/$C$3)</f>
        <v>#DIV/0!</v>
      </c>
      <c r="W1426" s="1098" t="e">
        <f>IF($D$1212="",0,$D1426*Table3[[#This Row],[CF]]*chronic_consumption!$R226/1000/$C$3)</f>
        <v>#DIV/0!</v>
      </c>
      <c r="X1426" s="1098" t="e">
        <f>IF($D$1212="",0,$D1426*Table3[[#This Row],[CF]]*chronic_consumption!$S226/1000/$C$3)</f>
        <v>#DIV/0!</v>
      </c>
      <c r="Y1426" s="1098" t="e">
        <f>IF($D$1212="",0,$D1426*Table3[[#This Row],[CF]]*chronic_consumption!$T226/1000/$C$3)</f>
        <v>#DIV/0!</v>
      </c>
      <c r="Z1426" s="1098" t="e">
        <f>IF($D$1212="",0,$D1426*Table3[[#This Row],[CF]]*chronic_consumption!$U226/1000/$C$3)</f>
        <v>#DIV/0!</v>
      </c>
      <c r="AA1426" s="1098" t="e">
        <f>IF($D$1212="",0,$D1426*Table3[[#This Row],[CF]]*chronic_consumption!$V226/1000/$C$3)</f>
        <v>#DIV/0!</v>
      </c>
      <c r="AB1426" s="1098" t="e">
        <f>IF($D$1212="",0,$D1426*Table3[[#This Row],[CF]]*chronic_consumption!$W226/1000/$C$3)</f>
        <v>#DIV/0!</v>
      </c>
      <c r="AC1426" s="1098" t="e">
        <f>IF($D$1212="",0,$D1426*Table3[[#This Row],[CF]]*chronic_consumption!$X226/1000/$C$3)</f>
        <v>#DIV/0!</v>
      </c>
      <c r="AD1426" s="1098" t="e">
        <f>IF($D$1212="",0,$D1426*Table3[[#This Row],[CF]]*chronic_consumption!$Y226/1000/$C$3)</f>
        <v>#DIV/0!</v>
      </c>
      <c r="AE1426" s="1098" t="e">
        <f>IF($D$1212="",0,$D1426*Table3[[#This Row],[CF]]*chronic_consumption!$Z226/1000/$C$3)</f>
        <v>#DIV/0!</v>
      </c>
      <c r="AF1426" s="1098" t="e">
        <f>IF($D$1212="",0,$D1426*Table3[[#This Row],[CF]]*chronic_consumption!$AA226/1000/$C$3)</f>
        <v>#DIV/0!</v>
      </c>
      <c r="AG1426" s="1098" t="e">
        <f>IF($D$1212="",0,$D1426*Table3[[#This Row],[CF]]*chronic_consumption!$AB226/1000/$C$3)</f>
        <v>#DIV/0!</v>
      </c>
      <c r="AH1426" s="1098" t="e">
        <f>IF($D$1212="",0,$D1426*Table3[[#This Row],[CF]]*chronic_consumption!$AC226/1000/$C$3)</f>
        <v>#DIV/0!</v>
      </c>
      <c r="AI1426" s="1098" t="e">
        <f>IF($D$1212="",0,$D1426*Table3[[#This Row],[CF]]*chronic_consumption!$AD226/1000/$C$3)</f>
        <v>#DIV/0!</v>
      </c>
      <c r="AJ1426" s="1098" t="e">
        <f>IF($D$1212="",0,$D1426*Table3[[#This Row],[CF]]*chronic_consumption!$AE226/1000/$C$3)</f>
        <v>#DIV/0!</v>
      </c>
      <c r="AK1426" s="1098" t="e">
        <f>IF($D$1212="",0,$D1426*Table3[[#This Row],[CF]]*chronic_consumption!$AF226/1000/$C$3)</f>
        <v>#DIV/0!</v>
      </c>
      <c r="AL1426" s="1098" t="e">
        <f>IF($D$1212="",0,$D1426*Table3[[#This Row],[CF]]*chronic_consumption!$AG226/1000/$C$3)</f>
        <v>#DIV/0!</v>
      </c>
      <c r="AM1426" s="1098" t="e">
        <f>IF($D$1212="",0,$D1426*Table3[[#This Row],[CF]]*chronic_consumption!$AH226/1000/$C$3)</f>
        <v>#DIV/0!</v>
      </c>
      <c r="AN1426" s="1098" t="e">
        <f>IF($D$1212="",0,$D1426*Table3[[#This Row],[CF]]*chronic_consumption!$AI226/1000/$C$3)</f>
        <v>#DIV/0!</v>
      </c>
      <c r="AO1426" s="1098" t="e">
        <f>IF($D$1212="",0,$D1426*Table3[[#This Row],[CF]]*chronic_consumption!$AJ226/1000/$C$3)</f>
        <v>#DIV/0!</v>
      </c>
      <c r="AP1426" s="1098" t="e">
        <f>IF($D$1212="",0,$D1426*Table3[[#This Row],[CF]]*chronic_consumption!$AK226/1000/$C$3)</f>
        <v>#DIV/0!</v>
      </c>
      <c r="AQ1426" s="1098" t="e">
        <f>IF($D$1212="",0,$D1426*Table3[[#This Row],[CF]]*chronic_consumption!$AL226/1000/$C$3)</f>
        <v>#DIV/0!</v>
      </c>
      <c r="AR1426" s="1098" t="e">
        <f>IF($D$1212="",0,$D1426*Table3[[#This Row],[CF]]*chronic_consumption!$AM226/1000/$C$3)</f>
        <v>#DIV/0!</v>
      </c>
      <c r="AS1426" s="1098" t="e">
        <f>IF($D$1212="",0,$D1426*Table3[[#This Row],[CF]]*chronic_consumption!$AN226/1000/$C$3)</f>
        <v>#DIV/0!</v>
      </c>
      <c r="AT1426" s="1098" t="e">
        <f>IF($D$1212="",0,$D1426*Table3[[#This Row],[CF]]*chronic_consumption!$AO226/1000/$C$3)</f>
        <v>#DIV/0!</v>
      </c>
      <c r="AU1426" s="1099" t="e">
        <f t="shared" si="869"/>
        <v>#DIV/0!</v>
      </c>
      <c r="AV1426" s="1099" t="e">
        <f t="shared" si="869"/>
        <v>#DIV/0!</v>
      </c>
      <c r="AW1426" s="1099" t="e">
        <f t="shared" si="869"/>
        <v>#DIV/0!</v>
      </c>
      <c r="AX1426" s="1099" t="e">
        <f t="shared" si="869"/>
        <v>#DIV/0!</v>
      </c>
      <c r="AY1426" s="1099" t="e">
        <f t="shared" si="869"/>
        <v>#DIV/0!</v>
      </c>
      <c r="AZ1426" s="1091" t="s">
        <v>1012</v>
      </c>
      <c r="BA1426" s="1097" t="e">
        <f>IF(Table3[[#This Row],[max]]&lt;&gt;0,RANK(Table3[[#This Row],[max]],Table3[max],0),"")</f>
        <v>#DIV/0!</v>
      </c>
      <c r="BB1426" s="1096" t="e">
        <f t="shared" si="865"/>
        <v>#DIV/0!</v>
      </c>
      <c r="BC1426" s="1096" t="e">
        <f t="shared" ca="1" si="866"/>
        <v>#DIV/0!</v>
      </c>
      <c r="BD1426" s="1096" t="e">
        <f>IF(Table3[[#This Row],[max]]&gt;0,Table3[[#This Row],[Crop groups and examples of individual products within the groups to which the MRLs apply]],"")</f>
        <v>#DIV/0!</v>
      </c>
    </row>
    <row r="1427" spans="2:56" x14ac:dyDescent="0.2">
      <c r="B1427" s="23">
        <f t="shared" si="867"/>
        <v>401080</v>
      </c>
      <c r="C1427" s="23" t="str">
        <f t="shared" si="867"/>
        <v>Mustard seeds</v>
      </c>
      <c r="D1427" s="1084">
        <f>input_values!E227</f>
        <v>0</v>
      </c>
      <c r="E1427" s="1084">
        <f>input_values!F227</f>
        <v>0</v>
      </c>
      <c r="F1427" s="1085">
        <f>input_values!W227</f>
        <v>1</v>
      </c>
      <c r="G1427" s="1085" t="str">
        <f>IF(Table3[[#This Row],[CF]]&gt;0,CONCATENATE(IF(Table3[[#This Row],[LOQ]]="*","LOQ","MRL"),IF(input_values!G227&gt;0,"×CFrisk","")),"")</f>
        <v>MRL</v>
      </c>
      <c r="H1427" s="1087">
        <f>input_values!L227</f>
        <v>0</v>
      </c>
      <c r="I1427" s="1088">
        <f>input_values!D227</f>
        <v>0</v>
      </c>
      <c r="J1427" s="1098" t="e">
        <f>IF($D$1212="",0,$D1427*Table3[[#This Row],[CF]]*chronic_consumption!$E227/1000/$C$3)</f>
        <v>#DIV/0!</v>
      </c>
      <c r="K1427" s="1098" t="e">
        <f>IF($D$1212="",0,$D1427*Table3[[#This Row],[CF]]*chronic_consumption!$F227/1000/$C$3)</f>
        <v>#DIV/0!</v>
      </c>
      <c r="L1427" s="1098" t="e">
        <f>IF($D$1212="",0,$D1427*Table3[[#This Row],[CF]]*chronic_consumption!$G227/1000/$C$3)</f>
        <v>#DIV/0!</v>
      </c>
      <c r="M1427" s="1098" t="e">
        <f>IF($D$1212="",0,$D1427*Table3[[#This Row],[CF]]*chronic_consumption!$H227/1000/$C$3)</f>
        <v>#DIV/0!</v>
      </c>
      <c r="N1427" s="1098" t="e">
        <f>IF($D$1212="",0,$D1427*Table3[[#This Row],[CF]]*chronic_consumption!$I227/1000/$C$3)</f>
        <v>#DIV/0!</v>
      </c>
      <c r="O1427" s="1098" t="e">
        <f>IF($D$1212="",0,$D1427*Table3[[#This Row],[CF]]*chronic_consumption!$J227/1000/$C$3)</f>
        <v>#DIV/0!</v>
      </c>
      <c r="P1427" s="1098" t="e">
        <f>IF($D$1212="",0,$D1427*Table3[[#This Row],[CF]]*chronic_consumption!$K227/1000/$C$3)</f>
        <v>#DIV/0!</v>
      </c>
      <c r="Q1427" s="1098" t="e">
        <f>IF($D$1212="",0,$D1427*Table3[[#This Row],[CF]]*chronic_consumption!$L227/1000/$C$3)</f>
        <v>#DIV/0!</v>
      </c>
      <c r="R1427" s="1098" t="e">
        <f>IF($D$1212="",0,$D1427*Table3[[#This Row],[CF]]*chronic_consumption!$M227/1000/$C$3)</f>
        <v>#DIV/0!</v>
      </c>
      <c r="S1427" s="1098" t="e">
        <f>IF($D$1212="",0,$D1427*Table3[[#This Row],[CF]]*chronic_consumption!$N227/1000/$C$3)</f>
        <v>#DIV/0!</v>
      </c>
      <c r="T1427" s="1098" t="e">
        <f>IF($D$1212="",0,$D1427*Table3[[#This Row],[CF]]*chronic_consumption!$O227/1000/$C$3)</f>
        <v>#DIV/0!</v>
      </c>
      <c r="U1427" s="1098" t="e">
        <f>IF($D$1212="",0,$D1427*Table3[[#This Row],[CF]]*chronic_consumption!$P227/1000/$C$3)</f>
        <v>#DIV/0!</v>
      </c>
      <c r="V1427" s="1098" t="e">
        <f>IF($D$1212="",0,$D1427*Table3[[#This Row],[CF]]*chronic_consumption!$Q227/1000/$C$3)</f>
        <v>#DIV/0!</v>
      </c>
      <c r="W1427" s="1098" t="e">
        <f>IF($D$1212="",0,$D1427*Table3[[#This Row],[CF]]*chronic_consumption!$R227/1000/$C$3)</f>
        <v>#DIV/0!</v>
      </c>
      <c r="X1427" s="1098" t="e">
        <f>IF($D$1212="",0,$D1427*Table3[[#This Row],[CF]]*chronic_consumption!$S227/1000/$C$3)</f>
        <v>#DIV/0!</v>
      </c>
      <c r="Y1427" s="1098" t="e">
        <f>IF($D$1212="",0,$D1427*Table3[[#This Row],[CF]]*chronic_consumption!$T227/1000/$C$3)</f>
        <v>#DIV/0!</v>
      </c>
      <c r="Z1427" s="1098" t="e">
        <f>IF($D$1212="",0,$D1427*Table3[[#This Row],[CF]]*chronic_consumption!$U227/1000/$C$3)</f>
        <v>#DIV/0!</v>
      </c>
      <c r="AA1427" s="1098" t="e">
        <f>IF($D$1212="",0,$D1427*Table3[[#This Row],[CF]]*chronic_consumption!$V227/1000/$C$3)</f>
        <v>#DIV/0!</v>
      </c>
      <c r="AB1427" s="1098" t="e">
        <f>IF($D$1212="",0,$D1427*Table3[[#This Row],[CF]]*chronic_consumption!$W227/1000/$C$3)</f>
        <v>#DIV/0!</v>
      </c>
      <c r="AC1427" s="1098" t="e">
        <f>IF($D$1212="",0,$D1427*Table3[[#This Row],[CF]]*chronic_consumption!$X227/1000/$C$3)</f>
        <v>#DIV/0!</v>
      </c>
      <c r="AD1427" s="1098" t="e">
        <f>IF($D$1212="",0,$D1427*Table3[[#This Row],[CF]]*chronic_consumption!$Y227/1000/$C$3)</f>
        <v>#DIV/0!</v>
      </c>
      <c r="AE1427" s="1098" t="e">
        <f>IF($D$1212="",0,$D1427*Table3[[#This Row],[CF]]*chronic_consumption!$Z227/1000/$C$3)</f>
        <v>#DIV/0!</v>
      </c>
      <c r="AF1427" s="1098" t="e">
        <f>IF($D$1212="",0,$D1427*Table3[[#This Row],[CF]]*chronic_consumption!$AA227/1000/$C$3)</f>
        <v>#DIV/0!</v>
      </c>
      <c r="AG1427" s="1098" t="e">
        <f>IF($D$1212="",0,$D1427*Table3[[#This Row],[CF]]*chronic_consumption!$AB227/1000/$C$3)</f>
        <v>#DIV/0!</v>
      </c>
      <c r="AH1427" s="1098" t="e">
        <f>IF($D$1212="",0,$D1427*Table3[[#This Row],[CF]]*chronic_consumption!$AC227/1000/$C$3)</f>
        <v>#DIV/0!</v>
      </c>
      <c r="AI1427" s="1098" t="e">
        <f>IF($D$1212="",0,$D1427*Table3[[#This Row],[CF]]*chronic_consumption!$AD227/1000/$C$3)</f>
        <v>#DIV/0!</v>
      </c>
      <c r="AJ1427" s="1098" t="e">
        <f>IF($D$1212="",0,$D1427*Table3[[#This Row],[CF]]*chronic_consumption!$AE227/1000/$C$3)</f>
        <v>#DIV/0!</v>
      </c>
      <c r="AK1427" s="1098" t="e">
        <f>IF($D$1212="",0,$D1427*Table3[[#This Row],[CF]]*chronic_consumption!$AF227/1000/$C$3)</f>
        <v>#DIV/0!</v>
      </c>
      <c r="AL1427" s="1098" t="e">
        <f>IF($D$1212="",0,$D1427*Table3[[#This Row],[CF]]*chronic_consumption!$AG227/1000/$C$3)</f>
        <v>#DIV/0!</v>
      </c>
      <c r="AM1427" s="1098" t="e">
        <f>IF($D$1212="",0,$D1427*Table3[[#This Row],[CF]]*chronic_consumption!$AH227/1000/$C$3)</f>
        <v>#DIV/0!</v>
      </c>
      <c r="AN1427" s="1098" t="e">
        <f>IF($D$1212="",0,$D1427*Table3[[#This Row],[CF]]*chronic_consumption!$AI227/1000/$C$3)</f>
        <v>#DIV/0!</v>
      </c>
      <c r="AO1427" s="1098" t="e">
        <f>IF($D$1212="",0,$D1427*Table3[[#This Row],[CF]]*chronic_consumption!$AJ227/1000/$C$3)</f>
        <v>#DIV/0!</v>
      </c>
      <c r="AP1427" s="1098" t="e">
        <f>IF($D$1212="",0,$D1427*Table3[[#This Row],[CF]]*chronic_consumption!$AK227/1000/$C$3)</f>
        <v>#DIV/0!</v>
      </c>
      <c r="AQ1427" s="1098" t="e">
        <f>IF($D$1212="",0,$D1427*Table3[[#This Row],[CF]]*chronic_consumption!$AL227/1000/$C$3)</f>
        <v>#DIV/0!</v>
      </c>
      <c r="AR1427" s="1098" t="e">
        <f>IF($D$1212="",0,$D1427*Table3[[#This Row],[CF]]*chronic_consumption!$AM227/1000/$C$3)</f>
        <v>#DIV/0!</v>
      </c>
      <c r="AS1427" s="1098" t="e">
        <f>IF($D$1212="",0,$D1427*Table3[[#This Row],[CF]]*chronic_consumption!$AN227/1000/$C$3)</f>
        <v>#DIV/0!</v>
      </c>
      <c r="AT1427" s="1098" t="e">
        <f>IF($D$1212="",0,$D1427*Table3[[#This Row],[CF]]*chronic_consumption!$AO227/1000/$C$3)</f>
        <v>#DIV/0!</v>
      </c>
      <c r="AU1427" s="1099" t="e">
        <f t="shared" si="869"/>
        <v>#DIV/0!</v>
      </c>
      <c r="AV1427" s="1099" t="e">
        <f t="shared" si="869"/>
        <v>#DIV/0!</v>
      </c>
      <c r="AW1427" s="1099" t="e">
        <f t="shared" si="869"/>
        <v>#DIV/0!</v>
      </c>
      <c r="AX1427" s="1099" t="e">
        <f t="shared" si="869"/>
        <v>#DIV/0!</v>
      </c>
      <c r="AY1427" s="1099" t="e">
        <f t="shared" si="869"/>
        <v>#DIV/0!</v>
      </c>
      <c r="AZ1427" s="1091" t="s">
        <v>1012</v>
      </c>
      <c r="BA1427" s="1097" t="e">
        <f>IF(Table3[[#This Row],[max]]&lt;&gt;0,RANK(Table3[[#This Row],[max]],Table3[max],0),"")</f>
        <v>#DIV/0!</v>
      </c>
      <c r="BB1427" s="1096" t="e">
        <f t="shared" si="865"/>
        <v>#DIV/0!</v>
      </c>
      <c r="BC1427" s="1096" t="e">
        <f t="shared" ca="1" si="866"/>
        <v>#DIV/0!</v>
      </c>
      <c r="BD1427" s="1096" t="e">
        <f>IF(Table3[[#This Row],[max]]&gt;0,Table3[[#This Row],[Crop groups and examples of individual products within the groups to which the MRLs apply]],"")</f>
        <v>#DIV/0!</v>
      </c>
    </row>
    <row r="1428" spans="2:56" x14ac:dyDescent="0.2">
      <c r="B1428" s="23">
        <f t="shared" si="867"/>
        <v>401090</v>
      </c>
      <c r="C1428" s="23" t="str">
        <f t="shared" si="867"/>
        <v>Cotton seeds</v>
      </c>
      <c r="D1428" s="1084">
        <f>input_values!E228</f>
        <v>0</v>
      </c>
      <c r="E1428" s="1084">
        <f>input_values!F228</f>
        <v>0</v>
      </c>
      <c r="F1428" s="1085">
        <f>input_values!W228</f>
        <v>1</v>
      </c>
      <c r="G1428" s="1085" t="str">
        <f>IF(Table3[[#This Row],[CF]]&gt;0,CONCATENATE(IF(Table3[[#This Row],[LOQ]]="*","LOQ","MRL"),IF(input_values!G228&gt;0,"×CFrisk","")),"")</f>
        <v>MRL</v>
      </c>
      <c r="H1428" s="1087">
        <f>input_values!L228</f>
        <v>0</v>
      </c>
      <c r="I1428" s="1088">
        <f>input_values!D228</f>
        <v>0</v>
      </c>
      <c r="J1428" s="1098" t="e">
        <f>IF($D$1212="",0,$D1428*Table3[[#This Row],[CF]]*chronic_consumption!$E228/1000/$C$3)</f>
        <v>#DIV/0!</v>
      </c>
      <c r="K1428" s="1098" t="e">
        <f>IF($D$1212="",0,$D1428*Table3[[#This Row],[CF]]*chronic_consumption!$F228/1000/$C$3)</f>
        <v>#DIV/0!</v>
      </c>
      <c r="L1428" s="1098" t="e">
        <f>IF($D$1212="",0,$D1428*Table3[[#This Row],[CF]]*chronic_consumption!$G228/1000/$C$3)</f>
        <v>#DIV/0!</v>
      </c>
      <c r="M1428" s="1098" t="e">
        <f>IF($D$1212="",0,$D1428*Table3[[#This Row],[CF]]*chronic_consumption!$H228/1000/$C$3)</f>
        <v>#DIV/0!</v>
      </c>
      <c r="N1428" s="1098" t="e">
        <f>IF($D$1212="",0,$D1428*Table3[[#This Row],[CF]]*chronic_consumption!$I228/1000/$C$3)</f>
        <v>#DIV/0!</v>
      </c>
      <c r="O1428" s="1098" t="e">
        <f>IF($D$1212="",0,$D1428*Table3[[#This Row],[CF]]*chronic_consumption!$J228/1000/$C$3)</f>
        <v>#DIV/0!</v>
      </c>
      <c r="P1428" s="1098" t="e">
        <f>IF($D$1212="",0,$D1428*Table3[[#This Row],[CF]]*chronic_consumption!$K228/1000/$C$3)</f>
        <v>#DIV/0!</v>
      </c>
      <c r="Q1428" s="1098" t="e">
        <f>IF($D$1212="",0,$D1428*Table3[[#This Row],[CF]]*chronic_consumption!$L228/1000/$C$3)</f>
        <v>#DIV/0!</v>
      </c>
      <c r="R1428" s="1098" t="e">
        <f>IF($D$1212="",0,$D1428*Table3[[#This Row],[CF]]*chronic_consumption!$M228/1000/$C$3)</f>
        <v>#DIV/0!</v>
      </c>
      <c r="S1428" s="1098" t="e">
        <f>IF($D$1212="",0,$D1428*Table3[[#This Row],[CF]]*chronic_consumption!$N228/1000/$C$3)</f>
        <v>#DIV/0!</v>
      </c>
      <c r="T1428" s="1098" t="e">
        <f>IF($D$1212="",0,$D1428*Table3[[#This Row],[CF]]*chronic_consumption!$O228/1000/$C$3)</f>
        <v>#DIV/0!</v>
      </c>
      <c r="U1428" s="1098" t="e">
        <f>IF($D$1212="",0,$D1428*Table3[[#This Row],[CF]]*chronic_consumption!$P228/1000/$C$3)</f>
        <v>#DIV/0!</v>
      </c>
      <c r="V1428" s="1098" t="e">
        <f>IF($D$1212="",0,$D1428*Table3[[#This Row],[CF]]*chronic_consumption!$Q228/1000/$C$3)</f>
        <v>#DIV/0!</v>
      </c>
      <c r="W1428" s="1098" t="e">
        <f>IF($D$1212="",0,$D1428*Table3[[#This Row],[CF]]*chronic_consumption!$R228/1000/$C$3)</f>
        <v>#DIV/0!</v>
      </c>
      <c r="X1428" s="1098" t="e">
        <f>IF($D$1212="",0,$D1428*Table3[[#This Row],[CF]]*chronic_consumption!$S228/1000/$C$3)</f>
        <v>#DIV/0!</v>
      </c>
      <c r="Y1428" s="1098" t="e">
        <f>IF($D$1212="",0,$D1428*Table3[[#This Row],[CF]]*chronic_consumption!$T228/1000/$C$3)</f>
        <v>#DIV/0!</v>
      </c>
      <c r="Z1428" s="1098" t="e">
        <f>IF($D$1212="",0,$D1428*Table3[[#This Row],[CF]]*chronic_consumption!$U228/1000/$C$3)</f>
        <v>#DIV/0!</v>
      </c>
      <c r="AA1428" s="1098" t="e">
        <f>IF($D$1212="",0,$D1428*Table3[[#This Row],[CF]]*chronic_consumption!$V228/1000/$C$3)</f>
        <v>#DIV/0!</v>
      </c>
      <c r="AB1428" s="1098" t="e">
        <f>IF($D$1212="",0,$D1428*Table3[[#This Row],[CF]]*chronic_consumption!$W228/1000/$C$3)</f>
        <v>#DIV/0!</v>
      </c>
      <c r="AC1428" s="1098" t="e">
        <f>IF($D$1212="",0,$D1428*Table3[[#This Row],[CF]]*chronic_consumption!$X228/1000/$C$3)</f>
        <v>#DIV/0!</v>
      </c>
      <c r="AD1428" s="1098" t="e">
        <f>IF($D$1212="",0,$D1428*Table3[[#This Row],[CF]]*chronic_consumption!$Y228/1000/$C$3)</f>
        <v>#DIV/0!</v>
      </c>
      <c r="AE1428" s="1098" t="e">
        <f>IF($D$1212="",0,$D1428*Table3[[#This Row],[CF]]*chronic_consumption!$Z228/1000/$C$3)</f>
        <v>#DIV/0!</v>
      </c>
      <c r="AF1428" s="1098" t="e">
        <f>IF($D$1212="",0,$D1428*Table3[[#This Row],[CF]]*chronic_consumption!$AA228/1000/$C$3)</f>
        <v>#DIV/0!</v>
      </c>
      <c r="AG1428" s="1098" t="e">
        <f>IF($D$1212="",0,$D1428*Table3[[#This Row],[CF]]*chronic_consumption!$AB228/1000/$C$3)</f>
        <v>#DIV/0!</v>
      </c>
      <c r="AH1428" s="1098" t="e">
        <f>IF($D$1212="",0,$D1428*Table3[[#This Row],[CF]]*chronic_consumption!$AC228/1000/$C$3)</f>
        <v>#DIV/0!</v>
      </c>
      <c r="AI1428" s="1098" t="e">
        <f>IF($D$1212="",0,$D1428*Table3[[#This Row],[CF]]*chronic_consumption!$AD228/1000/$C$3)</f>
        <v>#DIV/0!</v>
      </c>
      <c r="AJ1428" s="1098" t="e">
        <f>IF($D$1212="",0,$D1428*Table3[[#This Row],[CF]]*chronic_consumption!$AE228/1000/$C$3)</f>
        <v>#DIV/0!</v>
      </c>
      <c r="AK1428" s="1098" t="e">
        <f>IF($D$1212="",0,$D1428*Table3[[#This Row],[CF]]*chronic_consumption!$AF228/1000/$C$3)</f>
        <v>#DIV/0!</v>
      </c>
      <c r="AL1428" s="1098" t="e">
        <f>IF($D$1212="",0,$D1428*Table3[[#This Row],[CF]]*chronic_consumption!$AG228/1000/$C$3)</f>
        <v>#DIV/0!</v>
      </c>
      <c r="AM1428" s="1098" t="e">
        <f>IF($D$1212="",0,$D1428*Table3[[#This Row],[CF]]*chronic_consumption!$AH228/1000/$C$3)</f>
        <v>#DIV/0!</v>
      </c>
      <c r="AN1428" s="1098" t="e">
        <f>IF($D$1212="",0,$D1428*Table3[[#This Row],[CF]]*chronic_consumption!$AI228/1000/$C$3)</f>
        <v>#DIV/0!</v>
      </c>
      <c r="AO1428" s="1098" t="e">
        <f>IF($D$1212="",0,$D1428*Table3[[#This Row],[CF]]*chronic_consumption!$AJ228/1000/$C$3)</f>
        <v>#DIV/0!</v>
      </c>
      <c r="AP1428" s="1098" t="e">
        <f>IF($D$1212="",0,$D1428*Table3[[#This Row],[CF]]*chronic_consumption!$AK228/1000/$C$3)</f>
        <v>#DIV/0!</v>
      </c>
      <c r="AQ1428" s="1098" t="e">
        <f>IF($D$1212="",0,$D1428*Table3[[#This Row],[CF]]*chronic_consumption!$AL228/1000/$C$3)</f>
        <v>#DIV/0!</v>
      </c>
      <c r="AR1428" s="1098" t="e">
        <f>IF($D$1212="",0,$D1428*Table3[[#This Row],[CF]]*chronic_consumption!$AM228/1000/$C$3)</f>
        <v>#DIV/0!</v>
      </c>
      <c r="AS1428" s="1098" t="e">
        <f>IF($D$1212="",0,$D1428*Table3[[#This Row],[CF]]*chronic_consumption!$AN228/1000/$C$3)</f>
        <v>#DIV/0!</v>
      </c>
      <c r="AT1428" s="1098" t="e">
        <f>IF($D$1212="",0,$D1428*Table3[[#This Row],[CF]]*chronic_consumption!$AO228/1000/$C$3)</f>
        <v>#DIV/0!</v>
      </c>
      <c r="AU1428" s="1099" t="e">
        <f t="shared" si="869"/>
        <v>#DIV/0!</v>
      </c>
      <c r="AV1428" s="1099" t="e">
        <f t="shared" si="869"/>
        <v>#DIV/0!</v>
      </c>
      <c r="AW1428" s="1099" t="e">
        <f t="shared" si="869"/>
        <v>#DIV/0!</v>
      </c>
      <c r="AX1428" s="1099" t="e">
        <f t="shared" si="869"/>
        <v>#DIV/0!</v>
      </c>
      <c r="AY1428" s="1099" t="e">
        <f t="shared" si="869"/>
        <v>#DIV/0!</v>
      </c>
      <c r="AZ1428" s="1091" t="s">
        <v>1012</v>
      </c>
      <c r="BA1428" s="1097" t="e">
        <f>IF(Table3[[#This Row],[max]]&lt;&gt;0,RANK(Table3[[#This Row],[max]],Table3[max],0),"")</f>
        <v>#DIV/0!</v>
      </c>
      <c r="BB1428" s="1096" t="e">
        <f t="shared" si="865"/>
        <v>#DIV/0!</v>
      </c>
      <c r="BC1428" s="1096" t="e">
        <f t="shared" ca="1" si="866"/>
        <v>#DIV/0!</v>
      </c>
      <c r="BD1428" s="1096" t="e">
        <f>IF(Table3[[#This Row],[max]]&gt;0,Table3[[#This Row],[Crop groups and examples of individual products within the groups to which the MRLs apply]],"")</f>
        <v>#DIV/0!</v>
      </c>
    </row>
    <row r="1429" spans="2:56" x14ac:dyDescent="0.2">
      <c r="B1429" s="23">
        <f t="shared" si="867"/>
        <v>401100</v>
      </c>
      <c r="C1429" s="23" t="str">
        <f t="shared" si="867"/>
        <v>Pumpkin seeds</v>
      </c>
      <c r="D1429" s="1084">
        <f>input_values!E229</f>
        <v>0</v>
      </c>
      <c r="E1429" s="1084">
        <f>input_values!F229</f>
        <v>0</v>
      </c>
      <c r="F1429" s="1085">
        <f>input_values!W229</f>
        <v>1</v>
      </c>
      <c r="G1429" s="1085" t="str">
        <f>IF(Table3[[#This Row],[CF]]&gt;0,CONCATENATE(IF(Table3[[#This Row],[LOQ]]="*","LOQ","MRL"),IF(input_values!G229&gt;0,"×CFrisk","")),"")</f>
        <v>MRL</v>
      </c>
      <c r="H1429" s="1087">
        <f>input_values!L229</f>
        <v>0</v>
      </c>
      <c r="I1429" s="1088">
        <f>input_values!D229</f>
        <v>0</v>
      </c>
      <c r="J1429" s="1098" t="e">
        <f>IF($D$1212="",0,$D1429*Table3[[#This Row],[CF]]*chronic_consumption!$E229/1000/$C$3)</f>
        <v>#DIV/0!</v>
      </c>
      <c r="K1429" s="1098" t="e">
        <f>IF($D$1212="",0,$D1429*Table3[[#This Row],[CF]]*chronic_consumption!$F229/1000/$C$3)</f>
        <v>#DIV/0!</v>
      </c>
      <c r="L1429" s="1098" t="e">
        <f>IF($D$1212="",0,$D1429*Table3[[#This Row],[CF]]*chronic_consumption!$G229/1000/$C$3)</f>
        <v>#DIV/0!</v>
      </c>
      <c r="M1429" s="1098" t="e">
        <f>IF($D$1212="",0,$D1429*Table3[[#This Row],[CF]]*chronic_consumption!$H229/1000/$C$3)</f>
        <v>#DIV/0!</v>
      </c>
      <c r="N1429" s="1098" t="e">
        <f>IF($D$1212="",0,$D1429*Table3[[#This Row],[CF]]*chronic_consumption!$I229/1000/$C$3)</f>
        <v>#DIV/0!</v>
      </c>
      <c r="O1429" s="1098" t="e">
        <f>IF($D$1212="",0,$D1429*Table3[[#This Row],[CF]]*chronic_consumption!$J229/1000/$C$3)</f>
        <v>#DIV/0!</v>
      </c>
      <c r="P1429" s="1098" t="e">
        <f>IF($D$1212="",0,$D1429*Table3[[#This Row],[CF]]*chronic_consumption!$K229/1000/$C$3)</f>
        <v>#DIV/0!</v>
      </c>
      <c r="Q1429" s="1098" t="e">
        <f>IF($D$1212="",0,$D1429*Table3[[#This Row],[CF]]*chronic_consumption!$L229/1000/$C$3)</f>
        <v>#DIV/0!</v>
      </c>
      <c r="R1429" s="1098" t="e">
        <f>IF($D$1212="",0,$D1429*Table3[[#This Row],[CF]]*chronic_consumption!$M229/1000/$C$3)</f>
        <v>#DIV/0!</v>
      </c>
      <c r="S1429" s="1098" t="e">
        <f>IF($D$1212="",0,$D1429*Table3[[#This Row],[CF]]*chronic_consumption!$N229/1000/$C$3)</f>
        <v>#DIV/0!</v>
      </c>
      <c r="T1429" s="1098" t="e">
        <f>IF($D$1212="",0,$D1429*Table3[[#This Row],[CF]]*chronic_consumption!$O229/1000/$C$3)</f>
        <v>#DIV/0!</v>
      </c>
      <c r="U1429" s="1098" t="e">
        <f>IF($D$1212="",0,$D1429*Table3[[#This Row],[CF]]*chronic_consumption!$P229/1000/$C$3)</f>
        <v>#DIV/0!</v>
      </c>
      <c r="V1429" s="1098" t="e">
        <f>IF($D$1212="",0,$D1429*Table3[[#This Row],[CF]]*chronic_consumption!$Q229/1000/$C$3)</f>
        <v>#DIV/0!</v>
      </c>
      <c r="W1429" s="1098" t="e">
        <f>IF($D$1212="",0,$D1429*Table3[[#This Row],[CF]]*chronic_consumption!$R229/1000/$C$3)</f>
        <v>#DIV/0!</v>
      </c>
      <c r="X1429" s="1098" t="e">
        <f>IF($D$1212="",0,$D1429*Table3[[#This Row],[CF]]*chronic_consumption!$S229/1000/$C$3)</f>
        <v>#DIV/0!</v>
      </c>
      <c r="Y1429" s="1098" t="e">
        <f>IF($D$1212="",0,$D1429*Table3[[#This Row],[CF]]*chronic_consumption!$T229/1000/$C$3)</f>
        <v>#DIV/0!</v>
      </c>
      <c r="Z1429" s="1098" t="e">
        <f>IF($D$1212="",0,$D1429*Table3[[#This Row],[CF]]*chronic_consumption!$U229/1000/$C$3)</f>
        <v>#DIV/0!</v>
      </c>
      <c r="AA1429" s="1098" t="e">
        <f>IF($D$1212="",0,$D1429*Table3[[#This Row],[CF]]*chronic_consumption!$V229/1000/$C$3)</f>
        <v>#DIV/0!</v>
      </c>
      <c r="AB1429" s="1098" t="e">
        <f>IF($D$1212="",0,$D1429*Table3[[#This Row],[CF]]*chronic_consumption!$W229/1000/$C$3)</f>
        <v>#DIV/0!</v>
      </c>
      <c r="AC1429" s="1098" t="e">
        <f>IF($D$1212="",0,$D1429*Table3[[#This Row],[CF]]*chronic_consumption!$X229/1000/$C$3)</f>
        <v>#DIV/0!</v>
      </c>
      <c r="AD1429" s="1098" t="e">
        <f>IF($D$1212="",0,$D1429*Table3[[#This Row],[CF]]*chronic_consumption!$Y229/1000/$C$3)</f>
        <v>#DIV/0!</v>
      </c>
      <c r="AE1429" s="1098" t="e">
        <f>IF($D$1212="",0,$D1429*Table3[[#This Row],[CF]]*chronic_consumption!$Z229/1000/$C$3)</f>
        <v>#DIV/0!</v>
      </c>
      <c r="AF1429" s="1098" t="e">
        <f>IF($D$1212="",0,$D1429*Table3[[#This Row],[CF]]*chronic_consumption!$AA229/1000/$C$3)</f>
        <v>#DIV/0!</v>
      </c>
      <c r="AG1429" s="1098" t="e">
        <f>IF($D$1212="",0,$D1429*Table3[[#This Row],[CF]]*chronic_consumption!$AB229/1000/$C$3)</f>
        <v>#DIV/0!</v>
      </c>
      <c r="AH1429" s="1098" t="e">
        <f>IF($D$1212="",0,$D1429*Table3[[#This Row],[CF]]*chronic_consumption!$AC229/1000/$C$3)</f>
        <v>#DIV/0!</v>
      </c>
      <c r="AI1429" s="1098" t="e">
        <f>IF($D$1212="",0,$D1429*Table3[[#This Row],[CF]]*chronic_consumption!$AD229/1000/$C$3)</f>
        <v>#DIV/0!</v>
      </c>
      <c r="AJ1429" s="1098" t="e">
        <f>IF($D$1212="",0,$D1429*Table3[[#This Row],[CF]]*chronic_consumption!$AE229/1000/$C$3)</f>
        <v>#DIV/0!</v>
      </c>
      <c r="AK1429" s="1098" t="e">
        <f>IF($D$1212="",0,$D1429*Table3[[#This Row],[CF]]*chronic_consumption!$AF229/1000/$C$3)</f>
        <v>#DIV/0!</v>
      </c>
      <c r="AL1429" s="1098" t="e">
        <f>IF($D$1212="",0,$D1429*Table3[[#This Row],[CF]]*chronic_consumption!$AG229/1000/$C$3)</f>
        <v>#DIV/0!</v>
      </c>
      <c r="AM1429" s="1098" t="e">
        <f>IF($D$1212="",0,$D1429*Table3[[#This Row],[CF]]*chronic_consumption!$AH229/1000/$C$3)</f>
        <v>#DIV/0!</v>
      </c>
      <c r="AN1429" s="1098" t="e">
        <f>IF($D$1212="",0,$D1429*Table3[[#This Row],[CF]]*chronic_consumption!$AI229/1000/$C$3)</f>
        <v>#DIV/0!</v>
      </c>
      <c r="AO1429" s="1098" t="e">
        <f>IF($D$1212="",0,$D1429*Table3[[#This Row],[CF]]*chronic_consumption!$AJ229/1000/$C$3)</f>
        <v>#DIV/0!</v>
      </c>
      <c r="AP1429" s="1098" t="e">
        <f>IF($D$1212="",0,$D1429*Table3[[#This Row],[CF]]*chronic_consumption!$AK229/1000/$C$3)</f>
        <v>#DIV/0!</v>
      </c>
      <c r="AQ1429" s="1098" t="e">
        <f>IF($D$1212="",0,$D1429*Table3[[#This Row],[CF]]*chronic_consumption!$AL229/1000/$C$3)</f>
        <v>#DIV/0!</v>
      </c>
      <c r="AR1429" s="1098" t="e">
        <f>IF($D$1212="",0,$D1429*Table3[[#This Row],[CF]]*chronic_consumption!$AM229/1000/$C$3)</f>
        <v>#DIV/0!</v>
      </c>
      <c r="AS1429" s="1098" t="e">
        <f>IF($D$1212="",0,$D1429*Table3[[#This Row],[CF]]*chronic_consumption!$AN229/1000/$C$3)</f>
        <v>#DIV/0!</v>
      </c>
      <c r="AT1429" s="1098" t="e">
        <f>IF($D$1212="",0,$D1429*Table3[[#This Row],[CF]]*chronic_consumption!$AO229/1000/$C$3)</f>
        <v>#DIV/0!</v>
      </c>
      <c r="AU1429" s="1099" t="e">
        <f t="shared" si="869"/>
        <v>#DIV/0!</v>
      </c>
      <c r="AV1429" s="1099" t="e">
        <f t="shared" si="869"/>
        <v>#DIV/0!</v>
      </c>
      <c r="AW1429" s="1099" t="e">
        <f t="shared" si="869"/>
        <v>#DIV/0!</v>
      </c>
      <c r="AX1429" s="1099" t="e">
        <f t="shared" si="869"/>
        <v>#DIV/0!</v>
      </c>
      <c r="AY1429" s="1099" t="e">
        <f t="shared" si="869"/>
        <v>#DIV/0!</v>
      </c>
      <c r="AZ1429" s="1091" t="s">
        <v>1012</v>
      </c>
      <c r="BA1429" s="1097" t="e">
        <f>IF(Table3[[#This Row],[max]]&lt;&gt;0,RANK(Table3[[#This Row],[max]],Table3[max],0),"")</f>
        <v>#DIV/0!</v>
      </c>
      <c r="BB1429" s="1096" t="e">
        <f t="shared" si="865"/>
        <v>#DIV/0!</v>
      </c>
      <c r="BC1429" s="1096" t="e">
        <f t="shared" ca="1" si="866"/>
        <v>#DIV/0!</v>
      </c>
      <c r="BD1429" s="1096" t="e">
        <f>IF(Table3[[#This Row],[max]]&gt;0,Table3[[#This Row],[Crop groups and examples of individual products within the groups to which the MRLs apply]],"")</f>
        <v>#DIV/0!</v>
      </c>
    </row>
    <row r="1430" spans="2:56" x14ac:dyDescent="0.2">
      <c r="B1430" s="23">
        <f t="shared" si="867"/>
        <v>401110</v>
      </c>
      <c r="C1430" s="23" t="str">
        <f t="shared" si="867"/>
        <v>Safflower seeds</v>
      </c>
      <c r="D1430" s="1084">
        <f>input_values!E230</f>
        <v>0</v>
      </c>
      <c r="E1430" s="1084">
        <f>input_values!F230</f>
        <v>0</v>
      </c>
      <c r="F1430" s="1085">
        <f>input_values!W230</f>
        <v>1</v>
      </c>
      <c r="G1430" s="1085" t="str">
        <f>IF(Table3[[#This Row],[CF]]&gt;0,CONCATENATE(IF(Table3[[#This Row],[LOQ]]="*","LOQ","MRL"),IF(input_values!G230&gt;0,"×CFrisk","")),"")</f>
        <v>MRL</v>
      </c>
      <c r="H1430" s="1087">
        <f>input_values!L230</f>
        <v>0</v>
      </c>
      <c r="I1430" s="1088">
        <f>input_values!D230</f>
        <v>0</v>
      </c>
      <c r="J1430" s="1098" t="e">
        <f>IF($D$1212="",0,$D1430*Table3[[#This Row],[CF]]*chronic_consumption!$E230/1000/$C$3)</f>
        <v>#DIV/0!</v>
      </c>
      <c r="K1430" s="1098" t="e">
        <f>IF($D$1212="",0,$D1430*Table3[[#This Row],[CF]]*chronic_consumption!$F230/1000/$C$3)</f>
        <v>#DIV/0!</v>
      </c>
      <c r="L1430" s="1098" t="e">
        <f>IF($D$1212="",0,$D1430*Table3[[#This Row],[CF]]*chronic_consumption!$G230/1000/$C$3)</f>
        <v>#DIV/0!</v>
      </c>
      <c r="M1430" s="1098" t="e">
        <f>IF($D$1212="",0,$D1430*Table3[[#This Row],[CF]]*chronic_consumption!$H230/1000/$C$3)</f>
        <v>#DIV/0!</v>
      </c>
      <c r="N1430" s="1098" t="e">
        <f>IF($D$1212="",0,$D1430*Table3[[#This Row],[CF]]*chronic_consumption!$I230/1000/$C$3)</f>
        <v>#DIV/0!</v>
      </c>
      <c r="O1430" s="1098" t="e">
        <f>IF($D$1212="",0,$D1430*Table3[[#This Row],[CF]]*chronic_consumption!$J230/1000/$C$3)</f>
        <v>#DIV/0!</v>
      </c>
      <c r="P1430" s="1098" t="e">
        <f>IF($D$1212="",0,$D1430*Table3[[#This Row],[CF]]*chronic_consumption!$K230/1000/$C$3)</f>
        <v>#DIV/0!</v>
      </c>
      <c r="Q1430" s="1098" t="e">
        <f>IF($D$1212="",0,$D1430*Table3[[#This Row],[CF]]*chronic_consumption!$L230/1000/$C$3)</f>
        <v>#DIV/0!</v>
      </c>
      <c r="R1430" s="1098" t="e">
        <f>IF($D$1212="",0,$D1430*Table3[[#This Row],[CF]]*chronic_consumption!$M230/1000/$C$3)</f>
        <v>#DIV/0!</v>
      </c>
      <c r="S1430" s="1098" t="e">
        <f>IF($D$1212="",0,$D1430*Table3[[#This Row],[CF]]*chronic_consumption!$N230/1000/$C$3)</f>
        <v>#DIV/0!</v>
      </c>
      <c r="T1430" s="1098" t="e">
        <f>IF($D$1212="",0,$D1430*Table3[[#This Row],[CF]]*chronic_consumption!$O230/1000/$C$3)</f>
        <v>#DIV/0!</v>
      </c>
      <c r="U1430" s="1098" t="e">
        <f>IF($D$1212="",0,$D1430*Table3[[#This Row],[CF]]*chronic_consumption!$P230/1000/$C$3)</f>
        <v>#DIV/0!</v>
      </c>
      <c r="V1430" s="1098" t="e">
        <f>IF($D$1212="",0,$D1430*Table3[[#This Row],[CF]]*chronic_consumption!$Q230/1000/$C$3)</f>
        <v>#DIV/0!</v>
      </c>
      <c r="W1430" s="1098" t="e">
        <f>IF($D$1212="",0,$D1430*Table3[[#This Row],[CF]]*chronic_consumption!$R230/1000/$C$3)</f>
        <v>#DIV/0!</v>
      </c>
      <c r="X1430" s="1098" t="e">
        <f>IF($D$1212="",0,$D1430*Table3[[#This Row],[CF]]*chronic_consumption!$S230/1000/$C$3)</f>
        <v>#DIV/0!</v>
      </c>
      <c r="Y1430" s="1098" t="e">
        <f>IF($D$1212="",0,$D1430*Table3[[#This Row],[CF]]*chronic_consumption!$T230/1000/$C$3)</f>
        <v>#DIV/0!</v>
      </c>
      <c r="Z1430" s="1098" t="e">
        <f>IF($D$1212="",0,$D1430*Table3[[#This Row],[CF]]*chronic_consumption!$U230/1000/$C$3)</f>
        <v>#DIV/0!</v>
      </c>
      <c r="AA1430" s="1098" t="e">
        <f>IF($D$1212="",0,$D1430*Table3[[#This Row],[CF]]*chronic_consumption!$V230/1000/$C$3)</f>
        <v>#DIV/0!</v>
      </c>
      <c r="AB1430" s="1098" t="e">
        <f>IF($D$1212="",0,$D1430*Table3[[#This Row],[CF]]*chronic_consumption!$W230/1000/$C$3)</f>
        <v>#DIV/0!</v>
      </c>
      <c r="AC1430" s="1098" t="e">
        <f>IF($D$1212="",0,$D1430*Table3[[#This Row],[CF]]*chronic_consumption!$X230/1000/$C$3)</f>
        <v>#DIV/0!</v>
      </c>
      <c r="AD1430" s="1098" t="e">
        <f>IF($D$1212="",0,$D1430*Table3[[#This Row],[CF]]*chronic_consumption!$Y230/1000/$C$3)</f>
        <v>#DIV/0!</v>
      </c>
      <c r="AE1430" s="1098" t="e">
        <f>IF($D$1212="",0,$D1430*Table3[[#This Row],[CF]]*chronic_consumption!$Z230/1000/$C$3)</f>
        <v>#DIV/0!</v>
      </c>
      <c r="AF1430" s="1098" t="e">
        <f>IF($D$1212="",0,$D1430*Table3[[#This Row],[CF]]*chronic_consumption!$AA230/1000/$C$3)</f>
        <v>#DIV/0!</v>
      </c>
      <c r="AG1430" s="1098" t="e">
        <f>IF($D$1212="",0,$D1430*Table3[[#This Row],[CF]]*chronic_consumption!$AB230/1000/$C$3)</f>
        <v>#DIV/0!</v>
      </c>
      <c r="AH1430" s="1098" t="e">
        <f>IF($D$1212="",0,$D1430*Table3[[#This Row],[CF]]*chronic_consumption!$AC230/1000/$C$3)</f>
        <v>#DIV/0!</v>
      </c>
      <c r="AI1430" s="1098" t="e">
        <f>IF($D$1212="",0,$D1430*Table3[[#This Row],[CF]]*chronic_consumption!$AD230/1000/$C$3)</f>
        <v>#DIV/0!</v>
      </c>
      <c r="AJ1430" s="1098" t="e">
        <f>IF($D$1212="",0,$D1430*Table3[[#This Row],[CF]]*chronic_consumption!$AE230/1000/$C$3)</f>
        <v>#DIV/0!</v>
      </c>
      <c r="AK1430" s="1098" t="e">
        <f>IF($D$1212="",0,$D1430*Table3[[#This Row],[CF]]*chronic_consumption!$AF230/1000/$C$3)</f>
        <v>#DIV/0!</v>
      </c>
      <c r="AL1430" s="1098" t="e">
        <f>IF($D$1212="",0,$D1430*Table3[[#This Row],[CF]]*chronic_consumption!$AG230/1000/$C$3)</f>
        <v>#DIV/0!</v>
      </c>
      <c r="AM1430" s="1098" t="e">
        <f>IF($D$1212="",0,$D1430*Table3[[#This Row],[CF]]*chronic_consumption!$AH230/1000/$C$3)</f>
        <v>#DIV/0!</v>
      </c>
      <c r="AN1430" s="1098" t="e">
        <f>IF($D$1212="",0,$D1430*Table3[[#This Row],[CF]]*chronic_consumption!$AI230/1000/$C$3)</f>
        <v>#DIV/0!</v>
      </c>
      <c r="AO1430" s="1098" t="e">
        <f>IF($D$1212="",0,$D1430*Table3[[#This Row],[CF]]*chronic_consumption!$AJ230/1000/$C$3)</f>
        <v>#DIV/0!</v>
      </c>
      <c r="AP1430" s="1098" t="e">
        <f>IF($D$1212="",0,$D1430*Table3[[#This Row],[CF]]*chronic_consumption!$AK230/1000/$C$3)</f>
        <v>#DIV/0!</v>
      </c>
      <c r="AQ1430" s="1098" t="e">
        <f>IF($D$1212="",0,$D1430*Table3[[#This Row],[CF]]*chronic_consumption!$AL230/1000/$C$3)</f>
        <v>#DIV/0!</v>
      </c>
      <c r="AR1430" s="1098" t="e">
        <f>IF($D$1212="",0,$D1430*Table3[[#This Row],[CF]]*chronic_consumption!$AM230/1000/$C$3)</f>
        <v>#DIV/0!</v>
      </c>
      <c r="AS1430" s="1098" t="e">
        <f>IF($D$1212="",0,$D1430*Table3[[#This Row],[CF]]*chronic_consumption!$AN230/1000/$C$3)</f>
        <v>#DIV/0!</v>
      </c>
      <c r="AT1430" s="1098" t="e">
        <f>IF($D$1212="",0,$D1430*Table3[[#This Row],[CF]]*chronic_consumption!$AO230/1000/$C$3)</f>
        <v>#DIV/0!</v>
      </c>
      <c r="AU1430" s="1099" t="e">
        <f t="shared" si="869"/>
        <v>#DIV/0!</v>
      </c>
      <c r="AV1430" s="1099" t="e">
        <f t="shared" si="869"/>
        <v>#DIV/0!</v>
      </c>
      <c r="AW1430" s="1099" t="e">
        <f t="shared" si="869"/>
        <v>#DIV/0!</v>
      </c>
      <c r="AX1430" s="1099" t="e">
        <f t="shared" si="869"/>
        <v>#DIV/0!</v>
      </c>
      <c r="AY1430" s="1099" t="e">
        <f t="shared" si="869"/>
        <v>#DIV/0!</v>
      </c>
      <c r="AZ1430" s="1091" t="s">
        <v>1012</v>
      </c>
      <c r="BA1430" s="1097" t="e">
        <f>IF(Table3[[#This Row],[max]]&lt;&gt;0,RANK(Table3[[#This Row],[max]],Table3[max],0),"")</f>
        <v>#DIV/0!</v>
      </c>
      <c r="BB1430" s="1096" t="e">
        <f t="shared" si="865"/>
        <v>#DIV/0!</v>
      </c>
      <c r="BC1430" s="1096" t="e">
        <f t="shared" ca="1" si="866"/>
        <v>#DIV/0!</v>
      </c>
      <c r="BD1430" s="1096" t="e">
        <f>IF(Table3[[#This Row],[max]]&gt;0,Table3[[#This Row],[Crop groups and examples of individual products within the groups to which the MRLs apply]],"")</f>
        <v>#DIV/0!</v>
      </c>
    </row>
    <row r="1431" spans="2:56" x14ac:dyDescent="0.2">
      <c r="B1431" s="23">
        <f t="shared" si="867"/>
        <v>401120</v>
      </c>
      <c r="C1431" s="23" t="str">
        <f t="shared" si="867"/>
        <v>Borage seeds</v>
      </c>
      <c r="D1431" s="1084">
        <f>input_values!E231</f>
        <v>0</v>
      </c>
      <c r="E1431" s="1084">
        <f>input_values!F231</f>
        <v>0</v>
      </c>
      <c r="F1431" s="1085">
        <f>input_values!W231</f>
        <v>1</v>
      </c>
      <c r="G1431" s="1085" t="str">
        <f>IF(Table3[[#This Row],[CF]]&gt;0,CONCATENATE(IF(Table3[[#This Row],[LOQ]]="*","LOQ","MRL"),IF(input_values!G231&gt;0,"×CFrisk","")),"")</f>
        <v>MRL</v>
      </c>
      <c r="H1431" s="1087">
        <f>input_values!L231</f>
        <v>0</v>
      </c>
      <c r="I1431" s="1088">
        <f>input_values!D231</f>
        <v>0</v>
      </c>
      <c r="J1431" s="1098" t="e">
        <f>IF($D$1212="",0,$D1431*Table3[[#This Row],[CF]]*chronic_consumption!$E231/1000/$C$3)</f>
        <v>#DIV/0!</v>
      </c>
      <c r="K1431" s="1098" t="e">
        <f>IF($D$1212="",0,$D1431*Table3[[#This Row],[CF]]*chronic_consumption!$F231/1000/$C$3)</f>
        <v>#DIV/0!</v>
      </c>
      <c r="L1431" s="1098" t="e">
        <f>IF($D$1212="",0,$D1431*Table3[[#This Row],[CF]]*chronic_consumption!$G231/1000/$C$3)</f>
        <v>#DIV/0!</v>
      </c>
      <c r="M1431" s="1098" t="e">
        <f>IF($D$1212="",0,$D1431*Table3[[#This Row],[CF]]*chronic_consumption!$H231/1000/$C$3)</f>
        <v>#DIV/0!</v>
      </c>
      <c r="N1431" s="1098" t="e">
        <f>IF($D$1212="",0,$D1431*Table3[[#This Row],[CF]]*chronic_consumption!$I231/1000/$C$3)</f>
        <v>#DIV/0!</v>
      </c>
      <c r="O1431" s="1098" t="e">
        <f>IF($D$1212="",0,$D1431*Table3[[#This Row],[CF]]*chronic_consumption!$J231/1000/$C$3)</f>
        <v>#DIV/0!</v>
      </c>
      <c r="P1431" s="1098" t="e">
        <f>IF($D$1212="",0,$D1431*Table3[[#This Row],[CF]]*chronic_consumption!$K231/1000/$C$3)</f>
        <v>#DIV/0!</v>
      </c>
      <c r="Q1431" s="1098" t="e">
        <f>IF($D$1212="",0,$D1431*Table3[[#This Row],[CF]]*chronic_consumption!$L231/1000/$C$3)</f>
        <v>#DIV/0!</v>
      </c>
      <c r="R1431" s="1098" t="e">
        <f>IF($D$1212="",0,$D1431*Table3[[#This Row],[CF]]*chronic_consumption!$M231/1000/$C$3)</f>
        <v>#DIV/0!</v>
      </c>
      <c r="S1431" s="1098" t="e">
        <f>IF($D$1212="",0,$D1431*Table3[[#This Row],[CF]]*chronic_consumption!$N231/1000/$C$3)</f>
        <v>#DIV/0!</v>
      </c>
      <c r="T1431" s="1098" t="e">
        <f>IF($D$1212="",0,$D1431*Table3[[#This Row],[CF]]*chronic_consumption!$O231/1000/$C$3)</f>
        <v>#DIV/0!</v>
      </c>
      <c r="U1431" s="1098" t="e">
        <f>IF($D$1212="",0,$D1431*Table3[[#This Row],[CF]]*chronic_consumption!$P231/1000/$C$3)</f>
        <v>#DIV/0!</v>
      </c>
      <c r="V1431" s="1098" t="e">
        <f>IF($D$1212="",0,$D1431*Table3[[#This Row],[CF]]*chronic_consumption!$Q231/1000/$C$3)</f>
        <v>#DIV/0!</v>
      </c>
      <c r="W1431" s="1098" t="e">
        <f>IF($D$1212="",0,$D1431*Table3[[#This Row],[CF]]*chronic_consumption!$R231/1000/$C$3)</f>
        <v>#DIV/0!</v>
      </c>
      <c r="X1431" s="1098" t="e">
        <f>IF($D$1212="",0,$D1431*Table3[[#This Row],[CF]]*chronic_consumption!$S231/1000/$C$3)</f>
        <v>#DIV/0!</v>
      </c>
      <c r="Y1431" s="1098" t="e">
        <f>IF($D$1212="",0,$D1431*Table3[[#This Row],[CF]]*chronic_consumption!$T231/1000/$C$3)</f>
        <v>#DIV/0!</v>
      </c>
      <c r="Z1431" s="1098" t="e">
        <f>IF($D$1212="",0,$D1431*Table3[[#This Row],[CF]]*chronic_consumption!$U231/1000/$C$3)</f>
        <v>#DIV/0!</v>
      </c>
      <c r="AA1431" s="1098" t="e">
        <f>IF($D$1212="",0,$D1431*Table3[[#This Row],[CF]]*chronic_consumption!$V231/1000/$C$3)</f>
        <v>#DIV/0!</v>
      </c>
      <c r="AB1431" s="1098" t="e">
        <f>IF($D$1212="",0,$D1431*Table3[[#This Row],[CF]]*chronic_consumption!$W231/1000/$C$3)</f>
        <v>#DIV/0!</v>
      </c>
      <c r="AC1431" s="1098" t="e">
        <f>IF($D$1212="",0,$D1431*Table3[[#This Row],[CF]]*chronic_consumption!$X231/1000/$C$3)</f>
        <v>#DIV/0!</v>
      </c>
      <c r="AD1431" s="1098" t="e">
        <f>IF($D$1212="",0,$D1431*Table3[[#This Row],[CF]]*chronic_consumption!$Y231/1000/$C$3)</f>
        <v>#DIV/0!</v>
      </c>
      <c r="AE1431" s="1098" t="e">
        <f>IF($D$1212="",0,$D1431*Table3[[#This Row],[CF]]*chronic_consumption!$Z231/1000/$C$3)</f>
        <v>#DIV/0!</v>
      </c>
      <c r="AF1431" s="1098" t="e">
        <f>IF($D$1212="",0,$D1431*Table3[[#This Row],[CF]]*chronic_consumption!$AA231/1000/$C$3)</f>
        <v>#DIV/0!</v>
      </c>
      <c r="AG1431" s="1098" t="e">
        <f>IF($D$1212="",0,$D1431*Table3[[#This Row],[CF]]*chronic_consumption!$AB231/1000/$C$3)</f>
        <v>#DIV/0!</v>
      </c>
      <c r="AH1431" s="1098" t="e">
        <f>IF($D$1212="",0,$D1431*Table3[[#This Row],[CF]]*chronic_consumption!$AC231/1000/$C$3)</f>
        <v>#DIV/0!</v>
      </c>
      <c r="AI1431" s="1098" t="e">
        <f>IF($D$1212="",0,$D1431*Table3[[#This Row],[CF]]*chronic_consumption!$AD231/1000/$C$3)</f>
        <v>#DIV/0!</v>
      </c>
      <c r="AJ1431" s="1098" t="e">
        <f>IF($D$1212="",0,$D1431*Table3[[#This Row],[CF]]*chronic_consumption!$AE231/1000/$C$3)</f>
        <v>#DIV/0!</v>
      </c>
      <c r="AK1431" s="1098" t="e">
        <f>IF($D$1212="",0,$D1431*Table3[[#This Row],[CF]]*chronic_consumption!$AF231/1000/$C$3)</f>
        <v>#DIV/0!</v>
      </c>
      <c r="AL1431" s="1098" t="e">
        <f>IF($D$1212="",0,$D1431*Table3[[#This Row],[CF]]*chronic_consumption!$AG231/1000/$C$3)</f>
        <v>#DIV/0!</v>
      </c>
      <c r="AM1431" s="1098" t="e">
        <f>IF($D$1212="",0,$D1431*Table3[[#This Row],[CF]]*chronic_consumption!$AH231/1000/$C$3)</f>
        <v>#DIV/0!</v>
      </c>
      <c r="AN1431" s="1098" t="e">
        <f>IF($D$1212="",0,$D1431*Table3[[#This Row],[CF]]*chronic_consumption!$AI231/1000/$C$3)</f>
        <v>#DIV/0!</v>
      </c>
      <c r="AO1431" s="1098" t="e">
        <f>IF($D$1212="",0,$D1431*Table3[[#This Row],[CF]]*chronic_consumption!$AJ231/1000/$C$3)</f>
        <v>#DIV/0!</v>
      </c>
      <c r="AP1431" s="1098" t="e">
        <f>IF($D$1212="",0,$D1431*Table3[[#This Row],[CF]]*chronic_consumption!$AK231/1000/$C$3)</f>
        <v>#DIV/0!</v>
      </c>
      <c r="AQ1431" s="1098" t="e">
        <f>IF($D$1212="",0,$D1431*Table3[[#This Row],[CF]]*chronic_consumption!$AL231/1000/$C$3)</f>
        <v>#DIV/0!</v>
      </c>
      <c r="AR1431" s="1098" t="e">
        <f>IF($D$1212="",0,$D1431*Table3[[#This Row],[CF]]*chronic_consumption!$AM231/1000/$C$3)</f>
        <v>#DIV/0!</v>
      </c>
      <c r="AS1431" s="1098" t="e">
        <f>IF($D$1212="",0,$D1431*Table3[[#This Row],[CF]]*chronic_consumption!$AN231/1000/$C$3)</f>
        <v>#DIV/0!</v>
      </c>
      <c r="AT1431" s="1098" t="e">
        <f>IF($D$1212="",0,$D1431*Table3[[#This Row],[CF]]*chronic_consumption!$AO231/1000/$C$3)</f>
        <v>#DIV/0!</v>
      </c>
      <c r="AU1431" s="1099" t="e">
        <f t="shared" si="869"/>
        <v>#DIV/0!</v>
      </c>
      <c r="AV1431" s="1099" t="e">
        <f t="shared" si="869"/>
        <v>#DIV/0!</v>
      </c>
      <c r="AW1431" s="1099" t="e">
        <f t="shared" si="869"/>
        <v>#DIV/0!</v>
      </c>
      <c r="AX1431" s="1099" t="e">
        <f t="shared" si="869"/>
        <v>#DIV/0!</v>
      </c>
      <c r="AY1431" s="1099" t="e">
        <f t="shared" si="869"/>
        <v>#DIV/0!</v>
      </c>
      <c r="AZ1431" s="1091" t="s">
        <v>1012</v>
      </c>
      <c r="BA1431" s="1097" t="e">
        <f>IF(Table3[[#This Row],[max]]&lt;&gt;0,RANK(Table3[[#This Row],[max]],Table3[max],0),"")</f>
        <v>#DIV/0!</v>
      </c>
      <c r="BB1431" s="1096" t="e">
        <f t="shared" si="865"/>
        <v>#DIV/0!</v>
      </c>
      <c r="BC1431" s="1096" t="e">
        <f t="shared" ca="1" si="866"/>
        <v>#DIV/0!</v>
      </c>
      <c r="BD1431" s="1096" t="e">
        <f>IF(Table3[[#This Row],[max]]&gt;0,Table3[[#This Row],[Crop groups and examples of individual products within the groups to which the MRLs apply]],"")</f>
        <v>#DIV/0!</v>
      </c>
    </row>
    <row r="1432" spans="2:56" x14ac:dyDescent="0.2">
      <c r="B1432" s="23">
        <f t="shared" ref="B1432:C1451" si="870">B232</f>
        <v>401130</v>
      </c>
      <c r="C1432" s="23" t="str">
        <f t="shared" si="870"/>
        <v>Gold of pleasure seeds</v>
      </c>
      <c r="D1432" s="1084">
        <f>input_values!E232</f>
        <v>0</v>
      </c>
      <c r="E1432" s="1084">
        <f>input_values!F232</f>
        <v>0</v>
      </c>
      <c r="F1432" s="1085">
        <f>input_values!W232</f>
        <v>1</v>
      </c>
      <c r="G1432" s="1085" t="str">
        <f>IF(Table3[[#This Row],[CF]]&gt;0,CONCATENATE(IF(Table3[[#This Row],[LOQ]]="*","LOQ","MRL"),IF(input_values!G232&gt;0,"×CFrisk","")),"")</f>
        <v>MRL</v>
      </c>
      <c r="H1432" s="1087">
        <f>input_values!L232</f>
        <v>0</v>
      </c>
      <c r="I1432" s="1088">
        <f>input_values!D232</f>
        <v>0</v>
      </c>
      <c r="J1432" s="1098" t="e">
        <f>IF($D$1212="",0,$D1432*Table3[[#This Row],[CF]]*chronic_consumption!$E232/1000/$C$3)</f>
        <v>#DIV/0!</v>
      </c>
      <c r="K1432" s="1098" t="e">
        <f>IF($D$1212="",0,$D1432*Table3[[#This Row],[CF]]*chronic_consumption!$F232/1000/$C$3)</f>
        <v>#DIV/0!</v>
      </c>
      <c r="L1432" s="1098" t="e">
        <f>IF($D$1212="",0,$D1432*Table3[[#This Row],[CF]]*chronic_consumption!$G232/1000/$C$3)</f>
        <v>#DIV/0!</v>
      </c>
      <c r="M1432" s="1098" t="e">
        <f>IF($D$1212="",0,$D1432*Table3[[#This Row],[CF]]*chronic_consumption!$H232/1000/$C$3)</f>
        <v>#DIV/0!</v>
      </c>
      <c r="N1432" s="1098" t="e">
        <f>IF($D$1212="",0,$D1432*Table3[[#This Row],[CF]]*chronic_consumption!$I232/1000/$C$3)</f>
        <v>#DIV/0!</v>
      </c>
      <c r="O1432" s="1098" t="e">
        <f>IF($D$1212="",0,$D1432*Table3[[#This Row],[CF]]*chronic_consumption!$J232/1000/$C$3)</f>
        <v>#DIV/0!</v>
      </c>
      <c r="P1432" s="1098" t="e">
        <f>IF($D$1212="",0,$D1432*Table3[[#This Row],[CF]]*chronic_consumption!$K232/1000/$C$3)</f>
        <v>#DIV/0!</v>
      </c>
      <c r="Q1432" s="1098" t="e">
        <f>IF($D$1212="",0,$D1432*Table3[[#This Row],[CF]]*chronic_consumption!$L232/1000/$C$3)</f>
        <v>#DIV/0!</v>
      </c>
      <c r="R1432" s="1098" t="e">
        <f>IF($D$1212="",0,$D1432*Table3[[#This Row],[CF]]*chronic_consumption!$M232/1000/$C$3)</f>
        <v>#DIV/0!</v>
      </c>
      <c r="S1432" s="1098" t="e">
        <f>IF($D$1212="",0,$D1432*Table3[[#This Row],[CF]]*chronic_consumption!$N232/1000/$C$3)</f>
        <v>#DIV/0!</v>
      </c>
      <c r="T1432" s="1098" t="e">
        <f>IF($D$1212="",0,$D1432*Table3[[#This Row],[CF]]*chronic_consumption!$O232/1000/$C$3)</f>
        <v>#DIV/0!</v>
      </c>
      <c r="U1432" s="1098" t="e">
        <f>IF($D$1212="",0,$D1432*Table3[[#This Row],[CF]]*chronic_consumption!$P232/1000/$C$3)</f>
        <v>#DIV/0!</v>
      </c>
      <c r="V1432" s="1098" t="e">
        <f>IF($D$1212="",0,$D1432*Table3[[#This Row],[CF]]*chronic_consumption!$Q232/1000/$C$3)</f>
        <v>#DIV/0!</v>
      </c>
      <c r="W1432" s="1098" t="e">
        <f>IF($D$1212="",0,$D1432*Table3[[#This Row],[CF]]*chronic_consumption!$R232/1000/$C$3)</f>
        <v>#DIV/0!</v>
      </c>
      <c r="X1432" s="1098" t="e">
        <f>IF($D$1212="",0,$D1432*Table3[[#This Row],[CF]]*chronic_consumption!$S232/1000/$C$3)</f>
        <v>#DIV/0!</v>
      </c>
      <c r="Y1432" s="1098" t="e">
        <f>IF($D$1212="",0,$D1432*Table3[[#This Row],[CF]]*chronic_consumption!$T232/1000/$C$3)</f>
        <v>#DIV/0!</v>
      </c>
      <c r="Z1432" s="1098" t="e">
        <f>IF($D$1212="",0,$D1432*Table3[[#This Row],[CF]]*chronic_consumption!$U232/1000/$C$3)</f>
        <v>#DIV/0!</v>
      </c>
      <c r="AA1432" s="1098" t="e">
        <f>IF($D$1212="",0,$D1432*Table3[[#This Row],[CF]]*chronic_consumption!$V232/1000/$C$3)</f>
        <v>#DIV/0!</v>
      </c>
      <c r="AB1432" s="1098" t="e">
        <f>IF($D$1212="",0,$D1432*Table3[[#This Row],[CF]]*chronic_consumption!$W232/1000/$C$3)</f>
        <v>#DIV/0!</v>
      </c>
      <c r="AC1432" s="1098" t="e">
        <f>IF($D$1212="",0,$D1432*Table3[[#This Row],[CF]]*chronic_consumption!$X232/1000/$C$3)</f>
        <v>#DIV/0!</v>
      </c>
      <c r="AD1432" s="1098" t="e">
        <f>IF($D$1212="",0,$D1432*Table3[[#This Row],[CF]]*chronic_consumption!$Y232/1000/$C$3)</f>
        <v>#DIV/0!</v>
      </c>
      <c r="AE1432" s="1098" t="e">
        <f>IF($D$1212="",0,$D1432*Table3[[#This Row],[CF]]*chronic_consumption!$Z232/1000/$C$3)</f>
        <v>#DIV/0!</v>
      </c>
      <c r="AF1432" s="1098" t="e">
        <f>IF($D$1212="",0,$D1432*Table3[[#This Row],[CF]]*chronic_consumption!$AA232/1000/$C$3)</f>
        <v>#DIV/0!</v>
      </c>
      <c r="AG1432" s="1098" t="e">
        <f>IF($D$1212="",0,$D1432*Table3[[#This Row],[CF]]*chronic_consumption!$AB232/1000/$C$3)</f>
        <v>#DIV/0!</v>
      </c>
      <c r="AH1432" s="1098" t="e">
        <f>IF($D$1212="",0,$D1432*Table3[[#This Row],[CF]]*chronic_consumption!$AC232/1000/$C$3)</f>
        <v>#DIV/0!</v>
      </c>
      <c r="AI1432" s="1098" t="e">
        <f>IF($D$1212="",0,$D1432*Table3[[#This Row],[CF]]*chronic_consumption!$AD232/1000/$C$3)</f>
        <v>#DIV/0!</v>
      </c>
      <c r="AJ1432" s="1098" t="e">
        <f>IF($D$1212="",0,$D1432*Table3[[#This Row],[CF]]*chronic_consumption!$AE232/1000/$C$3)</f>
        <v>#DIV/0!</v>
      </c>
      <c r="AK1432" s="1098" t="e">
        <f>IF($D$1212="",0,$D1432*Table3[[#This Row],[CF]]*chronic_consumption!$AF232/1000/$C$3)</f>
        <v>#DIV/0!</v>
      </c>
      <c r="AL1432" s="1098" t="e">
        <f>IF($D$1212="",0,$D1432*Table3[[#This Row],[CF]]*chronic_consumption!$AG232/1000/$C$3)</f>
        <v>#DIV/0!</v>
      </c>
      <c r="AM1432" s="1098" t="e">
        <f>IF($D$1212="",0,$D1432*Table3[[#This Row],[CF]]*chronic_consumption!$AH232/1000/$C$3)</f>
        <v>#DIV/0!</v>
      </c>
      <c r="AN1432" s="1098" t="e">
        <f>IF($D$1212="",0,$D1432*Table3[[#This Row],[CF]]*chronic_consumption!$AI232/1000/$C$3)</f>
        <v>#DIV/0!</v>
      </c>
      <c r="AO1432" s="1098" t="e">
        <f>IF($D$1212="",0,$D1432*Table3[[#This Row],[CF]]*chronic_consumption!$AJ232/1000/$C$3)</f>
        <v>#DIV/0!</v>
      </c>
      <c r="AP1432" s="1098" t="e">
        <f>IF($D$1212="",0,$D1432*Table3[[#This Row],[CF]]*chronic_consumption!$AK232/1000/$C$3)</f>
        <v>#DIV/0!</v>
      </c>
      <c r="AQ1432" s="1098" t="e">
        <f>IF($D$1212="",0,$D1432*Table3[[#This Row],[CF]]*chronic_consumption!$AL232/1000/$C$3)</f>
        <v>#DIV/0!</v>
      </c>
      <c r="AR1432" s="1098" t="e">
        <f>IF($D$1212="",0,$D1432*Table3[[#This Row],[CF]]*chronic_consumption!$AM232/1000/$C$3)</f>
        <v>#DIV/0!</v>
      </c>
      <c r="AS1432" s="1098" t="e">
        <f>IF($D$1212="",0,$D1432*Table3[[#This Row],[CF]]*chronic_consumption!$AN232/1000/$C$3)</f>
        <v>#DIV/0!</v>
      </c>
      <c r="AT1432" s="1098" t="e">
        <f>IF($D$1212="",0,$D1432*Table3[[#This Row],[CF]]*chronic_consumption!$AO232/1000/$C$3)</f>
        <v>#DIV/0!</v>
      </c>
      <c r="AU1432" s="1099" t="e">
        <f t="shared" ref="AU1432:AY1441" si="871">IF(AU632="",0,IF(OR(1=RANK(AU1032,AU$412:AU$790,0),(2=RANK(AU1032,AU$412:AU$790,0))),AU1032,AU632))</f>
        <v>#DIV/0!</v>
      </c>
      <c r="AV1432" s="1099" t="e">
        <f t="shared" si="871"/>
        <v>#DIV/0!</v>
      </c>
      <c r="AW1432" s="1099" t="e">
        <f t="shared" si="871"/>
        <v>#DIV/0!</v>
      </c>
      <c r="AX1432" s="1099" t="e">
        <f t="shared" si="871"/>
        <v>#DIV/0!</v>
      </c>
      <c r="AY1432" s="1099" t="e">
        <f t="shared" si="871"/>
        <v>#DIV/0!</v>
      </c>
      <c r="AZ1432" s="1091" t="s">
        <v>1012</v>
      </c>
      <c r="BA1432" s="1097" t="e">
        <f>IF(Table3[[#This Row],[max]]&lt;&gt;0,RANK(Table3[[#This Row],[max]],Table3[max],0),"")</f>
        <v>#DIV/0!</v>
      </c>
      <c r="BB1432" s="1096" t="e">
        <f t="shared" si="865"/>
        <v>#DIV/0!</v>
      </c>
      <c r="BC1432" s="1096" t="e">
        <f t="shared" ca="1" si="866"/>
        <v>#DIV/0!</v>
      </c>
      <c r="BD1432" s="1096" t="e">
        <f>IF(Table3[[#This Row],[max]]&gt;0,Table3[[#This Row],[Crop groups and examples of individual products within the groups to which the MRLs apply]],"")</f>
        <v>#DIV/0!</v>
      </c>
    </row>
    <row r="1433" spans="2:56" x14ac:dyDescent="0.2">
      <c r="B1433" s="23">
        <f t="shared" si="870"/>
        <v>401140</v>
      </c>
      <c r="C1433" s="23" t="str">
        <f t="shared" si="870"/>
        <v>Hemp seeds</v>
      </c>
      <c r="D1433" s="1084">
        <f>input_values!E233</f>
        <v>0</v>
      </c>
      <c r="E1433" s="1084">
        <f>input_values!F233</f>
        <v>0</v>
      </c>
      <c r="F1433" s="1085">
        <f>input_values!W233</f>
        <v>1</v>
      </c>
      <c r="G1433" s="1085" t="str">
        <f>IF(Table3[[#This Row],[CF]]&gt;0,CONCATENATE(IF(Table3[[#This Row],[LOQ]]="*","LOQ","MRL"),IF(input_values!G233&gt;0,"×CFrisk","")),"")</f>
        <v>MRL</v>
      </c>
      <c r="H1433" s="1087">
        <f>input_values!L233</f>
        <v>0</v>
      </c>
      <c r="I1433" s="1088">
        <f>input_values!D233</f>
        <v>0</v>
      </c>
      <c r="J1433" s="1098" t="e">
        <f>IF($D$1212="",0,$D1433*Table3[[#This Row],[CF]]*chronic_consumption!$E233/1000/$C$3)</f>
        <v>#DIV/0!</v>
      </c>
      <c r="K1433" s="1098" t="e">
        <f>IF($D$1212="",0,$D1433*Table3[[#This Row],[CF]]*chronic_consumption!$F233/1000/$C$3)</f>
        <v>#DIV/0!</v>
      </c>
      <c r="L1433" s="1098" t="e">
        <f>IF($D$1212="",0,$D1433*Table3[[#This Row],[CF]]*chronic_consumption!$G233/1000/$C$3)</f>
        <v>#DIV/0!</v>
      </c>
      <c r="M1433" s="1098" t="e">
        <f>IF($D$1212="",0,$D1433*Table3[[#This Row],[CF]]*chronic_consumption!$H233/1000/$C$3)</f>
        <v>#DIV/0!</v>
      </c>
      <c r="N1433" s="1098" t="e">
        <f>IF($D$1212="",0,$D1433*Table3[[#This Row],[CF]]*chronic_consumption!$I233/1000/$C$3)</f>
        <v>#DIV/0!</v>
      </c>
      <c r="O1433" s="1098" t="e">
        <f>IF($D$1212="",0,$D1433*Table3[[#This Row],[CF]]*chronic_consumption!$J233/1000/$C$3)</f>
        <v>#DIV/0!</v>
      </c>
      <c r="P1433" s="1098" t="e">
        <f>IF($D$1212="",0,$D1433*Table3[[#This Row],[CF]]*chronic_consumption!$K233/1000/$C$3)</f>
        <v>#DIV/0!</v>
      </c>
      <c r="Q1433" s="1098" t="e">
        <f>IF($D$1212="",0,$D1433*Table3[[#This Row],[CF]]*chronic_consumption!$L233/1000/$C$3)</f>
        <v>#DIV/0!</v>
      </c>
      <c r="R1433" s="1098" t="e">
        <f>IF($D$1212="",0,$D1433*Table3[[#This Row],[CF]]*chronic_consumption!$M233/1000/$C$3)</f>
        <v>#DIV/0!</v>
      </c>
      <c r="S1433" s="1098" t="e">
        <f>IF($D$1212="",0,$D1433*Table3[[#This Row],[CF]]*chronic_consumption!$N233/1000/$C$3)</f>
        <v>#DIV/0!</v>
      </c>
      <c r="T1433" s="1098" t="e">
        <f>IF($D$1212="",0,$D1433*Table3[[#This Row],[CF]]*chronic_consumption!$O233/1000/$C$3)</f>
        <v>#DIV/0!</v>
      </c>
      <c r="U1433" s="1098" t="e">
        <f>IF($D$1212="",0,$D1433*Table3[[#This Row],[CF]]*chronic_consumption!$P233/1000/$C$3)</f>
        <v>#DIV/0!</v>
      </c>
      <c r="V1433" s="1098" t="e">
        <f>IF($D$1212="",0,$D1433*Table3[[#This Row],[CF]]*chronic_consumption!$Q233/1000/$C$3)</f>
        <v>#DIV/0!</v>
      </c>
      <c r="W1433" s="1098" t="e">
        <f>IF($D$1212="",0,$D1433*Table3[[#This Row],[CF]]*chronic_consumption!$R233/1000/$C$3)</f>
        <v>#DIV/0!</v>
      </c>
      <c r="X1433" s="1098" t="e">
        <f>IF($D$1212="",0,$D1433*Table3[[#This Row],[CF]]*chronic_consumption!$S233/1000/$C$3)</f>
        <v>#DIV/0!</v>
      </c>
      <c r="Y1433" s="1098" t="e">
        <f>IF($D$1212="",0,$D1433*Table3[[#This Row],[CF]]*chronic_consumption!$T233/1000/$C$3)</f>
        <v>#DIV/0!</v>
      </c>
      <c r="Z1433" s="1098" t="e">
        <f>IF($D$1212="",0,$D1433*Table3[[#This Row],[CF]]*chronic_consumption!$U233/1000/$C$3)</f>
        <v>#DIV/0!</v>
      </c>
      <c r="AA1433" s="1098" t="e">
        <f>IF($D$1212="",0,$D1433*Table3[[#This Row],[CF]]*chronic_consumption!$V233/1000/$C$3)</f>
        <v>#DIV/0!</v>
      </c>
      <c r="AB1433" s="1098" t="e">
        <f>IF($D$1212="",0,$D1433*Table3[[#This Row],[CF]]*chronic_consumption!$W233/1000/$C$3)</f>
        <v>#DIV/0!</v>
      </c>
      <c r="AC1433" s="1098" t="e">
        <f>IF($D$1212="",0,$D1433*Table3[[#This Row],[CF]]*chronic_consumption!$X233/1000/$C$3)</f>
        <v>#DIV/0!</v>
      </c>
      <c r="AD1433" s="1098" t="e">
        <f>IF($D$1212="",0,$D1433*Table3[[#This Row],[CF]]*chronic_consumption!$Y233/1000/$C$3)</f>
        <v>#DIV/0!</v>
      </c>
      <c r="AE1433" s="1098" t="e">
        <f>IF($D$1212="",0,$D1433*Table3[[#This Row],[CF]]*chronic_consumption!$Z233/1000/$C$3)</f>
        <v>#DIV/0!</v>
      </c>
      <c r="AF1433" s="1098" t="e">
        <f>IF($D$1212="",0,$D1433*Table3[[#This Row],[CF]]*chronic_consumption!$AA233/1000/$C$3)</f>
        <v>#DIV/0!</v>
      </c>
      <c r="AG1433" s="1098" t="e">
        <f>IF($D$1212="",0,$D1433*Table3[[#This Row],[CF]]*chronic_consumption!$AB233/1000/$C$3)</f>
        <v>#DIV/0!</v>
      </c>
      <c r="AH1433" s="1098" t="e">
        <f>IF($D$1212="",0,$D1433*Table3[[#This Row],[CF]]*chronic_consumption!$AC233/1000/$C$3)</f>
        <v>#DIV/0!</v>
      </c>
      <c r="AI1433" s="1098" t="e">
        <f>IF($D$1212="",0,$D1433*Table3[[#This Row],[CF]]*chronic_consumption!$AD233/1000/$C$3)</f>
        <v>#DIV/0!</v>
      </c>
      <c r="AJ1433" s="1098" t="e">
        <f>IF($D$1212="",0,$D1433*Table3[[#This Row],[CF]]*chronic_consumption!$AE233/1000/$C$3)</f>
        <v>#DIV/0!</v>
      </c>
      <c r="AK1433" s="1098" t="e">
        <f>IF($D$1212="",0,$D1433*Table3[[#This Row],[CF]]*chronic_consumption!$AF233/1000/$C$3)</f>
        <v>#DIV/0!</v>
      </c>
      <c r="AL1433" s="1098" t="e">
        <f>IF($D$1212="",0,$D1433*Table3[[#This Row],[CF]]*chronic_consumption!$AG233/1000/$C$3)</f>
        <v>#DIV/0!</v>
      </c>
      <c r="AM1433" s="1098" t="e">
        <f>IF($D$1212="",0,$D1433*Table3[[#This Row],[CF]]*chronic_consumption!$AH233/1000/$C$3)</f>
        <v>#DIV/0!</v>
      </c>
      <c r="AN1433" s="1098" t="e">
        <f>IF($D$1212="",0,$D1433*Table3[[#This Row],[CF]]*chronic_consumption!$AI233/1000/$C$3)</f>
        <v>#DIV/0!</v>
      </c>
      <c r="AO1433" s="1098" t="e">
        <f>IF($D$1212="",0,$D1433*Table3[[#This Row],[CF]]*chronic_consumption!$AJ233/1000/$C$3)</f>
        <v>#DIV/0!</v>
      </c>
      <c r="AP1433" s="1098" t="e">
        <f>IF($D$1212="",0,$D1433*Table3[[#This Row],[CF]]*chronic_consumption!$AK233/1000/$C$3)</f>
        <v>#DIV/0!</v>
      </c>
      <c r="AQ1433" s="1098" t="e">
        <f>IF($D$1212="",0,$D1433*Table3[[#This Row],[CF]]*chronic_consumption!$AL233/1000/$C$3)</f>
        <v>#DIV/0!</v>
      </c>
      <c r="AR1433" s="1098" t="e">
        <f>IF($D$1212="",0,$D1433*Table3[[#This Row],[CF]]*chronic_consumption!$AM233/1000/$C$3)</f>
        <v>#DIV/0!</v>
      </c>
      <c r="AS1433" s="1098" t="e">
        <f>IF($D$1212="",0,$D1433*Table3[[#This Row],[CF]]*chronic_consumption!$AN233/1000/$C$3)</f>
        <v>#DIV/0!</v>
      </c>
      <c r="AT1433" s="1098" t="e">
        <f>IF($D$1212="",0,$D1433*Table3[[#This Row],[CF]]*chronic_consumption!$AO233/1000/$C$3)</f>
        <v>#DIV/0!</v>
      </c>
      <c r="AU1433" s="1099" t="e">
        <f t="shared" si="871"/>
        <v>#DIV/0!</v>
      </c>
      <c r="AV1433" s="1099" t="e">
        <f t="shared" si="871"/>
        <v>#DIV/0!</v>
      </c>
      <c r="AW1433" s="1099" t="e">
        <f t="shared" si="871"/>
        <v>#DIV/0!</v>
      </c>
      <c r="AX1433" s="1099" t="e">
        <f t="shared" si="871"/>
        <v>#DIV/0!</v>
      </c>
      <c r="AY1433" s="1099" t="e">
        <f t="shared" si="871"/>
        <v>#DIV/0!</v>
      </c>
      <c r="AZ1433" s="1091" t="s">
        <v>1012</v>
      </c>
      <c r="BA1433" s="1097" t="e">
        <f>IF(Table3[[#This Row],[max]]&lt;&gt;0,RANK(Table3[[#This Row],[max]],Table3[max],0),"")</f>
        <v>#DIV/0!</v>
      </c>
      <c r="BB1433" s="1096" t="e">
        <f t="shared" si="865"/>
        <v>#DIV/0!</v>
      </c>
      <c r="BC1433" s="1096" t="e">
        <f t="shared" ca="1" si="866"/>
        <v>#DIV/0!</v>
      </c>
      <c r="BD1433" s="1096" t="e">
        <f>IF(Table3[[#This Row],[max]]&gt;0,Table3[[#This Row],[Crop groups and examples of individual products within the groups to which the MRLs apply]],"")</f>
        <v>#DIV/0!</v>
      </c>
    </row>
    <row r="1434" spans="2:56" x14ac:dyDescent="0.2">
      <c r="B1434" s="23">
        <f t="shared" si="870"/>
        <v>401150</v>
      </c>
      <c r="C1434" s="23" t="str">
        <f t="shared" si="870"/>
        <v>Castor beans</v>
      </c>
      <c r="D1434" s="1084">
        <f>input_values!E234</f>
        <v>0</v>
      </c>
      <c r="E1434" s="1084">
        <f>input_values!F234</f>
        <v>0</v>
      </c>
      <c r="F1434" s="1085">
        <f>input_values!W234</f>
        <v>1</v>
      </c>
      <c r="G1434" s="1085" t="str">
        <f>IF(Table3[[#This Row],[CF]]&gt;0,CONCATENATE(IF(Table3[[#This Row],[LOQ]]="*","LOQ","MRL"),IF(input_values!G234&gt;0,"×CFrisk","")),"")</f>
        <v>MRL</v>
      </c>
      <c r="H1434" s="1087">
        <f>input_values!L234</f>
        <v>0</v>
      </c>
      <c r="I1434" s="1088">
        <f>input_values!D234</f>
        <v>0</v>
      </c>
      <c r="J1434" s="1098" t="e">
        <f>IF($D$1212="",0,$D1434*Table3[[#This Row],[CF]]*chronic_consumption!$E234/1000/$C$3)</f>
        <v>#DIV/0!</v>
      </c>
      <c r="K1434" s="1098" t="e">
        <f>IF($D$1212="",0,$D1434*Table3[[#This Row],[CF]]*chronic_consumption!$F234/1000/$C$3)</f>
        <v>#DIV/0!</v>
      </c>
      <c r="L1434" s="1098" t="e">
        <f>IF($D$1212="",0,$D1434*Table3[[#This Row],[CF]]*chronic_consumption!$G234/1000/$C$3)</f>
        <v>#DIV/0!</v>
      </c>
      <c r="M1434" s="1098" t="e">
        <f>IF($D$1212="",0,$D1434*Table3[[#This Row],[CF]]*chronic_consumption!$H234/1000/$C$3)</f>
        <v>#DIV/0!</v>
      </c>
      <c r="N1434" s="1098" t="e">
        <f>IF($D$1212="",0,$D1434*Table3[[#This Row],[CF]]*chronic_consumption!$I234/1000/$C$3)</f>
        <v>#DIV/0!</v>
      </c>
      <c r="O1434" s="1098" t="e">
        <f>IF($D$1212="",0,$D1434*Table3[[#This Row],[CF]]*chronic_consumption!$J234/1000/$C$3)</f>
        <v>#DIV/0!</v>
      </c>
      <c r="P1434" s="1098" t="e">
        <f>IF($D$1212="",0,$D1434*Table3[[#This Row],[CF]]*chronic_consumption!$K234/1000/$C$3)</f>
        <v>#DIV/0!</v>
      </c>
      <c r="Q1434" s="1098" t="e">
        <f>IF($D$1212="",0,$D1434*Table3[[#This Row],[CF]]*chronic_consumption!$L234/1000/$C$3)</f>
        <v>#DIV/0!</v>
      </c>
      <c r="R1434" s="1098" t="e">
        <f>IF($D$1212="",0,$D1434*Table3[[#This Row],[CF]]*chronic_consumption!$M234/1000/$C$3)</f>
        <v>#DIV/0!</v>
      </c>
      <c r="S1434" s="1098" t="e">
        <f>IF($D$1212="",0,$D1434*Table3[[#This Row],[CF]]*chronic_consumption!$N234/1000/$C$3)</f>
        <v>#DIV/0!</v>
      </c>
      <c r="T1434" s="1098" t="e">
        <f>IF($D$1212="",0,$D1434*Table3[[#This Row],[CF]]*chronic_consumption!$O234/1000/$C$3)</f>
        <v>#DIV/0!</v>
      </c>
      <c r="U1434" s="1098" t="e">
        <f>IF($D$1212="",0,$D1434*Table3[[#This Row],[CF]]*chronic_consumption!$P234/1000/$C$3)</f>
        <v>#DIV/0!</v>
      </c>
      <c r="V1434" s="1098" t="e">
        <f>IF($D$1212="",0,$D1434*Table3[[#This Row],[CF]]*chronic_consumption!$Q234/1000/$C$3)</f>
        <v>#DIV/0!</v>
      </c>
      <c r="W1434" s="1098" t="e">
        <f>IF($D$1212="",0,$D1434*Table3[[#This Row],[CF]]*chronic_consumption!$R234/1000/$C$3)</f>
        <v>#DIV/0!</v>
      </c>
      <c r="X1434" s="1098" t="e">
        <f>IF($D$1212="",0,$D1434*Table3[[#This Row],[CF]]*chronic_consumption!$S234/1000/$C$3)</f>
        <v>#DIV/0!</v>
      </c>
      <c r="Y1434" s="1098" t="e">
        <f>IF($D$1212="",0,$D1434*Table3[[#This Row],[CF]]*chronic_consumption!$T234/1000/$C$3)</f>
        <v>#DIV/0!</v>
      </c>
      <c r="Z1434" s="1098" t="e">
        <f>IF($D$1212="",0,$D1434*Table3[[#This Row],[CF]]*chronic_consumption!$U234/1000/$C$3)</f>
        <v>#DIV/0!</v>
      </c>
      <c r="AA1434" s="1098" t="e">
        <f>IF($D$1212="",0,$D1434*Table3[[#This Row],[CF]]*chronic_consumption!$V234/1000/$C$3)</f>
        <v>#DIV/0!</v>
      </c>
      <c r="AB1434" s="1098" t="e">
        <f>IF($D$1212="",0,$D1434*Table3[[#This Row],[CF]]*chronic_consumption!$W234/1000/$C$3)</f>
        <v>#DIV/0!</v>
      </c>
      <c r="AC1434" s="1098" t="e">
        <f>IF($D$1212="",0,$D1434*Table3[[#This Row],[CF]]*chronic_consumption!$X234/1000/$C$3)</f>
        <v>#DIV/0!</v>
      </c>
      <c r="AD1434" s="1098" t="e">
        <f>IF($D$1212="",0,$D1434*Table3[[#This Row],[CF]]*chronic_consumption!$Y234/1000/$C$3)</f>
        <v>#DIV/0!</v>
      </c>
      <c r="AE1434" s="1098" t="e">
        <f>IF($D$1212="",0,$D1434*Table3[[#This Row],[CF]]*chronic_consumption!$Z234/1000/$C$3)</f>
        <v>#DIV/0!</v>
      </c>
      <c r="AF1434" s="1098" t="e">
        <f>IF($D$1212="",0,$D1434*Table3[[#This Row],[CF]]*chronic_consumption!$AA234/1000/$C$3)</f>
        <v>#DIV/0!</v>
      </c>
      <c r="AG1434" s="1098" t="e">
        <f>IF($D$1212="",0,$D1434*Table3[[#This Row],[CF]]*chronic_consumption!$AB234/1000/$C$3)</f>
        <v>#DIV/0!</v>
      </c>
      <c r="AH1434" s="1098" t="e">
        <f>IF($D$1212="",0,$D1434*Table3[[#This Row],[CF]]*chronic_consumption!$AC234/1000/$C$3)</f>
        <v>#DIV/0!</v>
      </c>
      <c r="AI1434" s="1098" t="e">
        <f>IF($D$1212="",0,$D1434*Table3[[#This Row],[CF]]*chronic_consumption!$AD234/1000/$C$3)</f>
        <v>#DIV/0!</v>
      </c>
      <c r="AJ1434" s="1098" t="e">
        <f>IF($D$1212="",0,$D1434*Table3[[#This Row],[CF]]*chronic_consumption!$AE234/1000/$C$3)</f>
        <v>#DIV/0!</v>
      </c>
      <c r="AK1434" s="1098" t="e">
        <f>IF($D$1212="",0,$D1434*Table3[[#This Row],[CF]]*chronic_consumption!$AF234/1000/$C$3)</f>
        <v>#DIV/0!</v>
      </c>
      <c r="AL1434" s="1098" t="e">
        <f>IF($D$1212="",0,$D1434*Table3[[#This Row],[CF]]*chronic_consumption!$AG234/1000/$C$3)</f>
        <v>#DIV/0!</v>
      </c>
      <c r="AM1434" s="1098" t="e">
        <f>IF($D$1212="",0,$D1434*Table3[[#This Row],[CF]]*chronic_consumption!$AH234/1000/$C$3)</f>
        <v>#DIV/0!</v>
      </c>
      <c r="AN1434" s="1098" t="e">
        <f>IF($D$1212="",0,$D1434*Table3[[#This Row],[CF]]*chronic_consumption!$AI234/1000/$C$3)</f>
        <v>#DIV/0!</v>
      </c>
      <c r="AO1434" s="1098" t="e">
        <f>IF($D$1212="",0,$D1434*Table3[[#This Row],[CF]]*chronic_consumption!$AJ234/1000/$C$3)</f>
        <v>#DIV/0!</v>
      </c>
      <c r="AP1434" s="1098" t="e">
        <f>IF($D$1212="",0,$D1434*Table3[[#This Row],[CF]]*chronic_consumption!$AK234/1000/$C$3)</f>
        <v>#DIV/0!</v>
      </c>
      <c r="AQ1434" s="1098" t="e">
        <f>IF($D$1212="",0,$D1434*Table3[[#This Row],[CF]]*chronic_consumption!$AL234/1000/$C$3)</f>
        <v>#DIV/0!</v>
      </c>
      <c r="AR1434" s="1098" t="e">
        <f>IF($D$1212="",0,$D1434*Table3[[#This Row],[CF]]*chronic_consumption!$AM234/1000/$C$3)</f>
        <v>#DIV/0!</v>
      </c>
      <c r="AS1434" s="1098" t="e">
        <f>IF($D$1212="",0,$D1434*Table3[[#This Row],[CF]]*chronic_consumption!$AN234/1000/$C$3)</f>
        <v>#DIV/0!</v>
      </c>
      <c r="AT1434" s="1098" t="e">
        <f>IF($D$1212="",0,$D1434*Table3[[#This Row],[CF]]*chronic_consumption!$AO234/1000/$C$3)</f>
        <v>#DIV/0!</v>
      </c>
      <c r="AU1434" s="1099" t="e">
        <f t="shared" si="871"/>
        <v>#DIV/0!</v>
      </c>
      <c r="AV1434" s="1099" t="e">
        <f t="shared" si="871"/>
        <v>#DIV/0!</v>
      </c>
      <c r="AW1434" s="1099" t="e">
        <f t="shared" si="871"/>
        <v>#DIV/0!</v>
      </c>
      <c r="AX1434" s="1099" t="e">
        <f t="shared" si="871"/>
        <v>#DIV/0!</v>
      </c>
      <c r="AY1434" s="1099" t="e">
        <f t="shared" si="871"/>
        <v>#DIV/0!</v>
      </c>
      <c r="AZ1434" s="1091" t="s">
        <v>1012</v>
      </c>
      <c r="BA1434" s="1097" t="e">
        <f>IF(Table3[[#This Row],[max]]&lt;&gt;0,RANK(Table3[[#This Row],[max]],Table3[max],0),"")</f>
        <v>#DIV/0!</v>
      </c>
      <c r="BB1434" s="1096" t="e">
        <f t="shared" si="865"/>
        <v>#DIV/0!</v>
      </c>
      <c r="BC1434" s="1096" t="e">
        <f t="shared" ca="1" si="866"/>
        <v>#DIV/0!</v>
      </c>
      <c r="BD1434" s="1096" t="e">
        <f>IF(Table3[[#This Row],[max]]&gt;0,Table3[[#This Row],[Crop groups and examples of individual products within the groups to which the MRLs apply]],"")</f>
        <v>#DIV/0!</v>
      </c>
    </row>
    <row r="1435" spans="2:56" x14ac:dyDescent="0.2">
      <c r="B1435" s="23">
        <f t="shared" si="870"/>
        <v>401990</v>
      </c>
      <c r="C1435" s="23" t="str">
        <f t="shared" si="870"/>
        <v>Other oilseeds</v>
      </c>
      <c r="D1435" s="1084">
        <f>input_values!E235</f>
        <v>0</v>
      </c>
      <c r="E1435" s="1084">
        <f>input_values!F235</f>
        <v>0</v>
      </c>
      <c r="F1435" s="1085">
        <f>input_values!W235</f>
        <v>1</v>
      </c>
      <c r="G1435" s="1085" t="str">
        <f>IF(Table3[[#This Row],[CF]]&gt;0,CONCATENATE(IF(Table3[[#This Row],[LOQ]]="*","LOQ","MRL"),IF(input_values!G235&gt;0,"×CFrisk","")),"")</f>
        <v>MRL</v>
      </c>
      <c r="H1435" s="1087">
        <f>input_values!L235</f>
        <v>0</v>
      </c>
      <c r="I1435" s="1088">
        <f>input_values!D235</f>
        <v>0</v>
      </c>
      <c r="J1435" s="1098" t="e">
        <f>IF($D$1212="",0,$D1435*Table3[[#This Row],[CF]]*chronic_consumption!$E235/1000/$C$3)</f>
        <v>#DIV/0!</v>
      </c>
      <c r="K1435" s="1098" t="e">
        <f>IF($D$1212="",0,$D1435*Table3[[#This Row],[CF]]*chronic_consumption!$F235/1000/$C$3)</f>
        <v>#DIV/0!</v>
      </c>
      <c r="L1435" s="1098" t="e">
        <f>IF($D$1212="",0,$D1435*Table3[[#This Row],[CF]]*chronic_consumption!$G235/1000/$C$3)</f>
        <v>#DIV/0!</v>
      </c>
      <c r="M1435" s="1098" t="e">
        <f>IF($D$1212="",0,$D1435*Table3[[#This Row],[CF]]*chronic_consumption!$H235/1000/$C$3)</f>
        <v>#DIV/0!</v>
      </c>
      <c r="N1435" s="1098" t="e">
        <f>IF($D$1212="",0,$D1435*Table3[[#This Row],[CF]]*chronic_consumption!$I235/1000/$C$3)</f>
        <v>#DIV/0!</v>
      </c>
      <c r="O1435" s="1098" t="e">
        <f>IF($D$1212="",0,$D1435*Table3[[#This Row],[CF]]*chronic_consumption!$J235/1000/$C$3)</f>
        <v>#DIV/0!</v>
      </c>
      <c r="P1435" s="1098" t="e">
        <f>IF($D$1212="",0,$D1435*Table3[[#This Row],[CF]]*chronic_consumption!$K235/1000/$C$3)</f>
        <v>#DIV/0!</v>
      </c>
      <c r="Q1435" s="1098" t="e">
        <f>IF($D$1212="",0,$D1435*Table3[[#This Row],[CF]]*chronic_consumption!$L235/1000/$C$3)</f>
        <v>#DIV/0!</v>
      </c>
      <c r="R1435" s="1098" t="e">
        <f>IF($D$1212="",0,$D1435*Table3[[#This Row],[CF]]*chronic_consumption!$M235/1000/$C$3)</f>
        <v>#DIV/0!</v>
      </c>
      <c r="S1435" s="1098" t="e">
        <f>IF($D$1212="",0,$D1435*Table3[[#This Row],[CF]]*chronic_consumption!$N235/1000/$C$3)</f>
        <v>#DIV/0!</v>
      </c>
      <c r="T1435" s="1098" t="e">
        <f>IF($D$1212="",0,$D1435*Table3[[#This Row],[CF]]*chronic_consumption!$O235/1000/$C$3)</f>
        <v>#DIV/0!</v>
      </c>
      <c r="U1435" s="1098" t="e">
        <f>IF($D$1212="",0,$D1435*Table3[[#This Row],[CF]]*chronic_consumption!$P235/1000/$C$3)</f>
        <v>#DIV/0!</v>
      </c>
      <c r="V1435" s="1098" t="e">
        <f>IF($D$1212="",0,$D1435*Table3[[#This Row],[CF]]*chronic_consumption!$Q235/1000/$C$3)</f>
        <v>#DIV/0!</v>
      </c>
      <c r="W1435" s="1098" t="e">
        <f>IF($D$1212="",0,$D1435*Table3[[#This Row],[CF]]*chronic_consumption!$R235/1000/$C$3)</f>
        <v>#DIV/0!</v>
      </c>
      <c r="X1435" s="1098" t="e">
        <f>IF($D$1212="",0,$D1435*Table3[[#This Row],[CF]]*chronic_consumption!$S235/1000/$C$3)</f>
        <v>#DIV/0!</v>
      </c>
      <c r="Y1435" s="1098" t="e">
        <f>IF($D$1212="",0,$D1435*Table3[[#This Row],[CF]]*chronic_consumption!$T235/1000/$C$3)</f>
        <v>#DIV/0!</v>
      </c>
      <c r="Z1435" s="1098" t="e">
        <f>IF($D$1212="",0,$D1435*Table3[[#This Row],[CF]]*chronic_consumption!$U235/1000/$C$3)</f>
        <v>#DIV/0!</v>
      </c>
      <c r="AA1435" s="1098" t="e">
        <f>IF($D$1212="",0,$D1435*Table3[[#This Row],[CF]]*chronic_consumption!$V235/1000/$C$3)</f>
        <v>#DIV/0!</v>
      </c>
      <c r="AB1435" s="1098" t="e">
        <f>IF($D$1212="",0,$D1435*Table3[[#This Row],[CF]]*chronic_consumption!$W235/1000/$C$3)</f>
        <v>#DIV/0!</v>
      </c>
      <c r="AC1435" s="1098" t="e">
        <f>IF($D$1212="",0,$D1435*Table3[[#This Row],[CF]]*chronic_consumption!$X235/1000/$C$3)</f>
        <v>#DIV/0!</v>
      </c>
      <c r="AD1435" s="1098" t="e">
        <f>IF($D$1212="",0,$D1435*Table3[[#This Row],[CF]]*chronic_consumption!$Y235/1000/$C$3)</f>
        <v>#DIV/0!</v>
      </c>
      <c r="AE1435" s="1098" t="e">
        <f>IF($D$1212="",0,$D1435*Table3[[#This Row],[CF]]*chronic_consumption!$Z235/1000/$C$3)</f>
        <v>#DIV/0!</v>
      </c>
      <c r="AF1435" s="1098" t="e">
        <f>IF($D$1212="",0,$D1435*Table3[[#This Row],[CF]]*chronic_consumption!$AA235/1000/$C$3)</f>
        <v>#DIV/0!</v>
      </c>
      <c r="AG1435" s="1098" t="e">
        <f>IF($D$1212="",0,$D1435*Table3[[#This Row],[CF]]*chronic_consumption!$AB235/1000/$C$3)</f>
        <v>#DIV/0!</v>
      </c>
      <c r="AH1435" s="1098" t="e">
        <f>IF($D$1212="",0,$D1435*Table3[[#This Row],[CF]]*chronic_consumption!$AC235/1000/$C$3)</f>
        <v>#DIV/0!</v>
      </c>
      <c r="AI1435" s="1098" t="e">
        <f>IF($D$1212="",0,$D1435*Table3[[#This Row],[CF]]*chronic_consumption!$AD235/1000/$C$3)</f>
        <v>#DIV/0!</v>
      </c>
      <c r="AJ1435" s="1098" t="e">
        <f>IF($D$1212="",0,$D1435*Table3[[#This Row],[CF]]*chronic_consumption!$AE235/1000/$C$3)</f>
        <v>#DIV/0!</v>
      </c>
      <c r="AK1435" s="1098" t="e">
        <f>IF($D$1212="",0,$D1435*Table3[[#This Row],[CF]]*chronic_consumption!$AF235/1000/$C$3)</f>
        <v>#DIV/0!</v>
      </c>
      <c r="AL1435" s="1098" t="e">
        <f>IF($D$1212="",0,$D1435*Table3[[#This Row],[CF]]*chronic_consumption!$AG235/1000/$C$3)</f>
        <v>#DIV/0!</v>
      </c>
      <c r="AM1435" s="1098" t="e">
        <f>IF($D$1212="",0,$D1435*Table3[[#This Row],[CF]]*chronic_consumption!$AH235/1000/$C$3)</f>
        <v>#DIV/0!</v>
      </c>
      <c r="AN1435" s="1098" t="e">
        <f>IF($D$1212="",0,$D1435*Table3[[#This Row],[CF]]*chronic_consumption!$AI235/1000/$C$3)</f>
        <v>#DIV/0!</v>
      </c>
      <c r="AO1435" s="1098" t="e">
        <f>IF($D$1212="",0,$D1435*Table3[[#This Row],[CF]]*chronic_consumption!$AJ235/1000/$C$3)</f>
        <v>#DIV/0!</v>
      </c>
      <c r="AP1435" s="1098" t="e">
        <f>IF($D$1212="",0,$D1435*Table3[[#This Row],[CF]]*chronic_consumption!$AK235/1000/$C$3)</f>
        <v>#DIV/0!</v>
      </c>
      <c r="AQ1435" s="1098" t="e">
        <f>IF($D$1212="",0,$D1435*Table3[[#This Row],[CF]]*chronic_consumption!$AL235/1000/$C$3)</f>
        <v>#DIV/0!</v>
      </c>
      <c r="AR1435" s="1098" t="e">
        <f>IF($D$1212="",0,$D1435*Table3[[#This Row],[CF]]*chronic_consumption!$AM235/1000/$C$3)</f>
        <v>#DIV/0!</v>
      </c>
      <c r="AS1435" s="1098" t="e">
        <f>IF($D$1212="",0,$D1435*Table3[[#This Row],[CF]]*chronic_consumption!$AN235/1000/$C$3)</f>
        <v>#DIV/0!</v>
      </c>
      <c r="AT1435" s="1098" t="e">
        <f>IF($D$1212="",0,$D1435*Table3[[#This Row],[CF]]*chronic_consumption!$AO235/1000/$C$3)</f>
        <v>#DIV/0!</v>
      </c>
      <c r="AU1435" s="1099" t="e">
        <f t="shared" si="871"/>
        <v>#DIV/0!</v>
      </c>
      <c r="AV1435" s="1099" t="e">
        <f t="shared" si="871"/>
        <v>#DIV/0!</v>
      </c>
      <c r="AW1435" s="1099" t="e">
        <f t="shared" si="871"/>
        <v>#DIV/0!</v>
      </c>
      <c r="AX1435" s="1099" t="e">
        <f t="shared" si="871"/>
        <v>#DIV/0!</v>
      </c>
      <c r="AY1435" s="1099" t="e">
        <f t="shared" si="871"/>
        <v>#DIV/0!</v>
      </c>
      <c r="AZ1435" s="1091" t="s">
        <v>1012</v>
      </c>
      <c r="BA1435" s="1097" t="e">
        <f>IF(Table3[[#This Row],[max]]&lt;&gt;0,RANK(Table3[[#This Row],[max]],Table3[max],0),"")</f>
        <v>#DIV/0!</v>
      </c>
      <c r="BB1435" s="1096" t="e">
        <f t="shared" si="865"/>
        <v>#DIV/0!</v>
      </c>
      <c r="BC1435" s="1096" t="e">
        <f t="shared" ca="1" si="866"/>
        <v>#DIV/0!</v>
      </c>
      <c r="BD1435" s="1096" t="e">
        <f>IF(Table3[[#This Row],[max]]&gt;0,Table3[[#This Row],[Crop groups and examples of individual products within the groups to which the MRLs apply]],"")</f>
        <v>#DIV/0!</v>
      </c>
    </row>
    <row r="1436" spans="2:56" x14ac:dyDescent="0.2">
      <c r="B1436" s="131">
        <f t="shared" si="870"/>
        <v>402000</v>
      </c>
      <c r="C1436" s="131" t="str">
        <f t="shared" si="870"/>
        <v>Oil fruits</v>
      </c>
      <c r="D1436" s="1084">
        <f>input_values!E236</f>
        <v>0</v>
      </c>
      <c r="E1436" s="1084">
        <f>input_values!F236</f>
        <v>0</v>
      </c>
      <c r="F1436" s="1085">
        <f>input_values!W236</f>
        <v>0</v>
      </c>
      <c r="G1436" s="1085" t="str">
        <f>IF(Table3[[#This Row],[CF]]&gt;0,CONCATENATE(IF(Table3[[#This Row],[LOQ]]="*","LOQ","MRL"),IF(input_values!G236&gt;0,"×CFrisk","")),"")</f>
        <v/>
      </c>
      <c r="H1436" s="1087">
        <f>input_values!L236</f>
        <v>0</v>
      </c>
      <c r="I1436" s="1088">
        <f>input_values!D236</f>
        <v>0</v>
      </c>
      <c r="J1436" s="1095" t="e">
        <f>IF($D$1212="",0,$D1436*Table3[[#This Row],[CF]]*chronic_consumption!$E236/1000/$C$3)</f>
        <v>#DIV/0!</v>
      </c>
      <c r="K1436" s="1095" t="e">
        <f>IF($D$1212="",0,$D1436*Table3[[#This Row],[CF]]*chronic_consumption!$F236/1000/$C$3)</f>
        <v>#DIV/0!</v>
      </c>
      <c r="L1436" s="1095" t="e">
        <f>IF($D$1212="",0,$D1436*Table3[[#This Row],[CF]]*chronic_consumption!$G236/1000/$C$3)</f>
        <v>#DIV/0!</v>
      </c>
      <c r="M1436" s="1095" t="e">
        <f>IF($D$1212="",0,$D1436*Table3[[#This Row],[CF]]*chronic_consumption!$H236/1000/$C$3)</f>
        <v>#DIV/0!</v>
      </c>
      <c r="N1436" s="1095" t="e">
        <f>IF($D$1212="",0,$D1436*Table3[[#This Row],[CF]]*chronic_consumption!$I236/1000/$C$3)</f>
        <v>#DIV/0!</v>
      </c>
      <c r="O1436" s="1095" t="e">
        <f>IF($D$1212="",0,$D1436*Table3[[#This Row],[CF]]*chronic_consumption!$J236/1000/$C$3)</f>
        <v>#DIV/0!</v>
      </c>
      <c r="P1436" s="1095" t="e">
        <f>IF($D$1212="",0,$D1436*Table3[[#This Row],[CF]]*chronic_consumption!$K236/1000/$C$3)</f>
        <v>#DIV/0!</v>
      </c>
      <c r="Q1436" s="1095" t="e">
        <f>IF($D$1212="",0,$D1436*Table3[[#This Row],[CF]]*chronic_consumption!$L236/1000/$C$3)</f>
        <v>#DIV/0!</v>
      </c>
      <c r="R1436" s="1095" t="e">
        <f>IF($D$1212="",0,$D1436*Table3[[#This Row],[CF]]*chronic_consumption!$M236/1000/$C$3)</f>
        <v>#DIV/0!</v>
      </c>
      <c r="S1436" s="1095" t="e">
        <f>IF($D$1212="",0,$D1436*Table3[[#This Row],[CF]]*chronic_consumption!$N236/1000/$C$3)</f>
        <v>#DIV/0!</v>
      </c>
      <c r="T1436" s="1095" t="e">
        <f>IF($D$1212="",0,$D1436*Table3[[#This Row],[CF]]*chronic_consumption!$O236/1000/$C$3)</f>
        <v>#DIV/0!</v>
      </c>
      <c r="U1436" s="1095" t="e">
        <f>IF($D$1212="",0,$D1436*Table3[[#This Row],[CF]]*chronic_consumption!$P236/1000/$C$3)</f>
        <v>#DIV/0!</v>
      </c>
      <c r="V1436" s="1095" t="e">
        <f>IF($D$1212="",0,$D1436*Table3[[#This Row],[CF]]*chronic_consumption!$Q236/1000/$C$3)</f>
        <v>#DIV/0!</v>
      </c>
      <c r="W1436" s="1095" t="e">
        <f>IF($D$1212="",0,$D1436*Table3[[#This Row],[CF]]*chronic_consumption!$R236/1000/$C$3)</f>
        <v>#DIV/0!</v>
      </c>
      <c r="X1436" s="1095" t="e">
        <f>IF($D$1212="",0,$D1436*Table3[[#This Row],[CF]]*chronic_consumption!$S236/1000/$C$3)</f>
        <v>#DIV/0!</v>
      </c>
      <c r="Y1436" s="1095" t="e">
        <f>IF($D$1212="",0,$D1436*Table3[[#This Row],[CF]]*chronic_consumption!$T236/1000/$C$3)</f>
        <v>#DIV/0!</v>
      </c>
      <c r="Z1436" s="1095" t="e">
        <f>IF($D$1212="",0,$D1436*Table3[[#This Row],[CF]]*chronic_consumption!$U236/1000/$C$3)</f>
        <v>#DIV/0!</v>
      </c>
      <c r="AA1436" s="1095" t="e">
        <f>IF($D$1212="",0,$D1436*Table3[[#This Row],[CF]]*chronic_consumption!$V236/1000/$C$3)</f>
        <v>#DIV/0!</v>
      </c>
      <c r="AB1436" s="1095" t="e">
        <f>IF($D$1212="",0,$D1436*Table3[[#This Row],[CF]]*chronic_consumption!$W236/1000/$C$3)</f>
        <v>#DIV/0!</v>
      </c>
      <c r="AC1436" s="1095" t="e">
        <f>IF($D$1212="",0,$D1436*Table3[[#This Row],[CF]]*chronic_consumption!$X236/1000/$C$3)</f>
        <v>#DIV/0!</v>
      </c>
      <c r="AD1436" s="1095" t="e">
        <f>IF($D$1212="",0,$D1436*Table3[[#This Row],[CF]]*chronic_consumption!$Y236/1000/$C$3)</f>
        <v>#DIV/0!</v>
      </c>
      <c r="AE1436" s="1095" t="e">
        <f>IF($D$1212="",0,$D1436*Table3[[#This Row],[CF]]*chronic_consumption!$Z236/1000/$C$3)</f>
        <v>#DIV/0!</v>
      </c>
      <c r="AF1436" s="1095" t="e">
        <f>IF($D$1212="",0,$D1436*Table3[[#This Row],[CF]]*chronic_consumption!$AA236/1000/$C$3)</f>
        <v>#DIV/0!</v>
      </c>
      <c r="AG1436" s="1095" t="e">
        <f>IF($D$1212="",0,$D1436*Table3[[#This Row],[CF]]*chronic_consumption!$AB236/1000/$C$3)</f>
        <v>#DIV/0!</v>
      </c>
      <c r="AH1436" s="1095" t="e">
        <f>IF($D$1212="",0,$D1436*Table3[[#This Row],[CF]]*chronic_consumption!$AC236/1000/$C$3)</f>
        <v>#DIV/0!</v>
      </c>
      <c r="AI1436" s="1095" t="e">
        <f>IF($D$1212="",0,$D1436*Table3[[#This Row],[CF]]*chronic_consumption!$AD236/1000/$C$3)</f>
        <v>#DIV/0!</v>
      </c>
      <c r="AJ1436" s="1095" t="e">
        <f>IF($D$1212="",0,$D1436*Table3[[#This Row],[CF]]*chronic_consumption!$AE236/1000/$C$3)</f>
        <v>#DIV/0!</v>
      </c>
      <c r="AK1436" s="1095" t="e">
        <f>IF($D$1212="",0,$D1436*Table3[[#This Row],[CF]]*chronic_consumption!$AF236/1000/$C$3)</f>
        <v>#DIV/0!</v>
      </c>
      <c r="AL1436" s="1095" t="e">
        <f>IF($D$1212="",0,$D1436*Table3[[#This Row],[CF]]*chronic_consumption!$AG236/1000/$C$3)</f>
        <v>#DIV/0!</v>
      </c>
      <c r="AM1436" s="1095" t="e">
        <f>IF($D$1212="",0,$D1436*Table3[[#This Row],[CF]]*chronic_consumption!$AH236/1000/$C$3)</f>
        <v>#DIV/0!</v>
      </c>
      <c r="AN1436" s="1095" t="e">
        <f>IF($D$1212="",0,$D1436*Table3[[#This Row],[CF]]*chronic_consumption!$AI236/1000/$C$3)</f>
        <v>#DIV/0!</v>
      </c>
      <c r="AO1436" s="1095" t="e">
        <f>IF($D$1212="",0,$D1436*Table3[[#This Row],[CF]]*chronic_consumption!$AJ236/1000/$C$3)</f>
        <v>#DIV/0!</v>
      </c>
      <c r="AP1436" s="1095" t="e">
        <f>IF($D$1212="",0,$D1436*Table3[[#This Row],[CF]]*chronic_consumption!$AK236/1000/$C$3)</f>
        <v>#DIV/0!</v>
      </c>
      <c r="AQ1436" s="1095" t="e">
        <f>IF($D$1212="",0,$D1436*Table3[[#This Row],[CF]]*chronic_consumption!$AL236/1000/$C$3)</f>
        <v>#DIV/0!</v>
      </c>
      <c r="AR1436" s="1095" t="e">
        <f>IF($D$1212="",0,$D1436*Table3[[#This Row],[CF]]*chronic_consumption!$AM236/1000/$C$3)</f>
        <v>#DIV/0!</v>
      </c>
      <c r="AS1436" s="1095" t="e">
        <f>IF($D$1212="",0,$D1436*Table3[[#This Row],[CF]]*chronic_consumption!$AN236/1000/$C$3)</f>
        <v>#DIV/0!</v>
      </c>
      <c r="AT1436" s="1095" t="e">
        <f>IF($D$1212="",0,$D1436*Table3[[#This Row],[CF]]*chronic_consumption!$AO236/1000/$C$3)</f>
        <v>#DIV/0!</v>
      </c>
      <c r="AU1436" s="1096" t="e">
        <f t="shared" si="871"/>
        <v>#DIV/0!</v>
      </c>
      <c r="AV1436" s="1096" t="e">
        <f t="shared" si="871"/>
        <v>#DIV/0!</v>
      </c>
      <c r="AW1436" s="1096" t="e">
        <f t="shared" si="871"/>
        <v>#DIV/0!</v>
      </c>
      <c r="AX1436" s="1096" t="e">
        <f t="shared" si="871"/>
        <v>#DIV/0!</v>
      </c>
      <c r="AY1436" s="1096" t="e">
        <f t="shared" si="871"/>
        <v>#DIV/0!</v>
      </c>
      <c r="AZ1436" s="1091" t="s">
        <v>1012</v>
      </c>
      <c r="BA1436" s="1097" t="e">
        <f>IF(Table3[[#This Row],[max]]&lt;&gt;0,RANK(Table3[[#This Row],[max]],Table3[max],0),"")</f>
        <v>#DIV/0!</v>
      </c>
      <c r="BB1436" s="1096" t="e">
        <f t="shared" si="865"/>
        <v>#DIV/0!</v>
      </c>
      <c r="BC1436" s="1096" t="e">
        <f t="shared" ca="1" si="866"/>
        <v>#DIV/0!</v>
      </c>
      <c r="BD1436" s="1096" t="e">
        <f>IF(Table3[[#This Row],[max]]&gt;0,Table3[[#This Row],[Crop groups and examples of individual products within the groups to which the MRLs apply]],"")</f>
        <v>#DIV/0!</v>
      </c>
    </row>
    <row r="1437" spans="2:56" x14ac:dyDescent="0.2">
      <c r="B1437" s="23">
        <f t="shared" si="870"/>
        <v>402010</v>
      </c>
      <c r="C1437" s="23" t="str">
        <f t="shared" si="870"/>
        <v>Olives for oil production</v>
      </c>
      <c r="D1437" s="1084">
        <f>input_values!E237</f>
        <v>0</v>
      </c>
      <c r="E1437" s="1084">
        <f>input_values!F237</f>
        <v>0</v>
      </c>
      <c r="F1437" s="1085">
        <f>input_values!W237</f>
        <v>1</v>
      </c>
      <c r="G1437" s="1085" t="str">
        <f>IF(Table3[[#This Row],[CF]]&gt;0,CONCATENATE(IF(Table3[[#This Row],[LOQ]]="*","LOQ","MRL"),IF(input_values!G237&gt;0,"×CFrisk","")),"")</f>
        <v>MRL</v>
      </c>
      <c r="H1437" s="1087">
        <f>input_values!L237</f>
        <v>0</v>
      </c>
      <c r="I1437" s="1088">
        <f>input_values!D237</f>
        <v>0</v>
      </c>
      <c r="J1437" s="1098" t="e">
        <f>IF($D$1212="",0,$D1437*Table3[[#This Row],[CF]]*chronic_consumption!$E237/1000/$C$3)</f>
        <v>#DIV/0!</v>
      </c>
      <c r="K1437" s="1098" t="e">
        <f>IF($D$1212="",0,$D1437*Table3[[#This Row],[CF]]*chronic_consumption!$F237/1000/$C$3)</f>
        <v>#DIV/0!</v>
      </c>
      <c r="L1437" s="1098" t="e">
        <f>IF($D$1212="",0,$D1437*Table3[[#This Row],[CF]]*chronic_consumption!$G237/1000/$C$3)</f>
        <v>#DIV/0!</v>
      </c>
      <c r="M1437" s="1098" t="e">
        <f>IF($D$1212="",0,$D1437*Table3[[#This Row],[CF]]*chronic_consumption!$H237/1000/$C$3)</f>
        <v>#DIV/0!</v>
      </c>
      <c r="N1437" s="1098" t="e">
        <f>IF($D$1212="",0,$D1437*Table3[[#This Row],[CF]]*chronic_consumption!$I237/1000/$C$3)</f>
        <v>#DIV/0!</v>
      </c>
      <c r="O1437" s="1098" t="e">
        <f>IF($D$1212="",0,$D1437*Table3[[#This Row],[CF]]*chronic_consumption!$J237/1000/$C$3)</f>
        <v>#DIV/0!</v>
      </c>
      <c r="P1437" s="1098" t="e">
        <f>IF($D$1212="",0,$D1437*Table3[[#This Row],[CF]]*chronic_consumption!$K237/1000/$C$3)</f>
        <v>#DIV/0!</v>
      </c>
      <c r="Q1437" s="1098" t="e">
        <f>IF($D$1212="",0,$D1437*Table3[[#This Row],[CF]]*chronic_consumption!$L237/1000/$C$3)</f>
        <v>#DIV/0!</v>
      </c>
      <c r="R1437" s="1098" t="e">
        <f>IF($D$1212="",0,$D1437*Table3[[#This Row],[CF]]*chronic_consumption!$M237/1000/$C$3)</f>
        <v>#DIV/0!</v>
      </c>
      <c r="S1437" s="1098" t="e">
        <f>IF($D$1212="",0,$D1437*Table3[[#This Row],[CF]]*chronic_consumption!$N237/1000/$C$3)</f>
        <v>#DIV/0!</v>
      </c>
      <c r="T1437" s="1098" t="e">
        <f>IF($D$1212="",0,$D1437*Table3[[#This Row],[CF]]*chronic_consumption!$O237/1000/$C$3)</f>
        <v>#DIV/0!</v>
      </c>
      <c r="U1437" s="1098" t="e">
        <f>IF($D$1212="",0,$D1437*Table3[[#This Row],[CF]]*chronic_consumption!$P237/1000/$C$3)</f>
        <v>#DIV/0!</v>
      </c>
      <c r="V1437" s="1098" t="e">
        <f>IF($D$1212="",0,$D1437*Table3[[#This Row],[CF]]*chronic_consumption!$Q237/1000/$C$3)</f>
        <v>#DIV/0!</v>
      </c>
      <c r="W1437" s="1098" t="e">
        <f>IF($D$1212="",0,$D1437*Table3[[#This Row],[CF]]*chronic_consumption!$R237/1000/$C$3)</f>
        <v>#DIV/0!</v>
      </c>
      <c r="X1437" s="1098" t="e">
        <f>IF($D$1212="",0,$D1437*Table3[[#This Row],[CF]]*chronic_consumption!$S237/1000/$C$3)</f>
        <v>#DIV/0!</v>
      </c>
      <c r="Y1437" s="1098" t="e">
        <f>IF($D$1212="",0,$D1437*Table3[[#This Row],[CF]]*chronic_consumption!$T237/1000/$C$3)</f>
        <v>#DIV/0!</v>
      </c>
      <c r="Z1437" s="1098" t="e">
        <f>IF($D$1212="",0,$D1437*Table3[[#This Row],[CF]]*chronic_consumption!$U237/1000/$C$3)</f>
        <v>#DIV/0!</v>
      </c>
      <c r="AA1437" s="1098" t="e">
        <f>IF($D$1212="",0,$D1437*Table3[[#This Row],[CF]]*chronic_consumption!$V237/1000/$C$3)</f>
        <v>#DIV/0!</v>
      </c>
      <c r="AB1437" s="1098" t="e">
        <f>IF($D$1212="",0,$D1437*Table3[[#This Row],[CF]]*chronic_consumption!$W237/1000/$C$3)</f>
        <v>#DIV/0!</v>
      </c>
      <c r="AC1437" s="1098" t="e">
        <f>IF($D$1212="",0,$D1437*Table3[[#This Row],[CF]]*chronic_consumption!$X237/1000/$C$3)</f>
        <v>#DIV/0!</v>
      </c>
      <c r="AD1437" s="1098" t="e">
        <f>IF($D$1212="",0,$D1437*Table3[[#This Row],[CF]]*chronic_consumption!$Y237/1000/$C$3)</f>
        <v>#DIV/0!</v>
      </c>
      <c r="AE1437" s="1098" t="e">
        <f>IF($D$1212="",0,$D1437*Table3[[#This Row],[CF]]*chronic_consumption!$Z237/1000/$C$3)</f>
        <v>#DIV/0!</v>
      </c>
      <c r="AF1437" s="1098" t="e">
        <f>IF($D$1212="",0,$D1437*Table3[[#This Row],[CF]]*chronic_consumption!$AA237/1000/$C$3)</f>
        <v>#DIV/0!</v>
      </c>
      <c r="AG1437" s="1098" t="e">
        <f>IF($D$1212="",0,$D1437*Table3[[#This Row],[CF]]*chronic_consumption!$AB237/1000/$C$3)</f>
        <v>#DIV/0!</v>
      </c>
      <c r="AH1437" s="1098" t="e">
        <f>IF($D$1212="",0,$D1437*Table3[[#This Row],[CF]]*chronic_consumption!$AC237/1000/$C$3)</f>
        <v>#DIV/0!</v>
      </c>
      <c r="AI1437" s="1098" t="e">
        <f>IF($D$1212="",0,$D1437*Table3[[#This Row],[CF]]*chronic_consumption!$AD237/1000/$C$3)</f>
        <v>#DIV/0!</v>
      </c>
      <c r="AJ1437" s="1098" t="e">
        <f>IF($D$1212="",0,$D1437*Table3[[#This Row],[CF]]*chronic_consumption!$AE237/1000/$C$3)</f>
        <v>#DIV/0!</v>
      </c>
      <c r="AK1437" s="1098" t="e">
        <f>IF($D$1212="",0,$D1437*Table3[[#This Row],[CF]]*chronic_consumption!$AF237/1000/$C$3)</f>
        <v>#DIV/0!</v>
      </c>
      <c r="AL1437" s="1098" t="e">
        <f>IF($D$1212="",0,$D1437*Table3[[#This Row],[CF]]*chronic_consumption!$AG237/1000/$C$3)</f>
        <v>#DIV/0!</v>
      </c>
      <c r="AM1437" s="1098" t="e">
        <f>IF($D$1212="",0,$D1437*Table3[[#This Row],[CF]]*chronic_consumption!$AH237/1000/$C$3)</f>
        <v>#DIV/0!</v>
      </c>
      <c r="AN1437" s="1098" t="e">
        <f>IF($D$1212="",0,$D1437*Table3[[#This Row],[CF]]*chronic_consumption!$AI237/1000/$C$3)</f>
        <v>#DIV/0!</v>
      </c>
      <c r="AO1437" s="1098" t="e">
        <f>IF($D$1212="",0,$D1437*Table3[[#This Row],[CF]]*chronic_consumption!$AJ237/1000/$C$3)</f>
        <v>#DIV/0!</v>
      </c>
      <c r="AP1437" s="1098" t="e">
        <f>IF($D$1212="",0,$D1437*Table3[[#This Row],[CF]]*chronic_consumption!$AK237/1000/$C$3)</f>
        <v>#DIV/0!</v>
      </c>
      <c r="AQ1437" s="1098" t="e">
        <f>IF($D$1212="",0,$D1437*Table3[[#This Row],[CF]]*chronic_consumption!$AL237/1000/$C$3)</f>
        <v>#DIV/0!</v>
      </c>
      <c r="AR1437" s="1098" t="e">
        <f>IF($D$1212="",0,$D1437*Table3[[#This Row],[CF]]*chronic_consumption!$AM237/1000/$C$3)</f>
        <v>#DIV/0!</v>
      </c>
      <c r="AS1437" s="1098" t="e">
        <f>IF($D$1212="",0,$D1437*Table3[[#This Row],[CF]]*chronic_consumption!$AN237/1000/$C$3)</f>
        <v>#DIV/0!</v>
      </c>
      <c r="AT1437" s="1098" t="e">
        <f>IF($D$1212="",0,$D1437*Table3[[#This Row],[CF]]*chronic_consumption!$AO237/1000/$C$3)</f>
        <v>#DIV/0!</v>
      </c>
      <c r="AU1437" s="1099" t="e">
        <f t="shared" si="871"/>
        <v>#DIV/0!</v>
      </c>
      <c r="AV1437" s="1099" t="e">
        <f t="shared" si="871"/>
        <v>#DIV/0!</v>
      </c>
      <c r="AW1437" s="1099" t="e">
        <f t="shared" si="871"/>
        <v>#DIV/0!</v>
      </c>
      <c r="AX1437" s="1099" t="e">
        <f t="shared" si="871"/>
        <v>#DIV/0!</v>
      </c>
      <c r="AY1437" s="1099" t="e">
        <f t="shared" si="871"/>
        <v>#DIV/0!</v>
      </c>
      <c r="AZ1437" s="1091" t="s">
        <v>1012</v>
      </c>
      <c r="BA1437" s="1097" t="e">
        <f>IF(Table3[[#This Row],[max]]&lt;&gt;0,RANK(Table3[[#This Row],[max]],Table3[max],0),"")</f>
        <v>#DIV/0!</v>
      </c>
      <c r="BB1437" s="1096" t="e">
        <f t="shared" si="865"/>
        <v>#DIV/0!</v>
      </c>
      <c r="BC1437" s="1096" t="e">
        <f t="shared" ca="1" si="866"/>
        <v>#DIV/0!</v>
      </c>
      <c r="BD1437" s="1096" t="e">
        <f>IF(Table3[[#This Row],[max]]&gt;0,Table3[[#This Row],[Crop groups and examples of individual products within the groups to which the MRLs apply]],"")</f>
        <v>#DIV/0!</v>
      </c>
    </row>
    <row r="1438" spans="2:56" x14ac:dyDescent="0.2">
      <c r="B1438" s="23">
        <f t="shared" si="870"/>
        <v>402020</v>
      </c>
      <c r="C1438" s="23" t="str">
        <f t="shared" si="870"/>
        <v>Oil palm kernels</v>
      </c>
      <c r="D1438" s="1084">
        <f>input_values!E238</f>
        <v>0</v>
      </c>
      <c r="E1438" s="1084">
        <f>input_values!F238</f>
        <v>0</v>
      </c>
      <c r="F1438" s="1085">
        <f>input_values!W238</f>
        <v>1</v>
      </c>
      <c r="G1438" s="1085" t="str">
        <f>IF(Table3[[#This Row],[CF]]&gt;0,CONCATENATE(IF(Table3[[#This Row],[LOQ]]="*","LOQ","MRL"),IF(input_values!G238&gt;0,"×CFrisk","")),"")</f>
        <v>MRL</v>
      </c>
      <c r="H1438" s="1087">
        <f>input_values!L238</f>
        <v>0</v>
      </c>
      <c r="I1438" s="1088">
        <f>input_values!D238</f>
        <v>0</v>
      </c>
      <c r="J1438" s="1098" t="e">
        <f>IF($D$1212="",0,$D1438*Table3[[#This Row],[CF]]*chronic_consumption!$E238/1000/$C$3)</f>
        <v>#DIV/0!</v>
      </c>
      <c r="K1438" s="1098" t="e">
        <f>IF($D$1212="",0,$D1438*Table3[[#This Row],[CF]]*chronic_consumption!$F238/1000/$C$3)</f>
        <v>#DIV/0!</v>
      </c>
      <c r="L1438" s="1098" t="e">
        <f>IF($D$1212="",0,$D1438*Table3[[#This Row],[CF]]*chronic_consumption!$G238/1000/$C$3)</f>
        <v>#DIV/0!</v>
      </c>
      <c r="M1438" s="1098" t="e">
        <f>IF($D$1212="",0,$D1438*Table3[[#This Row],[CF]]*chronic_consumption!$H238/1000/$C$3)</f>
        <v>#DIV/0!</v>
      </c>
      <c r="N1438" s="1098" t="e">
        <f>IF($D$1212="",0,$D1438*Table3[[#This Row],[CF]]*chronic_consumption!$I238/1000/$C$3)</f>
        <v>#DIV/0!</v>
      </c>
      <c r="O1438" s="1098" t="e">
        <f>IF($D$1212="",0,$D1438*Table3[[#This Row],[CF]]*chronic_consumption!$J238/1000/$C$3)</f>
        <v>#DIV/0!</v>
      </c>
      <c r="P1438" s="1098" t="e">
        <f>IF($D$1212="",0,$D1438*Table3[[#This Row],[CF]]*chronic_consumption!$K238/1000/$C$3)</f>
        <v>#DIV/0!</v>
      </c>
      <c r="Q1438" s="1098" t="e">
        <f>IF($D$1212="",0,$D1438*Table3[[#This Row],[CF]]*chronic_consumption!$L238/1000/$C$3)</f>
        <v>#DIV/0!</v>
      </c>
      <c r="R1438" s="1098" t="e">
        <f>IF($D$1212="",0,$D1438*Table3[[#This Row],[CF]]*chronic_consumption!$M238/1000/$C$3)</f>
        <v>#DIV/0!</v>
      </c>
      <c r="S1438" s="1098" t="e">
        <f>IF($D$1212="",0,$D1438*Table3[[#This Row],[CF]]*chronic_consumption!$N238/1000/$C$3)</f>
        <v>#DIV/0!</v>
      </c>
      <c r="T1438" s="1098" t="e">
        <f>IF($D$1212="",0,$D1438*Table3[[#This Row],[CF]]*chronic_consumption!$O238/1000/$C$3)</f>
        <v>#DIV/0!</v>
      </c>
      <c r="U1438" s="1098" t="e">
        <f>IF($D$1212="",0,$D1438*Table3[[#This Row],[CF]]*chronic_consumption!$P238/1000/$C$3)</f>
        <v>#DIV/0!</v>
      </c>
      <c r="V1438" s="1098" t="e">
        <f>IF($D$1212="",0,$D1438*Table3[[#This Row],[CF]]*chronic_consumption!$Q238/1000/$C$3)</f>
        <v>#DIV/0!</v>
      </c>
      <c r="W1438" s="1098" t="e">
        <f>IF($D$1212="",0,$D1438*Table3[[#This Row],[CF]]*chronic_consumption!$R238/1000/$C$3)</f>
        <v>#DIV/0!</v>
      </c>
      <c r="X1438" s="1098" t="e">
        <f>IF($D$1212="",0,$D1438*Table3[[#This Row],[CF]]*chronic_consumption!$S238/1000/$C$3)</f>
        <v>#DIV/0!</v>
      </c>
      <c r="Y1438" s="1098" t="e">
        <f>IF($D$1212="",0,$D1438*Table3[[#This Row],[CF]]*chronic_consumption!$T238/1000/$C$3)</f>
        <v>#DIV/0!</v>
      </c>
      <c r="Z1438" s="1098" t="e">
        <f>IF($D$1212="",0,$D1438*Table3[[#This Row],[CF]]*chronic_consumption!$U238/1000/$C$3)</f>
        <v>#DIV/0!</v>
      </c>
      <c r="AA1438" s="1098" t="e">
        <f>IF($D$1212="",0,$D1438*Table3[[#This Row],[CF]]*chronic_consumption!$V238/1000/$C$3)</f>
        <v>#DIV/0!</v>
      </c>
      <c r="AB1438" s="1098" t="e">
        <f>IF($D$1212="",0,$D1438*Table3[[#This Row],[CF]]*chronic_consumption!$W238/1000/$C$3)</f>
        <v>#DIV/0!</v>
      </c>
      <c r="AC1438" s="1098" t="e">
        <f>IF($D$1212="",0,$D1438*Table3[[#This Row],[CF]]*chronic_consumption!$X238/1000/$C$3)</f>
        <v>#DIV/0!</v>
      </c>
      <c r="AD1438" s="1098" t="e">
        <f>IF($D$1212="",0,$D1438*Table3[[#This Row],[CF]]*chronic_consumption!$Y238/1000/$C$3)</f>
        <v>#DIV/0!</v>
      </c>
      <c r="AE1438" s="1098" t="e">
        <f>IF($D$1212="",0,$D1438*Table3[[#This Row],[CF]]*chronic_consumption!$Z238/1000/$C$3)</f>
        <v>#DIV/0!</v>
      </c>
      <c r="AF1438" s="1098" t="e">
        <f>IF($D$1212="",0,$D1438*Table3[[#This Row],[CF]]*chronic_consumption!$AA238/1000/$C$3)</f>
        <v>#DIV/0!</v>
      </c>
      <c r="AG1438" s="1098" t="e">
        <f>IF($D$1212="",0,$D1438*Table3[[#This Row],[CF]]*chronic_consumption!$AB238/1000/$C$3)</f>
        <v>#DIV/0!</v>
      </c>
      <c r="AH1438" s="1098" t="e">
        <f>IF($D$1212="",0,$D1438*Table3[[#This Row],[CF]]*chronic_consumption!$AC238/1000/$C$3)</f>
        <v>#DIV/0!</v>
      </c>
      <c r="AI1438" s="1098" t="e">
        <f>IF($D$1212="",0,$D1438*Table3[[#This Row],[CF]]*chronic_consumption!$AD238/1000/$C$3)</f>
        <v>#DIV/0!</v>
      </c>
      <c r="AJ1438" s="1098" t="e">
        <f>IF($D$1212="",0,$D1438*Table3[[#This Row],[CF]]*chronic_consumption!$AE238/1000/$C$3)</f>
        <v>#DIV/0!</v>
      </c>
      <c r="AK1438" s="1098" t="e">
        <f>IF($D$1212="",0,$D1438*Table3[[#This Row],[CF]]*chronic_consumption!$AF238/1000/$C$3)</f>
        <v>#DIV/0!</v>
      </c>
      <c r="AL1438" s="1098" t="e">
        <f>IF($D$1212="",0,$D1438*Table3[[#This Row],[CF]]*chronic_consumption!$AG238/1000/$C$3)</f>
        <v>#DIV/0!</v>
      </c>
      <c r="AM1438" s="1098" t="e">
        <f>IF($D$1212="",0,$D1438*Table3[[#This Row],[CF]]*chronic_consumption!$AH238/1000/$C$3)</f>
        <v>#DIV/0!</v>
      </c>
      <c r="AN1438" s="1098" t="e">
        <f>IF($D$1212="",0,$D1438*Table3[[#This Row],[CF]]*chronic_consumption!$AI238/1000/$C$3)</f>
        <v>#DIV/0!</v>
      </c>
      <c r="AO1438" s="1098" t="e">
        <f>IF($D$1212="",0,$D1438*Table3[[#This Row],[CF]]*chronic_consumption!$AJ238/1000/$C$3)</f>
        <v>#DIV/0!</v>
      </c>
      <c r="AP1438" s="1098" t="e">
        <f>IF($D$1212="",0,$D1438*Table3[[#This Row],[CF]]*chronic_consumption!$AK238/1000/$C$3)</f>
        <v>#DIV/0!</v>
      </c>
      <c r="AQ1438" s="1098" t="e">
        <f>IF($D$1212="",0,$D1438*Table3[[#This Row],[CF]]*chronic_consumption!$AL238/1000/$C$3)</f>
        <v>#DIV/0!</v>
      </c>
      <c r="AR1438" s="1098" t="e">
        <f>IF($D$1212="",0,$D1438*Table3[[#This Row],[CF]]*chronic_consumption!$AM238/1000/$C$3)</f>
        <v>#DIV/0!</v>
      </c>
      <c r="AS1438" s="1098" t="e">
        <f>IF($D$1212="",0,$D1438*Table3[[#This Row],[CF]]*chronic_consumption!$AN238/1000/$C$3)</f>
        <v>#DIV/0!</v>
      </c>
      <c r="AT1438" s="1098" t="e">
        <f>IF($D$1212="",0,$D1438*Table3[[#This Row],[CF]]*chronic_consumption!$AO238/1000/$C$3)</f>
        <v>#DIV/0!</v>
      </c>
      <c r="AU1438" s="1099" t="e">
        <f t="shared" si="871"/>
        <v>#DIV/0!</v>
      </c>
      <c r="AV1438" s="1099" t="e">
        <f t="shared" si="871"/>
        <v>#DIV/0!</v>
      </c>
      <c r="AW1438" s="1099" t="e">
        <f t="shared" si="871"/>
        <v>#DIV/0!</v>
      </c>
      <c r="AX1438" s="1099" t="e">
        <f t="shared" si="871"/>
        <v>#DIV/0!</v>
      </c>
      <c r="AY1438" s="1099" t="e">
        <f t="shared" si="871"/>
        <v>#DIV/0!</v>
      </c>
      <c r="AZ1438" s="1091" t="s">
        <v>1012</v>
      </c>
      <c r="BA1438" s="1097" t="e">
        <f>IF(Table3[[#This Row],[max]]&lt;&gt;0,RANK(Table3[[#This Row],[max]],Table3[max],0),"")</f>
        <v>#DIV/0!</v>
      </c>
      <c r="BB1438" s="1096" t="e">
        <f t="shared" si="865"/>
        <v>#DIV/0!</v>
      </c>
      <c r="BC1438" s="1096" t="e">
        <f t="shared" ca="1" si="866"/>
        <v>#DIV/0!</v>
      </c>
      <c r="BD1438" s="1096" t="e">
        <f>IF(Table3[[#This Row],[max]]&gt;0,Table3[[#This Row],[Crop groups and examples of individual products within the groups to which the MRLs apply]],"")</f>
        <v>#DIV/0!</v>
      </c>
    </row>
    <row r="1439" spans="2:56" x14ac:dyDescent="0.2">
      <c r="B1439" s="23">
        <f t="shared" si="870"/>
        <v>402030</v>
      </c>
      <c r="C1439" s="23" t="str">
        <f t="shared" si="870"/>
        <v>Oil palm fruits</v>
      </c>
      <c r="D1439" s="1084">
        <f>input_values!E239</f>
        <v>0</v>
      </c>
      <c r="E1439" s="1084">
        <f>input_values!F239</f>
        <v>0</v>
      </c>
      <c r="F1439" s="1085">
        <f>input_values!W239</f>
        <v>1</v>
      </c>
      <c r="G1439" s="1085" t="str">
        <f>IF(Table3[[#This Row],[CF]]&gt;0,CONCATENATE(IF(Table3[[#This Row],[LOQ]]="*","LOQ","MRL"),IF(input_values!G239&gt;0,"×CFrisk","")),"")</f>
        <v>MRL</v>
      </c>
      <c r="H1439" s="1087">
        <f>input_values!L239</f>
        <v>0</v>
      </c>
      <c r="I1439" s="1088">
        <f>input_values!D239</f>
        <v>0</v>
      </c>
      <c r="J1439" s="1098" t="e">
        <f>IF($D$1212="",0,$D1439*Table3[[#This Row],[CF]]*chronic_consumption!$E239/1000/$C$3)</f>
        <v>#DIV/0!</v>
      </c>
      <c r="K1439" s="1098" t="e">
        <f>IF($D$1212="",0,$D1439*Table3[[#This Row],[CF]]*chronic_consumption!$F239/1000/$C$3)</f>
        <v>#DIV/0!</v>
      </c>
      <c r="L1439" s="1098" t="e">
        <f>IF($D$1212="",0,$D1439*Table3[[#This Row],[CF]]*chronic_consumption!$G239/1000/$C$3)</f>
        <v>#DIV/0!</v>
      </c>
      <c r="M1439" s="1098" t="e">
        <f>IF($D$1212="",0,$D1439*Table3[[#This Row],[CF]]*chronic_consumption!$H239/1000/$C$3)</f>
        <v>#DIV/0!</v>
      </c>
      <c r="N1439" s="1098" t="e">
        <f>IF($D$1212="",0,$D1439*Table3[[#This Row],[CF]]*chronic_consumption!$I239/1000/$C$3)</f>
        <v>#DIV/0!</v>
      </c>
      <c r="O1439" s="1098" t="e">
        <f>IF($D$1212="",0,$D1439*Table3[[#This Row],[CF]]*chronic_consumption!$J239/1000/$C$3)</f>
        <v>#DIV/0!</v>
      </c>
      <c r="P1439" s="1098" t="e">
        <f>IF($D$1212="",0,$D1439*Table3[[#This Row],[CF]]*chronic_consumption!$K239/1000/$C$3)</f>
        <v>#DIV/0!</v>
      </c>
      <c r="Q1439" s="1098" t="e">
        <f>IF($D$1212="",0,$D1439*Table3[[#This Row],[CF]]*chronic_consumption!$L239/1000/$C$3)</f>
        <v>#DIV/0!</v>
      </c>
      <c r="R1439" s="1098" t="e">
        <f>IF($D$1212="",0,$D1439*Table3[[#This Row],[CF]]*chronic_consumption!$M239/1000/$C$3)</f>
        <v>#DIV/0!</v>
      </c>
      <c r="S1439" s="1098" t="e">
        <f>IF($D$1212="",0,$D1439*Table3[[#This Row],[CF]]*chronic_consumption!$N239/1000/$C$3)</f>
        <v>#DIV/0!</v>
      </c>
      <c r="T1439" s="1098" t="e">
        <f>IF($D$1212="",0,$D1439*Table3[[#This Row],[CF]]*chronic_consumption!$O239/1000/$C$3)</f>
        <v>#DIV/0!</v>
      </c>
      <c r="U1439" s="1098" t="e">
        <f>IF($D$1212="",0,$D1439*Table3[[#This Row],[CF]]*chronic_consumption!$P239/1000/$C$3)</f>
        <v>#DIV/0!</v>
      </c>
      <c r="V1439" s="1098" t="e">
        <f>IF($D$1212="",0,$D1439*Table3[[#This Row],[CF]]*chronic_consumption!$Q239/1000/$C$3)</f>
        <v>#DIV/0!</v>
      </c>
      <c r="W1439" s="1098" t="e">
        <f>IF($D$1212="",0,$D1439*Table3[[#This Row],[CF]]*chronic_consumption!$R239/1000/$C$3)</f>
        <v>#DIV/0!</v>
      </c>
      <c r="X1439" s="1098" t="e">
        <f>IF($D$1212="",0,$D1439*Table3[[#This Row],[CF]]*chronic_consumption!$S239/1000/$C$3)</f>
        <v>#DIV/0!</v>
      </c>
      <c r="Y1439" s="1098" t="e">
        <f>IF($D$1212="",0,$D1439*Table3[[#This Row],[CF]]*chronic_consumption!$T239/1000/$C$3)</f>
        <v>#DIV/0!</v>
      </c>
      <c r="Z1439" s="1098" t="e">
        <f>IF($D$1212="",0,$D1439*Table3[[#This Row],[CF]]*chronic_consumption!$U239/1000/$C$3)</f>
        <v>#DIV/0!</v>
      </c>
      <c r="AA1439" s="1098" t="e">
        <f>IF($D$1212="",0,$D1439*Table3[[#This Row],[CF]]*chronic_consumption!$V239/1000/$C$3)</f>
        <v>#DIV/0!</v>
      </c>
      <c r="AB1439" s="1098" t="e">
        <f>IF($D$1212="",0,$D1439*Table3[[#This Row],[CF]]*chronic_consumption!$W239/1000/$C$3)</f>
        <v>#DIV/0!</v>
      </c>
      <c r="AC1439" s="1098" t="e">
        <f>IF($D$1212="",0,$D1439*Table3[[#This Row],[CF]]*chronic_consumption!$X239/1000/$C$3)</f>
        <v>#DIV/0!</v>
      </c>
      <c r="AD1439" s="1098" t="e">
        <f>IF($D$1212="",0,$D1439*Table3[[#This Row],[CF]]*chronic_consumption!$Y239/1000/$C$3)</f>
        <v>#DIV/0!</v>
      </c>
      <c r="AE1439" s="1098" t="e">
        <f>IF($D$1212="",0,$D1439*Table3[[#This Row],[CF]]*chronic_consumption!$Z239/1000/$C$3)</f>
        <v>#DIV/0!</v>
      </c>
      <c r="AF1439" s="1098" t="e">
        <f>IF($D$1212="",0,$D1439*Table3[[#This Row],[CF]]*chronic_consumption!$AA239/1000/$C$3)</f>
        <v>#DIV/0!</v>
      </c>
      <c r="AG1439" s="1098" t="e">
        <f>IF($D$1212="",0,$D1439*Table3[[#This Row],[CF]]*chronic_consumption!$AB239/1000/$C$3)</f>
        <v>#DIV/0!</v>
      </c>
      <c r="AH1439" s="1098" t="e">
        <f>IF($D$1212="",0,$D1439*Table3[[#This Row],[CF]]*chronic_consumption!$AC239/1000/$C$3)</f>
        <v>#DIV/0!</v>
      </c>
      <c r="AI1439" s="1098" t="e">
        <f>IF($D$1212="",0,$D1439*Table3[[#This Row],[CF]]*chronic_consumption!$AD239/1000/$C$3)</f>
        <v>#DIV/0!</v>
      </c>
      <c r="AJ1439" s="1098" t="e">
        <f>IF($D$1212="",0,$D1439*Table3[[#This Row],[CF]]*chronic_consumption!$AE239/1000/$C$3)</f>
        <v>#DIV/0!</v>
      </c>
      <c r="AK1439" s="1098" t="e">
        <f>IF($D$1212="",0,$D1439*Table3[[#This Row],[CF]]*chronic_consumption!$AF239/1000/$C$3)</f>
        <v>#DIV/0!</v>
      </c>
      <c r="AL1439" s="1098" t="e">
        <f>IF($D$1212="",0,$D1439*Table3[[#This Row],[CF]]*chronic_consumption!$AG239/1000/$C$3)</f>
        <v>#DIV/0!</v>
      </c>
      <c r="AM1439" s="1098" t="e">
        <f>IF($D$1212="",0,$D1439*Table3[[#This Row],[CF]]*chronic_consumption!$AH239/1000/$C$3)</f>
        <v>#DIV/0!</v>
      </c>
      <c r="AN1439" s="1098" t="e">
        <f>IF($D$1212="",0,$D1439*Table3[[#This Row],[CF]]*chronic_consumption!$AI239/1000/$C$3)</f>
        <v>#DIV/0!</v>
      </c>
      <c r="AO1439" s="1098" t="e">
        <f>IF($D$1212="",0,$D1439*Table3[[#This Row],[CF]]*chronic_consumption!$AJ239/1000/$C$3)</f>
        <v>#DIV/0!</v>
      </c>
      <c r="AP1439" s="1098" t="e">
        <f>IF($D$1212="",0,$D1439*Table3[[#This Row],[CF]]*chronic_consumption!$AK239/1000/$C$3)</f>
        <v>#DIV/0!</v>
      </c>
      <c r="AQ1439" s="1098" t="e">
        <f>IF($D$1212="",0,$D1439*Table3[[#This Row],[CF]]*chronic_consumption!$AL239/1000/$C$3)</f>
        <v>#DIV/0!</v>
      </c>
      <c r="AR1439" s="1098" t="e">
        <f>IF($D$1212="",0,$D1439*Table3[[#This Row],[CF]]*chronic_consumption!$AM239/1000/$C$3)</f>
        <v>#DIV/0!</v>
      </c>
      <c r="AS1439" s="1098" t="e">
        <f>IF($D$1212="",0,$D1439*Table3[[#This Row],[CF]]*chronic_consumption!$AN239/1000/$C$3)</f>
        <v>#DIV/0!</v>
      </c>
      <c r="AT1439" s="1098" t="e">
        <f>IF($D$1212="",0,$D1439*Table3[[#This Row],[CF]]*chronic_consumption!$AO239/1000/$C$3)</f>
        <v>#DIV/0!</v>
      </c>
      <c r="AU1439" s="1099" t="e">
        <f t="shared" si="871"/>
        <v>#DIV/0!</v>
      </c>
      <c r="AV1439" s="1099" t="e">
        <f t="shared" si="871"/>
        <v>#DIV/0!</v>
      </c>
      <c r="AW1439" s="1099" t="e">
        <f t="shared" si="871"/>
        <v>#DIV/0!</v>
      </c>
      <c r="AX1439" s="1099" t="e">
        <f t="shared" si="871"/>
        <v>#DIV/0!</v>
      </c>
      <c r="AY1439" s="1099" t="e">
        <f t="shared" si="871"/>
        <v>#DIV/0!</v>
      </c>
      <c r="AZ1439" s="1091" t="s">
        <v>1012</v>
      </c>
      <c r="BA1439" s="1097" t="e">
        <f>IF(Table3[[#This Row],[max]]&lt;&gt;0,RANK(Table3[[#This Row],[max]],Table3[max],0),"")</f>
        <v>#DIV/0!</v>
      </c>
      <c r="BB1439" s="1096" t="e">
        <f t="shared" si="865"/>
        <v>#DIV/0!</v>
      </c>
      <c r="BC1439" s="1096" t="e">
        <f t="shared" ca="1" si="866"/>
        <v>#DIV/0!</v>
      </c>
      <c r="BD1439" s="1096" t="e">
        <f>IF(Table3[[#This Row],[max]]&gt;0,Table3[[#This Row],[Crop groups and examples of individual products within the groups to which the MRLs apply]],"")</f>
        <v>#DIV/0!</v>
      </c>
    </row>
    <row r="1440" spans="2:56" x14ac:dyDescent="0.2">
      <c r="B1440" s="23">
        <f t="shared" si="870"/>
        <v>402040</v>
      </c>
      <c r="C1440" s="23" t="str">
        <f t="shared" si="870"/>
        <v>Kapok</v>
      </c>
      <c r="D1440" s="1084">
        <f>input_values!E240</f>
        <v>0</v>
      </c>
      <c r="E1440" s="1084">
        <f>input_values!F240</f>
        <v>0</v>
      </c>
      <c r="F1440" s="1085">
        <f>input_values!W240</f>
        <v>1</v>
      </c>
      <c r="G1440" s="1085" t="str">
        <f>IF(Table3[[#This Row],[CF]]&gt;0,CONCATENATE(IF(Table3[[#This Row],[LOQ]]="*","LOQ","MRL"),IF(input_values!G240&gt;0,"×CFrisk","")),"")</f>
        <v>MRL</v>
      </c>
      <c r="H1440" s="1087">
        <f>input_values!L240</f>
        <v>0</v>
      </c>
      <c r="I1440" s="1088">
        <f>input_values!D240</f>
        <v>0</v>
      </c>
      <c r="J1440" s="1098" t="e">
        <f>IF($D$1212="",0,$D1440*Table3[[#This Row],[CF]]*chronic_consumption!$E240/1000/$C$3)</f>
        <v>#DIV/0!</v>
      </c>
      <c r="K1440" s="1098" t="e">
        <f>IF($D$1212="",0,$D1440*Table3[[#This Row],[CF]]*chronic_consumption!$F240/1000/$C$3)</f>
        <v>#DIV/0!</v>
      </c>
      <c r="L1440" s="1098" t="e">
        <f>IF($D$1212="",0,$D1440*Table3[[#This Row],[CF]]*chronic_consumption!$G240/1000/$C$3)</f>
        <v>#DIV/0!</v>
      </c>
      <c r="M1440" s="1098" t="e">
        <f>IF($D$1212="",0,$D1440*Table3[[#This Row],[CF]]*chronic_consumption!$H240/1000/$C$3)</f>
        <v>#DIV/0!</v>
      </c>
      <c r="N1440" s="1098" t="e">
        <f>IF($D$1212="",0,$D1440*Table3[[#This Row],[CF]]*chronic_consumption!$I240/1000/$C$3)</f>
        <v>#DIV/0!</v>
      </c>
      <c r="O1440" s="1098" t="e">
        <f>IF($D$1212="",0,$D1440*Table3[[#This Row],[CF]]*chronic_consumption!$J240/1000/$C$3)</f>
        <v>#DIV/0!</v>
      </c>
      <c r="P1440" s="1098" t="e">
        <f>IF($D$1212="",0,$D1440*Table3[[#This Row],[CF]]*chronic_consumption!$K240/1000/$C$3)</f>
        <v>#DIV/0!</v>
      </c>
      <c r="Q1440" s="1098" t="e">
        <f>IF($D$1212="",0,$D1440*Table3[[#This Row],[CF]]*chronic_consumption!$L240/1000/$C$3)</f>
        <v>#DIV/0!</v>
      </c>
      <c r="R1440" s="1098" t="e">
        <f>IF($D$1212="",0,$D1440*Table3[[#This Row],[CF]]*chronic_consumption!$M240/1000/$C$3)</f>
        <v>#DIV/0!</v>
      </c>
      <c r="S1440" s="1098" t="e">
        <f>IF($D$1212="",0,$D1440*Table3[[#This Row],[CF]]*chronic_consumption!$N240/1000/$C$3)</f>
        <v>#DIV/0!</v>
      </c>
      <c r="T1440" s="1098" t="e">
        <f>IF($D$1212="",0,$D1440*Table3[[#This Row],[CF]]*chronic_consumption!$O240/1000/$C$3)</f>
        <v>#DIV/0!</v>
      </c>
      <c r="U1440" s="1098" t="e">
        <f>IF($D$1212="",0,$D1440*Table3[[#This Row],[CF]]*chronic_consumption!$P240/1000/$C$3)</f>
        <v>#DIV/0!</v>
      </c>
      <c r="V1440" s="1098" t="e">
        <f>IF($D$1212="",0,$D1440*Table3[[#This Row],[CF]]*chronic_consumption!$Q240/1000/$C$3)</f>
        <v>#DIV/0!</v>
      </c>
      <c r="W1440" s="1098" t="e">
        <f>IF($D$1212="",0,$D1440*Table3[[#This Row],[CF]]*chronic_consumption!$R240/1000/$C$3)</f>
        <v>#DIV/0!</v>
      </c>
      <c r="X1440" s="1098" t="e">
        <f>IF($D$1212="",0,$D1440*Table3[[#This Row],[CF]]*chronic_consumption!$S240/1000/$C$3)</f>
        <v>#DIV/0!</v>
      </c>
      <c r="Y1440" s="1098" t="e">
        <f>IF($D$1212="",0,$D1440*Table3[[#This Row],[CF]]*chronic_consumption!$T240/1000/$C$3)</f>
        <v>#DIV/0!</v>
      </c>
      <c r="Z1440" s="1098" t="e">
        <f>IF($D$1212="",0,$D1440*Table3[[#This Row],[CF]]*chronic_consumption!$U240/1000/$C$3)</f>
        <v>#DIV/0!</v>
      </c>
      <c r="AA1440" s="1098" t="e">
        <f>IF($D$1212="",0,$D1440*Table3[[#This Row],[CF]]*chronic_consumption!$V240/1000/$C$3)</f>
        <v>#DIV/0!</v>
      </c>
      <c r="AB1440" s="1098" t="e">
        <f>IF($D$1212="",0,$D1440*Table3[[#This Row],[CF]]*chronic_consumption!$W240/1000/$C$3)</f>
        <v>#DIV/0!</v>
      </c>
      <c r="AC1440" s="1098" t="e">
        <f>IF($D$1212="",0,$D1440*Table3[[#This Row],[CF]]*chronic_consumption!$X240/1000/$C$3)</f>
        <v>#DIV/0!</v>
      </c>
      <c r="AD1440" s="1098" t="e">
        <f>IF($D$1212="",0,$D1440*Table3[[#This Row],[CF]]*chronic_consumption!$Y240/1000/$C$3)</f>
        <v>#DIV/0!</v>
      </c>
      <c r="AE1440" s="1098" t="e">
        <f>IF($D$1212="",0,$D1440*Table3[[#This Row],[CF]]*chronic_consumption!$Z240/1000/$C$3)</f>
        <v>#DIV/0!</v>
      </c>
      <c r="AF1440" s="1098" t="e">
        <f>IF($D$1212="",0,$D1440*Table3[[#This Row],[CF]]*chronic_consumption!$AA240/1000/$C$3)</f>
        <v>#DIV/0!</v>
      </c>
      <c r="AG1440" s="1098" t="e">
        <f>IF($D$1212="",0,$D1440*Table3[[#This Row],[CF]]*chronic_consumption!$AB240/1000/$C$3)</f>
        <v>#DIV/0!</v>
      </c>
      <c r="AH1440" s="1098" t="e">
        <f>IF($D$1212="",0,$D1440*Table3[[#This Row],[CF]]*chronic_consumption!$AC240/1000/$C$3)</f>
        <v>#DIV/0!</v>
      </c>
      <c r="AI1440" s="1098" t="e">
        <f>IF($D$1212="",0,$D1440*Table3[[#This Row],[CF]]*chronic_consumption!$AD240/1000/$C$3)</f>
        <v>#DIV/0!</v>
      </c>
      <c r="AJ1440" s="1098" t="e">
        <f>IF($D$1212="",0,$D1440*Table3[[#This Row],[CF]]*chronic_consumption!$AE240/1000/$C$3)</f>
        <v>#DIV/0!</v>
      </c>
      <c r="AK1440" s="1098" t="e">
        <f>IF($D$1212="",0,$D1440*Table3[[#This Row],[CF]]*chronic_consumption!$AF240/1000/$C$3)</f>
        <v>#DIV/0!</v>
      </c>
      <c r="AL1440" s="1098" t="e">
        <f>IF($D$1212="",0,$D1440*Table3[[#This Row],[CF]]*chronic_consumption!$AG240/1000/$C$3)</f>
        <v>#DIV/0!</v>
      </c>
      <c r="AM1440" s="1098" t="e">
        <f>IF($D$1212="",0,$D1440*Table3[[#This Row],[CF]]*chronic_consumption!$AH240/1000/$C$3)</f>
        <v>#DIV/0!</v>
      </c>
      <c r="AN1440" s="1098" t="e">
        <f>IF($D$1212="",0,$D1440*Table3[[#This Row],[CF]]*chronic_consumption!$AI240/1000/$C$3)</f>
        <v>#DIV/0!</v>
      </c>
      <c r="AO1440" s="1098" t="e">
        <f>IF($D$1212="",0,$D1440*Table3[[#This Row],[CF]]*chronic_consumption!$AJ240/1000/$C$3)</f>
        <v>#DIV/0!</v>
      </c>
      <c r="AP1440" s="1098" t="e">
        <f>IF($D$1212="",0,$D1440*Table3[[#This Row],[CF]]*chronic_consumption!$AK240/1000/$C$3)</f>
        <v>#DIV/0!</v>
      </c>
      <c r="AQ1440" s="1098" t="e">
        <f>IF($D$1212="",0,$D1440*Table3[[#This Row],[CF]]*chronic_consumption!$AL240/1000/$C$3)</f>
        <v>#DIV/0!</v>
      </c>
      <c r="AR1440" s="1098" t="e">
        <f>IF($D$1212="",0,$D1440*Table3[[#This Row],[CF]]*chronic_consumption!$AM240/1000/$C$3)</f>
        <v>#DIV/0!</v>
      </c>
      <c r="AS1440" s="1098" t="e">
        <f>IF($D$1212="",0,$D1440*Table3[[#This Row],[CF]]*chronic_consumption!$AN240/1000/$C$3)</f>
        <v>#DIV/0!</v>
      </c>
      <c r="AT1440" s="1098" t="e">
        <f>IF($D$1212="",0,$D1440*Table3[[#This Row],[CF]]*chronic_consumption!$AO240/1000/$C$3)</f>
        <v>#DIV/0!</v>
      </c>
      <c r="AU1440" s="1099" t="e">
        <f t="shared" si="871"/>
        <v>#DIV/0!</v>
      </c>
      <c r="AV1440" s="1099" t="e">
        <f t="shared" si="871"/>
        <v>#DIV/0!</v>
      </c>
      <c r="AW1440" s="1099" t="e">
        <f t="shared" si="871"/>
        <v>#DIV/0!</v>
      </c>
      <c r="AX1440" s="1099" t="e">
        <f t="shared" si="871"/>
        <v>#DIV/0!</v>
      </c>
      <c r="AY1440" s="1099" t="e">
        <f t="shared" si="871"/>
        <v>#DIV/0!</v>
      </c>
      <c r="AZ1440" s="1091" t="s">
        <v>1012</v>
      </c>
      <c r="BA1440" s="1097" t="e">
        <f>IF(Table3[[#This Row],[max]]&lt;&gt;0,RANK(Table3[[#This Row],[max]],Table3[max],0),"")</f>
        <v>#DIV/0!</v>
      </c>
      <c r="BB1440" s="1096" t="e">
        <f t="shared" si="865"/>
        <v>#DIV/0!</v>
      </c>
      <c r="BC1440" s="1096" t="e">
        <f t="shared" ca="1" si="866"/>
        <v>#DIV/0!</v>
      </c>
      <c r="BD1440" s="1096" t="e">
        <f>IF(Table3[[#This Row],[max]]&gt;0,Table3[[#This Row],[Crop groups and examples of individual products within the groups to which the MRLs apply]],"")</f>
        <v>#DIV/0!</v>
      </c>
    </row>
    <row r="1441" spans="2:56" x14ac:dyDescent="0.2">
      <c r="B1441" s="23">
        <f t="shared" si="870"/>
        <v>402990</v>
      </c>
      <c r="C1441" s="23" t="str">
        <f t="shared" si="870"/>
        <v>Other oilfruit</v>
      </c>
      <c r="D1441" s="1084">
        <f>input_values!E241</f>
        <v>0</v>
      </c>
      <c r="E1441" s="1084">
        <f>input_values!F241</f>
        <v>0</v>
      </c>
      <c r="F1441" s="1085">
        <f>input_values!W241</f>
        <v>1</v>
      </c>
      <c r="G1441" s="1085" t="str">
        <f>IF(Table3[[#This Row],[CF]]&gt;0,CONCATENATE(IF(Table3[[#This Row],[LOQ]]="*","LOQ","MRL"),IF(input_values!G241&gt;0,"×CFrisk","")),"")</f>
        <v>MRL</v>
      </c>
      <c r="H1441" s="1087">
        <f>input_values!L241</f>
        <v>0</v>
      </c>
      <c r="I1441" s="1088">
        <f>input_values!D241</f>
        <v>0</v>
      </c>
      <c r="J1441" s="1098" t="e">
        <f>IF($D$1212="",0,$D1441*Table3[[#This Row],[CF]]*chronic_consumption!$E241/1000/$C$3)</f>
        <v>#DIV/0!</v>
      </c>
      <c r="K1441" s="1098" t="e">
        <f>IF($D$1212="",0,$D1441*Table3[[#This Row],[CF]]*chronic_consumption!$F241/1000/$C$3)</f>
        <v>#DIV/0!</v>
      </c>
      <c r="L1441" s="1098" t="e">
        <f>IF($D$1212="",0,$D1441*Table3[[#This Row],[CF]]*chronic_consumption!$G241/1000/$C$3)</f>
        <v>#DIV/0!</v>
      </c>
      <c r="M1441" s="1098" t="e">
        <f>IF($D$1212="",0,$D1441*Table3[[#This Row],[CF]]*chronic_consumption!$H241/1000/$C$3)</f>
        <v>#DIV/0!</v>
      </c>
      <c r="N1441" s="1098" t="e">
        <f>IF($D$1212="",0,$D1441*Table3[[#This Row],[CF]]*chronic_consumption!$I241/1000/$C$3)</f>
        <v>#DIV/0!</v>
      </c>
      <c r="O1441" s="1098" t="e">
        <f>IF($D$1212="",0,$D1441*Table3[[#This Row],[CF]]*chronic_consumption!$J241/1000/$C$3)</f>
        <v>#DIV/0!</v>
      </c>
      <c r="P1441" s="1098" t="e">
        <f>IF($D$1212="",0,$D1441*Table3[[#This Row],[CF]]*chronic_consumption!$K241/1000/$C$3)</f>
        <v>#DIV/0!</v>
      </c>
      <c r="Q1441" s="1098" t="e">
        <f>IF($D$1212="",0,$D1441*Table3[[#This Row],[CF]]*chronic_consumption!$L241/1000/$C$3)</f>
        <v>#DIV/0!</v>
      </c>
      <c r="R1441" s="1098" t="e">
        <f>IF($D$1212="",0,$D1441*Table3[[#This Row],[CF]]*chronic_consumption!$M241/1000/$C$3)</f>
        <v>#DIV/0!</v>
      </c>
      <c r="S1441" s="1098" t="e">
        <f>IF($D$1212="",0,$D1441*Table3[[#This Row],[CF]]*chronic_consumption!$N241/1000/$C$3)</f>
        <v>#DIV/0!</v>
      </c>
      <c r="T1441" s="1098" t="e">
        <f>IF($D$1212="",0,$D1441*Table3[[#This Row],[CF]]*chronic_consumption!$O241/1000/$C$3)</f>
        <v>#DIV/0!</v>
      </c>
      <c r="U1441" s="1098" t="e">
        <f>IF($D$1212="",0,$D1441*Table3[[#This Row],[CF]]*chronic_consumption!$P241/1000/$C$3)</f>
        <v>#DIV/0!</v>
      </c>
      <c r="V1441" s="1098" t="e">
        <f>IF($D$1212="",0,$D1441*Table3[[#This Row],[CF]]*chronic_consumption!$Q241/1000/$C$3)</f>
        <v>#DIV/0!</v>
      </c>
      <c r="W1441" s="1098" t="e">
        <f>IF($D$1212="",0,$D1441*Table3[[#This Row],[CF]]*chronic_consumption!$R241/1000/$C$3)</f>
        <v>#DIV/0!</v>
      </c>
      <c r="X1441" s="1098" t="e">
        <f>IF($D$1212="",0,$D1441*Table3[[#This Row],[CF]]*chronic_consumption!$S241/1000/$C$3)</f>
        <v>#DIV/0!</v>
      </c>
      <c r="Y1441" s="1098" t="e">
        <f>IF($D$1212="",0,$D1441*Table3[[#This Row],[CF]]*chronic_consumption!$T241/1000/$C$3)</f>
        <v>#DIV/0!</v>
      </c>
      <c r="Z1441" s="1098" t="e">
        <f>IF($D$1212="",0,$D1441*Table3[[#This Row],[CF]]*chronic_consumption!$U241/1000/$C$3)</f>
        <v>#DIV/0!</v>
      </c>
      <c r="AA1441" s="1098" t="e">
        <f>IF($D$1212="",0,$D1441*Table3[[#This Row],[CF]]*chronic_consumption!$V241/1000/$C$3)</f>
        <v>#DIV/0!</v>
      </c>
      <c r="AB1441" s="1098" t="e">
        <f>IF($D$1212="",0,$D1441*Table3[[#This Row],[CF]]*chronic_consumption!$W241/1000/$C$3)</f>
        <v>#DIV/0!</v>
      </c>
      <c r="AC1441" s="1098" t="e">
        <f>IF($D$1212="",0,$D1441*Table3[[#This Row],[CF]]*chronic_consumption!$X241/1000/$C$3)</f>
        <v>#DIV/0!</v>
      </c>
      <c r="AD1441" s="1098" t="e">
        <f>IF($D$1212="",0,$D1441*Table3[[#This Row],[CF]]*chronic_consumption!$Y241/1000/$C$3)</f>
        <v>#DIV/0!</v>
      </c>
      <c r="AE1441" s="1098" t="e">
        <f>IF($D$1212="",0,$D1441*Table3[[#This Row],[CF]]*chronic_consumption!$Z241/1000/$C$3)</f>
        <v>#DIV/0!</v>
      </c>
      <c r="AF1441" s="1098" t="e">
        <f>IF($D$1212="",0,$D1441*Table3[[#This Row],[CF]]*chronic_consumption!$AA241/1000/$C$3)</f>
        <v>#DIV/0!</v>
      </c>
      <c r="AG1441" s="1098" t="e">
        <f>IF($D$1212="",0,$D1441*Table3[[#This Row],[CF]]*chronic_consumption!$AB241/1000/$C$3)</f>
        <v>#DIV/0!</v>
      </c>
      <c r="AH1441" s="1098" t="e">
        <f>IF($D$1212="",0,$D1441*Table3[[#This Row],[CF]]*chronic_consumption!$AC241/1000/$C$3)</f>
        <v>#DIV/0!</v>
      </c>
      <c r="AI1441" s="1098" t="e">
        <f>IF($D$1212="",0,$D1441*Table3[[#This Row],[CF]]*chronic_consumption!$AD241/1000/$C$3)</f>
        <v>#DIV/0!</v>
      </c>
      <c r="AJ1441" s="1098" t="e">
        <f>IF($D$1212="",0,$D1441*Table3[[#This Row],[CF]]*chronic_consumption!$AE241/1000/$C$3)</f>
        <v>#DIV/0!</v>
      </c>
      <c r="AK1441" s="1098" t="e">
        <f>IF($D$1212="",0,$D1441*Table3[[#This Row],[CF]]*chronic_consumption!$AF241/1000/$C$3)</f>
        <v>#DIV/0!</v>
      </c>
      <c r="AL1441" s="1098" t="e">
        <f>IF($D$1212="",0,$D1441*Table3[[#This Row],[CF]]*chronic_consumption!$AG241/1000/$C$3)</f>
        <v>#DIV/0!</v>
      </c>
      <c r="AM1441" s="1098" t="e">
        <f>IF($D$1212="",0,$D1441*Table3[[#This Row],[CF]]*chronic_consumption!$AH241/1000/$C$3)</f>
        <v>#DIV/0!</v>
      </c>
      <c r="AN1441" s="1098" t="e">
        <f>IF($D$1212="",0,$D1441*Table3[[#This Row],[CF]]*chronic_consumption!$AI241/1000/$C$3)</f>
        <v>#DIV/0!</v>
      </c>
      <c r="AO1441" s="1098" t="e">
        <f>IF($D$1212="",0,$D1441*Table3[[#This Row],[CF]]*chronic_consumption!$AJ241/1000/$C$3)</f>
        <v>#DIV/0!</v>
      </c>
      <c r="AP1441" s="1098" t="e">
        <f>IF($D$1212="",0,$D1441*Table3[[#This Row],[CF]]*chronic_consumption!$AK241/1000/$C$3)</f>
        <v>#DIV/0!</v>
      </c>
      <c r="AQ1441" s="1098" t="e">
        <f>IF($D$1212="",0,$D1441*Table3[[#This Row],[CF]]*chronic_consumption!$AL241/1000/$C$3)</f>
        <v>#DIV/0!</v>
      </c>
      <c r="AR1441" s="1098" t="e">
        <f>IF($D$1212="",0,$D1441*Table3[[#This Row],[CF]]*chronic_consumption!$AM241/1000/$C$3)</f>
        <v>#DIV/0!</v>
      </c>
      <c r="AS1441" s="1098" t="e">
        <f>IF($D$1212="",0,$D1441*Table3[[#This Row],[CF]]*chronic_consumption!$AN241/1000/$C$3)</f>
        <v>#DIV/0!</v>
      </c>
      <c r="AT1441" s="1098" t="e">
        <f>IF($D$1212="",0,$D1441*Table3[[#This Row],[CF]]*chronic_consumption!$AO241/1000/$C$3)</f>
        <v>#DIV/0!</v>
      </c>
      <c r="AU1441" s="1099" t="e">
        <f t="shared" si="871"/>
        <v>#DIV/0!</v>
      </c>
      <c r="AV1441" s="1099" t="e">
        <f t="shared" si="871"/>
        <v>#DIV/0!</v>
      </c>
      <c r="AW1441" s="1099" t="e">
        <f t="shared" si="871"/>
        <v>#DIV/0!</v>
      </c>
      <c r="AX1441" s="1099" t="e">
        <f t="shared" si="871"/>
        <v>#DIV/0!</v>
      </c>
      <c r="AY1441" s="1099" t="e">
        <f t="shared" si="871"/>
        <v>#DIV/0!</v>
      </c>
      <c r="AZ1441" s="1091" t="s">
        <v>1012</v>
      </c>
      <c r="BA1441" s="1097" t="e">
        <f>IF(Table3[[#This Row],[max]]&lt;&gt;0,RANK(Table3[[#This Row],[max]],Table3[max],0),"")</f>
        <v>#DIV/0!</v>
      </c>
      <c r="BB1441" s="1096" t="e">
        <f t="shared" si="865"/>
        <v>#DIV/0!</v>
      </c>
      <c r="BC1441" s="1096" t="e">
        <f t="shared" ca="1" si="866"/>
        <v>#DIV/0!</v>
      </c>
      <c r="BD1441" s="1096" t="e">
        <f>IF(Table3[[#This Row],[max]]&gt;0,Table3[[#This Row],[Crop groups and examples of individual products within the groups to which the MRLs apply]],"")</f>
        <v>#DIV/0!</v>
      </c>
    </row>
    <row r="1442" spans="2:56" x14ac:dyDescent="0.2">
      <c r="B1442" s="127">
        <f t="shared" si="870"/>
        <v>500000</v>
      </c>
      <c r="C1442" s="127" t="str">
        <f t="shared" si="870"/>
        <v>CEREALS</v>
      </c>
      <c r="D1442" s="1084">
        <f>input_values!E242</f>
        <v>0</v>
      </c>
      <c r="E1442" s="1084">
        <f>input_values!F242</f>
        <v>0</v>
      </c>
      <c r="F1442" s="1085">
        <f>input_values!W242</f>
        <v>0</v>
      </c>
      <c r="G1442" s="1085" t="str">
        <f>IF(Table3[[#This Row],[CF]]&gt;0,CONCATENATE(IF(Table3[[#This Row],[LOQ]]="*","LOQ","MRL"),IF(input_values!G242&gt;0,"×CFrisk","")),"")</f>
        <v/>
      </c>
      <c r="H1442" s="1087">
        <f>input_values!L242</f>
        <v>0</v>
      </c>
      <c r="I1442" s="1088">
        <f>input_values!D242</f>
        <v>0</v>
      </c>
      <c r="J1442" s="1102" t="e">
        <f>IF($D$1212="",0,$D1442*Table3[[#This Row],[CF]]*chronic_consumption!$E242/1000/$C$3)</f>
        <v>#DIV/0!</v>
      </c>
      <c r="K1442" s="1102" t="e">
        <f>IF($D$1212="",0,$D1442*Table3[[#This Row],[CF]]*chronic_consumption!$F242/1000/$C$3)</f>
        <v>#DIV/0!</v>
      </c>
      <c r="L1442" s="1102" t="e">
        <f>IF($D$1212="",0,$D1442*Table3[[#This Row],[CF]]*chronic_consumption!$G242/1000/$C$3)</f>
        <v>#DIV/0!</v>
      </c>
      <c r="M1442" s="1102" t="e">
        <f>IF($D$1212="",0,$D1442*Table3[[#This Row],[CF]]*chronic_consumption!$H242/1000/$C$3)</f>
        <v>#DIV/0!</v>
      </c>
      <c r="N1442" s="1102" t="e">
        <f>IF($D$1212="",0,$D1442*Table3[[#This Row],[CF]]*chronic_consumption!$I242/1000/$C$3)</f>
        <v>#DIV/0!</v>
      </c>
      <c r="O1442" s="1102" t="e">
        <f>IF($D$1212="",0,$D1442*Table3[[#This Row],[CF]]*chronic_consumption!$J242/1000/$C$3)</f>
        <v>#DIV/0!</v>
      </c>
      <c r="P1442" s="1102" t="e">
        <f>IF($D$1212="",0,$D1442*Table3[[#This Row],[CF]]*chronic_consumption!$K242/1000/$C$3)</f>
        <v>#DIV/0!</v>
      </c>
      <c r="Q1442" s="1102" t="e">
        <f>IF($D$1212="",0,$D1442*Table3[[#This Row],[CF]]*chronic_consumption!$L242/1000/$C$3)</f>
        <v>#DIV/0!</v>
      </c>
      <c r="R1442" s="1102" t="e">
        <f>IF($D$1212="",0,$D1442*Table3[[#This Row],[CF]]*chronic_consumption!$M242/1000/$C$3)</f>
        <v>#DIV/0!</v>
      </c>
      <c r="S1442" s="1102" t="e">
        <f>IF($D$1212="",0,$D1442*Table3[[#This Row],[CF]]*chronic_consumption!$N242/1000/$C$3)</f>
        <v>#DIV/0!</v>
      </c>
      <c r="T1442" s="1102" t="e">
        <f>IF($D$1212="",0,$D1442*Table3[[#This Row],[CF]]*chronic_consumption!$O242/1000/$C$3)</f>
        <v>#DIV/0!</v>
      </c>
      <c r="U1442" s="1102" t="e">
        <f>IF($D$1212="",0,$D1442*Table3[[#This Row],[CF]]*chronic_consumption!$P242/1000/$C$3)</f>
        <v>#DIV/0!</v>
      </c>
      <c r="V1442" s="1102" t="e">
        <f>IF($D$1212="",0,$D1442*Table3[[#This Row],[CF]]*chronic_consumption!$Q242/1000/$C$3)</f>
        <v>#DIV/0!</v>
      </c>
      <c r="W1442" s="1102" t="e">
        <f>IF($D$1212="",0,$D1442*Table3[[#This Row],[CF]]*chronic_consumption!$R242/1000/$C$3)</f>
        <v>#DIV/0!</v>
      </c>
      <c r="X1442" s="1102" t="e">
        <f>IF($D$1212="",0,$D1442*Table3[[#This Row],[CF]]*chronic_consumption!$S242/1000/$C$3)</f>
        <v>#DIV/0!</v>
      </c>
      <c r="Y1442" s="1102" t="e">
        <f>IF($D$1212="",0,$D1442*Table3[[#This Row],[CF]]*chronic_consumption!$T242/1000/$C$3)</f>
        <v>#DIV/0!</v>
      </c>
      <c r="Z1442" s="1102" t="e">
        <f>IF($D$1212="",0,$D1442*Table3[[#This Row],[CF]]*chronic_consumption!$U242/1000/$C$3)</f>
        <v>#DIV/0!</v>
      </c>
      <c r="AA1442" s="1102" t="e">
        <f>IF($D$1212="",0,$D1442*Table3[[#This Row],[CF]]*chronic_consumption!$V242/1000/$C$3)</f>
        <v>#DIV/0!</v>
      </c>
      <c r="AB1442" s="1102" t="e">
        <f>IF($D$1212="",0,$D1442*Table3[[#This Row],[CF]]*chronic_consumption!$W242/1000/$C$3)</f>
        <v>#DIV/0!</v>
      </c>
      <c r="AC1442" s="1102" t="e">
        <f>IF($D$1212="",0,$D1442*Table3[[#This Row],[CF]]*chronic_consumption!$X242/1000/$C$3)</f>
        <v>#DIV/0!</v>
      </c>
      <c r="AD1442" s="1102" t="e">
        <f>IF($D$1212="",0,$D1442*Table3[[#This Row],[CF]]*chronic_consumption!$Y242/1000/$C$3)</f>
        <v>#DIV/0!</v>
      </c>
      <c r="AE1442" s="1102" t="e">
        <f>IF($D$1212="",0,$D1442*Table3[[#This Row],[CF]]*chronic_consumption!$Z242/1000/$C$3)</f>
        <v>#DIV/0!</v>
      </c>
      <c r="AF1442" s="1102" t="e">
        <f>IF($D$1212="",0,$D1442*Table3[[#This Row],[CF]]*chronic_consumption!$AA242/1000/$C$3)</f>
        <v>#DIV/0!</v>
      </c>
      <c r="AG1442" s="1102" t="e">
        <f>IF($D$1212="",0,$D1442*Table3[[#This Row],[CF]]*chronic_consumption!$AB242/1000/$C$3)</f>
        <v>#DIV/0!</v>
      </c>
      <c r="AH1442" s="1102" t="e">
        <f>IF($D$1212="",0,$D1442*Table3[[#This Row],[CF]]*chronic_consumption!$AC242/1000/$C$3)</f>
        <v>#DIV/0!</v>
      </c>
      <c r="AI1442" s="1102" t="e">
        <f>IF($D$1212="",0,$D1442*Table3[[#This Row],[CF]]*chronic_consumption!$AD242/1000/$C$3)</f>
        <v>#DIV/0!</v>
      </c>
      <c r="AJ1442" s="1102" t="e">
        <f>IF($D$1212="",0,$D1442*Table3[[#This Row],[CF]]*chronic_consumption!$AE242/1000/$C$3)</f>
        <v>#DIV/0!</v>
      </c>
      <c r="AK1442" s="1102" t="e">
        <f>IF($D$1212="",0,$D1442*Table3[[#This Row],[CF]]*chronic_consumption!$AF242/1000/$C$3)</f>
        <v>#DIV/0!</v>
      </c>
      <c r="AL1442" s="1102" t="e">
        <f>IF($D$1212="",0,$D1442*Table3[[#This Row],[CF]]*chronic_consumption!$AG242/1000/$C$3)</f>
        <v>#DIV/0!</v>
      </c>
      <c r="AM1442" s="1102" t="e">
        <f>IF($D$1212="",0,$D1442*Table3[[#This Row],[CF]]*chronic_consumption!$AH242/1000/$C$3)</f>
        <v>#DIV/0!</v>
      </c>
      <c r="AN1442" s="1102" t="e">
        <f>IF($D$1212="",0,$D1442*Table3[[#This Row],[CF]]*chronic_consumption!$AI242/1000/$C$3)</f>
        <v>#DIV/0!</v>
      </c>
      <c r="AO1442" s="1102" t="e">
        <f>IF($D$1212="",0,$D1442*Table3[[#This Row],[CF]]*chronic_consumption!$AJ242/1000/$C$3)</f>
        <v>#DIV/0!</v>
      </c>
      <c r="AP1442" s="1102" t="e">
        <f>IF($D$1212="",0,$D1442*Table3[[#This Row],[CF]]*chronic_consumption!$AK242/1000/$C$3)</f>
        <v>#DIV/0!</v>
      </c>
      <c r="AQ1442" s="1102" t="e">
        <f>IF($D$1212="",0,$D1442*Table3[[#This Row],[CF]]*chronic_consumption!$AL242/1000/$C$3)</f>
        <v>#DIV/0!</v>
      </c>
      <c r="AR1442" s="1102" t="e">
        <f>IF($D$1212="",0,$D1442*Table3[[#This Row],[CF]]*chronic_consumption!$AM242/1000/$C$3)</f>
        <v>#DIV/0!</v>
      </c>
      <c r="AS1442" s="1102" t="e">
        <f>IF($D$1212="",0,$D1442*Table3[[#This Row],[CF]]*chronic_consumption!$AN242/1000/$C$3)</f>
        <v>#DIV/0!</v>
      </c>
      <c r="AT1442" s="1102" t="e">
        <f>IF($D$1212="",0,$D1442*Table3[[#This Row],[CF]]*chronic_consumption!$AO242/1000/$C$3)</f>
        <v>#DIV/0!</v>
      </c>
      <c r="AU1442" s="1090" t="e">
        <f t="shared" ref="AU1442:AY1451" si="872">IF(AU642="",0,IF(OR(1=RANK(AU1042,AU$412:AU$790,0),(2=RANK(AU1042,AU$412:AU$790,0))),AU1042,AU642))</f>
        <v>#DIV/0!</v>
      </c>
      <c r="AV1442" s="1090" t="e">
        <f t="shared" si="872"/>
        <v>#DIV/0!</v>
      </c>
      <c r="AW1442" s="1090" t="e">
        <f t="shared" si="872"/>
        <v>#DIV/0!</v>
      </c>
      <c r="AX1442" s="1090" t="e">
        <f t="shared" si="872"/>
        <v>#DIV/0!</v>
      </c>
      <c r="AY1442" s="1090" t="e">
        <f t="shared" si="872"/>
        <v>#DIV/0!</v>
      </c>
      <c r="AZ1442" s="1091" t="s">
        <v>1012</v>
      </c>
      <c r="BA1442" s="1097" t="e">
        <f>IF(Table3[[#This Row],[max]]&lt;&gt;0,RANK(Table3[[#This Row],[max]],Table3[max],0),"")</f>
        <v>#DIV/0!</v>
      </c>
      <c r="BB1442" s="1096" t="e">
        <f t="shared" si="865"/>
        <v>#DIV/0!</v>
      </c>
      <c r="BC1442" s="1096" t="e">
        <f t="shared" ca="1" si="866"/>
        <v>#DIV/0!</v>
      </c>
      <c r="BD1442" s="1096" t="e">
        <f>IF(Table3[[#This Row],[max]]&gt;0,Table3[[#This Row],[Crop groups and examples of individual products within the groups to which the MRLs apply]],"")</f>
        <v>#DIV/0!</v>
      </c>
    </row>
    <row r="1443" spans="2:56" x14ac:dyDescent="0.2">
      <c r="B1443" s="23">
        <f t="shared" si="870"/>
        <v>500010</v>
      </c>
      <c r="C1443" s="23" t="str">
        <f t="shared" si="870"/>
        <v xml:space="preserve">Barley </v>
      </c>
      <c r="D1443" s="1084">
        <f>input_values!E243</f>
        <v>0</v>
      </c>
      <c r="E1443" s="1084">
        <f>input_values!F243</f>
        <v>0</v>
      </c>
      <c r="F1443" s="1085">
        <f>input_values!W243</f>
        <v>1</v>
      </c>
      <c r="G1443" s="1085" t="str">
        <f>IF(Table3[[#This Row],[CF]]&gt;0,CONCATENATE(IF(Table3[[#This Row],[LOQ]]="*","LOQ","MRL"),IF(input_values!G243&gt;0,"×CFrisk","")),"")</f>
        <v>MRL</v>
      </c>
      <c r="H1443" s="1087">
        <f>input_values!L243</f>
        <v>0</v>
      </c>
      <c r="I1443" s="1088">
        <f>input_values!D243</f>
        <v>0</v>
      </c>
      <c r="J1443" s="1098" t="e">
        <f>IF($D$1212="",0,$D1443*Table3[[#This Row],[CF]]*chronic_consumption!$E243/1000/$C$3)</f>
        <v>#DIV/0!</v>
      </c>
      <c r="K1443" s="1098" t="e">
        <f>IF($D$1212="",0,$D1443*Table3[[#This Row],[CF]]*chronic_consumption!$F243/1000/$C$3)</f>
        <v>#DIV/0!</v>
      </c>
      <c r="L1443" s="1098" t="e">
        <f>IF($D$1212="",0,$D1443*Table3[[#This Row],[CF]]*chronic_consumption!$G243/1000/$C$3)</f>
        <v>#DIV/0!</v>
      </c>
      <c r="M1443" s="1098" t="e">
        <f>IF($D$1212="",0,$D1443*Table3[[#This Row],[CF]]*chronic_consumption!$H243/1000/$C$3)</f>
        <v>#DIV/0!</v>
      </c>
      <c r="N1443" s="1098" t="e">
        <f>IF($D$1212="",0,$D1443*Table3[[#This Row],[CF]]*chronic_consumption!$I243/1000/$C$3)</f>
        <v>#DIV/0!</v>
      </c>
      <c r="O1443" s="1098" t="e">
        <f>IF($D$1212="",0,$D1443*Table3[[#This Row],[CF]]*chronic_consumption!$J243/1000/$C$3)</f>
        <v>#DIV/0!</v>
      </c>
      <c r="P1443" s="1098" t="e">
        <f>IF($D$1212="",0,$D1443*Table3[[#This Row],[CF]]*chronic_consumption!$K243/1000/$C$3)</f>
        <v>#DIV/0!</v>
      </c>
      <c r="Q1443" s="1098" t="e">
        <f>IF($D$1212="",0,$D1443*Table3[[#This Row],[CF]]*chronic_consumption!$L243/1000/$C$3)</f>
        <v>#DIV/0!</v>
      </c>
      <c r="R1443" s="1098" t="e">
        <f>IF($D$1212="",0,$D1443*Table3[[#This Row],[CF]]*chronic_consumption!$M243/1000/$C$3)</f>
        <v>#DIV/0!</v>
      </c>
      <c r="S1443" s="1098" t="e">
        <f>IF($D$1212="",0,$D1443*Table3[[#This Row],[CF]]*chronic_consumption!$N243/1000/$C$3)</f>
        <v>#DIV/0!</v>
      </c>
      <c r="T1443" s="1098" t="e">
        <f>IF($D$1212="",0,$D1443*Table3[[#This Row],[CF]]*chronic_consumption!$O243/1000/$C$3)</f>
        <v>#DIV/0!</v>
      </c>
      <c r="U1443" s="1098" t="e">
        <f>IF($D$1212="",0,$D1443*Table3[[#This Row],[CF]]*chronic_consumption!$P243/1000/$C$3)</f>
        <v>#DIV/0!</v>
      </c>
      <c r="V1443" s="1098" t="e">
        <f>IF($D$1212="",0,$D1443*Table3[[#This Row],[CF]]*chronic_consumption!$Q243/1000/$C$3)</f>
        <v>#DIV/0!</v>
      </c>
      <c r="W1443" s="1098" t="e">
        <f>IF($D$1212="",0,$D1443*Table3[[#This Row],[CF]]*chronic_consumption!$R243/1000/$C$3)</f>
        <v>#DIV/0!</v>
      </c>
      <c r="X1443" s="1098" t="e">
        <f>IF($D$1212="",0,$D1443*Table3[[#This Row],[CF]]*chronic_consumption!$S243/1000/$C$3)</f>
        <v>#DIV/0!</v>
      </c>
      <c r="Y1443" s="1098" t="e">
        <f>IF($D$1212="",0,$D1443*Table3[[#This Row],[CF]]*chronic_consumption!$T243/1000/$C$3)</f>
        <v>#DIV/0!</v>
      </c>
      <c r="Z1443" s="1098" t="e">
        <f>IF($D$1212="",0,$D1443*Table3[[#This Row],[CF]]*chronic_consumption!$U243/1000/$C$3)</f>
        <v>#DIV/0!</v>
      </c>
      <c r="AA1443" s="1098" t="e">
        <f>IF($D$1212="",0,$D1443*Table3[[#This Row],[CF]]*chronic_consumption!$V243/1000/$C$3)</f>
        <v>#DIV/0!</v>
      </c>
      <c r="AB1443" s="1098" t="e">
        <f>IF($D$1212="",0,$D1443*Table3[[#This Row],[CF]]*chronic_consumption!$W243/1000/$C$3)</f>
        <v>#DIV/0!</v>
      </c>
      <c r="AC1443" s="1098" t="e">
        <f>IF($D$1212="",0,$D1443*Table3[[#This Row],[CF]]*chronic_consumption!$X243/1000/$C$3)</f>
        <v>#DIV/0!</v>
      </c>
      <c r="AD1443" s="1098" t="e">
        <f>IF($D$1212="",0,$D1443*Table3[[#This Row],[CF]]*chronic_consumption!$Y243/1000/$C$3)</f>
        <v>#DIV/0!</v>
      </c>
      <c r="AE1443" s="1098" t="e">
        <f>IF($D$1212="",0,$D1443*Table3[[#This Row],[CF]]*chronic_consumption!$Z243/1000/$C$3)</f>
        <v>#DIV/0!</v>
      </c>
      <c r="AF1443" s="1098" t="e">
        <f>IF($D$1212="",0,$D1443*Table3[[#This Row],[CF]]*chronic_consumption!$AA243/1000/$C$3)</f>
        <v>#DIV/0!</v>
      </c>
      <c r="AG1443" s="1098" t="e">
        <f>IF($D$1212="",0,$D1443*Table3[[#This Row],[CF]]*chronic_consumption!$AB243/1000/$C$3)</f>
        <v>#DIV/0!</v>
      </c>
      <c r="AH1443" s="1098" t="e">
        <f>IF($D$1212="",0,$D1443*Table3[[#This Row],[CF]]*chronic_consumption!$AC243/1000/$C$3)</f>
        <v>#DIV/0!</v>
      </c>
      <c r="AI1443" s="1098" t="e">
        <f>IF($D$1212="",0,$D1443*Table3[[#This Row],[CF]]*chronic_consumption!$AD243/1000/$C$3)</f>
        <v>#DIV/0!</v>
      </c>
      <c r="AJ1443" s="1098" t="e">
        <f>IF($D$1212="",0,$D1443*Table3[[#This Row],[CF]]*chronic_consumption!$AE243/1000/$C$3)</f>
        <v>#DIV/0!</v>
      </c>
      <c r="AK1443" s="1098" t="e">
        <f>IF($D$1212="",0,$D1443*Table3[[#This Row],[CF]]*chronic_consumption!$AF243/1000/$C$3)</f>
        <v>#DIV/0!</v>
      </c>
      <c r="AL1443" s="1098" t="e">
        <f>IF($D$1212="",0,$D1443*Table3[[#This Row],[CF]]*chronic_consumption!$AG243/1000/$C$3)</f>
        <v>#DIV/0!</v>
      </c>
      <c r="AM1443" s="1098" t="e">
        <f>IF($D$1212="",0,$D1443*Table3[[#This Row],[CF]]*chronic_consumption!$AH243/1000/$C$3)</f>
        <v>#DIV/0!</v>
      </c>
      <c r="AN1443" s="1098" t="e">
        <f>IF($D$1212="",0,$D1443*Table3[[#This Row],[CF]]*chronic_consumption!$AI243/1000/$C$3)</f>
        <v>#DIV/0!</v>
      </c>
      <c r="AO1443" s="1098" t="e">
        <f>IF($D$1212="",0,$D1443*Table3[[#This Row],[CF]]*chronic_consumption!$AJ243/1000/$C$3)</f>
        <v>#DIV/0!</v>
      </c>
      <c r="AP1443" s="1098" t="e">
        <f>IF($D$1212="",0,$D1443*Table3[[#This Row],[CF]]*chronic_consumption!$AK243/1000/$C$3)</f>
        <v>#DIV/0!</v>
      </c>
      <c r="AQ1443" s="1098" t="e">
        <f>IF($D$1212="",0,$D1443*Table3[[#This Row],[CF]]*chronic_consumption!$AL243/1000/$C$3)</f>
        <v>#DIV/0!</v>
      </c>
      <c r="AR1443" s="1098" t="e">
        <f>IF($D$1212="",0,$D1443*Table3[[#This Row],[CF]]*chronic_consumption!$AM243/1000/$C$3)</f>
        <v>#DIV/0!</v>
      </c>
      <c r="AS1443" s="1098" t="e">
        <f>IF($D$1212="",0,$D1443*Table3[[#This Row],[CF]]*chronic_consumption!$AN243/1000/$C$3)</f>
        <v>#DIV/0!</v>
      </c>
      <c r="AT1443" s="1098" t="e">
        <f>IF($D$1212="",0,$D1443*Table3[[#This Row],[CF]]*chronic_consumption!$AO243/1000/$C$3)</f>
        <v>#DIV/0!</v>
      </c>
      <c r="AU1443" s="1099" t="e">
        <f t="shared" si="872"/>
        <v>#DIV/0!</v>
      </c>
      <c r="AV1443" s="1099" t="e">
        <f t="shared" si="872"/>
        <v>#DIV/0!</v>
      </c>
      <c r="AW1443" s="1099" t="e">
        <f t="shared" si="872"/>
        <v>#DIV/0!</v>
      </c>
      <c r="AX1443" s="1099" t="e">
        <f t="shared" si="872"/>
        <v>#DIV/0!</v>
      </c>
      <c r="AY1443" s="1099" t="e">
        <f t="shared" si="872"/>
        <v>#DIV/0!</v>
      </c>
      <c r="AZ1443" s="1091" t="s">
        <v>1012</v>
      </c>
      <c r="BA1443" s="1097" t="e">
        <f>IF(Table3[[#This Row],[max]]&lt;&gt;0,RANK(Table3[[#This Row],[max]],Table3[max],0),"")</f>
        <v>#DIV/0!</v>
      </c>
      <c r="BB1443" s="1096" t="e">
        <f t="shared" si="865"/>
        <v>#DIV/0!</v>
      </c>
      <c r="BC1443" s="1096" t="e">
        <f t="shared" ca="1" si="866"/>
        <v>#DIV/0!</v>
      </c>
      <c r="BD1443" s="1096" t="e">
        <f>IF(Table3[[#This Row],[max]]&gt;0,Table3[[#This Row],[Crop groups and examples of individual products within the groups to which the MRLs apply]],"")</f>
        <v>#DIV/0!</v>
      </c>
    </row>
    <row r="1444" spans="2:56" x14ac:dyDescent="0.2">
      <c r="B1444" s="23">
        <f t="shared" si="870"/>
        <v>500020</v>
      </c>
      <c r="C1444" s="23" t="str">
        <f t="shared" si="870"/>
        <v>Buckwheat and other pseudo-cereals</v>
      </c>
      <c r="D1444" s="1084">
        <f>input_values!E244</f>
        <v>0</v>
      </c>
      <c r="E1444" s="1084">
        <f>input_values!F244</f>
        <v>0</v>
      </c>
      <c r="F1444" s="1085">
        <f>input_values!W244</f>
        <v>1</v>
      </c>
      <c r="G1444" s="1085" t="str">
        <f>IF(Table3[[#This Row],[CF]]&gt;0,CONCATENATE(IF(Table3[[#This Row],[LOQ]]="*","LOQ","MRL"),IF(input_values!G244&gt;0,"×CFrisk","")),"")</f>
        <v>MRL</v>
      </c>
      <c r="H1444" s="1087">
        <f>input_values!L244</f>
        <v>0</v>
      </c>
      <c r="I1444" s="1088">
        <f>input_values!D244</f>
        <v>0</v>
      </c>
      <c r="J1444" s="1098" t="e">
        <f>IF($D$1212="",0,$D1444*Table3[[#This Row],[CF]]*chronic_consumption!$E244/1000/$C$3)</f>
        <v>#DIV/0!</v>
      </c>
      <c r="K1444" s="1098" t="e">
        <f>IF($D$1212="",0,$D1444*Table3[[#This Row],[CF]]*chronic_consumption!$F244/1000/$C$3)</f>
        <v>#DIV/0!</v>
      </c>
      <c r="L1444" s="1098" t="e">
        <f>IF($D$1212="",0,$D1444*Table3[[#This Row],[CF]]*chronic_consumption!$G244/1000/$C$3)</f>
        <v>#DIV/0!</v>
      </c>
      <c r="M1444" s="1098" t="e">
        <f>IF($D$1212="",0,$D1444*Table3[[#This Row],[CF]]*chronic_consumption!$H244/1000/$C$3)</f>
        <v>#DIV/0!</v>
      </c>
      <c r="N1444" s="1098" t="e">
        <f>IF($D$1212="",0,$D1444*Table3[[#This Row],[CF]]*chronic_consumption!$I244/1000/$C$3)</f>
        <v>#DIV/0!</v>
      </c>
      <c r="O1444" s="1098" t="e">
        <f>IF($D$1212="",0,$D1444*Table3[[#This Row],[CF]]*chronic_consumption!$J244/1000/$C$3)</f>
        <v>#DIV/0!</v>
      </c>
      <c r="P1444" s="1098" t="e">
        <f>IF($D$1212="",0,$D1444*Table3[[#This Row],[CF]]*chronic_consumption!$K244/1000/$C$3)</f>
        <v>#DIV/0!</v>
      </c>
      <c r="Q1444" s="1098" t="e">
        <f>IF($D$1212="",0,$D1444*Table3[[#This Row],[CF]]*chronic_consumption!$L244/1000/$C$3)</f>
        <v>#DIV/0!</v>
      </c>
      <c r="R1444" s="1098" t="e">
        <f>IF($D$1212="",0,$D1444*Table3[[#This Row],[CF]]*chronic_consumption!$M244/1000/$C$3)</f>
        <v>#DIV/0!</v>
      </c>
      <c r="S1444" s="1098" t="e">
        <f>IF($D$1212="",0,$D1444*Table3[[#This Row],[CF]]*chronic_consumption!$N244/1000/$C$3)</f>
        <v>#DIV/0!</v>
      </c>
      <c r="T1444" s="1098" t="e">
        <f>IF($D$1212="",0,$D1444*Table3[[#This Row],[CF]]*chronic_consumption!$O244/1000/$C$3)</f>
        <v>#DIV/0!</v>
      </c>
      <c r="U1444" s="1098" t="e">
        <f>IF($D$1212="",0,$D1444*Table3[[#This Row],[CF]]*chronic_consumption!$P244/1000/$C$3)</f>
        <v>#DIV/0!</v>
      </c>
      <c r="V1444" s="1098" t="e">
        <f>IF($D$1212="",0,$D1444*Table3[[#This Row],[CF]]*chronic_consumption!$Q244/1000/$C$3)</f>
        <v>#DIV/0!</v>
      </c>
      <c r="W1444" s="1098" t="e">
        <f>IF($D$1212="",0,$D1444*Table3[[#This Row],[CF]]*chronic_consumption!$R244/1000/$C$3)</f>
        <v>#DIV/0!</v>
      </c>
      <c r="X1444" s="1098" t="e">
        <f>IF($D$1212="",0,$D1444*Table3[[#This Row],[CF]]*chronic_consumption!$S244/1000/$C$3)</f>
        <v>#DIV/0!</v>
      </c>
      <c r="Y1444" s="1098" t="e">
        <f>IF($D$1212="",0,$D1444*Table3[[#This Row],[CF]]*chronic_consumption!$T244/1000/$C$3)</f>
        <v>#DIV/0!</v>
      </c>
      <c r="Z1444" s="1098" t="e">
        <f>IF($D$1212="",0,$D1444*Table3[[#This Row],[CF]]*chronic_consumption!$U244/1000/$C$3)</f>
        <v>#DIV/0!</v>
      </c>
      <c r="AA1444" s="1098" t="e">
        <f>IF($D$1212="",0,$D1444*Table3[[#This Row],[CF]]*chronic_consumption!$V244/1000/$C$3)</f>
        <v>#DIV/0!</v>
      </c>
      <c r="AB1444" s="1098" t="e">
        <f>IF($D$1212="",0,$D1444*Table3[[#This Row],[CF]]*chronic_consumption!$W244/1000/$C$3)</f>
        <v>#DIV/0!</v>
      </c>
      <c r="AC1444" s="1098" t="e">
        <f>IF($D$1212="",0,$D1444*Table3[[#This Row],[CF]]*chronic_consumption!$X244/1000/$C$3)</f>
        <v>#DIV/0!</v>
      </c>
      <c r="AD1444" s="1098" t="e">
        <f>IF($D$1212="",0,$D1444*Table3[[#This Row],[CF]]*chronic_consumption!$Y244/1000/$C$3)</f>
        <v>#DIV/0!</v>
      </c>
      <c r="AE1444" s="1098" t="e">
        <f>IF($D$1212="",0,$D1444*Table3[[#This Row],[CF]]*chronic_consumption!$Z244/1000/$C$3)</f>
        <v>#DIV/0!</v>
      </c>
      <c r="AF1444" s="1098" t="e">
        <f>IF($D$1212="",0,$D1444*Table3[[#This Row],[CF]]*chronic_consumption!$AA244/1000/$C$3)</f>
        <v>#DIV/0!</v>
      </c>
      <c r="AG1444" s="1098" t="e">
        <f>IF($D$1212="",0,$D1444*Table3[[#This Row],[CF]]*chronic_consumption!$AB244/1000/$C$3)</f>
        <v>#DIV/0!</v>
      </c>
      <c r="AH1444" s="1098" t="e">
        <f>IF($D$1212="",0,$D1444*Table3[[#This Row],[CF]]*chronic_consumption!$AC244/1000/$C$3)</f>
        <v>#DIV/0!</v>
      </c>
      <c r="AI1444" s="1098" t="e">
        <f>IF($D$1212="",0,$D1444*Table3[[#This Row],[CF]]*chronic_consumption!$AD244/1000/$C$3)</f>
        <v>#DIV/0!</v>
      </c>
      <c r="AJ1444" s="1098" t="e">
        <f>IF($D$1212="",0,$D1444*Table3[[#This Row],[CF]]*chronic_consumption!$AE244/1000/$C$3)</f>
        <v>#DIV/0!</v>
      </c>
      <c r="AK1444" s="1098" t="e">
        <f>IF($D$1212="",0,$D1444*Table3[[#This Row],[CF]]*chronic_consumption!$AF244/1000/$C$3)</f>
        <v>#DIV/0!</v>
      </c>
      <c r="AL1444" s="1098" t="e">
        <f>IF($D$1212="",0,$D1444*Table3[[#This Row],[CF]]*chronic_consumption!$AG244/1000/$C$3)</f>
        <v>#DIV/0!</v>
      </c>
      <c r="AM1444" s="1098" t="e">
        <f>IF($D$1212="",0,$D1444*Table3[[#This Row],[CF]]*chronic_consumption!$AH244/1000/$C$3)</f>
        <v>#DIV/0!</v>
      </c>
      <c r="AN1444" s="1098" t="e">
        <f>IF($D$1212="",0,$D1444*Table3[[#This Row],[CF]]*chronic_consumption!$AI244/1000/$C$3)</f>
        <v>#DIV/0!</v>
      </c>
      <c r="AO1444" s="1098" t="e">
        <f>IF($D$1212="",0,$D1444*Table3[[#This Row],[CF]]*chronic_consumption!$AJ244/1000/$C$3)</f>
        <v>#DIV/0!</v>
      </c>
      <c r="AP1444" s="1098" t="e">
        <f>IF($D$1212="",0,$D1444*Table3[[#This Row],[CF]]*chronic_consumption!$AK244/1000/$C$3)</f>
        <v>#DIV/0!</v>
      </c>
      <c r="AQ1444" s="1098" t="e">
        <f>IF($D$1212="",0,$D1444*Table3[[#This Row],[CF]]*chronic_consumption!$AL244/1000/$C$3)</f>
        <v>#DIV/0!</v>
      </c>
      <c r="AR1444" s="1098" t="e">
        <f>IF($D$1212="",0,$D1444*Table3[[#This Row],[CF]]*chronic_consumption!$AM244/1000/$C$3)</f>
        <v>#DIV/0!</v>
      </c>
      <c r="AS1444" s="1098" t="e">
        <f>IF($D$1212="",0,$D1444*Table3[[#This Row],[CF]]*chronic_consumption!$AN244/1000/$C$3)</f>
        <v>#DIV/0!</v>
      </c>
      <c r="AT1444" s="1098" t="e">
        <f>IF($D$1212="",0,$D1444*Table3[[#This Row],[CF]]*chronic_consumption!$AO244/1000/$C$3)</f>
        <v>#DIV/0!</v>
      </c>
      <c r="AU1444" s="1099" t="e">
        <f t="shared" si="872"/>
        <v>#DIV/0!</v>
      </c>
      <c r="AV1444" s="1099" t="e">
        <f t="shared" si="872"/>
        <v>#DIV/0!</v>
      </c>
      <c r="AW1444" s="1099" t="e">
        <f t="shared" si="872"/>
        <v>#DIV/0!</v>
      </c>
      <c r="AX1444" s="1099" t="e">
        <f t="shared" si="872"/>
        <v>#DIV/0!</v>
      </c>
      <c r="AY1444" s="1099" t="e">
        <f t="shared" si="872"/>
        <v>#DIV/0!</v>
      </c>
      <c r="AZ1444" s="1091" t="s">
        <v>1012</v>
      </c>
      <c r="BA1444" s="1097" t="e">
        <f>IF(Table3[[#This Row],[max]]&lt;&gt;0,RANK(Table3[[#This Row],[max]],Table3[max],0),"")</f>
        <v>#DIV/0!</v>
      </c>
      <c r="BB1444" s="1096" t="e">
        <f t="shared" si="865"/>
        <v>#DIV/0!</v>
      </c>
      <c r="BC1444" s="1096" t="e">
        <f t="shared" ca="1" si="866"/>
        <v>#DIV/0!</v>
      </c>
      <c r="BD1444" s="1096" t="e">
        <f>IF(Table3[[#This Row],[max]]&gt;0,Table3[[#This Row],[Crop groups and examples of individual products within the groups to which the MRLs apply]],"")</f>
        <v>#DIV/0!</v>
      </c>
    </row>
    <row r="1445" spans="2:56" x14ac:dyDescent="0.2">
      <c r="B1445" s="23">
        <f t="shared" si="870"/>
        <v>500030</v>
      </c>
      <c r="C1445" s="23" t="str">
        <f t="shared" si="870"/>
        <v>Maize/corn</v>
      </c>
      <c r="D1445" s="1084">
        <f>input_values!E245</f>
        <v>0</v>
      </c>
      <c r="E1445" s="1084">
        <f>input_values!F245</f>
        <v>0</v>
      </c>
      <c r="F1445" s="1085">
        <f>input_values!W245</f>
        <v>1</v>
      </c>
      <c r="G1445" s="1085" t="str">
        <f>IF(Table3[[#This Row],[CF]]&gt;0,CONCATENATE(IF(Table3[[#This Row],[LOQ]]="*","LOQ","MRL"),IF(input_values!G245&gt;0,"×CFrisk","")),"")</f>
        <v>MRL</v>
      </c>
      <c r="H1445" s="1087">
        <f>input_values!L245</f>
        <v>0</v>
      </c>
      <c r="I1445" s="1088">
        <f>input_values!D245</f>
        <v>0</v>
      </c>
      <c r="J1445" s="1098" t="e">
        <f>IF($D$1212="",0,$D1445*Table3[[#This Row],[CF]]*chronic_consumption!$E245/1000/$C$3)</f>
        <v>#DIV/0!</v>
      </c>
      <c r="K1445" s="1098" t="e">
        <f>IF($D$1212="",0,$D1445*Table3[[#This Row],[CF]]*chronic_consumption!$F245/1000/$C$3)</f>
        <v>#DIV/0!</v>
      </c>
      <c r="L1445" s="1098" t="e">
        <f>IF($D$1212="",0,$D1445*Table3[[#This Row],[CF]]*chronic_consumption!$G245/1000/$C$3)</f>
        <v>#DIV/0!</v>
      </c>
      <c r="M1445" s="1098" t="e">
        <f>IF($D$1212="",0,$D1445*Table3[[#This Row],[CF]]*chronic_consumption!$H245/1000/$C$3)</f>
        <v>#DIV/0!</v>
      </c>
      <c r="N1445" s="1098" t="e">
        <f>IF($D$1212="",0,$D1445*Table3[[#This Row],[CF]]*chronic_consumption!$I245/1000/$C$3)</f>
        <v>#DIV/0!</v>
      </c>
      <c r="O1445" s="1098" t="e">
        <f>IF($D$1212="",0,$D1445*Table3[[#This Row],[CF]]*chronic_consumption!$J245/1000/$C$3)</f>
        <v>#DIV/0!</v>
      </c>
      <c r="P1445" s="1098" t="e">
        <f>IF($D$1212="",0,$D1445*Table3[[#This Row],[CF]]*chronic_consumption!$K245/1000/$C$3)</f>
        <v>#DIV/0!</v>
      </c>
      <c r="Q1445" s="1098" t="e">
        <f>IF($D$1212="",0,$D1445*Table3[[#This Row],[CF]]*chronic_consumption!$L245/1000/$C$3)</f>
        <v>#DIV/0!</v>
      </c>
      <c r="R1445" s="1098" t="e">
        <f>IF($D$1212="",0,$D1445*Table3[[#This Row],[CF]]*chronic_consumption!$M245/1000/$C$3)</f>
        <v>#DIV/0!</v>
      </c>
      <c r="S1445" s="1098" t="e">
        <f>IF($D$1212="",0,$D1445*Table3[[#This Row],[CF]]*chronic_consumption!$N245/1000/$C$3)</f>
        <v>#DIV/0!</v>
      </c>
      <c r="T1445" s="1098" t="e">
        <f>IF($D$1212="",0,$D1445*Table3[[#This Row],[CF]]*chronic_consumption!$O245/1000/$C$3)</f>
        <v>#DIV/0!</v>
      </c>
      <c r="U1445" s="1098" t="e">
        <f>IF($D$1212="",0,$D1445*Table3[[#This Row],[CF]]*chronic_consumption!$P245/1000/$C$3)</f>
        <v>#DIV/0!</v>
      </c>
      <c r="V1445" s="1098" t="e">
        <f>IF($D$1212="",0,$D1445*Table3[[#This Row],[CF]]*chronic_consumption!$Q245/1000/$C$3)</f>
        <v>#DIV/0!</v>
      </c>
      <c r="W1445" s="1098" t="e">
        <f>IF($D$1212="",0,$D1445*Table3[[#This Row],[CF]]*chronic_consumption!$R245/1000/$C$3)</f>
        <v>#DIV/0!</v>
      </c>
      <c r="X1445" s="1098" t="e">
        <f>IF($D$1212="",0,$D1445*Table3[[#This Row],[CF]]*chronic_consumption!$S245/1000/$C$3)</f>
        <v>#DIV/0!</v>
      </c>
      <c r="Y1445" s="1098" t="e">
        <f>IF($D$1212="",0,$D1445*Table3[[#This Row],[CF]]*chronic_consumption!$T245/1000/$C$3)</f>
        <v>#DIV/0!</v>
      </c>
      <c r="Z1445" s="1098" t="e">
        <f>IF($D$1212="",0,$D1445*Table3[[#This Row],[CF]]*chronic_consumption!$U245/1000/$C$3)</f>
        <v>#DIV/0!</v>
      </c>
      <c r="AA1445" s="1098" t="e">
        <f>IF($D$1212="",0,$D1445*Table3[[#This Row],[CF]]*chronic_consumption!$V245/1000/$C$3)</f>
        <v>#DIV/0!</v>
      </c>
      <c r="AB1445" s="1098" t="e">
        <f>IF($D$1212="",0,$D1445*Table3[[#This Row],[CF]]*chronic_consumption!$W245/1000/$C$3)</f>
        <v>#DIV/0!</v>
      </c>
      <c r="AC1445" s="1098" t="e">
        <f>IF($D$1212="",0,$D1445*Table3[[#This Row],[CF]]*chronic_consumption!$X245/1000/$C$3)</f>
        <v>#DIV/0!</v>
      </c>
      <c r="AD1445" s="1098" t="e">
        <f>IF($D$1212="",0,$D1445*Table3[[#This Row],[CF]]*chronic_consumption!$Y245/1000/$C$3)</f>
        <v>#DIV/0!</v>
      </c>
      <c r="AE1445" s="1098" t="e">
        <f>IF($D$1212="",0,$D1445*Table3[[#This Row],[CF]]*chronic_consumption!$Z245/1000/$C$3)</f>
        <v>#DIV/0!</v>
      </c>
      <c r="AF1445" s="1098" t="e">
        <f>IF($D$1212="",0,$D1445*Table3[[#This Row],[CF]]*chronic_consumption!$AA245/1000/$C$3)</f>
        <v>#DIV/0!</v>
      </c>
      <c r="AG1445" s="1098" t="e">
        <f>IF($D$1212="",0,$D1445*Table3[[#This Row],[CF]]*chronic_consumption!$AB245/1000/$C$3)</f>
        <v>#DIV/0!</v>
      </c>
      <c r="AH1445" s="1098" t="e">
        <f>IF($D$1212="",0,$D1445*Table3[[#This Row],[CF]]*chronic_consumption!$AC245/1000/$C$3)</f>
        <v>#DIV/0!</v>
      </c>
      <c r="AI1445" s="1098" t="e">
        <f>IF($D$1212="",0,$D1445*Table3[[#This Row],[CF]]*chronic_consumption!$AD245/1000/$C$3)</f>
        <v>#DIV/0!</v>
      </c>
      <c r="AJ1445" s="1098" t="e">
        <f>IF($D$1212="",0,$D1445*Table3[[#This Row],[CF]]*chronic_consumption!$AE245/1000/$C$3)</f>
        <v>#DIV/0!</v>
      </c>
      <c r="AK1445" s="1098" t="e">
        <f>IF($D$1212="",0,$D1445*Table3[[#This Row],[CF]]*chronic_consumption!$AF245/1000/$C$3)</f>
        <v>#DIV/0!</v>
      </c>
      <c r="AL1445" s="1098" t="e">
        <f>IF($D$1212="",0,$D1445*Table3[[#This Row],[CF]]*chronic_consumption!$AG245/1000/$C$3)</f>
        <v>#DIV/0!</v>
      </c>
      <c r="AM1445" s="1098" t="e">
        <f>IF($D$1212="",0,$D1445*Table3[[#This Row],[CF]]*chronic_consumption!$AH245/1000/$C$3)</f>
        <v>#DIV/0!</v>
      </c>
      <c r="AN1445" s="1098" t="e">
        <f>IF($D$1212="",0,$D1445*Table3[[#This Row],[CF]]*chronic_consumption!$AI245/1000/$C$3)</f>
        <v>#DIV/0!</v>
      </c>
      <c r="AO1445" s="1098" t="e">
        <f>IF($D$1212="",0,$D1445*Table3[[#This Row],[CF]]*chronic_consumption!$AJ245/1000/$C$3)</f>
        <v>#DIV/0!</v>
      </c>
      <c r="AP1445" s="1098" t="e">
        <f>IF($D$1212="",0,$D1445*Table3[[#This Row],[CF]]*chronic_consumption!$AK245/1000/$C$3)</f>
        <v>#DIV/0!</v>
      </c>
      <c r="AQ1445" s="1098" t="e">
        <f>IF($D$1212="",0,$D1445*Table3[[#This Row],[CF]]*chronic_consumption!$AL245/1000/$C$3)</f>
        <v>#DIV/0!</v>
      </c>
      <c r="AR1445" s="1098" t="e">
        <f>IF($D$1212="",0,$D1445*Table3[[#This Row],[CF]]*chronic_consumption!$AM245/1000/$C$3)</f>
        <v>#DIV/0!</v>
      </c>
      <c r="AS1445" s="1098" t="e">
        <f>IF($D$1212="",0,$D1445*Table3[[#This Row],[CF]]*chronic_consumption!$AN245/1000/$C$3)</f>
        <v>#DIV/0!</v>
      </c>
      <c r="AT1445" s="1098" t="e">
        <f>IF($D$1212="",0,$D1445*Table3[[#This Row],[CF]]*chronic_consumption!$AO245/1000/$C$3)</f>
        <v>#DIV/0!</v>
      </c>
      <c r="AU1445" s="1099" t="e">
        <f t="shared" si="872"/>
        <v>#DIV/0!</v>
      </c>
      <c r="AV1445" s="1099" t="e">
        <f t="shared" si="872"/>
        <v>#DIV/0!</v>
      </c>
      <c r="AW1445" s="1099" t="e">
        <f t="shared" si="872"/>
        <v>#DIV/0!</v>
      </c>
      <c r="AX1445" s="1099" t="e">
        <f t="shared" si="872"/>
        <v>#DIV/0!</v>
      </c>
      <c r="AY1445" s="1099" t="e">
        <f t="shared" si="872"/>
        <v>#DIV/0!</v>
      </c>
      <c r="AZ1445" s="1091" t="s">
        <v>1012</v>
      </c>
      <c r="BA1445" s="1097" t="e">
        <f>IF(Table3[[#This Row],[max]]&lt;&gt;0,RANK(Table3[[#This Row],[max]],Table3[max],0),"")</f>
        <v>#DIV/0!</v>
      </c>
      <c r="BB1445" s="1096" t="e">
        <f t="shared" si="865"/>
        <v>#DIV/0!</v>
      </c>
      <c r="BC1445" s="1096" t="e">
        <f t="shared" ca="1" si="866"/>
        <v>#DIV/0!</v>
      </c>
      <c r="BD1445" s="1096" t="e">
        <f>IF(Table3[[#This Row],[max]]&gt;0,Table3[[#This Row],[Crop groups and examples of individual products within the groups to which the MRLs apply]],"")</f>
        <v>#DIV/0!</v>
      </c>
    </row>
    <row r="1446" spans="2:56" x14ac:dyDescent="0.2">
      <c r="B1446" s="23">
        <f t="shared" si="870"/>
        <v>500040</v>
      </c>
      <c r="C1446" s="23" t="str">
        <f t="shared" si="870"/>
        <v>Common millet/proso millet</v>
      </c>
      <c r="D1446" s="1084">
        <f>input_values!E246</f>
        <v>0</v>
      </c>
      <c r="E1446" s="1084">
        <f>input_values!F246</f>
        <v>0</v>
      </c>
      <c r="F1446" s="1085">
        <f>input_values!W246</f>
        <v>1</v>
      </c>
      <c r="G1446" s="1085" t="str">
        <f>IF(Table3[[#This Row],[CF]]&gt;0,CONCATENATE(IF(Table3[[#This Row],[LOQ]]="*","LOQ","MRL"),IF(input_values!G246&gt;0,"×CFrisk","")),"")</f>
        <v>MRL</v>
      </c>
      <c r="H1446" s="1087">
        <f>input_values!L246</f>
        <v>0</v>
      </c>
      <c r="I1446" s="1088">
        <f>input_values!D246</f>
        <v>0</v>
      </c>
      <c r="J1446" s="1098" t="e">
        <f>IF($D$1212="",0,$D1446*Table3[[#This Row],[CF]]*chronic_consumption!$E246/1000/$C$3)</f>
        <v>#DIV/0!</v>
      </c>
      <c r="K1446" s="1098" t="e">
        <f>IF($D$1212="",0,$D1446*Table3[[#This Row],[CF]]*chronic_consumption!$F246/1000/$C$3)</f>
        <v>#DIV/0!</v>
      </c>
      <c r="L1446" s="1098" t="e">
        <f>IF($D$1212="",0,$D1446*Table3[[#This Row],[CF]]*chronic_consumption!$G246/1000/$C$3)</f>
        <v>#DIV/0!</v>
      </c>
      <c r="M1446" s="1098" t="e">
        <f>IF($D$1212="",0,$D1446*Table3[[#This Row],[CF]]*chronic_consumption!$H246/1000/$C$3)</f>
        <v>#DIV/0!</v>
      </c>
      <c r="N1446" s="1098" t="e">
        <f>IF($D$1212="",0,$D1446*Table3[[#This Row],[CF]]*chronic_consumption!$I246/1000/$C$3)</f>
        <v>#DIV/0!</v>
      </c>
      <c r="O1446" s="1098" t="e">
        <f>IF($D$1212="",0,$D1446*Table3[[#This Row],[CF]]*chronic_consumption!$J246/1000/$C$3)</f>
        <v>#DIV/0!</v>
      </c>
      <c r="P1446" s="1098" t="e">
        <f>IF($D$1212="",0,$D1446*Table3[[#This Row],[CF]]*chronic_consumption!$K246/1000/$C$3)</f>
        <v>#DIV/0!</v>
      </c>
      <c r="Q1446" s="1098" t="e">
        <f>IF($D$1212="",0,$D1446*Table3[[#This Row],[CF]]*chronic_consumption!$L246/1000/$C$3)</f>
        <v>#DIV/0!</v>
      </c>
      <c r="R1446" s="1098" t="e">
        <f>IF($D$1212="",0,$D1446*Table3[[#This Row],[CF]]*chronic_consumption!$M246/1000/$C$3)</f>
        <v>#DIV/0!</v>
      </c>
      <c r="S1446" s="1098" t="e">
        <f>IF($D$1212="",0,$D1446*Table3[[#This Row],[CF]]*chronic_consumption!$N246/1000/$C$3)</f>
        <v>#DIV/0!</v>
      </c>
      <c r="T1446" s="1098" t="e">
        <f>IF($D$1212="",0,$D1446*Table3[[#This Row],[CF]]*chronic_consumption!$O246/1000/$C$3)</f>
        <v>#DIV/0!</v>
      </c>
      <c r="U1446" s="1098" t="e">
        <f>IF($D$1212="",0,$D1446*Table3[[#This Row],[CF]]*chronic_consumption!$P246/1000/$C$3)</f>
        <v>#DIV/0!</v>
      </c>
      <c r="V1446" s="1098" t="e">
        <f>IF($D$1212="",0,$D1446*Table3[[#This Row],[CF]]*chronic_consumption!$Q246/1000/$C$3)</f>
        <v>#DIV/0!</v>
      </c>
      <c r="W1446" s="1098" t="e">
        <f>IF($D$1212="",0,$D1446*Table3[[#This Row],[CF]]*chronic_consumption!$R246/1000/$C$3)</f>
        <v>#DIV/0!</v>
      </c>
      <c r="X1446" s="1098" t="e">
        <f>IF($D$1212="",0,$D1446*Table3[[#This Row],[CF]]*chronic_consumption!$S246/1000/$C$3)</f>
        <v>#DIV/0!</v>
      </c>
      <c r="Y1446" s="1098" t="e">
        <f>IF($D$1212="",0,$D1446*Table3[[#This Row],[CF]]*chronic_consumption!$T246/1000/$C$3)</f>
        <v>#DIV/0!</v>
      </c>
      <c r="Z1446" s="1098" t="e">
        <f>IF($D$1212="",0,$D1446*Table3[[#This Row],[CF]]*chronic_consumption!$U246/1000/$C$3)</f>
        <v>#DIV/0!</v>
      </c>
      <c r="AA1446" s="1098" t="e">
        <f>IF($D$1212="",0,$D1446*Table3[[#This Row],[CF]]*chronic_consumption!$V246/1000/$C$3)</f>
        <v>#DIV/0!</v>
      </c>
      <c r="AB1446" s="1098" t="e">
        <f>IF($D$1212="",0,$D1446*Table3[[#This Row],[CF]]*chronic_consumption!$W246/1000/$C$3)</f>
        <v>#DIV/0!</v>
      </c>
      <c r="AC1446" s="1098" t="e">
        <f>IF($D$1212="",0,$D1446*Table3[[#This Row],[CF]]*chronic_consumption!$X246/1000/$C$3)</f>
        <v>#DIV/0!</v>
      </c>
      <c r="AD1446" s="1098" t="e">
        <f>IF($D$1212="",0,$D1446*Table3[[#This Row],[CF]]*chronic_consumption!$Y246/1000/$C$3)</f>
        <v>#DIV/0!</v>
      </c>
      <c r="AE1446" s="1098" t="e">
        <f>IF($D$1212="",0,$D1446*Table3[[#This Row],[CF]]*chronic_consumption!$Z246/1000/$C$3)</f>
        <v>#DIV/0!</v>
      </c>
      <c r="AF1446" s="1098" t="e">
        <f>IF($D$1212="",0,$D1446*Table3[[#This Row],[CF]]*chronic_consumption!$AA246/1000/$C$3)</f>
        <v>#DIV/0!</v>
      </c>
      <c r="AG1446" s="1098" t="e">
        <f>IF($D$1212="",0,$D1446*Table3[[#This Row],[CF]]*chronic_consumption!$AB246/1000/$C$3)</f>
        <v>#DIV/0!</v>
      </c>
      <c r="AH1446" s="1098" t="e">
        <f>IF($D$1212="",0,$D1446*Table3[[#This Row],[CF]]*chronic_consumption!$AC246/1000/$C$3)</f>
        <v>#DIV/0!</v>
      </c>
      <c r="AI1446" s="1098" t="e">
        <f>IF($D$1212="",0,$D1446*Table3[[#This Row],[CF]]*chronic_consumption!$AD246/1000/$C$3)</f>
        <v>#DIV/0!</v>
      </c>
      <c r="AJ1446" s="1098" t="e">
        <f>IF($D$1212="",0,$D1446*Table3[[#This Row],[CF]]*chronic_consumption!$AE246/1000/$C$3)</f>
        <v>#DIV/0!</v>
      </c>
      <c r="AK1446" s="1098" t="e">
        <f>IF($D$1212="",0,$D1446*Table3[[#This Row],[CF]]*chronic_consumption!$AF246/1000/$C$3)</f>
        <v>#DIV/0!</v>
      </c>
      <c r="AL1446" s="1098" t="e">
        <f>IF($D$1212="",0,$D1446*Table3[[#This Row],[CF]]*chronic_consumption!$AG246/1000/$C$3)</f>
        <v>#DIV/0!</v>
      </c>
      <c r="AM1446" s="1098" t="e">
        <f>IF($D$1212="",0,$D1446*Table3[[#This Row],[CF]]*chronic_consumption!$AH246/1000/$C$3)</f>
        <v>#DIV/0!</v>
      </c>
      <c r="AN1446" s="1098" t="e">
        <f>IF($D$1212="",0,$D1446*Table3[[#This Row],[CF]]*chronic_consumption!$AI246/1000/$C$3)</f>
        <v>#DIV/0!</v>
      </c>
      <c r="AO1446" s="1098" t="e">
        <f>IF($D$1212="",0,$D1446*Table3[[#This Row],[CF]]*chronic_consumption!$AJ246/1000/$C$3)</f>
        <v>#DIV/0!</v>
      </c>
      <c r="AP1446" s="1098" t="e">
        <f>IF($D$1212="",0,$D1446*Table3[[#This Row],[CF]]*chronic_consumption!$AK246/1000/$C$3)</f>
        <v>#DIV/0!</v>
      </c>
      <c r="AQ1446" s="1098" t="e">
        <f>IF($D$1212="",0,$D1446*Table3[[#This Row],[CF]]*chronic_consumption!$AL246/1000/$C$3)</f>
        <v>#DIV/0!</v>
      </c>
      <c r="AR1446" s="1098" t="e">
        <f>IF($D$1212="",0,$D1446*Table3[[#This Row],[CF]]*chronic_consumption!$AM246/1000/$C$3)</f>
        <v>#DIV/0!</v>
      </c>
      <c r="AS1446" s="1098" t="e">
        <f>IF($D$1212="",0,$D1446*Table3[[#This Row],[CF]]*chronic_consumption!$AN246/1000/$C$3)</f>
        <v>#DIV/0!</v>
      </c>
      <c r="AT1446" s="1098" t="e">
        <f>IF($D$1212="",0,$D1446*Table3[[#This Row],[CF]]*chronic_consumption!$AO246/1000/$C$3)</f>
        <v>#DIV/0!</v>
      </c>
      <c r="AU1446" s="1099" t="e">
        <f t="shared" si="872"/>
        <v>#DIV/0!</v>
      </c>
      <c r="AV1446" s="1099" t="e">
        <f t="shared" si="872"/>
        <v>#DIV/0!</v>
      </c>
      <c r="AW1446" s="1099" t="e">
        <f t="shared" si="872"/>
        <v>#DIV/0!</v>
      </c>
      <c r="AX1446" s="1099" t="e">
        <f t="shared" si="872"/>
        <v>#DIV/0!</v>
      </c>
      <c r="AY1446" s="1099" t="e">
        <f t="shared" si="872"/>
        <v>#DIV/0!</v>
      </c>
      <c r="AZ1446" s="1091" t="s">
        <v>1012</v>
      </c>
      <c r="BA1446" s="1097" t="e">
        <f>IF(Table3[[#This Row],[max]]&lt;&gt;0,RANK(Table3[[#This Row],[max]],Table3[max],0),"")</f>
        <v>#DIV/0!</v>
      </c>
      <c r="BB1446" s="1096" t="e">
        <f t="shared" si="865"/>
        <v>#DIV/0!</v>
      </c>
      <c r="BC1446" s="1096" t="e">
        <f t="shared" ca="1" si="866"/>
        <v>#DIV/0!</v>
      </c>
      <c r="BD1446" s="1096" t="e">
        <f>IF(Table3[[#This Row],[max]]&gt;0,Table3[[#This Row],[Crop groups and examples of individual products within the groups to which the MRLs apply]],"")</f>
        <v>#DIV/0!</v>
      </c>
    </row>
    <row r="1447" spans="2:56" x14ac:dyDescent="0.2">
      <c r="B1447" s="23">
        <f t="shared" si="870"/>
        <v>500050</v>
      </c>
      <c r="C1447" s="23" t="str">
        <f t="shared" si="870"/>
        <v>Oat</v>
      </c>
      <c r="D1447" s="1084">
        <f>input_values!E247</f>
        <v>0</v>
      </c>
      <c r="E1447" s="1084">
        <f>input_values!F247</f>
        <v>0</v>
      </c>
      <c r="F1447" s="1085">
        <f>input_values!W247</f>
        <v>1</v>
      </c>
      <c r="G1447" s="1085" t="str">
        <f>IF(Table3[[#This Row],[CF]]&gt;0,CONCATENATE(IF(Table3[[#This Row],[LOQ]]="*","LOQ","MRL"),IF(input_values!G247&gt;0,"×CFrisk","")),"")</f>
        <v>MRL</v>
      </c>
      <c r="H1447" s="1087">
        <f>input_values!L247</f>
        <v>0</v>
      </c>
      <c r="I1447" s="1088">
        <f>input_values!D247</f>
        <v>0</v>
      </c>
      <c r="J1447" s="1098" t="e">
        <f>IF($D$1212="",0,$D1447*Table3[[#This Row],[CF]]*chronic_consumption!$E247/1000/$C$3)</f>
        <v>#DIV/0!</v>
      </c>
      <c r="K1447" s="1098" t="e">
        <f>IF($D$1212="",0,$D1447*Table3[[#This Row],[CF]]*chronic_consumption!$F247/1000/$C$3)</f>
        <v>#DIV/0!</v>
      </c>
      <c r="L1447" s="1098" t="e">
        <f>IF($D$1212="",0,$D1447*Table3[[#This Row],[CF]]*chronic_consumption!$G247/1000/$C$3)</f>
        <v>#DIV/0!</v>
      </c>
      <c r="M1447" s="1098" t="e">
        <f>IF($D$1212="",0,$D1447*Table3[[#This Row],[CF]]*chronic_consumption!$H247/1000/$C$3)</f>
        <v>#DIV/0!</v>
      </c>
      <c r="N1447" s="1098" t="e">
        <f>IF($D$1212="",0,$D1447*Table3[[#This Row],[CF]]*chronic_consumption!$I247/1000/$C$3)</f>
        <v>#DIV/0!</v>
      </c>
      <c r="O1447" s="1098" t="e">
        <f>IF($D$1212="",0,$D1447*Table3[[#This Row],[CF]]*chronic_consumption!$J247/1000/$C$3)</f>
        <v>#DIV/0!</v>
      </c>
      <c r="P1447" s="1098" t="e">
        <f>IF($D$1212="",0,$D1447*Table3[[#This Row],[CF]]*chronic_consumption!$K247/1000/$C$3)</f>
        <v>#DIV/0!</v>
      </c>
      <c r="Q1447" s="1098" t="e">
        <f>IF($D$1212="",0,$D1447*Table3[[#This Row],[CF]]*chronic_consumption!$L247/1000/$C$3)</f>
        <v>#DIV/0!</v>
      </c>
      <c r="R1447" s="1098" t="e">
        <f>IF($D$1212="",0,$D1447*Table3[[#This Row],[CF]]*chronic_consumption!$M247/1000/$C$3)</f>
        <v>#DIV/0!</v>
      </c>
      <c r="S1447" s="1098" t="e">
        <f>IF($D$1212="",0,$D1447*Table3[[#This Row],[CF]]*chronic_consumption!$N247/1000/$C$3)</f>
        <v>#DIV/0!</v>
      </c>
      <c r="T1447" s="1098" t="e">
        <f>IF($D$1212="",0,$D1447*Table3[[#This Row],[CF]]*chronic_consumption!$O247/1000/$C$3)</f>
        <v>#DIV/0!</v>
      </c>
      <c r="U1447" s="1098" t="e">
        <f>IF($D$1212="",0,$D1447*Table3[[#This Row],[CF]]*chronic_consumption!$P247/1000/$C$3)</f>
        <v>#DIV/0!</v>
      </c>
      <c r="V1447" s="1098" t="e">
        <f>IF($D$1212="",0,$D1447*Table3[[#This Row],[CF]]*chronic_consumption!$Q247/1000/$C$3)</f>
        <v>#DIV/0!</v>
      </c>
      <c r="W1447" s="1098" t="e">
        <f>IF($D$1212="",0,$D1447*Table3[[#This Row],[CF]]*chronic_consumption!$R247/1000/$C$3)</f>
        <v>#DIV/0!</v>
      </c>
      <c r="X1447" s="1098" t="e">
        <f>IF($D$1212="",0,$D1447*Table3[[#This Row],[CF]]*chronic_consumption!$S247/1000/$C$3)</f>
        <v>#DIV/0!</v>
      </c>
      <c r="Y1447" s="1098" t="e">
        <f>IF($D$1212="",0,$D1447*Table3[[#This Row],[CF]]*chronic_consumption!$T247/1000/$C$3)</f>
        <v>#DIV/0!</v>
      </c>
      <c r="Z1447" s="1098" t="e">
        <f>IF($D$1212="",0,$D1447*Table3[[#This Row],[CF]]*chronic_consumption!$U247/1000/$C$3)</f>
        <v>#DIV/0!</v>
      </c>
      <c r="AA1447" s="1098" t="e">
        <f>IF($D$1212="",0,$D1447*Table3[[#This Row],[CF]]*chronic_consumption!$V247/1000/$C$3)</f>
        <v>#DIV/0!</v>
      </c>
      <c r="AB1447" s="1098" t="e">
        <f>IF($D$1212="",0,$D1447*Table3[[#This Row],[CF]]*chronic_consumption!$W247/1000/$C$3)</f>
        <v>#DIV/0!</v>
      </c>
      <c r="AC1447" s="1098" t="e">
        <f>IF($D$1212="",0,$D1447*Table3[[#This Row],[CF]]*chronic_consumption!$X247/1000/$C$3)</f>
        <v>#DIV/0!</v>
      </c>
      <c r="AD1447" s="1098" t="e">
        <f>IF($D$1212="",0,$D1447*Table3[[#This Row],[CF]]*chronic_consumption!$Y247/1000/$C$3)</f>
        <v>#DIV/0!</v>
      </c>
      <c r="AE1447" s="1098" t="e">
        <f>IF($D$1212="",0,$D1447*Table3[[#This Row],[CF]]*chronic_consumption!$Z247/1000/$C$3)</f>
        <v>#DIV/0!</v>
      </c>
      <c r="AF1447" s="1098" t="e">
        <f>IF($D$1212="",0,$D1447*Table3[[#This Row],[CF]]*chronic_consumption!$AA247/1000/$C$3)</f>
        <v>#DIV/0!</v>
      </c>
      <c r="AG1447" s="1098" t="e">
        <f>IF($D$1212="",0,$D1447*Table3[[#This Row],[CF]]*chronic_consumption!$AB247/1000/$C$3)</f>
        <v>#DIV/0!</v>
      </c>
      <c r="AH1447" s="1098" t="e">
        <f>IF($D$1212="",0,$D1447*Table3[[#This Row],[CF]]*chronic_consumption!$AC247/1000/$C$3)</f>
        <v>#DIV/0!</v>
      </c>
      <c r="AI1447" s="1098" t="e">
        <f>IF($D$1212="",0,$D1447*Table3[[#This Row],[CF]]*chronic_consumption!$AD247/1000/$C$3)</f>
        <v>#DIV/0!</v>
      </c>
      <c r="AJ1447" s="1098" t="e">
        <f>IF($D$1212="",0,$D1447*Table3[[#This Row],[CF]]*chronic_consumption!$AE247/1000/$C$3)</f>
        <v>#DIV/0!</v>
      </c>
      <c r="AK1447" s="1098" t="e">
        <f>IF($D$1212="",0,$D1447*Table3[[#This Row],[CF]]*chronic_consumption!$AF247/1000/$C$3)</f>
        <v>#DIV/0!</v>
      </c>
      <c r="AL1447" s="1098" t="e">
        <f>IF($D$1212="",0,$D1447*Table3[[#This Row],[CF]]*chronic_consumption!$AG247/1000/$C$3)</f>
        <v>#DIV/0!</v>
      </c>
      <c r="AM1447" s="1098" t="e">
        <f>IF($D$1212="",0,$D1447*Table3[[#This Row],[CF]]*chronic_consumption!$AH247/1000/$C$3)</f>
        <v>#DIV/0!</v>
      </c>
      <c r="AN1447" s="1098" t="e">
        <f>IF($D$1212="",0,$D1447*Table3[[#This Row],[CF]]*chronic_consumption!$AI247/1000/$C$3)</f>
        <v>#DIV/0!</v>
      </c>
      <c r="AO1447" s="1098" t="e">
        <f>IF($D$1212="",0,$D1447*Table3[[#This Row],[CF]]*chronic_consumption!$AJ247/1000/$C$3)</f>
        <v>#DIV/0!</v>
      </c>
      <c r="AP1447" s="1098" t="e">
        <f>IF($D$1212="",0,$D1447*Table3[[#This Row],[CF]]*chronic_consumption!$AK247/1000/$C$3)</f>
        <v>#DIV/0!</v>
      </c>
      <c r="AQ1447" s="1098" t="e">
        <f>IF($D$1212="",0,$D1447*Table3[[#This Row],[CF]]*chronic_consumption!$AL247/1000/$C$3)</f>
        <v>#DIV/0!</v>
      </c>
      <c r="AR1447" s="1098" t="e">
        <f>IF($D$1212="",0,$D1447*Table3[[#This Row],[CF]]*chronic_consumption!$AM247/1000/$C$3)</f>
        <v>#DIV/0!</v>
      </c>
      <c r="AS1447" s="1098" t="e">
        <f>IF($D$1212="",0,$D1447*Table3[[#This Row],[CF]]*chronic_consumption!$AN247/1000/$C$3)</f>
        <v>#DIV/0!</v>
      </c>
      <c r="AT1447" s="1098" t="e">
        <f>IF($D$1212="",0,$D1447*Table3[[#This Row],[CF]]*chronic_consumption!$AO247/1000/$C$3)</f>
        <v>#DIV/0!</v>
      </c>
      <c r="AU1447" s="1099" t="e">
        <f t="shared" si="872"/>
        <v>#DIV/0!</v>
      </c>
      <c r="AV1447" s="1099" t="e">
        <f t="shared" si="872"/>
        <v>#DIV/0!</v>
      </c>
      <c r="AW1447" s="1099" t="e">
        <f t="shared" si="872"/>
        <v>#DIV/0!</v>
      </c>
      <c r="AX1447" s="1099" t="e">
        <f t="shared" si="872"/>
        <v>#DIV/0!</v>
      </c>
      <c r="AY1447" s="1099" t="e">
        <f t="shared" si="872"/>
        <v>#DIV/0!</v>
      </c>
      <c r="AZ1447" s="1091" t="s">
        <v>1012</v>
      </c>
      <c r="BA1447" s="1097" t="e">
        <f>IF(Table3[[#This Row],[max]]&lt;&gt;0,RANK(Table3[[#This Row],[max]],Table3[max],0),"")</f>
        <v>#DIV/0!</v>
      </c>
      <c r="BB1447" s="1096" t="e">
        <f t="shared" si="865"/>
        <v>#DIV/0!</v>
      </c>
      <c r="BC1447" s="1096" t="e">
        <f t="shared" ca="1" si="866"/>
        <v>#DIV/0!</v>
      </c>
      <c r="BD1447" s="1096" t="e">
        <f>IF(Table3[[#This Row],[max]]&gt;0,Table3[[#This Row],[Crop groups and examples of individual products within the groups to which the MRLs apply]],"")</f>
        <v>#DIV/0!</v>
      </c>
    </row>
    <row r="1448" spans="2:56" x14ac:dyDescent="0.2">
      <c r="B1448" s="23">
        <f t="shared" si="870"/>
        <v>500060</v>
      </c>
      <c r="C1448" s="23" t="str">
        <f t="shared" si="870"/>
        <v>Rice</v>
      </c>
      <c r="D1448" s="1084">
        <f>input_values!E248</f>
        <v>0</v>
      </c>
      <c r="E1448" s="1084">
        <f>input_values!F248</f>
        <v>0</v>
      </c>
      <c r="F1448" s="1085">
        <f>input_values!W248</f>
        <v>1</v>
      </c>
      <c r="G1448" s="1085" t="str">
        <f>IF(Table3[[#This Row],[CF]]&gt;0,CONCATENATE(IF(Table3[[#This Row],[LOQ]]="*","LOQ","MRL"),IF(input_values!G248&gt;0,"×CFrisk","")),"")</f>
        <v>MRL</v>
      </c>
      <c r="H1448" s="1087">
        <f>input_values!L248</f>
        <v>0</v>
      </c>
      <c r="I1448" s="1088">
        <f>input_values!D248</f>
        <v>0</v>
      </c>
      <c r="J1448" s="1098" t="e">
        <f>IF($D$1212="",0,$D1448*Table3[[#This Row],[CF]]*chronic_consumption!$E248/1000/$C$3)</f>
        <v>#DIV/0!</v>
      </c>
      <c r="K1448" s="1098" t="e">
        <f>IF($D$1212="",0,$D1448*Table3[[#This Row],[CF]]*chronic_consumption!$F248/1000/$C$3)</f>
        <v>#DIV/0!</v>
      </c>
      <c r="L1448" s="1098" t="e">
        <f>IF($D$1212="",0,$D1448*Table3[[#This Row],[CF]]*chronic_consumption!$G248/1000/$C$3)</f>
        <v>#DIV/0!</v>
      </c>
      <c r="M1448" s="1098" t="e">
        <f>IF($D$1212="",0,$D1448*Table3[[#This Row],[CF]]*chronic_consumption!$H248/1000/$C$3)</f>
        <v>#DIV/0!</v>
      </c>
      <c r="N1448" s="1098" t="e">
        <f>IF($D$1212="",0,$D1448*Table3[[#This Row],[CF]]*chronic_consumption!$I248/1000/$C$3)</f>
        <v>#DIV/0!</v>
      </c>
      <c r="O1448" s="1098" t="e">
        <f>IF($D$1212="",0,$D1448*Table3[[#This Row],[CF]]*chronic_consumption!$J248/1000/$C$3)</f>
        <v>#DIV/0!</v>
      </c>
      <c r="P1448" s="1098" t="e">
        <f>IF($D$1212="",0,$D1448*Table3[[#This Row],[CF]]*chronic_consumption!$K248/1000/$C$3)</f>
        <v>#DIV/0!</v>
      </c>
      <c r="Q1448" s="1098" t="e">
        <f>IF($D$1212="",0,$D1448*Table3[[#This Row],[CF]]*chronic_consumption!$L248/1000/$C$3)</f>
        <v>#DIV/0!</v>
      </c>
      <c r="R1448" s="1098" t="e">
        <f>IF($D$1212="",0,$D1448*Table3[[#This Row],[CF]]*chronic_consumption!$M248/1000/$C$3)</f>
        <v>#DIV/0!</v>
      </c>
      <c r="S1448" s="1098" t="e">
        <f>IF($D$1212="",0,$D1448*Table3[[#This Row],[CF]]*chronic_consumption!$N248/1000/$C$3)</f>
        <v>#DIV/0!</v>
      </c>
      <c r="T1448" s="1098" t="e">
        <f>IF($D$1212="",0,$D1448*Table3[[#This Row],[CF]]*chronic_consumption!$O248/1000/$C$3)</f>
        <v>#DIV/0!</v>
      </c>
      <c r="U1448" s="1098" t="e">
        <f>IF($D$1212="",0,$D1448*Table3[[#This Row],[CF]]*chronic_consumption!$P248/1000/$C$3)</f>
        <v>#DIV/0!</v>
      </c>
      <c r="V1448" s="1098" t="e">
        <f>IF($D$1212="",0,$D1448*Table3[[#This Row],[CF]]*chronic_consumption!$Q248/1000/$C$3)</f>
        <v>#DIV/0!</v>
      </c>
      <c r="W1448" s="1098" t="e">
        <f>IF($D$1212="",0,$D1448*Table3[[#This Row],[CF]]*chronic_consumption!$R248/1000/$C$3)</f>
        <v>#DIV/0!</v>
      </c>
      <c r="X1448" s="1098" t="e">
        <f>IF($D$1212="",0,$D1448*Table3[[#This Row],[CF]]*chronic_consumption!$S248/1000/$C$3)</f>
        <v>#DIV/0!</v>
      </c>
      <c r="Y1448" s="1098" t="e">
        <f>IF($D$1212="",0,$D1448*Table3[[#This Row],[CF]]*chronic_consumption!$T248/1000/$C$3)</f>
        <v>#DIV/0!</v>
      </c>
      <c r="Z1448" s="1098" t="e">
        <f>IF($D$1212="",0,$D1448*Table3[[#This Row],[CF]]*chronic_consumption!$U248/1000/$C$3)</f>
        <v>#DIV/0!</v>
      </c>
      <c r="AA1448" s="1098" t="e">
        <f>IF($D$1212="",0,$D1448*Table3[[#This Row],[CF]]*chronic_consumption!$V248/1000/$C$3)</f>
        <v>#DIV/0!</v>
      </c>
      <c r="AB1448" s="1098" t="e">
        <f>IF($D$1212="",0,$D1448*Table3[[#This Row],[CF]]*chronic_consumption!$W248/1000/$C$3)</f>
        <v>#DIV/0!</v>
      </c>
      <c r="AC1448" s="1098" t="e">
        <f>IF($D$1212="",0,$D1448*Table3[[#This Row],[CF]]*chronic_consumption!$X248/1000/$C$3)</f>
        <v>#DIV/0!</v>
      </c>
      <c r="AD1448" s="1098" t="e">
        <f>IF($D$1212="",0,$D1448*Table3[[#This Row],[CF]]*chronic_consumption!$Y248/1000/$C$3)</f>
        <v>#DIV/0!</v>
      </c>
      <c r="AE1448" s="1098" t="e">
        <f>IF($D$1212="",0,$D1448*Table3[[#This Row],[CF]]*chronic_consumption!$Z248/1000/$C$3)</f>
        <v>#DIV/0!</v>
      </c>
      <c r="AF1448" s="1098" t="e">
        <f>IF($D$1212="",0,$D1448*Table3[[#This Row],[CF]]*chronic_consumption!$AA248/1000/$C$3)</f>
        <v>#DIV/0!</v>
      </c>
      <c r="AG1448" s="1098" t="e">
        <f>IF($D$1212="",0,$D1448*Table3[[#This Row],[CF]]*chronic_consumption!$AB248/1000/$C$3)</f>
        <v>#DIV/0!</v>
      </c>
      <c r="AH1448" s="1098" t="e">
        <f>IF($D$1212="",0,$D1448*Table3[[#This Row],[CF]]*chronic_consumption!$AC248/1000/$C$3)</f>
        <v>#DIV/0!</v>
      </c>
      <c r="AI1448" s="1098" t="e">
        <f>IF($D$1212="",0,$D1448*Table3[[#This Row],[CF]]*chronic_consumption!$AD248/1000/$C$3)</f>
        <v>#DIV/0!</v>
      </c>
      <c r="AJ1448" s="1098" t="e">
        <f>IF($D$1212="",0,$D1448*Table3[[#This Row],[CF]]*chronic_consumption!$AE248/1000/$C$3)</f>
        <v>#DIV/0!</v>
      </c>
      <c r="AK1448" s="1098" t="e">
        <f>IF($D$1212="",0,$D1448*Table3[[#This Row],[CF]]*chronic_consumption!$AF248/1000/$C$3)</f>
        <v>#DIV/0!</v>
      </c>
      <c r="AL1448" s="1098" t="e">
        <f>IF($D$1212="",0,$D1448*Table3[[#This Row],[CF]]*chronic_consumption!$AG248/1000/$C$3)</f>
        <v>#DIV/0!</v>
      </c>
      <c r="AM1448" s="1098" t="e">
        <f>IF($D$1212="",0,$D1448*Table3[[#This Row],[CF]]*chronic_consumption!$AH248/1000/$C$3)</f>
        <v>#DIV/0!</v>
      </c>
      <c r="AN1448" s="1098" t="e">
        <f>IF($D$1212="",0,$D1448*Table3[[#This Row],[CF]]*chronic_consumption!$AI248/1000/$C$3)</f>
        <v>#DIV/0!</v>
      </c>
      <c r="AO1448" s="1098" t="e">
        <f>IF($D$1212="",0,$D1448*Table3[[#This Row],[CF]]*chronic_consumption!$AJ248/1000/$C$3)</f>
        <v>#DIV/0!</v>
      </c>
      <c r="AP1448" s="1098" t="e">
        <f>IF($D$1212="",0,$D1448*Table3[[#This Row],[CF]]*chronic_consumption!$AK248/1000/$C$3)</f>
        <v>#DIV/0!</v>
      </c>
      <c r="AQ1448" s="1098" t="e">
        <f>IF($D$1212="",0,$D1448*Table3[[#This Row],[CF]]*chronic_consumption!$AL248/1000/$C$3)</f>
        <v>#DIV/0!</v>
      </c>
      <c r="AR1448" s="1098" t="e">
        <f>IF($D$1212="",0,$D1448*Table3[[#This Row],[CF]]*chronic_consumption!$AM248/1000/$C$3)</f>
        <v>#DIV/0!</v>
      </c>
      <c r="AS1448" s="1098" t="e">
        <f>IF($D$1212="",0,$D1448*Table3[[#This Row],[CF]]*chronic_consumption!$AN248/1000/$C$3)</f>
        <v>#DIV/0!</v>
      </c>
      <c r="AT1448" s="1098" t="e">
        <f>IF($D$1212="",0,$D1448*Table3[[#This Row],[CF]]*chronic_consumption!$AO248/1000/$C$3)</f>
        <v>#DIV/0!</v>
      </c>
      <c r="AU1448" s="1099" t="e">
        <f t="shared" si="872"/>
        <v>#DIV/0!</v>
      </c>
      <c r="AV1448" s="1099" t="e">
        <f t="shared" si="872"/>
        <v>#DIV/0!</v>
      </c>
      <c r="AW1448" s="1099" t="e">
        <f t="shared" si="872"/>
        <v>#DIV/0!</v>
      </c>
      <c r="AX1448" s="1099" t="e">
        <f t="shared" si="872"/>
        <v>#DIV/0!</v>
      </c>
      <c r="AY1448" s="1099" t="e">
        <f t="shared" si="872"/>
        <v>#DIV/0!</v>
      </c>
      <c r="AZ1448" s="1091" t="s">
        <v>1012</v>
      </c>
      <c r="BA1448" s="1097" t="e">
        <f>IF(Table3[[#This Row],[max]]&lt;&gt;0,RANK(Table3[[#This Row],[max]],Table3[max],0),"")</f>
        <v>#DIV/0!</v>
      </c>
      <c r="BB1448" s="1096" t="e">
        <f t="shared" si="865"/>
        <v>#DIV/0!</v>
      </c>
      <c r="BC1448" s="1096" t="e">
        <f t="shared" ca="1" si="866"/>
        <v>#DIV/0!</v>
      </c>
      <c r="BD1448" s="1096" t="e">
        <f>IF(Table3[[#This Row],[max]]&gt;0,Table3[[#This Row],[Crop groups and examples of individual products within the groups to which the MRLs apply]],"")</f>
        <v>#DIV/0!</v>
      </c>
    </row>
    <row r="1449" spans="2:56" x14ac:dyDescent="0.2">
      <c r="B1449" s="23">
        <f t="shared" si="870"/>
        <v>500070</v>
      </c>
      <c r="C1449" s="23" t="str">
        <f t="shared" si="870"/>
        <v>Rye</v>
      </c>
      <c r="D1449" s="1084">
        <f>input_values!E249</f>
        <v>0</v>
      </c>
      <c r="E1449" s="1084">
        <f>input_values!F249</f>
        <v>0</v>
      </c>
      <c r="F1449" s="1085">
        <f>input_values!W249</f>
        <v>1</v>
      </c>
      <c r="G1449" s="1085" t="str">
        <f>IF(Table3[[#This Row],[CF]]&gt;0,CONCATENATE(IF(Table3[[#This Row],[LOQ]]="*","LOQ","MRL"),IF(input_values!G249&gt;0,"×CFrisk","")),"")</f>
        <v>MRL</v>
      </c>
      <c r="H1449" s="1087">
        <f>input_values!L249</f>
        <v>0</v>
      </c>
      <c r="I1449" s="1088">
        <f>input_values!D249</f>
        <v>0</v>
      </c>
      <c r="J1449" s="1098" t="e">
        <f>IF($D$1212="",0,$D1449*Table3[[#This Row],[CF]]*chronic_consumption!$E249/1000/$C$3)</f>
        <v>#DIV/0!</v>
      </c>
      <c r="K1449" s="1098" t="e">
        <f>IF($D$1212="",0,$D1449*Table3[[#This Row],[CF]]*chronic_consumption!$F249/1000/$C$3)</f>
        <v>#DIV/0!</v>
      </c>
      <c r="L1449" s="1098" t="e">
        <f>IF($D$1212="",0,$D1449*Table3[[#This Row],[CF]]*chronic_consumption!$G249/1000/$C$3)</f>
        <v>#DIV/0!</v>
      </c>
      <c r="M1449" s="1098" t="e">
        <f>IF($D$1212="",0,$D1449*Table3[[#This Row],[CF]]*chronic_consumption!$H249/1000/$C$3)</f>
        <v>#DIV/0!</v>
      </c>
      <c r="N1449" s="1098" t="e">
        <f>IF($D$1212="",0,$D1449*Table3[[#This Row],[CF]]*chronic_consumption!$I249/1000/$C$3)</f>
        <v>#DIV/0!</v>
      </c>
      <c r="O1449" s="1098" t="e">
        <f>IF($D$1212="",0,$D1449*Table3[[#This Row],[CF]]*chronic_consumption!$J249/1000/$C$3)</f>
        <v>#DIV/0!</v>
      </c>
      <c r="P1449" s="1098" t="e">
        <f>IF($D$1212="",0,$D1449*Table3[[#This Row],[CF]]*chronic_consumption!$K249/1000/$C$3)</f>
        <v>#DIV/0!</v>
      </c>
      <c r="Q1449" s="1098" t="e">
        <f>IF($D$1212="",0,$D1449*Table3[[#This Row],[CF]]*chronic_consumption!$L249/1000/$C$3)</f>
        <v>#DIV/0!</v>
      </c>
      <c r="R1449" s="1098" t="e">
        <f>IF($D$1212="",0,$D1449*Table3[[#This Row],[CF]]*chronic_consumption!$M249/1000/$C$3)</f>
        <v>#DIV/0!</v>
      </c>
      <c r="S1449" s="1098" t="e">
        <f>IF($D$1212="",0,$D1449*Table3[[#This Row],[CF]]*chronic_consumption!$N249/1000/$C$3)</f>
        <v>#DIV/0!</v>
      </c>
      <c r="T1449" s="1098" t="e">
        <f>IF($D$1212="",0,$D1449*Table3[[#This Row],[CF]]*chronic_consumption!$O249/1000/$C$3)</f>
        <v>#DIV/0!</v>
      </c>
      <c r="U1449" s="1098" t="e">
        <f>IF($D$1212="",0,$D1449*Table3[[#This Row],[CF]]*chronic_consumption!$P249/1000/$C$3)</f>
        <v>#DIV/0!</v>
      </c>
      <c r="V1449" s="1098" t="e">
        <f>IF($D$1212="",0,$D1449*Table3[[#This Row],[CF]]*chronic_consumption!$Q249/1000/$C$3)</f>
        <v>#DIV/0!</v>
      </c>
      <c r="W1449" s="1098" t="e">
        <f>IF($D$1212="",0,$D1449*Table3[[#This Row],[CF]]*chronic_consumption!$R249/1000/$C$3)</f>
        <v>#DIV/0!</v>
      </c>
      <c r="X1449" s="1098" t="e">
        <f>IF($D$1212="",0,$D1449*Table3[[#This Row],[CF]]*chronic_consumption!$S249/1000/$C$3)</f>
        <v>#DIV/0!</v>
      </c>
      <c r="Y1449" s="1098" t="e">
        <f>IF($D$1212="",0,$D1449*Table3[[#This Row],[CF]]*chronic_consumption!$T249/1000/$C$3)</f>
        <v>#DIV/0!</v>
      </c>
      <c r="Z1449" s="1098" t="e">
        <f>IF($D$1212="",0,$D1449*Table3[[#This Row],[CF]]*chronic_consumption!$U249/1000/$C$3)</f>
        <v>#DIV/0!</v>
      </c>
      <c r="AA1449" s="1098" t="e">
        <f>IF($D$1212="",0,$D1449*Table3[[#This Row],[CF]]*chronic_consumption!$V249/1000/$C$3)</f>
        <v>#DIV/0!</v>
      </c>
      <c r="AB1449" s="1098" t="e">
        <f>IF($D$1212="",0,$D1449*Table3[[#This Row],[CF]]*chronic_consumption!$W249/1000/$C$3)</f>
        <v>#DIV/0!</v>
      </c>
      <c r="AC1449" s="1098" t="e">
        <f>IF($D$1212="",0,$D1449*Table3[[#This Row],[CF]]*chronic_consumption!$X249/1000/$C$3)</f>
        <v>#DIV/0!</v>
      </c>
      <c r="AD1449" s="1098" t="e">
        <f>IF($D$1212="",0,$D1449*Table3[[#This Row],[CF]]*chronic_consumption!$Y249/1000/$C$3)</f>
        <v>#DIV/0!</v>
      </c>
      <c r="AE1449" s="1098" t="e">
        <f>IF($D$1212="",0,$D1449*Table3[[#This Row],[CF]]*chronic_consumption!$Z249/1000/$C$3)</f>
        <v>#DIV/0!</v>
      </c>
      <c r="AF1449" s="1098" t="e">
        <f>IF($D$1212="",0,$D1449*Table3[[#This Row],[CF]]*chronic_consumption!$AA249/1000/$C$3)</f>
        <v>#DIV/0!</v>
      </c>
      <c r="AG1449" s="1098" t="e">
        <f>IF($D$1212="",0,$D1449*Table3[[#This Row],[CF]]*chronic_consumption!$AB249/1000/$C$3)</f>
        <v>#DIV/0!</v>
      </c>
      <c r="AH1449" s="1098" t="e">
        <f>IF($D$1212="",0,$D1449*Table3[[#This Row],[CF]]*chronic_consumption!$AC249/1000/$C$3)</f>
        <v>#DIV/0!</v>
      </c>
      <c r="AI1449" s="1098" t="e">
        <f>IF($D$1212="",0,$D1449*Table3[[#This Row],[CF]]*chronic_consumption!$AD249/1000/$C$3)</f>
        <v>#DIV/0!</v>
      </c>
      <c r="AJ1449" s="1098" t="e">
        <f>IF($D$1212="",0,$D1449*Table3[[#This Row],[CF]]*chronic_consumption!$AE249/1000/$C$3)</f>
        <v>#DIV/0!</v>
      </c>
      <c r="AK1449" s="1098" t="e">
        <f>IF($D$1212="",0,$D1449*Table3[[#This Row],[CF]]*chronic_consumption!$AF249/1000/$C$3)</f>
        <v>#DIV/0!</v>
      </c>
      <c r="AL1449" s="1098" t="e">
        <f>IF($D$1212="",0,$D1449*Table3[[#This Row],[CF]]*chronic_consumption!$AG249/1000/$C$3)</f>
        <v>#DIV/0!</v>
      </c>
      <c r="AM1449" s="1098" t="e">
        <f>IF($D$1212="",0,$D1449*Table3[[#This Row],[CF]]*chronic_consumption!$AH249/1000/$C$3)</f>
        <v>#DIV/0!</v>
      </c>
      <c r="AN1449" s="1098" t="e">
        <f>IF($D$1212="",0,$D1449*Table3[[#This Row],[CF]]*chronic_consumption!$AI249/1000/$C$3)</f>
        <v>#DIV/0!</v>
      </c>
      <c r="AO1449" s="1098" t="e">
        <f>IF($D$1212="",0,$D1449*Table3[[#This Row],[CF]]*chronic_consumption!$AJ249/1000/$C$3)</f>
        <v>#DIV/0!</v>
      </c>
      <c r="AP1449" s="1098" t="e">
        <f>IF($D$1212="",0,$D1449*Table3[[#This Row],[CF]]*chronic_consumption!$AK249/1000/$C$3)</f>
        <v>#DIV/0!</v>
      </c>
      <c r="AQ1449" s="1098" t="e">
        <f>IF($D$1212="",0,$D1449*Table3[[#This Row],[CF]]*chronic_consumption!$AL249/1000/$C$3)</f>
        <v>#DIV/0!</v>
      </c>
      <c r="AR1449" s="1098" t="e">
        <f>IF($D$1212="",0,$D1449*Table3[[#This Row],[CF]]*chronic_consumption!$AM249/1000/$C$3)</f>
        <v>#DIV/0!</v>
      </c>
      <c r="AS1449" s="1098" t="e">
        <f>IF($D$1212="",0,$D1449*Table3[[#This Row],[CF]]*chronic_consumption!$AN249/1000/$C$3)</f>
        <v>#DIV/0!</v>
      </c>
      <c r="AT1449" s="1098" t="e">
        <f>IF($D$1212="",0,$D1449*Table3[[#This Row],[CF]]*chronic_consumption!$AO249/1000/$C$3)</f>
        <v>#DIV/0!</v>
      </c>
      <c r="AU1449" s="1099" t="e">
        <f t="shared" si="872"/>
        <v>#DIV/0!</v>
      </c>
      <c r="AV1449" s="1099" t="e">
        <f t="shared" si="872"/>
        <v>#DIV/0!</v>
      </c>
      <c r="AW1449" s="1099" t="e">
        <f t="shared" si="872"/>
        <v>#DIV/0!</v>
      </c>
      <c r="AX1449" s="1099" t="e">
        <f t="shared" si="872"/>
        <v>#DIV/0!</v>
      </c>
      <c r="AY1449" s="1099" t="e">
        <f t="shared" si="872"/>
        <v>#DIV/0!</v>
      </c>
      <c r="AZ1449" s="1091" t="s">
        <v>1012</v>
      </c>
      <c r="BA1449" s="1097" t="e">
        <f>IF(Table3[[#This Row],[max]]&lt;&gt;0,RANK(Table3[[#This Row],[max]],Table3[max],0),"")</f>
        <v>#DIV/0!</v>
      </c>
      <c r="BB1449" s="1096" t="e">
        <f t="shared" si="865"/>
        <v>#DIV/0!</v>
      </c>
      <c r="BC1449" s="1096" t="e">
        <f t="shared" ca="1" si="866"/>
        <v>#DIV/0!</v>
      </c>
      <c r="BD1449" s="1096" t="e">
        <f>IF(Table3[[#This Row],[max]]&gt;0,Table3[[#This Row],[Crop groups and examples of individual products within the groups to which the MRLs apply]],"")</f>
        <v>#DIV/0!</v>
      </c>
    </row>
    <row r="1450" spans="2:56" x14ac:dyDescent="0.2">
      <c r="B1450" s="23">
        <f t="shared" si="870"/>
        <v>500080</v>
      </c>
      <c r="C1450" s="23" t="str">
        <f t="shared" si="870"/>
        <v>Sorghum</v>
      </c>
      <c r="D1450" s="1084">
        <f>input_values!E250</f>
        <v>0</v>
      </c>
      <c r="E1450" s="1084">
        <f>input_values!F250</f>
        <v>0</v>
      </c>
      <c r="F1450" s="1085">
        <f>input_values!W250</f>
        <v>1</v>
      </c>
      <c r="G1450" s="1085" t="str">
        <f>IF(Table3[[#This Row],[CF]]&gt;0,CONCATENATE(IF(Table3[[#This Row],[LOQ]]="*","LOQ","MRL"),IF(input_values!G250&gt;0,"×CFrisk","")),"")</f>
        <v>MRL</v>
      </c>
      <c r="H1450" s="1087">
        <f>input_values!L250</f>
        <v>0</v>
      </c>
      <c r="I1450" s="1088">
        <f>input_values!D250</f>
        <v>0</v>
      </c>
      <c r="J1450" s="1098" t="e">
        <f>IF($D$1212="",0,$D1450*Table3[[#This Row],[CF]]*chronic_consumption!$E250/1000/$C$3)</f>
        <v>#DIV/0!</v>
      </c>
      <c r="K1450" s="1098" t="e">
        <f>IF($D$1212="",0,$D1450*Table3[[#This Row],[CF]]*chronic_consumption!$F250/1000/$C$3)</f>
        <v>#DIV/0!</v>
      </c>
      <c r="L1450" s="1098" t="e">
        <f>IF($D$1212="",0,$D1450*Table3[[#This Row],[CF]]*chronic_consumption!$G250/1000/$C$3)</f>
        <v>#DIV/0!</v>
      </c>
      <c r="M1450" s="1098" t="e">
        <f>IF($D$1212="",0,$D1450*Table3[[#This Row],[CF]]*chronic_consumption!$H250/1000/$C$3)</f>
        <v>#DIV/0!</v>
      </c>
      <c r="N1450" s="1098" t="e">
        <f>IF($D$1212="",0,$D1450*Table3[[#This Row],[CF]]*chronic_consumption!$I250/1000/$C$3)</f>
        <v>#DIV/0!</v>
      </c>
      <c r="O1450" s="1098" t="e">
        <f>IF($D$1212="",0,$D1450*Table3[[#This Row],[CF]]*chronic_consumption!$J250/1000/$C$3)</f>
        <v>#DIV/0!</v>
      </c>
      <c r="P1450" s="1098" t="e">
        <f>IF($D$1212="",0,$D1450*Table3[[#This Row],[CF]]*chronic_consumption!$K250/1000/$C$3)</f>
        <v>#DIV/0!</v>
      </c>
      <c r="Q1450" s="1098" t="e">
        <f>IF($D$1212="",0,$D1450*Table3[[#This Row],[CF]]*chronic_consumption!$L250/1000/$C$3)</f>
        <v>#DIV/0!</v>
      </c>
      <c r="R1450" s="1098" t="e">
        <f>IF($D$1212="",0,$D1450*Table3[[#This Row],[CF]]*chronic_consumption!$M250/1000/$C$3)</f>
        <v>#DIV/0!</v>
      </c>
      <c r="S1450" s="1098" t="e">
        <f>IF($D$1212="",0,$D1450*Table3[[#This Row],[CF]]*chronic_consumption!$N250/1000/$C$3)</f>
        <v>#DIV/0!</v>
      </c>
      <c r="T1450" s="1098" t="e">
        <f>IF($D$1212="",0,$D1450*Table3[[#This Row],[CF]]*chronic_consumption!$O250/1000/$C$3)</f>
        <v>#DIV/0!</v>
      </c>
      <c r="U1450" s="1098" t="e">
        <f>IF($D$1212="",0,$D1450*Table3[[#This Row],[CF]]*chronic_consumption!$P250/1000/$C$3)</f>
        <v>#DIV/0!</v>
      </c>
      <c r="V1450" s="1098" t="e">
        <f>IF($D$1212="",0,$D1450*Table3[[#This Row],[CF]]*chronic_consumption!$Q250/1000/$C$3)</f>
        <v>#DIV/0!</v>
      </c>
      <c r="W1450" s="1098" t="e">
        <f>IF($D$1212="",0,$D1450*Table3[[#This Row],[CF]]*chronic_consumption!$R250/1000/$C$3)</f>
        <v>#DIV/0!</v>
      </c>
      <c r="X1450" s="1098" t="e">
        <f>IF($D$1212="",0,$D1450*Table3[[#This Row],[CF]]*chronic_consumption!$S250/1000/$C$3)</f>
        <v>#DIV/0!</v>
      </c>
      <c r="Y1450" s="1098" t="e">
        <f>IF($D$1212="",0,$D1450*Table3[[#This Row],[CF]]*chronic_consumption!$T250/1000/$C$3)</f>
        <v>#DIV/0!</v>
      </c>
      <c r="Z1450" s="1098" t="e">
        <f>IF($D$1212="",0,$D1450*Table3[[#This Row],[CF]]*chronic_consumption!$U250/1000/$C$3)</f>
        <v>#DIV/0!</v>
      </c>
      <c r="AA1450" s="1098" t="e">
        <f>IF($D$1212="",0,$D1450*Table3[[#This Row],[CF]]*chronic_consumption!$V250/1000/$C$3)</f>
        <v>#DIV/0!</v>
      </c>
      <c r="AB1450" s="1098" t="e">
        <f>IF($D$1212="",0,$D1450*Table3[[#This Row],[CF]]*chronic_consumption!$W250/1000/$C$3)</f>
        <v>#DIV/0!</v>
      </c>
      <c r="AC1450" s="1098" t="e">
        <f>IF($D$1212="",0,$D1450*Table3[[#This Row],[CF]]*chronic_consumption!$X250/1000/$C$3)</f>
        <v>#DIV/0!</v>
      </c>
      <c r="AD1450" s="1098" t="e">
        <f>IF($D$1212="",0,$D1450*Table3[[#This Row],[CF]]*chronic_consumption!$Y250/1000/$C$3)</f>
        <v>#DIV/0!</v>
      </c>
      <c r="AE1450" s="1098" t="e">
        <f>IF($D$1212="",0,$D1450*Table3[[#This Row],[CF]]*chronic_consumption!$Z250/1000/$C$3)</f>
        <v>#DIV/0!</v>
      </c>
      <c r="AF1450" s="1098" t="e">
        <f>IF($D$1212="",0,$D1450*Table3[[#This Row],[CF]]*chronic_consumption!$AA250/1000/$C$3)</f>
        <v>#DIV/0!</v>
      </c>
      <c r="AG1450" s="1098" t="e">
        <f>IF($D$1212="",0,$D1450*Table3[[#This Row],[CF]]*chronic_consumption!$AB250/1000/$C$3)</f>
        <v>#DIV/0!</v>
      </c>
      <c r="AH1450" s="1098" t="e">
        <f>IF($D$1212="",0,$D1450*Table3[[#This Row],[CF]]*chronic_consumption!$AC250/1000/$C$3)</f>
        <v>#DIV/0!</v>
      </c>
      <c r="AI1450" s="1098" t="e">
        <f>IF($D$1212="",0,$D1450*Table3[[#This Row],[CF]]*chronic_consumption!$AD250/1000/$C$3)</f>
        <v>#DIV/0!</v>
      </c>
      <c r="AJ1450" s="1098" t="e">
        <f>IF($D$1212="",0,$D1450*Table3[[#This Row],[CF]]*chronic_consumption!$AE250/1000/$C$3)</f>
        <v>#DIV/0!</v>
      </c>
      <c r="AK1450" s="1098" t="e">
        <f>IF($D$1212="",0,$D1450*Table3[[#This Row],[CF]]*chronic_consumption!$AF250/1000/$C$3)</f>
        <v>#DIV/0!</v>
      </c>
      <c r="AL1450" s="1098" t="e">
        <f>IF($D$1212="",0,$D1450*Table3[[#This Row],[CF]]*chronic_consumption!$AG250/1000/$C$3)</f>
        <v>#DIV/0!</v>
      </c>
      <c r="AM1450" s="1098" t="e">
        <f>IF($D$1212="",0,$D1450*Table3[[#This Row],[CF]]*chronic_consumption!$AH250/1000/$C$3)</f>
        <v>#DIV/0!</v>
      </c>
      <c r="AN1450" s="1098" t="e">
        <f>IF($D$1212="",0,$D1450*Table3[[#This Row],[CF]]*chronic_consumption!$AI250/1000/$C$3)</f>
        <v>#DIV/0!</v>
      </c>
      <c r="AO1450" s="1098" t="e">
        <f>IF($D$1212="",0,$D1450*Table3[[#This Row],[CF]]*chronic_consumption!$AJ250/1000/$C$3)</f>
        <v>#DIV/0!</v>
      </c>
      <c r="AP1450" s="1098" t="e">
        <f>IF($D$1212="",0,$D1450*Table3[[#This Row],[CF]]*chronic_consumption!$AK250/1000/$C$3)</f>
        <v>#DIV/0!</v>
      </c>
      <c r="AQ1450" s="1098" t="e">
        <f>IF($D$1212="",0,$D1450*Table3[[#This Row],[CF]]*chronic_consumption!$AL250/1000/$C$3)</f>
        <v>#DIV/0!</v>
      </c>
      <c r="AR1450" s="1098" t="e">
        <f>IF($D$1212="",0,$D1450*Table3[[#This Row],[CF]]*chronic_consumption!$AM250/1000/$C$3)</f>
        <v>#DIV/0!</v>
      </c>
      <c r="AS1450" s="1098" t="e">
        <f>IF($D$1212="",0,$D1450*Table3[[#This Row],[CF]]*chronic_consumption!$AN250/1000/$C$3)</f>
        <v>#DIV/0!</v>
      </c>
      <c r="AT1450" s="1098" t="e">
        <f>IF($D$1212="",0,$D1450*Table3[[#This Row],[CF]]*chronic_consumption!$AO250/1000/$C$3)</f>
        <v>#DIV/0!</v>
      </c>
      <c r="AU1450" s="1099" t="e">
        <f t="shared" si="872"/>
        <v>#DIV/0!</v>
      </c>
      <c r="AV1450" s="1099" t="e">
        <f t="shared" si="872"/>
        <v>#DIV/0!</v>
      </c>
      <c r="AW1450" s="1099" t="e">
        <f t="shared" si="872"/>
        <v>#DIV/0!</v>
      </c>
      <c r="AX1450" s="1099" t="e">
        <f t="shared" si="872"/>
        <v>#DIV/0!</v>
      </c>
      <c r="AY1450" s="1099" t="e">
        <f t="shared" si="872"/>
        <v>#DIV/0!</v>
      </c>
      <c r="AZ1450" s="1091" t="s">
        <v>1012</v>
      </c>
      <c r="BA1450" s="1097" t="e">
        <f>IF(Table3[[#This Row],[max]]&lt;&gt;0,RANK(Table3[[#This Row],[max]],Table3[max],0),"")</f>
        <v>#DIV/0!</v>
      </c>
      <c r="BB1450" s="1096" t="e">
        <f t="shared" si="865"/>
        <v>#DIV/0!</v>
      </c>
      <c r="BC1450" s="1096" t="e">
        <f t="shared" ca="1" si="866"/>
        <v>#DIV/0!</v>
      </c>
      <c r="BD1450" s="1096" t="e">
        <f>IF(Table3[[#This Row],[max]]&gt;0,Table3[[#This Row],[Crop groups and examples of individual products within the groups to which the MRLs apply]],"")</f>
        <v>#DIV/0!</v>
      </c>
    </row>
    <row r="1451" spans="2:56" x14ac:dyDescent="0.2">
      <c r="B1451" s="23">
        <f t="shared" si="870"/>
        <v>500090</v>
      </c>
      <c r="C1451" s="23" t="str">
        <f t="shared" si="870"/>
        <v>Wheat</v>
      </c>
      <c r="D1451" s="1084">
        <f>input_values!E251</f>
        <v>0</v>
      </c>
      <c r="E1451" s="1084">
        <f>input_values!F251</f>
        <v>0</v>
      </c>
      <c r="F1451" s="1085">
        <f>input_values!W251</f>
        <v>1</v>
      </c>
      <c r="G1451" s="1085" t="str">
        <f>IF(Table3[[#This Row],[CF]]&gt;0,CONCATENATE(IF(Table3[[#This Row],[LOQ]]="*","LOQ","MRL"),IF(input_values!G251&gt;0,"×CFrisk","")),"")</f>
        <v>MRL</v>
      </c>
      <c r="H1451" s="1087">
        <f>input_values!L251</f>
        <v>0</v>
      </c>
      <c r="I1451" s="1088">
        <f>input_values!D251</f>
        <v>0</v>
      </c>
      <c r="J1451" s="1098" t="e">
        <f>IF($D$1212="",0,$D1451*Table3[[#This Row],[CF]]*chronic_consumption!$E251/1000/$C$3)</f>
        <v>#DIV/0!</v>
      </c>
      <c r="K1451" s="1098" t="e">
        <f>IF($D$1212="",0,$D1451*Table3[[#This Row],[CF]]*chronic_consumption!$F251/1000/$C$3)</f>
        <v>#DIV/0!</v>
      </c>
      <c r="L1451" s="1098" t="e">
        <f>IF($D$1212="",0,$D1451*Table3[[#This Row],[CF]]*chronic_consumption!$G251/1000/$C$3)</f>
        <v>#DIV/0!</v>
      </c>
      <c r="M1451" s="1098" t="e">
        <f>IF($D$1212="",0,$D1451*Table3[[#This Row],[CF]]*chronic_consumption!$H251/1000/$C$3)</f>
        <v>#DIV/0!</v>
      </c>
      <c r="N1451" s="1098" t="e">
        <f>IF($D$1212="",0,$D1451*Table3[[#This Row],[CF]]*chronic_consumption!$I251/1000/$C$3)</f>
        <v>#DIV/0!</v>
      </c>
      <c r="O1451" s="1098" t="e">
        <f>IF($D$1212="",0,$D1451*Table3[[#This Row],[CF]]*chronic_consumption!$J251/1000/$C$3)</f>
        <v>#DIV/0!</v>
      </c>
      <c r="P1451" s="1098" t="e">
        <f>IF($D$1212="",0,$D1451*Table3[[#This Row],[CF]]*chronic_consumption!$K251/1000/$C$3)</f>
        <v>#DIV/0!</v>
      </c>
      <c r="Q1451" s="1098" t="e">
        <f>IF($D$1212="",0,$D1451*Table3[[#This Row],[CF]]*chronic_consumption!$L251/1000/$C$3)</f>
        <v>#DIV/0!</v>
      </c>
      <c r="R1451" s="1098" t="e">
        <f>IF($D$1212="",0,$D1451*Table3[[#This Row],[CF]]*chronic_consumption!$M251/1000/$C$3)</f>
        <v>#DIV/0!</v>
      </c>
      <c r="S1451" s="1098" t="e">
        <f>IF($D$1212="",0,$D1451*Table3[[#This Row],[CF]]*chronic_consumption!$N251/1000/$C$3)</f>
        <v>#DIV/0!</v>
      </c>
      <c r="T1451" s="1098" t="e">
        <f>IF($D$1212="",0,$D1451*Table3[[#This Row],[CF]]*chronic_consumption!$O251/1000/$C$3)</f>
        <v>#DIV/0!</v>
      </c>
      <c r="U1451" s="1098" t="e">
        <f>IF($D$1212="",0,$D1451*Table3[[#This Row],[CF]]*chronic_consumption!$P251/1000/$C$3)</f>
        <v>#DIV/0!</v>
      </c>
      <c r="V1451" s="1098" t="e">
        <f>IF($D$1212="",0,$D1451*Table3[[#This Row],[CF]]*chronic_consumption!$Q251/1000/$C$3)</f>
        <v>#DIV/0!</v>
      </c>
      <c r="W1451" s="1098" t="e">
        <f>IF($D$1212="",0,$D1451*Table3[[#This Row],[CF]]*chronic_consumption!$R251/1000/$C$3)</f>
        <v>#DIV/0!</v>
      </c>
      <c r="X1451" s="1098" t="e">
        <f>IF($D$1212="",0,$D1451*Table3[[#This Row],[CF]]*chronic_consumption!$S251/1000/$C$3)</f>
        <v>#DIV/0!</v>
      </c>
      <c r="Y1451" s="1098" t="e">
        <f>IF($D$1212="",0,$D1451*Table3[[#This Row],[CF]]*chronic_consumption!$T251/1000/$C$3)</f>
        <v>#DIV/0!</v>
      </c>
      <c r="Z1451" s="1098" t="e">
        <f>IF($D$1212="",0,$D1451*Table3[[#This Row],[CF]]*chronic_consumption!$U251/1000/$C$3)</f>
        <v>#DIV/0!</v>
      </c>
      <c r="AA1451" s="1098" t="e">
        <f>IF($D$1212="",0,$D1451*Table3[[#This Row],[CF]]*chronic_consumption!$V251/1000/$C$3)</f>
        <v>#DIV/0!</v>
      </c>
      <c r="AB1451" s="1098" t="e">
        <f>IF($D$1212="",0,$D1451*Table3[[#This Row],[CF]]*chronic_consumption!$W251/1000/$C$3)</f>
        <v>#DIV/0!</v>
      </c>
      <c r="AC1451" s="1098" t="e">
        <f>IF($D$1212="",0,$D1451*Table3[[#This Row],[CF]]*chronic_consumption!$X251/1000/$C$3)</f>
        <v>#DIV/0!</v>
      </c>
      <c r="AD1451" s="1098" t="e">
        <f>IF($D$1212="",0,$D1451*Table3[[#This Row],[CF]]*chronic_consumption!$Y251/1000/$C$3)</f>
        <v>#DIV/0!</v>
      </c>
      <c r="AE1451" s="1098" t="e">
        <f>IF($D$1212="",0,$D1451*Table3[[#This Row],[CF]]*chronic_consumption!$Z251/1000/$C$3)</f>
        <v>#DIV/0!</v>
      </c>
      <c r="AF1451" s="1098" t="e">
        <f>IF($D$1212="",0,$D1451*Table3[[#This Row],[CF]]*chronic_consumption!$AA251/1000/$C$3)</f>
        <v>#DIV/0!</v>
      </c>
      <c r="AG1451" s="1098" t="e">
        <f>IF($D$1212="",0,$D1451*Table3[[#This Row],[CF]]*chronic_consumption!$AB251/1000/$C$3)</f>
        <v>#DIV/0!</v>
      </c>
      <c r="AH1451" s="1098" t="e">
        <f>IF($D$1212="",0,$D1451*Table3[[#This Row],[CF]]*chronic_consumption!$AC251/1000/$C$3)</f>
        <v>#DIV/0!</v>
      </c>
      <c r="AI1451" s="1098" t="e">
        <f>IF($D$1212="",0,$D1451*Table3[[#This Row],[CF]]*chronic_consumption!$AD251/1000/$C$3)</f>
        <v>#DIV/0!</v>
      </c>
      <c r="AJ1451" s="1098" t="e">
        <f>IF($D$1212="",0,$D1451*Table3[[#This Row],[CF]]*chronic_consumption!$AE251/1000/$C$3)</f>
        <v>#DIV/0!</v>
      </c>
      <c r="AK1451" s="1098" t="e">
        <f>IF($D$1212="",0,$D1451*Table3[[#This Row],[CF]]*chronic_consumption!$AF251/1000/$C$3)</f>
        <v>#DIV/0!</v>
      </c>
      <c r="AL1451" s="1098" t="e">
        <f>IF($D$1212="",0,$D1451*Table3[[#This Row],[CF]]*chronic_consumption!$AG251/1000/$C$3)</f>
        <v>#DIV/0!</v>
      </c>
      <c r="AM1451" s="1098" t="e">
        <f>IF($D$1212="",0,$D1451*Table3[[#This Row],[CF]]*chronic_consumption!$AH251/1000/$C$3)</f>
        <v>#DIV/0!</v>
      </c>
      <c r="AN1451" s="1098" t="e">
        <f>IF($D$1212="",0,$D1451*Table3[[#This Row],[CF]]*chronic_consumption!$AI251/1000/$C$3)</f>
        <v>#DIV/0!</v>
      </c>
      <c r="AO1451" s="1098" t="e">
        <f>IF($D$1212="",0,$D1451*Table3[[#This Row],[CF]]*chronic_consumption!$AJ251/1000/$C$3)</f>
        <v>#DIV/0!</v>
      </c>
      <c r="AP1451" s="1098" t="e">
        <f>IF($D$1212="",0,$D1451*Table3[[#This Row],[CF]]*chronic_consumption!$AK251/1000/$C$3)</f>
        <v>#DIV/0!</v>
      </c>
      <c r="AQ1451" s="1098" t="e">
        <f>IF($D$1212="",0,$D1451*Table3[[#This Row],[CF]]*chronic_consumption!$AL251/1000/$C$3)</f>
        <v>#DIV/0!</v>
      </c>
      <c r="AR1451" s="1098" t="e">
        <f>IF($D$1212="",0,$D1451*Table3[[#This Row],[CF]]*chronic_consumption!$AM251/1000/$C$3)</f>
        <v>#DIV/0!</v>
      </c>
      <c r="AS1451" s="1098" t="e">
        <f>IF($D$1212="",0,$D1451*Table3[[#This Row],[CF]]*chronic_consumption!$AN251/1000/$C$3)</f>
        <v>#DIV/0!</v>
      </c>
      <c r="AT1451" s="1098" t="e">
        <f>IF($D$1212="",0,$D1451*Table3[[#This Row],[CF]]*chronic_consumption!$AO251/1000/$C$3)</f>
        <v>#DIV/0!</v>
      </c>
      <c r="AU1451" s="1099" t="e">
        <f t="shared" si="872"/>
        <v>#DIV/0!</v>
      </c>
      <c r="AV1451" s="1099" t="e">
        <f t="shared" si="872"/>
        <v>#DIV/0!</v>
      </c>
      <c r="AW1451" s="1099" t="e">
        <f t="shared" si="872"/>
        <v>#DIV/0!</v>
      </c>
      <c r="AX1451" s="1099" t="e">
        <f t="shared" si="872"/>
        <v>#DIV/0!</v>
      </c>
      <c r="AY1451" s="1099" t="e">
        <f t="shared" si="872"/>
        <v>#DIV/0!</v>
      </c>
      <c r="AZ1451" s="1091" t="s">
        <v>1012</v>
      </c>
      <c r="BA1451" s="1097" t="e">
        <f>IF(Table3[[#This Row],[max]]&lt;&gt;0,RANK(Table3[[#This Row],[max]],Table3[max],0),"")</f>
        <v>#DIV/0!</v>
      </c>
      <c r="BB1451" s="1096" t="e">
        <f t="shared" si="865"/>
        <v>#DIV/0!</v>
      </c>
      <c r="BC1451" s="1096" t="e">
        <f t="shared" ca="1" si="866"/>
        <v>#DIV/0!</v>
      </c>
      <c r="BD1451" s="1096" t="e">
        <f>IF(Table3[[#This Row],[max]]&gt;0,Table3[[#This Row],[Crop groups and examples of individual products within the groups to which the MRLs apply]],"")</f>
        <v>#DIV/0!</v>
      </c>
    </row>
    <row r="1452" spans="2:56" x14ac:dyDescent="0.2">
      <c r="B1452" s="23">
        <f t="shared" ref="B1452:C1471" si="873">B252</f>
        <v>500990</v>
      </c>
      <c r="C1452" s="23" t="str">
        <f t="shared" si="873"/>
        <v>Other cereals</v>
      </c>
      <c r="D1452" s="1084">
        <f>input_values!E252</f>
        <v>0</v>
      </c>
      <c r="E1452" s="1084">
        <f>input_values!F252</f>
        <v>0</v>
      </c>
      <c r="F1452" s="1085">
        <f>input_values!W252</f>
        <v>1</v>
      </c>
      <c r="G1452" s="1085" t="str">
        <f>IF(Table3[[#This Row],[CF]]&gt;0,CONCATENATE(IF(Table3[[#This Row],[LOQ]]="*","LOQ","MRL"),IF(input_values!G252&gt;0,"×CFrisk","")),"")</f>
        <v>MRL</v>
      </c>
      <c r="H1452" s="1087">
        <f>input_values!L252</f>
        <v>0</v>
      </c>
      <c r="I1452" s="1088">
        <f>input_values!D252</f>
        <v>0</v>
      </c>
      <c r="J1452" s="1098" t="e">
        <f>IF($D$1212="",0,$D1452*Table3[[#This Row],[CF]]*chronic_consumption!$E252/1000/$C$3)</f>
        <v>#DIV/0!</v>
      </c>
      <c r="K1452" s="1098" t="e">
        <f>IF($D$1212="",0,$D1452*Table3[[#This Row],[CF]]*chronic_consumption!$F252/1000/$C$3)</f>
        <v>#DIV/0!</v>
      </c>
      <c r="L1452" s="1098" t="e">
        <f>IF($D$1212="",0,$D1452*Table3[[#This Row],[CF]]*chronic_consumption!$G252/1000/$C$3)</f>
        <v>#DIV/0!</v>
      </c>
      <c r="M1452" s="1098" t="e">
        <f>IF($D$1212="",0,$D1452*Table3[[#This Row],[CF]]*chronic_consumption!$H252/1000/$C$3)</f>
        <v>#DIV/0!</v>
      </c>
      <c r="N1452" s="1098" t="e">
        <f>IF($D$1212="",0,$D1452*Table3[[#This Row],[CF]]*chronic_consumption!$I252/1000/$C$3)</f>
        <v>#DIV/0!</v>
      </c>
      <c r="O1452" s="1098" t="e">
        <f>IF($D$1212="",0,$D1452*Table3[[#This Row],[CF]]*chronic_consumption!$J252/1000/$C$3)</f>
        <v>#DIV/0!</v>
      </c>
      <c r="P1452" s="1098" t="e">
        <f>IF($D$1212="",0,$D1452*Table3[[#This Row],[CF]]*chronic_consumption!$K252/1000/$C$3)</f>
        <v>#DIV/0!</v>
      </c>
      <c r="Q1452" s="1098" t="e">
        <f>IF($D$1212="",0,$D1452*Table3[[#This Row],[CF]]*chronic_consumption!$L252/1000/$C$3)</f>
        <v>#DIV/0!</v>
      </c>
      <c r="R1452" s="1098" t="e">
        <f>IF($D$1212="",0,$D1452*Table3[[#This Row],[CF]]*chronic_consumption!$M252/1000/$C$3)</f>
        <v>#DIV/0!</v>
      </c>
      <c r="S1452" s="1098" t="e">
        <f>IF($D$1212="",0,$D1452*Table3[[#This Row],[CF]]*chronic_consumption!$N252/1000/$C$3)</f>
        <v>#DIV/0!</v>
      </c>
      <c r="T1452" s="1098" t="e">
        <f>IF($D$1212="",0,$D1452*Table3[[#This Row],[CF]]*chronic_consumption!$O252/1000/$C$3)</f>
        <v>#DIV/0!</v>
      </c>
      <c r="U1452" s="1098" t="e">
        <f>IF($D$1212="",0,$D1452*Table3[[#This Row],[CF]]*chronic_consumption!$P252/1000/$C$3)</f>
        <v>#DIV/0!</v>
      </c>
      <c r="V1452" s="1098" t="e">
        <f>IF($D$1212="",0,$D1452*Table3[[#This Row],[CF]]*chronic_consumption!$Q252/1000/$C$3)</f>
        <v>#DIV/0!</v>
      </c>
      <c r="W1452" s="1098" t="e">
        <f>IF($D$1212="",0,$D1452*Table3[[#This Row],[CF]]*chronic_consumption!$R252/1000/$C$3)</f>
        <v>#DIV/0!</v>
      </c>
      <c r="X1452" s="1098" t="e">
        <f>IF($D$1212="",0,$D1452*Table3[[#This Row],[CF]]*chronic_consumption!$S252/1000/$C$3)</f>
        <v>#DIV/0!</v>
      </c>
      <c r="Y1452" s="1098" t="e">
        <f>IF($D$1212="",0,$D1452*Table3[[#This Row],[CF]]*chronic_consumption!$T252/1000/$C$3)</f>
        <v>#DIV/0!</v>
      </c>
      <c r="Z1452" s="1098" t="e">
        <f>IF($D$1212="",0,$D1452*Table3[[#This Row],[CF]]*chronic_consumption!$U252/1000/$C$3)</f>
        <v>#DIV/0!</v>
      </c>
      <c r="AA1452" s="1098" t="e">
        <f>IF($D$1212="",0,$D1452*Table3[[#This Row],[CF]]*chronic_consumption!$V252/1000/$C$3)</f>
        <v>#DIV/0!</v>
      </c>
      <c r="AB1452" s="1098" t="e">
        <f>IF($D$1212="",0,$D1452*Table3[[#This Row],[CF]]*chronic_consumption!$W252/1000/$C$3)</f>
        <v>#DIV/0!</v>
      </c>
      <c r="AC1452" s="1098" t="e">
        <f>IF($D$1212="",0,$D1452*Table3[[#This Row],[CF]]*chronic_consumption!$X252/1000/$C$3)</f>
        <v>#DIV/0!</v>
      </c>
      <c r="AD1452" s="1098" t="e">
        <f>IF($D$1212="",0,$D1452*Table3[[#This Row],[CF]]*chronic_consumption!$Y252/1000/$C$3)</f>
        <v>#DIV/0!</v>
      </c>
      <c r="AE1452" s="1098" t="e">
        <f>IF($D$1212="",0,$D1452*Table3[[#This Row],[CF]]*chronic_consumption!$Z252/1000/$C$3)</f>
        <v>#DIV/0!</v>
      </c>
      <c r="AF1452" s="1098" t="e">
        <f>IF($D$1212="",0,$D1452*Table3[[#This Row],[CF]]*chronic_consumption!$AA252/1000/$C$3)</f>
        <v>#DIV/0!</v>
      </c>
      <c r="AG1452" s="1098" t="e">
        <f>IF($D$1212="",0,$D1452*Table3[[#This Row],[CF]]*chronic_consumption!$AB252/1000/$C$3)</f>
        <v>#DIV/0!</v>
      </c>
      <c r="AH1452" s="1098" t="e">
        <f>IF($D$1212="",0,$D1452*Table3[[#This Row],[CF]]*chronic_consumption!$AC252/1000/$C$3)</f>
        <v>#DIV/0!</v>
      </c>
      <c r="AI1452" s="1098" t="e">
        <f>IF($D$1212="",0,$D1452*Table3[[#This Row],[CF]]*chronic_consumption!$AD252/1000/$C$3)</f>
        <v>#DIV/0!</v>
      </c>
      <c r="AJ1452" s="1098" t="e">
        <f>IF($D$1212="",0,$D1452*Table3[[#This Row],[CF]]*chronic_consumption!$AE252/1000/$C$3)</f>
        <v>#DIV/0!</v>
      </c>
      <c r="AK1452" s="1098" t="e">
        <f>IF($D$1212="",0,$D1452*Table3[[#This Row],[CF]]*chronic_consumption!$AF252/1000/$C$3)</f>
        <v>#DIV/0!</v>
      </c>
      <c r="AL1452" s="1098" t="e">
        <f>IF($D$1212="",0,$D1452*Table3[[#This Row],[CF]]*chronic_consumption!$AG252/1000/$C$3)</f>
        <v>#DIV/0!</v>
      </c>
      <c r="AM1452" s="1098" t="e">
        <f>IF($D$1212="",0,$D1452*Table3[[#This Row],[CF]]*chronic_consumption!$AH252/1000/$C$3)</f>
        <v>#DIV/0!</v>
      </c>
      <c r="AN1452" s="1098" t="e">
        <f>IF($D$1212="",0,$D1452*Table3[[#This Row],[CF]]*chronic_consumption!$AI252/1000/$C$3)</f>
        <v>#DIV/0!</v>
      </c>
      <c r="AO1452" s="1098" t="e">
        <f>IF($D$1212="",0,$D1452*Table3[[#This Row],[CF]]*chronic_consumption!$AJ252/1000/$C$3)</f>
        <v>#DIV/0!</v>
      </c>
      <c r="AP1452" s="1098" t="e">
        <f>IF($D$1212="",0,$D1452*Table3[[#This Row],[CF]]*chronic_consumption!$AK252/1000/$C$3)</f>
        <v>#DIV/0!</v>
      </c>
      <c r="AQ1452" s="1098" t="e">
        <f>IF($D$1212="",0,$D1452*Table3[[#This Row],[CF]]*chronic_consumption!$AL252/1000/$C$3)</f>
        <v>#DIV/0!</v>
      </c>
      <c r="AR1452" s="1098" t="e">
        <f>IF($D$1212="",0,$D1452*Table3[[#This Row],[CF]]*chronic_consumption!$AM252/1000/$C$3)</f>
        <v>#DIV/0!</v>
      </c>
      <c r="AS1452" s="1098" t="e">
        <f>IF($D$1212="",0,$D1452*Table3[[#This Row],[CF]]*chronic_consumption!$AN252/1000/$C$3)</f>
        <v>#DIV/0!</v>
      </c>
      <c r="AT1452" s="1098" t="e">
        <f>IF($D$1212="",0,$D1452*Table3[[#This Row],[CF]]*chronic_consumption!$AO252/1000/$C$3)</f>
        <v>#DIV/0!</v>
      </c>
      <c r="AU1452" s="1099" t="e">
        <f t="shared" ref="AU1452:AY1461" si="874">IF(AU652="",0,IF(OR(1=RANK(AU1052,AU$412:AU$790,0),(2=RANK(AU1052,AU$412:AU$790,0))),AU1052,AU652))</f>
        <v>#DIV/0!</v>
      </c>
      <c r="AV1452" s="1099" t="e">
        <f t="shared" si="874"/>
        <v>#DIV/0!</v>
      </c>
      <c r="AW1452" s="1099" t="e">
        <f t="shared" si="874"/>
        <v>#DIV/0!</v>
      </c>
      <c r="AX1452" s="1099" t="e">
        <f t="shared" si="874"/>
        <v>#DIV/0!</v>
      </c>
      <c r="AY1452" s="1099" t="e">
        <f t="shared" si="874"/>
        <v>#DIV/0!</v>
      </c>
      <c r="AZ1452" s="1091" t="s">
        <v>1012</v>
      </c>
      <c r="BA1452" s="1097" t="e">
        <f>IF(Table3[[#This Row],[max]]&lt;&gt;0,RANK(Table3[[#This Row],[max]],Table3[max],0),"")</f>
        <v>#DIV/0!</v>
      </c>
      <c r="BB1452" s="1096" t="e">
        <f t="shared" si="865"/>
        <v>#DIV/0!</v>
      </c>
      <c r="BC1452" s="1096" t="e">
        <f t="shared" ca="1" si="866"/>
        <v>#DIV/0!</v>
      </c>
      <c r="BD1452" s="1096" t="e">
        <f>IF(Table3[[#This Row],[max]]&gt;0,Table3[[#This Row],[Crop groups and examples of individual products within the groups to which the MRLs apply]],"")</f>
        <v>#DIV/0!</v>
      </c>
    </row>
    <row r="1453" spans="2:56" x14ac:dyDescent="0.2">
      <c r="B1453" s="127">
        <f t="shared" si="873"/>
        <v>600000</v>
      </c>
      <c r="C1453" s="127" t="str">
        <f t="shared" si="873"/>
        <v>TEA, COFFEE,  HERBAL INFUSIONS AND COCOA</v>
      </c>
      <c r="D1453" s="1084">
        <f>input_values!E253</f>
        <v>0</v>
      </c>
      <c r="E1453" s="1084">
        <f>input_values!F253</f>
        <v>0</v>
      </c>
      <c r="F1453" s="1085">
        <f>input_values!W253</f>
        <v>0</v>
      </c>
      <c r="G1453" s="1085" t="str">
        <f>IF(Table3[[#This Row],[CF]]&gt;0,CONCATENATE(IF(Table3[[#This Row],[LOQ]]="*","LOQ","MRL"),IF(input_values!G253&gt;0,"×CFrisk","")),"")</f>
        <v/>
      </c>
      <c r="H1453" s="1087">
        <f>input_values!L253</f>
        <v>0</v>
      </c>
      <c r="I1453" s="1088">
        <f>input_values!D253</f>
        <v>0</v>
      </c>
      <c r="J1453" s="1102" t="e">
        <f>IF($D$1212="",0,$D1453*Table3[[#This Row],[CF]]*chronic_consumption!$E253/1000/$C$3)</f>
        <v>#DIV/0!</v>
      </c>
      <c r="K1453" s="1102" t="e">
        <f>IF($D$1212="",0,$D1453*Table3[[#This Row],[CF]]*chronic_consumption!$F253/1000/$C$3)</f>
        <v>#DIV/0!</v>
      </c>
      <c r="L1453" s="1102" t="e">
        <f>IF($D$1212="",0,$D1453*Table3[[#This Row],[CF]]*chronic_consumption!$G253/1000/$C$3)</f>
        <v>#DIV/0!</v>
      </c>
      <c r="M1453" s="1102" t="e">
        <f>IF($D$1212="",0,$D1453*Table3[[#This Row],[CF]]*chronic_consumption!$H253/1000/$C$3)</f>
        <v>#DIV/0!</v>
      </c>
      <c r="N1453" s="1102" t="e">
        <f>IF($D$1212="",0,$D1453*Table3[[#This Row],[CF]]*chronic_consumption!$I253/1000/$C$3)</f>
        <v>#DIV/0!</v>
      </c>
      <c r="O1453" s="1102" t="e">
        <f>IF($D$1212="",0,$D1453*Table3[[#This Row],[CF]]*chronic_consumption!$J253/1000/$C$3)</f>
        <v>#DIV/0!</v>
      </c>
      <c r="P1453" s="1102" t="e">
        <f>IF($D$1212="",0,$D1453*Table3[[#This Row],[CF]]*chronic_consumption!$K253/1000/$C$3)</f>
        <v>#DIV/0!</v>
      </c>
      <c r="Q1453" s="1102" t="e">
        <f>IF($D$1212="",0,$D1453*Table3[[#This Row],[CF]]*chronic_consumption!$L253/1000/$C$3)</f>
        <v>#DIV/0!</v>
      </c>
      <c r="R1453" s="1102" t="e">
        <f>IF($D$1212="",0,$D1453*Table3[[#This Row],[CF]]*chronic_consumption!$M253/1000/$C$3)</f>
        <v>#DIV/0!</v>
      </c>
      <c r="S1453" s="1102" t="e">
        <f>IF($D$1212="",0,$D1453*Table3[[#This Row],[CF]]*chronic_consumption!$N253/1000/$C$3)</f>
        <v>#DIV/0!</v>
      </c>
      <c r="T1453" s="1102" t="e">
        <f>IF($D$1212="",0,$D1453*Table3[[#This Row],[CF]]*chronic_consumption!$O253/1000/$C$3)</f>
        <v>#DIV/0!</v>
      </c>
      <c r="U1453" s="1102" t="e">
        <f>IF($D$1212="",0,$D1453*Table3[[#This Row],[CF]]*chronic_consumption!$P253/1000/$C$3)</f>
        <v>#DIV/0!</v>
      </c>
      <c r="V1453" s="1102" t="e">
        <f>IF($D$1212="",0,$D1453*Table3[[#This Row],[CF]]*chronic_consumption!$Q253/1000/$C$3)</f>
        <v>#DIV/0!</v>
      </c>
      <c r="W1453" s="1102" t="e">
        <f>IF($D$1212="",0,$D1453*Table3[[#This Row],[CF]]*chronic_consumption!$R253/1000/$C$3)</f>
        <v>#DIV/0!</v>
      </c>
      <c r="X1453" s="1102" t="e">
        <f>IF($D$1212="",0,$D1453*Table3[[#This Row],[CF]]*chronic_consumption!$S253/1000/$C$3)</f>
        <v>#DIV/0!</v>
      </c>
      <c r="Y1453" s="1102" t="e">
        <f>IF($D$1212="",0,$D1453*Table3[[#This Row],[CF]]*chronic_consumption!$T253/1000/$C$3)</f>
        <v>#DIV/0!</v>
      </c>
      <c r="Z1453" s="1102" t="e">
        <f>IF($D$1212="",0,$D1453*Table3[[#This Row],[CF]]*chronic_consumption!$U253/1000/$C$3)</f>
        <v>#DIV/0!</v>
      </c>
      <c r="AA1453" s="1102" t="e">
        <f>IF($D$1212="",0,$D1453*Table3[[#This Row],[CF]]*chronic_consumption!$V253/1000/$C$3)</f>
        <v>#DIV/0!</v>
      </c>
      <c r="AB1453" s="1102" t="e">
        <f>IF($D$1212="",0,$D1453*Table3[[#This Row],[CF]]*chronic_consumption!$W253/1000/$C$3)</f>
        <v>#DIV/0!</v>
      </c>
      <c r="AC1453" s="1102" t="e">
        <f>IF($D$1212="",0,$D1453*Table3[[#This Row],[CF]]*chronic_consumption!$X253/1000/$C$3)</f>
        <v>#DIV/0!</v>
      </c>
      <c r="AD1453" s="1102" t="e">
        <f>IF($D$1212="",0,$D1453*Table3[[#This Row],[CF]]*chronic_consumption!$Y253/1000/$C$3)</f>
        <v>#DIV/0!</v>
      </c>
      <c r="AE1453" s="1102" t="e">
        <f>IF($D$1212="",0,$D1453*Table3[[#This Row],[CF]]*chronic_consumption!$Z253/1000/$C$3)</f>
        <v>#DIV/0!</v>
      </c>
      <c r="AF1453" s="1102" t="e">
        <f>IF($D$1212="",0,$D1453*Table3[[#This Row],[CF]]*chronic_consumption!$AA253/1000/$C$3)</f>
        <v>#DIV/0!</v>
      </c>
      <c r="AG1453" s="1102" t="e">
        <f>IF($D$1212="",0,$D1453*Table3[[#This Row],[CF]]*chronic_consumption!$AB253/1000/$C$3)</f>
        <v>#DIV/0!</v>
      </c>
      <c r="AH1453" s="1102" t="e">
        <f>IF($D$1212="",0,$D1453*Table3[[#This Row],[CF]]*chronic_consumption!$AC253/1000/$C$3)</f>
        <v>#DIV/0!</v>
      </c>
      <c r="AI1453" s="1102" t="e">
        <f>IF($D$1212="",0,$D1453*Table3[[#This Row],[CF]]*chronic_consumption!$AD253/1000/$C$3)</f>
        <v>#DIV/0!</v>
      </c>
      <c r="AJ1453" s="1102" t="e">
        <f>IF($D$1212="",0,$D1453*Table3[[#This Row],[CF]]*chronic_consumption!$AE253/1000/$C$3)</f>
        <v>#DIV/0!</v>
      </c>
      <c r="AK1453" s="1102" t="e">
        <f>IF($D$1212="",0,$D1453*Table3[[#This Row],[CF]]*chronic_consumption!$AF253/1000/$C$3)</f>
        <v>#DIV/0!</v>
      </c>
      <c r="AL1453" s="1102" t="e">
        <f>IF($D$1212="",0,$D1453*Table3[[#This Row],[CF]]*chronic_consumption!$AG253/1000/$C$3)</f>
        <v>#DIV/0!</v>
      </c>
      <c r="AM1453" s="1102" t="e">
        <f>IF($D$1212="",0,$D1453*Table3[[#This Row],[CF]]*chronic_consumption!$AH253/1000/$C$3)</f>
        <v>#DIV/0!</v>
      </c>
      <c r="AN1453" s="1102" t="e">
        <f>IF($D$1212="",0,$D1453*Table3[[#This Row],[CF]]*chronic_consumption!$AI253/1000/$C$3)</f>
        <v>#DIV/0!</v>
      </c>
      <c r="AO1453" s="1102" t="e">
        <f>IF($D$1212="",0,$D1453*Table3[[#This Row],[CF]]*chronic_consumption!$AJ253/1000/$C$3)</f>
        <v>#DIV/0!</v>
      </c>
      <c r="AP1453" s="1102" t="e">
        <f>IF($D$1212="",0,$D1453*Table3[[#This Row],[CF]]*chronic_consumption!$AK253/1000/$C$3)</f>
        <v>#DIV/0!</v>
      </c>
      <c r="AQ1453" s="1102" t="e">
        <f>IF($D$1212="",0,$D1453*Table3[[#This Row],[CF]]*chronic_consumption!$AL253/1000/$C$3)</f>
        <v>#DIV/0!</v>
      </c>
      <c r="AR1453" s="1102" t="e">
        <f>IF($D$1212="",0,$D1453*Table3[[#This Row],[CF]]*chronic_consumption!$AM253/1000/$C$3)</f>
        <v>#DIV/0!</v>
      </c>
      <c r="AS1453" s="1102" t="e">
        <f>IF($D$1212="",0,$D1453*Table3[[#This Row],[CF]]*chronic_consumption!$AN253/1000/$C$3)</f>
        <v>#DIV/0!</v>
      </c>
      <c r="AT1453" s="1102" t="e">
        <f>IF($D$1212="",0,$D1453*Table3[[#This Row],[CF]]*chronic_consumption!$AO253/1000/$C$3)</f>
        <v>#DIV/0!</v>
      </c>
      <c r="AU1453" s="1090" t="e">
        <f t="shared" si="874"/>
        <v>#DIV/0!</v>
      </c>
      <c r="AV1453" s="1090" t="e">
        <f t="shared" si="874"/>
        <v>#DIV/0!</v>
      </c>
      <c r="AW1453" s="1090" t="e">
        <f t="shared" si="874"/>
        <v>#DIV/0!</v>
      </c>
      <c r="AX1453" s="1090" t="e">
        <f t="shared" si="874"/>
        <v>#DIV/0!</v>
      </c>
      <c r="AY1453" s="1090" t="e">
        <f t="shared" si="874"/>
        <v>#DIV/0!</v>
      </c>
      <c r="AZ1453" s="1091" t="s">
        <v>1012</v>
      </c>
      <c r="BA1453" s="1097" t="e">
        <f>IF(Table3[[#This Row],[max]]&lt;&gt;0,RANK(Table3[[#This Row],[max]],Table3[max],0),"")</f>
        <v>#DIV/0!</v>
      </c>
      <c r="BB1453" s="1096" t="e">
        <f t="shared" si="865"/>
        <v>#DIV/0!</v>
      </c>
      <c r="BC1453" s="1096" t="e">
        <f t="shared" ca="1" si="866"/>
        <v>#DIV/0!</v>
      </c>
      <c r="BD1453" s="1096" t="e">
        <f>IF(Table3[[#This Row],[max]]&gt;0,Table3[[#This Row],[Crop groups and examples of individual products within the groups to which the MRLs apply]],"")</f>
        <v>#DIV/0!</v>
      </c>
    </row>
    <row r="1454" spans="2:56" x14ac:dyDescent="0.2">
      <c r="B1454" s="131">
        <f t="shared" si="873"/>
        <v>610000</v>
      </c>
      <c r="C1454" s="131" t="str">
        <f t="shared" si="873"/>
        <v>Tea (dried leaves of Camellia sinensis)</v>
      </c>
      <c r="D1454" s="1084">
        <f>input_values!E254</f>
        <v>0</v>
      </c>
      <c r="E1454" s="1084">
        <f>input_values!F254</f>
        <v>0</v>
      </c>
      <c r="F1454" s="1085">
        <f>input_values!W254</f>
        <v>1</v>
      </c>
      <c r="G1454" s="1085" t="str">
        <f>IF(Table3[[#This Row],[CF]]&gt;0,CONCATENATE(IF(Table3[[#This Row],[LOQ]]="*","LOQ","MRL"),IF(input_values!G254&gt;0,"×CFrisk","")),"")</f>
        <v>MRL</v>
      </c>
      <c r="H1454" s="1087">
        <f>input_values!L254</f>
        <v>0</v>
      </c>
      <c r="I1454" s="1088">
        <f>input_values!D254</f>
        <v>0</v>
      </c>
      <c r="J1454" s="1095" t="e">
        <f>IF($D$1212="",0,$D1454*Table3[[#This Row],[CF]]*chronic_consumption!$E254/1000/$C$3)</f>
        <v>#DIV/0!</v>
      </c>
      <c r="K1454" s="1095" t="e">
        <f>IF($D$1212="",0,$D1454*Table3[[#This Row],[CF]]*chronic_consumption!$F254/1000/$C$3)</f>
        <v>#DIV/0!</v>
      </c>
      <c r="L1454" s="1095" t="e">
        <f>IF($D$1212="",0,$D1454*Table3[[#This Row],[CF]]*chronic_consumption!$G254/1000/$C$3)</f>
        <v>#DIV/0!</v>
      </c>
      <c r="M1454" s="1095" t="e">
        <f>IF($D$1212="",0,$D1454*Table3[[#This Row],[CF]]*chronic_consumption!$H254/1000/$C$3)</f>
        <v>#DIV/0!</v>
      </c>
      <c r="N1454" s="1095" t="e">
        <f>IF($D$1212="",0,$D1454*Table3[[#This Row],[CF]]*chronic_consumption!$I254/1000/$C$3)</f>
        <v>#DIV/0!</v>
      </c>
      <c r="O1454" s="1095" t="e">
        <f>IF($D$1212="",0,$D1454*Table3[[#This Row],[CF]]*chronic_consumption!$J254/1000/$C$3)</f>
        <v>#DIV/0!</v>
      </c>
      <c r="P1454" s="1095" t="e">
        <f>IF($D$1212="",0,$D1454*Table3[[#This Row],[CF]]*chronic_consumption!$K254/1000/$C$3)</f>
        <v>#DIV/0!</v>
      </c>
      <c r="Q1454" s="1095" t="e">
        <f>IF($D$1212="",0,$D1454*Table3[[#This Row],[CF]]*chronic_consumption!$L254/1000/$C$3)</f>
        <v>#DIV/0!</v>
      </c>
      <c r="R1454" s="1095" t="e">
        <f>IF($D$1212="",0,$D1454*Table3[[#This Row],[CF]]*chronic_consumption!$M254/1000/$C$3)</f>
        <v>#DIV/0!</v>
      </c>
      <c r="S1454" s="1095" t="e">
        <f>IF($D$1212="",0,$D1454*Table3[[#This Row],[CF]]*chronic_consumption!$N254/1000/$C$3)</f>
        <v>#DIV/0!</v>
      </c>
      <c r="T1454" s="1095" t="e">
        <f>IF($D$1212="",0,$D1454*Table3[[#This Row],[CF]]*chronic_consumption!$O254/1000/$C$3)</f>
        <v>#DIV/0!</v>
      </c>
      <c r="U1454" s="1095" t="e">
        <f>IF($D$1212="",0,$D1454*Table3[[#This Row],[CF]]*chronic_consumption!$P254/1000/$C$3)</f>
        <v>#DIV/0!</v>
      </c>
      <c r="V1454" s="1095" t="e">
        <f>IF($D$1212="",0,$D1454*Table3[[#This Row],[CF]]*chronic_consumption!$Q254/1000/$C$3)</f>
        <v>#DIV/0!</v>
      </c>
      <c r="W1454" s="1095" t="e">
        <f>IF($D$1212="",0,$D1454*Table3[[#This Row],[CF]]*chronic_consumption!$R254/1000/$C$3)</f>
        <v>#DIV/0!</v>
      </c>
      <c r="X1454" s="1095" t="e">
        <f>IF($D$1212="",0,$D1454*Table3[[#This Row],[CF]]*chronic_consumption!$S254/1000/$C$3)</f>
        <v>#DIV/0!</v>
      </c>
      <c r="Y1454" s="1095" t="e">
        <f>IF($D$1212="",0,$D1454*Table3[[#This Row],[CF]]*chronic_consumption!$T254/1000/$C$3)</f>
        <v>#DIV/0!</v>
      </c>
      <c r="Z1454" s="1095" t="e">
        <f>IF($D$1212="",0,$D1454*Table3[[#This Row],[CF]]*chronic_consumption!$U254/1000/$C$3)</f>
        <v>#DIV/0!</v>
      </c>
      <c r="AA1454" s="1095" t="e">
        <f>IF($D$1212="",0,$D1454*Table3[[#This Row],[CF]]*chronic_consumption!$V254/1000/$C$3)</f>
        <v>#DIV/0!</v>
      </c>
      <c r="AB1454" s="1095" t="e">
        <f>IF($D$1212="",0,$D1454*Table3[[#This Row],[CF]]*chronic_consumption!$W254/1000/$C$3)</f>
        <v>#DIV/0!</v>
      </c>
      <c r="AC1454" s="1095" t="e">
        <f>IF($D$1212="",0,$D1454*Table3[[#This Row],[CF]]*chronic_consumption!$X254/1000/$C$3)</f>
        <v>#DIV/0!</v>
      </c>
      <c r="AD1454" s="1095" t="e">
        <f>IF($D$1212="",0,$D1454*Table3[[#This Row],[CF]]*chronic_consumption!$Y254/1000/$C$3)</f>
        <v>#DIV/0!</v>
      </c>
      <c r="AE1454" s="1095" t="e">
        <f>IF($D$1212="",0,$D1454*Table3[[#This Row],[CF]]*chronic_consumption!$Z254/1000/$C$3)</f>
        <v>#DIV/0!</v>
      </c>
      <c r="AF1454" s="1095" t="e">
        <f>IF($D$1212="",0,$D1454*Table3[[#This Row],[CF]]*chronic_consumption!$AA254/1000/$C$3)</f>
        <v>#DIV/0!</v>
      </c>
      <c r="AG1454" s="1095" t="e">
        <f>IF($D$1212="",0,$D1454*Table3[[#This Row],[CF]]*chronic_consumption!$AB254/1000/$C$3)</f>
        <v>#DIV/0!</v>
      </c>
      <c r="AH1454" s="1095" t="e">
        <f>IF($D$1212="",0,$D1454*Table3[[#This Row],[CF]]*chronic_consumption!$AC254/1000/$C$3)</f>
        <v>#DIV/0!</v>
      </c>
      <c r="AI1454" s="1095" t="e">
        <f>IF($D$1212="",0,$D1454*Table3[[#This Row],[CF]]*chronic_consumption!$AD254/1000/$C$3)</f>
        <v>#DIV/0!</v>
      </c>
      <c r="AJ1454" s="1095" t="e">
        <f>IF($D$1212="",0,$D1454*Table3[[#This Row],[CF]]*chronic_consumption!$AE254/1000/$C$3)</f>
        <v>#DIV/0!</v>
      </c>
      <c r="AK1454" s="1095" t="e">
        <f>IF($D$1212="",0,$D1454*Table3[[#This Row],[CF]]*chronic_consumption!$AF254/1000/$C$3)</f>
        <v>#DIV/0!</v>
      </c>
      <c r="AL1454" s="1095" t="e">
        <f>IF($D$1212="",0,$D1454*Table3[[#This Row],[CF]]*chronic_consumption!$AG254/1000/$C$3)</f>
        <v>#DIV/0!</v>
      </c>
      <c r="AM1454" s="1095" t="e">
        <f>IF($D$1212="",0,$D1454*Table3[[#This Row],[CF]]*chronic_consumption!$AH254/1000/$C$3)</f>
        <v>#DIV/0!</v>
      </c>
      <c r="AN1454" s="1095" t="e">
        <f>IF($D$1212="",0,$D1454*Table3[[#This Row],[CF]]*chronic_consumption!$AI254/1000/$C$3)</f>
        <v>#DIV/0!</v>
      </c>
      <c r="AO1454" s="1095" t="e">
        <f>IF($D$1212="",0,$D1454*Table3[[#This Row],[CF]]*chronic_consumption!$AJ254/1000/$C$3)</f>
        <v>#DIV/0!</v>
      </c>
      <c r="AP1454" s="1095" t="e">
        <f>IF($D$1212="",0,$D1454*Table3[[#This Row],[CF]]*chronic_consumption!$AK254/1000/$C$3)</f>
        <v>#DIV/0!</v>
      </c>
      <c r="AQ1454" s="1095" t="e">
        <f>IF($D$1212="",0,$D1454*Table3[[#This Row],[CF]]*chronic_consumption!$AL254/1000/$C$3)</f>
        <v>#DIV/0!</v>
      </c>
      <c r="AR1454" s="1095" t="e">
        <f>IF($D$1212="",0,$D1454*Table3[[#This Row],[CF]]*chronic_consumption!$AM254/1000/$C$3)</f>
        <v>#DIV/0!</v>
      </c>
      <c r="AS1454" s="1095" t="e">
        <f>IF($D$1212="",0,$D1454*Table3[[#This Row],[CF]]*chronic_consumption!$AN254/1000/$C$3)</f>
        <v>#DIV/0!</v>
      </c>
      <c r="AT1454" s="1095" t="e">
        <f>IF($D$1212="",0,$D1454*Table3[[#This Row],[CF]]*chronic_consumption!$AO254/1000/$C$3)</f>
        <v>#DIV/0!</v>
      </c>
      <c r="AU1454" s="1096" t="e">
        <f t="shared" si="874"/>
        <v>#DIV/0!</v>
      </c>
      <c r="AV1454" s="1096" t="e">
        <f t="shared" si="874"/>
        <v>#DIV/0!</v>
      </c>
      <c r="AW1454" s="1096" t="e">
        <f t="shared" si="874"/>
        <v>#DIV/0!</v>
      </c>
      <c r="AX1454" s="1096" t="e">
        <f t="shared" si="874"/>
        <v>#DIV/0!</v>
      </c>
      <c r="AY1454" s="1096" t="e">
        <f t="shared" si="874"/>
        <v>#DIV/0!</v>
      </c>
      <c r="AZ1454" s="1091" t="s">
        <v>1012</v>
      </c>
      <c r="BA1454" s="1097" t="e">
        <f>IF(Table3[[#This Row],[max]]&lt;&gt;0,RANK(Table3[[#This Row],[max]],Table3[max],0),"")</f>
        <v>#DIV/0!</v>
      </c>
      <c r="BB1454" s="1096" t="e">
        <f t="shared" si="865"/>
        <v>#DIV/0!</v>
      </c>
      <c r="BC1454" s="1096" t="e">
        <f t="shared" ca="1" si="866"/>
        <v>#DIV/0!</v>
      </c>
      <c r="BD1454" s="1096" t="e">
        <f>IF(Table3[[#This Row],[max]]&gt;0,Table3[[#This Row],[Crop groups and examples of individual products within the groups to which the MRLs apply]],"")</f>
        <v>#DIV/0!</v>
      </c>
    </row>
    <row r="1455" spans="2:56" x14ac:dyDescent="0.2">
      <c r="B1455" s="131">
        <f t="shared" si="873"/>
        <v>620000</v>
      </c>
      <c r="C1455" s="131" t="str">
        <f t="shared" si="873"/>
        <v>Coffee beans</v>
      </c>
      <c r="D1455" s="1084">
        <f>input_values!E255</f>
        <v>0</v>
      </c>
      <c r="E1455" s="1084">
        <f>input_values!F255</f>
        <v>0</v>
      </c>
      <c r="F1455" s="1085">
        <f>input_values!W255</f>
        <v>1</v>
      </c>
      <c r="G1455" s="1085" t="str">
        <f>IF(Table3[[#This Row],[CF]]&gt;0,CONCATENATE(IF(Table3[[#This Row],[LOQ]]="*","LOQ","MRL"),IF(input_values!G255&gt;0,"×CFrisk","")),"")</f>
        <v>MRL</v>
      </c>
      <c r="H1455" s="1087">
        <f>input_values!L255</f>
        <v>0</v>
      </c>
      <c r="I1455" s="1088">
        <f>input_values!D255</f>
        <v>0</v>
      </c>
      <c r="J1455" s="1095" t="e">
        <f>IF($D$1212="",0,$D1455*Table3[[#This Row],[CF]]*chronic_consumption!$E255/1000/$C$3)</f>
        <v>#DIV/0!</v>
      </c>
      <c r="K1455" s="1095" t="e">
        <f>IF($D$1212="",0,$D1455*Table3[[#This Row],[CF]]*chronic_consumption!$F255/1000/$C$3)</f>
        <v>#DIV/0!</v>
      </c>
      <c r="L1455" s="1095" t="e">
        <f>IF($D$1212="",0,$D1455*Table3[[#This Row],[CF]]*chronic_consumption!$G255/1000/$C$3)</f>
        <v>#DIV/0!</v>
      </c>
      <c r="M1455" s="1095" t="e">
        <f>IF($D$1212="",0,$D1455*Table3[[#This Row],[CF]]*chronic_consumption!$H255/1000/$C$3)</f>
        <v>#DIV/0!</v>
      </c>
      <c r="N1455" s="1095" t="e">
        <f>IF($D$1212="",0,$D1455*Table3[[#This Row],[CF]]*chronic_consumption!$I255/1000/$C$3)</f>
        <v>#DIV/0!</v>
      </c>
      <c r="O1455" s="1095" t="e">
        <f>IF($D$1212="",0,$D1455*Table3[[#This Row],[CF]]*chronic_consumption!$J255/1000/$C$3)</f>
        <v>#DIV/0!</v>
      </c>
      <c r="P1455" s="1095" t="e">
        <f>IF($D$1212="",0,$D1455*Table3[[#This Row],[CF]]*chronic_consumption!$K255/1000/$C$3)</f>
        <v>#DIV/0!</v>
      </c>
      <c r="Q1455" s="1095" t="e">
        <f>IF($D$1212="",0,$D1455*Table3[[#This Row],[CF]]*chronic_consumption!$L255/1000/$C$3)</f>
        <v>#DIV/0!</v>
      </c>
      <c r="R1455" s="1095" t="e">
        <f>IF($D$1212="",0,$D1455*Table3[[#This Row],[CF]]*chronic_consumption!$M255/1000/$C$3)</f>
        <v>#DIV/0!</v>
      </c>
      <c r="S1455" s="1095" t="e">
        <f>IF($D$1212="",0,$D1455*Table3[[#This Row],[CF]]*chronic_consumption!$N255/1000/$C$3)</f>
        <v>#DIV/0!</v>
      </c>
      <c r="T1455" s="1095" t="e">
        <f>IF($D$1212="",0,$D1455*Table3[[#This Row],[CF]]*chronic_consumption!$O255/1000/$C$3)</f>
        <v>#DIV/0!</v>
      </c>
      <c r="U1455" s="1095" t="e">
        <f>IF($D$1212="",0,$D1455*Table3[[#This Row],[CF]]*chronic_consumption!$P255/1000/$C$3)</f>
        <v>#DIV/0!</v>
      </c>
      <c r="V1455" s="1095" t="e">
        <f>IF($D$1212="",0,$D1455*Table3[[#This Row],[CF]]*chronic_consumption!$Q255/1000/$C$3)</f>
        <v>#DIV/0!</v>
      </c>
      <c r="W1455" s="1095" t="e">
        <f>IF($D$1212="",0,$D1455*Table3[[#This Row],[CF]]*chronic_consumption!$R255/1000/$C$3)</f>
        <v>#DIV/0!</v>
      </c>
      <c r="X1455" s="1095" t="e">
        <f>IF($D$1212="",0,$D1455*Table3[[#This Row],[CF]]*chronic_consumption!$S255/1000/$C$3)</f>
        <v>#DIV/0!</v>
      </c>
      <c r="Y1455" s="1095" t="e">
        <f>IF($D$1212="",0,$D1455*Table3[[#This Row],[CF]]*chronic_consumption!$T255/1000/$C$3)</f>
        <v>#DIV/0!</v>
      </c>
      <c r="Z1455" s="1095" t="e">
        <f>IF($D$1212="",0,$D1455*Table3[[#This Row],[CF]]*chronic_consumption!$U255/1000/$C$3)</f>
        <v>#DIV/0!</v>
      </c>
      <c r="AA1455" s="1095" t="e">
        <f>IF($D$1212="",0,$D1455*Table3[[#This Row],[CF]]*chronic_consumption!$V255/1000/$C$3)</f>
        <v>#DIV/0!</v>
      </c>
      <c r="AB1455" s="1095" t="e">
        <f>IF($D$1212="",0,$D1455*Table3[[#This Row],[CF]]*chronic_consumption!$W255/1000/$C$3)</f>
        <v>#DIV/0!</v>
      </c>
      <c r="AC1455" s="1095" t="e">
        <f>IF($D$1212="",0,$D1455*Table3[[#This Row],[CF]]*chronic_consumption!$X255/1000/$C$3)</f>
        <v>#DIV/0!</v>
      </c>
      <c r="AD1455" s="1095" t="e">
        <f>IF($D$1212="",0,$D1455*Table3[[#This Row],[CF]]*chronic_consumption!$Y255/1000/$C$3)</f>
        <v>#DIV/0!</v>
      </c>
      <c r="AE1455" s="1095" t="e">
        <f>IF($D$1212="",0,$D1455*Table3[[#This Row],[CF]]*chronic_consumption!$Z255/1000/$C$3)</f>
        <v>#DIV/0!</v>
      </c>
      <c r="AF1455" s="1095" t="e">
        <f>IF($D$1212="",0,$D1455*Table3[[#This Row],[CF]]*chronic_consumption!$AA255/1000/$C$3)</f>
        <v>#DIV/0!</v>
      </c>
      <c r="AG1455" s="1095" t="e">
        <f>IF($D$1212="",0,$D1455*Table3[[#This Row],[CF]]*chronic_consumption!$AB255/1000/$C$3)</f>
        <v>#DIV/0!</v>
      </c>
      <c r="AH1455" s="1095" t="e">
        <f>IF($D$1212="",0,$D1455*Table3[[#This Row],[CF]]*chronic_consumption!$AC255/1000/$C$3)</f>
        <v>#DIV/0!</v>
      </c>
      <c r="AI1455" s="1095" t="e">
        <f>IF($D$1212="",0,$D1455*Table3[[#This Row],[CF]]*chronic_consumption!$AD255/1000/$C$3)</f>
        <v>#DIV/0!</v>
      </c>
      <c r="AJ1455" s="1095" t="e">
        <f>IF($D$1212="",0,$D1455*Table3[[#This Row],[CF]]*chronic_consumption!$AE255/1000/$C$3)</f>
        <v>#DIV/0!</v>
      </c>
      <c r="AK1455" s="1095" t="e">
        <f>IF($D$1212="",0,$D1455*Table3[[#This Row],[CF]]*chronic_consumption!$AF255/1000/$C$3)</f>
        <v>#DIV/0!</v>
      </c>
      <c r="AL1455" s="1095" t="e">
        <f>IF($D$1212="",0,$D1455*Table3[[#This Row],[CF]]*chronic_consumption!$AG255/1000/$C$3)</f>
        <v>#DIV/0!</v>
      </c>
      <c r="AM1455" s="1095" t="e">
        <f>IF($D$1212="",0,$D1455*Table3[[#This Row],[CF]]*chronic_consumption!$AH255/1000/$C$3)</f>
        <v>#DIV/0!</v>
      </c>
      <c r="AN1455" s="1095" t="e">
        <f>IF($D$1212="",0,$D1455*Table3[[#This Row],[CF]]*chronic_consumption!$AI255/1000/$C$3)</f>
        <v>#DIV/0!</v>
      </c>
      <c r="AO1455" s="1095" t="e">
        <f>IF($D$1212="",0,$D1455*Table3[[#This Row],[CF]]*chronic_consumption!$AJ255/1000/$C$3)</f>
        <v>#DIV/0!</v>
      </c>
      <c r="AP1455" s="1095" t="e">
        <f>IF($D$1212="",0,$D1455*Table3[[#This Row],[CF]]*chronic_consumption!$AK255/1000/$C$3)</f>
        <v>#DIV/0!</v>
      </c>
      <c r="AQ1455" s="1095" t="e">
        <f>IF($D$1212="",0,$D1455*Table3[[#This Row],[CF]]*chronic_consumption!$AL255/1000/$C$3)</f>
        <v>#DIV/0!</v>
      </c>
      <c r="AR1455" s="1095" t="e">
        <f>IF($D$1212="",0,$D1455*Table3[[#This Row],[CF]]*chronic_consumption!$AM255/1000/$C$3)</f>
        <v>#DIV/0!</v>
      </c>
      <c r="AS1455" s="1095" t="e">
        <f>IF($D$1212="",0,$D1455*Table3[[#This Row],[CF]]*chronic_consumption!$AN255/1000/$C$3)</f>
        <v>#DIV/0!</v>
      </c>
      <c r="AT1455" s="1095" t="e">
        <f>IF($D$1212="",0,$D1455*Table3[[#This Row],[CF]]*chronic_consumption!$AO255/1000/$C$3)</f>
        <v>#DIV/0!</v>
      </c>
      <c r="AU1455" s="1096" t="e">
        <f t="shared" si="874"/>
        <v>#DIV/0!</v>
      </c>
      <c r="AV1455" s="1096" t="e">
        <f t="shared" si="874"/>
        <v>#DIV/0!</v>
      </c>
      <c r="AW1455" s="1096" t="e">
        <f t="shared" si="874"/>
        <v>#DIV/0!</v>
      </c>
      <c r="AX1455" s="1096" t="e">
        <f t="shared" si="874"/>
        <v>#DIV/0!</v>
      </c>
      <c r="AY1455" s="1096" t="e">
        <f t="shared" si="874"/>
        <v>#DIV/0!</v>
      </c>
      <c r="AZ1455" s="1091" t="s">
        <v>1012</v>
      </c>
      <c r="BA1455" s="1097" t="e">
        <f>IF(Table3[[#This Row],[max]]&lt;&gt;0,RANK(Table3[[#This Row],[max]],Table3[max],0),"")</f>
        <v>#DIV/0!</v>
      </c>
      <c r="BB1455" s="1096" t="e">
        <f t="shared" si="865"/>
        <v>#DIV/0!</v>
      </c>
      <c r="BC1455" s="1096" t="e">
        <f t="shared" ca="1" si="866"/>
        <v>#DIV/0!</v>
      </c>
      <c r="BD1455" s="1096" t="e">
        <f>IF(Table3[[#This Row],[max]]&gt;0,Table3[[#This Row],[Crop groups and examples of individual products within the groups to which the MRLs apply]],"")</f>
        <v>#DIV/0!</v>
      </c>
    </row>
    <row r="1456" spans="2:56" x14ac:dyDescent="0.2">
      <c r="B1456" s="131">
        <f t="shared" si="873"/>
        <v>630000</v>
      </c>
      <c r="C1456" s="131" t="str">
        <f t="shared" si="873"/>
        <v>Herbal infusions (dried)</v>
      </c>
      <c r="D1456" s="1084">
        <f>input_values!E256</f>
        <v>0</v>
      </c>
      <c r="E1456" s="1084">
        <f>input_values!F256</f>
        <v>0</v>
      </c>
      <c r="F1456" s="1085">
        <f>input_values!W256</f>
        <v>0</v>
      </c>
      <c r="G1456" s="1085" t="str">
        <f>IF(Table3[[#This Row],[CF]]&gt;0,CONCATENATE(IF(Table3[[#This Row],[LOQ]]="*","LOQ","MRL"),IF(input_values!G256&gt;0,"×CFrisk","")),"")</f>
        <v/>
      </c>
      <c r="H1456" s="1087">
        <f>input_values!L256</f>
        <v>0</v>
      </c>
      <c r="I1456" s="1088">
        <f>input_values!D256</f>
        <v>0</v>
      </c>
      <c r="J1456" s="1095" t="e">
        <f>IF($D$1212="",0,$D1456*Table3[[#This Row],[CF]]*chronic_consumption!$E256/1000/$C$3)</f>
        <v>#DIV/0!</v>
      </c>
      <c r="K1456" s="1095" t="e">
        <f>IF($D$1212="",0,$D1456*Table3[[#This Row],[CF]]*chronic_consumption!$F256/1000/$C$3)</f>
        <v>#DIV/0!</v>
      </c>
      <c r="L1456" s="1095" t="e">
        <f>IF($D$1212="",0,$D1456*Table3[[#This Row],[CF]]*chronic_consumption!$G256/1000/$C$3)</f>
        <v>#DIV/0!</v>
      </c>
      <c r="M1456" s="1095" t="e">
        <f>IF($D$1212="",0,$D1456*Table3[[#This Row],[CF]]*chronic_consumption!$H256/1000/$C$3)</f>
        <v>#DIV/0!</v>
      </c>
      <c r="N1456" s="1095" t="e">
        <f>IF($D$1212="",0,$D1456*Table3[[#This Row],[CF]]*chronic_consumption!$I256/1000/$C$3)</f>
        <v>#DIV/0!</v>
      </c>
      <c r="O1456" s="1095" t="e">
        <f>IF($D$1212="",0,$D1456*Table3[[#This Row],[CF]]*chronic_consumption!$J256/1000/$C$3)</f>
        <v>#DIV/0!</v>
      </c>
      <c r="P1456" s="1095" t="e">
        <f>IF($D$1212="",0,$D1456*Table3[[#This Row],[CF]]*chronic_consumption!$K256/1000/$C$3)</f>
        <v>#DIV/0!</v>
      </c>
      <c r="Q1456" s="1095" t="e">
        <f>IF($D$1212="",0,$D1456*Table3[[#This Row],[CF]]*chronic_consumption!$L256/1000/$C$3)</f>
        <v>#DIV/0!</v>
      </c>
      <c r="R1456" s="1095" t="e">
        <f>IF($D$1212="",0,$D1456*Table3[[#This Row],[CF]]*chronic_consumption!$M256/1000/$C$3)</f>
        <v>#DIV/0!</v>
      </c>
      <c r="S1456" s="1095" t="e">
        <f>IF($D$1212="",0,$D1456*Table3[[#This Row],[CF]]*chronic_consumption!$N256/1000/$C$3)</f>
        <v>#DIV/0!</v>
      </c>
      <c r="T1456" s="1095" t="e">
        <f>IF($D$1212="",0,$D1456*Table3[[#This Row],[CF]]*chronic_consumption!$O256/1000/$C$3)</f>
        <v>#DIV/0!</v>
      </c>
      <c r="U1456" s="1095" t="e">
        <f>IF($D$1212="",0,$D1456*Table3[[#This Row],[CF]]*chronic_consumption!$P256/1000/$C$3)</f>
        <v>#DIV/0!</v>
      </c>
      <c r="V1456" s="1095" t="e">
        <f>IF($D$1212="",0,$D1456*Table3[[#This Row],[CF]]*chronic_consumption!$Q256/1000/$C$3)</f>
        <v>#DIV/0!</v>
      </c>
      <c r="W1456" s="1095" t="e">
        <f>IF($D$1212="",0,$D1456*Table3[[#This Row],[CF]]*chronic_consumption!$R256/1000/$C$3)</f>
        <v>#DIV/0!</v>
      </c>
      <c r="X1456" s="1095" t="e">
        <f>IF($D$1212="",0,$D1456*Table3[[#This Row],[CF]]*chronic_consumption!$S256/1000/$C$3)</f>
        <v>#DIV/0!</v>
      </c>
      <c r="Y1456" s="1095" t="e">
        <f>IF($D$1212="",0,$D1456*Table3[[#This Row],[CF]]*chronic_consumption!$T256/1000/$C$3)</f>
        <v>#DIV/0!</v>
      </c>
      <c r="Z1456" s="1095" t="e">
        <f>IF($D$1212="",0,$D1456*Table3[[#This Row],[CF]]*chronic_consumption!$U256/1000/$C$3)</f>
        <v>#DIV/0!</v>
      </c>
      <c r="AA1456" s="1095" t="e">
        <f>IF($D$1212="",0,$D1456*Table3[[#This Row],[CF]]*chronic_consumption!$V256/1000/$C$3)</f>
        <v>#DIV/0!</v>
      </c>
      <c r="AB1456" s="1095" t="e">
        <f>IF($D$1212="",0,$D1456*Table3[[#This Row],[CF]]*chronic_consumption!$W256/1000/$C$3)</f>
        <v>#DIV/0!</v>
      </c>
      <c r="AC1456" s="1095" t="e">
        <f>IF($D$1212="",0,$D1456*Table3[[#This Row],[CF]]*chronic_consumption!$X256/1000/$C$3)</f>
        <v>#DIV/0!</v>
      </c>
      <c r="AD1456" s="1095" t="e">
        <f>IF($D$1212="",0,$D1456*Table3[[#This Row],[CF]]*chronic_consumption!$Y256/1000/$C$3)</f>
        <v>#DIV/0!</v>
      </c>
      <c r="AE1456" s="1095" t="e">
        <f>IF($D$1212="",0,$D1456*Table3[[#This Row],[CF]]*chronic_consumption!$Z256/1000/$C$3)</f>
        <v>#DIV/0!</v>
      </c>
      <c r="AF1456" s="1095" t="e">
        <f>IF($D$1212="",0,$D1456*Table3[[#This Row],[CF]]*chronic_consumption!$AA256/1000/$C$3)</f>
        <v>#DIV/0!</v>
      </c>
      <c r="AG1456" s="1095" t="e">
        <f>IF($D$1212="",0,$D1456*Table3[[#This Row],[CF]]*chronic_consumption!$AB256/1000/$C$3)</f>
        <v>#DIV/0!</v>
      </c>
      <c r="AH1456" s="1095" t="e">
        <f>IF($D$1212="",0,$D1456*Table3[[#This Row],[CF]]*chronic_consumption!$AC256/1000/$C$3)</f>
        <v>#DIV/0!</v>
      </c>
      <c r="AI1456" s="1095" t="e">
        <f>IF($D$1212="",0,$D1456*Table3[[#This Row],[CF]]*chronic_consumption!$AD256/1000/$C$3)</f>
        <v>#DIV/0!</v>
      </c>
      <c r="AJ1456" s="1095" t="e">
        <f>IF($D$1212="",0,$D1456*Table3[[#This Row],[CF]]*chronic_consumption!$AE256/1000/$C$3)</f>
        <v>#DIV/0!</v>
      </c>
      <c r="AK1456" s="1095" t="e">
        <f>IF($D$1212="",0,$D1456*Table3[[#This Row],[CF]]*chronic_consumption!$AF256/1000/$C$3)</f>
        <v>#DIV/0!</v>
      </c>
      <c r="AL1456" s="1095" t="e">
        <f>IF($D$1212="",0,$D1456*Table3[[#This Row],[CF]]*chronic_consumption!$AG256/1000/$C$3)</f>
        <v>#DIV/0!</v>
      </c>
      <c r="AM1456" s="1095" t="e">
        <f>IF($D$1212="",0,$D1456*Table3[[#This Row],[CF]]*chronic_consumption!$AH256/1000/$C$3)</f>
        <v>#DIV/0!</v>
      </c>
      <c r="AN1456" s="1095" t="e">
        <f>IF($D$1212="",0,$D1456*Table3[[#This Row],[CF]]*chronic_consumption!$AI256/1000/$C$3)</f>
        <v>#DIV/0!</v>
      </c>
      <c r="AO1456" s="1095" t="e">
        <f>IF($D$1212="",0,$D1456*Table3[[#This Row],[CF]]*chronic_consumption!$AJ256/1000/$C$3)</f>
        <v>#DIV/0!</v>
      </c>
      <c r="AP1456" s="1095" t="e">
        <f>IF($D$1212="",0,$D1456*Table3[[#This Row],[CF]]*chronic_consumption!$AK256/1000/$C$3)</f>
        <v>#DIV/0!</v>
      </c>
      <c r="AQ1456" s="1095" t="e">
        <f>IF($D$1212="",0,$D1456*Table3[[#This Row],[CF]]*chronic_consumption!$AL256/1000/$C$3)</f>
        <v>#DIV/0!</v>
      </c>
      <c r="AR1456" s="1095" t="e">
        <f>IF($D$1212="",0,$D1456*Table3[[#This Row],[CF]]*chronic_consumption!$AM256/1000/$C$3)</f>
        <v>#DIV/0!</v>
      </c>
      <c r="AS1456" s="1095" t="e">
        <f>IF($D$1212="",0,$D1456*Table3[[#This Row],[CF]]*chronic_consumption!$AN256/1000/$C$3)</f>
        <v>#DIV/0!</v>
      </c>
      <c r="AT1456" s="1095" t="e">
        <f>IF($D$1212="",0,$D1456*Table3[[#This Row],[CF]]*chronic_consumption!$AO256/1000/$C$3)</f>
        <v>#DIV/0!</v>
      </c>
      <c r="AU1456" s="1096" t="e">
        <f t="shared" si="874"/>
        <v>#DIV/0!</v>
      </c>
      <c r="AV1456" s="1096" t="e">
        <f t="shared" si="874"/>
        <v>#DIV/0!</v>
      </c>
      <c r="AW1456" s="1096" t="e">
        <f t="shared" si="874"/>
        <v>#DIV/0!</v>
      </c>
      <c r="AX1456" s="1096" t="e">
        <f t="shared" si="874"/>
        <v>#DIV/0!</v>
      </c>
      <c r="AY1456" s="1096" t="e">
        <f t="shared" si="874"/>
        <v>#DIV/0!</v>
      </c>
      <c r="AZ1456" s="1091" t="s">
        <v>1012</v>
      </c>
      <c r="BA1456" s="1097" t="e">
        <f>IF(Table3[[#This Row],[max]]&lt;&gt;0,RANK(Table3[[#This Row],[max]],Table3[max],0),"")</f>
        <v>#DIV/0!</v>
      </c>
      <c r="BB1456" s="1096" t="e">
        <f t="shared" si="865"/>
        <v>#DIV/0!</v>
      </c>
      <c r="BC1456" s="1096" t="e">
        <f t="shared" ca="1" si="866"/>
        <v>#DIV/0!</v>
      </c>
      <c r="BD1456" s="1096" t="e">
        <f>IF(Table3[[#This Row],[max]]&gt;0,Table3[[#This Row],[Crop groups and examples of individual products within the groups to which the MRLs apply]],"")</f>
        <v>#DIV/0!</v>
      </c>
    </row>
    <row r="1457" spans="2:56" x14ac:dyDescent="0.2">
      <c r="B1457" s="3">
        <f t="shared" si="873"/>
        <v>631000</v>
      </c>
      <c r="C1457" s="3" t="str">
        <f t="shared" si="873"/>
        <v>Herbal infusions (dried flowers)</v>
      </c>
      <c r="D1457" s="1084">
        <f>input_values!E257</f>
        <v>0</v>
      </c>
      <c r="E1457" s="1084">
        <f>input_values!F257</f>
        <v>0</v>
      </c>
      <c r="F1457" s="1085">
        <f>input_values!W257</f>
        <v>0</v>
      </c>
      <c r="G1457" s="1085" t="str">
        <f>IF(Table3[[#This Row],[CF]]&gt;0,CONCATENATE(IF(Table3[[#This Row],[LOQ]]="*","LOQ","MRL"),IF(input_values!G257&gt;0,"×CFrisk","")),"")</f>
        <v/>
      </c>
      <c r="H1457" s="1087">
        <f>input_values!L257</f>
        <v>0</v>
      </c>
      <c r="I1457" s="1088">
        <f>input_values!D257</f>
        <v>0</v>
      </c>
      <c r="J1457" s="1100" t="e">
        <f>IF($D$1212="",0,$D1457*Table3[[#This Row],[CF]]*chronic_consumption!$E257/1000/$C$3)</f>
        <v>#DIV/0!</v>
      </c>
      <c r="K1457" s="1100" t="e">
        <f>IF($D$1212="",0,$D1457*Table3[[#This Row],[CF]]*chronic_consumption!$F257/1000/$C$3)</f>
        <v>#DIV/0!</v>
      </c>
      <c r="L1457" s="1100" t="e">
        <f>IF($D$1212="",0,$D1457*Table3[[#This Row],[CF]]*chronic_consumption!$G257/1000/$C$3)</f>
        <v>#DIV/0!</v>
      </c>
      <c r="M1457" s="1100" t="e">
        <f>IF($D$1212="",0,$D1457*Table3[[#This Row],[CF]]*chronic_consumption!$H257/1000/$C$3)</f>
        <v>#DIV/0!</v>
      </c>
      <c r="N1457" s="1100" t="e">
        <f>IF($D$1212="",0,$D1457*Table3[[#This Row],[CF]]*chronic_consumption!$I257/1000/$C$3)</f>
        <v>#DIV/0!</v>
      </c>
      <c r="O1457" s="1100" t="e">
        <f>IF($D$1212="",0,$D1457*Table3[[#This Row],[CF]]*chronic_consumption!$J257/1000/$C$3)</f>
        <v>#DIV/0!</v>
      </c>
      <c r="P1457" s="1100" t="e">
        <f>IF($D$1212="",0,$D1457*Table3[[#This Row],[CF]]*chronic_consumption!$K257/1000/$C$3)</f>
        <v>#DIV/0!</v>
      </c>
      <c r="Q1457" s="1100" t="e">
        <f>IF($D$1212="",0,$D1457*Table3[[#This Row],[CF]]*chronic_consumption!$L257/1000/$C$3)</f>
        <v>#DIV/0!</v>
      </c>
      <c r="R1457" s="1100" t="e">
        <f>IF($D$1212="",0,$D1457*Table3[[#This Row],[CF]]*chronic_consumption!$M257/1000/$C$3)</f>
        <v>#DIV/0!</v>
      </c>
      <c r="S1457" s="1100" t="e">
        <f>IF($D$1212="",0,$D1457*Table3[[#This Row],[CF]]*chronic_consumption!$N257/1000/$C$3)</f>
        <v>#DIV/0!</v>
      </c>
      <c r="T1457" s="1100" t="e">
        <f>IF($D$1212="",0,$D1457*Table3[[#This Row],[CF]]*chronic_consumption!$O257/1000/$C$3)</f>
        <v>#DIV/0!</v>
      </c>
      <c r="U1457" s="1100" t="e">
        <f>IF($D$1212="",0,$D1457*Table3[[#This Row],[CF]]*chronic_consumption!$P257/1000/$C$3)</f>
        <v>#DIV/0!</v>
      </c>
      <c r="V1457" s="1100" t="e">
        <f>IF($D$1212="",0,$D1457*Table3[[#This Row],[CF]]*chronic_consumption!$Q257/1000/$C$3)</f>
        <v>#DIV/0!</v>
      </c>
      <c r="W1457" s="1100" t="e">
        <f>IF($D$1212="",0,$D1457*Table3[[#This Row],[CF]]*chronic_consumption!$R257/1000/$C$3)</f>
        <v>#DIV/0!</v>
      </c>
      <c r="X1457" s="1100" t="e">
        <f>IF($D$1212="",0,$D1457*Table3[[#This Row],[CF]]*chronic_consumption!$S257/1000/$C$3)</f>
        <v>#DIV/0!</v>
      </c>
      <c r="Y1457" s="1100" t="e">
        <f>IF($D$1212="",0,$D1457*Table3[[#This Row],[CF]]*chronic_consumption!$T257/1000/$C$3)</f>
        <v>#DIV/0!</v>
      </c>
      <c r="Z1457" s="1100" t="e">
        <f>IF($D$1212="",0,$D1457*Table3[[#This Row],[CF]]*chronic_consumption!$U257/1000/$C$3)</f>
        <v>#DIV/0!</v>
      </c>
      <c r="AA1457" s="1100" t="e">
        <f>IF($D$1212="",0,$D1457*Table3[[#This Row],[CF]]*chronic_consumption!$V257/1000/$C$3)</f>
        <v>#DIV/0!</v>
      </c>
      <c r="AB1457" s="1100" t="e">
        <f>IF($D$1212="",0,$D1457*Table3[[#This Row],[CF]]*chronic_consumption!$W257/1000/$C$3)</f>
        <v>#DIV/0!</v>
      </c>
      <c r="AC1457" s="1100" t="e">
        <f>IF($D$1212="",0,$D1457*Table3[[#This Row],[CF]]*chronic_consumption!$X257/1000/$C$3)</f>
        <v>#DIV/0!</v>
      </c>
      <c r="AD1457" s="1100" t="e">
        <f>IF($D$1212="",0,$D1457*Table3[[#This Row],[CF]]*chronic_consumption!$Y257/1000/$C$3)</f>
        <v>#DIV/0!</v>
      </c>
      <c r="AE1457" s="1100" t="e">
        <f>IF($D$1212="",0,$D1457*Table3[[#This Row],[CF]]*chronic_consumption!$Z257/1000/$C$3)</f>
        <v>#DIV/0!</v>
      </c>
      <c r="AF1457" s="1100" t="e">
        <f>IF($D$1212="",0,$D1457*Table3[[#This Row],[CF]]*chronic_consumption!$AA257/1000/$C$3)</f>
        <v>#DIV/0!</v>
      </c>
      <c r="AG1457" s="1100" t="e">
        <f>IF($D$1212="",0,$D1457*Table3[[#This Row],[CF]]*chronic_consumption!$AB257/1000/$C$3)</f>
        <v>#DIV/0!</v>
      </c>
      <c r="AH1457" s="1100" t="e">
        <f>IF($D$1212="",0,$D1457*Table3[[#This Row],[CF]]*chronic_consumption!$AC257/1000/$C$3)</f>
        <v>#DIV/0!</v>
      </c>
      <c r="AI1457" s="1100" t="e">
        <f>IF($D$1212="",0,$D1457*Table3[[#This Row],[CF]]*chronic_consumption!$AD257/1000/$C$3)</f>
        <v>#DIV/0!</v>
      </c>
      <c r="AJ1457" s="1100" t="e">
        <f>IF($D$1212="",0,$D1457*Table3[[#This Row],[CF]]*chronic_consumption!$AE257/1000/$C$3)</f>
        <v>#DIV/0!</v>
      </c>
      <c r="AK1457" s="1100" t="e">
        <f>IF($D$1212="",0,$D1457*Table3[[#This Row],[CF]]*chronic_consumption!$AF257/1000/$C$3)</f>
        <v>#DIV/0!</v>
      </c>
      <c r="AL1457" s="1100" t="e">
        <f>IF($D$1212="",0,$D1457*Table3[[#This Row],[CF]]*chronic_consumption!$AG257/1000/$C$3)</f>
        <v>#DIV/0!</v>
      </c>
      <c r="AM1457" s="1100" t="e">
        <f>IF($D$1212="",0,$D1457*Table3[[#This Row],[CF]]*chronic_consumption!$AH257/1000/$C$3)</f>
        <v>#DIV/0!</v>
      </c>
      <c r="AN1457" s="1100" t="e">
        <f>IF($D$1212="",0,$D1457*Table3[[#This Row],[CF]]*chronic_consumption!$AI257/1000/$C$3)</f>
        <v>#DIV/0!</v>
      </c>
      <c r="AO1457" s="1100" t="e">
        <f>IF($D$1212="",0,$D1457*Table3[[#This Row],[CF]]*chronic_consumption!$AJ257/1000/$C$3)</f>
        <v>#DIV/0!</v>
      </c>
      <c r="AP1457" s="1100" t="e">
        <f>IF($D$1212="",0,$D1457*Table3[[#This Row],[CF]]*chronic_consumption!$AK257/1000/$C$3)</f>
        <v>#DIV/0!</v>
      </c>
      <c r="AQ1457" s="1100" t="e">
        <f>IF($D$1212="",0,$D1457*Table3[[#This Row],[CF]]*chronic_consumption!$AL257/1000/$C$3)</f>
        <v>#DIV/0!</v>
      </c>
      <c r="AR1457" s="1100" t="e">
        <f>IF($D$1212="",0,$D1457*Table3[[#This Row],[CF]]*chronic_consumption!$AM257/1000/$C$3)</f>
        <v>#DIV/0!</v>
      </c>
      <c r="AS1457" s="1100" t="e">
        <f>IF($D$1212="",0,$D1457*Table3[[#This Row],[CF]]*chronic_consumption!$AN257/1000/$C$3)</f>
        <v>#DIV/0!</v>
      </c>
      <c r="AT1457" s="1100" t="e">
        <f>IF($D$1212="",0,$D1457*Table3[[#This Row],[CF]]*chronic_consumption!$AO257/1000/$C$3)</f>
        <v>#DIV/0!</v>
      </c>
      <c r="AU1457" s="1101" t="e">
        <f t="shared" si="874"/>
        <v>#DIV/0!</v>
      </c>
      <c r="AV1457" s="1101" t="e">
        <f t="shared" si="874"/>
        <v>#DIV/0!</v>
      </c>
      <c r="AW1457" s="1101" t="e">
        <f t="shared" si="874"/>
        <v>#DIV/0!</v>
      </c>
      <c r="AX1457" s="1101" t="e">
        <f t="shared" si="874"/>
        <v>#DIV/0!</v>
      </c>
      <c r="AY1457" s="1101" t="e">
        <f t="shared" si="874"/>
        <v>#DIV/0!</v>
      </c>
      <c r="AZ1457" s="1091" t="s">
        <v>1012</v>
      </c>
      <c r="BA1457" s="1097" t="e">
        <f>IF(Table3[[#This Row],[max]]&lt;&gt;0,RANK(Table3[[#This Row],[max]],Table3[max],0),"")</f>
        <v>#DIV/0!</v>
      </c>
      <c r="BB1457" s="1096" t="e">
        <f t="shared" si="865"/>
        <v>#DIV/0!</v>
      </c>
      <c r="BC1457" s="1096" t="e">
        <f t="shared" ca="1" si="866"/>
        <v>#DIV/0!</v>
      </c>
      <c r="BD1457" s="1096" t="e">
        <f>IF(Table3[[#This Row],[max]]&gt;0,Table3[[#This Row],[Crop groups and examples of individual products within the groups to which the MRLs apply]],"")</f>
        <v>#DIV/0!</v>
      </c>
    </row>
    <row r="1458" spans="2:56" x14ac:dyDescent="0.2">
      <c r="B1458" s="23">
        <f t="shared" si="873"/>
        <v>631010</v>
      </c>
      <c r="C1458" s="23" t="str">
        <f t="shared" si="873"/>
        <v>Chamomille</v>
      </c>
      <c r="D1458" s="1084">
        <f>input_values!E258</f>
        <v>0</v>
      </c>
      <c r="E1458" s="1084">
        <f>input_values!F258</f>
        <v>0</v>
      </c>
      <c r="F1458" s="1085">
        <f>input_values!W258</f>
        <v>1</v>
      </c>
      <c r="G1458" s="1085" t="str">
        <f>IF(Table3[[#This Row],[CF]]&gt;0,CONCATENATE(IF(Table3[[#This Row],[LOQ]]="*","LOQ","MRL"),IF(input_values!G258&gt;0,"×CFrisk","")),"")</f>
        <v>MRL</v>
      </c>
      <c r="H1458" s="1087">
        <f>input_values!L258</f>
        <v>0</v>
      </c>
      <c r="I1458" s="1088">
        <f>input_values!D258</f>
        <v>0</v>
      </c>
      <c r="J1458" s="1098" t="e">
        <f>IF($D$1212="",0,$D1458*Table3[[#This Row],[CF]]*chronic_consumption!$E258/1000/$C$3)</f>
        <v>#DIV/0!</v>
      </c>
      <c r="K1458" s="1098" t="e">
        <f>IF($D$1212="",0,$D1458*Table3[[#This Row],[CF]]*chronic_consumption!$F258/1000/$C$3)</f>
        <v>#DIV/0!</v>
      </c>
      <c r="L1458" s="1098" t="e">
        <f>IF($D$1212="",0,$D1458*Table3[[#This Row],[CF]]*chronic_consumption!$G258/1000/$C$3)</f>
        <v>#DIV/0!</v>
      </c>
      <c r="M1458" s="1098" t="e">
        <f>IF($D$1212="",0,$D1458*Table3[[#This Row],[CF]]*chronic_consumption!$H258/1000/$C$3)</f>
        <v>#DIV/0!</v>
      </c>
      <c r="N1458" s="1098" t="e">
        <f>IF($D$1212="",0,$D1458*Table3[[#This Row],[CF]]*chronic_consumption!$I258/1000/$C$3)</f>
        <v>#DIV/0!</v>
      </c>
      <c r="O1458" s="1098" t="e">
        <f>IF($D$1212="",0,$D1458*Table3[[#This Row],[CF]]*chronic_consumption!$J258/1000/$C$3)</f>
        <v>#DIV/0!</v>
      </c>
      <c r="P1458" s="1098" t="e">
        <f>IF($D$1212="",0,$D1458*Table3[[#This Row],[CF]]*chronic_consumption!$K258/1000/$C$3)</f>
        <v>#DIV/0!</v>
      </c>
      <c r="Q1458" s="1098" t="e">
        <f>IF($D$1212="",0,$D1458*Table3[[#This Row],[CF]]*chronic_consumption!$L258/1000/$C$3)</f>
        <v>#DIV/0!</v>
      </c>
      <c r="R1458" s="1098" t="e">
        <f>IF($D$1212="",0,$D1458*Table3[[#This Row],[CF]]*chronic_consumption!$M258/1000/$C$3)</f>
        <v>#DIV/0!</v>
      </c>
      <c r="S1458" s="1098" t="e">
        <f>IF($D$1212="",0,$D1458*Table3[[#This Row],[CF]]*chronic_consumption!$N258/1000/$C$3)</f>
        <v>#DIV/0!</v>
      </c>
      <c r="T1458" s="1098" t="e">
        <f>IF($D$1212="",0,$D1458*Table3[[#This Row],[CF]]*chronic_consumption!$O258/1000/$C$3)</f>
        <v>#DIV/0!</v>
      </c>
      <c r="U1458" s="1098" t="e">
        <f>IF($D$1212="",0,$D1458*Table3[[#This Row],[CF]]*chronic_consumption!$P258/1000/$C$3)</f>
        <v>#DIV/0!</v>
      </c>
      <c r="V1458" s="1098" t="e">
        <f>IF($D$1212="",0,$D1458*Table3[[#This Row],[CF]]*chronic_consumption!$Q258/1000/$C$3)</f>
        <v>#DIV/0!</v>
      </c>
      <c r="W1458" s="1098" t="e">
        <f>IF($D$1212="",0,$D1458*Table3[[#This Row],[CF]]*chronic_consumption!$R258/1000/$C$3)</f>
        <v>#DIV/0!</v>
      </c>
      <c r="X1458" s="1098" t="e">
        <f>IF($D$1212="",0,$D1458*Table3[[#This Row],[CF]]*chronic_consumption!$S258/1000/$C$3)</f>
        <v>#DIV/0!</v>
      </c>
      <c r="Y1458" s="1098" t="e">
        <f>IF($D$1212="",0,$D1458*Table3[[#This Row],[CF]]*chronic_consumption!$T258/1000/$C$3)</f>
        <v>#DIV/0!</v>
      </c>
      <c r="Z1458" s="1098" t="e">
        <f>IF($D$1212="",0,$D1458*Table3[[#This Row],[CF]]*chronic_consumption!$U258/1000/$C$3)</f>
        <v>#DIV/0!</v>
      </c>
      <c r="AA1458" s="1098" t="e">
        <f>IF($D$1212="",0,$D1458*Table3[[#This Row],[CF]]*chronic_consumption!$V258/1000/$C$3)</f>
        <v>#DIV/0!</v>
      </c>
      <c r="AB1458" s="1098" t="e">
        <f>IF($D$1212="",0,$D1458*Table3[[#This Row],[CF]]*chronic_consumption!$W258/1000/$C$3)</f>
        <v>#DIV/0!</v>
      </c>
      <c r="AC1458" s="1098" t="e">
        <f>IF($D$1212="",0,$D1458*Table3[[#This Row],[CF]]*chronic_consumption!$X258/1000/$C$3)</f>
        <v>#DIV/0!</v>
      </c>
      <c r="AD1458" s="1098" t="e">
        <f>IF($D$1212="",0,$D1458*Table3[[#This Row],[CF]]*chronic_consumption!$Y258/1000/$C$3)</f>
        <v>#DIV/0!</v>
      </c>
      <c r="AE1458" s="1098" t="e">
        <f>IF($D$1212="",0,$D1458*Table3[[#This Row],[CF]]*chronic_consumption!$Z258/1000/$C$3)</f>
        <v>#DIV/0!</v>
      </c>
      <c r="AF1458" s="1098" t="e">
        <f>IF($D$1212="",0,$D1458*Table3[[#This Row],[CF]]*chronic_consumption!$AA258/1000/$C$3)</f>
        <v>#DIV/0!</v>
      </c>
      <c r="AG1458" s="1098" t="e">
        <f>IF($D$1212="",0,$D1458*Table3[[#This Row],[CF]]*chronic_consumption!$AB258/1000/$C$3)</f>
        <v>#DIV/0!</v>
      </c>
      <c r="AH1458" s="1098" t="e">
        <f>IF($D$1212="",0,$D1458*Table3[[#This Row],[CF]]*chronic_consumption!$AC258/1000/$C$3)</f>
        <v>#DIV/0!</v>
      </c>
      <c r="AI1458" s="1098" t="e">
        <f>IF($D$1212="",0,$D1458*Table3[[#This Row],[CF]]*chronic_consumption!$AD258/1000/$C$3)</f>
        <v>#DIV/0!</v>
      </c>
      <c r="AJ1458" s="1098" t="e">
        <f>IF($D$1212="",0,$D1458*Table3[[#This Row],[CF]]*chronic_consumption!$AE258/1000/$C$3)</f>
        <v>#DIV/0!</v>
      </c>
      <c r="AK1458" s="1098" t="e">
        <f>IF($D$1212="",0,$D1458*Table3[[#This Row],[CF]]*chronic_consumption!$AF258/1000/$C$3)</f>
        <v>#DIV/0!</v>
      </c>
      <c r="AL1458" s="1098" t="e">
        <f>IF($D$1212="",0,$D1458*Table3[[#This Row],[CF]]*chronic_consumption!$AG258/1000/$C$3)</f>
        <v>#DIV/0!</v>
      </c>
      <c r="AM1458" s="1098" t="e">
        <f>IF($D$1212="",0,$D1458*Table3[[#This Row],[CF]]*chronic_consumption!$AH258/1000/$C$3)</f>
        <v>#DIV/0!</v>
      </c>
      <c r="AN1458" s="1098" t="e">
        <f>IF($D$1212="",0,$D1458*Table3[[#This Row],[CF]]*chronic_consumption!$AI258/1000/$C$3)</f>
        <v>#DIV/0!</v>
      </c>
      <c r="AO1458" s="1098" t="e">
        <f>IF($D$1212="",0,$D1458*Table3[[#This Row],[CF]]*chronic_consumption!$AJ258/1000/$C$3)</f>
        <v>#DIV/0!</v>
      </c>
      <c r="AP1458" s="1098" t="e">
        <f>IF($D$1212="",0,$D1458*Table3[[#This Row],[CF]]*chronic_consumption!$AK258/1000/$C$3)</f>
        <v>#DIV/0!</v>
      </c>
      <c r="AQ1458" s="1098" t="e">
        <f>IF($D$1212="",0,$D1458*Table3[[#This Row],[CF]]*chronic_consumption!$AL258/1000/$C$3)</f>
        <v>#DIV/0!</v>
      </c>
      <c r="AR1458" s="1098" t="e">
        <f>IF($D$1212="",0,$D1458*Table3[[#This Row],[CF]]*chronic_consumption!$AM258/1000/$C$3)</f>
        <v>#DIV/0!</v>
      </c>
      <c r="AS1458" s="1098" t="e">
        <f>IF($D$1212="",0,$D1458*Table3[[#This Row],[CF]]*chronic_consumption!$AN258/1000/$C$3)</f>
        <v>#DIV/0!</v>
      </c>
      <c r="AT1458" s="1098" t="e">
        <f>IF($D$1212="",0,$D1458*Table3[[#This Row],[CF]]*chronic_consumption!$AO258/1000/$C$3)</f>
        <v>#DIV/0!</v>
      </c>
      <c r="AU1458" s="1099" t="e">
        <f t="shared" si="874"/>
        <v>#DIV/0!</v>
      </c>
      <c r="AV1458" s="1099" t="e">
        <f t="shared" si="874"/>
        <v>#DIV/0!</v>
      </c>
      <c r="AW1458" s="1099" t="e">
        <f t="shared" si="874"/>
        <v>#DIV/0!</v>
      </c>
      <c r="AX1458" s="1099" t="e">
        <f t="shared" si="874"/>
        <v>#DIV/0!</v>
      </c>
      <c r="AY1458" s="1099" t="e">
        <f t="shared" si="874"/>
        <v>#DIV/0!</v>
      </c>
      <c r="AZ1458" s="1091" t="s">
        <v>1012</v>
      </c>
      <c r="BA1458" s="1097" t="e">
        <f>IF(Table3[[#This Row],[max]]&lt;&gt;0,RANK(Table3[[#This Row],[max]],Table3[max],0),"")</f>
        <v>#DIV/0!</v>
      </c>
      <c r="BB1458" s="1096" t="e">
        <f t="shared" si="865"/>
        <v>#DIV/0!</v>
      </c>
      <c r="BC1458" s="1096" t="e">
        <f t="shared" ca="1" si="866"/>
        <v>#DIV/0!</v>
      </c>
      <c r="BD1458" s="1096" t="e">
        <f>IF(Table3[[#This Row],[max]]&gt;0,Table3[[#This Row],[Crop groups and examples of individual products within the groups to which the MRLs apply]],"")</f>
        <v>#DIV/0!</v>
      </c>
    </row>
    <row r="1459" spans="2:56" x14ac:dyDescent="0.2">
      <c r="B1459" s="23">
        <f t="shared" si="873"/>
        <v>631020</v>
      </c>
      <c r="C1459" s="23" t="str">
        <f t="shared" si="873"/>
        <v>Hybiscus/roselle</v>
      </c>
      <c r="D1459" s="1084">
        <f>input_values!E259</f>
        <v>0</v>
      </c>
      <c r="E1459" s="1084">
        <f>input_values!F259</f>
        <v>0</v>
      </c>
      <c r="F1459" s="1085">
        <f>input_values!W259</f>
        <v>1</v>
      </c>
      <c r="G1459" s="1085" t="str">
        <f>IF(Table3[[#This Row],[CF]]&gt;0,CONCATENATE(IF(Table3[[#This Row],[LOQ]]="*","LOQ","MRL"),IF(input_values!G259&gt;0,"×CFrisk","")),"")</f>
        <v>MRL</v>
      </c>
      <c r="H1459" s="1087">
        <f>input_values!L259</f>
        <v>0</v>
      </c>
      <c r="I1459" s="1088">
        <f>input_values!D259</f>
        <v>0</v>
      </c>
      <c r="J1459" s="1098" t="e">
        <f>IF($D$1212="",0,$D1459*Table3[[#This Row],[CF]]*chronic_consumption!$E259/1000/$C$3)</f>
        <v>#DIV/0!</v>
      </c>
      <c r="K1459" s="1098" t="e">
        <f>IF($D$1212="",0,$D1459*Table3[[#This Row],[CF]]*chronic_consumption!$F259/1000/$C$3)</f>
        <v>#DIV/0!</v>
      </c>
      <c r="L1459" s="1098" t="e">
        <f>IF($D$1212="",0,$D1459*Table3[[#This Row],[CF]]*chronic_consumption!$G259/1000/$C$3)</f>
        <v>#DIV/0!</v>
      </c>
      <c r="M1459" s="1098" t="e">
        <f>IF($D$1212="",0,$D1459*Table3[[#This Row],[CF]]*chronic_consumption!$H259/1000/$C$3)</f>
        <v>#DIV/0!</v>
      </c>
      <c r="N1459" s="1098" t="e">
        <f>IF($D$1212="",0,$D1459*Table3[[#This Row],[CF]]*chronic_consumption!$I259/1000/$C$3)</f>
        <v>#DIV/0!</v>
      </c>
      <c r="O1459" s="1098" t="e">
        <f>IF($D$1212="",0,$D1459*Table3[[#This Row],[CF]]*chronic_consumption!$J259/1000/$C$3)</f>
        <v>#DIV/0!</v>
      </c>
      <c r="P1459" s="1098" t="e">
        <f>IF($D$1212="",0,$D1459*Table3[[#This Row],[CF]]*chronic_consumption!$K259/1000/$C$3)</f>
        <v>#DIV/0!</v>
      </c>
      <c r="Q1459" s="1098" t="e">
        <f>IF($D$1212="",0,$D1459*Table3[[#This Row],[CF]]*chronic_consumption!$L259/1000/$C$3)</f>
        <v>#DIV/0!</v>
      </c>
      <c r="R1459" s="1098" t="e">
        <f>IF($D$1212="",0,$D1459*Table3[[#This Row],[CF]]*chronic_consumption!$M259/1000/$C$3)</f>
        <v>#DIV/0!</v>
      </c>
      <c r="S1459" s="1098" t="e">
        <f>IF($D$1212="",0,$D1459*Table3[[#This Row],[CF]]*chronic_consumption!$N259/1000/$C$3)</f>
        <v>#DIV/0!</v>
      </c>
      <c r="T1459" s="1098" t="e">
        <f>IF($D$1212="",0,$D1459*Table3[[#This Row],[CF]]*chronic_consumption!$O259/1000/$C$3)</f>
        <v>#DIV/0!</v>
      </c>
      <c r="U1459" s="1098" t="e">
        <f>IF($D$1212="",0,$D1459*Table3[[#This Row],[CF]]*chronic_consumption!$P259/1000/$C$3)</f>
        <v>#DIV/0!</v>
      </c>
      <c r="V1459" s="1098" t="e">
        <f>IF($D$1212="",0,$D1459*Table3[[#This Row],[CF]]*chronic_consumption!$Q259/1000/$C$3)</f>
        <v>#DIV/0!</v>
      </c>
      <c r="W1459" s="1098" t="e">
        <f>IF($D$1212="",0,$D1459*Table3[[#This Row],[CF]]*chronic_consumption!$R259/1000/$C$3)</f>
        <v>#DIV/0!</v>
      </c>
      <c r="X1459" s="1098" t="e">
        <f>IF($D$1212="",0,$D1459*Table3[[#This Row],[CF]]*chronic_consumption!$S259/1000/$C$3)</f>
        <v>#DIV/0!</v>
      </c>
      <c r="Y1459" s="1098" t="e">
        <f>IF($D$1212="",0,$D1459*Table3[[#This Row],[CF]]*chronic_consumption!$T259/1000/$C$3)</f>
        <v>#DIV/0!</v>
      </c>
      <c r="Z1459" s="1098" t="e">
        <f>IF($D$1212="",0,$D1459*Table3[[#This Row],[CF]]*chronic_consumption!$U259/1000/$C$3)</f>
        <v>#DIV/0!</v>
      </c>
      <c r="AA1459" s="1098" t="e">
        <f>IF($D$1212="",0,$D1459*Table3[[#This Row],[CF]]*chronic_consumption!$V259/1000/$C$3)</f>
        <v>#DIV/0!</v>
      </c>
      <c r="AB1459" s="1098" t="e">
        <f>IF($D$1212="",0,$D1459*Table3[[#This Row],[CF]]*chronic_consumption!$W259/1000/$C$3)</f>
        <v>#DIV/0!</v>
      </c>
      <c r="AC1459" s="1098" t="e">
        <f>IF($D$1212="",0,$D1459*Table3[[#This Row],[CF]]*chronic_consumption!$X259/1000/$C$3)</f>
        <v>#DIV/0!</v>
      </c>
      <c r="AD1459" s="1098" t="e">
        <f>IF($D$1212="",0,$D1459*Table3[[#This Row],[CF]]*chronic_consumption!$Y259/1000/$C$3)</f>
        <v>#DIV/0!</v>
      </c>
      <c r="AE1459" s="1098" t="e">
        <f>IF($D$1212="",0,$D1459*Table3[[#This Row],[CF]]*chronic_consumption!$Z259/1000/$C$3)</f>
        <v>#DIV/0!</v>
      </c>
      <c r="AF1459" s="1098" t="e">
        <f>IF($D$1212="",0,$D1459*Table3[[#This Row],[CF]]*chronic_consumption!$AA259/1000/$C$3)</f>
        <v>#DIV/0!</v>
      </c>
      <c r="AG1459" s="1098" t="e">
        <f>IF($D$1212="",0,$D1459*Table3[[#This Row],[CF]]*chronic_consumption!$AB259/1000/$C$3)</f>
        <v>#DIV/0!</v>
      </c>
      <c r="AH1459" s="1098" t="e">
        <f>IF($D$1212="",0,$D1459*Table3[[#This Row],[CF]]*chronic_consumption!$AC259/1000/$C$3)</f>
        <v>#DIV/0!</v>
      </c>
      <c r="AI1459" s="1098" t="e">
        <f>IF($D$1212="",0,$D1459*Table3[[#This Row],[CF]]*chronic_consumption!$AD259/1000/$C$3)</f>
        <v>#DIV/0!</v>
      </c>
      <c r="AJ1459" s="1098" t="e">
        <f>IF($D$1212="",0,$D1459*Table3[[#This Row],[CF]]*chronic_consumption!$AE259/1000/$C$3)</f>
        <v>#DIV/0!</v>
      </c>
      <c r="AK1459" s="1098" t="e">
        <f>IF($D$1212="",0,$D1459*Table3[[#This Row],[CF]]*chronic_consumption!$AF259/1000/$C$3)</f>
        <v>#DIV/0!</v>
      </c>
      <c r="AL1459" s="1098" t="e">
        <f>IF($D$1212="",0,$D1459*Table3[[#This Row],[CF]]*chronic_consumption!$AG259/1000/$C$3)</f>
        <v>#DIV/0!</v>
      </c>
      <c r="AM1459" s="1098" t="e">
        <f>IF($D$1212="",0,$D1459*Table3[[#This Row],[CF]]*chronic_consumption!$AH259/1000/$C$3)</f>
        <v>#DIV/0!</v>
      </c>
      <c r="AN1459" s="1098" t="e">
        <f>IF($D$1212="",0,$D1459*Table3[[#This Row],[CF]]*chronic_consumption!$AI259/1000/$C$3)</f>
        <v>#DIV/0!</v>
      </c>
      <c r="AO1459" s="1098" t="e">
        <f>IF($D$1212="",0,$D1459*Table3[[#This Row],[CF]]*chronic_consumption!$AJ259/1000/$C$3)</f>
        <v>#DIV/0!</v>
      </c>
      <c r="AP1459" s="1098" t="e">
        <f>IF($D$1212="",0,$D1459*Table3[[#This Row],[CF]]*chronic_consumption!$AK259/1000/$C$3)</f>
        <v>#DIV/0!</v>
      </c>
      <c r="AQ1459" s="1098" t="e">
        <f>IF($D$1212="",0,$D1459*Table3[[#This Row],[CF]]*chronic_consumption!$AL259/1000/$C$3)</f>
        <v>#DIV/0!</v>
      </c>
      <c r="AR1459" s="1098" t="e">
        <f>IF($D$1212="",0,$D1459*Table3[[#This Row],[CF]]*chronic_consumption!$AM259/1000/$C$3)</f>
        <v>#DIV/0!</v>
      </c>
      <c r="AS1459" s="1098" t="e">
        <f>IF($D$1212="",0,$D1459*Table3[[#This Row],[CF]]*chronic_consumption!$AN259/1000/$C$3)</f>
        <v>#DIV/0!</v>
      </c>
      <c r="AT1459" s="1098" t="e">
        <f>IF($D$1212="",0,$D1459*Table3[[#This Row],[CF]]*chronic_consumption!$AO259/1000/$C$3)</f>
        <v>#DIV/0!</v>
      </c>
      <c r="AU1459" s="1099" t="e">
        <f t="shared" si="874"/>
        <v>#DIV/0!</v>
      </c>
      <c r="AV1459" s="1099" t="e">
        <f t="shared" si="874"/>
        <v>#DIV/0!</v>
      </c>
      <c r="AW1459" s="1099" t="e">
        <f t="shared" si="874"/>
        <v>#DIV/0!</v>
      </c>
      <c r="AX1459" s="1099" t="e">
        <f t="shared" si="874"/>
        <v>#DIV/0!</v>
      </c>
      <c r="AY1459" s="1099" t="e">
        <f t="shared" si="874"/>
        <v>#DIV/0!</v>
      </c>
      <c r="AZ1459" s="1091" t="s">
        <v>1012</v>
      </c>
      <c r="BA1459" s="1097" t="e">
        <f>IF(Table3[[#This Row],[max]]&lt;&gt;0,RANK(Table3[[#This Row],[max]],Table3[max],0),"")</f>
        <v>#DIV/0!</v>
      </c>
      <c r="BB1459" s="1096" t="e">
        <f t="shared" si="865"/>
        <v>#DIV/0!</v>
      </c>
      <c r="BC1459" s="1096" t="e">
        <f t="shared" ca="1" si="866"/>
        <v>#DIV/0!</v>
      </c>
      <c r="BD1459" s="1096" t="e">
        <f>IF(Table3[[#This Row],[max]]&gt;0,Table3[[#This Row],[Crop groups and examples of individual products within the groups to which the MRLs apply]],"")</f>
        <v>#DIV/0!</v>
      </c>
    </row>
    <row r="1460" spans="2:56" x14ac:dyDescent="0.2">
      <c r="B1460" s="23">
        <f t="shared" si="873"/>
        <v>631030</v>
      </c>
      <c r="C1460" s="23" t="str">
        <f t="shared" si="873"/>
        <v>Rose</v>
      </c>
      <c r="D1460" s="1084">
        <f>input_values!E260</f>
        <v>0</v>
      </c>
      <c r="E1460" s="1084">
        <f>input_values!F260</f>
        <v>0</v>
      </c>
      <c r="F1460" s="1085">
        <f>input_values!W260</f>
        <v>1</v>
      </c>
      <c r="G1460" s="1085" t="str">
        <f>IF(Table3[[#This Row],[CF]]&gt;0,CONCATENATE(IF(Table3[[#This Row],[LOQ]]="*","LOQ","MRL"),IF(input_values!G260&gt;0,"×CFrisk","")),"")</f>
        <v>MRL</v>
      </c>
      <c r="H1460" s="1087">
        <f>input_values!L260</f>
        <v>0</v>
      </c>
      <c r="I1460" s="1088">
        <f>input_values!D260</f>
        <v>0</v>
      </c>
      <c r="J1460" s="1098" t="e">
        <f>IF($D$1212="",0,$D1460*Table3[[#This Row],[CF]]*chronic_consumption!$E260/1000/$C$3)</f>
        <v>#DIV/0!</v>
      </c>
      <c r="K1460" s="1098" t="e">
        <f>IF($D$1212="",0,$D1460*Table3[[#This Row],[CF]]*chronic_consumption!$F260/1000/$C$3)</f>
        <v>#DIV/0!</v>
      </c>
      <c r="L1460" s="1098" t="e">
        <f>IF($D$1212="",0,$D1460*Table3[[#This Row],[CF]]*chronic_consumption!$G260/1000/$C$3)</f>
        <v>#DIV/0!</v>
      </c>
      <c r="M1460" s="1098" t="e">
        <f>IF($D$1212="",0,$D1460*Table3[[#This Row],[CF]]*chronic_consumption!$H260/1000/$C$3)</f>
        <v>#DIV/0!</v>
      </c>
      <c r="N1460" s="1098" t="e">
        <f>IF($D$1212="",0,$D1460*Table3[[#This Row],[CF]]*chronic_consumption!$I260/1000/$C$3)</f>
        <v>#DIV/0!</v>
      </c>
      <c r="O1460" s="1098" t="e">
        <f>IF($D$1212="",0,$D1460*Table3[[#This Row],[CF]]*chronic_consumption!$J260/1000/$C$3)</f>
        <v>#DIV/0!</v>
      </c>
      <c r="P1460" s="1098" t="e">
        <f>IF($D$1212="",0,$D1460*Table3[[#This Row],[CF]]*chronic_consumption!$K260/1000/$C$3)</f>
        <v>#DIV/0!</v>
      </c>
      <c r="Q1460" s="1098" t="e">
        <f>IF($D$1212="",0,$D1460*Table3[[#This Row],[CF]]*chronic_consumption!$L260/1000/$C$3)</f>
        <v>#DIV/0!</v>
      </c>
      <c r="R1460" s="1098" t="e">
        <f>IF($D$1212="",0,$D1460*Table3[[#This Row],[CF]]*chronic_consumption!$M260/1000/$C$3)</f>
        <v>#DIV/0!</v>
      </c>
      <c r="S1460" s="1098" t="e">
        <f>IF($D$1212="",0,$D1460*Table3[[#This Row],[CF]]*chronic_consumption!$N260/1000/$C$3)</f>
        <v>#DIV/0!</v>
      </c>
      <c r="T1460" s="1098" t="e">
        <f>IF($D$1212="",0,$D1460*Table3[[#This Row],[CF]]*chronic_consumption!$O260/1000/$C$3)</f>
        <v>#DIV/0!</v>
      </c>
      <c r="U1460" s="1098" t="e">
        <f>IF($D$1212="",0,$D1460*Table3[[#This Row],[CF]]*chronic_consumption!$P260/1000/$C$3)</f>
        <v>#DIV/0!</v>
      </c>
      <c r="V1460" s="1098" t="e">
        <f>IF($D$1212="",0,$D1460*Table3[[#This Row],[CF]]*chronic_consumption!$Q260/1000/$C$3)</f>
        <v>#DIV/0!</v>
      </c>
      <c r="W1460" s="1098" t="e">
        <f>IF($D$1212="",0,$D1460*Table3[[#This Row],[CF]]*chronic_consumption!$R260/1000/$C$3)</f>
        <v>#DIV/0!</v>
      </c>
      <c r="X1460" s="1098" t="e">
        <f>IF($D$1212="",0,$D1460*Table3[[#This Row],[CF]]*chronic_consumption!$S260/1000/$C$3)</f>
        <v>#DIV/0!</v>
      </c>
      <c r="Y1460" s="1098" t="e">
        <f>IF($D$1212="",0,$D1460*Table3[[#This Row],[CF]]*chronic_consumption!$T260/1000/$C$3)</f>
        <v>#DIV/0!</v>
      </c>
      <c r="Z1460" s="1098" t="e">
        <f>IF($D$1212="",0,$D1460*Table3[[#This Row],[CF]]*chronic_consumption!$U260/1000/$C$3)</f>
        <v>#DIV/0!</v>
      </c>
      <c r="AA1460" s="1098" t="e">
        <f>IF($D$1212="",0,$D1460*Table3[[#This Row],[CF]]*chronic_consumption!$V260/1000/$C$3)</f>
        <v>#DIV/0!</v>
      </c>
      <c r="AB1460" s="1098" t="e">
        <f>IF($D$1212="",0,$D1460*Table3[[#This Row],[CF]]*chronic_consumption!$W260/1000/$C$3)</f>
        <v>#DIV/0!</v>
      </c>
      <c r="AC1460" s="1098" t="e">
        <f>IF($D$1212="",0,$D1460*Table3[[#This Row],[CF]]*chronic_consumption!$X260/1000/$C$3)</f>
        <v>#DIV/0!</v>
      </c>
      <c r="AD1460" s="1098" t="e">
        <f>IF($D$1212="",0,$D1460*Table3[[#This Row],[CF]]*chronic_consumption!$Y260/1000/$C$3)</f>
        <v>#DIV/0!</v>
      </c>
      <c r="AE1460" s="1098" t="e">
        <f>IF($D$1212="",0,$D1460*Table3[[#This Row],[CF]]*chronic_consumption!$Z260/1000/$C$3)</f>
        <v>#DIV/0!</v>
      </c>
      <c r="AF1460" s="1098" t="e">
        <f>IF($D$1212="",0,$D1460*Table3[[#This Row],[CF]]*chronic_consumption!$AA260/1000/$C$3)</f>
        <v>#DIV/0!</v>
      </c>
      <c r="AG1460" s="1098" t="e">
        <f>IF($D$1212="",0,$D1460*Table3[[#This Row],[CF]]*chronic_consumption!$AB260/1000/$C$3)</f>
        <v>#DIV/0!</v>
      </c>
      <c r="AH1460" s="1098" t="e">
        <f>IF($D$1212="",0,$D1460*Table3[[#This Row],[CF]]*chronic_consumption!$AC260/1000/$C$3)</f>
        <v>#DIV/0!</v>
      </c>
      <c r="AI1460" s="1098" t="e">
        <f>IF($D$1212="",0,$D1460*Table3[[#This Row],[CF]]*chronic_consumption!$AD260/1000/$C$3)</f>
        <v>#DIV/0!</v>
      </c>
      <c r="AJ1460" s="1098" t="e">
        <f>IF($D$1212="",0,$D1460*Table3[[#This Row],[CF]]*chronic_consumption!$AE260/1000/$C$3)</f>
        <v>#DIV/0!</v>
      </c>
      <c r="AK1460" s="1098" t="e">
        <f>IF($D$1212="",0,$D1460*Table3[[#This Row],[CF]]*chronic_consumption!$AF260/1000/$C$3)</f>
        <v>#DIV/0!</v>
      </c>
      <c r="AL1460" s="1098" t="e">
        <f>IF($D$1212="",0,$D1460*Table3[[#This Row],[CF]]*chronic_consumption!$AG260/1000/$C$3)</f>
        <v>#DIV/0!</v>
      </c>
      <c r="AM1460" s="1098" t="e">
        <f>IF($D$1212="",0,$D1460*Table3[[#This Row],[CF]]*chronic_consumption!$AH260/1000/$C$3)</f>
        <v>#DIV/0!</v>
      </c>
      <c r="AN1460" s="1098" t="e">
        <f>IF($D$1212="",0,$D1460*Table3[[#This Row],[CF]]*chronic_consumption!$AI260/1000/$C$3)</f>
        <v>#DIV/0!</v>
      </c>
      <c r="AO1460" s="1098" t="e">
        <f>IF($D$1212="",0,$D1460*Table3[[#This Row],[CF]]*chronic_consumption!$AJ260/1000/$C$3)</f>
        <v>#DIV/0!</v>
      </c>
      <c r="AP1460" s="1098" t="e">
        <f>IF($D$1212="",0,$D1460*Table3[[#This Row],[CF]]*chronic_consumption!$AK260/1000/$C$3)</f>
        <v>#DIV/0!</v>
      </c>
      <c r="AQ1460" s="1098" t="e">
        <f>IF($D$1212="",0,$D1460*Table3[[#This Row],[CF]]*chronic_consumption!$AL260/1000/$C$3)</f>
        <v>#DIV/0!</v>
      </c>
      <c r="AR1460" s="1098" t="e">
        <f>IF($D$1212="",0,$D1460*Table3[[#This Row],[CF]]*chronic_consumption!$AM260/1000/$C$3)</f>
        <v>#DIV/0!</v>
      </c>
      <c r="AS1460" s="1098" t="e">
        <f>IF($D$1212="",0,$D1460*Table3[[#This Row],[CF]]*chronic_consumption!$AN260/1000/$C$3)</f>
        <v>#DIV/0!</v>
      </c>
      <c r="AT1460" s="1098" t="e">
        <f>IF($D$1212="",0,$D1460*Table3[[#This Row],[CF]]*chronic_consumption!$AO260/1000/$C$3)</f>
        <v>#DIV/0!</v>
      </c>
      <c r="AU1460" s="1099" t="e">
        <f t="shared" si="874"/>
        <v>#DIV/0!</v>
      </c>
      <c r="AV1460" s="1099" t="e">
        <f t="shared" si="874"/>
        <v>#DIV/0!</v>
      </c>
      <c r="AW1460" s="1099" t="e">
        <f t="shared" si="874"/>
        <v>#DIV/0!</v>
      </c>
      <c r="AX1460" s="1099" t="e">
        <f t="shared" si="874"/>
        <v>#DIV/0!</v>
      </c>
      <c r="AY1460" s="1099" t="e">
        <f t="shared" si="874"/>
        <v>#DIV/0!</v>
      </c>
      <c r="AZ1460" s="1091" t="s">
        <v>1012</v>
      </c>
      <c r="BA1460" s="1097" t="e">
        <f>IF(Table3[[#This Row],[max]]&lt;&gt;0,RANK(Table3[[#This Row],[max]],Table3[max],0),"")</f>
        <v>#DIV/0!</v>
      </c>
      <c r="BB1460" s="1096" t="e">
        <f t="shared" si="865"/>
        <v>#DIV/0!</v>
      </c>
      <c r="BC1460" s="1096" t="e">
        <f t="shared" ca="1" si="866"/>
        <v>#DIV/0!</v>
      </c>
      <c r="BD1460" s="1096" t="e">
        <f>IF(Table3[[#This Row],[max]]&gt;0,Table3[[#This Row],[Crop groups and examples of individual products within the groups to which the MRLs apply]],"")</f>
        <v>#DIV/0!</v>
      </c>
    </row>
    <row r="1461" spans="2:56" x14ac:dyDescent="0.2">
      <c r="B1461" s="23">
        <f t="shared" si="873"/>
        <v>631040</v>
      </c>
      <c r="C1461" s="23" t="str">
        <f t="shared" si="873"/>
        <v>Jasmine</v>
      </c>
      <c r="D1461" s="1084">
        <f>input_values!E261</f>
        <v>0</v>
      </c>
      <c r="E1461" s="1084">
        <f>input_values!F261</f>
        <v>0</v>
      </c>
      <c r="F1461" s="1085">
        <f>input_values!W261</f>
        <v>1</v>
      </c>
      <c r="G1461" s="1085" t="str">
        <f>IF(Table3[[#This Row],[CF]]&gt;0,CONCATENATE(IF(Table3[[#This Row],[LOQ]]="*","LOQ","MRL"),IF(input_values!G261&gt;0,"×CFrisk","")),"")</f>
        <v>MRL</v>
      </c>
      <c r="H1461" s="1087">
        <f>input_values!L261</f>
        <v>0</v>
      </c>
      <c r="I1461" s="1088">
        <f>input_values!D261</f>
        <v>0</v>
      </c>
      <c r="J1461" s="1098" t="e">
        <f>IF($D$1212="",0,$D1461*Table3[[#This Row],[CF]]*chronic_consumption!$E261/1000/$C$3)</f>
        <v>#DIV/0!</v>
      </c>
      <c r="K1461" s="1098" t="e">
        <f>IF($D$1212="",0,$D1461*Table3[[#This Row],[CF]]*chronic_consumption!$F261/1000/$C$3)</f>
        <v>#DIV/0!</v>
      </c>
      <c r="L1461" s="1098" t="e">
        <f>IF($D$1212="",0,$D1461*Table3[[#This Row],[CF]]*chronic_consumption!$G261/1000/$C$3)</f>
        <v>#DIV/0!</v>
      </c>
      <c r="M1461" s="1098" t="e">
        <f>IF($D$1212="",0,$D1461*Table3[[#This Row],[CF]]*chronic_consumption!$H261/1000/$C$3)</f>
        <v>#DIV/0!</v>
      </c>
      <c r="N1461" s="1098" t="e">
        <f>IF($D$1212="",0,$D1461*Table3[[#This Row],[CF]]*chronic_consumption!$I261/1000/$C$3)</f>
        <v>#DIV/0!</v>
      </c>
      <c r="O1461" s="1098" t="e">
        <f>IF($D$1212="",0,$D1461*Table3[[#This Row],[CF]]*chronic_consumption!$J261/1000/$C$3)</f>
        <v>#DIV/0!</v>
      </c>
      <c r="P1461" s="1098" t="e">
        <f>IF($D$1212="",0,$D1461*Table3[[#This Row],[CF]]*chronic_consumption!$K261/1000/$C$3)</f>
        <v>#DIV/0!</v>
      </c>
      <c r="Q1461" s="1098" t="e">
        <f>IF($D$1212="",0,$D1461*Table3[[#This Row],[CF]]*chronic_consumption!$L261/1000/$C$3)</f>
        <v>#DIV/0!</v>
      </c>
      <c r="R1461" s="1098" t="e">
        <f>IF($D$1212="",0,$D1461*Table3[[#This Row],[CF]]*chronic_consumption!$M261/1000/$C$3)</f>
        <v>#DIV/0!</v>
      </c>
      <c r="S1461" s="1098" t="e">
        <f>IF($D$1212="",0,$D1461*Table3[[#This Row],[CF]]*chronic_consumption!$N261/1000/$C$3)</f>
        <v>#DIV/0!</v>
      </c>
      <c r="T1461" s="1098" t="e">
        <f>IF($D$1212="",0,$D1461*Table3[[#This Row],[CF]]*chronic_consumption!$O261/1000/$C$3)</f>
        <v>#DIV/0!</v>
      </c>
      <c r="U1461" s="1098" t="e">
        <f>IF($D$1212="",0,$D1461*Table3[[#This Row],[CF]]*chronic_consumption!$P261/1000/$C$3)</f>
        <v>#DIV/0!</v>
      </c>
      <c r="V1461" s="1098" t="e">
        <f>IF($D$1212="",0,$D1461*Table3[[#This Row],[CF]]*chronic_consumption!$Q261/1000/$C$3)</f>
        <v>#DIV/0!</v>
      </c>
      <c r="W1461" s="1098" t="e">
        <f>IF($D$1212="",0,$D1461*Table3[[#This Row],[CF]]*chronic_consumption!$R261/1000/$C$3)</f>
        <v>#DIV/0!</v>
      </c>
      <c r="X1461" s="1098" t="e">
        <f>IF($D$1212="",0,$D1461*Table3[[#This Row],[CF]]*chronic_consumption!$S261/1000/$C$3)</f>
        <v>#DIV/0!</v>
      </c>
      <c r="Y1461" s="1098" t="e">
        <f>IF($D$1212="",0,$D1461*Table3[[#This Row],[CF]]*chronic_consumption!$T261/1000/$C$3)</f>
        <v>#DIV/0!</v>
      </c>
      <c r="Z1461" s="1098" t="e">
        <f>IF($D$1212="",0,$D1461*Table3[[#This Row],[CF]]*chronic_consumption!$U261/1000/$C$3)</f>
        <v>#DIV/0!</v>
      </c>
      <c r="AA1461" s="1098" t="e">
        <f>IF($D$1212="",0,$D1461*Table3[[#This Row],[CF]]*chronic_consumption!$V261/1000/$C$3)</f>
        <v>#DIV/0!</v>
      </c>
      <c r="AB1461" s="1098" t="e">
        <f>IF($D$1212="",0,$D1461*Table3[[#This Row],[CF]]*chronic_consumption!$W261/1000/$C$3)</f>
        <v>#DIV/0!</v>
      </c>
      <c r="AC1461" s="1098" t="e">
        <f>IF($D$1212="",0,$D1461*Table3[[#This Row],[CF]]*chronic_consumption!$X261/1000/$C$3)</f>
        <v>#DIV/0!</v>
      </c>
      <c r="AD1461" s="1098" t="e">
        <f>IF($D$1212="",0,$D1461*Table3[[#This Row],[CF]]*chronic_consumption!$Y261/1000/$C$3)</f>
        <v>#DIV/0!</v>
      </c>
      <c r="AE1461" s="1098" t="e">
        <f>IF($D$1212="",0,$D1461*Table3[[#This Row],[CF]]*chronic_consumption!$Z261/1000/$C$3)</f>
        <v>#DIV/0!</v>
      </c>
      <c r="AF1461" s="1098" t="e">
        <f>IF($D$1212="",0,$D1461*Table3[[#This Row],[CF]]*chronic_consumption!$AA261/1000/$C$3)</f>
        <v>#DIV/0!</v>
      </c>
      <c r="AG1461" s="1098" t="e">
        <f>IF($D$1212="",0,$D1461*Table3[[#This Row],[CF]]*chronic_consumption!$AB261/1000/$C$3)</f>
        <v>#DIV/0!</v>
      </c>
      <c r="AH1461" s="1098" t="e">
        <f>IF($D$1212="",0,$D1461*Table3[[#This Row],[CF]]*chronic_consumption!$AC261/1000/$C$3)</f>
        <v>#DIV/0!</v>
      </c>
      <c r="AI1461" s="1098" t="e">
        <f>IF($D$1212="",0,$D1461*Table3[[#This Row],[CF]]*chronic_consumption!$AD261/1000/$C$3)</f>
        <v>#DIV/0!</v>
      </c>
      <c r="AJ1461" s="1098" t="e">
        <f>IF($D$1212="",0,$D1461*Table3[[#This Row],[CF]]*chronic_consumption!$AE261/1000/$C$3)</f>
        <v>#DIV/0!</v>
      </c>
      <c r="AK1461" s="1098" t="e">
        <f>IF($D$1212="",0,$D1461*Table3[[#This Row],[CF]]*chronic_consumption!$AF261/1000/$C$3)</f>
        <v>#DIV/0!</v>
      </c>
      <c r="AL1461" s="1098" t="e">
        <f>IF($D$1212="",0,$D1461*Table3[[#This Row],[CF]]*chronic_consumption!$AG261/1000/$C$3)</f>
        <v>#DIV/0!</v>
      </c>
      <c r="AM1461" s="1098" t="e">
        <f>IF($D$1212="",0,$D1461*Table3[[#This Row],[CF]]*chronic_consumption!$AH261/1000/$C$3)</f>
        <v>#DIV/0!</v>
      </c>
      <c r="AN1461" s="1098" t="e">
        <f>IF($D$1212="",0,$D1461*Table3[[#This Row],[CF]]*chronic_consumption!$AI261/1000/$C$3)</f>
        <v>#DIV/0!</v>
      </c>
      <c r="AO1461" s="1098" t="e">
        <f>IF($D$1212="",0,$D1461*Table3[[#This Row],[CF]]*chronic_consumption!$AJ261/1000/$C$3)</f>
        <v>#DIV/0!</v>
      </c>
      <c r="AP1461" s="1098" t="e">
        <f>IF($D$1212="",0,$D1461*Table3[[#This Row],[CF]]*chronic_consumption!$AK261/1000/$C$3)</f>
        <v>#DIV/0!</v>
      </c>
      <c r="AQ1461" s="1098" t="e">
        <f>IF($D$1212="",0,$D1461*Table3[[#This Row],[CF]]*chronic_consumption!$AL261/1000/$C$3)</f>
        <v>#DIV/0!</v>
      </c>
      <c r="AR1461" s="1098" t="e">
        <f>IF($D$1212="",0,$D1461*Table3[[#This Row],[CF]]*chronic_consumption!$AM261/1000/$C$3)</f>
        <v>#DIV/0!</v>
      </c>
      <c r="AS1461" s="1098" t="e">
        <f>IF($D$1212="",0,$D1461*Table3[[#This Row],[CF]]*chronic_consumption!$AN261/1000/$C$3)</f>
        <v>#DIV/0!</v>
      </c>
      <c r="AT1461" s="1098" t="e">
        <f>IF($D$1212="",0,$D1461*Table3[[#This Row],[CF]]*chronic_consumption!$AO261/1000/$C$3)</f>
        <v>#DIV/0!</v>
      </c>
      <c r="AU1461" s="1099" t="e">
        <f t="shared" si="874"/>
        <v>#DIV/0!</v>
      </c>
      <c r="AV1461" s="1099" t="e">
        <f t="shared" si="874"/>
        <v>#DIV/0!</v>
      </c>
      <c r="AW1461" s="1099" t="e">
        <f t="shared" si="874"/>
        <v>#DIV/0!</v>
      </c>
      <c r="AX1461" s="1099" t="e">
        <f t="shared" si="874"/>
        <v>#DIV/0!</v>
      </c>
      <c r="AY1461" s="1099" t="e">
        <f t="shared" si="874"/>
        <v>#DIV/0!</v>
      </c>
      <c r="AZ1461" s="1091" t="s">
        <v>1012</v>
      </c>
      <c r="BA1461" s="1097" t="e">
        <f>IF(Table3[[#This Row],[max]]&lt;&gt;0,RANK(Table3[[#This Row],[max]],Table3[max],0),"")</f>
        <v>#DIV/0!</v>
      </c>
      <c r="BB1461" s="1096" t="e">
        <f t="shared" si="865"/>
        <v>#DIV/0!</v>
      </c>
      <c r="BC1461" s="1096" t="e">
        <f t="shared" ca="1" si="866"/>
        <v>#DIV/0!</v>
      </c>
      <c r="BD1461" s="1096" t="e">
        <f>IF(Table3[[#This Row],[max]]&gt;0,Table3[[#This Row],[Crop groups and examples of individual products within the groups to which the MRLs apply]],"")</f>
        <v>#DIV/0!</v>
      </c>
    </row>
    <row r="1462" spans="2:56" x14ac:dyDescent="0.2">
      <c r="B1462" s="23">
        <f t="shared" si="873"/>
        <v>631050</v>
      </c>
      <c r="C1462" s="23" t="str">
        <f t="shared" si="873"/>
        <v>Lime/linden</v>
      </c>
      <c r="D1462" s="1084">
        <f>input_values!E262</f>
        <v>0</v>
      </c>
      <c r="E1462" s="1084">
        <f>input_values!F262</f>
        <v>0</v>
      </c>
      <c r="F1462" s="1085">
        <f>input_values!W262</f>
        <v>1</v>
      </c>
      <c r="G1462" s="1085" t="str">
        <f>IF(Table3[[#This Row],[CF]]&gt;0,CONCATENATE(IF(Table3[[#This Row],[LOQ]]="*","LOQ","MRL"),IF(input_values!G262&gt;0,"×CFrisk","")),"")</f>
        <v>MRL</v>
      </c>
      <c r="H1462" s="1087">
        <f>input_values!L262</f>
        <v>0</v>
      </c>
      <c r="I1462" s="1088">
        <f>input_values!D262</f>
        <v>0</v>
      </c>
      <c r="J1462" s="1098" t="e">
        <f>IF($D$1212="",0,$D1462*Table3[[#This Row],[CF]]*chronic_consumption!$E262/1000/$C$3)</f>
        <v>#DIV/0!</v>
      </c>
      <c r="K1462" s="1098" t="e">
        <f>IF($D$1212="",0,$D1462*Table3[[#This Row],[CF]]*chronic_consumption!$F262/1000/$C$3)</f>
        <v>#DIV/0!</v>
      </c>
      <c r="L1462" s="1098" t="e">
        <f>IF($D$1212="",0,$D1462*Table3[[#This Row],[CF]]*chronic_consumption!$G262/1000/$C$3)</f>
        <v>#DIV/0!</v>
      </c>
      <c r="M1462" s="1098" t="e">
        <f>IF($D$1212="",0,$D1462*Table3[[#This Row],[CF]]*chronic_consumption!$H262/1000/$C$3)</f>
        <v>#DIV/0!</v>
      </c>
      <c r="N1462" s="1098" t="e">
        <f>IF($D$1212="",0,$D1462*Table3[[#This Row],[CF]]*chronic_consumption!$I262/1000/$C$3)</f>
        <v>#DIV/0!</v>
      </c>
      <c r="O1462" s="1098" t="e">
        <f>IF($D$1212="",0,$D1462*Table3[[#This Row],[CF]]*chronic_consumption!$J262/1000/$C$3)</f>
        <v>#DIV/0!</v>
      </c>
      <c r="P1462" s="1098" t="e">
        <f>IF($D$1212="",0,$D1462*Table3[[#This Row],[CF]]*chronic_consumption!$K262/1000/$C$3)</f>
        <v>#DIV/0!</v>
      </c>
      <c r="Q1462" s="1098" t="e">
        <f>IF($D$1212="",0,$D1462*Table3[[#This Row],[CF]]*chronic_consumption!$L262/1000/$C$3)</f>
        <v>#DIV/0!</v>
      </c>
      <c r="R1462" s="1098" t="e">
        <f>IF($D$1212="",0,$D1462*Table3[[#This Row],[CF]]*chronic_consumption!$M262/1000/$C$3)</f>
        <v>#DIV/0!</v>
      </c>
      <c r="S1462" s="1098" t="e">
        <f>IF($D$1212="",0,$D1462*Table3[[#This Row],[CF]]*chronic_consumption!$N262/1000/$C$3)</f>
        <v>#DIV/0!</v>
      </c>
      <c r="T1462" s="1098" t="e">
        <f>IF($D$1212="",0,$D1462*Table3[[#This Row],[CF]]*chronic_consumption!$O262/1000/$C$3)</f>
        <v>#DIV/0!</v>
      </c>
      <c r="U1462" s="1098" t="e">
        <f>IF($D$1212="",0,$D1462*Table3[[#This Row],[CF]]*chronic_consumption!$P262/1000/$C$3)</f>
        <v>#DIV/0!</v>
      </c>
      <c r="V1462" s="1098" t="e">
        <f>IF($D$1212="",0,$D1462*Table3[[#This Row],[CF]]*chronic_consumption!$Q262/1000/$C$3)</f>
        <v>#DIV/0!</v>
      </c>
      <c r="W1462" s="1098" t="e">
        <f>IF($D$1212="",0,$D1462*Table3[[#This Row],[CF]]*chronic_consumption!$R262/1000/$C$3)</f>
        <v>#DIV/0!</v>
      </c>
      <c r="X1462" s="1098" t="e">
        <f>IF($D$1212="",0,$D1462*Table3[[#This Row],[CF]]*chronic_consumption!$S262/1000/$C$3)</f>
        <v>#DIV/0!</v>
      </c>
      <c r="Y1462" s="1098" t="e">
        <f>IF($D$1212="",0,$D1462*Table3[[#This Row],[CF]]*chronic_consumption!$T262/1000/$C$3)</f>
        <v>#DIV/0!</v>
      </c>
      <c r="Z1462" s="1098" t="e">
        <f>IF($D$1212="",0,$D1462*Table3[[#This Row],[CF]]*chronic_consumption!$U262/1000/$C$3)</f>
        <v>#DIV/0!</v>
      </c>
      <c r="AA1462" s="1098" t="e">
        <f>IF($D$1212="",0,$D1462*Table3[[#This Row],[CF]]*chronic_consumption!$V262/1000/$C$3)</f>
        <v>#DIV/0!</v>
      </c>
      <c r="AB1462" s="1098" t="e">
        <f>IF($D$1212="",0,$D1462*Table3[[#This Row],[CF]]*chronic_consumption!$W262/1000/$C$3)</f>
        <v>#DIV/0!</v>
      </c>
      <c r="AC1462" s="1098" t="e">
        <f>IF($D$1212="",0,$D1462*Table3[[#This Row],[CF]]*chronic_consumption!$X262/1000/$C$3)</f>
        <v>#DIV/0!</v>
      </c>
      <c r="AD1462" s="1098" t="e">
        <f>IF($D$1212="",0,$D1462*Table3[[#This Row],[CF]]*chronic_consumption!$Y262/1000/$C$3)</f>
        <v>#DIV/0!</v>
      </c>
      <c r="AE1462" s="1098" t="e">
        <f>IF($D$1212="",0,$D1462*Table3[[#This Row],[CF]]*chronic_consumption!$Z262/1000/$C$3)</f>
        <v>#DIV/0!</v>
      </c>
      <c r="AF1462" s="1098" t="e">
        <f>IF($D$1212="",0,$D1462*Table3[[#This Row],[CF]]*chronic_consumption!$AA262/1000/$C$3)</f>
        <v>#DIV/0!</v>
      </c>
      <c r="AG1462" s="1098" t="e">
        <f>IF($D$1212="",0,$D1462*Table3[[#This Row],[CF]]*chronic_consumption!$AB262/1000/$C$3)</f>
        <v>#DIV/0!</v>
      </c>
      <c r="AH1462" s="1098" t="e">
        <f>IF($D$1212="",0,$D1462*Table3[[#This Row],[CF]]*chronic_consumption!$AC262/1000/$C$3)</f>
        <v>#DIV/0!</v>
      </c>
      <c r="AI1462" s="1098" t="e">
        <f>IF($D$1212="",0,$D1462*Table3[[#This Row],[CF]]*chronic_consumption!$AD262/1000/$C$3)</f>
        <v>#DIV/0!</v>
      </c>
      <c r="AJ1462" s="1098" t="e">
        <f>IF($D$1212="",0,$D1462*Table3[[#This Row],[CF]]*chronic_consumption!$AE262/1000/$C$3)</f>
        <v>#DIV/0!</v>
      </c>
      <c r="AK1462" s="1098" t="e">
        <f>IF($D$1212="",0,$D1462*Table3[[#This Row],[CF]]*chronic_consumption!$AF262/1000/$C$3)</f>
        <v>#DIV/0!</v>
      </c>
      <c r="AL1462" s="1098" t="e">
        <f>IF($D$1212="",0,$D1462*Table3[[#This Row],[CF]]*chronic_consumption!$AG262/1000/$C$3)</f>
        <v>#DIV/0!</v>
      </c>
      <c r="AM1462" s="1098" t="e">
        <f>IF($D$1212="",0,$D1462*Table3[[#This Row],[CF]]*chronic_consumption!$AH262/1000/$C$3)</f>
        <v>#DIV/0!</v>
      </c>
      <c r="AN1462" s="1098" t="e">
        <f>IF($D$1212="",0,$D1462*Table3[[#This Row],[CF]]*chronic_consumption!$AI262/1000/$C$3)</f>
        <v>#DIV/0!</v>
      </c>
      <c r="AO1462" s="1098" t="e">
        <f>IF($D$1212="",0,$D1462*Table3[[#This Row],[CF]]*chronic_consumption!$AJ262/1000/$C$3)</f>
        <v>#DIV/0!</v>
      </c>
      <c r="AP1462" s="1098" t="e">
        <f>IF($D$1212="",0,$D1462*Table3[[#This Row],[CF]]*chronic_consumption!$AK262/1000/$C$3)</f>
        <v>#DIV/0!</v>
      </c>
      <c r="AQ1462" s="1098" t="e">
        <f>IF($D$1212="",0,$D1462*Table3[[#This Row],[CF]]*chronic_consumption!$AL262/1000/$C$3)</f>
        <v>#DIV/0!</v>
      </c>
      <c r="AR1462" s="1098" t="e">
        <f>IF($D$1212="",0,$D1462*Table3[[#This Row],[CF]]*chronic_consumption!$AM262/1000/$C$3)</f>
        <v>#DIV/0!</v>
      </c>
      <c r="AS1462" s="1098" t="e">
        <f>IF($D$1212="",0,$D1462*Table3[[#This Row],[CF]]*chronic_consumption!$AN262/1000/$C$3)</f>
        <v>#DIV/0!</v>
      </c>
      <c r="AT1462" s="1098" t="e">
        <f>IF($D$1212="",0,$D1462*Table3[[#This Row],[CF]]*chronic_consumption!$AO262/1000/$C$3)</f>
        <v>#DIV/0!</v>
      </c>
      <c r="AU1462" s="1099" t="e">
        <f t="shared" ref="AU1462:AY1471" si="875">IF(AU662="",0,IF(OR(1=RANK(AU1062,AU$412:AU$790,0),(2=RANK(AU1062,AU$412:AU$790,0))),AU1062,AU662))</f>
        <v>#DIV/0!</v>
      </c>
      <c r="AV1462" s="1099" t="e">
        <f t="shared" si="875"/>
        <v>#DIV/0!</v>
      </c>
      <c r="AW1462" s="1099" t="e">
        <f t="shared" si="875"/>
        <v>#DIV/0!</v>
      </c>
      <c r="AX1462" s="1099" t="e">
        <f t="shared" si="875"/>
        <v>#DIV/0!</v>
      </c>
      <c r="AY1462" s="1099" t="e">
        <f t="shared" si="875"/>
        <v>#DIV/0!</v>
      </c>
      <c r="AZ1462" s="1091" t="s">
        <v>1012</v>
      </c>
      <c r="BA1462" s="1097" t="e">
        <f>IF(Table3[[#This Row],[max]]&lt;&gt;0,RANK(Table3[[#This Row],[max]],Table3[max],0),"")</f>
        <v>#DIV/0!</v>
      </c>
      <c r="BB1462" s="1096" t="e">
        <f t="shared" si="865"/>
        <v>#DIV/0!</v>
      </c>
      <c r="BC1462" s="1096" t="e">
        <f t="shared" ca="1" si="866"/>
        <v>#DIV/0!</v>
      </c>
      <c r="BD1462" s="1096" t="e">
        <f>IF(Table3[[#This Row],[max]]&gt;0,Table3[[#This Row],[Crop groups and examples of individual products within the groups to which the MRLs apply]],"")</f>
        <v>#DIV/0!</v>
      </c>
    </row>
    <row r="1463" spans="2:56" x14ac:dyDescent="0.2">
      <c r="B1463" s="23">
        <f t="shared" si="873"/>
        <v>631990</v>
      </c>
      <c r="C1463" s="23" t="str">
        <f t="shared" si="873"/>
        <v>Other herbal infusions (dried flowers)</v>
      </c>
      <c r="D1463" s="1084">
        <f>input_values!E263</f>
        <v>0</v>
      </c>
      <c r="E1463" s="1084">
        <f>input_values!F263</f>
        <v>0</v>
      </c>
      <c r="F1463" s="1085">
        <f>input_values!W263</f>
        <v>1</v>
      </c>
      <c r="G1463" s="1085" t="str">
        <f>IF(Table3[[#This Row],[CF]]&gt;0,CONCATENATE(IF(Table3[[#This Row],[LOQ]]="*","LOQ","MRL"),IF(input_values!G263&gt;0,"×CFrisk","")),"")</f>
        <v>MRL</v>
      </c>
      <c r="H1463" s="1087">
        <f>input_values!L263</f>
        <v>0</v>
      </c>
      <c r="I1463" s="1088">
        <f>input_values!D263</f>
        <v>0</v>
      </c>
      <c r="J1463" s="1098" t="e">
        <f>IF($D$1212="",0,$D1463*Table3[[#This Row],[CF]]*chronic_consumption!$E263/1000/$C$3)</f>
        <v>#DIV/0!</v>
      </c>
      <c r="K1463" s="1098" t="e">
        <f>IF($D$1212="",0,$D1463*Table3[[#This Row],[CF]]*chronic_consumption!$F263/1000/$C$3)</f>
        <v>#DIV/0!</v>
      </c>
      <c r="L1463" s="1098" t="e">
        <f>IF($D$1212="",0,$D1463*Table3[[#This Row],[CF]]*chronic_consumption!$G263/1000/$C$3)</f>
        <v>#DIV/0!</v>
      </c>
      <c r="M1463" s="1098" t="e">
        <f>IF($D$1212="",0,$D1463*Table3[[#This Row],[CF]]*chronic_consumption!$H263/1000/$C$3)</f>
        <v>#DIV/0!</v>
      </c>
      <c r="N1463" s="1098" t="e">
        <f>IF($D$1212="",0,$D1463*Table3[[#This Row],[CF]]*chronic_consumption!$I263/1000/$C$3)</f>
        <v>#DIV/0!</v>
      </c>
      <c r="O1463" s="1098" t="e">
        <f>IF($D$1212="",0,$D1463*Table3[[#This Row],[CF]]*chronic_consumption!$J263/1000/$C$3)</f>
        <v>#DIV/0!</v>
      </c>
      <c r="P1463" s="1098" t="e">
        <f>IF($D$1212="",0,$D1463*Table3[[#This Row],[CF]]*chronic_consumption!$K263/1000/$C$3)</f>
        <v>#DIV/0!</v>
      </c>
      <c r="Q1463" s="1098" t="e">
        <f>IF($D$1212="",0,$D1463*Table3[[#This Row],[CF]]*chronic_consumption!$L263/1000/$C$3)</f>
        <v>#DIV/0!</v>
      </c>
      <c r="R1463" s="1098" t="e">
        <f>IF($D$1212="",0,$D1463*Table3[[#This Row],[CF]]*chronic_consumption!$M263/1000/$C$3)</f>
        <v>#DIV/0!</v>
      </c>
      <c r="S1463" s="1098" t="e">
        <f>IF($D$1212="",0,$D1463*Table3[[#This Row],[CF]]*chronic_consumption!$N263/1000/$C$3)</f>
        <v>#DIV/0!</v>
      </c>
      <c r="T1463" s="1098" t="e">
        <f>IF($D$1212="",0,$D1463*Table3[[#This Row],[CF]]*chronic_consumption!$O263/1000/$C$3)</f>
        <v>#DIV/0!</v>
      </c>
      <c r="U1463" s="1098" t="e">
        <f>IF($D$1212="",0,$D1463*Table3[[#This Row],[CF]]*chronic_consumption!$P263/1000/$C$3)</f>
        <v>#DIV/0!</v>
      </c>
      <c r="V1463" s="1098" t="e">
        <f>IF($D$1212="",0,$D1463*Table3[[#This Row],[CF]]*chronic_consumption!$Q263/1000/$C$3)</f>
        <v>#DIV/0!</v>
      </c>
      <c r="W1463" s="1098" t="e">
        <f>IF($D$1212="",0,$D1463*Table3[[#This Row],[CF]]*chronic_consumption!$R263/1000/$C$3)</f>
        <v>#DIV/0!</v>
      </c>
      <c r="X1463" s="1098" t="e">
        <f>IF($D$1212="",0,$D1463*Table3[[#This Row],[CF]]*chronic_consumption!$S263/1000/$C$3)</f>
        <v>#DIV/0!</v>
      </c>
      <c r="Y1463" s="1098" t="e">
        <f>IF($D$1212="",0,$D1463*Table3[[#This Row],[CF]]*chronic_consumption!$T263/1000/$C$3)</f>
        <v>#DIV/0!</v>
      </c>
      <c r="Z1463" s="1098" t="e">
        <f>IF($D$1212="",0,$D1463*Table3[[#This Row],[CF]]*chronic_consumption!$U263/1000/$C$3)</f>
        <v>#DIV/0!</v>
      </c>
      <c r="AA1463" s="1098" t="e">
        <f>IF($D$1212="",0,$D1463*Table3[[#This Row],[CF]]*chronic_consumption!$V263/1000/$C$3)</f>
        <v>#DIV/0!</v>
      </c>
      <c r="AB1463" s="1098" t="e">
        <f>IF($D$1212="",0,$D1463*Table3[[#This Row],[CF]]*chronic_consumption!$W263/1000/$C$3)</f>
        <v>#DIV/0!</v>
      </c>
      <c r="AC1463" s="1098" t="e">
        <f>IF($D$1212="",0,$D1463*Table3[[#This Row],[CF]]*chronic_consumption!$X263/1000/$C$3)</f>
        <v>#DIV/0!</v>
      </c>
      <c r="AD1463" s="1098" t="e">
        <f>IF($D$1212="",0,$D1463*Table3[[#This Row],[CF]]*chronic_consumption!$Y263/1000/$C$3)</f>
        <v>#DIV/0!</v>
      </c>
      <c r="AE1463" s="1098" t="e">
        <f>IF($D$1212="",0,$D1463*Table3[[#This Row],[CF]]*chronic_consumption!$Z263/1000/$C$3)</f>
        <v>#DIV/0!</v>
      </c>
      <c r="AF1463" s="1098" t="e">
        <f>IF($D$1212="",0,$D1463*Table3[[#This Row],[CF]]*chronic_consumption!$AA263/1000/$C$3)</f>
        <v>#DIV/0!</v>
      </c>
      <c r="AG1463" s="1098" t="e">
        <f>IF($D$1212="",0,$D1463*Table3[[#This Row],[CF]]*chronic_consumption!$AB263/1000/$C$3)</f>
        <v>#DIV/0!</v>
      </c>
      <c r="AH1463" s="1098" t="e">
        <f>IF($D$1212="",0,$D1463*Table3[[#This Row],[CF]]*chronic_consumption!$AC263/1000/$C$3)</f>
        <v>#DIV/0!</v>
      </c>
      <c r="AI1463" s="1098" t="e">
        <f>IF($D$1212="",0,$D1463*Table3[[#This Row],[CF]]*chronic_consumption!$AD263/1000/$C$3)</f>
        <v>#DIV/0!</v>
      </c>
      <c r="AJ1463" s="1098" t="e">
        <f>IF($D$1212="",0,$D1463*Table3[[#This Row],[CF]]*chronic_consumption!$AE263/1000/$C$3)</f>
        <v>#DIV/0!</v>
      </c>
      <c r="AK1463" s="1098" t="e">
        <f>IF($D$1212="",0,$D1463*Table3[[#This Row],[CF]]*chronic_consumption!$AF263/1000/$C$3)</f>
        <v>#DIV/0!</v>
      </c>
      <c r="AL1463" s="1098" t="e">
        <f>IF($D$1212="",0,$D1463*Table3[[#This Row],[CF]]*chronic_consumption!$AG263/1000/$C$3)</f>
        <v>#DIV/0!</v>
      </c>
      <c r="AM1463" s="1098" t="e">
        <f>IF($D$1212="",0,$D1463*Table3[[#This Row],[CF]]*chronic_consumption!$AH263/1000/$C$3)</f>
        <v>#DIV/0!</v>
      </c>
      <c r="AN1463" s="1098" t="e">
        <f>IF($D$1212="",0,$D1463*Table3[[#This Row],[CF]]*chronic_consumption!$AI263/1000/$C$3)</f>
        <v>#DIV/0!</v>
      </c>
      <c r="AO1463" s="1098" t="e">
        <f>IF($D$1212="",0,$D1463*Table3[[#This Row],[CF]]*chronic_consumption!$AJ263/1000/$C$3)</f>
        <v>#DIV/0!</v>
      </c>
      <c r="AP1463" s="1098" t="e">
        <f>IF($D$1212="",0,$D1463*Table3[[#This Row],[CF]]*chronic_consumption!$AK263/1000/$C$3)</f>
        <v>#DIV/0!</v>
      </c>
      <c r="AQ1463" s="1098" t="e">
        <f>IF($D$1212="",0,$D1463*Table3[[#This Row],[CF]]*chronic_consumption!$AL263/1000/$C$3)</f>
        <v>#DIV/0!</v>
      </c>
      <c r="AR1463" s="1098" t="e">
        <f>IF($D$1212="",0,$D1463*Table3[[#This Row],[CF]]*chronic_consumption!$AM263/1000/$C$3)</f>
        <v>#DIV/0!</v>
      </c>
      <c r="AS1463" s="1098" t="e">
        <f>IF($D$1212="",0,$D1463*Table3[[#This Row],[CF]]*chronic_consumption!$AN263/1000/$C$3)</f>
        <v>#DIV/0!</v>
      </c>
      <c r="AT1463" s="1098" t="e">
        <f>IF($D$1212="",0,$D1463*Table3[[#This Row],[CF]]*chronic_consumption!$AO263/1000/$C$3)</f>
        <v>#DIV/0!</v>
      </c>
      <c r="AU1463" s="1099" t="e">
        <f t="shared" si="875"/>
        <v>#DIV/0!</v>
      </c>
      <c r="AV1463" s="1099" t="e">
        <f t="shared" si="875"/>
        <v>#DIV/0!</v>
      </c>
      <c r="AW1463" s="1099" t="e">
        <f t="shared" si="875"/>
        <v>#DIV/0!</v>
      </c>
      <c r="AX1463" s="1099" t="e">
        <f t="shared" si="875"/>
        <v>#DIV/0!</v>
      </c>
      <c r="AY1463" s="1099" t="e">
        <f t="shared" si="875"/>
        <v>#DIV/0!</v>
      </c>
      <c r="AZ1463" s="1091" t="s">
        <v>1012</v>
      </c>
      <c r="BA1463" s="1097" t="e">
        <f>IF(Table3[[#This Row],[max]]&lt;&gt;0,RANK(Table3[[#This Row],[max]],Table3[max],0),"")</f>
        <v>#DIV/0!</v>
      </c>
      <c r="BB1463" s="1096" t="e">
        <f t="shared" si="865"/>
        <v>#DIV/0!</v>
      </c>
      <c r="BC1463" s="1096" t="e">
        <f t="shared" ca="1" si="866"/>
        <v>#DIV/0!</v>
      </c>
      <c r="BD1463" s="1096" t="e">
        <f>IF(Table3[[#This Row],[max]]&gt;0,Table3[[#This Row],[Crop groups and examples of individual products within the groups to which the MRLs apply]],"")</f>
        <v>#DIV/0!</v>
      </c>
    </row>
    <row r="1464" spans="2:56" x14ac:dyDescent="0.2">
      <c r="B1464" s="3">
        <f t="shared" si="873"/>
        <v>632000</v>
      </c>
      <c r="C1464" s="3" t="str">
        <f t="shared" si="873"/>
        <v>Herbal infusions (dried leaves)</v>
      </c>
      <c r="D1464" s="1084">
        <f>input_values!E264</f>
        <v>0</v>
      </c>
      <c r="E1464" s="1084">
        <f>input_values!F264</f>
        <v>0</v>
      </c>
      <c r="F1464" s="1085">
        <f>input_values!W264</f>
        <v>0</v>
      </c>
      <c r="G1464" s="1085" t="str">
        <f>IF(Table3[[#This Row],[CF]]&gt;0,CONCATENATE(IF(Table3[[#This Row],[LOQ]]="*","LOQ","MRL"),IF(input_values!G264&gt;0,"×CFrisk","")),"")</f>
        <v/>
      </c>
      <c r="H1464" s="1087">
        <f>input_values!L264</f>
        <v>0</v>
      </c>
      <c r="I1464" s="1088">
        <f>input_values!D264</f>
        <v>0</v>
      </c>
      <c r="J1464" s="1100" t="e">
        <f>IF($D$1212="",0,$D1464*Table3[[#This Row],[CF]]*chronic_consumption!$E264/1000/$C$3)</f>
        <v>#DIV/0!</v>
      </c>
      <c r="K1464" s="1100" t="e">
        <f>IF($D$1212="",0,$D1464*Table3[[#This Row],[CF]]*chronic_consumption!$F264/1000/$C$3)</f>
        <v>#DIV/0!</v>
      </c>
      <c r="L1464" s="1100" t="e">
        <f>IF($D$1212="",0,$D1464*Table3[[#This Row],[CF]]*chronic_consumption!$G264/1000/$C$3)</f>
        <v>#DIV/0!</v>
      </c>
      <c r="M1464" s="1100" t="e">
        <f>IF($D$1212="",0,$D1464*Table3[[#This Row],[CF]]*chronic_consumption!$H264/1000/$C$3)</f>
        <v>#DIV/0!</v>
      </c>
      <c r="N1464" s="1100" t="e">
        <f>IF($D$1212="",0,$D1464*Table3[[#This Row],[CF]]*chronic_consumption!$I264/1000/$C$3)</f>
        <v>#DIV/0!</v>
      </c>
      <c r="O1464" s="1100" t="e">
        <f>IF($D$1212="",0,$D1464*Table3[[#This Row],[CF]]*chronic_consumption!$J264/1000/$C$3)</f>
        <v>#DIV/0!</v>
      </c>
      <c r="P1464" s="1100" t="e">
        <f>IF($D$1212="",0,$D1464*Table3[[#This Row],[CF]]*chronic_consumption!$K264/1000/$C$3)</f>
        <v>#DIV/0!</v>
      </c>
      <c r="Q1464" s="1100" t="e">
        <f>IF($D$1212="",0,$D1464*Table3[[#This Row],[CF]]*chronic_consumption!$L264/1000/$C$3)</f>
        <v>#DIV/0!</v>
      </c>
      <c r="R1464" s="1100" t="e">
        <f>IF($D$1212="",0,$D1464*Table3[[#This Row],[CF]]*chronic_consumption!$M264/1000/$C$3)</f>
        <v>#DIV/0!</v>
      </c>
      <c r="S1464" s="1100" t="e">
        <f>IF($D$1212="",0,$D1464*Table3[[#This Row],[CF]]*chronic_consumption!$N264/1000/$C$3)</f>
        <v>#DIV/0!</v>
      </c>
      <c r="T1464" s="1100" t="e">
        <f>IF($D$1212="",0,$D1464*Table3[[#This Row],[CF]]*chronic_consumption!$O264/1000/$C$3)</f>
        <v>#DIV/0!</v>
      </c>
      <c r="U1464" s="1100" t="e">
        <f>IF($D$1212="",0,$D1464*Table3[[#This Row],[CF]]*chronic_consumption!$P264/1000/$C$3)</f>
        <v>#DIV/0!</v>
      </c>
      <c r="V1464" s="1100" t="e">
        <f>IF($D$1212="",0,$D1464*Table3[[#This Row],[CF]]*chronic_consumption!$Q264/1000/$C$3)</f>
        <v>#DIV/0!</v>
      </c>
      <c r="W1464" s="1100" t="e">
        <f>IF($D$1212="",0,$D1464*Table3[[#This Row],[CF]]*chronic_consumption!$R264/1000/$C$3)</f>
        <v>#DIV/0!</v>
      </c>
      <c r="X1464" s="1100" t="e">
        <f>IF($D$1212="",0,$D1464*Table3[[#This Row],[CF]]*chronic_consumption!$S264/1000/$C$3)</f>
        <v>#DIV/0!</v>
      </c>
      <c r="Y1464" s="1100" t="e">
        <f>IF($D$1212="",0,$D1464*Table3[[#This Row],[CF]]*chronic_consumption!$T264/1000/$C$3)</f>
        <v>#DIV/0!</v>
      </c>
      <c r="Z1464" s="1100" t="e">
        <f>IF($D$1212="",0,$D1464*Table3[[#This Row],[CF]]*chronic_consumption!$U264/1000/$C$3)</f>
        <v>#DIV/0!</v>
      </c>
      <c r="AA1464" s="1100" t="e">
        <f>IF($D$1212="",0,$D1464*Table3[[#This Row],[CF]]*chronic_consumption!$V264/1000/$C$3)</f>
        <v>#DIV/0!</v>
      </c>
      <c r="AB1464" s="1100" t="e">
        <f>IF($D$1212="",0,$D1464*Table3[[#This Row],[CF]]*chronic_consumption!$W264/1000/$C$3)</f>
        <v>#DIV/0!</v>
      </c>
      <c r="AC1464" s="1100" t="e">
        <f>IF($D$1212="",0,$D1464*Table3[[#This Row],[CF]]*chronic_consumption!$X264/1000/$C$3)</f>
        <v>#DIV/0!</v>
      </c>
      <c r="AD1464" s="1100" t="e">
        <f>IF($D$1212="",0,$D1464*Table3[[#This Row],[CF]]*chronic_consumption!$Y264/1000/$C$3)</f>
        <v>#DIV/0!</v>
      </c>
      <c r="AE1464" s="1100" t="e">
        <f>IF($D$1212="",0,$D1464*Table3[[#This Row],[CF]]*chronic_consumption!$Z264/1000/$C$3)</f>
        <v>#DIV/0!</v>
      </c>
      <c r="AF1464" s="1100" t="e">
        <f>IF($D$1212="",0,$D1464*Table3[[#This Row],[CF]]*chronic_consumption!$AA264/1000/$C$3)</f>
        <v>#DIV/0!</v>
      </c>
      <c r="AG1464" s="1100" t="e">
        <f>IF($D$1212="",0,$D1464*Table3[[#This Row],[CF]]*chronic_consumption!$AB264/1000/$C$3)</f>
        <v>#DIV/0!</v>
      </c>
      <c r="AH1464" s="1100" t="e">
        <f>IF($D$1212="",0,$D1464*Table3[[#This Row],[CF]]*chronic_consumption!$AC264/1000/$C$3)</f>
        <v>#DIV/0!</v>
      </c>
      <c r="AI1464" s="1100" t="e">
        <f>IF($D$1212="",0,$D1464*Table3[[#This Row],[CF]]*chronic_consumption!$AD264/1000/$C$3)</f>
        <v>#DIV/0!</v>
      </c>
      <c r="AJ1464" s="1100" t="e">
        <f>IF($D$1212="",0,$D1464*Table3[[#This Row],[CF]]*chronic_consumption!$AE264/1000/$C$3)</f>
        <v>#DIV/0!</v>
      </c>
      <c r="AK1464" s="1100" t="e">
        <f>IF($D$1212="",0,$D1464*Table3[[#This Row],[CF]]*chronic_consumption!$AF264/1000/$C$3)</f>
        <v>#DIV/0!</v>
      </c>
      <c r="AL1464" s="1100" t="e">
        <f>IF($D$1212="",0,$D1464*Table3[[#This Row],[CF]]*chronic_consumption!$AG264/1000/$C$3)</f>
        <v>#DIV/0!</v>
      </c>
      <c r="AM1464" s="1100" t="e">
        <f>IF($D$1212="",0,$D1464*Table3[[#This Row],[CF]]*chronic_consumption!$AH264/1000/$C$3)</f>
        <v>#DIV/0!</v>
      </c>
      <c r="AN1464" s="1100" t="e">
        <f>IF($D$1212="",0,$D1464*Table3[[#This Row],[CF]]*chronic_consumption!$AI264/1000/$C$3)</f>
        <v>#DIV/0!</v>
      </c>
      <c r="AO1464" s="1100" t="e">
        <f>IF($D$1212="",0,$D1464*Table3[[#This Row],[CF]]*chronic_consumption!$AJ264/1000/$C$3)</f>
        <v>#DIV/0!</v>
      </c>
      <c r="AP1464" s="1100" t="e">
        <f>IF($D$1212="",0,$D1464*Table3[[#This Row],[CF]]*chronic_consumption!$AK264/1000/$C$3)</f>
        <v>#DIV/0!</v>
      </c>
      <c r="AQ1464" s="1100" t="e">
        <f>IF($D$1212="",0,$D1464*Table3[[#This Row],[CF]]*chronic_consumption!$AL264/1000/$C$3)</f>
        <v>#DIV/0!</v>
      </c>
      <c r="AR1464" s="1100" t="e">
        <f>IF($D$1212="",0,$D1464*Table3[[#This Row],[CF]]*chronic_consumption!$AM264/1000/$C$3)</f>
        <v>#DIV/0!</v>
      </c>
      <c r="AS1464" s="1100" t="e">
        <f>IF($D$1212="",0,$D1464*Table3[[#This Row],[CF]]*chronic_consumption!$AN264/1000/$C$3)</f>
        <v>#DIV/0!</v>
      </c>
      <c r="AT1464" s="1100" t="e">
        <f>IF($D$1212="",0,$D1464*Table3[[#This Row],[CF]]*chronic_consumption!$AO264/1000/$C$3)</f>
        <v>#DIV/0!</v>
      </c>
      <c r="AU1464" s="1101" t="e">
        <f t="shared" si="875"/>
        <v>#DIV/0!</v>
      </c>
      <c r="AV1464" s="1101" t="e">
        <f t="shared" si="875"/>
        <v>#DIV/0!</v>
      </c>
      <c r="AW1464" s="1101" t="e">
        <f t="shared" si="875"/>
        <v>#DIV/0!</v>
      </c>
      <c r="AX1464" s="1101" t="e">
        <f t="shared" si="875"/>
        <v>#DIV/0!</v>
      </c>
      <c r="AY1464" s="1101" t="e">
        <f t="shared" si="875"/>
        <v>#DIV/0!</v>
      </c>
      <c r="AZ1464" s="1091" t="s">
        <v>1012</v>
      </c>
      <c r="BA1464" s="1097" t="e">
        <f>IF(Table3[[#This Row],[max]]&lt;&gt;0,RANK(Table3[[#This Row],[max]],Table3[max],0),"")</f>
        <v>#DIV/0!</v>
      </c>
      <c r="BB1464" s="1096" t="e">
        <f t="shared" si="865"/>
        <v>#DIV/0!</v>
      </c>
      <c r="BC1464" s="1096" t="e">
        <f t="shared" ca="1" si="866"/>
        <v>#DIV/0!</v>
      </c>
      <c r="BD1464" s="1096" t="e">
        <f>IF(Table3[[#This Row],[max]]&gt;0,Table3[[#This Row],[Crop groups and examples of individual products within the groups to which the MRLs apply]],"")</f>
        <v>#DIV/0!</v>
      </c>
    </row>
    <row r="1465" spans="2:56" x14ac:dyDescent="0.2">
      <c r="B1465" s="23">
        <f t="shared" si="873"/>
        <v>632010</v>
      </c>
      <c r="C1465" s="23" t="str">
        <f t="shared" si="873"/>
        <v>Strawberry leaves</v>
      </c>
      <c r="D1465" s="1084">
        <f>input_values!E265</f>
        <v>0</v>
      </c>
      <c r="E1465" s="1084">
        <f>input_values!F265</f>
        <v>0</v>
      </c>
      <c r="F1465" s="1085">
        <f>input_values!W265</f>
        <v>1</v>
      </c>
      <c r="G1465" s="1085" t="str">
        <f>IF(Table3[[#This Row],[CF]]&gt;0,CONCATENATE(IF(Table3[[#This Row],[LOQ]]="*","LOQ","MRL"),IF(input_values!G265&gt;0,"×CFrisk","")),"")</f>
        <v>MRL</v>
      </c>
      <c r="H1465" s="1087">
        <f>input_values!L265</f>
        <v>0</v>
      </c>
      <c r="I1465" s="1088">
        <f>input_values!D265</f>
        <v>0</v>
      </c>
      <c r="J1465" s="1098" t="e">
        <f>IF($D$1212="",0,$D1465*Table3[[#This Row],[CF]]*chronic_consumption!$E265/1000/$C$3)</f>
        <v>#DIV/0!</v>
      </c>
      <c r="K1465" s="1098" t="e">
        <f>IF($D$1212="",0,$D1465*Table3[[#This Row],[CF]]*chronic_consumption!$F265/1000/$C$3)</f>
        <v>#DIV/0!</v>
      </c>
      <c r="L1465" s="1098" t="e">
        <f>IF($D$1212="",0,$D1465*Table3[[#This Row],[CF]]*chronic_consumption!$G265/1000/$C$3)</f>
        <v>#DIV/0!</v>
      </c>
      <c r="M1465" s="1098" t="e">
        <f>IF($D$1212="",0,$D1465*Table3[[#This Row],[CF]]*chronic_consumption!$H265/1000/$C$3)</f>
        <v>#DIV/0!</v>
      </c>
      <c r="N1465" s="1098" t="e">
        <f>IF($D$1212="",0,$D1465*Table3[[#This Row],[CF]]*chronic_consumption!$I265/1000/$C$3)</f>
        <v>#DIV/0!</v>
      </c>
      <c r="O1465" s="1098" t="e">
        <f>IF($D$1212="",0,$D1465*Table3[[#This Row],[CF]]*chronic_consumption!$J265/1000/$C$3)</f>
        <v>#DIV/0!</v>
      </c>
      <c r="P1465" s="1098" t="e">
        <f>IF($D$1212="",0,$D1465*Table3[[#This Row],[CF]]*chronic_consumption!$K265/1000/$C$3)</f>
        <v>#DIV/0!</v>
      </c>
      <c r="Q1465" s="1098" t="e">
        <f>IF($D$1212="",0,$D1465*Table3[[#This Row],[CF]]*chronic_consumption!$L265/1000/$C$3)</f>
        <v>#DIV/0!</v>
      </c>
      <c r="R1465" s="1098" t="e">
        <f>IF($D$1212="",0,$D1465*Table3[[#This Row],[CF]]*chronic_consumption!$M265/1000/$C$3)</f>
        <v>#DIV/0!</v>
      </c>
      <c r="S1465" s="1098" t="e">
        <f>IF($D$1212="",0,$D1465*Table3[[#This Row],[CF]]*chronic_consumption!$N265/1000/$C$3)</f>
        <v>#DIV/0!</v>
      </c>
      <c r="T1465" s="1098" t="e">
        <f>IF($D$1212="",0,$D1465*Table3[[#This Row],[CF]]*chronic_consumption!$O265/1000/$C$3)</f>
        <v>#DIV/0!</v>
      </c>
      <c r="U1465" s="1098" t="e">
        <f>IF($D$1212="",0,$D1465*Table3[[#This Row],[CF]]*chronic_consumption!$P265/1000/$C$3)</f>
        <v>#DIV/0!</v>
      </c>
      <c r="V1465" s="1098" t="e">
        <f>IF($D$1212="",0,$D1465*Table3[[#This Row],[CF]]*chronic_consumption!$Q265/1000/$C$3)</f>
        <v>#DIV/0!</v>
      </c>
      <c r="W1465" s="1098" t="e">
        <f>IF($D$1212="",0,$D1465*Table3[[#This Row],[CF]]*chronic_consumption!$R265/1000/$C$3)</f>
        <v>#DIV/0!</v>
      </c>
      <c r="X1465" s="1098" t="e">
        <f>IF($D$1212="",0,$D1465*Table3[[#This Row],[CF]]*chronic_consumption!$S265/1000/$C$3)</f>
        <v>#DIV/0!</v>
      </c>
      <c r="Y1465" s="1098" t="e">
        <f>IF($D$1212="",0,$D1465*Table3[[#This Row],[CF]]*chronic_consumption!$T265/1000/$C$3)</f>
        <v>#DIV/0!</v>
      </c>
      <c r="Z1465" s="1098" t="e">
        <f>IF($D$1212="",0,$D1465*Table3[[#This Row],[CF]]*chronic_consumption!$U265/1000/$C$3)</f>
        <v>#DIV/0!</v>
      </c>
      <c r="AA1465" s="1098" t="e">
        <f>IF($D$1212="",0,$D1465*Table3[[#This Row],[CF]]*chronic_consumption!$V265/1000/$C$3)</f>
        <v>#DIV/0!</v>
      </c>
      <c r="AB1465" s="1098" t="e">
        <f>IF($D$1212="",0,$D1465*Table3[[#This Row],[CF]]*chronic_consumption!$W265/1000/$C$3)</f>
        <v>#DIV/0!</v>
      </c>
      <c r="AC1465" s="1098" t="e">
        <f>IF($D$1212="",0,$D1465*Table3[[#This Row],[CF]]*chronic_consumption!$X265/1000/$C$3)</f>
        <v>#DIV/0!</v>
      </c>
      <c r="AD1465" s="1098" t="e">
        <f>IF($D$1212="",0,$D1465*Table3[[#This Row],[CF]]*chronic_consumption!$Y265/1000/$C$3)</f>
        <v>#DIV/0!</v>
      </c>
      <c r="AE1465" s="1098" t="e">
        <f>IF($D$1212="",0,$D1465*Table3[[#This Row],[CF]]*chronic_consumption!$Z265/1000/$C$3)</f>
        <v>#DIV/0!</v>
      </c>
      <c r="AF1465" s="1098" t="e">
        <f>IF($D$1212="",0,$D1465*Table3[[#This Row],[CF]]*chronic_consumption!$AA265/1000/$C$3)</f>
        <v>#DIV/0!</v>
      </c>
      <c r="AG1465" s="1098" t="e">
        <f>IF($D$1212="",0,$D1465*Table3[[#This Row],[CF]]*chronic_consumption!$AB265/1000/$C$3)</f>
        <v>#DIV/0!</v>
      </c>
      <c r="AH1465" s="1098" t="e">
        <f>IF($D$1212="",0,$D1465*Table3[[#This Row],[CF]]*chronic_consumption!$AC265/1000/$C$3)</f>
        <v>#DIV/0!</v>
      </c>
      <c r="AI1465" s="1098" t="e">
        <f>IF($D$1212="",0,$D1465*Table3[[#This Row],[CF]]*chronic_consumption!$AD265/1000/$C$3)</f>
        <v>#DIV/0!</v>
      </c>
      <c r="AJ1465" s="1098" t="e">
        <f>IF($D$1212="",0,$D1465*Table3[[#This Row],[CF]]*chronic_consumption!$AE265/1000/$C$3)</f>
        <v>#DIV/0!</v>
      </c>
      <c r="AK1465" s="1098" t="e">
        <f>IF($D$1212="",0,$D1465*Table3[[#This Row],[CF]]*chronic_consumption!$AF265/1000/$C$3)</f>
        <v>#DIV/0!</v>
      </c>
      <c r="AL1465" s="1098" t="e">
        <f>IF($D$1212="",0,$D1465*Table3[[#This Row],[CF]]*chronic_consumption!$AG265/1000/$C$3)</f>
        <v>#DIV/0!</v>
      </c>
      <c r="AM1465" s="1098" t="e">
        <f>IF($D$1212="",0,$D1465*Table3[[#This Row],[CF]]*chronic_consumption!$AH265/1000/$C$3)</f>
        <v>#DIV/0!</v>
      </c>
      <c r="AN1465" s="1098" t="e">
        <f>IF($D$1212="",0,$D1465*Table3[[#This Row],[CF]]*chronic_consumption!$AI265/1000/$C$3)</f>
        <v>#DIV/0!</v>
      </c>
      <c r="AO1465" s="1098" t="e">
        <f>IF($D$1212="",0,$D1465*Table3[[#This Row],[CF]]*chronic_consumption!$AJ265/1000/$C$3)</f>
        <v>#DIV/0!</v>
      </c>
      <c r="AP1465" s="1098" t="e">
        <f>IF($D$1212="",0,$D1465*Table3[[#This Row],[CF]]*chronic_consumption!$AK265/1000/$C$3)</f>
        <v>#DIV/0!</v>
      </c>
      <c r="AQ1465" s="1098" t="e">
        <f>IF($D$1212="",0,$D1465*Table3[[#This Row],[CF]]*chronic_consumption!$AL265/1000/$C$3)</f>
        <v>#DIV/0!</v>
      </c>
      <c r="AR1465" s="1098" t="e">
        <f>IF($D$1212="",0,$D1465*Table3[[#This Row],[CF]]*chronic_consumption!$AM265/1000/$C$3)</f>
        <v>#DIV/0!</v>
      </c>
      <c r="AS1465" s="1098" t="e">
        <f>IF($D$1212="",0,$D1465*Table3[[#This Row],[CF]]*chronic_consumption!$AN265/1000/$C$3)</f>
        <v>#DIV/0!</v>
      </c>
      <c r="AT1465" s="1098" t="e">
        <f>IF($D$1212="",0,$D1465*Table3[[#This Row],[CF]]*chronic_consumption!$AO265/1000/$C$3)</f>
        <v>#DIV/0!</v>
      </c>
      <c r="AU1465" s="1099" t="e">
        <f t="shared" si="875"/>
        <v>#DIV/0!</v>
      </c>
      <c r="AV1465" s="1099" t="e">
        <f t="shared" si="875"/>
        <v>#DIV/0!</v>
      </c>
      <c r="AW1465" s="1099" t="e">
        <f t="shared" si="875"/>
        <v>#DIV/0!</v>
      </c>
      <c r="AX1465" s="1099" t="e">
        <f t="shared" si="875"/>
        <v>#DIV/0!</v>
      </c>
      <c r="AY1465" s="1099" t="e">
        <f t="shared" si="875"/>
        <v>#DIV/0!</v>
      </c>
      <c r="AZ1465" s="1091" t="s">
        <v>1012</v>
      </c>
      <c r="BA1465" s="1097" t="e">
        <f>IF(Table3[[#This Row],[max]]&lt;&gt;0,RANK(Table3[[#This Row],[max]],Table3[max],0),"")</f>
        <v>#DIV/0!</v>
      </c>
      <c r="BB1465" s="1096" t="e">
        <f t="shared" si="865"/>
        <v>#DIV/0!</v>
      </c>
      <c r="BC1465" s="1096" t="e">
        <f t="shared" ca="1" si="866"/>
        <v>#DIV/0!</v>
      </c>
      <c r="BD1465" s="1096" t="e">
        <f>IF(Table3[[#This Row],[max]]&gt;0,Table3[[#This Row],[Crop groups and examples of individual products within the groups to which the MRLs apply]],"")</f>
        <v>#DIV/0!</v>
      </c>
    </row>
    <row r="1466" spans="2:56" x14ac:dyDescent="0.2">
      <c r="B1466" s="23">
        <f t="shared" si="873"/>
        <v>632020</v>
      </c>
      <c r="C1466" s="23" t="str">
        <f t="shared" si="873"/>
        <v>Rooibos</v>
      </c>
      <c r="D1466" s="1084">
        <f>input_values!E266</f>
        <v>0</v>
      </c>
      <c r="E1466" s="1084">
        <f>input_values!F266</f>
        <v>0</v>
      </c>
      <c r="F1466" s="1085">
        <f>input_values!W266</f>
        <v>1</v>
      </c>
      <c r="G1466" s="1085" t="str">
        <f>IF(Table3[[#This Row],[CF]]&gt;0,CONCATENATE(IF(Table3[[#This Row],[LOQ]]="*","LOQ","MRL"),IF(input_values!G266&gt;0,"×CFrisk","")),"")</f>
        <v>MRL</v>
      </c>
      <c r="H1466" s="1087">
        <f>input_values!L266</f>
        <v>0</v>
      </c>
      <c r="I1466" s="1088">
        <f>input_values!D266</f>
        <v>0</v>
      </c>
      <c r="J1466" s="1098" t="e">
        <f>IF($D$1212="",0,$D1466*Table3[[#This Row],[CF]]*chronic_consumption!$E266/1000/$C$3)</f>
        <v>#DIV/0!</v>
      </c>
      <c r="K1466" s="1098" t="e">
        <f>IF($D$1212="",0,$D1466*Table3[[#This Row],[CF]]*chronic_consumption!$F266/1000/$C$3)</f>
        <v>#DIV/0!</v>
      </c>
      <c r="L1466" s="1098" t="e">
        <f>IF($D$1212="",0,$D1466*Table3[[#This Row],[CF]]*chronic_consumption!$G266/1000/$C$3)</f>
        <v>#DIV/0!</v>
      </c>
      <c r="M1466" s="1098" t="e">
        <f>IF($D$1212="",0,$D1466*Table3[[#This Row],[CF]]*chronic_consumption!$H266/1000/$C$3)</f>
        <v>#DIV/0!</v>
      </c>
      <c r="N1466" s="1098" t="e">
        <f>IF($D$1212="",0,$D1466*Table3[[#This Row],[CF]]*chronic_consumption!$I266/1000/$C$3)</f>
        <v>#DIV/0!</v>
      </c>
      <c r="O1466" s="1098" t="e">
        <f>IF($D$1212="",0,$D1466*Table3[[#This Row],[CF]]*chronic_consumption!$J266/1000/$C$3)</f>
        <v>#DIV/0!</v>
      </c>
      <c r="P1466" s="1098" t="e">
        <f>IF($D$1212="",0,$D1466*Table3[[#This Row],[CF]]*chronic_consumption!$K266/1000/$C$3)</f>
        <v>#DIV/0!</v>
      </c>
      <c r="Q1466" s="1098" t="e">
        <f>IF($D$1212="",0,$D1466*Table3[[#This Row],[CF]]*chronic_consumption!$L266/1000/$C$3)</f>
        <v>#DIV/0!</v>
      </c>
      <c r="R1466" s="1098" t="e">
        <f>IF($D$1212="",0,$D1466*Table3[[#This Row],[CF]]*chronic_consumption!$M266/1000/$C$3)</f>
        <v>#DIV/0!</v>
      </c>
      <c r="S1466" s="1098" t="e">
        <f>IF($D$1212="",0,$D1466*Table3[[#This Row],[CF]]*chronic_consumption!$N266/1000/$C$3)</f>
        <v>#DIV/0!</v>
      </c>
      <c r="T1466" s="1098" t="e">
        <f>IF($D$1212="",0,$D1466*Table3[[#This Row],[CF]]*chronic_consumption!$O266/1000/$C$3)</f>
        <v>#DIV/0!</v>
      </c>
      <c r="U1466" s="1098" t="e">
        <f>IF($D$1212="",0,$D1466*Table3[[#This Row],[CF]]*chronic_consumption!$P266/1000/$C$3)</f>
        <v>#DIV/0!</v>
      </c>
      <c r="V1466" s="1098" t="e">
        <f>IF($D$1212="",0,$D1466*Table3[[#This Row],[CF]]*chronic_consumption!$Q266/1000/$C$3)</f>
        <v>#DIV/0!</v>
      </c>
      <c r="W1466" s="1098" t="e">
        <f>IF($D$1212="",0,$D1466*Table3[[#This Row],[CF]]*chronic_consumption!$R266/1000/$C$3)</f>
        <v>#DIV/0!</v>
      </c>
      <c r="X1466" s="1098" t="e">
        <f>IF($D$1212="",0,$D1466*Table3[[#This Row],[CF]]*chronic_consumption!$S266/1000/$C$3)</f>
        <v>#DIV/0!</v>
      </c>
      <c r="Y1466" s="1098" t="e">
        <f>IF($D$1212="",0,$D1466*Table3[[#This Row],[CF]]*chronic_consumption!$T266/1000/$C$3)</f>
        <v>#DIV/0!</v>
      </c>
      <c r="Z1466" s="1098" t="e">
        <f>IF($D$1212="",0,$D1466*Table3[[#This Row],[CF]]*chronic_consumption!$U266/1000/$C$3)</f>
        <v>#DIV/0!</v>
      </c>
      <c r="AA1466" s="1098" t="e">
        <f>IF($D$1212="",0,$D1466*Table3[[#This Row],[CF]]*chronic_consumption!$V266/1000/$C$3)</f>
        <v>#DIV/0!</v>
      </c>
      <c r="AB1466" s="1098" t="e">
        <f>IF($D$1212="",0,$D1466*Table3[[#This Row],[CF]]*chronic_consumption!$W266/1000/$C$3)</f>
        <v>#DIV/0!</v>
      </c>
      <c r="AC1466" s="1098" t="e">
        <f>IF($D$1212="",0,$D1466*Table3[[#This Row],[CF]]*chronic_consumption!$X266/1000/$C$3)</f>
        <v>#DIV/0!</v>
      </c>
      <c r="AD1466" s="1098" t="e">
        <f>IF($D$1212="",0,$D1466*Table3[[#This Row],[CF]]*chronic_consumption!$Y266/1000/$C$3)</f>
        <v>#DIV/0!</v>
      </c>
      <c r="AE1466" s="1098" t="e">
        <f>IF($D$1212="",0,$D1466*Table3[[#This Row],[CF]]*chronic_consumption!$Z266/1000/$C$3)</f>
        <v>#DIV/0!</v>
      </c>
      <c r="AF1466" s="1098" t="e">
        <f>IF($D$1212="",0,$D1466*Table3[[#This Row],[CF]]*chronic_consumption!$AA266/1000/$C$3)</f>
        <v>#DIV/0!</v>
      </c>
      <c r="AG1466" s="1098" t="e">
        <f>IF($D$1212="",0,$D1466*Table3[[#This Row],[CF]]*chronic_consumption!$AB266/1000/$C$3)</f>
        <v>#DIV/0!</v>
      </c>
      <c r="AH1466" s="1098" t="e">
        <f>IF($D$1212="",0,$D1466*Table3[[#This Row],[CF]]*chronic_consumption!$AC266/1000/$C$3)</f>
        <v>#DIV/0!</v>
      </c>
      <c r="AI1466" s="1098" t="e">
        <f>IF($D$1212="",0,$D1466*Table3[[#This Row],[CF]]*chronic_consumption!$AD266/1000/$C$3)</f>
        <v>#DIV/0!</v>
      </c>
      <c r="AJ1466" s="1098" t="e">
        <f>IF($D$1212="",0,$D1466*Table3[[#This Row],[CF]]*chronic_consumption!$AE266/1000/$C$3)</f>
        <v>#DIV/0!</v>
      </c>
      <c r="AK1466" s="1098" t="e">
        <f>IF($D$1212="",0,$D1466*Table3[[#This Row],[CF]]*chronic_consumption!$AF266/1000/$C$3)</f>
        <v>#DIV/0!</v>
      </c>
      <c r="AL1466" s="1098" t="e">
        <f>IF($D$1212="",0,$D1466*Table3[[#This Row],[CF]]*chronic_consumption!$AG266/1000/$C$3)</f>
        <v>#DIV/0!</v>
      </c>
      <c r="AM1466" s="1098" t="e">
        <f>IF($D$1212="",0,$D1466*Table3[[#This Row],[CF]]*chronic_consumption!$AH266/1000/$C$3)</f>
        <v>#DIV/0!</v>
      </c>
      <c r="AN1466" s="1098" t="e">
        <f>IF($D$1212="",0,$D1466*Table3[[#This Row],[CF]]*chronic_consumption!$AI266/1000/$C$3)</f>
        <v>#DIV/0!</v>
      </c>
      <c r="AO1466" s="1098" t="e">
        <f>IF($D$1212="",0,$D1466*Table3[[#This Row],[CF]]*chronic_consumption!$AJ266/1000/$C$3)</f>
        <v>#DIV/0!</v>
      </c>
      <c r="AP1466" s="1098" t="e">
        <f>IF($D$1212="",0,$D1466*Table3[[#This Row],[CF]]*chronic_consumption!$AK266/1000/$C$3)</f>
        <v>#DIV/0!</v>
      </c>
      <c r="AQ1466" s="1098" t="e">
        <f>IF($D$1212="",0,$D1466*Table3[[#This Row],[CF]]*chronic_consumption!$AL266/1000/$C$3)</f>
        <v>#DIV/0!</v>
      </c>
      <c r="AR1466" s="1098" t="e">
        <f>IF($D$1212="",0,$D1466*Table3[[#This Row],[CF]]*chronic_consumption!$AM266/1000/$C$3)</f>
        <v>#DIV/0!</v>
      </c>
      <c r="AS1466" s="1098" t="e">
        <f>IF($D$1212="",0,$D1466*Table3[[#This Row],[CF]]*chronic_consumption!$AN266/1000/$C$3)</f>
        <v>#DIV/0!</v>
      </c>
      <c r="AT1466" s="1098" t="e">
        <f>IF($D$1212="",0,$D1466*Table3[[#This Row],[CF]]*chronic_consumption!$AO266/1000/$C$3)</f>
        <v>#DIV/0!</v>
      </c>
      <c r="AU1466" s="1099" t="e">
        <f t="shared" si="875"/>
        <v>#DIV/0!</v>
      </c>
      <c r="AV1466" s="1099" t="e">
        <f t="shared" si="875"/>
        <v>#DIV/0!</v>
      </c>
      <c r="AW1466" s="1099" t="e">
        <f t="shared" si="875"/>
        <v>#DIV/0!</v>
      </c>
      <c r="AX1466" s="1099" t="e">
        <f t="shared" si="875"/>
        <v>#DIV/0!</v>
      </c>
      <c r="AY1466" s="1099" t="e">
        <f t="shared" si="875"/>
        <v>#DIV/0!</v>
      </c>
      <c r="AZ1466" s="1091" t="s">
        <v>1012</v>
      </c>
      <c r="BA1466" s="1097" t="e">
        <f>IF(Table3[[#This Row],[max]]&lt;&gt;0,RANK(Table3[[#This Row],[max]],Table3[max],0),"")</f>
        <v>#DIV/0!</v>
      </c>
      <c r="BB1466" s="1096" t="e">
        <f t="shared" si="865"/>
        <v>#DIV/0!</v>
      </c>
      <c r="BC1466" s="1096" t="e">
        <f t="shared" ca="1" si="866"/>
        <v>#DIV/0!</v>
      </c>
      <c r="BD1466" s="1096" t="e">
        <f>IF(Table3[[#This Row],[max]]&gt;0,Table3[[#This Row],[Crop groups and examples of individual products within the groups to which the MRLs apply]],"")</f>
        <v>#DIV/0!</v>
      </c>
    </row>
    <row r="1467" spans="2:56" x14ac:dyDescent="0.2">
      <c r="B1467" s="23">
        <f t="shared" si="873"/>
        <v>632030</v>
      </c>
      <c r="C1467" s="23" t="str">
        <f t="shared" si="873"/>
        <v>Mate/maté</v>
      </c>
      <c r="D1467" s="1084">
        <f>input_values!E267</f>
        <v>0</v>
      </c>
      <c r="E1467" s="1084">
        <f>input_values!F267</f>
        <v>0</v>
      </c>
      <c r="F1467" s="1085">
        <f>input_values!W267</f>
        <v>1</v>
      </c>
      <c r="G1467" s="1085" t="str">
        <f>IF(Table3[[#This Row],[CF]]&gt;0,CONCATENATE(IF(Table3[[#This Row],[LOQ]]="*","LOQ","MRL"),IF(input_values!G267&gt;0,"×CFrisk","")),"")</f>
        <v>MRL</v>
      </c>
      <c r="H1467" s="1087">
        <f>input_values!L267</f>
        <v>0</v>
      </c>
      <c r="I1467" s="1088">
        <f>input_values!D267</f>
        <v>0</v>
      </c>
      <c r="J1467" s="1098" t="e">
        <f>IF($D$1212="",0,$D1467*Table3[[#This Row],[CF]]*chronic_consumption!$E267/1000/$C$3)</f>
        <v>#DIV/0!</v>
      </c>
      <c r="K1467" s="1098" t="e">
        <f>IF($D$1212="",0,$D1467*Table3[[#This Row],[CF]]*chronic_consumption!$F267/1000/$C$3)</f>
        <v>#DIV/0!</v>
      </c>
      <c r="L1467" s="1098" t="e">
        <f>IF($D$1212="",0,$D1467*Table3[[#This Row],[CF]]*chronic_consumption!$G267/1000/$C$3)</f>
        <v>#DIV/0!</v>
      </c>
      <c r="M1467" s="1098" t="e">
        <f>IF($D$1212="",0,$D1467*Table3[[#This Row],[CF]]*chronic_consumption!$H267/1000/$C$3)</f>
        <v>#DIV/0!</v>
      </c>
      <c r="N1467" s="1098" t="e">
        <f>IF($D$1212="",0,$D1467*Table3[[#This Row],[CF]]*chronic_consumption!$I267/1000/$C$3)</f>
        <v>#DIV/0!</v>
      </c>
      <c r="O1467" s="1098" t="e">
        <f>IF($D$1212="",0,$D1467*Table3[[#This Row],[CF]]*chronic_consumption!$J267/1000/$C$3)</f>
        <v>#DIV/0!</v>
      </c>
      <c r="P1467" s="1098" t="e">
        <f>IF($D$1212="",0,$D1467*Table3[[#This Row],[CF]]*chronic_consumption!$K267/1000/$C$3)</f>
        <v>#DIV/0!</v>
      </c>
      <c r="Q1467" s="1098" t="e">
        <f>IF($D$1212="",0,$D1467*Table3[[#This Row],[CF]]*chronic_consumption!$L267/1000/$C$3)</f>
        <v>#DIV/0!</v>
      </c>
      <c r="R1467" s="1098" t="e">
        <f>IF($D$1212="",0,$D1467*Table3[[#This Row],[CF]]*chronic_consumption!$M267/1000/$C$3)</f>
        <v>#DIV/0!</v>
      </c>
      <c r="S1467" s="1098" t="e">
        <f>IF($D$1212="",0,$D1467*Table3[[#This Row],[CF]]*chronic_consumption!$N267/1000/$C$3)</f>
        <v>#DIV/0!</v>
      </c>
      <c r="T1467" s="1098" t="e">
        <f>IF($D$1212="",0,$D1467*Table3[[#This Row],[CF]]*chronic_consumption!$O267/1000/$C$3)</f>
        <v>#DIV/0!</v>
      </c>
      <c r="U1467" s="1098" t="e">
        <f>IF($D$1212="",0,$D1467*Table3[[#This Row],[CF]]*chronic_consumption!$P267/1000/$C$3)</f>
        <v>#DIV/0!</v>
      </c>
      <c r="V1467" s="1098" t="e">
        <f>IF($D$1212="",0,$D1467*Table3[[#This Row],[CF]]*chronic_consumption!$Q267/1000/$C$3)</f>
        <v>#DIV/0!</v>
      </c>
      <c r="W1467" s="1098" t="e">
        <f>IF($D$1212="",0,$D1467*Table3[[#This Row],[CF]]*chronic_consumption!$R267/1000/$C$3)</f>
        <v>#DIV/0!</v>
      </c>
      <c r="X1467" s="1098" t="e">
        <f>IF($D$1212="",0,$D1467*Table3[[#This Row],[CF]]*chronic_consumption!$S267/1000/$C$3)</f>
        <v>#DIV/0!</v>
      </c>
      <c r="Y1467" s="1098" t="e">
        <f>IF($D$1212="",0,$D1467*Table3[[#This Row],[CF]]*chronic_consumption!$T267/1000/$C$3)</f>
        <v>#DIV/0!</v>
      </c>
      <c r="Z1467" s="1098" t="e">
        <f>IF($D$1212="",0,$D1467*Table3[[#This Row],[CF]]*chronic_consumption!$U267/1000/$C$3)</f>
        <v>#DIV/0!</v>
      </c>
      <c r="AA1467" s="1098" t="e">
        <f>IF($D$1212="",0,$D1467*Table3[[#This Row],[CF]]*chronic_consumption!$V267/1000/$C$3)</f>
        <v>#DIV/0!</v>
      </c>
      <c r="AB1467" s="1098" t="e">
        <f>IF($D$1212="",0,$D1467*Table3[[#This Row],[CF]]*chronic_consumption!$W267/1000/$C$3)</f>
        <v>#DIV/0!</v>
      </c>
      <c r="AC1467" s="1098" t="e">
        <f>IF($D$1212="",0,$D1467*Table3[[#This Row],[CF]]*chronic_consumption!$X267/1000/$C$3)</f>
        <v>#DIV/0!</v>
      </c>
      <c r="AD1467" s="1098" t="e">
        <f>IF($D$1212="",0,$D1467*Table3[[#This Row],[CF]]*chronic_consumption!$Y267/1000/$C$3)</f>
        <v>#DIV/0!</v>
      </c>
      <c r="AE1467" s="1098" t="e">
        <f>IF($D$1212="",0,$D1467*Table3[[#This Row],[CF]]*chronic_consumption!$Z267/1000/$C$3)</f>
        <v>#DIV/0!</v>
      </c>
      <c r="AF1467" s="1098" t="e">
        <f>IF($D$1212="",0,$D1467*Table3[[#This Row],[CF]]*chronic_consumption!$AA267/1000/$C$3)</f>
        <v>#DIV/0!</v>
      </c>
      <c r="AG1467" s="1098" t="e">
        <f>IF($D$1212="",0,$D1467*Table3[[#This Row],[CF]]*chronic_consumption!$AB267/1000/$C$3)</f>
        <v>#DIV/0!</v>
      </c>
      <c r="AH1467" s="1098" t="e">
        <f>IF($D$1212="",0,$D1467*Table3[[#This Row],[CF]]*chronic_consumption!$AC267/1000/$C$3)</f>
        <v>#DIV/0!</v>
      </c>
      <c r="AI1467" s="1098" t="e">
        <f>IF($D$1212="",0,$D1467*Table3[[#This Row],[CF]]*chronic_consumption!$AD267/1000/$C$3)</f>
        <v>#DIV/0!</v>
      </c>
      <c r="AJ1467" s="1098" t="e">
        <f>IF($D$1212="",0,$D1467*Table3[[#This Row],[CF]]*chronic_consumption!$AE267/1000/$C$3)</f>
        <v>#DIV/0!</v>
      </c>
      <c r="AK1467" s="1098" t="e">
        <f>IF($D$1212="",0,$D1467*Table3[[#This Row],[CF]]*chronic_consumption!$AF267/1000/$C$3)</f>
        <v>#DIV/0!</v>
      </c>
      <c r="AL1467" s="1098" t="e">
        <f>IF($D$1212="",0,$D1467*Table3[[#This Row],[CF]]*chronic_consumption!$AG267/1000/$C$3)</f>
        <v>#DIV/0!</v>
      </c>
      <c r="AM1467" s="1098" t="e">
        <f>IF($D$1212="",0,$D1467*Table3[[#This Row],[CF]]*chronic_consumption!$AH267/1000/$C$3)</f>
        <v>#DIV/0!</v>
      </c>
      <c r="AN1467" s="1098" t="e">
        <f>IF($D$1212="",0,$D1467*Table3[[#This Row],[CF]]*chronic_consumption!$AI267/1000/$C$3)</f>
        <v>#DIV/0!</v>
      </c>
      <c r="AO1467" s="1098" t="e">
        <f>IF($D$1212="",0,$D1467*Table3[[#This Row],[CF]]*chronic_consumption!$AJ267/1000/$C$3)</f>
        <v>#DIV/0!</v>
      </c>
      <c r="AP1467" s="1098" t="e">
        <f>IF($D$1212="",0,$D1467*Table3[[#This Row],[CF]]*chronic_consumption!$AK267/1000/$C$3)</f>
        <v>#DIV/0!</v>
      </c>
      <c r="AQ1467" s="1098" t="e">
        <f>IF($D$1212="",0,$D1467*Table3[[#This Row],[CF]]*chronic_consumption!$AL267/1000/$C$3)</f>
        <v>#DIV/0!</v>
      </c>
      <c r="AR1467" s="1098" t="e">
        <f>IF($D$1212="",0,$D1467*Table3[[#This Row],[CF]]*chronic_consumption!$AM267/1000/$C$3)</f>
        <v>#DIV/0!</v>
      </c>
      <c r="AS1467" s="1098" t="e">
        <f>IF($D$1212="",0,$D1467*Table3[[#This Row],[CF]]*chronic_consumption!$AN267/1000/$C$3)</f>
        <v>#DIV/0!</v>
      </c>
      <c r="AT1467" s="1098" t="e">
        <f>IF($D$1212="",0,$D1467*Table3[[#This Row],[CF]]*chronic_consumption!$AO267/1000/$C$3)</f>
        <v>#DIV/0!</v>
      </c>
      <c r="AU1467" s="1099" t="e">
        <f t="shared" si="875"/>
        <v>#DIV/0!</v>
      </c>
      <c r="AV1467" s="1099" t="e">
        <f t="shared" si="875"/>
        <v>#DIV/0!</v>
      </c>
      <c r="AW1467" s="1099" t="e">
        <f t="shared" si="875"/>
        <v>#DIV/0!</v>
      </c>
      <c r="AX1467" s="1099" t="e">
        <f t="shared" si="875"/>
        <v>#DIV/0!</v>
      </c>
      <c r="AY1467" s="1099" t="e">
        <f t="shared" si="875"/>
        <v>#DIV/0!</v>
      </c>
      <c r="AZ1467" s="1091" t="s">
        <v>1012</v>
      </c>
      <c r="BA1467" s="1097" t="e">
        <f>IF(Table3[[#This Row],[max]]&lt;&gt;0,RANK(Table3[[#This Row],[max]],Table3[max],0),"")</f>
        <v>#DIV/0!</v>
      </c>
      <c r="BB1467" s="1096" t="e">
        <f t="shared" si="865"/>
        <v>#DIV/0!</v>
      </c>
      <c r="BC1467" s="1096" t="e">
        <f t="shared" ca="1" si="866"/>
        <v>#DIV/0!</v>
      </c>
      <c r="BD1467" s="1096" t="e">
        <f>IF(Table3[[#This Row],[max]]&gt;0,Table3[[#This Row],[Crop groups and examples of individual products within the groups to which the MRLs apply]],"")</f>
        <v>#DIV/0!</v>
      </c>
    </row>
    <row r="1468" spans="2:56" x14ac:dyDescent="0.2">
      <c r="B1468" s="23">
        <f t="shared" si="873"/>
        <v>632990</v>
      </c>
      <c r="C1468" s="23" t="str">
        <f t="shared" si="873"/>
        <v>Other herbal infusions (dried leaves)</v>
      </c>
      <c r="D1468" s="1084">
        <f>input_values!E268</f>
        <v>0</v>
      </c>
      <c r="E1468" s="1084">
        <f>input_values!F268</f>
        <v>0</v>
      </c>
      <c r="F1468" s="1085">
        <f>input_values!W268</f>
        <v>1</v>
      </c>
      <c r="G1468" s="1085" t="str">
        <f>IF(Table3[[#This Row],[CF]]&gt;0,CONCATENATE(IF(Table3[[#This Row],[LOQ]]="*","LOQ","MRL"),IF(input_values!G268&gt;0,"×CFrisk","")),"")</f>
        <v>MRL</v>
      </c>
      <c r="H1468" s="1087">
        <f>input_values!L268</f>
        <v>0</v>
      </c>
      <c r="I1468" s="1088">
        <f>input_values!D268</f>
        <v>0</v>
      </c>
      <c r="J1468" s="1098" t="e">
        <f>IF($D$1212="",0,$D1468*Table3[[#This Row],[CF]]*chronic_consumption!$E268/1000/$C$3)</f>
        <v>#DIV/0!</v>
      </c>
      <c r="K1468" s="1098" t="e">
        <f>IF($D$1212="",0,$D1468*Table3[[#This Row],[CF]]*chronic_consumption!$F268/1000/$C$3)</f>
        <v>#DIV/0!</v>
      </c>
      <c r="L1468" s="1098" t="e">
        <f>IF($D$1212="",0,$D1468*Table3[[#This Row],[CF]]*chronic_consumption!$G268/1000/$C$3)</f>
        <v>#DIV/0!</v>
      </c>
      <c r="M1468" s="1098" t="e">
        <f>IF($D$1212="",0,$D1468*Table3[[#This Row],[CF]]*chronic_consumption!$H268/1000/$C$3)</f>
        <v>#DIV/0!</v>
      </c>
      <c r="N1468" s="1098" t="e">
        <f>IF($D$1212="",0,$D1468*Table3[[#This Row],[CF]]*chronic_consumption!$I268/1000/$C$3)</f>
        <v>#DIV/0!</v>
      </c>
      <c r="O1468" s="1098" t="e">
        <f>IF($D$1212="",0,$D1468*Table3[[#This Row],[CF]]*chronic_consumption!$J268/1000/$C$3)</f>
        <v>#DIV/0!</v>
      </c>
      <c r="P1468" s="1098" t="e">
        <f>IF($D$1212="",0,$D1468*Table3[[#This Row],[CF]]*chronic_consumption!$K268/1000/$C$3)</f>
        <v>#DIV/0!</v>
      </c>
      <c r="Q1468" s="1098" t="e">
        <f>IF($D$1212="",0,$D1468*Table3[[#This Row],[CF]]*chronic_consumption!$L268/1000/$C$3)</f>
        <v>#DIV/0!</v>
      </c>
      <c r="R1468" s="1098" t="e">
        <f>IF($D$1212="",0,$D1468*Table3[[#This Row],[CF]]*chronic_consumption!$M268/1000/$C$3)</f>
        <v>#DIV/0!</v>
      </c>
      <c r="S1468" s="1098" t="e">
        <f>IF($D$1212="",0,$D1468*Table3[[#This Row],[CF]]*chronic_consumption!$N268/1000/$C$3)</f>
        <v>#DIV/0!</v>
      </c>
      <c r="T1468" s="1098" t="e">
        <f>IF($D$1212="",0,$D1468*Table3[[#This Row],[CF]]*chronic_consumption!$O268/1000/$C$3)</f>
        <v>#DIV/0!</v>
      </c>
      <c r="U1468" s="1098" t="e">
        <f>IF($D$1212="",0,$D1468*Table3[[#This Row],[CF]]*chronic_consumption!$P268/1000/$C$3)</f>
        <v>#DIV/0!</v>
      </c>
      <c r="V1468" s="1098" t="e">
        <f>IF($D$1212="",0,$D1468*Table3[[#This Row],[CF]]*chronic_consumption!$Q268/1000/$C$3)</f>
        <v>#DIV/0!</v>
      </c>
      <c r="W1468" s="1098" t="e">
        <f>IF($D$1212="",0,$D1468*Table3[[#This Row],[CF]]*chronic_consumption!$R268/1000/$C$3)</f>
        <v>#DIV/0!</v>
      </c>
      <c r="X1468" s="1098" t="e">
        <f>IF($D$1212="",0,$D1468*Table3[[#This Row],[CF]]*chronic_consumption!$S268/1000/$C$3)</f>
        <v>#DIV/0!</v>
      </c>
      <c r="Y1468" s="1098" t="e">
        <f>IF($D$1212="",0,$D1468*Table3[[#This Row],[CF]]*chronic_consumption!$T268/1000/$C$3)</f>
        <v>#DIV/0!</v>
      </c>
      <c r="Z1468" s="1098" t="e">
        <f>IF($D$1212="",0,$D1468*Table3[[#This Row],[CF]]*chronic_consumption!$U268/1000/$C$3)</f>
        <v>#DIV/0!</v>
      </c>
      <c r="AA1468" s="1098" t="e">
        <f>IF($D$1212="",0,$D1468*Table3[[#This Row],[CF]]*chronic_consumption!$V268/1000/$C$3)</f>
        <v>#DIV/0!</v>
      </c>
      <c r="AB1468" s="1098" t="e">
        <f>IF($D$1212="",0,$D1468*Table3[[#This Row],[CF]]*chronic_consumption!$W268/1000/$C$3)</f>
        <v>#DIV/0!</v>
      </c>
      <c r="AC1468" s="1098" t="e">
        <f>IF($D$1212="",0,$D1468*Table3[[#This Row],[CF]]*chronic_consumption!$X268/1000/$C$3)</f>
        <v>#DIV/0!</v>
      </c>
      <c r="AD1468" s="1098" t="e">
        <f>IF($D$1212="",0,$D1468*Table3[[#This Row],[CF]]*chronic_consumption!$Y268/1000/$C$3)</f>
        <v>#DIV/0!</v>
      </c>
      <c r="AE1468" s="1098" t="e">
        <f>IF($D$1212="",0,$D1468*Table3[[#This Row],[CF]]*chronic_consumption!$Z268/1000/$C$3)</f>
        <v>#DIV/0!</v>
      </c>
      <c r="AF1468" s="1098" t="e">
        <f>IF($D$1212="",0,$D1468*Table3[[#This Row],[CF]]*chronic_consumption!$AA268/1000/$C$3)</f>
        <v>#DIV/0!</v>
      </c>
      <c r="AG1468" s="1098" t="e">
        <f>IF($D$1212="",0,$D1468*Table3[[#This Row],[CF]]*chronic_consumption!$AB268/1000/$C$3)</f>
        <v>#DIV/0!</v>
      </c>
      <c r="AH1468" s="1098" t="e">
        <f>IF($D$1212="",0,$D1468*Table3[[#This Row],[CF]]*chronic_consumption!$AC268/1000/$C$3)</f>
        <v>#DIV/0!</v>
      </c>
      <c r="AI1468" s="1098" t="e">
        <f>IF($D$1212="",0,$D1468*Table3[[#This Row],[CF]]*chronic_consumption!$AD268/1000/$C$3)</f>
        <v>#DIV/0!</v>
      </c>
      <c r="AJ1468" s="1098" t="e">
        <f>IF($D$1212="",0,$D1468*Table3[[#This Row],[CF]]*chronic_consumption!$AE268/1000/$C$3)</f>
        <v>#DIV/0!</v>
      </c>
      <c r="AK1468" s="1098" t="e">
        <f>IF($D$1212="",0,$D1468*Table3[[#This Row],[CF]]*chronic_consumption!$AF268/1000/$C$3)</f>
        <v>#DIV/0!</v>
      </c>
      <c r="AL1468" s="1098" t="e">
        <f>IF($D$1212="",0,$D1468*Table3[[#This Row],[CF]]*chronic_consumption!$AG268/1000/$C$3)</f>
        <v>#DIV/0!</v>
      </c>
      <c r="AM1468" s="1098" t="e">
        <f>IF($D$1212="",0,$D1468*Table3[[#This Row],[CF]]*chronic_consumption!$AH268/1000/$C$3)</f>
        <v>#DIV/0!</v>
      </c>
      <c r="AN1468" s="1098" t="e">
        <f>IF($D$1212="",0,$D1468*Table3[[#This Row],[CF]]*chronic_consumption!$AI268/1000/$C$3)</f>
        <v>#DIV/0!</v>
      </c>
      <c r="AO1468" s="1098" t="e">
        <f>IF($D$1212="",0,$D1468*Table3[[#This Row],[CF]]*chronic_consumption!$AJ268/1000/$C$3)</f>
        <v>#DIV/0!</v>
      </c>
      <c r="AP1468" s="1098" t="e">
        <f>IF($D$1212="",0,$D1468*Table3[[#This Row],[CF]]*chronic_consumption!$AK268/1000/$C$3)</f>
        <v>#DIV/0!</v>
      </c>
      <c r="AQ1468" s="1098" t="e">
        <f>IF($D$1212="",0,$D1468*Table3[[#This Row],[CF]]*chronic_consumption!$AL268/1000/$C$3)</f>
        <v>#DIV/0!</v>
      </c>
      <c r="AR1468" s="1098" t="e">
        <f>IF($D$1212="",0,$D1468*Table3[[#This Row],[CF]]*chronic_consumption!$AM268/1000/$C$3)</f>
        <v>#DIV/0!</v>
      </c>
      <c r="AS1468" s="1098" t="e">
        <f>IF($D$1212="",0,$D1468*Table3[[#This Row],[CF]]*chronic_consumption!$AN268/1000/$C$3)</f>
        <v>#DIV/0!</v>
      </c>
      <c r="AT1468" s="1098" t="e">
        <f>IF($D$1212="",0,$D1468*Table3[[#This Row],[CF]]*chronic_consumption!$AO268/1000/$C$3)</f>
        <v>#DIV/0!</v>
      </c>
      <c r="AU1468" s="1099" t="e">
        <f t="shared" si="875"/>
        <v>#DIV/0!</v>
      </c>
      <c r="AV1468" s="1099" t="e">
        <f t="shared" si="875"/>
        <v>#DIV/0!</v>
      </c>
      <c r="AW1468" s="1099" t="e">
        <f t="shared" si="875"/>
        <v>#DIV/0!</v>
      </c>
      <c r="AX1468" s="1099" t="e">
        <f t="shared" si="875"/>
        <v>#DIV/0!</v>
      </c>
      <c r="AY1468" s="1099" t="e">
        <f t="shared" si="875"/>
        <v>#DIV/0!</v>
      </c>
      <c r="AZ1468" s="1091" t="s">
        <v>1012</v>
      </c>
      <c r="BA1468" s="1097" t="e">
        <f>IF(Table3[[#This Row],[max]]&lt;&gt;0,RANK(Table3[[#This Row],[max]],Table3[max],0),"")</f>
        <v>#DIV/0!</v>
      </c>
      <c r="BB1468" s="1096" t="e">
        <f t="shared" ref="BB1468:BB1531" si="876">MAX(J1468:AY1468)</f>
        <v>#DIV/0!</v>
      </c>
      <c r="BC1468" s="1096" t="e">
        <f t="shared" ref="BC1468:BC1531" ca="1" si="877">IF(BB1468&gt;0,OFFSET($I$10,1,MATCH(BB1468,J1468:AY1468,0)),"")</f>
        <v>#DIV/0!</v>
      </c>
      <c r="BD1468" s="1096" t="e">
        <f>IF(Table3[[#This Row],[max]]&gt;0,Table3[[#This Row],[Crop groups and examples of individual products within the groups to which the MRLs apply]],"")</f>
        <v>#DIV/0!</v>
      </c>
    </row>
    <row r="1469" spans="2:56" x14ac:dyDescent="0.2">
      <c r="B1469" s="3">
        <f t="shared" si="873"/>
        <v>633000</v>
      </c>
      <c r="C1469" s="3" t="str">
        <f t="shared" si="873"/>
        <v>Herbal infusions (dried roots)</v>
      </c>
      <c r="D1469" s="1084">
        <f>input_values!E269</f>
        <v>0</v>
      </c>
      <c r="E1469" s="1084">
        <f>input_values!F269</f>
        <v>0</v>
      </c>
      <c r="F1469" s="1085">
        <f>input_values!W269</f>
        <v>0</v>
      </c>
      <c r="G1469" s="1085" t="str">
        <f>IF(Table3[[#This Row],[CF]]&gt;0,CONCATENATE(IF(Table3[[#This Row],[LOQ]]="*","LOQ","MRL"),IF(input_values!G269&gt;0,"×CFrisk","")),"")</f>
        <v/>
      </c>
      <c r="H1469" s="1087">
        <f>input_values!L269</f>
        <v>0</v>
      </c>
      <c r="I1469" s="1088">
        <f>input_values!D269</f>
        <v>0</v>
      </c>
      <c r="J1469" s="1100" t="e">
        <f>IF($D$1212="",0,$D1469*Table3[[#This Row],[CF]]*chronic_consumption!$E269/1000/$C$3)</f>
        <v>#DIV/0!</v>
      </c>
      <c r="K1469" s="1100" t="e">
        <f>IF($D$1212="",0,$D1469*Table3[[#This Row],[CF]]*chronic_consumption!$F269/1000/$C$3)</f>
        <v>#DIV/0!</v>
      </c>
      <c r="L1469" s="1100" t="e">
        <f>IF($D$1212="",0,$D1469*Table3[[#This Row],[CF]]*chronic_consumption!$G269/1000/$C$3)</f>
        <v>#DIV/0!</v>
      </c>
      <c r="M1469" s="1100" t="e">
        <f>IF($D$1212="",0,$D1469*Table3[[#This Row],[CF]]*chronic_consumption!$H269/1000/$C$3)</f>
        <v>#DIV/0!</v>
      </c>
      <c r="N1469" s="1100" t="e">
        <f>IF($D$1212="",0,$D1469*Table3[[#This Row],[CF]]*chronic_consumption!$I269/1000/$C$3)</f>
        <v>#DIV/0!</v>
      </c>
      <c r="O1469" s="1100" t="e">
        <f>IF($D$1212="",0,$D1469*Table3[[#This Row],[CF]]*chronic_consumption!$J269/1000/$C$3)</f>
        <v>#DIV/0!</v>
      </c>
      <c r="P1469" s="1100" t="e">
        <f>IF($D$1212="",0,$D1469*Table3[[#This Row],[CF]]*chronic_consumption!$K269/1000/$C$3)</f>
        <v>#DIV/0!</v>
      </c>
      <c r="Q1469" s="1100" t="e">
        <f>IF($D$1212="",0,$D1469*Table3[[#This Row],[CF]]*chronic_consumption!$L269/1000/$C$3)</f>
        <v>#DIV/0!</v>
      </c>
      <c r="R1469" s="1100" t="e">
        <f>IF($D$1212="",0,$D1469*Table3[[#This Row],[CF]]*chronic_consumption!$M269/1000/$C$3)</f>
        <v>#DIV/0!</v>
      </c>
      <c r="S1469" s="1100" t="e">
        <f>IF($D$1212="",0,$D1469*Table3[[#This Row],[CF]]*chronic_consumption!$N269/1000/$C$3)</f>
        <v>#DIV/0!</v>
      </c>
      <c r="T1469" s="1100" t="e">
        <f>IF($D$1212="",0,$D1469*Table3[[#This Row],[CF]]*chronic_consumption!$O269/1000/$C$3)</f>
        <v>#DIV/0!</v>
      </c>
      <c r="U1469" s="1100" t="e">
        <f>IF($D$1212="",0,$D1469*Table3[[#This Row],[CF]]*chronic_consumption!$P269/1000/$C$3)</f>
        <v>#DIV/0!</v>
      </c>
      <c r="V1469" s="1100" t="e">
        <f>IF($D$1212="",0,$D1469*Table3[[#This Row],[CF]]*chronic_consumption!$Q269/1000/$C$3)</f>
        <v>#DIV/0!</v>
      </c>
      <c r="W1469" s="1100" t="e">
        <f>IF($D$1212="",0,$D1469*Table3[[#This Row],[CF]]*chronic_consumption!$R269/1000/$C$3)</f>
        <v>#DIV/0!</v>
      </c>
      <c r="X1469" s="1100" t="e">
        <f>IF($D$1212="",0,$D1469*Table3[[#This Row],[CF]]*chronic_consumption!$S269/1000/$C$3)</f>
        <v>#DIV/0!</v>
      </c>
      <c r="Y1469" s="1100" t="e">
        <f>IF($D$1212="",0,$D1469*Table3[[#This Row],[CF]]*chronic_consumption!$T269/1000/$C$3)</f>
        <v>#DIV/0!</v>
      </c>
      <c r="Z1469" s="1100" t="e">
        <f>IF($D$1212="",0,$D1469*Table3[[#This Row],[CF]]*chronic_consumption!$U269/1000/$C$3)</f>
        <v>#DIV/0!</v>
      </c>
      <c r="AA1469" s="1100" t="e">
        <f>IF($D$1212="",0,$D1469*Table3[[#This Row],[CF]]*chronic_consumption!$V269/1000/$C$3)</f>
        <v>#DIV/0!</v>
      </c>
      <c r="AB1469" s="1100" t="e">
        <f>IF($D$1212="",0,$D1469*Table3[[#This Row],[CF]]*chronic_consumption!$W269/1000/$C$3)</f>
        <v>#DIV/0!</v>
      </c>
      <c r="AC1469" s="1100" t="e">
        <f>IF($D$1212="",0,$D1469*Table3[[#This Row],[CF]]*chronic_consumption!$X269/1000/$C$3)</f>
        <v>#DIV/0!</v>
      </c>
      <c r="AD1469" s="1100" t="e">
        <f>IF($D$1212="",0,$D1469*Table3[[#This Row],[CF]]*chronic_consumption!$Y269/1000/$C$3)</f>
        <v>#DIV/0!</v>
      </c>
      <c r="AE1469" s="1100" t="e">
        <f>IF($D$1212="",0,$D1469*Table3[[#This Row],[CF]]*chronic_consumption!$Z269/1000/$C$3)</f>
        <v>#DIV/0!</v>
      </c>
      <c r="AF1469" s="1100" t="e">
        <f>IF($D$1212="",0,$D1469*Table3[[#This Row],[CF]]*chronic_consumption!$AA269/1000/$C$3)</f>
        <v>#DIV/0!</v>
      </c>
      <c r="AG1469" s="1100" t="e">
        <f>IF($D$1212="",0,$D1469*Table3[[#This Row],[CF]]*chronic_consumption!$AB269/1000/$C$3)</f>
        <v>#DIV/0!</v>
      </c>
      <c r="AH1469" s="1100" t="e">
        <f>IF($D$1212="",0,$D1469*Table3[[#This Row],[CF]]*chronic_consumption!$AC269/1000/$C$3)</f>
        <v>#DIV/0!</v>
      </c>
      <c r="AI1469" s="1100" t="e">
        <f>IF($D$1212="",0,$D1469*Table3[[#This Row],[CF]]*chronic_consumption!$AD269/1000/$C$3)</f>
        <v>#DIV/0!</v>
      </c>
      <c r="AJ1469" s="1100" t="e">
        <f>IF($D$1212="",0,$D1469*Table3[[#This Row],[CF]]*chronic_consumption!$AE269/1000/$C$3)</f>
        <v>#DIV/0!</v>
      </c>
      <c r="AK1469" s="1100" t="e">
        <f>IF($D$1212="",0,$D1469*Table3[[#This Row],[CF]]*chronic_consumption!$AF269/1000/$C$3)</f>
        <v>#DIV/0!</v>
      </c>
      <c r="AL1469" s="1100" t="e">
        <f>IF($D$1212="",0,$D1469*Table3[[#This Row],[CF]]*chronic_consumption!$AG269/1000/$C$3)</f>
        <v>#DIV/0!</v>
      </c>
      <c r="AM1469" s="1100" t="e">
        <f>IF($D$1212="",0,$D1469*Table3[[#This Row],[CF]]*chronic_consumption!$AH269/1000/$C$3)</f>
        <v>#DIV/0!</v>
      </c>
      <c r="AN1469" s="1100" t="e">
        <f>IF($D$1212="",0,$D1469*Table3[[#This Row],[CF]]*chronic_consumption!$AI269/1000/$C$3)</f>
        <v>#DIV/0!</v>
      </c>
      <c r="AO1469" s="1100" t="e">
        <f>IF($D$1212="",0,$D1469*Table3[[#This Row],[CF]]*chronic_consumption!$AJ269/1000/$C$3)</f>
        <v>#DIV/0!</v>
      </c>
      <c r="AP1469" s="1100" t="e">
        <f>IF($D$1212="",0,$D1469*Table3[[#This Row],[CF]]*chronic_consumption!$AK269/1000/$C$3)</f>
        <v>#DIV/0!</v>
      </c>
      <c r="AQ1469" s="1100" t="e">
        <f>IF($D$1212="",0,$D1469*Table3[[#This Row],[CF]]*chronic_consumption!$AL269/1000/$C$3)</f>
        <v>#DIV/0!</v>
      </c>
      <c r="AR1469" s="1100" t="e">
        <f>IF($D$1212="",0,$D1469*Table3[[#This Row],[CF]]*chronic_consumption!$AM269/1000/$C$3)</f>
        <v>#DIV/0!</v>
      </c>
      <c r="AS1469" s="1100" t="e">
        <f>IF($D$1212="",0,$D1469*Table3[[#This Row],[CF]]*chronic_consumption!$AN269/1000/$C$3)</f>
        <v>#DIV/0!</v>
      </c>
      <c r="AT1469" s="1100" t="e">
        <f>IF($D$1212="",0,$D1469*Table3[[#This Row],[CF]]*chronic_consumption!$AO269/1000/$C$3)</f>
        <v>#DIV/0!</v>
      </c>
      <c r="AU1469" s="1101" t="e">
        <f t="shared" si="875"/>
        <v>#DIV/0!</v>
      </c>
      <c r="AV1469" s="1101" t="e">
        <f t="shared" si="875"/>
        <v>#DIV/0!</v>
      </c>
      <c r="AW1469" s="1101" t="e">
        <f t="shared" si="875"/>
        <v>#DIV/0!</v>
      </c>
      <c r="AX1469" s="1101" t="e">
        <f t="shared" si="875"/>
        <v>#DIV/0!</v>
      </c>
      <c r="AY1469" s="1101" t="e">
        <f t="shared" si="875"/>
        <v>#DIV/0!</v>
      </c>
      <c r="AZ1469" s="1091" t="s">
        <v>1012</v>
      </c>
      <c r="BA1469" s="1097" t="e">
        <f>IF(Table3[[#This Row],[max]]&lt;&gt;0,RANK(Table3[[#This Row],[max]],Table3[max],0),"")</f>
        <v>#DIV/0!</v>
      </c>
      <c r="BB1469" s="1096" t="e">
        <f t="shared" si="876"/>
        <v>#DIV/0!</v>
      </c>
      <c r="BC1469" s="1096" t="e">
        <f t="shared" ca="1" si="877"/>
        <v>#DIV/0!</v>
      </c>
      <c r="BD1469" s="1096" t="e">
        <f>IF(Table3[[#This Row],[max]]&gt;0,Table3[[#This Row],[Crop groups and examples of individual products within the groups to which the MRLs apply]],"")</f>
        <v>#DIV/0!</v>
      </c>
    </row>
    <row r="1470" spans="2:56" x14ac:dyDescent="0.2">
      <c r="B1470" s="23">
        <f t="shared" si="873"/>
        <v>633010</v>
      </c>
      <c r="C1470" s="23" t="str">
        <f t="shared" si="873"/>
        <v xml:space="preserve">Valerian root </v>
      </c>
      <c r="D1470" s="1084">
        <f>input_values!E270</f>
        <v>0</v>
      </c>
      <c r="E1470" s="1084">
        <f>input_values!F270</f>
        <v>0</v>
      </c>
      <c r="F1470" s="1085">
        <f>input_values!W270</f>
        <v>1</v>
      </c>
      <c r="G1470" s="1085" t="str">
        <f>IF(Table3[[#This Row],[CF]]&gt;0,CONCATENATE(IF(Table3[[#This Row],[LOQ]]="*","LOQ","MRL"),IF(input_values!G270&gt;0,"×CFrisk","")),"")</f>
        <v>MRL</v>
      </c>
      <c r="H1470" s="1087">
        <f>input_values!L270</f>
        <v>0</v>
      </c>
      <c r="I1470" s="1088">
        <f>input_values!D270</f>
        <v>0</v>
      </c>
      <c r="J1470" s="1098" t="e">
        <f>IF($D$1212="",0,$D1470*Table3[[#This Row],[CF]]*chronic_consumption!$E270/1000/$C$3)</f>
        <v>#DIV/0!</v>
      </c>
      <c r="K1470" s="1098" t="e">
        <f>IF($D$1212="",0,$D1470*Table3[[#This Row],[CF]]*chronic_consumption!$F270/1000/$C$3)</f>
        <v>#DIV/0!</v>
      </c>
      <c r="L1470" s="1098" t="e">
        <f>IF($D$1212="",0,$D1470*Table3[[#This Row],[CF]]*chronic_consumption!$G270/1000/$C$3)</f>
        <v>#DIV/0!</v>
      </c>
      <c r="M1470" s="1098" t="e">
        <f>IF($D$1212="",0,$D1470*Table3[[#This Row],[CF]]*chronic_consumption!$H270/1000/$C$3)</f>
        <v>#DIV/0!</v>
      </c>
      <c r="N1470" s="1098" t="e">
        <f>IF($D$1212="",0,$D1470*Table3[[#This Row],[CF]]*chronic_consumption!$I270/1000/$C$3)</f>
        <v>#DIV/0!</v>
      </c>
      <c r="O1470" s="1098" t="e">
        <f>IF($D$1212="",0,$D1470*Table3[[#This Row],[CF]]*chronic_consumption!$J270/1000/$C$3)</f>
        <v>#DIV/0!</v>
      </c>
      <c r="P1470" s="1098" t="e">
        <f>IF($D$1212="",0,$D1470*Table3[[#This Row],[CF]]*chronic_consumption!$K270/1000/$C$3)</f>
        <v>#DIV/0!</v>
      </c>
      <c r="Q1470" s="1098" t="e">
        <f>IF($D$1212="",0,$D1470*Table3[[#This Row],[CF]]*chronic_consumption!$L270/1000/$C$3)</f>
        <v>#DIV/0!</v>
      </c>
      <c r="R1470" s="1098" t="e">
        <f>IF($D$1212="",0,$D1470*Table3[[#This Row],[CF]]*chronic_consumption!$M270/1000/$C$3)</f>
        <v>#DIV/0!</v>
      </c>
      <c r="S1470" s="1098" t="e">
        <f>IF($D$1212="",0,$D1470*Table3[[#This Row],[CF]]*chronic_consumption!$N270/1000/$C$3)</f>
        <v>#DIV/0!</v>
      </c>
      <c r="T1470" s="1098" t="e">
        <f>IF($D$1212="",0,$D1470*Table3[[#This Row],[CF]]*chronic_consumption!$O270/1000/$C$3)</f>
        <v>#DIV/0!</v>
      </c>
      <c r="U1470" s="1098" t="e">
        <f>IF($D$1212="",0,$D1470*Table3[[#This Row],[CF]]*chronic_consumption!$P270/1000/$C$3)</f>
        <v>#DIV/0!</v>
      </c>
      <c r="V1470" s="1098" t="e">
        <f>IF($D$1212="",0,$D1470*Table3[[#This Row],[CF]]*chronic_consumption!$Q270/1000/$C$3)</f>
        <v>#DIV/0!</v>
      </c>
      <c r="W1470" s="1098" t="e">
        <f>IF($D$1212="",0,$D1470*Table3[[#This Row],[CF]]*chronic_consumption!$R270/1000/$C$3)</f>
        <v>#DIV/0!</v>
      </c>
      <c r="X1470" s="1098" t="e">
        <f>IF($D$1212="",0,$D1470*Table3[[#This Row],[CF]]*chronic_consumption!$S270/1000/$C$3)</f>
        <v>#DIV/0!</v>
      </c>
      <c r="Y1470" s="1098" t="e">
        <f>IF($D$1212="",0,$D1470*Table3[[#This Row],[CF]]*chronic_consumption!$T270/1000/$C$3)</f>
        <v>#DIV/0!</v>
      </c>
      <c r="Z1470" s="1098" t="e">
        <f>IF($D$1212="",0,$D1470*Table3[[#This Row],[CF]]*chronic_consumption!$U270/1000/$C$3)</f>
        <v>#DIV/0!</v>
      </c>
      <c r="AA1470" s="1098" t="e">
        <f>IF($D$1212="",0,$D1470*Table3[[#This Row],[CF]]*chronic_consumption!$V270/1000/$C$3)</f>
        <v>#DIV/0!</v>
      </c>
      <c r="AB1470" s="1098" t="e">
        <f>IF($D$1212="",0,$D1470*Table3[[#This Row],[CF]]*chronic_consumption!$W270/1000/$C$3)</f>
        <v>#DIV/0!</v>
      </c>
      <c r="AC1470" s="1098" t="e">
        <f>IF($D$1212="",0,$D1470*Table3[[#This Row],[CF]]*chronic_consumption!$X270/1000/$C$3)</f>
        <v>#DIV/0!</v>
      </c>
      <c r="AD1470" s="1098" t="e">
        <f>IF($D$1212="",0,$D1470*Table3[[#This Row],[CF]]*chronic_consumption!$Y270/1000/$C$3)</f>
        <v>#DIV/0!</v>
      </c>
      <c r="AE1470" s="1098" t="e">
        <f>IF($D$1212="",0,$D1470*Table3[[#This Row],[CF]]*chronic_consumption!$Z270/1000/$C$3)</f>
        <v>#DIV/0!</v>
      </c>
      <c r="AF1470" s="1098" t="e">
        <f>IF($D$1212="",0,$D1470*Table3[[#This Row],[CF]]*chronic_consumption!$AA270/1000/$C$3)</f>
        <v>#DIV/0!</v>
      </c>
      <c r="AG1470" s="1098" t="e">
        <f>IF($D$1212="",0,$D1470*Table3[[#This Row],[CF]]*chronic_consumption!$AB270/1000/$C$3)</f>
        <v>#DIV/0!</v>
      </c>
      <c r="AH1470" s="1098" t="e">
        <f>IF($D$1212="",0,$D1470*Table3[[#This Row],[CF]]*chronic_consumption!$AC270/1000/$C$3)</f>
        <v>#DIV/0!</v>
      </c>
      <c r="AI1470" s="1098" t="e">
        <f>IF($D$1212="",0,$D1470*Table3[[#This Row],[CF]]*chronic_consumption!$AD270/1000/$C$3)</f>
        <v>#DIV/0!</v>
      </c>
      <c r="AJ1470" s="1098" t="e">
        <f>IF($D$1212="",0,$D1470*Table3[[#This Row],[CF]]*chronic_consumption!$AE270/1000/$C$3)</f>
        <v>#DIV/0!</v>
      </c>
      <c r="AK1470" s="1098" t="e">
        <f>IF($D$1212="",0,$D1470*Table3[[#This Row],[CF]]*chronic_consumption!$AF270/1000/$C$3)</f>
        <v>#DIV/0!</v>
      </c>
      <c r="AL1470" s="1098" t="e">
        <f>IF($D$1212="",0,$D1470*Table3[[#This Row],[CF]]*chronic_consumption!$AG270/1000/$C$3)</f>
        <v>#DIV/0!</v>
      </c>
      <c r="AM1470" s="1098" t="e">
        <f>IF($D$1212="",0,$D1470*Table3[[#This Row],[CF]]*chronic_consumption!$AH270/1000/$C$3)</f>
        <v>#DIV/0!</v>
      </c>
      <c r="AN1470" s="1098" t="e">
        <f>IF($D$1212="",0,$D1470*Table3[[#This Row],[CF]]*chronic_consumption!$AI270/1000/$C$3)</f>
        <v>#DIV/0!</v>
      </c>
      <c r="AO1470" s="1098" t="e">
        <f>IF($D$1212="",0,$D1470*Table3[[#This Row],[CF]]*chronic_consumption!$AJ270/1000/$C$3)</f>
        <v>#DIV/0!</v>
      </c>
      <c r="AP1470" s="1098" t="e">
        <f>IF($D$1212="",0,$D1470*Table3[[#This Row],[CF]]*chronic_consumption!$AK270/1000/$C$3)</f>
        <v>#DIV/0!</v>
      </c>
      <c r="AQ1470" s="1098" t="e">
        <f>IF($D$1212="",0,$D1470*Table3[[#This Row],[CF]]*chronic_consumption!$AL270/1000/$C$3)</f>
        <v>#DIV/0!</v>
      </c>
      <c r="AR1470" s="1098" t="e">
        <f>IF($D$1212="",0,$D1470*Table3[[#This Row],[CF]]*chronic_consumption!$AM270/1000/$C$3)</f>
        <v>#DIV/0!</v>
      </c>
      <c r="AS1470" s="1098" t="e">
        <f>IF($D$1212="",0,$D1470*Table3[[#This Row],[CF]]*chronic_consumption!$AN270/1000/$C$3)</f>
        <v>#DIV/0!</v>
      </c>
      <c r="AT1470" s="1098" t="e">
        <f>IF($D$1212="",0,$D1470*Table3[[#This Row],[CF]]*chronic_consumption!$AO270/1000/$C$3)</f>
        <v>#DIV/0!</v>
      </c>
      <c r="AU1470" s="1099" t="e">
        <f t="shared" si="875"/>
        <v>#DIV/0!</v>
      </c>
      <c r="AV1470" s="1099" t="e">
        <f t="shared" si="875"/>
        <v>#DIV/0!</v>
      </c>
      <c r="AW1470" s="1099" t="e">
        <f t="shared" si="875"/>
        <v>#DIV/0!</v>
      </c>
      <c r="AX1470" s="1099" t="e">
        <f t="shared" si="875"/>
        <v>#DIV/0!</v>
      </c>
      <c r="AY1470" s="1099" t="e">
        <f t="shared" si="875"/>
        <v>#DIV/0!</v>
      </c>
      <c r="AZ1470" s="1091" t="s">
        <v>1012</v>
      </c>
      <c r="BA1470" s="1097" t="e">
        <f>IF(Table3[[#This Row],[max]]&lt;&gt;0,RANK(Table3[[#This Row],[max]],Table3[max],0),"")</f>
        <v>#DIV/0!</v>
      </c>
      <c r="BB1470" s="1096" t="e">
        <f t="shared" si="876"/>
        <v>#DIV/0!</v>
      </c>
      <c r="BC1470" s="1096" t="e">
        <f t="shared" ca="1" si="877"/>
        <v>#DIV/0!</v>
      </c>
      <c r="BD1470" s="1096" t="e">
        <f>IF(Table3[[#This Row],[max]]&gt;0,Table3[[#This Row],[Crop groups and examples of individual products within the groups to which the MRLs apply]],"")</f>
        <v>#DIV/0!</v>
      </c>
    </row>
    <row r="1471" spans="2:56" x14ac:dyDescent="0.2">
      <c r="B1471" s="23">
        <f t="shared" si="873"/>
        <v>633020</v>
      </c>
      <c r="C1471" s="23" t="str">
        <f t="shared" si="873"/>
        <v>Ginseng root</v>
      </c>
      <c r="D1471" s="1084">
        <f>input_values!E271</f>
        <v>0</v>
      </c>
      <c r="E1471" s="1084">
        <f>input_values!F271</f>
        <v>0</v>
      </c>
      <c r="F1471" s="1085">
        <f>input_values!W271</f>
        <v>1</v>
      </c>
      <c r="G1471" s="1085" t="str">
        <f>IF(Table3[[#This Row],[CF]]&gt;0,CONCATENATE(IF(Table3[[#This Row],[LOQ]]="*","LOQ","MRL"),IF(input_values!G271&gt;0,"×CFrisk","")),"")</f>
        <v>MRL</v>
      </c>
      <c r="H1471" s="1087">
        <f>input_values!L271</f>
        <v>0</v>
      </c>
      <c r="I1471" s="1088">
        <f>input_values!D271</f>
        <v>0</v>
      </c>
      <c r="J1471" s="1098" t="e">
        <f>IF($D$1212="",0,$D1471*Table3[[#This Row],[CF]]*chronic_consumption!$E271/1000/$C$3)</f>
        <v>#DIV/0!</v>
      </c>
      <c r="K1471" s="1098" t="e">
        <f>IF($D$1212="",0,$D1471*Table3[[#This Row],[CF]]*chronic_consumption!$F271/1000/$C$3)</f>
        <v>#DIV/0!</v>
      </c>
      <c r="L1471" s="1098" t="e">
        <f>IF($D$1212="",0,$D1471*Table3[[#This Row],[CF]]*chronic_consumption!$G271/1000/$C$3)</f>
        <v>#DIV/0!</v>
      </c>
      <c r="M1471" s="1098" t="e">
        <f>IF($D$1212="",0,$D1471*Table3[[#This Row],[CF]]*chronic_consumption!$H271/1000/$C$3)</f>
        <v>#DIV/0!</v>
      </c>
      <c r="N1471" s="1098" t="e">
        <f>IF($D$1212="",0,$D1471*Table3[[#This Row],[CF]]*chronic_consumption!$I271/1000/$C$3)</f>
        <v>#DIV/0!</v>
      </c>
      <c r="O1471" s="1098" t="e">
        <f>IF($D$1212="",0,$D1471*Table3[[#This Row],[CF]]*chronic_consumption!$J271/1000/$C$3)</f>
        <v>#DIV/0!</v>
      </c>
      <c r="P1471" s="1098" t="e">
        <f>IF($D$1212="",0,$D1471*Table3[[#This Row],[CF]]*chronic_consumption!$K271/1000/$C$3)</f>
        <v>#DIV/0!</v>
      </c>
      <c r="Q1471" s="1098" t="e">
        <f>IF($D$1212="",0,$D1471*Table3[[#This Row],[CF]]*chronic_consumption!$L271/1000/$C$3)</f>
        <v>#DIV/0!</v>
      </c>
      <c r="R1471" s="1098" t="e">
        <f>IF($D$1212="",0,$D1471*Table3[[#This Row],[CF]]*chronic_consumption!$M271/1000/$C$3)</f>
        <v>#DIV/0!</v>
      </c>
      <c r="S1471" s="1098" t="e">
        <f>IF($D$1212="",0,$D1471*Table3[[#This Row],[CF]]*chronic_consumption!$N271/1000/$C$3)</f>
        <v>#DIV/0!</v>
      </c>
      <c r="T1471" s="1098" t="e">
        <f>IF($D$1212="",0,$D1471*Table3[[#This Row],[CF]]*chronic_consumption!$O271/1000/$C$3)</f>
        <v>#DIV/0!</v>
      </c>
      <c r="U1471" s="1098" t="e">
        <f>IF($D$1212="",0,$D1471*Table3[[#This Row],[CF]]*chronic_consumption!$P271/1000/$C$3)</f>
        <v>#DIV/0!</v>
      </c>
      <c r="V1471" s="1098" t="e">
        <f>IF($D$1212="",0,$D1471*Table3[[#This Row],[CF]]*chronic_consumption!$Q271/1000/$C$3)</f>
        <v>#DIV/0!</v>
      </c>
      <c r="W1471" s="1098" t="e">
        <f>IF($D$1212="",0,$D1471*Table3[[#This Row],[CF]]*chronic_consumption!$R271/1000/$C$3)</f>
        <v>#DIV/0!</v>
      </c>
      <c r="X1471" s="1098" t="e">
        <f>IF($D$1212="",0,$D1471*Table3[[#This Row],[CF]]*chronic_consumption!$S271/1000/$C$3)</f>
        <v>#DIV/0!</v>
      </c>
      <c r="Y1471" s="1098" t="e">
        <f>IF($D$1212="",0,$D1471*Table3[[#This Row],[CF]]*chronic_consumption!$T271/1000/$C$3)</f>
        <v>#DIV/0!</v>
      </c>
      <c r="Z1471" s="1098" t="e">
        <f>IF($D$1212="",0,$D1471*Table3[[#This Row],[CF]]*chronic_consumption!$U271/1000/$C$3)</f>
        <v>#DIV/0!</v>
      </c>
      <c r="AA1471" s="1098" t="e">
        <f>IF($D$1212="",0,$D1471*Table3[[#This Row],[CF]]*chronic_consumption!$V271/1000/$C$3)</f>
        <v>#DIV/0!</v>
      </c>
      <c r="AB1471" s="1098" t="e">
        <f>IF($D$1212="",0,$D1471*Table3[[#This Row],[CF]]*chronic_consumption!$W271/1000/$C$3)</f>
        <v>#DIV/0!</v>
      </c>
      <c r="AC1471" s="1098" t="e">
        <f>IF($D$1212="",0,$D1471*Table3[[#This Row],[CF]]*chronic_consumption!$X271/1000/$C$3)</f>
        <v>#DIV/0!</v>
      </c>
      <c r="AD1471" s="1098" t="e">
        <f>IF($D$1212="",0,$D1471*Table3[[#This Row],[CF]]*chronic_consumption!$Y271/1000/$C$3)</f>
        <v>#DIV/0!</v>
      </c>
      <c r="AE1471" s="1098" t="e">
        <f>IF($D$1212="",0,$D1471*Table3[[#This Row],[CF]]*chronic_consumption!$Z271/1000/$C$3)</f>
        <v>#DIV/0!</v>
      </c>
      <c r="AF1471" s="1098" t="e">
        <f>IF($D$1212="",0,$D1471*Table3[[#This Row],[CF]]*chronic_consumption!$AA271/1000/$C$3)</f>
        <v>#DIV/0!</v>
      </c>
      <c r="AG1471" s="1098" t="e">
        <f>IF($D$1212="",0,$D1471*Table3[[#This Row],[CF]]*chronic_consumption!$AB271/1000/$C$3)</f>
        <v>#DIV/0!</v>
      </c>
      <c r="AH1471" s="1098" t="e">
        <f>IF($D$1212="",0,$D1471*Table3[[#This Row],[CF]]*chronic_consumption!$AC271/1000/$C$3)</f>
        <v>#DIV/0!</v>
      </c>
      <c r="AI1471" s="1098" t="e">
        <f>IF($D$1212="",0,$D1471*Table3[[#This Row],[CF]]*chronic_consumption!$AD271/1000/$C$3)</f>
        <v>#DIV/0!</v>
      </c>
      <c r="AJ1471" s="1098" t="e">
        <f>IF($D$1212="",0,$D1471*Table3[[#This Row],[CF]]*chronic_consumption!$AE271/1000/$C$3)</f>
        <v>#DIV/0!</v>
      </c>
      <c r="AK1471" s="1098" t="e">
        <f>IF($D$1212="",0,$D1471*Table3[[#This Row],[CF]]*chronic_consumption!$AF271/1000/$C$3)</f>
        <v>#DIV/0!</v>
      </c>
      <c r="AL1471" s="1098" t="e">
        <f>IF($D$1212="",0,$D1471*Table3[[#This Row],[CF]]*chronic_consumption!$AG271/1000/$C$3)</f>
        <v>#DIV/0!</v>
      </c>
      <c r="AM1471" s="1098" t="e">
        <f>IF($D$1212="",0,$D1471*Table3[[#This Row],[CF]]*chronic_consumption!$AH271/1000/$C$3)</f>
        <v>#DIV/0!</v>
      </c>
      <c r="AN1471" s="1098" t="e">
        <f>IF($D$1212="",0,$D1471*Table3[[#This Row],[CF]]*chronic_consumption!$AI271/1000/$C$3)</f>
        <v>#DIV/0!</v>
      </c>
      <c r="AO1471" s="1098" t="e">
        <f>IF($D$1212="",0,$D1471*Table3[[#This Row],[CF]]*chronic_consumption!$AJ271/1000/$C$3)</f>
        <v>#DIV/0!</v>
      </c>
      <c r="AP1471" s="1098" t="e">
        <f>IF($D$1212="",0,$D1471*Table3[[#This Row],[CF]]*chronic_consumption!$AK271/1000/$C$3)</f>
        <v>#DIV/0!</v>
      </c>
      <c r="AQ1471" s="1098" t="e">
        <f>IF($D$1212="",0,$D1471*Table3[[#This Row],[CF]]*chronic_consumption!$AL271/1000/$C$3)</f>
        <v>#DIV/0!</v>
      </c>
      <c r="AR1471" s="1098" t="e">
        <f>IF($D$1212="",0,$D1471*Table3[[#This Row],[CF]]*chronic_consumption!$AM271/1000/$C$3)</f>
        <v>#DIV/0!</v>
      </c>
      <c r="AS1471" s="1098" t="e">
        <f>IF($D$1212="",0,$D1471*Table3[[#This Row],[CF]]*chronic_consumption!$AN271/1000/$C$3)</f>
        <v>#DIV/0!</v>
      </c>
      <c r="AT1471" s="1098" t="e">
        <f>IF($D$1212="",0,$D1471*Table3[[#This Row],[CF]]*chronic_consumption!$AO271/1000/$C$3)</f>
        <v>#DIV/0!</v>
      </c>
      <c r="AU1471" s="1099" t="e">
        <f t="shared" si="875"/>
        <v>#DIV/0!</v>
      </c>
      <c r="AV1471" s="1099" t="e">
        <f t="shared" si="875"/>
        <v>#DIV/0!</v>
      </c>
      <c r="AW1471" s="1099" t="e">
        <f t="shared" si="875"/>
        <v>#DIV/0!</v>
      </c>
      <c r="AX1471" s="1099" t="e">
        <f t="shared" si="875"/>
        <v>#DIV/0!</v>
      </c>
      <c r="AY1471" s="1099" t="e">
        <f t="shared" si="875"/>
        <v>#DIV/0!</v>
      </c>
      <c r="AZ1471" s="1091" t="s">
        <v>1012</v>
      </c>
      <c r="BA1471" s="1097" t="e">
        <f>IF(Table3[[#This Row],[max]]&lt;&gt;0,RANK(Table3[[#This Row],[max]],Table3[max],0),"")</f>
        <v>#DIV/0!</v>
      </c>
      <c r="BB1471" s="1096" t="e">
        <f t="shared" si="876"/>
        <v>#DIV/0!</v>
      </c>
      <c r="BC1471" s="1096" t="e">
        <f t="shared" ca="1" si="877"/>
        <v>#DIV/0!</v>
      </c>
      <c r="BD1471" s="1096" t="e">
        <f>IF(Table3[[#This Row],[max]]&gt;0,Table3[[#This Row],[Crop groups and examples of individual products within the groups to which the MRLs apply]],"")</f>
        <v>#DIV/0!</v>
      </c>
    </row>
    <row r="1472" spans="2:56" x14ac:dyDescent="0.2">
      <c r="B1472" s="23">
        <f t="shared" ref="B1472:C1491" si="878">B272</f>
        <v>633990</v>
      </c>
      <c r="C1472" s="23" t="str">
        <f t="shared" si="878"/>
        <v>Other herbal infusions (dried roots)</v>
      </c>
      <c r="D1472" s="1084">
        <f>input_values!E272</f>
        <v>0</v>
      </c>
      <c r="E1472" s="1084">
        <f>input_values!F272</f>
        <v>0</v>
      </c>
      <c r="F1472" s="1085">
        <f>input_values!W272</f>
        <v>1</v>
      </c>
      <c r="G1472" s="1085" t="str">
        <f>IF(Table3[[#This Row],[CF]]&gt;0,CONCATENATE(IF(Table3[[#This Row],[LOQ]]="*","LOQ","MRL"),IF(input_values!G272&gt;0,"×CFrisk","")),"")</f>
        <v>MRL</v>
      </c>
      <c r="H1472" s="1087">
        <f>input_values!L272</f>
        <v>0</v>
      </c>
      <c r="I1472" s="1088">
        <f>input_values!D272</f>
        <v>0</v>
      </c>
      <c r="J1472" s="1098" t="e">
        <f>IF($D$1212="",0,$D1472*Table3[[#This Row],[CF]]*chronic_consumption!$E272/1000/$C$3)</f>
        <v>#DIV/0!</v>
      </c>
      <c r="K1472" s="1098" t="e">
        <f>IF($D$1212="",0,$D1472*Table3[[#This Row],[CF]]*chronic_consumption!$F272/1000/$C$3)</f>
        <v>#DIV/0!</v>
      </c>
      <c r="L1472" s="1098" t="e">
        <f>IF($D$1212="",0,$D1472*Table3[[#This Row],[CF]]*chronic_consumption!$G272/1000/$C$3)</f>
        <v>#DIV/0!</v>
      </c>
      <c r="M1472" s="1098" t="e">
        <f>IF($D$1212="",0,$D1472*Table3[[#This Row],[CF]]*chronic_consumption!$H272/1000/$C$3)</f>
        <v>#DIV/0!</v>
      </c>
      <c r="N1472" s="1098" t="e">
        <f>IF($D$1212="",0,$D1472*Table3[[#This Row],[CF]]*chronic_consumption!$I272/1000/$C$3)</f>
        <v>#DIV/0!</v>
      </c>
      <c r="O1472" s="1098" t="e">
        <f>IF($D$1212="",0,$D1472*Table3[[#This Row],[CF]]*chronic_consumption!$J272/1000/$C$3)</f>
        <v>#DIV/0!</v>
      </c>
      <c r="P1472" s="1098" t="e">
        <f>IF($D$1212="",0,$D1472*Table3[[#This Row],[CF]]*chronic_consumption!$K272/1000/$C$3)</f>
        <v>#DIV/0!</v>
      </c>
      <c r="Q1472" s="1098" t="e">
        <f>IF($D$1212="",0,$D1472*Table3[[#This Row],[CF]]*chronic_consumption!$L272/1000/$C$3)</f>
        <v>#DIV/0!</v>
      </c>
      <c r="R1472" s="1098" t="e">
        <f>IF($D$1212="",0,$D1472*Table3[[#This Row],[CF]]*chronic_consumption!$M272/1000/$C$3)</f>
        <v>#DIV/0!</v>
      </c>
      <c r="S1472" s="1098" t="e">
        <f>IF($D$1212="",0,$D1472*Table3[[#This Row],[CF]]*chronic_consumption!$N272/1000/$C$3)</f>
        <v>#DIV/0!</v>
      </c>
      <c r="T1472" s="1098" t="e">
        <f>IF($D$1212="",0,$D1472*Table3[[#This Row],[CF]]*chronic_consumption!$O272/1000/$C$3)</f>
        <v>#DIV/0!</v>
      </c>
      <c r="U1472" s="1098" t="e">
        <f>IF($D$1212="",0,$D1472*Table3[[#This Row],[CF]]*chronic_consumption!$P272/1000/$C$3)</f>
        <v>#DIV/0!</v>
      </c>
      <c r="V1472" s="1098" t="e">
        <f>IF($D$1212="",0,$D1472*Table3[[#This Row],[CF]]*chronic_consumption!$Q272/1000/$C$3)</f>
        <v>#DIV/0!</v>
      </c>
      <c r="W1472" s="1098" t="e">
        <f>IF($D$1212="",0,$D1472*Table3[[#This Row],[CF]]*chronic_consumption!$R272/1000/$C$3)</f>
        <v>#DIV/0!</v>
      </c>
      <c r="X1472" s="1098" t="e">
        <f>IF($D$1212="",0,$D1472*Table3[[#This Row],[CF]]*chronic_consumption!$S272/1000/$C$3)</f>
        <v>#DIV/0!</v>
      </c>
      <c r="Y1472" s="1098" t="e">
        <f>IF($D$1212="",0,$D1472*Table3[[#This Row],[CF]]*chronic_consumption!$T272/1000/$C$3)</f>
        <v>#DIV/0!</v>
      </c>
      <c r="Z1472" s="1098" t="e">
        <f>IF($D$1212="",0,$D1472*Table3[[#This Row],[CF]]*chronic_consumption!$U272/1000/$C$3)</f>
        <v>#DIV/0!</v>
      </c>
      <c r="AA1472" s="1098" t="e">
        <f>IF($D$1212="",0,$D1472*Table3[[#This Row],[CF]]*chronic_consumption!$V272/1000/$C$3)</f>
        <v>#DIV/0!</v>
      </c>
      <c r="AB1472" s="1098" t="e">
        <f>IF($D$1212="",0,$D1472*Table3[[#This Row],[CF]]*chronic_consumption!$W272/1000/$C$3)</f>
        <v>#DIV/0!</v>
      </c>
      <c r="AC1472" s="1098" t="e">
        <f>IF($D$1212="",0,$D1472*Table3[[#This Row],[CF]]*chronic_consumption!$X272/1000/$C$3)</f>
        <v>#DIV/0!</v>
      </c>
      <c r="AD1472" s="1098" t="e">
        <f>IF($D$1212="",0,$D1472*Table3[[#This Row],[CF]]*chronic_consumption!$Y272/1000/$C$3)</f>
        <v>#DIV/0!</v>
      </c>
      <c r="AE1472" s="1098" t="e">
        <f>IF($D$1212="",0,$D1472*Table3[[#This Row],[CF]]*chronic_consumption!$Z272/1000/$C$3)</f>
        <v>#DIV/0!</v>
      </c>
      <c r="AF1472" s="1098" t="e">
        <f>IF($D$1212="",0,$D1472*Table3[[#This Row],[CF]]*chronic_consumption!$AA272/1000/$C$3)</f>
        <v>#DIV/0!</v>
      </c>
      <c r="AG1472" s="1098" t="e">
        <f>IF($D$1212="",0,$D1472*Table3[[#This Row],[CF]]*chronic_consumption!$AB272/1000/$C$3)</f>
        <v>#DIV/0!</v>
      </c>
      <c r="AH1472" s="1098" t="e">
        <f>IF($D$1212="",0,$D1472*Table3[[#This Row],[CF]]*chronic_consumption!$AC272/1000/$C$3)</f>
        <v>#DIV/0!</v>
      </c>
      <c r="AI1472" s="1098" t="e">
        <f>IF($D$1212="",0,$D1472*Table3[[#This Row],[CF]]*chronic_consumption!$AD272/1000/$C$3)</f>
        <v>#DIV/0!</v>
      </c>
      <c r="AJ1472" s="1098" t="e">
        <f>IF($D$1212="",0,$D1472*Table3[[#This Row],[CF]]*chronic_consumption!$AE272/1000/$C$3)</f>
        <v>#DIV/0!</v>
      </c>
      <c r="AK1472" s="1098" t="e">
        <f>IF($D$1212="",0,$D1472*Table3[[#This Row],[CF]]*chronic_consumption!$AF272/1000/$C$3)</f>
        <v>#DIV/0!</v>
      </c>
      <c r="AL1472" s="1098" t="e">
        <f>IF($D$1212="",0,$D1472*Table3[[#This Row],[CF]]*chronic_consumption!$AG272/1000/$C$3)</f>
        <v>#DIV/0!</v>
      </c>
      <c r="AM1472" s="1098" t="e">
        <f>IF($D$1212="",0,$D1472*Table3[[#This Row],[CF]]*chronic_consumption!$AH272/1000/$C$3)</f>
        <v>#DIV/0!</v>
      </c>
      <c r="AN1472" s="1098" t="e">
        <f>IF($D$1212="",0,$D1472*Table3[[#This Row],[CF]]*chronic_consumption!$AI272/1000/$C$3)</f>
        <v>#DIV/0!</v>
      </c>
      <c r="AO1472" s="1098" t="e">
        <f>IF($D$1212="",0,$D1472*Table3[[#This Row],[CF]]*chronic_consumption!$AJ272/1000/$C$3)</f>
        <v>#DIV/0!</v>
      </c>
      <c r="AP1472" s="1098" t="e">
        <f>IF($D$1212="",0,$D1472*Table3[[#This Row],[CF]]*chronic_consumption!$AK272/1000/$C$3)</f>
        <v>#DIV/0!</v>
      </c>
      <c r="AQ1472" s="1098" t="e">
        <f>IF($D$1212="",0,$D1472*Table3[[#This Row],[CF]]*chronic_consumption!$AL272/1000/$C$3)</f>
        <v>#DIV/0!</v>
      </c>
      <c r="AR1472" s="1098" t="e">
        <f>IF($D$1212="",0,$D1472*Table3[[#This Row],[CF]]*chronic_consumption!$AM272/1000/$C$3)</f>
        <v>#DIV/0!</v>
      </c>
      <c r="AS1472" s="1098" t="e">
        <f>IF($D$1212="",0,$D1472*Table3[[#This Row],[CF]]*chronic_consumption!$AN272/1000/$C$3)</f>
        <v>#DIV/0!</v>
      </c>
      <c r="AT1472" s="1098" t="e">
        <f>IF($D$1212="",0,$D1472*Table3[[#This Row],[CF]]*chronic_consumption!$AO272/1000/$C$3)</f>
        <v>#DIV/0!</v>
      </c>
      <c r="AU1472" s="1099" t="e">
        <f t="shared" ref="AU1472:AY1481" si="879">IF(AU672="",0,IF(OR(1=RANK(AU1072,AU$412:AU$790,0),(2=RANK(AU1072,AU$412:AU$790,0))),AU1072,AU672))</f>
        <v>#DIV/0!</v>
      </c>
      <c r="AV1472" s="1099" t="e">
        <f t="shared" si="879"/>
        <v>#DIV/0!</v>
      </c>
      <c r="AW1472" s="1099" t="e">
        <f t="shared" si="879"/>
        <v>#DIV/0!</v>
      </c>
      <c r="AX1472" s="1099" t="e">
        <f t="shared" si="879"/>
        <v>#DIV/0!</v>
      </c>
      <c r="AY1472" s="1099" t="e">
        <f t="shared" si="879"/>
        <v>#DIV/0!</v>
      </c>
      <c r="AZ1472" s="1091" t="s">
        <v>1012</v>
      </c>
      <c r="BA1472" s="1097" t="e">
        <f>IF(Table3[[#This Row],[max]]&lt;&gt;0,RANK(Table3[[#This Row],[max]],Table3[max],0),"")</f>
        <v>#DIV/0!</v>
      </c>
      <c r="BB1472" s="1096" t="e">
        <f t="shared" si="876"/>
        <v>#DIV/0!</v>
      </c>
      <c r="BC1472" s="1096" t="e">
        <f t="shared" ca="1" si="877"/>
        <v>#DIV/0!</v>
      </c>
      <c r="BD1472" s="1096" t="e">
        <f>IF(Table3[[#This Row],[max]]&gt;0,Table3[[#This Row],[Crop groups and examples of individual products within the groups to which the MRLs apply]],"")</f>
        <v>#DIV/0!</v>
      </c>
    </row>
    <row r="1473" spans="2:56" ht="24" x14ac:dyDescent="0.2">
      <c r="B1473" s="5">
        <f t="shared" si="878"/>
        <v>639000</v>
      </c>
      <c r="C1473" s="5" t="str">
        <f t="shared" si="878"/>
        <v>Herbal infusions  -(any other parts of the plant)
(other herbal infusions)</v>
      </c>
      <c r="D1473" s="1084">
        <f>input_values!E273</f>
        <v>0</v>
      </c>
      <c r="E1473" s="1084">
        <f>input_values!F273</f>
        <v>0</v>
      </c>
      <c r="F1473" s="1085">
        <f>input_values!W273</f>
        <v>0</v>
      </c>
      <c r="G1473" s="1085" t="str">
        <f>IF(Table3[[#This Row],[CF]]&gt;0,CONCATENATE(IF(Table3[[#This Row],[LOQ]]="*","LOQ","MRL"),IF(input_values!G273&gt;0,"×CFrisk","")),"")</f>
        <v/>
      </c>
      <c r="H1473" s="1087">
        <f>input_values!L273</f>
        <v>0</v>
      </c>
      <c r="I1473" s="1088">
        <f>input_values!D273</f>
        <v>0</v>
      </c>
      <c r="J1473" s="1103" t="e">
        <f>IF($D$1212="",0,$D1473*Table3[[#This Row],[CF]]*chronic_consumption!$E273/1000/$C$3)</f>
        <v>#DIV/0!</v>
      </c>
      <c r="K1473" s="1103" t="e">
        <f>IF($D$1212="",0,$D1473*Table3[[#This Row],[CF]]*chronic_consumption!$F273/1000/$C$3)</f>
        <v>#DIV/0!</v>
      </c>
      <c r="L1473" s="1103" t="e">
        <f>IF($D$1212="",0,$D1473*Table3[[#This Row],[CF]]*chronic_consumption!$G273/1000/$C$3)</f>
        <v>#DIV/0!</v>
      </c>
      <c r="M1473" s="1103" t="e">
        <f>IF($D$1212="",0,$D1473*Table3[[#This Row],[CF]]*chronic_consumption!$H273/1000/$C$3)</f>
        <v>#DIV/0!</v>
      </c>
      <c r="N1473" s="1103" t="e">
        <f>IF($D$1212="",0,$D1473*Table3[[#This Row],[CF]]*chronic_consumption!$I273/1000/$C$3)</f>
        <v>#DIV/0!</v>
      </c>
      <c r="O1473" s="1103" t="e">
        <f>IF($D$1212="",0,$D1473*Table3[[#This Row],[CF]]*chronic_consumption!$J273/1000/$C$3)</f>
        <v>#DIV/0!</v>
      </c>
      <c r="P1473" s="1103" t="e">
        <f>IF($D$1212="",0,$D1473*Table3[[#This Row],[CF]]*chronic_consumption!$K273/1000/$C$3)</f>
        <v>#DIV/0!</v>
      </c>
      <c r="Q1473" s="1103" t="e">
        <f>IF($D$1212="",0,$D1473*Table3[[#This Row],[CF]]*chronic_consumption!$L273/1000/$C$3)</f>
        <v>#DIV/0!</v>
      </c>
      <c r="R1473" s="1103" t="e">
        <f>IF($D$1212="",0,$D1473*Table3[[#This Row],[CF]]*chronic_consumption!$M273/1000/$C$3)</f>
        <v>#DIV/0!</v>
      </c>
      <c r="S1473" s="1103" t="e">
        <f>IF($D$1212="",0,$D1473*Table3[[#This Row],[CF]]*chronic_consumption!$N273/1000/$C$3)</f>
        <v>#DIV/0!</v>
      </c>
      <c r="T1473" s="1103" t="e">
        <f>IF($D$1212="",0,$D1473*Table3[[#This Row],[CF]]*chronic_consumption!$O273/1000/$C$3)</f>
        <v>#DIV/0!</v>
      </c>
      <c r="U1473" s="1103" t="e">
        <f>IF($D$1212="",0,$D1473*Table3[[#This Row],[CF]]*chronic_consumption!$P273/1000/$C$3)</f>
        <v>#DIV/0!</v>
      </c>
      <c r="V1473" s="1103" t="e">
        <f>IF($D$1212="",0,$D1473*Table3[[#This Row],[CF]]*chronic_consumption!$Q273/1000/$C$3)</f>
        <v>#DIV/0!</v>
      </c>
      <c r="W1473" s="1103" t="e">
        <f>IF($D$1212="",0,$D1473*Table3[[#This Row],[CF]]*chronic_consumption!$R273/1000/$C$3)</f>
        <v>#DIV/0!</v>
      </c>
      <c r="X1473" s="1103" t="e">
        <f>IF($D$1212="",0,$D1473*Table3[[#This Row],[CF]]*chronic_consumption!$S273/1000/$C$3)</f>
        <v>#DIV/0!</v>
      </c>
      <c r="Y1473" s="1103" t="e">
        <f>IF($D$1212="",0,$D1473*Table3[[#This Row],[CF]]*chronic_consumption!$T273/1000/$C$3)</f>
        <v>#DIV/0!</v>
      </c>
      <c r="Z1473" s="1103" t="e">
        <f>IF($D$1212="",0,$D1473*Table3[[#This Row],[CF]]*chronic_consumption!$U273/1000/$C$3)</f>
        <v>#DIV/0!</v>
      </c>
      <c r="AA1473" s="1103" t="e">
        <f>IF($D$1212="",0,$D1473*Table3[[#This Row],[CF]]*chronic_consumption!$V273/1000/$C$3)</f>
        <v>#DIV/0!</v>
      </c>
      <c r="AB1473" s="1103" t="e">
        <f>IF($D$1212="",0,$D1473*Table3[[#This Row],[CF]]*chronic_consumption!$W273/1000/$C$3)</f>
        <v>#DIV/0!</v>
      </c>
      <c r="AC1473" s="1103" t="e">
        <f>IF($D$1212="",0,$D1473*Table3[[#This Row],[CF]]*chronic_consumption!$X273/1000/$C$3)</f>
        <v>#DIV/0!</v>
      </c>
      <c r="AD1473" s="1103" t="e">
        <f>IF($D$1212="",0,$D1473*Table3[[#This Row],[CF]]*chronic_consumption!$Y273/1000/$C$3)</f>
        <v>#DIV/0!</v>
      </c>
      <c r="AE1473" s="1103" t="e">
        <f>IF($D$1212="",0,$D1473*Table3[[#This Row],[CF]]*chronic_consumption!$Z273/1000/$C$3)</f>
        <v>#DIV/0!</v>
      </c>
      <c r="AF1473" s="1103" t="e">
        <f>IF($D$1212="",0,$D1473*Table3[[#This Row],[CF]]*chronic_consumption!$AA273/1000/$C$3)</f>
        <v>#DIV/0!</v>
      </c>
      <c r="AG1473" s="1103" t="e">
        <f>IF($D$1212="",0,$D1473*Table3[[#This Row],[CF]]*chronic_consumption!$AB273/1000/$C$3)</f>
        <v>#DIV/0!</v>
      </c>
      <c r="AH1473" s="1103" t="e">
        <f>IF($D$1212="",0,$D1473*Table3[[#This Row],[CF]]*chronic_consumption!$AC273/1000/$C$3)</f>
        <v>#DIV/0!</v>
      </c>
      <c r="AI1473" s="1103" t="e">
        <f>IF($D$1212="",0,$D1473*Table3[[#This Row],[CF]]*chronic_consumption!$AD273/1000/$C$3)</f>
        <v>#DIV/0!</v>
      </c>
      <c r="AJ1473" s="1103" t="e">
        <f>IF($D$1212="",0,$D1473*Table3[[#This Row],[CF]]*chronic_consumption!$AE273/1000/$C$3)</f>
        <v>#DIV/0!</v>
      </c>
      <c r="AK1473" s="1103" t="e">
        <f>IF($D$1212="",0,$D1473*Table3[[#This Row],[CF]]*chronic_consumption!$AF273/1000/$C$3)</f>
        <v>#DIV/0!</v>
      </c>
      <c r="AL1473" s="1103" t="e">
        <f>IF($D$1212="",0,$D1473*Table3[[#This Row],[CF]]*chronic_consumption!$AG273/1000/$C$3)</f>
        <v>#DIV/0!</v>
      </c>
      <c r="AM1473" s="1103" t="e">
        <f>IF($D$1212="",0,$D1473*Table3[[#This Row],[CF]]*chronic_consumption!$AH273/1000/$C$3)</f>
        <v>#DIV/0!</v>
      </c>
      <c r="AN1473" s="1103" t="e">
        <f>IF($D$1212="",0,$D1473*Table3[[#This Row],[CF]]*chronic_consumption!$AI273/1000/$C$3)</f>
        <v>#DIV/0!</v>
      </c>
      <c r="AO1473" s="1103" t="e">
        <f>IF($D$1212="",0,$D1473*Table3[[#This Row],[CF]]*chronic_consumption!$AJ273/1000/$C$3)</f>
        <v>#DIV/0!</v>
      </c>
      <c r="AP1473" s="1103" t="e">
        <f>IF($D$1212="",0,$D1473*Table3[[#This Row],[CF]]*chronic_consumption!$AK273/1000/$C$3)</f>
        <v>#DIV/0!</v>
      </c>
      <c r="AQ1473" s="1103" t="e">
        <f>IF($D$1212="",0,$D1473*Table3[[#This Row],[CF]]*chronic_consumption!$AL273/1000/$C$3)</f>
        <v>#DIV/0!</v>
      </c>
      <c r="AR1473" s="1103" t="e">
        <f>IF($D$1212="",0,$D1473*Table3[[#This Row],[CF]]*chronic_consumption!$AM273/1000/$C$3)</f>
        <v>#DIV/0!</v>
      </c>
      <c r="AS1473" s="1103" t="e">
        <f>IF($D$1212="",0,$D1473*Table3[[#This Row],[CF]]*chronic_consumption!$AN273/1000/$C$3)</f>
        <v>#DIV/0!</v>
      </c>
      <c r="AT1473" s="1103" t="e">
        <f>IF($D$1212="",0,$D1473*Table3[[#This Row],[CF]]*chronic_consumption!$AO273/1000/$C$3)</f>
        <v>#DIV/0!</v>
      </c>
      <c r="AU1473" s="1104" t="e">
        <f t="shared" si="879"/>
        <v>#DIV/0!</v>
      </c>
      <c r="AV1473" s="1104" t="e">
        <f t="shared" si="879"/>
        <v>#DIV/0!</v>
      </c>
      <c r="AW1473" s="1104" t="e">
        <f t="shared" si="879"/>
        <v>#DIV/0!</v>
      </c>
      <c r="AX1473" s="1104" t="e">
        <f t="shared" si="879"/>
        <v>#DIV/0!</v>
      </c>
      <c r="AY1473" s="1104" t="e">
        <f t="shared" si="879"/>
        <v>#DIV/0!</v>
      </c>
      <c r="AZ1473" s="1091" t="s">
        <v>1012</v>
      </c>
      <c r="BA1473" s="1097" t="e">
        <f>IF(Table3[[#This Row],[max]]&lt;&gt;0,RANK(Table3[[#This Row],[max]],Table3[max],0),"")</f>
        <v>#DIV/0!</v>
      </c>
      <c r="BB1473" s="1096" t="e">
        <f t="shared" si="876"/>
        <v>#DIV/0!</v>
      </c>
      <c r="BC1473" s="1096" t="e">
        <f t="shared" ca="1" si="877"/>
        <v>#DIV/0!</v>
      </c>
      <c r="BD1473" s="1096" t="e">
        <f>IF(Table3[[#This Row],[max]]&gt;0,Table3[[#This Row],[Crop groups and examples of individual products within the groups to which the MRLs apply]],"")</f>
        <v>#DIV/0!</v>
      </c>
    </row>
    <row r="1474" spans="2:56" x14ac:dyDescent="0.2">
      <c r="B1474" s="131">
        <f t="shared" si="878"/>
        <v>640000</v>
      </c>
      <c r="C1474" s="131" t="str">
        <f t="shared" si="878"/>
        <v>Cocoa beans</v>
      </c>
      <c r="D1474" s="1084">
        <f>input_values!E274</f>
        <v>0</v>
      </c>
      <c r="E1474" s="1084">
        <f>input_values!F274</f>
        <v>0</v>
      </c>
      <c r="F1474" s="1085">
        <f>input_values!W274</f>
        <v>1</v>
      </c>
      <c r="G1474" s="1085" t="str">
        <f>IF(Table3[[#This Row],[CF]]&gt;0,CONCATENATE(IF(Table3[[#This Row],[LOQ]]="*","LOQ","MRL"),IF(input_values!G274&gt;0,"×CFrisk","")),"")</f>
        <v>MRL</v>
      </c>
      <c r="H1474" s="1087">
        <f>input_values!L274</f>
        <v>0</v>
      </c>
      <c r="I1474" s="1088">
        <f>input_values!D274</f>
        <v>0</v>
      </c>
      <c r="J1474" s="1095" t="e">
        <f>IF($D$1212="",0,$D1474*Table3[[#This Row],[CF]]*chronic_consumption!$E274/1000/$C$3)</f>
        <v>#DIV/0!</v>
      </c>
      <c r="K1474" s="1095" t="e">
        <f>IF($D$1212="",0,$D1474*Table3[[#This Row],[CF]]*chronic_consumption!$F274/1000/$C$3)</f>
        <v>#DIV/0!</v>
      </c>
      <c r="L1474" s="1095" t="e">
        <f>IF($D$1212="",0,$D1474*Table3[[#This Row],[CF]]*chronic_consumption!$G274/1000/$C$3)</f>
        <v>#DIV/0!</v>
      </c>
      <c r="M1474" s="1095" t="e">
        <f>IF($D$1212="",0,$D1474*Table3[[#This Row],[CF]]*chronic_consumption!$H274/1000/$C$3)</f>
        <v>#DIV/0!</v>
      </c>
      <c r="N1474" s="1095" t="e">
        <f>IF($D$1212="",0,$D1474*Table3[[#This Row],[CF]]*chronic_consumption!$I274/1000/$C$3)</f>
        <v>#DIV/0!</v>
      </c>
      <c r="O1474" s="1095" t="e">
        <f>IF($D$1212="",0,$D1474*Table3[[#This Row],[CF]]*chronic_consumption!$J274/1000/$C$3)</f>
        <v>#DIV/0!</v>
      </c>
      <c r="P1474" s="1095" t="e">
        <f>IF($D$1212="",0,$D1474*Table3[[#This Row],[CF]]*chronic_consumption!$K274/1000/$C$3)</f>
        <v>#DIV/0!</v>
      </c>
      <c r="Q1474" s="1095" t="e">
        <f>IF($D$1212="",0,$D1474*Table3[[#This Row],[CF]]*chronic_consumption!$L274/1000/$C$3)</f>
        <v>#DIV/0!</v>
      </c>
      <c r="R1474" s="1095" t="e">
        <f>IF($D$1212="",0,$D1474*Table3[[#This Row],[CF]]*chronic_consumption!$M274/1000/$C$3)</f>
        <v>#DIV/0!</v>
      </c>
      <c r="S1474" s="1095" t="e">
        <f>IF($D$1212="",0,$D1474*Table3[[#This Row],[CF]]*chronic_consumption!$N274/1000/$C$3)</f>
        <v>#DIV/0!</v>
      </c>
      <c r="T1474" s="1095" t="e">
        <f>IF($D$1212="",0,$D1474*Table3[[#This Row],[CF]]*chronic_consumption!$O274/1000/$C$3)</f>
        <v>#DIV/0!</v>
      </c>
      <c r="U1474" s="1095" t="e">
        <f>IF($D$1212="",0,$D1474*Table3[[#This Row],[CF]]*chronic_consumption!$P274/1000/$C$3)</f>
        <v>#DIV/0!</v>
      </c>
      <c r="V1474" s="1095" t="e">
        <f>IF($D$1212="",0,$D1474*Table3[[#This Row],[CF]]*chronic_consumption!$Q274/1000/$C$3)</f>
        <v>#DIV/0!</v>
      </c>
      <c r="W1474" s="1095" t="e">
        <f>IF($D$1212="",0,$D1474*Table3[[#This Row],[CF]]*chronic_consumption!$R274/1000/$C$3)</f>
        <v>#DIV/0!</v>
      </c>
      <c r="X1474" s="1095" t="e">
        <f>IF($D$1212="",0,$D1474*Table3[[#This Row],[CF]]*chronic_consumption!$S274/1000/$C$3)</f>
        <v>#DIV/0!</v>
      </c>
      <c r="Y1474" s="1095" t="e">
        <f>IF($D$1212="",0,$D1474*Table3[[#This Row],[CF]]*chronic_consumption!$T274/1000/$C$3)</f>
        <v>#DIV/0!</v>
      </c>
      <c r="Z1474" s="1095" t="e">
        <f>IF($D$1212="",0,$D1474*Table3[[#This Row],[CF]]*chronic_consumption!$U274/1000/$C$3)</f>
        <v>#DIV/0!</v>
      </c>
      <c r="AA1474" s="1095" t="e">
        <f>IF($D$1212="",0,$D1474*Table3[[#This Row],[CF]]*chronic_consumption!$V274/1000/$C$3)</f>
        <v>#DIV/0!</v>
      </c>
      <c r="AB1474" s="1095" t="e">
        <f>IF($D$1212="",0,$D1474*Table3[[#This Row],[CF]]*chronic_consumption!$W274/1000/$C$3)</f>
        <v>#DIV/0!</v>
      </c>
      <c r="AC1474" s="1095" t="e">
        <f>IF($D$1212="",0,$D1474*Table3[[#This Row],[CF]]*chronic_consumption!$X274/1000/$C$3)</f>
        <v>#DIV/0!</v>
      </c>
      <c r="AD1474" s="1095" t="e">
        <f>IF($D$1212="",0,$D1474*Table3[[#This Row],[CF]]*chronic_consumption!$Y274/1000/$C$3)</f>
        <v>#DIV/0!</v>
      </c>
      <c r="AE1474" s="1095" t="e">
        <f>IF($D$1212="",0,$D1474*Table3[[#This Row],[CF]]*chronic_consumption!$Z274/1000/$C$3)</f>
        <v>#DIV/0!</v>
      </c>
      <c r="AF1474" s="1095" t="e">
        <f>IF($D$1212="",0,$D1474*Table3[[#This Row],[CF]]*chronic_consumption!$AA274/1000/$C$3)</f>
        <v>#DIV/0!</v>
      </c>
      <c r="AG1474" s="1095" t="e">
        <f>IF($D$1212="",0,$D1474*Table3[[#This Row],[CF]]*chronic_consumption!$AB274/1000/$C$3)</f>
        <v>#DIV/0!</v>
      </c>
      <c r="AH1474" s="1095" t="e">
        <f>IF($D$1212="",0,$D1474*Table3[[#This Row],[CF]]*chronic_consumption!$AC274/1000/$C$3)</f>
        <v>#DIV/0!</v>
      </c>
      <c r="AI1474" s="1095" t="e">
        <f>IF($D$1212="",0,$D1474*Table3[[#This Row],[CF]]*chronic_consumption!$AD274/1000/$C$3)</f>
        <v>#DIV/0!</v>
      </c>
      <c r="AJ1474" s="1095" t="e">
        <f>IF($D$1212="",0,$D1474*Table3[[#This Row],[CF]]*chronic_consumption!$AE274/1000/$C$3)</f>
        <v>#DIV/0!</v>
      </c>
      <c r="AK1474" s="1095" t="e">
        <f>IF($D$1212="",0,$D1474*Table3[[#This Row],[CF]]*chronic_consumption!$AF274/1000/$C$3)</f>
        <v>#DIV/0!</v>
      </c>
      <c r="AL1474" s="1095" t="e">
        <f>IF($D$1212="",0,$D1474*Table3[[#This Row],[CF]]*chronic_consumption!$AG274/1000/$C$3)</f>
        <v>#DIV/0!</v>
      </c>
      <c r="AM1474" s="1095" t="e">
        <f>IF($D$1212="",0,$D1474*Table3[[#This Row],[CF]]*chronic_consumption!$AH274/1000/$C$3)</f>
        <v>#DIV/0!</v>
      </c>
      <c r="AN1474" s="1095" t="e">
        <f>IF($D$1212="",0,$D1474*Table3[[#This Row],[CF]]*chronic_consumption!$AI274/1000/$C$3)</f>
        <v>#DIV/0!</v>
      </c>
      <c r="AO1474" s="1095" t="e">
        <f>IF($D$1212="",0,$D1474*Table3[[#This Row],[CF]]*chronic_consumption!$AJ274/1000/$C$3)</f>
        <v>#DIV/0!</v>
      </c>
      <c r="AP1474" s="1095" t="e">
        <f>IF($D$1212="",0,$D1474*Table3[[#This Row],[CF]]*chronic_consumption!$AK274/1000/$C$3)</f>
        <v>#DIV/0!</v>
      </c>
      <c r="AQ1474" s="1095" t="e">
        <f>IF($D$1212="",0,$D1474*Table3[[#This Row],[CF]]*chronic_consumption!$AL274/1000/$C$3)</f>
        <v>#DIV/0!</v>
      </c>
      <c r="AR1474" s="1095" t="e">
        <f>IF($D$1212="",0,$D1474*Table3[[#This Row],[CF]]*chronic_consumption!$AM274/1000/$C$3)</f>
        <v>#DIV/0!</v>
      </c>
      <c r="AS1474" s="1095" t="e">
        <f>IF($D$1212="",0,$D1474*Table3[[#This Row],[CF]]*chronic_consumption!$AN274/1000/$C$3)</f>
        <v>#DIV/0!</v>
      </c>
      <c r="AT1474" s="1095" t="e">
        <f>IF($D$1212="",0,$D1474*Table3[[#This Row],[CF]]*chronic_consumption!$AO274/1000/$C$3)</f>
        <v>#DIV/0!</v>
      </c>
      <c r="AU1474" s="1096" t="e">
        <f t="shared" si="879"/>
        <v>#DIV/0!</v>
      </c>
      <c r="AV1474" s="1096" t="e">
        <f t="shared" si="879"/>
        <v>#DIV/0!</v>
      </c>
      <c r="AW1474" s="1096" t="e">
        <f t="shared" si="879"/>
        <v>#DIV/0!</v>
      </c>
      <c r="AX1474" s="1096" t="e">
        <f t="shared" si="879"/>
        <v>#DIV/0!</v>
      </c>
      <c r="AY1474" s="1096" t="e">
        <f t="shared" si="879"/>
        <v>#DIV/0!</v>
      </c>
      <c r="AZ1474" s="1091" t="s">
        <v>1012</v>
      </c>
      <c r="BA1474" s="1097" t="e">
        <f>IF(Table3[[#This Row],[max]]&lt;&gt;0,RANK(Table3[[#This Row],[max]],Table3[max],0),"")</f>
        <v>#DIV/0!</v>
      </c>
      <c r="BB1474" s="1096" t="e">
        <f t="shared" si="876"/>
        <v>#DIV/0!</v>
      </c>
      <c r="BC1474" s="1096" t="e">
        <f t="shared" ca="1" si="877"/>
        <v>#DIV/0!</v>
      </c>
      <c r="BD1474" s="1096" t="e">
        <f>IF(Table3[[#This Row],[max]]&gt;0,Table3[[#This Row],[Crop groups and examples of individual products within the groups to which the MRLs apply]],"")</f>
        <v>#DIV/0!</v>
      </c>
    </row>
    <row r="1475" spans="2:56" x14ac:dyDescent="0.2">
      <c r="B1475" s="131">
        <f t="shared" si="878"/>
        <v>650000</v>
      </c>
      <c r="C1475" s="131" t="str">
        <f t="shared" si="878"/>
        <v>Carobs/Staint John's bread</v>
      </c>
      <c r="D1475" s="1084">
        <f>input_values!E275</f>
        <v>0</v>
      </c>
      <c r="E1475" s="1084">
        <f>input_values!F275</f>
        <v>0</v>
      </c>
      <c r="F1475" s="1085">
        <f>input_values!W275</f>
        <v>1</v>
      </c>
      <c r="G1475" s="1085" t="str">
        <f>IF(Table3[[#This Row],[CF]]&gt;0,CONCATENATE(IF(Table3[[#This Row],[LOQ]]="*","LOQ","MRL"),IF(input_values!G275&gt;0,"×CFrisk","")),"")</f>
        <v>MRL</v>
      </c>
      <c r="H1475" s="1087">
        <f>input_values!L275</f>
        <v>0</v>
      </c>
      <c r="I1475" s="1088">
        <f>input_values!D275</f>
        <v>0</v>
      </c>
      <c r="J1475" s="1095" t="e">
        <f>IF($D$1212="",0,$D1475*Table3[[#This Row],[CF]]*chronic_consumption!$E275/1000/$C$3)</f>
        <v>#DIV/0!</v>
      </c>
      <c r="K1475" s="1095" t="e">
        <f>IF($D$1212="",0,$D1475*Table3[[#This Row],[CF]]*chronic_consumption!$F275/1000/$C$3)</f>
        <v>#DIV/0!</v>
      </c>
      <c r="L1475" s="1095" t="e">
        <f>IF($D$1212="",0,$D1475*Table3[[#This Row],[CF]]*chronic_consumption!$G275/1000/$C$3)</f>
        <v>#DIV/0!</v>
      </c>
      <c r="M1475" s="1095" t="e">
        <f>IF($D$1212="",0,$D1475*Table3[[#This Row],[CF]]*chronic_consumption!$H275/1000/$C$3)</f>
        <v>#DIV/0!</v>
      </c>
      <c r="N1475" s="1095" t="e">
        <f>IF($D$1212="",0,$D1475*Table3[[#This Row],[CF]]*chronic_consumption!$I275/1000/$C$3)</f>
        <v>#DIV/0!</v>
      </c>
      <c r="O1475" s="1095" t="e">
        <f>IF($D$1212="",0,$D1475*Table3[[#This Row],[CF]]*chronic_consumption!$J275/1000/$C$3)</f>
        <v>#DIV/0!</v>
      </c>
      <c r="P1475" s="1095" t="e">
        <f>IF($D$1212="",0,$D1475*Table3[[#This Row],[CF]]*chronic_consumption!$K275/1000/$C$3)</f>
        <v>#DIV/0!</v>
      </c>
      <c r="Q1475" s="1095" t="e">
        <f>IF($D$1212="",0,$D1475*Table3[[#This Row],[CF]]*chronic_consumption!$L275/1000/$C$3)</f>
        <v>#DIV/0!</v>
      </c>
      <c r="R1475" s="1095" t="e">
        <f>IF($D$1212="",0,$D1475*Table3[[#This Row],[CF]]*chronic_consumption!$M275/1000/$C$3)</f>
        <v>#DIV/0!</v>
      </c>
      <c r="S1475" s="1095" t="e">
        <f>IF($D$1212="",0,$D1475*Table3[[#This Row],[CF]]*chronic_consumption!$N275/1000/$C$3)</f>
        <v>#DIV/0!</v>
      </c>
      <c r="T1475" s="1095" t="e">
        <f>IF($D$1212="",0,$D1475*Table3[[#This Row],[CF]]*chronic_consumption!$O275/1000/$C$3)</f>
        <v>#DIV/0!</v>
      </c>
      <c r="U1475" s="1095" t="e">
        <f>IF($D$1212="",0,$D1475*Table3[[#This Row],[CF]]*chronic_consumption!$P275/1000/$C$3)</f>
        <v>#DIV/0!</v>
      </c>
      <c r="V1475" s="1095" t="e">
        <f>IF($D$1212="",0,$D1475*Table3[[#This Row],[CF]]*chronic_consumption!$Q275/1000/$C$3)</f>
        <v>#DIV/0!</v>
      </c>
      <c r="W1475" s="1095" t="e">
        <f>IF($D$1212="",0,$D1475*Table3[[#This Row],[CF]]*chronic_consumption!$R275/1000/$C$3)</f>
        <v>#DIV/0!</v>
      </c>
      <c r="X1475" s="1095" t="e">
        <f>IF($D$1212="",0,$D1475*Table3[[#This Row],[CF]]*chronic_consumption!$S275/1000/$C$3)</f>
        <v>#DIV/0!</v>
      </c>
      <c r="Y1475" s="1095" t="e">
        <f>IF($D$1212="",0,$D1475*Table3[[#This Row],[CF]]*chronic_consumption!$T275/1000/$C$3)</f>
        <v>#DIV/0!</v>
      </c>
      <c r="Z1475" s="1095" t="e">
        <f>IF($D$1212="",0,$D1475*Table3[[#This Row],[CF]]*chronic_consumption!$U275/1000/$C$3)</f>
        <v>#DIV/0!</v>
      </c>
      <c r="AA1475" s="1095" t="e">
        <f>IF($D$1212="",0,$D1475*Table3[[#This Row],[CF]]*chronic_consumption!$V275/1000/$C$3)</f>
        <v>#DIV/0!</v>
      </c>
      <c r="AB1475" s="1095" t="e">
        <f>IF($D$1212="",0,$D1475*Table3[[#This Row],[CF]]*chronic_consumption!$W275/1000/$C$3)</f>
        <v>#DIV/0!</v>
      </c>
      <c r="AC1475" s="1095" t="e">
        <f>IF($D$1212="",0,$D1475*Table3[[#This Row],[CF]]*chronic_consumption!$X275/1000/$C$3)</f>
        <v>#DIV/0!</v>
      </c>
      <c r="AD1475" s="1095" t="e">
        <f>IF($D$1212="",0,$D1475*Table3[[#This Row],[CF]]*chronic_consumption!$Y275/1000/$C$3)</f>
        <v>#DIV/0!</v>
      </c>
      <c r="AE1475" s="1095" t="e">
        <f>IF($D$1212="",0,$D1475*Table3[[#This Row],[CF]]*chronic_consumption!$Z275/1000/$C$3)</f>
        <v>#DIV/0!</v>
      </c>
      <c r="AF1475" s="1095" t="e">
        <f>IF($D$1212="",0,$D1475*Table3[[#This Row],[CF]]*chronic_consumption!$AA275/1000/$C$3)</f>
        <v>#DIV/0!</v>
      </c>
      <c r="AG1475" s="1095" t="e">
        <f>IF($D$1212="",0,$D1475*Table3[[#This Row],[CF]]*chronic_consumption!$AB275/1000/$C$3)</f>
        <v>#DIV/0!</v>
      </c>
      <c r="AH1475" s="1095" t="e">
        <f>IF($D$1212="",0,$D1475*Table3[[#This Row],[CF]]*chronic_consumption!$AC275/1000/$C$3)</f>
        <v>#DIV/0!</v>
      </c>
      <c r="AI1475" s="1095" t="e">
        <f>IF($D$1212="",0,$D1475*Table3[[#This Row],[CF]]*chronic_consumption!$AD275/1000/$C$3)</f>
        <v>#DIV/0!</v>
      </c>
      <c r="AJ1475" s="1095" t="e">
        <f>IF($D$1212="",0,$D1475*Table3[[#This Row],[CF]]*chronic_consumption!$AE275/1000/$C$3)</f>
        <v>#DIV/0!</v>
      </c>
      <c r="AK1475" s="1095" t="e">
        <f>IF($D$1212="",0,$D1475*Table3[[#This Row],[CF]]*chronic_consumption!$AF275/1000/$C$3)</f>
        <v>#DIV/0!</v>
      </c>
      <c r="AL1475" s="1095" t="e">
        <f>IF($D$1212="",0,$D1475*Table3[[#This Row],[CF]]*chronic_consumption!$AG275/1000/$C$3)</f>
        <v>#DIV/0!</v>
      </c>
      <c r="AM1475" s="1095" t="e">
        <f>IF($D$1212="",0,$D1475*Table3[[#This Row],[CF]]*chronic_consumption!$AH275/1000/$C$3)</f>
        <v>#DIV/0!</v>
      </c>
      <c r="AN1475" s="1095" t="e">
        <f>IF($D$1212="",0,$D1475*Table3[[#This Row],[CF]]*chronic_consumption!$AI275/1000/$C$3)</f>
        <v>#DIV/0!</v>
      </c>
      <c r="AO1475" s="1095" t="e">
        <f>IF($D$1212="",0,$D1475*Table3[[#This Row],[CF]]*chronic_consumption!$AJ275/1000/$C$3)</f>
        <v>#DIV/0!</v>
      </c>
      <c r="AP1475" s="1095" t="e">
        <f>IF($D$1212="",0,$D1475*Table3[[#This Row],[CF]]*chronic_consumption!$AK275/1000/$C$3)</f>
        <v>#DIV/0!</v>
      </c>
      <c r="AQ1475" s="1095" t="e">
        <f>IF($D$1212="",0,$D1475*Table3[[#This Row],[CF]]*chronic_consumption!$AL275/1000/$C$3)</f>
        <v>#DIV/0!</v>
      </c>
      <c r="AR1475" s="1095" t="e">
        <f>IF($D$1212="",0,$D1475*Table3[[#This Row],[CF]]*chronic_consumption!$AM275/1000/$C$3)</f>
        <v>#DIV/0!</v>
      </c>
      <c r="AS1475" s="1095" t="e">
        <f>IF($D$1212="",0,$D1475*Table3[[#This Row],[CF]]*chronic_consumption!$AN275/1000/$C$3)</f>
        <v>#DIV/0!</v>
      </c>
      <c r="AT1475" s="1095" t="e">
        <f>IF($D$1212="",0,$D1475*Table3[[#This Row],[CF]]*chronic_consumption!$AO275/1000/$C$3)</f>
        <v>#DIV/0!</v>
      </c>
      <c r="AU1475" s="1096" t="e">
        <f t="shared" si="879"/>
        <v>#DIV/0!</v>
      </c>
      <c r="AV1475" s="1096" t="e">
        <f t="shared" si="879"/>
        <v>#DIV/0!</v>
      </c>
      <c r="AW1475" s="1096" t="e">
        <f t="shared" si="879"/>
        <v>#DIV/0!</v>
      </c>
      <c r="AX1475" s="1096" t="e">
        <f t="shared" si="879"/>
        <v>#DIV/0!</v>
      </c>
      <c r="AY1475" s="1096" t="e">
        <f t="shared" si="879"/>
        <v>#DIV/0!</v>
      </c>
      <c r="AZ1475" s="1091" t="s">
        <v>1012</v>
      </c>
      <c r="BA1475" s="1097" t="e">
        <f>IF(Table3[[#This Row],[max]]&lt;&gt;0,RANK(Table3[[#This Row],[max]],Table3[max],0),"")</f>
        <v>#DIV/0!</v>
      </c>
      <c r="BB1475" s="1096" t="e">
        <f t="shared" si="876"/>
        <v>#DIV/0!</v>
      </c>
      <c r="BC1475" s="1096" t="e">
        <f t="shared" ca="1" si="877"/>
        <v>#DIV/0!</v>
      </c>
      <c r="BD1475" s="1096" t="e">
        <f>IF(Table3[[#This Row],[max]]&gt;0,Table3[[#This Row],[Crop groups and examples of individual products within the groups to which the MRLs apply]],"")</f>
        <v>#DIV/0!</v>
      </c>
    </row>
    <row r="1476" spans="2:56" x14ac:dyDescent="0.2">
      <c r="B1476" s="127">
        <f t="shared" si="878"/>
        <v>700000</v>
      </c>
      <c r="C1476" s="127" t="str">
        <f t="shared" si="878"/>
        <v xml:space="preserve"> HOPS (dried)</v>
      </c>
      <c r="D1476" s="1084">
        <f>input_values!E276</f>
        <v>0</v>
      </c>
      <c r="E1476" s="1084">
        <f>input_values!F276</f>
        <v>0</v>
      </c>
      <c r="F1476" s="1085">
        <f>input_values!W276</f>
        <v>1</v>
      </c>
      <c r="G1476" s="1085" t="str">
        <f>IF(Table3[[#This Row],[CF]]&gt;0,CONCATENATE(IF(Table3[[#This Row],[LOQ]]="*","LOQ","MRL"),IF(input_values!G276&gt;0,"×CFrisk","")),"")</f>
        <v>MRL</v>
      </c>
      <c r="H1476" s="1087">
        <f>input_values!L276</f>
        <v>0</v>
      </c>
      <c r="I1476" s="1088">
        <f>input_values!D276</f>
        <v>0</v>
      </c>
      <c r="J1476" s="1102" t="e">
        <f>IF($D$1212="",0,$D1476*Table3[[#This Row],[CF]]*chronic_consumption!$E276/1000/$C$3)</f>
        <v>#DIV/0!</v>
      </c>
      <c r="K1476" s="1102" t="e">
        <f>IF($D$1212="",0,$D1476*Table3[[#This Row],[CF]]*chronic_consumption!$F276/1000/$C$3)</f>
        <v>#DIV/0!</v>
      </c>
      <c r="L1476" s="1102" t="e">
        <f>IF($D$1212="",0,$D1476*Table3[[#This Row],[CF]]*chronic_consumption!$G276/1000/$C$3)</f>
        <v>#DIV/0!</v>
      </c>
      <c r="M1476" s="1102" t="e">
        <f>IF($D$1212="",0,$D1476*Table3[[#This Row],[CF]]*chronic_consumption!$H276/1000/$C$3)</f>
        <v>#DIV/0!</v>
      </c>
      <c r="N1476" s="1102" t="e">
        <f>IF($D$1212="",0,$D1476*Table3[[#This Row],[CF]]*chronic_consumption!$I276/1000/$C$3)</f>
        <v>#DIV/0!</v>
      </c>
      <c r="O1476" s="1102" t="e">
        <f>IF($D$1212="",0,$D1476*Table3[[#This Row],[CF]]*chronic_consumption!$J276/1000/$C$3)</f>
        <v>#DIV/0!</v>
      </c>
      <c r="P1476" s="1102" t="e">
        <f>IF($D$1212="",0,$D1476*Table3[[#This Row],[CF]]*chronic_consumption!$K276/1000/$C$3)</f>
        <v>#DIV/0!</v>
      </c>
      <c r="Q1476" s="1102" t="e">
        <f>IF($D$1212="",0,$D1476*Table3[[#This Row],[CF]]*chronic_consumption!$L276/1000/$C$3)</f>
        <v>#DIV/0!</v>
      </c>
      <c r="R1476" s="1102" t="e">
        <f>IF($D$1212="",0,$D1476*Table3[[#This Row],[CF]]*chronic_consumption!$M276/1000/$C$3)</f>
        <v>#DIV/0!</v>
      </c>
      <c r="S1476" s="1102" t="e">
        <f>IF($D$1212="",0,$D1476*Table3[[#This Row],[CF]]*chronic_consumption!$N276/1000/$C$3)</f>
        <v>#DIV/0!</v>
      </c>
      <c r="T1476" s="1102" t="e">
        <f>IF($D$1212="",0,$D1476*Table3[[#This Row],[CF]]*chronic_consumption!$O276/1000/$C$3)</f>
        <v>#DIV/0!</v>
      </c>
      <c r="U1476" s="1102" t="e">
        <f>IF($D$1212="",0,$D1476*Table3[[#This Row],[CF]]*chronic_consumption!$P276/1000/$C$3)</f>
        <v>#DIV/0!</v>
      </c>
      <c r="V1476" s="1102" t="e">
        <f>IF($D$1212="",0,$D1476*Table3[[#This Row],[CF]]*chronic_consumption!$Q276/1000/$C$3)</f>
        <v>#DIV/0!</v>
      </c>
      <c r="W1476" s="1102" t="e">
        <f>IF($D$1212="",0,$D1476*Table3[[#This Row],[CF]]*chronic_consumption!$R276/1000/$C$3)</f>
        <v>#DIV/0!</v>
      </c>
      <c r="X1476" s="1102" t="e">
        <f>IF($D$1212="",0,$D1476*Table3[[#This Row],[CF]]*chronic_consumption!$S276/1000/$C$3)</f>
        <v>#DIV/0!</v>
      </c>
      <c r="Y1476" s="1102" t="e">
        <f>IF($D$1212="",0,$D1476*Table3[[#This Row],[CF]]*chronic_consumption!$T276/1000/$C$3)</f>
        <v>#DIV/0!</v>
      </c>
      <c r="Z1476" s="1102" t="e">
        <f>IF($D$1212="",0,$D1476*Table3[[#This Row],[CF]]*chronic_consumption!$U276/1000/$C$3)</f>
        <v>#DIV/0!</v>
      </c>
      <c r="AA1476" s="1102" t="e">
        <f>IF($D$1212="",0,$D1476*Table3[[#This Row],[CF]]*chronic_consumption!$V276/1000/$C$3)</f>
        <v>#DIV/0!</v>
      </c>
      <c r="AB1476" s="1102" t="e">
        <f>IF($D$1212="",0,$D1476*Table3[[#This Row],[CF]]*chronic_consumption!$W276/1000/$C$3)</f>
        <v>#DIV/0!</v>
      </c>
      <c r="AC1476" s="1102" t="e">
        <f>IF($D$1212="",0,$D1476*Table3[[#This Row],[CF]]*chronic_consumption!$X276/1000/$C$3)</f>
        <v>#DIV/0!</v>
      </c>
      <c r="AD1476" s="1102" t="e">
        <f>IF($D$1212="",0,$D1476*Table3[[#This Row],[CF]]*chronic_consumption!$Y276/1000/$C$3)</f>
        <v>#DIV/0!</v>
      </c>
      <c r="AE1476" s="1102" t="e">
        <f>IF($D$1212="",0,$D1476*Table3[[#This Row],[CF]]*chronic_consumption!$Z276/1000/$C$3)</f>
        <v>#DIV/0!</v>
      </c>
      <c r="AF1476" s="1102" t="e">
        <f>IF($D$1212="",0,$D1476*Table3[[#This Row],[CF]]*chronic_consumption!$AA276/1000/$C$3)</f>
        <v>#DIV/0!</v>
      </c>
      <c r="AG1476" s="1102" t="e">
        <f>IF($D$1212="",0,$D1476*Table3[[#This Row],[CF]]*chronic_consumption!$AB276/1000/$C$3)</f>
        <v>#DIV/0!</v>
      </c>
      <c r="AH1476" s="1102" t="e">
        <f>IF($D$1212="",0,$D1476*Table3[[#This Row],[CF]]*chronic_consumption!$AC276/1000/$C$3)</f>
        <v>#DIV/0!</v>
      </c>
      <c r="AI1476" s="1102" t="e">
        <f>IF($D$1212="",0,$D1476*Table3[[#This Row],[CF]]*chronic_consumption!$AD276/1000/$C$3)</f>
        <v>#DIV/0!</v>
      </c>
      <c r="AJ1476" s="1102" t="e">
        <f>IF($D$1212="",0,$D1476*Table3[[#This Row],[CF]]*chronic_consumption!$AE276/1000/$C$3)</f>
        <v>#DIV/0!</v>
      </c>
      <c r="AK1476" s="1102" t="e">
        <f>IF($D$1212="",0,$D1476*Table3[[#This Row],[CF]]*chronic_consumption!$AF276/1000/$C$3)</f>
        <v>#DIV/0!</v>
      </c>
      <c r="AL1476" s="1102" t="e">
        <f>IF($D$1212="",0,$D1476*Table3[[#This Row],[CF]]*chronic_consumption!$AG276/1000/$C$3)</f>
        <v>#DIV/0!</v>
      </c>
      <c r="AM1476" s="1102" t="e">
        <f>IF($D$1212="",0,$D1476*Table3[[#This Row],[CF]]*chronic_consumption!$AH276/1000/$C$3)</f>
        <v>#DIV/0!</v>
      </c>
      <c r="AN1476" s="1102" t="e">
        <f>IF($D$1212="",0,$D1476*Table3[[#This Row],[CF]]*chronic_consumption!$AI276/1000/$C$3)</f>
        <v>#DIV/0!</v>
      </c>
      <c r="AO1476" s="1102" t="e">
        <f>IF($D$1212="",0,$D1476*Table3[[#This Row],[CF]]*chronic_consumption!$AJ276/1000/$C$3)</f>
        <v>#DIV/0!</v>
      </c>
      <c r="AP1476" s="1102" t="e">
        <f>IF($D$1212="",0,$D1476*Table3[[#This Row],[CF]]*chronic_consumption!$AK276/1000/$C$3)</f>
        <v>#DIV/0!</v>
      </c>
      <c r="AQ1476" s="1102" t="e">
        <f>IF($D$1212="",0,$D1476*Table3[[#This Row],[CF]]*chronic_consumption!$AL276/1000/$C$3)</f>
        <v>#DIV/0!</v>
      </c>
      <c r="AR1476" s="1102" t="e">
        <f>IF($D$1212="",0,$D1476*Table3[[#This Row],[CF]]*chronic_consumption!$AM276/1000/$C$3)</f>
        <v>#DIV/0!</v>
      </c>
      <c r="AS1476" s="1102" t="e">
        <f>IF($D$1212="",0,$D1476*Table3[[#This Row],[CF]]*chronic_consumption!$AN276/1000/$C$3)</f>
        <v>#DIV/0!</v>
      </c>
      <c r="AT1476" s="1102" t="e">
        <f>IF($D$1212="",0,$D1476*Table3[[#This Row],[CF]]*chronic_consumption!$AO276/1000/$C$3)</f>
        <v>#DIV/0!</v>
      </c>
      <c r="AU1476" s="1090" t="e">
        <f t="shared" si="879"/>
        <v>#DIV/0!</v>
      </c>
      <c r="AV1476" s="1090" t="e">
        <f t="shared" si="879"/>
        <v>#DIV/0!</v>
      </c>
      <c r="AW1476" s="1090" t="e">
        <f t="shared" si="879"/>
        <v>#DIV/0!</v>
      </c>
      <c r="AX1476" s="1090" t="e">
        <f t="shared" si="879"/>
        <v>#DIV/0!</v>
      </c>
      <c r="AY1476" s="1090" t="e">
        <f t="shared" si="879"/>
        <v>#DIV/0!</v>
      </c>
      <c r="AZ1476" s="1091" t="s">
        <v>1012</v>
      </c>
      <c r="BA1476" s="1097" t="e">
        <f>IF(Table3[[#This Row],[max]]&lt;&gt;0,RANK(Table3[[#This Row],[max]],Table3[max],0),"")</f>
        <v>#DIV/0!</v>
      </c>
      <c r="BB1476" s="1096" t="e">
        <f t="shared" si="876"/>
        <v>#DIV/0!</v>
      </c>
      <c r="BC1476" s="1096" t="e">
        <f t="shared" ca="1" si="877"/>
        <v>#DIV/0!</v>
      </c>
      <c r="BD1476" s="1096" t="e">
        <f>IF(Table3[[#This Row],[max]]&gt;0,Table3[[#This Row],[Crop groups and examples of individual products within the groups to which the MRLs apply]],"")</f>
        <v>#DIV/0!</v>
      </c>
    </row>
    <row r="1477" spans="2:56" x14ac:dyDescent="0.2">
      <c r="B1477" s="127">
        <f t="shared" si="878"/>
        <v>800000</v>
      </c>
      <c r="C1477" s="127" t="str">
        <f t="shared" si="878"/>
        <v>SPICES</v>
      </c>
      <c r="D1477" s="1084">
        <f>input_values!E277</f>
        <v>0</v>
      </c>
      <c r="E1477" s="1084">
        <f>input_values!F277</f>
        <v>0</v>
      </c>
      <c r="F1477" s="1085">
        <f>input_values!W277</f>
        <v>0</v>
      </c>
      <c r="G1477" s="1085" t="str">
        <f>IF(Table3[[#This Row],[CF]]&gt;0,CONCATENATE(IF(Table3[[#This Row],[LOQ]]="*","LOQ","MRL"),IF(input_values!G277&gt;0,"×CFrisk","")),"")</f>
        <v/>
      </c>
      <c r="H1477" s="1087">
        <f>input_values!L277</f>
        <v>0</v>
      </c>
      <c r="I1477" s="1088">
        <f>input_values!D277</f>
        <v>0</v>
      </c>
      <c r="J1477" s="1102" t="e">
        <f>IF($D$1212="",0,$D1477*Table3[[#This Row],[CF]]*chronic_consumption!$E277/1000/$C$3)</f>
        <v>#DIV/0!</v>
      </c>
      <c r="K1477" s="1102" t="e">
        <f>IF($D$1212="",0,$D1477*Table3[[#This Row],[CF]]*chronic_consumption!$F277/1000/$C$3)</f>
        <v>#DIV/0!</v>
      </c>
      <c r="L1477" s="1102" t="e">
        <f>IF($D$1212="",0,$D1477*Table3[[#This Row],[CF]]*chronic_consumption!$G277/1000/$C$3)</f>
        <v>#DIV/0!</v>
      </c>
      <c r="M1477" s="1102" t="e">
        <f>IF($D$1212="",0,$D1477*Table3[[#This Row],[CF]]*chronic_consumption!$H277/1000/$C$3)</f>
        <v>#DIV/0!</v>
      </c>
      <c r="N1477" s="1102" t="e">
        <f>IF($D$1212="",0,$D1477*Table3[[#This Row],[CF]]*chronic_consumption!$I277/1000/$C$3)</f>
        <v>#DIV/0!</v>
      </c>
      <c r="O1477" s="1102" t="e">
        <f>IF($D$1212="",0,$D1477*Table3[[#This Row],[CF]]*chronic_consumption!$J277/1000/$C$3)</f>
        <v>#DIV/0!</v>
      </c>
      <c r="P1477" s="1102" t="e">
        <f>IF($D$1212="",0,$D1477*Table3[[#This Row],[CF]]*chronic_consumption!$K277/1000/$C$3)</f>
        <v>#DIV/0!</v>
      </c>
      <c r="Q1477" s="1102" t="e">
        <f>IF($D$1212="",0,$D1477*Table3[[#This Row],[CF]]*chronic_consumption!$L277/1000/$C$3)</f>
        <v>#DIV/0!</v>
      </c>
      <c r="R1477" s="1102" t="e">
        <f>IF($D$1212="",0,$D1477*Table3[[#This Row],[CF]]*chronic_consumption!$M277/1000/$C$3)</f>
        <v>#DIV/0!</v>
      </c>
      <c r="S1477" s="1102" t="e">
        <f>IF($D$1212="",0,$D1477*Table3[[#This Row],[CF]]*chronic_consumption!$N277/1000/$C$3)</f>
        <v>#DIV/0!</v>
      </c>
      <c r="T1477" s="1102" t="e">
        <f>IF($D$1212="",0,$D1477*Table3[[#This Row],[CF]]*chronic_consumption!$O277/1000/$C$3)</f>
        <v>#DIV/0!</v>
      </c>
      <c r="U1477" s="1102" t="e">
        <f>IF($D$1212="",0,$D1477*Table3[[#This Row],[CF]]*chronic_consumption!$P277/1000/$C$3)</f>
        <v>#DIV/0!</v>
      </c>
      <c r="V1477" s="1102" t="e">
        <f>IF($D$1212="",0,$D1477*Table3[[#This Row],[CF]]*chronic_consumption!$Q277/1000/$C$3)</f>
        <v>#DIV/0!</v>
      </c>
      <c r="W1477" s="1102" t="e">
        <f>IF($D$1212="",0,$D1477*Table3[[#This Row],[CF]]*chronic_consumption!$R277/1000/$C$3)</f>
        <v>#DIV/0!</v>
      </c>
      <c r="X1477" s="1102" t="e">
        <f>IF($D$1212="",0,$D1477*Table3[[#This Row],[CF]]*chronic_consumption!$S277/1000/$C$3)</f>
        <v>#DIV/0!</v>
      </c>
      <c r="Y1477" s="1102" t="e">
        <f>IF($D$1212="",0,$D1477*Table3[[#This Row],[CF]]*chronic_consumption!$T277/1000/$C$3)</f>
        <v>#DIV/0!</v>
      </c>
      <c r="Z1477" s="1102" t="e">
        <f>IF($D$1212="",0,$D1477*Table3[[#This Row],[CF]]*chronic_consumption!$U277/1000/$C$3)</f>
        <v>#DIV/0!</v>
      </c>
      <c r="AA1477" s="1102" t="e">
        <f>IF($D$1212="",0,$D1477*Table3[[#This Row],[CF]]*chronic_consumption!$V277/1000/$C$3)</f>
        <v>#DIV/0!</v>
      </c>
      <c r="AB1477" s="1102" t="e">
        <f>IF($D$1212="",0,$D1477*Table3[[#This Row],[CF]]*chronic_consumption!$W277/1000/$C$3)</f>
        <v>#DIV/0!</v>
      </c>
      <c r="AC1477" s="1102" t="e">
        <f>IF($D$1212="",0,$D1477*Table3[[#This Row],[CF]]*chronic_consumption!$X277/1000/$C$3)</f>
        <v>#DIV/0!</v>
      </c>
      <c r="AD1477" s="1102" t="e">
        <f>IF($D$1212="",0,$D1477*Table3[[#This Row],[CF]]*chronic_consumption!$Y277/1000/$C$3)</f>
        <v>#DIV/0!</v>
      </c>
      <c r="AE1477" s="1102" t="e">
        <f>IF($D$1212="",0,$D1477*Table3[[#This Row],[CF]]*chronic_consumption!$Z277/1000/$C$3)</f>
        <v>#DIV/0!</v>
      </c>
      <c r="AF1477" s="1102" t="e">
        <f>IF($D$1212="",0,$D1477*Table3[[#This Row],[CF]]*chronic_consumption!$AA277/1000/$C$3)</f>
        <v>#DIV/0!</v>
      </c>
      <c r="AG1477" s="1102" t="e">
        <f>IF($D$1212="",0,$D1477*Table3[[#This Row],[CF]]*chronic_consumption!$AB277/1000/$C$3)</f>
        <v>#DIV/0!</v>
      </c>
      <c r="AH1477" s="1102" t="e">
        <f>IF($D$1212="",0,$D1477*Table3[[#This Row],[CF]]*chronic_consumption!$AC277/1000/$C$3)</f>
        <v>#DIV/0!</v>
      </c>
      <c r="AI1477" s="1102" t="e">
        <f>IF($D$1212="",0,$D1477*Table3[[#This Row],[CF]]*chronic_consumption!$AD277/1000/$C$3)</f>
        <v>#DIV/0!</v>
      </c>
      <c r="AJ1477" s="1102" t="e">
        <f>IF($D$1212="",0,$D1477*Table3[[#This Row],[CF]]*chronic_consumption!$AE277/1000/$C$3)</f>
        <v>#DIV/0!</v>
      </c>
      <c r="AK1477" s="1102" t="e">
        <f>IF($D$1212="",0,$D1477*Table3[[#This Row],[CF]]*chronic_consumption!$AF277/1000/$C$3)</f>
        <v>#DIV/0!</v>
      </c>
      <c r="AL1477" s="1102" t="e">
        <f>IF($D$1212="",0,$D1477*Table3[[#This Row],[CF]]*chronic_consumption!$AG277/1000/$C$3)</f>
        <v>#DIV/0!</v>
      </c>
      <c r="AM1477" s="1102" t="e">
        <f>IF($D$1212="",0,$D1477*Table3[[#This Row],[CF]]*chronic_consumption!$AH277/1000/$C$3)</f>
        <v>#DIV/0!</v>
      </c>
      <c r="AN1477" s="1102" t="e">
        <f>IF($D$1212="",0,$D1477*Table3[[#This Row],[CF]]*chronic_consumption!$AI277/1000/$C$3)</f>
        <v>#DIV/0!</v>
      </c>
      <c r="AO1477" s="1102" t="e">
        <f>IF($D$1212="",0,$D1477*Table3[[#This Row],[CF]]*chronic_consumption!$AJ277/1000/$C$3)</f>
        <v>#DIV/0!</v>
      </c>
      <c r="AP1477" s="1102" t="e">
        <f>IF($D$1212="",0,$D1477*Table3[[#This Row],[CF]]*chronic_consumption!$AK277/1000/$C$3)</f>
        <v>#DIV/0!</v>
      </c>
      <c r="AQ1477" s="1102" t="e">
        <f>IF($D$1212="",0,$D1477*Table3[[#This Row],[CF]]*chronic_consumption!$AL277/1000/$C$3)</f>
        <v>#DIV/0!</v>
      </c>
      <c r="AR1477" s="1102" t="e">
        <f>IF($D$1212="",0,$D1477*Table3[[#This Row],[CF]]*chronic_consumption!$AM277/1000/$C$3)</f>
        <v>#DIV/0!</v>
      </c>
      <c r="AS1477" s="1102" t="e">
        <f>IF($D$1212="",0,$D1477*Table3[[#This Row],[CF]]*chronic_consumption!$AN277/1000/$C$3)</f>
        <v>#DIV/0!</v>
      </c>
      <c r="AT1477" s="1102" t="e">
        <f>IF($D$1212="",0,$D1477*Table3[[#This Row],[CF]]*chronic_consumption!$AO277/1000/$C$3)</f>
        <v>#DIV/0!</v>
      </c>
      <c r="AU1477" s="1090" t="e">
        <f t="shared" si="879"/>
        <v>#DIV/0!</v>
      </c>
      <c r="AV1477" s="1090" t="e">
        <f t="shared" si="879"/>
        <v>#DIV/0!</v>
      </c>
      <c r="AW1477" s="1090" t="e">
        <f t="shared" si="879"/>
        <v>#DIV/0!</v>
      </c>
      <c r="AX1477" s="1090" t="e">
        <f t="shared" si="879"/>
        <v>#DIV/0!</v>
      </c>
      <c r="AY1477" s="1090" t="e">
        <f t="shared" si="879"/>
        <v>#DIV/0!</v>
      </c>
      <c r="AZ1477" s="1091" t="s">
        <v>1012</v>
      </c>
      <c r="BA1477" s="1097" t="e">
        <f>IF(Table3[[#This Row],[max]]&lt;&gt;0,RANK(Table3[[#This Row],[max]],Table3[max],0),"")</f>
        <v>#DIV/0!</v>
      </c>
      <c r="BB1477" s="1096" t="e">
        <f t="shared" si="876"/>
        <v>#DIV/0!</v>
      </c>
      <c r="BC1477" s="1096" t="e">
        <f t="shared" ca="1" si="877"/>
        <v>#DIV/0!</v>
      </c>
      <c r="BD1477" s="1096" t="e">
        <f>IF(Table3[[#This Row],[max]]&gt;0,Table3[[#This Row],[Crop groups and examples of individual products within the groups to which the MRLs apply]],"")</f>
        <v>#DIV/0!</v>
      </c>
    </row>
    <row r="1478" spans="2:56" x14ac:dyDescent="0.2">
      <c r="B1478" s="131">
        <f t="shared" si="878"/>
        <v>810000</v>
      </c>
      <c r="C1478" s="131" t="str">
        <f t="shared" si="878"/>
        <v>Spices (seeds)</v>
      </c>
      <c r="D1478" s="1084">
        <f>input_values!E278</f>
        <v>0</v>
      </c>
      <c r="E1478" s="1084">
        <f>input_values!F278</f>
        <v>0</v>
      </c>
      <c r="F1478" s="1085">
        <f>input_values!W278</f>
        <v>0</v>
      </c>
      <c r="G1478" s="1085" t="str">
        <f>IF(Table3[[#This Row],[CF]]&gt;0,CONCATENATE(IF(Table3[[#This Row],[LOQ]]="*","LOQ","MRL"),IF(input_values!G278&gt;0,"×CFrisk","")),"")</f>
        <v/>
      </c>
      <c r="H1478" s="1087">
        <f>input_values!L278</f>
        <v>0</v>
      </c>
      <c r="I1478" s="1088">
        <f>input_values!D278</f>
        <v>0</v>
      </c>
      <c r="J1478" s="1095" t="e">
        <f>IF($D$1212="",0,$D1478*Table3[[#This Row],[CF]]*chronic_consumption!$E278/1000/$C$3)</f>
        <v>#DIV/0!</v>
      </c>
      <c r="K1478" s="1095" t="e">
        <f>IF($D$1212="",0,$D1478*Table3[[#This Row],[CF]]*chronic_consumption!$F278/1000/$C$3)</f>
        <v>#DIV/0!</v>
      </c>
      <c r="L1478" s="1095" t="e">
        <f>IF($D$1212="",0,$D1478*Table3[[#This Row],[CF]]*chronic_consumption!$G278/1000/$C$3)</f>
        <v>#DIV/0!</v>
      </c>
      <c r="M1478" s="1095" t="e">
        <f>IF($D$1212="",0,$D1478*Table3[[#This Row],[CF]]*chronic_consumption!$H278/1000/$C$3)</f>
        <v>#DIV/0!</v>
      </c>
      <c r="N1478" s="1095" t="e">
        <f>IF($D$1212="",0,$D1478*Table3[[#This Row],[CF]]*chronic_consumption!$I278/1000/$C$3)</f>
        <v>#DIV/0!</v>
      </c>
      <c r="O1478" s="1095" t="e">
        <f>IF($D$1212="",0,$D1478*Table3[[#This Row],[CF]]*chronic_consumption!$J278/1000/$C$3)</f>
        <v>#DIV/0!</v>
      </c>
      <c r="P1478" s="1095" t="e">
        <f>IF($D$1212="",0,$D1478*Table3[[#This Row],[CF]]*chronic_consumption!$K278/1000/$C$3)</f>
        <v>#DIV/0!</v>
      </c>
      <c r="Q1478" s="1095" t="e">
        <f>IF($D$1212="",0,$D1478*Table3[[#This Row],[CF]]*chronic_consumption!$L278/1000/$C$3)</f>
        <v>#DIV/0!</v>
      </c>
      <c r="R1478" s="1095" t="e">
        <f>IF($D$1212="",0,$D1478*Table3[[#This Row],[CF]]*chronic_consumption!$M278/1000/$C$3)</f>
        <v>#DIV/0!</v>
      </c>
      <c r="S1478" s="1095" t="e">
        <f>IF($D$1212="",0,$D1478*Table3[[#This Row],[CF]]*chronic_consumption!$N278/1000/$C$3)</f>
        <v>#DIV/0!</v>
      </c>
      <c r="T1478" s="1095" t="e">
        <f>IF($D$1212="",0,$D1478*Table3[[#This Row],[CF]]*chronic_consumption!$O278/1000/$C$3)</f>
        <v>#DIV/0!</v>
      </c>
      <c r="U1478" s="1095" t="e">
        <f>IF($D$1212="",0,$D1478*Table3[[#This Row],[CF]]*chronic_consumption!$P278/1000/$C$3)</f>
        <v>#DIV/0!</v>
      </c>
      <c r="V1478" s="1095" t="e">
        <f>IF($D$1212="",0,$D1478*Table3[[#This Row],[CF]]*chronic_consumption!$Q278/1000/$C$3)</f>
        <v>#DIV/0!</v>
      </c>
      <c r="W1478" s="1095" t="e">
        <f>IF($D$1212="",0,$D1478*Table3[[#This Row],[CF]]*chronic_consumption!$R278/1000/$C$3)</f>
        <v>#DIV/0!</v>
      </c>
      <c r="X1478" s="1095" t="e">
        <f>IF($D$1212="",0,$D1478*Table3[[#This Row],[CF]]*chronic_consumption!$S278/1000/$C$3)</f>
        <v>#DIV/0!</v>
      </c>
      <c r="Y1478" s="1095" t="e">
        <f>IF($D$1212="",0,$D1478*Table3[[#This Row],[CF]]*chronic_consumption!$T278/1000/$C$3)</f>
        <v>#DIV/0!</v>
      </c>
      <c r="Z1478" s="1095" t="e">
        <f>IF($D$1212="",0,$D1478*Table3[[#This Row],[CF]]*chronic_consumption!$U278/1000/$C$3)</f>
        <v>#DIV/0!</v>
      </c>
      <c r="AA1478" s="1095" t="e">
        <f>IF($D$1212="",0,$D1478*Table3[[#This Row],[CF]]*chronic_consumption!$V278/1000/$C$3)</f>
        <v>#DIV/0!</v>
      </c>
      <c r="AB1478" s="1095" t="e">
        <f>IF($D$1212="",0,$D1478*Table3[[#This Row],[CF]]*chronic_consumption!$W278/1000/$C$3)</f>
        <v>#DIV/0!</v>
      </c>
      <c r="AC1478" s="1095" t="e">
        <f>IF($D$1212="",0,$D1478*Table3[[#This Row],[CF]]*chronic_consumption!$X278/1000/$C$3)</f>
        <v>#DIV/0!</v>
      </c>
      <c r="AD1478" s="1095" t="e">
        <f>IF($D$1212="",0,$D1478*Table3[[#This Row],[CF]]*chronic_consumption!$Y278/1000/$C$3)</f>
        <v>#DIV/0!</v>
      </c>
      <c r="AE1478" s="1095" t="e">
        <f>IF($D$1212="",0,$D1478*Table3[[#This Row],[CF]]*chronic_consumption!$Z278/1000/$C$3)</f>
        <v>#DIV/0!</v>
      </c>
      <c r="AF1478" s="1095" t="e">
        <f>IF($D$1212="",0,$D1478*Table3[[#This Row],[CF]]*chronic_consumption!$AA278/1000/$C$3)</f>
        <v>#DIV/0!</v>
      </c>
      <c r="AG1478" s="1095" t="e">
        <f>IF($D$1212="",0,$D1478*Table3[[#This Row],[CF]]*chronic_consumption!$AB278/1000/$C$3)</f>
        <v>#DIV/0!</v>
      </c>
      <c r="AH1478" s="1095" t="e">
        <f>IF($D$1212="",0,$D1478*Table3[[#This Row],[CF]]*chronic_consumption!$AC278/1000/$C$3)</f>
        <v>#DIV/0!</v>
      </c>
      <c r="AI1478" s="1095" t="e">
        <f>IF($D$1212="",0,$D1478*Table3[[#This Row],[CF]]*chronic_consumption!$AD278/1000/$C$3)</f>
        <v>#DIV/0!</v>
      </c>
      <c r="AJ1478" s="1095" t="e">
        <f>IF($D$1212="",0,$D1478*Table3[[#This Row],[CF]]*chronic_consumption!$AE278/1000/$C$3)</f>
        <v>#DIV/0!</v>
      </c>
      <c r="AK1478" s="1095" t="e">
        <f>IF($D$1212="",0,$D1478*Table3[[#This Row],[CF]]*chronic_consumption!$AF278/1000/$C$3)</f>
        <v>#DIV/0!</v>
      </c>
      <c r="AL1478" s="1095" t="e">
        <f>IF($D$1212="",0,$D1478*Table3[[#This Row],[CF]]*chronic_consumption!$AG278/1000/$C$3)</f>
        <v>#DIV/0!</v>
      </c>
      <c r="AM1478" s="1095" t="e">
        <f>IF($D$1212="",0,$D1478*Table3[[#This Row],[CF]]*chronic_consumption!$AH278/1000/$C$3)</f>
        <v>#DIV/0!</v>
      </c>
      <c r="AN1478" s="1095" t="e">
        <f>IF($D$1212="",0,$D1478*Table3[[#This Row],[CF]]*chronic_consumption!$AI278/1000/$C$3)</f>
        <v>#DIV/0!</v>
      </c>
      <c r="AO1478" s="1095" t="e">
        <f>IF($D$1212="",0,$D1478*Table3[[#This Row],[CF]]*chronic_consumption!$AJ278/1000/$C$3)</f>
        <v>#DIV/0!</v>
      </c>
      <c r="AP1478" s="1095" t="e">
        <f>IF($D$1212="",0,$D1478*Table3[[#This Row],[CF]]*chronic_consumption!$AK278/1000/$C$3)</f>
        <v>#DIV/0!</v>
      </c>
      <c r="AQ1478" s="1095" t="e">
        <f>IF($D$1212="",0,$D1478*Table3[[#This Row],[CF]]*chronic_consumption!$AL278/1000/$C$3)</f>
        <v>#DIV/0!</v>
      </c>
      <c r="AR1478" s="1095" t="e">
        <f>IF($D$1212="",0,$D1478*Table3[[#This Row],[CF]]*chronic_consumption!$AM278/1000/$C$3)</f>
        <v>#DIV/0!</v>
      </c>
      <c r="AS1478" s="1095" t="e">
        <f>IF($D$1212="",0,$D1478*Table3[[#This Row],[CF]]*chronic_consumption!$AN278/1000/$C$3)</f>
        <v>#DIV/0!</v>
      </c>
      <c r="AT1478" s="1095" t="e">
        <f>IF($D$1212="",0,$D1478*Table3[[#This Row],[CF]]*chronic_consumption!$AO278/1000/$C$3)</f>
        <v>#DIV/0!</v>
      </c>
      <c r="AU1478" s="1096" t="e">
        <f t="shared" si="879"/>
        <v>#DIV/0!</v>
      </c>
      <c r="AV1478" s="1096" t="e">
        <f t="shared" si="879"/>
        <v>#DIV/0!</v>
      </c>
      <c r="AW1478" s="1096" t="e">
        <f t="shared" si="879"/>
        <v>#DIV/0!</v>
      </c>
      <c r="AX1478" s="1096" t="e">
        <f t="shared" si="879"/>
        <v>#DIV/0!</v>
      </c>
      <c r="AY1478" s="1096" t="e">
        <f t="shared" si="879"/>
        <v>#DIV/0!</v>
      </c>
      <c r="AZ1478" s="1091" t="s">
        <v>1012</v>
      </c>
      <c r="BA1478" s="1097" t="e">
        <f>IF(Table3[[#This Row],[max]]&lt;&gt;0,RANK(Table3[[#This Row],[max]],Table3[max],0),"")</f>
        <v>#DIV/0!</v>
      </c>
      <c r="BB1478" s="1096" t="e">
        <f t="shared" si="876"/>
        <v>#DIV/0!</v>
      </c>
      <c r="BC1478" s="1096" t="e">
        <f t="shared" ca="1" si="877"/>
        <v>#DIV/0!</v>
      </c>
      <c r="BD1478" s="1096" t="e">
        <f>IF(Table3[[#This Row],[max]]&gt;0,Table3[[#This Row],[Crop groups and examples of individual products within the groups to which the MRLs apply]],"")</f>
        <v>#DIV/0!</v>
      </c>
    </row>
    <row r="1479" spans="2:56" x14ac:dyDescent="0.2">
      <c r="B1479" s="23">
        <f t="shared" si="878"/>
        <v>810010</v>
      </c>
      <c r="C1479" s="23" t="str">
        <f t="shared" si="878"/>
        <v>Anise/aniseed</v>
      </c>
      <c r="D1479" s="1084">
        <f>input_values!E279</f>
        <v>0</v>
      </c>
      <c r="E1479" s="1084">
        <f>input_values!F279</f>
        <v>0</v>
      </c>
      <c r="F1479" s="1085">
        <f>input_values!W279</f>
        <v>1</v>
      </c>
      <c r="G1479" s="1085" t="str">
        <f>IF(Table3[[#This Row],[CF]]&gt;0,CONCATENATE(IF(Table3[[#This Row],[LOQ]]="*","LOQ","MRL"),IF(input_values!G279&gt;0,"×CFrisk","")),"")</f>
        <v>MRL</v>
      </c>
      <c r="H1479" s="1087">
        <f>input_values!L279</f>
        <v>0</v>
      </c>
      <c r="I1479" s="1088">
        <f>input_values!D279</f>
        <v>0</v>
      </c>
      <c r="J1479" s="1098" t="e">
        <f>IF($D$1212="",0,$D1479*Table3[[#This Row],[CF]]*chronic_consumption!$E279/1000/$C$3)</f>
        <v>#DIV/0!</v>
      </c>
      <c r="K1479" s="1098" t="e">
        <f>IF($D$1212="",0,$D1479*Table3[[#This Row],[CF]]*chronic_consumption!$F279/1000/$C$3)</f>
        <v>#DIV/0!</v>
      </c>
      <c r="L1479" s="1098" t="e">
        <f>IF($D$1212="",0,$D1479*Table3[[#This Row],[CF]]*chronic_consumption!$G279/1000/$C$3)</f>
        <v>#DIV/0!</v>
      </c>
      <c r="M1479" s="1098" t="e">
        <f>IF($D$1212="",0,$D1479*Table3[[#This Row],[CF]]*chronic_consumption!$H279/1000/$C$3)</f>
        <v>#DIV/0!</v>
      </c>
      <c r="N1479" s="1098" t="e">
        <f>IF($D$1212="",0,$D1479*Table3[[#This Row],[CF]]*chronic_consumption!$I279/1000/$C$3)</f>
        <v>#DIV/0!</v>
      </c>
      <c r="O1479" s="1098" t="e">
        <f>IF($D$1212="",0,$D1479*Table3[[#This Row],[CF]]*chronic_consumption!$J279/1000/$C$3)</f>
        <v>#DIV/0!</v>
      </c>
      <c r="P1479" s="1098" t="e">
        <f>IF($D$1212="",0,$D1479*Table3[[#This Row],[CF]]*chronic_consumption!$K279/1000/$C$3)</f>
        <v>#DIV/0!</v>
      </c>
      <c r="Q1479" s="1098" t="e">
        <f>IF($D$1212="",0,$D1479*Table3[[#This Row],[CF]]*chronic_consumption!$L279/1000/$C$3)</f>
        <v>#DIV/0!</v>
      </c>
      <c r="R1479" s="1098" t="e">
        <f>IF($D$1212="",0,$D1479*Table3[[#This Row],[CF]]*chronic_consumption!$M279/1000/$C$3)</f>
        <v>#DIV/0!</v>
      </c>
      <c r="S1479" s="1098" t="e">
        <f>IF($D$1212="",0,$D1479*Table3[[#This Row],[CF]]*chronic_consumption!$N279/1000/$C$3)</f>
        <v>#DIV/0!</v>
      </c>
      <c r="T1479" s="1098" t="e">
        <f>IF($D$1212="",0,$D1479*Table3[[#This Row],[CF]]*chronic_consumption!$O279/1000/$C$3)</f>
        <v>#DIV/0!</v>
      </c>
      <c r="U1479" s="1098" t="e">
        <f>IF($D$1212="",0,$D1479*Table3[[#This Row],[CF]]*chronic_consumption!$P279/1000/$C$3)</f>
        <v>#DIV/0!</v>
      </c>
      <c r="V1479" s="1098" t="e">
        <f>IF($D$1212="",0,$D1479*Table3[[#This Row],[CF]]*chronic_consumption!$Q279/1000/$C$3)</f>
        <v>#DIV/0!</v>
      </c>
      <c r="W1479" s="1098" t="e">
        <f>IF($D$1212="",0,$D1479*Table3[[#This Row],[CF]]*chronic_consumption!$R279/1000/$C$3)</f>
        <v>#DIV/0!</v>
      </c>
      <c r="X1479" s="1098" t="e">
        <f>IF($D$1212="",0,$D1479*Table3[[#This Row],[CF]]*chronic_consumption!$S279/1000/$C$3)</f>
        <v>#DIV/0!</v>
      </c>
      <c r="Y1479" s="1098" t="e">
        <f>IF($D$1212="",0,$D1479*Table3[[#This Row],[CF]]*chronic_consumption!$T279/1000/$C$3)</f>
        <v>#DIV/0!</v>
      </c>
      <c r="Z1479" s="1098" t="e">
        <f>IF($D$1212="",0,$D1479*Table3[[#This Row],[CF]]*chronic_consumption!$U279/1000/$C$3)</f>
        <v>#DIV/0!</v>
      </c>
      <c r="AA1479" s="1098" t="e">
        <f>IF($D$1212="",0,$D1479*Table3[[#This Row],[CF]]*chronic_consumption!$V279/1000/$C$3)</f>
        <v>#DIV/0!</v>
      </c>
      <c r="AB1479" s="1098" t="e">
        <f>IF($D$1212="",0,$D1479*Table3[[#This Row],[CF]]*chronic_consumption!$W279/1000/$C$3)</f>
        <v>#DIV/0!</v>
      </c>
      <c r="AC1479" s="1098" t="e">
        <f>IF($D$1212="",0,$D1479*Table3[[#This Row],[CF]]*chronic_consumption!$X279/1000/$C$3)</f>
        <v>#DIV/0!</v>
      </c>
      <c r="AD1479" s="1098" t="e">
        <f>IF($D$1212="",0,$D1479*Table3[[#This Row],[CF]]*chronic_consumption!$Y279/1000/$C$3)</f>
        <v>#DIV/0!</v>
      </c>
      <c r="AE1479" s="1098" t="e">
        <f>IF($D$1212="",0,$D1479*Table3[[#This Row],[CF]]*chronic_consumption!$Z279/1000/$C$3)</f>
        <v>#DIV/0!</v>
      </c>
      <c r="AF1479" s="1098" t="e">
        <f>IF($D$1212="",0,$D1479*Table3[[#This Row],[CF]]*chronic_consumption!$AA279/1000/$C$3)</f>
        <v>#DIV/0!</v>
      </c>
      <c r="AG1479" s="1098" t="e">
        <f>IF($D$1212="",0,$D1479*Table3[[#This Row],[CF]]*chronic_consumption!$AB279/1000/$C$3)</f>
        <v>#DIV/0!</v>
      </c>
      <c r="AH1479" s="1098" t="e">
        <f>IF($D$1212="",0,$D1479*Table3[[#This Row],[CF]]*chronic_consumption!$AC279/1000/$C$3)</f>
        <v>#DIV/0!</v>
      </c>
      <c r="AI1479" s="1098" t="e">
        <f>IF($D$1212="",0,$D1479*Table3[[#This Row],[CF]]*chronic_consumption!$AD279/1000/$C$3)</f>
        <v>#DIV/0!</v>
      </c>
      <c r="AJ1479" s="1098" t="e">
        <f>IF($D$1212="",0,$D1479*Table3[[#This Row],[CF]]*chronic_consumption!$AE279/1000/$C$3)</f>
        <v>#DIV/0!</v>
      </c>
      <c r="AK1479" s="1098" t="e">
        <f>IF($D$1212="",0,$D1479*Table3[[#This Row],[CF]]*chronic_consumption!$AF279/1000/$C$3)</f>
        <v>#DIV/0!</v>
      </c>
      <c r="AL1479" s="1098" t="e">
        <f>IF($D$1212="",0,$D1479*Table3[[#This Row],[CF]]*chronic_consumption!$AG279/1000/$C$3)</f>
        <v>#DIV/0!</v>
      </c>
      <c r="AM1479" s="1098" t="e">
        <f>IF($D$1212="",0,$D1479*Table3[[#This Row],[CF]]*chronic_consumption!$AH279/1000/$C$3)</f>
        <v>#DIV/0!</v>
      </c>
      <c r="AN1479" s="1098" t="e">
        <f>IF($D$1212="",0,$D1479*Table3[[#This Row],[CF]]*chronic_consumption!$AI279/1000/$C$3)</f>
        <v>#DIV/0!</v>
      </c>
      <c r="AO1479" s="1098" t="e">
        <f>IF($D$1212="",0,$D1479*Table3[[#This Row],[CF]]*chronic_consumption!$AJ279/1000/$C$3)</f>
        <v>#DIV/0!</v>
      </c>
      <c r="AP1479" s="1098" t="e">
        <f>IF($D$1212="",0,$D1479*Table3[[#This Row],[CF]]*chronic_consumption!$AK279/1000/$C$3)</f>
        <v>#DIV/0!</v>
      </c>
      <c r="AQ1479" s="1098" t="e">
        <f>IF($D$1212="",0,$D1479*Table3[[#This Row],[CF]]*chronic_consumption!$AL279/1000/$C$3)</f>
        <v>#DIV/0!</v>
      </c>
      <c r="AR1479" s="1098" t="e">
        <f>IF($D$1212="",0,$D1479*Table3[[#This Row],[CF]]*chronic_consumption!$AM279/1000/$C$3)</f>
        <v>#DIV/0!</v>
      </c>
      <c r="AS1479" s="1098" t="e">
        <f>IF($D$1212="",0,$D1479*Table3[[#This Row],[CF]]*chronic_consumption!$AN279/1000/$C$3)</f>
        <v>#DIV/0!</v>
      </c>
      <c r="AT1479" s="1098" t="e">
        <f>IF($D$1212="",0,$D1479*Table3[[#This Row],[CF]]*chronic_consumption!$AO279/1000/$C$3)</f>
        <v>#DIV/0!</v>
      </c>
      <c r="AU1479" s="1099" t="e">
        <f t="shared" si="879"/>
        <v>#DIV/0!</v>
      </c>
      <c r="AV1479" s="1099" t="e">
        <f t="shared" si="879"/>
        <v>#DIV/0!</v>
      </c>
      <c r="AW1479" s="1099" t="e">
        <f t="shared" si="879"/>
        <v>#DIV/0!</v>
      </c>
      <c r="AX1479" s="1099" t="e">
        <f t="shared" si="879"/>
        <v>#DIV/0!</v>
      </c>
      <c r="AY1479" s="1099" t="e">
        <f t="shared" si="879"/>
        <v>#DIV/0!</v>
      </c>
      <c r="AZ1479" s="1091" t="s">
        <v>1012</v>
      </c>
      <c r="BA1479" s="1097" t="e">
        <f>IF(Table3[[#This Row],[max]]&lt;&gt;0,RANK(Table3[[#This Row],[max]],Table3[max],0),"")</f>
        <v>#DIV/0!</v>
      </c>
      <c r="BB1479" s="1096" t="e">
        <f t="shared" si="876"/>
        <v>#DIV/0!</v>
      </c>
      <c r="BC1479" s="1096" t="e">
        <f t="shared" ca="1" si="877"/>
        <v>#DIV/0!</v>
      </c>
      <c r="BD1479" s="1096" t="e">
        <f>IF(Table3[[#This Row],[max]]&gt;0,Table3[[#This Row],[Crop groups and examples of individual products within the groups to which the MRLs apply]],"")</f>
        <v>#DIV/0!</v>
      </c>
    </row>
    <row r="1480" spans="2:56" x14ac:dyDescent="0.2">
      <c r="B1480" s="23">
        <f t="shared" si="878"/>
        <v>810020</v>
      </c>
      <c r="C1480" s="23" t="str">
        <f t="shared" si="878"/>
        <v>Black caraway/black cumin</v>
      </c>
      <c r="D1480" s="1084">
        <f>input_values!E280</f>
        <v>0</v>
      </c>
      <c r="E1480" s="1084">
        <f>input_values!F280</f>
        <v>0</v>
      </c>
      <c r="F1480" s="1085">
        <f>input_values!W280</f>
        <v>1</v>
      </c>
      <c r="G1480" s="1085" t="str">
        <f>IF(Table3[[#This Row],[CF]]&gt;0,CONCATENATE(IF(Table3[[#This Row],[LOQ]]="*","LOQ","MRL"),IF(input_values!G280&gt;0,"×CFrisk","")),"")</f>
        <v>MRL</v>
      </c>
      <c r="H1480" s="1087">
        <f>input_values!L280</f>
        <v>0</v>
      </c>
      <c r="I1480" s="1088">
        <f>input_values!D280</f>
        <v>0</v>
      </c>
      <c r="J1480" s="1098" t="e">
        <f>IF($D$1212="",0,$D1480*Table3[[#This Row],[CF]]*chronic_consumption!$E280/1000/$C$3)</f>
        <v>#DIV/0!</v>
      </c>
      <c r="K1480" s="1098" t="e">
        <f>IF($D$1212="",0,$D1480*Table3[[#This Row],[CF]]*chronic_consumption!$F280/1000/$C$3)</f>
        <v>#DIV/0!</v>
      </c>
      <c r="L1480" s="1098" t="e">
        <f>IF($D$1212="",0,$D1480*Table3[[#This Row],[CF]]*chronic_consumption!$G280/1000/$C$3)</f>
        <v>#DIV/0!</v>
      </c>
      <c r="M1480" s="1098" t="e">
        <f>IF($D$1212="",0,$D1480*Table3[[#This Row],[CF]]*chronic_consumption!$H280/1000/$C$3)</f>
        <v>#DIV/0!</v>
      </c>
      <c r="N1480" s="1098" t="e">
        <f>IF($D$1212="",0,$D1480*Table3[[#This Row],[CF]]*chronic_consumption!$I280/1000/$C$3)</f>
        <v>#DIV/0!</v>
      </c>
      <c r="O1480" s="1098" t="e">
        <f>IF($D$1212="",0,$D1480*Table3[[#This Row],[CF]]*chronic_consumption!$J280/1000/$C$3)</f>
        <v>#DIV/0!</v>
      </c>
      <c r="P1480" s="1098" t="e">
        <f>IF($D$1212="",0,$D1480*Table3[[#This Row],[CF]]*chronic_consumption!$K280/1000/$C$3)</f>
        <v>#DIV/0!</v>
      </c>
      <c r="Q1480" s="1098" t="e">
        <f>IF($D$1212="",0,$D1480*Table3[[#This Row],[CF]]*chronic_consumption!$L280/1000/$C$3)</f>
        <v>#DIV/0!</v>
      </c>
      <c r="R1480" s="1098" t="e">
        <f>IF($D$1212="",0,$D1480*Table3[[#This Row],[CF]]*chronic_consumption!$M280/1000/$C$3)</f>
        <v>#DIV/0!</v>
      </c>
      <c r="S1480" s="1098" t="e">
        <f>IF($D$1212="",0,$D1480*Table3[[#This Row],[CF]]*chronic_consumption!$N280/1000/$C$3)</f>
        <v>#DIV/0!</v>
      </c>
      <c r="T1480" s="1098" t="e">
        <f>IF($D$1212="",0,$D1480*Table3[[#This Row],[CF]]*chronic_consumption!$O280/1000/$C$3)</f>
        <v>#DIV/0!</v>
      </c>
      <c r="U1480" s="1098" t="e">
        <f>IF($D$1212="",0,$D1480*Table3[[#This Row],[CF]]*chronic_consumption!$P280/1000/$C$3)</f>
        <v>#DIV/0!</v>
      </c>
      <c r="V1480" s="1098" t="e">
        <f>IF($D$1212="",0,$D1480*Table3[[#This Row],[CF]]*chronic_consumption!$Q280/1000/$C$3)</f>
        <v>#DIV/0!</v>
      </c>
      <c r="W1480" s="1098" t="e">
        <f>IF($D$1212="",0,$D1480*Table3[[#This Row],[CF]]*chronic_consumption!$R280/1000/$C$3)</f>
        <v>#DIV/0!</v>
      </c>
      <c r="X1480" s="1098" t="e">
        <f>IF($D$1212="",0,$D1480*Table3[[#This Row],[CF]]*chronic_consumption!$S280/1000/$C$3)</f>
        <v>#DIV/0!</v>
      </c>
      <c r="Y1480" s="1098" t="e">
        <f>IF($D$1212="",0,$D1480*Table3[[#This Row],[CF]]*chronic_consumption!$T280/1000/$C$3)</f>
        <v>#DIV/0!</v>
      </c>
      <c r="Z1480" s="1098" t="e">
        <f>IF($D$1212="",0,$D1480*Table3[[#This Row],[CF]]*chronic_consumption!$U280/1000/$C$3)</f>
        <v>#DIV/0!</v>
      </c>
      <c r="AA1480" s="1098" t="e">
        <f>IF($D$1212="",0,$D1480*Table3[[#This Row],[CF]]*chronic_consumption!$V280/1000/$C$3)</f>
        <v>#DIV/0!</v>
      </c>
      <c r="AB1480" s="1098" t="e">
        <f>IF($D$1212="",0,$D1480*Table3[[#This Row],[CF]]*chronic_consumption!$W280/1000/$C$3)</f>
        <v>#DIV/0!</v>
      </c>
      <c r="AC1480" s="1098" t="e">
        <f>IF($D$1212="",0,$D1480*Table3[[#This Row],[CF]]*chronic_consumption!$X280/1000/$C$3)</f>
        <v>#DIV/0!</v>
      </c>
      <c r="AD1480" s="1098" t="e">
        <f>IF($D$1212="",0,$D1480*Table3[[#This Row],[CF]]*chronic_consumption!$Y280/1000/$C$3)</f>
        <v>#DIV/0!</v>
      </c>
      <c r="AE1480" s="1098" t="e">
        <f>IF($D$1212="",0,$D1480*Table3[[#This Row],[CF]]*chronic_consumption!$Z280/1000/$C$3)</f>
        <v>#DIV/0!</v>
      </c>
      <c r="AF1480" s="1098" t="e">
        <f>IF($D$1212="",0,$D1480*Table3[[#This Row],[CF]]*chronic_consumption!$AA280/1000/$C$3)</f>
        <v>#DIV/0!</v>
      </c>
      <c r="AG1480" s="1098" t="e">
        <f>IF($D$1212="",0,$D1480*Table3[[#This Row],[CF]]*chronic_consumption!$AB280/1000/$C$3)</f>
        <v>#DIV/0!</v>
      </c>
      <c r="AH1480" s="1098" t="e">
        <f>IF($D$1212="",0,$D1480*Table3[[#This Row],[CF]]*chronic_consumption!$AC280/1000/$C$3)</f>
        <v>#DIV/0!</v>
      </c>
      <c r="AI1480" s="1098" t="e">
        <f>IF($D$1212="",0,$D1480*Table3[[#This Row],[CF]]*chronic_consumption!$AD280/1000/$C$3)</f>
        <v>#DIV/0!</v>
      </c>
      <c r="AJ1480" s="1098" t="e">
        <f>IF($D$1212="",0,$D1480*Table3[[#This Row],[CF]]*chronic_consumption!$AE280/1000/$C$3)</f>
        <v>#DIV/0!</v>
      </c>
      <c r="AK1480" s="1098" t="e">
        <f>IF($D$1212="",0,$D1480*Table3[[#This Row],[CF]]*chronic_consumption!$AF280/1000/$C$3)</f>
        <v>#DIV/0!</v>
      </c>
      <c r="AL1480" s="1098" t="e">
        <f>IF($D$1212="",0,$D1480*Table3[[#This Row],[CF]]*chronic_consumption!$AG280/1000/$C$3)</f>
        <v>#DIV/0!</v>
      </c>
      <c r="AM1480" s="1098" t="e">
        <f>IF($D$1212="",0,$D1480*Table3[[#This Row],[CF]]*chronic_consumption!$AH280/1000/$C$3)</f>
        <v>#DIV/0!</v>
      </c>
      <c r="AN1480" s="1098" t="e">
        <f>IF($D$1212="",0,$D1480*Table3[[#This Row],[CF]]*chronic_consumption!$AI280/1000/$C$3)</f>
        <v>#DIV/0!</v>
      </c>
      <c r="AO1480" s="1098" t="e">
        <f>IF($D$1212="",0,$D1480*Table3[[#This Row],[CF]]*chronic_consumption!$AJ280/1000/$C$3)</f>
        <v>#DIV/0!</v>
      </c>
      <c r="AP1480" s="1098" t="e">
        <f>IF($D$1212="",0,$D1480*Table3[[#This Row],[CF]]*chronic_consumption!$AK280/1000/$C$3)</f>
        <v>#DIV/0!</v>
      </c>
      <c r="AQ1480" s="1098" t="e">
        <f>IF($D$1212="",0,$D1480*Table3[[#This Row],[CF]]*chronic_consumption!$AL280/1000/$C$3)</f>
        <v>#DIV/0!</v>
      </c>
      <c r="AR1480" s="1098" t="e">
        <f>IF($D$1212="",0,$D1480*Table3[[#This Row],[CF]]*chronic_consumption!$AM280/1000/$C$3)</f>
        <v>#DIV/0!</v>
      </c>
      <c r="AS1480" s="1098" t="e">
        <f>IF($D$1212="",0,$D1480*Table3[[#This Row],[CF]]*chronic_consumption!$AN280/1000/$C$3)</f>
        <v>#DIV/0!</v>
      </c>
      <c r="AT1480" s="1098" t="e">
        <f>IF($D$1212="",0,$D1480*Table3[[#This Row],[CF]]*chronic_consumption!$AO280/1000/$C$3)</f>
        <v>#DIV/0!</v>
      </c>
      <c r="AU1480" s="1099" t="e">
        <f t="shared" si="879"/>
        <v>#DIV/0!</v>
      </c>
      <c r="AV1480" s="1099" t="e">
        <f t="shared" si="879"/>
        <v>#DIV/0!</v>
      </c>
      <c r="AW1480" s="1099" t="e">
        <f t="shared" si="879"/>
        <v>#DIV/0!</v>
      </c>
      <c r="AX1480" s="1099" t="e">
        <f t="shared" si="879"/>
        <v>#DIV/0!</v>
      </c>
      <c r="AY1480" s="1099" t="e">
        <f t="shared" si="879"/>
        <v>#DIV/0!</v>
      </c>
      <c r="AZ1480" s="1091" t="s">
        <v>1012</v>
      </c>
      <c r="BA1480" s="1097" t="e">
        <f>IF(Table3[[#This Row],[max]]&lt;&gt;0,RANK(Table3[[#This Row],[max]],Table3[max],0),"")</f>
        <v>#DIV/0!</v>
      </c>
      <c r="BB1480" s="1096" t="e">
        <f t="shared" si="876"/>
        <v>#DIV/0!</v>
      </c>
      <c r="BC1480" s="1096" t="e">
        <f t="shared" ca="1" si="877"/>
        <v>#DIV/0!</v>
      </c>
      <c r="BD1480" s="1096" t="e">
        <f>IF(Table3[[#This Row],[max]]&gt;0,Table3[[#This Row],[Crop groups and examples of individual products within the groups to which the MRLs apply]],"")</f>
        <v>#DIV/0!</v>
      </c>
    </row>
    <row r="1481" spans="2:56" x14ac:dyDescent="0.2">
      <c r="B1481" s="23">
        <f t="shared" si="878"/>
        <v>810030</v>
      </c>
      <c r="C1481" s="23" t="str">
        <f t="shared" si="878"/>
        <v>Celery seed</v>
      </c>
      <c r="D1481" s="1084">
        <f>input_values!E281</f>
        <v>0</v>
      </c>
      <c r="E1481" s="1084">
        <f>input_values!F281</f>
        <v>0</v>
      </c>
      <c r="F1481" s="1085">
        <f>input_values!W281</f>
        <v>1</v>
      </c>
      <c r="G1481" s="1085" t="str">
        <f>IF(Table3[[#This Row],[CF]]&gt;0,CONCATENATE(IF(Table3[[#This Row],[LOQ]]="*","LOQ","MRL"),IF(input_values!G281&gt;0,"×CFrisk","")),"")</f>
        <v>MRL</v>
      </c>
      <c r="H1481" s="1087">
        <f>input_values!L281</f>
        <v>0</v>
      </c>
      <c r="I1481" s="1088">
        <f>input_values!D281</f>
        <v>0</v>
      </c>
      <c r="J1481" s="1098" t="e">
        <f>IF($D$1212="",0,$D1481*Table3[[#This Row],[CF]]*chronic_consumption!$E281/1000/$C$3)</f>
        <v>#DIV/0!</v>
      </c>
      <c r="K1481" s="1098" t="e">
        <f>IF($D$1212="",0,$D1481*Table3[[#This Row],[CF]]*chronic_consumption!$F281/1000/$C$3)</f>
        <v>#DIV/0!</v>
      </c>
      <c r="L1481" s="1098" t="e">
        <f>IF($D$1212="",0,$D1481*Table3[[#This Row],[CF]]*chronic_consumption!$G281/1000/$C$3)</f>
        <v>#DIV/0!</v>
      </c>
      <c r="M1481" s="1098" t="e">
        <f>IF($D$1212="",0,$D1481*Table3[[#This Row],[CF]]*chronic_consumption!$H281/1000/$C$3)</f>
        <v>#DIV/0!</v>
      </c>
      <c r="N1481" s="1098" t="e">
        <f>IF($D$1212="",0,$D1481*Table3[[#This Row],[CF]]*chronic_consumption!$I281/1000/$C$3)</f>
        <v>#DIV/0!</v>
      </c>
      <c r="O1481" s="1098" t="e">
        <f>IF($D$1212="",0,$D1481*Table3[[#This Row],[CF]]*chronic_consumption!$J281/1000/$C$3)</f>
        <v>#DIV/0!</v>
      </c>
      <c r="P1481" s="1098" t="e">
        <f>IF($D$1212="",0,$D1481*Table3[[#This Row],[CF]]*chronic_consumption!$K281/1000/$C$3)</f>
        <v>#DIV/0!</v>
      </c>
      <c r="Q1481" s="1098" t="e">
        <f>IF($D$1212="",0,$D1481*Table3[[#This Row],[CF]]*chronic_consumption!$L281/1000/$C$3)</f>
        <v>#DIV/0!</v>
      </c>
      <c r="R1481" s="1098" t="e">
        <f>IF($D$1212="",0,$D1481*Table3[[#This Row],[CF]]*chronic_consumption!$M281/1000/$C$3)</f>
        <v>#DIV/0!</v>
      </c>
      <c r="S1481" s="1098" t="e">
        <f>IF($D$1212="",0,$D1481*Table3[[#This Row],[CF]]*chronic_consumption!$N281/1000/$C$3)</f>
        <v>#DIV/0!</v>
      </c>
      <c r="T1481" s="1098" t="e">
        <f>IF($D$1212="",0,$D1481*Table3[[#This Row],[CF]]*chronic_consumption!$O281/1000/$C$3)</f>
        <v>#DIV/0!</v>
      </c>
      <c r="U1481" s="1098" t="e">
        <f>IF($D$1212="",0,$D1481*Table3[[#This Row],[CF]]*chronic_consumption!$P281/1000/$C$3)</f>
        <v>#DIV/0!</v>
      </c>
      <c r="V1481" s="1098" t="e">
        <f>IF($D$1212="",0,$D1481*Table3[[#This Row],[CF]]*chronic_consumption!$Q281/1000/$C$3)</f>
        <v>#DIV/0!</v>
      </c>
      <c r="W1481" s="1098" t="e">
        <f>IF($D$1212="",0,$D1481*Table3[[#This Row],[CF]]*chronic_consumption!$R281/1000/$C$3)</f>
        <v>#DIV/0!</v>
      </c>
      <c r="X1481" s="1098" t="e">
        <f>IF($D$1212="",0,$D1481*Table3[[#This Row],[CF]]*chronic_consumption!$S281/1000/$C$3)</f>
        <v>#DIV/0!</v>
      </c>
      <c r="Y1481" s="1098" t="e">
        <f>IF($D$1212="",0,$D1481*Table3[[#This Row],[CF]]*chronic_consumption!$T281/1000/$C$3)</f>
        <v>#DIV/0!</v>
      </c>
      <c r="Z1481" s="1098" t="e">
        <f>IF($D$1212="",0,$D1481*Table3[[#This Row],[CF]]*chronic_consumption!$U281/1000/$C$3)</f>
        <v>#DIV/0!</v>
      </c>
      <c r="AA1481" s="1098" t="e">
        <f>IF($D$1212="",0,$D1481*Table3[[#This Row],[CF]]*chronic_consumption!$V281/1000/$C$3)</f>
        <v>#DIV/0!</v>
      </c>
      <c r="AB1481" s="1098" t="e">
        <f>IF($D$1212="",0,$D1481*Table3[[#This Row],[CF]]*chronic_consumption!$W281/1000/$C$3)</f>
        <v>#DIV/0!</v>
      </c>
      <c r="AC1481" s="1098" t="e">
        <f>IF($D$1212="",0,$D1481*Table3[[#This Row],[CF]]*chronic_consumption!$X281/1000/$C$3)</f>
        <v>#DIV/0!</v>
      </c>
      <c r="AD1481" s="1098" t="e">
        <f>IF($D$1212="",0,$D1481*Table3[[#This Row],[CF]]*chronic_consumption!$Y281/1000/$C$3)</f>
        <v>#DIV/0!</v>
      </c>
      <c r="AE1481" s="1098" t="e">
        <f>IF($D$1212="",0,$D1481*Table3[[#This Row],[CF]]*chronic_consumption!$Z281/1000/$C$3)</f>
        <v>#DIV/0!</v>
      </c>
      <c r="AF1481" s="1098" t="e">
        <f>IF($D$1212="",0,$D1481*Table3[[#This Row],[CF]]*chronic_consumption!$AA281/1000/$C$3)</f>
        <v>#DIV/0!</v>
      </c>
      <c r="AG1481" s="1098" t="e">
        <f>IF($D$1212="",0,$D1481*Table3[[#This Row],[CF]]*chronic_consumption!$AB281/1000/$C$3)</f>
        <v>#DIV/0!</v>
      </c>
      <c r="AH1481" s="1098" t="e">
        <f>IF($D$1212="",0,$D1481*Table3[[#This Row],[CF]]*chronic_consumption!$AC281/1000/$C$3)</f>
        <v>#DIV/0!</v>
      </c>
      <c r="AI1481" s="1098" t="e">
        <f>IF($D$1212="",0,$D1481*Table3[[#This Row],[CF]]*chronic_consumption!$AD281/1000/$C$3)</f>
        <v>#DIV/0!</v>
      </c>
      <c r="AJ1481" s="1098" t="e">
        <f>IF($D$1212="",0,$D1481*Table3[[#This Row],[CF]]*chronic_consumption!$AE281/1000/$C$3)</f>
        <v>#DIV/0!</v>
      </c>
      <c r="AK1481" s="1098" t="e">
        <f>IF($D$1212="",0,$D1481*Table3[[#This Row],[CF]]*chronic_consumption!$AF281/1000/$C$3)</f>
        <v>#DIV/0!</v>
      </c>
      <c r="AL1481" s="1098" t="e">
        <f>IF($D$1212="",0,$D1481*Table3[[#This Row],[CF]]*chronic_consumption!$AG281/1000/$C$3)</f>
        <v>#DIV/0!</v>
      </c>
      <c r="AM1481" s="1098" t="e">
        <f>IF($D$1212="",0,$D1481*Table3[[#This Row],[CF]]*chronic_consumption!$AH281/1000/$C$3)</f>
        <v>#DIV/0!</v>
      </c>
      <c r="AN1481" s="1098" t="e">
        <f>IF($D$1212="",0,$D1481*Table3[[#This Row],[CF]]*chronic_consumption!$AI281/1000/$C$3)</f>
        <v>#DIV/0!</v>
      </c>
      <c r="AO1481" s="1098" t="e">
        <f>IF($D$1212="",0,$D1481*Table3[[#This Row],[CF]]*chronic_consumption!$AJ281/1000/$C$3)</f>
        <v>#DIV/0!</v>
      </c>
      <c r="AP1481" s="1098" t="e">
        <f>IF($D$1212="",0,$D1481*Table3[[#This Row],[CF]]*chronic_consumption!$AK281/1000/$C$3)</f>
        <v>#DIV/0!</v>
      </c>
      <c r="AQ1481" s="1098" t="e">
        <f>IF($D$1212="",0,$D1481*Table3[[#This Row],[CF]]*chronic_consumption!$AL281/1000/$C$3)</f>
        <v>#DIV/0!</v>
      </c>
      <c r="AR1481" s="1098" t="e">
        <f>IF($D$1212="",0,$D1481*Table3[[#This Row],[CF]]*chronic_consumption!$AM281/1000/$C$3)</f>
        <v>#DIV/0!</v>
      </c>
      <c r="AS1481" s="1098" t="e">
        <f>IF($D$1212="",0,$D1481*Table3[[#This Row],[CF]]*chronic_consumption!$AN281/1000/$C$3)</f>
        <v>#DIV/0!</v>
      </c>
      <c r="AT1481" s="1098" t="e">
        <f>IF($D$1212="",0,$D1481*Table3[[#This Row],[CF]]*chronic_consumption!$AO281/1000/$C$3)</f>
        <v>#DIV/0!</v>
      </c>
      <c r="AU1481" s="1099" t="e">
        <f t="shared" si="879"/>
        <v>#DIV/0!</v>
      </c>
      <c r="AV1481" s="1099" t="e">
        <f t="shared" si="879"/>
        <v>#DIV/0!</v>
      </c>
      <c r="AW1481" s="1099" t="e">
        <f t="shared" si="879"/>
        <v>#DIV/0!</v>
      </c>
      <c r="AX1481" s="1099" t="e">
        <f t="shared" si="879"/>
        <v>#DIV/0!</v>
      </c>
      <c r="AY1481" s="1099" t="e">
        <f t="shared" si="879"/>
        <v>#DIV/0!</v>
      </c>
      <c r="AZ1481" s="1091" t="s">
        <v>1012</v>
      </c>
      <c r="BA1481" s="1097" t="e">
        <f>IF(Table3[[#This Row],[max]]&lt;&gt;0,RANK(Table3[[#This Row],[max]],Table3[max],0),"")</f>
        <v>#DIV/0!</v>
      </c>
      <c r="BB1481" s="1096" t="e">
        <f t="shared" si="876"/>
        <v>#DIV/0!</v>
      </c>
      <c r="BC1481" s="1096" t="e">
        <f t="shared" ca="1" si="877"/>
        <v>#DIV/0!</v>
      </c>
      <c r="BD1481" s="1096" t="e">
        <f>IF(Table3[[#This Row],[max]]&gt;0,Table3[[#This Row],[Crop groups and examples of individual products within the groups to which the MRLs apply]],"")</f>
        <v>#DIV/0!</v>
      </c>
    </row>
    <row r="1482" spans="2:56" x14ac:dyDescent="0.2">
      <c r="B1482" s="23">
        <f t="shared" si="878"/>
        <v>810040</v>
      </c>
      <c r="C1482" s="23" t="str">
        <f t="shared" si="878"/>
        <v>Coriander seed</v>
      </c>
      <c r="D1482" s="1084">
        <f>input_values!E282</f>
        <v>0</v>
      </c>
      <c r="E1482" s="1084">
        <f>input_values!F282</f>
        <v>0</v>
      </c>
      <c r="F1482" s="1085">
        <f>input_values!W282</f>
        <v>1</v>
      </c>
      <c r="G1482" s="1085" t="str">
        <f>IF(Table3[[#This Row],[CF]]&gt;0,CONCATENATE(IF(Table3[[#This Row],[LOQ]]="*","LOQ","MRL"),IF(input_values!G282&gt;0,"×CFrisk","")),"")</f>
        <v>MRL</v>
      </c>
      <c r="H1482" s="1087">
        <f>input_values!L282</f>
        <v>0</v>
      </c>
      <c r="I1482" s="1088">
        <f>input_values!D282</f>
        <v>0</v>
      </c>
      <c r="J1482" s="1098" t="e">
        <f>IF($D$1212="",0,$D1482*Table3[[#This Row],[CF]]*chronic_consumption!$E282/1000/$C$3)</f>
        <v>#DIV/0!</v>
      </c>
      <c r="K1482" s="1098" t="e">
        <f>IF($D$1212="",0,$D1482*Table3[[#This Row],[CF]]*chronic_consumption!$F282/1000/$C$3)</f>
        <v>#DIV/0!</v>
      </c>
      <c r="L1482" s="1098" t="e">
        <f>IF($D$1212="",0,$D1482*Table3[[#This Row],[CF]]*chronic_consumption!$G282/1000/$C$3)</f>
        <v>#DIV/0!</v>
      </c>
      <c r="M1482" s="1098" t="e">
        <f>IF($D$1212="",0,$D1482*Table3[[#This Row],[CF]]*chronic_consumption!$H282/1000/$C$3)</f>
        <v>#DIV/0!</v>
      </c>
      <c r="N1482" s="1098" t="e">
        <f>IF($D$1212="",0,$D1482*Table3[[#This Row],[CF]]*chronic_consumption!$I282/1000/$C$3)</f>
        <v>#DIV/0!</v>
      </c>
      <c r="O1482" s="1098" t="e">
        <f>IF($D$1212="",0,$D1482*Table3[[#This Row],[CF]]*chronic_consumption!$J282/1000/$C$3)</f>
        <v>#DIV/0!</v>
      </c>
      <c r="P1482" s="1098" t="e">
        <f>IF($D$1212="",0,$D1482*Table3[[#This Row],[CF]]*chronic_consumption!$K282/1000/$C$3)</f>
        <v>#DIV/0!</v>
      </c>
      <c r="Q1482" s="1098" t="e">
        <f>IF($D$1212="",0,$D1482*Table3[[#This Row],[CF]]*chronic_consumption!$L282/1000/$C$3)</f>
        <v>#DIV/0!</v>
      </c>
      <c r="R1482" s="1098" t="e">
        <f>IF($D$1212="",0,$D1482*Table3[[#This Row],[CF]]*chronic_consumption!$M282/1000/$C$3)</f>
        <v>#DIV/0!</v>
      </c>
      <c r="S1482" s="1098" t="e">
        <f>IF($D$1212="",0,$D1482*Table3[[#This Row],[CF]]*chronic_consumption!$N282/1000/$C$3)</f>
        <v>#DIV/0!</v>
      </c>
      <c r="T1482" s="1098" t="e">
        <f>IF($D$1212="",0,$D1482*Table3[[#This Row],[CF]]*chronic_consumption!$O282/1000/$C$3)</f>
        <v>#DIV/0!</v>
      </c>
      <c r="U1482" s="1098" t="e">
        <f>IF($D$1212="",0,$D1482*Table3[[#This Row],[CF]]*chronic_consumption!$P282/1000/$C$3)</f>
        <v>#DIV/0!</v>
      </c>
      <c r="V1482" s="1098" t="e">
        <f>IF($D$1212="",0,$D1482*Table3[[#This Row],[CF]]*chronic_consumption!$Q282/1000/$C$3)</f>
        <v>#DIV/0!</v>
      </c>
      <c r="W1482" s="1098" t="e">
        <f>IF($D$1212="",0,$D1482*Table3[[#This Row],[CF]]*chronic_consumption!$R282/1000/$C$3)</f>
        <v>#DIV/0!</v>
      </c>
      <c r="X1482" s="1098" t="e">
        <f>IF($D$1212="",0,$D1482*Table3[[#This Row],[CF]]*chronic_consumption!$S282/1000/$C$3)</f>
        <v>#DIV/0!</v>
      </c>
      <c r="Y1482" s="1098" t="e">
        <f>IF($D$1212="",0,$D1482*Table3[[#This Row],[CF]]*chronic_consumption!$T282/1000/$C$3)</f>
        <v>#DIV/0!</v>
      </c>
      <c r="Z1482" s="1098" t="e">
        <f>IF($D$1212="",0,$D1482*Table3[[#This Row],[CF]]*chronic_consumption!$U282/1000/$C$3)</f>
        <v>#DIV/0!</v>
      </c>
      <c r="AA1482" s="1098" t="e">
        <f>IF($D$1212="",0,$D1482*Table3[[#This Row],[CF]]*chronic_consumption!$V282/1000/$C$3)</f>
        <v>#DIV/0!</v>
      </c>
      <c r="AB1482" s="1098" t="e">
        <f>IF($D$1212="",0,$D1482*Table3[[#This Row],[CF]]*chronic_consumption!$W282/1000/$C$3)</f>
        <v>#DIV/0!</v>
      </c>
      <c r="AC1482" s="1098" t="e">
        <f>IF($D$1212="",0,$D1482*Table3[[#This Row],[CF]]*chronic_consumption!$X282/1000/$C$3)</f>
        <v>#DIV/0!</v>
      </c>
      <c r="AD1482" s="1098" t="e">
        <f>IF($D$1212="",0,$D1482*Table3[[#This Row],[CF]]*chronic_consumption!$Y282/1000/$C$3)</f>
        <v>#DIV/0!</v>
      </c>
      <c r="AE1482" s="1098" t="e">
        <f>IF($D$1212="",0,$D1482*Table3[[#This Row],[CF]]*chronic_consumption!$Z282/1000/$C$3)</f>
        <v>#DIV/0!</v>
      </c>
      <c r="AF1482" s="1098" t="e">
        <f>IF($D$1212="",0,$D1482*Table3[[#This Row],[CF]]*chronic_consumption!$AA282/1000/$C$3)</f>
        <v>#DIV/0!</v>
      </c>
      <c r="AG1482" s="1098" t="e">
        <f>IF($D$1212="",0,$D1482*Table3[[#This Row],[CF]]*chronic_consumption!$AB282/1000/$C$3)</f>
        <v>#DIV/0!</v>
      </c>
      <c r="AH1482" s="1098" t="e">
        <f>IF($D$1212="",0,$D1482*Table3[[#This Row],[CF]]*chronic_consumption!$AC282/1000/$C$3)</f>
        <v>#DIV/0!</v>
      </c>
      <c r="AI1482" s="1098" t="e">
        <f>IF($D$1212="",0,$D1482*Table3[[#This Row],[CF]]*chronic_consumption!$AD282/1000/$C$3)</f>
        <v>#DIV/0!</v>
      </c>
      <c r="AJ1482" s="1098" t="e">
        <f>IF($D$1212="",0,$D1482*Table3[[#This Row],[CF]]*chronic_consumption!$AE282/1000/$C$3)</f>
        <v>#DIV/0!</v>
      </c>
      <c r="AK1482" s="1098" t="e">
        <f>IF($D$1212="",0,$D1482*Table3[[#This Row],[CF]]*chronic_consumption!$AF282/1000/$C$3)</f>
        <v>#DIV/0!</v>
      </c>
      <c r="AL1482" s="1098" t="e">
        <f>IF($D$1212="",0,$D1482*Table3[[#This Row],[CF]]*chronic_consumption!$AG282/1000/$C$3)</f>
        <v>#DIV/0!</v>
      </c>
      <c r="AM1482" s="1098" t="e">
        <f>IF($D$1212="",0,$D1482*Table3[[#This Row],[CF]]*chronic_consumption!$AH282/1000/$C$3)</f>
        <v>#DIV/0!</v>
      </c>
      <c r="AN1482" s="1098" t="e">
        <f>IF($D$1212="",0,$D1482*Table3[[#This Row],[CF]]*chronic_consumption!$AI282/1000/$C$3)</f>
        <v>#DIV/0!</v>
      </c>
      <c r="AO1482" s="1098" t="e">
        <f>IF($D$1212="",0,$D1482*Table3[[#This Row],[CF]]*chronic_consumption!$AJ282/1000/$C$3)</f>
        <v>#DIV/0!</v>
      </c>
      <c r="AP1482" s="1098" t="e">
        <f>IF($D$1212="",0,$D1482*Table3[[#This Row],[CF]]*chronic_consumption!$AK282/1000/$C$3)</f>
        <v>#DIV/0!</v>
      </c>
      <c r="AQ1482" s="1098" t="e">
        <f>IF($D$1212="",0,$D1482*Table3[[#This Row],[CF]]*chronic_consumption!$AL282/1000/$C$3)</f>
        <v>#DIV/0!</v>
      </c>
      <c r="AR1482" s="1098" t="e">
        <f>IF($D$1212="",0,$D1482*Table3[[#This Row],[CF]]*chronic_consumption!$AM282/1000/$C$3)</f>
        <v>#DIV/0!</v>
      </c>
      <c r="AS1482" s="1098" t="e">
        <f>IF($D$1212="",0,$D1482*Table3[[#This Row],[CF]]*chronic_consumption!$AN282/1000/$C$3)</f>
        <v>#DIV/0!</v>
      </c>
      <c r="AT1482" s="1098" t="e">
        <f>IF($D$1212="",0,$D1482*Table3[[#This Row],[CF]]*chronic_consumption!$AO282/1000/$C$3)</f>
        <v>#DIV/0!</v>
      </c>
      <c r="AU1482" s="1099" t="e">
        <f t="shared" ref="AU1482:AY1491" si="880">IF(AU682="",0,IF(OR(1=RANK(AU1082,AU$412:AU$790,0),(2=RANK(AU1082,AU$412:AU$790,0))),AU1082,AU682))</f>
        <v>#DIV/0!</v>
      </c>
      <c r="AV1482" s="1099" t="e">
        <f t="shared" si="880"/>
        <v>#DIV/0!</v>
      </c>
      <c r="AW1482" s="1099" t="e">
        <f t="shared" si="880"/>
        <v>#DIV/0!</v>
      </c>
      <c r="AX1482" s="1099" t="e">
        <f t="shared" si="880"/>
        <v>#DIV/0!</v>
      </c>
      <c r="AY1482" s="1099" t="e">
        <f t="shared" si="880"/>
        <v>#DIV/0!</v>
      </c>
      <c r="AZ1482" s="1091" t="s">
        <v>1012</v>
      </c>
      <c r="BA1482" s="1097" t="e">
        <f>IF(Table3[[#This Row],[max]]&lt;&gt;0,RANK(Table3[[#This Row],[max]],Table3[max],0),"")</f>
        <v>#DIV/0!</v>
      </c>
      <c r="BB1482" s="1096" t="e">
        <f t="shared" si="876"/>
        <v>#DIV/0!</v>
      </c>
      <c r="BC1482" s="1096" t="e">
        <f t="shared" ca="1" si="877"/>
        <v>#DIV/0!</v>
      </c>
      <c r="BD1482" s="1096" t="e">
        <f>IF(Table3[[#This Row],[max]]&gt;0,Table3[[#This Row],[Crop groups and examples of individual products within the groups to which the MRLs apply]],"")</f>
        <v>#DIV/0!</v>
      </c>
    </row>
    <row r="1483" spans="2:56" x14ac:dyDescent="0.2">
      <c r="B1483" s="23">
        <f t="shared" si="878"/>
        <v>810050</v>
      </c>
      <c r="C1483" s="23" t="str">
        <f t="shared" si="878"/>
        <v>Cumin seed</v>
      </c>
      <c r="D1483" s="1084">
        <f>input_values!E283</f>
        <v>0</v>
      </c>
      <c r="E1483" s="1084">
        <f>input_values!F283</f>
        <v>0</v>
      </c>
      <c r="F1483" s="1085">
        <f>input_values!W283</f>
        <v>1</v>
      </c>
      <c r="G1483" s="1085" t="str">
        <f>IF(Table3[[#This Row],[CF]]&gt;0,CONCATENATE(IF(Table3[[#This Row],[LOQ]]="*","LOQ","MRL"),IF(input_values!G283&gt;0,"×CFrisk","")),"")</f>
        <v>MRL</v>
      </c>
      <c r="H1483" s="1087">
        <f>input_values!L283</f>
        <v>0</v>
      </c>
      <c r="I1483" s="1088">
        <f>input_values!D283</f>
        <v>0</v>
      </c>
      <c r="J1483" s="1098" t="e">
        <f>IF($D$1212="",0,$D1483*Table3[[#This Row],[CF]]*chronic_consumption!$E283/1000/$C$3)</f>
        <v>#DIV/0!</v>
      </c>
      <c r="K1483" s="1098" t="e">
        <f>IF($D$1212="",0,$D1483*Table3[[#This Row],[CF]]*chronic_consumption!$F283/1000/$C$3)</f>
        <v>#DIV/0!</v>
      </c>
      <c r="L1483" s="1098" t="e">
        <f>IF($D$1212="",0,$D1483*Table3[[#This Row],[CF]]*chronic_consumption!$G283/1000/$C$3)</f>
        <v>#DIV/0!</v>
      </c>
      <c r="M1483" s="1098" t="e">
        <f>IF($D$1212="",0,$D1483*Table3[[#This Row],[CF]]*chronic_consumption!$H283/1000/$C$3)</f>
        <v>#DIV/0!</v>
      </c>
      <c r="N1483" s="1098" t="e">
        <f>IF($D$1212="",0,$D1483*Table3[[#This Row],[CF]]*chronic_consumption!$I283/1000/$C$3)</f>
        <v>#DIV/0!</v>
      </c>
      <c r="O1483" s="1098" t="e">
        <f>IF($D$1212="",0,$D1483*Table3[[#This Row],[CF]]*chronic_consumption!$J283/1000/$C$3)</f>
        <v>#DIV/0!</v>
      </c>
      <c r="P1483" s="1098" t="e">
        <f>IF($D$1212="",0,$D1483*Table3[[#This Row],[CF]]*chronic_consumption!$K283/1000/$C$3)</f>
        <v>#DIV/0!</v>
      </c>
      <c r="Q1483" s="1098" t="e">
        <f>IF($D$1212="",0,$D1483*Table3[[#This Row],[CF]]*chronic_consumption!$L283/1000/$C$3)</f>
        <v>#DIV/0!</v>
      </c>
      <c r="R1483" s="1098" t="e">
        <f>IF($D$1212="",0,$D1483*Table3[[#This Row],[CF]]*chronic_consumption!$M283/1000/$C$3)</f>
        <v>#DIV/0!</v>
      </c>
      <c r="S1483" s="1098" t="e">
        <f>IF($D$1212="",0,$D1483*Table3[[#This Row],[CF]]*chronic_consumption!$N283/1000/$C$3)</f>
        <v>#DIV/0!</v>
      </c>
      <c r="T1483" s="1098" t="e">
        <f>IF($D$1212="",0,$D1483*Table3[[#This Row],[CF]]*chronic_consumption!$O283/1000/$C$3)</f>
        <v>#DIV/0!</v>
      </c>
      <c r="U1483" s="1098" t="e">
        <f>IF($D$1212="",0,$D1483*Table3[[#This Row],[CF]]*chronic_consumption!$P283/1000/$C$3)</f>
        <v>#DIV/0!</v>
      </c>
      <c r="V1483" s="1098" t="e">
        <f>IF($D$1212="",0,$D1483*Table3[[#This Row],[CF]]*chronic_consumption!$Q283/1000/$C$3)</f>
        <v>#DIV/0!</v>
      </c>
      <c r="W1483" s="1098" t="e">
        <f>IF($D$1212="",0,$D1483*Table3[[#This Row],[CF]]*chronic_consumption!$R283/1000/$C$3)</f>
        <v>#DIV/0!</v>
      </c>
      <c r="X1483" s="1098" t="e">
        <f>IF($D$1212="",0,$D1483*Table3[[#This Row],[CF]]*chronic_consumption!$S283/1000/$C$3)</f>
        <v>#DIV/0!</v>
      </c>
      <c r="Y1483" s="1098" t="e">
        <f>IF($D$1212="",0,$D1483*Table3[[#This Row],[CF]]*chronic_consumption!$T283/1000/$C$3)</f>
        <v>#DIV/0!</v>
      </c>
      <c r="Z1483" s="1098" t="e">
        <f>IF($D$1212="",0,$D1483*Table3[[#This Row],[CF]]*chronic_consumption!$U283/1000/$C$3)</f>
        <v>#DIV/0!</v>
      </c>
      <c r="AA1483" s="1098" t="e">
        <f>IF($D$1212="",0,$D1483*Table3[[#This Row],[CF]]*chronic_consumption!$V283/1000/$C$3)</f>
        <v>#DIV/0!</v>
      </c>
      <c r="AB1483" s="1098" t="e">
        <f>IF($D$1212="",0,$D1483*Table3[[#This Row],[CF]]*chronic_consumption!$W283/1000/$C$3)</f>
        <v>#DIV/0!</v>
      </c>
      <c r="AC1483" s="1098" t="e">
        <f>IF($D$1212="",0,$D1483*Table3[[#This Row],[CF]]*chronic_consumption!$X283/1000/$C$3)</f>
        <v>#DIV/0!</v>
      </c>
      <c r="AD1483" s="1098" t="e">
        <f>IF($D$1212="",0,$D1483*Table3[[#This Row],[CF]]*chronic_consumption!$Y283/1000/$C$3)</f>
        <v>#DIV/0!</v>
      </c>
      <c r="AE1483" s="1098" t="e">
        <f>IF($D$1212="",0,$D1483*Table3[[#This Row],[CF]]*chronic_consumption!$Z283/1000/$C$3)</f>
        <v>#DIV/0!</v>
      </c>
      <c r="AF1483" s="1098" t="e">
        <f>IF($D$1212="",0,$D1483*Table3[[#This Row],[CF]]*chronic_consumption!$AA283/1000/$C$3)</f>
        <v>#DIV/0!</v>
      </c>
      <c r="AG1483" s="1098" t="e">
        <f>IF($D$1212="",0,$D1483*Table3[[#This Row],[CF]]*chronic_consumption!$AB283/1000/$C$3)</f>
        <v>#DIV/0!</v>
      </c>
      <c r="AH1483" s="1098" t="e">
        <f>IF($D$1212="",0,$D1483*Table3[[#This Row],[CF]]*chronic_consumption!$AC283/1000/$C$3)</f>
        <v>#DIV/0!</v>
      </c>
      <c r="AI1483" s="1098" t="e">
        <f>IF($D$1212="",0,$D1483*Table3[[#This Row],[CF]]*chronic_consumption!$AD283/1000/$C$3)</f>
        <v>#DIV/0!</v>
      </c>
      <c r="AJ1483" s="1098" t="e">
        <f>IF($D$1212="",0,$D1483*Table3[[#This Row],[CF]]*chronic_consumption!$AE283/1000/$C$3)</f>
        <v>#DIV/0!</v>
      </c>
      <c r="AK1483" s="1098" t="e">
        <f>IF($D$1212="",0,$D1483*Table3[[#This Row],[CF]]*chronic_consumption!$AF283/1000/$C$3)</f>
        <v>#DIV/0!</v>
      </c>
      <c r="AL1483" s="1098" t="e">
        <f>IF($D$1212="",0,$D1483*Table3[[#This Row],[CF]]*chronic_consumption!$AG283/1000/$C$3)</f>
        <v>#DIV/0!</v>
      </c>
      <c r="AM1483" s="1098" t="e">
        <f>IF($D$1212="",0,$D1483*Table3[[#This Row],[CF]]*chronic_consumption!$AH283/1000/$C$3)</f>
        <v>#DIV/0!</v>
      </c>
      <c r="AN1483" s="1098" t="e">
        <f>IF($D$1212="",0,$D1483*Table3[[#This Row],[CF]]*chronic_consumption!$AI283/1000/$C$3)</f>
        <v>#DIV/0!</v>
      </c>
      <c r="AO1483" s="1098" t="e">
        <f>IF($D$1212="",0,$D1483*Table3[[#This Row],[CF]]*chronic_consumption!$AJ283/1000/$C$3)</f>
        <v>#DIV/0!</v>
      </c>
      <c r="AP1483" s="1098" t="e">
        <f>IF($D$1212="",0,$D1483*Table3[[#This Row],[CF]]*chronic_consumption!$AK283/1000/$C$3)</f>
        <v>#DIV/0!</v>
      </c>
      <c r="AQ1483" s="1098" t="e">
        <f>IF($D$1212="",0,$D1483*Table3[[#This Row],[CF]]*chronic_consumption!$AL283/1000/$C$3)</f>
        <v>#DIV/0!</v>
      </c>
      <c r="AR1483" s="1098" t="e">
        <f>IF($D$1212="",0,$D1483*Table3[[#This Row],[CF]]*chronic_consumption!$AM283/1000/$C$3)</f>
        <v>#DIV/0!</v>
      </c>
      <c r="AS1483" s="1098" t="e">
        <f>IF($D$1212="",0,$D1483*Table3[[#This Row],[CF]]*chronic_consumption!$AN283/1000/$C$3)</f>
        <v>#DIV/0!</v>
      </c>
      <c r="AT1483" s="1098" t="e">
        <f>IF($D$1212="",0,$D1483*Table3[[#This Row],[CF]]*chronic_consumption!$AO283/1000/$C$3)</f>
        <v>#DIV/0!</v>
      </c>
      <c r="AU1483" s="1099" t="e">
        <f t="shared" si="880"/>
        <v>#DIV/0!</v>
      </c>
      <c r="AV1483" s="1099" t="e">
        <f t="shared" si="880"/>
        <v>#DIV/0!</v>
      </c>
      <c r="AW1483" s="1099" t="e">
        <f t="shared" si="880"/>
        <v>#DIV/0!</v>
      </c>
      <c r="AX1483" s="1099" t="e">
        <f t="shared" si="880"/>
        <v>#DIV/0!</v>
      </c>
      <c r="AY1483" s="1099" t="e">
        <f t="shared" si="880"/>
        <v>#DIV/0!</v>
      </c>
      <c r="AZ1483" s="1091" t="s">
        <v>1012</v>
      </c>
      <c r="BA1483" s="1097" t="e">
        <f>IF(Table3[[#This Row],[max]]&lt;&gt;0,RANK(Table3[[#This Row],[max]],Table3[max],0),"")</f>
        <v>#DIV/0!</v>
      </c>
      <c r="BB1483" s="1096" t="e">
        <f t="shared" si="876"/>
        <v>#DIV/0!</v>
      </c>
      <c r="BC1483" s="1096" t="e">
        <f t="shared" ca="1" si="877"/>
        <v>#DIV/0!</v>
      </c>
      <c r="BD1483" s="1096" t="e">
        <f>IF(Table3[[#This Row],[max]]&gt;0,Table3[[#This Row],[Crop groups and examples of individual products within the groups to which the MRLs apply]],"")</f>
        <v>#DIV/0!</v>
      </c>
    </row>
    <row r="1484" spans="2:56" x14ac:dyDescent="0.2">
      <c r="B1484" s="23">
        <f t="shared" si="878"/>
        <v>810060</v>
      </c>
      <c r="C1484" s="23" t="str">
        <f t="shared" si="878"/>
        <v>Dill seed</v>
      </c>
      <c r="D1484" s="1084">
        <f>input_values!E284</f>
        <v>0</v>
      </c>
      <c r="E1484" s="1084">
        <f>input_values!F284</f>
        <v>0</v>
      </c>
      <c r="F1484" s="1085">
        <f>input_values!W284</f>
        <v>1</v>
      </c>
      <c r="G1484" s="1085" t="str">
        <f>IF(Table3[[#This Row],[CF]]&gt;0,CONCATENATE(IF(Table3[[#This Row],[LOQ]]="*","LOQ","MRL"),IF(input_values!G284&gt;0,"×CFrisk","")),"")</f>
        <v>MRL</v>
      </c>
      <c r="H1484" s="1087">
        <f>input_values!L284</f>
        <v>0</v>
      </c>
      <c r="I1484" s="1088">
        <f>input_values!D284</f>
        <v>0</v>
      </c>
      <c r="J1484" s="1098" t="e">
        <f>IF($D$1212="",0,$D1484*Table3[[#This Row],[CF]]*chronic_consumption!$E284/1000/$C$3)</f>
        <v>#DIV/0!</v>
      </c>
      <c r="K1484" s="1098" t="e">
        <f>IF($D$1212="",0,$D1484*Table3[[#This Row],[CF]]*chronic_consumption!$F284/1000/$C$3)</f>
        <v>#DIV/0!</v>
      </c>
      <c r="L1484" s="1098" t="e">
        <f>IF($D$1212="",0,$D1484*Table3[[#This Row],[CF]]*chronic_consumption!$G284/1000/$C$3)</f>
        <v>#DIV/0!</v>
      </c>
      <c r="M1484" s="1098" t="e">
        <f>IF($D$1212="",0,$D1484*Table3[[#This Row],[CF]]*chronic_consumption!$H284/1000/$C$3)</f>
        <v>#DIV/0!</v>
      </c>
      <c r="N1484" s="1098" t="e">
        <f>IF($D$1212="",0,$D1484*Table3[[#This Row],[CF]]*chronic_consumption!$I284/1000/$C$3)</f>
        <v>#DIV/0!</v>
      </c>
      <c r="O1484" s="1098" t="e">
        <f>IF($D$1212="",0,$D1484*Table3[[#This Row],[CF]]*chronic_consumption!$J284/1000/$C$3)</f>
        <v>#DIV/0!</v>
      </c>
      <c r="P1484" s="1098" t="e">
        <f>IF($D$1212="",0,$D1484*Table3[[#This Row],[CF]]*chronic_consumption!$K284/1000/$C$3)</f>
        <v>#DIV/0!</v>
      </c>
      <c r="Q1484" s="1098" t="e">
        <f>IF($D$1212="",0,$D1484*Table3[[#This Row],[CF]]*chronic_consumption!$L284/1000/$C$3)</f>
        <v>#DIV/0!</v>
      </c>
      <c r="R1484" s="1098" t="e">
        <f>IF($D$1212="",0,$D1484*Table3[[#This Row],[CF]]*chronic_consumption!$M284/1000/$C$3)</f>
        <v>#DIV/0!</v>
      </c>
      <c r="S1484" s="1098" t="e">
        <f>IF($D$1212="",0,$D1484*Table3[[#This Row],[CF]]*chronic_consumption!$N284/1000/$C$3)</f>
        <v>#DIV/0!</v>
      </c>
      <c r="T1484" s="1098" t="e">
        <f>IF($D$1212="",0,$D1484*Table3[[#This Row],[CF]]*chronic_consumption!$O284/1000/$C$3)</f>
        <v>#DIV/0!</v>
      </c>
      <c r="U1484" s="1098" t="e">
        <f>IF($D$1212="",0,$D1484*Table3[[#This Row],[CF]]*chronic_consumption!$P284/1000/$C$3)</f>
        <v>#DIV/0!</v>
      </c>
      <c r="V1484" s="1098" t="e">
        <f>IF($D$1212="",0,$D1484*Table3[[#This Row],[CF]]*chronic_consumption!$Q284/1000/$C$3)</f>
        <v>#DIV/0!</v>
      </c>
      <c r="W1484" s="1098" t="e">
        <f>IF($D$1212="",0,$D1484*Table3[[#This Row],[CF]]*chronic_consumption!$R284/1000/$C$3)</f>
        <v>#DIV/0!</v>
      </c>
      <c r="X1484" s="1098" t="e">
        <f>IF($D$1212="",0,$D1484*Table3[[#This Row],[CF]]*chronic_consumption!$S284/1000/$C$3)</f>
        <v>#DIV/0!</v>
      </c>
      <c r="Y1484" s="1098" t="e">
        <f>IF($D$1212="",0,$D1484*Table3[[#This Row],[CF]]*chronic_consumption!$T284/1000/$C$3)</f>
        <v>#DIV/0!</v>
      </c>
      <c r="Z1484" s="1098" t="e">
        <f>IF($D$1212="",0,$D1484*Table3[[#This Row],[CF]]*chronic_consumption!$U284/1000/$C$3)</f>
        <v>#DIV/0!</v>
      </c>
      <c r="AA1484" s="1098" t="e">
        <f>IF($D$1212="",0,$D1484*Table3[[#This Row],[CF]]*chronic_consumption!$V284/1000/$C$3)</f>
        <v>#DIV/0!</v>
      </c>
      <c r="AB1484" s="1098" t="e">
        <f>IF($D$1212="",0,$D1484*Table3[[#This Row],[CF]]*chronic_consumption!$W284/1000/$C$3)</f>
        <v>#DIV/0!</v>
      </c>
      <c r="AC1484" s="1098" t="e">
        <f>IF($D$1212="",0,$D1484*Table3[[#This Row],[CF]]*chronic_consumption!$X284/1000/$C$3)</f>
        <v>#DIV/0!</v>
      </c>
      <c r="AD1484" s="1098" t="e">
        <f>IF($D$1212="",0,$D1484*Table3[[#This Row],[CF]]*chronic_consumption!$Y284/1000/$C$3)</f>
        <v>#DIV/0!</v>
      </c>
      <c r="AE1484" s="1098" t="e">
        <f>IF($D$1212="",0,$D1484*Table3[[#This Row],[CF]]*chronic_consumption!$Z284/1000/$C$3)</f>
        <v>#DIV/0!</v>
      </c>
      <c r="AF1484" s="1098" t="e">
        <f>IF($D$1212="",0,$D1484*Table3[[#This Row],[CF]]*chronic_consumption!$AA284/1000/$C$3)</f>
        <v>#DIV/0!</v>
      </c>
      <c r="AG1484" s="1098" t="e">
        <f>IF($D$1212="",0,$D1484*Table3[[#This Row],[CF]]*chronic_consumption!$AB284/1000/$C$3)</f>
        <v>#DIV/0!</v>
      </c>
      <c r="AH1484" s="1098" t="e">
        <f>IF($D$1212="",0,$D1484*Table3[[#This Row],[CF]]*chronic_consumption!$AC284/1000/$C$3)</f>
        <v>#DIV/0!</v>
      </c>
      <c r="AI1484" s="1098" t="e">
        <f>IF($D$1212="",0,$D1484*Table3[[#This Row],[CF]]*chronic_consumption!$AD284/1000/$C$3)</f>
        <v>#DIV/0!</v>
      </c>
      <c r="AJ1484" s="1098" t="e">
        <f>IF($D$1212="",0,$D1484*Table3[[#This Row],[CF]]*chronic_consumption!$AE284/1000/$C$3)</f>
        <v>#DIV/0!</v>
      </c>
      <c r="AK1484" s="1098" t="e">
        <f>IF($D$1212="",0,$D1484*Table3[[#This Row],[CF]]*chronic_consumption!$AF284/1000/$C$3)</f>
        <v>#DIV/0!</v>
      </c>
      <c r="AL1484" s="1098" t="e">
        <f>IF($D$1212="",0,$D1484*Table3[[#This Row],[CF]]*chronic_consumption!$AG284/1000/$C$3)</f>
        <v>#DIV/0!</v>
      </c>
      <c r="AM1484" s="1098" t="e">
        <f>IF($D$1212="",0,$D1484*Table3[[#This Row],[CF]]*chronic_consumption!$AH284/1000/$C$3)</f>
        <v>#DIV/0!</v>
      </c>
      <c r="AN1484" s="1098" t="e">
        <f>IF($D$1212="",0,$D1484*Table3[[#This Row],[CF]]*chronic_consumption!$AI284/1000/$C$3)</f>
        <v>#DIV/0!</v>
      </c>
      <c r="AO1484" s="1098" t="e">
        <f>IF($D$1212="",0,$D1484*Table3[[#This Row],[CF]]*chronic_consumption!$AJ284/1000/$C$3)</f>
        <v>#DIV/0!</v>
      </c>
      <c r="AP1484" s="1098" t="e">
        <f>IF($D$1212="",0,$D1484*Table3[[#This Row],[CF]]*chronic_consumption!$AK284/1000/$C$3)</f>
        <v>#DIV/0!</v>
      </c>
      <c r="AQ1484" s="1098" t="e">
        <f>IF($D$1212="",0,$D1484*Table3[[#This Row],[CF]]*chronic_consumption!$AL284/1000/$C$3)</f>
        <v>#DIV/0!</v>
      </c>
      <c r="AR1484" s="1098" t="e">
        <f>IF($D$1212="",0,$D1484*Table3[[#This Row],[CF]]*chronic_consumption!$AM284/1000/$C$3)</f>
        <v>#DIV/0!</v>
      </c>
      <c r="AS1484" s="1098" t="e">
        <f>IF($D$1212="",0,$D1484*Table3[[#This Row],[CF]]*chronic_consumption!$AN284/1000/$C$3)</f>
        <v>#DIV/0!</v>
      </c>
      <c r="AT1484" s="1098" t="e">
        <f>IF($D$1212="",0,$D1484*Table3[[#This Row],[CF]]*chronic_consumption!$AO284/1000/$C$3)</f>
        <v>#DIV/0!</v>
      </c>
      <c r="AU1484" s="1099" t="e">
        <f t="shared" si="880"/>
        <v>#DIV/0!</v>
      </c>
      <c r="AV1484" s="1099" t="e">
        <f t="shared" si="880"/>
        <v>#DIV/0!</v>
      </c>
      <c r="AW1484" s="1099" t="e">
        <f t="shared" si="880"/>
        <v>#DIV/0!</v>
      </c>
      <c r="AX1484" s="1099" t="e">
        <f t="shared" si="880"/>
        <v>#DIV/0!</v>
      </c>
      <c r="AY1484" s="1099" t="e">
        <f t="shared" si="880"/>
        <v>#DIV/0!</v>
      </c>
      <c r="AZ1484" s="1091" t="s">
        <v>1012</v>
      </c>
      <c r="BA1484" s="1097" t="e">
        <f>IF(Table3[[#This Row],[max]]&lt;&gt;0,RANK(Table3[[#This Row],[max]],Table3[max],0),"")</f>
        <v>#DIV/0!</v>
      </c>
      <c r="BB1484" s="1096" t="e">
        <f t="shared" si="876"/>
        <v>#DIV/0!</v>
      </c>
      <c r="BC1484" s="1096" t="e">
        <f t="shared" ca="1" si="877"/>
        <v>#DIV/0!</v>
      </c>
      <c r="BD1484" s="1096" t="e">
        <f>IF(Table3[[#This Row],[max]]&gt;0,Table3[[#This Row],[Crop groups and examples of individual products within the groups to which the MRLs apply]],"")</f>
        <v>#DIV/0!</v>
      </c>
    </row>
    <row r="1485" spans="2:56" x14ac:dyDescent="0.2">
      <c r="B1485" s="23">
        <f t="shared" si="878"/>
        <v>810070</v>
      </c>
      <c r="C1485" s="23" t="str">
        <f t="shared" si="878"/>
        <v>Fennel seed</v>
      </c>
      <c r="D1485" s="1084">
        <f>input_values!E285</f>
        <v>0</v>
      </c>
      <c r="E1485" s="1084">
        <f>input_values!F285</f>
        <v>0</v>
      </c>
      <c r="F1485" s="1085">
        <f>input_values!W285</f>
        <v>1</v>
      </c>
      <c r="G1485" s="1085" t="str">
        <f>IF(Table3[[#This Row],[CF]]&gt;0,CONCATENATE(IF(Table3[[#This Row],[LOQ]]="*","LOQ","MRL"),IF(input_values!G285&gt;0,"×CFrisk","")),"")</f>
        <v>MRL</v>
      </c>
      <c r="H1485" s="1087">
        <f>input_values!L285</f>
        <v>0</v>
      </c>
      <c r="I1485" s="1088">
        <f>input_values!D285</f>
        <v>0</v>
      </c>
      <c r="J1485" s="1098" t="e">
        <f>IF($D$1212="",0,$D1485*Table3[[#This Row],[CF]]*chronic_consumption!$E285/1000/$C$3)</f>
        <v>#DIV/0!</v>
      </c>
      <c r="K1485" s="1098" t="e">
        <f>IF($D$1212="",0,$D1485*Table3[[#This Row],[CF]]*chronic_consumption!$F285/1000/$C$3)</f>
        <v>#DIV/0!</v>
      </c>
      <c r="L1485" s="1098" t="e">
        <f>IF($D$1212="",0,$D1485*Table3[[#This Row],[CF]]*chronic_consumption!$G285/1000/$C$3)</f>
        <v>#DIV/0!</v>
      </c>
      <c r="M1485" s="1098" t="e">
        <f>IF($D$1212="",0,$D1485*Table3[[#This Row],[CF]]*chronic_consumption!$H285/1000/$C$3)</f>
        <v>#DIV/0!</v>
      </c>
      <c r="N1485" s="1098" t="e">
        <f>IF($D$1212="",0,$D1485*Table3[[#This Row],[CF]]*chronic_consumption!$I285/1000/$C$3)</f>
        <v>#DIV/0!</v>
      </c>
      <c r="O1485" s="1098" t="e">
        <f>IF($D$1212="",0,$D1485*Table3[[#This Row],[CF]]*chronic_consumption!$J285/1000/$C$3)</f>
        <v>#DIV/0!</v>
      </c>
      <c r="P1485" s="1098" t="e">
        <f>IF($D$1212="",0,$D1485*Table3[[#This Row],[CF]]*chronic_consumption!$K285/1000/$C$3)</f>
        <v>#DIV/0!</v>
      </c>
      <c r="Q1485" s="1098" t="e">
        <f>IF($D$1212="",0,$D1485*Table3[[#This Row],[CF]]*chronic_consumption!$L285/1000/$C$3)</f>
        <v>#DIV/0!</v>
      </c>
      <c r="R1485" s="1098" t="e">
        <f>IF($D$1212="",0,$D1485*Table3[[#This Row],[CF]]*chronic_consumption!$M285/1000/$C$3)</f>
        <v>#DIV/0!</v>
      </c>
      <c r="S1485" s="1098" t="e">
        <f>IF($D$1212="",0,$D1485*Table3[[#This Row],[CF]]*chronic_consumption!$N285/1000/$C$3)</f>
        <v>#DIV/0!</v>
      </c>
      <c r="T1485" s="1098" t="e">
        <f>IF($D$1212="",0,$D1485*Table3[[#This Row],[CF]]*chronic_consumption!$O285/1000/$C$3)</f>
        <v>#DIV/0!</v>
      </c>
      <c r="U1485" s="1098" t="e">
        <f>IF($D$1212="",0,$D1485*Table3[[#This Row],[CF]]*chronic_consumption!$P285/1000/$C$3)</f>
        <v>#DIV/0!</v>
      </c>
      <c r="V1485" s="1098" t="e">
        <f>IF($D$1212="",0,$D1485*Table3[[#This Row],[CF]]*chronic_consumption!$Q285/1000/$C$3)</f>
        <v>#DIV/0!</v>
      </c>
      <c r="W1485" s="1098" t="e">
        <f>IF($D$1212="",0,$D1485*Table3[[#This Row],[CF]]*chronic_consumption!$R285/1000/$C$3)</f>
        <v>#DIV/0!</v>
      </c>
      <c r="X1485" s="1098" t="e">
        <f>IF($D$1212="",0,$D1485*Table3[[#This Row],[CF]]*chronic_consumption!$S285/1000/$C$3)</f>
        <v>#DIV/0!</v>
      </c>
      <c r="Y1485" s="1098" t="e">
        <f>IF($D$1212="",0,$D1485*Table3[[#This Row],[CF]]*chronic_consumption!$T285/1000/$C$3)</f>
        <v>#DIV/0!</v>
      </c>
      <c r="Z1485" s="1098" t="e">
        <f>IF($D$1212="",0,$D1485*Table3[[#This Row],[CF]]*chronic_consumption!$U285/1000/$C$3)</f>
        <v>#DIV/0!</v>
      </c>
      <c r="AA1485" s="1098" t="e">
        <f>IF($D$1212="",0,$D1485*Table3[[#This Row],[CF]]*chronic_consumption!$V285/1000/$C$3)</f>
        <v>#DIV/0!</v>
      </c>
      <c r="AB1485" s="1098" t="e">
        <f>IF($D$1212="",0,$D1485*Table3[[#This Row],[CF]]*chronic_consumption!$W285/1000/$C$3)</f>
        <v>#DIV/0!</v>
      </c>
      <c r="AC1485" s="1098" t="e">
        <f>IF($D$1212="",0,$D1485*Table3[[#This Row],[CF]]*chronic_consumption!$X285/1000/$C$3)</f>
        <v>#DIV/0!</v>
      </c>
      <c r="AD1485" s="1098" t="e">
        <f>IF($D$1212="",0,$D1485*Table3[[#This Row],[CF]]*chronic_consumption!$Y285/1000/$C$3)</f>
        <v>#DIV/0!</v>
      </c>
      <c r="AE1485" s="1098" t="e">
        <f>IF($D$1212="",0,$D1485*Table3[[#This Row],[CF]]*chronic_consumption!$Z285/1000/$C$3)</f>
        <v>#DIV/0!</v>
      </c>
      <c r="AF1485" s="1098" t="e">
        <f>IF($D$1212="",0,$D1485*Table3[[#This Row],[CF]]*chronic_consumption!$AA285/1000/$C$3)</f>
        <v>#DIV/0!</v>
      </c>
      <c r="AG1485" s="1098" t="e">
        <f>IF($D$1212="",0,$D1485*Table3[[#This Row],[CF]]*chronic_consumption!$AB285/1000/$C$3)</f>
        <v>#DIV/0!</v>
      </c>
      <c r="AH1485" s="1098" t="e">
        <f>IF($D$1212="",0,$D1485*Table3[[#This Row],[CF]]*chronic_consumption!$AC285/1000/$C$3)</f>
        <v>#DIV/0!</v>
      </c>
      <c r="AI1485" s="1098" t="e">
        <f>IF($D$1212="",0,$D1485*Table3[[#This Row],[CF]]*chronic_consumption!$AD285/1000/$C$3)</f>
        <v>#DIV/0!</v>
      </c>
      <c r="AJ1485" s="1098" t="e">
        <f>IF($D$1212="",0,$D1485*Table3[[#This Row],[CF]]*chronic_consumption!$AE285/1000/$C$3)</f>
        <v>#DIV/0!</v>
      </c>
      <c r="AK1485" s="1098" t="e">
        <f>IF($D$1212="",0,$D1485*Table3[[#This Row],[CF]]*chronic_consumption!$AF285/1000/$C$3)</f>
        <v>#DIV/0!</v>
      </c>
      <c r="AL1485" s="1098" t="e">
        <f>IF($D$1212="",0,$D1485*Table3[[#This Row],[CF]]*chronic_consumption!$AG285/1000/$C$3)</f>
        <v>#DIV/0!</v>
      </c>
      <c r="AM1485" s="1098" t="e">
        <f>IF($D$1212="",0,$D1485*Table3[[#This Row],[CF]]*chronic_consumption!$AH285/1000/$C$3)</f>
        <v>#DIV/0!</v>
      </c>
      <c r="AN1485" s="1098" t="e">
        <f>IF($D$1212="",0,$D1485*Table3[[#This Row],[CF]]*chronic_consumption!$AI285/1000/$C$3)</f>
        <v>#DIV/0!</v>
      </c>
      <c r="AO1485" s="1098" t="e">
        <f>IF($D$1212="",0,$D1485*Table3[[#This Row],[CF]]*chronic_consumption!$AJ285/1000/$C$3)</f>
        <v>#DIV/0!</v>
      </c>
      <c r="AP1485" s="1098" t="e">
        <f>IF($D$1212="",0,$D1485*Table3[[#This Row],[CF]]*chronic_consumption!$AK285/1000/$C$3)</f>
        <v>#DIV/0!</v>
      </c>
      <c r="AQ1485" s="1098" t="e">
        <f>IF($D$1212="",0,$D1485*Table3[[#This Row],[CF]]*chronic_consumption!$AL285/1000/$C$3)</f>
        <v>#DIV/0!</v>
      </c>
      <c r="AR1485" s="1098" t="e">
        <f>IF($D$1212="",0,$D1485*Table3[[#This Row],[CF]]*chronic_consumption!$AM285/1000/$C$3)</f>
        <v>#DIV/0!</v>
      </c>
      <c r="AS1485" s="1098" t="e">
        <f>IF($D$1212="",0,$D1485*Table3[[#This Row],[CF]]*chronic_consumption!$AN285/1000/$C$3)</f>
        <v>#DIV/0!</v>
      </c>
      <c r="AT1485" s="1098" t="e">
        <f>IF($D$1212="",0,$D1485*Table3[[#This Row],[CF]]*chronic_consumption!$AO285/1000/$C$3)</f>
        <v>#DIV/0!</v>
      </c>
      <c r="AU1485" s="1099" t="e">
        <f t="shared" si="880"/>
        <v>#DIV/0!</v>
      </c>
      <c r="AV1485" s="1099" t="e">
        <f t="shared" si="880"/>
        <v>#DIV/0!</v>
      </c>
      <c r="AW1485" s="1099" t="e">
        <f t="shared" si="880"/>
        <v>#DIV/0!</v>
      </c>
      <c r="AX1485" s="1099" t="e">
        <f t="shared" si="880"/>
        <v>#DIV/0!</v>
      </c>
      <c r="AY1485" s="1099" t="e">
        <f t="shared" si="880"/>
        <v>#DIV/0!</v>
      </c>
      <c r="AZ1485" s="1091" t="s">
        <v>1012</v>
      </c>
      <c r="BA1485" s="1097" t="e">
        <f>IF(Table3[[#This Row],[max]]&lt;&gt;0,RANK(Table3[[#This Row],[max]],Table3[max],0),"")</f>
        <v>#DIV/0!</v>
      </c>
      <c r="BB1485" s="1096" t="e">
        <f t="shared" si="876"/>
        <v>#DIV/0!</v>
      </c>
      <c r="BC1485" s="1096" t="e">
        <f t="shared" ca="1" si="877"/>
        <v>#DIV/0!</v>
      </c>
      <c r="BD1485" s="1096" t="e">
        <f>IF(Table3[[#This Row],[max]]&gt;0,Table3[[#This Row],[Crop groups and examples of individual products within the groups to which the MRLs apply]],"")</f>
        <v>#DIV/0!</v>
      </c>
    </row>
    <row r="1486" spans="2:56" x14ac:dyDescent="0.2">
      <c r="B1486" s="23">
        <f t="shared" si="878"/>
        <v>810080</v>
      </c>
      <c r="C1486" s="23" t="str">
        <f t="shared" si="878"/>
        <v>Fenugreek</v>
      </c>
      <c r="D1486" s="1084">
        <f>input_values!E286</f>
        <v>0</v>
      </c>
      <c r="E1486" s="1084">
        <f>input_values!F286</f>
        <v>0</v>
      </c>
      <c r="F1486" s="1085">
        <f>input_values!W286</f>
        <v>1</v>
      </c>
      <c r="G1486" s="1085" t="str">
        <f>IF(Table3[[#This Row],[CF]]&gt;0,CONCATENATE(IF(Table3[[#This Row],[LOQ]]="*","LOQ","MRL"),IF(input_values!G286&gt;0,"×CFrisk","")),"")</f>
        <v>MRL</v>
      </c>
      <c r="H1486" s="1087">
        <f>input_values!L286</f>
        <v>0</v>
      </c>
      <c r="I1486" s="1088">
        <f>input_values!D286</f>
        <v>0</v>
      </c>
      <c r="J1486" s="1098" t="e">
        <f>IF($D$1212="",0,$D1486*Table3[[#This Row],[CF]]*chronic_consumption!$E286/1000/$C$3)</f>
        <v>#DIV/0!</v>
      </c>
      <c r="K1486" s="1098" t="e">
        <f>IF($D$1212="",0,$D1486*Table3[[#This Row],[CF]]*chronic_consumption!$F286/1000/$C$3)</f>
        <v>#DIV/0!</v>
      </c>
      <c r="L1486" s="1098" t="e">
        <f>IF($D$1212="",0,$D1486*Table3[[#This Row],[CF]]*chronic_consumption!$G286/1000/$C$3)</f>
        <v>#DIV/0!</v>
      </c>
      <c r="M1486" s="1098" t="e">
        <f>IF($D$1212="",0,$D1486*Table3[[#This Row],[CF]]*chronic_consumption!$H286/1000/$C$3)</f>
        <v>#DIV/0!</v>
      </c>
      <c r="N1486" s="1098" t="e">
        <f>IF($D$1212="",0,$D1486*Table3[[#This Row],[CF]]*chronic_consumption!$I286/1000/$C$3)</f>
        <v>#DIV/0!</v>
      </c>
      <c r="O1486" s="1098" t="e">
        <f>IF($D$1212="",0,$D1486*Table3[[#This Row],[CF]]*chronic_consumption!$J286/1000/$C$3)</f>
        <v>#DIV/0!</v>
      </c>
      <c r="P1486" s="1098" t="e">
        <f>IF($D$1212="",0,$D1486*Table3[[#This Row],[CF]]*chronic_consumption!$K286/1000/$C$3)</f>
        <v>#DIV/0!</v>
      </c>
      <c r="Q1486" s="1098" t="e">
        <f>IF($D$1212="",0,$D1486*Table3[[#This Row],[CF]]*chronic_consumption!$L286/1000/$C$3)</f>
        <v>#DIV/0!</v>
      </c>
      <c r="R1486" s="1098" t="e">
        <f>IF($D$1212="",0,$D1486*Table3[[#This Row],[CF]]*chronic_consumption!$M286/1000/$C$3)</f>
        <v>#DIV/0!</v>
      </c>
      <c r="S1486" s="1098" t="e">
        <f>IF($D$1212="",0,$D1486*Table3[[#This Row],[CF]]*chronic_consumption!$N286/1000/$C$3)</f>
        <v>#DIV/0!</v>
      </c>
      <c r="T1486" s="1098" t="e">
        <f>IF($D$1212="",0,$D1486*Table3[[#This Row],[CF]]*chronic_consumption!$O286/1000/$C$3)</f>
        <v>#DIV/0!</v>
      </c>
      <c r="U1486" s="1098" t="e">
        <f>IF($D$1212="",0,$D1486*Table3[[#This Row],[CF]]*chronic_consumption!$P286/1000/$C$3)</f>
        <v>#DIV/0!</v>
      </c>
      <c r="V1486" s="1098" t="e">
        <f>IF($D$1212="",0,$D1486*Table3[[#This Row],[CF]]*chronic_consumption!$Q286/1000/$C$3)</f>
        <v>#DIV/0!</v>
      </c>
      <c r="W1486" s="1098" t="e">
        <f>IF($D$1212="",0,$D1486*Table3[[#This Row],[CF]]*chronic_consumption!$R286/1000/$C$3)</f>
        <v>#DIV/0!</v>
      </c>
      <c r="X1486" s="1098" t="e">
        <f>IF($D$1212="",0,$D1486*Table3[[#This Row],[CF]]*chronic_consumption!$S286/1000/$C$3)</f>
        <v>#DIV/0!</v>
      </c>
      <c r="Y1486" s="1098" t="e">
        <f>IF($D$1212="",0,$D1486*Table3[[#This Row],[CF]]*chronic_consumption!$T286/1000/$C$3)</f>
        <v>#DIV/0!</v>
      </c>
      <c r="Z1486" s="1098" t="e">
        <f>IF($D$1212="",0,$D1486*Table3[[#This Row],[CF]]*chronic_consumption!$U286/1000/$C$3)</f>
        <v>#DIV/0!</v>
      </c>
      <c r="AA1486" s="1098" t="e">
        <f>IF($D$1212="",0,$D1486*Table3[[#This Row],[CF]]*chronic_consumption!$V286/1000/$C$3)</f>
        <v>#DIV/0!</v>
      </c>
      <c r="AB1486" s="1098" t="e">
        <f>IF($D$1212="",0,$D1486*Table3[[#This Row],[CF]]*chronic_consumption!$W286/1000/$C$3)</f>
        <v>#DIV/0!</v>
      </c>
      <c r="AC1486" s="1098" t="e">
        <f>IF($D$1212="",0,$D1486*Table3[[#This Row],[CF]]*chronic_consumption!$X286/1000/$C$3)</f>
        <v>#DIV/0!</v>
      </c>
      <c r="AD1486" s="1098" t="e">
        <f>IF($D$1212="",0,$D1486*Table3[[#This Row],[CF]]*chronic_consumption!$Y286/1000/$C$3)</f>
        <v>#DIV/0!</v>
      </c>
      <c r="AE1486" s="1098" t="e">
        <f>IF($D$1212="",0,$D1486*Table3[[#This Row],[CF]]*chronic_consumption!$Z286/1000/$C$3)</f>
        <v>#DIV/0!</v>
      </c>
      <c r="AF1486" s="1098" t="e">
        <f>IF($D$1212="",0,$D1486*Table3[[#This Row],[CF]]*chronic_consumption!$AA286/1000/$C$3)</f>
        <v>#DIV/0!</v>
      </c>
      <c r="AG1486" s="1098" t="e">
        <f>IF($D$1212="",0,$D1486*Table3[[#This Row],[CF]]*chronic_consumption!$AB286/1000/$C$3)</f>
        <v>#DIV/0!</v>
      </c>
      <c r="AH1486" s="1098" t="e">
        <f>IF($D$1212="",0,$D1486*Table3[[#This Row],[CF]]*chronic_consumption!$AC286/1000/$C$3)</f>
        <v>#DIV/0!</v>
      </c>
      <c r="AI1486" s="1098" t="e">
        <f>IF($D$1212="",0,$D1486*Table3[[#This Row],[CF]]*chronic_consumption!$AD286/1000/$C$3)</f>
        <v>#DIV/0!</v>
      </c>
      <c r="AJ1486" s="1098" t="e">
        <f>IF($D$1212="",0,$D1486*Table3[[#This Row],[CF]]*chronic_consumption!$AE286/1000/$C$3)</f>
        <v>#DIV/0!</v>
      </c>
      <c r="AK1486" s="1098" t="e">
        <f>IF($D$1212="",0,$D1486*Table3[[#This Row],[CF]]*chronic_consumption!$AF286/1000/$C$3)</f>
        <v>#DIV/0!</v>
      </c>
      <c r="AL1486" s="1098" t="e">
        <f>IF($D$1212="",0,$D1486*Table3[[#This Row],[CF]]*chronic_consumption!$AG286/1000/$C$3)</f>
        <v>#DIV/0!</v>
      </c>
      <c r="AM1486" s="1098" t="e">
        <f>IF($D$1212="",0,$D1486*Table3[[#This Row],[CF]]*chronic_consumption!$AH286/1000/$C$3)</f>
        <v>#DIV/0!</v>
      </c>
      <c r="AN1486" s="1098" t="e">
        <f>IF($D$1212="",0,$D1486*Table3[[#This Row],[CF]]*chronic_consumption!$AI286/1000/$C$3)</f>
        <v>#DIV/0!</v>
      </c>
      <c r="AO1486" s="1098" t="e">
        <f>IF($D$1212="",0,$D1486*Table3[[#This Row],[CF]]*chronic_consumption!$AJ286/1000/$C$3)</f>
        <v>#DIV/0!</v>
      </c>
      <c r="AP1486" s="1098" t="e">
        <f>IF($D$1212="",0,$D1486*Table3[[#This Row],[CF]]*chronic_consumption!$AK286/1000/$C$3)</f>
        <v>#DIV/0!</v>
      </c>
      <c r="AQ1486" s="1098" t="e">
        <f>IF($D$1212="",0,$D1486*Table3[[#This Row],[CF]]*chronic_consumption!$AL286/1000/$C$3)</f>
        <v>#DIV/0!</v>
      </c>
      <c r="AR1486" s="1098" t="e">
        <f>IF($D$1212="",0,$D1486*Table3[[#This Row],[CF]]*chronic_consumption!$AM286/1000/$C$3)</f>
        <v>#DIV/0!</v>
      </c>
      <c r="AS1486" s="1098" t="e">
        <f>IF($D$1212="",0,$D1486*Table3[[#This Row],[CF]]*chronic_consumption!$AN286/1000/$C$3)</f>
        <v>#DIV/0!</v>
      </c>
      <c r="AT1486" s="1098" t="e">
        <f>IF($D$1212="",0,$D1486*Table3[[#This Row],[CF]]*chronic_consumption!$AO286/1000/$C$3)</f>
        <v>#DIV/0!</v>
      </c>
      <c r="AU1486" s="1099" t="e">
        <f t="shared" si="880"/>
        <v>#DIV/0!</v>
      </c>
      <c r="AV1486" s="1099" t="e">
        <f t="shared" si="880"/>
        <v>#DIV/0!</v>
      </c>
      <c r="AW1486" s="1099" t="e">
        <f t="shared" si="880"/>
        <v>#DIV/0!</v>
      </c>
      <c r="AX1486" s="1099" t="e">
        <f t="shared" si="880"/>
        <v>#DIV/0!</v>
      </c>
      <c r="AY1486" s="1099" t="e">
        <f t="shared" si="880"/>
        <v>#DIV/0!</v>
      </c>
      <c r="AZ1486" s="1091" t="s">
        <v>1012</v>
      </c>
      <c r="BA1486" s="1097" t="e">
        <f>IF(Table3[[#This Row],[max]]&lt;&gt;0,RANK(Table3[[#This Row],[max]],Table3[max],0),"")</f>
        <v>#DIV/0!</v>
      </c>
      <c r="BB1486" s="1096" t="e">
        <f t="shared" si="876"/>
        <v>#DIV/0!</v>
      </c>
      <c r="BC1486" s="1096" t="e">
        <f t="shared" ca="1" si="877"/>
        <v>#DIV/0!</v>
      </c>
      <c r="BD1486" s="1096" t="e">
        <f>IF(Table3[[#This Row],[max]]&gt;0,Table3[[#This Row],[Crop groups and examples of individual products within the groups to which the MRLs apply]],"")</f>
        <v>#DIV/0!</v>
      </c>
    </row>
    <row r="1487" spans="2:56" x14ac:dyDescent="0.2">
      <c r="B1487" s="23">
        <f t="shared" si="878"/>
        <v>810090</v>
      </c>
      <c r="C1487" s="23" t="str">
        <f t="shared" si="878"/>
        <v>Nutmeg</v>
      </c>
      <c r="D1487" s="1084">
        <f>input_values!E287</f>
        <v>0</v>
      </c>
      <c r="E1487" s="1084">
        <f>input_values!F287</f>
        <v>0</v>
      </c>
      <c r="F1487" s="1085">
        <f>input_values!W287</f>
        <v>1</v>
      </c>
      <c r="G1487" s="1085" t="str">
        <f>IF(Table3[[#This Row],[CF]]&gt;0,CONCATENATE(IF(Table3[[#This Row],[LOQ]]="*","LOQ","MRL"),IF(input_values!G287&gt;0,"×CFrisk","")),"")</f>
        <v>MRL</v>
      </c>
      <c r="H1487" s="1087">
        <f>input_values!L287</f>
        <v>0</v>
      </c>
      <c r="I1487" s="1088">
        <f>input_values!D287</f>
        <v>0</v>
      </c>
      <c r="J1487" s="1098" t="e">
        <f>IF($D$1212="",0,$D1487*Table3[[#This Row],[CF]]*chronic_consumption!$E287/1000/$C$3)</f>
        <v>#DIV/0!</v>
      </c>
      <c r="K1487" s="1098" t="e">
        <f>IF($D$1212="",0,$D1487*Table3[[#This Row],[CF]]*chronic_consumption!$F287/1000/$C$3)</f>
        <v>#DIV/0!</v>
      </c>
      <c r="L1487" s="1098" t="e">
        <f>IF($D$1212="",0,$D1487*Table3[[#This Row],[CF]]*chronic_consumption!$G287/1000/$C$3)</f>
        <v>#DIV/0!</v>
      </c>
      <c r="M1487" s="1098" t="e">
        <f>IF($D$1212="",0,$D1487*Table3[[#This Row],[CF]]*chronic_consumption!$H287/1000/$C$3)</f>
        <v>#DIV/0!</v>
      </c>
      <c r="N1487" s="1098" t="e">
        <f>IF($D$1212="",0,$D1487*Table3[[#This Row],[CF]]*chronic_consumption!$I287/1000/$C$3)</f>
        <v>#DIV/0!</v>
      </c>
      <c r="O1487" s="1098" t="e">
        <f>IF($D$1212="",0,$D1487*Table3[[#This Row],[CF]]*chronic_consumption!$J287/1000/$C$3)</f>
        <v>#DIV/0!</v>
      </c>
      <c r="P1487" s="1098" t="e">
        <f>IF($D$1212="",0,$D1487*Table3[[#This Row],[CF]]*chronic_consumption!$K287/1000/$C$3)</f>
        <v>#DIV/0!</v>
      </c>
      <c r="Q1487" s="1098" t="e">
        <f>IF($D$1212="",0,$D1487*Table3[[#This Row],[CF]]*chronic_consumption!$L287/1000/$C$3)</f>
        <v>#DIV/0!</v>
      </c>
      <c r="R1487" s="1098" t="e">
        <f>IF($D$1212="",0,$D1487*Table3[[#This Row],[CF]]*chronic_consumption!$M287/1000/$C$3)</f>
        <v>#DIV/0!</v>
      </c>
      <c r="S1487" s="1098" t="e">
        <f>IF($D$1212="",0,$D1487*Table3[[#This Row],[CF]]*chronic_consumption!$N287/1000/$C$3)</f>
        <v>#DIV/0!</v>
      </c>
      <c r="T1487" s="1098" t="e">
        <f>IF($D$1212="",0,$D1487*Table3[[#This Row],[CF]]*chronic_consumption!$O287/1000/$C$3)</f>
        <v>#DIV/0!</v>
      </c>
      <c r="U1487" s="1098" t="e">
        <f>IF($D$1212="",0,$D1487*Table3[[#This Row],[CF]]*chronic_consumption!$P287/1000/$C$3)</f>
        <v>#DIV/0!</v>
      </c>
      <c r="V1487" s="1098" t="e">
        <f>IF($D$1212="",0,$D1487*Table3[[#This Row],[CF]]*chronic_consumption!$Q287/1000/$C$3)</f>
        <v>#DIV/0!</v>
      </c>
      <c r="W1487" s="1098" t="e">
        <f>IF($D$1212="",0,$D1487*Table3[[#This Row],[CF]]*chronic_consumption!$R287/1000/$C$3)</f>
        <v>#DIV/0!</v>
      </c>
      <c r="X1487" s="1098" t="e">
        <f>IF($D$1212="",0,$D1487*Table3[[#This Row],[CF]]*chronic_consumption!$S287/1000/$C$3)</f>
        <v>#DIV/0!</v>
      </c>
      <c r="Y1487" s="1098" t="e">
        <f>IF($D$1212="",0,$D1487*Table3[[#This Row],[CF]]*chronic_consumption!$T287/1000/$C$3)</f>
        <v>#DIV/0!</v>
      </c>
      <c r="Z1487" s="1098" t="e">
        <f>IF($D$1212="",0,$D1487*Table3[[#This Row],[CF]]*chronic_consumption!$U287/1000/$C$3)</f>
        <v>#DIV/0!</v>
      </c>
      <c r="AA1487" s="1098" t="e">
        <f>IF($D$1212="",0,$D1487*Table3[[#This Row],[CF]]*chronic_consumption!$V287/1000/$C$3)</f>
        <v>#DIV/0!</v>
      </c>
      <c r="AB1487" s="1098" t="e">
        <f>IF($D$1212="",0,$D1487*Table3[[#This Row],[CF]]*chronic_consumption!$W287/1000/$C$3)</f>
        <v>#DIV/0!</v>
      </c>
      <c r="AC1487" s="1098" t="e">
        <f>IF($D$1212="",0,$D1487*Table3[[#This Row],[CF]]*chronic_consumption!$X287/1000/$C$3)</f>
        <v>#DIV/0!</v>
      </c>
      <c r="AD1487" s="1098" t="e">
        <f>IF($D$1212="",0,$D1487*Table3[[#This Row],[CF]]*chronic_consumption!$Y287/1000/$C$3)</f>
        <v>#DIV/0!</v>
      </c>
      <c r="AE1487" s="1098" t="e">
        <f>IF($D$1212="",0,$D1487*Table3[[#This Row],[CF]]*chronic_consumption!$Z287/1000/$C$3)</f>
        <v>#DIV/0!</v>
      </c>
      <c r="AF1487" s="1098" t="e">
        <f>IF($D$1212="",0,$D1487*Table3[[#This Row],[CF]]*chronic_consumption!$AA287/1000/$C$3)</f>
        <v>#DIV/0!</v>
      </c>
      <c r="AG1487" s="1098" t="e">
        <f>IF($D$1212="",0,$D1487*Table3[[#This Row],[CF]]*chronic_consumption!$AB287/1000/$C$3)</f>
        <v>#DIV/0!</v>
      </c>
      <c r="AH1487" s="1098" t="e">
        <f>IF($D$1212="",0,$D1487*Table3[[#This Row],[CF]]*chronic_consumption!$AC287/1000/$C$3)</f>
        <v>#DIV/0!</v>
      </c>
      <c r="AI1487" s="1098" t="e">
        <f>IF($D$1212="",0,$D1487*Table3[[#This Row],[CF]]*chronic_consumption!$AD287/1000/$C$3)</f>
        <v>#DIV/0!</v>
      </c>
      <c r="AJ1487" s="1098" t="e">
        <f>IF($D$1212="",0,$D1487*Table3[[#This Row],[CF]]*chronic_consumption!$AE287/1000/$C$3)</f>
        <v>#DIV/0!</v>
      </c>
      <c r="AK1487" s="1098" t="e">
        <f>IF($D$1212="",0,$D1487*Table3[[#This Row],[CF]]*chronic_consumption!$AF287/1000/$C$3)</f>
        <v>#DIV/0!</v>
      </c>
      <c r="AL1487" s="1098" t="e">
        <f>IF($D$1212="",0,$D1487*Table3[[#This Row],[CF]]*chronic_consumption!$AG287/1000/$C$3)</f>
        <v>#DIV/0!</v>
      </c>
      <c r="AM1487" s="1098" t="e">
        <f>IF($D$1212="",0,$D1487*Table3[[#This Row],[CF]]*chronic_consumption!$AH287/1000/$C$3)</f>
        <v>#DIV/0!</v>
      </c>
      <c r="AN1487" s="1098" t="e">
        <f>IF($D$1212="",0,$D1487*Table3[[#This Row],[CF]]*chronic_consumption!$AI287/1000/$C$3)</f>
        <v>#DIV/0!</v>
      </c>
      <c r="AO1487" s="1098" t="e">
        <f>IF($D$1212="",0,$D1487*Table3[[#This Row],[CF]]*chronic_consumption!$AJ287/1000/$C$3)</f>
        <v>#DIV/0!</v>
      </c>
      <c r="AP1487" s="1098" t="e">
        <f>IF($D$1212="",0,$D1487*Table3[[#This Row],[CF]]*chronic_consumption!$AK287/1000/$C$3)</f>
        <v>#DIV/0!</v>
      </c>
      <c r="AQ1487" s="1098" t="e">
        <f>IF($D$1212="",0,$D1487*Table3[[#This Row],[CF]]*chronic_consumption!$AL287/1000/$C$3)</f>
        <v>#DIV/0!</v>
      </c>
      <c r="AR1487" s="1098" t="e">
        <f>IF($D$1212="",0,$D1487*Table3[[#This Row],[CF]]*chronic_consumption!$AM287/1000/$C$3)</f>
        <v>#DIV/0!</v>
      </c>
      <c r="AS1487" s="1098" t="e">
        <f>IF($D$1212="",0,$D1487*Table3[[#This Row],[CF]]*chronic_consumption!$AN287/1000/$C$3)</f>
        <v>#DIV/0!</v>
      </c>
      <c r="AT1487" s="1098" t="e">
        <f>IF($D$1212="",0,$D1487*Table3[[#This Row],[CF]]*chronic_consumption!$AO287/1000/$C$3)</f>
        <v>#DIV/0!</v>
      </c>
      <c r="AU1487" s="1099" t="e">
        <f t="shared" si="880"/>
        <v>#DIV/0!</v>
      </c>
      <c r="AV1487" s="1099" t="e">
        <f t="shared" si="880"/>
        <v>#DIV/0!</v>
      </c>
      <c r="AW1487" s="1099" t="e">
        <f t="shared" si="880"/>
        <v>#DIV/0!</v>
      </c>
      <c r="AX1487" s="1099" t="e">
        <f t="shared" si="880"/>
        <v>#DIV/0!</v>
      </c>
      <c r="AY1487" s="1099" t="e">
        <f t="shared" si="880"/>
        <v>#DIV/0!</v>
      </c>
      <c r="AZ1487" s="1091" t="s">
        <v>1012</v>
      </c>
      <c r="BA1487" s="1097" t="e">
        <f>IF(Table3[[#This Row],[max]]&lt;&gt;0,RANK(Table3[[#This Row],[max]],Table3[max],0),"")</f>
        <v>#DIV/0!</v>
      </c>
      <c r="BB1487" s="1096" t="e">
        <f t="shared" si="876"/>
        <v>#DIV/0!</v>
      </c>
      <c r="BC1487" s="1096" t="e">
        <f t="shared" ca="1" si="877"/>
        <v>#DIV/0!</v>
      </c>
      <c r="BD1487" s="1096" t="e">
        <f>IF(Table3[[#This Row],[max]]&gt;0,Table3[[#This Row],[Crop groups and examples of individual products within the groups to which the MRLs apply]],"")</f>
        <v>#DIV/0!</v>
      </c>
    </row>
    <row r="1488" spans="2:56" x14ac:dyDescent="0.2">
      <c r="B1488" s="23">
        <f t="shared" si="878"/>
        <v>810990</v>
      </c>
      <c r="C1488" s="23" t="str">
        <f t="shared" si="878"/>
        <v>Other spices (seeds)</v>
      </c>
      <c r="D1488" s="1084">
        <f>input_values!E288</f>
        <v>0</v>
      </c>
      <c r="E1488" s="1084">
        <f>input_values!F288</f>
        <v>0</v>
      </c>
      <c r="F1488" s="1085">
        <f>input_values!W288</f>
        <v>1</v>
      </c>
      <c r="G1488" s="1085" t="str">
        <f>IF(Table3[[#This Row],[CF]]&gt;0,CONCATENATE(IF(Table3[[#This Row],[LOQ]]="*","LOQ","MRL"),IF(input_values!G288&gt;0,"×CFrisk","")),"")</f>
        <v>MRL</v>
      </c>
      <c r="H1488" s="1087">
        <f>input_values!L288</f>
        <v>0</v>
      </c>
      <c r="I1488" s="1088">
        <f>input_values!D288</f>
        <v>0</v>
      </c>
      <c r="J1488" s="1098" t="e">
        <f>IF($D$1212="",0,$D1488*Table3[[#This Row],[CF]]*chronic_consumption!$E288/1000/$C$3)</f>
        <v>#DIV/0!</v>
      </c>
      <c r="K1488" s="1098" t="e">
        <f>IF($D$1212="",0,$D1488*Table3[[#This Row],[CF]]*chronic_consumption!$F288/1000/$C$3)</f>
        <v>#DIV/0!</v>
      </c>
      <c r="L1488" s="1098" t="e">
        <f>IF($D$1212="",0,$D1488*Table3[[#This Row],[CF]]*chronic_consumption!$G288/1000/$C$3)</f>
        <v>#DIV/0!</v>
      </c>
      <c r="M1488" s="1098" t="e">
        <f>IF($D$1212="",0,$D1488*Table3[[#This Row],[CF]]*chronic_consumption!$H288/1000/$C$3)</f>
        <v>#DIV/0!</v>
      </c>
      <c r="N1488" s="1098" t="e">
        <f>IF($D$1212="",0,$D1488*Table3[[#This Row],[CF]]*chronic_consumption!$I288/1000/$C$3)</f>
        <v>#DIV/0!</v>
      </c>
      <c r="O1488" s="1098" t="e">
        <f>IF($D$1212="",0,$D1488*Table3[[#This Row],[CF]]*chronic_consumption!$J288/1000/$C$3)</f>
        <v>#DIV/0!</v>
      </c>
      <c r="P1488" s="1098" t="e">
        <f>IF($D$1212="",0,$D1488*Table3[[#This Row],[CF]]*chronic_consumption!$K288/1000/$C$3)</f>
        <v>#DIV/0!</v>
      </c>
      <c r="Q1488" s="1098" t="e">
        <f>IF($D$1212="",0,$D1488*Table3[[#This Row],[CF]]*chronic_consumption!$L288/1000/$C$3)</f>
        <v>#DIV/0!</v>
      </c>
      <c r="R1488" s="1098" t="e">
        <f>IF($D$1212="",0,$D1488*Table3[[#This Row],[CF]]*chronic_consumption!$M288/1000/$C$3)</f>
        <v>#DIV/0!</v>
      </c>
      <c r="S1488" s="1098" t="e">
        <f>IF($D$1212="",0,$D1488*Table3[[#This Row],[CF]]*chronic_consumption!$N288/1000/$C$3)</f>
        <v>#DIV/0!</v>
      </c>
      <c r="T1488" s="1098" t="e">
        <f>IF($D$1212="",0,$D1488*Table3[[#This Row],[CF]]*chronic_consumption!$O288/1000/$C$3)</f>
        <v>#DIV/0!</v>
      </c>
      <c r="U1488" s="1098" t="e">
        <f>IF($D$1212="",0,$D1488*Table3[[#This Row],[CF]]*chronic_consumption!$P288/1000/$C$3)</f>
        <v>#DIV/0!</v>
      </c>
      <c r="V1488" s="1098" t="e">
        <f>IF($D$1212="",0,$D1488*Table3[[#This Row],[CF]]*chronic_consumption!$Q288/1000/$C$3)</f>
        <v>#DIV/0!</v>
      </c>
      <c r="W1488" s="1098" t="e">
        <f>IF($D$1212="",0,$D1488*Table3[[#This Row],[CF]]*chronic_consumption!$R288/1000/$C$3)</f>
        <v>#DIV/0!</v>
      </c>
      <c r="X1488" s="1098" t="e">
        <f>IF($D$1212="",0,$D1488*Table3[[#This Row],[CF]]*chronic_consumption!$S288/1000/$C$3)</f>
        <v>#DIV/0!</v>
      </c>
      <c r="Y1488" s="1098" t="e">
        <f>IF($D$1212="",0,$D1488*Table3[[#This Row],[CF]]*chronic_consumption!$T288/1000/$C$3)</f>
        <v>#DIV/0!</v>
      </c>
      <c r="Z1488" s="1098" t="e">
        <f>IF($D$1212="",0,$D1488*Table3[[#This Row],[CF]]*chronic_consumption!$U288/1000/$C$3)</f>
        <v>#DIV/0!</v>
      </c>
      <c r="AA1488" s="1098" t="e">
        <f>IF($D$1212="",0,$D1488*Table3[[#This Row],[CF]]*chronic_consumption!$V288/1000/$C$3)</f>
        <v>#DIV/0!</v>
      </c>
      <c r="AB1488" s="1098" t="e">
        <f>IF($D$1212="",0,$D1488*Table3[[#This Row],[CF]]*chronic_consumption!$W288/1000/$C$3)</f>
        <v>#DIV/0!</v>
      </c>
      <c r="AC1488" s="1098" t="e">
        <f>IF($D$1212="",0,$D1488*Table3[[#This Row],[CF]]*chronic_consumption!$X288/1000/$C$3)</f>
        <v>#DIV/0!</v>
      </c>
      <c r="AD1488" s="1098" t="e">
        <f>IF($D$1212="",0,$D1488*Table3[[#This Row],[CF]]*chronic_consumption!$Y288/1000/$C$3)</f>
        <v>#DIV/0!</v>
      </c>
      <c r="AE1488" s="1098" t="e">
        <f>IF($D$1212="",0,$D1488*Table3[[#This Row],[CF]]*chronic_consumption!$Z288/1000/$C$3)</f>
        <v>#DIV/0!</v>
      </c>
      <c r="AF1488" s="1098" t="e">
        <f>IF($D$1212="",0,$D1488*Table3[[#This Row],[CF]]*chronic_consumption!$AA288/1000/$C$3)</f>
        <v>#DIV/0!</v>
      </c>
      <c r="AG1488" s="1098" t="e">
        <f>IF($D$1212="",0,$D1488*Table3[[#This Row],[CF]]*chronic_consumption!$AB288/1000/$C$3)</f>
        <v>#DIV/0!</v>
      </c>
      <c r="AH1488" s="1098" t="e">
        <f>IF($D$1212="",0,$D1488*Table3[[#This Row],[CF]]*chronic_consumption!$AC288/1000/$C$3)</f>
        <v>#DIV/0!</v>
      </c>
      <c r="AI1488" s="1098" t="e">
        <f>IF($D$1212="",0,$D1488*Table3[[#This Row],[CF]]*chronic_consumption!$AD288/1000/$C$3)</f>
        <v>#DIV/0!</v>
      </c>
      <c r="AJ1488" s="1098" t="e">
        <f>IF($D$1212="",0,$D1488*Table3[[#This Row],[CF]]*chronic_consumption!$AE288/1000/$C$3)</f>
        <v>#DIV/0!</v>
      </c>
      <c r="AK1488" s="1098" t="e">
        <f>IF($D$1212="",0,$D1488*Table3[[#This Row],[CF]]*chronic_consumption!$AF288/1000/$C$3)</f>
        <v>#DIV/0!</v>
      </c>
      <c r="AL1488" s="1098" t="e">
        <f>IF($D$1212="",0,$D1488*Table3[[#This Row],[CF]]*chronic_consumption!$AG288/1000/$C$3)</f>
        <v>#DIV/0!</v>
      </c>
      <c r="AM1488" s="1098" t="e">
        <f>IF($D$1212="",0,$D1488*Table3[[#This Row],[CF]]*chronic_consumption!$AH288/1000/$C$3)</f>
        <v>#DIV/0!</v>
      </c>
      <c r="AN1488" s="1098" t="e">
        <f>IF($D$1212="",0,$D1488*Table3[[#This Row],[CF]]*chronic_consumption!$AI288/1000/$C$3)</f>
        <v>#DIV/0!</v>
      </c>
      <c r="AO1488" s="1098" t="e">
        <f>IF($D$1212="",0,$D1488*Table3[[#This Row],[CF]]*chronic_consumption!$AJ288/1000/$C$3)</f>
        <v>#DIV/0!</v>
      </c>
      <c r="AP1488" s="1098" t="e">
        <f>IF($D$1212="",0,$D1488*Table3[[#This Row],[CF]]*chronic_consumption!$AK288/1000/$C$3)</f>
        <v>#DIV/0!</v>
      </c>
      <c r="AQ1488" s="1098" t="e">
        <f>IF($D$1212="",0,$D1488*Table3[[#This Row],[CF]]*chronic_consumption!$AL288/1000/$C$3)</f>
        <v>#DIV/0!</v>
      </c>
      <c r="AR1488" s="1098" t="e">
        <f>IF($D$1212="",0,$D1488*Table3[[#This Row],[CF]]*chronic_consumption!$AM288/1000/$C$3)</f>
        <v>#DIV/0!</v>
      </c>
      <c r="AS1488" s="1098" t="e">
        <f>IF($D$1212="",0,$D1488*Table3[[#This Row],[CF]]*chronic_consumption!$AN288/1000/$C$3)</f>
        <v>#DIV/0!</v>
      </c>
      <c r="AT1488" s="1098" t="e">
        <f>IF($D$1212="",0,$D1488*Table3[[#This Row],[CF]]*chronic_consumption!$AO288/1000/$C$3)</f>
        <v>#DIV/0!</v>
      </c>
      <c r="AU1488" s="1099" t="e">
        <f t="shared" si="880"/>
        <v>#DIV/0!</v>
      </c>
      <c r="AV1488" s="1099" t="e">
        <f t="shared" si="880"/>
        <v>#DIV/0!</v>
      </c>
      <c r="AW1488" s="1099" t="e">
        <f t="shared" si="880"/>
        <v>#DIV/0!</v>
      </c>
      <c r="AX1488" s="1099" t="e">
        <f t="shared" si="880"/>
        <v>#DIV/0!</v>
      </c>
      <c r="AY1488" s="1099" t="e">
        <f t="shared" si="880"/>
        <v>#DIV/0!</v>
      </c>
      <c r="AZ1488" s="1091" t="s">
        <v>1012</v>
      </c>
      <c r="BA1488" s="1097" t="e">
        <f>IF(Table3[[#This Row],[max]]&lt;&gt;0,RANK(Table3[[#This Row],[max]],Table3[max],0),"")</f>
        <v>#DIV/0!</v>
      </c>
      <c r="BB1488" s="1096" t="e">
        <f t="shared" si="876"/>
        <v>#DIV/0!</v>
      </c>
      <c r="BC1488" s="1096" t="e">
        <f t="shared" ca="1" si="877"/>
        <v>#DIV/0!</v>
      </c>
      <c r="BD1488" s="1096" t="e">
        <f>IF(Table3[[#This Row],[max]]&gt;0,Table3[[#This Row],[Crop groups and examples of individual products within the groups to which the MRLs apply]],"")</f>
        <v>#DIV/0!</v>
      </c>
    </row>
    <row r="1489" spans="2:56" x14ac:dyDescent="0.2">
      <c r="B1489" s="131">
        <f t="shared" si="878"/>
        <v>820000</v>
      </c>
      <c r="C1489" s="131" t="str">
        <f t="shared" si="878"/>
        <v>Spices (fruits)</v>
      </c>
      <c r="D1489" s="1084">
        <f>input_values!E289</f>
        <v>0</v>
      </c>
      <c r="E1489" s="1084">
        <f>input_values!F289</f>
        <v>0</v>
      </c>
      <c r="F1489" s="1085">
        <f>input_values!W289</f>
        <v>0</v>
      </c>
      <c r="G1489" s="1085" t="str">
        <f>IF(Table3[[#This Row],[CF]]&gt;0,CONCATENATE(IF(Table3[[#This Row],[LOQ]]="*","LOQ","MRL"),IF(input_values!G289&gt;0,"×CFrisk","")),"")</f>
        <v/>
      </c>
      <c r="H1489" s="1087">
        <f>input_values!L289</f>
        <v>0</v>
      </c>
      <c r="I1489" s="1088">
        <f>input_values!D289</f>
        <v>0</v>
      </c>
      <c r="J1489" s="1095" t="e">
        <f>IF($D$1212="",0,$D1489*Table3[[#This Row],[CF]]*chronic_consumption!$E289/1000/$C$3)</f>
        <v>#DIV/0!</v>
      </c>
      <c r="K1489" s="1095" t="e">
        <f>IF($D$1212="",0,$D1489*Table3[[#This Row],[CF]]*chronic_consumption!$F289/1000/$C$3)</f>
        <v>#DIV/0!</v>
      </c>
      <c r="L1489" s="1095" t="e">
        <f>IF($D$1212="",0,$D1489*Table3[[#This Row],[CF]]*chronic_consumption!$G289/1000/$C$3)</f>
        <v>#DIV/0!</v>
      </c>
      <c r="M1489" s="1095" t="e">
        <f>IF($D$1212="",0,$D1489*Table3[[#This Row],[CF]]*chronic_consumption!$H289/1000/$C$3)</f>
        <v>#DIV/0!</v>
      </c>
      <c r="N1489" s="1095" t="e">
        <f>IF($D$1212="",0,$D1489*Table3[[#This Row],[CF]]*chronic_consumption!$I289/1000/$C$3)</f>
        <v>#DIV/0!</v>
      </c>
      <c r="O1489" s="1095" t="e">
        <f>IF($D$1212="",0,$D1489*Table3[[#This Row],[CF]]*chronic_consumption!$J289/1000/$C$3)</f>
        <v>#DIV/0!</v>
      </c>
      <c r="P1489" s="1095" t="e">
        <f>IF($D$1212="",0,$D1489*Table3[[#This Row],[CF]]*chronic_consumption!$K289/1000/$C$3)</f>
        <v>#DIV/0!</v>
      </c>
      <c r="Q1489" s="1095" t="e">
        <f>IF($D$1212="",0,$D1489*Table3[[#This Row],[CF]]*chronic_consumption!$L289/1000/$C$3)</f>
        <v>#DIV/0!</v>
      </c>
      <c r="R1489" s="1095" t="e">
        <f>IF($D$1212="",0,$D1489*Table3[[#This Row],[CF]]*chronic_consumption!$M289/1000/$C$3)</f>
        <v>#DIV/0!</v>
      </c>
      <c r="S1489" s="1095" t="e">
        <f>IF($D$1212="",0,$D1489*Table3[[#This Row],[CF]]*chronic_consumption!$N289/1000/$C$3)</f>
        <v>#DIV/0!</v>
      </c>
      <c r="T1489" s="1095" t="e">
        <f>IF($D$1212="",0,$D1489*Table3[[#This Row],[CF]]*chronic_consumption!$O289/1000/$C$3)</f>
        <v>#DIV/0!</v>
      </c>
      <c r="U1489" s="1095" t="e">
        <f>IF($D$1212="",0,$D1489*Table3[[#This Row],[CF]]*chronic_consumption!$P289/1000/$C$3)</f>
        <v>#DIV/0!</v>
      </c>
      <c r="V1489" s="1095" t="e">
        <f>IF($D$1212="",0,$D1489*Table3[[#This Row],[CF]]*chronic_consumption!$Q289/1000/$C$3)</f>
        <v>#DIV/0!</v>
      </c>
      <c r="W1489" s="1095" t="e">
        <f>IF($D$1212="",0,$D1489*Table3[[#This Row],[CF]]*chronic_consumption!$R289/1000/$C$3)</f>
        <v>#DIV/0!</v>
      </c>
      <c r="X1489" s="1095" t="e">
        <f>IF($D$1212="",0,$D1489*Table3[[#This Row],[CF]]*chronic_consumption!$S289/1000/$C$3)</f>
        <v>#DIV/0!</v>
      </c>
      <c r="Y1489" s="1095" t="e">
        <f>IF($D$1212="",0,$D1489*Table3[[#This Row],[CF]]*chronic_consumption!$T289/1000/$C$3)</f>
        <v>#DIV/0!</v>
      </c>
      <c r="Z1489" s="1095" t="e">
        <f>IF($D$1212="",0,$D1489*Table3[[#This Row],[CF]]*chronic_consumption!$U289/1000/$C$3)</f>
        <v>#DIV/0!</v>
      </c>
      <c r="AA1489" s="1095" t="e">
        <f>IF($D$1212="",0,$D1489*Table3[[#This Row],[CF]]*chronic_consumption!$V289/1000/$C$3)</f>
        <v>#DIV/0!</v>
      </c>
      <c r="AB1489" s="1095" t="e">
        <f>IF($D$1212="",0,$D1489*Table3[[#This Row],[CF]]*chronic_consumption!$W289/1000/$C$3)</f>
        <v>#DIV/0!</v>
      </c>
      <c r="AC1489" s="1095" t="e">
        <f>IF($D$1212="",0,$D1489*Table3[[#This Row],[CF]]*chronic_consumption!$X289/1000/$C$3)</f>
        <v>#DIV/0!</v>
      </c>
      <c r="AD1489" s="1095" t="e">
        <f>IF($D$1212="",0,$D1489*Table3[[#This Row],[CF]]*chronic_consumption!$Y289/1000/$C$3)</f>
        <v>#DIV/0!</v>
      </c>
      <c r="AE1489" s="1095" t="e">
        <f>IF($D$1212="",0,$D1489*Table3[[#This Row],[CF]]*chronic_consumption!$Z289/1000/$C$3)</f>
        <v>#DIV/0!</v>
      </c>
      <c r="AF1489" s="1095" t="e">
        <f>IF($D$1212="",0,$D1489*Table3[[#This Row],[CF]]*chronic_consumption!$AA289/1000/$C$3)</f>
        <v>#DIV/0!</v>
      </c>
      <c r="AG1489" s="1095" t="e">
        <f>IF($D$1212="",0,$D1489*Table3[[#This Row],[CF]]*chronic_consumption!$AB289/1000/$C$3)</f>
        <v>#DIV/0!</v>
      </c>
      <c r="AH1489" s="1095" t="e">
        <f>IF($D$1212="",0,$D1489*Table3[[#This Row],[CF]]*chronic_consumption!$AC289/1000/$C$3)</f>
        <v>#DIV/0!</v>
      </c>
      <c r="AI1489" s="1095" t="e">
        <f>IF($D$1212="",0,$D1489*Table3[[#This Row],[CF]]*chronic_consumption!$AD289/1000/$C$3)</f>
        <v>#DIV/0!</v>
      </c>
      <c r="AJ1489" s="1095" t="e">
        <f>IF($D$1212="",0,$D1489*Table3[[#This Row],[CF]]*chronic_consumption!$AE289/1000/$C$3)</f>
        <v>#DIV/0!</v>
      </c>
      <c r="AK1489" s="1095" t="e">
        <f>IF($D$1212="",0,$D1489*Table3[[#This Row],[CF]]*chronic_consumption!$AF289/1000/$C$3)</f>
        <v>#DIV/0!</v>
      </c>
      <c r="AL1489" s="1095" t="e">
        <f>IF($D$1212="",0,$D1489*Table3[[#This Row],[CF]]*chronic_consumption!$AG289/1000/$C$3)</f>
        <v>#DIV/0!</v>
      </c>
      <c r="AM1489" s="1095" t="e">
        <f>IF($D$1212="",0,$D1489*Table3[[#This Row],[CF]]*chronic_consumption!$AH289/1000/$C$3)</f>
        <v>#DIV/0!</v>
      </c>
      <c r="AN1489" s="1095" t="e">
        <f>IF($D$1212="",0,$D1489*Table3[[#This Row],[CF]]*chronic_consumption!$AI289/1000/$C$3)</f>
        <v>#DIV/0!</v>
      </c>
      <c r="AO1489" s="1095" t="e">
        <f>IF($D$1212="",0,$D1489*Table3[[#This Row],[CF]]*chronic_consumption!$AJ289/1000/$C$3)</f>
        <v>#DIV/0!</v>
      </c>
      <c r="AP1489" s="1095" t="e">
        <f>IF($D$1212="",0,$D1489*Table3[[#This Row],[CF]]*chronic_consumption!$AK289/1000/$C$3)</f>
        <v>#DIV/0!</v>
      </c>
      <c r="AQ1489" s="1095" t="e">
        <f>IF($D$1212="",0,$D1489*Table3[[#This Row],[CF]]*chronic_consumption!$AL289/1000/$C$3)</f>
        <v>#DIV/0!</v>
      </c>
      <c r="AR1489" s="1095" t="e">
        <f>IF($D$1212="",0,$D1489*Table3[[#This Row],[CF]]*chronic_consumption!$AM289/1000/$C$3)</f>
        <v>#DIV/0!</v>
      </c>
      <c r="AS1489" s="1095" t="e">
        <f>IF($D$1212="",0,$D1489*Table3[[#This Row],[CF]]*chronic_consumption!$AN289/1000/$C$3)</f>
        <v>#DIV/0!</v>
      </c>
      <c r="AT1489" s="1095" t="e">
        <f>IF($D$1212="",0,$D1489*Table3[[#This Row],[CF]]*chronic_consumption!$AO289/1000/$C$3)</f>
        <v>#DIV/0!</v>
      </c>
      <c r="AU1489" s="1096" t="e">
        <f t="shared" si="880"/>
        <v>#DIV/0!</v>
      </c>
      <c r="AV1489" s="1096" t="e">
        <f t="shared" si="880"/>
        <v>#DIV/0!</v>
      </c>
      <c r="AW1489" s="1096" t="e">
        <f t="shared" si="880"/>
        <v>#DIV/0!</v>
      </c>
      <c r="AX1489" s="1096" t="e">
        <f t="shared" si="880"/>
        <v>#DIV/0!</v>
      </c>
      <c r="AY1489" s="1096" t="e">
        <f t="shared" si="880"/>
        <v>#DIV/0!</v>
      </c>
      <c r="AZ1489" s="1091" t="s">
        <v>1012</v>
      </c>
      <c r="BA1489" s="1097" t="e">
        <f>IF(Table3[[#This Row],[max]]&lt;&gt;0,RANK(Table3[[#This Row],[max]],Table3[max],0),"")</f>
        <v>#DIV/0!</v>
      </c>
      <c r="BB1489" s="1096" t="e">
        <f t="shared" si="876"/>
        <v>#DIV/0!</v>
      </c>
      <c r="BC1489" s="1096" t="e">
        <f t="shared" ca="1" si="877"/>
        <v>#DIV/0!</v>
      </c>
      <c r="BD1489" s="1096" t="e">
        <f>IF(Table3[[#This Row],[max]]&gt;0,Table3[[#This Row],[Crop groups and examples of individual products within the groups to which the MRLs apply]],"")</f>
        <v>#DIV/0!</v>
      </c>
    </row>
    <row r="1490" spans="2:56" x14ac:dyDescent="0.2">
      <c r="B1490" s="23">
        <f t="shared" si="878"/>
        <v>820010</v>
      </c>
      <c r="C1490" s="23" t="str">
        <f t="shared" si="878"/>
        <v>Allspice/pimento</v>
      </c>
      <c r="D1490" s="1084">
        <f>input_values!E290</f>
        <v>0</v>
      </c>
      <c r="E1490" s="1084">
        <f>input_values!F290</f>
        <v>0</v>
      </c>
      <c r="F1490" s="1085">
        <f>input_values!W290</f>
        <v>1</v>
      </c>
      <c r="G1490" s="1085" t="str">
        <f>IF(Table3[[#This Row],[CF]]&gt;0,CONCATENATE(IF(Table3[[#This Row],[LOQ]]="*","LOQ","MRL"),IF(input_values!G290&gt;0,"×CFrisk","")),"")</f>
        <v>MRL</v>
      </c>
      <c r="H1490" s="1087">
        <f>input_values!L290</f>
        <v>0</v>
      </c>
      <c r="I1490" s="1088">
        <f>input_values!D290</f>
        <v>0</v>
      </c>
      <c r="J1490" s="1098" t="e">
        <f>IF($D$1212="",0,$D1490*Table3[[#This Row],[CF]]*chronic_consumption!$E290/1000/$C$3)</f>
        <v>#DIV/0!</v>
      </c>
      <c r="K1490" s="1098" t="e">
        <f>IF($D$1212="",0,$D1490*Table3[[#This Row],[CF]]*chronic_consumption!$F290/1000/$C$3)</f>
        <v>#DIV/0!</v>
      </c>
      <c r="L1490" s="1098" t="e">
        <f>IF($D$1212="",0,$D1490*Table3[[#This Row],[CF]]*chronic_consumption!$G290/1000/$C$3)</f>
        <v>#DIV/0!</v>
      </c>
      <c r="M1490" s="1098" t="e">
        <f>IF($D$1212="",0,$D1490*Table3[[#This Row],[CF]]*chronic_consumption!$H290/1000/$C$3)</f>
        <v>#DIV/0!</v>
      </c>
      <c r="N1490" s="1098" t="e">
        <f>IF($D$1212="",0,$D1490*Table3[[#This Row],[CF]]*chronic_consumption!$I290/1000/$C$3)</f>
        <v>#DIV/0!</v>
      </c>
      <c r="O1490" s="1098" t="e">
        <f>IF($D$1212="",0,$D1490*Table3[[#This Row],[CF]]*chronic_consumption!$J290/1000/$C$3)</f>
        <v>#DIV/0!</v>
      </c>
      <c r="P1490" s="1098" t="e">
        <f>IF($D$1212="",0,$D1490*Table3[[#This Row],[CF]]*chronic_consumption!$K290/1000/$C$3)</f>
        <v>#DIV/0!</v>
      </c>
      <c r="Q1490" s="1098" t="e">
        <f>IF($D$1212="",0,$D1490*Table3[[#This Row],[CF]]*chronic_consumption!$L290/1000/$C$3)</f>
        <v>#DIV/0!</v>
      </c>
      <c r="R1490" s="1098" t="e">
        <f>IF($D$1212="",0,$D1490*Table3[[#This Row],[CF]]*chronic_consumption!$M290/1000/$C$3)</f>
        <v>#DIV/0!</v>
      </c>
      <c r="S1490" s="1098" t="e">
        <f>IF($D$1212="",0,$D1490*Table3[[#This Row],[CF]]*chronic_consumption!$N290/1000/$C$3)</f>
        <v>#DIV/0!</v>
      </c>
      <c r="T1490" s="1098" t="e">
        <f>IF($D$1212="",0,$D1490*Table3[[#This Row],[CF]]*chronic_consumption!$O290/1000/$C$3)</f>
        <v>#DIV/0!</v>
      </c>
      <c r="U1490" s="1098" t="e">
        <f>IF($D$1212="",0,$D1490*Table3[[#This Row],[CF]]*chronic_consumption!$P290/1000/$C$3)</f>
        <v>#DIV/0!</v>
      </c>
      <c r="V1490" s="1098" t="e">
        <f>IF($D$1212="",0,$D1490*Table3[[#This Row],[CF]]*chronic_consumption!$Q290/1000/$C$3)</f>
        <v>#DIV/0!</v>
      </c>
      <c r="W1490" s="1098" t="e">
        <f>IF($D$1212="",0,$D1490*Table3[[#This Row],[CF]]*chronic_consumption!$R290/1000/$C$3)</f>
        <v>#DIV/0!</v>
      </c>
      <c r="X1490" s="1098" t="e">
        <f>IF($D$1212="",0,$D1490*Table3[[#This Row],[CF]]*chronic_consumption!$S290/1000/$C$3)</f>
        <v>#DIV/0!</v>
      </c>
      <c r="Y1490" s="1098" t="e">
        <f>IF($D$1212="",0,$D1490*Table3[[#This Row],[CF]]*chronic_consumption!$T290/1000/$C$3)</f>
        <v>#DIV/0!</v>
      </c>
      <c r="Z1490" s="1098" t="e">
        <f>IF($D$1212="",0,$D1490*Table3[[#This Row],[CF]]*chronic_consumption!$U290/1000/$C$3)</f>
        <v>#DIV/0!</v>
      </c>
      <c r="AA1490" s="1098" t="e">
        <f>IF($D$1212="",0,$D1490*Table3[[#This Row],[CF]]*chronic_consumption!$V290/1000/$C$3)</f>
        <v>#DIV/0!</v>
      </c>
      <c r="AB1490" s="1098" t="e">
        <f>IF($D$1212="",0,$D1490*Table3[[#This Row],[CF]]*chronic_consumption!$W290/1000/$C$3)</f>
        <v>#DIV/0!</v>
      </c>
      <c r="AC1490" s="1098" t="e">
        <f>IF($D$1212="",0,$D1490*Table3[[#This Row],[CF]]*chronic_consumption!$X290/1000/$C$3)</f>
        <v>#DIV/0!</v>
      </c>
      <c r="AD1490" s="1098" t="e">
        <f>IF($D$1212="",0,$D1490*Table3[[#This Row],[CF]]*chronic_consumption!$Y290/1000/$C$3)</f>
        <v>#DIV/0!</v>
      </c>
      <c r="AE1490" s="1098" t="e">
        <f>IF($D$1212="",0,$D1490*Table3[[#This Row],[CF]]*chronic_consumption!$Z290/1000/$C$3)</f>
        <v>#DIV/0!</v>
      </c>
      <c r="AF1490" s="1098" t="e">
        <f>IF($D$1212="",0,$D1490*Table3[[#This Row],[CF]]*chronic_consumption!$AA290/1000/$C$3)</f>
        <v>#DIV/0!</v>
      </c>
      <c r="AG1490" s="1098" t="e">
        <f>IF($D$1212="",0,$D1490*Table3[[#This Row],[CF]]*chronic_consumption!$AB290/1000/$C$3)</f>
        <v>#DIV/0!</v>
      </c>
      <c r="AH1490" s="1098" t="e">
        <f>IF($D$1212="",0,$D1490*Table3[[#This Row],[CF]]*chronic_consumption!$AC290/1000/$C$3)</f>
        <v>#DIV/0!</v>
      </c>
      <c r="AI1490" s="1098" t="e">
        <f>IF($D$1212="",0,$D1490*Table3[[#This Row],[CF]]*chronic_consumption!$AD290/1000/$C$3)</f>
        <v>#DIV/0!</v>
      </c>
      <c r="AJ1490" s="1098" t="e">
        <f>IF($D$1212="",0,$D1490*Table3[[#This Row],[CF]]*chronic_consumption!$AE290/1000/$C$3)</f>
        <v>#DIV/0!</v>
      </c>
      <c r="AK1490" s="1098" t="e">
        <f>IF($D$1212="",0,$D1490*Table3[[#This Row],[CF]]*chronic_consumption!$AF290/1000/$C$3)</f>
        <v>#DIV/0!</v>
      </c>
      <c r="AL1490" s="1098" t="e">
        <f>IF($D$1212="",0,$D1490*Table3[[#This Row],[CF]]*chronic_consumption!$AG290/1000/$C$3)</f>
        <v>#DIV/0!</v>
      </c>
      <c r="AM1490" s="1098" t="e">
        <f>IF($D$1212="",0,$D1490*Table3[[#This Row],[CF]]*chronic_consumption!$AH290/1000/$C$3)</f>
        <v>#DIV/0!</v>
      </c>
      <c r="AN1490" s="1098" t="e">
        <f>IF($D$1212="",0,$D1490*Table3[[#This Row],[CF]]*chronic_consumption!$AI290/1000/$C$3)</f>
        <v>#DIV/0!</v>
      </c>
      <c r="AO1490" s="1098" t="e">
        <f>IF($D$1212="",0,$D1490*Table3[[#This Row],[CF]]*chronic_consumption!$AJ290/1000/$C$3)</f>
        <v>#DIV/0!</v>
      </c>
      <c r="AP1490" s="1098" t="e">
        <f>IF($D$1212="",0,$D1490*Table3[[#This Row],[CF]]*chronic_consumption!$AK290/1000/$C$3)</f>
        <v>#DIV/0!</v>
      </c>
      <c r="AQ1490" s="1098" t="e">
        <f>IF($D$1212="",0,$D1490*Table3[[#This Row],[CF]]*chronic_consumption!$AL290/1000/$C$3)</f>
        <v>#DIV/0!</v>
      </c>
      <c r="AR1490" s="1098" t="e">
        <f>IF($D$1212="",0,$D1490*Table3[[#This Row],[CF]]*chronic_consumption!$AM290/1000/$C$3)</f>
        <v>#DIV/0!</v>
      </c>
      <c r="AS1490" s="1098" t="e">
        <f>IF($D$1212="",0,$D1490*Table3[[#This Row],[CF]]*chronic_consumption!$AN290/1000/$C$3)</f>
        <v>#DIV/0!</v>
      </c>
      <c r="AT1490" s="1098" t="e">
        <f>IF($D$1212="",0,$D1490*Table3[[#This Row],[CF]]*chronic_consumption!$AO290/1000/$C$3)</f>
        <v>#DIV/0!</v>
      </c>
      <c r="AU1490" s="1099" t="e">
        <f t="shared" si="880"/>
        <v>#DIV/0!</v>
      </c>
      <c r="AV1490" s="1099" t="e">
        <f t="shared" si="880"/>
        <v>#DIV/0!</v>
      </c>
      <c r="AW1490" s="1099" t="e">
        <f t="shared" si="880"/>
        <v>#DIV/0!</v>
      </c>
      <c r="AX1490" s="1099" t="e">
        <f t="shared" si="880"/>
        <v>#DIV/0!</v>
      </c>
      <c r="AY1490" s="1099" t="e">
        <f t="shared" si="880"/>
        <v>#DIV/0!</v>
      </c>
      <c r="AZ1490" s="1091" t="s">
        <v>1012</v>
      </c>
      <c r="BA1490" s="1097" t="e">
        <f>IF(Table3[[#This Row],[max]]&lt;&gt;0,RANK(Table3[[#This Row],[max]],Table3[max],0),"")</f>
        <v>#DIV/0!</v>
      </c>
      <c r="BB1490" s="1096" t="e">
        <f t="shared" si="876"/>
        <v>#DIV/0!</v>
      </c>
      <c r="BC1490" s="1096" t="e">
        <f t="shared" ca="1" si="877"/>
        <v>#DIV/0!</v>
      </c>
      <c r="BD1490" s="1096" t="e">
        <f>IF(Table3[[#This Row],[max]]&gt;0,Table3[[#This Row],[Crop groups and examples of individual products within the groups to which the MRLs apply]],"")</f>
        <v>#DIV/0!</v>
      </c>
    </row>
    <row r="1491" spans="2:56" x14ac:dyDescent="0.2">
      <c r="B1491" s="23">
        <f t="shared" si="878"/>
        <v>820020</v>
      </c>
      <c r="C1491" s="23" t="str">
        <f t="shared" si="878"/>
        <v>Sichuan pepper</v>
      </c>
      <c r="D1491" s="1084">
        <f>input_values!E291</f>
        <v>0</v>
      </c>
      <c r="E1491" s="1084">
        <f>input_values!F291</f>
        <v>0</v>
      </c>
      <c r="F1491" s="1085">
        <f>input_values!W291</f>
        <v>1</v>
      </c>
      <c r="G1491" s="1085" t="str">
        <f>IF(Table3[[#This Row],[CF]]&gt;0,CONCATENATE(IF(Table3[[#This Row],[LOQ]]="*","LOQ","MRL"),IF(input_values!G291&gt;0,"×CFrisk","")),"")</f>
        <v>MRL</v>
      </c>
      <c r="H1491" s="1087">
        <f>input_values!L291</f>
        <v>0</v>
      </c>
      <c r="I1491" s="1088">
        <f>input_values!D291</f>
        <v>0</v>
      </c>
      <c r="J1491" s="1098" t="e">
        <f>IF($D$1212="",0,$D1491*Table3[[#This Row],[CF]]*chronic_consumption!$E291/1000/$C$3)</f>
        <v>#DIV/0!</v>
      </c>
      <c r="K1491" s="1098" t="e">
        <f>IF($D$1212="",0,$D1491*Table3[[#This Row],[CF]]*chronic_consumption!$F291/1000/$C$3)</f>
        <v>#DIV/0!</v>
      </c>
      <c r="L1491" s="1098" t="e">
        <f>IF($D$1212="",0,$D1491*Table3[[#This Row],[CF]]*chronic_consumption!$G291/1000/$C$3)</f>
        <v>#DIV/0!</v>
      </c>
      <c r="M1491" s="1098" t="e">
        <f>IF($D$1212="",0,$D1491*Table3[[#This Row],[CF]]*chronic_consumption!$H291/1000/$C$3)</f>
        <v>#DIV/0!</v>
      </c>
      <c r="N1491" s="1098" t="e">
        <f>IF($D$1212="",0,$D1491*Table3[[#This Row],[CF]]*chronic_consumption!$I291/1000/$C$3)</f>
        <v>#DIV/0!</v>
      </c>
      <c r="O1491" s="1098" t="e">
        <f>IF($D$1212="",0,$D1491*Table3[[#This Row],[CF]]*chronic_consumption!$J291/1000/$C$3)</f>
        <v>#DIV/0!</v>
      </c>
      <c r="P1491" s="1098" t="e">
        <f>IF($D$1212="",0,$D1491*Table3[[#This Row],[CF]]*chronic_consumption!$K291/1000/$C$3)</f>
        <v>#DIV/0!</v>
      </c>
      <c r="Q1491" s="1098" t="e">
        <f>IF($D$1212="",0,$D1491*Table3[[#This Row],[CF]]*chronic_consumption!$L291/1000/$C$3)</f>
        <v>#DIV/0!</v>
      </c>
      <c r="R1491" s="1098" t="e">
        <f>IF($D$1212="",0,$D1491*Table3[[#This Row],[CF]]*chronic_consumption!$M291/1000/$C$3)</f>
        <v>#DIV/0!</v>
      </c>
      <c r="S1491" s="1098" t="e">
        <f>IF($D$1212="",0,$D1491*Table3[[#This Row],[CF]]*chronic_consumption!$N291/1000/$C$3)</f>
        <v>#DIV/0!</v>
      </c>
      <c r="T1491" s="1098" t="e">
        <f>IF($D$1212="",0,$D1491*Table3[[#This Row],[CF]]*chronic_consumption!$O291/1000/$C$3)</f>
        <v>#DIV/0!</v>
      </c>
      <c r="U1491" s="1098" t="e">
        <f>IF($D$1212="",0,$D1491*Table3[[#This Row],[CF]]*chronic_consumption!$P291/1000/$C$3)</f>
        <v>#DIV/0!</v>
      </c>
      <c r="V1491" s="1098" t="e">
        <f>IF($D$1212="",0,$D1491*Table3[[#This Row],[CF]]*chronic_consumption!$Q291/1000/$C$3)</f>
        <v>#DIV/0!</v>
      </c>
      <c r="W1491" s="1098" t="e">
        <f>IF($D$1212="",0,$D1491*Table3[[#This Row],[CF]]*chronic_consumption!$R291/1000/$C$3)</f>
        <v>#DIV/0!</v>
      </c>
      <c r="X1491" s="1098" t="e">
        <f>IF($D$1212="",0,$D1491*Table3[[#This Row],[CF]]*chronic_consumption!$S291/1000/$C$3)</f>
        <v>#DIV/0!</v>
      </c>
      <c r="Y1491" s="1098" t="e">
        <f>IF($D$1212="",0,$D1491*Table3[[#This Row],[CF]]*chronic_consumption!$T291/1000/$C$3)</f>
        <v>#DIV/0!</v>
      </c>
      <c r="Z1491" s="1098" t="e">
        <f>IF($D$1212="",0,$D1491*Table3[[#This Row],[CF]]*chronic_consumption!$U291/1000/$C$3)</f>
        <v>#DIV/0!</v>
      </c>
      <c r="AA1491" s="1098" t="e">
        <f>IF($D$1212="",0,$D1491*Table3[[#This Row],[CF]]*chronic_consumption!$V291/1000/$C$3)</f>
        <v>#DIV/0!</v>
      </c>
      <c r="AB1491" s="1098" t="e">
        <f>IF($D$1212="",0,$D1491*Table3[[#This Row],[CF]]*chronic_consumption!$W291/1000/$C$3)</f>
        <v>#DIV/0!</v>
      </c>
      <c r="AC1491" s="1098" t="e">
        <f>IF($D$1212="",0,$D1491*Table3[[#This Row],[CF]]*chronic_consumption!$X291/1000/$C$3)</f>
        <v>#DIV/0!</v>
      </c>
      <c r="AD1491" s="1098" t="e">
        <f>IF($D$1212="",0,$D1491*Table3[[#This Row],[CF]]*chronic_consumption!$Y291/1000/$C$3)</f>
        <v>#DIV/0!</v>
      </c>
      <c r="AE1491" s="1098" t="e">
        <f>IF($D$1212="",0,$D1491*Table3[[#This Row],[CF]]*chronic_consumption!$Z291/1000/$C$3)</f>
        <v>#DIV/0!</v>
      </c>
      <c r="AF1491" s="1098" t="e">
        <f>IF($D$1212="",0,$D1491*Table3[[#This Row],[CF]]*chronic_consumption!$AA291/1000/$C$3)</f>
        <v>#DIV/0!</v>
      </c>
      <c r="AG1491" s="1098" t="e">
        <f>IF($D$1212="",0,$D1491*Table3[[#This Row],[CF]]*chronic_consumption!$AB291/1000/$C$3)</f>
        <v>#DIV/0!</v>
      </c>
      <c r="AH1491" s="1098" t="e">
        <f>IF($D$1212="",0,$D1491*Table3[[#This Row],[CF]]*chronic_consumption!$AC291/1000/$C$3)</f>
        <v>#DIV/0!</v>
      </c>
      <c r="AI1491" s="1098" t="e">
        <f>IF($D$1212="",0,$D1491*Table3[[#This Row],[CF]]*chronic_consumption!$AD291/1000/$C$3)</f>
        <v>#DIV/0!</v>
      </c>
      <c r="AJ1491" s="1098" t="e">
        <f>IF($D$1212="",0,$D1491*Table3[[#This Row],[CF]]*chronic_consumption!$AE291/1000/$C$3)</f>
        <v>#DIV/0!</v>
      </c>
      <c r="AK1491" s="1098" t="e">
        <f>IF($D$1212="",0,$D1491*Table3[[#This Row],[CF]]*chronic_consumption!$AF291/1000/$C$3)</f>
        <v>#DIV/0!</v>
      </c>
      <c r="AL1491" s="1098" t="e">
        <f>IF($D$1212="",0,$D1491*Table3[[#This Row],[CF]]*chronic_consumption!$AG291/1000/$C$3)</f>
        <v>#DIV/0!</v>
      </c>
      <c r="AM1491" s="1098" t="e">
        <f>IF($D$1212="",0,$D1491*Table3[[#This Row],[CF]]*chronic_consumption!$AH291/1000/$C$3)</f>
        <v>#DIV/0!</v>
      </c>
      <c r="AN1491" s="1098" t="e">
        <f>IF($D$1212="",0,$D1491*Table3[[#This Row],[CF]]*chronic_consumption!$AI291/1000/$C$3)</f>
        <v>#DIV/0!</v>
      </c>
      <c r="AO1491" s="1098" t="e">
        <f>IF($D$1212="",0,$D1491*Table3[[#This Row],[CF]]*chronic_consumption!$AJ291/1000/$C$3)</f>
        <v>#DIV/0!</v>
      </c>
      <c r="AP1491" s="1098" t="e">
        <f>IF($D$1212="",0,$D1491*Table3[[#This Row],[CF]]*chronic_consumption!$AK291/1000/$C$3)</f>
        <v>#DIV/0!</v>
      </c>
      <c r="AQ1491" s="1098" t="e">
        <f>IF($D$1212="",0,$D1491*Table3[[#This Row],[CF]]*chronic_consumption!$AL291/1000/$C$3)</f>
        <v>#DIV/0!</v>
      </c>
      <c r="AR1491" s="1098" t="e">
        <f>IF($D$1212="",0,$D1491*Table3[[#This Row],[CF]]*chronic_consumption!$AM291/1000/$C$3)</f>
        <v>#DIV/0!</v>
      </c>
      <c r="AS1491" s="1098" t="e">
        <f>IF($D$1212="",0,$D1491*Table3[[#This Row],[CF]]*chronic_consumption!$AN291/1000/$C$3)</f>
        <v>#DIV/0!</v>
      </c>
      <c r="AT1491" s="1098" t="e">
        <f>IF($D$1212="",0,$D1491*Table3[[#This Row],[CF]]*chronic_consumption!$AO291/1000/$C$3)</f>
        <v>#DIV/0!</v>
      </c>
      <c r="AU1491" s="1099" t="e">
        <f t="shared" si="880"/>
        <v>#DIV/0!</v>
      </c>
      <c r="AV1491" s="1099" t="e">
        <f t="shared" si="880"/>
        <v>#DIV/0!</v>
      </c>
      <c r="AW1491" s="1099" t="e">
        <f t="shared" si="880"/>
        <v>#DIV/0!</v>
      </c>
      <c r="AX1491" s="1099" t="e">
        <f t="shared" si="880"/>
        <v>#DIV/0!</v>
      </c>
      <c r="AY1491" s="1099" t="e">
        <f t="shared" si="880"/>
        <v>#DIV/0!</v>
      </c>
      <c r="AZ1491" s="1091" t="s">
        <v>1012</v>
      </c>
      <c r="BA1491" s="1097" t="e">
        <f>IF(Table3[[#This Row],[max]]&lt;&gt;0,RANK(Table3[[#This Row],[max]],Table3[max],0),"")</f>
        <v>#DIV/0!</v>
      </c>
      <c r="BB1491" s="1096" t="e">
        <f t="shared" si="876"/>
        <v>#DIV/0!</v>
      </c>
      <c r="BC1491" s="1096" t="e">
        <f t="shared" ca="1" si="877"/>
        <v>#DIV/0!</v>
      </c>
      <c r="BD1491" s="1096" t="e">
        <f>IF(Table3[[#This Row],[max]]&gt;0,Table3[[#This Row],[Crop groups and examples of individual products within the groups to which the MRLs apply]],"")</f>
        <v>#DIV/0!</v>
      </c>
    </row>
    <row r="1492" spans="2:56" x14ac:dyDescent="0.2">
      <c r="B1492" s="23">
        <f t="shared" ref="B1492:C1511" si="881">B292</f>
        <v>820030</v>
      </c>
      <c r="C1492" s="23" t="str">
        <f t="shared" si="881"/>
        <v xml:space="preserve">Caraway </v>
      </c>
      <c r="D1492" s="1084">
        <f>input_values!E292</f>
        <v>0</v>
      </c>
      <c r="E1492" s="1084">
        <f>input_values!F292</f>
        <v>0</v>
      </c>
      <c r="F1492" s="1085">
        <f>input_values!W292</f>
        <v>1</v>
      </c>
      <c r="G1492" s="1085" t="str">
        <f>IF(Table3[[#This Row],[CF]]&gt;0,CONCATENATE(IF(Table3[[#This Row],[LOQ]]="*","LOQ","MRL"),IF(input_values!G292&gt;0,"×CFrisk","")),"")</f>
        <v>MRL</v>
      </c>
      <c r="H1492" s="1087">
        <f>input_values!L292</f>
        <v>0</v>
      </c>
      <c r="I1492" s="1088">
        <f>input_values!D292</f>
        <v>0</v>
      </c>
      <c r="J1492" s="1098" t="e">
        <f>IF($D$1212="",0,$D1492*Table3[[#This Row],[CF]]*chronic_consumption!$E292/1000/$C$3)</f>
        <v>#DIV/0!</v>
      </c>
      <c r="K1492" s="1098" t="e">
        <f>IF($D$1212="",0,$D1492*Table3[[#This Row],[CF]]*chronic_consumption!$F292/1000/$C$3)</f>
        <v>#DIV/0!</v>
      </c>
      <c r="L1492" s="1098" t="e">
        <f>IF($D$1212="",0,$D1492*Table3[[#This Row],[CF]]*chronic_consumption!$G292/1000/$C$3)</f>
        <v>#DIV/0!</v>
      </c>
      <c r="M1492" s="1098" t="e">
        <f>IF($D$1212="",0,$D1492*Table3[[#This Row],[CF]]*chronic_consumption!$H292/1000/$C$3)</f>
        <v>#DIV/0!</v>
      </c>
      <c r="N1492" s="1098" t="e">
        <f>IF($D$1212="",0,$D1492*Table3[[#This Row],[CF]]*chronic_consumption!$I292/1000/$C$3)</f>
        <v>#DIV/0!</v>
      </c>
      <c r="O1492" s="1098" t="e">
        <f>IF($D$1212="",0,$D1492*Table3[[#This Row],[CF]]*chronic_consumption!$J292/1000/$C$3)</f>
        <v>#DIV/0!</v>
      </c>
      <c r="P1492" s="1098" t="e">
        <f>IF($D$1212="",0,$D1492*Table3[[#This Row],[CF]]*chronic_consumption!$K292/1000/$C$3)</f>
        <v>#DIV/0!</v>
      </c>
      <c r="Q1492" s="1098" t="e">
        <f>IF($D$1212="",0,$D1492*Table3[[#This Row],[CF]]*chronic_consumption!$L292/1000/$C$3)</f>
        <v>#DIV/0!</v>
      </c>
      <c r="R1492" s="1098" t="e">
        <f>IF($D$1212="",0,$D1492*Table3[[#This Row],[CF]]*chronic_consumption!$M292/1000/$C$3)</f>
        <v>#DIV/0!</v>
      </c>
      <c r="S1492" s="1098" t="e">
        <f>IF($D$1212="",0,$D1492*Table3[[#This Row],[CF]]*chronic_consumption!$N292/1000/$C$3)</f>
        <v>#DIV/0!</v>
      </c>
      <c r="T1492" s="1098" t="e">
        <f>IF($D$1212="",0,$D1492*Table3[[#This Row],[CF]]*chronic_consumption!$O292/1000/$C$3)</f>
        <v>#DIV/0!</v>
      </c>
      <c r="U1492" s="1098" t="e">
        <f>IF($D$1212="",0,$D1492*Table3[[#This Row],[CF]]*chronic_consumption!$P292/1000/$C$3)</f>
        <v>#DIV/0!</v>
      </c>
      <c r="V1492" s="1098" t="e">
        <f>IF($D$1212="",0,$D1492*Table3[[#This Row],[CF]]*chronic_consumption!$Q292/1000/$C$3)</f>
        <v>#DIV/0!</v>
      </c>
      <c r="W1492" s="1098" t="e">
        <f>IF($D$1212="",0,$D1492*Table3[[#This Row],[CF]]*chronic_consumption!$R292/1000/$C$3)</f>
        <v>#DIV/0!</v>
      </c>
      <c r="X1492" s="1098" t="e">
        <f>IF($D$1212="",0,$D1492*Table3[[#This Row],[CF]]*chronic_consumption!$S292/1000/$C$3)</f>
        <v>#DIV/0!</v>
      </c>
      <c r="Y1492" s="1098" t="e">
        <f>IF($D$1212="",0,$D1492*Table3[[#This Row],[CF]]*chronic_consumption!$T292/1000/$C$3)</f>
        <v>#DIV/0!</v>
      </c>
      <c r="Z1492" s="1098" t="e">
        <f>IF($D$1212="",0,$D1492*Table3[[#This Row],[CF]]*chronic_consumption!$U292/1000/$C$3)</f>
        <v>#DIV/0!</v>
      </c>
      <c r="AA1492" s="1098" t="e">
        <f>IF($D$1212="",0,$D1492*Table3[[#This Row],[CF]]*chronic_consumption!$V292/1000/$C$3)</f>
        <v>#DIV/0!</v>
      </c>
      <c r="AB1492" s="1098" t="e">
        <f>IF($D$1212="",0,$D1492*Table3[[#This Row],[CF]]*chronic_consumption!$W292/1000/$C$3)</f>
        <v>#DIV/0!</v>
      </c>
      <c r="AC1492" s="1098" t="e">
        <f>IF($D$1212="",0,$D1492*Table3[[#This Row],[CF]]*chronic_consumption!$X292/1000/$C$3)</f>
        <v>#DIV/0!</v>
      </c>
      <c r="AD1492" s="1098" t="e">
        <f>IF($D$1212="",0,$D1492*Table3[[#This Row],[CF]]*chronic_consumption!$Y292/1000/$C$3)</f>
        <v>#DIV/0!</v>
      </c>
      <c r="AE1492" s="1098" t="e">
        <f>IF($D$1212="",0,$D1492*Table3[[#This Row],[CF]]*chronic_consumption!$Z292/1000/$C$3)</f>
        <v>#DIV/0!</v>
      </c>
      <c r="AF1492" s="1098" t="e">
        <f>IF($D$1212="",0,$D1492*Table3[[#This Row],[CF]]*chronic_consumption!$AA292/1000/$C$3)</f>
        <v>#DIV/0!</v>
      </c>
      <c r="AG1492" s="1098" t="e">
        <f>IF($D$1212="",0,$D1492*Table3[[#This Row],[CF]]*chronic_consumption!$AB292/1000/$C$3)</f>
        <v>#DIV/0!</v>
      </c>
      <c r="AH1492" s="1098" t="e">
        <f>IF($D$1212="",0,$D1492*Table3[[#This Row],[CF]]*chronic_consumption!$AC292/1000/$C$3)</f>
        <v>#DIV/0!</v>
      </c>
      <c r="AI1492" s="1098" t="e">
        <f>IF($D$1212="",0,$D1492*Table3[[#This Row],[CF]]*chronic_consumption!$AD292/1000/$C$3)</f>
        <v>#DIV/0!</v>
      </c>
      <c r="AJ1492" s="1098" t="e">
        <f>IF($D$1212="",0,$D1492*Table3[[#This Row],[CF]]*chronic_consumption!$AE292/1000/$C$3)</f>
        <v>#DIV/0!</v>
      </c>
      <c r="AK1492" s="1098" t="e">
        <f>IF($D$1212="",0,$D1492*Table3[[#This Row],[CF]]*chronic_consumption!$AF292/1000/$C$3)</f>
        <v>#DIV/0!</v>
      </c>
      <c r="AL1492" s="1098" t="e">
        <f>IF($D$1212="",0,$D1492*Table3[[#This Row],[CF]]*chronic_consumption!$AG292/1000/$C$3)</f>
        <v>#DIV/0!</v>
      </c>
      <c r="AM1492" s="1098" t="e">
        <f>IF($D$1212="",0,$D1492*Table3[[#This Row],[CF]]*chronic_consumption!$AH292/1000/$C$3)</f>
        <v>#DIV/0!</v>
      </c>
      <c r="AN1492" s="1098" t="e">
        <f>IF($D$1212="",0,$D1492*Table3[[#This Row],[CF]]*chronic_consumption!$AI292/1000/$C$3)</f>
        <v>#DIV/0!</v>
      </c>
      <c r="AO1492" s="1098" t="e">
        <f>IF($D$1212="",0,$D1492*Table3[[#This Row],[CF]]*chronic_consumption!$AJ292/1000/$C$3)</f>
        <v>#DIV/0!</v>
      </c>
      <c r="AP1492" s="1098" t="e">
        <f>IF($D$1212="",0,$D1492*Table3[[#This Row],[CF]]*chronic_consumption!$AK292/1000/$C$3)</f>
        <v>#DIV/0!</v>
      </c>
      <c r="AQ1492" s="1098" t="e">
        <f>IF($D$1212="",0,$D1492*Table3[[#This Row],[CF]]*chronic_consumption!$AL292/1000/$C$3)</f>
        <v>#DIV/0!</v>
      </c>
      <c r="AR1492" s="1098" t="e">
        <f>IF($D$1212="",0,$D1492*Table3[[#This Row],[CF]]*chronic_consumption!$AM292/1000/$C$3)</f>
        <v>#DIV/0!</v>
      </c>
      <c r="AS1492" s="1098" t="e">
        <f>IF($D$1212="",0,$D1492*Table3[[#This Row],[CF]]*chronic_consumption!$AN292/1000/$C$3)</f>
        <v>#DIV/0!</v>
      </c>
      <c r="AT1492" s="1098" t="e">
        <f>IF($D$1212="",0,$D1492*Table3[[#This Row],[CF]]*chronic_consumption!$AO292/1000/$C$3)</f>
        <v>#DIV/0!</v>
      </c>
      <c r="AU1492" s="1099" t="e">
        <f t="shared" ref="AU1492:AY1501" si="882">IF(AU692="",0,IF(OR(1=RANK(AU1092,AU$412:AU$790,0),(2=RANK(AU1092,AU$412:AU$790,0))),AU1092,AU692))</f>
        <v>#DIV/0!</v>
      </c>
      <c r="AV1492" s="1099" t="e">
        <f t="shared" si="882"/>
        <v>#DIV/0!</v>
      </c>
      <c r="AW1492" s="1099" t="e">
        <f t="shared" si="882"/>
        <v>#DIV/0!</v>
      </c>
      <c r="AX1492" s="1099" t="e">
        <f t="shared" si="882"/>
        <v>#DIV/0!</v>
      </c>
      <c r="AY1492" s="1099" t="e">
        <f t="shared" si="882"/>
        <v>#DIV/0!</v>
      </c>
      <c r="AZ1492" s="1091" t="s">
        <v>1012</v>
      </c>
      <c r="BA1492" s="1097" t="e">
        <f>IF(Table3[[#This Row],[max]]&lt;&gt;0,RANK(Table3[[#This Row],[max]],Table3[max],0),"")</f>
        <v>#DIV/0!</v>
      </c>
      <c r="BB1492" s="1096" t="e">
        <f t="shared" si="876"/>
        <v>#DIV/0!</v>
      </c>
      <c r="BC1492" s="1096" t="e">
        <f t="shared" ca="1" si="877"/>
        <v>#DIV/0!</v>
      </c>
      <c r="BD1492" s="1096" t="e">
        <f>IF(Table3[[#This Row],[max]]&gt;0,Table3[[#This Row],[Crop groups and examples of individual products within the groups to which the MRLs apply]],"")</f>
        <v>#DIV/0!</v>
      </c>
    </row>
    <row r="1493" spans="2:56" x14ac:dyDescent="0.2">
      <c r="B1493" s="23">
        <f t="shared" si="881"/>
        <v>820040</v>
      </c>
      <c r="C1493" s="23" t="str">
        <f t="shared" si="881"/>
        <v>Cardamom</v>
      </c>
      <c r="D1493" s="1084">
        <f>input_values!E293</f>
        <v>0</v>
      </c>
      <c r="E1493" s="1084">
        <f>input_values!F293</f>
        <v>0</v>
      </c>
      <c r="F1493" s="1085">
        <f>input_values!W293</f>
        <v>1</v>
      </c>
      <c r="G1493" s="1085" t="str">
        <f>IF(Table3[[#This Row],[CF]]&gt;0,CONCATENATE(IF(Table3[[#This Row],[LOQ]]="*","LOQ","MRL"),IF(input_values!G293&gt;0,"×CFrisk","")),"")</f>
        <v>MRL</v>
      </c>
      <c r="H1493" s="1087">
        <f>input_values!L293</f>
        <v>0</v>
      </c>
      <c r="I1493" s="1088">
        <f>input_values!D293</f>
        <v>0</v>
      </c>
      <c r="J1493" s="1098" t="e">
        <f>IF($D$1212="",0,$D1493*Table3[[#This Row],[CF]]*chronic_consumption!$E293/1000/$C$3)</f>
        <v>#DIV/0!</v>
      </c>
      <c r="K1493" s="1098" t="e">
        <f>IF($D$1212="",0,$D1493*Table3[[#This Row],[CF]]*chronic_consumption!$F293/1000/$C$3)</f>
        <v>#DIV/0!</v>
      </c>
      <c r="L1493" s="1098" t="e">
        <f>IF($D$1212="",0,$D1493*Table3[[#This Row],[CF]]*chronic_consumption!$G293/1000/$C$3)</f>
        <v>#DIV/0!</v>
      </c>
      <c r="M1493" s="1098" t="e">
        <f>IF($D$1212="",0,$D1493*Table3[[#This Row],[CF]]*chronic_consumption!$H293/1000/$C$3)</f>
        <v>#DIV/0!</v>
      </c>
      <c r="N1493" s="1098" t="e">
        <f>IF($D$1212="",0,$D1493*Table3[[#This Row],[CF]]*chronic_consumption!$I293/1000/$C$3)</f>
        <v>#DIV/0!</v>
      </c>
      <c r="O1493" s="1098" t="e">
        <f>IF($D$1212="",0,$D1493*Table3[[#This Row],[CF]]*chronic_consumption!$J293/1000/$C$3)</f>
        <v>#DIV/0!</v>
      </c>
      <c r="P1493" s="1098" t="e">
        <f>IF($D$1212="",0,$D1493*Table3[[#This Row],[CF]]*chronic_consumption!$K293/1000/$C$3)</f>
        <v>#DIV/0!</v>
      </c>
      <c r="Q1493" s="1098" t="e">
        <f>IF($D$1212="",0,$D1493*Table3[[#This Row],[CF]]*chronic_consumption!$L293/1000/$C$3)</f>
        <v>#DIV/0!</v>
      </c>
      <c r="R1493" s="1098" t="e">
        <f>IF($D$1212="",0,$D1493*Table3[[#This Row],[CF]]*chronic_consumption!$M293/1000/$C$3)</f>
        <v>#DIV/0!</v>
      </c>
      <c r="S1493" s="1098" t="e">
        <f>IF($D$1212="",0,$D1493*Table3[[#This Row],[CF]]*chronic_consumption!$N293/1000/$C$3)</f>
        <v>#DIV/0!</v>
      </c>
      <c r="T1493" s="1098" t="e">
        <f>IF($D$1212="",0,$D1493*Table3[[#This Row],[CF]]*chronic_consumption!$O293/1000/$C$3)</f>
        <v>#DIV/0!</v>
      </c>
      <c r="U1493" s="1098" t="e">
        <f>IF($D$1212="",0,$D1493*Table3[[#This Row],[CF]]*chronic_consumption!$P293/1000/$C$3)</f>
        <v>#DIV/0!</v>
      </c>
      <c r="V1493" s="1098" t="e">
        <f>IF($D$1212="",0,$D1493*Table3[[#This Row],[CF]]*chronic_consumption!$Q293/1000/$C$3)</f>
        <v>#DIV/0!</v>
      </c>
      <c r="W1493" s="1098" t="e">
        <f>IF($D$1212="",0,$D1493*Table3[[#This Row],[CF]]*chronic_consumption!$R293/1000/$C$3)</f>
        <v>#DIV/0!</v>
      </c>
      <c r="X1493" s="1098" t="e">
        <f>IF($D$1212="",0,$D1493*Table3[[#This Row],[CF]]*chronic_consumption!$S293/1000/$C$3)</f>
        <v>#DIV/0!</v>
      </c>
      <c r="Y1493" s="1098" t="e">
        <f>IF($D$1212="",0,$D1493*Table3[[#This Row],[CF]]*chronic_consumption!$T293/1000/$C$3)</f>
        <v>#DIV/0!</v>
      </c>
      <c r="Z1493" s="1098" t="e">
        <f>IF($D$1212="",0,$D1493*Table3[[#This Row],[CF]]*chronic_consumption!$U293/1000/$C$3)</f>
        <v>#DIV/0!</v>
      </c>
      <c r="AA1493" s="1098" t="e">
        <f>IF($D$1212="",0,$D1493*Table3[[#This Row],[CF]]*chronic_consumption!$V293/1000/$C$3)</f>
        <v>#DIV/0!</v>
      </c>
      <c r="AB1493" s="1098" t="e">
        <f>IF($D$1212="",0,$D1493*Table3[[#This Row],[CF]]*chronic_consumption!$W293/1000/$C$3)</f>
        <v>#DIV/0!</v>
      </c>
      <c r="AC1493" s="1098" t="e">
        <f>IF($D$1212="",0,$D1493*Table3[[#This Row],[CF]]*chronic_consumption!$X293/1000/$C$3)</f>
        <v>#DIV/0!</v>
      </c>
      <c r="AD1493" s="1098" t="e">
        <f>IF($D$1212="",0,$D1493*Table3[[#This Row],[CF]]*chronic_consumption!$Y293/1000/$C$3)</f>
        <v>#DIV/0!</v>
      </c>
      <c r="AE1493" s="1098" t="e">
        <f>IF($D$1212="",0,$D1493*Table3[[#This Row],[CF]]*chronic_consumption!$Z293/1000/$C$3)</f>
        <v>#DIV/0!</v>
      </c>
      <c r="AF1493" s="1098" t="e">
        <f>IF($D$1212="",0,$D1493*Table3[[#This Row],[CF]]*chronic_consumption!$AA293/1000/$C$3)</f>
        <v>#DIV/0!</v>
      </c>
      <c r="AG1493" s="1098" t="e">
        <f>IF($D$1212="",0,$D1493*Table3[[#This Row],[CF]]*chronic_consumption!$AB293/1000/$C$3)</f>
        <v>#DIV/0!</v>
      </c>
      <c r="AH1493" s="1098" t="e">
        <f>IF($D$1212="",0,$D1493*Table3[[#This Row],[CF]]*chronic_consumption!$AC293/1000/$C$3)</f>
        <v>#DIV/0!</v>
      </c>
      <c r="AI1493" s="1098" t="e">
        <f>IF($D$1212="",0,$D1493*Table3[[#This Row],[CF]]*chronic_consumption!$AD293/1000/$C$3)</f>
        <v>#DIV/0!</v>
      </c>
      <c r="AJ1493" s="1098" t="e">
        <f>IF($D$1212="",0,$D1493*Table3[[#This Row],[CF]]*chronic_consumption!$AE293/1000/$C$3)</f>
        <v>#DIV/0!</v>
      </c>
      <c r="AK1493" s="1098" t="e">
        <f>IF($D$1212="",0,$D1493*Table3[[#This Row],[CF]]*chronic_consumption!$AF293/1000/$C$3)</f>
        <v>#DIV/0!</v>
      </c>
      <c r="AL1493" s="1098" t="e">
        <f>IF($D$1212="",0,$D1493*Table3[[#This Row],[CF]]*chronic_consumption!$AG293/1000/$C$3)</f>
        <v>#DIV/0!</v>
      </c>
      <c r="AM1493" s="1098" t="e">
        <f>IF($D$1212="",0,$D1493*Table3[[#This Row],[CF]]*chronic_consumption!$AH293/1000/$C$3)</f>
        <v>#DIV/0!</v>
      </c>
      <c r="AN1493" s="1098" t="e">
        <f>IF($D$1212="",0,$D1493*Table3[[#This Row],[CF]]*chronic_consumption!$AI293/1000/$C$3)</f>
        <v>#DIV/0!</v>
      </c>
      <c r="AO1493" s="1098" t="e">
        <f>IF($D$1212="",0,$D1493*Table3[[#This Row],[CF]]*chronic_consumption!$AJ293/1000/$C$3)</f>
        <v>#DIV/0!</v>
      </c>
      <c r="AP1493" s="1098" t="e">
        <f>IF($D$1212="",0,$D1493*Table3[[#This Row],[CF]]*chronic_consumption!$AK293/1000/$C$3)</f>
        <v>#DIV/0!</v>
      </c>
      <c r="AQ1493" s="1098" t="e">
        <f>IF($D$1212="",0,$D1493*Table3[[#This Row],[CF]]*chronic_consumption!$AL293/1000/$C$3)</f>
        <v>#DIV/0!</v>
      </c>
      <c r="AR1493" s="1098" t="e">
        <f>IF($D$1212="",0,$D1493*Table3[[#This Row],[CF]]*chronic_consumption!$AM293/1000/$C$3)</f>
        <v>#DIV/0!</v>
      </c>
      <c r="AS1493" s="1098" t="e">
        <f>IF($D$1212="",0,$D1493*Table3[[#This Row],[CF]]*chronic_consumption!$AN293/1000/$C$3)</f>
        <v>#DIV/0!</v>
      </c>
      <c r="AT1493" s="1098" t="e">
        <f>IF($D$1212="",0,$D1493*Table3[[#This Row],[CF]]*chronic_consumption!$AO293/1000/$C$3)</f>
        <v>#DIV/0!</v>
      </c>
      <c r="AU1493" s="1099" t="e">
        <f t="shared" si="882"/>
        <v>#DIV/0!</v>
      </c>
      <c r="AV1493" s="1099" t="e">
        <f t="shared" si="882"/>
        <v>#DIV/0!</v>
      </c>
      <c r="AW1493" s="1099" t="e">
        <f t="shared" si="882"/>
        <v>#DIV/0!</v>
      </c>
      <c r="AX1493" s="1099" t="e">
        <f t="shared" si="882"/>
        <v>#DIV/0!</v>
      </c>
      <c r="AY1493" s="1099" t="e">
        <f t="shared" si="882"/>
        <v>#DIV/0!</v>
      </c>
      <c r="AZ1493" s="1091" t="s">
        <v>1012</v>
      </c>
      <c r="BA1493" s="1097" t="e">
        <f>IF(Table3[[#This Row],[max]]&lt;&gt;0,RANK(Table3[[#This Row],[max]],Table3[max],0),"")</f>
        <v>#DIV/0!</v>
      </c>
      <c r="BB1493" s="1096" t="e">
        <f t="shared" si="876"/>
        <v>#DIV/0!</v>
      </c>
      <c r="BC1493" s="1096" t="e">
        <f t="shared" ca="1" si="877"/>
        <v>#DIV/0!</v>
      </c>
      <c r="BD1493" s="1096" t="e">
        <f>IF(Table3[[#This Row],[max]]&gt;0,Table3[[#This Row],[Crop groups and examples of individual products within the groups to which the MRLs apply]],"")</f>
        <v>#DIV/0!</v>
      </c>
    </row>
    <row r="1494" spans="2:56" x14ac:dyDescent="0.2">
      <c r="B1494" s="23">
        <f t="shared" si="881"/>
        <v>820050</v>
      </c>
      <c r="C1494" s="23" t="str">
        <f t="shared" si="881"/>
        <v>Juniper berry</v>
      </c>
      <c r="D1494" s="1084">
        <f>input_values!E294</f>
        <v>0</v>
      </c>
      <c r="E1494" s="1084">
        <f>input_values!F294</f>
        <v>0</v>
      </c>
      <c r="F1494" s="1085">
        <f>input_values!W294</f>
        <v>1</v>
      </c>
      <c r="G1494" s="1085" t="str">
        <f>IF(Table3[[#This Row],[CF]]&gt;0,CONCATENATE(IF(Table3[[#This Row],[LOQ]]="*","LOQ","MRL"),IF(input_values!G294&gt;0,"×CFrisk","")),"")</f>
        <v>MRL</v>
      </c>
      <c r="H1494" s="1087">
        <f>input_values!L294</f>
        <v>0</v>
      </c>
      <c r="I1494" s="1088">
        <f>input_values!D294</f>
        <v>0</v>
      </c>
      <c r="J1494" s="1098" t="e">
        <f>IF($D$1212="",0,$D1494*Table3[[#This Row],[CF]]*chronic_consumption!$E294/1000/$C$3)</f>
        <v>#DIV/0!</v>
      </c>
      <c r="K1494" s="1098" t="e">
        <f>IF($D$1212="",0,$D1494*Table3[[#This Row],[CF]]*chronic_consumption!$F294/1000/$C$3)</f>
        <v>#DIV/0!</v>
      </c>
      <c r="L1494" s="1098" t="e">
        <f>IF($D$1212="",0,$D1494*Table3[[#This Row],[CF]]*chronic_consumption!$G294/1000/$C$3)</f>
        <v>#DIV/0!</v>
      </c>
      <c r="M1494" s="1098" t="e">
        <f>IF($D$1212="",0,$D1494*Table3[[#This Row],[CF]]*chronic_consumption!$H294/1000/$C$3)</f>
        <v>#DIV/0!</v>
      </c>
      <c r="N1494" s="1098" t="e">
        <f>IF($D$1212="",0,$D1494*Table3[[#This Row],[CF]]*chronic_consumption!$I294/1000/$C$3)</f>
        <v>#DIV/0!</v>
      </c>
      <c r="O1494" s="1098" t="e">
        <f>IF($D$1212="",0,$D1494*Table3[[#This Row],[CF]]*chronic_consumption!$J294/1000/$C$3)</f>
        <v>#DIV/0!</v>
      </c>
      <c r="P1494" s="1098" t="e">
        <f>IF($D$1212="",0,$D1494*Table3[[#This Row],[CF]]*chronic_consumption!$K294/1000/$C$3)</f>
        <v>#DIV/0!</v>
      </c>
      <c r="Q1494" s="1098" t="e">
        <f>IF($D$1212="",0,$D1494*Table3[[#This Row],[CF]]*chronic_consumption!$L294/1000/$C$3)</f>
        <v>#DIV/0!</v>
      </c>
      <c r="R1494" s="1098" t="e">
        <f>IF($D$1212="",0,$D1494*Table3[[#This Row],[CF]]*chronic_consumption!$M294/1000/$C$3)</f>
        <v>#DIV/0!</v>
      </c>
      <c r="S1494" s="1098" t="e">
        <f>IF($D$1212="",0,$D1494*Table3[[#This Row],[CF]]*chronic_consumption!$N294/1000/$C$3)</f>
        <v>#DIV/0!</v>
      </c>
      <c r="T1494" s="1098" t="e">
        <f>IF($D$1212="",0,$D1494*Table3[[#This Row],[CF]]*chronic_consumption!$O294/1000/$C$3)</f>
        <v>#DIV/0!</v>
      </c>
      <c r="U1494" s="1098" t="e">
        <f>IF($D$1212="",0,$D1494*Table3[[#This Row],[CF]]*chronic_consumption!$P294/1000/$C$3)</f>
        <v>#DIV/0!</v>
      </c>
      <c r="V1494" s="1098" t="e">
        <f>IF($D$1212="",0,$D1494*Table3[[#This Row],[CF]]*chronic_consumption!$Q294/1000/$C$3)</f>
        <v>#DIV/0!</v>
      </c>
      <c r="W1494" s="1098" t="e">
        <f>IF($D$1212="",0,$D1494*Table3[[#This Row],[CF]]*chronic_consumption!$R294/1000/$C$3)</f>
        <v>#DIV/0!</v>
      </c>
      <c r="X1494" s="1098" t="e">
        <f>IF($D$1212="",0,$D1494*Table3[[#This Row],[CF]]*chronic_consumption!$S294/1000/$C$3)</f>
        <v>#DIV/0!</v>
      </c>
      <c r="Y1494" s="1098" t="e">
        <f>IF($D$1212="",0,$D1494*Table3[[#This Row],[CF]]*chronic_consumption!$T294/1000/$C$3)</f>
        <v>#DIV/0!</v>
      </c>
      <c r="Z1494" s="1098" t="e">
        <f>IF($D$1212="",0,$D1494*Table3[[#This Row],[CF]]*chronic_consumption!$U294/1000/$C$3)</f>
        <v>#DIV/0!</v>
      </c>
      <c r="AA1494" s="1098" t="e">
        <f>IF($D$1212="",0,$D1494*Table3[[#This Row],[CF]]*chronic_consumption!$V294/1000/$C$3)</f>
        <v>#DIV/0!</v>
      </c>
      <c r="AB1494" s="1098" t="e">
        <f>IF($D$1212="",0,$D1494*Table3[[#This Row],[CF]]*chronic_consumption!$W294/1000/$C$3)</f>
        <v>#DIV/0!</v>
      </c>
      <c r="AC1494" s="1098" t="e">
        <f>IF($D$1212="",0,$D1494*Table3[[#This Row],[CF]]*chronic_consumption!$X294/1000/$C$3)</f>
        <v>#DIV/0!</v>
      </c>
      <c r="AD1494" s="1098" t="e">
        <f>IF($D$1212="",0,$D1494*Table3[[#This Row],[CF]]*chronic_consumption!$Y294/1000/$C$3)</f>
        <v>#DIV/0!</v>
      </c>
      <c r="AE1494" s="1098" t="e">
        <f>IF($D$1212="",0,$D1494*Table3[[#This Row],[CF]]*chronic_consumption!$Z294/1000/$C$3)</f>
        <v>#DIV/0!</v>
      </c>
      <c r="AF1494" s="1098" t="e">
        <f>IF($D$1212="",0,$D1494*Table3[[#This Row],[CF]]*chronic_consumption!$AA294/1000/$C$3)</f>
        <v>#DIV/0!</v>
      </c>
      <c r="AG1494" s="1098" t="e">
        <f>IF($D$1212="",0,$D1494*Table3[[#This Row],[CF]]*chronic_consumption!$AB294/1000/$C$3)</f>
        <v>#DIV/0!</v>
      </c>
      <c r="AH1494" s="1098" t="e">
        <f>IF($D$1212="",0,$D1494*Table3[[#This Row],[CF]]*chronic_consumption!$AC294/1000/$C$3)</f>
        <v>#DIV/0!</v>
      </c>
      <c r="AI1494" s="1098" t="e">
        <f>IF($D$1212="",0,$D1494*Table3[[#This Row],[CF]]*chronic_consumption!$AD294/1000/$C$3)</f>
        <v>#DIV/0!</v>
      </c>
      <c r="AJ1494" s="1098" t="e">
        <f>IF($D$1212="",0,$D1494*Table3[[#This Row],[CF]]*chronic_consumption!$AE294/1000/$C$3)</f>
        <v>#DIV/0!</v>
      </c>
      <c r="AK1494" s="1098" t="e">
        <f>IF($D$1212="",0,$D1494*Table3[[#This Row],[CF]]*chronic_consumption!$AF294/1000/$C$3)</f>
        <v>#DIV/0!</v>
      </c>
      <c r="AL1494" s="1098" t="e">
        <f>IF($D$1212="",0,$D1494*Table3[[#This Row],[CF]]*chronic_consumption!$AG294/1000/$C$3)</f>
        <v>#DIV/0!</v>
      </c>
      <c r="AM1494" s="1098" t="e">
        <f>IF($D$1212="",0,$D1494*Table3[[#This Row],[CF]]*chronic_consumption!$AH294/1000/$C$3)</f>
        <v>#DIV/0!</v>
      </c>
      <c r="AN1494" s="1098" t="e">
        <f>IF($D$1212="",0,$D1494*Table3[[#This Row],[CF]]*chronic_consumption!$AI294/1000/$C$3)</f>
        <v>#DIV/0!</v>
      </c>
      <c r="AO1494" s="1098" t="e">
        <f>IF($D$1212="",0,$D1494*Table3[[#This Row],[CF]]*chronic_consumption!$AJ294/1000/$C$3)</f>
        <v>#DIV/0!</v>
      </c>
      <c r="AP1494" s="1098" t="e">
        <f>IF($D$1212="",0,$D1494*Table3[[#This Row],[CF]]*chronic_consumption!$AK294/1000/$C$3)</f>
        <v>#DIV/0!</v>
      </c>
      <c r="AQ1494" s="1098" t="e">
        <f>IF($D$1212="",0,$D1494*Table3[[#This Row],[CF]]*chronic_consumption!$AL294/1000/$C$3)</f>
        <v>#DIV/0!</v>
      </c>
      <c r="AR1494" s="1098" t="e">
        <f>IF($D$1212="",0,$D1494*Table3[[#This Row],[CF]]*chronic_consumption!$AM294/1000/$C$3)</f>
        <v>#DIV/0!</v>
      </c>
      <c r="AS1494" s="1098" t="e">
        <f>IF($D$1212="",0,$D1494*Table3[[#This Row],[CF]]*chronic_consumption!$AN294/1000/$C$3)</f>
        <v>#DIV/0!</v>
      </c>
      <c r="AT1494" s="1098" t="e">
        <f>IF($D$1212="",0,$D1494*Table3[[#This Row],[CF]]*chronic_consumption!$AO294/1000/$C$3)</f>
        <v>#DIV/0!</v>
      </c>
      <c r="AU1494" s="1099" t="e">
        <f t="shared" si="882"/>
        <v>#DIV/0!</v>
      </c>
      <c r="AV1494" s="1099" t="e">
        <f t="shared" si="882"/>
        <v>#DIV/0!</v>
      </c>
      <c r="AW1494" s="1099" t="e">
        <f t="shared" si="882"/>
        <v>#DIV/0!</v>
      </c>
      <c r="AX1494" s="1099" t="e">
        <f t="shared" si="882"/>
        <v>#DIV/0!</v>
      </c>
      <c r="AY1494" s="1099" t="e">
        <f t="shared" si="882"/>
        <v>#DIV/0!</v>
      </c>
      <c r="AZ1494" s="1091" t="s">
        <v>1012</v>
      </c>
      <c r="BA1494" s="1097" t="e">
        <f>IF(Table3[[#This Row],[max]]&lt;&gt;0,RANK(Table3[[#This Row],[max]],Table3[max],0),"")</f>
        <v>#DIV/0!</v>
      </c>
      <c r="BB1494" s="1096" t="e">
        <f t="shared" si="876"/>
        <v>#DIV/0!</v>
      </c>
      <c r="BC1494" s="1096" t="e">
        <f t="shared" ca="1" si="877"/>
        <v>#DIV/0!</v>
      </c>
      <c r="BD1494" s="1096" t="e">
        <f>IF(Table3[[#This Row],[max]]&gt;0,Table3[[#This Row],[Crop groups and examples of individual products within the groups to which the MRLs apply]],"")</f>
        <v>#DIV/0!</v>
      </c>
    </row>
    <row r="1495" spans="2:56" x14ac:dyDescent="0.2">
      <c r="B1495" s="23">
        <f t="shared" si="881"/>
        <v>820060</v>
      </c>
      <c r="C1495" s="23" t="str">
        <f t="shared" si="881"/>
        <v xml:space="preserve">Peppercorn (black, green and white) </v>
      </c>
      <c r="D1495" s="1084">
        <f>input_values!E295</f>
        <v>0</v>
      </c>
      <c r="E1495" s="1084">
        <f>input_values!F295</f>
        <v>0</v>
      </c>
      <c r="F1495" s="1085">
        <f>input_values!W295</f>
        <v>1</v>
      </c>
      <c r="G1495" s="1085" t="str">
        <f>IF(Table3[[#This Row],[CF]]&gt;0,CONCATENATE(IF(Table3[[#This Row],[LOQ]]="*","LOQ","MRL"),IF(input_values!G295&gt;0,"×CFrisk","")),"")</f>
        <v>MRL</v>
      </c>
      <c r="H1495" s="1087">
        <f>input_values!L295</f>
        <v>0</v>
      </c>
      <c r="I1495" s="1088">
        <f>input_values!D295</f>
        <v>0</v>
      </c>
      <c r="J1495" s="1098" t="e">
        <f>IF($D$1212="",0,$D1495*Table3[[#This Row],[CF]]*chronic_consumption!$E295/1000/$C$3)</f>
        <v>#DIV/0!</v>
      </c>
      <c r="K1495" s="1098" t="e">
        <f>IF($D$1212="",0,$D1495*Table3[[#This Row],[CF]]*chronic_consumption!$F295/1000/$C$3)</f>
        <v>#DIV/0!</v>
      </c>
      <c r="L1495" s="1098" t="e">
        <f>IF($D$1212="",0,$D1495*Table3[[#This Row],[CF]]*chronic_consumption!$G295/1000/$C$3)</f>
        <v>#DIV/0!</v>
      </c>
      <c r="M1495" s="1098" t="e">
        <f>IF($D$1212="",0,$D1495*Table3[[#This Row],[CF]]*chronic_consumption!$H295/1000/$C$3)</f>
        <v>#DIV/0!</v>
      </c>
      <c r="N1495" s="1098" t="e">
        <f>IF($D$1212="",0,$D1495*Table3[[#This Row],[CF]]*chronic_consumption!$I295/1000/$C$3)</f>
        <v>#DIV/0!</v>
      </c>
      <c r="O1495" s="1098" t="e">
        <f>IF($D$1212="",0,$D1495*Table3[[#This Row],[CF]]*chronic_consumption!$J295/1000/$C$3)</f>
        <v>#DIV/0!</v>
      </c>
      <c r="P1495" s="1098" t="e">
        <f>IF($D$1212="",0,$D1495*Table3[[#This Row],[CF]]*chronic_consumption!$K295/1000/$C$3)</f>
        <v>#DIV/0!</v>
      </c>
      <c r="Q1495" s="1098" t="e">
        <f>IF($D$1212="",0,$D1495*Table3[[#This Row],[CF]]*chronic_consumption!$L295/1000/$C$3)</f>
        <v>#DIV/0!</v>
      </c>
      <c r="R1495" s="1098" t="e">
        <f>IF($D$1212="",0,$D1495*Table3[[#This Row],[CF]]*chronic_consumption!$M295/1000/$C$3)</f>
        <v>#DIV/0!</v>
      </c>
      <c r="S1495" s="1098" t="e">
        <f>IF($D$1212="",0,$D1495*Table3[[#This Row],[CF]]*chronic_consumption!$N295/1000/$C$3)</f>
        <v>#DIV/0!</v>
      </c>
      <c r="T1495" s="1098" t="e">
        <f>IF($D$1212="",0,$D1495*Table3[[#This Row],[CF]]*chronic_consumption!$O295/1000/$C$3)</f>
        <v>#DIV/0!</v>
      </c>
      <c r="U1495" s="1098" t="e">
        <f>IF($D$1212="",0,$D1495*Table3[[#This Row],[CF]]*chronic_consumption!$P295/1000/$C$3)</f>
        <v>#DIV/0!</v>
      </c>
      <c r="V1495" s="1098" t="e">
        <f>IF($D$1212="",0,$D1495*Table3[[#This Row],[CF]]*chronic_consumption!$Q295/1000/$C$3)</f>
        <v>#DIV/0!</v>
      </c>
      <c r="W1495" s="1098" t="e">
        <f>IF($D$1212="",0,$D1495*Table3[[#This Row],[CF]]*chronic_consumption!$R295/1000/$C$3)</f>
        <v>#DIV/0!</v>
      </c>
      <c r="X1495" s="1098" t="e">
        <f>IF($D$1212="",0,$D1495*Table3[[#This Row],[CF]]*chronic_consumption!$S295/1000/$C$3)</f>
        <v>#DIV/0!</v>
      </c>
      <c r="Y1495" s="1098" t="e">
        <f>IF($D$1212="",0,$D1495*Table3[[#This Row],[CF]]*chronic_consumption!$T295/1000/$C$3)</f>
        <v>#DIV/0!</v>
      </c>
      <c r="Z1495" s="1098" t="e">
        <f>IF($D$1212="",0,$D1495*Table3[[#This Row],[CF]]*chronic_consumption!$U295/1000/$C$3)</f>
        <v>#DIV/0!</v>
      </c>
      <c r="AA1495" s="1098" t="e">
        <f>IF($D$1212="",0,$D1495*Table3[[#This Row],[CF]]*chronic_consumption!$V295/1000/$C$3)</f>
        <v>#DIV/0!</v>
      </c>
      <c r="AB1495" s="1098" t="e">
        <f>IF($D$1212="",0,$D1495*Table3[[#This Row],[CF]]*chronic_consumption!$W295/1000/$C$3)</f>
        <v>#DIV/0!</v>
      </c>
      <c r="AC1495" s="1098" t="e">
        <f>IF($D$1212="",0,$D1495*Table3[[#This Row],[CF]]*chronic_consumption!$X295/1000/$C$3)</f>
        <v>#DIV/0!</v>
      </c>
      <c r="AD1495" s="1098" t="e">
        <f>IF($D$1212="",0,$D1495*Table3[[#This Row],[CF]]*chronic_consumption!$Y295/1000/$C$3)</f>
        <v>#DIV/0!</v>
      </c>
      <c r="AE1495" s="1098" t="e">
        <f>IF($D$1212="",0,$D1495*Table3[[#This Row],[CF]]*chronic_consumption!$Z295/1000/$C$3)</f>
        <v>#DIV/0!</v>
      </c>
      <c r="AF1495" s="1098" t="e">
        <f>IF($D$1212="",0,$D1495*Table3[[#This Row],[CF]]*chronic_consumption!$AA295/1000/$C$3)</f>
        <v>#DIV/0!</v>
      </c>
      <c r="AG1495" s="1098" t="e">
        <f>IF($D$1212="",0,$D1495*Table3[[#This Row],[CF]]*chronic_consumption!$AB295/1000/$C$3)</f>
        <v>#DIV/0!</v>
      </c>
      <c r="AH1495" s="1098" t="e">
        <f>IF($D$1212="",0,$D1495*Table3[[#This Row],[CF]]*chronic_consumption!$AC295/1000/$C$3)</f>
        <v>#DIV/0!</v>
      </c>
      <c r="AI1495" s="1098" t="e">
        <f>IF($D$1212="",0,$D1495*Table3[[#This Row],[CF]]*chronic_consumption!$AD295/1000/$C$3)</f>
        <v>#DIV/0!</v>
      </c>
      <c r="AJ1495" s="1098" t="e">
        <f>IF($D$1212="",0,$D1495*Table3[[#This Row],[CF]]*chronic_consumption!$AE295/1000/$C$3)</f>
        <v>#DIV/0!</v>
      </c>
      <c r="AK1495" s="1098" t="e">
        <f>IF($D$1212="",0,$D1495*Table3[[#This Row],[CF]]*chronic_consumption!$AF295/1000/$C$3)</f>
        <v>#DIV/0!</v>
      </c>
      <c r="AL1495" s="1098" t="e">
        <f>IF($D$1212="",0,$D1495*Table3[[#This Row],[CF]]*chronic_consumption!$AG295/1000/$C$3)</f>
        <v>#DIV/0!</v>
      </c>
      <c r="AM1495" s="1098" t="e">
        <f>IF($D$1212="",0,$D1495*Table3[[#This Row],[CF]]*chronic_consumption!$AH295/1000/$C$3)</f>
        <v>#DIV/0!</v>
      </c>
      <c r="AN1495" s="1098" t="e">
        <f>IF($D$1212="",0,$D1495*Table3[[#This Row],[CF]]*chronic_consumption!$AI295/1000/$C$3)</f>
        <v>#DIV/0!</v>
      </c>
      <c r="AO1495" s="1098" t="e">
        <f>IF($D$1212="",0,$D1495*Table3[[#This Row],[CF]]*chronic_consumption!$AJ295/1000/$C$3)</f>
        <v>#DIV/0!</v>
      </c>
      <c r="AP1495" s="1098" t="e">
        <f>IF($D$1212="",0,$D1495*Table3[[#This Row],[CF]]*chronic_consumption!$AK295/1000/$C$3)</f>
        <v>#DIV/0!</v>
      </c>
      <c r="AQ1495" s="1098" t="e">
        <f>IF($D$1212="",0,$D1495*Table3[[#This Row],[CF]]*chronic_consumption!$AL295/1000/$C$3)</f>
        <v>#DIV/0!</v>
      </c>
      <c r="AR1495" s="1098" t="e">
        <f>IF($D$1212="",0,$D1495*Table3[[#This Row],[CF]]*chronic_consumption!$AM295/1000/$C$3)</f>
        <v>#DIV/0!</v>
      </c>
      <c r="AS1495" s="1098" t="e">
        <f>IF($D$1212="",0,$D1495*Table3[[#This Row],[CF]]*chronic_consumption!$AN295/1000/$C$3)</f>
        <v>#DIV/0!</v>
      </c>
      <c r="AT1495" s="1098" t="e">
        <f>IF($D$1212="",0,$D1495*Table3[[#This Row],[CF]]*chronic_consumption!$AO295/1000/$C$3)</f>
        <v>#DIV/0!</v>
      </c>
      <c r="AU1495" s="1099" t="e">
        <f t="shared" si="882"/>
        <v>#DIV/0!</v>
      </c>
      <c r="AV1495" s="1099" t="e">
        <f t="shared" si="882"/>
        <v>#DIV/0!</v>
      </c>
      <c r="AW1495" s="1099" t="e">
        <f t="shared" si="882"/>
        <v>#DIV/0!</v>
      </c>
      <c r="AX1495" s="1099" t="e">
        <f t="shared" si="882"/>
        <v>#DIV/0!</v>
      </c>
      <c r="AY1495" s="1099" t="e">
        <f t="shared" si="882"/>
        <v>#DIV/0!</v>
      </c>
      <c r="AZ1495" s="1091" t="s">
        <v>1012</v>
      </c>
      <c r="BA1495" s="1097" t="e">
        <f>IF(Table3[[#This Row],[max]]&lt;&gt;0,RANK(Table3[[#This Row],[max]],Table3[max],0),"")</f>
        <v>#DIV/0!</v>
      </c>
      <c r="BB1495" s="1096" t="e">
        <f t="shared" si="876"/>
        <v>#DIV/0!</v>
      </c>
      <c r="BC1495" s="1096" t="e">
        <f t="shared" ca="1" si="877"/>
        <v>#DIV/0!</v>
      </c>
      <c r="BD1495" s="1096" t="e">
        <f>IF(Table3[[#This Row],[max]]&gt;0,Table3[[#This Row],[Crop groups and examples of individual products within the groups to which the MRLs apply]],"")</f>
        <v>#DIV/0!</v>
      </c>
    </row>
    <row r="1496" spans="2:56" x14ac:dyDescent="0.2">
      <c r="B1496" s="23">
        <f t="shared" si="881"/>
        <v>820070</v>
      </c>
      <c r="C1496" s="23" t="str">
        <f t="shared" si="881"/>
        <v>Vanilla pods</v>
      </c>
      <c r="D1496" s="1084">
        <f>input_values!E296</f>
        <v>0</v>
      </c>
      <c r="E1496" s="1084">
        <f>input_values!F296</f>
        <v>0</v>
      </c>
      <c r="F1496" s="1085">
        <f>input_values!W296</f>
        <v>1</v>
      </c>
      <c r="G1496" s="1085" t="str">
        <f>IF(Table3[[#This Row],[CF]]&gt;0,CONCATENATE(IF(Table3[[#This Row],[LOQ]]="*","LOQ","MRL"),IF(input_values!G296&gt;0,"×CFrisk","")),"")</f>
        <v>MRL</v>
      </c>
      <c r="H1496" s="1087">
        <f>input_values!L296</f>
        <v>0</v>
      </c>
      <c r="I1496" s="1088">
        <f>input_values!D296</f>
        <v>0</v>
      </c>
      <c r="J1496" s="1098" t="e">
        <f>IF($D$1212="",0,$D1496*Table3[[#This Row],[CF]]*chronic_consumption!$E296/1000/$C$3)</f>
        <v>#DIV/0!</v>
      </c>
      <c r="K1496" s="1098" t="e">
        <f>IF($D$1212="",0,$D1496*Table3[[#This Row],[CF]]*chronic_consumption!$F296/1000/$C$3)</f>
        <v>#DIV/0!</v>
      </c>
      <c r="L1496" s="1098" t="e">
        <f>IF($D$1212="",0,$D1496*Table3[[#This Row],[CF]]*chronic_consumption!$G296/1000/$C$3)</f>
        <v>#DIV/0!</v>
      </c>
      <c r="M1496" s="1098" t="e">
        <f>IF($D$1212="",0,$D1496*Table3[[#This Row],[CF]]*chronic_consumption!$H296/1000/$C$3)</f>
        <v>#DIV/0!</v>
      </c>
      <c r="N1496" s="1098" t="e">
        <f>IF($D$1212="",0,$D1496*Table3[[#This Row],[CF]]*chronic_consumption!$I296/1000/$C$3)</f>
        <v>#DIV/0!</v>
      </c>
      <c r="O1496" s="1098" t="e">
        <f>IF($D$1212="",0,$D1496*Table3[[#This Row],[CF]]*chronic_consumption!$J296/1000/$C$3)</f>
        <v>#DIV/0!</v>
      </c>
      <c r="P1496" s="1098" t="e">
        <f>IF($D$1212="",0,$D1496*Table3[[#This Row],[CF]]*chronic_consumption!$K296/1000/$C$3)</f>
        <v>#DIV/0!</v>
      </c>
      <c r="Q1496" s="1098" t="e">
        <f>IF($D$1212="",0,$D1496*Table3[[#This Row],[CF]]*chronic_consumption!$L296/1000/$C$3)</f>
        <v>#DIV/0!</v>
      </c>
      <c r="R1496" s="1098" t="e">
        <f>IF($D$1212="",0,$D1496*Table3[[#This Row],[CF]]*chronic_consumption!$M296/1000/$C$3)</f>
        <v>#DIV/0!</v>
      </c>
      <c r="S1496" s="1098" t="e">
        <f>IF($D$1212="",0,$D1496*Table3[[#This Row],[CF]]*chronic_consumption!$N296/1000/$C$3)</f>
        <v>#DIV/0!</v>
      </c>
      <c r="T1496" s="1098" t="e">
        <f>IF($D$1212="",0,$D1496*Table3[[#This Row],[CF]]*chronic_consumption!$O296/1000/$C$3)</f>
        <v>#DIV/0!</v>
      </c>
      <c r="U1496" s="1098" t="e">
        <f>IF($D$1212="",0,$D1496*Table3[[#This Row],[CF]]*chronic_consumption!$P296/1000/$C$3)</f>
        <v>#DIV/0!</v>
      </c>
      <c r="V1496" s="1098" t="e">
        <f>IF($D$1212="",0,$D1496*Table3[[#This Row],[CF]]*chronic_consumption!$Q296/1000/$C$3)</f>
        <v>#DIV/0!</v>
      </c>
      <c r="W1496" s="1098" t="e">
        <f>IF($D$1212="",0,$D1496*Table3[[#This Row],[CF]]*chronic_consumption!$R296/1000/$C$3)</f>
        <v>#DIV/0!</v>
      </c>
      <c r="X1496" s="1098" t="e">
        <f>IF($D$1212="",0,$D1496*Table3[[#This Row],[CF]]*chronic_consumption!$S296/1000/$C$3)</f>
        <v>#DIV/0!</v>
      </c>
      <c r="Y1496" s="1098" t="e">
        <f>IF($D$1212="",0,$D1496*Table3[[#This Row],[CF]]*chronic_consumption!$T296/1000/$C$3)</f>
        <v>#DIV/0!</v>
      </c>
      <c r="Z1496" s="1098" t="e">
        <f>IF($D$1212="",0,$D1496*Table3[[#This Row],[CF]]*chronic_consumption!$U296/1000/$C$3)</f>
        <v>#DIV/0!</v>
      </c>
      <c r="AA1496" s="1098" t="e">
        <f>IF($D$1212="",0,$D1496*Table3[[#This Row],[CF]]*chronic_consumption!$V296/1000/$C$3)</f>
        <v>#DIV/0!</v>
      </c>
      <c r="AB1496" s="1098" t="e">
        <f>IF($D$1212="",0,$D1496*Table3[[#This Row],[CF]]*chronic_consumption!$W296/1000/$C$3)</f>
        <v>#DIV/0!</v>
      </c>
      <c r="AC1496" s="1098" t="e">
        <f>IF($D$1212="",0,$D1496*Table3[[#This Row],[CF]]*chronic_consumption!$X296/1000/$C$3)</f>
        <v>#DIV/0!</v>
      </c>
      <c r="AD1496" s="1098" t="e">
        <f>IF($D$1212="",0,$D1496*Table3[[#This Row],[CF]]*chronic_consumption!$Y296/1000/$C$3)</f>
        <v>#DIV/0!</v>
      </c>
      <c r="AE1496" s="1098" t="e">
        <f>IF($D$1212="",0,$D1496*Table3[[#This Row],[CF]]*chronic_consumption!$Z296/1000/$C$3)</f>
        <v>#DIV/0!</v>
      </c>
      <c r="AF1496" s="1098" t="e">
        <f>IF($D$1212="",0,$D1496*Table3[[#This Row],[CF]]*chronic_consumption!$AA296/1000/$C$3)</f>
        <v>#DIV/0!</v>
      </c>
      <c r="AG1496" s="1098" t="e">
        <f>IF($D$1212="",0,$D1496*Table3[[#This Row],[CF]]*chronic_consumption!$AB296/1000/$C$3)</f>
        <v>#DIV/0!</v>
      </c>
      <c r="AH1496" s="1098" t="e">
        <f>IF($D$1212="",0,$D1496*Table3[[#This Row],[CF]]*chronic_consumption!$AC296/1000/$C$3)</f>
        <v>#DIV/0!</v>
      </c>
      <c r="AI1496" s="1098" t="e">
        <f>IF($D$1212="",0,$D1496*Table3[[#This Row],[CF]]*chronic_consumption!$AD296/1000/$C$3)</f>
        <v>#DIV/0!</v>
      </c>
      <c r="AJ1496" s="1098" t="e">
        <f>IF($D$1212="",0,$D1496*Table3[[#This Row],[CF]]*chronic_consumption!$AE296/1000/$C$3)</f>
        <v>#DIV/0!</v>
      </c>
      <c r="AK1496" s="1098" t="e">
        <f>IF($D$1212="",0,$D1496*Table3[[#This Row],[CF]]*chronic_consumption!$AF296/1000/$C$3)</f>
        <v>#DIV/0!</v>
      </c>
      <c r="AL1496" s="1098" t="e">
        <f>IF($D$1212="",0,$D1496*Table3[[#This Row],[CF]]*chronic_consumption!$AG296/1000/$C$3)</f>
        <v>#DIV/0!</v>
      </c>
      <c r="AM1496" s="1098" t="e">
        <f>IF($D$1212="",0,$D1496*Table3[[#This Row],[CF]]*chronic_consumption!$AH296/1000/$C$3)</f>
        <v>#DIV/0!</v>
      </c>
      <c r="AN1496" s="1098" t="e">
        <f>IF($D$1212="",0,$D1496*Table3[[#This Row],[CF]]*chronic_consumption!$AI296/1000/$C$3)</f>
        <v>#DIV/0!</v>
      </c>
      <c r="AO1496" s="1098" t="e">
        <f>IF($D$1212="",0,$D1496*Table3[[#This Row],[CF]]*chronic_consumption!$AJ296/1000/$C$3)</f>
        <v>#DIV/0!</v>
      </c>
      <c r="AP1496" s="1098" t="e">
        <f>IF($D$1212="",0,$D1496*Table3[[#This Row],[CF]]*chronic_consumption!$AK296/1000/$C$3)</f>
        <v>#DIV/0!</v>
      </c>
      <c r="AQ1496" s="1098" t="e">
        <f>IF($D$1212="",0,$D1496*Table3[[#This Row],[CF]]*chronic_consumption!$AL296/1000/$C$3)</f>
        <v>#DIV/0!</v>
      </c>
      <c r="AR1496" s="1098" t="e">
        <f>IF($D$1212="",0,$D1496*Table3[[#This Row],[CF]]*chronic_consumption!$AM296/1000/$C$3)</f>
        <v>#DIV/0!</v>
      </c>
      <c r="AS1496" s="1098" t="e">
        <f>IF($D$1212="",0,$D1496*Table3[[#This Row],[CF]]*chronic_consumption!$AN296/1000/$C$3)</f>
        <v>#DIV/0!</v>
      </c>
      <c r="AT1496" s="1098" t="e">
        <f>IF($D$1212="",0,$D1496*Table3[[#This Row],[CF]]*chronic_consumption!$AO296/1000/$C$3)</f>
        <v>#DIV/0!</v>
      </c>
      <c r="AU1496" s="1099" t="e">
        <f t="shared" si="882"/>
        <v>#DIV/0!</v>
      </c>
      <c r="AV1496" s="1099" t="e">
        <f t="shared" si="882"/>
        <v>#DIV/0!</v>
      </c>
      <c r="AW1496" s="1099" t="e">
        <f t="shared" si="882"/>
        <v>#DIV/0!</v>
      </c>
      <c r="AX1496" s="1099" t="e">
        <f t="shared" si="882"/>
        <v>#DIV/0!</v>
      </c>
      <c r="AY1496" s="1099" t="e">
        <f t="shared" si="882"/>
        <v>#DIV/0!</v>
      </c>
      <c r="AZ1496" s="1091" t="s">
        <v>1012</v>
      </c>
      <c r="BA1496" s="1097" t="e">
        <f>IF(Table3[[#This Row],[max]]&lt;&gt;0,RANK(Table3[[#This Row],[max]],Table3[max],0),"")</f>
        <v>#DIV/0!</v>
      </c>
      <c r="BB1496" s="1096" t="e">
        <f t="shared" si="876"/>
        <v>#DIV/0!</v>
      </c>
      <c r="BC1496" s="1096" t="e">
        <f t="shared" ca="1" si="877"/>
        <v>#DIV/0!</v>
      </c>
      <c r="BD1496" s="1096" t="e">
        <f>IF(Table3[[#This Row],[max]]&gt;0,Table3[[#This Row],[Crop groups and examples of individual products within the groups to which the MRLs apply]],"")</f>
        <v>#DIV/0!</v>
      </c>
    </row>
    <row r="1497" spans="2:56" x14ac:dyDescent="0.2">
      <c r="B1497" s="23">
        <f t="shared" si="881"/>
        <v>820080</v>
      </c>
      <c r="C1497" s="23" t="str">
        <f t="shared" si="881"/>
        <v xml:space="preserve">Tamarind </v>
      </c>
      <c r="D1497" s="1084">
        <f>input_values!E297</f>
        <v>0</v>
      </c>
      <c r="E1497" s="1084">
        <f>input_values!F297</f>
        <v>0</v>
      </c>
      <c r="F1497" s="1085">
        <f>input_values!W297</f>
        <v>1</v>
      </c>
      <c r="G1497" s="1085" t="str">
        <f>IF(Table3[[#This Row],[CF]]&gt;0,CONCATENATE(IF(Table3[[#This Row],[LOQ]]="*","LOQ","MRL"),IF(input_values!G297&gt;0,"×CFrisk","")),"")</f>
        <v>MRL</v>
      </c>
      <c r="H1497" s="1087">
        <f>input_values!L297</f>
        <v>0</v>
      </c>
      <c r="I1497" s="1088">
        <f>input_values!D297</f>
        <v>0</v>
      </c>
      <c r="J1497" s="1098" t="e">
        <f>IF($D$1212="",0,$D1497*Table3[[#This Row],[CF]]*chronic_consumption!$E297/1000/$C$3)</f>
        <v>#DIV/0!</v>
      </c>
      <c r="K1497" s="1098" t="e">
        <f>IF($D$1212="",0,$D1497*Table3[[#This Row],[CF]]*chronic_consumption!$F297/1000/$C$3)</f>
        <v>#DIV/0!</v>
      </c>
      <c r="L1497" s="1098" t="e">
        <f>IF($D$1212="",0,$D1497*Table3[[#This Row],[CF]]*chronic_consumption!$G297/1000/$C$3)</f>
        <v>#DIV/0!</v>
      </c>
      <c r="M1497" s="1098" t="e">
        <f>IF($D$1212="",0,$D1497*Table3[[#This Row],[CF]]*chronic_consumption!$H297/1000/$C$3)</f>
        <v>#DIV/0!</v>
      </c>
      <c r="N1497" s="1098" t="e">
        <f>IF($D$1212="",0,$D1497*Table3[[#This Row],[CF]]*chronic_consumption!$I297/1000/$C$3)</f>
        <v>#DIV/0!</v>
      </c>
      <c r="O1497" s="1098" t="e">
        <f>IF($D$1212="",0,$D1497*Table3[[#This Row],[CF]]*chronic_consumption!$J297/1000/$C$3)</f>
        <v>#DIV/0!</v>
      </c>
      <c r="P1497" s="1098" t="e">
        <f>IF($D$1212="",0,$D1497*Table3[[#This Row],[CF]]*chronic_consumption!$K297/1000/$C$3)</f>
        <v>#DIV/0!</v>
      </c>
      <c r="Q1497" s="1098" t="e">
        <f>IF($D$1212="",0,$D1497*Table3[[#This Row],[CF]]*chronic_consumption!$L297/1000/$C$3)</f>
        <v>#DIV/0!</v>
      </c>
      <c r="R1497" s="1098" t="e">
        <f>IF($D$1212="",0,$D1497*Table3[[#This Row],[CF]]*chronic_consumption!$M297/1000/$C$3)</f>
        <v>#DIV/0!</v>
      </c>
      <c r="S1497" s="1098" t="e">
        <f>IF($D$1212="",0,$D1497*Table3[[#This Row],[CF]]*chronic_consumption!$N297/1000/$C$3)</f>
        <v>#DIV/0!</v>
      </c>
      <c r="T1497" s="1098" t="e">
        <f>IF($D$1212="",0,$D1497*Table3[[#This Row],[CF]]*chronic_consumption!$O297/1000/$C$3)</f>
        <v>#DIV/0!</v>
      </c>
      <c r="U1497" s="1098" t="e">
        <f>IF($D$1212="",0,$D1497*Table3[[#This Row],[CF]]*chronic_consumption!$P297/1000/$C$3)</f>
        <v>#DIV/0!</v>
      </c>
      <c r="V1497" s="1098" t="e">
        <f>IF($D$1212="",0,$D1497*Table3[[#This Row],[CF]]*chronic_consumption!$Q297/1000/$C$3)</f>
        <v>#DIV/0!</v>
      </c>
      <c r="W1497" s="1098" t="e">
        <f>IF($D$1212="",0,$D1497*Table3[[#This Row],[CF]]*chronic_consumption!$R297/1000/$C$3)</f>
        <v>#DIV/0!</v>
      </c>
      <c r="X1497" s="1098" t="e">
        <f>IF($D$1212="",0,$D1497*Table3[[#This Row],[CF]]*chronic_consumption!$S297/1000/$C$3)</f>
        <v>#DIV/0!</v>
      </c>
      <c r="Y1497" s="1098" t="e">
        <f>IF($D$1212="",0,$D1497*Table3[[#This Row],[CF]]*chronic_consumption!$T297/1000/$C$3)</f>
        <v>#DIV/0!</v>
      </c>
      <c r="Z1497" s="1098" t="e">
        <f>IF($D$1212="",0,$D1497*Table3[[#This Row],[CF]]*chronic_consumption!$U297/1000/$C$3)</f>
        <v>#DIV/0!</v>
      </c>
      <c r="AA1497" s="1098" t="e">
        <f>IF($D$1212="",0,$D1497*Table3[[#This Row],[CF]]*chronic_consumption!$V297/1000/$C$3)</f>
        <v>#DIV/0!</v>
      </c>
      <c r="AB1497" s="1098" t="e">
        <f>IF($D$1212="",0,$D1497*Table3[[#This Row],[CF]]*chronic_consumption!$W297/1000/$C$3)</f>
        <v>#DIV/0!</v>
      </c>
      <c r="AC1497" s="1098" t="e">
        <f>IF($D$1212="",0,$D1497*Table3[[#This Row],[CF]]*chronic_consumption!$X297/1000/$C$3)</f>
        <v>#DIV/0!</v>
      </c>
      <c r="AD1497" s="1098" t="e">
        <f>IF($D$1212="",0,$D1497*Table3[[#This Row],[CF]]*chronic_consumption!$Y297/1000/$C$3)</f>
        <v>#DIV/0!</v>
      </c>
      <c r="AE1497" s="1098" t="e">
        <f>IF($D$1212="",0,$D1497*Table3[[#This Row],[CF]]*chronic_consumption!$Z297/1000/$C$3)</f>
        <v>#DIV/0!</v>
      </c>
      <c r="AF1497" s="1098" t="e">
        <f>IF($D$1212="",0,$D1497*Table3[[#This Row],[CF]]*chronic_consumption!$AA297/1000/$C$3)</f>
        <v>#DIV/0!</v>
      </c>
      <c r="AG1497" s="1098" t="e">
        <f>IF($D$1212="",0,$D1497*Table3[[#This Row],[CF]]*chronic_consumption!$AB297/1000/$C$3)</f>
        <v>#DIV/0!</v>
      </c>
      <c r="AH1497" s="1098" t="e">
        <f>IF($D$1212="",0,$D1497*Table3[[#This Row],[CF]]*chronic_consumption!$AC297/1000/$C$3)</f>
        <v>#DIV/0!</v>
      </c>
      <c r="AI1497" s="1098" t="e">
        <f>IF($D$1212="",0,$D1497*Table3[[#This Row],[CF]]*chronic_consumption!$AD297/1000/$C$3)</f>
        <v>#DIV/0!</v>
      </c>
      <c r="AJ1497" s="1098" t="e">
        <f>IF($D$1212="",0,$D1497*Table3[[#This Row],[CF]]*chronic_consumption!$AE297/1000/$C$3)</f>
        <v>#DIV/0!</v>
      </c>
      <c r="AK1497" s="1098" t="e">
        <f>IF($D$1212="",0,$D1497*Table3[[#This Row],[CF]]*chronic_consumption!$AF297/1000/$C$3)</f>
        <v>#DIV/0!</v>
      </c>
      <c r="AL1497" s="1098" t="e">
        <f>IF($D$1212="",0,$D1497*Table3[[#This Row],[CF]]*chronic_consumption!$AG297/1000/$C$3)</f>
        <v>#DIV/0!</v>
      </c>
      <c r="AM1497" s="1098" t="e">
        <f>IF($D$1212="",0,$D1497*Table3[[#This Row],[CF]]*chronic_consumption!$AH297/1000/$C$3)</f>
        <v>#DIV/0!</v>
      </c>
      <c r="AN1497" s="1098" t="e">
        <f>IF($D$1212="",0,$D1497*Table3[[#This Row],[CF]]*chronic_consumption!$AI297/1000/$C$3)</f>
        <v>#DIV/0!</v>
      </c>
      <c r="AO1497" s="1098" t="e">
        <f>IF($D$1212="",0,$D1497*Table3[[#This Row],[CF]]*chronic_consumption!$AJ297/1000/$C$3)</f>
        <v>#DIV/0!</v>
      </c>
      <c r="AP1497" s="1098" t="e">
        <f>IF($D$1212="",0,$D1497*Table3[[#This Row],[CF]]*chronic_consumption!$AK297/1000/$C$3)</f>
        <v>#DIV/0!</v>
      </c>
      <c r="AQ1497" s="1098" t="e">
        <f>IF($D$1212="",0,$D1497*Table3[[#This Row],[CF]]*chronic_consumption!$AL297/1000/$C$3)</f>
        <v>#DIV/0!</v>
      </c>
      <c r="AR1497" s="1098" t="e">
        <f>IF($D$1212="",0,$D1497*Table3[[#This Row],[CF]]*chronic_consumption!$AM297/1000/$C$3)</f>
        <v>#DIV/0!</v>
      </c>
      <c r="AS1497" s="1098" t="e">
        <f>IF($D$1212="",0,$D1497*Table3[[#This Row],[CF]]*chronic_consumption!$AN297/1000/$C$3)</f>
        <v>#DIV/0!</v>
      </c>
      <c r="AT1497" s="1098" t="e">
        <f>IF($D$1212="",0,$D1497*Table3[[#This Row],[CF]]*chronic_consumption!$AO297/1000/$C$3)</f>
        <v>#DIV/0!</v>
      </c>
      <c r="AU1497" s="1099" t="e">
        <f t="shared" si="882"/>
        <v>#DIV/0!</v>
      </c>
      <c r="AV1497" s="1099" t="e">
        <f t="shared" si="882"/>
        <v>#DIV/0!</v>
      </c>
      <c r="AW1497" s="1099" t="e">
        <f t="shared" si="882"/>
        <v>#DIV/0!</v>
      </c>
      <c r="AX1497" s="1099" t="e">
        <f t="shared" si="882"/>
        <v>#DIV/0!</v>
      </c>
      <c r="AY1497" s="1099" t="e">
        <f t="shared" si="882"/>
        <v>#DIV/0!</v>
      </c>
      <c r="AZ1497" s="1091" t="s">
        <v>1012</v>
      </c>
      <c r="BA1497" s="1097" t="e">
        <f>IF(Table3[[#This Row],[max]]&lt;&gt;0,RANK(Table3[[#This Row],[max]],Table3[max],0),"")</f>
        <v>#DIV/0!</v>
      </c>
      <c r="BB1497" s="1096" t="e">
        <f t="shared" si="876"/>
        <v>#DIV/0!</v>
      </c>
      <c r="BC1497" s="1096" t="e">
        <f t="shared" ca="1" si="877"/>
        <v>#DIV/0!</v>
      </c>
      <c r="BD1497" s="1096" t="e">
        <f>IF(Table3[[#This Row],[max]]&gt;0,Table3[[#This Row],[Crop groups and examples of individual products within the groups to which the MRLs apply]],"")</f>
        <v>#DIV/0!</v>
      </c>
    </row>
    <row r="1498" spans="2:56" x14ac:dyDescent="0.2">
      <c r="B1498" s="23">
        <f t="shared" si="881"/>
        <v>820990</v>
      </c>
      <c r="C1498" s="23" t="str">
        <f t="shared" si="881"/>
        <v>Other spices (fruits)</v>
      </c>
      <c r="D1498" s="1084">
        <f>input_values!E298</f>
        <v>0</v>
      </c>
      <c r="E1498" s="1084">
        <f>input_values!F298</f>
        <v>0</v>
      </c>
      <c r="F1498" s="1085">
        <f>input_values!W298</f>
        <v>1</v>
      </c>
      <c r="G1498" s="1085" t="str">
        <f>IF(Table3[[#This Row],[CF]]&gt;0,CONCATENATE(IF(Table3[[#This Row],[LOQ]]="*","LOQ","MRL"),IF(input_values!G298&gt;0,"×CFrisk","")),"")</f>
        <v>MRL</v>
      </c>
      <c r="H1498" s="1087">
        <f>input_values!L298</f>
        <v>0</v>
      </c>
      <c r="I1498" s="1088">
        <f>input_values!D298</f>
        <v>0</v>
      </c>
      <c r="J1498" s="1098" t="e">
        <f>IF($D$1212="",0,$D1498*Table3[[#This Row],[CF]]*chronic_consumption!$E298/1000/$C$3)</f>
        <v>#DIV/0!</v>
      </c>
      <c r="K1498" s="1098" t="e">
        <f>IF($D$1212="",0,$D1498*Table3[[#This Row],[CF]]*chronic_consumption!$F298/1000/$C$3)</f>
        <v>#DIV/0!</v>
      </c>
      <c r="L1498" s="1098" t="e">
        <f>IF($D$1212="",0,$D1498*Table3[[#This Row],[CF]]*chronic_consumption!$G298/1000/$C$3)</f>
        <v>#DIV/0!</v>
      </c>
      <c r="M1498" s="1098" t="e">
        <f>IF($D$1212="",0,$D1498*Table3[[#This Row],[CF]]*chronic_consumption!$H298/1000/$C$3)</f>
        <v>#DIV/0!</v>
      </c>
      <c r="N1498" s="1098" t="e">
        <f>IF($D$1212="",0,$D1498*Table3[[#This Row],[CF]]*chronic_consumption!$I298/1000/$C$3)</f>
        <v>#DIV/0!</v>
      </c>
      <c r="O1498" s="1098" t="e">
        <f>IF($D$1212="",0,$D1498*Table3[[#This Row],[CF]]*chronic_consumption!$J298/1000/$C$3)</f>
        <v>#DIV/0!</v>
      </c>
      <c r="P1498" s="1098" t="e">
        <f>IF($D$1212="",0,$D1498*Table3[[#This Row],[CF]]*chronic_consumption!$K298/1000/$C$3)</f>
        <v>#DIV/0!</v>
      </c>
      <c r="Q1498" s="1098" t="e">
        <f>IF($D$1212="",0,$D1498*Table3[[#This Row],[CF]]*chronic_consumption!$L298/1000/$C$3)</f>
        <v>#DIV/0!</v>
      </c>
      <c r="R1498" s="1098" t="e">
        <f>IF($D$1212="",0,$D1498*Table3[[#This Row],[CF]]*chronic_consumption!$M298/1000/$C$3)</f>
        <v>#DIV/0!</v>
      </c>
      <c r="S1498" s="1098" t="e">
        <f>IF($D$1212="",0,$D1498*Table3[[#This Row],[CF]]*chronic_consumption!$N298/1000/$C$3)</f>
        <v>#DIV/0!</v>
      </c>
      <c r="T1498" s="1098" t="e">
        <f>IF($D$1212="",0,$D1498*Table3[[#This Row],[CF]]*chronic_consumption!$O298/1000/$C$3)</f>
        <v>#DIV/0!</v>
      </c>
      <c r="U1498" s="1098" t="e">
        <f>IF($D$1212="",0,$D1498*Table3[[#This Row],[CF]]*chronic_consumption!$P298/1000/$C$3)</f>
        <v>#DIV/0!</v>
      </c>
      <c r="V1498" s="1098" t="e">
        <f>IF($D$1212="",0,$D1498*Table3[[#This Row],[CF]]*chronic_consumption!$Q298/1000/$C$3)</f>
        <v>#DIV/0!</v>
      </c>
      <c r="W1498" s="1098" t="e">
        <f>IF($D$1212="",0,$D1498*Table3[[#This Row],[CF]]*chronic_consumption!$R298/1000/$C$3)</f>
        <v>#DIV/0!</v>
      </c>
      <c r="X1498" s="1098" t="e">
        <f>IF($D$1212="",0,$D1498*Table3[[#This Row],[CF]]*chronic_consumption!$S298/1000/$C$3)</f>
        <v>#DIV/0!</v>
      </c>
      <c r="Y1498" s="1098" t="e">
        <f>IF($D$1212="",0,$D1498*Table3[[#This Row],[CF]]*chronic_consumption!$T298/1000/$C$3)</f>
        <v>#DIV/0!</v>
      </c>
      <c r="Z1498" s="1098" t="e">
        <f>IF($D$1212="",0,$D1498*Table3[[#This Row],[CF]]*chronic_consumption!$U298/1000/$C$3)</f>
        <v>#DIV/0!</v>
      </c>
      <c r="AA1498" s="1098" t="e">
        <f>IF($D$1212="",0,$D1498*Table3[[#This Row],[CF]]*chronic_consumption!$V298/1000/$C$3)</f>
        <v>#DIV/0!</v>
      </c>
      <c r="AB1498" s="1098" t="e">
        <f>IF($D$1212="",0,$D1498*Table3[[#This Row],[CF]]*chronic_consumption!$W298/1000/$C$3)</f>
        <v>#DIV/0!</v>
      </c>
      <c r="AC1498" s="1098" t="e">
        <f>IF($D$1212="",0,$D1498*Table3[[#This Row],[CF]]*chronic_consumption!$X298/1000/$C$3)</f>
        <v>#DIV/0!</v>
      </c>
      <c r="AD1498" s="1098" t="e">
        <f>IF($D$1212="",0,$D1498*Table3[[#This Row],[CF]]*chronic_consumption!$Y298/1000/$C$3)</f>
        <v>#DIV/0!</v>
      </c>
      <c r="AE1498" s="1098" t="e">
        <f>IF($D$1212="",0,$D1498*Table3[[#This Row],[CF]]*chronic_consumption!$Z298/1000/$C$3)</f>
        <v>#DIV/0!</v>
      </c>
      <c r="AF1498" s="1098" t="e">
        <f>IF($D$1212="",0,$D1498*Table3[[#This Row],[CF]]*chronic_consumption!$AA298/1000/$C$3)</f>
        <v>#DIV/0!</v>
      </c>
      <c r="AG1498" s="1098" t="e">
        <f>IF($D$1212="",0,$D1498*Table3[[#This Row],[CF]]*chronic_consumption!$AB298/1000/$C$3)</f>
        <v>#DIV/0!</v>
      </c>
      <c r="AH1498" s="1098" t="e">
        <f>IF($D$1212="",0,$D1498*Table3[[#This Row],[CF]]*chronic_consumption!$AC298/1000/$C$3)</f>
        <v>#DIV/0!</v>
      </c>
      <c r="AI1498" s="1098" t="e">
        <f>IF($D$1212="",0,$D1498*Table3[[#This Row],[CF]]*chronic_consumption!$AD298/1000/$C$3)</f>
        <v>#DIV/0!</v>
      </c>
      <c r="AJ1498" s="1098" t="e">
        <f>IF($D$1212="",0,$D1498*Table3[[#This Row],[CF]]*chronic_consumption!$AE298/1000/$C$3)</f>
        <v>#DIV/0!</v>
      </c>
      <c r="AK1498" s="1098" t="e">
        <f>IF($D$1212="",0,$D1498*Table3[[#This Row],[CF]]*chronic_consumption!$AF298/1000/$C$3)</f>
        <v>#DIV/0!</v>
      </c>
      <c r="AL1498" s="1098" t="e">
        <f>IF($D$1212="",0,$D1498*Table3[[#This Row],[CF]]*chronic_consumption!$AG298/1000/$C$3)</f>
        <v>#DIV/0!</v>
      </c>
      <c r="AM1498" s="1098" t="e">
        <f>IF($D$1212="",0,$D1498*Table3[[#This Row],[CF]]*chronic_consumption!$AH298/1000/$C$3)</f>
        <v>#DIV/0!</v>
      </c>
      <c r="AN1498" s="1098" t="e">
        <f>IF($D$1212="",0,$D1498*Table3[[#This Row],[CF]]*chronic_consumption!$AI298/1000/$C$3)</f>
        <v>#DIV/0!</v>
      </c>
      <c r="AO1498" s="1098" t="e">
        <f>IF($D$1212="",0,$D1498*Table3[[#This Row],[CF]]*chronic_consumption!$AJ298/1000/$C$3)</f>
        <v>#DIV/0!</v>
      </c>
      <c r="AP1498" s="1098" t="e">
        <f>IF($D$1212="",0,$D1498*Table3[[#This Row],[CF]]*chronic_consumption!$AK298/1000/$C$3)</f>
        <v>#DIV/0!</v>
      </c>
      <c r="AQ1498" s="1098" t="e">
        <f>IF($D$1212="",0,$D1498*Table3[[#This Row],[CF]]*chronic_consumption!$AL298/1000/$C$3)</f>
        <v>#DIV/0!</v>
      </c>
      <c r="AR1498" s="1098" t="e">
        <f>IF($D$1212="",0,$D1498*Table3[[#This Row],[CF]]*chronic_consumption!$AM298/1000/$C$3)</f>
        <v>#DIV/0!</v>
      </c>
      <c r="AS1498" s="1098" t="e">
        <f>IF($D$1212="",0,$D1498*Table3[[#This Row],[CF]]*chronic_consumption!$AN298/1000/$C$3)</f>
        <v>#DIV/0!</v>
      </c>
      <c r="AT1498" s="1098" t="e">
        <f>IF($D$1212="",0,$D1498*Table3[[#This Row],[CF]]*chronic_consumption!$AO298/1000/$C$3)</f>
        <v>#DIV/0!</v>
      </c>
      <c r="AU1498" s="1099" t="e">
        <f t="shared" si="882"/>
        <v>#DIV/0!</v>
      </c>
      <c r="AV1498" s="1099" t="e">
        <f t="shared" si="882"/>
        <v>#DIV/0!</v>
      </c>
      <c r="AW1498" s="1099" t="e">
        <f t="shared" si="882"/>
        <v>#DIV/0!</v>
      </c>
      <c r="AX1498" s="1099" t="e">
        <f t="shared" si="882"/>
        <v>#DIV/0!</v>
      </c>
      <c r="AY1498" s="1099" t="e">
        <f t="shared" si="882"/>
        <v>#DIV/0!</v>
      </c>
      <c r="AZ1498" s="1091" t="s">
        <v>1012</v>
      </c>
      <c r="BA1498" s="1097" t="e">
        <f>IF(Table3[[#This Row],[max]]&lt;&gt;0,RANK(Table3[[#This Row],[max]],Table3[max],0),"")</f>
        <v>#DIV/0!</v>
      </c>
      <c r="BB1498" s="1096" t="e">
        <f t="shared" si="876"/>
        <v>#DIV/0!</v>
      </c>
      <c r="BC1498" s="1096" t="e">
        <f t="shared" ca="1" si="877"/>
        <v>#DIV/0!</v>
      </c>
      <c r="BD1498" s="1096" t="e">
        <f>IF(Table3[[#This Row],[max]]&gt;0,Table3[[#This Row],[Crop groups and examples of individual products within the groups to which the MRLs apply]],"")</f>
        <v>#DIV/0!</v>
      </c>
    </row>
    <row r="1499" spans="2:56" x14ac:dyDescent="0.2">
      <c r="B1499" s="131">
        <f t="shared" si="881"/>
        <v>830000</v>
      </c>
      <c r="C1499" s="131" t="str">
        <f t="shared" si="881"/>
        <v>Spices (bark)</v>
      </c>
      <c r="D1499" s="1084">
        <f>input_values!E299</f>
        <v>0</v>
      </c>
      <c r="E1499" s="1084">
        <f>input_values!F299</f>
        <v>0</v>
      </c>
      <c r="F1499" s="1085">
        <f>input_values!W299</f>
        <v>0</v>
      </c>
      <c r="G1499" s="1085" t="str">
        <f>IF(Table3[[#This Row],[CF]]&gt;0,CONCATENATE(IF(Table3[[#This Row],[LOQ]]="*","LOQ","MRL"),IF(input_values!G299&gt;0,"×CFrisk","")),"")</f>
        <v/>
      </c>
      <c r="H1499" s="1087">
        <f>input_values!L299</f>
        <v>0</v>
      </c>
      <c r="I1499" s="1088">
        <f>input_values!D299</f>
        <v>0</v>
      </c>
      <c r="J1499" s="1095" t="e">
        <f>IF($D$1212="",0,$D1499*Table3[[#This Row],[CF]]*chronic_consumption!$E299/1000/$C$3)</f>
        <v>#DIV/0!</v>
      </c>
      <c r="K1499" s="1095" t="e">
        <f>IF($D$1212="",0,$D1499*Table3[[#This Row],[CF]]*chronic_consumption!$F299/1000/$C$3)</f>
        <v>#DIV/0!</v>
      </c>
      <c r="L1499" s="1095" t="e">
        <f>IF($D$1212="",0,$D1499*Table3[[#This Row],[CF]]*chronic_consumption!$G299/1000/$C$3)</f>
        <v>#DIV/0!</v>
      </c>
      <c r="M1499" s="1095" t="e">
        <f>IF($D$1212="",0,$D1499*Table3[[#This Row],[CF]]*chronic_consumption!$H299/1000/$C$3)</f>
        <v>#DIV/0!</v>
      </c>
      <c r="N1499" s="1095" t="e">
        <f>IF($D$1212="",0,$D1499*Table3[[#This Row],[CF]]*chronic_consumption!$I299/1000/$C$3)</f>
        <v>#DIV/0!</v>
      </c>
      <c r="O1499" s="1095" t="e">
        <f>IF($D$1212="",0,$D1499*Table3[[#This Row],[CF]]*chronic_consumption!$J299/1000/$C$3)</f>
        <v>#DIV/0!</v>
      </c>
      <c r="P1499" s="1095" t="e">
        <f>IF($D$1212="",0,$D1499*Table3[[#This Row],[CF]]*chronic_consumption!$K299/1000/$C$3)</f>
        <v>#DIV/0!</v>
      </c>
      <c r="Q1499" s="1095" t="e">
        <f>IF($D$1212="",0,$D1499*Table3[[#This Row],[CF]]*chronic_consumption!$L299/1000/$C$3)</f>
        <v>#DIV/0!</v>
      </c>
      <c r="R1499" s="1095" t="e">
        <f>IF($D$1212="",0,$D1499*Table3[[#This Row],[CF]]*chronic_consumption!$M299/1000/$C$3)</f>
        <v>#DIV/0!</v>
      </c>
      <c r="S1499" s="1095" t="e">
        <f>IF($D$1212="",0,$D1499*Table3[[#This Row],[CF]]*chronic_consumption!$N299/1000/$C$3)</f>
        <v>#DIV/0!</v>
      </c>
      <c r="T1499" s="1095" t="e">
        <f>IF($D$1212="",0,$D1499*Table3[[#This Row],[CF]]*chronic_consumption!$O299/1000/$C$3)</f>
        <v>#DIV/0!</v>
      </c>
      <c r="U1499" s="1095" t="e">
        <f>IF($D$1212="",0,$D1499*Table3[[#This Row],[CF]]*chronic_consumption!$P299/1000/$C$3)</f>
        <v>#DIV/0!</v>
      </c>
      <c r="V1499" s="1095" t="e">
        <f>IF($D$1212="",0,$D1499*Table3[[#This Row],[CF]]*chronic_consumption!$Q299/1000/$C$3)</f>
        <v>#DIV/0!</v>
      </c>
      <c r="W1499" s="1095" t="e">
        <f>IF($D$1212="",0,$D1499*Table3[[#This Row],[CF]]*chronic_consumption!$R299/1000/$C$3)</f>
        <v>#DIV/0!</v>
      </c>
      <c r="X1499" s="1095" t="e">
        <f>IF($D$1212="",0,$D1499*Table3[[#This Row],[CF]]*chronic_consumption!$S299/1000/$C$3)</f>
        <v>#DIV/0!</v>
      </c>
      <c r="Y1499" s="1095" t="e">
        <f>IF($D$1212="",0,$D1499*Table3[[#This Row],[CF]]*chronic_consumption!$T299/1000/$C$3)</f>
        <v>#DIV/0!</v>
      </c>
      <c r="Z1499" s="1095" t="e">
        <f>IF($D$1212="",0,$D1499*Table3[[#This Row],[CF]]*chronic_consumption!$U299/1000/$C$3)</f>
        <v>#DIV/0!</v>
      </c>
      <c r="AA1499" s="1095" t="e">
        <f>IF($D$1212="",0,$D1499*Table3[[#This Row],[CF]]*chronic_consumption!$V299/1000/$C$3)</f>
        <v>#DIV/0!</v>
      </c>
      <c r="AB1499" s="1095" t="e">
        <f>IF($D$1212="",0,$D1499*Table3[[#This Row],[CF]]*chronic_consumption!$W299/1000/$C$3)</f>
        <v>#DIV/0!</v>
      </c>
      <c r="AC1499" s="1095" t="e">
        <f>IF($D$1212="",0,$D1499*Table3[[#This Row],[CF]]*chronic_consumption!$X299/1000/$C$3)</f>
        <v>#DIV/0!</v>
      </c>
      <c r="AD1499" s="1095" t="e">
        <f>IF($D$1212="",0,$D1499*Table3[[#This Row],[CF]]*chronic_consumption!$Y299/1000/$C$3)</f>
        <v>#DIV/0!</v>
      </c>
      <c r="AE1499" s="1095" t="e">
        <f>IF($D$1212="",0,$D1499*Table3[[#This Row],[CF]]*chronic_consumption!$Z299/1000/$C$3)</f>
        <v>#DIV/0!</v>
      </c>
      <c r="AF1499" s="1095" t="e">
        <f>IF($D$1212="",0,$D1499*Table3[[#This Row],[CF]]*chronic_consumption!$AA299/1000/$C$3)</f>
        <v>#DIV/0!</v>
      </c>
      <c r="AG1499" s="1095" t="e">
        <f>IF($D$1212="",0,$D1499*Table3[[#This Row],[CF]]*chronic_consumption!$AB299/1000/$C$3)</f>
        <v>#DIV/0!</v>
      </c>
      <c r="AH1499" s="1095" t="e">
        <f>IF($D$1212="",0,$D1499*Table3[[#This Row],[CF]]*chronic_consumption!$AC299/1000/$C$3)</f>
        <v>#DIV/0!</v>
      </c>
      <c r="AI1499" s="1095" t="e">
        <f>IF($D$1212="",0,$D1499*Table3[[#This Row],[CF]]*chronic_consumption!$AD299/1000/$C$3)</f>
        <v>#DIV/0!</v>
      </c>
      <c r="AJ1499" s="1095" t="e">
        <f>IF($D$1212="",0,$D1499*Table3[[#This Row],[CF]]*chronic_consumption!$AE299/1000/$C$3)</f>
        <v>#DIV/0!</v>
      </c>
      <c r="AK1499" s="1095" t="e">
        <f>IF($D$1212="",0,$D1499*Table3[[#This Row],[CF]]*chronic_consumption!$AF299/1000/$C$3)</f>
        <v>#DIV/0!</v>
      </c>
      <c r="AL1499" s="1095" t="e">
        <f>IF($D$1212="",0,$D1499*Table3[[#This Row],[CF]]*chronic_consumption!$AG299/1000/$C$3)</f>
        <v>#DIV/0!</v>
      </c>
      <c r="AM1499" s="1095" t="e">
        <f>IF($D$1212="",0,$D1499*Table3[[#This Row],[CF]]*chronic_consumption!$AH299/1000/$C$3)</f>
        <v>#DIV/0!</v>
      </c>
      <c r="AN1499" s="1095" t="e">
        <f>IF($D$1212="",0,$D1499*Table3[[#This Row],[CF]]*chronic_consumption!$AI299/1000/$C$3)</f>
        <v>#DIV/0!</v>
      </c>
      <c r="AO1499" s="1095" t="e">
        <f>IF($D$1212="",0,$D1499*Table3[[#This Row],[CF]]*chronic_consumption!$AJ299/1000/$C$3)</f>
        <v>#DIV/0!</v>
      </c>
      <c r="AP1499" s="1095" t="e">
        <f>IF($D$1212="",0,$D1499*Table3[[#This Row],[CF]]*chronic_consumption!$AK299/1000/$C$3)</f>
        <v>#DIV/0!</v>
      </c>
      <c r="AQ1499" s="1095" t="e">
        <f>IF($D$1212="",0,$D1499*Table3[[#This Row],[CF]]*chronic_consumption!$AL299/1000/$C$3)</f>
        <v>#DIV/0!</v>
      </c>
      <c r="AR1499" s="1095" t="e">
        <f>IF($D$1212="",0,$D1499*Table3[[#This Row],[CF]]*chronic_consumption!$AM299/1000/$C$3)</f>
        <v>#DIV/0!</v>
      </c>
      <c r="AS1499" s="1095" t="e">
        <f>IF($D$1212="",0,$D1499*Table3[[#This Row],[CF]]*chronic_consumption!$AN299/1000/$C$3)</f>
        <v>#DIV/0!</v>
      </c>
      <c r="AT1499" s="1095" t="e">
        <f>IF($D$1212="",0,$D1499*Table3[[#This Row],[CF]]*chronic_consumption!$AO299/1000/$C$3)</f>
        <v>#DIV/0!</v>
      </c>
      <c r="AU1499" s="1096" t="e">
        <f t="shared" si="882"/>
        <v>#DIV/0!</v>
      </c>
      <c r="AV1499" s="1096" t="e">
        <f t="shared" si="882"/>
        <v>#DIV/0!</v>
      </c>
      <c r="AW1499" s="1096" t="e">
        <f t="shared" si="882"/>
        <v>#DIV/0!</v>
      </c>
      <c r="AX1499" s="1096" t="e">
        <f t="shared" si="882"/>
        <v>#DIV/0!</v>
      </c>
      <c r="AY1499" s="1096" t="e">
        <f t="shared" si="882"/>
        <v>#DIV/0!</v>
      </c>
      <c r="AZ1499" s="1091" t="s">
        <v>1012</v>
      </c>
      <c r="BA1499" s="1097" t="e">
        <f>IF(Table3[[#This Row],[max]]&lt;&gt;0,RANK(Table3[[#This Row],[max]],Table3[max],0),"")</f>
        <v>#DIV/0!</v>
      </c>
      <c r="BB1499" s="1096" t="e">
        <f t="shared" si="876"/>
        <v>#DIV/0!</v>
      </c>
      <c r="BC1499" s="1096" t="e">
        <f t="shared" ca="1" si="877"/>
        <v>#DIV/0!</v>
      </c>
      <c r="BD1499" s="1096" t="e">
        <f>IF(Table3[[#This Row],[max]]&gt;0,Table3[[#This Row],[Crop groups and examples of individual products within the groups to which the MRLs apply]],"")</f>
        <v>#DIV/0!</v>
      </c>
    </row>
    <row r="1500" spans="2:56" x14ac:dyDescent="0.2">
      <c r="B1500" s="23">
        <f t="shared" si="881"/>
        <v>830010</v>
      </c>
      <c r="C1500" s="23" t="str">
        <f t="shared" si="881"/>
        <v>Cinnamon</v>
      </c>
      <c r="D1500" s="1084">
        <f>input_values!E300</f>
        <v>0</v>
      </c>
      <c r="E1500" s="1084">
        <f>input_values!F300</f>
        <v>0</v>
      </c>
      <c r="F1500" s="1085">
        <f>input_values!W300</f>
        <v>1</v>
      </c>
      <c r="G1500" s="1085" t="str">
        <f>IF(Table3[[#This Row],[CF]]&gt;0,CONCATENATE(IF(Table3[[#This Row],[LOQ]]="*","LOQ","MRL"),IF(input_values!G300&gt;0,"×CFrisk","")),"")</f>
        <v>MRL</v>
      </c>
      <c r="H1500" s="1087">
        <f>input_values!L300</f>
        <v>0</v>
      </c>
      <c r="I1500" s="1088">
        <f>input_values!D300</f>
        <v>0</v>
      </c>
      <c r="J1500" s="1098" t="e">
        <f>IF($D$1212="",0,$D1500*Table3[[#This Row],[CF]]*chronic_consumption!$E300/1000/$C$3)</f>
        <v>#DIV/0!</v>
      </c>
      <c r="K1500" s="1098" t="e">
        <f>IF($D$1212="",0,$D1500*Table3[[#This Row],[CF]]*chronic_consumption!$F300/1000/$C$3)</f>
        <v>#DIV/0!</v>
      </c>
      <c r="L1500" s="1098" t="e">
        <f>IF($D$1212="",0,$D1500*Table3[[#This Row],[CF]]*chronic_consumption!$G300/1000/$C$3)</f>
        <v>#DIV/0!</v>
      </c>
      <c r="M1500" s="1098" t="e">
        <f>IF($D$1212="",0,$D1500*Table3[[#This Row],[CF]]*chronic_consumption!$H300/1000/$C$3)</f>
        <v>#DIV/0!</v>
      </c>
      <c r="N1500" s="1098" t="e">
        <f>IF($D$1212="",0,$D1500*Table3[[#This Row],[CF]]*chronic_consumption!$I300/1000/$C$3)</f>
        <v>#DIV/0!</v>
      </c>
      <c r="O1500" s="1098" t="e">
        <f>IF($D$1212="",0,$D1500*Table3[[#This Row],[CF]]*chronic_consumption!$J300/1000/$C$3)</f>
        <v>#DIV/0!</v>
      </c>
      <c r="P1500" s="1098" t="e">
        <f>IF($D$1212="",0,$D1500*Table3[[#This Row],[CF]]*chronic_consumption!$K300/1000/$C$3)</f>
        <v>#DIV/0!</v>
      </c>
      <c r="Q1500" s="1098" t="e">
        <f>IF($D$1212="",0,$D1500*Table3[[#This Row],[CF]]*chronic_consumption!$L300/1000/$C$3)</f>
        <v>#DIV/0!</v>
      </c>
      <c r="R1500" s="1098" t="e">
        <f>IF($D$1212="",0,$D1500*Table3[[#This Row],[CF]]*chronic_consumption!$M300/1000/$C$3)</f>
        <v>#DIV/0!</v>
      </c>
      <c r="S1500" s="1098" t="e">
        <f>IF($D$1212="",0,$D1500*Table3[[#This Row],[CF]]*chronic_consumption!$N300/1000/$C$3)</f>
        <v>#DIV/0!</v>
      </c>
      <c r="T1500" s="1098" t="e">
        <f>IF($D$1212="",0,$D1500*Table3[[#This Row],[CF]]*chronic_consumption!$O300/1000/$C$3)</f>
        <v>#DIV/0!</v>
      </c>
      <c r="U1500" s="1098" t="e">
        <f>IF($D$1212="",0,$D1500*Table3[[#This Row],[CF]]*chronic_consumption!$P300/1000/$C$3)</f>
        <v>#DIV/0!</v>
      </c>
      <c r="V1500" s="1098" t="e">
        <f>IF($D$1212="",0,$D1500*Table3[[#This Row],[CF]]*chronic_consumption!$Q300/1000/$C$3)</f>
        <v>#DIV/0!</v>
      </c>
      <c r="W1500" s="1098" t="e">
        <f>IF($D$1212="",0,$D1500*Table3[[#This Row],[CF]]*chronic_consumption!$R300/1000/$C$3)</f>
        <v>#DIV/0!</v>
      </c>
      <c r="X1500" s="1098" t="e">
        <f>IF($D$1212="",0,$D1500*Table3[[#This Row],[CF]]*chronic_consumption!$S300/1000/$C$3)</f>
        <v>#DIV/0!</v>
      </c>
      <c r="Y1500" s="1098" t="e">
        <f>IF($D$1212="",0,$D1500*Table3[[#This Row],[CF]]*chronic_consumption!$T300/1000/$C$3)</f>
        <v>#DIV/0!</v>
      </c>
      <c r="Z1500" s="1098" t="e">
        <f>IF($D$1212="",0,$D1500*Table3[[#This Row],[CF]]*chronic_consumption!$U300/1000/$C$3)</f>
        <v>#DIV/0!</v>
      </c>
      <c r="AA1500" s="1098" t="e">
        <f>IF($D$1212="",0,$D1500*Table3[[#This Row],[CF]]*chronic_consumption!$V300/1000/$C$3)</f>
        <v>#DIV/0!</v>
      </c>
      <c r="AB1500" s="1098" t="e">
        <f>IF($D$1212="",0,$D1500*Table3[[#This Row],[CF]]*chronic_consumption!$W300/1000/$C$3)</f>
        <v>#DIV/0!</v>
      </c>
      <c r="AC1500" s="1098" t="e">
        <f>IF($D$1212="",0,$D1500*Table3[[#This Row],[CF]]*chronic_consumption!$X300/1000/$C$3)</f>
        <v>#DIV/0!</v>
      </c>
      <c r="AD1500" s="1098" t="e">
        <f>IF($D$1212="",0,$D1500*Table3[[#This Row],[CF]]*chronic_consumption!$Y300/1000/$C$3)</f>
        <v>#DIV/0!</v>
      </c>
      <c r="AE1500" s="1098" t="e">
        <f>IF($D$1212="",0,$D1500*Table3[[#This Row],[CF]]*chronic_consumption!$Z300/1000/$C$3)</f>
        <v>#DIV/0!</v>
      </c>
      <c r="AF1500" s="1098" t="e">
        <f>IF($D$1212="",0,$D1500*Table3[[#This Row],[CF]]*chronic_consumption!$AA300/1000/$C$3)</f>
        <v>#DIV/0!</v>
      </c>
      <c r="AG1500" s="1098" t="e">
        <f>IF($D$1212="",0,$D1500*Table3[[#This Row],[CF]]*chronic_consumption!$AB300/1000/$C$3)</f>
        <v>#DIV/0!</v>
      </c>
      <c r="AH1500" s="1098" t="e">
        <f>IF($D$1212="",0,$D1500*Table3[[#This Row],[CF]]*chronic_consumption!$AC300/1000/$C$3)</f>
        <v>#DIV/0!</v>
      </c>
      <c r="AI1500" s="1098" t="e">
        <f>IF($D$1212="",0,$D1500*Table3[[#This Row],[CF]]*chronic_consumption!$AD300/1000/$C$3)</f>
        <v>#DIV/0!</v>
      </c>
      <c r="AJ1500" s="1098" t="e">
        <f>IF($D$1212="",0,$D1500*Table3[[#This Row],[CF]]*chronic_consumption!$AE300/1000/$C$3)</f>
        <v>#DIV/0!</v>
      </c>
      <c r="AK1500" s="1098" t="e">
        <f>IF($D$1212="",0,$D1500*Table3[[#This Row],[CF]]*chronic_consumption!$AF300/1000/$C$3)</f>
        <v>#DIV/0!</v>
      </c>
      <c r="AL1500" s="1098" t="e">
        <f>IF($D$1212="",0,$D1500*Table3[[#This Row],[CF]]*chronic_consumption!$AG300/1000/$C$3)</f>
        <v>#DIV/0!</v>
      </c>
      <c r="AM1500" s="1098" t="e">
        <f>IF($D$1212="",0,$D1500*Table3[[#This Row],[CF]]*chronic_consumption!$AH300/1000/$C$3)</f>
        <v>#DIV/0!</v>
      </c>
      <c r="AN1500" s="1098" t="e">
        <f>IF($D$1212="",0,$D1500*Table3[[#This Row],[CF]]*chronic_consumption!$AI300/1000/$C$3)</f>
        <v>#DIV/0!</v>
      </c>
      <c r="AO1500" s="1098" t="e">
        <f>IF($D$1212="",0,$D1500*Table3[[#This Row],[CF]]*chronic_consumption!$AJ300/1000/$C$3)</f>
        <v>#DIV/0!</v>
      </c>
      <c r="AP1500" s="1098" t="e">
        <f>IF($D$1212="",0,$D1500*Table3[[#This Row],[CF]]*chronic_consumption!$AK300/1000/$C$3)</f>
        <v>#DIV/0!</v>
      </c>
      <c r="AQ1500" s="1098" t="e">
        <f>IF($D$1212="",0,$D1500*Table3[[#This Row],[CF]]*chronic_consumption!$AL300/1000/$C$3)</f>
        <v>#DIV/0!</v>
      </c>
      <c r="AR1500" s="1098" t="e">
        <f>IF($D$1212="",0,$D1500*Table3[[#This Row],[CF]]*chronic_consumption!$AM300/1000/$C$3)</f>
        <v>#DIV/0!</v>
      </c>
      <c r="AS1500" s="1098" t="e">
        <f>IF($D$1212="",0,$D1500*Table3[[#This Row],[CF]]*chronic_consumption!$AN300/1000/$C$3)</f>
        <v>#DIV/0!</v>
      </c>
      <c r="AT1500" s="1098" t="e">
        <f>IF($D$1212="",0,$D1500*Table3[[#This Row],[CF]]*chronic_consumption!$AO300/1000/$C$3)</f>
        <v>#DIV/0!</v>
      </c>
      <c r="AU1500" s="1099" t="e">
        <f t="shared" si="882"/>
        <v>#DIV/0!</v>
      </c>
      <c r="AV1500" s="1099" t="e">
        <f t="shared" si="882"/>
        <v>#DIV/0!</v>
      </c>
      <c r="AW1500" s="1099" t="e">
        <f t="shared" si="882"/>
        <v>#DIV/0!</v>
      </c>
      <c r="AX1500" s="1099" t="e">
        <f t="shared" si="882"/>
        <v>#DIV/0!</v>
      </c>
      <c r="AY1500" s="1099" t="e">
        <f t="shared" si="882"/>
        <v>#DIV/0!</v>
      </c>
      <c r="AZ1500" s="1091" t="s">
        <v>1012</v>
      </c>
      <c r="BA1500" s="1097" t="e">
        <f>IF(Table3[[#This Row],[max]]&lt;&gt;0,RANK(Table3[[#This Row],[max]],Table3[max],0),"")</f>
        <v>#DIV/0!</v>
      </c>
      <c r="BB1500" s="1096" t="e">
        <f t="shared" si="876"/>
        <v>#DIV/0!</v>
      </c>
      <c r="BC1500" s="1096" t="e">
        <f t="shared" ca="1" si="877"/>
        <v>#DIV/0!</v>
      </c>
      <c r="BD1500" s="1096" t="e">
        <f>IF(Table3[[#This Row],[max]]&gt;0,Table3[[#This Row],[Crop groups and examples of individual products within the groups to which the MRLs apply]],"")</f>
        <v>#DIV/0!</v>
      </c>
    </row>
    <row r="1501" spans="2:56" x14ac:dyDescent="0.2">
      <c r="B1501" s="23">
        <f t="shared" si="881"/>
        <v>830990</v>
      </c>
      <c r="C1501" s="23" t="str">
        <f t="shared" si="881"/>
        <v>Other spices (bark)</v>
      </c>
      <c r="D1501" s="1084">
        <f>input_values!E301</f>
        <v>0</v>
      </c>
      <c r="E1501" s="1084">
        <f>input_values!F301</f>
        <v>0</v>
      </c>
      <c r="F1501" s="1085">
        <f>input_values!W301</f>
        <v>1</v>
      </c>
      <c r="G1501" s="1085" t="str">
        <f>IF(Table3[[#This Row],[CF]]&gt;0,CONCATENATE(IF(Table3[[#This Row],[LOQ]]="*","LOQ","MRL"),IF(input_values!G301&gt;0,"×CFrisk","")),"")</f>
        <v>MRL</v>
      </c>
      <c r="H1501" s="1087">
        <f>input_values!L301</f>
        <v>0</v>
      </c>
      <c r="I1501" s="1088">
        <f>input_values!D301</f>
        <v>0</v>
      </c>
      <c r="J1501" s="1098" t="e">
        <f>IF($D$1212="",0,$D1501*Table3[[#This Row],[CF]]*chronic_consumption!$E301/1000/$C$3)</f>
        <v>#DIV/0!</v>
      </c>
      <c r="K1501" s="1098" t="e">
        <f>IF($D$1212="",0,$D1501*Table3[[#This Row],[CF]]*chronic_consumption!$F301/1000/$C$3)</f>
        <v>#DIV/0!</v>
      </c>
      <c r="L1501" s="1098" t="e">
        <f>IF($D$1212="",0,$D1501*Table3[[#This Row],[CF]]*chronic_consumption!$G301/1000/$C$3)</f>
        <v>#DIV/0!</v>
      </c>
      <c r="M1501" s="1098" t="e">
        <f>IF($D$1212="",0,$D1501*Table3[[#This Row],[CF]]*chronic_consumption!$H301/1000/$C$3)</f>
        <v>#DIV/0!</v>
      </c>
      <c r="N1501" s="1098" t="e">
        <f>IF($D$1212="",0,$D1501*Table3[[#This Row],[CF]]*chronic_consumption!$I301/1000/$C$3)</f>
        <v>#DIV/0!</v>
      </c>
      <c r="O1501" s="1098" t="e">
        <f>IF($D$1212="",0,$D1501*Table3[[#This Row],[CF]]*chronic_consumption!$J301/1000/$C$3)</f>
        <v>#DIV/0!</v>
      </c>
      <c r="P1501" s="1098" t="e">
        <f>IF($D$1212="",0,$D1501*Table3[[#This Row],[CF]]*chronic_consumption!$K301/1000/$C$3)</f>
        <v>#DIV/0!</v>
      </c>
      <c r="Q1501" s="1098" t="e">
        <f>IF($D$1212="",0,$D1501*Table3[[#This Row],[CF]]*chronic_consumption!$L301/1000/$C$3)</f>
        <v>#DIV/0!</v>
      </c>
      <c r="R1501" s="1098" t="e">
        <f>IF($D$1212="",0,$D1501*Table3[[#This Row],[CF]]*chronic_consumption!$M301/1000/$C$3)</f>
        <v>#DIV/0!</v>
      </c>
      <c r="S1501" s="1098" t="e">
        <f>IF($D$1212="",0,$D1501*Table3[[#This Row],[CF]]*chronic_consumption!$N301/1000/$C$3)</f>
        <v>#DIV/0!</v>
      </c>
      <c r="T1501" s="1098" t="e">
        <f>IF($D$1212="",0,$D1501*Table3[[#This Row],[CF]]*chronic_consumption!$O301/1000/$C$3)</f>
        <v>#DIV/0!</v>
      </c>
      <c r="U1501" s="1098" t="e">
        <f>IF($D$1212="",0,$D1501*Table3[[#This Row],[CF]]*chronic_consumption!$P301/1000/$C$3)</f>
        <v>#DIV/0!</v>
      </c>
      <c r="V1501" s="1098" t="e">
        <f>IF($D$1212="",0,$D1501*Table3[[#This Row],[CF]]*chronic_consumption!$Q301/1000/$C$3)</f>
        <v>#DIV/0!</v>
      </c>
      <c r="W1501" s="1098" t="e">
        <f>IF($D$1212="",0,$D1501*Table3[[#This Row],[CF]]*chronic_consumption!$R301/1000/$C$3)</f>
        <v>#DIV/0!</v>
      </c>
      <c r="X1501" s="1098" t="e">
        <f>IF($D$1212="",0,$D1501*Table3[[#This Row],[CF]]*chronic_consumption!$S301/1000/$C$3)</f>
        <v>#DIV/0!</v>
      </c>
      <c r="Y1501" s="1098" t="e">
        <f>IF($D$1212="",0,$D1501*Table3[[#This Row],[CF]]*chronic_consumption!$T301/1000/$C$3)</f>
        <v>#DIV/0!</v>
      </c>
      <c r="Z1501" s="1098" t="e">
        <f>IF($D$1212="",0,$D1501*Table3[[#This Row],[CF]]*chronic_consumption!$U301/1000/$C$3)</f>
        <v>#DIV/0!</v>
      </c>
      <c r="AA1501" s="1098" t="e">
        <f>IF($D$1212="",0,$D1501*Table3[[#This Row],[CF]]*chronic_consumption!$V301/1000/$C$3)</f>
        <v>#DIV/0!</v>
      </c>
      <c r="AB1501" s="1098" t="e">
        <f>IF($D$1212="",0,$D1501*Table3[[#This Row],[CF]]*chronic_consumption!$W301/1000/$C$3)</f>
        <v>#DIV/0!</v>
      </c>
      <c r="AC1501" s="1098" t="e">
        <f>IF($D$1212="",0,$D1501*Table3[[#This Row],[CF]]*chronic_consumption!$X301/1000/$C$3)</f>
        <v>#DIV/0!</v>
      </c>
      <c r="AD1501" s="1098" t="e">
        <f>IF($D$1212="",0,$D1501*Table3[[#This Row],[CF]]*chronic_consumption!$Y301/1000/$C$3)</f>
        <v>#DIV/0!</v>
      </c>
      <c r="AE1501" s="1098" t="e">
        <f>IF($D$1212="",0,$D1501*Table3[[#This Row],[CF]]*chronic_consumption!$Z301/1000/$C$3)</f>
        <v>#DIV/0!</v>
      </c>
      <c r="AF1501" s="1098" t="e">
        <f>IF($D$1212="",0,$D1501*Table3[[#This Row],[CF]]*chronic_consumption!$AA301/1000/$C$3)</f>
        <v>#DIV/0!</v>
      </c>
      <c r="AG1501" s="1098" t="e">
        <f>IF($D$1212="",0,$D1501*Table3[[#This Row],[CF]]*chronic_consumption!$AB301/1000/$C$3)</f>
        <v>#DIV/0!</v>
      </c>
      <c r="AH1501" s="1098" t="e">
        <f>IF($D$1212="",0,$D1501*Table3[[#This Row],[CF]]*chronic_consumption!$AC301/1000/$C$3)</f>
        <v>#DIV/0!</v>
      </c>
      <c r="AI1501" s="1098" t="e">
        <f>IF($D$1212="",0,$D1501*Table3[[#This Row],[CF]]*chronic_consumption!$AD301/1000/$C$3)</f>
        <v>#DIV/0!</v>
      </c>
      <c r="AJ1501" s="1098" t="e">
        <f>IF($D$1212="",0,$D1501*Table3[[#This Row],[CF]]*chronic_consumption!$AE301/1000/$C$3)</f>
        <v>#DIV/0!</v>
      </c>
      <c r="AK1501" s="1098" t="e">
        <f>IF($D$1212="",0,$D1501*Table3[[#This Row],[CF]]*chronic_consumption!$AF301/1000/$C$3)</f>
        <v>#DIV/0!</v>
      </c>
      <c r="AL1501" s="1098" t="e">
        <f>IF($D$1212="",0,$D1501*Table3[[#This Row],[CF]]*chronic_consumption!$AG301/1000/$C$3)</f>
        <v>#DIV/0!</v>
      </c>
      <c r="AM1501" s="1098" t="e">
        <f>IF($D$1212="",0,$D1501*Table3[[#This Row],[CF]]*chronic_consumption!$AH301/1000/$C$3)</f>
        <v>#DIV/0!</v>
      </c>
      <c r="AN1501" s="1098" t="e">
        <f>IF($D$1212="",0,$D1501*Table3[[#This Row],[CF]]*chronic_consumption!$AI301/1000/$C$3)</f>
        <v>#DIV/0!</v>
      </c>
      <c r="AO1501" s="1098" t="e">
        <f>IF($D$1212="",0,$D1501*Table3[[#This Row],[CF]]*chronic_consumption!$AJ301/1000/$C$3)</f>
        <v>#DIV/0!</v>
      </c>
      <c r="AP1501" s="1098" t="e">
        <f>IF($D$1212="",0,$D1501*Table3[[#This Row],[CF]]*chronic_consumption!$AK301/1000/$C$3)</f>
        <v>#DIV/0!</v>
      </c>
      <c r="AQ1501" s="1098" t="e">
        <f>IF($D$1212="",0,$D1501*Table3[[#This Row],[CF]]*chronic_consumption!$AL301/1000/$C$3)</f>
        <v>#DIV/0!</v>
      </c>
      <c r="AR1501" s="1098" t="e">
        <f>IF($D$1212="",0,$D1501*Table3[[#This Row],[CF]]*chronic_consumption!$AM301/1000/$C$3)</f>
        <v>#DIV/0!</v>
      </c>
      <c r="AS1501" s="1098" t="e">
        <f>IF($D$1212="",0,$D1501*Table3[[#This Row],[CF]]*chronic_consumption!$AN301/1000/$C$3)</f>
        <v>#DIV/0!</v>
      </c>
      <c r="AT1501" s="1098" t="e">
        <f>IF($D$1212="",0,$D1501*Table3[[#This Row],[CF]]*chronic_consumption!$AO301/1000/$C$3)</f>
        <v>#DIV/0!</v>
      </c>
      <c r="AU1501" s="1099" t="e">
        <f t="shared" si="882"/>
        <v>#DIV/0!</v>
      </c>
      <c r="AV1501" s="1099" t="e">
        <f t="shared" si="882"/>
        <v>#DIV/0!</v>
      </c>
      <c r="AW1501" s="1099" t="e">
        <f t="shared" si="882"/>
        <v>#DIV/0!</v>
      </c>
      <c r="AX1501" s="1099" t="e">
        <f t="shared" si="882"/>
        <v>#DIV/0!</v>
      </c>
      <c r="AY1501" s="1099" t="e">
        <f t="shared" si="882"/>
        <v>#DIV/0!</v>
      </c>
      <c r="AZ1501" s="1091" t="s">
        <v>1012</v>
      </c>
      <c r="BA1501" s="1097" t="e">
        <f>IF(Table3[[#This Row],[max]]&lt;&gt;0,RANK(Table3[[#This Row],[max]],Table3[max],0),"")</f>
        <v>#DIV/0!</v>
      </c>
      <c r="BB1501" s="1096" t="e">
        <f t="shared" si="876"/>
        <v>#DIV/0!</v>
      </c>
      <c r="BC1501" s="1096" t="e">
        <f t="shared" ca="1" si="877"/>
        <v>#DIV/0!</v>
      </c>
      <c r="BD1501" s="1096" t="e">
        <f>IF(Table3[[#This Row],[max]]&gt;0,Table3[[#This Row],[Crop groups and examples of individual products within the groups to which the MRLs apply]],"")</f>
        <v>#DIV/0!</v>
      </c>
    </row>
    <row r="1502" spans="2:56" x14ac:dyDescent="0.2">
      <c r="B1502" s="131">
        <f t="shared" si="881"/>
        <v>840000</v>
      </c>
      <c r="C1502" s="131" t="str">
        <f t="shared" si="881"/>
        <v>Spices (roots or rhizome)</v>
      </c>
      <c r="D1502" s="1084">
        <f>input_values!E302</f>
        <v>0</v>
      </c>
      <c r="E1502" s="1084">
        <f>input_values!F302</f>
        <v>0</v>
      </c>
      <c r="F1502" s="1085">
        <f>input_values!W302</f>
        <v>0</v>
      </c>
      <c r="G1502" s="1085" t="str">
        <f>IF(Table3[[#This Row],[CF]]&gt;0,CONCATENATE(IF(Table3[[#This Row],[LOQ]]="*","LOQ","MRL"),IF(input_values!G302&gt;0,"×CFrisk","")),"")</f>
        <v/>
      </c>
      <c r="H1502" s="1087">
        <f>input_values!L302</f>
        <v>0</v>
      </c>
      <c r="I1502" s="1088">
        <f>input_values!D302</f>
        <v>0</v>
      </c>
      <c r="J1502" s="1095" t="e">
        <f>IF($D$1212="",0,$D1502*Table3[[#This Row],[CF]]*chronic_consumption!$E302/1000/$C$3)</f>
        <v>#DIV/0!</v>
      </c>
      <c r="K1502" s="1095" t="e">
        <f>IF($D$1212="",0,$D1502*Table3[[#This Row],[CF]]*chronic_consumption!$F302/1000/$C$3)</f>
        <v>#DIV/0!</v>
      </c>
      <c r="L1502" s="1095" t="e">
        <f>IF($D$1212="",0,$D1502*Table3[[#This Row],[CF]]*chronic_consumption!$G302/1000/$C$3)</f>
        <v>#DIV/0!</v>
      </c>
      <c r="M1502" s="1095" t="e">
        <f>IF($D$1212="",0,$D1502*Table3[[#This Row],[CF]]*chronic_consumption!$H302/1000/$C$3)</f>
        <v>#DIV/0!</v>
      </c>
      <c r="N1502" s="1095" t="e">
        <f>IF($D$1212="",0,$D1502*Table3[[#This Row],[CF]]*chronic_consumption!$I302/1000/$C$3)</f>
        <v>#DIV/0!</v>
      </c>
      <c r="O1502" s="1095" t="e">
        <f>IF($D$1212="",0,$D1502*Table3[[#This Row],[CF]]*chronic_consumption!$J302/1000/$C$3)</f>
        <v>#DIV/0!</v>
      </c>
      <c r="P1502" s="1095" t="e">
        <f>IF($D$1212="",0,$D1502*Table3[[#This Row],[CF]]*chronic_consumption!$K302/1000/$C$3)</f>
        <v>#DIV/0!</v>
      </c>
      <c r="Q1502" s="1095" t="e">
        <f>IF($D$1212="",0,$D1502*Table3[[#This Row],[CF]]*chronic_consumption!$L302/1000/$C$3)</f>
        <v>#DIV/0!</v>
      </c>
      <c r="R1502" s="1095" t="e">
        <f>IF($D$1212="",0,$D1502*Table3[[#This Row],[CF]]*chronic_consumption!$M302/1000/$C$3)</f>
        <v>#DIV/0!</v>
      </c>
      <c r="S1502" s="1095" t="e">
        <f>IF($D$1212="",0,$D1502*Table3[[#This Row],[CF]]*chronic_consumption!$N302/1000/$C$3)</f>
        <v>#DIV/0!</v>
      </c>
      <c r="T1502" s="1095" t="e">
        <f>IF($D$1212="",0,$D1502*Table3[[#This Row],[CF]]*chronic_consumption!$O302/1000/$C$3)</f>
        <v>#DIV/0!</v>
      </c>
      <c r="U1502" s="1095" t="e">
        <f>IF($D$1212="",0,$D1502*Table3[[#This Row],[CF]]*chronic_consumption!$P302/1000/$C$3)</f>
        <v>#DIV/0!</v>
      </c>
      <c r="V1502" s="1095" t="e">
        <f>IF($D$1212="",0,$D1502*Table3[[#This Row],[CF]]*chronic_consumption!$Q302/1000/$C$3)</f>
        <v>#DIV/0!</v>
      </c>
      <c r="W1502" s="1095" t="e">
        <f>IF($D$1212="",0,$D1502*Table3[[#This Row],[CF]]*chronic_consumption!$R302/1000/$C$3)</f>
        <v>#DIV/0!</v>
      </c>
      <c r="X1502" s="1095" t="e">
        <f>IF($D$1212="",0,$D1502*Table3[[#This Row],[CF]]*chronic_consumption!$S302/1000/$C$3)</f>
        <v>#DIV/0!</v>
      </c>
      <c r="Y1502" s="1095" t="e">
        <f>IF($D$1212="",0,$D1502*Table3[[#This Row],[CF]]*chronic_consumption!$T302/1000/$C$3)</f>
        <v>#DIV/0!</v>
      </c>
      <c r="Z1502" s="1095" t="e">
        <f>IF($D$1212="",0,$D1502*Table3[[#This Row],[CF]]*chronic_consumption!$U302/1000/$C$3)</f>
        <v>#DIV/0!</v>
      </c>
      <c r="AA1502" s="1095" t="e">
        <f>IF($D$1212="",0,$D1502*Table3[[#This Row],[CF]]*chronic_consumption!$V302/1000/$C$3)</f>
        <v>#DIV/0!</v>
      </c>
      <c r="AB1502" s="1095" t="e">
        <f>IF($D$1212="",0,$D1502*Table3[[#This Row],[CF]]*chronic_consumption!$W302/1000/$C$3)</f>
        <v>#DIV/0!</v>
      </c>
      <c r="AC1502" s="1095" t="e">
        <f>IF($D$1212="",0,$D1502*Table3[[#This Row],[CF]]*chronic_consumption!$X302/1000/$C$3)</f>
        <v>#DIV/0!</v>
      </c>
      <c r="AD1502" s="1095" t="e">
        <f>IF($D$1212="",0,$D1502*Table3[[#This Row],[CF]]*chronic_consumption!$Y302/1000/$C$3)</f>
        <v>#DIV/0!</v>
      </c>
      <c r="AE1502" s="1095" t="e">
        <f>IF($D$1212="",0,$D1502*Table3[[#This Row],[CF]]*chronic_consumption!$Z302/1000/$C$3)</f>
        <v>#DIV/0!</v>
      </c>
      <c r="AF1502" s="1095" t="e">
        <f>IF($D$1212="",0,$D1502*Table3[[#This Row],[CF]]*chronic_consumption!$AA302/1000/$C$3)</f>
        <v>#DIV/0!</v>
      </c>
      <c r="AG1502" s="1095" t="e">
        <f>IF($D$1212="",0,$D1502*Table3[[#This Row],[CF]]*chronic_consumption!$AB302/1000/$C$3)</f>
        <v>#DIV/0!</v>
      </c>
      <c r="AH1502" s="1095" t="e">
        <f>IF($D$1212="",0,$D1502*Table3[[#This Row],[CF]]*chronic_consumption!$AC302/1000/$C$3)</f>
        <v>#DIV/0!</v>
      </c>
      <c r="AI1502" s="1095" t="e">
        <f>IF($D$1212="",0,$D1502*Table3[[#This Row],[CF]]*chronic_consumption!$AD302/1000/$C$3)</f>
        <v>#DIV/0!</v>
      </c>
      <c r="AJ1502" s="1095" t="e">
        <f>IF($D$1212="",0,$D1502*Table3[[#This Row],[CF]]*chronic_consumption!$AE302/1000/$C$3)</f>
        <v>#DIV/0!</v>
      </c>
      <c r="AK1502" s="1095" t="e">
        <f>IF($D$1212="",0,$D1502*Table3[[#This Row],[CF]]*chronic_consumption!$AF302/1000/$C$3)</f>
        <v>#DIV/0!</v>
      </c>
      <c r="AL1502" s="1095" t="e">
        <f>IF($D$1212="",0,$D1502*Table3[[#This Row],[CF]]*chronic_consumption!$AG302/1000/$C$3)</f>
        <v>#DIV/0!</v>
      </c>
      <c r="AM1502" s="1095" t="e">
        <f>IF($D$1212="",0,$D1502*Table3[[#This Row],[CF]]*chronic_consumption!$AH302/1000/$C$3)</f>
        <v>#DIV/0!</v>
      </c>
      <c r="AN1502" s="1095" t="e">
        <f>IF($D$1212="",0,$D1502*Table3[[#This Row],[CF]]*chronic_consumption!$AI302/1000/$C$3)</f>
        <v>#DIV/0!</v>
      </c>
      <c r="AO1502" s="1095" t="e">
        <f>IF($D$1212="",0,$D1502*Table3[[#This Row],[CF]]*chronic_consumption!$AJ302/1000/$C$3)</f>
        <v>#DIV/0!</v>
      </c>
      <c r="AP1502" s="1095" t="e">
        <f>IF($D$1212="",0,$D1502*Table3[[#This Row],[CF]]*chronic_consumption!$AK302/1000/$C$3)</f>
        <v>#DIV/0!</v>
      </c>
      <c r="AQ1502" s="1095" t="e">
        <f>IF($D$1212="",0,$D1502*Table3[[#This Row],[CF]]*chronic_consumption!$AL302/1000/$C$3)</f>
        <v>#DIV/0!</v>
      </c>
      <c r="AR1502" s="1095" t="e">
        <f>IF($D$1212="",0,$D1502*Table3[[#This Row],[CF]]*chronic_consumption!$AM302/1000/$C$3)</f>
        <v>#DIV/0!</v>
      </c>
      <c r="AS1502" s="1095" t="e">
        <f>IF($D$1212="",0,$D1502*Table3[[#This Row],[CF]]*chronic_consumption!$AN302/1000/$C$3)</f>
        <v>#DIV/0!</v>
      </c>
      <c r="AT1502" s="1095" t="e">
        <f>IF($D$1212="",0,$D1502*Table3[[#This Row],[CF]]*chronic_consumption!$AO302/1000/$C$3)</f>
        <v>#DIV/0!</v>
      </c>
      <c r="AU1502" s="1096" t="e">
        <f t="shared" ref="AU1502:AY1511" si="883">IF(AU702="",0,IF(OR(1=RANK(AU1102,AU$412:AU$790,0),(2=RANK(AU1102,AU$412:AU$790,0))),AU1102,AU702))</f>
        <v>#DIV/0!</v>
      </c>
      <c r="AV1502" s="1096" t="e">
        <f t="shared" si="883"/>
        <v>#DIV/0!</v>
      </c>
      <c r="AW1502" s="1096" t="e">
        <f t="shared" si="883"/>
        <v>#DIV/0!</v>
      </c>
      <c r="AX1502" s="1096" t="e">
        <f t="shared" si="883"/>
        <v>#DIV/0!</v>
      </c>
      <c r="AY1502" s="1096" t="e">
        <f t="shared" si="883"/>
        <v>#DIV/0!</v>
      </c>
      <c r="AZ1502" s="1091" t="s">
        <v>1012</v>
      </c>
      <c r="BA1502" s="1097" t="e">
        <f>IF(Table3[[#This Row],[max]]&lt;&gt;0,RANK(Table3[[#This Row],[max]],Table3[max],0),"")</f>
        <v>#DIV/0!</v>
      </c>
      <c r="BB1502" s="1096" t="e">
        <f t="shared" si="876"/>
        <v>#DIV/0!</v>
      </c>
      <c r="BC1502" s="1096" t="e">
        <f t="shared" ca="1" si="877"/>
        <v>#DIV/0!</v>
      </c>
      <c r="BD1502" s="1096" t="e">
        <f>IF(Table3[[#This Row],[max]]&gt;0,Table3[[#This Row],[Crop groups and examples of individual products within the groups to which the MRLs apply]],"")</f>
        <v>#DIV/0!</v>
      </c>
    </row>
    <row r="1503" spans="2:56" x14ac:dyDescent="0.2">
      <c r="B1503" s="23">
        <f t="shared" si="881"/>
        <v>840010</v>
      </c>
      <c r="C1503" s="23" t="str">
        <f t="shared" si="881"/>
        <v>Liquorice</v>
      </c>
      <c r="D1503" s="1084">
        <f>input_values!E303</f>
        <v>0</v>
      </c>
      <c r="E1503" s="1084">
        <f>input_values!F303</f>
        <v>0</v>
      </c>
      <c r="F1503" s="1085">
        <f>input_values!W303</f>
        <v>1</v>
      </c>
      <c r="G1503" s="1085" t="str">
        <f>IF(Table3[[#This Row],[CF]]&gt;0,CONCATENATE(IF(Table3[[#This Row],[LOQ]]="*","LOQ","MRL"),IF(input_values!G303&gt;0,"×CFrisk","")),"")</f>
        <v>MRL</v>
      </c>
      <c r="H1503" s="1087">
        <f>input_values!L303</f>
        <v>0</v>
      </c>
      <c r="I1503" s="1088">
        <f>input_values!D303</f>
        <v>0</v>
      </c>
      <c r="J1503" s="1098" t="e">
        <f>IF($D$1212="",0,$D1503*Table3[[#This Row],[CF]]*chronic_consumption!$E303/1000/$C$3)</f>
        <v>#DIV/0!</v>
      </c>
      <c r="K1503" s="1098" t="e">
        <f>IF($D$1212="",0,$D1503*Table3[[#This Row],[CF]]*chronic_consumption!$F303/1000/$C$3)</f>
        <v>#DIV/0!</v>
      </c>
      <c r="L1503" s="1098" t="e">
        <f>IF($D$1212="",0,$D1503*Table3[[#This Row],[CF]]*chronic_consumption!$G303/1000/$C$3)</f>
        <v>#DIV/0!</v>
      </c>
      <c r="M1503" s="1098" t="e">
        <f>IF($D$1212="",0,$D1503*Table3[[#This Row],[CF]]*chronic_consumption!$H303/1000/$C$3)</f>
        <v>#DIV/0!</v>
      </c>
      <c r="N1503" s="1098" t="e">
        <f>IF($D$1212="",0,$D1503*Table3[[#This Row],[CF]]*chronic_consumption!$I303/1000/$C$3)</f>
        <v>#DIV/0!</v>
      </c>
      <c r="O1503" s="1098" t="e">
        <f>IF($D$1212="",0,$D1503*Table3[[#This Row],[CF]]*chronic_consumption!$J303/1000/$C$3)</f>
        <v>#DIV/0!</v>
      </c>
      <c r="P1503" s="1098" t="e">
        <f>IF($D$1212="",0,$D1503*Table3[[#This Row],[CF]]*chronic_consumption!$K303/1000/$C$3)</f>
        <v>#DIV/0!</v>
      </c>
      <c r="Q1503" s="1098" t="e">
        <f>IF($D$1212="",0,$D1503*Table3[[#This Row],[CF]]*chronic_consumption!$L303/1000/$C$3)</f>
        <v>#DIV/0!</v>
      </c>
      <c r="R1503" s="1098" t="e">
        <f>IF($D$1212="",0,$D1503*Table3[[#This Row],[CF]]*chronic_consumption!$M303/1000/$C$3)</f>
        <v>#DIV/0!</v>
      </c>
      <c r="S1503" s="1098" t="e">
        <f>IF($D$1212="",0,$D1503*Table3[[#This Row],[CF]]*chronic_consumption!$N303/1000/$C$3)</f>
        <v>#DIV/0!</v>
      </c>
      <c r="T1503" s="1098" t="e">
        <f>IF($D$1212="",0,$D1503*Table3[[#This Row],[CF]]*chronic_consumption!$O303/1000/$C$3)</f>
        <v>#DIV/0!</v>
      </c>
      <c r="U1503" s="1098" t="e">
        <f>IF($D$1212="",0,$D1503*Table3[[#This Row],[CF]]*chronic_consumption!$P303/1000/$C$3)</f>
        <v>#DIV/0!</v>
      </c>
      <c r="V1503" s="1098" t="e">
        <f>IF($D$1212="",0,$D1503*Table3[[#This Row],[CF]]*chronic_consumption!$Q303/1000/$C$3)</f>
        <v>#DIV/0!</v>
      </c>
      <c r="W1503" s="1098" t="e">
        <f>IF($D$1212="",0,$D1503*Table3[[#This Row],[CF]]*chronic_consumption!$R303/1000/$C$3)</f>
        <v>#DIV/0!</v>
      </c>
      <c r="X1503" s="1098" t="e">
        <f>IF($D$1212="",0,$D1503*Table3[[#This Row],[CF]]*chronic_consumption!$S303/1000/$C$3)</f>
        <v>#DIV/0!</v>
      </c>
      <c r="Y1503" s="1098" t="e">
        <f>IF($D$1212="",0,$D1503*Table3[[#This Row],[CF]]*chronic_consumption!$T303/1000/$C$3)</f>
        <v>#DIV/0!</v>
      </c>
      <c r="Z1503" s="1098" t="e">
        <f>IF($D$1212="",0,$D1503*Table3[[#This Row],[CF]]*chronic_consumption!$U303/1000/$C$3)</f>
        <v>#DIV/0!</v>
      </c>
      <c r="AA1503" s="1098" t="e">
        <f>IF($D$1212="",0,$D1503*Table3[[#This Row],[CF]]*chronic_consumption!$V303/1000/$C$3)</f>
        <v>#DIV/0!</v>
      </c>
      <c r="AB1503" s="1098" t="e">
        <f>IF($D$1212="",0,$D1503*Table3[[#This Row],[CF]]*chronic_consumption!$W303/1000/$C$3)</f>
        <v>#DIV/0!</v>
      </c>
      <c r="AC1503" s="1098" t="e">
        <f>IF($D$1212="",0,$D1503*Table3[[#This Row],[CF]]*chronic_consumption!$X303/1000/$C$3)</f>
        <v>#DIV/0!</v>
      </c>
      <c r="AD1503" s="1098" t="e">
        <f>IF($D$1212="",0,$D1503*Table3[[#This Row],[CF]]*chronic_consumption!$Y303/1000/$C$3)</f>
        <v>#DIV/0!</v>
      </c>
      <c r="AE1503" s="1098" t="e">
        <f>IF($D$1212="",0,$D1503*Table3[[#This Row],[CF]]*chronic_consumption!$Z303/1000/$C$3)</f>
        <v>#DIV/0!</v>
      </c>
      <c r="AF1503" s="1098" t="e">
        <f>IF($D$1212="",0,$D1503*Table3[[#This Row],[CF]]*chronic_consumption!$AA303/1000/$C$3)</f>
        <v>#DIV/0!</v>
      </c>
      <c r="AG1503" s="1098" t="e">
        <f>IF($D$1212="",0,$D1503*Table3[[#This Row],[CF]]*chronic_consumption!$AB303/1000/$C$3)</f>
        <v>#DIV/0!</v>
      </c>
      <c r="AH1503" s="1098" t="e">
        <f>IF($D$1212="",0,$D1503*Table3[[#This Row],[CF]]*chronic_consumption!$AC303/1000/$C$3)</f>
        <v>#DIV/0!</v>
      </c>
      <c r="AI1503" s="1098" t="e">
        <f>IF($D$1212="",0,$D1503*Table3[[#This Row],[CF]]*chronic_consumption!$AD303/1000/$C$3)</f>
        <v>#DIV/0!</v>
      </c>
      <c r="AJ1503" s="1098" t="e">
        <f>IF($D$1212="",0,$D1503*Table3[[#This Row],[CF]]*chronic_consumption!$AE303/1000/$C$3)</f>
        <v>#DIV/0!</v>
      </c>
      <c r="AK1503" s="1098" t="e">
        <f>IF($D$1212="",0,$D1503*Table3[[#This Row],[CF]]*chronic_consumption!$AF303/1000/$C$3)</f>
        <v>#DIV/0!</v>
      </c>
      <c r="AL1503" s="1098" t="e">
        <f>IF($D$1212="",0,$D1503*Table3[[#This Row],[CF]]*chronic_consumption!$AG303/1000/$C$3)</f>
        <v>#DIV/0!</v>
      </c>
      <c r="AM1503" s="1098" t="e">
        <f>IF($D$1212="",0,$D1503*Table3[[#This Row],[CF]]*chronic_consumption!$AH303/1000/$C$3)</f>
        <v>#DIV/0!</v>
      </c>
      <c r="AN1503" s="1098" t="e">
        <f>IF($D$1212="",0,$D1503*Table3[[#This Row],[CF]]*chronic_consumption!$AI303/1000/$C$3)</f>
        <v>#DIV/0!</v>
      </c>
      <c r="AO1503" s="1098" t="e">
        <f>IF($D$1212="",0,$D1503*Table3[[#This Row],[CF]]*chronic_consumption!$AJ303/1000/$C$3)</f>
        <v>#DIV/0!</v>
      </c>
      <c r="AP1503" s="1098" t="e">
        <f>IF($D$1212="",0,$D1503*Table3[[#This Row],[CF]]*chronic_consumption!$AK303/1000/$C$3)</f>
        <v>#DIV/0!</v>
      </c>
      <c r="AQ1503" s="1098" t="e">
        <f>IF($D$1212="",0,$D1503*Table3[[#This Row],[CF]]*chronic_consumption!$AL303/1000/$C$3)</f>
        <v>#DIV/0!</v>
      </c>
      <c r="AR1503" s="1098" t="e">
        <f>IF($D$1212="",0,$D1503*Table3[[#This Row],[CF]]*chronic_consumption!$AM303/1000/$C$3)</f>
        <v>#DIV/0!</v>
      </c>
      <c r="AS1503" s="1098" t="e">
        <f>IF($D$1212="",0,$D1503*Table3[[#This Row],[CF]]*chronic_consumption!$AN303/1000/$C$3)</f>
        <v>#DIV/0!</v>
      </c>
      <c r="AT1503" s="1098" t="e">
        <f>IF($D$1212="",0,$D1503*Table3[[#This Row],[CF]]*chronic_consumption!$AO303/1000/$C$3)</f>
        <v>#DIV/0!</v>
      </c>
      <c r="AU1503" s="1099" t="e">
        <f t="shared" si="883"/>
        <v>#DIV/0!</v>
      </c>
      <c r="AV1503" s="1099" t="e">
        <f t="shared" si="883"/>
        <v>#DIV/0!</v>
      </c>
      <c r="AW1503" s="1099" t="e">
        <f t="shared" si="883"/>
        <v>#DIV/0!</v>
      </c>
      <c r="AX1503" s="1099" t="e">
        <f t="shared" si="883"/>
        <v>#DIV/0!</v>
      </c>
      <c r="AY1503" s="1099" t="e">
        <f t="shared" si="883"/>
        <v>#DIV/0!</v>
      </c>
      <c r="AZ1503" s="1091" t="s">
        <v>1012</v>
      </c>
      <c r="BA1503" s="1097" t="e">
        <f>IF(Table3[[#This Row],[max]]&lt;&gt;0,RANK(Table3[[#This Row],[max]],Table3[max],0),"")</f>
        <v>#DIV/0!</v>
      </c>
      <c r="BB1503" s="1096" t="e">
        <f t="shared" si="876"/>
        <v>#DIV/0!</v>
      </c>
      <c r="BC1503" s="1096" t="e">
        <f t="shared" ca="1" si="877"/>
        <v>#DIV/0!</v>
      </c>
      <c r="BD1503" s="1096" t="e">
        <f>IF(Table3[[#This Row],[max]]&gt;0,Table3[[#This Row],[Crop groups and examples of individual products within the groups to which the MRLs apply]],"")</f>
        <v>#DIV/0!</v>
      </c>
    </row>
    <row r="1504" spans="2:56" x14ac:dyDescent="0.2">
      <c r="B1504" s="23">
        <f t="shared" si="881"/>
        <v>840020</v>
      </c>
      <c r="C1504" s="23" t="str">
        <f t="shared" si="881"/>
        <v xml:space="preserve">Ginger </v>
      </c>
      <c r="D1504" s="1084">
        <f>input_values!E304</f>
        <v>0</v>
      </c>
      <c r="E1504" s="1084">
        <f>input_values!F304</f>
        <v>0</v>
      </c>
      <c r="F1504" s="1085">
        <f>input_values!W304</f>
        <v>1</v>
      </c>
      <c r="G1504" s="1085" t="str">
        <f>IF(Table3[[#This Row],[CF]]&gt;0,CONCATENATE(IF(Table3[[#This Row],[LOQ]]="*","LOQ","MRL"),IF(input_values!G304&gt;0,"×CFrisk","")),"")</f>
        <v>MRL</v>
      </c>
      <c r="H1504" s="1087">
        <f>input_values!L304</f>
        <v>0</v>
      </c>
      <c r="I1504" s="1088">
        <f>input_values!D304</f>
        <v>0</v>
      </c>
      <c r="J1504" s="1098" t="e">
        <f>IF($D$1212="",0,$D1504*Table3[[#This Row],[CF]]*chronic_consumption!$E304/1000/$C$3)</f>
        <v>#DIV/0!</v>
      </c>
      <c r="K1504" s="1098" t="e">
        <f>IF($D$1212="",0,$D1504*Table3[[#This Row],[CF]]*chronic_consumption!$F304/1000/$C$3)</f>
        <v>#DIV/0!</v>
      </c>
      <c r="L1504" s="1098" t="e">
        <f>IF($D$1212="",0,$D1504*Table3[[#This Row],[CF]]*chronic_consumption!$G304/1000/$C$3)</f>
        <v>#DIV/0!</v>
      </c>
      <c r="M1504" s="1098" t="e">
        <f>IF($D$1212="",0,$D1504*Table3[[#This Row],[CF]]*chronic_consumption!$H304/1000/$C$3)</f>
        <v>#DIV/0!</v>
      </c>
      <c r="N1504" s="1098" t="e">
        <f>IF($D$1212="",0,$D1504*Table3[[#This Row],[CF]]*chronic_consumption!$I304/1000/$C$3)</f>
        <v>#DIV/0!</v>
      </c>
      <c r="O1504" s="1098" t="e">
        <f>IF($D$1212="",0,$D1504*Table3[[#This Row],[CF]]*chronic_consumption!$J304/1000/$C$3)</f>
        <v>#DIV/0!</v>
      </c>
      <c r="P1504" s="1098" t="e">
        <f>IF($D$1212="",0,$D1504*Table3[[#This Row],[CF]]*chronic_consumption!$K304/1000/$C$3)</f>
        <v>#DIV/0!</v>
      </c>
      <c r="Q1504" s="1098" t="e">
        <f>IF($D$1212="",0,$D1504*Table3[[#This Row],[CF]]*chronic_consumption!$L304/1000/$C$3)</f>
        <v>#DIV/0!</v>
      </c>
      <c r="R1504" s="1098" t="e">
        <f>IF($D$1212="",0,$D1504*Table3[[#This Row],[CF]]*chronic_consumption!$M304/1000/$C$3)</f>
        <v>#DIV/0!</v>
      </c>
      <c r="S1504" s="1098" t="e">
        <f>IF($D$1212="",0,$D1504*Table3[[#This Row],[CF]]*chronic_consumption!$N304/1000/$C$3)</f>
        <v>#DIV/0!</v>
      </c>
      <c r="T1504" s="1098" t="e">
        <f>IF($D$1212="",0,$D1504*Table3[[#This Row],[CF]]*chronic_consumption!$O304/1000/$C$3)</f>
        <v>#DIV/0!</v>
      </c>
      <c r="U1504" s="1098" t="e">
        <f>IF($D$1212="",0,$D1504*Table3[[#This Row],[CF]]*chronic_consumption!$P304/1000/$C$3)</f>
        <v>#DIV/0!</v>
      </c>
      <c r="V1504" s="1098" t="e">
        <f>IF($D$1212="",0,$D1504*Table3[[#This Row],[CF]]*chronic_consumption!$Q304/1000/$C$3)</f>
        <v>#DIV/0!</v>
      </c>
      <c r="W1504" s="1098" t="e">
        <f>IF($D$1212="",0,$D1504*Table3[[#This Row],[CF]]*chronic_consumption!$R304/1000/$C$3)</f>
        <v>#DIV/0!</v>
      </c>
      <c r="X1504" s="1098" t="e">
        <f>IF($D$1212="",0,$D1504*Table3[[#This Row],[CF]]*chronic_consumption!$S304/1000/$C$3)</f>
        <v>#DIV/0!</v>
      </c>
      <c r="Y1504" s="1098" t="e">
        <f>IF($D$1212="",0,$D1504*Table3[[#This Row],[CF]]*chronic_consumption!$T304/1000/$C$3)</f>
        <v>#DIV/0!</v>
      </c>
      <c r="Z1504" s="1098" t="e">
        <f>IF($D$1212="",0,$D1504*Table3[[#This Row],[CF]]*chronic_consumption!$U304/1000/$C$3)</f>
        <v>#DIV/0!</v>
      </c>
      <c r="AA1504" s="1098" t="e">
        <f>IF($D$1212="",0,$D1504*Table3[[#This Row],[CF]]*chronic_consumption!$V304/1000/$C$3)</f>
        <v>#DIV/0!</v>
      </c>
      <c r="AB1504" s="1098" t="e">
        <f>IF($D$1212="",0,$D1504*Table3[[#This Row],[CF]]*chronic_consumption!$W304/1000/$C$3)</f>
        <v>#DIV/0!</v>
      </c>
      <c r="AC1504" s="1098" t="e">
        <f>IF($D$1212="",0,$D1504*Table3[[#This Row],[CF]]*chronic_consumption!$X304/1000/$C$3)</f>
        <v>#DIV/0!</v>
      </c>
      <c r="AD1504" s="1098" t="e">
        <f>IF($D$1212="",0,$D1504*Table3[[#This Row],[CF]]*chronic_consumption!$Y304/1000/$C$3)</f>
        <v>#DIV/0!</v>
      </c>
      <c r="AE1504" s="1098" t="e">
        <f>IF($D$1212="",0,$D1504*Table3[[#This Row],[CF]]*chronic_consumption!$Z304/1000/$C$3)</f>
        <v>#DIV/0!</v>
      </c>
      <c r="AF1504" s="1098" t="e">
        <f>IF($D$1212="",0,$D1504*Table3[[#This Row],[CF]]*chronic_consumption!$AA304/1000/$C$3)</f>
        <v>#DIV/0!</v>
      </c>
      <c r="AG1504" s="1098" t="e">
        <f>IF($D$1212="",0,$D1504*Table3[[#This Row],[CF]]*chronic_consumption!$AB304/1000/$C$3)</f>
        <v>#DIV/0!</v>
      </c>
      <c r="AH1504" s="1098" t="e">
        <f>IF($D$1212="",0,$D1504*Table3[[#This Row],[CF]]*chronic_consumption!$AC304/1000/$C$3)</f>
        <v>#DIV/0!</v>
      </c>
      <c r="AI1504" s="1098" t="e">
        <f>IF($D$1212="",0,$D1504*Table3[[#This Row],[CF]]*chronic_consumption!$AD304/1000/$C$3)</f>
        <v>#DIV/0!</v>
      </c>
      <c r="AJ1504" s="1098" t="e">
        <f>IF($D$1212="",0,$D1504*Table3[[#This Row],[CF]]*chronic_consumption!$AE304/1000/$C$3)</f>
        <v>#DIV/0!</v>
      </c>
      <c r="AK1504" s="1098" t="e">
        <f>IF($D$1212="",0,$D1504*Table3[[#This Row],[CF]]*chronic_consumption!$AF304/1000/$C$3)</f>
        <v>#DIV/0!</v>
      </c>
      <c r="AL1504" s="1098" t="e">
        <f>IF($D$1212="",0,$D1504*Table3[[#This Row],[CF]]*chronic_consumption!$AG304/1000/$C$3)</f>
        <v>#DIV/0!</v>
      </c>
      <c r="AM1504" s="1098" t="e">
        <f>IF($D$1212="",0,$D1504*Table3[[#This Row],[CF]]*chronic_consumption!$AH304/1000/$C$3)</f>
        <v>#DIV/0!</v>
      </c>
      <c r="AN1504" s="1098" t="e">
        <f>IF($D$1212="",0,$D1504*Table3[[#This Row],[CF]]*chronic_consumption!$AI304/1000/$C$3)</f>
        <v>#DIV/0!</v>
      </c>
      <c r="AO1504" s="1098" t="e">
        <f>IF($D$1212="",0,$D1504*Table3[[#This Row],[CF]]*chronic_consumption!$AJ304/1000/$C$3)</f>
        <v>#DIV/0!</v>
      </c>
      <c r="AP1504" s="1098" t="e">
        <f>IF($D$1212="",0,$D1504*Table3[[#This Row],[CF]]*chronic_consumption!$AK304/1000/$C$3)</f>
        <v>#DIV/0!</v>
      </c>
      <c r="AQ1504" s="1098" t="e">
        <f>IF($D$1212="",0,$D1504*Table3[[#This Row],[CF]]*chronic_consumption!$AL304/1000/$C$3)</f>
        <v>#DIV/0!</v>
      </c>
      <c r="AR1504" s="1098" t="e">
        <f>IF($D$1212="",0,$D1504*Table3[[#This Row],[CF]]*chronic_consumption!$AM304/1000/$C$3)</f>
        <v>#DIV/0!</v>
      </c>
      <c r="AS1504" s="1098" t="e">
        <f>IF($D$1212="",0,$D1504*Table3[[#This Row],[CF]]*chronic_consumption!$AN304/1000/$C$3)</f>
        <v>#DIV/0!</v>
      </c>
      <c r="AT1504" s="1098" t="e">
        <f>IF($D$1212="",0,$D1504*Table3[[#This Row],[CF]]*chronic_consumption!$AO304/1000/$C$3)</f>
        <v>#DIV/0!</v>
      </c>
      <c r="AU1504" s="1099" t="e">
        <f t="shared" si="883"/>
        <v>#DIV/0!</v>
      </c>
      <c r="AV1504" s="1099" t="e">
        <f t="shared" si="883"/>
        <v>#DIV/0!</v>
      </c>
      <c r="AW1504" s="1099" t="e">
        <f t="shared" si="883"/>
        <v>#DIV/0!</v>
      </c>
      <c r="AX1504" s="1099" t="e">
        <f t="shared" si="883"/>
        <v>#DIV/0!</v>
      </c>
      <c r="AY1504" s="1099" t="e">
        <f t="shared" si="883"/>
        <v>#DIV/0!</v>
      </c>
      <c r="AZ1504" s="1091" t="s">
        <v>1012</v>
      </c>
      <c r="BA1504" s="1097" t="e">
        <f>IF(Table3[[#This Row],[max]]&lt;&gt;0,RANK(Table3[[#This Row],[max]],Table3[max],0),"")</f>
        <v>#DIV/0!</v>
      </c>
      <c r="BB1504" s="1096" t="e">
        <f t="shared" si="876"/>
        <v>#DIV/0!</v>
      </c>
      <c r="BC1504" s="1096" t="e">
        <f t="shared" ca="1" si="877"/>
        <v>#DIV/0!</v>
      </c>
      <c r="BD1504" s="1096" t="e">
        <f>IF(Table3[[#This Row],[max]]&gt;0,Table3[[#This Row],[Crop groups and examples of individual products within the groups to which the MRLs apply]],"")</f>
        <v>#DIV/0!</v>
      </c>
    </row>
    <row r="1505" spans="2:56" x14ac:dyDescent="0.2">
      <c r="B1505" s="23">
        <f t="shared" si="881"/>
        <v>840030</v>
      </c>
      <c r="C1505" s="23" t="str">
        <f t="shared" si="881"/>
        <v>Turmeric/curcuma</v>
      </c>
      <c r="D1505" s="1084">
        <f>input_values!E305</f>
        <v>0</v>
      </c>
      <c r="E1505" s="1084">
        <f>input_values!F305</f>
        <v>0</v>
      </c>
      <c r="F1505" s="1085">
        <f>input_values!W305</f>
        <v>1</v>
      </c>
      <c r="G1505" s="1085" t="str">
        <f>IF(Table3[[#This Row],[CF]]&gt;0,CONCATENATE(IF(Table3[[#This Row],[LOQ]]="*","LOQ","MRL"),IF(input_values!G305&gt;0,"×CFrisk","")),"")</f>
        <v>MRL</v>
      </c>
      <c r="H1505" s="1087">
        <f>input_values!L305</f>
        <v>0</v>
      </c>
      <c r="I1505" s="1088">
        <f>input_values!D305</f>
        <v>0</v>
      </c>
      <c r="J1505" s="1098" t="e">
        <f>IF($D$1212="",0,$D1505*Table3[[#This Row],[CF]]*chronic_consumption!$E305/1000/$C$3)</f>
        <v>#DIV/0!</v>
      </c>
      <c r="K1505" s="1098" t="e">
        <f>IF($D$1212="",0,$D1505*Table3[[#This Row],[CF]]*chronic_consumption!$F305/1000/$C$3)</f>
        <v>#DIV/0!</v>
      </c>
      <c r="L1505" s="1098" t="e">
        <f>IF($D$1212="",0,$D1505*Table3[[#This Row],[CF]]*chronic_consumption!$G305/1000/$C$3)</f>
        <v>#DIV/0!</v>
      </c>
      <c r="M1505" s="1098" t="e">
        <f>IF($D$1212="",0,$D1505*Table3[[#This Row],[CF]]*chronic_consumption!$H305/1000/$C$3)</f>
        <v>#DIV/0!</v>
      </c>
      <c r="N1505" s="1098" t="e">
        <f>IF($D$1212="",0,$D1505*Table3[[#This Row],[CF]]*chronic_consumption!$I305/1000/$C$3)</f>
        <v>#DIV/0!</v>
      </c>
      <c r="O1505" s="1098" t="e">
        <f>IF($D$1212="",0,$D1505*Table3[[#This Row],[CF]]*chronic_consumption!$J305/1000/$C$3)</f>
        <v>#DIV/0!</v>
      </c>
      <c r="P1505" s="1098" t="e">
        <f>IF($D$1212="",0,$D1505*Table3[[#This Row],[CF]]*chronic_consumption!$K305/1000/$C$3)</f>
        <v>#DIV/0!</v>
      </c>
      <c r="Q1505" s="1098" t="e">
        <f>IF($D$1212="",0,$D1505*Table3[[#This Row],[CF]]*chronic_consumption!$L305/1000/$C$3)</f>
        <v>#DIV/0!</v>
      </c>
      <c r="R1505" s="1098" t="e">
        <f>IF($D$1212="",0,$D1505*Table3[[#This Row],[CF]]*chronic_consumption!$M305/1000/$C$3)</f>
        <v>#DIV/0!</v>
      </c>
      <c r="S1505" s="1098" t="e">
        <f>IF($D$1212="",0,$D1505*Table3[[#This Row],[CF]]*chronic_consumption!$N305/1000/$C$3)</f>
        <v>#DIV/0!</v>
      </c>
      <c r="T1505" s="1098" t="e">
        <f>IF($D$1212="",0,$D1505*Table3[[#This Row],[CF]]*chronic_consumption!$O305/1000/$C$3)</f>
        <v>#DIV/0!</v>
      </c>
      <c r="U1505" s="1098" t="e">
        <f>IF($D$1212="",0,$D1505*Table3[[#This Row],[CF]]*chronic_consumption!$P305/1000/$C$3)</f>
        <v>#DIV/0!</v>
      </c>
      <c r="V1505" s="1098" t="e">
        <f>IF($D$1212="",0,$D1505*Table3[[#This Row],[CF]]*chronic_consumption!$Q305/1000/$C$3)</f>
        <v>#DIV/0!</v>
      </c>
      <c r="W1505" s="1098" t="e">
        <f>IF($D$1212="",0,$D1505*Table3[[#This Row],[CF]]*chronic_consumption!$R305/1000/$C$3)</f>
        <v>#DIV/0!</v>
      </c>
      <c r="X1505" s="1098" t="e">
        <f>IF($D$1212="",0,$D1505*Table3[[#This Row],[CF]]*chronic_consumption!$S305/1000/$C$3)</f>
        <v>#DIV/0!</v>
      </c>
      <c r="Y1505" s="1098" t="e">
        <f>IF($D$1212="",0,$D1505*Table3[[#This Row],[CF]]*chronic_consumption!$T305/1000/$C$3)</f>
        <v>#DIV/0!</v>
      </c>
      <c r="Z1505" s="1098" t="e">
        <f>IF($D$1212="",0,$D1505*Table3[[#This Row],[CF]]*chronic_consumption!$U305/1000/$C$3)</f>
        <v>#DIV/0!</v>
      </c>
      <c r="AA1505" s="1098" t="e">
        <f>IF($D$1212="",0,$D1505*Table3[[#This Row],[CF]]*chronic_consumption!$V305/1000/$C$3)</f>
        <v>#DIV/0!</v>
      </c>
      <c r="AB1505" s="1098" t="e">
        <f>IF($D$1212="",0,$D1505*Table3[[#This Row],[CF]]*chronic_consumption!$W305/1000/$C$3)</f>
        <v>#DIV/0!</v>
      </c>
      <c r="AC1505" s="1098" t="e">
        <f>IF($D$1212="",0,$D1505*Table3[[#This Row],[CF]]*chronic_consumption!$X305/1000/$C$3)</f>
        <v>#DIV/0!</v>
      </c>
      <c r="AD1505" s="1098" t="e">
        <f>IF($D$1212="",0,$D1505*Table3[[#This Row],[CF]]*chronic_consumption!$Y305/1000/$C$3)</f>
        <v>#DIV/0!</v>
      </c>
      <c r="AE1505" s="1098" t="e">
        <f>IF($D$1212="",0,$D1505*Table3[[#This Row],[CF]]*chronic_consumption!$Z305/1000/$C$3)</f>
        <v>#DIV/0!</v>
      </c>
      <c r="AF1505" s="1098" t="e">
        <f>IF($D$1212="",0,$D1505*Table3[[#This Row],[CF]]*chronic_consumption!$AA305/1000/$C$3)</f>
        <v>#DIV/0!</v>
      </c>
      <c r="AG1505" s="1098" t="e">
        <f>IF($D$1212="",0,$D1505*Table3[[#This Row],[CF]]*chronic_consumption!$AB305/1000/$C$3)</f>
        <v>#DIV/0!</v>
      </c>
      <c r="AH1505" s="1098" t="e">
        <f>IF($D$1212="",0,$D1505*Table3[[#This Row],[CF]]*chronic_consumption!$AC305/1000/$C$3)</f>
        <v>#DIV/0!</v>
      </c>
      <c r="AI1505" s="1098" t="e">
        <f>IF($D$1212="",0,$D1505*Table3[[#This Row],[CF]]*chronic_consumption!$AD305/1000/$C$3)</f>
        <v>#DIV/0!</v>
      </c>
      <c r="AJ1505" s="1098" t="e">
        <f>IF($D$1212="",0,$D1505*Table3[[#This Row],[CF]]*chronic_consumption!$AE305/1000/$C$3)</f>
        <v>#DIV/0!</v>
      </c>
      <c r="AK1505" s="1098" t="e">
        <f>IF($D$1212="",0,$D1505*Table3[[#This Row],[CF]]*chronic_consumption!$AF305/1000/$C$3)</f>
        <v>#DIV/0!</v>
      </c>
      <c r="AL1505" s="1098" t="e">
        <f>IF($D$1212="",0,$D1505*Table3[[#This Row],[CF]]*chronic_consumption!$AG305/1000/$C$3)</f>
        <v>#DIV/0!</v>
      </c>
      <c r="AM1505" s="1098" t="e">
        <f>IF($D$1212="",0,$D1505*Table3[[#This Row],[CF]]*chronic_consumption!$AH305/1000/$C$3)</f>
        <v>#DIV/0!</v>
      </c>
      <c r="AN1505" s="1098" t="e">
        <f>IF($D$1212="",0,$D1505*Table3[[#This Row],[CF]]*chronic_consumption!$AI305/1000/$C$3)</f>
        <v>#DIV/0!</v>
      </c>
      <c r="AO1505" s="1098" t="e">
        <f>IF($D$1212="",0,$D1505*Table3[[#This Row],[CF]]*chronic_consumption!$AJ305/1000/$C$3)</f>
        <v>#DIV/0!</v>
      </c>
      <c r="AP1505" s="1098" t="e">
        <f>IF($D$1212="",0,$D1505*Table3[[#This Row],[CF]]*chronic_consumption!$AK305/1000/$C$3)</f>
        <v>#DIV/0!</v>
      </c>
      <c r="AQ1505" s="1098" t="e">
        <f>IF($D$1212="",0,$D1505*Table3[[#This Row],[CF]]*chronic_consumption!$AL305/1000/$C$3)</f>
        <v>#DIV/0!</v>
      </c>
      <c r="AR1505" s="1098" t="e">
        <f>IF($D$1212="",0,$D1505*Table3[[#This Row],[CF]]*chronic_consumption!$AM305/1000/$C$3)</f>
        <v>#DIV/0!</v>
      </c>
      <c r="AS1505" s="1098" t="e">
        <f>IF($D$1212="",0,$D1505*Table3[[#This Row],[CF]]*chronic_consumption!$AN305/1000/$C$3)</f>
        <v>#DIV/0!</v>
      </c>
      <c r="AT1505" s="1098" t="e">
        <f>IF($D$1212="",0,$D1505*Table3[[#This Row],[CF]]*chronic_consumption!$AO305/1000/$C$3)</f>
        <v>#DIV/0!</v>
      </c>
      <c r="AU1505" s="1099" t="e">
        <f t="shared" si="883"/>
        <v>#DIV/0!</v>
      </c>
      <c r="AV1505" s="1099" t="e">
        <f t="shared" si="883"/>
        <v>#DIV/0!</v>
      </c>
      <c r="AW1505" s="1099" t="e">
        <f t="shared" si="883"/>
        <v>#DIV/0!</v>
      </c>
      <c r="AX1505" s="1099" t="e">
        <f t="shared" si="883"/>
        <v>#DIV/0!</v>
      </c>
      <c r="AY1505" s="1099" t="e">
        <f t="shared" si="883"/>
        <v>#DIV/0!</v>
      </c>
      <c r="AZ1505" s="1091" t="s">
        <v>1012</v>
      </c>
      <c r="BA1505" s="1097" t="e">
        <f>IF(Table3[[#This Row],[max]]&lt;&gt;0,RANK(Table3[[#This Row],[max]],Table3[max],0),"")</f>
        <v>#DIV/0!</v>
      </c>
      <c r="BB1505" s="1096" t="e">
        <f t="shared" si="876"/>
        <v>#DIV/0!</v>
      </c>
      <c r="BC1505" s="1096" t="e">
        <f t="shared" ca="1" si="877"/>
        <v>#DIV/0!</v>
      </c>
      <c r="BD1505" s="1096" t="e">
        <f>IF(Table3[[#This Row],[max]]&gt;0,Table3[[#This Row],[Crop groups and examples of individual products within the groups to which the MRLs apply]],"")</f>
        <v>#DIV/0!</v>
      </c>
    </row>
    <row r="1506" spans="2:56" x14ac:dyDescent="0.2">
      <c r="B1506" s="23">
        <f t="shared" si="881"/>
        <v>840040</v>
      </c>
      <c r="C1506" s="23" t="str">
        <f t="shared" si="881"/>
        <v>Horseradish, root spices</v>
      </c>
      <c r="D1506" s="1084">
        <f>input_values!E306</f>
        <v>0</v>
      </c>
      <c r="E1506" s="1084">
        <f>input_values!F306</f>
        <v>0</v>
      </c>
      <c r="F1506" s="1085">
        <f>input_values!W306</f>
        <v>1</v>
      </c>
      <c r="G1506" s="1085" t="str">
        <f>IF(Table3[[#This Row],[CF]]&gt;0,CONCATENATE(IF(Table3[[#This Row],[LOQ]]="*","LOQ","MRL"),IF(input_values!G306&gt;0,"×CFrisk","")),"")</f>
        <v>MRL</v>
      </c>
      <c r="H1506" s="1087">
        <f>input_values!L306</f>
        <v>0</v>
      </c>
      <c r="I1506" s="1088">
        <f>input_values!D306</f>
        <v>0</v>
      </c>
      <c r="J1506" s="1098" t="e">
        <f>IF($D$1212="",0,$D1506*Table3[[#This Row],[CF]]*chronic_consumption!$E306/1000/$C$3)</f>
        <v>#DIV/0!</v>
      </c>
      <c r="K1506" s="1098" t="e">
        <f>IF($D$1212="",0,$D1506*Table3[[#This Row],[CF]]*chronic_consumption!$F306/1000/$C$3)</f>
        <v>#DIV/0!</v>
      </c>
      <c r="L1506" s="1098" t="e">
        <f>IF($D$1212="",0,$D1506*Table3[[#This Row],[CF]]*chronic_consumption!$G306/1000/$C$3)</f>
        <v>#DIV/0!</v>
      </c>
      <c r="M1506" s="1098" t="e">
        <f>IF($D$1212="",0,$D1506*Table3[[#This Row],[CF]]*chronic_consumption!$H306/1000/$C$3)</f>
        <v>#DIV/0!</v>
      </c>
      <c r="N1506" s="1098" t="e">
        <f>IF($D$1212="",0,$D1506*Table3[[#This Row],[CF]]*chronic_consumption!$I306/1000/$C$3)</f>
        <v>#DIV/0!</v>
      </c>
      <c r="O1506" s="1098" t="e">
        <f>IF($D$1212="",0,$D1506*Table3[[#This Row],[CF]]*chronic_consumption!$J306/1000/$C$3)</f>
        <v>#DIV/0!</v>
      </c>
      <c r="P1506" s="1098" t="e">
        <f>IF($D$1212="",0,$D1506*Table3[[#This Row],[CF]]*chronic_consumption!$K306/1000/$C$3)</f>
        <v>#DIV/0!</v>
      </c>
      <c r="Q1506" s="1098" t="e">
        <f>IF($D$1212="",0,$D1506*Table3[[#This Row],[CF]]*chronic_consumption!$L306/1000/$C$3)</f>
        <v>#DIV/0!</v>
      </c>
      <c r="R1506" s="1098" t="e">
        <f>IF($D$1212="",0,$D1506*Table3[[#This Row],[CF]]*chronic_consumption!$M306/1000/$C$3)</f>
        <v>#DIV/0!</v>
      </c>
      <c r="S1506" s="1098" t="e">
        <f>IF($D$1212="",0,$D1506*Table3[[#This Row],[CF]]*chronic_consumption!$N306/1000/$C$3)</f>
        <v>#DIV/0!</v>
      </c>
      <c r="T1506" s="1098" t="e">
        <f>IF($D$1212="",0,$D1506*Table3[[#This Row],[CF]]*chronic_consumption!$O306/1000/$C$3)</f>
        <v>#DIV/0!</v>
      </c>
      <c r="U1506" s="1098" t="e">
        <f>IF($D$1212="",0,$D1506*Table3[[#This Row],[CF]]*chronic_consumption!$P306/1000/$C$3)</f>
        <v>#DIV/0!</v>
      </c>
      <c r="V1506" s="1098" t="e">
        <f>IF($D$1212="",0,$D1506*Table3[[#This Row],[CF]]*chronic_consumption!$Q306/1000/$C$3)</f>
        <v>#DIV/0!</v>
      </c>
      <c r="W1506" s="1098" t="e">
        <f>IF($D$1212="",0,$D1506*Table3[[#This Row],[CF]]*chronic_consumption!$R306/1000/$C$3)</f>
        <v>#DIV/0!</v>
      </c>
      <c r="X1506" s="1098" t="e">
        <f>IF($D$1212="",0,$D1506*Table3[[#This Row],[CF]]*chronic_consumption!$S306/1000/$C$3)</f>
        <v>#DIV/0!</v>
      </c>
      <c r="Y1506" s="1098" t="e">
        <f>IF($D$1212="",0,$D1506*Table3[[#This Row],[CF]]*chronic_consumption!$T306/1000/$C$3)</f>
        <v>#DIV/0!</v>
      </c>
      <c r="Z1506" s="1098" t="e">
        <f>IF($D$1212="",0,$D1506*Table3[[#This Row],[CF]]*chronic_consumption!$U306/1000/$C$3)</f>
        <v>#DIV/0!</v>
      </c>
      <c r="AA1506" s="1098" t="e">
        <f>IF($D$1212="",0,$D1506*Table3[[#This Row],[CF]]*chronic_consumption!$V306/1000/$C$3)</f>
        <v>#DIV/0!</v>
      </c>
      <c r="AB1506" s="1098" t="e">
        <f>IF($D$1212="",0,$D1506*Table3[[#This Row],[CF]]*chronic_consumption!$W306/1000/$C$3)</f>
        <v>#DIV/0!</v>
      </c>
      <c r="AC1506" s="1098" t="e">
        <f>IF($D$1212="",0,$D1506*Table3[[#This Row],[CF]]*chronic_consumption!$X306/1000/$C$3)</f>
        <v>#DIV/0!</v>
      </c>
      <c r="AD1506" s="1098" t="e">
        <f>IF($D$1212="",0,$D1506*Table3[[#This Row],[CF]]*chronic_consumption!$Y306/1000/$C$3)</f>
        <v>#DIV/0!</v>
      </c>
      <c r="AE1506" s="1098" t="e">
        <f>IF($D$1212="",0,$D1506*Table3[[#This Row],[CF]]*chronic_consumption!$Z306/1000/$C$3)</f>
        <v>#DIV/0!</v>
      </c>
      <c r="AF1506" s="1098" t="e">
        <f>IF($D$1212="",0,$D1506*Table3[[#This Row],[CF]]*chronic_consumption!$AA306/1000/$C$3)</f>
        <v>#DIV/0!</v>
      </c>
      <c r="AG1506" s="1098" t="e">
        <f>IF($D$1212="",0,$D1506*Table3[[#This Row],[CF]]*chronic_consumption!$AB306/1000/$C$3)</f>
        <v>#DIV/0!</v>
      </c>
      <c r="AH1506" s="1098" t="e">
        <f>IF($D$1212="",0,$D1506*Table3[[#This Row],[CF]]*chronic_consumption!$AC306/1000/$C$3)</f>
        <v>#DIV/0!</v>
      </c>
      <c r="AI1506" s="1098" t="e">
        <f>IF($D$1212="",0,$D1506*Table3[[#This Row],[CF]]*chronic_consumption!$AD306/1000/$C$3)</f>
        <v>#DIV/0!</v>
      </c>
      <c r="AJ1506" s="1098" t="e">
        <f>IF($D$1212="",0,$D1506*Table3[[#This Row],[CF]]*chronic_consumption!$AE306/1000/$C$3)</f>
        <v>#DIV/0!</v>
      </c>
      <c r="AK1506" s="1098" t="e">
        <f>IF($D$1212="",0,$D1506*Table3[[#This Row],[CF]]*chronic_consumption!$AF306/1000/$C$3)</f>
        <v>#DIV/0!</v>
      </c>
      <c r="AL1506" s="1098" t="e">
        <f>IF($D$1212="",0,$D1506*Table3[[#This Row],[CF]]*chronic_consumption!$AG306/1000/$C$3)</f>
        <v>#DIV/0!</v>
      </c>
      <c r="AM1506" s="1098" t="e">
        <f>IF($D$1212="",0,$D1506*Table3[[#This Row],[CF]]*chronic_consumption!$AH306/1000/$C$3)</f>
        <v>#DIV/0!</v>
      </c>
      <c r="AN1506" s="1098" t="e">
        <f>IF($D$1212="",0,$D1506*Table3[[#This Row],[CF]]*chronic_consumption!$AI306/1000/$C$3)</f>
        <v>#DIV/0!</v>
      </c>
      <c r="AO1506" s="1098" t="e">
        <f>IF($D$1212="",0,$D1506*Table3[[#This Row],[CF]]*chronic_consumption!$AJ306/1000/$C$3)</f>
        <v>#DIV/0!</v>
      </c>
      <c r="AP1506" s="1098" t="e">
        <f>IF($D$1212="",0,$D1506*Table3[[#This Row],[CF]]*chronic_consumption!$AK306/1000/$C$3)</f>
        <v>#DIV/0!</v>
      </c>
      <c r="AQ1506" s="1098" t="e">
        <f>IF($D$1212="",0,$D1506*Table3[[#This Row],[CF]]*chronic_consumption!$AL306/1000/$C$3)</f>
        <v>#DIV/0!</v>
      </c>
      <c r="AR1506" s="1098" t="e">
        <f>IF($D$1212="",0,$D1506*Table3[[#This Row],[CF]]*chronic_consumption!$AM306/1000/$C$3)</f>
        <v>#DIV/0!</v>
      </c>
      <c r="AS1506" s="1098" t="e">
        <f>IF($D$1212="",0,$D1506*Table3[[#This Row],[CF]]*chronic_consumption!$AN306/1000/$C$3)</f>
        <v>#DIV/0!</v>
      </c>
      <c r="AT1506" s="1098" t="e">
        <f>IF($D$1212="",0,$D1506*Table3[[#This Row],[CF]]*chronic_consumption!$AO306/1000/$C$3)</f>
        <v>#DIV/0!</v>
      </c>
      <c r="AU1506" s="1099" t="e">
        <f t="shared" si="883"/>
        <v>#DIV/0!</v>
      </c>
      <c r="AV1506" s="1099" t="e">
        <f t="shared" si="883"/>
        <v>#DIV/0!</v>
      </c>
      <c r="AW1506" s="1099" t="e">
        <f t="shared" si="883"/>
        <v>#DIV/0!</v>
      </c>
      <c r="AX1506" s="1099" t="e">
        <f t="shared" si="883"/>
        <v>#DIV/0!</v>
      </c>
      <c r="AY1506" s="1099" t="e">
        <f t="shared" si="883"/>
        <v>#DIV/0!</v>
      </c>
      <c r="AZ1506" s="1091" t="s">
        <v>1012</v>
      </c>
      <c r="BA1506" s="1097" t="e">
        <f>IF(Table3[[#This Row],[max]]&lt;&gt;0,RANK(Table3[[#This Row],[max]],Table3[max],0),"")</f>
        <v>#DIV/0!</v>
      </c>
      <c r="BB1506" s="1096" t="e">
        <f t="shared" si="876"/>
        <v>#DIV/0!</v>
      </c>
      <c r="BC1506" s="1096" t="e">
        <f t="shared" ca="1" si="877"/>
        <v>#DIV/0!</v>
      </c>
      <c r="BD1506" s="1096" t="e">
        <f>IF(Table3[[#This Row],[max]]&gt;0,Table3[[#This Row],[Crop groups and examples of individual products within the groups to which the MRLs apply]],"")</f>
        <v>#DIV/0!</v>
      </c>
    </row>
    <row r="1507" spans="2:56" x14ac:dyDescent="0.2">
      <c r="B1507" s="23">
        <f t="shared" si="881"/>
        <v>840990</v>
      </c>
      <c r="C1507" s="23" t="str">
        <f t="shared" si="881"/>
        <v>Other spices (roots)</v>
      </c>
      <c r="D1507" s="1084">
        <f>input_values!E307</f>
        <v>0</v>
      </c>
      <c r="E1507" s="1084">
        <f>input_values!F307</f>
        <v>0</v>
      </c>
      <c r="F1507" s="1085">
        <f>input_values!W307</f>
        <v>1</v>
      </c>
      <c r="G1507" s="1085" t="str">
        <f>IF(Table3[[#This Row],[CF]]&gt;0,CONCATENATE(IF(Table3[[#This Row],[LOQ]]="*","LOQ","MRL"),IF(input_values!G307&gt;0,"×CFrisk","")),"")</f>
        <v>MRL</v>
      </c>
      <c r="H1507" s="1087">
        <f>input_values!L307</f>
        <v>0</v>
      </c>
      <c r="I1507" s="1088">
        <f>input_values!D307</f>
        <v>0</v>
      </c>
      <c r="J1507" s="1098" t="e">
        <f>IF($D$1212="",0,$D1507*Table3[[#This Row],[CF]]*chronic_consumption!$E307/1000/$C$3)</f>
        <v>#DIV/0!</v>
      </c>
      <c r="K1507" s="1098" t="e">
        <f>IF($D$1212="",0,$D1507*Table3[[#This Row],[CF]]*chronic_consumption!$F307/1000/$C$3)</f>
        <v>#DIV/0!</v>
      </c>
      <c r="L1507" s="1098" t="e">
        <f>IF($D$1212="",0,$D1507*Table3[[#This Row],[CF]]*chronic_consumption!$G307/1000/$C$3)</f>
        <v>#DIV/0!</v>
      </c>
      <c r="M1507" s="1098" t="e">
        <f>IF($D$1212="",0,$D1507*Table3[[#This Row],[CF]]*chronic_consumption!$H307/1000/$C$3)</f>
        <v>#DIV/0!</v>
      </c>
      <c r="N1507" s="1098" t="e">
        <f>IF($D$1212="",0,$D1507*Table3[[#This Row],[CF]]*chronic_consumption!$I307/1000/$C$3)</f>
        <v>#DIV/0!</v>
      </c>
      <c r="O1507" s="1098" t="e">
        <f>IF($D$1212="",0,$D1507*Table3[[#This Row],[CF]]*chronic_consumption!$J307/1000/$C$3)</f>
        <v>#DIV/0!</v>
      </c>
      <c r="P1507" s="1098" t="e">
        <f>IF($D$1212="",0,$D1507*Table3[[#This Row],[CF]]*chronic_consumption!$K307/1000/$C$3)</f>
        <v>#DIV/0!</v>
      </c>
      <c r="Q1507" s="1098" t="e">
        <f>IF($D$1212="",0,$D1507*Table3[[#This Row],[CF]]*chronic_consumption!$L307/1000/$C$3)</f>
        <v>#DIV/0!</v>
      </c>
      <c r="R1507" s="1098" t="e">
        <f>IF($D$1212="",0,$D1507*Table3[[#This Row],[CF]]*chronic_consumption!$M307/1000/$C$3)</f>
        <v>#DIV/0!</v>
      </c>
      <c r="S1507" s="1098" t="e">
        <f>IF($D$1212="",0,$D1507*Table3[[#This Row],[CF]]*chronic_consumption!$N307/1000/$C$3)</f>
        <v>#DIV/0!</v>
      </c>
      <c r="T1507" s="1098" t="e">
        <f>IF($D$1212="",0,$D1507*Table3[[#This Row],[CF]]*chronic_consumption!$O307/1000/$C$3)</f>
        <v>#DIV/0!</v>
      </c>
      <c r="U1507" s="1098" t="e">
        <f>IF($D$1212="",0,$D1507*Table3[[#This Row],[CF]]*chronic_consumption!$P307/1000/$C$3)</f>
        <v>#DIV/0!</v>
      </c>
      <c r="V1507" s="1098" t="e">
        <f>IF($D$1212="",0,$D1507*Table3[[#This Row],[CF]]*chronic_consumption!$Q307/1000/$C$3)</f>
        <v>#DIV/0!</v>
      </c>
      <c r="W1507" s="1098" t="e">
        <f>IF($D$1212="",0,$D1507*Table3[[#This Row],[CF]]*chronic_consumption!$R307/1000/$C$3)</f>
        <v>#DIV/0!</v>
      </c>
      <c r="X1507" s="1098" t="e">
        <f>IF($D$1212="",0,$D1507*Table3[[#This Row],[CF]]*chronic_consumption!$S307/1000/$C$3)</f>
        <v>#DIV/0!</v>
      </c>
      <c r="Y1507" s="1098" t="e">
        <f>IF($D$1212="",0,$D1507*Table3[[#This Row],[CF]]*chronic_consumption!$T307/1000/$C$3)</f>
        <v>#DIV/0!</v>
      </c>
      <c r="Z1507" s="1098" t="e">
        <f>IF($D$1212="",0,$D1507*Table3[[#This Row],[CF]]*chronic_consumption!$U307/1000/$C$3)</f>
        <v>#DIV/0!</v>
      </c>
      <c r="AA1507" s="1098" t="e">
        <f>IF($D$1212="",0,$D1507*Table3[[#This Row],[CF]]*chronic_consumption!$V307/1000/$C$3)</f>
        <v>#DIV/0!</v>
      </c>
      <c r="AB1507" s="1098" t="e">
        <f>IF($D$1212="",0,$D1507*Table3[[#This Row],[CF]]*chronic_consumption!$W307/1000/$C$3)</f>
        <v>#DIV/0!</v>
      </c>
      <c r="AC1507" s="1098" t="e">
        <f>IF($D$1212="",0,$D1507*Table3[[#This Row],[CF]]*chronic_consumption!$X307/1000/$C$3)</f>
        <v>#DIV/0!</v>
      </c>
      <c r="AD1507" s="1098" t="e">
        <f>IF($D$1212="",0,$D1507*Table3[[#This Row],[CF]]*chronic_consumption!$Y307/1000/$C$3)</f>
        <v>#DIV/0!</v>
      </c>
      <c r="AE1507" s="1098" t="e">
        <f>IF($D$1212="",0,$D1507*Table3[[#This Row],[CF]]*chronic_consumption!$Z307/1000/$C$3)</f>
        <v>#DIV/0!</v>
      </c>
      <c r="AF1507" s="1098" t="e">
        <f>IF($D$1212="",0,$D1507*Table3[[#This Row],[CF]]*chronic_consumption!$AA307/1000/$C$3)</f>
        <v>#DIV/0!</v>
      </c>
      <c r="AG1507" s="1098" t="e">
        <f>IF($D$1212="",0,$D1507*Table3[[#This Row],[CF]]*chronic_consumption!$AB307/1000/$C$3)</f>
        <v>#DIV/0!</v>
      </c>
      <c r="AH1507" s="1098" t="e">
        <f>IF($D$1212="",0,$D1507*Table3[[#This Row],[CF]]*chronic_consumption!$AC307/1000/$C$3)</f>
        <v>#DIV/0!</v>
      </c>
      <c r="AI1507" s="1098" t="e">
        <f>IF($D$1212="",0,$D1507*Table3[[#This Row],[CF]]*chronic_consumption!$AD307/1000/$C$3)</f>
        <v>#DIV/0!</v>
      </c>
      <c r="AJ1507" s="1098" t="e">
        <f>IF($D$1212="",0,$D1507*Table3[[#This Row],[CF]]*chronic_consumption!$AE307/1000/$C$3)</f>
        <v>#DIV/0!</v>
      </c>
      <c r="AK1507" s="1098" t="e">
        <f>IF($D$1212="",0,$D1507*Table3[[#This Row],[CF]]*chronic_consumption!$AF307/1000/$C$3)</f>
        <v>#DIV/0!</v>
      </c>
      <c r="AL1507" s="1098" t="e">
        <f>IF($D$1212="",0,$D1507*Table3[[#This Row],[CF]]*chronic_consumption!$AG307/1000/$C$3)</f>
        <v>#DIV/0!</v>
      </c>
      <c r="AM1507" s="1098" t="e">
        <f>IF($D$1212="",0,$D1507*Table3[[#This Row],[CF]]*chronic_consumption!$AH307/1000/$C$3)</f>
        <v>#DIV/0!</v>
      </c>
      <c r="AN1507" s="1098" t="e">
        <f>IF($D$1212="",0,$D1507*Table3[[#This Row],[CF]]*chronic_consumption!$AI307/1000/$C$3)</f>
        <v>#DIV/0!</v>
      </c>
      <c r="AO1507" s="1098" t="e">
        <f>IF($D$1212="",0,$D1507*Table3[[#This Row],[CF]]*chronic_consumption!$AJ307/1000/$C$3)</f>
        <v>#DIV/0!</v>
      </c>
      <c r="AP1507" s="1098" t="e">
        <f>IF($D$1212="",0,$D1507*Table3[[#This Row],[CF]]*chronic_consumption!$AK307/1000/$C$3)</f>
        <v>#DIV/0!</v>
      </c>
      <c r="AQ1507" s="1098" t="e">
        <f>IF($D$1212="",0,$D1507*Table3[[#This Row],[CF]]*chronic_consumption!$AL307/1000/$C$3)</f>
        <v>#DIV/0!</v>
      </c>
      <c r="AR1507" s="1098" t="e">
        <f>IF($D$1212="",0,$D1507*Table3[[#This Row],[CF]]*chronic_consumption!$AM307/1000/$C$3)</f>
        <v>#DIV/0!</v>
      </c>
      <c r="AS1507" s="1098" t="e">
        <f>IF($D$1212="",0,$D1507*Table3[[#This Row],[CF]]*chronic_consumption!$AN307/1000/$C$3)</f>
        <v>#DIV/0!</v>
      </c>
      <c r="AT1507" s="1098" t="e">
        <f>IF($D$1212="",0,$D1507*Table3[[#This Row],[CF]]*chronic_consumption!$AO307/1000/$C$3)</f>
        <v>#DIV/0!</v>
      </c>
      <c r="AU1507" s="1099" t="e">
        <f t="shared" si="883"/>
        <v>#DIV/0!</v>
      </c>
      <c r="AV1507" s="1099" t="e">
        <f t="shared" si="883"/>
        <v>#DIV/0!</v>
      </c>
      <c r="AW1507" s="1099" t="e">
        <f t="shared" si="883"/>
        <v>#DIV/0!</v>
      </c>
      <c r="AX1507" s="1099" t="e">
        <f t="shared" si="883"/>
        <v>#DIV/0!</v>
      </c>
      <c r="AY1507" s="1099" t="e">
        <f t="shared" si="883"/>
        <v>#DIV/0!</v>
      </c>
      <c r="AZ1507" s="1091" t="s">
        <v>1012</v>
      </c>
      <c r="BA1507" s="1097" t="e">
        <f>IF(Table3[[#This Row],[max]]&lt;&gt;0,RANK(Table3[[#This Row],[max]],Table3[max],0),"")</f>
        <v>#DIV/0!</v>
      </c>
      <c r="BB1507" s="1096" t="e">
        <f t="shared" si="876"/>
        <v>#DIV/0!</v>
      </c>
      <c r="BC1507" s="1096" t="e">
        <f t="shared" ca="1" si="877"/>
        <v>#DIV/0!</v>
      </c>
      <c r="BD1507" s="1096" t="e">
        <f>IF(Table3[[#This Row],[max]]&gt;0,Table3[[#This Row],[Crop groups and examples of individual products within the groups to which the MRLs apply]],"")</f>
        <v>#DIV/0!</v>
      </c>
    </row>
    <row r="1508" spans="2:56" x14ac:dyDescent="0.2">
      <c r="B1508" s="131">
        <f t="shared" si="881"/>
        <v>850000</v>
      </c>
      <c r="C1508" s="131" t="str">
        <f t="shared" si="881"/>
        <v>Spices (buds)</v>
      </c>
      <c r="D1508" s="1084">
        <f>input_values!E308</f>
        <v>0</v>
      </c>
      <c r="E1508" s="1084">
        <f>input_values!F308</f>
        <v>0</v>
      </c>
      <c r="F1508" s="1085">
        <f>input_values!W308</f>
        <v>0</v>
      </c>
      <c r="G1508" s="1085" t="str">
        <f>IF(Table3[[#This Row],[CF]]&gt;0,CONCATENATE(IF(Table3[[#This Row],[LOQ]]="*","LOQ","MRL"),IF(input_values!G308&gt;0,"×CFrisk","")),"")</f>
        <v/>
      </c>
      <c r="H1508" s="1087">
        <f>input_values!L308</f>
        <v>0</v>
      </c>
      <c r="I1508" s="1088">
        <f>input_values!D308</f>
        <v>0</v>
      </c>
      <c r="J1508" s="1095" t="e">
        <f>IF($D$1212="",0,$D1508*Table3[[#This Row],[CF]]*chronic_consumption!$E308/1000/$C$3)</f>
        <v>#DIV/0!</v>
      </c>
      <c r="K1508" s="1095" t="e">
        <f>IF($D$1212="",0,$D1508*Table3[[#This Row],[CF]]*chronic_consumption!$F308/1000/$C$3)</f>
        <v>#DIV/0!</v>
      </c>
      <c r="L1508" s="1095" t="e">
        <f>IF($D$1212="",0,$D1508*Table3[[#This Row],[CF]]*chronic_consumption!$G308/1000/$C$3)</f>
        <v>#DIV/0!</v>
      </c>
      <c r="M1508" s="1095" t="e">
        <f>IF($D$1212="",0,$D1508*Table3[[#This Row],[CF]]*chronic_consumption!$H308/1000/$C$3)</f>
        <v>#DIV/0!</v>
      </c>
      <c r="N1508" s="1095" t="e">
        <f>IF($D$1212="",0,$D1508*Table3[[#This Row],[CF]]*chronic_consumption!$I308/1000/$C$3)</f>
        <v>#DIV/0!</v>
      </c>
      <c r="O1508" s="1095" t="e">
        <f>IF($D$1212="",0,$D1508*Table3[[#This Row],[CF]]*chronic_consumption!$J308/1000/$C$3)</f>
        <v>#DIV/0!</v>
      </c>
      <c r="P1508" s="1095" t="e">
        <f>IF($D$1212="",0,$D1508*Table3[[#This Row],[CF]]*chronic_consumption!$K308/1000/$C$3)</f>
        <v>#DIV/0!</v>
      </c>
      <c r="Q1508" s="1095" t="e">
        <f>IF($D$1212="",0,$D1508*Table3[[#This Row],[CF]]*chronic_consumption!$L308/1000/$C$3)</f>
        <v>#DIV/0!</v>
      </c>
      <c r="R1508" s="1095" t="e">
        <f>IF($D$1212="",0,$D1508*Table3[[#This Row],[CF]]*chronic_consumption!$M308/1000/$C$3)</f>
        <v>#DIV/0!</v>
      </c>
      <c r="S1508" s="1095" t="e">
        <f>IF($D$1212="",0,$D1508*Table3[[#This Row],[CF]]*chronic_consumption!$N308/1000/$C$3)</f>
        <v>#DIV/0!</v>
      </c>
      <c r="T1508" s="1095" t="e">
        <f>IF($D$1212="",0,$D1508*Table3[[#This Row],[CF]]*chronic_consumption!$O308/1000/$C$3)</f>
        <v>#DIV/0!</v>
      </c>
      <c r="U1508" s="1095" t="e">
        <f>IF($D$1212="",0,$D1508*Table3[[#This Row],[CF]]*chronic_consumption!$P308/1000/$C$3)</f>
        <v>#DIV/0!</v>
      </c>
      <c r="V1508" s="1095" t="e">
        <f>IF($D$1212="",0,$D1508*Table3[[#This Row],[CF]]*chronic_consumption!$Q308/1000/$C$3)</f>
        <v>#DIV/0!</v>
      </c>
      <c r="W1508" s="1095" t="e">
        <f>IF($D$1212="",0,$D1508*Table3[[#This Row],[CF]]*chronic_consumption!$R308/1000/$C$3)</f>
        <v>#DIV/0!</v>
      </c>
      <c r="X1508" s="1095" t="e">
        <f>IF($D$1212="",0,$D1508*Table3[[#This Row],[CF]]*chronic_consumption!$S308/1000/$C$3)</f>
        <v>#DIV/0!</v>
      </c>
      <c r="Y1508" s="1095" t="e">
        <f>IF($D$1212="",0,$D1508*Table3[[#This Row],[CF]]*chronic_consumption!$T308/1000/$C$3)</f>
        <v>#DIV/0!</v>
      </c>
      <c r="Z1508" s="1095" t="e">
        <f>IF($D$1212="",0,$D1508*Table3[[#This Row],[CF]]*chronic_consumption!$U308/1000/$C$3)</f>
        <v>#DIV/0!</v>
      </c>
      <c r="AA1508" s="1095" t="e">
        <f>IF($D$1212="",0,$D1508*Table3[[#This Row],[CF]]*chronic_consumption!$V308/1000/$C$3)</f>
        <v>#DIV/0!</v>
      </c>
      <c r="AB1508" s="1095" t="e">
        <f>IF($D$1212="",0,$D1508*Table3[[#This Row],[CF]]*chronic_consumption!$W308/1000/$C$3)</f>
        <v>#DIV/0!</v>
      </c>
      <c r="AC1508" s="1095" t="e">
        <f>IF($D$1212="",0,$D1508*Table3[[#This Row],[CF]]*chronic_consumption!$X308/1000/$C$3)</f>
        <v>#DIV/0!</v>
      </c>
      <c r="AD1508" s="1095" t="e">
        <f>IF($D$1212="",0,$D1508*Table3[[#This Row],[CF]]*chronic_consumption!$Y308/1000/$C$3)</f>
        <v>#DIV/0!</v>
      </c>
      <c r="AE1508" s="1095" t="e">
        <f>IF($D$1212="",0,$D1508*Table3[[#This Row],[CF]]*chronic_consumption!$Z308/1000/$C$3)</f>
        <v>#DIV/0!</v>
      </c>
      <c r="AF1508" s="1095" t="e">
        <f>IF($D$1212="",0,$D1508*Table3[[#This Row],[CF]]*chronic_consumption!$AA308/1000/$C$3)</f>
        <v>#DIV/0!</v>
      </c>
      <c r="AG1508" s="1095" t="e">
        <f>IF($D$1212="",0,$D1508*Table3[[#This Row],[CF]]*chronic_consumption!$AB308/1000/$C$3)</f>
        <v>#DIV/0!</v>
      </c>
      <c r="AH1508" s="1095" t="e">
        <f>IF($D$1212="",0,$D1508*Table3[[#This Row],[CF]]*chronic_consumption!$AC308/1000/$C$3)</f>
        <v>#DIV/0!</v>
      </c>
      <c r="AI1508" s="1095" t="e">
        <f>IF($D$1212="",0,$D1508*Table3[[#This Row],[CF]]*chronic_consumption!$AD308/1000/$C$3)</f>
        <v>#DIV/0!</v>
      </c>
      <c r="AJ1508" s="1095" t="e">
        <f>IF($D$1212="",0,$D1508*Table3[[#This Row],[CF]]*chronic_consumption!$AE308/1000/$C$3)</f>
        <v>#DIV/0!</v>
      </c>
      <c r="AK1508" s="1095" t="e">
        <f>IF($D$1212="",0,$D1508*Table3[[#This Row],[CF]]*chronic_consumption!$AF308/1000/$C$3)</f>
        <v>#DIV/0!</v>
      </c>
      <c r="AL1508" s="1095" t="e">
        <f>IF($D$1212="",0,$D1508*Table3[[#This Row],[CF]]*chronic_consumption!$AG308/1000/$C$3)</f>
        <v>#DIV/0!</v>
      </c>
      <c r="AM1508" s="1095" t="e">
        <f>IF($D$1212="",0,$D1508*Table3[[#This Row],[CF]]*chronic_consumption!$AH308/1000/$C$3)</f>
        <v>#DIV/0!</v>
      </c>
      <c r="AN1508" s="1095" t="e">
        <f>IF($D$1212="",0,$D1508*Table3[[#This Row],[CF]]*chronic_consumption!$AI308/1000/$C$3)</f>
        <v>#DIV/0!</v>
      </c>
      <c r="AO1508" s="1095" t="e">
        <f>IF($D$1212="",0,$D1508*Table3[[#This Row],[CF]]*chronic_consumption!$AJ308/1000/$C$3)</f>
        <v>#DIV/0!</v>
      </c>
      <c r="AP1508" s="1095" t="e">
        <f>IF($D$1212="",0,$D1508*Table3[[#This Row],[CF]]*chronic_consumption!$AK308/1000/$C$3)</f>
        <v>#DIV/0!</v>
      </c>
      <c r="AQ1508" s="1095" t="e">
        <f>IF($D$1212="",0,$D1508*Table3[[#This Row],[CF]]*chronic_consumption!$AL308/1000/$C$3)</f>
        <v>#DIV/0!</v>
      </c>
      <c r="AR1508" s="1095" t="e">
        <f>IF($D$1212="",0,$D1508*Table3[[#This Row],[CF]]*chronic_consumption!$AM308/1000/$C$3)</f>
        <v>#DIV/0!</v>
      </c>
      <c r="AS1508" s="1095" t="e">
        <f>IF($D$1212="",0,$D1508*Table3[[#This Row],[CF]]*chronic_consumption!$AN308/1000/$C$3)</f>
        <v>#DIV/0!</v>
      </c>
      <c r="AT1508" s="1095" t="e">
        <f>IF($D$1212="",0,$D1508*Table3[[#This Row],[CF]]*chronic_consumption!$AO308/1000/$C$3)</f>
        <v>#DIV/0!</v>
      </c>
      <c r="AU1508" s="1096" t="e">
        <f t="shared" si="883"/>
        <v>#DIV/0!</v>
      </c>
      <c r="AV1508" s="1096" t="e">
        <f t="shared" si="883"/>
        <v>#DIV/0!</v>
      </c>
      <c r="AW1508" s="1096" t="e">
        <f t="shared" si="883"/>
        <v>#DIV/0!</v>
      </c>
      <c r="AX1508" s="1096" t="e">
        <f t="shared" si="883"/>
        <v>#DIV/0!</v>
      </c>
      <c r="AY1508" s="1096" t="e">
        <f t="shared" si="883"/>
        <v>#DIV/0!</v>
      </c>
      <c r="AZ1508" s="1091" t="s">
        <v>1012</v>
      </c>
      <c r="BA1508" s="1097" t="e">
        <f>IF(Table3[[#This Row],[max]]&lt;&gt;0,RANK(Table3[[#This Row],[max]],Table3[max],0),"")</f>
        <v>#DIV/0!</v>
      </c>
      <c r="BB1508" s="1096" t="e">
        <f t="shared" si="876"/>
        <v>#DIV/0!</v>
      </c>
      <c r="BC1508" s="1096" t="e">
        <f t="shared" ca="1" si="877"/>
        <v>#DIV/0!</v>
      </c>
      <c r="BD1508" s="1096" t="e">
        <f>IF(Table3[[#This Row],[max]]&gt;0,Table3[[#This Row],[Crop groups and examples of individual products within the groups to which the MRLs apply]],"")</f>
        <v>#DIV/0!</v>
      </c>
    </row>
    <row r="1509" spans="2:56" x14ac:dyDescent="0.2">
      <c r="B1509" s="23">
        <f t="shared" si="881"/>
        <v>850010</v>
      </c>
      <c r="C1509" s="23" t="str">
        <f t="shared" si="881"/>
        <v>Cloves</v>
      </c>
      <c r="D1509" s="1084">
        <f>input_values!E309</f>
        <v>0</v>
      </c>
      <c r="E1509" s="1084">
        <f>input_values!F309</f>
        <v>0</v>
      </c>
      <c r="F1509" s="1085">
        <f>input_values!W309</f>
        <v>1</v>
      </c>
      <c r="G1509" s="1085" t="str">
        <f>IF(Table3[[#This Row],[CF]]&gt;0,CONCATENATE(IF(Table3[[#This Row],[LOQ]]="*","LOQ","MRL"),IF(input_values!G309&gt;0,"×CFrisk","")),"")</f>
        <v>MRL</v>
      </c>
      <c r="H1509" s="1087">
        <f>input_values!L309</f>
        <v>0</v>
      </c>
      <c r="I1509" s="1088">
        <f>input_values!D309</f>
        <v>0</v>
      </c>
      <c r="J1509" s="1098" t="e">
        <f>IF($D$1212="",0,$D1509*Table3[[#This Row],[CF]]*chronic_consumption!$E309/1000/$C$3)</f>
        <v>#DIV/0!</v>
      </c>
      <c r="K1509" s="1098" t="e">
        <f>IF($D$1212="",0,$D1509*Table3[[#This Row],[CF]]*chronic_consumption!$F309/1000/$C$3)</f>
        <v>#DIV/0!</v>
      </c>
      <c r="L1509" s="1098" t="e">
        <f>IF($D$1212="",0,$D1509*Table3[[#This Row],[CF]]*chronic_consumption!$G309/1000/$C$3)</f>
        <v>#DIV/0!</v>
      </c>
      <c r="M1509" s="1098" t="e">
        <f>IF($D$1212="",0,$D1509*Table3[[#This Row],[CF]]*chronic_consumption!$H309/1000/$C$3)</f>
        <v>#DIV/0!</v>
      </c>
      <c r="N1509" s="1098" t="e">
        <f>IF($D$1212="",0,$D1509*Table3[[#This Row],[CF]]*chronic_consumption!$I309/1000/$C$3)</f>
        <v>#DIV/0!</v>
      </c>
      <c r="O1509" s="1098" t="e">
        <f>IF($D$1212="",0,$D1509*Table3[[#This Row],[CF]]*chronic_consumption!$J309/1000/$C$3)</f>
        <v>#DIV/0!</v>
      </c>
      <c r="P1509" s="1098" t="e">
        <f>IF($D$1212="",0,$D1509*Table3[[#This Row],[CF]]*chronic_consumption!$K309/1000/$C$3)</f>
        <v>#DIV/0!</v>
      </c>
      <c r="Q1509" s="1098" t="e">
        <f>IF($D$1212="",0,$D1509*Table3[[#This Row],[CF]]*chronic_consumption!$L309/1000/$C$3)</f>
        <v>#DIV/0!</v>
      </c>
      <c r="R1509" s="1098" t="e">
        <f>IF($D$1212="",0,$D1509*Table3[[#This Row],[CF]]*chronic_consumption!$M309/1000/$C$3)</f>
        <v>#DIV/0!</v>
      </c>
      <c r="S1509" s="1098" t="e">
        <f>IF($D$1212="",0,$D1509*Table3[[#This Row],[CF]]*chronic_consumption!$N309/1000/$C$3)</f>
        <v>#DIV/0!</v>
      </c>
      <c r="T1509" s="1098" t="e">
        <f>IF($D$1212="",0,$D1509*Table3[[#This Row],[CF]]*chronic_consumption!$O309/1000/$C$3)</f>
        <v>#DIV/0!</v>
      </c>
      <c r="U1509" s="1098" t="e">
        <f>IF($D$1212="",0,$D1509*Table3[[#This Row],[CF]]*chronic_consumption!$P309/1000/$C$3)</f>
        <v>#DIV/0!</v>
      </c>
      <c r="V1509" s="1098" t="e">
        <f>IF($D$1212="",0,$D1509*Table3[[#This Row],[CF]]*chronic_consumption!$Q309/1000/$C$3)</f>
        <v>#DIV/0!</v>
      </c>
      <c r="W1509" s="1098" t="e">
        <f>IF($D$1212="",0,$D1509*Table3[[#This Row],[CF]]*chronic_consumption!$R309/1000/$C$3)</f>
        <v>#DIV/0!</v>
      </c>
      <c r="X1509" s="1098" t="e">
        <f>IF($D$1212="",0,$D1509*Table3[[#This Row],[CF]]*chronic_consumption!$S309/1000/$C$3)</f>
        <v>#DIV/0!</v>
      </c>
      <c r="Y1509" s="1098" t="e">
        <f>IF($D$1212="",0,$D1509*Table3[[#This Row],[CF]]*chronic_consumption!$T309/1000/$C$3)</f>
        <v>#DIV/0!</v>
      </c>
      <c r="Z1509" s="1098" t="e">
        <f>IF($D$1212="",0,$D1509*Table3[[#This Row],[CF]]*chronic_consumption!$U309/1000/$C$3)</f>
        <v>#DIV/0!</v>
      </c>
      <c r="AA1509" s="1098" t="e">
        <f>IF($D$1212="",0,$D1509*Table3[[#This Row],[CF]]*chronic_consumption!$V309/1000/$C$3)</f>
        <v>#DIV/0!</v>
      </c>
      <c r="AB1509" s="1098" t="e">
        <f>IF($D$1212="",0,$D1509*Table3[[#This Row],[CF]]*chronic_consumption!$W309/1000/$C$3)</f>
        <v>#DIV/0!</v>
      </c>
      <c r="AC1509" s="1098" t="e">
        <f>IF($D$1212="",0,$D1509*Table3[[#This Row],[CF]]*chronic_consumption!$X309/1000/$C$3)</f>
        <v>#DIV/0!</v>
      </c>
      <c r="AD1509" s="1098" t="e">
        <f>IF($D$1212="",0,$D1509*Table3[[#This Row],[CF]]*chronic_consumption!$Y309/1000/$C$3)</f>
        <v>#DIV/0!</v>
      </c>
      <c r="AE1509" s="1098" t="e">
        <f>IF($D$1212="",0,$D1509*Table3[[#This Row],[CF]]*chronic_consumption!$Z309/1000/$C$3)</f>
        <v>#DIV/0!</v>
      </c>
      <c r="AF1509" s="1098" t="e">
        <f>IF($D$1212="",0,$D1509*Table3[[#This Row],[CF]]*chronic_consumption!$AA309/1000/$C$3)</f>
        <v>#DIV/0!</v>
      </c>
      <c r="AG1509" s="1098" t="e">
        <f>IF($D$1212="",0,$D1509*Table3[[#This Row],[CF]]*chronic_consumption!$AB309/1000/$C$3)</f>
        <v>#DIV/0!</v>
      </c>
      <c r="AH1509" s="1098" t="e">
        <f>IF($D$1212="",0,$D1509*Table3[[#This Row],[CF]]*chronic_consumption!$AC309/1000/$C$3)</f>
        <v>#DIV/0!</v>
      </c>
      <c r="AI1509" s="1098" t="e">
        <f>IF($D$1212="",0,$D1509*Table3[[#This Row],[CF]]*chronic_consumption!$AD309/1000/$C$3)</f>
        <v>#DIV/0!</v>
      </c>
      <c r="AJ1509" s="1098" t="e">
        <f>IF($D$1212="",0,$D1509*Table3[[#This Row],[CF]]*chronic_consumption!$AE309/1000/$C$3)</f>
        <v>#DIV/0!</v>
      </c>
      <c r="AK1509" s="1098" t="e">
        <f>IF($D$1212="",0,$D1509*Table3[[#This Row],[CF]]*chronic_consumption!$AF309/1000/$C$3)</f>
        <v>#DIV/0!</v>
      </c>
      <c r="AL1509" s="1098" t="e">
        <f>IF($D$1212="",0,$D1509*Table3[[#This Row],[CF]]*chronic_consumption!$AG309/1000/$C$3)</f>
        <v>#DIV/0!</v>
      </c>
      <c r="AM1509" s="1098" t="e">
        <f>IF($D$1212="",0,$D1509*Table3[[#This Row],[CF]]*chronic_consumption!$AH309/1000/$C$3)</f>
        <v>#DIV/0!</v>
      </c>
      <c r="AN1509" s="1098" t="e">
        <f>IF($D$1212="",0,$D1509*Table3[[#This Row],[CF]]*chronic_consumption!$AI309/1000/$C$3)</f>
        <v>#DIV/0!</v>
      </c>
      <c r="AO1509" s="1098" t="e">
        <f>IF($D$1212="",0,$D1509*Table3[[#This Row],[CF]]*chronic_consumption!$AJ309/1000/$C$3)</f>
        <v>#DIV/0!</v>
      </c>
      <c r="AP1509" s="1098" t="e">
        <f>IF($D$1212="",0,$D1509*Table3[[#This Row],[CF]]*chronic_consumption!$AK309/1000/$C$3)</f>
        <v>#DIV/0!</v>
      </c>
      <c r="AQ1509" s="1098" t="e">
        <f>IF($D$1212="",0,$D1509*Table3[[#This Row],[CF]]*chronic_consumption!$AL309/1000/$C$3)</f>
        <v>#DIV/0!</v>
      </c>
      <c r="AR1509" s="1098" t="e">
        <f>IF($D$1212="",0,$D1509*Table3[[#This Row],[CF]]*chronic_consumption!$AM309/1000/$C$3)</f>
        <v>#DIV/0!</v>
      </c>
      <c r="AS1509" s="1098" t="e">
        <f>IF($D$1212="",0,$D1509*Table3[[#This Row],[CF]]*chronic_consumption!$AN309/1000/$C$3)</f>
        <v>#DIV/0!</v>
      </c>
      <c r="AT1509" s="1098" t="e">
        <f>IF($D$1212="",0,$D1509*Table3[[#This Row],[CF]]*chronic_consumption!$AO309/1000/$C$3)</f>
        <v>#DIV/0!</v>
      </c>
      <c r="AU1509" s="1099" t="e">
        <f t="shared" si="883"/>
        <v>#DIV/0!</v>
      </c>
      <c r="AV1509" s="1099" t="e">
        <f t="shared" si="883"/>
        <v>#DIV/0!</v>
      </c>
      <c r="AW1509" s="1099" t="e">
        <f t="shared" si="883"/>
        <v>#DIV/0!</v>
      </c>
      <c r="AX1509" s="1099" t="e">
        <f t="shared" si="883"/>
        <v>#DIV/0!</v>
      </c>
      <c r="AY1509" s="1099" t="e">
        <f t="shared" si="883"/>
        <v>#DIV/0!</v>
      </c>
      <c r="AZ1509" s="1091" t="s">
        <v>1012</v>
      </c>
      <c r="BA1509" s="1097" t="e">
        <f>IF(Table3[[#This Row],[max]]&lt;&gt;0,RANK(Table3[[#This Row],[max]],Table3[max],0),"")</f>
        <v>#DIV/0!</v>
      </c>
      <c r="BB1509" s="1096" t="e">
        <f t="shared" si="876"/>
        <v>#DIV/0!</v>
      </c>
      <c r="BC1509" s="1096" t="e">
        <f t="shared" ca="1" si="877"/>
        <v>#DIV/0!</v>
      </c>
      <c r="BD1509" s="1096" t="e">
        <f>IF(Table3[[#This Row],[max]]&gt;0,Table3[[#This Row],[Crop groups and examples of individual products within the groups to which the MRLs apply]],"")</f>
        <v>#DIV/0!</v>
      </c>
    </row>
    <row r="1510" spans="2:56" x14ac:dyDescent="0.2">
      <c r="B1510" s="23">
        <f t="shared" si="881"/>
        <v>850020</v>
      </c>
      <c r="C1510" s="23" t="str">
        <f t="shared" si="881"/>
        <v>Capers</v>
      </c>
      <c r="D1510" s="1084">
        <f>input_values!E310</f>
        <v>0</v>
      </c>
      <c r="E1510" s="1084">
        <f>input_values!F310</f>
        <v>0</v>
      </c>
      <c r="F1510" s="1085">
        <f>input_values!W310</f>
        <v>1</v>
      </c>
      <c r="G1510" s="1085" t="str">
        <f>IF(Table3[[#This Row],[CF]]&gt;0,CONCATENATE(IF(Table3[[#This Row],[LOQ]]="*","LOQ","MRL"),IF(input_values!G310&gt;0,"×CFrisk","")),"")</f>
        <v>MRL</v>
      </c>
      <c r="H1510" s="1087">
        <f>input_values!L310</f>
        <v>0</v>
      </c>
      <c r="I1510" s="1088">
        <f>input_values!D310</f>
        <v>0</v>
      </c>
      <c r="J1510" s="1098" t="e">
        <f>IF($D$1212="",0,$D1510*Table3[[#This Row],[CF]]*chronic_consumption!$E310/1000/$C$3)</f>
        <v>#DIV/0!</v>
      </c>
      <c r="K1510" s="1098" t="e">
        <f>IF($D$1212="",0,$D1510*Table3[[#This Row],[CF]]*chronic_consumption!$F310/1000/$C$3)</f>
        <v>#DIV/0!</v>
      </c>
      <c r="L1510" s="1098" t="e">
        <f>IF($D$1212="",0,$D1510*Table3[[#This Row],[CF]]*chronic_consumption!$G310/1000/$C$3)</f>
        <v>#DIV/0!</v>
      </c>
      <c r="M1510" s="1098" t="e">
        <f>IF($D$1212="",0,$D1510*Table3[[#This Row],[CF]]*chronic_consumption!$H310/1000/$C$3)</f>
        <v>#DIV/0!</v>
      </c>
      <c r="N1510" s="1098" t="e">
        <f>IF($D$1212="",0,$D1510*Table3[[#This Row],[CF]]*chronic_consumption!$I310/1000/$C$3)</f>
        <v>#DIV/0!</v>
      </c>
      <c r="O1510" s="1098" t="e">
        <f>IF($D$1212="",0,$D1510*Table3[[#This Row],[CF]]*chronic_consumption!$J310/1000/$C$3)</f>
        <v>#DIV/0!</v>
      </c>
      <c r="P1510" s="1098" t="e">
        <f>IF($D$1212="",0,$D1510*Table3[[#This Row],[CF]]*chronic_consumption!$K310/1000/$C$3)</f>
        <v>#DIV/0!</v>
      </c>
      <c r="Q1510" s="1098" t="e">
        <f>IF($D$1212="",0,$D1510*Table3[[#This Row],[CF]]*chronic_consumption!$L310/1000/$C$3)</f>
        <v>#DIV/0!</v>
      </c>
      <c r="R1510" s="1098" t="e">
        <f>IF($D$1212="",0,$D1510*Table3[[#This Row],[CF]]*chronic_consumption!$M310/1000/$C$3)</f>
        <v>#DIV/0!</v>
      </c>
      <c r="S1510" s="1098" t="e">
        <f>IF($D$1212="",0,$D1510*Table3[[#This Row],[CF]]*chronic_consumption!$N310/1000/$C$3)</f>
        <v>#DIV/0!</v>
      </c>
      <c r="T1510" s="1098" t="e">
        <f>IF($D$1212="",0,$D1510*Table3[[#This Row],[CF]]*chronic_consumption!$O310/1000/$C$3)</f>
        <v>#DIV/0!</v>
      </c>
      <c r="U1510" s="1098" t="e">
        <f>IF($D$1212="",0,$D1510*Table3[[#This Row],[CF]]*chronic_consumption!$P310/1000/$C$3)</f>
        <v>#DIV/0!</v>
      </c>
      <c r="V1510" s="1098" t="e">
        <f>IF($D$1212="",0,$D1510*Table3[[#This Row],[CF]]*chronic_consumption!$Q310/1000/$C$3)</f>
        <v>#DIV/0!</v>
      </c>
      <c r="W1510" s="1098" t="e">
        <f>IF($D$1212="",0,$D1510*Table3[[#This Row],[CF]]*chronic_consumption!$R310/1000/$C$3)</f>
        <v>#DIV/0!</v>
      </c>
      <c r="X1510" s="1098" t="e">
        <f>IF($D$1212="",0,$D1510*Table3[[#This Row],[CF]]*chronic_consumption!$S310/1000/$C$3)</f>
        <v>#DIV/0!</v>
      </c>
      <c r="Y1510" s="1098" t="e">
        <f>IF($D$1212="",0,$D1510*Table3[[#This Row],[CF]]*chronic_consumption!$T310/1000/$C$3)</f>
        <v>#DIV/0!</v>
      </c>
      <c r="Z1510" s="1098" t="e">
        <f>IF($D$1212="",0,$D1510*Table3[[#This Row],[CF]]*chronic_consumption!$U310/1000/$C$3)</f>
        <v>#DIV/0!</v>
      </c>
      <c r="AA1510" s="1098" t="e">
        <f>IF($D$1212="",0,$D1510*Table3[[#This Row],[CF]]*chronic_consumption!$V310/1000/$C$3)</f>
        <v>#DIV/0!</v>
      </c>
      <c r="AB1510" s="1098" t="e">
        <f>IF($D$1212="",0,$D1510*Table3[[#This Row],[CF]]*chronic_consumption!$W310/1000/$C$3)</f>
        <v>#DIV/0!</v>
      </c>
      <c r="AC1510" s="1098" t="e">
        <f>IF($D$1212="",0,$D1510*Table3[[#This Row],[CF]]*chronic_consumption!$X310/1000/$C$3)</f>
        <v>#DIV/0!</v>
      </c>
      <c r="AD1510" s="1098" t="e">
        <f>IF($D$1212="",0,$D1510*Table3[[#This Row],[CF]]*chronic_consumption!$Y310/1000/$C$3)</f>
        <v>#DIV/0!</v>
      </c>
      <c r="AE1510" s="1098" t="e">
        <f>IF($D$1212="",0,$D1510*Table3[[#This Row],[CF]]*chronic_consumption!$Z310/1000/$C$3)</f>
        <v>#DIV/0!</v>
      </c>
      <c r="AF1510" s="1098" t="e">
        <f>IF($D$1212="",0,$D1510*Table3[[#This Row],[CF]]*chronic_consumption!$AA310/1000/$C$3)</f>
        <v>#DIV/0!</v>
      </c>
      <c r="AG1510" s="1098" t="e">
        <f>IF($D$1212="",0,$D1510*Table3[[#This Row],[CF]]*chronic_consumption!$AB310/1000/$C$3)</f>
        <v>#DIV/0!</v>
      </c>
      <c r="AH1510" s="1098" t="e">
        <f>IF($D$1212="",0,$D1510*Table3[[#This Row],[CF]]*chronic_consumption!$AC310/1000/$C$3)</f>
        <v>#DIV/0!</v>
      </c>
      <c r="AI1510" s="1098" t="e">
        <f>IF($D$1212="",0,$D1510*Table3[[#This Row],[CF]]*chronic_consumption!$AD310/1000/$C$3)</f>
        <v>#DIV/0!</v>
      </c>
      <c r="AJ1510" s="1098" t="e">
        <f>IF($D$1212="",0,$D1510*Table3[[#This Row],[CF]]*chronic_consumption!$AE310/1000/$C$3)</f>
        <v>#DIV/0!</v>
      </c>
      <c r="AK1510" s="1098" t="e">
        <f>IF($D$1212="",0,$D1510*Table3[[#This Row],[CF]]*chronic_consumption!$AF310/1000/$C$3)</f>
        <v>#DIV/0!</v>
      </c>
      <c r="AL1510" s="1098" t="e">
        <f>IF($D$1212="",0,$D1510*Table3[[#This Row],[CF]]*chronic_consumption!$AG310/1000/$C$3)</f>
        <v>#DIV/0!</v>
      </c>
      <c r="AM1510" s="1098" t="e">
        <f>IF($D$1212="",0,$D1510*Table3[[#This Row],[CF]]*chronic_consumption!$AH310/1000/$C$3)</f>
        <v>#DIV/0!</v>
      </c>
      <c r="AN1510" s="1098" t="e">
        <f>IF($D$1212="",0,$D1510*Table3[[#This Row],[CF]]*chronic_consumption!$AI310/1000/$C$3)</f>
        <v>#DIV/0!</v>
      </c>
      <c r="AO1510" s="1098" t="e">
        <f>IF($D$1212="",0,$D1510*Table3[[#This Row],[CF]]*chronic_consumption!$AJ310/1000/$C$3)</f>
        <v>#DIV/0!</v>
      </c>
      <c r="AP1510" s="1098" t="e">
        <f>IF($D$1212="",0,$D1510*Table3[[#This Row],[CF]]*chronic_consumption!$AK310/1000/$C$3)</f>
        <v>#DIV/0!</v>
      </c>
      <c r="AQ1510" s="1098" t="e">
        <f>IF($D$1212="",0,$D1510*Table3[[#This Row],[CF]]*chronic_consumption!$AL310/1000/$C$3)</f>
        <v>#DIV/0!</v>
      </c>
      <c r="AR1510" s="1098" t="e">
        <f>IF($D$1212="",0,$D1510*Table3[[#This Row],[CF]]*chronic_consumption!$AM310/1000/$C$3)</f>
        <v>#DIV/0!</v>
      </c>
      <c r="AS1510" s="1098" t="e">
        <f>IF($D$1212="",0,$D1510*Table3[[#This Row],[CF]]*chronic_consumption!$AN310/1000/$C$3)</f>
        <v>#DIV/0!</v>
      </c>
      <c r="AT1510" s="1098" t="e">
        <f>IF($D$1212="",0,$D1510*Table3[[#This Row],[CF]]*chronic_consumption!$AO310/1000/$C$3)</f>
        <v>#DIV/0!</v>
      </c>
      <c r="AU1510" s="1099" t="e">
        <f t="shared" si="883"/>
        <v>#DIV/0!</v>
      </c>
      <c r="AV1510" s="1099" t="e">
        <f t="shared" si="883"/>
        <v>#DIV/0!</v>
      </c>
      <c r="AW1510" s="1099" t="e">
        <f t="shared" si="883"/>
        <v>#DIV/0!</v>
      </c>
      <c r="AX1510" s="1099" t="e">
        <f t="shared" si="883"/>
        <v>#DIV/0!</v>
      </c>
      <c r="AY1510" s="1099" t="e">
        <f t="shared" si="883"/>
        <v>#DIV/0!</v>
      </c>
      <c r="AZ1510" s="1091" t="s">
        <v>1012</v>
      </c>
      <c r="BA1510" s="1097" t="e">
        <f>IF(Table3[[#This Row],[max]]&lt;&gt;0,RANK(Table3[[#This Row],[max]],Table3[max],0),"")</f>
        <v>#DIV/0!</v>
      </c>
      <c r="BB1510" s="1096" t="e">
        <f t="shared" si="876"/>
        <v>#DIV/0!</v>
      </c>
      <c r="BC1510" s="1096" t="e">
        <f t="shared" ca="1" si="877"/>
        <v>#DIV/0!</v>
      </c>
      <c r="BD1510" s="1096" t="e">
        <f>IF(Table3[[#This Row],[max]]&gt;0,Table3[[#This Row],[Crop groups and examples of individual products within the groups to which the MRLs apply]],"")</f>
        <v>#DIV/0!</v>
      </c>
    </row>
    <row r="1511" spans="2:56" x14ac:dyDescent="0.2">
      <c r="B1511" s="23">
        <f t="shared" si="881"/>
        <v>850990</v>
      </c>
      <c r="C1511" s="23" t="str">
        <f t="shared" si="881"/>
        <v>Other spices (buds)</v>
      </c>
      <c r="D1511" s="1084">
        <f>input_values!E311</f>
        <v>0</v>
      </c>
      <c r="E1511" s="1084">
        <f>input_values!F311</f>
        <v>0</v>
      </c>
      <c r="F1511" s="1085">
        <f>input_values!W311</f>
        <v>1</v>
      </c>
      <c r="G1511" s="1085" t="str">
        <f>IF(Table3[[#This Row],[CF]]&gt;0,CONCATENATE(IF(Table3[[#This Row],[LOQ]]="*","LOQ","MRL"),IF(input_values!G311&gt;0,"×CFrisk","")),"")</f>
        <v>MRL</v>
      </c>
      <c r="H1511" s="1087">
        <f>input_values!L311</f>
        <v>0</v>
      </c>
      <c r="I1511" s="1088">
        <f>input_values!D311</f>
        <v>0</v>
      </c>
      <c r="J1511" s="1098" t="e">
        <f>IF($D$1212="",0,$D1511*Table3[[#This Row],[CF]]*chronic_consumption!$E311/1000/$C$3)</f>
        <v>#DIV/0!</v>
      </c>
      <c r="K1511" s="1098" t="e">
        <f>IF($D$1212="",0,$D1511*Table3[[#This Row],[CF]]*chronic_consumption!$F311/1000/$C$3)</f>
        <v>#DIV/0!</v>
      </c>
      <c r="L1511" s="1098" t="e">
        <f>IF($D$1212="",0,$D1511*Table3[[#This Row],[CF]]*chronic_consumption!$G311/1000/$C$3)</f>
        <v>#DIV/0!</v>
      </c>
      <c r="M1511" s="1098" t="e">
        <f>IF($D$1212="",0,$D1511*Table3[[#This Row],[CF]]*chronic_consumption!$H311/1000/$C$3)</f>
        <v>#DIV/0!</v>
      </c>
      <c r="N1511" s="1098" t="e">
        <f>IF($D$1212="",0,$D1511*Table3[[#This Row],[CF]]*chronic_consumption!$I311/1000/$C$3)</f>
        <v>#DIV/0!</v>
      </c>
      <c r="O1511" s="1098" t="e">
        <f>IF($D$1212="",0,$D1511*Table3[[#This Row],[CF]]*chronic_consumption!$J311/1000/$C$3)</f>
        <v>#DIV/0!</v>
      </c>
      <c r="P1511" s="1098" t="e">
        <f>IF($D$1212="",0,$D1511*Table3[[#This Row],[CF]]*chronic_consumption!$K311/1000/$C$3)</f>
        <v>#DIV/0!</v>
      </c>
      <c r="Q1511" s="1098" t="e">
        <f>IF($D$1212="",0,$D1511*Table3[[#This Row],[CF]]*chronic_consumption!$L311/1000/$C$3)</f>
        <v>#DIV/0!</v>
      </c>
      <c r="R1511" s="1098" t="e">
        <f>IF($D$1212="",0,$D1511*Table3[[#This Row],[CF]]*chronic_consumption!$M311/1000/$C$3)</f>
        <v>#DIV/0!</v>
      </c>
      <c r="S1511" s="1098" t="e">
        <f>IF($D$1212="",0,$D1511*Table3[[#This Row],[CF]]*chronic_consumption!$N311/1000/$C$3)</f>
        <v>#DIV/0!</v>
      </c>
      <c r="T1511" s="1098" t="e">
        <f>IF($D$1212="",0,$D1511*Table3[[#This Row],[CF]]*chronic_consumption!$O311/1000/$C$3)</f>
        <v>#DIV/0!</v>
      </c>
      <c r="U1511" s="1098" t="e">
        <f>IF($D$1212="",0,$D1511*Table3[[#This Row],[CF]]*chronic_consumption!$P311/1000/$C$3)</f>
        <v>#DIV/0!</v>
      </c>
      <c r="V1511" s="1098" t="e">
        <f>IF($D$1212="",0,$D1511*Table3[[#This Row],[CF]]*chronic_consumption!$Q311/1000/$C$3)</f>
        <v>#DIV/0!</v>
      </c>
      <c r="W1511" s="1098" t="e">
        <f>IF($D$1212="",0,$D1511*Table3[[#This Row],[CF]]*chronic_consumption!$R311/1000/$C$3)</f>
        <v>#DIV/0!</v>
      </c>
      <c r="X1511" s="1098" t="e">
        <f>IF($D$1212="",0,$D1511*Table3[[#This Row],[CF]]*chronic_consumption!$S311/1000/$C$3)</f>
        <v>#DIV/0!</v>
      </c>
      <c r="Y1511" s="1098" t="e">
        <f>IF($D$1212="",0,$D1511*Table3[[#This Row],[CF]]*chronic_consumption!$T311/1000/$C$3)</f>
        <v>#DIV/0!</v>
      </c>
      <c r="Z1511" s="1098" t="e">
        <f>IF($D$1212="",0,$D1511*Table3[[#This Row],[CF]]*chronic_consumption!$U311/1000/$C$3)</f>
        <v>#DIV/0!</v>
      </c>
      <c r="AA1511" s="1098" t="e">
        <f>IF($D$1212="",0,$D1511*Table3[[#This Row],[CF]]*chronic_consumption!$V311/1000/$C$3)</f>
        <v>#DIV/0!</v>
      </c>
      <c r="AB1511" s="1098" t="e">
        <f>IF($D$1212="",0,$D1511*Table3[[#This Row],[CF]]*chronic_consumption!$W311/1000/$C$3)</f>
        <v>#DIV/0!</v>
      </c>
      <c r="AC1511" s="1098" t="e">
        <f>IF($D$1212="",0,$D1511*Table3[[#This Row],[CF]]*chronic_consumption!$X311/1000/$C$3)</f>
        <v>#DIV/0!</v>
      </c>
      <c r="AD1511" s="1098" t="e">
        <f>IF($D$1212="",0,$D1511*Table3[[#This Row],[CF]]*chronic_consumption!$Y311/1000/$C$3)</f>
        <v>#DIV/0!</v>
      </c>
      <c r="AE1511" s="1098" t="e">
        <f>IF($D$1212="",0,$D1511*Table3[[#This Row],[CF]]*chronic_consumption!$Z311/1000/$C$3)</f>
        <v>#DIV/0!</v>
      </c>
      <c r="AF1511" s="1098" t="e">
        <f>IF($D$1212="",0,$D1511*Table3[[#This Row],[CF]]*chronic_consumption!$AA311/1000/$C$3)</f>
        <v>#DIV/0!</v>
      </c>
      <c r="AG1511" s="1098" t="e">
        <f>IF($D$1212="",0,$D1511*Table3[[#This Row],[CF]]*chronic_consumption!$AB311/1000/$C$3)</f>
        <v>#DIV/0!</v>
      </c>
      <c r="AH1511" s="1098" t="e">
        <f>IF($D$1212="",0,$D1511*Table3[[#This Row],[CF]]*chronic_consumption!$AC311/1000/$C$3)</f>
        <v>#DIV/0!</v>
      </c>
      <c r="AI1511" s="1098" t="e">
        <f>IF($D$1212="",0,$D1511*Table3[[#This Row],[CF]]*chronic_consumption!$AD311/1000/$C$3)</f>
        <v>#DIV/0!</v>
      </c>
      <c r="AJ1511" s="1098" t="e">
        <f>IF($D$1212="",0,$D1511*Table3[[#This Row],[CF]]*chronic_consumption!$AE311/1000/$C$3)</f>
        <v>#DIV/0!</v>
      </c>
      <c r="AK1511" s="1098" t="e">
        <f>IF($D$1212="",0,$D1511*Table3[[#This Row],[CF]]*chronic_consumption!$AF311/1000/$C$3)</f>
        <v>#DIV/0!</v>
      </c>
      <c r="AL1511" s="1098" t="e">
        <f>IF($D$1212="",0,$D1511*Table3[[#This Row],[CF]]*chronic_consumption!$AG311/1000/$C$3)</f>
        <v>#DIV/0!</v>
      </c>
      <c r="AM1511" s="1098" t="e">
        <f>IF($D$1212="",0,$D1511*Table3[[#This Row],[CF]]*chronic_consumption!$AH311/1000/$C$3)</f>
        <v>#DIV/0!</v>
      </c>
      <c r="AN1511" s="1098" t="e">
        <f>IF($D$1212="",0,$D1511*Table3[[#This Row],[CF]]*chronic_consumption!$AI311/1000/$C$3)</f>
        <v>#DIV/0!</v>
      </c>
      <c r="AO1511" s="1098" t="e">
        <f>IF($D$1212="",0,$D1511*Table3[[#This Row],[CF]]*chronic_consumption!$AJ311/1000/$C$3)</f>
        <v>#DIV/0!</v>
      </c>
      <c r="AP1511" s="1098" t="e">
        <f>IF($D$1212="",0,$D1511*Table3[[#This Row],[CF]]*chronic_consumption!$AK311/1000/$C$3)</f>
        <v>#DIV/0!</v>
      </c>
      <c r="AQ1511" s="1098" t="e">
        <f>IF($D$1212="",0,$D1511*Table3[[#This Row],[CF]]*chronic_consumption!$AL311/1000/$C$3)</f>
        <v>#DIV/0!</v>
      </c>
      <c r="AR1511" s="1098" t="e">
        <f>IF($D$1212="",0,$D1511*Table3[[#This Row],[CF]]*chronic_consumption!$AM311/1000/$C$3)</f>
        <v>#DIV/0!</v>
      </c>
      <c r="AS1511" s="1098" t="e">
        <f>IF($D$1212="",0,$D1511*Table3[[#This Row],[CF]]*chronic_consumption!$AN311/1000/$C$3)</f>
        <v>#DIV/0!</v>
      </c>
      <c r="AT1511" s="1098" t="e">
        <f>IF($D$1212="",0,$D1511*Table3[[#This Row],[CF]]*chronic_consumption!$AO311/1000/$C$3)</f>
        <v>#DIV/0!</v>
      </c>
      <c r="AU1511" s="1099" t="e">
        <f t="shared" si="883"/>
        <v>#DIV/0!</v>
      </c>
      <c r="AV1511" s="1099" t="e">
        <f t="shared" si="883"/>
        <v>#DIV/0!</v>
      </c>
      <c r="AW1511" s="1099" t="e">
        <f t="shared" si="883"/>
        <v>#DIV/0!</v>
      </c>
      <c r="AX1511" s="1099" t="e">
        <f t="shared" si="883"/>
        <v>#DIV/0!</v>
      </c>
      <c r="AY1511" s="1099" t="e">
        <f t="shared" si="883"/>
        <v>#DIV/0!</v>
      </c>
      <c r="AZ1511" s="1091" t="s">
        <v>1012</v>
      </c>
      <c r="BA1511" s="1097" t="e">
        <f>IF(Table3[[#This Row],[max]]&lt;&gt;0,RANK(Table3[[#This Row],[max]],Table3[max],0),"")</f>
        <v>#DIV/0!</v>
      </c>
      <c r="BB1511" s="1096" t="e">
        <f t="shared" si="876"/>
        <v>#DIV/0!</v>
      </c>
      <c r="BC1511" s="1096" t="e">
        <f t="shared" ca="1" si="877"/>
        <v>#DIV/0!</v>
      </c>
      <c r="BD1511" s="1096" t="e">
        <f>IF(Table3[[#This Row],[max]]&gt;0,Table3[[#This Row],[Crop groups and examples of individual products within the groups to which the MRLs apply]],"")</f>
        <v>#DIV/0!</v>
      </c>
    </row>
    <row r="1512" spans="2:56" x14ac:dyDescent="0.2">
      <c r="B1512" s="131">
        <f t="shared" ref="B1512:C1531" si="884">B312</f>
        <v>860000</v>
      </c>
      <c r="C1512" s="131" t="str">
        <f t="shared" si="884"/>
        <v>Spices (flower stigma)</v>
      </c>
      <c r="D1512" s="1084">
        <f>input_values!E312</f>
        <v>0</v>
      </c>
      <c r="E1512" s="1084">
        <f>input_values!F312</f>
        <v>0</v>
      </c>
      <c r="F1512" s="1085">
        <f>input_values!W312</f>
        <v>0</v>
      </c>
      <c r="G1512" s="1085" t="str">
        <f>IF(Table3[[#This Row],[CF]]&gt;0,CONCATENATE(IF(Table3[[#This Row],[LOQ]]="*","LOQ","MRL"),IF(input_values!G312&gt;0,"×CFrisk","")),"")</f>
        <v/>
      </c>
      <c r="H1512" s="1087">
        <f>input_values!L312</f>
        <v>0</v>
      </c>
      <c r="I1512" s="1088">
        <f>input_values!D312</f>
        <v>0</v>
      </c>
      <c r="J1512" s="1095" t="e">
        <f>IF($D$1212="",0,$D1512*Table3[[#This Row],[CF]]*chronic_consumption!$E312/1000/$C$3)</f>
        <v>#DIV/0!</v>
      </c>
      <c r="K1512" s="1095" t="e">
        <f>IF($D$1212="",0,$D1512*Table3[[#This Row],[CF]]*chronic_consumption!$F312/1000/$C$3)</f>
        <v>#DIV/0!</v>
      </c>
      <c r="L1512" s="1095" t="e">
        <f>IF($D$1212="",0,$D1512*Table3[[#This Row],[CF]]*chronic_consumption!$G312/1000/$C$3)</f>
        <v>#DIV/0!</v>
      </c>
      <c r="M1512" s="1095" t="e">
        <f>IF($D$1212="",0,$D1512*Table3[[#This Row],[CF]]*chronic_consumption!$H312/1000/$C$3)</f>
        <v>#DIV/0!</v>
      </c>
      <c r="N1512" s="1095" t="e">
        <f>IF($D$1212="",0,$D1512*Table3[[#This Row],[CF]]*chronic_consumption!$I312/1000/$C$3)</f>
        <v>#DIV/0!</v>
      </c>
      <c r="O1512" s="1095" t="e">
        <f>IF($D$1212="",0,$D1512*Table3[[#This Row],[CF]]*chronic_consumption!$J312/1000/$C$3)</f>
        <v>#DIV/0!</v>
      </c>
      <c r="P1512" s="1095" t="e">
        <f>IF($D$1212="",0,$D1512*Table3[[#This Row],[CF]]*chronic_consumption!$K312/1000/$C$3)</f>
        <v>#DIV/0!</v>
      </c>
      <c r="Q1512" s="1095" t="e">
        <f>IF($D$1212="",0,$D1512*Table3[[#This Row],[CF]]*chronic_consumption!$L312/1000/$C$3)</f>
        <v>#DIV/0!</v>
      </c>
      <c r="R1512" s="1095" t="e">
        <f>IF($D$1212="",0,$D1512*Table3[[#This Row],[CF]]*chronic_consumption!$M312/1000/$C$3)</f>
        <v>#DIV/0!</v>
      </c>
      <c r="S1512" s="1095" t="e">
        <f>IF($D$1212="",0,$D1512*Table3[[#This Row],[CF]]*chronic_consumption!$N312/1000/$C$3)</f>
        <v>#DIV/0!</v>
      </c>
      <c r="T1512" s="1095" t="e">
        <f>IF($D$1212="",0,$D1512*Table3[[#This Row],[CF]]*chronic_consumption!$O312/1000/$C$3)</f>
        <v>#DIV/0!</v>
      </c>
      <c r="U1512" s="1095" t="e">
        <f>IF($D$1212="",0,$D1512*Table3[[#This Row],[CF]]*chronic_consumption!$P312/1000/$C$3)</f>
        <v>#DIV/0!</v>
      </c>
      <c r="V1512" s="1095" t="e">
        <f>IF($D$1212="",0,$D1512*Table3[[#This Row],[CF]]*chronic_consumption!$Q312/1000/$C$3)</f>
        <v>#DIV/0!</v>
      </c>
      <c r="W1512" s="1095" t="e">
        <f>IF($D$1212="",0,$D1512*Table3[[#This Row],[CF]]*chronic_consumption!$R312/1000/$C$3)</f>
        <v>#DIV/0!</v>
      </c>
      <c r="X1512" s="1095" t="e">
        <f>IF($D$1212="",0,$D1512*Table3[[#This Row],[CF]]*chronic_consumption!$S312/1000/$C$3)</f>
        <v>#DIV/0!</v>
      </c>
      <c r="Y1512" s="1095" t="e">
        <f>IF($D$1212="",0,$D1512*Table3[[#This Row],[CF]]*chronic_consumption!$T312/1000/$C$3)</f>
        <v>#DIV/0!</v>
      </c>
      <c r="Z1512" s="1095" t="e">
        <f>IF($D$1212="",0,$D1512*Table3[[#This Row],[CF]]*chronic_consumption!$U312/1000/$C$3)</f>
        <v>#DIV/0!</v>
      </c>
      <c r="AA1512" s="1095" t="e">
        <f>IF($D$1212="",0,$D1512*Table3[[#This Row],[CF]]*chronic_consumption!$V312/1000/$C$3)</f>
        <v>#DIV/0!</v>
      </c>
      <c r="AB1512" s="1095" t="e">
        <f>IF($D$1212="",0,$D1512*Table3[[#This Row],[CF]]*chronic_consumption!$W312/1000/$C$3)</f>
        <v>#DIV/0!</v>
      </c>
      <c r="AC1512" s="1095" t="e">
        <f>IF($D$1212="",0,$D1512*Table3[[#This Row],[CF]]*chronic_consumption!$X312/1000/$C$3)</f>
        <v>#DIV/0!</v>
      </c>
      <c r="AD1512" s="1095" t="e">
        <f>IF($D$1212="",0,$D1512*Table3[[#This Row],[CF]]*chronic_consumption!$Y312/1000/$C$3)</f>
        <v>#DIV/0!</v>
      </c>
      <c r="AE1512" s="1095" t="e">
        <f>IF($D$1212="",0,$D1512*Table3[[#This Row],[CF]]*chronic_consumption!$Z312/1000/$C$3)</f>
        <v>#DIV/0!</v>
      </c>
      <c r="AF1512" s="1095" t="e">
        <f>IF($D$1212="",0,$D1512*Table3[[#This Row],[CF]]*chronic_consumption!$AA312/1000/$C$3)</f>
        <v>#DIV/0!</v>
      </c>
      <c r="AG1512" s="1095" t="e">
        <f>IF($D$1212="",0,$D1512*Table3[[#This Row],[CF]]*chronic_consumption!$AB312/1000/$C$3)</f>
        <v>#DIV/0!</v>
      </c>
      <c r="AH1512" s="1095" t="e">
        <f>IF($D$1212="",0,$D1512*Table3[[#This Row],[CF]]*chronic_consumption!$AC312/1000/$C$3)</f>
        <v>#DIV/0!</v>
      </c>
      <c r="AI1512" s="1095" t="e">
        <f>IF($D$1212="",0,$D1512*Table3[[#This Row],[CF]]*chronic_consumption!$AD312/1000/$C$3)</f>
        <v>#DIV/0!</v>
      </c>
      <c r="AJ1512" s="1095" t="e">
        <f>IF($D$1212="",0,$D1512*Table3[[#This Row],[CF]]*chronic_consumption!$AE312/1000/$C$3)</f>
        <v>#DIV/0!</v>
      </c>
      <c r="AK1512" s="1095" t="e">
        <f>IF($D$1212="",0,$D1512*Table3[[#This Row],[CF]]*chronic_consumption!$AF312/1000/$C$3)</f>
        <v>#DIV/0!</v>
      </c>
      <c r="AL1512" s="1095" t="e">
        <f>IF($D$1212="",0,$D1512*Table3[[#This Row],[CF]]*chronic_consumption!$AG312/1000/$C$3)</f>
        <v>#DIV/0!</v>
      </c>
      <c r="AM1512" s="1095" t="e">
        <f>IF($D$1212="",0,$D1512*Table3[[#This Row],[CF]]*chronic_consumption!$AH312/1000/$C$3)</f>
        <v>#DIV/0!</v>
      </c>
      <c r="AN1512" s="1095" t="e">
        <f>IF($D$1212="",0,$D1512*Table3[[#This Row],[CF]]*chronic_consumption!$AI312/1000/$C$3)</f>
        <v>#DIV/0!</v>
      </c>
      <c r="AO1512" s="1095" t="e">
        <f>IF($D$1212="",0,$D1512*Table3[[#This Row],[CF]]*chronic_consumption!$AJ312/1000/$C$3)</f>
        <v>#DIV/0!</v>
      </c>
      <c r="AP1512" s="1095" t="e">
        <f>IF($D$1212="",0,$D1512*Table3[[#This Row],[CF]]*chronic_consumption!$AK312/1000/$C$3)</f>
        <v>#DIV/0!</v>
      </c>
      <c r="AQ1512" s="1095" t="e">
        <f>IF($D$1212="",0,$D1512*Table3[[#This Row],[CF]]*chronic_consumption!$AL312/1000/$C$3)</f>
        <v>#DIV/0!</v>
      </c>
      <c r="AR1512" s="1095" t="e">
        <f>IF($D$1212="",0,$D1512*Table3[[#This Row],[CF]]*chronic_consumption!$AM312/1000/$C$3)</f>
        <v>#DIV/0!</v>
      </c>
      <c r="AS1512" s="1095" t="e">
        <f>IF($D$1212="",0,$D1512*Table3[[#This Row],[CF]]*chronic_consumption!$AN312/1000/$C$3)</f>
        <v>#DIV/0!</v>
      </c>
      <c r="AT1512" s="1095" t="e">
        <f>IF($D$1212="",0,$D1512*Table3[[#This Row],[CF]]*chronic_consumption!$AO312/1000/$C$3)</f>
        <v>#DIV/0!</v>
      </c>
      <c r="AU1512" s="1096" t="e">
        <f t="shared" ref="AU1512:AY1521" si="885">IF(AU712="",0,IF(OR(1=RANK(AU1112,AU$412:AU$790,0),(2=RANK(AU1112,AU$412:AU$790,0))),AU1112,AU712))</f>
        <v>#DIV/0!</v>
      </c>
      <c r="AV1512" s="1096" t="e">
        <f t="shared" si="885"/>
        <v>#DIV/0!</v>
      </c>
      <c r="AW1512" s="1096" t="e">
        <f t="shared" si="885"/>
        <v>#DIV/0!</v>
      </c>
      <c r="AX1512" s="1096" t="e">
        <f t="shared" si="885"/>
        <v>#DIV/0!</v>
      </c>
      <c r="AY1512" s="1096" t="e">
        <f t="shared" si="885"/>
        <v>#DIV/0!</v>
      </c>
      <c r="AZ1512" s="1091" t="s">
        <v>1012</v>
      </c>
      <c r="BA1512" s="1097" t="e">
        <f>IF(Table3[[#This Row],[max]]&lt;&gt;0,RANK(Table3[[#This Row],[max]],Table3[max],0),"")</f>
        <v>#DIV/0!</v>
      </c>
      <c r="BB1512" s="1096" t="e">
        <f t="shared" si="876"/>
        <v>#DIV/0!</v>
      </c>
      <c r="BC1512" s="1096" t="e">
        <f t="shared" ca="1" si="877"/>
        <v>#DIV/0!</v>
      </c>
      <c r="BD1512" s="1096" t="e">
        <f>IF(Table3[[#This Row],[max]]&gt;0,Table3[[#This Row],[Crop groups and examples of individual products within the groups to which the MRLs apply]],"")</f>
        <v>#DIV/0!</v>
      </c>
    </row>
    <row r="1513" spans="2:56" x14ac:dyDescent="0.2">
      <c r="B1513" s="23">
        <f t="shared" si="884"/>
        <v>860010</v>
      </c>
      <c r="C1513" s="23" t="str">
        <f t="shared" si="884"/>
        <v xml:space="preserve">Saffron </v>
      </c>
      <c r="D1513" s="1084">
        <f>input_values!E313</f>
        <v>0</v>
      </c>
      <c r="E1513" s="1084">
        <f>input_values!F313</f>
        <v>0</v>
      </c>
      <c r="F1513" s="1085">
        <f>input_values!W313</f>
        <v>1</v>
      </c>
      <c r="G1513" s="1085" t="str">
        <f>IF(Table3[[#This Row],[CF]]&gt;0,CONCATENATE(IF(Table3[[#This Row],[LOQ]]="*","LOQ","MRL"),IF(input_values!G313&gt;0,"×CFrisk","")),"")</f>
        <v>MRL</v>
      </c>
      <c r="H1513" s="1087">
        <f>input_values!L313</f>
        <v>0</v>
      </c>
      <c r="I1513" s="1088">
        <f>input_values!D313</f>
        <v>0</v>
      </c>
      <c r="J1513" s="1098" t="e">
        <f>IF($D$1212="",0,$D1513*Table3[[#This Row],[CF]]*chronic_consumption!$E313/1000/$C$3)</f>
        <v>#DIV/0!</v>
      </c>
      <c r="K1513" s="1098" t="e">
        <f>IF($D$1212="",0,$D1513*Table3[[#This Row],[CF]]*chronic_consumption!$F313/1000/$C$3)</f>
        <v>#DIV/0!</v>
      </c>
      <c r="L1513" s="1098" t="e">
        <f>IF($D$1212="",0,$D1513*Table3[[#This Row],[CF]]*chronic_consumption!$G313/1000/$C$3)</f>
        <v>#DIV/0!</v>
      </c>
      <c r="M1513" s="1098" t="e">
        <f>IF($D$1212="",0,$D1513*Table3[[#This Row],[CF]]*chronic_consumption!$H313/1000/$C$3)</f>
        <v>#DIV/0!</v>
      </c>
      <c r="N1513" s="1098" t="e">
        <f>IF($D$1212="",0,$D1513*Table3[[#This Row],[CF]]*chronic_consumption!$I313/1000/$C$3)</f>
        <v>#DIV/0!</v>
      </c>
      <c r="O1513" s="1098" t="e">
        <f>IF($D$1212="",0,$D1513*Table3[[#This Row],[CF]]*chronic_consumption!$J313/1000/$C$3)</f>
        <v>#DIV/0!</v>
      </c>
      <c r="P1513" s="1098" t="e">
        <f>IF($D$1212="",0,$D1513*Table3[[#This Row],[CF]]*chronic_consumption!$K313/1000/$C$3)</f>
        <v>#DIV/0!</v>
      </c>
      <c r="Q1513" s="1098" t="e">
        <f>IF($D$1212="",0,$D1513*Table3[[#This Row],[CF]]*chronic_consumption!$L313/1000/$C$3)</f>
        <v>#DIV/0!</v>
      </c>
      <c r="R1513" s="1098" t="e">
        <f>IF($D$1212="",0,$D1513*Table3[[#This Row],[CF]]*chronic_consumption!$M313/1000/$C$3)</f>
        <v>#DIV/0!</v>
      </c>
      <c r="S1513" s="1098" t="e">
        <f>IF($D$1212="",0,$D1513*Table3[[#This Row],[CF]]*chronic_consumption!$N313/1000/$C$3)</f>
        <v>#DIV/0!</v>
      </c>
      <c r="T1513" s="1098" t="e">
        <f>IF($D$1212="",0,$D1513*Table3[[#This Row],[CF]]*chronic_consumption!$O313/1000/$C$3)</f>
        <v>#DIV/0!</v>
      </c>
      <c r="U1513" s="1098" t="e">
        <f>IF($D$1212="",0,$D1513*Table3[[#This Row],[CF]]*chronic_consumption!$P313/1000/$C$3)</f>
        <v>#DIV/0!</v>
      </c>
      <c r="V1513" s="1098" t="e">
        <f>IF($D$1212="",0,$D1513*Table3[[#This Row],[CF]]*chronic_consumption!$Q313/1000/$C$3)</f>
        <v>#DIV/0!</v>
      </c>
      <c r="W1513" s="1098" t="e">
        <f>IF($D$1212="",0,$D1513*Table3[[#This Row],[CF]]*chronic_consumption!$R313/1000/$C$3)</f>
        <v>#DIV/0!</v>
      </c>
      <c r="X1513" s="1098" t="e">
        <f>IF($D$1212="",0,$D1513*Table3[[#This Row],[CF]]*chronic_consumption!$S313/1000/$C$3)</f>
        <v>#DIV/0!</v>
      </c>
      <c r="Y1513" s="1098" t="e">
        <f>IF($D$1212="",0,$D1513*Table3[[#This Row],[CF]]*chronic_consumption!$T313/1000/$C$3)</f>
        <v>#DIV/0!</v>
      </c>
      <c r="Z1513" s="1098" t="e">
        <f>IF($D$1212="",0,$D1513*Table3[[#This Row],[CF]]*chronic_consumption!$U313/1000/$C$3)</f>
        <v>#DIV/0!</v>
      </c>
      <c r="AA1513" s="1098" t="e">
        <f>IF($D$1212="",0,$D1513*Table3[[#This Row],[CF]]*chronic_consumption!$V313/1000/$C$3)</f>
        <v>#DIV/0!</v>
      </c>
      <c r="AB1513" s="1098" t="e">
        <f>IF($D$1212="",0,$D1513*Table3[[#This Row],[CF]]*chronic_consumption!$W313/1000/$C$3)</f>
        <v>#DIV/0!</v>
      </c>
      <c r="AC1513" s="1098" t="e">
        <f>IF($D$1212="",0,$D1513*Table3[[#This Row],[CF]]*chronic_consumption!$X313/1000/$C$3)</f>
        <v>#DIV/0!</v>
      </c>
      <c r="AD1513" s="1098" t="e">
        <f>IF($D$1212="",0,$D1513*Table3[[#This Row],[CF]]*chronic_consumption!$Y313/1000/$C$3)</f>
        <v>#DIV/0!</v>
      </c>
      <c r="AE1513" s="1098" t="e">
        <f>IF($D$1212="",0,$D1513*Table3[[#This Row],[CF]]*chronic_consumption!$Z313/1000/$C$3)</f>
        <v>#DIV/0!</v>
      </c>
      <c r="AF1513" s="1098" t="e">
        <f>IF($D$1212="",0,$D1513*Table3[[#This Row],[CF]]*chronic_consumption!$AA313/1000/$C$3)</f>
        <v>#DIV/0!</v>
      </c>
      <c r="AG1513" s="1098" t="e">
        <f>IF($D$1212="",0,$D1513*Table3[[#This Row],[CF]]*chronic_consumption!$AB313/1000/$C$3)</f>
        <v>#DIV/0!</v>
      </c>
      <c r="AH1513" s="1098" t="e">
        <f>IF($D$1212="",0,$D1513*Table3[[#This Row],[CF]]*chronic_consumption!$AC313/1000/$C$3)</f>
        <v>#DIV/0!</v>
      </c>
      <c r="AI1513" s="1098" t="e">
        <f>IF($D$1212="",0,$D1513*Table3[[#This Row],[CF]]*chronic_consumption!$AD313/1000/$C$3)</f>
        <v>#DIV/0!</v>
      </c>
      <c r="AJ1513" s="1098" t="e">
        <f>IF($D$1212="",0,$D1513*Table3[[#This Row],[CF]]*chronic_consumption!$AE313/1000/$C$3)</f>
        <v>#DIV/0!</v>
      </c>
      <c r="AK1513" s="1098" t="e">
        <f>IF($D$1212="",0,$D1513*Table3[[#This Row],[CF]]*chronic_consumption!$AF313/1000/$C$3)</f>
        <v>#DIV/0!</v>
      </c>
      <c r="AL1513" s="1098" t="e">
        <f>IF($D$1212="",0,$D1513*Table3[[#This Row],[CF]]*chronic_consumption!$AG313/1000/$C$3)</f>
        <v>#DIV/0!</v>
      </c>
      <c r="AM1513" s="1098" t="e">
        <f>IF($D$1212="",0,$D1513*Table3[[#This Row],[CF]]*chronic_consumption!$AH313/1000/$C$3)</f>
        <v>#DIV/0!</v>
      </c>
      <c r="AN1513" s="1098" t="e">
        <f>IF($D$1212="",0,$D1513*Table3[[#This Row],[CF]]*chronic_consumption!$AI313/1000/$C$3)</f>
        <v>#DIV/0!</v>
      </c>
      <c r="AO1513" s="1098" t="e">
        <f>IF($D$1212="",0,$D1513*Table3[[#This Row],[CF]]*chronic_consumption!$AJ313/1000/$C$3)</f>
        <v>#DIV/0!</v>
      </c>
      <c r="AP1513" s="1098" t="e">
        <f>IF($D$1212="",0,$D1513*Table3[[#This Row],[CF]]*chronic_consumption!$AK313/1000/$C$3)</f>
        <v>#DIV/0!</v>
      </c>
      <c r="AQ1513" s="1098" t="e">
        <f>IF($D$1212="",0,$D1513*Table3[[#This Row],[CF]]*chronic_consumption!$AL313/1000/$C$3)</f>
        <v>#DIV/0!</v>
      </c>
      <c r="AR1513" s="1098" t="e">
        <f>IF($D$1212="",0,$D1513*Table3[[#This Row],[CF]]*chronic_consumption!$AM313/1000/$C$3)</f>
        <v>#DIV/0!</v>
      </c>
      <c r="AS1513" s="1098" t="e">
        <f>IF($D$1212="",0,$D1513*Table3[[#This Row],[CF]]*chronic_consumption!$AN313/1000/$C$3)</f>
        <v>#DIV/0!</v>
      </c>
      <c r="AT1513" s="1098" t="e">
        <f>IF($D$1212="",0,$D1513*Table3[[#This Row],[CF]]*chronic_consumption!$AO313/1000/$C$3)</f>
        <v>#DIV/0!</v>
      </c>
      <c r="AU1513" s="1099" t="e">
        <f t="shared" si="885"/>
        <v>#DIV/0!</v>
      </c>
      <c r="AV1513" s="1099" t="e">
        <f t="shared" si="885"/>
        <v>#DIV/0!</v>
      </c>
      <c r="AW1513" s="1099" t="e">
        <f t="shared" si="885"/>
        <v>#DIV/0!</v>
      </c>
      <c r="AX1513" s="1099" t="e">
        <f t="shared" si="885"/>
        <v>#DIV/0!</v>
      </c>
      <c r="AY1513" s="1099" t="e">
        <f t="shared" si="885"/>
        <v>#DIV/0!</v>
      </c>
      <c r="AZ1513" s="1091" t="s">
        <v>1012</v>
      </c>
      <c r="BA1513" s="1097" t="e">
        <f>IF(Table3[[#This Row],[max]]&lt;&gt;0,RANK(Table3[[#This Row],[max]],Table3[max],0),"")</f>
        <v>#DIV/0!</v>
      </c>
      <c r="BB1513" s="1096" t="e">
        <f t="shared" si="876"/>
        <v>#DIV/0!</v>
      </c>
      <c r="BC1513" s="1096" t="e">
        <f t="shared" ca="1" si="877"/>
        <v>#DIV/0!</v>
      </c>
      <c r="BD1513" s="1096" t="e">
        <f>IF(Table3[[#This Row],[max]]&gt;0,Table3[[#This Row],[Crop groups and examples of individual products within the groups to which the MRLs apply]],"")</f>
        <v>#DIV/0!</v>
      </c>
    </row>
    <row r="1514" spans="2:56" x14ac:dyDescent="0.2">
      <c r="B1514" s="23">
        <f t="shared" si="884"/>
        <v>860990</v>
      </c>
      <c r="C1514" s="23" t="str">
        <f t="shared" si="884"/>
        <v>Other spices (flower stigma)</v>
      </c>
      <c r="D1514" s="1084">
        <f>input_values!E314</f>
        <v>0</v>
      </c>
      <c r="E1514" s="1084">
        <f>input_values!F314</f>
        <v>0</v>
      </c>
      <c r="F1514" s="1085">
        <f>input_values!W314</f>
        <v>1</v>
      </c>
      <c r="G1514" s="1085" t="str">
        <f>IF(Table3[[#This Row],[CF]]&gt;0,CONCATENATE(IF(Table3[[#This Row],[LOQ]]="*","LOQ","MRL"),IF(input_values!G314&gt;0,"×CFrisk","")),"")</f>
        <v>MRL</v>
      </c>
      <c r="H1514" s="1087">
        <f>input_values!L314</f>
        <v>0</v>
      </c>
      <c r="I1514" s="1088">
        <f>input_values!D314</f>
        <v>0</v>
      </c>
      <c r="J1514" s="1098" t="e">
        <f>IF($D$1212="",0,$D1514*Table3[[#This Row],[CF]]*chronic_consumption!$E314/1000/$C$3)</f>
        <v>#DIV/0!</v>
      </c>
      <c r="K1514" s="1098" t="e">
        <f>IF($D$1212="",0,$D1514*Table3[[#This Row],[CF]]*chronic_consumption!$F314/1000/$C$3)</f>
        <v>#DIV/0!</v>
      </c>
      <c r="L1514" s="1098" t="e">
        <f>IF($D$1212="",0,$D1514*Table3[[#This Row],[CF]]*chronic_consumption!$G314/1000/$C$3)</f>
        <v>#DIV/0!</v>
      </c>
      <c r="M1514" s="1098" t="e">
        <f>IF($D$1212="",0,$D1514*Table3[[#This Row],[CF]]*chronic_consumption!$H314/1000/$C$3)</f>
        <v>#DIV/0!</v>
      </c>
      <c r="N1514" s="1098" t="e">
        <f>IF($D$1212="",0,$D1514*Table3[[#This Row],[CF]]*chronic_consumption!$I314/1000/$C$3)</f>
        <v>#DIV/0!</v>
      </c>
      <c r="O1514" s="1098" t="e">
        <f>IF($D$1212="",0,$D1514*Table3[[#This Row],[CF]]*chronic_consumption!$J314/1000/$C$3)</f>
        <v>#DIV/0!</v>
      </c>
      <c r="P1514" s="1098" t="e">
        <f>IF($D$1212="",0,$D1514*Table3[[#This Row],[CF]]*chronic_consumption!$K314/1000/$C$3)</f>
        <v>#DIV/0!</v>
      </c>
      <c r="Q1514" s="1098" t="e">
        <f>IF($D$1212="",0,$D1514*Table3[[#This Row],[CF]]*chronic_consumption!$L314/1000/$C$3)</f>
        <v>#DIV/0!</v>
      </c>
      <c r="R1514" s="1098" t="e">
        <f>IF($D$1212="",0,$D1514*Table3[[#This Row],[CF]]*chronic_consumption!$M314/1000/$C$3)</f>
        <v>#DIV/0!</v>
      </c>
      <c r="S1514" s="1098" t="e">
        <f>IF($D$1212="",0,$D1514*Table3[[#This Row],[CF]]*chronic_consumption!$N314/1000/$C$3)</f>
        <v>#DIV/0!</v>
      </c>
      <c r="T1514" s="1098" t="e">
        <f>IF($D$1212="",0,$D1514*Table3[[#This Row],[CF]]*chronic_consumption!$O314/1000/$C$3)</f>
        <v>#DIV/0!</v>
      </c>
      <c r="U1514" s="1098" t="e">
        <f>IF($D$1212="",0,$D1514*Table3[[#This Row],[CF]]*chronic_consumption!$P314/1000/$C$3)</f>
        <v>#DIV/0!</v>
      </c>
      <c r="V1514" s="1098" t="e">
        <f>IF($D$1212="",0,$D1514*Table3[[#This Row],[CF]]*chronic_consumption!$Q314/1000/$C$3)</f>
        <v>#DIV/0!</v>
      </c>
      <c r="W1514" s="1098" t="e">
        <f>IF($D$1212="",0,$D1514*Table3[[#This Row],[CF]]*chronic_consumption!$R314/1000/$C$3)</f>
        <v>#DIV/0!</v>
      </c>
      <c r="X1514" s="1098" t="e">
        <f>IF($D$1212="",0,$D1514*Table3[[#This Row],[CF]]*chronic_consumption!$S314/1000/$C$3)</f>
        <v>#DIV/0!</v>
      </c>
      <c r="Y1514" s="1098" t="e">
        <f>IF($D$1212="",0,$D1514*Table3[[#This Row],[CF]]*chronic_consumption!$T314/1000/$C$3)</f>
        <v>#DIV/0!</v>
      </c>
      <c r="Z1514" s="1098" t="e">
        <f>IF($D$1212="",0,$D1514*Table3[[#This Row],[CF]]*chronic_consumption!$U314/1000/$C$3)</f>
        <v>#DIV/0!</v>
      </c>
      <c r="AA1514" s="1098" t="e">
        <f>IF($D$1212="",0,$D1514*Table3[[#This Row],[CF]]*chronic_consumption!$V314/1000/$C$3)</f>
        <v>#DIV/0!</v>
      </c>
      <c r="AB1514" s="1098" t="e">
        <f>IF($D$1212="",0,$D1514*Table3[[#This Row],[CF]]*chronic_consumption!$W314/1000/$C$3)</f>
        <v>#DIV/0!</v>
      </c>
      <c r="AC1514" s="1098" t="e">
        <f>IF($D$1212="",0,$D1514*Table3[[#This Row],[CF]]*chronic_consumption!$X314/1000/$C$3)</f>
        <v>#DIV/0!</v>
      </c>
      <c r="AD1514" s="1098" t="e">
        <f>IF($D$1212="",0,$D1514*Table3[[#This Row],[CF]]*chronic_consumption!$Y314/1000/$C$3)</f>
        <v>#DIV/0!</v>
      </c>
      <c r="AE1514" s="1098" t="e">
        <f>IF($D$1212="",0,$D1514*Table3[[#This Row],[CF]]*chronic_consumption!$Z314/1000/$C$3)</f>
        <v>#DIV/0!</v>
      </c>
      <c r="AF1514" s="1098" t="e">
        <f>IF($D$1212="",0,$D1514*Table3[[#This Row],[CF]]*chronic_consumption!$AA314/1000/$C$3)</f>
        <v>#DIV/0!</v>
      </c>
      <c r="AG1514" s="1098" t="e">
        <f>IF($D$1212="",0,$D1514*Table3[[#This Row],[CF]]*chronic_consumption!$AB314/1000/$C$3)</f>
        <v>#DIV/0!</v>
      </c>
      <c r="AH1514" s="1098" t="e">
        <f>IF($D$1212="",0,$D1514*Table3[[#This Row],[CF]]*chronic_consumption!$AC314/1000/$C$3)</f>
        <v>#DIV/0!</v>
      </c>
      <c r="AI1514" s="1098" t="e">
        <f>IF($D$1212="",0,$D1514*Table3[[#This Row],[CF]]*chronic_consumption!$AD314/1000/$C$3)</f>
        <v>#DIV/0!</v>
      </c>
      <c r="AJ1514" s="1098" t="e">
        <f>IF($D$1212="",0,$D1514*Table3[[#This Row],[CF]]*chronic_consumption!$AE314/1000/$C$3)</f>
        <v>#DIV/0!</v>
      </c>
      <c r="AK1514" s="1098" t="e">
        <f>IF($D$1212="",0,$D1514*Table3[[#This Row],[CF]]*chronic_consumption!$AF314/1000/$C$3)</f>
        <v>#DIV/0!</v>
      </c>
      <c r="AL1514" s="1098" t="e">
        <f>IF($D$1212="",0,$D1514*Table3[[#This Row],[CF]]*chronic_consumption!$AG314/1000/$C$3)</f>
        <v>#DIV/0!</v>
      </c>
      <c r="AM1514" s="1098" t="e">
        <f>IF($D$1212="",0,$D1514*Table3[[#This Row],[CF]]*chronic_consumption!$AH314/1000/$C$3)</f>
        <v>#DIV/0!</v>
      </c>
      <c r="AN1514" s="1098" t="e">
        <f>IF($D$1212="",0,$D1514*Table3[[#This Row],[CF]]*chronic_consumption!$AI314/1000/$C$3)</f>
        <v>#DIV/0!</v>
      </c>
      <c r="AO1514" s="1098" t="e">
        <f>IF($D$1212="",0,$D1514*Table3[[#This Row],[CF]]*chronic_consumption!$AJ314/1000/$C$3)</f>
        <v>#DIV/0!</v>
      </c>
      <c r="AP1514" s="1098" t="e">
        <f>IF($D$1212="",0,$D1514*Table3[[#This Row],[CF]]*chronic_consumption!$AK314/1000/$C$3)</f>
        <v>#DIV/0!</v>
      </c>
      <c r="AQ1514" s="1098" t="e">
        <f>IF($D$1212="",0,$D1514*Table3[[#This Row],[CF]]*chronic_consumption!$AL314/1000/$C$3)</f>
        <v>#DIV/0!</v>
      </c>
      <c r="AR1514" s="1098" t="e">
        <f>IF($D$1212="",0,$D1514*Table3[[#This Row],[CF]]*chronic_consumption!$AM314/1000/$C$3)</f>
        <v>#DIV/0!</v>
      </c>
      <c r="AS1514" s="1098" t="e">
        <f>IF($D$1212="",0,$D1514*Table3[[#This Row],[CF]]*chronic_consumption!$AN314/1000/$C$3)</f>
        <v>#DIV/0!</v>
      </c>
      <c r="AT1514" s="1098" t="e">
        <f>IF($D$1212="",0,$D1514*Table3[[#This Row],[CF]]*chronic_consumption!$AO314/1000/$C$3)</f>
        <v>#DIV/0!</v>
      </c>
      <c r="AU1514" s="1099" t="e">
        <f t="shared" si="885"/>
        <v>#DIV/0!</v>
      </c>
      <c r="AV1514" s="1099" t="e">
        <f t="shared" si="885"/>
        <v>#DIV/0!</v>
      </c>
      <c r="AW1514" s="1099" t="e">
        <f t="shared" si="885"/>
        <v>#DIV/0!</v>
      </c>
      <c r="AX1514" s="1099" t="e">
        <f t="shared" si="885"/>
        <v>#DIV/0!</v>
      </c>
      <c r="AY1514" s="1099" t="e">
        <f t="shared" si="885"/>
        <v>#DIV/0!</v>
      </c>
      <c r="AZ1514" s="1091" t="s">
        <v>1012</v>
      </c>
      <c r="BA1514" s="1097" t="e">
        <f>IF(Table3[[#This Row],[max]]&lt;&gt;0,RANK(Table3[[#This Row],[max]],Table3[max],0),"")</f>
        <v>#DIV/0!</v>
      </c>
      <c r="BB1514" s="1096" t="e">
        <f t="shared" si="876"/>
        <v>#DIV/0!</v>
      </c>
      <c r="BC1514" s="1096" t="e">
        <f t="shared" ca="1" si="877"/>
        <v>#DIV/0!</v>
      </c>
      <c r="BD1514" s="1096" t="e">
        <f>IF(Table3[[#This Row],[max]]&gt;0,Table3[[#This Row],[Crop groups and examples of individual products within the groups to which the MRLs apply]],"")</f>
        <v>#DIV/0!</v>
      </c>
    </row>
    <row r="1515" spans="2:56" x14ac:dyDescent="0.2">
      <c r="B1515" s="131">
        <f t="shared" si="884"/>
        <v>870000</v>
      </c>
      <c r="C1515" s="131" t="str">
        <f t="shared" si="884"/>
        <v>Spices (aril)</v>
      </c>
      <c r="D1515" s="1084">
        <f>input_values!E315</f>
        <v>0</v>
      </c>
      <c r="E1515" s="1084">
        <f>input_values!F315</f>
        <v>0</v>
      </c>
      <c r="F1515" s="1085">
        <f>input_values!W315</f>
        <v>0</v>
      </c>
      <c r="G1515" s="1085" t="str">
        <f>IF(Table3[[#This Row],[CF]]&gt;0,CONCATENATE(IF(Table3[[#This Row],[LOQ]]="*","LOQ","MRL"),IF(input_values!G315&gt;0,"×CFrisk","")),"")</f>
        <v/>
      </c>
      <c r="H1515" s="1087">
        <f>input_values!L315</f>
        <v>0</v>
      </c>
      <c r="I1515" s="1088">
        <f>input_values!D315</f>
        <v>0</v>
      </c>
      <c r="J1515" s="1095" t="e">
        <f>IF($D$1212="",0,$D1515*Table3[[#This Row],[CF]]*chronic_consumption!$E315/1000/$C$3)</f>
        <v>#DIV/0!</v>
      </c>
      <c r="K1515" s="1095" t="e">
        <f>IF($D$1212="",0,$D1515*Table3[[#This Row],[CF]]*chronic_consumption!$F315/1000/$C$3)</f>
        <v>#DIV/0!</v>
      </c>
      <c r="L1515" s="1095" t="e">
        <f>IF($D$1212="",0,$D1515*Table3[[#This Row],[CF]]*chronic_consumption!$G315/1000/$C$3)</f>
        <v>#DIV/0!</v>
      </c>
      <c r="M1515" s="1095" t="e">
        <f>IF($D$1212="",0,$D1515*Table3[[#This Row],[CF]]*chronic_consumption!$H315/1000/$C$3)</f>
        <v>#DIV/0!</v>
      </c>
      <c r="N1515" s="1095" t="e">
        <f>IF($D$1212="",0,$D1515*Table3[[#This Row],[CF]]*chronic_consumption!$I315/1000/$C$3)</f>
        <v>#DIV/0!</v>
      </c>
      <c r="O1515" s="1095" t="e">
        <f>IF($D$1212="",0,$D1515*Table3[[#This Row],[CF]]*chronic_consumption!$J315/1000/$C$3)</f>
        <v>#DIV/0!</v>
      </c>
      <c r="P1515" s="1095" t="e">
        <f>IF($D$1212="",0,$D1515*Table3[[#This Row],[CF]]*chronic_consumption!$K315/1000/$C$3)</f>
        <v>#DIV/0!</v>
      </c>
      <c r="Q1515" s="1095" t="e">
        <f>IF($D$1212="",0,$D1515*Table3[[#This Row],[CF]]*chronic_consumption!$L315/1000/$C$3)</f>
        <v>#DIV/0!</v>
      </c>
      <c r="R1515" s="1095" t="e">
        <f>IF($D$1212="",0,$D1515*Table3[[#This Row],[CF]]*chronic_consumption!$M315/1000/$C$3)</f>
        <v>#DIV/0!</v>
      </c>
      <c r="S1515" s="1095" t="e">
        <f>IF($D$1212="",0,$D1515*Table3[[#This Row],[CF]]*chronic_consumption!$N315/1000/$C$3)</f>
        <v>#DIV/0!</v>
      </c>
      <c r="T1515" s="1095" t="e">
        <f>IF($D$1212="",0,$D1515*Table3[[#This Row],[CF]]*chronic_consumption!$O315/1000/$C$3)</f>
        <v>#DIV/0!</v>
      </c>
      <c r="U1515" s="1095" t="e">
        <f>IF($D$1212="",0,$D1515*Table3[[#This Row],[CF]]*chronic_consumption!$P315/1000/$C$3)</f>
        <v>#DIV/0!</v>
      </c>
      <c r="V1515" s="1095" t="e">
        <f>IF($D$1212="",0,$D1515*Table3[[#This Row],[CF]]*chronic_consumption!$Q315/1000/$C$3)</f>
        <v>#DIV/0!</v>
      </c>
      <c r="W1515" s="1095" t="e">
        <f>IF($D$1212="",0,$D1515*Table3[[#This Row],[CF]]*chronic_consumption!$R315/1000/$C$3)</f>
        <v>#DIV/0!</v>
      </c>
      <c r="X1515" s="1095" t="e">
        <f>IF($D$1212="",0,$D1515*Table3[[#This Row],[CF]]*chronic_consumption!$S315/1000/$C$3)</f>
        <v>#DIV/0!</v>
      </c>
      <c r="Y1515" s="1095" t="e">
        <f>IF($D$1212="",0,$D1515*Table3[[#This Row],[CF]]*chronic_consumption!$T315/1000/$C$3)</f>
        <v>#DIV/0!</v>
      </c>
      <c r="Z1515" s="1095" t="e">
        <f>IF($D$1212="",0,$D1515*Table3[[#This Row],[CF]]*chronic_consumption!$U315/1000/$C$3)</f>
        <v>#DIV/0!</v>
      </c>
      <c r="AA1515" s="1095" t="e">
        <f>IF($D$1212="",0,$D1515*Table3[[#This Row],[CF]]*chronic_consumption!$V315/1000/$C$3)</f>
        <v>#DIV/0!</v>
      </c>
      <c r="AB1515" s="1095" t="e">
        <f>IF($D$1212="",0,$D1515*Table3[[#This Row],[CF]]*chronic_consumption!$W315/1000/$C$3)</f>
        <v>#DIV/0!</v>
      </c>
      <c r="AC1515" s="1095" t="e">
        <f>IF($D$1212="",0,$D1515*Table3[[#This Row],[CF]]*chronic_consumption!$X315/1000/$C$3)</f>
        <v>#DIV/0!</v>
      </c>
      <c r="AD1515" s="1095" t="e">
        <f>IF($D$1212="",0,$D1515*Table3[[#This Row],[CF]]*chronic_consumption!$Y315/1000/$C$3)</f>
        <v>#DIV/0!</v>
      </c>
      <c r="AE1515" s="1095" t="e">
        <f>IF($D$1212="",0,$D1515*Table3[[#This Row],[CF]]*chronic_consumption!$Z315/1000/$C$3)</f>
        <v>#DIV/0!</v>
      </c>
      <c r="AF1515" s="1095" t="e">
        <f>IF($D$1212="",0,$D1515*Table3[[#This Row],[CF]]*chronic_consumption!$AA315/1000/$C$3)</f>
        <v>#DIV/0!</v>
      </c>
      <c r="AG1515" s="1095" t="e">
        <f>IF($D$1212="",0,$D1515*Table3[[#This Row],[CF]]*chronic_consumption!$AB315/1000/$C$3)</f>
        <v>#DIV/0!</v>
      </c>
      <c r="AH1515" s="1095" t="e">
        <f>IF($D$1212="",0,$D1515*Table3[[#This Row],[CF]]*chronic_consumption!$AC315/1000/$C$3)</f>
        <v>#DIV/0!</v>
      </c>
      <c r="AI1515" s="1095" t="e">
        <f>IF($D$1212="",0,$D1515*Table3[[#This Row],[CF]]*chronic_consumption!$AD315/1000/$C$3)</f>
        <v>#DIV/0!</v>
      </c>
      <c r="AJ1515" s="1095" t="e">
        <f>IF($D$1212="",0,$D1515*Table3[[#This Row],[CF]]*chronic_consumption!$AE315/1000/$C$3)</f>
        <v>#DIV/0!</v>
      </c>
      <c r="AK1515" s="1095" t="e">
        <f>IF($D$1212="",0,$D1515*Table3[[#This Row],[CF]]*chronic_consumption!$AF315/1000/$C$3)</f>
        <v>#DIV/0!</v>
      </c>
      <c r="AL1515" s="1095" t="e">
        <f>IF($D$1212="",0,$D1515*Table3[[#This Row],[CF]]*chronic_consumption!$AG315/1000/$C$3)</f>
        <v>#DIV/0!</v>
      </c>
      <c r="AM1515" s="1095" t="e">
        <f>IF($D$1212="",0,$D1515*Table3[[#This Row],[CF]]*chronic_consumption!$AH315/1000/$C$3)</f>
        <v>#DIV/0!</v>
      </c>
      <c r="AN1515" s="1095" t="e">
        <f>IF($D$1212="",0,$D1515*Table3[[#This Row],[CF]]*chronic_consumption!$AI315/1000/$C$3)</f>
        <v>#DIV/0!</v>
      </c>
      <c r="AO1515" s="1095" t="e">
        <f>IF($D$1212="",0,$D1515*Table3[[#This Row],[CF]]*chronic_consumption!$AJ315/1000/$C$3)</f>
        <v>#DIV/0!</v>
      </c>
      <c r="AP1515" s="1095" t="e">
        <f>IF($D$1212="",0,$D1515*Table3[[#This Row],[CF]]*chronic_consumption!$AK315/1000/$C$3)</f>
        <v>#DIV/0!</v>
      </c>
      <c r="AQ1515" s="1095" t="e">
        <f>IF($D$1212="",0,$D1515*Table3[[#This Row],[CF]]*chronic_consumption!$AL315/1000/$C$3)</f>
        <v>#DIV/0!</v>
      </c>
      <c r="AR1515" s="1095" t="e">
        <f>IF($D$1212="",0,$D1515*Table3[[#This Row],[CF]]*chronic_consumption!$AM315/1000/$C$3)</f>
        <v>#DIV/0!</v>
      </c>
      <c r="AS1515" s="1095" t="e">
        <f>IF($D$1212="",0,$D1515*Table3[[#This Row],[CF]]*chronic_consumption!$AN315/1000/$C$3)</f>
        <v>#DIV/0!</v>
      </c>
      <c r="AT1515" s="1095" t="e">
        <f>IF($D$1212="",0,$D1515*Table3[[#This Row],[CF]]*chronic_consumption!$AO315/1000/$C$3)</f>
        <v>#DIV/0!</v>
      </c>
      <c r="AU1515" s="1096" t="e">
        <f t="shared" si="885"/>
        <v>#DIV/0!</v>
      </c>
      <c r="AV1515" s="1096" t="e">
        <f t="shared" si="885"/>
        <v>#DIV/0!</v>
      </c>
      <c r="AW1515" s="1096" t="e">
        <f t="shared" si="885"/>
        <v>#DIV/0!</v>
      </c>
      <c r="AX1515" s="1096" t="e">
        <f t="shared" si="885"/>
        <v>#DIV/0!</v>
      </c>
      <c r="AY1515" s="1096" t="e">
        <f t="shared" si="885"/>
        <v>#DIV/0!</v>
      </c>
      <c r="AZ1515" s="1091" t="s">
        <v>1012</v>
      </c>
      <c r="BA1515" s="1097" t="e">
        <f>IF(Table3[[#This Row],[max]]&lt;&gt;0,RANK(Table3[[#This Row],[max]],Table3[max],0),"")</f>
        <v>#DIV/0!</v>
      </c>
      <c r="BB1515" s="1096" t="e">
        <f t="shared" si="876"/>
        <v>#DIV/0!</v>
      </c>
      <c r="BC1515" s="1096" t="e">
        <f t="shared" ca="1" si="877"/>
        <v>#DIV/0!</v>
      </c>
      <c r="BD1515" s="1096" t="e">
        <f>IF(Table3[[#This Row],[max]]&gt;0,Table3[[#This Row],[Crop groups and examples of individual products within the groups to which the MRLs apply]],"")</f>
        <v>#DIV/0!</v>
      </c>
    </row>
    <row r="1516" spans="2:56" x14ac:dyDescent="0.2">
      <c r="B1516" s="23">
        <f t="shared" si="884"/>
        <v>870010</v>
      </c>
      <c r="C1516" s="23" t="str">
        <f t="shared" si="884"/>
        <v>Mace</v>
      </c>
      <c r="D1516" s="1084">
        <f>input_values!E316</f>
        <v>0</v>
      </c>
      <c r="E1516" s="1084">
        <f>input_values!F316</f>
        <v>0</v>
      </c>
      <c r="F1516" s="1085">
        <f>input_values!W316</f>
        <v>1</v>
      </c>
      <c r="G1516" s="1085" t="str">
        <f>IF(Table3[[#This Row],[CF]]&gt;0,CONCATENATE(IF(Table3[[#This Row],[LOQ]]="*","LOQ","MRL"),IF(input_values!G316&gt;0,"×CFrisk","")),"")</f>
        <v>MRL</v>
      </c>
      <c r="H1516" s="1087">
        <f>input_values!L316</f>
        <v>0</v>
      </c>
      <c r="I1516" s="1088">
        <f>input_values!D316</f>
        <v>0</v>
      </c>
      <c r="J1516" s="1098" t="e">
        <f>IF($D$1212="",0,$D1516*Table3[[#This Row],[CF]]*chronic_consumption!$E316/1000/$C$3)</f>
        <v>#DIV/0!</v>
      </c>
      <c r="K1516" s="1098" t="e">
        <f>IF($D$1212="",0,$D1516*Table3[[#This Row],[CF]]*chronic_consumption!$F316/1000/$C$3)</f>
        <v>#DIV/0!</v>
      </c>
      <c r="L1516" s="1098" t="e">
        <f>IF($D$1212="",0,$D1516*Table3[[#This Row],[CF]]*chronic_consumption!$G316/1000/$C$3)</f>
        <v>#DIV/0!</v>
      </c>
      <c r="M1516" s="1098" t="e">
        <f>IF($D$1212="",0,$D1516*Table3[[#This Row],[CF]]*chronic_consumption!$H316/1000/$C$3)</f>
        <v>#DIV/0!</v>
      </c>
      <c r="N1516" s="1098" t="e">
        <f>IF($D$1212="",0,$D1516*Table3[[#This Row],[CF]]*chronic_consumption!$I316/1000/$C$3)</f>
        <v>#DIV/0!</v>
      </c>
      <c r="O1516" s="1098" t="e">
        <f>IF($D$1212="",0,$D1516*Table3[[#This Row],[CF]]*chronic_consumption!$J316/1000/$C$3)</f>
        <v>#DIV/0!</v>
      </c>
      <c r="P1516" s="1098" t="e">
        <f>IF($D$1212="",0,$D1516*Table3[[#This Row],[CF]]*chronic_consumption!$K316/1000/$C$3)</f>
        <v>#DIV/0!</v>
      </c>
      <c r="Q1516" s="1098" t="e">
        <f>IF($D$1212="",0,$D1516*Table3[[#This Row],[CF]]*chronic_consumption!$L316/1000/$C$3)</f>
        <v>#DIV/0!</v>
      </c>
      <c r="R1516" s="1098" t="e">
        <f>IF($D$1212="",0,$D1516*Table3[[#This Row],[CF]]*chronic_consumption!$M316/1000/$C$3)</f>
        <v>#DIV/0!</v>
      </c>
      <c r="S1516" s="1098" t="e">
        <f>IF($D$1212="",0,$D1516*Table3[[#This Row],[CF]]*chronic_consumption!$N316/1000/$C$3)</f>
        <v>#DIV/0!</v>
      </c>
      <c r="T1516" s="1098" t="e">
        <f>IF($D$1212="",0,$D1516*Table3[[#This Row],[CF]]*chronic_consumption!$O316/1000/$C$3)</f>
        <v>#DIV/0!</v>
      </c>
      <c r="U1516" s="1098" t="e">
        <f>IF($D$1212="",0,$D1516*Table3[[#This Row],[CF]]*chronic_consumption!$P316/1000/$C$3)</f>
        <v>#DIV/0!</v>
      </c>
      <c r="V1516" s="1098" t="e">
        <f>IF($D$1212="",0,$D1516*Table3[[#This Row],[CF]]*chronic_consumption!$Q316/1000/$C$3)</f>
        <v>#DIV/0!</v>
      </c>
      <c r="W1516" s="1098" t="e">
        <f>IF($D$1212="",0,$D1516*Table3[[#This Row],[CF]]*chronic_consumption!$R316/1000/$C$3)</f>
        <v>#DIV/0!</v>
      </c>
      <c r="X1516" s="1098" t="e">
        <f>IF($D$1212="",0,$D1516*Table3[[#This Row],[CF]]*chronic_consumption!$S316/1000/$C$3)</f>
        <v>#DIV/0!</v>
      </c>
      <c r="Y1516" s="1098" t="e">
        <f>IF($D$1212="",0,$D1516*Table3[[#This Row],[CF]]*chronic_consumption!$T316/1000/$C$3)</f>
        <v>#DIV/0!</v>
      </c>
      <c r="Z1516" s="1098" t="e">
        <f>IF($D$1212="",0,$D1516*Table3[[#This Row],[CF]]*chronic_consumption!$U316/1000/$C$3)</f>
        <v>#DIV/0!</v>
      </c>
      <c r="AA1516" s="1098" t="e">
        <f>IF($D$1212="",0,$D1516*Table3[[#This Row],[CF]]*chronic_consumption!$V316/1000/$C$3)</f>
        <v>#DIV/0!</v>
      </c>
      <c r="AB1516" s="1098" t="e">
        <f>IF($D$1212="",0,$D1516*Table3[[#This Row],[CF]]*chronic_consumption!$W316/1000/$C$3)</f>
        <v>#DIV/0!</v>
      </c>
      <c r="AC1516" s="1098" t="e">
        <f>IF($D$1212="",0,$D1516*Table3[[#This Row],[CF]]*chronic_consumption!$X316/1000/$C$3)</f>
        <v>#DIV/0!</v>
      </c>
      <c r="AD1516" s="1098" t="e">
        <f>IF($D$1212="",0,$D1516*Table3[[#This Row],[CF]]*chronic_consumption!$Y316/1000/$C$3)</f>
        <v>#DIV/0!</v>
      </c>
      <c r="AE1516" s="1098" t="e">
        <f>IF($D$1212="",0,$D1516*Table3[[#This Row],[CF]]*chronic_consumption!$Z316/1000/$C$3)</f>
        <v>#DIV/0!</v>
      </c>
      <c r="AF1516" s="1098" t="e">
        <f>IF($D$1212="",0,$D1516*Table3[[#This Row],[CF]]*chronic_consumption!$AA316/1000/$C$3)</f>
        <v>#DIV/0!</v>
      </c>
      <c r="AG1516" s="1098" t="e">
        <f>IF($D$1212="",0,$D1516*Table3[[#This Row],[CF]]*chronic_consumption!$AB316/1000/$C$3)</f>
        <v>#DIV/0!</v>
      </c>
      <c r="AH1516" s="1098" t="e">
        <f>IF($D$1212="",0,$D1516*Table3[[#This Row],[CF]]*chronic_consumption!$AC316/1000/$C$3)</f>
        <v>#DIV/0!</v>
      </c>
      <c r="AI1516" s="1098" t="e">
        <f>IF($D$1212="",0,$D1516*Table3[[#This Row],[CF]]*chronic_consumption!$AD316/1000/$C$3)</f>
        <v>#DIV/0!</v>
      </c>
      <c r="AJ1516" s="1098" t="e">
        <f>IF($D$1212="",0,$D1516*Table3[[#This Row],[CF]]*chronic_consumption!$AE316/1000/$C$3)</f>
        <v>#DIV/0!</v>
      </c>
      <c r="AK1516" s="1098" t="e">
        <f>IF($D$1212="",0,$D1516*Table3[[#This Row],[CF]]*chronic_consumption!$AF316/1000/$C$3)</f>
        <v>#DIV/0!</v>
      </c>
      <c r="AL1516" s="1098" t="e">
        <f>IF($D$1212="",0,$D1516*Table3[[#This Row],[CF]]*chronic_consumption!$AG316/1000/$C$3)</f>
        <v>#DIV/0!</v>
      </c>
      <c r="AM1516" s="1098" t="e">
        <f>IF($D$1212="",0,$D1516*Table3[[#This Row],[CF]]*chronic_consumption!$AH316/1000/$C$3)</f>
        <v>#DIV/0!</v>
      </c>
      <c r="AN1516" s="1098" t="e">
        <f>IF($D$1212="",0,$D1516*Table3[[#This Row],[CF]]*chronic_consumption!$AI316/1000/$C$3)</f>
        <v>#DIV/0!</v>
      </c>
      <c r="AO1516" s="1098" t="e">
        <f>IF($D$1212="",0,$D1516*Table3[[#This Row],[CF]]*chronic_consumption!$AJ316/1000/$C$3)</f>
        <v>#DIV/0!</v>
      </c>
      <c r="AP1516" s="1098" t="e">
        <f>IF($D$1212="",0,$D1516*Table3[[#This Row],[CF]]*chronic_consumption!$AK316/1000/$C$3)</f>
        <v>#DIV/0!</v>
      </c>
      <c r="AQ1516" s="1098" t="e">
        <f>IF($D$1212="",0,$D1516*Table3[[#This Row],[CF]]*chronic_consumption!$AL316/1000/$C$3)</f>
        <v>#DIV/0!</v>
      </c>
      <c r="AR1516" s="1098" t="e">
        <f>IF($D$1212="",0,$D1516*Table3[[#This Row],[CF]]*chronic_consumption!$AM316/1000/$C$3)</f>
        <v>#DIV/0!</v>
      </c>
      <c r="AS1516" s="1098" t="e">
        <f>IF($D$1212="",0,$D1516*Table3[[#This Row],[CF]]*chronic_consumption!$AN316/1000/$C$3)</f>
        <v>#DIV/0!</v>
      </c>
      <c r="AT1516" s="1098" t="e">
        <f>IF($D$1212="",0,$D1516*Table3[[#This Row],[CF]]*chronic_consumption!$AO316/1000/$C$3)</f>
        <v>#DIV/0!</v>
      </c>
      <c r="AU1516" s="1099" t="e">
        <f t="shared" si="885"/>
        <v>#DIV/0!</v>
      </c>
      <c r="AV1516" s="1099" t="e">
        <f t="shared" si="885"/>
        <v>#DIV/0!</v>
      </c>
      <c r="AW1516" s="1099" t="e">
        <f t="shared" si="885"/>
        <v>#DIV/0!</v>
      </c>
      <c r="AX1516" s="1099" t="e">
        <f t="shared" si="885"/>
        <v>#DIV/0!</v>
      </c>
      <c r="AY1516" s="1099" t="e">
        <f t="shared" si="885"/>
        <v>#DIV/0!</v>
      </c>
      <c r="AZ1516" s="1091" t="s">
        <v>1012</v>
      </c>
      <c r="BA1516" s="1097" t="e">
        <f>IF(Table3[[#This Row],[max]]&lt;&gt;0,RANK(Table3[[#This Row],[max]],Table3[max],0),"")</f>
        <v>#DIV/0!</v>
      </c>
      <c r="BB1516" s="1096" t="e">
        <f t="shared" si="876"/>
        <v>#DIV/0!</v>
      </c>
      <c r="BC1516" s="1096" t="e">
        <f t="shared" ca="1" si="877"/>
        <v>#DIV/0!</v>
      </c>
      <c r="BD1516" s="1096" t="e">
        <f>IF(Table3[[#This Row],[max]]&gt;0,Table3[[#This Row],[Crop groups and examples of individual products within the groups to which the MRLs apply]],"")</f>
        <v>#DIV/0!</v>
      </c>
    </row>
    <row r="1517" spans="2:56" x14ac:dyDescent="0.2">
      <c r="B1517" s="23">
        <f t="shared" si="884"/>
        <v>870990</v>
      </c>
      <c r="C1517" s="23" t="str">
        <f t="shared" si="884"/>
        <v>Other spices (aril)</v>
      </c>
      <c r="D1517" s="1084">
        <f>input_values!E317</f>
        <v>0</v>
      </c>
      <c r="E1517" s="1084">
        <f>input_values!F317</f>
        <v>0</v>
      </c>
      <c r="F1517" s="1085">
        <f>input_values!W317</f>
        <v>1</v>
      </c>
      <c r="G1517" s="1085" t="str">
        <f>IF(Table3[[#This Row],[CF]]&gt;0,CONCATENATE(IF(Table3[[#This Row],[LOQ]]="*","LOQ","MRL"),IF(input_values!G317&gt;0,"×CFrisk","")),"")</f>
        <v>MRL</v>
      </c>
      <c r="H1517" s="1087">
        <f>input_values!L317</f>
        <v>0</v>
      </c>
      <c r="I1517" s="1088">
        <f>input_values!D317</f>
        <v>0</v>
      </c>
      <c r="J1517" s="1098" t="e">
        <f>IF($D$1212="",0,$D1517*Table3[[#This Row],[CF]]*chronic_consumption!$E317/1000/$C$3)</f>
        <v>#DIV/0!</v>
      </c>
      <c r="K1517" s="1098" t="e">
        <f>IF($D$1212="",0,$D1517*Table3[[#This Row],[CF]]*chronic_consumption!$F317/1000/$C$3)</f>
        <v>#DIV/0!</v>
      </c>
      <c r="L1517" s="1098" t="e">
        <f>IF($D$1212="",0,$D1517*Table3[[#This Row],[CF]]*chronic_consumption!$G317/1000/$C$3)</f>
        <v>#DIV/0!</v>
      </c>
      <c r="M1517" s="1098" t="e">
        <f>IF($D$1212="",0,$D1517*Table3[[#This Row],[CF]]*chronic_consumption!$H317/1000/$C$3)</f>
        <v>#DIV/0!</v>
      </c>
      <c r="N1517" s="1098" t="e">
        <f>IF($D$1212="",0,$D1517*Table3[[#This Row],[CF]]*chronic_consumption!$I317/1000/$C$3)</f>
        <v>#DIV/0!</v>
      </c>
      <c r="O1517" s="1098" t="e">
        <f>IF($D$1212="",0,$D1517*Table3[[#This Row],[CF]]*chronic_consumption!$J317/1000/$C$3)</f>
        <v>#DIV/0!</v>
      </c>
      <c r="P1517" s="1098" t="e">
        <f>IF($D$1212="",0,$D1517*Table3[[#This Row],[CF]]*chronic_consumption!$K317/1000/$C$3)</f>
        <v>#DIV/0!</v>
      </c>
      <c r="Q1517" s="1098" t="e">
        <f>IF($D$1212="",0,$D1517*Table3[[#This Row],[CF]]*chronic_consumption!$L317/1000/$C$3)</f>
        <v>#DIV/0!</v>
      </c>
      <c r="R1517" s="1098" t="e">
        <f>IF($D$1212="",0,$D1517*Table3[[#This Row],[CF]]*chronic_consumption!$M317/1000/$C$3)</f>
        <v>#DIV/0!</v>
      </c>
      <c r="S1517" s="1098" t="e">
        <f>IF($D$1212="",0,$D1517*Table3[[#This Row],[CF]]*chronic_consumption!$N317/1000/$C$3)</f>
        <v>#DIV/0!</v>
      </c>
      <c r="T1517" s="1098" t="e">
        <f>IF($D$1212="",0,$D1517*Table3[[#This Row],[CF]]*chronic_consumption!$O317/1000/$C$3)</f>
        <v>#DIV/0!</v>
      </c>
      <c r="U1517" s="1098" t="e">
        <f>IF($D$1212="",0,$D1517*Table3[[#This Row],[CF]]*chronic_consumption!$P317/1000/$C$3)</f>
        <v>#DIV/0!</v>
      </c>
      <c r="V1517" s="1098" t="e">
        <f>IF($D$1212="",0,$D1517*Table3[[#This Row],[CF]]*chronic_consumption!$Q317/1000/$C$3)</f>
        <v>#DIV/0!</v>
      </c>
      <c r="W1517" s="1098" t="e">
        <f>IF($D$1212="",0,$D1517*Table3[[#This Row],[CF]]*chronic_consumption!$R317/1000/$C$3)</f>
        <v>#DIV/0!</v>
      </c>
      <c r="X1517" s="1098" t="e">
        <f>IF($D$1212="",0,$D1517*Table3[[#This Row],[CF]]*chronic_consumption!$S317/1000/$C$3)</f>
        <v>#DIV/0!</v>
      </c>
      <c r="Y1517" s="1098" t="e">
        <f>IF($D$1212="",0,$D1517*Table3[[#This Row],[CF]]*chronic_consumption!$T317/1000/$C$3)</f>
        <v>#DIV/0!</v>
      </c>
      <c r="Z1517" s="1098" t="e">
        <f>IF($D$1212="",0,$D1517*Table3[[#This Row],[CF]]*chronic_consumption!$U317/1000/$C$3)</f>
        <v>#DIV/0!</v>
      </c>
      <c r="AA1517" s="1098" t="e">
        <f>IF($D$1212="",0,$D1517*Table3[[#This Row],[CF]]*chronic_consumption!$V317/1000/$C$3)</f>
        <v>#DIV/0!</v>
      </c>
      <c r="AB1517" s="1098" t="e">
        <f>IF($D$1212="",0,$D1517*Table3[[#This Row],[CF]]*chronic_consumption!$W317/1000/$C$3)</f>
        <v>#DIV/0!</v>
      </c>
      <c r="AC1517" s="1098" t="e">
        <f>IF($D$1212="",0,$D1517*Table3[[#This Row],[CF]]*chronic_consumption!$X317/1000/$C$3)</f>
        <v>#DIV/0!</v>
      </c>
      <c r="AD1517" s="1098" t="e">
        <f>IF($D$1212="",0,$D1517*Table3[[#This Row],[CF]]*chronic_consumption!$Y317/1000/$C$3)</f>
        <v>#DIV/0!</v>
      </c>
      <c r="AE1517" s="1098" t="e">
        <f>IF($D$1212="",0,$D1517*Table3[[#This Row],[CF]]*chronic_consumption!$Z317/1000/$C$3)</f>
        <v>#DIV/0!</v>
      </c>
      <c r="AF1517" s="1098" t="e">
        <f>IF($D$1212="",0,$D1517*Table3[[#This Row],[CF]]*chronic_consumption!$AA317/1000/$C$3)</f>
        <v>#DIV/0!</v>
      </c>
      <c r="AG1517" s="1098" t="e">
        <f>IF($D$1212="",0,$D1517*Table3[[#This Row],[CF]]*chronic_consumption!$AB317/1000/$C$3)</f>
        <v>#DIV/0!</v>
      </c>
      <c r="AH1517" s="1098" t="e">
        <f>IF($D$1212="",0,$D1517*Table3[[#This Row],[CF]]*chronic_consumption!$AC317/1000/$C$3)</f>
        <v>#DIV/0!</v>
      </c>
      <c r="AI1517" s="1098" t="e">
        <f>IF($D$1212="",0,$D1517*Table3[[#This Row],[CF]]*chronic_consumption!$AD317/1000/$C$3)</f>
        <v>#DIV/0!</v>
      </c>
      <c r="AJ1517" s="1098" t="e">
        <f>IF($D$1212="",0,$D1517*Table3[[#This Row],[CF]]*chronic_consumption!$AE317/1000/$C$3)</f>
        <v>#DIV/0!</v>
      </c>
      <c r="AK1517" s="1098" t="e">
        <f>IF($D$1212="",0,$D1517*Table3[[#This Row],[CF]]*chronic_consumption!$AF317/1000/$C$3)</f>
        <v>#DIV/0!</v>
      </c>
      <c r="AL1517" s="1098" t="e">
        <f>IF($D$1212="",0,$D1517*Table3[[#This Row],[CF]]*chronic_consumption!$AG317/1000/$C$3)</f>
        <v>#DIV/0!</v>
      </c>
      <c r="AM1517" s="1098" t="e">
        <f>IF($D$1212="",0,$D1517*Table3[[#This Row],[CF]]*chronic_consumption!$AH317/1000/$C$3)</f>
        <v>#DIV/0!</v>
      </c>
      <c r="AN1517" s="1098" t="e">
        <f>IF($D$1212="",0,$D1517*Table3[[#This Row],[CF]]*chronic_consumption!$AI317/1000/$C$3)</f>
        <v>#DIV/0!</v>
      </c>
      <c r="AO1517" s="1098" t="e">
        <f>IF($D$1212="",0,$D1517*Table3[[#This Row],[CF]]*chronic_consumption!$AJ317/1000/$C$3)</f>
        <v>#DIV/0!</v>
      </c>
      <c r="AP1517" s="1098" t="e">
        <f>IF($D$1212="",0,$D1517*Table3[[#This Row],[CF]]*chronic_consumption!$AK317/1000/$C$3)</f>
        <v>#DIV/0!</v>
      </c>
      <c r="AQ1517" s="1098" t="e">
        <f>IF($D$1212="",0,$D1517*Table3[[#This Row],[CF]]*chronic_consumption!$AL317/1000/$C$3)</f>
        <v>#DIV/0!</v>
      </c>
      <c r="AR1517" s="1098" t="e">
        <f>IF($D$1212="",0,$D1517*Table3[[#This Row],[CF]]*chronic_consumption!$AM317/1000/$C$3)</f>
        <v>#DIV/0!</v>
      </c>
      <c r="AS1517" s="1098" t="e">
        <f>IF($D$1212="",0,$D1517*Table3[[#This Row],[CF]]*chronic_consumption!$AN317/1000/$C$3)</f>
        <v>#DIV/0!</v>
      </c>
      <c r="AT1517" s="1098" t="e">
        <f>IF($D$1212="",0,$D1517*Table3[[#This Row],[CF]]*chronic_consumption!$AO317/1000/$C$3)</f>
        <v>#DIV/0!</v>
      </c>
      <c r="AU1517" s="1099" t="e">
        <f t="shared" si="885"/>
        <v>#DIV/0!</v>
      </c>
      <c r="AV1517" s="1099" t="e">
        <f t="shared" si="885"/>
        <v>#DIV/0!</v>
      </c>
      <c r="AW1517" s="1099" t="e">
        <f t="shared" si="885"/>
        <v>#DIV/0!</v>
      </c>
      <c r="AX1517" s="1099" t="e">
        <f t="shared" si="885"/>
        <v>#DIV/0!</v>
      </c>
      <c r="AY1517" s="1099" t="e">
        <f t="shared" si="885"/>
        <v>#DIV/0!</v>
      </c>
      <c r="AZ1517" s="1091" t="s">
        <v>1012</v>
      </c>
      <c r="BA1517" s="1097" t="e">
        <f>IF(Table3[[#This Row],[max]]&lt;&gt;0,RANK(Table3[[#This Row],[max]],Table3[max],0),"")</f>
        <v>#DIV/0!</v>
      </c>
      <c r="BB1517" s="1096" t="e">
        <f t="shared" si="876"/>
        <v>#DIV/0!</v>
      </c>
      <c r="BC1517" s="1096" t="e">
        <f t="shared" ca="1" si="877"/>
        <v>#DIV/0!</v>
      </c>
      <c r="BD1517" s="1096" t="e">
        <f>IF(Table3[[#This Row],[max]]&gt;0,Table3[[#This Row],[Crop groups and examples of individual products within the groups to which the MRLs apply]],"")</f>
        <v>#DIV/0!</v>
      </c>
    </row>
    <row r="1518" spans="2:56" x14ac:dyDescent="0.2">
      <c r="B1518" s="127">
        <f t="shared" si="884"/>
        <v>900000</v>
      </c>
      <c r="C1518" s="127" t="str">
        <f t="shared" si="884"/>
        <v>SUGAR PLANTS</v>
      </c>
      <c r="D1518" s="1084">
        <f>input_values!E318</f>
        <v>0</v>
      </c>
      <c r="E1518" s="1084">
        <f>input_values!F318</f>
        <v>0</v>
      </c>
      <c r="F1518" s="1085">
        <f>input_values!W318</f>
        <v>0</v>
      </c>
      <c r="G1518" s="1085" t="str">
        <f>IF(Table3[[#This Row],[CF]]&gt;0,CONCATENATE(IF(Table3[[#This Row],[LOQ]]="*","LOQ","MRL"),IF(input_values!G318&gt;0,"×CFrisk","")),"")</f>
        <v/>
      </c>
      <c r="H1518" s="1087">
        <f>input_values!L318</f>
        <v>0</v>
      </c>
      <c r="I1518" s="1088">
        <f>input_values!D318</f>
        <v>0</v>
      </c>
      <c r="J1518" s="1102" t="e">
        <f>IF($D$1212="",0,$D1518*Table3[[#This Row],[CF]]*chronic_consumption!$E318/1000/$C$3)</f>
        <v>#DIV/0!</v>
      </c>
      <c r="K1518" s="1102" t="e">
        <f>IF($D$1212="",0,$D1518*Table3[[#This Row],[CF]]*chronic_consumption!$F318/1000/$C$3)</f>
        <v>#DIV/0!</v>
      </c>
      <c r="L1518" s="1102" t="e">
        <f>IF($D$1212="",0,$D1518*Table3[[#This Row],[CF]]*chronic_consumption!$G318/1000/$C$3)</f>
        <v>#DIV/0!</v>
      </c>
      <c r="M1518" s="1102" t="e">
        <f>IF($D$1212="",0,$D1518*Table3[[#This Row],[CF]]*chronic_consumption!$H318/1000/$C$3)</f>
        <v>#DIV/0!</v>
      </c>
      <c r="N1518" s="1102" t="e">
        <f>IF($D$1212="",0,$D1518*Table3[[#This Row],[CF]]*chronic_consumption!$I318/1000/$C$3)</f>
        <v>#DIV/0!</v>
      </c>
      <c r="O1518" s="1102" t="e">
        <f>IF($D$1212="",0,$D1518*Table3[[#This Row],[CF]]*chronic_consumption!$J318/1000/$C$3)</f>
        <v>#DIV/0!</v>
      </c>
      <c r="P1518" s="1102" t="e">
        <f>IF($D$1212="",0,$D1518*Table3[[#This Row],[CF]]*chronic_consumption!$K318/1000/$C$3)</f>
        <v>#DIV/0!</v>
      </c>
      <c r="Q1518" s="1102" t="e">
        <f>IF($D$1212="",0,$D1518*Table3[[#This Row],[CF]]*chronic_consumption!$L318/1000/$C$3)</f>
        <v>#DIV/0!</v>
      </c>
      <c r="R1518" s="1102" t="e">
        <f>IF($D$1212="",0,$D1518*Table3[[#This Row],[CF]]*chronic_consumption!$M318/1000/$C$3)</f>
        <v>#DIV/0!</v>
      </c>
      <c r="S1518" s="1102" t="e">
        <f>IF($D$1212="",0,$D1518*Table3[[#This Row],[CF]]*chronic_consumption!$N318/1000/$C$3)</f>
        <v>#DIV/0!</v>
      </c>
      <c r="T1518" s="1102" t="e">
        <f>IF($D$1212="",0,$D1518*Table3[[#This Row],[CF]]*chronic_consumption!$O318/1000/$C$3)</f>
        <v>#DIV/0!</v>
      </c>
      <c r="U1518" s="1102" t="e">
        <f>IF($D$1212="",0,$D1518*Table3[[#This Row],[CF]]*chronic_consumption!$P318/1000/$C$3)</f>
        <v>#DIV/0!</v>
      </c>
      <c r="V1518" s="1102" t="e">
        <f>IF($D$1212="",0,$D1518*Table3[[#This Row],[CF]]*chronic_consumption!$Q318/1000/$C$3)</f>
        <v>#DIV/0!</v>
      </c>
      <c r="W1518" s="1102" t="e">
        <f>IF($D$1212="",0,$D1518*Table3[[#This Row],[CF]]*chronic_consumption!$R318/1000/$C$3)</f>
        <v>#DIV/0!</v>
      </c>
      <c r="X1518" s="1102" t="e">
        <f>IF($D$1212="",0,$D1518*Table3[[#This Row],[CF]]*chronic_consumption!$S318/1000/$C$3)</f>
        <v>#DIV/0!</v>
      </c>
      <c r="Y1518" s="1102" t="e">
        <f>IF($D$1212="",0,$D1518*Table3[[#This Row],[CF]]*chronic_consumption!$T318/1000/$C$3)</f>
        <v>#DIV/0!</v>
      </c>
      <c r="Z1518" s="1102" t="e">
        <f>IF($D$1212="",0,$D1518*Table3[[#This Row],[CF]]*chronic_consumption!$U318/1000/$C$3)</f>
        <v>#DIV/0!</v>
      </c>
      <c r="AA1518" s="1102" t="e">
        <f>IF($D$1212="",0,$D1518*Table3[[#This Row],[CF]]*chronic_consumption!$V318/1000/$C$3)</f>
        <v>#DIV/0!</v>
      </c>
      <c r="AB1518" s="1102" t="e">
        <f>IF($D$1212="",0,$D1518*Table3[[#This Row],[CF]]*chronic_consumption!$W318/1000/$C$3)</f>
        <v>#DIV/0!</v>
      </c>
      <c r="AC1518" s="1102" t="e">
        <f>IF($D$1212="",0,$D1518*Table3[[#This Row],[CF]]*chronic_consumption!$X318/1000/$C$3)</f>
        <v>#DIV/0!</v>
      </c>
      <c r="AD1518" s="1102" t="e">
        <f>IF($D$1212="",0,$D1518*Table3[[#This Row],[CF]]*chronic_consumption!$Y318/1000/$C$3)</f>
        <v>#DIV/0!</v>
      </c>
      <c r="AE1518" s="1102" t="e">
        <f>IF($D$1212="",0,$D1518*Table3[[#This Row],[CF]]*chronic_consumption!$Z318/1000/$C$3)</f>
        <v>#DIV/0!</v>
      </c>
      <c r="AF1518" s="1102" t="e">
        <f>IF($D$1212="",0,$D1518*Table3[[#This Row],[CF]]*chronic_consumption!$AA318/1000/$C$3)</f>
        <v>#DIV/0!</v>
      </c>
      <c r="AG1518" s="1102" t="e">
        <f>IF($D$1212="",0,$D1518*Table3[[#This Row],[CF]]*chronic_consumption!$AB318/1000/$C$3)</f>
        <v>#DIV/0!</v>
      </c>
      <c r="AH1518" s="1102" t="e">
        <f>IF($D$1212="",0,$D1518*Table3[[#This Row],[CF]]*chronic_consumption!$AC318/1000/$C$3)</f>
        <v>#DIV/0!</v>
      </c>
      <c r="AI1518" s="1102" t="e">
        <f>IF($D$1212="",0,$D1518*Table3[[#This Row],[CF]]*chronic_consumption!$AD318/1000/$C$3)</f>
        <v>#DIV/0!</v>
      </c>
      <c r="AJ1518" s="1102" t="e">
        <f>IF($D$1212="",0,$D1518*Table3[[#This Row],[CF]]*chronic_consumption!$AE318/1000/$C$3)</f>
        <v>#DIV/0!</v>
      </c>
      <c r="AK1518" s="1102" t="e">
        <f>IF($D$1212="",0,$D1518*Table3[[#This Row],[CF]]*chronic_consumption!$AF318/1000/$C$3)</f>
        <v>#DIV/0!</v>
      </c>
      <c r="AL1518" s="1102" t="e">
        <f>IF($D$1212="",0,$D1518*Table3[[#This Row],[CF]]*chronic_consumption!$AG318/1000/$C$3)</f>
        <v>#DIV/0!</v>
      </c>
      <c r="AM1518" s="1102" t="e">
        <f>IF($D$1212="",0,$D1518*Table3[[#This Row],[CF]]*chronic_consumption!$AH318/1000/$C$3)</f>
        <v>#DIV/0!</v>
      </c>
      <c r="AN1518" s="1102" t="e">
        <f>IF($D$1212="",0,$D1518*Table3[[#This Row],[CF]]*chronic_consumption!$AI318/1000/$C$3)</f>
        <v>#DIV/0!</v>
      </c>
      <c r="AO1518" s="1102" t="e">
        <f>IF($D$1212="",0,$D1518*Table3[[#This Row],[CF]]*chronic_consumption!$AJ318/1000/$C$3)</f>
        <v>#DIV/0!</v>
      </c>
      <c r="AP1518" s="1102" t="e">
        <f>IF($D$1212="",0,$D1518*Table3[[#This Row],[CF]]*chronic_consumption!$AK318/1000/$C$3)</f>
        <v>#DIV/0!</v>
      </c>
      <c r="AQ1518" s="1102" t="e">
        <f>IF($D$1212="",0,$D1518*Table3[[#This Row],[CF]]*chronic_consumption!$AL318/1000/$C$3)</f>
        <v>#DIV/0!</v>
      </c>
      <c r="AR1518" s="1102" t="e">
        <f>IF($D$1212="",0,$D1518*Table3[[#This Row],[CF]]*chronic_consumption!$AM318/1000/$C$3)</f>
        <v>#DIV/0!</v>
      </c>
      <c r="AS1518" s="1102" t="e">
        <f>IF($D$1212="",0,$D1518*Table3[[#This Row],[CF]]*chronic_consumption!$AN318/1000/$C$3)</f>
        <v>#DIV/0!</v>
      </c>
      <c r="AT1518" s="1102" t="e">
        <f>IF($D$1212="",0,$D1518*Table3[[#This Row],[CF]]*chronic_consumption!$AO318/1000/$C$3)</f>
        <v>#DIV/0!</v>
      </c>
      <c r="AU1518" s="1090" t="e">
        <f t="shared" si="885"/>
        <v>#DIV/0!</v>
      </c>
      <c r="AV1518" s="1090" t="e">
        <f t="shared" si="885"/>
        <v>#DIV/0!</v>
      </c>
      <c r="AW1518" s="1090" t="e">
        <f t="shared" si="885"/>
        <v>#DIV/0!</v>
      </c>
      <c r="AX1518" s="1090" t="e">
        <f t="shared" si="885"/>
        <v>#DIV/0!</v>
      </c>
      <c r="AY1518" s="1090" t="e">
        <f t="shared" si="885"/>
        <v>#DIV/0!</v>
      </c>
      <c r="AZ1518" s="1091" t="s">
        <v>1012</v>
      </c>
      <c r="BA1518" s="1097" t="e">
        <f>IF(Table3[[#This Row],[max]]&lt;&gt;0,RANK(Table3[[#This Row],[max]],Table3[max],0),"")</f>
        <v>#DIV/0!</v>
      </c>
      <c r="BB1518" s="1096" t="e">
        <f t="shared" si="876"/>
        <v>#DIV/0!</v>
      </c>
      <c r="BC1518" s="1096" t="e">
        <f t="shared" ca="1" si="877"/>
        <v>#DIV/0!</v>
      </c>
      <c r="BD1518" s="1096" t="e">
        <f>IF(Table3[[#This Row],[max]]&gt;0,Table3[[#This Row],[Crop groups and examples of individual products within the groups to which the MRLs apply]],"")</f>
        <v>#DIV/0!</v>
      </c>
    </row>
    <row r="1519" spans="2:56" x14ac:dyDescent="0.2">
      <c r="B1519" s="23">
        <f t="shared" si="884"/>
        <v>900010</v>
      </c>
      <c r="C1519" s="23" t="str">
        <f t="shared" si="884"/>
        <v>Sugar beet roots</v>
      </c>
      <c r="D1519" s="1084">
        <f>input_values!E319</f>
        <v>0</v>
      </c>
      <c r="E1519" s="1084">
        <f>input_values!F319</f>
        <v>0</v>
      </c>
      <c r="F1519" s="1085">
        <f>input_values!W319</f>
        <v>1</v>
      </c>
      <c r="G1519" s="1085" t="str">
        <f>IF(Table3[[#This Row],[CF]]&gt;0,CONCATENATE(IF(Table3[[#This Row],[LOQ]]="*","LOQ","MRL"),IF(input_values!G319&gt;0,"×CFrisk","")),"")</f>
        <v>MRL</v>
      </c>
      <c r="H1519" s="1087">
        <f>input_values!L319</f>
        <v>0</v>
      </c>
      <c r="I1519" s="1088">
        <f>input_values!D319</f>
        <v>0</v>
      </c>
      <c r="J1519" s="1098" t="e">
        <f>IF($D$1212="",0,$D1519*Table3[[#This Row],[CF]]*chronic_consumption!$E319/1000/$C$3)</f>
        <v>#DIV/0!</v>
      </c>
      <c r="K1519" s="1098" t="e">
        <f>IF($D$1212="",0,$D1519*Table3[[#This Row],[CF]]*chronic_consumption!$F319/1000/$C$3)</f>
        <v>#DIV/0!</v>
      </c>
      <c r="L1519" s="1098" t="e">
        <f>IF($D$1212="",0,$D1519*Table3[[#This Row],[CF]]*chronic_consumption!$G319/1000/$C$3)</f>
        <v>#DIV/0!</v>
      </c>
      <c r="M1519" s="1098" t="e">
        <f>IF($D$1212="",0,$D1519*Table3[[#This Row],[CF]]*chronic_consumption!$H319/1000/$C$3)</f>
        <v>#DIV/0!</v>
      </c>
      <c r="N1519" s="1098" t="e">
        <f>IF($D$1212="",0,$D1519*Table3[[#This Row],[CF]]*chronic_consumption!$I319/1000/$C$3)</f>
        <v>#DIV/0!</v>
      </c>
      <c r="O1519" s="1098" t="e">
        <f>IF($D$1212="",0,$D1519*Table3[[#This Row],[CF]]*chronic_consumption!$J319/1000/$C$3)</f>
        <v>#DIV/0!</v>
      </c>
      <c r="P1519" s="1098" t="e">
        <f>IF($D$1212="",0,$D1519*Table3[[#This Row],[CF]]*chronic_consumption!$K319/1000/$C$3)</f>
        <v>#DIV/0!</v>
      </c>
      <c r="Q1519" s="1098" t="e">
        <f>IF($D$1212="",0,$D1519*Table3[[#This Row],[CF]]*chronic_consumption!$L319/1000/$C$3)</f>
        <v>#DIV/0!</v>
      </c>
      <c r="R1519" s="1098" t="e">
        <f>IF($D$1212="",0,$D1519*Table3[[#This Row],[CF]]*chronic_consumption!$M319/1000/$C$3)</f>
        <v>#DIV/0!</v>
      </c>
      <c r="S1519" s="1098" t="e">
        <f>IF($D$1212="",0,$D1519*Table3[[#This Row],[CF]]*chronic_consumption!$N319/1000/$C$3)</f>
        <v>#DIV/0!</v>
      </c>
      <c r="T1519" s="1098" t="e">
        <f>IF($D$1212="",0,$D1519*Table3[[#This Row],[CF]]*chronic_consumption!$O319/1000/$C$3)</f>
        <v>#DIV/0!</v>
      </c>
      <c r="U1519" s="1098" t="e">
        <f>IF($D$1212="",0,$D1519*Table3[[#This Row],[CF]]*chronic_consumption!$P319/1000/$C$3)</f>
        <v>#DIV/0!</v>
      </c>
      <c r="V1519" s="1098" t="e">
        <f>IF($D$1212="",0,$D1519*Table3[[#This Row],[CF]]*chronic_consumption!$Q319/1000/$C$3)</f>
        <v>#DIV/0!</v>
      </c>
      <c r="W1519" s="1098" t="e">
        <f>IF($D$1212="",0,$D1519*Table3[[#This Row],[CF]]*chronic_consumption!$R319/1000/$C$3)</f>
        <v>#DIV/0!</v>
      </c>
      <c r="X1519" s="1098" t="e">
        <f>IF($D$1212="",0,$D1519*Table3[[#This Row],[CF]]*chronic_consumption!$S319/1000/$C$3)</f>
        <v>#DIV/0!</v>
      </c>
      <c r="Y1519" s="1098" t="e">
        <f>IF($D$1212="",0,$D1519*Table3[[#This Row],[CF]]*chronic_consumption!$T319/1000/$C$3)</f>
        <v>#DIV/0!</v>
      </c>
      <c r="Z1519" s="1098" t="e">
        <f>IF($D$1212="",0,$D1519*Table3[[#This Row],[CF]]*chronic_consumption!$U319/1000/$C$3)</f>
        <v>#DIV/0!</v>
      </c>
      <c r="AA1519" s="1098" t="e">
        <f>IF($D$1212="",0,$D1519*Table3[[#This Row],[CF]]*chronic_consumption!$V319/1000/$C$3)</f>
        <v>#DIV/0!</v>
      </c>
      <c r="AB1519" s="1098" t="e">
        <f>IF($D$1212="",0,$D1519*Table3[[#This Row],[CF]]*chronic_consumption!$W319/1000/$C$3)</f>
        <v>#DIV/0!</v>
      </c>
      <c r="AC1519" s="1098" t="e">
        <f>IF($D$1212="",0,$D1519*Table3[[#This Row],[CF]]*chronic_consumption!$X319/1000/$C$3)</f>
        <v>#DIV/0!</v>
      </c>
      <c r="AD1519" s="1098" t="e">
        <f>IF($D$1212="",0,$D1519*Table3[[#This Row],[CF]]*chronic_consumption!$Y319/1000/$C$3)</f>
        <v>#DIV/0!</v>
      </c>
      <c r="AE1519" s="1098" t="e">
        <f>IF($D$1212="",0,$D1519*Table3[[#This Row],[CF]]*chronic_consumption!$Z319/1000/$C$3)</f>
        <v>#DIV/0!</v>
      </c>
      <c r="AF1519" s="1098" t="e">
        <f>IF($D$1212="",0,$D1519*Table3[[#This Row],[CF]]*chronic_consumption!$AA319/1000/$C$3)</f>
        <v>#DIV/0!</v>
      </c>
      <c r="AG1519" s="1098" t="e">
        <f>IF($D$1212="",0,$D1519*Table3[[#This Row],[CF]]*chronic_consumption!$AB319/1000/$C$3)</f>
        <v>#DIV/0!</v>
      </c>
      <c r="AH1519" s="1098" t="e">
        <f>IF($D$1212="",0,$D1519*Table3[[#This Row],[CF]]*chronic_consumption!$AC319/1000/$C$3)</f>
        <v>#DIV/0!</v>
      </c>
      <c r="AI1519" s="1098" t="e">
        <f>IF($D$1212="",0,$D1519*Table3[[#This Row],[CF]]*chronic_consumption!$AD319/1000/$C$3)</f>
        <v>#DIV/0!</v>
      </c>
      <c r="AJ1519" s="1098" t="e">
        <f>IF($D$1212="",0,$D1519*Table3[[#This Row],[CF]]*chronic_consumption!$AE319/1000/$C$3)</f>
        <v>#DIV/0!</v>
      </c>
      <c r="AK1519" s="1098" t="e">
        <f>IF($D$1212="",0,$D1519*Table3[[#This Row],[CF]]*chronic_consumption!$AF319/1000/$C$3)</f>
        <v>#DIV/0!</v>
      </c>
      <c r="AL1519" s="1098" t="e">
        <f>IF($D$1212="",0,$D1519*Table3[[#This Row],[CF]]*chronic_consumption!$AG319/1000/$C$3)</f>
        <v>#DIV/0!</v>
      </c>
      <c r="AM1519" s="1098" t="e">
        <f>IF($D$1212="",0,$D1519*Table3[[#This Row],[CF]]*chronic_consumption!$AH319/1000/$C$3)</f>
        <v>#DIV/0!</v>
      </c>
      <c r="AN1519" s="1098" t="e">
        <f>IF($D$1212="",0,$D1519*Table3[[#This Row],[CF]]*chronic_consumption!$AI319/1000/$C$3)</f>
        <v>#DIV/0!</v>
      </c>
      <c r="AO1519" s="1098" t="e">
        <f>IF($D$1212="",0,$D1519*Table3[[#This Row],[CF]]*chronic_consumption!$AJ319/1000/$C$3)</f>
        <v>#DIV/0!</v>
      </c>
      <c r="AP1519" s="1098" t="e">
        <f>IF($D$1212="",0,$D1519*Table3[[#This Row],[CF]]*chronic_consumption!$AK319/1000/$C$3)</f>
        <v>#DIV/0!</v>
      </c>
      <c r="AQ1519" s="1098" t="e">
        <f>IF($D$1212="",0,$D1519*Table3[[#This Row],[CF]]*chronic_consumption!$AL319/1000/$C$3)</f>
        <v>#DIV/0!</v>
      </c>
      <c r="AR1519" s="1098" t="e">
        <f>IF($D$1212="",0,$D1519*Table3[[#This Row],[CF]]*chronic_consumption!$AM319/1000/$C$3)</f>
        <v>#DIV/0!</v>
      </c>
      <c r="AS1519" s="1098" t="e">
        <f>IF($D$1212="",0,$D1519*Table3[[#This Row],[CF]]*chronic_consumption!$AN319/1000/$C$3)</f>
        <v>#DIV/0!</v>
      </c>
      <c r="AT1519" s="1098" t="e">
        <f>IF($D$1212="",0,$D1519*Table3[[#This Row],[CF]]*chronic_consumption!$AO319/1000/$C$3)</f>
        <v>#DIV/0!</v>
      </c>
      <c r="AU1519" s="1099" t="e">
        <f t="shared" si="885"/>
        <v>#DIV/0!</v>
      </c>
      <c r="AV1519" s="1099" t="e">
        <f t="shared" si="885"/>
        <v>#DIV/0!</v>
      </c>
      <c r="AW1519" s="1099" t="e">
        <f t="shared" si="885"/>
        <v>#DIV/0!</v>
      </c>
      <c r="AX1519" s="1099" t="e">
        <f t="shared" si="885"/>
        <v>#DIV/0!</v>
      </c>
      <c r="AY1519" s="1099" t="e">
        <f t="shared" si="885"/>
        <v>#DIV/0!</v>
      </c>
      <c r="AZ1519" s="1091" t="s">
        <v>1012</v>
      </c>
      <c r="BA1519" s="1097" t="e">
        <f>IF(Table3[[#This Row],[max]]&lt;&gt;0,RANK(Table3[[#This Row],[max]],Table3[max],0),"")</f>
        <v>#DIV/0!</v>
      </c>
      <c r="BB1519" s="1096" t="e">
        <f t="shared" si="876"/>
        <v>#DIV/0!</v>
      </c>
      <c r="BC1519" s="1096" t="e">
        <f t="shared" ca="1" si="877"/>
        <v>#DIV/0!</v>
      </c>
      <c r="BD1519" s="1096" t="e">
        <f>IF(Table3[[#This Row],[max]]&gt;0,Table3[[#This Row],[Crop groups and examples of individual products within the groups to which the MRLs apply]],"")</f>
        <v>#DIV/0!</v>
      </c>
    </row>
    <row r="1520" spans="2:56" x14ac:dyDescent="0.2">
      <c r="B1520" s="23">
        <f t="shared" si="884"/>
        <v>900020</v>
      </c>
      <c r="C1520" s="23" t="str">
        <f t="shared" si="884"/>
        <v>Sugar canes</v>
      </c>
      <c r="D1520" s="1084">
        <f>input_values!E320</f>
        <v>0</v>
      </c>
      <c r="E1520" s="1084">
        <f>input_values!F320</f>
        <v>0</v>
      </c>
      <c r="F1520" s="1085">
        <f>input_values!W320</f>
        <v>1</v>
      </c>
      <c r="G1520" s="1085" t="str">
        <f>IF(Table3[[#This Row],[CF]]&gt;0,CONCATENATE(IF(Table3[[#This Row],[LOQ]]="*","LOQ","MRL"),IF(input_values!G320&gt;0,"×CFrisk","")),"")</f>
        <v>MRL</v>
      </c>
      <c r="H1520" s="1087">
        <f>input_values!L320</f>
        <v>0</v>
      </c>
      <c r="I1520" s="1088">
        <f>input_values!D320</f>
        <v>0</v>
      </c>
      <c r="J1520" s="1098" t="e">
        <f>IF($D$1212="",0,$D1520*Table3[[#This Row],[CF]]*chronic_consumption!$E320/1000/$C$3)</f>
        <v>#DIV/0!</v>
      </c>
      <c r="K1520" s="1098" t="e">
        <f>IF($D$1212="",0,$D1520*Table3[[#This Row],[CF]]*chronic_consumption!$F320/1000/$C$3)</f>
        <v>#DIV/0!</v>
      </c>
      <c r="L1520" s="1098" t="e">
        <f>IF($D$1212="",0,$D1520*Table3[[#This Row],[CF]]*chronic_consumption!$G320/1000/$C$3)</f>
        <v>#DIV/0!</v>
      </c>
      <c r="M1520" s="1098" t="e">
        <f>IF($D$1212="",0,$D1520*Table3[[#This Row],[CF]]*chronic_consumption!$H320/1000/$C$3)</f>
        <v>#DIV/0!</v>
      </c>
      <c r="N1520" s="1098" t="e">
        <f>IF($D$1212="",0,$D1520*Table3[[#This Row],[CF]]*chronic_consumption!$I320/1000/$C$3)</f>
        <v>#DIV/0!</v>
      </c>
      <c r="O1520" s="1098" t="e">
        <f>IF($D$1212="",0,$D1520*Table3[[#This Row],[CF]]*chronic_consumption!$J320/1000/$C$3)</f>
        <v>#DIV/0!</v>
      </c>
      <c r="P1520" s="1098" t="e">
        <f>IF($D$1212="",0,$D1520*Table3[[#This Row],[CF]]*chronic_consumption!$K320/1000/$C$3)</f>
        <v>#DIV/0!</v>
      </c>
      <c r="Q1520" s="1098" t="e">
        <f>IF($D$1212="",0,$D1520*Table3[[#This Row],[CF]]*chronic_consumption!$L320/1000/$C$3)</f>
        <v>#DIV/0!</v>
      </c>
      <c r="R1520" s="1098" t="e">
        <f>IF($D$1212="",0,$D1520*Table3[[#This Row],[CF]]*chronic_consumption!$M320/1000/$C$3)</f>
        <v>#DIV/0!</v>
      </c>
      <c r="S1520" s="1098" t="e">
        <f>IF($D$1212="",0,$D1520*Table3[[#This Row],[CF]]*chronic_consumption!$N320/1000/$C$3)</f>
        <v>#DIV/0!</v>
      </c>
      <c r="T1520" s="1098" t="e">
        <f>IF($D$1212="",0,$D1520*Table3[[#This Row],[CF]]*chronic_consumption!$O320/1000/$C$3)</f>
        <v>#DIV/0!</v>
      </c>
      <c r="U1520" s="1098" t="e">
        <f>IF($D$1212="",0,$D1520*Table3[[#This Row],[CF]]*chronic_consumption!$P320/1000/$C$3)</f>
        <v>#DIV/0!</v>
      </c>
      <c r="V1520" s="1098" t="e">
        <f>IF($D$1212="",0,$D1520*Table3[[#This Row],[CF]]*chronic_consumption!$Q320/1000/$C$3)</f>
        <v>#DIV/0!</v>
      </c>
      <c r="W1520" s="1098" t="e">
        <f>IF($D$1212="",0,$D1520*Table3[[#This Row],[CF]]*chronic_consumption!$R320/1000/$C$3)</f>
        <v>#DIV/0!</v>
      </c>
      <c r="X1520" s="1098" t="e">
        <f>IF($D$1212="",0,$D1520*Table3[[#This Row],[CF]]*chronic_consumption!$S320/1000/$C$3)</f>
        <v>#DIV/0!</v>
      </c>
      <c r="Y1520" s="1098" t="e">
        <f>IF($D$1212="",0,$D1520*Table3[[#This Row],[CF]]*chronic_consumption!$T320/1000/$C$3)</f>
        <v>#DIV/0!</v>
      </c>
      <c r="Z1520" s="1098" t="e">
        <f>IF($D$1212="",0,$D1520*Table3[[#This Row],[CF]]*chronic_consumption!$U320/1000/$C$3)</f>
        <v>#DIV/0!</v>
      </c>
      <c r="AA1520" s="1098" t="e">
        <f>IF($D$1212="",0,$D1520*Table3[[#This Row],[CF]]*chronic_consumption!$V320/1000/$C$3)</f>
        <v>#DIV/0!</v>
      </c>
      <c r="AB1520" s="1098" t="e">
        <f>IF($D$1212="",0,$D1520*Table3[[#This Row],[CF]]*chronic_consumption!$W320/1000/$C$3)</f>
        <v>#DIV/0!</v>
      </c>
      <c r="AC1520" s="1098" t="e">
        <f>IF($D$1212="",0,$D1520*Table3[[#This Row],[CF]]*chronic_consumption!$X320/1000/$C$3)</f>
        <v>#DIV/0!</v>
      </c>
      <c r="AD1520" s="1098" t="e">
        <f>IF($D$1212="",0,$D1520*Table3[[#This Row],[CF]]*chronic_consumption!$Y320/1000/$C$3)</f>
        <v>#DIV/0!</v>
      </c>
      <c r="AE1520" s="1098" t="e">
        <f>IF($D$1212="",0,$D1520*Table3[[#This Row],[CF]]*chronic_consumption!$Z320/1000/$C$3)</f>
        <v>#DIV/0!</v>
      </c>
      <c r="AF1520" s="1098" t="e">
        <f>IF($D$1212="",0,$D1520*Table3[[#This Row],[CF]]*chronic_consumption!$AA320/1000/$C$3)</f>
        <v>#DIV/0!</v>
      </c>
      <c r="AG1520" s="1098" t="e">
        <f>IF($D$1212="",0,$D1520*Table3[[#This Row],[CF]]*chronic_consumption!$AB320/1000/$C$3)</f>
        <v>#DIV/0!</v>
      </c>
      <c r="AH1520" s="1098" t="e">
        <f>IF($D$1212="",0,$D1520*Table3[[#This Row],[CF]]*chronic_consumption!$AC320/1000/$C$3)</f>
        <v>#DIV/0!</v>
      </c>
      <c r="AI1520" s="1098" t="e">
        <f>IF($D$1212="",0,$D1520*Table3[[#This Row],[CF]]*chronic_consumption!$AD320/1000/$C$3)</f>
        <v>#DIV/0!</v>
      </c>
      <c r="AJ1520" s="1098" t="e">
        <f>IF($D$1212="",0,$D1520*Table3[[#This Row],[CF]]*chronic_consumption!$AE320/1000/$C$3)</f>
        <v>#DIV/0!</v>
      </c>
      <c r="AK1520" s="1098" t="e">
        <f>IF($D$1212="",0,$D1520*Table3[[#This Row],[CF]]*chronic_consumption!$AF320/1000/$C$3)</f>
        <v>#DIV/0!</v>
      </c>
      <c r="AL1520" s="1098" t="e">
        <f>IF($D$1212="",0,$D1520*Table3[[#This Row],[CF]]*chronic_consumption!$AG320/1000/$C$3)</f>
        <v>#DIV/0!</v>
      </c>
      <c r="AM1520" s="1098" t="e">
        <f>IF($D$1212="",0,$D1520*Table3[[#This Row],[CF]]*chronic_consumption!$AH320/1000/$C$3)</f>
        <v>#DIV/0!</v>
      </c>
      <c r="AN1520" s="1098" t="e">
        <f>IF($D$1212="",0,$D1520*Table3[[#This Row],[CF]]*chronic_consumption!$AI320/1000/$C$3)</f>
        <v>#DIV/0!</v>
      </c>
      <c r="AO1520" s="1098" t="e">
        <f>IF($D$1212="",0,$D1520*Table3[[#This Row],[CF]]*chronic_consumption!$AJ320/1000/$C$3)</f>
        <v>#DIV/0!</v>
      </c>
      <c r="AP1520" s="1098" t="e">
        <f>IF($D$1212="",0,$D1520*Table3[[#This Row],[CF]]*chronic_consumption!$AK320/1000/$C$3)</f>
        <v>#DIV/0!</v>
      </c>
      <c r="AQ1520" s="1098" t="e">
        <f>IF($D$1212="",0,$D1520*Table3[[#This Row],[CF]]*chronic_consumption!$AL320/1000/$C$3)</f>
        <v>#DIV/0!</v>
      </c>
      <c r="AR1520" s="1098" t="e">
        <f>IF($D$1212="",0,$D1520*Table3[[#This Row],[CF]]*chronic_consumption!$AM320/1000/$C$3)</f>
        <v>#DIV/0!</v>
      </c>
      <c r="AS1520" s="1098" t="e">
        <f>IF($D$1212="",0,$D1520*Table3[[#This Row],[CF]]*chronic_consumption!$AN320/1000/$C$3)</f>
        <v>#DIV/0!</v>
      </c>
      <c r="AT1520" s="1098" t="e">
        <f>IF($D$1212="",0,$D1520*Table3[[#This Row],[CF]]*chronic_consumption!$AO320/1000/$C$3)</f>
        <v>#DIV/0!</v>
      </c>
      <c r="AU1520" s="1099" t="e">
        <f t="shared" si="885"/>
        <v>#DIV/0!</v>
      </c>
      <c r="AV1520" s="1099" t="e">
        <f t="shared" si="885"/>
        <v>#DIV/0!</v>
      </c>
      <c r="AW1520" s="1099" t="e">
        <f t="shared" si="885"/>
        <v>#DIV/0!</v>
      </c>
      <c r="AX1520" s="1099" t="e">
        <f t="shared" si="885"/>
        <v>#DIV/0!</v>
      </c>
      <c r="AY1520" s="1099" t="e">
        <f t="shared" si="885"/>
        <v>#DIV/0!</v>
      </c>
      <c r="AZ1520" s="1091" t="s">
        <v>1012</v>
      </c>
      <c r="BA1520" s="1097" t="e">
        <f>IF(Table3[[#This Row],[max]]&lt;&gt;0,RANK(Table3[[#This Row],[max]],Table3[max],0),"")</f>
        <v>#DIV/0!</v>
      </c>
      <c r="BB1520" s="1096" t="e">
        <f t="shared" si="876"/>
        <v>#DIV/0!</v>
      </c>
      <c r="BC1520" s="1096" t="e">
        <f t="shared" ca="1" si="877"/>
        <v>#DIV/0!</v>
      </c>
      <c r="BD1520" s="1096" t="e">
        <f>IF(Table3[[#This Row],[max]]&gt;0,Table3[[#This Row],[Crop groups and examples of individual products within the groups to which the MRLs apply]],"")</f>
        <v>#DIV/0!</v>
      </c>
    </row>
    <row r="1521" spans="2:56" x14ac:dyDescent="0.2">
      <c r="B1521" s="23">
        <f t="shared" si="884"/>
        <v>900030</v>
      </c>
      <c r="C1521" s="23" t="str">
        <f t="shared" si="884"/>
        <v>Chicory roots</v>
      </c>
      <c r="D1521" s="1084">
        <f>input_values!E321</f>
        <v>0</v>
      </c>
      <c r="E1521" s="1084">
        <f>input_values!F321</f>
        <v>0</v>
      </c>
      <c r="F1521" s="1085">
        <f>input_values!W321</f>
        <v>1</v>
      </c>
      <c r="G1521" s="1085" t="str">
        <f>IF(Table3[[#This Row],[CF]]&gt;0,CONCATENATE(IF(Table3[[#This Row],[LOQ]]="*","LOQ","MRL"),IF(input_values!G321&gt;0,"×CFrisk","")),"")</f>
        <v>MRL</v>
      </c>
      <c r="H1521" s="1087">
        <f>input_values!L321</f>
        <v>0</v>
      </c>
      <c r="I1521" s="1088">
        <f>input_values!D321</f>
        <v>0</v>
      </c>
      <c r="J1521" s="1098" t="e">
        <f>IF($D$1212="",0,$D1521*Table3[[#This Row],[CF]]*chronic_consumption!$E321/1000/$C$3)</f>
        <v>#DIV/0!</v>
      </c>
      <c r="K1521" s="1098" t="e">
        <f>IF($D$1212="",0,$D1521*Table3[[#This Row],[CF]]*chronic_consumption!$F321/1000/$C$3)</f>
        <v>#DIV/0!</v>
      </c>
      <c r="L1521" s="1098" t="e">
        <f>IF($D$1212="",0,$D1521*Table3[[#This Row],[CF]]*chronic_consumption!$G321/1000/$C$3)</f>
        <v>#DIV/0!</v>
      </c>
      <c r="M1521" s="1098" t="e">
        <f>IF($D$1212="",0,$D1521*Table3[[#This Row],[CF]]*chronic_consumption!$H321/1000/$C$3)</f>
        <v>#DIV/0!</v>
      </c>
      <c r="N1521" s="1098" t="e">
        <f>IF($D$1212="",0,$D1521*Table3[[#This Row],[CF]]*chronic_consumption!$I321/1000/$C$3)</f>
        <v>#DIV/0!</v>
      </c>
      <c r="O1521" s="1098" t="e">
        <f>IF($D$1212="",0,$D1521*Table3[[#This Row],[CF]]*chronic_consumption!$J321/1000/$C$3)</f>
        <v>#DIV/0!</v>
      </c>
      <c r="P1521" s="1098" t="e">
        <f>IF($D$1212="",0,$D1521*Table3[[#This Row],[CF]]*chronic_consumption!$K321/1000/$C$3)</f>
        <v>#DIV/0!</v>
      </c>
      <c r="Q1521" s="1098" t="e">
        <f>IF($D$1212="",0,$D1521*Table3[[#This Row],[CF]]*chronic_consumption!$L321/1000/$C$3)</f>
        <v>#DIV/0!</v>
      </c>
      <c r="R1521" s="1098" t="e">
        <f>IF($D$1212="",0,$D1521*Table3[[#This Row],[CF]]*chronic_consumption!$M321/1000/$C$3)</f>
        <v>#DIV/0!</v>
      </c>
      <c r="S1521" s="1098" t="e">
        <f>IF($D$1212="",0,$D1521*Table3[[#This Row],[CF]]*chronic_consumption!$N321/1000/$C$3)</f>
        <v>#DIV/0!</v>
      </c>
      <c r="T1521" s="1098" t="e">
        <f>IF($D$1212="",0,$D1521*Table3[[#This Row],[CF]]*chronic_consumption!$O321/1000/$C$3)</f>
        <v>#DIV/0!</v>
      </c>
      <c r="U1521" s="1098" t="e">
        <f>IF($D$1212="",0,$D1521*Table3[[#This Row],[CF]]*chronic_consumption!$P321/1000/$C$3)</f>
        <v>#DIV/0!</v>
      </c>
      <c r="V1521" s="1098" t="e">
        <f>IF($D$1212="",0,$D1521*Table3[[#This Row],[CF]]*chronic_consumption!$Q321/1000/$C$3)</f>
        <v>#DIV/0!</v>
      </c>
      <c r="W1521" s="1098" t="e">
        <f>IF($D$1212="",0,$D1521*Table3[[#This Row],[CF]]*chronic_consumption!$R321/1000/$C$3)</f>
        <v>#DIV/0!</v>
      </c>
      <c r="X1521" s="1098" t="e">
        <f>IF($D$1212="",0,$D1521*Table3[[#This Row],[CF]]*chronic_consumption!$S321/1000/$C$3)</f>
        <v>#DIV/0!</v>
      </c>
      <c r="Y1521" s="1098" t="e">
        <f>IF($D$1212="",0,$D1521*Table3[[#This Row],[CF]]*chronic_consumption!$T321/1000/$C$3)</f>
        <v>#DIV/0!</v>
      </c>
      <c r="Z1521" s="1098" t="e">
        <f>IF($D$1212="",0,$D1521*Table3[[#This Row],[CF]]*chronic_consumption!$U321/1000/$C$3)</f>
        <v>#DIV/0!</v>
      </c>
      <c r="AA1521" s="1098" t="e">
        <f>IF($D$1212="",0,$D1521*Table3[[#This Row],[CF]]*chronic_consumption!$V321/1000/$C$3)</f>
        <v>#DIV/0!</v>
      </c>
      <c r="AB1521" s="1098" t="e">
        <f>IF($D$1212="",0,$D1521*Table3[[#This Row],[CF]]*chronic_consumption!$W321/1000/$C$3)</f>
        <v>#DIV/0!</v>
      </c>
      <c r="AC1521" s="1098" t="e">
        <f>IF($D$1212="",0,$D1521*Table3[[#This Row],[CF]]*chronic_consumption!$X321/1000/$C$3)</f>
        <v>#DIV/0!</v>
      </c>
      <c r="AD1521" s="1098" t="e">
        <f>IF($D$1212="",0,$D1521*Table3[[#This Row],[CF]]*chronic_consumption!$Y321/1000/$C$3)</f>
        <v>#DIV/0!</v>
      </c>
      <c r="AE1521" s="1098" t="e">
        <f>IF($D$1212="",0,$D1521*Table3[[#This Row],[CF]]*chronic_consumption!$Z321/1000/$C$3)</f>
        <v>#DIV/0!</v>
      </c>
      <c r="AF1521" s="1098" t="e">
        <f>IF($D$1212="",0,$D1521*Table3[[#This Row],[CF]]*chronic_consumption!$AA321/1000/$C$3)</f>
        <v>#DIV/0!</v>
      </c>
      <c r="AG1521" s="1098" t="e">
        <f>IF($D$1212="",0,$D1521*Table3[[#This Row],[CF]]*chronic_consumption!$AB321/1000/$C$3)</f>
        <v>#DIV/0!</v>
      </c>
      <c r="AH1521" s="1098" t="e">
        <f>IF($D$1212="",0,$D1521*Table3[[#This Row],[CF]]*chronic_consumption!$AC321/1000/$C$3)</f>
        <v>#DIV/0!</v>
      </c>
      <c r="AI1521" s="1098" t="e">
        <f>IF($D$1212="",0,$D1521*Table3[[#This Row],[CF]]*chronic_consumption!$AD321/1000/$C$3)</f>
        <v>#DIV/0!</v>
      </c>
      <c r="AJ1521" s="1098" t="e">
        <f>IF($D$1212="",0,$D1521*Table3[[#This Row],[CF]]*chronic_consumption!$AE321/1000/$C$3)</f>
        <v>#DIV/0!</v>
      </c>
      <c r="AK1521" s="1098" t="e">
        <f>IF($D$1212="",0,$D1521*Table3[[#This Row],[CF]]*chronic_consumption!$AF321/1000/$C$3)</f>
        <v>#DIV/0!</v>
      </c>
      <c r="AL1521" s="1098" t="e">
        <f>IF($D$1212="",0,$D1521*Table3[[#This Row],[CF]]*chronic_consumption!$AG321/1000/$C$3)</f>
        <v>#DIV/0!</v>
      </c>
      <c r="AM1521" s="1098" t="e">
        <f>IF($D$1212="",0,$D1521*Table3[[#This Row],[CF]]*chronic_consumption!$AH321/1000/$C$3)</f>
        <v>#DIV/0!</v>
      </c>
      <c r="AN1521" s="1098" t="e">
        <f>IF($D$1212="",0,$D1521*Table3[[#This Row],[CF]]*chronic_consumption!$AI321/1000/$C$3)</f>
        <v>#DIV/0!</v>
      </c>
      <c r="AO1521" s="1098" t="e">
        <f>IF($D$1212="",0,$D1521*Table3[[#This Row],[CF]]*chronic_consumption!$AJ321/1000/$C$3)</f>
        <v>#DIV/0!</v>
      </c>
      <c r="AP1521" s="1098" t="e">
        <f>IF($D$1212="",0,$D1521*Table3[[#This Row],[CF]]*chronic_consumption!$AK321/1000/$C$3)</f>
        <v>#DIV/0!</v>
      </c>
      <c r="AQ1521" s="1098" t="e">
        <f>IF($D$1212="",0,$D1521*Table3[[#This Row],[CF]]*chronic_consumption!$AL321/1000/$C$3)</f>
        <v>#DIV/0!</v>
      </c>
      <c r="AR1521" s="1098" t="e">
        <f>IF($D$1212="",0,$D1521*Table3[[#This Row],[CF]]*chronic_consumption!$AM321/1000/$C$3)</f>
        <v>#DIV/0!</v>
      </c>
      <c r="AS1521" s="1098" t="e">
        <f>IF($D$1212="",0,$D1521*Table3[[#This Row],[CF]]*chronic_consumption!$AN321/1000/$C$3)</f>
        <v>#DIV/0!</v>
      </c>
      <c r="AT1521" s="1098" t="e">
        <f>IF($D$1212="",0,$D1521*Table3[[#This Row],[CF]]*chronic_consumption!$AO321/1000/$C$3)</f>
        <v>#DIV/0!</v>
      </c>
      <c r="AU1521" s="1099" t="e">
        <f t="shared" si="885"/>
        <v>#DIV/0!</v>
      </c>
      <c r="AV1521" s="1099" t="e">
        <f t="shared" si="885"/>
        <v>#DIV/0!</v>
      </c>
      <c r="AW1521" s="1099" t="e">
        <f t="shared" si="885"/>
        <v>#DIV/0!</v>
      </c>
      <c r="AX1521" s="1099" t="e">
        <f t="shared" si="885"/>
        <v>#DIV/0!</v>
      </c>
      <c r="AY1521" s="1099" t="e">
        <f t="shared" si="885"/>
        <v>#DIV/0!</v>
      </c>
      <c r="AZ1521" s="1091" t="s">
        <v>1012</v>
      </c>
      <c r="BA1521" s="1097" t="e">
        <f>IF(Table3[[#This Row],[max]]&lt;&gt;0,RANK(Table3[[#This Row],[max]],Table3[max],0),"")</f>
        <v>#DIV/0!</v>
      </c>
      <c r="BB1521" s="1096" t="e">
        <f t="shared" si="876"/>
        <v>#DIV/0!</v>
      </c>
      <c r="BC1521" s="1096" t="e">
        <f t="shared" ca="1" si="877"/>
        <v>#DIV/0!</v>
      </c>
      <c r="BD1521" s="1096" t="e">
        <f>IF(Table3[[#This Row],[max]]&gt;0,Table3[[#This Row],[Crop groups and examples of individual products within the groups to which the MRLs apply]],"")</f>
        <v>#DIV/0!</v>
      </c>
    </row>
    <row r="1522" spans="2:56" x14ac:dyDescent="0.2">
      <c r="B1522" s="23">
        <f t="shared" si="884"/>
        <v>900990</v>
      </c>
      <c r="C1522" s="23" t="str">
        <f t="shared" si="884"/>
        <v>Other sugar plants</v>
      </c>
      <c r="D1522" s="1084">
        <f>input_values!E322</f>
        <v>0</v>
      </c>
      <c r="E1522" s="1084">
        <f>input_values!F322</f>
        <v>0</v>
      </c>
      <c r="F1522" s="1085">
        <f>input_values!W322</f>
        <v>1</v>
      </c>
      <c r="G1522" s="1085" t="str">
        <f>IF(Table3[[#This Row],[CF]]&gt;0,CONCATENATE(IF(Table3[[#This Row],[LOQ]]="*","LOQ","MRL"),IF(input_values!G322&gt;0,"×CFrisk","")),"")</f>
        <v>MRL</v>
      </c>
      <c r="H1522" s="1087">
        <f>input_values!L322</f>
        <v>0</v>
      </c>
      <c r="I1522" s="1088">
        <f>input_values!D322</f>
        <v>0</v>
      </c>
      <c r="J1522" s="1098" t="e">
        <f>IF($D$1212="",0,$D1522*Table3[[#This Row],[CF]]*chronic_consumption!$E322/1000/$C$3)</f>
        <v>#DIV/0!</v>
      </c>
      <c r="K1522" s="1098" t="e">
        <f>IF($D$1212="",0,$D1522*Table3[[#This Row],[CF]]*chronic_consumption!$F322/1000/$C$3)</f>
        <v>#DIV/0!</v>
      </c>
      <c r="L1522" s="1098" t="e">
        <f>IF($D$1212="",0,$D1522*Table3[[#This Row],[CF]]*chronic_consumption!$G322/1000/$C$3)</f>
        <v>#DIV/0!</v>
      </c>
      <c r="M1522" s="1098" t="e">
        <f>IF($D$1212="",0,$D1522*Table3[[#This Row],[CF]]*chronic_consumption!$H322/1000/$C$3)</f>
        <v>#DIV/0!</v>
      </c>
      <c r="N1522" s="1098" t="e">
        <f>IF($D$1212="",0,$D1522*Table3[[#This Row],[CF]]*chronic_consumption!$I322/1000/$C$3)</f>
        <v>#DIV/0!</v>
      </c>
      <c r="O1522" s="1098" t="e">
        <f>IF($D$1212="",0,$D1522*Table3[[#This Row],[CF]]*chronic_consumption!$J322/1000/$C$3)</f>
        <v>#DIV/0!</v>
      </c>
      <c r="P1522" s="1098" t="e">
        <f>IF($D$1212="",0,$D1522*Table3[[#This Row],[CF]]*chronic_consumption!$K322/1000/$C$3)</f>
        <v>#DIV/0!</v>
      </c>
      <c r="Q1522" s="1098" t="e">
        <f>IF($D$1212="",0,$D1522*Table3[[#This Row],[CF]]*chronic_consumption!$L322/1000/$C$3)</f>
        <v>#DIV/0!</v>
      </c>
      <c r="R1522" s="1098" t="e">
        <f>IF($D$1212="",0,$D1522*Table3[[#This Row],[CF]]*chronic_consumption!$M322/1000/$C$3)</f>
        <v>#DIV/0!</v>
      </c>
      <c r="S1522" s="1098" t="e">
        <f>IF($D$1212="",0,$D1522*Table3[[#This Row],[CF]]*chronic_consumption!$N322/1000/$C$3)</f>
        <v>#DIV/0!</v>
      </c>
      <c r="T1522" s="1098" t="e">
        <f>IF($D$1212="",0,$D1522*Table3[[#This Row],[CF]]*chronic_consumption!$O322/1000/$C$3)</f>
        <v>#DIV/0!</v>
      </c>
      <c r="U1522" s="1098" t="e">
        <f>IF($D$1212="",0,$D1522*Table3[[#This Row],[CF]]*chronic_consumption!$P322/1000/$C$3)</f>
        <v>#DIV/0!</v>
      </c>
      <c r="V1522" s="1098" t="e">
        <f>IF($D$1212="",0,$D1522*Table3[[#This Row],[CF]]*chronic_consumption!$Q322/1000/$C$3)</f>
        <v>#DIV/0!</v>
      </c>
      <c r="W1522" s="1098" t="e">
        <f>IF($D$1212="",0,$D1522*Table3[[#This Row],[CF]]*chronic_consumption!$R322/1000/$C$3)</f>
        <v>#DIV/0!</v>
      </c>
      <c r="X1522" s="1098" t="e">
        <f>IF($D$1212="",0,$D1522*Table3[[#This Row],[CF]]*chronic_consumption!$S322/1000/$C$3)</f>
        <v>#DIV/0!</v>
      </c>
      <c r="Y1522" s="1098" t="e">
        <f>IF($D$1212="",0,$D1522*Table3[[#This Row],[CF]]*chronic_consumption!$T322/1000/$C$3)</f>
        <v>#DIV/0!</v>
      </c>
      <c r="Z1522" s="1098" t="e">
        <f>IF($D$1212="",0,$D1522*Table3[[#This Row],[CF]]*chronic_consumption!$U322/1000/$C$3)</f>
        <v>#DIV/0!</v>
      </c>
      <c r="AA1522" s="1098" t="e">
        <f>IF($D$1212="",0,$D1522*Table3[[#This Row],[CF]]*chronic_consumption!$V322/1000/$C$3)</f>
        <v>#DIV/0!</v>
      </c>
      <c r="AB1522" s="1098" t="e">
        <f>IF($D$1212="",0,$D1522*Table3[[#This Row],[CF]]*chronic_consumption!$W322/1000/$C$3)</f>
        <v>#DIV/0!</v>
      </c>
      <c r="AC1522" s="1098" t="e">
        <f>IF($D$1212="",0,$D1522*Table3[[#This Row],[CF]]*chronic_consumption!$X322/1000/$C$3)</f>
        <v>#DIV/0!</v>
      </c>
      <c r="AD1522" s="1098" t="e">
        <f>IF($D$1212="",0,$D1522*Table3[[#This Row],[CF]]*chronic_consumption!$Y322/1000/$C$3)</f>
        <v>#DIV/0!</v>
      </c>
      <c r="AE1522" s="1098" t="e">
        <f>IF($D$1212="",0,$D1522*Table3[[#This Row],[CF]]*chronic_consumption!$Z322/1000/$C$3)</f>
        <v>#DIV/0!</v>
      </c>
      <c r="AF1522" s="1098" t="e">
        <f>IF($D$1212="",0,$D1522*Table3[[#This Row],[CF]]*chronic_consumption!$AA322/1000/$C$3)</f>
        <v>#DIV/0!</v>
      </c>
      <c r="AG1522" s="1098" t="e">
        <f>IF($D$1212="",0,$D1522*Table3[[#This Row],[CF]]*chronic_consumption!$AB322/1000/$C$3)</f>
        <v>#DIV/0!</v>
      </c>
      <c r="AH1522" s="1098" t="e">
        <f>IF($D$1212="",0,$D1522*Table3[[#This Row],[CF]]*chronic_consumption!$AC322/1000/$C$3)</f>
        <v>#DIV/0!</v>
      </c>
      <c r="AI1522" s="1098" t="e">
        <f>IF($D$1212="",0,$D1522*Table3[[#This Row],[CF]]*chronic_consumption!$AD322/1000/$C$3)</f>
        <v>#DIV/0!</v>
      </c>
      <c r="AJ1522" s="1098" t="e">
        <f>IF($D$1212="",0,$D1522*Table3[[#This Row],[CF]]*chronic_consumption!$AE322/1000/$C$3)</f>
        <v>#DIV/0!</v>
      </c>
      <c r="AK1522" s="1098" t="e">
        <f>IF($D$1212="",0,$D1522*Table3[[#This Row],[CF]]*chronic_consumption!$AF322/1000/$C$3)</f>
        <v>#DIV/0!</v>
      </c>
      <c r="AL1522" s="1098" t="e">
        <f>IF($D$1212="",0,$D1522*Table3[[#This Row],[CF]]*chronic_consumption!$AG322/1000/$C$3)</f>
        <v>#DIV/0!</v>
      </c>
      <c r="AM1522" s="1098" t="e">
        <f>IF($D$1212="",0,$D1522*Table3[[#This Row],[CF]]*chronic_consumption!$AH322/1000/$C$3)</f>
        <v>#DIV/0!</v>
      </c>
      <c r="AN1522" s="1098" t="e">
        <f>IF($D$1212="",0,$D1522*Table3[[#This Row],[CF]]*chronic_consumption!$AI322/1000/$C$3)</f>
        <v>#DIV/0!</v>
      </c>
      <c r="AO1522" s="1098" t="e">
        <f>IF($D$1212="",0,$D1522*Table3[[#This Row],[CF]]*chronic_consumption!$AJ322/1000/$C$3)</f>
        <v>#DIV/0!</v>
      </c>
      <c r="AP1522" s="1098" t="e">
        <f>IF($D$1212="",0,$D1522*Table3[[#This Row],[CF]]*chronic_consumption!$AK322/1000/$C$3)</f>
        <v>#DIV/0!</v>
      </c>
      <c r="AQ1522" s="1098" t="e">
        <f>IF($D$1212="",0,$D1522*Table3[[#This Row],[CF]]*chronic_consumption!$AL322/1000/$C$3)</f>
        <v>#DIV/0!</v>
      </c>
      <c r="AR1522" s="1098" t="e">
        <f>IF($D$1212="",0,$D1522*Table3[[#This Row],[CF]]*chronic_consumption!$AM322/1000/$C$3)</f>
        <v>#DIV/0!</v>
      </c>
      <c r="AS1522" s="1098" t="e">
        <f>IF($D$1212="",0,$D1522*Table3[[#This Row],[CF]]*chronic_consumption!$AN322/1000/$C$3)</f>
        <v>#DIV/0!</v>
      </c>
      <c r="AT1522" s="1098" t="e">
        <f>IF($D$1212="",0,$D1522*Table3[[#This Row],[CF]]*chronic_consumption!$AO322/1000/$C$3)</f>
        <v>#DIV/0!</v>
      </c>
      <c r="AU1522" s="1099" t="e">
        <f t="shared" ref="AU1522:AY1531" si="886">IF(AU722="",0,IF(OR(1=RANK(AU1122,AU$412:AU$790,0),(2=RANK(AU1122,AU$412:AU$790,0))),AU1122,AU722))</f>
        <v>#DIV/0!</v>
      </c>
      <c r="AV1522" s="1099" t="e">
        <f t="shared" si="886"/>
        <v>#DIV/0!</v>
      </c>
      <c r="AW1522" s="1099" t="e">
        <f t="shared" si="886"/>
        <v>#DIV/0!</v>
      </c>
      <c r="AX1522" s="1099" t="e">
        <f t="shared" si="886"/>
        <v>#DIV/0!</v>
      </c>
      <c r="AY1522" s="1099" t="e">
        <f t="shared" si="886"/>
        <v>#DIV/0!</v>
      </c>
      <c r="AZ1522" s="1091" t="s">
        <v>1012</v>
      </c>
      <c r="BA1522" s="1097" t="e">
        <f>IF(Table3[[#This Row],[max]]&lt;&gt;0,RANK(Table3[[#This Row],[max]],Table3[max],0),"")</f>
        <v>#DIV/0!</v>
      </c>
      <c r="BB1522" s="1096" t="e">
        <f t="shared" si="876"/>
        <v>#DIV/0!</v>
      </c>
      <c r="BC1522" s="1096" t="e">
        <f t="shared" ca="1" si="877"/>
        <v>#DIV/0!</v>
      </c>
      <c r="BD1522" s="1096" t="e">
        <f>IF(Table3[[#This Row],[max]]&gt;0,Table3[[#This Row],[Crop groups and examples of individual products within the groups to which the MRLs apply]],"")</f>
        <v>#DIV/0!</v>
      </c>
    </row>
    <row r="1523" spans="2:56" ht="24" x14ac:dyDescent="0.2">
      <c r="B1523" s="127">
        <f t="shared" si="884"/>
        <v>1000000</v>
      </c>
      <c r="C1523" s="127" t="str">
        <f t="shared" si="884"/>
        <v>PRODUCTS OF ANIMAL ORIGIN
-TERRESTRIAL ANIMALS</v>
      </c>
      <c r="D1523" s="1084">
        <f>input_values!E323</f>
        <v>0</v>
      </c>
      <c r="E1523" s="1084">
        <f>input_values!F323</f>
        <v>0</v>
      </c>
      <c r="F1523" s="1085">
        <f>input_values!W323</f>
        <v>0</v>
      </c>
      <c r="G1523" s="1085" t="str">
        <f>IF(Table3[[#This Row],[CF]]&gt;0,CONCATENATE(IF(Table3[[#This Row],[LOQ]]="*","LOQ","MRL"),IF(input_values!G323&gt;0,"×CFrisk","")),"")</f>
        <v/>
      </c>
      <c r="H1523" s="1087">
        <f>input_values!L323</f>
        <v>0</v>
      </c>
      <c r="I1523" s="1088">
        <f>input_values!D323</f>
        <v>0</v>
      </c>
      <c r="J1523" s="1102" t="e">
        <f>IF($D$1212="",0,$D1523*Table3[[#This Row],[CF]]*chronic_consumption!$E323/1000/$C$3)</f>
        <v>#DIV/0!</v>
      </c>
      <c r="K1523" s="1102" t="e">
        <f>IF($D$1212="",0,$D1523*Table3[[#This Row],[CF]]*chronic_consumption!$F323/1000/$C$3)</f>
        <v>#DIV/0!</v>
      </c>
      <c r="L1523" s="1102" t="e">
        <f>IF($D$1212="",0,$D1523*Table3[[#This Row],[CF]]*chronic_consumption!$G323/1000/$C$3)</f>
        <v>#DIV/0!</v>
      </c>
      <c r="M1523" s="1102" t="e">
        <f>IF($D$1212="",0,$D1523*Table3[[#This Row],[CF]]*chronic_consumption!$H323/1000/$C$3)</f>
        <v>#DIV/0!</v>
      </c>
      <c r="N1523" s="1102" t="e">
        <f>IF($D$1212="",0,$D1523*Table3[[#This Row],[CF]]*chronic_consumption!$I323/1000/$C$3)</f>
        <v>#DIV/0!</v>
      </c>
      <c r="O1523" s="1102" t="e">
        <f>IF($D$1212="",0,$D1523*Table3[[#This Row],[CF]]*chronic_consumption!$J323/1000/$C$3)</f>
        <v>#DIV/0!</v>
      </c>
      <c r="P1523" s="1102" t="e">
        <f>IF($D$1212="",0,$D1523*Table3[[#This Row],[CF]]*chronic_consumption!$K323/1000/$C$3)</f>
        <v>#DIV/0!</v>
      </c>
      <c r="Q1523" s="1102" t="e">
        <f>IF($D$1212="",0,$D1523*Table3[[#This Row],[CF]]*chronic_consumption!$L323/1000/$C$3)</f>
        <v>#DIV/0!</v>
      </c>
      <c r="R1523" s="1102" t="e">
        <f>IF($D$1212="",0,$D1523*Table3[[#This Row],[CF]]*chronic_consumption!$M323/1000/$C$3)</f>
        <v>#DIV/0!</v>
      </c>
      <c r="S1523" s="1102" t="e">
        <f>IF($D$1212="",0,$D1523*Table3[[#This Row],[CF]]*chronic_consumption!$N323/1000/$C$3)</f>
        <v>#DIV/0!</v>
      </c>
      <c r="T1523" s="1102" t="e">
        <f>IF($D$1212="",0,$D1523*Table3[[#This Row],[CF]]*chronic_consumption!$O323/1000/$C$3)</f>
        <v>#DIV/0!</v>
      </c>
      <c r="U1523" s="1102" t="e">
        <f>IF($D$1212="",0,$D1523*Table3[[#This Row],[CF]]*chronic_consumption!$P323/1000/$C$3)</f>
        <v>#DIV/0!</v>
      </c>
      <c r="V1523" s="1102" t="e">
        <f>IF($D$1212="",0,$D1523*Table3[[#This Row],[CF]]*chronic_consumption!$Q323/1000/$C$3)</f>
        <v>#DIV/0!</v>
      </c>
      <c r="W1523" s="1102" t="e">
        <f>IF($D$1212="",0,$D1523*Table3[[#This Row],[CF]]*chronic_consumption!$R323/1000/$C$3)</f>
        <v>#DIV/0!</v>
      </c>
      <c r="X1523" s="1102" t="e">
        <f>IF($D$1212="",0,$D1523*Table3[[#This Row],[CF]]*chronic_consumption!$S323/1000/$C$3)</f>
        <v>#DIV/0!</v>
      </c>
      <c r="Y1523" s="1102" t="e">
        <f>IF($D$1212="",0,$D1523*Table3[[#This Row],[CF]]*chronic_consumption!$T323/1000/$C$3)</f>
        <v>#DIV/0!</v>
      </c>
      <c r="Z1523" s="1102" t="e">
        <f>IF($D$1212="",0,$D1523*Table3[[#This Row],[CF]]*chronic_consumption!$U323/1000/$C$3)</f>
        <v>#DIV/0!</v>
      </c>
      <c r="AA1523" s="1102" t="e">
        <f>IF($D$1212="",0,$D1523*Table3[[#This Row],[CF]]*chronic_consumption!$V323/1000/$C$3)</f>
        <v>#DIV/0!</v>
      </c>
      <c r="AB1523" s="1102" t="e">
        <f>IF($D$1212="",0,$D1523*Table3[[#This Row],[CF]]*chronic_consumption!$W323/1000/$C$3)</f>
        <v>#DIV/0!</v>
      </c>
      <c r="AC1523" s="1102" t="e">
        <f>IF($D$1212="",0,$D1523*Table3[[#This Row],[CF]]*chronic_consumption!$X323/1000/$C$3)</f>
        <v>#DIV/0!</v>
      </c>
      <c r="AD1523" s="1102" t="e">
        <f>IF($D$1212="",0,$D1523*Table3[[#This Row],[CF]]*chronic_consumption!$Y323/1000/$C$3)</f>
        <v>#DIV/0!</v>
      </c>
      <c r="AE1523" s="1102" t="e">
        <f>IF($D$1212="",0,$D1523*Table3[[#This Row],[CF]]*chronic_consumption!$Z323/1000/$C$3)</f>
        <v>#DIV/0!</v>
      </c>
      <c r="AF1523" s="1102" t="e">
        <f>IF($D$1212="",0,$D1523*Table3[[#This Row],[CF]]*chronic_consumption!$AA323/1000/$C$3)</f>
        <v>#DIV/0!</v>
      </c>
      <c r="AG1523" s="1102" t="e">
        <f>IF($D$1212="",0,$D1523*Table3[[#This Row],[CF]]*chronic_consumption!$AB323/1000/$C$3)</f>
        <v>#DIV/0!</v>
      </c>
      <c r="AH1523" s="1102" t="e">
        <f>IF($D$1212="",0,$D1523*Table3[[#This Row],[CF]]*chronic_consumption!$AC323/1000/$C$3)</f>
        <v>#DIV/0!</v>
      </c>
      <c r="AI1523" s="1102" t="e">
        <f>IF($D$1212="",0,$D1523*Table3[[#This Row],[CF]]*chronic_consumption!$AD323/1000/$C$3)</f>
        <v>#DIV/0!</v>
      </c>
      <c r="AJ1523" s="1102" t="e">
        <f>IF($D$1212="",0,$D1523*Table3[[#This Row],[CF]]*chronic_consumption!$AE323/1000/$C$3)</f>
        <v>#DIV/0!</v>
      </c>
      <c r="AK1523" s="1102" t="e">
        <f>IF($D$1212="",0,$D1523*Table3[[#This Row],[CF]]*chronic_consumption!$AF323/1000/$C$3)</f>
        <v>#DIV/0!</v>
      </c>
      <c r="AL1523" s="1102" t="e">
        <f>IF($D$1212="",0,$D1523*Table3[[#This Row],[CF]]*chronic_consumption!$AG323/1000/$C$3)</f>
        <v>#DIV/0!</v>
      </c>
      <c r="AM1523" s="1102" t="e">
        <f>IF($D$1212="",0,$D1523*Table3[[#This Row],[CF]]*chronic_consumption!$AH323/1000/$C$3)</f>
        <v>#DIV/0!</v>
      </c>
      <c r="AN1523" s="1102" t="e">
        <f>IF($D$1212="",0,$D1523*Table3[[#This Row],[CF]]*chronic_consumption!$AI323/1000/$C$3)</f>
        <v>#DIV/0!</v>
      </c>
      <c r="AO1523" s="1102" t="e">
        <f>IF($D$1212="",0,$D1523*Table3[[#This Row],[CF]]*chronic_consumption!$AJ323/1000/$C$3)</f>
        <v>#DIV/0!</v>
      </c>
      <c r="AP1523" s="1102" t="e">
        <f>IF($D$1212="",0,$D1523*Table3[[#This Row],[CF]]*chronic_consumption!$AK323/1000/$C$3)</f>
        <v>#DIV/0!</v>
      </c>
      <c r="AQ1523" s="1102" t="e">
        <f>IF($D$1212="",0,$D1523*Table3[[#This Row],[CF]]*chronic_consumption!$AL323/1000/$C$3)</f>
        <v>#DIV/0!</v>
      </c>
      <c r="AR1523" s="1102" t="e">
        <f>IF($D$1212="",0,$D1523*Table3[[#This Row],[CF]]*chronic_consumption!$AM323/1000/$C$3)</f>
        <v>#DIV/0!</v>
      </c>
      <c r="AS1523" s="1102" t="e">
        <f>IF($D$1212="",0,$D1523*Table3[[#This Row],[CF]]*chronic_consumption!$AN323/1000/$C$3)</f>
        <v>#DIV/0!</v>
      </c>
      <c r="AT1523" s="1102" t="e">
        <f>IF($D$1212="",0,$D1523*Table3[[#This Row],[CF]]*chronic_consumption!$AO323/1000/$C$3)</f>
        <v>#DIV/0!</v>
      </c>
      <c r="AU1523" s="1090" t="e">
        <f t="shared" si="886"/>
        <v>#DIV/0!</v>
      </c>
      <c r="AV1523" s="1090" t="e">
        <f t="shared" si="886"/>
        <v>#DIV/0!</v>
      </c>
      <c r="AW1523" s="1090" t="e">
        <f t="shared" si="886"/>
        <v>#DIV/0!</v>
      </c>
      <c r="AX1523" s="1090" t="e">
        <f t="shared" si="886"/>
        <v>#DIV/0!</v>
      </c>
      <c r="AY1523" s="1090" t="e">
        <f t="shared" si="886"/>
        <v>#DIV/0!</v>
      </c>
      <c r="AZ1523" s="1091" t="s">
        <v>1012</v>
      </c>
      <c r="BA1523" s="1097" t="e">
        <f>IF(Table3[[#This Row],[max]]&lt;&gt;0,RANK(Table3[[#This Row],[max]],Table3[max],0),"")</f>
        <v>#DIV/0!</v>
      </c>
      <c r="BB1523" s="1096" t="e">
        <f t="shared" si="876"/>
        <v>#DIV/0!</v>
      </c>
      <c r="BC1523" s="1096" t="e">
        <f t="shared" ca="1" si="877"/>
        <v>#DIV/0!</v>
      </c>
      <c r="BD1523" s="1096" t="e">
        <f>IF(Table3[[#This Row],[max]]&gt;0,Table3[[#This Row],[Crop groups and examples of individual products within the groups to which the MRLs apply]],"")</f>
        <v>#DIV/0!</v>
      </c>
    </row>
    <row r="1524" spans="2:56" x14ac:dyDescent="0.2">
      <c r="B1524" s="131">
        <f t="shared" si="884"/>
        <v>1010000</v>
      </c>
      <c r="C1524" s="131" t="str">
        <f t="shared" si="884"/>
        <v>Tissue</v>
      </c>
      <c r="D1524" s="1084">
        <f>input_values!E324</f>
        <v>0</v>
      </c>
      <c r="E1524" s="1084">
        <f>input_values!F324</f>
        <v>0</v>
      </c>
      <c r="F1524" s="1085">
        <f>input_values!W324</f>
        <v>0</v>
      </c>
      <c r="G1524" s="1085" t="str">
        <f>IF(Table3[[#This Row],[CF]]&gt;0,CONCATENATE(IF(Table3[[#This Row],[LOQ]]="*","LOQ","MRL"),IF(input_values!G324&gt;0,"×CFrisk","")),"")</f>
        <v/>
      </c>
      <c r="H1524" s="1087">
        <f>input_values!L324</f>
        <v>0</v>
      </c>
      <c r="I1524" s="1088">
        <f>input_values!D324</f>
        <v>0</v>
      </c>
      <c r="J1524" s="1095" t="e">
        <f>IF($D$1212="",0,$D1524*Table3[[#This Row],[CF]]*chronic_consumption!$E324/1000/$C$3)</f>
        <v>#DIV/0!</v>
      </c>
      <c r="K1524" s="1095" t="e">
        <f>IF($D$1212="",0,$D1524*Table3[[#This Row],[CF]]*chronic_consumption!$F324/1000/$C$3)</f>
        <v>#DIV/0!</v>
      </c>
      <c r="L1524" s="1095" t="e">
        <f>IF($D$1212="",0,$D1524*Table3[[#This Row],[CF]]*chronic_consumption!$G324/1000/$C$3)</f>
        <v>#DIV/0!</v>
      </c>
      <c r="M1524" s="1095" t="e">
        <f>IF($D$1212="",0,$D1524*Table3[[#This Row],[CF]]*chronic_consumption!$H324/1000/$C$3)</f>
        <v>#DIV/0!</v>
      </c>
      <c r="N1524" s="1095" t="e">
        <f>IF($D$1212="",0,$D1524*Table3[[#This Row],[CF]]*chronic_consumption!$I324/1000/$C$3)</f>
        <v>#DIV/0!</v>
      </c>
      <c r="O1524" s="1095" t="e">
        <f>IF($D$1212="",0,$D1524*Table3[[#This Row],[CF]]*chronic_consumption!$J324/1000/$C$3)</f>
        <v>#DIV/0!</v>
      </c>
      <c r="P1524" s="1095" t="e">
        <f>IF($D$1212="",0,$D1524*Table3[[#This Row],[CF]]*chronic_consumption!$K324/1000/$C$3)</f>
        <v>#DIV/0!</v>
      </c>
      <c r="Q1524" s="1095" t="e">
        <f>IF($D$1212="",0,$D1524*Table3[[#This Row],[CF]]*chronic_consumption!$L324/1000/$C$3)</f>
        <v>#DIV/0!</v>
      </c>
      <c r="R1524" s="1095" t="e">
        <f>IF($D$1212="",0,$D1524*Table3[[#This Row],[CF]]*chronic_consumption!$M324/1000/$C$3)</f>
        <v>#DIV/0!</v>
      </c>
      <c r="S1524" s="1095" t="e">
        <f>IF($D$1212="",0,$D1524*Table3[[#This Row],[CF]]*chronic_consumption!$N324/1000/$C$3)</f>
        <v>#DIV/0!</v>
      </c>
      <c r="T1524" s="1095" t="e">
        <f>IF($D$1212="",0,$D1524*Table3[[#This Row],[CF]]*chronic_consumption!$O324/1000/$C$3)</f>
        <v>#DIV/0!</v>
      </c>
      <c r="U1524" s="1095" t="e">
        <f>IF($D$1212="",0,$D1524*Table3[[#This Row],[CF]]*chronic_consumption!$P324/1000/$C$3)</f>
        <v>#DIV/0!</v>
      </c>
      <c r="V1524" s="1095" t="e">
        <f>IF($D$1212="",0,$D1524*Table3[[#This Row],[CF]]*chronic_consumption!$Q324/1000/$C$3)</f>
        <v>#DIV/0!</v>
      </c>
      <c r="W1524" s="1095" t="e">
        <f>IF($D$1212="",0,$D1524*Table3[[#This Row],[CF]]*chronic_consumption!$R324/1000/$C$3)</f>
        <v>#DIV/0!</v>
      </c>
      <c r="X1524" s="1095" t="e">
        <f>IF($D$1212="",0,$D1524*Table3[[#This Row],[CF]]*chronic_consumption!$S324/1000/$C$3)</f>
        <v>#DIV/0!</v>
      </c>
      <c r="Y1524" s="1095" t="e">
        <f>IF($D$1212="",0,$D1524*Table3[[#This Row],[CF]]*chronic_consumption!$T324/1000/$C$3)</f>
        <v>#DIV/0!</v>
      </c>
      <c r="Z1524" s="1095" t="e">
        <f>IF($D$1212="",0,$D1524*Table3[[#This Row],[CF]]*chronic_consumption!$U324/1000/$C$3)</f>
        <v>#DIV/0!</v>
      </c>
      <c r="AA1524" s="1095" t="e">
        <f>IF($D$1212="",0,$D1524*Table3[[#This Row],[CF]]*chronic_consumption!$V324/1000/$C$3)</f>
        <v>#DIV/0!</v>
      </c>
      <c r="AB1524" s="1095" t="e">
        <f>IF($D$1212="",0,$D1524*Table3[[#This Row],[CF]]*chronic_consumption!$W324/1000/$C$3)</f>
        <v>#DIV/0!</v>
      </c>
      <c r="AC1524" s="1095" t="e">
        <f>IF($D$1212="",0,$D1524*Table3[[#This Row],[CF]]*chronic_consumption!$X324/1000/$C$3)</f>
        <v>#DIV/0!</v>
      </c>
      <c r="AD1524" s="1095" t="e">
        <f>IF($D$1212="",0,$D1524*Table3[[#This Row],[CF]]*chronic_consumption!$Y324/1000/$C$3)</f>
        <v>#DIV/0!</v>
      </c>
      <c r="AE1524" s="1095" t="e">
        <f>IF($D$1212="",0,$D1524*Table3[[#This Row],[CF]]*chronic_consumption!$Z324/1000/$C$3)</f>
        <v>#DIV/0!</v>
      </c>
      <c r="AF1524" s="1095" t="e">
        <f>IF($D$1212="",0,$D1524*Table3[[#This Row],[CF]]*chronic_consumption!$AA324/1000/$C$3)</f>
        <v>#DIV/0!</v>
      </c>
      <c r="AG1524" s="1095" t="e">
        <f>IF($D$1212="",0,$D1524*Table3[[#This Row],[CF]]*chronic_consumption!$AB324/1000/$C$3)</f>
        <v>#DIV/0!</v>
      </c>
      <c r="AH1524" s="1095" t="e">
        <f>IF($D$1212="",0,$D1524*Table3[[#This Row],[CF]]*chronic_consumption!$AC324/1000/$C$3)</f>
        <v>#DIV/0!</v>
      </c>
      <c r="AI1524" s="1095" t="e">
        <f>IF($D$1212="",0,$D1524*Table3[[#This Row],[CF]]*chronic_consumption!$AD324/1000/$C$3)</f>
        <v>#DIV/0!</v>
      </c>
      <c r="AJ1524" s="1095" t="e">
        <f>IF($D$1212="",0,$D1524*Table3[[#This Row],[CF]]*chronic_consumption!$AE324/1000/$C$3)</f>
        <v>#DIV/0!</v>
      </c>
      <c r="AK1524" s="1095" t="e">
        <f>IF($D$1212="",0,$D1524*Table3[[#This Row],[CF]]*chronic_consumption!$AF324/1000/$C$3)</f>
        <v>#DIV/0!</v>
      </c>
      <c r="AL1524" s="1095" t="e">
        <f>IF($D$1212="",0,$D1524*Table3[[#This Row],[CF]]*chronic_consumption!$AG324/1000/$C$3)</f>
        <v>#DIV/0!</v>
      </c>
      <c r="AM1524" s="1095" t="e">
        <f>IF($D$1212="",0,$D1524*Table3[[#This Row],[CF]]*chronic_consumption!$AH324/1000/$C$3)</f>
        <v>#DIV/0!</v>
      </c>
      <c r="AN1524" s="1095" t="e">
        <f>IF($D$1212="",0,$D1524*Table3[[#This Row],[CF]]*chronic_consumption!$AI324/1000/$C$3)</f>
        <v>#DIV/0!</v>
      </c>
      <c r="AO1524" s="1095" t="e">
        <f>IF($D$1212="",0,$D1524*Table3[[#This Row],[CF]]*chronic_consumption!$AJ324/1000/$C$3)</f>
        <v>#DIV/0!</v>
      </c>
      <c r="AP1524" s="1095" t="e">
        <f>IF($D$1212="",0,$D1524*Table3[[#This Row],[CF]]*chronic_consumption!$AK324/1000/$C$3)</f>
        <v>#DIV/0!</v>
      </c>
      <c r="AQ1524" s="1095" t="e">
        <f>IF($D$1212="",0,$D1524*Table3[[#This Row],[CF]]*chronic_consumption!$AL324/1000/$C$3)</f>
        <v>#DIV/0!</v>
      </c>
      <c r="AR1524" s="1095" t="e">
        <f>IF($D$1212="",0,$D1524*Table3[[#This Row],[CF]]*chronic_consumption!$AM324/1000/$C$3)</f>
        <v>#DIV/0!</v>
      </c>
      <c r="AS1524" s="1095" t="e">
        <f>IF($D$1212="",0,$D1524*Table3[[#This Row],[CF]]*chronic_consumption!$AN324/1000/$C$3)</f>
        <v>#DIV/0!</v>
      </c>
      <c r="AT1524" s="1095" t="e">
        <f>IF($D$1212="",0,$D1524*Table3[[#This Row],[CF]]*chronic_consumption!$AO324/1000/$C$3)</f>
        <v>#DIV/0!</v>
      </c>
      <c r="AU1524" s="1096" t="e">
        <f t="shared" si="886"/>
        <v>#DIV/0!</v>
      </c>
      <c r="AV1524" s="1096" t="e">
        <f t="shared" si="886"/>
        <v>#DIV/0!</v>
      </c>
      <c r="AW1524" s="1096" t="e">
        <f t="shared" si="886"/>
        <v>#DIV/0!</v>
      </c>
      <c r="AX1524" s="1096" t="e">
        <f t="shared" si="886"/>
        <v>#DIV/0!</v>
      </c>
      <c r="AY1524" s="1096" t="e">
        <f t="shared" si="886"/>
        <v>#DIV/0!</v>
      </c>
      <c r="AZ1524" s="1091" t="s">
        <v>1012</v>
      </c>
      <c r="BA1524" s="1097" t="e">
        <f>IF(Table3[[#This Row],[max]]&lt;&gt;0,RANK(Table3[[#This Row],[max]],Table3[max],0),"")</f>
        <v>#DIV/0!</v>
      </c>
      <c r="BB1524" s="1096" t="e">
        <f t="shared" si="876"/>
        <v>#DIV/0!</v>
      </c>
      <c r="BC1524" s="1096" t="e">
        <f t="shared" ca="1" si="877"/>
        <v>#DIV/0!</v>
      </c>
      <c r="BD1524" s="1096" t="e">
        <f>IF(Table3[[#This Row],[max]]&gt;0,Table3[[#This Row],[Crop groups and examples of individual products within the groups to which the MRLs apply]],"")</f>
        <v>#DIV/0!</v>
      </c>
    </row>
    <row r="1525" spans="2:56" x14ac:dyDescent="0.2">
      <c r="B1525" s="5">
        <f t="shared" si="884"/>
        <v>1011000</v>
      </c>
      <c r="C1525" s="5" t="str">
        <f t="shared" si="884"/>
        <v xml:space="preserve">Swine </v>
      </c>
      <c r="D1525" s="1084">
        <f>input_values!E325</f>
        <v>0</v>
      </c>
      <c r="E1525" s="1084">
        <f>input_values!F325</f>
        <v>0</v>
      </c>
      <c r="F1525" s="1085">
        <f>input_values!W325</f>
        <v>0</v>
      </c>
      <c r="G1525" s="1085" t="str">
        <f>IF(Table3[[#This Row],[CF]]&gt;0,CONCATENATE(IF(Table3[[#This Row],[LOQ]]="*","LOQ","MRL"),IF(input_values!G325&gt;0,"×CFrisk","")),"")</f>
        <v/>
      </c>
      <c r="H1525" s="1087">
        <f>input_values!L325</f>
        <v>0</v>
      </c>
      <c r="I1525" s="1088">
        <f>input_values!D325</f>
        <v>0</v>
      </c>
      <c r="J1525" s="1103" t="e">
        <f>IF($D$1212="",0,$D1525*Table3[[#This Row],[CF]]*chronic_consumption!$E325/1000/$C$3)</f>
        <v>#DIV/0!</v>
      </c>
      <c r="K1525" s="1103" t="e">
        <f>IF($D$1212="",0,$D1525*Table3[[#This Row],[CF]]*chronic_consumption!$F325/1000/$C$3)</f>
        <v>#DIV/0!</v>
      </c>
      <c r="L1525" s="1103" t="e">
        <f>IF($D$1212="",0,$D1525*Table3[[#This Row],[CF]]*chronic_consumption!$G325/1000/$C$3)</f>
        <v>#DIV/0!</v>
      </c>
      <c r="M1525" s="1103" t="e">
        <f>IF($D$1212="",0,$D1525*Table3[[#This Row],[CF]]*chronic_consumption!$H325/1000/$C$3)</f>
        <v>#DIV/0!</v>
      </c>
      <c r="N1525" s="1103" t="e">
        <f>IF($D$1212="",0,$D1525*Table3[[#This Row],[CF]]*chronic_consumption!$I325/1000/$C$3)</f>
        <v>#DIV/0!</v>
      </c>
      <c r="O1525" s="1103" t="e">
        <f>IF($D$1212="",0,$D1525*Table3[[#This Row],[CF]]*chronic_consumption!$J325/1000/$C$3)</f>
        <v>#DIV/0!</v>
      </c>
      <c r="P1525" s="1103" t="e">
        <f>IF($D$1212="",0,$D1525*Table3[[#This Row],[CF]]*chronic_consumption!$K325/1000/$C$3)</f>
        <v>#DIV/0!</v>
      </c>
      <c r="Q1525" s="1103" t="e">
        <f>IF($D$1212="",0,$D1525*Table3[[#This Row],[CF]]*chronic_consumption!$L325/1000/$C$3)</f>
        <v>#DIV/0!</v>
      </c>
      <c r="R1525" s="1103" t="e">
        <f>IF($D$1212="",0,$D1525*Table3[[#This Row],[CF]]*chronic_consumption!$M325/1000/$C$3)</f>
        <v>#DIV/0!</v>
      </c>
      <c r="S1525" s="1103" t="e">
        <f>IF($D$1212="",0,$D1525*Table3[[#This Row],[CF]]*chronic_consumption!$N325/1000/$C$3)</f>
        <v>#DIV/0!</v>
      </c>
      <c r="T1525" s="1103" t="e">
        <f>IF($D$1212="",0,$D1525*Table3[[#This Row],[CF]]*chronic_consumption!$O325/1000/$C$3)</f>
        <v>#DIV/0!</v>
      </c>
      <c r="U1525" s="1103" t="e">
        <f>IF($D$1212="",0,$D1525*Table3[[#This Row],[CF]]*chronic_consumption!$P325/1000/$C$3)</f>
        <v>#DIV/0!</v>
      </c>
      <c r="V1525" s="1103" t="e">
        <f>IF($D$1212="",0,$D1525*Table3[[#This Row],[CF]]*chronic_consumption!$Q325/1000/$C$3)</f>
        <v>#DIV/0!</v>
      </c>
      <c r="W1525" s="1103" t="e">
        <f>IF($D$1212="",0,$D1525*Table3[[#This Row],[CF]]*chronic_consumption!$R325/1000/$C$3)</f>
        <v>#DIV/0!</v>
      </c>
      <c r="X1525" s="1103" t="e">
        <f>IF($D$1212="",0,$D1525*Table3[[#This Row],[CF]]*chronic_consumption!$S325/1000/$C$3)</f>
        <v>#DIV/0!</v>
      </c>
      <c r="Y1525" s="1103" t="e">
        <f>IF($D$1212="",0,$D1525*Table3[[#This Row],[CF]]*chronic_consumption!$T325/1000/$C$3)</f>
        <v>#DIV/0!</v>
      </c>
      <c r="Z1525" s="1103" t="e">
        <f>IF($D$1212="",0,$D1525*Table3[[#This Row],[CF]]*chronic_consumption!$U325/1000/$C$3)</f>
        <v>#DIV/0!</v>
      </c>
      <c r="AA1525" s="1103" t="e">
        <f>IF($D$1212="",0,$D1525*Table3[[#This Row],[CF]]*chronic_consumption!$V325/1000/$C$3)</f>
        <v>#DIV/0!</v>
      </c>
      <c r="AB1525" s="1103" t="e">
        <f>IF($D$1212="",0,$D1525*Table3[[#This Row],[CF]]*chronic_consumption!$W325/1000/$C$3)</f>
        <v>#DIV/0!</v>
      </c>
      <c r="AC1525" s="1103" t="e">
        <f>IF($D$1212="",0,$D1525*Table3[[#This Row],[CF]]*chronic_consumption!$X325/1000/$C$3)</f>
        <v>#DIV/0!</v>
      </c>
      <c r="AD1525" s="1103" t="e">
        <f>IF($D$1212="",0,$D1525*Table3[[#This Row],[CF]]*chronic_consumption!$Y325/1000/$C$3)</f>
        <v>#DIV/0!</v>
      </c>
      <c r="AE1525" s="1103" t="e">
        <f>IF($D$1212="",0,$D1525*Table3[[#This Row],[CF]]*chronic_consumption!$Z325/1000/$C$3)</f>
        <v>#DIV/0!</v>
      </c>
      <c r="AF1525" s="1103" t="e">
        <f>IF($D$1212="",0,$D1525*Table3[[#This Row],[CF]]*chronic_consumption!$AA325/1000/$C$3)</f>
        <v>#DIV/0!</v>
      </c>
      <c r="AG1525" s="1103" t="e">
        <f>IF($D$1212="",0,$D1525*Table3[[#This Row],[CF]]*chronic_consumption!$AB325/1000/$C$3)</f>
        <v>#DIV/0!</v>
      </c>
      <c r="AH1525" s="1103" t="e">
        <f>IF($D$1212="",0,$D1525*Table3[[#This Row],[CF]]*chronic_consumption!$AC325/1000/$C$3)</f>
        <v>#DIV/0!</v>
      </c>
      <c r="AI1525" s="1103" t="e">
        <f>IF($D$1212="",0,$D1525*Table3[[#This Row],[CF]]*chronic_consumption!$AD325/1000/$C$3)</f>
        <v>#DIV/0!</v>
      </c>
      <c r="AJ1525" s="1103" t="e">
        <f>IF($D$1212="",0,$D1525*Table3[[#This Row],[CF]]*chronic_consumption!$AE325/1000/$C$3)</f>
        <v>#DIV/0!</v>
      </c>
      <c r="AK1525" s="1103" t="e">
        <f>IF($D$1212="",0,$D1525*Table3[[#This Row],[CF]]*chronic_consumption!$AF325/1000/$C$3)</f>
        <v>#DIV/0!</v>
      </c>
      <c r="AL1525" s="1103" t="e">
        <f>IF($D$1212="",0,$D1525*Table3[[#This Row],[CF]]*chronic_consumption!$AG325/1000/$C$3)</f>
        <v>#DIV/0!</v>
      </c>
      <c r="AM1525" s="1103" t="e">
        <f>IF($D$1212="",0,$D1525*Table3[[#This Row],[CF]]*chronic_consumption!$AH325/1000/$C$3)</f>
        <v>#DIV/0!</v>
      </c>
      <c r="AN1525" s="1103" t="e">
        <f>IF($D$1212="",0,$D1525*Table3[[#This Row],[CF]]*chronic_consumption!$AI325/1000/$C$3)</f>
        <v>#DIV/0!</v>
      </c>
      <c r="AO1525" s="1103" t="e">
        <f>IF($D$1212="",0,$D1525*Table3[[#This Row],[CF]]*chronic_consumption!$AJ325/1000/$C$3)</f>
        <v>#DIV/0!</v>
      </c>
      <c r="AP1525" s="1103" t="e">
        <f>IF($D$1212="",0,$D1525*Table3[[#This Row],[CF]]*chronic_consumption!$AK325/1000/$C$3)</f>
        <v>#DIV/0!</v>
      </c>
      <c r="AQ1525" s="1103" t="e">
        <f>IF($D$1212="",0,$D1525*Table3[[#This Row],[CF]]*chronic_consumption!$AL325/1000/$C$3)</f>
        <v>#DIV/0!</v>
      </c>
      <c r="AR1525" s="1103" t="e">
        <f>IF($D$1212="",0,$D1525*Table3[[#This Row],[CF]]*chronic_consumption!$AM325/1000/$C$3)</f>
        <v>#DIV/0!</v>
      </c>
      <c r="AS1525" s="1103" t="e">
        <f>IF($D$1212="",0,$D1525*Table3[[#This Row],[CF]]*chronic_consumption!$AN325/1000/$C$3)</f>
        <v>#DIV/0!</v>
      </c>
      <c r="AT1525" s="1103" t="e">
        <f>IF($D$1212="",0,$D1525*Table3[[#This Row],[CF]]*chronic_consumption!$AO325/1000/$C$3)</f>
        <v>#DIV/0!</v>
      </c>
      <c r="AU1525" s="1104" t="e">
        <f t="shared" si="886"/>
        <v>#DIV/0!</v>
      </c>
      <c r="AV1525" s="1104" t="e">
        <f t="shared" si="886"/>
        <v>#DIV/0!</v>
      </c>
      <c r="AW1525" s="1104" t="e">
        <f t="shared" si="886"/>
        <v>#DIV/0!</v>
      </c>
      <c r="AX1525" s="1104" t="e">
        <f t="shared" si="886"/>
        <v>#DIV/0!</v>
      </c>
      <c r="AY1525" s="1104" t="e">
        <f t="shared" si="886"/>
        <v>#DIV/0!</v>
      </c>
      <c r="AZ1525" s="1091" t="s">
        <v>1012</v>
      </c>
      <c r="BA1525" s="1097" t="e">
        <f>IF(Table3[[#This Row],[max]]&lt;&gt;0,RANK(Table3[[#This Row],[max]],Table3[max],0),"")</f>
        <v>#DIV/0!</v>
      </c>
      <c r="BB1525" s="1096" t="e">
        <f t="shared" si="876"/>
        <v>#DIV/0!</v>
      </c>
      <c r="BC1525" s="1096" t="e">
        <f t="shared" ca="1" si="877"/>
        <v>#DIV/0!</v>
      </c>
      <c r="BD1525" s="1096" t="e">
        <f>IF(Table3[[#This Row],[max]]&gt;0,Table3[[#This Row],[Crop groups and examples of individual products within the groups to which the MRLs apply]],"")</f>
        <v>#DIV/0!</v>
      </c>
    </row>
    <row r="1526" spans="2:56" x14ac:dyDescent="0.2">
      <c r="B1526" s="23">
        <f t="shared" si="884"/>
        <v>1011010</v>
      </c>
      <c r="C1526" s="23" t="str">
        <f t="shared" si="884"/>
        <v>Swine: Muscle/meat</v>
      </c>
      <c r="D1526" s="1084">
        <f>input_values!E326</f>
        <v>0</v>
      </c>
      <c r="E1526" s="1084">
        <f>input_values!F326</f>
        <v>0</v>
      </c>
      <c r="F1526" s="1085">
        <f>input_values!W326</f>
        <v>1</v>
      </c>
      <c r="G1526" s="1085" t="str">
        <f>IF(Table3[[#This Row],[CF]]&gt;0,CONCATENATE(IF(Table3[[#This Row],[LOQ]]="*","LOQ","MRL"),IF(input_values!G326&gt;0,"×CFrisk","")),"")</f>
        <v>MRL</v>
      </c>
      <c r="H1526" s="1087">
        <f>input_values!L326</f>
        <v>0</v>
      </c>
      <c r="I1526" s="1088">
        <f>input_values!D326</f>
        <v>0</v>
      </c>
      <c r="J1526" s="1098" t="e">
        <f>IF($D$1212="",0,$D1526*Table3[[#This Row],[CF]]*chronic_consumption!$E326/1000/$C$3)</f>
        <v>#DIV/0!</v>
      </c>
      <c r="K1526" s="1098" t="e">
        <f>IF($D$1212="",0,$D1526*Table3[[#This Row],[CF]]*chronic_consumption!$F326/1000/$C$3)</f>
        <v>#DIV/0!</v>
      </c>
      <c r="L1526" s="1098" t="e">
        <f>IF($D$1212="",0,$D1526*Table3[[#This Row],[CF]]*chronic_consumption!$G326/1000/$C$3)</f>
        <v>#DIV/0!</v>
      </c>
      <c r="M1526" s="1098" t="e">
        <f>IF($D$1212="",0,$D1526*Table3[[#This Row],[CF]]*chronic_consumption!$H326/1000/$C$3)</f>
        <v>#DIV/0!</v>
      </c>
      <c r="N1526" s="1098" t="e">
        <f>IF($D$1212="",0,$D1526*Table3[[#This Row],[CF]]*chronic_consumption!$I326/1000/$C$3)</f>
        <v>#DIV/0!</v>
      </c>
      <c r="O1526" s="1098" t="e">
        <f>IF($D$1212="",0,$D1526*Table3[[#This Row],[CF]]*chronic_consumption!$J326/1000/$C$3)</f>
        <v>#DIV/0!</v>
      </c>
      <c r="P1526" s="1098" t="e">
        <f>IF($D$1212="",0,$D1526*Table3[[#This Row],[CF]]*chronic_consumption!$K326/1000/$C$3)</f>
        <v>#DIV/0!</v>
      </c>
      <c r="Q1526" s="1098" t="e">
        <f>IF($D$1212="",0,$D1526*Table3[[#This Row],[CF]]*chronic_consumption!$L326/1000/$C$3)</f>
        <v>#DIV/0!</v>
      </c>
      <c r="R1526" s="1098" t="e">
        <f>IF($D$1212="",0,$D1526*Table3[[#This Row],[CF]]*chronic_consumption!$M326/1000/$C$3)</f>
        <v>#DIV/0!</v>
      </c>
      <c r="S1526" s="1098" t="e">
        <f>IF($D$1212="",0,$D1526*Table3[[#This Row],[CF]]*chronic_consumption!$N326/1000/$C$3)</f>
        <v>#DIV/0!</v>
      </c>
      <c r="T1526" s="1098" t="e">
        <f>IF($D$1212="",0,$D1526*Table3[[#This Row],[CF]]*chronic_consumption!$O326/1000/$C$3)</f>
        <v>#DIV/0!</v>
      </c>
      <c r="U1526" s="1098" t="e">
        <f>IF($D$1212="",0,$D1526*Table3[[#This Row],[CF]]*chronic_consumption!$P326/1000/$C$3)</f>
        <v>#DIV/0!</v>
      </c>
      <c r="V1526" s="1098" t="e">
        <f>IF($D$1212="",0,$D1526*Table3[[#This Row],[CF]]*chronic_consumption!$Q326/1000/$C$3)</f>
        <v>#DIV/0!</v>
      </c>
      <c r="W1526" s="1098" t="e">
        <f>IF($D$1212="",0,$D1526*Table3[[#This Row],[CF]]*chronic_consumption!$R326/1000/$C$3)</f>
        <v>#DIV/0!</v>
      </c>
      <c r="X1526" s="1098" t="e">
        <f>IF($D$1212="",0,$D1526*Table3[[#This Row],[CF]]*chronic_consumption!$S326/1000/$C$3)</f>
        <v>#DIV/0!</v>
      </c>
      <c r="Y1526" s="1098" t="e">
        <f>IF($D$1212="",0,$D1526*Table3[[#This Row],[CF]]*chronic_consumption!$T326/1000/$C$3)</f>
        <v>#DIV/0!</v>
      </c>
      <c r="Z1526" s="1098" t="e">
        <f>IF($D$1212="",0,$D1526*Table3[[#This Row],[CF]]*chronic_consumption!$U326/1000/$C$3)</f>
        <v>#DIV/0!</v>
      </c>
      <c r="AA1526" s="1098" t="e">
        <f>IF($D$1212="",0,$D1526*Table3[[#This Row],[CF]]*chronic_consumption!$V326/1000/$C$3)</f>
        <v>#DIV/0!</v>
      </c>
      <c r="AB1526" s="1098" t="e">
        <f>IF($D$1212="",0,$D1526*Table3[[#This Row],[CF]]*chronic_consumption!$W326/1000/$C$3)</f>
        <v>#DIV/0!</v>
      </c>
      <c r="AC1526" s="1098" t="e">
        <f>IF($D$1212="",0,$D1526*Table3[[#This Row],[CF]]*chronic_consumption!$X326/1000/$C$3)</f>
        <v>#DIV/0!</v>
      </c>
      <c r="AD1526" s="1098" t="e">
        <f>IF($D$1212="",0,$D1526*Table3[[#This Row],[CF]]*chronic_consumption!$Y326/1000/$C$3)</f>
        <v>#DIV/0!</v>
      </c>
      <c r="AE1526" s="1098" t="e">
        <f>IF($D$1212="",0,$D1526*Table3[[#This Row],[CF]]*chronic_consumption!$Z326/1000/$C$3)</f>
        <v>#DIV/0!</v>
      </c>
      <c r="AF1526" s="1098" t="e">
        <f>IF($D$1212="",0,$D1526*Table3[[#This Row],[CF]]*chronic_consumption!$AA326/1000/$C$3)</f>
        <v>#DIV/0!</v>
      </c>
      <c r="AG1526" s="1098" t="e">
        <f>IF($D$1212="",0,$D1526*Table3[[#This Row],[CF]]*chronic_consumption!$AB326/1000/$C$3)</f>
        <v>#DIV/0!</v>
      </c>
      <c r="AH1526" s="1098" t="e">
        <f>IF($D$1212="",0,$D1526*Table3[[#This Row],[CF]]*chronic_consumption!$AC326/1000/$C$3)</f>
        <v>#DIV/0!</v>
      </c>
      <c r="AI1526" s="1098" t="e">
        <f>IF($D$1212="",0,$D1526*Table3[[#This Row],[CF]]*chronic_consumption!$AD326/1000/$C$3)</f>
        <v>#DIV/0!</v>
      </c>
      <c r="AJ1526" s="1098" t="e">
        <f>IF($D$1212="",0,$D1526*Table3[[#This Row],[CF]]*chronic_consumption!$AE326/1000/$C$3)</f>
        <v>#DIV/0!</v>
      </c>
      <c r="AK1526" s="1098" t="e">
        <f>IF($D$1212="",0,$D1526*Table3[[#This Row],[CF]]*chronic_consumption!$AF326/1000/$C$3)</f>
        <v>#DIV/0!</v>
      </c>
      <c r="AL1526" s="1098" t="e">
        <f>IF($D$1212="",0,$D1526*Table3[[#This Row],[CF]]*chronic_consumption!$AG326/1000/$C$3)</f>
        <v>#DIV/0!</v>
      </c>
      <c r="AM1526" s="1098" t="e">
        <f>IF($D$1212="",0,$D1526*Table3[[#This Row],[CF]]*chronic_consumption!$AH326/1000/$C$3)</f>
        <v>#DIV/0!</v>
      </c>
      <c r="AN1526" s="1098" t="e">
        <f>IF($D$1212="",0,$D1526*Table3[[#This Row],[CF]]*chronic_consumption!$AI326/1000/$C$3)</f>
        <v>#DIV/0!</v>
      </c>
      <c r="AO1526" s="1098" t="e">
        <f>IF($D$1212="",0,$D1526*Table3[[#This Row],[CF]]*chronic_consumption!$AJ326/1000/$C$3)</f>
        <v>#DIV/0!</v>
      </c>
      <c r="AP1526" s="1098" t="e">
        <f>IF($D$1212="",0,$D1526*Table3[[#This Row],[CF]]*chronic_consumption!$AK326/1000/$C$3)</f>
        <v>#DIV/0!</v>
      </c>
      <c r="AQ1526" s="1098" t="e">
        <f>IF($D$1212="",0,$D1526*Table3[[#This Row],[CF]]*chronic_consumption!$AL326/1000/$C$3)</f>
        <v>#DIV/0!</v>
      </c>
      <c r="AR1526" s="1098" t="e">
        <f>IF($D$1212="",0,$D1526*Table3[[#This Row],[CF]]*chronic_consumption!$AM326/1000/$C$3)</f>
        <v>#DIV/0!</v>
      </c>
      <c r="AS1526" s="1098" t="e">
        <f>IF($D$1212="",0,$D1526*Table3[[#This Row],[CF]]*chronic_consumption!$AN326/1000/$C$3)</f>
        <v>#DIV/0!</v>
      </c>
      <c r="AT1526" s="1098" t="e">
        <f>IF($D$1212="",0,$D1526*Table3[[#This Row],[CF]]*chronic_consumption!$AO326/1000/$C$3)</f>
        <v>#DIV/0!</v>
      </c>
      <c r="AU1526" s="1099" t="e">
        <f t="shared" si="886"/>
        <v>#DIV/0!</v>
      </c>
      <c r="AV1526" s="1099" t="e">
        <f t="shared" si="886"/>
        <v>#DIV/0!</v>
      </c>
      <c r="AW1526" s="1099" t="e">
        <f t="shared" si="886"/>
        <v>#DIV/0!</v>
      </c>
      <c r="AX1526" s="1099" t="e">
        <f t="shared" si="886"/>
        <v>#DIV/0!</v>
      </c>
      <c r="AY1526" s="1099" t="e">
        <f t="shared" si="886"/>
        <v>#DIV/0!</v>
      </c>
      <c r="AZ1526" s="1091" t="s">
        <v>1012</v>
      </c>
      <c r="BA1526" s="1097" t="e">
        <f>IF(Table3[[#This Row],[max]]&lt;&gt;0,RANK(Table3[[#This Row],[max]],Table3[max],0),"")</f>
        <v>#DIV/0!</v>
      </c>
      <c r="BB1526" s="1096" t="e">
        <f t="shared" si="876"/>
        <v>#DIV/0!</v>
      </c>
      <c r="BC1526" s="1096" t="e">
        <f t="shared" ca="1" si="877"/>
        <v>#DIV/0!</v>
      </c>
      <c r="BD1526" s="1096" t="e">
        <f>IF(Table3[[#This Row],[max]]&gt;0,Table3[[#This Row],[Crop groups and examples of individual products within the groups to which the MRLs apply]],"")</f>
        <v>#DIV/0!</v>
      </c>
    </row>
    <row r="1527" spans="2:56" x14ac:dyDescent="0.2">
      <c r="B1527" s="23">
        <f t="shared" si="884"/>
        <v>1011020</v>
      </c>
      <c r="C1527" s="23" t="str">
        <f t="shared" si="884"/>
        <v>Swine: Fat tissue</v>
      </c>
      <c r="D1527" s="1084">
        <f>input_values!E327</f>
        <v>0</v>
      </c>
      <c r="E1527" s="1084">
        <f>input_values!F327</f>
        <v>0</v>
      </c>
      <c r="F1527" s="1085">
        <f>input_values!W327</f>
        <v>1</v>
      </c>
      <c r="G1527" s="1085" t="str">
        <f>IF(Table3[[#This Row],[CF]]&gt;0,CONCATENATE(IF(Table3[[#This Row],[LOQ]]="*","LOQ","MRL"),IF(input_values!G327&gt;0,"×CFrisk","")),"")</f>
        <v>MRL</v>
      </c>
      <c r="H1527" s="1087">
        <f>input_values!L327</f>
        <v>0</v>
      </c>
      <c r="I1527" s="1088">
        <f>input_values!D327</f>
        <v>0</v>
      </c>
      <c r="J1527" s="1098" t="e">
        <f>IF($D$1212="",0,$D1527*Table3[[#This Row],[CF]]*chronic_consumption!$E327/1000/$C$3)</f>
        <v>#DIV/0!</v>
      </c>
      <c r="K1527" s="1098" t="e">
        <f>IF($D$1212="",0,$D1527*Table3[[#This Row],[CF]]*chronic_consumption!$F327/1000/$C$3)</f>
        <v>#DIV/0!</v>
      </c>
      <c r="L1527" s="1098" t="e">
        <f>IF($D$1212="",0,$D1527*Table3[[#This Row],[CF]]*chronic_consumption!$G327/1000/$C$3)</f>
        <v>#DIV/0!</v>
      </c>
      <c r="M1527" s="1098" t="e">
        <f>IF($D$1212="",0,$D1527*Table3[[#This Row],[CF]]*chronic_consumption!$H327/1000/$C$3)</f>
        <v>#DIV/0!</v>
      </c>
      <c r="N1527" s="1098" t="e">
        <f>IF($D$1212="",0,$D1527*Table3[[#This Row],[CF]]*chronic_consumption!$I327/1000/$C$3)</f>
        <v>#DIV/0!</v>
      </c>
      <c r="O1527" s="1098" t="e">
        <f>IF($D$1212="",0,$D1527*Table3[[#This Row],[CF]]*chronic_consumption!$J327/1000/$C$3)</f>
        <v>#DIV/0!</v>
      </c>
      <c r="P1527" s="1098" t="e">
        <f>IF($D$1212="",0,$D1527*Table3[[#This Row],[CF]]*chronic_consumption!$K327/1000/$C$3)</f>
        <v>#DIV/0!</v>
      </c>
      <c r="Q1527" s="1098" t="e">
        <f>IF($D$1212="",0,$D1527*Table3[[#This Row],[CF]]*chronic_consumption!$L327/1000/$C$3)</f>
        <v>#DIV/0!</v>
      </c>
      <c r="R1527" s="1098" t="e">
        <f>IF($D$1212="",0,$D1527*Table3[[#This Row],[CF]]*chronic_consumption!$M327/1000/$C$3)</f>
        <v>#DIV/0!</v>
      </c>
      <c r="S1527" s="1098" t="e">
        <f>IF($D$1212="",0,$D1527*Table3[[#This Row],[CF]]*chronic_consumption!$N327/1000/$C$3)</f>
        <v>#DIV/0!</v>
      </c>
      <c r="T1527" s="1098" t="e">
        <f>IF($D$1212="",0,$D1527*Table3[[#This Row],[CF]]*chronic_consumption!$O327/1000/$C$3)</f>
        <v>#DIV/0!</v>
      </c>
      <c r="U1527" s="1098" t="e">
        <f>IF($D$1212="",0,$D1527*Table3[[#This Row],[CF]]*chronic_consumption!$P327/1000/$C$3)</f>
        <v>#DIV/0!</v>
      </c>
      <c r="V1527" s="1098" t="e">
        <f>IF($D$1212="",0,$D1527*Table3[[#This Row],[CF]]*chronic_consumption!$Q327/1000/$C$3)</f>
        <v>#DIV/0!</v>
      </c>
      <c r="W1527" s="1098" t="e">
        <f>IF($D$1212="",0,$D1527*Table3[[#This Row],[CF]]*chronic_consumption!$R327/1000/$C$3)</f>
        <v>#DIV/0!</v>
      </c>
      <c r="X1527" s="1098" t="e">
        <f>IF($D$1212="",0,$D1527*Table3[[#This Row],[CF]]*chronic_consumption!$S327/1000/$C$3)</f>
        <v>#DIV/0!</v>
      </c>
      <c r="Y1527" s="1098" t="e">
        <f>IF($D$1212="",0,$D1527*Table3[[#This Row],[CF]]*chronic_consumption!$T327/1000/$C$3)</f>
        <v>#DIV/0!</v>
      </c>
      <c r="Z1527" s="1098" t="e">
        <f>IF($D$1212="",0,$D1527*Table3[[#This Row],[CF]]*chronic_consumption!$U327/1000/$C$3)</f>
        <v>#DIV/0!</v>
      </c>
      <c r="AA1527" s="1098" t="e">
        <f>IF($D$1212="",0,$D1527*Table3[[#This Row],[CF]]*chronic_consumption!$V327/1000/$C$3)</f>
        <v>#DIV/0!</v>
      </c>
      <c r="AB1527" s="1098" t="e">
        <f>IF($D$1212="",0,$D1527*Table3[[#This Row],[CF]]*chronic_consumption!$W327/1000/$C$3)</f>
        <v>#DIV/0!</v>
      </c>
      <c r="AC1527" s="1098" t="e">
        <f>IF($D$1212="",0,$D1527*Table3[[#This Row],[CF]]*chronic_consumption!$X327/1000/$C$3)</f>
        <v>#DIV/0!</v>
      </c>
      <c r="AD1527" s="1098" t="e">
        <f>IF($D$1212="",0,$D1527*Table3[[#This Row],[CF]]*chronic_consumption!$Y327/1000/$C$3)</f>
        <v>#DIV/0!</v>
      </c>
      <c r="AE1527" s="1098" t="e">
        <f>IF($D$1212="",0,$D1527*Table3[[#This Row],[CF]]*chronic_consumption!$Z327/1000/$C$3)</f>
        <v>#DIV/0!</v>
      </c>
      <c r="AF1527" s="1098" t="e">
        <f>IF($D$1212="",0,$D1527*Table3[[#This Row],[CF]]*chronic_consumption!$AA327/1000/$C$3)</f>
        <v>#DIV/0!</v>
      </c>
      <c r="AG1527" s="1098" t="e">
        <f>IF($D$1212="",0,$D1527*Table3[[#This Row],[CF]]*chronic_consumption!$AB327/1000/$C$3)</f>
        <v>#DIV/0!</v>
      </c>
      <c r="AH1527" s="1098" t="e">
        <f>IF($D$1212="",0,$D1527*Table3[[#This Row],[CF]]*chronic_consumption!$AC327/1000/$C$3)</f>
        <v>#DIV/0!</v>
      </c>
      <c r="AI1527" s="1098" t="e">
        <f>IF($D$1212="",0,$D1527*Table3[[#This Row],[CF]]*chronic_consumption!$AD327/1000/$C$3)</f>
        <v>#DIV/0!</v>
      </c>
      <c r="AJ1527" s="1098" t="e">
        <f>IF($D$1212="",0,$D1527*Table3[[#This Row],[CF]]*chronic_consumption!$AE327/1000/$C$3)</f>
        <v>#DIV/0!</v>
      </c>
      <c r="AK1527" s="1098" t="e">
        <f>IF($D$1212="",0,$D1527*Table3[[#This Row],[CF]]*chronic_consumption!$AF327/1000/$C$3)</f>
        <v>#DIV/0!</v>
      </c>
      <c r="AL1527" s="1098" t="e">
        <f>IF($D$1212="",0,$D1527*Table3[[#This Row],[CF]]*chronic_consumption!$AG327/1000/$C$3)</f>
        <v>#DIV/0!</v>
      </c>
      <c r="AM1527" s="1098" t="e">
        <f>IF($D$1212="",0,$D1527*Table3[[#This Row],[CF]]*chronic_consumption!$AH327/1000/$C$3)</f>
        <v>#DIV/0!</v>
      </c>
      <c r="AN1527" s="1098" t="e">
        <f>IF($D$1212="",0,$D1527*Table3[[#This Row],[CF]]*chronic_consumption!$AI327/1000/$C$3)</f>
        <v>#DIV/0!</v>
      </c>
      <c r="AO1527" s="1098" t="e">
        <f>IF($D$1212="",0,$D1527*Table3[[#This Row],[CF]]*chronic_consumption!$AJ327/1000/$C$3)</f>
        <v>#DIV/0!</v>
      </c>
      <c r="AP1527" s="1098" t="e">
        <f>IF($D$1212="",0,$D1527*Table3[[#This Row],[CF]]*chronic_consumption!$AK327/1000/$C$3)</f>
        <v>#DIV/0!</v>
      </c>
      <c r="AQ1527" s="1098" t="e">
        <f>IF($D$1212="",0,$D1527*Table3[[#This Row],[CF]]*chronic_consumption!$AL327/1000/$C$3)</f>
        <v>#DIV/0!</v>
      </c>
      <c r="AR1527" s="1098" t="e">
        <f>IF($D$1212="",0,$D1527*Table3[[#This Row],[CF]]*chronic_consumption!$AM327/1000/$C$3)</f>
        <v>#DIV/0!</v>
      </c>
      <c r="AS1527" s="1098" t="e">
        <f>IF($D$1212="",0,$D1527*Table3[[#This Row],[CF]]*chronic_consumption!$AN327/1000/$C$3)</f>
        <v>#DIV/0!</v>
      </c>
      <c r="AT1527" s="1098" t="e">
        <f>IF($D$1212="",0,$D1527*Table3[[#This Row],[CF]]*chronic_consumption!$AO327/1000/$C$3)</f>
        <v>#DIV/0!</v>
      </c>
      <c r="AU1527" s="1099" t="e">
        <f t="shared" si="886"/>
        <v>#DIV/0!</v>
      </c>
      <c r="AV1527" s="1099" t="e">
        <f t="shared" si="886"/>
        <v>#DIV/0!</v>
      </c>
      <c r="AW1527" s="1099" t="e">
        <f t="shared" si="886"/>
        <v>#DIV/0!</v>
      </c>
      <c r="AX1527" s="1099" t="e">
        <f t="shared" si="886"/>
        <v>#DIV/0!</v>
      </c>
      <c r="AY1527" s="1099" t="e">
        <f t="shared" si="886"/>
        <v>#DIV/0!</v>
      </c>
      <c r="AZ1527" s="1091" t="s">
        <v>1012</v>
      </c>
      <c r="BA1527" s="1097" t="e">
        <f>IF(Table3[[#This Row],[max]]&lt;&gt;0,RANK(Table3[[#This Row],[max]],Table3[max],0),"")</f>
        <v>#DIV/0!</v>
      </c>
      <c r="BB1527" s="1096" t="e">
        <f t="shared" si="876"/>
        <v>#DIV/0!</v>
      </c>
      <c r="BC1527" s="1096" t="e">
        <f t="shared" ca="1" si="877"/>
        <v>#DIV/0!</v>
      </c>
      <c r="BD1527" s="1096" t="e">
        <f>IF(Table3[[#This Row],[max]]&gt;0,Table3[[#This Row],[Crop groups and examples of individual products within the groups to which the MRLs apply]],"")</f>
        <v>#DIV/0!</v>
      </c>
    </row>
    <row r="1528" spans="2:56" x14ac:dyDescent="0.2">
      <c r="B1528" s="23">
        <f t="shared" si="884"/>
        <v>1011030</v>
      </c>
      <c r="C1528" s="23" t="str">
        <f t="shared" si="884"/>
        <v>Swine: Liver</v>
      </c>
      <c r="D1528" s="1084">
        <f>input_values!E328</f>
        <v>0</v>
      </c>
      <c r="E1528" s="1084">
        <f>input_values!F328</f>
        <v>0</v>
      </c>
      <c r="F1528" s="1085">
        <f>input_values!W328</f>
        <v>1</v>
      </c>
      <c r="G1528" s="1085" t="str">
        <f>IF(Table3[[#This Row],[CF]]&gt;0,CONCATENATE(IF(Table3[[#This Row],[LOQ]]="*","LOQ","MRL"),IF(input_values!G328&gt;0,"×CFrisk","")),"")</f>
        <v>MRL</v>
      </c>
      <c r="H1528" s="1087">
        <f>input_values!L328</f>
        <v>0</v>
      </c>
      <c r="I1528" s="1088">
        <f>input_values!D328</f>
        <v>0</v>
      </c>
      <c r="J1528" s="1098" t="e">
        <f>IF($D$1212="",0,$D1528*Table3[[#This Row],[CF]]*chronic_consumption!$E328/1000/$C$3)</f>
        <v>#DIV/0!</v>
      </c>
      <c r="K1528" s="1098" t="e">
        <f>IF($D$1212="",0,$D1528*Table3[[#This Row],[CF]]*chronic_consumption!$F328/1000/$C$3)</f>
        <v>#DIV/0!</v>
      </c>
      <c r="L1528" s="1098" t="e">
        <f>IF($D$1212="",0,$D1528*Table3[[#This Row],[CF]]*chronic_consumption!$G328/1000/$C$3)</f>
        <v>#DIV/0!</v>
      </c>
      <c r="M1528" s="1098" t="e">
        <f>IF($D$1212="",0,$D1528*Table3[[#This Row],[CF]]*chronic_consumption!$H328/1000/$C$3)</f>
        <v>#DIV/0!</v>
      </c>
      <c r="N1528" s="1098" t="e">
        <f>IF($D$1212="",0,$D1528*Table3[[#This Row],[CF]]*chronic_consumption!$I328/1000/$C$3)</f>
        <v>#DIV/0!</v>
      </c>
      <c r="O1528" s="1098" t="e">
        <f>IF($D$1212="",0,$D1528*Table3[[#This Row],[CF]]*chronic_consumption!$J328/1000/$C$3)</f>
        <v>#DIV/0!</v>
      </c>
      <c r="P1528" s="1098" t="e">
        <f>IF($D$1212="",0,$D1528*Table3[[#This Row],[CF]]*chronic_consumption!$K328/1000/$C$3)</f>
        <v>#DIV/0!</v>
      </c>
      <c r="Q1528" s="1098" t="e">
        <f>IF($D$1212="",0,$D1528*Table3[[#This Row],[CF]]*chronic_consumption!$L328/1000/$C$3)</f>
        <v>#DIV/0!</v>
      </c>
      <c r="R1528" s="1098" t="e">
        <f>IF($D$1212="",0,$D1528*Table3[[#This Row],[CF]]*chronic_consumption!$M328/1000/$C$3)</f>
        <v>#DIV/0!</v>
      </c>
      <c r="S1528" s="1098" t="e">
        <f>IF($D$1212="",0,$D1528*Table3[[#This Row],[CF]]*chronic_consumption!$N328/1000/$C$3)</f>
        <v>#DIV/0!</v>
      </c>
      <c r="T1528" s="1098" t="e">
        <f>IF($D$1212="",0,$D1528*Table3[[#This Row],[CF]]*chronic_consumption!$O328/1000/$C$3)</f>
        <v>#DIV/0!</v>
      </c>
      <c r="U1528" s="1098" t="e">
        <f>IF($D$1212="",0,$D1528*Table3[[#This Row],[CF]]*chronic_consumption!$P328/1000/$C$3)</f>
        <v>#DIV/0!</v>
      </c>
      <c r="V1528" s="1098" t="e">
        <f>IF($D$1212="",0,$D1528*Table3[[#This Row],[CF]]*chronic_consumption!$Q328/1000/$C$3)</f>
        <v>#DIV/0!</v>
      </c>
      <c r="W1528" s="1098" t="e">
        <f>IF($D$1212="",0,$D1528*Table3[[#This Row],[CF]]*chronic_consumption!$R328/1000/$C$3)</f>
        <v>#DIV/0!</v>
      </c>
      <c r="X1528" s="1098" t="e">
        <f>IF($D$1212="",0,$D1528*Table3[[#This Row],[CF]]*chronic_consumption!$S328/1000/$C$3)</f>
        <v>#DIV/0!</v>
      </c>
      <c r="Y1528" s="1098" t="e">
        <f>IF($D$1212="",0,$D1528*Table3[[#This Row],[CF]]*chronic_consumption!$T328/1000/$C$3)</f>
        <v>#DIV/0!</v>
      </c>
      <c r="Z1528" s="1098" t="e">
        <f>IF($D$1212="",0,$D1528*Table3[[#This Row],[CF]]*chronic_consumption!$U328/1000/$C$3)</f>
        <v>#DIV/0!</v>
      </c>
      <c r="AA1528" s="1098" t="e">
        <f>IF($D$1212="",0,$D1528*Table3[[#This Row],[CF]]*chronic_consumption!$V328/1000/$C$3)</f>
        <v>#DIV/0!</v>
      </c>
      <c r="AB1528" s="1098" t="e">
        <f>IF($D$1212="",0,$D1528*Table3[[#This Row],[CF]]*chronic_consumption!$W328/1000/$C$3)</f>
        <v>#DIV/0!</v>
      </c>
      <c r="AC1528" s="1098" t="e">
        <f>IF($D$1212="",0,$D1528*Table3[[#This Row],[CF]]*chronic_consumption!$X328/1000/$C$3)</f>
        <v>#DIV/0!</v>
      </c>
      <c r="AD1528" s="1098" t="e">
        <f>IF($D$1212="",0,$D1528*Table3[[#This Row],[CF]]*chronic_consumption!$Y328/1000/$C$3)</f>
        <v>#DIV/0!</v>
      </c>
      <c r="AE1528" s="1098" t="e">
        <f>IF($D$1212="",0,$D1528*Table3[[#This Row],[CF]]*chronic_consumption!$Z328/1000/$C$3)</f>
        <v>#DIV/0!</v>
      </c>
      <c r="AF1528" s="1098" t="e">
        <f>IF($D$1212="",0,$D1528*Table3[[#This Row],[CF]]*chronic_consumption!$AA328/1000/$C$3)</f>
        <v>#DIV/0!</v>
      </c>
      <c r="AG1528" s="1098" t="e">
        <f>IF($D$1212="",0,$D1528*Table3[[#This Row],[CF]]*chronic_consumption!$AB328/1000/$C$3)</f>
        <v>#DIV/0!</v>
      </c>
      <c r="AH1528" s="1098" t="e">
        <f>IF($D$1212="",0,$D1528*Table3[[#This Row],[CF]]*chronic_consumption!$AC328/1000/$C$3)</f>
        <v>#DIV/0!</v>
      </c>
      <c r="AI1528" s="1098" t="e">
        <f>IF($D$1212="",0,$D1528*Table3[[#This Row],[CF]]*chronic_consumption!$AD328/1000/$C$3)</f>
        <v>#DIV/0!</v>
      </c>
      <c r="AJ1528" s="1098" t="e">
        <f>IF($D$1212="",0,$D1528*Table3[[#This Row],[CF]]*chronic_consumption!$AE328/1000/$C$3)</f>
        <v>#DIV/0!</v>
      </c>
      <c r="AK1528" s="1098" t="e">
        <f>IF($D$1212="",0,$D1528*Table3[[#This Row],[CF]]*chronic_consumption!$AF328/1000/$C$3)</f>
        <v>#DIV/0!</v>
      </c>
      <c r="AL1528" s="1098" t="e">
        <f>IF($D$1212="",0,$D1528*Table3[[#This Row],[CF]]*chronic_consumption!$AG328/1000/$C$3)</f>
        <v>#DIV/0!</v>
      </c>
      <c r="AM1528" s="1098" t="e">
        <f>IF($D$1212="",0,$D1528*Table3[[#This Row],[CF]]*chronic_consumption!$AH328/1000/$C$3)</f>
        <v>#DIV/0!</v>
      </c>
      <c r="AN1528" s="1098" t="e">
        <f>IF($D$1212="",0,$D1528*Table3[[#This Row],[CF]]*chronic_consumption!$AI328/1000/$C$3)</f>
        <v>#DIV/0!</v>
      </c>
      <c r="AO1528" s="1098" t="e">
        <f>IF($D$1212="",0,$D1528*Table3[[#This Row],[CF]]*chronic_consumption!$AJ328/1000/$C$3)</f>
        <v>#DIV/0!</v>
      </c>
      <c r="AP1528" s="1098" t="e">
        <f>IF($D$1212="",0,$D1528*Table3[[#This Row],[CF]]*chronic_consumption!$AK328/1000/$C$3)</f>
        <v>#DIV/0!</v>
      </c>
      <c r="AQ1528" s="1098" t="e">
        <f>IF($D$1212="",0,$D1528*Table3[[#This Row],[CF]]*chronic_consumption!$AL328/1000/$C$3)</f>
        <v>#DIV/0!</v>
      </c>
      <c r="AR1528" s="1098" t="e">
        <f>IF($D$1212="",0,$D1528*Table3[[#This Row],[CF]]*chronic_consumption!$AM328/1000/$C$3)</f>
        <v>#DIV/0!</v>
      </c>
      <c r="AS1528" s="1098" t="e">
        <f>IF($D$1212="",0,$D1528*Table3[[#This Row],[CF]]*chronic_consumption!$AN328/1000/$C$3)</f>
        <v>#DIV/0!</v>
      </c>
      <c r="AT1528" s="1098" t="e">
        <f>IF($D$1212="",0,$D1528*Table3[[#This Row],[CF]]*chronic_consumption!$AO328/1000/$C$3)</f>
        <v>#DIV/0!</v>
      </c>
      <c r="AU1528" s="1099" t="e">
        <f t="shared" si="886"/>
        <v>#DIV/0!</v>
      </c>
      <c r="AV1528" s="1099" t="e">
        <f t="shared" si="886"/>
        <v>#DIV/0!</v>
      </c>
      <c r="AW1528" s="1099" t="e">
        <f t="shared" si="886"/>
        <v>#DIV/0!</v>
      </c>
      <c r="AX1528" s="1099" t="e">
        <f t="shared" si="886"/>
        <v>#DIV/0!</v>
      </c>
      <c r="AY1528" s="1099" t="e">
        <f t="shared" si="886"/>
        <v>#DIV/0!</v>
      </c>
      <c r="AZ1528" s="1091" t="s">
        <v>1012</v>
      </c>
      <c r="BA1528" s="1097" t="e">
        <f>IF(Table3[[#This Row],[max]]&lt;&gt;0,RANK(Table3[[#This Row],[max]],Table3[max],0),"")</f>
        <v>#DIV/0!</v>
      </c>
      <c r="BB1528" s="1096" t="e">
        <f t="shared" si="876"/>
        <v>#DIV/0!</v>
      </c>
      <c r="BC1528" s="1096" t="e">
        <f t="shared" ca="1" si="877"/>
        <v>#DIV/0!</v>
      </c>
      <c r="BD1528" s="1096" t="e">
        <f>IF(Table3[[#This Row],[max]]&gt;0,Table3[[#This Row],[Crop groups and examples of individual products within the groups to which the MRLs apply]],"")</f>
        <v>#DIV/0!</v>
      </c>
    </row>
    <row r="1529" spans="2:56" x14ac:dyDescent="0.2">
      <c r="B1529" s="23">
        <f t="shared" si="884"/>
        <v>1011040</v>
      </c>
      <c r="C1529" s="23" t="str">
        <f t="shared" si="884"/>
        <v>Swine: Kidney</v>
      </c>
      <c r="D1529" s="1084">
        <f>input_values!E329</f>
        <v>0</v>
      </c>
      <c r="E1529" s="1084">
        <f>input_values!F329</f>
        <v>0</v>
      </c>
      <c r="F1529" s="1085">
        <f>input_values!W329</f>
        <v>1</v>
      </c>
      <c r="G1529" s="1085" t="str">
        <f>IF(Table3[[#This Row],[CF]]&gt;0,CONCATENATE(IF(Table3[[#This Row],[LOQ]]="*","LOQ","MRL"),IF(input_values!G329&gt;0,"×CFrisk","")),"")</f>
        <v>MRL</v>
      </c>
      <c r="H1529" s="1087">
        <f>input_values!L329</f>
        <v>0</v>
      </c>
      <c r="I1529" s="1088">
        <f>input_values!D329</f>
        <v>0</v>
      </c>
      <c r="J1529" s="1098" t="e">
        <f>IF($D$1212="",0,$D1529*Table3[[#This Row],[CF]]*chronic_consumption!$E329/1000/$C$3)</f>
        <v>#DIV/0!</v>
      </c>
      <c r="K1529" s="1098" t="e">
        <f>IF($D$1212="",0,$D1529*Table3[[#This Row],[CF]]*chronic_consumption!$F329/1000/$C$3)</f>
        <v>#DIV/0!</v>
      </c>
      <c r="L1529" s="1098" t="e">
        <f>IF($D$1212="",0,$D1529*Table3[[#This Row],[CF]]*chronic_consumption!$G329/1000/$C$3)</f>
        <v>#DIV/0!</v>
      </c>
      <c r="M1529" s="1098" t="e">
        <f>IF($D$1212="",0,$D1529*Table3[[#This Row],[CF]]*chronic_consumption!$H329/1000/$C$3)</f>
        <v>#DIV/0!</v>
      </c>
      <c r="N1529" s="1098" t="e">
        <f>IF($D$1212="",0,$D1529*Table3[[#This Row],[CF]]*chronic_consumption!$I329/1000/$C$3)</f>
        <v>#DIV/0!</v>
      </c>
      <c r="O1529" s="1098" t="e">
        <f>IF($D$1212="",0,$D1529*Table3[[#This Row],[CF]]*chronic_consumption!$J329/1000/$C$3)</f>
        <v>#DIV/0!</v>
      </c>
      <c r="P1529" s="1098" t="e">
        <f>IF($D$1212="",0,$D1529*Table3[[#This Row],[CF]]*chronic_consumption!$K329/1000/$C$3)</f>
        <v>#DIV/0!</v>
      </c>
      <c r="Q1529" s="1098" t="e">
        <f>IF($D$1212="",0,$D1529*Table3[[#This Row],[CF]]*chronic_consumption!$L329/1000/$C$3)</f>
        <v>#DIV/0!</v>
      </c>
      <c r="R1529" s="1098" t="e">
        <f>IF($D$1212="",0,$D1529*Table3[[#This Row],[CF]]*chronic_consumption!$M329/1000/$C$3)</f>
        <v>#DIV/0!</v>
      </c>
      <c r="S1529" s="1098" t="e">
        <f>IF($D$1212="",0,$D1529*Table3[[#This Row],[CF]]*chronic_consumption!$N329/1000/$C$3)</f>
        <v>#DIV/0!</v>
      </c>
      <c r="T1529" s="1098" t="e">
        <f>IF($D$1212="",0,$D1529*Table3[[#This Row],[CF]]*chronic_consumption!$O329/1000/$C$3)</f>
        <v>#DIV/0!</v>
      </c>
      <c r="U1529" s="1098" t="e">
        <f>IF($D$1212="",0,$D1529*Table3[[#This Row],[CF]]*chronic_consumption!$P329/1000/$C$3)</f>
        <v>#DIV/0!</v>
      </c>
      <c r="V1529" s="1098" t="e">
        <f>IF($D$1212="",0,$D1529*Table3[[#This Row],[CF]]*chronic_consumption!$Q329/1000/$C$3)</f>
        <v>#DIV/0!</v>
      </c>
      <c r="W1529" s="1098" t="e">
        <f>IF($D$1212="",0,$D1529*Table3[[#This Row],[CF]]*chronic_consumption!$R329/1000/$C$3)</f>
        <v>#DIV/0!</v>
      </c>
      <c r="X1529" s="1098" t="e">
        <f>IF($D$1212="",0,$D1529*Table3[[#This Row],[CF]]*chronic_consumption!$S329/1000/$C$3)</f>
        <v>#DIV/0!</v>
      </c>
      <c r="Y1529" s="1098" t="e">
        <f>IF($D$1212="",0,$D1529*Table3[[#This Row],[CF]]*chronic_consumption!$T329/1000/$C$3)</f>
        <v>#DIV/0!</v>
      </c>
      <c r="Z1529" s="1098" t="e">
        <f>IF($D$1212="",0,$D1529*Table3[[#This Row],[CF]]*chronic_consumption!$U329/1000/$C$3)</f>
        <v>#DIV/0!</v>
      </c>
      <c r="AA1529" s="1098" t="e">
        <f>IF($D$1212="",0,$D1529*Table3[[#This Row],[CF]]*chronic_consumption!$V329/1000/$C$3)</f>
        <v>#DIV/0!</v>
      </c>
      <c r="AB1529" s="1098" t="e">
        <f>IF($D$1212="",0,$D1529*Table3[[#This Row],[CF]]*chronic_consumption!$W329/1000/$C$3)</f>
        <v>#DIV/0!</v>
      </c>
      <c r="AC1529" s="1098" t="e">
        <f>IF($D$1212="",0,$D1529*Table3[[#This Row],[CF]]*chronic_consumption!$X329/1000/$C$3)</f>
        <v>#DIV/0!</v>
      </c>
      <c r="AD1529" s="1098" t="e">
        <f>IF($D$1212="",0,$D1529*Table3[[#This Row],[CF]]*chronic_consumption!$Y329/1000/$C$3)</f>
        <v>#DIV/0!</v>
      </c>
      <c r="AE1529" s="1098" t="e">
        <f>IF($D$1212="",0,$D1529*Table3[[#This Row],[CF]]*chronic_consumption!$Z329/1000/$C$3)</f>
        <v>#DIV/0!</v>
      </c>
      <c r="AF1529" s="1098" t="e">
        <f>IF($D$1212="",0,$D1529*Table3[[#This Row],[CF]]*chronic_consumption!$AA329/1000/$C$3)</f>
        <v>#DIV/0!</v>
      </c>
      <c r="AG1529" s="1098" t="e">
        <f>IF($D$1212="",0,$D1529*Table3[[#This Row],[CF]]*chronic_consumption!$AB329/1000/$C$3)</f>
        <v>#DIV/0!</v>
      </c>
      <c r="AH1529" s="1098" t="e">
        <f>IF($D$1212="",0,$D1529*Table3[[#This Row],[CF]]*chronic_consumption!$AC329/1000/$C$3)</f>
        <v>#DIV/0!</v>
      </c>
      <c r="AI1529" s="1098" t="e">
        <f>IF($D$1212="",0,$D1529*Table3[[#This Row],[CF]]*chronic_consumption!$AD329/1000/$C$3)</f>
        <v>#DIV/0!</v>
      </c>
      <c r="AJ1529" s="1098" t="e">
        <f>IF($D$1212="",0,$D1529*Table3[[#This Row],[CF]]*chronic_consumption!$AE329/1000/$C$3)</f>
        <v>#DIV/0!</v>
      </c>
      <c r="AK1529" s="1098" t="e">
        <f>IF($D$1212="",0,$D1529*Table3[[#This Row],[CF]]*chronic_consumption!$AF329/1000/$C$3)</f>
        <v>#DIV/0!</v>
      </c>
      <c r="AL1529" s="1098" t="e">
        <f>IF($D$1212="",0,$D1529*Table3[[#This Row],[CF]]*chronic_consumption!$AG329/1000/$C$3)</f>
        <v>#DIV/0!</v>
      </c>
      <c r="AM1529" s="1098" t="e">
        <f>IF($D$1212="",0,$D1529*Table3[[#This Row],[CF]]*chronic_consumption!$AH329/1000/$C$3)</f>
        <v>#DIV/0!</v>
      </c>
      <c r="AN1529" s="1098" t="e">
        <f>IF($D$1212="",0,$D1529*Table3[[#This Row],[CF]]*chronic_consumption!$AI329/1000/$C$3)</f>
        <v>#DIV/0!</v>
      </c>
      <c r="AO1529" s="1098" t="e">
        <f>IF($D$1212="",0,$D1529*Table3[[#This Row],[CF]]*chronic_consumption!$AJ329/1000/$C$3)</f>
        <v>#DIV/0!</v>
      </c>
      <c r="AP1529" s="1098" t="e">
        <f>IF($D$1212="",0,$D1529*Table3[[#This Row],[CF]]*chronic_consumption!$AK329/1000/$C$3)</f>
        <v>#DIV/0!</v>
      </c>
      <c r="AQ1529" s="1098" t="e">
        <f>IF($D$1212="",0,$D1529*Table3[[#This Row],[CF]]*chronic_consumption!$AL329/1000/$C$3)</f>
        <v>#DIV/0!</v>
      </c>
      <c r="AR1529" s="1098" t="e">
        <f>IF($D$1212="",0,$D1529*Table3[[#This Row],[CF]]*chronic_consumption!$AM329/1000/$C$3)</f>
        <v>#DIV/0!</v>
      </c>
      <c r="AS1529" s="1098" t="e">
        <f>IF($D$1212="",0,$D1529*Table3[[#This Row],[CF]]*chronic_consumption!$AN329/1000/$C$3)</f>
        <v>#DIV/0!</v>
      </c>
      <c r="AT1529" s="1098" t="e">
        <f>IF($D$1212="",0,$D1529*Table3[[#This Row],[CF]]*chronic_consumption!$AO329/1000/$C$3)</f>
        <v>#DIV/0!</v>
      </c>
      <c r="AU1529" s="1099" t="e">
        <f t="shared" si="886"/>
        <v>#DIV/0!</v>
      </c>
      <c r="AV1529" s="1099" t="e">
        <f t="shared" si="886"/>
        <v>#DIV/0!</v>
      </c>
      <c r="AW1529" s="1099" t="e">
        <f t="shared" si="886"/>
        <v>#DIV/0!</v>
      </c>
      <c r="AX1529" s="1099" t="e">
        <f t="shared" si="886"/>
        <v>#DIV/0!</v>
      </c>
      <c r="AY1529" s="1099" t="e">
        <f t="shared" si="886"/>
        <v>#DIV/0!</v>
      </c>
      <c r="AZ1529" s="1091" t="s">
        <v>1012</v>
      </c>
      <c r="BA1529" s="1097" t="e">
        <f>IF(Table3[[#This Row],[max]]&lt;&gt;0,RANK(Table3[[#This Row],[max]],Table3[max],0),"")</f>
        <v>#DIV/0!</v>
      </c>
      <c r="BB1529" s="1096" t="e">
        <f t="shared" si="876"/>
        <v>#DIV/0!</v>
      </c>
      <c r="BC1529" s="1096" t="e">
        <f t="shared" ca="1" si="877"/>
        <v>#DIV/0!</v>
      </c>
      <c r="BD1529" s="1096" t="e">
        <f>IF(Table3[[#This Row],[max]]&gt;0,Table3[[#This Row],[Crop groups and examples of individual products within the groups to which the MRLs apply]],"")</f>
        <v>#DIV/0!</v>
      </c>
    </row>
    <row r="1530" spans="2:56" x14ac:dyDescent="0.2">
      <c r="B1530" s="23">
        <f t="shared" si="884"/>
        <v>1011050</v>
      </c>
      <c r="C1530" s="23" t="str">
        <f t="shared" si="884"/>
        <v>Swine: Edible offals (other than liver and kidney)</v>
      </c>
      <c r="D1530" s="1084">
        <f>input_values!E330</f>
        <v>0</v>
      </c>
      <c r="E1530" s="1084">
        <f>input_values!F330</f>
        <v>0</v>
      </c>
      <c r="F1530" s="1085">
        <f>input_values!W330</f>
        <v>1</v>
      </c>
      <c r="G1530" s="1085" t="str">
        <f>IF(Table3[[#This Row],[CF]]&gt;0,CONCATENATE(IF(Table3[[#This Row],[LOQ]]="*","LOQ","MRL"),IF(input_values!G330&gt;0,"×CFrisk","")),"")</f>
        <v>MRL</v>
      </c>
      <c r="H1530" s="1087">
        <f>input_values!L330</f>
        <v>0</v>
      </c>
      <c r="I1530" s="1088">
        <f>input_values!D330</f>
        <v>0</v>
      </c>
      <c r="J1530" s="1098" t="e">
        <f>IF($D$1212="",0,$D1530*Table3[[#This Row],[CF]]*chronic_consumption!$E330/1000/$C$3)</f>
        <v>#DIV/0!</v>
      </c>
      <c r="K1530" s="1098" t="e">
        <f>IF($D$1212="",0,$D1530*Table3[[#This Row],[CF]]*chronic_consumption!$F330/1000/$C$3)</f>
        <v>#DIV/0!</v>
      </c>
      <c r="L1530" s="1098" t="e">
        <f>IF($D$1212="",0,$D1530*Table3[[#This Row],[CF]]*chronic_consumption!$G330/1000/$C$3)</f>
        <v>#DIV/0!</v>
      </c>
      <c r="M1530" s="1098" t="e">
        <f>IF($D$1212="",0,$D1530*Table3[[#This Row],[CF]]*chronic_consumption!$H330/1000/$C$3)</f>
        <v>#DIV/0!</v>
      </c>
      <c r="N1530" s="1098" t="e">
        <f>IF($D$1212="",0,$D1530*Table3[[#This Row],[CF]]*chronic_consumption!$I330/1000/$C$3)</f>
        <v>#DIV/0!</v>
      </c>
      <c r="O1530" s="1098" t="e">
        <f>IF($D$1212="",0,$D1530*Table3[[#This Row],[CF]]*chronic_consumption!$J330/1000/$C$3)</f>
        <v>#DIV/0!</v>
      </c>
      <c r="P1530" s="1098" t="e">
        <f>IF($D$1212="",0,$D1530*Table3[[#This Row],[CF]]*chronic_consumption!$K330/1000/$C$3)</f>
        <v>#DIV/0!</v>
      </c>
      <c r="Q1530" s="1098" t="e">
        <f>IF($D$1212="",0,$D1530*Table3[[#This Row],[CF]]*chronic_consumption!$L330/1000/$C$3)</f>
        <v>#DIV/0!</v>
      </c>
      <c r="R1530" s="1098" t="e">
        <f>IF($D$1212="",0,$D1530*Table3[[#This Row],[CF]]*chronic_consumption!$M330/1000/$C$3)</f>
        <v>#DIV/0!</v>
      </c>
      <c r="S1530" s="1098" t="e">
        <f>IF($D$1212="",0,$D1530*Table3[[#This Row],[CF]]*chronic_consumption!$N330/1000/$C$3)</f>
        <v>#DIV/0!</v>
      </c>
      <c r="T1530" s="1098" t="e">
        <f>IF($D$1212="",0,$D1530*Table3[[#This Row],[CF]]*chronic_consumption!$O330/1000/$C$3)</f>
        <v>#DIV/0!</v>
      </c>
      <c r="U1530" s="1098" t="e">
        <f>IF($D$1212="",0,$D1530*Table3[[#This Row],[CF]]*chronic_consumption!$P330/1000/$C$3)</f>
        <v>#DIV/0!</v>
      </c>
      <c r="V1530" s="1098" t="e">
        <f>IF($D$1212="",0,$D1530*Table3[[#This Row],[CF]]*chronic_consumption!$Q330/1000/$C$3)</f>
        <v>#DIV/0!</v>
      </c>
      <c r="W1530" s="1098" t="e">
        <f>IF($D$1212="",0,$D1530*Table3[[#This Row],[CF]]*chronic_consumption!$R330/1000/$C$3)</f>
        <v>#DIV/0!</v>
      </c>
      <c r="X1530" s="1098" t="e">
        <f>IF($D$1212="",0,$D1530*Table3[[#This Row],[CF]]*chronic_consumption!$S330/1000/$C$3)</f>
        <v>#DIV/0!</v>
      </c>
      <c r="Y1530" s="1098" t="e">
        <f>IF($D$1212="",0,$D1530*Table3[[#This Row],[CF]]*chronic_consumption!$T330/1000/$C$3)</f>
        <v>#DIV/0!</v>
      </c>
      <c r="Z1530" s="1098" t="e">
        <f>IF($D$1212="",0,$D1530*Table3[[#This Row],[CF]]*chronic_consumption!$U330/1000/$C$3)</f>
        <v>#DIV/0!</v>
      </c>
      <c r="AA1530" s="1098" t="e">
        <f>IF($D$1212="",0,$D1530*Table3[[#This Row],[CF]]*chronic_consumption!$V330/1000/$C$3)</f>
        <v>#DIV/0!</v>
      </c>
      <c r="AB1530" s="1098" t="e">
        <f>IF($D$1212="",0,$D1530*Table3[[#This Row],[CF]]*chronic_consumption!$W330/1000/$C$3)</f>
        <v>#DIV/0!</v>
      </c>
      <c r="AC1530" s="1098" t="e">
        <f>IF($D$1212="",0,$D1530*Table3[[#This Row],[CF]]*chronic_consumption!$X330/1000/$C$3)</f>
        <v>#DIV/0!</v>
      </c>
      <c r="AD1530" s="1098" t="e">
        <f>IF($D$1212="",0,$D1530*Table3[[#This Row],[CF]]*chronic_consumption!$Y330/1000/$C$3)</f>
        <v>#DIV/0!</v>
      </c>
      <c r="AE1530" s="1098" t="e">
        <f>IF($D$1212="",0,$D1530*Table3[[#This Row],[CF]]*chronic_consumption!$Z330/1000/$C$3)</f>
        <v>#DIV/0!</v>
      </c>
      <c r="AF1530" s="1098" t="e">
        <f>IF($D$1212="",0,$D1530*Table3[[#This Row],[CF]]*chronic_consumption!$AA330/1000/$C$3)</f>
        <v>#DIV/0!</v>
      </c>
      <c r="AG1530" s="1098" t="e">
        <f>IF($D$1212="",0,$D1530*Table3[[#This Row],[CF]]*chronic_consumption!$AB330/1000/$C$3)</f>
        <v>#DIV/0!</v>
      </c>
      <c r="AH1530" s="1098" t="e">
        <f>IF($D$1212="",0,$D1530*Table3[[#This Row],[CF]]*chronic_consumption!$AC330/1000/$C$3)</f>
        <v>#DIV/0!</v>
      </c>
      <c r="AI1530" s="1098" t="e">
        <f>IF($D$1212="",0,$D1530*Table3[[#This Row],[CF]]*chronic_consumption!$AD330/1000/$C$3)</f>
        <v>#DIV/0!</v>
      </c>
      <c r="AJ1530" s="1098" t="e">
        <f>IF($D$1212="",0,$D1530*Table3[[#This Row],[CF]]*chronic_consumption!$AE330/1000/$C$3)</f>
        <v>#DIV/0!</v>
      </c>
      <c r="AK1530" s="1098" t="e">
        <f>IF($D$1212="",0,$D1530*Table3[[#This Row],[CF]]*chronic_consumption!$AF330/1000/$C$3)</f>
        <v>#DIV/0!</v>
      </c>
      <c r="AL1530" s="1098" t="e">
        <f>IF($D$1212="",0,$D1530*Table3[[#This Row],[CF]]*chronic_consumption!$AG330/1000/$C$3)</f>
        <v>#DIV/0!</v>
      </c>
      <c r="AM1530" s="1098" t="e">
        <f>IF($D$1212="",0,$D1530*Table3[[#This Row],[CF]]*chronic_consumption!$AH330/1000/$C$3)</f>
        <v>#DIV/0!</v>
      </c>
      <c r="AN1530" s="1098" t="e">
        <f>IF($D$1212="",0,$D1530*Table3[[#This Row],[CF]]*chronic_consumption!$AI330/1000/$C$3)</f>
        <v>#DIV/0!</v>
      </c>
      <c r="AO1530" s="1098" t="e">
        <f>IF($D$1212="",0,$D1530*Table3[[#This Row],[CF]]*chronic_consumption!$AJ330/1000/$C$3)</f>
        <v>#DIV/0!</v>
      </c>
      <c r="AP1530" s="1098" t="e">
        <f>IF($D$1212="",0,$D1530*Table3[[#This Row],[CF]]*chronic_consumption!$AK330/1000/$C$3)</f>
        <v>#DIV/0!</v>
      </c>
      <c r="AQ1530" s="1098" t="e">
        <f>IF($D$1212="",0,$D1530*Table3[[#This Row],[CF]]*chronic_consumption!$AL330/1000/$C$3)</f>
        <v>#DIV/0!</v>
      </c>
      <c r="AR1530" s="1098" t="e">
        <f>IF($D$1212="",0,$D1530*Table3[[#This Row],[CF]]*chronic_consumption!$AM330/1000/$C$3)</f>
        <v>#DIV/0!</v>
      </c>
      <c r="AS1530" s="1098" t="e">
        <f>IF($D$1212="",0,$D1530*Table3[[#This Row],[CF]]*chronic_consumption!$AN330/1000/$C$3)</f>
        <v>#DIV/0!</v>
      </c>
      <c r="AT1530" s="1098" t="e">
        <f>IF($D$1212="",0,$D1530*Table3[[#This Row],[CF]]*chronic_consumption!$AO330/1000/$C$3)</f>
        <v>#DIV/0!</v>
      </c>
      <c r="AU1530" s="1099" t="e">
        <f t="shared" si="886"/>
        <v>#DIV/0!</v>
      </c>
      <c r="AV1530" s="1099" t="e">
        <f t="shared" si="886"/>
        <v>#DIV/0!</v>
      </c>
      <c r="AW1530" s="1099" t="e">
        <f t="shared" si="886"/>
        <v>#DIV/0!</v>
      </c>
      <c r="AX1530" s="1099" t="e">
        <f t="shared" si="886"/>
        <v>#DIV/0!</v>
      </c>
      <c r="AY1530" s="1099" t="e">
        <f t="shared" si="886"/>
        <v>#DIV/0!</v>
      </c>
      <c r="AZ1530" s="1091" t="s">
        <v>1012</v>
      </c>
      <c r="BA1530" s="1097" t="e">
        <f>IF(Table3[[#This Row],[max]]&lt;&gt;0,RANK(Table3[[#This Row],[max]],Table3[max],0),"")</f>
        <v>#DIV/0!</v>
      </c>
      <c r="BB1530" s="1096" t="e">
        <f t="shared" si="876"/>
        <v>#DIV/0!</v>
      </c>
      <c r="BC1530" s="1096" t="e">
        <f t="shared" ca="1" si="877"/>
        <v>#DIV/0!</v>
      </c>
      <c r="BD1530" s="1096" t="e">
        <f>IF(Table3[[#This Row],[max]]&gt;0,Table3[[#This Row],[Crop groups and examples of individual products within the groups to which the MRLs apply]],"")</f>
        <v>#DIV/0!</v>
      </c>
    </row>
    <row r="1531" spans="2:56" x14ac:dyDescent="0.2">
      <c r="B1531" s="23">
        <f t="shared" si="884"/>
        <v>1011990</v>
      </c>
      <c r="C1531" s="23" t="str">
        <f t="shared" si="884"/>
        <v>Swine: Other products</v>
      </c>
      <c r="D1531" s="1084">
        <f>input_values!E331</f>
        <v>0</v>
      </c>
      <c r="E1531" s="1084">
        <f>input_values!F331</f>
        <v>0</v>
      </c>
      <c r="F1531" s="1085">
        <f>input_values!W331</f>
        <v>1</v>
      </c>
      <c r="G1531" s="1085" t="str">
        <f>IF(Table3[[#This Row],[CF]]&gt;0,CONCATENATE(IF(Table3[[#This Row],[LOQ]]="*","LOQ","MRL"),IF(input_values!G331&gt;0,"×CFrisk","")),"")</f>
        <v>MRL</v>
      </c>
      <c r="H1531" s="1087">
        <f>input_values!L331</f>
        <v>0</v>
      </c>
      <c r="I1531" s="1088">
        <f>input_values!D331</f>
        <v>0</v>
      </c>
      <c r="J1531" s="1098" t="e">
        <f>IF($D$1212="",0,$D1531*Table3[[#This Row],[CF]]*chronic_consumption!$E331/1000/$C$3)</f>
        <v>#DIV/0!</v>
      </c>
      <c r="K1531" s="1098" t="e">
        <f>IF($D$1212="",0,$D1531*Table3[[#This Row],[CF]]*chronic_consumption!$F331/1000/$C$3)</f>
        <v>#DIV/0!</v>
      </c>
      <c r="L1531" s="1098" t="e">
        <f>IF($D$1212="",0,$D1531*Table3[[#This Row],[CF]]*chronic_consumption!$G331/1000/$C$3)</f>
        <v>#DIV/0!</v>
      </c>
      <c r="M1531" s="1098" t="e">
        <f>IF($D$1212="",0,$D1531*Table3[[#This Row],[CF]]*chronic_consumption!$H331/1000/$C$3)</f>
        <v>#DIV/0!</v>
      </c>
      <c r="N1531" s="1098" t="e">
        <f>IF($D$1212="",0,$D1531*Table3[[#This Row],[CF]]*chronic_consumption!$I331/1000/$C$3)</f>
        <v>#DIV/0!</v>
      </c>
      <c r="O1531" s="1098" t="e">
        <f>IF($D$1212="",0,$D1531*Table3[[#This Row],[CF]]*chronic_consumption!$J331/1000/$C$3)</f>
        <v>#DIV/0!</v>
      </c>
      <c r="P1531" s="1098" t="e">
        <f>IF($D$1212="",0,$D1531*Table3[[#This Row],[CF]]*chronic_consumption!$K331/1000/$C$3)</f>
        <v>#DIV/0!</v>
      </c>
      <c r="Q1531" s="1098" t="e">
        <f>IF($D$1212="",0,$D1531*Table3[[#This Row],[CF]]*chronic_consumption!$L331/1000/$C$3)</f>
        <v>#DIV/0!</v>
      </c>
      <c r="R1531" s="1098" t="e">
        <f>IF($D$1212="",0,$D1531*Table3[[#This Row],[CF]]*chronic_consumption!$M331/1000/$C$3)</f>
        <v>#DIV/0!</v>
      </c>
      <c r="S1531" s="1098" t="e">
        <f>IF($D$1212="",0,$D1531*Table3[[#This Row],[CF]]*chronic_consumption!$N331/1000/$C$3)</f>
        <v>#DIV/0!</v>
      </c>
      <c r="T1531" s="1098" t="e">
        <f>IF($D$1212="",0,$D1531*Table3[[#This Row],[CF]]*chronic_consumption!$O331/1000/$C$3)</f>
        <v>#DIV/0!</v>
      </c>
      <c r="U1531" s="1098" t="e">
        <f>IF($D$1212="",0,$D1531*Table3[[#This Row],[CF]]*chronic_consumption!$P331/1000/$C$3)</f>
        <v>#DIV/0!</v>
      </c>
      <c r="V1531" s="1098" t="e">
        <f>IF($D$1212="",0,$D1531*Table3[[#This Row],[CF]]*chronic_consumption!$Q331/1000/$C$3)</f>
        <v>#DIV/0!</v>
      </c>
      <c r="W1531" s="1098" t="e">
        <f>IF($D$1212="",0,$D1531*Table3[[#This Row],[CF]]*chronic_consumption!$R331/1000/$C$3)</f>
        <v>#DIV/0!</v>
      </c>
      <c r="X1531" s="1098" t="e">
        <f>IF($D$1212="",0,$D1531*Table3[[#This Row],[CF]]*chronic_consumption!$S331/1000/$C$3)</f>
        <v>#DIV/0!</v>
      </c>
      <c r="Y1531" s="1098" t="e">
        <f>IF($D$1212="",0,$D1531*Table3[[#This Row],[CF]]*chronic_consumption!$T331/1000/$C$3)</f>
        <v>#DIV/0!</v>
      </c>
      <c r="Z1531" s="1098" t="e">
        <f>IF($D$1212="",0,$D1531*Table3[[#This Row],[CF]]*chronic_consumption!$U331/1000/$C$3)</f>
        <v>#DIV/0!</v>
      </c>
      <c r="AA1531" s="1098" t="e">
        <f>IF($D$1212="",0,$D1531*Table3[[#This Row],[CF]]*chronic_consumption!$V331/1000/$C$3)</f>
        <v>#DIV/0!</v>
      </c>
      <c r="AB1531" s="1098" t="e">
        <f>IF($D$1212="",0,$D1531*Table3[[#This Row],[CF]]*chronic_consumption!$W331/1000/$C$3)</f>
        <v>#DIV/0!</v>
      </c>
      <c r="AC1531" s="1098" t="e">
        <f>IF($D$1212="",0,$D1531*Table3[[#This Row],[CF]]*chronic_consumption!$X331/1000/$C$3)</f>
        <v>#DIV/0!</v>
      </c>
      <c r="AD1531" s="1098" t="e">
        <f>IF($D$1212="",0,$D1531*Table3[[#This Row],[CF]]*chronic_consumption!$Y331/1000/$C$3)</f>
        <v>#DIV/0!</v>
      </c>
      <c r="AE1531" s="1098" t="e">
        <f>IF($D$1212="",0,$D1531*Table3[[#This Row],[CF]]*chronic_consumption!$Z331/1000/$C$3)</f>
        <v>#DIV/0!</v>
      </c>
      <c r="AF1531" s="1098" t="e">
        <f>IF($D$1212="",0,$D1531*Table3[[#This Row],[CF]]*chronic_consumption!$AA331/1000/$C$3)</f>
        <v>#DIV/0!</v>
      </c>
      <c r="AG1531" s="1098" t="e">
        <f>IF($D$1212="",0,$D1531*Table3[[#This Row],[CF]]*chronic_consumption!$AB331/1000/$C$3)</f>
        <v>#DIV/0!</v>
      </c>
      <c r="AH1531" s="1098" t="e">
        <f>IF($D$1212="",0,$D1531*Table3[[#This Row],[CF]]*chronic_consumption!$AC331/1000/$C$3)</f>
        <v>#DIV/0!</v>
      </c>
      <c r="AI1531" s="1098" t="e">
        <f>IF($D$1212="",0,$D1531*Table3[[#This Row],[CF]]*chronic_consumption!$AD331/1000/$C$3)</f>
        <v>#DIV/0!</v>
      </c>
      <c r="AJ1531" s="1098" t="e">
        <f>IF($D$1212="",0,$D1531*Table3[[#This Row],[CF]]*chronic_consumption!$AE331/1000/$C$3)</f>
        <v>#DIV/0!</v>
      </c>
      <c r="AK1531" s="1098" t="e">
        <f>IF($D$1212="",0,$D1531*Table3[[#This Row],[CF]]*chronic_consumption!$AF331/1000/$C$3)</f>
        <v>#DIV/0!</v>
      </c>
      <c r="AL1531" s="1098" t="e">
        <f>IF($D$1212="",0,$D1531*Table3[[#This Row],[CF]]*chronic_consumption!$AG331/1000/$C$3)</f>
        <v>#DIV/0!</v>
      </c>
      <c r="AM1531" s="1098" t="e">
        <f>IF($D$1212="",0,$D1531*Table3[[#This Row],[CF]]*chronic_consumption!$AH331/1000/$C$3)</f>
        <v>#DIV/0!</v>
      </c>
      <c r="AN1531" s="1098" t="e">
        <f>IF($D$1212="",0,$D1531*Table3[[#This Row],[CF]]*chronic_consumption!$AI331/1000/$C$3)</f>
        <v>#DIV/0!</v>
      </c>
      <c r="AO1531" s="1098" t="e">
        <f>IF($D$1212="",0,$D1531*Table3[[#This Row],[CF]]*chronic_consumption!$AJ331/1000/$C$3)</f>
        <v>#DIV/0!</v>
      </c>
      <c r="AP1531" s="1098" t="e">
        <f>IF($D$1212="",0,$D1531*Table3[[#This Row],[CF]]*chronic_consumption!$AK331/1000/$C$3)</f>
        <v>#DIV/0!</v>
      </c>
      <c r="AQ1531" s="1098" t="e">
        <f>IF($D$1212="",0,$D1531*Table3[[#This Row],[CF]]*chronic_consumption!$AL331/1000/$C$3)</f>
        <v>#DIV/0!</v>
      </c>
      <c r="AR1531" s="1098" t="e">
        <f>IF($D$1212="",0,$D1531*Table3[[#This Row],[CF]]*chronic_consumption!$AM331/1000/$C$3)</f>
        <v>#DIV/0!</v>
      </c>
      <c r="AS1531" s="1098" t="e">
        <f>IF($D$1212="",0,$D1531*Table3[[#This Row],[CF]]*chronic_consumption!$AN331/1000/$C$3)</f>
        <v>#DIV/0!</v>
      </c>
      <c r="AT1531" s="1098" t="e">
        <f>IF($D$1212="",0,$D1531*Table3[[#This Row],[CF]]*chronic_consumption!$AO331/1000/$C$3)</f>
        <v>#DIV/0!</v>
      </c>
      <c r="AU1531" s="1099" t="e">
        <f t="shared" si="886"/>
        <v>#DIV/0!</v>
      </c>
      <c r="AV1531" s="1099" t="e">
        <f t="shared" si="886"/>
        <v>#DIV/0!</v>
      </c>
      <c r="AW1531" s="1099" t="e">
        <f t="shared" si="886"/>
        <v>#DIV/0!</v>
      </c>
      <c r="AX1531" s="1099" t="e">
        <f t="shared" si="886"/>
        <v>#DIV/0!</v>
      </c>
      <c r="AY1531" s="1099" t="e">
        <f t="shared" si="886"/>
        <v>#DIV/0!</v>
      </c>
      <c r="AZ1531" s="1091" t="s">
        <v>1012</v>
      </c>
      <c r="BA1531" s="1097" t="e">
        <f>IF(Table3[[#This Row],[max]]&lt;&gt;0,RANK(Table3[[#This Row],[max]],Table3[max],0),"")</f>
        <v>#DIV/0!</v>
      </c>
      <c r="BB1531" s="1096" t="e">
        <f t="shared" si="876"/>
        <v>#DIV/0!</v>
      </c>
      <c r="BC1531" s="1096" t="e">
        <f t="shared" ca="1" si="877"/>
        <v>#DIV/0!</v>
      </c>
      <c r="BD1531" s="1096" t="e">
        <f>IF(Table3[[#This Row],[max]]&gt;0,Table3[[#This Row],[Crop groups and examples of individual products within the groups to which the MRLs apply]],"")</f>
        <v>#DIV/0!</v>
      </c>
    </row>
    <row r="1532" spans="2:56" x14ac:dyDescent="0.2">
      <c r="B1532" s="5">
        <f t="shared" ref="B1532:C1551" si="887">B332</f>
        <v>1012000</v>
      </c>
      <c r="C1532" s="5" t="str">
        <f t="shared" si="887"/>
        <v>Bovine</v>
      </c>
      <c r="D1532" s="1084">
        <f>input_values!E332</f>
        <v>0</v>
      </c>
      <c r="E1532" s="1084">
        <f>input_values!F332</f>
        <v>0</v>
      </c>
      <c r="F1532" s="1085">
        <f>input_values!W332</f>
        <v>0</v>
      </c>
      <c r="G1532" s="1085" t="str">
        <f>IF(Table3[[#This Row],[CF]]&gt;0,CONCATENATE(IF(Table3[[#This Row],[LOQ]]="*","LOQ","MRL"),IF(input_values!G332&gt;0,"×CFrisk","")),"")</f>
        <v/>
      </c>
      <c r="H1532" s="1087">
        <f>input_values!L332</f>
        <v>0</v>
      </c>
      <c r="I1532" s="1088">
        <f>input_values!D332</f>
        <v>0</v>
      </c>
      <c r="J1532" s="1103" t="e">
        <f>IF($D$1212="",0,$D1532*Table3[[#This Row],[CF]]*chronic_consumption!$E332/1000/$C$3)</f>
        <v>#DIV/0!</v>
      </c>
      <c r="K1532" s="1103" t="e">
        <f>IF($D$1212="",0,$D1532*Table3[[#This Row],[CF]]*chronic_consumption!$F332/1000/$C$3)</f>
        <v>#DIV/0!</v>
      </c>
      <c r="L1532" s="1103" t="e">
        <f>IF($D$1212="",0,$D1532*Table3[[#This Row],[CF]]*chronic_consumption!$G332/1000/$C$3)</f>
        <v>#DIV/0!</v>
      </c>
      <c r="M1532" s="1103" t="e">
        <f>IF($D$1212="",0,$D1532*Table3[[#This Row],[CF]]*chronic_consumption!$H332/1000/$C$3)</f>
        <v>#DIV/0!</v>
      </c>
      <c r="N1532" s="1103" t="e">
        <f>IF($D$1212="",0,$D1532*Table3[[#This Row],[CF]]*chronic_consumption!$I332/1000/$C$3)</f>
        <v>#DIV/0!</v>
      </c>
      <c r="O1532" s="1103" t="e">
        <f>IF($D$1212="",0,$D1532*Table3[[#This Row],[CF]]*chronic_consumption!$J332/1000/$C$3)</f>
        <v>#DIV/0!</v>
      </c>
      <c r="P1532" s="1103" t="e">
        <f>IF($D$1212="",0,$D1532*Table3[[#This Row],[CF]]*chronic_consumption!$K332/1000/$C$3)</f>
        <v>#DIV/0!</v>
      </c>
      <c r="Q1532" s="1103" t="e">
        <f>IF($D$1212="",0,$D1532*Table3[[#This Row],[CF]]*chronic_consumption!$L332/1000/$C$3)</f>
        <v>#DIV/0!</v>
      </c>
      <c r="R1532" s="1103" t="e">
        <f>IF($D$1212="",0,$D1532*Table3[[#This Row],[CF]]*chronic_consumption!$M332/1000/$C$3)</f>
        <v>#DIV/0!</v>
      </c>
      <c r="S1532" s="1103" t="e">
        <f>IF($D$1212="",0,$D1532*Table3[[#This Row],[CF]]*chronic_consumption!$N332/1000/$C$3)</f>
        <v>#DIV/0!</v>
      </c>
      <c r="T1532" s="1103" t="e">
        <f>IF($D$1212="",0,$D1532*Table3[[#This Row],[CF]]*chronic_consumption!$O332/1000/$C$3)</f>
        <v>#DIV/0!</v>
      </c>
      <c r="U1532" s="1103" t="e">
        <f>IF($D$1212="",0,$D1532*Table3[[#This Row],[CF]]*chronic_consumption!$P332/1000/$C$3)</f>
        <v>#DIV/0!</v>
      </c>
      <c r="V1532" s="1103" t="e">
        <f>IF($D$1212="",0,$D1532*Table3[[#This Row],[CF]]*chronic_consumption!$Q332/1000/$C$3)</f>
        <v>#DIV/0!</v>
      </c>
      <c r="W1532" s="1103" t="e">
        <f>IF($D$1212="",0,$D1532*Table3[[#This Row],[CF]]*chronic_consumption!$R332/1000/$C$3)</f>
        <v>#DIV/0!</v>
      </c>
      <c r="X1532" s="1103" t="e">
        <f>IF($D$1212="",0,$D1532*Table3[[#This Row],[CF]]*chronic_consumption!$S332/1000/$C$3)</f>
        <v>#DIV/0!</v>
      </c>
      <c r="Y1532" s="1103" t="e">
        <f>IF($D$1212="",0,$D1532*Table3[[#This Row],[CF]]*chronic_consumption!$T332/1000/$C$3)</f>
        <v>#DIV/0!</v>
      </c>
      <c r="Z1532" s="1103" t="e">
        <f>IF($D$1212="",0,$D1532*Table3[[#This Row],[CF]]*chronic_consumption!$U332/1000/$C$3)</f>
        <v>#DIV/0!</v>
      </c>
      <c r="AA1532" s="1103" t="e">
        <f>IF($D$1212="",0,$D1532*Table3[[#This Row],[CF]]*chronic_consumption!$V332/1000/$C$3)</f>
        <v>#DIV/0!</v>
      </c>
      <c r="AB1532" s="1103" t="e">
        <f>IF($D$1212="",0,$D1532*Table3[[#This Row],[CF]]*chronic_consumption!$W332/1000/$C$3)</f>
        <v>#DIV/0!</v>
      </c>
      <c r="AC1532" s="1103" t="e">
        <f>IF($D$1212="",0,$D1532*Table3[[#This Row],[CF]]*chronic_consumption!$X332/1000/$C$3)</f>
        <v>#DIV/0!</v>
      </c>
      <c r="AD1532" s="1103" t="e">
        <f>IF($D$1212="",0,$D1532*Table3[[#This Row],[CF]]*chronic_consumption!$Y332/1000/$C$3)</f>
        <v>#DIV/0!</v>
      </c>
      <c r="AE1532" s="1103" t="e">
        <f>IF($D$1212="",0,$D1532*Table3[[#This Row],[CF]]*chronic_consumption!$Z332/1000/$C$3)</f>
        <v>#DIV/0!</v>
      </c>
      <c r="AF1532" s="1103" t="e">
        <f>IF($D$1212="",0,$D1532*Table3[[#This Row],[CF]]*chronic_consumption!$AA332/1000/$C$3)</f>
        <v>#DIV/0!</v>
      </c>
      <c r="AG1532" s="1103" t="e">
        <f>IF($D$1212="",0,$D1532*Table3[[#This Row],[CF]]*chronic_consumption!$AB332/1000/$C$3)</f>
        <v>#DIV/0!</v>
      </c>
      <c r="AH1532" s="1103" t="e">
        <f>IF($D$1212="",0,$D1532*Table3[[#This Row],[CF]]*chronic_consumption!$AC332/1000/$C$3)</f>
        <v>#DIV/0!</v>
      </c>
      <c r="AI1532" s="1103" t="e">
        <f>IF($D$1212="",0,$D1532*Table3[[#This Row],[CF]]*chronic_consumption!$AD332/1000/$C$3)</f>
        <v>#DIV/0!</v>
      </c>
      <c r="AJ1532" s="1103" t="e">
        <f>IF($D$1212="",0,$D1532*Table3[[#This Row],[CF]]*chronic_consumption!$AE332/1000/$C$3)</f>
        <v>#DIV/0!</v>
      </c>
      <c r="AK1532" s="1103" t="e">
        <f>IF($D$1212="",0,$D1532*Table3[[#This Row],[CF]]*chronic_consumption!$AF332/1000/$C$3)</f>
        <v>#DIV/0!</v>
      </c>
      <c r="AL1532" s="1103" t="e">
        <f>IF($D$1212="",0,$D1532*Table3[[#This Row],[CF]]*chronic_consumption!$AG332/1000/$C$3)</f>
        <v>#DIV/0!</v>
      </c>
      <c r="AM1532" s="1103" t="e">
        <f>IF($D$1212="",0,$D1532*Table3[[#This Row],[CF]]*chronic_consumption!$AH332/1000/$C$3)</f>
        <v>#DIV/0!</v>
      </c>
      <c r="AN1532" s="1103" t="e">
        <f>IF($D$1212="",0,$D1532*Table3[[#This Row],[CF]]*chronic_consumption!$AI332/1000/$C$3)</f>
        <v>#DIV/0!</v>
      </c>
      <c r="AO1532" s="1103" t="e">
        <f>IF($D$1212="",0,$D1532*Table3[[#This Row],[CF]]*chronic_consumption!$AJ332/1000/$C$3)</f>
        <v>#DIV/0!</v>
      </c>
      <c r="AP1532" s="1103" t="e">
        <f>IF($D$1212="",0,$D1532*Table3[[#This Row],[CF]]*chronic_consumption!$AK332/1000/$C$3)</f>
        <v>#DIV/0!</v>
      </c>
      <c r="AQ1532" s="1103" t="e">
        <f>IF($D$1212="",0,$D1532*Table3[[#This Row],[CF]]*chronic_consumption!$AL332/1000/$C$3)</f>
        <v>#DIV/0!</v>
      </c>
      <c r="AR1532" s="1103" t="e">
        <f>IF($D$1212="",0,$D1532*Table3[[#This Row],[CF]]*chronic_consumption!$AM332/1000/$C$3)</f>
        <v>#DIV/0!</v>
      </c>
      <c r="AS1532" s="1103" t="e">
        <f>IF($D$1212="",0,$D1532*Table3[[#This Row],[CF]]*chronic_consumption!$AN332/1000/$C$3)</f>
        <v>#DIV/0!</v>
      </c>
      <c r="AT1532" s="1103" t="e">
        <f>IF($D$1212="",0,$D1532*Table3[[#This Row],[CF]]*chronic_consumption!$AO332/1000/$C$3)</f>
        <v>#DIV/0!</v>
      </c>
      <c r="AU1532" s="1104" t="e">
        <f t="shared" ref="AU1532:AY1541" si="888">IF(AU732="",0,IF(OR(1=RANK(AU1132,AU$412:AU$790,0),(2=RANK(AU1132,AU$412:AU$790,0))),AU1132,AU732))</f>
        <v>#DIV/0!</v>
      </c>
      <c r="AV1532" s="1104" t="e">
        <f t="shared" si="888"/>
        <v>#DIV/0!</v>
      </c>
      <c r="AW1532" s="1104" t="e">
        <f t="shared" si="888"/>
        <v>#DIV/0!</v>
      </c>
      <c r="AX1532" s="1104" t="e">
        <f t="shared" si="888"/>
        <v>#DIV/0!</v>
      </c>
      <c r="AY1532" s="1104" t="e">
        <f t="shared" si="888"/>
        <v>#DIV/0!</v>
      </c>
      <c r="AZ1532" s="1091" t="s">
        <v>1012</v>
      </c>
      <c r="BA1532" s="1097" t="e">
        <f>IF(Table3[[#This Row],[max]]&lt;&gt;0,RANK(Table3[[#This Row],[max]],Table3[max],0),"")</f>
        <v>#DIV/0!</v>
      </c>
      <c r="BB1532" s="1096" t="e">
        <f t="shared" ref="BB1532:BB1591" si="889">MAX(J1532:AY1532)</f>
        <v>#DIV/0!</v>
      </c>
      <c r="BC1532" s="1096" t="e">
        <f t="shared" ref="BC1532:BC1591" ca="1" si="890">IF(BB1532&gt;0,OFFSET($I$10,1,MATCH(BB1532,J1532:AY1532,0)),"")</f>
        <v>#DIV/0!</v>
      </c>
      <c r="BD1532" s="1096" t="e">
        <f>IF(Table3[[#This Row],[max]]&gt;0,Table3[[#This Row],[Crop groups and examples of individual products within the groups to which the MRLs apply]],"")</f>
        <v>#DIV/0!</v>
      </c>
    </row>
    <row r="1533" spans="2:56" x14ac:dyDescent="0.2">
      <c r="B1533" s="23">
        <f t="shared" si="887"/>
        <v>1012010</v>
      </c>
      <c r="C1533" s="23" t="str">
        <f t="shared" si="887"/>
        <v>Bovine: Muscle/meat</v>
      </c>
      <c r="D1533" s="1084">
        <f>input_values!E333</f>
        <v>0</v>
      </c>
      <c r="E1533" s="1084">
        <f>input_values!F333</f>
        <v>0</v>
      </c>
      <c r="F1533" s="1085">
        <f>input_values!W333</f>
        <v>1</v>
      </c>
      <c r="G1533" s="1085" t="str">
        <f>IF(Table3[[#This Row],[CF]]&gt;0,CONCATENATE(IF(Table3[[#This Row],[LOQ]]="*","LOQ","MRL"),IF(input_values!G333&gt;0,"×CFrisk","")),"")</f>
        <v>MRL</v>
      </c>
      <c r="H1533" s="1087">
        <f>input_values!L333</f>
        <v>0</v>
      </c>
      <c r="I1533" s="1088">
        <f>input_values!D333</f>
        <v>0</v>
      </c>
      <c r="J1533" s="1098" t="e">
        <f>IF($D$1212="",0,$D1533*Table3[[#This Row],[CF]]*chronic_consumption!$E333/1000/$C$3)</f>
        <v>#DIV/0!</v>
      </c>
      <c r="K1533" s="1098" t="e">
        <f>IF($D$1212="",0,$D1533*Table3[[#This Row],[CF]]*chronic_consumption!$F333/1000/$C$3)</f>
        <v>#DIV/0!</v>
      </c>
      <c r="L1533" s="1098" t="e">
        <f>IF($D$1212="",0,$D1533*Table3[[#This Row],[CF]]*chronic_consumption!$G333/1000/$C$3)</f>
        <v>#DIV/0!</v>
      </c>
      <c r="M1533" s="1098" t="e">
        <f>IF($D$1212="",0,$D1533*Table3[[#This Row],[CF]]*chronic_consumption!$H333/1000/$C$3)</f>
        <v>#DIV/0!</v>
      </c>
      <c r="N1533" s="1098" t="e">
        <f>IF($D$1212="",0,$D1533*Table3[[#This Row],[CF]]*chronic_consumption!$I333/1000/$C$3)</f>
        <v>#DIV/0!</v>
      </c>
      <c r="O1533" s="1098" t="e">
        <f>IF($D$1212="",0,$D1533*Table3[[#This Row],[CF]]*chronic_consumption!$J333/1000/$C$3)</f>
        <v>#DIV/0!</v>
      </c>
      <c r="P1533" s="1098" t="e">
        <f>IF($D$1212="",0,$D1533*Table3[[#This Row],[CF]]*chronic_consumption!$K333/1000/$C$3)</f>
        <v>#DIV/0!</v>
      </c>
      <c r="Q1533" s="1098" t="e">
        <f>IF($D$1212="",0,$D1533*Table3[[#This Row],[CF]]*chronic_consumption!$L333/1000/$C$3)</f>
        <v>#DIV/0!</v>
      </c>
      <c r="R1533" s="1098" t="e">
        <f>IF($D$1212="",0,$D1533*Table3[[#This Row],[CF]]*chronic_consumption!$M333/1000/$C$3)</f>
        <v>#DIV/0!</v>
      </c>
      <c r="S1533" s="1098" t="e">
        <f>IF($D$1212="",0,$D1533*Table3[[#This Row],[CF]]*chronic_consumption!$N333/1000/$C$3)</f>
        <v>#DIV/0!</v>
      </c>
      <c r="T1533" s="1098" t="e">
        <f>IF($D$1212="",0,$D1533*Table3[[#This Row],[CF]]*chronic_consumption!$O333/1000/$C$3)</f>
        <v>#DIV/0!</v>
      </c>
      <c r="U1533" s="1098" t="e">
        <f>IF($D$1212="",0,$D1533*Table3[[#This Row],[CF]]*chronic_consumption!$P333/1000/$C$3)</f>
        <v>#DIV/0!</v>
      </c>
      <c r="V1533" s="1098" t="e">
        <f>IF($D$1212="",0,$D1533*Table3[[#This Row],[CF]]*chronic_consumption!$Q333/1000/$C$3)</f>
        <v>#DIV/0!</v>
      </c>
      <c r="W1533" s="1098" t="e">
        <f>IF($D$1212="",0,$D1533*Table3[[#This Row],[CF]]*chronic_consumption!$R333/1000/$C$3)</f>
        <v>#DIV/0!</v>
      </c>
      <c r="X1533" s="1098" t="e">
        <f>IF($D$1212="",0,$D1533*Table3[[#This Row],[CF]]*chronic_consumption!$S333/1000/$C$3)</f>
        <v>#DIV/0!</v>
      </c>
      <c r="Y1533" s="1098" t="e">
        <f>IF($D$1212="",0,$D1533*Table3[[#This Row],[CF]]*chronic_consumption!$T333/1000/$C$3)</f>
        <v>#DIV/0!</v>
      </c>
      <c r="Z1533" s="1098" t="e">
        <f>IF($D$1212="",0,$D1533*Table3[[#This Row],[CF]]*chronic_consumption!$U333/1000/$C$3)</f>
        <v>#DIV/0!</v>
      </c>
      <c r="AA1533" s="1098" t="e">
        <f>IF($D$1212="",0,$D1533*Table3[[#This Row],[CF]]*chronic_consumption!$V333/1000/$C$3)</f>
        <v>#DIV/0!</v>
      </c>
      <c r="AB1533" s="1098" t="e">
        <f>IF($D$1212="",0,$D1533*Table3[[#This Row],[CF]]*chronic_consumption!$W333/1000/$C$3)</f>
        <v>#DIV/0!</v>
      </c>
      <c r="AC1533" s="1098" t="e">
        <f>IF($D$1212="",0,$D1533*Table3[[#This Row],[CF]]*chronic_consumption!$X333/1000/$C$3)</f>
        <v>#DIV/0!</v>
      </c>
      <c r="AD1533" s="1098" t="e">
        <f>IF($D$1212="",0,$D1533*Table3[[#This Row],[CF]]*chronic_consumption!$Y333/1000/$C$3)</f>
        <v>#DIV/0!</v>
      </c>
      <c r="AE1533" s="1098" t="e">
        <f>IF($D$1212="",0,$D1533*Table3[[#This Row],[CF]]*chronic_consumption!$Z333/1000/$C$3)</f>
        <v>#DIV/0!</v>
      </c>
      <c r="AF1533" s="1098" t="e">
        <f>IF($D$1212="",0,$D1533*Table3[[#This Row],[CF]]*chronic_consumption!$AA333/1000/$C$3)</f>
        <v>#DIV/0!</v>
      </c>
      <c r="AG1533" s="1098" t="e">
        <f>IF($D$1212="",0,$D1533*Table3[[#This Row],[CF]]*chronic_consumption!$AB333/1000/$C$3)</f>
        <v>#DIV/0!</v>
      </c>
      <c r="AH1533" s="1098" t="e">
        <f>IF($D$1212="",0,$D1533*Table3[[#This Row],[CF]]*chronic_consumption!$AC333/1000/$C$3)</f>
        <v>#DIV/0!</v>
      </c>
      <c r="AI1533" s="1098" t="e">
        <f>IF($D$1212="",0,$D1533*Table3[[#This Row],[CF]]*chronic_consumption!$AD333/1000/$C$3)</f>
        <v>#DIV/0!</v>
      </c>
      <c r="AJ1533" s="1098" t="e">
        <f>IF($D$1212="",0,$D1533*Table3[[#This Row],[CF]]*chronic_consumption!$AE333/1000/$C$3)</f>
        <v>#DIV/0!</v>
      </c>
      <c r="AK1533" s="1098" t="e">
        <f>IF($D$1212="",0,$D1533*Table3[[#This Row],[CF]]*chronic_consumption!$AF333/1000/$C$3)</f>
        <v>#DIV/0!</v>
      </c>
      <c r="AL1533" s="1098" t="e">
        <f>IF($D$1212="",0,$D1533*Table3[[#This Row],[CF]]*chronic_consumption!$AG333/1000/$C$3)</f>
        <v>#DIV/0!</v>
      </c>
      <c r="AM1533" s="1098" t="e">
        <f>IF($D$1212="",0,$D1533*Table3[[#This Row],[CF]]*chronic_consumption!$AH333/1000/$C$3)</f>
        <v>#DIV/0!</v>
      </c>
      <c r="AN1533" s="1098" t="e">
        <f>IF($D$1212="",0,$D1533*Table3[[#This Row],[CF]]*chronic_consumption!$AI333/1000/$C$3)</f>
        <v>#DIV/0!</v>
      </c>
      <c r="AO1533" s="1098" t="e">
        <f>IF($D$1212="",0,$D1533*Table3[[#This Row],[CF]]*chronic_consumption!$AJ333/1000/$C$3)</f>
        <v>#DIV/0!</v>
      </c>
      <c r="AP1533" s="1098" t="e">
        <f>IF($D$1212="",0,$D1533*Table3[[#This Row],[CF]]*chronic_consumption!$AK333/1000/$C$3)</f>
        <v>#DIV/0!</v>
      </c>
      <c r="AQ1533" s="1098" t="e">
        <f>IF($D$1212="",0,$D1533*Table3[[#This Row],[CF]]*chronic_consumption!$AL333/1000/$C$3)</f>
        <v>#DIV/0!</v>
      </c>
      <c r="AR1533" s="1098" t="e">
        <f>IF($D$1212="",0,$D1533*Table3[[#This Row],[CF]]*chronic_consumption!$AM333/1000/$C$3)</f>
        <v>#DIV/0!</v>
      </c>
      <c r="AS1533" s="1098" t="e">
        <f>IF($D$1212="",0,$D1533*Table3[[#This Row],[CF]]*chronic_consumption!$AN333/1000/$C$3)</f>
        <v>#DIV/0!</v>
      </c>
      <c r="AT1533" s="1098" t="e">
        <f>IF($D$1212="",0,$D1533*Table3[[#This Row],[CF]]*chronic_consumption!$AO333/1000/$C$3)</f>
        <v>#DIV/0!</v>
      </c>
      <c r="AU1533" s="1099" t="e">
        <f t="shared" si="888"/>
        <v>#DIV/0!</v>
      </c>
      <c r="AV1533" s="1099" t="e">
        <f t="shared" si="888"/>
        <v>#DIV/0!</v>
      </c>
      <c r="AW1533" s="1099" t="e">
        <f t="shared" si="888"/>
        <v>#DIV/0!</v>
      </c>
      <c r="AX1533" s="1099" t="e">
        <f t="shared" si="888"/>
        <v>#DIV/0!</v>
      </c>
      <c r="AY1533" s="1099" t="e">
        <f t="shared" si="888"/>
        <v>#DIV/0!</v>
      </c>
      <c r="AZ1533" s="1091" t="s">
        <v>1012</v>
      </c>
      <c r="BA1533" s="1097" t="e">
        <f>IF(Table3[[#This Row],[max]]&lt;&gt;0,RANK(Table3[[#This Row],[max]],Table3[max],0),"")</f>
        <v>#DIV/0!</v>
      </c>
      <c r="BB1533" s="1096" t="e">
        <f t="shared" si="889"/>
        <v>#DIV/0!</v>
      </c>
      <c r="BC1533" s="1096" t="e">
        <f t="shared" ca="1" si="890"/>
        <v>#DIV/0!</v>
      </c>
      <c r="BD1533" s="1096" t="e">
        <f>IF(Table3[[#This Row],[max]]&gt;0,Table3[[#This Row],[Crop groups and examples of individual products within the groups to which the MRLs apply]],"")</f>
        <v>#DIV/0!</v>
      </c>
    </row>
    <row r="1534" spans="2:56" x14ac:dyDescent="0.2">
      <c r="B1534" s="23">
        <f t="shared" si="887"/>
        <v>1012020</v>
      </c>
      <c r="C1534" s="23" t="str">
        <f t="shared" si="887"/>
        <v>Bovine: Fat tissue</v>
      </c>
      <c r="D1534" s="1084">
        <f>input_values!E334</f>
        <v>0</v>
      </c>
      <c r="E1534" s="1084">
        <f>input_values!F334</f>
        <v>0</v>
      </c>
      <c r="F1534" s="1085">
        <f>input_values!W334</f>
        <v>1</v>
      </c>
      <c r="G1534" s="1085" t="str">
        <f>IF(Table3[[#This Row],[CF]]&gt;0,CONCATENATE(IF(Table3[[#This Row],[LOQ]]="*","LOQ","MRL"),IF(input_values!G334&gt;0,"×CFrisk","")),"")</f>
        <v>MRL</v>
      </c>
      <c r="H1534" s="1087">
        <f>input_values!L334</f>
        <v>0</v>
      </c>
      <c r="I1534" s="1088">
        <f>input_values!D334</f>
        <v>0</v>
      </c>
      <c r="J1534" s="1098" t="e">
        <f>IF($D$1212="",0,$D1534*Table3[[#This Row],[CF]]*chronic_consumption!$E334/1000/$C$3)</f>
        <v>#DIV/0!</v>
      </c>
      <c r="K1534" s="1098" t="e">
        <f>IF($D$1212="",0,$D1534*Table3[[#This Row],[CF]]*chronic_consumption!$F334/1000/$C$3)</f>
        <v>#DIV/0!</v>
      </c>
      <c r="L1534" s="1098" t="e">
        <f>IF($D$1212="",0,$D1534*Table3[[#This Row],[CF]]*chronic_consumption!$G334/1000/$C$3)</f>
        <v>#DIV/0!</v>
      </c>
      <c r="M1534" s="1098" t="e">
        <f>IF($D$1212="",0,$D1534*Table3[[#This Row],[CF]]*chronic_consumption!$H334/1000/$C$3)</f>
        <v>#DIV/0!</v>
      </c>
      <c r="N1534" s="1098" t="e">
        <f>IF($D$1212="",0,$D1534*Table3[[#This Row],[CF]]*chronic_consumption!$I334/1000/$C$3)</f>
        <v>#DIV/0!</v>
      </c>
      <c r="O1534" s="1098" t="e">
        <f>IF($D$1212="",0,$D1534*Table3[[#This Row],[CF]]*chronic_consumption!$J334/1000/$C$3)</f>
        <v>#DIV/0!</v>
      </c>
      <c r="P1534" s="1098" t="e">
        <f>IF($D$1212="",0,$D1534*Table3[[#This Row],[CF]]*chronic_consumption!$K334/1000/$C$3)</f>
        <v>#DIV/0!</v>
      </c>
      <c r="Q1534" s="1098" t="e">
        <f>IF($D$1212="",0,$D1534*Table3[[#This Row],[CF]]*chronic_consumption!$L334/1000/$C$3)</f>
        <v>#DIV/0!</v>
      </c>
      <c r="R1534" s="1098" t="e">
        <f>IF($D$1212="",0,$D1534*Table3[[#This Row],[CF]]*chronic_consumption!$M334/1000/$C$3)</f>
        <v>#DIV/0!</v>
      </c>
      <c r="S1534" s="1098" t="e">
        <f>IF($D$1212="",0,$D1534*Table3[[#This Row],[CF]]*chronic_consumption!$N334/1000/$C$3)</f>
        <v>#DIV/0!</v>
      </c>
      <c r="T1534" s="1098" t="e">
        <f>IF($D$1212="",0,$D1534*Table3[[#This Row],[CF]]*chronic_consumption!$O334/1000/$C$3)</f>
        <v>#DIV/0!</v>
      </c>
      <c r="U1534" s="1098" t="e">
        <f>IF($D$1212="",0,$D1534*Table3[[#This Row],[CF]]*chronic_consumption!$P334/1000/$C$3)</f>
        <v>#DIV/0!</v>
      </c>
      <c r="V1534" s="1098" t="e">
        <f>IF($D$1212="",0,$D1534*Table3[[#This Row],[CF]]*chronic_consumption!$Q334/1000/$C$3)</f>
        <v>#DIV/0!</v>
      </c>
      <c r="W1534" s="1098" t="e">
        <f>IF($D$1212="",0,$D1534*Table3[[#This Row],[CF]]*chronic_consumption!$R334/1000/$C$3)</f>
        <v>#DIV/0!</v>
      </c>
      <c r="X1534" s="1098" t="e">
        <f>IF($D$1212="",0,$D1534*Table3[[#This Row],[CF]]*chronic_consumption!$S334/1000/$C$3)</f>
        <v>#DIV/0!</v>
      </c>
      <c r="Y1534" s="1098" t="e">
        <f>IF($D$1212="",0,$D1534*Table3[[#This Row],[CF]]*chronic_consumption!$T334/1000/$C$3)</f>
        <v>#DIV/0!</v>
      </c>
      <c r="Z1534" s="1098" t="e">
        <f>IF($D$1212="",0,$D1534*Table3[[#This Row],[CF]]*chronic_consumption!$U334/1000/$C$3)</f>
        <v>#DIV/0!</v>
      </c>
      <c r="AA1534" s="1098" t="e">
        <f>IF($D$1212="",0,$D1534*Table3[[#This Row],[CF]]*chronic_consumption!$V334/1000/$C$3)</f>
        <v>#DIV/0!</v>
      </c>
      <c r="AB1534" s="1098" t="e">
        <f>IF($D$1212="",0,$D1534*Table3[[#This Row],[CF]]*chronic_consumption!$W334/1000/$C$3)</f>
        <v>#DIV/0!</v>
      </c>
      <c r="AC1534" s="1098" t="e">
        <f>IF($D$1212="",0,$D1534*Table3[[#This Row],[CF]]*chronic_consumption!$X334/1000/$C$3)</f>
        <v>#DIV/0!</v>
      </c>
      <c r="AD1534" s="1098" t="e">
        <f>IF($D$1212="",0,$D1534*Table3[[#This Row],[CF]]*chronic_consumption!$Y334/1000/$C$3)</f>
        <v>#DIV/0!</v>
      </c>
      <c r="AE1534" s="1098" t="e">
        <f>IF($D$1212="",0,$D1534*Table3[[#This Row],[CF]]*chronic_consumption!$Z334/1000/$C$3)</f>
        <v>#DIV/0!</v>
      </c>
      <c r="AF1534" s="1098" t="e">
        <f>IF($D$1212="",0,$D1534*Table3[[#This Row],[CF]]*chronic_consumption!$AA334/1000/$C$3)</f>
        <v>#DIV/0!</v>
      </c>
      <c r="AG1534" s="1098" t="e">
        <f>IF($D$1212="",0,$D1534*Table3[[#This Row],[CF]]*chronic_consumption!$AB334/1000/$C$3)</f>
        <v>#DIV/0!</v>
      </c>
      <c r="AH1534" s="1098" t="e">
        <f>IF($D$1212="",0,$D1534*Table3[[#This Row],[CF]]*chronic_consumption!$AC334/1000/$C$3)</f>
        <v>#DIV/0!</v>
      </c>
      <c r="AI1534" s="1098" t="e">
        <f>IF($D$1212="",0,$D1534*Table3[[#This Row],[CF]]*chronic_consumption!$AD334/1000/$C$3)</f>
        <v>#DIV/0!</v>
      </c>
      <c r="AJ1534" s="1098" t="e">
        <f>IF($D$1212="",0,$D1534*Table3[[#This Row],[CF]]*chronic_consumption!$AE334/1000/$C$3)</f>
        <v>#DIV/0!</v>
      </c>
      <c r="AK1534" s="1098" t="e">
        <f>IF($D$1212="",0,$D1534*Table3[[#This Row],[CF]]*chronic_consumption!$AF334/1000/$C$3)</f>
        <v>#DIV/0!</v>
      </c>
      <c r="AL1534" s="1098" t="e">
        <f>IF($D$1212="",0,$D1534*Table3[[#This Row],[CF]]*chronic_consumption!$AG334/1000/$C$3)</f>
        <v>#DIV/0!</v>
      </c>
      <c r="AM1534" s="1098" t="e">
        <f>IF($D$1212="",0,$D1534*Table3[[#This Row],[CF]]*chronic_consumption!$AH334/1000/$C$3)</f>
        <v>#DIV/0!</v>
      </c>
      <c r="AN1534" s="1098" t="e">
        <f>IF($D$1212="",0,$D1534*Table3[[#This Row],[CF]]*chronic_consumption!$AI334/1000/$C$3)</f>
        <v>#DIV/0!</v>
      </c>
      <c r="AO1534" s="1098" t="e">
        <f>IF($D$1212="",0,$D1534*Table3[[#This Row],[CF]]*chronic_consumption!$AJ334/1000/$C$3)</f>
        <v>#DIV/0!</v>
      </c>
      <c r="AP1534" s="1098" t="e">
        <f>IF($D$1212="",0,$D1534*Table3[[#This Row],[CF]]*chronic_consumption!$AK334/1000/$C$3)</f>
        <v>#DIV/0!</v>
      </c>
      <c r="AQ1534" s="1098" t="e">
        <f>IF($D$1212="",0,$D1534*Table3[[#This Row],[CF]]*chronic_consumption!$AL334/1000/$C$3)</f>
        <v>#DIV/0!</v>
      </c>
      <c r="AR1534" s="1098" t="e">
        <f>IF($D$1212="",0,$D1534*Table3[[#This Row],[CF]]*chronic_consumption!$AM334/1000/$C$3)</f>
        <v>#DIV/0!</v>
      </c>
      <c r="AS1534" s="1098" t="e">
        <f>IF($D$1212="",0,$D1534*Table3[[#This Row],[CF]]*chronic_consumption!$AN334/1000/$C$3)</f>
        <v>#DIV/0!</v>
      </c>
      <c r="AT1534" s="1098" t="e">
        <f>IF($D$1212="",0,$D1534*Table3[[#This Row],[CF]]*chronic_consumption!$AO334/1000/$C$3)</f>
        <v>#DIV/0!</v>
      </c>
      <c r="AU1534" s="1099" t="e">
        <f t="shared" si="888"/>
        <v>#DIV/0!</v>
      </c>
      <c r="AV1534" s="1099" t="e">
        <f t="shared" si="888"/>
        <v>#DIV/0!</v>
      </c>
      <c r="AW1534" s="1099" t="e">
        <f t="shared" si="888"/>
        <v>#DIV/0!</v>
      </c>
      <c r="AX1534" s="1099" t="e">
        <f t="shared" si="888"/>
        <v>#DIV/0!</v>
      </c>
      <c r="AY1534" s="1099" t="e">
        <f t="shared" si="888"/>
        <v>#DIV/0!</v>
      </c>
      <c r="AZ1534" s="1091" t="s">
        <v>1012</v>
      </c>
      <c r="BA1534" s="1097" t="e">
        <f>IF(Table3[[#This Row],[max]]&lt;&gt;0,RANK(Table3[[#This Row],[max]],Table3[max],0),"")</f>
        <v>#DIV/0!</v>
      </c>
      <c r="BB1534" s="1096" t="e">
        <f t="shared" si="889"/>
        <v>#DIV/0!</v>
      </c>
      <c r="BC1534" s="1096" t="e">
        <f t="shared" ca="1" si="890"/>
        <v>#DIV/0!</v>
      </c>
      <c r="BD1534" s="1096" t="e">
        <f>IF(Table3[[#This Row],[max]]&gt;0,Table3[[#This Row],[Crop groups and examples of individual products within the groups to which the MRLs apply]],"")</f>
        <v>#DIV/0!</v>
      </c>
    </row>
    <row r="1535" spans="2:56" x14ac:dyDescent="0.2">
      <c r="B1535" s="23">
        <f t="shared" si="887"/>
        <v>1012030</v>
      </c>
      <c r="C1535" s="23" t="str">
        <f t="shared" si="887"/>
        <v>Bovine: Liver</v>
      </c>
      <c r="D1535" s="1084">
        <f>input_values!E335</f>
        <v>0</v>
      </c>
      <c r="E1535" s="1084">
        <f>input_values!F335</f>
        <v>0</v>
      </c>
      <c r="F1535" s="1085">
        <f>input_values!W335</f>
        <v>1</v>
      </c>
      <c r="G1535" s="1085" t="str">
        <f>IF(Table3[[#This Row],[CF]]&gt;0,CONCATENATE(IF(Table3[[#This Row],[LOQ]]="*","LOQ","MRL"),IF(input_values!G335&gt;0,"×CFrisk","")),"")</f>
        <v>MRL</v>
      </c>
      <c r="H1535" s="1087">
        <f>input_values!L335</f>
        <v>0</v>
      </c>
      <c r="I1535" s="1088">
        <f>input_values!D335</f>
        <v>0</v>
      </c>
      <c r="J1535" s="1098" t="e">
        <f>IF($D$1212="",0,$D1535*Table3[[#This Row],[CF]]*chronic_consumption!$E335/1000/$C$3)</f>
        <v>#DIV/0!</v>
      </c>
      <c r="K1535" s="1098" t="e">
        <f>IF($D$1212="",0,$D1535*Table3[[#This Row],[CF]]*chronic_consumption!$F335/1000/$C$3)</f>
        <v>#DIV/0!</v>
      </c>
      <c r="L1535" s="1098" t="e">
        <f>IF($D$1212="",0,$D1535*Table3[[#This Row],[CF]]*chronic_consumption!$G335/1000/$C$3)</f>
        <v>#DIV/0!</v>
      </c>
      <c r="M1535" s="1098" t="e">
        <f>IF($D$1212="",0,$D1535*Table3[[#This Row],[CF]]*chronic_consumption!$H335/1000/$C$3)</f>
        <v>#DIV/0!</v>
      </c>
      <c r="N1535" s="1098" t="e">
        <f>IF($D$1212="",0,$D1535*Table3[[#This Row],[CF]]*chronic_consumption!$I335/1000/$C$3)</f>
        <v>#DIV/0!</v>
      </c>
      <c r="O1535" s="1098" t="e">
        <f>IF($D$1212="",0,$D1535*Table3[[#This Row],[CF]]*chronic_consumption!$J335/1000/$C$3)</f>
        <v>#DIV/0!</v>
      </c>
      <c r="P1535" s="1098" t="e">
        <f>IF($D$1212="",0,$D1535*Table3[[#This Row],[CF]]*chronic_consumption!$K335/1000/$C$3)</f>
        <v>#DIV/0!</v>
      </c>
      <c r="Q1535" s="1098" t="e">
        <f>IF($D$1212="",0,$D1535*Table3[[#This Row],[CF]]*chronic_consumption!$L335/1000/$C$3)</f>
        <v>#DIV/0!</v>
      </c>
      <c r="R1535" s="1098" t="e">
        <f>IF($D$1212="",0,$D1535*Table3[[#This Row],[CF]]*chronic_consumption!$M335/1000/$C$3)</f>
        <v>#DIV/0!</v>
      </c>
      <c r="S1535" s="1098" t="e">
        <f>IF($D$1212="",0,$D1535*Table3[[#This Row],[CF]]*chronic_consumption!$N335/1000/$C$3)</f>
        <v>#DIV/0!</v>
      </c>
      <c r="T1535" s="1098" t="e">
        <f>IF($D$1212="",0,$D1535*Table3[[#This Row],[CF]]*chronic_consumption!$O335/1000/$C$3)</f>
        <v>#DIV/0!</v>
      </c>
      <c r="U1535" s="1098" t="e">
        <f>IF($D$1212="",0,$D1535*Table3[[#This Row],[CF]]*chronic_consumption!$P335/1000/$C$3)</f>
        <v>#DIV/0!</v>
      </c>
      <c r="V1535" s="1098" t="e">
        <f>IF($D$1212="",0,$D1535*Table3[[#This Row],[CF]]*chronic_consumption!$Q335/1000/$C$3)</f>
        <v>#DIV/0!</v>
      </c>
      <c r="W1535" s="1098" t="e">
        <f>IF($D$1212="",0,$D1535*Table3[[#This Row],[CF]]*chronic_consumption!$R335/1000/$C$3)</f>
        <v>#DIV/0!</v>
      </c>
      <c r="X1535" s="1098" t="e">
        <f>IF($D$1212="",0,$D1535*Table3[[#This Row],[CF]]*chronic_consumption!$S335/1000/$C$3)</f>
        <v>#DIV/0!</v>
      </c>
      <c r="Y1535" s="1098" t="e">
        <f>IF($D$1212="",0,$D1535*Table3[[#This Row],[CF]]*chronic_consumption!$T335/1000/$C$3)</f>
        <v>#DIV/0!</v>
      </c>
      <c r="Z1535" s="1098" t="e">
        <f>IF($D$1212="",0,$D1535*Table3[[#This Row],[CF]]*chronic_consumption!$U335/1000/$C$3)</f>
        <v>#DIV/0!</v>
      </c>
      <c r="AA1535" s="1098" t="e">
        <f>IF($D$1212="",0,$D1535*Table3[[#This Row],[CF]]*chronic_consumption!$V335/1000/$C$3)</f>
        <v>#DIV/0!</v>
      </c>
      <c r="AB1535" s="1098" t="e">
        <f>IF($D$1212="",0,$D1535*Table3[[#This Row],[CF]]*chronic_consumption!$W335/1000/$C$3)</f>
        <v>#DIV/0!</v>
      </c>
      <c r="AC1535" s="1098" t="e">
        <f>IF($D$1212="",0,$D1535*Table3[[#This Row],[CF]]*chronic_consumption!$X335/1000/$C$3)</f>
        <v>#DIV/0!</v>
      </c>
      <c r="AD1535" s="1098" t="e">
        <f>IF($D$1212="",0,$D1535*Table3[[#This Row],[CF]]*chronic_consumption!$Y335/1000/$C$3)</f>
        <v>#DIV/0!</v>
      </c>
      <c r="AE1535" s="1098" t="e">
        <f>IF($D$1212="",0,$D1535*Table3[[#This Row],[CF]]*chronic_consumption!$Z335/1000/$C$3)</f>
        <v>#DIV/0!</v>
      </c>
      <c r="AF1535" s="1098" t="e">
        <f>IF($D$1212="",0,$D1535*Table3[[#This Row],[CF]]*chronic_consumption!$AA335/1000/$C$3)</f>
        <v>#DIV/0!</v>
      </c>
      <c r="AG1535" s="1098" t="e">
        <f>IF($D$1212="",0,$D1535*Table3[[#This Row],[CF]]*chronic_consumption!$AB335/1000/$C$3)</f>
        <v>#DIV/0!</v>
      </c>
      <c r="AH1535" s="1098" t="e">
        <f>IF($D$1212="",0,$D1535*Table3[[#This Row],[CF]]*chronic_consumption!$AC335/1000/$C$3)</f>
        <v>#DIV/0!</v>
      </c>
      <c r="AI1535" s="1098" t="e">
        <f>IF($D$1212="",0,$D1535*Table3[[#This Row],[CF]]*chronic_consumption!$AD335/1000/$C$3)</f>
        <v>#DIV/0!</v>
      </c>
      <c r="AJ1535" s="1098" t="e">
        <f>IF($D$1212="",0,$D1535*Table3[[#This Row],[CF]]*chronic_consumption!$AE335/1000/$C$3)</f>
        <v>#DIV/0!</v>
      </c>
      <c r="AK1535" s="1098" t="e">
        <f>IF($D$1212="",0,$D1535*Table3[[#This Row],[CF]]*chronic_consumption!$AF335/1000/$C$3)</f>
        <v>#DIV/0!</v>
      </c>
      <c r="AL1535" s="1098" t="e">
        <f>IF($D$1212="",0,$D1535*Table3[[#This Row],[CF]]*chronic_consumption!$AG335/1000/$C$3)</f>
        <v>#DIV/0!</v>
      </c>
      <c r="AM1535" s="1098" t="e">
        <f>IF($D$1212="",0,$D1535*Table3[[#This Row],[CF]]*chronic_consumption!$AH335/1000/$C$3)</f>
        <v>#DIV/0!</v>
      </c>
      <c r="AN1535" s="1098" t="e">
        <f>IF($D$1212="",0,$D1535*Table3[[#This Row],[CF]]*chronic_consumption!$AI335/1000/$C$3)</f>
        <v>#DIV/0!</v>
      </c>
      <c r="AO1535" s="1098" t="e">
        <f>IF($D$1212="",0,$D1535*Table3[[#This Row],[CF]]*chronic_consumption!$AJ335/1000/$C$3)</f>
        <v>#DIV/0!</v>
      </c>
      <c r="AP1535" s="1098" t="e">
        <f>IF($D$1212="",0,$D1535*Table3[[#This Row],[CF]]*chronic_consumption!$AK335/1000/$C$3)</f>
        <v>#DIV/0!</v>
      </c>
      <c r="AQ1535" s="1098" t="e">
        <f>IF($D$1212="",0,$D1535*Table3[[#This Row],[CF]]*chronic_consumption!$AL335/1000/$C$3)</f>
        <v>#DIV/0!</v>
      </c>
      <c r="AR1535" s="1098" t="e">
        <f>IF($D$1212="",0,$D1535*Table3[[#This Row],[CF]]*chronic_consumption!$AM335/1000/$C$3)</f>
        <v>#DIV/0!</v>
      </c>
      <c r="AS1535" s="1098" t="e">
        <f>IF($D$1212="",0,$D1535*Table3[[#This Row],[CF]]*chronic_consumption!$AN335/1000/$C$3)</f>
        <v>#DIV/0!</v>
      </c>
      <c r="AT1535" s="1098" t="e">
        <f>IF($D$1212="",0,$D1535*Table3[[#This Row],[CF]]*chronic_consumption!$AO335/1000/$C$3)</f>
        <v>#DIV/0!</v>
      </c>
      <c r="AU1535" s="1099" t="e">
        <f t="shared" si="888"/>
        <v>#DIV/0!</v>
      </c>
      <c r="AV1535" s="1099" t="e">
        <f t="shared" si="888"/>
        <v>#DIV/0!</v>
      </c>
      <c r="AW1535" s="1099" t="e">
        <f t="shared" si="888"/>
        <v>#DIV/0!</v>
      </c>
      <c r="AX1535" s="1099" t="e">
        <f t="shared" si="888"/>
        <v>#DIV/0!</v>
      </c>
      <c r="AY1535" s="1099" t="e">
        <f t="shared" si="888"/>
        <v>#DIV/0!</v>
      </c>
      <c r="AZ1535" s="1091" t="s">
        <v>1012</v>
      </c>
      <c r="BA1535" s="1097" t="e">
        <f>IF(Table3[[#This Row],[max]]&lt;&gt;0,RANK(Table3[[#This Row],[max]],Table3[max],0),"")</f>
        <v>#DIV/0!</v>
      </c>
      <c r="BB1535" s="1096" t="e">
        <f t="shared" si="889"/>
        <v>#DIV/0!</v>
      </c>
      <c r="BC1535" s="1096" t="e">
        <f t="shared" ca="1" si="890"/>
        <v>#DIV/0!</v>
      </c>
      <c r="BD1535" s="1096" t="e">
        <f>IF(Table3[[#This Row],[max]]&gt;0,Table3[[#This Row],[Crop groups and examples of individual products within the groups to which the MRLs apply]],"")</f>
        <v>#DIV/0!</v>
      </c>
    </row>
    <row r="1536" spans="2:56" x14ac:dyDescent="0.2">
      <c r="B1536" s="23">
        <f t="shared" si="887"/>
        <v>1012040</v>
      </c>
      <c r="C1536" s="23" t="str">
        <f t="shared" si="887"/>
        <v>Bovine: Kidney</v>
      </c>
      <c r="D1536" s="1084">
        <f>input_values!E336</f>
        <v>0</v>
      </c>
      <c r="E1536" s="1084">
        <f>input_values!F336</f>
        <v>0</v>
      </c>
      <c r="F1536" s="1085">
        <f>input_values!W336</f>
        <v>1</v>
      </c>
      <c r="G1536" s="1085" t="str">
        <f>IF(Table3[[#This Row],[CF]]&gt;0,CONCATENATE(IF(Table3[[#This Row],[LOQ]]="*","LOQ","MRL"),IF(input_values!G336&gt;0,"×CFrisk","")),"")</f>
        <v>MRL</v>
      </c>
      <c r="H1536" s="1087">
        <f>input_values!L336</f>
        <v>0</v>
      </c>
      <c r="I1536" s="1088">
        <f>input_values!D336</f>
        <v>0</v>
      </c>
      <c r="J1536" s="1098" t="e">
        <f>IF($D$1212="",0,$D1536*Table3[[#This Row],[CF]]*chronic_consumption!$E336/1000/$C$3)</f>
        <v>#DIV/0!</v>
      </c>
      <c r="K1536" s="1098" t="e">
        <f>IF($D$1212="",0,$D1536*Table3[[#This Row],[CF]]*chronic_consumption!$F336/1000/$C$3)</f>
        <v>#DIV/0!</v>
      </c>
      <c r="L1536" s="1098" t="e">
        <f>IF($D$1212="",0,$D1536*Table3[[#This Row],[CF]]*chronic_consumption!$G336/1000/$C$3)</f>
        <v>#DIV/0!</v>
      </c>
      <c r="M1536" s="1098" t="e">
        <f>IF($D$1212="",0,$D1536*Table3[[#This Row],[CF]]*chronic_consumption!$H336/1000/$C$3)</f>
        <v>#DIV/0!</v>
      </c>
      <c r="N1536" s="1098" t="e">
        <f>IF($D$1212="",0,$D1536*Table3[[#This Row],[CF]]*chronic_consumption!$I336/1000/$C$3)</f>
        <v>#DIV/0!</v>
      </c>
      <c r="O1536" s="1098" t="e">
        <f>IF($D$1212="",0,$D1536*Table3[[#This Row],[CF]]*chronic_consumption!$J336/1000/$C$3)</f>
        <v>#DIV/0!</v>
      </c>
      <c r="P1536" s="1098" t="e">
        <f>IF($D$1212="",0,$D1536*Table3[[#This Row],[CF]]*chronic_consumption!$K336/1000/$C$3)</f>
        <v>#DIV/0!</v>
      </c>
      <c r="Q1536" s="1098" t="e">
        <f>IF($D$1212="",0,$D1536*Table3[[#This Row],[CF]]*chronic_consumption!$L336/1000/$C$3)</f>
        <v>#DIV/0!</v>
      </c>
      <c r="R1536" s="1098" t="e">
        <f>IF($D$1212="",0,$D1536*Table3[[#This Row],[CF]]*chronic_consumption!$M336/1000/$C$3)</f>
        <v>#DIV/0!</v>
      </c>
      <c r="S1536" s="1098" t="e">
        <f>IF($D$1212="",0,$D1536*Table3[[#This Row],[CF]]*chronic_consumption!$N336/1000/$C$3)</f>
        <v>#DIV/0!</v>
      </c>
      <c r="T1536" s="1098" t="e">
        <f>IF($D$1212="",0,$D1536*Table3[[#This Row],[CF]]*chronic_consumption!$O336/1000/$C$3)</f>
        <v>#DIV/0!</v>
      </c>
      <c r="U1536" s="1098" t="e">
        <f>IF($D$1212="",0,$D1536*Table3[[#This Row],[CF]]*chronic_consumption!$P336/1000/$C$3)</f>
        <v>#DIV/0!</v>
      </c>
      <c r="V1536" s="1098" t="e">
        <f>IF($D$1212="",0,$D1536*Table3[[#This Row],[CF]]*chronic_consumption!$Q336/1000/$C$3)</f>
        <v>#DIV/0!</v>
      </c>
      <c r="W1536" s="1098" t="e">
        <f>IF($D$1212="",0,$D1536*Table3[[#This Row],[CF]]*chronic_consumption!$R336/1000/$C$3)</f>
        <v>#DIV/0!</v>
      </c>
      <c r="X1536" s="1098" t="e">
        <f>IF($D$1212="",0,$D1536*Table3[[#This Row],[CF]]*chronic_consumption!$S336/1000/$C$3)</f>
        <v>#DIV/0!</v>
      </c>
      <c r="Y1536" s="1098" t="e">
        <f>IF($D$1212="",0,$D1536*Table3[[#This Row],[CF]]*chronic_consumption!$T336/1000/$C$3)</f>
        <v>#DIV/0!</v>
      </c>
      <c r="Z1536" s="1098" t="e">
        <f>IF($D$1212="",0,$D1536*Table3[[#This Row],[CF]]*chronic_consumption!$U336/1000/$C$3)</f>
        <v>#DIV/0!</v>
      </c>
      <c r="AA1536" s="1098" t="e">
        <f>IF($D$1212="",0,$D1536*Table3[[#This Row],[CF]]*chronic_consumption!$V336/1000/$C$3)</f>
        <v>#DIV/0!</v>
      </c>
      <c r="AB1536" s="1098" t="e">
        <f>IF($D$1212="",0,$D1536*Table3[[#This Row],[CF]]*chronic_consumption!$W336/1000/$C$3)</f>
        <v>#DIV/0!</v>
      </c>
      <c r="AC1536" s="1098" t="e">
        <f>IF($D$1212="",0,$D1536*Table3[[#This Row],[CF]]*chronic_consumption!$X336/1000/$C$3)</f>
        <v>#DIV/0!</v>
      </c>
      <c r="AD1536" s="1098" t="e">
        <f>IF($D$1212="",0,$D1536*Table3[[#This Row],[CF]]*chronic_consumption!$Y336/1000/$C$3)</f>
        <v>#DIV/0!</v>
      </c>
      <c r="AE1536" s="1098" t="e">
        <f>IF($D$1212="",0,$D1536*Table3[[#This Row],[CF]]*chronic_consumption!$Z336/1000/$C$3)</f>
        <v>#DIV/0!</v>
      </c>
      <c r="AF1536" s="1098" t="e">
        <f>IF($D$1212="",0,$D1536*Table3[[#This Row],[CF]]*chronic_consumption!$AA336/1000/$C$3)</f>
        <v>#DIV/0!</v>
      </c>
      <c r="AG1536" s="1098" t="e">
        <f>IF($D$1212="",0,$D1536*Table3[[#This Row],[CF]]*chronic_consumption!$AB336/1000/$C$3)</f>
        <v>#DIV/0!</v>
      </c>
      <c r="AH1536" s="1098" t="e">
        <f>IF($D$1212="",0,$D1536*Table3[[#This Row],[CF]]*chronic_consumption!$AC336/1000/$C$3)</f>
        <v>#DIV/0!</v>
      </c>
      <c r="AI1536" s="1098" t="e">
        <f>IF($D$1212="",0,$D1536*Table3[[#This Row],[CF]]*chronic_consumption!$AD336/1000/$C$3)</f>
        <v>#DIV/0!</v>
      </c>
      <c r="AJ1536" s="1098" t="e">
        <f>IF($D$1212="",0,$D1536*Table3[[#This Row],[CF]]*chronic_consumption!$AE336/1000/$C$3)</f>
        <v>#DIV/0!</v>
      </c>
      <c r="AK1536" s="1098" t="e">
        <f>IF($D$1212="",0,$D1536*Table3[[#This Row],[CF]]*chronic_consumption!$AF336/1000/$C$3)</f>
        <v>#DIV/0!</v>
      </c>
      <c r="AL1536" s="1098" t="e">
        <f>IF($D$1212="",0,$D1536*Table3[[#This Row],[CF]]*chronic_consumption!$AG336/1000/$C$3)</f>
        <v>#DIV/0!</v>
      </c>
      <c r="AM1536" s="1098" t="e">
        <f>IF($D$1212="",0,$D1536*Table3[[#This Row],[CF]]*chronic_consumption!$AH336/1000/$C$3)</f>
        <v>#DIV/0!</v>
      </c>
      <c r="AN1536" s="1098" t="e">
        <f>IF($D$1212="",0,$D1536*Table3[[#This Row],[CF]]*chronic_consumption!$AI336/1000/$C$3)</f>
        <v>#DIV/0!</v>
      </c>
      <c r="AO1536" s="1098" t="e">
        <f>IF($D$1212="",0,$D1536*Table3[[#This Row],[CF]]*chronic_consumption!$AJ336/1000/$C$3)</f>
        <v>#DIV/0!</v>
      </c>
      <c r="AP1536" s="1098" t="e">
        <f>IF($D$1212="",0,$D1536*Table3[[#This Row],[CF]]*chronic_consumption!$AK336/1000/$C$3)</f>
        <v>#DIV/0!</v>
      </c>
      <c r="AQ1536" s="1098" t="e">
        <f>IF($D$1212="",0,$D1536*Table3[[#This Row],[CF]]*chronic_consumption!$AL336/1000/$C$3)</f>
        <v>#DIV/0!</v>
      </c>
      <c r="AR1536" s="1098" t="e">
        <f>IF($D$1212="",0,$D1536*Table3[[#This Row],[CF]]*chronic_consumption!$AM336/1000/$C$3)</f>
        <v>#DIV/0!</v>
      </c>
      <c r="AS1536" s="1098" t="e">
        <f>IF($D$1212="",0,$D1536*Table3[[#This Row],[CF]]*chronic_consumption!$AN336/1000/$C$3)</f>
        <v>#DIV/0!</v>
      </c>
      <c r="AT1536" s="1098" t="e">
        <f>IF($D$1212="",0,$D1536*Table3[[#This Row],[CF]]*chronic_consumption!$AO336/1000/$C$3)</f>
        <v>#DIV/0!</v>
      </c>
      <c r="AU1536" s="1099" t="e">
        <f t="shared" si="888"/>
        <v>#DIV/0!</v>
      </c>
      <c r="AV1536" s="1099" t="e">
        <f t="shared" si="888"/>
        <v>#DIV/0!</v>
      </c>
      <c r="AW1536" s="1099" t="e">
        <f t="shared" si="888"/>
        <v>#DIV/0!</v>
      </c>
      <c r="AX1536" s="1099" t="e">
        <f t="shared" si="888"/>
        <v>#DIV/0!</v>
      </c>
      <c r="AY1536" s="1099" t="e">
        <f t="shared" si="888"/>
        <v>#DIV/0!</v>
      </c>
      <c r="AZ1536" s="1091" t="s">
        <v>1012</v>
      </c>
      <c r="BA1536" s="1097" t="e">
        <f>IF(Table3[[#This Row],[max]]&lt;&gt;0,RANK(Table3[[#This Row],[max]],Table3[max],0),"")</f>
        <v>#DIV/0!</v>
      </c>
      <c r="BB1536" s="1096" t="e">
        <f t="shared" si="889"/>
        <v>#DIV/0!</v>
      </c>
      <c r="BC1536" s="1096" t="e">
        <f t="shared" ca="1" si="890"/>
        <v>#DIV/0!</v>
      </c>
      <c r="BD1536" s="1096" t="e">
        <f>IF(Table3[[#This Row],[max]]&gt;0,Table3[[#This Row],[Crop groups and examples of individual products within the groups to which the MRLs apply]],"")</f>
        <v>#DIV/0!</v>
      </c>
    </row>
    <row r="1537" spans="2:56" x14ac:dyDescent="0.2">
      <c r="B1537" s="23">
        <f t="shared" si="887"/>
        <v>1012050</v>
      </c>
      <c r="C1537" s="23" t="str">
        <f t="shared" si="887"/>
        <v>Bovine: Edible offals (other than liver and kidney)</v>
      </c>
      <c r="D1537" s="1084">
        <f>input_values!E337</f>
        <v>0</v>
      </c>
      <c r="E1537" s="1084">
        <f>input_values!F337</f>
        <v>0</v>
      </c>
      <c r="F1537" s="1085">
        <f>input_values!W337</f>
        <v>1</v>
      </c>
      <c r="G1537" s="1085" t="str">
        <f>IF(Table3[[#This Row],[CF]]&gt;0,CONCATENATE(IF(Table3[[#This Row],[LOQ]]="*","LOQ","MRL"),IF(input_values!G337&gt;0,"×CFrisk","")),"")</f>
        <v>MRL</v>
      </c>
      <c r="H1537" s="1087">
        <f>input_values!L337</f>
        <v>0</v>
      </c>
      <c r="I1537" s="1088">
        <f>input_values!D337</f>
        <v>0</v>
      </c>
      <c r="J1537" s="1098" t="e">
        <f>IF($D$1212="",0,$D1537*Table3[[#This Row],[CF]]*chronic_consumption!$E337/1000/$C$3)</f>
        <v>#DIV/0!</v>
      </c>
      <c r="K1537" s="1098" t="e">
        <f>IF($D$1212="",0,$D1537*Table3[[#This Row],[CF]]*chronic_consumption!$F337/1000/$C$3)</f>
        <v>#DIV/0!</v>
      </c>
      <c r="L1537" s="1098" t="e">
        <f>IF($D$1212="",0,$D1537*Table3[[#This Row],[CF]]*chronic_consumption!$G337/1000/$C$3)</f>
        <v>#DIV/0!</v>
      </c>
      <c r="M1537" s="1098" t="e">
        <f>IF($D$1212="",0,$D1537*Table3[[#This Row],[CF]]*chronic_consumption!$H337/1000/$C$3)</f>
        <v>#DIV/0!</v>
      </c>
      <c r="N1537" s="1098" t="e">
        <f>IF($D$1212="",0,$D1537*Table3[[#This Row],[CF]]*chronic_consumption!$I337/1000/$C$3)</f>
        <v>#DIV/0!</v>
      </c>
      <c r="O1537" s="1098" t="e">
        <f>IF($D$1212="",0,$D1537*Table3[[#This Row],[CF]]*chronic_consumption!$J337/1000/$C$3)</f>
        <v>#DIV/0!</v>
      </c>
      <c r="P1537" s="1098" t="e">
        <f>IF($D$1212="",0,$D1537*Table3[[#This Row],[CF]]*chronic_consumption!$K337/1000/$C$3)</f>
        <v>#DIV/0!</v>
      </c>
      <c r="Q1537" s="1098" t="e">
        <f>IF($D$1212="",0,$D1537*Table3[[#This Row],[CF]]*chronic_consumption!$L337/1000/$C$3)</f>
        <v>#DIV/0!</v>
      </c>
      <c r="R1537" s="1098" t="e">
        <f>IF($D$1212="",0,$D1537*Table3[[#This Row],[CF]]*chronic_consumption!$M337/1000/$C$3)</f>
        <v>#DIV/0!</v>
      </c>
      <c r="S1537" s="1098" t="e">
        <f>IF($D$1212="",0,$D1537*Table3[[#This Row],[CF]]*chronic_consumption!$N337/1000/$C$3)</f>
        <v>#DIV/0!</v>
      </c>
      <c r="T1537" s="1098" t="e">
        <f>IF($D$1212="",0,$D1537*Table3[[#This Row],[CF]]*chronic_consumption!$O337/1000/$C$3)</f>
        <v>#DIV/0!</v>
      </c>
      <c r="U1537" s="1098" t="e">
        <f>IF($D$1212="",0,$D1537*Table3[[#This Row],[CF]]*chronic_consumption!$P337/1000/$C$3)</f>
        <v>#DIV/0!</v>
      </c>
      <c r="V1537" s="1098" t="e">
        <f>IF($D$1212="",0,$D1537*Table3[[#This Row],[CF]]*chronic_consumption!$Q337/1000/$C$3)</f>
        <v>#DIV/0!</v>
      </c>
      <c r="W1537" s="1098" t="e">
        <f>IF($D$1212="",0,$D1537*Table3[[#This Row],[CF]]*chronic_consumption!$R337/1000/$C$3)</f>
        <v>#DIV/0!</v>
      </c>
      <c r="X1537" s="1098" t="e">
        <f>IF($D$1212="",0,$D1537*Table3[[#This Row],[CF]]*chronic_consumption!$S337/1000/$C$3)</f>
        <v>#DIV/0!</v>
      </c>
      <c r="Y1537" s="1098" t="e">
        <f>IF($D$1212="",0,$D1537*Table3[[#This Row],[CF]]*chronic_consumption!$T337/1000/$C$3)</f>
        <v>#DIV/0!</v>
      </c>
      <c r="Z1537" s="1098" t="e">
        <f>IF($D$1212="",0,$D1537*Table3[[#This Row],[CF]]*chronic_consumption!$U337/1000/$C$3)</f>
        <v>#DIV/0!</v>
      </c>
      <c r="AA1537" s="1098" t="e">
        <f>IF($D$1212="",0,$D1537*Table3[[#This Row],[CF]]*chronic_consumption!$V337/1000/$C$3)</f>
        <v>#DIV/0!</v>
      </c>
      <c r="AB1537" s="1098" t="e">
        <f>IF($D$1212="",0,$D1537*Table3[[#This Row],[CF]]*chronic_consumption!$W337/1000/$C$3)</f>
        <v>#DIV/0!</v>
      </c>
      <c r="AC1537" s="1098" t="e">
        <f>IF($D$1212="",0,$D1537*Table3[[#This Row],[CF]]*chronic_consumption!$X337/1000/$C$3)</f>
        <v>#DIV/0!</v>
      </c>
      <c r="AD1537" s="1098" t="e">
        <f>IF($D$1212="",0,$D1537*Table3[[#This Row],[CF]]*chronic_consumption!$Y337/1000/$C$3)</f>
        <v>#DIV/0!</v>
      </c>
      <c r="AE1537" s="1098" t="e">
        <f>IF($D$1212="",0,$D1537*Table3[[#This Row],[CF]]*chronic_consumption!$Z337/1000/$C$3)</f>
        <v>#DIV/0!</v>
      </c>
      <c r="AF1537" s="1098" t="e">
        <f>IF($D$1212="",0,$D1537*Table3[[#This Row],[CF]]*chronic_consumption!$AA337/1000/$C$3)</f>
        <v>#DIV/0!</v>
      </c>
      <c r="AG1537" s="1098" t="e">
        <f>IF($D$1212="",0,$D1537*Table3[[#This Row],[CF]]*chronic_consumption!$AB337/1000/$C$3)</f>
        <v>#DIV/0!</v>
      </c>
      <c r="AH1537" s="1098" t="e">
        <f>IF($D$1212="",0,$D1537*Table3[[#This Row],[CF]]*chronic_consumption!$AC337/1000/$C$3)</f>
        <v>#DIV/0!</v>
      </c>
      <c r="AI1537" s="1098" t="e">
        <f>IF($D$1212="",0,$D1537*Table3[[#This Row],[CF]]*chronic_consumption!$AD337/1000/$C$3)</f>
        <v>#DIV/0!</v>
      </c>
      <c r="AJ1537" s="1098" t="e">
        <f>IF($D$1212="",0,$D1537*Table3[[#This Row],[CF]]*chronic_consumption!$AE337/1000/$C$3)</f>
        <v>#DIV/0!</v>
      </c>
      <c r="AK1537" s="1098" t="e">
        <f>IF($D$1212="",0,$D1537*Table3[[#This Row],[CF]]*chronic_consumption!$AF337/1000/$C$3)</f>
        <v>#DIV/0!</v>
      </c>
      <c r="AL1537" s="1098" t="e">
        <f>IF($D$1212="",0,$D1537*Table3[[#This Row],[CF]]*chronic_consumption!$AG337/1000/$C$3)</f>
        <v>#DIV/0!</v>
      </c>
      <c r="AM1537" s="1098" t="e">
        <f>IF($D$1212="",0,$D1537*Table3[[#This Row],[CF]]*chronic_consumption!$AH337/1000/$C$3)</f>
        <v>#DIV/0!</v>
      </c>
      <c r="AN1537" s="1098" t="e">
        <f>IF($D$1212="",0,$D1537*Table3[[#This Row],[CF]]*chronic_consumption!$AI337/1000/$C$3)</f>
        <v>#DIV/0!</v>
      </c>
      <c r="AO1537" s="1098" t="e">
        <f>IF($D$1212="",0,$D1537*Table3[[#This Row],[CF]]*chronic_consumption!$AJ337/1000/$C$3)</f>
        <v>#DIV/0!</v>
      </c>
      <c r="AP1537" s="1098" t="e">
        <f>IF($D$1212="",0,$D1537*Table3[[#This Row],[CF]]*chronic_consumption!$AK337/1000/$C$3)</f>
        <v>#DIV/0!</v>
      </c>
      <c r="AQ1537" s="1098" t="e">
        <f>IF($D$1212="",0,$D1537*Table3[[#This Row],[CF]]*chronic_consumption!$AL337/1000/$C$3)</f>
        <v>#DIV/0!</v>
      </c>
      <c r="AR1537" s="1098" t="e">
        <f>IF($D$1212="",0,$D1537*Table3[[#This Row],[CF]]*chronic_consumption!$AM337/1000/$C$3)</f>
        <v>#DIV/0!</v>
      </c>
      <c r="AS1537" s="1098" t="e">
        <f>IF($D$1212="",0,$D1537*Table3[[#This Row],[CF]]*chronic_consumption!$AN337/1000/$C$3)</f>
        <v>#DIV/0!</v>
      </c>
      <c r="AT1537" s="1098" t="e">
        <f>IF($D$1212="",0,$D1537*Table3[[#This Row],[CF]]*chronic_consumption!$AO337/1000/$C$3)</f>
        <v>#DIV/0!</v>
      </c>
      <c r="AU1537" s="1099" t="e">
        <f t="shared" si="888"/>
        <v>#DIV/0!</v>
      </c>
      <c r="AV1537" s="1099" t="e">
        <f t="shared" si="888"/>
        <v>#DIV/0!</v>
      </c>
      <c r="AW1537" s="1099" t="e">
        <f t="shared" si="888"/>
        <v>#DIV/0!</v>
      </c>
      <c r="AX1537" s="1099" t="e">
        <f t="shared" si="888"/>
        <v>#DIV/0!</v>
      </c>
      <c r="AY1537" s="1099" t="e">
        <f t="shared" si="888"/>
        <v>#DIV/0!</v>
      </c>
      <c r="AZ1537" s="1091" t="s">
        <v>1012</v>
      </c>
      <c r="BA1537" s="1097" t="e">
        <f>IF(Table3[[#This Row],[max]]&lt;&gt;0,RANK(Table3[[#This Row],[max]],Table3[max],0),"")</f>
        <v>#DIV/0!</v>
      </c>
      <c r="BB1537" s="1096" t="e">
        <f t="shared" si="889"/>
        <v>#DIV/0!</v>
      </c>
      <c r="BC1537" s="1096" t="e">
        <f t="shared" ca="1" si="890"/>
        <v>#DIV/0!</v>
      </c>
      <c r="BD1537" s="1096" t="e">
        <f>IF(Table3[[#This Row],[max]]&gt;0,Table3[[#This Row],[Crop groups and examples of individual products within the groups to which the MRLs apply]],"")</f>
        <v>#DIV/0!</v>
      </c>
    </row>
    <row r="1538" spans="2:56" x14ac:dyDescent="0.2">
      <c r="B1538" s="23">
        <f t="shared" si="887"/>
        <v>1012990</v>
      </c>
      <c r="C1538" s="23" t="str">
        <f t="shared" si="887"/>
        <v>Bovine: Other products</v>
      </c>
      <c r="D1538" s="1084">
        <f>input_values!E338</f>
        <v>0</v>
      </c>
      <c r="E1538" s="1084">
        <f>input_values!F338</f>
        <v>0</v>
      </c>
      <c r="F1538" s="1085">
        <f>input_values!W338</f>
        <v>1</v>
      </c>
      <c r="G1538" s="1085" t="str">
        <f>IF(Table3[[#This Row],[CF]]&gt;0,CONCATENATE(IF(Table3[[#This Row],[LOQ]]="*","LOQ","MRL"),IF(input_values!G338&gt;0,"×CFrisk","")),"")</f>
        <v>MRL</v>
      </c>
      <c r="H1538" s="1087">
        <f>input_values!L338</f>
        <v>0</v>
      </c>
      <c r="I1538" s="1088">
        <f>input_values!D338</f>
        <v>0</v>
      </c>
      <c r="J1538" s="1098" t="e">
        <f>IF($D$1212="",0,$D1538*Table3[[#This Row],[CF]]*chronic_consumption!$E338/1000/$C$3)</f>
        <v>#DIV/0!</v>
      </c>
      <c r="K1538" s="1098" t="e">
        <f>IF($D$1212="",0,$D1538*Table3[[#This Row],[CF]]*chronic_consumption!$F338/1000/$C$3)</f>
        <v>#DIV/0!</v>
      </c>
      <c r="L1538" s="1098" t="e">
        <f>IF($D$1212="",0,$D1538*Table3[[#This Row],[CF]]*chronic_consumption!$G338/1000/$C$3)</f>
        <v>#DIV/0!</v>
      </c>
      <c r="M1538" s="1098" t="e">
        <f>IF($D$1212="",0,$D1538*Table3[[#This Row],[CF]]*chronic_consumption!$H338/1000/$C$3)</f>
        <v>#DIV/0!</v>
      </c>
      <c r="N1538" s="1098" t="e">
        <f>IF($D$1212="",0,$D1538*Table3[[#This Row],[CF]]*chronic_consumption!$I338/1000/$C$3)</f>
        <v>#DIV/0!</v>
      </c>
      <c r="O1538" s="1098" t="e">
        <f>IF($D$1212="",0,$D1538*Table3[[#This Row],[CF]]*chronic_consumption!$J338/1000/$C$3)</f>
        <v>#DIV/0!</v>
      </c>
      <c r="P1538" s="1098" t="e">
        <f>IF($D$1212="",0,$D1538*Table3[[#This Row],[CF]]*chronic_consumption!$K338/1000/$C$3)</f>
        <v>#DIV/0!</v>
      </c>
      <c r="Q1538" s="1098" t="e">
        <f>IF($D$1212="",0,$D1538*Table3[[#This Row],[CF]]*chronic_consumption!$L338/1000/$C$3)</f>
        <v>#DIV/0!</v>
      </c>
      <c r="R1538" s="1098" t="e">
        <f>IF($D$1212="",0,$D1538*Table3[[#This Row],[CF]]*chronic_consumption!$M338/1000/$C$3)</f>
        <v>#DIV/0!</v>
      </c>
      <c r="S1538" s="1098" t="e">
        <f>IF($D$1212="",0,$D1538*Table3[[#This Row],[CF]]*chronic_consumption!$N338/1000/$C$3)</f>
        <v>#DIV/0!</v>
      </c>
      <c r="T1538" s="1098" t="e">
        <f>IF($D$1212="",0,$D1538*Table3[[#This Row],[CF]]*chronic_consumption!$O338/1000/$C$3)</f>
        <v>#DIV/0!</v>
      </c>
      <c r="U1538" s="1098" t="e">
        <f>IF($D$1212="",0,$D1538*Table3[[#This Row],[CF]]*chronic_consumption!$P338/1000/$C$3)</f>
        <v>#DIV/0!</v>
      </c>
      <c r="V1538" s="1098" t="e">
        <f>IF($D$1212="",0,$D1538*Table3[[#This Row],[CF]]*chronic_consumption!$Q338/1000/$C$3)</f>
        <v>#DIV/0!</v>
      </c>
      <c r="W1538" s="1098" t="e">
        <f>IF($D$1212="",0,$D1538*Table3[[#This Row],[CF]]*chronic_consumption!$R338/1000/$C$3)</f>
        <v>#DIV/0!</v>
      </c>
      <c r="X1538" s="1098" t="e">
        <f>IF($D$1212="",0,$D1538*Table3[[#This Row],[CF]]*chronic_consumption!$S338/1000/$C$3)</f>
        <v>#DIV/0!</v>
      </c>
      <c r="Y1538" s="1098" t="e">
        <f>IF($D$1212="",0,$D1538*Table3[[#This Row],[CF]]*chronic_consumption!$T338/1000/$C$3)</f>
        <v>#DIV/0!</v>
      </c>
      <c r="Z1538" s="1098" t="e">
        <f>IF($D$1212="",0,$D1538*Table3[[#This Row],[CF]]*chronic_consumption!$U338/1000/$C$3)</f>
        <v>#DIV/0!</v>
      </c>
      <c r="AA1538" s="1098" t="e">
        <f>IF($D$1212="",0,$D1538*Table3[[#This Row],[CF]]*chronic_consumption!$V338/1000/$C$3)</f>
        <v>#DIV/0!</v>
      </c>
      <c r="AB1538" s="1098" t="e">
        <f>IF($D$1212="",0,$D1538*Table3[[#This Row],[CF]]*chronic_consumption!$W338/1000/$C$3)</f>
        <v>#DIV/0!</v>
      </c>
      <c r="AC1538" s="1098" t="e">
        <f>IF($D$1212="",0,$D1538*Table3[[#This Row],[CF]]*chronic_consumption!$X338/1000/$C$3)</f>
        <v>#DIV/0!</v>
      </c>
      <c r="AD1538" s="1098" t="e">
        <f>IF($D$1212="",0,$D1538*Table3[[#This Row],[CF]]*chronic_consumption!$Y338/1000/$C$3)</f>
        <v>#DIV/0!</v>
      </c>
      <c r="AE1538" s="1098" t="e">
        <f>IF($D$1212="",0,$D1538*Table3[[#This Row],[CF]]*chronic_consumption!$Z338/1000/$C$3)</f>
        <v>#DIV/0!</v>
      </c>
      <c r="AF1538" s="1098" t="e">
        <f>IF($D$1212="",0,$D1538*Table3[[#This Row],[CF]]*chronic_consumption!$AA338/1000/$C$3)</f>
        <v>#DIV/0!</v>
      </c>
      <c r="AG1538" s="1098" t="e">
        <f>IF($D$1212="",0,$D1538*Table3[[#This Row],[CF]]*chronic_consumption!$AB338/1000/$C$3)</f>
        <v>#DIV/0!</v>
      </c>
      <c r="AH1538" s="1098" t="e">
        <f>IF($D$1212="",0,$D1538*Table3[[#This Row],[CF]]*chronic_consumption!$AC338/1000/$C$3)</f>
        <v>#DIV/0!</v>
      </c>
      <c r="AI1538" s="1098" t="e">
        <f>IF($D$1212="",0,$D1538*Table3[[#This Row],[CF]]*chronic_consumption!$AD338/1000/$C$3)</f>
        <v>#DIV/0!</v>
      </c>
      <c r="AJ1538" s="1098" t="e">
        <f>IF($D$1212="",0,$D1538*Table3[[#This Row],[CF]]*chronic_consumption!$AE338/1000/$C$3)</f>
        <v>#DIV/0!</v>
      </c>
      <c r="AK1538" s="1098" t="e">
        <f>IF($D$1212="",0,$D1538*Table3[[#This Row],[CF]]*chronic_consumption!$AF338/1000/$C$3)</f>
        <v>#DIV/0!</v>
      </c>
      <c r="AL1538" s="1098" t="e">
        <f>IF($D$1212="",0,$D1538*Table3[[#This Row],[CF]]*chronic_consumption!$AG338/1000/$C$3)</f>
        <v>#DIV/0!</v>
      </c>
      <c r="AM1538" s="1098" t="e">
        <f>IF($D$1212="",0,$D1538*Table3[[#This Row],[CF]]*chronic_consumption!$AH338/1000/$C$3)</f>
        <v>#DIV/0!</v>
      </c>
      <c r="AN1538" s="1098" t="e">
        <f>IF($D$1212="",0,$D1538*Table3[[#This Row],[CF]]*chronic_consumption!$AI338/1000/$C$3)</f>
        <v>#DIV/0!</v>
      </c>
      <c r="AO1538" s="1098" t="e">
        <f>IF($D$1212="",0,$D1538*Table3[[#This Row],[CF]]*chronic_consumption!$AJ338/1000/$C$3)</f>
        <v>#DIV/0!</v>
      </c>
      <c r="AP1538" s="1098" t="e">
        <f>IF($D$1212="",0,$D1538*Table3[[#This Row],[CF]]*chronic_consumption!$AK338/1000/$C$3)</f>
        <v>#DIV/0!</v>
      </c>
      <c r="AQ1538" s="1098" t="e">
        <f>IF($D$1212="",0,$D1538*Table3[[#This Row],[CF]]*chronic_consumption!$AL338/1000/$C$3)</f>
        <v>#DIV/0!</v>
      </c>
      <c r="AR1538" s="1098" t="e">
        <f>IF($D$1212="",0,$D1538*Table3[[#This Row],[CF]]*chronic_consumption!$AM338/1000/$C$3)</f>
        <v>#DIV/0!</v>
      </c>
      <c r="AS1538" s="1098" t="e">
        <f>IF($D$1212="",0,$D1538*Table3[[#This Row],[CF]]*chronic_consumption!$AN338/1000/$C$3)</f>
        <v>#DIV/0!</v>
      </c>
      <c r="AT1538" s="1098" t="e">
        <f>IF($D$1212="",0,$D1538*Table3[[#This Row],[CF]]*chronic_consumption!$AO338/1000/$C$3)</f>
        <v>#DIV/0!</v>
      </c>
      <c r="AU1538" s="1099" t="e">
        <f t="shared" si="888"/>
        <v>#DIV/0!</v>
      </c>
      <c r="AV1538" s="1099" t="e">
        <f t="shared" si="888"/>
        <v>#DIV/0!</v>
      </c>
      <c r="AW1538" s="1099" t="e">
        <f t="shared" si="888"/>
        <v>#DIV/0!</v>
      </c>
      <c r="AX1538" s="1099" t="e">
        <f t="shared" si="888"/>
        <v>#DIV/0!</v>
      </c>
      <c r="AY1538" s="1099" t="e">
        <f t="shared" si="888"/>
        <v>#DIV/0!</v>
      </c>
      <c r="AZ1538" s="1091" t="s">
        <v>1012</v>
      </c>
      <c r="BA1538" s="1097" t="e">
        <f>IF(Table3[[#This Row],[max]]&lt;&gt;0,RANK(Table3[[#This Row],[max]],Table3[max],0),"")</f>
        <v>#DIV/0!</v>
      </c>
      <c r="BB1538" s="1096" t="e">
        <f t="shared" si="889"/>
        <v>#DIV/0!</v>
      </c>
      <c r="BC1538" s="1096" t="e">
        <f t="shared" ca="1" si="890"/>
        <v>#DIV/0!</v>
      </c>
      <c r="BD1538" s="1096" t="e">
        <f>IF(Table3[[#This Row],[max]]&gt;0,Table3[[#This Row],[Crop groups and examples of individual products within the groups to which the MRLs apply]],"")</f>
        <v>#DIV/0!</v>
      </c>
    </row>
    <row r="1539" spans="2:56" x14ac:dyDescent="0.2">
      <c r="B1539" s="5">
        <f t="shared" si="887"/>
        <v>1013000</v>
      </c>
      <c r="C1539" s="5" t="str">
        <f t="shared" si="887"/>
        <v>Sheep</v>
      </c>
      <c r="D1539" s="1084">
        <f>input_values!E339</f>
        <v>0</v>
      </c>
      <c r="E1539" s="1084">
        <f>input_values!F339</f>
        <v>0</v>
      </c>
      <c r="F1539" s="1085">
        <f>input_values!W339</f>
        <v>0</v>
      </c>
      <c r="G1539" s="1085" t="str">
        <f>IF(Table3[[#This Row],[CF]]&gt;0,CONCATENATE(IF(Table3[[#This Row],[LOQ]]="*","LOQ","MRL"),IF(input_values!G339&gt;0,"×CFrisk","")),"")</f>
        <v/>
      </c>
      <c r="H1539" s="1087">
        <f>input_values!L339</f>
        <v>0</v>
      </c>
      <c r="I1539" s="1088">
        <f>input_values!D339</f>
        <v>0</v>
      </c>
      <c r="J1539" s="1103" t="e">
        <f>IF($D$1212="",0,$D1539*Table3[[#This Row],[CF]]*chronic_consumption!$E339/1000/$C$3)</f>
        <v>#DIV/0!</v>
      </c>
      <c r="K1539" s="1103" t="e">
        <f>IF($D$1212="",0,$D1539*Table3[[#This Row],[CF]]*chronic_consumption!$F339/1000/$C$3)</f>
        <v>#DIV/0!</v>
      </c>
      <c r="L1539" s="1103" t="e">
        <f>IF($D$1212="",0,$D1539*Table3[[#This Row],[CF]]*chronic_consumption!$G339/1000/$C$3)</f>
        <v>#DIV/0!</v>
      </c>
      <c r="M1539" s="1103" t="e">
        <f>IF($D$1212="",0,$D1539*Table3[[#This Row],[CF]]*chronic_consumption!$H339/1000/$C$3)</f>
        <v>#DIV/0!</v>
      </c>
      <c r="N1539" s="1103" t="e">
        <f>IF($D$1212="",0,$D1539*Table3[[#This Row],[CF]]*chronic_consumption!$I339/1000/$C$3)</f>
        <v>#DIV/0!</v>
      </c>
      <c r="O1539" s="1103" t="e">
        <f>IF($D$1212="",0,$D1539*Table3[[#This Row],[CF]]*chronic_consumption!$J339/1000/$C$3)</f>
        <v>#DIV/0!</v>
      </c>
      <c r="P1539" s="1103" t="e">
        <f>IF($D$1212="",0,$D1539*Table3[[#This Row],[CF]]*chronic_consumption!$K339/1000/$C$3)</f>
        <v>#DIV/0!</v>
      </c>
      <c r="Q1539" s="1103" t="e">
        <f>IF($D$1212="",0,$D1539*Table3[[#This Row],[CF]]*chronic_consumption!$L339/1000/$C$3)</f>
        <v>#DIV/0!</v>
      </c>
      <c r="R1539" s="1103" t="e">
        <f>IF($D$1212="",0,$D1539*Table3[[#This Row],[CF]]*chronic_consumption!$M339/1000/$C$3)</f>
        <v>#DIV/0!</v>
      </c>
      <c r="S1539" s="1103" t="e">
        <f>IF($D$1212="",0,$D1539*Table3[[#This Row],[CF]]*chronic_consumption!$N339/1000/$C$3)</f>
        <v>#DIV/0!</v>
      </c>
      <c r="T1539" s="1103" t="e">
        <f>IF($D$1212="",0,$D1539*Table3[[#This Row],[CF]]*chronic_consumption!$O339/1000/$C$3)</f>
        <v>#DIV/0!</v>
      </c>
      <c r="U1539" s="1103" t="e">
        <f>IF($D$1212="",0,$D1539*Table3[[#This Row],[CF]]*chronic_consumption!$P339/1000/$C$3)</f>
        <v>#DIV/0!</v>
      </c>
      <c r="V1539" s="1103" t="e">
        <f>IF($D$1212="",0,$D1539*Table3[[#This Row],[CF]]*chronic_consumption!$Q339/1000/$C$3)</f>
        <v>#DIV/0!</v>
      </c>
      <c r="W1539" s="1103" t="e">
        <f>IF($D$1212="",0,$D1539*Table3[[#This Row],[CF]]*chronic_consumption!$R339/1000/$C$3)</f>
        <v>#DIV/0!</v>
      </c>
      <c r="X1539" s="1103" t="e">
        <f>IF($D$1212="",0,$D1539*Table3[[#This Row],[CF]]*chronic_consumption!$S339/1000/$C$3)</f>
        <v>#DIV/0!</v>
      </c>
      <c r="Y1539" s="1103" t="e">
        <f>IF($D$1212="",0,$D1539*Table3[[#This Row],[CF]]*chronic_consumption!$T339/1000/$C$3)</f>
        <v>#DIV/0!</v>
      </c>
      <c r="Z1539" s="1103" t="e">
        <f>IF($D$1212="",0,$D1539*Table3[[#This Row],[CF]]*chronic_consumption!$U339/1000/$C$3)</f>
        <v>#DIV/0!</v>
      </c>
      <c r="AA1539" s="1103" t="e">
        <f>IF($D$1212="",0,$D1539*Table3[[#This Row],[CF]]*chronic_consumption!$V339/1000/$C$3)</f>
        <v>#DIV/0!</v>
      </c>
      <c r="AB1539" s="1103" t="e">
        <f>IF($D$1212="",0,$D1539*Table3[[#This Row],[CF]]*chronic_consumption!$W339/1000/$C$3)</f>
        <v>#DIV/0!</v>
      </c>
      <c r="AC1539" s="1103" t="e">
        <f>IF($D$1212="",0,$D1539*Table3[[#This Row],[CF]]*chronic_consumption!$X339/1000/$C$3)</f>
        <v>#DIV/0!</v>
      </c>
      <c r="AD1539" s="1103" t="e">
        <f>IF($D$1212="",0,$D1539*Table3[[#This Row],[CF]]*chronic_consumption!$Y339/1000/$C$3)</f>
        <v>#DIV/0!</v>
      </c>
      <c r="AE1539" s="1103" t="e">
        <f>IF($D$1212="",0,$D1539*Table3[[#This Row],[CF]]*chronic_consumption!$Z339/1000/$C$3)</f>
        <v>#DIV/0!</v>
      </c>
      <c r="AF1539" s="1103" t="e">
        <f>IF($D$1212="",0,$D1539*Table3[[#This Row],[CF]]*chronic_consumption!$AA339/1000/$C$3)</f>
        <v>#DIV/0!</v>
      </c>
      <c r="AG1539" s="1103" t="e">
        <f>IF($D$1212="",0,$D1539*Table3[[#This Row],[CF]]*chronic_consumption!$AB339/1000/$C$3)</f>
        <v>#DIV/0!</v>
      </c>
      <c r="AH1539" s="1103" t="e">
        <f>IF($D$1212="",0,$D1539*Table3[[#This Row],[CF]]*chronic_consumption!$AC339/1000/$C$3)</f>
        <v>#DIV/0!</v>
      </c>
      <c r="AI1539" s="1103" t="e">
        <f>IF($D$1212="",0,$D1539*Table3[[#This Row],[CF]]*chronic_consumption!$AD339/1000/$C$3)</f>
        <v>#DIV/0!</v>
      </c>
      <c r="AJ1539" s="1103" t="e">
        <f>IF($D$1212="",0,$D1539*Table3[[#This Row],[CF]]*chronic_consumption!$AE339/1000/$C$3)</f>
        <v>#DIV/0!</v>
      </c>
      <c r="AK1539" s="1103" t="e">
        <f>IF($D$1212="",0,$D1539*Table3[[#This Row],[CF]]*chronic_consumption!$AF339/1000/$C$3)</f>
        <v>#DIV/0!</v>
      </c>
      <c r="AL1539" s="1103" t="e">
        <f>IF($D$1212="",0,$D1539*Table3[[#This Row],[CF]]*chronic_consumption!$AG339/1000/$C$3)</f>
        <v>#DIV/0!</v>
      </c>
      <c r="AM1539" s="1103" t="e">
        <f>IF($D$1212="",0,$D1539*Table3[[#This Row],[CF]]*chronic_consumption!$AH339/1000/$C$3)</f>
        <v>#DIV/0!</v>
      </c>
      <c r="AN1539" s="1103" t="e">
        <f>IF($D$1212="",0,$D1539*Table3[[#This Row],[CF]]*chronic_consumption!$AI339/1000/$C$3)</f>
        <v>#DIV/0!</v>
      </c>
      <c r="AO1539" s="1103" t="e">
        <f>IF($D$1212="",0,$D1539*Table3[[#This Row],[CF]]*chronic_consumption!$AJ339/1000/$C$3)</f>
        <v>#DIV/0!</v>
      </c>
      <c r="AP1539" s="1103" t="e">
        <f>IF($D$1212="",0,$D1539*Table3[[#This Row],[CF]]*chronic_consumption!$AK339/1000/$C$3)</f>
        <v>#DIV/0!</v>
      </c>
      <c r="AQ1539" s="1103" t="e">
        <f>IF($D$1212="",0,$D1539*Table3[[#This Row],[CF]]*chronic_consumption!$AL339/1000/$C$3)</f>
        <v>#DIV/0!</v>
      </c>
      <c r="AR1539" s="1103" t="e">
        <f>IF($D$1212="",0,$D1539*Table3[[#This Row],[CF]]*chronic_consumption!$AM339/1000/$C$3)</f>
        <v>#DIV/0!</v>
      </c>
      <c r="AS1539" s="1103" t="e">
        <f>IF($D$1212="",0,$D1539*Table3[[#This Row],[CF]]*chronic_consumption!$AN339/1000/$C$3)</f>
        <v>#DIV/0!</v>
      </c>
      <c r="AT1539" s="1103" t="e">
        <f>IF($D$1212="",0,$D1539*Table3[[#This Row],[CF]]*chronic_consumption!$AO339/1000/$C$3)</f>
        <v>#DIV/0!</v>
      </c>
      <c r="AU1539" s="1104" t="e">
        <f t="shared" si="888"/>
        <v>#DIV/0!</v>
      </c>
      <c r="AV1539" s="1104" t="e">
        <f t="shared" si="888"/>
        <v>#DIV/0!</v>
      </c>
      <c r="AW1539" s="1104" t="e">
        <f t="shared" si="888"/>
        <v>#DIV/0!</v>
      </c>
      <c r="AX1539" s="1104" t="e">
        <f t="shared" si="888"/>
        <v>#DIV/0!</v>
      </c>
      <c r="AY1539" s="1104" t="e">
        <f t="shared" si="888"/>
        <v>#DIV/0!</v>
      </c>
      <c r="AZ1539" s="1091" t="s">
        <v>1012</v>
      </c>
      <c r="BA1539" s="1097" t="e">
        <f>IF(Table3[[#This Row],[max]]&lt;&gt;0,RANK(Table3[[#This Row],[max]],Table3[max],0),"")</f>
        <v>#DIV/0!</v>
      </c>
      <c r="BB1539" s="1096" t="e">
        <f t="shared" si="889"/>
        <v>#DIV/0!</v>
      </c>
      <c r="BC1539" s="1096" t="e">
        <f t="shared" ca="1" si="890"/>
        <v>#DIV/0!</v>
      </c>
      <c r="BD1539" s="1096" t="e">
        <f>IF(Table3[[#This Row],[max]]&gt;0,Table3[[#This Row],[Crop groups and examples of individual products within the groups to which the MRLs apply]],"")</f>
        <v>#DIV/0!</v>
      </c>
    </row>
    <row r="1540" spans="2:56" x14ac:dyDescent="0.2">
      <c r="B1540" s="23">
        <f t="shared" si="887"/>
        <v>1013010</v>
      </c>
      <c r="C1540" s="23" t="str">
        <f t="shared" si="887"/>
        <v>Sheep: Muscle/meat</v>
      </c>
      <c r="D1540" s="1084">
        <f>input_values!E340</f>
        <v>0</v>
      </c>
      <c r="E1540" s="1084">
        <f>input_values!F340</f>
        <v>0</v>
      </c>
      <c r="F1540" s="1085">
        <f>input_values!W340</f>
        <v>1</v>
      </c>
      <c r="G1540" s="1085" t="str">
        <f>IF(Table3[[#This Row],[CF]]&gt;0,CONCATENATE(IF(Table3[[#This Row],[LOQ]]="*","LOQ","MRL"),IF(input_values!G340&gt;0,"×CFrisk","")),"")</f>
        <v>MRL</v>
      </c>
      <c r="H1540" s="1087">
        <f>input_values!L340</f>
        <v>0</v>
      </c>
      <c r="I1540" s="1088">
        <f>input_values!D340</f>
        <v>0</v>
      </c>
      <c r="J1540" s="1098" t="e">
        <f>IF($D$1212="",0,$D1540*Table3[[#This Row],[CF]]*chronic_consumption!$E340/1000/$C$3)</f>
        <v>#DIV/0!</v>
      </c>
      <c r="K1540" s="1098" t="e">
        <f>IF($D$1212="",0,$D1540*Table3[[#This Row],[CF]]*chronic_consumption!$F340/1000/$C$3)</f>
        <v>#DIV/0!</v>
      </c>
      <c r="L1540" s="1098" t="e">
        <f>IF($D$1212="",0,$D1540*Table3[[#This Row],[CF]]*chronic_consumption!$G340/1000/$C$3)</f>
        <v>#DIV/0!</v>
      </c>
      <c r="M1540" s="1098" t="e">
        <f>IF($D$1212="",0,$D1540*Table3[[#This Row],[CF]]*chronic_consumption!$H340/1000/$C$3)</f>
        <v>#DIV/0!</v>
      </c>
      <c r="N1540" s="1098" t="e">
        <f>IF($D$1212="",0,$D1540*Table3[[#This Row],[CF]]*chronic_consumption!$I340/1000/$C$3)</f>
        <v>#DIV/0!</v>
      </c>
      <c r="O1540" s="1098" t="e">
        <f>IF($D$1212="",0,$D1540*Table3[[#This Row],[CF]]*chronic_consumption!$J340/1000/$C$3)</f>
        <v>#DIV/0!</v>
      </c>
      <c r="P1540" s="1098" t="e">
        <f>IF($D$1212="",0,$D1540*Table3[[#This Row],[CF]]*chronic_consumption!$K340/1000/$C$3)</f>
        <v>#DIV/0!</v>
      </c>
      <c r="Q1540" s="1098" t="e">
        <f>IF($D$1212="",0,$D1540*Table3[[#This Row],[CF]]*chronic_consumption!$L340/1000/$C$3)</f>
        <v>#DIV/0!</v>
      </c>
      <c r="R1540" s="1098" t="e">
        <f>IF($D$1212="",0,$D1540*Table3[[#This Row],[CF]]*chronic_consumption!$M340/1000/$C$3)</f>
        <v>#DIV/0!</v>
      </c>
      <c r="S1540" s="1098" t="e">
        <f>IF($D$1212="",0,$D1540*Table3[[#This Row],[CF]]*chronic_consumption!$N340/1000/$C$3)</f>
        <v>#DIV/0!</v>
      </c>
      <c r="T1540" s="1098" t="e">
        <f>IF($D$1212="",0,$D1540*Table3[[#This Row],[CF]]*chronic_consumption!$O340/1000/$C$3)</f>
        <v>#DIV/0!</v>
      </c>
      <c r="U1540" s="1098" t="e">
        <f>IF($D$1212="",0,$D1540*Table3[[#This Row],[CF]]*chronic_consumption!$P340/1000/$C$3)</f>
        <v>#DIV/0!</v>
      </c>
      <c r="V1540" s="1098" t="e">
        <f>IF($D$1212="",0,$D1540*Table3[[#This Row],[CF]]*chronic_consumption!$Q340/1000/$C$3)</f>
        <v>#DIV/0!</v>
      </c>
      <c r="W1540" s="1098" t="e">
        <f>IF($D$1212="",0,$D1540*Table3[[#This Row],[CF]]*chronic_consumption!$R340/1000/$C$3)</f>
        <v>#DIV/0!</v>
      </c>
      <c r="X1540" s="1098" t="e">
        <f>IF($D$1212="",0,$D1540*Table3[[#This Row],[CF]]*chronic_consumption!$S340/1000/$C$3)</f>
        <v>#DIV/0!</v>
      </c>
      <c r="Y1540" s="1098" t="e">
        <f>IF($D$1212="",0,$D1540*Table3[[#This Row],[CF]]*chronic_consumption!$T340/1000/$C$3)</f>
        <v>#DIV/0!</v>
      </c>
      <c r="Z1540" s="1098" t="e">
        <f>IF($D$1212="",0,$D1540*Table3[[#This Row],[CF]]*chronic_consumption!$U340/1000/$C$3)</f>
        <v>#DIV/0!</v>
      </c>
      <c r="AA1540" s="1098" t="e">
        <f>IF($D$1212="",0,$D1540*Table3[[#This Row],[CF]]*chronic_consumption!$V340/1000/$C$3)</f>
        <v>#DIV/0!</v>
      </c>
      <c r="AB1540" s="1098" t="e">
        <f>IF($D$1212="",0,$D1540*Table3[[#This Row],[CF]]*chronic_consumption!$W340/1000/$C$3)</f>
        <v>#DIV/0!</v>
      </c>
      <c r="AC1540" s="1098" t="e">
        <f>IF($D$1212="",0,$D1540*Table3[[#This Row],[CF]]*chronic_consumption!$X340/1000/$C$3)</f>
        <v>#DIV/0!</v>
      </c>
      <c r="AD1540" s="1098" t="e">
        <f>IF($D$1212="",0,$D1540*Table3[[#This Row],[CF]]*chronic_consumption!$Y340/1000/$C$3)</f>
        <v>#DIV/0!</v>
      </c>
      <c r="AE1540" s="1098" t="e">
        <f>IF($D$1212="",0,$D1540*Table3[[#This Row],[CF]]*chronic_consumption!$Z340/1000/$C$3)</f>
        <v>#DIV/0!</v>
      </c>
      <c r="AF1540" s="1098" t="e">
        <f>IF($D$1212="",0,$D1540*Table3[[#This Row],[CF]]*chronic_consumption!$AA340/1000/$C$3)</f>
        <v>#DIV/0!</v>
      </c>
      <c r="AG1540" s="1098" t="e">
        <f>IF($D$1212="",0,$D1540*Table3[[#This Row],[CF]]*chronic_consumption!$AB340/1000/$C$3)</f>
        <v>#DIV/0!</v>
      </c>
      <c r="AH1540" s="1098" t="e">
        <f>IF($D$1212="",0,$D1540*Table3[[#This Row],[CF]]*chronic_consumption!$AC340/1000/$C$3)</f>
        <v>#DIV/0!</v>
      </c>
      <c r="AI1540" s="1098" t="e">
        <f>IF($D$1212="",0,$D1540*Table3[[#This Row],[CF]]*chronic_consumption!$AD340/1000/$C$3)</f>
        <v>#DIV/0!</v>
      </c>
      <c r="AJ1540" s="1098" t="e">
        <f>IF($D$1212="",0,$D1540*Table3[[#This Row],[CF]]*chronic_consumption!$AE340/1000/$C$3)</f>
        <v>#DIV/0!</v>
      </c>
      <c r="AK1540" s="1098" t="e">
        <f>IF($D$1212="",0,$D1540*Table3[[#This Row],[CF]]*chronic_consumption!$AF340/1000/$C$3)</f>
        <v>#DIV/0!</v>
      </c>
      <c r="AL1540" s="1098" t="e">
        <f>IF($D$1212="",0,$D1540*Table3[[#This Row],[CF]]*chronic_consumption!$AG340/1000/$C$3)</f>
        <v>#DIV/0!</v>
      </c>
      <c r="AM1540" s="1098" t="e">
        <f>IF($D$1212="",0,$D1540*Table3[[#This Row],[CF]]*chronic_consumption!$AH340/1000/$C$3)</f>
        <v>#DIV/0!</v>
      </c>
      <c r="AN1540" s="1098" t="e">
        <f>IF($D$1212="",0,$D1540*Table3[[#This Row],[CF]]*chronic_consumption!$AI340/1000/$C$3)</f>
        <v>#DIV/0!</v>
      </c>
      <c r="AO1540" s="1098" t="e">
        <f>IF($D$1212="",0,$D1540*Table3[[#This Row],[CF]]*chronic_consumption!$AJ340/1000/$C$3)</f>
        <v>#DIV/0!</v>
      </c>
      <c r="AP1540" s="1098" t="e">
        <f>IF($D$1212="",0,$D1540*Table3[[#This Row],[CF]]*chronic_consumption!$AK340/1000/$C$3)</f>
        <v>#DIV/0!</v>
      </c>
      <c r="AQ1540" s="1098" t="e">
        <f>IF($D$1212="",0,$D1540*Table3[[#This Row],[CF]]*chronic_consumption!$AL340/1000/$C$3)</f>
        <v>#DIV/0!</v>
      </c>
      <c r="AR1540" s="1098" t="e">
        <f>IF($D$1212="",0,$D1540*Table3[[#This Row],[CF]]*chronic_consumption!$AM340/1000/$C$3)</f>
        <v>#DIV/0!</v>
      </c>
      <c r="AS1540" s="1098" t="e">
        <f>IF($D$1212="",0,$D1540*Table3[[#This Row],[CF]]*chronic_consumption!$AN340/1000/$C$3)</f>
        <v>#DIV/0!</v>
      </c>
      <c r="AT1540" s="1098" t="e">
        <f>IF($D$1212="",0,$D1540*Table3[[#This Row],[CF]]*chronic_consumption!$AO340/1000/$C$3)</f>
        <v>#DIV/0!</v>
      </c>
      <c r="AU1540" s="1099" t="e">
        <f t="shared" si="888"/>
        <v>#DIV/0!</v>
      </c>
      <c r="AV1540" s="1099" t="e">
        <f t="shared" si="888"/>
        <v>#DIV/0!</v>
      </c>
      <c r="AW1540" s="1099" t="e">
        <f t="shared" si="888"/>
        <v>#DIV/0!</v>
      </c>
      <c r="AX1540" s="1099" t="e">
        <f t="shared" si="888"/>
        <v>#DIV/0!</v>
      </c>
      <c r="AY1540" s="1099" t="e">
        <f t="shared" si="888"/>
        <v>#DIV/0!</v>
      </c>
      <c r="AZ1540" s="1091" t="s">
        <v>1012</v>
      </c>
      <c r="BA1540" s="1097" t="e">
        <f>IF(Table3[[#This Row],[max]]&lt;&gt;0,RANK(Table3[[#This Row],[max]],Table3[max],0),"")</f>
        <v>#DIV/0!</v>
      </c>
      <c r="BB1540" s="1096" t="e">
        <f t="shared" si="889"/>
        <v>#DIV/0!</v>
      </c>
      <c r="BC1540" s="1096" t="e">
        <f t="shared" ca="1" si="890"/>
        <v>#DIV/0!</v>
      </c>
      <c r="BD1540" s="1096" t="e">
        <f>IF(Table3[[#This Row],[max]]&gt;0,Table3[[#This Row],[Crop groups and examples of individual products within the groups to which the MRLs apply]],"")</f>
        <v>#DIV/0!</v>
      </c>
    </row>
    <row r="1541" spans="2:56" x14ac:dyDescent="0.2">
      <c r="B1541" s="23">
        <f t="shared" si="887"/>
        <v>1013020</v>
      </c>
      <c r="C1541" s="23" t="str">
        <f t="shared" si="887"/>
        <v>Sheep: Fat tissue</v>
      </c>
      <c r="D1541" s="1084">
        <f>input_values!E341</f>
        <v>0</v>
      </c>
      <c r="E1541" s="1084">
        <f>input_values!F341</f>
        <v>0</v>
      </c>
      <c r="F1541" s="1085">
        <f>input_values!W341</f>
        <v>1</v>
      </c>
      <c r="G1541" s="1085" t="str">
        <f>IF(Table3[[#This Row],[CF]]&gt;0,CONCATENATE(IF(Table3[[#This Row],[LOQ]]="*","LOQ","MRL"),IF(input_values!G341&gt;0,"×CFrisk","")),"")</f>
        <v>MRL</v>
      </c>
      <c r="H1541" s="1087">
        <f>input_values!L341</f>
        <v>0</v>
      </c>
      <c r="I1541" s="1088">
        <f>input_values!D341</f>
        <v>0</v>
      </c>
      <c r="J1541" s="1098" t="e">
        <f>IF($D$1212="",0,$D1541*Table3[[#This Row],[CF]]*chronic_consumption!$E341/1000/$C$3)</f>
        <v>#DIV/0!</v>
      </c>
      <c r="K1541" s="1098" t="e">
        <f>IF($D$1212="",0,$D1541*Table3[[#This Row],[CF]]*chronic_consumption!$F341/1000/$C$3)</f>
        <v>#DIV/0!</v>
      </c>
      <c r="L1541" s="1098" t="e">
        <f>IF($D$1212="",0,$D1541*Table3[[#This Row],[CF]]*chronic_consumption!$G341/1000/$C$3)</f>
        <v>#DIV/0!</v>
      </c>
      <c r="M1541" s="1098" t="e">
        <f>IF($D$1212="",0,$D1541*Table3[[#This Row],[CF]]*chronic_consumption!$H341/1000/$C$3)</f>
        <v>#DIV/0!</v>
      </c>
      <c r="N1541" s="1098" t="e">
        <f>IF($D$1212="",0,$D1541*Table3[[#This Row],[CF]]*chronic_consumption!$I341/1000/$C$3)</f>
        <v>#DIV/0!</v>
      </c>
      <c r="O1541" s="1098" t="e">
        <f>IF($D$1212="",0,$D1541*Table3[[#This Row],[CF]]*chronic_consumption!$J341/1000/$C$3)</f>
        <v>#DIV/0!</v>
      </c>
      <c r="P1541" s="1098" t="e">
        <f>IF($D$1212="",0,$D1541*Table3[[#This Row],[CF]]*chronic_consumption!$K341/1000/$C$3)</f>
        <v>#DIV/0!</v>
      </c>
      <c r="Q1541" s="1098" t="e">
        <f>IF($D$1212="",0,$D1541*Table3[[#This Row],[CF]]*chronic_consumption!$L341/1000/$C$3)</f>
        <v>#DIV/0!</v>
      </c>
      <c r="R1541" s="1098" t="e">
        <f>IF($D$1212="",0,$D1541*Table3[[#This Row],[CF]]*chronic_consumption!$M341/1000/$C$3)</f>
        <v>#DIV/0!</v>
      </c>
      <c r="S1541" s="1098" t="e">
        <f>IF($D$1212="",0,$D1541*Table3[[#This Row],[CF]]*chronic_consumption!$N341/1000/$C$3)</f>
        <v>#DIV/0!</v>
      </c>
      <c r="T1541" s="1098" t="e">
        <f>IF($D$1212="",0,$D1541*Table3[[#This Row],[CF]]*chronic_consumption!$O341/1000/$C$3)</f>
        <v>#DIV/0!</v>
      </c>
      <c r="U1541" s="1098" t="e">
        <f>IF($D$1212="",0,$D1541*Table3[[#This Row],[CF]]*chronic_consumption!$P341/1000/$C$3)</f>
        <v>#DIV/0!</v>
      </c>
      <c r="V1541" s="1098" t="e">
        <f>IF($D$1212="",0,$D1541*Table3[[#This Row],[CF]]*chronic_consumption!$Q341/1000/$C$3)</f>
        <v>#DIV/0!</v>
      </c>
      <c r="W1541" s="1098" t="e">
        <f>IF($D$1212="",0,$D1541*Table3[[#This Row],[CF]]*chronic_consumption!$R341/1000/$C$3)</f>
        <v>#DIV/0!</v>
      </c>
      <c r="X1541" s="1098" t="e">
        <f>IF($D$1212="",0,$D1541*Table3[[#This Row],[CF]]*chronic_consumption!$S341/1000/$C$3)</f>
        <v>#DIV/0!</v>
      </c>
      <c r="Y1541" s="1098" t="e">
        <f>IF($D$1212="",0,$D1541*Table3[[#This Row],[CF]]*chronic_consumption!$T341/1000/$C$3)</f>
        <v>#DIV/0!</v>
      </c>
      <c r="Z1541" s="1098" t="e">
        <f>IF($D$1212="",0,$D1541*Table3[[#This Row],[CF]]*chronic_consumption!$U341/1000/$C$3)</f>
        <v>#DIV/0!</v>
      </c>
      <c r="AA1541" s="1098" t="e">
        <f>IF($D$1212="",0,$D1541*Table3[[#This Row],[CF]]*chronic_consumption!$V341/1000/$C$3)</f>
        <v>#DIV/0!</v>
      </c>
      <c r="AB1541" s="1098" t="e">
        <f>IF($D$1212="",0,$D1541*Table3[[#This Row],[CF]]*chronic_consumption!$W341/1000/$C$3)</f>
        <v>#DIV/0!</v>
      </c>
      <c r="AC1541" s="1098" t="e">
        <f>IF($D$1212="",0,$D1541*Table3[[#This Row],[CF]]*chronic_consumption!$X341/1000/$C$3)</f>
        <v>#DIV/0!</v>
      </c>
      <c r="AD1541" s="1098" t="e">
        <f>IF($D$1212="",0,$D1541*Table3[[#This Row],[CF]]*chronic_consumption!$Y341/1000/$C$3)</f>
        <v>#DIV/0!</v>
      </c>
      <c r="AE1541" s="1098" t="e">
        <f>IF($D$1212="",0,$D1541*Table3[[#This Row],[CF]]*chronic_consumption!$Z341/1000/$C$3)</f>
        <v>#DIV/0!</v>
      </c>
      <c r="AF1541" s="1098" t="e">
        <f>IF($D$1212="",0,$D1541*Table3[[#This Row],[CF]]*chronic_consumption!$AA341/1000/$C$3)</f>
        <v>#DIV/0!</v>
      </c>
      <c r="AG1541" s="1098" t="e">
        <f>IF($D$1212="",0,$D1541*Table3[[#This Row],[CF]]*chronic_consumption!$AB341/1000/$C$3)</f>
        <v>#DIV/0!</v>
      </c>
      <c r="AH1541" s="1098" t="e">
        <f>IF($D$1212="",0,$D1541*Table3[[#This Row],[CF]]*chronic_consumption!$AC341/1000/$C$3)</f>
        <v>#DIV/0!</v>
      </c>
      <c r="AI1541" s="1098" t="e">
        <f>IF($D$1212="",0,$D1541*Table3[[#This Row],[CF]]*chronic_consumption!$AD341/1000/$C$3)</f>
        <v>#DIV/0!</v>
      </c>
      <c r="AJ1541" s="1098" t="e">
        <f>IF($D$1212="",0,$D1541*Table3[[#This Row],[CF]]*chronic_consumption!$AE341/1000/$C$3)</f>
        <v>#DIV/0!</v>
      </c>
      <c r="AK1541" s="1098" t="e">
        <f>IF($D$1212="",0,$D1541*Table3[[#This Row],[CF]]*chronic_consumption!$AF341/1000/$C$3)</f>
        <v>#DIV/0!</v>
      </c>
      <c r="AL1541" s="1098" t="e">
        <f>IF($D$1212="",0,$D1541*Table3[[#This Row],[CF]]*chronic_consumption!$AG341/1000/$C$3)</f>
        <v>#DIV/0!</v>
      </c>
      <c r="AM1541" s="1098" t="e">
        <f>IF($D$1212="",0,$D1541*Table3[[#This Row],[CF]]*chronic_consumption!$AH341/1000/$C$3)</f>
        <v>#DIV/0!</v>
      </c>
      <c r="AN1541" s="1098" t="e">
        <f>IF($D$1212="",0,$D1541*Table3[[#This Row],[CF]]*chronic_consumption!$AI341/1000/$C$3)</f>
        <v>#DIV/0!</v>
      </c>
      <c r="AO1541" s="1098" t="e">
        <f>IF($D$1212="",0,$D1541*Table3[[#This Row],[CF]]*chronic_consumption!$AJ341/1000/$C$3)</f>
        <v>#DIV/0!</v>
      </c>
      <c r="AP1541" s="1098" t="e">
        <f>IF($D$1212="",0,$D1541*Table3[[#This Row],[CF]]*chronic_consumption!$AK341/1000/$C$3)</f>
        <v>#DIV/0!</v>
      </c>
      <c r="AQ1541" s="1098" t="e">
        <f>IF($D$1212="",0,$D1541*Table3[[#This Row],[CF]]*chronic_consumption!$AL341/1000/$C$3)</f>
        <v>#DIV/0!</v>
      </c>
      <c r="AR1541" s="1098" t="e">
        <f>IF($D$1212="",0,$D1541*Table3[[#This Row],[CF]]*chronic_consumption!$AM341/1000/$C$3)</f>
        <v>#DIV/0!</v>
      </c>
      <c r="AS1541" s="1098" t="e">
        <f>IF($D$1212="",0,$D1541*Table3[[#This Row],[CF]]*chronic_consumption!$AN341/1000/$C$3)</f>
        <v>#DIV/0!</v>
      </c>
      <c r="AT1541" s="1098" t="e">
        <f>IF($D$1212="",0,$D1541*Table3[[#This Row],[CF]]*chronic_consumption!$AO341/1000/$C$3)</f>
        <v>#DIV/0!</v>
      </c>
      <c r="AU1541" s="1099" t="e">
        <f t="shared" si="888"/>
        <v>#DIV/0!</v>
      </c>
      <c r="AV1541" s="1099" t="e">
        <f t="shared" si="888"/>
        <v>#DIV/0!</v>
      </c>
      <c r="AW1541" s="1099" t="e">
        <f t="shared" si="888"/>
        <v>#DIV/0!</v>
      </c>
      <c r="AX1541" s="1099" t="e">
        <f t="shared" si="888"/>
        <v>#DIV/0!</v>
      </c>
      <c r="AY1541" s="1099" t="e">
        <f t="shared" si="888"/>
        <v>#DIV/0!</v>
      </c>
      <c r="AZ1541" s="1091" t="s">
        <v>1012</v>
      </c>
      <c r="BA1541" s="1097" t="e">
        <f>IF(Table3[[#This Row],[max]]&lt;&gt;0,RANK(Table3[[#This Row],[max]],Table3[max],0),"")</f>
        <v>#DIV/0!</v>
      </c>
      <c r="BB1541" s="1096" t="e">
        <f t="shared" si="889"/>
        <v>#DIV/0!</v>
      </c>
      <c r="BC1541" s="1096" t="e">
        <f t="shared" ca="1" si="890"/>
        <v>#DIV/0!</v>
      </c>
      <c r="BD1541" s="1096" t="e">
        <f>IF(Table3[[#This Row],[max]]&gt;0,Table3[[#This Row],[Crop groups and examples of individual products within the groups to which the MRLs apply]],"")</f>
        <v>#DIV/0!</v>
      </c>
    </row>
    <row r="1542" spans="2:56" x14ac:dyDescent="0.2">
      <c r="B1542" s="23">
        <f t="shared" si="887"/>
        <v>1013030</v>
      </c>
      <c r="C1542" s="23" t="str">
        <f t="shared" si="887"/>
        <v>Sheep: Liver</v>
      </c>
      <c r="D1542" s="1084">
        <f>input_values!E342</f>
        <v>0</v>
      </c>
      <c r="E1542" s="1084">
        <f>input_values!F342</f>
        <v>0</v>
      </c>
      <c r="F1542" s="1085">
        <f>input_values!W342</f>
        <v>1</v>
      </c>
      <c r="G1542" s="1085" t="str">
        <f>IF(Table3[[#This Row],[CF]]&gt;0,CONCATENATE(IF(Table3[[#This Row],[LOQ]]="*","LOQ","MRL"),IF(input_values!G342&gt;0,"×CFrisk","")),"")</f>
        <v>MRL</v>
      </c>
      <c r="H1542" s="1087">
        <f>input_values!L342</f>
        <v>0</v>
      </c>
      <c r="I1542" s="1088">
        <f>input_values!D342</f>
        <v>0</v>
      </c>
      <c r="J1542" s="1098" t="e">
        <f>IF($D$1212="",0,$D1542*Table3[[#This Row],[CF]]*chronic_consumption!$E342/1000/$C$3)</f>
        <v>#DIV/0!</v>
      </c>
      <c r="K1542" s="1098" t="e">
        <f>IF($D$1212="",0,$D1542*Table3[[#This Row],[CF]]*chronic_consumption!$F342/1000/$C$3)</f>
        <v>#DIV/0!</v>
      </c>
      <c r="L1542" s="1098" t="e">
        <f>IF($D$1212="",0,$D1542*Table3[[#This Row],[CF]]*chronic_consumption!$G342/1000/$C$3)</f>
        <v>#DIV/0!</v>
      </c>
      <c r="M1542" s="1098" t="e">
        <f>IF($D$1212="",0,$D1542*Table3[[#This Row],[CF]]*chronic_consumption!$H342/1000/$C$3)</f>
        <v>#DIV/0!</v>
      </c>
      <c r="N1542" s="1098" t="e">
        <f>IF($D$1212="",0,$D1542*Table3[[#This Row],[CF]]*chronic_consumption!$I342/1000/$C$3)</f>
        <v>#DIV/0!</v>
      </c>
      <c r="O1542" s="1098" t="e">
        <f>IF($D$1212="",0,$D1542*Table3[[#This Row],[CF]]*chronic_consumption!$J342/1000/$C$3)</f>
        <v>#DIV/0!</v>
      </c>
      <c r="P1542" s="1098" t="e">
        <f>IF($D$1212="",0,$D1542*Table3[[#This Row],[CF]]*chronic_consumption!$K342/1000/$C$3)</f>
        <v>#DIV/0!</v>
      </c>
      <c r="Q1542" s="1098" t="e">
        <f>IF($D$1212="",0,$D1542*Table3[[#This Row],[CF]]*chronic_consumption!$L342/1000/$C$3)</f>
        <v>#DIV/0!</v>
      </c>
      <c r="R1542" s="1098" t="e">
        <f>IF($D$1212="",0,$D1542*Table3[[#This Row],[CF]]*chronic_consumption!$M342/1000/$C$3)</f>
        <v>#DIV/0!</v>
      </c>
      <c r="S1542" s="1098" t="e">
        <f>IF($D$1212="",0,$D1542*Table3[[#This Row],[CF]]*chronic_consumption!$N342/1000/$C$3)</f>
        <v>#DIV/0!</v>
      </c>
      <c r="T1542" s="1098" t="e">
        <f>IF($D$1212="",0,$D1542*Table3[[#This Row],[CF]]*chronic_consumption!$O342/1000/$C$3)</f>
        <v>#DIV/0!</v>
      </c>
      <c r="U1542" s="1098" t="e">
        <f>IF($D$1212="",0,$D1542*Table3[[#This Row],[CF]]*chronic_consumption!$P342/1000/$C$3)</f>
        <v>#DIV/0!</v>
      </c>
      <c r="V1542" s="1098" t="e">
        <f>IF($D$1212="",0,$D1542*Table3[[#This Row],[CF]]*chronic_consumption!$Q342/1000/$C$3)</f>
        <v>#DIV/0!</v>
      </c>
      <c r="W1542" s="1098" t="e">
        <f>IF($D$1212="",0,$D1542*Table3[[#This Row],[CF]]*chronic_consumption!$R342/1000/$C$3)</f>
        <v>#DIV/0!</v>
      </c>
      <c r="X1542" s="1098" t="e">
        <f>IF($D$1212="",0,$D1542*Table3[[#This Row],[CF]]*chronic_consumption!$S342/1000/$C$3)</f>
        <v>#DIV/0!</v>
      </c>
      <c r="Y1542" s="1098" t="e">
        <f>IF($D$1212="",0,$D1542*Table3[[#This Row],[CF]]*chronic_consumption!$T342/1000/$C$3)</f>
        <v>#DIV/0!</v>
      </c>
      <c r="Z1542" s="1098" t="e">
        <f>IF($D$1212="",0,$D1542*Table3[[#This Row],[CF]]*chronic_consumption!$U342/1000/$C$3)</f>
        <v>#DIV/0!</v>
      </c>
      <c r="AA1542" s="1098" t="e">
        <f>IF($D$1212="",0,$D1542*Table3[[#This Row],[CF]]*chronic_consumption!$V342/1000/$C$3)</f>
        <v>#DIV/0!</v>
      </c>
      <c r="AB1542" s="1098" t="e">
        <f>IF($D$1212="",0,$D1542*Table3[[#This Row],[CF]]*chronic_consumption!$W342/1000/$C$3)</f>
        <v>#DIV/0!</v>
      </c>
      <c r="AC1542" s="1098" t="e">
        <f>IF($D$1212="",0,$D1542*Table3[[#This Row],[CF]]*chronic_consumption!$X342/1000/$C$3)</f>
        <v>#DIV/0!</v>
      </c>
      <c r="AD1542" s="1098" t="e">
        <f>IF($D$1212="",0,$D1542*Table3[[#This Row],[CF]]*chronic_consumption!$Y342/1000/$C$3)</f>
        <v>#DIV/0!</v>
      </c>
      <c r="AE1542" s="1098" t="e">
        <f>IF($D$1212="",0,$D1542*Table3[[#This Row],[CF]]*chronic_consumption!$Z342/1000/$C$3)</f>
        <v>#DIV/0!</v>
      </c>
      <c r="AF1542" s="1098" t="e">
        <f>IF($D$1212="",0,$D1542*Table3[[#This Row],[CF]]*chronic_consumption!$AA342/1000/$C$3)</f>
        <v>#DIV/0!</v>
      </c>
      <c r="AG1542" s="1098" t="e">
        <f>IF($D$1212="",0,$D1542*Table3[[#This Row],[CF]]*chronic_consumption!$AB342/1000/$C$3)</f>
        <v>#DIV/0!</v>
      </c>
      <c r="AH1542" s="1098" t="e">
        <f>IF($D$1212="",0,$D1542*Table3[[#This Row],[CF]]*chronic_consumption!$AC342/1000/$C$3)</f>
        <v>#DIV/0!</v>
      </c>
      <c r="AI1542" s="1098" t="e">
        <f>IF($D$1212="",0,$D1542*Table3[[#This Row],[CF]]*chronic_consumption!$AD342/1000/$C$3)</f>
        <v>#DIV/0!</v>
      </c>
      <c r="AJ1542" s="1098" t="e">
        <f>IF($D$1212="",0,$D1542*Table3[[#This Row],[CF]]*chronic_consumption!$AE342/1000/$C$3)</f>
        <v>#DIV/0!</v>
      </c>
      <c r="AK1542" s="1098" t="e">
        <f>IF($D$1212="",0,$D1542*Table3[[#This Row],[CF]]*chronic_consumption!$AF342/1000/$C$3)</f>
        <v>#DIV/0!</v>
      </c>
      <c r="AL1542" s="1098" t="e">
        <f>IF($D$1212="",0,$D1542*Table3[[#This Row],[CF]]*chronic_consumption!$AG342/1000/$C$3)</f>
        <v>#DIV/0!</v>
      </c>
      <c r="AM1542" s="1098" t="e">
        <f>IF($D$1212="",0,$D1542*Table3[[#This Row],[CF]]*chronic_consumption!$AH342/1000/$C$3)</f>
        <v>#DIV/0!</v>
      </c>
      <c r="AN1542" s="1098" t="e">
        <f>IF($D$1212="",0,$D1542*Table3[[#This Row],[CF]]*chronic_consumption!$AI342/1000/$C$3)</f>
        <v>#DIV/0!</v>
      </c>
      <c r="AO1542" s="1098" t="e">
        <f>IF($D$1212="",0,$D1542*Table3[[#This Row],[CF]]*chronic_consumption!$AJ342/1000/$C$3)</f>
        <v>#DIV/0!</v>
      </c>
      <c r="AP1542" s="1098" t="e">
        <f>IF($D$1212="",0,$D1542*Table3[[#This Row],[CF]]*chronic_consumption!$AK342/1000/$C$3)</f>
        <v>#DIV/0!</v>
      </c>
      <c r="AQ1542" s="1098" t="e">
        <f>IF($D$1212="",0,$D1542*Table3[[#This Row],[CF]]*chronic_consumption!$AL342/1000/$C$3)</f>
        <v>#DIV/0!</v>
      </c>
      <c r="AR1542" s="1098" t="e">
        <f>IF($D$1212="",0,$D1542*Table3[[#This Row],[CF]]*chronic_consumption!$AM342/1000/$C$3)</f>
        <v>#DIV/0!</v>
      </c>
      <c r="AS1542" s="1098" t="e">
        <f>IF($D$1212="",0,$D1542*Table3[[#This Row],[CF]]*chronic_consumption!$AN342/1000/$C$3)</f>
        <v>#DIV/0!</v>
      </c>
      <c r="AT1542" s="1098" t="e">
        <f>IF($D$1212="",0,$D1542*Table3[[#This Row],[CF]]*chronic_consumption!$AO342/1000/$C$3)</f>
        <v>#DIV/0!</v>
      </c>
      <c r="AU1542" s="1099" t="e">
        <f t="shared" ref="AU1542:AY1551" si="891">IF(AU742="",0,IF(OR(1=RANK(AU1142,AU$412:AU$790,0),(2=RANK(AU1142,AU$412:AU$790,0))),AU1142,AU742))</f>
        <v>#DIV/0!</v>
      </c>
      <c r="AV1542" s="1099" t="e">
        <f t="shared" si="891"/>
        <v>#DIV/0!</v>
      </c>
      <c r="AW1542" s="1099" t="e">
        <f t="shared" si="891"/>
        <v>#DIV/0!</v>
      </c>
      <c r="AX1542" s="1099" t="e">
        <f t="shared" si="891"/>
        <v>#DIV/0!</v>
      </c>
      <c r="AY1542" s="1099" t="e">
        <f t="shared" si="891"/>
        <v>#DIV/0!</v>
      </c>
      <c r="AZ1542" s="1091" t="s">
        <v>1012</v>
      </c>
      <c r="BA1542" s="1097" t="e">
        <f>IF(Table3[[#This Row],[max]]&lt;&gt;0,RANK(Table3[[#This Row],[max]],Table3[max],0),"")</f>
        <v>#DIV/0!</v>
      </c>
      <c r="BB1542" s="1096" t="e">
        <f t="shared" si="889"/>
        <v>#DIV/0!</v>
      </c>
      <c r="BC1542" s="1096" t="e">
        <f t="shared" ca="1" si="890"/>
        <v>#DIV/0!</v>
      </c>
      <c r="BD1542" s="1096" t="e">
        <f>IF(Table3[[#This Row],[max]]&gt;0,Table3[[#This Row],[Crop groups and examples of individual products within the groups to which the MRLs apply]],"")</f>
        <v>#DIV/0!</v>
      </c>
    </row>
    <row r="1543" spans="2:56" x14ac:dyDescent="0.2">
      <c r="B1543" s="23">
        <f t="shared" si="887"/>
        <v>1013040</v>
      </c>
      <c r="C1543" s="23" t="str">
        <f t="shared" si="887"/>
        <v>Sheep: Kidney</v>
      </c>
      <c r="D1543" s="1084">
        <f>input_values!E343</f>
        <v>0</v>
      </c>
      <c r="E1543" s="1084">
        <f>input_values!F343</f>
        <v>0</v>
      </c>
      <c r="F1543" s="1085">
        <f>input_values!W343</f>
        <v>1</v>
      </c>
      <c r="G1543" s="1085" t="str">
        <f>IF(Table3[[#This Row],[CF]]&gt;0,CONCATENATE(IF(Table3[[#This Row],[LOQ]]="*","LOQ","MRL"),IF(input_values!G343&gt;0,"×CFrisk","")),"")</f>
        <v>MRL</v>
      </c>
      <c r="H1543" s="1087">
        <f>input_values!L343</f>
        <v>0</v>
      </c>
      <c r="I1543" s="1088">
        <f>input_values!D343</f>
        <v>0</v>
      </c>
      <c r="J1543" s="1098" t="e">
        <f>IF($D$1212="",0,$D1543*Table3[[#This Row],[CF]]*chronic_consumption!$E343/1000/$C$3)</f>
        <v>#DIV/0!</v>
      </c>
      <c r="K1543" s="1098" t="e">
        <f>IF($D$1212="",0,$D1543*Table3[[#This Row],[CF]]*chronic_consumption!$F343/1000/$C$3)</f>
        <v>#DIV/0!</v>
      </c>
      <c r="L1543" s="1098" t="e">
        <f>IF($D$1212="",0,$D1543*Table3[[#This Row],[CF]]*chronic_consumption!$G343/1000/$C$3)</f>
        <v>#DIV/0!</v>
      </c>
      <c r="M1543" s="1098" t="e">
        <f>IF($D$1212="",0,$D1543*Table3[[#This Row],[CF]]*chronic_consumption!$H343/1000/$C$3)</f>
        <v>#DIV/0!</v>
      </c>
      <c r="N1543" s="1098" t="e">
        <f>IF($D$1212="",0,$D1543*Table3[[#This Row],[CF]]*chronic_consumption!$I343/1000/$C$3)</f>
        <v>#DIV/0!</v>
      </c>
      <c r="O1543" s="1098" t="e">
        <f>IF($D$1212="",0,$D1543*Table3[[#This Row],[CF]]*chronic_consumption!$J343/1000/$C$3)</f>
        <v>#DIV/0!</v>
      </c>
      <c r="P1543" s="1098" t="e">
        <f>IF($D$1212="",0,$D1543*Table3[[#This Row],[CF]]*chronic_consumption!$K343/1000/$C$3)</f>
        <v>#DIV/0!</v>
      </c>
      <c r="Q1543" s="1098" t="e">
        <f>IF($D$1212="",0,$D1543*Table3[[#This Row],[CF]]*chronic_consumption!$L343/1000/$C$3)</f>
        <v>#DIV/0!</v>
      </c>
      <c r="R1543" s="1098" t="e">
        <f>IF($D$1212="",0,$D1543*Table3[[#This Row],[CF]]*chronic_consumption!$M343/1000/$C$3)</f>
        <v>#DIV/0!</v>
      </c>
      <c r="S1543" s="1098" t="e">
        <f>IF($D$1212="",0,$D1543*Table3[[#This Row],[CF]]*chronic_consumption!$N343/1000/$C$3)</f>
        <v>#DIV/0!</v>
      </c>
      <c r="T1543" s="1098" t="e">
        <f>IF($D$1212="",0,$D1543*Table3[[#This Row],[CF]]*chronic_consumption!$O343/1000/$C$3)</f>
        <v>#DIV/0!</v>
      </c>
      <c r="U1543" s="1098" t="e">
        <f>IF($D$1212="",0,$D1543*Table3[[#This Row],[CF]]*chronic_consumption!$P343/1000/$C$3)</f>
        <v>#DIV/0!</v>
      </c>
      <c r="V1543" s="1098" t="e">
        <f>IF($D$1212="",0,$D1543*Table3[[#This Row],[CF]]*chronic_consumption!$Q343/1000/$C$3)</f>
        <v>#DIV/0!</v>
      </c>
      <c r="W1543" s="1098" t="e">
        <f>IF($D$1212="",0,$D1543*Table3[[#This Row],[CF]]*chronic_consumption!$R343/1000/$C$3)</f>
        <v>#DIV/0!</v>
      </c>
      <c r="X1543" s="1098" t="e">
        <f>IF($D$1212="",0,$D1543*Table3[[#This Row],[CF]]*chronic_consumption!$S343/1000/$C$3)</f>
        <v>#DIV/0!</v>
      </c>
      <c r="Y1543" s="1098" t="e">
        <f>IF($D$1212="",0,$D1543*Table3[[#This Row],[CF]]*chronic_consumption!$T343/1000/$C$3)</f>
        <v>#DIV/0!</v>
      </c>
      <c r="Z1543" s="1098" t="e">
        <f>IF($D$1212="",0,$D1543*Table3[[#This Row],[CF]]*chronic_consumption!$U343/1000/$C$3)</f>
        <v>#DIV/0!</v>
      </c>
      <c r="AA1543" s="1098" t="e">
        <f>IF($D$1212="",0,$D1543*Table3[[#This Row],[CF]]*chronic_consumption!$V343/1000/$C$3)</f>
        <v>#DIV/0!</v>
      </c>
      <c r="AB1543" s="1098" t="e">
        <f>IF($D$1212="",0,$D1543*Table3[[#This Row],[CF]]*chronic_consumption!$W343/1000/$C$3)</f>
        <v>#DIV/0!</v>
      </c>
      <c r="AC1543" s="1098" t="e">
        <f>IF($D$1212="",0,$D1543*Table3[[#This Row],[CF]]*chronic_consumption!$X343/1000/$C$3)</f>
        <v>#DIV/0!</v>
      </c>
      <c r="AD1543" s="1098" t="e">
        <f>IF($D$1212="",0,$D1543*Table3[[#This Row],[CF]]*chronic_consumption!$Y343/1000/$C$3)</f>
        <v>#DIV/0!</v>
      </c>
      <c r="AE1543" s="1098" t="e">
        <f>IF($D$1212="",0,$D1543*Table3[[#This Row],[CF]]*chronic_consumption!$Z343/1000/$C$3)</f>
        <v>#DIV/0!</v>
      </c>
      <c r="AF1543" s="1098" t="e">
        <f>IF($D$1212="",0,$D1543*Table3[[#This Row],[CF]]*chronic_consumption!$AA343/1000/$C$3)</f>
        <v>#DIV/0!</v>
      </c>
      <c r="AG1543" s="1098" t="e">
        <f>IF($D$1212="",0,$D1543*Table3[[#This Row],[CF]]*chronic_consumption!$AB343/1000/$C$3)</f>
        <v>#DIV/0!</v>
      </c>
      <c r="AH1543" s="1098" t="e">
        <f>IF($D$1212="",0,$D1543*Table3[[#This Row],[CF]]*chronic_consumption!$AC343/1000/$C$3)</f>
        <v>#DIV/0!</v>
      </c>
      <c r="AI1543" s="1098" t="e">
        <f>IF($D$1212="",0,$D1543*Table3[[#This Row],[CF]]*chronic_consumption!$AD343/1000/$C$3)</f>
        <v>#DIV/0!</v>
      </c>
      <c r="AJ1543" s="1098" t="e">
        <f>IF($D$1212="",0,$D1543*Table3[[#This Row],[CF]]*chronic_consumption!$AE343/1000/$C$3)</f>
        <v>#DIV/0!</v>
      </c>
      <c r="AK1543" s="1098" t="e">
        <f>IF($D$1212="",0,$D1543*Table3[[#This Row],[CF]]*chronic_consumption!$AF343/1000/$C$3)</f>
        <v>#DIV/0!</v>
      </c>
      <c r="AL1543" s="1098" t="e">
        <f>IF($D$1212="",0,$D1543*Table3[[#This Row],[CF]]*chronic_consumption!$AG343/1000/$C$3)</f>
        <v>#DIV/0!</v>
      </c>
      <c r="AM1543" s="1098" t="e">
        <f>IF($D$1212="",0,$D1543*Table3[[#This Row],[CF]]*chronic_consumption!$AH343/1000/$C$3)</f>
        <v>#DIV/0!</v>
      </c>
      <c r="AN1543" s="1098" t="e">
        <f>IF($D$1212="",0,$D1543*Table3[[#This Row],[CF]]*chronic_consumption!$AI343/1000/$C$3)</f>
        <v>#DIV/0!</v>
      </c>
      <c r="AO1543" s="1098" t="e">
        <f>IF($D$1212="",0,$D1543*Table3[[#This Row],[CF]]*chronic_consumption!$AJ343/1000/$C$3)</f>
        <v>#DIV/0!</v>
      </c>
      <c r="AP1543" s="1098" t="e">
        <f>IF($D$1212="",0,$D1543*Table3[[#This Row],[CF]]*chronic_consumption!$AK343/1000/$C$3)</f>
        <v>#DIV/0!</v>
      </c>
      <c r="AQ1543" s="1098" t="e">
        <f>IF($D$1212="",0,$D1543*Table3[[#This Row],[CF]]*chronic_consumption!$AL343/1000/$C$3)</f>
        <v>#DIV/0!</v>
      </c>
      <c r="AR1543" s="1098" t="e">
        <f>IF($D$1212="",0,$D1543*Table3[[#This Row],[CF]]*chronic_consumption!$AM343/1000/$C$3)</f>
        <v>#DIV/0!</v>
      </c>
      <c r="AS1543" s="1098" t="e">
        <f>IF($D$1212="",0,$D1543*Table3[[#This Row],[CF]]*chronic_consumption!$AN343/1000/$C$3)</f>
        <v>#DIV/0!</v>
      </c>
      <c r="AT1543" s="1098" t="e">
        <f>IF($D$1212="",0,$D1543*Table3[[#This Row],[CF]]*chronic_consumption!$AO343/1000/$C$3)</f>
        <v>#DIV/0!</v>
      </c>
      <c r="AU1543" s="1099" t="e">
        <f t="shared" si="891"/>
        <v>#DIV/0!</v>
      </c>
      <c r="AV1543" s="1099" t="e">
        <f t="shared" si="891"/>
        <v>#DIV/0!</v>
      </c>
      <c r="AW1543" s="1099" t="e">
        <f t="shared" si="891"/>
        <v>#DIV/0!</v>
      </c>
      <c r="AX1543" s="1099" t="e">
        <f t="shared" si="891"/>
        <v>#DIV/0!</v>
      </c>
      <c r="AY1543" s="1099" t="e">
        <f t="shared" si="891"/>
        <v>#DIV/0!</v>
      </c>
      <c r="AZ1543" s="1091" t="s">
        <v>1012</v>
      </c>
      <c r="BA1543" s="1097" t="e">
        <f>IF(Table3[[#This Row],[max]]&lt;&gt;0,RANK(Table3[[#This Row],[max]],Table3[max],0),"")</f>
        <v>#DIV/0!</v>
      </c>
      <c r="BB1543" s="1096" t="e">
        <f t="shared" si="889"/>
        <v>#DIV/0!</v>
      </c>
      <c r="BC1543" s="1096" t="e">
        <f t="shared" ca="1" si="890"/>
        <v>#DIV/0!</v>
      </c>
      <c r="BD1543" s="1096" t="e">
        <f>IF(Table3[[#This Row],[max]]&gt;0,Table3[[#This Row],[Crop groups and examples of individual products within the groups to which the MRLs apply]],"")</f>
        <v>#DIV/0!</v>
      </c>
    </row>
    <row r="1544" spans="2:56" x14ac:dyDescent="0.2">
      <c r="B1544" s="23">
        <f t="shared" si="887"/>
        <v>1013050</v>
      </c>
      <c r="C1544" s="23" t="str">
        <f t="shared" si="887"/>
        <v>Sheep: Edible offals (other than liver and kidney)</v>
      </c>
      <c r="D1544" s="1084">
        <f>input_values!E344</f>
        <v>0</v>
      </c>
      <c r="E1544" s="1084">
        <f>input_values!F344</f>
        <v>0</v>
      </c>
      <c r="F1544" s="1085">
        <f>input_values!W344</f>
        <v>1</v>
      </c>
      <c r="G1544" s="1085" t="str">
        <f>IF(Table3[[#This Row],[CF]]&gt;0,CONCATENATE(IF(Table3[[#This Row],[LOQ]]="*","LOQ","MRL"),IF(input_values!G344&gt;0,"×CFrisk","")),"")</f>
        <v>MRL</v>
      </c>
      <c r="H1544" s="1087">
        <f>input_values!L344</f>
        <v>0</v>
      </c>
      <c r="I1544" s="1088">
        <f>input_values!D344</f>
        <v>0</v>
      </c>
      <c r="J1544" s="1098" t="e">
        <f>IF($D$1212="",0,$D1544*Table3[[#This Row],[CF]]*chronic_consumption!$E344/1000/$C$3)</f>
        <v>#DIV/0!</v>
      </c>
      <c r="K1544" s="1098" t="e">
        <f>IF($D$1212="",0,$D1544*Table3[[#This Row],[CF]]*chronic_consumption!$F344/1000/$C$3)</f>
        <v>#DIV/0!</v>
      </c>
      <c r="L1544" s="1098" t="e">
        <f>IF($D$1212="",0,$D1544*Table3[[#This Row],[CF]]*chronic_consumption!$G344/1000/$C$3)</f>
        <v>#DIV/0!</v>
      </c>
      <c r="M1544" s="1098" t="e">
        <f>IF($D$1212="",0,$D1544*Table3[[#This Row],[CF]]*chronic_consumption!$H344/1000/$C$3)</f>
        <v>#DIV/0!</v>
      </c>
      <c r="N1544" s="1098" t="e">
        <f>IF($D$1212="",0,$D1544*Table3[[#This Row],[CF]]*chronic_consumption!$I344/1000/$C$3)</f>
        <v>#DIV/0!</v>
      </c>
      <c r="O1544" s="1098" t="e">
        <f>IF($D$1212="",0,$D1544*Table3[[#This Row],[CF]]*chronic_consumption!$J344/1000/$C$3)</f>
        <v>#DIV/0!</v>
      </c>
      <c r="P1544" s="1098" t="e">
        <f>IF($D$1212="",0,$D1544*Table3[[#This Row],[CF]]*chronic_consumption!$K344/1000/$C$3)</f>
        <v>#DIV/0!</v>
      </c>
      <c r="Q1544" s="1098" t="e">
        <f>IF($D$1212="",0,$D1544*Table3[[#This Row],[CF]]*chronic_consumption!$L344/1000/$C$3)</f>
        <v>#DIV/0!</v>
      </c>
      <c r="R1544" s="1098" t="e">
        <f>IF($D$1212="",0,$D1544*Table3[[#This Row],[CF]]*chronic_consumption!$M344/1000/$C$3)</f>
        <v>#DIV/0!</v>
      </c>
      <c r="S1544" s="1098" t="e">
        <f>IF($D$1212="",0,$D1544*Table3[[#This Row],[CF]]*chronic_consumption!$N344/1000/$C$3)</f>
        <v>#DIV/0!</v>
      </c>
      <c r="T1544" s="1098" t="e">
        <f>IF($D$1212="",0,$D1544*Table3[[#This Row],[CF]]*chronic_consumption!$O344/1000/$C$3)</f>
        <v>#DIV/0!</v>
      </c>
      <c r="U1544" s="1098" t="e">
        <f>IF($D$1212="",0,$D1544*Table3[[#This Row],[CF]]*chronic_consumption!$P344/1000/$C$3)</f>
        <v>#DIV/0!</v>
      </c>
      <c r="V1544" s="1098" t="e">
        <f>IF($D$1212="",0,$D1544*Table3[[#This Row],[CF]]*chronic_consumption!$Q344/1000/$C$3)</f>
        <v>#DIV/0!</v>
      </c>
      <c r="W1544" s="1098" t="e">
        <f>IF($D$1212="",0,$D1544*Table3[[#This Row],[CF]]*chronic_consumption!$R344/1000/$C$3)</f>
        <v>#DIV/0!</v>
      </c>
      <c r="X1544" s="1098" t="e">
        <f>IF($D$1212="",0,$D1544*Table3[[#This Row],[CF]]*chronic_consumption!$S344/1000/$C$3)</f>
        <v>#DIV/0!</v>
      </c>
      <c r="Y1544" s="1098" t="e">
        <f>IF($D$1212="",0,$D1544*Table3[[#This Row],[CF]]*chronic_consumption!$T344/1000/$C$3)</f>
        <v>#DIV/0!</v>
      </c>
      <c r="Z1544" s="1098" t="e">
        <f>IF($D$1212="",0,$D1544*Table3[[#This Row],[CF]]*chronic_consumption!$U344/1000/$C$3)</f>
        <v>#DIV/0!</v>
      </c>
      <c r="AA1544" s="1098" t="e">
        <f>IF($D$1212="",0,$D1544*Table3[[#This Row],[CF]]*chronic_consumption!$V344/1000/$C$3)</f>
        <v>#DIV/0!</v>
      </c>
      <c r="AB1544" s="1098" t="e">
        <f>IF($D$1212="",0,$D1544*Table3[[#This Row],[CF]]*chronic_consumption!$W344/1000/$C$3)</f>
        <v>#DIV/0!</v>
      </c>
      <c r="AC1544" s="1098" t="e">
        <f>IF($D$1212="",0,$D1544*Table3[[#This Row],[CF]]*chronic_consumption!$X344/1000/$C$3)</f>
        <v>#DIV/0!</v>
      </c>
      <c r="AD1544" s="1098" t="e">
        <f>IF($D$1212="",0,$D1544*Table3[[#This Row],[CF]]*chronic_consumption!$Y344/1000/$C$3)</f>
        <v>#DIV/0!</v>
      </c>
      <c r="AE1544" s="1098" t="e">
        <f>IF($D$1212="",0,$D1544*Table3[[#This Row],[CF]]*chronic_consumption!$Z344/1000/$C$3)</f>
        <v>#DIV/0!</v>
      </c>
      <c r="AF1544" s="1098" t="e">
        <f>IF($D$1212="",0,$D1544*Table3[[#This Row],[CF]]*chronic_consumption!$AA344/1000/$C$3)</f>
        <v>#DIV/0!</v>
      </c>
      <c r="AG1544" s="1098" t="e">
        <f>IF($D$1212="",0,$D1544*Table3[[#This Row],[CF]]*chronic_consumption!$AB344/1000/$C$3)</f>
        <v>#DIV/0!</v>
      </c>
      <c r="AH1544" s="1098" t="e">
        <f>IF($D$1212="",0,$D1544*Table3[[#This Row],[CF]]*chronic_consumption!$AC344/1000/$C$3)</f>
        <v>#DIV/0!</v>
      </c>
      <c r="AI1544" s="1098" t="e">
        <f>IF($D$1212="",0,$D1544*Table3[[#This Row],[CF]]*chronic_consumption!$AD344/1000/$C$3)</f>
        <v>#DIV/0!</v>
      </c>
      <c r="AJ1544" s="1098" t="e">
        <f>IF($D$1212="",0,$D1544*Table3[[#This Row],[CF]]*chronic_consumption!$AE344/1000/$C$3)</f>
        <v>#DIV/0!</v>
      </c>
      <c r="AK1544" s="1098" t="e">
        <f>IF($D$1212="",0,$D1544*Table3[[#This Row],[CF]]*chronic_consumption!$AF344/1000/$C$3)</f>
        <v>#DIV/0!</v>
      </c>
      <c r="AL1544" s="1098" t="e">
        <f>IF($D$1212="",0,$D1544*Table3[[#This Row],[CF]]*chronic_consumption!$AG344/1000/$C$3)</f>
        <v>#DIV/0!</v>
      </c>
      <c r="AM1544" s="1098" t="e">
        <f>IF($D$1212="",0,$D1544*Table3[[#This Row],[CF]]*chronic_consumption!$AH344/1000/$C$3)</f>
        <v>#DIV/0!</v>
      </c>
      <c r="AN1544" s="1098" t="e">
        <f>IF($D$1212="",0,$D1544*Table3[[#This Row],[CF]]*chronic_consumption!$AI344/1000/$C$3)</f>
        <v>#DIV/0!</v>
      </c>
      <c r="AO1544" s="1098" t="e">
        <f>IF($D$1212="",0,$D1544*Table3[[#This Row],[CF]]*chronic_consumption!$AJ344/1000/$C$3)</f>
        <v>#DIV/0!</v>
      </c>
      <c r="AP1544" s="1098" t="e">
        <f>IF($D$1212="",0,$D1544*Table3[[#This Row],[CF]]*chronic_consumption!$AK344/1000/$C$3)</f>
        <v>#DIV/0!</v>
      </c>
      <c r="AQ1544" s="1098" t="e">
        <f>IF($D$1212="",0,$D1544*Table3[[#This Row],[CF]]*chronic_consumption!$AL344/1000/$C$3)</f>
        <v>#DIV/0!</v>
      </c>
      <c r="AR1544" s="1098" t="e">
        <f>IF($D$1212="",0,$D1544*Table3[[#This Row],[CF]]*chronic_consumption!$AM344/1000/$C$3)</f>
        <v>#DIV/0!</v>
      </c>
      <c r="AS1544" s="1098" t="e">
        <f>IF($D$1212="",0,$D1544*Table3[[#This Row],[CF]]*chronic_consumption!$AN344/1000/$C$3)</f>
        <v>#DIV/0!</v>
      </c>
      <c r="AT1544" s="1098" t="e">
        <f>IF($D$1212="",0,$D1544*Table3[[#This Row],[CF]]*chronic_consumption!$AO344/1000/$C$3)</f>
        <v>#DIV/0!</v>
      </c>
      <c r="AU1544" s="1099" t="e">
        <f t="shared" si="891"/>
        <v>#DIV/0!</v>
      </c>
      <c r="AV1544" s="1099" t="e">
        <f t="shared" si="891"/>
        <v>#DIV/0!</v>
      </c>
      <c r="AW1544" s="1099" t="e">
        <f t="shared" si="891"/>
        <v>#DIV/0!</v>
      </c>
      <c r="AX1544" s="1099" t="e">
        <f t="shared" si="891"/>
        <v>#DIV/0!</v>
      </c>
      <c r="AY1544" s="1099" t="e">
        <f t="shared" si="891"/>
        <v>#DIV/0!</v>
      </c>
      <c r="AZ1544" s="1091" t="s">
        <v>1012</v>
      </c>
      <c r="BA1544" s="1097" t="e">
        <f>IF(Table3[[#This Row],[max]]&lt;&gt;0,RANK(Table3[[#This Row],[max]],Table3[max],0),"")</f>
        <v>#DIV/0!</v>
      </c>
      <c r="BB1544" s="1096" t="e">
        <f t="shared" si="889"/>
        <v>#DIV/0!</v>
      </c>
      <c r="BC1544" s="1096" t="e">
        <f t="shared" ca="1" si="890"/>
        <v>#DIV/0!</v>
      </c>
      <c r="BD1544" s="1096" t="e">
        <f>IF(Table3[[#This Row],[max]]&gt;0,Table3[[#This Row],[Crop groups and examples of individual products within the groups to which the MRLs apply]],"")</f>
        <v>#DIV/0!</v>
      </c>
    </row>
    <row r="1545" spans="2:56" x14ac:dyDescent="0.2">
      <c r="B1545" s="23">
        <f t="shared" si="887"/>
        <v>1013990</v>
      </c>
      <c r="C1545" s="23" t="str">
        <f t="shared" si="887"/>
        <v>Sheep: other products</v>
      </c>
      <c r="D1545" s="1084">
        <f>input_values!E345</f>
        <v>0</v>
      </c>
      <c r="E1545" s="1084">
        <f>input_values!F345</f>
        <v>0</v>
      </c>
      <c r="F1545" s="1085">
        <f>input_values!W345</f>
        <v>1</v>
      </c>
      <c r="G1545" s="1085" t="str">
        <f>IF(Table3[[#This Row],[CF]]&gt;0,CONCATENATE(IF(Table3[[#This Row],[LOQ]]="*","LOQ","MRL"),IF(input_values!G345&gt;0,"×CFrisk","")),"")</f>
        <v>MRL</v>
      </c>
      <c r="H1545" s="1087">
        <f>input_values!L345</f>
        <v>0</v>
      </c>
      <c r="I1545" s="1088">
        <f>input_values!D345</f>
        <v>0</v>
      </c>
      <c r="J1545" s="1098" t="e">
        <f>IF($D$1212="",0,$D1545*Table3[[#This Row],[CF]]*chronic_consumption!$E345/1000/$C$3)</f>
        <v>#DIV/0!</v>
      </c>
      <c r="K1545" s="1098" t="e">
        <f>IF($D$1212="",0,$D1545*Table3[[#This Row],[CF]]*chronic_consumption!$F345/1000/$C$3)</f>
        <v>#DIV/0!</v>
      </c>
      <c r="L1545" s="1098" t="e">
        <f>IF($D$1212="",0,$D1545*Table3[[#This Row],[CF]]*chronic_consumption!$G345/1000/$C$3)</f>
        <v>#DIV/0!</v>
      </c>
      <c r="M1545" s="1098" t="e">
        <f>IF($D$1212="",0,$D1545*Table3[[#This Row],[CF]]*chronic_consumption!$H345/1000/$C$3)</f>
        <v>#DIV/0!</v>
      </c>
      <c r="N1545" s="1098" t="e">
        <f>IF($D$1212="",0,$D1545*Table3[[#This Row],[CF]]*chronic_consumption!$I345/1000/$C$3)</f>
        <v>#DIV/0!</v>
      </c>
      <c r="O1545" s="1098" t="e">
        <f>IF($D$1212="",0,$D1545*Table3[[#This Row],[CF]]*chronic_consumption!$J345/1000/$C$3)</f>
        <v>#DIV/0!</v>
      </c>
      <c r="P1545" s="1098" t="e">
        <f>IF($D$1212="",0,$D1545*Table3[[#This Row],[CF]]*chronic_consumption!$K345/1000/$C$3)</f>
        <v>#DIV/0!</v>
      </c>
      <c r="Q1545" s="1098" t="e">
        <f>IF($D$1212="",0,$D1545*Table3[[#This Row],[CF]]*chronic_consumption!$L345/1000/$C$3)</f>
        <v>#DIV/0!</v>
      </c>
      <c r="R1545" s="1098" t="e">
        <f>IF($D$1212="",0,$D1545*Table3[[#This Row],[CF]]*chronic_consumption!$M345/1000/$C$3)</f>
        <v>#DIV/0!</v>
      </c>
      <c r="S1545" s="1098" t="e">
        <f>IF($D$1212="",0,$D1545*Table3[[#This Row],[CF]]*chronic_consumption!$N345/1000/$C$3)</f>
        <v>#DIV/0!</v>
      </c>
      <c r="T1545" s="1098" t="e">
        <f>IF($D$1212="",0,$D1545*Table3[[#This Row],[CF]]*chronic_consumption!$O345/1000/$C$3)</f>
        <v>#DIV/0!</v>
      </c>
      <c r="U1545" s="1098" t="e">
        <f>IF($D$1212="",0,$D1545*Table3[[#This Row],[CF]]*chronic_consumption!$P345/1000/$C$3)</f>
        <v>#DIV/0!</v>
      </c>
      <c r="V1545" s="1098" t="e">
        <f>IF($D$1212="",0,$D1545*Table3[[#This Row],[CF]]*chronic_consumption!$Q345/1000/$C$3)</f>
        <v>#DIV/0!</v>
      </c>
      <c r="W1545" s="1098" t="e">
        <f>IF($D$1212="",0,$D1545*Table3[[#This Row],[CF]]*chronic_consumption!$R345/1000/$C$3)</f>
        <v>#DIV/0!</v>
      </c>
      <c r="X1545" s="1098" t="e">
        <f>IF($D$1212="",0,$D1545*Table3[[#This Row],[CF]]*chronic_consumption!$S345/1000/$C$3)</f>
        <v>#DIV/0!</v>
      </c>
      <c r="Y1545" s="1098" t="e">
        <f>IF($D$1212="",0,$D1545*Table3[[#This Row],[CF]]*chronic_consumption!$T345/1000/$C$3)</f>
        <v>#DIV/0!</v>
      </c>
      <c r="Z1545" s="1098" t="e">
        <f>IF($D$1212="",0,$D1545*Table3[[#This Row],[CF]]*chronic_consumption!$U345/1000/$C$3)</f>
        <v>#DIV/0!</v>
      </c>
      <c r="AA1545" s="1098" t="e">
        <f>IF($D$1212="",0,$D1545*Table3[[#This Row],[CF]]*chronic_consumption!$V345/1000/$C$3)</f>
        <v>#DIV/0!</v>
      </c>
      <c r="AB1545" s="1098" t="e">
        <f>IF($D$1212="",0,$D1545*Table3[[#This Row],[CF]]*chronic_consumption!$W345/1000/$C$3)</f>
        <v>#DIV/0!</v>
      </c>
      <c r="AC1545" s="1098" t="e">
        <f>IF($D$1212="",0,$D1545*Table3[[#This Row],[CF]]*chronic_consumption!$X345/1000/$C$3)</f>
        <v>#DIV/0!</v>
      </c>
      <c r="AD1545" s="1098" t="e">
        <f>IF($D$1212="",0,$D1545*Table3[[#This Row],[CF]]*chronic_consumption!$Y345/1000/$C$3)</f>
        <v>#DIV/0!</v>
      </c>
      <c r="AE1545" s="1098" t="e">
        <f>IF($D$1212="",0,$D1545*Table3[[#This Row],[CF]]*chronic_consumption!$Z345/1000/$C$3)</f>
        <v>#DIV/0!</v>
      </c>
      <c r="AF1545" s="1098" t="e">
        <f>IF($D$1212="",0,$D1545*Table3[[#This Row],[CF]]*chronic_consumption!$AA345/1000/$C$3)</f>
        <v>#DIV/0!</v>
      </c>
      <c r="AG1545" s="1098" t="e">
        <f>IF($D$1212="",0,$D1545*Table3[[#This Row],[CF]]*chronic_consumption!$AB345/1000/$C$3)</f>
        <v>#DIV/0!</v>
      </c>
      <c r="AH1545" s="1098" t="e">
        <f>IF($D$1212="",0,$D1545*Table3[[#This Row],[CF]]*chronic_consumption!$AC345/1000/$C$3)</f>
        <v>#DIV/0!</v>
      </c>
      <c r="AI1545" s="1098" t="e">
        <f>IF($D$1212="",0,$D1545*Table3[[#This Row],[CF]]*chronic_consumption!$AD345/1000/$C$3)</f>
        <v>#DIV/0!</v>
      </c>
      <c r="AJ1545" s="1098" t="e">
        <f>IF($D$1212="",0,$D1545*Table3[[#This Row],[CF]]*chronic_consumption!$AE345/1000/$C$3)</f>
        <v>#DIV/0!</v>
      </c>
      <c r="AK1545" s="1098" t="e">
        <f>IF($D$1212="",0,$D1545*Table3[[#This Row],[CF]]*chronic_consumption!$AF345/1000/$C$3)</f>
        <v>#DIV/0!</v>
      </c>
      <c r="AL1545" s="1098" t="e">
        <f>IF($D$1212="",0,$D1545*Table3[[#This Row],[CF]]*chronic_consumption!$AG345/1000/$C$3)</f>
        <v>#DIV/0!</v>
      </c>
      <c r="AM1545" s="1098" t="e">
        <f>IF($D$1212="",0,$D1545*Table3[[#This Row],[CF]]*chronic_consumption!$AH345/1000/$C$3)</f>
        <v>#DIV/0!</v>
      </c>
      <c r="AN1545" s="1098" t="e">
        <f>IF($D$1212="",0,$D1545*Table3[[#This Row],[CF]]*chronic_consumption!$AI345/1000/$C$3)</f>
        <v>#DIV/0!</v>
      </c>
      <c r="AO1545" s="1098" t="e">
        <f>IF($D$1212="",0,$D1545*Table3[[#This Row],[CF]]*chronic_consumption!$AJ345/1000/$C$3)</f>
        <v>#DIV/0!</v>
      </c>
      <c r="AP1545" s="1098" t="e">
        <f>IF($D$1212="",0,$D1545*Table3[[#This Row],[CF]]*chronic_consumption!$AK345/1000/$C$3)</f>
        <v>#DIV/0!</v>
      </c>
      <c r="AQ1545" s="1098" t="e">
        <f>IF($D$1212="",0,$D1545*Table3[[#This Row],[CF]]*chronic_consumption!$AL345/1000/$C$3)</f>
        <v>#DIV/0!</v>
      </c>
      <c r="AR1545" s="1098" t="e">
        <f>IF($D$1212="",0,$D1545*Table3[[#This Row],[CF]]*chronic_consumption!$AM345/1000/$C$3)</f>
        <v>#DIV/0!</v>
      </c>
      <c r="AS1545" s="1098" t="e">
        <f>IF($D$1212="",0,$D1545*Table3[[#This Row],[CF]]*chronic_consumption!$AN345/1000/$C$3)</f>
        <v>#DIV/0!</v>
      </c>
      <c r="AT1545" s="1098" t="e">
        <f>IF($D$1212="",0,$D1545*Table3[[#This Row],[CF]]*chronic_consumption!$AO345/1000/$C$3)</f>
        <v>#DIV/0!</v>
      </c>
      <c r="AU1545" s="1099" t="e">
        <f t="shared" si="891"/>
        <v>#DIV/0!</v>
      </c>
      <c r="AV1545" s="1099" t="e">
        <f t="shared" si="891"/>
        <v>#DIV/0!</v>
      </c>
      <c r="AW1545" s="1099" t="e">
        <f t="shared" si="891"/>
        <v>#DIV/0!</v>
      </c>
      <c r="AX1545" s="1099" t="e">
        <f t="shared" si="891"/>
        <v>#DIV/0!</v>
      </c>
      <c r="AY1545" s="1099" t="e">
        <f t="shared" si="891"/>
        <v>#DIV/0!</v>
      </c>
      <c r="AZ1545" s="1091" t="s">
        <v>1012</v>
      </c>
      <c r="BA1545" s="1097" t="e">
        <f>IF(Table3[[#This Row],[max]]&lt;&gt;0,RANK(Table3[[#This Row],[max]],Table3[max],0),"")</f>
        <v>#DIV/0!</v>
      </c>
      <c r="BB1545" s="1096" t="e">
        <f t="shared" si="889"/>
        <v>#DIV/0!</v>
      </c>
      <c r="BC1545" s="1096" t="e">
        <f t="shared" ca="1" si="890"/>
        <v>#DIV/0!</v>
      </c>
      <c r="BD1545" s="1096" t="e">
        <f>IF(Table3[[#This Row],[max]]&gt;0,Table3[[#This Row],[Crop groups and examples of individual products within the groups to which the MRLs apply]],"")</f>
        <v>#DIV/0!</v>
      </c>
    </row>
    <row r="1546" spans="2:56" x14ac:dyDescent="0.2">
      <c r="B1546" s="5">
        <f t="shared" si="887"/>
        <v>1014000</v>
      </c>
      <c r="C1546" s="5" t="str">
        <f t="shared" si="887"/>
        <v xml:space="preserve">Goat </v>
      </c>
      <c r="D1546" s="1084">
        <f>input_values!E346</f>
        <v>0</v>
      </c>
      <c r="E1546" s="1084">
        <f>input_values!F346</f>
        <v>0</v>
      </c>
      <c r="F1546" s="1085">
        <f>input_values!W346</f>
        <v>0</v>
      </c>
      <c r="G1546" s="1085" t="str">
        <f>IF(Table3[[#This Row],[CF]]&gt;0,CONCATENATE(IF(Table3[[#This Row],[LOQ]]="*","LOQ","MRL"),IF(input_values!G346&gt;0,"×CFrisk","")),"")</f>
        <v/>
      </c>
      <c r="H1546" s="1087">
        <f>input_values!L346</f>
        <v>0</v>
      </c>
      <c r="I1546" s="1088">
        <f>input_values!D346</f>
        <v>0</v>
      </c>
      <c r="J1546" s="1103" t="e">
        <f>IF($D$1212="",0,$D1546*Table3[[#This Row],[CF]]*chronic_consumption!$E346/1000/$C$3)</f>
        <v>#DIV/0!</v>
      </c>
      <c r="K1546" s="1103" t="e">
        <f>IF($D$1212="",0,$D1546*Table3[[#This Row],[CF]]*chronic_consumption!$F346/1000/$C$3)</f>
        <v>#DIV/0!</v>
      </c>
      <c r="L1546" s="1103" t="e">
        <f>IF($D$1212="",0,$D1546*Table3[[#This Row],[CF]]*chronic_consumption!$G346/1000/$C$3)</f>
        <v>#DIV/0!</v>
      </c>
      <c r="M1546" s="1103" t="e">
        <f>IF($D$1212="",0,$D1546*Table3[[#This Row],[CF]]*chronic_consumption!$H346/1000/$C$3)</f>
        <v>#DIV/0!</v>
      </c>
      <c r="N1546" s="1103" t="e">
        <f>IF($D$1212="",0,$D1546*Table3[[#This Row],[CF]]*chronic_consumption!$I346/1000/$C$3)</f>
        <v>#DIV/0!</v>
      </c>
      <c r="O1546" s="1103" t="e">
        <f>IF($D$1212="",0,$D1546*Table3[[#This Row],[CF]]*chronic_consumption!$J346/1000/$C$3)</f>
        <v>#DIV/0!</v>
      </c>
      <c r="P1546" s="1103" t="e">
        <f>IF($D$1212="",0,$D1546*Table3[[#This Row],[CF]]*chronic_consumption!$K346/1000/$C$3)</f>
        <v>#DIV/0!</v>
      </c>
      <c r="Q1546" s="1103" t="e">
        <f>IF($D$1212="",0,$D1546*Table3[[#This Row],[CF]]*chronic_consumption!$L346/1000/$C$3)</f>
        <v>#DIV/0!</v>
      </c>
      <c r="R1546" s="1103" t="e">
        <f>IF($D$1212="",0,$D1546*Table3[[#This Row],[CF]]*chronic_consumption!$M346/1000/$C$3)</f>
        <v>#DIV/0!</v>
      </c>
      <c r="S1546" s="1103" t="e">
        <f>IF($D$1212="",0,$D1546*Table3[[#This Row],[CF]]*chronic_consumption!$N346/1000/$C$3)</f>
        <v>#DIV/0!</v>
      </c>
      <c r="T1546" s="1103" t="e">
        <f>IF($D$1212="",0,$D1546*Table3[[#This Row],[CF]]*chronic_consumption!$O346/1000/$C$3)</f>
        <v>#DIV/0!</v>
      </c>
      <c r="U1546" s="1103" t="e">
        <f>IF($D$1212="",0,$D1546*Table3[[#This Row],[CF]]*chronic_consumption!$P346/1000/$C$3)</f>
        <v>#DIV/0!</v>
      </c>
      <c r="V1546" s="1103" t="e">
        <f>IF($D$1212="",0,$D1546*Table3[[#This Row],[CF]]*chronic_consumption!$Q346/1000/$C$3)</f>
        <v>#DIV/0!</v>
      </c>
      <c r="W1546" s="1103" t="e">
        <f>IF($D$1212="",0,$D1546*Table3[[#This Row],[CF]]*chronic_consumption!$R346/1000/$C$3)</f>
        <v>#DIV/0!</v>
      </c>
      <c r="X1546" s="1103" t="e">
        <f>IF($D$1212="",0,$D1546*Table3[[#This Row],[CF]]*chronic_consumption!$S346/1000/$C$3)</f>
        <v>#DIV/0!</v>
      </c>
      <c r="Y1546" s="1103" t="e">
        <f>IF($D$1212="",0,$D1546*Table3[[#This Row],[CF]]*chronic_consumption!$T346/1000/$C$3)</f>
        <v>#DIV/0!</v>
      </c>
      <c r="Z1546" s="1103" t="e">
        <f>IF($D$1212="",0,$D1546*Table3[[#This Row],[CF]]*chronic_consumption!$U346/1000/$C$3)</f>
        <v>#DIV/0!</v>
      </c>
      <c r="AA1546" s="1103" t="e">
        <f>IF($D$1212="",0,$D1546*Table3[[#This Row],[CF]]*chronic_consumption!$V346/1000/$C$3)</f>
        <v>#DIV/0!</v>
      </c>
      <c r="AB1546" s="1103" t="e">
        <f>IF($D$1212="",0,$D1546*Table3[[#This Row],[CF]]*chronic_consumption!$W346/1000/$C$3)</f>
        <v>#DIV/0!</v>
      </c>
      <c r="AC1546" s="1103" t="e">
        <f>IF($D$1212="",0,$D1546*Table3[[#This Row],[CF]]*chronic_consumption!$X346/1000/$C$3)</f>
        <v>#DIV/0!</v>
      </c>
      <c r="AD1546" s="1103" t="e">
        <f>IF($D$1212="",0,$D1546*Table3[[#This Row],[CF]]*chronic_consumption!$Y346/1000/$C$3)</f>
        <v>#DIV/0!</v>
      </c>
      <c r="AE1546" s="1103" t="e">
        <f>IF($D$1212="",0,$D1546*Table3[[#This Row],[CF]]*chronic_consumption!$Z346/1000/$C$3)</f>
        <v>#DIV/0!</v>
      </c>
      <c r="AF1546" s="1103" t="e">
        <f>IF($D$1212="",0,$D1546*Table3[[#This Row],[CF]]*chronic_consumption!$AA346/1000/$C$3)</f>
        <v>#DIV/0!</v>
      </c>
      <c r="AG1546" s="1103" t="e">
        <f>IF($D$1212="",0,$D1546*Table3[[#This Row],[CF]]*chronic_consumption!$AB346/1000/$C$3)</f>
        <v>#DIV/0!</v>
      </c>
      <c r="AH1546" s="1103" t="e">
        <f>IF($D$1212="",0,$D1546*Table3[[#This Row],[CF]]*chronic_consumption!$AC346/1000/$C$3)</f>
        <v>#DIV/0!</v>
      </c>
      <c r="AI1546" s="1103" t="e">
        <f>IF($D$1212="",0,$D1546*Table3[[#This Row],[CF]]*chronic_consumption!$AD346/1000/$C$3)</f>
        <v>#DIV/0!</v>
      </c>
      <c r="AJ1546" s="1103" t="e">
        <f>IF($D$1212="",0,$D1546*Table3[[#This Row],[CF]]*chronic_consumption!$AE346/1000/$C$3)</f>
        <v>#DIV/0!</v>
      </c>
      <c r="AK1546" s="1103" t="e">
        <f>IF($D$1212="",0,$D1546*Table3[[#This Row],[CF]]*chronic_consumption!$AF346/1000/$C$3)</f>
        <v>#DIV/0!</v>
      </c>
      <c r="AL1546" s="1103" t="e">
        <f>IF($D$1212="",0,$D1546*Table3[[#This Row],[CF]]*chronic_consumption!$AG346/1000/$C$3)</f>
        <v>#DIV/0!</v>
      </c>
      <c r="AM1546" s="1103" t="e">
        <f>IF($D$1212="",0,$D1546*Table3[[#This Row],[CF]]*chronic_consumption!$AH346/1000/$C$3)</f>
        <v>#DIV/0!</v>
      </c>
      <c r="AN1546" s="1103" t="e">
        <f>IF($D$1212="",0,$D1546*Table3[[#This Row],[CF]]*chronic_consumption!$AI346/1000/$C$3)</f>
        <v>#DIV/0!</v>
      </c>
      <c r="AO1546" s="1103" t="e">
        <f>IF($D$1212="",0,$D1546*Table3[[#This Row],[CF]]*chronic_consumption!$AJ346/1000/$C$3)</f>
        <v>#DIV/0!</v>
      </c>
      <c r="AP1546" s="1103" t="e">
        <f>IF($D$1212="",0,$D1546*Table3[[#This Row],[CF]]*chronic_consumption!$AK346/1000/$C$3)</f>
        <v>#DIV/0!</v>
      </c>
      <c r="AQ1546" s="1103" t="e">
        <f>IF($D$1212="",0,$D1546*Table3[[#This Row],[CF]]*chronic_consumption!$AL346/1000/$C$3)</f>
        <v>#DIV/0!</v>
      </c>
      <c r="AR1546" s="1103" t="e">
        <f>IF($D$1212="",0,$D1546*Table3[[#This Row],[CF]]*chronic_consumption!$AM346/1000/$C$3)</f>
        <v>#DIV/0!</v>
      </c>
      <c r="AS1546" s="1103" t="e">
        <f>IF($D$1212="",0,$D1546*Table3[[#This Row],[CF]]*chronic_consumption!$AN346/1000/$C$3)</f>
        <v>#DIV/0!</v>
      </c>
      <c r="AT1546" s="1103" t="e">
        <f>IF($D$1212="",0,$D1546*Table3[[#This Row],[CF]]*chronic_consumption!$AO346/1000/$C$3)</f>
        <v>#DIV/0!</v>
      </c>
      <c r="AU1546" s="1104" t="e">
        <f t="shared" si="891"/>
        <v>#DIV/0!</v>
      </c>
      <c r="AV1546" s="1104" t="e">
        <f t="shared" si="891"/>
        <v>#DIV/0!</v>
      </c>
      <c r="AW1546" s="1104" t="e">
        <f t="shared" si="891"/>
        <v>#DIV/0!</v>
      </c>
      <c r="AX1546" s="1104" t="e">
        <f t="shared" si="891"/>
        <v>#DIV/0!</v>
      </c>
      <c r="AY1546" s="1104" t="e">
        <f t="shared" si="891"/>
        <v>#DIV/0!</v>
      </c>
      <c r="AZ1546" s="1091" t="s">
        <v>1012</v>
      </c>
      <c r="BA1546" s="1097" t="e">
        <f>IF(Table3[[#This Row],[max]]&lt;&gt;0,RANK(Table3[[#This Row],[max]],Table3[max],0),"")</f>
        <v>#DIV/0!</v>
      </c>
      <c r="BB1546" s="1096" t="e">
        <f t="shared" si="889"/>
        <v>#DIV/0!</v>
      </c>
      <c r="BC1546" s="1096" t="e">
        <f t="shared" ca="1" si="890"/>
        <v>#DIV/0!</v>
      </c>
      <c r="BD1546" s="1096" t="e">
        <f>IF(Table3[[#This Row],[max]]&gt;0,Table3[[#This Row],[Crop groups and examples of individual products within the groups to which the MRLs apply]],"")</f>
        <v>#DIV/0!</v>
      </c>
    </row>
    <row r="1547" spans="2:56" x14ac:dyDescent="0.2">
      <c r="B1547" s="23">
        <f t="shared" si="887"/>
        <v>1014010</v>
      </c>
      <c r="C1547" s="23" t="str">
        <f t="shared" si="887"/>
        <v>Goat: Muscle/meat</v>
      </c>
      <c r="D1547" s="1084">
        <f>input_values!E347</f>
        <v>0</v>
      </c>
      <c r="E1547" s="1084">
        <f>input_values!F347</f>
        <v>0</v>
      </c>
      <c r="F1547" s="1085">
        <f>input_values!W347</f>
        <v>1</v>
      </c>
      <c r="G1547" s="1085" t="str">
        <f>IF(Table3[[#This Row],[CF]]&gt;0,CONCATENATE(IF(Table3[[#This Row],[LOQ]]="*","LOQ","MRL"),IF(input_values!G347&gt;0,"×CFrisk","")),"")</f>
        <v>MRL</v>
      </c>
      <c r="H1547" s="1087">
        <f>input_values!L347</f>
        <v>0</v>
      </c>
      <c r="I1547" s="1088">
        <f>input_values!D347</f>
        <v>0</v>
      </c>
      <c r="J1547" s="1098" t="e">
        <f>IF($D$1212="",0,$D1547*Table3[[#This Row],[CF]]*chronic_consumption!$E347/1000/$C$3)</f>
        <v>#DIV/0!</v>
      </c>
      <c r="K1547" s="1098" t="e">
        <f>IF($D$1212="",0,$D1547*Table3[[#This Row],[CF]]*chronic_consumption!$F347/1000/$C$3)</f>
        <v>#DIV/0!</v>
      </c>
      <c r="L1547" s="1098" t="e">
        <f>IF($D$1212="",0,$D1547*Table3[[#This Row],[CF]]*chronic_consumption!$G347/1000/$C$3)</f>
        <v>#DIV/0!</v>
      </c>
      <c r="M1547" s="1098" t="e">
        <f>IF($D$1212="",0,$D1547*Table3[[#This Row],[CF]]*chronic_consumption!$H347/1000/$C$3)</f>
        <v>#DIV/0!</v>
      </c>
      <c r="N1547" s="1098" t="e">
        <f>IF($D$1212="",0,$D1547*Table3[[#This Row],[CF]]*chronic_consumption!$I347/1000/$C$3)</f>
        <v>#DIV/0!</v>
      </c>
      <c r="O1547" s="1098" t="e">
        <f>IF($D$1212="",0,$D1547*Table3[[#This Row],[CF]]*chronic_consumption!$J347/1000/$C$3)</f>
        <v>#DIV/0!</v>
      </c>
      <c r="P1547" s="1098" t="e">
        <f>IF($D$1212="",0,$D1547*Table3[[#This Row],[CF]]*chronic_consumption!$K347/1000/$C$3)</f>
        <v>#DIV/0!</v>
      </c>
      <c r="Q1547" s="1098" t="e">
        <f>IF($D$1212="",0,$D1547*Table3[[#This Row],[CF]]*chronic_consumption!$L347/1000/$C$3)</f>
        <v>#DIV/0!</v>
      </c>
      <c r="R1547" s="1098" t="e">
        <f>IF($D$1212="",0,$D1547*Table3[[#This Row],[CF]]*chronic_consumption!$M347/1000/$C$3)</f>
        <v>#DIV/0!</v>
      </c>
      <c r="S1547" s="1098" t="e">
        <f>IF($D$1212="",0,$D1547*Table3[[#This Row],[CF]]*chronic_consumption!$N347/1000/$C$3)</f>
        <v>#DIV/0!</v>
      </c>
      <c r="T1547" s="1098" t="e">
        <f>IF($D$1212="",0,$D1547*Table3[[#This Row],[CF]]*chronic_consumption!$O347/1000/$C$3)</f>
        <v>#DIV/0!</v>
      </c>
      <c r="U1547" s="1098" t="e">
        <f>IF($D$1212="",0,$D1547*Table3[[#This Row],[CF]]*chronic_consumption!$P347/1000/$C$3)</f>
        <v>#DIV/0!</v>
      </c>
      <c r="V1547" s="1098" t="e">
        <f>IF($D$1212="",0,$D1547*Table3[[#This Row],[CF]]*chronic_consumption!$Q347/1000/$C$3)</f>
        <v>#DIV/0!</v>
      </c>
      <c r="W1547" s="1098" t="e">
        <f>IF($D$1212="",0,$D1547*Table3[[#This Row],[CF]]*chronic_consumption!$R347/1000/$C$3)</f>
        <v>#DIV/0!</v>
      </c>
      <c r="X1547" s="1098" t="e">
        <f>IF($D$1212="",0,$D1547*Table3[[#This Row],[CF]]*chronic_consumption!$S347/1000/$C$3)</f>
        <v>#DIV/0!</v>
      </c>
      <c r="Y1547" s="1098" t="e">
        <f>IF($D$1212="",0,$D1547*Table3[[#This Row],[CF]]*chronic_consumption!$T347/1000/$C$3)</f>
        <v>#DIV/0!</v>
      </c>
      <c r="Z1547" s="1098" t="e">
        <f>IF($D$1212="",0,$D1547*Table3[[#This Row],[CF]]*chronic_consumption!$U347/1000/$C$3)</f>
        <v>#DIV/0!</v>
      </c>
      <c r="AA1547" s="1098" t="e">
        <f>IF($D$1212="",0,$D1547*Table3[[#This Row],[CF]]*chronic_consumption!$V347/1000/$C$3)</f>
        <v>#DIV/0!</v>
      </c>
      <c r="AB1547" s="1098" t="e">
        <f>IF($D$1212="",0,$D1547*Table3[[#This Row],[CF]]*chronic_consumption!$W347/1000/$C$3)</f>
        <v>#DIV/0!</v>
      </c>
      <c r="AC1547" s="1098" t="e">
        <f>IF($D$1212="",0,$D1547*Table3[[#This Row],[CF]]*chronic_consumption!$X347/1000/$C$3)</f>
        <v>#DIV/0!</v>
      </c>
      <c r="AD1547" s="1098" t="e">
        <f>IF($D$1212="",0,$D1547*Table3[[#This Row],[CF]]*chronic_consumption!$Y347/1000/$C$3)</f>
        <v>#DIV/0!</v>
      </c>
      <c r="AE1547" s="1098" t="e">
        <f>IF($D$1212="",0,$D1547*Table3[[#This Row],[CF]]*chronic_consumption!$Z347/1000/$C$3)</f>
        <v>#DIV/0!</v>
      </c>
      <c r="AF1547" s="1098" t="e">
        <f>IF($D$1212="",0,$D1547*Table3[[#This Row],[CF]]*chronic_consumption!$AA347/1000/$C$3)</f>
        <v>#DIV/0!</v>
      </c>
      <c r="AG1547" s="1098" t="e">
        <f>IF($D$1212="",0,$D1547*Table3[[#This Row],[CF]]*chronic_consumption!$AB347/1000/$C$3)</f>
        <v>#DIV/0!</v>
      </c>
      <c r="AH1547" s="1098" t="e">
        <f>IF($D$1212="",0,$D1547*Table3[[#This Row],[CF]]*chronic_consumption!$AC347/1000/$C$3)</f>
        <v>#DIV/0!</v>
      </c>
      <c r="AI1547" s="1098" t="e">
        <f>IF($D$1212="",0,$D1547*Table3[[#This Row],[CF]]*chronic_consumption!$AD347/1000/$C$3)</f>
        <v>#DIV/0!</v>
      </c>
      <c r="AJ1547" s="1098" t="e">
        <f>IF($D$1212="",0,$D1547*Table3[[#This Row],[CF]]*chronic_consumption!$AE347/1000/$C$3)</f>
        <v>#DIV/0!</v>
      </c>
      <c r="AK1547" s="1098" t="e">
        <f>IF($D$1212="",0,$D1547*Table3[[#This Row],[CF]]*chronic_consumption!$AF347/1000/$C$3)</f>
        <v>#DIV/0!</v>
      </c>
      <c r="AL1547" s="1098" t="e">
        <f>IF($D$1212="",0,$D1547*Table3[[#This Row],[CF]]*chronic_consumption!$AG347/1000/$C$3)</f>
        <v>#DIV/0!</v>
      </c>
      <c r="AM1547" s="1098" t="e">
        <f>IF($D$1212="",0,$D1547*Table3[[#This Row],[CF]]*chronic_consumption!$AH347/1000/$C$3)</f>
        <v>#DIV/0!</v>
      </c>
      <c r="AN1547" s="1098" t="e">
        <f>IF($D$1212="",0,$D1547*Table3[[#This Row],[CF]]*chronic_consumption!$AI347/1000/$C$3)</f>
        <v>#DIV/0!</v>
      </c>
      <c r="AO1547" s="1098" t="e">
        <f>IF($D$1212="",0,$D1547*Table3[[#This Row],[CF]]*chronic_consumption!$AJ347/1000/$C$3)</f>
        <v>#DIV/0!</v>
      </c>
      <c r="AP1547" s="1098" t="e">
        <f>IF($D$1212="",0,$D1547*Table3[[#This Row],[CF]]*chronic_consumption!$AK347/1000/$C$3)</f>
        <v>#DIV/0!</v>
      </c>
      <c r="AQ1547" s="1098" t="e">
        <f>IF($D$1212="",0,$D1547*Table3[[#This Row],[CF]]*chronic_consumption!$AL347/1000/$C$3)</f>
        <v>#DIV/0!</v>
      </c>
      <c r="AR1547" s="1098" t="e">
        <f>IF($D$1212="",0,$D1547*Table3[[#This Row],[CF]]*chronic_consumption!$AM347/1000/$C$3)</f>
        <v>#DIV/0!</v>
      </c>
      <c r="AS1547" s="1098" t="e">
        <f>IF($D$1212="",0,$D1547*Table3[[#This Row],[CF]]*chronic_consumption!$AN347/1000/$C$3)</f>
        <v>#DIV/0!</v>
      </c>
      <c r="AT1547" s="1098" t="e">
        <f>IF($D$1212="",0,$D1547*Table3[[#This Row],[CF]]*chronic_consumption!$AO347/1000/$C$3)</f>
        <v>#DIV/0!</v>
      </c>
      <c r="AU1547" s="1099" t="e">
        <f t="shared" si="891"/>
        <v>#DIV/0!</v>
      </c>
      <c r="AV1547" s="1099" t="e">
        <f t="shared" si="891"/>
        <v>#DIV/0!</v>
      </c>
      <c r="AW1547" s="1099" t="e">
        <f t="shared" si="891"/>
        <v>#DIV/0!</v>
      </c>
      <c r="AX1547" s="1099" t="e">
        <f t="shared" si="891"/>
        <v>#DIV/0!</v>
      </c>
      <c r="AY1547" s="1099" t="e">
        <f t="shared" si="891"/>
        <v>#DIV/0!</v>
      </c>
      <c r="AZ1547" s="1091" t="s">
        <v>1012</v>
      </c>
      <c r="BA1547" s="1097" t="e">
        <f>IF(Table3[[#This Row],[max]]&lt;&gt;0,RANK(Table3[[#This Row],[max]],Table3[max],0),"")</f>
        <v>#DIV/0!</v>
      </c>
      <c r="BB1547" s="1096" t="e">
        <f t="shared" si="889"/>
        <v>#DIV/0!</v>
      </c>
      <c r="BC1547" s="1096" t="e">
        <f t="shared" ca="1" si="890"/>
        <v>#DIV/0!</v>
      </c>
      <c r="BD1547" s="1096" t="e">
        <f>IF(Table3[[#This Row],[max]]&gt;0,Table3[[#This Row],[Crop groups and examples of individual products within the groups to which the MRLs apply]],"")</f>
        <v>#DIV/0!</v>
      </c>
    </row>
    <row r="1548" spans="2:56" x14ac:dyDescent="0.2">
      <c r="B1548" s="23">
        <f t="shared" si="887"/>
        <v>1014020</v>
      </c>
      <c r="C1548" s="23" t="str">
        <f t="shared" si="887"/>
        <v>Goat: Fat tissue</v>
      </c>
      <c r="D1548" s="1084">
        <f>input_values!E348</f>
        <v>0</v>
      </c>
      <c r="E1548" s="1084">
        <f>input_values!F348</f>
        <v>0</v>
      </c>
      <c r="F1548" s="1085">
        <f>input_values!W348</f>
        <v>1</v>
      </c>
      <c r="G1548" s="1085" t="str">
        <f>IF(Table3[[#This Row],[CF]]&gt;0,CONCATENATE(IF(Table3[[#This Row],[LOQ]]="*","LOQ","MRL"),IF(input_values!G348&gt;0,"×CFrisk","")),"")</f>
        <v>MRL</v>
      </c>
      <c r="H1548" s="1087">
        <f>input_values!L348</f>
        <v>0</v>
      </c>
      <c r="I1548" s="1088">
        <f>input_values!D348</f>
        <v>0</v>
      </c>
      <c r="J1548" s="1098" t="e">
        <f>IF($D$1212="",0,$D1548*Table3[[#This Row],[CF]]*chronic_consumption!$E348/1000/$C$3)</f>
        <v>#DIV/0!</v>
      </c>
      <c r="K1548" s="1098" t="e">
        <f>IF($D$1212="",0,$D1548*Table3[[#This Row],[CF]]*chronic_consumption!$F348/1000/$C$3)</f>
        <v>#DIV/0!</v>
      </c>
      <c r="L1548" s="1098" t="e">
        <f>IF($D$1212="",0,$D1548*Table3[[#This Row],[CF]]*chronic_consumption!$G348/1000/$C$3)</f>
        <v>#DIV/0!</v>
      </c>
      <c r="M1548" s="1098" t="e">
        <f>IF($D$1212="",0,$D1548*Table3[[#This Row],[CF]]*chronic_consumption!$H348/1000/$C$3)</f>
        <v>#DIV/0!</v>
      </c>
      <c r="N1548" s="1098" t="e">
        <f>IF($D$1212="",0,$D1548*Table3[[#This Row],[CF]]*chronic_consumption!$I348/1000/$C$3)</f>
        <v>#DIV/0!</v>
      </c>
      <c r="O1548" s="1098" t="e">
        <f>IF($D$1212="",0,$D1548*Table3[[#This Row],[CF]]*chronic_consumption!$J348/1000/$C$3)</f>
        <v>#DIV/0!</v>
      </c>
      <c r="P1548" s="1098" t="e">
        <f>IF($D$1212="",0,$D1548*Table3[[#This Row],[CF]]*chronic_consumption!$K348/1000/$C$3)</f>
        <v>#DIV/0!</v>
      </c>
      <c r="Q1548" s="1098" t="e">
        <f>IF($D$1212="",0,$D1548*Table3[[#This Row],[CF]]*chronic_consumption!$L348/1000/$C$3)</f>
        <v>#DIV/0!</v>
      </c>
      <c r="R1548" s="1098" t="e">
        <f>IF($D$1212="",0,$D1548*Table3[[#This Row],[CF]]*chronic_consumption!$M348/1000/$C$3)</f>
        <v>#DIV/0!</v>
      </c>
      <c r="S1548" s="1098" t="e">
        <f>IF($D$1212="",0,$D1548*Table3[[#This Row],[CF]]*chronic_consumption!$N348/1000/$C$3)</f>
        <v>#DIV/0!</v>
      </c>
      <c r="T1548" s="1098" t="e">
        <f>IF($D$1212="",0,$D1548*Table3[[#This Row],[CF]]*chronic_consumption!$O348/1000/$C$3)</f>
        <v>#DIV/0!</v>
      </c>
      <c r="U1548" s="1098" t="e">
        <f>IF($D$1212="",0,$D1548*Table3[[#This Row],[CF]]*chronic_consumption!$P348/1000/$C$3)</f>
        <v>#DIV/0!</v>
      </c>
      <c r="V1548" s="1098" t="e">
        <f>IF($D$1212="",0,$D1548*Table3[[#This Row],[CF]]*chronic_consumption!$Q348/1000/$C$3)</f>
        <v>#DIV/0!</v>
      </c>
      <c r="W1548" s="1098" t="e">
        <f>IF($D$1212="",0,$D1548*Table3[[#This Row],[CF]]*chronic_consumption!$R348/1000/$C$3)</f>
        <v>#DIV/0!</v>
      </c>
      <c r="X1548" s="1098" t="e">
        <f>IF($D$1212="",0,$D1548*Table3[[#This Row],[CF]]*chronic_consumption!$S348/1000/$C$3)</f>
        <v>#DIV/0!</v>
      </c>
      <c r="Y1548" s="1098" t="e">
        <f>IF($D$1212="",0,$D1548*Table3[[#This Row],[CF]]*chronic_consumption!$T348/1000/$C$3)</f>
        <v>#DIV/0!</v>
      </c>
      <c r="Z1548" s="1098" t="e">
        <f>IF($D$1212="",0,$D1548*Table3[[#This Row],[CF]]*chronic_consumption!$U348/1000/$C$3)</f>
        <v>#DIV/0!</v>
      </c>
      <c r="AA1548" s="1098" t="e">
        <f>IF($D$1212="",0,$D1548*Table3[[#This Row],[CF]]*chronic_consumption!$V348/1000/$C$3)</f>
        <v>#DIV/0!</v>
      </c>
      <c r="AB1548" s="1098" t="e">
        <f>IF($D$1212="",0,$D1548*Table3[[#This Row],[CF]]*chronic_consumption!$W348/1000/$C$3)</f>
        <v>#DIV/0!</v>
      </c>
      <c r="AC1548" s="1098" t="e">
        <f>IF($D$1212="",0,$D1548*Table3[[#This Row],[CF]]*chronic_consumption!$X348/1000/$C$3)</f>
        <v>#DIV/0!</v>
      </c>
      <c r="AD1548" s="1098" t="e">
        <f>IF($D$1212="",0,$D1548*Table3[[#This Row],[CF]]*chronic_consumption!$Y348/1000/$C$3)</f>
        <v>#DIV/0!</v>
      </c>
      <c r="AE1548" s="1098" t="e">
        <f>IF($D$1212="",0,$D1548*Table3[[#This Row],[CF]]*chronic_consumption!$Z348/1000/$C$3)</f>
        <v>#DIV/0!</v>
      </c>
      <c r="AF1548" s="1098" t="e">
        <f>IF($D$1212="",0,$D1548*Table3[[#This Row],[CF]]*chronic_consumption!$AA348/1000/$C$3)</f>
        <v>#DIV/0!</v>
      </c>
      <c r="AG1548" s="1098" t="e">
        <f>IF($D$1212="",0,$D1548*Table3[[#This Row],[CF]]*chronic_consumption!$AB348/1000/$C$3)</f>
        <v>#DIV/0!</v>
      </c>
      <c r="AH1548" s="1098" t="e">
        <f>IF($D$1212="",0,$D1548*Table3[[#This Row],[CF]]*chronic_consumption!$AC348/1000/$C$3)</f>
        <v>#DIV/0!</v>
      </c>
      <c r="AI1548" s="1098" t="e">
        <f>IF($D$1212="",0,$D1548*Table3[[#This Row],[CF]]*chronic_consumption!$AD348/1000/$C$3)</f>
        <v>#DIV/0!</v>
      </c>
      <c r="AJ1548" s="1098" t="e">
        <f>IF($D$1212="",0,$D1548*Table3[[#This Row],[CF]]*chronic_consumption!$AE348/1000/$C$3)</f>
        <v>#DIV/0!</v>
      </c>
      <c r="AK1548" s="1098" t="e">
        <f>IF($D$1212="",0,$D1548*Table3[[#This Row],[CF]]*chronic_consumption!$AF348/1000/$C$3)</f>
        <v>#DIV/0!</v>
      </c>
      <c r="AL1548" s="1098" t="e">
        <f>IF($D$1212="",0,$D1548*Table3[[#This Row],[CF]]*chronic_consumption!$AG348/1000/$C$3)</f>
        <v>#DIV/0!</v>
      </c>
      <c r="AM1548" s="1098" t="e">
        <f>IF($D$1212="",0,$D1548*Table3[[#This Row],[CF]]*chronic_consumption!$AH348/1000/$C$3)</f>
        <v>#DIV/0!</v>
      </c>
      <c r="AN1548" s="1098" t="e">
        <f>IF($D$1212="",0,$D1548*Table3[[#This Row],[CF]]*chronic_consumption!$AI348/1000/$C$3)</f>
        <v>#DIV/0!</v>
      </c>
      <c r="AO1548" s="1098" t="e">
        <f>IF($D$1212="",0,$D1548*Table3[[#This Row],[CF]]*chronic_consumption!$AJ348/1000/$C$3)</f>
        <v>#DIV/0!</v>
      </c>
      <c r="AP1548" s="1098" t="e">
        <f>IF($D$1212="",0,$D1548*Table3[[#This Row],[CF]]*chronic_consumption!$AK348/1000/$C$3)</f>
        <v>#DIV/0!</v>
      </c>
      <c r="AQ1548" s="1098" t="e">
        <f>IF($D$1212="",0,$D1548*Table3[[#This Row],[CF]]*chronic_consumption!$AL348/1000/$C$3)</f>
        <v>#DIV/0!</v>
      </c>
      <c r="AR1548" s="1098" t="e">
        <f>IF($D$1212="",0,$D1548*Table3[[#This Row],[CF]]*chronic_consumption!$AM348/1000/$C$3)</f>
        <v>#DIV/0!</v>
      </c>
      <c r="AS1548" s="1098" t="e">
        <f>IF($D$1212="",0,$D1548*Table3[[#This Row],[CF]]*chronic_consumption!$AN348/1000/$C$3)</f>
        <v>#DIV/0!</v>
      </c>
      <c r="AT1548" s="1098" t="e">
        <f>IF($D$1212="",0,$D1548*Table3[[#This Row],[CF]]*chronic_consumption!$AO348/1000/$C$3)</f>
        <v>#DIV/0!</v>
      </c>
      <c r="AU1548" s="1099" t="e">
        <f t="shared" si="891"/>
        <v>#DIV/0!</v>
      </c>
      <c r="AV1548" s="1099" t="e">
        <f t="shared" si="891"/>
        <v>#DIV/0!</v>
      </c>
      <c r="AW1548" s="1099" t="e">
        <f t="shared" si="891"/>
        <v>#DIV/0!</v>
      </c>
      <c r="AX1548" s="1099" t="e">
        <f t="shared" si="891"/>
        <v>#DIV/0!</v>
      </c>
      <c r="AY1548" s="1099" t="e">
        <f t="shared" si="891"/>
        <v>#DIV/0!</v>
      </c>
      <c r="AZ1548" s="1091" t="s">
        <v>1012</v>
      </c>
      <c r="BA1548" s="1097" t="e">
        <f>IF(Table3[[#This Row],[max]]&lt;&gt;0,RANK(Table3[[#This Row],[max]],Table3[max],0),"")</f>
        <v>#DIV/0!</v>
      </c>
      <c r="BB1548" s="1096" t="e">
        <f t="shared" si="889"/>
        <v>#DIV/0!</v>
      </c>
      <c r="BC1548" s="1096" t="e">
        <f t="shared" ca="1" si="890"/>
        <v>#DIV/0!</v>
      </c>
      <c r="BD1548" s="1096" t="e">
        <f>IF(Table3[[#This Row],[max]]&gt;0,Table3[[#This Row],[Crop groups and examples of individual products within the groups to which the MRLs apply]],"")</f>
        <v>#DIV/0!</v>
      </c>
    </row>
    <row r="1549" spans="2:56" x14ac:dyDescent="0.2">
      <c r="B1549" s="23">
        <f t="shared" si="887"/>
        <v>1014030</v>
      </c>
      <c r="C1549" s="23" t="str">
        <f t="shared" si="887"/>
        <v>Goat: Liver</v>
      </c>
      <c r="D1549" s="1084">
        <f>input_values!E349</f>
        <v>0</v>
      </c>
      <c r="E1549" s="1084">
        <f>input_values!F349</f>
        <v>0</v>
      </c>
      <c r="F1549" s="1085">
        <f>input_values!W349</f>
        <v>1</v>
      </c>
      <c r="G1549" s="1085" t="str">
        <f>IF(Table3[[#This Row],[CF]]&gt;0,CONCATENATE(IF(Table3[[#This Row],[LOQ]]="*","LOQ","MRL"),IF(input_values!G349&gt;0,"×CFrisk","")),"")</f>
        <v>MRL</v>
      </c>
      <c r="H1549" s="1087">
        <f>input_values!L349</f>
        <v>0</v>
      </c>
      <c r="I1549" s="1088">
        <f>input_values!D349</f>
        <v>0</v>
      </c>
      <c r="J1549" s="1098" t="e">
        <f>IF($D$1212="",0,$D1549*Table3[[#This Row],[CF]]*chronic_consumption!$E349/1000/$C$3)</f>
        <v>#DIV/0!</v>
      </c>
      <c r="K1549" s="1098" t="e">
        <f>IF($D$1212="",0,$D1549*Table3[[#This Row],[CF]]*chronic_consumption!$F349/1000/$C$3)</f>
        <v>#DIV/0!</v>
      </c>
      <c r="L1549" s="1098" t="e">
        <f>IF($D$1212="",0,$D1549*Table3[[#This Row],[CF]]*chronic_consumption!$G349/1000/$C$3)</f>
        <v>#DIV/0!</v>
      </c>
      <c r="M1549" s="1098" t="e">
        <f>IF($D$1212="",0,$D1549*Table3[[#This Row],[CF]]*chronic_consumption!$H349/1000/$C$3)</f>
        <v>#DIV/0!</v>
      </c>
      <c r="N1549" s="1098" t="e">
        <f>IF($D$1212="",0,$D1549*Table3[[#This Row],[CF]]*chronic_consumption!$I349/1000/$C$3)</f>
        <v>#DIV/0!</v>
      </c>
      <c r="O1549" s="1098" t="e">
        <f>IF($D$1212="",0,$D1549*Table3[[#This Row],[CF]]*chronic_consumption!$J349/1000/$C$3)</f>
        <v>#DIV/0!</v>
      </c>
      <c r="P1549" s="1098" t="e">
        <f>IF($D$1212="",0,$D1549*Table3[[#This Row],[CF]]*chronic_consumption!$K349/1000/$C$3)</f>
        <v>#DIV/0!</v>
      </c>
      <c r="Q1549" s="1098" t="e">
        <f>IF($D$1212="",0,$D1549*Table3[[#This Row],[CF]]*chronic_consumption!$L349/1000/$C$3)</f>
        <v>#DIV/0!</v>
      </c>
      <c r="R1549" s="1098" t="e">
        <f>IF($D$1212="",0,$D1549*Table3[[#This Row],[CF]]*chronic_consumption!$M349/1000/$C$3)</f>
        <v>#DIV/0!</v>
      </c>
      <c r="S1549" s="1098" t="e">
        <f>IF($D$1212="",0,$D1549*Table3[[#This Row],[CF]]*chronic_consumption!$N349/1000/$C$3)</f>
        <v>#DIV/0!</v>
      </c>
      <c r="T1549" s="1098" t="e">
        <f>IF($D$1212="",0,$D1549*Table3[[#This Row],[CF]]*chronic_consumption!$O349/1000/$C$3)</f>
        <v>#DIV/0!</v>
      </c>
      <c r="U1549" s="1098" t="e">
        <f>IF($D$1212="",0,$D1549*Table3[[#This Row],[CF]]*chronic_consumption!$P349/1000/$C$3)</f>
        <v>#DIV/0!</v>
      </c>
      <c r="V1549" s="1098" t="e">
        <f>IF($D$1212="",0,$D1549*Table3[[#This Row],[CF]]*chronic_consumption!$Q349/1000/$C$3)</f>
        <v>#DIV/0!</v>
      </c>
      <c r="W1549" s="1098" t="e">
        <f>IF($D$1212="",0,$D1549*Table3[[#This Row],[CF]]*chronic_consumption!$R349/1000/$C$3)</f>
        <v>#DIV/0!</v>
      </c>
      <c r="X1549" s="1098" t="e">
        <f>IF($D$1212="",0,$D1549*Table3[[#This Row],[CF]]*chronic_consumption!$S349/1000/$C$3)</f>
        <v>#DIV/0!</v>
      </c>
      <c r="Y1549" s="1098" t="e">
        <f>IF($D$1212="",0,$D1549*Table3[[#This Row],[CF]]*chronic_consumption!$T349/1000/$C$3)</f>
        <v>#DIV/0!</v>
      </c>
      <c r="Z1549" s="1098" t="e">
        <f>IF($D$1212="",0,$D1549*Table3[[#This Row],[CF]]*chronic_consumption!$U349/1000/$C$3)</f>
        <v>#DIV/0!</v>
      </c>
      <c r="AA1549" s="1098" t="e">
        <f>IF($D$1212="",0,$D1549*Table3[[#This Row],[CF]]*chronic_consumption!$V349/1000/$C$3)</f>
        <v>#DIV/0!</v>
      </c>
      <c r="AB1549" s="1098" t="e">
        <f>IF($D$1212="",0,$D1549*Table3[[#This Row],[CF]]*chronic_consumption!$W349/1000/$C$3)</f>
        <v>#DIV/0!</v>
      </c>
      <c r="AC1549" s="1098" t="e">
        <f>IF($D$1212="",0,$D1549*Table3[[#This Row],[CF]]*chronic_consumption!$X349/1000/$C$3)</f>
        <v>#DIV/0!</v>
      </c>
      <c r="AD1549" s="1098" t="e">
        <f>IF($D$1212="",0,$D1549*Table3[[#This Row],[CF]]*chronic_consumption!$Y349/1000/$C$3)</f>
        <v>#DIV/0!</v>
      </c>
      <c r="AE1549" s="1098" t="e">
        <f>IF($D$1212="",0,$D1549*Table3[[#This Row],[CF]]*chronic_consumption!$Z349/1000/$C$3)</f>
        <v>#DIV/0!</v>
      </c>
      <c r="AF1549" s="1098" t="e">
        <f>IF($D$1212="",0,$D1549*Table3[[#This Row],[CF]]*chronic_consumption!$AA349/1000/$C$3)</f>
        <v>#DIV/0!</v>
      </c>
      <c r="AG1549" s="1098" t="e">
        <f>IF($D$1212="",0,$D1549*Table3[[#This Row],[CF]]*chronic_consumption!$AB349/1000/$C$3)</f>
        <v>#DIV/0!</v>
      </c>
      <c r="AH1549" s="1098" t="e">
        <f>IF($D$1212="",0,$D1549*Table3[[#This Row],[CF]]*chronic_consumption!$AC349/1000/$C$3)</f>
        <v>#DIV/0!</v>
      </c>
      <c r="AI1549" s="1098" t="e">
        <f>IF($D$1212="",0,$D1549*Table3[[#This Row],[CF]]*chronic_consumption!$AD349/1000/$C$3)</f>
        <v>#DIV/0!</v>
      </c>
      <c r="AJ1549" s="1098" t="e">
        <f>IF($D$1212="",0,$D1549*Table3[[#This Row],[CF]]*chronic_consumption!$AE349/1000/$C$3)</f>
        <v>#DIV/0!</v>
      </c>
      <c r="AK1549" s="1098" t="e">
        <f>IF($D$1212="",0,$D1549*Table3[[#This Row],[CF]]*chronic_consumption!$AF349/1000/$C$3)</f>
        <v>#DIV/0!</v>
      </c>
      <c r="AL1549" s="1098" t="e">
        <f>IF($D$1212="",0,$D1549*Table3[[#This Row],[CF]]*chronic_consumption!$AG349/1000/$C$3)</f>
        <v>#DIV/0!</v>
      </c>
      <c r="AM1549" s="1098" t="e">
        <f>IF($D$1212="",0,$D1549*Table3[[#This Row],[CF]]*chronic_consumption!$AH349/1000/$C$3)</f>
        <v>#DIV/0!</v>
      </c>
      <c r="AN1549" s="1098" t="e">
        <f>IF($D$1212="",0,$D1549*Table3[[#This Row],[CF]]*chronic_consumption!$AI349/1000/$C$3)</f>
        <v>#DIV/0!</v>
      </c>
      <c r="AO1549" s="1098" t="e">
        <f>IF($D$1212="",0,$D1549*Table3[[#This Row],[CF]]*chronic_consumption!$AJ349/1000/$C$3)</f>
        <v>#DIV/0!</v>
      </c>
      <c r="AP1549" s="1098" t="e">
        <f>IF($D$1212="",0,$D1549*Table3[[#This Row],[CF]]*chronic_consumption!$AK349/1000/$C$3)</f>
        <v>#DIV/0!</v>
      </c>
      <c r="AQ1549" s="1098" t="e">
        <f>IF($D$1212="",0,$D1549*Table3[[#This Row],[CF]]*chronic_consumption!$AL349/1000/$C$3)</f>
        <v>#DIV/0!</v>
      </c>
      <c r="AR1549" s="1098" t="e">
        <f>IF($D$1212="",0,$D1549*Table3[[#This Row],[CF]]*chronic_consumption!$AM349/1000/$C$3)</f>
        <v>#DIV/0!</v>
      </c>
      <c r="AS1549" s="1098" t="e">
        <f>IF($D$1212="",0,$D1549*Table3[[#This Row],[CF]]*chronic_consumption!$AN349/1000/$C$3)</f>
        <v>#DIV/0!</v>
      </c>
      <c r="AT1549" s="1098" t="e">
        <f>IF($D$1212="",0,$D1549*Table3[[#This Row],[CF]]*chronic_consumption!$AO349/1000/$C$3)</f>
        <v>#DIV/0!</v>
      </c>
      <c r="AU1549" s="1099" t="e">
        <f t="shared" si="891"/>
        <v>#DIV/0!</v>
      </c>
      <c r="AV1549" s="1099" t="e">
        <f t="shared" si="891"/>
        <v>#DIV/0!</v>
      </c>
      <c r="AW1549" s="1099" t="e">
        <f t="shared" si="891"/>
        <v>#DIV/0!</v>
      </c>
      <c r="AX1549" s="1099" t="e">
        <f t="shared" si="891"/>
        <v>#DIV/0!</v>
      </c>
      <c r="AY1549" s="1099" t="e">
        <f t="shared" si="891"/>
        <v>#DIV/0!</v>
      </c>
      <c r="AZ1549" s="1091" t="s">
        <v>1012</v>
      </c>
      <c r="BA1549" s="1097" t="e">
        <f>IF(Table3[[#This Row],[max]]&lt;&gt;0,RANK(Table3[[#This Row],[max]],Table3[max],0),"")</f>
        <v>#DIV/0!</v>
      </c>
      <c r="BB1549" s="1096" t="e">
        <f t="shared" si="889"/>
        <v>#DIV/0!</v>
      </c>
      <c r="BC1549" s="1096" t="e">
        <f t="shared" ca="1" si="890"/>
        <v>#DIV/0!</v>
      </c>
      <c r="BD1549" s="1096" t="e">
        <f>IF(Table3[[#This Row],[max]]&gt;0,Table3[[#This Row],[Crop groups and examples of individual products within the groups to which the MRLs apply]],"")</f>
        <v>#DIV/0!</v>
      </c>
    </row>
    <row r="1550" spans="2:56" x14ac:dyDescent="0.2">
      <c r="B1550" s="23">
        <f t="shared" si="887"/>
        <v>1014040</v>
      </c>
      <c r="C1550" s="23" t="str">
        <f t="shared" si="887"/>
        <v>Goat: Kidney</v>
      </c>
      <c r="D1550" s="1084">
        <f>input_values!E350</f>
        <v>0</v>
      </c>
      <c r="E1550" s="1084">
        <f>input_values!F350</f>
        <v>0</v>
      </c>
      <c r="F1550" s="1085">
        <f>input_values!W350</f>
        <v>1</v>
      </c>
      <c r="G1550" s="1085" t="str">
        <f>IF(Table3[[#This Row],[CF]]&gt;0,CONCATENATE(IF(Table3[[#This Row],[LOQ]]="*","LOQ","MRL"),IF(input_values!G350&gt;0,"×CFrisk","")),"")</f>
        <v>MRL</v>
      </c>
      <c r="H1550" s="1087">
        <f>input_values!L350</f>
        <v>0</v>
      </c>
      <c r="I1550" s="1088">
        <f>input_values!D350</f>
        <v>0</v>
      </c>
      <c r="J1550" s="1098" t="e">
        <f>IF($D$1212="",0,$D1550*Table3[[#This Row],[CF]]*chronic_consumption!$E350/1000/$C$3)</f>
        <v>#DIV/0!</v>
      </c>
      <c r="K1550" s="1098" t="e">
        <f>IF($D$1212="",0,$D1550*Table3[[#This Row],[CF]]*chronic_consumption!$F350/1000/$C$3)</f>
        <v>#DIV/0!</v>
      </c>
      <c r="L1550" s="1098" t="e">
        <f>IF($D$1212="",0,$D1550*Table3[[#This Row],[CF]]*chronic_consumption!$G350/1000/$C$3)</f>
        <v>#DIV/0!</v>
      </c>
      <c r="M1550" s="1098" t="e">
        <f>IF($D$1212="",0,$D1550*Table3[[#This Row],[CF]]*chronic_consumption!$H350/1000/$C$3)</f>
        <v>#DIV/0!</v>
      </c>
      <c r="N1550" s="1098" t="e">
        <f>IF($D$1212="",0,$D1550*Table3[[#This Row],[CF]]*chronic_consumption!$I350/1000/$C$3)</f>
        <v>#DIV/0!</v>
      </c>
      <c r="O1550" s="1098" t="e">
        <f>IF($D$1212="",0,$D1550*Table3[[#This Row],[CF]]*chronic_consumption!$J350/1000/$C$3)</f>
        <v>#DIV/0!</v>
      </c>
      <c r="P1550" s="1098" t="e">
        <f>IF($D$1212="",0,$D1550*Table3[[#This Row],[CF]]*chronic_consumption!$K350/1000/$C$3)</f>
        <v>#DIV/0!</v>
      </c>
      <c r="Q1550" s="1098" t="e">
        <f>IF($D$1212="",0,$D1550*Table3[[#This Row],[CF]]*chronic_consumption!$L350/1000/$C$3)</f>
        <v>#DIV/0!</v>
      </c>
      <c r="R1550" s="1098" t="e">
        <f>IF($D$1212="",0,$D1550*Table3[[#This Row],[CF]]*chronic_consumption!$M350/1000/$C$3)</f>
        <v>#DIV/0!</v>
      </c>
      <c r="S1550" s="1098" t="e">
        <f>IF($D$1212="",0,$D1550*Table3[[#This Row],[CF]]*chronic_consumption!$N350/1000/$C$3)</f>
        <v>#DIV/0!</v>
      </c>
      <c r="T1550" s="1098" t="e">
        <f>IF($D$1212="",0,$D1550*Table3[[#This Row],[CF]]*chronic_consumption!$O350/1000/$C$3)</f>
        <v>#DIV/0!</v>
      </c>
      <c r="U1550" s="1098" t="e">
        <f>IF($D$1212="",0,$D1550*Table3[[#This Row],[CF]]*chronic_consumption!$P350/1000/$C$3)</f>
        <v>#DIV/0!</v>
      </c>
      <c r="V1550" s="1098" t="e">
        <f>IF($D$1212="",0,$D1550*Table3[[#This Row],[CF]]*chronic_consumption!$Q350/1000/$C$3)</f>
        <v>#DIV/0!</v>
      </c>
      <c r="W1550" s="1098" t="e">
        <f>IF($D$1212="",0,$D1550*Table3[[#This Row],[CF]]*chronic_consumption!$R350/1000/$C$3)</f>
        <v>#DIV/0!</v>
      </c>
      <c r="X1550" s="1098" t="e">
        <f>IF($D$1212="",0,$D1550*Table3[[#This Row],[CF]]*chronic_consumption!$S350/1000/$C$3)</f>
        <v>#DIV/0!</v>
      </c>
      <c r="Y1550" s="1098" t="e">
        <f>IF($D$1212="",0,$D1550*Table3[[#This Row],[CF]]*chronic_consumption!$T350/1000/$C$3)</f>
        <v>#DIV/0!</v>
      </c>
      <c r="Z1550" s="1098" t="e">
        <f>IF($D$1212="",0,$D1550*Table3[[#This Row],[CF]]*chronic_consumption!$U350/1000/$C$3)</f>
        <v>#DIV/0!</v>
      </c>
      <c r="AA1550" s="1098" t="e">
        <f>IF($D$1212="",0,$D1550*Table3[[#This Row],[CF]]*chronic_consumption!$V350/1000/$C$3)</f>
        <v>#DIV/0!</v>
      </c>
      <c r="AB1550" s="1098" t="e">
        <f>IF($D$1212="",0,$D1550*Table3[[#This Row],[CF]]*chronic_consumption!$W350/1000/$C$3)</f>
        <v>#DIV/0!</v>
      </c>
      <c r="AC1550" s="1098" t="e">
        <f>IF($D$1212="",0,$D1550*Table3[[#This Row],[CF]]*chronic_consumption!$X350/1000/$C$3)</f>
        <v>#DIV/0!</v>
      </c>
      <c r="AD1550" s="1098" t="e">
        <f>IF($D$1212="",0,$D1550*Table3[[#This Row],[CF]]*chronic_consumption!$Y350/1000/$C$3)</f>
        <v>#DIV/0!</v>
      </c>
      <c r="AE1550" s="1098" t="e">
        <f>IF($D$1212="",0,$D1550*Table3[[#This Row],[CF]]*chronic_consumption!$Z350/1000/$C$3)</f>
        <v>#DIV/0!</v>
      </c>
      <c r="AF1550" s="1098" t="e">
        <f>IF($D$1212="",0,$D1550*Table3[[#This Row],[CF]]*chronic_consumption!$AA350/1000/$C$3)</f>
        <v>#DIV/0!</v>
      </c>
      <c r="AG1550" s="1098" t="e">
        <f>IF($D$1212="",0,$D1550*Table3[[#This Row],[CF]]*chronic_consumption!$AB350/1000/$C$3)</f>
        <v>#DIV/0!</v>
      </c>
      <c r="AH1550" s="1098" t="e">
        <f>IF($D$1212="",0,$D1550*Table3[[#This Row],[CF]]*chronic_consumption!$AC350/1000/$C$3)</f>
        <v>#DIV/0!</v>
      </c>
      <c r="AI1550" s="1098" t="e">
        <f>IF($D$1212="",0,$D1550*Table3[[#This Row],[CF]]*chronic_consumption!$AD350/1000/$C$3)</f>
        <v>#DIV/0!</v>
      </c>
      <c r="AJ1550" s="1098" t="e">
        <f>IF($D$1212="",0,$D1550*Table3[[#This Row],[CF]]*chronic_consumption!$AE350/1000/$C$3)</f>
        <v>#DIV/0!</v>
      </c>
      <c r="AK1550" s="1098" t="e">
        <f>IF($D$1212="",0,$D1550*Table3[[#This Row],[CF]]*chronic_consumption!$AF350/1000/$C$3)</f>
        <v>#DIV/0!</v>
      </c>
      <c r="AL1550" s="1098" t="e">
        <f>IF($D$1212="",0,$D1550*Table3[[#This Row],[CF]]*chronic_consumption!$AG350/1000/$C$3)</f>
        <v>#DIV/0!</v>
      </c>
      <c r="AM1550" s="1098" t="e">
        <f>IF($D$1212="",0,$D1550*Table3[[#This Row],[CF]]*chronic_consumption!$AH350/1000/$C$3)</f>
        <v>#DIV/0!</v>
      </c>
      <c r="AN1550" s="1098" t="e">
        <f>IF($D$1212="",0,$D1550*Table3[[#This Row],[CF]]*chronic_consumption!$AI350/1000/$C$3)</f>
        <v>#DIV/0!</v>
      </c>
      <c r="AO1550" s="1098" t="e">
        <f>IF($D$1212="",0,$D1550*Table3[[#This Row],[CF]]*chronic_consumption!$AJ350/1000/$C$3)</f>
        <v>#DIV/0!</v>
      </c>
      <c r="AP1550" s="1098" t="e">
        <f>IF($D$1212="",0,$D1550*Table3[[#This Row],[CF]]*chronic_consumption!$AK350/1000/$C$3)</f>
        <v>#DIV/0!</v>
      </c>
      <c r="AQ1550" s="1098" t="e">
        <f>IF($D$1212="",0,$D1550*Table3[[#This Row],[CF]]*chronic_consumption!$AL350/1000/$C$3)</f>
        <v>#DIV/0!</v>
      </c>
      <c r="AR1550" s="1098" t="e">
        <f>IF($D$1212="",0,$D1550*Table3[[#This Row],[CF]]*chronic_consumption!$AM350/1000/$C$3)</f>
        <v>#DIV/0!</v>
      </c>
      <c r="AS1550" s="1098" t="e">
        <f>IF($D$1212="",0,$D1550*Table3[[#This Row],[CF]]*chronic_consumption!$AN350/1000/$C$3)</f>
        <v>#DIV/0!</v>
      </c>
      <c r="AT1550" s="1098" t="e">
        <f>IF($D$1212="",0,$D1550*Table3[[#This Row],[CF]]*chronic_consumption!$AO350/1000/$C$3)</f>
        <v>#DIV/0!</v>
      </c>
      <c r="AU1550" s="1099" t="e">
        <f t="shared" si="891"/>
        <v>#DIV/0!</v>
      </c>
      <c r="AV1550" s="1099" t="e">
        <f t="shared" si="891"/>
        <v>#DIV/0!</v>
      </c>
      <c r="AW1550" s="1099" t="e">
        <f t="shared" si="891"/>
        <v>#DIV/0!</v>
      </c>
      <c r="AX1550" s="1099" t="e">
        <f t="shared" si="891"/>
        <v>#DIV/0!</v>
      </c>
      <c r="AY1550" s="1099" t="e">
        <f t="shared" si="891"/>
        <v>#DIV/0!</v>
      </c>
      <c r="AZ1550" s="1091" t="s">
        <v>1012</v>
      </c>
      <c r="BA1550" s="1097" t="e">
        <f>IF(Table3[[#This Row],[max]]&lt;&gt;0,RANK(Table3[[#This Row],[max]],Table3[max],0),"")</f>
        <v>#DIV/0!</v>
      </c>
      <c r="BB1550" s="1096" t="e">
        <f t="shared" si="889"/>
        <v>#DIV/0!</v>
      </c>
      <c r="BC1550" s="1096" t="e">
        <f t="shared" ca="1" si="890"/>
        <v>#DIV/0!</v>
      </c>
      <c r="BD1550" s="1096" t="e">
        <f>IF(Table3[[#This Row],[max]]&gt;0,Table3[[#This Row],[Crop groups and examples of individual products within the groups to which the MRLs apply]],"")</f>
        <v>#DIV/0!</v>
      </c>
    </row>
    <row r="1551" spans="2:56" x14ac:dyDescent="0.2">
      <c r="B1551" s="23">
        <f t="shared" si="887"/>
        <v>1014050</v>
      </c>
      <c r="C1551" s="23" t="str">
        <f t="shared" si="887"/>
        <v>Goat: Edible offals (other tha liver and kindey)</v>
      </c>
      <c r="D1551" s="1084">
        <f>input_values!E351</f>
        <v>0</v>
      </c>
      <c r="E1551" s="1084">
        <f>input_values!F351</f>
        <v>0</v>
      </c>
      <c r="F1551" s="1085">
        <f>input_values!W351</f>
        <v>1</v>
      </c>
      <c r="G1551" s="1085" t="str">
        <f>IF(Table3[[#This Row],[CF]]&gt;0,CONCATENATE(IF(Table3[[#This Row],[LOQ]]="*","LOQ","MRL"),IF(input_values!G351&gt;0,"×CFrisk","")),"")</f>
        <v>MRL</v>
      </c>
      <c r="H1551" s="1087">
        <f>input_values!L351</f>
        <v>0</v>
      </c>
      <c r="I1551" s="1088">
        <f>input_values!D351</f>
        <v>0</v>
      </c>
      <c r="J1551" s="1098" t="e">
        <f>IF($D$1212="",0,$D1551*Table3[[#This Row],[CF]]*chronic_consumption!$E351/1000/$C$3)</f>
        <v>#DIV/0!</v>
      </c>
      <c r="K1551" s="1098" t="e">
        <f>IF($D$1212="",0,$D1551*Table3[[#This Row],[CF]]*chronic_consumption!$F351/1000/$C$3)</f>
        <v>#DIV/0!</v>
      </c>
      <c r="L1551" s="1098" t="e">
        <f>IF($D$1212="",0,$D1551*Table3[[#This Row],[CF]]*chronic_consumption!$G351/1000/$C$3)</f>
        <v>#DIV/0!</v>
      </c>
      <c r="M1551" s="1098" t="e">
        <f>IF($D$1212="",0,$D1551*Table3[[#This Row],[CF]]*chronic_consumption!$H351/1000/$C$3)</f>
        <v>#DIV/0!</v>
      </c>
      <c r="N1551" s="1098" t="e">
        <f>IF($D$1212="",0,$D1551*Table3[[#This Row],[CF]]*chronic_consumption!$I351/1000/$C$3)</f>
        <v>#DIV/0!</v>
      </c>
      <c r="O1551" s="1098" t="e">
        <f>IF($D$1212="",0,$D1551*Table3[[#This Row],[CF]]*chronic_consumption!$J351/1000/$C$3)</f>
        <v>#DIV/0!</v>
      </c>
      <c r="P1551" s="1098" t="e">
        <f>IF($D$1212="",0,$D1551*Table3[[#This Row],[CF]]*chronic_consumption!$K351/1000/$C$3)</f>
        <v>#DIV/0!</v>
      </c>
      <c r="Q1551" s="1098" t="e">
        <f>IF($D$1212="",0,$D1551*Table3[[#This Row],[CF]]*chronic_consumption!$L351/1000/$C$3)</f>
        <v>#DIV/0!</v>
      </c>
      <c r="R1551" s="1098" t="e">
        <f>IF($D$1212="",0,$D1551*Table3[[#This Row],[CF]]*chronic_consumption!$M351/1000/$C$3)</f>
        <v>#DIV/0!</v>
      </c>
      <c r="S1551" s="1098" t="e">
        <f>IF($D$1212="",0,$D1551*Table3[[#This Row],[CF]]*chronic_consumption!$N351/1000/$C$3)</f>
        <v>#DIV/0!</v>
      </c>
      <c r="T1551" s="1098" t="e">
        <f>IF($D$1212="",0,$D1551*Table3[[#This Row],[CF]]*chronic_consumption!$O351/1000/$C$3)</f>
        <v>#DIV/0!</v>
      </c>
      <c r="U1551" s="1098" t="e">
        <f>IF($D$1212="",0,$D1551*Table3[[#This Row],[CF]]*chronic_consumption!$P351/1000/$C$3)</f>
        <v>#DIV/0!</v>
      </c>
      <c r="V1551" s="1098" t="e">
        <f>IF($D$1212="",0,$D1551*Table3[[#This Row],[CF]]*chronic_consumption!$Q351/1000/$C$3)</f>
        <v>#DIV/0!</v>
      </c>
      <c r="W1551" s="1098" t="e">
        <f>IF($D$1212="",0,$D1551*Table3[[#This Row],[CF]]*chronic_consumption!$R351/1000/$C$3)</f>
        <v>#DIV/0!</v>
      </c>
      <c r="X1551" s="1098" t="e">
        <f>IF($D$1212="",0,$D1551*Table3[[#This Row],[CF]]*chronic_consumption!$S351/1000/$C$3)</f>
        <v>#DIV/0!</v>
      </c>
      <c r="Y1551" s="1098" t="e">
        <f>IF($D$1212="",0,$D1551*Table3[[#This Row],[CF]]*chronic_consumption!$T351/1000/$C$3)</f>
        <v>#DIV/0!</v>
      </c>
      <c r="Z1551" s="1098" t="e">
        <f>IF($D$1212="",0,$D1551*Table3[[#This Row],[CF]]*chronic_consumption!$U351/1000/$C$3)</f>
        <v>#DIV/0!</v>
      </c>
      <c r="AA1551" s="1098" t="e">
        <f>IF($D$1212="",0,$D1551*Table3[[#This Row],[CF]]*chronic_consumption!$V351/1000/$C$3)</f>
        <v>#DIV/0!</v>
      </c>
      <c r="AB1551" s="1098" t="e">
        <f>IF($D$1212="",0,$D1551*Table3[[#This Row],[CF]]*chronic_consumption!$W351/1000/$C$3)</f>
        <v>#DIV/0!</v>
      </c>
      <c r="AC1551" s="1098" t="e">
        <f>IF($D$1212="",0,$D1551*Table3[[#This Row],[CF]]*chronic_consumption!$X351/1000/$C$3)</f>
        <v>#DIV/0!</v>
      </c>
      <c r="AD1551" s="1098" t="e">
        <f>IF($D$1212="",0,$D1551*Table3[[#This Row],[CF]]*chronic_consumption!$Y351/1000/$C$3)</f>
        <v>#DIV/0!</v>
      </c>
      <c r="AE1551" s="1098" t="e">
        <f>IF($D$1212="",0,$D1551*Table3[[#This Row],[CF]]*chronic_consumption!$Z351/1000/$C$3)</f>
        <v>#DIV/0!</v>
      </c>
      <c r="AF1551" s="1098" t="e">
        <f>IF($D$1212="",0,$D1551*Table3[[#This Row],[CF]]*chronic_consumption!$AA351/1000/$C$3)</f>
        <v>#DIV/0!</v>
      </c>
      <c r="AG1551" s="1098" t="e">
        <f>IF($D$1212="",0,$D1551*Table3[[#This Row],[CF]]*chronic_consumption!$AB351/1000/$C$3)</f>
        <v>#DIV/0!</v>
      </c>
      <c r="AH1551" s="1098" t="e">
        <f>IF($D$1212="",0,$D1551*Table3[[#This Row],[CF]]*chronic_consumption!$AC351/1000/$C$3)</f>
        <v>#DIV/0!</v>
      </c>
      <c r="AI1551" s="1098" t="e">
        <f>IF($D$1212="",0,$D1551*Table3[[#This Row],[CF]]*chronic_consumption!$AD351/1000/$C$3)</f>
        <v>#DIV/0!</v>
      </c>
      <c r="AJ1551" s="1098" t="e">
        <f>IF($D$1212="",0,$D1551*Table3[[#This Row],[CF]]*chronic_consumption!$AE351/1000/$C$3)</f>
        <v>#DIV/0!</v>
      </c>
      <c r="AK1551" s="1098" t="e">
        <f>IF($D$1212="",0,$D1551*Table3[[#This Row],[CF]]*chronic_consumption!$AF351/1000/$C$3)</f>
        <v>#DIV/0!</v>
      </c>
      <c r="AL1551" s="1098" t="e">
        <f>IF($D$1212="",0,$D1551*Table3[[#This Row],[CF]]*chronic_consumption!$AG351/1000/$C$3)</f>
        <v>#DIV/0!</v>
      </c>
      <c r="AM1551" s="1098" t="e">
        <f>IF($D$1212="",0,$D1551*Table3[[#This Row],[CF]]*chronic_consumption!$AH351/1000/$C$3)</f>
        <v>#DIV/0!</v>
      </c>
      <c r="AN1551" s="1098" t="e">
        <f>IF($D$1212="",0,$D1551*Table3[[#This Row],[CF]]*chronic_consumption!$AI351/1000/$C$3)</f>
        <v>#DIV/0!</v>
      </c>
      <c r="AO1551" s="1098" t="e">
        <f>IF($D$1212="",0,$D1551*Table3[[#This Row],[CF]]*chronic_consumption!$AJ351/1000/$C$3)</f>
        <v>#DIV/0!</v>
      </c>
      <c r="AP1551" s="1098" t="e">
        <f>IF($D$1212="",0,$D1551*Table3[[#This Row],[CF]]*chronic_consumption!$AK351/1000/$C$3)</f>
        <v>#DIV/0!</v>
      </c>
      <c r="AQ1551" s="1098" t="e">
        <f>IF($D$1212="",0,$D1551*Table3[[#This Row],[CF]]*chronic_consumption!$AL351/1000/$C$3)</f>
        <v>#DIV/0!</v>
      </c>
      <c r="AR1551" s="1098" t="e">
        <f>IF($D$1212="",0,$D1551*Table3[[#This Row],[CF]]*chronic_consumption!$AM351/1000/$C$3)</f>
        <v>#DIV/0!</v>
      </c>
      <c r="AS1551" s="1098" t="e">
        <f>IF($D$1212="",0,$D1551*Table3[[#This Row],[CF]]*chronic_consumption!$AN351/1000/$C$3)</f>
        <v>#DIV/0!</v>
      </c>
      <c r="AT1551" s="1098" t="e">
        <f>IF($D$1212="",0,$D1551*Table3[[#This Row],[CF]]*chronic_consumption!$AO351/1000/$C$3)</f>
        <v>#DIV/0!</v>
      </c>
      <c r="AU1551" s="1099" t="e">
        <f t="shared" si="891"/>
        <v>#DIV/0!</v>
      </c>
      <c r="AV1551" s="1099" t="e">
        <f t="shared" si="891"/>
        <v>#DIV/0!</v>
      </c>
      <c r="AW1551" s="1099" t="e">
        <f t="shared" si="891"/>
        <v>#DIV/0!</v>
      </c>
      <c r="AX1551" s="1099" t="e">
        <f t="shared" si="891"/>
        <v>#DIV/0!</v>
      </c>
      <c r="AY1551" s="1099" t="e">
        <f t="shared" si="891"/>
        <v>#DIV/0!</v>
      </c>
      <c r="AZ1551" s="1091" t="s">
        <v>1012</v>
      </c>
      <c r="BA1551" s="1097" t="e">
        <f>IF(Table3[[#This Row],[max]]&lt;&gt;0,RANK(Table3[[#This Row],[max]],Table3[max],0),"")</f>
        <v>#DIV/0!</v>
      </c>
      <c r="BB1551" s="1096" t="e">
        <f t="shared" si="889"/>
        <v>#DIV/0!</v>
      </c>
      <c r="BC1551" s="1096" t="e">
        <f t="shared" ca="1" si="890"/>
        <v>#DIV/0!</v>
      </c>
      <c r="BD1551" s="1096" t="e">
        <f>IF(Table3[[#This Row],[max]]&gt;0,Table3[[#This Row],[Crop groups and examples of individual products within the groups to which the MRLs apply]],"")</f>
        <v>#DIV/0!</v>
      </c>
    </row>
    <row r="1552" spans="2:56" x14ac:dyDescent="0.2">
      <c r="B1552" s="23">
        <f t="shared" ref="B1552:C1571" si="892">B352</f>
        <v>1014990</v>
      </c>
      <c r="C1552" s="23" t="str">
        <f t="shared" si="892"/>
        <v>Goat: other products</v>
      </c>
      <c r="D1552" s="1084">
        <f>input_values!E352</f>
        <v>0</v>
      </c>
      <c r="E1552" s="1084">
        <f>input_values!F352</f>
        <v>0</v>
      </c>
      <c r="F1552" s="1085">
        <f>input_values!W352</f>
        <v>1</v>
      </c>
      <c r="G1552" s="1085" t="str">
        <f>IF(Table3[[#This Row],[CF]]&gt;0,CONCATENATE(IF(Table3[[#This Row],[LOQ]]="*","LOQ","MRL"),IF(input_values!G352&gt;0,"×CFrisk","")),"")</f>
        <v>MRL</v>
      </c>
      <c r="H1552" s="1087">
        <f>input_values!L352</f>
        <v>0</v>
      </c>
      <c r="I1552" s="1088">
        <f>input_values!D352</f>
        <v>0</v>
      </c>
      <c r="J1552" s="1098" t="e">
        <f>IF($D$1212="",0,$D1552*Table3[[#This Row],[CF]]*chronic_consumption!$E352/1000/$C$3)</f>
        <v>#DIV/0!</v>
      </c>
      <c r="K1552" s="1098" t="e">
        <f>IF($D$1212="",0,$D1552*Table3[[#This Row],[CF]]*chronic_consumption!$F352/1000/$C$3)</f>
        <v>#DIV/0!</v>
      </c>
      <c r="L1552" s="1098" t="e">
        <f>IF($D$1212="",0,$D1552*Table3[[#This Row],[CF]]*chronic_consumption!$G352/1000/$C$3)</f>
        <v>#DIV/0!</v>
      </c>
      <c r="M1552" s="1098" t="e">
        <f>IF($D$1212="",0,$D1552*Table3[[#This Row],[CF]]*chronic_consumption!$H352/1000/$C$3)</f>
        <v>#DIV/0!</v>
      </c>
      <c r="N1552" s="1098" t="e">
        <f>IF($D$1212="",0,$D1552*Table3[[#This Row],[CF]]*chronic_consumption!$I352/1000/$C$3)</f>
        <v>#DIV/0!</v>
      </c>
      <c r="O1552" s="1098" t="e">
        <f>IF($D$1212="",0,$D1552*Table3[[#This Row],[CF]]*chronic_consumption!$J352/1000/$C$3)</f>
        <v>#DIV/0!</v>
      </c>
      <c r="P1552" s="1098" t="e">
        <f>IF($D$1212="",0,$D1552*Table3[[#This Row],[CF]]*chronic_consumption!$K352/1000/$C$3)</f>
        <v>#DIV/0!</v>
      </c>
      <c r="Q1552" s="1098" t="e">
        <f>IF($D$1212="",0,$D1552*Table3[[#This Row],[CF]]*chronic_consumption!$L352/1000/$C$3)</f>
        <v>#DIV/0!</v>
      </c>
      <c r="R1552" s="1098" t="e">
        <f>IF($D$1212="",0,$D1552*Table3[[#This Row],[CF]]*chronic_consumption!$M352/1000/$C$3)</f>
        <v>#DIV/0!</v>
      </c>
      <c r="S1552" s="1098" t="e">
        <f>IF($D$1212="",0,$D1552*Table3[[#This Row],[CF]]*chronic_consumption!$N352/1000/$C$3)</f>
        <v>#DIV/0!</v>
      </c>
      <c r="T1552" s="1098" t="e">
        <f>IF($D$1212="",0,$D1552*Table3[[#This Row],[CF]]*chronic_consumption!$O352/1000/$C$3)</f>
        <v>#DIV/0!</v>
      </c>
      <c r="U1552" s="1098" t="e">
        <f>IF($D$1212="",0,$D1552*Table3[[#This Row],[CF]]*chronic_consumption!$P352/1000/$C$3)</f>
        <v>#DIV/0!</v>
      </c>
      <c r="V1552" s="1098" t="e">
        <f>IF($D$1212="",0,$D1552*Table3[[#This Row],[CF]]*chronic_consumption!$Q352/1000/$C$3)</f>
        <v>#DIV/0!</v>
      </c>
      <c r="W1552" s="1098" t="e">
        <f>IF($D$1212="",0,$D1552*Table3[[#This Row],[CF]]*chronic_consumption!$R352/1000/$C$3)</f>
        <v>#DIV/0!</v>
      </c>
      <c r="X1552" s="1098" t="e">
        <f>IF($D$1212="",0,$D1552*Table3[[#This Row],[CF]]*chronic_consumption!$S352/1000/$C$3)</f>
        <v>#DIV/0!</v>
      </c>
      <c r="Y1552" s="1098" t="e">
        <f>IF($D$1212="",0,$D1552*Table3[[#This Row],[CF]]*chronic_consumption!$T352/1000/$C$3)</f>
        <v>#DIV/0!</v>
      </c>
      <c r="Z1552" s="1098" t="e">
        <f>IF($D$1212="",0,$D1552*Table3[[#This Row],[CF]]*chronic_consumption!$U352/1000/$C$3)</f>
        <v>#DIV/0!</v>
      </c>
      <c r="AA1552" s="1098" t="e">
        <f>IF($D$1212="",0,$D1552*Table3[[#This Row],[CF]]*chronic_consumption!$V352/1000/$C$3)</f>
        <v>#DIV/0!</v>
      </c>
      <c r="AB1552" s="1098" t="e">
        <f>IF($D$1212="",0,$D1552*Table3[[#This Row],[CF]]*chronic_consumption!$W352/1000/$C$3)</f>
        <v>#DIV/0!</v>
      </c>
      <c r="AC1552" s="1098" t="e">
        <f>IF($D$1212="",0,$D1552*Table3[[#This Row],[CF]]*chronic_consumption!$X352/1000/$C$3)</f>
        <v>#DIV/0!</v>
      </c>
      <c r="AD1552" s="1098" t="e">
        <f>IF($D$1212="",0,$D1552*Table3[[#This Row],[CF]]*chronic_consumption!$Y352/1000/$C$3)</f>
        <v>#DIV/0!</v>
      </c>
      <c r="AE1552" s="1098" t="e">
        <f>IF($D$1212="",0,$D1552*Table3[[#This Row],[CF]]*chronic_consumption!$Z352/1000/$C$3)</f>
        <v>#DIV/0!</v>
      </c>
      <c r="AF1552" s="1098" t="e">
        <f>IF($D$1212="",0,$D1552*Table3[[#This Row],[CF]]*chronic_consumption!$AA352/1000/$C$3)</f>
        <v>#DIV/0!</v>
      </c>
      <c r="AG1552" s="1098" t="e">
        <f>IF($D$1212="",0,$D1552*Table3[[#This Row],[CF]]*chronic_consumption!$AB352/1000/$C$3)</f>
        <v>#DIV/0!</v>
      </c>
      <c r="AH1552" s="1098" t="e">
        <f>IF($D$1212="",0,$D1552*Table3[[#This Row],[CF]]*chronic_consumption!$AC352/1000/$C$3)</f>
        <v>#DIV/0!</v>
      </c>
      <c r="AI1552" s="1098" t="e">
        <f>IF($D$1212="",0,$D1552*Table3[[#This Row],[CF]]*chronic_consumption!$AD352/1000/$C$3)</f>
        <v>#DIV/0!</v>
      </c>
      <c r="AJ1552" s="1098" t="e">
        <f>IF($D$1212="",0,$D1552*Table3[[#This Row],[CF]]*chronic_consumption!$AE352/1000/$C$3)</f>
        <v>#DIV/0!</v>
      </c>
      <c r="AK1552" s="1098" t="e">
        <f>IF($D$1212="",0,$D1552*Table3[[#This Row],[CF]]*chronic_consumption!$AF352/1000/$C$3)</f>
        <v>#DIV/0!</v>
      </c>
      <c r="AL1552" s="1098" t="e">
        <f>IF($D$1212="",0,$D1552*Table3[[#This Row],[CF]]*chronic_consumption!$AG352/1000/$C$3)</f>
        <v>#DIV/0!</v>
      </c>
      <c r="AM1552" s="1098" t="e">
        <f>IF($D$1212="",0,$D1552*Table3[[#This Row],[CF]]*chronic_consumption!$AH352/1000/$C$3)</f>
        <v>#DIV/0!</v>
      </c>
      <c r="AN1552" s="1098" t="e">
        <f>IF($D$1212="",0,$D1552*Table3[[#This Row],[CF]]*chronic_consumption!$AI352/1000/$C$3)</f>
        <v>#DIV/0!</v>
      </c>
      <c r="AO1552" s="1098" t="e">
        <f>IF($D$1212="",0,$D1552*Table3[[#This Row],[CF]]*chronic_consumption!$AJ352/1000/$C$3)</f>
        <v>#DIV/0!</v>
      </c>
      <c r="AP1552" s="1098" t="e">
        <f>IF($D$1212="",0,$D1552*Table3[[#This Row],[CF]]*chronic_consumption!$AK352/1000/$C$3)</f>
        <v>#DIV/0!</v>
      </c>
      <c r="AQ1552" s="1098" t="e">
        <f>IF($D$1212="",0,$D1552*Table3[[#This Row],[CF]]*chronic_consumption!$AL352/1000/$C$3)</f>
        <v>#DIV/0!</v>
      </c>
      <c r="AR1552" s="1098" t="e">
        <f>IF($D$1212="",0,$D1552*Table3[[#This Row],[CF]]*chronic_consumption!$AM352/1000/$C$3)</f>
        <v>#DIV/0!</v>
      </c>
      <c r="AS1552" s="1098" t="e">
        <f>IF($D$1212="",0,$D1552*Table3[[#This Row],[CF]]*chronic_consumption!$AN352/1000/$C$3)</f>
        <v>#DIV/0!</v>
      </c>
      <c r="AT1552" s="1098" t="e">
        <f>IF($D$1212="",0,$D1552*Table3[[#This Row],[CF]]*chronic_consumption!$AO352/1000/$C$3)</f>
        <v>#DIV/0!</v>
      </c>
      <c r="AU1552" s="1099" t="e">
        <f t="shared" ref="AU1552:AY1561" si="893">IF(AU752="",0,IF(OR(1=RANK(AU1152,AU$412:AU$790,0),(2=RANK(AU1152,AU$412:AU$790,0))),AU1152,AU752))</f>
        <v>#DIV/0!</v>
      </c>
      <c r="AV1552" s="1099" t="e">
        <f t="shared" si="893"/>
        <v>#DIV/0!</v>
      </c>
      <c r="AW1552" s="1099" t="e">
        <f t="shared" si="893"/>
        <v>#DIV/0!</v>
      </c>
      <c r="AX1552" s="1099" t="e">
        <f t="shared" si="893"/>
        <v>#DIV/0!</v>
      </c>
      <c r="AY1552" s="1099" t="e">
        <f t="shared" si="893"/>
        <v>#DIV/0!</v>
      </c>
      <c r="AZ1552" s="1091" t="s">
        <v>1012</v>
      </c>
      <c r="BA1552" s="1097" t="e">
        <f>IF(Table3[[#This Row],[max]]&lt;&gt;0,RANK(Table3[[#This Row],[max]],Table3[max],0),"")</f>
        <v>#DIV/0!</v>
      </c>
      <c r="BB1552" s="1096" t="e">
        <f t="shared" si="889"/>
        <v>#DIV/0!</v>
      </c>
      <c r="BC1552" s="1096" t="e">
        <f t="shared" ca="1" si="890"/>
        <v>#DIV/0!</v>
      </c>
      <c r="BD1552" s="1096" t="e">
        <f>IF(Table3[[#This Row],[max]]&gt;0,Table3[[#This Row],[Crop groups and examples of individual products within the groups to which the MRLs apply]],"")</f>
        <v>#DIV/0!</v>
      </c>
    </row>
    <row r="1553" spans="2:56" x14ac:dyDescent="0.2">
      <c r="B1553" s="5">
        <f t="shared" si="892"/>
        <v>1015000</v>
      </c>
      <c r="C1553" s="5" t="str">
        <f t="shared" si="892"/>
        <v>Equine</v>
      </c>
      <c r="D1553" s="1084">
        <f>input_values!E353</f>
        <v>0</v>
      </c>
      <c r="E1553" s="1084">
        <f>input_values!F353</f>
        <v>0</v>
      </c>
      <c r="F1553" s="1085">
        <f>input_values!W353</f>
        <v>0</v>
      </c>
      <c r="G1553" s="1085" t="str">
        <f>IF(Table3[[#This Row],[CF]]&gt;0,CONCATENATE(IF(Table3[[#This Row],[LOQ]]="*","LOQ","MRL"),IF(input_values!G353&gt;0,"×CFrisk","")),"")</f>
        <v/>
      </c>
      <c r="H1553" s="1087">
        <f>input_values!L353</f>
        <v>0</v>
      </c>
      <c r="I1553" s="1088">
        <f>input_values!D353</f>
        <v>0</v>
      </c>
      <c r="J1553" s="1103" t="e">
        <f>IF($D$1212="",0,$D1553*Table3[[#This Row],[CF]]*chronic_consumption!$E353/1000/$C$3)</f>
        <v>#DIV/0!</v>
      </c>
      <c r="K1553" s="1103" t="e">
        <f>IF($D$1212="",0,$D1553*Table3[[#This Row],[CF]]*chronic_consumption!$F353/1000/$C$3)</f>
        <v>#DIV/0!</v>
      </c>
      <c r="L1553" s="1103" t="e">
        <f>IF($D$1212="",0,$D1553*Table3[[#This Row],[CF]]*chronic_consumption!$G353/1000/$C$3)</f>
        <v>#DIV/0!</v>
      </c>
      <c r="M1553" s="1103" t="e">
        <f>IF($D$1212="",0,$D1553*Table3[[#This Row],[CF]]*chronic_consumption!$H353/1000/$C$3)</f>
        <v>#DIV/0!</v>
      </c>
      <c r="N1553" s="1103" t="e">
        <f>IF($D$1212="",0,$D1553*Table3[[#This Row],[CF]]*chronic_consumption!$I353/1000/$C$3)</f>
        <v>#DIV/0!</v>
      </c>
      <c r="O1553" s="1103" t="e">
        <f>IF($D$1212="",0,$D1553*Table3[[#This Row],[CF]]*chronic_consumption!$J353/1000/$C$3)</f>
        <v>#DIV/0!</v>
      </c>
      <c r="P1553" s="1103" t="e">
        <f>IF($D$1212="",0,$D1553*Table3[[#This Row],[CF]]*chronic_consumption!$K353/1000/$C$3)</f>
        <v>#DIV/0!</v>
      </c>
      <c r="Q1553" s="1103" t="e">
        <f>IF($D$1212="",0,$D1553*Table3[[#This Row],[CF]]*chronic_consumption!$L353/1000/$C$3)</f>
        <v>#DIV/0!</v>
      </c>
      <c r="R1553" s="1103" t="e">
        <f>IF($D$1212="",0,$D1553*Table3[[#This Row],[CF]]*chronic_consumption!$M353/1000/$C$3)</f>
        <v>#DIV/0!</v>
      </c>
      <c r="S1553" s="1103" t="e">
        <f>IF($D$1212="",0,$D1553*Table3[[#This Row],[CF]]*chronic_consumption!$N353/1000/$C$3)</f>
        <v>#DIV/0!</v>
      </c>
      <c r="T1553" s="1103" t="e">
        <f>IF($D$1212="",0,$D1553*Table3[[#This Row],[CF]]*chronic_consumption!$O353/1000/$C$3)</f>
        <v>#DIV/0!</v>
      </c>
      <c r="U1553" s="1103" t="e">
        <f>IF($D$1212="",0,$D1553*Table3[[#This Row],[CF]]*chronic_consumption!$P353/1000/$C$3)</f>
        <v>#DIV/0!</v>
      </c>
      <c r="V1553" s="1103" t="e">
        <f>IF($D$1212="",0,$D1553*Table3[[#This Row],[CF]]*chronic_consumption!$Q353/1000/$C$3)</f>
        <v>#DIV/0!</v>
      </c>
      <c r="W1553" s="1103" t="e">
        <f>IF($D$1212="",0,$D1553*Table3[[#This Row],[CF]]*chronic_consumption!$R353/1000/$C$3)</f>
        <v>#DIV/0!</v>
      </c>
      <c r="X1553" s="1103" t="e">
        <f>IF($D$1212="",0,$D1553*Table3[[#This Row],[CF]]*chronic_consumption!$S353/1000/$C$3)</f>
        <v>#DIV/0!</v>
      </c>
      <c r="Y1553" s="1103" t="e">
        <f>IF($D$1212="",0,$D1553*Table3[[#This Row],[CF]]*chronic_consumption!$T353/1000/$C$3)</f>
        <v>#DIV/0!</v>
      </c>
      <c r="Z1553" s="1103" t="e">
        <f>IF($D$1212="",0,$D1553*Table3[[#This Row],[CF]]*chronic_consumption!$U353/1000/$C$3)</f>
        <v>#DIV/0!</v>
      </c>
      <c r="AA1553" s="1103" t="e">
        <f>IF($D$1212="",0,$D1553*Table3[[#This Row],[CF]]*chronic_consumption!$V353/1000/$C$3)</f>
        <v>#DIV/0!</v>
      </c>
      <c r="AB1553" s="1103" t="e">
        <f>IF($D$1212="",0,$D1553*Table3[[#This Row],[CF]]*chronic_consumption!$W353/1000/$C$3)</f>
        <v>#DIV/0!</v>
      </c>
      <c r="AC1553" s="1103" t="e">
        <f>IF($D$1212="",0,$D1553*Table3[[#This Row],[CF]]*chronic_consumption!$X353/1000/$C$3)</f>
        <v>#DIV/0!</v>
      </c>
      <c r="AD1553" s="1103" t="e">
        <f>IF($D$1212="",0,$D1553*Table3[[#This Row],[CF]]*chronic_consumption!$Y353/1000/$C$3)</f>
        <v>#DIV/0!</v>
      </c>
      <c r="AE1553" s="1103" t="e">
        <f>IF($D$1212="",0,$D1553*Table3[[#This Row],[CF]]*chronic_consumption!$Z353/1000/$C$3)</f>
        <v>#DIV/0!</v>
      </c>
      <c r="AF1553" s="1103" t="e">
        <f>IF($D$1212="",0,$D1553*Table3[[#This Row],[CF]]*chronic_consumption!$AA353/1000/$C$3)</f>
        <v>#DIV/0!</v>
      </c>
      <c r="AG1553" s="1103" t="e">
        <f>IF($D$1212="",0,$D1553*Table3[[#This Row],[CF]]*chronic_consumption!$AB353/1000/$C$3)</f>
        <v>#DIV/0!</v>
      </c>
      <c r="AH1553" s="1103" t="e">
        <f>IF($D$1212="",0,$D1553*Table3[[#This Row],[CF]]*chronic_consumption!$AC353/1000/$C$3)</f>
        <v>#DIV/0!</v>
      </c>
      <c r="AI1553" s="1103" t="e">
        <f>IF($D$1212="",0,$D1553*Table3[[#This Row],[CF]]*chronic_consumption!$AD353/1000/$C$3)</f>
        <v>#DIV/0!</v>
      </c>
      <c r="AJ1553" s="1103" t="e">
        <f>IF($D$1212="",0,$D1553*Table3[[#This Row],[CF]]*chronic_consumption!$AE353/1000/$C$3)</f>
        <v>#DIV/0!</v>
      </c>
      <c r="AK1553" s="1103" t="e">
        <f>IF($D$1212="",0,$D1553*Table3[[#This Row],[CF]]*chronic_consumption!$AF353/1000/$C$3)</f>
        <v>#DIV/0!</v>
      </c>
      <c r="AL1553" s="1103" t="e">
        <f>IF($D$1212="",0,$D1553*Table3[[#This Row],[CF]]*chronic_consumption!$AG353/1000/$C$3)</f>
        <v>#DIV/0!</v>
      </c>
      <c r="AM1553" s="1103" t="e">
        <f>IF($D$1212="",0,$D1553*Table3[[#This Row],[CF]]*chronic_consumption!$AH353/1000/$C$3)</f>
        <v>#DIV/0!</v>
      </c>
      <c r="AN1553" s="1103" t="e">
        <f>IF($D$1212="",0,$D1553*Table3[[#This Row],[CF]]*chronic_consumption!$AI353/1000/$C$3)</f>
        <v>#DIV/0!</v>
      </c>
      <c r="AO1553" s="1103" t="e">
        <f>IF($D$1212="",0,$D1553*Table3[[#This Row],[CF]]*chronic_consumption!$AJ353/1000/$C$3)</f>
        <v>#DIV/0!</v>
      </c>
      <c r="AP1553" s="1103" t="e">
        <f>IF($D$1212="",0,$D1553*Table3[[#This Row],[CF]]*chronic_consumption!$AK353/1000/$C$3)</f>
        <v>#DIV/0!</v>
      </c>
      <c r="AQ1553" s="1103" t="e">
        <f>IF($D$1212="",0,$D1553*Table3[[#This Row],[CF]]*chronic_consumption!$AL353/1000/$C$3)</f>
        <v>#DIV/0!</v>
      </c>
      <c r="AR1553" s="1103" t="e">
        <f>IF($D$1212="",0,$D1553*Table3[[#This Row],[CF]]*chronic_consumption!$AM353/1000/$C$3)</f>
        <v>#DIV/0!</v>
      </c>
      <c r="AS1553" s="1103" t="e">
        <f>IF($D$1212="",0,$D1553*Table3[[#This Row],[CF]]*chronic_consumption!$AN353/1000/$C$3)</f>
        <v>#DIV/0!</v>
      </c>
      <c r="AT1553" s="1103" t="e">
        <f>IF($D$1212="",0,$D1553*Table3[[#This Row],[CF]]*chronic_consumption!$AO353/1000/$C$3)</f>
        <v>#DIV/0!</v>
      </c>
      <c r="AU1553" s="1104" t="e">
        <f t="shared" si="893"/>
        <v>#DIV/0!</v>
      </c>
      <c r="AV1553" s="1104" t="e">
        <f t="shared" si="893"/>
        <v>#DIV/0!</v>
      </c>
      <c r="AW1553" s="1104" t="e">
        <f t="shared" si="893"/>
        <v>#DIV/0!</v>
      </c>
      <c r="AX1553" s="1104" t="e">
        <f t="shared" si="893"/>
        <v>#DIV/0!</v>
      </c>
      <c r="AY1553" s="1104" t="e">
        <f t="shared" si="893"/>
        <v>#DIV/0!</v>
      </c>
      <c r="AZ1553" s="1091" t="s">
        <v>1012</v>
      </c>
      <c r="BA1553" s="1097" t="e">
        <f>IF(Table3[[#This Row],[max]]&lt;&gt;0,RANK(Table3[[#This Row],[max]],Table3[max],0),"")</f>
        <v>#DIV/0!</v>
      </c>
      <c r="BB1553" s="1096" t="e">
        <f t="shared" si="889"/>
        <v>#DIV/0!</v>
      </c>
      <c r="BC1553" s="1096" t="e">
        <f t="shared" ca="1" si="890"/>
        <v>#DIV/0!</v>
      </c>
      <c r="BD1553" s="1096" t="e">
        <f>IF(Table3[[#This Row],[max]]&gt;0,Table3[[#This Row],[Crop groups and examples of individual products within the groups to which the MRLs apply]],"")</f>
        <v>#DIV/0!</v>
      </c>
    </row>
    <row r="1554" spans="2:56" x14ac:dyDescent="0.2">
      <c r="B1554" s="23">
        <f t="shared" si="892"/>
        <v>1015010</v>
      </c>
      <c r="C1554" s="23" t="str">
        <f t="shared" si="892"/>
        <v>Equine: Muscle/meat</v>
      </c>
      <c r="D1554" s="1084">
        <f>input_values!E354</f>
        <v>0</v>
      </c>
      <c r="E1554" s="1084">
        <f>input_values!F354</f>
        <v>0</v>
      </c>
      <c r="F1554" s="1085">
        <f>input_values!W354</f>
        <v>1</v>
      </c>
      <c r="G1554" s="1085" t="str">
        <f>IF(Table3[[#This Row],[CF]]&gt;0,CONCATENATE(IF(Table3[[#This Row],[LOQ]]="*","LOQ","MRL"),IF(input_values!G354&gt;0,"×CFrisk","")),"")</f>
        <v>MRL</v>
      </c>
      <c r="H1554" s="1087">
        <f>input_values!L354</f>
        <v>0</v>
      </c>
      <c r="I1554" s="1088">
        <f>input_values!D354</f>
        <v>0</v>
      </c>
      <c r="J1554" s="1098" t="e">
        <f>IF($D$1212="",0,$D1554*Table3[[#This Row],[CF]]*chronic_consumption!$E354/1000/$C$3)</f>
        <v>#DIV/0!</v>
      </c>
      <c r="K1554" s="1098" t="e">
        <f>IF($D$1212="",0,$D1554*Table3[[#This Row],[CF]]*chronic_consumption!$F354/1000/$C$3)</f>
        <v>#DIV/0!</v>
      </c>
      <c r="L1554" s="1098" t="e">
        <f>IF($D$1212="",0,$D1554*Table3[[#This Row],[CF]]*chronic_consumption!$G354/1000/$C$3)</f>
        <v>#DIV/0!</v>
      </c>
      <c r="M1554" s="1098" t="e">
        <f>IF($D$1212="",0,$D1554*Table3[[#This Row],[CF]]*chronic_consumption!$H354/1000/$C$3)</f>
        <v>#DIV/0!</v>
      </c>
      <c r="N1554" s="1098" t="e">
        <f>IF($D$1212="",0,$D1554*Table3[[#This Row],[CF]]*chronic_consumption!$I354/1000/$C$3)</f>
        <v>#DIV/0!</v>
      </c>
      <c r="O1554" s="1098" t="e">
        <f>IF($D$1212="",0,$D1554*Table3[[#This Row],[CF]]*chronic_consumption!$J354/1000/$C$3)</f>
        <v>#DIV/0!</v>
      </c>
      <c r="P1554" s="1098" t="e">
        <f>IF($D$1212="",0,$D1554*Table3[[#This Row],[CF]]*chronic_consumption!$K354/1000/$C$3)</f>
        <v>#DIV/0!</v>
      </c>
      <c r="Q1554" s="1098" t="e">
        <f>IF($D$1212="",0,$D1554*Table3[[#This Row],[CF]]*chronic_consumption!$L354/1000/$C$3)</f>
        <v>#DIV/0!</v>
      </c>
      <c r="R1554" s="1098" t="e">
        <f>IF($D$1212="",0,$D1554*Table3[[#This Row],[CF]]*chronic_consumption!$M354/1000/$C$3)</f>
        <v>#DIV/0!</v>
      </c>
      <c r="S1554" s="1098" t="e">
        <f>IF($D$1212="",0,$D1554*Table3[[#This Row],[CF]]*chronic_consumption!$N354/1000/$C$3)</f>
        <v>#DIV/0!</v>
      </c>
      <c r="T1554" s="1098" t="e">
        <f>IF($D$1212="",0,$D1554*Table3[[#This Row],[CF]]*chronic_consumption!$O354/1000/$C$3)</f>
        <v>#DIV/0!</v>
      </c>
      <c r="U1554" s="1098" t="e">
        <f>IF($D$1212="",0,$D1554*Table3[[#This Row],[CF]]*chronic_consumption!$P354/1000/$C$3)</f>
        <v>#DIV/0!</v>
      </c>
      <c r="V1554" s="1098" t="e">
        <f>IF($D$1212="",0,$D1554*Table3[[#This Row],[CF]]*chronic_consumption!$Q354/1000/$C$3)</f>
        <v>#DIV/0!</v>
      </c>
      <c r="W1554" s="1098" t="e">
        <f>IF($D$1212="",0,$D1554*Table3[[#This Row],[CF]]*chronic_consumption!$R354/1000/$C$3)</f>
        <v>#DIV/0!</v>
      </c>
      <c r="X1554" s="1098" t="e">
        <f>IF($D$1212="",0,$D1554*Table3[[#This Row],[CF]]*chronic_consumption!$S354/1000/$C$3)</f>
        <v>#DIV/0!</v>
      </c>
      <c r="Y1554" s="1098" t="e">
        <f>IF($D$1212="",0,$D1554*Table3[[#This Row],[CF]]*chronic_consumption!$T354/1000/$C$3)</f>
        <v>#DIV/0!</v>
      </c>
      <c r="Z1554" s="1098" t="e">
        <f>IF($D$1212="",0,$D1554*Table3[[#This Row],[CF]]*chronic_consumption!$U354/1000/$C$3)</f>
        <v>#DIV/0!</v>
      </c>
      <c r="AA1554" s="1098" t="e">
        <f>IF($D$1212="",0,$D1554*Table3[[#This Row],[CF]]*chronic_consumption!$V354/1000/$C$3)</f>
        <v>#DIV/0!</v>
      </c>
      <c r="AB1554" s="1098" t="e">
        <f>IF($D$1212="",0,$D1554*Table3[[#This Row],[CF]]*chronic_consumption!$W354/1000/$C$3)</f>
        <v>#DIV/0!</v>
      </c>
      <c r="AC1554" s="1098" t="e">
        <f>IF($D$1212="",0,$D1554*Table3[[#This Row],[CF]]*chronic_consumption!$X354/1000/$C$3)</f>
        <v>#DIV/0!</v>
      </c>
      <c r="AD1554" s="1098" t="e">
        <f>IF($D$1212="",0,$D1554*Table3[[#This Row],[CF]]*chronic_consumption!$Y354/1000/$C$3)</f>
        <v>#DIV/0!</v>
      </c>
      <c r="AE1554" s="1098" t="e">
        <f>IF($D$1212="",0,$D1554*Table3[[#This Row],[CF]]*chronic_consumption!$Z354/1000/$C$3)</f>
        <v>#DIV/0!</v>
      </c>
      <c r="AF1554" s="1098" t="e">
        <f>IF($D$1212="",0,$D1554*Table3[[#This Row],[CF]]*chronic_consumption!$AA354/1000/$C$3)</f>
        <v>#DIV/0!</v>
      </c>
      <c r="AG1554" s="1098" t="e">
        <f>IF($D$1212="",0,$D1554*Table3[[#This Row],[CF]]*chronic_consumption!$AB354/1000/$C$3)</f>
        <v>#DIV/0!</v>
      </c>
      <c r="AH1554" s="1098" t="e">
        <f>IF($D$1212="",0,$D1554*Table3[[#This Row],[CF]]*chronic_consumption!$AC354/1000/$C$3)</f>
        <v>#DIV/0!</v>
      </c>
      <c r="AI1554" s="1098" t="e">
        <f>IF($D$1212="",0,$D1554*Table3[[#This Row],[CF]]*chronic_consumption!$AD354/1000/$C$3)</f>
        <v>#DIV/0!</v>
      </c>
      <c r="AJ1554" s="1098" t="e">
        <f>IF($D$1212="",0,$D1554*Table3[[#This Row],[CF]]*chronic_consumption!$AE354/1000/$C$3)</f>
        <v>#DIV/0!</v>
      </c>
      <c r="AK1554" s="1098" t="e">
        <f>IF($D$1212="",0,$D1554*Table3[[#This Row],[CF]]*chronic_consumption!$AF354/1000/$C$3)</f>
        <v>#DIV/0!</v>
      </c>
      <c r="AL1554" s="1098" t="e">
        <f>IF($D$1212="",0,$D1554*Table3[[#This Row],[CF]]*chronic_consumption!$AG354/1000/$C$3)</f>
        <v>#DIV/0!</v>
      </c>
      <c r="AM1554" s="1098" t="e">
        <f>IF($D$1212="",0,$D1554*Table3[[#This Row],[CF]]*chronic_consumption!$AH354/1000/$C$3)</f>
        <v>#DIV/0!</v>
      </c>
      <c r="AN1554" s="1098" t="e">
        <f>IF($D$1212="",0,$D1554*Table3[[#This Row],[CF]]*chronic_consumption!$AI354/1000/$C$3)</f>
        <v>#DIV/0!</v>
      </c>
      <c r="AO1554" s="1098" t="e">
        <f>IF($D$1212="",0,$D1554*Table3[[#This Row],[CF]]*chronic_consumption!$AJ354/1000/$C$3)</f>
        <v>#DIV/0!</v>
      </c>
      <c r="AP1554" s="1098" t="e">
        <f>IF($D$1212="",0,$D1554*Table3[[#This Row],[CF]]*chronic_consumption!$AK354/1000/$C$3)</f>
        <v>#DIV/0!</v>
      </c>
      <c r="AQ1554" s="1098" t="e">
        <f>IF($D$1212="",0,$D1554*Table3[[#This Row],[CF]]*chronic_consumption!$AL354/1000/$C$3)</f>
        <v>#DIV/0!</v>
      </c>
      <c r="AR1554" s="1098" t="e">
        <f>IF($D$1212="",0,$D1554*Table3[[#This Row],[CF]]*chronic_consumption!$AM354/1000/$C$3)</f>
        <v>#DIV/0!</v>
      </c>
      <c r="AS1554" s="1098" t="e">
        <f>IF($D$1212="",0,$D1554*Table3[[#This Row],[CF]]*chronic_consumption!$AN354/1000/$C$3)</f>
        <v>#DIV/0!</v>
      </c>
      <c r="AT1554" s="1098" t="e">
        <f>IF($D$1212="",0,$D1554*Table3[[#This Row],[CF]]*chronic_consumption!$AO354/1000/$C$3)</f>
        <v>#DIV/0!</v>
      </c>
      <c r="AU1554" s="1099" t="e">
        <f t="shared" si="893"/>
        <v>#DIV/0!</v>
      </c>
      <c r="AV1554" s="1099" t="e">
        <f t="shared" si="893"/>
        <v>#DIV/0!</v>
      </c>
      <c r="AW1554" s="1099" t="e">
        <f t="shared" si="893"/>
        <v>#DIV/0!</v>
      </c>
      <c r="AX1554" s="1099" t="e">
        <f t="shared" si="893"/>
        <v>#DIV/0!</v>
      </c>
      <c r="AY1554" s="1099" t="e">
        <f t="shared" si="893"/>
        <v>#DIV/0!</v>
      </c>
      <c r="AZ1554" s="1091" t="s">
        <v>1012</v>
      </c>
      <c r="BA1554" s="1097" t="e">
        <f>IF(Table3[[#This Row],[max]]&lt;&gt;0,RANK(Table3[[#This Row],[max]],Table3[max],0),"")</f>
        <v>#DIV/0!</v>
      </c>
      <c r="BB1554" s="1096" t="e">
        <f t="shared" si="889"/>
        <v>#DIV/0!</v>
      </c>
      <c r="BC1554" s="1096" t="e">
        <f t="shared" ca="1" si="890"/>
        <v>#DIV/0!</v>
      </c>
      <c r="BD1554" s="1096" t="e">
        <f>IF(Table3[[#This Row],[max]]&gt;0,Table3[[#This Row],[Crop groups and examples of individual products within the groups to which the MRLs apply]],"")</f>
        <v>#DIV/0!</v>
      </c>
    </row>
    <row r="1555" spans="2:56" x14ac:dyDescent="0.2">
      <c r="B1555" s="23">
        <f t="shared" si="892"/>
        <v>1015020</v>
      </c>
      <c r="C1555" s="23" t="str">
        <f t="shared" si="892"/>
        <v>Equine: Fat tissue</v>
      </c>
      <c r="D1555" s="1084">
        <f>input_values!E355</f>
        <v>0</v>
      </c>
      <c r="E1555" s="1084">
        <f>input_values!F355</f>
        <v>0</v>
      </c>
      <c r="F1555" s="1085">
        <f>input_values!W355</f>
        <v>1</v>
      </c>
      <c r="G1555" s="1085" t="str">
        <f>IF(Table3[[#This Row],[CF]]&gt;0,CONCATENATE(IF(Table3[[#This Row],[LOQ]]="*","LOQ","MRL"),IF(input_values!G355&gt;0,"×CFrisk","")),"")</f>
        <v>MRL</v>
      </c>
      <c r="H1555" s="1087">
        <f>input_values!L355</f>
        <v>0</v>
      </c>
      <c r="I1555" s="1088">
        <f>input_values!D355</f>
        <v>0</v>
      </c>
      <c r="J1555" s="1098" t="e">
        <f>IF($D$1212="",0,$D1555*Table3[[#This Row],[CF]]*chronic_consumption!$E355/1000/$C$3)</f>
        <v>#DIV/0!</v>
      </c>
      <c r="K1555" s="1098" t="e">
        <f>IF($D$1212="",0,$D1555*Table3[[#This Row],[CF]]*chronic_consumption!$F355/1000/$C$3)</f>
        <v>#DIV/0!</v>
      </c>
      <c r="L1555" s="1098" t="e">
        <f>IF($D$1212="",0,$D1555*Table3[[#This Row],[CF]]*chronic_consumption!$G355/1000/$C$3)</f>
        <v>#DIV/0!</v>
      </c>
      <c r="M1555" s="1098" t="e">
        <f>IF($D$1212="",0,$D1555*Table3[[#This Row],[CF]]*chronic_consumption!$H355/1000/$C$3)</f>
        <v>#DIV/0!</v>
      </c>
      <c r="N1555" s="1098" t="e">
        <f>IF($D$1212="",0,$D1555*Table3[[#This Row],[CF]]*chronic_consumption!$I355/1000/$C$3)</f>
        <v>#DIV/0!</v>
      </c>
      <c r="O1555" s="1098" t="e">
        <f>IF($D$1212="",0,$D1555*Table3[[#This Row],[CF]]*chronic_consumption!$J355/1000/$C$3)</f>
        <v>#DIV/0!</v>
      </c>
      <c r="P1555" s="1098" t="e">
        <f>IF($D$1212="",0,$D1555*Table3[[#This Row],[CF]]*chronic_consumption!$K355/1000/$C$3)</f>
        <v>#DIV/0!</v>
      </c>
      <c r="Q1555" s="1098" t="e">
        <f>IF($D$1212="",0,$D1555*Table3[[#This Row],[CF]]*chronic_consumption!$L355/1000/$C$3)</f>
        <v>#DIV/0!</v>
      </c>
      <c r="R1555" s="1098" t="e">
        <f>IF($D$1212="",0,$D1555*Table3[[#This Row],[CF]]*chronic_consumption!$M355/1000/$C$3)</f>
        <v>#DIV/0!</v>
      </c>
      <c r="S1555" s="1098" t="e">
        <f>IF($D$1212="",0,$D1555*Table3[[#This Row],[CF]]*chronic_consumption!$N355/1000/$C$3)</f>
        <v>#DIV/0!</v>
      </c>
      <c r="T1555" s="1098" t="e">
        <f>IF($D$1212="",0,$D1555*Table3[[#This Row],[CF]]*chronic_consumption!$O355/1000/$C$3)</f>
        <v>#DIV/0!</v>
      </c>
      <c r="U1555" s="1098" t="e">
        <f>IF($D$1212="",0,$D1555*Table3[[#This Row],[CF]]*chronic_consumption!$P355/1000/$C$3)</f>
        <v>#DIV/0!</v>
      </c>
      <c r="V1555" s="1098" t="e">
        <f>IF($D$1212="",0,$D1555*Table3[[#This Row],[CF]]*chronic_consumption!$Q355/1000/$C$3)</f>
        <v>#DIV/0!</v>
      </c>
      <c r="W1555" s="1098" t="e">
        <f>IF($D$1212="",0,$D1555*Table3[[#This Row],[CF]]*chronic_consumption!$R355/1000/$C$3)</f>
        <v>#DIV/0!</v>
      </c>
      <c r="X1555" s="1098" t="e">
        <f>IF($D$1212="",0,$D1555*Table3[[#This Row],[CF]]*chronic_consumption!$S355/1000/$C$3)</f>
        <v>#DIV/0!</v>
      </c>
      <c r="Y1555" s="1098" t="e">
        <f>IF($D$1212="",0,$D1555*Table3[[#This Row],[CF]]*chronic_consumption!$T355/1000/$C$3)</f>
        <v>#DIV/0!</v>
      </c>
      <c r="Z1555" s="1098" t="e">
        <f>IF($D$1212="",0,$D1555*Table3[[#This Row],[CF]]*chronic_consumption!$U355/1000/$C$3)</f>
        <v>#DIV/0!</v>
      </c>
      <c r="AA1555" s="1098" t="e">
        <f>IF($D$1212="",0,$D1555*Table3[[#This Row],[CF]]*chronic_consumption!$V355/1000/$C$3)</f>
        <v>#DIV/0!</v>
      </c>
      <c r="AB1555" s="1098" t="e">
        <f>IF($D$1212="",0,$D1555*Table3[[#This Row],[CF]]*chronic_consumption!$W355/1000/$C$3)</f>
        <v>#DIV/0!</v>
      </c>
      <c r="AC1555" s="1098" t="e">
        <f>IF($D$1212="",0,$D1555*Table3[[#This Row],[CF]]*chronic_consumption!$X355/1000/$C$3)</f>
        <v>#DIV/0!</v>
      </c>
      <c r="AD1555" s="1098" t="e">
        <f>IF($D$1212="",0,$D1555*Table3[[#This Row],[CF]]*chronic_consumption!$Y355/1000/$C$3)</f>
        <v>#DIV/0!</v>
      </c>
      <c r="AE1555" s="1098" t="e">
        <f>IF($D$1212="",0,$D1555*Table3[[#This Row],[CF]]*chronic_consumption!$Z355/1000/$C$3)</f>
        <v>#DIV/0!</v>
      </c>
      <c r="AF1555" s="1098" t="e">
        <f>IF($D$1212="",0,$D1555*Table3[[#This Row],[CF]]*chronic_consumption!$AA355/1000/$C$3)</f>
        <v>#DIV/0!</v>
      </c>
      <c r="AG1555" s="1098" t="e">
        <f>IF($D$1212="",0,$D1555*Table3[[#This Row],[CF]]*chronic_consumption!$AB355/1000/$C$3)</f>
        <v>#DIV/0!</v>
      </c>
      <c r="AH1555" s="1098" t="e">
        <f>IF($D$1212="",0,$D1555*Table3[[#This Row],[CF]]*chronic_consumption!$AC355/1000/$C$3)</f>
        <v>#DIV/0!</v>
      </c>
      <c r="AI1555" s="1098" t="e">
        <f>IF($D$1212="",0,$D1555*Table3[[#This Row],[CF]]*chronic_consumption!$AD355/1000/$C$3)</f>
        <v>#DIV/0!</v>
      </c>
      <c r="AJ1555" s="1098" t="e">
        <f>IF($D$1212="",0,$D1555*Table3[[#This Row],[CF]]*chronic_consumption!$AE355/1000/$C$3)</f>
        <v>#DIV/0!</v>
      </c>
      <c r="AK1555" s="1098" t="e">
        <f>IF($D$1212="",0,$D1555*Table3[[#This Row],[CF]]*chronic_consumption!$AF355/1000/$C$3)</f>
        <v>#DIV/0!</v>
      </c>
      <c r="AL1555" s="1098" t="e">
        <f>IF($D$1212="",0,$D1555*Table3[[#This Row],[CF]]*chronic_consumption!$AG355/1000/$C$3)</f>
        <v>#DIV/0!</v>
      </c>
      <c r="AM1555" s="1098" t="e">
        <f>IF($D$1212="",0,$D1555*Table3[[#This Row],[CF]]*chronic_consumption!$AH355/1000/$C$3)</f>
        <v>#DIV/0!</v>
      </c>
      <c r="AN1555" s="1098" t="e">
        <f>IF($D$1212="",0,$D1555*Table3[[#This Row],[CF]]*chronic_consumption!$AI355/1000/$C$3)</f>
        <v>#DIV/0!</v>
      </c>
      <c r="AO1555" s="1098" t="e">
        <f>IF($D$1212="",0,$D1555*Table3[[#This Row],[CF]]*chronic_consumption!$AJ355/1000/$C$3)</f>
        <v>#DIV/0!</v>
      </c>
      <c r="AP1555" s="1098" t="e">
        <f>IF($D$1212="",0,$D1555*Table3[[#This Row],[CF]]*chronic_consumption!$AK355/1000/$C$3)</f>
        <v>#DIV/0!</v>
      </c>
      <c r="AQ1555" s="1098" t="e">
        <f>IF($D$1212="",0,$D1555*Table3[[#This Row],[CF]]*chronic_consumption!$AL355/1000/$C$3)</f>
        <v>#DIV/0!</v>
      </c>
      <c r="AR1555" s="1098" t="e">
        <f>IF($D$1212="",0,$D1555*Table3[[#This Row],[CF]]*chronic_consumption!$AM355/1000/$C$3)</f>
        <v>#DIV/0!</v>
      </c>
      <c r="AS1555" s="1098" t="e">
        <f>IF($D$1212="",0,$D1555*Table3[[#This Row],[CF]]*chronic_consumption!$AN355/1000/$C$3)</f>
        <v>#DIV/0!</v>
      </c>
      <c r="AT1555" s="1098" t="e">
        <f>IF($D$1212="",0,$D1555*Table3[[#This Row],[CF]]*chronic_consumption!$AO355/1000/$C$3)</f>
        <v>#DIV/0!</v>
      </c>
      <c r="AU1555" s="1099" t="e">
        <f t="shared" si="893"/>
        <v>#DIV/0!</v>
      </c>
      <c r="AV1555" s="1099" t="e">
        <f t="shared" si="893"/>
        <v>#DIV/0!</v>
      </c>
      <c r="AW1555" s="1099" t="e">
        <f t="shared" si="893"/>
        <v>#DIV/0!</v>
      </c>
      <c r="AX1555" s="1099" t="e">
        <f t="shared" si="893"/>
        <v>#DIV/0!</v>
      </c>
      <c r="AY1555" s="1099" t="e">
        <f t="shared" si="893"/>
        <v>#DIV/0!</v>
      </c>
      <c r="AZ1555" s="1091" t="s">
        <v>1012</v>
      </c>
      <c r="BA1555" s="1097" t="e">
        <f>IF(Table3[[#This Row],[max]]&lt;&gt;0,RANK(Table3[[#This Row],[max]],Table3[max],0),"")</f>
        <v>#DIV/0!</v>
      </c>
      <c r="BB1555" s="1096" t="e">
        <f t="shared" si="889"/>
        <v>#DIV/0!</v>
      </c>
      <c r="BC1555" s="1096" t="e">
        <f t="shared" ca="1" si="890"/>
        <v>#DIV/0!</v>
      </c>
      <c r="BD1555" s="1096" t="e">
        <f>IF(Table3[[#This Row],[max]]&gt;0,Table3[[#This Row],[Crop groups and examples of individual products within the groups to which the MRLs apply]],"")</f>
        <v>#DIV/0!</v>
      </c>
    </row>
    <row r="1556" spans="2:56" x14ac:dyDescent="0.2">
      <c r="B1556" s="23">
        <f t="shared" si="892"/>
        <v>1015030</v>
      </c>
      <c r="C1556" s="23" t="str">
        <f t="shared" si="892"/>
        <v>Equine: Liver</v>
      </c>
      <c r="D1556" s="1084">
        <f>input_values!E356</f>
        <v>0</v>
      </c>
      <c r="E1556" s="1084">
        <f>input_values!F356</f>
        <v>0</v>
      </c>
      <c r="F1556" s="1085">
        <f>input_values!W356</f>
        <v>1</v>
      </c>
      <c r="G1556" s="1085" t="str">
        <f>IF(Table3[[#This Row],[CF]]&gt;0,CONCATENATE(IF(Table3[[#This Row],[LOQ]]="*","LOQ","MRL"),IF(input_values!G356&gt;0,"×CFrisk","")),"")</f>
        <v>MRL</v>
      </c>
      <c r="H1556" s="1087">
        <f>input_values!L356</f>
        <v>0</v>
      </c>
      <c r="I1556" s="1088">
        <f>input_values!D356</f>
        <v>0</v>
      </c>
      <c r="J1556" s="1098" t="e">
        <f>IF($D$1212="",0,$D1556*Table3[[#This Row],[CF]]*chronic_consumption!$E356/1000/$C$3)</f>
        <v>#DIV/0!</v>
      </c>
      <c r="K1556" s="1098" t="e">
        <f>IF($D$1212="",0,$D1556*Table3[[#This Row],[CF]]*chronic_consumption!$F356/1000/$C$3)</f>
        <v>#DIV/0!</v>
      </c>
      <c r="L1556" s="1098" t="e">
        <f>IF($D$1212="",0,$D1556*Table3[[#This Row],[CF]]*chronic_consumption!$G356/1000/$C$3)</f>
        <v>#DIV/0!</v>
      </c>
      <c r="M1556" s="1098" t="e">
        <f>IF($D$1212="",0,$D1556*Table3[[#This Row],[CF]]*chronic_consumption!$H356/1000/$C$3)</f>
        <v>#DIV/0!</v>
      </c>
      <c r="N1556" s="1098" t="e">
        <f>IF($D$1212="",0,$D1556*Table3[[#This Row],[CF]]*chronic_consumption!$I356/1000/$C$3)</f>
        <v>#DIV/0!</v>
      </c>
      <c r="O1556" s="1098" t="e">
        <f>IF($D$1212="",0,$D1556*Table3[[#This Row],[CF]]*chronic_consumption!$J356/1000/$C$3)</f>
        <v>#DIV/0!</v>
      </c>
      <c r="P1556" s="1098" t="e">
        <f>IF($D$1212="",0,$D1556*Table3[[#This Row],[CF]]*chronic_consumption!$K356/1000/$C$3)</f>
        <v>#DIV/0!</v>
      </c>
      <c r="Q1556" s="1098" t="e">
        <f>IF($D$1212="",0,$D1556*Table3[[#This Row],[CF]]*chronic_consumption!$L356/1000/$C$3)</f>
        <v>#DIV/0!</v>
      </c>
      <c r="R1556" s="1098" t="e">
        <f>IF($D$1212="",0,$D1556*Table3[[#This Row],[CF]]*chronic_consumption!$M356/1000/$C$3)</f>
        <v>#DIV/0!</v>
      </c>
      <c r="S1556" s="1098" t="e">
        <f>IF($D$1212="",0,$D1556*Table3[[#This Row],[CF]]*chronic_consumption!$N356/1000/$C$3)</f>
        <v>#DIV/0!</v>
      </c>
      <c r="T1556" s="1098" t="e">
        <f>IF($D$1212="",0,$D1556*Table3[[#This Row],[CF]]*chronic_consumption!$O356/1000/$C$3)</f>
        <v>#DIV/0!</v>
      </c>
      <c r="U1556" s="1098" t="e">
        <f>IF($D$1212="",0,$D1556*Table3[[#This Row],[CF]]*chronic_consumption!$P356/1000/$C$3)</f>
        <v>#DIV/0!</v>
      </c>
      <c r="V1556" s="1098" t="e">
        <f>IF($D$1212="",0,$D1556*Table3[[#This Row],[CF]]*chronic_consumption!$Q356/1000/$C$3)</f>
        <v>#DIV/0!</v>
      </c>
      <c r="W1556" s="1098" t="e">
        <f>IF($D$1212="",0,$D1556*Table3[[#This Row],[CF]]*chronic_consumption!$R356/1000/$C$3)</f>
        <v>#DIV/0!</v>
      </c>
      <c r="X1556" s="1098" t="e">
        <f>IF($D$1212="",0,$D1556*Table3[[#This Row],[CF]]*chronic_consumption!$S356/1000/$C$3)</f>
        <v>#DIV/0!</v>
      </c>
      <c r="Y1556" s="1098" t="e">
        <f>IF($D$1212="",0,$D1556*Table3[[#This Row],[CF]]*chronic_consumption!$T356/1000/$C$3)</f>
        <v>#DIV/0!</v>
      </c>
      <c r="Z1556" s="1098" t="e">
        <f>IF($D$1212="",0,$D1556*Table3[[#This Row],[CF]]*chronic_consumption!$U356/1000/$C$3)</f>
        <v>#DIV/0!</v>
      </c>
      <c r="AA1556" s="1098" t="e">
        <f>IF($D$1212="",0,$D1556*Table3[[#This Row],[CF]]*chronic_consumption!$V356/1000/$C$3)</f>
        <v>#DIV/0!</v>
      </c>
      <c r="AB1556" s="1098" t="e">
        <f>IF($D$1212="",0,$D1556*Table3[[#This Row],[CF]]*chronic_consumption!$W356/1000/$C$3)</f>
        <v>#DIV/0!</v>
      </c>
      <c r="AC1556" s="1098" t="e">
        <f>IF($D$1212="",0,$D1556*Table3[[#This Row],[CF]]*chronic_consumption!$X356/1000/$C$3)</f>
        <v>#DIV/0!</v>
      </c>
      <c r="AD1556" s="1098" t="e">
        <f>IF($D$1212="",0,$D1556*Table3[[#This Row],[CF]]*chronic_consumption!$Y356/1000/$C$3)</f>
        <v>#DIV/0!</v>
      </c>
      <c r="AE1556" s="1098" t="e">
        <f>IF($D$1212="",0,$D1556*Table3[[#This Row],[CF]]*chronic_consumption!$Z356/1000/$C$3)</f>
        <v>#DIV/0!</v>
      </c>
      <c r="AF1556" s="1098" t="e">
        <f>IF($D$1212="",0,$D1556*Table3[[#This Row],[CF]]*chronic_consumption!$AA356/1000/$C$3)</f>
        <v>#DIV/0!</v>
      </c>
      <c r="AG1556" s="1098" t="e">
        <f>IF($D$1212="",0,$D1556*Table3[[#This Row],[CF]]*chronic_consumption!$AB356/1000/$C$3)</f>
        <v>#DIV/0!</v>
      </c>
      <c r="AH1556" s="1098" t="e">
        <f>IF($D$1212="",0,$D1556*Table3[[#This Row],[CF]]*chronic_consumption!$AC356/1000/$C$3)</f>
        <v>#DIV/0!</v>
      </c>
      <c r="AI1556" s="1098" t="e">
        <f>IF($D$1212="",0,$D1556*Table3[[#This Row],[CF]]*chronic_consumption!$AD356/1000/$C$3)</f>
        <v>#DIV/0!</v>
      </c>
      <c r="AJ1556" s="1098" t="e">
        <f>IF($D$1212="",0,$D1556*Table3[[#This Row],[CF]]*chronic_consumption!$AE356/1000/$C$3)</f>
        <v>#DIV/0!</v>
      </c>
      <c r="AK1556" s="1098" t="e">
        <f>IF($D$1212="",0,$D1556*Table3[[#This Row],[CF]]*chronic_consumption!$AF356/1000/$C$3)</f>
        <v>#DIV/0!</v>
      </c>
      <c r="AL1556" s="1098" t="e">
        <f>IF($D$1212="",0,$D1556*Table3[[#This Row],[CF]]*chronic_consumption!$AG356/1000/$C$3)</f>
        <v>#DIV/0!</v>
      </c>
      <c r="AM1556" s="1098" t="e">
        <f>IF($D$1212="",0,$D1556*Table3[[#This Row],[CF]]*chronic_consumption!$AH356/1000/$C$3)</f>
        <v>#DIV/0!</v>
      </c>
      <c r="AN1556" s="1098" t="e">
        <f>IF($D$1212="",0,$D1556*Table3[[#This Row],[CF]]*chronic_consumption!$AI356/1000/$C$3)</f>
        <v>#DIV/0!</v>
      </c>
      <c r="AO1556" s="1098" t="e">
        <f>IF($D$1212="",0,$D1556*Table3[[#This Row],[CF]]*chronic_consumption!$AJ356/1000/$C$3)</f>
        <v>#DIV/0!</v>
      </c>
      <c r="AP1556" s="1098" t="e">
        <f>IF($D$1212="",0,$D1556*Table3[[#This Row],[CF]]*chronic_consumption!$AK356/1000/$C$3)</f>
        <v>#DIV/0!</v>
      </c>
      <c r="AQ1556" s="1098" t="e">
        <f>IF($D$1212="",0,$D1556*Table3[[#This Row],[CF]]*chronic_consumption!$AL356/1000/$C$3)</f>
        <v>#DIV/0!</v>
      </c>
      <c r="AR1556" s="1098" t="e">
        <f>IF($D$1212="",0,$D1556*Table3[[#This Row],[CF]]*chronic_consumption!$AM356/1000/$C$3)</f>
        <v>#DIV/0!</v>
      </c>
      <c r="AS1556" s="1098" t="e">
        <f>IF($D$1212="",0,$D1556*Table3[[#This Row],[CF]]*chronic_consumption!$AN356/1000/$C$3)</f>
        <v>#DIV/0!</v>
      </c>
      <c r="AT1556" s="1098" t="e">
        <f>IF($D$1212="",0,$D1556*Table3[[#This Row],[CF]]*chronic_consumption!$AO356/1000/$C$3)</f>
        <v>#DIV/0!</v>
      </c>
      <c r="AU1556" s="1099" t="e">
        <f t="shared" si="893"/>
        <v>#DIV/0!</v>
      </c>
      <c r="AV1556" s="1099" t="e">
        <f t="shared" si="893"/>
        <v>#DIV/0!</v>
      </c>
      <c r="AW1556" s="1099" t="e">
        <f t="shared" si="893"/>
        <v>#DIV/0!</v>
      </c>
      <c r="AX1556" s="1099" t="e">
        <f t="shared" si="893"/>
        <v>#DIV/0!</v>
      </c>
      <c r="AY1556" s="1099" t="e">
        <f t="shared" si="893"/>
        <v>#DIV/0!</v>
      </c>
      <c r="AZ1556" s="1091" t="s">
        <v>1012</v>
      </c>
      <c r="BA1556" s="1097" t="e">
        <f>IF(Table3[[#This Row],[max]]&lt;&gt;0,RANK(Table3[[#This Row],[max]],Table3[max],0),"")</f>
        <v>#DIV/0!</v>
      </c>
      <c r="BB1556" s="1096" t="e">
        <f t="shared" si="889"/>
        <v>#DIV/0!</v>
      </c>
      <c r="BC1556" s="1096" t="e">
        <f t="shared" ca="1" si="890"/>
        <v>#DIV/0!</v>
      </c>
      <c r="BD1556" s="1096" t="e">
        <f>IF(Table3[[#This Row],[max]]&gt;0,Table3[[#This Row],[Crop groups and examples of individual products within the groups to which the MRLs apply]],"")</f>
        <v>#DIV/0!</v>
      </c>
    </row>
    <row r="1557" spans="2:56" x14ac:dyDescent="0.2">
      <c r="B1557" s="23">
        <f t="shared" si="892"/>
        <v>1015040</v>
      </c>
      <c r="C1557" s="23" t="str">
        <f t="shared" si="892"/>
        <v>Equine: Kidney</v>
      </c>
      <c r="D1557" s="1084">
        <f>input_values!E357</f>
        <v>0</v>
      </c>
      <c r="E1557" s="1084">
        <f>input_values!F357</f>
        <v>0</v>
      </c>
      <c r="F1557" s="1085">
        <f>input_values!W357</f>
        <v>1</v>
      </c>
      <c r="G1557" s="1085" t="str">
        <f>IF(Table3[[#This Row],[CF]]&gt;0,CONCATENATE(IF(Table3[[#This Row],[LOQ]]="*","LOQ","MRL"),IF(input_values!G357&gt;0,"×CFrisk","")),"")</f>
        <v>MRL</v>
      </c>
      <c r="H1557" s="1087">
        <f>input_values!L357</f>
        <v>0</v>
      </c>
      <c r="I1557" s="1088">
        <f>input_values!D357</f>
        <v>0</v>
      </c>
      <c r="J1557" s="1098" t="e">
        <f>IF($D$1212="",0,$D1557*Table3[[#This Row],[CF]]*chronic_consumption!$E357/1000/$C$3)</f>
        <v>#DIV/0!</v>
      </c>
      <c r="K1557" s="1098" t="e">
        <f>IF($D$1212="",0,$D1557*Table3[[#This Row],[CF]]*chronic_consumption!$F357/1000/$C$3)</f>
        <v>#DIV/0!</v>
      </c>
      <c r="L1557" s="1098" t="e">
        <f>IF($D$1212="",0,$D1557*Table3[[#This Row],[CF]]*chronic_consumption!$G357/1000/$C$3)</f>
        <v>#DIV/0!</v>
      </c>
      <c r="M1557" s="1098" t="e">
        <f>IF($D$1212="",0,$D1557*Table3[[#This Row],[CF]]*chronic_consumption!$H357/1000/$C$3)</f>
        <v>#DIV/0!</v>
      </c>
      <c r="N1557" s="1098" t="e">
        <f>IF($D$1212="",0,$D1557*Table3[[#This Row],[CF]]*chronic_consumption!$I357/1000/$C$3)</f>
        <v>#DIV/0!</v>
      </c>
      <c r="O1557" s="1098" t="e">
        <f>IF($D$1212="",0,$D1557*Table3[[#This Row],[CF]]*chronic_consumption!$J357/1000/$C$3)</f>
        <v>#DIV/0!</v>
      </c>
      <c r="P1557" s="1098" t="e">
        <f>IF($D$1212="",0,$D1557*Table3[[#This Row],[CF]]*chronic_consumption!$K357/1000/$C$3)</f>
        <v>#DIV/0!</v>
      </c>
      <c r="Q1557" s="1098" t="e">
        <f>IF($D$1212="",0,$D1557*Table3[[#This Row],[CF]]*chronic_consumption!$L357/1000/$C$3)</f>
        <v>#DIV/0!</v>
      </c>
      <c r="R1557" s="1098" t="e">
        <f>IF($D$1212="",0,$D1557*Table3[[#This Row],[CF]]*chronic_consumption!$M357/1000/$C$3)</f>
        <v>#DIV/0!</v>
      </c>
      <c r="S1557" s="1098" t="e">
        <f>IF($D$1212="",0,$D1557*Table3[[#This Row],[CF]]*chronic_consumption!$N357/1000/$C$3)</f>
        <v>#DIV/0!</v>
      </c>
      <c r="T1557" s="1098" t="e">
        <f>IF($D$1212="",0,$D1557*Table3[[#This Row],[CF]]*chronic_consumption!$O357/1000/$C$3)</f>
        <v>#DIV/0!</v>
      </c>
      <c r="U1557" s="1098" t="e">
        <f>IF($D$1212="",0,$D1557*Table3[[#This Row],[CF]]*chronic_consumption!$P357/1000/$C$3)</f>
        <v>#DIV/0!</v>
      </c>
      <c r="V1557" s="1098" t="e">
        <f>IF($D$1212="",0,$D1557*Table3[[#This Row],[CF]]*chronic_consumption!$Q357/1000/$C$3)</f>
        <v>#DIV/0!</v>
      </c>
      <c r="W1557" s="1098" t="e">
        <f>IF($D$1212="",0,$D1557*Table3[[#This Row],[CF]]*chronic_consumption!$R357/1000/$C$3)</f>
        <v>#DIV/0!</v>
      </c>
      <c r="X1557" s="1098" t="e">
        <f>IF($D$1212="",0,$D1557*Table3[[#This Row],[CF]]*chronic_consumption!$S357/1000/$C$3)</f>
        <v>#DIV/0!</v>
      </c>
      <c r="Y1557" s="1098" t="e">
        <f>IF($D$1212="",0,$D1557*Table3[[#This Row],[CF]]*chronic_consumption!$T357/1000/$C$3)</f>
        <v>#DIV/0!</v>
      </c>
      <c r="Z1557" s="1098" t="e">
        <f>IF($D$1212="",0,$D1557*Table3[[#This Row],[CF]]*chronic_consumption!$U357/1000/$C$3)</f>
        <v>#DIV/0!</v>
      </c>
      <c r="AA1557" s="1098" t="e">
        <f>IF($D$1212="",0,$D1557*Table3[[#This Row],[CF]]*chronic_consumption!$V357/1000/$C$3)</f>
        <v>#DIV/0!</v>
      </c>
      <c r="AB1557" s="1098" t="e">
        <f>IF($D$1212="",0,$D1557*Table3[[#This Row],[CF]]*chronic_consumption!$W357/1000/$C$3)</f>
        <v>#DIV/0!</v>
      </c>
      <c r="AC1557" s="1098" t="e">
        <f>IF($D$1212="",0,$D1557*Table3[[#This Row],[CF]]*chronic_consumption!$X357/1000/$C$3)</f>
        <v>#DIV/0!</v>
      </c>
      <c r="AD1557" s="1098" t="e">
        <f>IF($D$1212="",0,$D1557*Table3[[#This Row],[CF]]*chronic_consumption!$Y357/1000/$C$3)</f>
        <v>#DIV/0!</v>
      </c>
      <c r="AE1557" s="1098" t="e">
        <f>IF($D$1212="",0,$D1557*Table3[[#This Row],[CF]]*chronic_consumption!$Z357/1000/$C$3)</f>
        <v>#DIV/0!</v>
      </c>
      <c r="AF1557" s="1098" t="e">
        <f>IF($D$1212="",0,$D1557*Table3[[#This Row],[CF]]*chronic_consumption!$AA357/1000/$C$3)</f>
        <v>#DIV/0!</v>
      </c>
      <c r="AG1557" s="1098" t="e">
        <f>IF($D$1212="",0,$D1557*Table3[[#This Row],[CF]]*chronic_consumption!$AB357/1000/$C$3)</f>
        <v>#DIV/0!</v>
      </c>
      <c r="AH1557" s="1098" t="e">
        <f>IF($D$1212="",0,$D1557*Table3[[#This Row],[CF]]*chronic_consumption!$AC357/1000/$C$3)</f>
        <v>#DIV/0!</v>
      </c>
      <c r="AI1557" s="1098" t="e">
        <f>IF($D$1212="",0,$D1557*Table3[[#This Row],[CF]]*chronic_consumption!$AD357/1000/$C$3)</f>
        <v>#DIV/0!</v>
      </c>
      <c r="AJ1557" s="1098" t="e">
        <f>IF($D$1212="",0,$D1557*Table3[[#This Row],[CF]]*chronic_consumption!$AE357/1000/$C$3)</f>
        <v>#DIV/0!</v>
      </c>
      <c r="AK1557" s="1098" t="e">
        <f>IF($D$1212="",0,$D1557*Table3[[#This Row],[CF]]*chronic_consumption!$AF357/1000/$C$3)</f>
        <v>#DIV/0!</v>
      </c>
      <c r="AL1557" s="1098" t="e">
        <f>IF($D$1212="",0,$D1557*Table3[[#This Row],[CF]]*chronic_consumption!$AG357/1000/$C$3)</f>
        <v>#DIV/0!</v>
      </c>
      <c r="AM1557" s="1098" t="e">
        <f>IF($D$1212="",0,$D1557*Table3[[#This Row],[CF]]*chronic_consumption!$AH357/1000/$C$3)</f>
        <v>#DIV/0!</v>
      </c>
      <c r="AN1557" s="1098" t="e">
        <f>IF($D$1212="",0,$D1557*Table3[[#This Row],[CF]]*chronic_consumption!$AI357/1000/$C$3)</f>
        <v>#DIV/0!</v>
      </c>
      <c r="AO1557" s="1098" t="e">
        <f>IF($D$1212="",0,$D1557*Table3[[#This Row],[CF]]*chronic_consumption!$AJ357/1000/$C$3)</f>
        <v>#DIV/0!</v>
      </c>
      <c r="AP1557" s="1098" t="e">
        <f>IF($D$1212="",0,$D1557*Table3[[#This Row],[CF]]*chronic_consumption!$AK357/1000/$C$3)</f>
        <v>#DIV/0!</v>
      </c>
      <c r="AQ1557" s="1098" t="e">
        <f>IF($D$1212="",0,$D1557*Table3[[#This Row],[CF]]*chronic_consumption!$AL357/1000/$C$3)</f>
        <v>#DIV/0!</v>
      </c>
      <c r="AR1557" s="1098" t="e">
        <f>IF($D$1212="",0,$D1557*Table3[[#This Row],[CF]]*chronic_consumption!$AM357/1000/$C$3)</f>
        <v>#DIV/0!</v>
      </c>
      <c r="AS1557" s="1098" t="e">
        <f>IF($D$1212="",0,$D1557*Table3[[#This Row],[CF]]*chronic_consumption!$AN357/1000/$C$3)</f>
        <v>#DIV/0!</v>
      </c>
      <c r="AT1557" s="1098" t="e">
        <f>IF($D$1212="",0,$D1557*Table3[[#This Row],[CF]]*chronic_consumption!$AO357/1000/$C$3)</f>
        <v>#DIV/0!</v>
      </c>
      <c r="AU1557" s="1099" t="e">
        <f t="shared" si="893"/>
        <v>#DIV/0!</v>
      </c>
      <c r="AV1557" s="1099" t="e">
        <f t="shared" si="893"/>
        <v>#DIV/0!</v>
      </c>
      <c r="AW1557" s="1099" t="e">
        <f t="shared" si="893"/>
        <v>#DIV/0!</v>
      </c>
      <c r="AX1557" s="1099" t="e">
        <f t="shared" si="893"/>
        <v>#DIV/0!</v>
      </c>
      <c r="AY1557" s="1099" t="e">
        <f t="shared" si="893"/>
        <v>#DIV/0!</v>
      </c>
      <c r="AZ1557" s="1091" t="s">
        <v>1012</v>
      </c>
      <c r="BA1557" s="1097" t="e">
        <f>IF(Table3[[#This Row],[max]]&lt;&gt;0,RANK(Table3[[#This Row],[max]],Table3[max],0),"")</f>
        <v>#DIV/0!</v>
      </c>
      <c r="BB1557" s="1096" t="e">
        <f t="shared" si="889"/>
        <v>#DIV/0!</v>
      </c>
      <c r="BC1557" s="1096" t="e">
        <f t="shared" ca="1" si="890"/>
        <v>#DIV/0!</v>
      </c>
      <c r="BD1557" s="1096" t="e">
        <f>IF(Table3[[#This Row],[max]]&gt;0,Table3[[#This Row],[Crop groups and examples of individual products within the groups to which the MRLs apply]],"")</f>
        <v>#DIV/0!</v>
      </c>
    </row>
    <row r="1558" spans="2:56" x14ac:dyDescent="0.2">
      <c r="B1558" s="23">
        <f t="shared" si="892"/>
        <v>1015050</v>
      </c>
      <c r="C1558" s="23" t="str">
        <f t="shared" si="892"/>
        <v>Equine: Edible offals (other than liver and kidney)</v>
      </c>
      <c r="D1558" s="1084">
        <f>input_values!E358</f>
        <v>0</v>
      </c>
      <c r="E1558" s="1084">
        <f>input_values!F358</f>
        <v>0</v>
      </c>
      <c r="F1558" s="1085">
        <f>input_values!W358</f>
        <v>1</v>
      </c>
      <c r="G1558" s="1085" t="str">
        <f>IF(Table3[[#This Row],[CF]]&gt;0,CONCATENATE(IF(Table3[[#This Row],[LOQ]]="*","LOQ","MRL"),IF(input_values!G358&gt;0,"×CFrisk","")),"")</f>
        <v>MRL</v>
      </c>
      <c r="H1558" s="1087">
        <f>input_values!L358</f>
        <v>0</v>
      </c>
      <c r="I1558" s="1088">
        <f>input_values!D358</f>
        <v>0</v>
      </c>
      <c r="J1558" s="1098" t="e">
        <f>IF($D$1212="",0,$D1558*Table3[[#This Row],[CF]]*chronic_consumption!$E358/1000/$C$3)</f>
        <v>#DIV/0!</v>
      </c>
      <c r="K1558" s="1098" t="e">
        <f>IF($D$1212="",0,$D1558*Table3[[#This Row],[CF]]*chronic_consumption!$F358/1000/$C$3)</f>
        <v>#DIV/0!</v>
      </c>
      <c r="L1558" s="1098" t="e">
        <f>IF($D$1212="",0,$D1558*Table3[[#This Row],[CF]]*chronic_consumption!$G358/1000/$C$3)</f>
        <v>#DIV/0!</v>
      </c>
      <c r="M1558" s="1098" t="e">
        <f>IF($D$1212="",0,$D1558*Table3[[#This Row],[CF]]*chronic_consumption!$H358/1000/$C$3)</f>
        <v>#DIV/0!</v>
      </c>
      <c r="N1558" s="1098" t="e">
        <f>IF($D$1212="",0,$D1558*Table3[[#This Row],[CF]]*chronic_consumption!$I358/1000/$C$3)</f>
        <v>#DIV/0!</v>
      </c>
      <c r="O1558" s="1098" t="e">
        <f>IF($D$1212="",0,$D1558*Table3[[#This Row],[CF]]*chronic_consumption!$J358/1000/$C$3)</f>
        <v>#DIV/0!</v>
      </c>
      <c r="P1558" s="1098" t="e">
        <f>IF($D$1212="",0,$D1558*Table3[[#This Row],[CF]]*chronic_consumption!$K358/1000/$C$3)</f>
        <v>#DIV/0!</v>
      </c>
      <c r="Q1558" s="1098" t="e">
        <f>IF($D$1212="",0,$D1558*Table3[[#This Row],[CF]]*chronic_consumption!$L358/1000/$C$3)</f>
        <v>#DIV/0!</v>
      </c>
      <c r="R1558" s="1098" t="e">
        <f>IF($D$1212="",0,$D1558*Table3[[#This Row],[CF]]*chronic_consumption!$M358/1000/$C$3)</f>
        <v>#DIV/0!</v>
      </c>
      <c r="S1558" s="1098" t="e">
        <f>IF($D$1212="",0,$D1558*Table3[[#This Row],[CF]]*chronic_consumption!$N358/1000/$C$3)</f>
        <v>#DIV/0!</v>
      </c>
      <c r="T1558" s="1098" t="e">
        <f>IF($D$1212="",0,$D1558*Table3[[#This Row],[CF]]*chronic_consumption!$O358/1000/$C$3)</f>
        <v>#DIV/0!</v>
      </c>
      <c r="U1558" s="1098" t="e">
        <f>IF($D$1212="",0,$D1558*Table3[[#This Row],[CF]]*chronic_consumption!$P358/1000/$C$3)</f>
        <v>#DIV/0!</v>
      </c>
      <c r="V1558" s="1098" t="e">
        <f>IF($D$1212="",0,$D1558*Table3[[#This Row],[CF]]*chronic_consumption!$Q358/1000/$C$3)</f>
        <v>#DIV/0!</v>
      </c>
      <c r="W1558" s="1098" t="e">
        <f>IF($D$1212="",0,$D1558*Table3[[#This Row],[CF]]*chronic_consumption!$R358/1000/$C$3)</f>
        <v>#DIV/0!</v>
      </c>
      <c r="X1558" s="1098" t="e">
        <f>IF($D$1212="",0,$D1558*Table3[[#This Row],[CF]]*chronic_consumption!$S358/1000/$C$3)</f>
        <v>#DIV/0!</v>
      </c>
      <c r="Y1558" s="1098" t="e">
        <f>IF($D$1212="",0,$D1558*Table3[[#This Row],[CF]]*chronic_consumption!$T358/1000/$C$3)</f>
        <v>#DIV/0!</v>
      </c>
      <c r="Z1558" s="1098" t="e">
        <f>IF($D$1212="",0,$D1558*Table3[[#This Row],[CF]]*chronic_consumption!$U358/1000/$C$3)</f>
        <v>#DIV/0!</v>
      </c>
      <c r="AA1558" s="1098" t="e">
        <f>IF($D$1212="",0,$D1558*Table3[[#This Row],[CF]]*chronic_consumption!$V358/1000/$C$3)</f>
        <v>#DIV/0!</v>
      </c>
      <c r="AB1558" s="1098" t="e">
        <f>IF($D$1212="",0,$D1558*Table3[[#This Row],[CF]]*chronic_consumption!$W358/1000/$C$3)</f>
        <v>#DIV/0!</v>
      </c>
      <c r="AC1558" s="1098" t="e">
        <f>IF($D$1212="",0,$D1558*Table3[[#This Row],[CF]]*chronic_consumption!$X358/1000/$C$3)</f>
        <v>#DIV/0!</v>
      </c>
      <c r="AD1558" s="1098" t="e">
        <f>IF($D$1212="",0,$D1558*Table3[[#This Row],[CF]]*chronic_consumption!$Y358/1000/$C$3)</f>
        <v>#DIV/0!</v>
      </c>
      <c r="AE1558" s="1098" t="e">
        <f>IF($D$1212="",0,$D1558*Table3[[#This Row],[CF]]*chronic_consumption!$Z358/1000/$C$3)</f>
        <v>#DIV/0!</v>
      </c>
      <c r="AF1558" s="1098" t="e">
        <f>IF($D$1212="",0,$D1558*Table3[[#This Row],[CF]]*chronic_consumption!$AA358/1000/$C$3)</f>
        <v>#DIV/0!</v>
      </c>
      <c r="AG1558" s="1098" t="e">
        <f>IF($D$1212="",0,$D1558*Table3[[#This Row],[CF]]*chronic_consumption!$AB358/1000/$C$3)</f>
        <v>#DIV/0!</v>
      </c>
      <c r="AH1558" s="1098" t="e">
        <f>IF($D$1212="",0,$D1558*Table3[[#This Row],[CF]]*chronic_consumption!$AC358/1000/$C$3)</f>
        <v>#DIV/0!</v>
      </c>
      <c r="AI1558" s="1098" t="e">
        <f>IF($D$1212="",0,$D1558*Table3[[#This Row],[CF]]*chronic_consumption!$AD358/1000/$C$3)</f>
        <v>#DIV/0!</v>
      </c>
      <c r="AJ1558" s="1098" t="e">
        <f>IF($D$1212="",0,$D1558*Table3[[#This Row],[CF]]*chronic_consumption!$AE358/1000/$C$3)</f>
        <v>#DIV/0!</v>
      </c>
      <c r="AK1558" s="1098" t="e">
        <f>IF($D$1212="",0,$D1558*Table3[[#This Row],[CF]]*chronic_consumption!$AF358/1000/$C$3)</f>
        <v>#DIV/0!</v>
      </c>
      <c r="AL1558" s="1098" t="e">
        <f>IF($D$1212="",0,$D1558*Table3[[#This Row],[CF]]*chronic_consumption!$AG358/1000/$C$3)</f>
        <v>#DIV/0!</v>
      </c>
      <c r="AM1558" s="1098" t="e">
        <f>IF($D$1212="",0,$D1558*Table3[[#This Row],[CF]]*chronic_consumption!$AH358/1000/$C$3)</f>
        <v>#DIV/0!</v>
      </c>
      <c r="AN1558" s="1098" t="e">
        <f>IF($D$1212="",0,$D1558*Table3[[#This Row],[CF]]*chronic_consumption!$AI358/1000/$C$3)</f>
        <v>#DIV/0!</v>
      </c>
      <c r="AO1558" s="1098" t="e">
        <f>IF($D$1212="",0,$D1558*Table3[[#This Row],[CF]]*chronic_consumption!$AJ358/1000/$C$3)</f>
        <v>#DIV/0!</v>
      </c>
      <c r="AP1558" s="1098" t="e">
        <f>IF($D$1212="",0,$D1558*Table3[[#This Row],[CF]]*chronic_consumption!$AK358/1000/$C$3)</f>
        <v>#DIV/0!</v>
      </c>
      <c r="AQ1558" s="1098" t="e">
        <f>IF($D$1212="",0,$D1558*Table3[[#This Row],[CF]]*chronic_consumption!$AL358/1000/$C$3)</f>
        <v>#DIV/0!</v>
      </c>
      <c r="AR1558" s="1098" t="e">
        <f>IF($D$1212="",0,$D1558*Table3[[#This Row],[CF]]*chronic_consumption!$AM358/1000/$C$3)</f>
        <v>#DIV/0!</v>
      </c>
      <c r="AS1558" s="1098" t="e">
        <f>IF($D$1212="",0,$D1558*Table3[[#This Row],[CF]]*chronic_consumption!$AN358/1000/$C$3)</f>
        <v>#DIV/0!</v>
      </c>
      <c r="AT1558" s="1098" t="e">
        <f>IF($D$1212="",0,$D1558*Table3[[#This Row],[CF]]*chronic_consumption!$AO358/1000/$C$3)</f>
        <v>#DIV/0!</v>
      </c>
      <c r="AU1558" s="1099" t="e">
        <f t="shared" si="893"/>
        <v>#DIV/0!</v>
      </c>
      <c r="AV1558" s="1099" t="e">
        <f t="shared" si="893"/>
        <v>#DIV/0!</v>
      </c>
      <c r="AW1558" s="1099" t="e">
        <f t="shared" si="893"/>
        <v>#DIV/0!</v>
      </c>
      <c r="AX1558" s="1099" t="e">
        <f t="shared" si="893"/>
        <v>#DIV/0!</v>
      </c>
      <c r="AY1558" s="1099" t="e">
        <f t="shared" si="893"/>
        <v>#DIV/0!</v>
      </c>
      <c r="AZ1558" s="1091" t="s">
        <v>1012</v>
      </c>
      <c r="BA1558" s="1097" t="e">
        <f>IF(Table3[[#This Row],[max]]&lt;&gt;0,RANK(Table3[[#This Row],[max]],Table3[max],0),"")</f>
        <v>#DIV/0!</v>
      </c>
      <c r="BB1558" s="1096" t="e">
        <f t="shared" si="889"/>
        <v>#DIV/0!</v>
      </c>
      <c r="BC1558" s="1096" t="e">
        <f t="shared" ca="1" si="890"/>
        <v>#DIV/0!</v>
      </c>
      <c r="BD1558" s="1096" t="e">
        <f>IF(Table3[[#This Row],[max]]&gt;0,Table3[[#This Row],[Crop groups and examples of individual products within the groups to which the MRLs apply]],"")</f>
        <v>#DIV/0!</v>
      </c>
    </row>
    <row r="1559" spans="2:56" x14ac:dyDescent="0.2">
      <c r="B1559" s="23">
        <f t="shared" si="892"/>
        <v>1015990</v>
      </c>
      <c r="C1559" s="23" t="str">
        <f t="shared" si="892"/>
        <v>Equine: Other products</v>
      </c>
      <c r="D1559" s="1084">
        <f>input_values!E359</f>
        <v>0</v>
      </c>
      <c r="E1559" s="1084">
        <f>input_values!F359</f>
        <v>0</v>
      </c>
      <c r="F1559" s="1085">
        <f>input_values!W359</f>
        <v>1</v>
      </c>
      <c r="G1559" s="1085" t="str">
        <f>IF(Table3[[#This Row],[CF]]&gt;0,CONCATENATE(IF(Table3[[#This Row],[LOQ]]="*","LOQ","MRL"),IF(input_values!G359&gt;0,"×CFrisk","")),"")</f>
        <v>MRL</v>
      </c>
      <c r="H1559" s="1087">
        <f>input_values!L359</f>
        <v>0</v>
      </c>
      <c r="I1559" s="1088">
        <f>input_values!D359</f>
        <v>0</v>
      </c>
      <c r="J1559" s="1098" t="e">
        <f>IF($D$1212="",0,$D1559*Table3[[#This Row],[CF]]*chronic_consumption!$E359/1000/$C$3)</f>
        <v>#DIV/0!</v>
      </c>
      <c r="K1559" s="1098" t="e">
        <f>IF($D$1212="",0,$D1559*Table3[[#This Row],[CF]]*chronic_consumption!$F359/1000/$C$3)</f>
        <v>#DIV/0!</v>
      </c>
      <c r="L1559" s="1098" t="e">
        <f>IF($D$1212="",0,$D1559*Table3[[#This Row],[CF]]*chronic_consumption!$G359/1000/$C$3)</f>
        <v>#DIV/0!</v>
      </c>
      <c r="M1559" s="1098" t="e">
        <f>IF($D$1212="",0,$D1559*Table3[[#This Row],[CF]]*chronic_consumption!$H359/1000/$C$3)</f>
        <v>#DIV/0!</v>
      </c>
      <c r="N1559" s="1098" t="e">
        <f>IF($D$1212="",0,$D1559*Table3[[#This Row],[CF]]*chronic_consumption!$I359/1000/$C$3)</f>
        <v>#DIV/0!</v>
      </c>
      <c r="O1559" s="1098" t="e">
        <f>IF($D$1212="",0,$D1559*Table3[[#This Row],[CF]]*chronic_consumption!$J359/1000/$C$3)</f>
        <v>#DIV/0!</v>
      </c>
      <c r="P1559" s="1098" t="e">
        <f>IF($D$1212="",0,$D1559*Table3[[#This Row],[CF]]*chronic_consumption!$K359/1000/$C$3)</f>
        <v>#DIV/0!</v>
      </c>
      <c r="Q1559" s="1098" t="e">
        <f>IF($D$1212="",0,$D1559*Table3[[#This Row],[CF]]*chronic_consumption!$L359/1000/$C$3)</f>
        <v>#DIV/0!</v>
      </c>
      <c r="R1559" s="1098" t="e">
        <f>IF($D$1212="",0,$D1559*Table3[[#This Row],[CF]]*chronic_consumption!$M359/1000/$C$3)</f>
        <v>#DIV/0!</v>
      </c>
      <c r="S1559" s="1098" t="e">
        <f>IF($D$1212="",0,$D1559*Table3[[#This Row],[CF]]*chronic_consumption!$N359/1000/$C$3)</f>
        <v>#DIV/0!</v>
      </c>
      <c r="T1559" s="1098" t="e">
        <f>IF($D$1212="",0,$D1559*Table3[[#This Row],[CF]]*chronic_consumption!$O359/1000/$C$3)</f>
        <v>#DIV/0!</v>
      </c>
      <c r="U1559" s="1098" t="e">
        <f>IF($D$1212="",0,$D1559*Table3[[#This Row],[CF]]*chronic_consumption!$P359/1000/$C$3)</f>
        <v>#DIV/0!</v>
      </c>
      <c r="V1559" s="1098" t="e">
        <f>IF($D$1212="",0,$D1559*Table3[[#This Row],[CF]]*chronic_consumption!$Q359/1000/$C$3)</f>
        <v>#DIV/0!</v>
      </c>
      <c r="W1559" s="1098" t="e">
        <f>IF($D$1212="",0,$D1559*Table3[[#This Row],[CF]]*chronic_consumption!$R359/1000/$C$3)</f>
        <v>#DIV/0!</v>
      </c>
      <c r="X1559" s="1098" t="e">
        <f>IF($D$1212="",0,$D1559*Table3[[#This Row],[CF]]*chronic_consumption!$S359/1000/$C$3)</f>
        <v>#DIV/0!</v>
      </c>
      <c r="Y1559" s="1098" t="e">
        <f>IF($D$1212="",0,$D1559*Table3[[#This Row],[CF]]*chronic_consumption!$T359/1000/$C$3)</f>
        <v>#DIV/0!</v>
      </c>
      <c r="Z1559" s="1098" t="e">
        <f>IF($D$1212="",0,$D1559*Table3[[#This Row],[CF]]*chronic_consumption!$U359/1000/$C$3)</f>
        <v>#DIV/0!</v>
      </c>
      <c r="AA1559" s="1098" t="e">
        <f>IF($D$1212="",0,$D1559*Table3[[#This Row],[CF]]*chronic_consumption!$V359/1000/$C$3)</f>
        <v>#DIV/0!</v>
      </c>
      <c r="AB1559" s="1098" t="e">
        <f>IF($D$1212="",0,$D1559*Table3[[#This Row],[CF]]*chronic_consumption!$W359/1000/$C$3)</f>
        <v>#DIV/0!</v>
      </c>
      <c r="AC1559" s="1098" t="e">
        <f>IF($D$1212="",0,$D1559*Table3[[#This Row],[CF]]*chronic_consumption!$X359/1000/$C$3)</f>
        <v>#DIV/0!</v>
      </c>
      <c r="AD1559" s="1098" t="e">
        <f>IF($D$1212="",0,$D1559*Table3[[#This Row],[CF]]*chronic_consumption!$Y359/1000/$C$3)</f>
        <v>#DIV/0!</v>
      </c>
      <c r="AE1559" s="1098" t="e">
        <f>IF($D$1212="",0,$D1559*Table3[[#This Row],[CF]]*chronic_consumption!$Z359/1000/$C$3)</f>
        <v>#DIV/0!</v>
      </c>
      <c r="AF1559" s="1098" t="e">
        <f>IF($D$1212="",0,$D1559*Table3[[#This Row],[CF]]*chronic_consumption!$AA359/1000/$C$3)</f>
        <v>#DIV/0!</v>
      </c>
      <c r="AG1559" s="1098" t="e">
        <f>IF($D$1212="",0,$D1559*Table3[[#This Row],[CF]]*chronic_consumption!$AB359/1000/$C$3)</f>
        <v>#DIV/0!</v>
      </c>
      <c r="AH1559" s="1098" t="e">
        <f>IF($D$1212="",0,$D1559*Table3[[#This Row],[CF]]*chronic_consumption!$AC359/1000/$C$3)</f>
        <v>#DIV/0!</v>
      </c>
      <c r="AI1559" s="1098" t="e">
        <f>IF($D$1212="",0,$D1559*Table3[[#This Row],[CF]]*chronic_consumption!$AD359/1000/$C$3)</f>
        <v>#DIV/0!</v>
      </c>
      <c r="AJ1559" s="1098" t="e">
        <f>IF($D$1212="",0,$D1559*Table3[[#This Row],[CF]]*chronic_consumption!$AE359/1000/$C$3)</f>
        <v>#DIV/0!</v>
      </c>
      <c r="AK1559" s="1098" t="e">
        <f>IF($D$1212="",0,$D1559*Table3[[#This Row],[CF]]*chronic_consumption!$AF359/1000/$C$3)</f>
        <v>#DIV/0!</v>
      </c>
      <c r="AL1559" s="1098" t="e">
        <f>IF($D$1212="",0,$D1559*Table3[[#This Row],[CF]]*chronic_consumption!$AG359/1000/$C$3)</f>
        <v>#DIV/0!</v>
      </c>
      <c r="AM1559" s="1098" t="e">
        <f>IF($D$1212="",0,$D1559*Table3[[#This Row],[CF]]*chronic_consumption!$AH359/1000/$C$3)</f>
        <v>#DIV/0!</v>
      </c>
      <c r="AN1559" s="1098" t="e">
        <f>IF($D$1212="",0,$D1559*Table3[[#This Row],[CF]]*chronic_consumption!$AI359/1000/$C$3)</f>
        <v>#DIV/0!</v>
      </c>
      <c r="AO1559" s="1098" t="e">
        <f>IF($D$1212="",0,$D1559*Table3[[#This Row],[CF]]*chronic_consumption!$AJ359/1000/$C$3)</f>
        <v>#DIV/0!</v>
      </c>
      <c r="AP1559" s="1098" t="e">
        <f>IF($D$1212="",0,$D1559*Table3[[#This Row],[CF]]*chronic_consumption!$AK359/1000/$C$3)</f>
        <v>#DIV/0!</v>
      </c>
      <c r="AQ1559" s="1098" t="e">
        <f>IF($D$1212="",0,$D1559*Table3[[#This Row],[CF]]*chronic_consumption!$AL359/1000/$C$3)</f>
        <v>#DIV/0!</v>
      </c>
      <c r="AR1559" s="1098" t="e">
        <f>IF($D$1212="",0,$D1559*Table3[[#This Row],[CF]]*chronic_consumption!$AM359/1000/$C$3)</f>
        <v>#DIV/0!</v>
      </c>
      <c r="AS1559" s="1098" t="e">
        <f>IF($D$1212="",0,$D1559*Table3[[#This Row],[CF]]*chronic_consumption!$AN359/1000/$C$3)</f>
        <v>#DIV/0!</v>
      </c>
      <c r="AT1559" s="1098" t="e">
        <f>IF($D$1212="",0,$D1559*Table3[[#This Row],[CF]]*chronic_consumption!$AO359/1000/$C$3)</f>
        <v>#DIV/0!</v>
      </c>
      <c r="AU1559" s="1099" t="e">
        <f t="shared" si="893"/>
        <v>#DIV/0!</v>
      </c>
      <c r="AV1559" s="1099" t="e">
        <f t="shared" si="893"/>
        <v>#DIV/0!</v>
      </c>
      <c r="AW1559" s="1099" t="e">
        <f t="shared" si="893"/>
        <v>#DIV/0!</v>
      </c>
      <c r="AX1559" s="1099" t="e">
        <f t="shared" si="893"/>
        <v>#DIV/0!</v>
      </c>
      <c r="AY1559" s="1099" t="e">
        <f t="shared" si="893"/>
        <v>#DIV/0!</v>
      </c>
      <c r="AZ1559" s="1091" t="s">
        <v>1012</v>
      </c>
      <c r="BA1559" s="1097" t="e">
        <f>IF(Table3[[#This Row],[max]]&lt;&gt;0,RANK(Table3[[#This Row],[max]],Table3[max],0),"")</f>
        <v>#DIV/0!</v>
      </c>
      <c r="BB1559" s="1096" t="e">
        <f t="shared" si="889"/>
        <v>#DIV/0!</v>
      </c>
      <c r="BC1559" s="1096" t="e">
        <f t="shared" ca="1" si="890"/>
        <v>#DIV/0!</v>
      </c>
      <c r="BD1559" s="1096" t="e">
        <f>IF(Table3[[#This Row],[max]]&gt;0,Table3[[#This Row],[Crop groups and examples of individual products within the groups to which the MRLs apply]],"")</f>
        <v>#DIV/0!</v>
      </c>
    </row>
    <row r="1560" spans="2:56" x14ac:dyDescent="0.2">
      <c r="B1560" s="5">
        <f t="shared" si="892"/>
        <v>1016000</v>
      </c>
      <c r="C1560" s="5" t="str">
        <f t="shared" si="892"/>
        <v>Poultry</v>
      </c>
      <c r="D1560" s="1084">
        <f>input_values!E360</f>
        <v>0</v>
      </c>
      <c r="E1560" s="1084">
        <f>input_values!F360</f>
        <v>0</v>
      </c>
      <c r="F1560" s="1085">
        <f>input_values!W360</f>
        <v>0</v>
      </c>
      <c r="G1560" s="1085" t="str">
        <f>IF(Table3[[#This Row],[CF]]&gt;0,CONCATENATE(IF(Table3[[#This Row],[LOQ]]="*","LOQ","MRL"),IF(input_values!G360&gt;0,"×CFrisk","")),"")</f>
        <v/>
      </c>
      <c r="H1560" s="1087">
        <f>input_values!L360</f>
        <v>0</v>
      </c>
      <c r="I1560" s="1088">
        <f>input_values!D360</f>
        <v>0</v>
      </c>
      <c r="J1560" s="1103" t="e">
        <f>IF($D$1212="",0,$D1560*Table3[[#This Row],[CF]]*chronic_consumption!$E360/1000/$C$3)</f>
        <v>#DIV/0!</v>
      </c>
      <c r="K1560" s="1103" t="e">
        <f>IF($D$1212="",0,$D1560*Table3[[#This Row],[CF]]*chronic_consumption!$F360/1000/$C$3)</f>
        <v>#DIV/0!</v>
      </c>
      <c r="L1560" s="1103" t="e">
        <f>IF($D$1212="",0,$D1560*Table3[[#This Row],[CF]]*chronic_consumption!$G360/1000/$C$3)</f>
        <v>#DIV/0!</v>
      </c>
      <c r="M1560" s="1103" t="e">
        <f>IF($D$1212="",0,$D1560*Table3[[#This Row],[CF]]*chronic_consumption!$H360/1000/$C$3)</f>
        <v>#DIV/0!</v>
      </c>
      <c r="N1560" s="1103" t="e">
        <f>IF($D$1212="",0,$D1560*Table3[[#This Row],[CF]]*chronic_consumption!$I360/1000/$C$3)</f>
        <v>#DIV/0!</v>
      </c>
      <c r="O1560" s="1103" t="e">
        <f>IF($D$1212="",0,$D1560*Table3[[#This Row],[CF]]*chronic_consumption!$J360/1000/$C$3)</f>
        <v>#DIV/0!</v>
      </c>
      <c r="P1560" s="1103" t="e">
        <f>IF($D$1212="",0,$D1560*Table3[[#This Row],[CF]]*chronic_consumption!$K360/1000/$C$3)</f>
        <v>#DIV/0!</v>
      </c>
      <c r="Q1560" s="1103" t="e">
        <f>IF($D$1212="",0,$D1560*Table3[[#This Row],[CF]]*chronic_consumption!$L360/1000/$C$3)</f>
        <v>#DIV/0!</v>
      </c>
      <c r="R1560" s="1103" t="e">
        <f>IF($D$1212="",0,$D1560*Table3[[#This Row],[CF]]*chronic_consumption!$M360/1000/$C$3)</f>
        <v>#DIV/0!</v>
      </c>
      <c r="S1560" s="1103" t="e">
        <f>IF($D$1212="",0,$D1560*Table3[[#This Row],[CF]]*chronic_consumption!$N360/1000/$C$3)</f>
        <v>#DIV/0!</v>
      </c>
      <c r="T1560" s="1103" t="e">
        <f>IF($D$1212="",0,$D1560*Table3[[#This Row],[CF]]*chronic_consumption!$O360/1000/$C$3)</f>
        <v>#DIV/0!</v>
      </c>
      <c r="U1560" s="1103" t="e">
        <f>IF($D$1212="",0,$D1560*Table3[[#This Row],[CF]]*chronic_consumption!$P360/1000/$C$3)</f>
        <v>#DIV/0!</v>
      </c>
      <c r="V1560" s="1103" t="e">
        <f>IF($D$1212="",0,$D1560*Table3[[#This Row],[CF]]*chronic_consumption!$Q360/1000/$C$3)</f>
        <v>#DIV/0!</v>
      </c>
      <c r="W1560" s="1103" t="e">
        <f>IF($D$1212="",0,$D1560*Table3[[#This Row],[CF]]*chronic_consumption!$R360/1000/$C$3)</f>
        <v>#DIV/0!</v>
      </c>
      <c r="X1560" s="1103" t="e">
        <f>IF($D$1212="",0,$D1560*Table3[[#This Row],[CF]]*chronic_consumption!$S360/1000/$C$3)</f>
        <v>#DIV/0!</v>
      </c>
      <c r="Y1560" s="1103" t="e">
        <f>IF($D$1212="",0,$D1560*Table3[[#This Row],[CF]]*chronic_consumption!$T360/1000/$C$3)</f>
        <v>#DIV/0!</v>
      </c>
      <c r="Z1560" s="1103" t="e">
        <f>IF($D$1212="",0,$D1560*Table3[[#This Row],[CF]]*chronic_consumption!$U360/1000/$C$3)</f>
        <v>#DIV/0!</v>
      </c>
      <c r="AA1560" s="1103" t="e">
        <f>IF($D$1212="",0,$D1560*Table3[[#This Row],[CF]]*chronic_consumption!$V360/1000/$C$3)</f>
        <v>#DIV/0!</v>
      </c>
      <c r="AB1560" s="1103" t="e">
        <f>IF($D$1212="",0,$D1560*Table3[[#This Row],[CF]]*chronic_consumption!$W360/1000/$C$3)</f>
        <v>#DIV/0!</v>
      </c>
      <c r="AC1560" s="1103" t="e">
        <f>IF($D$1212="",0,$D1560*Table3[[#This Row],[CF]]*chronic_consumption!$X360/1000/$C$3)</f>
        <v>#DIV/0!</v>
      </c>
      <c r="AD1560" s="1103" t="e">
        <f>IF($D$1212="",0,$D1560*Table3[[#This Row],[CF]]*chronic_consumption!$Y360/1000/$C$3)</f>
        <v>#DIV/0!</v>
      </c>
      <c r="AE1560" s="1103" t="e">
        <f>IF($D$1212="",0,$D1560*Table3[[#This Row],[CF]]*chronic_consumption!$Z360/1000/$C$3)</f>
        <v>#DIV/0!</v>
      </c>
      <c r="AF1560" s="1103" t="e">
        <f>IF($D$1212="",0,$D1560*Table3[[#This Row],[CF]]*chronic_consumption!$AA360/1000/$C$3)</f>
        <v>#DIV/0!</v>
      </c>
      <c r="AG1560" s="1103" t="e">
        <f>IF($D$1212="",0,$D1560*Table3[[#This Row],[CF]]*chronic_consumption!$AB360/1000/$C$3)</f>
        <v>#DIV/0!</v>
      </c>
      <c r="AH1560" s="1103" t="e">
        <f>IF($D$1212="",0,$D1560*Table3[[#This Row],[CF]]*chronic_consumption!$AC360/1000/$C$3)</f>
        <v>#DIV/0!</v>
      </c>
      <c r="AI1560" s="1103" t="e">
        <f>IF($D$1212="",0,$D1560*Table3[[#This Row],[CF]]*chronic_consumption!$AD360/1000/$C$3)</f>
        <v>#DIV/0!</v>
      </c>
      <c r="AJ1560" s="1103" t="e">
        <f>IF($D$1212="",0,$D1560*Table3[[#This Row],[CF]]*chronic_consumption!$AE360/1000/$C$3)</f>
        <v>#DIV/0!</v>
      </c>
      <c r="AK1560" s="1103" t="e">
        <f>IF($D$1212="",0,$D1560*Table3[[#This Row],[CF]]*chronic_consumption!$AF360/1000/$C$3)</f>
        <v>#DIV/0!</v>
      </c>
      <c r="AL1560" s="1103" t="e">
        <f>IF($D$1212="",0,$D1560*Table3[[#This Row],[CF]]*chronic_consumption!$AG360/1000/$C$3)</f>
        <v>#DIV/0!</v>
      </c>
      <c r="AM1560" s="1103" t="e">
        <f>IF($D$1212="",0,$D1560*Table3[[#This Row],[CF]]*chronic_consumption!$AH360/1000/$C$3)</f>
        <v>#DIV/0!</v>
      </c>
      <c r="AN1560" s="1103" t="e">
        <f>IF($D$1212="",0,$D1560*Table3[[#This Row],[CF]]*chronic_consumption!$AI360/1000/$C$3)</f>
        <v>#DIV/0!</v>
      </c>
      <c r="AO1560" s="1103" t="e">
        <f>IF($D$1212="",0,$D1560*Table3[[#This Row],[CF]]*chronic_consumption!$AJ360/1000/$C$3)</f>
        <v>#DIV/0!</v>
      </c>
      <c r="AP1560" s="1103" t="e">
        <f>IF($D$1212="",0,$D1560*Table3[[#This Row],[CF]]*chronic_consumption!$AK360/1000/$C$3)</f>
        <v>#DIV/0!</v>
      </c>
      <c r="AQ1560" s="1103" t="e">
        <f>IF($D$1212="",0,$D1560*Table3[[#This Row],[CF]]*chronic_consumption!$AL360/1000/$C$3)</f>
        <v>#DIV/0!</v>
      </c>
      <c r="AR1560" s="1103" t="e">
        <f>IF($D$1212="",0,$D1560*Table3[[#This Row],[CF]]*chronic_consumption!$AM360/1000/$C$3)</f>
        <v>#DIV/0!</v>
      </c>
      <c r="AS1560" s="1103" t="e">
        <f>IF($D$1212="",0,$D1560*Table3[[#This Row],[CF]]*chronic_consumption!$AN360/1000/$C$3)</f>
        <v>#DIV/0!</v>
      </c>
      <c r="AT1560" s="1103" t="e">
        <f>IF($D$1212="",0,$D1560*Table3[[#This Row],[CF]]*chronic_consumption!$AO360/1000/$C$3)</f>
        <v>#DIV/0!</v>
      </c>
      <c r="AU1560" s="1104" t="e">
        <f t="shared" si="893"/>
        <v>#DIV/0!</v>
      </c>
      <c r="AV1560" s="1104" t="e">
        <f t="shared" si="893"/>
        <v>#DIV/0!</v>
      </c>
      <c r="AW1560" s="1104" t="e">
        <f t="shared" si="893"/>
        <v>#DIV/0!</v>
      </c>
      <c r="AX1560" s="1104" t="e">
        <f t="shared" si="893"/>
        <v>#DIV/0!</v>
      </c>
      <c r="AY1560" s="1104" t="e">
        <f t="shared" si="893"/>
        <v>#DIV/0!</v>
      </c>
      <c r="AZ1560" s="1091" t="s">
        <v>1012</v>
      </c>
      <c r="BA1560" s="1097" t="e">
        <f>IF(Table3[[#This Row],[max]]&lt;&gt;0,RANK(Table3[[#This Row],[max]],Table3[max],0),"")</f>
        <v>#DIV/0!</v>
      </c>
      <c r="BB1560" s="1096" t="e">
        <f t="shared" si="889"/>
        <v>#DIV/0!</v>
      </c>
      <c r="BC1560" s="1096" t="e">
        <f t="shared" ca="1" si="890"/>
        <v>#DIV/0!</v>
      </c>
      <c r="BD1560" s="1096" t="e">
        <f>IF(Table3[[#This Row],[max]]&gt;0,Table3[[#This Row],[Crop groups and examples of individual products within the groups to which the MRLs apply]],"")</f>
        <v>#DIV/0!</v>
      </c>
    </row>
    <row r="1561" spans="2:56" x14ac:dyDescent="0.2">
      <c r="B1561" s="23">
        <f t="shared" si="892"/>
        <v>1016010</v>
      </c>
      <c r="C1561" s="23" t="str">
        <f t="shared" si="892"/>
        <v>Poultry: Muscle/meat</v>
      </c>
      <c r="D1561" s="1084">
        <f>input_values!E361</f>
        <v>0</v>
      </c>
      <c r="E1561" s="1084">
        <f>input_values!F361</f>
        <v>0</v>
      </c>
      <c r="F1561" s="1085">
        <f>input_values!W361</f>
        <v>1</v>
      </c>
      <c r="G1561" s="1085" t="str">
        <f>IF(Table3[[#This Row],[CF]]&gt;0,CONCATENATE(IF(Table3[[#This Row],[LOQ]]="*","LOQ","MRL"),IF(input_values!G361&gt;0,"×CFrisk","")),"")</f>
        <v>MRL</v>
      </c>
      <c r="H1561" s="1087">
        <f>input_values!L361</f>
        <v>0</v>
      </c>
      <c r="I1561" s="1088">
        <f>input_values!D361</f>
        <v>0</v>
      </c>
      <c r="J1561" s="1098" t="e">
        <f>IF($D$1212="",0,$D1561*Table3[[#This Row],[CF]]*chronic_consumption!$E361/1000/$C$3)</f>
        <v>#DIV/0!</v>
      </c>
      <c r="K1561" s="1098" t="e">
        <f>IF($D$1212="",0,$D1561*Table3[[#This Row],[CF]]*chronic_consumption!$F361/1000/$C$3)</f>
        <v>#DIV/0!</v>
      </c>
      <c r="L1561" s="1098" t="e">
        <f>IF($D$1212="",0,$D1561*Table3[[#This Row],[CF]]*chronic_consumption!$G361/1000/$C$3)</f>
        <v>#DIV/0!</v>
      </c>
      <c r="M1561" s="1098" t="e">
        <f>IF($D$1212="",0,$D1561*Table3[[#This Row],[CF]]*chronic_consumption!$H361/1000/$C$3)</f>
        <v>#DIV/0!</v>
      </c>
      <c r="N1561" s="1098" t="e">
        <f>IF($D$1212="",0,$D1561*Table3[[#This Row],[CF]]*chronic_consumption!$I361/1000/$C$3)</f>
        <v>#DIV/0!</v>
      </c>
      <c r="O1561" s="1098" t="e">
        <f>IF($D$1212="",0,$D1561*Table3[[#This Row],[CF]]*chronic_consumption!$J361/1000/$C$3)</f>
        <v>#DIV/0!</v>
      </c>
      <c r="P1561" s="1098" t="e">
        <f>IF($D$1212="",0,$D1561*Table3[[#This Row],[CF]]*chronic_consumption!$K361/1000/$C$3)</f>
        <v>#DIV/0!</v>
      </c>
      <c r="Q1561" s="1098" t="e">
        <f>IF($D$1212="",0,$D1561*Table3[[#This Row],[CF]]*chronic_consumption!$L361/1000/$C$3)</f>
        <v>#DIV/0!</v>
      </c>
      <c r="R1561" s="1098" t="e">
        <f>IF($D$1212="",0,$D1561*Table3[[#This Row],[CF]]*chronic_consumption!$M361/1000/$C$3)</f>
        <v>#DIV/0!</v>
      </c>
      <c r="S1561" s="1098" t="e">
        <f>IF($D$1212="",0,$D1561*Table3[[#This Row],[CF]]*chronic_consumption!$N361/1000/$C$3)</f>
        <v>#DIV/0!</v>
      </c>
      <c r="T1561" s="1098" t="e">
        <f>IF($D$1212="",0,$D1561*Table3[[#This Row],[CF]]*chronic_consumption!$O361/1000/$C$3)</f>
        <v>#DIV/0!</v>
      </c>
      <c r="U1561" s="1098" t="e">
        <f>IF($D$1212="",0,$D1561*Table3[[#This Row],[CF]]*chronic_consumption!$P361/1000/$C$3)</f>
        <v>#DIV/0!</v>
      </c>
      <c r="V1561" s="1098" t="e">
        <f>IF($D$1212="",0,$D1561*Table3[[#This Row],[CF]]*chronic_consumption!$Q361/1000/$C$3)</f>
        <v>#DIV/0!</v>
      </c>
      <c r="W1561" s="1098" t="e">
        <f>IF($D$1212="",0,$D1561*Table3[[#This Row],[CF]]*chronic_consumption!$R361/1000/$C$3)</f>
        <v>#DIV/0!</v>
      </c>
      <c r="X1561" s="1098" t="e">
        <f>IF($D$1212="",0,$D1561*Table3[[#This Row],[CF]]*chronic_consumption!$S361/1000/$C$3)</f>
        <v>#DIV/0!</v>
      </c>
      <c r="Y1561" s="1098" t="e">
        <f>IF($D$1212="",0,$D1561*Table3[[#This Row],[CF]]*chronic_consumption!$T361/1000/$C$3)</f>
        <v>#DIV/0!</v>
      </c>
      <c r="Z1561" s="1098" t="e">
        <f>IF($D$1212="",0,$D1561*Table3[[#This Row],[CF]]*chronic_consumption!$U361/1000/$C$3)</f>
        <v>#DIV/0!</v>
      </c>
      <c r="AA1561" s="1098" t="e">
        <f>IF($D$1212="",0,$D1561*Table3[[#This Row],[CF]]*chronic_consumption!$V361/1000/$C$3)</f>
        <v>#DIV/0!</v>
      </c>
      <c r="AB1561" s="1098" t="e">
        <f>IF($D$1212="",0,$D1561*Table3[[#This Row],[CF]]*chronic_consumption!$W361/1000/$C$3)</f>
        <v>#DIV/0!</v>
      </c>
      <c r="AC1561" s="1098" t="e">
        <f>IF($D$1212="",0,$D1561*Table3[[#This Row],[CF]]*chronic_consumption!$X361/1000/$C$3)</f>
        <v>#DIV/0!</v>
      </c>
      <c r="AD1561" s="1098" t="e">
        <f>IF($D$1212="",0,$D1561*Table3[[#This Row],[CF]]*chronic_consumption!$Y361/1000/$C$3)</f>
        <v>#DIV/0!</v>
      </c>
      <c r="AE1561" s="1098" t="e">
        <f>IF($D$1212="",0,$D1561*Table3[[#This Row],[CF]]*chronic_consumption!$Z361/1000/$C$3)</f>
        <v>#DIV/0!</v>
      </c>
      <c r="AF1561" s="1098" t="e">
        <f>IF($D$1212="",0,$D1561*Table3[[#This Row],[CF]]*chronic_consumption!$AA361/1000/$C$3)</f>
        <v>#DIV/0!</v>
      </c>
      <c r="AG1561" s="1098" t="e">
        <f>IF($D$1212="",0,$D1561*Table3[[#This Row],[CF]]*chronic_consumption!$AB361/1000/$C$3)</f>
        <v>#DIV/0!</v>
      </c>
      <c r="AH1561" s="1098" t="e">
        <f>IF($D$1212="",0,$D1561*Table3[[#This Row],[CF]]*chronic_consumption!$AC361/1000/$C$3)</f>
        <v>#DIV/0!</v>
      </c>
      <c r="AI1561" s="1098" t="e">
        <f>IF($D$1212="",0,$D1561*Table3[[#This Row],[CF]]*chronic_consumption!$AD361/1000/$C$3)</f>
        <v>#DIV/0!</v>
      </c>
      <c r="AJ1561" s="1098" t="e">
        <f>IF($D$1212="",0,$D1561*Table3[[#This Row],[CF]]*chronic_consumption!$AE361/1000/$C$3)</f>
        <v>#DIV/0!</v>
      </c>
      <c r="AK1561" s="1098" t="e">
        <f>IF($D$1212="",0,$D1561*Table3[[#This Row],[CF]]*chronic_consumption!$AF361/1000/$C$3)</f>
        <v>#DIV/0!</v>
      </c>
      <c r="AL1561" s="1098" t="e">
        <f>IF($D$1212="",0,$D1561*Table3[[#This Row],[CF]]*chronic_consumption!$AG361/1000/$C$3)</f>
        <v>#DIV/0!</v>
      </c>
      <c r="AM1561" s="1098" t="e">
        <f>IF($D$1212="",0,$D1561*Table3[[#This Row],[CF]]*chronic_consumption!$AH361/1000/$C$3)</f>
        <v>#DIV/0!</v>
      </c>
      <c r="AN1561" s="1098" t="e">
        <f>IF($D$1212="",0,$D1561*Table3[[#This Row],[CF]]*chronic_consumption!$AI361/1000/$C$3)</f>
        <v>#DIV/0!</v>
      </c>
      <c r="AO1561" s="1098" t="e">
        <f>IF($D$1212="",0,$D1561*Table3[[#This Row],[CF]]*chronic_consumption!$AJ361/1000/$C$3)</f>
        <v>#DIV/0!</v>
      </c>
      <c r="AP1561" s="1098" t="e">
        <f>IF($D$1212="",0,$D1561*Table3[[#This Row],[CF]]*chronic_consumption!$AK361/1000/$C$3)</f>
        <v>#DIV/0!</v>
      </c>
      <c r="AQ1561" s="1098" t="e">
        <f>IF($D$1212="",0,$D1561*Table3[[#This Row],[CF]]*chronic_consumption!$AL361/1000/$C$3)</f>
        <v>#DIV/0!</v>
      </c>
      <c r="AR1561" s="1098" t="e">
        <f>IF($D$1212="",0,$D1561*Table3[[#This Row],[CF]]*chronic_consumption!$AM361/1000/$C$3)</f>
        <v>#DIV/0!</v>
      </c>
      <c r="AS1561" s="1098" t="e">
        <f>IF($D$1212="",0,$D1561*Table3[[#This Row],[CF]]*chronic_consumption!$AN361/1000/$C$3)</f>
        <v>#DIV/0!</v>
      </c>
      <c r="AT1561" s="1098" t="e">
        <f>IF($D$1212="",0,$D1561*Table3[[#This Row],[CF]]*chronic_consumption!$AO361/1000/$C$3)</f>
        <v>#DIV/0!</v>
      </c>
      <c r="AU1561" s="1099" t="e">
        <f t="shared" si="893"/>
        <v>#DIV/0!</v>
      </c>
      <c r="AV1561" s="1099" t="e">
        <f t="shared" si="893"/>
        <v>#DIV/0!</v>
      </c>
      <c r="AW1561" s="1099" t="e">
        <f t="shared" si="893"/>
        <v>#DIV/0!</v>
      </c>
      <c r="AX1561" s="1099" t="e">
        <f t="shared" si="893"/>
        <v>#DIV/0!</v>
      </c>
      <c r="AY1561" s="1099" t="e">
        <f t="shared" si="893"/>
        <v>#DIV/0!</v>
      </c>
      <c r="AZ1561" s="1091" t="s">
        <v>1012</v>
      </c>
      <c r="BA1561" s="1097" t="e">
        <f>IF(Table3[[#This Row],[max]]&lt;&gt;0,RANK(Table3[[#This Row],[max]],Table3[max],0),"")</f>
        <v>#DIV/0!</v>
      </c>
      <c r="BB1561" s="1096" t="e">
        <f t="shared" si="889"/>
        <v>#DIV/0!</v>
      </c>
      <c r="BC1561" s="1096" t="e">
        <f t="shared" ca="1" si="890"/>
        <v>#DIV/0!</v>
      </c>
      <c r="BD1561" s="1096" t="e">
        <f>IF(Table3[[#This Row],[max]]&gt;0,Table3[[#This Row],[Crop groups and examples of individual products within the groups to which the MRLs apply]],"")</f>
        <v>#DIV/0!</v>
      </c>
    </row>
    <row r="1562" spans="2:56" x14ac:dyDescent="0.2">
      <c r="B1562" s="23">
        <f t="shared" si="892"/>
        <v>1016020</v>
      </c>
      <c r="C1562" s="23" t="str">
        <f t="shared" si="892"/>
        <v>Poultry: Fat tissue</v>
      </c>
      <c r="D1562" s="1084">
        <f>input_values!E362</f>
        <v>0</v>
      </c>
      <c r="E1562" s="1084">
        <f>input_values!F362</f>
        <v>0</v>
      </c>
      <c r="F1562" s="1085">
        <f>input_values!W362</f>
        <v>1</v>
      </c>
      <c r="G1562" s="1085" t="str">
        <f>IF(Table3[[#This Row],[CF]]&gt;0,CONCATENATE(IF(Table3[[#This Row],[LOQ]]="*","LOQ","MRL"),IF(input_values!G362&gt;0,"×CFrisk","")),"")</f>
        <v>MRL</v>
      </c>
      <c r="H1562" s="1087">
        <f>input_values!L362</f>
        <v>0</v>
      </c>
      <c r="I1562" s="1088">
        <f>input_values!D362</f>
        <v>0</v>
      </c>
      <c r="J1562" s="1098" t="e">
        <f>IF($D$1212="",0,$D1562*Table3[[#This Row],[CF]]*chronic_consumption!$E362/1000/$C$3)</f>
        <v>#DIV/0!</v>
      </c>
      <c r="K1562" s="1098" t="e">
        <f>IF($D$1212="",0,$D1562*Table3[[#This Row],[CF]]*chronic_consumption!$F362/1000/$C$3)</f>
        <v>#DIV/0!</v>
      </c>
      <c r="L1562" s="1098" t="e">
        <f>IF($D$1212="",0,$D1562*Table3[[#This Row],[CF]]*chronic_consumption!$G362/1000/$C$3)</f>
        <v>#DIV/0!</v>
      </c>
      <c r="M1562" s="1098" t="e">
        <f>IF($D$1212="",0,$D1562*Table3[[#This Row],[CF]]*chronic_consumption!$H362/1000/$C$3)</f>
        <v>#DIV/0!</v>
      </c>
      <c r="N1562" s="1098" t="e">
        <f>IF($D$1212="",0,$D1562*Table3[[#This Row],[CF]]*chronic_consumption!$I362/1000/$C$3)</f>
        <v>#DIV/0!</v>
      </c>
      <c r="O1562" s="1098" t="e">
        <f>IF($D$1212="",0,$D1562*Table3[[#This Row],[CF]]*chronic_consumption!$J362/1000/$C$3)</f>
        <v>#DIV/0!</v>
      </c>
      <c r="P1562" s="1098" t="e">
        <f>IF($D$1212="",0,$D1562*Table3[[#This Row],[CF]]*chronic_consumption!$K362/1000/$C$3)</f>
        <v>#DIV/0!</v>
      </c>
      <c r="Q1562" s="1098" t="e">
        <f>IF($D$1212="",0,$D1562*Table3[[#This Row],[CF]]*chronic_consumption!$L362/1000/$C$3)</f>
        <v>#DIV/0!</v>
      </c>
      <c r="R1562" s="1098" t="e">
        <f>IF($D$1212="",0,$D1562*Table3[[#This Row],[CF]]*chronic_consumption!$M362/1000/$C$3)</f>
        <v>#DIV/0!</v>
      </c>
      <c r="S1562" s="1098" t="e">
        <f>IF($D$1212="",0,$D1562*Table3[[#This Row],[CF]]*chronic_consumption!$N362/1000/$C$3)</f>
        <v>#DIV/0!</v>
      </c>
      <c r="T1562" s="1098" t="e">
        <f>IF($D$1212="",0,$D1562*Table3[[#This Row],[CF]]*chronic_consumption!$O362/1000/$C$3)</f>
        <v>#DIV/0!</v>
      </c>
      <c r="U1562" s="1098" t="e">
        <f>IF($D$1212="",0,$D1562*Table3[[#This Row],[CF]]*chronic_consumption!$P362/1000/$C$3)</f>
        <v>#DIV/0!</v>
      </c>
      <c r="V1562" s="1098" t="e">
        <f>IF($D$1212="",0,$D1562*Table3[[#This Row],[CF]]*chronic_consumption!$Q362/1000/$C$3)</f>
        <v>#DIV/0!</v>
      </c>
      <c r="W1562" s="1098" t="e">
        <f>IF($D$1212="",0,$D1562*Table3[[#This Row],[CF]]*chronic_consumption!$R362/1000/$C$3)</f>
        <v>#DIV/0!</v>
      </c>
      <c r="X1562" s="1098" t="e">
        <f>IF($D$1212="",0,$D1562*Table3[[#This Row],[CF]]*chronic_consumption!$S362/1000/$C$3)</f>
        <v>#DIV/0!</v>
      </c>
      <c r="Y1562" s="1098" t="e">
        <f>IF($D$1212="",0,$D1562*Table3[[#This Row],[CF]]*chronic_consumption!$T362/1000/$C$3)</f>
        <v>#DIV/0!</v>
      </c>
      <c r="Z1562" s="1098" t="e">
        <f>IF($D$1212="",0,$D1562*Table3[[#This Row],[CF]]*chronic_consumption!$U362/1000/$C$3)</f>
        <v>#DIV/0!</v>
      </c>
      <c r="AA1562" s="1098" t="e">
        <f>IF($D$1212="",0,$D1562*Table3[[#This Row],[CF]]*chronic_consumption!$V362/1000/$C$3)</f>
        <v>#DIV/0!</v>
      </c>
      <c r="AB1562" s="1098" t="e">
        <f>IF($D$1212="",0,$D1562*Table3[[#This Row],[CF]]*chronic_consumption!$W362/1000/$C$3)</f>
        <v>#DIV/0!</v>
      </c>
      <c r="AC1562" s="1098" t="e">
        <f>IF($D$1212="",0,$D1562*Table3[[#This Row],[CF]]*chronic_consumption!$X362/1000/$C$3)</f>
        <v>#DIV/0!</v>
      </c>
      <c r="AD1562" s="1098" t="e">
        <f>IF($D$1212="",0,$D1562*Table3[[#This Row],[CF]]*chronic_consumption!$Y362/1000/$C$3)</f>
        <v>#DIV/0!</v>
      </c>
      <c r="AE1562" s="1098" t="e">
        <f>IF($D$1212="",0,$D1562*Table3[[#This Row],[CF]]*chronic_consumption!$Z362/1000/$C$3)</f>
        <v>#DIV/0!</v>
      </c>
      <c r="AF1562" s="1098" t="e">
        <f>IF($D$1212="",0,$D1562*Table3[[#This Row],[CF]]*chronic_consumption!$AA362/1000/$C$3)</f>
        <v>#DIV/0!</v>
      </c>
      <c r="AG1562" s="1098" t="e">
        <f>IF($D$1212="",0,$D1562*Table3[[#This Row],[CF]]*chronic_consumption!$AB362/1000/$C$3)</f>
        <v>#DIV/0!</v>
      </c>
      <c r="AH1562" s="1098" t="e">
        <f>IF($D$1212="",0,$D1562*Table3[[#This Row],[CF]]*chronic_consumption!$AC362/1000/$C$3)</f>
        <v>#DIV/0!</v>
      </c>
      <c r="AI1562" s="1098" t="e">
        <f>IF($D$1212="",0,$D1562*Table3[[#This Row],[CF]]*chronic_consumption!$AD362/1000/$C$3)</f>
        <v>#DIV/0!</v>
      </c>
      <c r="AJ1562" s="1098" t="e">
        <f>IF($D$1212="",0,$D1562*Table3[[#This Row],[CF]]*chronic_consumption!$AE362/1000/$C$3)</f>
        <v>#DIV/0!</v>
      </c>
      <c r="AK1562" s="1098" t="e">
        <f>IF($D$1212="",0,$D1562*Table3[[#This Row],[CF]]*chronic_consumption!$AF362/1000/$C$3)</f>
        <v>#DIV/0!</v>
      </c>
      <c r="AL1562" s="1098" t="e">
        <f>IF($D$1212="",0,$D1562*Table3[[#This Row],[CF]]*chronic_consumption!$AG362/1000/$C$3)</f>
        <v>#DIV/0!</v>
      </c>
      <c r="AM1562" s="1098" t="e">
        <f>IF($D$1212="",0,$D1562*Table3[[#This Row],[CF]]*chronic_consumption!$AH362/1000/$C$3)</f>
        <v>#DIV/0!</v>
      </c>
      <c r="AN1562" s="1098" t="e">
        <f>IF($D$1212="",0,$D1562*Table3[[#This Row],[CF]]*chronic_consumption!$AI362/1000/$C$3)</f>
        <v>#DIV/0!</v>
      </c>
      <c r="AO1562" s="1098" t="e">
        <f>IF($D$1212="",0,$D1562*Table3[[#This Row],[CF]]*chronic_consumption!$AJ362/1000/$C$3)</f>
        <v>#DIV/0!</v>
      </c>
      <c r="AP1562" s="1098" t="e">
        <f>IF($D$1212="",0,$D1562*Table3[[#This Row],[CF]]*chronic_consumption!$AK362/1000/$C$3)</f>
        <v>#DIV/0!</v>
      </c>
      <c r="AQ1562" s="1098" t="e">
        <f>IF($D$1212="",0,$D1562*Table3[[#This Row],[CF]]*chronic_consumption!$AL362/1000/$C$3)</f>
        <v>#DIV/0!</v>
      </c>
      <c r="AR1562" s="1098" t="e">
        <f>IF($D$1212="",0,$D1562*Table3[[#This Row],[CF]]*chronic_consumption!$AM362/1000/$C$3)</f>
        <v>#DIV/0!</v>
      </c>
      <c r="AS1562" s="1098" t="e">
        <f>IF($D$1212="",0,$D1562*Table3[[#This Row],[CF]]*chronic_consumption!$AN362/1000/$C$3)</f>
        <v>#DIV/0!</v>
      </c>
      <c r="AT1562" s="1098" t="e">
        <f>IF($D$1212="",0,$D1562*Table3[[#This Row],[CF]]*chronic_consumption!$AO362/1000/$C$3)</f>
        <v>#DIV/0!</v>
      </c>
      <c r="AU1562" s="1099" t="e">
        <f t="shared" ref="AU1562:AY1571" si="894">IF(AU762="",0,IF(OR(1=RANK(AU1162,AU$412:AU$790,0),(2=RANK(AU1162,AU$412:AU$790,0))),AU1162,AU762))</f>
        <v>#DIV/0!</v>
      </c>
      <c r="AV1562" s="1099" t="e">
        <f t="shared" si="894"/>
        <v>#DIV/0!</v>
      </c>
      <c r="AW1562" s="1099" t="e">
        <f t="shared" si="894"/>
        <v>#DIV/0!</v>
      </c>
      <c r="AX1562" s="1099" t="e">
        <f t="shared" si="894"/>
        <v>#DIV/0!</v>
      </c>
      <c r="AY1562" s="1099" t="e">
        <f t="shared" si="894"/>
        <v>#DIV/0!</v>
      </c>
      <c r="AZ1562" s="1091" t="s">
        <v>1012</v>
      </c>
      <c r="BA1562" s="1097" t="e">
        <f>IF(Table3[[#This Row],[max]]&lt;&gt;0,RANK(Table3[[#This Row],[max]],Table3[max],0),"")</f>
        <v>#DIV/0!</v>
      </c>
      <c r="BB1562" s="1096" t="e">
        <f t="shared" si="889"/>
        <v>#DIV/0!</v>
      </c>
      <c r="BC1562" s="1096" t="e">
        <f t="shared" ca="1" si="890"/>
        <v>#DIV/0!</v>
      </c>
      <c r="BD1562" s="1096" t="e">
        <f>IF(Table3[[#This Row],[max]]&gt;0,Table3[[#This Row],[Crop groups and examples of individual products within the groups to which the MRLs apply]],"")</f>
        <v>#DIV/0!</v>
      </c>
    </row>
    <row r="1563" spans="2:56" x14ac:dyDescent="0.2">
      <c r="B1563" s="23">
        <f t="shared" si="892"/>
        <v>1016030</v>
      </c>
      <c r="C1563" s="23" t="str">
        <f t="shared" si="892"/>
        <v>Poultry: Liver</v>
      </c>
      <c r="D1563" s="1084">
        <f>input_values!E363</f>
        <v>0</v>
      </c>
      <c r="E1563" s="1084">
        <f>input_values!F363</f>
        <v>0</v>
      </c>
      <c r="F1563" s="1085">
        <f>input_values!W363</f>
        <v>1</v>
      </c>
      <c r="G1563" s="1085" t="str">
        <f>IF(Table3[[#This Row],[CF]]&gt;0,CONCATENATE(IF(Table3[[#This Row],[LOQ]]="*","LOQ","MRL"),IF(input_values!G363&gt;0,"×CFrisk","")),"")</f>
        <v>MRL</v>
      </c>
      <c r="H1563" s="1087">
        <f>input_values!L363</f>
        <v>0</v>
      </c>
      <c r="I1563" s="1088">
        <f>input_values!D363</f>
        <v>0</v>
      </c>
      <c r="J1563" s="1098" t="e">
        <f>IF($D$1212="",0,$D1563*Table3[[#This Row],[CF]]*chronic_consumption!$E363/1000/$C$3)</f>
        <v>#DIV/0!</v>
      </c>
      <c r="K1563" s="1098" t="e">
        <f>IF($D$1212="",0,$D1563*Table3[[#This Row],[CF]]*chronic_consumption!$F363/1000/$C$3)</f>
        <v>#DIV/0!</v>
      </c>
      <c r="L1563" s="1098" t="e">
        <f>IF($D$1212="",0,$D1563*Table3[[#This Row],[CF]]*chronic_consumption!$G363/1000/$C$3)</f>
        <v>#DIV/0!</v>
      </c>
      <c r="M1563" s="1098" t="e">
        <f>IF($D$1212="",0,$D1563*Table3[[#This Row],[CF]]*chronic_consumption!$H363/1000/$C$3)</f>
        <v>#DIV/0!</v>
      </c>
      <c r="N1563" s="1098" t="e">
        <f>IF($D$1212="",0,$D1563*Table3[[#This Row],[CF]]*chronic_consumption!$I363/1000/$C$3)</f>
        <v>#DIV/0!</v>
      </c>
      <c r="O1563" s="1098" t="e">
        <f>IF($D$1212="",0,$D1563*Table3[[#This Row],[CF]]*chronic_consumption!$J363/1000/$C$3)</f>
        <v>#DIV/0!</v>
      </c>
      <c r="P1563" s="1098" t="e">
        <f>IF($D$1212="",0,$D1563*Table3[[#This Row],[CF]]*chronic_consumption!$K363/1000/$C$3)</f>
        <v>#DIV/0!</v>
      </c>
      <c r="Q1563" s="1098" t="e">
        <f>IF($D$1212="",0,$D1563*Table3[[#This Row],[CF]]*chronic_consumption!$L363/1000/$C$3)</f>
        <v>#DIV/0!</v>
      </c>
      <c r="R1563" s="1098" t="e">
        <f>IF($D$1212="",0,$D1563*Table3[[#This Row],[CF]]*chronic_consumption!$M363/1000/$C$3)</f>
        <v>#DIV/0!</v>
      </c>
      <c r="S1563" s="1098" t="e">
        <f>IF($D$1212="",0,$D1563*Table3[[#This Row],[CF]]*chronic_consumption!$N363/1000/$C$3)</f>
        <v>#DIV/0!</v>
      </c>
      <c r="T1563" s="1098" t="e">
        <f>IF($D$1212="",0,$D1563*Table3[[#This Row],[CF]]*chronic_consumption!$O363/1000/$C$3)</f>
        <v>#DIV/0!</v>
      </c>
      <c r="U1563" s="1098" t="e">
        <f>IF($D$1212="",0,$D1563*Table3[[#This Row],[CF]]*chronic_consumption!$P363/1000/$C$3)</f>
        <v>#DIV/0!</v>
      </c>
      <c r="V1563" s="1098" t="e">
        <f>IF($D$1212="",0,$D1563*Table3[[#This Row],[CF]]*chronic_consumption!$Q363/1000/$C$3)</f>
        <v>#DIV/0!</v>
      </c>
      <c r="W1563" s="1098" t="e">
        <f>IF($D$1212="",0,$D1563*Table3[[#This Row],[CF]]*chronic_consumption!$R363/1000/$C$3)</f>
        <v>#DIV/0!</v>
      </c>
      <c r="X1563" s="1098" t="e">
        <f>IF($D$1212="",0,$D1563*Table3[[#This Row],[CF]]*chronic_consumption!$S363/1000/$C$3)</f>
        <v>#DIV/0!</v>
      </c>
      <c r="Y1563" s="1098" t="e">
        <f>IF($D$1212="",0,$D1563*Table3[[#This Row],[CF]]*chronic_consumption!$T363/1000/$C$3)</f>
        <v>#DIV/0!</v>
      </c>
      <c r="Z1563" s="1098" t="e">
        <f>IF($D$1212="",0,$D1563*Table3[[#This Row],[CF]]*chronic_consumption!$U363/1000/$C$3)</f>
        <v>#DIV/0!</v>
      </c>
      <c r="AA1563" s="1098" t="e">
        <f>IF($D$1212="",0,$D1563*Table3[[#This Row],[CF]]*chronic_consumption!$V363/1000/$C$3)</f>
        <v>#DIV/0!</v>
      </c>
      <c r="AB1563" s="1098" t="e">
        <f>IF($D$1212="",0,$D1563*Table3[[#This Row],[CF]]*chronic_consumption!$W363/1000/$C$3)</f>
        <v>#DIV/0!</v>
      </c>
      <c r="AC1563" s="1098" t="e">
        <f>IF($D$1212="",0,$D1563*Table3[[#This Row],[CF]]*chronic_consumption!$X363/1000/$C$3)</f>
        <v>#DIV/0!</v>
      </c>
      <c r="AD1563" s="1098" t="e">
        <f>IF($D$1212="",0,$D1563*Table3[[#This Row],[CF]]*chronic_consumption!$Y363/1000/$C$3)</f>
        <v>#DIV/0!</v>
      </c>
      <c r="AE1563" s="1098" t="e">
        <f>IF($D$1212="",0,$D1563*Table3[[#This Row],[CF]]*chronic_consumption!$Z363/1000/$C$3)</f>
        <v>#DIV/0!</v>
      </c>
      <c r="AF1563" s="1098" t="e">
        <f>IF($D$1212="",0,$D1563*Table3[[#This Row],[CF]]*chronic_consumption!$AA363/1000/$C$3)</f>
        <v>#DIV/0!</v>
      </c>
      <c r="AG1563" s="1098" t="e">
        <f>IF($D$1212="",0,$D1563*Table3[[#This Row],[CF]]*chronic_consumption!$AB363/1000/$C$3)</f>
        <v>#DIV/0!</v>
      </c>
      <c r="AH1563" s="1098" t="e">
        <f>IF($D$1212="",0,$D1563*Table3[[#This Row],[CF]]*chronic_consumption!$AC363/1000/$C$3)</f>
        <v>#DIV/0!</v>
      </c>
      <c r="AI1563" s="1098" t="e">
        <f>IF($D$1212="",0,$D1563*Table3[[#This Row],[CF]]*chronic_consumption!$AD363/1000/$C$3)</f>
        <v>#DIV/0!</v>
      </c>
      <c r="AJ1563" s="1098" t="e">
        <f>IF($D$1212="",0,$D1563*Table3[[#This Row],[CF]]*chronic_consumption!$AE363/1000/$C$3)</f>
        <v>#DIV/0!</v>
      </c>
      <c r="AK1563" s="1098" t="e">
        <f>IF($D$1212="",0,$D1563*Table3[[#This Row],[CF]]*chronic_consumption!$AF363/1000/$C$3)</f>
        <v>#DIV/0!</v>
      </c>
      <c r="AL1563" s="1098" t="e">
        <f>IF($D$1212="",0,$D1563*Table3[[#This Row],[CF]]*chronic_consumption!$AG363/1000/$C$3)</f>
        <v>#DIV/0!</v>
      </c>
      <c r="AM1563" s="1098" t="e">
        <f>IF($D$1212="",0,$D1563*Table3[[#This Row],[CF]]*chronic_consumption!$AH363/1000/$C$3)</f>
        <v>#DIV/0!</v>
      </c>
      <c r="AN1563" s="1098" t="e">
        <f>IF($D$1212="",0,$D1563*Table3[[#This Row],[CF]]*chronic_consumption!$AI363/1000/$C$3)</f>
        <v>#DIV/0!</v>
      </c>
      <c r="AO1563" s="1098" t="e">
        <f>IF($D$1212="",0,$D1563*Table3[[#This Row],[CF]]*chronic_consumption!$AJ363/1000/$C$3)</f>
        <v>#DIV/0!</v>
      </c>
      <c r="AP1563" s="1098" t="e">
        <f>IF($D$1212="",0,$D1563*Table3[[#This Row],[CF]]*chronic_consumption!$AK363/1000/$C$3)</f>
        <v>#DIV/0!</v>
      </c>
      <c r="AQ1563" s="1098" t="e">
        <f>IF($D$1212="",0,$D1563*Table3[[#This Row],[CF]]*chronic_consumption!$AL363/1000/$C$3)</f>
        <v>#DIV/0!</v>
      </c>
      <c r="AR1563" s="1098" t="e">
        <f>IF($D$1212="",0,$D1563*Table3[[#This Row],[CF]]*chronic_consumption!$AM363/1000/$C$3)</f>
        <v>#DIV/0!</v>
      </c>
      <c r="AS1563" s="1098" t="e">
        <f>IF($D$1212="",0,$D1563*Table3[[#This Row],[CF]]*chronic_consumption!$AN363/1000/$C$3)</f>
        <v>#DIV/0!</v>
      </c>
      <c r="AT1563" s="1098" t="e">
        <f>IF($D$1212="",0,$D1563*Table3[[#This Row],[CF]]*chronic_consumption!$AO363/1000/$C$3)</f>
        <v>#DIV/0!</v>
      </c>
      <c r="AU1563" s="1099" t="e">
        <f t="shared" si="894"/>
        <v>#DIV/0!</v>
      </c>
      <c r="AV1563" s="1099" t="e">
        <f t="shared" si="894"/>
        <v>#DIV/0!</v>
      </c>
      <c r="AW1563" s="1099" t="e">
        <f t="shared" si="894"/>
        <v>#DIV/0!</v>
      </c>
      <c r="AX1563" s="1099" t="e">
        <f t="shared" si="894"/>
        <v>#DIV/0!</v>
      </c>
      <c r="AY1563" s="1099" t="e">
        <f t="shared" si="894"/>
        <v>#DIV/0!</v>
      </c>
      <c r="AZ1563" s="1091" t="s">
        <v>1012</v>
      </c>
      <c r="BA1563" s="1097" t="e">
        <f>IF(Table3[[#This Row],[max]]&lt;&gt;0,RANK(Table3[[#This Row],[max]],Table3[max],0),"")</f>
        <v>#DIV/0!</v>
      </c>
      <c r="BB1563" s="1096" t="e">
        <f t="shared" si="889"/>
        <v>#DIV/0!</v>
      </c>
      <c r="BC1563" s="1096" t="e">
        <f t="shared" ca="1" si="890"/>
        <v>#DIV/0!</v>
      </c>
      <c r="BD1563" s="1096" t="e">
        <f>IF(Table3[[#This Row],[max]]&gt;0,Table3[[#This Row],[Crop groups and examples of individual products within the groups to which the MRLs apply]],"")</f>
        <v>#DIV/0!</v>
      </c>
    </row>
    <row r="1564" spans="2:56" x14ac:dyDescent="0.2">
      <c r="B1564" s="23">
        <f t="shared" si="892"/>
        <v>1016040</v>
      </c>
      <c r="C1564" s="23" t="str">
        <f t="shared" si="892"/>
        <v>Poultry: Kidney</v>
      </c>
      <c r="D1564" s="1084">
        <f>input_values!E364</f>
        <v>0</v>
      </c>
      <c r="E1564" s="1084">
        <f>input_values!F364</f>
        <v>0</v>
      </c>
      <c r="F1564" s="1085">
        <f>input_values!W364</f>
        <v>1</v>
      </c>
      <c r="G1564" s="1085" t="str">
        <f>IF(Table3[[#This Row],[CF]]&gt;0,CONCATENATE(IF(Table3[[#This Row],[LOQ]]="*","LOQ","MRL"),IF(input_values!G364&gt;0,"×CFrisk","")),"")</f>
        <v>MRL</v>
      </c>
      <c r="H1564" s="1087">
        <f>input_values!L364</f>
        <v>0</v>
      </c>
      <c r="I1564" s="1088">
        <f>input_values!D364</f>
        <v>0</v>
      </c>
      <c r="J1564" s="1098" t="e">
        <f>IF($D$1212="",0,$D1564*Table3[[#This Row],[CF]]*chronic_consumption!$E364/1000/$C$3)</f>
        <v>#DIV/0!</v>
      </c>
      <c r="K1564" s="1098" t="e">
        <f>IF($D$1212="",0,$D1564*Table3[[#This Row],[CF]]*chronic_consumption!$F364/1000/$C$3)</f>
        <v>#DIV/0!</v>
      </c>
      <c r="L1564" s="1098" t="e">
        <f>IF($D$1212="",0,$D1564*Table3[[#This Row],[CF]]*chronic_consumption!$G364/1000/$C$3)</f>
        <v>#DIV/0!</v>
      </c>
      <c r="M1564" s="1098" t="e">
        <f>IF($D$1212="",0,$D1564*Table3[[#This Row],[CF]]*chronic_consumption!$H364/1000/$C$3)</f>
        <v>#DIV/0!</v>
      </c>
      <c r="N1564" s="1098" t="e">
        <f>IF($D$1212="",0,$D1564*Table3[[#This Row],[CF]]*chronic_consumption!$I364/1000/$C$3)</f>
        <v>#DIV/0!</v>
      </c>
      <c r="O1564" s="1098" t="e">
        <f>IF($D$1212="",0,$D1564*Table3[[#This Row],[CF]]*chronic_consumption!$J364/1000/$C$3)</f>
        <v>#DIV/0!</v>
      </c>
      <c r="P1564" s="1098" t="e">
        <f>IF($D$1212="",0,$D1564*Table3[[#This Row],[CF]]*chronic_consumption!$K364/1000/$C$3)</f>
        <v>#DIV/0!</v>
      </c>
      <c r="Q1564" s="1098" t="e">
        <f>IF($D$1212="",0,$D1564*Table3[[#This Row],[CF]]*chronic_consumption!$L364/1000/$C$3)</f>
        <v>#DIV/0!</v>
      </c>
      <c r="R1564" s="1098" t="e">
        <f>IF($D$1212="",0,$D1564*Table3[[#This Row],[CF]]*chronic_consumption!$M364/1000/$C$3)</f>
        <v>#DIV/0!</v>
      </c>
      <c r="S1564" s="1098" t="e">
        <f>IF($D$1212="",0,$D1564*Table3[[#This Row],[CF]]*chronic_consumption!$N364/1000/$C$3)</f>
        <v>#DIV/0!</v>
      </c>
      <c r="T1564" s="1098" t="e">
        <f>IF($D$1212="",0,$D1564*Table3[[#This Row],[CF]]*chronic_consumption!$O364/1000/$C$3)</f>
        <v>#DIV/0!</v>
      </c>
      <c r="U1564" s="1098" t="e">
        <f>IF($D$1212="",0,$D1564*Table3[[#This Row],[CF]]*chronic_consumption!$P364/1000/$C$3)</f>
        <v>#DIV/0!</v>
      </c>
      <c r="V1564" s="1098" t="e">
        <f>IF($D$1212="",0,$D1564*Table3[[#This Row],[CF]]*chronic_consumption!$Q364/1000/$C$3)</f>
        <v>#DIV/0!</v>
      </c>
      <c r="W1564" s="1098" t="e">
        <f>IF($D$1212="",0,$D1564*Table3[[#This Row],[CF]]*chronic_consumption!$R364/1000/$C$3)</f>
        <v>#DIV/0!</v>
      </c>
      <c r="X1564" s="1098" t="e">
        <f>IF($D$1212="",0,$D1564*Table3[[#This Row],[CF]]*chronic_consumption!$S364/1000/$C$3)</f>
        <v>#DIV/0!</v>
      </c>
      <c r="Y1564" s="1098" t="e">
        <f>IF($D$1212="",0,$D1564*Table3[[#This Row],[CF]]*chronic_consumption!$T364/1000/$C$3)</f>
        <v>#DIV/0!</v>
      </c>
      <c r="Z1564" s="1098" t="e">
        <f>IF($D$1212="",0,$D1564*Table3[[#This Row],[CF]]*chronic_consumption!$U364/1000/$C$3)</f>
        <v>#DIV/0!</v>
      </c>
      <c r="AA1564" s="1098" t="e">
        <f>IF($D$1212="",0,$D1564*Table3[[#This Row],[CF]]*chronic_consumption!$V364/1000/$C$3)</f>
        <v>#DIV/0!</v>
      </c>
      <c r="AB1564" s="1098" t="e">
        <f>IF($D$1212="",0,$D1564*Table3[[#This Row],[CF]]*chronic_consumption!$W364/1000/$C$3)</f>
        <v>#DIV/0!</v>
      </c>
      <c r="AC1564" s="1098" t="e">
        <f>IF($D$1212="",0,$D1564*Table3[[#This Row],[CF]]*chronic_consumption!$X364/1000/$C$3)</f>
        <v>#DIV/0!</v>
      </c>
      <c r="AD1564" s="1098" t="e">
        <f>IF($D$1212="",0,$D1564*Table3[[#This Row],[CF]]*chronic_consumption!$Y364/1000/$C$3)</f>
        <v>#DIV/0!</v>
      </c>
      <c r="AE1564" s="1098" t="e">
        <f>IF($D$1212="",0,$D1564*Table3[[#This Row],[CF]]*chronic_consumption!$Z364/1000/$C$3)</f>
        <v>#DIV/0!</v>
      </c>
      <c r="AF1564" s="1098" t="e">
        <f>IF($D$1212="",0,$D1564*Table3[[#This Row],[CF]]*chronic_consumption!$AA364/1000/$C$3)</f>
        <v>#DIV/0!</v>
      </c>
      <c r="AG1564" s="1098" t="e">
        <f>IF($D$1212="",0,$D1564*Table3[[#This Row],[CF]]*chronic_consumption!$AB364/1000/$C$3)</f>
        <v>#DIV/0!</v>
      </c>
      <c r="AH1564" s="1098" t="e">
        <f>IF($D$1212="",0,$D1564*Table3[[#This Row],[CF]]*chronic_consumption!$AC364/1000/$C$3)</f>
        <v>#DIV/0!</v>
      </c>
      <c r="AI1564" s="1098" t="e">
        <f>IF($D$1212="",0,$D1564*Table3[[#This Row],[CF]]*chronic_consumption!$AD364/1000/$C$3)</f>
        <v>#DIV/0!</v>
      </c>
      <c r="AJ1564" s="1098" t="e">
        <f>IF($D$1212="",0,$D1564*Table3[[#This Row],[CF]]*chronic_consumption!$AE364/1000/$C$3)</f>
        <v>#DIV/0!</v>
      </c>
      <c r="AK1564" s="1098" t="e">
        <f>IF($D$1212="",0,$D1564*Table3[[#This Row],[CF]]*chronic_consumption!$AF364/1000/$C$3)</f>
        <v>#DIV/0!</v>
      </c>
      <c r="AL1564" s="1098" t="e">
        <f>IF($D$1212="",0,$D1564*Table3[[#This Row],[CF]]*chronic_consumption!$AG364/1000/$C$3)</f>
        <v>#DIV/0!</v>
      </c>
      <c r="AM1564" s="1098" t="e">
        <f>IF($D$1212="",0,$D1564*Table3[[#This Row],[CF]]*chronic_consumption!$AH364/1000/$C$3)</f>
        <v>#DIV/0!</v>
      </c>
      <c r="AN1564" s="1098" t="e">
        <f>IF($D$1212="",0,$D1564*Table3[[#This Row],[CF]]*chronic_consumption!$AI364/1000/$C$3)</f>
        <v>#DIV/0!</v>
      </c>
      <c r="AO1564" s="1098" t="e">
        <f>IF($D$1212="",0,$D1564*Table3[[#This Row],[CF]]*chronic_consumption!$AJ364/1000/$C$3)</f>
        <v>#DIV/0!</v>
      </c>
      <c r="AP1564" s="1098" t="e">
        <f>IF($D$1212="",0,$D1564*Table3[[#This Row],[CF]]*chronic_consumption!$AK364/1000/$C$3)</f>
        <v>#DIV/0!</v>
      </c>
      <c r="AQ1564" s="1098" t="e">
        <f>IF($D$1212="",0,$D1564*Table3[[#This Row],[CF]]*chronic_consumption!$AL364/1000/$C$3)</f>
        <v>#DIV/0!</v>
      </c>
      <c r="AR1564" s="1098" t="e">
        <f>IF($D$1212="",0,$D1564*Table3[[#This Row],[CF]]*chronic_consumption!$AM364/1000/$C$3)</f>
        <v>#DIV/0!</v>
      </c>
      <c r="AS1564" s="1098" t="e">
        <f>IF($D$1212="",0,$D1564*Table3[[#This Row],[CF]]*chronic_consumption!$AN364/1000/$C$3)</f>
        <v>#DIV/0!</v>
      </c>
      <c r="AT1564" s="1098" t="e">
        <f>IF($D$1212="",0,$D1564*Table3[[#This Row],[CF]]*chronic_consumption!$AO364/1000/$C$3)</f>
        <v>#DIV/0!</v>
      </c>
      <c r="AU1564" s="1099" t="e">
        <f t="shared" si="894"/>
        <v>#DIV/0!</v>
      </c>
      <c r="AV1564" s="1099" t="e">
        <f t="shared" si="894"/>
        <v>#DIV/0!</v>
      </c>
      <c r="AW1564" s="1099" t="e">
        <f t="shared" si="894"/>
        <v>#DIV/0!</v>
      </c>
      <c r="AX1564" s="1099" t="e">
        <f t="shared" si="894"/>
        <v>#DIV/0!</v>
      </c>
      <c r="AY1564" s="1099" t="e">
        <f t="shared" si="894"/>
        <v>#DIV/0!</v>
      </c>
      <c r="AZ1564" s="1091" t="s">
        <v>1012</v>
      </c>
      <c r="BA1564" s="1097" t="e">
        <f>IF(Table3[[#This Row],[max]]&lt;&gt;0,RANK(Table3[[#This Row],[max]],Table3[max],0),"")</f>
        <v>#DIV/0!</v>
      </c>
      <c r="BB1564" s="1096" t="e">
        <f t="shared" si="889"/>
        <v>#DIV/0!</v>
      </c>
      <c r="BC1564" s="1096" t="e">
        <f t="shared" ca="1" si="890"/>
        <v>#DIV/0!</v>
      </c>
      <c r="BD1564" s="1096" t="e">
        <f>IF(Table3[[#This Row],[max]]&gt;0,Table3[[#This Row],[Crop groups and examples of individual products within the groups to which the MRLs apply]],"")</f>
        <v>#DIV/0!</v>
      </c>
    </row>
    <row r="1565" spans="2:56" x14ac:dyDescent="0.2">
      <c r="B1565" s="23">
        <f t="shared" si="892"/>
        <v>1016050</v>
      </c>
      <c r="C1565" s="23" t="str">
        <f t="shared" si="892"/>
        <v>Poultry: Edible offals (other than liver and kideny)</v>
      </c>
      <c r="D1565" s="1084">
        <f>input_values!E365</f>
        <v>0</v>
      </c>
      <c r="E1565" s="1084">
        <f>input_values!F365</f>
        <v>0</v>
      </c>
      <c r="F1565" s="1085">
        <f>input_values!W365</f>
        <v>1</v>
      </c>
      <c r="G1565" s="1085" t="str">
        <f>IF(Table3[[#This Row],[CF]]&gt;0,CONCATENATE(IF(Table3[[#This Row],[LOQ]]="*","LOQ","MRL"),IF(input_values!G365&gt;0,"×CFrisk","")),"")</f>
        <v>MRL</v>
      </c>
      <c r="H1565" s="1087">
        <f>input_values!L365</f>
        <v>0</v>
      </c>
      <c r="I1565" s="1088">
        <f>input_values!D365</f>
        <v>0</v>
      </c>
      <c r="J1565" s="1098" t="e">
        <f>IF($D$1212="",0,$D1565*Table3[[#This Row],[CF]]*chronic_consumption!$E365/1000/$C$3)</f>
        <v>#DIV/0!</v>
      </c>
      <c r="K1565" s="1098" t="e">
        <f>IF($D$1212="",0,$D1565*Table3[[#This Row],[CF]]*chronic_consumption!$F365/1000/$C$3)</f>
        <v>#DIV/0!</v>
      </c>
      <c r="L1565" s="1098" t="e">
        <f>IF($D$1212="",0,$D1565*Table3[[#This Row],[CF]]*chronic_consumption!$G365/1000/$C$3)</f>
        <v>#DIV/0!</v>
      </c>
      <c r="M1565" s="1098" t="e">
        <f>IF($D$1212="",0,$D1565*Table3[[#This Row],[CF]]*chronic_consumption!$H365/1000/$C$3)</f>
        <v>#DIV/0!</v>
      </c>
      <c r="N1565" s="1098" t="e">
        <f>IF($D$1212="",0,$D1565*Table3[[#This Row],[CF]]*chronic_consumption!$I365/1000/$C$3)</f>
        <v>#DIV/0!</v>
      </c>
      <c r="O1565" s="1098" t="e">
        <f>IF($D$1212="",0,$D1565*Table3[[#This Row],[CF]]*chronic_consumption!$J365/1000/$C$3)</f>
        <v>#DIV/0!</v>
      </c>
      <c r="P1565" s="1098" t="e">
        <f>IF($D$1212="",0,$D1565*Table3[[#This Row],[CF]]*chronic_consumption!$K365/1000/$C$3)</f>
        <v>#DIV/0!</v>
      </c>
      <c r="Q1565" s="1098" t="e">
        <f>IF($D$1212="",0,$D1565*Table3[[#This Row],[CF]]*chronic_consumption!$L365/1000/$C$3)</f>
        <v>#DIV/0!</v>
      </c>
      <c r="R1565" s="1098" t="e">
        <f>IF($D$1212="",0,$D1565*Table3[[#This Row],[CF]]*chronic_consumption!$M365/1000/$C$3)</f>
        <v>#DIV/0!</v>
      </c>
      <c r="S1565" s="1098" t="e">
        <f>IF($D$1212="",0,$D1565*Table3[[#This Row],[CF]]*chronic_consumption!$N365/1000/$C$3)</f>
        <v>#DIV/0!</v>
      </c>
      <c r="T1565" s="1098" t="e">
        <f>IF($D$1212="",0,$D1565*Table3[[#This Row],[CF]]*chronic_consumption!$O365/1000/$C$3)</f>
        <v>#DIV/0!</v>
      </c>
      <c r="U1565" s="1098" t="e">
        <f>IF($D$1212="",0,$D1565*Table3[[#This Row],[CF]]*chronic_consumption!$P365/1000/$C$3)</f>
        <v>#DIV/0!</v>
      </c>
      <c r="V1565" s="1098" t="e">
        <f>IF($D$1212="",0,$D1565*Table3[[#This Row],[CF]]*chronic_consumption!$Q365/1000/$C$3)</f>
        <v>#DIV/0!</v>
      </c>
      <c r="W1565" s="1098" t="e">
        <f>IF($D$1212="",0,$D1565*Table3[[#This Row],[CF]]*chronic_consumption!$R365/1000/$C$3)</f>
        <v>#DIV/0!</v>
      </c>
      <c r="X1565" s="1098" t="e">
        <f>IF($D$1212="",0,$D1565*Table3[[#This Row],[CF]]*chronic_consumption!$S365/1000/$C$3)</f>
        <v>#DIV/0!</v>
      </c>
      <c r="Y1565" s="1098" t="e">
        <f>IF($D$1212="",0,$D1565*Table3[[#This Row],[CF]]*chronic_consumption!$T365/1000/$C$3)</f>
        <v>#DIV/0!</v>
      </c>
      <c r="Z1565" s="1098" t="e">
        <f>IF($D$1212="",0,$D1565*Table3[[#This Row],[CF]]*chronic_consumption!$U365/1000/$C$3)</f>
        <v>#DIV/0!</v>
      </c>
      <c r="AA1565" s="1098" t="e">
        <f>IF($D$1212="",0,$D1565*Table3[[#This Row],[CF]]*chronic_consumption!$V365/1000/$C$3)</f>
        <v>#DIV/0!</v>
      </c>
      <c r="AB1565" s="1098" t="e">
        <f>IF($D$1212="",0,$D1565*Table3[[#This Row],[CF]]*chronic_consumption!$W365/1000/$C$3)</f>
        <v>#DIV/0!</v>
      </c>
      <c r="AC1565" s="1098" t="e">
        <f>IF($D$1212="",0,$D1565*Table3[[#This Row],[CF]]*chronic_consumption!$X365/1000/$C$3)</f>
        <v>#DIV/0!</v>
      </c>
      <c r="AD1565" s="1098" t="e">
        <f>IF($D$1212="",0,$D1565*Table3[[#This Row],[CF]]*chronic_consumption!$Y365/1000/$C$3)</f>
        <v>#DIV/0!</v>
      </c>
      <c r="AE1565" s="1098" t="e">
        <f>IF($D$1212="",0,$D1565*Table3[[#This Row],[CF]]*chronic_consumption!$Z365/1000/$C$3)</f>
        <v>#DIV/0!</v>
      </c>
      <c r="AF1565" s="1098" t="e">
        <f>IF($D$1212="",0,$D1565*Table3[[#This Row],[CF]]*chronic_consumption!$AA365/1000/$C$3)</f>
        <v>#DIV/0!</v>
      </c>
      <c r="AG1565" s="1098" t="e">
        <f>IF($D$1212="",0,$D1565*Table3[[#This Row],[CF]]*chronic_consumption!$AB365/1000/$C$3)</f>
        <v>#DIV/0!</v>
      </c>
      <c r="AH1565" s="1098" t="e">
        <f>IF($D$1212="",0,$D1565*Table3[[#This Row],[CF]]*chronic_consumption!$AC365/1000/$C$3)</f>
        <v>#DIV/0!</v>
      </c>
      <c r="AI1565" s="1098" t="e">
        <f>IF($D$1212="",0,$D1565*Table3[[#This Row],[CF]]*chronic_consumption!$AD365/1000/$C$3)</f>
        <v>#DIV/0!</v>
      </c>
      <c r="AJ1565" s="1098" t="e">
        <f>IF($D$1212="",0,$D1565*Table3[[#This Row],[CF]]*chronic_consumption!$AE365/1000/$C$3)</f>
        <v>#DIV/0!</v>
      </c>
      <c r="AK1565" s="1098" t="e">
        <f>IF($D$1212="",0,$D1565*Table3[[#This Row],[CF]]*chronic_consumption!$AF365/1000/$C$3)</f>
        <v>#DIV/0!</v>
      </c>
      <c r="AL1565" s="1098" t="e">
        <f>IF($D$1212="",0,$D1565*Table3[[#This Row],[CF]]*chronic_consumption!$AG365/1000/$C$3)</f>
        <v>#DIV/0!</v>
      </c>
      <c r="AM1565" s="1098" t="e">
        <f>IF($D$1212="",0,$D1565*Table3[[#This Row],[CF]]*chronic_consumption!$AH365/1000/$C$3)</f>
        <v>#DIV/0!</v>
      </c>
      <c r="AN1565" s="1098" t="e">
        <f>IF($D$1212="",0,$D1565*Table3[[#This Row],[CF]]*chronic_consumption!$AI365/1000/$C$3)</f>
        <v>#DIV/0!</v>
      </c>
      <c r="AO1565" s="1098" t="e">
        <f>IF($D$1212="",0,$D1565*Table3[[#This Row],[CF]]*chronic_consumption!$AJ365/1000/$C$3)</f>
        <v>#DIV/0!</v>
      </c>
      <c r="AP1565" s="1098" t="e">
        <f>IF($D$1212="",0,$D1565*Table3[[#This Row],[CF]]*chronic_consumption!$AK365/1000/$C$3)</f>
        <v>#DIV/0!</v>
      </c>
      <c r="AQ1565" s="1098" t="e">
        <f>IF($D$1212="",0,$D1565*Table3[[#This Row],[CF]]*chronic_consumption!$AL365/1000/$C$3)</f>
        <v>#DIV/0!</v>
      </c>
      <c r="AR1565" s="1098" t="e">
        <f>IF($D$1212="",0,$D1565*Table3[[#This Row],[CF]]*chronic_consumption!$AM365/1000/$C$3)</f>
        <v>#DIV/0!</v>
      </c>
      <c r="AS1565" s="1098" t="e">
        <f>IF($D$1212="",0,$D1565*Table3[[#This Row],[CF]]*chronic_consumption!$AN365/1000/$C$3)</f>
        <v>#DIV/0!</v>
      </c>
      <c r="AT1565" s="1098" t="e">
        <f>IF($D$1212="",0,$D1565*Table3[[#This Row],[CF]]*chronic_consumption!$AO365/1000/$C$3)</f>
        <v>#DIV/0!</v>
      </c>
      <c r="AU1565" s="1099" t="e">
        <f t="shared" si="894"/>
        <v>#DIV/0!</v>
      </c>
      <c r="AV1565" s="1099" t="e">
        <f t="shared" si="894"/>
        <v>#DIV/0!</v>
      </c>
      <c r="AW1565" s="1099" t="e">
        <f t="shared" si="894"/>
        <v>#DIV/0!</v>
      </c>
      <c r="AX1565" s="1099" t="e">
        <f t="shared" si="894"/>
        <v>#DIV/0!</v>
      </c>
      <c r="AY1565" s="1099" t="e">
        <f t="shared" si="894"/>
        <v>#DIV/0!</v>
      </c>
      <c r="AZ1565" s="1091" t="s">
        <v>1012</v>
      </c>
      <c r="BA1565" s="1097" t="e">
        <f>IF(Table3[[#This Row],[max]]&lt;&gt;0,RANK(Table3[[#This Row],[max]],Table3[max],0),"")</f>
        <v>#DIV/0!</v>
      </c>
      <c r="BB1565" s="1096" t="e">
        <f t="shared" si="889"/>
        <v>#DIV/0!</v>
      </c>
      <c r="BC1565" s="1096" t="e">
        <f t="shared" ca="1" si="890"/>
        <v>#DIV/0!</v>
      </c>
      <c r="BD1565" s="1096" t="e">
        <f>IF(Table3[[#This Row],[max]]&gt;0,Table3[[#This Row],[Crop groups and examples of individual products within the groups to which the MRLs apply]],"")</f>
        <v>#DIV/0!</v>
      </c>
    </row>
    <row r="1566" spans="2:56" x14ac:dyDescent="0.2">
      <c r="B1566" s="23">
        <f t="shared" si="892"/>
        <v>1016990</v>
      </c>
      <c r="C1566" s="23" t="str">
        <f t="shared" si="892"/>
        <v>Poultry: Other products</v>
      </c>
      <c r="D1566" s="1084">
        <f>input_values!E366</f>
        <v>0</v>
      </c>
      <c r="E1566" s="1084">
        <f>input_values!F366</f>
        <v>0</v>
      </c>
      <c r="F1566" s="1085">
        <f>input_values!W366</f>
        <v>1</v>
      </c>
      <c r="G1566" s="1085" t="str">
        <f>IF(Table3[[#This Row],[CF]]&gt;0,CONCATENATE(IF(Table3[[#This Row],[LOQ]]="*","LOQ","MRL"),IF(input_values!G366&gt;0,"×CFrisk","")),"")</f>
        <v>MRL</v>
      </c>
      <c r="H1566" s="1087">
        <f>input_values!L366</f>
        <v>0</v>
      </c>
      <c r="I1566" s="1088">
        <f>input_values!D366</f>
        <v>0</v>
      </c>
      <c r="J1566" s="1098" t="e">
        <f>IF($D$1212="",0,$D1566*Table3[[#This Row],[CF]]*chronic_consumption!$E366/1000/$C$3)</f>
        <v>#DIV/0!</v>
      </c>
      <c r="K1566" s="1098" t="e">
        <f>IF($D$1212="",0,$D1566*Table3[[#This Row],[CF]]*chronic_consumption!$F366/1000/$C$3)</f>
        <v>#DIV/0!</v>
      </c>
      <c r="L1566" s="1098" t="e">
        <f>IF($D$1212="",0,$D1566*Table3[[#This Row],[CF]]*chronic_consumption!$G366/1000/$C$3)</f>
        <v>#DIV/0!</v>
      </c>
      <c r="M1566" s="1098" t="e">
        <f>IF($D$1212="",0,$D1566*Table3[[#This Row],[CF]]*chronic_consumption!$H366/1000/$C$3)</f>
        <v>#DIV/0!</v>
      </c>
      <c r="N1566" s="1098" t="e">
        <f>IF($D$1212="",0,$D1566*Table3[[#This Row],[CF]]*chronic_consumption!$I366/1000/$C$3)</f>
        <v>#DIV/0!</v>
      </c>
      <c r="O1566" s="1098" t="e">
        <f>IF($D$1212="",0,$D1566*Table3[[#This Row],[CF]]*chronic_consumption!$J366/1000/$C$3)</f>
        <v>#DIV/0!</v>
      </c>
      <c r="P1566" s="1098" t="e">
        <f>IF($D$1212="",0,$D1566*Table3[[#This Row],[CF]]*chronic_consumption!$K366/1000/$C$3)</f>
        <v>#DIV/0!</v>
      </c>
      <c r="Q1566" s="1098" t="e">
        <f>IF($D$1212="",0,$D1566*Table3[[#This Row],[CF]]*chronic_consumption!$L366/1000/$C$3)</f>
        <v>#DIV/0!</v>
      </c>
      <c r="R1566" s="1098" t="e">
        <f>IF($D$1212="",0,$D1566*Table3[[#This Row],[CF]]*chronic_consumption!$M366/1000/$C$3)</f>
        <v>#DIV/0!</v>
      </c>
      <c r="S1566" s="1098" t="e">
        <f>IF($D$1212="",0,$D1566*Table3[[#This Row],[CF]]*chronic_consumption!$N366/1000/$C$3)</f>
        <v>#DIV/0!</v>
      </c>
      <c r="T1566" s="1098" t="e">
        <f>IF($D$1212="",0,$D1566*Table3[[#This Row],[CF]]*chronic_consumption!$O366/1000/$C$3)</f>
        <v>#DIV/0!</v>
      </c>
      <c r="U1566" s="1098" t="e">
        <f>IF($D$1212="",0,$D1566*Table3[[#This Row],[CF]]*chronic_consumption!$P366/1000/$C$3)</f>
        <v>#DIV/0!</v>
      </c>
      <c r="V1566" s="1098" t="e">
        <f>IF($D$1212="",0,$D1566*Table3[[#This Row],[CF]]*chronic_consumption!$Q366/1000/$C$3)</f>
        <v>#DIV/0!</v>
      </c>
      <c r="W1566" s="1098" t="e">
        <f>IF($D$1212="",0,$D1566*Table3[[#This Row],[CF]]*chronic_consumption!$R366/1000/$C$3)</f>
        <v>#DIV/0!</v>
      </c>
      <c r="X1566" s="1098" t="e">
        <f>IF($D$1212="",0,$D1566*Table3[[#This Row],[CF]]*chronic_consumption!$S366/1000/$C$3)</f>
        <v>#DIV/0!</v>
      </c>
      <c r="Y1566" s="1098" t="e">
        <f>IF($D$1212="",0,$D1566*Table3[[#This Row],[CF]]*chronic_consumption!$T366/1000/$C$3)</f>
        <v>#DIV/0!</v>
      </c>
      <c r="Z1566" s="1098" t="e">
        <f>IF($D$1212="",0,$D1566*Table3[[#This Row],[CF]]*chronic_consumption!$U366/1000/$C$3)</f>
        <v>#DIV/0!</v>
      </c>
      <c r="AA1566" s="1098" t="e">
        <f>IF($D$1212="",0,$D1566*Table3[[#This Row],[CF]]*chronic_consumption!$V366/1000/$C$3)</f>
        <v>#DIV/0!</v>
      </c>
      <c r="AB1566" s="1098" t="e">
        <f>IF($D$1212="",0,$D1566*Table3[[#This Row],[CF]]*chronic_consumption!$W366/1000/$C$3)</f>
        <v>#DIV/0!</v>
      </c>
      <c r="AC1566" s="1098" t="e">
        <f>IF($D$1212="",0,$D1566*Table3[[#This Row],[CF]]*chronic_consumption!$X366/1000/$C$3)</f>
        <v>#DIV/0!</v>
      </c>
      <c r="AD1566" s="1098" t="e">
        <f>IF($D$1212="",0,$D1566*Table3[[#This Row],[CF]]*chronic_consumption!$Y366/1000/$C$3)</f>
        <v>#DIV/0!</v>
      </c>
      <c r="AE1566" s="1098" t="e">
        <f>IF($D$1212="",0,$D1566*Table3[[#This Row],[CF]]*chronic_consumption!$Z366/1000/$C$3)</f>
        <v>#DIV/0!</v>
      </c>
      <c r="AF1566" s="1098" t="e">
        <f>IF($D$1212="",0,$D1566*Table3[[#This Row],[CF]]*chronic_consumption!$AA366/1000/$C$3)</f>
        <v>#DIV/0!</v>
      </c>
      <c r="AG1566" s="1098" t="e">
        <f>IF($D$1212="",0,$D1566*Table3[[#This Row],[CF]]*chronic_consumption!$AB366/1000/$C$3)</f>
        <v>#DIV/0!</v>
      </c>
      <c r="AH1566" s="1098" t="e">
        <f>IF($D$1212="",0,$D1566*Table3[[#This Row],[CF]]*chronic_consumption!$AC366/1000/$C$3)</f>
        <v>#DIV/0!</v>
      </c>
      <c r="AI1566" s="1098" t="e">
        <f>IF($D$1212="",0,$D1566*Table3[[#This Row],[CF]]*chronic_consumption!$AD366/1000/$C$3)</f>
        <v>#DIV/0!</v>
      </c>
      <c r="AJ1566" s="1098" t="e">
        <f>IF($D$1212="",0,$D1566*Table3[[#This Row],[CF]]*chronic_consumption!$AE366/1000/$C$3)</f>
        <v>#DIV/0!</v>
      </c>
      <c r="AK1566" s="1098" t="e">
        <f>IF($D$1212="",0,$D1566*Table3[[#This Row],[CF]]*chronic_consumption!$AF366/1000/$C$3)</f>
        <v>#DIV/0!</v>
      </c>
      <c r="AL1566" s="1098" t="e">
        <f>IF($D$1212="",0,$D1566*Table3[[#This Row],[CF]]*chronic_consumption!$AG366/1000/$C$3)</f>
        <v>#DIV/0!</v>
      </c>
      <c r="AM1566" s="1098" t="e">
        <f>IF($D$1212="",0,$D1566*Table3[[#This Row],[CF]]*chronic_consumption!$AH366/1000/$C$3)</f>
        <v>#DIV/0!</v>
      </c>
      <c r="AN1566" s="1098" t="e">
        <f>IF($D$1212="",0,$D1566*Table3[[#This Row],[CF]]*chronic_consumption!$AI366/1000/$C$3)</f>
        <v>#DIV/0!</v>
      </c>
      <c r="AO1566" s="1098" t="e">
        <f>IF($D$1212="",0,$D1566*Table3[[#This Row],[CF]]*chronic_consumption!$AJ366/1000/$C$3)</f>
        <v>#DIV/0!</v>
      </c>
      <c r="AP1566" s="1098" t="e">
        <f>IF($D$1212="",0,$D1566*Table3[[#This Row],[CF]]*chronic_consumption!$AK366/1000/$C$3)</f>
        <v>#DIV/0!</v>
      </c>
      <c r="AQ1566" s="1098" t="e">
        <f>IF($D$1212="",0,$D1566*Table3[[#This Row],[CF]]*chronic_consumption!$AL366/1000/$C$3)</f>
        <v>#DIV/0!</v>
      </c>
      <c r="AR1566" s="1098" t="e">
        <f>IF($D$1212="",0,$D1566*Table3[[#This Row],[CF]]*chronic_consumption!$AM366/1000/$C$3)</f>
        <v>#DIV/0!</v>
      </c>
      <c r="AS1566" s="1098" t="e">
        <f>IF($D$1212="",0,$D1566*Table3[[#This Row],[CF]]*chronic_consumption!$AN366/1000/$C$3)</f>
        <v>#DIV/0!</v>
      </c>
      <c r="AT1566" s="1098" t="e">
        <f>IF($D$1212="",0,$D1566*Table3[[#This Row],[CF]]*chronic_consumption!$AO366/1000/$C$3)</f>
        <v>#DIV/0!</v>
      </c>
      <c r="AU1566" s="1099" t="e">
        <f t="shared" si="894"/>
        <v>#DIV/0!</v>
      </c>
      <c r="AV1566" s="1099" t="e">
        <f t="shared" si="894"/>
        <v>#DIV/0!</v>
      </c>
      <c r="AW1566" s="1099" t="e">
        <f t="shared" si="894"/>
        <v>#DIV/0!</v>
      </c>
      <c r="AX1566" s="1099" t="e">
        <f t="shared" si="894"/>
        <v>#DIV/0!</v>
      </c>
      <c r="AY1566" s="1099" t="e">
        <f t="shared" si="894"/>
        <v>#DIV/0!</v>
      </c>
      <c r="AZ1566" s="1091" t="s">
        <v>1012</v>
      </c>
      <c r="BA1566" s="1097" t="e">
        <f>IF(Table3[[#This Row],[max]]&lt;&gt;0,RANK(Table3[[#This Row],[max]],Table3[max],0),"")</f>
        <v>#DIV/0!</v>
      </c>
      <c r="BB1566" s="1096" t="e">
        <f t="shared" si="889"/>
        <v>#DIV/0!</v>
      </c>
      <c r="BC1566" s="1096" t="e">
        <f t="shared" ca="1" si="890"/>
        <v>#DIV/0!</v>
      </c>
      <c r="BD1566" s="1096" t="e">
        <f>IF(Table3[[#This Row],[max]]&gt;0,Table3[[#This Row],[Crop groups and examples of individual products within the groups to which the MRLs apply]],"")</f>
        <v>#DIV/0!</v>
      </c>
    </row>
    <row r="1567" spans="2:56" x14ac:dyDescent="0.2">
      <c r="B1567" s="5">
        <f t="shared" si="892"/>
        <v>1017000</v>
      </c>
      <c r="C1567" s="5" t="str">
        <f t="shared" si="892"/>
        <v>Other farmed terrestrial animals</v>
      </c>
      <c r="D1567" s="1084">
        <f>input_values!E367</f>
        <v>0</v>
      </c>
      <c r="E1567" s="1084">
        <f>input_values!F367</f>
        <v>0</v>
      </c>
      <c r="F1567" s="1085">
        <f>input_values!W367</f>
        <v>0</v>
      </c>
      <c r="G1567" s="1085" t="str">
        <f>IF(Table3[[#This Row],[CF]]&gt;0,CONCATENATE(IF(Table3[[#This Row],[LOQ]]="*","LOQ","MRL"),IF(input_values!G367&gt;0,"×CFrisk","")),"")</f>
        <v/>
      </c>
      <c r="H1567" s="1087">
        <f>input_values!L367</f>
        <v>0</v>
      </c>
      <c r="I1567" s="1088">
        <f>input_values!D367</f>
        <v>0</v>
      </c>
      <c r="J1567" s="1103" t="e">
        <f>IF($D$1212="",0,$D1567*Table3[[#This Row],[CF]]*chronic_consumption!$E367/1000/$C$3)</f>
        <v>#DIV/0!</v>
      </c>
      <c r="K1567" s="1103" t="e">
        <f>IF($D$1212="",0,$D1567*Table3[[#This Row],[CF]]*chronic_consumption!$F367/1000/$C$3)</f>
        <v>#DIV/0!</v>
      </c>
      <c r="L1567" s="1103" t="e">
        <f>IF($D$1212="",0,$D1567*Table3[[#This Row],[CF]]*chronic_consumption!$G367/1000/$C$3)</f>
        <v>#DIV/0!</v>
      </c>
      <c r="M1567" s="1103" t="e">
        <f>IF($D$1212="",0,$D1567*Table3[[#This Row],[CF]]*chronic_consumption!$H367/1000/$C$3)</f>
        <v>#DIV/0!</v>
      </c>
      <c r="N1567" s="1103" t="e">
        <f>IF($D$1212="",0,$D1567*Table3[[#This Row],[CF]]*chronic_consumption!$I367/1000/$C$3)</f>
        <v>#DIV/0!</v>
      </c>
      <c r="O1567" s="1103" t="e">
        <f>IF($D$1212="",0,$D1567*Table3[[#This Row],[CF]]*chronic_consumption!$J367/1000/$C$3)</f>
        <v>#DIV/0!</v>
      </c>
      <c r="P1567" s="1103" t="e">
        <f>IF($D$1212="",0,$D1567*Table3[[#This Row],[CF]]*chronic_consumption!$K367/1000/$C$3)</f>
        <v>#DIV/0!</v>
      </c>
      <c r="Q1567" s="1103" t="e">
        <f>IF($D$1212="",0,$D1567*Table3[[#This Row],[CF]]*chronic_consumption!$L367/1000/$C$3)</f>
        <v>#DIV/0!</v>
      </c>
      <c r="R1567" s="1103" t="e">
        <f>IF($D$1212="",0,$D1567*Table3[[#This Row],[CF]]*chronic_consumption!$M367/1000/$C$3)</f>
        <v>#DIV/0!</v>
      </c>
      <c r="S1567" s="1103" t="e">
        <f>IF($D$1212="",0,$D1567*Table3[[#This Row],[CF]]*chronic_consumption!$N367/1000/$C$3)</f>
        <v>#DIV/0!</v>
      </c>
      <c r="T1567" s="1103" t="e">
        <f>IF($D$1212="",0,$D1567*Table3[[#This Row],[CF]]*chronic_consumption!$O367/1000/$C$3)</f>
        <v>#DIV/0!</v>
      </c>
      <c r="U1567" s="1103" t="e">
        <f>IF($D$1212="",0,$D1567*Table3[[#This Row],[CF]]*chronic_consumption!$P367/1000/$C$3)</f>
        <v>#DIV/0!</v>
      </c>
      <c r="V1567" s="1103" t="e">
        <f>IF($D$1212="",0,$D1567*Table3[[#This Row],[CF]]*chronic_consumption!$Q367/1000/$C$3)</f>
        <v>#DIV/0!</v>
      </c>
      <c r="W1567" s="1103" t="e">
        <f>IF($D$1212="",0,$D1567*Table3[[#This Row],[CF]]*chronic_consumption!$R367/1000/$C$3)</f>
        <v>#DIV/0!</v>
      </c>
      <c r="X1567" s="1103" t="e">
        <f>IF($D$1212="",0,$D1567*Table3[[#This Row],[CF]]*chronic_consumption!$S367/1000/$C$3)</f>
        <v>#DIV/0!</v>
      </c>
      <c r="Y1567" s="1103" t="e">
        <f>IF($D$1212="",0,$D1567*Table3[[#This Row],[CF]]*chronic_consumption!$T367/1000/$C$3)</f>
        <v>#DIV/0!</v>
      </c>
      <c r="Z1567" s="1103" t="e">
        <f>IF($D$1212="",0,$D1567*Table3[[#This Row],[CF]]*chronic_consumption!$U367/1000/$C$3)</f>
        <v>#DIV/0!</v>
      </c>
      <c r="AA1567" s="1103" t="e">
        <f>IF($D$1212="",0,$D1567*Table3[[#This Row],[CF]]*chronic_consumption!$V367/1000/$C$3)</f>
        <v>#DIV/0!</v>
      </c>
      <c r="AB1567" s="1103" t="e">
        <f>IF($D$1212="",0,$D1567*Table3[[#This Row],[CF]]*chronic_consumption!$W367/1000/$C$3)</f>
        <v>#DIV/0!</v>
      </c>
      <c r="AC1567" s="1103" t="e">
        <f>IF($D$1212="",0,$D1567*Table3[[#This Row],[CF]]*chronic_consumption!$X367/1000/$C$3)</f>
        <v>#DIV/0!</v>
      </c>
      <c r="AD1567" s="1103" t="e">
        <f>IF($D$1212="",0,$D1567*Table3[[#This Row],[CF]]*chronic_consumption!$Y367/1000/$C$3)</f>
        <v>#DIV/0!</v>
      </c>
      <c r="AE1567" s="1103" t="e">
        <f>IF($D$1212="",0,$D1567*Table3[[#This Row],[CF]]*chronic_consumption!$Z367/1000/$C$3)</f>
        <v>#DIV/0!</v>
      </c>
      <c r="AF1567" s="1103" t="e">
        <f>IF($D$1212="",0,$D1567*Table3[[#This Row],[CF]]*chronic_consumption!$AA367/1000/$C$3)</f>
        <v>#DIV/0!</v>
      </c>
      <c r="AG1567" s="1103" t="e">
        <f>IF($D$1212="",0,$D1567*Table3[[#This Row],[CF]]*chronic_consumption!$AB367/1000/$C$3)</f>
        <v>#DIV/0!</v>
      </c>
      <c r="AH1567" s="1103" t="e">
        <f>IF($D$1212="",0,$D1567*Table3[[#This Row],[CF]]*chronic_consumption!$AC367/1000/$C$3)</f>
        <v>#DIV/0!</v>
      </c>
      <c r="AI1567" s="1103" t="e">
        <f>IF($D$1212="",0,$D1567*Table3[[#This Row],[CF]]*chronic_consumption!$AD367/1000/$C$3)</f>
        <v>#DIV/0!</v>
      </c>
      <c r="AJ1567" s="1103" t="e">
        <f>IF($D$1212="",0,$D1567*Table3[[#This Row],[CF]]*chronic_consumption!$AE367/1000/$C$3)</f>
        <v>#DIV/0!</v>
      </c>
      <c r="AK1567" s="1103" t="e">
        <f>IF($D$1212="",0,$D1567*Table3[[#This Row],[CF]]*chronic_consumption!$AF367/1000/$C$3)</f>
        <v>#DIV/0!</v>
      </c>
      <c r="AL1567" s="1103" t="e">
        <f>IF($D$1212="",0,$D1567*Table3[[#This Row],[CF]]*chronic_consumption!$AG367/1000/$C$3)</f>
        <v>#DIV/0!</v>
      </c>
      <c r="AM1567" s="1103" t="e">
        <f>IF($D$1212="",0,$D1567*Table3[[#This Row],[CF]]*chronic_consumption!$AH367/1000/$C$3)</f>
        <v>#DIV/0!</v>
      </c>
      <c r="AN1567" s="1103" t="e">
        <f>IF($D$1212="",0,$D1567*Table3[[#This Row],[CF]]*chronic_consumption!$AI367/1000/$C$3)</f>
        <v>#DIV/0!</v>
      </c>
      <c r="AO1567" s="1103" t="e">
        <f>IF($D$1212="",0,$D1567*Table3[[#This Row],[CF]]*chronic_consumption!$AJ367/1000/$C$3)</f>
        <v>#DIV/0!</v>
      </c>
      <c r="AP1567" s="1103" t="e">
        <f>IF($D$1212="",0,$D1567*Table3[[#This Row],[CF]]*chronic_consumption!$AK367/1000/$C$3)</f>
        <v>#DIV/0!</v>
      </c>
      <c r="AQ1567" s="1103" t="e">
        <f>IF($D$1212="",0,$D1567*Table3[[#This Row],[CF]]*chronic_consumption!$AL367/1000/$C$3)</f>
        <v>#DIV/0!</v>
      </c>
      <c r="AR1567" s="1103" t="e">
        <f>IF($D$1212="",0,$D1567*Table3[[#This Row],[CF]]*chronic_consumption!$AM367/1000/$C$3)</f>
        <v>#DIV/0!</v>
      </c>
      <c r="AS1567" s="1103" t="e">
        <f>IF($D$1212="",0,$D1567*Table3[[#This Row],[CF]]*chronic_consumption!$AN367/1000/$C$3)</f>
        <v>#DIV/0!</v>
      </c>
      <c r="AT1567" s="1103" t="e">
        <f>IF($D$1212="",0,$D1567*Table3[[#This Row],[CF]]*chronic_consumption!$AO367/1000/$C$3)</f>
        <v>#DIV/0!</v>
      </c>
      <c r="AU1567" s="1104" t="e">
        <f t="shared" si="894"/>
        <v>#DIV/0!</v>
      </c>
      <c r="AV1567" s="1104" t="e">
        <f t="shared" si="894"/>
        <v>#DIV/0!</v>
      </c>
      <c r="AW1567" s="1104" t="e">
        <f t="shared" si="894"/>
        <v>#DIV/0!</v>
      </c>
      <c r="AX1567" s="1104" t="e">
        <f t="shared" si="894"/>
        <v>#DIV/0!</v>
      </c>
      <c r="AY1567" s="1104" t="e">
        <f t="shared" si="894"/>
        <v>#DIV/0!</v>
      </c>
      <c r="AZ1567" s="1091" t="s">
        <v>1012</v>
      </c>
      <c r="BA1567" s="1097" t="e">
        <f>IF(Table3[[#This Row],[max]]&lt;&gt;0,RANK(Table3[[#This Row],[max]],Table3[max],0),"")</f>
        <v>#DIV/0!</v>
      </c>
      <c r="BB1567" s="1096" t="e">
        <f t="shared" si="889"/>
        <v>#DIV/0!</v>
      </c>
      <c r="BC1567" s="1096" t="e">
        <f t="shared" ca="1" si="890"/>
        <v>#DIV/0!</v>
      </c>
      <c r="BD1567" s="1096" t="e">
        <f>IF(Table3[[#This Row],[max]]&gt;0,Table3[[#This Row],[Crop groups and examples of individual products within the groups to which the MRLs apply]],"")</f>
        <v>#DIV/0!</v>
      </c>
    </row>
    <row r="1568" spans="2:56" x14ac:dyDescent="0.2">
      <c r="B1568" s="23">
        <f t="shared" si="892"/>
        <v>1017010</v>
      </c>
      <c r="C1568" s="23" t="str">
        <f t="shared" si="892"/>
        <v xml:space="preserve"> Other farmed animals: Muscle/meat</v>
      </c>
      <c r="D1568" s="1084">
        <f>input_values!E368</f>
        <v>0</v>
      </c>
      <c r="E1568" s="1084">
        <f>input_values!F368</f>
        <v>0</v>
      </c>
      <c r="F1568" s="1085">
        <f>input_values!W368</f>
        <v>1</v>
      </c>
      <c r="G1568" s="1085" t="str">
        <f>IF(Table3[[#This Row],[CF]]&gt;0,CONCATENATE(IF(Table3[[#This Row],[LOQ]]="*","LOQ","MRL"),IF(input_values!G368&gt;0,"×CFrisk","")),"")</f>
        <v>MRL</v>
      </c>
      <c r="H1568" s="1087">
        <f>input_values!L368</f>
        <v>0</v>
      </c>
      <c r="I1568" s="1088">
        <f>input_values!D368</f>
        <v>0</v>
      </c>
      <c r="J1568" s="1098" t="e">
        <f>IF($D$1212="",0,$D1568*Table3[[#This Row],[CF]]*chronic_consumption!$E368/1000/$C$3)</f>
        <v>#DIV/0!</v>
      </c>
      <c r="K1568" s="1098" t="e">
        <f>IF($D$1212="",0,$D1568*Table3[[#This Row],[CF]]*chronic_consumption!$F368/1000/$C$3)</f>
        <v>#DIV/0!</v>
      </c>
      <c r="L1568" s="1098" t="e">
        <f>IF($D$1212="",0,$D1568*Table3[[#This Row],[CF]]*chronic_consumption!$G368/1000/$C$3)</f>
        <v>#DIV/0!</v>
      </c>
      <c r="M1568" s="1098" t="e">
        <f>IF($D$1212="",0,$D1568*Table3[[#This Row],[CF]]*chronic_consumption!$H368/1000/$C$3)</f>
        <v>#DIV/0!</v>
      </c>
      <c r="N1568" s="1098" t="e">
        <f>IF($D$1212="",0,$D1568*Table3[[#This Row],[CF]]*chronic_consumption!$I368/1000/$C$3)</f>
        <v>#DIV/0!</v>
      </c>
      <c r="O1568" s="1098" t="e">
        <f>IF($D$1212="",0,$D1568*Table3[[#This Row],[CF]]*chronic_consumption!$J368/1000/$C$3)</f>
        <v>#DIV/0!</v>
      </c>
      <c r="P1568" s="1098" t="e">
        <f>IF($D$1212="",0,$D1568*Table3[[#This Row],[CF]]*chronic_consumption!$K368/1000/$C$3)</f>
        <v>#DIV/0!</v>
      </c>
      <c r="Q1568" s="1098" t="e">
        <f>IF($D$1212="",0,$D1568*Table3[[#This Row],[CF]]*chronic_consumption!$L368/1000/$C$3)</f>
        <v>#DIV/0!</v>
      </c>
      <c r="R1568" s="1098" t="e">
        <f>IF($D$1212="",0,$D1568*Table3[[#This Row],[CF]]*chronic_consumption!$M368/1000/$C$3)</f>
        <v>#DIV/0!</v>
      </c>
      <c r="S1568" s="1098" t="e">
        <f>IF($D$1212="",0,$D1568*Table3[[#This Row],[CF]]*chronic_consumption!$N368/1000/$C$3)</f>
        <v>#DIV/0!</v>
      </c>
      <c r="T1568" s="1098" t="e">
        <f>IF($D$1212="",0,$D1568*Table3[[#This Row],[CF]]*chronic_consumption!$O368/1000/$C$3)</f>
        <v>#DIV/0!</v>
      </c>
      <c r="U1568" s="1098" t="e">
        <f>IF($D$1212="",0,$D1568*Table3[[#This Row],[CF]]*chronic_consumption!$P368/1000/$C$3)</f>
        <v>#DIV/0!</v>
      </c>
      <c r="V1568" s="1098" t="e">
        <f>IF($D$1212="",0,$D1568*Table3[[#This Row],[CF]]*chronic_consumption!$Q368/1000/$C$3)</f>
        <v>#DIV/0!</v>
      </c>
      <c r="W1568" s="1098" t="e">
        <f>IF($D$1212="",0,$D1568*Table3[[#This Row],[CF]]*chronic_consumption!$R368/1000/$C$3)</f>
        <v>#DIV/0!</v>
      </c>
      <c r="X1568" s="1098" t="e">
        <f>IF($D$1212="",0,$D1568*Table3[[#This Row],[CF]]*chronic_consumption!$S368/1000/$C$3)</f>
        <v>#DIV/0!</v>
      </c>
      <c r="Y1568" s="1098" t="e">
        <f>IF($D$1212="",0,$D1568*Table3[[#This Row],[CF]]*chronic_consumption!$T368/1000/$C$3)</f>
        <v>#DIV/0!</v>
      </c>
      <c r="Z1568" s="1098" t="e">
        <f>IF($D$1212="",0,$D1568*Table3[[#This Row],[CF]]*chronic_consumption!$U368/1000/$C$3)</f>
        <v>#DIV/0!</v>
      </c>
      <c r="AA1568" s="1098" t="e">
        <f>IF($D$1212="",0,$D1568*Table3[[#This Row],[CF]]*chronic_consumption!$V368/1000/$C$3)</f>
        <v>#DIV/0!</v>
      </c>
      <c r="AB1568" s="1098" t="e">
        <f>IF($D$1212="",0,$D1568*Table3[[#This Row],[CF]]*chronic_consumption!$W368/1000/$C$3)</f>
        <v>#DIV/0!</v>
      </c>
      <c r="AC1568" s="1098" t="e">
        <f>IF($D$1212="",0,$D1568*Table3[[#This Row],[CF]]*chronic_consumption!$X368/1000/$C$3)</f>
        <v>#DIV/0!</v>
      </c>
      <c r="AD1568" s="1098" t="e">
        <f>IF($D$1212="",0,$D1568*Table3[[#This Row],[CF]]*chronic_consumption!$Y368/1000/$C$3)</f>
        <v>#DIV/0!</v>
      </c>
      <c r="AE1568" s="1098" t="e">
        <f>IF($D$1212="",0,$D1568*Table3[[#This Row],[CF]]*chronic_consumption!$Z368/1000/$C$3)</f>
        <v>#DIV/0!</v>
      </c>
      <c r="AF1568" s="1098" t="e">
        <f>IF($D$1212="",0,$D1568*Table3[[#This Row],[CF]]*chronic_consumption!$AA368/1000/$C$3)</f>
        <v>#DIV/0!</v>
      </c>
      <c r="AG1568" s="1098" t="e">
        <f>IF($D$1212="",0,$D1568*Table3[[#This Row],[CF]]*chronic_consumption!$AB368/1000/$C$3)</f>
        <v>#DIV/0!</v>
      </c>
      <c r="AH1568" s="1098" t="e">
        <f>IF($D$1212="",0,$D1568*Table3[[#This Row],[CF]]*chronic_consumption!$AC368/1000/$C$3)</f>
        <v>#DIV/0!</v>
      </c>
      <c r="AI1568" s="1098" t="e">
        <f>IF($D$1212="",0,$D1568*Table3[[#This Row],[CF]]*chronic_consumption!$AD368/1000/$C$3)</f>
        <v>#DIV/0!</v>
      </c>
      <c r="AJ1568" s="1098" t="e">
        <f>IF($D$1212="",0,$D1568*Table3[[#This Row],[CF]]*chronic_consumption!$AE368/1000/$C$3)</f>
        <v>#DIV/0!</v>
      </c>
      <c r="AK1568" s="1098" t="e">
        <f>IF($D$1212="",0,$D1568*Table3[[#This Row],[CF]]*chronic_consumption!$AF368/1000/$C$3)</f>
        <v>#DIV/0!</v>
      </c>
      <c r="AL1568" s="1098" t="e">
        <f>IF($D$1212="",0,$D1568*Table3[[#This Row],[CF]]*chronic_consumption!$AG368/1000/$C$3)</f>
        <v>#DIV/0!</v>
      </c>
      <c r="AM1568" s="1098" t="e">
        <f>IF($D$1212="",0,$D1568*Table3[[#This Row],[CF]]*chronic_consumption!$AH368/1000/$C$3)</f>
        <v>#DIV/0!</v>
      </c>
      <c r="AN1568" s="1098" t="e">
        <f>IF($D$1212="",0,$D1568*Table3[[#This Row],[CF]]*chronic_consumption!$AI368/1000/$C$3)</f>
        <v>#DIV/0!</v>
      </c>
      <c r="AO1568" s="1098" t="e">
        <f>IF($D$1212="",0,$D1568*Table3[[#This Row],[CF]]*chronic_consumption!$AJ368/1000/$C$3)</f>
        <v>#DIV/0!</v>
      </c>
      <c r="AP1568" s="1098" t="e">
        <f>IF($D$1212="",0,$D1568*Table3[[#This Row],[CF]]*chronic_consumption!$AK368/1000/$C$3)</f>
        <v>#DIV/0!</v>
      </c>
      <c r="AQ1568" s="1098" t="e">
        <f>IF($D$1212="",0,$D1568*Table3[[#This Row],[CF]]*chronic_consumption!$AL368/1000/$C$3)</f>
        <v>#DIV/0!</v>
      </c>
      <c r="AR1568" s="1098" t="e">
        <f>IF($D$1212="",0,$D1568*Table3[[#This Row],[CF]]*chronic_consumption!$AM368/1000/$C$3)</f>
        <v>#DIV/0!</v>
      </c>
      <c r="AS1568" s="1098" t="e">
        <f>IF($D$1212="",0,$D1568*Table3[[#This Row],[CF]]*chronic_consumption!$AN368/1000/$C$3)</f>
        <v>#DIV/0!</v>
      </c>
      <c r="AT1568" s="1098" t="e">
        <f>IF($D$1212="",0,$D1568*Table3[[#This Row],[CF]]*chronic_consumption!$AO368/1000/$C$3)</f>
        <v>#DIV/0!</v>
      </c>
      <c r="AU1568" s="1099" t="e">
        <f t="shared" si="894"/>
        <v>#DIV/0!</v>
      </c>
      <c r="AV1568" s="1099" t="e">
        <f t="shared" si="894"/>
        <v>#DIV/0!</v>
      </c>
      <c r="AW1568" s="1099" t="e">
        <f t="shared" si="894"/>
        <v>#DIV/0!</v>
      </c>
      <c r="AX1568" s="1099" t="e">
        <f t="shared" si="894"/>
        <v>#DIV/0!</v>
      </c>
      <c r="AY1568" s="1099" t="e">
        <f t="shared" si="894"/>
        <v>#DIV/0!</v>
      </c>
      <c r="AZ1568" s="1091" t="s">
        <v>1012</v>
      </c>
      <c r="BA1568" s="1097" t="e">
        <f>IF(Table3[[#This Row],[max]]&lt;&gt;0,RANK(Table3[[#This Row],[max]],Table3[max],0),"")</f>
        <v>#DIV/0!</v>
      </c>
      <c r="BB1568" s="1096" t="e">
        <f t="shared" si="889"/>
        <v>#DIV/0!</v>
      </c>
      <c r="BC1568" s="1096" t="e">
        <f t="shared" ca="1" si="890"/>
        <v>#DIV/0!</v>
      </c>
      <c r="BD1568" s="1096" t="e">
        <f>IF(Table3[[#This Row],[max]]&gt;0,Table3[[#This Row],[Crop groups and examples of individual products within the groups to which the MRLs apply]],"")</f>
        <v>#DIV/0!</v>
      </c>
    </row>
    <row r="1569" spans="2:56" x14ac:dyDescent="0.2">
      <c r="B1569" s="23">
        <f t="shared" si="892"/>
        <v>1017020</v>
      </c>
      <c r="C1569" s="23" t="str">
        <f t="shared" si="892"/>
        <v xml:space="preserve"> Other farmed animals: Fat tissue</v>
      </c>
      <c r="D1569" s="1084">
        <f>input_values!E369</f>
        <v>0</v>
      </c>
      <c r="E1569" s="1084">
        <f>input_values!F369</f>
        <v>0</v>
      </c>
      <c r="F1569" s="1085">
        <f>input_values!W369</f>
        <v>1</v>
      </c>
      <c r="G1569" s="1085" t="str">
        <f>IF(Table3[[#This Row],[CF]]&gt;0,CONCATENATE(IF(Table3[[#This Row],[LOQ]]="*","LOQ","MRL"),IF(input_values!G369&gt;0,"×CFrisk","")),"")</f>
        <v>MRL</v>
      </c>
      <c r="H1569" s="1087">
        <f>input_values!L369</f>
        <v>0</v>
      </c>
      <c r="I1569" s="1088">
        <f>input_values!D369</f>
        <v>0</v>
      </c>
      <c r="J1569" s="1098" t="e">
        <f>IF($D$1212="",0,$D1569*Table3[[#This Row],[CF]]*chronic_consumption!$E369/1000/$C$3)</f>
        <v>#DIV/0!</v>
      </c>
      <c r="K1569" s="1098" t="e">
        <f>IF($D$1212="",0,$D1569*Table3[[#This Row],[CF]]*chronic_consumption!$F369/1000/$C$3)</f>
        <v>#DIV/0!</v>
      </c>
      <c r="L1569" s="1098" t="e">
        <f>IF($D$1212="",0,$D1569*Table3[[#This Row],[CF]]*chronic_consumption!$G369/1000/$C$3)</f>
        <v>#DIV/0!</v>
      </c>
      <c r="M1569" s="1098" t="e">
        <f>IF($D$1212="",0,$D1569*Table3[[#This Row],[CF]]*chronic_consumption!$H369/1000/$C$3)</f>
        <v>#DIV/0!</v>
      </c>
      <c r="N1569" s="1098" t="e">
        <f>IF($D$1212="",0,$D1569*Table3[[#This Row],[CF]]*chronic_consumption!$I369/1000/$C$3)</f>
        <v>#DIV/0!</v>
      </c>
      <c r="O1569" s="1098" t="e">
        <f>IF($D$1212="",0,$D1569*Table3[[#This Row],[CF]]*chronic_consumption!$J369/1000/$C$3)</f>
        <v>#DIV/0!</v>
      </c>
      <c r="P1569" s="1098" t="e">
        <f>IF($D$1212="",0,$D1569*Table3[[#This Row],[CF]]*chronic_consumption!$K369/1000/$C$3)</f>
        <v>#DIV/0!</v>
      </c>
      <c r="Q1569" s="1098" t="e">
        <f>IF($D$1212="",0,$D1569*Table3[[#This Row],[CF]]*chronic_consumption!$L369/1000/$C$3)</f>
        <v>#DIV/0!</v>
      </c>
      <c r="R1569" s="1098" t="e">
        <f>IF($D$1212="",0,$D1569*Table3[[#This Row],[CF]]*chronic_consumption!$M369/1000/$C$3)</f>
        <v>#DIV/0!</v>
      </c>
      <c r="S1569" s="1098" t="e">
        <f>IF($D$1212="",0,$D1569*Table3[[#This Row],[CF]]*chronic_consumption!$N369/1000/$C$3)</f>
        <v>#DIV/0!</v>
      </c>
      <c r="T1569" s="1098" t="e">
        <f>IF($D$1212="",0,$D1569*Table3[[#This Row],[CF]]*chronic_consumption!$O369/1000/$C$3)</f>
        <v>#DIV/0!</v>
      </c>
      <c r="U1569" s="1098" t="e">
        <f>IF($D$1212="",0,$D1569*Table3[[#This Row],[CF]]*chronic_consumption!$P369/1000/$C$3)</f>
        <v>#DIV/0!</v>
      </c>
      <c r="V1569" s="1098" t="e">
        <f>IF($D$1212="",0,$D1569*Table3[[#This Row],[CF]]*chronic_consumption!$Q369/1000/$C$3)</f>
        <v>#DIV/0!</v>
      </c>
      <c r="W1569" s="1098" t="e">
        <f>IF($D$1212="",0,$D1569*Table3[[#This Row],[CF]]*chronic_consumption!$R369/1000/$C$3)</f>
        <v>#DIV/0!</v>
      </c>
      <c r="X1569" s="1098" t="e">
        <f>IF($D$1212="",0,$D1569*Table3[[#This Row],[CF]]*chronic_consumption!$S369/1000/$C$3)</f>
        <v>#DIV/0!</v>
      </c>
      <c r="Y1569" s="1098" t="e">
        <f>IF($D$1212="",0,$D1569*Table3[[#This Row],[CF]]*chronic_consumption!$T369/1000/$C$3)</f>
        <v>#DIV/0!</v>
      </c>
      <c r="Z1569" s="1098" t="e">
        <f>IF($D$1212="",0,$D1569*Table3[[#This Row],[CF]]*chronic_consumption!$U369/1000/$C$3)</f>
        <v>#DIV/0!</v>
      </c>
      <c r="AA1569" s="1098" t="e">
        <f>IF($D$1212="",0,$D1569*Table3[[#This Row],[CF]]*chronic_consumption!$V369/1000/$C$3)</f>
        <v>#DIV/0!</v>
      </c>
      <c r="AB1569" s="1098" t="e">
        <f>IF($D$1212="",0,$D1569*Table3[[#This Row],[CF]]*chronic_consumption!$W369/1000/$C$3)</f>
        <v>#DIV/0!</v>
      </c>
      <c r="AC1569" s="1098" t="e">
        <f>IF($D$1212="",0,$D1569*Table3[[#This Row],[CF]]*chronic_consumption!$X369/1000/$C$3)</f>
        <v>#DIV/0!</v>
      </c>
      <c r="AD1569" s="1098" t="e">
        <f>IF($D$1212="",0,$D1569*Table3[[#This Row],[CF]]*chronic_consumption!$Y369/1000/$C$3)</f>
        <v>#DIV/0!</v>
      </c>
      <c r="AE1569" s="1098" t="e">
        <f>IF($D$1212="",0,$D1569*Table3[[#This Row],[CF]]*chronic_consumption!$Z369/1000/$C$3)</f>
        <v>#DIV/0!</v>
      </c>
      <c r="AF1569" s="1098" t="e">
        <f>IF($D$1212="",0,$D1569*Table3[[#This Row],[CF]]*chronic_consumption!$AA369/1000/$C$3)</f>
        <v>#DIV/0!</v>
      </c>
      <c r="AG1569" s="1098" t="e">
        <f>IF($D$1212="",0,$D1569*Table3[[#This Row],[CF]]*chronic_consumption!$AB369/1000/$C$3)</f>
        <v>#DIV/0!</v>
      </c>
      <c r="AH1569" s="1098" t="e">
        <f>IF($D$1212="",0,$D1569*Table3[[#This Row],[CF]]*chronic_consumption!$AC369/1000/$C$3)</f>
        <v>#DIV/0!</v>
      </c>
      <c r="AI1569" s="1098" t="e">
        <f>IF($D$1212="",0,$D1569*Table3[[#This Row],[CF]]*chronic_consumption!$AD369/1000/$C$3)</f>
        <v>#DIV/0!</v>
      </c>
      <c r="AJ1569" s="1098" t="e">
        <f>IF($D$1212="",0,$D1569*Table3[[#This Row],[CF]]*chronic_consumption!$AE369/1000/$C$3)</f>
        <v>#DIV/0!</v>
      </c>
      <c r="AK1569" s="1098" t="e">
        <f>IF($D$1212="",0,$D1569*Table3[[#This Row],[CF]]*chronic_consumption!$AF369/1000/$C$3)</f>
        <v>#DIV/0!</v>
      </c>
      <c r="AL1569" s="1098" t="e">
        <f>IF($D$1212="",0,$D1569*Table3[[#This Row],[CF]]*chronic_consumption!$AG369/1000/$C$3)</f>
        <v>#DIV/0!</v>
      </c>
      <c r="AM1569" s="1098" t="e">
        <f>IF($D$1212="",0,$D1569*Table3[[#This Row],[CF]]*chronic_consumption!$AH369/1000/$C$3)</f>
        <v>#DIV/0!</v>
      </c>
      <c r="AN1569" s="1098" t="e">
        <f>IF($D$1212="",0,$D1569*Table3[[#This Row],[CF]]*chronic_consumption!$AI369/1000/$C$3)</f>
        <v>#DIV/0!</v>
      </c>
      <c r="AO1569" s="1098" t="e">
        <f>IF($D$1212="",0,$D1569*Table3[[#This Row],[CF]]*chronic_consumption!$AJ369/1000/$C$3)</f>
        <v>#DIV/0!</v>
      </c>
      <c r="AP1569" s="1098" t="e">
        <f>IF($D$1212="",0,$D1569*Table3[[#This Row],[CF]]*chronic_consumption!$AK369/1000/$C$3)</f>
        <v>#DIV/0!</v>
      </c>
      <c r="AQ1569" s="1098" t="e">
        <f>IF($D$1212="",0,$D1569*Table3[[#This Row],[CF]]*chronic_consumption!$AL369/1000/$C$3)</f>
        <v>#DIV/0!</v>
      </c>
      <c r="AR1569" s="1098" t="e">
        <f>IF($D$1212="",0,$D1569*Table3[[#This Row],[CF]]*chronic_consumption!$AM369/1000/$C$3)</f>
        <v>#DIV/0!</v>
      </c>
      <c r="AS1569" s="1098" t="e">
        <f>IF($D$1212="",0,$D1569*Table3[[#This Row],[CF]]*chronic_consumption!$AN369/1000/$C$3)</f>
        <v>#DIV/0!</v>
      </c>
      <c r="AT1569" s="1098" t="e">
        <f>IF($D$1212="",0,$D1569*Table3[[#This Row],[CF]]*chronic_consumption!$AO369/1000/$C$3)</f>
        <v>#DIV/0!</v>
      </c>
      <c r="AU1569" s="1099" t="e">
        <f t="shared" si="894"/>
        <v>#DIV/0!</v>
      </c>
      <c r="AV1569" s="1099" t="e">
        <f t="shared" si="894"/>
        <v>#DIV/0!</v>
      </c>
      <c r="AW1569" s="1099" t="e">
        <f t="shared" si="894"/>
        <v>#DIV/0!</v>
      </c>
      <c r="AX1569" s="1099" t="e">
        <f t="shared" si="894"/>
        <v>#DIV/0!</v>
      </c>
      <c r="AY1569" s="1099" t="e">
        <f t="shared" si="894"/>
        <v>#DIV/0!</v>
      </c>
      <c r="AZ1569" s="1091" t="s">
        <v>1012</v>
      </c>
      <c r="BA1569" s="1097" t="e">
        <f>IF(Table3[[#This Row],[max]]&lt;&gt;0,RANK(Table3[[#This Row],[max]],Table3[max],0),"")</f>
        <v>#DIV/0!</v>
      </c>
      <c r="BB1569" s="1096" t="e">
        <f t="shared" si="889"/>
        <v>#DIV/0!</v>
      </c>
      <c r="BC1569" s="1096" t="e">
        <f t="shared" ca="1" si="890"/>
        <v>#DIV/0!</v>
      </c>
      <c r="BD1569" s="1096" t="e">
        <f>IF(Table3[[#This Row],[max]]&gt;0,Table3[[#This Row],[Crop groups and examples of individual products within the groups to which the MRLs apply]],"")</f>
        <v>#DIV/0!</v>
      </c>
    </row>
    <row r="1570" spans="2:56" x14ac:dyDescent="0.2">
      <c r="B1570" s="23">
        <f t="shared" si="892"/>
        <v>1017030</v>
      </c>
      <c r="C1570" s="23" t="str">
        <f t="shared" si="892"/>
        <v xml:space="preserve"> Other farmed animals: Liver</v>
      </c>
      <c r="D1570" s="1084">
        <f>input_values!E370</f>
        <v>0</v>
      </c>
      <c r="E1570" s="1084">
        <f>input_values!F370</f>
        <v>0</v>
      </c>
      <c r="F1570" s="1085">
        <f>input_values!W370</f>
        <v>1</v>
      </c>
      <c r="G1570" s="1085" t="str">
        <f>IF(Table3[[#This Row],[CF]]&gt;0,CONCATENATE(IF(Table3[[#This Row],[LOQ]]="*","LOQ","MRL"),IF(input_values!G370&gt;0,"×CFrisk","")),"")</f>
        <v>MRL</v>
      </c>
      <c r="H1570" s="1087">
        <f>input_values!L370</f>
        <v>0</v>
      </c>
      <c r="I1570" s="1088">
        <f>input_values!D370</f>
        <v>0</v>
      </c>
      <c r="J1570" s="1098" t="e">
        <f>IF($D$1212="",0,$D1570*Table3[[#This Row],[CF]]*chronic_consumption!$E370/1000/$C$3)</f>
        <v>#DIV/0!</v>
      </c>
      <c r="K1570" s="1098" t="e">
        <f>IF($D$1212="",0,$D1570*Table3[[#This Row],[CF]]*chronic_consumption!$F370/1000/$C$3)</f>
        <v>#DIV/0!</v>
      </c>
      <c r="L1570" s="1098" t="e">
        <f>IF($D$1212="",0,$D1570*Table3[[#This Row],[CF]]*chronic_consumption!$G370/1000/$C$3)</f>
        <v>#DIV/0!</v>
      </c>
      <c r="M1570" s="1098" t="e">
        <f>IF($D$1212="",0,$D1570*Table3[[#This Row],[CF]]*chronic_consumption!$H370/1000/$C$3)</f>
        <v>#DIV/0!</v>
      </c>
      <c r="N1570" s="1098" t="e">
        <f>IF($D$1212="",0,$D1570*Table3[[#This Row],[CF]]*chronic_consumption!$I370/1000/$C$3)</f>
        <v>#DIV/0!</v>
      </c>
      <c r="O1570" s="1098" t="e">
        <f>IF($D$1212="",0,$D1570*Table3[[#This Row],[CF]]*chronic_consumption!$J370/1000/$C$3)</f>
        <v>#DIV/0!</v>
      </c>
      <c r="P1570" s="1098" t="e">
        <f>IF($D$1212="",0,$D1570*Table3[[#This Row],[CF]]*chronic_consumption!$K370/1000/$C$3)</f>
        <v>#DIV/0!</v>
      </c>
      <c r="Q1570" s="1098" t="e">
        <f>IF($D$1212="",0,$D1570*Table3[[#This Row],[CF]]*chronic_consumption!$L370/1000/$C$3)</f>
        <v>#DIV/0!</v>
      </c>
      <c r="R1570" s="1098" t="e">
        <f>IF($D$1212="",0,$D1570*Table3[[#This Row],[CF]]*chronic_consumption!$M370/1000/$C$3)</f>
        <v>#DIV/0!</v>
      </c>
      <c r="S1570" s="1098" t="e">
        <f>IF($D$1212="",0,$D1570*Table3[[#This Row],[CF]]*chronic_consumption!$N370/1000/$C$3)</f>
        <v>#DIV/0!</v>
      </c>
      <c r="T1570" s="1098" t="e">
        <f>IF($D$1212="",0,$D1570*Table3[[#This Row],[CF]]*chronic_consumption!$O370/1000/$C$3)</f>
        <v>#DIV/0!</v>
      </c>
      <c r="U1570" s="1098" t="e">
        <f>IF($D$1212="",0,$D1570*Table3[[#This Row],[CF]]*chronic_consumption!$P370/1000/$C$3)</f>
        <v>#DIV/0!</v>
      </c>
      <c r="V1570" s="1098" t="e">
        <f>IF($D$1212="",0,$D1570*Table3[[#This Row],[CF]]*chronic_consumption!$Q370/1000/$C$3)</f>
        <v>#DIV/0!</v>
      </c>
      <c r="W1570" s="1098" t="e">
        <f>IF($D$1212="",0,$D1570*Table3[[#This Row],[CF]]*chronic_consumption!$R370/1000/$C$3)</f>
        <v>#DIV/0!</v>
      </c>
      <c r="X1570" s="1098" t="e">
        <f>IF($D$1212="",0,$D1570*Table3[[#This Row],[CF]]*chronic_consumption!$S370/1000/$C$3)</f>
        <v>#DIV/0!</v>
      </c>
      <c r="Y1570" s="1098" t="e">
        <f>IF($D$1212="",0,$D1570*Table3[[#This Row],[CF]]*chronic_consumption!$T370/1000/$C$3)</f>
        <v>#DIV/0!</v>
      </c>
      <c r="Z1570" s="1098" t="e">
        <f>IF($D$1212="",0,$D1570*Table3[[#This Row],[CF]]*chronic_consumption!$U370/1000/$C$3)</f>
        <v>#DIV/0!</v>
      </c>
      <c r="AA1570" s="1098" t="e">
        <f>IF($D$1212="",0,$D1570*Table3[[#This Row],[CF]]*chronic_consumption!$V370/1000/$C$3)</f>
        <v>#DIV/0!</v>
      </c>
      <c r="AB1570" s="1098" t="e">
        <f>IF($D$1212="",0,$D1570*Table3[[#This Row],[CF]]*chronic_consumption!$W370/1000/$C$3)</f>
        <v>#DIV/0!</v>
      </c>
      <c r="AC1570" s="1098" t="e">
        <f>IF($D$1212="",0,$D1570*Table3[[#This Row],[CF]]*chronic_consumption!$X370/1000/$C$3)</f>
        <v>#DIV/0!</v>
      </c>
      <c r="AD1570" s="1098" t="e">
        <f>IF($D$1212="",0,$D1570*Table3[[#This Row],[CF]]*chronic_consumption!$Y370/1000/$C$3)</f>
        <v>#DIV/0!</v>
      </c>
      <c r="AE1570" s="1098" t="e">
        <f>IF($D$1212="",0,$D1570*Table3[[#This Row],[CF]]*chronic_consumption!$Z370/1000/$C$3)</f>
        <v>#DIV/0!</v>
      </c>
      <c r="AF1570" s="1098" t="e">
        <f>IF($D$1212="",0,$D1570*Table3[[#This Row],[CF]]*chronic_consumption!$AA370/1000/$C$3)</f>
        <v>#DIV/0!</v>
      </c>
      <c r="AG1570" s="1098" t="e">
        <f>IF($D$1212="",0,$D1570*Table3[[#This Row],[CF]]*chronic_consumption!$AB370/1000/$C$3)</f>
        <v>#DIV/0!</v>
      </c>
      <c r="AH1570" s="1098" t="e">
        <f>IF($D$1212="",0,$D1570*Table3[[#This Row],[CF]]*chronic_consumption!$AC370/1000/$C$3)</f>
        <v>#DIV/0!</v>
      </c>
      <c r="AI1570" s="1098" t="e">
        <f>IF($D$1212="",0,$D1570*Table3[[#This Row],[CF]]*chronic_consumption!$AD370/1000/$C$3)</f>
        <v>#DIV/0!</v>
      </c>
      <c r="AJ1570" s="1098" t="e">
        <f>IF($D$1212="",0,$D1570*Table3[[#This Row],[CF]]*chronic_consumption!$AE370/1000/$C$3)</f>
        <v>#DIV/0!</v>
      </c>
      <c r="AK1570" s="1098" t="e">
        <f>IF($D$1212="",0,$D1570*Table3[[#This Row],[CF]]*chronic_consumption!$AF370/1000/$C$3)</f>
        <v>#DIV/0!</v>
      </c>
      <c r="AL1570" s="1098" t="e">
        <f>IF($D$1212="",0,$D1570*Table3[[#This Row],[CF]]*chronic_consumption!$AG370/1000/$C$3)</f>
        <v>#DIV/0!</v>
      </c>
      <c r="AM1570" s="1098" t="e">
        <f>IF($D$1212="",0,$D1570*Table3[[#This Row],[CF]]*chronic_consumption!$AH370/1000/$C$3)</f>
        <v>#DIV/0!</v>
      </c>
      <c r="AN1570" s="1098" t="e">
        <f>IF($D$1212="",0,$D1570*Table3[[#This Row],[CF]]*chronic_consumption!$AI370/1000/$C$3)</f>
        <v>#DIV/0!</v>
      </c>
      <c r="AO1570" s="1098" t="e">
        <f>IF($D$1212="",0,$D1570*Table3[[#This Row],[CF]]*chronic_consumption!$AJ370/1000/$C$3)</f>
        <v>#DIV/0!</v>
      </c>
      <c r="AP1570" s="1098" t="e">
        <f>IF($D$1212="",0,$D1570*Table3[[#This Row],[CF]]*chronic_consumption!$AK370/1000/$C$3)</f>
        <v>#DIV/0!</v>
      </c>
      <c r="AQ1570" s="1098" t="e">
        <f>IF($D$1212="",0,$D1570*Table3[[#This Row],[CF]]*chronic_consumption!$AL370/1000/$C$3)</f>
        <v>#DIV/0!</v>
      </c>
      <c r="AR1570" s="1098" t="e">
        <f>IF($D$1212="",0,$D1570*Table3[[#This Row],[CF]]*chronic_consumption!$AM370/1000/$C$3)</f>
        <v>#DIV/0!</v>
      </c>
      <c r="AS1570" s="1098" t="e">
        <f>IF($D$1212="",0,$D1570*Table3[[#This Row],[CF]]*chronic_consumption!$AN370/1000/$C$3)</f>
        <v>#DIV/0!</v>
      </c>
      <c r="AT1570" s="1098" t="e">
        <f>IF($D$1212="",0,$D1570*Table3[[#This Row],[CF]]*chronic_consumption!$AO370/1000/$C$3)</f>
        <v>#DIV/0!</v>
      </c>
      <c r="AU1570" s="1099" t="e">
        <f t="shared" si="894"/>
        <v>#DIV/0!</v>
      </c>
      <c r="AV1570" s="1099" t="e">
        <f t="shared" si="894"/>
        <v>#DIV/0!</v>
      </c>
      <c r="AW1570" s="1099" t="e">
        <f t="shared" si="894"/>
        <v>#DIV/0!</v>
      </c>
      <c r="AX1570" s="1099" t="e">
        <f t="shared" si="894"/>
        <v>#DIV/0!</v>
      </c>
      <c r="AY1570" s="1099" t="e">
        <f t="shared" si="894"/>
        <v>#DIV/0!</v>
      </c>
      <c r="AZ1570" s="1091" t="s">
        <v>1012</v>
      </c>
      <c r="BA1570" s="1097" t="e">
        <f>IF(Table3[[#This Row],[max]]&lt;&gt;0,RANK(Table3[[#This Row],[max]],Table3[max],0),"")</f>
        <v>#DIV/0!</v>
      </c>
      <c r="BB1570" s="1096" t="e">
        <f t="shared" si="889"/>
        <v>#DIV/0!</v>
      </c>
      <c r="BC1570" s="1096" t="e">
        <f t="shared" ca="1" si="890"/>
        <v>#DIV/0!</v>
      </c>
      <c r="BD1570" s="1096" t="e">
        <f>IF(Table3[[#This Row],[max]]&gt;0,Table3[[#This Row],[Crop groups and examples of individual products within the groups to which the MRLs apply]],"")</f>
        <v>#DIV/0!</v>
      </c>
    </row>
    <row r="1571" spans="2:56" x14ac:dyDescent="0.2">
      <c r="B1571" s="23">
        <f t="shared" si="892"/>
        <v>1017040</v>
      </c>
      <c r="C1571" s="23" t="str">
        <f t="shared" si="892"/>
        <v xml:space="preserve"> Other farmed animals: Kidney</v>
      </c>
      <c r="D1571" s="1084">
        <f>input_values!E371</f>
        <v>0</v>
      </c>
      <c r="E1571" s="1084">
        <f>input_values!F371</f>
        <v>0</v>
      </c>
      <c r="F1571" s="1085">
        <f>input_values!W371</f>
        <v>1</v>
      </c>
      <c r="G1571" s="1085" t="str">
        <f>IF(Table3[[#This Row],[CF]]&gt;0,CONCATENATE(IF(Table3[[#This Row],[LOQ]]="*","LOQ","MRL"),IF(input_values!G371&gt;0,"×CFrisk","")),"")</f>
        <v>MRL</v>
      </c>
      <c r="H1571" s="1087">
        <f>input_values!L371</f>
        <v>0</v>
      </c>
      <c r="I1571" s="1088">
        <f>input_values!D371</f>
        <v>0</v>
      </c>
      <c r="J1571" s="1098" t="e">
        <f>IF($D$1212="",0,$D1571*Table3[[#This Row],[CF]]*chronic_consumption!$E371/1000/$C$3)</f>
        <v>#DIV/0!</v>
      </c>
      <c r="K1571" s="1098" t="e">
        <f>IF($D$1212="",0,$D1571*Table3[[#This Row],[CF]]*chronic_consumption!$F371/1000/$C$3)</f>
        <v>#DIV/0!</v>
      </c>
      <c r="L1571" s="1098" t="e">
        <f>IF($D$1212="",0,$D1571*Table3[[#This Row],[CF]]*chronic_consumption!$G371/1000/$C$3)</f>
        <v>#DIV/0!</v>
      </c>
      <c r="M1571" s="1098" t="e">
        <f>IF($D$1212="",0,$D1571*Table3[[#This Row],[CF]]*chronic_consumption!$H371/1000/$C$3)</f>
        <v>#DIV/0!</v>
      </c>
      <c r="N1571" s="1098" t="e">
        <f>IF($D$1212="",0,$D1571*Table3[[#This Row],[CF]]*chronic_consumption!$I371/1000/$C$3)</f>
        <v>#DIV/0!</v>
      </c>
      <c r="O1571" s="1098" t="e">
        <f>IF($D$1212="",0,$D1571*Table3[[#This Row],[CF]]*chronic_consumption!$J371/1000/$C$3)</f>
        <v>#DIV/0!</v>
      </c>
      <c r="P1571" s="1098" t="e">
        <f>IF($D$1212="",0,$D1571*Table3[[#This Row],[CF]]*chronic_consumption!$K371/1000/$C$3)</f>
        <v>#DIV/0!</v>
      </c>
      <c r="Q1571" s="1098" t="e">
        <f>IF($D$1212="",0,$D1571*Table3[[#This Row],[CF]]*chronic_consumption!$L371/1000/$C$3)</f>
        <v>#DIV/0!</v>
      </c>
      <c r="R1571" s="1098" t="e">
        <f>IF($D$1212="",0,$D1571*Table3[[#This Row],[CF]]*chronic_consumption!$M371/1000/$C$3)</f>
        <v>#DIV/0!</v>
      </c>
      <c r="S1571" s="1098" t="e">
        <f>IF($D$1212="",0,$D1571*Table3[[#This Row],[CF]]*chronic_consumption!$N371/1000/$C$3)</f>
        <v>#DIV/0!</v>
      </c>
      <c r="T1571" s="1098" t="e">
        <f>IF($D$1212="",0,$D1571*Table3[[#This Row],[CF]]*chronic_consumption!$O371/1000/$C$3)</f>
        <v>#DIV/0!</v>
      </c>
      <c r="U1571" s="1098" t="e">
        <f>IF($D$1212="",0,$D1571*Table3[[#This Row],[CF]]*chronic_consumption!$P371/1000/$C$3)</f>
        <v>#DIV/0!</v>
      </c>
      <c r="V1571" s="1098" t="e">
        <f>IF($D$1212="",0,$D1571*Table3[[#This Row],[CF]]*chronic_consumption!$Q371/1000/$C$3)</f>
        <v>#DIV/0!</v>
      </c>
      <c r="W1571" s="1098" t="e">
        <f>IF($D$1212="",0,$D1571*Table3[[#This Row],[CF]]*chronic_consumption!$R371/1000/$C$3)</f>
        <v>#DIV/0!</v>
      </c>
      <c r="X1571" s="1098" t="e">
        <f>IF($D$1212="",0,$D1571*Table3[[#This Row],[CF]]*chronic_consumption!$S371/1000/$C$3)</f>
        <v>#DIV/0!</v>
      </c>
      <c r="Y1571" s="1098" t="e">
        <f>IF($D$1212="",0,$D1571*Table3[[#This Row],[CF]]*chronic_consumption!$T371/1000/$C$3)</f>
        <v>#DIV/0!</v>
      </c>
      <c r="Z1571" s="1098" t="e">
        <f>IF($D$1212="",0,$D1571*Table3[[#This Row],[CF]]*chronic_consumption!$U371/1000/$C$3)</f>
        <v>#DIV/0!</v>
      </c>
      <c r="AA1571" s="1098" t="e">
        <f>IF($D$1212="",0,$D1571*Table3[[#This Row],[CF]]*chronic_consumption!$V371/1000/$C$3)</f>
        <v>#DIV/0!</v>
      </c>
      <c r="AB1571" s="1098" t="e">
        <f>IF($D$1212="",0,$D1571*Table3[[#This Row],[CF]]*chronic_consumption!$W371/1000/$C$3)</f>
        <v>#DIV/0!</v>
      </c>
      <c r="AC1571" s="1098" t="e">
        <f>IF($D$1212="",0,$D1571*Table3[[#This Row],[CF]]*chronic_consumption!$X371/1000/$C$3)</f>
        <v>#DIV/0!</v>
      </c>
      <c r="AD1571" s="1098" t="e">
        <f>IF($D$1212="",0,$D1571*Table3[[#This Row],[CF]]*chronic_consumption!$Y371/1000/$C$3)</f>
        <v>#DIV/0!</v>
      </c>
      <c r="AE1571" s="1098" t="e">
        <f>IF($D$1212="",0,$D1571*Table3[[#This Row],[CF]]*chronic_consumption!$Z371/1000/$C$3)</f>
        <v>#DIV/0!</v>
      </c>
      <c r="AF1571" s="1098" t="e">
        <f>IF($D$1212="",0,$D1571*Table3[[#This Row],[CF]]*chronic_consumption!$AA371/1000/$C$3)</f>
        <v>#DIV/0!</v>
      </c>
      <c r="AG1571" s="1098" t="e">
        <f>IF($D$1212="",0,$D1571*Table3[[#This Row],[CF]]*chronic_consumption!$AB371/1000/$C$3)</f>
        <v>#DIV/0!</v>
      </c>
      <c r="AH1571" s="1098" t="e">
        <f>IF($D$1212="",0,$D1571*Table3[[#This Row],[CF]]*chronic_consumption!$AC371/1000/$C$3)</f>
        <v>#DIV/0!</v>
      </c>
      <c r="AI1571" s="1098" t="e">
        <f>IF($D$1212="",0,$D1571*Table3[[#This Row],[CF]]*chronic_consumption!$AD371/1000/$C$3)</f>
        <v>#DIV/0!</v>
      </c>
      <c r="AJ1571" s="1098" t="e">
        <f>IF($D$1212="",0,$D1571*Table3[[#This Row],[CF]]*chronic_consumption!$AE371/1000/$C$3)</f>
        <v>#DIV/0!</v>
      </c>
      <c r="AK1571" s="1098" t="e">
        <f>IF($D$1212="",0,$D1571*Table3[[#This Row],[CF]]*chronic_consumption!$AF371/1000/$C$3)</f>
        <v>#DIV/0!</v>
      </c>
      <c r="AL1571" s="1098" t="e">
        <f>IF($D$1212="",0,$D1571*Table3[[#This Row],[CF]]*chronic_consumption!$AG371/1000/$C$3)</f>
        <v>#DIV/0!</v>
      </c>
      <c r="AM1571" s="1098" t="e">
        <f>IF($D$1212="",0,$D1571*Table3[[#This Row],[CF]]*chronic_consumption!$AH371/1000/$C$3)</f>
        <v>#DIV/0!</v>
      </c>
      <c r="AN1571" s="1098" t="e">
        <f>IF($D$1212="",0,$D1571*Table3[[#This Row],[CF]]*chronic_consumption!$AI371/1000/$C$3)</f>
        <v>#DIV/0!</v>
      </c>
      <c r="AO1571" s="1098" t="e">
        <f>IF($D$1212="",0,$D1571*Table3[[#This Row],[CF]]*chronic_consumption!$AJ371/1000/$C$3)</f>
        <v>#DIV/0!</v>
      </c>
      <c r="AP1571" s="1098" t="e">
        <f>IF($D$1212="",0,$D1571*Table3[[#This Row],[CF]]*chronic_consumption!$AK371/1000/$C$3)</f>
        <v>#DIV/0!</v>
      </c>
      <c r="AQ1571" s="1098" t="e">
        <f>IF($D$1212="",0,$D1571*Table3[[#This Row],[CF]]*chronic_consumption!$AL371/1000/$C$3)</f>
        <v>#DIV/0!</v>
      </c>
      <c r="AR1571" s="1098" t="e">
        <f>IF($D$1212="",0,$D1571*Table3[[#This Row],[CF]]*chronic_consumption!$AM371/1000/$C$3)</f>
        <v>#DIV/0!</v>
      </c>
      <c r="AS1571" s="1098" t="e">
        <f>IF($D$1212="",0,$D1571*Table3[[#This Row],[CF]]*chronic_consumption!$AN371/1000/$C$3)</f>
        <v>#DIV/0!</v>
      </c>
      <c r="AT1571" s="1098" t="e">
        <f>IF($D$1212="",0,$D1571*Table3[[#This Row],[CF]]*chronic_consumption!$AO371/1000/$C$3)</f>
        <v>#DIV/0!</v>
      </c>
      <c r="AU1571" s="1099" t="e">
        <f t="shared" si="894"/>
        <v>#DIV/0!</v>
      </c>
      <c r="AV1571" s="1099" t="e">
        <f t="shared" si="894"/>
        <v>#DIV/0!</v>
      </c>
      <c r="AW1571" s="1099" t="e">
        <f t="shared" si="894"/>
        <v>#DIV/0!</v>
      </c>
      <c r="AX1571" s="1099" t="e">
        <f t="shared" si="894"/>
        <v>#DIV/0!</v>
      </c>
      <c r="AY1571" s="1099" t="e">
        <f t="shared" si="894"/>
        <v>#DIV/0!</v>
      </c>
      <c r="AZ1571" s="1091" t="s">
        <v>1012</v>
      </c>
      <c r="BA1571" s="1097" t="e">
        <f>IF(Table3[[#This Row],[max]]&lt;&gt;0,RANK(Table3[[#This Row],[max]],Table3[max],0),"")</f>
        <v>#DIV/0!</v>
      </c>
      <c r="BB1571" s="1096" t="e">
        <f t="shared" si="889"/>
        <v>#DIV/0!</v>
      </c>
      <c r="BC1571" s="1096" t="e">
        <f t="shared" ca="1" si="890"/>
        <v>#DIV/0!</v>
      </c>
      <c r="BD1571" s="1096" t="e">
        <f>IF(Table3[[#This Row],[max]]&gt;0,Table3[[#This Row],[Crop groups and examples of individual products within the groups to which the MRLs apply]],"")</f>
        <v>#DIV/0!</v>
      </c>
    </row>
    <row r="1572" spans="2:56" ht="24" x14ac:dyDescent="0.2">
      <c r="B1572" s="23">
        <f t="shared" ref="B1572:C1591" si="895">B372</f>
        <v>1017050</v>
      </c>
      <c r="C1572" s="23" t="str">
        <f t="shared" si="895"/>
        <v xml:space="preserve"> Other farmed animals: Edible offals (other than liver and kidney)</v>
      </c>
      <c r="D1572" s="1084">
        <f>input_values!E372</f>
        <v>0</v>
      </c>
      <c r="E1572" s="1084">
        <f>input_values!F372</f>
        <v>0</v>
      </c>
      <c r="F1572" s="1085">
        <f>input_values!W372</f>
        <v>1</v>
      </c>
      <c r="G1572" s="1085" t="str">
        <f>IF(Table3[[#This Row],[CF]]&gt;0,CONCATENATE(IF(Table3[[#This Row],[LOQ]]="*","LOQ","MRL"),IF(input_values!G372&gt;0,"×CFrisk","")),"")</f>
        <v>MRL</v>
      </c>
      <c r="H1572" s="1087">
        <f>input_values!L372</f>
        <v>0</v>
      </c>
      <c r="I1572" s="1088">
        <f>input_values!D372</f>
        <v>0</v>
      </c>
      <c r="J1572" s="1098" t="e">
        <f>IF($D$1212="",0,$D1572*Table3[[#This Row],[CF]]*chronic_consumption!$E372/1000/$C$3)</f>
        <v>#DIV/0!</v>
      </c>
      <c r="K1572" s="1098" t="e">
        <f>IF($D$1212="",0,$D1572*Table3[[#This Row],[CF]]*chronic_consumption!$F372/1000/$C$3)</f>
        <v>#DIV/0!</v>
      </c>
      <c r="L1572" s="1098" t="e">
        <f>IF($D$1212="",0,$D1572*Table3[[#This Row],[CF]]*chronic_consumption!$G372/1000/$C$3)</f>
        <v>#DIV/0!</v>
      </c>
      <c r="M1572" s="1098" t="e">
        <f>IF($D$1212="",0,$D1572*Table3[[#This Row],[CF]]*chronic_consumption!$H372/1000/$C$3)</f>
        <v>#DIV/0!</v>
      </c>
      <c r="N1572" s="1098" t="e">
        <f>IF($D$1212="",0,$D1572*Table3[[#This Row],[CF]]*chronic_consumption!$I372/1000/$C$3)</f>
        <v>#DIV/0!</v>
      </c>
      <c r="O1572" s="1098" t="e">
        <f>IF($D$1212="",0,$D1572*Table3[[#This Row],[CF]]*chronic_consumption!$J372/1000/$C$3)</f>
        <v>#DIV/0!</v>
      </c>
      <c r="P1572" s="1098" t="e">
        <f>IF($D$1212="",0,$D1572*Table3[[#This Row],[CF]]*chronic_consumption!$K372/1000/$C$3)</f>
        <v>#DIV/0!</v>
      </c>
      <c r="Q1572" s="1098" t="e">
        <f>IF($D$1212="",0,$D1572*Table3[[#This Row],[CF]]*chronic_consumption!$L372/1000/$C$3)</f>
        <v>#DIV/0!</v>
      </c>
      <c r="R1572" s="1098" t="e">
        <f>IF($D$1212="",0,$D1572*Table3[[#This Row],[CF]]*chronic_consumption!$M372/1000/$C$3)</f>
        <v>#DIV/0!</v>
      </c>
      <c r="S1572" s="1098" t="e">
        <f>IF($D$1212="",0,$D1572*Table3[[#This Row],[CF]]*chronic_consumption!$N372/1000/$C$3)</f>
        <v>#DIV/0!</v>
      </c>
      <c r="T1572" s="1098" t="e">
        <f>IF($D$1212="",0,$D1572*Table3[[#This Row],[CF]]*chronic_consumption!$O372/1000/$C$3)</f>
        <v>#DIV/0!</v>
      </c>
      <c r="U1572" s="1098" t="e">
        <f>IF($D$1212="",0,$D1572*Table3[[#This Row],[CF]]*chronic_consumption!$P372/1000/$C$3)</f>
        <v>#DIV/0!</v>
      </c>
      <c r="V1572" s="1098" t="e">
        <f>IF($D$1212="",0,$D1572*Table3[[#This Row],[CF]]*chronic_consumption!$Q372/1000/$C$3)</f>
        <v>#DIV/0!</v>
      </c>
      <c r="W1572" s="1098" t="e">
        <f>IF($D$1212="",0,$D1572*Table3[[#This Row],[CF]]*chronic_consumption!$R372/1000/$C$3)</f>
        <v>#DIV/0!</v>
      </c>
      <c r="X1572" s="1098" t="e">
        <f>IF($D$1212="",0,$D1572*Table3[[#This Row],[CF]]*chronic_consumption!$S372/1000/$C$3)</f>
        <v>#DIV/0!</v>
      </c>
      <c r="Y1572" s="1098" t="e">
        <f>IF($D$1212="",0,$D1572*Table3[[#This Row],[CF]]*chronic_consumption!$T372/1000/$C$3)</f>
        <v>#DIV/0!</v>
      </c>
      <c r="Z1572" s="1098" t="e">
        <f>IF($D$1212="",0,$D1572*Table3[[#This Row],[CF]]*chronic_consumption!$U372/1000/$C$3)</f>
        <v>#DIV/0!</v>
      </c>
      <c r="AA1572" s="1098" t="e">
        <f>IF($D$1212="",0,$D1572*Table3[[#This Row],[CF]]*chronic_consumption!$V372/1000/$C$3)</f>
        <v>#DIV/0!</v>
      </c>
      <c r="AB1572" s="1098" t="e">
        <f>IF($D$1212="",0,$D1572*Table3[[#This Row],[CF]]*chronic_consumption!$W372/1000/$C$3)</f>
        <v>#DIV/0!</v>
      </c>
      <c r="AC1572" s="1098" t="e">
        <f>IF($D$1212="",0,$D1572*Table3[[#This Row],[CF]]*chronic_consumption!$X372/1000/$C$3)</f>
        <v>#DIV/0!</v>
      </c>
      <c r="AD1572" s="1098" t="e">
        <f>IF($D$1212="",0,$D1572*Table3[[#This Row],[CF]]*chronic_consumption!$Y372/1000/$C$3)</f>
        <v>#DIV/0!</v>
      </c>
      <c r="AE1572" s="1098" t="e">
        <f>IF($D$1212="",0,$D1572*Table3[[#This Row],[CF]]*chronic_consumption!$Z372/1000/$C$3)</f>
        <v>#DIV/0!</v>
      </c>
      <c r="AF1572" s="1098" t="e">
        <f>IF($D$1212="",0,$D1572*Table3[[#This Row],[CF]]*chronic_consumption!$AA372/1000/$C$3)</f>
        <v>#DIV/0!</v>
      </c>
      <c r="AG1572" s="1098" t="e">
        <f>IF($D$1212="",0,$D1572*Table3[[#This Row],[CF]]*chronic_consumption!$AB372/1000/$C$3)</f>
        <v>#DIV/0!</v>
      </c>
      <c r="AH1572" s="1098" t="e">
        <f>IF($D$1212="",0,$D1572*Table3[[#This Row],[CF]]*chronic_consumption!$AC372/1000/$C$3)</f>
        <v>#DIV/0!</v>
      </c>
      <c r="AI1572" s="1098" t="e">
        <f>IF($D$1212="",0,$D1572*Table3[[#This Row],[CF]]*chronic_consumption!$AD372/1000/$C$3)</f>
        <v>#DIV/0!</v>
      </c>
      <c r="AJ1572" s="1098" t="e">
        <f>IF($D$1212="",0,$D1572*Table3[[#This Row],[CF]]*chronic_consumption!$AE372/1000/$C$3)</f>
        <v>#DIV/0!</v>
      </c>
      <c r="AK1572" s="1098" t="e">
        <f>IF($D$1212="",0,$D1572*Table3[[#This Row],[CF]]*chronic_consumption!$AF372/1000/$C$3)</f>
        <v>#DIV/0!</v>
      </c>
      <c r="AL1572" s="1098" t="e">
        <f>IF($D$1212="",0,$D1572*Table3[[#This Row],[CF]]*chronic_consumption!$AG372/1000/$C$3)</f>
        <v>#DIV/0!</v>
      </c>
      <c r="AM1572" s="1098" t="e">
        <f>IF($D$1212="",0,$D1572*Table3[[#This Row],[CF]]*chronic_consumption!$AH372/1000/$C$3)</f>
        <v>#DIV/0!</v>
      </c>
      <c r="AN1572" s="1098" t="e">
        <f>IF($D$1212="",0,$D1572*Table3[[#This Row],[CF]]*chronic_consumption!$AI372/1000/$C$3)</f>
        <v>#DIV/0!</v>
      </c>
      <c r="AO1572" s="1098" t="e">
        <f>IF($D$1212="",0,$D1572*Table3[[#This Row],[CF]]*chronic_consumption!$AJ372/1000/$C$3)</f>
        <v>#DIV/0!</v>
      </c>
      <c r="AP1572" s="1098" t="e">
        <f>IF($D$1212="",0,$D1572*Table3[[#This Row],[CF]]*chronic_consumption!$AK372/1000/$C$3)</f>
        <v>#DIV/0!</v>
      </c>
      <c r="AQ1572" s="1098" t="e">
        <f>IF($D$1212="",0,$D1572*Table3[[#This Row],[CF]]*chronic_consumption!$AL372/1000/$C$3)</f>
        <v>#DIV/0!</v>
      </c>
      <c r="AR1572" s="1098" t="e">
        <f>IF($D$1212="",0,$D1572*Table3[[#This Row],[CF]]*chronic_consumption!$AM372/1000/$C$3)</f>
        <v>#DIV/0!</v>
      </c>
      <c r="AS1572" s="1098" t="e">
        <f>IF($D$1212="",0,$D1572*Table3[[#This Row],[CF]]*chronic_consumption!$AN372/1000/$C$3)</f>
        <v>#DIV/0!</v>
      </c>
      <c r="AT1572" s="1098" t="e">
        <f>IF($D$1212="",0,$D1572*Table3[[#This Row],[CF]]*chronic_consumption!$AO372/1000/$C$3)</f>
        <v>#DIV/0!</v>
      </c>
      <c r="AU1572" s="1099" t="e">
        <f t="shared" ref="AU1572:AY1581" si="896">IF(AU772="",0,IF(OR(1=RANK(AU1172,AU$412:AU$790,0),(2=RANK(AU1172,AU$412:AU$790,0))),AU1172,AU772))</f>
        <v>#DIV/0!</v>
      </c>
      <c r="AV1572" s="1099" t="e">
        <f t="shared" si="896"/>
        <v>#DIV/0!</v>
      </c>
      <c r="AW1572" s="1099" t="e">
        <f t="shared" si="896"/>
        <v>#DIV/0!</v>
      </c>
      <c r="AX1572" s="1099" t="e">
        <f t="shared" si="896"/>
        <v>#DIV/0!</v>
      </c>
      <c r="AY1572" s="1099" t="e">
        <f t="shared" si="896"/>
        <v>#DIV/0!</v>
      </c>
      <c r="AZ1572" s="1091" t="s">
        <v>1012</v>
      </c>
      <c r="BA1572" s="1097" t="e">
        <f>IF(Table3[[#This Row],[max]]&lt;&gt;0,RANK(Table3[[#This Row],[max]],Table3[max],0),"")</f>
        <v>#DIV/0!</v>
      </c>
      <c r="BB1572" s="1096" t="e">
        <f t="shared" si="889"/>
        <v>#DIV/0!</v>
      </c>
      <c r="BC1572" s="1096" t="e">
        <f t="shared" ca="1" si="890"/>
        <v>#DIV/0!</v>
      </c>
      <c r="BD1572" s="1096" t="e">
        <f>IF(Table3[[#This Row],[max]]&gt;0,Table3[[#This Row],[Crop groups and examples of individual products within the groups to which the MRLs apply]],"")</f>
        <v>#DIV/0!</v>
      </c>
    </row>
    <row r="1573" spans="2:56" x14ac:dyDescent="0.2">
      <c r="B1573" s="23">
        <f t="shared" si="895"/>
        <v>1017990</v>
      </c>
      <c r="C1573" s="23" t="str">
        <f t="shared" si="895"/>
        <v>Other farmed animals: Other products</v>
      </c>
      <c r="D1573" s="1084">
        <f>input_values!E373</f>
        <v>0</v>
      </c>
      <c r="E1573" s="1084">
        <f>input_values!F373</f>
        <v>0</v>
      </c>
      <c r="F1573" s="1085">
        <f>input_values!W373</f>
        <v>1</v>
      </c>
      <c r="G1573" s="1085" t="str">
        <f>IF(Table3[[#This Row],[CF]]&gt;0,CONCATENATE(IF(Table3[[#This Row],[LOQ]]="*","LOQ","MRL"),IF(input_values!G373&gt;0,"×CFrisk","")),"")</f>
        <v>MRL</v>
      </c>
      <c r="H1573" s="1087">
        <f>input_values!L373</f>
        <v>0</v>
      </c>
      <c r="I1573" s="1088">
        <f>input_values!D373</f>
        <v>0</v>
      </c>
      <c r="J1573" s="1098" t="e">
        <f>IF($D$1212="",0,$D1573*Table3[[#This Row],[CF]]*chronic_consumption!$E373/1000/$C$3)</f>
        <v>#DIV/0!</v>
      </c>
      <c r="K1573" s="1098" t="e">
        <f>IF($D$1212="",0,$D1573*Table3[[#This Row],[CF]]*chronic_consumption!$F373/1000/$C$3)</f>
        <v>#DIV/0!</v>
      </c>
      <c r="L1573" s="1098" t="e">
        <f>IF($D$1212="",0,$D1573*Table3[[#This Row],[CF]]*chronic_consumption!$G373/1000/$C$3)</f>
        <v>#DIV/0!</v>
      </c>
      <c r="M1573" s="1098" t="e">
        <f>IF($D$1212="",0,$D1573*Table3[[#This Row],[CF]]*chronic_consumption!$H373/1000/$C$3)</f>
        <v>#DIV/0!</v>
      </c>
      <c r="N1573" s="1098" t="e">
        <f>IF($D$1212="",0,$D1573*Table3[[#This Row],[CF]]*chronic_consumption!$I373/1000/$C$3)</f>
        <v>#DIV/0!</v>
      </c>
      <c r="O1573" s="1098" t="e">
        <f>IF($D$1212="",0,$D1573*Table3[[#This Row],[CF]]*chronic_consumption!$J373/1000/$C$3)</f>
        <v>#DIV/0!</v>
      </c>
      <c r="P1573" s="1098" t="e">
        <f>IF($D$1212="",0,$D1573*Table3[[#This Row],[CF]]*chronic_consumption!$K373/1000/$C$3)</f>
        <v>#DIV/0!</v>
      </c>
      <c r="Q1573" s="1098" t="e">
        <f>IF($D$1212="",0,$D1573*Table3[[#This Row],[CF]]*chronic_consumption!$L373/1000/$C$3)</f>
        <v>#DIV/0!</v>
      </c>
      <c r="R1573" s="1098" t="e">
        <f>IF($D$1212="",0,$D1573*Table3[[#This Row],[CF]]*chronic_consumption!$M373/1000/$C$3)</f>
        <v>#DIV/0!</v>
      </c>
      <c r="S1573" s="1098" t="e">
        <f>IF($D$1212="",0,$D1573*Table3[[#This Row],[CF]]*chronic_consumption!$N373/1000/$C$3)</f>
        <v>#DIV/0!</v>
      </c>
      <c r="T1573" s="1098" t="e">
        <f>IF($D$1212="",0,$D1573*Table3[[#This Row],[CF]]*chronic_consumption!$O373/1000/$C$3)</f>
        <v>#DIV/0!</v>
      </c>
      <c r="U1573" s="1098" t="e">
        <f>IF($D$1212="",0,$D1573*Table3[[#This Row],[CF]]*chronic_consumption!$P373/1000/$C$3)</f>
        <v>#DIV/0!</v>
      </c>
      <c r="V1573" s="1098" t="e">
        <f>IF($D$1212="",0,$D1573*Table3[[#This Row],[CF]]*chronic_consumption!$Q373/1000/$C$3)</f>
        <v>#DIV/0!</v>
      </c>
      <c r="W1573" s="1098" t="e">
        <f>IF($D$1212="",0,$D1573*Table3[[#This Row],[CF]]*chronic_consumption!$R373/1000/$C$3)</f>
        <v>#DIV/0!</v>
      </c>
      <c r="X1573" s="1098" t="e">
        <f>IF($D$1212="",0,$D1573*Table3[[#This Row],[CF]]*chronic_consumption!$S373/1000/$C$3)</f>
        <v>#DIV/0!</v>
      </c>
      <c r="Y1573" s="1098" t="e">
        <f>IF($D$1212="",0,$D1573*Table3[[#This Row],[CF]]*chronic_consumption!$T373/1000/$C$3)</f>
        <v>#DIV/0!</v>
      </c>
      <c r="Z1573" s="1098" t="e">
        <f>IF($D$1212="",0,$D1573*Table3[[#This Row],[CF]]*chronic_consumption!$U373/1000/$C$3)</f>
        <v>#DIV/0!</v>
      </c>
      <c r="AA1573" s="1098" t="e">
        <f>IF($D$1212="",0,$D1573*Table3[[#This Row],[CF]]*chronic_consumption!$V373/1000/$C$3)</f>
        <v>#DIV/0!</v>
      </c>
      <c r="AB1573" s="1098" t="e">
        <f>IF($D$1212="",0,$D1573*Table3[[#This Row],[CF]]*chronic_consumption!$W373/1000/$C$3)</f>
        <v>#DIV/0!</v>
      </c>
      <c r="AC1573" s="1098" t="e">
        <f>IF($D$1212="",0,$D1573*Table3[[#This Row],[CF]]*chronic_consumption!$X373/1000/$C$3)</f>
        <v>#DIV/0!</v>
      </c>
      <c r="AD1573" s="1098" t="e">
        <f>IF($D$1212="",0,$D1573*Table3[[#This Row],[CF]]*chronic_consumption!$Y373/1000/$C$3)</f>
        <v>#DIV/0!</v>
      </c>
      <c r="AE1573" s="1098" t="e">
        <f>IF($D$1212="",0,$D1573*Table3[[#This Row],[CF]]*chronic_consumption!$Z373/1000/$C$3)</f>
        <v>#DIV/0!</v>
      </c>
      <c r="AF1573" s="1098" t="e">
        <f>IF($D$1212="",0,$D1573*Table3[[#This Row],[CF]]*chronic_consumption!$AA373/1000/$C$3)</f>
        <v>#DIV/0!</v>
      </c>
      <c r="AG1573" s="1098" t="e">
        <f>IF($D$1212="",0,$D1573*Table3[[#This Row],[CF]]*chronic_consumption!$AB373/1000/$C$3)</f>
        <v>#DIV/0!</v>
      </c>
      <c r="AH1573" s="1098" t="e">
        <f>IF($D$1212="",0,$D1573*Table3[[#This Row],[CF]]*chronic_consumption!$AC373/1000/$C$3)</f>
        <v>#DIV/0!</v>
      </c>
      <c r="AI1573" s="1098" t="e">
        <f>IF($D$1212="",0,$D1573*Table3[[#This Row],[CF]]*chronic_consumption!$AD373/1000/$C$3)</f>
        <v>#DIV/0!</v>
      </c>
      <c r="AJ1573" s="1098" t="e">
        <f>IF($D$1212="",0,$D1573*Table3[[#This Row],[CF]]*chronic_consumption!$AE373/1000/$C$3)</f>
        <v>#DIV/0!</v>
      </c>
      <c r="AK1573" s="1098" t="e">
        <f>IF($D$1212="",0,$D1573*Table3[[#This Row],[CF]]*chronic_consumption!$AF373/1000/$C$3)</f>
        <v>#DIV/0!</v>
      </c>
      <c r="AL1573" s="1098" t="e">
        <f>IF($D$1212="",0,$D1573*Table3[[#This Row],[CF]]*chronic_consumption!$AG373/1000/$C$3)</f>
        <v>#DIV/0!</v>
      </c>
      <c r="AM1573" s="1098" t="e">
        <f>IF($D$1212="",0,$D1573*Table3[[#This Row],[CF]]*chronic_consumption!$AH373/1000/$C$3)</f>
        <v>#DIV/0!</v>
      </c>
      <c r="AN1573" s="1098" t="e">
        <f>IF($D$1212="",0,$D1573*Table3[[#This Row],[CF]]*chronic_consumption!$AI373/1000/$C$3)</f>
        <v>#DIV/0!</v>
      </c>
      <c r="AO1573" s="1098" t="e">
        <f>IF($D$1212="",0,$D1573*Table3[[#This Row],[CF]]*chronic_consumption!$AJ373/1000/$C$3)</f>
        <v>#DIV/0!</v>
      </c>
      <c r="AP1573" s="1098" t="e">
        <f>IF($D$1212="",0,$D1573*Table3[[#This Row],[CF]]*chronic_consumption!$AK373/1000/$C$3)</f>
        <v>#DIV/0!</v>
      </c>
      <c r="AQ1573" s="1098" t="e">
        <f>IF($D$1212="",0,$D1573*Table3[[#This Row],[CF]]*chronic_consumption!$AL373/1000/$C$3)</f>
        <v>#DIV/0!</v>
      </c>
      <c r="AR1573" s="1098" t="e">
        <f>IF($D$1212="",0,$D1573*Table3[[#This Row],[CF]]*chronic_consumption!$AM373/1000/$C$3)</f>
        <v>#DIV/0!</v>
      </c>
      <c r="AS1573" s="1098" t="e">
        <f>IF($D$1212="",0,$D1573*Table3[[#This Row],[CF]]*chronic_consumption!$AN373/1000/$C$3)</f>
        <v>#DIV/0!</v>
      </c>
      <c r="AT1573" s="1098" t="e">
        <f>IF($D$1212="",0,$D1573*Table3[[#This Row],[CF]]*chronic_consumption!$AO373/1000/$C$3)</f>
        <v>#DIV/0!</v>
      </c>
      <c r="AU1573" s="1099" t="e">
        <f t="shared" si="896"/>
        <v>#DIV/0!</v>
      </c>
      <c r="AV1573" s="1099" t="e">
        <f t="shared" si="896"/>
        <v>#DIV/0!</v>
      </c>
      <c r="AW1573" s="1099" t="e">
        <f t="shared" si="896"/>
        <v>#DIV/0!</v>
      </c>
      <c r="AX1573" s="1099" t="e">
        <f t="shared" si="896"/>
        <v>#DIV/0!</v>
      </c>
      <c r="AY1573" s="1099" t="e">
        <f t="shared" si="896"/>
        <v>#DIV/0!</v>
      </c>
      <c r="AZ1573" s="1091" t="s">
        <v>1012</v>
      </c>
      <c r="BA1573" s="1097" t="e">
        <f>IF(Table3[[#This Row],[max]]&lt;&gt;0,RANK(Table3[[#This Row],[max]],Table3[max],0),"")</f>
        <v>#DIV/0!</v>
      </c>
      <c r="BB1573" s="1096" t="e">
        <f t="shared" si="889"/>
        <v>#DIV/0!</v>
      </c>
      <c r="BC1573" s="1096" t="e">
        <f t="shared" ca="1" si="890"/>
        <v>#DIV/0!</v>
      </c>
      <c r="BD1573" s="1096" t="e">
        <f>IF(Table3[[#This Row],[max]]&gt;0,Table3[[#This Row],[Crop groups and examples of individual products within the groups to which the MRLs apply]],"")</f>
        <v>#DIV/0!</v>
      </c>
    </row>
    <row r="1574" spans="2:56" x14ac:dyDescent="0.2">
      <c r="B1574" s="131">
        <f t="shared" si="895"/>
        <v>1020000</v>
      </c>
      <c r="C1574" s="131" t="str">
        <f t="shared" si="895"/>
        <v>Milk</v>
      </c>
      <c r="D1574" s="1084">
        <f>input_values!E374</f>
        <v>0</v>
      </c>
      <c r="E1574" s="1084">
        <f>input_values!F374</f>
        <v>0</v>
      </c>
      <c r="F1574" s="1085">
        <f>input_values!W374</f>
        <v>0</v>
      </c>
      <c r="G1574" s="1085" t="str">
        <f>IF(Table3[[#This Row],[CF]]&gt;0,CONCATENATE(IF(Table3[[#This Row],[LOQ]]="*","LOQ","MRL"),IF(input_values!G374&gt;0,"×CFrisk","")),"")</f>
        <v/>
      </c>
      <c r="H1574" s="1087">
        <f>input_values!L374</f>
        <v>0</v>
      </c>
      <c r="I1574" s="1088">
        <f>input_values!D374</f>
        <v>0</v>
      </c>
      <c r="J1574" s="1095" t="e">
        <f>IF($D$1212="",0,$D1574*Table3[[#This Row],[CF]]*chronic_consumption!$E374/1000/$C$3)</f>
        <v>#DIV/0!</v>
      </c>
      <c r="K1574" s="1095" t="e">
        <f>IF($D$1212="",0,$D1574*Table3[[#This Row],[CF]]*chronic_consumption!$F374/1000/$C$3)</f>
        <v>#DIV/0!</v>
      </c>
      <c r="L1574" s="1095" t="e">
        <f>IF($D$1212="",0,$D1574*Table3[[#This Row],[CF]]*chronic_consumption!$G374/1000/$C$3)</f>
        <v>#DIV/0!</v>
      </c>
      <c r="M1574" s="1095" t="e">
        <f>IF($D$1212="",0,$D1574*Table3[[#This Row],[CF]]*chronic_consumption!$H374/1000/$C$3)</f>
        <v>#DIV/0!</v>
      </c>
      <c r="N1574" s="1095" t="e">
        <f>IF($D$1212="",0,$D1574*Table3[[#This Row],[CF]]*chronic_consumption!$I374/1000/$C$3)</f>
        <v>#DIV/0!</v>
      </c>
      <c r="O1574" s="1095" t="e">
        <f>IF($D$1212="",0,$D1574*Table3[[#This Row],[CF]]*chronic_consumption!$J374/1000/$C$3)</f>
        <v>#DIV/0!</v>
      </c>
      <c r="P1574" s="1095" t="e">
        <f>IF($D$1212="",0,$D1574*Table3[[#This Row],[CF]]*chronic_consumption!$K374/1000/$C$3)</f>
        <v>#DIV/0!</v>
      </c>
      <c r="Q1574" s="1095" t="e">
        <f>IF($D$1212="",0,$D1574*Table3[[#This Row],[CF]]*chronic_consumption!$L374/1000/$C$3)</f>
        <v>#DIV/0!</v>
      </c>
      <c r="R1574" s="1095" t="e">
        <f>IF($D$1212="",0,$D1574*Table3[[#This Row],[CF]]*chronic_consumption!$M374/1000/$C$3)</f>
        <v>#DIV/0!</v>
      </c>
      <c r="S1574" s="1095" t="e">
        <f>IF($D$1212="",0,$D1574*Table3[[#This Row],[CF]]*chronic_consumption!$N374/1000/$C$3)</f>
        <v>#DIV/0!</v>
      </c>
      <c r="T1574" s="1095" t="e">
        <f>IF($D$1212="",0,$D1574*Table3[[#This Row],[CF]]*chronic_consumption!$O374/1000/$C$3)</f>
        <v>#DIV/0!</v>
      </c>
      <c r="U1574" s="1095" t="e">
        <f>IF($D$1212="",0,$D1574*Table3[[#This Row],[CF]]*chronic_consumption!$P374/1000/$C$3)</f>
        <v>#DIV/0!</v>
      </c>
      <c r="V1574" s="1095" t="e">
        <f>IF($D$1212="",0,$D1574*Table3[[#This Row],[CF]]*chronic_consumption!$Q374/1000/$C$3)</f>
        <v>#DIV/0!</v>
      </c>
      <c r="W1574" s="1095" t="e">
        <f>IF($D$1212="",0,$D1574*Table3[[#This Row],[CF]]*chronic_consumption!$R374/1000/$C$3)</f>
        <v>#DIV/0!</v>
      </c>
      <c r="X1574" s="1095" t="e">
        <f>IF($D$1212="",0,$D1574*Table3[[#This Row],[CF]]*chronic_consumption!$S374/1000/$C$3)</f>
        <v>#DIV/0!</v>
      </c>
      <c r="Y1574" s="1095" t="e">
        <f>IF($D$1212="",0,$D1574*Table3[[#This Row],[CF]]*chronic_consumption!$T374/1000/$C$3)</f>
        <v>#DIV/0!</v>
      </c>
      <c r="Z1574" s="1095" t="e">
        <f>IF($D$1212="",0,$D1574*Table3[[#This Row],[CF]]*chronic_consumption!$U374/1000/$C$3)</f>
        <v>#DIV/0!</v>
      </c>
      <c r="AA1574" s="1095" t="e">
        <f>IF($D$1212="",0,$D1574*Table3[[#This Row],[CF]]*chronic_consumption!$V374/1000/$C$3)</f>
        <v>#DIV/0!</v>
      </c>
      <c r="AB1574" s="1095" t="e">
        <f>IF($D$1212="",0,$D1574*Table3[[#This Row],[CF]]*chronic_consumption!$W374/1000/$C$3)</f>
        <v>#DIV/0!</v>
      </c>
      <c r="AC1574" s="1095" t="e">
        <f>IF($D$1212="",0,$D1574*Table3[[#This Row],[CF]]*chronic_consumption!$X374/1000/$C$3)</f>
        <v>#DIV/0!</v>
      </c>
      <c r="AD1574" s="1095" t="e">
        <f>IF($D$1212="",0,$D1574*Table3[[#This Row],[CF]]*chronic_consumption!$Y374/1000/$C$3)</f>
        <v>#DIV/0!</v>
      </c>
      <c r="AE1574" s="1095" t="e">
        <f>IF($D$1212="",0,$D1574*Table3[[#This Row],[CF]]*chronic_consumption!$Z374/1000/$C$3)</f>
        <v>#DIV/0!</v>
      </c>
      <c r="AF1574" s="1095" t="e">
        <f>IF($D$1212="",0,$D1574*Table3[[#This Row],[CF]]*chronic_consumption!$AA374/1000/$C$3)</f>
        <v>#DIV/0!</v>
      </c>
      <c r="AG1574" s="1095" t="e">
        <f>IF($D$1212="",0,$D1574*Table3[[#This Row],[CF]]*chronic_consumption!$AB374/1000/$C$3)</f>
        <v>#DIV/0!</v>
      </c>
      <c r="AH1574" s="1095" t="e">
        <f>IF($D$1212="",0,$D1574*Table3[[#This Row],[CF]]*chronic_consumption!$AC374/1000/$C$3)</f>
        <v>#DIV/0!</v>
      </c>
      <c r="AI1574" s="1095" t="e">
        <f>IF($D$1212="",0,$D1574*Table3[[#This Row],[CF]]*chronic_consumption!$AD374/1000/$C$3)</f>
        <v>#DIV/0!</v>
      </c>
      <c r="AJ1574" s="1095" t="e">
        <f>IF($D$1212="",0,$D1574*Table3[[#This Row],[CF]]*chronic_consumption!$AE374/1000/$C$3)</f>
        <v>#DIV/0!</v>
      </c>
      <c r="AK1574" s="1095" t="e">
        <f>IF($D$1212="",0,$D1574*Table3[[#This Row],[CF]]*chronic_consumption!$AF374/1000/$C$3)</f>
        <v>#DIV/0!</v>
      </c>
      <c r="AL1574" s="1095" t="e">
        <f>IF($D$1212="",0,$D1574*Table3[[#This Row],[CF]]*chronic_consumption!$AG374/1000/$C$3)</f>
        <v>#DIV/0!</v>
      </c>
      <c r="AM1574" s="1095" t="e">
        <f>IF($D$1212="",0,$D1574*Table3[[#This Row],[CF]]*chronic_consumption!$AH374/1000/$C$3)</f>
        <v>#DIV/0!</v>
      </c>
      <c r="AN1574" s="1095" t="e">
        <f>IF($D$1212="",0,$D1574*Table3[[#This Row],[CF]]*chronic_consumption!$AI374/1000/$C$3)</f>
        <v>#DIV/0!</v>
      </c>
      <c r="AO1574" s="1095" t="e">
        <f>IF($D$1212="",0,$D1574*Table3[[#This Row],[CF]]*chronic_consumption!$AJ374/1000/$C$3)</f>
        <v>#DIV/0!</v>
      </c>
      <c r="AP1574" s="1095" t="e">
        <f>IF($D$1212="",0,$D1574*Table3[[#This Row],[CF]]*chronic_consumption!$AK374/1000/$C$3)</f>
        <v>#DIV/0!</v>
      </c>
      <c r="AQ1574" s="1095" t="e">
        <f>IF($D$1212="",0,$D1574*Table3[[#This Row],[CF]]*chronic_consumption!$AL374/1000/$C$3)</f>
        <v>#DIV/0!</v>
      </c>
      <c r="AR1574" s="1095" t="e">
        <f>IF($D$1212="",0,$D1574*Table3[[#This Row],[CF]]*chronic_consumption!$AM374/1000/$C$3)</f>
        <v>#DIV/0!</v>
      </c>
      <c r="AS1574" s="1095" t="e">
        <f>IF($D$1212="",0,$D1574*Table3[[#This Row],[CF]]*chronic_consumption!$AN374/1000/$C$3)</f>
        <v>#DIV/0!</v>
      </c>
      <c r="AT1574" s="1095" t="e">
        <f>IF($D$1212="",0,$D1574*Table3[[#This Row],[CF]]*chronic_consumption!$AO374/1000/$C$3)</f>
        <v>#DIV/0!</v>
      </c>
      <c r="AU1574" s="1096" t="e">
        <f t="shared" si="896"/>
        <v>#DIV/0!</v>
      </c>
      <c r="AV1574" s="1096" t="e">
        <f t="shared" si="896"/>
        <v>#DIV/0!</v>
      </c>
      <c r="AW1574" s="1096" t="e">
        <f t="shared" si="896"/>
        <v>#DIV/0!</v>
      </c>
      <c r="AX1574" s="1096" t="e">
        <f t="shared" si="896"/>
        <v>#DIV/0!</v>
      </c>
      <c r="AY1574" s="1096" t="e">
        <f t="shared" si="896"/>
        <v>#DIV/0!</v>
      </c>
      <c r="AZ1574" s="1091" t="s">
        <v>1012</v>
      </c>
      <c r="BA1574" s="1097" t="e">
        <f>IF(Table3[[#This Row],[max]]&lt;&gt;0,RANK(Table3[[#This Row],[max]],Table3[max],0),"")</f>
        <v>#DIV/0!</v>
      </c>
      <c r="BB1574" s="1096" t="e">
        <f t="shared" si="889"/>
        <v>#DIV/0!</v>
      </c>
      <c r="BC1574" s="1096" t="e">
        <f t="shared" ca="1" si="890"/>
        <v>#DIV/0!</v>
      </c>
      <c r="BD1574" s="1096" t="e">
        <f>IF(Table3[[#This Row],[max]]&gt;0,Table3[[#This Row],[Crop groups and examples of individual products within the groups to which the MRLs apply]],"")</f>
        <v>#DIV/0!</v>
      </c>
    </row>
    <row r="1575" spans="2:56" x14ac:dyDescent="0.2">
      <c r="B1575" s="23">
        <f t="shared" si="895"/>
        <v>1020010</v>
      </c>
      <c r="C1575" s="23" t="str">
        <f t="shared" si="895"/>
        <v>Milk:  Cattle</v>
      </c>
      <c r="D1575" s="1084">
        <f>input_values!E375</f>
        <v>0</v>
      </c>
      <c r="E1575" s="1084">
        <f>input_values!F375</f>
        <v>0</v>
      </c>
      <c r="F1575" s="1085">
        <f>input_values!W375</f>
        <v>1</v>
      </c>
      <c r="G1575" s="1085" t="str">
        <f>IF(Table3[[#This Row],[CF]]&gt;0,CONCATENATE(IF(Table3[[#This Row],[LOQ]]="*","LOQ","MRL"),IF(input_values!G375&gt;0,"×CFrisk","")),"")</f>
        <v>MRL</v>
      </c>
      <c r="H1575" s="1087">
        <f>input_values!L375</f>
        <v>0</v>
      </c>
      <c r="I1575" s="1088">
        <f>input_values!D375</f>
        <v>0</v>
      </c>
      <c r="J1575" s="1098" t="e">
        <f>IF($D$1212="",0,$D1575*Table3[[#This Row],[CF]]*chronic_consumption!$E375/1000/$C$3)</f>
        <v>#DIV/0!</v>
      </c>
      <c r="K1575" s="1098" t="e">
        <f>IF($D$1212="",0,$D1575*Table3[[#This Row],[CF]]*chronic_consumption!$F375/1000/$C$3)</f>
        <v>#DIV/0!</v>
      </c>
      <c r="L1575" s="1098" t="e">
        <f>IF($D$1212="",0,$D1575*Table3[[#This Row],[CF]]*chronic_consumption!$G375/1000/$C$3)</f>
        <v>#DIV/0!</v>
      </c>
      <c r="M1575" s="1098" t="e">
        <f>IF($D$1212="",0,$D1575*Table3[[#This Row],[CF]]*chronic_consumption!$H375/1000/$C$3)</f>
        <v>#DIV/0!</v>
      </c>
      <c r="N1575" s="1098" t="e">
        <f>IF($D$1212="",0,$D1575*Table3[[#This Row],[CF]]*chronic_consumption!$I375/1000/$C$3)</f>
        <v>#DIV/0!</v>
      </c>
      <c r="O1575" s="1098" t="e">
        <f>IF($D$1212="",0,$D1575*Table3[[#This Row],[CF]]*chronic_consumption!$J375/1000/$C$3)</f>
        <v>#DIV/0!</v>
      </c>
      <c r="P1575" s="1098" t="e">
        <f>IF($D$1212="",0,$D1575*Table3[[#This Row],[CF]]*chronic_consumption!$K375/1000/$C$3)</f>
        <v>#DIV/0!</v>
      </c>
      <c r="Q1575" s="1098" t="e">
        <f>IF($D$1212="",0,$D1575*Table3[[#This Row],[CF]]*chronic_consumption!$L375/1000/$C$3)</f>
        <v>#DIV/0!</v>
      </c>
      <c r="R1575" s="1098" t="e">
        <f>IF($D$1212="",0,$D1575*Table3[[#This Row],[CF]]*chronic_consumption!$M375/1000/$C$3)</f>
        <v>#DIV/0!</v>
      </c>
      <c r="S1575" s="1098" t="e">
        <f>IF($D$1212="",0,$D1575*Table3[[#This Row],[CF]]*chronic_consumption!$N375/1000/$C$3)</f>
        <v>#DIV/0!</v>
      </c>
      <c r="T1575" s="1098" t="e">
        <f>IF($D$1212="",0,$D1575*Table3[[#This Row],[CF]]*chronic_consumption!$O375/1000/$C$3)</f>
        <v>#DIV/0!</v>
      </c>
      <c r="U1575" s="1098" t="e">
        <f>IF($D$1212="",0,$D1575*Table3[[#This Row],[CF]]*chronic_consumption!$P375/1000/$C$3)</f>
        <v>#DIV/0!</v>
      </c>
      <c r="V1575" s="1098" t="e">
        <f>IF($D$1212="",0,$D1575*Table3[[#This Row],[CF]]*chronic_consumption!$Q375/1000/$C$3)</f>
        <v>#DIV/0!</v>
      </c>
      <c r="W1575" s="1098" t="e">
        <f>IF($D$1212="",0,$D1575*Table3[[#This Row],[CF]]*chronic_consumption!$R375/1000/$C$3)</f>
        <v>#DIV/0!</v>
      </c>
      <c r="X1575" s="1098" t="e">
        <f>IF($D$1212="",0,$D1575*Table3[[#This Row],[CF]]*chronic_consumption!$S375/1000/$C$3)</f>
        <v>#DIV/0!</v>
      </c>
      <c r="Y1575" s="1098" t="e">
        <f>IF($D$1212="",0,$D1575*Table3[[#This Row],[CF]]*chronic_consumption!$T375/1000/$C$3)</f>
        <v>#DIV/0!</v>
      </c>
      <c r="Z1575" s="1098" t="e">
        <f>IF($D$1212="",0,$D1575*Table3[[#This Row],[CF]]*chronic_consumption!$U375/1000/$C$3)</f>
        <v>#DIV/0!</v>
      </c>
      <c r="AA1575" s="1098" t="e">
        <f>IF($D$1212="",0,$D1575*Table3[[#This Row],[CF]]*chronic_consumption!$V375/1000/$C$3)</f>
        <v>#DIV/0!</v>
      </c>
      <c r="AB1575" s="1098" t="e">
        <f>IF($D$1212="",0,$D1575*Table3[[#This Row],[CF]]*chronic_consumption!$W375/1000/$C$3)</f>
        <v>#DIV/0!</v>
      </c>
      <c r="AC1575" s="1098" t="e">
        <f>IF($D$1212="",0,$D1575*Table3[[#This Row],[CF]]*chronic_consumption!$X375/1000/$C$3)</f>
        <v>#DIV/0!</v>
      </c>
      <c r="AD1575" s="1098" t="e">
        <f>IF($D$1212="",0,$D1575*Table3[[#This Row],[CF]]*chronic_consumption!$Y375/1000/$C$3)</f>
        <v>#DIV/0!</v>
      </c>
      <c r="AE1575" s="1098" t="e">
        <f>IF($D$1212="",0,$D1575*Table3[[#This Row],[CF]]*chronic_consumption!$Z375/1000/$C$3)</f>
        <v>#DIV/0!</v>
      </c>
      <c r="AF1575" s="1098" t="e">
        <f>IF($D$1212="",0,$D1575*Table3[[#This Row],[CF]]*chronic_consumption!$AA375/1000/$C$3)</f>
        <v>#DIV/0!</v>
      </c>
      <c r="AG1575" s="1098" t="e">
        <f>IF($D$1212="",0,$D1575*Table3[[#This Row],[CF]]*chronic_consumption!$AB375/1000/$C$3)</f>
        <v>#DIV/0!</v>
      </c>
      <c r="AH1575" s="1098" t="e">
        <f>IF($D$1212="",0,$D1575*Table3[[#This Row],[CF]]*chronic_consumption!$AC375/1000/$C$3)</f>
        <v>#DIV/0!</v>
      </c>
      <c r="AI1575" s="1098" t="e">
        <f>IF($D$1212="",0,$D1575*Table3[[#This Row],[CF]]*chronic_consumption!$AD375/1000/$C$3)</f>
        <v>#DIV/0!</v>
      </c>
      <c r="AJ1575" s="1098" t="e">
        <f>IF($D$1212="",0,$D1575*Table3[[#This Row],[CF]]*chronic_consumption!$AE375/1000/$C$3)</f>
        <v>#DIV/0!</v>
      </c>
      <c r="AK1575" s="1098" t="e">
        <f>IF($D$1212="",0,$D1575*Table3[[#This Row],[CF]]*chronic_consumption!$AF375/1000/$C$3)</f>
        <v>#DIV/0!</v>
      </c>
      <c r="AL1575" s="1098" t="e">
        <f>IF($D$1212="",0,$D1575*Table3[[#This Row],[CF]]*chronic_consumption!$AG375/1000/$C$3)</f>
        <v>#DIV/0!</v>
      </c>
      <c r="AM1575" s="1098" t="e">
        <f>IF($D$1212="",0,$D1575*Table3[[#This Row],[CF]]*chronic_consumption!$AH375/1000/$C$3)</f>
        <v>#DIV/0!</v>
      </c>
      <c r="AN1575" s="1098" t="e">
        <f>IF($D$1212="",0,$D1575*Table3[[#This Row],[CF]]*chronic_consumption!$AI375/1000/$C$3)</f>
        <v>#DIV/0!</v>
      </c>
      <c r="AO1575" s="1098" t="e">
        <f>IF($D$1212="",0,$D1575*Table3[[#This Row],[CF]]*chronic_consumption!$AJ375/1000/$C$3)</f>
        <v>#DIV/0!</v>
      </c>
      <c r="AP1575" s="1098" t="e">
        <f>IF($D$1212="",0,$D1575*Table3[[#This Row],[CF]]*chronic_consumption!$AK375/1000/$C$3)</f>
        <v>#DIV/0!</v>
      </c>
      <c r="AQ1575" s="1098" t="e">
        <f>IF($D$1212="",0,$D1575*Table3[[#This Row],[CF]]*chronic_consumption!$AL375/1000/$C$3)</f>
        <v>#DIV/0!</v>
      </c>
      <c r="AR1575" s="1098" t="e">
        <f>IF($D$1212="",0,$D1575*Table3[[#This Row],[CF]]*chronic_consumption!$AM375/1000/$C$3)</f>
        <v>#DIV/0!</v>
      </c>
      <c r="AS1575" s="1098" t="e">
        <f>IF($D$1212="",0,$D1575*Table3[[#This Row],[CF]]*chronic_consumption!$AN375/1000/$C$3)</f>
        <v>#DIV/0!</v>
      </c>
      <c r="AT1575" s="1098" t="e">
        <f>IF($D$1212="",0,$D1575*Table3[[#This Row],[CF]]*chronic_consumption!$AO375/1000/$C$3)</f>
        <v>#DIV/0!</v>
      </c>
      <c r="AU1575" s="1099" t="e">
        <f t="shared" si="896"/>
        <v>#DIV/0!</v>
      </c>
      <c r="AV1575" s="1099" t="e">
        <f t="shared" si="896"/>
        <v>#DIV/0!</v>
      </c>
      <c r="AW1575" s="1099" t="e">
        <f t="shared" si="896"/>
        <v>#DIV/0!</v>
      </c>
      <c r="AX1575" s="1099" t="e">
        <f t="shared" si="896"/>
        <v>#DIV/0!</v>
      </c>
      <c r="AY1575" s="1099" t="e">
        <f t="shared" si="896"/>
        <v>#DIV/0!</v>
      </c>
      <c r="AZ1575" s="1091" t="s">
        <v>1012</v>
      </c>
      <c r="BA1575" s="1097" t="e">
        <f>IF(Table3[[#This Row],[max]]&lt;&gt;0,RANK(Table3[[#This Row],[max]],Table3[max],0),"")</f>
        <v>#DIV/0!</v>
      </c>
      <c r="BB1575" s="1096" t="e">
        <f t="shared" si="889"/>
        <v>#DIV/0!</v>
      </c>
      <c r="BC1575" s="1096" t="e">
        <f t="shared" ca="1" si="890"/>
        <v>#DIV/0!</v>
      </c>
      <c r="BD1575" s="1096" t="e">
        <f>IF(Table3[[#This Row],[max]]&gt;0,Table3[[#This Row],[Crop groups and examples of individual products within the groups to which the MRLs apply]],"")</f>
        <v>#DIV/0!</v>
      </c>
    </row>
    <row r="1576" spans="2:56" x14ac:dyDescent="0.2">
      <c r="B1576" s="23">
        <f t="shared" si="895"/>
        <v>1020020</v>
      </c>
      <c r="C1576" s="23" t="str">
        <f t="shared" si="895"/>
        <v>Milk: Sheep</v>
      </c>
      <c r="D1576" s="1084">
        <f>input_values!E376</f>
        <v>0</v>
      </c>
      <c r="E1576" s="1084">
        <f>input_values!F376</f>
        <v>0</v>
      </c>
      <c r="F1576" s="1085">
        <f>input_values!W376</f>
        <v>1</v>
      </c>
      <c r="G1576" s="1085" t="str">
        <f>IF(Table3[[#This Row],[CF]]&gt;0,CONCATENATE(IF(Table3[[#This Row],[LOQ]]="*","LOQ","MRL"),IF(input_values!G376&gt;0,"×CFrisk","")),"")</f>
        <v>MRL</v>
      </c>
      <c r="H1576" s="1087">
        <f>input_values!L376</f>
        <v>0</v>
      </c>
      <c r="I1576" s="1088">
        <f>input_values!D376</f>
        <v>0</v>
      </c>
      <c r="J1576" s="1098" t="e">
        <f>IF($D$1212="",0,$D1576*Table3[[#This Row],[CF]]*chronic_consumption!$E376/1000/$C$3)</f>
        <v>#DIV/0!</v>
      </c>
      <c r="K1576" s="1098" t="e">
        <f>IF($D$1212="",0,$D1576*Table3[[#This Row],[CF]]*chronic_consumption!$F376/1000/$C$3)</f>
        <v>#DIV/0!</v>
      </c>
      <c r="L1576" s="1098" t="e">
        <f>IF($D$1212="",0,$D1576*Table3[[#This Row],[CF]]*chronic_consumption!$G376/1000/$C$3)</f>
        <v>#DIV/0!</v>
      </c>
      <c r="M1576" s="1098" t="e">
        <f>IF($D$1212="",0,$D1576*Table3[[#This Row],[CF]]*chronic_consumption!$H376/1000/$C$3)</f>
        <v>#DIV/0!</v>
      </c>
      <c r="N1576" s="1098" t="e">
        <f>IF($D$1212="",0,$D1576*Table3[[#This Row],[CF]]*chronic_consumption!$I376/1000/$C$3)</f>
        <v>#DIV/0!</v>
      </c>
      <c r="O1576" s="1098" t="e">
        <f>IF($D$1212="",0,$D1576*Table3[[#This Row],[CF]]*chronic_consumption!$J376/1000/$C$3)</f>
        <v>#DIV/0!</v>
      </c>
      <c r="P1576" s="1098" t="e">
        <f>IF($D$1212="",0,$D1576*Table3[[#This Row],[CF]]*chronic_consumption!$K376/1000/$C$3)</f>
        <v>#DIV/0!</v>
      </c>
      <c r="Q1576" s="1098" t="e">
        <f>IF($D$1212="",0,$D1576*Table3[[#This Row],[CF]]*chronic_consumption!$L376/1000/$C$3)</f>
        <v>#DIV/0!</v>
      </c>
      <c r="R1576" s="1098" t="e">
        <f>IF($D$1212="",0,$D1576*Table3[[#This Row],[CF]]*chronic_consumption!$M376/1000/$C$3)</f>
        <v>#DIV/0!</v>
      </c>
      <c r="S1576" s="1098" t="e">
        <f>IF($D$1212="",0,$D1576*Table3[[#This Row],[CF]]*chronic_consumption!$N376/1000/$C$3)</f>
        <v>#DIV/0!</v>
      </c>
      <c r="T1576" s="1098" t="e">
        <f>IF($D$1212="",0,$D1576*Table3[[#This Row],[CF]]*chronic_consumption!$O376/1000/$C$3)</f>
        <v>#DIV/0!</v>
      </c>
      <c r="U1576" s="1098" t="e">
        <f>IF($D$1212="",0,$D1576*Table3[[#This Row],[CF]]*chronic_consumption!$P376/1000/$C$3)</f>
        <v>#DIV/0!</v>
      </c>
      <c r="V1576" s="1098" t="e">
        <f>IF($D$1212="",0,$D1576*Table3[[#This Row],[CF]]*chronic_consumption!$Q376/1000/$C$3)</f>
        <v>#DIV/0!</v>
      </c>
      <c r="W1576" s="1098" t="e">
        <f>IF($D$1212="",0,$D1576*Table3[[#This Row],[CF]]*chronic_consumption!$R376/1000/$C$3)</f>
        <v>#DIV/0!</v>
      </c>
      <c r="X1576" s="1098" t="e">
        <f>IF($D$1212="",0,$D1576*Table3[[#This Row],[CF]]*chronic_consumption!$S376/1000/$C$3)</f>
        <v>#DIV/0!</v>
      </c>
      <c r="Y1576" s="1098" t="e">
        <f>IF($D$1212="",0,$D1576*Table3[[#This Row],[CF]]*chronic_consumption!$T376/1000/$C$3)</f>
        <v>#DIV/0!</v>
      </c>
      <c r="Z1576" s="1098" t="e">
        <f>IF($D$1212="",0,$D1576*Table3[[#This Row],[CF]]*chronic_consumption!$U376/1000/$C$3)</f>
        <v>#DIV/0!</v>
      </c>
      <c r="AA1576" s="1098" t="e">
        <f>IF($D$1212="",0,$D1576*Table3[[#This Row],[CF]]*chronic_consumption!$V376/1000/$C$3)</f>
        <v>#DIV/0!</v>
      </c>
      <c r="AB1576" s="1098" t="e">
        <f>IF($D$1212="",0,$D1576*Table3[[#This Row],[CF]]*chronic_consumption!$W376/1000/$C$3)</f>
        <v>#DIV/0!</v>
      </c>
      <c r="AC1576" s="1098" t="e">
        <f>IF($D$1212="",0,$D1576*Table3[[#This Row],[CF]]*chronic_consumption!$X376/1000/$C$3)</f>
        <v>#DIV/0!</v>
      </c>
      <c r="AD1576" s="1098" t="e">
        <f>IF($D$1212="",0,$D1576*Table3[[#This Row],[CF]]*chronic_consumption!$Y376/1000/$C$3)</f>
        <v>#DIV/0!</v>
      </c>
      <c r="AE1576" s="1098" t="e">
        <f>IF($D$1212="",0,$D1576*Table3[[#This Row],[CF]]*chronic_consumption!$Z376/1000/$C$3)</f>
        <v>#DIV/0!</v>
      </c>
      <c r="AF1576" s="1098" t="e">
        <f>IF($D$1212="",0,$D1576*Table3[[#This Row],[CF]]*chronic_consumption!$AA376/1000/$C$3)</f>
        <v>#DIV/0!</v>
      </c>
      <c r="AG1576" s="1098" t="e">
        <f>IF($D$1212="",0,$D1576*Table3[[#This Row],[CF]]*chronic_consumption!$AB376/1000/$C$3)</f>
        <v>#DIV/0!</v>
      </c>
      <c r="AH1576" s="1098" t="e">
        <f>IF($D$1212="",0,$D1576*Table3[[#This Row],[CF]]*chronic_consumption!$AC376/1000/$C$3)</f>
        <v>#DIV/0!</v>
      </c>
      <c r="AI1576" s="1098" t="e">
        <f>IF($D$1212="",0,$D1576*Table3[[#This Row],[CF]]*chronic_consumption!$AD376/1000/$C$3)</f>
        <v>#DIV/0!</v>
      </c>
      <c r="AJ1576" s="1098" t="e">
        <f>IF($D$1212="",0,$D1576*Table3[[#This Row],[CF]]*chronic_consumption!$AE376/1000/$C$3)</f>
        <v>#DIV/0!</v>
      </c>
      <c r="AK1576" s="1098" t="e">
        <f>IF($D$1212="",0,$D1576*Table3[[#This Row],[CF]]*chronic_consumption!$AF376/1000/$C$3)</f>
        <v>#DIV/0!</v>
      </c>
      <c r="AL1576" s="1098" t="e">
        <f>IF($D$1212="",0,$D1576*Table3[[#This Row],[CF]]*chronic_consumption!$AG376/1000/$C$3)</f>
        <v>#DIV/0!</v>
      </c>
      <c r="AM1576" s="1098" t="e">
        <f>IF($D$1212="",0,$D1576*Table3[[#This Row],[CF]]*chronic_consumption!$AH376/1000/$C$3)</f>
        <v>#DIV/0!</v>
      </c>
      <c r="AN1576" s="1098" t="e">
        <f>IF($D$1212="",0,$D1576*Table3[[#This Row],[CF]]*chronic_consumption!$AI376/1000/$C$3)</f>
        <v>#DIV/0!</v>
      </c>
      <c r="AO1576" s="1098" t="e">
        <f>IF($D$1212="",0,$D1576*Table3[[#This Row],[CF]]*chronic_consumption!$AJ376/1000/$C$3)</f>
        <v>#DIV/0!</v>
      </c>
      <c r="AP1576" s="1098" t="e">
        <f>IF($D$1212="",0,$D1576*Table3[[#This Row],[CF]]*chronic_consumption!$AK376/1000/$C$3)</f>
        <v>#DIV/0!</v>
      </c>
      <c r="AQ1576" s="1098" t="e">
        <f>IF($D$1212="",0,$D1576*Table3[[#This Row],[CF]]*chronic_consumption!$AL376/1000/$C$3)</f>
        <v>#DIV/0!</v>
      </c>
      <c r="AR1576" s="1098" t="e">
        <f>IF($D$1212="",0,$D1576*Table3[[#This Row],[CF]]*chronic_consumption!$AM376/1000/$C$3)</f>
        <v>#DIV/0!</v>
      </c>
      <c r="AS1576" s="1098" t="e">
        <f>IF($D$1212="",0,$D1576*Table3[[#This Row],[CF]]*chronic_consumption!$AN376/1000/$C$3)</f>
        <v>#DIV/0!</v>
      </c>
      <c r="AT1576" s="1098" t="e">
        <f>IF($D$1212="",0,$D1576*Table3[[#This Row],[CF]]*chronic_consumption!$AO376/1000/$C$3)</f>
        <v>#DIV/0!</v>
      </c>
      <c r="AU1576" s="1099" t="e">
        <f t="shared" si="896"/>
        <v>#DIV/0!</v>
      </c>
      <c r="AV1576" s="1099" t="e">
        <f t="shared" si="896"/>
        <v>#DIV/0!</v>
      </c>
      <c r="AW1576" s="1099" t="e">
        <f t="shared" si="896"/>
        <v>#DIV/0!</v>
      </c>
      <c r="AX1576" s="1099" t="e">
        <f t="shared" si="896"/>
        <v>#DIV/0!</v>
      </c>
      <c r="AY1576" s="1099" t="e">
        <f t="shared" si="896"/>
        <v>#DIV/0!</v>
      </c>
      <c r="AZ1576" s="1091" t="s">
        <v>1012</v>
      </c>
      <c r="BA1576" s="1097" t="e">
        <f>IF(Table3[[#This Row],[max]]&lt;&gt;0,RANK(Table3[[#This Row],[max]],Table3[max],0),"")</f>
        <v>#DIV/0!</v>
      </c>
      <c r="BB1576" s="1096" t="e">
        <f t="shared" si="889"/>
        <v>#DIV/0!</v>
      </c>
      <c r="BC1576" s="1096" t="e">
        <f t="shared" ca="1" si="890"/>
        <v>#DIV/0!</v>
      </c>
      <c r="BD1576" s="1096" t="e">
        <f>IF(Table3[[#This Row],[max]]&gt;0,Table3[[#This Row],[Crop groups and examples of individual products within the groups to which the MRLs apply]],"")</f>
        <v>#DIV/0!</v>
      </c>
    </row>
    <row r="1577" spans="2:56" x14ac:dyDescent="0.2">
      <c r="B1577" s="23">
        <f t="shared" si="895"/>
        <v>1020030</v>
      </c>
      <c r="C1577" s="23" t="str">
        <f t="shared" si="895"/>
        <v>Milk: Goat</v>
      </c>
      <c r="D1577" s="1084">
        <f>input_values!E377</f>
        <v>0</v>
      </c>
      <c r="E1577" s="1084">
        <f>input_values!F377</f>
        <v>0</v>
      </c>
      <c r="F1577" s="1085">
        <f>input_values!W377</f>
        <v>1</v>
      </c>
      <c r="G1577" s="1085" t="str">
        <f>IF(Table3[[#This Row],[CF]]&gt;0,CONCATENATE(IF(Table3[[#This Row],[LOQ]]="*","LOQ","MRL"),IF(input_values!G377&gt;0,"×CFrisk","")),"")</f>
        <v>MRL</v>
      </c>
      <c r="H1577" s="1087">
        <f>input_values!L377</f>
        <v>0</v>
      </c>
      <c r="I1577" s="1088">
        <f>input_values!D377</f>
        <v>0</v>
      </c>
      <c r="J1577" s="1098" t="e">
        <f>IF($D$1212="",0,$D1577*Table3[[#This Row],[CF]]*chronic_consumption!$E377/1000/$C$3)</f>
        <v>#DIV/0!</v>
      </c>
      <c r="K1577" s="1098" t="e">
        <f>IF($D$1212="",0,$D1577*Table3[[#This Row],[CF]]*chronic_consumption!$F377/1000/$C$3)</f>
        <v>#DIV/0!</v>
      </c>
      <c r="L1577" s="1098" t="e">
        <f>IF($D$1212="",0,$D1577*Table3[[#This Row],[CF]]*chronic_consumption!$G377/1000/$C$3)</f>
        <v>#DIV/0!</v>
      </c>
      <c r="M1577" s="1098" t="e">
        <f>IF($D$1212="",0,$D1577*Table3[[#This Row],[CF]]*chronic_consumption!$H377/1000/$C$3)</f>
        <v>#DIV/0!</v>
      </c>
      <c r="N1577" s="1098" t="e">
        <f>IF($D$1212="",0,$D1577*Table3[[#This Row],[CF]]*chronic_consumption!$I377/1000/$C$3)</f>
        <v>#DIV/0!</v>
      </c>
      <c r="O1577" s="1098" t="e">
        <f>IF($D$1212="",0,$D1577*Table3[[#This Row],[CF]]*chronic_consumption!$J377/1000/$C$3)</f>
        <v>#DIV/0!</v>
      </c>
      <c r="P1577" s="1098" t="e">
        <f>IF($D$1212="",0,$D1577*Table3[[#This Row],[CF]]*chronic_consumption!$K377/1000/$C$3)</f>
        <v>#DIV/0!</v>
      </c>
      <c r="Q1577" s="1098" t="e">
        <f>IF($D$1212="",0,$D1577*Table3[[#This Row],[CF]]*chronic_consumption!$L377/1000/$C$3)</f>
        <v>#DIV/0!</v>
      </c>
      <c r="R1577" s="1098" t="e">
        <f>IF($D$1212="",0,$D1577*Table3[[#This Row],[CF]]*chronic_consumption!$M377/1000/$C$3)</f>
        <v>#DIV/0!</v>
      </c>
      <c r="S1577" s="1098" t="e">
        <f>IF($D$1212="",0,$D1577*Table3[[#This Row],[CF]]*chronic_consumption!$N377/1000/$C$3)</f>
        <v>#DIV/0!</v>
      </c>
      <c r="T1577" s="1098" t="e">
        <f>IF($D$1212="",0,$D1577*Table3[[#This Row],[CF]]*chronic_consumption!$O377/1000/$C$3)</f>
        <v>#DIV/0!</v>
      </c>
      <c r="U1577" s="1098" t="e">
        <f>IF($D$1212="",0,$D1577*Table3[[#This Row],[CF]]*chronic_consumption!$P377/1000/$C$3)</f>
        <v>#DIV/0!</v>
      </c>
      <c r="V1577" s="1098" t="e">
        <f>IF($D$1212="",0,$D1577*Table3[[#This Row],[CF]]*chronic_consumption!$Q377/1000/$C$3)</f>
        <v>#DIV/0!</v>
      </c>
      <c r="W1577" s="1098" t="e">
        <f>IF($D$1212="",0,$D1577*Table3[[#This Row],[CF]]*chronic_consumption!$R377/1000/$C$3)</f>
        <v>#DIV/0!</v>
      </c>
      <c r="X1577" s="1098" t="e">
        <f>IF($D$1212="",0,$D1577*Table3[[#This Row],[CF]]*chronic_consumption!$S377/1000/$C$3)</f>
        <v>#DIV/0!</v>
      </c>
      <c r="Y1577" s="1098" t="e">
        <f>IF($D$1212="",0,$D1577*Table3[[#This Row],[CF]]*chronic_consumption!$T377/1000/$C$3)</f>
        <v>#DIV/0!</v>
      </c>
      <c r="Z1577" s="1098" t="e">
        <f>IF($D$1212="",0,$D1577*Table3[[#This Row],[CF]]*chronic_consumption!$U377/1000/$C$3)</f>
        <v>#DIV/0!</v>
      </c>
      <c r="AA1577" s="1098" t="e">
        <f>IF($D$1212="",0,$D1577*Table3[[#This Row],[CF]]*chronic_consumption!$V377/1000/$C$3)</f>
        <v>#DIV/0!</v>
      </c>
      <c r="AB1577" s="1098" t="e">
        <f>IF($D$1212="",0,$D1577*Table3[[#This Row],[CF]]*chronic_consumption!$W377/1000/$C$3)</f>
        <v>#DIV/0!</v>
      </c>
      <c r="AC1577" s="1098" t="e">
        <f>IF($D$1212="",0,$D1577*Table3[[#This Row],[CF]]*chronic_consumption!$X377/1000/$C$3)</f>
        <v>#DIV/0!</v>
      </c>
      <c r="AD1577" s="1098" t="e">
        <f>IF($D$1212="",0,$D1577*Table3[[#This Row],[CF]]*chronic_consumption!$Y377/1000/$C$3)</f>
        <v>#DIV/0!</v>
      </c>
      <c r="AE1577" s="1098" t="e">
        <f>IF($D$1212="",0,$D1577*Table3[[#This Row],[CF]]*chronic_consumption!$Z377/1000/$C$3)</f>
        <v>#DIV/0!</v>
      </c>
      <c r="AF1577" s="1098" t="e">
        <f>IF($D$1212="",0,$D1577*Table3[[#This Row],[CF]]*chronic_consumption!$AA377/1000/$C$3)</f>
        <v>#DIV/0!</v>
      </c>
      <c r="AG1577" s="1098" t="e">
        <f>IF($D$1212="",0,$D1577*Table3[[#This Row],[CF]]*chronic_consumption!$AB377/1000/$C$3)</f>
        <v>#DIV/0!</v>
      </c>
      <c r="AH1577" s="1098" t="e">
        <f>IF($D$1212="",0,$D1577*Table3[[#This Row],[CF]]*chronic_consumption!$AC377/1000/$C$3)</f>
        <v>#DIV/0!</v>
      </c>
      <c r="AI1577" s="1098" t="e">
        <f>IF($D$1212="",0,$D1577*Table3[[#This Row],[CF]]*chronic_consumption!$AD377/1000/$C$3)</f>
        <v>#DIV/0!</v>
      </c>
      <c r="AJ1577" s="1098" t="e">
        <f>IF($D$1212="",0,$D1577*Table3[[#This Row],[CF]]*chronic_consumption!$AE377/1000/$C$3)</f>
        <v>#DIV/0!</v>
      </c>
      <c r="AK1577" s="1098" t="e">
        <f>IF($D$1212="",0,$D1577*Table3[[#This Row],[CF]]*chronic_consumption!$AF377/1000/$C$3)</f>
        <v>#DIV/0!</v>
      </c>
      <c r="AL1577" s="1098" t="e">
        <f>IF($D$1212="",0,$D1577*Table3[[#This Row],[CF]]*chronic_consumption!$AG377/1000/$C$3)</f>
        <v>#DIV/0!</v>
      </c>
      <c r="AM1577" s="1098" t="e">
        <f>IF($D$1212="",0,$D1577*Table3[[#This Row],[CF]]*chronic_consumption!$AH377/1000/$C$3)</f>
        <v>#DIV/0!</v>
      </c>
      <c r="AN1577" s="1098" t="e">
        <f>IF($D$1212="",0,$D1577*Table3[[#This Row],[CF]]*chronic_consumption!$AI377/1000/$C$3)</f>
        <v>#DIV/0!</v>
      </c>
      <c r="AO1577" s="1098" t="e">
        <f>IF($D$1212="",0,$D1577*Table3[[#This Row],[CF]]*chronic_consumption!$AJ377/1000/$C$3)</f>
        <v>#DIV/0!</v>
      </c>
      <c r="AP1577" s="1098" t="e">
        <f>IF($D$1212="",0,$D1577*Table3[[#This Row],[CF]]*chronic_consumption!$AK377/1000/$C$3)</f>
        <v>#DIV/0!</v>
      </c>
      <c r="AQ1577" s="1098" t="e">
        <f>IF($D$1212="",0,$D1577*Table3[[#This Row],[CF]]*chronic_consumption!$AL377/1000/$C$3)</f>
        <v>#DIV/0!</v>
      </c>
      <c r="AR1577" s="1098" t="e">
        <f>IF($D$1212="",0,$D1577*Table3[[#This Row],[CF]]*chronic_consumption!$AM377/1000/$C$3)</f>
        <v>#DIV/0!</v>
      </c>
      <c r="AS1577" s="1098" t="e">
        <f>IF($D$1212="",0,$D1577*Table3[[#This Row],[CF]]*chronic_consumption!$AN377/1000/$C$3)</f>
        <v>#DIV/0!</v>
      </c>
      <c r="AT1577" s="1098" t="e">
        <f>IF($D$1212="",0,$D1577*Table3[[#This Row],[CF]]*chronic_consumption!$AO377/1000/$C$3)</f>
        <v>#DIV/0!</v>
      </c>
      <c r="AU1577" s="1099" t="e">
        <f t="shared" si="896"/>
        <v>#DIV/0!</v>
      </c>
      <c r="AV1577" s="1099" t="e">
        <f t="shared" si="896"/>
        <v>#DIV/0!</v>
      </c>
      <c r="AW1577" s="1099" t="e">
        <f t="shared" si="896"/>
        <v>#DIV/0!</v>
      </c>
      <c r="AX1577" s="1099" t="e">
        <f t="shared" si="896"/>
        <v>#DIV/0!</v>
      </c>
      <c r="AY1577" s="1099" t="e">
        <f t="shared" si="896"/>
        <v>#DIV/0!</v>
      </c>
      <c r="AZ1577" s="1091" t="s">
        <v>1012</v>
      </c>
      <c r="BA1577" s="1097" t="e">
        <f>IF(Table3[[#This Row],[max]]&lt;&gt;0,RANK(Table3[[#This Row],[max]],Table3[max],0),"")</f>
        <v>#DIV/0!</v>
      </c>
      <c r="BB1577" s="1096" t="e">
        <f t="shared" si="889"/>
        <v>#DIV/0!</v>
      </c>
      <c r="BC1577" s="1096" t="e">
        <f t="shared" ca="1" si="890"/>
        <v>#DIV/0!</v>
      </c>
      <c r="BD1577" s="1096" t="e">
        <f>IF(Table3[[#This Row],[max]]&gt;0,Table3[[#This Row],[Crop groups and examples of individual products within the groups to which the MRLs apply]],"")</f>
        <v>#DIV/0!</v>
      </c>
    </row>
    <row r="1578" spans="2:56" x14ac:dyDescent="0.2">
      <c r="B1578" s="23">
        <f t="shared" si="895"/>
        <v>1020040</v>
      </c>
      <c r="C1578" s="23" t="str">
        <f t="shared" si="895"/>
        <v xml:space="preserve">Milk: Horse </v>
      </c>
      <c r="D1578" s="1084">
        <f>input_values!E378</f>
        <v>0</v>
      </c>
      <c r="E1578" s="1084">
        <f>input_values!F378</f>
        <v>0</v>
      </c>
      <c r="F1578" s="1085">
        <f>input_values!W378</f>
        <v>1</v>
      </c>
      <c r="G1578" s="1085" t="str">
        <f>IF(Table3[[#This Row],[CF]]&gt;0,CONCATENATE(IF(Table3[[#This Row],[LOQ]]="*","LOQ","MRL"),IF(input_values!G378&gt;0,"×CFrisk","")),"")</f>
        <v>MRL</v>
      </c>
      <c r="H1578" s="1087">
        <f>input_values!L378</f>
        <v>0</v>
      </c>
      <c r="I1578" s="1088">
        <f>input_values!D378</f>
        <v>0</v>
      </c>
      <c r="J1578" s="1098" t="e">
        <f>IF($D$1212="",0,$D1578*Table3[[#This Row],[CF]]*chronic_consumption!$E378/1000/$C$3)</f>
        <v>#DIV/0!</v>
      </c>
      <c r="K1578" s="1098" t="e">
        <f>IF($D$1212="",0,$D1578*Table3[[#This Row],[CF]]*chronic_consumption!$F378/1000/$C$3)</f>
        <v>#DIV/0!</v>
      </c>
      <c r="L1578" s="1098" t="e">
        <f>IF($D$1212="",0,$D1578*Table3[[#This Row],[CF]]*chronic_consumption!$G378/1000/$C$3)</f>
        <v>#DIV/0!</v>
      </c>
      <c r="M1578" s="1098" t="e">
        <f>IF($D$1212="",0,$D1578*Table3[[#This Row],[CF]]*chronic_consumption!$H378/1000/$C$3)</f>
        <v>#DIV/0!</v>
      </c>
      <c r="N1578" s="1098" t="e">
        <f>IF($D$1212="",0,$D1578*Table3[[#This Row],[CF]]*chronic_consumption!$I378/1000/$C$3)</f>
        <v>#DIV/0!</v>
      </c>
      <c r="O1578" s="1098" t="e">
        <f>IF($D$1212="",0,$D1578*Table3[[#This Row],[CF]]*chronic_consumption!$J378/1000/$C$3)</f>
        <v>#DIV/0!</v>
      </c>
      <c r="P1578" s="1098" t="e">
        <f>IF($D$1212="",0,$D1578*Table3[[#This Row],[CF]]*chronic_consumption!$K378/1000/$C$3)</f>
        <v>#DIV/0!</v>
      </c>
      <c r="Q1578" s="1098" t="e">
        <f>IF($D$1212="",0,$D1578*Table3[[#This Row],[CF]]*chronic_consumption!$L378/1000/$C$3)</f>
        <v>#DIV/0!</v>
      </c>
      <c r="R1578" s="1098" t="e">
        <f>IF($D$1212="",0,$D1578*Table3[[#This Row],[CF]]*chronic_consumption!$M378/1000/$C$3)</f>
        <v>#DIV/0!</v>
      </c>
      <c r="S1578" s="1098" t="e">
        <f>IF($D$1212="",0,$D1578*Table3[[#This Row],[CF]]*chronic_consumption!$N378/1000/$C$3)</f>
        <v>#DIV/0!</v>
      </c>
      <c r="T1578" s="1098" t="e">
        <f>IF($D$1212="",0,$D1578*Table3[[#This Row],[CF]]*chronic_consumption!$O378/1000/$C$3)</f>
        <v>#DIV/0!</v>
      </c>
      <c r="U1578" s="1098" t="e">
        <f>IF($D$1212="",0,$D1578*Table3[[#This Row],[CF]]*chronic_consumption!$P378/1000/$C$3)</f>
        <v>#DIV/0!</v>
      </c>
      <c r="V1578" s="1098" t="e">
        <f>IF($D$1212="",0,$D1578*Table3[[#This Row],[CF]]*chronic_consumption!$Q378/1000/$C$3)</f>
        <v>#DIV/0!</v>
      </c>
      <c r="W1578" s="1098" t="e">
        <f>IF($D$1212="",0,$D1578*Table3[[#This Row],[CF]]*chronic_consumption!$R378/1000/$C$3)</f>
        <v>#DIV/0!</v>
      </c>
      <c r="X1578" s="1098" t="e">
        <f>IF($D$1212="",0,$D1578*Table3[[#This Row],[CF]]*chronic_consumption!$S378/1000/$C$3)</f>
        <v>#DIV/0!</v>
      </c>
      <c r="Y1578" s="1098" t="e">
        <f>IF($D$1212="",0,$D1578*Table3[[#This Row],[CF]]*chronic_consumption!$T378/1000/$C$3)</f>
        <v>#DIV/0!</v>
      </c>
      <c r="Z1578" s="1098" t="e">
        <f>IF($D$1212="",0,$D1578*Table3[[#This Row],[CF]]*chronic_consumption!$U378/1000/$C$3)</f>
        <v>#DIV/0!</v>
      </c>
      <c r="AA1578" s="1098" t="e">
        <f>IF($D$1212="",0,$D1578*Table3[[#This Row],[CF]]*chronic_consumption!$V378/1000/$C$3)</f>
        <v>#DIV/0!</v>
      </c>
      <c r="AB1578" s="1098" t="e">
        <f>IF($D$1212="",0,$D1578*Table3[[#This Row],[CF]]*chronic_consumption!$W378/1000/$C$3)</f>
        <v>#DIV/0!</v>
      </c>
      <c r="AC1578" s="1098" t="e">
        <f>IF($D$1212="",0,$D1578*Table3[[#This Row],[CF]]*chronic_consumption!$X378/1000/$C$3)</f>
        <v>#DIV/0!</v>
      </c>
      <c r="AD1578" s="1098" t="e">
        <f>IF($D$1212="",0,$D1578*Table3[[#This Row],[CF]]*chronic_consumption!$Y378/1000/$C$3)</f>
        <v>#DIV/0!</v>
      </c>
      <c r="AE1578" s="1098" t="e">
        <f>IF($D$1212="",0,$D1578*Table3[[#This Row],[CF]]*chronic_consumption!$Z378/1000/$C$3)</f>
        <v>#DIV/0!</v>
      </c>
      <c r="AF1578" s="1098" t="e">
        <f>IF($D$1212="",0,$D1578*Table3[[#This Row],[CF]]*chronic_consumption!$AA378/1000/$C$3)</f>
        <v>#DIV/0!</v>
      </c>
      <c r="AG1578" s="1098" t="e">
        <f>IF($D$1212="",0,$D1578*Table3[[#This Row],[CF]]*chronic_consumption!$AB378/1000/$C$3)</f>
        <v>#DIV/0!</v>
      </c>
      <c r="AH1578" s="1098" t="e">
        <f>IF($D$1212="",0,$D1578*Table3[[#This Row],[CF]]*chronic_consumption!$AC378/1000/$C$3)</f>
        <v>#DIV/0!</v>
      </c>
      <c r="AI1578" s="1098" t="e">
        <f>IF($D$1212="",0,$D1578*Table3[[#This Row],[CF]]*chronic_consumption!$AD378/1000/$C$3)</f>
        <v>#DIV/0!</v>
      </c>
      <c r="AJ1578" s="1098" t="e">
        <f>IF($D$1212="",0,$D1578*Table3[[#This Row],[CF]]*chronic_consumption!$AE378/1000/$C$3)</f>
        <v>#DIV/0!</v>
      </c>
      <c r="AK1578" s="1098" t="e">
        <f>IF($D$1212="",0,$D1578*Table3[[#This Row],[CF]]*chronic_consumption!$AF378/1000/$C$3)</f>
        <v>#DIV/0!</v>
      </c>
      <c r="AL1578" s="1098" t="e">
        <f>IF($D$1212="",0,$D1578*Table3[[#This Row],[CF]]*chronic_consumption!$AG378/1000/$C$3)</f>
        <v>#DIV/0!</v>
      </c>
      <c r="AM1578" s="1098" t="e">
        <f>IF($D$1212="",0,$D1578*Table3[[#This Row],[CF]]*chronic_consumption!$AH378/1000/$C$3)</f>
        <v>#DIV/0!</v>
      </c>
      <c r="AN1578" s="1098" t="e">
        <f>IF($D$1212="",0,$D1578*Table3[[#This Row],[CF]]*chronic_consumption!$AI378/1000/$C$3)</f>
        <v>#DIV/0!</v>
      </c>
      <c r="AO1578" s="1098" t="e">
        <f>IF($D$1212="",0,$D1578*Table3[[#This Row],[CF]]*chronic_consumption!$AJ378/1000/$C$3)</f>
        <v>#DIV/0!</v>
      </c>
      <c r="AP1578" s="1098" t="e">
        <f>IF($D$1212="",0,$D1578*Table3[[#This Row],[CF]]*chronic_consumption!$AK378/1000/$C$3)</f>
        <v>#DIV/0!</v>
      </c>
      <c r="AQ1578" s="1098" t="e">
        <f>IF($D$1212="",0,$D1578*Table3[[#This Row],[CF]]*chronic_consumption!$AL378/1000/$C$3)</f>
        <v>#DIV/0!</v>
      </c>
      <c r="AR1578" s="1098" t="e">
        <f>IF($D$1212="",0,$D1578*Table3[[#This Row],[CF]]*chronic_consumption!$AM378/1000/$C$3)</f>
        <v>#DIV/0!</v>
      </c>
      <c r="AS1578" s="1098" t="e">
        <f>IF($D$1212="",0,$D1578*Table3[[#This Row],[CF]]*chronic_consumption!$AN378/1000/$C$3)</f>
        <v>#DIV/0!</v>
      </c>
      <c r="AT1578" s="1098" t="e">
        <f>IF($D$1212="",0,$D1578*Table3[[#This Row],[CF]]*chronic_consumption!$AO378/1000/$C$3)</f>
        <v>#DIV/0!</v>
      </c>
      <c r="AU1578" s="1099" t="e">
        <f t="shared" si="896"/>
        <v>#DIV/0!</v>
      </c>
      <c r="AV1578" s="1099" t="e">
        <f t="shared" si="896"/>
        <v>#DIV/0!</v>
      </c>
      <c r="AW1578" s="1099" t="e">
        <f t="shared" si="896"/>
        <v>#DIV/0!</v>
      </c>
      <c r="AX1578" s="1099" t="e">
        <f t="shared" si="896"/>
        <v>#DIV/0!</v>
      </c>
      <c r="AY1578" s="1099" t="e">
        <f t="shared" si="896"/>
        <v>#DIV/0!</v>
      </c>
      <c r="AZ1578" s="1091" t="s">
        <v>1012</v>
      </c>
      <c r="BA1578" s="1097" t="e">
        <f>IF(Table3[[#This Row],[max]]&lt;&gt;0,RANK(Table3[[#This Row],[max]],Table3[max],0),"")</f>
        <v>#DIV/0!</v>
      </c>
      <c r="BB1578" s="1096" t="e">
        <f t="shared" si="889"/>
        <v>#DIV/0!</v>
      </c>
      <c r="BC1578" s="1096" t="e">
        <f t="shared" ca="1" si="890"/>
        <v>#DIV/0!</v>
      </c>
      <c r="BD1578" s="1096" t="e">
        <f>IF(Table3[[#This Row],[max]]&gt;0,Table3[[#This Row],[Crop groups and examples of individual products within the groups to which the MRLs apply]],"")</f>
        <v>#DIV/0!</v>
      </c>
    </row>
    <row r="1579" spans="2:56" x14ac:dyDescent="0.2">
      <c r="B1579" s="23">
        <f t="shared" si="895"/>
        <v>1020990</v>
      </c>
      <c r="C1579" s="23" t="str">
        <f t="shared" si="895"/>
        <v xml:space="preserve">Milk: Others </v>
      </c>
      <c r="D1579" s="1084">
        <f>input_values!E379</f>
        <v>0</v>
      </c>
      <c r="E1579" s="1084">
        <f>input_values!F379</f>
        <v>0</v>
      </c>
      <c r="F1579" s="1085">
        <f>input_values!W379</f>
        <v>1</v>
      </c>
      <c r="G1579" s="1085" t="str">
        <f>IF(Table3[[#This Row],[CF]]&gt;0,CONCATENATE(IF(Table3[[#This Row],[LOQ]]="*","LOQ","MRL"),IF(input_values!G379&gt;0,"×CFrisk","")),"")</f>
        <v>MRL</v>
      </c>
      <c r="H1579" s="1087">
        <f>input_values!L379</f>
        <v>0</v>
      </c>
      <c r="I1579" s="1088">
        <f>input_values!D379</f>
        <v>0</v>
      </c>
      <c r="J1579" s="1098" t="e">
        <f>IF($D$1212="",0,$D1579*Table3[[#This Row],[CF]]*chronic_consumption!$E379/1000/$C$3)</f>
        <v>#DIV/0!</v>
      </c>
      <c r="K1579" s="1098" t="e">
        <f>IF($D$1212="",0,$D1579*Table3[[#This Row],[CF]]*chronic_consumption!$F379/1000/$C$3)</f>
        <v>#DIV/0!</v>
      </c>
      <c r="L1579" s="1098" t="e">
        <f>IF($D$1212="",0,$D1579*Table3[[#This Row],[CF]]*chronic_consumption!$G379/1000/$C$3)</f>
        <v>#DIV/0!</v>
      </c>
      <c r="M1579" s="1098" t="e">
        <f>IF($D$1212="",0,$D1579*Table3[[#This Row],[CF]]*chronic_consumption!$H379/1000/$C$3)</f>
        <v>#DIV/0!</v>
      </c>
      <c r="N1579" s="1098" t="e">
        <f>IF($D$1212="",0,$D1579*Table3[[#This Row],[CF]]*chronic_consumption!$I379/1000/$C$3)</f>
        <v>#DIV/0!</v>
      </c>
      <c r="O1579" s="1098" t="e">
        <f>IF($D$1212="",0,$D1579*Table3[[#This Row],[CF]]*chronic_consumption!$J379/1000/$C$3)</f>
        <v>#DIV/0!</v>
      </c>
      <c r="P1579" s="1098" t="e">
        <f>IF($D$1212="",0,$D1579*Table3[[#This Row],[CF]]*chronic_consumption!$K379/1000/$C$3)</f>
        <v>#DIV/0!</v>
      </c>
      <c r="Q1579" s="1098" t="e">
        <f>IF($D$1212="",0,$D1579*Table3[[#This Row],[CF]]*chronic_consumption!$L379/1000/$C$3)</f>
        <v>#DIV/0!</v>
      </c>
      <c r="R1579" s="1098" t="e">
        <f>IF($D$1212="",0,$D1579*Table3[[#This Row],[CF]]*chronic_consumption!$M379/1000/$C$3)</f>
        <v>#DIV/0!</v>
      </c>
      <c r="S1579" s="1098" t="e">
        <f>IF($D$1212="",0,$D1579*Table3[[#This Row],[CF]]*chronic_consumption!$N379/1000/$C$3)</f>
        <v>#DIV/0!</v>
      </c>
      <c r="T1579" s="1098" t="e">
        <f>IF($D$1212="",0,$D1579*Table3[[#This Row],[CF]]*chronic_consumption!$O379/1000/$C$3)</f>
        <v>#DIV/0!</v>
      </c>
      <c r="U1579" s="1098" t="e">
        <f>IF($D$1212="",0,$D1579*Table3[[#This Row],[CF]]*chronic_consumption!$P379/1000/$C$3)</f>
        <v>#DIV/0!</v>
      </c>
      <c r="V1579" s="1098" t="e">
        <f>IF($D$1212="",0,$D1579*Table3[[#This Row],[CF]]*chronic_consumption!$Q379/1000/$C$3)</f>
        <v>#DIV/0!</v>
      </c>
      <c r="W1579" s="1098" t="e">
        <f>IF($D$1212="",0,$D1579*Table3[[#This Row],[CF]]*chronic_consumption!$R379/1000/$C$3)</f>
        <v>#DIV/0!</v>
      </c>
      <c r="X1579" s="1098" t="e">
        <f>IF($D$1212="",0,$D1579*Table3[[#This Row],[CF]]*chronic_consumption!$S379/1000/$C$3)</f>
        <v>#DIV/0!</v>
      </c>
      <c r="Y1579" s="1098" t="e">
        <f>IF($D$1212="",0,$D1579*Table3[[#This Row],[CF]]*chronic_consumption!$T379/1000/$C$3)</f>
        <v>#DIV/0!</v>
      </c>
      <c r="Z1579" s="1098" t="e">
        <f>IF($D$1212="",0,$D1579*Table3[[#This Row],[CF]]*chronic_consumption!$U379/1000/$C$3)</f>
        <v>#DIV/0!</v>
      </c>
      <c r="AA1579" s="1098" t="e">
        <f>IF($D$1212="",0,$D1579*Table3[[#This Row],[CF]]*chronic_consumption!$V379/1000/$C$3)</f>
        <v>#DIV/0!</v>
      </c>
      <c r="AB1579" s="1098" t="e">
        <f>IF($D$1212="",0,$D1579*Table3[[#This Row],[CF]]*chronic_consumption!$W379/1000/$C$3)</f>
        <v>#DIV/0!</v>
      </c>
      <c r="AC1579" s="1098" t="e">
        <f>IF($D$1212="",0,$D1579*Table3[[#This Row],[CF]]*chronic_consumption!$X379/1000/$C$3)</f>
        <v>#DIV/0!</v>
      </c>
      <c r="AD1579" s="1098" t="e">
        <f>IF($D$1212="",0,$D1579*Table3[[#This Row],[CF]]*chronic_consumption!$Y379/1000/$C$3)</f>
        <v>#DIV/0!</v>
      </c>
      <c r="AE1579" s="1098" t="e">
        <f>IF($D$1212="",0,$D1579*Table3[[#This Row],[CF]]*chronic_consumption!$Z379/1000/$C$3)</f>
        <v>#DIV/0!</v>
      </c>
      <c r="AF1579" s="1098" t="e">
        <f>IF($D$1212="",0,$D1579*Table3[[#This Row],[CF]]*chronic_consumption!$AA379/1000/$C$3)</f>
        <v>#DIV/0!</v>
      </c>
      <c r="AG1579" s="1098" t="e">
        <f>IF($D$1212="",0,$D1579*Table3[[#This Row],[CF]]*chronic_consumption!$AB379/1000/$C$3)</f>
        <v>#DIV/0!</v>
      </c>
      <c r="AH1579" s="1098" t="e">
        <f>IF($D$1212="",0,$D1579*Table3[[#This Row],[CF]]*chronic_consumption!$AC379/1000/$C$3)</f>
        <v>#DIV/0!</v>
      </c>
      <c r="AI1579" s="1098" t="e">
        <f>IF($D$1212="",0,$D1579*Table3[[#This Row],[CF]]*chronic_consumption!$AD379/1000/$C$3)</f>
        <v>#DIV/0!</v>
      </c>
      <c r="AJ1579" s="1098" t="e">
        <f>IF($D$1212="",0,$D1579*Table3[[#This Row],[CF]]*chronic_consumption!$AE379/1000/$C$3)</f>
        <v>#DIV/0!</v>
      </c>
      <c r="AK1579" s="1098" t="e">
        <f>IF($D$1212="",0,$D1579*Table3[[#This Row],[CF]]*chronic_consumption!$AF379/1000/$C$3)</f>
        <v>#DIV/0!</v>
      </c>
      <c r="AL1579" s="1098" t="e">
        <f>IF($D$1212="",0,$D1579*Table3[[#This Row],[CF]]*chronic_consumption!$AG379/1000/$C$3)</f>
        <v>#DIV/0!</v>
      </c>
      <c r="AM1579" s="1098" t="e">
        <f>IF($D$1212="",0,$D1579*Table3[[#This Row],[CF]]*chronic_consumption!$AH379/1000/$C$3)</f>
        <v>#DIV/0!</v>
      </c>
      <c r="AN1579" s="1098" t="e">
        <f>IF($D$1212="",0,$D1579*Table3[[#This Row],[CF]]*chronic_consumption!$AI379/1000/$C$3)</f>
        <v>#DIV/0!</v>
      </c>
      <c r="AO1579" s="1098" t="e">
        <f>IF($D$1212="",0,$D1579*Table3[[#This Row],[CF]]*chronic_consumption!$AJ379/1000/$C$3)</f>
        <v>#DIV/0!</v>
      </c>
      <c r="AP1579" s="1098" t="e">
        <f>IF($D$1212="",0,$D1579*Table3[[#This Row],[CF]]*chronic_consumption!$AK379/1000/$C$3)</f>
        <v>#DIV/0!</v>
      </c>
      <c r="AQ1579" s="1098" t="e">
        <f>IF($D$1212="",0,$D1579*Table3[[#This Row],[CF]]*chronic_consumption!$AL379/1000/$C$3)</f>
        <v>#DIV/0!</v>
      </c>
      <c r="AR1579" s="1098" t="e">
        <f>IF($D$1212="",0,$D1579*Table3[[#This Row],[CF]]*chronic_consumption!$AM379/1000/$C$3)</f>
        <v>#DIV/0!</v>
      </c>
      <c r="AS1579" s="1098" t="e">
        <f>IF($D$1212="",0,$D1579*Table3[[#This Row],[CF]]*chronic_consumption!$AN379/1000/$C$3)</f>
        <v>#DIV/0!</v>
      </c>
      <c r="AT1579" s="1098" t="e">
        <f>IF($D$1212="",0,$D1579*Table3[[#This Row],[CF]]*chronic_consumption!$AO379/1000/$C$3)</f>
        <v>#DIV/0!</v>
      </c>
      <c r="AU1579" s="1099" t="e">
        <f t="shared" si="896"/>
        <v>#DIV/0!</v>
      </c>
      <c r="AV1579" s="1099" t="e">
        <f t="shared" si="896"/>
        <v>#DIV/0!</v>
      </c>
      <c r="AW1579" s="1099" t="e">
        <f t="shared" si="896"/>
        <v>#DIV/0!</v>
      </c>
      <c r="AX1579" s="1099" t="e">
        <f t="shared" si="896"/>
        <v>#DIV/0!</v>
      </c>
      <c r="AY1579" s="1099" t="e">
        <f t="shared" si="896"/>
        <v>#DIV/0!</v>
      </c>
      <c r="AZ1579" s="1091" t="s">
        <v>1012</v>
      </c>
      <c r="BA1579" s="1097" t="e">
        <f>IF(Table3[[#This Row],[max]]&lt;&gt;0,RANK(Table3[[#This Row],[max]],Table3[max],0),"")</f>
        <v>#DIV/0!</v>
      </c>
      <c r="BB1579" s="1096" t="e">
        <f t="shared" si="889"/>
        <v>#DIV/0!</v>
      </c>
      <c r="BC1579" s="1096" t="e">
        <f t="shared" ca="1" si="890"/>
        <v>#DIV/0!</v>
      </c>
      <c r="BD1579" s="1096" t="e">
        <f>IF(Table3[[#This Row],[max]]&gt;0,Table3[[#This Row],[Crop groups and examples of individual products within the groups to which the MRLs apply]],"")</f>
        <v>#DIV/0!</v>
      </c>
    </row>
    <row r="1580" spans="2:56" x14ac:dyDescent="0.2">
      <c r="B1580" s="131">
        <f t="shared" si="895"/>
        <v>1030000</v>
      </c>
      <c r="C1580" s="131" t="str">
        <f t="shared" si="895"/>
        <v>Birds eggs</v>
      </c>
      <c r="D1580" s="1084">
        <f>input_values!E380</f>
        <v>0</v>
      </c>
      <c r="E1580" s="1084">
        <f>input_values!F380</f>
        <v>0</v>
      </c>
      <c r="F1580" s="1085">
        <f>input_values!W380</f>
        <v>0</v>
      </c>
      <c r="G1580" s="1085" t="str">
        <f>IF(Table3[[#This Row],[CF]]&gt;0,CONCATENATE(IF(Table3[[#This Row],[LOQ]]="*","LOQ","MRL"),IF(input_values!G380&gt;0,"×CFrisk","")),"")</f>
        <v/>
      </c>
      <c r="H1580" s="1087">
        <f>input_values!L380</f>
        <v>0</v>
      </c>
      <c r="I1580" s="1088">
        <f>input_values!D380</f>
        <v>0</v>
      </c>
      <c r="J1580" s="1095" t="e">
        <f>IF($D$1212="",0,$D1580*Table3[[#This Row],[CF]]*chronic_consumption!$E380/1000/$C$3)</f>
        <v>#DIV/0!</v>
      </c>
      <c r="K1580" s="1095" t="e">
        <f>IF($D$1212="",0,$D1580*Table3[[#This Row],[CF]]*chronic_consumption!$F380/1000/$C$3)</f>
        <v>#DIV/0!</v>
      </c>
      <c r="L1580" s="1095" t="e">
        <f>IF($D$1212="",0,$D1580*Table3[[#This Row],[CF]]*chronic_consumption!$G380/1000/$C$3)</f>
        <v>#DIV/0!</v>
      </c>
      <c r="M1580" s="1095" t="e">
        <f>IF($D$1212="",0,$D1580*Table3[[#This Row],[CF]]*chronic_consumption!$H380/1000/$C$3)</f>
        <v>#DIV/0!</v>
      </c>
      <c r="N1580" s="1095" t="e">
        <f>IF($D$1212="",0,$D1580*Table3[[#This Row],[CF]]*chronic_consumption!$I380/1000/$C$3)</f>
        <v>#DIV/0!</v>
      </c>
      <c r="O1580" s="1095" t="e">
        <f>IF($D$1212="",0,$D1580*Table3[[#This Row],[CF]]*chronic_consumption!$J380/1000/$C$3)</f>
        <v>#DIV/0!</v>
      </c>
      <c r="P1580" s="1095" t="e">
        <f>IF($D$1212="",0,$D1580*Table3[[#This Row],[CF]]*chronic_consumption!$K380/1000/$C$3)</f>
        <v>#DIV/0!</v>
      </c>
      <c r="Q1580" s="1095" t="e">
        <f>IF($D$1212="",0,$D1580*Table3[[#This Row],[CF]]*chronic_consumption!$L380/1000/$C$3)</f>
        <v>#DIV/0!</v>
      </c>
      <c r="R1580" s="1095" t="e">
        <f>IF($D$1212="",0,$D1580*Table3[[#This Row],[CF]]*chronic_consumption!$M380/1000/$C$3)</f>
        <v>#DIV/0!</v>
      </c>
      <c r="S1580" s="1095" t="e">
        <f>IF($D$1212="",0,$D1580*Table3[[#This Row],[CF]]*chronic_consumption!$N380/1000/$C$3)</f>
        <v>#DIV/0!</v>
      </c>
      <c r="T1580" s="1095" t="e">
        <f>IF($D$1212="",0,$D1580*Table3[[#This Row],[CF]]*chronic_consumption!$O380/1000/$C$3)</f>
        <v>#DIV/0!</v>
      </c>
      <c r="U1580" s="1095" t="e">
        <f>IF($D$1212="",0,$D1580*Table3[[#This Row],[CF]]*chronic_consumption!$P380/1000/$C$3)</f>
        <v>#DIV/0!</v>
      </c>
      <c r="V1580" s="1095" t="e">
        <f>IF($D$1212="",0,$D1580*Table3[[#This Row],[CF]]*chronic_consumption!$Q380/1000/$C$3)</f>
        <v>#DIV/0!</v>
      </c>
      <c r="W1580" s="1095" t="e">
        <f>IF($D$1212="",0,$D1580*Table3[[#This Row],[CF]]*chronic_consumption!$R380/1000/$C$3)</f>
        <v>#DIV/0!</v>
      </c>
      <c r="X1580" s="1095" t="e">
        <f>IF($D$1212="",0,$D1580*Table3[[#This Row],[CF]]*chronic_consumption!$S380/1000/$C$3)</f>
        <v>#DIV/0!</v>
      </c>
      <c r="Y1580" s="1095" t="e">
        <f>IF($D$1212="",0,$D1580*Table3[[#This Row],[CF]]*chronic_consumption!$T380/1000/$C$3)</f>
        <v>#DIV/0!</v>
      </c>
      <c r="Z1580" s="1095" t="e">
        <f>IF($D$1212="",0,$D1580*Table3[[#This Row],[CF]]*chronic_consumption!$U380/1000/$C$3)</f>
        <v>#DIV/0!</v>
      </c>
      <c r="AA1580" s="1095" t="e">
        <f>IF($D$1212="",0,$D1580*Table3[[#This Row],[CF]]*chronic_consumption!$V380/1000/$C$3)</f>
        <v>#DIV/0!</v>
      </c>
      <c r="AB1580" s="1095" t="e">
        <f>IF($D$1212="",0,$D1580*Table3[[#This Row],[CF]]*chronic_consumption!$W380/1000/$C$3)</f>
        <v>#DIV/0!</v>
      </c>
      <c r="AC1580" s="1095" t="e">
        <f>IF($D$1212="",0,$D1580*Table3[[#This Row],[CF]]*chronic_consumption!$X380/1000/$C$3)</f>
        <v>#DIV/0!</v>
      </c>
      <c r="AD1580" s="1095" t="e">
        <f>IF($D$1212="",0,$D1580*Table3[[#This Row],[CF]]*chronic_consumption!$Y380/1000/$C$3)</f>
        <v>#DIV/0!</v>
      </c>
      <c r="AE1580" s="1095" t="e">
        <f>IF($D$1212="",0,$D1580*Table3[[#This Row],[CF]]*chronic_consumption!$Z380/1000/$C$3)</f>
        <v>#DIV/0!</v>
      </c>
      <c r="AF1580" s="1095" t="e">
        <f>IF($D$1212="",0,$D1580*Table3[[#This Row],[CF]]*chronic_consumption!$AA380/1000/$C$3)</f>
        <v>#DIV/0!</v>
      </c>
      <c r="AG1580" s="1095" t="e">
        <f>IF($D$1212="",0,$D1580*Table3[[#This Row],[CF]]*chronic_consumption!$AB380/1000/$C$3)</f>
        <v>#DIV/0!</v>
      </c>
      <c r="AH1580" s="1095" t="e">
        <f>IF($D$1212="",0,$D1580*Table3[[#This Row],[CF]]*chronic_consumption!$AC380/1000/$C$3)</f>
        <v>#DIV/0!</v>
      </c>
      <c r="AI1580" s="1095" t="e">
        <f>IF($D$1212="",0,$D1580*Table3[[#This Row],[CF]]*chronic_consumption!$AD380/1000/$C$3)</f>
        <v>#DIV/0!</v>
      </c>
      <c r="AJ1580" s="1095" t="e">
        <f>IF($D$1212="",0,$D1580*Table3[[#This Row],[CF]]*chronic_consumption!$AE380/1000/$C$3)</f>
        <v>#DIV/0!</v>
      </c>
      <c r="AK1580" s="1095" t="e">
        <f>IF($D$1212="",0,$D1580*Table3[[#This Row],[CF]]*chronic_consumption!$AF380/1000/$C$3)</f>
        <v>#DIV/0!</v>
      </c>
      <c r="AL1580" s="1095" t="e">
        <f>IF($D$1212="",0,$D1580*Table3[[#This Row],[CF]]*chronic_consumption!$AG380/1000/$C$3)</f>
        <v>#DIV/0!</v>
      </c>
      <c r="AM1580" s="1095" t="e">
        <f>IF($D$1212="",0,$D1580*Table3[[#This Row],[CF]]*chronic_consumption!$AH380/1000/$C$3)</f>
        <v>#DIV/0!</v>
      </c>
      <c r="AN1580" s="1095" t="e">
        <f>IF($D$1212="",0,$D1580*Table3[[#This Row],[CF]]*chronic_consumption!$AI380/1000/$C$3)</f>
        <v>#DIV/0!</v>
      </c>
      <c r="AO1580" s="1095" t="e">
        <f>IF($D$1212="",0,$D1580*Table3[[#This Row],[CF]]*chronic_consumption!$AJ380/1000/$C$3)</f>
        <v>#DIV/0!</v>
      </c>
      <c r="AP1580" s="1095" t="e">
        <f>IF($D$1212="",0,$D1580*Table3[[#This Row],[CF]]*chronic_consumption!$AK380/1000/$C$3)</f>
        <v>#DIV/0!</v>
      </c>
      <c r="AQ1580" s="1095" t="e">
        <f>IF($D$1212="",0,$D1580*Table3[[#This Row],[CF]]*chronic_consumption!$AL380/1000/$C$3)</f>
        <v>#DIV/0!</v>
      </c>
      <c r="AR1580" s="1095" t="e">
        <f>IF($D$1212="",0,$D1580*Table3[[#This Row],[CF]]*chronic_consumption!$AM380/1000/$C$3)</f>
        <v>#DIV/0!</v>
      </c>
      <c r="AS1580" s="1095" t="e">
        <f>IF($D$1212="",0,$D1580*Table3[[#This Row],[CF]]*chronic_consumption!$AN380/1000/$C$3)</f>
        <v>#DIV/0!</v>
      </c>
      <c r="AT1580" s="1095" t="e">
        <f>IF($D$1212="",0,$D1580*Table3[[#This Row],[CF]]*chronic_consumption!$AO380/1000/$C$3)</f>
        <v>#DIV/0!</v>
      </c>
      <c r="AU1580" s="1096" t="e">
        <f t="shared" si="896"/>
        <v>#DIV/0!</v>
      </c>
      <c r="AV1580" s="1096" t="e">
        <f t="shared" si="896"/>
        <v>#DIV/0!</v>
      </c>
      <c r="AW1580" s="1096" t="e">
        <f t="shared" si="896"/>
        <v>#DIV/0!</v>
      </c>
      <c r="AX1580" s="1096" t="e">
        <f t="shared" si="896"/>
        <v>#DIV/0!</v>
      </c>
      <c r="AY1580" s="1096" t="e">
        <f t="shared" si="896"/>
        <v>#DIV/0!</v>
      </c>
      <c r="AZ1580" s="1091" t="s">
        <v>1012</v>
      </c>
      <c r="BA1580" s="1097" t="e">
        <f>IF(Table3[[#This Row],[max]]&lt;&gt;0,RANK(Table3[[#This Row],[max]],Table3[max],0),"")</f>
        <v>#DIV/0!</v>
      </c>
      <c r="BB1580" s="1096" t="e">
        <f t="shared" si="889"/>
        <v>#DIV/0!</v>
      </c>
      <c r="BC1580" s="1096" t="e">
        <f t="shared" ca="1" si="890"/>
        <v>#DIV/0!</v>
      </c>
      <c r="BD1580" s="1096" t="e">
        <f>IF(Table3[[#This Row],[max]]&gt;0,Table3[[#This Row],[Crop groups and examples of individual products within the groups to which the MRLs apply]],"")</f>
        <v>#DIV/0!</v>
      </c>
    </row>
    <row r="1581" spans="2:56" x14ac:dyDescent="0.2">
      <c r="B1581" s="23">
        <f t="shared" si="895"/>
        <v>1030010</v>
      </c>
      <c r="C1581" s="23" t="str">
        <f t="shared" si="895"/>
        <v xml:space="preserve">Eggs: Chicken </v>
      </c>
      <c r="D1581" s="1084">
        <f>input_values!E381</f>
        <v>0</v>
      </c>
      <c r="E1581" s="1084">
        <f>input_values!F381</f>
        <v>0</v>
      </c>
      <c r="F1581" s="1085">
        <f>input_values!W381</f>
        <v>1</v>
      </c>
      <c r="G1581" s="1085" t="str">
        <f>IF(Table3[[#This Row],[CF]]&gt;0,CONCATENATE(IF(Table3[[#This Row],[LOQ]]="*","LOQ","MRL"),IF(input_values!G381&gt;0,"×CFrisk","")),"")</f>
        <v>MRL</v>
      </c>
      <c r="H1581" s="1087">
        <f>input_values!L381</f>
        <v>0</v>
      </c>
      <c r="I1581" s="1088">
        <f>input_values!D381</f>
        <v>0</v>
      </c>
      <c r="J1581" s="1098" t="e">
        <f>IF($D$1212="",0,$D1581*Table3[[#This Row],[CF]]*chronic_consumption!$E381/1000/$C$3)</f>
        <v>#DIV/0!</v>
      </c>
      <c r="K1581" s="1098" t="e">
        <f>IF($D$1212="",0,$D1581*Table3[[#This Row],[CF]]*chronic_consumption!$F381/1000/$C$3)</f>
        <v>#DIV/0!</v>
      </c>
      <c r="L1581" s="1098" t="e">
        <f>IF($D$1212="",0,$D1581*Table3[[#This Row],[CF]]*chronic_consumption!$G381/1000/$C$3)</f>
        <v>#DIV/0!</v>
      </c>
      <c r="M1581" s="1098" t="e">
        <f>IF($D$1212="",0,$D1581*Table3[[#This Row],[CF]]*chronic_consumption!$H381/1000/$C$3)</f>
        <v>#DIV/0!</v>
      </c>
      <c r="N1581" s="1098" t="e">
        <f>IF($D$1212="",0,$D1581*Table3[[#This Row],[CF]]*chronic_consumption!$I381/1000/$C$3)</f>
        <v>#DIV/0!</v>
      </c>
      <c r="O1581" s="1098" t="e">
        <f>IF($D$1212="",0,$D1581*Table3[[#This Row],[CF]]*chronic_consumption!$J381/1000/$C$3)</f>
        <v>#DIV/0!</v>
      </c>
      <c r="P1581" s="1098" t="e">
        <f>IF($D$1212="",0,$D1581*Table3[[#This Row],[CF]]*chronic_consumption!$K381/1000/$C$3)</f>
        <v>#DIV/0!</v>
      </c>
      <c r="Q1581" s="1098" t="e">
        <f>IF($D$1212="",0,$D1581*Table3[[#This Row],[CF]]*chronic_consumption!$L381/1000/$C$3)</f>
        <v>#DIV/0!</v>
      </c>
      <c r="R1581" s="1098" t="e">
        <f>IF($D$1212="",0,$D1581*Table3[[#This Row],[CF]]*chronic_consumption!$M381/1000/$C$3)</f>
        <v>#DIV/0!</v>
      </c>
      <c r="S1581" s="1098" t="e">
        <f>IF($D$1212="",0,$D1581*Table3[[#This Row],[CF]]*chronic_consumption!$N381/1000/$C$3)</f>
        <v>#DIV/0!</v>
      </c>
      <c r="T1581" s="1098" t="e">
        <f>IF($D$1212="",0,$D1581*Table3[[#This Row],[CF]]*chronic_consumption!$O381/1000/$C$3)</f>
        <v>#DIV/0!</v>
      </c>
      <c r="U1581" s="1098" t="e">
        <f>IF($D$1212="",0,$D1581*Table3[[#This Row],[CF]]*chronic_consumption!$P381/1000/$C$3)</f>
        <v>#DIV/0!</v>
      </c>
      <c r="V1581" s="1098" t="e">
        <f>IF($D$1212="",0,$D1581*Table3[[#This Row],[CF]]*chronic_consumption!$Q381/1000/$C$3)</f>
        <v>#DIV/0!</v>
      </c>
      <c r="W1581" s="1098" t="e">
        <f>IF($D$1212="",0,$D1581*Table3[[#This Row],[CF]]*chronic_consumption!$R381/1000/$C$3)</f>
        <v>#DIV/0!</v>
      </c>
      <c r="X1581" s="1098" t="e">
        <f>IF($D$1212="",0,$D1581*Table3[[#This Row],[CF]]*chronic_consumption!$S381/1000/$C$3)</f>
        <v>#DIV/0!</v>
      </c>
      <c r="Y1581" s="1098" t="e">
        <f>IF($D$1212="",0,$D1581*Table3[[#This Row],[CF]]*chronic_consumption!$T381/1000/$C$3)</f>
        <v>#DIV/0!</v>
      </c>
      <c r="Z1581" s="1098" t="e">
        <f>IF($D$1212="",0,$D1581*Table3[[#This Row],[CF]]*chronic_consumption!$U381/1000/$C$3)</f>
        <v>#DIV/0!</v>
      </c>
      <c r="AA1581" s="1098" t="e">
        <f>IF($D$1212="",0,$D1581*Table3[[#This Row],[CF]]*chronic_consumption!$V381/1000/$C$3)</f>
        <v>#DIV/0!</v>
      </c>
      <c r="AB1581" s="1098" t="e">
        <f>IF($D$1212="",0,$D1581*Table3[[#This Row],[CF]]*chronic_consumption!$W381/1000/$C$3)</f>
        <v>#DIV/0!</v>
      </c>
      <c r="AC1581" s="1098" t="e">
        <f>IF($D$1212="",0,$D1581*Table3[[#This Row],[CF]]*chronic_consumption!$X381/1000/$C$3)</f>
        <v>#DIV/0!</v>
      </c>
      <c r="AD1581" s="1098" t="e">
        <f>IF($D$1212="",0,$D1581*Table3[[#This Row],[CF]]*chronic_consumption!$Y381/1000/$C$3)</f>
        <v>#DIV/0!</v>
      </c>
      <c r="AE1581" s="1098" t="e">
        <f>IF($D$1212="",0,$D1581*Table3[[#This Row],[CF]]*chronic_consumption!$Z381/1000/$C$3)</f>
        <v>#DIV/0!</v>
      </c>
      <c r="AF1581" s="1098" t="e">
        <f>IF($D$1212="",0,$D1581*Table3[[#This Row],[CF]]*chronic_consumption!$AA381/1000/$C$3)</f>
        <v>#DIV/0!</v>
      </c>
      <c r="AG1581" s="1098" t="e">
        <f>IF($D$1212="",0,$D1581*Table3[[#This Row],[CF]]*chronic_consumption!$AB381/1000/$C$3)</f>
        <v>#DIV/0!</v>
      </c>
      <c r="AH1581" s="1098" t="e">
        <f>IF($D$1212="",0,$D1581*Table3[[#This Row],[CF]]*chronic_consumption!$AC381/1000/$C$3)</f>
        <v>#DIV/0!</v>
      </c>
      <c r="AI1581" s="1098" t="e">
        <f>IF($D$1212="",0,$D1581*Table3[[#This Row],[CF]]*chronic_consumption!$AD381/1000/$C$3)</f>
        <v>#DIV/0!</v>
      </c>
      <c r="AJ1581" s="1098" t="e">
        <f>IF($D$1212="",0,$D1581*Table3[[#This Row],[CF]]*chronic_consumption!$AE381/1000/$C$3)</f>
        <v>#DIV/0!</v>
      </c>
      <c r="AK1581" s="1098" t="e">
        <f>IF($D$1212="",0,$D1581*Table3[[#This Row],[CF]]*chronic_consumption!$AF381/1000/$C$3)</f>
        <v>#DIV/0!</v>
      </c>
      <c r="AL1581" s="1098" t="e">
        <f>IF($D$1212="",0,$D1581*Table3[[#This Row],[CF]]*chronic_consumption!$AG381/1000/$C$3)</f>
        <v>#DIV/0!</v>
      </c>
      <c r="AM1581" s="1098" t="e">
        <f>IF($D$1212="",0,$D1581*Table3[[#This Row],[CF]]*chronic_consumption!$AH381/1000/$C$3)</f>
        <v>#DIV/0!</v>
      </c>
      <c r="AN1581" s="1098" t="e">
        <f>IF($D$1212="",0,$D1581*Table3[[#This Row],[CF]]*chronic_consumption!$AI381/1000/$C$3)</f>
        <v>#DIV/0!</v>
      </c>
      <c r="AO1581" s="1098" t="e">
        <f>IF($D$1212="",0,$D1581*Table3[[#This Row],[CF]]*chronic_consumption!$AJ381/1000/$C$3)</f>
        <v>#DIV/0!</v>
      </c>
      <c r="AP1581" s="1098" t="e">
        <f>IF($D$1212="",0,$D1581*Table3[[#This Row],[CF]]*chronic_consumption!$AK381/1000/$C$3)</f>
        <v>#DIV/0!</v>
      </c>
      <c r="AQ1581" s="1098" t="e">
        <f>IF($D$1212="",0,$D1581*Table3[[#This Row],[CF]]*chronic_consumption!$AL381/1000/$C$3)</f>
        <v>#DIV/0!</v>
      </c>
      <c r="AR1581" s="1098" t="e">
        <f>IF($D$1212="",0,$D1581*Table3[[#This Row],[CF]]*chronic_consumption!$AM381/1000/$C$3)</f>
        <v>#DIV/0!</v>
      </c>
      <c r="AS1581" s="1098" t="e">
        <f>IF($D$1212="",0,$D1581*Table3[[#This Row],[CF]]*chronic_consumption!$AN381/1000/$C$3)</f>
        <v>#DIV/0!</v>
      </c>
      <c r="AT1581" s="1098" t="e">
        <f>IF($D$1212="",0,$D1581*Table3[[#This Row],[CF]]*chronic_consumption!$AO381/1000/$C$3)</f>
        <v>#DIV/0!</v>
      </c>
      <c r="AU1581" s="1099" t="e">
        <f t="shared" si="896"/>
        <v>#DIV/0!</v>
      </c>
      <c r="AV1581" s="1099" t="e">
        <f t="shared" si="896"/>
        <v>#DIV/0!</v>
      </c>
      <c r="AW1581" s="1099" t="e">
        <f t="shared" si="896"/>
        <v>#DIV/0!</v>
      </c>
      <c r="AX1581" s="1099" t="e">
        <f t="shared" si="896"/>
        <v>#DIV/0!</v>
      </c>
      <c r="AY1581" s="1099" t="e">
        <f t="shared" si="896"/>
        <v>#DIV/0!</v>
      </c>
      <c r="AZ1581" s="1091" t="s">
        <v>1012</v>
      </c>
      <c r="BA1581" s="1097" t="e">
        <f>IF(Table3[[#This Row],[max]]&lt;&gt;0,RANK(Table3[[#This Row],[max]],Table3[max],0),"")</f>
        <v>#DIV/0!</v>
      </c>
      <c r="BB1581" s="1096" t="e">
        <f t="shared" si="889"/>
        <v>#DIV/0!</v>
      </c>
      <c r="BC1581" s="1096" t="e">
        <f t="shared" ca="1" si="890"/>
        <v>#DIV/0!</v>
      </c>
      <c r="BD1581" s="1096" t="e">
        <f>IF(Table3[[#This Row],[max]]&gt;0,Table3[[#This Row],[Crop groups and examples of individual products within the groups to which the MRLs apply]],"")</f>
        <v>#DIV/0!</v>
      </c>
    </row>
    <row r="1582" spans="2:56" x14ac:dyDescent="0.2">
      <c r="B1582" s="23">
        <f t="shared" si="895"/>
        <v>1030020</v>
      </c>
      <c r="C1582" s="23" t="str">
        <f t="shared" si="895"/>
        <v>Eggs: Duck</v>
      </c>
      <c r="D1582" s="1084">
        <f>input_values!E382</f>
        <v>0</v>
      </c>
      <c r="E1582" s="1084">
        <f>input_values!F382</f>
        <v>0</v>
      </c>
      <c r="F1582" s="1085">
        <f>input_values!W382</f>
        <v>1</v>
      </c>
      <c r="G1582" s="1085" t="str">
        <f>IF(Table3[[#This Row],[CF]]&gt;0,CONCATENATE(IF(Table3[[#This Row],[LOQ]]="*","LOQ","MRL"),IF(input_values!G382&gt;0,"×CFrisk","")),"")</f>
        <v>MRL</v>
      </c>
      <c r="H1582" s="1087">
        <f>input_values!L382</f>
        <v>0</v>
      </c>
      <c r="I1582" s="1088">
        <f>input_values!D382</f>
        <v>0</v>
      </c>
      <c r="J1582" s="1098" t="e">
        <f>IF($D$1212="",0,$D1582*Table3[[#This Row],[CF]]*chronic_consumption!$E382/1000/$C$3)</f>
        <v>#DIV/0!</v>
      </c>
      <c r="K1582" s="1098" t="e">
        <f>IF($D$1212="",0,$D1582*Table3[[#This Row],[CF]]*chronic_consumption!$F382/1000/$C$3)</f>
        <v>#DIV/0!</v>
      </c>
      <c r="L1582" s="1098" t="e">
        <f>IF($D$1212="",0,$D1582*Table3[[#This Row],[CF]]*chronic_consumption!$G382/1000/$C$3)</f>
        <v>#DIV/0!</v>
      </c>
      <c r="M1582" s="1098" t="e">
        <f>IF($D$1212="",0,$D1582*Table3[[#This Row],[CF]]*chronic_consumption!$H382/1000/$C$3)</f>
        <v>#DIV/0!</v>
      </c>
      <c r="N1582" s="1098" t="e">
        <f>IF($D$1212="",0,$D1582*Table3[[#This Row],[CF]]*chronic_consumption!$I382/1000/$C$3)</f>
        <v>#DIV/0!</v>
      </c>
      <c r="O1582" s="1098" t="e">
        <f>IF($D$1212="",0,$D1582*Table3[[#This Row],[CF]]*chronic_consumption!$J382/1000/$C$3)</f>
        <v>#DIV/0!</v>
      </c>
      <c r="P1582" s="1098" t="e">
        <f>IF($D$1212="",0,$D1582*Table3[[#This Row],[CF]]*chronic_consumption!$K382/1000/$C$3)</f>
        <v>#DIV/0!</v>
      </c>
      <c r="Q1582" s="1098" t="e">
        <f>IF($D$1212="",0,$D1582*Table3[[#This Row],[CF]]*chronic_consumption!$L382/1000/$C$3)</f>
        <v>#DIV/0!</v>
      </c>
      <c r="R1582" s="1098" t="e">
        <f>IF($D$1212="",0,$D1582*Table3[[#This Row],[CF]]*chronic_consumption!$M382/1000/$C$3)</f>
        <v>#DIV/0!</v>
      </c>
      <c r="S1582" s="1098" t="e">
        <f>IF($D$1212="",0,$D1582*Table3[[#This Row],[CF]]*chronic_consumption!$N382/1000/$C$3)</f>
        <v>#DIV/0!</v>
      </c>
      <c r="T1582" s="1098" t="e">
        <f>IF($D$1212="",0,$D1582*Table3[[#This Row],[CF]]*chronic_consumption!$O382/1000/$C$3)</f>
        <v>#DIV/0!</v>
      </c>
      <c r="U1582" s="1098" t="e">
        <f>IF($D$1212="",0,$D1582*Table3[[#This Row],[CF]]*chronic_consumption!$P382/1000/$C$3)</f>
        <v>#DIV/0!</v>
      </c>
      <c r="V1582" s="1098" t="e">
        <f>IF($D$1212="",0,$D1582*Table3[[#This Row],[CF]]*chronic_consumption!$Q382/1000/$C$3)</f>
        <v>#DIV/0!</v>
      </c>
      <c r="W1582" s="1098" t="e">
        <f>IF($D$1212="",0,$D1582*Table3[[#This Row],[CF]]*chronic_consumption!$R382/1000/$C$3)</f>
        <v>#DIV/0!</v>
      </c>
      <c r="X1582" s="1098" t="e">
        <f>IF($D$1212="",0,$D1582*Table3[[#This Row],[CF]]*chronic_consumption!$S382/1000/$C$3)</f>
        <v>#DIV/0!</v>
      </c>
      <c r="Y1582" s="1098" t="e">
        <f>IF($D$1212="",0,$D1582*Table3[[#This Row],[CF]]*chronic_consumption!$T382/1000/$C$3)</f>
        <v>#DIV/0!</v>
      </c>
      <c r="Z1582" s="1098" t="e">
        <f>IF($D$1212="",0,$D1582*Table3[[#This Row],[CF]]*chronic_consumption!$U382/1000/$C$3)</f>
        <v>#DIV/0!</v>
      </c>
      <c r="AA1582" s="1098" t="e">
        <f>IF($D$1212="",0,$D1582*Table3[[#This Row],[CF]]*chronic_consumption!$V382/1000/$C$3)</f>
        <v>#DIV/0!</v>
      </c>
      <c r="AB1582" s="1098" t="e">
        <f>IF($D$1212="",0,$D1582*Table3[[#This Row],[CF]]*chronic_consumption!$W382/1000/$C$3)</f>
        <v>#DIV/0!</v>
      </c>
      <c r="AC1582" s="1098" t="e">
        <f>IF($D$1212="",0,$D1582*Table3[[#This Row],[CF]]*chronic_consumption!$X382/1000/$C$3)</f>
        <v>#DIV/0!</v>
      </c>
      <c r="AD1582" s="1098" t="e">
        <f>IF($D$1212="",0,$D1582*Table3[[#This Row],[CF]]*chronic_consumption!$Y382/1000/$C$3)</f>
        <v>#DIV/0!</v>
      </c>
      <c r="AE1582" s="1098" t="e">
        <f>IF($D$1212="",0,$D1582*Table3[[#This Row],[CF]]*chronic_consumption!$Z382/1000/$C$3)</f>
        <v>#DIV/0!</v>
      </c>
      <c r="AF1582" s="1098" t="e">
        <f>IF($D$1212="",0,$D1582*Table3[[#This Row],[CF]]*chronic_consumption!$AA382/1000/$C$3)</f>
        <v>#DIV/0!</v>
      </c>
      <c r="AG1582" s="1098" t="e">
        <f>IF($D$1212="",0,$D1582*Table3[[#This Row],[CF]]*chronic_consumption!$AB382/1000/$C$3)</f>
        <v>#DIV/0!</v>
      </c>
      <c r="AH1582" s="1098" t="e">
        <f>IF($D$1212="",0,$D1582*Table3[[#This Row],[CF]]*chronic_consumption!$AC382/1000/$C$3)</f>
        <v>#DIV/0!</v>
      </c>
      <c r="AI1582" s="1098" t="e">
        <f>IF($D$1212="",0,$D1582*Table3[[#This Row],[CF]]*chronic_consumption!$AD382/1000/$C$3)</f>
        <v>#DIV/0!</v>
      </c>
      <c r="AJ1582" s="1098" t="e">
        <f>IF($D$1212="",0,$D1582*Table3[[#This Row],[CF]]*chronic_consumption!$AE382/1000/$C$3)</f>
        <v>#DIV/0!</v>
      </c>
      <c r="AK1582" s="1098" t="e">
        <f>IF($D$1212="",0,$D1582*Table3[[#This Row],[CF]]*chronic_consumption!$AF382/1000/$C$3)</f>
        <v>#DIV/0!</v>
      </c>
      <c r="AL1582" s="1098" t="e">
        <f>IF($D$1212="",0,$D1582*Table3[[#This Row],[CF]]*chronic_consumption!$AG382/1000/$C$3)</f>
        <v>#DIV/0!</v>
      </c>
      <c r="AM1582" s="1098" t="e">
        <f>IF($D$1212="",0,$D1582*Table3[[#This Row],[CF]]*chronic_consumption!$AH382/1000/$C$3)</f>
        <v>#DIV/0!</v>
      </c>
      <c r="AN1582" s="1098" t="e">
        <f>IF($D$1212="",0,$D1582*Table3[[#This Row],[CF]]*chronic_consumption!$AI382/1000/$C$3)</f>
        <v>#DIV/0!</v>
      </c>
      <c r="AO1582" s="1098" t="e">
        <f>IF($D$1212="",0,$D1582*Table3[[#This Row],[CF]]*chronic_consumption!$AJ382/1000/$C$3)</f>
        <v>#DIV/0!</v>
      </c>
      <c r="AP1582" s="1098" t="e">
        <f>IF($D$1212="",0,$D1582*Table3[[#This Row],[CF]]*chronic_consumption!$AK382/1000/$C$3)</f>
        <v>#DIV/0!</v>
      </c>
      <c r="AQ1582" s="1098" t="e">
        <f>IF($D$1212="",0,$D1582*Table3[[#This Row],[CF]]*chronic_consumption!$AL382/1000/$C$3)</f>
        <v>#DIV/0!</v>
      </c>
      <c r="AR1582" s="1098" t="e">
        <f>IF($D$1212="",0,$D1582*Table3[[#This Row],[CF]]*chronic_consumption!$AM382/1000/$C$3)</f>
        <v>#DIV/0!</v>
      </c>
      <c r="AS1582" s="1098" t="e">
        <f>IF($D$1212="",0,$D1582*Table3[[#This Row],[CF]]*chronic_consumption!$AN382/1000/$C$3)</f>
        <v>#DIV/0!</v>
      </c>
      <c r="AT1582" s="1098" t="e">
        <f>IF($D$1212="",0,$D1582*Table3[[#This Row],[CF]]*chronic_consumption!$AO382/1000/$C$3)</f>
        <v>#DIV/0!</v>
      </c>
      <c r="AU1582" s="1099" t="e">
        <f t="shared" ref="AU1582:AY1590" si="897">IF(AU782="",0,IF(OR(1=RANK(AU1182,AU$412:AU$790,0),(2=RANK(AU1182,AU$412:AU$790,0))),AU1182,AU782))</f>
        <v>#DIV/0!</v>
      </c>
      <c r="AV1582" s="1099" t="e">
        <f t="shared" si="897"/>
        <v>#DIV/0!</v>
      </c>
      <c r="AW1582" s="1099" t="e">
        <f t="shared" si="897"/>
        <v>#DIV/0!</v>
      </c>
      <c r="AX1582" s="1099" t="e">
        <f t="shared" si="897"/>
        <v>#DIV/0!</v>
      </c>
      <c r="AY1582" s="1099" t="e">
        <f t="shared" si="897"/>
        <v>#DIV/0!</v>
      </c>
      <c r="AZ1582" s="1091" t="s">
        <v>1012</v>
      </c>
      <c r="BA1582" s="1097" t="e">
        <f>IF(Table3[[#This Row],[max]]&lt;&gt;0,RANK(Table3[[#This Row],[max]],Table3[max],0),"")</f>
        <v>#DIV/0!</v>
      </c>
      <c r="BB1582" s="1096" t="e">
        <f t="shared" si="889"/>
        <v>#DIV/0!</v>
      </c>
      <c r="BC1582" s="1096" t="e">
        <f t="shared" ca="1" si="890"/>
        <v>#DIV/0!</v>
      </c>
      <c r="BD1582" s="1096" t="e">
        <f>IF(Table3[[#This Row],[max]]&gt;0,Table3[[#This Row],[Crop groups and examples of individual products within the groups to which the MRLs apply]],"")</f>
        <v>#DIV/0!</v>
      </c>
    </row>
    <row r="1583" spans="2:56" x14ac:dyDescent="0.2">
      <c r="B1583" s="23">
        <f t="shared" si="895"/>
        <v>1030030</v>
      </c>
      <c r="C1583" s="23" t="str">
        <f t="shared" si="895"/>
        <v>Eggs: Goose</v>
      </c>
      <c r="D1583" s="1084">
        <f>input_values!E383</f>
        <v>0</v>
      </c>
      <c r="E1583" s="1084">
        <f>input_values!F383</f>
        <v>0</v>
      </c>
      <c r="F1583" s="1085">
        <f>input_values!W383</f>
        <v>1</v>
      </c>
      <c r="G1583" s="1085" t="str">
        <f>IF(Table3[[#This Row],[CF]]&gt;0,CONCATENATE(IF(Table3[[#This Row],[LOQ]]="*","LOQ","MRL"),IF(input_values!G383&gt;0,"×CFrisk","")),"")</f>
        <v>MRL</v>
      </c>
      <c r="H1583" s="1087">
        <f>input_values!L383</f>
        <v>0</v>
      </c>
      <c r="I1583" s="1088">
        <f>input_values!D383</f>
        <v>0</v>
      </c>
      <c r="J1583" s="1098" t="e">
        <f>IF($D$1212="",0,$D1583*Table3[[#This Row],[CF]]*chronic_consumption!$E383/1000/$C$3)</f>
        <v>#DIV/0!</v>
      </c>
      <c r="K1583" s="1098" t="e">
        <f>IF($D$1212="",0,$D1583*Table3[[#This Row],[CF]]*chronic_consumption!$F383/1000/$C$3)</f>
        <v>#DIV/0!</v>
      </c>
      <c r="L1583" s="1098" t="e">
        <f>IF($D$1212="",0,$D1583*Table3[[#This Row],[CF]]*chronic_consumption!$G383/1000/$C$3)</f>
        <v>#DIV/0!</v>
      </c>
      <c r="M1583" s="1098" t="e">
        <f>IF($D$1212="",0,$D1583*Table3[[#This Row],[CF]]*chronic_consumption!$H383/1000/$C$3)</f>
        <v>#DIV/0!</v>
      </c>
      <c r="N1583" s="1098" t="e">
        <f>IF($D$1212="",0,$D1583*Table3[[#This Row],[CF]]*chronic_consumption!$I383/1000/$C$3)</f>
        <v>#DIV/0!</v>
      </c>
      <c r="O1583" s="1098" t="e">
        <f>IF($D$1212="",0,$D1583*Table3[[#This Row],[CF]]*chronic_consumption!$J383/1000/$C$3)</f>
        <v>#DIV/0!</v>
      </c>
      <c r="P1583" s="1098" t="e">
        <f>IF($D$1212="",0,$D1583*Table3[[#This Row],[CF]]*chronic_consumption!$K383/1000/$C$3)</f>
        <v>#DIV/0!</v>
      </c>
      <c r="Q1583" s="1098" t="e">
        <f>IF($D$1212="",0,$D1583*Table3[[#This Row],[CF]]*chronic_consumption!$L383/1000/$C$3)</f>
        <v>#DIV/0!</v>
      </c>
      <c r="R1583" s="1098" t="e">
        <f>IF($D$1212="",0,$D1583*Table3[[#This Row],[CF]]*chronic_consumption!$M383/1000/$C$3)</f>
        <v>#DIV/0!</v>
      </c>
      <c r="S1583" s="1098" t="e">
        <f>IF($D$1212="",0,$D1583*Table3[[#This Row],[CF]]*chronic_consumption!$N383/1000/$C$3)</f>
        <v>#DIV/0!</v>
      </c>
      <c r="T1583" s="1098" t="e">
        <f>IF($D$1212="",0,$D1583*Table3[[#This Row],[CF]]*chronic_consumption!$O383/1000/$C$3)</f>
        <v>#DIV/0!</v>
      </c>
      <c r="U1583" s="1098" t="e">
        <f>IF($D$1212="",0,$D1583*Table3[[#This Row],[CF]]*chronic_consumption!$P383/1000/$C$3)</f>
        <v>#DIV/0!</v>
      </c>
      <c r="V1583" s="1098" t="e">
        <f>IF($D$1212="",0,$D1583*Table3[[#This Row],[CF]]*chronic_consumption!$Q383/1000/$C$3)</f>
        <v>#DIV/0!</v>
      </c>
      <c r="W1583" s="1098" t="e">
        <f>IF($D$1212="",0,$D1583*Table3[[#This Row],[CF]]*chronic_consumption!$R383/1000/$C$3)</f>
        <v>#DIV/0!</v>
      </c>
      <c r="X1583" s="1098" t="e">
        <f>IF($D$1212="",0,$D1583*Table3[[#This Row],[CF]]*chronic_consumption!$S383/1000/$C$3)</f>
        <v>#DIV/0!</v>
      </c>
      <c r="Y1583" s="1098" t="e">
        <f>IF($D$1212="",0,$D1583*Table3[[#This Row],[CF]]*chronic_consumption!$T383/1000/$C$3)</f>
        <v>#DIV/0!</v>
      </c>
      <c r="Z1583" s="1098" t="e">
        <f>IF($D$1212="",0,$D1583*Table3[[#This Row],[CF]]*chronic_consumption!$U383/1000/$C$3)</f>
        <v>#DIV/0!</v>
      </c>
      <c r="AA1583" s="1098" t="e">
        <f>IF($D$1212="",0,$D1583*Table3[[#This Row],[CF]]*chronic_consumption!$V383/1000/$C$3)</f>
        <v>#DIV/0!</v>
      </c>
      <c r="AB1583" s="1098" t="e">
        <f>IF($D$1212="",0,$D1583*Table3[[#This Row],[CF]]*chronic_consumption!$W383/1000/$C$3)</f>
        <v>#DIV/0!</v>
      </c>
      <c r="AC1583" s="1098" t="e">
        <f>IF($D$1212="",0,$D1583*Table3[[#This Row],[CF]]*chronic_consumption!$X383/1000/$C$3)</f>
        <v>#DIV/0!</v>
      </c>
      <c r="AD1583" s="1098" t="e">
        <f>IF($D$1212="",0,$D1583*Table3[[#This Row],[CF]]*chronic_consumption!$Y383/1000/$C$3)</f>
        <v>#DIV/0!</v>
      </c>
      <c r="AE1583" s="1098" t="e">
        <f>IF($D$1212="",0,$D1583*Table3[[#This Row],[CF]]*chronic_consumption!$Z383/1000/$C$3)</f>
        <v>#DIV/0!</v>
      </c>
      <c r="AF1583" s="1098" t="e">
        <f>IF($D$1212="",0,$D1583*Table3[[#This Row],[CF]]*chronic_consumption!$AA383/1000/$C$3)</f>
        <v>#DIV/0!</v>
      </c>
      <c r="AG1583" s="1098" t="e">
        <f>IF($D$1212="",0,$D1583*Table3[[#This Row],[CF]]*chronic_consumption!$AB383/1000/$C$3)</f>
        <v>#DIV/0!</v>
      </c>
      <c r="AH1583" s="1098" t="e">
        <f>IF($D$1212="",0,$D1583*Table3[[#This Row],[CF]]*chronic_consumption!$AC383/1000/$C$3)</f>
        <v>#DIV/0!</v>
      </c>
      <c r="AI1583" s="1098" t="e">
        <f>IF($D$1212="",0,$D1583*Table3[[#This Row],[CF]]*chronic_consumption!$AD383/1000/$C$3)</f>
        <v>#DIV/0!</v>
      </c>
      <c r="AJ1583" s="1098" t="e">
        <f>IF($D$1212="",0,$D1583*Table3[[#This Row],[CF]]*chronic_consumption!$AE383/1000/$C$3)</f>
        <v>#DIV/0!</v>
      </c>
      <c r="AK1583" s="1098" t="e">
        <f>IF($D$1212="",0,$D1583*Table3[[#This Row],[CF]]*chronic_consumption!$AF383/1000/$C$3)</f>
        <v>#DIV/0!</v>
      </c>
      <c r="AL1583" s="1098" t="e">
        <f>IF($D$1212="",0,$D1583*Table3[[#This Row],[CF]]*chronic_consumption!$AG383/1000/$C$3)</f>
        <v>#DIV/0!</v>
      </c>
      <c r="AM1583" s="1098" t="e">
        <f>IF($D$1212="",0,$D1583*Table3[[#This Row],[CF]]*chronic_consumption!$AH383/1000/$C$3)</f>
        <v>#DIV/0!</v>
      </c>
      <c r="AN1583" s="1098" t="e">
        <f>IF($D$1212="",0,$D1583*Table3[[#This Row],[CF]]*chronic_consumption!$AI383/1000/$C$3)</f>
        <v>#DIV/0!</v>
      </c>
      <c r="AO1583" s="1098" t="e">
        <f>IF($D$1212="",0,$D1583*Table3[[#This Row],[CF]]*chronic_consumption!$AJ383/1000/$C$3)</f>
        <v>#DIV/0!</v>
      </c>
      <c r="AP1583" s="1098" t="e">
        <f>IF($D$1212="",0,$D1583*Table3[[#This Row],[CF]]*chronic_consumption!$AK383/1000/$C$3)</f>
        <v>#DIV/0!</v>
      </c>
      <c r="AQ1583" s="1098" t="e">
        <f>IF($D$1212="",0,$D1583*Table3[[#This Row],[CF]]*chronic_consumption!$AL383/1000/$C$3)</f>
        <v>#DIV/0!</v>
      </c>
      <c r="AR1583" s="1098" t="e">
        <f>IF($D$1212="",0,$D1583*Table3[[#This Row],[CF]]*chronic_consumption!$AM383/1000/$C$3)</f>
        <v>#DIV/0!</v>
      </c>
      <c r="AS1583" s="1098" t="e">
        <f>IF($D$1212="",0,$D1583*Table3[[#This Row],[CF]]*chronic_consumption!$AN383/1000/$C$3)</f>
        <v>#DIV/0!</v>
      </c>
      <c r="AT1583" s="1098" t="e">
        <f>IF($D$1212="",0,$D1583*Table3[[#This Row],[CF]]*chronic_consumption!$AO383/1000/$C$3)</f>
        <v>#DIV/0!</v>
      </c>
      <c r="AU1583" s="1099" t="e">
        <f t="shared" si="897"/>
        <v>#DIV/0!</v>
      </c>
      <c r="AV1583" s="1099" t="e">
        <f t="shared" si="897"/>
        <v>#DIV/0!</v>
      </c>
      <c r="AW1583" s="1099" t="e">
        <f t="shared" si="897"/>
        <v>#DIV/0!</v>
      </c>
      <c r="AX1583" s="1099" t="e">
        <f t="shared" si="897"/>
        <v>#DIV/0!</v>
      </c>
      <c r="AY1583" s="1099" t="e">
        <f t="shared" si="897"/>
        <v>#DIV/0!</v>
      </c>
      <c r="AZ1583" s="1091" t="s">
        <v>1012</v>
      </c>
      <c r="BA1583" s="1097" t="e">
        <f>IF(Table3[[#This Row],[max]]&lt;&gt;0,RANK(Table3[[#This Row],[max]],Table3[max],0),"")</f>
        <v>#DIV/0!</v>
      </c>
      <c r="BB1583" s="1096" t="e">
        <f t="shared" si="889"/>
        <v>#DIV/0!</v>
      </c>
      <c r="BC1583" s="1096" t="e">
        <f t="shared" ca="1" si="890"/>
        <v>#DIV/0!</v>
      </c>
      <c r="BD1583" s="1096" t="e">
        <f>IF(Table3[[#This Row],[max]]&gt;0,Table3[[#This Row],[Crop groups and examples of individual products within the groups to which the MRLs apply]],"")</f>
        <v>#DIV/0!</v>
      </c>
    </row>
    <row r="1584" spans="2:56" x14ac:dyDescent="0.2">
      <c r="B1584" s="23">
        <f t="shared" si="895"/>
        <v>1030040</v>
      </c>
      <c r="C1584" s="23" t="str">
        <f t="shared" si="895"/>
        <v xml:space="preserve">Eggs: Quail </v>
      </c>
      <c r="D1584" s="1084">
        <f>input_values!E384</f>
        <v>0</v>
      </c>
      <c r="E1584" s="1084">
        <f>input_values!F384</f>
        <v>0</v>
      </c>
      <c r="F1584" s="1085">
        <f>input_values!W384</f>
        <v>1</v>
      </c>
      <c r="G1584" s="1085" t="str">
        <f>IF(Table3[[#This Row],[CF]]&gt;0,CONCATENATE(IF(Table3[[#This Row],[LOQ]]="*","LOQ","MRL"),IF(input_values!G384&gt;0,"×CFrisk","")),"")</f>
        <v>MRL</v>
      </c>
      <c r="H1584" s="1087">
        <f>input_values!L384</f>
        <v>0</v>
      </c>
      <c r="I1584" s="1088">
        <f>input_values!D384</f>
        <v>0</v>
      </c>
      <c r="J1584" s="1098" t="e">
        <f>IF($D$1212="",0,$D1584*Table3[[#This Row],[CF]]*chronic_consumption!$E384/1000/$C$3)</f>
        <v>#DIV/0!</v>
      </c>
      <c r="K1584" s="1098" t="e">
        <f>IF($D$1212="",0,$D1584*Table3[[#This Row],[CF]]*chronic_consumption!$F384/1000/$C$3)</f>
        <v>#DIV/0!</v>
      </c>
      <c r="L1584" s="1098" t="e">
        <f>IF($D$1212="",0,$D1584*Table3[[#This Row],[CF]]*chronic_consumption!$G384/1000/$C$3)</f>
        <v>#DIV/0!</v>
      </c>
      <c r="M1584" s="1098" t="e">
        <f>IF($D$1212="",0,$D1584*Table3[[#This Row],[CF]]*chronic_consumption!$H384/1000/$C$3)</f>
        <v>#DIV/0!</v>
      </c>
      <c r="N1584" s="1098" t="e">
        <f>IF($D$1212="",0,$D1584*Table3[[#This Row],[CF]]*chronic_consumption!$I384/1000/$C$3)</f>
        <v>#DIV/0!</v>
      </c>
      <c r="O1584" s="1098" t="e">
        <f>IF($D$1212="",0,$D1584*Table3[[#This Row],[CF]]*chronic_consumption!$J384/1000/$C$3)</f>
        <v>#DIV/0!</v>
      </c>
      <c r="P1584" s="1098" t="e">
        <f>IF($D$1212="",0,$D1584*Table3[[#This Row],[CF]]*chronic_consumption!$K384/1000/$C$3)</f>
        <v>#DIV/0!</v>
      </c>
      <c r="Q1584" s="1098" t="e">
        <f>IF($D$1212="",0,$D1584*Table3[[#This Row],[CF]]*chronic_consumption!$L384/1000/$C$3)</f>
        <v>#DIV/0!</v>
      </c>
      <c r="R1584" s="1098" t="e">
        <f>IF($D$1212="",0,$D1584*Table3[[#This Row],[CF]]*chronic_consumption!$M384/1000/$C$3)</f>
        <v>#DIV/0!</v>
      </c>
      <c r="S1584" s="1098" t="e">
        <f>IF($D$1212="",0,$D1584*Table3[[#This Row],[CF]]*chronic_consumption!$N384/1000/$C$3)</f>
        <v>#DIV/0!</v>
      </c>
      <c r="T1584" s="1098" t="e">
        <f>IF($D$1212="",0,$D1584*Table3[[#This Row],[CF]]*chronic_consumption!$O384/1000/$C$3)</f>
        <v>#DIV/0!</v>
      </c>
      <c r="U1584" s="1098" t="e">
        <f>IF($D$1212="",0,$D1584*Table3[[#This Row],[CF]]*chronic_consumption!$P384/1000/$C$3)</f>
        <v>#DIV/0!</v>
      </c>
      <c r="V1584" s="1098" t="e">
        <f>IF($D$1212="",0,$D1584*Table3[[#This Row],[CF]]*chronic_consumption!$Q384/1000/$C$3)</f>
        <v>#DIV/0!</v>
      </c>
      <c r="W1584" s="1098" t="e">
        <f>IF($D$1212="",0,$D1584*Table3[[#This Row],[CF]]*chronic_consumption!$R384/1000/$C$3)</f>
        <v>#DIV/0!</v>
      </c>
      <c r="X1584" s="1098" t="e">
        <f>IF($D$1212="",0,$D1584*Table3[[#This Row],[CF]]*chronic_consumption!$S384/1000/$C$3)</f>
        <v>#DIV/0!</v>
      </c>
      <c r="Y1584" s="1098" t="e">
        <f>IF($D$1212="",0,$D1584*Table3[[#This Row],[CF]]*chronic_consumption!$T384/1000/$C$3)</f>
        <v>#DIV/0!</v>
      </c>
      <c r="Z1584" s="1098" t="e">
        <f>IF($D$1212="",0,$D1584*Table3[[#This Row],[CF]]*chronic_consumption!$U384/1000/$C$3)</f>
        <v>#DIV/0!</v>
      </c>
      <c r="AA1584" s="1098" t="e">
        <f>IF($D$1212="",0,$D1584*Table3[[#This Row],[CF]]*chronic_consumption!$V384/1000/$C$3)</f>
        <v>#DIV/0!</v>
      </c>
      <c r="AB1584" s="1098" t="e">
        <f>IF($D$1212="",0,$D1584*Table3[[#This Row],[CF]]*chronic_consumption!$W384/1000/$C$3)</f>
        <v>#DIV/0!</v>
      </c>
      <c r="AC1584" s="1098" t="e">
        <f>IF($D$1212="",0,$D1584*Table3[[#This Row],[CF]]*chronic_consumption!$X384/1000/$C$3)</f>
        <v>#DIV/0!</v>
      </c>
      <c r="AD1584" s="1098" t="e">
        <f>IF($D$1212="",0,$D1584*Table3[[#This Row],[CF]]*chronic_consumption!$Y384/1000/$C$3)</f>
        <v>#DIV/0!</v>
      </c>
      <c r="AE1584" s="1098" t="e">
        <f>IF($D$1212="",0,$D1584*Table3[[#This Row],[CF]]*chronic_consumption!$Z384/1000/$C$3)</f>
        <v>#DIV/0!</v>
      </c>
      <c r="AF1584" s="1098" t="e">
        <f>IF($D$1212="",0,$D1584*Table3[[#This Row],[CF]]*chronic_consumption!$AA384/1000/$C$3)</f>
        <v>#DIV/0!</v>
      </c>
      <c r="AG1584" s="1098" t="e">
        <f>IF($D$1212="",0,$D1584*Table3[[#This Row],[CF]]*chronic_consumption!$AB384/1000/$C$3)</f>
        <v>#DIV/0!</v>
      </c>
      <c r="AH1584" s="1098" t="e">
        <f>IF($D$1212="",0,$D1584*Table3[[#This Row],[CF]]*chronic_consumption!$AC384/1000/$C$3)</f>
        <v>#DIV/0!</v>
      </c>
      <c r="AI1584" s="1098" t="e">
        <f>IF($D$1212="",0,$D1584*Table3[[#This Row],[CF]]*chronic_consumption!$AD384/1000/$C$3)</f>
        <v>#DIV/0!</v>
      </c>
      <c r="AJ1584" s="1098" t="e">
        <f>IF($D$1212="",0,$D1584*Table3[[#This Row],[CF]]*chronic_consumption!$AE384/1000/$C$3)</f>
        <v>#DIV/0!</v>
      </c>
      <c r="AK1584" s="1098" t="e">
        <f>IF($D$1212="",0,$D1584*Table3[[#This Row],[CF]]*chronic_consumption!$AF384/1000/$C$3)</f>
        <v>#DIV/0!</v>
      </c>
      <c r="AL1584" s="1098" t="e">
        <f>IF($D$1212="",0,$D1584*Table3[[#This Row],[CF]]*chronic_consumption!$AG384/1000/$C$3)</f>
        <v>#DIV/0!</v>
      </c>
      <c r="AM1584" s="1098" t="e">
        <f>IF($D$1212="",0,$D1584*Table3[[#This Row],[CF]]*chronic_consumption!$AH384/1000/$C$3)</f>
        <v>#DIV/0!</v>
      </c>
      <c r="AN1584" s="1098" t="e">
        <f>IF($D$1212="",0,$D1584*Table3[[#This Row],[CF]]*chronic_consumption!$AI384/1000/$C$3)</f>
        <v>#DIV/0!</v>
      </c>
      <c r="AO1584" s="1098" t="e">
        <f>IF($D$1212="",0,$D1584*Table3[[#This Row],[CF]]*chronic_consumption!$AJ384/1000/$C$3)</f>
        <v>#DIV/0!</v>
      </c>
      <c r="AP1584" s="1098" t="e">
        <f>IF($D$1212="",0,$D1584*Table3[[#This Row],[CF]]*chronic_consumption!$AK384/1000/$C$3)</f>
        <v>#DIV/0!</v>
      </c>
      <c r="AQ1584" s="1098" t="e">
        <f>IF($D$1212="",0,$D1584*Table3[[#This Row],[CF]]*chronic_consumption!$AL384/1000/$C$3)</f>
        <v>#DIV/0!</v>
      </c>
      <c r="AR1584" s="1098" t="e">
        <f>IF($D$1212="",0,$D1584*Table3[[#This Row],[CF]]*chronic_consumption!$AM384/1000/$C$3)</f>
        <v>#DIV/0!</v>
      </c>
      <c r="AS1584" s="1098" t="e">
        <f>IF($D$1212="",0,$D1584*Table3[[#This Row],[CF]]*chronic_consumption!$AN384/1000/$C$3)</f>
        <v>#DIV/0!</v>
      </c>
      <c r="AT1584" s="1098" t="e">
        <f>IF($D$1212="",0,$D1584*Table3[[#This Row],[CF]]*chronic_consumption!$AO384/1000/$C$3)</f>
        <v>#DIV/0!</v>
      </c>
      <c r="AU1584" s="1099" t="e">
        <f t="shared" si="897"/>
        <v>#DIV/0!</v>
      </c>
      <c r="AV1584" s="1099" t="e">
        <f t="shared" si="897"/>
        <v>#DIV/0!</v>
      </c>
      <c r="AW1584" s="1099" t="e">
        <f t="shared" si="897"/>
        <v>#DIV/0!</v>
      </c>
      <c r="AX1584" s="1099" t="e">
        <f t="shared" si="897"/>
        <v>#DIV/0!</v>
      </c>
      <c r="AY1584" s="1099" t="e">
        <f t="shared" si="897"/>
        <v>#DIV/0!</v>
      </c>
      <c r="AZ1584" s="1091" t="s">
        <v>1012</v>
      </c>
      <c r="BA1584" s="1097" t="e">
        <f>IF(Table3[[#This Row],[max]]&lt;&gt;0,RANK(Table3[[#This Row],[max]],Table3[max],0),"")</f>
        <v>#DIV/0!</v>
      </c>
      <c r="BB1584" s="1096" t="e">
        <f t="shared" si="889"/>
        <v>#DIV/0!</v>
      </c>
      <c r="BC1584" s="1096" t="e">
        <f t="shared" ca="1" si="890"/>
        <v>#DIV/0!</v>
      </c>
      <c r="BD1584" s="1096" t="e">
        <f>IF(Table3[[#This Row],[max]]&gt;0,Table3[[#This Row],[Crop groups and examples of individual products within the groups to which the MRLs apply]],"")</f>
        <v>#DIV/0!</v>
      </c>
    </row>
    <row r="1585" spans="2:56" x14ac:dyDescent="0.2">
      <c r="B1585" s="23">
        <f t="shared" si="895"/>
        <v>1030990</v>
      </c>
      <c r="C1585" s="23" t="str">
        <f t="shared" si="895"/>
        <v>Eggs: Others</v>
      </c>
      <c r="D1585" s="1084">
        <f>input_values!E385</f>
        <v>0</v>
      </c>
      <c r="E1585" s="1084">
        <f>input_values!F385</f>
        <v>0</v>
      </c>
      <c r="F1585" s="1085">
        <f>input_values!W385</f>
        <v>1</v>
      </c>
      <c r="G1585" s="1085" t="str">
        <f>IF(Table3[[#This Row],[CF]]&gt;0,CONCATENATE(IF(Table3[[#This Row],[LOQ]]="*","LOQ","MRL"),IF(input_values!G385&gt;0,"×CFrisk","")),"")</f>
        <v>MRL</v>
      </c>
      <c r="H1585" s="1087">
        <f>input_values!L385</f>
        <v>0</v>
      </c>
      <c r="I1585" s="1088">
        <f>input_values!D385</f>
        <v>0</v>
      </c>
      <c r="J1585" s="1098" t="e">
        <f>IF($D$1212="",0,$D1585*Table3[[#This Row],[CF]]*chronic_consumption!$E385/1000/$C$3)</f>
        <v>#DIV/0!</v>
      </c>
      <c r="K1585" s="1098" t="e">
        <f>IF($D$1212="",0,$D1585*Table3[[#This Row],[CF]]*chronic_consumption!$F385/1000/$C$3)</f>
        <v>#DIV/0!</v>
      </c>
      <c r="L1585" s="1098" t="e">
        <f>IF($D$1212="",0,$D1585*Table3[[#This Row],[CF]]*chronic_consumption!$G385/1000/$C$3)</f>
        <v>#DIV/0!</v>
      </c>
      <c r="M1585" s="1098" t="e">
        <f>IF($D$1212="",0,$D1585*Table3[[#This Row],[CF]]*chronic_consumption!$H385/1000/$C$3)</f>
        <v>#DIV/0!</v>
      </c>
      <c r="N1585" s="1098" t="e">
        <f>IF($D$1212="",0,$D1585*Table3[[#This Row],[CF]]*chronic_consumption!$I385/1000/$C$3)</f>
        <v>#DIV/0!</v>
      </c>
      <c r="O1585" s="1098" t="e">
        <f>IF($D$1212="",0,$D1585*Table3[[#This Row],[CF]]*chronic_consumption!$J385/1000/$C$3)</f>
        <v>#DIV/0!</v>
      </c>
      <c r="P1585" s="1098" t="e">
        <f>IF($D$1212="",0,$D1585*Table3[[#This Row],[CF]]*chronic_consumption!$K385/1000/$C$3)</f>
        <v>#DIV/0!</v>
      </c>
      <c r="Q1585" s="1098" t="e">
        <f>IF($D$1212="",0,$D1585*Table3[[#This Row],[CF]]*chronic_consumption!$L385/1000/$C$3)</f>
        <v>#DIV/0!</v>
      </c>
      <c r="R1585" s="1098" t="e">
        <f>IF($D$1212="",0,$D1585*Table3[[#This Row],[CF]]*chronic_consumption!$M385/1000/$C$3)</f>
        <v>#DIV/0!</v>
      </c>
      <c r="S1585" s="1098" t="e">
        <f>IF($D$1212="",0,$D1585*Table3[[#This Row],[CF]]*chronic_consumption!$N385/1000/$C$3)</f>
        <v>#DIV/0!</v>
      </c>
      <c r="T1585" s="1098" t="e">
        <f>IF($D$1212="",0,$D1585*Table3[[#This Row],[CF]]*chronic_consumption!$O385/1000/$C$3)</f>
        <v>#DIV/0!</v>
      </c>
      <c r="U1585" s="1098" t="e">
        <f>IF($D$1212="",0,$D1585*Table3[[#This Row],[CF]]*chronic_consumption!$P385/1000/$C$3)</f>
        <v>#DIV/0!</v>
      </c>
      <c r="V1585" s="1098" t="e">
        <f>IF($D$1212="",0,$D1585*Table3[[#This Row],[CF]]*chronic_consumption!$Q385/1000/$C$3)</f>
        <v>#DIV/0!</v>
      </c>
      <c r="W1585" s="1098" t="e">
        <f>IF($D$1212="",0,$D1585*Table3[[#This Row],[CF]]*chronic_consumption!$R385/1000/$C$3)</f>
        <v>#DIV/0!</v>
      </c>
      <c r="X1585" s="1098" t="e">
        <f>IF($D$1212="",0,$D1585*Table3[[#This Row],[CF]]*chronic_consumption!$S385/1000/$C$3)</f>
        <v>#DIV/0!</v>
      </c>
      <c r="Y1585" s="1098" t="e">
        <f>IF($D$1212="",0,$D1585*Table3[[#This Row],[CF]]*chronic_consumption!$T385/1000/$C$3)</f>
        <v>#DIV/0!</v>
      </c>
      <c r="Z1585" s="1098" t="e">
        <f>IF($D$1212="",0,$D1585*Table3[[#This Row],[CF]]*chronic_consumption!$U385/1000/$C$3)</f>
        <v>#DIV/0!</v>
      </c>
      <c r="AA1585" s="1098" t="e">
        <f>IF($D$1212="",0,$D1585*Table3[[#This Row],[CF]]*chronic_consumption!$V385/1000/$C$3)</f>
        <v>#DIV/0!</v>
      </c>
      <c r="AB1585" s="1098" t="e">
        <f>IF($D$1212="",0,$D1585*Table3[[#This Row],[CF]]*chronic_consumption!$W385/1000/$C$3)</f>
        <v>#DIV/0!</v>
      </c>
      <c r="AC1585" s="1098" t="e">
        <f>IF($D$1212="",0,$D1585*Table3[[#This Row],[CF]]*chronic_consumption!$X385/1000/$C$3)</f>
        <v>#DIV/0!</v>
      </c>
      <c r="AD1585" s="1098" t="e">
        <f>IF($D$1212="",0,$D1585*Table3[[#This Row],[CF]]*chronic_consumption!$Y385/1000/$C$3)</f>
        <v>#DIV/0!</v>
      </c>
      <c r="AE1585" s="1098" t="e">
        <f>IF($D$1212="",0,$D1585*Table3[[#This Row],[CF]]*chronic_consumption!$Z385/1000/$C$3)</f>
        <v>#DIV/0!</v>
      </c>
      <c r="AF1585" s="1098" t="e">
        <f>IF($D$1212="",0,$D1585*Table3[[#This Row],[CF]]*chronic_consumption!$AA385/1000/$C$3)</f>
        <v>#DIV/0!</v>
      </c>
      <c r="AG1585" s="1098" t="e">
        <f>IF($D$1212="",0,$D1585*Table3[[#This Row],[CF]]*chronic_consumption!$AB385/1000/$C$3)</f>
        <v>#DIV/0!</v>
      </c>
      <c r="AH1585" s="1098" t="e">
        <f>IF($D$1212="",0,$D1585*Table3[[#This Row],[CF]]*chronic_consumption!$AC385/1000/$C$3)</f>
        <v>#DIV/0!</v>
      </c>
      <c r="AI1585" s="1098" t="e">
        <f>IF($D$1212="",0,$D1585*Table3[[#This Row],[CF]]*chronic_consumption!$AD385/1000/$C$3)</f>
        <v>#DIV/0!</v>
      </c>
      <c r="AJ1585" s="1098" t="e">
        <f>IF($D$1212="",0,$D1585*Table3[[#This Row],[CF]]*chronic_consumption!$AE385/1000/$C$3)</f>
        <v>#DIV/0!</v>
      </c>
      <c r="AK1585" s="1098" t="e">
        <f>IF($D$1212="",0,$D1585*Table3[[#This Row],[CF]]*chronic_consumption!$AF385/1000/$C$3)</f>
        <v>#DIV/0!</v>
      </c>
      <c r="AL1585" s="1098" t="e">
        <f>IF($D$1212="",0,$D1585*Table3[[#This Row],[CF]]*chronic_consumption!$AG385/1000/$C$3)</f>
        <v>#DIV/0!</v>
      </c>
      <c r="AM1585" s="1098" t="e">
        <f>IF($D$1212="",0,$D1585*Table3[[#This Row],[CF]]*chronic_consumption!$AH385/1000/$C$3)</f>
        <v>#DIV/0!</v>
      </c>
      <c r="AN1585" s="1098" t="e">
        <f>IF($D$1212="",0,$D1585*Table3[[#This Row],[CF]]*chronic_consumption!$AI385/1000/$C$3)</f>
        <v>#DIV/0!</v>
      </c>
      <c r="AO1585" s="1098" t="e">
        <f>IF($D$1212="",0,$D1585*Table3[[#This Row],[CF]]*chronic_consumption!$AJ385/1000/$C$3)</f>
        <v>#DIV/0!</v>
      </c>
      <c r="AP1585" s="1098" t="e">
        <f>IF($D$1212="",0,$D1585*Table3[[#This Row],[CF]]*chronic_consumption!$AK385/1000/$C$3)</f>
        <v>#DIV/0!</v>
      </c>
      <c r="AQ1585" s="1098" t="e">
        <f>IF($D$1212="",0,$D1585*Table3[[#This Row],[CF]]*chronic_consumption!$AL385/1000/$C$3)</f>
        <v>#DIV/0!</v>
      </c>
      <c r="AR1585" s="1098" t="e">
        <f>IF($D$1212="",0,$D1585*Table3[[#This Row],[CF]]*chronic_consumption!$AM385/1000/$C$3)</f>
        <v>#DIV/0!</v>
      </c>
      <c r="AS1585" s="1098" t="e">
        <f>IF($D$1212="",0,$D1585*Table3[[#This Row],[CF]]*chronic_consumption!$AN385/1000/$C$3)</f>
        <v>#DIV/0!</v>
      </c>
      <c r="AT1585" s="1098" t="e">
        <f>IF($D$1212="",0,$D1585*Table3[[#This Row],[CF]]*chronic_consumption!$AO385/1000/$C$3)</f>
        <v>#DIV/0!</v>
      </c>
      <c r="AU1585" s="1099" t="e">
        <f t="shared" si="897"/>
        <v>#DIV/0!</v>
      </c>
      <c r="AV1585" s="1099" t="e">
        <f t="shared" si="897"/>
        <v>#DIV/0!</v>
      </c>
      <c r="AW1585" s="1099" t="e">
        <f t="shared" si="897"/>
        <v>#DIV/0!</v>
      </c>
      <c r="AX1585" s="1099" t="e">
        <f t="shared" si="897"/>
        <v>#DIV/0!</v>
      </c>
      <c r="AY1585" s="1099" t="e">
        <f t="shared" si="897"/>
        <v>#DIV/0!</v>
      </c>
      <c r="AZ1585" s="1091" t="s">
        <v>1012</v>
      </c>
      <c r="BA1585" s="1097" t="e">
        <f>IF(Table3[[#This Row],[max]]&lt;&gt;0,RANK(Table3[[#This Row],[max]],Table3[max],0),"")</f>
        <v>#DIV/0!</v>
      </c>
      <c r="BB1585" s="1096" t="e">
        <f t="shared" si="889"/>
        <v>#DIV/0!</v>
      </c>
      <c r="BC1585" s="1096" t="e">
        <f t="shared" ca="1" si="890"/>
        <v>#DIV/0!</v>
      </c>
      <c r="BD1585" s="1096" t="e">
        <f>IF(Table3[[#This Row],[max]]&gt;0,Table3[[#This Row],[Crop groups and examples of individual products within the groups to which the MRLs apply]],"")</f>
        <v>#DIV/0!</v>
      </c>
    </row>
    <row r="1586" spans="2:56" x14ac:dyDescent="0.2">
      <c r="B1586" s="131">
        <f t="shared" si="895"/>
        <v>1040000</v>
      </c>
      <c r="C1586" s="131" t="str">
        <f t="shared" si="895"/>
        <v>Honey and other apiculture products</v>
      </c>
      <c r="D1586" s="1084">
        <f>input_values!E386</f>
        <v>0</v>
      </c>
      <c r="E1586" s="1084">
        <f>input_values!F386</f>
        <v>0</v>
      </c>
      <c r="F1586" s="1085">
        <f>input_values!W386</f>
        <v>1</v>
      </c>
      <c r="G1586" s="1085" t="str">
        <f>IF(Table3[[#This Row],[CF]]&gt;0,CONCATENATE(IF(Table3[[#This Row],[LOQ]]="*","LOQ","MRL"),IF(input_values!G386&gt;0,"×CFrisk","")),"")</f>
        <v>MRL</v>
      </c>
      <c r="H1586" s="1087">
        <f>input_values!L386</f>
        <v>0</v>
      </c>
      <c r="I1586" s="1088">
        <f>input_values!D386</f>
        <v>0</v>
      </c>
      <c r="J1586" s="1095" t="e">
        <f>IF($D$1212="",0,$D1586*Table3[[#This Row],[CF]]*chronic_consumption!$E386/1000/$C$3)</f>
        <v>#DIV/0!</v>
      </c>
      <c r="K1586" s="1095" t="e">
        <f>IF($D$1212="",0,$D1586*Table3[[#This Row],[CF]]*chronic_consumption!$F386/1000/$C$3)</f>
        <v>#DIV/0!</v>
      </c>
      <c r="L1586" s="1095" t="e">
        <f>IF($D$1212="",0,$D1586*Table3[[#This Row],[CF]]*chronic_consumption!$G386/1000/$C$3)</f>
        <v>#DIV/0!</v>
      </c>
      <c r="M1586" s="1095" t="e">
        <f>IF($D$1212="",0,$D1586*Table3[[#This Row],[CF]]*chronic_consumption!$H386/1000/$C$3)</f>
        <v>#DIV/0!</v>
      </c>
      <c r="N1586" s="1095" t="e">
        <f>IF($D$1212="",0,$D1586*Table3[[#This Row],[CF]]*chronic_consumption!$I386/1000/$C$3)</f>
        <v>#DIV/0!</v>
      </c>
      <c r="O1586" s="1095" t="e">
        <f>IF($D$1212="",0,$D1586*Table3[[#This Row],[CF]]*chronic_consumption!$J386/1000/$C$3)</f>
        <v>#DIV/0!</v>
      </c>
      <c r="P1586" s="1095" t="e">
        <f>IF($D$1212="",0,$D1586*Table3[[#This Row],[CF]]*chronic_consumption!$K386/1000/$C$3)</f>
        <v>#DIV/0!</v>
      </c>
      <c r="Q1586" s="1095" t="e">
        <f>IF($D$1212="",0,$D1586*Table3[[#This Row],[CF]]*chronic_consumption!$L386/1000/$C$3)</f>
        <v>#DIV/0!</v>
      </c>
      <c r="R1586" s="1095" t="e">
        <f>IF($D$1212="",0,$D1586*Table3[[#This Row],[CF]]*chronic_consumption!$M386/1000/$C$3)</f>
        <v>#DIV/0!</v>
      </c>
      <c r="S1586" s="1095" t="e">
        <f>IF($D$1212="",0,$D1586*Table3[[#This Row],[CF]]*chronic_consumption!$N386/1000/$C$3)</f>
        <v>#DIV/0!</v>
      </c>
      <c r="T1586" s="1095" t="e">
        <f>IF($D$1212="",0,$D1586*Table3[[#This Row],[CF]]*chronic_consumption!$O386/1000/$C$3)</f>
        <v>#DIV/0!</v>
      </c>
      <c r="U1586" s="1095" t="e">
        <f>IF($D$1212="",0,$D1586*Table3[[#This Row],[CF]]*chronic_consumption!$P386/1000/$C$3)</f>
        <v>#DIV/0!</v>
      </c>
      <c r="V1586" s="1095" t="e">
        <f>IF($D$1212="",0,$D1586*Table3[[#This Row],[CF]]*chronic_consumption!$Q386/1000/$C$3)</f>
        <v>#DIV/0!</v>
      </c>
      <c r="W1586" s="1095" t="e">
        <f>IF($D$1212="",0,$D1586*Table3[[#This Row],[CF]]*chronic_consumption!$R386/1000/$C$3)</f>
        <v>#DIV/0!</v>
      </c>
      <c r="X1586" s="1095" t="e">
        <f>IF($D$1212="",0,$D1586*Table3[[#This Row],[CF]]*chronic_consumption!$S386/1000/$C$3)</f>
        <v>#DIV/0!</v>
      </c>
      <c r="Y1586" s="1095" t="e">
        <f>IF($D$1212="",0,$D1586*Table3[[#This Row],[CF]]*chronic_consumption!$T386/1000/$C$3)</f>
        <v>#DIV/0!</v>
      </c>
      <c r="Z1586" s="1095" t="e">
        <f>IF($D$1212="",0,$D1586*Table3[[#This Row],[CF]]*chronic_consumption!$U386/1000/$C$3)</f>
        <v>#DIV/0!</v>
      </c>
      <c r="AA1586" s="1095" t="e">
        <f>IF($D$1212="",0,$D1586*Table3[[#This Row],[CF]]*chronic_consumption!$V386/1000/$C$3)</f>
        <v>#DIV/0!</v>
      </c>
      <c r="AB1586" s="1095" t="e">
        <f>IF($D$1212="",0,$D1586*Table3[[#This Row],[CF]]*chronic_consumption!$W386/1000/$C$3)</f>
        <v>#DIV/0!</v>
      </c>
      <c r="AC1586" s="1095" t="e">
        <f>IF($D$1212="",0,$D1586*Table3[[#This Row],[CF]]*chronic_consumption!$X386/1000/$C$3)</f>
        <v>#DIV/0!</v>
      </c>
      <c r="AD1586" s="1095" t="e">
        <f>IF($D$1212="",0,$D1586*Table3[[#This Row],[CF]]*chronic_consumption!$Y386/1000/$C$3)</f>
        <v>#DIV/0!</v>
      </c>
      <c r="AE1586" s="1095" t="e">
        <f>IF($D$1212="",0,$D1586*Table3[[#This Row],[CF]]*chronic_consumption!$Z386/1000/$C$3)</f>
        <v>#DIV/0!</v>
      </c>
      <c r="AF1586" s="1095" t="e">
        <f>IF($D$1212="",0,$D1586*Table3[[#This Row],[CF]]*chronic_consumption!$AA386/1000/$C$3)</f>
        <v>#DIV/0!</v>
      </c>
      <c r="AG1586" s="1095" t="e">
        <f>IF($D$1212="",0,$D1586*Table3[[#This Row],[CF]]*chronic_consumption!$AB386/1000/$C$3)</f>
        <v>#DIV/0!</v>
      </c>
      <c r="AH1586" s="1095" t="e">
        <f>IF($D$1212="",0,$D1586*Table3[[#This Row],[CF]]*chronic_consumption!$AC386/1000/$C$3)</f>
        <v>#DIV/0!</v>
      </c>
      <c r="AI1586" s="1095" t="e">
        <f>IF($D$1212="",0,$D1586*Table3[[#This Row],[CF]]*chronic_consumption!$AD386/1000/$C$3)</f>
        <v>#DIV/0!</v>
      </c>
      <c r="AJ1586" s="1095" t="e">
        <f>IF($D$1212="",0,$D1586*Table3[[#This Row],[CF]]*chronic_consumption!$AE386/1000/$C$3)</f>
        <v>#DIV/0!</v>
      </c>
      <c r="AK1586" s="1095" t="e">
        <f>IF($D$1212="",0,$D1586*Table3[[#This Row],[CF]]*chronic_consumption!$AF386/1000/$C$3)</f>
        <v>#DIV/0!</v>
      </c>
      <c r="AL1586" s="1095" t="e">
        <f>IF($D$1212="",0,$D1586*Table3[[#This Row],[CF]]*chronic_consumption!$AG386/1000/$C$3)</f>
        <v>#DIV/0!</v>
      </c>
      <c r="AM1586" s="1095" t="e">
        <f>IF($D$1212="",0,$D1586*Table3[[#This Row],[CF]]*chronic_consumption!$AH386/1000/$C$3)</f>
        <v>#DIV/0!</v>
      </c>
      <c r="AN1586" s="1095" t="e">
        <f>IF($D$1212="",0,$D1586*Table3[[#This Row],[CF]]*chronic_consumption!$AI386/1000/$C$3)</f>
        <v>#DIV/0!</v>
      </c>
      <c r="AO1586" s="1095" t="e">
        <f>IF($D$1212="",0,$D1586*Table3[[#This Row],[CF]]*chronic_consumption!$AJ386/1000/$C$3)</f>
        <v>#DIV/0!</v>
      </c>
      <c r="AP1586" s="1095" t="e">
        <f>IF($D$1212="",0,$D1586*Table3[[#This Row],[CF]]*chronic_consumption!$AK386/1000/$C$3)</f>
        <v>#DIV/0!</v>
      </c>
      <c r="AQ1586" s="1095" t="e">
        <f>IF($D$1212="",0,$D1586*Table3[[#This Row],[CF]]*chronic_consumption!$AL386/1000/$C$3)</f>
        <v>#DIV/0!</v>
      </c>
      <c r="AR1586" s="1095" t="e">
        <f>IF($D$1212="",0,$D1586*Table3[[#This Row],[CF]]*chronic_consumption!$AM386/1000/$C$3)</f>
        <v>#DIV/0!</v>
      </c>
      <c r="AS1586" s="1095" t="e">
        <f>IF($D$1212="",0,$D1586*Table3[[#This Row],[CF]]*chronic_consumption!$AN386/1000/$C$3)</f>
        <v>#DIV/0!</v>
      </c>
      <c r="AT1586" s="1095" t="e">
        <f>IF($D$1212="",0,$D1586*Table3[[#This Row],[CF]]*chronic_consumption!$AO386/1000/$C$3)</f>
        <v>#DIV/0!</v>
      </c>
      <c r="AU1586" s="1096" t="e">
        <f t="shared" si="897"/>
        <v>#DIV/0!</v>
      </c>
      <c r="AV1586" s="1096" t="e">
        <f t="shared" si="897"/>
        <v>#DIV/0!</v>
      </c>
      <c r="AW1586" s="1096" t="e">
        <f t="shared" si="897"/>
        <v>#DIV/0!</v>
      </c>
      <c r="AX1586" s="1096" t="e">
        <f t="shared" si="897"/>
        <v>#DIV/0!</v>
      </c>
      <c r="AY1586" s="1096" t="e">
        <f t="shared" si="897"/>
        <v>#DIV/0!</v>
      </c>
      <c r="AZ1586" s="1091" t="s">
        <v>1012</v>
      </c>
      <c r="BA1586" s="1097" t="e">
        <f>IF(Table3[[#This Row],[max]]&lt;&gt;0,RANK(Table3[[#This Row],[max]],Table3[max],0),"")</f>
        <v>#DIV/0!</v>
      </c>
      <c r="BB1586" s="1096" t="e">
        <f t="shared" si="889"/>
        <v>#DIV/0!</v>
      </c>
      <c r="BC1586" s="1096" t="e">
        <f t="shared" ca="1" si="890"/>
        <v>#DIV/0!</v>
      </c>
      <c r="BD1586" s="1096" t="e">
        <f>IF(Table3[[#This Row],[max]]&gt;0,Table3[[#This Row],[Crop groups and examples of individual products within the groups to which the MRLs apply]],"")</f>
        <v>#DIV/0!</v>
      </c>
    </row>
    <row r="1587" spans="2:56" x14ac:dyDescent="0.2">
      <c r="B1587" s="131">
        <f t="shared" si="895"/>
        <v>1050000</v>
      </c>
      <c r="C1587" s="131" t="str">
        <f t="shared" si="895"/>
        <v xml:space="preserve">Amphibians and reptiles </v>
      </c>
      <c r="D1587" s="1084">
        <f>input_values!E387</f>
        <v>0</v>
      </c>
      <c r="E1587" s="1084">
        <f>input_values!F387</f>
        <v>0</v>
      </c>
      <c r="F1587" s="1085">
        <f>input_values!W387</f>
        <v>1</v>
      </c>
      <c r="G1587" s="1085" t="str">
        <f>IF(Table3[[#This Row],[CF]]&gt;0,CONCATENATE(IF(Table3[[#This Row],[LOQ]]="*","LOQ","MRL"),IF(input_values!G387&gt;0,"×CFrisk","")),"")</f>
        <v>MRL</v>
      </c>
      <c r="H1587" s="1087">
        <f>input_values!L387</f>
        <v>0</v>
      </c>
      <c r="I1587" s="1088">
        <f>input_values!D387</f>
        <v>0</v>
      </c>
      <c r="J1587" s="1095" t="e">
        <f>IF($D$1212="",0,$D1587*Table3[[#This Row],[CF]]*chronic_consumption!$E387/1000/$C$3)</f>
        <v>#DIV/0!</v>
      </c>
      <c r="K1587" s="1095" t="e">
        <f>IF($D$1212="",0,$D1587*Table3[[#This Row],[CF]]*chronic_consumption!$F387/1000/$C$3)</f>
        <v>#DIV/0!</v>
      </c>
      <c r="L1587" s="1095" t="e">
        <f>IF($D$1212="",0,$D1587*Table3[[#This Row],[CF]]*chronic_consumption!$G387/1000/$C$3)</f>
        <v>#DIV/0!</v>
      </c>
      <c r="M1587" s="1095" t="e">
        <f>IF($D$1212="",0,$D1587*Table3[[#This Row],[CF]]*chronic_consumption!$H387/1000/$C$3)</f>
        <v>#DIV/0!</v>
      </c>
      <c r="N1587" s="1095" t="e">
        <f>IF($D$1212="",0,$D1587*Table3[[#This Row],[CF]]*chronic_consumption!$I387/1000/$C$3)</f>
        <v>#DIV/0!</v>
      </c>
      <c r="O1587" s="1095" t="e">
        <f>IF($D$1212="",0,$D1587*Table3[[#This Row],[CF]]*chronic_consumption!$J387/1000/$C$3)</f>
        <v>#DIV/0!</v>
      </c>
      <c r="P1587" s="1095" t="e">
        <f>IF($D$1212="",0,$D1587*Table3[[#This Row],[CF]]*chronic_consumption!$K387/1000/$C$3)</f>
        <v>#DIV/0!</v>
      </c>
      <c r="Q1587" s="1095" t="e">
        <f>IF($D$1212="",0,$D1587*Table3[[#This Row],[CF]]*chronic_consumption!$L387/1000/$C$3)</f>
        <v>#DIV/0!</v>
      </c>
      <c r="R1587" s="1095" t="e">
        <f>IF($D$1212="",0,$D1587*Table3[[#This Row],[CF]]*chronic_consumption!$M387/1000/$C$3)</f>
        <v>#DIV/0!</v>
      </c>
      <c r="S1587" s="1095" t="e">
        <f>IF($D$1212="",0,$D1587*Table3[[#This Row],[CF]]*chronic_consumption!$N387/1000/$C$3)</f>
        <v>#DIV/0!</v>
      </c>
      <c r="T1587" s="1095" t="e">
        <f>IF($D$1212="",0,$D1587*Table3[[#This Row],[CF]]*chronic_consumption!$O387/1000/$C$3)</f>
        <v>#DIV/0!</v>
      </c>
      <c r="U1587" s="1095" t="e">
        <f>IF($D$1212="",0,$D1587*Table3[[#This Row],[CF]]*chronic_consumption!$P387/1000/$C$3)</f>
        <v>#DIV/0!</v>
      </c>
      <c r="V1587" s="1095" t="e">
        <f>IF($D$1212="",0,$D1587*Table3[[#This Row],[CF]]*chronic_consumption!$Q387/1000/$C$3)</f>
        <v>#DIV/0!</v>
      </c>
      <c r="W1587" s="1095" t="e">
        <f>IF($D$1212="",0,$D1587*Table3[[#This Row],[CF]]*chronic_consumption!$R387/1000/$C$3)</f>
        <v>#DIV/0!</v>
      </c>
      <c r="X1587" s="1095" t="e">
        <f>IF($D$1212="",0,$D1587*Table3[[#This Row],[CF]]*chronic_consumption!$S387/1000/$C$3)</f>
        <v>#DIV/0!</v>
      </c>
      <c r="Y1587" s="1095" t="e">
        <f>IF($D$1212="",0,$D1587*Table3[[#This Row],[CF]]*chronic_consumption!$T387/1000/$C$3)</f>
        <v>#DIV/0!</v>
      </c>
      <c r="Z1587" s="1095" t="e">
        <f>IF($D$1212="",0,$D1587*Table3[[#This Row],[CF]]*chronic_consumption!$U387/1000/$C$3)</f>
        <v>#DIV/0!</v>
      </c>
      <c r="AA1587" s="1095" t="e">
        <f>IF($D$1212="",0,$D1587*Table3[[#This Row],[CF]]*chronic_consumption!$V387/1000/$C$3)</f>
        <v>#DIV/0!</v>
      </c>
      <c r="AB1587" s="1095" t="e">
        <f>IF($D$1212="",0,$D1587*Table3[[#This Row],[CF]]*chronic_consumption!$W387/1000/$C$3)</f>
        <v>#DIV/0!</v>
      </c>
      <c r="AC1587" s="1095" t="e">
        <f>IF($D$1212="",0,$D1587*Table3[[#This Row],[CF]]*chronic_consumption!$X387/1000/$C$3)</f>
        <v>#DIV/0!</v>
      </c>
      <c r="AD1587" s="1095" t="e">
        <f>IF($D$1212="",0,$D1587*Table3[[#This Row],[CF]]*chronic_consumption!$Y387/1000/$C$3)</f>
        <v>#DIV/0!</v>
      </c>
      <c r="AE1587" s="1095" t="e">
        <f>IF($D$1212="",0,$D1587*Table3[[#This Row],[CF]]*chronic_consumption!$Z387/1000/$C$3)</f>
        <v>#DIV/0!</v>
      </c>
      <c r="AF1587" s="1095" t="e">
        <f>IF($D$1212="",0,$D1587*Table3[[#This Row],[CF]]*chronic_consumption!$AA387/1000/$C$3)</f>
        <v>#DIV/0!</v>
      </c>
      <c r="AG1587" s="1095" t="e">
        <f>IF($D$1212="",0,$D1587*Table3[[#This Row],[CF]]*chronic_consumption!$AB387/1000/$C$3)</f>
        <v>#DIV/0!</v>
      </c>
      <c r="AH1587" s="1095" t="e">
        <f>IF($D$1212="",0,$D1587*Table3[[#This Row],[CF]]*chronic_consumption!$AC387/1000/$C$3)</f>
        <v>#DIV/0!</v>
      </c>
      <c r="AI1587" s="1095" t="e">
        <f>IF($D$1212="",0,$D1587*Table3[[#This Row],[CF]]*chronic_consumption!$AD387/1000/$C$3)</f>
        <v>#DIV/0!</v>
      </c>
      <c r="AJ1587" s="1095" t="e">
        <f>IF($D$1212="",0,$D1587*Table3[[#This Row],[CF]]*chronic_consumption!$AE387/1000/$C$3)</f>
        <v>#DIV/0!</v>
      </c>
      <c r="AK1587" s="1095" t="e">
        <f>IF($D$1212="",0,$D1587*Table3[[#This Row],[CF]]*chronic_consumption!$AF387/1000/$C$3)</f>
        <v>#DIV/0!</v>
      </c>
      <c r="AL1587" s="1095" t="e">
        <f>IF($D$1212="",0,$D1587*Table3[[#This Row],[CF]]*chronic_consumption!$AG387/1000/$C$3)</f>
        <v>#DIV/0!</v>
      </c>
      <c r="AM1587" s="1095" t="e">
        <f>IF($D$1212="",0,$D1587*Table3[[#This Row],[CF]]*chronic_consumption!$AH387/1000/$C$3)</f>
        <v>#DIV/0!</v>
      </c>
      <c r="AN1587" s="1095" t="e">
        <f>IF($D$1212="",0,$D1587*Table3[[#This Row],[CF]]*chronic_consumption!$AI387/1000/$C$3)</f>
        <v>#DIV/0!</v>
      </c>
      <c r="AO1587" s="1095" t="e">
        <f>IF($D$1212="",0,$D1587*Table3[[#This Row],[CF]]*chronic_consumption!$AJ387/1000/$C$3)</f>
        <v>#DIV/0!</v>
      </c>
      <c r="AP1587" s="1095" t="e">
        <f>IF($D$1212="",0,$D1587*Table3[[#This Row],[CF]]*chronic_consumption!$AK387/1000/$C$3)</f>
        <v>#DIV/0!</v>
      </c>
      <c r="AQ1587" s="1095" t="e">
        <f>IF($D$1212="",0,$D1587*Table3[[#This Row],[CF]]*chronic_consumption!$AL387/1000/$C$3)</f>
        <v>#DIV/0!</v>
      </c>
      <c r="AR1587" s="1095" t="e">
        <f>IF($D$1212="",0,$D1587*Table3[[#This Row],[CF]]*chronic_consumption!$AM387/1000/$C$3)</f>
        <v>#DIV/0!</v>
      </c>
      <c r="AS1587" s="1095" t="e">
        <f>IF($D$1212="",0,$D1587*Table3[[#This Row],[CF]]*chronic_consumption!$AN387/1000/$C$3)</f>
        <v>#DIV/0!</v>
      </c>
      <c r="AT1587" s="1095" t="e">
        <f>IF($D$1212="",0,$D1587*Table3[[#This Row],[CF]]*chronic_consumption!$AO387/1000/$C$3)</f>
        <v>#DIV/0!</v>
      </c>
      <c r="AU1587" s="1096" t="e">
        <f t="shared" si="897"/>
        <v>#DIV/0!</v>
      </c>
      <c r="AV1587" s="1096" t="e">
        <f t="shared" si="897"/>
        <v>#DIV/0!</v>
      </c>
      <c r="AW1587" s="1096" t="e">
        <f t="shared" si="897"/>
        <v>#DIV/0!</v>
      </c>
      <c r="AX1587" s="1096" t="e">
        <f t="shared" si="897"/>
        <v>#DIV/0!</v>
      </c>
      <c r="AY1587" s="1096" t="e">
        <f t="shared" si="897"/>
        <v>#DIV/0!</v>
      </c>
      <c r="AZ1587" s="1091" t="s">
        <v>1012</v>
      </c>
      <c r="BA1587" s="1097" t="e">
        <f>IF(Table3[[#This Row],[max]]&lt;&gt;0,RANK(Table3[[#This Row],[max]],Table3[max],0),"")</f>
        <v>#DIV/0!</v>
      </c>
      <c r="BB1587" s="1096" t="e">
        <f t="shared" si="889"/>
        <v>#DIV/0!</v>
      </c>
      <c r="BC1587" s="1096" t="e">
        <f t="shared" ca="1" si="890"/>
        <v>#DIV/0!</v>
      </c>
      <c r="BD1587" s="1096" t="e">
        <f>IF(Table3[[#This Row],[max]]&gt;0,Table3[[#This Row],[Crop groups and examples of individual products within the groups to which the MRLs apply]],"")</f>
        <v>#DIV/0!</v>
      </c>
    </row>
    <row r="1588" spans="2:56" x14ac:dyDescent="0.2">
      <c r="B1588" s="131">
        <f t="shared" si="895"/>
        <v>1060000</v>
      </c>
      <c r="C1588" s="131" t="str">
        <f t="shared" si="895"/>
        <v>Terrestrial invertebrate animals</v>
      </c>
      <c r="D1588" s="1084">
        <f>input_values!E388</f>
        <v>0</v>
      </c>
      <c r="E1588" s="1084">
        <f>input_values!F388</f>
        <v>0</v>
      </c>
      <c r="F1588" s="1085">
        <f>input_values!W388</f>
        <v>1</v>
      </c>
      <c r="G1588" s="1085" t="str">
        <f>IF(Table3[[#This Row],[CF]]&gt;0,CONCATENATE(IF(Table3[[#This Row],[LOQ]]="*","LOQ","MRL"),IF(input_values!G388&gt;0,"×CFrisk","")),"")</f>
        <v>MRL</v>
      </c>
      <c r="H1588" s="1087">
        <f>input_values!L388</f>
        <v>0</v>
      </c>
      <c r="I1588" s="1088">
        <f>input_values!D388</f>
        <v>0</v>
      </c>
      <c r="J1588" s="1095" t="e">
        <f>IF($D$1212="",0,$D1588*Table3[[#This Row],[CF]]*chronic_consumption!$E388/1000/$C$3)</f>
        <v>#DIV/0!</v>
      </c>
      <c r="K1588" s="1095" t="e">
        <f>IF($D$1212="",0,$D1588*Table3[[#This Row],[CF]]*chronic_consumption!$F388/1000/$C$3)</f>
        <v>#DIV/0!</v>
      </c>
      <c r="L1588" s="1095" t="e">
        <f>IF($D$1212="",0,$D1588*Table3[[#This Row],[CF]]*chronic_consumption!$G388/1000/$C$3)</f>
        <v>#DIV/0!</v>
      </c>
      <c r="M1588" s="1095" t="e">
        <f>IF($D$1212="",0,$D1588*Table3[[#This Row],[CF]]*chronic_consumption!$H388/1000/$C$3)</f>
        <v>#DIV/0!</v>
      </c>
      <c r="N1588" s="1095" t="e">
        <f>IF($D$1212="",0,$D1588*Table3[[#This Row],[CF]]*chronic_consumption!$I388/1000/$C$3)</f>
        <v>#DIV/0!</v>
      </c>
      <c r="O1588" s="1095" t="e">
        <f>IF($D$1212="",0,$D1588*Table3[[#This Row],[CF]]*chronic_consumption!$J388/1000/$C$3)</f>
        <v>#DIV/0!</v>
      </c>
      <c r="P1588" s="1095" t="e">
        <f>IF($D$1212="",0,$D1588*Table3[[#This Row],[CF]]*chronic_consumption!$K388/1000/$C$3)</f>
        <v>#DIV/0!</v>
      </c>
      <c r="Q1588" s="1095" t="e">
        <f>IF($D$1212="",0,$D1588*Table3[[#This Row],[CF]]*chronic_consumption!$L388/1000/$C$3)</f>
        <v>#DIV/0!</v>
      </c>
      <c r="R1588" s="1095" t="e">
        <f>IF($D$1212="",0,$D1588*Table3[[#This Row],[CF]]*chronic_consumption!$M388/1000/$C$3)</f>
        <v>#DIV/0!</v>
      </c>
      <c r="S1588" s="1095" t="e">
        <f>IF($D$1212="",0,$D1588*Table3[[#This Row],[CF]]*chronic_consumption!$N388/1000/$C$3)</f>
        <v>#DIV/0!</v>
      </c>
      <c r="T1588" s="1095" t="e">
        <f>IF($D$1212="",0,$D1588*Table3[[#This Row],[CF]]*chronic_consumption!$O388/1000/$C$3)</f>
        <v>#DIV/0!</v>
      </c>
      <c r="U1588" s="1095" t="e">
        <f>IF($D$1212="",0,$D1588*Table3[[#This Row],[CF]]*chronic_consumption!$P388/1000/$C$3)</f>
        <v>#DIV/0!</v>
      </c>
      <c r="V1588" s="1095" t="e">
        <f>IF($D$1212="",0,$D1588*Table3[[#This Row],[CF]]*chronic_consumption!$Q388/1000/$C$3)</f>
        <v>#DIV/0!</v>
      </c>
      <c r="W1588" s="1095" t="e">
        <f>IF($D$1212="",0,$D1588*Table3[[#This Row],[CF]]*chronic_consumption!$R388/1000/$C$3)</f>
        <v>#DIV/0!</v>
      </c>
      <c r="X1588" s="1095" t="e">
        <f>IF($D$1212="",0,$D1588*Table3[[#This Row],[CF]]*chronic_consumption!$S388/1000/$C$3)</f>
        <v>#DIV/0!</v>
      </c>
      <c r="Y1588" s="1095" t="e">
        <f>IF($D$1212="",0,$D1588*Table3[[#This Row],[CF]]*chronic_consumption!$T388/1000/$C$3)</f>
        <v>#DIV/0!</v>
      </c>
      <c r="Z1588" s="1095" t="e">
        <f>IF($D$1212="",0,$D1588*Table3[[#This Row],[CF]]*chronic_consumption!$U388/1000/$C$3)</f>
        <v>#DIV/0!</v>
      </c>
      <c r="AA1588" s="1095" t="e">
        <f>IF($D$1212="",0,$D1588*Table3[[#This Row],[CF]]*chronic_consumption!$V388/1000/$C$3)</f>
        <v>#DIV/0!</v>
      </c>
      <c r="AB1588" s="1095" t="e">
        <f>IF($D$1212="",0,$D1588*Table3[[#This Row],[CF]]*chronic_consumption!$W388/1000/$C$3)</f>
        <v>#DIV/0!</v>
      </c>
      <c r="AC1588" s="1095" t="e">
        <f>IF($D$1212="",0,$D1588*Table3[[#This Row],[CF]]*chronic_consumption!$X388/1000/$C$3)</f>
        <v>#DIV/0!</v>
      </c>
      <c r="AD1588" s="1095" t="e">
        <f>IF($D$1212="",0,$D1588*Table3[[#This Row],[CF]]*chronic_consumption!$Y388/1000/$C$3)</f>
        <v>#DIV/0!</v>
      </c>
      <c r="AE1588" s="1095" t="e">
        <f>IF($D$1212="",0,$D1588*Table3[[#This Row],[CF]]*chronic_consumption!$Z388/1000/$C$3)</f>
        <v>#DIV/0!</v>
      </c>
      <c r="AF1588" s="1095" t="e">
        <f>IF($D$1212="",0,$D1588*Table3[[#This Row],[CF]]*chronic_consumption!$AA388/1000/$C$3)</f>
        <v>#DIV/0!</v>
      </c>
      <c r="AG1588" s="1095" t="e">
        <f>IF($D$1212="",0,$D1588*Table3[[#This Row],[CF]]*chronic_consumption!$AB388/1000/$C$3)</f>
        <v>#DIV/0!</v>
      </c>
      <c r="AH1588" s="1095" t="e">
        <f>IF($D$1212="",0,$D1588*Table3[[#This Row],[CF]]*chronic_consumption!$AC388/1000/$C$3)</f>
        <v>#DIV/0!</v>
      </c>
      <c r="AI1588" s="1095" t="e">
        <f>IF($D$1212="",0,$D1588*Table3[[#This Row],[CF]]*chronic_consumption!$AD388/1000/$C$3)</f>
        <v>#DIV/0!</v>
      </c>
      <c r="AJ1588" s="1095" t="e">
        <f>IF($D$1212="",0,$D1588*Table3[[#This Row],[CF]]*chronic_consumption!$AE388/1000/$C$3)</f>
        <v>#DIV/0!</v>
      </c>
      <c r="AK1588" s="1095" t="e">
        <f>IF($D$1212="",0,$D1588*Table3[[#This Row],[CF]]*chronic_consumption!$AF388/1000/$C$3)</f>
        <v>#DIV/0!</v>
      </c>
      <c r="AL1588" s="1095" t="e">
        <f>IF($D$1212="",0,$D1588*Table3[[#This Row],[CF]]*chronic_consumption!$AG388/1000/$C$3)</f>
        <v>#DIV/0!</v>
      </c>
      <c r="AM1588" s="1095" t="e">
        <f>IF($D$1212="",0,$D1588*Table3[[#This Row],[CF]]*chronic_consumption!$AH388/1000/$C$3)</f>
        <v>#DIV/0!</v>
      </c>
      <c r="AN1588" s="1095" t="e">
        <f>IF($D$1212="",0,$D1588*Table3[[#This Row],[CF]]*chronic_consumption!$AI388/1000/$C$3)</f>
        <v>#DIV/0!</v>
      </c>
      <c r="AO1588" s="1095" t="e">
        <f>IF($D$1212="",0,$D1588*Table3[[#This Row],[CF]]*chronic_consumption!$AJ388/1000/$C$3)</f>
        <v>#DIV/0!</v>
      </c>
      <c r="AP1588" s="1095" t="e">
        <f>IF($D$1212="",0,$D1588*Table3[[#This Row],[CF]]*chronic_consumption!$AK388/1000/$C$3)</f>
        <v>#DIV/0!</v>
      </c>
      <c r="AQ1588" s="1095" t="e">
        <f>IF($D$1212="",0,$D1588*Table3[[#This Row],[CF]]*chronic_consumption!$AL388/1000/$C$3)</f>
        <v>#DIV/0!</v>
      </c>
      <c r="AR1588" s="1095" t="e">
        <f>IF($D$1212="",0,$D1588*Table3[[#This Row],[CF]]*chronic_consumption!$AM388/1000/$C$3)</f>
        <v>#DIV/0!</v>
      </c>
      <c r="AS1588" s="1095" t="e">
        <f>IF($D$1212="",0,$D1588*Table3[[#This Row],[CF]]*chronic_consumption!$AN388/1000/$C$3)</f>
        <v>#DIV/0!</v>
      </c>
      <c r="AT1588" s="1095" t="e">
        <f>IF($D$1212="",0,$D1588*Table3[[#This Row],[CF]]*chronic_consumption!$AO388/1000/$C$3)</f>
        <v>#DIV/0!</v>
      </c>
      <c r="AU1588" s="1096" t="e">
        <f t="shared" si="897"/>
        <v>#DIV/0!</v>
      </c>
      <c r="AV1588" s="1096" t="e">
        <f t="shared" si="897"/>
        <v>#DIV/0!</v>
      </c>
      <c r="AW1588" s="1096" t="e">
        <f t="shared" si="897"/>
        <v>#DIV/0!</v>
      </c>
      <c r="AX1588" s="1096" t="e">
        <f t="shared" si="897"/>
        <v>#DIV/0!</v>
      </c>
      <c r="AY1588" s="1096" t="e">
        <f t="shared" si="897"/>
        <v>#DIV/0!</v>
      </c>
      <c r="AZ1588" s="1091" t="s">
        <v>1012</v>
      </c>
      <c r="BA1588" s="1097" t="e">
        <f>IF(Table3[[#This Row],[max]]&lt;&gt;0,RANK(Table3[[#This Row],[max]],Table3[max],0),"")</f>
        <v>#DIV/0!</v>
      </c>
      <c r="BB1588" s="1096" t="e">
        <f t="shared" si="889"/>
        <v>#DIV/0!</v>
      </c>
      <c r="BC1588" s="1096" t="e">
        <f t="shared" ca="1" si="890"/>
        <v>#DIV/0!</v>
      </c>
      <c r="BD1588" s="1096" t="e">
        <f>IF(Table3[[#This Row],[max]]&gt;0,Table3[[#This Row],[Crop groups and examples of individual products within the groups to which the MRLs apply]],"")</f>
        <v>#DIV/0!</v>
      </c>
    </row>
    <row r="1589" spans="2:56" x14ac:dyDescent="0.2">
      <c r="B1589" s="131">
        <f t="shared" si="895"/>
        <v>1070000</v>
      </c>
      <c r="C1589" s="131" t="str">
        <f t="shared" si="895"/>
        <v>Wild terrestrial vertebrate animals</v>
      </c>
      <c r="D1589" s="1084">
        <f>input_values!E389</f>
        <v>0</v>
      </c>
      <c r="E1589" s="1084">
        <f>input_values!F389</f>
        <v>0</v>
      </c>
      <c r="F1589" s="1085">
        <f>input_values!W389</f>
        <v>1</v>
      </c>
      <c r="G1589" s="1085" t="str">
        <f>IF(Table3[[#This Row],[CF]]&gt;0,CONCATENATE(IF(Table3[[#This Row],[LOQ]]="*","LOQ","MRL"),IF(input_values!G389&gt;0,"×CFrisk","")),"")</f>
        <v>MRL</v>
      </c>
      <c r="H1589" s="1087">
        <f>input_values!L389</f>
        <v>0</v>
      </c>
      <c r="I1589" s="1088">
        <f>input_values!D389</f>
        <v>0</v>
      </c>
      <c r="J1589" s="1095" t="e">
        <f>IF($D$1212="",0,$D1589*Table3[[#This Row],[CF]]*chronic_consumption!$E389/1000/$C$3)</f>
        <v>#DIV/0!</v>
      </c>
      <c r="K1589" s="1095" t="e">
        <f>IF($D$1212="",0,$D1589*Table3[[#This Row],[CF]]*chronic_consumption!$F389/1000/$C$3)</f>
        <v>#DIV/0!</v>
      </c>
      <c r="L1589" s="1095" t="e">
        <f>IF($D$1212="",0,$D1589*Table3[[#This Row],[CF]]*chronic_consumption!$G389/1000/$C$3)</f>
        <v>#DIV/0!</v>
      </c>
      <c r="M1589" s="1095" t="e">
        <f>IF($D$1212="",0,$D1589*Table3[[#This Row],[CF]]*chronic_consumption!$H389/1000/$C$3)</f>
        <v>#DIV/0!</v>
      </c>
      <c r="N1589" s="1095" t="e">
        <f>IF($D$1212="",0,$D1589*Table3[[#This Row],[CF]]*chronic_consumption!$I389/1000/$C$3)</f>
        <v>#DIV/0!</v>
      </c>
      <c r="O1589" s="1095" t="e">
        <f>IF($D$1212="",0,$D1589*Table3[[#This Row],[CF]]*chronic_consumption!$J389/1000/$C$3)</f>
        <v>#DIV/0!</v>
      </c>
      <c r="P1589" s="1095" t="e">
        <f>IF($D$1212="",0,$D1589*Table3[[#This Row],[CF]]*chronic_consumption!$K389/1000/$C$3)</f>
        <v>#DIV/0!</v>
      </c>
      <c r="Q1589" s="1095" t="e">
        <f>IF($D$1212="",0,$D1589*Table3[[#This Row],[CF]]*chronic_consumption!$L389/1000/$C$3)</f>
        <v>#DIV/0!</v>
      </c>
      <c r="R1589" s="1095" t="e">
        <f>IF($D$1212="",0,$D1589*Table3[[#This Row],[CF]]*chronic_consumption!$M389/1000/$C$3)</f>
        <v>#DIV/0!</v>
      </c>
      <c r="S1589" s="1095" t="e">
        <f>IF($D$1212="",0,$D1589*Table3[[#This Row],[CF]]*chronic_consumption!$N389/1000/$C$3)</f>
        <v>#DIV/0!</v>
      </c>
      <c r="T1589" s="1095" t="e">
        <f>IF($D$1212="",0,$D1589*Table3[[#This Row],[CF]]*chronic_consumption!$O389/1000/$C$3)</f>
        <v>#DIV/0!</v>
      </c>
      <c r="U1589" s="1095" t="e">
        <f>IF($D$1212="",0,$D1589*Table3[[#This Row],[CF]]*chronic_consumption!$P389/1000/$C$3)</f>
        <v>#DIV/0!</v>
      </c>
      <c r="V1589" s="1095" t="e">
        <f>IF($D$1212="",0,$D1589*Table3[[#This Row],[CF]]*chronic_consumption!$Q389/1000/$C$3)</f>
        <v>#DIV/0!</v>
      </c>
      <c r="W1589" s="1095" t="e">
        <f>IF($D$1212="",0,$D1589*Table3[[#This Row],[CF]]*chronic_consumption!$R389/1000/$C$3)</f>
        <v>#DIV/0!</v>
      </c>
      <c r="X1589" s="1095" t="e">
        <f>IF($D$1212="",0,$D1589*Table3[[#This Row],[CF]]*chronic_consumption!$S389/1000/$C$3)</f>
        <v>#DIV/0!</v>
      </c>
      <c r="Y1589" s="1095" t="e">
        <f>IF($D$1212="",0,$D1589*Table3[[#This Row],[CF]]*chronic_consumption!$T389/1000/$C$3)</f>
        <v>#DIV/0!</v>
      </c>
      <c r="Z1589" s="1095" t="e">
        <f>IF($D$1212="",0,$D1589*Table3[[#This Row],[CF]]*chronic_consumption!$U389/1000/$C$3)</f>
        <v>#DIV/0!</v>
      </c>
      <c r="AA1589" s="1095" t="e">
        <f>IF($D$1212="",0,$D1589*Table3[[#This Row],[CF]]*chronic_consumption!$V389/1000/$C$3)</f>
        <v>#DIV/0!</v>
      </c>
      <c r="AB1589" s="1095" t="e">
        <f>IF($D$1212="",0,$D1589*Table3[[#This Row],[CF]]*chronic_consumption!$W389/1000/$C$3)</f>
        <v>#DIV/0!</v>
      </c>
      <c r="AC1589" s="1095" t="e">
        <f>IF($D$1212="",0,$D1589*Table3[[#This Row],[CF]]*chronic_consumption!$X389/1000/$C$3)</f>
        <v>#DIV/0!</v>
      </c>
      <c r="AD1589" s="1095" t="e">
        <f>IF($D$1212="",0,$D1589*Table3[[#This Row],[CF]]*chronic_consumption!$Y389/1000/$C$3)</f>
        <v>#DIV/0!</v>
      </c>
      <c r="AE1589" s="1095" t="e">
        <f>IF($D$1212="",0,$D1589*Table3[[#This Row],[CF]]*chronic_consumption!$Z389/1000/$C$3)</f>
        <v>#DIV/0!</v>
      </c>
      <c r="AF1589" s="1095" t="e">
        <f>IF($D$1212="",0,$D1589*Table3[[#This Row],[CF]]*chronic_consumption!$AA389/1000/$C$3)</f>
        <v>#DIV/0!</v>
      </c>
      <c r="AG1589" s="1095" t="e">
        <f>IF($D$1212="",0,$D1589*Table3[[#This Row],[CF]]*chronic_consumption!$AB389/1000/$C$3)</f>
        <v>#DIV/0!</v>
      </c>
      <c r="AH1589" s="1095" t="e">
        <f>IF($D$1212="",0,$D1589*Table3[[#This Row],[CF]]*chronic_consumption!$AC389/1000/$C$3)</f>
        <v>#DIV/0!</v>
      </c>
      <c r="AI1589" s="1095" t="e">
        <f>IF($D$1212="",0,$D1589*Table3[[#This Row],[CF]]*chronic_consumption!$AD389/1000/$C$3)</f>
        <v>#DIV/0!</v>
      </c>
      <c r="AJ1589" s="1095" t="e">
        <f>IF($D$1212="",0,$D1589*Table3[[#This Row],[CF]]*chronic_consumption!$AE389/1000/$C$3)</f>
        <v>#DIV/0!</v>
      </c>
      <c r="AK1589" s="1095" t="e">
        <f>IF($D$1212="",0,$D1589*Table3[[#This Row],[CF]]*chronic_consumption!$AF389/1000/$C$3)</f>
        <v>#DIV/0!</v>
      </c>
      <c r="AL1589" s="1095" t="e">
        <f>IF($D$1212="",0,$D1589*Table3[[#This Row],[CF]]*chronic_consumption!$AG389/1000/$C$3)</f>
        <v>#DIV/0!</v>
      </c>
      <c r="AM1589" s="1095" t="e">
        <f>IF($D$1212="",0,$D1589*Table3[[#This Row],[CF]]*chronic_consumption!$AH389/1000/$C$3)</f>
        <v>#DIV/0!</v>
      </c>
      <c r="AN1589" s="1095" t="e">
        <f>IF($D$1212="",0,$D1589*Table3[[#This Row],[CF]]*chronic_consumption!$AI389/1000/$C$3)</f>
        <v>#DIV/0!</v>
      </c>
      <c r="AO1589" s="1095" t="e">
        <f>IF($D$1212="",0,$D1589*Table3[[#This Row],[CF]]*chronic_consumption!$AJ389/1000/$C$3)</f>
        <v>#DIV/0!</v>
      </c>
      <c r="AP1589" s="1095" t="e">
        <f>IF($D$1212="",0,$D1589*Table3[[#This Row],[CF]]*chronic_consumption!$AK389/1000/$C$3)</f>
        <v>#DIV/0!</v>
      </c>
      <c r="AQ1589" s="1095" t="e">
        <f>IF($D$1212="",0,$D1589*Table3[[#This Row],[CF]]*chronic_consumption!$AL389/1000/$C$3)</f>
        <v>#DIV/0!</v>
      </c>
      <c r="AR1589" s="1095" t="e">
        <f>IF($D$1212="",0,$D1589*Table3[[#This Row],[CF]]*chronic_consumption!$AM389/1000/$C$3)</f>
        <v>#DIV/0!</v>
      </c>
      <c r="AS1589" s="1095" t="e">
        <f>IF($D$1212="",0,$D1589*Table3[[#This Row],[CF]]*chronic_consumption!$AN389/1000/$C$3)</f>
        <v>#DIV/0!</v>
      </c>
      <c r="AT1589" s="1095" t="e">
        <f>IF($D$1212="",0,$D1589*Table3[[#This Row],[CF]]*chronic_consumption!$AO389/1000/$C$3)</f>
        <v>#DIV/0!</v>
      </c>
      <c r="AU1589" s="1096" t="e">
        <f t="shared" si="897"/>
        <v>#DIV/0!</v>
      </c>
      <c r="AV1589" s="1096" t="e">
        <f t="shared" si="897"/>
        <v>#DIV/0!</v>
      </c>
      <c r="AW1589" s="1096" t="e">
        <f t="shared" si="897"/>
        <v>#DIV/0!</v>
      </c>
      <c r="AX1589" s="1096" t="e">
        <f t="shared" si="897"/>
        <v>#DIV/0!</v>
      </c>
      <c r="AY1589" s="1096" t="e">
        <f t="shared" si="897"/>
        <v>#DIV/0!</v>
      </c>
      <c r="AZ1589" s="1091" t="s">
        <v>1012</v>
      </c>
      <c r="BA1589" s="1097" t="e">
        <f>IF(Table3[[#This Row],[max]]&lt;&gt;0,RANK(Table3[[#This Row],[max]],Table3[max],0),"")</f>
        <v>#DIV/0!</v>
      </c>
      <c r="BB1589" s="1096" t="e">
        <f t="shared" si="889"/>
        <v>#DIV/0!</v>
      </c>
      <c r="BC1589" s="1096" t="e">
        <f t="shared" ca="1" si="890"/>
        <v>#DIV/0!</v>
      </c>
      <c r="BD1589" s="1096" t="e">
        <f>IF(Table3[[#This Row],[max]]&gt;0,Table3[[#This Row],[Crop groups and examples of individual products within the groups to which the MRLs apply]],"")</f>
        <v>#DIV/0!</v>
      </c>
    </row>
    <row r="1590" spans="2:56" ht="24" x14ac:dyDescent="0.2">
      <c r="B1590" s="127">
        <f t="shared" si="895"/>
        <v>1100000</v>
      </c>
      <c r="C1590" s="127" t="str">
        <f t="shared" si="895"/>
        <v>FISH, FISHPRODUCTS AND ANY OTHER MARINE AND FRESHWATER FOOD PRODUCTS</v>
      </c>
      <c r="D1590" s="1084">
        <f>input_values!E390</f>
        <v>0</v>
      </c>
      <c r="E1590" s="1084">
        <f>input_values!F390</f>
        <v>0</v>
      </c>
      <c r="F1590" s="1085">
        <f>input_values!W390</f>
        <v>0</v>
      </c>
      <c r="G1590" s="1085" t="str">
        <f>IF(Table3[[#This Row],[CF]]&gt;0,CONCATENATE(IF(Table3[[#This Row],[LOQ]]="*","LOQ","MRL"),IF(input_values!G390&gt;0,"×CFrisk","")),"")</f>
        <v/>
      </c>
      <c r="H1590" s="1087">
        <f>input_values!L390</f>
        <v>0</v>
      </c>
      <c r="I1590" s="1088">
        <f>input_values!D390</f>
        <v>0</v>
      </c>
      <c r="J1590" s="1105" t="e">
        <f>IF($D$1212="",0,$D1590*Table3[[#This Row],[CF]]*chronic_consumption!$E390/1000/$C$3)</f>
        <v>#DIV/0!</v>
      </c>
      <c r="K1590" s="1105" t="e">
        <f>IF($D$1212="",0,$D1590*Table3[[#This Row],[CF]]*chronic_consumption!$F390/1000/$C$3)</f>
        <v>#DIV/0!</v>
      </c>
      <c r="L1590" s="1105" t="e">
        <f>IF($D$1212="",0,$D1590*Table3[[#This Row],[CF]]*chronic_consumption!$G390/1000/$C$3)</f>
        <v>#DIV/0!</v>
      </c>
      <c r="M1590" s="1105" t="e">
        <f>IF($D$1212="",0,$D1590*Table3[[#This Row],[CF]]*chronic_consumption!$H390/1000/$C$3)</f>
        <v>#DIV/0!</v>
      </c>
      <c r="N1590" s="1105" t="e">
        <f>IF($D$1212="",0,$D1590*Table3[[#This Row],[CF]]*chronic_consumption!$I390/1000/$C$3)</f>
        <v>#DIV/0!</v>
      </c>
      <c r="O1590" s="1105" t="e">
        <f>IF($D$1212="",0,$D1590*Table3[[#This Row],[CF]]*chronic_consumption!$J390/1000/$C$3)</f>
        <v>#DIV/0!</v>
      </c>
      <c r="P1590" s="1105" t="e">
        <f>IF($D$1212="",0,$D1590*Table3[[#This Row],[CF]]*chronic_consumption!$K390/1000/$C$3)</f>
        <v>#DIV/0!</v>
      </c>
      <c r="Q1590" s="1105" t="e">
        <f>IF($D$1212="",0,$D1590*Table3[[#This Row],[CF]]*chronic_consumption!$L390/1000/$C$3)</f>
        <v>#DIV/0!</v>
      </c>
      <c r="R1590" s="1105" t="e">
        <f>IF($D$1212="",0,$D1590*Table3[[#This Row],[CF]]*chronic_consumption!$M390/1000/$C$3)</f>
        <v>#DIV/0!</v>
      </c>
      <c r="S1590" s="1105" t="e">
        <f>IF($D$1212="",0,$D1590*Table3[[#This Row],[CF]]*chronic_consumption!$N390/1000/$C$3)</f>
        <v>#DIV/0!</v>
      </c>
      <c r="T1590" s="1105" t="e">
        <f>IF($D$1212="",0,$D1590*Table3[[#This Row],[CF]]*chronic_consumption!$O390/1000/$C$3)</f>
        <v>#DIV/0!</v>
      </c>
      <c r="U1590" s="1105" t="e">
        <f>IF($D$1212="",0,$D1590*Table3[[#This Row],[CF]]*chronic_consumption!$P390/1000/$C$3)</f>
        <v>#DIV/0!</v>
      </c>
      <c r="V1590" s="1105" t="e">
        <f>IF($D$1212="",0,$D1590*Table3[[#This Row],[CF]]*chronic_consumption!$Q390/1000/$C$3)</f>
        <v>#DIV/0!</v>
      </c>
      <c r="W1590" s="1105" t="e">
        <f>IF($D$1212="",0,$D1590*Table3[[#This Row],[CF]]*chronic_consumption!$R390/1000/$C$3)</f>
        <v>#DIV/0!</v>
      </c>
      <c r="X1590" s="1105" t="e">
        <f>IF($D$1212="",0,$D1590*Table3[[#This Row],[CF]]*chronic_consumption!$S390/1000/$C$3)</f>
        <v>#DIV/0!</v>
      </c>
      <c r="Y1590" s="1105" t="e">
        <f>IF($D$1212="",0,$D1590*Table3[[#This Row],[CF]]*chronic_consumption!$T390/1000/$C$3)</f>
        <v>#DIV/0!</v>
      </c>
      <c r="Z1590" s="1105" t="e">
        <f>IF($D$1212="",0,$D1590*Table3[[#This Row],[CF]]*chronic_consumption!$U390/1000/$C$3)</f>
        <v>#DIV/0!</v>
      </c>
      <c r="AA1590" s="1105" t="e">
        <f>IF($D$1212="",0,$D1590*Table3[[#This Row],[CF]]*chronic_consumption!$V390/1000/$C$3)</f>
        <v>#DIV/0!</v>
      </c>
      <c r="AB1590" s="1105" t="e">
        <f>IF($D$1212="",0,$D1590*Table3[[#This Row],[CF]]*chronic_consumption!$W390/1000/$C$3)</f>
        <v>#DIV/0!</v>
      </c>
      <c r="AC1590" s="1105" t="e">
        <f>IF($D$1212="",0,$D1590*Table3[[#This Row],[CF]]*chronic_consumption!$X390/1000/$C$3)</f>
        <v>#DIV/0!</v>
      </c>
      <c r="AD1590" s="1105" t="e">
        <f>IF($D$1212="",0,$D1590*Table3[[#This Row],[CF]]*chronic_consumption!$Y390/1000/$C$3)</f>
        <v>#DIV/0!</v>
      </c>
      <c r="AE1590" s="1105" t="e">
        <f>IF($D$1212="",0,$D1590*Table3[[#This Row],[CF]]*chronic_consumption!$Z390/1000/$C$3)</f>
        <v>#DIV/0!</v>
      </c>
      <c r="AF1590" s="1105" t="e">
        <f>IF($D$1212="",0,$D1590*Table3[[#This Row],[CF]]*chronic_consumption!$AA390/1000/$C$3)</f>
        <v>#DIV/0!</v>
      </c>
      <c r="AG1590" s="1105" t="e">
        <f>IF($D$1212="",0,$D1590*Table3[[#This Row],[CF]]*chronic_consumption!$AB390/1000/$C$3)</f>
        <v>#DIV/0!</v>
      </c>
      <c r="AH1590" s="1105" t="e">
        <f>IF($D$1212="",0,$D1590*Table3[[#This Row],[CF]]*chronic_consumption!$AC390/1000/$C$3)</f>
        <v>#DIV/0!</v>
      </c>
      <c r="AI1590" s="1105" t="e">
        <f>IF($D$1212="",0,$D1590*Table3[[#This Row],[CF]]*chronic_consumption!$AD390/1000/$C$3)</f>
        <v>#DIV/0!</v>
      </c>
      <c r="AJ1590" s="1105" t="e">
        <f>IF($D$1212="",0,$D1590*Table3[[#This Row],[CF]]*chronic_consumption!$AE390/1000/$C$3)</f>
        <v>#DIV/0!</v>
      </c>
      <c r="AK1590" s="1105" t="e">
        <f>IF($D$1212="",0,$D1590*Table3[[#This Row],[CF]]*chronic_consumption!$AF390/1000/$C$3)</f>
        <v>#DIV/0!</v>
      </c>
      <c r="AL1590" s="1105" t="e">
        <f>IF($D$1212="",0,$D1590*Table3[[#This Row],[CF]]*chronic_consumption!$AG390/1000/$C$3)</f>
        <v>#DIV/0!</v>
      </c>
      <c r="AM1590" s="1105" t="e">
        <f>IF($D$1212="",0,$D1590*Table3[[#This Row],[CF]]*chronic_consumption!$AH390/1000/$C$3)</f>
        <v>#DIV/0!</v>
      </c>
      <c r="AN1590" s="1105" t="e">
        <f>IF($D$1212="",0,$D1590*Table3[[#This Row],[CF]]*chronic_consumption!$AI390/1000/$C$3)</f>
        <v>#DIV/0!</v>
      </c>
      <c r="AO1590" s="1105" t="e">
        <f>IF($D$1212="",0,$D1590*Table3[[#This Row],[CF]]*chronic_consumption!$AJ390/1000/$C$3)</f>
        <v>#DIV/0!</v>
      </c>
      <c r="AP1590" s="1105" t="e">
        <f>IF($D$1212="",0,$D1590*Table3[[#This Row],[CF]]*chronic_consumption!$AK390/1000/$C$3)</f>
        <v>#DIV/0!</v>
      </c>
      <c r="AQ1590" s="1105" t="e">
        <f>IF($D$1212="",0,$D1590*Table3[[#This Row],[CF]]*chronic_consumption!$AL390/1000/$C$3)</f>
        <v>#DIV/0!</v>
      </c>
      <c r="AR1590" s="1105" t="e">
        <f>IF($D$1212="",0,$D1590*Table3[[#This Row],[CF]]*chronic_consumption!$AM390/1000/$C$3)</f>
        <v>#DIV/0!</v>
      </c>
      <c r="AS1590" s="1105" t="e">
        <f>IF($D$1212="",0,$D1590*Table3[[#This Row],[CF]]*chronic_consumption!$AN390/1000/$C$3)</f>
        <v>#DIV/0!</v>
      </c>
      <c r="AT1590" s="1105" t="e">
        <f>IF($D$1212="",0,$D1590*Table3[[#This Row],[CF]]*chronic_consumption!$AO390/1000/$C$3)</f>
        <v>#DIV/0!</v>
      </c>
      <c r="AU1590" s="1106" t="e">
        <f t="shared" si="897"/>
        <v>#DIV/0!</v>
      </c>
      <c r="AV1590" s="1106" t="e">
        <f t="shared" si="897"/>
        <v>#DIV/0!</v>
      </c>
      <c r="AW1590" s="1106" t="e">
        <f t="shared" si="897"/>
        <v>#DIV/0!</v>
      </c>
      <c r="AX1590" s="1106" t="e">
        <f t="shared" si="897"/>
        <v>#DIV/0!</v>
      </c>
      <c r="AY1590" s="1106" t="e">
        <f t="shared" si="897"/>
        <v>#DIV/0!</v>
      </c>
      <c r="AZ1590" s="1091" t="s">
        <v>1012</v>
      </c>
      <c r="BA1590" s="1097" t="e">
        <f>IF(Table3[[#This Row],[max]]&lt;&gt;0,RANK(Table3[[#This Row],[max]],Table3[max],0),"")</f>
        <v>#DIV/0!</v>
      </c>
      <c r="BB1590" s="1096" t="e">
        <f t="shared" si="889"/>
        <v>#DIV/0!</v>
      </c>
      <c r="BC1590" s="1096" t="e">
        <f t="shared" ca="1" si="890"/>
        <v>#DIV/0!</v>
      </c>
      <c r="BD1590" s="1096" t="e">
        <f>IF(Table3[[#This Row],[max]]&gt;0,Table3[[#This Row],[Crop groups and examples of individual products within the groups to which the MRLs apply]],"")</f>
        <v>#DIV/0!</v>
      </c>
    </row>
    <row r="1591" spans="2:56" x14ac:dyDescent="0.2">
      <c r="B1591" s="1107">
        <f t="shared" si="895"/>
        <v>0</v>
      </c>
      <c r="C1591" s="1108">
        <f t="shared" si="895"/>
        <v>0</v>
      </c>
      <c r="D1591" s="1109"/>
      <c r="E1591" s="1109"/>
      <c r="F1591" s="1109">
        <f>input_values!W391</f>
        <v>0</v>
      </c>
      <c r="G1591" s="1109" t="str">
        <f>IF(Table3[[#This Row],[CF]]&gt;0,CONCATENATE(IF(Table3[[#This Row],[LOQ]]="*","LOQ","MRL"),IF(input_values!G391&gt;0,"×CFrisk","")),"")</f>
        <v/>
      </c>
      <c r="H1591" s="1109">
        <f>input_values!L391</f>
        <v>0</v>
      </c>
      <c r="I1591" s="1109">
        <f>input_values!D391</f>
        <v>0</v>
      </c>
      <c r="J1591" s="1110" t="e">
        <f>IF($D$1212="",0,$D1591*Table3[[#This Row],[CF]]*chronic_consumption!$E391/1000/$C$3)</f>
        <v>#DIV/0!</v>
      </c>
      <c r="K1591" s="1109" t="e">
        <f>IF($D$1212="",0,$D1591*Table3[[#This Row],[CF]]*chronic_consumption!$F391/1000/$C$3)</f>
        <v>#DIV/0!</v>
      </c>
      <c r="L1591" s="1109">
        <f t="shared" ref="L1591:AY1591" si="898">IF(L1191=0,0,IF(OR(1=RANK(L1191,L$412:L$791,0),(2=RANK(L1191,L$412:L$791,0))),L1191,L791))</f>
        <v>0</v>
      </c>
      <c r="M1591" s="1109">
        <f t="shared" si="898"/>
        <v>0</v>
      </c>
      <c r="N1591" s="1109" t="e">
        <f>IF($D$1212="",0,$D1591*Table3[[#This Row],[CF]]*chronic_consumption!$I391/1000/$C$3)</f>
        <v>#DIV/0!</v>
      </c>
      <c r="O1591" s="1109">
        <f t="shared" si="898"/>
        <v>0</v>
      </c>
      <c r="P1591" s="1109">
        <f t="shared" si="898"/>
        <v>0</v>
      </c>
      <c r="Q1591" s="1109">
        <f t="shared" si="898"/>
        <v>0</v>
      </c>
      <c r="R1591" s="1109">
        <f t="shared" si="898"/>
        <v>0</v>
      </c>
      <c r="S1591" s="1109">
        <f t="shared" si="898"/>
        <v>0</v>
      </c>
      <c r="T1591" s="1109">
        <f t="shared" si="898"/>
        <v>0</v>
      </c>
      <c r="U1591" s="1109">
        <f t="shared" si="898"/>
        <v>0</v>
      </c>
      <c r="V1591" s="1109">
        <f t="shared" si="898"/>
        <v>0</v>
      </c>
      <c r="W1591" s="1109">
        <f t="shared" si="898"/>
        <v>0</v>
      </c>
      <c r="X1591" s="1109">
        <f t="shared" si="898"/>
        <v>0</v>
      </c>
      <c r="Y1591" s="1109">
        <f t="shared" si="898"/>
        <v>0</v>
      </c>
      <c r="Z1591" s="1109">
        <f t="shared" si="898"/>
        <v>0</v>
      </c>
      <c r="AA1591" s="1109">
        <f t="shared" si="898"/>
        <v>0</v>
      </c>
      <c r="AB1591" s="1109">
        <f t="shared" si="898"/>
        <v>0</v>
      </c>
      <c r="AC1591" s="1109">
        <f t="shared" si="898"/>
        <v>0</v>
      </c>
      <c r="AD1591" s="1109">
        <f t="shared" si="898"/>
        <v>0</v>
      </c>
      <c r="AE1591" s="1109">
        <f t="shared" si="898"/>
        <v>0</v>
      </c>
      <c r="AF1591" s="1109">
        <f t="shared" si="898"/>
        <v>0</v>
      </c>
      <c r="AG1591" s="1109">
        <f t="shared" si="898"/>
        <v>0</v>
      </c>
      <c r="AH1591" s="1109">
        <f t="shared" si="898"/>
        <v>0</v>
      </c>
      <c r="AI1591" s="1109">
        <f t="shared" si="898"/>
        <v>0</v>
      </c>
      <c r="AJ1591" s="1109">
        <f t="shared" si="898"/>
        <v>0</v>
      </c>
      <c r="AK1591" s="1109">
        <f t="shared" si="898"/>
        <v>0</v>
      </c>
      <c r="AL1591" s="1109">
        <f t="shared" si="898"/>
        <v>0</v>
      </c>
      <c r="AM1591" s="1109">
        <f t="shared" si="898"/>
        <v>0</v>
      </c>
      <c r="AN1591" s="1109">
        <f t="shared" si="898"/>
        <v>0</v>
      </c>
      <c r="AO1591" s="1109">
        <f t="shared" si="898"/>
        <v>0</v>
      </c>
      <c r="AP1591" s="1109">
        <f t="shared" si="898"/>
        <v>0</v>
      </c>
      <c r="AQ1591" s="1109">
        <f t="shared" si="898"/>
        <v>0</v>
      </c>
      <c r="AR1591" s="1109">
        <f t="shared" si="898"/>
        <v>0</v>
      </c>
      <c r="AS1591" s="1109">
        <f t="shared" si="898"/>
        <v>0</v>
      </c>
      <c r="AT1591" s="1109">
        <f t="shared" si="898"/>
        <v>0</v>
      </c>
      <c r="AU1591" s="1109">
        <f t="shared" si="898"/>
        <v>0</v>
      </c>
      <c r="AV1591" s="1109">
        <f t="shared" si="898"/>
        <v>0</v>
      </c>
      <c r="AW1591" s="1109">
        <f t="shared" si="898"/>
        <v>0</v>
      </c>
      <c r="AX1591" s="1109">
        <f t="shared" si="898"/>
        <v>0</v>
      </c>
      <c r="AY1591" s="1109">
        <f t="shared" si="898"/>
        <v>0</v>
      </c>
      <c r="AZ1591" s="1111"/>
      <c r="BA1591" s="1112" t="e">
        <f>IF(Table3[[#This Row],[max]]&lt;&gt;0,RANK(Table3[[#This Row],[max]],Table3[max],0),"")</f>
        <v>#DIV/0!</v>
      </c>
      <c r="BB1591" s="1113" t="e">
        <f t="shared" si="889"/>
        <v>#DIV/0!</v>
      </c>
      <c r="BC1591" s="1113" t="e">
        <f t="shared" ca="1" si="890"/>
        <v>#DIV/0!</v>
      </c>
      <c r="BD1591" s="1113" t="e">
        <f>IF(Table3[[#This Row],[max]]&gt;0,Table3[[#This Row],[Crop groups and examples of individual products within the groups to which the MRLs apply]],"")</f>
        <v>#DIV/0!</v>
      </c>
    </row>
    <row r="1592" spans="2:56" x14ac:dyDescent="0.2">
      <c r="B1592" s="325"/>
      <c r="C1592" s="1114"/>
      <c r="D1592" s="1114"/>
      <c r="E1592" s="1115"/>
      <c r="F1592" s="1116"/>
      <c r="G1592" s="1117"/>
      <c r="H1592" s="1115"/>
      <c r="I1592" s="1118"/>
      <c r="J1592" s="1119"/>
      <c r="K1592" s="1120"/>
      <c r="L1592" s="1120"/>
      <c r="M1592" s="1120"/>
      <c r="N1592" s="1120"/>
      <c r="O1592" s="1120"/>
      <c r="P1592" s="1120"/>
      <c r="Q1592" s="1120"/>
      <c r="R1592" s="1120"/>
      <c r="S1592" s="1120"/>
      <c r="T1592" s="1120"/>
      <c r="U1592" s="1120"/>
      <c r="V1592" s="1120"/>
      <c r="W1592" s="1120"/>
      <c r="X1592" s="1120"/>
      <c r="Y1592" s="1120"/>
      <c r="Z1592" s="1120"/>
      <c r="AA1592" s="1120"/>
      <c r="AB1592" s="1120"/>
      <c r="AC1592" s="1120"/>
      <c r="AD1592" s="1120"/>
      <c r="AE1592" s="1120"/>
      <c r="AF1592" s="1120"/>
      <c r="AG1592" s="1120"/>
      <c r="AH1592" s="1120"/>
      <c r="AI1592" s="1120"/>
      <c r="AJ1592" s="1120"/>
      <c r="AK1592" s="1120"/>
      <c r="AL1592" s="1120"/>
      <c r="AM1592" s="1120"/>
      <c r="AN1592" s="1120"/>
      <c r="AO1592" s="1120"/>
      <c r="AP1592" s="1120"/>
      <c r="AQ1592" s="1120"/>
      <c r="AR1592" s="1120"/>
      <c r="AS1592" s="1120"/>
      <c r="AT1592" s="1120"/>
      <c r="AU1592" s="1120"/>
      <c r="AV1592" s="1120"/>
      <c r="AW1592" s="1120"/>
      <c r="AX1592" s="1120"/>
      <c r="AY1592" s="1120"/>
      <c r="AZ1592" s="1121"/>
    </row>
    <row r="1593" spans="2:56" x14ac:dyDescent="0.2">
      <c r="C1593" s="1139" t="s">
        <v>290</v>
      </c>
      <c r="D1593" s="1140"/>
      <c r="E1593" s="1141"/>
      <c r="F1593" s="1142"/>
      <c r="G1593" s="1143"/>
      <c r="H1593" s="1141"/>
      <c r="I1593" s="1141"/>
      <c r="J1593" s="1136" t="e">
        <f>SUM(J1212:J1590)</f>
        <v>#DIV/0!</v>
      </c>
      <c r="K1593" s="1136" t="e">
        <f t="shared" ref="K1593:AY1593" si="899">SUM(K1212:K1590)</f>
        <v>#DIV/0!</v>
      </c>
      <c r="L1593" s="1136" t="e">
        <f t="shared" si="899"/>
        <v>#DIV/0!</v>
      </c>
      <c r="M1593" s="1136" t="e">
        <f t="shared" si="899"/>
        <v>#DIV/0!</v>
      </c>
      <c r="N1593" s="1136" t="e">
        <f t="shared" si="899"/>
        <v>#DIV/0!</v>
      </c>
      <c r="O1593" s="1136" t="e">
        <f t="shared" si="899"/>
        <v>#DIV/0!</v>
      </c>
      <c r="P1593" s="1136" t="e">
        <f t="shared" si="899"/>
        <v>#DIV/0!</v>
      </c>
      <c r="Q1593" s="1136" t="e">
        <f t="shared" si="899"/>
        <v>#DIV/0!</v>
      </c>
      <c r="R1593" s="1136" t="e">
        <f t="shared" si="899"/>
        <v>#DIV/0!</v>
      </c>
      <c r="S1593" s="1136" t="e">
        <f t="shared" si="899"/>
        <v>#DIV/0!</v>
      </c>
      <c r="T1593" s="1136" t="e">
        <f t="shared" si="899"/>
        <v>#DIV/0!</v>
      </c>
      <c r="U1593" s="1136" t="e">
        <f t="shared" si="899"/>
        <v>#DIV/0!</v>
      </c>
      <c r="V1593" s="1136" t="e">
        <f t="shared" si="899"/>
        <v>#DIV/0!</v>
      </c>
      <c r="W1593" s="1136" t="e">
        <f t="shared" si="899"/>
        <v>#DIV/0!</v>
      </c>
      <c r="X1593" s="1136" t="e">
        <f t="shared" si="899"/>
        <v>#DIV/0!</v>
      </c>
      <c r="Y1593" s="1136" t="e">
        <f t="shared" si="899"/>
        <v>#DIV/0!</v>
      </c>
      <c r="Z1593" s="1136" t="e">
        <f t="shared" si="899"/>
        <v>#DIV/0!</v>
      </c>
      <c r="AA1593" s="1136" t="e">
        <f t="shared" si="899"/>
        <v>#DIV/0!</v>
      </c>
      <c r="AB1593" s="1136" t="e">
        <f t="shared" si="899"/>
        <v>#DIV/0!</v>
      </c>
      <c r="AC1593" s="1136" t="e">
        <f t="shared" si="899"/>
        <v>#DIV/0!</v>
      </c>
      <c r="AD1593" s="1136" t="e">
        <f t="shared" si="899"/>
        <v>#DIV/0!</v>
      </c>
      <c r="AE1593" s="1136" t="e">
        <f t="shared" si="899"/>
        <v>#DIV/0!</v>
      </c>
      <c r="AF1593" s="1136" t="e">
        <f t="shared" si="899"/>
        <v>#DIV/0!</v>
      </c>
      <c r="AG1593" s="1136" t="e">
        <f t="shared" si="899"/>
        <v>#DIV/0!</v>
      </c>
      <c r="AH1593" s="1136" t="e">
        <f t="shared" si="899"/>
        <v>#DIV/0!</v>
      </c>
      <c r="AI1593" s="1136" t="e">
        <f t="shared" si="899"/>
        <v>#DIV/0!</v>
      </c>
      <c r="AJ1593" s="1136" t="e">
        <f t="shared" si="899"/>
        <v>#DIV/0!</v>
      </c>
      <c r="AK1593" s="1136" t="e">
        <f t="shared" si="899"/>
        <v>#DIV/0!</v>
      </c>
      <c r="AL1593" s="1136" t="e">
        <f t="shared" si="899"/>
        <v>#DIV/0!</v>
      </c>
      <c r="AM1593" s="1136" t="e">
        <f t="shared" si="899"/>
        <v>#DIV/0!</v>
      </c>
      <c r="AN1593" s="1136" t="e">
        <f t="shared" si="899"/>
        <v>#DIV/0!</v>
      </c>
      <c r="AO1593" s="1136" t="e">
        <f t="shared" si="899"/>
        <v>#DIV/0!</v>
      </c>
      <c r="AP1593" s="1136" t="e">
        <f t="shared" si="899"/>
        <v>#DIV/0!</v>
      </c>
      <c r="AQ1593" s="1136" t="e">
        <f t="shared" si="899"/>
        <v>#DIV/0!</v>
      </c>
      <c r="AR1593" s="1136" t="e">
        <f t="shared" si="899"/>
        <v>#DIV/0!</v>
      </c>
      <c r="AS1593" s="1136" t="e">
        <f t="shared" si="899"/>
        <v>#DIV/0!</v>
      </c>
      <c r="AT1593" s="1136" t="e">
        <f t="shared" si="899"/>
        <v>#DIV/0!</v>
      </c>
      <c r="AU1593" s="1136" t="e">
        <f t="shared" si="899"/>
        <v>#DIV/0!</v>
      </c>
      <c r="AV1593" s="1136" t="e">
        <f t="shared" si="899"/>
        <v>#DIV/0!</v>
      </c>
      <c r="AW1593" s="1136" t="e">
        <f t="shared" si="899"/>
        <v>#DIV/0!</v>
      </c>
      <c r="AX1593" s="1136" t="e">
        <f t="shared" si="899"/>
        <v>#DIV/0!</v>
      </c>
      <c r="AY1593" s="1136" t="e">
        <f t="shared" si="899"/>
        <v>#DIV/0!</v>
      </c>
    </row>
    <row r="1594" spans="2:56" ht="24" x14ac:dyDescent="0.2">
      <c r="C1594" s="1144" t="s">
        <v>977</v>
      </c>
      <c r="D1594" s="1145"/>
      <c r="E1594" s="1145"/>
      <c r="F1594" s="1145"/>
      <c r="G1594" s="1146"/>
      <c r="H1594" s="1147"/>
      <c r="I1594" s="1147"/>
      <c r="J1594" s="1137">
        <f>SUMIF($G1212:$G1590,"LOQ",J1212:J1590)</f>
        <v>0</v>
      </c>
      <c r="K1594" s="1137">
        <f t="shared" ref="K1594:AY1594" si="900">SUMIF($G1212:$G1590,"LOQ",K1212:K1590)</f>
        <v>0</v>
      </c>
      <c r="L1594" s="1137">
        <f t="shared" si="900"/>
        <v>0</v>
      </c>
      <c r="M1594" s="1137">
        <f t="shared" si="900"/>
        <v>0</v>
      </c>
      <c r="N1594" s="1137">
        <f t="shared" si="900"/>
        <v>0</v>
      </c>
      <c r="O1594" s="1137">
        <f t="shared" si="900"/>
        <v>0</v>
      </c>
      <c r="P1594" s="1137">
        <f t="shared" si="900"/>
        <v>0</v>
      </c>
      <c r="Q1594" s="1137">
        <f t="shared" si="900"/>
        <v>0</v>
      </c>
      <c r="R1594" s="1137">
        <f t="shared" si="900"/>
        <v>0</v>
      </c>
      <c r="S1594" s="1137">
        <f t="shared" si="900"/>
        <v>0</v>
      </c>
      <c r="T1594" s="1137">
        <f t="shared" si="900"/>
        <v>0</v>
      </c>
      <c r="U1594" s="1137">
        <f t="shared" si="900"/>
        <v>0</v>
      </c>
      <c r="V1594" s="1137">
        <f t="shared" si="900"/>
        <v>0</v>
      </c>
      <c r="W1594" s="1137">
        <f t="shared" si="900"/>
        <v>0</v>
      </c>
      <c r="X1594" s="1137">
        <f t="shared" si="900"/>
        <v>0</v>
      </c>
      <c r="Y1594" s="1137">
        <f t="shared" si="900"/>
        <v>0</v>
      </c>
      <c r="Z1594" s="1137">
        <f t="shared" si="900"/>
        <v>0</v>
      </c>
      <c r="AA1594" s="1137">
        <f t="shared" si="900"/>
        <v>0</v>
      </c>
      <c r="AB1594" s="1137">
        <f t="shared" si="900"/>
        <v>0</v>
      </c>
      <c r="AC1594" s="1137">
        <f t="shared" si="900"/>
        <v>0</v>
      </c>
      <c r="AD1594" s="1137">
        <f t="shared" si="900"/>
        <v>0</v>
      </c>
      <c r="AE1594" s="1137">
        <f t="shared" si="900"/>
        <v>0</v>
      </c>
      <c r="AF1594" s="1137">
        <f t="shared" si="900"/>
        <v>0</v>
      </c>
      <c r="AG1594" s="1137">
        <f t="shared" si="900"/>
        <v>0</v>
      </c>
      <c r="AH1594" s="1137">
        <f t="shared" si="900"/>
        <v>0</v>
      </c>
      <c r="AI1594" s="1137">
        <f t="shared" si="900"/>
        <v>0</v>
      </c>
      <c r="AJ1594" s="1137">
        <f t="shared" si="900"/>
        <v>0</v>
      </c>
      <c r="AK1594" s="1137">
        <f t="shared" si="900"/>
        <v>0</v>
      </c>
      <c r="AL1594" s="1137">
        <f t="shared" si="900"/>
        <v>0</v>
      </c>
      <c r="AM1594" s="1137">
        <f t="shared" si="900"/>
        <v>0</v>
      </c>
      <c r="AN1594" s="1137">
        <f t="shared" si="900"/>
        <v>0</v>
      </c>
      <c r="AO1594" s="1137">
        <f t="shared" si="900"/>
        <v>0</v>
      </c>
      <c r="AP1594" s="1137">
        <f t="shared" si="900"/>
        <v>0</v>
      </c>
      <c r="AQ1594" s="1137">
        <f t="shared" si="900"/>
        <v>0</v>
      </c>
      <c r="AR1594" s="1137">
        <f t="shared" si="900"/>
        <v>0</v>
      </c>
      <c r="AS1594" s="1137">
        <f t="shared" si="900"/>
        <v>0</v>
      </c>
      <c r="AT1594" s="1137">
        <f t="shared" si="900"/>
        <v>0</v>
      </c>
      <c r="AU1594" s="1137">
        <f t="shared" si="900"/>
        <v>0</v>
      </c>
      <c r="AV1594" s="1137">
        <f t="shared" si="900"/>
        <v>0</v>
      </c>
      <c r="AW1594" s="1137">
        <f t="shared" si="900"/>
        <v>0</v>
      </c>
      <c r="AX1594" s="1137">
        <f t="shared" si="900"/>
        <v>0</v>
      </c>
      <c r="AY1594" s="1137">
        <f t="shared" si="900"/>
        <v>0</v>
      </c>
    </row>
    <row r="1595" spans="2:56" ht="24" x14ac:dyDescent="0.2">
      <c r="C1595" s="1144" t="s">
        <v>1140</v>
      </c>
      <c r="D1595" s="1145"/>
      <c r="E1595" s="1145"/>
      <c r="F1595" s="1145"/>
      <c r="G1595" s="1146"/>
      <c r="H1595" s="1147"/>
      <c r="I1595" s="1147"/>
      <c r="J1595" s="1137" t="e">
        <f>J1593-SUMIF($H1212:$H1590,"Y",J1212:J1590)</f>
        <v>#DIV/0!</v>
      </c>
      <c r="K1595" s="1137" t="e">
        <f t="shared" ref="K1595:AY1595" si="901">K1593-SUMIF($H1212:$H1590,"Y",K1212:K1590)</f>
        <v>#DIV/0!</v>
      </c>
      <c r="L1595" s="1137" t="e">
        <f t="shared" si="901"/>
        <v>#DIV/0!</v>
      </c>
      <c r="M1595" s="1137" t="e">
        <f t="shared" si="901"/>
        <v>#DIV/0!</v>
      </c>
      <c r="N1595" s="1137" t="e">
        <f t="shared" si="901"/>
        <v>#DIV/0!</v>
      </c>
      <c r="O1595" s="1137" t="e">
        <f t="shared" si="901"/>
        <v>#DIV/0!</v>
      </c>
      <c r="P1595" s="1137" t="e">
        <f t="shared" si="901"/>
        <v>#DIV/0!</v>
      </c>
      <c r="Q1595" s="1137" t="e">
        <f t="shared" si="901"/>
        <v>#DIV/0!</v>
      </c>
      <c r="R1595" s="1137" t="e">
        <f t="shared" si="901"/>
        <v>#DIV/0!</v>
      </c>
      <c r="S1595" s="1137" t="e">
        <f t="shared" si="901"/>
        <v>#DIV/0!</v>
      </c>
      <c r="T1595" s="1137" t="e">
        <f t="shared" si="901"/>
        <v>#DIV/0!</v>
      </c>
      <c r="U1595" s="1137" t="e">
        <f t="shared" si="901"/>
        <v>#DIV/0!</v>
      </c>
      <c r="V1595" s="1137" t="e">
        <f t="shared" si="901"/>
        <v>#DIV/0!</v>
      </c>
      <c r="W1595" s="1137" t="e">
        <f t="shared" si="901"/>
        <v>#DIV/0!</v>
      </c>
      <c r="X1595" s="1137" t="e">
        <f t="shared" si="901"/>
        <v>#DIV/0!</v>
      </c>
      <c r="Y1595" s="1137" t="e">
        <f t="shared" si="901"/>
        <v>#DIV/0!</v>
      </c>
      <c r="Z1595" s="1137" t="e">
        <f t="shared" si="901"/>
        <v>#DIV/0!</v>
      </c>
      <c r="AA1595" s="1137" t="e">
        <f t="shared" si="901"/>
        <v>#DIV/0!</v>
      </c>
      <c r="AB1595" s="1137" t="e">
        <f t="shared" si="901"/>
        <v>#DIV/0!</v>
      </c>
      <c r="AC1595" s="1137" t="e">
        <f t="shared" si="901"/>
        <v>#DIV/0!</v>
      </c>
      <c r="AD1595" s="1137" t="e">
        <f t="shared" si="901"/>
        <v>#DIV/0!</v>
      </c>
      <c r="AE1595" s="1137" t="e">
        <f t="shared" si="901"/>
        <v>#DIV/0!</v>
      </c>
      <c r="AF1595" s="1137" t="e">
        <f t="shared" si="901"/>
        <v>#DIV/0!</v>
      </c>
      <c r="AG1595" s="1137" t="e">
        <f t="shared" si="901"/>
        <v>#DIV/0!</v>
      </c>
      <c r="AH1595" s="1137" t="e">
        <f t="shared" si="901"/>
        <v>#DIV/0!</v>
      </c>
      <c r="AI1595" s="1137" t="e">
        <f t="shared" si="901"/>
        <v>#DIV/0!</v>
      </c>
      <c r="AJ1595" s="1137" t="e">
        <f t="shared" si="901"/>
        <v>#DIV/0!</v>
      </c>
      <c r="AK1595" s="1137" t="e">
        <f t="shared" si="901"/>
        <v>#DIV/0!</v>
      </c>
      <c r="AL1595" s="1137" t="e">
        <f t="shared" si="901"/>
        <v>#DIV/0!</v>
      </c>
      <c r="AM1595" s="1137" t="e">
        <f t="shared" si="901"/>
        <v>#DIV/0!</v>
      </c>
      <c r="AN1595" s="1137" t="e">
        <f t="shared" si="901"/>
        <v>#DIV/0!</v>
      </c>
      <c r="AO1595" s="1137" t="e">
        <f t="shared" si="901"/>
        <v>#DIV/0!</v>
      </c>
      <c r="AP1595" s="1137" t="e">
        <f t="shared" si="901"/>
        <v>#DIV/0!</v>
      </c>
      <c r="AQ1595" s="1137" t="e">
        <f t="shared" si="901"/>
        <v>#DIV/0!</v>
      </c>
      <c r="AR1595" s="1137" t="e">
        <f t="shared" si="901"/>
        <v>#DIV/0!</v>
      </c>
      <c r="AS1595" s="1137" t="e">
        <f t="shared" si="901"/>
        <v>#DIV/0!</v>
      </c>
      <c r="AT1595" s="1137" t="e">
        <f t="shared" si="901"/>
        <v>#DIV/0!</v>
      </c>
      <c r="AU1595" s="1137" t="e">
        <f t="shared" si="901"/>
        <v>#DIV/0!</v>
      </c>
      <c r="AV1595" s="1137" t="e">
        <f t="shared" si="901"/>
        <v>#DIV/0!</v>
      </c>
      <c r="AW1595" s="1137" t="e">
        <f t="shared" si="901"/>
        <v>#DIV/0!</v>
      </c>
      <c r="AX1595" s="1137" t="e">
        <f t="shared" si="901"/>
        <v>#DIV/0!</v>
      </c>
      <c r="AY1595" s="1137" t="e">
        <f t="shared" si="901"/>
        <v>#DIV/0!</v>
      </c>
    </row>
    <row r="1596" spans="2:56" ht="24" x14ac:dyDescent="0.2">
      <c r="C1596" s="1144" t="s">
        <v>1141</v>
      </c>
      <c r="D1596" s="1145"/>
      <c r="E1596" s="1145"/>
      <c r="F1596" s="1145"/>
      <c r="G1596" s="1146"/>
      <c r="H1596" s="1147"/>
      <c r="I1596" s="1147"/>
      <c r="J1596" s="1137">
        <f>SUMIF($H1212:$H1590,"Y",J1212:J1590)</f>
        <v>0</v>
      </c>
      <c r="K1596" s="1137">
        <f t="shared" ref="K1596:AY1596" si="902">SUMIF($H1212:$H1590,"Y",K1212:K1590)</f>
        <v>0</v>
      </c>
      <c r="L1596" s="1137">
        <f t="shared" si="902"/>
        <v>0</v>
      </c>
      <c r="M1596" s="1137">
        <f t="shared" si="902"/>
        <v>0</v>
      </c>
      <c r="N1596" s="1137">
        <f t="shared" si="902"/>
        <v>0</v>
      </c>
      <c r="O1596" s="1137">
        <f t="shared" si="902"/>
        <v>0</v>
      </c>
      <c r="P1596" s="1137">
        <f t="shared" si="902"/>
        <v>0</v>
      </c>
      <c r="Q1596" s="1137">
        <f t="shared" si="902"/>
        <v>0</v>
      </c>
      <c r="R1596" s="1137">
        <f t="shared" si="902"/>
        <v>0</v>
      </c>
      <c r="S1596" s="1137">
        <f t="shared" si="902"/>
        <v>0</v>
      </c>
      <c r="T1596" s="1137">
        <f t="shared" si="902"/>
        <v>0</v>
      </c>
      <c r="U1596" s="1137">
        <f t="shared" si="902"/>
        <v>0</v>
      </c>
      <c r="V1596" s="1137">
        <f t="shared" si="902"/>
        <v>0</v>
      </c>
      <c r="W1596" s="1137">
        <f t="shared" si="902"/>
        <v>0</v>
      </c>
      <c r="X1596" s="1137">
        <f t="shared" si="902"/>
        <v>0</v>
      </c>
      <c r="Y1596" s="1137">
        <f t="shared" si="902"/>
        <v>0</v>
      </c>
      <c r="Z1596" s="1137">
        <f t="shared" si="902"/>
        <v>0</v>
      </c>
      <c r="AA1596" s="1137">
        <f t="shared" si="902"/>
        <v>0</v>
      </c>
      <c r="AB1596" s="1137">
        <f t="shared" si="902"/>
        <v>0</v>
      </c>
      <c r="AC1596" s="1137">
        <f t="shared" si="902"/>
        <v>0</v>
      </c>
      <c r="AD1596" s="1137">
        <f t="shared" si="902"/>
        <v>0</v>
      </c>
      <c r="AE1596" s="1137">
        <f t="shared" si="902"/>
        <v>0</v>
      </c>
      <c r="AF1596" s="1137">
        <f t="shared" si="902"/>
        <v>0</v>
      </c>
      <c r="AG1596" s="1137">
        <f t="shared" si="902"/>
        <v>0</v>
      </c>
      <c r="AH1596" s="1137">
        <f t="shared" si="902"/>
        <v>0</v>
      </c>
      <c r="AI1596" s="1137">
        <f t="shared" si="902"/>
        <v>0</v>
      </c>
      <c r="AJ1596" s="1137">
        <f t="shared" si="902"/>
        <v>0</v>
      </c>
      <c r="AK1596" s="1137">
        <f t="shared" si="902"/>
        <v>0</v>
      </c>
      <c r="AL1596" s="1137">
        <f t="shared" si="902"/>
        <v>0</v>
      </c>
      <c r="AM1596" s="1137">
        <f t="shared" si="902"/>
        <v>0</v>
      </c>
      <c r="AN1596" s="1137">
        <f t="shared" si="902"/>
        <v>0</v>
      </c>
      <c r="AO1596" s="1137">
        <f t="shared" si="902"/>
        <v>0</v>
      </c>
      <c r="AP1596" s="1137">
        <f t="shared" si="902"/>
        <v>0</v>
      </c>
      <c r="AQ1596" s="1137">
        <f t="shared" si="902"/>
        <v>0</v>
      </c>
      <c r="AR1596" s="1137">
        <f t="shared" si="902"/>
        <v>0</v>
      </c>
      <c r="AS1596" s="1137">
        <f t="shared" si="902"/>
        <v>0</v>
      </c>
      <c r="AT1596" s="1137">
        <f t="shared" si="902"/>
        <v>0</v>
      </c>
      <c r="AU1596" s="1137">
        <f t="shared" si="902"/>
        <v>0</v>
      </c>
      <c r="AV1596" s="1137">
        <f t="shared" si="902"/>
        <v>0</v>
      </c>
      <c r="AW1596" s="1137">
        <f t="shared" si="902"/>
        <v>0</v>
      </c>
      <c r="AX1596" s="1137">
        <f t="shared" si="902"/>
        <v>0</v>
      </c>
      <c r="AY1596" s="1137">
        <f t="shared" si="902"/>
        <v>0</v>
      </c>
    </row>
    <row r="1597" spans="2:56" x14ac:dyDescent="0.2">
      <c r="C1597" s="1148" t="s">
        <v>319</v>
      </c>
      <c r="D1597" s="1149"/>
      <c r="E1597" s="1149"/>
      <c r="F1597" s="1149"/>
      <c r="G1597" s="1150"/>
      <c r="H1597" s="1151"/>
      <c r="I1597" s="1151"/>
      <c r="J1597" s="1138" t="e">
        <f>SUBTOTAL(9,J1212:J1590)</f>
        <v>#DIV/0!</v>
      </c>
      <c r="K1597" s="1138" t="e">
        <f t="shared" ref="K1597:AY1597" si="903">SUBTOTAL(9,K1212:K1590)</f>
        <v>#DIV/0!</v>
      </c>
      <c r="L1597" s="1138" t="e">
        <f t="shared" si="903"/>
        <v>#DIV/0!</v>
      </c>
      <c r="M1597" s="1138" t="e">
        <f t="shared" si="903"/>
        <v>#DIV/0!</v>
      </c>
      <c r="N1597" s="1138" t="e">
        <f t="shared" si="903"/>
        <v>#DIV/0!</v>
      </c>
      <c r="O1597" s="1138" t="e">
        <f t="shared" si="903"/>
        <v>#DIV/0!</v>
      </c>
      <c r="P1597" s="1138" t="e">
        <f t="shared" si="903"/>
        <v>#DIV/0!</v>
      </c>
      <c r="Q1597" s="1138" t="e">
        <f t="shared" si="903"/>
        <v>#DIV/0!</v>
      </c>
      <c r="R1597" s="1138" t="e">
        <f t="shared" si="903"/>
        <v>#DIV/0!</v>
      </c>
      <c r="S1597" s="1138" t="e">
        <f t="shared" si="903"/>
        <v>#DIV/0!</v>
      </c>
      <c r="T1597" s="1138" t="e">
        <f t="shared" si="903"/>
        <v>#DIV/0!</v>
      </c>
      <c r="U1597" s="1138" t="e">
        <f t="shared" si="903"/>
        <v>#DIV/0!</v>
      </c>
      <c r="V1597" s="1138" t="e">
        <f t="shared" si="903"/>
        <v>#DIV/0!</v>
      </c>
      <c r="W1597" s="1138" t="e">
        <f t="shared" si="903"/>
        <v>#DIV/0!</v>
      </c>
      <c r="X1597" s="1138" t="e">
        <f t="shared" si="903"/>
        <v>#DIV/0!</v>
      </c>
      <c r="Y1597" s="1138" t="e">
        <f t="shared" si="903"/>
        <v>#DIV/0!</v>
      </c>
      <c r="Z1597" s="1138" t="e">
        <f t="shared" si="903"/>
        <v>#DIV/0!</v>
      </c>
      <c r="AA1597" s="1138" t="e">
        <f t="shared" si="903"/>
        <v>#DIV/0!</v>
      </c>
      <c r="AB1597" s="1138" t="e">
        <f t="shared" si="903"/>
        <v>#DIV/0!</v>
      </c>
      <c r="AC1597" s="1138" t="e">
        <f t="shared" si="903"/>
        <v>#DIV/0!</v>
      </c>
      <c r="AD1597" s="1138" t="e">
        <f t="shared" si="903"/>
        <v>#DIV/0!</v>
      </c>
      <c r="AE1597" s="1138" t="e">
        <f t="shared" si="903"/>
        <v>#DIV/0!</v>
      </c>
      <c r="AF1597" s="1138" t="e">
        <f t="shared" si="903"/>
        <v>#DIV/0!</v>
      </c>
      <c r="AG1597" s="1138" t="e">
        <f t="shared" si="903"/>
        <v>#DIV/0!</v>
      </c>
      <c r="AH1597" s="1138" t="e">
        <f t="shared" si="903"/>
        <v>#DIV/0!</v>
      </c>
      <c r="AI1597" s="1138" t="e">
        <f t="shared" si="903"/>
        <v>#DIV/0!</v>
      </c>
      <c r="AJ1597" s="1138" t="e">
        <f t="shared" si="903"/>
        <v>#DIV/0!</v>
      </c>
      <c r="AK1597" s="1138" t="e">
        <f t="shared" si="903"/>
        <v>#DIV/0!</v>
      </c>
      <c r="AL1597" s="1138" t="e">
        <f t="shared" si="903"/>
        <v>#DIV/0!</v>
      </c>
      <c r="AM1597" s="1138" t="e">
        <f t="shared" si="903"/>
        <v>#DIV/0!</v>
      </c>
      <c r="AN1597" s="1138" t="e">
        <f t="shared" si="903"/>
        <v>#DIV/0!</v>
      </c>
      <c r="AO1597" s="1138" t="e">
        <f t="shared" si="903"/>
        <v>#DIV/0!</v>
      </c>
      <c r="AP1597" s="1138" t="e">
        <f t="shared" si="903"/>
        <v>#DIV/0!</v>
      </c>
      <c r="AQ1597" s="1138" t="e">
        <f t="shared" si="903"/>
        <v>#DIV/0!</v>
      </c>
      <c r="AR1597" s="1138" t="e">
        <f t="shared" si="903"/>
        <v>#DIV/0!</v>
      </c>
      <c r="AS1597" s="1138" t="e">
        <f t="shared" si="903"/>
        <v>#DIV/0!</v>
      </c>
      <c r="AT1597" s="1138" t="e">
        <f t="shared" si="903"/>
        <v>#DIV/0!</v>
      </c>
      <c r="AU1597" s="1138" t="e">
        <f t="shared" si="903"/>
        <v>#DIV/0!</v>
      </c>
      <c r="AV1597" s="1138" t="e">
        <f t="shared" si="903"/>
        <v>#DIV/0!</v>
      </c>
      <c r="AW1597" s="1138" t="e">
        <f t="shared" si="903"/>
        <v>#DIV/0!</v>
      </c>
      <c r="AX1597" s="1138" t="e">
        <f t="shared" si="903"/>
        <v>#DIV/0!</v>
      </c>
      <c r="AY1597" s="1138" t="e">
        <f t="shared" si="903"/>
        <v>#DIV/0!</v>
      </c>
    </row>
  </sheetData>
  <sheetProtection sheet="1" objects="1" scenarios="1" formatCells="0" formatColumns="0" formatRows="0" autoFilter="0"/>
  <protectedRanges>
    <protectedRange sqref="I12:I390" name="Comment"/>
  </protectedRanges>
  <mergeCells count="5">
    <mergeCell ref="C405:D405"/>
    <mergeCell ref="A1:C1"/>
    <mergeCell ref="B1209:BF1209"/>
    <mergeCell ref="B409:AZ409"/>
    <mergeCell ref="B809:AZ809"/>
  </mergeCells>
  <phoneticPr fontId="2" type="noConversion"/>
  <conditionalFormatting sqref="G412:G790 G12:G391">
    <cfRule type="cellIs" dxfId="30" priority="11" stopIfTrue="1" operator="equal">
      <formula>"?"</formula>
    </cfRule>
  </conditionalFormatting>
  <conditionalFormatting sqref="C405:D405">
    <cfRule type="expression" dxfId="29" priority="6" stopIfTrue="1">
      <formula>$B405&gt;1</formula>
    </cfRule>
  </conditionalFormatting>
  <conditionalFormatting sqref="C405:D405">
    <cfRule type="expression" dxfId="28" priority="5" stopIfTrue="1">
      <formula>$B405&gt;1</formula>
    </cfRule>
  </conditionalFormatting>
  <conditionalFormatting sqref="C405:D405">
    <cfRule type="expression" dxfId="27" priority="4" stopIfTrue="1">
      <formula>$B405&gt;1</formula>
    </cfRule>
  </conditionalFormatting>
  <conditionalFormatting sqref="J2:AY3">
    <cfRule type="cellIs" dxfId="26" priority="1" stopIfTrue="1" operator="greaterThan">
      <formula>0.1</formula>
    </cfRule>
    <cfRule type="cellIs" dxfId="25" priority="2" stopIfTrue="1" operator="greaterThanOrEqual">
      <formula>0.01</formula>
    </cfRule>
    <cfRule type="cellIs" dxfId="24" priority="3" stopIfTrue="1" operator="lessThan">
      <formula>0.01</formula>
    </cfRule>
  </conditionalFormatting>
  <hyperlinks>
    <hyperlink ref="C4" location="Calculation_mode" display="Calculation_mode" xr:uid="{00000000-0004-0000-0600-000000000000}"/>
  </hyperlinks>
  <printOptions headings="1"/>
  <pageMargins left="0.75" right="0.75" top="0.5" bottom="0.31" header="0.5" footer="0.5"/>
  <pageSetup paperSize="9" scale="11" fitToHeight="8" orientation="portrait" r:id="rId1"/>
  <headerFooter alignWithMargins="0"/>
  <colBreaks count="1" manualBreakCount="1">
    <brk id="10" max="1048575" man="1"/>
  </colBreaks>
  <drawing r:id="rId2"/>
  <legacyDrawing r:id="rId3"/>
  <tableParts count="4">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outlinePr summaryBelow="0" summaryRight="0"/>
    <pageSetUpPr fitToPage="1"/>
  </sheetPr>
  <dimension ref="A1:AJ507"/>
  <sheetViews>
    <sheetView showGridLines="0" showZeros="0" zoomScale="80" zoomScaleNormal="80" workbookViewId="0"/>
  </sheetViews>
  <sheetFormatPr defaultColWidth="13" defaultRowHeight="12" outlineLevelRow="3" outlineLevelCol="2" x14ac:dyDescent="0.2"/>
  <cols>
    <col min="1" max="1" width="5.5703125" style="13" customWidth="1"/>
    <col min="2" max="2" width="12.28515625" style="13" customWidth="1"/>
    <col min="3" max="3" width="25.7109375" style="13" customWidth="1"/>
    <col min="4" max="4" width="7.7109375" style="46" hidden="1" customWidth="1"/>
    <col min="5" max="5" width="9.28515625" style="566" customWidth="1"/>
    <col min="6" max="6" width="8.85546875" style="43" customWidth="1" outlineLevel="1"/>
    <col min="7" max="7" width="16" style="43" customWidth="1" outlineLevel="1" collapsed="1"/>
    <col min="8" max="8" width="9.7109375" style="258" hidden="1" customWidth="1" outlineLevel="2"/>
    <col min="9" max="9" width="13" style="43" hidden="1" customWidth="1" outlineLevel="2"/>
    <col min="10" max="10" width="17.7109375" style="43" customWidth="1" collapsed="1"/>
    <col min="11" max="14" width="13" style="43" hidden="1" customWidth="1" outlineLevel="1"/>
    <col min="15" max="15" width="12.85546875" style="261" customWidth="1"/>
    <col min="16" max="16" width="11.85546875" style="368" customWidth="1"/>
    <col min="17" max="17" width="12.85546875" style="368" customWidth="1"/>
    <col min="18" max="18" width="10.85546875" style="13" customWidth="1" outlineLevel="1"/>
    <col min="19" max="19" width="14.140625" style="370" customWidth="1" outlineLevel="1"/>
    <col min="20" max="20" width="13" style="370" customWidth="1" outlineLevel="1"/>
    <col min="21" max="21" width="12" style="572" customWidth="1" outlineLevel="1"/>
    <col min="22" max="22" width="11.7109375" style="370" customWidth="1" outlineLevel="1"/>
    <col min="23" max="23" width="13" style="572" customWidth="1" outlineLevel="1"/>
    <col min="24" max="24" width="7.5703125" style="46" customWidth="1"/>
    <col min="25" max="25" width="11.85546875" style="260" customWidth="1"/>
    <col min="26" max="26" width="13" style="46" customWidth="1"/>
    <col min="27" max="27" width="14.140625" style="13" customWidth="1"/>
    <col min="28" max="28" width="13" style="260"/>
    <col min="29" max="29" width="13" style="13" customWidth="1"/>
    <col min="30" max="30" width="14.7109375" style="13" customWidth="1"/>
    <col min="31" max="31" width="13" style="46"/>
    <col min="32" max="32" width="13" style="46" collapsed="1"/>
    <col min="33" max="34" width="13" style="46" hidden="1" customWidth="1" outlineLevel="1"/>
    <col min="35" max="35" width="13" style="228" hidden="1" customWidth="1" outlineLevel="1"/>
    <col min="36" max="36" width="13" style="228"/>
    <col min="37" max="16384" width="13" style="13"/>
  </cols>
  <sheetData>
    <row r="1" spans="1:36" ht="26.25" customHeight="1" x14ac:dyDescent="0.2">
      <c r="A1" s="11"/>
      <c r="B1" s="1662" t="s">
        <v>670</v>
      </c>
      <c r="C1" s="1662"/>
      <c r="D1" s="1662"/>
      <c r="E1" s="1662"/>
      <c r="O1" s="59"/>
      <c r="P1" s="259"/>
      <c r="Q1" s="259"/>
      <c r="R1" s="259"/>
      <c r="S1" s="259"/>
      <c r="T1" s="259"/>
      <c r="U1" s="259"/>
      <c r="V1" s="259"/>
      <c r="W1" s="259"/>
    </row>
    <row r="2" spans="1:36" ht="22.5" customHeight="1" x14ac:dyDescent="0.2">
      <c r="A2" s="11"/>
      <c r="B2" s="1663" t="s">
        <v>263</v>
      </c>
      <c r="C2" s="1663"/>
      <c r="D2" s="1663"/>
      <c r="E2" s="1663"/>
      <c r="P2" s="711"/>
      <c r="Q2" s="711"/>
      <c r="R2" s="29"/>
      <c r="S2" s="855"/>
      <c r="T2" s="262"/>
      <c r="U2" s="568"/>
      <c r="V2" s="262"/>
      <c r="W2" s="568"/>
    </row>
    <row r="3" spans="1:36" x14ac:dyDescent="0.2">
      <c r="A3" s="11"/>
      <c r="C3" s="15"/>
      <c r="D3" s="15"/>
      <c r="E3" s="263"/>
      <c r="F3" s="15"/>
      <c r="G3" s="15"/>
      <c r="H3" s="263"/>
      <c r="I3" s="15"/>
      <c r="J3" s="15"/>
      <c r="K3" s="15"/>
      <c r="L3" s="15"/>
      <c r="M3" s="15"/>
      <c r="N3" s="15"/>
      <c r="O3" s="263"/>
      <c r="P3" s="264"/>
      <c r="Q3" s="264"/>
      <c r="R3" s="15"/>
      <c r="S3" s="15"/>
      <c r="T3" s="15"/>
      <c r="U3" s="264"/>
      <c r="V3" s="15"/>
      <c r="W3" s="264"/>
      <c r="X3" s="15"/>
      <c r="Y3" s="15"/>
      <c r="Z3" s="15"/>
      <c r="AA3" s="15"/>
      <c r="AB3" s="15"/>
      <c r="AC3" s="15"/>
      <c r="AD3" s="15"/>
      <c r="AE3" s="15"/>
      <c r="AF3" s="15"/>
      <c r="AG3" s="15"/>
      <c r="AH3" s="15"/>
    </row>
    <row r="4" spans="1:36" ht="27" customHeight="1" x14ac:dyDescent="0.35">
      <c r="A4" s="11"/>
      <c r="B4" s="265" t="s">
        <v>41</v>
      </c>
      <c r="C4" s="266">
        <f>input_values!D3</f>
        <v>0</v>
      </c>
      <c r="D4" s="267"/>
      <c r="E4" s="562"/>
      <c r="F4" s="268"/>
      <c r="G4" s="269"/>
      <c r="H4" s="270"/>
      <c r="I4" s="269"/>
      <c r="J4" s="269"/>
      <c r="K4" s="269"/>
      <c r="L4" s="269"/>
      <c r="M4" s="269"/>
      <c r="N4" s="269"/>
      <c r="P4" s="222"/>
      <c r="Q4" s="84"/>
      <c r="R4" s="29"/>
      <c r="S4" s="855"/>
      <c r="T4" s="29"/>
      <c r="U4" s="84"/>
      <c r="V4" s="29"/>
      <c r="W4" s="84"/>
      <c r="AA4" s="271"/>
    </row>
    <row r="5" spans="1:36" ht="24.6" customHeight="1" x14ac:dyDescent="0.2">
      <c r="A5" s="11"/>
      <c r="B5" s="272" t="s">
        <v>1157</v>
      </c>
      <c r="C5" s="1210" t="str">
        <f>IF(ARfD="insert valid entry","Please insert valid ARfD",IF(OR(input_values!D5="not necessary",ISNUMBER(input_values!D5)),input_values!D5,input_values!D4))</f>
        <v>Please insert valid ARfD</v>
      </c>
      <c r="D5" s="445"/>
      <c r="E5" s="1208"/>
      <c r="F5" s="269"/>
      <c r="G5" s="273"/>
      <c r="H5" s="270"/>
      <c r="I5" s="269"/>
      <c r="J5" s="269"/>
      <c r="K5" s="269"/>
      <c r="L5" s="269"/>
      <c r="M5" s="269"/>
      <c r="N5" s="269"/>
      <c r="P5" s="222"/>
      <c r="Q5" s="84"/>
      <c r="R5" s="29"/>
      <c r="S5" s="855"/>
      <c r="T5" s="29"/>
      <c r="U5" s="84"/>
      <c r="V5" s="29"/>
      <c r="W5" s="84"/>
      <c r="Y5" s="46"/>
      <c r="AA5" s="46"/>
    </row>
    <row r="6" spans="1:36" s="228" customFormat="1" ht="42" customHeight="1" x14ac:dyDescent="0.2">
      <c r="B6" s="1124" t="s">
        <v>874</v>
      </c>
      <c r="C6" s="1667" t="str">
        <f>input_values!A10</f>
        <v>Normal mode</v>
      </c>
      <c r="D6" s="1668"/>
      <c r="E6" s="1669"/>
      <c r="F6" s="274"/>
      <c r="G6" s="274"/>
      <c r="H6" s="275"/>
      <c r="I6" s="274"/>
      <c r="J6" s="274"/>
      <c r="K6" s="274"/>
      <c r="L6" s="274"/>
      <c r="M6" s="274"/>
      <c r="N6" s="274"/>
      <c r="O6" s="276"/>
      <c r="P6" s="277"/>
      <c r="Q6" s="278"/>
      <c r="S6" s="276"/>
      <c r="U6" s="278"/>
      <c r="W6" s="278"/>
      <c r="X6" s="278"/>
      <c r="Y6" s="278"/>
      <c r="Z6" s="278"/>
      <c r="AA6" s="279"/>
      <c r="AB6" s="280"/>
      <c r="AE6" s="278"/>
      <c r="AF6" s="278"/>
      <c r="AG6" s="278"/>
      <c r="AH6" s="278"/>
    </row>
    <row r="7" spans="1:36" s="29" customFormat="1" ht="30.6" customHeight="1" x14ac:dyDescent="0.2">
      <c r="A7" s="43"/>
      <c r="B7" s="281"/>
      <c r="C7" s="1664" t="str">
        <f>Results!$B$62</f>
        <v>Show results for all crops</v>
      </c>
      <c r="D7" s="1665"/>
      <c r="E7" s="1666"/>
      <c r="F7" s="269"/>
      <c r="G7" s="269"/>
      <c r="H7" s="270"/>
      <c r="I7" s="269"/>
      <c r="J7" s="269"/>
      <c r="K7" s="269"/>
      <c r="L7" s="269"/>
      <c r="M7" s="269"/>
      <c r="N7" s="269"/>
      <c r="O7" s="855"/>
      <c r="P7" s="222"/>
      <c r="Q7" s="84"/>
      <c r="S7" s="855"/>
      <c r="U7" s="84"/>
      <c r="W7" s="84"/>
      <c r="X7" s="84"/>
      <c r="Y7" s="84"/>
      <c r="Z7" s="84"/>
      <c r="AA7" s="84"/>
      <c r="AB7" s="282"/>
      <c r="AE7" s="84"/>
      <c r="AF7" s="84"/>
      <c r="AG7" s="84"/>
      <c r="AH7" s="84"/>
      <c r="AI7" s="228"/>
      <c r="AJ7" s="228"/>
    </row>
    <row r="8" spans="1:36" s="29" customFormat="1" hidden="1" x14ac:dyDescent="0.2">
      <c r="A8" s="282"/>
      <c r="B8" s="282"/>
      <c r="C8" s="282"/>
      <c r="D8" s="282"/>
      <c r="E8" s="563"/>
      <c r="F8" s="269"/>
      <c r="G8" s="269"/>
      <c r="H8" s="270"/>
      <c r="I8" s="269"/>
      <c r="J8" s="269"/>
      <c r="K8" s="269"/>
      <c r="L8" s="269"/>
      <c r="M8" s="269"/>
      <c r="N8" s="269"/>
      <c r="O8" s="855"/>
      <c r="P8" s="222"/>
      <c r="Q8" s="84"/>
      <c r="S8" s="855"/>
      <c r="U8" s="84"/>
      <c r="W8" s="84"/>
      <c r="X8" s="282"/>
      <c r="Y8" s="282"/>
      <c r="Z8" s="84"/>
      <c r="AB8" s="282"/>
      <c r="AC8" s="283"/>
      <c r="AD8" s="282"/>
      <c r="AE8" s="84"/>
      <c r="AF8" s="84"/>
      <c r="AG8" s="84"/>
      <c r="AH8" s="84"/>
    </row>
    <row r="9" spans="1:36" s="29" customFormat="1" hidden="1" x14ac:dyDescent="0.2">
      <c r="A9" s="43"/>
      <c r="B9" s="284"/>
      <c r="C9" s="221"/>
      <c r="D9" s="285"/>
      <c r="E9" s="564"/>
      <c r="F9" s="43"/>
      <c r="G9" s="382"/>
      <c r="H9" s="286"/>
      <c r="I9" s="382"/>
      <c r="J9" s="382"/>
      <c r="K9" s="382"/>
      <c r="L9" s="382"/>
      <c r="M9" s="382"/>
      <c r="N9" s="382"/>
      <c r="O9" s="1659"/>
      <c r="P9" s="1660"/>
      <c r="Q9" s="1660"/>
      <c r="R9" s="1660"/>
      <c r="S9" s="1660"/>
      <c r="T9" s="1661"/>
      <c r="U9" s="1661"/>
      <c r="V9" s="1661"/>
      <c r="W9" s="1661"/>
      <c r="X9" s="84"/>
      <c r="Y9" s="282"/>
      <c r="Z9" s="84"/>
      <c r="AB9" s="282"/>
      <c r="AE9" s="84"/>
      <c r="AF9" s="84"/>
      <c r="AG9" s="84"/>
      <c r="AH9" s="84"/>
      <c r="AI9" s="228"/>
      <c r="AJ9" s="228"/>
    </row>
    <row r="10" spans="1:36" s="297" customFormat="1" x14ac:dyDescent="0.2">
      <c r="A10" s="287"/>
      <c r="B10" s="287"/>
      <c r="C10" s="288"/>
      <c r="D10" s="289"/>
      <c r="E10" s="390"/>
      <c r="F10" s="290"/>
      <c r="G10" s="290"/>
      <c r="H10" s="291"/>
      <c r="I10" s="292"/>
      <c r="J10" s="292"/>
      <c r="K10" s="292"/>
      <c r="L10" s="292"/>
      <c r="M10" s="292"/>
      <c r="N10" s="292"/>
      <c r="O10" s="293"/>
      <c r="P10" s="294"/>
      <c r="Q10" s="294"/>
      <c r="R10" s="295"/>
      <c r="S10" s="293"/>
      <c r="T10" s="293"/>
      <c r="U10" s="569"/>
      <c r="V10" s="293"/>
      <c r="W10" s="569"/>
      <c r="X10" s="294"/>
      <c r="Y10" s="296"/>
      <c r="Z10" s="294"/>
      <c r="AB10" s="296"/>
      <c r="AE10" s="294"/>
      <c r="AF10" s="294"/>
      <c r="AG10" s="294"/>
      <c r="AH10" s="294"/>
      <c r="AI10" s="292"/>
      <c r="AJ10" s="292"/>
    </row>
    <row r="11" spans="1:36" ht="61.9" customHeight="1" x14ac:dyDescent="0.2">
      <c r="A11" s="169" t="s">
        <v>281</v>
      </c>
      <c r="B11" s="157" t="s">
        <v>212</v>
      </c>
      <c r="C11" s="158" t="s">
        <v>282</v>
      </c>
      <c r="D11" s="157" t="s">
        <v>616</v>
      </c>
      <c r="E11" s="498" t="s">
        <v>648</v>
      </c>
      <c r="F11" s="159" t="s">
        <v>358</v>
      </c>
      <c r="G11" s="159" t="s">
        <v>357</v>
      </c>
      <c r="H11" s="159" t="s">
        <v>359</v>
      </c>
      <c r="I11" s="159" t="s">
        <v>360</v>
      </c>
      <c r="J11" s="159" t="s">
        <v>344</v>
      </c>
      <c r="K11" s="159" t="s">
        <v>923</v>
      </c>
      <c r="L11" s="159" t="s">
        <v>643</v>
      </c>
      <c r="M11" s="159" t="s">
        <v>967</v>
      </c>
      <c r="N11" s="159" t="s">
        <v>965</v>
      </c>
      <c r="O11" s="159" t="s">
        <v>1005</v>
      </c>
      <c r="P11" s="159" t="s">
        <v>56</v>
      </c>
      <c r="Q11" s="159" t="s">
        <v>324</v>
      </c>
      <c r="R11" s="159" t="s">
        <v>283</v>
      </c>
      <c r="S11" s="159" t="s">
        <v>325</v>
      </c>
      <c r="T11" s="159" t="s">
        <v>284</v>
      </c>
      <c r="U11" s="159" t="s">
        <v>619</v>
      </c>
      <c r="V11" s="159" t="s">
        <v>326</v>
      </c>
      <c r="W11" s="159" t="s">
        <v>327</v>
      </c>
      <c r="X11" s="159" t="s">
        <v>285</v>
      </c>
      <c r="Y11" s="159" t="s">
        <v>305</v>
      </c>
      <c r="Z11" s="159" t="s">
        <v>306</v>
      </c>
      <c r="AA11" s="159" t="s">
        <v>620</v>
      </c>
      <c r="AB11" s="159" t="s">
        <v>297</v>
      </c>
      <c r="AC11" s="159" t="s">
        <v>298</v>
      </c>
      <c r="AD11" s="159" t="s">
        <v>299</v>
      </c>
      <c r="AE11" s="159" t="s">
        <v>656</v>
      </c>
      <c r="AF11" s="159" t="s">
        <v>657</v>
      </c>
      <c r="AG11" s="159" t="s">
        <v>308</v>
      </c>
      <c r="AH11" s="159" t="s">
        <v>301</v>
      </c>
      <c r="AI11" s="159" t="s">
        <v>921</v>
      </c>
    </row>
    <row r="12" spans="1:36" ht="12" customHeight="1" x14ac:dyDescent="0.2">
      <c r="A12" s="126">
        <v>1</v>
      </c>
      <c r="B12" s="127">
        <v>100000</v>
      </c>
      <c r="C12" s="127" t="s">
        <v>815</v>
      </c>
      <c r="D12" s="300">
        <f>Table22[[#This Row],[Level used for acute calculation]]</f>
        <v>4</v>
      </c>
      <c r="E12" s="302">
        <f>Table22[[#This Row],[MRL individual commodity]]</f>
        <v>0</v>
      </c>
      <c r="F12" s="451">
        <f>Table22[[#This Row],[Acute RA input value]]</f>
        <v>0</v>
      </c>
      <c r="G12" s="301">
        <f>Table22[[#This Row],[Acute RA label]]</f>
        <v>0</v>
      </c>
      <c r="H12" s="303">
        <f>Table22[[#This Row],[Acute RA IESTI new input value]]</f>
        <v>0</v>
      </c>
      <c r="I12" s="301">
        <f>Table22[[#This Row],[Acute RA IESTI new label]]</f>
        <v>0</v>
      </c>
      <c r="J12" s="504"/>
      <c r="K12" s="544">
        <f>Table22[[#This Row],[GAP under assessment]]</f>
        <v>0</v>
      </c>
      <c r="L12" s="304" t="str">
        <f>IF(input_values!$M12=0,"",input_values!$M12)</f>
        <v/>
      </c>
      <c r="M12" s="301" t="str">
        <f>IF(input_values!H12=0,"",input_values!H12)</f>
        <v/>
      </c>
      <c r="N12" s="304">
        <f>input_values!$K12</f>
        <v>0</v>
      </c>
      <c r="O12" s="305"/>
      <c r="P12" s="38"/>
      <c r="Q12" s="38"/>
      <c r="R12" s="307"/>
      <c r="S12" s="308" t="str">
        <f>IF(O12="ND","ND",IF(O12="","",O12*R12))</f>
        <v/>
      </c>
      <c r="T12" s="305"/>
      <c r="U12" s="570"/>
      <c r="V12" s="305"/>
      <c r="W12" s="570"/>
      <c r="X12" s="1462" t="str">
        <f>IF(V12="ND","ND",IF(S12="","",IF(OR(MID(C12,1,4)="milk",AND(MID(B12,1,2)="50",NOT(input_values!M12="Y")),AND(MID(B12,1,2)="40",NOT(input_values!M12="Y")),AND(MID(B12,1,2)="30",NOT(input_values!M12="Y"))),3,IF(OR(V12="&lt;25",B12&gt;1000000),1,IF((T12&gt;=S12),"2b","2a")))))</f>
        <v/>
      </c>
      <c r="Y12" s="38" t="str">
        <f>IF(X12="ND","ND",IF(S12="","",IF(input_values!K12&gt;0,input_values!K12,IF(OR(X12=1,X12=3),1,IF((V12&gt;250),5,7)))))</f>
        <v/>
      </c>
      <c r="Z12" s="452" t="str">
        <f>IF(OR(ISTEXT(F12),F12=0),"",IF(OR(S12="ND",T12="ND"),"ND",IF(($X12="2a"),1/$R12*(($F12*$T12/1000*$Y12)+($F12*($S12-$T12)/1000)),IF(($X12="2b"),1/$R12*($F12*$S12/1000*$Y12),1/$R12*($F12*$S12/1000)))))</f>
        <v/>
      </c>
      <c r="AA12" s="457">
        <f t="shared" ref="AA12:AA75" si="0">IF(OR(ISTEXT(F12),F12=0),0,IF($C$5="not necessary","no acute RA",IF(Z12="ND","no acute RA",Z12/$C$5)))</f>
        <v>0</v>
      </c>
      <c r="AB12" s="458" t="str">
        <f>IF(OR(Y12=5,Y12=7,N12&gt;3),3,Y12)</f>
        <v/>
      </c>
      <c r="AC12" s="452" t="str">
        <f>IF(OR(ISTEXT(H12),H12=0),"",IF(OR(S12="ND",T12="ND"),"ND",1/$R12*($H12*$S12*AB12/1000)))</f>
        <v/>
      </c>
      <c r="AD12" s="457">
        <f t="shared" ref="AD12:AD75" si="1">IF(OR(ISTEXT(H12),H12=0,S12=0),0,IF($C$5="not necessary","no acute RA",IF(AC12="ND","no acute RA",AC12/$C$5)))</f>
        <v>0</v>
      </c>
      <c r="AE12" s="459" t="str">
        <f>IF(AA12&gt;=1,AG12,"")</f>
        <v/>
      </c>
      <c r="AF12" s="459" t="str">
        <f>IF(AD12&gt;=1,AH12,"")</f>
        <v/>
      </c>
      <c r="AG12" s="561" t="str">
        <f t="shared" ref="AG12:AG75" si="2">IF(OR(Z12=0,Z12="ND",Z12="",$C$5="not necessary"),"",IF(X12="2a",1000*$C$5*R12/(T12*Y12+S12-T12),IF(X12="2b",1000*$C$5*R12/S12/Y12,IF(OR(X12=1,X12=3),1000*$C$5*R12/S12,""))))</f>
        <v/>
      </c>
      <c r="AH12" s="561" t="str">
        <f>IF(OR(AC12=0,AC12="ND",AC12="",$C$5="not necessary"),"",1000*$C$5*R12/S12/AB12)</f>
        <v/>
      </c>
      <c r="AI12" s="313"/>
    </row>
    <row r="13" spans="1:36" outlineLevel="1" x14ac:dyDescent="0.2">
      <c r="A13" s="130">
        <v>2</v>
      </c>
      <c r="B13" s="131">
        <v>110000</v>
      </c>
      <c r="C13" s="131" t="s">
        <v>213</v>
      </c>
      <c r="D13" s="300">
        <f>Table22[[#This Row],[Level used for acute calculation]]</f>
        <v>4</v>
      </c>
      <c r="E13" s="302">
        <f>Table22[[#This Row],[MRL individual commodity]]</f>
        <v>0</v>
      </c>
      <c r="F13" s="451">
        <f>Table22[[#This Row],[Acute RA input value]]</f>
        <v>0</v>
      </c>
      <c r="G13" s="301">
        <f>Table22[[#This Row],[Acute RA label]]</f>
        <v>0</v>
      </c>
      <c r="H13" s="303">
        <f>Table22[[#This Row],[Acute RA IESTI new input value]]</f>
        <v>0</v>
      </c>
      <c r="I13" s="301">
        <f>Table22[[#This Row],[Acute RA IESTI new label]]</f>
        <v>0</v>
      </c>
      <c r="J13" s="504"/>
      <c r="K13" s="544">
        <f>Table22[[#This Row],[GAP under assessment]]</f>
        <v>0</v>
      </c>
      <c r="L13" s="304" t="str">
        <f>IF(input_values!$M13=0,"",input_values!$M13)</f>
        <v/>
      </c>
      <c r="M13" s="301" t="str">
        <f>IF(input_values!H13=0,"",input_values!H13)</f>
        <v/>
      </c>
      <c r="N13" s="304">
        <f>input_values!$K13</f>
        <v>0</v>
      </c>
      <c r="O13" s="315"/>
      <c r="P13" s="316"/>
      <c r="Q13" s="316"/>
      <c r="R13" s="318"/>
      <c r="S13" s="319" t="str">
        <f t="shared" ref="S13:S76" si="3">IF(O13="ND","ND",IF(O13="","",O13*R13))</f>
        <v/>
      </c>
      <c r="T13" s="315"/>
      <c r="U13" s="321"/>
      <c r="V13" s="315"/>
      <c r="W13" s="321"/>
      <c r="X13" s="1463" t="str">
        <f>IF(V13="ND","ND",IF(S13="","",IF(OR(MID(C13,1,4)="milk",AND(MID(B13,1,2)="50",NOT(input_values!M13="Y")),AND(MID(B13,1,2)="40",NOT(input_values!M13="Y")),AND(MID(B13,1,2)="30",NOT(input_values!M13="Y"))),3,IF(OR(V13="&lt;25",B13&gt;1000000),1,IF((T13&gt;=S13),"2b","2a")))))</f>
        <v/>
      </c>
      <c r="Y13" s="316" t="str">
        <f>IF(X13="ND","ND",IF(S13="","",IF(input_values!K13&gt;0,input_values!K13,IF(OR(X13=1,X13=3),1,IF((V13&gt;250),5,7)))))</f>
        <v/>
      </c>
      <c r="Z13" s="322" t="str">
        <f t="shared" ref="Z13:Z76" si="4">IF(OR(ISTEXT(F13),F13=0),"",IF(OR(S13="ND",T13="ND"),"ND",IF(($X13="2a"),1/$R13*(($F13*$T13/1000*$Y13)+($F13*($S13-$T13)/1000)),IF(($X13="2b"),1/$R13*($F13*$S13/1000*$Y13),1/$R13*($F13*$S13/1000)))))</f>
        <v/>
      </c>
      <c r="AA13" s="323">
        <f t="shared" si="0"/>
        <v>0</v>
      </c>
      <c r="AB13" s="38" t="str">
        <f t="shared" ref="AB13:AB76" si="5">IF(OR(Y13=5,Y13=7,N13&gt;3),3,Y13)</f>
        <v/>
      </c>
      <c r="AC13" s="322" t="str">
        <f t="shared" ref="AC13:AC76" si="6">IF(OR(ISTEXT(H13),H13=0),"",IF(OR(S13="ND",T13="ND"),"ND",1/$R13*($H13*$S13*AB13/1000)))</f>
        <v/>
      </c>
      <c r="AD13" s="311">
        <f t="shared" si="1"/>
        <v>0</v>
      </c>
      <c r="AE13" s="324" t="str">
        <f t="shared" ref="AE13:AE76" si="7">IF(AA13&gt;=1,AG13,"")</f>
        <v/>
      </c>
      <c r="AF13" s="324" t="str">
        <f t="shared" ref="AF13:AF76" si="8">IF(AD13&gt;=1,AH13,"")</f>
        <v/>
      </c>
      <c r="AG13" s="561" t="str">
        <f t="shared" si="2"/>
        <v/>
      </c>
      <c r="AH13" s="561" t="str">
        <f t="shared" ref="AH13:AH75" si="9">IF(OR(AC13=0,AC13="ND",AC13="",$C$5="not necessary"),"",1000*$C$5*R13/S13/AB13)</f>
        <v/>
      </c>
      <c r="AI13" s="313"/>
    </row>
    <row r="14" spans="1:36" outlineLevel="3" x14ac:dyDescent="0.2">
      <c r="A14" s="39">
        <v>4</v>
      </c>
      <c r="B14" s="23">
        <v>110010</v>
      </c>
      <c r="C14" s="23" t="s">
        <v>680</v>
      </c>
      <c r="D14" s="300">
        <f>Table22[[#This Row],[Level used for acute calculation]]</f>
        <v>4</v>
      </c>
      <c r="E14" s="302">
        <f>Table22[[#This Row],[MRL individual commodity]]</f>
        <v>0</v>
      </c>
      <c r="F14" s="451">
        <f>Table22[[#This Row],[Acute RA input value]]</f>
        <v>0</v>
      </c>
      <c r="G14" s="301" t="str">
        <f>Table22[[#This Row],[Acute RA label]]</f>
        <v/>
      </c>
      <c r="H14" s="303">
        <f>Table22[[#This Row],[Acute RA IESTI new input value]]</f>
        <v>0</v>
      </c>
      <c r="I14" s="301" t="str">
        <f>Table22[[#This Row],[Acute RA IESTI new label]]</f>
        <v/>
      </c>
      <c r="J14" s="504"/>
      <c r="K14" s="544">
        <f>Table22[[#This Row],[GAP under assessment]]</f>
        <v>0</v>
      </c>
      <c r="L14" s="304" t="str">
        <f>IF(input_values!$M14=0,"",input_values!$M14)</f>
        <v/>
      </c>
      <c r="M14" s="301" t="str">
        <f>IF(input_values!H14=0,"",input_values!H14)</f>
        <v/>
      </c>
      <c r="N14" s="304">
        <f>input_values!$K14</f>
        <v>0</v>
      </c>
      <c r="O14" s="326">
        <v>15.7</v>
      </c>
      <c r="P14" s="22">
        <v>90</v>
      </c>
      <c r="Q14" s="22" t="s">
        <v>256</v>
      </c>
      <c r="R14" s="326">
        <v>16.149999999999999</v>
      </c>
      <c r="S14" s="328">
        <f t="shared" si="3"/>
        <v>253.55499999999998</v>
      </c>
      <c r="T14" s="328">
        <v>270.49189999999999</v>
      </c>
      <c r="U14" s="329" t="s">
        <v>40</v>
      </c>
      <c r="V14" s="328">
        <v>393.5</v>
      </c>
      <c r="W14" s="329" t="s">
        <v>40</v>
      </c>
      <c r="X14" s="1464" t="str">
        <f>IF(V14="ND","ND",IF(S14="","",IF(OR(MID(C14,1,4)="milk",AND(MID(B14,1,2)="50",NOT(input_values!M14="Y")),AND(MID(B14,1,2)="40",NOT(input_values!M14="Y")),AND(MID(B14,1,2)="30",NOT(input_values!M14="Y"))),3,IF(OR(V14="&lt;25",B14&gt;1000000),1,IF((T14&gt;=S14),"2b","2a")))))</f>
        <v>2b</v>
      </c>
      <c r="Y14" s="22">
        <f>IF(X14="ND","ND",IF(S14="","",IF(input_values!K14&gt;0,input_values!K14,IF(OR(X14=1,X14=3),1,IF((V14&gt;250),5,7)))))</f>
        <v>5</v>
      </c>
      <c r="Z14" s="330" t="str">
        <f>IF(OR(ISTEXT(F14),F14=0),"",IF(OR(S14="ND",T14="ND"),"ND",IF(($X14="2a"),1/$R14*(($F14*$T14/1000*$Y14)+($F14*($S14-$T14)/1000)),IF(($X14="2b"),1/$R14*($F14*$S14/1000*$Y14),1/$R14*($F14*$S14/1000)))))</f>
        <v/>
      </c>
      <c r="AA14" s="331">
        <f t="shared" si="0"/>
        <v>0</v>
      </c>
      <c r="AB14" s="27">
        <f t="shared" si="5"/>
        <v>3</v>
      </c>
      <c r="AC14" s="330" t="str">
        <f>IF(OR(ISTEXT(H14),H14=0),"",IF(OR(S14="ND",T14="ND"),"ND",1/$R14*($H14*$S14*AB14/1000)))</f>
        <v/>
      </c>
      <c r="AD14" s="332">
        <f t="shared" si="1"/>
        <v>0</v>
      </c>
      <c r="AE14" s="333" t="str">
        <f t="shared" si="7"/>
        <v/>
      </c>
      <c r="AF14" s="333" t="str">
        <f t="shared" si="8"/>
        <v/>
      </c>
      <c r="AG14" s="561" t="str">
        <f t="shared" si="2"/>
        <v/>
      </c>
      <c r="AH14" s="561" t="str">
        <f t="shared" si="9"/>
        <v/>
      </c>
      <c r="AI14" s="313"/>
    </row>
    <row r="15" spans="1:36" outlineLevel="3" x14ac:dyDescent="0.2">
      <c r="A15" s="39">
        <v>4</v>
      </c>
      <c r="B15" s="23">
        <v>110020</v>
      </c>
      <c r="C15" s="23" t="s">
        <v>2</v>
      </c>
      <c r="D15" s="300">
        <f>Table22[[#This Row],[Level used for acute calculation]]</f>
        <v>4</v>
      </c>
      <c r="E15" s="302">
        <f>Table22[[#This Row],[MRL individual commodity]]</f>
        <v>0</v>
      </c>
      <c r="F15" s="451">
        <f>Table22[[#This Row],[Acute RA input value]]</f>
        <v>0</v>
      </c>
      <c r="G15" s="301" t="str">
        <f>Table22[[#This Row],[Acute RA label]]</f>
        <v/>
      </c>
      <c r="H15" s="303">
        <f>Table22[[#This Row],[Acute RA IESTI new input value]]</f>
        <v>0</v>
      </c>
      <c r="I15" s="301" t="str">
        <f>Table22[[#This Row],[Acute RA IESTI new label]]</f>
        <v/>
      </c>
      <c r="J15" s="504"/>
      <c r="K15" s="544">
        <f>Table22[[#This Row],[GAP under assessment]]</f>
        <v>0</v>
      </c>
      <c r="L15" s="304" t="str">
        <f>IF(input_values!$M15=0,"",input_values!$M15)</f>
        <v/>
      </c>
      <c r="M15" s="301" t="str">
        <f>IF(input_values!H15=0,"",input_values!H15)</f>
        <v/>
      </c>
      <c r="N15" s="304">
        <f>input_values!$K15</f>
        <v>0</v>
      </c>
      <c r="O15" s="326">
        <v>22.27586206896552</v>
      </c>
      <c r="P15" s="22">
        <v>97.5</v>
      </c>
      <c r="Q15" s="22" t="s">
        <v>89</v>
      </c>
      <c r="R15" s="326">
        <v>8.6999999999999993</v>
      </c>
      <c r="S15" s="328">
        <f t="shared" si="3"/>
        <v>193.8</v>
      </c>
      <c r="T15" s="328">
        <v>160</v>
      </c>
      <c r="U15" s="329" t="s">
        <v>45</v>
      </c>
      <c r="V15" s="328">
        <v>229</v>
      </c>
      <c r="W15" s="329" t="s">
        <v>45</v>
      </c>
      <c r="X15" s="1464" t="str">
        <f>IF(V15="ND","ND",IF(S15="","",IF(OR(MID(C15,1,4)="milk",AND(MID(B15,1,2)="50",NOT(input_values!M15="Y")),AND(MID(B15,1,2)="40",NOT(input_values!M15="Y")),AND(MID(B15,1,2)="30",NOT(input_values!M15="Y"))),3,IF(OR(V15="&lt;25",B15&gt;1000000),1,IF((T15&gt;=S15),"2b","2a")))))</f>
        <v>2a</v>
      </c>
      <c r="Y15" s="22">
        <f>IF(X15="ND","ND",IF(S15="","",IF(input_values!K15&gt;0,input_values!K15,IF(OR(X15=1,X15=3),1,IF((V15&gt;250),5,7)))))</f>
        <v>7</v>
      </c>
      <c r="Z15" s="330" t="str">
        <f>IF(OR(ISTEXT(F15),F15=0),"",IF(OR(S15="ND",T15="ND"),"ND",IF(($X15="2a"),1/$R15*(($F15*$T15/1000*$Y15)+($F15*($S15-$T15)/1000)),IF(($X15="2b"),1/$R15*($F15*$S15/1000*$Y15),1/$R15*($F15*$S15/1000)))))</f>
        <v/>
      </c>
      <c r="AA15" s="331">
        <f t="shared" si="0"/>
        <v>0</v>
      </c>
      <c r="AB15" s="27">
        <f t="shared" si="5"/>
        <v>3</v>
      </c>
      <c r="AC15" s="330" t="str">
        <f t="shared" si="6"/>
        <v/>
      </c>
      <c r="AD15" s="332">
        <f t="shared" si="1"/>
        <v>0</v>
      </c>
      <c r="AE15" s="333" t="str">
        <f t="shared" si="7"/>
        <v/>
      </c>
      <c r="AF15" s="333" t="str">
        <f t="shared" si="8"/>
        <v/>
      </c>
      <c r="AG15" s="561" t="str">
        <f t="shared" si="2"/>
        <v/>
      </c>
      <c r="AH15" s="561" t="str">
        <f t="shared" si="9"/>
        <v/>
      </c>
      <c r="AI15" s="334"/>
    </row>
    <row r="16" spans="1:36" outlineLevel="3" x14ac:dyDescent="0.2">
      <c r="A16" s="39">
        <v>4</v>
      </c>
      <c r="B16" s="23">
        <v>110030</v>
      </c>
      <c r="C16" s="23" t="s">
        <v>3</v>
      </c>
      <c r="D16" s="300">
        <f>Table22[[#This Row],[Level used for acute calculation]]</f>
        <v>4</v>
      </c>
      <c r="E16" s="302">
        <f>Table22[[#This Row],[MRL individual commodity]]</f>
        <v>0</v>
      </c>
      <c r="F16" s="451">
        <f>Table22[[#This Row],[Acute RA input value]]</f>
        <v>0</v>
      </c>
      <c r="G16" s="301" t="str">
        <f>Table22[[#This Row],[Acute RA label]]</f>
        <v/>
      </c>
      <c r="H16" s="303">
        <f>Table22[[#This Row],[Acute RA IESTI new input value]]</f>
        <v>0</v>
      </c>
      <c r="I16" s="301" t="str">
        <f>Table22[[#This Row],[Acute RA IESTI new label]]</f>
        <v/>
      </c>
      <c r="J16" s="504"/>
      <c r="K16" s="544">
        <f>Table22[[#This Row],[GAP under assessment]]</f>
        <v>0</v>
      </c>
      <c r="L16" s="304" t="str">
        <f>IF(input_values!$M16=0,"",input_values!$M16)</f>
        <v/>
      </c>
      <c r="M16" s="301" t="str">
        <f>IF(input_values!H16=0,"",input_values!H16)</f>
        <v/>
      </c>
      <c r="N16" s="304">
        <f>input_values!$K16</f>
        <v>0</v>
      </c>
      <c r="O16" s="326">
        <v>7.77</v>
      </c>
      <c r="P16" s="22">
        <v>95</v>
      </c>
      <c r="Q16" s="22" t="s">
        <v>256</v>
      </c>
      <c r="R16" s="326">
        <v>16.149999999999999</v>
      </c>
      <c r="S16" s="328">
        <f t="shared" si="3"/>
        <v>125.48549999999999</v>
      </c>
      <c r="T16" s="328">
        <v>71.338571428571427</v>
      </c>
      <c r="U16" s="329" t="s">
        <v>90</v>
      </c>
      <c r="V16" s="328">
        <v>120.50166112956812</v>
      </c>
      <c r="W16" s="329" t="s">
        <v>90</v>
      </c>
      <c r="X16" s="1464" t="str">
        <f>IF(V16="ND","ND",IF(S16="","",IF(OR(MID(C16,1,4)="milk",AND(MID(B16,1,2)="50",NOT(input_values!M16="Y")),AND(MID(B16,1,2)="40",NOT(input_values!M16="Y")),AND(MID(B16,1,2)="30",NOT(input_values!M16="Y"))),3,IF(OR(V16="&lt;25",B16&gt;1000000),1,IF((T16&gt;=S16),"2b","2a")))))</f>
        <v>2a</v>
      </c>
      <c r="Y16" s="22">
        <f>IF(X16="ND","ND",IF(S16="","",IF(input_values!K16&gt;0,input_values!K16,IF(OR(X16=1,X16=3),1,IF((V16&gt;250),5,7)))))</f>
        <v>7</v>
      </c>
      <c r="Z16" s="330" t="str">
        <f t="shared" si="4"/>
        <v/>
      </c>
      <c r="AA16" s="331">
        <f t="shared" si="0"/>
        <v>0</v>
      </c>
      <c r="AB16" s="27">
        <f t="shared" si="5"/>
        <v>3</v>
      </c>
      <c r="AC16" s="330" t="str">
        <f t="shared" si="6"/>
        <v/>
      </c>
      <c r="AD16" s="332">
        <f t="shared" si="1"/>
        <v>0</v>
      </c>
      <c r="AE16" s="333" t="str">
        <f t="shared" si="7"/>
        <v/>
      </c>
      <c r="AF16" s="333" t="str">
        <f t="shared" si="8"/>
        <v/>
      </c>
      <c r="AG16" s="561" t="str">
        <f t="shared" si="2"/>
        <v/>
      </c>
      <c r="AH16" s="561" t="str">
        <f t="shared" si="9"/>
        <v/>
      </c>
      <c r="AI16" s="334"/>
    </row>
    <row r="17" spans="1:35" outlineLevel="3" x14ac:dyDescent="0.2">
      <c r="A17" s="39">
        <v>4</v>
      </c>
      <c r="B17" s="23">
        <v>110040</v>
      </c>
      <c r="C17" s="23" t="s">
        <v>4</v>
      </c>
      <c r="D17" s="300">
        <f>Table22[[#This Row],[Level used for acute calculation]]</f>
        <v>4</v>
      </c>
      <c r="E17" s="302">
        <f>Table22[[#This Row],[MRL individual commodity]]</f>
        <v>0</v>
      </c>
      <c r="F17" s="451">
        <f>Table22[[#This Row],[Acute RA input value]]</f>
        <v>0</v>
      </c>
      <c r="G17" s="301" t="str">
        <f>Table22[[#This Row],[Acute RA label]]</f>
        <v/>
      </c>
      <c r="H17" s="303">
        <f>Table22[[#This Row],[Acute RA IESTI new input value]]</f>
        <v>0</v>
      </c>
      <c r="I17" s="301" t="str">
        <f>Table22[[#This Row],[Acute RA IESTI new label]]</f>
        <v/>
      </c>
      <c r="J17" s="504"/>
      <c r="K17" s="544">
        <f>Table22[[#This Row],[GAP under assessment]]</f>
        <v>0</v>
      </c>
      <c r="L17" s="304" t="str">
        <f>IF(input_values!$M17=0,"",input_values!$M17)</f>
        <v/>
      </c>
      <c r="M17" s="301" t="str">
        <f>IF(input_values!H17=0,"",input_values!H17)</f>
        <v/>
      </c>
      <c r="N17" s="304">
        <f>input_values!$K17</f>
        <v>0</v>
      </c>
      <c r="O17" s="326">
        <v>2.8758620689655174</v>
      </c>
      <c r="P17" s="22">
        <v>97.5</v>
      </c>
      <c r="Q17" s="22" t="s">
        <v>91</v>
      </c>
      <c r="R17" s="326">
        <v>14.5</v>
      </c>
      <c r="S17" s="328">
        <f t="shared" si="3"/>
        <v>41.7</v>
      </c>
      <c r="T17" s="328">
        <v>67</v>
      </c>
      <c r="U17" s="329" t="s">
        <v>45</v>
      </c>
      <c r="V17" s="328">
        <v>67</v>
      </c>
      <c r="W17" s="329" t="s">
        <v>45</v>
      </c>
      <c r="X17" s="1464" t="str">
        <f>IF(V17="ND","ND",IF(S17="","",IF(OR(MID(C17,1,4)="milk",AND(MID(B17,1,2)="50",NOT(input_values!M17="Y")),AND(MID(B17,1,2)="40",NOT(input_values!M17="Y")),AND(MID(B17,1,2)="30",NOT(input_values!M17="Y"))),3,IF(OR(V17="&lt;25",B17&gt;1000000),1,IF((T17&gt;=S17),"2b","2a")))))</f>
        <v>2b</v>
      </c>
      <c r="Y17" s="22">
        <f>IF(X17="ND","ND",IF(S17="","",IF(input_values!K17&gt;0,input_values!K17,IF(OR(X17=1,X17=3),1,IF((V17&gt;250),5,7)))))</f>
        <v>7</v>
      </c>
      <c r="Z17" s="330" t="str">
        <f t="shared" si="4"/>
        <v/>
      </c>
      <c r="AA17" s="331">
        <f t="shared" si="0"/>
        <v>0</v>
      </c>
      <c r="AB17" s="27">
        <f t="shared" si="5"/>
        <v>3</v>
      </c>
      <c r="AC17" s="330" t="str">
        <f t="shared" si="6"/>
        <v/>
      </c>
      <c r="AD17" s="332">
        <f t="shared" si="1"/>
        <v>0</v>
      </c>
      <c r="AE17" s="333" t="str">
        <f t="shared" si="7"/>
        <v/>
      </c>
      <c r="AF17" s="333" t="str">
        <f t="shared" si="8"/>
        <v/>
      </c>
      <c r="AG17" s="561" t="str">
        <f t="shared" si="2"/>
        <v/>
      </c>
      <c r="AH17" s="561" t="str">
        <f t="shared" si="9"/>
        <v/>
      </c>
      <c r="AI17" s="334"/>
    </row>
    <row r="18" spans="1:35" outlineLevel="3" x14ac:dyDescent="0.2">
      <c r="A18" s="39">
        <v>4</v>
      </c>
      <c r="B18" s="23">
        <v>110050</v>
      </c>
      <c r="C18" s="23" t="s">
        <v>5</v>
      </c>
      <c r="D18" s="300">
        <f>Table22[[#This Row],[Level used for acute calculation]]</f>
        <v>4</v>
      </c>
      <c r="E18" s="302">
        <f>Table22[[#This Row],[MRL individual commodity]]</f>
        <v>0</v>
      </c>
      <c r="F18" s="451">
        <f>Table22[[#This Row],[Acute RA input value]]</f>
        <v>0</v>
      </c>
      <c r="G18" s="301" t="str">
        <f>Table22[[#This Row],[Acute RA label]]</f>
        <v/>
      </c>
      <c r="H18" s="303">
        <f>Table22[[#This Row],[Acute RA IESTI new input value]]</f>
        <v>0</v>
      </c>
      <c r="I18" s="301" t="str">
        <f>Table22[[#This Row],[Acute RA IESTI new label]]</f>
        <v/>
      </c>
      <c r="J18" s="504"/>
      <c r="K18" s="544">
        <f>Table22[[#This Row],[GAP under assessment]]</f>
        <v>0</v>
      </c>
      <c r="L18" s="304" t="str">
        <f>IF(input_values!$M18=0,"",input_values!$M18)</f>
        <v/>
      </c>
      <c r="M18" s="301" t="str">
        <f>IF(input_values!H18=0,"",input_values!H18)</f>
        <v/>
      </c>
      <c r="N18" s="304">
        <f>input_values!$K18</f>
        <v>0</v>
      </c>
      <c r="O18" s="326">
        <v>12.342000000000001</v>
      </c>
      <c r="P18" s="22">
        <v>97.5</v>
      </c>
      <c r="Q18" s="22" t="s">
        <v>329</v>
      </c>
      <c r="R18" s="326">
        <v>10.199999999999999</v>
      </c>
      <c r="S18" s="328">
        <f t="shared" si="3"/>
        <v>125.88839999999999</v>
      </c>
      <c r="T18" s="328">
        <v>79.8</v>
      </c>
      <c r="U18" s="329" t="s">
        <v>215</v>
      </c>
      <c r="V18" s="328">
        <v>105</v>
      </c>
      <c r="W18" s="329" t="s">
        <v>215</v>
      </c>
      <c r="X18" s="1464" t="str">
        <f>IF(V18="ND","ND",IF(S18="","",IF(OR(MID(C18,1,4)="milk",AND(MID(B18,1,2)="50",NOT(input_values!M18="Y")),AND(MID(B18,1,2)="40",NOT(input_values!M18="Y")),AND(MID(B18,1,2)="30",NOT(input_values!M18="Y"))),3,IF(OR(V18="&lt;25",B18&gt;1000000),1,IF((T18&gt;=S18),"2b","2a")))))</f>
        <v>2a</v>
      </c>
      <c r="Y18" s="22">
        <f>IF(X18="ND","ND",IF(S18="","",IF(input_values!K18&gt;0,input_values!K18,IF(OR(X18=1,X18=3),1,IF((V18&gt;250),5,7)))))</f>
        <v>7</v>
      </c>
      <c r="Z18" s="330" t="str">
        <f t="shared" si="4"/>
        <v/>
      </c>
      <c r="AA18" s="331">
        <f t="shared" si="0"/>
        <v>0</v>
      </c>
      <c r="AB18" s="27">
        <f t="shared" si="5"/>
        <v>3</v>
      </c>
      <c r="AC18" s="330" t="str">
        <f t="shared" si="6"/>
        <v/>
      </c>
      <c r="AD18" s="332">
        <f t="shared" si="1"/>
        <v>0</v>
      </c>
      <c r="AE18" s="333" t="str">
        <f t="shared" si="7"/>
        <v/>
      </c>
      <c r="AF18" s="333" t="str">
        <f t="shared" si="8"/>
        <v/>
      </c>
      <c r="AG18" s="561" t="str">
        <f t="shared" si="2"/>
        <v/>
      </c>
      <c r="AH18" s="561" t="str">
        <f t="shared" si="9"/>
        <v/>
      </c>
      <c r="AI18" s="313"/>
    </row>
    <row r="19" spans="1:35" outlineLevel="3" x14ac:dyDescent="0.2">
      <c r="A19" s="39">
        <v>4</v>
      </c>
      <c r="B19" s="23">
        <v>110990</v>
      </c>
      <c r="C19" s="23" t="s">
        <v>47</v>
      </c>
      <c r="D19" s="300">
        <f>Table22[[#This Row],[Level used for acute calculation]]</f>
        <v>0</v>
      </c>
      <c r="E19" s="302">
        <f>Table22[[#This Row],[MRL individual commodity]]</f>
        <v>0</v>
      </c>
      <c r="F19" s="451">
        <f>Table22[[#This Row],[Acute RA input value]]</f>
        <v>0</v>
      </c>
      <c r="G19" s="301">
        <f>Table22[[#This Row],[Acute RA label]]</f>
        <v>0</v>
      </c>
      <c r="H19" s="303">
        <f>Table22[[#This Row],[Acute RA IESTI new input value]]</f>
        <v>0</v>
      </c>
      <c r="I19" s="301">
        <f>Table22[[#This Row],[Acute RA IESTI new label]]</f>
        <v>0</v>
      </c>
      <c r="J19" s="504"/>
      <c r="K19" s="544">
        <f>Table22[[#This Row],[GAP under assessment]]</f>
        <v>0</v>
      </c>
      <c r="L19" s="304" t="str">
        <f>IF(input_values!$M19=0,"",input_values!$M19)</f>
        <v/>
      </c>
      <c r="M19" s="301" t="str">
        <f>IF(input_values!H19=0,"",input_values!H19)</f>
        <v/>
      </c>
      <c r="N19" s="304">
        <f>input_values!$K19</f>
        <v>0</v>
      </c>
      <c r="O19" s="310"/>
      <c r="P19" s="38"/>
      <c r="Q19" s="38"/>
      <c r="R19" s="335"/>
      <c r="S19" s="336" t="str">
        <f t="shared" si="3"/>
        <v/>
      </c>
      <c r="T19" s="305"/>
      <c r="U19" s="570"/>
      <c r="V19" s="305"/>
      <c r="W19" s="570"/>
      <c r="X19" s="611" t="str">
        <f>IF(V19="ND","ND",IF(S19="","",IF(OR(MID(C19,1,4)="milk",AND(MID(B19,1,2)="50",NOT(input_values!M19="Y")),AND(MID(B19,1,2)="40",NOT(input_values!M19="Y")),AND(MID(B19,1,2)="30",NOT(input_values!M19="Y"))),3,IF(OR(V19="&lt;25",B19&gt;1000000),1,IF((T19&gt;=S19),"2b","2a")))))</f>
        <v/>
      </c>
      <c r="Y19" s="38" t="str">
        <f>IF(X19="ND","ND",IF(S19="","",IF(input_values!K19&gt;0,input_values!K19,IF(OR(X19=1,X19=3),1,IF((V19&gt;250),5,7)))))</f>
        <v/>
      </c>
      <c r="Z19" s="310" t="str">
        <f t="shared" si="4"/>
        <v/>
      </c>
      <c r="AA19" s="311">
        <f t="shared" si="0"/>
        <v>0</v>
      </c>
      <c r="AB19" s="38" t="str">
        <f t="shared" si="5"/>
        <v/>
      </c>
      <c r="AC19" s="310" t="str">
        <f t="shared" si="6"/>
        <v/>
      </c>
      <c r="AD19" s="311">
        <f t="shared" si="1"/>
        <v>0</v>
      </c>
      <c r="AE19" s="312" t="str">
        <f t="shared" si="7"/>
        <v/>
      </c>
      <c r="AF19" s="312" t="str">
        <f t="shared" si="8"/>
        <v/>
      </c>
      <c r="AG19" s="561" t="str">
        <f t="shared" si="2"/>
        <v/>
      </c>
      <c r="AH19" s="561" t="str">
        <f t="shared" si="9"/>
        <v/>
      </c>
      <c r="AI19" s="313"/>
    </row>
    <row r="20" spans="1:35" outlineLevel="1" x14ac:dyDescent="0.2">
      <c r="A20" s="130">
        <v>2</v>
      </c>
      <c r="B20" s="131">
        <v>120000</v>
      </c>
      <c r="C20" s="131" t="s">
        <v>352</v>
      </c>
      <c r="D20" s="300">
        <f>Table22[[#This Row],[Level used for acute calculation]]</f>
        <v>4</v>
      </c>
      <c r="E20" s="302">
        <f>Table22[[#This Row],[MRL individual commodity]]</f>
        <v>0</v>
      </c>
      <c r="F20" s="451">
        <f>Table22[[#This Row],[Acute RA input value]]</f>
        <v>0</v>
      </c>
      <c r="G20" s="301">
        <f>Table22[[#This Row],[Acute RA label]]</f>
        <v>0</v>
      </c>
      <c r="H20" s="303">
        <f>Table22[[#This Row],[Acute RA IESTI new input value]]</f>
        <v>0</v>
      </c>
      <c r="I20" s="301">
        <f>Table22[[#This Row],[Acute RA IESTI new label]]</f>
        <v>0</v>
      </c>
      <c r="J20" s="504"/>
      <c r="K20" s="544">
        <f>Table22[[#This Row],[GAP under assessment]]</f>
        <v>0</v>
      </c>
      <c r="L20" s="304" t="str">
        <f>IF(input_values!$M20=0,"",input_values!$M20)</f>
        <v/>
      </c>
      <c r="M20" s="301" t="str">
        <f>IF(input_values!H20=0,"",input_values!H20)</f>
        <v/>
      </c>
      <c r="N20" s="304">
        <f>input_values!$K20</f>
        <v>0</v>
      </c>
      <c r="O20" s="305"/>
      <c r="P20" s="38"/>
      <c r="Q20" s="38"/>
      <c r="R20" s="335"/>
      <c r="S20" s="336" t="str">
        <f t="shared" si="3"/>
        <v/>
      </c>
      <c r="T20" s="315"/>
      <c r="U20" s="321"/>
      <c r="V20" s="315"/>
      <c r="W20" s="321"/>
      <c r="X20" s="611" t="str">
        <f>IF(V20="ND","ND",IF(S20="","",IF(OR(MID(C20,1,4)="milk",AND(MID(B20,1,2)="50",NOT(input_values!M20="Y")),AND(MID(B20,1,2)="40",NOT(input_values!M20="Y")),AND(MID(B20,1,2)="30",NOT(input_values!M20="Y"))),3,IF(OR(V20="&lt;25",B20&gt;1000000),1,IF((T20&gt;=S20),"2b","2a")))))</f>
        <v/>
      </c>
      <c r="Y20" s="38" t="str">
        <f>IF(X20="ND","ND",IF(S20="","",IF(input_values!K20&gt;0,input_values!K20,IF(OR(X20=1,X20=3),1,IF((V20&gt;250),5,7)))))</f>
        <v/>
      </c>
      <c r="Z20" s="310" t="str">
        <f t="shared" si="4"/>
        <v/>
      </c>
      <c r="AA20" s="311">
        <f t="shared" si="0"/>
        <v>0</v>
      </c>
      <c r="AB20" s="38" t="str">
        <f t="shared" si="5"/>
        <v/>
      </c>
      <c r="AC20" s="310" t="str">
        <f t="shared" si="6"/>
        <v/>
      </c>
      <c r="AD20" s="311">
        <f t="shared" si="1"/>
        <v>0</v>
      </c>
      <c r="AE20" s="312" t="str">
        <f t="shared" si="7"/>
        <v/>
      </c>
      <c r="AF20" s="312" t="str">
        <f t="shared" si="8"/>
        <v/>
      </c>
      <c r="AG20" s="561" t="str">
        <f t="shared" si="2"/>
        <v/>
      </c>
      <c r="AH20" s="561" t="str">
        <f t="shared" si="9"/>
        <v/>
      </c>
      <c r="AI20" s="313"/>
    </row>
    <row r="21" spans="1:35" outlineLevel="3" x14ac:dyDescent="0.2">
      <c r="A21" s="39">
        <v>4</v>
      </c>
      <c r="B21" s="23">
        <v>120010</v>
      </c>
      <c r="C21" s="23" t="s">
        <v>6</v>
      </c>
      <c r="D21" s="300">
        <f>Table22[[#This Row],[Level used for acute calculation]]</f>
        <v>4</v>
      </c>
      <c r="E21" s="302">
        <f>Table22[[#This Row],[MRL individual commodity]]</f>
        <v>0</v>
      </c>
      <c r="F21" s="451">
        <f>Table22[[#This Row],[Acute RA input value]]</f>
        <v>0</v>
      </c>
      <c r="G21" s="301" t="str">
        <f>Table22[[#This Row],[Acute RA label]]</f>
        <v/>
      </c>
      <c r="H21" s="303">
        <f>Table22[[#This Row],[Acute RA IESTI new input value]]</f>
        <v>0</v>
      </c>
      <c r="I21" s="301" t="str">
        <f>Table22[[#This Row],[Acute RA IESTI new label]]</f>
        <v/>
      </c>
      <c r="J21" s="504"/>
      <c r="K21" s="544">
        <f>Table22[[#This Row],[GAP under assessment]]</f>
        <v>0</v>
      </c>
      <c r="L21" s="304" t="str">
        <f>IF(input_values!$M21=0,"",input_values!$M21)</f>
        <v/>
      </c>
      <c r="M21" s="301" t="str">
        <f>IF(input_values!H21=0,"",input_values!H21)</f>
        <v/>
      </c>
      <c r="N21" s="304">
        <f>input_values!$K21</f>
        <v>0</v>
      </c>
      <c r="O21" s="326">
        <v>2.8900199999999998</v>
      </c>
      <c r="P21" s="22">
        <v>97.5</v>
      </c>
      <c r="Q21" s="22" t="s">
        <v>330</v>
      </c>
      <c r="R21" s="326">
        <v>20</v>
      </c>
      <c r="S21" s="328">
        <f t="shared" si="3"/>
        <v>57.800399999999996</v>
      </c>
      <c r="T21" s="338" t="s">
        <v>617</v>
      </c>
      <c r="U21" s="129" t="s">
        <v>215</v>
      </c>
      <c r="V21" s="338" t="s">
        <v>617</v>
      </c>
      <c r="W21" s="129" t="s">
        <v>215</v>
      </c>
      <c r="X21" s="1464">
        <f>IF(V21="ND","ND",IF(S21="","",IF(OR(MID(C21,1,4)="milk",AND(MID(B21,1,2)="50",NOT(input_values!M21="Y")),AND(MID(B21,1,2)="40",NOT(input_values!M21="Y")),AND(MID(B21,1,2)="30",NOT(input_values!M21="Y"))),3,IF(OR(V21="&lt;25",B21&gt;1000000),1,IF((T21&gt;=S21),"2b","2a")))))</f>
        <v>1</v>
      </c>
      <c r="Y21" s="22">
        <f>IF(X21="ND","ND",IF(S21="","",IF(input_values!K21&gt;0,input_values!K21,IF(OR(X21=1,X21=3),1,IF((V21&gt;250),5,7)))))</f>
        <v>1</v>
      </c>
      <c r="Z21" s="330" t="str">
        <f t="shared" si="4"/>
        <v/>
      </c>
      <c r="AA21" s="331">
        <f t="shared" si="0"/>
        <v>0</v>
      </c>
      <c r="AB21" s="27">
        <f t="shared" si="5"/>
        <v>1</v>
      </c>
      <c r="AC21" s="330" t="str">
        <f t="shared" si="6"/>
        <v/>
      </c>
      <c r="AD21" s="332">
        <f t="shared" si="1"/>
        <v>0</v>
      </c>
      <c r="AE21" s="333" t="str">
        <f t="shared" si="7"/>
        <v/>
      </c>
      <c r="AF21" s="333" t="str">
        <f t="shared" si="8"/>
        <v/>
      </c>
      <c r="AG21" s="561" t="str">
        <f t="shared" si="2"/>
        <v/>
      </c>
      <c r="AH21" s="561" t="str">
        <f t="shared" si="9"/>
        <v/>
      </c>
      <c r="AI21" s="313"/>
    </row>
    <row r="22" spans="1:35" outlineLevel="3" x14ac:dyDescent="0.2">
      <c r="A22" s="39">
        <v>4</v>
      </c>
      <c r="B22" s="23">
        <v>120020</v>
      </c>
      <c r="C22" s="23" t="s">
        <v>7</v>
      </c>
      <c r="D22" s="300">
        <f>Table22[[#This Row],[Level used for acute calculation]]</f>
        <v>4</v>
      </c>
      <c r="E22" s="302">
        <f>Table22[[#This Row],[MRL individual commodity]]</f>
        <v>0</v>
      </c>
      <c r="F22" s="451">
        <f>Table22[[#This Row],[Acute RA input value]]</f>
        <v>0</v>
      </c>
      <c r="G22" s="301" t="str">
        <f>Table22[[#This Row],[Acute RA label]]</f>
        <v/>
      </c>
      <c r="H22" s="303">
        <f>Table22[[#This Row],[Acute RA IESTI new input value]]</f>
        <v>0</v>
      </c>
      <c r="I22" s="301" t="str">
        <f>Table22[[#This Row],[Acute RA IESTI new label]]</f>
        <v/>
      </c>
      <c r="J22" s="504"/>
      <c r="K22" s="544">
        <f>Table22[[#This Row],[GAP under assessment]]</f>
        <v>0</v>
      </c>
      <c r="L22" s="304" t="str">
        <f>IF(input_values!$M22=0,"",input_values!$M22)</f>
        <v/>
      </c>
      <c r="M22" s="301" t="str">
        <f>IF(input_values!H22=0,"",input_values!H22)</f>
        <v/>
      </c>
      <c r="N22" s="304">
        <f>input_values!$K22</f>
        <v>0</v>
      </c>
      <c r="O22" s="326">
        <v>0.86829268292682926</v>
      </c>
      <c r="P22" s="22">
        <v>97.5</v>
      </c>
      <c r="Q22" s="22" t="s">
        <v>92</v>
      </c>
      <c r="R22" s="326">
        <v>20.5</v>
      </c>
      <c r="S22" s="328">
        <f t="shared" si="3"/>
        <v>17.8</v>
      </c>
      <c r="T22" s="338" t="s">
        <v>617</v>
      </c>
      <c r="U22" s="129" t="s">
        <v>215</v>
      </c>
      <c r="V22" s="338" t="s">
        <v>617</v>
      </c>
      <c r="W22" s="129" t="s">
        <v>215</v>
      </c>
      <c r="X22" s="1464">
        <f>IF(V22="ND","ND",IF(S22="","",IF(OR(MID(C22,1,4)="milk",AND(MID(B22,1,2)="50",NOT(input_values!M22="Y")),AND(MID(B22,1,2)="40",NOT(input_values!M22="Y")),AND(MID(B22,1,2)="30",NOT(input_values!M22="Y"))),3,IF(OR(V22="&lt;25",B22&gt;1000000),1,IF((T22&gt;=S22),"2b","2a")))))</f>
        <v>1</v>
      </c>
      <c r="Y22" s="22">
        <f>IF(X22="ND","ND",IF(S22="","",IF(input_values!K22&gt;0,input_values!K22,IF(OR(X22=1,X22=3),1,IF((V22&gt;250),5,7)))))</f>
        <v>1</v>
      </c>
      <c r="Z22" s="330" t="str">
        <f t="shared" si="4"/>
        <v/>
      </c>
      <c r="AA22" s="331">
        <f t="shared" si="0"/>
        <v>0</v>
      </c>
      <c r="AB22" s="27">
        <f t="shared" si="5"/>
        <v>1</v>
      </c>
      <c r="AC22" s="330" t="str">
        <f t="shared" si="6"/>
        <v/>
      </c>
      <c r="AD22" s="332">
        <f t="shared" si="1"/>
        <v>0</v>
      </c>
      <c r="AE22" s="333" t="str">
        <f t="shared" si="7"/>
        <v/>
      </c>
      <c r="AF22" s="333" t="str">
        <f t="shared" si="8"/>
        <v/>
      </c>
      <c r="AG22" s="561" t="str">
        <f t="shared" si="2"/>
        <v/>
      </c>
      <c r="AH22" s="561" t="str">
        <f t="shared" si="9"/>
        <v/>
      </c>
      <c r="AI22" s="313"/>
    </row>
    <row r="23" spans="1:35" outlineLevel="3" x14ac:dyDescent="0.2">
      <c r="A23" s="39">
        <v>4</v>
      </c>
      <c r="B23" s="23">
        <v>120030</v>
      </c>
      <c r="C23" s="23" t="s">
        <v>8</v>
      </c>
      <c r="D23" s="300">
        <f>Table22[[#This Row],[Level used for acute calculation]]</f>
        <v>4</v>
      </c>
      <c r="E23" s="302">
        <f>Table22[[#This Row],[MRL individual commodity]]</f>
        <v>0</v>
      </c>
      <c r="F23" s="451">
        <f>Table22[[#This Row],[Acute RA input value]]</f>
        <v>0</v>
      </c>
      <c r="G23" s="301" t="str">
        <f>Table22[[#This Row],[Acute RA label]]</f>
        <v/>
      </c>
      <c r="H23" s="303">
        <f>Table22[[#This Row],[Acute RA IESTI new input value]]</f>
        <v>0</v>
      </c>
      <c r="I23" s="301" t="str">
        <f>Table22[[#This Row],[Acute RA IESTI new label]]</f>
        <v/>
      </c>
      <c r="J23" s="504"/>
      <c r="K23" s="544">
        <f>Table22[[#This Row],[GAP under assessment]]</f>
        <v>0</v>
      </c>
      <c r="L23" s="304" t="str">
        <f>IF(input_values!$M23=0,"",input_values!$M23)</f>
        <v/>
      </c>
      <c r="M23" s="301" t="str">
        <f>IF(input_values!H23=0,"",input_values!H23)</f>
        <v/>
      </c>
      <c r="N23" s="304">
        <f>input_values!$K23</f>
        <v>0</v>
      </c>
      <c r="O23" s="326">
        <v>2.5380434782608701</v>
      </c>
      <c r="P23" s="22">
        <v>100</v>
      </c>
      <c r="Q23" s="22" t="s">
        <v>259</v>
      </c>
      <c r="R23" s="326">
        <v>18.399999999999999</v>
      </c>
      <c r="S23" s="328">
        <f t="shared" si="3"/>
        <v>46.7</v>
      </c>
      <c r="T23" s="338" t="s">
        <v>617</v>
      </c>
      <c r="U23" s="129" t="s">
        <v>215</v>
      </c>
      <c r="V23" s="338" t="s">
        <v>617</v>
      </c>
      <c r="W23" s="129" t="s">
        <v>215</v>
      </c>
      <c r="X23" s="1464">
        <f>IF(V23="ND","ND",IF(S23="","",IF(OR(MID(C23,1,4)="milk",AND(MID(B23,1,2)="50",NOT(input_values!M23="Y")),AND(MID(B23,1,2)="40",NOT(input_values!M23="Y")),AND(MID(B23,1,2)="30",NOT(input_values!M23="Y"))),3,IF(OR(V23="&lt;25",B23&gt;1000000),1,IF((T23&gt;=S23),"2b","2a")))))</f>
        <v>1</v>
      </c>
      <c r="Y23" s="22">
        <f>IF(X23="ND","ND",IF(S23="","",IF(input_values!K23&gt;0,input_values!K23,IF(OR(X23=1,X23=3),1,IF((V23&gt;250),5,7)))))</f>
        <v>1</v>
      </c>
      <c r="Z23" s="330" t="str">
        <f t="shared" si="4"/>
        <v/>
      </c>
      <c r="AA23" s="331">
        <f t="shared" si="0"/>
        <v>0</v>
      </c>
      <c r="AB23" s="27">
        <f t="shared" si="5"/>
        <v>1</v>
      </c>
      <c r="AC23" s="330" t="str">
        <f t="shared" si="6"/>
        <v/>
      </c>
      <c r="AD23" s="332">
        <f t="shared" si="1"/>
        <v>0</v>
      </c>
      <c r="AE23" s="333" t="str">
        <f t="shared" si="7"/>
        <v/>
      </c>
      <c r="AF23" s="333" t="str">
        <f t="shared" si="8"/>
        <v/>
      </c>
      <c r="AG23" s="561" t="str">
        <f t="shared" si="2"/>
        <v/>
      </c>
      <c r="AH23" s="561" t="str">
        <f t="shared" si="9"/>
        <v/>
      </c>
      <c r="AI23" s="313"/>
    </row>
    <row r="24" spans="1:35" outlineLevel="3" x14ac:dyDescent="0.2">
      <c r="A24" s="39">
        <v>4</v>
      </c>
      <c r="B24" s="23">
        <v>120040</v>
      </c>
      <c r="C24" s="23" t="s">
        <v>9</v>
      </c>
      <c r="D24" s="300">
        <f>Table22[[#This Row],[Level used for acute calculation]]</f>
        <v>4</v>
      </c>
      <c r="E24" s="302">
        <f>Table22[[#This Row],[MRL individual commodity]]</f>
        <v>0</v>
      </c>
      <c r="F24" s="451">
        <f>Table22[[#This Row],[Acute RA input value]]</f>
        <v>0</v>
      </c>
      <c r="G24" s="301" t="str">
        <f>Table22[[#This Row],[Acute RA label]]</f>
        <v/>
      </c>
      <c r="H24" s="303">
        <f>Table22[[#This Row],[Acute RA IESTI new input value]]</f>
        <v>0</v>
      </c>
      <c r="I24" s="301" t="str">
        <f>Table22[[#This Row],[Acute RA IESTI new label]]</f>
        <v/>
      </c>
      <c r="J24" s="504"/>
      <c r="K24" s="544">
        <f>Table22[[#This Row],[GAP under assessment]]</f>
        <v>0</v>
      </c>
      <c r="L24" s="304" t="str">
        <f>IF(input_values!$M24=0,"",input_values!$M24)</f>
        <v/>
      </c>
      <c r="M24" s="301" t="str">
        <f>IF(input_values!H24=0,"",input_values!H24)</f>
        <v/>
      </c>
      <c r="N24" s="304">
        <f>input_values!$K24</f>
        <v>0</v>
      </c>
      <c r="O24" s="326">
        <v>4.1951219512195124</v>
      </c>
      <c r="P24" s="22">
        <v>97.5</v>
      </c>
      <c r="Q24" s="22" t="s">
        <v>92</v>
      </c>
      <c r="R24" s="326">
        <v>20.5</v>
      </c>
      <c r="S24" s="328">
        <f t="shared" si="3"/>
        <v>86</v>
      </c>
      <c r="T24" s="338" t="s">
        <v>617</v>
      </c>
      <c r="U24" s="129" t="s">
        <v>215</v>
      </c>
      <c r="V24" s="338" t="s">
        <v>617</v>
      </c>
      <c r="W24" s="129" t="s">
        <v>215</v>
      </c>
      <c r="X24" s="1464">
        <f>IF(V24="ND","ND",IF(S24="","",IF(OR(MID(C24,1,4)="milk",AND(MID(B24,1,2)="50",NOT(input_values!M24="Y")),AND(MID(B24,1,2)="40",NOT(input_values!M24="Y")),AND(MID(B24,1,2)="30",NOT(input_values!M24="Y"))),3,IF(OR(V24="&lt;25",B24&gt;1000000),1,IF((T24&gt;=S24),"2b","2a")))))</f>
        <v>1</v>
      </c>
      <c r="Y24" s="22">
        <f>IF(X24="ND","ND",IF(S24="","",IF(input_values!K24&gt;0,input_values!K24,IF(OR(X24=1,X24=3),1,IF((V24&gt;250),5,7)))))</f>
        <v>1</v>
      </c>
      <c r="Z24" s="330" t="str">
        <f t="shared" si="4"/>
        <v/>
      </c>
      <c r="AA24" s="331">
        <f t="shared" si="0"/>
        <v>0</v>
      </c>
      <c r="AB24" s="27">
        <f t="shared" si="5"/>
        <v>1</v>
      </c>
      <c r="AC24" s="330" t="str">
        <f t="shared" si="6"/>
        <v/>
      </c>
      <c r="AD24" s="332">
        <f t="shared" si="1"/>
        <v>0</v>
      </c>
      <c r="AE24" s="333" t="str">
        <f t="shared" si="7"/>
        <v/>
      </c>
      <c r="AF24" s="333" t="str">
        <f t="shared" si="8"/>
        <v/>
      </c>
      <c r="AG24" s="561" t="str">
        <f t="shared" si="2"/>
        <v/>
      </c>
      <c r="AH24" s="561" t="str">
        <f t="shared" si="9"/>
        <v/>
      </c>
      <c r="AI24" s="313"/>
    </row>
    <row r="25" spans="1:35" outlineLevel="3" x14ac:dyDescent="0.2">
      <c r="A25" s="39">
        <v>4</v>
      </c>
      <c r="B25" s="23">
        <v>120050</v>
      </c>
      <c r="C25" s="23" t="s">
        <v>10</v>
      </c>
      <c r="D25" s="300">
        <f>Table22[[#This Row],[Level used for acute calculation]]</f>
        <v>4</v>
      </c>
      <c r="E25" s="302">
        <f>Table22[[#This Row],[MRL individual commodity]]</f>
        <v>0</v>
      </c>
      <c r="F25" s="451">
        <f>Table22[[#This Row],[Acute RA input value]]</f>
        <v>0</v>
      </c>
      <c r="G25" s="301" t="str">
        <f>Table22[[#This Row],[Acute RA label]]</f>
        <v/>
      </c>
      <c r="H25" s="303">
        <f>Table22[[#This Row],[Acute RA IESTI new input value]]</f>
        <v>0</v>
      </c>
      <c r="I25" s="301" t="str">
        <f>Table22[[#This Row],[Acute RA IESTI new label]]</f>
        <v/>
      </c>
      <c r="J25" s="504"/>
      <c r="K25" s="544">
        <f>Table22[[#This Row],[GAP under assessment]]</f>
        <v>0</v>
      </c>
      <c r="L25" s="304" t="str">
        <f>IF(input_values!$M25=0,"",input_values!$M25)</f>
        <v/>
      </c>
      <c r="M25" s="301" t="str">
        <f>IF(input_values!H25=0,"",input_values!H25)</f>
        <v/>
      </c>
      <c r="N25" s="304">
        <f>input_values!$K25</f>
        <v>0</v>
      </c>
      <c r="O25" s="326">
        <v>2.8858695652173916</v>
      </c>
      <c r="P25" s="22" t="s">
        <v>331</v>
      </c>
      <c r="Q25" s="22" t="s">
        <v>259</v>
      </c>
      <c r="R25" s="326">
        <v>18.399999999999999</v>
      </c>
      <c r="S25" s="328">
        <f t="shared" si="3"/>
        <v>53.1</v>
      </c>
      <c r="T25" s="328">
        <v>364</v>
      </c>
      <c r="U25" s="329" t="s">
        <v>215</v>
      </c>
      <c r="V25" s="328">
        <v>364</v>
      </c>
      <c r="W25" s="329" t="s">
        <v>215</v>
      </c>
      <c r="X25" s="1464" t="str">
        <f>IF(V25="ND","ND",IF(S25="","",IF(OR(MID(C25,1,4)="milk",AND(MID(B25,1,2)="50",NOT(input_values!M25="Y")),AND(MID(B25,1,2)="40",NOT(input_values!M25="Y")),AND(MID(B25,1,2)="30",NOT(input_values!M25="Y"))),3,IF(OR(V25="&lt;25",B25&gt;1000000),1,IF((T25&gt;=S25),"2b","2a")))))</f>
        <v>2b</v>
      </c>
      <c r="Y25" s="22">
        <f>IF(X25="ND","ND",IF(S25="","",IF(input_values!K25&gt;0,input_values!K25,IF(OR(X25=1,X25=3),1,IF((V25&gt;250),5,7)))))</f>
        <v>5</v>
      </c>
      <c r="Z25" s="330" t="str">
        <f t="shared" si="4"/>
        <v/>
      </c>
      <c r="AA25" s="331">
        <f t="shared" si="0"/>
        <v>0</v>
      </c>
      <c r="AB25" s="27">
        <f t="shared" si="5"/>
        <v>3</v>
      </c>
      <c r="AC25" s="330" t="str">
        <f t="shared" si="6"/>
        <v/>
      </c>
      <c r="AD25" s="332">
        <f t="shared" si="1"/>
        <v>0</v>
      </c>
      <c r="AE25" s="333" t="str">
        <f t="shared" si="7"/>
        <v/>
      </c>
      <c r="AF25" s="333" t="str">
        <f t="shared" si="8"/>
        <v/>
      </c>
      <c r="AG25" s="561" t="str">
        <f t="shared" si="2"/>
        <v/>
      </c>
      <c r="AH25" s="561" t="str">
        <f t="shared" si="9"/>
        <v/>
      </c>
      <c r="AI25" s="334"/>
    </row>
    <row r="26" spans="1:35" outlineLevel="3" x14ac:dyDescent="0.2">
      <c r="A26" s="39">
        <v>4</v>
      </c>
      <c r="B26" s="23">
        <v>120060</v>
      </c>
      <c r="C26" s="23" t="s">
        <v>681</v>
      </c>
      <c r="D26" s="300">
        <f>Table22[[#This Row],[Level used for acute calculation]]</f>
        <v>4</v>
      </c>
      <c r="E26" s="302">
        <f>Table22[[#This Row],[MRL individual commodity]]</f>
        <v>0</v>
      </c>
      <c r="F26" s="451">
        <f>Table22[[#This Row],[Acute RA input value]]</f>
        <v>0</v>
      </c>
      <c r="G26" s="301" t="str">
        <f>Table22[[#This Row],[Acute RA label]]</f>
        <v/>
      </c>
      <c r="H26" s="303">
        <f>Table22[[#This Row],[Acute RA IESTI new input value]]</f>
        <v>0</v>
      </c>
      <c r="I26" s="301" t="str">
        <f>Table22[[#This Row],[Acute RA IESTI new label]]</f>
        <v/>
      </c>
      <c r="J26" s="504"/>
      <c r="K26" s="544">
        <f>Table22[[#This Row],[GAP under assessment]]</f>
        <v>0</v>
      </c>
      <c r="L26" s="304" t="str">
        <f>IF(input_values!$M26=0,"",input_values!$M26)</f>
        <v/>
      </c>
      <c r="M26" s="301" t="str">
        <f>IF(input_values!H26=0,"",input_values!H26)</f>
        <v/>
      </c>
      <c r="N26" s="304">
        <f>input_values!$K26</f>
        <v>0</v>
      </c>
      <c r="O26" s="326">
        <v>3.2709899999999998</v>
      </c>
      <c r="P26" s="22">
        <v>97.5</v>
      </c>
      <c r="Q26" s="22" t="s">
        <v>330</v>
      </c>
      <c r="R26" s="326">
        <v>20</v>
      </c>
      <c r="S26" s="328">
        <f t="shared" si="3"/>
        <v>65.419799999999995</v>
      </c>
      <c r="T26" s="338" t="s">
        <v>617</v>
      </c>
      <c r="U26" s="129" t="s">
        <v>215</v>
      </c>
      <c r="V26" s="338" t="s">
        <v>617</v>
      </c>
      <c r="W26" s="129" t="s">
        <v>215</v>
      </c>
      <c r="X26" s="1464">
        <f>IF(V26="ND","ND",IF(S26="","",IF(OR(MID(C26,1,4)="milk",AND(MID(B26,1,2)="50",NOT(input_values!M26="Y")),AND(MID(B26,1,2)="40",NOT(input_values!M26="Y")),AND(MID(B26,1,2)="30",NOT(input_values!M26="Y"))),3,IF(OR(V26="&lt;25",B26&gt;1000000),1,IF((T26&gt;=S26),"2b","2a")))))</f>
        <v>1</v>
      </c>
      <c r="Y26" s="22">
        <f>IF(X26="ND","ND",IF(S26="","",IF(input_values!K26&gt;0,input_values!K26,IF(OR(X26=1,X26=3),1,IF((V26&gt;250),5,7)))))</f>
        <v>1</v>
      </c>
      <c r="Z26" s="330" t="str">
        <f t="shared" si="4"/>
        <v/>
      </c>
      <c r="AA26" s="331">
        <f t="shared" si="0"/>
        <v>0</v>
      </c>
      <c r="AB26" s="27">
        <f t="shared" si="5"/>
        <v>1</v>
      </c>
      <c r="AC26" s="330" t="str">
        <f t="shared" si="6"/>
        <v/>
      </c>
      <c r="AD26" s="332">
        <f t="shared" si="1"/>
        <v>0</v>
      </c>
      <c r="AE26" s="333" t="str">
        <f t="shared" si="7"/>
        <v/>
      </c>
      <c r="AF26" s="333" t="str">
        <f t="shared" si="8"/>
        <v/>
      </c>
      <c r="AG26" s="561" t="str">
        <f t="shared" si="2"/>
        <v/>
      </c>
      <c r="AH26" s="561" t="str">
        <f t="shared" si="9"/>
        <v/>
      </c>
      <c r="AI26" s="313"/>
    </row>
    <row r="27" spans="1:35" outlineLevel="3" x14ac:dyDescent="0.2">
      <c r="A27" s="39">
        <v>4</v>
      </c>
      <c r="B27" s="23">
        <v>120070</v>
      </c>
      <c r="C27" s="23" t="s">
        <v>108</v>
      </c>
      <c r="D27" s="300">
        <f>Table22[[#This Row],[Level used for acute calculation]]</f>
        <v>4</v>
      </c>
      <c r="E27" s="302">
        <f>Table22[[#This Row],[MRL individual commodity]]</f>
        <v>0</v>
      </c>
      <c r="F27" s="451">
        <f>Table22[[#This Row],[Acute RA input value]]</f>
        <v>0</v>
      </c>
      <c r="G27" s="301" t="str">
        <f>Table22[[#This Row],[Acute RA label]]</f>
        <v/>
      </c>
      <c r="H27" s="303">
        <f>Table22[[#This Row],[Acute RA IESTI new input value]]</f>
        <v>0</v>
      </c>
      <c r="I27" s="301" t="str">
        <f>Table22[[#This Row],[Acute RA IESTI new label]]</f>
        <v/>
      </c>
      <c r="J27" s="504"/>
      <c r="K27" s="544">
        <f>Table22[[#This Row],[GAP under assessment]]</f>
        <v>0</v>
      </c>
      <c r="L27" s="304" t="str">
        <f>IF(input_values!$M27=0,"",input_values!$M27)</f>
        <v/>
      </c>
      <c r="M27" s="301" t="str">
        <f>IF(input_values!H27=0,"",input_values!H27)</f>
        <v/>
      </c>
      <c r="N27" s="304">
        <f>input_values!$K27</f>
        <v>0</v>
      </c>
      <c r="O27" s="326">
        <v>0.54891304347826086</v>
      </c>
      <c r="P27" s="22" t="s">
        <v>331</v>
      </c>
      <c r="Q27" s="22" t="s">
        <v>259</v>
      </c>
      <c r="R27" s="326">
        <v>18.399999999999999</v>
      </c>
      <c r="S27" s="328">
        <f t="shared" si="3"/>
        <v>10.1</v>
      </c>
      <c r="T27" s="338" t="s">
        <v>617</v>
      </c>
      <c r="U27" s="129" t="s">
        <v>215</v>
      </c>
      <c r="V27" s="338" t="s">
        <v>617</v>
      </c>
      <c r="W27" s="129" t="s">
        <v>215</v>
      </c>
      <c r="X27" s="1464">
        <f>IF(V27="ND","ND",IF(S27="","",IF(OR(MID(C27,1,4)="milk",AND(MID(B27,1,2)="50",NOT(input_values!M27="Y")),AND(MID(B27,1,2)="40",NOT(input_values!M27="Y")),AND(MID(B27,1,2)="30",NOT(input_values!M27="Y"))),3,IF(OR(V27="&lt;25",B27&gt;1000000),1,IF((T27&gt;=S27),"2b","2a")))))</f>
        <v>1</v>
      </c>
      <c r="Y27" s="22">
        <f>IF(X27="ND","ND",IF(S27="","",IF(input_values!K27&gt;0,input_values!K27,IF(OR(X27=1,X27=3),1,IF((V27&gt;250),5,7)))))</f>
        <v>1</v>
      </c>
      <c r="Z27" s="330" t="str">
        <f t="shared" si="4"/>
        <v/>
      </c>
      <c r="AA27" s="331">
        <f t="shared" si="0"/>
        <v>0</v>
      </c>
      <c r="AB27" s="27">
        <f t="shared" si="5"/>
        <v>1</v>
      </c>
      <c r="AC27" s="330" t="str">
        <f t="shared" si="6"/>
        <v/>
      </c>
      <c r="AD27" s="332">
        <f t="shared" si="1"/>
        <v>0</v>
      </c>
      <c r="AE27" s="333" t="str">
        <f t="shared" si="7"/>
        <v/>
      </c>
      <c r="AF27" s="333" t="str">
        <f t="shared" si="8"/>
        <v/>
      </c>
      <c r="AG27" s="561" t="str">
        <f t="shared" si="2"/>
        <v/>
      </c>
      <c r="AH27" s="561" t="str">
        <f t="shared" si="9"/>
        <v/>
      </c>
      <c r="AI27" s="313"/>
    </row>
    <row r="28" spans="1:35" outlineLevel="3" x14ac:dyDescent="0.2">
      <c r="A28" s="39">
        <v>4</v>
      </c>
      <c r="B28" s="23">
        <v>120080</v>
      </c>
      <c r="C28" s="23" t="s">
        <v>109</v>
      </c>
      <c r="D28" s="300">
        <f>Table22[[#This Row],[Level used for acute calculation]]</f>
        <v>4</v>
      </c>
      <c r="E28" s="302">
        <f>Table22[[#This Row],[MRL individual commodity]]</f>
        <v>0</v>
      </c>
      <c r="F28" s="451">
        <f>Table22[[#This Row],[Acute RA input value]]</f>
        <v>0</v>
      </c>
      <c r="G28" s="301" t="str">
        <f>Table22[[#This Row],[Acute RA label]]</f>
        <v/>
      </c>
      <c r="H28" s="303">
        <f>Table22[[#This Row],[Acute RA IESTI new input value]]</f>
        <v>0</v>
      </c>
      <c r="I28" s="301" t="str">
        <f>Table22[[#This Row],[Acute RA IESTI new label]]</f>
        <v/>
      </c>
      <c r="J28" s="504"/>
      <c r="K28" s="544">
        <f>Table22[[#This Row],[GAP under assessment]]</f>
        <v>0</v>
      </c>
      <c r="L28" s="304" t="str">
        <f>IF(input_values!$M28=0,"",input_values!$M28)</f>
        <v/>
      </c>
      <c r="M28" s="301" t="str">
        <f>IF(input_values!H28=0,"",input_values!H28)</f>
        <v/>
      </c>
      <c r="N28" s="304">
        <f>input_values!$K28</f>
        <v>0</v>
      </c>
      <c r="O28" s="326">
        <v>2.75</v>
      </c>
      <c r="P28" s="22">
        <v>100</v>
      </c>
      <c r="Q28" s="22" t="s">
        <v>256</v>
      </c>
      <c r="R28" s="326">
        <v>16.149999999999999</v>
      </c>
      <c r="S28" s="328">
        <f t="shared" si="3"/>
        <v>44.412499999999994</v>
      </c>
      <c r="T28" s="338" t="s">
        <v>617</v>
      </c>
      <c r="U28" s="129" t="s">
        <v>215</v>
      </c>
      <c r="V28" s="338" t="s">
        <v>617</v>
      </c>
      <c r="W28" s="129" t="s">
        <v>215</v>
      </c>
      <c r="X28" s="1464">
        <f>IF(V28="ND","ND",IF(S28="","",IF(OR(MID(C28,1,4)="milk",AND(MID(B28,1,2)="50",NOT(input_values!M28="Y")),AND(MID(B28,1,2)="40",NOT(input_values!M28="Y")),AND(MID(B28,1,2)="30",NOT(input_values!M28="Y"))),3,IF(OR(V28="&lt;25",B28&gt;1000000),1,IF((T28&gt;=S28),"2b","2a")))))</f>
        <v>1</v>
      </c>
      <c r="Y28" s="22">
        <f>IF(X28="ND","ND",IF(S28="","",IF(input_values!K28&gt;0,input_values!K28,IF(OR(X28=1,X28=3),1,IF((V28&gt;250),5,7)))))</f>
        <v>1</v>
      </c>
      <c r="Z28" s="330" t="str">
        <f t="shared" si="4"/>
        <v/>
      </c>
      <c r="AA28" s="331">
        <f t="shared" si="0"/>
        <v>0</v>
      </c>
      <c r="AB28" s="27">
        <f t="shared" si="5"/>
        <v>1</v>
      </c>
      <c r="AC28" s="330" t="str">
        <f t="shared" si="6"/>
        <v/>
      </c>
      <c r="AD28" s="332">
        <f t="shared" si="1"/>
        <v>0</v>
      </c>
      <c r="AE28" s="333" t="str">
        <f t="shared" si="7"/>
        <v/>
      </c>
      <c r="AF28" s="333" t="str">
        <f t="shared" si="8"/>
        <v/>
      </c>
      <c r="AG28" s="561" t="str">
        <f t="shared" si="2"/>
        <v/>
      </c>
      <c r="AH28" s="561" t="str">
        <f t="shared" si="9"/>
        <v/>
      </c>
      <c r="AI28" s="313"/>
    </row>
    <row r="29" spans="1:35" outlineLevel="3" x14ac:dyDescent="0.2">
      <c r="A29" s="39">
        <v>4</v>
      </c>
      <c r="B29" s="23">
        <v>120090</v>
      </c>
      <c r="C29" s="23" t="s">
        <v>682</v>
      </c>
      <c r="D29" s="300">
        <f>Table22[[#This Row],[Level used for acute calculation]]</f>
        <v>4</v>
      </c>
      <c r="E29" s="302">
        <f>Table22[[#This Row],[MRL individual commodity]]</f>
        <v>0</v>
      </c>
      <c r="F29" s="451">
        <f>Table22[[#This Row],[Acute RA input value]]</f>
        <v>0</v>
      </c>
      <c r="G29" s="301" t="str">
        <f>Table22[[#This Row],[Acute RA label]]</f>
        <v/>
      </c>
      <c r="H29" s="303">
        <f>Table22[[#This Row],[Acute RA IESTI new input value]]</f>
        <v>0</v>
      </c>
      <c r="I29" s="301" t="str">
        <f>Table22[[#This Row],[Acute RA IESTI new label]]</f>
        <v/>
      </c>
      <c r="J29" s="504"/>
      <c r="K29" s="544">
        <f>Table22[[#This Row],[GAP under assessment]]</f>
        <v>0</v>
      </c>
      <c r="L29" s="304" t="str">
        <f>IF(input_values!$M29=0,"",input_values!$M29)</f>
        <v/>
      </c>
      <c r="M29" s="301" t="str">
        <f>IF(input_values!H29=0,"",input_values!H29)</f>
        <v/>
      </c>
      <c r="N29" s="304">
        <f>input_values!$K29</f>
        <v>0</v>
      </c>
      <c r="O29" s="326">
        <v>0.33</v>
      </c>
      <c r="P29" s="22">
        <v>95</v>
      </c>
      <c r="Q29" s="22" t="s">
        <v>256</v>
      </c>
      <c r="R29" s="326">
        <v>16.149999999999999</v>
      </c>
      <c r="S29" s="328">
        <f t="shared" si="3"/>
        <v>5.3294999999999995</v>
      </c>
      <c r="T29" s="338" t="s">
        <v>617</v>
      </c>
      <c r="U29" s="129" t="s">
        <v>215</v>
      </c>
      <c r="V29" s="338" t="s">
        <v>617</v>
      </c>
      <c r="W29" s="129" t="s">
        <v>215</v>
      </c>
      <c r="X29" s="1464">
        <f>IF(V29="ND","ND",IF(S29="","",IF(OR(MID(C29,1,4)="milk",AND(MID(B29,1,2)="50",NOT(input_values!M29="Y")),AND(MID(B29,1,2)="40",NOT(input_values!M29="Y")),AND(MID(B29,1,2)="30",NOT(input_values!M29="Y"))),3,IF(OR(V29="&lt;25",B29&gt;1000000),1,IF((T29&gt;=S29),"2b","2a")))))</f>
        <v>1</v>
      </c>
      <c r="Y29" s="22">
        <f>IF(X29="ND","ND",IF(S29="","",IF(input_values!K29&gt;0,input_values!K29,IF(OR(X29=1,X29=3),1,IF((V29&gt;250),5,7)))))</f>
        <v>1</v>
      </c>
      <c r="Z29" s="330" t="str">
        <f t="shared" si="4"/>
        <v/>
      </c>
      <c r="AA29" s="331">
        <f t="shared" si="0"/>
        <v>0</v>
      </c>
      <c r="AB29" s="27">
        <f t="shared" si="5"/>
        <v>1</v>
      </c>
      <c r="AC29" s="330" t="str">
        <f t="shared" si="6"/>
        <v/>
      </c>
      <c r="AD29" s="332">
        <f t="shared" si="1"/>
        <v>0</v>
      </c>
      <c r="AE29" s="333" t="str">
        <f t="shared" si="7"/>
        <v/>
      </c>
      <c r="AF29" s="333" t="str">
        <f t="shared" si="8"/>
        <v/>
      </c>
      <c r="AG29" s="561" t="str">
        <f t="shared" si="2"/>
        <v/>
      </c>
      <c r="AH29" s="561" t="str">
        <f t="shared" si="9"/>
        <v/>
      </c>
      <c r="AI29" s="313"/>
    </row>
    <row r="30" spans="1:35" outlineLevel="3" x14ac:dyDescent="0.2">
      <c r="A30" s="39">
        <v>4</v>
      </c>
      <c r="B30" s="23">
        <v>120100</v>
      </c>
      <c r="C30" s="23" t="s">
        <v>110</v>
      </c>
      <c r="D30" s="300">
        <f>Table22[[#This Row],[Level used for acute calculation]]</f>
        <v>4</v>
      </c>
      <c r="E30" s="302">
        <f>Table22[[#This Row],[MRL individual commodity]]</f>
        <v>0</v>
      </c>
      <c r="F30" s="451">
        <f>Table22[[#This Row],[Acute RA input value]]</f>
        <v>0</v>
      </c>
      <c r="G30" s="301" t="str">
        <f>Table22[[#This Row],[Acute RA label]]</f>
        <v/>
      </c>
      <c r="H30" s="303">
        <f>Table22[[#This Row],[Acute RA IESTI new input value]]</f>
        <v>0</v>
      </c>
      <c r="I30" s="301" t="str">
        <f>Table22[[#This Row],[Acute RA IESTI new label]]</f>
        <v/>
      </c>
      <c r="J30" s="504"/>
      <c r="K30" s="544">
        <f>Table22[[#This Row],[GAP under assessment]]</f>
        <v>0</v>
      </c>
      <c r="L30" s="304" t="str">
        <f>IF(input_values!$M30=0,"",input_values!$M30)</f>
        <v/>
      </c>
      <c r="M30" s="301" t="str">
        <f>IF(input_values!H30=0,"",input_values!H30)</f>
        <v/>
      </c>
      <c r="N30" s="304">
        <f>input_values!$K30</f>
        <v>0</v>
      </c>
      <c r="O30" s="326">
        <v>5.7928899999999999</v>
      </c>
      <c r="P30" s="22">
        <v>97.5</v>
      </c>
      <c r="Q30" s="22" t="s">
        <v>330</v>
      </c>
      <c r="R30" s="326">
        <v>20</v>
      </c>
      <c r="S30" s="328">
        <f t="shared" si="3"/>
        <v>115.8578</v>
      </c>
      <c r="T30" s="338" t="s">
        <v>617</v>
      </c>
      <c r="U30" s="129" t="s">
        <v>215</v>
      </c>
      <c r="V30" s="338" t="s">
        <v>617</v>
      </c>
      <c r="W30" s="129" t="s">
        <v>215</v>
      </c>
      <c r="X30" s="1464">
        <f>IF(V30="ND","ND",IF(S30="","",IF(OR(MID(C30,1,4)="milk",AND(MID(B30,1,2)="50",NOT(input_values!M30="Y")),AND(MID(B30,1,2)="40",NOT(input_values!M30="Y")),AND(MID(B30,1,2)="30",NOT(input_values!M30="Y"))),3,IF(OR(V30="&lt;25",B30&gt;1000000),1,IF((T30&gt;=S30),"2b","2a")))))</f>
        <v>1</v>
      </c>
      <c r="Y30" s="22">
        <f>IF(X30="ND","ND",IF(S30="","",IF(input_values!K30&gt;0,input_values!K30,IF(OR(X30=1,X30=3),1,IF((V30&gt;250),5,7)))))</f>
        <v>1</v>
      </c>
      <c r="Z30" s="330" t="str">
        <f t="shared" si="4"/>
        <v/>
      </c>
      <c r="AA30" s="331">
        <f t="shared" si="0"/>
        <v>0</v>
      </c>
      <c r="AB30" s="27">
        <f t="shared" si="5"/>
        <v>1</v>
      </c>
      <c r="AC30" s="330" t="str">
        <f t="shared" si="6"/>
        <v/>
      </c>
      <c r="AD30" s="332">
        <f t="shared" si="1"/>
        <v>0</v>
      </c>
      <c r="AE30" s="333" t="str">
        <f t="shared" si="7"/>
        <v/>
      </c>
      <c r="AF30" s="333" t="str">
        <f t="shared" si="8"/>
        <v/>
      </c>
      <c r="AG30" s="561" t="str">
        <f t="shared" si="2"/>
        <v/>
      </c>
      <c r="AH30" s="561" t="str">
        <f t="shared" si="9"/>
        <v/>
      </c>
      <c r="AI30" s="313"/>
    </row>
    <row r="31" spans="1:35" outlineLevel="3" x14ac:dyDescent="0.2">
      <c r="A31" s="39">
        <v>4</v>
      </c>
      <c r="B31" s="23">
        <v>120110</v>
      </c>
      <c r="C31" s="23" t="s">
        <v>111</v>
      </c>
      <c r="D31" s="300">
        <f>Table22[[#This Row],[Level used for acute calculation]]</f>
        <v>4</v>
      </c>
      <c r="E31" s="302">
        <f>Table22[[#This Row],[MRL individual commodity]]</f>
        <v>0</v>
      </c>
      <c r="F31" s="451">
        <f>Table22[[#This Row],[Acute RA input value]]</f>
        <v>0</v>
      </c>
      <c r="G31" s="301" t="str">
        <f>Table22[[#This Row],[Acute RA label]]</f>
        <v/>
      </c>
      <c r="H31" s="303">
        <f>Table22[[#This Row],[Acute RA IESTI new input value]]</f>
        <v>0</v>
      </c>
      <c r="I31" s="301" t="str">
        <f>Table22[[#This Row],[Acute RA IESTI new label]]</f>
        <v/>
      </c>
      <c r="J31" s="504"/>
      <c r="K31" s="544">
        <f>Table22[[#This Row],[GAP under assessment]]</f>
        <v>0</v>
      </c>
      <c r="L31" s="304" t="str">
        <f>IF(input_values!$M31=0,"",input_values!$M31)</f>
        <v/>
      </c>
      <c r="M31" s="301" t="str">
        <f>IF(input_values!H31=0,"",input_values!H31)</f>
        <v/>
      </c>
      <c r="N31" s="304">
        <f>input_values!$K31</f>
        <v>0</v>
      </c>
      <c r="O31" s="326">
        <v>3.3707865168539324</v>
      </c>
      <c r="P31" s="22">
        <v>100</v>
      </c>
      <c r="Q31" s="22" t="s">
        <v>93</v>
      </c>
      <c r="R31" s="326">
        <v>17.8</v>
      </c>
      <c r="S31" s="328">
        <f t="shared" si="3"/>
        <v>60</v>
      </c>
      <c r="T31" s="338" t="s">
        <v>617</v>
      </c>
      <c r="U31" s="129" t="s">
        <v>215</v>
      </c>
      <c r="V31" s="338" t="s">
        <v>617</v>
      </c>
      <c r="W31" s="129" t="s">
        <v>215</v>
      </c>
      <c r="X31" s="1464">
        <f>IF(V31="ND","ND",IF(S31="","",IF(OR(MID(C31,1,4)="milk",AND(MID(B31,1,2)="50",NOT(input_values!M31="Y")),AND(MID(B31,1,2)="40",NOT(input_values!M31="Y")),AND(MID(B31,1,2)="30",NOT(input_values!M31="Y"))),3,IF(OR(V31="&lt;25",B31&gt;1000000),1,IF((T31&gt;=S31),"2b","2a")))))</f>
        <v>1</v>
      </c>
      <c r="Y31" s="22">
        <f>IF(X31="ND","ND",IF(S31="","",IF(input_values!K31&gt;0,input_values!K31,IF(OR(X31=1,X31=3),1,IF((V31&gt;250),5,7)))))</f>
        <v>1</v>
      </c>
      <c r="Z31" s="330" t="str">
        <f t="shared" si="4"/>
        <v/>
      </c>
      <c r="AA31" s="331">
        <f t="shared" si="0"/>
        <v>0</v>
      </c>
      <c r="AB31" s="27">
        <f t="shared" si="5"/>
        <v>1</v>
      </c>
      <c r="AC31" s="330" t="str">
        <f t="shared" si="6"/>
        <v/>
      </c>
      <c r="AD31" s="332">
        <f t="shared" si="1"/>
        <v>0</v>
      </c>
      <c r="AE31" s="333" t="str">
        <f t="shared" si="7"/>
        <v/>
      </c>
      <c r="AF31" s="333" t="str">
        <f t="shared" si="8"/>
        <v/>
      </c>
      <c r="AG31" s="561" t="str">
        <f t="shared" si="2"/>
        <v/>
      </c>
      <c r="AH31" s="561" t="str">
        <f t="shared" si="9"/>
        <v/>
      </c>
      <c r="AI31" s="313"/>
    </row>
    <row r="32" spans="1:35" outlineLevel="3" x14ac:dyDescent="0.2">
      <c r="A32" s="39">
        <v>4</v>
      </c>
      <c r="B32" s="23">
        <v>120990</v>
      </c>
      <c r="C32" s="23" t="s">
        <v>48</v>
      </c>
      <c r="D32" s="300">
        <f>Table22[[#This Row],[Level used for acute calculation]]</f>
        <v>0</v>
      </c>
      <c r="E32" s="302">
        <f>Table22[[#This Row],[MRL individual commodity]]</f>
        <v>0</v>
      </c>
      <c r="F32" s="451">
        <f>Table22[[#This Row],[Acute RA input value]]</f>
        <v>0</v>
      </c>
      <c r="G32" s="301">
        <f>Table22[[#This Row],[Acute RA label]]</f>
        <v>0</v>
      </c>
      <c r="H32" s="303">
        <f>Table22[[#This Row],[Acute RA IESTI new input value]]</f>
        <v>0</v>
      </c>
      <c r="I32" s="301">
        <f>Table22[[#This Row],[Acute RA IESTI new label]]</f>
        <v>0</v>
      </c>
      <c r="J32" s="504"/>
      <c r="K32" s="544">
        <f>Table22[[#This Row],[GAP under assessment]]</f>
        <v>0</v>
      </c>
      <c r="L32" s="304" t="str">
        <f>IF(input_values!$M32=0,"",input_values!$M32)</f>
        <v/>
      </c>
      <c r="M32" s="301" t="str">
        <f>IF(input_values!H32=0,"",input_values!H32)</f>
        <v/>
      </c>
      <c r="N32" s="304">
        <f>input_values!$K32</f>
        <v>0</v>
      </c>
      <c r="O32" s="305"/>
      <c r="P32" s="38"/>
      <c r="Q32" s="38"/>
      <c r="R32" s="335"/>
      <c r="S32" s="336" t="str">
        <f t="shared" si="3"/>
        <v/>
      </c>
      <c r="T32" s="305"/>
      <c r="U32" s="570"/>
      <c r="V32" s="305"/>
      <c r="W32" s="570"/>
      <c r="X32" s="611" t="str">
        <f>IF(V32="ND","ND",IF(S32="","",IF(OR(MID(C32,1,4)="milk",AND(MID(B32,1,2)="50",NOT(input_values!M32="Y")),AND(MID(B32,1,2)="40",NOT(input_values!M32="Y")),AND(MID(B32,1,2)="30",NOT(input_values!M32="Y"))),3,IF(OR(V32="&lt;25",B32&gt;1000000),1,IF((T32&gt;=S32),"2b","2a")))))</f>
        <v/>
      </c>
      <c r="Y32" s="38" t="str">
        <f>IF(X32="ND","ND",IF(S32="","",IF(input_values!K32&gt;0,input_values!K32,IF(OR(X32=1,X32=3),1,IF((V32&gt;250),5,7)))))</f>
        <v/>
      </c>
      <c r="Z32" s="310" t="str">
        <f t="shared" si="4"/>
        <v/>
      </c>
      <c r="AA32" s="311">
        <f t="shared" si="0"/>
        <v>0</v>
      </c>
      <c r="AB32" s="38" t="str">
        <f t="shared" si="5"/>
        <v/>
      </c>
      <c r="AC32" s="310" t="str">
        <f t="shared" si="6"/>
        <v/>
      </c>
      <c r="AD32" s="311">
        <f t="shared" si="1"/>
        <v>0</v>
      </c>
      <c r="AE32" s="312" t="str">
        <f t="shared" si="7"/>
        <v/>
      </c>
      <c r="AF32" s="312" t="str">
        <f t="shared" si="8"/>
        <v/>
      </c>
      <c r="AG32" s="561" t="str">
        <f t="shared" si="2"/>
        <v/>
      </c>
      <c r="AH32" s="561" t="str">
        <f t="shared" si="9"/>
        <v/>
      </c>
      <c r="AI32" s="313"/>
    </row>
    <row r="33" spans="1:35" outlineLevel="1" x14ac:dyDescent="0.2">
      <c r="A33" s="130">
        <v>2</v>
      </c>
      <c r="B33" s="131">
        <v>130000</v>
      </c>
      <c r="C33" s="131" t="s">
        <v>293</v>
      </c>
      <c r="D33" s="300">
        <f>Table22[[#This Row],[Level used for acute calculation]]</f>
        <v>4</v>
      </c>
      <c r="E33" s="302">
        <f>Table22[[#This Row],[MRL individual commodity]]</f>
        <v>0</v>
      </c>
      <c r="F33" s="451">
        <f>Table22[[#This Row],[Acute RA input value]]</f>
        <v>0</v>
      </c>
      <c r="G33" s="301">
        <f>Table22[[#This Row],[Acute RA label]]</f>
        <v>0</v>
      </c>
      <c r="H33" s="303">
        <f>Table22[[#This Row],[Acute RA IESTI new input value]]</f>
        <v>0</v>
      </c>
      <c r="I33" s="301">
        <f>Table22[[#This Row],[Acute RA IESTI new label]]</f>
        <v>0</v>
      </c>
      <c r="J33" s="504"/>
      <c r="K33" s="544">
        <f>Table22[[#This Row],[GAP under assessment]]</f>
        <v>0</v>
      </c>
      <c r="L33" s="304" t="str">
        <f>IF(input_values!$M33=0,"",input_values!$M33)</f>
        <v/>
      </c>
      <c r="M33" s="301" t="str">
        <f>IF(input_values!H33=0,"",input_values!H33)</f>
        <v/>
      </c>
      <c r="N33" s="304">
        <f>input_values!$K33</f>
        <v>0</v>
      </c>
      <c r="O33" s="305"/>
      <c r="P33" s="38"/>
      <c r="Q33" s="38"/>
      <c r="R33" s="335"/>
      <c r="S33" s="336" t="str">
        <f t="shared" si="3"/>
        <v/>
      </c>
      <c r="T33" s="315"/>
      <c r="U33" s="321"/>
      <c r="V33" s="315"/>
      <c r="W33" s="321"/>
      <c r="X33" s="611" t="str">
        <f>IF(V33="ND","ND",IF(S33="","",IF(OR(MID(C33,1,4)="milk",AND(MID(B33,1,2)="50",NOT(input_values!M33="Y")),AND(MID(B33,1,2)="40",NOT(input_values!M33="Y")),AND(MID(B33,1,2)="30",NOT(input_values!M33="Y"))),3,IF(OR(V33="&lt;25",B33&gt;1000000),1,IF((T33&gt;=S33),"2b","2a")))))</f>
        <v/>
      </c>
      <c r="Y33" s="38" t="str">
        <f>IF(X33="ND","ND",IF(S33="","",IF(input_values!K33&gt;0,input_values!K33,IF(OR(X33=1,X33=3),1,IF((V33&gt;250),5,7)))))</f>
        <v/>
      </c>
      <c r="Z33" s="310" t="str">
        <f t="shared" si="4"/>
        <v/>
      </c>
      <c r="AA33" s="311">
        <f t="shared" si="0"/>
        <v>0</v>
      </c>
      <c r="AB33" s="38" t="str">
        <f t="shared" si="5"/>
        <v/>
      </c>
      <c r="AC33" s="310" t="str">
        <f t="shared" si="6"/>
        <v/>
      </c>
      <c r="AD33" s="311">
        <f t="shared" si="1"/>
        <v>0</v>
      </c>
      <c r="AE33" s="312" t="str">
        <f t="shared" si="7"/>
        <v/>
      </c>
      <c r="AF33" s="312" t="str">
        <f t="shared" si="8"/>
        <v/>
      </c>
      <c r="AG33" s="561" t="str">
        <f t="shared" si="2"/>
        <v/>
      </c>
      <c r="AH33" s="561" t="str">
        <f t="shared" si="9"/>
        <v/>
      </c>
      <c r="AI33" s="313"/>
    </row>
    <row r="34" spans="1:35" outlineLevel="3" x14ac:dyDescent="0.2">
      <c r="A34" s="39">
        <v>4</v>
      </c>
      <c r="B34" s="23">
        <v>130010</v>
      </c>
      <c r="C34" s="23" t="s">
        <v>112</v>
      </c>
      <c r="D34" s="300">
        <f>Table22[[#This Row],[Level used for acute calculation]]</f>
        <v>4</v>
      </c>
      <c r="E34" s="302">
        <f>Table22[[#This Row],[MRL individual commodity]]</f>
        <v>0</v>
      </c>
      <c r="F34" s="451">
        <f>Table22[[#This Row],[Acute RA input value]]</f>
        <v>0</v>
      </c>
      <c r="G34" s="301" t="str">
        <f>Table22[[#This Row],[Acute RA label]]</f>
        <v/>
      </c>
      <c r="H34" s="303">
        <f>Table22[[#This Row],[Acute RA IESTI new input value]]</f>
        <v>0</v>
      </c>
      <c r="I34" s="301" t="str">
        <f>Table22[[#This Row],[Acute RA IESTI new label]]</f>
        <v/>
      </c>
      <c r="J34" s="504"/>
      <c r="K34" s="544">
        <f>Table22[[#This Row],[GAP under assessment]]</f>
        <v>0</v>
      </c>
      <c r="L34" s="304" t="str">
        <f>IF(input_values!$M34=0,"",input_values!$M34)</f>
        <v/>
      </c>
      <c r="M34" s="301" t="str">
        <f>IF(input_values!H34=0,"",input_values!H34)</f>
        <v/>
      </c>
      <c r="N34" s="304">
        <f>input_values!$K34</f>
        <v>0</v>
      </c>
      <c r="O34" s="326">
        <v>20.529411764705884</v>
      </c>
      <c r="P34" s="22">
        <v>97.5</v>
      </c>
      <c r="Q34" s="22" t="s">
        <v>329</v>
      </c>
      <c r="R34" s="326">
        <v>10.199999999999999</v>
      </c>
      <c r="S34" s="328">
        <f t="shared" si="3"/>
        <v>209.4</v>
      </c>
      <c r="T34" s="328">
        <v>148.33000000000001</v>
      </c>
      <c r="U34" s="329" t="s">
        <v>215</v>
      </c>
      <c r="V34" s="328">
        <v>163</v>
      </c>
      <c r="W34" s="329" t="s">
        <v>215</v>
      </c>
      <c r="X34" s="1464" t="str">
        <f>IF(V34="ND","ND",IF(S34="","",IF(OR(MID(C34,1,4)="milk",AND(MID(B34,1,2)="50",NOT(input_values!M34="Y")),AND(MID(B34,1,2)="40",NOT(input_values!M34="Y")),AND(MID(B34,1,2)="30",NOT(input_values!M34="Y"))),3,IF(OR(V34="&lt;25",B34&gt;1000000),1,IF((T34&gt;=S34),"2b","2a")))))</f>
        <v>2a</v>
      </c>
      <c r="Y34" s="22">
        <f>IF(X34="ND","ND",IF(S34="","",IF(input_values!K34&gt;0,input_values!K34,IF(OR(X34=1,X34=3),1,IF((V34&gt;250),5,7)))))</f>
        <v>7</v>
      </c>
      <c r="Z34" s="330" t="str">
        <f t="shared" si="4"/>
        <v/>
      </c>
      <c r="AA34" s="331">
        <f t="shared" si="0"/>
        <v>0</v>
      </c>
      <c r="AB34" s="27">
        <f t="shared" si="5"/>
        <v>3</v>
      </c>
      <c r="AC34" s="330" t="str">
        <f t="shared" si="6"/>
        <v/>
      </c>
      <c r="AD34" s="332">
        <f t="shared" si="1"/>
        <v>0</v>
      </c>
      <c r="AE34" s="333" t="str">
        <f t="shared" si="7"/>
        <v/>
      </c>
      <c r="AF34" s="333" t="str">
        <f t="shared" si="8"/>
        <v/>
      </c>
      <c r="AG34" s="561" t="str">
        <f t="shared" si="2"/>
        <v/>
      </c>
      <c r="AH34" s="561" t="str">
        <f t="shared" si="9"/>
        <v/>
      </c>
      <c r="AI34" s="334"/>
    </row>
    <row r="35" spans="1:35" outlineLevel="3" x14ac:dyDescent="0.2">
      <c r="A35" s="39">
        <v>4</v>
      </c>
      <c r="B35" s="23">
        <v>130020</v>
      </c>
      <c r="C35" s="23" t="s">
        <v>113</v>
      </c>
      <c r="D35" s="300">
        <f>Table22[[#This Row],[Level used for acute calculation]]</f>
        <v>4</v>
      </c>
      <c r="E35" s="302">
        <f>Table22[[#This Row],[MRL individual commodity]]</f>
        <v>0</v>
      </c>
      <c r="F35" s="451">
        <f>Table22[[#This Row],[Acute RA input value]]</f>
        <v>0</v>
      </c>
      <c r="G35" s="301" t="str">
        <f>Table22[[#This Row],[Acute RA label]]</f>
        <v/>
      </c>
      <c r="H35" s="303">
        <f>Table22[[#This Row],[Acute RA IESTI new input value]]</f>
        <v>0</v>
      </c>
      <c r="I35" s="301" t="str">
        <f>Table22[[#This Row],[Acute RA IESTI new label]]</f>
        <v/>
      </c>
      <c r="J35" s="504"/>
      <c r="K35" s="544">
        <f>Table22[[#This Row],[GAP under assessment]]</f>
        <v>0</v>
      </c>
      <c r="L35" s="304" t="str">
        <f>IF(input_values!$M35=0,"",input_values!$M35)</f>
        <v/>
      </c>
      <c r="M35" s="301" t="str">
        <f>IF(input_values!H35=0,"",input_values!H35)</f>
        <v/>
      </c>
      <c r="N35" s="304">
        <f>input_values!$K35</f>
        <v>0</v>
      </c>
      <c r="O35" s="326">
        <v>19.784313725490197</v>
      </c>
      <c r="P35" s="22">
        <v>97.5</v>
      </c>
      <c r="Q35" s="22" t="s">
        <v>329</v>
      </c>
      <c r="R35" s="326">
        <v>10.199999999999999</v>
      </c>
      <c r="S35" s="328">
        <f t="shared" si="3"/>
        <v>201.79999999999998</v>
      </c>
      <c r="T35" s="328">
        <v>204.67</v>
      </c>
      <c r="U35" s="329" t="s">
        <v>215</v>
      </c>
      <c r="V35" s="328">
        <v>211</v>
      </c>
      <c r="W35" s="329" t="s">
        <v>215</v>
      </c>
      <c r="X35" s="1464" t="str">
        <f>IF(V35="ND","ND",IF(S35="","",IF(OR(MID(C35,1,4)="milk",AND(MID(B35,1,2)="50",NOT(input_values!M35="Y")),AND(MID(B35,1,2)="40",NOT(input_values!M35="Y")),AND(MID(B35,1,2)="30",NOT(input_values!M35="Y"))),3,IF(OR(V35="&lt;25",B35&gt;1000000),1,IF((T35&gt;=S35),"2b","2a")))))</f>
        <v>2b</v>
      </c>
      <c r="Y35" s="22">
        <f>IF(X35="ND","ND",IF(S35="","",IF(input_values!K35&gt;0,input_values!K35,IF(OR(X35=1,X35=3),1,IF((V35&gt;250),5,7)))))</f>
        <v>7</v>
      </c>
      <c r="Z35" s="330" t="str">
        <f t="shared" si="4"/>
        <v/>
      </c>
      <c r="AA35" s="331">
        <f t="shared" si="0"/>
        <v>0</v>
      </c>
      <c r="AB35" s="27">
        <f t="shared" si="5"/>
        <v>3</v>
      </c>
      <c r="AC35" s="330" t="str">
        <f t="shared" si="6"/>
        <v/>
      </c>
      <c r="AD35" s="332">
        <f t="shared" si="1"/>
        <v>0</v>
      </c>
      <c r="AE35" s="333" t="str">
        <f t="shared" si="7"/>
        <v/>
      </c>
      <c r="AF35" s="333" t="str">
        <f t="shared" si="8"/>
        <v/>
      </c>
      <c r="AG35" s="561" t="str">
        <f t="shared" si="2"/>
        <v/>
      </c>
      <c r="AH35" s="561" t="str">
        <f t="shared" si="9"/>
        <v/>
      </c>
      <c r="AI35" s="334"/>
    </row>
    <row r="36" spans="1:35" outlineLevel="3" x14ac:dyDescent="0.2">
      <c r="A36" s="39">
        <v>4</v>
      </c>
      <c r="B36" s="23">
        <v>130030</v>
      </c>
      <c r="C36" s="23" t="s">
        <v>114</v>
      </c>
      <c r="D36" s="300">
        <f>Table22[[#This Row],[Level used for acute calculation]]</f>
        <v>4</v>
      </c>
      <c r="E36" s="302">
        <f>Table22[[#This Row],[MRL individual commodity]]</f>
        <v>0</v>
      </c>
      <c r="F36" s="451">
        <f>Table22[[#This Row],[Acute RA input value]]</f>
        <v>0</v>
      </c>
      <c r="G36" s="301" t="str">
        <f>Table22[[#This Row],[Acute RA label]]</f>
        <v/>
      </c>
      <c r="H36" s="303">
        <f>Table22[[#This Row],[Acute RA IESTI new input value]]</f>
        <v>0</v>
      </c>
      <c r="I36" s="301" t="str">
        <f>Table22[[#This Row],[Acute RA IESTI new label]]</f>
        <v/>
      </c>
      <c r="J36" s="504"/>
      <c r="K36" s="544">
        <f>Table22[[#This Row],[GAP under assessment]]</f>
        <v>0</v>
      </c>
      <c r="L36" s="304" t="str">
        <f>IF(input_values!$M36=0,"",input_values!$M36)</f>
        <v/>
      </c>
      <c r="M36" s="301" t="str">
        <f>IF(input_values!H36=0,"",input_values!H36)</f>
        <v/>
      </c>
      <c r="N36" s="304">
        <f>input_values!$K36</f>
        <v>0</v>
      </c>
      <c r="O36" s="326">
        <v>4.9187000000000003</v>
      </c>
      <c r="P36" s="22">
        <v>97.5</v>
      </c>
      <c r="Q36" s="22" t="s">
        <v>1</v>
      </c>
      <c r="R36" s="326">
        <v>34.479999999999997</v>
      </c>
      <c r="S36" s="328">
        <f t="shared" si="3"/>
        <v>169.59677600000001</v>
      </c>
      <c r="T36" s="328">
        <v>301.20999999999998</v>
      </c>
      <c r="U36" s="329" t="s">
        <v>215</v>
      </c>
      <c r="V36" s="328">
        <v>331</v>
      </c>
      <c r="W36" s="329" t="s">
        <v>215</v>
      </c>
      <c r="X36" s="1464" t="str">
        <f>IF(V36="ND","ND",IF(S36="","",IF(OR(MID(C36,1,4)="milk",AND(MID(B36,1,2)="50",NOT(input_values!M36="Y")),AND(MID(B36,1,2)="40",NOT(input_values!M36="Y")),AND(MID(B36,1,2)="30",NOT(input_values!M36="Y"))),3,IF(OR(V36="&lt;25",B36&gt;1000000),1,IF((T36&gt;=S36),"2b","2a")))))</f>
        <v>2b</v>
      </c>
      <c r="Y36" s="22">
        <f>IF(X36="ND","ND",IF(S36="","",IF(input_values!K36&gt;0,input_values!K36,IF(OR(X36=1,X36=3),1,IF((V36&gt;250),5,7)))))</f>
        <v>5</v>
      </c>
      <c r="Z36" s="330" t="str">
        <f t="shared" si="4"/>
        <v/>
      </c>
      <c r="AA36" s="331">
        <f t="shared" si="0"/>
        <v>0</v>
      </c>
      <c r="AB36" s="27">
        <f t="shared" si="5"/>
        <v>3</v>
      </c>
      <c r="AC36" s="330" t="str">
        <f t="shared" si="6"/>
        <v/>
      </c>
      <c r="AD36" s="332">
        <f t="shared" si="1"/>
        <v>0</v>
      </c>
      <c r="AE36" s="333" t="str">
        <f t="shared" si="7"/>
        <v/>
      </c>
      <c r="AF36" s="333" t="str">
        <f t="shared" si="8"/>
        <v/>
      </c>
      <c r="AG36" s="561" t="str">
        <f t="shared" si="2"/>
        <v/>
      </c>
      <c r="AH36" s="561" t="str">
        <f t="shared" si="9"/>
        <v/>
      </c>
      <c r="AI36" s="334"/>
    </row>
    <row r="37" spans="1:35" outlineLevel="3" x14ac:dyDescent="0.2">
      <c r="A37" s="39">
        <v>4</v>
      </c>
      <c r="B37" s="23">
        <v>130040</v>
      </c>
      <c r="C37" s="23" t="s">
        <v>115</v>
      </c>
      <c r="D37" s="300">
        <f>Table22[[#This Row],[Level used for acute calculation]]</f>
        <v>4</v>
      </c>
      <c r="E37" s="302">
        <f>Table22[[#This Row],[MRL individual commodity]]</f>
        <v>0</v>
      </c>
      <c r="F37" s="451">
        <f>Table22[[#This Row],[Acute RA input value]]</f>
        <v>0</v>
      </c>
      <c r="G37" s="301" t="str">
        <f>Table22[[#This Row],[Acute RA label]]</f>
        <v/>
      </c>
      <c r="H37" s="303">
        <f>Table22[[#This Row],[Acute RA IESTI new input value]]</f>
        <v>0</v>
      </c>
      <c r="I37" s="301" t="str">
        <f>Table22[[#This Row],[Acute RA IESTI new label]]</f>
        <v/>
      </c>
      <c r="J37" s="504"/>
      <c r="K37" s="544">
        <f>Table22[[#This Row],[GAP under assessment]]</f>
        <v>0</v>
      </c>
      <c r="L37" s="304" t="str">
        <f>IF(input_values!$M37=0,"",input_values!$M37)</f>
        <v/>
      </c>
      <c r="M37" s="301" t="str">
        <f>IF(input_values!H37=0,"",input_values!H37)</f>
        <v/>
      </c>
      <c r="N37" s="304">
        <f>input_values!$K37</f>
        <v>0</v>
      </c>
      <c r="O37" s="326">
        <v>3.3929999999999998</v>
      </c>
      <c r="P37" s="22">
        <v>97.5</v>
      </c>
      <c r="Q37" s="22" t="s">
        <v>1</v>
      </c>
      <c r="R37" s="326">
        <v>34.479999999999997</v>
      </c>
      <c r="S37" s="328">
        <f t="shared" si="3"/>
        <v>116.99063999999998</v>
      </c>
      <c r="T37" s="328">
        <v>60</v>
      </c>
      <c r="U37" s="329" t="s">
        <v>45</v>
      </c>
      <c r="V37" s="328">
        <v>60</v>
      </c>
      <c r="W37" s="329" t="s">
        <v>45</v>
      </c>
      <c r="X37" s="1464" t="str">
        <f>IF(V37="ND","ND",IF(S37="","",IF(OR(MID(C37,1,4)="milk",AND(MID(B37,1,2)="50",NOT(input_values!M37="Y")),AND(MID(B37,1,2)="40",NOT(input_values!M37="Y")),AND(MID(B37,1,2)="30",NOT(input_values!M37="Y"))),3,IF(OR(V37="&lt;25",B37&gt;1000000),1,IF((T37&gt;=S37),"2b","2a")))))</f>
        <v>2a</v>
      </c>
      <c r="Y37" s="22">
        <f>IF(X37="ND","ND",IF(S37="","",IF(input_values!K37&gt;0,input_values!K37,IF(OR(X37=1,X37=3),1,IF((V37&gt;250),5,7)))))</f>
        <v>7</v>
      </c>
      <c r="Z37" s="330" t="str">
        <f t="shared" si="4"/>
        <v/>
      </c>
      <c r="AA37" s="331">
        <f t="shared" si="0"/>
        <v>0</v>
      </c>
      <c r="AB37" s="27">
        <f t="shared" si="5"/>
        <v>3</v>
      </c>
      <c r="AC37" s="330" t="str">
        <f t="shared" si="6"/>
        <v/>
      </c>
      <c r="AD37" s="332">
        <f t="shared" si="1"/>
        <v>0</v>
      </c>
      <c r="AE37" s="333" t="str">
        <f t="shared" si="7"/>
        <v/>
      </c>
      <c r="AF37" s="333" t="str">
        <f t="shared" si="8"/>
        <v/>
      </c>
      <c r="AG37" s="561" t="str">
        <f t="shared" si="2"/>
        <v/>
      </c>
      <c r="AH37" s="561" t="str">
        <f t="shared" si="9"/>
        <v/>
      </c>
      <c r="AI37" s="313"/>
    </row>
    <row r="38" spans="1:35" outlineLevel="3" x14ac:dyDescent="0.2">
      <c r="A38" s="39">
        <v>4</v>
      </c>
      <c r="B38" s="23">
        <v>130050</v>
      </c>
      <c r="C38" s="23" t="s">
        <v>683</v>
      </c>
      <c r="D38" s="300">
        <f>Table22[[#This Row],[Level used for acute calculation]]</f>
        <v>4</v>
      </c>
      <c r="E38" s="302">
        <f>Table22[[#This Row],[MRL individual commodity]]</f>
        <v>0</v>
      </c>
      <c r="F38" s="451">
        <f>Table22[[#This Row],[Acute RA input value]]</f>
        <v>0</v>
      </c>
      <c r="G38" s="301" t="str">
        <f>Table22[[#This Row],[Acute RA label]]</f>
        <v/>
      </c>
      <c r="H38" s="303">
        <f>Table22[[#This Row],[Acute RA IESTI new input value]]</f>
        <v>0</v>
      </c>
      <c r="I38" s="301" t="str">
        <f>Table22[[#This Row],[Acute RA IESTI new label]]</f>
        <v/>
      </c>
      <c r="J38" s="504"/>
      <c r="K38" s="544">
        <f>Table22[[#This Row],[GAP under assessment]]</f>
        <v>0</v>
      </c>
      <c r="L38" s="304" t="str">
        <f>IF(input_values!$M38=0,"",input_values!$M38)</f>
        <v/>
      </c>
      <c r="M38" s="301" t="str">
        <f>IF(input_values!H38=0,"",input_values!H38)</f>
        <v/>
      </c>
      <c r="N38" s="304">
        <f>input_values!$K38</f>
        <v>0</v>
      </c>
      <c r="O38" s="338" t="s">
        <v>618</v>
      </c>
      <c r="P38" s="22"/>
      <c r="Q38" s="22"/>
      <c r="R38" s="330"/>
      <c r="S38" s="31" t="str">
        <f t="shared" si="3"/>
        <v>ND</v>
      </c>
      <c r="T38" s="338" t="s">
        <v>618</v>
      </c>
      <c r="U38" s="329"/>
      <c r="V38" s="338" t="s">
        <v>618</v>
      </c>
      <c r="W38" s="329"/>
      <c r="X38" s="1464" t="str">
        <f>IF(V38="ND","ND",IF(S38="","",IF(OR(MID(C38,1,4)="milk",AND(MID(B38,1,2)="50",NOT(input_values!M38="Y")),AND(MID(B38,1,2)="40",NOT(input_values!M38="Y")),AND(MID(B38,1,2)="30",NOT(input_values!M38="Y"))),3,IF(OR(V38="&lt;25",B38&gt;1000000),1,IF((T38&gt;=S38),"2b","2a")))))</f>
        <v>ND</v>
      </c>
      <c r="Y38" s="22" t="str">
        <f>IF(X38="ND","ND",IF(S38="","",IF(input_values!K38&gt;0,input_values!K38,IF(OR(X38=1,X38=3),1,IF((V38&gt;250),5,7)))))</f>
        <v>ND</v>
      </c>
      <c r="Z38" s="340" t="str">
        <f>IF(OR(ISTEXT(F38),F38=0),"",IF(OR(S38="ND",T38="ND"),"ND",IF(($X38="2a"),1/$R38*(($F38*$T38/1000*$Y38)+($F38*($S38-$T38)/1000)),IF(($X38="2b"),1/$R38*($F38*$S38/1000*$Y38),1/$R38*($F38*$S38/1000)))))</f>
        <v/>
      </c>
      <c r="AA38" s="332">
        <f t="shared" si="0"/>
        <v>0</v>
      </c>
      <c r="AB38" s="27" t="str">
        <f t="shared" si="5"/>
        <v>ND</v>
      </c>
      <c r="AC38" s="340" t="str">
        <f t="shared" si="6"/>
        <v/>
      </c>
      <c r="AD38" s="332">
        <f t="shared" si="1"/>
        <v>0</v>
      </c>
      <c r="AE38" s="37" t="str">
        <f t="shared" si="7"/>
        <v/>
      </c>
      <c r="AF38" s="37" t="str">
        <f t="shared" si="8"/>
        <v/>
      </c>
      <c r="AG38" s="561" t="str">
        <f t="shared" si="2"/>
        <v/>
      </c>
      <c r="AH38" s="561" t="str">
        <f t="shared" si="9"/>
        <v/>
      </c>
      <c r="AI38" s="313"/>
    </row>
    <row r="39" spans="1:35" outlineLevel="3" x14ac:dyDescent="0.2">
      <c r="A39" s="39">
        <v>4</v>
      </c>
      <c r="B39" s="23">
        <v>130990</v>
      </c>
      <c r="C39" s="23" t="s">
        <v>49</v>
      </c>
      <c r="D39" s="300">
        <f>Table22[[#This Row],[Level used for acute calculation]]</f>
        <v>0</v>
      </c>
      <c r="E39" s="302">
        <f>Table22[[#This Row],[MRL individual commodity]]</f>
        <v>0</v>
      </c>
      <c r="F39" s="451">
        <f>Table22[[#This Row],[Acute RA input value]]</f>
        <v>0</v>
      </c>
      <c r="G39" s="301">
        <f>Table22[[#This Row],[Acute RA label]]</f>
        <v>0</v>
      </c>
      <c r="H39" s="303">
        <f>Table22[[#This Row],[Acute RA IESTI new input value]]</f>
        <v>0</v>
      </c>
      <c r="I39" s="301">
        <f>Table22[[#This Row],[Acute RA IESTI new label]]</f>
        <v>0</v>
      </c>
      <c r="J39" s="504"/>
      <c r="K39" s="544">
        <f>Table22[[#This Row],[GAP under assessment]]</f>
        <v>0</v>
      </c>
      <c r="L39" s="304" t="str">
        <f>IF(input_values!$M39=0,"",input_values!$M39)</f>
        <v/>
      </c>
      <c r="M39" s="301" t="str">
        <f>IF(input_values!H39=0,"",input_values!H39)</f>
        <v/>
      </c>
      <c r="N39" s="304">
        <f>input_values!$K39</f>
        <v>0</v>
      </c>
      <c r="O39" s="305"/>
      <c r="P39" s="38"/>
      <c r="Q39" s="38"/>
      <c r="R39" s="335"/>
      <c r="S39" s="336" t="str">
        <f t="shared" si="3"/>
        <v/>
      </c>
      <c r="T39" s="305"/>
      <c r="U39" s="570"/>
      <c r="V39" s="305"/>
      <c r="W39" s="570"/>
      <c r="X39" s="611" t="str">
        <f>IF(V39="ND","ND",IF(S39="","",IF(OR(MID(C39,1,4)="milk",AND(MID(B39,1,2)="50",NOT(input_values!M39="Y")),AND(MID(B39,1,2)="40",NOT(input_values!M39="Y")),AND(MID(B39,1,2)="30",NOT(input_values!M39="Y"))),3,IF(OR(V39="&lt;25",B39&gt;1000000),1,IF((T39&gt;=S39),"2b","2a")))))</f>
        <v/>
      </c>
      <c r="Y39" s="38" t="str">
        <f>IF(X39="ND","ND",IF(S39="","",IF(input_values!K39&gt;0,input_values!K39,IF(OR(X39=1,X39=3),1,IF((V39&gt;250),5,7)))))</f>
        <v/>
      </c>
      <c r="Z39" s="310" t="str">
        <f t="shared" si="4"/>
        <v/>
      </c>
      <c r="AA39" s="311">
        <f t="shared" si="0"/>
        <v>0</v>
      </c>
      <c r="AB39" s="38" t="str">
        <f t="shared" si="5"/>
        <v/>
      </c>
      <c r="AC39" s="310" t="str">
        <f t="shared" si="6"/>
        <v/>
      </c>
      <c r="AD39" s="311">
        <f t="shared" si="1"/>
        <v>0</v>
      </c>
      <c r="AE39" s="312" t="str">
        <f t="shared" si="7"/>
        <v/>
      </c>
      <c r="AF39" s="312" t="str">
        <f t="shared" si="8"/>
        <v/>
      </c>
      <c r="AG39" s="561" t="str">
        <f t="shared" si="2"/>
        <v/>
      </c>
      <c r="AH39" s="561" t="str">
        <f t="shared" si="9"/>
        <v/>
      </c>
      <c r="AI39" s="313"/>
    </row>
    <row r="40" spans="1:35" outlineLevel="1" x14ac:dyDescent="0.2">
      <c r="A40" s="130">
        <v>2</v>
      </c>
      <c r="B40" s="131">
        <v>140000</v>
      </c>
      <c r="C40" s="131" t="s">
        <v>214</v>
      </c>
      <c r="D40" s="300">
        <f>Table22[[#This Row],[Level used for acute calculation]]</f>
        <v>4</v>
      </c>
      <c r="E40" s="302">
        <f>Table22[[#This Row],[MRL individual commodity]]</f>
        <v>0</v>
      </c>
      <c r="F40" s="451">
        <f>Table22[[#This Row],[Acute RA input value]]</f>
        <v>0</v>
      </c>
      <c r="G40" s="301">
        <f>Table22[[#This Row],[Acute RA label]]</f>
        <v>0</v>
      </c>
      <c r="H40" s="303">
        <f>Table22[[#This Row],[Acute RA IESTI new input value]]</f>
        <v>0</v>
      </c>
      <c r="I40" s="301">
        <f>Table22[[#This Row],[Acute RA IESTI new label]]</f>
        <v>0</v>
      </c>
      <c r="J40" s="504"/>
      <c r="K40" s="544">
        <f>Table22[[#This Row],[GAP under assessment]]</f>
        <v>0</v>
      </c>
      <c r="L40" s="304" t="str">
        <f>IF(input_values!$M40=0,"",input_values!$M40)</f>
        <v/>
      </c>
      <c r="M40" s="301" t="str">
        <f>IF(input_values!H40=0,"",input_values!H40)</f>
        <v/>
      </c>
      <c r="N40" s="304">
        <f>input_values!$K40</f>
        <v>0</v>
      </c>
      <c r="O40" s="305"/>
      <c r="P40" s="38"/>
      <c r="Q40" s="38"/>
      <c r="R40" s="335"/>
      <c r="S40" s="336" t="str">
        <f t="shared" si="3"/>
        <v/>
      </c>
      <c r="T40" s="315"/>
      <c r="U40" s="321"/>
      <c r="V40" s="315"/>
      <c r="W40" s="321"/>
      <c r="X40" s="611" t="str">
        <f>IF(V40="ND","ND",IF(S40="","",IF(OR(MID(C40,1,4)="milk",AND(MID(B40,1,2)="50",NOT(input_values!M40="Y")),AND(MID(B40,1,2)="40",NOT(input_values!M40="Y")),AND(MID(B40,1,2)="30",NOT(input_values!M40="Y"))),3,IF(OR(V40="&lt;25",B40&gt;1000000),1,IF((T40&gt;=S40),"2b","2a")))))</f>
        <v/>
      </c>
      <c r="Y40" s="38" t="str">
        <f>IF(X40="ND","ND",IF(S40="","",IF(input_values!K40&gt;0,input_values!K40,IF(OR(X40=1,X40=3),1,IF((V40&gt;250),5,7)))))</f>
        <v/>
      </c>
      <c r="Z40" s="310" t="str">
        <f t="shared" si="4"/>
        <v/>
      </c>
      <c r="AA40" s="311">
        <f t="shared" si="0"/>
        <v>0</v>
      </c>
      <c r="AB40" s="38" t="str">
        <f t="shared" si="5"/>
        <v/>
      </c>
      <c r="AC40" s="310" t="str">
        <f t="shared" si="6"/>
        <v/>
      </c>
      <c r="AD40" s="311">
        <f t="shared" si="1"/>
        <v>0</v>
      </c>
      <c r="AE40" s="312" t="str">
        <f t="shared" si="7"/>
        <v/>
      </c>
      <c r="AF40" s="312" t="str">
        <f t="shared" si="8"/>
        <v/>
      </c>
      <c r="AG40" s="561" t="str">
        <f t="shared" si="2"/>
        <v/>
      </c>
      <c r="AH40" s="561" t="str">
        <f t="shared" si="9"/>
        <v/>
      </c>
      <c r="AI40" s="313"/>
    </row>
    <row r="41" spans="1:35" outlineLevel="3" x14ac:dyDescent="0.2">
      <c r="A41" s="39">
        <v>4</v>
      </c>
      <c r="B41" s="23">
        <v>140010</v>
      </c>
      <c r="C41" s="23" t="s">
        <v>116</v>
      </c>
      <c r="D41" s="300">
        <f>Table22[[#This Row],[Level used for acute calculation]]</f>
        <v>4</v>
      </c>
      <c r="E41" s="302">
        <f>Table22[[#This Row],[MRL individual commodity]]</f>
        <v>0</v>
      </c>
      <c r="F41" s="451">
        <f>Table22[[#This Row],[Acute RA input value]]</f>
        <v>0</v>
      </c>
      <c r="G41" s="301" t="str">
        <f>Table22[[#This Row],[Acute RA label]]</f>
        <v/>
      </c>
      <c r="H41" s="303">
        <f>Table22[[#This Row],[Acute RA IESTI new input value]]</f>
        <v>0</v>
      </c>
      <c r="I41" s="301" t="str">
        <f>Table22[[#This Row],[Acute RA IESTI new label]]</f>
        <v/>
      </c>
      <c r="J41" s="504"/>
      <c r="K41" s="544">
        <f>Table22[[#This Row],[GAP under assessment]]</f>
        <v>0</v>
      </c>
      <c r="L41" s="304" t="str">
        <f>IF(input_values!$M41=0,"",input_values!$M41)</f>
        <v/>
      </c>
      <c r="M41" s="301" t="str">
        <f>IF(input_values!H41=0,"",input_values!H41)</f>
        <v/>
      </c>
      <c r="N41" s="304">
        <f>input_values!$K41</f>
        <v>0</v>
      </c>
      <c r="O41" s="326">
        <v>16.399999999999999</v>
      </c>
      <c r="P41" s="22">
        <v>95</v>
      </c>
      <c r="Q41" s="22" t="s">
        <v>256</v>
      </c>
      <c r="R41" s="326">
        <v>16.149999999999999</v>
      </c>
      <c r="S41" s="328">
        <f t="shared" si="3"/>
        <v>264.85999999999996</v>
      </c>
      <c r="T41" s="328">
        <v>50</v>
      </c>
      <c r="U41" s="329" t="s">
        <v>40</v>
      </c>
      <c r="V41" s="328">
        <v>53.6</v>
      </c>
      <c r="W41" s="329" t="s">
        <v>40</v>
      </c>
      <c r="X41" s="1464" t="str">
        <f>IF(V41="ND","ND",IF(S41="","",IF(OR(MID(C41,1,4)="milk",AND(MID(B41,1,2)="50",NOT(input_values!M41="Y")),AND(MID(B41,1,2)="40",NOT(input_values!M41="Y")),AND(MID(B41,1,2)="30",NOT(input_values!M41="Y"))),3,IF(OR(V41="&lt;25",B41&gt;1000000),1,IF((T41&gt;=S41),"2b","2a")))))</f>
        <v>2a</v>
      </c>
      <c r="Y41" s="22">
        <f>IF(X41="ND","ND",IF(S41="","",IF(input_values!K41&gt;0,input_values!K41,IF(OR(X41=1,X41=3),1,IF((V41&gt;250),5,7)))))</f>
        <v>7</v>
      </c>
      <c r="Z41" s="330" t="str">
        <f t="shared" si="4"/>
        <v/>
      </c>
      <c r="AA41" s="331">
        <f t="shared" si="0"/>
        <v>0</v>
      </c>
      <c r="AB41" s="27">
        <f t="shared" si="5"/>
        <v>3</v>
      </c>
      <c r="AC41" s="330" t="str">
        <f t="shared" si="6"/>
        <v/>
      </c>
      <c r="AD41" s="332">
        <f t="shared" si="1"/>
        <v>0</v>
      </c>
      <c r="AE41" s="333" t="str">
        <f t="shared" si="7"/>
        <v/>
      </c>
      <c r="AF41" s="333" t="str">
        <f t="shared" si="8"/>
        <v/>
      </c>
      <c r="AG41" s="561" t="str">
        <f t="shared" si="2"/>
        <v/>
      </c>
      <c r="AH41" s="561" t="str">
        <f t="shared" si="9"/>
        <v/>
      </c>
      <c r="AI41" s="313"/>
    </row>
    <row r="42" spans="1:35" outlineLevel="3" x14ac:dyDescent="0.2">
      <c r="A42" s="39">
        <v>4</v>
      </c>
      <c r="B42" s="23">
        <v>140020</v>
      </c>
      <c r="C42" s="23" t="s">
        <v>684</v>
      </c>
      <c r="D42" s="300">
        <f>Table22[[#This Row],[Level used for acute calculation]]</f>
        <v>4</v>
      </c>
      <c r="E42" s="302">
        <f>Table22[[#This Row],[MRL individual commodity]]</f>
        <v>0</v>
      </c>
      <c r="F42" s="451">
        <f>Table22[[#This Row],[Acute RA input value]]</f>
        <v>0</v>
      </c>
      <c r="G42" s="301" t="str">
        <f>Table22[[#This Row],[Acute RA label]]</f>
        <v/>
      </c>
      <c r="H42" s="303">
        <f>Table22[[#This Row],[Acute RA IESTI new input value]]</f>
        <v>0</v>
      </c>
      <c r="I42" s="301" t="str">
        <f>Table22[[#This Row],[Acute RA IESTI new label]]</f>
        <v/>
      </c>
      <c r="J42" s="504"/>
      <c r="K42" s="544">
        <f>Table22[[#This Row],[GAP under assessment]]</f>
        <v>0</v>
      </c>
      <c r="L42" s="304" t="str">
        <f>IF(input_values!$M42=0,"",input_values!$M42)</f>
        <v/>
      </c>
      <c r="M42" s="301" t="str">
        <f>IF(input_values!H42=0,"",input_values!H42)</f>
        <v/>
      </c>
      <c r="N42" s="304">
        <f>input_values!$K42</f>
        <v>0</v>
      </c>
      <c r="O42" s="326">
        <v>12.227272727272727</v>
      </c>
      <c r="P42" s="22">
        <v>97.5</v>
      </c>
      <c r="Q42" s="22" t="s">
        <v>257</v>
      </c>
      <c r="R42" s="326">
        <v>22</v>
      </c>
      <c r="S42" s="328">
        <f t="shared" si="3"/>
        <v>269</v>
      </c>
      <c r="T42" s="338" t="s">
        <v>617</v>
      </c>
      <c r="U42" s="129" t="s">
        <v>215</v>
      </c>
      <c r="V42" s="338" t="s">
        <v>617</v>
      </c>
      <c r="W42" s="129" t="s">
        <v>215</v>
      </c>
      <c r="X42" s="1464">
        <f>IF(V42="ND","ND",IF(S42="","",IF(OR(MID(C42,1,4)="milk",AND(MID(B42,1,2)="50",NOT(input_values!M42="Y")),AND(MID(B42,1,2)="40",NOT(input_values!M42="Y")),AND(MID(B42,1,2)="30",NOT(input_values!M42="Y"))),3,IF(OR(V42="&lt;25",B42&gt;1000000),1,IF((T42&gt;=S42),"2b","2a")))))</f>
        <v>1</v>
      </c>
      <c r="Y42" s="22">
        <f>IF(X42="ND","ND",IF(S42="","",IF(input_values!K42&gt;0,input_values!K42,IF(OR(X42=1,X42=3),1,IF((V42&gt;250),5,7)))))</f>
        <v>1</v>
      </c>
      <c r="Z42" s="330" t="str">
        <f t="shared" si="4"/>
        <v/>
      </c>
      <c r="AA42" s="331">
        <f t="shared" si="0"/>
        <v>0</v>
      </c>
      <c r="AB42" s="27">
        <f t="shared" si="5"/>
        <v>1</v>
      </c>
      <c r="AC42" s="330" t="str">
        <f t="shared" si="6"/>
        <v/>
      </c>
      <c r="AD42" s="332">
        <f t="shared" si="1"/>
        <v>0</v>
      </c>
      <c r="AE42" s="333" t="str">
        <f t="shared" si="7"/>
        <v/>
      </c>
      <c r="AF42" s="333" t="str">
        <f t="shared" si="8"/>
        <v/>
      </c>
      <c r="AG42" s="561" t="str">
        <f t="shared" si="2"/>
        <v/>
      </c>
      <c r="AH42" s="561" t="str">
        <f t="shared" si="9"/>
        <v/>
      </c>
      <c r="AI42" s="313"/>
    </row>
    <row r="43" spans="1:35" outlineLevel="3" x14ac:dyDescent="0.2">
      <c r="A43" s="39">
        <v>4</v>
      </c>
      <c r="B43" s="23">
        <v>140030</v>
      </c>
      <c r="C43" s="23" t="s">
        <v>117</v>
      </c>
      <c r="D43" s="300">
        <f>Table22[[#This Row],[Level used for acute calculation]]</f>
        <v>4</v>
      </c>
      <c r="E43" s="302">
        <f>Table22[[#This Row],[MRL individual commodity]]</f>
        <v>0</v>
      </c>
      <c r="F43" s="451">
        <f>Table22[[#This Row],[Acute RA input value]]</f>
        <v>0</v>
      </c>
      <c r="G43" s="301" t="str">
        <f>Table22[[#This Row],[Acute RA label]]</f>
        <v/>
      </c>
      <c r="H43" s="303">
        <f>Table22[[#This Row],[Acute RA IESTI new input value]]</f>
        <v>0</v>
      </c>
      <c r="I43" s="301" t="str">
        <f>Table22[[#This Row],[Acute RA IESTI new label]]</f>
        <v/>
      </c>
      <c r="J43" s="504"/>
      <c r="K43" s="544">
        <f>Table22[[#This Row],[GAP under assessment]]</f>
        <v>0</v>
      </c>
      <c r="L43" s="304" t="str">
        <f>IF(input_values!$M43=0,"",input_values!$M43)</f>
        <v/>
      </c>
      <c r="M43" s="301" t="str">
        <f>IF(input_values!H43=0,"",input_values!H43)</f>
        <v/>
      </c>
      <c r="N43" s="304">
        <f>input_values!$K43</f>
        <v>0</v>
      </c>
      <c r="O43" s="326">
        <v>18</v>
      </c>
      <c r="P43" s="22">
        <v>100</v>
      </c>
      <c r="Q43" s="22" t="s">
        <v>329</v>
      </c>
      <c r="R43" s="326">
        <v>10.199999999999999</v>
      </c>
      <c r="S43" s="328">
        <f t="shared" si="3"/>
        <v>183.6</v>
      </c>
      <c r="T43" s="328">
        <v>130.94999999999999</v>
      </c>
      <c r="U43" s="329" t="s">
        <v>215</v>
      </c>
      <c r="V43" s="328">
        <v>135</v>
      </c>
      <c r="W43" s="329" t="s">
        <v>215</v>
      </c>
      <c r="X43" s="1464" t="str">
        <f>IF(V43="ND","ND",IF(S43="","",IF(OR(MID(C43,1,4)="milk",AND(MID(B43,1,2)="50",NOT(input_values!M43="Y")),AND(MID(B43,1,2)="40",NOT(input_values!M43="Y")),AND(MID(B43,1,2)="30",NOT(input_values!M43="Y"))),3,IF(OR(V43="&lt;25",B43&gt;1000000),1,IF((T43&gt;=S43),"2b","2a")))))</f>
        <v>2a</v>
      </c>
      <c r="Y43" s="22">
        <f>IF(X43="ND","ND",IF(S43="","",IF(input_values!K43&gt;0,input_values!K43,IF(OR(X43=1,X43=3),1,IF((V43&gt;250),5,7)))))</f>
        <v>7</v>
      </c>
      <c r="Z43" s="330" t="str">
        <f t="shared" si="4"/>
        <v/>
      </c>
      <c r="AA43" s="331">
        <f t="shared" si="0"/>
        <v>0</v>
      </c>
      <c r="AB43" s="27">
        <f t="shared" si="5"/>
        <v>3</v>
      </c>
      <c r="AC43" s="330" t="str">
        <f t="shared" si="6"/>
        <v/>
      </c>
      <c r="AD43" s="332">
        <f t="shared" si="1"/>
        <v>0</v>
      </c>
      <c r="AE43" s="333" t="str">
        <f t="shared" si="7"/>
        <v/>
      </c>
      <c r="AF43" s="333" t="str">
        <f t="shared" si="8"/>
        <v/>
      </c>
      <c r="AG43" s="561" t="str">
        <f t="shared" si="2"/>
        <v/>
      </c>
      <c r="AH43" s="561" t="str">
        <f t="shared" si="9"/>
        <v/>
      </c>
      <c r="AI43" s="334"/>
    </row>
    <row r="44" spans="1:35" outlineLevel="3" x14ac:dyDescent="0.2">
      <c r="A44" s="39">
        <v>4</v>
      </c>
      <c r="B44" s="23">
        <v>140040</v>
      </c>
      <c r="C44" s="23" t="s">
        <v>118</v>
      </c>
      <c r="D44" s="300">
        <f>Table22[[#This Row],[Level used for acute calculation]]</f>
        <v>4</v>
      </c>
      <c r="E44" s="302">
        <f>Table22[[#This Row],[MRL individual commodity]]</f>
        <v>0</v>
      </c>
      <c r="F44" s="451">
        <f>Table22[[#This Row],[Acute RA input value]]</f>
        <v>0</v>
      </c>
      <c r="G44" s="301" t="str">
        <f>Table22[[#This Row],[Acute RA label]]</f>
        <v/>
      </c>
      <c r="H44" s="303">
        <f>Table22[[#This Row],[Acute RA IESTI new input value]]</f>
        <v>0</v>
      </c>
      <c r="I44" s="301" t="str">
        <f>Table22[[#This Row],[Acute RA IESTI new label]]</f>
        <v/>
      </c>
      <c r="J44" s="504"/>
      <c r="K44" s="544">
        <f>Table22[[#This Row],[GAP under assessment]]</f>
        <v>0</v>
      </c>
      <c r="L44" s="304" t="str">
        <f>IF(input_values!$M44=0,"",input_values!$M44)</f>
        <v/>
      </c>
      <c r="M44" s="301" t="str">
        <f>IF(input_values!H44=0,"",input_values!H44)</f>
        <v/>
      </c>
      <c r="N44" s="304">
        <f>input_values!$K44</f>
        <v>0</v>
      </c>
      <c r="O44" s="603">
        <v>8.5320699999999992</v>
      </c>
      <c r="P44" s="22">
        <v>97.5</v>
      </c>
      <c r="Q44" s="22" t="s">
        <v>330</v>
      </c>
      <c r="R44" s="326">
        <v>20</v>
      </c>
      <c r="S44" s="328">
        <f t="shared" si="3"/>
        <v>170.64139999999998</v>
      </c>
      <c r="T44" s="328">
        <v>112</v>
      </c>
      <c r="U44" s="329" t="s">
        <v>72</v>
      </c>
      <c r="V44" s="328">
        <v>119.63127930699309</v>
      </c>
      <c r="W44" s="329" t="s">
        <v>72</v>
      </c>
      <c r="X44" s="1464" t="str">
        <f>IF(V44="ND","ND",IF(S44="","",IF(OR(MID(C44,1,4)="milk",AND(MID(B44,1,2)="50",NOT(input_values!M44="Y")),AND(MID(B44,1,2)="40",NOT(input_values!M44="Y")),AND(MID(B44,1,2)="30",NOT(input_values!M44="Y"))),3,IF(OR(V44="&lt;25",B44&gt;1000000),1,IF((T44&gt;=S44),"2b","2a")))))</f>
        <v>2a</v>
      </c>
      <c r="Y44" s="22">
        <f>IF(X44="ND","ND",IF(S44="","",IF(input_values!K44&gt;0,input_values!K44,IF(OR(X44=1,X44=3),1,IF((V44&gt;250),5,7)))))</f>
        <v>7</v>
      </c>
      <c r="Z44" s="330" t="str">
        <f t="shared" si="4"/>
        <v/>
      </c>
      <c r="AA44" s="331">
        <f t="shared" si="0"/>
        <v>0</v>
      </c>
      <c r="AB44" s="27">
        <f t="shared" si="5"/>
        <v>3</v>
      </c>
      <c r="AC44" s="330" t="str">
        <f t="shared" si="6"/>
        <v/>
      </c>
      <c r="AD44" s="332">
        <f t="shared" si="1"/>
        <v>0</v>
      </c>
      <c r="AE44" s="333" t="str">
        <f t="shared" si="7"/>
        <v/>
      </c>
      <c r="AF44" s="333" t="str">
        <f t="shared" si="8"/>
        <v/>
      </c>
      <c r="AG44" s="561" t="str">
        <f t="shared" si="2"/>
        <v/>
      </c>
      <c r="AH44" s="561" t="str">
        <f t="shared" si="9"/>
        <v/>
      </c>
      <c r="AI44" s="334"/>
    </row>
    <row r="45" spans="1:35" outlineLevel="3" x14ac:dyDescent="0.2">
      <c r="A45" s="39">
        <v>4</v>
      </c>
      <c r="B45" s="23">
        <v>140990</v>
      </c>
      <c r="C45" s="23" t="s">
        <v>50</v>
      </c>
      <c r="D45" s="300">
        <f>Table22[[#This Row],[Level used for acute calculation]]</f>
        <v>0</v>
      </c>
      <c r="E45" s="302">
        <f>Table22[[#This Row],[MRL individual commodity]]</f>
        <v>0</v>
      </c>
      <c r="F45" s="451">
        <f>Table22[[#This Row],[Acute RA input value]]</f>
        <v>0</v>
      </c>
      <c r="G45" s="301">
        <f>Table22[[#This Row],[Acute RA label]]</f>
        <v>0</v>
      </c>
      <c r="H45" s="303">
        <f>Table22[[#This Row],[Acute RA IESTI new input value]]</f>
        <v>0</v>
      </c>
      <c r="I45" s="301">
        <f>Table22[[#This Row],[Acute RA IESTI new label]]</f>
        <v>0</v>
      </c>
      <c r="J45" s="504"/>
      <c r="K45" s="544">
        <f>Table22[[#This Row],[GAP under assessment]]</f>
        <v>0</v>
      </c>
      <c r="L45" s="304" t="str">
        <f>IF(input_values!$M45=0,"",input_values!$M45)</f>
        <v/>
      </c>
      <c r="M45" s="301" t="str">
        <f>IF(input_values!H45=0,"",input_values!H45)</f>
        <v/>
      </c>
      <c r="N45" s="304">
        <f>input_values!$K45</f>
        <v>0</v>
      </c>
      <c r="O45" s="305"/>
      <c r="P45" s="38"/>
      <c r="Q45" s="38"/>
      <c r="R45" s="335"/>
      <c r="S45" s="336" t="str">
        <f t="shared" si="3"/>
        <v/>
      </c>
      <c r="T45" s="305"/>
      <c r="U45" s="570"/>
      <c r="V45" s="305"/>
      <c r="W45" s="570"/>
      <c r="X45" s="611" t="str">
        <f>IF(V45="ND","ND",IF(S45="","",IF(OR(MID(C45,1,4)="milk",AND(MID(B45,1,2)="50",NOT(input_values!M45="Y")),AND(MID(B45,1,2)="40",NOT(input_values!M45="Y")),AND(MID(B45,1,2)="30",NOT(input_values!M45="Y"))),3,IF(OR(V45="&lt;25",B45&gt;1000000),1,IF((T45&gt;=S45),"2b","2a")))))</f>
        <v/>
      </c>
      <c r="Y45" s="38" t="str">
        <f>IF(X45="ND","ND",IF(S45="","",IF(input_values!K45&gt;0,input_values!K45,IF(OR(X45=1,X45=3),1,IF((V45&gt;250),5,7)))))</f>
        <v/>
      </c>
      <c r="Z45" s="310" t="str">
        <f t="shared" si="4"/>
        <v/>
      </c>
      <c r="AA45" s="311">
        <f t="shared" si="0"/>
        <v>0</v>
      </c>
      <c r="AB45" s="38" t="str">
        <f t="shared" si="5"/>
        <v/>
      </c>
      <c r="AC45" s="310" t="str">
        <f t="shared" si="6"/>
        <v/>
      </c>
      <c r="AD45" s="311">
        <f t="shared" si="1"/>
        <v>0</v>
      </c>
      <c r="AE45" s="312" t="str">
        <f t="shared" si="7"/>
        <v/>
      </c>
      <c r="AF45" s="312" t="str">
        <f t="shared" si="8"/>
        <v/>
      </c>
      <c r="AG45" s="561" t="str">
        <f t="shared" si="2"/>
        <v/>
      </c>
      <c r="AH45" s="561" t="str">
        <f t="shared" si="9"/>
        <v/>
      </c>
      <c r="AI45" s="313"/>
    </row>
    <row r="46" spans="1:35" outlineLevel="1" x14ac:dyDescent="0.2">
      <c r="A46" s="130">
        <v>2</v>
      </c>
      <c r="B46" s="131">
        <v>150000</v>
      </c>
      <c r="C46" s="131" t="s">
        <v>216</v>
      </c>
      <c r="D46" s="300">
        <f>Table22[[#This Row],[Level used for acute calculation]]</f>
        <v>4</v>
      </c>
      <c r="E46" s="302">
        <f>Table22[[#This Row],[MRL individual commodity]]</f>
        <v>0</v>
      </c>
      <c r="F46" s="451">
        <f>Table22[[#This Row],[Acute RA input value]]</f>
        <v>0</v>
      </c>
      <c r="G46" s="301">
        <f>Table22[[#This Row],[Acute RA label]]</f>
        <v>0</v>
      </c>
      <c r="H46" s="303">
        <f>Table22[[#This Row],[Acute RA IESTI new input value]]</f>
        <v>0</v>
      </c>
      <c r="I46" s="301">
        <f>Table22[[#This Row],[Acute RA IESTI new label]]</f>
        <v>0</v>
      </c>
      <c r="J46" s="504"/>
      <c r="K46" s="544">
        <f>Table22[[#This Row],[GAP under assessment]]</f>
        <v>0</v>
      </c>
      <c r="L46" s="304" t="str">
        <f>IF(input_values!$M46=0,"",input_values!$M46)</f>
        <v/>
      </c>
      <c r="M46" s="301" t="str">
        <f>IF(input_values!H46=0,"",input_values!H46)</f>
        <v/>
      </c>
      <c r="N46" s="304">
        <f>input_values!$K46</f>
        <v>0</v>
      </c>
      <c r="O46" s="305"/>
      <c r="P46" s="38"/>
      <c r="Q46" s="38"/>
      <c r="R46" s="335"/>
      <c r="S46" s="336" t="str">
        <f t="shared" si="3"/>
        <v/>
      </c>
      <c r="T46" s="315"/>
      <c r="U46" s="321"/>
      <c r="V46" s="315"/>
      <c r="W46" s="321"/>
      <c r="X46" s="611" t="str">
        <f>IF(V46="ND","ND",IF(S46="","",IF(OR(MID(C46,1,4)="milk",AND(MID(B46,1,2)="50",NOT(input_values!M46="Y")),AND(MID(B46,1,2)="40",NOT(input_values!M46="Y")),AND(MID(B46,1,2)="30",NOT(input_values!M46="Y"))),3,IF(OR(V46="&lt;25",B46&gt;1000000),1,IF((T46&gt;=S46),"2b","2a")))))</f>
        <v/>
      </c>
      <c r="Y46" s="38" t="str">
        <f>IF(X46="ND","ND",IF(S46="","",IF(input_values!K46&gt;0,input_values!K46,IF(OR(X46=1,X46=3),1,IF((V46&gt;250),5,7)))))</f>
        <v/>
      </c>
      <c r="Z46" s="310" t="str">
        <f t="shared" si="4"/>
        <v/>
      </c>
      <c r="AA46" s="311">
        <f t="shared" si="0"/>
        <v>0</v>
      </c>
      <c r="AB46" s="38" t="str">
        <f t="shared" si="5"/>
        <v/>
      </c>
      <c r="AC46" s="310" t="str">
        <f t="shared" si="6"/>
        <v/>
      </c>
      <c r="AD46" s="311">
        <f t="shared" si="1"/>
        <v>0</v>
      </c>
      <c r="AE46" s="312" t="str">
        <f t="shared" si="7"/>
        <v/>
      </c>
      <c r="AF46" s="312" t="str">
        <f t="shared" si="8"/>
        <v/>
      </c>
      <c r="AG46" s="561" t="str">
        <f t="shared" si="2"/>
        <v/>
      </c>
      <c r="AH46" s="561" t="str">
        <f t="shared" si="9"/>
        <v/>
      </c>
      <c r="AI46" s="313"/>
    </row>
    <row r="47" spans="1:35" outlineLevel="2" x14ac:dyDescent="0.2">
      <c r="A47" s="132">
        <v>3</v>
      </c>
      <c r="B47" s="3">
        <v>151000</v>
      </c>
      <c r="C47" s="3" t="s">
        <v>217</v>
      </c>
      <c r="D47" s="300">
        <f>Table22[[#This Row],[Level used for acute calculation]]</f>
        <v>4</v>
      </c>
      <c r="E47" s="302">
        <f>Table22[[#This Row],[MRL individual commodity]]</f>
        <v>0</v>
      </c>
      <c r="F47" s="451">
        <f>Table22[[#This Row],[Acute RA input value]]</f>
        <v>0</v>
      </c>
      <c r="G47" s="301">
        <f>Table22[[#This Row],[Acute RA label]]</f>
        <v>0</v>
      </c>
      <c r="H47" s="303">
        <f>Table22[[#This Row],[Acute RA IESTI new input value]]</f>
        <v>0</v>
      </c>
      <c r="I47" s="301">
        <f>Table22[[#This Row],[Acute RA IESTI new label]]</f>
        <v>0</v>
      </c>
      <c r="J47" s="504"/>
      <c r="K47" s="544">
        <f>Table22[[#This Row],[GAP under assessment]]</f>
        <v>0</v>
      </c>
      <c r="L47" s="304" t="str">
        <f>IF(input_values!$M47=0,"",input_values!$M47)</f>
        <v/>
      </c>
      <c r="M47" s="301" t="str">
        <f>IF(input_values!H47=0,"",input_values!H47)</f>
        <v/>
      </c>
      <c r="N47" s="304">
        <f>input_values!$K47</f>
        <v>0</v>
      </c>
      <c r="O47" s="305"/>
      <c r="P47" s="38"/>
      <c r="Q47" s="38"/>
      <c r="R47" s="335"/>
      <c r="S47" s="336" t="str">
        <f t="shared" si="3"/>
        <v/>
      </c>
      <c r="T47" s="342"/>
      <c r="U47" s="571"/>
      <c r="V47" s="342"/>
      <c r="W47" s="571"/>
      <c r="X47" s="611" t="str">
        <f>IF(V47="ND","ND",IF(S47="","",IF(OR(MID(C47,1,4)="milk",AND(MID(B47,1,2)="50",NOT(input_values!M47="Y")),AND(MID(B47,1,2)="40",NOT(input_values!M47="Y")),AND(MID(B47,1,2)="30",NOT(input_values!M47="Y"))),3,IF(OR(V47="&lt;25",B47&gt;1000000),1,IF((T47&gt;=S47),"2b","2a")))))</f>
        <v/>
      </c>
      <c r="Y47" s="38" t="str">
        <f>IF(X47="ND","ND",IF(S47="","",IF(input_values!K47&gt;0,input_values!K47,IF(OR(X47=1,X47=3),1,IF((V47&gt;250),5,7)))))</f>
        <v/>
      </c>
      <c r="Z47" s="310" t="str">
        <f t="shared" si="4"/>
        <v/>
      </c>
      <c r="AA47" s="311">
        <f t="shared" si="0"/>
        <v>0</v>
      </c>
      <c r="AB47" s="38" t="str">
        <f t="shared" si="5"/>
        <v/>
      </c>
      <c r="AC47" s="310" t="str">
        <f t="shared" si="6"/>
        <v/>
      </c>
      <c r="AD47" s="311">
        <f t="shared" si="1"/>
        <v>0</v>
      </c>
      <c r="AE47" s="312" t="str">
        <f t="shared" si="7"/>
        <v/>
      </c>
      <c r="AF47" s="312" t="str">
        <f t="shared" si="8"/>
        <v/>
      </c>
      <c r="AG47" s="561" t="str">
        <f t="shared" si="2"/>
        <v/>
      </c>
      <c r="AH47" s="561" t="str">
        <f t="shared" si="9"/>
        <v/>
      </c>
      <c r="AI47" s="313"/>
    </row>
    <row r="48" spans="1:35" outlineLevel="3" x14ac:dyDescent="0.2">
      <c r="A48" s="39">
        <v>4</v>
      </c>
      <c r="B48" s="23">
        <v>151010</v>
      </c>
      <c r="C48" s="23" t="s">
        <v>119</v>
      </c>
      <c r="D48" s="300">
        <f>Table22[[#This Row],[Level used for acute calculation]]</f>
        <v>4</v>
      </c>
      <c r="E48" s="302">
        <f>Table22[[#This Row],[MRL individual commodity]]</f>
        <v>0</v>
      </c>
      <c r="F48" s="451">
        <f>Table22[[#This Row],[Acute RA input value]]</f>
        <v>0</v>
      </c>
      <c r="G48" s="301" t="str">
        <f>Table22[[#This Row],[Acute RA label]]</f>
        <v/>
      </c>
      <c r="H48" s="303">
        <f>Table22[[#This Row],[Acute RA IESTI new input value]]</f>
        <v>0</v>
      </c>
      <c r="I48" s="301" t="str">
        <f>Table22[[#This Row],[Acute RA IESTI new label]]</f>
        <v/>
      </c>
      <c r="J48" s="504"/>
      <c r="K48" s="544">
        <f>Table22[[#This Row],[GAP under assessment]]</f>
        <v>0</v>
      </c>
      <c r="L48" s="304" t="str">
        <f>IF(input_values!$M48=0,"",input_values!$M48)</f>
        <v/>
      </c>
      <c r="M48" s="301" t="str">
        <f>IF(input_values!H48=0,"",input_values!H48)</f>
        <v/>
      </c>
      <c r="N48" s="304">
        <f>input_values!$K48</f>
        <v>0</v>
      </c>
      <c r="O48" s="603">
        <v>14.583333720000001</v>
      </c>
      <c r="P48" s="27">
        <v>97.5</v>
      </c>
      <c r="Q48" s="27" t="s">
        <v>955</v>
      </c>
      <c r="R48" s="603">
        <v>15.2</v>
      </c>
      <c r="S48" s="455">
        <f t="shared" si="3"/>
        <v>221.66667254399999</v>
      </c>
      <c r="T48" s="455">
        <v>554.36666666666667</v>
      </c>
      <c r="U48" s="456" t="s">
        <v>90</v>
      </c>
      <c r="V48" s="455">
        <v>621.98420647149464</v>
      </c>
      <c r="W48" s="456" t="s">
        <v>90</v>
      </c>
      <c r="X48" s="1464" t="str">
        <f>IF(V48="ND","ND",IF(S48="","",IF(OR(MID(C48,1,4)="milk",AND(MID(B48,1,2)="50",NOT(input_values!M48="Y")),AND(MID(B48,1,2)="40",NOT(input_values!M48="Y")),AND(MID(B48,1,2)="30",NOT(input_values!M48="Y"))),3,IF(OR(V48="&lt;25",B48&gt;1000000),1,IF((T48&gt;=S48),"2b","2a")))))</f>
        <v>2b</v>
      </c>
      <c r="Y48" s="22">
        <f>IF(X48="ND","ND",IF(S48="","",IF(input_values!K48&gt;0,input_values!K48,IF(OR(X48=1,X48=3),1,IF((V48&gt;250),5,7)))))</f>
        <v>5</v>
      </c>
      <c r="Z48" s="330" t="str">
        <f t="shared" si="4"/>
        <v/>
      </c>
      <c r="AA48" s="331">
        <f t="shared" si="0"/>
        <v>0</v>
      </c>
      <c r="AB48" s="27">
        <f t="shared" si="5"/>
        <v>3</v>
      </c>
      <c r="AC48" s="330" t="str">
        <f t="shared" si="6"/>
        <v/>
      </c>
      <c r="AD48" s="332">
        <f t="shared" si="1"/>
        <v>0</v>
      </c>
      <c r="AE48" s="333" t="str">
        <f t="shared" si="7"/>
        <v/>
      </c>
      <c r="AF48" s="333" t="str">
        <f t="shared" si="8"/>
        <v/>
      </c>
      <c r="AG48" s="561" t="str">
        <f t="shared" si="2"/>
        <v/>
      </c>
      <c r="AH48" s="561" t="str">
        <f t="shared" si="9"/>
        <v/>
      </c>
      <c r="AI48" s="334"/>
    </row>
    <row r="49" spans="1:35" outlineLevel="3" x14ac:dyDescent="0.2">
      <c r="A49" s="39">
        <v>4</v>
      </c>
      <c r="B49" s="23">
        <v>151020</v>
      </c>
      <c r="C49" s="23" t="s">
        <v>120</v>
      </c>
      <c r="D49" s="300">
        <f>Table22[[#This Row],[Level used for acute calculation]]</f>
        <v>4</v>
      </c>
      <c r="E49" s="302">
        <f>Table22[[#This Row],[MRL individual commodity]]</f>
        <v>0</v>
      </c>
      <c r="F49" s="451">
        <f>Table22[[#This Row],[Acute RA input value]]</f>
        <v>0</v>
      </c>
      <c r="G49" s="301" t="str">
        <f>Table22[[#This Row],[Acute RA label]]</f>
        <v/>
      </c>
      <c r="H49" s="303">
        <f>Table22[[#This Row],[Acute RA IESTI new input value]]</f>
        <v>0</v>
      </c>
      <c r="I49" s="301" t="str">
        <f>Table22[[#This Row],[Acute RA IESTI new label]]</f>
        <v/>
      </c>
      <c r="J49" s="504"/>
      <c r="K49" s="544">
        <f>Table22[[#This Row],[GAP under assessment]]</f>
        <v>0</v>
      </c>
      <c r="L49" s="304" t="str">
        <f>IF(input_values!$M49=0,"",input_values!$M49)</f>
        <v/>
      </c>
      <c r="M49" s="301" t="str">
        <f>IF(input_values!H49=0,"",input_values!H49)</f>
        <v/>
      </c>
      <c r="N49" s="304">
        <f>input_values!$K49</f>
        <v>0</v>
      </c>
      <c r="O49" s="326">
        <v>9.2780000000000005</v>
      </c>
      <c r="P49" s="22">
        <v>97.5</v>
      </c>
      <c r="Q49" s="22" t="s">
        <v>94</v>
      </c>
      <c r="R49" s="326">
        <v>30.9</v>
      </c>
      <c r="S49" s="328">
        <f t="shared" si="3"/>
        <v>286.6902</v>
      </c>
      <c r="T49" s="338" t="s">
        <v>617</v>
      </c>
      <c r="U49" s="129" t="s">
        <v>45</v>
      </c>
      <c r="V49" s="338" t="s">
        <v>617</v>
      </c>
      <c r="W49" s="129" t="s">
        <v>45</v>
      </c>
      <c r="X49" s="1464">
        <f>IF(V49="ND","ND",IF(S49="","",IF(OR(MID(C49,1,4)="milk",AND(MID(B49,1,2)="50",NOT(input_values!M49="Y")),AND(MID(B49,1,2)="40",NOT(input_values!M49="Y")),AND(MID(B49,1,2)="30",NOT(input_values!M49="Y"))),3,IF(OR(V49="&lt;25",B49&gt;1000000),1,IF((T49&gt;=S49),"2b","2a")))))</f>
        <v>1</v>
      </c>
      <c r="Y49" s="22">
        <f>IF(X49="ND","ND",IF(S49="","",IF(input_values!K49&gt;0,input_values!K49,IF(OR(X49=1,X49=3),1,IF((V49&gt;250),5,7)))))</f>
        <v>1</v>
      </c>
      <c r="Z49" s="330" t="str">
        <f t="shared" si="4"/>
        <v/>
      </c>
      <c r="AA49" s="331">
        <f t="shared" si="0"/>
        <v>0</v>
      </c>
      <c r="AB49" s="27">
        <f t="shared" si="5"/>
        <v>1</v>
      </c>
      <c r="AC49" s="330" t="str">
        <f t="shared" si="6"/>
        <v/>
      </c>
      <c r="AD49" s="332">
        <f t="shared" si="1"/>
        <v>0</v>
      </c>
      <c r="AE49" s="333" t="str">
        <f t="shared" si="7"/>
        <v/>
      </c>
      <c r="AF49" s="333" t="str">
        <f t="shared" si="8"/>
        <v/>
      </c>
      <c r="AG49" s="561" t="str">
        <f t="shared" si="2"/>
        <v/>
      </c>
      <c r="AH49" s="561" t="str">
        <f t="shared" si="9"/>
        <v/>
      </c>
      <c r="AI49" s="334"/>
    </row>
    <row r="50" spans="1:35" outlineLevel="2" x14ac:dyDescent="0.2">
      <c r="A50" s="132">
        <v>3</v>
      </c>
      <c r="B50" s="3">
        <v>152000</v>
      </c>
      <c r="C50" s="3" t="s">
        <v>218</v>
      </c>
      <c r="D50" s="300">
        <f>Table22[[#This Row],[Level used for acute calculation]]</f>
        <v>3</v>
      </c>
      <c r="E50" s="302">
        <f>Table22[[#This Row],[MRL individual commodity]]</f>
        <v>0</v>
      </c>
      <c r="F50" s="451">
        <f>Table22[[#This Row],[Acute RA input value]]</f>
        <v>0</v>
      </c>
      <c r="G50" s="301" t="str">
        <f>Table22[[#This Row],[Acute RA label]]</f>
        <v/>
      </c>
      <c r="H50" s="303">
        <f>Table22[[#This Row],[Acute RA IESTI new input value]]</f>
        <v>0</v>
      </c>
      <c r="I50" s="301" t="str">
        <f>Table22[[#This Row],[Acute RA IESTI new label]]</f>
        <v/>
      </c>
      <c r="J50" s="504"/>
      <c r="K50" s="544">
        <f>Table22[[#This Row],[GAP under assessment]]</f>
        <v>0</v>
      </c>
      <c r="L50" s="304" t="str">
        <f>IF(input_values!$M50=0,"",input_values!$M50)</f>
        <v/>
      </c>
      <c r="M50" s="301" t="str">
        <f>IF(input_values!H50=0,"",input_values!H50)</f>
        <v/>
      </c>
      <c r="N50" s="304">
        <f>input_values!$K50</f>
        <v>0</v>
      </c>
      <c r="O50" s="326">
        <v>16.343137254901961</v>
      </c>
      <c r="P50" s="22">
        <v>97.5</v>
      </c>
      <c r="Q50" s="22" t="s">
        <v>329</v>
      </c>
      <c r="R50" s="326">
        <v>10.199999999999999</v>
      </c>
      <c r="S50" s="328">
        <f t="shared" si="3"/>
        <v>166.7</v>
      </c>
      <c r="T50" s="338" t="s">
        <v>617</v>
      </c>
      <c r="U50" s="129" t="s">
        <v>215</v>
      </c>
      <c r="V50" s="338" t="s">
        <v>617</v>
      </c>
      <c r="W50" s="129" t="s">
        <v>215</v>
      </c>
      <c r="X50" s="1464">
        <f>IF(V50="ND","ND",IF(S50="","",IF(OR(MID(C50,1,4)="milk",AND(MID(B50,1,2)="50",NOT(input_values!M50="Y")),AND(MID(B50,1,2)="40",NOT(input_values!M50="Y")),AND(MID(B50,1,2)="30",NOT(input_values!M50="Y"))),3,IF(OR(V50="&lt;25",B50&gt;1000000),1,IF((T50&gt;=S50),"2b","2a")))))</f>
        <v>1</v>
      </c>
      <c r="Y50" s="22">
        <f>IF(X50="ND","ND",IF(S50="","",IF(input_values!K50&gt;0,input_values!K50,IF(OR(X50=1,X50=3),1,IF((V50&gt;250),5,7)))))</f>
        <v>1</v>
      </c>
      <c r="Z50" s="330" t="str">
        <f t="shared" si="4"/>
        <v/>
      </c>
      <c r="AA50" s="331">
        <f t="shared" si="0"/>
        <v>0</v>
      </c>
      <c r="AB50" s="27">
        <f t="shared" si="5"/>
        <v>1</v>
      </c>
      <c r="AC50" s="330" t="str">
        <f t="shared" si="6"/>
        <v/>
      </c>
      <c r="AD50" s="332">
        <f t="shared" si="1"/>
        <v>0</v>
      </c>
      <c r="AE50" s="333" t="str">
        <f t="shared" si="7"/>
        <v/>
      </c>
      <c r="AF50" s="333" t="str">
        <f t="shared" si="8"/>
        <v/>
      </c>
      <c r="AG50" s="561" t="str">
        <f t="shared" si="2"/>
        <v/>
      </c>
      <c r="AH50" s="561" t="str">
        <f t="shared" si="9"/>
        <v/>
      </c>
      <c r="AI50" s="313"/>
    </row>
    <row r="51" spans="1:35" outlineLevel="2" x14ac:dyDescent="0.2">
      <c r="A51" s="132">
        <v>3</v>
      </c>
      <c r="B51" s="3">
        <v>153000</v>
      </c>
      <c r="C51" s="3" t="s">
        <v>219</v>
      </c>
      <c r="D51" s="300">
        <f>Table22[[#This Row],[Level used for acute calculation]]</f>
        <v>4</v>
      </c>
      <c r="E51" s="302">
        <f>Table22[[#This Row],[MRL individual commodity]]</f>
        <v>0</v>
      </c>
      <c r="F51" s="451">
        <f>Table22[[#This Row],[Acute RA input value]]</f>
        <v>0</v>
      </c>
      <c r="G51" s="301">
        <f>Table22[[#This Row],[Acute RA label]]</f>
        <v>0</v>
      </c>
      <c r="H51" s="303">
        <f>Table22[[#This Row],[Acute RA IESTI new input value]]</f>
        <v>0</v>
      </c>
      <c r="I51" s="301">
        <f>Table22[[#This Row],[Acute RA IESTI new label]]</f>
        <v>0</v>
      </c>
      <c r="J51" s="504"/>
      <c r="K51" s="544">
        <f>Table22[[#This Row],[GAP under assessment]]</f>
        <v>0</v>
      </c>
      <c r="L51" s="304" t="str">
        <f>IF(input_values!$M51=0,"",input_values!$M51)</f>
        <v/>
      </c>
      <c r="M51" s="301" t="str">
        <f>IF(input_values!H51=0,"",input_values!H51)</f>
        <v/>
      </c>
      <c r="N51" s="304">
        <f>input_values!$K51</f>
        <v>0</v>
      </c>
      <c r="O51" s="305"/>
      <c r="P51" s="38"/>
      <c r="Q51" s="38"/>
      <c r="R51" s="335"/>
      <c r="S51" s="336" t="str">
        <f t="shared" si="3"/>
        <v/>
      </c>
      <c r="T51" s="342"/>
      <c r="U51" s="571"/>
      <c r="V51" s="342"/>
      <c r="W51" s="571"/>
      <c r="X51" s="611" t="str">
        <f>IF(V51="ND","ND",IF(S51="","",IF(OR(MID(C51,1,4)="milk",AND(MID(B51,1,2)="50",NOT(input_values!M51="Y")),AND(MID(B51,1,2)="40",NOT(input_values!M51="Y")),AND(MID(B51,1,2)="30",NOT(input_values!M51="Y"))),3,IF(OR(V51="&lt;25",B51&gt;1000000),1,IF((T51&gt;=S51),"2b","2a")))))</f>
        <v/>
      </c>
      <c r="Y51" s="38" t="str">
        <f>IF(X51="ND","ND",IF(S51="","",IF(input_values!K51&gt;0,input_values!K51,IF(OR(X51=1,X51=3),1,IF((V51&gt;250),5,7)))))</f>
        <v/>
      </c>
      <c r="Z51" s="310" t="str">
        <f t="shared" si="4"/>
        <v/>
      </c>
      <c r="AA51" s="311">
        <f t="shared" si="0"/>
        <v>0</v>
      </c>
      <c r="AB51" s="38" t="str">
        <f t="shared" si="5"/>
        <v/>
      </c>
      <c r="AC51" s="310" t="str">
        <f t="shared" si="6"/>
        <v/>
      </c>
      <c r="AD51" s="311">
        <f t="shared" si="1"/>
        <v>0</v>
      </c>
      <c r="AE51" s="312" t="str">
        <f t="shared" si="7"/>
        <v/>
      </c>
      <c r="AF51" s="312" t="str">
        <f t="shared" si="8"/>
        <v/>
      </c>
      <c r="AG51" s="561" t="str">
        <f t="shared" si="2"/>
        <v/>
      </c>
      <c r="AH51" s="561" t="str">
        <f t="shared" si="9"/>
        <v/>
      </c>
      <c r="AI51" s="313"/>
    </row>
    <row r="52" spans="1:35" outlineLevel="3" x14ac:dyDescent="0.2">
      <c r="A52" s="39">
        <v>4</v>
      </c>
      <c r="B52" s="23">
        <v>153010</v>
      </c>
      <c r="C52" s="23" t="s">
        <v>121</v>
      </c>
      <c r="D52" s="300">
        <f>Table22[[#This Row],[Level used for acute calculation]]</f>
        <v>4</v>
      </c>
      <c r="E52" s="302">
        <f>Table22[[#This Row],[MRL individual commodity]]</f>
        <v>0</v>
      </c>
      <c r="F52" s="451">
        <f>Table22[[#This Row],[Acute RA input value]]</f>
        <v>0</v>
      </c>
      <c r="G52" s="301" t="str">
        <f>Table22[[#This Row],[Acute RA label]]</f>
        <v/>
      </c>
      <c r="H52" s="303">
        <f>Table22[[#This Row],[Acute RA IESTI new input value]]</f>
        <v>0</v>
      </c>
      <c r="I52" s="301" t="str">
        <f>Table22[[#This Row],[Acute RA IESTI new label]]</f>
        <v/>
      </c>
      <c r="J52" s="504"/>
      <c r="K52" s="544">
        <f>Table22[[#This Row],[GAP under assessment]]</f>
        <v>0</v>
      </c>
      <c r="L52" s="304" t="str">
        <f>IF(input_values!$M52=0,"",input_values!$M52)</f>
        <v/>
      </c>
      <c r="M52" s="301" t="str">
        <f>IF(input_values!H52=0,"",input_values!H52)</f>
        <v/>
      </c>
      <c r="N52" s="304">
        <f>input_values!$K52</f>
        <v>0</v>
      </c>
      <c r="O52" s="326">
        <v>10.717241379310344</v>
      </c>
      <c r="P52" s="22">
        <v>97.5</v>
      </c>
      <c r="Q52" s="22" t="s">
        <v>91</v>
      </c>
      <c r="R52" s="326">
        <v>14.5</v>
      </c>
      <c r="S52" s="328">
        <f t="shared" si="3"/>
        <v>155.4</v>
      </c>
      <c r="T52" s="338" t="s">
        <v>617</v>
      </c>
      <c r="U52" s="129" t="s">
        <v>215</v>
      </c>
      <c r="V52" s="338" t="s">
        <v>617</v>
      </c>
      <c r="W52" s="129" t="s">
        <v>215</v>
      </c>
      <c r="X52" s="1464">
        <f>IF(V52="ND","ND",IF(S52="","",IF(OR(MID(C52,1,4)="milk",AND(MID(B52,1,2)="50",NOT(input_values!M52="Y")),AND(MID(B52,1,2)="40",NOT(input_values!M52="Y")),AND(MID(B52,1,2)="30",NOT(input_values!M52="Y"))),3,IF(OR(V52="&lt;25",B52&gt;1000000),1,IF((T52&gt;=S52),"2b","2a")))))</f>
        <v>1</v>
      </c>
      <c r="Y52" s="22">
        <f>IF(X52="ND","ND",IF(S52="","",IF(input_values!K52&gt;0,input_values!K52,IF(OR(X52=1,X52=3),1,IF((V52&gt;250),5,7)))))</f>
        <v>1</v>
      </c>
      <c r="Z52" s="330" t="str">
        <f t="shared" si="4"/>
        <v/>
      </c>
      <c r="AA52" s="331">
        <f t="shared" si="0"/>
        <v>0</v>
      </c>
      <c r="AB52" s="27">
        <f t="shared" si="5"/>
        <v>1</v>
      </c>
      <c r="AC52" s="330" t="str">
        <f t="shared" si="6"/>
        <v/>
      </c>
      <c r="AD52" s="332">
        <f t="shared" si="1"/>
        <v>0</v>
      </c>
      <c r="AE52" s="333" t="str">
        <f t="shared" si="7"/>
        <v/>
      </c>
      <c r="AF52" s="333" t="str">
        <f t="shared" si="8"/>
        <v/>
      </c>
      <c r="AG52" s="561" t="str">
        <f t="shared" si="2"/>
        <v/>
      </c>
      <c r="AH52" s="561" t="str">
        <f t="shared" si="9"/>
        <v/>
      </c>
      <c r="AI52" s="334"/>
    </row>
    <row r="53" spans="1:35" outlineLevel="3" x14ac:dyDescent="0.2">
      <c r="A53" s="39">
        <v>4</v>
      </c>
      <c r="B53" s="23">
        <v>153020</v>
      </c>
      <c r="C53" s="23" t="s">
        <v>240</v>
      </c>
      <c r="D53" s="300">
        <f>Table22[[#This Row],[Level used for acute calculation]]</f>
        <v>4</v>
      </c>
      <c r="E53" s="302">
        <f>Table22[[#This Row],[MRL individual commodity]]</f>
        <v>0</v>
      </c>
      <c r="F53" s="451">
        <f>Table22[[#This Row],[Acute RA input value]]</f>
        <v>0</v>
      </c>
      <c r="G53" s="301" t="str">
        <f>Table22[[#This Row],[Acute RA label]]</f>
        <v/>
      </c>
      <c r="H53" s="303">
        <f>Table22[[#This Row],[Acute RA IESTI new input value]]</f>
        <v>0</v>
      </c>
      <c r="I53" s="301" t="str">
        <f>Table22[[#This Row],[Acute RA IESTI new label]]</f>
        <v/>
      </c>
      <c r="J53" s="504"/>
      <c r="K53" s="544">
        <f>Table22[[#This Row],[GAP under assessment]]</f>
        <v>0</v>
      </c>
      <c r="L53" s="304" t="str">
        <f>IF(input_values!$M53=0,"",input_values!$M53)</f>
        <v/>
      </c>
      <c r="M53" s="301" t="str">
        <f>IF(input_values!H53=0,"",input_values!H53)</f>
        <v/>
      </c>
      <c r="N53" s="304">
        <f>input_values!$K53</f>
        <v>0</v>
      </c>
      <c r="O53" s="326">
        <v>1.7586206896551724</v>
      </c>
      <c r="P53" s="22">
        <v>97.5</v>
      </c>
      <c r="Q53" s="22" t="s">
        <v>91</v>
      </c>
      <c r="R53" s="326">
        <v>14.5</v>
      </c>
      <c r="S53" s="328">
        <f t="shared" si="3"/>
        <v>25.5</v>
      </c>
      <c r="T53" s="338" t="s">
        <v>617</v>
      </c>
      <c r="U53" s="129" t="s">
        <v>215</v>
      </c>
      <c r="V53" s="338" t="s">
        <v>617</v>
      </c>
      <c r="W53" s="129" t="s">
        <v>215</v>
      </c>
      <c r="X53" s="1464">
        <f>IF(V53="ND","ND",IF(S53="","",IF(OR(MID(C53,1,4)="milk",AND(MID(B53,1,2)="50",NOT(input_values!M53="Y")),AND(MID(B53,1,2)="40",NOT(input_values!M53="Y")),AND(MID(B53,1,2)="30",NOT(input_values!M53="Y"))),3,IF(OR(V53="&lt;25",B53&gt;1000000),1,IF((T53&gt;=S53),"2b","2a")))))</f>
        <v>1</v>
      </c>
      <c r="Y53" s="22">
        <f>IF(X53="ND","ND",IF(S53="","",IF(input_values!K53&gt;0,input_values!K53,IF(OR(X53=1,X53=3),1,IF((V53&gt;250),5,7)))))</f>
        <v>1</v>
      </c>
      <c r="Z53" s="330" t="str">
        <f t="shared" si="4"/>
        <v/>
      </c>
      <c r="AA53" s="331">
        <f t="shared" si="0"/>
        <v>0</v>
      </c>
      <c r="AB53" s="27">
        <f t="shared" si="5"/>
        <v>1</v>
      </c>
      <c r="AC53" s="330" t="str">
        <f t="shared" si="6"/>
        <v/>
      </c>
      <c r="AD53" s="332">
        <f t="shared" si="1"/>
        <v>0</v>
      </c>
      <c r="AE53" s="333" t="str">
        <f t="shared" si="7"/>
        <v/>
      </c>
      <c r="AF53" s="333" t="str">
        <f t="shared" si="8"/>
        <v/>
      </c>
      <c r="AG53" s="561" t="str">
        <f t="shared" si="2"/>
        <v/>
      </c>
      <c r="AH53" s="561" t="str">
        <f t="shared" si="9"/>
        <v/>
      </c>
      <c r="AI53" s="313"/>
    </row>
    <row r="54" spans="1:35" outlineLevel="3" x14ac:dyDescent="0.2">
      <c r="A54" s="39">
        <v>4</v>
      </c>
      <c r="B54" s="23">
        <v>153030</v>
      </c>
      <c r="C54" s="23" t="s">
        <v>685</v>
      </c>
      <c r="D54" s="300">
        <f>Table22[[#This Row],[Level used for acute calculation]]</f>
        <v>4</v>
      </c>
      <c r="E54" s="302">
        <f>Table22[[#This Row],[MRL individual commodity]]</f>
        <v>0</v>
      </c>
      <c r="F54" s="451">
        <f>Table22[[#This Row],[Acute RA input value]]</f>
        <v>0</v>
      </c>
      <c r="G54" s="301" t="str">
        <f>Table22[[#This Row],[Acute RA label]]</f>
        <v/>
      </c>
      <c r="H54" s="303">
        <f>Table22[[#This Row],[Acute RA IESTI new input value]]</f>
        <v>0</v>
      </c>
      <c r="I54" s="301" t="str">
        <f>Table22[[#This Row],[Acute RA IESTI new label]]</f>
        <v/>
      </c>
      <c r="J54" s="504"/>
      <c r="K54" s="544">
        <f>Table22[[#This Row],[GAP under assessment]]</f>
        <v>0</v>
      </c>
      <c r="L54" s="304" t="str">
        <f>IF(input_values!$M54=0,"",input_values!$M54)</f>
        <v/>
      </c>
      <c r="M54" s="301" t="str">
        <f>IF(input_values!H54=0,"",input_values!H54)</f>
        <v/>
      </c>
      <c r="N54" s="304">
        <f>input_values!$K54</f>
        <v>0</v>
      </c>
      <c r="O54" s="326">
        <v>9.2378699999999991</v>
      </c>
      <c r="P54" s="22">
        <v>97.5</v>
      </c>
      <c r="Q54" s="22" t="s">
        <v>330</v>
      </c>
      <c r="R54" s="326">
        <v>20</v>
      </c>
      <c r="S54" s="328">
        <f t="shared" si="3"/>
        <v>184.75739999999999</v>
      </c>
      <c r="T54" s="338" t="s">
        <v>617</v>
      </c>
      <c r="U54" s="129" t="s">
        <v>215</v>
      </c>
      <c r="V54" s="338" t="s">
        <v>617</v>
      </c>
      <c r="W54" s="129" t="s">
        <v>215</v>
      </c>
      <c r="X54" s="1464">
        <f>IF(V54="ND","ND",IF(S54="","",IF(OR(MID(C54,1,4)="milk",AND(MID(B54,1,2)="50",NOT(input_values!M54="Y")),AND(MID(B54,1,2)="40",NOT(input_values!M54="Y")),AND(MID(B54,1,2)="30",NOT(input_values!M54="Y"))),3,IF(OR(V54="&lt;25",B54&gt;1000000),1,IF((T54&gt;=S54),"2b","2a")))))</f>
        <v>1</v>
      </c>
      <c r="Y54" s="22">
        <f>IF(X54="ND","ND",IF(S54="","",IF(input_values!K54&gt;0,input_values!K54,IF(OR(X54=1,X54=3),1,IF((V54&gt;250),5,7)))))</f>
        <v>1</v>
      </c>
      <c r="Z54" s="330" t="str">
        <f t="shared" si="4"/>
        <v/>
      </c>
      <c r="AA54" s="331">
        <f t="shared" si="0"/>
        <v>0</v>
      </c>
      <c r="AB54" s="27">
        <f t="shared" si="5"/>
        <v>1</v>
      </c>
      <c r="AC54" s="330" t="str">
        <f t="shared" si="6"/>
        <v/>
      </c>
      <c r="AD54" s="332">
        <f t="shared" si="1"/>
        <v>0</v>
      </c>
      <c r="AE54" s="333" t="str">
        <f t="shared" si="7"/>
        <v/>
      </c>
      <c r="AF54" s="333" t="str">
        <f t="shared" si="8"/>
        <v/>
      </c>
      <c r="AG54" s="561" t="str">
        <f t="shared" si="2"/>
        <v/>
      </c>
      <c r="AH54" s="561" t="str">
        <f t="shared" si="9"/>
        <v/>
      </c>
      <c r="AI54" s="334"/>
    </row>
    <row r="55" spans="1:35" outlineLevel="3" x14ac:dyDescent="0.2">
      <c r="A55" s="39">
        <v>4</v>
      </c>
      <c r="B55" s="23">
        <v>153990</v>
      </c>
      <c r="C55" s="23" t="s">
        <v>51</v>
      </c>
      <c r="D55" s="300">
        <f>Table22[[#This Row],[Level used for acute calculation]]</f>
        <v>0</v>
      </c>
      <c r="E55" s="302">
        <f>Table22[[#This Row],[MRL individual commodity]]</f>
        <v>0</v>
      </c>
      <c r="F55" s="451">
        <f>Table22[[#This Row],[Acute RA input value]]</f>
        <v>0</v>
      </c>
      <c r="G55" s="301">
        <f>Table22[[#This Row],[Acute RA label]]</f>
        <v>0</v>
      </c>
      <c r="H55" s="303">
        <f>Table22[[#This Row],[Acute RA IESTI new input value]]</f>
        <v>0</v>
      </c>
      <c r="I55" s="301">
        <f>Table22[[#This Row],[Acute RA IESTI new label]]</f>
        <v>0</v>
      </c>
      <c r="J55" s="504"/>
      <c r="K55" s="544">
        <f>Table22[[#This Row],[GAP under assessment]]</f>
        <v>0</v>
      </c>
      <c r="L55" s="304" t="str">
        <f>IF(input_values!$M55=0,"",input_values!$M55)</f>
        <v/>
      </c>
      <c r="M55" s="301" t="str">
        <f>IF(input_values!H55=0,"",input_values!H55)</f>
        <v/>
      </c>
      <c r="N55" s="304">
        <f>input_values!$K55</f>
        <v>0</v>
      </c>
      <c r="O55" s="305"/>
      <c r="P55" s="38"/>
      <c r="Q55" s="38"/>
      <c r="R55" s="335"/>
      <c r="S55" s="336" t="str">
        <f t="shared" si="3"/>
        <v/>
      </c>
      <c r="T55" s="305"/>
      <c r="U55" s="570"/>
      <c r="V55" s="305"/>
      <c r="W55" s="570"/>
      <c r="X55" s="611" t="str">
        <f>IF(V55="ND","ND",IF(S55="","",IF(OR(MID(C55,1,4)="milk",AND(MID(B55,1,2)="50",NOT(input_values!M55="Y")),AND(MID(B55,1,2)="40",NOT(input_values!M55="Y")),AND(MID(B55,1,2)="30",NOT(input_values!M55="Y"))),3,IF(OR(V55="&lt;25",B55&gt;1000000),1,IF((T55&gt;=S55),"2b","2a")))))</f>
        <v/>
      </c>
      <c r="Y55" s="38" t="str">
        <f>IF(X55="ND","ND",IF(S55="","",IF(input_values!K55&gt;0,input_values!K55,IF(OR(X55=1,X55=3),1,IF((V55&gt;250),5,7)))))</f>
        <v/>
      </c>
      <c r="Z55" s="310" t="str">
        <f t="shared" si="4"/>
        <v/>
      </c>
      <c r="AA55" s="311">
        <f t="shared" si="0"/>
        <v>0</v>
      </c>
      <c r="AB55" s="38" t="str">
        <f t="shared" si="5"/>
        <v/>
      </c>
      <c r="AC55" s="310" t="str">
        <f t="shared" si="6"/>
        <v/>
      </c>
      <c r="AD55" s="311">
        <f t="shared" si="1"/>
        <v>0</v>
      </c>
      <c r="AE55" s="312" t="str">
        <f t="shared" si="7"/>
        <v/>
      </c>
      <c r="AF55" s="312" t="str">
        <f t="shared" si="8"/>
        <v/>
      </c>
      <c r="AG55" s="561" t="str">
        <f t="shared" si="2"/>
        <v/>
      </c>
      <c r="AH55" s="561" t="str">
        <f t="shared" si="9"/>
        <v/>
      </c>
      <c r="AI55" s="313"/>
    </row>
    <row r="56" spans="1:35" outlineLevel="2" x14ac:dyDescent="0.2">
      <c r="A56" s="132">
        <v>3</v>
      </c>
      <c r="B56" s="3">
        <v>154000</v>
      </c>
      <c r="C56" s="3" t="s">
        <v>220</v>
      </c>
      <c r="D56" s="300">
        <f>Table22[[#This Row],[Level used for acute calculation]]</f>
        <v>4</v>
      </c>
      <c r="E56" s="302">
        <f>Table22[[#This Row],[MRL individual commodity]]</f>
        <v>0</v>
      </c>
      <c r="F56" s="451">
        <f>Table22[[#This Row],[Acute RA input value]]</f>
        <v>0</v>
      </c>
      <c r="G56" s="301">
        <f>Table22[[#This Row],[Acute RA label]]</f>
        <v>0</v>
      </c>
      <c r="H56" s="303">
        <f>Table22[[#This Row],[Acute RA IESTI new input value]]</f>
        <v>0</v>
      </c>
      <c r="I56" s="301">
        <f>Table22[[#This Row],[Acute RA IESTI new label]]</f>
        <v>0</v>
      </c>
      <c r="J56" s="504"/>
      <c r="K56" s="544">
        <f>Table22[[#This Row],[GAP under assessment]]</f>
        <v>0</v>
      </c>
      <c r="L56" s="304" t="str">
        <f>IF(input_values!$M56=0,"",input_values!$M56)</f>
        <v/>
      </c>
      <c r="M56" s="301" t="str">
        <f>IF(input_values!H56=0,"",input_values!H56)</f>
        <v/>
      </c>
      <c r="N56" s="304">
        <f>input_values!$K56</f>
        <v>0</v>
      </c>
      <c r="O56" s="305"/>
      <c r="P56" s="38"/>
      <c r="Q56" s="38"/>
      <c r="R56" s="335"/>
      <c r="S56" s="336" t="str">
        <f t="shared" si="3"/>
        <v/>
      </c>
      <c r="T56" s="342"/>
      <c r="U56" s="571"/>
      <c r="V56" s="342"/>
      <c r="W56" s="571"/>
      <c r="X56" s="611" t="str">
        <f>IF(V56="ND","ND",IF(S56="","",IF(OR(MID(C56,1,4)="milk",AND(MID(B56,1,2)="50",NOT(input_values!M56="Y")),AND(MID(B56,1,2)="40",NOT(input_values!M56="Y")),AND(MID(B56,1,2)="30",NOT(input_values!M56="Y"))),3,IF(OR(V56="&lt;25",B56&gt;1000000),1,IF((T56&gt;=S56),"2b","2a")))))</f>
        <v/>
      </c>
      <c r="Y56" s="38" t="str">
        <f>IF(X56="ND","ND",IF(S56="","",IF(input_values!K56&gt;0,input_values!K56,IF(OR(X56=1,X56=3),1,IF((V56&gt;250),5,7)))))</f>
        <v/>
      </c>
      <c r="Z56" s="310" t="str">
        <f t="shared" si="4"/>
        <v/>
      </c>
      <c r="AA56" s="311">
        <f t="shared" si="0"/>
        <v>0</v>
      </c>
      <c r="AB56" s="38" t="str">
        <f t="shared" si="5"/>
        <v/>
      </c>
      <c r="AC56" s="310" t="str">
        <f t="shared" si="6"/>
        <v/>
      </c>
      <c r="AD56" s="311">
        <f t="shared" si="1"/>
        <v>0</v>
      </c>
      <c r="AE56" s="312" t="str">
        <f t="shared" si="7"/>
        <v/>
      </c>
      <c r="AF56" s="312" t="str">
        <f t="shared" si="8"/>
        <v/>
      </c>
      <c r="AG56" s="561" t="str">
        <f t="shared" si="2"/>
        <v/>
      </c>
      <c r="AH56" s="561" t="str">
        <f t="shared" si="9"/>
        <v/>
      </c>
      <c r="AI56" s="313"/>
    </row>
    <row r="57" spans="1:35" outlineLevel="3" x14ac:dyDescent="0.2">
      <c r="A57" s="39">
        <v>4</v>
      </c>
      <c r="B57" s="23">
        <v>154010</v>
      </c>
      <c r="C57" s="23" t="s">
        <v>241</v>
      </c>
      <c r="D57" s="300">
        <f>Table22[[#This Row],[Level used for acute calculation]]</f>
        <v>4</v>
      </c>
      <c r="E57" s="302">
        <f>Table22[[#This Row],[MRL individual commodity]]</f>
        <v>0</v>
      </c>
      <c r="F57" s="451">
        <f>Table22[[#This Row],[Acute RA input value]]</f>
        <v>0</v>
      </c>
      <c r="G57" s="301" t="str">
        <f>Table22[[#This Row],[Acute RA label]]</f>
        <v/>
      </c>
      <c r="H57" s="303">
        <f>Table22[[#This Row],[Acute RA IESTI new input value]]</f>
        <v>0</v>
      </c>
      <c r="I57" s="301" t="str">
        <f>Table22[[#This Row],[Acute RA IESTI new label]]</f>
        <v/>
      </c>
      <c r="J57" s="504"/>
      <c r="K57" s="544">
        <f>Table22[[#This Row],[GAP under assessment]]</f>
        <v>0</v>
      </c>
      <c r="L57" s="304" t="str">
        <f>IF(input_values!$M57=0,"",input_values!$M57)</f>
        <v/>
      </c>
      <c r="M57" s="301" t="str">
        <f>IF(input_values!H57=0,"",input_values!H57)</f>
        <v/>
      </c>
      <c r="N57" s="304">
        <f>input_values!$K57</f>
        <v>0</v>
      </c>
      <c r="O57" s="326">
        <v>5.9619999999999997</v>
      </c>
      <c r="P57" s="22" t="s">
        <v>331</v>
      </c>
      <c r="Q57" s="22" t="s">
        <v>259</v>
      </c>
      <c r="R57" s="326">
        <v>18.399999999999999</v>
      </c>
      <c r="S57" s="328">
        <f t="shared" si="3"/>
        <v>109.70079999999999</v>
      </c>
      <c r="T57" s="338" t="s">
        <v>617</v>
      </c>
      <c r="U57" s="129" t="s">
        <v>215</v>
      </c>
      <c r="V57" s="338" t="s">
        <v>617</v>
      </c>
      <c r="W57" s="129" t="s">
        <v>215</v>
      </c>
      <c r="X57" s="1464">
        <f>IF(V57="ND","ND",IF(S57="","",IF(OR(MID(C57,1,4)="milk",AND(MID(B57,1,2)="50",NOT(input_values!M57="Y")),AND(MID(B57,1,2)="40",NOT(input_values!M57="Y")),AND(MID(B57,1,2)="30",NOT(input_values!M57="Y"))),3,IF(OR(V57="&lt;25",B57&gt;1000000),1,IF((T57&gt;=S57),"2b","2a")))))</f>
        <v>1</v>
      </c>
      <c r="Y57" s="22">
        <f>IF(X57="ND","ND",IF(S57="","",IF(input_values!K57&gt;0,input_values!K57,IF(OR(X57=1,X57=3),1,IF((V57&gt;250),5,7)))))</f>
        <v>1</v>
      </c>
      <c r="Z57" s="330" t="str">
        <f t="shared" si="4"/>
        <v/>
      </c>
      <c r="AA57" s="331">
        <f t="shared" si="0"/>
        <v>0</v>
      </c>
      <c r="AB57" s="27">
        <f t="shared" si="5"/>
        <v>1</v>
      </c>
      <c r="AC57" s="330" t="str">
        <f t="shared" si="6"/>
        <v/>
      </c>
      <c r="AD57" s="332">
        <f t="shared" si="1"/>
        <v>0</v>
      </c>
      <c r="AE57" s="333" t="str">
        <f t="shared" si="7"/>
        <v/>
      </c>
      <c r="AF57" s="333" t="str">
        <f t="shared" si="8"/>
        <v/>
      </c>
      <c r="AG57" s="561" t="str">
        <f t="shared" si="2"/>
        <v/>
      </c>
      <c r="AH57" s="561" t="str">
        <f t="shared" si="9"/>
        <v/>
      </c>
      <c r="AI57" s="334"/>
    </row>
    <row r="58" spans="1:35" outlineLevel="3" x14ac:dyDescent="0.2">
      <c r="A58" s="39">
        <v>4</v>
      </c>
      <c r="B58" s="23">
        <v>154020</v>
      </c>
      <c r="C58" s="23" t="s">
        <v>242</v>
      </c>
      <c r="D58" s="300">
        <f>Table22[[#This Row],[Level used for acute calculation]]</f>
        <v>4</v>
      </c>
      <c r="E58" s="302">
        <f>Table22[[#This Row],[MRL individual commodity]]</f>
        <v>0</v>
      </c>
      <c r="F58" s="451">
        <f>Table22[[#This Row],[Acute RA input value]]</f>
        <v>0</v>
      </c>
      <c r="G58" s="301" t="str">
        <f>Table22[[#This Row],[Acute RA label]]</f>
        <v/>
      </c>
      <c r="H58" s="303">
        <f>Table22[[#This Row],[Acute RA IESTI new input value]]</f>
        <v>0</v>
      </c>
      <c r="I58" s="301" t="str">
        <f>Table22[[#This Row],[Acute RA IESTI new label]]</f>
        <v/>
      </c>
      <c r="J58" s="504"/>
      <c r="K58" s="544">
        <f>Table22[[#This Row],[GAP under assessment]]</f>
        <v>0</v>
      </c>
      <c r="L58" s="304" t="str">
        <f>IF(input_values!$M58=0,"",input_values!$M58)</f>
        <v/>
      </c>
      <c r="M58" s="301" t="str">
        <f>IF(input_values!H58=0,"",input_values!H58)</f>
        <v/>
      </c>
      <c r="N58" s="304">
        <f>input_values!$K58</f>
        <v>0</v>
      </c>
      <c r="O58" s="326">
        <v>4.4850000000000003</v>
      </c>
      <c r="P58" s="22">
        <v>100</v>
      </c>
      <c r="Q58" s="22" t="s">
        <v>259</v>
      </c>
      <c r="R58" s="326">
        <v>18.399999999999999</v>
      </c>
      <c r="S58" s="328">
        <f t="shared" si="3"/>
        <v>82.524000000000001</v>
      </c>
      <c r="T58" s="338" t="s">
        <v>617</v>
      </c>
      <c r="U58" s="129" t="s">
        <v>215</v>
      </c>
      <c r="V58" s="338" t="s">
        <v>617</v>
      </c>
      <c r="W58" s="129" t="s">
        <v>215</v>
      </c>
      <c r="X58" s="1464">
        <f>IF(V58="ND","ND",IF(S58="","",IF(OR(MID(C58,1,4)="milk",AND(MID(B58,1,2)="50",NOT(input_values!M58="Y")),AND(MID(B58,1,2)="40",NOT(input_values!M58="Y")),AND(MID(B58,1,2)="30",NOT(input_values!M58="Y"))),3,IF(OR(V58="&lt;25",B58&gt;1000000),1,IF((T58&gt;=S58),"2b","2a")))))</f>
        <v>1</v>
      </c>
      <c r="Y58" s="22">
        <f>IF(X58="ND","ND",IF(S58="","",IF(input_values!K58&gt;0,input_values!K58,IF(OR(X58=1,X58=3),1,IF((V58&gt;250),5,7)))))</f>
        <v>1</v>
      </c>
      <c r="Z58" s="330" t="str">
        <f t="shared" si="4"/>
        <v/>
      </c>
      <c r="AA58" s="331">
        <f t="shared" si="0"/>
        <v>0</v>
      </c>
      <c r="AB58" s="27">
        <f t="shared" si="5"/>
        <v>1</v>
      </c>
      <c r="AC58" s="330" t="str">
        <f t="shared" si="6"/>
        <v/>
      </c>
      <c r="AD58" s="332">
        <f t="shared" si="1"/>
        <v>0</v>
      </c>
      <c r="AE58" s="333" t="str">
        <f t="shared" si="7"/>
        <v/>
      </c>
      <c r="AF58" s="333" t="str">
        <f t="shared" si="8"/>
        <v/>
      </c>
      <c r="AG58" s="561" t="str">
        <f t="shared" si="2"/>
        <v/>
      </c>
      <c r="AH58" s="561" t="str">
        <f t="shared" si="9"/>
        <v/>
      </c>
      <c r="AI58" s="334"/>
    </row>
    <row r="59" spans="1:35" outlineLevel="3" x14ac:dyDescent="0.2">
      <c r="A59" s="39">
        <v>4</v>
      </c>
      <c r="B59" s="23">
        <v>154030</v>
      </c>
      <c r="C59" s="23" t="s">
        <v>243</v>
      </c>
      <c r="D59" s="300">
        <f>Table22[[#This Row],[Level used for acute calculation]]</f>
        <v>4</v>
      </c>
      <c r="E59" s="302">
        <f>Table22[[#This Row],[MRL individual commodity]]</f>
        <v>0</v>
      </c>
      <c r="F59" s="451">
        <f>Table22[[#This Row],[Acute RA input value]]</f>
        <v>0</v>
      </c>
      <c r="G59" s="301" t="str">
        <f>Table22[[#This Row],[Acute RA label]]</f>
        <v/>
      </c>
      <c r="H59" s="303">
        <f>Table22[[#This Row],[Acute RA IESTI new input value]]</f>
        <v>0</v>
      </c>
      <c r="I59" s="301" t="str">
        <f>Table22[[#This Row],[Acute RA IESTI new label]]</f>
        <v/>
      </c>
      <c r="J59" s="504"/>
      <c r="K59" s="544">
        <f>Table22[[#This Row],[GAP under assessment]]</f>
        <v>0</v>
      </c>
      <c r="L59" s="304" t="str">
        <f>IF(input_values!$M59=0,"",input_values!$M59)</f>
        <v/>
      </c>
      <c r="M59" s="301" t="str">
        <f>IF(input_values!H59=0,"",input_values!H59)</f>
        <v/>
      </c>
      <c r="N59" s="304">
        <f>input_values!$K59</f>
        <v>0</v>
      </c>
      <c r="O59" s="326">
        <v>7.89</v>
      </c>
      <c r="P59" s="22">
        <v>100</v>
      </c>
      <c r="Q59" s="22" t="s">
        <v>256</v>
      </c>
      <c r="R59" s="326">
        <v>16.149999999999999</v>
      </c>
      <c r="S59" s="328">
        <f t="shared" si="3"/>
        <v>127.42349999999999</v>
      </c>
      <c r="T59" s="338" t="s">
        <v>617</v>
      </c>
      <c r="U59" s="129" t="s">
        <v>215</v>
      </c>
      <c r="V59" s="338" t="s">
        <v>617</v>
      </c>
      <c r="W59" s="129" t="s">
        <v>215</v>
      </c>
      <c r="X59" s="1464">
        <f>IF(V59="ND","ND",IF(S59="","",IF(OR(MID(C59,1,4)="milk",AND(MID(B59,1,2)="50",NOT(input_values!M59="Y")),AND(MID(B59,1,2)="40",NOT(input_values!M59="Y")),AND(MID(B59,1,2)="30",NOT(input_values!M59="Y"))),3,IF(OR(V59="&lt;25",B59&gt;1000000),1,IF((T59&gt;=S59),"2b","2a")))))</f>
        <v>1</v>
      </c>
      <c r="Y59" s="22">
        <f>IF(X59="ND","ND",IF(S59="","",IF(input_values!K59&gt;0,input_values!K59,IF(OR(X59=1,X59=3),1,IF((V59&gt;250),5,7)))))</f>
        <v>1</v>
      </c>
      <c r="Z59" s="330" t="str">
        <f t="shared" si="4"/>
        <v/>
      </c>
      <c r="AA59" s="331">
        <f t="shared" si="0"/>
        <v>0</v>
      </c>
      <c r="AB59" s="27">
        <f t="shared" si="5"/>
        <v>1</v>
      </c>
      <c r="AC59" s="330" t="str">
        <f t="shared" si="6"/>
        <v/>
      </c>
      <c r="AD59" s="332">
        <f t="shared" si="1"/>
        <v>0</v>
      </c>
      <c r="AE59" s="333" t="str">
        <f t="shared" si="7"/>
        <v/>
      </c>
      <c r="AF59" s="333" t="str">
        <f t="shared" si="8"/>
        <v/>
      </c>
      <c r="AG59" s="561" t="str">
        <f t="shared" si="2"/>
        <v/>
      </c>
      <c r="AH59" s="561" t="str">
        <f t="shared" si="9"/>
        <v/>
      </c>
      <c r="AI59" s="334"/>
    </row>
    <row r="60" spans="1:35" ht="24" outlineLevel="3" x14ac:dyDescent="0.2">
      <c r="A60" s="39">
        <v>4</v>
      </c>
      <c r="B60" s="23">
        <v>154040</v>
      </c>
      <c r="C60" s="23" t="s">
        <v>686</v>
      </c>
      <c r="D60" s="300">
        <f>Table22[[#This Row],[Level used for acute calculation]]</f>
        <v>4</v>
      </c>
      <c r="E60" s="302">
        <f>Table22[[#This Row],[MRL individual commodity]]</f>
        <v>0</v>
      </c>
      <c r="F60" s="451">
        <f>Table22[[#This Row],[Acute RA input value]]</f>
        <v>0</v>
      </c>
      <c r="G60" s="301" t="str">
        <f>Table22[[#This Row],[Acute RA label]]</f>
        <v/>
      </c>
      <c r="H60" s="303">
        <f>Table22[[#This Row],[Acute RA IESTI new input value]]</f>
        <v>0</v>
      </c>
      <c r="I60" s="301" t="str">
        <f>Table22[[#This Row],[Acute RA IESTI new label]]</f>
        <v/>
      </c>
      <c r="J60" s="504"/>
      <c r="K60" s="544">
        <f>Table22[[#This Row],[GAP under assessment]]</f>
        <v>0</v>
      </c>
      <c r="L60" s="304" t="str">
        <f>IF(input_values!$M60=0,"",input_values!$M60)</f>
        <v/>
      </c>
      <c r="M60" s="301" t="str">
        <f>IF(input_values!H60=0,"",input_values!H60)</f>
        <v/>
      </c>
      <c r="N60" s="304">
        <f>input_values!$K60</f>
        <v>0</v>
      </c>
      <c r="O60" s="326">
        <v>5.88</v>
      </c>
      <c r="P60" s="22">
        <v>100</v>
      </c>
      <c r="Q60" s="22" t="s">
        <v>256</v>
      </c>
      <c r="R60" s="326">
        <v>16.149999999999999</v>
      </c>
      <c r="S60" s="328">
        <f t="shared" si="3"/>
        <v>94.961999999999989</v>
      </c>
      <c r="T60" s="338" t="s">
        <v>617</v>
      </c>
      <c r="U60" s="129" t="s">
        <v>215</v>
      </c>
      <c r="V60" s="338" t="s">
        <v>617</v>
      </c>
      <c r="W60" s="129" t="s">
        <v>215</v>
      </c>
      <c r="X60" s="1464">
        <f>IF(V60="ND","ND",IF(S60="","",IF(OR(MID(C60,1,4)="milk",AND(MID(B60,1,2)="50",NOT(input_values!M60="Y")),AND(MID(B60,1,2)="40",NOT(input_values!M60="Y")),AND(MID(B60,1,2)="30",NOT(input_values!M60="Y"))),3,IF(OR(V60="&lt;25",B60&gt;1000000),1,IF((T60&gt;=S60),"2b","2a")))))</f>
        <v>1</v>
      </c>
      <c r="Y60" s="22">
        <f>IF(X60="ND","ND",IF(S60="","",IF(input_values!K60&gt;0,input_values!K60,IF(OR(X60=1,X60=3),1,IF((V60&gt;250),5,7)))))</f>
        <v>1</v>
      </c>
      <c r="Z60" s="330" t="str">
        <f t="shared" si="4"/>
        <v/>
      </c>
      <c r="AA60" s="331">
        <f t="shared" si="0"/>
        <v>0</v>
      </c>
      <c r="AB60" s="27">
        <f t="shared" si="5"/>
        <v>1</v>
      </c>
      <c r="AC60" s="330" t="str">
        <f t="shared" si="6"/>
        <v/>
      </c>
      <c r="AD60" s="332">
        <f t="shared" si="1"/>
        <v>0</v>
      </c>
      <c r="AE60" s="333" t="str">
        <f t="shared" si="7"/>
        <v/>
      </c>
      <c r="AF60" s="333" t="str">
        <f t="shared" si="8"/>
        <v/>
      </c>
      <c r="AG60" s="561" t="str">
        <f t="shared" si="2"/>
        <v/>
      </c>
      <c r="AH60" s="561" t="str">
        <f t="shared" si="9"/>
        <v/>
      </c>
      <c r="AI60" s="313"/>
    </row>
    <row r="61" spans="1:35" outlineLevel="3" x14ac:dyDescent="0.2">
      <c r="A61" s="39">
        <v>4</v>
      </c>
      <c r="B61" s="23">
        <v>154050</v>
      </c>
      <c r="C61" s="23" t="s">
        <v>65</v>
      </c>
      <c r="D61" s="300">
        <f>Table22[[#This Row],[Level used for acute calculation]]</f>
        <v>4</v>
      </c>
      <c r="E61" s="302">
        <f>Table22[[#This Row],[MRL individual commodity]]</f>
        <v>0</v>
      </c>
      <c r="F61" s="451">
        <f>Table22[[#This Row],[Acute RA input value]]</f>
        <v>0</v>
      </c>
      <c r="G61" s="301" t="str">
        <f>Table22[[#This Row],[Acute RA label]]</f>
        <v/>
      </c>
      <c r="H61" s="303">
        <f>Table22[[#This Row],[Acute RA IESTI new input value]]</f>
        <v>0</v>
      </c>
      <c r="I61" s="301" t="str">
        <f>Table22[[#This Row],[Acute RA IESTI new label]]</f>
        <v/>
      </c>
      <c r="J61" s="504"/>
      <c r="K61" s="544">
        <f>Table22[[#This Row],[GAP under assessment]]</f>
        <v>0</v>
      </c>
      <c r="L61" s="304" t="str">
        <f>IF(input_values!$M61=0,"",input_values!$M61)</f>
        <v/>
      </c>
      <c r="M61" s="301" t="str">
        <f>IF(input_values!H61=0,"",input_values!H61)</f>
        <v/>
      </c>
      <c r="N61" s="304">
        <f>input_values!$K61</f>
        <v>0</v>
      </c>
      <c r="O61" s="328" t="s">
        <v>618</v>
      </c>
      <c r="P61" s="22"/>
      <c r="Q61" s="22"/>
      <c r="R61" s="330"/>
      <c r="S61" s="31" t="str">
        <f t="shared" si="3"/>
        <v>ND</v>
      </c>
      <c r="T61" s="338" t="s">
        <v>617</v>
      </c>
      <c r="U61" s="129" t="s">
        <v>215</v>
      </c>
      <c r="V61" s="338" t="s">
        <v>617</v>
      </c>
      <c r="W61" s="129" t="s">
        <v>215</v>
      </c>
      <c r="X61" s="1464">
        <f>IF(V61="ND","ND",IF(S61="","",IF(OR(MID(C61,1,4)="milk",AND(MID(B61,1,2)="50",NOT(input_values!M61="Y")),AND(MID(B61,1,2)="40",NOT(input_values!M61="Y")),AND(MID(B61,1,2)="30",NOT(input_values!M61="Y"))),3,IF(OR(V61="&lt;25",B61&gt;1000000),1,IF((T61&gt;=S61),"2b","2a")))))</f>
        <v>1</v>
      </c>
      <c r="Y61" s="22">
        <f>IF(X61="ND","ND",IF(S61="","",IF(input_values!K61&gt;0,input_values!K61,IF(OR(X61=1,X61=3),1,IF((V61&gt;250),5,7)))))</f>
        <v>1</v>
      </c>
      <c r="Z61" s="31" t="str">
        <f t="shared" si="4"/>
        <v/>
      </c>
      <c r="AA61" s="331">
        <f t="shared" si="0"/>
        <v>0</v>
      </c>
      <c r="AB61" s="27">
        <f t="shared" si="5"/>
        <v>1</v>
      </c>
      <c r="AC61" s="31" t="str">
        <f t="shared" si="6"/>
        <v/>
      </c>
      <c r="AD61" s="332">
        <f t="shared" si="1"/>
        <v>0</v>
      </c>
      <c r="AE61" s="25" t="str">
        <f t="shared" si="7"/>
        <v/>
      </c>
      <c r="AF61" s="25" t="str">
        <f t="shared" si="8"/>
        <v/>
      </c>
      <c r="AG61" s="561" t="str">
        <f t="shared" si="2"/>
        <v/>
      </c>
      <c r="AH61" s="561" t="str">
        <f t="shared" si="9"/>
        <v/>
      </c>
      <c r="AI61" s="334"/>
    </row>
    <row r="62" spans="1:35" outlineLevel="3" x14ac:dyDescent="0.2">
      <c r="A62" s="39">
        <v>4</v>
      </c>
      <c r="B62" s="23">
        <v>154060</v>
      </c>
      <c r="C62" s="23" t="s">
        <v>687</v>
      </c>
      <c r="D62" s="300">
        <f>Table22[[#This Row],[Level used for acute calculation]]</f>
        <v>4</v>
      </c>
      <c r="E62" s="302">
        <f>Table22[[#This Row],[MRL individual commodity]]</f>
        <v>0</v>
      </c>
      <c r="F62" s="451">
        <f>Table22[[#This Row],[Acute RA input value]]</f>
        <v>0</v>
      </c>
      <c r="G62" s="301" t="str">
        <f>Table22[[#This Row],[Acute RA label]]</f>
        <v/>
      </c>
      <c r="H62" s="303">
        <f>Table22[[#This Row],[Acute RA IESTI new input value]]</f>
        <v>0</v>
      </c>
      <c r="I62" s="301" t="str">
        <f>Table22[[#This Row],[Acute RA IESTI new label]]</f>
        <v/>
      </c>
      <c r="J62" s="504"/>
      <c r="K62" s="544">
        <f>Table22[[#This Row],[GAP under assessment]]</f>
        <v>0</v>
      </c>
      <c r="L62" s="304" t="str">
        <f>IF(input_values!$M62=0,"",input_values!$M62)</f>
        <v/>
      </c>
      <c r="M62" s="301" t="str">
        <f>IF(input_values!H62=0,"",input_values!H62)</f>
        <v/>
      </c>
      <c r="N62" s="304">
        <f>input_values!$K62</f>
        <v>0</v>
      </c>
      <c r="O62" s="328" t="s">
        <v>618</v>
      </c>
      <c r="P62" s="22"/>
      <c r="Q62" s="22"/>
      <c r="R62" s="330"/>
      <c r="S62" s="31" t="str">
        <f t="shared" si="3"/>
        <v>ND</v>
      </c>
      <c r="T62" s="338" t="s">
        <v>617</v>
      </c>
      <c r="U62" s="129" t="s">
        <v>215</v>
      </c>
      <c r="V62" s="338" t="s">
        <v>617</v>
      </c>
      <c r="W62" s="129" t="s">
        <v>215</v>
      </c>
      <c r="X62" s="1464">
        <f>IF(V62="ND","ND",IF(S62="","",IF(OR(MID(C62,1,4)="milk",AND(MID(B62,1,2)="50",NOT(input_values!M62="Y")),AND(MID(B62,1,2)="40",NOT(input_values!M62="Y")),AND(MID(B62,1,2)="30",NOT(input_values!M62="Y"))),3,IF(OR(V62="&lt;25",B62&gt;1000000),1,IF((T62&gt;=S62),"2b","2a")))))</f>
        <v>1</v>
      </c>
      <c r="Y62" s="22">
        <f>IF(X62="ND","ND",IF(S62="","",IF(input_values!K62&gt;0,input_values!K62,IF(OR(X62=1,X62=3),1,IF((V62&gt;250),5,7)))))</f>
        <v>1</v>
      </c>
      <c r="Z62" s="31" t="str">
        <f t="shared" si="4"/>
        <v/>
      </c>
      <c r="AA62" s="331">
        <f t="shared" si="0"/>
        <v>0</v>
      </c>
      <c r="AB62" s="27">
        <f t="shared" si="5"/>
        <v>1</v>
      </c>
      <c r="AC62" s="31" t="str">
        <f t="shared" si="6"/>
        <v/>
      </c>
      <c r="AD62" s="332">
        <f t="shared" si="1"/>
        <v>0</v>
      </c>
      <c r="AE62" s="25" t="str">
        <f t="shared" si="7"/>
        <v/>
      </c>
      <c r="AF62" s="25" t="str">
        <f t="shared" si="8"/>
        <v/>
      </c>
      <c r="AG62" s="561" t="str">
        <f t="shared" si="2"/>
        <v/>
      </c>
      <c r="AH62" s="561" t="str">
        <f t="shared" si="9"/>
        <v/>
      </c>
      <c r="AI62" s="313"/>
    </row>
    <row r="63" spans="1:35" outlineLevel="3" x14ac:dyDescent="0.2">
      <c r="A63" s="39">
        <v>4</v>
      </c>
      <c r="B63" s="23">
        <v>154070</v>
      </c>
      <c r="C63" s="23" t="s">
        <v>688</v>
      </c>
      <c r="D63" s="300">
        <f>Table22[[#This Row],[Level used for acute calculation]]</f>
        <v>4</v>
      </c>
      <c r="E63" s="302">
        <f>Table22[[#This Row],[MRL individual commodity]]</f>
        <v>0</v>
      </c>
      <c r="F63" s="451">
        <f>Table22[[#This Row],[Acute RA input value]]</f>
        <v>0</v>
      </c>
      <c r="G63" s="301" t="str">
        <f>Table22[[#This Row],[Acute RA label]]</f>
        <v/>
      </c>
      <c r="H63" s="303">
        <f>Table22[[#This Row],[Acute RA IESTI new input value]]</f>
        <v>0</v>
      </c>
      <c r="I63" s="301" t="str">
        <f>Table22[[#This Row],[Acute RA IESTI new label]]</f>
        <v/>
      </c>
      <c r="J63" s="504"/>
      <c r="K63" s="544">
        <f>Table22[[#This Row],[GAP under assessment]]</f>
        <v>0</v>
      </c>
      <c r="L63" s="304" t="str">
        <f>IF(input_values!$M63=0,"",input_values!$M63)</f>
        <v/>
      </c>
      <c r="M63" s="301" t="str">
        <f>IF(input_values!H63=0,"",input_values!H63)</f>
        <v/>
      </c>
      <c r="N63" s="304">
        <f>input_values!$K63</f>
        <v>0</v>
      </c>
      <c r="O63" s="326">
        <v>0.9</v>
      </c>
      <c r="P63" s="22">
        <v>95</v>
      </c>
      <c r="Q63" s="22" t="s">
        <v>256</v>
      </c>
      <c r="R63" s="326">
        <v>16.149999999999999</v>
      </c>
      <c r="S63" s="328">
        <f t="shared" si="3"/>
        <v>14.534999999999998</v>
      </c>
      <c r="T63" s="338" t="s">
        <v>617</v>
      </c>
      <c r="U63" s="129" t="s">
        <v>215</v>
      </c>
      <c r="V63" s="338" t="s">
        <v>617</v>
      </c>
      <c r="W63" s="129" t="s">
        <v>215</v>
      </c>
      <c r="X63" s="1464">
        <f>IF(V63="ND","ND",IF(S63="","",IF(OR(MID(C63,1,4)="milk",AND(MID(B63,1,2)="50",NOT(input_values!M63="Y")),AND(MID(B63,1,2)="40",NOT(input_values!M63="Y")),AND(MID(B63,1,2)="30",NOT(input_values!M63="Y"))),3,IF(OR(V63="&lt;25",B63&gt;1000000),1,IF((T63&gt;=S63),"2b","2a")))))</f>
        <v>1</v>
      </c>
      <c r="Y63" s="22">
        <f>IF(X63="ND","ND",IF(S63="","",IF(input_values!K63&gt;0,input_values!K63,IF(OR(X63=1,X63=3),1,IF((V63&gt;250),5,7)))))</f>
        <v>1</v>
      </c>
      <c r="Z63" s="330" t="str">
        <f t="shared" si="4"/>
        <v/>
      </c>
      <c r="AA63" s="331">
        <f t="shared" si="0"/>
        <v>0</v>
      </c>
      <c r="AB63" s="27">
        <f t="shared" si="5"/>
        <v>1</v>
      </c>
      <c r="AC63" s="330" t="str">
        <f t="shared" si="6"/>
        <v/>
      </c>
      <c r="AD63" s="332">
        <f t="shared" si="1"/>
        <v>0</v>
      </c>
      <c r="AE63" s="333" t="str">
        <f t="shared" si="7"/>
        <v/>
      </c>
      <c r="AF63" s="333" t="str">
        <f t="shared" si="8"/>
        <v/>
      </c>
      <c r="AG63" s="561" t="str">
        <f t="shared" si="2"/>
        <v/>
      </c>
      <c r="AH63" s="561" t="str">
        <f t="shared" si="9"/>
        <v/>
      </c>
      <c r="AI63" s="334"/>
    </row>
    <row r="64" spans="1:35" outlineLevel="3" x14ac:dyDescent="0.2">
      <c r="A64" s="39">
        <v>4</v>
      </c>
      <c r="B64" s="23">
        <v>154080</v>
      </c>
      <c r="C64" s="23" t="s">
        <v>66</v>
      </c>
      <c r="D64" s="300">
        <f>Table22[[#This Row],[Level used for acute calculation]]</f>
        <v>4</v>
      </c>
      <c r="E64" s="302">
        <f>Table22[[#This Row],[MRL individual commodity]]</f>
        <v>0</v>
      </c>
      <c r="F64" s="451">
        <f>Table22[[#This Row],[Acute RA input value]]</f>
        <v>0</v>
      </c>
      <c r="G64" s="301" t="str">
        <f>Table22[[#This Row],[Acute RA label]]</f>
        <v/>
      </c>
      <c r="H64" s="303">
        <f>Table22[[#This Row],[Acute RA IESTI new input value]]</f>
        <v>0</v>
      </c>
      <c r="I64" s="301" t="str">
        <f>Table22[[#This Row],[Acute RA IESTI new label]]</f>
        <v/>
      </c>
      <c r="J64" s="504"/>
      <c r="K64" s="544">
        <f>Table22[[#This Row],[GAP under assessment]]</f>
        <v>0</v>
      </c>
      <c r="L64" s="304" t="str">
        <f>IF(input_values!$M64=0,"",input_values!$M64)</f>
        <v/>
      </c>
      <c r="M64" s="301" t="str">
        <f>IF(input_values!H64=0,"",input_values!H64)</f>
        <v/>
      </c>
      <c r="N64" s="304">
        <f>input_values!$K64</f>
        <v>0</v>
      </c>
      <c r="O64" s="328" t="s">
        <v>618</v>
      </c>
      <c r="P64" s="22"/>
      <c r="Q64" s="22"/>
      <c r="R64" s="326"/>
      <c r="S64" s="328" t="str">
        <f t="shared" si="3"/>
        <v>ND</v>
      </c>
      <c r="T64" s="338" t="s">
        <v>618</v>
      </c>
      <c r="U64" s="129"/>
      <c r="V64" s="338" t="s">
        <v>618</v>
      </c>
      <c r="W64" s="129"/>
      <c r="X64" s="1464" t="str">
        <f>IF(V64="ND","ND",IF(S64="","",IF(OR(MID(C64,1,4)="milk",AND(MID(B64,1,2)="50",NOT(input_values!M64="Y")),AND(MID(B64,1,2)="40",NOT(input_values!M64="Y")),AND(MID(B64,1,2)="30",NOT(input_values!M64="Y"))),3,IF(OR(V64="&lt;25",B64&gt;1000000),1,IF((T64&gt;=S64),"2b","2a")))))</f>
        <v>ND</v>
      </c>
      <c r="Y64" s="22" t="str">
        <f>IF(X64="ND","ND",IF(S64="","",IF(input_values!K64&gt;0,input_values!K64,IF(OR(X64=1,X64=3),1,IF((V64&gt;250),5,7)))))</f>
        <v>ND</v>
      </c>
      <c r="Z64" s="330" t="str">
        <f t="shared" si="4"/>
        <v/>
      </c>
      <c r="AA64" s="331">
        <f t="shared" si="0"/>
        <v>0</v>
      </c>
      <c r="AB64" s="27" t="str">
        <f t="shared" si="5"/>
        <v>ND</v>
      </c>
      <c r="AC64" s="330" t="str">
        <f t="shared" si="6"/>
        <v/>
      </c>
      <c r="AD64" s="332">
        <f t="shared" si="1"/>
        <v>0</v>
      </c>
      <c r="AE64" s="333" t="str">
        <f t="shared" si="7"/>
        <v/>
      </c>
      <c r="AF64" s="333" t="str">
        <f t="shared" si="8"/>
        <v/>
      </c>
      <c r="AG64" s="561" t="str">
        <f t="shared" si="2"/>
        <v/>
      </c>
      <c r="AH64" s="561" t="str">
        <f t="shared" si="9"/>
        <v/>
      </c>
      <c r="AI64" s="334"/>
    </row>
    <row r="65" spans="1:35" ht="24" outlineLevel="3" x14ac:dyDescent="0.2">
      <c r="A65" s="39">
        <v>4</v>
      </c>
      <c r="B65" s="23">
        <v>154990</v>
      </c>
      <c r="C65" s="23" t="s">
        <v>52</v>
      </c>
      <c r="D65" s="300">
        <f>Table22[[#This Row],[Level used for acute calculation]]</f>
        <v>0</v>
      </c>
      <c r="E65" s="302">
        <f>Table22[[#This Row],[MRL individual commodity]]</f>
        <v>0</v>
      </c>
      <c r="F65" s="451">
        <f>Table22[[#This Row],[Acute RA input value]]</f>
        <v>0</v>
      </c>
      <c r="G65" s="301">
        <f>Table22[[#This Row],[Acute RA label]]</f>
        <v>0</v>
      </c>
      <c r="H65" s="303">
        <f>Table22[[#This Row],[Acute RA IESTI new input value]]</f>
        <v>0</v>
      </c>
      <c r="I65" s="301">
        <f>Table22[[#This Row],[Acute RA IESTI new label]]</f>
        <v>0</v>
      </c>
      <c r="J65" s="504"/>
      <c r="K65" s="544">
        <f>Table22[[#This Row],[GAP under assessment]]</f>
        <v>0</v>
      </c>
      <c r="L65" s="304" t="str">
        <f>IF(input_values!$M65=0,"",input_values!$M65)</f>
        <v/>
      </c>
      <c r="M65" s="301" t="str">
        <f>IF(input_values!H65=0,"",input_values!H65)</f>
        <v/>
      </c>
      <c r="N65" s="304">
        <f>input_values!$K65</f>
        <v>0</v>
      </c>
      <c r="O65" s="309"/>
      <c r="P65" s="38"/>
      <c r="Q65" s="38"/>
      <c r="R65" s="335"/>
      <c r="S65" s="336" t="str">
        <f t="shared" si="3"/>
        <v/>
      </c>
      <c r="T65" s="305"/>
      <c r="U65" s="570"/>
      <c r="V65" s="305"/>
      <c r="W65" s="570"/>
      <c r="X65" s="611" t="str">
        <f>IF(V65="ND","ND",IF(S65="","",IF(OR(MID(C65,1,4)="milk",AND(MID(B65,1,2)="50",NOT(input_values!M65="Y")),AND(MID(B65,1,2)="40",NOT(input_values!M65="Y")),AND(MID(B65,1,2)="30",NOT(input_values!M65="Y"))),3,IF(OR(V65="&lt;25",B65&gt;1000000),1,IF((T65&gt;=S65),"2b","2a")))))</f>
        <v/>
      </c>
      <c r="Y65" s="38" t="str">
        <f>IF(X65="ND","ND",IF(S65="","",IF(input_values!K65&gt;0,input_values!K65,IF(OR(X65=1,X65=3),1,IF((V65&gt;250),5,7)))))</f>
        <v/>
      </c>
      <c r="Z65" s="335" t="str">
        <f t="shared" si="4"/>
        <v/>
      </c>
      <c r="AA65" s="311">
        <f t="shared" si="0"/>
        <v>0</v>
      </c>
      <c r="AB65" s="38" t="str">
        <f t="shared" si="5"/>
        <v/>
      </c>
      <c r="AC65" s="335" t="str">
        <f t="shared" si="6"/>
        <v/>
      </c>
      <c r="AD65" s="311">
        <f t="shared" si="1"/>
        <v>0</v>
      </c>
      <c r="AE65" s="344" t="str">
        <f t="shared" si="7"/>
        <v/>
      </c>
      <c r="AF65" s="344" t="str">
        <f t="shared" si="8"/>
        <v/>
      </c>
      <c r="AG65" s="561" t="str">
        <f t="shared" si="2"/>
        <v/>
      </c>
      <c r="AH65" s="561" t="str">
        <f t="shared" si="9"/>
        <v/>
      </c>
      <c r="AI65" s="313"/>
    </row>
    <row r="66" spans="1:35" outlineLevel="1" x14ac:dyDescent="0.2">
      <c r="A66" s="130">
        <v>2</v>
      </c>
      <c r="B66" s="131">
        <v>160000</v>
      </c>
      <c r="C66" s="131" t="s">
        <v>221</v>
      </c>
      <c r="D66" s="300">
        <f>Table22[[#This Row],[Level used for acute calculation]]</f>
        <v>4</v>
      </c>
      <c r="E66" s="302">
        <f>Table22[[#This Row],[MRL individual commodity]]</f>
        <v>0</v>
      </c>
      <c r="F66" s="451">
        <f>Table22[[#This Row],[Acute RA input value]]</f>
        <v>0</v>
      </c>
      <c r="G66" s="301">
        <f>Table22[[#This Row],[Acute RA label]]</f>
        <v>0</v>
      </c>
      <c r="H66" s="303">
        <f>Table22[[#This Row],[Acute RA IESTI new input value]]</f>
        <v>0</v>
      </c>
      <c r="I66" s="301">
        <f>Table22[[#This Row],[Acute RA IESTI new label]]</f>
        <v>0</v>
      </c>
      <c r="J66" s="504"/>
      <c r="K66" s="544">
        <f>Table22[[#This Row],[GAP under assessment]]</f>
        <v>0</v>
      </c>
      <c r="L66" s="304" t="str">
        <f>IF(input_values!$M66=0,"",input_values!$M66)</f>
        <v/>
      </c>
      <c r="M66" s="301" t="str">
        <f>IF(input_values!H66=0,"",input_values!H66)</f>
        <v/>
      </c>
      <c r="N66" s="304">
        <f>input_values!$K66</f>
        <v>0</v>
      </c>
      <c r="O66" s="309"/>
      <c r="P66" s="38"/>
      <c r="Q66" s="38"/>
      <c r="R66" s="335"/>
      <c r="S66" s="336" t="str">
        <f t="shared" si="3"/>
        <v/>
      </c>
      <c r="T66" s="315"/>
      <c r="U66" s="321"/>
      <c r="V66" s="315"/>
      <c r="W66" s="321"/>
      <c r="X66" s="611" t="str">
        <f>IF(V66="ND","ND",IF(S66="","",IF(OR(MID(C66,1,4)="milk",AND(MID(B66,1,2)="50",NOT(input_values!M66="Y")),AND(MID(B66,1,2)="40",NOT(input_values!M66="Y")),AND(MID(B66,1,2)="30",NOT(input_values!M66="Y"))),3,IF(OR(V66="&lt;25",B66&gt;1000000),1,IF((T66&gt;=S66),"2b","2a")))))</f>
        <v/>
      </c>
      <c r="Y66" s="38" t="str">
        <f>IF(X66="ND","ND",IF(S66="","",IF(input_values!K66&gt;0,input_values!K66,IF(OR(X66=1,X66=3),1,IF((V66&gt;250),5,7)))))</f>
        <v/>
      </c>
      <c r="Z66" s="335" t="str">
        <f t="shared" si="4"/>
        <v/>
      </c>
      <c r="AA66" s="311">
        <f t="shared" si="0"/>
        <v>0</v>
      </c>
      <c r="AB66" s="38" t="str">
        <f t="shared" si="5"/>
        <v/>
      </c>
      <c r="AC66" s="335" t="str">
        <f t="shared" si="6"/>
        <v/>
      </c>
      <c r="AD66" s="311">
        <f t="shared" si="1"/>
        <v>0</v>
      </c>
      <c r="AE66" s="344" t="str">
        <f t="shared" si="7"/>
        <v/>
      </c>
      <c r="AF66" s="344" t="str">
        <f t="shared" si="8"/>
        <v/>
      </c>
      <c r="AG66" s="561" t="str">
        <f t="shared" si="2"/>
        <v/>
      </c>
      <c r="AH66" s="561" t="str">
        <f t="shared" si="9"/>
        <v/>
      </c>
      <c r="AI66" s="313"/>
    </row>
    <row r="67" spans="1:35" ht="24" outlineLevel="2" x14ac:dyDescent="0.2">
      <c r="A67" s="132">
        <v>3</v>
      </c>
      <c r="B67" s="3">
        <v>161000</v>
      </c>
      <c r="C67" s="3" t="s">
        <v>73</v>
      </c>
      <c r="D67" s="300">
        <f>Table22[[#This Row],[Level used for acute calculation]]</f>
        <v>4</v>
      </c>
      <c r="E67" s="302">
        <f>Table22[[#This Row],[MRL individual commodity]]</f>
        <v>0</v>
      </c>
      <c r="F67" s="451">
        <f>Table22[[#This Row],[Acute RA input value]]</f>
        <v>0</v>
      </c>
      <c r="G67" s="301">
        <f>Table22[[#This Row],[Acute RA label]]</f>
        <v>0</v>
      </c>
      <c r="H67" s="303">
        <f>Table22[[#This Row],[Acute RA IESTI new input value]]</f>
        <v>0</v>
      </c>
      <c r="I67" s="301">
        <f>Table22[[#This Row],[Acute RA IESTI new label]]</f>
        <v>0</v>
      </c>
      <c r="J67" s="504"/>
      <c r="K67" s="544">
        <f>Table22[[#This Row],[GAP under assessment]]</f>
        <v>0</v>
      </c>
      <c r="L67" s="304" t="str">
        <f>IF(input_values!$M67=0,"",input_values!$M67)</f>
        <v/>
      </c>
      <c r="M67" s="301" t="str">
        <f>IF(input_values!H67=0,"",input_values!H67)</f>
        <v/>
      </c>
      <c r="N67" s="304">
        <f>input_values!$K67</f>
        <v>0</v>
      </c>
      <c r="O67" s="309"/>
      <c r="P67" s="38"/>
      <c r="Q67" s="38"/>
      <c r="R67" s="335"/>
      <c r="S67" s="336" t="str">
        <f t="shared" si="3"/>
        <v/>
      </c>
      <c r="T67" s="342"/>
      <c r="U67" s="571"/>
      <c r="V67" s="342"/>
      <c r="W67" s="571"/>
      <c r="X67" s="611" t="str">
        <f>IF(V67="ND","ND",IF(S67="","",IF(OR(MID(C67,1,4)="milk",AND(MID(B67,1,2)="50",NOT(input_values!M67="Y")),AND(MID(B67,1,2)="40",NOT(input_values!M67="Y")),AND(MID(B67,1,2)="30",NOT(input_values!M67="Y"))),3,IF(OR(V67="&lt;25",B67&gt;1000000),1,IF((T67&gt;=S67),"2b","2a")))))</f>
        <v/>
      </c>
      <c r="Y67" s="38" t="str">
        <f>IF(X67="ND","ND",IF(S67="","",IF(input_values!K67&gt;0,input_values!K67,IF(OR(X67=1,X67=3),1,IF((V67&gt;250),5,7)))))</f>
        <v/>
      </c>
      <c r="Z67" s="335" t="str">
        <f t="shared" si="4"/>
        <v/>
      </c>
      <c r="AA67" s="311">
        <f t="shared" si="0"/>
        <v>0</v>
      </c>
      <c r="AB67" s="38" t="str">
        <f t="shared" si="5"/>
        <v/>
      </c>
      <c r="AC67" s="335" t="str">
        <f t="shared" si="6"/>
        <v/>
      </c>
      <c r="AD67" s="311">
        <f t="shared" si="1"/>
        <v>0</v>
      </c>
      <c r="AE67" s="344" t="str">
        <f t="shared" si="7"/>
        <v/>
      </c>
      <c r="AF67" s="344" t="str">
        <f t="shared" si="8"/>
        <v/>
      </c>
      <c r="AG67" s="561" t="str">
        <f t="shared" si="2"/>
        <v/>
      </c>
      <c r="AH67" s="561" t="str">
        <f t="shared" si="9"/>
        <v/>
      </c>
      <c r="AI67" s="313"/>
    </row>
    <row r="68" spans="1:35" outlineLevel="3" x14ac:dyDescent="0.2">
      <c r="A68" s="39">
        <v>4</v>
      </c>
      <c r="B68" s="23">
        <v>161010</v>
      </c>
      <c r="C68" s="23" t="s">
        <v>67</v>
      </c>
      <c r="D68" s="300">
        <f>Table22[[#This Row],[Level used for acute calculation]]</f>
        <v>4</v>
      </c>
      <c r="E68" s="302">
        <f>Table22[[#This Row],[MRL individual commodity]]</f>
        <v>0</v>
      </c>
      <c r="F68" s="451">
        <f>Table22[[#This Row],[Acute RA input value]]</f>
        <v>0</v>
      </c>
      <c r="G68" s="301" t="str">
        <f>Table22[[#This Row],[Acute RA label]]</f>
        <v/>
      </c>
      <c r="H68" s="303">
        <f>Table22[[#This Row],[Acute RA IESTI new input value]]</f>
        <v>0</v>
      </c>
      <c r="I68" s="301" t="str">
        <f>Table22[[#This Row],[Acute RA IESTI new label]]</f>
        <v/>
      </c>
      <c r="J68" s="504"/>
      <c r="K68" s="544">
        <f>Table22[[#This Row],[GAP under assessment]]</f>
        <v>0</v>
      </c>
      <c r="L68" s="304" t="str">
        <f>IF(input_values!$M68=0,"",input_values!$M68)</f>
        <v/>
      </c>
      <c r="M68" s="301" t="str">
        <f>IF(input_values!H68=0,"",input_values!H68)</f>
        <v/>
      </c>
      <c r="N68" s="304">
        <f>input_values!$K68</f>
        <v>0</v>
      </c>
      <c r="O68" s="326">
        <v>3.1317073170731708</v>
      </c>
      <c r="P68" s="22">
        <v>97.5</v>
      </c>
      <c r="Q68" s="22" t="s">
        <v>92</v>
      </c>
      <c r="R68" s="326">
        <v>20.5</v>
      </c>
      <c r="S68" s="328">
        <f t="shared" si="3"/>
        <v>64.2</v>
      </c>
      <c r="T68" s="338" t="s">
        <v>617</v>
      </c>
      <c r="U68" s="129" t="s">
        <v>215</v>
      </c>
      <c r="V68" s="338" t="s">
        <v>617</v>
      </c>
      <c r="W68" s="129" t="s">
        <v>215</v>
      </c>
      <c r="X68" s="1464">
        <f>IF(V68="ND","ND",IF(S68="","",IF(OR(MID(C68,1,4)="milk",AND(MID(B68,1,2)="50",NOT(input_values!M68="Y")),AND(MID(B68,1,2)="40",NOT(input_values!M68="Y")),AND(MID(B68,1,2)="30",NOT(input_values!M68="Y"))),3,IF(OR(V68="&lt;25",B68&gt;1000000),1,IF((T68&gt;=S68),"2b","2a")))))</f>
        <v>1</v>
      </c>
      <c r="Y68" s="22">
        <f>IF(X68="ND","ND",IF(S68="","",IF(input_values!K68&gt;0,input_values!K68,IF(OR(X68=1,X68=3),1,IF((V68&gt;250),5,7)))))</f>
        <v>1</v>
      </c>
      <c r="Z68" s="330" t="str">
        <f t="shared" si="4"/>
        <v/>
      </c>
      <c r="AA68" s="331">
        <f t="shared" si="0"/>
        <v>0</v>
      </c>
      <c r="AB68" s="27">
        <f t="shared" si="5"/>
        <v>1</v>
      </c>
      <c r="AC68" s="330" t="str">
        <f t="shared" si="6"/>
        <v/>
      </c>
      <c r="AD68" s="332">
        <f t="shared" si="1"/>
        <v>0</v>
      </c>
      <c r="AE68" s="333" t="str">
        <f t="shared" si="7"/>
        <v/>
      </c>
      <c r="AF68" s="333" t="str">
        <f t="shared" si="8"/>
        <v/>
      </c>
      <c r="AG68" s="561" t="str">
        <f t="shared" si="2"/>
        <v/>
      </c>
      <c r="AH68" s="561" t="str">
        <f t="shared" si="9"/>
        <v/>
      </c>
      <c r="AI68" s="313"/>
    </row>
    <row r="69" spans="1:35" outlineLevel="3" x14ac:dyDescent="0.2">
      <c r="A69" s="39">
        <v>4</v>
      </c>
      <c r="B69" s="23">
        <v>161020</v>
      </c>
      <c r="C69" s="23" t="s">
        <v>68</v>
      </c>
      <c r="D69" s="300">
        <f>Table22[[#This Row],[Level used for acute calculation]]</f>
        <v>4</v>
      </c>
      <c r="E69" s="302">
        <f>Table22[[#This Row],[MRL individual commodity]]</f>
        <v>0</v>
      </c>
      <c r="F69" s="451">
        <f>Table22[[#This Row],[Acute RA input value]]</f>
        <v>0</v>
      </c>
      <c r="G69" s="301" t="str">
        <f>Table22[[#This Row],[Acute RA label]]</f>
        <v/>
      </c>
      <c r="H69" s="303">
        <f>Table22[[#This Row],[Acute RA IESTI new input value]]</f>
        <v>0</v>
      </c>
      <c r="I69" s="301" t="str">
        <f>Table22[[#This Row],[Acute RA IESTI new label]]</f>
        <v/>
      </c>
      <c r="J69" s="504"/>
      <c r="K69" s="544">
        <f>Table22[[#This Row],[GAP under assessment]]</f>
        <v>0</v>
      </c>
      <c r="L69" s="304" t="str">
        <f>IF(input_values!$M69=0,"",input_values!$M69)</f>
        <v/>
      </c>
      <c r="M69" s="301" t="str">
        <f>IF(input_values!H69=0,"",input_values!H69)</f>
        <v/>
      </c>
      <c r="N69" s="304">
        <f>input_values!$K69</f>
        <v>0</v>
      </c>
      <c r="O69" s="326">
        <v>3.25</v>
      </c>
      <c r="P69" s="22">
        <v>97.5</v>
      </c>
      <c r="Q69" s="22" t="s">
        <v>675</v>
      </c>
      <c r="R69" s="326">
        <v>41.6</v>
      </c>
      <c r="S69" s="328">
        <f t="shared" si="3"/>
        <v>135.20000000000002</v>
      </c>
      <c r="T69" s="328">
        <v>58.75</v>
      </c>
      <c r="U69" s="329" t="s">
        <v>90</v>
      </c>
      <c r="V69" s="328">
        <v>58.75</v>
      </c>
      <c r="W69" s="329" t="s">
        <v>90</v>
      </c>
      <c r="X69" s="1464" t="str">
        <f>IF(V69="ND","ND",IF(S69="","",IF(OR(MID(C69,1,4)="milk",AND(MID(B69,1,2)="50",NOT(input_values!M69="Y")),AND(MID(B69,1,2)="40",NOT(input_values!M69="Y")),AND(MID(B69,1,2)="30",NOT(input_values!M69="Y"))),3,IF(OR(V69="&lt;25",B69&gt;1000000),1,IF((T69&gt;=S69),"2b","2a")))))</f>
        <v>2a</v>
      </c>
      <c r="Y69" s="22">
        <f>IF(X69="ND","ND",IF(S69="","",IF(input_values!K69&gt;0,input_values!K69,IF(OR(X69=1,X69=3),1,IF((V69&gt;250),5,7)))))</f>
        <v>7</v>
      </c>
      <c r="Z69" s="330" t="str">
        <f>IF(OR(ISTEXT(F69),F69=0),"",IF(OR(S69="ND",T69="ND"),"ND",IF(($X69="2a"),1/$R69*(($F69*$T69/1000*$Y69)+($F69*($S69-$T69)/1000)),IF(($X69="2b"),1/$R69*($F69*$S69/1000*$Y69),1/$R69*($F69*$S69/1000)))))</f>
        <v/>
      </c>
      <c r="AA69" s="331">
        <f t="shared" si="0"/>
        <v>0</v>
      </c>
      <c r="AB69" s="27">
        <f t="shared" si="5"/>
        <v>3</v>
      </c>
      <c r="AC69" s="330" t="str">
        <f t="shared" si="6"/>
        <v/>
      </c>
      <c r="AD69" s="332">
        <f t="shared" si="1"/>
        <v>0</v>
      </c>
      <c r="AE69" s="333" t="str">
        <f t="shared" si="7"/>
        <v/>
      </c>
      <c r="AF69" s="333" t="str">
        <f t="shared" si="8"/>
        <v/>
      </c>
      <c r="AG69" s="561" t="str">
        <f t="shared" si="2"/>
        <v/>
      </c>
      <c r="AH69" s="561" t="str">
        <f t="shared" si="9"/>
        <v/>
      </c>
      <c r="AI69" s="334"/>
    </row>
    <row r="70" spans="1:35" outlineLevel="3" x14ac:dyDescent="0.2">
      <c r="A70" s="39">
        <v>4</v>
      </c>
      <c r="B70" s="23">
        <v>161030</v>
      </c>
      <c r="C70" s="23" t="s">
        <v>69</v>
      </c>
      <c r="D70" s="300">
        <f>Table22[[#This Row],[Level used for acute calculation]]</f>
        <v>4</v>
      </c>
      <c r="E70" s="302">
        <f>Table22[[#This Row],[MRL individual commodity]]</f>
        <v>0</v>
      </c>
      <c r="F70" s="451">
        <f>Table22[[#This Row],[Acute RA input value]]</f>
        <v>0</v>
      </c>
      <c r="G70" s="301" t="str">
        <f>Table22[[#This Row],[Acute RA label]]</f>
        <v/>
      </c>
      <c r="H70" s="303">
        <f>Table22[[#This Row],[Acute RA IESTI new input value]]</f>
        <v>0</v>
      </c>
      <c r="I70" s="301" t="str">
        <f>Table22[[#This Row],[Acute RA IESTI new label]]</f>
        <v/>
      </c>
      <c r="J70" s="504"/>
      <c r="K70" s="544">
        <f>Table22[[#This Row],[GAP under assessment]]</f>
        <v>0</v>
      </c>
      <c r="L70" s="304" t="str">
        <f>IF(input_values!$M70=0,"",input_values!$M70)</f>
        <v/>
      </c>
      <c r="M70" s="301" t="str">
        <f>IF(input_values!H70=0,"",input_values!H70)</f>
        <v/>
      </c>
      <c r="N70" s="304">
        <f>input_values!$K70</f>
        <v>0</v>
      </c>
      <c r="O70" s="326">
        <v>3.3707865168539324</v>
      </c>
      <c r="P70" s="22">
        <v>100</v>
      </c>
      <c r="Q70" s="22" t="s">
        <v>93</v>
      </c>
      <c r="R70" s="326">
        <v>17.8</v>
      </c>
      <c r="S70" s="328">
        <f t="shared" si="3"/>
        <v>60</v>
      </c>
      <c r="T70" s="338" t="s">
        <v>617</v>
      </c>
      <c r="U70" s="129" t="s">
        <v>215</v>
      </c>
      <c r="V70" s="338" t="s">
        <v>617</v>
      </c>
      <c r="W70" s="129" t="s">
        <v>215</v>
      </c>
      <c r="X70" s="1464">
        <f>IF(V70="ND","ND",IF(S70="","",IF(OR(MID(C70,1,4)="milk",AND(MID(B70,1,2)="50",NOT(input_values!M70="Y")),AND(MID(B70,1,2)="40",NOT(input_values!M70="Y")),AND(MID(B70,1,2)="30",NOT(input_values!M70="Y"))),3,IF(OR(V70="&lt;25",B70&gt;1000000),1,IF((T70&gt;=S70),"2b","2a")))))</f>
        <v>1</v>
      </c>
      <c r="Y70" s="22">
        <f>IF(X70="ND","ND",IF(S70="","",IF(input_values!K70&gt;0,input_values!K70,IF(OR(X70=1,X70=3),1,IF((V70&gt;250),5,7)))))</f>
        <v>1</v>
      </c>
      <c r="Z70" s="330" t="str">
        <f t="shared" si="4"/>
        <v/>
      </c>
      <c r="AA70" s="331">
        <f t="shared" si="0"/>
        <v>0</v>
      </c>
      <c r="AB70" s="27">
        <f t="shared" si="5"/>
        <v>1</v>
      </c>
      <c r="AC70" s="330" t="str">
        <f t="shared" si="6"/>
        <v/>
      </c>
      <c r="AD70" s="332">
        <f t="shared" si="1"/>
        <v>0</v>
      </c>
      <c r="AE70" s="333" t="str">
        <f t="shared" si="7"/>
        <v/>
      </c>
      <c r="AF70" s="333" t="str">
        <f t="shared" si="8"/>
        <v/>
      </c>
      <c r="AG70" s="561" t="str">
        <f t="shared" si="2"/>
        <v/>
      </c>
      <c r="AH70" s="561" t="str">
        <f t="shared" si="9"/>
        <v/>
      </c>
      <c r="AI70" s="334"/>
    </row>
    <row r="71" spans="1:35" outlineLevel="3" x14ac:dyDescent="0.2">
      <c r="A71" s="39">
        <v>4</v>
      </c>
      <c r="B71" s="23">
        <v>161040</v>
      </c>
      <c r="C71" s="23" t="s">
        <v>70</v>
      </c>
      <c r="D71" s="300">
        <f>Table22[[#This Row],[Level used for acute calculation]]</f>
        <v>4</v>
      </c>
      <c r="E71" s="302">
        <f>Table22[[#This Row],[MRL individual commodity]]</f>
        <v>0</v>
      </c>
      <c r="F71" s="451">
        <f>Table22[[#This Row],[Acute RA input value]]</f>
        <v>0</v>
      </c>
      <c r="G71" s="301" t="str">
        <f>Table22[[#This Row],[Acute RA label]]</f>
        <v/>
      </c>
      <c r="H71" s="303">
        <f>Table22[[#This Row],[Acute RA IESTI new input value]]</f>
        <v>0</v>
      </c>
      <c r="I71" s="301" t="str">
        <f>Table22[[#This Row],[Acute RA IESTI new label]]</f>
        <v/>
      </c>
      <c r="J71" s="504"/>
      <c r="K71" s="544">
        <f>Table22[[#This Row],[GAP under assessment]]</f>
        <v>0</v>
      </c>
      <c r="L71" s="304" t="str">
        <f>IF(input_values!$M71=0,"",input_values!$M71)</f>
        <v/>
      </c>
      <c r="M71" s="301" t="str">
        <f>IF(input_values!H71=0,"",input_values!H71)</f>
        <v/>
      </c>
      <c r="N71" s="304">
        <f>input_values!$K71</f>
        <v>0</v>
      </c>
      <c r="O71" s="326">
        <v>1.797752808988764</v>
      </c>
      <c r="P71" s="22">
        <v>100</v>
      </c>
      <c r="Q71" s="22" t="s">
        <v>93</v>
      </c>
      <c r="R71" s="326">
        <v>17.8</v>
      </c>
      <c r="S71" s="328">
        <f t="shared" si="3"/>
        <v>32</v>
      </c>
      <c r="T71" s="338" t="s">
        <v>617</v>
      </c>
      <c r="U71" s="129" t="s">
        <v>215</v>
      </c>
      <c r="V71" s="338" t="s">
        <v>617</v>
      </c>
      <c r="W71" s="129" t="s">
        <v>215</v>
      </c>
      <c r="X71" s="1464">
        <f>IF(V71="ND","ND",IF(S71="","",IF(OR(MID(C71,1,4)="milk",AND(MID(B71,1,2)="50",NOT(input_values!M71="Y")),AND(MID(B71,1,2)="40",NOT(input_values!M71="Y")),AND(MID(B71,1,2)="30",NOT(input_values!M71="Y"))),3,IF(OR(V71="&lt;25",B71&gt;1000000),1,IF((T71&gt;=S71),"2b","2a")))))</f>
        <v>1</v>
      </c>
      <c r="Y71" s="22">
        <f>IF(X71="ND","ND",IF(S71="","",IF(input_values!K71&gt;0,input_values!K71,IF(OR(X71=1,X71=3),1,IF((V71&gt;250),5,7)))))</f>
        <v>1</v>
      </c>
      <c r="Z71" s="330" t="str">
        <f t="shared" si="4"/>
        <v/>
      </c>
      <c r="AA71" s="331">
        <f t="shared" si="0"/>
        <v>0</v>
      </c>
      <c r="AB71" s="27">
        <f t="shared" si="5"/>
        <v>1</v>
      </c>
      <c r="AC71" s="330" t="str">
        <f t="shared" si="6"/>
        <v/>
      </c>
      <c r="AD71" s="332">
        <f t="shared" si="1"/>
        <v>0</v>
      </c>
      <c r="AE71" s="333" t="str">
        <f t="shared" si="7"/>
        <v/>
      </c>
      <c r="AF71" s="333" t="str">
        <f t="shared" si="8"/>
        <v/>
      </c>
      <c r="AG71" s="561" t="str">
        <f t="shared" si="2"/>
        <v/>
      </c>
      <c r="AH71" s="561" t="str">
        <f t="shared" si="9"/>
        <v/>
      </c>
      <c r="AI71" s="313"/>
    </row>
    <row r="72" spans="1:35" outlineLevel="3" x14ac:dyDescent="0.2">
      <c r="A72" s="39">
        <v>4</v>
      </c>
      <c r="B72" s="23">
        <v>161050</v>
      </c>
      <c r="C72" s="23" t="s">
        <v>689</v>
      </c>
      <c r="D72" s="300">
        <f>Table22[[#This Row],[Level used for acute calculation]]</f>
        <v>4</v>
      </c>
      <c r="E72" s="302">
        <f>Table22[[#This Row],[MRL individual commodity]]</f>
        <v>0</v>
      </c>
      <c r="F72" s="451">
        <f>Table22[[#This Row],[Acute RA input value]]</f>
        <v>0</v>
      </c>
      <c r="G72" s="301" t="str">
        <f>Table22[[#This Row],[Acute RA label]]</f>
        <v/>
      </c>
      <c r="H72" s="303">
        <f>Table22[[#This Row],[Acute RA IESTI new input value]]</f>
        <v>0</v>
      </c>
      <c r="I72" s="301" t="str">
        <f>Table22[[#This Row],[Acute RA IESTI new label]]</f>
        <v/>
      </c>
      <c r="J72" s="504"/>
      <c r="K72" s="544">
        <f>Table22[[#This Row],[GAP under assessment]]</f>
        <v>0</v>
      </c>
      <c r="L72" s="304" t="str">
        <f>IF(input_values!$M72=0,"",input_values!$M72)</f>
        <v/>
      </c>
      <c r="M72" s="301" t="str">
        <f>IF(input_values!H72=0,"",input_values!H72)</f>
        <v/>
      </c>
      <c r="N72" s="304">
        <f>input_values!$K72</f>
        <v>0</v>
      </c>
      <c r="O72" s="326">
        <v>5.6141304347826093</v>
      </c>
      <c r="P72" s="22" t="s">
        <v>331</v>
      </c>
      <c r="Q72" s="22" t="s">
        <v>259</v>
      </c>
      <c r="R72" s="326">
        <v>18.399999999999999</v>
      </c>
      <c r="S72" s="328">
        <f t="shared" si="3"/>
        <v>103.3</v>
      </c>
      <c r="T72" s="328">
        <v>155</v>
      </c>
      <c r="U72" s="329" t="s">
        <v>90</v>
      </c>
      <c r="V72" s="328">
        <v>155</v>
      </c>
      <c r="W72" s="329" t="s">
        <v>90</v>
      </c>
      <c r="X72" s="1464" t="str">
        <f>IF(V72="ND","ND",IF(S72="","",IF(OR(MID(C72,1,4)="milk",AND(MID(B72,1,2)="50",NOT(input_values!M72="Y")),AND(MID(B72,1,2)="40",NOT(input_values!M72="Y")),AND(MID(B72,1,2)="30",NOT(input_values!M72="Y"))),3,IF(OR(V72="&lt;25",B72&gt;1000000),1,IF((T72&gt;=S72),"2b","2a")))))</f>
        <v>2b</v>
      </c>
      <c r="Y72" s="22">
        <f>IF(X72="ND","ND",IF(S72="","",IF(input_values!K72&gt;0,input_values!K72,IF(OR(X72=1,X72=3),1,IF((V72&gt;250),5,7)))))</f>
        <v>7</v>
      </c>
      <c r="Z72" s="330" t="str">
        <f t="shared" si="4"/>
        <v/>
      </c>
      <c r="AA72" s="331">
        <f t="shared" si="0"/>
        <v>0</v>
      </c>
      <c r="AB72" s="27">
        <f t="shared" si="5"/>
        <v>3</v>
      </c>
      <c r="AC72" s="330" t="str">
        <f t="shared" si="6"/>
        <v/>
      </c>
      <c r="AD72" s="332">
        <f t="shared" si="1"/>
        <v>0</v>
      </c>
      <c r="AE72" s="333" t="str">
        <f t="shared" si="7"/>
        <v/>
      </c>
      <c r="AF72" s="333" t="str">
        <f t="shared" si="8"/>
        <v/>
      </c>
      <c r="AG72" s="561" t="str">
        <f t="shared" si="2"/>
        <v/>
      </c>
      <c r="AH72" s="561" t="str">
        <f t="shared" si="9"/>
        <v/>
      </c>
      <c r="AI72" s="313"/>
    </row>
    <row r="73" spans="1:35" outlineLevel="3" x14ac:dyDescent="0.2">
      <c r="A73" s="39">
        <v>4</v>
      </c>
      <c r="B73" s="23">
        <v>161060</v>
      </c>
      <c r="C73" s="23" t="s">
        <v>690</v>
      </c>
      <c r="D73" s="300">
        <f>Table22[[#This Row],[Level used for acute calculation]]</f>
        <v>4</v>
      </c>
      <c r="E73" s="302">
        <f>Table22[[#This Row],[MRL individual commodity]]</f>
        <v>0</v>
      </c>
      <c r="F73" s="451">
        <f>Table22[[#This Row],[Acute RA input value]]</f>
        <v>0</v>
      </c>
      <c r="G73" s="301" t="str">
        <f>Table22[[#This Row],[Acute RA label]]</f>
        <v/>
      </c>
      <c r="H73" s="303">
        <f>Table22[[#This Row],[Acute RA IESTI new input value]]</f>
        <v>0</v>
      </c>
      <c r="I73" s="301" t="str">
        <f>Table22[[#This Row],[Acute RA IESTI new label]]</f>
        <v/>
      </c>
      <c r="J73" s="504"/>
      <c r="K73" s="544">
        <f>Table22[[#This Row],[GAP under assessment]]</f>
        <v>0</v>
      </c>
      <c r="L73" s="304" t="str">
        <f>IF(input_values!$M73=0,"",input_values!$M73)</f>
        <v/>
      </c>
      <c r="M73" s="301" t="str">
        <f>IF(input_values!H73=0,"",input_values!H73)</f>
        <v/>
      </c>
      <c r="N73" s="304">
        <f>input_values!$K73</f>
        <v>0</v>
      </c>
      <c r="O73" s="339">
        <v>6.65</v>
      </c>
      <c r="P73" s="22">
        <v>100</v>
      </c>
      <c r="Q73" s="22" t="s">
        <v>256</v>
      </c>
      <c r="R73" s="326">
        <v>16.149999999999999</v>
      </c>
      <c r="S73" s="328">
        <f t="shared" si="3"/>
        <v>107.39749999999999</v>
      </c>
      <c r="T73" s="328">
        <v>146</v>
      </c>
      <c r="U73" s="329" t="s">
        <v>90</v>
      </c>
      <c r="V73" s="328">
        <v>154</v>
      </c>
      <c r="W73" s="329" t="s">
        <v>90</v>
      </c>
      <c r="X73" s="1464" t="str">
        <f>IF(V73="ND","ND",IF(S73="","",IF(OR(MID(C73,1,4)="milk",AND(MID(B73,1,2)="50",NOT(input_values!M73="Y")),AND(MID(B73,1,2)="40",NOT(input_values!M73="Y")),AND(MID(B73,1,2)="30",NOT(input_values!M73="Y"))),3,IF(OR(V73="&lt;25",B73&gt;1000000),1,IF((T73&gt;=S73),"2b","2a")))))</f>
        <v>2b</v>
      </c>
      <c r="Y73" s="22">
        <f>IF(X73="ND","ND",IF(S73="","",IF(input_values!K73&gt;0,input_values!K73,IF(OR(X73=1,X73=3),1,IF((V73&gt;250),5,7)))))</f>
        <v>7</v>
      </c>
      <c r="Z73" s="330" t="str">
        <f t="shared" si="4"/>
        <v/>
      </c>
      <c r="AA73" s="331">
        <f t="shared" si="0"/>
        <v>0</v>
      </c>
      <c r="AB73" s="27">
        <f t="shared" si="5"/>
        <v>3</v>
      </c>
      <c r="AC73" s="330" t="str">
        <f t="shared" si="6"/>
        <v/>
      </c>
      <c r="AD73" s="332">
        <f t="shared" si="1"/>
        <v>0</v>
      </c>
      <c r="AE73" s="333" t="str">
        <f t="shared" si="7"/>
        <v/>
      </c>
      <c r="AF73" s="333" t="str">
        <f t="shared" si="8"/>
        <v/>
      </c>
      <c r="AG73" s="561" t="str">
        <f t="shared" si="2"/>
        <v/>
      </c>
      <c r="AH73" s="561" t="str">
        <f t="shared" si="9"/>
        <v/>
      </c>
      <c r="AI73" s="313"/>
    </row>
    <row r="74" spans="1:35" outlineLevel="3" x14ac:dyDescent="0.2">
      <c r="A74" s="39">
        <v>4</v>
      </c>
      <c r="B74" s="23">
        <v>161070</v>
      </c>
      <c r="C74" s="23" t="s">
        <v>691</v>
      </c>
      <c r="D74" s="300">
        <f>Table22[[#This Row],[Level used for acute calculation]]</f>
        <v>4</v>
      </c>
      <c r="E74" s="302">
        <f>Table22[[#This Row],[MRL individual commodity]]</f>
        <v>0</v>
      </c>
      <c r="F74" s="451">
        <f>Table22[[#This Row],[Acute RA input value]]</f>
        <v>0</v>
      </c>
      <c r="G74" s="301" t="str">
        <f>Table22[[#This Row],[Acute RA label]]</f>
        <v/>
      </c>
      <c r="H74" s="303">
        <f>Table22[[#This Row],[Acute RA IESTI new input value]]</f>
        <v>0</v>
      </c>
      <c r="I74" s="301" t="str">
        <f>Table22[[#This Row],[Acute RA IESTI new label]]</f>
        <v/>
      </c>
      <c r="J74" s="504"/>
      <c r="K74" s="544">
        <f>Table22[[#This Row],[GAP under assessment]]</f>
        <v>0</v>
      </c>
      <c r="L74" s="304" t="str">
        <f>IF(input_values!$M74=0,"",input_values!$M74)</f>
        <v/>
      </c>
      <c r="M74" s="301" t="str">
        <f>IF(input_values!H74=0,"",input_values!H74)</f>
        <v/>
      </c>
      <c r="N74" s="304">
        <f>input_values!$K74</f>
        <v>0</v>
      </c>
      <c r="O74" s="338" t="s">
        <v>618</v>
      </c>
      <c r="P74" s="22"/>
      <c r="Q74" s="22"/>
      <c r="R74" s="330"/>
      <c r="S74" s="31" t="str">
        <f t="shared" si="3"/>
        <v>ND</v>
      </c>
      <c r="T74" s="338" t="s">
        <v>618</v>
      </c>
      <c r="U74" s="329"/>
      <c r="V74" s="338" t="s">
        <v>618</v>
      </c>
      <c r="W74" s="329"/>
      <c r="X74" s="1464" t="str">
        <f>IF(V74="ND","ND",IF(S74="","",IF(OR(MID(C74,1,4)="milk",AND(MID(B74,1,2)="50",NOT(input_values!M74="Y")),AND(MID(B74,1,2)="40",NOT(input_values!M74="Y")),AND(MID(B74,1,2)="30",NOT(input_values!M74="Y"))),3,IF(OR(V74="&lt;25",B74&gt;1000000),1,IF((T74&gt;=S74),"2b","2a")))))</f>
        <v>ND</v>
      </c>
      <c r="Y74" s="22" t="str">
        <f>IF(X74="ND","ND",IF(S74="","",IF(input_values!K74&gt;0,input_values!K74,IF(OR(X74=1,X74=3),1,IF((V74&gt;250),5,7)))))</f>
        <v>ND</v>
      </c>
      <c r="Z74" s="340" t="str">
        <f t="shared" si="4"/>
        <v/>
      </c>
      <c r="AA74" s="332">
        <f t="shared" si="0"/>
        <v>0</v>
      </c>
      <c r="AB74" s="27" t="str">
        <f t="shared" si="5"/>
        <v>ND</v>
      </c>
      <c r="AC74" s="340" t="str">
        <f t="shared" si="6"/>
        <v/>
      </c>
      <c r="AD74" s="332">
        <f t="shared" si="1"/>
        <v>0</v>
      </c>
      <c r="AE74" s="37" t="str">
        <f t="shared" si="7"/>
        <v/>
      </c>
      <c r="AF74" s="37" t="str">
        <f t="shared" si="8"/>
        <v/>
      </c>
      <c r="AG74" s="561" t="str">
        <f t="shared" si="2"/>
        <v/>
      </c>
      <c r="AH74" s="561" t="str">
        <f t="shared" si="9"/>
        <v/>
      </c>
      <c r="AI74" s="313"/>
    </row>
    <row r="75" spans="1:35" ht="24" outlineLevel="3" x14ac:dyDescent="0.2">
      <c r="A75" s="39">
        <v>4</v>
      </c>
      <c r="B75" s="23">
        <v>161990</v>
      </c>
      <c r="C75" s="23" t="s">
        <v>53</v>
      </c>
      <c r="D75" s="300">
        <f>Table22[[#This Row],[Level used for acute calculation]]</f>
        <v>0</v>
      </c>
      <c r="E75" s="302">
        <f>Table22[[#This Row],[MRL individual commodity]]</f>
        <v>0</v>
      </c>
      <c r="F75" s="451">
        <f>Table22[[#This Row],[Acute RA input value]]</f>
        <v>0</v>
      </c>
      <c r="G75" s="301">
        <f>Table22[[#This Row],[Acute RA label]]</f>
        <v>0</v>
      </c>
      <c r="H75" s="303">
        <f>Table22[[#This Row],[Acute RA IESTI new input value]]</f>
        <v>0</v>
      </c>
      <c r="I75" s="301">
        <f>Table22[[#This Row],[Acute RA IESTI new label]]</f>
        <v>0</v>
      </c>
      <c r="J75" s="504"/>
      <c r="K75" s="544">
        <f>Table22[[#This Row],[GAP under assessment]]</f>
        <v>0</v>
      </c>
      <c r="L75" s="304" t="str">
        <f>IF(input_values!$M75=0,"",input_values!$M75)</f>
        <v/>
      </c>
      <c r="M75" s="301" t="str">
        <f>IF(input_values!H75=0,"",input_values!H75)</f>
        <v/>
      </c>
      <c r="N75" s="304">
        <f>input_values!$K75</f>
        <v>0</v>
      </c>
      <c r="O75" s="309"/>
      <c r="P75" s="38"/>
      <c r="Q75" s="38"/>
      <c r="R75" s="335"/>
      <c r="S75" s="336" t="str">
        <f t="shared" si="3"/>
        <v/>
      </c>
      <c r="T75" s="305"/>
      <c r="U75" s="570"/>
      <c r="V75" s="305"/>
      <c r="W75" s="570"/>
      <c r="X75" s="611" t="str">
        <f>IF(V75="ND","ND",IF(S75="","",IF(OR(MID(C75,1,4)="milk",AND(MID(B75,1,2)="50",NOT(input_values!M75="Y")),AND(MID(B75,1,2)="40",NOT(input_values!M75="Y")),AND(MID(B75,1,2)="30",NOT(input_values!M75="Y"))),3,IF(OR(V75="&lt;25",B75&gt;1000000),1,IF((T75&gt;=S75),"2b","2a")))))</f>
        <v/>
      </c>
      <c r="Y75" s="38" t="str">
        <f>IF(X75="ND","ND",IF(S75="","",IF(input_values!K75&gt;0,input_values!K75,IF(OR(X75=1,X75=3),1,IF((V75&gt;250),5,7)))))</f>
        <v/>
      </c>
      <c r="Z75" s="335" t="str">
        <f t="shared" si="4"/>
        <v/>
      </c>
      <c r="AA75" s="311">
        <f t="shared" si="0"/>
        <v>0</v>
      </c>
      <c r="AB75" s="38" t="str">
        <f t="shared" si="5"/>
        <v/>
      </c>
      <c r="AC75" s="335" t="str">
        <f t="shared" si="6"/>
        <v/>
      </c>
      <c r="AD75" s="311">
        <f t="shared" si="1"/>
        <v>0</v>
      </c>
      <c r="AE75" s="344" t="str">
        <f t="shared" si="7"/>
        <v/>
      </c>
      <c r="AF75" s="344" t="str">
        <f t="shared" si="8"/>
        <v/>
      </c>
      <c r="AG75" s="561" t="str">
        <f t="shared" si="2"/>
        <v/>
      </c>
      <c r="AH75" s="561" t="str">
        <f t="shared" si="9"/>
        <v/>
      </c>
      <c r="AI75" s="313"/>
    </row>
    <row r="76" spans="1:35" ht="36" outlineLevel="2" x14ac:dyDescent="0.2">
      <c r="A76" s="132">
        <v>3</v>
      </c>
      <c r="B76" s="3">
        <v>162000</v>
      </c>
      <c r="C76" s="3" t="s">
        <v>135</v>
      </c>
      <c r="D76" s="300">
        <f>Table22[[#This Row],[Level used for acute calculation]]</f>
        <v>4</v>
      </c>
      <c r="E76" s="302">
        <f>Table22[[#This Row],[MRL individual commodity]]</f>
        <v>0</v>
      </c>
      <c r="F76" s="451">
        <f>Table22[[#This Row],[Acute RA input value]]</f>
        <v>0</v>
      </c>
      <c r="G76" s="301">
        <f>Table22[[#This Row],[Acute RA label]]</f>
        <v>0</v>
      </c>
      <c r="H76" s="303">
        <f>Table22[[#This Row],[Acute RA IESTI new input value]]</f>
        <v>0</v>
      </c>
      <c r="I76" s="301">
        <f>Table22[[#This Row],[Acute RA IESTI new label]]</f>
        <v>0</v>
      </c>
      <c r="J76" s="504"/>
      <c r="K76" s="544">
        <f>Table22[[#This Row],[GAP under assessment]]</f>
        <v>0</v>
      </c>
      <c r="L76" s="304" t="str">
        <f>IF(input_values!$M76=0,"",input_values!$M76)</f>
        <v/>
      </c>
      <c r="M76" s="301" t="str">
        <f>IF(input_values!H76=0,"",input_values!H76)</f>
        <v/>
      </c>
      <c r="N76" s="304">
        <f>input_values!$K76</f>
        <v>0</v>
      </c>
      <c r="O76" s="309"/>
      <c r="P76" s="38"/>
      <c r="Q76" s="38"/>
      <c r="R76" s="335"/>
      <c r="S76" s="336" t="str">
        <f t="shared" si="3"/>
        <v/>
      </c>
      <c r="T76" s="342"/>
      <c r="U76" s="571"/>
      <c r="V76" s="342"/>
      <c r="W76" s="571"/>
      <c r="X76" s="611" t="str">
        <f>IF(V76="ND","ND",IF(S76="","",IF(OR(MID(C76,1,4)="milk",AND(MID(B76,1,2)="50",NOT(input_values!M76="Y")),AND(MID(B76,1,2)="40",NOT(input_values!M76="Y")),AND(MID(B76,1,2)="30",NOT(input_values!M76="Y"))),3,IF(OR(V76="&lt;25",B76&gt;1000000),1,IF((T76&gt;=S76),"2b","2a")))))</f>
        <v/>
      </c>
      <c r="Y76" s="38" t="str">
        <f>IF(X76="ND","ND",IF(S76="","",IF(input_values!K76&gt;0,input_values!K76,IF(OR(X76=1,X76=3),1,IF((V76&gt;250),5,7)))))</f>
        <v/>
      </c>
      <c r="Z76" s="335" t="str">
        <f t="shared" si="4"/>
        <v/>
      </c>
      <c r="AA76" s="311">
        <f t="shared" ref="AA76:AA139" si="10">IF(OR(ISTEXT(F76),F76=0),0,IF($C$5="not necessary","no acute RA",IF(Z76="ND","no acute RA",Z76/$C$5)))</f>
        <v>0</v>
      </c>
      <c r="AB76" s="38" t="str">
        <f t="shared" si="5"/>
        <v/>
      </c>
      <c r="AC76" s="335" t="str">
        <f t="shared" si="6"/>
        <v/>
      </c>
      <c r="AD76" s="311">
        <f t="shared" ref="AD76:AD139" si="11">IF(OR(ISTEXT(H76),H76=0,S76=0),0,IF($C$5="not necessary","no acute RA",IF(AC76="ND","no acute RA",AC76/$C$5)))</f>
        <v>0</v>
      </c>
      <c r="AE76" s="344" t="str">
        <f t="shared" si="7"/>
        <v/>
      </c>
      <c r="AF76" s="344" t="str">
        <f t="shared" si="8"/>
        <v/>
      </c>
      <c r="AG76" s="561" t="str">
        <f t="shared" ref="AG76:AG139" si="12">IF(OR(Z76=0,Z76="ND",Z76="",$C$5="not necessary"),"",IF(X76="2a",1000*$C$5*R76/(T76*Y76+S76-T76),IF(X76="2b",1000*$C$5*R76/S76/Y76,IF(OR(X76=1,X76=3),1000*$C$5*R76/S76,""))))</f>
        <v/>
      </c>
      <c r="AH76" s="561" t="str">
        <f t="shared" ref="AH76:AH139" si="13">IF(OR(AC76=0,AC76="ND",AC76="",$C$5="not necessary"),"",1000*$C$5*R76/S76/AB76)</f>
        <v/>
      </c>
      <c r="AI76" s="313"/>
    </row>
    <row r="77" spans="1:35" outlineLevel="3" x14ac:dyDescent="0.2">
      <c r="A77" s="39">
        <v>4</v>
      </c>
      <c r="B77" s="23">
        <v>162010</v>
      </c>
      <c r="C77" s="23" t="s">
        <v>692</v>
      </c>
      <c r="D77" s="300">
        <f>Table22[[#This Row],[Level used for acute calculation]]</f>
        <v>4</v>
      </c>
      <c r="E77" s="302">
        <f>Table22[[#This Row],[MRL individual commodity]]</f>
        <v>0</v>
      </c>
      <c r="F77" s="451">
        <f>Table22[[#This Row],[Acute RA input value]]</f>
        <v>0</v>
      </c>
      <c r="G77" s="301" t="str">
        <f>Table22[[#This Row],[Acute RA label]]</f>
        <v/>
      </c>
      <c r="H77" s="303">
        <f>Table22[[#This Row],[Acute RA IESTI new input value]]</f>
        <v>0</v>
      </c>
      <c r="I77" s="301" t="str">
        <f>Table22[[#This Row],[Acute RA IESTI new label]]</f>
        <v/>
      </c>
      <c r="J77" s="504"/>
      <c r="K77" s="544">
        <f>Table22[[#This Row],[GAP under assessment]]</f>
        <v>0</v>
      </c>
      <c r="L77" s="304" t="str">
        <f>IF(input_values!$M77=0,"",input_values!$M77)</f>
        <v/>
      </c>
      <c r="M77" s="301" t="str">
        <f>IF(input_values!H77=0,"",input_values!H77)</f>
        <v/>
      </c>
      <c r="N77" s="304">
        <f>input_values!$K77</f>
        <v>0</v>
      </c>
      <c r="O77" s="326">
        <v>13.392156862745098</v>
      </c>
      <c r="P77" s="22">
        <v>97.5</v>
      </c>
      <c r="Q77" s="22" t="s">
        <v>329</v>
      </c>
      <c r="R77" s="326">
        <v>10.199999999999999</v>
      </c>
      <c r="S77" s="328">
        <f t="shared" ref="S77:S140" si="14">IF(O77="ND","ND",IF(O77="","",O77*R77))</f>
        <v>136.6</v>
      </c>
      <c r="T77" s="328">
        <v>83</v>
      </c>
      <c r="U77" s="329" t="s">
        <v>215</v>
      </c>
      <c r="V77" s="328">
        <v>100</v>
      </c>
      <c r="W77" s="329" t="s">
        <v>215</v>
      </c>
      <c r="X77" s="1464" t="str">
        <f>IF(V77="ND","ND",IF(S77="","",IF(OR(MID(C77,1,4)="milk",AND(MID(B77,1,2)="50",NOT(input_values!M77="Y")),AND(MID(B77,1,2)="40",NOT(input_values!M77="Y")),AND(MID(B77,1,2)="30",NOT(input_values!M77="Y"))),3,IF(OR(V77="&lt;25",B77&gt;1000000),1,IF((T77&gt;=S77),"2b","2a")))))</f>
        <v>2a</v>
      </c>
      <c r="Y77" s="22">
        <f>IF(X77="ND","ND",IF(S77="","",IF(input_values!K77&gt;0,input_values!K77,IF(OR(X77=1,X77=3),1,IF((V77&gt;250),5,7)))))</f>
        <v>7</v>
      </c>
      <c r="Z77" s="330" t="str">
        <f t="shared" ref="Z77:Z140" si="15">IF(OR(ISTEXT(F77),F77=0),"",IF(OR(S77="ND",T77="ND"),"ND",IF(($X77="2a"),1/$R77*(($F77*$T77/1000*$Y77)+($F77*($S77-$T77)/1000)),IF(($X77="2b"),1/$R77*($F77*$S77/1000*$Y77),1/$R77*($F77*$S77/1000)))))</f>
        <v/>
      </c>
      <c r="AA77" s="331">
        <f t="shared" si="10"/>
        <v>0</v>
      </c>
      <c r="AB77" s="27">
        <f t="shared" ref="AB77:AB140" si="16">IF(OR(Y77=5,Y77=7,N77&gt;3),3,Y77)</f>
        <v>3</v>
      </c>
      <c r="AC77" s="330" t="str">
        <f t="shared" ref="AC77:AC140" si="17">IF(OR(ISTEXT(H77),H77=0),"",IF(OR(S77="ND",T77="ND"),"ND",1/$R77*($H77*$S77*AB77/1000)))</f>
        <v/>
      </c>
      <c r="AD77" s="332">
        <f t="shared" si="11"/>
        <v>0</v>
      </c>
      <c r="AE77" s="333" t="str">
        <f t="shared" ref="AE77:AE140" si="18">IF(AA77&gt;=1,AG77,"")</f>
        <v/>
      </c>
      <c r="AF77" s="333" t="str">
        <f t="shared" ref="AF77:AF140" si="19">IF(AD77&gt;=1,AH77,"")</f>
        <v/>
      </c>
      <c r="AG77" s="561" t="str">
        <f t="shared" si="12"/>
        <v/>
      </c>
      <c r="AH77" s="561" t="str">
        <f t="shared" si="13"/>
        <v/>
      </c>
      <c r="AI77" s="334"/>
    </row>
    <row r="78" spans="1:35" outlineLevel="3" x14ac:dyDescent="0.2">
      <c r="A78" s="39">
        <v>4</v>
      </c>
      <c r="B78" s="23">
        <v>162020</v>
      </c>
      <c r="C78" s="23" t="s">
        <v>693</v>
      </c>
      <c r="D78" s="300">
        <f>Table22[[#This Row],[Level used for acute calculation]]</f>
        <v>4</v>
      </c>
      <c r="E78" s="302">
        <f>Table22[[#This Row],[MRL individual commodity]]</f>
        <v>0</v>
      </c>
      <c r="F78" s="451">
        <f>Table22[[#This Row],[Acute RA input value]]</f>
        <v>0</v>
      </c>
      <c r="G78" s="301" t="str">
        <f>Table22[[#This Row],[Acute RA label]]</f>
        <v/>
      </c>
      <c r="H78" s="303">
        <f>Table22[[#This Row],[Acute RA IESTI new input value]]</f>
        <v>0</v>
      </c>
      <c r="I78" s="301" t="str">
        <f>Table22[[#This Row],[Acute RA IESTI new label]]</f>
        <v/>
      </c>
      <c r="J78" s="504"/>
      <c r="K78" s="544">
        <f>Table22[[#This Row],[GAP under assessment]]</f>
        <v>0</v>
      </c>
      <c r="L78" s="304" t="str">
        <f>IF(input_values!$M78=0,"",input_values!$M78)</f>
        <v/>
      </c>
      <c r="M78" s="301" t="str">
        <f>IF(input_values!H78=0,"",input_values!H78)</f>
        <v/>
      </c>
      <c r="N78" s="304">
        <f>input_values!$K78</f>
        <v>0</v>
      </c>
      <c r="O78" s="326">
        <v>11.797752808988763</v>
      </c>
      <c r="P78" s="22">
        <v>100</v>
      </c>
      <c r="Q78" s="22" t="s">
        <v>93</v>
      </c>
      <c r="R78" s="326">
        <v>17.8</v>
      </c>
      <c r="S78" s="328">
        <f t="shared" si="14"/>
        <v>210</v>
      </c>
      <c r="T78" s="338" t="s">
        <v>617</v>
      </c>
      <c r="U78" s="129" t="s">
        <v>215</v>
      </c>
      <c r="V78" s="338" t="s">
        <v>617</v>
      </c>
      <c r="W78" s="129" t="s">
        <v>215</v>
      </c>
      <c r="X78" s="1464">
        <f>IF(V78="ND","ND",IF(S78="","",IF(OR(MID(C78,1,4)="milk",AND(MID(B78,1,2)="50",NOT(input_values!M78="Y")),AND(MID(B78,1,2)="40",NOT(input_values!M78="Y")),AND(MID(B78,1,2)="30",NOT(input_values!M78="Y"))),3,IF(OR(V78="&lt;25",B78&gt;1000000),1,IF((T78&gt;=S78),"2b","2a")))))</f>
        <v>1</v>
      </c>
      <c r="Y78" s="22">
        <f>IF(X78="ND","ND",IF(S78="","",IF(input_values!K78&gt;0,input_values!K78,IF(OR(X78=1,X78=3),1,IF((V78&gt;250),5,7)))))</f>
        <v>1</v>
      </c>
      <c r="Z78" s="330" t="str">
        <f t="shared" si="15"/>
        <v/>
      </c>
      <c r="AA78" s="331">
        <f t="shared" si="10"/>
        <v>0</v>
      </c>
      <c r="AB78" s="27">
        <f t="shared" si="16"/>
        <v>1</v>
      </c>
      <c r="AC78" s="330" t="str">
        <f t="shared" si="17"/>
        <v/>
      </c>
      <c r="AD78" s="332">
        <f t="shared" si="11"/>
        <v>0</v>
      </c>
      <c r="AE78" s="333" t="str">
        <f t="shared" si="18"/>
        <v/>
      </c>
      <c r="AF78" s="333" t="str">
        <f t="shared" si="19"/>
        <v/>
      </c>
      <c r="AG78" s="561" t="str">
        <f t="shared" si="12"/>
        <v/>
      </c>
      <c r="AH78" s="561" t="str">
        <f t="shared" si="13"/>
        <v/>
      </c>
      <c r="AI78" s="334"/>
    </row>
    <row r="79" spans="1:35" outlineLevel="3" x14ac:dyDescent="0.2">
      <c r="A79" s="39">
        <v>4</v>
      </c>
      <c r="B79" s="23">
        <v>162030</v>
      </c>
      <c r="C79" s="23" t="s">
        <v>694</v>
      </c>
      <c r="D79" s="300">
        <f>Table22[[#This Row],[Level used for acute calculation]]</f>
        <v>4</v>
      </c>
      <c r="E79" s="302">
        <f>Table22[[#This Row],[MRL individual commodity]]</f>
        <v>0</v>
      </c>
      <c r="F79" s="451">
        <f>Table22[[#This Row],[Acute RA input value]]</f>
        <v>0</v>
      </c>
      <c r="G79" s="301" t="str">
        <f>Table22[[#This Row],[Acute RA label]]</f>
        <v/>
      </c>
      <c r="H79" s="303">
        <f>Table22[[#This Row],[Acute RA IESTI new input value]]</f>
        <v>0</v>
      </c>
      <c r="I79" s="301" t="str">
        <f>Table22[[#This Row],[Acute RA IESTI new label]]</f>
        <v/>
      </c>
      <c r="J79" s="504"/>
      <c r="K79" s="544">
        <f>Table22[[#This Row],[GAP under assessment]]</f>
        <v>0</v>
      </c>
      <c r="L79" s="304" t="str">
        <f>IF(input_values!$M79=0,"",input_values!$M79)</f>
        <v/>
      </c>
      <c r="M79" s="301" t="str">
        <f>IF(input_values!H79=0,"",input_values!H79)</f>
        <v/>
      </c>
      <c r="N79" s="304">
        <f>input_values!$K79</f>
        <v>0</v>
      </c>
      <c r="O79" s="326">
        <v>3.0873786407766994</v>
      </c>
      <c r="P79" s="22">
        <v>97.5</v>
      </c>
      <c r="Q79" s="22" t="s">
        <v>94</v>
      </c>
      <c r="R79" s="326">
        <v>30.9</v>
      </c>
      <c r="S79" s="328">
        <f t="shared" si="14"/>
        <v>95.4</v>
      </c>
      <c r="T79" s="338">
        <v>19</v>
      </c>
      <c r="U79" s="129" t="s">
        <v>215</v>
      </c>
      <c r="V79" s="338">
        <v>37</v>
      </c>
      <c r="W79" s="129" t="s">
        <v>215</v>
      </c>
      <c r="X79" s="1464" t="str">
        <f>IF(V79="ND","ND",IF(S79="","",IF(OR(MID(C79,1,4)="milk",AND(MID(B79,1,2)="50",NOT(input_values!M79="Y")),AND(MID(B79,1,2)="40",NOT(input_values!M79="Y")),AND(MID(B79,1,2)="30",NOT(input_values!M79="Y"))),3,IF(OR(V79="&lt;25",B79&gt;1000000),1,IF((T79&gt;=S79),"2b","2a")))))</f>
        <v>2a</v>
      </c>
      <c r="Y79" s="22">
        <f>IF(X79="ND","ND",IF(S79="","",IF(input_values!K79&gt;0,input_values!K79,IF(OR(X79=1,X79=3),1,IF((V79&gt;250),5,7)))))</f>
        <v>7</v>
      </c>
      <c r="Z79" s="330" t="str">
        <f t="shared" si="15"/>
        <v/>
      </c>
      <c r="AA79" s="331">
        <f t="shared" si="10"/>
        <v>0</v>
      </c>
      <c r="AB79" s="27">
        <f t="shared" si="16"/>
        <v>3</v>
      </c>
      <c r="AC79" s="330" t="str">
        <f t="shared" si="17"/>
        <v/>
      </c>
      <c r="AD79" s="332">
        <f t="shared" si="11"/>
        <v>0</v>
      </c>
      <c r="AE79" s="333" t="str">
        <f t="shared" si="18"/>
        <v/>
      </c>
      <c r="AF79" s="333" t="str">
        <f t="shared" si="19"/>
        <v/>
      </c>
      <c r="AG79" s="561" t="str">
        <f t="shared" si="12"/>
        <v/>
      </c>
      <c r="AH79" s="561" t="str">
        <f t="shared" si="13"/>
        <v/>
      </c>
      <c r="AI79" s="334"/>
    </row>
    <row r="80" spans="1:35" outlineLevel="3" x14ac:dyDescent="0.2">
      <c r="A80" s="39">
        <v>4</v>
      </c>
      <c r="B80" s="23">
        <v>162040</v>
      </c>
      <c r="C80" s="23" t="s">
        <v>695</v>
      </c>
      <c r="D80" s="300">
        <f>Table22[[#This Row],[Level used for acute calculation]]</f>
        <v>4</v>
      </c>
      <c r="E80" s="302">
        <f>Table22[[#This Row],[MRL individual commodity]]</f>
        <v>0</v>
      </c>
      <c r="F80" s="451">
        <f>Table22[[#This Row],[Acute RA input value]]</f>
        <v>0</v>
      </c>
      <c r="G80" s="301" t="str">
        <f>Table22[[#This Row],[Acute RA label]]</f>
        <v/>
      </c>
      <c r="H80" s="303">
        <f>Table22[[#This Row],[Acute RA IESTI new input value]]</f>
        <v>0</v>
      </c>
      <c r="I80" s="301" t="str">
        <f>Table22[[#This Row],[Acute RA IESTI new label]]</f>
        <v/>
      </c>
      <c r="J80" s="504"/>
      <c r="K80" s="544">
        <f>Table22[[#This Row],[GAP under assessment]]</f>
        <v>0</v>
      </c>
      <c r="L80" s="304" t="str">
        <f>IF(input_values!$M80=0,"",input_values!$M80)</f>
        <v/>
      </c>
      <c r="M80" s="301" t="str">
        <f>IF(input_values!H80=0,"",input_values!H80)</f>
        <v/>
      </c>
      <c r="N80" s="304">
        <f>input_values!$K80</f>
        <v>0</v>
      </c>
      <c r="O80" s="326">
        <v>3.1902173913043481</v>
      </c>
      <c r="P80" s="22" t="s">
        <v>331</v>
      </c>
      <c r="Q80" s="22" t="s">
        <v>259</v>
      </c>
      <c r="R80" s="326">
        <v>18.399999999999999</v>
      </c>
      <c r="S80" s="328">
        <f t="shared" si="14"/>
        <v>58.7</v>
      </c>
      <c r="T80" s="328">
        <v>87.77</v>
      </c>
      <c r="U80" s="329" t="s">
        <v>215</v>
      </c>
      <c r="V80" s="328">
        <v>131</v>
      </c>
      <c r="W80" s="329" t="s">
        <v>215</v>
      </c>
      <c r="X80" s="1464" t="str">
        <f>IF(V80="ND","ND",IF(S80="","",IF(OR(MID(C80,1,4)="milk",AND(MID(B80,1,2)="50",NOT(input_values!M80="Y")),AND(MID(B80,1,2)="40",NOT(input_values!M80="Y")),AND(MID(B80,1,2)="30",NOT(input_values!M80="Y"))),3,IF(OR(V80="&lt;25",B80&gt;1000000),1,IF((T80&gt;=S80),"2b","2a")))))</f>
        <v>2b</v>
      </c>
      <c r="Y80" s="22">
        <f>IF(X80="ND","ND",IF(S80="","",IF(input_values!K80&gt;0,input_values!K80,IF(OR(X80=1,X80=3),1,IF((V80&gt;250),5,7)))))</f>
        <v>7</v>
      </c>
      <c r="Z80" s="330" t="str">
        <f t="shared" si="15"/>
        <v/>
      </c>
      <c r="AA80" s="331">
        <f t="shared" si="10"/>
        <v>0</v>
      </c>
      <c r="AB80" s="27">
        <f t="shared" si="16"/>
        <v>3</v>
      </c>
      <c r="AC80" s="330" t="str">
        <f t="shared" si="17"/>
        <v/>
      </c>
      <c r="AD80" s="332">
        <f t="shared" si="11"/>
        <v>0</v>
      </c>
      <c r="AE80" s="333" t="str">
        <f t="shared" si="18"/>
        <v/>
      </c>
      <c r="AF80" s="333" t="str">
        <f t="shared" si="19"/>
        <v/>
      </c>
      <c r="AG80" s="561" t="str">
        <f t="shared" si="12"/>
        <v/>
      </c>
      <c r="AH80" s="561" t="str">
        <f t="shared" si="13"/>
        <v/>
      </c>
      <c r="AI80" s="313"/>
    </row>
    <row r="81" spans="1:35" outlineLevel="3" x14ac:dyDescent="0.2">
      <c r="A81" s="39">
        <v>4</v>
      </c>
      <c r="B81" s="23">
        <v>162050</v>
      </c>
      <c r="C81" s="23" t="s">
        <v>696</v>
      </c>
      <c r="D81" s="300">
        <f>Table22[[#This Row],[Level used for acute calculation]]</f>
        <v>4</v>
      </c>
      <c r="E81" s="302">
        <f>Table22[[#This Row],[MRL individual commodity]]</f>
        <v>0</v>
      </c>
      <c r="F81" s="451">
        <f>Table22[[#This Row],[Acute RA input value]]</f>
        <v>0</v>
      </c>
      <c r="G81" s="301" t="str">
        <f>Table22[[#This Row],[Acute RA label]]</f>
        <v/>
      </c>
      <c r="H81" s="303">
        <f>Table22[[#This Row],[Acute RA IESTI new input value]]</f>
        <v>0</v>
      </c>
      <c r="I81" s="301" t="str">
        <f>Table22[[#This Row],[Acute RA IESTI new label]]</f>
        <v/>
      </c>
      <c r="J81" s="504"/>
      <c r="K81" s="544">
        <f>Table22[[#This Row],[GAP under assessment]]</f>
        <v>0</v>
      </c>
      <c r="L81" s="304" t="str">
        <f>IF(input_values!$M81=0,"",input_values!$M81)</f>
        <v/>
      </c>
      <c r="M81" s="301" t="str">
        <f>IF(input_values!H81=0,"",input_values!H81)</f>
        <v/>
      </c>
      <c r="N81" s="304">
        <f>input_values!$K81</f>
        <v>0</v>
      </c>
      <c r="O81" s="338" t="s">
        <v>618</v>
      </c>
      <c r="P81" s="22"/>
      <c r="Q81" s="22"/>
      <c r="R81" s="330"/>
      <c r="S81" s="31" t="str">
        <f t="shared" si="14"/>
        <v>ND</v>
      </c>
      <c r="T81" s="338" t="s">
        <v>618</v>
      </c>
      <c r="U81" s="329"/>
      <c r="V81" s="338" t="s">
        <v>618</v>
      </c>
      <c r="W81" s="329"/>
      <c r="X81" s="1464" t="str">
        <f>IF(V81="ND","ND",IF(S81="","",IF(OR(MID(C81,1,4)="milk",AND(MID(B81,1,2)="50",NOT(input_values!M81="Y")),AND(MID(B81,1,2)="40",NOT(input_values!M81="Y")),AND(MID(B81,1,2)="30",NOT(input_values!M81="Y"))),3,IF(OR(V81="&lt;25",B81&gt;1000000),1,IF((T81&gt;=S81),"2b","2a")))))</f>
        <v>ND</v>
      </c>
      <c r="Y81" s="22" t="str">
        <f>IF(X81="ND","ND",IF(S81="","",IF(input_values!K81&gt;0,input_values!K81,IF(OR(X81=1,X81=3),1,IF((V81&gt;250),5,7)))))</f>
        <v>ND</v>
      </c>
      <c r="Z81" s="340" t="str">
        <f t="shared" si="15"/>
        <v/>
      </c>
      <c r="AA81" s="332">
        <f t="shared" si="10"/>
        <v>0</v>
      </c>
      <c r="AB81" s="27" t="str">
        <f t="shared" si="16"/>
        <v>ND</v>
      </c>
      <c r="AC81" s="340" t="str">
        <f t="shared" si="17"/>
        <v/>
      </c>
      <c r="AD81" s="332">
        <f t="shared" si="11"/>
        <v>0</v>
      </c>
      <c r="AE81" s="37" t="str">
        <f t="shared" si="18"/>
        <v/>
      </c>
      <c r="AF81" s="37" t="str">
        <f t="shared" si="19"/>
        <v/>
      </c>
      <c r="AG81" s="561" t="str">
        <f t="shared" si="12"/>
        <v/>
      </c>
      <c r="AH81" s="561" t="str">
        <f t="shared" si="13"/>
        <v/>
      </c>
      <c r="AI81" s="313"/>
    </row>
    <row r="82" spans="1:35" ht="24" outlineLevel="3" x14ac:dyDescent="0.2">
      <c r="A82" s="39">
        <v>4</v>
      </c>
      <c r="B82" s="23">
        <v>162060</v>
      </c>
      <c r="C82" s="23" t="s">
        <v>697</v>
      </c>
      <c r="D82" s="300">
        <f>Table22[[#This Row],[Level used for acute calculation]]</f>
        <v>4</v>
      </c>
      <c r="E82" s="302">
        <f>Table22[[#This Row],[MRL individual commodity]]</f>
        <v>0</v>
      </c>
      <c r="F82" s="451">
        <f>Table22[[#This Row],[Acute RA input value]]</f>
        <v>0</v>
      </c>
      <c r="G82" s="301" t="str">
        <f>Table22[[#This Row],[Acute RA label]]</f>
        <v/>
      </c>
      <c r="H82" s="303">
        <f>Table22[[#This Row],[Acute RA IESTI new input value]]</f>
        <v>0</v>
      </c>
      <c r="I82" s="301" t="str">
        <f>Table22[[#This Row],[Acute RA IESTI new label]]</f>
        <v/>
      </c>
      <c r="J82" s="504"/>
      <c r="K82" s="544">
        <f>Table22[[#This Row],[GAP under assessment]]</f>
        <v>0</v>
      </c>
      <c r="L82" s="304" t="str">
        <f>IF(input_values!$M82=0,"",input_values!$M82)</f>
        <v/>
      </c>
      <c r="M82" s="301" t="str">
        <f>IF(input_values!H82=0,"",input_values!H82)</f>
        <v/>
      </c>
      <c r="N82" s="304">
        <f>input_values!$K82</f>
        <v>0</v>
      </c>
      <c r="O82" s="338" t="s">
        <v>618</v>
      </c>
      <c r="P82" s="22"/>
      <c r="Q82" s="22"/>
      <c r="R82" s="330"/>
      <c r="S82" s="31" t="str">
        <f t="shared" si="14"/>
        <v>ND</v>
      </c>
      <c r="T82" s="338">
        <v>145</v>
      </c>
      <c r="U82" s="329" t="s">
        <v>90</v>
      </c>
      <c r="V82" s="338">
        <v>135.19999999999999</v>
      </c>
      <c r="W82" s="329" t="s">
        <v>90</v>
      </c>
      <c r="X82" s="460" t="str">
        <f>IF(V82="ND","ND",IF(S82="","",IF(OR(MID(C82,1,4)="milk",AND(MID(B82,1,2)="50",NOT(input_values!M82="Y")),AND(MID(B82,1,2)="40",NOT(input_values!M82="Y")),AND(MID(B82,1,2)="30",NOT(input_values!M82="Y"))),3,IF(OR(V82="&lt;25",B82&gt;1000000),1,IF((T82&gt;=S82),"2b","2a")))))</f>
        <v>2a</v>
      </c>
      <c r="Y82" s="22">
        <f>IF(X82="ND","ND",IF(S82="","",IF(input_values!K82&gt;0,input_values!K82,IF(OR(X82=1,X82=3),1,IF((V82&gt;250),5,7)))))</f>
        <v>7</v>
      </c>
      <c r="Z82" s="340" t="str">
        <f t="shared" si="15"/>
        <v/>
      </c>
      <c r="AA82" s="332">
        <f t="shared" si="10"/>
        <v>0</v>
      </c>
      <c r="AB82" s="27">
        <f t="shared" si="16"/>
        <v>3</v>
      </c>
      <c r="AC82" s="340" t="str">
        <f t="shared" si="17"/>
        <v/>
      </c>
      <c r="AD82" s="332">
        <f t="shared" si="11"/>
        <v>0</v>
      </c>
      <c r="AE82" s="37" t="str">
        <f t="shared" si="18"/>
        <v/>
      </c>
      <c r="AF82" s="37" t="str">
        <f t="shared" si="19"/>
        <v/>
      </c>
      <c r="AG82" s="561" t="str">
        <f t="shared" si="12"/>
        <v/>
      </c>
      <c r="AH82" s="561" t="str">
        <f t="shared" si="13"/>
        <v/>
      </c>
      <c r="AI82" s="313"/>
    </row>
    <row r="83" spans="1:35" ht="24" outlineLevel="3" x14ac:dyDescent="0.2">
      <c r="A83" s="39">
        <v>4</v>
      </c>
      <c r="B83" s="23">
        <v>162990</v>
      </c>
      <c r="C83" s="23" t="s">
        <v>54</v>
      </c>
      <c r="D83" s="300">
        <f>Table22[[#This Row],[Level used for acute calculation]]</f>
        <v>0</v>
      </c>
      <c r="E83" s="302">
        <f>Table22[[#This Row],[MRL individual commodity]]</f>
        <v>0</v>
      </c>
      <c r="F83" s="451">
        <f>Table22[[#This Row],[Acute RA input value]]</f>
        <v>0</v>
      </c>
      <c r="G83" s="301">
        <f>Table22[[#This Row],[Acute RA label]]</f>
        <v>0</v>
      </c>
      <c r="H83" s="303">
        <f>Table22[[#This Row],[Acute RA IESTI new input value]]</f>
        <v>0</v>
      </c>
      <c r="I83" s="301">
        <f>Table22[[#This Row],[Acute RA IESTI new label]]</f>
        <v>0</v>
      </c>
      <c r="J83" s="504"/>
      <c r="K83" s="544">
        <f>Table22[[#This Row],[GAP under assessment]]</f>
        <v>0</v>
      </c>
      <c r="L83" s="304" t="str">
        <f>IF(input_values!$M83=0,"",input_values!$M83)</f>
        <v/>
      </c>
      <c r="M83" s="301" t="str">
        <f>IF(input_values!H83=0,"",input_values!H83)</f>
        <v/>
      </c>
      <c r="N83" s="304">
        <f>input_values!$K83</f>
        <v>0</v>
      </c>
      <c r="O83" s="309"/>
      <c r="P83" s="38"/>
      <c r="Q83" s="38"/>
      <c r="R83" s="335"/>
      <c r="S83" s="336" t="str">
        <f t="shared" si="14"/>
        <v/>
      </c>
      <c r="T83" s="305"/>
      <c r="U83" s="570"/>
      <c r="V83" s="305"/>
      <c r="W83" s="570"/>
      <c r="X83" s="611" t="str">
        <f>IF(V83="ND","ND",IF(S83="","",IF(OR(MID(C83,1,4)="milk",AND(MID(B83,1,2)="50",NOT(input_values!M83="Y")),AND(MID(B83,1,2)="40",NOT(input_values!M83="Y")),AND(MID(B83,1,2)="30",NOT(input_values!M83="Y"))),3,IF(OR(V83="&lt;25",B83&gt;1000000),1,IF((T83&gt;=S83),"2b","2a")))))</f>
        <v/>
      </c>
      <c r="Y83" s="38" t="str">
        <f>IF(X83="ND","ND",IF(S83="","",IF(input_values!K83&gt;0,input_values!K83,IF(OR(X83=1,X83=3),1,IF((V83&gt;250),5,7)))))</f>
        <v/>
      </c>
      <c r="Z83" s="335" t="str">
        <f t="shared" si="15"/>
        <v/>
      </c>
      <c r="AA83" s="311">
        <f t="shared" si="10"/>
        <v>0</v>
      </c>
      <c r="AB83" s="38" t="str">
        <f t="shared" si="16"/>
        <v/>
      </c>
      <c r="AC83" s="335" t="str">
        <f t="shared" si="17"/>
        <v/>
      </c>
      <c r="AD83" s="311">
        <f t="shared" si="11"/>
        <v>0</v>
      </c>
      <c r="AE83" s="344" t="str">
        <f t="shared" si="18"/>
        <v/>
      </c>
      <c r="AF83" s="344" t="str">
        <f t="shared" si="19"/>
        <v/>
      </c>
      <c r="AG83" s="561" t="str">
        <f t="shared" si="12"/>
        <v/>
      </c>
      <c r="AH83" s="561" t="str">
        <f t="shared" si="13"/>
        <v/>
      </c>
      <c r="AI83" s="313"/>
    </row>
    <row r="84" spans="1:35" ht="36" outlineLevel="2" x14ac:dyDescent="0.2">
      <c r="A84" s="132">
        <v>3</v>
      </c>
      <c r="B84" s="3">
        <v>163000</v>
      </c>
      <c r="C84" s="3" t="s">
        <v>136</v>
      </c>
      <c r="D84" s="300">
        <f>Table22[[#This Row],[Level used for acute calculation]]</f>
        <v>4</v>
      </c>
      <c r="E84" s="302">
        <f>Table22[[#This Row],[MRL individual commodity]]</f>
        <v>0</v>
      </c>
      <c r="F84" s="451">
        <f>Table22[[#This Row],[Acute RA input value]]</f>
        <v>0</v>
      </c>
      <c r="G84" s="301">
        <f>Table22[[#This Row],[Acute RA label]]</f>
        <v>0</v>
      </c>
      <c r="H84" s="303">
        <f>Table22[[#This Row],[Acute RA IESTI new input value]]</f>
        <v>0</v>
      </c>
      <c r="I84" s="301">
        <f>Table22[[#This Row],[Acute RA IESTI new label]]</f>
        <v>0</v>
      </c>
      <c r="J84" s="504"/>
      <c r="K84" s="544">
        <f>Table22[[#This Row],[GAP under assessment]]</f>
        <v>0</v>
      </c>
      <c r="L84" s="304" t="str">
        <f>IF(input_values!$M84=0,"",input_values!$M84)</f>
        <v/>
      </c>
      <c r="M84" s="301" t="str">
        <f>IF(input_values!H84=0,"",input_values!H84)</f>
        <v/>
      </c>
      <c r="N84" s="304">
        <f>input_values!$K84</f>
        <v>0</v>
      </c>
      <c r="O84" s="309"/>
      <c r="P84" s="38"/>
      <c r="Q84" s="38"/>
      <c r="R84" s="335"/>
      <c r="S84" s="336" t="str">
        <f t="shared" si="14"/>
        <v/>
      </c>
      <c r="T84" s="342"/>
      <c r="U84" s="571"/>
      <c r="V84" s="342"/>
      <c r="W84" s="571"/>
      <c r="X84" s="611" t="str">
        <f>IF(V84="ND","ND",IF(S84="","",IF(OR(MID(C84,1,4)="milk",AND(MID(B84,1,2)="50",NOT(input_values!M84="Y")),AND(MID(B84,1,2)="40",NOT(input_values!M84="Y")),AND(MID(B84,1,2)="30",NOT(input_values!M84="Y"))),3,IF(OR(V84="&lt;25",B84&gt;1000000),1,IF((T84&gt;=S84),"2b","2a")))))</f>
        <v/>
      </c>
      <c r="Y84" s="38" t="str">
        <f>IF(X84="ND","ND",IF(S84="","",IF(input_values!K84&gt;0,input_values!K84,IF(OR(X84=1,X84=3),1,IF((V84&gt;250),5,7)))))</f>
        <v/>
      </c>
      <c r="Z84" s="335" t="str">
        <f t="shared" si="15"/>
        <v/>
      </c>
      <c r="AA84" s="311">
        <f t="shared" si="10"/>
        <v>0</v>
      </c>
      <c r="AB84" s="38" t="str">
        <f t="shared" si="16"/>
        <v/>
      </c>
      <c r="AC84" s="335" t="str">
        <f t="shared" si="17"/>
        <v/>
      </c>
      <c r="AD84" s="311">
        <f t="shared" si="11"/>
        <v>0</v>
      </c>
      <c r="AE84" s="344" t="str">
        <f t="shared" si="18"/>
        <v/>
      </c>
      <c r="AF84" s="344" t="str">
        <f t="shared" si="19"/>
        <v/>
      </c>
      <c r="AG84" s="561" t="str">
        <f t="shared" si="12"/>
        <v/>
      </c>
      <c r="AH84" s="561" t="str">
        <f t="shared" si="13"/>
        <v/>
      </c>
      <c r="AI84" s="313"/>
    </row>
    <row r="85" spans="1:35" ht="12" customHeight="1" outlineLevel="3" x14ac:dyDescent="0.2">
      <c r="A85" s="39">
        <v>4</v>
      </c>
      <c r="B85" s="23">
        <v>163010</v>
      </c>
      <c r="C85" s="23" t="s">
        <v>265</v>
      </c>
      <c r="D85" s="300">
        <f>Table22[[#This Row],[Level used for acute calculation]]</f>
        <v>4</v>
      </c>
      <c r="E85" s="302">
        <f>Table22[[#This Row],[MRL individual commodity]]</f>
        <v>0</v>
      </c>
      <c r="F85" s="451">
        <f>Table22[[#This Row],[Acute RA input value]]</f>
        <v>0</v>
      </c>
      <c r="G85" s="301" t="str">
        <f>Table22[[#This Row],[Acute RA label]]</f>
        <v/>
      </c>
      <c r="H85" s="303">
        <f>Table22[[#This Row],[Acute RA IESTI new input value]]</f>
        <v>0</v>
      </c>
      <c r="I85" s="301" t="str">
        <f>Table22[[#This Row],[Acute RA IESTI new label]]</f>
        <v/>
      </c>
      <c r="J85" s="504"/>
      <c r="K85" s="544">
        <f>Table22[[#This Row],[GAP under assessment]]</f>
        <v>0</v>
      </c>
      <c r="L85" s="304" t="str">
        <f>IF(input_values!$M85=0,"",input_values!$M85)</f>
        <v/>
      </c>
      <c r="M85" s="301" t="str">
        <f>IF(input_values!H85=0,"",input_values!H85)</f>
        <v/>
      </c>
      <c r="N85" s="304">
        <f>input_values!$K85</f>
        <v>0</v>
      </c>
      <c r="O85" s="339">
        <v>7.2</v>
      </c>
      <c r="P85" s="22">
        <v>100</v>
      </c>
      <c r="Q85" s="22" t="s">
        <v>256</v>
      </c>
      <c r="R85" s="326">
        <v>16.149999999999999</v>
      </c>
      <c r="S85" s="328">
        <f t="shared" si="14"/>
        <v>116.27999999999999</v>
      </c>
      <c r="T85" s="328">
        <v>167.6</v>
      </c>
      <c r="U85" s="329" t="s">
        <v>40</v>
      </c>
      <c r="V85" s="328">
        <v>249.8</v>
      </c>
      <c r="W85" s="329" t="s">
        <v>40</v>
      </c>
      <c r="X85" s="378" t="str">
        <f>IF(V85="ND","ND",IF(S85="","",IF(OR(MID(C85,1,4)="milk",AND(MID(B85,1,2)="50",NOT(input_values!M85="Y")),AND(MID(B85,1,2)="40",NOT(input_values!M85="Y")),AND(MID(B85,1,2)="30",NOT(input_values!M85="Y"))),3,IF(OR(V85="&lt;25",B85&gt;1000000),1,IF((T85&gt;=S85),"2b","2a")))))</f>
        <v>2b</v>
      </c>
      <c r="Y85" s="22">
        <f>IF(X85="ND","ND",IF(S85="","",IF(input_values!K85&gt;0,input_values!K85,IF(OR(X85=1,X85=3),1,IF((V85&gt;250),5,7)))))</f>
        <v>7</v>
      </c>
      <c r="Z85" s="330" t="str">
        <f t="shared" si="15"/>
        <v/>
      </c>
      <c r="AA85" s="331">
        <f t="shared" si="10"/>
        <v>0</v>
      </c>
      <c r="AB85" s="27">
        <f t="shared" si="16"/>
        <v>3</v>
      </c>
      <c r="AC85" s="330" t="str">
        <f t="shared" si="17"/>
        <v/>
      </c>
      <c r="AD85" s="332">
        <f t="shared" si="11"/>
        <v>0</v>
      </c>
      <c r="AE85" s="333" t="str">
        <f t="shared" si="18"/>
        <v/>
      </c>
      <c r="AF85" s="333" t="str">
        <f t="shared" si="19"/>
        <v/>
      </c>
      <c r="AG85" s="561" t="str">
        <f t="shared" si="12"/>
        <v/>
      </c>
      <c r="AH85" s="561" t="str">
        <f t="shared" si="13"/>
        <v/>
      </c>
      <c r="AI85" s="313"/>
    </row>
    <row r="86" spans="1:35" outlineLevel="3" x14ac:dyDescent="0.2">
      <c r="A86" s="39">
        <v>4</v>
      </c>
      <c r="B86" s="23">
        <v>163020</v>
      </c>
      <c r="C86" s="23" t="s">
        <v>266</v>
      </c>
      <c r="D86" s="300">
        <f>Table22[[#This Row],[Level used for acute calculation]]</f>
        <v>4</v>
      </c>
      <c r="E86" s="302">
        <f>Table22[[#This Row],[MRL individual commodity]]</f>
        <v>0</v>
      </c>
      <c r="F86" s="451">
        <f>Table22[[#This Row],[Acute RA input value]]</f>
        <v>0</v>
      </c>
      <c r="G86" s="301" t="str">
        <f>Table22[[#This Row],[Acute RA label]]</f>
        <v/>
      </c>
      <c r="H86" s="303">
        <f>Table22[[#This Row],[Acute RA IESTI new input value]]</f>
        <v>0</v>
      </c>
      <c r="I86" s="301" t="str">
        <f>Table22[[#This Row],[Acute RA IESTI new label]]</f>
        <v/>
      </c>
      <c r="J86" s="504"/>
      <c r="K86" s="544">
        <f>Table22[[#This Row],[GAP under assessment]]</f>
        <v>0</v>
      </c>
      <c r="L86" s="304" t="str">
        <f>IF(input_values!$M86=0,"",input_values!$M86)</f>
        <v/>
      </c>
      <c r="M86" s="301" t="str">
        <f>IF(input_values!H86=0,"",input_values!H86)</f>
        <v/>
      </c>
      <c r="N86" s="304">
        <f>input_values!$K86</f>
        <v>0</v>
      </c>
      <c r="O86" s="326">
        <v>20.47058823529412</v>
      </c>
      <c r="P86" s="22">
        <v>97.5</v>
      </c>
      <c r="Q86" s="22" t="s">
        <v>329</v>
      </c>
      <c r="R86" s="326">
        <v>10.199999999999999</v>
      </c>
      <c r="S86" s="328">
        <f t="shared" si="14"/>
        <v>208.8</v>
      </c>
      <c r="T86" s="328">
        <v>130.19999999999999</v>
      </c>
      <c r="U86" s="329" t="s">
        <v>215</v>
      </c>
      <c r="V86" s="328">
        <v>186</v>
      </c>
      <c r="W86" s="329" t="s">
        <v>215</v>
      </c>
      <c r="X86" s="1464" t="str">
        <f>IF(V86="ND","ND",IF(S86="","",IF(OR(MID(C86,1,4)="milk",AND(MID(B86,1,2)="50",NOT(input_values!M86="Y")),AND(MID(B86,1,2)="40",NOT(input_values!M86="Y")),AND(MID(B86,1,2)="30",NOT(input_values!M86="Y"))),3,IF(OR(V86="&lt;25",B86&gt;1000000),1,IF((T86&gt;=S86),"2b","2a")))))</f>
        <v>2a</v>
      </c>
      <c r="Y86" s="22">
        <f>IF(X86="ND","ND",IF(S86="","",IF(input_values!K86&gt;0,input_values!K86,IF(OR(X86=1,X86=3),1,IF((V86&gt;250),5,7)))))</f>
        <v>7</v>
      </c>
      <c r="Z86" s="330" t="str">
        <f t="shared" si="15"/>
        <v/>
      </c>
      <c r="AA86" s="331">
        <f t="shared" si="10"/>
        <v>0</v>
      </c>
      <c r="AB86" s="27">
        <f t="shared" si="16"/>
        <v>3</v>
      </c>
      <c r="AC86" s="330" t="str">
        <f t="shared" si="17"/>
        <v/>
      </c>
      <c r="AD86" s="332">
        <f t="shared" si="11"/>
        <v>0</v>
      </c>
      <c r="AE86" s="333" t="str">
        <f t="shared" si="18"/>
        <v/>
      </c>
      <c r="AF86" s="333" t="str">
        <f t="shared" si="19"/>
        <v/>
      </c>
      <c r="AG86" s="561" t="str">
        <f t="shared" si="12"/>
        <v/>
      </c>
      <c r="AH86" s="561" t="str">
        <f t="shared" si="13"/>
        <v/>
      </c>
      <c r="AI86" s="313"/>
    </row>
    <row r="87" spans="1:35" outlineLevel="3" x14ac:dyDescent="0.2">
      <c r="A87" s="39">
        <v>4</v>
      </c>
      <c r="B87" s="23">
        <v>163030</v>
      </c>
      <c r="C87" s="23" t="s">
        <v>267</v>
      </c>
      <c r="D87" s="300">
        <f>Table22[[#This Row],[Level used for acute calculation]]</f>
        <v>4</v>
      </c>
      <c r="E87" s="302">
        <f>Table22[[#This Row],[MRL individual commodity]]</f>
        <v>0</v>
      </c>
      <c r="F87" s="451">
        <f>Table22[[#This Row],[Acute RA input value]]</f>
        <v>0</v>
      </c>
      <c r="G87" s="301" t="str">
        <f>Table22[[#This Row],[Acute RA label]]</f>
        <v/>
      </c>
      <c r="H87" s="303">
        <f>Table22[[#This Row],[Acute RA IESTI new input value]]</f>
        <v>0</v>
      </c>
      <c r="I87" s="301" t="str">
        <f>Table22[[#This Row],[Acute RA IESTI new label]]</f>
        <v/>
      </c>
      <c r="J87" s="504"/>
      <c r="K87" s="544">
        <f>Table22[[#This Row],[GAP under assessment]]</f>
        <v>0</v>
      </c>
      <c r="L87" s="304" t="str">
        <f>IF(input_values!$M87=0,"",input_values!$M87)</f>
        <v/>
      </c>
      <c r="M87" s="301" t="str">
        <f>IF(input_values!H87=0,"",input_values!H87)</f>
        <v/>
      </c>
      <c r="N87" s="304">
        <f>input_values!$K87</f>
        <v>0</v>
      </c>
      <c r="O87" s="326">
        <v>15.725490196078432</v>
      </c>
      <c r="P87" s="22">
        <v>90</v>
      </c>
      <c r="Q87" s="22" t="s">
        <v>329</v>
      </c>
      <c r="R87" s="326">
        <v>10.199999999999999</v>
      </c>
      <c r="S87" s="328">
        <f t="shared" si="14"/>
        <v>160.4</v>
      </c>
      <c r="T87" s="328">
        <v>288.75</v>
      </c>
      <c r="U87" s="329" t="s">
        <v>215</v>
      </c>
      <c r="V87" s="328">
        <v>385</v>
      </c>
      <c r="W87" s="329" t="s">
        <v>215</v>
      </c>
      <c r="X87" s="1464" t="str">
        <f>IF(V87="ND","ND",IF(S87="","",IF(OR(MID(C87,1,4)="milk",AND(MID(B87,1,2)="50",NOT(input_values!M87="Y")),AND(MID(B87,1,2)="40",NOT(input_values!M87="Y")),AND(MID(B87,1,2)="30",NOT(input_values!M87="Y"))),3,IF(OR(V87="&lt;25",B87&gt;1000000),1,IF((T87&gt;=S87),"2b","2a")))))</f>
        <v>2b</v>
      </c>
      <c r="Y87" s="22">
        <f>IF(X87="ND","ND",IF(S87="","",IF(input_values!K87&gt;0,input_values!K87,IF(OR(X87=1,X87=3),1,IF((V87&gt;250),5,7)))))</f>
        <v>5</v>
      </c>
      <c r="Z87" s="330" t="str">
        <f t="shared" si="15"/>
        <v/>
      </c>
      <c r="AA87" s="331">
        <f t="shared" si="10"/>
        <v>0</v>
      </c>
      <c r="AB87" s="27">
        <f t="shared" si="16"/>
        <v>3</v>
      </c>
      <c r="AC87" s="330" t="str">
        <f t="shared" si="17"/>
        <v/>
      </c>
      <c r="AD87" s="332">
        <f t="shared" si="11"/>
        <v>0</v>
      </c>
      <c r="AE87" s="333" t="str">
        <f t="shared" si="18"/>
        <v/>
      </c>
      <c r="AF87" s="333" t="str">
        <f t="shared" si="19"/>
        <v/>
      </c>
      <c r="AG87" s="561" t="str">
        <f t="shared" si="12"/>
        <v/>
      </c>
      <c r="AH87" s="561" t="str">
        <f t="shared" si="13"/>
        <v/>
      </c>
      <c r="AI87" s="313"/>
    </row>
    <row r="88" spans="1:35" outlineLevel="3" x14ac:dyDescent="0.2">
      <c r="A88" s="39">
        <v>4</v>
      </c>
      <c r="B88" s="23">
        <v>163040</v>
      </c>
      <c r="C88" s="23" t="s">
        <v>698</v>
      </c>
      <c r="D88" s="300">
        <f>Table22[[#This Row],[Level used for acute calculation]]</f>
        <v>4</v>
      </c>
      <c r="E88" s="302">
        <f>Table22[[#This Row],[MRL individual commodity]]</f>
        <v>0</v>
      </c>
      <c r="F88" s="451">
        <f>Table22[[#This Row],[Acute RA input value]]</f>
        <v>0</v>
      </c>
      <c r="G88" s="301" t="str">
        <f>Table22[[#This Row],[Acute RA label]]</f>
        <v/>
      </c>
      <c r="H88" s="303">
        <f>Table22[[#This Row],[Acute RA IESTI new input value]]</f>
        <v>0</v>
      </c>
      <c r="I88" s="301" t="str">
        <f>Table22[[#This Row],[Acute RA IESTI new label]]</f>
        <v/>
      </c>
      <c r="J88" s="504"/>
      <c r="K88" s="544">
        <f>Table22[[#This Row],[GAP under assessment]]</f>
        <v>0</v>
      </c>
      <c r="L88" s="304" t="str">
        <f>IF(input_values!$M88=0,"",input_values!$M88)</f>
        <v/>
      </c>
      <c r="M88" s="301" t="str">
        <f>IF(input_values!H88=0,"",input_values!H88)</f>
        <v/>
      </c>
      <c r="N88" s="304">
        <f>input_values!$K88</f>
        <v>0</v>
      </c>
      <c r="O88" s="326">
        <v>6.0597826086956523</v>
      </c>
      <c r="P88" s="22" t="s">
        <v>331</v>
      </c>
      <c r="Q88" s="22" t="s">
        <v>259</v>
      </c>
      <c r="R88" s="326">
        <v>18.399999999999999</v>
      </c>
      <c r="S88" s="328">
        <f t="shared" si="14"/>
        <v>111.5</v>
      </c>
      <c r="T88" s="328">
        <v>125</v>
      </c>
      <c r="U88" s="329" t="s">
        <v>286</v>
      </c>
      <c r="V88" s="328">
        <v>250</v>
      </c>
      <c r="W88" s="329" t="s">
        <v>286</v>
      </c>
      <c r="X88" s="1464" t="str">
        <f>IF(V88="ND","ND",IF(S88="","",IF(OR(MID(C88,1,4)="milk",AND(MID(B88,1,2)="50",NOT(input_values!M88="Y")),AND(MID(B88,1,2)="40",NOT(input_values!M88="Y")),AND(MID(B88,1,2)="30",NOT(input_values!M88="Y"))),3,IF(OR(V88="&lt;25",B88&gt;1000000),1,IF((T88&gt;=S88),"2b","2a")))))</f>
        <v>2b</v>
      </c>
      <c r="Y88" s="22">
        <f>IF(X88="ND","ND",IF(S88="","",IF(input_values!K88&gt;0,input_values!K88,IF(OR(X88=1,X88=3),1,IF((V88&gt;250),5,7)))))</f>
        <v>7</v>
      </c>
      <c r="Z88" s="330" t="str">
        <f t="shared" si="15"/>
        <v/>
      </c>
      <c r="AA88" s="331">
        <f t="shared" si="10"/>
        <v>0</v>
      </c>
      <c r="AB88" s="27">
        <f t="shared" si="16"/>
        <v>3</v>
      </c>
      <c r="AC88" s="330" t="str">
        <f t="shared" si="17"/>
        <v/>
      </c>
      <c r="AD88" s="332">
        <f t="shared" si="11"/>
        <v>0</v>
      </c>
      <c r="AE88" s="333" t="str">
        <f t="shared" si="18"/>
        <v/>
      </c>
      <c r="AF88" s="333" t="str">
        <f t="shared" si="19"/>
        <v/>
      </c>
      <c r="AG88" s="561" t="str">
        <f t="shared" si="12"/>
        <v/>
      </c>
      <c r="AH88" s="561" t="str">
        <f t="shared" si="13"/>
        <v/>
      </c>
      <c r="AI88" s="313"/>
    </row>
    <row r="89" spans="1:35" ht="24" outlineLevel="3" x14ac:dyDescent="0.2">
      <c r="A89" s="39">
        <v>4</v>
      </c>
      <c r="B89" s="23">
        <v>163050</v>
      </c>
      <c r="C89" s="23" t="s">
        <v>699</v>
      </c>
      <c r="D89" s="300">
        <f>Table22[[#This Row],[Level used for acute calculation]]</f>
        <v>4</v>
      </c>
      <c r="E89" s="302">
        <f>Table22[[#This Row],[MRL individual commodity]]</f>
        <v>0</v>
      </c>
      <c r="F89" s="451">
        <f>Table22[[#This Row],[Acute RA input value]]</f>
        <v>0</v>
      </c>
      <c r="G89" s="301" t="str">
        <f>Table22[[#This Row],[Acute RA label]]</f>
        <v/>
      </c>
      <c r="H89" s="303">
        <f>Table22[[#This Row],[Acute RA IESTI new input value]]</f>
        <v>0</v>
      </c>
      <c r="I89" s="301" t="str">
        <f>Table22[[#This Row],[Acute RA IESTI new label]]</f>
        <v/>
      </c>
      <c r="J89" s="504"/>
      <c r="K89" s="544">
        <f>Table22[[#This Row],[GAP under assessment]]</f>
        <v>0</v>
      </c>
      <c r="L89" s="304" t="str">
        <f>IF(input_values!$M89=0,"",input_values!$M89)</f>
        <v/>
      </c>
      <c r="M89" s="301" t="str">
        <f>IF(input_values!H89=0,"",input_values!H89)</f>
        <v/>
      </c>
      <c r="N89" s="304">
        <f>input_values!$K89</f>
        <v>0</v>
      </c>
      <c r="O89" s="326">
        <v>7.8641304347826084</v>
      </c>
      <c r="P89" s="22" t="s">
        <v>331</v>
      </c>
      <c r="Q89" s="22" t="s">
        <v>259</v>
      </c>
      <c r="R89" s="326">
        <v>18.399999999999999</v>
      </c>
      <c r="S89" s="328">
        <f t="shared" si="14"/>
        <v>144.69999999999999</v>
      </c>
      <c r="T89" s="328">
        <v>158.41</v>
      </c>
      <c r="U89" s="329" t="s">
        <v>215</v>
      </c>
      <c r="V89" s="328">
        <v>217</v>
      </c>
      <c r="W89" s="329" t="s">
        <v>215</v>
      </c>
      <c r="X89" s="1464" t="str">
        <f>IF(V89="ND","ND",IF(S89="","",IF(OR(MID(C89,1,4)="milk",AND(MID(B89,1,2)="50",NOT(input_values!M89="Y")),AND(MID(B89,1,2)="40",NOT(input_values!M89="Y")),AND(MID(B89,1,2)="30",NOT(input_values!M89="Y"))),3,IF(OR(V89="&lt;25",B89&gt;1000000),1,IF((T89&gt;=S89),"2b","2a")))))</f>
        <v>2b</v>
      </c>
      <c r="Y89" s="22">
        <f>IF(X89="ND","ND",IF(S89="","",IF(input_values!K89&gt;0,input_values!K89,IF(OR(X89=1,X89=3),1,IF((V89&gt;250),5,7)))))</f>
        <v>7</v>
      </c>
      <c r="Z89" s="330" t="str">
        <f t="shared" si="15"/>
        <v/>
      </c>
      <c r="AA89" s="331">
        <f t="shared" si="10"/>
        <v>0</v>
      </c>
      <c r="AB89" s="27">
        <f t="shared" si="16"/>
        <v>3</v>
      </c>
      <c r="AC89" s="330" t="str">
        <f t="shared" si="17"/>
        <v/>
      </c>
      <c r="AD89" s="332">
        <f t="shared" si="11"/>
        <v>0</v>
      </c>
      <c r="AE89" s="333" t="str">
        <f t="shared" si="18"/>
        <v/>
      </c>
      <c r="AF89" s="333" t="str">
        <f t="shared" si="19"/>
        <v/>
      </c>
      <c r="AG89" s="561" t="str">
        <f t="shared" si="12"/>
        <v/>
      </c>
      <c r="AH89" s="561" t="str">
        <f t="shared" si="13"/>
        <v/>
      </c>
      <c r="AI89" s="334"/>
    </row>
    <row r="90" spans="1:35" outlineLevel="3" x14ac:dyDescent="0.2">
      <c r="A90" s="39">
        <v>4</v>
      </c>
      <c r="B90" s="23">
        <v>163060</v>
      </c>
      <c r="C90" s="23" t="s">
        <v>700</v>
      </c>
      <c r="D90" s="300">
        <f>Table22[[#This Row],[Level used for acute calculation]]</f>
        <v>4</v>
      </c>
      <c r="E90" s="302">
        <f>Table22[[#This Row],[MRL individual commodity]]</f>
        <v>0</v>
      </c>
      <c r="F90" s="451">
        <f>Table22[[#This Row],[Acute RA input value]]</f>
        <v>0</v>
      </c>
      <c r="G90" s="301" t="str">
        <f>Table22[[#This Row],[Acute RA label]]</f>
        <v/>
      </c>
      <c r="H90" s="303">
        <f>Table22[[#This Row],[Acute RA IESTI new input value]]</f>
        <v>0</v>
      </c>
      <c r="I90" s="301" t="str">
        <f>Table22[[#This Row],[Acute RA IESTI new label]]</f>
        <v/>
      </c>
      <c r="J90" s="504"/>
      <c r="K90" s="544">
        <f>Table22[[#This Row],[GAP under assessment]]</f>
        <v>0</v>
      </c>
      <c r="L90" s="304" t="str">
        <f>IF(input_values!$M90=0,"",input_values!$M90)</f>
        <v/>
      </c>
      <c r="M90" s="301" t="str">
        <f>IF(input_values!H90=0,"",input_values!H90)</f>
        <v/>
      </c>
      <c r="N90" s="304">
        <f>input_values!$K90</f>
        <v>0</v>
      </c>
      <c r="O90" s="326">
        <v>3.0106999999999999</v>
      </c>
      <c r="P90" s="22">
        <v>97.5</v>
      </c>
      <c r="Q90" s="22" t="s">
        <v>1</v>
      </c>
      <c r="R90" s="326">
        <v>34.479999999999997</v>
      </c>
      <c r="S90" s="328">
        <f t="shared" si="14"/>
        <v>103.80893599999999</v>
      </c>
      <c r="T90" s="328">
        <v>312</v>
      </c>
      <c r="U90" s="329" t="s">
        <v>45</v>
      </c>
      <c r="V90" s="328">
        <v>312</v>
      </c>
      <c r="W90" s="329" t="s">
        <v>45</v>
      </c>
      <c r="X90" s="1464" t="str">
        <f>IF(V90="ND","ND",IF(S90="","",IF(OR(MID(C90,1,4)="milk",AND(MID(B90,1,2)="50",NOT(input_values!M90="Y")),AND(MID(B90,1,2)="40",NOT(input_values!M90="Y")),AND(MID(B90,1,2)="30",NOT(input_values!M90="Y"))),3,IF(OR(V90="&lt;25",B90&gt;1000000),1,IF((T90&gt;=S90),"2b","2a")))))</f>
        <v>2b</v>
      </c>
      <c r="Y90" s="22">
        <f>IF(X90="ND","ND",IF(S90="","",IF(input_values!K90&gt;0,input_values!K90,IF(OR(X90=1,X90=3),1,IF((V90&gt;250),5,7)))))</f>
        <v>5</v>
      </c>
      <c r="Z90" s="330" t="str">
        <f t="shared" si="15"/>
        <v/>
      </c>
      <c r="AA90" s="331">
        <f t="shared" si="10"/>
        <v>0</v>
      </c>
      <c r="AB90" s="27">
        <f t="shared" si="16"/>
        <v>3</v>
      </c>
      <c r="AC90" s="330" t="str">
        <f t="shared" si="17"/>
        <v/>
      </c>
      <c r="AD90" s="332">
        <f t="shared" si="11"/>
        <v>0</v>
      </c>
      <c r="AE90" s="333" t="str">
        <f t="shared" si="18"/>
        <v/>
      </c>
      <c r="AF90" s="333" t="str">
        <f t="shared" si="19"/>
        <v/>
      </c>
      <c r="AG90" s="561" t="str">
        <f t="shared" si="12"/>
        <v/>
      </c>
      <c r="AH90" s="561" t="str">
        <f t="shared" si="13"/>
        <v/>
      </c>
      <c r="AI90" s="313"/>
    </row>
    <row r="91" spans="1:35" outlineLevel="3" x14ac:dyDescent="0.2">
      <c r="A91" s="39">
        <v>4</v>
      </c>
      <c r="B91" s="23">
        <v>163070</v>
      </c>
      <c r="C91" s="23" t="s">
        <v>701</v>
      </c>
      <c r="D91" s="300">
        <f>Table22[[#This Row],[Level used for acute calculation]]</f>
        <v>4</v>
      </c>
      <c r="E91" s="302">
        <f>Table22[[#This Row],[MRL individual commodity]]</f>
        <v>0</v>
      </c>
      <c r="F91" s="451">
        <f>Table22[[#This Row],[Acute RA input value]]</f>
        <v>0</v>
      </c>
      <c r="G91" s="301" t="str">
        <f>Table22[[#This Row],[Acute RA label]]</f>
        <v/>
      </c>
      <c r="H91" s="303">
        <f>Table22[[#This Row],[Acute RA IESTI new input value]]</f>
        <v>0</v>
      </c>
      <c r="I91" s="301" t="str">
        <f>Table22[[#This Row],[Acute RA IESTI new label]]</f>
        <v/>
      </c>
      <c r="J91" s="504"/>
      <c r="K91" s="544">
        <f>Table22[[#This Row],[GAP under assessment]]</f>
        <v>0</v>
      </c>
      <c r="L91" s="304" t="str">
        <f>IF(input_values!$M91=0,"",input_values!$M91)</f>
        <v/>
      </c>
      <c r="M91" s="301" t="str">
        <f>IF(input_values!H91=0,"",input_values!H91)</f>
        <v/>
      </c>
      <c r="N91" s="304">
        <f>input_values!$K91</f>
        <v>0</v>
      </c>
      <c r="O91" s="326">
        <v>3.1521739130434785</v>
      </c>
      <c r="P91" s="22" t="s">
        <v>331</v>
      </c>
      <c r="Q91" s="22" t="s">
        <v>259</v>
      </c>
      <c r="R91" s="326">
        <v>18.399999999999999</v>
      </c>
      <c r="S91" s="328">
        <f t="shared" si="14"/>
        <v>58</v>
      </c>
      <c r="T91" s="328">
        <v>87.3</v>
      </c>
      <c r="U91" s="329" t="s">
        <v>215</v>
      </c>
      <c r="V91" s="328">
        <v>90</v>
      </c>
      <c r="W91" s="329" t="s">
        <v>215</v>
      </c>
      <c r="X91" s="1464" t="str">
        <f>IF(V91="ND","ND",IF(S91="","",IF(OR(MID(C91,1,4)="milk",AND(MID(B91,1,2)="50",NOT(input_values!M91="Y")),AND(MID(B91,1,2)="40",NOT(input_values!M91="Y")),AND(MID(B91,1,2)="30",NOT(input_values!M91="Y"))),3,IF(OR(V91="&lt;25",B91&gt;1000000),1,IF((T91&gt;=S91),"2b","2a")))))</f>
        <v>2b</v>
      </c>
      <c r="Y91" s="22">
        <f>IF(X91="ND","ND",IF(S91="","",IF(input_values!K91&gt;0,input_values!K91,IF(OR(X91=1,X91=3),1,IF((V91&gt;250),5,7)))))</f>
        <v>7</v>
      </c>
      <c r="Z91" s="330" t="str">
        <f t="shared" si="15"/>
        <v/>
      </c>
      <c r="AA91" s="331">
        <f t="shared" si="10"/>
        <v>0</v>
      </c>
      <c r="AB91" s="27">
        <f t="shared" si="16"/>
        <v>3</v>
      </c>
      <c r="AC91" s="330" t="str">
        <f t="shared" si="17"/>
        <v/>
      </c>
      <c r="AD91" s="332">
        <f t="shared" si="11"/>
        <v>0</v>
      </c>
      <c r="AE91" s="333" t="str">
        <f t="shared" si="18"/>
        <v/>
      </c>
      <c r="AF91" s="333" t="str">
        <f t="shared" si="19"/>
        <v/>
      </c>
      <c r="AG91" s="561" t="str">
        <f t="shared" si="12"/>
        <v/>
      </c>
      <c r="AH91" s="561" t="str">
        <f t="shared" si="13"/>
        <v/>
      </c>
      <c r="AI91" s="334"/>
    </row>
    <row r="92" spans="1:35" outlineLevel="3" x14ac:dyDescent="0.2">
      <c r="A92" s="39">
        <v>4</v>
      </c>
      <c r="B92" s="23">
        <v>163080</v>
      </c>
      <c r="C92" s="23" t="s">
        <v>268</v>
      </c>
      <c r="D92" s="300">
        <f>Table22[[#This Row],[Level used for acute calculation]]</f>
        <v>4</v>
      </c>
      <c r="E92" s="302">
        <f>Table22[[#This Row],[MRL individual commodity]]</f>
        <v>0</v>
      </c>
      <c r="F92" s="451">
        <f>Table22[[#This Row],[Acute RA input value]]</f>
        <v>0</v>
      </c>
      <c r="G92" s="301" t="str">
        <f>Table22[[#This Row],[Acute RA label]]</f>
        <v/>
      </c>
      <c r="H92" s="303">
        <f>Table22[[#This Row],[Acute RA IESTI new input value]]</f>
        <v>0</v>
      </c>
      <c r="I92" s="301" t="str">
        <f>Table22[[#This Row],[Acute RA IESTI new label]]</f>
        <v/>
      </c>
      <c r="J92" s="504"/>
      <c r="K92" s="544">
        <f>Table22[[#This Row],[GAP under assessment]]</f>
        <v>0</v>
      </c>
      <c r="L92" s="304" t="str">
        <f>IF(input_values!$M92=0,"",input_values!$M92)</f>
        <v/>
      </c>
      <c r="M92" s="301" t="str">
        <f>IF(input_values!H92=0,"",input_values!H92)</f>
        <v/>
      </c>
      <c r="N92" s="304">
        <f>input_values!$K92</f>
        <v>0</v>
      </c>
      <c r="O92" s="326">
        <v>20.239024390243902</v>
      </c>
      <c r="P92" s="22">
        <v>97.5</v>
      </c>
      <c r="Q92" s="22" t="s">
        <v>92</v>
      </c>
      <c r="R92" s="326">
        <v>20.5</v>
      </c>
      <c r="S92" s="328">
        <f t="shared" si="14"/>
        <v>414.9</v>
      </c>
      <c r="T92" s="328">
        <v>1600</v>
      </c>
      <c r="U92" s="329" t="s">
        <v>45</v>
      </c>
      <c r="V92" s="328">
        <v>1600</v>
      </c>
      <c r="W92" s="329" t="s">
        <v>45</v>
      </c>
      <c r="X92" s="1464" t="str">
        <f>IF(V92="ND","ND",IF(S92="","",IF(OR(MID(C92,1,4)="milk",AND(MID(B92,1,2)="50",NOT(input_values!M92="Y")),AND(MID(B92,1,2)="40",NOT(input_values!M92="Y")),AND(MID(B92,1,2)="30",NOT(input_values!M92="Y"))),3,IF(OR(V92="&lt;25",B92&gt;1000000),1,IF((T92&gt;=S92),"2b","2a")))))</f>
        <v>2b</v>
      </c>
      <c r="Y92" s="22">
        <f>IF(X92="ND","ND",IF(S92="","",IF(input_values!K92&gt;0,input_values!K92,IF(OR(X92=1,X92=3),1,IF((V92&gt;250),5,7)))))</f>
        <v>5</v>
      </c>
      <c r="Z92" s="330" t="str">
        <f t="shared" si="15"/>
        <v/>
      </c>
      <c r="AA92" s="331">
        <f t="shared" si="10"/>
        <v>0</v>
      </c>
      <c r="AB92" s="27">
        <f t="shared" si="16"/>
        <v>3</v>
      </c>
      <c r="AC92" s="330" t="str">
        <f t="shared" si="17"/>
        <v/>
      </c>
      <c r="AD92" s="332">
        <f t="shared" si="11"/>
        <v>0</v>
      </c>
      <c r="AE92" s="333" t="str">
        <f t="shared" si="18"/>
        <v/>
      </c>
      <c r="AF92" s="333" t="str">
        <f t="shared" si="19"/>
        <v/>
      </c>
      <c r="AG92" s="561" t="str">
        <f t="shared" si="12"/>
        <v/>
      </c>
      <c r="AH92" s="561" t="str">
        <f t="shared" si="13"/>
        <v/>
      </c>
      <c r="AI92" s="334"/>
    </row>
    <row r="93" spans="1:35" outlineLevel="3" x14ac:dyDescent="0.2">
      <c r="A93" s="39">
        <v>4</v>
      </c>
      <c r="B93" s="23">
        <v>163090</v>
      </c>
      <c r="C93" s="23" t="s">
        <v>702</v>
      </c>
      <c r="D93" s="300">
        <f>Table22[[#This Row],[Level used for acute calculation]]</f>
        <v>4</v>
      </c>
      <c r="E93" s="302">
        <f>Table22[[#This Row],[MRL individual commodity]]</f>
        <v>0</v>
      </c>
      <c r="F93" s="451">
        <f>Table22[[#This Row],[Acute RA input value]]</f>
        <v>0</v>
      </c>
      <c r="G93" s="301" t="str">
        <f>Table22[[#This Row],[Acute RA label]]</f>
        <v/>
      </c>
      <c r="H93" s="303">
        <f>Table22[[#This Row],[Acute RA IESTI new input value]]</f>
        <v>0</v>
      </c>
      <c r="I93" s="301" t="str">
        <f>Table22[[#This Row],[Acute RA IESTI new label]]</f>
        <v/>
      </c>
      <c r="J93" s="504"/>
      <c r="K93" s="544">
        <f>Table22[[#This Row],[GAP under assessment]]</f>
        <v>0</v>
      </c>
      <c r="L93" s="304" t="str">
        <f>IF(input_values!$M93=0,"",input_values!$M93)</f>
        <v/>
      </c>
      <c r="M93" s="301" t="str">
        <f>IF(input_values!H93=0,"",input_values!H93)</f>
        <v/>
      </c>
      <c r="N93" s="304">
        <f>input_values!$K93</f>
        <v>0</v>
      </c>
      <c r="O93" s="338" t="s">
        <v>618</v>
      </c>
      <c r="P93" s="22"/>
      <c r="Q93" s="22"/>
      <c r="R93" s="330"/>
      <c r="S93" s="31" t="str">
        <f t="shared" si="14"/>
        <v>ND</v>
      </c>
      <c r="T93" s="338" t="s">
        <v>618</v>
      </c>
      <c r="U93" s="329"/>
      <c r="V93" s="338" t="s">
        <v>618</v>
      </c>
      <c r="W93" s="329"/>
      <c r="X93" s="460" t="str">
        <f>IF(V93="ND","ND",IF(S93="","",IF(OR(MID(C93,1,4)="milk",AND(MID(B93,1,2)="50",NOT(input_values!M93="Y")),AND(MID(B93,1,2)="40",NOT(input_values!M93="Y")),AND(MID(B93,1,2)="30",NOT(input_values!M93="Y"))),3,IF(OR(V93="&lt;25",B93&gt;1000000),1,IF((T93&gt;=S93),"2b","2a")))))</f>
        <v>ND</v>
      </c>
      <c r="Y93" s="22" t="str">
        <f>IF(X93="ND","ND",IF(S93="","",IF(input_values!K93&gt;0,input_values!K93,IF(OR(X93=1,X93=3),1,IF((V93&gt;250),5,7)))))</f>
        <v>ND</v>
      </c>
      <c r="Z93" s="340" t="str">
        <f t="shared" si="15"/>
        <v/>
      </c>
      <c r="AA93" s="332">
        <f t="shared" si="10"/>
        <v>0</v>
      </c>
      <c r="AB93" s="27" t="str">
        <f t="shared" si="16"/>
        <v>ND</v>
      </c>
      <c r="AC93" s="340" t="str">
        <f t="shared" si="17"/>
        <v/>
      </c>
      <c r="AD93" s="332">
        <f t="shared" si="11"/>
        <v>0</v>
      </c>
      <c r="AE93" s="37" t="str">
        <f t="shared" si="18"/>
        <v/>
      </c>
      <c r="AF93" s="37" t="str">
        <f t="shared" si="19"/>
        <v/>
      </c>
      <c r="AG93" s="561" t="str">
        <f t="shared" si="12"/>
        <v/>
      </c>
      <c r="AH93" s="561" t="str">
        <f t="shared" si="13"/>
        <v/>
      </c>
      <c r="AI93" s="313"/>
    </row>
    <row r="94" spans="1:35" outlineLevel="3" x14ac:dyDescent="0.2">
      <c r="A94" s="39">
        <v>4</v>
      </c>
      <c r="B94" s="23">
        <v>163100</v>
      </c>
      <c r="C94" s="23" t="s">
        <v>703</v>
      </c>
      <c r="D94" s="300">
        <f>Table22[[#This Row],[Level used for acute calculation]]</f>
        <v>4</v>
      </c>
      <c r="E94" s="302">
        <f>Table22[[#This Row],[MRL individual commodity]]</f>
        <v>0</v>
      </c>
      <c r="F94" s="451">
        <f>Table22[[#This Row],[Acute RA input value]]</f>
        <v>0</v>
      </c>
      <c r="G94" s="301" t="str">
        <f>Table22[[#This Row],[Acute RA label]]</f>
        <v/>
      </c>
      <c r="H94" s="303">
        <f>Table22[[#This Row],[Acute RA IESTI new input value]]</f>
        <v>0</v>
      </c>
      <c r="I94" s="301" t="str">
        <f>Table22[[#This Row],[Acute RA IESTI new label]]</f>
        <v/>
      </c>
      <c r="J94" s="504"/>
      <c r="K94" s="544">
        <f>Table22[[#This Row],[GAP under assessment]]</f>
        <v>0</v>
      </c>
      <c r="L94" s="304" t="str">
        <f>IF(input_values!$M94=0,"",input_values!$M94)</f>
        <v/>
      </c>
      <c r="M94" s="301" t="str">
        <f>IF(input_values!H94=0,"",input_values!H94)</f>
        <v/>
      </c>
      <c r="N94" s="304">
        <f>input_values!$K94</f>
        <v>0</v>
      </c>
      <c r="O94" s="338" t="s">
        <v>618</v>
      </c>
      <c r="P94" s="22"/>
      <c r="Q94" s="22"/>
      <c r="R94" s="330"/>
      <c r="S94" s="31" t="str">
        <f t="shared" si="14"/>
        <v>ND</v>
      </c>
      <c r="T94" s="338" t="s">
        <v>618</v>
      </c>
      <c r="U94" s="329"/>
      <c r="V94" s="338" t="s">
        <v>618</v>
      </c>
      <c r="W94" s="329"/>
      <c r="X94" s="460" t="str">
        <f>IF(V94="ND","ND",IF(S94="","",IF(OR(MID(C94,1,4)="milk",AND(MID(B94,1,2)="50",NOT(input_values!M94="Y")),AND(MID(B94,1,2)="40",NOT(input_values!M94="Y")),AND(MID(B94,1,2)="30",NOT(input_values!M94="Y"))),3,IF(OR(V94="&lt;25",B94&gt;1000000),1,IF((T94&gt;=S94),"2b","2a")))))</f>
        <v>ND</v>
      </c>
      <c r="Y94" s="22" t="str">
        <f>IF(X94="ND","ND",IF(S94="","",IF(input_values!K94&gt;0,input_values!K94,IF(OR(X94=1,X94=3),1,IF((V94&gt;250),5,7)))))</f>
        <v>ND</v>
      </c>
      <c r="Z94" s="340" t="str">
        <f t="shared" si="15"/>
        <v/>
      </c>
      <c r="AA94" s="332">
        <f t="shared" si="10"/>
        <v>0</v>
      </c>
      <c r="AB94" s="27" t="str">
        <f t="shared" si="16"/>
        <v>ND</v>
      </c>
      <c r="AC94" s="340" t="str">
        <f t="shared" si="17"/>
        <v/>
      </c>
      <c r="AD94" s="332">
        <f t="shared" si="11"/>
        <v>0</v>
      </c>
      <c r="AE94" s="37" t="str">
        <f t="shared" si="18"/>
        <v/>
      </c>
      <c r="AF94" s="37" t="str">
        <f t="shared" si="19"/>
        <v/>
      </c>
      <c r="AG94" s="561" t="str">
        <f t="shared" si="12"/>
        <v/>
      </c>
      <c r="AH94" s="561" t="str">
        <f t="shared" si="13"/>
        <v/>
      </c>
      <c r="AI94" s="313"/>
    </row>
    <row r="95" spans="1:35" outlineLevel="3" x14ac:dyDescent="0.2">
      <c r="A95" s="39">
        <v>4</v>
      </c>
      <c r="B95" s="23">
        <v>163110</v>
      </c>
      <c r="C95" s="23" t="s">
        <v>704</v>
      </c>
      <c r="D95" s="300">
        <f>Table22[[#This Row],[Level used for acute calculation]]</f>
        <v>4</v>
      </c>
      <c r="E95" s="302">
        <f>Table22[[#This Row],[MRL individual commodity]]</f>
        <v>0</v>
      </c>
      <c r="F95" s="451">
        <f>Table22[[#This Row],[Acute RA input value]]</f>
        <v>0</v>
      </c>
      <c r="G95" s="301" t="str">
        <f>Table22[[#This Row],[Acute RA label]]</f>
        <v/>
      </c>
      <c r="H95" s="303">
        <f>Table22[[#This Row],[Acute RA IESTI new input value]]</f>
        <v>0</v>
      </c>
      <c r="I95" s="301" t="str">
        <f>Table22[[#This Row],[Acute RA IESTI new label]]</f>
        <v/>
      </c>
      <c r="J95" s="504"/>
      <c r="K95" s="544">
        <f>Table22[[#This Row],[GAP under assessment]]</f>
        <v>0</v>
      </c>
      <c r="L95" s="304" t="str">
        <f>IF(input_values!$M95=0,"",input_values!$M95)</f>
        <v/>
      </c>
      <c r="M95" s="301" t="str">
        <f>IF(input_values!H95=0,"",input_values!H95)</f>
        <v/>
      </c>
      <c r="N95" s="304">
        <f>input_values!$K95</f>
        <v>0</v>
      </c>
      <c r="O95" s="338" t="s">
        <v>618</v>
      </c>
      <c r="P95" s="22"/>
      <c r="Q95" s="22"/>
      <c r="R95" s="330"/>
      <c r="S95" s="31" t="str">
        <f t="shared" si="14"/>
        <v>ND</v>
      </c>
      <c r="T95" s="338" t="s">
        <v>618</v>
      </c>
      <c r="U95" s="329"/>
      <c r="V95" s="338" t="s">
        <v>618</v>
      </c>
      <c r="W95" s="329"/>
      <c r="X95" s="460" t="str">
        <f>IF(V95="ND","ND",IF(S95="","",IF(OR(MID(C95,1,4)="milk",AND(MID(B95,1,2)="50",NOT(input_values!M95="Y")),AND(MID(B95,1,2)="40",NOT(input_values!M95="Y")),AND(MID(B95,1,2)="30",NOT(input_values!M95="Y"))),3,IF(OR(V95="&lt;25",B95&gt;1000000),1,IF((T95&gt;=S95),"2b","2a")))))</f>
        <v>ND</v>
      </c>
      <c r="Y95" s="22" t="str">
        <f>IF(X95="ND","ND",IF(S95="","",IF(input_values!K95&gt;0,input_values!K95,IF(OR(X95=1,X95=3),1,IF((V95&gt;250),5,7)))))</f>
        <v>ND</v>
      </c>
      <c r="Z95" s="340" t="str">
        <f t="shared" si="15"/>
        <v/>
      </c>
      <c r="AA95" s="332">
        <f t="shared" si="10"/>
        <v>0</v>
      </c>
      <c r="AB95" s="27" t="str">
        <f t="shared" si="16"/>
        <v>ND</v>
      </c>
      <c r="AC95" s="340" t="str">
        <f t="shared" si="17"/>
        <v/>
      </c>
      <c r="AD95" s="332">
        <f t="shared" si="11"/>
        <v>0</v>
      </c>
      <c r="AE95" s="37" t="str">
        <f t="shared" si="18"/>
        <v/>
      </c>
      <c r="AF95" s="37" t="str">
        <f t="shared" si="19"/>
        <v/>
      </c>
      <c r="AG95" s="561" t="str">
        <f t="shared" si="12"/>
        <v/>
      </c>
      <c r="AH95" s="561" t="str">
        <f t="shared" si="13"/>
        <v/>
      </c>
      <c r="AI95" s="334"/>
    </row>
    <row r="96" spans="1:35" ht="24" outlineLevel="3" x14ac:dyDescent="0.2">
      <c r="A96" s="39">
        <v>4</v>
      </c>
      <c r="B96" s="23">
        <v>163990</v>
      </c>
      <c r="C96" s="23" t="s">
        <v>55</v>
      </c>
      <c r="D96" s="300">
        <f>Table22[[#This Row],[Level used for acute calculation]]</f>
        <v>0</v>
      </c>
      <c r="E96" s="302">
        <f>Table22[[#This Row],[MRL individual commodity]]</f>
        <v>0</v>
      </c>
      <c r="F96" s="451">
        <f>Table22[[#This Row],[Acute RA input value]]</f>
        <v>0</v>
      </c>
      <c r="G96" s="301">
        <f>Table22[[#This Row],[Acute RA label]]</f>
        <v>0</v>
      </c>
      <c r="H96" s="303">
        <f>Table22[[#This Row],[Acute RA IESTI new input value]]</f>
        <v>0</v>
      </c>
      <c r="I96" s="301">
        <f>Table22[[#This Row],[Acute RA IESTI new label]]</f>
        <v>0</v>
      </c>
      <c r="J96" s="504"/>
      <c r="K96" s="544">
        <f>Table22[[#This Row],[GAP under assessment]]</f>
        <v>0</v>
      </c>
      <c r="L96" s="304" t="str">
        <f>IF(input_values!$M96=0,"",input_values!$M96)</f>
        <v/>
      </c>
      <c r="M96" s="301" t="str">
        <f>IF(input_values!H96=0,"",input_values!H96)</f>
        <v/>
      </c>
      <c r="N96" s="304">
        <f>input_values!$K96</f>
        <v>0</v>
      </c>
      <c r="O96" s="309"/>
      <c r="P96" s="38"/>
      <c r="Q96" s="38"/>
      <c r="R96" s="335"/>
      <c r="S96" s="336" t="str">
        <f t="shared" si="14"/>
        <v/>
      </c>
      <c r="T96" s="305"/>
      <c r="U96" s="570"/>
      <c r="V96" s="305"/>
      <c r="W96" s="570"/>
      <c r="X96" s="611" t="str">
        <f>IF(V96="ND","ND",IF(S96="","",IF(OR(MID(C96,1,4)="milk",AND(MID(B96,1,2)="50",NOT(input_values!M96="Y")),AND(MID(B96,1,2)="40",NOT(input_values!M96="Y")),AND(MID(B96,1,2)="30",NOT(input_values!M96="Y"))),3,IF(OR(V96="&lt;25",B96&gt;1000000),1,IF((T96&gt;=S96),"2b","2a")))))</f>
        <v/>
      </c>
      <c r="Y96" s="38" t="str">
        <f>IF(X96="ND","ND",IF(S96="","",IF(input_values!K96&gt;0,input_values!K96,IF(OR(X96=1,X96=3),1,IF((V96&gt;250),5,7)))))</f>
        <v/>
      </c>
      <c r="Z96" s="335" t="str">
        <f t="shared" si="15"/>
        <v/>
      </c>
      <c r="AA96" s="311">
        <f t="shared" si="10"/>
        <v>0</v>
      </c>
      <c r="AB96" s="38" t="str">
        <f t="shared" si="16"/>
        <v/>
      </c>
      <c r="AC96" s="335" t="str">
        <f t="shared" si="17"/>
        <v/>
      </c>
      <c r="AD96" s="311">
        <f t="shared" si="11"/>
        <v>0</v>
      </c>
      <c r="AE96" s="344" t="str">
        <f t="shared" si="18"/>
        <v/>
      </c>
      <c r="AF96" s="344" t="str">
        <f t="shared" si="19"/>
        <v/>
      </c>
      <c r="AG96" s="561" t="str">
        <f t="shared" si="12"/>
        <v/>
      </c>
      <c r="AH96" s="561" t="str">
        <f t="shared" si="13"/>
        <v/>
      </c>
      <c r="AI96" s="313"/>
    </row>
    <row r="97" spans="1:35" ht="24" x14ac:dyDescent="0.2">
      <c r="A97" s="126">
        <v>1</v>
      </c>
      <c r="B97" s="127">
        <v>200000</v>
      </c>
      <c r="C97" s="127" t="s">
        <v>137</v>
      </c>
      <c r="D97" s="300">
        <f>Table22[[#This Row],[Level used for acute calculation]]</f>
        <v>4</v>
      </c>
      <c r="E97" s="302">
        <f>Table22[[#This Row],[MRL individual commodity]]</f>
        <v>0</v>
      </c>
      <c r="F97" s="451">
        <f>Table22[[#This Row],[Acute RA input value]]</f>
        <v>0</v>
      </c>
      <c r="G97" s="301">
        <f>Table22[[#This Row],[Acute RA label]]</f>
        <v>0</v>
      </c>
      <c r="H97" s="303">
        <f>Table22[[#This Row],[Acute RA IESTI new input value]]</f>
        <v>0</v>
      </c>
      <c r="I97" s="301">
        <f>Table22[[#This Row],[Acute RA IESTI new label]]</f>
        <v>0</v>
      </c>
      <c r="J97" s="504"/>
      <c r="K97" s="544">
        <f>Table22[[#This Row],[GAP under assessment]]</f>
        <v>0</v>
      </c>
      <c r="L97" s="304" t="str">
        <f>IF(input_values!$M97=0,"",input_values!$M97)</f>
        <v/>
      </c>
      <c r="M97" s="301" t="str">
        <f>IF(input_values!H97=0,"",input_values!H97)</f>
        <v/>
      </c>
      <c r="N97" s="304">
        <f>input_values!$K97</f>
        <v>0</v>
      </c>
      <c r="O97" s="309"/>
      <c r="P97" s="38"/>
      <c r="Q97" s="38"/>
      <c r="R97" s="335"/>
      <c r="S97" s="336" t="str">
        <f t="shared" si="14"/>
        <v/>
      </c>
      <c r="T97" s="305"/>
      <c r="U97" s="570"/>
      <c r="V97" s="305"/>
      <c r="W97" s="570"/>
      <c r="X97" s="611" t="str">
        <f>IF(V97="ND","ND",IF(S97="","",IF(OR(MID(C97,1,4)="milk",AND(MID(B97,1,2)="50",NOT(input_values!M97="Y")),AND(MID(B97,1,2)="40",NOT(input_values!M97="Y")),AND(MID(B97,1,2)="30",NOT(input_values!M97="Y"))),3,IF(OR(V97="&lt;25",B97&gt;1000000),1,IF((T97&gt;=S97),"2b","2a")))))</f>
        <v/>
      </c>
      <c r="Y97" s="38" t="str">
        <f>IF(X97="ND","ND",IF(S97="","",IF(input_values!K97&gt;0,input_values!K97,IF(OR(X97=1,X97=3),1,IF((V97&gt;250),5,7)))))</f>
        <v/>
      </c>
      <c r="Z97" s="335" t="str">
        <f t="shared" si="15"/>
        <v/>
      </c>
      <c r="AA97" s="311">
        <f t="shared" si="10"/>
        <v>0</v>
      </c>
      <c r="AB97" s="38" t="str">
        <f t="shared" si="16"/>
        <v/>
      </c>
      <c r="AC97" s="335" t="str">
        <f t="shared" si="17"/>
        <v/>
      </c>
      <c r="AD97" s="311">
        <f t="shared" si="11"/>
        <v>0</v>
      </c>
      <c r="AE97" s="344" t="str">
        <f t="shared" si="18"/>
        <v/>
      </c>
      <c r="AF97" s="344" t="str">
        <f t="shared" si="19"/>
        <v/>
      </c>
      <c r="AG97" s="561" t="str">
        <f t="shared" si="12"/>
        <v/>
      </c>
      <c r="AH97" s="561" t="str">
        <f t="shared" si="13"/>
        <v/>
      </c>
      <c r="AI97" s="313"/>
    </row>
    <row r="98" spans="1:35" ht="24" outlineLevel="1" x14ac:dyDescent="0.2">
      <c r="A98" s="130">
        <v>2</v>
      </c>
      <c r="B98" s="131">
        <v>210000</v>
      </c>
      <c r="C98" s="131" t="s">
        <v>138</v>
      </c>
      <c r="D98" s="300">
        <f>Table22[[#This Row],[Level used for acute calculation]]</f>
        <v>4</v>
      </c>
      <c r="E98" s="302">
        <f>Table22[[#This Row],[MRL individual commodity]]</f>
        <v>0</v>
      </c>
      <c r="F98" s="451">
        <f>Table22[[#This Row],[Acute RA input value]]</f>
        <v>0</v>
      </c>
      <c r="G98" s="301">
        <f>Table22[[#This Row],[Acute RA label]]</f>
        <v>0</v>
      </c>
      <c r="H98" s="303">
        <f>Table22[[#This Row],[Acute RA IESTI new input value]]</f>
        <v>0</v>
      </c>
      <c r="I98" s="301">
        <f>Table22[[#This Row],[Acute RA IESTI new label]]</f>
        <v>0</v>
      </c>
      <c r="J98" s="504"/>
      <c r="K98" s="544">
        <f>Table22[[#This Row],[GAP under assessment]]</f>
        <v>0</v>
      </c>
      <c r="L98" s="304" t="str">
        <f>IF(input_values!$M98=0,"",input_values!$M98)</f>
        <v/>
      </c>
      <c r="M98" s="301" t="str">
        <f>IF(input_values!H98=0,"",input_values!H98)</f>
        <v/>
      </c>
      <c r="N98" s="304">
        <f>input_values!$K98</f>
        <v>0</v>
      </c>
      <c r="O98" s="309"/>
      <c r="P98" s="38"/>
      <c r="Q98" s="38"/>
      <c r="R98" s="335"/>
      <c r="S98" s="336" t="str">
        <f t="shared" si="14"/>
        <v/>
      </c>
      <c r="T98" s="315"/>
      <c r="U98" s="321"/>
      <c r="V98" s="315"/>
      <c r="W98" s="321"/>
      <c r="X98" s="611" t="str">
        <f>IF(V98="ND","ND",IF(S98="","",IF(OR(MID(C98,1,4)="milk",AND(MID(B98,1,2)="50",NOT(input_values!M98="Y")),AND(MID(B98,1,2)="40",NOT(input_values!M98="Y")),AND(MID(B98,1,2)="30",NOT(input_values!M98="Y"))),3,IF(OR(V98="&lt;25",B98&gt;1000000),1,IF((T98&gt;=S98),"2b","2a")))))</f>
        <v/>
      </c>
      <c r="Y98" s="38" t="str">
        <f>IF(X98="ND","ND",IF(S98="","",IF(input_values!K98&gt;0,input_values!K98,IF(OR(X98=1,X98=3),1,IF((V98&gt;250),5,7)))))</f>
        <v/>
      </c>
      <c r="Z98" s="335" t="str">
        <f t="shared" si="15"/>
        <v/>
      </c>
      <c r="AA98" s="311">
        <f t="shared" si="10"/>
        <v>0</v>
      </c>
      <c r="AB98" s="38" t="str">
        <f t="shared" si="16"/>
        <v/>
      </c>
      <c r="AC98" s="335" t="str">
        <f t="shared" si="17"/>
        <v/>
      </c>
      <c r="AD98" s="311">
        <f t="shared" si="11"/>
        <v>0</v>
      </c>
      <c r="AE98" s="344" t="str">
        <f t="shared" si="18"/>
        <v/>
      </c>
      <c r="AF98" s="344" t="str">
        <f t="shared" si="19"/>
        <v/>
      </c>
      <c r="AG98" s="561" t="str">
        <f t="shared" si="12"/>
        <v/>
      </c>
      <c r="AH98" s="561" t="str">
        <f t="shared" si="13"/>
        <v/>
      </c>
      <c r="AI98" s="313"/>
    </row>
    <row r="99" spans="1:35" outlineLevel="2" x14ac:dyDescent="0.2">
      <c r="A99" s="132">
        <v>3</v>
      </c>
      <c r="B99" s="3">
        <v>211000</v>
      </c>
      <c r="C99" s="3" t="s">
        <v>222</v>
      </c>
      <c r="D99" s="300">
        <f>Table22[[#This Row],[Level used for acute calculation]]</f>
        <v>3</v>
      </c>
      <c r="E99" s="302">
        <f>Table22[[#This Row],[MRL individual commodity]]</f>
        <v>0</v>
      </c>
      <c r="F99" s="451">
        <f>Table22[[#This Row],[Acute RA input value]]</f>
        <v>0</v>
      </c>
      <c r="G99" s="301" t="str">
        <f>Table22[[#This Row],[Acute RA label]]</f>
        <v/>
      </c>
      <c r="H99" s="303">
        <f>Table22[[#This Row],[Acute RA IESTI new input value]]</f>
        <v>0</v>
      </c>
      <c r="I99" s="301" t="str">
        <f>Table22[[#This Row],[Acute RA IESTI new label]]</f>
        <v/>
      </c>
      <c r="J99" s="504"/>
      <c r="K99" s="544">
        <f>Table22[[#This Row],[GAP under assessment]]</f>
        <v>0</v>
      </c>
      <c r="L99" s="304" t="str">
        <f>IF(input_values!$M99=0,"",input_values!$M99)</f>
        <v/>
      </c>
      <c r="M99" s="301" t="str">
        <f>IF(input_values!H99=0,"",input_values!H99)</f>
        <v/>
      </c>
      <c r="N99" s="304">
        <f>input_values!$K99</f>
        <v>0</v>
      </c>
      <c r="O99" s="326">
        <v>21.965517241379313</v>
      </c>
      <c r="P99" s="22">
        <v>97.5</v>
      </c>
      <c r="Q99" s="22" t="s">
        <v>89</v>
      </c>
      <c r="R99" s="326">
        <v>8.6999999999999993</v>
      </c>
      <c r="S99" s="328">
        <f t="shared" si="14"/>
        <v>191.10000000000002</v>
      </c>
      <c r="T99" s="328">
        <v>216</v>
      </c>
      <c r="U99" s="329" t="s">
        <v>45</v>
      </c>
      <c r="V99" s="328">
        <v>216</v>
      </c>
      <c r="W99" s="329" t="s">
        <v>45</v>
      </c>
      <c r="X99" s="1464" t="str">
        <f>IF(V99="ND","ND",IF(S99="","",IF(OR(MID(C99,1,4)="milk",AND(MID(B99,1,2)="50",NOT(input_values!M99="Y")),AND(MID(B99,1,2)="40",NOT(input_values!M99="Y")),AND(MID(B99,1,2)="30",NOT(input_values!M99="Y"))),3,IF(OR(V99="&lt;25",B99&gt;1000000),1,IF((T99&gt;=S99),"2b","2a")))))</f>
        <v>2b</v>
      </c>
      <c r="Y99" s="22">
        <f>IF(X99="ND","ND",IF(S99="","",IF(input_values!K99&gt;0,input_values!K99,IF(OR(X99=1,X99=3),1,IF((V99&gt;250),5,7)))))</f>
        <v>7</v>
      </c>
      <c r="Z99" s="330" t="str">
        <f t="shared" si="15"/>
        <v/>
      </c>
      <c r="AA99" s="331">
        <f t="shared" si="10"/>
        <v>0</v>
      </c>
      <c r="AB99" s="27">
        <f t="shared" si="16"/>
        <v>3</v>
      </c>
      <c r="AC99" s="330" t="str">
        <f t="shared" si="17"/>
        <v/>
      </c>
      <c r="AD99" s="332">
        <f t="shared" si="11"/>
        <v>0</v>
      </c>
      <c r="AE99" s="333" t="str">
        <f t="shared" si="18"/>
        <v/>
      </c>
      <c r="AF99" s="333" t="str">
        <f t="shared" si="19"/>
        <v/>
      </c>
      <c r="AG99" s="561" t="str">
        <f t="shared" si="12"/>
        <v/>
      </c>
      <c r="AH99" s="561" t="str">
        <f t="shared" si="13"/>
        <v/>
      </c>
      <c r="AI99" s="334"/>
    </row>
    <row r="100" spans="1:35" ht="24" outlineLevel="2" x14ac:dyDescent="0.2">
      <c r="A100" s="132">
        <v>3</v>
      </c>
      <c r="B100" s="3">
        <v>212000</v>
      </c>
      <c r="C100" s="3" t="s">
        <v>223</v>
      </c>
      <c r="D100" s="300">
        <f>Table22[[#This Row],[Level used for acute calculation]]</f>
        <v>4</v>
      </c>
      <c r="E100" s="302">
        <f>Table22[[#This Row],[MRL individual commodity]]</f>
        <v>0</v>
      </c>
      <c r="F100" s="451">
        <f>Table22[[#This Row],[Acute RA input value]]</f>
        <v>0</v>
      </c>
      <c r="G100" s="301">
        <f>Table22[[#This Row],[Acute RA label]]</f>
        <v>0</v>
      </c>
      <c r="H100" s="303">
        <f>Table22[[#This Row],[Acute RA IESTI new input value]]</f>
        <v>0</v>
      </c>
      <c r="I100" s="301">
        <f>Table22[[#This Row],[Acute RA IESTI new label]]</f>
        <v>0</v>
      </c>
      <c r="J100" s="504"/>
      <c r="K100" s="544">
        <f>Table22[[#This Row],[GAP under assessment]]</f>
        <v>0</v>
      </c>
      <c r="L100" s="304" t="str">
        <f>IF(input_values!$M100=0,"",input_values!$M100)</f>
        <v/>
      </c>
      <c r="M100" s="301" t="str">
        <f>IF(input_values!H100=0,"",input_values!H100)</f>
        <v/>
      </c>
      <c r="N100" s="304">
        <f>input_values!$K100</f>
        <v>0</v>
      </c>
      <c r="O100" s="309"/>
      <c r="P100" s="38"/>
      <c r="Q100" s="38"/>
      <c r="R100" s="335"/>
      <c r="S100" s="336" t="str">
        <f t="shared" si="14"/>
        <v/>
      </c>
      <c r="T100" s="342"/>
      <c r="U100" s="571"/>
      <c r="V100" s="342"/>
      <c r="W100" s="571"/>
      <c r="X100" s="611" t="str">
        <f>IF(V100="ND","ND",IF(S100="","",IF(OR(MID(C100,1,4)="milk",AND(MID(B100,1,2)="50",NOT(input_values!M100="Y")),AND(MID(B100,1,2)="40",NOT(input_values!M100="Y")),AND(MID(B100,1,2)="30",NOT(input_values!M100="Y"))),3,IF(OR(V100="&lt;25",B100&gt;1000000),1,IF((T100&gt;=S100),"2b","2a")))))</f>
        <v/>
      </c>
      <c r="Y100" s="38" t="str">
        <f>IF(X100="ND","ND",IF(S100="","",IF(input_values!K100&gt;0,input_values!K100,IF(OR(X100=1,X100=3),1,IF((V100&gt;250),5,7)))))</f>
        <v/>
      </c>
      <c r="Z100" s="335" t="str">
        <f t="shared" si="15"/>
        <v/>
      </c>
      <c r="AA100" s="311">
        <f t="shared" si="10"/>
        <v>0</v>
      </c>
      <c r="AB100" s="38" t="str">
        <f t="shared" si="16"/>
        <v/>
      </c>
      <c r="AC100" s="335" t="str">
        <f t="shared" si="17"/>
        <v/>
      </c>
      <c r="AD100" s="311">
        <f t="shared" si="11"/>
        <v>0</v>
      </c>
      <c r="AE100" s="344" t="str">
        <f t="shared" si="18"/>
        <v/>
      </c>
      <c r="AF100" s="344" t="str">
        <f t="shared" si="19"/>
        <v/>
      </c>
      <c r="AG100" s="561" t="str">
        <f t="shared" si="12"/>
        <v/>
      </c>
      <c r="AH100" s="561" t="str">
        <f t="shared" si="13"/>
        <v/>
      </c>
      <c r="AI100" s="313"/>
    </row>
    <row r="101" spans="1:35" ht="24" outlineLevel="3" x14ac:dyDescent="0.2">
      <c r="A101" s="39">
        <v>4</v>
      </c>
      <c r="B101" s="23">
        <v>212010</v>
      </c>
      <c r="C101" s="23" t="s">
        <v>705</v>
      </c>
      <c r="D101" s="300">
        <f>Table22[[#This Row],[Level used for acute calculation]]</f>
        <v>4</v>
      </c>
      <c r="E101" s="302">
        <f>Table22[[#This Row],[MRL individual commodity]]</f>
        <v>0</v>
      </c>
      <c r="F101" s="451">
        <f>Table22[[#This Row],[Acute RA input value]]</f>
        <v>0</v>
      </c>
      <c r="G101" s="301" t="str">
        <f>Table22[[#This Row],[Acute RA label]]</f>
        <v/>
      </c>
      <c r="H101" s="303">
        <f>Table22[[#This Row],[Acute RA IESTI new input value]]</f>
        <v>0</v>
      </c>
      <c r="I101" s="301" t="str">
        <f>Table22[[#This Row],[Acute RA IESTI new label]]</f>
        <v/>
      </c>
      <c r="J101" s="504"/>
      <c r="K101" s="544">
        <f>Table22[[#This Row],[GAP under assessment]]</f>
        <v>0</v>
      </c>
      <c r="L101" s="304" t="str">
        <f>IF(input_values!$M101=0,"",input_values!$M101)</f>
        <v/>
      </c>
      <c r="M101" s="301" t="str">
        <f>IF(input_values!H101=0,"",input_values!H101)</f>
        <v/>
      </c>
      <c r="N101" s="304">
        <f>input_values!$K101</f>
        <v>0</v>
      </c>
      <c r="O101" s="338">
        <v>1.5923913043478262</v>
      </c>
      <c r="P101" s="22" t="s">
        <v>447</v>
      </c>
      <c r="Q101" s="22" t="s">
        <v>259</v>
      </c>
      <c r="R101" s="326">
        <v>18.399999999999999</v>
      </c>
      <c r="S101" s="328">
        <v>29.3</v>
      </c>
      <c r="T101" s="338">
        <v>356.3</v>
      </c>
      <c r="U101" s="129" t="s">
        <v>215</v>
      </c>
      <c r="V101" s="338">
        <v>475</v>
      </c>
      <c r="W101" s="129" t="s">
        <v>215</v>
      </c>
      <c r="X101" s="460" t="str">
        <f>IF(V101="ND","ND",IF(S101="","",IF(OR(MID(C101,1,4)="milk",AND(MID(B101,1,2)="50",NOT(input_values!M101="Y")),AND(MID(B101,1,2)="40",NOT(input_values!M101="Y")),AND(MID(B101,1,2)="30",NOT(input_values!M101="Y"))),3,IF(OR(V101="&lt;25",B101&gt;1000000),1,IF((T101&gt;=S101),"2b","2a")))))</f>
        <v>2b</v>
      </c>
      <c r="Y101" s="22">
        <f>IF(X101="ND","ND",IF(S101="","",IF(input_values!K101&gt;0,input_values!K101,IF(OR(X101=1,X101=3),1,IF((V101&gt;250),5,7)))))</f>
        <v>5</v>
      </c>
      <c r="Z101" s="340" t="str">
        <f t="shared" si="15"/>
        <v/>
      </c>
      <c r="AA101" s="332">
        <f t="shared" si="10"/>
        <v>0</v>
      </c>
      <c r="AB101" s="27">
        <f t="shared" si="16"/>
        <v>3</v>
      </c>
      <c r="AC101" s="340" t="str">
        <f t="shared" si="17"/>
        <v/>
      </c>
      <c r="AD101" s="332">
        <f t="shared" si="11"/>
        <v>0</v>
      </c>
      <c r="AE101" s="37" t="str">
        <f t="shared" si="18"/>
        <v/>
      </c>
      <c r="AF101" s="37" t="str">
        <f t="shared" si="19"/>
        <v/>
      </c>
      <c r="AG101" s="561" t="str">
        <f t="shared" si="12"/>
        <v/>
      </c>
      <c r="AH101" s="561" t="str">
        <f t="shared" si="13"/>
        <v/>
      </c>
      <c r="AI101" s="334"/>
    </row>
    <row r="102" spans="1:35" outlineLevel="3" x14ac:dyDescent="0.2">
      <c r="A102" s="39">
        <v>4</v>
      </c>
      <c r="B102" s="23">
        <v>212020</v>
      </c>
      <c r="C102" s="23" t="s">
        <v>24</v>
      </c>
      <c r="D102" s="300">
        <f>Table22[[#This Row],[Level used for acute calculation]]</f>
        <v>4</v>
      </c>
      <c r="E102" s="302">
        <f>Table22[[#This Row],[MRL individual commodity]]</f>
        <v>0</v>
      </c>
      <c r="F102" s="451">
        <f>Table22[[#This Row],[Acute RA input value]]</f>
        <v>0</v>
      </c>
      <c r="G102" s="301" t="str">
        <f>Table22[[#This Row],[Acute RA label]]</f>
        <v/>
      </c>
      <c r="H102" s="303">
        <f>Table22[[#This Row],[Acute RA IESTI new input value]]</f>
        <v>0</v>
      </c>
      <c r="I102" s="301" t="str">
        <f>Table22[[#This Row],[Acute RA IESTI new label]]</f>
        <v/>
      </c>
      <c r="J102" s="504"/>
      <c r="K102" s="544">
        <f>Table22[[#This Row],[GAP under assessment]]</f>
        <v>0</v>
      </c>
      <c r="L102" s="304" t="str">
        <f>IF(input_values!$M102=0,"",input_values!$M102)</f>
        <v/>
      </c>
      <c r="M102" s="301" t="str">
        <f>IF(input_values!H102=0,"",input_values!H102)</f>
        <v/>
      </c>
      <c r="N102" s="304">
        <f>input_values!$K102</f>
        <v>0</v>
      </c>
      <c r="O102" s="326">
        <v>0.75683900000000004</v>
      </c>
      <c r="P102" s="22">
        <v>97.5</v>
      </c>
      <c r="Q102" s="22" t="s">
        <v>330</v>
      </c>
      <c r="R102" s="326">
        <v>20</v>
      </c>
      <c r="S102" s="328">
        <f t="shared" si="14"/>
        <v>15.136780000000002</v>
      </c>
      <c r="T102" s="328">
        <v>216</v>
      </c>
      <c r="U102" s="329" t="s">
        <v>72</v>
      </c>
      <c r="V102" s="328">
        <v>240</v>
      </c>
      <c r="W102" s="329" t="s">
        <v>72</v>
      </c>
      <c r="X102" s="1464" t="str">
        <f>IF(V102="ND","ND",IF(S102="","",IF(OR(MID(C102,1,4)="milk",AND(MID(B102,1,2)="50",NOT(input_values!M102="Y")),AND(MID(B102,1,2)="40",NOT(input_values!M102="Y")),AND(MID(B102,1,2)="30",NOT(input_values!M102="Y"))),3,IF(OR(V102="&lt;25",B102&gt;1000000),1,IF((T102&gt;=S102),"2b","2a")))))</f>
        <v>2b</v>
      </c>
      <c r="Y102" s="22">
        <f>IF(X102="ND","ND",IF(S102="","",IF(input_values!K102&gt;0,input_values!K102,IF(OR(X102=1,X102=3),1,IF((V102&gt;250),5,7)))))</f>
        <v>7</v>
      </c>
      <c r="Z102" s="330" t="str">
        <f t="shared" si="15"/>
        <v/>
      </c>
      <c r="AA102" s="331">
        <f t="shared" si="10"/>
        <v>0</v>
      </c>
      <c r="AB102" s="27">
        <f t="shared" si="16"/>
        <v>3</v>
      </c>
      <c r="AC102" s="330" t="str">
        <f t="shared" si="17"/>
        <v/>
      </c>
      <c r="AD102" s="332">
        <f t="shared" si="11"/>
        <v>0</v>
      </c>
      <c r="AE102" s="333" t="str">
        <f t="shared" si="18"/>
        <v/>
      </c>
      <c r="AF102" s="333" t="str">
        <f t="shared" si="19"/>
        <v/>
      </c>
      <c r="AG102" s="561" t="str">
        <f t="shared" si="12"/>
        <v/>
      </c>
      <c r="AH102" s="561" t="str">
        <f t="shared" si="13"/>
        <v/>
      </c>
      <c r="AI102" s="334"/>
    </row>
    <row r="103" spans="1:35" outlineLevel="3" x14ac:dyDescent="0.2">
      <c r="A103" s="39">
        <v>4</v>
      </c>
      <c r="B103" s="23">
        <v>212030</v>
      </c>
      <c r="C103" s="23" t="s">
        <v>25</v>
      </c>
      <c r="D103" s="300">
        <f>Table22[[#This Row],[Level used for acute calculation]]</f>
        <v>4</v>
      </c>
      <c r="E103" s="302">
        <f>Table22[[#This Row],[MRL individual commodity]]</f>
        <v>0</v>
      </c>
      <c r="F103" s="451">
        <f>Table22[[#This Row],[Acute RA input value]]</f>
        <v>0</v>
      </c>
      <c r="G103" s="301" t="str">
        <f>Table22[[#This Row],[Acute RA label]]</f>
        <v/>
      </c>
      <c r="H103" s="303">
        <f>Table22[[#This Row],[Acute RA IESTI new input value]]</f>
        <v>0</v>
      </c>
      <c r="I103" s="301" t="str">
        <f>Table22[[#This Row],[Acute RA IESTI new label]]</f>
        <v/>
      </c>
      <c r="J103" s="504"/>
      <c r="K103" s="544">
        <f>Table22[[#This Row],[GAP under assessment]]</f>
        <v>0</v>
      </c>
      <c r="L103" s="304" t="str">
        <f>IF(input_values!$M103=0,"",input_values!$M103)</f>
        <v/>
      </c>
      <c r="M103" s="301" t="str">
        <f>IF(input_values!H103=0,"",input_values!H103)</f>
        <v/>
      </c>
      <c r="N103" s="304">
        <f>input_values!$K103</f>
        <v>0</v>
      </c>
      <c r="O103" s="326">
        <v>6.2206896551724142</v>
      </c>
      <c r="P103" s="22">
        <v>97.5</v>
      </c>
      <c r="Q103" s="22" t="s">
        <v>91</v>
      </c>
      <c r="R103" s="326">
        <v>14.5</v>
      </c>
      <c r="S103" s="328">
        <f t="shared" si="14"/>
        <v>90.2</v>
      </c>
      <c r="T103" s="328">
        <v>365</v>
      </c>
      <c r="U103" s="329" t="s">
        <v>45</v>
      </c>
      <c r="V103" s="328">
        <v>365</v>
      </c>
      <c r="W103" s="329" t="s">
        <v>45</v>
      </c>
      <c r="X103" s="1464" t="str">
        <f>IF(V103="ND","ND",IF(S103="","",IF(OR(MID(C103,1,4)="milk",AND(MID(B103,1,2)="50",NOT(input_values!M103="Y")),AND(MID(B103,1,2)="40",NOT(input_values!M103="Y")),AND(MID(B103,1,2)="30",NOT(input_values!M103="Y"))),3,IF(OR(V103="&lt;25",B103&gt;1000000),1,IF((T103&gt;=S103),"2b","2a")))))</f>
        <v>2b</v>
      </c>
      <c r="Y103" s="22">
        <f>IF(X103="ND","ND",IF(S103="","",IF(input_values!K103&gt;0,input_values!K103,IF(OR(X103=1,X103=3),1,IF((V103&gt;250),5,7)))))</f>
        <v>5</v>
      </c>
      <c r="Z103" s="330" t="str">
        <f t="shared" si="15"/>
        <v/>
      </c>
      <c r="AA103" s="331">
        <f t="shared" si="10"/>
        <v>0</v>
      </c>
      <c r="AB103" s="27">
        <f t="shared" si="16"/>
        <v>3</v>
      </c>
      <c r="AC103" s="330" t="str">
        <f t="shared" si="17"/>
        <v/>
      </c>
      <c r="AD103" s="332">
        <f t="shared" si="11"/>
        <v>0</v>
      </c>
      <c r="AE103" s="333" t="str">
        <f t="shared" si="18"/>
        <v/>
      </c>
      <c r="AF103" s="333" t="str">
        <f t="shared" si="19"/>
        <v/>
      </c>
      <c r="AG103" s="561" t="str">
        <f t="shared" si="12"/>
        <v/>
      </c>
      <c r="AH103" s="561" t="str">
        <f t="shared" si="13"/>
        <v/>
      </c>
      <c r="AI103" s="313"/>
    </row>
    <row r="104" spans="1:35" outlineLevel="3" x14ac:dyDescent="0.2">
      <c r="A104" s="39">
        <v>4</v>
      </c>
      <c r="B104" s="23">
        <v>212040</v>
      </c>
      <c r="C104" s="23" t="s">
        <v>706</v>
      </c>
      <c r="D104" s="300">
        <f>Table22[[#This Row],[Level used for acute calculation]]</f>
        <v>4</v>
      </c>
      <c r="E104" s="302">
        <f>Table22[[#This Row],[MRL individual commodity]]</f>
        <v>0</v>
      </c>
      <c r="F104" s="451">
        <f>Table22[[#This Row],[Acute RA input value]]</f>
        <v>0</v>
      </c>
      <c r="G104" s="301" t="str">
        <f>Table22[[#This Row],[Acute RA label]]</f>
        <v/>
      </c>
      <c r="H104" s="303">
        <f>Table22[[#This Row],[Acute RA IESTI new input value]]</f>
        <v>0</v>
      </c>
      <c r="I104" s="301" t="str">
        <f>Table22[[#This Row],[Acute RA IESTI new label]]</f>
        <v/>
      </c>
      <c r="J104" s="504"/>
      <c r="K104" s="544">
        <f>Table22[[#This Row],[GAP under assessment]]</f>
        <v>0</v>
      </c>
      <c r="L104" s="304" t="str">
        <f>IF(input_values!$M104=0,"",input_values!$M104)</f>
        <v/>
      </c>
      <c r="M104" s="301" t="str">
        <f>IF(input_values!H104=0,"",input_values!H104)</f>
        <v/>
      </c>
      <c r="N104" s="304">
        <f>input_values!$K104</f>
        <v>0</v>
      </c>
      <c r="O104" s="338" t="s">
        <v>618</v>
      </c>
      <c r="P104" s="22"/>
      <c r="Q104" s="22"/>
      <c r="R104" s="330"/>
      <c r="S104" s="31" t="str">
        <f t="shared" si="14"/>
        <v>ND</v>
      </c>
      <c r="T104" s="338" t="s">
        <v>618</v>
      </c>
      <c r="U104" s="329"/>
      <c r="V104" s="338" t="s">
        <v>618</v>
      </c>
      <c r="W104" s="329"/>
      <c r="X104" s="460" t="str">
        <f>IF(V104="ND","ND",IF(S104="","",IF(OR(MID(C104,1,4)="milk",AND(MID(B104,1,2)="50",NOT(input_values!M104="Y")),AND(MID(B104,1,2)="40",NOT(input_values!M104="Y")),AND(MID(B104,1,2)="30",NOT(input_values!M104="Y"))),3,IF(OR(V104="&lt;25",B104&gt;1000000),1,IF((T104&gt;=S104),"2b","2a")))))</f>
        <v>ND</v>
      </c>
      <c r="Y104" s="22" t="str">
        <f>IF(X104="ND","ND",IF(S104="","",IF(input_values!K104&gt;0,input_values!K104,IF(OR(X104=1,X104=3),1,IF((V104&gt;250),5,7)))))</f>
        <v>ND</v>
      </c>
      <c r="Z104" s="340" t="str">
        <f t="shared" si="15"/>
        <v/>
      </c>
      <c r="AA104" s="332">
        <f t="shared" si="10"/>
        <v>0</v>
      </c>
      <c r="AB104" s="27" t="str">
        <f t="shared" si="16"/>
        <v>ND</v>
      </c>
      <c r="AC104" s="340" t="str">
        <f t="shared" si="17"/>
        <v/>
      </c>
      <c r="AD104" s="332">
        <f t="shared" si="11"/>
        <v>0</v>
      </c>
      <c r="AE104" s="37" t="str">
        <f t="shared" si="18"/>
        <v/>
      </c>
      <c r="AF104" s="37" t="str">
        <f t="shared" si="19"/>
        <v/>
      </c>
      <c r="AG104" s="561" t="str">
        <f t="shared" si="12"/>
        <v/>
      </c>
      <c r="AH104" s="561" t="str">
        <f t="shared" si="13"/>
        <v/>
      </c>
      <c r="AI104" s="334"/>
    </row>
    <row r="105" spans="1:35" ht="24" outlineLevel="3" x14ac:dyDescent="0.2">
      <c r="A105" s="39">
        <v>4</v>
      </c>
      <c r="B105" s="23">
        <v>212990</v>
      </c>
      <c r="C105" s="23" t="s">
        <v>163</v>
      </c>
      <c r="D105" s="300">
        <f>Table22[[#This Row],[Level used for acute calculation]]</f>
        <v>0</v>
      </c>
      <c r="E105" s="302">
        <f>Table22[[#This Row],[MRL individual commodity]]</f>
        <v>0</v>
      </c>
      <c r="F105" s="451">
        <f>Table22[[#This Row],[Acute RA input value]]</f>
        <v>0</v>
      </c>
      <c r="G105" s="301">
        <f>Table22[[#This Row],[Acute RA label]]</f>
        <v>0</v>
      </c>
      <c r="H105" s="303">
        <f>Table22[[#This Row],[Acute RA IESTI new input value]]</f>
        <v>0</v>
      </c>
      <c r="I105" s="301">
        <f>Table22[[#This Row],[Acute RA IESTI new label]]</f>
        <v>0</v>
      </c>
      <c r="J105" s="504"/>
      <c r="K105" s="544">
        <f>Table22[[#This Row],[GAP under assessment]]</f>
        <v>0</v>
      </c>
      <c r="L105" s="304" t="str">
        <f>IF(input_values!$M105=0,"",input_values!$M105)</f>
        <v/>
      </c>
      <c r="M105" s="301" t="str">
        <f>IF(input_values!H105=0,"",input_values!H105)</f>
        <v/>
      </c>
      <c r="N105" s="304">
        <f>input_values!$K105</f>
        <v>0</v>
      </c>
      <c r="O105" s="309"/>
      <c r="P105" s="38"/>
      <c r="Q105" s="38"/>
      <c r="R105" s="335"/>
      <c r="S105" s="336" t="str">
        <f t="shared" si="14"/>
        <v/>
      </c>
      <c r="T105" s="305"/>
      <c r="U105" s="570"/>
      <c r="V105" s="305"/>
      <c r="W105" s="570"/>
      <c r="X105" s="611" t="str">
        <f>IF(V105="ND","ND",IF(S105="","",IF(OR(MID(C105,1,4)="milk",AND(MID(B105,1,2)="50",NOT(input_values!M105="Y")),AND(MID(B105,1,2)="40",NOT(input_values!M105="Y")),AND(MID(B105,1,2)="30",NOT(input_values!M105="Y"))),3,IF(OR(V105="&lt;25",B105&gt;1000000),1,IF((T105&gt;=S105),"2b","2a")))))</f>
        <v/>
      </c>
      <c r="Y105" s="38" t="str">
        <f>IF(X105="ND","ND",IF(S105="","",IF(input_values!K105&gt;0,input_values!K105,IF(OR(X105=1,X105=3),1,IF((V105&gt;250),5,7)))))</f>
        <v/>
      </c>
      <c r="Z105" s="335" t="str">
        <f t="shared" si="15"/>
        <v/>
      </c>
      <c r="AA105" s="311">
        <f t="shared" si="10"/>
        <v>0</v>
      </c>
      <c r="AB105" s="38" t="str">
        <f t="shared" si="16"/>
        <v/>
      </c>
      <c r="AC105" s="335" t="str">
        <f t="shared" si="17"/>
        <v/>
      </c>
      <c r="AD105" s="311">
        <f t="shared" si="11"/>
        <v>0</v>
      </c>
      <c r="AE105" s="344" t="str">
        <f t="shared" si="18"/>
        <v/>
      </c>
      <c r="AF105" s="344" t="str">
        <f t="shared" si="19"/>
        <v/>
      </c>
      <c r="AG105" s="561" t="str">
        <f t="shared" si="12"/>
        <v/>
      </c>
      <c r="AH105" s="561" t="str">
        <f t="shared" si="13"/>
        <v/>
      </c>
      <c r="AI105" s="313"/>
    </row>
    <row r="106" spans="1:35" ht="24" outlineLevel="2" x14ac:dyDescent="0.2">
      <c r="A106" s="132">
        <v>3</v>
      </c>
      <c r="B106" s="3">
        <v>213000</v>
      </c>
      <c r="C106" s="3" t="s">
        <v>294</v>
      </c>
      <c r="D106" s="300">
        <f>Table22[[#This Row],[Level used for acute calculation]]</f>
        <v>4</v>
      </c>
      <c r="E106" s="302">
        <f>Table22[[#This Row],[MRL individual commodity]]</f>
        <v>0</v>
      </c>
      <c r="F106" s="451">
        <f>Table22[[#This Row],[Acute RA input value]]</f>
        <v>0</v>
      </c>
      <c r="G106" s="301">
        <f>Table22[[#This Row],[Acute RA label]]</f>
        <v>0</v>
      </c>
      <c r="H106" s="303">
        <f>Table22[[#This Row],[Acute RA IESTI new input value]]</f>
        <v>0</v>
      </c>
      <c r="I106" s="301">
        <f>Table22[[#This Row],[Acute RA IESTI new label]]</f>
        <v>0</v>
      </c>
      <c r="J106" s="504"/>
      <c r="K106" s="544">
        <f>Table22[[#This Row],[GAP under assessment]]</f>
        <v>0</v>
      </c>
      <c r="L106" s="304" t="str">
        <f>IF(input_values!$M106=0,"",input_values!$M106)</f>
        <v/>
      </c>
      <c r="M106" s="301" t="str">
        <f>IF(input_values!H106=0,"",input_values!H106)</f>
        <v/>
      </c>
      <c r="N106" s="304">
        <f>input_values!$K106</f>
        <v>0</v>
      </c>
      <c r="O106" s="309"/>
      <c r="P106" s="38"/>
      <c r="Q106" s="38"/>
      <c r="R106" s="335"/>
      <c r="S106" s="336" t="str">
        <f t="shared" si="14"/>
        <v/>
      </c>
      <c r="T106" s="342"/>
      <c r="U106" s="571"/>
      <c r="V106" s="342"/>
      <c r="W106" s="571"/>
      <c r="X106" s="611" t="str">
        <f>IF(V106="ND","ND",IF(S106="","",IF(OR(MID(C106,1,4)="milk",AND(MID(B106,1,2)="50",NOT(input_values!M106="Y")),AND(MID(B106,1,2)="40",NOT(input_values!M106="Y")),AND(MID(B106,1,2)="30",NOT(input_values!M106="Y"))),3,IF(OR(V106="&lt;25",B106&gt;1000000),1,IF((T106&gt;=S106),"2b","2a")))))</f>
        <v/>
      </c>
      <c r="Y106" s="38" t="str">
        <f>IF(X106="ND","ND",IF(S106="","",IF(input_values!K106&gt;0,input_values!K106,IF(OR(X106=1,X106=3),1,IF((V106&gt;250),5,7)))))</f>
        <v/>
      </c>
      <c r="Z106" s="335" t="str">
        <f t="shared" si="15"/>
        <v/>
      </c>
      <c r="AA106" s="311">
        <f t="shared" si="10"/>
        <v>0</v>
      </c>
      <c r="AB106" s="38" t="str">
        <f t="shared" si="16"/>
        <v/>
      </c>
      <c r="AC106" s="335" t="str">
        <f t="shared" si="17"/>
        <v/>
      </c>
      <c r="AD106" s="311">
        <f t="shared" si="11"/>
        <v>0</v>
      </c>
      <c r="AE106" s="344" t="str">
        <f t="shared" si="18"/>
        <v/>
      </c>
      <c r="AF106" s="344" t="str">
        <f t="shared" si="19"/>
        <v/>
      </c>
      <c r="AG106" s="561" t="str">
        <f t="shared" si="12"/>
        <v/>
      </c>
      <c r="AH106" s="561" t="str">
        <f t="shared" si="13"/>
        <v/>
      </c>
      <c r="AI106" s="313"/>
    </row>
    <row r="107" spans="1:35" outlineLevel="3" x14ac:dyDescent="0.2">
      <c r="A107" s="39">
        <v>4</v>
      </c>
      <c r="B107" s="23">
        <v>213010</v>
      </c>
      <c r="C107" s="23" t="s">
        <v>707</v>
      </c>
      <c r="D107" s="300">
        <f>Table22[[#This Row],[Level used for acute calculation]]</f>
        <v>4</v>
      </c>
      <c r="E107" s="302">
        <f>Table22[[#This Row],[MRL individual commodity]]</f>
        <v>0</v>
      </c>
      <c r="F107" s="451">
        <f>Table22[[#This Row],[Acute RA input value]]</f>
        <v>0</v>
      </c>
      <c r="G107" s="301" t="str">
        <f>Table22[[#This Row],[Acute RA label]]</f>
        <v/>
      </c>
      <c r="H107" s="303">
        <f>Table22[[#This Row],[Acute RA IESTI new input value]]</f>
        <v>0</v>
      </c>
      <c r="I107" s="301" t="str">
        <f>Table22[[#This Row],[Acute RA IESTI new label]]</f>
        <v/>
      </c>
      <c r="J107" s="504"/>
      <c r="K107" s="544">
        <f>Table22[[#This Row],[GAP under assessment]]</f>
        <v>0</v>
      </c>
      <c r="L107" s="304" t="str">
        <f>IF(input_values!$M107=0,"",input_values!$M107)</f>
        <v/>
      </c>
      <c r="M107" s="301" t="str">
        <f>IF(input_values!H107=0,"",input_values!H107)</f>
        <v/>
      </c>
      <c r="N107" s="304">
        <f>input_values!$K107</f>
        <v>0</v>
      </c>
      <c r="O107" s="326">
        <v>8.1519999999999992</v>
      </c>
      <c r="P107" s="22" t="s">
        <v>331</v>
      </c>
      <c r="Q107" s="22" t="s">
        <v>329</v>
      </c>
      <c r="R107" s="326">
        <v>10.199999999999999</v>
      </c>
      <c r="S107" s="328">
        <f t="shared" si="14"/>
        <v>83.150399999999991</v>
      </c>
      <c r="T107" s="328">
        <v>215</v>
      </c>
      <c r="U107" s="329" t="s">
        <v>215</v>
      </c>
      <c r="V107" s="328">
        <v>224</v>
      </c>
      <c r="W107" s="329" t="s">
        <v>215</v>
      </c>
      <c r="X107" s="1464" t="str">
        <f>IF(V107="ND","ND",IF(S107="","",IF(OR(MID(C107,1,4)="milk",AND(MID(B107,1,2)="50",NOT(input_values!M107="Y")),AND(MID(B107,1,2)="40",NOT(input_values!M107="Y")),AND(MID(B107,1,2)="30",NOT(input_values!M107="Y"))),3,IF(OR(V107="&lt;25",B107&gt;1000000),1,IF((T107&gt;=S107),"2b","2a")))))</f>
        <v>2b</v>
      </c>
      <c r="Y107" s="22">
        <f>IF(X107="ND","ND",IF(S107="","",IF(input_values!K107&gt;0,input_values!K107,IF(OR(X107=1,X107=3),1,IF((V107&gt;250),5,7)))))</f>
        <v>7</v>
      </c>
      <c r="Z107" s="330" t="str">
        <f t="shared" si="15"/>
        <v/>
      </c>
      <c r="AA107" s="331">
        <f t="shared" si="10"/>
        <v>0</v>
      </c>
      <c r="AB107" s="27">
        <f t="shared" si="16"/>
        <v>3</v>
      </c>
      <c r="AC107" s="330" t="str">
        <f t="shared" si="17"/>
        <v/>
      </c>
      <c r="AD107" s="332">
        <f t="shared" si="11"/>
        <v>0</v>
      </c>
      <c r="AE107" s="333" t="str">
        <f t="shared" si="18"/>
        <v/>
      </c>
      <c r="AF107" s="333" t="str">
        <f t="shared" si="19"/>
        <v/>
      </c>
      <c r="AG107" s="561" t="str">
        <f t="shared" si="12"/>
        <v/>
      </c>
      <c r="AH107" s="561" t="str">
        <f t="shared" si="13"/>
        <v/>
      </c>
      <c r="AI107" s="334"/>
    </row>
    <row r="108" spans="1:35" outlineLevel="3" x14ac:dyDescent="0.2">
      <c r="A108" s="39">
        <v>4</v>
      </c>
      <c r="B108" s="23">
        <v>213020</v>
      </c>
      <c r="C108" s="23" t="s">
        <v>26</v>
      </c>
      <c r="D108" s="300">
        <f>Table22[[#This Row],[Level used for acute calculation]]</f>
        <v>4</v>
      </c>
      <c r="E108" s="302">
        <f>Table22[[#This Row],[MRL individual commodity]]</f>
        <v>0</v>
      </c>
      <c r="F108" s="451">
        <f>Table22[[#This Row],[Acute RA input value]]</f>
        <v>0</v>
      </c>
      <c r="G108" s="301" t="str">
        <f>Table22[[#This Row],[Acute RA label]]</f>
        <v/>
      </c>
      <c r="H108" s="303">
        <f>Table22[[#This Row],[Acute RA IESTI new input value]]</f>
        <v>0</v>
      </c>
      <c r="I108" s="301" t="str">
        <f>Table22[[#This Row],[Acute RA IESTI new label]]</f>
        <v/>
      </c>
      <c r="J108" s="504"/>
      <c r="K108" s="544">
        <f>Table22[[#This Row],[GAP under assessment]]</f>
        <v>0</v>
      </c>
      <c r="L108" s="304" t="str">
        <f>IF(input_values!$M108=0,"",input_values!$M108)</f>
        <v/>
      </c>
      <c r="M108" s="301" t="str">
        <f>IF(input_values!H108=0,"",input_values!H108)</f>
        <v/>
      </c>
      <c r="N108" s="304">
        <f>input_values!$K108</f>
        <v>0</v>
      </c>
      <c r="O108" s="326">
        <v>9.0574712643678161</v>
      </c>
      <c r="P108" s="22">
        <v>97.5</v>
      </c>
      <c r="Q108" s="22" t="s">
        <v>89</v>
      </c>
      <c r="R108" s="326">
        <v>8.6999999999999993</v>
      </c>
      <c r="S108" s="328">
        <f t="shared" si="14"/>
        <v>78.8</v>
      </c>
      <c r="T108" s="328">
        <v>80</v>
      </c>
      <c r="U108" s="329" t="s">
        <v>45</v>
      </c>
      <c r="V108" s="328">
        <v>114</v>
      </c>
      <c r="W108" s="329" t="s">
        <v>45</v>
      </c>
      <c r="X108" s="1464" t="str">
        <f>IF(V108="ND","ND",IF(S108="","",IF(OR(MID(C108,1,4)="milk",AND(MID(B108,1,2)="50",NOT(input_values!M108="Y")),AND(MID(B108,1,2)="40",NOT(input_values!M108="Y")),AND(MID(B108,1,2)="30",NOT(input_values!M108="Y"))),3,IF(OR(V108="&lt;25",B108&gt;1000000),1,IF((T108&gt;=S108),"2b","2a")))))</f>
        <v>2b</v>
      </c>
      <c r="Y108" s="22">
        <f>IF(X108="ND","ND",IF(S108="","",IF(input_values!K108&gt;0,input_values!K108,IF(OR(X108=1,X108=3),1,IF((V108&gt;250),5,7)))))</f>
        <v>7</v>
      </c>
      <c r="Z108" s="330" t="str">
        <f t="shared" si="15"/>
        <v/>
      </c>
      <c r="AA108" s="331">
        <f t="shared" si="10"/>
        <v>0</v>
      </c>
      <c r="AB108" s="27">
        <f t="shared" si="16"/>
        <v>3</v>
      </c>
      <c r="AC108" s="330" t="str">
        <f t="shared" si="17"/>
        <v/>
      </c>
      <c r="AD108" s="332">
        <f t="shared" si="11"/>
        <v>0</v>
      </c>
      <c r="AE108" s="333" t="str">
        <f t="shared" si="18"/>
        <v/>
      </c>
      <c r="AF108" s="333" t="str">
        <f t="shared" si="19"/>
        <v/>
      </c>
      <c r="AG108" s="561" t="str">
        <f t="shared" si="12"/>
        <v/>
      </c>
      <c r="AH108" s="561" t="str">
        <f t="shared" si="13"/>
        <v/>
      </c>
      <c r="AI108" s="334"/>
    </row>
    <row r="109" spans="1:35" ht="24" outlineLevel="3" x14ac:dyDescent="0.2">
      <c r="A109" s="39">
        <v>4</v>
      </c>
      <c r="B109" s="23">
        <v>213030</v>
      </c>
      <c r="C109" s="23" t="s">
        <v>708</v>
      </c>
      <c r="D109" s="300">
        <f>Table22[[#This Row],[Level used for acute calculation]]</f>
        <v>4</v>
      </c>
      <c r="E109" s="302">
        <f>Table22[[#This Row],[MRL individual commodity]]</f>
        <v>0</v>
      </c>
      <c r="F109" s="451">
        <f>Table22[[#This Row],[Acute RA input value]]</f>
        <v>0</v>
      </c>
      <c r="G109" s="301" t="str">
        <f>Table22[[#This Row],[Acute RA label]]</f>
        <v/>
      </c>
      <c r="H109" s="303">
        <f>Table22[[#This Row],[Acute RA IESTI new input value]]</f>
        <v>0</v>
      </c>
      <c r="I109" s="301" t="str">
        <f>Table22[[#This Row],[Acute RA IESTI new label]]</f>
        <v/>
      </c>
      <c r="J109" s="504"/>
      <c r="K109" s="544">
        <f>Table22[[#This Row],[GAP under assessment]]</f>
        <v>0</v>
      </c>
      <c r="L109" s="304" t="str">
        <f>IF(input_values!$M109=0,"",input_values!$M109)</f>
        <v/>
      </c>
      <c r="M109" s="301" t="str">
        <f>IF(input_values!H109=0,"",input_values!H109)</f>
        <v/>
      </c>
      <c r="N109" s="304">
        <f>input_values!$K109</f>
        <v>0</v>
      </c>
      <c r="O109" s="326">
        <v>11.061797752808989</v>
      </c>
      <c r="P109" s="22">
        <v>100</v>
      </c>
      <c r="Q109" s="22" t="s">
        <v>93</v>
      </c>
      <c r="R109" s="326">
        <v>17.8</v>
      </c>
      <c r="S109" s="328">
        <f t="shared" si="14"/>
        <v>196.9</v>
      </c>
      <c r="T109" s="328">
        <v>749</v>
      </c>
      <c r="U109" s="329" t="s">
        <v>286</v>
      </c>
      <c r="V109" s="328">
        <v>1070</v>
      </c>
      <c r="W109" s="329" t="s">
        <v>286</v>
      </c>
      <c r="X109" s="1464" t="str">
        <f>IF(V109="ND","ND",IF(S109="","",IF(OR(MID(C109,1,4)="milk",AND(MID(B109,1,2)="50",NOT(input_values!M109="Y")),AND(MID(B109,1,2)="40",NOT(input_values!M109="Y")),AND(MID(B109,1,2)="30",NOT(input_values!M109="Y"))),3,IF(OR(V109="&lt;25",B109&gt;1000000),1,IF((T109&gt;=S109),"2b","2a")))))</f>
        <v>2b</v>
      </c>
      <c r="Y109" s="22">
        <f>IF(X109="ND","ND",IF(S109="","",IF(input_values!K109&gt;0,input_values!K109,IF(OR(X109=1,X109=3),1,IF((V109&gt;250),5,7)))))</f>
        <v>5</v>
      </c>
      <c r="Z109" s="330" t="str">
        <f t="shared" si="15"/>
        <v/>
      </c>
      <c r="AA109" s="331">
        <f t="shared" si="10"/>
        <v>0</v>
      </c>
      <c r="AB109" s="27">
        <f t="shared" si="16"/>
        <v>3</v>
      </c>
      <c r="AC109" s="330" t="str">
        <f t="shared" si="17"/>
        <v/>
      </c>
      <c r="AD109" s="332">
        <f t="shared" si="11"/>
        <v>0</v>
      </c>
      <c r="AE109" s="333" t="str">
        <f t="shared" si="18"/>
        <v/>
      </c>
      <c r="AF109" s="333" t="str">
        <f t="shared" si="19"/>
        <v/>
      </c>
      <c r="AG109" s="561" t="str">
        <f t="shared" si="12"/>
        <v/>
      </c>
      <c r="AH109" s="561" t="str">
        <f t="shared" si="13"/>
        <v/>
      </c>
      <c r="AI109" s="334"/>
    </row>
    <row r="110" spans="1:35" ht="24" outlineLevel="3" x14ac:dyDescent="0.2">
      <c r="A110" s="39">
        <v>4</v>
      </c>
      <c r="B110" s="23">
        <v>213040</v>
      </c>
      <c r="C110" s="23" t="s">
        <v>709</v>
      </c>
      <c r="D110" s="300">
        <f>Table22[[#This Row],[Level used for acute calculation]]</f>
        <v>4</v>
      </c>
      <c r="E110" s="302">
        <f>Table22[[#This Row],[MRL individual commodity]]</f>
        <v>0</v>
      </c>
      <c r="F110" s="451">
        <f>Table22[[#This Row],[Acute RA input value]]</f>
        <v>0</v>
      </c>
      <c r="G110" s="301" t="str">
        <f>Table22[[#This Row],[Acute RA label]]</f>
        <v/>
      </c>
      <c r="H110" s="303">
        <f>Table22[[#This Row],[Acute RA IESTI new input value]]</f>
        <v>0</v>
      </c>
      <c r="I110" s="301" t="str">
        <f>Table22[[#This Row],[Acute RA IESTI new label]]</f>
        <v/>
      </c>
      <c r="J110" s="504"/>
      <c r="K110" s="544">
        <f>Table22[[#This Row],[GAP under assessment]]</f>
        <v>0</v>
      </c>
      <c r="L110" s="304" t="str">
        <f>IF(input_values!$M110=0,"",input_values!$M110)</f>
        <v/>
      </c>
      <c r="M110" s="301" t="str">
        <f>IF(input_values!H110=0,"",input_values!H110)</f>
        <v/>
      </c>
      <c r="N110" s="304">
        <f>input_values!$K110</f>
        <v>0</v>
      </c>
      <c r="O110" s="326">
        <v>5.8333333333333327E-2</v>
      </c>
      <c r="P110" s="22">
        <v>97.5</v>
      </c>
      <c r="Q110" s="22" t="s">
        <v>95</v>
      </c>
      <c r="R110" s="326">
        <v>48</v>
      </c>
      <c r="S110" s="328">
        <f t="shared" si="14"/>
        <v>2.8</v>
      </c>
      <c r="T110" s="328">
        <v>220</v>
      </c>
      <c r="U110" s="329" t="s">
        <v>45</v>
      </c>
      <c r="V110" s="328">
        <v>220</v>
      </c>
      <c r="W110" s="329" t="s">
        <v>45</v>
      </c>
      <c r="X110" s="1464" t="str">
        <f>IF(V110="ND","ND",IF(S110="","",IF(OR(MID(C110,1,4)="milk",AND(MID(B110,1,2)="50",NOT(input_values!M110="Y")),AND(MID(B110,1,2)="40",NOT(input_values!M110="Y")),AND(MID(B110,1,2)="30",NOT(input_values!M110="Y"))),3,IF(OR(V110="&lt;25",B110&gt;1000000),1,IF((T110&gt;=S110),"2b","2a")))))</f>
        <v>2b</v>
      </c>
      <c r="Y110" s="22">
        <f>IF(X110="ND","ND",IF(S110="","",IF(input_values!K110&gt;0,input_values!K110,IF(OR(X110=1,X110=3),1,IF((V110&gt;250),5,7)))))</f>
        <v>7</v>
      </c>
      <c r="Z110" s="330" t="str">
        <f t="shared" si="15"/>
        <v/>
      </c>
      <c r="AA110" s="331">
        <f t="shared" si="10"/>
        <v>0</v>
      </c>
      <c r="AB110" s="27">
        <f t="shared" si="16"/>
        <v>3</v>
      </c>
      <c r="AC110" s="330" t="str">
        <f t="shared" si="17"/>
        <v/>
      </c>
      <c r="AD110" s="332">
        <f t="shared" si="11"/>
        <v>0</v>
      </c>
      <c r="AE110" s="333" t="str">
        <f t="shared" si="18"/>
        <v/>
      </c>
      <c r="AF110" s="333" t="str">
        <f t="shared" si="19"/>
        <v/>
      </c>
      <c r="AG110" s="561" t="str">
        <f t="shared" si="12"/>
        <v/>
      </c>
      <c r="AH110" s="561" t="str">
        <f t="shared" si="13"/>
        <v/>
      </c>
      <c r="AI110" s="313"/>
    </row>
    <row r="111" spans="1:35" outlineLevel="3" x14ac:dyDescent="0.2">
      <c r="A111" s="39">
        <v>4</v>
      </c>
      <c r="B111" s="23">
        <v>213050</v>
      </c>
      <c r="C111" s="23" t="s">
        <v>27</v>
      </c>
      <c r="D111" s="300">
        <f>Table22[[#This Row],[Level used for acute calculation]]</f>
        <v>4</v>
      </c>
      <c r="E111" s="302">
        <f>Table22[[#This Row],[MRL individual commodity]]</f>
        <v>0</v>
      </c>
      <c r="F111" s="451">
        <f>Table22[[#This Row],[Acute RA input value]]</f>
        <v>0</v>
      </c>
      <c r="G111" s="301" t="str">
        <f>Table22[[#This Row],[Acute RA label]]</f>
        <v/>
      </c>
      <c r="H111" s="303">
        <f>Table22[[#This Row],[Acute RA IESTI new input value]]</f>
        <v>0</v>
      </c>
      <c r="I111" s="301" t="str">
        <f>Table22[[#This Row],[Acute RA IESTI new label]]</f>
        <v/>
      </c>
      <c r="J111" s="504"/>
      <c r="K111" s="544">
        <f>Table22[[#This Row],[GAP under assessment]]</f>
        <v>0</v>
      </c>
      <c r="L111" s="304" t="str">
        <f>IF(input_values!$M111=0,"",input_values!$M111)</f>
        <v/>
      </c>
      <c r="M111" s="301" t="str">
        <f>IF(input_values!H111=0,"",input_values!H111)</f>
        <v/>
      </c>
      <c r="N111" s="304">
        <f>input_values!$K111</f>
        <v>0</v>
      </c>
      <c r="O111" s="338" t="s">
        <v>618</v>
      </c>
      <c r="P111" s="22"/>
      <c r="Q111" s="22"/>
      <c r="R111" s="330"/>
      <c r="S111" s="31" t="str">
        <f t="shared" si="14"/>
        <v>ND</v>
      </c>
      <c r="T111" s="338">
        <v>68.77</v>
      </c>
      <c r="U111" s="339" t="s">
        <v>90</v>
      </c>
      <c r="V111" s="338">
        <v>94</v>
      </c>
      <c r="W111" s="339" t="s">
        <v>90</v>
      </c>
      <c r="X111" s="460" t="str">
        <f>IF(V111="ND","ND",IF(S111="","",IF(OR(MID(C111,1,4)="milk",AND(MID(B111,1,2)="50",NOT(input_values!M111="Y")),AND(MID(B111,1,2)="40",NOT(input_values!M111="Y")),AND(MID(B111,1,2)="30",NOT(input_values!M111="Y"))),3,IF(OR(V111="&lt;25",B111&gt;1000000),1,IF((T111&gt;=S111),"2b","2a")))))</f>
        <v>2a</v>
      </c>
      <c r="Y111" s="22">
        <f>IF(X111="ND","ND",IF(S111="","",IF(input_values!K111&gt;0,input_values!K111,IF(OR(X111=1,X111=3),1,IF((V111&gt;250),5,7)))))</f>
        <v>7</v>
      </c>
      <c r="Z111" s="340" t="str">
        <f t="shared" si="15"/>
        <v/>
      </c>
      <c r="AA111" s="332">
        <f t="shared" si="10"/>
        <v>0</v>
      </c>
      <c r="AB111" s="27">
        <f t="shared" si="16"/>
        <v>3</v>
      </c>
      <c r="AC111" s="340" t="str">
        <f t="shared" si="17"/>
        <v/>
      </c>
      <c r="AD111" s="332">
        <f t="shared" si="11"/>
        <v>0</v>
      </c>
      <c r="AE111" s="37" t="str">
        <f t="shared" si="18"/>
        <v/>
      </c>
      <c r="AF111" s="37" t="str">
        <f t="shared" si="19"/>
        <v/>
      </c>
      <c r="AG111" s="561" t="str">
        <f t="shared" si="12"/>
        <v/>
      </c>
      <c r="AH111" s="561" t="str">
        <f t="shared" si="13"/>
        <v/>
      </c>
      <c r="AI111" s="334"/>
    </row>
    <row r="112" spans="1:35" outlineLevel="3" x14ac:dyDescent="0.2">
      <c r="A112" s="39">
        <v>4</v>
      </c>
      <c r="B112" s="23">
        <v>213060</v>
      </c>
      <c r="C112" s="23" t="s">
        <v>28</v>
      </c>
      <c r="D112" s="300">
        <f>Table22[[#This Row],[Level used for acute calculation]]</f>
        <v>4</v>
      </c>
      <c r="E112" s="302">
        <f>Table22[[#This Row],[MRL individual commodity]]</f>
        <v>0</v>
      </c>
      <c r="F112" s="451">
        <f>Table22[[#This Row],[Acute RA input value]]</f>
        <v>0</v>
      </c>
      <c r="G112" s="301" t="str">
        <f>Table22[[#This Row],[Acute RA label]]</f>
        <v/>
      </c>
      <c r="H112" s="303">
        <f>Table22[[#This Row],[Acute RA IESTI new input value]]</f>
        <v>0</v>
      </c>
      <c r="I112" s="301" t="str">
        <f>Table22[[#This Row],[Acute RA IESTI new label]]</f>
        <v/>
      </c>
      <c r="J112" s="504"/>
      <c r="K112" s="544">
        <f>Table22[[#This Row],[GAP under assessment]]</f>
        <v>0</v>
      </c>
      <c r="L112" s="304" t="str">
        <f>IF(input_values!$M112=0,"",input_values!$M112)</f>
        <v/>
      </c>
      <c r="M112" s="301" t="str">
        <f>IF(input_values!H112=0,"",input_values!H112)</f>
        <v/>
      </c>
      <c r="N112" s="304">
        <f>input_values!$K112</f>
        <v>0</v>
      </c>
      <c r="O112" s="326">
        <v>5.1609195402298855</v>
      </c>
      <c r="P112" s="22">
        <v>97.5</v>
      </c>
      <c r="Q112" s="22" t="s">
        <v>89</v>
      </c>
      <c r="R112" s="326">
        <v>8.6999999999999993</v>
      </c>
      <c r="S112" s="328">
        <f t="shared" si="14"/>
        <v>44.9</v>
      </c>
      <c r="T112" s="328">
        <v>125</v>
      </c>
      <c r="U112" s="329" t="s">
        <v>45</v>
      </c>
      <c r="V112" s="328">
        <v>125</v>
      </c>
      <c r="W112" s="329" t="s">
        <v>45</v>
      </c>
      <c r="X112" s="1464" t="str">
        <f>IF(V112="ND","ND",IF(S112="","",IF(OR(MID(C112,1,4)="milk",AND(MID(B112,1,2)="50",NOT(input_values!M112="Y")),AND(MID(B112,1,2)="40",NOT(input_values!M112="Y")),AND(MID(B112,1,2)="30",NOT(input_values!M112="Y"))),3,IF(OR(V112="&lt;25",B112&gt;1000000),1,IF((T112&gt;=S112),"2b","2a")))))</f>
        <v>2b</v>
      </c>
      <c r="Y112" s="22">
        <f>IF(X112="ND","ND",IF(S112="","",IF(input_values!K112&gt;0,input_values!K112,IF(OR(X112=1,X112=3),1,IF((V112&gt;250),5,7)))))</f>
        <v>7</v>
      </c>
      <c r="Z112" s="330" t="str">
        <f t="shared" si="15"/>
        <v/>
      </c>
      <c r="AA112" s="331">
        <f t="shared" si="10"/>
        <v>0</v>
      </c>
      <c r="AB112" s="27">
        <f t="shared" si="16"/>
        <v>3</v>
      </c>
      <c r="AC112" s="330" t="str">
        <f t="shared" si="17"/>
        <v/>
      </c>
      <c r="AD112" s="332">
        <f t="shared" si="11"/>
        <v>0</v>
      </c>
      <c r="AE112" s="333" t="str">
        <f t="shared" si="18"/>
        <v/>
      </c>
      <c r="AF112" s="333" t="str">
        <f t="shared" si="19"/>
        <v/>
      </c>
      <c r="AG112" s="561" t="str">
        <f t="shared" si="12"/>
        <v/>
      </c>
      <c r="AH112" s="561" t="str">
        <f t="shared" si="13"/>
        <v/>
      </c>
      <c r="AI112" s="334"/>
    </row>
    <row r="113" spans="1:35" ht="24" outlineLevel="3" x14ac:dyDescent="0.2">
      <c r="A113" s="39">
        <v>4</v>
      </c>
      <c r="B113" s="23">
        <v>213070</v>
      </c>
      <c r="C113" s="23" t="s">
        <v>710</v>
      </c>
      <c r="D113" s="300">
        <f>Table22[[#This Row],[Level used for acute calculation]]</f>
        <v>4</v>
      </c>
      <c r="E113" s="302">
        <f>Table22[[#This Row],[MRL individual commodity]]</f>
        <v>0</v>
      </c>
      <c r="F113" s="451">
        <f>Table22[[#This Row],[Acute RA input value]]</f>
        <v>0</v>
      </c>
      <c r="G113" s="301" t="str">
        <f>Table22[[#This Row],[Acute RA label]]</f>
        <v/>
      </c>
      <c r="H113" s="303">
        <f>Table22[[#This Row],[Acute RA IESTI new input value]]</f>
        <v>0</v>
      </c>
      <c r="I113" s="301" t="str">
        <f>Table22[[#This Row],[Acute RA IESTI new label]]</f>
        <v/>
      </c>
      <c r="J113" s="504"/>
      <c r="K113" s="544">
        <f>Table22[[#This Row],[GAP under assessment]]</f>
        <v>0</v>
      </c>
      <c r="L113" s="304" t="str">
        <f>IF(input_values!$M113=0,"",input_values!$M113)</f>
        <v/>
      </c>
      <c r="M113" s="301" t="str">
        <f>IF(input_values!H113=0,"",input_values!H113)</f>
        <v/>
      </c>
      <c r="N113" s="304">
        <f>input_values!$K113</f>
        <v>0</v>
      </c>
      <c r="O113" s="326">
        <v>0.64</v>
      </c>
      <c r="P113" s="22">
        <v>97.5</v>
      </c>
      <c r="Q113" s="22" t="s">
        <v>96</v>
      </c>
      <c r="R113" s="326">
        <v>21.4</v>
      </c>
      <c r="S113" s="328">
        <f t="shared" si="14"/>
        <v>13.696</v>
      </c>
      <c r="T113" s="328">
        <v>140</v>
      </c>
      <c r="U113" s="329" t="s">
        <v>288</v>
      </c>
      <c r="V113" s="328">
        <v>200</v>
      </c>
      <c r="W113" s="329" t="s">
        <v>288</v>
      </c>
      <c r="X113" s="1464" t="str">
        <f>IF(V113="ND","ND",IF(S113="","",IF(OR(MID(C113,1,4)="milk",AND(MID(B113,1,2)="50",NOT(input_values!M113="Y")),AND(MID(B113,1,2)="40",NOT(input_values!M113="Y")),AND(MID(B113,1,2)="30",NOT(input_values!M113="Y"))),3,IF(OR(V113="&lt;25",B113&gt;1000000),1,IF((T113&gt;=S113),"2b","2a")))))</f>
        <v>2b</v>
      </c>
      <c r="Y113" s="22">
        <f>IF(X113="ND","ND",IF(S113="","",IF(input_values!K113&gt;0,input_values!K113,IF(OR(X113=1,X113=3),1,IF((V113&gt;250),5,7)))))</f>
        <v>7</v>
      </c>
      <c r="Z113" s="330" t="str">
        <f t="shared" si="15"/>
        <v/>
      </c>
      <c r="AA113" s="331">
        <f t="shared" si="10"/>
        <v>0</v>
      </c>
      <c r="AB113" s="27">
        <f t="shared" si="16"/>
        <v>3</v>
      </c>
      <c r="AC113" s="330" t="str">
        <f t="shared" si="17"/>
        <v/>
      </c>
      <c r="AD113" s="332">
        <f t="shared" si="11"/>
        <v>0</v>
      </c>
      <c r="AE113" s="333" t="str">
        <f t="shared" si="18"/>
        <v/>
      </c>
      <c r="AF113" s="333" t="str">
        <f t="shared" si="19"/>
        <v/>
      </c>
      <c r="AG113" s="561" t="str">
        <f t="shared" si="12"/>
        <v/>
      </c>
      <c r="AH113" s="561" t="str">
        <f t="shared" si="13"/>
        <v/>
      </c>
      <c r="AI113" s="313"/>
    </row>
    <row r="114" spans="1:35" outlineLevel="3" x14ac:dyDescent="0.2">
      <c r="A114" s="39">
        <v>4</v>
      </c>
      <c r="B114" s="23">
        <v>213080</v>
      </c>
      <c r="C114" s="23" t="s">
        <v>29</v>
      </c>
      <c r="D114" s="300">
        <f>Table22[[#This Row],[Level used for acute calculation]]</f>
        <v>4</v>
      </c>
      <c r="E114" s="302">
        <f>Table22[[#This Row],[MRL individual commodity]]</f>
        <v>0</v>
      </c>
      <c r="F114" s="451">
        <f>Table22[[#This Row],[Acute RA input value]]</f>
        <v>0</v>
      </c>
      <c r="G114" s="301" t="str">
        <f>Table22[[#This Row],[Acute RA label]]</f>
        <v/>
      </c>
      <c r="H114" s="303">
        <f>Table22[[#This Row],[Acute RA IESTI new input value]]</f>
        <v>0</v>
      </c>
      <c r="I114" s="301" t="str">
        <f>Table22[[#This Row],[Acute RA IESTI new label]]</f>
        <v/>
      </c>
      <c r="J114" s="504"/>
      <c r="K114" s="544">
        <f>Table22[[#This Row],[GAP under assessment]]</f>
        <v>0</v>
      </c>
      <c r="L114" s="304" t="str">
        <f>IF(input_values!$M114=0,"",input_values!$M114)</f>
        <v/>
      </c>
      <c r="M114" s="301" t="str">
        <f>IF(input_values!H114=0,"",input_values!H114)</f>
        <v/>
      </c>
      <c r="N114" s="304">
        <f>input_values!$K114</f>
        <v>0</v>
      </c>
      <c r="O114" s="326">
        <v>3.5000000000000004</v>
      </c>
      <c r="P114" s="22" t="s">
        <v>331</v>
      </c>
      <c r="Q114" s="22" t="s">
        <v>259</v>
      </c>
      <c r="R114" s="326">
        <v>18.399999999999999</v>
      </c>
      <c r="S114" s="328">
        <f t="shared" si="14"/>
        <v>64.400000000000006</v>
      </c>
      <c r="T114" s="328">
        <v>171.95</v>
      </c>
      <c r="U114" s="329" t="s">
        <v>215</v>
      </c>
      <c r="V114" s="328">
        <v>181</v>
      </c>
      <c r="W114" s="329" t="s">
        <v>215</v>
      </c>
      <c r="X114" s="1464" t="str">
        <f>IF(V114="ND","ND",IF(S114="","",IF(OR(MID(C114,1,4)="milk",AND(MID(B114,1,2)="50",NOT(input_values!M114="Y")),AND(MID(B114,1,2)="40",NOT(input_values!M114="Y")),AND(MID(B114,1,2)="30",NOT(input_values!M114="Y"))),3,IF(OR(V114="&lt;25",B114&gt;1000000),1,IF((T114&gt;=S114),"2b","2a")))))</f>
        <v>2b</v>
      </c>
      <c r="Y114" s="22">
        <f>IF(X114="ND","ND",IF(S114="","",IF(input_values!K114&gt;0,input_values!K114,IF(OR(X114=1,X114=3),1,IF((V114&gt;250),5,7)))))</f>
        <v>7</v>
      </c>
      <c r="Z114" s="330" t="str">
        <f t="shared" si="15"/>
        <v/>
      </c>
      <c r="AA114" s="331">
        <f t="shared" si="10"/>
        <v>0</v>
      </c>
      <c r="AB114" s="27">
        <f t="shared" si="16"/>
        <v>3</v>
      </c>
      <c r="AC114" s="330" t="str">
        <f t="shared" si="17"/>
        <v/>
      </c>
      <c r="AD114" s="332">
        <f t="shared" si="11"/>
        <v>0</v>
      </c>
      <c r="AE114" s="333" t="str">
        <f t="shared" si="18"/>
        <v/>
      </c>
      <c r="AF114" s="333" t="str">
        <f t="shared" si="19"/>
        <v/>
      </c>
      <c r="AG114" s="561" t="str">
        <f t="shared" si="12"/>
        <v/>
      </c>
      <c r="AH114" s="561" t="str">
        <f t="shared" si="13"/>
        <v/>
      </c>
      <c r="AI114" s="313"/>
    </row>
    <row r="115" spans="1:35" outlineLevel="3" x14ac:dyDescent="0.2">
      <c r="A115" s="39">
        <v>4</v>
      </c>
      <c r="B115" s="23">
        <v>213090</v>
      </c>
      <c r="C115" s="23" t="s">
        <v>711</v>
      </c>
      <c r="D115" s="300">
        <f>Table22[[#This Row],[Level used for acute calculation]]</f>
        <v>4</v>
      </c>
      <c r="E115" s="302">
        <f>Table22[[#This Row],[MRL individual commodity]]</f>
        <v>0</v>
      </c>
      <c r="F115" s="451">
        <f>Table22[[#This Row],[Acute RA input value]]</f>
        <v>0</v>
      </c>
      <c r="G115" s="301" t="str">
        <f>Table22[[#This Row],[Acute RA label]]</f>
        <v/>
      </c>
      <c r="H115" s="303">
        <f>Table22[[#This Row],[Acute RA IESTI new input value]]</f>
        <v>0</v>
      </c>
      <c r="I115" s="301" t="str">
        <f>Table22[[#This Row],[Acute RA IESTI new label]]</f>
        <v/>
      </c>
      <c r="J115" s="504"/>
      <c r="K115" s="544">
        <f>Table22[[#This Row],[GAP under assessment]]</f>
        <v>0</v>
      </c>
      <c r="L115" s="304" t="str">
        <f>IF(input_values!$M115=0,"",input_values!$M115)</f>
        <v/>
      </c>
      <c r="M115" s="301" t="str">
        <f>IF(input_values!H115=0,"",input_values!H115)</f>
        <v/>
      </c>
      <c r="N115" s="304">
        <f>input_values!$K115</f>
        <v>0</v>
      </c>
      <c r="O115" s="326">
        <v>5.6123595505617976</v>
      </c>
      <c r="P115" s="22">
        <v>100</v>
      </c>
      <c r="Q115" s="22" t="s">
        <v>93</v>
      </c>
      <c r="R115" s="326">
        <v>17.8</v>
      </c>
      <c r="S115" s="328">
        <f t="shared" si="14"/>
        <v>99.9</v>
      </c>
      <c r="T115" s="328">
        <v>75.373333333333335</v>
      </c>
      <c r="U115" s="329" t="s">
        <v>90</v>
      </c>
      <c r="V115" s="328">
        <v>90.027027027027032</v>
      </c>
      <c r="W115" s="329" t="s">
        <v>90</v>
      </c>
      <c r="X115" s="1464" t="str">
        <f>IF(V115="ND","ND",IF(S115="","",IF(OR(MID(C115,1,4)="milk",AND(MID(B115,1,2)="50",NOT(input_values!M115="Y")),AND(MID(B115,1,2)="40",NOT(input_values!M115="Y")),AND(MID(B115,1,2)="30",NOT(input_values!M115="Y"))),3,IF(OR(V115="&lt;25",B115&gt;1000000),1,IF((T115&gt;=S115),"2b","2a")))))</f>
        <v>2a</v>
      </c>
      <c r="Y115" s="22">
        <f>IF(X115="ND","ND",IF(S115="","",IF(input_values!K115&gt;0,input_values!K115,IF(OR(X115=1,X115=3),1,IF((V115&gt;250),5,7)))))</f>
        <v>7</v>
      </c>
      <c r="Z115" s="330" t="str">
        <f t="shared" si="15"/>
        <v/>
      </c>
      <c r="AA115" s="331">
        <f t="shared" si="10"/>
        <v>0</v>
      </c>
      <c r="AB115" s="27">
        <f t="shared" si="16"/>
        <v>3</v>
      </c>
      <c r="AC115" s="330" t="str">
        <f t="shared" si="17"/>
        <v/>
      </c>
      <c r="AD115" s="332">
        <f t="shared" si="11"/>
        <v>0</v>
      </c>
      <c r="AE115" s="333" t="str">
        <f t="shared" si="18"/>
        <v/>
      </c>
      <c r="AF115" s="333" t="str">
        <f t="shared" si="19"/>
        <v/>
      </c>
      <c r="AG115" s="561" t="str">
        <f t="shared" si="12"/>
        <v/>
      </c>
      <c r="AH115" s="561" t="str">
        <f t="shared" si="13"/>
        <v/>
      </c>
      <c r="AI115" s="334"/>
    </row>
    <row r="116" spans="1:35" outlineLevel="3" x14ac:dyDescent="0.2">
      <c r="A116" s="39">
        <v>4</v>
      </c>
      <c r="B116" s="23">
        <v>213100</v>
      </c>
      <c r="C116" s="23" t="s">
        <v>712</v>
      </c>
      <c r="D116" s="300">
        <f>Table22[[#This Row],[Level used for acute calculation]]</f>
        <v>4</v>
      </c>
      <c r="E116" s="302">
        <f>Table22[[#This Row],[MRL individual commodity]]</f>
        <v>0</v>
      </c>
      <c r="F116" s="451">
        <f>Table22[[#This Row],[Acute RA input value]]</f>
        <v>0</v>
      </c>
      <c r="G116" s="301" t="str">
        <f>Table22[[#This Row],[Acute RA label]]</f>
        <v/>
      </c>
      <c r="H116" s="303">
        <f>Table22[[#This Row],[Acute RA IESTI new input value]]</f>
        <v>0</v>
      </c>
      <c r="I116" s="301" t="str">
        <f>Table22[[#This Row],[Acute RA IESTI new label]]</f>
        <v/>
      </c>
      <c r="J116" s="504"/>
      <c r="K116" s="544">
        <f>Table22[[#This Row],[GAP under assessment]]</f>
        <v>0</v>
      </c>
      <c r="L116" s="304" t="str">
        <f>IF(input_values!$M116=0,"",input_values!$M116)</f>
        <v/>
      </c>
      <c r="M116" s="301" t="str">
        <f>IF(input_values!H116=0,"",input_values!H116)</f>
        <v/>
      </c>
      <c r="N116" s="304">
        <f>input_values!$K116</f>
        <v>0</v>
      </c>
      <c r="O116" s="326">
        <v>10.344827586206897</v>
      </c>
      <c r="P116" s="22">
        <v>97.5</v>
      </c>
      <c r="Q116" s="22" t="s">
        <v>89</v>
      </c>
      <c r="R116" s="326">
        <v>8.6999999999999993</v>
      </c>
      <c r="S116" s="328">
        <f t="shared" si="14"/>
        <v>90</v>
      </c>
      <c r="T116" s="328">
        <v>500</v>
      </c>
      <c r="U116" s="329" t="s">
        <v>45</v>
      </c>
      <c r="V116" s="328">
        <v>500</v>
      </c>
      <c r="W116" s="329" t="s">
        <v>45</v>
      </c>
      <c r="X116" s="1464" t="str">
        <f>IF(V116="ND","ND",IF(S116="","",IF(OR(MID(C116,1,4)="milk",AND(MID(B116,1,2)="50",NOT(input_values!M116="Y")),AND(MID(B116,1,2)="40",NOT(input_values!M116="Y")),AND(MID(B116,1,2)="30",NOT(input_values!M116="Y"))),3,IF(OR(V116="&lt;25",B116&gt;1000000),1,IF((T116&gt;=S116),"2b","2a")))))</f>
        <v>2b</v>
      </c>
      <c r="Y116" s="22">
        <f>IF(X116="ND","ND",IF(S116="","",IF(input_values!K116&gt;0,input_values!K116,IF(OR(X116=1,X116=3),1,IF((V116&gt;250),5,7)))))</f>
        <v>5</v>
      </c>
      <c r="Z116" s="330" t="str">
        <f t="shared" si="15"/>
        <v/>
      </c>
      <c r="AA116" s="331">
        <f t="shared" si="10"/>
        <v>0</v>
      </c>
      <c r="AB116" s="27">
        <f t="shared" si="16"/>
        <v>3</v>
      </c>
      <c r="AC116" s="330" t="str">
        <f t="shared" si="17"/>
        <v/>
      </c>
      <c r="AD116" s="332">
        <f t="shared" si="11"/>
        <v>0</v>
      </c>
      <c r="AE116" s="333" t="str">
        <f t="shared" si="18"/>
        <v/>
      </c>
      <c r="AF116" s="333" t="str">
        <f t="shared" si="19"/>
        <v/>
      </c>
      <c r="AG116" s="561" t="str">
        <f t="shared" si="12"/>
        <v/>
      </c>
      <c r="AH116" s="561" t="str">
        <f t="shared" si="13"/>
        <v/>
      </c>
      <c r="AI116" s="313"/>
    </row>
    <row r="117" spans="1:35" outlineLevel="3" x14ac:dyDescent="0.2">
      <c r="A117" s="39">
        <v>4</v>
      </c>
      <c r="B117" s="23">
        <v>213110</v>
      </c>
      <c r="C117" s="23" t="s">
        <v>30</v>
      </c>
      <c r="D117" s="300">
        <f>Table22[[#This Row],[Level used for acute calculation]]</f>
        <v>4</v>
      </c>
      <c r="E117" s="302">
        <f>Table22[[#This Row],[MRL individual commodity]]</f>
        <v>0</v>
      </c>
      <c r="F117" s="451">
        <f>Table22[[#This Row],[Acute RA input value]]</f>
        <v>0</v>
      </c>
      <c r="G117" s="301" t="str">
        <f>Table22[[#This Row],[Acute RA label]]</f>
        <v/>
      </c>
      <c r="H117" s="303">
        <f>Table22[[#This Row],[Acute RA IESTI new input value]]</f>
        <v>0</v>
      </c>
      <c r="I117" s="301" t="str">
        <f>Table22[[#This Row],[Acute RA IESTI new label]]</f>
        <v/>
      </c>
      <c r="J117" s="504"/>
      <c r="K117" s="544">
        <f>Table22[[#This Row],[GAP under assessment]]</f>
        <v>0</v>
      </c>
      <c r="L117" s="304" t="str">
        <f>IF(input_values!$M117=0,"",input_values!$M117)</f>
        <v/>
      </c>
      <c r="M117" s="301" t="str">
        <f>IF(input_values!H117=0,"",input_values!H117)</f>
        <v/>
      </c>
      <c r="N117" s="304">
        <f>input_values!$K117</f>
        <v>0</v>
      </c>
      <c r="O117" s="326">
        <v>5.1317073170731708</v>
      </c>
      <c r="P117" s="22">
        <v>97.5</v>
      </c>
      <c r="Q117" s="22" t="s">
        <v>92</v>
      </c>
      <c r="R117" s="326">
        <v>20.5</v>
      </c>
      <c r="S117" s="328">
        <f t="shared" si="14"/>
        <v>105.2</v>
      </c>
      <c r="T117" s="328">
        <v>110</v>
      </c>
      <c r="U117" s="329" t="s">
        <v>45</v>
      </c>
      <c r="V117" s="328">
        <v>147</v>
      </c>
      <c r="W117" s="329" t="s">
        <v>45</v>
      </c>
      <c r="X117" s="1464" t="str">
        <f>IF(V117="ND","ND",IF(S117="","",IF(OR(MID(C117,1,4)="milk",AND(MID(B117,1,2)="50",NOT(input_values!M117="Y")),AND(MID(B117,1,2)="40",NOT(input_values!M117="Y")),AND(MID(B117,1,2)="30",NOT(input_values!M117="Y"))),3,IF(OR(V117="&lt;25",B117&gt;1000000),1,IF((T117&gt;=S117),"2b","2a")))))</f>
        <v>2b</v>
      </c>
      <c r="Y117" s="22">
        <f>IF(X117="ND","ND",IF(S117="","",IF(input_values!K117&gt;0,input_values!K117,IF(OR(X117=1,X117=3),1,IF((V117&gt;250),5,7)))))</f>
        <v>7</v>
      </c>
      <c r="Z117" s="330" t="str">
        <f t="shared" si="15"/>
        <v/>
      </c>
      <c r="AA117" s="331">
        <f t="shared" si="10"/>
        <v>0</v>
      </c>
      <c r="AB117" s="27">
        <f t="shared" si="16"/>
        <v>3</v>
      </c>
      <c r="AC117" s="330" t="str">
        <f t="shared" si="17"/>
        <v/>
      </c>
      <c r="AD117" s="332">
        <f t="shared" si="11"/>
        <v>0</v>
      </c>
      <c r="AE117" s="333" t="str">
        <f t="shared" si="18"/>
        <v/>
      </c>
      <c r="AF117" s="333" t="str">
        <f t="shared" si="19"/>
        <v/>
      </c>
      <c r="AG117" s="561" t="str">
        <f t="shared" si="12"/>
        <v/>
      </c>
      <c r="AH117" s="561" t="str">
        <f t="shared" si="13"/>
        <v/>
      </c>
      <c r="AI117" s="313"/>
    </row>
    <row r="118" spans="1:35" ht="24" outlineLevel="3" x14ac:dyDescent="0.2">
      <c r="A118" s="39">
        <v>4</v>
      </c>
      <c r="B118" s="23">
        <v>213990</v>
      </c>
      <c r="C118" s="23" t="s">
        <v>164</v>
      </c>
      <c r="D118" s="300">
        <f>Table22[[#This Row],[Level used for acute calculation]]</f>
        <v>0</v>
      </c>
      <c r="E118" s="302">
        <f>Table22[[#This Row],[MRL individual commodity]]</f>
        <v>0</v>
      </c>
      <c r="F118" s="451">
        <f>Table22[[#This Row],[Acute RA input value]]</f>
        <v>0</v>
      </c>
      <c r="G118" s="301">
        <f>Table22[[#This Row],[Acute RA label]]</f>
        <v>0</v>
      </c>
      <c r="H118" s="303">
        <f>Table22[[#This Row],[Acute RA IESTI new input value]]</f>
        <v>0</v>
      </c>
      <c r="I118" s="301">
        <f>Table22[[#This Row],[Acute RA IESTI new label]]</f>
        <v>0</v>
      </c>
      <c r="J118" s="504"/>
      <c r="K118" s="544">
        <f>Table22[[#This Row],[GAP under assessment]]</f>
        <v>0</v>
      </c>
      <c r="L118" s="304" t="str">
        <f>IF(input_values!$M118=0,"",input_values!$M118)</f>
        <v/>
      </c>
      <c r="M118" s="301" t="str">
        <f>IF(input_values!H118=0,"",input_values!H118)</f>
        <v/>
      </c>
      <c r="N118" s="304">
        <f>input_values!$K118</f>
        <v>0</v>
      </c>
      <c r="O118" s="309"/>
      <c r="P118" s="38"/>
      <c r="Q118" s="38"/>
      <c r="R118" s="335"/>
      <c r="S118" s="336" t="str">
        <f t="shared" si="14"/>
        <v/>
      </c>
      <c r="T118" s="305"/>
      <c r="U118" s="570"/>
      <c r="V118" s="305"/>
      <c r="W118" s="570"/>
      <c r="X118" s="611" t="str">
        <f>IF(V118="ND","ND",IF(S118="","",IF(OR(MID(C118,1,4)="milk",AND(MID(B118,1,2)="50",NOT(input_values!M118="Y")),AND(MID(B118,1,2)="40",NOT(input_values!M118="Y")),AND(MID(B118,1,2)="30",NOT(input_values!M118="Y"))),3,IF(OR(V118="&lt;25",B118&gt;1000000),1,IF((T118&gt;=S118),"2b","2a")))))</f>
        <v/>
      </c>
      <c r="Y118" s="38" t="str">
        <f>IF(X118="ND","ND",IF(S118="","",IF(input_values!K118&gt;0,input_values!K118,IF(OR(X118=1,X118=3),1,IF((V118&gt;250),5,7)))))</f>
        <v/>
      </c>
      <c r="Z118" s="335" t="str">
        <f t="shared" si="15"/>
        <v/>
      </c>
      <c r="AA118" s="311">
        <f t="shared" si="10"/>
        <v>0</v>
      </c>
      <c r="AB118" s="38" t="str">
        <f t="shared" si="16"/>
        <v/>
      </c>
      <c r="AC118" s="335" t="str">
        <f t="shared" si="17"/>
        <v/>
      </c>
      <c r="AD118" s="311">
        <f t="shared" si="11"/>
        <v>0</v>
      </c>
      <c r="AE118" s="344" t="str">
        <f t="shared" si="18"/>
        <v/>
      </c>
      <c r="AF118" s="344" t="str">
        <f t="shared" si="19"/>
        <v/>
      </c>
      <c r="AG118" s="561" t="str">
        <f t="shared" si="12"/>
        <v/>
      </c>
      <c r="AH118" s="561" t="str">
        <f t="shared" si="13"/>
        <v/>
      </c>
      <c r="AI118" s="313"/>
    </row>
    <row r="119" spans="1:35" outlineLevel="1" x14ac:dyDescent="0.2">
      <c r="A119" s="130">
        <v>2</v>
      </c>
      <c r="B119" s="131">
        <v>220000</v>
      </c>
      <c r="C119" s="131" t="s">
        <v>224</v>
      </c>
      <c r="D119" s="300">
        <f>Table22[[#This Row],[Level used for acute calculation]]</f>
        <v>4</v>
      </c>
      <c r="E119" s="302">
        <f>Table22[[#This Row],[MRL individual commodity]]</f>
        <v>0</v>
      </c>
      <c r="F119" s="451">
        <f>Table22[[#This Row],[Acute RA input value]]</f>
        <v>0</v>
      </c>
      <c r="G119" s="301">
        <f>Table22[[#This Row],[Acute RA label]]</f>
        <v>0</v>
      </c>
      <c r="H119" s="303">
        <f>Table22[[#This Row],[Acute RA IESTI new input value]]</f>
        <v>0</v>
      </c>
      <c r="I119" s="301">
        <f>Table22[[#This Row],[Acute RA IESTI new label]]</f>
        <v>0</v>
      </c>
      <c r="J119" s="504"/>
      <c r="K119" s="544">
        <f>Table22[[#This Row],[GAP under assessment]]</f>
        <v>0</v>
      </c>
      <c r="L119" s="304" t="str">
        <f>IF(input_values!$M119=0,"",input_values!$M119)</f>
        <v/>
      </c>
      <c r="M119" s="301" t="str">
        <f>IF(input_values!H119=0,"",input_values!H119)</f>
        <v/>
      </c>
      <c r="N119" s="304">
        <f>input_values!$K119</f>
        <v>0</v>
      </c>
      <c r="O119" s="309"/>
      <c r="P119" s="38"/>
      <c r="Q119" s="38"/>
      <c r="R119" s="335"/>
      <c r="S119" s="336" t="str">
        <f t="shared" si="14"/>
        <v/>
      </c>
      <c r="T119" s="315"/>
      <c r="U119" s="321"/>
      <c r="V119" s="315"/>
      <c r="W119" s="321"/>
      <c r="X119" s="611" t="str">
        <f>IF(V119="ND","ND",IF(S119="","",IF(OR(MID(C119,1,4)="milk",AND(MID(B119,1,2)="50",NOT(input_values!M119="Y")),AND(MID(B119,1,2)="40",NOT(input_values!M119="Y")),AND(MID(B119,1,2)="30",NOT(input_values!M119="Y"))),3,IF(OR(V119="&lt;25",B119&gt;1000000),1,IF((T119&gt;=S119),"2b","2a")))))</f>
        <v/>
      </c>
      <c r="Y119" s="38" t="str">
        <f>IF(X119="ND","ND",IF(S119="","",IF(input_values!K119&gt;0,input_values!K119,IF(OR(X119=1,X119=3),1,IF((V119&gt;250),5,7)))))</f>
        <v/>
      </c>
      <c r="Z119" s="335" t="str">
        <f t="shared" si="15"/>
        <v/>
      </c>
      <c r="AA119" s="311">
        <f t="shared" si="10"/>
        <v>0</v>
      </c>
      <c r="AB119" s="38" t="str">
        <f t="shared" si="16"/>
        <v/>
      </c>
      <c r="AC119" s="335" t="str">
        <f t="shared" si="17"/>
        <v/>
      </c>
      <c r="AD119" s="311">
        <f t="shared" si="11"/>
        <v>0</v>
      </c>
      <c r="AE119" s="344" t="str">
        <f t="shared" si="18"/>
        <v/>
      </c>
      <c r="AF119" s="344" t="str">
        <f t="shared" si="19"/>
        <v/>
      </c>
      <c r="AG119" s="561" t="str">
        <f t="shared" si="12"/>
        <v/>
      </c>
      <c r="AH119" s="561" t="str">
        <f t="shared" si="13"/>
        <v/>
      </c>
      <c r="AI119" s="313"/>
    </row>
    <row r="120" spans="1:35" outlineLevel="3" x14ac:dyDescent="0.2">
      <c r="A120" s="39">
        <v>4</v>
      </c>
      <c r="B120" s="23">
        <v>220010</v>
      </c>
      <c r="C120" s="23" t="s">
        <v>207</v>
      </c>
      <c r="D120" s="300">
        <f>Table22[[#This Row],[Level used for acute calculation]]</f>
        <v>4</v>
      </c>
      <c r="E120" s="302">
        <f>Table22[[#This Row],[MRL individual commodity]]</f>
        <v>0</v>
      </c>
      <c r="F120" s="451">
        <f>Table22[[#This Row],[Acute RA input value]]</f>
        <v>0</v>
      </c>
      <c r="G120" s="301" t="str">
        <f>Table22[[#This Row],[Acute RA label]]</f>
        <v/>
      </c>
      <c r="H120" s="303">
        <f>Table22[[#This Row],[Acute RA IESTI new input value]]</f>
        <v>0</v>
      </c>
      <c r="I120" s="301" t="str">
        <f>Table22[[#This Row],[Acute RA IESTI new label]]</f>
        <v/>
      </c>
      <c r="J120" s="504"/>
      <c r="K120" s="544">
        <f>Table22[[#This Row],[GAP under assessment]]</f>
        <v>0</v>
      </c>
      <c r="L120" s="304" t="str">
        <f>IF(input_values!$M120=0,"",input_values!$M120)</f>
        <v/>
      </c>
      <c r="M120" s="301" t="str">
        <f>IF(input_values!H120=0,"",input_values!H120)</f>
        <v/>
      </c>
      <c r="N120" s="304">
        <f>input_values!$K120</f>
        <v>0</v>
      </c>
      <c r="O120" s="326">
        <v>3.5318800000000001</v>
      </c>
      <c r="P120" s="22">
        <v>97.5</v>
      </c>
      <c r="Q120" s="22" t="s">
        <v>330</v>
      </c>
      <c r="R120" s="326">
        <v>20</v>
      </c>
      <c r="S120" s="328">
        <f t="shared" si="14"/>
        <v>70.637600000000006</v>
      </c>
      <c r="T120" s="338" t="s">
        <v>617</v>
      </c>
      <c r="U120" s="129" t="s">
        <v>215</v>
      </c>
      <c r="V120" s="338" t="s">
        <v>617</v>
      </c>
      <c r="W120" s="129" t="s">
        <v>215</v>
      </c>
      <c r="X120" s="1464">
        <f>IF(V120="ND","ND",IF(S120="","",IF(OR(MID(C120,1,4)="milk",AND(MID(B120,1,2)="50",NOT(input_values!M120="Y")),AND(MID(B120,1,2)="40",NOT(input_values!M120="Y")),AND(MID(B120,1,2)="30",NOT(input_values!M120="Y"))),3,IF(OR(V120="&lt;25",B120&gt;1000000),1,IF((T120&gt;=S120),"2b","2a")))))</f>
        <v>1</v>
      </c>
      <c r="Y120" s="22">
        <f>IF(X120="ND","ND",IF(S120="","",IF(input_values!K120&gt;0,input_values!K120,IF(OR(X120=1,X120=3),1,IF((V120&gt;250),5,7)))))</f>
        <v>1</v>
      </c>
      <c r="Z120" s="330" t="str">
        <f t="shared" si="15"/>
        <v/>
      </c>
      <c r="AA120" s="331">
        <f t="shared" si="10"/>
        <v>0</v>
      </c>
      <c r="AB120" s="27">
        <f t="shared" si="16"/>
        <v>1</v>
      </c>
      <c r="AC120" s="330" t="str">
        <f t="shared" si="17"/>
        <v/>
      </c>
      <c r="AD120" s="332">
        <f t="shared" si="11"/>
        <v>0</v>
      </c>
      <c r="AE120" s="333" t="str">
        <f t="shared" si="18"/>
        <v/>
      </c>
      <c r="AF120" s="333" t="str">
        <f t="shared" si="19"/>
        <v/>
      </c>
      <c r="AG120" s="561" t="str">
        <f t="shared" si="12"/>
        <v/>
      </c>
      <c r="AH120" s="561" t="str">
        <f t="shared" si="13"/>
        <v/>
      </c>
      <c r="AI120" s="313"/>
    </row>
    <row r="121" spans="1:35" outlineLevel="3" x14ac:dyDescent="0.2">
      <c r="A121" s="39">
        <v>4</v>
      </c>
      <c r="B121" s="23">
        <v>220020</v>
      </c>
      <c r="C121" s="23" t="s">
        <v>208</v>
      </c>
      <c r="D121" s="300">
        <f>Table22[[#This Row],[Level used for acute calculation]]</f>
        <v>4</v>
      </c>
      <c r="E121" s="302">
        <f>Table22[[#This Row],[MRL individual commodity]]</f>
        <v>0</v>
      </c>
      <c r="F121" s="451">
        <f>Table22[[#This Row],[Acute RA input value]]</f>
        <v>0</v>
      </c>
      <c r="G121" s="301" t="str">
        <f>Table22[[#This Row],[Acute RA label]]</f>
        <v/>
      </c>
      <c r="H121" s="303">
        <f>Table22[[#This Row],[Acute RA IESTI new input value]]</f>
        <v>0</v>
      </c>
      <c r="I121" s="301" t="str">
        <f>Table22[[#This Row],[Acute RA IESTI new label]]</f>
        <v/>
      </c>
      <c r="J121" s="504"/>
      <c r="K121" s="544">
        <f>Table22[[#This Row],[GAP under assessment]]</f>
        <v>0</v>
      </c>
      <c r="L121" s="304" t="str">
        <f>IF(input_values!$M121=0,"",input_values!$M121)</f>
        <v/>
      </c>
      <c r="M121" s="301" t="str">
        <f>IF(input_values!H121=0,"",input_values!H121)</f>
        <v/>
      </c>
      <c r="N121" s="304">
        <f>input_values!$K121</f>
        <v>0</v>
      </c>
      <c r="O121" s="326">
        <v>3.2471910112359548</v>
      </c>
      <c r="P121" s="22">
        <v>97.5</v>
      </c>
      <c r="Q121" s="22" t="s">
        <v>93</v>
      </c>
      <c r="R121" s="326">
        <v>17.8</v>
      </c>
      <c r="S121" s="328">
        <f t="shared" si="14"/>
        <v>57.8</v>
      </c>
      <c r="T121" s="328">
        <v>105.80000000000001</v>
      </c>
      <c r="U121" s="329" t="s">
        <v>286</v>
      </c>
      <c r="V121" s="328">
        <v>115</v>
      </c>
      <c r="W121" s="329" t="s">
        <v>286</v>
      </c>
      <c r="X121" s="1464" t="str">
        <f>IF(V121="ND","ND",IF(S121="","",IF(OR(MID(C121,1,4)="milk",AND(MID(B121,1,2)="50",NOT(input_values!M121="Y")),AND(MID(B121,1,2)="40",NOT(input_values!M121="Y")),AND(MID(B121,1,2)="30",NOT(input_values!M121="Y"))),3,IF(OR(V121="&lt;25",B121&gt;1000000),1,IF((T121&gt;=S121),"2b","2a")))))</f>
        <v>2b</v>
      </c>
      <c r="Y121" s="22">
        <f>IF(X121="ND","ND",IF(S121="","",IF(input_values!K121&gt;0,input_values!K121,IF(OR(X121=1,X121=3),1,IF((V121&gt;250),5,7)))))</f>
        <v>7</v>
      </c>
      <c r="Z121" s="330" t="str">
        <f t="shared" si="15"/>
        <v/>
      </c>
      <c r="AA121" s="331">
        <f t="shared" si="10"/>
        <v>0</v>
      </c>
      <c r="AB121" s="27">
        <f t="shared" si="16"/>
        <v>3</v>
      </c>
      <c r="AC121" s="330" t="str">
        <f t="shared" si="17"/>
        <v/>
      </c>
      <c r="AD121" s="332">
        <f t="shared" si="11"/>
        <v>0</v>
      </c>
      <c r="AE121" s="333" t="str">
        <f t="shared" si="18"/>
        <v/>
      </c>
      <c r="AF121" s="333" t="str">
        <f t="shared" si="19"/>
        <v/>
      </c>
      <c r="AG121" s="561" t="str">
        <f t="shared" si="12"/>
        <v/>
      </c>
      <c r="AH121" s="561" t="str">
        <f t="shared" si="13"/>
        <v/>
      </c>
      <c r="AI121" s="313"/>
    </row>
    <row r="122" spans="1:35" outlineLevel="3" x14ac:dyDescent="0.2">
      <c r="A122" s="39">
        <v>4</v>
      </c>
      <c r="B122" s="23">
        <v>220030</v>
      </c>
      <c r="C122" s="23" t="s">
        <v>209</v>
      </c>
      <c r="D122" s="300">
        <f>Table22[[#This Row],[Level used for acute calculation]]</f>
        <v>4</v>
      </c>
      <c r="E122" s="302">
        <f>Table22[[#This Row],[MRL individual commodity]]</f>
        <v>0</v>
      </c>
      <c r="F122" s="451">
        <f>Table22[[#This Row],[Acute RA input value]]</f>
        <v>0</v>
      </c>
      <c r="G122" s="301" t="str">
        <f>Table22[[#This Row],[Acute RA label]]</f>
        <v/>
      </c>
      <c r="H122" s="303">
        <f>Table22[[#This Row],[Acute RA IESTI new input value]]</f>
        <v>0</v>
      </c>
      <c r="I122" s="301" t="str">
        <f>Table22[[#This Row],[Acute RA IESTI new label]]</f>
        <v/>
      </c>
      <c r="J122" s="504"/>
      <c r="K122" s="544">
        <f>Table22[[#This Row],[GAP under assessment]]</f>
        <v>0</v>
      </c>
      <c r="L122" s="304" t="str">
        <f>IF(input_values!$M122=0,"",input_values!$M122)</f>
        <v/>
      </c>
      <c r="M122" s="301" t="str">
        <f>IF(input_values!H122=0,"",input_values!H122)</f>
        <v/>
      </c>
      <c r="N122" s="304">
        <f>input_values!$K122</f>
        <v>0</v>
      </c>
      <c r="O122" s="326">
        <v>0.31</v>
      </c>
      <c r="P122" s="22">
        <v>95</v>
      </c>
      <c r="Q122" s="22" t="s">
        <v>256</v>
      </c>
      <c r="R122" s="326">
        <v>16.149999999999999</v>
      </c>
      <c r="S122" s="328">
        <f t="shared" si="14"/>
        <v>5.0065</v>
      </c>
      <c r="T122" s="338" t="s">
        <v>617</v>
      </c>
      <c r="U122" s="329" t="s">
        <v>40</v>
      </c>
      <c r="V122" s="338" t="s">
        <v>617</v>
      </c>
      <c r="W122" s="329" t="s">
        <v>40</v>
      </c>
      <c r="X122" s="1464">
        <f>IF(V122="ND","ND",IF(S122="","",IF(OR(MID(C122,1,4)="milk",AND(MID(B122,1,2)="50",NOT(input_values!M122="Y")),AND(MID(B122,1,2)="40",NOT(input_values!M122="Y")),AND(MID(B122,1,2)="30",NOT(input_values!M122="Y"))),3,IF(OR(V122="&lt;25",B122&gt;1000000),1,IF((T122&gt;=S122),"2b","2a")))))</f>
        <v>1</v>
      </c>
      <c r="Y122" s="22">
        <f>IF(X122="ND","ND",IF(S122="","",IF(input_values!K122&gt;0,input_values!K122,IF(OR(X122=1,X122=3),1,IF((V122&gt;250),5,7)))))</f>
        <v>1</v>
      </c>
      <c r="Z122" s="330" t="str">
        <f t="shared" si="15"/>
        <v/>
      </c>
      <c r="AA122" s="331">
        <f t="shared" si="10"/>
        <v>0</v>
      </c>
      <c r="AB122" s="27">
        <f t="shared" si="16"/>
        <v>1</v>
      </c>
      <c r="AC122" s="330" t="str">
        <f t="shared" si="17"/>
        <v/>
      </c>
      <c r="AD122" s="332">
        <f t="shared" si="11"/>
        <v>0</v>
      </c>
      <c r="AE122" s="333" t="str">
        <f t="shared" si="18"/>
        <v/>
      </c>
      <c r="AF122" s="333" t="str">
        <f t="shared" si="19"/>
        <v/>
      </c>
      <c r="AG122" s="561" t="str">
        <f t="shared" si="12"/>
        <v/>
      </c>
      <c r="AH122" s="561" t="str">
        <f t="shared" si="13"/>
        <v/>
      </c>
      <c r="AI122" s="334"/>
    </row>
    <row r="123" spans="1:35" ht="24" outlineLevel="3" x14ac:dyDescent="0.2">
      <c r="A123" s="39">
        <v>4</v>
      </c>
      <c r="B123" s="23">
        <v>220040</v>
      </c>
      <c r="C123" s="23" t="s">
        <v>827</v>
      </c>
      <c r="D123" s="300">
        <f>Table22[[#This Row],[Level used for acute calculation]]</f>
        <v>4</v>
      </c>
      <c r="E123" s="302">
        <f>Table22[[#This Row],[MRL individual commodity]]</f>
        <v>0</v>
      </c>
      <c r="F123" s="451">
        <f>Table22[[#This Row],[Acute RA input value]]</f>
        <v>0</v>
      </c>
      <c r="G123" s="301" t="str">
        <f>Table22[[#This Row],[Acute RA label]]</f>
        <v/>
      </c>
      <c r="H123" s="303">
        <f>Table22[[#This Row],[Acute RA IESTI new input value]]</f>
        <v>0</v>
      </c>
      <c r="I123" s="301" t="str">
        <f>Table22[[#This Row],[Acute RA IESTI new label]]</f>
        <v/>
      </c>
      <c r="J123" s="504"/>
      <c r="K123" s="544">
        <f>Table22[[#This Row],[GAP under assessment]]</f>
        <v>0</v>
      </c>
      <c r="L123" s="304" t="str">
        <f>IF(input_values!$M123=0,"",input_values!$M123)</f>
        <v/>
      </c>
      <c r="M123" s="301" t="str">
        <f>IF(input_values!H123=0,"",input_values!H123)</f>
        <v/>
      </c>
      <c r="N123" s="304">
        <f>input_values!$K123</f>
        <v>0</v>
      </c>
      <c r="O123" s="326">
        <v>4.565853658536585</v>
      </c>
      <c r="P123" s="22">
        <v>97.5</v>
      </c>
      <c r="Q123" s="22" t="s">
        <v>92</v>
      </c>
      <c r="R123" s="326">
        <v>20.5</v>
      </c>
      <c r="S123" s="328">
        <f t="shared" si="14"/>
        <v>93.6</v>
      </c>
      <c r="T123" s="338">
        <v>38</v>
      </c>
      <c r="U123" s="129" t="s">
        <v>215</v>
      </c>
      <c r="V123" s="338">
        <v>38</v>
      </c>
      <c r="W123" s="129" t="s">
        <v>215</v>
      </c>
      <c r="X123" s="1464" t="str">
        <f>IF(V123="ND","ND",IF(S123="","",IF(OR(MID(C123,1,4)="milk",AND(MID(B123,1,2)="50",NOT(input_values!M123="Y")),AND(MID(B123,1,2)="40",NOT(input_values!M123="Y")),AND(MID(B123,1,2)="30",NOT(input_values!M123="Y"))),3,IF(OR(V123="&lt;25",B123&gt;1000000),1,IF((T123&gt;=S123),"2b","2a")))))</f>
        <v>2a</v>
      </c>
      <c r="Y123" s="22">
        <f>IF(X123="ND","ND",IF(S123="","",IF(input_values!K123&gt;0,input_values!K123,IF(OR(X123=1,X123=3),1,IF((V123&gt;250),5,7)))))</f>
        <v>7</v>
      </c>
      <c r="Z123" s="330" t="str">
        <f t="shared" si="15"/>
        <v/>
      </c>
      <c r="AA123" s="331">
        <f t="shared" si="10"/>
        <v>0</v>
      </c>
      <c r="AB123" s="27">
        <f t="shared" si="16"/>
        <v>3</v>
      </c>
      <c r="AC123" s="330" t="str">
        <f t="shared" si="17"/>
        <v/>
      </c>
      <c r="AD123" s="332">
        <f t="shared" si="11"/>
        <v>0</v>
      </c>
      <c r="AE123" s="333" t="str">
        <f t="shared" si="18"/>
        <v/>
      </c>
      <c r="AF123" s="333" t="str">
        <f t="shared" si="19"/>
        <v/>
      </c>
      <c r="AG123" s="561" t="str">
        <f t="shared" si="12"/>
        <v/>
      </c>
      <c r="AH123" s="561" t="str">
        <f t="shared" si="13"/>
        <v/>
      </c>
      <c r="AI123" s="334"/>
    </row>
    <row r="124" spans="1:35" outlineLevel="3" x14ac:dyDescent="0.2">
      <c r="A124" s="39">
        <v>4</v>
      </c>
      <c r="B124" s="23">
        <v>220990</v>
      </c>
      <c r="C124" s="23" t="s">
        <v>165</v>
      </c>
      <c r="D124" s="300">
        <f>Table22[[#This Row],[Level used for acute calculation]]</f>
        <v>0</v>
      </c>
      <c r="E124" s="302">
        <f>Table22[[#This Row],[MRL individual commodity]]</f>
        <v>0</v>
      </c>
      <c r="F124" s="451">
        <f>Table22[[#This Row],[Acute RA input value]]</f>
        <v>0</v>
      </c>
      <c r="G124" s="301">
        <f>Table22[[#This Row],[Acute RA label]]</f>
        <v>0</v>
      </c>
      <c r="H124" s="303">
        <f>Table22[[#This Row],[Acute RA IESTI new input value]]</f>
        <v>0</v>
      </c>
      <c r="I124" s="301">
        <f>Table22[[#This Row],[Acute RA IESTI new label]]</f>
        <v>0</v>
      </c>
      <c r="J124" s="504"/>
      <c r="K124" s="544">
        <f>Table22[[#This Row],[GAP under assessment]]</f>
        <v>0</v>
      </c>
      <c r="L124" s="304" t="str">
        <f>IF(input_values!$M124=0,"",input_values!$M124)</f>
        <v/>
      </c>
      <c r="M124" s="301" t="str">
        <f>IF(input_values!H124=0,"",input_values!H124)</f>
        <v/>
      </c>
      <c r="N124" s="304">
        <f>input_values!$K124</f>
        <v>0</v>
      </c>
      <c r="O124" s="309"/>
      <c r="P124" s="38"/>
      <c r="Q124" s="38"/>
      <c r="R124" s="335"/>
      <c r="S124" s="336" t="str">
        <f t="shared" si="14"/>
        <v/>
      </c>
      <c r="T124" s="305"/>
      <c r="U124" s="570"/>
      <c r="V124" s="305"/>
      <c r="W124" s="570"/>
      <c r="X124" s="611" t="str">
        <f>IF(V124="ND","ND",IF(S124="","",IF(OR(MID(C124,1,4)="milk",AND(MID(B124,1,2)="50",NOT(input_values!M124="Y")),AND(MID(B124,1,2)="40",NOT(input_values!M124="Y")),AND(MID(B124,1,2)="30",NOT(input_values!M124="Y"))),3,IF(OR(V124="&lt;25",B124&gt;1000000),1,IF((T124&gt;=S124),"2b","2a")))))</f>
        <v/>
      </c>
      <c r="Y124" s="38" t="str">
        <f>IF(X124="ND","ND",IF(S124="","",IF(input_values!K124&gt;0,input_values!K124,IF(OR(X124=1,X124=3),1,IF((V124&gt;250),5,7)))))</f>
        <v/>
      </c>
      <c r="Z124" s="335" t="str">
        <f t="shared" si="15"/>
        <v/>
      </c>
      <c r="AA124" s="311">
        <f t="shared" si="10"/>
        <v>0</v>
      </c>
      <c r="AB124" s="38" t="str">
        <f t="shared" si="16"/>
        <v/>
      </c>
      <c r="AC124" s="335" t="str">
        <f t="shared" si="17"/>
        <v/>
      </c>
      <c r="AD124" s="311">
        <f t="shared" si="11"/>
        <v>0</v>
      </c>
      <c r="AE124" s="344" t="str">
        <f t="shared" si="18"/>
        <v/>
      </c>
      <c r="AF124" s="344" t="str">
        <f t="shared" si="19"/>
        <v/>
      </c>
      <c r="AG124" s="561" t="str">
        <f t="shared" si="12"/>
        <v/>
      </c>
      <c r="AH124" s="561" t="str">
        <f t="shared" si="13"/>
        <v/>
      </c>
      <c r="AI124" s="313"/>
    </row>
    <row r="125" spans="1:35" outlineLevel="1" x14ac:dyDescent="0.2">
      <c r="A125" s="130">
        <v>2</v>
      </c>
      <c r="B125" s="131">
        <v>230000</v>
      </c>
      <c r="C125" s="131" t="s">
        <v>225</v>
      </c>
      <c r="D125" s="300">
        <f>Table22[[#This Row],[Level used for acute calculation]]</f>
        <v>4</v>
      </c>
      <c r="E125" s="302">
        <f>Table22[[#This Row],[MRL individual commodity]]</f>
        <v>0</v>
      </c>
      <c r="F125" s="451">
        <f>Table22[[#This Row],[Acute RA input value]]</f>
        <v>0</v>
      </c>
      <c r="G125" s="301">
        <f>Table22[[#This Row],[Acute RA label]]</f>
        <v>0</v>
      </c>
      <c r="H125" s="303">
        <f>Table22[[#This Row],[Acute RA IESTI new input value]]</f>
        <v>0</v>
      </c>
      <c r="I125" s="301">
        <f>Table22[[#This Row],[Acute RA IESTI new label]]</f>
        <v>0</v>
      </c>
      <c r="J125" s="504"/>
      <c r="K125" s="544">
        <f>Table22[[#This Row],[GAP under assessment]]</f>
        <v>0</v>
      </c>
      <c r="L125" s="304" t="str">
        <f>IF(input_values!$M125=0,"",input_values!$M125)</f>
        <v/>
      </c>
      <c r="M125" s="301" t="str">
        <f>IF(input_values!H125=0,"",input_values!H125)</f>
        <v/>
      </c>
      <c r="N125" s="304">
        <f>input_values!$K125</f>
        <v>0</v>
      </c>
      <c r="O125" s="309"/>
      <c r="P125" s="38"/>
      <c r="Q125" s="38"/>
      <c r="R125" s="335"/>
      <c r="S125" s="336" t="str">
        <f t="shared" si="14"/>
        <v/>
      </c>
      <c r="T125" s="315"/>
      <c r="U125" s="321"/>
      <c r="V125" s="315"/>
      <c r="W125" s="321"/>
      <c r="X125" s="611" t="str">
        <f>IF(V125="ND","ND",IF(S125="","",IF(OR(MID(C125,1,4)="milk",AND(MID(B125,1,2)="50",NOT(input_values!M125="Y")),AND(MID(B125,1,2)="40",NOT(input_values!M125="Y")),AND(MID(B125,1,2)="30",NOT(input_values!M125="Y"))),3,IF(OR(V125="&lt;25",B125&gt;1000000),1,IF((T125&gt;=S125),"2b","2a")))))</f>
        <v/>
      </c>
      <c r="Y125" s="38" t="str">
        <f>IF(X125="ND","ND",IF(S125="","",IF(input_values!K125&gt;0,input_values!K125,IF(OR(X125=1,X125=3),1,IF((V125&gt;250),5,7)))))</f>
        <v/>
      </c>
      <c r="Z125" s="335" t="str">
        <f t="shared" si="15"/>
        <v/>
      </c>
      <c r="AA125" s="311">
        <f t="shared" si="10"/>
        <v>0</v>
      </c>
      <c r="AB125" s="38" t="str">
        <f t="shared" si="16"/>
        <v/>
      </c>
      <c r="AC125" s="335" t="str">
        <f t="shared" si="17"/>
        <v/>
      </c>
      <c r="AD125" s="311">
        <f t="shared" si="11"/>
        <v>0</v>
      </c>
      <c r="AE125" s="344" t="str">
        <f t="shared" si="18"/>
        <v/>
      </c>
      <c r="AF125" s="344" t="str">
        <f t="shared" si="19"/>
        <v/>
      </c>
      <c r="AG125" s="561" t="str">
        <f t="shared" si="12"/>
        <v/>
      </c>
      <c r="AH125" s="561" t="str">
        <f t="shared" si="13"/>
        <v/>
      </c>
      <c r="AI125" s="313"/>
    </row>
    <row r="126" spans="1:35" outlineLevel="2" x14ac:dyDescent="0.2">
      <c r="A126" s="132">
        <v>3</v>
      </c>
      <c r="B126" s="3">
        <v>231000</v>
      </c>
      <c r="C126" s="3" t="s">
        <v>226</v>
      </c>
      <c r="D126" s="300">
        <f>Table22[[#This Row],[Level used for acute calculation]]</f>
        <v>4</v>
      </c>
      <c r="E126" s="302">
        <f>Table22[[#This Row],[MRL individual commodity]]</f>
        <v>0</v>
      </c>
      <c r="F126" s="451">
        <f>Table22[[#This Row],[Acute RA input value]]</f>
        <v>0</v>
      </c>
      <c r="G126" s="301">
        <f>Table22[[#This Row],[Acute RA label]]</f>
        <v>0</v>
      </c>
      <c r="H126" s="303">
        <f>Table22[[#This Row],[Acute RA IESTI new input value]]</f>
        <v>0</v>
      </c>
      <c r="I126" s="301">
        <f>Table22[[#This Row],[Acute RA IESTI new label]]</f>
        <v>0</v>
      </c>
      <c r="J126" s="504"/>
      <c r="K126" s="544">
        <f>Table22[[#This Row],[GAP under assessment]]</f>
        <v>0</v>
      </c>
      <c r="L126" s="304" t="str">
        <f>IF(input_values!$M126=0,"",input_values!$M126)</f>
        <v/>
      </c>
      <c r="M126" s="301" t="str">
        <f>IF(input_values!H126=0,"",input_values!H126)</f>
        <v/>
      </c>
      <c r="N126" s="304">
        <f>input_values!$K126</f>
        <v>0</v>
      </c>
      <c r="O126" s="309"/>
      <c r="P126" s="38"/>
      <c r="Q126" s="38"/>
      <c r="R126" s="335"/>
      <c r="S126" s="336" t="str">
        <f t="shared" si="14"/>
        <v/>
      </c>
      <c r="T126" s="342"/>
      <c r="U126" s="571"/>
      <c r="V126" s="342"/>
      <c r="W126" s="571"/>
      <c r="X126" s="611" t="str">
        <f>IF(V126="ND","ND",IF(S126="","",IF(OR(MID(C126,1,4)="milk",AND(MID(B126,1,2)="50",NOT(input_values!M126="Y")),AND(MID(B126,1,2)="40",NOT(input_values!M126="Y")),AND(MID(B126,1,2)="30",NOT(input_values!M126="Y"))),3,IF(OR(V126="&lt;25",B126&gt;1000000),1,IF((T126&gt;=S126),"2b","2a")))))</f>
        <v/>
      </c>
      <c r="Y126" s="38" t="str">
        <f>IF(X126="ND","ND",IF(S126="","",IF(input_values!K126&gt;0,input_values!K126,IF(OR(X126=1,X126=3),1,IF((V126&gt;250),5,7)))))</f>
        <v/>
      </c>
      <c r="Z126" s="335" t="str">
        <f t="shared" si="15"/>
        <v/>
      </c>
      <c r="AA126" s="311">
        <f t="shared" si="10"/>
        <v>0</v>
      </c>
      <c r="AB126" s="38" t="str">
        <f t="shared" si="16"/>
        <v/>
      </c>
      <c r="AC126" s="335" t="str">
        <f t="shared" si="17"/>
        <v/>
      </c>
      <c r="AD126" s="311">
        <f t="shared" si="11"/>
        <v>0</v>
      </c>
      <c r="AE126" s="344" t="str">
        <f t="shared" si="18"/>
        <v/>
      </c>
      <c r="AF126" s="344" t="str">
        <f t="shared" si="19"/>
        <v/>
      </c>
      <c r="AG126" s="561" t="str">
        <f t="shared" si="12"/>
        <v/>
      </c>
      <c r="AH126" s="561" t="str">
        <f t="shared" si="13"/>
        <v/>
      </c>
      <c r="AI126" s="313"/>
    </row>
    <row r="127" spans="1:35" outlineLevel="3" x14ac:dyDescent="0.2">
      <c r="A127" s="39">
        <v>4</v>
      </c>
      <c r="B127" s="23">
        <v>231010</v>
      </c>
      <c r="C127" s="23" t="s">
        <v>210</v>
      </c>
      <c r="D127" s="300">
        <f>Table22[[#This Row],[Level used for acute calculation]]</f>
        <v>4</v>
      </c>
      <c r="E127" s="302">
        <f>Table22[[#This Row],[MRL individual commodity]]</f>
        <v>0</v>
      </c>
      <c r="F127" s="451">
        <f>Table22[[#This Row],[Acute RA input value]]</f>
        <v>0</v>
      </c>
      <c r="G127" s="301" t="str">
        <f>Table22[[#This Row],[Acute RA label]]</f>
        <v/>
      </c>
      <c r="H127" s="303">
        <f>Table22[[#This Row],[Acute RA IESTI new input value]]</f>
        <v>0</v>
      </c>
      <c r="I127" s="301" t="str">
        <f>Table22[[#This Row],[Acute RA IESTI new label]]</f>
        <v/>
      </c>
      <c r="J127" s="504"/>
      <c r="K127" s="544">
        <f>Table22[[#This Row],[GAP under assessment]]</f>
        <v>0</v>
      </c>
      <c r="L127" s="304" t="str">
        <f>IF(input_values!$M127=0,"",input_values!$M127)</f>
        <v/>
      </c>
      <c r="M127" s="301" t="str">
        <f>IF(input_values!H127=0,"",input_values!H127)</f>
        <v/>
      </c>
      <c r="N127" s="304">
        <f>input_values!$K127</f>
        <v>0</v>
      </c>
      <c r="O127" s="326">
        <v>10.112359550561797</v>
      </c>
      <c r="P127" s="22">
        <v>97.5</v>
      </c>
      <c r="Q127" s="22" t="s">
        <v>93</v>
      </c>
      <c r="R127" s="326">
        <v>17.8</v>
      </c>
      <c r="S127" s="328">
        <f t="shared" si="14"/>
        <v>180</v>
      </c>
      <c r="T127" s="328">
        <v>142.5</v>
      </c>
      <c r="U127" s="329" t="s">
        <v>286</v>
      </c>
      <c r="V127" s="328">
        <v>150</v>
      </c>
      <c r="W127" s="329" t="s">
        <v>286</v>
      </c>
      <c r="X127" s="1464" t="str">
        <f>IF(V127="ND","ND",IF(S127="","",IF(OR(MID(C127,1,4)="milk",AND(MID(B127,1,2)="50",NOT(input_values!M127="Y")),AND(MID(B127,1,2)="40",NOT(input_values!M127="Y")),AND(MID(B127,1,2)="30",NOT(input_values!M127="Y"))),3,IF(OR(V127="&lt;25",B127&gt;1000000),1,IF((T127&gt;=S127),"2b","2a")))))</f>
        <v>2a</v>
      </c>
      <c r="Y127" s="22">
        <f>IF(X127="ND","ND",IF(S127="","",IF(input_values!K127&gt;0,input_values!K127,IF(OR(X127=1,X127=3),1,IF((V127&gt;250),5,7)))))</f>
        <v>7</v>
      </c>
      <c r="Z127" s="330" t="str">
        <f t="shared" si="15"/>
        <v/>
      </c>
      <c r="AA127" s="331">
        <f t="shared" si="10"/>
        <v>0</v>
      </c>
      <c r="AB127" s="27">
        <f t="shared" si="16"/>
        <v>3</v>
      </c>
      <c r="AC127" s="330" t="str">
        <f t="shared" si="17"/>
        <v/>
      </c>
      <c r="AD127" s="332">
        <f t="shared" si="11"/>
        <v>0</v>
      </c>
      <c r="AE127" s="333" t="str">
        <f t="shared" si="18"/>
        <v/>
      </c>
      <c r="AF127" s="333" t="str">
        <f t="shared" si="19"/>
        <v/>
      </c>
      <c r="AG127" s="561" t="str">
        <f t="shared" si="12"/>
        <v/>
      </c>
      <c r="AH127" s="561" t="str">
        <f t="shared" si="13"/>
        <v/>
      </c>
      <c r="AI127" s="334"/>
    </row>
    <row r="128" spans="1:35" outlineLevel="3" x14ac:dyDescent="0.2">
      <c r="A128" s="39">
        <v>4</v>
      </c>
      <c r="B128" s="23">
        <v>231020</v>
      </c>
      <c r="C128" s="23" t="s">
        <v>713</v>
      </c>
      <c r="D128" s="300">
        <f>Table22[[#This Row],[Level used for acute calculation]]</f>
        <v>4</v>
      </c>
      <c r="E128" s="302">
        <f>Table22[[#This Row],[MRL individual commodity]]</f>
        <v>0</v>
      </c>
      <c r="F128" s="451">
        <f>Table22[[#This Row],[Acute RA input value]]</f>
        <v>0</v>
      </c>
      <c r="G128" s="301" t="str">
        <f>Table22[[#This Row],[Acute RA label]]</f>
        <v/>
      </c>
      <c r="H128" s="303">
        <f>Table22[[#This Row],[Acute RA IESTI new input value]]</f>
        <v>0</v>
      </c>
      <c r="I128" s="301" t="str">
        <f>Table22[[#This Row],[Acute RA IESTI new label]]</f>
        <v/>
      </c>
      <c r="J128" s="504"/>
      <c r="K128" s="544">
        <f>Table22[[#This Row],[GAP under assessment]]</f>
        <v>0</v>
      </c>
      <c r="L128" s="304" t="str">
        <f>IF(input_values!$M128=0,"",input_values!$M128)</f>
        <v/>
      </c>
      <c r="M128" s="301" t="str">
        <f>IF(input_values!H128=0,"",input_values!H128)</f>
        <v/>
      </c>
      <c r="N128" s="304">
        <f>input_values!$K128</f>
        <v>0</v>
      </c>
      <c r="O128" s="326">
        <v>8.5</v>
      </c>
      <c r="P128" s="22">
        <v>97.5</v>
      </c>
      <c r="Q128" s="22" t="s">
        <v>256</v>
      </c>
      <c r="R128" s="326">
        <v>16.149999999999999</v>
      </c>
      <c r="S128" s="328">
        <f t="shared" si="14"/>
        <v>137.27499999999998</v>
      </c>
      <c r="T128" s="328">
        <v>154.9</v>
      </c>
      <c r="U128" s="329" t="s">
        <v>40</v>
      </c>
      <c r="V128" s="328">
        <v>154.9</v>
      </c>
      <c r="W128" s="329" t="s">
        <v>40</v>
      </c>
      <c r="X128" s="1464" t="str">
        <f>IF(V128="ND","ND",IF(S128="","",IF(OR(MID(C128,1,4)="milk",AND(MID(B128,1,2)="50",NOT(input_values!M128="Y")),AND(MID(B128,1,2)="40",NOT(input_values!M128="Y")),AND(MID(B128,1,2)="30",NOT(input_values!M128="Y"))),3,IF(OR(V128="&lt;25",B128&gt;1000000),1,IF((T128&gt;=S128),"2b","2a")))))</f>
        <v>2b</v>
      </c>
      <c r="Y128" s="22">
        <f>IF(X128="ND","ND",IF(S128="","",IF(input_values!K128&gt;0,input_values!K128,IF(OR(X128=1,X128=3),1,IF((V128&gt;250),5,7)))))</f>
        <v>7</v>
      </c>
      <c r="Z128" s="330" t="str">
        <f t="shared" si="15"/>
        <v/>
      </c>
      <c r="AA128" s="331">
        <f t="shared" si="10"/>
        <v>0</v>
      </c>
      <c r="AB128" s="27">
        <f t="shared" si="16"/>
        <v>3</v>
      </c>
      <c r="AC128" s="330" t="str">
        <f t="shared" si="17"/>
        <v/>
      </c>
      <c r="AD128" s="332">
        <f t="shared" si="11"/>
        <v>0</v>
      </c>
      <c r="AE128" s="333" t="str">
        <f t="shared" si="18"/>
        <v/>
      </c>
      <c r="AF128" s="333" t="str">
        <f t="shared" si="19"/>
        <v/>
      </c>
      <c r="AG128" s="561" t="str">
        <f t="shared" si="12"/>
        <v/>
      </c>
      <c r="AH128" s="561" t="str">
        <f t="shared" si="13"/>
        <v/>
      </c>
      <c r="AI128" s="313"/>
    </row>
    <row r="129" spans="1:35" outlineLevel="3" x14ac:dyDescent="0.2">
      <c r="A129" s="39">
        <v>4</v>
      </c>
      <c r="B129" s="23">
        <v>231030</v>
      </c>
      <c r="C129" s="23" t="s">
        <v>1055</v>
      </c>
      <c r="D129" s="300">
        <f>Table22[[#This Row],[Level used for acute calculation]]</f>
        <v>4</v>
      </c>
      <c r="E129" s="302">
        <f>Table22[[#This Row],[MRL individual commodity]]</f>
        <v>0</v>
      </c>
      <c r="F129" s="451">
        <f>Table22[[#This Row],[Acute RA input value]]</f>
        <v>0</v>
      </c>
      <c r="G129" s="301" t="str">
        <f>Table22[[#This Row],[Acute RA label]]</f>
        <v/>
      </c>
      <c r="H129" s="303">
        <f>Table22[[#This Row],[Acute RA IESTI new input value]]</f>
        <v>0</v>
      </c>
      <c r="I129" s="301" t="str">
        <f>Table22[[#This Row],[Acute RA IESTI new label]]</f>
        <v/>
      </c>
      <c r="J129" s="504"/>
      <c r="K129" s="544">
        <f>Table22[[#This Row],[GAP under assessment]]</f>
        <v>0</v>
      </c>
      <c r="L129" s="304" t="str">
        <f>IF(input_values!$M129=0,"",input_values!$M129)</f>
        <v/>
      </c>
      <c r="M129" s="301" t="str">
        <f>IF(input_values!H129=0,"",input_values!H129)</f>
        <v/>
      </c>
      <c r="N129" s="304">
        <f>input_values!$K129</f>
        <v>0</v>
      </c>
      <c r="O129" s="326">
        <v>5</v>
      </c>
      <c r="P129" s="22">
        <v>97.5</v>
      </c>
      <c r="Q129" s="22" t="s">
        <v>92</v>
      </c>
      <c r="R129" s="326">
        <v>20.5</v>
      </c>
      <c r="S129" s="328">
        <f t="shared" si="14"/>
        <v>102.5</v>
      </c>
      <c r="T129" s="328">
        <v>271</v>
      </c>
      <c r="U129" s="329" t="s">
        <v>45</v>
      </c>
      <c r="V129" s="328">
        <v>271</v>
      </c>
      <c r="W129" s="329" t="s">
        <v>45</v>
      </c>
      <c r="X129" s="1464" t="str">
        <f>IF(V129="ND","ND",IF(S129="","",IF(OR(MID(C129,1,4)="milk",AND(MID(B129,1,2)="50",NOT(input_values!M129="Y")),AND(MID(B129,1,2)="40",NOT(input_values!M129="Y")),AND(MID(B129,1,2)="30",NOT(input_values!M129="Y"))),3,IF(OR(V129="&lt;25",B129&gt;1000000),1,IF((T129&gt;=S129),"2b","2a")))))</f>
        <v>2b</v>
      </c>
      <c r="Y129" s="22">
        <f>IF(X129="ND","ND",IF(S129="","",IF(input_values!K129&gt;0,input_values!K129,IF(OR(X129=1,X129=3),1,IF((V129&gt;250),5,7)))))</f>
        <v>5</v>
      </c>
      <c r="Z129" s="330" t="str">
        <f t="shared" si="15"/>
        <v/>
      </c>
      <c r="AA129" s="331">
        <f t="shared" si="10"/>
        <v>0</v>
      </c>
      <c r="AB129" s="27">
        <f t="shared" si="16"/>
        <v>3</v>
      </c>
      <c r="AC129" s="330" t="str">
        <f t="shared" si="17"/>
        <v/>
      </c>
      <c r="AD129" s="332">
        <f t="shared" si="11"/>
        <v>0</v>
      </c>
      <c r="AE129" s="333" t="str">
        <f t="shared" si="18"/>
        <v/>
      </c>
      <c r="AF129" s="333" t="str">
        <f t="shared" si="19"/>
        <v/>
      </c>
      <c r="AG129" s="561" t="str">
        <f t="shared" si="12"/>
        <v/>
      </c>
      <c r="AH129" s="561" t="str">
        <f t="shared" si="13"/>
        <v/>
      </c>
      <c r="AI129" s="313"/>
    </row>
    <row r="130" spans="1:35" outlineLevel="3" x14ac:dyDescent="0.2">
      <c r="A130" s="39">
        <v>4</v>
      </c>
      <c r="B130" s="23">
        <v>231040</v>
      </c>
      <c r="C130" s="23" t="s">
        <v>714</v>
      </c>
      <c r="D130" s="300">
        <f>Table22[[#This Row],[Level used for acute calculation]]</f>
        <v>4</v>
      </c>
      <c r="E130" s="302">
        <f>Table22[[#This Row],[MRL individual commodity]]</f>
        <v>0</v>
      </c>
      <c r="F130" s="451">
        <f>Table22[[#This Row],[Acute RA input value]]</f>
        <v>0</v>
      </c>
      <c r="G130" s="301" t="str">
        <f>Table22[[#This Row],[Acute RA label]]</f>
        <v/>
      </c>
      <c r="H130" s="303">
        <f>Table22[[#This Row],[Acute RA IESTI new input value]]</f>
        <v>0</v>
      </c>
      <c r="I130" s="301" t="str">
        <f>Table22[[#This Row],[Acute RA IESTI new label]]</f>
        <v/>
      </c>
      <c r="J130" s="504"/>
      <c r="K130" s="544">
        <f>Table22[[#This Row],[GAP under assessment]]</f>
        <v>0</v>
      </c>
      <c r="L130" s="304" t="str">
        <f>IF(input_values!$M130=0,"",input_values!$M130)</f>
        <v/>
      </c>
      <c r="M130" s="301" t="str">
        <f>IF(input_values!H130=0,"",input_values!H130)</f>
        <v/>
      </c>
      <c r="N130" s="304">
        <f>input_values!$K130</f>
        <v>0</v>
      </c>
      <c r="O130" s="338" t="s">
        <v>618</v>
      </c>
      <c r="P130" s="22"/>
      <c r="Q130" s="22"/>
      <c r="R130" s="330"/>
      <c r="S130" s="31" t="str">
        <f t="shared" si="14"/>
        <v>ND</v>
      </c>
      <c r="T130" s="338" t="s">
        <v>617</v>
      </c>
      <c r="U130" s="129" t="s">
        <v>215</v>
      </c>
      <c r="V130" s="338" t="s">
        <v>617</v>
      </c>
      <c r="W130" s="129" t="s">
        <v>215</v>
      </c>
      <c r="X130" s="460">
        <f>IF(V130="ND","ND",IF(S130="","",IF(OR(MID(C130,1,4)="milk",AND(MID(B130,1,2)="50",NOT(input_values!M130="Y")),AND(MID(B130,1,2)="40",NOT(input_values!M130="Y")),AND(MID(B130,1,2)="30",NOT(input_values!M130="Y"))),3,IF(OR(V130="&lt;25",B130&gt;1000000),1,IF((T130&gt;=S130),"2b","2a")))))</f>
        <v>1</v>
      </c>
      <c r="Y130" s="22">
        <f>IF(X130="ND","ND",IF(S130="","",IF(input_values!K130&gt;0,input_values!K130,IF(OR(X130=1,X130=3),1,IF((V130&gt;250),5,7)))))</f>
        <v>1</v>
      </c>
      <c r="Z130" s="340" t="str">
        <f t="shared" si="15"/>
        <v/>
      </c>
      <c r="AA130" s="332">
        <f t="shared" si="10"/>
        <v>0</v>
      </c>
      <c r="AB130" s="27">
        <f t="shared" si="16"/>
        <v>1</v>
      </c>
      <c r="AC130" s="340" t="str">
        <f t="shared" si="17"/>
        <v/>
      </c>
      <c r="AD130" s="332">
        <f t="shared" si="11"/>
        <v>0</v>
      </c>
      <c r="AE130" s="37" t="str">
        <f t="shared" si="18"/>
        <v/>
      </c>
      <c r="AF130" s="37" t="str">
        <f t="shared" si="19"/>
        <v/>
      </c>
      <c r="AG130" s="561" t="str">
        <f t="shared" si="12"/>
        <v/>
      </c>
      <c r="AH130" s="561" t="str">
        <f t="shared" si="13"/>
        <v/>
      </c>
      <c r="AI130" s="313"/>
    </row>
    <row r="131" spans="1:35" outlineLevel="3" x14ac:dyDescent="0.2">
      <c r="A131" s="39">
        <v>4</v>
      </c>
      <c r="B131" s="23">
        <v>231990</v>
      </c>
      <c r="C131" s="23" t="s">
        <v>166</v>
      </c>
      <c r="D131" s="300">
        <f>Table22[[#This Row],[Level used for acute calculation]]</f>
        <v>0</v>
      </c>
      <c r="E131" s="302">
        <f>Table22[[#This Row],[MRL individual commodity]]</f>
        <v>0</v>
      </c>
      <c r="F131" s="451">
        <f>Table22[[#This Row],[Acute RA input value]]</f>
        <v>0</v>
      </c>
      <c r="G131" s="301">
        <f>Table22[[#This Row],[Acute RA label]]</f>
        <v>0</v>
      </c>
      <c r="H131" s="303">
        <f>Table22[[#This Row],[Acute RA IESTI new input value]]</f>
        <v>0</v>
      </c>
      <c r="I131" s="301">
        <f>Table22[[#This Row],[Acute RA IESTI new label]]</f>
        <v>0</v>
      </c>
      <c r="J131" s="504"/>
      <c r="K131" s="544">
        <f>Table22[[#This Row],[GAP under assessment]]</f>
        <v>0</v>
      </c>
      <c r="L131" s="304" t="str">
        <f>IF(input_values!$M131=0,"",input_values!$M131)</f>
        <v/>
      </c>
      <c r="M131" s="301" t="str">
        <f>IF(input_values!H131=0,"",input_values!H131)</f>
        <v/>
      </c>
      <c r="N131" s="304">
        <f>input_values!$K131</f>
        <v>0</v>
      </c>
      <c r="O131" s="309"/>
      <c r="P131" s="38"/>
      <c r="Q131" s="38"/>
      <c r="R131" s="335"/>
      <c r="S131" s="336" t="str">
        <f t="shared" si="14"/>
        <v/>
      </c>
      <c r="T131" s="305"/>
      <c r="U131" s="570"/>
      <c r="V131" s="305"/>
      <c r="W131" s="570"/>
      <c r="X131" s="611" t="str">
        <f>IF(V131="ND","ND",IF(S131="","",IF(OR(MID(C131,1,4)="milk",AND(MID(B131,1,2)="50",NOT(input_values!M131="Y")),AND(MID(B131,1,2)="40",NOT(input_values!M131="Y")),AND(MID(B131,1,2)="30",NOT(input_values!M131="Y"))),3,IF(OR(V131="&lt;25",B131&gt;1000000),1,IF((T131&gt;=S131),"2b","2a")))))</f>
        <v/>
      </c>
      <c r="Y131" s="38" t="str">
        <f>IF(X131="ND","ND",IF(S131="","",IF(input_values!K131&gt;0,input_values!K131,IF(OR(X131=1,X131=3),1,IF((V131&gt;250),5,7)))))</f>
        <v/>
      </c>
      <c r="Z131" s="335" t="str">
        <f t="shared" si="15"/>
        <v/>
      </c>
      <c r="AA131" s="311">
        <f t="shared" si="10"/>
        <v>0</v>
      </c>
      <c r="AB131" s="38" t="str">
        <f t="shared" si="16"/>
        <v/>
      </c>
      <c r="AC131" s="335" t="str">
        <f t="shared" si="17"/>
        <v/>
      </c>
      <c r="AD131" s="311">
        <f t="shared" si="11"/>
        <v>0</v>
      </c>
      <c r="AE131" s="344" t="str">
        <f t="shared" si="18"/>
        <v/>
      </c>
      <c r="AF131" s="344" t="str">
        <f t="shared" si="19"/>
        <v/>
      </c>
      <c r="AG131" s="561" t="str">
        <f t="shared" si="12"/>
        <v/>
      </c>
      <c r="AH131" s="561" t="str">
        <f t="shared" si="13"/>
        <v/>
      </c>
      <c r="AI131" s="313"/>
    </row>
    <row r="132" spans="1:35" outlineLevel="2" x14ac:dyDescent="0.2">
      <c r="A132" s="132">
        <v>3</v>
      </c>
      <c r="B132" s="3">
        <v>232000</v>
      </c>
      <c r="C132" s="3" t="s">
        <v>227</v>
      </c>
      <c r="D132" s="300">
        <f>Table22[[#This Row],[Level used for acute calculation]]</f>
        <v>4</v>
      </c>
      <c r="E132" s="302">
        <f>Table22[[#This Row],[MRL individual commodity]]</f>
        <v>0</v>
      </c>
      <c r="F132" s="451">
        <f>Table22[[#This Row],[Acute RA input value]]</f>
        <v>0</v>
      </c>
      <c r="G132" s="301">
        <f>Table22[[#This Row],[Acute RA label]]</f>
        <v>0</v>
      </c>
      <c r="H132" s="303">
        <f>Table22[[#This Row],[Acute RA IESTI new input value]]</f>
        <v>0</v>
      </c>
      <c r="I132" s="301">
        <f>Table22[[#This Row],[Acute RA IESTI new label]]</f>
        <v>0</v>
      </c>
      <c r="J132" s="504"/>
      <c r="K132" s="544">
        <f>Table22[[#This Row],[GAP under assessment]]</f>
        <v>0</v>
      </c>
      <c r="L132" s="304" t="str">
        <f>IF(input_values!$M132=0,"",input_values!$M132)</f>
        <v/>
      </c>
      <c r="M132" s="301" t="str">
        <f>IF(input_values!H132=0,"",input_values!H132)</f>
        <v/>
      </c>
      <c r="N132" s="304">
        <f>input_values!$K132</f>
        <v>0</v>
      </c>
      <c r="O132" s="309"/>
      <c r="P132" s="38"/>
      <c r="Q132" s="38"/>
      <c r="R132" s="335"/>
      <c r="S132" s="336" t="str">
        <f t="shared" si="14"/>
        <v/>
      </c>
      <c r="T132" s="342"/>
      <c r="U132" s="571"/>
      <c r="V132" s="342"/>
      <c r="W132" s="571"/>
      <c r="X132" s="611" t="str">
        <f>IF(V132="ND","ND",IF(S132="","",IF(OR(MID(C132,1,4)="milk",AND(MID(B132,1,2)="50",NOT(input_values!M132="Y")),AND(MID(B132,1,2)="40",NOT(input_values!M132="Y")),AND(MID(B132,1,2)="30",NOT(input_values!M132="Y"))),3,IF(OR(V132="&lt;25",B132&gt;1000000),1,IF((T132&gt;=S132),"2b","2a")))))</f>
        <v/>
      </c>
      <c r="Y132" s="38" t="str">
        <f>IF(X132="ND","ND",IF(S132="","",IF(input_values!K132&gt;0,input_values!K132,IF(OR(X132=1,X132=3),1,IF((V132&gt;250),5,7)))))</f>
        <v/>
      </c>
      <c r="Z132" s="335" t="str">
        <f t="shared" si="15"/>
        <v/>
      </c>
      <c r="AA132" s="311">
        <f t="shared" si="10"/>
        <v>0</v>
      </c>
      <c r="AB132" s="38" t="str">
        <f t="shared" si="16"/>
        <v/>
      </c>
      <c r="AC132" s="335" t="str">
        <f t="shared" si="17"/>
        <v/>
      </c>
      <c r="AD132" s="311">
        <f t="shared" si="11"/>
        <v>0</v>
      </c>
      <c r="AE132" s="344" t="str">
        <f t="shared" si="18"/>
        <v/>
      </c>
      <c r="AF132" s="344" t="str">
        <f t="shared" si="19"/>
        <v/>
      </c>
      <c r="AG132" s="561" t="str">
        <f t="shared" si="12"/>
        <v/>
      </c>
      <c r="AH132" s="561" t="str">
        <f t="shared" si="13"/>
        <v/>
      </c>
      <c r="AI132" s="313"/>
    </row>
    <row r="133" spans="1:35" outlineLevel="3" x14ac:dyDescent="0.2">
      <c r="A133" s="39">
        <v>4</v>
      </c>
      <c r="B133" s="23">
        <v>232010</v>
      </c>
      <c r="C133" s="23" t="s">
        <v>211</v>
      </c>
      <c r="D133" s="300">
        <f>Table22[[#This Row],[Level used for acute calculation]]</f>
        <v>4</v>
      </c>
      <c r="E133" s="302">
        <f>Table22[[#This Row],[MRL individual commodity]]</f>
        <v>0</v>
      </c>
      <c r="F133" s="451">
        <f>Table22[[#This Row],[Acute RA input value]]</f>
        <v>0</v>
      </c>
      <c r="G133" s="301" t="str">
        <f>Table22[[#This Row],[Acute RA label]]</f>
        <v/>
      </c>
      <c r="H133" s="303">
        <f>Table22[[#This Row],[Acute RA IESTI new input value]]</f>
        <v>0</v>
      </c>
      <c r="I133" s="301" t="str">
        <f>Table22[[#This Row],[Acute RA IESTI new label]]</f>
        <v/>
      </c>
      <c r="J133" s="504"/>
      <c r="K133" s="544">
        <f>Table22[[#This Row],[GAP under assessment]]</f>
        <v>0</v>
      </c>
      <c r="L133" s="304" t="str">
        <f>IF(input_values!$M133=0,"",input_values!$M133)</f>
        <v/>
      </c>
      <c r="M133" s="301" t="str">
        <f>IF(input_values!H133=0,"",input_values!H133)</f>
        <v/>
      </c>
      <c r="N133" s="304">
        <f>input_values!$K133</f>
        <v>0</v>
      </c>
      <c r="O133" s="326">
        <v>13.11</v>
      </c>
      <c r="P133" s="22">
        <v>97.5</v>
      </c>
      <c r="Q133" s="22" t="s">
        <v>96</v>
      </c>
      <c r="R133" s="326">
        <v>21.4</v>
      </c>
      <c r="S133" s="328">
        <f t="shared" si="14"/>
        <v>280.55399999999997</v>
      </c>
      <c r="T133" s="328">
        <v>390.59</v>
      </c>
      <c r="U133" s="329" t="s">
        <v>90</v>
      </c>
      <c r="V133" s="328">
        <v>418.92</v>
      </c>
      <c r="W133" s="329" t="s">
        <v>90</v>
      </c>
      <c r="X133" s="1464" t="str">
        <f>IF(V133="ND","ND",IF(S133="","",IF(OR(MID(C133,1,4)="milk",AND(MID(B133,1,2)="50",NOT(input_values!M133="Y")),AND(MID(B133,1,2)="40",NOT(input_values!M133="Y")),AND(MID(B133,1,2)="30",NOT(input_values!M133="Y"))),3,IF(OR(V133="&lt;25",B133&gt;1000000),1,IF((T133&gt;=S133),"2b","2a")))))</f>
        <v>2b</v>
      </c>
      <c r="Y133" s="22">
        <f>IF(X133="ND","ND",IF(S133="","",IF(input_values!K133&gt;0,input_values!K133,IF(OR(X133=1,X133=3),1,IF((V133&gt;250),5,7)))))</f>
        <v>5</v>
      </c>
      <c r="Z133" s="330" t="str">
        <f t="shared" si="15"/>
        <v/>
      </c>
      <c r="AA133" s="331">
        <f t="shared" si="10"/>
        <v>0</v>
      </c>
      <c r="AB133" s="27">
        <f t="shared" si="16"/>
        <v>3</v>
      </c>
      <c r="AC133" s="330" t="str">
        <f t="shared" si="17"/>
        <v/>
      </c>
      <c r="AD133" s="332">
        <f t="shared" si="11"/>
        <v>0</v>
      </c>
      <c r="AE133" s="333" t="str">
        <f t="shared" si="18"/>
        <v/>
      </c>
      <c r="AF133" s="333" t="str">
        <f t="shared" si="19"/>
        <v/>
      </c>
      <c r="AG133" s="561" t="str">
        <f t="shared" si="12"/>
        <v/>
      </c>
      <c r="AH133" s="561" t="str">
        <f t="shared" si="13"/>
        <v/>
      </c>
      <c r="AI133" s="313"/>
    </row>
    <row r="134" spans="1:35" outlineLevel="3" x14ac:dyDescent="0.2">
      <c r="A134" s="39">
        <v>4</v>
      </c>
      <c r="B134" s="23">
        <v>232020</v>
      </c>
      <c r="C134" s="23" t="s">
        <v>245</v>
      </c>
      <c r="D134" s="300">
        <f>Table22[[#This Row],[Level used for acute calculation]]</f>
        <v>4</v>
      </c>
      <c r="E134" s="302">
        <f>Table22[[#This Row],[MRL individual commodity]]</f>
        <v>0</v>
      </c>
      <c r="F134" s="451">
        <f>Table22[[#This Row],[Acute RA input value]]</f>
        <v>0</v>
      </c>
      <c r="G134" s="301" t="str">
        <f>Table22[[#This Row],[Acute RA label]]</f>
        <v/>
      </c>
      <c r="H134" s="303">
        <f>Table22[[#This Row],[Acute RA IESTI new input value]]</f>
        <v>0</v>
      </c>
      <c r="I134" s="301" t="str">
        <f>Table22[[#This Row],[Acute RA IESTI new label]]</f>
        <v/>
      </c>
      <c r="J134" s="504"/>
      <c r="K134" s="544">
        <f>Table22[[#This Row],[GAP under assessment]]</f>
        <v>0</v>
      </c>
      <c r="L134" s="304" t="str">
        <f>IF(input_values!$M134=0,"",input_values!$M134)</f>
        <v/>
      </c>
      <c r="M134" s="301" t="str">
        <f>IF(input_values!H134=0,"",input_values!H134)</f>
        <v/>
      </c>
      <c r="N134" s="304">
        <f>input_values!$K134</f>
        <v>0</v>
      </c>
      <c r="O134" s="326">
        <v>2.8089887640449436</v>
      </c>
      <c r="P134" s="22">
        <v>100</v>
      </c>
      <c r="Q134" s="22" t="s">
        <v>93</v>
      </c>
      <c r="R134" s="326">
        <v>17.8</v>
      </c>
      <c r="S134" s="328">
        <f t="shared" si="14"/>
        <v>50</v>
      </c>
      <c r="T134" s="328">
        <v>22</v>
      </c>
      <c r="U134" s="329" t="s">
        <v>286</v>
      </c>
      <c r="V134" s="328" t="s">
        <v>617</v>
      </c>
      <c r="W134" s="329" t="s">
        <v>286</v>
      </c>
      <c r="X134" s="1464">
        <f>IF(V134="ND","ND",IF(S134="","",IF(OR(MID(C134,1,4)="milk",AND(MID(B134,1,2)="50",NOT(input_values!M134="Y")),AND(MID(B134,1,2)="40",NOT(input_values!M134="Y")),AND(MID(B134,1,2)="30",NOT(input_values!M134="Y"))),3,IF(OR(V134="&lt;25",B134&gt;1000000),1,IF((T134&gt;=S134),"2b","2a")))))</f>
        <v>1</v>
      </c>
      <c r="Y134" s="22">
        <f>IF(X134="ND","ND",IF(S134="","",IF(input_values!K134&gt;0,input_values!K134,IF(OR(X134=1,X134=3),1,IF((V134&gt;250),5,7)))))</f>
        <v>1</v>
      </c>
      <c r="Z134" s="330" t="str">
        <f t="shared" si="15"/>
        <v/>
      </c>
      <c r="AA134" s="331">
        <f t="shared" si="10"/>
        <v>0</v>
      </c>
      <c r="AB134" s="27">
        <f t="shared" si="16"/>
        <v>1</v>
      </c>
      <c r="AC134" s="330" t="str">
        <f t="shared" si="17"/>
        <v/>
      </c>
      <c r="AD134" s="332">
        <f t="shared" si="11"/>
        <v>0</v>
      </c>
      <c r="AE134" s="333" t="str">
        <f t="shared" si="18"/>
        <v/>
      </c>
      <c r="AF134" s="333" t="str">
        <f t="shared" si="19"/>
        <v/>
      </c>
      <c r="AG134" s="561" t="str">
        <f t="shared" si="12"/>
        <v/>
      </c>
      <c r="AH134" s="561" t="str">
        <f t="shared" si="13"/>
        <v/>
      </c>
      <c r="AI134" s="334"/>
    </row>
    <row r="135" spans="1:35" outlineLevel="3" x14ac:dyDescent="0.2">
      <c r="A135" s="39">
        <v>4</v>
      </c>
      <c r="B135" s="23">
        <v>232030</v>
      </c>
      <c r="C135" s="23" t="s">
        <v>246</v>
      </c>
      <c r="D135" s="300">
        <f>Table22[[#This Row],[Level used for acute calculation]]</f>
        <v>4</v>
      </c>
      <c r="E135" s="302">
        <f>Table22[[#This Row],[MRL individual commodity]]</f>
        <v>0</v>
      </c>
      <c r="F135" s="451">
        <f>Table22[[#This Row],[Acute RA input value]]</f>
        <v>0</v>
      </c>
      <c r="G135" s="301" t="str">
        <f>Table22[[#This Row],[Acute RA label]]</f>
        <v/>
      </c>
      <c r="H135" s="303">
        <f>Table22[[#This Row],[Acute RA IESTI new input value]]</f>
        <v>0</v>
      </c>
      <c r="I135" s="301" t="str">
        <f>Table22[[#This Row],[Acute RA IESTI new label]]</f>
        <v/>
      </c>
      <c r="J135" s="504"/>
      <c r="K135" s="544">
        <f>Table22[[#This Row],[GAP under assessment]]</f>
        <v>0</v>
      </c>
      <c r="L135" s="304" t="str">
        <f>IF(input_values!$M135=0,"",input_values!$M135)</f>
        <v/>
      </c>
      <c r="M135" s="301" t="str">
        <f>IF(input_values!H135=0,"",input_values!H135)</f>
        <v/>
      </c>
      <c r="N135" s="304">
        <f>input_values!$K135</f>
        <v>0</v>
      </c>
      <c r="O135" s="326">
        <v>6.6413793103448278</v>
      </c>
      <c r="P135" s="22">
        <v>97.5</v>
      </c>
      <c r="Q135" s="22" t="s">
        <v>91</v>
      </c>
      <c r="R135" s="326">
        <v>14.5</v>
      </c>
      <c r="S135" s="328">
        <f t="shared" si="14"/>
        <v>96.3</v>
      </c>
      <c r="T135" s="328">
        <v>114</v>
      </c>
      <c r="U135" s="329" t="s">
        <v>45</v>
      </c>
      <c r="V135" s="328">
        <v>130</v>
      </c>
      <c r="W135" s="329" t="s">
        <v>45</v>
      </c>
      <c r="X135" s="1464" t="str">
        <f>IF(V135="ND","ND",IF(S135="","",IF(OR(MID(C135,1,4)="milk",AND(MID(B135,1,2)="50",NOT(input_values!M135="Y")),AND(MID(B135,1,2)="40",NOT(input_values!M135="Y")),AND(MID(B135,1,2)="30",NOT(input_values!M135="Y"))),3,IF(OR(V135="&lt;25",B135&gt;1000000),1,IF((T135&gt;=S135),"2b","2a")))))</f>
        <v>2b</v>
      </c>
      <c r="Y135" s="22">
        <f>IF(X135="ND","ND",IF(S135="","",IF(input_values!K135&gt;0,input_values!K135,IF(OR(X135=1,X135=3),1,IF((V135&gt;250),5,7)))))</f>
        <v>7</v>
      </c>
      <c r="Z135" s="330" t="str">
        <f t="shared" si="15"/>
        <v/>
      </c>
      <c r="AA135" s="331">
        <f t="shared" si="10"/>
        <v>0</v>
      </c>
      <c r="AB135" s="27">
        <f t="shared" si="16"/>
        <v>3</v>
      </c>
      <c r="AC135" s="330" t="str">
        <f t="shared" si="17"/>
        <v/>
      </c>
      <c r="AD135" s="332">
        <f t="shared" si="11"/>
        <v>0</v>
      </c>
      <c r="AE135" s="333" t="str">
        <f t="shared" si="18"/>
        <v/>
      </c>
      <c r="AF135" s="333" t="str">
        <f t="shared" si="19"/>
        <v/>
      </c>
      <c r="AG135" s="561" t="str">
        <f t="shared" si="12"/>
        <v/>
      </c>
      <c r="AH135" s="561" t="str">
        <f t="shared" si="13"/>
        <v/>
      </c>
      <c r="AI135" s="334"/>
    </row>
    <row r="136" spans="1:35" outlineLevel="3" x14ac:dyDescent="0.2">
      <c r="A136" s="39">
        <v>4</v>
      </c>
      <c r="B136" s="23">
        <v>232990</v>
      </c>
      <c r="C136" s="23" t="s">
        <v>167</v>
      </c>
      <c r="D136" s="300">
        <f>Table22[[#This Row],[Level used for acute calculation]]</f>
        <v>0</v>
      </c>
      <c r="E136" s="302">
        <f>Table22[[#This Row],[MRL individual commodity]]</f>
        <v>0</v>
      </c>
      <c r="F136" s="451">
        <f>Table22[[#This Row],[Acute RA input value]]</f>
        <v>0</v>
      </c>
      <c r="G136" s="301">
        <f>Table22[[#This Row],[Acute RA label]]</f>
        <v>0</v>
      </c>
      <c r="H136" s="303">
        <f>Table22[[#This Row],[Acute RA IESTI new input value]]</f>
        <v>0</v>
      </c>
      <c r="I136" s="301">
        <f>Table22[[#This Row],[Acute RA IESTI new label]]</f>
        <v>0</v>
      </c>
      <c r="J136" s="504"/>
      <c r="K136" s="544">
        <f>Table22[[#This Row],[GAP under assessment]]</f>
        <v>0</v>
      </c>
      <c r="L136" s="304" t="str">
        <f>IF(input_values!$M136=0,"",input_values!$M136)</f>
        <v/>
      </c>
      <c r="M136" s="301" t="str">
        <f>IF(input_values!H136=0,"",input_values!H136)</f>
        <v/>
      </c>
      <c r="N136" s="304">
        <f>input_values!$K136</f>
        <v>0</v>
      </c>
      <c r="O136" s="309"/>
      <c r="P136" s="38"/>
      <c r="Q136" s="38"/>
      <c r="R136" s="335"/>
      <c r="S136" s="336" t="str">
        <f t="shared" si="14"/>
        <v/>
      </c>
      <c r="T136" s="305"/>
      <c r="U136" s="570"/>
      <c r="V136" s="305"/>
      <c r="W136" s="570"/>
      <c r="X136" s="611" t="str">
        <f>IF(V136="ND","ND",IF(S136="","",IF(OR(MID(C136,1,4)="milk",AND(MID(B136,1,2)="50",NOT(input_values!M136="Y")),AND(MID(B136,1,2)="40",NOT(input_values!M136="Y")),AND(MID(B136,1,2)="30",NOT(input_values!M136="Y"))),3,IF(OR(V136="&lt;25",B136&gt;1000000),1,IF((T136&gt;=S136),"2b","2a")))))</f>
        <v/>
      </c>
      <c r="Y136" s="38" t="str">
        <f>IF(X136="ND","ND",IF(S136="","",IF(input_values!K136&gt;0,input_values!K136,IF(OR(X136=1,X136=3),1,IF((V136&gt;250),5,7)))))</f>
        <v/>
      </c>
      <c r="Z136" s="335" t="str">
        <f t="shared" si="15"/>
        <v/>
      </c>
      <c r="AA136" s="311">
        <f t="shared" si="10"/>
        <v>0</v>
      </c>
      <c r="AB136" s="38" t="str">
        <f t="shared" si="16"/>
        <v/>
      </c>
      <c r="AC136" s="335" t="str">
        <f t="shared" si="17"/>
        <v/>
      </c>
      <c r="AD136" s="311">
        <f t="shared" si="11"/>
        <v>0</v>
      </c>
      <c r="AE136" s="344" t="str">
        <f t="shared" si="18"/>
        <v/>
      </c>
      <c r="AF136" s="344" t="str">
        <f t="shared" si="19"/>
        <v/>
      </c>
      <c r="AG136" s="561" t="str">
        <f t="shared" si="12"/>
        <v/>
      </c>
      <c r="AH136" s="561" t="str">
        <f t="shared" si="13"/>
        <v/>
      </c>
      <c r="AI136" s="313"/>
    </row>
    <row r="137" spans="1:35" outlineLevel="2" x14ac:dyDescent="0.2">
      <c r="A137" s="132">
        <v>3</v>
      </c>
      <c r="B137" s="3">
        <v>233000</v>
      </c>
      <c r="C137" s="3" t="s">
        <v>168</v>
      </c>
      <c r="D137" s="300">
        <f>Table22[[#This Row],[Level used for acute calculation]]</f>
        <v>4</v>
      </c>
      <c r="E137" s="302">
        <f>Table22[[#This Row],[MRL individual commodity]]</f>
        <v>0</v>
      </c>
      <c r="F137" s="451">
        <f>Table22[[#This Row],[Acute RA input value]]</f>
        <v>0</v>
      </c>
      <c r="G137" s="301">
        <f>Table22[[#This Row],[Acute RA label]]</f>
        <v>0</v>
      </c>
      <c r="H137" s="303">
        <f>Table22[[#This Row],[Acute RA IESTI new input value]]</f>
        <v>0</v>
      </c>
      <c r="I137" s="301">
        <f>Table22[[#This Row],[Acute RA IESTI new label]]</f>
        <v>0</v>
      </c>
      <c r="J137" s="504"/>
      <c r="K137" s="544">
        <f>Table22[[#This Row],[GAP under assessment]]</f>
        <v>0</v>
      </c>
      <c r="L137" s="304" t="str">
        <f>IF(input_values!$M137=0,"",input_values!$M137)</f>
        <v/>
      </c>
      <c r="M137" s="301" t="str">
        <f>IF(input_values!H137=0,"",input_values!H137)</f>
        <v/>
      </c>
      <c r="N137" s="304">
        <f>input_values!$K137</f>
        <v>0</v>
      </c>
      <c r="O137" s="309"/>
      <c r="P137" s="38"/>
      <c r="Q137" s="38"/>
      <c r="R137" s="335"/>
      <c r="S137" s="336" t="str">
        <f t="shared" si="14"/>
        <v/>
      </c>
      <c r="T137" s="342"/>
      <c r="U137" s="571"/>
      <c r="V137" s="342"/>
      <c r="W137" s="571"/>
      <c r="X137" s="611" t="str">
        <f>IF(V137="ND","ND",IF(S137="","",IF(OR(MID(C137,1,4)="milk",AND(MID(B137,1,2)="50",NOT(input_values!M137="Y")),AND(MID(B137,1,2)="40",NOT(input_values!M137="Y")),AND(MID(B137,1,2)="30",NOT(input_values!M137="Y"))),3,IF(OR(V137="&lt;25",B137&gt;1000000),1,IF((T137&gt;=S137),"2b","2a")))))</f>
        <v/>
      </c>
      <c r="Y137" s="38" t="str">
        <f>IF(X137="ND","ND",IF(S137="","",IF(input_values!K137&gt;0,input_values!K137,IF(OR(X137=1,X137=3),1,IF((V137&gt;250),5,7)))))</f>
        <v/>
      </c>
      <c r="Z137" s="335" t="str">
        <f t="shared" si="15"/>
        <v/>
      </c>
      <c r="AA137" s="311">
        <f t="shared" si="10"/>
        <v>0</v>
      </c>
      <c r="AB137" s="38" t="str">
        <f t="shared" si="16"/>
        <v/>
      </c>
      <c r="AC137" s="335" t="str">
        <f t="shared" si="17"/>
        <v/>
      </c>
      <c r="AD137" s="311">
        <f t="shared" si="11"/>
        <v>0</v>
      </c>
      <c r="AE137" s="344" t="str">
        <f t="shared" si="18"/>
        <v/>
      </c>
      <c r="AF137" s="344" t="str">
        <f t="shared" si="19"/>
        <v/>
      </c>
      <c r="AG137" s="561" t="str">
        <f t="shared" si="12"/>
        <v/>
      </c>
      <c r="AH137" s="561" t="str">
        <f t="shared" si="13"/>
        <v/>
      </c>
      <c r="AI137" s="313"/>
    </row>
    <row r="138" spans="1:35" outlineLevel="3" x14ac:dyDescent="0.2">
      <c r="A138" s="39">
        <v>4</v>
      </c>
      <c r="B138" s="23">
        <v>233010</v>
      </c>
      <c r="C138" s="23" t="s">
        <v>247</v>
      </c>
      <c r="D138" s="300">
        <f>Table22[[#This Row],[Level used for acute calculation]]</f>
        <v>4</v>
      </c>
      <c r="E138" s="302">
        <f>Table22[[#This Row],[MRL individual commodity]]</f>
        <v>0</v>
      </c>
      <c r="F138" s="451">
        <f>Table22[[#This Row],[Acute RA input value]]</f>
        <v>0</v>
      </c>
      <c r="G138" s="301" t="str">
        <f>Table22[[#This Row],[Acute RA label]]</f>
        <v/>
      </c>
      <c r="H138" s="303">
        <f>Table22[[#This Row],[Acute RA IESTI new input value]]</f>
        <v>0</v>
      </c>
      <c r="I138" s="301" t="str">
        <f>Table22[[#This Row],[Acute RA IESTI new label]]</f>
        <v/>
      </c>
      <c r="J138" s="504"/>
      <c r="K138" s="544">
        <f>Table22[[#This Row],[GAP under assessment]]</f>
        <v>0</v>
      </c>
      <c r="L138" s="304" t="str">
        <f>IF(input_values!$M138=0,"",input_values!$M138)</f>
        <v/>
      </c>
      <c r="M138" s="301" t="str">
        <f>IF(input_values!H138=0,"",input_values!H138)</f>
        <v/>
      </c>
      <c r="N138" s="304">
        <f>input_values!$K138</f>
        <v>0</v>
      </c>
      <c r="O138" s="326">
        <v>30.337078651685392</v>
      </c>
      <c r="P138" s="22">
        <v>100</v>
      </c>
      <c r="Q138" s="22" t="s">
        <v>93</v>
      </c>
      <c r="R138" s="326">
        <v>17.8</v>
      </c>
      <c r="S138" s="328">
        <f t="shared" si="14"/>
        <v>540</v>
      </c>
      <c r="T138" s="328">
        <v>540</v>
      </c>
      <c r="U138" s="329" t="s">
        <v>286</v>
      </c>
      <c r="V138" s="328">
        <v>720</v>
      </c>
      <c r="W138" s="329" t="s">
        <v>286</v>
      </c>
      <c r="X138" s="1464" t="str">
        <f>IF(V138="ND","ND",IF(S138="","",IF(OR(MID(C138,1,4)="milk",AND(MID(B138,1,2)="50",NOT(input_values!M138="Y")),AND(MID(B138,1,2)="40",NOT(input_values!M138="Y")),AND(MID(B138,1,2)="30",NOT(input_values!M138="Y"))),3,IF(OR(V138="&lt;25",B138&gt;1000000),1,IF((T138&gt;=S138),"2b","2a")))))</f>
        <v>2b</v>
      </c>
      <c r="Y138" s="22">
        <f>IF(X138="ND","ND",IF(S138="","",IF(input_values!K138&gt;0,input_values!K138,IF(OR(X138=1,X138=3),1,IF((V138&gt;250),5,7)))))</f>
        <v>5</v>
      </c>
      <c r="Z138" s="330" t="str">
        <f t="shared" si="15"/>
        <v/>
      </c>
      <c r="AA138" s="331">
        <f t="shared" si="10"/>
        <v>0</v>
      </c>
      <c r="AB138" s="27">
        <f t="shared" si="16"/>
        <v>3</v>
      </c>
      <c r="AC138" s="330" t="str">
        <f t="shared" si="17"/>
        <v/>
      </c>
      <c r="AD138" s="332">
        <f t="shared" si="11"/>
        <v>0</v>
      </c>
      <c r="AE138" s="333" t="str">
        <f t="shared" si="18"/>
        <v/>
      </c>
      <c r="AF138" s="333" t="str">
        <f t="shared" si="19"/>
        <v/>
      </c>
      <c r="AG138" s="561" t="str">
        <f t="shared" si="12"/>
        <v/>
      </c>
      <c r="AH138" s="561" t="str">
        <f t="shared" si="13"/>
        <v/>
      </c>
      <c r="AI138" s="313"/>
    </row>
    <row r="139" spans="1:35" outlineLevel="3" x14ac:dyDescent="0.2">
      <c r="A139" s="39">
        <v>4</v>
      </c>
      <c r="B139" s="23">
        <v>233020</v>
      </c>
      <c r="C139" s="23" t="s">
        <v>248</v>
      </c>
      <c r="D139" s="300">
        <f>Table22[[#This Row],[Level used for acute calculation]]</f>
        <v>4</v>
      </c>
      <c r="E139" s="302">
        <f>Table22[[#This Row],[MRL individual commodity]]</f>
        <v>0</v>
      </c>
      <c r="F139" s="451">
        <f>Table22[[#This Row],[Acute RA input value]]</f>
        <v>0</v>
      </c>
      <c r="G139" s="301" t="str">
        <f>Table22[[#This Row],[Acute RA label]]</f>
        <v/>
      </c>
      <c r="H139" s="303">
        <f>Table22[[#This Row],[Acute RA IESTI new input value]]</f>
        <v>0</v>
      </c>
      <c r="I139" s="301" t="str">
        <f>Table22[[#This Row],[Acute RA IESTI new label]]</f>
        <v/>
      </c>
      <c r="J139" s="504"/>
      <c r="K139" s="544">
        <f>Table22[[#This Row],[GAP under assessment]]</f>
        <v>0</v>
      </c>
      <c r="L139" s="304" t="str">
        <f>IF(input_values!$M139=0,"",input_values!$M139)</f>
        <v/>
      </c>
      <c r="M139" s="301" t="str">
        <f>IF(input_values!H139=0,"",input_values!H139)</f>
        <v/>
      </c>
      <c r="N139" s="304">
        <f>input_values!$K139</f>
        <v>0</v>
      </c>
      <c r="O139" s="326">
        <v>5.34</v>
      </c>
      <c r="P139" s="22">
        <v>95</v>
      </c>
      <c r="Q139" s="22" t="s">
        <v>93</v>
      </c>
      <c r="R139" s="326">
        <v>17.8</v>
      </c>
      <c r="S139" s="328">
        <f t="shared" si="14"/>
        <v>95.052000000000007</v>
      </c>
      <c r="T139" s="328">
        <v>1615</v>
      </c>
      <c r="U139" s="329" t="s">
        <v>286</v>
      </c>
      <c r="V139" s="328">
        <v>2375</v>
      </c>
      <c r="W139" s="329" t="s">
        <v>286</v>
      </c>
      <c r="X139" s="1464" t="str">
        <f>IF(V139="ND","ND",IF(S139="","",IF(OR(MID(C139,1,4)="milk",AND(MID(B139,1,2)="50",NOT(input_values!M139="Y")),AND(MID(B139,1,2)="40",NOT(input_values!M139="Y")),AND(MID(B139,1,2)="30",NOT(input_values!M139="Y"))),3,IF(OR(V139="&lt;25",B139&gt;1000000),1,IF((T139&gt;=S139),"2b","2a")))))</f>
        <v>2b</v>
      </c>
      <c r="Y139" s="22">
        <f>IF(X139="ND","ND",IF(S139="","",IF(input_values!K139&gt;0,input_values!K139,IF(OR(X139=1,X139=3),1,IF((V139&gt;250),5,7)))))</f>
        <v>5</v>
      </c>
      <c r="Z139" s="330" t="str">
        <f t="shared" si="15"/>
        <v/>
      </c>
      <c r="AA139" s="331">
        <f t="shared" si="10"/>
        <v>0</v>
      </c>
      <c r="AB139" s="27">
        <f t="shared" si="16"/>
        <v>3</v>
      </c>
      <c r="AC139" s="330" t="str">
        <f t="shared" si="17"/>
        <v/>
      </c>
      <c r="AD139" s="332">
        <f t="shared" si="11"/>
        <v>0</v>
      </c>
      <c r="AE139" s="333" t="str">
        <f t="shared" si="18"/>
        <v/>
      </c>
      <c r="AF139" s="333" t="str">
        <f t="shared" si="19"/>
        <v/>
      </c>
      <c r="AG139" s="561" t="str">
        <f t="shared" si="12"/>
        <v/>
      </c>
      <c r="AH139" s="561" t="str">
        <f t="shared" si="13"/>
        <v/>
      </c>
      <c r="AI139" s="334"/>
    </row>
    <row r="140" spans="1:35" outlineLevel="3" x14ac:dyDescent="0.2">
      <c r="A140" s="39">
        <v>4</v>
      </c>
      <c r="B140" s="23">
        <v>233030</v>
      </c>
      <c r="C140" s="23" t="s">
        <v>249</v>
      </c>
      <c r="D140" s="300">
        <f>Table22[[#This Row],[Level used for acute calculation]]</f>
        <v>4</v>
      </c>
      <c r="E140" s="302">
        <f>Table22[[#This Row],[MRL individual commodity]]</f>
        <v>0</v>
      </c>
      <c r="F140" s="451">
        <f>Table22[[#This Row],[Acute RA input value]]</f>
        <v>0</v>
      </c>
      <c r="G140" s="301" t="str">
        <f>Table22[[#This Row],[Acute RA label]]</f>
        <v/>
      </c>
      <c r="H140" s="303">
        <f>Table22[[#This Row],[Acute RA IESTI new input value]]</f>
        <v>0</v>
      </c>
      <c r="I140" s="301" t="str">
        <f>Table22[[#This Row],[Acute RA IESTI new label]]</f>
        <v/>
      </c>
      <c r="J140" s="504"/>
      <c r="K140" s="544">
        <f>Table22[[#This Row],[GAP under assessment]]</f>
        <v>0</v>
      </c>
      <c r="L140" s="304" t="str">
        <f>IF(input_values!$M140=0,"",input_values!$M140)</f>
        <v/>
      </c>
      <c r="M140" s="301" t="str">
        <f>IF(input_values!H140=0,"",input_values!H140)</f>
        <v/>
      </c>
      <c r="N140" s="304">
        <f>input_values!$K140</f>
        <v>0</v>
      </c>
      <c r="O140" s="326">
        <v>24.454545454545453</v>
      </c>
      <c r="P140" s="22">
        <v>97.5</v>
      </c>
      <c r="Q140" s="22" t="s">
        <v>257</v>
      </c>
      <c r="R140" s="326">
        <v>22</v>
      </c>
      <c r="S140" s="328">
        <f t="shared" si="14"/>
        <v>538</v>
      </c>
      <c r="T140" s="328">
        <v>690</v>
      </c>
      <c r="U140" s="329" t="s">
        <v>288</v>
      </c>
      <c r="V140" s="328">
        <v>1500</v>
      </c>
      <c r="W140" s="329" t="s">
        <v>286</v>
      </c>
      <c r="X140" s="1464" t="str">
        <f>IF(V140="ND","ND",IF(S140="","",IF(OR(MID(C140,1,4)="milk",AND(MID(B140,1,2)="50",NOT(input_values!M140="Y")),AND(MID(B140,1,2)="40",NOT(input_values!M140="Y")),AND(MID(B140,1,2)="30",NOT(input_values!M140="Y"))),3,IF(OR(V140="&lt;25",B140&gt;1000000),1,IF((T140&gt;=S140),"2b","2a")))))</f>
        <v>2b</v>
      </c>
      <c r="Y140" s="22">
        <f>IF(X140="ND","ND",IF(S140="","",IF(input_values!K140&gt;0,input_values!K140,IF(OR(X140=1,X140=3),1,IF((V140&gt;250),5,7)))))</f>
        <v>5</v>
      </c>
      <c r="Z140" s="330" t="str">
        <f t="shared" si="15"/>
        <v/>
      </c>
      <c r="AA140" s="331">
        <f t="shared" ref="AA140:AA203" si="20">IF(OR(ISTEXT(F140),F140=0),0,IF($C$5="not necessary","no acute RA",IF(Z140="ND","no acute RA",Z140/$C$5)))</f>
        <v>0</v>
      </c>
      <c r="AB140" s="27">
        <f t="shared" si="16"/>
        <v>3</v>
      </c>
      <c r="AC140" s="330" t="str">
        <f t="shared" si="17"/>
        <v/>
      </c>
      <c r="AD140" s="332">
        <f t="shared" ref="AD140:AD203" si="21">IF(OR(ISTEXT(H140),H140=0,S140=0),0,IF($C$5="not necessary","no acute RA",IF(AC140="ND","no acute RA",AC140/$C$5)))</f>
        <v>0</v>
      </c>
      <c r="AE140" s="333" t="str">
        <f t="shared" si="18"/>
        <v/>
      </c>
      <c r="AF140" s="333" t="str">
        <f t="shared" si="19"/>
        <v/>
      </c>
      <c r="AG140" s="561" t="str">
        <f t="shared" ref="AG140:AG203" si="22">IF(OR(Z140=0,Z140="ND",Z140="",$C$5="not necessary"),"",IF(X140="2a",1000*$C$5*R140/(T140*Y140+S140-T140),IF(X140="2b",1000*$C$5*R140/S140/Y140,IF(OR(X140=1,X140=3),1000*$C$5*R140/S140,""))))</f>
        <v/>
      </c>
      <c r="AH140" s="561" t="str">
        <f t="shared" ref="AH140:AH203" si="23">IF(OR(AC140=0,AC140="ND",AC140="",$C$5="not necessary"),"",1000*$C$5*R140/S140/AB140)</f>
        <v/>
      </c>
      <c r="AI140" s="313"/>
    </row>
    <row r="141" spans="1:35" outlineLevel="3" x14ac:dyDescent="0.2">
      <c r="A141" s="39">
        <v>4</v>
      </c>
      <c r="B141" s="23">
        <v>233990</v>
      </c>
      <c r="C141" s="23" t="s">
        <v>169</v>
      </c>
      <c r="D141" s="300">
        <f>Table22[[#This Row],[Level used for acute calculation]]</f>
        <v>0</v>
      </c>
      <c r="E141" s="302">
        <f>Table22[[#This Row],[MRL individual commodity]]</f>
        <v>0</v>
      </c>
      <c r="F141" s="451">
        <f>Table22[[#This Row],[Acute RA input value]]</f>
        <v>0</v>
      </c>
      <c r="G141" s="301">
        <f>Table22[[#This Row],[Acute RA label]]</f>
        <v>0</v>
      </c>
      <c r="H141" s="303">
        <f>Table22[[#This Row],[Acute RA IESTI new input value]]</f>
        <v>0</v>
      </c>
      <c r="I141" s="301">
        <f>Table22[[#This Row],[Acute RA IESTI new label]]</f>
        <v>0</v>
      </c>
      <c r="J141" s="504"/>
      <c r="K141" s="544">
        <f>Table22[[#This Row],[GAP under assessment]]</f>
        <v>0</v>
      </c>
      <c r="L141" s="304" t="str">
        <f>IF(input_values!$M141=0,"",input_values!$M141)</f>
        <v/>
      </c>
      <c r="M141" s="301" t="str">
        <f>IF(input_values!H141=0,"",input_values!H141)</f>
        <v/>
      </c>
      <c r="N141" s="304">
        <f>input_values!$K141</f>
        <v>0</v>
      </c>
      <c r="O141" s="309"/>
      <c r="P141" s="38"/>
      <c r="Q141" s="38"/>
      <c r="R141" s="335"/>
      <c r="S141" s="336" t="str">
        <f t="shared" ref="S141:S204" si="24">IF(O141="ND","ND",IF(O141="","",O141*R141))</f>
        <v/>
      </c>
      <c r="T141" s="305"/>
      <c r="U141" s="570"/>
      <c r="V141" s="305"/>
      <c r="W141" s="570"/>
      <c r="X141" s="611" t="str">
        <f>IF(V141="ND","ND",IF(S141="","",IF(OR(MID(C141,1,4)="milk",AND(MID(B141,1,2)="50",NOT(input_values!M141="Y")),AND(MID(B141,1,2)="40",NOT(input_values!M141="Y")),AND(MID(B141,1,2)="30",NOT(input_values!M141="Y"))),3,IF(OR(V141="&lt;25",B141&gt;1000000),1,IF((T141&gt;=S141),"2b","2a")))))</f>
        <v/>
      </c>
      <c r="Y141" s="38" t="str">
        <f>IF(X141="ND","ND",IF(S141="","",IF(input_values!K141&gt;0,input_values!K141,IF(OR(X141=1,X141=3),1,IF((V141&gt;250),5,7)))))</f>
        <v/>
      </c>
      <c r="Z141" s="335" t="str">
        <f t="shared" ref="Z141:Z204" si="25">IF(OR(ISTEXT(F141),F141=0),"",IF(OR(S141="ND",T141="ND"),"ND",IF(($X141="2a"),1/$R141*(($F141*$T141/1000*$Y141)+($F141*($S141-$T141)/1000)),IF(($X141="2b"),1/$R141*($F141*$S141/1000*$Y141),1/$R141*($F141*$S141/1000)))))</f>
        <v/>
      </c>
      <c r="AA141" s="311">
        <f t="shared" si="20"/>
        <v>0</v>
      </c>
      <c r="AB141" s="38" t="str">
        <f t="shared" ref="AB141:AB204" si="26">IF(OR(Y141=5,Y141=7,N141&gt;3),3,Y141)</f>
        <v/>
      </c>
      <c r="AC141" s="335" t="str">
        <f t="shared" ref="AC141:AC204" si="27">IF(OR(ISTEXT(H141),H141=0),"",IF(OR(S141="ND",T141="ND"),"ND",1/$R141*($H141*$S141*AB141/1000)))</f>
        <v/>
      </c>
      <c r="AD141" s="311">
        <f t="shared" si="21"/>
        <v>0</v>
      </c>
      <c r="AE141" s="344" t="str">
        <f t="shared" ref="AE141:AE204" si="28">IF(AA141&gt;=1,AG141,"")</f>
        <v/>
      </c>
      <c r="AF141" s="344" t="str">
        <f t="shared" ref="AF141:AF204" si="29">IF(AD141&gt;=1,AH141,"")</f>
        <v/>
      </c>
      <c r="AG141" s="561" t="str">
        <f t="shared" si="22"/>
        <v/>
      </c>
      <c r="AH141" s="561" t="str">
        <f t="shared" si="23"/>
        <v/>
      </c>
      <c r="AI141" s="313"/>
    </row>
    <row r="142" spans="1:35" outlineLevel="2" x14ac:dyDescent="0.2">
      <c r="A142" s="132">
        <v>3</v>
      </c>
      <c r="B142" s="3">
        <v>234000</v>
      </c>
      <c r="C142" s="3" t="s">
        <v>228</v>
      </c>
      <c r="D142" s="300">
        <f>Table22[[#This Row],[Level used for acute calculation]]</f>
        <v>3</v>
      </c>
      <c r="E142" s="302">
        <f>Table22[[#This Row],[MRL individual commodity]]</f>
        <v>0</v>
      </c>
      <c r="F142" s="451">
        <f>Table22[[#This Row],[Acute RA input value]]</f>
        <v>0</v>
      </c>
      <c r="G142" s="301" t="str">
        <f>Table22[[#This Row],[Acute RA label]]</f>
        <v/>
      </c>
      <c r="H142" s="303">
        <f>Table22[[#This Row],[Acute RA IESTI new input value]]</f>
        <v>0</v>
      </c>
      <c r="I142" s="301" t="str">
        <f>Table22[[#This Row],[Acute RA IESTI new label]]</f>
        <v/>
      </c>
      <c r="J142" s="504"/>
      <c r="K142" s="544">
        <f>Table22[[#This Row],[GAP under assessment]]</f>
        <v>0</v>
      </c>
      <c r="L142" s="304" t="str">
        <f>IF(input_values!$M142=0,"",input_values!$M142)</f>
        <v/>
      </c>
      <c r="M142" s="301" t="str">
        <f>IF(input_values!H142=0,"",input_values!H142)</f>
        <v/>
      </c>
      <c r="N142" s="304">
        <f>input_values!$K142</f>
        <v>0</v>
      </c>
      <c r="O142" s="326">
        <v>6.21</v>
      </c>
      <c r="P142" s="22">
        <v>97.5</v>
      </c>
      <c r="Q142" s="22" t="s">
        <v>91</v>
      </c>
      <c r="R142" s="326">
        <v>14.5</v>
      </c>
      <c r="S142" s="328">
        <f t="shared" si="24"/>
        <v>90.045000000000002</v>
      </c>
      <c r="T142" s="328">
        <v>125</v>
      </c>
      <c r="U142" s="329" t="s">
        <v>45</v>
      </c>
      <c r="V142" s="328">
        <v>215</v>
      </c>
      <c r="W142" s="329" t="s">
        <v>45</v>
      </c>
      <c r="X142" s="1464" t="str">
        <f>IF(V142="ND","ND",IF(S142="","",IF(OR(MID(C142,1,4)="milk",AND(MID(B142,1,2)="50",NOT(input_values!M142="Y")),AND(MID(B142,1,2)="40",NOT(input_values!M142="Y")),AND(MID(B142,1,2)="30",NOT(input_values!M142="Y"))),3,IF(OR(V142="&lt;25",B142&gt;1000000),1,IF((T142&gt;=S142),"2b","2a")))))</f>
        <v>2b</v>
      </c>
      <c r="Y142" s="22">
        <f>IF(X142="ND","ND",IF(S142="","",IF(input_values!K142&gt;0,input_values!K142,IF(OR(X142=1,X142=3),1,IF((V142&gt;250),5,7)))))</f>
        <v>7</v>
      </c>
      <c r="Z142" s="330" t="str">
        <f t="shared" si="25"/>
        <v/>
      </c>
      <c r="AA142" s="331">
        <f t="shared" si="20"/>
        <v>0</v>
      </c>
      <c r="AB142" s="27">
        <f t="shared" si="26"/>
        <v>3</v>
      </c>
      <c r="AC142" s="330" t="str">
        <f t="shared" si="27"/>
        <v/>
      </c>
      <c r="AD142" s="332">
        <f t="shared" si="21"/>
        <v>0</v>
      </c>
      <c r="AE142" s="333" t="str">
        <f t="shared" si="28"/>
        <v/>
      </c>
      <c r="AF142" s="333" t="str">
        <f t="shared" si="29"/>
        <v/>
      </c>
      <c r="AG142" s="561" t="str">
        <f t="shared" si="22"/>
        <v/>
      </c>
      <c r="AH142" s="561" t="str">
        <f t="shared" si="23"/>
        <v/>
      </c>
      <c r="AI142" s="313"/>
    </row>
    <row r="143" spans="1:35" outlineLevel="2" x14ac:dyDescent="0.2">
      <c r="A143" s="132">
        <v>3</v>
      </c>
      <c r="B143" s="3">
        <v>239000</v>
      </c>
      <c r="C143" s="3" t="s">
        <v>229</v>
      </c>
      <c r="D143" s="300">
        <f>Table22[[#This Row],[Level used for acute calculation]]</f>
        <v>4</v>
      </c>
      <c r="E143" s="302">
        <f>Table22[[#This Row],[MRL individual commodity]]</f>
        <v>0</v>
      </c>
      <c r="F143" s="451">
        <f>Table22[[#This Row],[Acute RA input value]]</f>
        <v>0</v>
      </c>
      <c r="G143" s="301">
        <f>Table22[[#This Row],[Acute RA label]]</f>
        <v>0</v>
      </c>
      <c r="H143" s="303">
        <f>Table22[[#This Row],[Acute RA IESTI new input value]]</f>
        <v>0</v>
      </c>
      <c r="I143" s="301">
        <f>Table22[[#This Row],[Acute RA IESTI new label]]</f>
        <v>0</v>
      </c>
      <c r="J143" s="504"/>
      <c r="K143" s="544">
        <f>Table22[[#This Row],[GAP under assessment]]</f>
        <v>0</v>
      </c>
      <c r="L143" s="304" t="str">
        <f>IF(input_values!$M143=0,"",input_values!$M143)</f>
        <v/>
      </c>
      <c r="M143" s="301" t="str">
        <f>IF(input_values!H143=0,"",input_values!H143)</f>
        <v/>
      </c>
      <c r="N143" s="304">
        <f>input_values!$K143</f>
        <v>0</v>
      </c>
      <c r="O143" s="309"/>
      <c r="P143" s="38"/>
      <c r="Q143" s="38"/>
      <c r="R143" s="335"/>
      <c r="S143" s="336" t="str">
        <f t="shared" si="24"/>
        <v/>
      </c>
      <c r="T143" s="342"/>
      <c r="U143" s="571"/>
      <c r="V143" s="342"/>
      <c r="W143" s="571"/>
      <c r="X143" s="611" t="str">
        <f>IF(V143="ND","ND",IF(S143="","",IF(OR(MID(C143,1,4)="milk",AND(MID(B143,1,2)="50",NOT(input_values!M143="Y")),AND(MID(B143,1,2)="40",NOT(input_values!M143="Y")),AND(MID(B143,1,2)="30",NOT(input_values!M143="Y"))),3,IF(OR(V143="&lt;25",B143&gt;1000000),1,IF((T143&gt;=S143),"2b","2a")))))</f>
        <v/>
      </c>
      <c r="Y143" s="38" t="str">
        <f>IF(X143="ND","ND",IF(S143="","",IF(input_values!K143&gt;0,input_values!K143,IF(OR(X143=1,X143=3),1,IF((V143&gt;250),5,7)))))</f>
        <v/>
      </c>
      <c r="Z143" s="335" t="str">
        <f t="shared" si="25"/>
        <v/>
      </c>
      <c r="AA143" s="311">
        <f t="shared" si="20"/>
        <v>0</v>
      </c>
      <c r="AB143" s="38" t="str">
        <f t="shared" si="26"/>
        <v/>
      </c>
      <c r="AC143" s="335" t="str">
        <f t="shared" si="27"/>
        <v/>
      </c>
      <c r="AD143" s="311">
        <f t="shared" si="21"/>
        <v>0</v>
      </c>
      <c r="AE143" s="344" t="str">
        <f t="shared" si="28"/>
        <v/>
      </c>
      <c r="AF143" s="344" t="str">
        <f t="shared" si="29"/>
        <v/>
      </c>
      <c r="AG143" s="561" t="str">
        <f t="shared" si="22"/>
        <v/>
      </c>
      <c r="AH143" s="561" t="str">
        <f t="shared" si="23"/>
        <v/>
      </c>
      <c r="AI143" s="313"/>
    </row>
    <row r="144" spans="1:35" outlineLevel="1" x14ac:dyDescent="0.2">
      <c r="A144" s="130">
        <v>2</v>
      </c>
      <c r="B144" s="131">
        <v>240000</v>
      </c>
      <c r="C144" s="131" t="s">
        <v>230</v>
      </c>
      <c r="D144" s="300">
        <f>Table22[[#This Row],[Level used for acute calculation]]</f>
        <v>4</v>
      </c>
      <c r="E144" s="302">
        <f>Table22[[#This Row],[MRL individual commodity]]</f>
        <v>0</v>
      </c>
      <c r="F144" s="451">
        <f>Table22[[#This Row],[Acute RA input value]]</f>
        <v>0</v>
      </c>
      <c r="G144" s="301">
        <f>Table22[[#This Row],[Acute RA label]]</f>
        <v>0</v>
      </c>
      <c r="H144" s="303">
        <f>Table22[[#This Row],[Acute RA IESTI new input value]]</f>
        <v>0</v>
      </c>
      <c r="I144" s="301">
        <f>Table22[[#This Row],[Acute RA IESTI new label]]</f>
        <v>0</v>
      </c>
      <c r="J144" s="504"/>
      <c r="K144" s="544">
        <f>Table22[[#This Row],[GAP under assessment]]</f>
        <v>0</v>
      </c>
      <c r="L144" s="304" t="str">
        <f>IF(input_values!$M144=0,"",input_values!$M144)</f>
        <v/>
      </c>
      <c r="M144" s="301" t="str">
        <f>IF(input_values!H144=0,"",input_values!H144)</f>
        <v/>
      </c>
      <c r="N144" s="304">
        <f>input_values!$K144</f>
        <v>0</v>
      </c>
      <c r="O144" s="309"/>
      <c r="P144" s="38"/>
      <c r="Q144" s="38"/>
      <c r="R144" s="335"/>
      <c r="S144" s="336" t="str">
        <f t="shared" si="24"/>
        <v/>
      </c>
      <c r="T144" s="315"/>
      <c r="U144" s="321"/>
      <c r="V144" s="315"/>
      <c r="W144" s="321"/>
      <c r="X144" s="611" t="str">
        <f>IF(V144="ND","ND",IF(S144="","",IF(OR(MID(C144,1,4)="milk",AND(MID(B144,1,2)="50",NOT(input_values!M144="Y")),AND(MID(B144,1,2)="40",NOT(input_values!M144="Y")),AND(MID(B144,1,2)="30",NOT(input_values!M144="Y"))),3,IF(OR(V144="&lt;25",B144&gt;1000000),1,IF((T144&gt;=S144),"2b","2a")))))</f>
        <v/>
      </c>
      <c r="Y144" s="38" t="str">
        <f>IF(X144="ND","ND",IF(S144="","",IF(input_values!K144&gt;0,input_values!K144,IF(OR(X144=1,X144=3),1,IF((V144&gt;250),5,7)))))</f>
        <v/>
      </c>
      <c r="Z144" s="335" t="str">
        <f t="shared" si="25"/>
        <v/>
      </c>
      <c r="AA144" s="311">
        <f t="shared" si="20"/>
        <v>0</v>
      </c>
      <c r="AB144" s="38" t="str">
        <f t="shared" si="26"/>
        <v/>
      </c>
      <c r="AC144" s="335" t="str">
        <f t="shared" si="27"/>
        <v/>
      </c>
      <c r="AD144" s="311">
        <f t="shared" si="21"/>
        <v>0</v>
      </c>
      <c r="AE144" s="344" t="str">
        <f t="shared" si="28"/>
        <v/>
      </c>
      <c r="AF144" s="344" t="str">
        <f t="shared" si="29"/>
        <v/>
      </c>
      <c r="AG144" s="561" t="str">
        <f t="shared" si="22"/>
        <v/>
      </c>
      <c r="AH144" s="561" t="str">
        <f t="shared" si="23"/>
        <v/>
      </c>
      <c r="AI144" s="313"/>
    </row>
    <row r="145" spans="1:35" outlineLevel="2" x14ac:dyDescent="0.2">
      <c r="A145" s="132">
        <v>3</v>
      </c>
      <c r="B145" s="3">
        <v>241000</v>
      </c>
      <c r="C145" s="3" t="s">
        <v>231</v>
      </c>
      <c r="D145" s="300">
        <f>Table22[[#This Row],[Level used for acute calculation]]</f>
        <v>4</v>
      </c>
      <c r="E145" s="302">
        <f>Table22[[#This Row],[MRL individual commodity]]</f>
        <v>0</v>
      </c>
      <c r="F145" s="451">
        <f>Table22[[#This Row],[Acute RA input value]]</f>
        <v>0</v>
      </c>
      <c r="G145" s="301">
        <f>Table22[[#This Row],[Acute RA label]]</f>
        <v>0</v>
      </c>
      <c r="H145" s="303">
        <f>Table22[[#This Row],[Acute RA IESTI new input value]]</f>
        <v>0</v>
      </c>
      <c r="I145" s="301">
        <f>Table22[[#This Row],[Acute RA IESTI new label]]</f>
        <v>0</v>
      </c>
      <c r="J145" s="504"/>
      <c r="K145" s="544">
        <f>Table22[[#This Row],[GAP under assessment]]</f>
        <v>0</v>
      </c>
      <c r="L145" s="304" t="str">
        <f>IF(input_values!$M145=0,"",input_values!$M145)</f>
        <v/>
      </c>
      <c r="M145" s="301" t="str">
        <f>IF(input_values!H145=0,"",input_values!H145)</f>
        <v/>
      </c>
      <c r="N145" s="304">
        <f>input_values!$K145</f>
        <v>0</v>
      </c>
      <c r="O145" s="309"/>
      <c r="P145" s="38"/>
      <c r="Q145" s="38"/>
      <c r="R145" s="335"/>
      <c r="S145" s="336" t="str">
        <f t="shared" si="24"/>
        <v/>
      </c>
      <c r="T145" s="342"/>
      <c r="U145" s="571"/>
      <c r="V145" s="342"/>
      <c r="W145" s="571"/>
      <c r="X145" s="611" t="str">
        <f>IF(V145="ND","ND",IF(S145="","",IF(OR(MID(C145,1,4)="milk",AND(MID(B145,1,2)="50",NOT(input_values!M145="Y")),AND(MID(B145,1,2)="40",NOT(input_values!M145="Y")),AND(MID(B145,1,2)="30",NOT(input_values!M145="Y"))),3,IF(OR(V145="&lt;25",B145&gt;1000000),1,IF((T145&gt;=S145),"2b","2a")))))</f>
        <v/>
      </c>
      <c r="Y145" s="38" t="str">
        <f>IF(X145="ND","ND",IF(S145="","",IF(input_values!K145&gt;0,input_values!K145,IF(OR(X145=1,X145=3),1,IF((V145&gt;250),5,7)))))</f>
        <v/>
      </c>
      <c r="Z145" s="335" t="str">
        <f t="shared" si="25"/>
        <v/>
      </c>
      <c r="AA145" s="311">
        <f t="shared" si="20"/>
        <v>0</v>
      </c>
      <c r="AB145" s="38" t="str">
        <f t="shared" si="26"/>
        <v/>
      </c>
      <c r="AC145" s="335" t="str">
        <f t="shared" si="27"/>
        <v/>
      </c>
      <c r="AD145" s="311">
        <f t="shared" si="21"/>
        <v>0</v>
      </c>
      <c r="AE145" s="344" t="str">
        <f t="shared" si="28"/>
        <v/>
      </c>
      <c r="AF145" s="344" t="str">
        <f t="shared" si="29"/>
        <v/>
      </c>
      <c r="AG145" s="561" t="str">
        <f t="shared" si="22"/>
        <v/>
      </c>
      <c r="AH145" s="561" t="str">
        <f t="shared" si="23"/>
        <v/>
      </c>
      <c r="AI145" s="313"/>
    </row>
    <row r="146" spans="1:35" outlineLevel="3" x14ac:dyDescent="0.2">
      <c r="A146" s="39">
        <v>4</v>
      </c>
      <c r="B146" s="23">
        <v>241010</v>
      </c>
      <c r="C146" s="23" t="s">
        <v>250</v>
      </c>
      <c r="D146" s="300">
        <f>Table22[[#This Row],[Level used for acute calculation]]</f>
        <v>4</v>
      </c>
      <c r="E146" s="302">
        <f>Table22[[#This Row],[MRL individual commodity]]</f>
        <v>0</v>
      </c>
      <c r="F146" s="451">
        <f>Table22[[#This Row],[Acute RA input value]]</f>
        <v>0</v>
      </c>
      <c r="G146" s="301" t="str">
        <f>Table22[[#This Row],[Acute RA label]]</f>
        <v/>
      </c>
      <c r="H146" s="303">
        <f>Table22[[#This Row],[Acute RA IESTI new input value]]</f>
        <v>0</v>
      </c>
      <c r="I146" s="301" t="str">
        <f>Table22[[#This Row],[Acute RA IESTI new label]]</f>
        <v/>
      </c>
      <c r="J146" s="504"/>
      <c r="K146" s="544">
        <f>Table22[[#This Row],[GAP under assessment]]</f>
        <v>0</v>
      </c>
      <c r="L146" s="304" t="str">
        <f>IF(input_values!$M146=0,"",input_values!$M146)</f>
        <v/>
      </c>
      <c r="M146" s="301" t="str">
        <f>IF(input_values!H146=0,"",input_values!H146)</f>
        <v/>
      </c>
      <c r="N146" s="304">
        <f>input_values!$K146</f>
        <v>0</v>
      </c>
      <c r="O146" s="326">
        <v>8.3202247191011232</v>
      </c>
      <c r="P146" s="22">
        <v>97.5</v>
      </c>
      <c r="Q146" s="22" t="s">
        <v>93</v>
      </c>
      <c r="R146" s="326">
        <v>17.8</v>
      </c>
      <c r="S146" s="328">
        <f t="shared" si="24"/>
        <v>148.1</v>
      </c>
      <c r="T146" s="328">
        <v>186</v>
      </c>
      <c r="U146" s="329" t="s">
        <v>286</v>
      </c>
      <c r="V146" s="328">
        <v>310</v>
      </c>
      <c r="W146" s="329" t="s">
        <v>286</v>
      </c>
      <c r="X146" s="1464" t="str">
        <f>IF(V146="ND","ND",IF(S146="","",IF(OR(MID(C146,1,4)="milk",AND(MID(B146,1,2)="50",NOT(input_values!M146="Y")),AND(MID(B146,1,2)="40",NOT(input_values!M146="Y")),AND(MID(B146,1,2)="30",NOT(input_values!M146="Y"))),3,IF(OR(V146="&lt;25",B146&gt;1000000),1,IF((T146&gt;=S146),"2b","2a")))))</f>
        <v>2b</v>
      </c>
      <c r="Y146" s="22">
        <f>IF(X146="ND","ND",IF(S146="","",IF(input_values!K146&gt;0,input_values!K146,IF(OR(X146=1,X146=3),1,IF((V146&gt;250),5,7)))))</f>
        <v>5</v>
      </c>
      <c r="Z146" s="330" t="str">
        <f t="shared" si="25"/>
        <v/>
      </c>
      <c r="AA146" s="331">
        <f t="shared" si="20"/>
        <v>0</v>
      </c>
      <c r="AB146" s="27">
        <f t="shared" si="26"/>
        <v>3</v>
      </c>
      <c r="AC146" s="330" t="str">
        <f t="shared" si="27"/>
        <v/>
      </c>
      <c r="AD146" s="332">
        <f t="shared" si="21"/>
        <v>0</v>
      </c>
      <c r="AE146" s="333" t="str">
        <f t="shared" si="28"/>
        <v/>
      </c>
      <c r="AF146" s="333" t="str">
        <f t="shared" si="29"/>
        <v/>
      </c>
      <c r="AG146" s="561" t="str">
        <f t="shared" si="22"/>
        <v/>
      </c>
      <c r="AH146" s="561" t="str">
        <f t="shared" si="23"/>
        <v/>
      </c>
      <c r="AI146" s="334"/>
    </row>
    <row r="147" spans="1:35" outlineLevel="3" x14ac:dyDescent="0.2">
      <c r="A147" s="39">
        <v>4</v>
      </c>
      <c r="B147" s="23">
        <v>241020</v>
      </c>
      <c r="C147" s="23" t="s">
        <v>715</v>
      </c>
      <c r="D147" s="300">
        <f>Table22[[#This Row],[Level used for acute calculation]]</f>
        <v>4</v>
      </c>
      <c r="E147" s="302">
        <f>Table22[[#This Row],[MRL individual commodity]]</f>
        <v>0</v>
      </c>
      <c r="F147" s="451">
        <f>Table22[[#This Row],[Acute RA input value]]</f>
        <v>0</v>
      </c>
      <c r="G147" s="301" t="str">
        <f>Table22[[#This Row],[Acute RA label]]</f>
        <v/>
      </c>
      <c r="H147" s="303">
        <f>Table22[[#This Row],[Acute RA IESTI new input value]]</f>
        <v>0</v>
      </c>
      <c r="I147" s="301" t="str">
        <f>Table22[[#This Row],[Acute RA IESTI new label]]</f>
        <v/>
      </c>
      <c r="J147" s="504"/>
      <c r="K147" s="544">
        <f>Table22[[#This Row],[GAP under assessment]]</f>
        <v>0</v>
      </c>
      <c r="L147" s="304" t="str">
        <f>IF(input_values!$M147=0,"",input_values!$M147)</f>
        <v/>
      </c>
      <c r="M147" s="301" t="str">
        <f>IF(input_values!H147=0,"",input_values!H147)</f>
        <v/>
      </c>
      <c r="N147" s="304">
        <f>input_values!$K147</f>
        <v>0</v>
      </c>
      <c r="O147" s="326">
        <v>11.586206896551724</v>
      </c>
      <c r="P147" s="22">
        <v>97.5</v>
      </c>
      <c r="Q147" s="22" t="s">
        <v>89</v>
      </c>
      <c r="R147" s="326">
        <v>8.6999999999999993</v>
      </c>
      <c r="S147" s="328">
        <f t="shared" si="24"/>
        <v>100.8</v>
      </c>
      <c r="T147" s="328">
        <v>780</v>
      </c>
      <c r="U147" s="329" t="s">
        <v>45</v>
      </c>
      <c r="V147" s="328">
        <v>780</v>
      </c>
      <c r="W147" s="329" t="s">
        <v>45</v>
      </c>
      <c r="X147" s="1464" t="str">
        <f>IF(V147="ND","ND",IF(S147="","",IF(OR(MID(C147,1,4)="milk",AND(MID(B147,1,2)="50",NOT(input_values!M147="Y")),AND(MID(B147,1,2)="40",NOT(input_values!M147="Y")),AND(MID(B147,1,2)="30",NOT(input_values!M147="Y"))),3,IF(OR(V147="&lt;25",B147&gt;1000000),1,IF((T147&gt;=S147),"2b","2a")))))</f>
        <v>2b</v>
      </c>
      <c r="Y147" s="22">
        <f>IF(X147="ND","ND",IF(S147="","",IF(input_values!K147&gt;0,input_values!K147,IF(OR(X147=1,X147=3),1,IF((V147&gt;250),5,7)))))</f>
        <v>5</v>
      </c>
      <c r="Z147" s="330" t="str">
        <f t="shared" si="25"/>
        <v/>
      </c>
      <c r="AA147" s="331">
        <f t="shared" si="20"/>
        <v>0</v>
      </c>
      <c r="AB147" s="27">
        <f t="shared" si="26"/>
        <v>3</v>
      </c>
      <c r="AC147" s="330" t="str">
        <f t="shared" si="27"/>
        <v/>
      </c>
      <c r="AD147" s="332">
        <f t="shared" si="21"/>
        <v>0</v>
      </c>
      <c r="AE147" s="333" t="str">
        <f t="shared" si="28"/>
        <v/>
      </c>
      <c r="AF147" s="333" t="str">
        <f t="shared" si="29"/>
        <v/>
      </c>
      <c r="AG147" s="561" t="str">
        <f t="shared" si="22"/>
        <v/>
      </c>
      <c r="AH147" s="561" t="str">
        <f t="shared" si="23"/>
        <v/>
      </c>
      <c r="AI147" s="334"/>
    </row>
    <row r="148" spans="1:35" outlineLevel="3" x14ac:dyDescent="0.2">
      <c r="A148" s="39">
        <v>4</v>
      </c>
      <c r="B148" s="23">
        <v>241990</v>
      </c>
      <c r="C148" s="23" t="s">
        <v>170</v>
      </c>
      <c r="D148" s="300">
        <f>Table22[[#This Row],[Level used for acute calculation]]</f>
        <v>0</v>
      </c>
      <c r="E148" s="302">
        <f>Table22[[#This Row],[MRL individual commodity]]</f>
        <v>0</v>
      </c>
      <c r="F148" s="451">
        <f>Table22[[#This Row],[Acute RA input value]]</f>
        <v>0</v>
      </c>
      <c r="G148" s="301">
        <f>Table22[[#This Row],[Acute RA label]]</f>
        <v>0</v>
      </c>
      <c r="H148" s="303">
        <f>Table22[[#This Row],[Acute RA IESTI new input value]]</f>
        <v>0</v>
      </c>
      <c r="I148" s="301">
        <f>Table22[[#This Row],[Acute RA IESTI new label]]</f>
        <v>0</v>
      </c>
      <c r="J148" s="504"/>
      <c r="K148" s="544">
        <f>Table22[[#This Row],[GAP under assessment]]</f>
        <v>0</v>
      </c>
      <c r="L148" s="304" t="str">
        <f>IF(input_values!$M148=0,"",input_values!$M148)</f>
        <v/>
      </c>
      <c r="M148" s="301" t="str">
        <f>IF(input_values!H148=0,"",input_values!H148)</f>
        <v/>
      </c>
      <c r="N148" s="304">
        <f>input_values!$K148</f>
        <v>0</v>
      </c>
      <c r="O148" s="309"/>
      <c r="P148" s="38"/>
      <c r="Q148" s="38"/>
      <c r="R148" s="335"/>
      <c r="S148" s="336" t="str">
        <f t="shared" si="24"/>
        <v/>
      </c>
      <c r="T148" s="305"/>
      <c r="U148" s="570"/>
      <c r="V148" s="305"/>
      <c r="W148" s="570"/>
      <c r="X148" s="611" t="str">
        <f>IF(V148="ND","ND",IF(S148="","",IF(OR(MID(C148,1,4)="milk",AND(MID(B148,1,2)="50",NOT(input_values!M148="Y")),AND(MID(B148,1,2)="40",NOT(input_values!M148="Y")),AND(MID(B148,1,2)="30",NOT(input_values!M148="Y"))),3,IF(OR(V148="&lt;25",B148&gt;1000000),1,IF((T148&gt;=S148),"2b","2a")))))</f>
        <v/>
      </c>
      <c r="Y148" s="38" t="str">
        <f>IF(X148="ND","ND",IF(S148="","",IF(input_values!K148&gt;0,input_values!K148,IF(OR(X148=1,X148=3),1,IF((V148&gt;250),5,7)))))</f>
        <v/>
      </c>
      <c r="Z148" s="335" t="str">
        <f t="shared" si="25"/>
        <v/>
      </c>
      <c r="AA148" s="311">
        <f t="shared" si="20"/>
        <v>0</v>
      </c>
      <c r="AB148" s="38" t="str">
        <f t="shared" si="26"/>
        <v/>
      </c>
      <c r="AC148" s="335" t="str">
        <f t="shared" si="27"/>
        <v/>
      </c>
      <c r="AD148" s="311">
        <f t="shared" si="21"/>
        <v>0</v>
      </c>
      <c r="AE148" s="344" t="str">
        <f t="shared" si="28"/>
        <v/>
      </c>
      <c r="AF148" s="344" t="str">
        <f t="shared" si="29"/>
        <v/>
      </c>
      <c r="AG148" s="561" t="str">
        <f t="shared" si="22"/>
        <v/>
      </c>
      <c r="AH148" s="561" t="str">
        <f t="shared" si="23"/>
        <v/>
      </c>
      <c r="AI148" s="313"/>
    </row>
    <row r="149" spans="1:35" outlineLevel="2" x14ac:dyDescent="0.2">
      <c r="A149" s="132">
        <v>3</v>
      </c>
      <c r="B149" s="3">
        <v>242000</v>
      </c>
      <c r="C149" s="3" t="s">
        <v>232</v>
      </c>
      <c r="D149" s="300">
        <f>Table22[[#This Row],[Level used for acute calculation]]</f>
        <v>4</v>
      </c>
      <c r="E149" s="302">
        <f>Table22[[#This Row],[MRL individual commodity]]</f>
        <v>0</v>
      </c>
      <c r="F149" s="451">
        <f>Table22[[#This Row],[Acute RA input value]]</f>
        <v>0</v>
      </c>
      <c r="G149" s="301">
        <f>Table22[[#This Row],[Acute RA label]]</f>
        <v>0</v>
      </c>
      <c r="H149" s="303">
        <f>Table22[[#This Row],[Acute RA IESTI new input value]]</f>
        <v>0</v>
      </c>
      <c r="I149" s="301">
        <f>Table22[[#This Row],[Acute RA IESTI new label]]</f>
        <v>0</v>
      </c>
      <c r="J149" s="504"/>
      <c r="K149" s="544">
        <f>Table22[[#This Row],[GAP under assessment]]</f>
        <v>0</v>
      </c>
      <c r="L149" s="304" t="str">
        <f>IF(input_values!$M149=0,"",input_values!$M149)</f>
        <v/>
      </c>
      <c r="M149" s="301" t="str">
        <f>IF(input_values!H149=0,"",input_values!H149)</f>
        <v/>
      </c>
      <c r="N149" s="304">
        <f>input_values!$K149</f>
        <v>0</v>
      </c>
      <c r="O149" s="309"/>
      <c r="P149" s="38"/>
      <c r="Q149" s="38"/>
      <c r="R149" s="335"/>
      <c r="S149" s="336" t="str">
        <f t="shared" si="24"/>
        <v/>
      </c>
      <c r="T149" s="342"/>
      <c r="U149" s="571"/>
      <c r="V149" s="342"/>
      <c r="W149" s="571"/>
      <c r="X149" s="611" t="str">
        <f>IF(V149="ND","ND",IF(S149="","",IF(OR(MID(C149,1,4)="milk",AND(MID(B149,1,2)="50",NOT(input_values!M149="Y")),AND(MID(B149,1,2)="40",NOT(input_values!M149="Y")),AND(MID(B149,1,2)="30",NOT(input_values!M149="Y"))),3,IF(OR(V149="&lt;25",B149&gt;1000000),1,IF((T149&gt;=S149),"2b","2a")))))</f>
        <v/>
      </c>
      <c r="Y149" s="38" t="str">
        <f>IF(X149="ND","ND",IF(S149="","",IF(input_values!K149&gt;0,input_values!K149,IF(OR(X149=1,X149=3),1,IF((V149&gt;250),5,7)))))</f>
        <v/>
      </c>
      <c r="Z149" s="335" t="str">
        <f t="shared" si="25"/>
        <v/>
      </c>
      <c r="AA149" s="311">
        <f t="shared" si="20"/>
        <v>0</v>
      </c>
      <c r="AB149" s="38" t="str">
        <f t="shared" si="26"/>
        <v/>
      </c>
      <c r="AC149" s="335" t="str">
        <f t="shared" si="27"/>
        <v/>
      </c>
      <c r="AD149" s="311">
        <f t="shared" si="21"/>
        <v>0</v>
      </c>
      <c r="AE149" s="344" t="str">
        <f t="shared" si="28"/>
        <v/>
      </c>
      <c r="AF149" s="344" t="str">
        <f t="shared" si="29"/>
        <v/>
      </c>
      <c r="AG149" s="561" t="str">
        <f t="shared" si="22"/>
        <v/>
      </c>
      <c r="AH149" s="561" t="str">
        <f t="shared" si="23"/>
        <v/>
      </c>
      <c r="AI149" s="313"/>
    </row>
    <row r="150" spans="1:35" outlineLevel="3" x14ac:dyDescent="0.2">
      <c r="A150" s="39">
        <v>4</v>
      </c>
      <c r="B150" s="23">
        <v>242010</v>
      </c>
      <c r="C150" s="23" t="s">
        <v>86</v>
      </c>
      <c r="D150" s="300">
        <f>Table22[[#This Row],[Level used for acute calculation]]</f>
        <v>4</v>
      </c>
      <c r="E150" s="302">
        <f>Table22[[#This Row],[MRL individual commodity]]</f>
        <v>0</v>
      </c>
      <c r="F150" s="451">
        <f>Table22[[#This Row],[Acute RA input value]]</f>
        <v>0</v>
      </c>
      <c r="G150" s="301" t="str">
        <f>Table22[[#This Row],[Acute RA label]]</f>
        <v/>
      </c>
      <c r="H150" s="303">
        <f>Table22[[#This Row],[Acute RA IESTI new input value]]</f>
        <v>0</v>
      </c>
      <c r="I150" s="301" t="str">
        <f>Table22[[#This Row],[Acute RA IESTI new label]]</f>
        <v/>
      </c>
      <c r="J150" s="504"/>
      <c r="K150" s="544">
        <f>Table22[[#This Row],[GAP under assessment]]</f>
        <v>0</v>
      </c>
      <c r="L150" s="304" t="str">
        <f>IF(input_values!$M150=0,"",input_values!$M150)</f>
        <v/>
      </c>
      <c r="M150" s="301" t="str">
        <f>IF(input_values!H150=0,"",input_values!H150)</f>
        <v/>
      </c>
      <c r="N150" s="304">
        <f>input_values!$K150</f>
        <v>0</v>
      </c>
      <c r="O150" s="326">
        <v>8.3932584269662929</v>
      </c>
      <c r="P150" s="22">
        <v>97.5</v>
      </c>
      <c r="Q150" s="22" t="s">
        <v>93</v>
      </c>
      <c r="R150" s="326">
        <v>17.8</v>
      </c>
      <c r="S150" s="328">
        <f t="shared" si="24"/>
        <v>149.4</v>
      </c>
      <c r="T150" s="338" t="s">
        <v>617</v>
      </c>
      <c r="U150" s="129" t="s">
        <v>215</v>
      </c>
      <c r="V150" s="338" t="s">
        <v>617</v>
      </c>
      <c r="W150" s="129" t="s">
        <v>215</v>
      </c>
      <c r="X150" s="1464">
        <f>IF(V150="ND","ND",IF(S150="","",IF(OR(MID(C150,1,4)="milk",AND(MID(B150,1,2)="50",NOT(input_values!M150="Y")),AND(MID(B150,1,2)="40",NOT(input_values!M150="Y")),AND(MID(B150,1,2)="30",NOT(input_values!M150="Y"))),3,IF(OR(V150="&lt;25",B150&gt;1000000),1,IF((T150&gt;=S150),"2b","2a")))))</f>
        <v>1</v>
      </c>
      <c r="Y150" s="22">
        <f>IF(X150="ND","ND",IF(S150="","",IF(input_values!K150&gt;0,input_values!K150,IF(OR(X150=1,X150=3),1,IF((V150&gt;250),5,7)))))</f>
        <v>1</v>
      </c>
      <c r="Z150" s="330" t="str">
        <f t="shared" si="25"/>
        <v/>
      </c>
      <c r="AA150" s="331">
        <f t="shared" si="20"/>
        <v>0</v>
      </c>
      <c r="AB150" s="27">
        <f t="shared" si="26"/>
        <v>1</v>
      </c>
      <c r="AC150" s="330" t="str">
        <f t="shared" si="27"/>
        <v/>
      </c>
      <c r="AD150" s="332">
        <f t="shared" si="21"/>
        <v>0</v>
      </c>
      <c r="AE150" s="333" t="str">
        <f t="shared" si="28"/>
        <v/>
      </c>
      <c r="AF150" s="333" t="str">
        <f t="shared" si="29"/>
        <v/>
      </c>
      <c r="AG150" s="561" t="str">
        <f t="shared" si="22"/>
        <v/>
      </c>
      <c r="AH150" s="561" t="str">
        <f t="shared" si="23"/>
        <v/>
      </c>
      <c r="AI150" s="334"/>
    </row>
    <row r="151" spans="1:35" outlineLevel="3" x14ac:dyDescent="0.2">
      <c r="A151" s="39">
        <v>4</v>
      </c>
      <c r="B151" s="23">
        <v>242020</v>
      </c>
      <c r="C151" s="23" t="s">
        <v>716</v>
      </c>
      <c r="D151" s="300">
        <f>Table22[[#This Row],[Level used for acute calculation]]</f>
        <v>4</v>
      </c>
      <c r="E151" s="302">
        <f>Table22[[#This Row],[MRL individual commodity]]</f>
        <v>0</v>
      </c>
      <c r="F151" s="451">
        <f>Table22[[#This Row],[Acute RA input value]]</f>
        <v>0</v>
      </c>
      <c r="G151" s="301" t="str">
        <f>Table22[[#This Row],[Acute RA label]]</f>
        <v/>
      </c>
      <c r="H151" s="303">
        <f>Table22[[#This Row],[Acute RA IESTI new input value]]</f>
        <v>0</v>
      </c>
      <c r="I151" s="301" t="str">
        <f>Table22[[#This Row],[Acute RA IESTI new label]]</f>
        <v/>
      </c>
      <c r="J151" s="504"/>
      <c r="K151" s="544">
        <f>Table22[[#This Row],[GAP under assessment]]</f>
        <v>0</v>
      </c>
      <c r="L151" s="304" t="str">
        <f>IF(input_values!$M151=0,"",input_values!$M151)</f>
        <v/>
      </c>
      <c r="M151" s="301" t="str">
        <f>IF(input_values!H151=0,"",input_values!H151)</f>
        <v/>
      </c>
      <c r="N151" s="304">
        <f>input_values!$K151</f>
        <v>0</v>
      </c>
      <c r="O151" s="326">
        <v>8.8483146067415728</v>
      </c>
      <c r="P151" s="22">
        <v>97.5</v>
      </c>
      <c r="Q151" s="22" t="s">
        <v>93</v>
      </c>
      <c r="R151" s="326">
        <v>17.8</v>
      </c>
      <c r="S151" s="328">
        <f t="shared" si="24"/>
        <v>157.5</v>
      </c>
      <c r="T151" s="328">
        <v>1402.5</v>
      </c>
      <c r="U151" s="329" t="s">
        <v>286</v>
      </c>
      <c r="V151" s="328">
        <v>1650</v>
      </c>
      <c r="W151" s="329" t="s">
        <v>286</v>
      </c>
      <c r="X151" s="1464" t="str">
        <f>IF(V151="ND","ND",IF(S151="","",IF(OR(MID(C151,1,4)="milk",AND(MID(B151,1,2)="50",NOT(input_values!M151="Y")),AND(MID(B151,1,2)="40",NOT(input_values!M151="Y")),AND(MID(B151,1,2)="30",NOT(input_values!M151="Y"))),3,IF(OR(V151="&lt;25",B151&gt;1000000),1,IF((T151&gt;=S151),"2b","2a")))))</f>
        <v>2b</v>
      </c>
      <c r="Y151" s="22">
        <f>IF(X151="ND","ND",IF(S151="","",IF(input_values!K151&gt;0,input_values!K151,IF(OR(X151=1,X151=3),1,IF((V151&gt;250),5,7)))))</f>
        <v>5</v>
      </c>
      <c r="Z151" s="330" t="str">
        <f t="shared" si="25"/>
        <v/>
      </c>
      <c r="AA151" s="331">
        <f t="shared" si="20"/>
        <v>0</v>
      </c>
      <c r="AB151" s="27">
        <f t="shared" si="26"/>
        <v>3</v>
      </c>
      <c r="AC151" s="330" t="str">
        <f t="shared" si="27"/>
        <v/>
      </c>
      <c r="AD151" s="332">
        <f t="shared" si="21"/>
        <v>0</v>
      </c>
      <c r="AE151" s="333" t="str">
        <f t="shared" si="28"/>
        <v/>
      </c>
      <c r="AF151" s="333" t="str">
        <f t="shared" si="29"/>
        <v/>
      </c>
      <c r="AG151" s="561" t="str">
        <f t="shared" si="22"/>
        <v/>
      </c>
      <c r="AH151" s="561" t="str">
        <f t="shared" si="23"/>
        <v/>
      </c>
      <c r="AI151" s="334"/>
    </row>
    <row r="152" spans="1:35" outlineLevel="3" x14ac:dyDescent="0.2">
      <c r="A152" s="39">
        <v>4</v>
      </c>
      <c r="B152" s="23">
        <v>242990</v>
      </c>
      <c r="C152" s="23" t="s">
        <v>171</v>
      </c>
      <c r="D152" s="300">
        <f>Table22[[#This Row],[Level used for acute calculation]]</f>
        <v>0</v>
      </c>
      <c r="E152" s="302">
        <f>Table22[[#This Row],[MRL individual commodity]]</f>
        <v>0</v>
      </c>
      <c r="F152" s="451">
        <f>Table22[[#This Row],[Acute RA input value]]</f>
        <v>0</v>
      </c>
      <c r="G152" s="301">
        <f>Table22[[#This Row],[Acute RA label]]</f>
        <v>0</v>
      </c>
      <c r="H152" s="303">
        <f>Table22[[#This Row],[Acute RA IESTI new input value]]</f>
        <v>0</v>
      </c>
      <c r="I152" s="301">
        <f>Table22[[#This Row],[Acute RA IESTI new label]]</f>
        <v>0</v>
      </c>
      <c r="J152" s="504"/>
      <c r="K152" s="544">
        <f>Table22[[#This Row],[GAP under assessment]]</f>
        <v>0</v>
      </c>
      <c r="L152" s="304" t="str">
        <f>IF(input_values!$M152=0,"",input_values!$M152)</f>
        <v/>
      </c>
      <c r="M152" s="301" t="str">
        <f>IF(input_values!H152=0,"",input_values!H152)</f>
        <v/>
      </c>
      <c r="N152" s="304">
        <f>input_values!$K152</f>
        <v>0</v>
      </c>
      <c r="O152" s="309"/>
      <c r="P152" s="38"/>
      <c r="Q152" s="38"/>
      <c r="R152" s="335"/>
      <c r="S152" s="336" t="str">
        <f t="shared" si="24"/>
        <v/>
      </c>
      <c r="T152" s="305"/>
      <c r="U152" s="570"/>
      <c r="V152" s="305"/>
      <c r="W152" s="570"/>
      <c r="X152" s="611" t="str">
        <f>IF(V152="ND","ND",IF(S152="","",IF(OR(MID(C152,1,4)="milk",AND(MID(B152,1,2)="50",NOT(input_values!M152="Y")),AND(MID(B152,1,2)="40",NOT(input_values!M152="Y")),AND(MID(B152,1,2)="30",NOT(input_values!M152="Y"))),3,IF(OR(V152="&lt;25",B152&gt;1000000),1,IF((T152&gt;=S152),"2b","2a")))))</f>
        <v/>
      </c>
      <c r="Y152" s="38" t="str">
        <f>IF(X152="ND","ND",IF(S152="","",IF(input_values!K152&gt;0,input_values!K152,IF(OR(X152=1,X152=3),1,IF((V152&gt;250),5,7)))))</f>
        <v/>
      </c>
      <c r="Z152" s="335" t="str">
        <f t="shared" si="25"/>
        <v/>
      </c>
      <c r="AA152" s="311">
        <f t="shared" si="20"/>
        <v>0</v>
      </c>
      <c r="AB152" s="38" t="str">
        <f t="shared" si="26"/>
        <v/>
      </c>
      <c r="AC152" s="335" t="str">
        <f t="shared" si="27"/>
        <v/>
      </c>
      <c r="AD152" s="311">
        <f t="shared" si="21"/>
        <v>0</v>
      </c>
      <c r="AE152" s="344" t="str">
        <f t="shared" si="28"/>
        <v/>
      </c>
      <c r="AF152" s="344" t="str">
        <f t="shared" si="29"/>
        <v/>
      </c>
      <c r="AG152" s="561" t="str">
        <f t="shared" si="22"/>
        <v/>
      </c>
      <c r="AH152" s="561" t="str">
        <f t="shared" si="23"/>
        <v/>
      </c>
      <c r="AI152" s="313"/>
    </row>
    <row r="153" spans="1:35" outlineLevel="2" x14ac:dyDescent="0.2">
      <c r="A153" s="132">
        <v>3</v>
      </c>
      <c r="B153" s="3">
        <v>243000</v>
      </c>
      <c r="C153" s="3" t="s">
        <v>233</v>
      </c>
      <c r="D153" s="300">
        <f>Table22[[#This Row],[Level used for acute calculation]]</f>
        <v>4</v>
      </c>
      <c r="E153" s="302">
        <f>Table22[[#This Row],[MRL individual commodity]]</f>
        <v>0</v>
      </c>
      <c r="F153" s="451">
        <f>Table22[[#This Row],[Acute RA input value]]</f>
        <v>0</v>
      </c>
      <c r="G153" s="301">
        <f>Table22[[#This Row],[Acute RA label]]</f>
        <v>0</v>
      </c>
      <c r="H153" s="303">
        <f>Table22[[#This Row],[Acute RA IESTI new input value]]</f>
        <v>0</v>
      </c>
      <c r="I153" s="301">
        <f>Table22[[#This Row],[Acute RA IESTI new label]]</f>
        <v>0</v>
      </c>
      <c r="J153" s="504"/>
      <c r="K153" s="544">
        <f>Table22[[#This Row],[GAP under assessment]]</f>
        <v>0</v>
      </c>
      <c r="L153" s="304" t="str">
        <f>IF(input_values!$M153=0,"",input_values!$M153)</f>
        <v/>
      </c>
      <c r="M153" s="301" t="str">
        <f>IF(input_values!H153=0,"",input_values!H153)</f>
        <v/>
      </c>
      <c r="N153" s="304">
        <f>input_values!$K153</f>
        <v>0</v>
      </c>
      <c r="O153" s="309"/>
      <c r="P153" s="38"/>
      <c r="Q153" s="38"/>
      <c r="R153" s="335"/>
      <c r="S153" s="336" t="str">
        <f t="shared" si="24"/>
        <v/>
      </c>
      <c r="T153" s="342"/>
      <c r="U153" s="571"/>
      <c r="V153" s="342"/>
      <c r="W153" s="571"/>
      <c r="X153" s="611" t="str">
        <f>IF(V153="ND","ND",IF(S153="","",IF(OR(MID(C153,1,4)="milk",AND(MID(B153,1,2)="50",NOT(input_values!M153="Y")),AND(MID(B153,1,2)="40",NOT(input_values!M153="Y")),AND(MID(B153,1,2)="30",NOT(input_values!M153="Y"))),3,IF(OR(V153="&lt;25",B153&gt;1000000),1,IF((T153&gt;=S153),"2b","2a")))))</f>
        <v/>
      </c>
      <c r="Y153" s="38" t="str">
        <f>IF(X153="ND","ND",IF(S153="","",IF(input_values!K153&gt;0,input_values!K153,IF(OR(X153=1,X153=3),1,IF((V153&gt;250),5,7)))))</f>
        <v/>
      </c>
      <c r="Z153" s="335" t="str">
        <f t="shared" si="25"/>
        <v/>
      </c>
      <c r="AA153" s="311">
        <f t="shared" si="20"/>
        <v>0</v>
      </c>
      <c r="AB153" s="38" t="str">
        <f t="shared" si="26"/>
        <v/>
      </c>
      <c r="AC153" s="335" t="str">
        <f t="shared" si="27"/>
        <v/>
      </c>
      <c r="AD153" s="311">
        <f t="shared" si="21"/>
        <v>0</v>
      </c>
      <c r="AE153" s="344" t="str">
        <f t="shared" si="28"/>
        <v/>
      </c>
      <c r="AF153" s="344" t="str">
        <f t="shared" si="29"/>
        <v/>
      </c>
      <c r="AG153" s="561" t="str">
        <f t="shared" si="22"/>
        <v/>
      </c>
      <c r="AH153" s="561" t="str">
        <f t="shared" si="23"/>
        <v/>
      </c>
      <c r="AI153" s="313"/>
    </row>
    <row r="154" spans="1:35" outlineLevel="3" x14ac:dyDescent="0.2">
      <c r="A154" s="39">
        <v>4</v>
      </c>
      <c r="B154" s="23">
        <v>243010</v>
      </c>
      <c r="C154" s="23" t="s">
        <v>717</v>
      </c>
      <c r="D154" s="300">
        <f>Table22[[#This Row],[Level used for acute calculation]]</f>
        <v>4</v>
      </c>
      <c r="E154" s="302">
        <f>Table22[[#This Row],[MRL individual commodity]]</f>
        <v>0</v>
      </c>
      <c r="F154" s="451">
        <f>Table22[[#This Row],[Acute RA input value]]</f>
        <v>0</v>
      </c>
      <c r="G154" s="301" t="str">
        <f>Table22[[#This Row],[Acute RA label]]</f>
        <v/>
      </c>
      <c r="H154" s="303">
        <f>Table22[[#This Row],[Acute RA IESTI new input value]]</f>
        <v>0</v>
      </c>
      <c r="I154" s="301" t="str">
        <f>Table22[[#This Row],[Acute RA IESTI new label]]</f>
        <v/>
      </c>
      <c r="J154" s="504"/>
      <c r="K154" s="544">
        <f>Table22[[#This Row],[GAP under assessment]]</f>
        <v>0</v>
      </c>
      <c r="L154" s="304" t="str">
        <f>IF(input_values!$M154=0,"",input_values!$M154)</f>
        <v/>
      </c>
      <c r="M154" s="301" t="str">
        <f>IF(input_values!H154=0,"",input_values!H154)</f>
        <v/>
      </c>
      <c r="N154" s="304">
        <f>input_values!$K154</f>
        <v>0</v>
      </c>
      <c r="O154" s="326">
        <v>6.4269662921348312</v>
      </c>
      <c r="P154" s="22">
        <v>100</v>
      </c>
      <c r="Q154" s="22" t="s">
        <v>93</v>
      </c>
      <c r="R154" s="326">
        <v>17.8</v>
      </c>
      <c r="S154" s="328">
        <f t="shared" si="24"/>
        <v>114.4</v>
      </c>
      <c r="T154" s="328">
        <v>663</v>
      </c>
      <c r="U154" s="329" t="s">
        <v>286</v>
      </c>
      <c r="V154" s="328">
        <v>780</v>
      </c>
      <c r="W154" s="329" t="s">
        <v>286</v>
      </c>
      <c r="X154" s="1464" t="str">
        <f>IF(V154="ND","ND",IF(S154="","",IF(OR(MID(C154,1,4)="milk",AND(MID(B154,1,2)="50",NOT(input_values!M154="Y")),AND(MID(B154,1,2)="40",NOT(input_values!M154="Y")),AND(MID(B154,1,2)="30",NOT(input_values!M154="Y"))),3,IF(OR(V154="&lt;25",B154&gt;1000000),1,IF((T154&gt;=S154),"2b","2a")))))</f>
        <v>2b</v>
      </c>
      <c r="Y154" s="22">
        <f>IF(X154="ND","ND",IF(S154="","",IF(input_values!K154&gt;0,input_values!K154,IF(OR(X154=1,X154=3),1,IF((V154&gt;250),5,7)))))</f>
        <v>5</v>
      </c>
      <c r="Z154" s="330" t="str">
        <f t="shared" si="25"/>
        <v/>
      </c>
      <c r="AA154" s="331">
        <f t="shared" si="20"/>
        <v>0</v>
      </c>
      <c r="AB154" s="27">
        <f t="shared" si="26"/>
        <v>3</v>
      </c>
      <c r="AC154" s="330" t="str">
        <f t="shared" si="27"/>
        <v/>
      </c>
      <c r="AD154" s="332">
        <f t="shared" si="21"/>
        <v>0</v>
      </c>
      <c r="AE154" s="333" t="str">
        <f t="shared" si="28"/>
        <v/>
      </c>
      <c r="AF154" s="333" t="str">
        <f t="shared" si="29"/>
        <v/>
      </c>
      <c r="AG154" s="561" t="str">
        <f t="shared" si="22"/>
        <v/>
      </c>
      <c r="AH154" s="561" t="str">
        <f t="shared" si="23"/>
        <v/>
      </c>
      <c r="AI154" s="334"/>
    </row>
    <row r="155" spans="1:35" outlineLevel="3" x14ac:dyDescent="0.2">
      <c r="A155" s="39">
        <v>4</v>
      </c>
      <c r="B155" s="23">
        <v>243020</v>
      </c>
      <c r="C155" s="23" t="s">
        <v>718</v>
      </c>
      <c r="D155" s="300">
        <f>Table22[[#This Row],[Level used for acute calculation]]</f>
        <v>4</v>
      </c>
      <c r="E155" s="302">
        <f>Table22[[#This Row],[MRL individual commodity]]</f>
        <v>0</v>
      </c>
      <c r="F155" s="451">
        <f>Table22[[#This Row],[Acute RA input value]]</f>
        <v>0</v>
      </c>
      <c r="G155" s="301" t="str">
        <f>Table22[[#This Row],[Acute RA label]]</f>
        <v/>
      </c>
      <c r="H155" s="303">
        <f>Table22[[#This Row],[Acute RA IESTI new input value]]</f>
        <v>0</v>
      </c>
      <c r="I155" s="301" t="str">
        <f>Table22[[#This Row],[Acute RA IESTI new label]]</f>
        <v/>
      </c>
      <c r="J155" s="504"/>
      <c r="K155" s="544">
        <f>Table22[[#This Row],[GAP under assessment]]</f>
        <v>0</v>
      </c>
      <c r="L155" s="304" t="str">
        <f>IF(input_values!$M155=0,"",input_values!$M155)</f>
        <v/>
      </c>
      <c r="M155" s="301" t="str">
        <f>IF(input_values!H155=0,"",input_values!H155)</f>
        <v/>
      </c>
      <c r="N155" s="304">
        <f>input_values!$K155</f>
        <v>0</v>
      </c>
      <c r="O155" s="339">
        <v>8.8000000000000007</v>
      </c>
      <c r="P155" s="22">
        <v>100</v>
      </c>
      <c r="Q155" s="22" t="s">
        <v>256</v>
      </c>
      <c r="R155" s="326">
        <v>16.149999999999999</v>
      </c>
      <c r="S155" s="328">
        <f t="shared" si="24"/>
        <v>142.12</v>
      </c>
      <c r="T155" s="328">
        <v>672</v>
      </c>
      <c r="U155" s="329" t="s">
        <v>215</v>
      </c>
      <c r="V155" s="328">
        <v>1200</v>
      </c>
      <c r="W155" s="329" t="s">
        <v>215</v>
      </c>
      <c r="X155" s="1464" t="str">
        <f>IF(V155="ND","ND",IF(S155="","",IF(OR(MID(C155,1,4)="milk",AND(MID(B155,1,2)="50",NOT(input_values!M155="Y")),AND(MID(B155,1,2)="40",NOT(input_values!M155="Y")),AND(MID(B155,1,2)="30",NOT(input_values!M155="Y"))),3,IF(OR(V155="&lt;25",B155&gt;1000000),1,IF((T155&gt;=S155),"2b","2a")))))</f>
        <v>2b</v>
      </c>
      <c r="Y155" s="22">
        <f>IF(X155="ND","ND",IF(S155="","",IF(input_values!K155&gt;0,input_values!K155,IF(OR(X155=1,X155=3),1,IF((V155&gt;250),5,7)))))</f>
        <v>5</v>
      </c>
      <c r="Z155" s="330" t="str">
        <f t="shared" si="25"/>
        <v/>
      </c>
      <c r="AA155" s="331">
        <f t="shared" si="20"/>
        <v>0</v>
      </c>
      <c r="AB155" s="27">
        <f t="shared" si="26"/>
        <v>3</v>
      </c>
      <c r="AC155" s="330" t="str">
        <f t="shared" si="27"/>
        <v/>
      </c>
      <c r="AD155" s="332">
        <f t="shared" si="21"/>
        <v>0</v>
      </c>
      <c r="AE155" s="333" t="str">
        <f t="shared" si="28"/>
        <v/>
      </c>
      <c r="AF155" s="333" t="str">
        <f t="shared" si="29"/>
        <v/>
      </c>
      <c r="AG155" s="561" t="str">
        <f t="shared" si="22"/>
        <v/>
      </c>
      <c r="AH155" s="561" t="str">
        <f t="shared" si="23"/>
        <v/>
      </c>
      <c r="AI155" s="334"/>
    </row>
    <row r="156" spans="1:35" outlineLevel="3" x14ac:dyDescent="0.2">
      <c r="A156" s="39">
        <v>4</v>
      </c>
      <c r="B156" s="23">
        <v>243990</v>
      </c>
      <c r="C156" s="23" t="s">
        <v>172</v>
      </c>
      <c r="D156" s="300">
        <f>Table22[[#This Row],[Level used for acute calculation]]</f>
        <v>0</v>
      </c>
      <c r="E156" s="302">
        <f>Table22[[#This Row],[MRL individual commodity]]</f>
        <v>0</v>
      </c>
      <c r="F156" s="451">
        <f>Table22[[#This Row],[Acute RA input value]]</f>
        <v>0</v>
      </c>
      <c r="G156" s="301">
        <f>Table22[[#This Row],[Acute RA label]]</f>
        <v>0</v>
      </c>
      <c r="H156" s="303">
        <f>Table22[[#This Row],[Acute RA IESTI new input value]]</f>
        <v>0</v>
      </c>
      <c r="I156" s="301">
        <f>Table22[[#This Row],[Acute RA IESTI new label]]</f>
        <v>0</v>
      </c>
      <c r="J156" s="504"/>
      <c r="K156" s="544">
        <f>Table22[[#This Row],[GAP under assessment]]</f>
        <v>0</v>
      </c>
      <c r="L156" s="304" t="str">
        <f>IF(input_values!$M156=0,"",input_values!$M156)</f>
        <v/>
      </c>
      <c r="M156" s="301" t="str">
        <f>IF(input_values!H156=0,"",input_values!H156)</f>
        <v/>
      </c>
      <c r="N156" s="304">
        <f>input_values!$K156</f>
        <v>0</v>
      </c>
      <c r="O156" s="309"/>
      <c r="P156" s="38"/>
      <c r="Q156" s="38"/>
      <c r="R156" s="335"/>
      <c r="S156" s="336" t="str">
        <f t="shared" si="24"/>
        <v/>
      </c>
      <c r="T156" s="305"/>
      <c r="U156" s="570"/>
      <c r="V156" s="305"/>
      <c r="W156" s="570"/>
      <c r="X156" s="611" t="str">
        <f>IF(V156="ND","ND",IF(S156="","",IF(OR(MID(C156,1,4)="milk",AND(MID(B156,1,2)="50",NOT(input_values!M156="Y")),AND(MID(B156,1,2)="40",NOT(input_values!M156="Y")),AND(MID(B156,1,2)="30",NOT(input_values!M156="Y"))),3,IF(OR(V156="&lt;25",B156&gt;1000000),1,IF((T156&gt;=S156),"2b","2a")))))</f>
        <v/>
      </c>
      <c r="Y156" s="38" t="str">
        <f>IF(X156="ND","ND",IF(S156="","",IF(input_values!K156&gt;0,input_values!K156,IF(OR(X156=1,X156=3),1,IF((V156&gt;250),5,7)))))</f>
        <v/>
      </c>
      <c r="Z156" s="335" t="str">
        <f t="shared" si="25"/>
        <v/>
      </c>
      <c r="AA156" s="311">
        <f t="shared" si="20"/>
        <v>0</v>
      </c>
      <c r="AB156" s="38" t="str">
        <f t="shared" si="26"/>
        <v/>
      </c>
      <c r="AC156" s="335" t="str">
        <f t="shared" si="27"/>
        <v/>
      </c>
      <c r="AD156" s="311">
        <f t="shared" si="21"/>
        <v>0</v>
      </c>
      <c r="AE156" s="344" t="str">
        <f t="shared" si="28"/>
        <v/>
      </c>
      <c r="AF156" s="344" t="str">
        <f t="shared" si="29"/>
        <v/>
      </c>
      <c r="AG156" s="561" t="str">
        <f t="shared" si="22"/>
        <v/>
      </c>
      <c r="AH156" s="561" t="str">
        <f t="shared" si="23"/>
        <v/>
      </c>
      <c r="AI156" s="313"/>
    </row>
    <row r="157" spans="1:35" outlineLevel="2" x14ac:dyDescent="0.2">
      <c r="A157" s="132">
        <v>3</v>
      </c>
      <c r="B157" s="3">
        <v>244000</v>
      </c>
      <c r="C157" s="3" t="s">
        <v>719</v>
      </c>
      <c r="D157" s="300">
        <f>Table22[[#This Row],[Level used for acute calculation]]</f>
        <v>3</v>
      </c>
      <c r="E157" s="302">
        <f>Table22[[#This Row],[MRL individual commodity]]</f>
        <v>0</v>
      </c>
      <c r="F157" s="451">
        <f>Table22[[#This Row],[Acute RA input value]]</f>
        <v>0</v>
      </c>
      <c r="G157" s="301" t="str">
        <f>Table22[[#This Row],[Acute RA label]]</f>
        <v/>
      </c>
      <c r="H157" s="303">
        <f>Table22[[#This Row],[Acute RA IESTI new input value]]</f>
        <v>0</v>
      </c>
      <c r="I157" s="301" t="str">
        <f>Table22[[#This Row],[Acute RA IESTI new label]]</f>
        <v/>
      </c>
      <c r="J157" s="504"/>
      <c r="K157" s="544">
        <f>Table22[[#This Row],[GAP under assessment]]</f>
        <v>0</v>
      </c>
      <c r="L157" s="304" t="str">
        <f>IF(input_values!$M157=0,"",input_values!$M157)</f>
        <v/>
      </c>
      <c r="M157" s="301" t="str">
        <f>IF(input_values!H157=0,"",input_values!H157)</f>
        <v/>
      </c>
      <c r="N157" s="304">
        <f>input_values!$K157</f>
        <v>0</v>
      </c>
      <c r="O157" s="339">
        <v>10.4</v>
      </c>
      <c r="P157" s="22">
        <v>95</v>
      </c>
      <c r="Q157" s="22" t="s">
        <v>256</v>
      </c>
      <c r="R157" s="326">
        <v>16.149999999999999</v>
      </c>
      <c r="S157" s="328">
        <f t="shared" si="24"/>
        <v>167.95999999999998</v>
      </c>
      <c r="T157" s="328">
        <v>265.39999999999998</v>
      </c>
      <c r="U157" s="329" t="s">
        <v>40</v>
      </c>
      <c r="V157" s="328">
        <v>351</v>
      </c>
      <c r="W157" s="329" t="s">
        <v>40</v>
      </c>
      <c r="X157" s="1464" t="str">
        <f>IF(V157="ND","ND",IF(S157="","",IF(OR(MID(C157,1,4)="milk",AND(MID(B157,1,2)="50",NOT(input_values!M157="Y")),AND(MID(B157,1,2)="40",NOT(input_values!M157="Y")),AND(MID(B157,1,2)="30",NOT(input_values!M157="Y"))),3,IF(OR(V157="&lt;25",B157&gt;1000000),1,IF((T157&gt;=S157),"2b","2a")))))</f>
        <v>2b</v>
      </c>
      <c r="Y157" s="22">
        <f>IF(X157="ND","ND",IF(S157="","",IF(input_values!K157&gt;0,input_values!K157,IF(OR(X157=1,X157=3),1,IF((V157&gt;250),5,7)))))</f>
        <v>5</v>
      </c>
      <c r="Z157" s="330" t="str">
        <f t="shared" si="25"/>
        <v/>
      </c>
      <c r="AA157" s="331">
        <f t="shared" si="20"/>
        <v>0</v>
      </c>
      <c r="AB157" s="27">
        <f t="shared" si="26"/>
        <v>3</v>
      </c>
      <c r="AC157" s="330" t="str">
        <f t="shared" si="27"/>
        <v/>
      </c>
      <c r="AD157" s="332">
        <f t="shared" si="21"/>
        <v>0</v>
      </c>
      <c r="AE157" s="333" t="str">
        <f t="shared" si="28"/>
        <v/>
      </c>
      <c r="AF157" s="333" t="str">
        <f t="shared" si="29"/>
        <v/>
      </c>
      <c r="AG157" s="561" t="str">
        <f t="shared" si="22"/>
        <v/>
      </c>
      <c r="AH157" s="561" t="str">
        <f t="shared" si="23"/>
        <v/>
      </c>
      <c r="AI157" s="313"/>
    </row>
    <row r="158" spans="1:35" ht="24" outlineLevel="1" x14ac:dyDescent="0.2">
      <c r="A158" s="130">
        <v>2</v>
      </c>
      <c r="B158" s="131">
        <v>250000</v>
      </c>
      <c r="C158" s="131" t="s">
        <v>720</v>
      </c>
      <c r="D158" s="300">
        <f>Table22[[#This Row],[Level used for acute calculation]]</f>
        <v>4</v>
      </c>
      <c r="E158" s="302">
        <f>Table22[[#This Row],[MRL individual commodity]]</f>
        <v>0</v>
      </c>
      <c r="F158" s="451">
        <f>Table22[[#This Row],[Acute RA input value]]</f>
        <v>0</v>
      </c>
      <c r="G158" s="301">
        <f>Table22[[#This Row],[Acute RA label]]</f>
        <v>0</v>
      </c>
      <c r="H158" s="303">
        <f>Table22[[#This Row],[Acute RA IESTI new input value]]</f>
        <v>0</v>
      </c>
      <c r="I158" s="301">
        <f>Table22[[#This Row],[Acute RA IESTI new label]]</f>
        <v>0</v>
      </c>
      <c r="J158" s="504"/>
      <c r="K158" s="544">
        <f>Table22[[#This Row],[GAP under assessment]]</f>
        <v>0</v>
      </c>
      <c r="L158" s="304" t="str">
        <f>IF(input_values!$M158=0,"",input_values!$M158)</f>
        <v/>
      </c>
      <c r="M158" s="301" t="str">
        <f>IF(input_values!H158=0,"",input_values!H158)</f>
        <v/>
      </c>
      <c r="N158" s="304">
        <f>input_values!$K158</f>
        <v>0</v>
      </c>
      <c r="O158" s="309"/>
      <c r="P158" s="38"/>
      <c r="Q158" s="38"/>
      <c r="R158" s="335"/>
      <c r="S158" s="336" t="str">
        <f t="shared" si="24"/>
        <v/>
      </c>
      <c r="T158" s="315"/>
      <c r="U158" s="321"/>
      <c r="V158" s="315"/>
      <c r="W158" s="321"/>
      <c r="X158" s="611" t="str">
        <f>IF(V158="ND","ND",IF(S158="","",IF(OR(MID(C158,1,4)="milk",AND(MID(B158,1,2)="50",NOT(input_values!M158="Y")),AND(MID(B158,1,2)="40",NOT(input_values!M158="Y")),AND(MID(B158,1,2)="30",NOT(input_values!M158="Y"))),3,IF(OR(V158="&lt;25",B158&gt;1000000),1,IF((T158&gt;=S158),"2b","2a")))))</f>
        <v/>
      </c>
      <c r="Y158" s="38" t="str">
        <f>IF(X158="ND","ND",IF(S158="","",IF(input_values!K158&gt;0,input_values!K158,IF(OR(X158=1,X158=3),1,IF((V158&gt;250),5,7)))))</f>
        <v/>
      </c>
      <c r="Z158" s="335" t="str">
        <f t="shared" si="25"/>
        <v/>
      </c>
      <c r="AA158" s="311">
        <f t="shared" si="20"/>
        <v>0</v>
      </c>
      <c r="AB158" s="38" t="str">
        <f t="shared" si="26"/>
        <v/>
      </c>
      <c r="AC158" s="335" t="str">
        <f t="shared" si="27"/>
        <v/>
      </c>
      <c r="AD158" s="311">
        <f t="shared" si="21"/>
        <v>0</v>
      </c>
      <c r="AE158" s="344" t="str">
        <f t="shared" si="28"/>
        <v/>
      </c>
      <c r="AF158" s="344" t="str">
        <f t="shared" si="29"/>
        <v/>
      </c>
      <c r="AG158" s="561" t="str">
        <f t="shared" si="22"/>
        <v/>
      </c>
      <c r="AH158" s="561" t="str">
        <f t="shared" si="23"/>
        <v/>
      </c>
      <c r="AI158" s="313"/>
    </row>
    <row r="159" spans="1:35" ht="24" outlineLevel="2" x14ac:dyDescent="0.2">
      <c r="A159" s="132">
        <v>3</v>
      </c>
      <c r="B159" s="3">
        <v>251000</v>
      </c>
      <c r="C159" s="3" t="s">
        <v>295</v>
      </c>
      <c r="D159" s="300">
        <f>Table22[[#This Row],[Level used for acute calculation]]</f>
        <v>4</v>
      </c>
      <c r="E159" s="302">
        <f>Table22[[#This Row],[MRL individual commodity]]</f>
        <v>0</v>
      </c>
      <c r="F159" s="451">
        <f>Table22[[#This Row],[Acute RA input value]]</f>
        <v>0</v>
      </c>
      <c r="G159" s="301">
        <f>Table22[[#This Row],[Acute RA label]]</f>
        <v>0</v>
      </c>
      <c r="H159" s="303">
        <f>Table22[[#This Row],[Acute RA IESTI new input value]]</f>
        <v>0</v>
      </c>
      <c r="I159" s="301">
        <f>Table22[[#This Row],[Acute RA IESTI new label]]</f>
        <v>0</v>
      </c>
      <c r="J159" s="504"/>
      <c r="K159" s="544">
        <f>Table22[[#This Row],[GAP under assessment]]</f>
        <v>0</v>
      </c>
      <c r="L159" s="304" t="str">
        <f>IF(input_values!$M159=0,"",input_values!$M159)</f>
        <v/>
      </c>
      <c r="M159" s="301" t="str">
        <f>IF(input_values!H159=0,"",input_values!H159)</f>
        <v/>
      </c>
      <c r="N159" s="304">
        <f>input_values!$K159</f>
        <v>0</v>
      </c>
      <c r="O159" s="309"/>
      <c r="P159" s="38"/>
      <c r="Q159" s="38"/>
      <c r="R159" s="335"/>
      <c r="S159" s="336" t="str">
        <f t="shared" si="24"/>
        <v/>
      </c>
      <c r="T159" s="342"/>
      <c r="U159" s="571"/>
      <c r="V159" s="342"/>
      <c r="W159" s="571"/>
      <c r="X159" s="611" t="str">
        <f>IF(V159="ND","ND",IF(S159="","",IF(OR(MID(C159,1,4)="milk",AND(MID(B159,1,2)="50",NOT(input_values!M159="Y")),AND(MID(B159,1,2)="40",NOT(input_values!M159="Y")),AND(MID(B159,1,2)="30",NOT(input_values!M159="Y"))),3,IF(OR(V159="&lt;25",B159&gt;1000000),1,IF((T159&gt;=S159),"2b","2a")))))</f>
        <v/>
      </c>
      <c r="Y159" s="38" t="str">
        <f>IF(X159="ND","ND",IF(S159="","",IF(input_values!K159&gt;0,input_values!K159,IF(OR(X159=1,X159=3),1,IF((V159&gt;250),5,7)))))</f>
        <v/>
      </c>
      <c r="Z159" s="335" t="str">
        <f t="shared" si="25"/>
        <v/>
      </c>
      <c r="AA159" s="311">
        <f t="shared" si="20"/>
        <v>0</v>
      </c>
      <c r="AB159" s="38" t="str">
        <f t="shared" si="26"/>
        <v/>
      </c>
      <c r="AC159" s="335" t="str">
        <f t="shared" si="27"/>
        <v/>
      </c>
      <c r="AD159" s="311">
        <f t="shared" si="21"/>
        <v>0</v>
      </c>
      <c r="AE159" s="344" t="str">
        <f t="shared" si="28"/>
        <v/>
      </c>
      <c r="AF159" s="344" t="str">
        <f t="shared" si="29"/>
        <v/>
      </c>
      <c r="AG159" s="561" t="str">
        <f t="shared" si="22"/>
        <v/>
      </c>
      <c r="AH159" s="561" t="str">
        <f t="shared" si="23"/>
        <v/>
      </c>
      <c r="AI159" s="313"/>
    </row>
    <row r="160" spans="1:35" outlineLevel="3" x14ac:dyDescent="0.2">
      <c r="A160" s="39">
        <v>4</v>
      </c>
      <c r="B160" s="23">
        <v>251010</v>
      </c>
      <c r="C160" s="23" t="s">
        <v>721</v>
      </c>
      <c r="D160" s="300">
        <f>Table22[[#This Row],[Level used for acute calculation]]</f>
        <v>4</v>
      </c>
      <c r="E160" s="302">
        <f>Table22[[#This Row],[MRL individual commodity]]</f>
        <v>0</v>
      </c>
      <c r="F160" s="451">
        <f>Table22[[#This Row],[Acute RA input value]]</f>
        <v>0</v>
      </c>
      <c r="G160" s="301" t="str">
        <f>Table22[[#This Row],[Acute RA label]]</f>
        <v/>
      </c>
      <c r="H160" s="303">
        <f>Table22[[#This Row],[Acute RA IESTI new input value]]</f>
        <v>0</v>
      </c>
      <c r="I160" s="301" t="str">
        <f>Table22[[#This Row],[Acute RA IESTI new label]]</f>
        <v/>
      </c>
      <c r="J160" s="504"/>
      <c r="K160" s="544">
        <f>Table22[[#This Row],[GAP under assessment]]</f>
        <v>0</v>
      </c>
      <c r="L160" s="304" t="str">
        <f>IF(input_values!$M160=0,"",input_values!$M160)</f>
        <v/>
      </c>
      <c r="M160" s="301" t="str">
        <f>IF(input_values!H160=0,"",input_values!H160)</f>
        <v/>
      </c>
      <c r="N160" s="304">
        <f>input_values!$K160</f>
        <v>0</v>
      </c>
      <c r="O160" s="326">
        <v>2.8089887640449436</v>
      </c>
      <c r="P160" s="22">
        <v>100</v>
      </c>
      <c r="Q160" s="22" t="s">
        <v>93</v>
      </c>
      <c r="R160" s="326">
        <v>17.8</v>
      </c>
      <c r="S160" s="328">
        <f t="shared" si="24"/>
        <v>50</v>
      </c>
      <c r="T160" s="338" t="s">
        <v>617</v>
      </c>
      <c r="U160" s="129" t="s">
        <v>215</v>
      </c>
      <c r="V160" s="338" t="s">
        <v>617</v>
      </c>
      <c r="W160" s="129" t="s">
        <v>215</v>
      </c>
      <c r="X160" s="1464">
        <f>IF(V160="ND","ND",IF(S160="","",IF(OR(MID(C160,1,4)="milk",AND(MID(B160,1,2)="50",NOT(input_values!M160="Y")),AND(MID(B160,1,2)="40",NOT(input_values!M160="Y")),AND(MID(B160,1,2)="30",NOT(input_values!M160="Y"))),3,IF(OR(V160="&lt;25",B160&gt;1000000),1,IF((T160&gt;=S160),"2b","2a")))))</f>
        <v>1</v>
      </c>
      <c r="Y160" s="22">
        <f>IF(X160="ND","ND",IF(S160="","",IF(input_values!K160&gt;0,input_values!K160,IF(OR(X160=1,X160=3),1,IF((V160&gt;250),5,7)))))</f>
        <v>1</v>
      </c>
      <c r="Z160" s="330" t="str">
        <f t="shared" si="25"/>
        <v/>
      </c>
      <c r="AA160" s="331">
        <f t="shared" si="20"/>
        <v>0</v>
      </c>
      <c r="AB160" s="27">
        <f t="shared" si="26"/>
        <v>1</v>
      </c>
      <c r="AC160" s="330" t="str">
        <f t="shared" si="27"/>
        <v/>
      </c>
      <c r="AD160" s="332">
        <f t="shared" si="21"/>
        <v>0</v>
      </c>
      <c r="AE160" s="333" t="str">
        <f t="shared" si="28"/>
        <v/>
      </c>
      <c r="AF160" s="333" t="str">
        <f t="shared" si="29"/>
        <v/>
      </c>
      <c r="AG160" s="561" t="str">
        <f t="shared" si="22"/>
        <v/>
      </c>
      <c r="AH160" s="561" t="str">
        <f t="shared" si="23"/>
        <v/>
      </c>
      <c r="AI160" s="313"/>
    </row>
    <row r="161" spans="1:35" outlineLevel="3" x14ac:dyDescent="0.2">
      <c r="A161" s="39">
        <v>4</v>
      </c>
      <c r="B161" s="23">
        <v>251020</v>
      </c>
      <c r="C161" s="23" t="s">
        <v>722</v>
      </c>
      <c r="D161" s="300">
        <f>Table22[[#This Row],[Level used for acute calculation]]</f>
        <v>4</v>
      </c>
      <c r="E161" s="302">
        <f>Table22[[#This Row],[MRL individual commodity]]</f>
        <v>0</v>
      </c>
      <c r="F161" s="451">
        <f>Table22[[#This Row],[Acute RA input value]]</f>
        <v>0</v>
      </c>
      <c r="G161" s="301" t="str">
        <f>Table22[[#This Row],[Acute RA label]]</f>
        <v/>
      </c>
      <c r="H161" s="303">
        <f>Table22[[#This Row],[Acute RA IESTI new input value]]</f>
        <v>0</v>
      </c>
      <c r="I161" s="301" t="str">
        <f>Table22[[#This Row],[Acute RA IESTI new label]]</f>
        <v/>
      </c>
      <c r="J161" s="504"/>
      <c r="K161" s="544">
        <f>Table22[[#This Row],[GAP under assessment]]</f>
        <v>0</v>
      </c>
      <c r="L161" s="304" t="str">
        <f>IF(input_values!$M161=0,"",input_values!$M161)</f>
        <v/>
      </c>
      <c r="M161" s="301" t="str">
        <f>IF(input_values!H161=0,"",input_values!H161)</f>
        <v/>
      </c>
      <c r="N161" s="304">
        <f>input_values!$K161</f>
        <v>0</v>
      </c>
      <c r="O161" s="326">
        <v>7.6141304347826093</v>
      </c>
      <c r="P161" s="22">
        <v>97.5</v>
      </c>
      <c r="Q161" s="22" t="s">
        <v>259</v>
      </c>
      <c r="R161" s="326">
        <v>18.399999999999999</v>
      </c>
      <c r="S161" s="328">
        <f t="shared" si="24"/>
        <v>140.1</v>
      </c>
      <c r="T161" s="328">
        <v>289.92</v>
      </c>
      <c r="U161" s="329" t="s">
        <v>215</v>
      </c>
      <c r="V161" s="328">
        <v>302</v>
      </c>
      <c r="W161" s="329" t="s">
        <v>215</v>
      </c>
      <c r="X161" s="1464" t="str">
        <f>IF(V161="ND","ND",IF(S161="","",IF(OR(MID(C161,1,4)="milk",AND(MID(B161,1,2)="50",NOT(input_values!M161="Y")),AND(MID(B161,1,2)="40",NOT(input_values!M161="Y")),AND(MID(B161,1,2)="30",NOT(input_values!M161="Y"))),3,IF(OR(V161="&lt;25",B161&gt;1000000),1,IF((T161&gt;=S161),"2b","2a")))))</f>
        <v>2b</v>
      </c>
      <c r="Y161" s="22">
        <f>IF(X161="ND","ND",IF(S161="","",IF(input_values!K161&gt;0,input_values!K161,IF(OR(X161=1,X161=3),1,IF((V161&gt;250),5,7)))))</f>
        <v>5</v>
      </c>
      <c r="Z161" s="330" t="str">
        <f t="shared" si="25"/>
        <v/>
      </c>
      <c r="AA161" s="331">
        <f t="shared" si="20"/>
        <v>0</v>
      </c>
      <c r="AB161" s="27">
        <f t="shared" si="26"/>
        <v>3</v>
      </c>
      <c r="AC161" s="330" t="str">
        <f t="shared" si="27"/>
        <v/>
      </c>
      <c r="AD161" s="332">
        <f t="shared" si="21"/>
        <v>0</v>
      </c>
      <c r="AE161" s="333" t="str">
        <f t="shared" si="28"/>
        <v/>
      </c>
      <c r="AF161" s="333" t="str">
        <f t="shared" si="29"/>
        <v/>
      </c>
      <c r="AG161" s="561" t="str">
        <f t="shared" si="22"/>
        <v/>
      </c>
      <c r="AH161" s="561" t="str">
        <f t="shared" si="23"/>
        <v/>
      </c>
      <c r="AI161" s="313"/>
    </row>
    <row r="162" spans="1:35" ht="24" outlineLevel="3" x14ac:dyDescent="0.2">
      <c r="A162" s="39">
        <v>4</v>
      </c>
      <c r="B162" s="23">
        <v>251030</v>
      </c>
      <c r="C162" s="23" t="s">
        <v>723</v>
      </c>
      <c r="D162" s="300">
        <f>Table22[[#This Row],[Level used for acute calculation]]</f>
        <v>4</v>
      </c>
      <c r="E162" s="302">
        <f>Table22[[#This Row],[MRL individual commodity]]</f>
        <v>0</v>
      </c>
      <c r="F162" s="451">
        <f>Table22[[#This Row],[Acute RA input value]]</f>
        <v>0</v>
      </c>
      <c r="G162" s="301" t="str">
        <f>Table22[[#This Row],[Acute RA label]]</f>
        <v/>
      </c>
      <c r="H162" s="303">
        <f>Table22[[#This Row],[Acute RA IESTI new input value]]</f>
        <v>0</v>
      </c>
      <c r="I162" s="301" t="str">
        <f>Table22[[#This Row],[Acute RA IESTI new label]]</f>
        <v/>
      </c>
      <c r="J162" s="504"/>
      <c r="K162" s="544">
        <f>Table22[[#This Row],[GAP under assessment]]</f>
        <v>0</v>
      </c>
      <c r="L162" s="304" t="str">
        <f>IF(input_values!$M162=0,"",input_values!$M162)</f>
        <v/>
      </c>
      <c r="M162" s="301" t="str">
        <f>IF(input_values!H162=0,"",input_values!H162)</f>
        <v/>
      </c>
      <c r="N162" s="304">
        <f>input_values!$K162</f>
        <v>0</v>
      </c>
      <c r="O162" s="326">
        <v>8.0337078651685392</v>
      </c>
      <c r="P162" s="22">
        <v>100</v>
      </c>
      <c r="Q162" s="22" t="s">
        <v>93</v>
      </c>
      <c r="R162" s="326">
        <v>17.8</v>
      </c>
      <c r="S162" s="328">
        <f t="shared" si="24"/>
        <v>143</v>
      </c>
      <c r="T162" s="328">
        <v>439.9</v>
      </c>
      <c r="U162" s="329" t="s">
        <v>286</v>
      </c>
      <c r="V162" s="328">
        <v>530</v>
      </c>
      <c r="W162" s="329" t="s">
        <v>286</v>
      </c>
      <c r="X162" s="1464" t="str">
        <f>IF(V162="ND","ND",IF(S162="","",IF(OR(MID(C162,1,4)="milk",AND(MID(B162,1,2)="50",NOT(input_values!M162="Y")),AND(MID(B162,1,2)="40",NOT(input_values!M162="Y")),AND(MID(B162,1,2)="30",NOT(input_values!M162="Y"))),3,IF(OR(V162="&lt;25",B162&gt;1000000),1,IF((T162&gt;=S162),"2b","2a")))))</f>
        <v>2b</v>
      </c>
      <c r="Y162" s="22">
        <f>IF(X162="ND","ND",IF(S162="","",IF(input_values!K162&gt;0,input_values!K162,IF(OR(X162=1,X162=3),1,IF((V162&gt;250),5,7)))))</f>
        <v>5</v>
      </c>
      <c r="Z162" s="330" t="str">
        <f t="shared" si="25"/>
        <v/>
      </c>
      <c r="AA162" s="331">
        <f t="shared" si="20"/>
        <v>0</v>
      </c>
      <c r="AB162" s="27">
        <f t="shared" si="26"/>
        <v>3</v>
      </c>
      <c r="AC162" s="330" t="str">
        <f t="shared" si="27"/>
        <v/>
      </c>
      <c r="AD162" s="332">
        <f t="shared" si="21"/>
        <v>0</v>
      </c>
      <c r="AE162" s="333" t="str">
        <f t="shared" si="28"/>
        <v/>
      </c>
      <c r="AF162" s="333" t="str">
        <f t="shared" si="29"/>
        <v/>
      </c>
      <c r="AG162" s="561" t="str">
        <f t="shared" si="22"/>
        <v/>
      </c>
      <c r="AH162" s="561" t="str">
        <f t="shared" si="23"/>
        <v/>
      </c>
      <c r="AI162" s="334"/>
    </row>
    <row r="163" spans="1:35" ht="24" outlineLevel="3" x14ac:dyDescent="0.2">
      <c r="A163" s="39">
        <v>4</v>
      </c>
      <c r="B163" s="26">
        <v>251040</v>
      </c>
      <c r="C163" s="23" t="s">
        <v>724</v>
      </c>
      <c r="D163" s="300">
        <f>Table22[[#This Row],[Level used for acute calculation]]</f>
        <v>4</v>
      </c>
      <c r="E163" s="302">
        <f>Table22[[#This Row],[MRL individual commodity]]</f>
        <v>0</v>
      </c>
      <c r="F163" s="451">
        <f>Table22[[#This Row],[Acute RA input value]]</f>
        <v>0</v>
      </c>
      <c r="G163" s="301" t="str">
        <f>Table22[[#This Row],[Acute RA label]]</f>
        <v/>
      </c>
      <c r="H163" s="303">
        <f>Table22[[#This Row],[Acute RA IESTI new input value]]</f>
        <v>0</v>
      </c>
      <c r="I163" s="301" t="str">
        <f>Table22[[#This Row],[Acute RA IESTI new label]]</f>
        <v/>
      </c>
      <c r="J163" s="504"/>
      <c r="K163" s="544">
        <f>Table22[[#This Row],[GAP under assessment]]</f>
        <v>0</v>
      </c>
      <c r="L163" s="304" t="str">
        <f>IF(input_values!$M163=0,"",input_values!$M163)</f>
        <v/>
      </c>
      <c r="M163" s="301" t="str">
        <f>IF(input_values!H163=0,"",input_values!H163)</f>
        <v/>
      </c>
      <c r="N163" s="304">
        <f>input_values!$K163</f>
        <v>0</v>
      </c>
      <c r="O163" s="326">
        <v>0.29268292682926828</v>
      </c>
      <c r="P163" s="22">
        <v>97.5</v>
      </c>
      <c r="Q163" s="22" t="s">
        <v>92</v>
      </c>
      <c r="R163" s="326">
        <v>20.5</v>
      </c>
      <c r="S163" s="328">
        <f t="shared" si="24"/>
        <v>6</v>
      </c>
      <c r="T163" s="338" t="s">
        <v>617</v>
      </c>
      <c r="U163" s="129" t="s">
        <v>215</v>
      </c>
      <c r="V163" s="338" t="s">
        <v>617</v>
      </c>
      <c r="W163" s="129" t="s">
        <v>215</v>
      </c>
      <c r="X163" s="1464">
        <f>IF(V163="ND","ND",IF(S163="","",IF(OR(MID(C163,1,4)="milk",AND(MID(B163,1,2)="50",NOT(input_values!M163="Y")),AND(MID(B163,1,2)="40",NOT(input_values!M163="Y")),AND(MID(B163,1,2)="30",NOT(input_values!M163="Y"))),3,IF(OR(V163="&lt;25",B163&gt;1000000),1,IF((T163&gt;=S163),"2b","2a")))))</f>
        <v>1</v>
      </c>
      <c r="Y163" s="22">
        <f>IF(X163="ND","ND",IF(S163="","",IF(input_values!K163&gt;0,input_values!K163,IF(OR(X163=1,X163=3),1,IF((V163&gt;250),5,7)))))</f>
        <v>1</v>
      </c>
      <c r="Z163" s="330" t="str">
        <f t="shared" si="25"/>
        <v/>
      </c>
      <c r="AA163" s="331">
        <f t="shared" si="20"/>
        <v>0</v>
      </c>
      <c r="AB163" s="27">
        <f t="shared" si="26"/>
        <v>1</v>
      </c>
      <c r="AC163" s="330" t="str">
        <f t="shared" si="27"/>
        <v/>
      </c>
      <c r="AD163" s="332">
        <f t="shared" si="21"/>
        <v>0</v>
      </c>
      <c r="AE163" s="333" t="str">
        <f t="shared" si="28"/>
        <v/>
      </c>
      <c r="AF163" s="333" t="str">
        <f t="shared" si="29"/>
        <v/>
      </c>
      <c r="AG163" s="561" t="str">
        <f t="shared" si="22"/>
        <v/>
      </c>
      <c r="AH163" s="561" t="str">
        <f t="shared" si="23"/>
        <v/>
      </c>
      <c r="AI163" s="313"/>
    </row>
    <row r="164" spans="1:35" outlineLevel="3" x14ac:dyDescent="0.2">
      <c r="A164" s="39">
        <v>4</v>
      </c>
      <c r="B164" s="26">
        <v>251050</v>
      </c>
      <c r="C164" s="23" t="s">
        <v>127</v>
      </c>
      <c r="D164" s="300">
        <f>Table22[[#This Row],[Level used for acute calculation]]</f>
        <v>4</v>
      </c>
      <c r="E164" s="302">
        <f>Table22[[#This Row],[MRL individual commodity]]</f>
        <v>0</v>
      </c>
      <c r="F164" s="451">
        <f>Table22[[#This Row],[Acute RA input value]]</f>
        <v>0</v>
      </c>
      <c r="G164" s="301" t="str">
        <f>Table22[[#This Row],[Acute RA label]]</f>
        <v/>
      </c>
      <c r="H164" s="303">
        <f>Table22[[#This Row],[Acute RA IESTI new input value]]</f>
        <v>0</v>
      </c>
      <c r="I164" s="301" t="str">
        <f>Table22[[#This Row],[Acute RA IESTI new label]]</f>
        <v/>
      </c>
      <c r="J164" s="504"/>
      <c r="K164" s="544">
        <f>Table22[[#This Row],[GAP under assessment]]</f>
        <v>0</v>
      </c>
      <c r="L164" s="304" t="str">
        <f>IF(input_values!$M164=0,"",input_values!$M164)</f>
        <v/>
      </c>
      <c r="M164" s="301" t="str">
        <f>IF(input_values!H164=0,"",input_values!H164)</f>
        <v/>
      </c>
      <c r="N164" s="304">
        <f>input_values!$K164</f>
        <v>0</v>
      </c>
      <c r="O164" s="338" t="s">
        <v>618</v>
      </c>
      <c r="P164" s="22"/>
      <c r="Q164" s="22"/>
      <c r="R164" s="330"/>
      <c r="S164" s="31" t="str">
        <f t="shared" si="24"/>
        <v>ND</v>
      </c>
      <c r="T164" s="338" t="s">
        <v>618</v>
      </c>
      <c r="U164" s="329"/>
      <c r="V164" s="338" t="s">
        <v>618</v>
      </c>
      <c r="W164" s="329"/>
      <c r="X164" s="460" t="str">
        <f>IF(V164="ND","ND",IF(S164="","",IF(OR(MID(C164,1,4)="milk",AND(MID(B164,1,2)="50",NOT(input_values!M164="Y")),AND(MID(B164,1,2)="40",NOT(input_values!M164="Y")),AND(MID(B164,1,2)="30",NOT(input_values!M164="Y"))),3,IF(OR(V164="&lt;25",B164&gt;1000000),1,IF((T164&gt;=S164),"2b","2a")))))</f>
        <v>ND</v>
      </c>
      <c r="Y164" s="22" t="str">
        <f>IF(X164="ND","ND",IF(S164="","",IF(input_values!K164&gt;0,input_values!K164,IF(OR(X164=1,X164=3),1,IF((V164&gt;250),5,7)))))</f>
        <v>ND</v>
      </c>
      <c r="Z164" s="340" t="str">
        <f t="shared" si="25"/>
        <v/>
      </c>
      <c r="AA164" s="332">
        <f t="shared" si="20"/>
        <v>0</v>
      </c>
      <c r="AB164" s="27" t="str">
        <f t="shared" si="26"/>
        <v>ND</v>
      </c>
      <c r="AC164" s="340" t="str">
        <f t="shared" si="27"/>
        <v/>
      </c>
      <c r="AD164" s="332">
        <f t="shared" si="21"/>
        <v>0</v>
      </c>
      <c r="AE164" s="37" t="str">
        <f t="shared" si="28"/>
        <v/>
      </c>
      <c r="AF164" s="37" t="str">
        <f t="shared" si="29"/>
        <v/>
      </c>
      <c r="AG164" s="561" t="str">
        <f t="shared" si="22"/>
        <v/>
      </c>
      <c r="AH164" s="561" t="str">
        <f t="shared" si="23"/>
        <v/>
      </c>
      <c r="AI164" s="313"/>
    </row>
    <row r="165" spans="1:35" outlineLevel="3" x14ac:dyDescent="0.2">
      <c r="A165" s="39">
        <v>4</v>
      </c>
      <c r="B165" s="26">
        <v>251060</v>
      </c>
      <c r="C165" s="23" t="s">
        <v>725</v>
      </c>
      <c r="D165" s="300">
        <f>Table22[[#This Row],[Level used for acute calculation]]</f>
        <v>4</v>
      </c>
      <c r="E165" s="302">
        <f>Table22[[#This Row],[MRL individual commodity]]</f>
        <v>0</v>
      </c>
      <c r="F165" s="451">
        <f>Table22[[#This Row],[Acute RA input value]]</f>
        <v>0</v>
      </c>
      <c r="G165" s="301" t="str">
        <f>Table22[[#This Row],[Acute RA label]]</f>
        <v/>
      </c>
      <c r="H165" s="303">
        <f>Table22[[#This Row],[Acute RA IESTI new input value]]</f>
        <v>0</v>
      </c>
      <c r="I165" s="301" t="str">
        <f>Table22[[#This Row],[Acute RA IESTI new label]]</f>
        <v/>
      </c>
      <c r="J165" s="504"/>
      <c r="K165" s="544">
        <f>Table22[[#This Row],[GAP under assessment]]</f>
        <v>0</v>
      </c>
      <c r="L165" s="304" t="str">
        <f>IF(input_values!$M165=0,"",input_values!$M165)</f>
        <v/>
      </c>
      <c r="M165" s="301" t="str">
        <f>IF(input_values!H165=0,"",input_values!H165)</f>
        <v/>
      </c>
      <c r="N165" s="304">
        <f>input_values!$K165</f>
        <v>0</v>
      </c>
      <c r="O165" s="339">
        <v>2.69</v>
      </c>
      <c r="P165" s="22">
        <v>100</v>
      </c>
      <c r="Q165" s="22" t="s">
        <v>256</v>
      </c>
      <c r="R165" s="326">
        <v>16.149999999999999</v>
      </c>
      <c r="S165" s="328">
        <f t="shared" si="24"/>
        <v>43.443499999999993</v>
      </c>
      <c r="T165" s="338" t="s">
        <v>617</v>
      </c>
      <c r="U165" s="129" t="s">
        <v>215</v>
      </c>
      <c r="V165" s="338" t="s">
        <v>617</v>
      </c>
      <c r="W165" s="129" t="s">
        <v>215</v>
      </c>
      <c r="X165" s="460">
        <f>IF(V165="ND","ND",IF(S165="","",IF(OR(MID(C165,1,4)="milk",AND(MID(B165,1,2)="50",NOT(input_values!M165="Y")),AND(MID(B165,1,2)="40",NOT(input_values!M165="Y")),AND(MID(B165,1,2)="30",NOT(input_values!M165="Y"))),3,IF(OR(V165="&lt;25",B165&gt;1000000),1,IF((T165&gt;=S165),"2b","2a")))))</f>
        <v>1</v>
      </c>
      <c r="Y165" s="22">
        <f>IF(X165="ND","ND",IF(S165="","",IF(input_values!K165&gt;0,input_values!K165,IF(OR(X165=1,X165=3),1,IF((V165&gt;250),5,7)))))</f>
        <v>1</v>
      </c>
      <c r="Z165" s="345" t="str">
        <f t="shared" si="25"/>
        <v/>
      </c>
      <c r="AA165" s="332">
        <f t="shared" si="20"/>
        <v>0</v>
      </c>
      <c r="AB165" s="27">
        <f t="shared" si="26"/>
        <v>1</v>
      </c>
      <c r="AC165" s="345" t="str">
        <f t="shared" si="27"/>
        <v/>
      </c>
      <c r="AD165" s="332">
        <f t="shared" si="21"/>
        <v>0</v>
      </c>
      <c r="AE165" s="40" t="str">
        <f t="shared" si="28"/>
        <v/>
      </c>
      <c r="AF165" s="40" t="str">
        <f t="shared" si="29"/>
        <v/>
      </c>
      <c r="AG165" s="561" t="str">
        <f t="shared" si="22"/>
        <v/>
      </c>
      <c r="AH165" s="561" t="str">
        <f t="shared" si="23"/>
        <v/>
      </c>
      <c r="AI165" s="313"/>
    </row>
    <row r="166" spans="1:35" outlineLevel="3" x14ac:dyDescent="0.2">
      <c r="A166" s="39">
        <v>4</v>
      </c>
      <c r="B166" s="26">
        <v>251070</v>
      </c>
      <c r="C166" s="23" t="s">
        <v>726</v>
      </c>
      <c r="D166" s="300">
        <f>Table22[[#This Row],[Level used for acute calculation]]</f>
        <v>4</v>
      </c>
      <c r="E166" s="302">
        <f>Table22[[#This Row],[MRL individual commodity]]</f>
        <v>0</v>
      </c>
      <c r="F166" s="451">
        <f>Table22[[#This Row],[Acute RA input value]]</f>
        <v>0</v>
      </c>
      <c r="G166" s="301" t="str">
        <f>Table22[[#This Row],[Acute RA label]]</f>
        <v/>
      </c>
      <c r="H166" s="303">
        <f>Table22[[#This Row],[Acute RA IESTI new input value]]</f>
        <v>0</v>
      </c>
      <c r="I166" s="301" t="str">
        <f>Table22[[#This Row],[Acute RA IESTI new label]]</f>
        <v/>
      </c>
      <c r="J166" s="504"/>
      <c r="K166" s="544">
        <f>Table22[[#This Row],[GAP under assessment]]</f>
        <v>0</v>
      </c>
      <c r="L166" s="304" t="str">
        <f>IF(input_values!$M166=0,"",input_values!$M166)</f>
        <v/>
      </c>
      <c r="M166" s="301" t="str">
        <f>IF(input_values!H166=0,"",input_values!H166)</f>
        <v/>
      </c>
      <c r="N166" s="304">
        <f>input_values!$K166</f>
        <v>0</v>
      </c>
      <c r="O166" s="338" t="s">
        <v>618</v>
      </c>
      <c r="P166" s="22"/>
      <c r="Q166" s="22"/>
      <c r="R166" s="330"/>
      <c r="S166" s="31" t="str">
        <f t="shared" si="24"/>
        <v>ND</v>
      </c>
      <c r="T166" s="338">
        <v>250</v>
      </c>
      <c r="U166" s="129" t="s">
        <v>215</v>
      </c>
      <c r="V166" s="338">
        <v>250</v>
      </c>
      <c r="W166" s="129" t="s">
        <v>215</v>
      </c>
      <c r="X166" s="460" t="str">
        <f>IF(V166="ND","ND",IF(S166="","",IF(OR(MID(C166,1,4)="milk",AND(MID(B166,1,2)="50",NOT(input_values!M166="Y")),AND(MID(B166,1,2)="40",NOT(input_values!M166="Y")),AND(MID(B166,1,2)="30",NOT(input_values!M166="Y"))),3,IF(OR(V166="&lt;25",B166&gt;1000000),1,IF((T166&gt;=S166),"2b","2a")))))</f>
        <v>2a</v>
      </c>
      <c r="Y166" s="22">
        <f>IF(X166="ND","ND",IF(S166="","",IF(input_values!K166&gt;0,input_values!K166,IF(OR(X166=1,X166=3),1,IF((V166&gt;250),5,7)))))</f>
        <v>7</v>
      </c>
      <c r="Z166" s="340" t="str">
        <f t="shared" si="25"/>
        <v/>
      </c>
      <c r="AA166" s="332">
        <f t="shared" si="20"/>
        <v>0</v>
      </c>
      <c r="AB166" s="27">
        <f t="shared" si="26"/>
        <v>3</v>
      </c>
      <c r="AC166" s="340" t="str">
        <f t="shared" si="27"/>
        <v/>
      </c>
      <c r="AD166" s="332">
        <f t="shared" si="21"/>
        <v>0</v>
      </c>
      <c r="AE166" s="37" t="str">
        <f t="shared" si="28"/>
        <v/>
      </c>
      <c r="AF166" s="37" t="str">
        <f t="shared" si="29"/>
        <v/>
      </c>
      <c r="AG166" s="561" t="str">
        <f t="shared" si="22"/>
        <v/>
      </c>
      <c r="AH166" s="561" t="str">
        <f t="shared" si="23"/>
        <v/>
      </c>
      <c r="AI166" s="313"/>
    </row>
    <row r="167" spans="1:35" ht="24" outlineLevel="3" x14ac:dyDescent="0.2">
      <c r="A167" s="39">
        <v>4</v>
      </c>
      <c r="B167" s="26">
        <v>251080</v>
      </c>
      <c r="C167" s="23" t="s">
        <v>727</v>
      </c>
      <c r="D167" s="300">
        <f>Table22[[#This Row],[Level used for acute calculation]]</f>
        <v>4</v>
      </c>
      <c r="E167" s="302">
        <f>Table22[[#This Row],[MRL individual commodity]]</f>
        <v>0</v>
      </c>
      <c r="F167" s="451">
        <f>Table22[[#This Row],[Acute RA input value]]</f>
        <v>0</v>
      </c>
      <c r="G167" s="301" t="str">
        <f>Table22[[#This Row],[Acute RA label]]</f>
        <v/>
      </c>
      <c r="H167" s="303">
        <f>Table22[[#This Row],[Acute RA IESTI new input value]]</f>
        <v>0</v>
      </c>
      <c r="I167" s="301" t="str">
        <f>Table22[[#This Row],[Acute RA IESTI new label]]</f>
        <v/>
      </c>
      <c r="J167" s="504"/>
      <c r="K167" s="544">
        <f>Table22[[#This Row],[GAP under assessment]]</f>
        <v>0</v>
      </c>
      <c r="L167" s="304" t="str">
        <f>IF(input_values!$M167=0,"",input_values!$M167)</f>
        <v/>
      </c>
      <c r="M167" s="301" t="str">
        <f>IF(input_values!H167=0,"",input_values!H167)</f>
        <v/>
      </c>
      <c r="N167" s="304">
        <f>input_values!$K167</f>
        <v>0</v>
      </c>
      <c r="O167" s="338" t="s">
        <v>618</v>
      </c>
      <c r="P167" s="22"/>
      <c r="Q167" s="22"/>
      <c r="R167" s="330"/>
      <c r="S167" s="31" t="str">
        <f t="shared" si="24"/>
        <v>ND</v>
      </c>
      <c r="T167" s="338" t="s">
        <v>617</v>
      </c>
      <c r="U167" s="129" t="s">
        <v>215</v>
      </c>
      <c r="V167" s="338" t="s">
        <v>617</v>
      </c>
      <c r="W167" s="129" t="s">
        <v>215</v>
      </c>
      <c r="X167" s="460">
        <f>IF(V167="ND","ND",IF(S167="","",IF(OR(MID(C167,1,4)="milk",AND(MID(B167,1,2)="50",NOT(input_values!M167="Y")),AND(MID(B167,1,2)="40",NOT(input_values!M167="Y")),AND(MID(B167,1,2)="30",NOT(input_values!M167="Y"))),3,IF(OR(V167="&lt;25",B167&gt;1000000),1,IF((T167&gt;=S167),"2b","2a")))))</f>
        <v>1</v>
      </c>
      <c r="Y167" s="22">
        <f>IF(X167="ND","ND",IF(S167="","",IF(input_values!K167&gt;0,input_values!K167,IF(OR(X167=1,X167=3),1,IF((V167&gt;250),5,7)))))</f>
        <v>1</v>
      </c>
      <c r="Z167" s="340" t="str">
        <f t="shared" si="25"/>
        <v/>
      </c>
      <c r="AA167" s="332">
        <f t="shared" si="20"/>
        <v>0</v>
      </c>
      <c r="AB167" s="27">
        <f t="shared" si="26"/>
        <v>1</v>
      </c>
      <c r="AC167" s="340" t="str">
        <f t="shared" si="27"/>
        <v/>
      </c>
      <c r="AD167" s="332">
        <f t="shared" si="21"/>
        <v>0</v>
      </c>
      <c r="AE167" s="37" t="str">
        <f t="shared" si="28"/>
        <v/>
      </c>
      <c r="AF167" s="37" t="str">
        <f t="shared" si="29"/>
        <v/>
      </c>
      <c r="AG167" s="561" t="str">
        <f t="shared" si="22"/>
        <v/>
      </c>
      <c r="AH167" s="561" t="str">
        <f t="shared" si="23"/>
        <v/>
      </c>
      <c r="AI167" s="313"/>
    </row>
    <row r="168" spans="1:35" ht="24" outlineLevel="3" x14ac:dyDescent="0.2">
      <c r="A168" s="39">
        <v>4</v>
      </c>
      <c r="B168" s="23">
        <v>251990</v>
      </c>
      <c r="C168" s="23" t="s">
        <v>173</v>
      </c>
      <c r="D168" s="300">
        <f>Table22[[#This Row],[Level used for acute calculation]]</f>
        <v>0</v>
      </c>
      <c r="E168" s="302">
        <f>Table22[[#This Row],[MRL individual commodity]]</f>
        <v>0</v>
      </c>
      <c r="F168" s="451">
        <f>Table22[[#This Row],[Acute RA input value]]</f>
        <v>0</v>
      </c>
      <c r="G168" s="301">
        <f>Table22[[#This Row],[Acute RA label]]</f>
        <v>0</v>
      </c>
      <c r="H168" s="303">
        <f>Table22[[#This Row],[Acute RA IESTI new input value]]</f>
        <v>0</v>
      </c>
      <c r="I168" s="301">
        <f>Table22[[#This Row],[Acute RA IESTI new label]]</f>
        <v>0</v>
      </c>
      <c r="J168" s="504"/>
      <c r="K168" s="544">
        <f>Table22[[#This Row],[GAP under assessment]]</f>
        <v>0</v>
      </c>
      <c r="L168" s="304" t="str">
        <f>IF(input_values!$M168=0,"",input_values!$M168)</f>
        <v/>
      </c>
      <c r="M168" s="301" t="str">
        <f>IF(input_values!H168=0,"",input_values!H168)</f>
        <v/>
      </c>
      <c r="N168" s="304">
        <f>input_values!$K168</f>
        <v>0</v>
      </c>
      <c r="O168" s="309"/>
      <c r="P168" s="38"/>
      <c r="Q168" s="38"/>
      <c r="R168" s="335"/>
      <c r="S168" s="336" t="str">
        <f t="shared" si="24"/>
        <v/>
      </c>
      <c r="T168" s="305"/>
      <c r="U168" s="570"/>
      <c r="V168" s="305"/>
      <c r="W168" s="570"/>
      <c r="X168" s="611" t="str">
        <f>IF(V168="ND","ND",IF(S168="","",IF(OR(MID(C168,1,4)="milk",AND(MID(B168,1,2)="50",NOT(input_values!M168="Y")),AND(MID(B168,1,2)="40",NOT(input_values!M168="Y")),AND(MID(B168,1,2)="30",NOT(input_values!M168="Y"))),3,IF(OR(V168="&lt;25",B168&gt;1000000),1,IF((T168&gt;=S168),"2b","2a")))))</f>
        <v/>
      </c>
      <c r="Y168" s="38" t="str">
        <f>IF(X168="ND","ND",IF(S168="","",IF(input_values!K168&gt;0,input_values!K168,IF(OR(X168=1,X168=3),1,IF((V168&gt;250),5,7)))))</f>
        <v/>
      </c>
      <c r="Z168" s="335" t="str">
        <f t="shared" si="25"/>
        <v/>
      </c>
      <c r="AA168" s="311">
        <f t="shared" si="20"/>
        <v>0</v>
      </c>
      <c r="AB168" s="38" t="str">
        <f t="shared" si="26"/>
        <v/>
      </c>
      <c r="AC168" s="335" t="str">
        <f t="shared" si="27"/>
        <v/>
      </c>
      <c r="AD168" s="311">
        <f t="shared" si="21"/>
        <v>0</v>
      </c>
      <c r="AE168" s="344" t="str">
        <f t="shared" si="28"/>
        <v/>
      </c>
      <c r="AF168" s="344" t="str">
        <f t="shared" si="29"/>
        <v/>
      </c>
      <c r="AG168" s="561" t="str">
        <f t="shared" si="22"/>
        <v/>
      </c>
      <c r="AH168" s="561" t="str">
        <f t="shared" si="23"/>
        <v/>
      </c>
      <c r="AI168" s="313"/>
    </row>
    <row r="169" spans="1:35" outlineLevel="2" x14ac:dyDescent="0.2">
      <c r="A169" s="132">
        <v>3</v>
      </c>
      <c r="B169" s="3">
        <v>252000</v>
      </c>
      <c r="C169" s="3" t="s">
        <v>234</v>
      </c>
      <c r="D169" s="300">
        <f>Table22[[#This Row],[Level used for acute calculation]]</f>
        <v>4</v>
      </c>
      <c r="E169" s="302">
        <f>Table22[[#This Row],[MRL individual commodity]]</f>
        <v>0</v>
      </c>
      <c r="F169" s="451">
        <f>Table22[[#This Row],[Acute RA input value]]</f>
        <v>0</v>
      </c>
      <c r="G169" s="301">
        <f>Table22[[#This Row],[Acute RA label]]</f>
        <v>0</v>
      </c>
      <c r="H169" s="303">
        <f>Table22[[#This Row],[Acute RA IESTI new input value]]</f>
        <v>0</v>
      </c>
      <c r="I169" s="301">
        <f>Table22[[#This Row],[Acute RA IESTI new label]]</f>
        <v>0</v>
      </c>
      <c r="J169" s="504"/>
      <c r="K169" s="544">
        <f>Table22[[#This Row],[GAP under assessment]]</f>
        <v>0</v>
      </c>
      <c r="L169" s="304" t="str">
        <f>IF(input_values!$M169=0,"",input_values!$M169)</f>
        <v/>
      </c>
      <c r="M169" s="301" t="str">
        <f>IF(input_values!H169=0,"",input_values!H169)</f>
        <v/>
      </c>
      <c r="N169" s="304">
        <f>input_values!$K169</f>
        <v>0</v>
      </c>
      <c r="O169" s="309"/>
      <c r="P169" s="38"/>
      <c r="Q169" s="38"/>
      <c r="R169" s="335"/>
      <c r="S169" s="336" t="str">
        <f t="shared" si="24"/>
        <v/>
      </c>
      <c r="T169" s="342"/>
      <c r="U169" s="571"/>
      <c r="V169" s="342"/>
      <c r="W169" s="571"/>
      <c r="X169" s="611" t="str">
        <f>IF(V169="ND","ND",IF(S169="","",IF(OR(MID(C169,1,4)="milk",AND(MID(B169,1,2)="50",NOT(input_values!M169="Y")),AND(MID(B169,1,2)="40",NOT(input_values!M169="Y")),AND(MID(B169,1,2)="30",NOT(input_values!M169="Y"))),3,IF(OR(V169="&lt;25",B169&gt;1000000),1,IF((T169&gt;=S169),"2b","2a")))))</f>
        <v/>
      </c>
      <c r="Y169" s="38" t="str">
        <f>IF(X169="ND","ND",IF(S169="","",IF(input_values!K169&gt;0,input_values!K169,IF(OR(X169=1,X169=3),1,IF((V169&gt;250),5,7)))))</f>
        <v/>
      </c>
      <c r="Z169" s="335" t="str">
        <f t="shared" si="25"/>
        <v/>
      </c>
      <c r="AA169" s="311">
        <f t="shared" si="20"/>
        <v>0</v>
      </c>
      <c r="AB169" s="38" t="str">
        <f t="shared" si="26"/>
        <v/>
      </c>
      <c r="AC169" s="335" t="str">
        <f t="shared" si="27"/>
        <v/>
      </c>
      <c r="AD169" s="311">
        <f t="shared" si="21"/>
        <v>0</v>
      </c>
      <c r="AE169" s="344" t="str">
        <f t="shared" si="28"/>
        <v/>
      </c>
      <c r="AF169" s="344" t="str">
        <f t="shared" si="29"/>
        <v/>
      </c>
      <c r="AG169" s="561" t="str">
        <f t="shared" si="22"/>
        <v/>
      </c>
      <c r="AH169" s="561" t="str">
        <f t="shared" si="23"/>
        <v/>
      </c>
      <c r="AI169" s="313"/>
    </row>
    <row r="170" spans="1:35" outlineLevel="3" x14ac:dyDescent="0.2">
      <c r="A170" s="39">
        <v>4</v>
      </c>
      <c r="B170" s="23">
        <v>252010</v>
      </c>
      <c r="C170" s="23" t="s">
        <v>728</v>
      </c>
      <c r="D170" s="300">
        <f>Table22[[#This Row],[Level used for acute calculation]]</f>
        <v>4</v>
      </c>
      <c r="E170" s="302">
        <f>Table22[[#This Row],[MRL individual commodity]]</f>
        <v>0</v>
      </c>
      <c r="F170" s="451">
        <f>Table22[[#This Row],[Acute RA input value]]</f>
        <v>0</v>
      </c>
      <c r="G170" s="301" t="str">
        <f>Table22[[#This Row],[Acute RA label]]</f>
        <v/>
      </c>
      <c r="H170" s="303">
        <f>Table22[[#This Row],[Acute RA IESTI new input value]]</f>
        <v>0</v>
      </c>
      <c r="I170" s="301" t="str">
        <f>Table22[[#This Row],[Acute RA IESTI new label]]</f>
        <v/>
      </c>
      <c r="J170" s="504"/>
      <c r="K170" s="544">
        <f>Table22[[#This Row],[GAP under assessment]]</f>
        <v>0</v>
      </c>
      <c r="L170" s="304" t="str">
        <f>IF(input_values!$M170=0,"",input_values!$M170)</f>
        <v/>
      </c>
      <c r="M170" s="301" t="str">
        <f>IF(input_values!H170=0,"",input_values!H170)</f>
        <v/>
      </c>
      <c r="N170" s="304">
        <f>input_values!$K170</f>
        <v>0</v>
      </c>
      <c r="O170" s="326">
        <v>22.601123595505619</v>
      </c>
      <c r="P170" s="22">
        <v>97.5</v>
      </c>
      <c r="Q170" s="22" t="s">
        <v>93</v>
      </c>
      <c r="R170" s="326">
        <v>17.8</v>
      </c>
      <c r="S170" s="328">
        <f t="shared" si="24"/>
        <v>402.30000000000007</v>
      </c>
      <c r="T170" s="338" t="s">
        <v>617</v>
      </c>
      <c r="U170" s="129" t="s">
        <v>215</v>
      </c>
      <c r="V170" s="338" t="s">
        <v>617</v>
      </c>
      <c r="W170" s="129" t="s">
        <v>215</v>
      </c>
      <c r="X170" s="1464">
        <f>IF(V170="ND","ND",IF(S170="","",IF(OR(MID(C170,1,4)="milk",AND(MID(B170,1,2)="50",NOT(input_values!M170="Y")),AND(MID(B170,1,2)="40",NOT(input_values!M170="Y")),AND(MID(B170,1,2)="30",NOT(input_values!M170="Y"))),3,IF(OR(V170="&lt;25",B170&gt;1000000),1,IF((T170&gt;=S170),"2b","2a")))))</f>
        <v>1</v>
      </c>
      <c r="Y170" s="22">
        <f>IF(X170="ND","ND",IF(S170="","",IF(input_values!K170&gt;0,input_values!K170,IF(OR(X170=1,X170=3),1,IF((V170&gt;250),5,7)))))</f>
        <v>1</v>
      </c>
      <c r="Z170" s="330" t="str">
        <f t="shared" si="25"/>
        <v/>
      </c>
      <c r="AA170" s="331">
        <f t="shared" si="20"/>
        <v>0</v>
      </c>
      <c r="AB170" s="27">
        <f t="shared" si="26"/>
        <v>1</v>
      </c>
      <c r="AC170" s="330" t="str">
        <f t="shared" si="27"/>
        <v/>
      </c>
      <c r="AD170" s="332">
        <f t="shared" si="21"/>
        <v>0</v>
      </c>
      <c r="AE170" s="333" t="str">
        <f t="shared" si="28"/>
        <v/>
      </c>
      <c r="AF170" s="333" t="str">
        <f t="shared" si="29"/>
        <v/>
      </c>
      <c r="AG170" s="561" t="str">
        <f t="shared" si="22"/>
        <v/>
      </c>
      <c r="AH170" s="561" t="str">
        <f t="shared" si="23"/>
        <v/>
      </c>
      <c r="AI170" s="334"/>
    </row>
    <row r="171" spans="1:35" outlineLevel="3" x14ac:dyDescent="0.2">
      <c r="A171" s="39">
        <v>4</v>
      </c>
      <c r="B171" s="23">
        <v>252020</v>
      </c>
      <c r="C171" s="28" t="s">
        <v>729</v>
      </c>
      <c r="D171" s="300">
        <f>Table22[[#This Row],[Level used for acute calculation]]</f>
        <v>4</v>
      </c>
      <c r="E171" s="302">
        <f>Table22[[#This Row],[MRL individual commodity]]</f>
        <v>0</v>
      </c>
      <c r="F171" s="451">
        <f>Table22[[#This Row],[Acute RA input value]]</f>
        <v>0</v>
      </c>
      <c r="G171" s="301" t="str">
        <f>Table22[[#This Row],[Acute RA label]]</f>
        <v/>
      </c>
      <c r="H171" s="303">
        <f>Table22[[#This Row],[Acute RA IESTI new input value]]</f>
        <v>0</v>
      </c>
      <c r="I171" s="301" t="str">
        <f>Table22[[#This Row],[Acute RA IESTI new label]]</f>
        <v/>
      </c>
      <c r="J171" s="504"/>
      <c r="K171" s="544">
        <f>Table22[[#This Row],[GAP under assessment]]</f>
        <v>0</v>
      </c>
      <c r="L171" s="304" t="str">
        <f>IF(input_values!$M171=0,"",input_values!$M171)</f>
        <v/>
      </c>
      <c r="M171" s="301" t="str">
        <f>IF(input_values!H171=0,"",input_values!H171)</f>
        <v/>
      </c>
      <c r="N171" s="304">
        <f>input_values!$K171</f>
        <v>0</v>
      </c>
      <c r="O171" s="455" t="s">
        <v>618</v>
      </c>
      <c r="P171" s="22"/>
      <c r="Q171" s="22"/>
      <c r="R171" s="326"/>
      <c r="S171" s="328" t="str">
        <f t="shared" si="24"/>
        <v>ND</v>
      </c>
      <c r="T171" s="338" t="s">
        <v>618</v>
      </c>
      <c r="U171" s="129"/>
      <c r="V171" s="338" t="s">
        <v>618</v>
      </c>
      <c r="W171" s="129"/>
      <c r="X171" s="1464" t="str">
        <f>IF(V171="ND","ND",IF(S171="","",IF(OR(MID(C171,1,4)="milk",AND(MID(B171,1,2)="50",NOT(input_values!M171="Y")),AND(MID(B171,1,2)="40",NOT(input_values!M171="Y")),AND(MID(B171,1,2)="30",NOT(input_values!M171="Y"))),3,IF(OR(V171="&lt;25",B171&gt;1000000),1,IF((T171&gt;=S171),"2b","2a")))))</f>
        <v>ND</v>
      </c>
      <c r="Y171" s="22" t="str">
        <f>IF(X171="ND","ND",IF(S171="","",IF(input_values!K171&gt;0,input_values!K171,IF(OR(X171=1,X171=3),1,IF((V171&gt;250),5,7)))))</f>
        <v>ND</v>
      </c>
      <c r="Z171" s="31" t="str">
        <f t="shared" si="25"/>
        <v/>
      </c>
      <c r="AA171" s="331">
        <f t="shared" si="20"/>
        <v>0</v>
      </c>
      <c r="AB171" s="27" t="str">
        <f t="shared" si="26"/>
        <v>ND</v>
      </c>
      <c r="AC171" s="330" t="str">
        <f t="shared" si="27"/>
        <v/>
      </c>
      <c r="AD171" s="332">
        <f t="shared" si="21"/>
        <v>0</v>
      </c>
      <c r="AE171" s="333" t="str">
        <f t="shared" si="28"/>
        <v/>
      </c>
      <c r="AF171" s="333" t="str">
        <f t="shared" si="29"/>
        <v/>
      </c>
      <c r="AG171" s="561" t="str">
        <f t="shared" si="22"/>
        <v/>
      </c>
      <c r="AH171" s="561" t="str">
        <f t="shared" si="23"/>
        <v/>
      </c>
      <c r="AI171" s="334"/>
    </row>
    <row r="172" spans="1:35" outlineLevel="3" x14ac:dyDescent="0.2">
      <c r="A172" s="39">
        <v>4</v>
      </c>
      <c r="B172" s="23">
        <v>252030</v>
      </c>
      <c r="C172" s="23" t="s">
        <v>730</v>
      </c>
      <c r="D172" s="300">
        <f>Table22[[#This Row],[Level used for acute calculation]]</f>
        <v>4</v>
      </c>
      <c r="E172" s="302">
        <f>Table22[[#This Row],[MRL individual commodity]]</f>
        <v>0</v>
      </c>
      <c r="F172" s="451">
        <f>Table22[[#This Row],[Acute RA input value]]</f>
        <v>0</v>
      </c>
      <c r="G172" s="301" t="str">
        <f>Table22[[#This Row],[Acute RA label]]</f>
        <v/>
      </c>
      <c r="H172" s="303">
        <f>Table22[[#This Row],[Acute RA IESTI new input value]]</f>
        <v>0</v>
      </c>
      <c r="I172" s="301" t="str">
        <f>Table22[[#This Row],[Acute RA IESTI new label]]</f>
        <v/>
      </c>
      <c r="J172" s="504"/>
      <c r="K172" s="544">
        <f>Table22[[#This Row],[GAP under assessment]]</f>
        <v>0</v>
      </c>
      <c r="L172" s="304" t="str">
        <f>IF(input_values!$M172=0,"",input_values!$M172)</f>
        <v/>
      </c>
      <c r="M172" s="301" t="str">
        <f>IF(input_values!H172=0,"",input_values!H172)</f>
        <v/>
      </c>
      <c r="N172" s="304">
        <f>input_values!$K172</f>
        <v>0</v>
      </c>
      <c r="O172" s="326">
        <v>2.2291021671826625</v>
      </c>
      <c r="P172" s="22">
        <v>100</v>
      </c>
      <c r="Q172" s="22" t="s">
        <v>256</v>
      </c>
      <c r="R172" s="326">
        <v>16.149999999999999</v>
      </c>
      <c r="S172" s="328">
        <f t="shared" si="24"/>
        <v>36</v>
      </c>
      <c r="T172" s="338">
        <v>175</v>
      </c>
      <c r="U172" s="129" t="s">
        <v>215</v>
      </c>
      <c r="V172" s="338">
        <v>175</v>
      </c>
      <c r="W172" s="129" t="s">
        <v>215</v>
      </c>
      <c r="X172" s="1464" t="str">
        <f>IF(V172="ND","ND",IF(S172="","",IF(OR(MID(C172,1,4)="milk",AND(MID(B172,1,2)="50",NOT(input_values!M172="Y")),AND(MID(B172,1,2)="40",NOT(input_values!M172="Y")),AND(MID(B172,1,2)="30",NOT(input_values!M172="Y"))),3,IF(OR(V172="&lt;25",B172&gt;1000000),1,IF((T172&gt;=S172),"2b","2a")))))</f>
        <v>2b</v>
      </c>
      <c r="Y172" s="22">
        <f>IF(X172="ND","ND",IF(S172="","",IF(input_values!K172&gt;0,input_values!K172,IF(OR(X172=1,X172=3),1,IF((V172&gt;250),5,7)))))</f>
        <v>7</v>
      </c>
      <c r="Z172" s="330" t="str">
        <f t="shared" si="25"/>
        <v/>
      </c>
      <c r="AA172" s="331">
        <f t="shared" si="20"/>
        <v>0</v>
      </c>
      <c r="AB172" s="27">
        <f t="shared" si="26"/>
        <v>3</v>
      </c>
      <c r="AC172" s="330" t="str">
        <f t="shared" si="27"/>
        <v/>
      </c>
      <c r="AD172" s="332">
        <f t="shared" si="21"/>
        <v>0</v>
      </c>
      <c r="AE172" s="333" t="str">
        <f t="shared" si="28"/>
        <v/>
      </c>
      <c r="AF172" s="333" t="str">
        <f t="shared" si="29"/>
        <v/>
      </c>
      <c r="AG172" s="561" t="str">
        <f t="shared" si="22"/>
        <v/>
      </c>
      <c r="AH172" s="561" t="str">
        <f t="shared" si="23"/>
        <v/>
      </c>
      <c r="AI172" s="334"/>
    </row>
    <row r="173" spans="1:35" outlineLevel="3" x14ac:dyDescent="0.2">
      <c r="A173" s="39">
        <v>4</v>
      </c>
      <c r="B173" s="23">
        <v>252990</v>
      </c>
      <c r="C173" s="23" t="s">
        <v>174</v>
      </c>
      <c r="D173" s="300">
        <f>Table22[[#This Row],[Level used for acute calculation]]</f>
        <v>0</v>
      </c>
      <c r="E173" s="302">
        <f>Table22[[#This Row],[MRL individual commodity]]</f>
        <v>0</v>
      </c>
      <c r="F173" s="451">
        <f>Table22[[#This Row],[Acute RA input value]]</f>
        <v>0</v>
      </c>
      <c r="G173" s="301">
        <f>Table22[[#This Row],[Acute RA label]]</f>
        <v>0</v>
      </c>
      <c r="H173" s="303">
        <f>Table22[[#This Row],[Acute RA IESTI new input value]]</f>
        <v>0</v>
      </c>
      <c r="I173" s="301">
        <f>Table22[[#This Row],[Acute RA IESTI new label]]</f>
        <v>0</v>
      </c>
      <c r="J173" s="504"/>
      <c r="K173" s="544">
        <f>Table22[[#This Row],[GAP under assessment]]</f>
        <v>0</v>
      </c>
      <c r="L173" s="304" t="str">
        <f>IF(input_values!$M173=0,"",input_values!$M173)</f>
        <v/>
      </c>
      <c r="M173" s="301" t="str">
        <f>IF(input_values!H173=0,"",input_values!H173)</f>
        <v/>
      </c>
      <c r="N173" s="304">
        <f>input_values!$K173</f>
        <v>0</v>
      </c>
      <c r="O173" s="309"/>
      <c r="P173" s="38"/>
      <c r="Q173" s="38"/>
      <c r="R173" s="335"/>
      <c r="S173" s="336" t="str">
        <f t="shared" si="24"/>
        <v/>
      </c>
      <c r="T173" s="305"/>
      <c r="U173" s="570"/>
      <c r="V173" s="305"/>
      <c r="W173" s="570"/>
      <c r="X173" s="611" t="str">
        <f>IF(V173="ND","ND",IF(S173="","",IF(OR(MID(C173,1,4)="milk",AND(MID(B173,1,2)="50",NOT(input_values!M173="Y")),AND(MID(B173,1,2)="40",NOT(input_values!M173="Y")),AND(MID(B173,1,2)="30",NOT(input_values!M173="Y"))),3,IF(OR(V173="&lt;25",B173&gt;1000000),1,IF((T173&gt;=S173),"2b","2a")))))</f>
        <v/>
      </c>
      <c r="Y173" s="38" t="str">
        <f>IF(X173="ND","ND",IF(S173="","",IF(input_values!K173&gt;0,input_values!K173,IF(OR(X173=1,X173=3),1,IF((V173&gt;250),5,7)))))</f>
        <v/>
      </c>
      <c r="Z173" s="335" t="str">
        <f t="shared" si="25"/>
        <v/>
      </c>
      <c r="AA173" s="311">
        <f t="shared" si="20"/>
        <v>0</v>
      </c>
      <c r="AB173" s="38" t="str">
        <f t="shared" si="26"/>
        <v/>
      </c>
      <c r="AC173" s="335" t="str">
        <f t="shared" si="27"/>
        <v/>
      </c>
      <c r="AD173" s="311">
        <f t="shared" si="21"/>
        <v>0</v>
      </c>
      <c r="AE173" s="344" t="str">
        <f t="shared" si="28"/>
        <v/>
      </c>
      <c r="AF173" s="344" t="str">
        <f t="shared" si="29"/>
        <v/>
      </c>
      <c r="AG173" s="561" t="str">
        <f t="shared" si="22"/>
        <v/>
      </c>
      <c r="AH173" s="561" t="str">
        <f t="shared" si="23"/>
        <v/>
      </c>
      <c r="AI173" s="313"/>
    </row>
    <row r="174" spans="1:35" ht="24" outlineLevel="2" x14ac:dyDescent="0.2">
      <c r="A174" s="132">
        <v>3</v>
      </c>
      <c r="B174" s="3">
        <v>253000</v>
      </c>
      <c r="C174" s="3" t="s">
        <v>731</v>
      </c>
      <c r="D174" s="300">
        <f>Table22[[#This Row],[Level used for acute calculation]]</f>
        <v>3</v>
      </c>
      <c r="E174" s="302">
        <f>Table22[[#This Row],[MRL individual commodity]]</f>
        <v>0</v>
      </c>
      <c r="F174" s="451">
        <f>Table22[[#This Row],[Acute RA input value]]</f>
        <v>0</v>
      </c>
      <c r="G174" s="301" t="str">
        <f>Table22[[#This Row],[Acute RA label]]</f>
        <v/>
      </c>
      <c r="H174" s="303">
        <f>Table22[[#This Row],[Acute RA IESTI new input value]]</f>
        <v>0</v>
      </c>
      <c r="I174" s="301" t="str">
        <f>Table22[[#This Row],[Acute RA IESTI new label]]</f>
        <v/>
      </c>
      <c r="J174" s="504"/>
      <c r="K174" s="544">
        <f>Table22[[#This Row],[GAP under assessment]]</f>
        <v>0</v>
      </c>
      <c r="L174" s="304" t="str">
        <f>IF(input_values!$M174=0,"",input_values!$M174)</f>
        <v/>
      </c>
      <c r="M174" s="301" t="str">
        <f>IF(input_values!H174=0,"",input_values!H174)</f>
        <v/>
      </c>
      <c r="N174" s="304">
        <f>input_values!$K174</f>
        <v>0</v>
      </c>
      <c r="O174" s="326">
        <v>0.3</v>
      </c>
      <c r="P174" s="22">
        <v>100</v>
      </c>
      <c r="Q174" s="22" t="s">
        <v>256</v>
      </c>
      <c r="R174" s="326">
        <v>16.149999999999999</v>
      </c>
      <c r="S174" s="328">
        <f t="shared" si="24"/>
        <v>4.8449999999999998</v>
      </c>
      <c r="T174" s="338" t="s">
        <v>617</v>
      </c>
      <c r="U174" s="129" t="s">
        <v>215</v>
      </c>
      <c r="V174" s="338" t="s">
        <v>617</v>
      </c>
      <c r="W174" s="129" t="s">
        <v>215</v>
      </c>
      <c r="X174" s="1464">
        <f>IF(V174="ND","ND",IF(S174="","",IF(OR(MID(C174,1,4)="milk",AND(MID(B174,1,2)="50",NOT(input_values!M174="Y")),AND(MID(B174,1,2)="40",NOT(input_values!M174="Y")),AND(MID(B174,1,2)="30",NOT(input_values!M174="Y"))),3,IF(OR(V174="&lt;25",B174&gt;1000000),1,IF((T174&gt;=S174),"2b","2a")))))</f>
        <v>1</v>
      </c>
      <c r="Y174" s="22">
        <f>IF(X174="ND","ND",IF(S174="","",IF(input_values!K174&gt;0,input_values!K174,IF(OR(X174=1,X174=3),1,IF((V174&gt;250),5,7)))))</f>
        <v>1</v>
      </c>
      <c r="Z174" s="330" t="str">
        <f t="shared" si="25"/>
        <v/>
      </c>
      <c r="AA174" s="331">
        <f t="shared" si="20"/>
        <v>0</v>
      </c>
      <c r="AB174" s="27">
        <f t="shared" si="26"/>
        <v>1</v>
      </c>
      <c r="AC174" s="330" t="str">
        <f t="shared" si="27"/>
        <v/>
      </c>
      <c r="AD174" s="332">
        <f t="shared" si="21"/>
        <v>0</v>
      </c>
      <c r="AE174" s="333" t="str">
        <f t="shared" si="28"/>
        <v/>
      </c>
      <c r="AF174" s="333" t="str">
        <f t="shared" si="29"/>
        <v/>
      </c>
      <c r="AG174" s="561" t="str">
        <f t="shared" si="22"/>
        <v/>
      </c>
      <c r="AH174" s="561" t="str">
        <f t="shared" si="23"/>
        <v/>
      </c>
      <c r="AI174" s="313"/>
    </row>
    <row r="175" spans="1:35" outlineLevel="2" x14ac:dyDescent="0.2">
      <c r="A175" s="132">
        <v>3</v>
      </c>
      <c r="B175" s="3">
        <v>254000</v>
      </c>
      <c r="C175" s="3" t="s">
        <v>732</v>
      </c>
      <c r="D175" s="300">
        <f>Table22[[#This Row],[Level used for acute calculation]]</f>
        <v>3</v>
      </c>
      <c r="E175" s="302">
        <f>Table22[[#This Row],[MRL individual commodity]]</f>
        <v>0</v>
      </c>
      <c r="F175" s="451">
        <f>Table22[[#This Row],[Acute RA input value]]</f>
        <v>0</v>
      </c>
      <c r="G175" s="301" t="str">
        <f>Table22[[#This Row],[Acute RA label]]</f>
        <v/>
      </c>
      <c r="H175" s="303">
        <f>Table22[[#This Row],[Acute RA IESTI new input value]]</f>
        <v>0</v>
      </c>
      <c r="I175" s="301" t="str">
        <f>Table22[[#This Row],[Acute RA IESTI new label]]</f>
        <v/>
      </c>
      <c r="J175" s="504"/>
      <c r="K175" s="544">
        <f>Table22[[#This Row],[GAP under assessment]]</f>
        <v>0</v>
      </c>
      <c r="L175" s="304" t="str">
        <f>IF(input_values!$M175=0,"",input_values!$M175)</f>
        <v/>
      </c>
      <c r="M175" s="301" t="str">
        <f>IF(input_values!H175=0,"",input_values!H175)</f>
        <v/>
      </c>
      <c r="N175" s="304">
        <f>input_values!$K175</f>
        <v>0</v>
      </c>
      <c r="O175" s="326">
        <v>0.46278317152103565</v>
      </c>
      <c r="P175" s="22">
        <v>97.5</v>
      </c>
      <c r="Q175" s="22" t="s">
        <v>94</v>
      </c>
      <c r="R175" s="326">
        <v>30.9</v>
      </c>
      <c r="S175" s="328">
        <f t="shared" si="24"/>
        <v>14.3</v>
      </c>
      <c r="T175" s="338" t="s">
        <v>617</v>
      </c>
      <c r="U175" s="129" t="s">
        <v>215</v>
      </c>
      <c r="V175" s="338" t="s">
        <v>617</v>
      </c>
      <c r="W175" s="129" t="s">
        <v>215</v>
      </c>
      <c r="X175" s="1464">
        <f>IF(V175="ND","ND",IF(S175="","",IF(OR(MID(C175,1,4)="milk",AND(MID(B175,1,2)="50",NOT(input_values!M175="Y")),AND(MID(B175,1,2)="40",NOT(input_values!M175="Y")),AND(MID(B175,1,2)="30",NOT(input_values!M175="Y"))),3,IF(OR(V175="&lt;25",B175&gt;1000000),1,IF((T175&gt;=S175),"2b","2a")))))</f>
        <v>1</v>
      </c>
      <c r="Y175" s="22">
        <f>IF(X175="ND","ND",IF(S175="","",IF(input_values!K175&gt;0,input_values!K175,IF(OR(X175=1,X175=3),1,IF((V175&gt;250),5,7)))))</f>
        <v>1</v>
      </c>
      <c r="Z175" s="330" t="str">
        <f t="shared" si="25"/>
        <v/>
      </c>
      <c r="AA175" s="331">
        <f t="shared" si="20"/>
        <v>0</v>
      </c>
      <c r="AB175" s="27">
        <f t="shared" si="26"/>
        <v>1</v>
      </c>
      <c r="AC175" s="330" t="str">
        <f t="shared" si="27"/>
        <v/>
      </c>
      <c r="AD175" s="332">
        <f t="shared" si="21"/>
        <v>0</v>
      </c>
      <c r="AE175" s="333" t="str">
        <f t="shared" si="28"/>
        <v/>
      </c>
      <c r="AF175" s="333" t="str">
        <f t="shared" si="29"/>
        <v/>
      </c>
      <c r="AG175" s="561" t="str">
        <f t="shared" si="22"/>
        <v/>
      </c>
      <c r="AH175" s="561" t="str">
        <f t="shared" si="23"/>
        <v/>
      </c>
      <c r="AI175" s="313"/>
    </row>
    <row r="176" spans="1:35" outlineLevel="2" x14ac:dyDescent="0.2">
      <c r="A176" s="132">
        <v>3</v>
      </c>
      <c r="B176" s="3">
        <v>255000</v>
      </c>
      <c r="C176" s="3" t="s">
        <v>733</v>
      </c>
      <c r="D176" s="300">
        <f>Table22[[#This Row],[Level used for acute calculation]]</f>
        <v>3</v>
      </c>
      <c r="E176" s="302">
        <f>Table22[[#This Row],[MRL individual commodity]]</f>
        <v>0</v>
      </c>
      <c r="F176" s="451">
        <f>Table22[[#This Row],[Acute RA input value]]</f>
        <v>0</v>
      </c>
      <c r="G176" s="301" t="str">
        <f>Table22[[#This Row],[Acute RA label]]</f>
        <v/>
      </c>
      <c r="H176" s="303">
        <f>Table22[[#This Row],[Acute RA IESTI new input value]]</f>
        <v>0</v>
      </c>
      <c r="I176" s="301" t="str">
        <f>Table22[[#This Row],[Acute RA IESTI new label]]</f>
        <v/>
      </c>
      <c r="J176" s="504"/>
      <c r="K176" s="544">
        <f>Table22[[#This Row],[GAP under assessment]]</f>
        <v>0</v>
      </c>
      <c r="L176" s="304" t="str">
        <f>IF(input_values!$M176=0,"",input_values!$M176)</f>
        <v/>
      </c>
      <c r="M176" s="301" t="str">
        <f>IF(input_values!H176=0,"",input_values!H176)</f>
        <v/>
      </c>
      <c r="N176" s="304">
        <f>input_values!$K176</f>
        <v>0</v>
      </c>
      <c r="O176" s="326">
        <v>11.02808988764045</v>
      </c>
      <c r="P176" s="22">
        <v>97.5</v>
      </c>
      <c r="Q176" s="22" t="s">
        <v>93</v>
      </c>
      <c r="R176" s="326">
        <v>17.8</v>
      </c>
      <c r="S176" s="328">
        <f t="shared" si="24"/>
        <v>196.3</v>
      </c>
      <c r="T176" s="328">
        <v>85</v>
      </c>
      <c r="U176" s="329" t="s">
        <v>286</v>
      </c>
      <c r="V176" s="328">
        <v>100</v>
      </c>
      <c r="W176" s="329" t="s">
        <v>286</v>
      </c>
      <c r="X176" s="1464" t="str">
        <f>IF(V176="ND","ND",IF(S176="","",IF(OR(MID(C176,1,4)="milk",AND(MID(B176,1,2)="50",NOT(input_values!M176="Y")),AND(MID(B176,1,2)="40",NOT(input_values!M176="Y")),AND(MID(B176,1,2)="30",NOT(input_values!M176="Y"))),3,IF(OR(V176="&lt;25",B176&gt;1000000),1,IF((T176&gt;=S176),"2b","2a")))))</f>
        <v>2a</v>
      </c>
      <c r="Y176" s="22">
        <f>IF(X176="ND","ND",IF(S176="","",IF(input_values!K176&gt;0,input_values!K176,IF(OR(X176=1,X176=3),1,IF((V176&gt;250),5,7)))))</f>
        <v>7</v>
      </c>
      <c r="Z176" s="330" t="str">
        <f t="shared" si="25"/>
        <v/>
      </c>
      <c r="AA176" s="331">
        <f t="shared" si="20"/>
        <v>0</v>
      </c>
      <c r="AB176" s="27">
        <f t="shared" si="26"/>
        <v>3</v>
      </c>
      <c r="AC176" s="330" t="str">
        <f t="shared" si="27"/>
        <v/>
      </c>
      <c r="AD176" s="332">
        <f t="shared" si="21"/>
        <v>0</v>
      </c>
      <c r="AE176" s="333" t="str">
        <f t="shared" si="28"/>
        <v/>
      </c>
      <c r="AF176" s="333" t="str">
        <f t="shared" si="29"/>
        <v/>
      </c>
      <c r="AG176" s="561" t="str">
        <f t="shared" si="22"/>
        <v/>
      </c>
      <c r="AH176" s="561" t="str">
        <f t="shared" si="23"/>
        <v/>
      </c>
      <c r="AI176" s="334"/>
    </row>
    <row r="177" spans="1:35" outlineLevel="2" x14ac:dyDescent="0.2">
      <c r="A177" s="132">
        <v>3</v>
      </c>
      <c r="B177" s="3">
        <v>256000</v>
      </c>
      <c r="C177" s="3" t="s">
        <v>734</v>
      </c>
      <c r="D177" s="300">
        <f>Table22[[#This Row],[Level used for acute calculation]]</f>
        <v>3</v>
      </c>
      <c r="E177" s="302">
        <f>Table22[[#This Row],[MRL individual commodity]]</f>
        <v>0</v>
      </c>
      <c r="F177" s="451">
        <f>Table22[[#This Row],[Acute RA input value]]</f>
        <v>0</v>
      </c>
      <c r="G177" s="301">
        <f>Table22[[#This Row],[Acute RA label]]</f>
        <v>0</v>
      </c>
      <c r="H177" s="303">
        <f>Table22[[#This Row],[Acute RA IESTI new input value]]</f>
        <v>0</v>
      </c>
      <c r="I177" s="301">
        <f>Table22[[#This Row],[Acute RA IESTI new label]]</f>
        <v>0</v>
      </c>
      <c r="J177" s="504"/>
      <c r="K177" s="544">
        <f>Table22[[#This Row],[GAP under assessment]]</f>
        <v>0</v>
      </c>
      <c r="L177" s="304" t="str">
        <f>IF(input_values!$M177=0,"",input_values!$M177)</f>
        <v/>
      </c>
      <c r="M177" s="301" t="str">
        <f>IF(input_values!H177=0,"",input_values!H177)</f>
        <v/>
      </c>
      <c r="N177" s="304">
        <f>input_values!$K177</f>
        <v>0</v>
      </c>
      <c r="O177" s="309"/>
      <c r="P177" s="309"/>
      <c r="Q177" s="570"/>
      <c r="R177" s="309"/>
      <c r="S177" s="336" t="str">
        <f t="shared" si="24"/>
        <v/>
      </c>
      <c r="T177" s="342"/>
      <c r="U177" s="571"/>
      <c r="V177" s="342"/>
      <c r="W177" s="571"/>
      <c r="X177" s="611" t="str">
        <f>IF(V177="ND","ND",IF(S177="","",IF(OR(MID(C177,1,4)="milk",AND(MID(B177,1,2)="50",NOT(input_values!M177="Y")),AND(MID(B177,1,2)="40",NOT(input_values!M177="Y")),AND(MID(B177,1,2)="30",NOT(input_values!M177="Y"))),3,IF(OR(V177="&lt;25",B177&gt;1000000),1,IF((T177&gt;=S177),"2b","2a")))))</f>
        <v/>
      </c>
      <c r="Y177" s="309" t="str">
        <f>IF(X177="ND","ND",IF(S177="","",IF(input_values!K177&gt;0,input_values!K177,IF(OR(X177=1,X177=3),1,IF((V177&gt;250),5,7)))))</f>
        <v/>
      </c>
      <c r="Z177" s="335" t="str">
        <f t="shared" si="25"/>
        <v/>
      </c>
      <c r="AA177" s="311">
        <f t="shared" si="20"/>
        <v>0</v>
      </c>
      <c r="AB177" s="38" t="str">
        <f t="shared" si="26"/>
        <v/>
      </c>
      <c r="AC177" s="335" t="str">
        <f t="shared" si="27"/>
        <v/>
      </c>
      <c r="AD177" s="311">
        <f t="shared" si="21"/>
        <v>0</v>
      </c>
      <c r="AE177" s="344" t="str">
        <f t="shared" si="28"/>
        <v/>
      </c>
      <c r="AF177" s="344" t="str">
        <f t="shared" si="29"/>
        <v/>
      </c>
      <c r="AG177" s="561" t="str">
        <f t="shared" si="22"/>
        <v/>
      </c>
      <c r="AH177" s="561" t="str">
        <f t="shared" si="23"/>
        <v/>
      </c>
      <c r="AI177" s="313"/>
    </row>
    <row r="178" spans="1:35" outlineLevel="3" x14ac:dyDescent="0.2">
      <c r="A178" s="39">
        <v>4</v>
      </c>
      <c r="B178" s="23">
        <v>256010</v>
      </c>
      <c r="C178" s="23" t="s">
        <v>128</v>
      </c>
      <c r="D178" s="300">
        <f>Table22[[#This Row],[Level used for acute calculation]]</f>
        <v>4</v>
      </c>
      <c r="E178" s="302">
        <f>Table22[[#This Row],[MRL individual commodity]]</f>
        <v>0</v>
      </c>
      <c r="F178" s="451">
        <f>Table22[[#This Row],[Acute RA input value]]</f>
        <v>0</v>
      </c>
      <c r="G178" s="301" t="str">
        <f>Table22[[#This Row],[Acute RA label]]</f>
        <v/>
      </c>
      <c r="H178" s="303">
        <f>Table22[[#This Row],[Acute RA IESTI new input value]]</f>
        <v>0</v>
      </c>
      <c r="I178" s="301" t="str">
        <f>Table22[[#This Row],[Acute RA IESTI new label]]</f>
        <v/>
      </c>
      <c r="J178" s="504"/>
      <c r="K178" s="544">
        <f>Table22[[#This Row],[GAP under assessment]]</f>
        <v>0</v>
      </c>
      <c r="L178" s="304" t="str">
        <f>IF(input_values!$M178=0,"",input_values!$M178)</f>
        <v/>
      </c>
      <c r="M178" s="301" t="str">
        <f>IF(input_values!H178=0,"",input_values!H178)</f>
        <v/>
      </c>
      <c r="N178" s="304">
        <f>input_values!$K178</f>
        <v>0</v>
      </c>
      <c r="O178" s="326">
        <v>1.2921348314606742</v>
      </c>
      <c r="P178" s="22">
        <v>100</v>
      </c>
      <c r="Q178" s="22" t="s">
        <v>93</v>
      </c>
      <c r="R178" s="326">
        <v>17.8</v>
      </c>
      <c r="S178" s="328">
        <f t="shared" si="24"/>
        <v>23</v>
      </c>
      <c r="T178" s="338" t="s">
        <v>617</v>
      </c>
      <c r="U178" s="129" t="s">
        <v>215</v>
      </c>
      <c r="V178" s="338" t="s">
        <v>617</v>
      </c>
      <c r="W178" s="129" t="s">
        <v>215</v>
      </c>
      <c r="X178" s="1464">
        <f>IF(V178="ND","ND",IF(S178="","",IF(OR(MID(C178,1,4)="milk",AND(MID(B178,1,2)="50",NOT(input_values!M178="Y")),AND(MID(B178,1,2)="40",NOT(input_values!M178="Y")),AND(MID(B178,1,2)="30",NOT(input_values!M178="Y"))),3,IF(OR(V178="&lt;25",B178&gt;1000000),1,IF((T178&gt;=S178),"2b","2a")))))</f>
        <v>1</v>
      </c>
      <c r="Y178" s="22">
        <f>IF(X178="ND","ND",IF(S178="","",IF(input_values!K178&gt;0,input_values!K178,IF(OR(X178=1,X178=3),1,IF((V178&gt;250),5,7)))))</f>
        <v>1</v>
      </c>
      <c r="Z178" s="330" t="str">
        <f t="shared" si="25"/>
        <v/>
      </c>
      <c r="AA178" s="331">
        <f t="shared" si="20"/>
        <v>0</v>
      </c>
      <c r="AB178" s="27">
        <f t="shared" si="26"/>
        <v>1</v>
      </c>
      <c r="AC178" s="330" t="str">
        <f t="shared" si="27"/>
        <v/>
      </c>
      <c r="AD178" s="332">
        <f t="shared" si="21"/>
        <v>0</v>
      </c>
      <c r="AE178" s="333" t="str">
        <f t="shared" si="28"/>
        <v/>
      </c>
      <c r="AF178" s="333" t="str">
        <f t="shared" si="29"/>
        <v/>
      </c>
      <c r="AG178" s="561" t="str">
        <f t="shared" si="22"/>
        <v/>
      </c>
      <c r="AH178" s="561" t="str">
        <f t="shared" si="23"/>
        <v/>
      </c>
      <c r="AI178" s="313"/>
    </row>
    <row r="179" spans="1:35" outlineLevel="3" x14ac:dyDescent="0.2">
      <c r="A179" s="39">
        <v>4</v>
      </c>
      <c r="B179" s="23">
        <v>256020</v>
      </c>
      <c r="C179" s="23" t="s">
        <v>129</v>
      </c>
      <c r="D179" s="300">
        <f>Table22[[#This Row],[Level used for acute calculation]]</f>
        <v>4</v>
      </c>
      <c r="E179" s="302">
        <f>Table22[[#This Row],[MRL individual commodity]]</f>
        <v>0</v>
      </c>
      <c r="F179" s="451">
        <f>Table22[[#This Row],[Acute RA input value]]</f>
        <v>0</v>
      </c>
      <c r="G179" s="301" t="str">
        <f>Table22[[#This Row],[Acute RA label]]</f>
        <v/>
      </c>
      <c r="H179" s="303">
        <f>Table22[[#This Row],[Acute RA IESTI new input value]]</f>
        <v>0</v>
      </c>
      <c r="I179" s="301" t="str">
        <f>Table22[[#This Row],[Acute RA IESTI new label]]</f>
        <v/>
      </c>
      <c r="J179" s="504"/>
      <c r="K179" s="544">
        <f>Table22[[#This Row],[GAP under assessment]]</f>
        <v>0</v>
      </c>
      <c r="L179" s="304" t="str">
        <f>IF(input_values!$M179=0,"",input_values!$M179)</f>
        <v/>
      </c>
      <c r="M179" s="301" t="str">
        <f>IF(input_values!H179=0,"",input_values!H179)</f>
        <v/>
      </c>
      <c r="N179" s="304">
        <f>input_values!$K179</f>
        <v>0</v>
      </c>
      <c r="O179" s="326">
        <v>0.82</v>
      </c>
      <c r="P179" s="22">
        <v>97.5</v>
      </c>
      <c r="Q179" s="22" t="s">
        <v>97</v>
      </c>
      <c r="R179" s="326">
        <v>32.299999999999997</v>
      </c>
      <c r="S179" s="328">
        <f t="shared" si="24"/>
        <v>26.485999999999997</v>
      </c>
      <c r="T179" s="338" t="s">
        <v>617</v>
      </c>
      <c r="U179" s="129" t="s">
        <v>215</v>
      </c>
      <c r="V179" s="338" t="s">
        <v>617</v>
      </c>
      <c r="W179" s="129" t="s">
        <v>215</v>
      </c>
      <c r="X179" s="1464">
        <f>IF(V179="ND","ND",IF(S179="","",IF(OR(MID(C179,1,4)="milk",AND(MID(B179,1,2)="50",NOT(input_values!M179="Y")),AND(MID(B179,1,2)="40",NOT(input_values!M179="Y")),AND(MID(B179,1,2)="30",NOT(input_values!M179="Y"))),3,IF(OR(V179="&lt;25",B179&gt;1000000),1,IF((T179&gt;=S179),"2b","2a")))))</f>
        <v>1</v>
      </c>
      <c r="Y179" s="22">
        <f>IF(X179="ND","ND",IF(S179="","",IF(input_values!K179&gt;0,input_values!K179,IF(OR(X179=1,X179=3),1,IF((V179&gt;250),5,7)))))</f>
        <v>1</v>
      </c>
      <c r="Z179" s="330" t="str">
        <f t="shared" si="25"/>
        <v/>
      </c>
      <c r="AA179" s="331">
        <f t="shared" si="20"/>
        <v>0</v>
      </c>
      <c r="AB179" s="27">
        <f t="shared" si="26"/>
        <v>1</v>
      </c>
      <c r="AC179" s="330" t="str">
        <f t="shared" si="27"/>
        <v/>
      </c>
      <c r="AD179" s="332">
        <f t="shared" si="21"/>
        <v>0</v>
      </c>
      <c r="AE179" s="333" t="str">
        <f t="shared" si="28"/>
        <v/>
      </c>
      <c r="AF179" s="333" t="str">
        <f t="shared" si="29"/>
        <v/>
      </c>
      <c r="AG179" s="561" t="str">
        <f t="shared" si="22"/>
        <v/>
      </c>
      <c r="AH179" s="561" t="str">
        <f t="shared" si="23"/>
        <v/>
      </c>
      <c r="AI179" s="313"/>
    </row>
    <row r="180" spans="1:35" outlineLevel="3" x14ac:dyDescent="0.2">
      <c r="A180" s="39">
        <v>4</v>
      </c>
      <c r="B180" s="23">
        <v>256030</v>
      </c>
      <c r="C180" s="23" t="s">
        <v>130</v>
      </c>
      <c r="D180" s="300">
        <f>Table22[[#This Row],[Level used for acute calculation]]</f>
        <v>4</v>
      </c>
      <c r="E180" s="302">
        <f>Table22[[#This Row],[MRL individual commodity]]</f>
        <v>0</v>
      </c>
      <c r="F180" s="451">
        <f>Table22[[#This Row],[Acute RA input value]]</f>
        <v>0</v>
      </c>
      <c r="G180" s="301" t="str">
        <f>Table22[[#This Row],[Acute RA label]]</f>
        <v/>
      </c>
      <c r="H180" s="303">
        <f>Table22[[#This Row],[Acute RA IESTI new input value]]</f>
        <v>0</v>
      </c>
      <c r="I180" s="301" t="str">
        <f>Table22[[#This Row],[Acute RA IESTI new label]]</f>
        <v/>
      </c>
      <c r="J180" s="504"/>
      <c r="K180" s="544">
        <f>Table22[[#This Row],[GAP under assessment]]</f>
        <v>0</v>
      </c>
      <c r="L180" s="304" t="str">
        <f>IF(input_values!$M180=0,"",input_values!$M180)</f>
        <v/>
      </c>
      <c r="M180" s="301" t="str">
        <f>IF(input_values!H180=0,"",input_values!H180)</f>
        <v/>
      </c>
      <c r="N180" s="304">
        <f>input_values!$K180</f>
        <v>0</v>
      </c>
      <c r="O180" s="603">
        <v>0.48</v>
      </c>
      <c r="P180" s="27">
        <v>90</v>
      </c>
      <c r="Q180" s="27" t="s">
        <v>329</v>
      </c>
      <c r="R180" s="603">
        <v>10.199999999999999</v>
      </c>
      <c r="S180" s="455">
        <f t="shared" si="24"/>
        <v>4.8959999999999999</v>
      </c>
      <c r="T180" s="338" t="s">
        <v>617</v>
      </c>
      <c r="U180" s="129" t="s">
        <v>215</v>
      </c>
      <c r="V180" s="338" t="s">
        <v>617</v>
      </c>
      <c r="W180" s="129" t="s">
        <v>215</v>
      </c>
      <c r="X180" s="1464">
        <f>IF(V180="ND","ND",IF(S180="","",IF(OR(MID(C180,1,4)="milk",AND(MID(B180,1,2)="50",NOT(input_values!M180="Y")),AND(MID(B180,1,2)="40",NOT(input_values!M180="Y")),AND(MID(B180,1,2)="30",NOT(input_values!M180="Y"))),3,IF(OR(V180="&lt;25",B180&gt;1000000),1,IF((T180&gt;=S180),"2b","2a")))))</f>
        <v>1</v>
      </c>
      <c r="Y180" s="22">
        <f>IF(X180="ND","ND",IF(S180="","",IF(input_values!K180&gt;0,input_values!K180,IF(OR(X180=1,X180=3),1,IF((V180&gt;250),5,7)))))</f>
        <v>1</v>
      </c>
      <c r="Z180" s="330" t="str">
        <f t="shared" si="25"/>
        <v/>
      </c>
      <c r="AA180" s="331">
        <f t="shared" si="20"/>
        <v>0</v>
      </c>
      <c r="AB180" s="27">
        <f t="shared" si="26"/>
        <v>1</v>
      </c>
      <c r="AC180" s="330" t="str">
        <f t="shared" si="27"/>
        <v/>
      </c>
      <c r="AD180" s="332">
        <f t="shared" si="21"/>
        <v>0</v>
      </c>
      <c r="AE180" s="333" t="str">
        <f t="shared" si="28"/>
        <v/>
      </c>
      <c r="AF180" s="333" t="str">
        <f t="shared" si="29"/>
        <v/>
      </c>
      <c r="AG180" s="561" t="str">
        <f t="shared" si="22"/>
        <v/>
      </c>
      <c r="AH180" s="561" t="str">
        <f t="shared" si="23"/>
        <v/>
      </c>
      <c r="AI180" s="313"/>
    </row>
    <row r="181" spans="1:35" outlineLevel="3" x14ac:dyDescent="0.2">
      <c r="A181" s="39">
        <v>4</v>
      </c>
      <c r="B181" s="23">
        <v>256040</v>
      </c>
      <c r="C181" s="23" t="s">
        <v>131</v>
      </c>
      <c r="D181" s="300">
        <f>Table22[[#This Row],[Level used for acute calculation]]</f>
        <v>4</v>
      </c>
      <c r="E181" s="302">
        <f>Table22[[#This Row],[MRL individual commodity]]</f>
        <v>0</v>
      </c>
      <c r="F181" s="451">
        <f>Table22[[#This Row],[Acute RA input value]]</f>
        <v>0</v>
      </c>
      <c r="G181" s="301" t="str">
        <f>Table22[[#This Row],[Acute RA label]]</f>
        <v/>
      </c>
      <c r="H181" s="303">
        <f>Table22[[#This Row],[Acute RA IESTI new input value]]</f>
        <v>0</v>
      </c>
      <c r="I181" s="301" t="str">
        <f>Table22[[#This Row],[Acute RA IESTI new label]]</f>
        <v/>
      </c>
      <c r="J181" s="504"/>
      <c r="K181" s="544">
        <f>Table22[[#This Row],[GAP under assessment]]</f>
        <v>0</v>
      </c>
      <c r="L181" s="304" t="str">
        <f>IF(input_values!$M181=0,"",input_values!$M181)</f>
        <v/>
      </c>
      <c r="M181" s="301" t="str">
        <f>IF(input_values!H181=0,"",input_values!H181)</f>
        <v/>
      </c>
      <c r="N181" s="304">
        <f>input_values!$K181</f>
        <v>0</v>
      </c>
      <c r="O181" s="326">
        <v>1.093851132686084</v>
      </c>
      <c r="P181" s="22">
        <v>97.5</v>
      </c>
      <c r="Q181" s="22" t="s">
        <v>94</v>
      </c>
      <c r="R181" s="326">
        <v>30.9</v>
      </c>
      <c r="S181" s="328">
        <f t="shared" si="24"/>
        <v>33.799999999999997</v>
      </c>
      <c r="T181" s="338" t="s">
        <v>617</v>
      </c>
      <c r="U181" s="129" t="s">
        <v>215</v>
      </c>
      <c r="V181" s="338" t="s">
        <v>617</v>
      </c>
      <c r="W181" s="129" t="s">
        <v>215</v>
      </c>
      <c r="X181" s="1464">
        <f>IF(V181="ND","ND",IF(S181="","",IF(OR(MID(C181,1,4)="milk",AND(MID(B181,1,2)="50",NOT(input_values!M181="Y")),AND(MID(B181,1,2)="40",NOT(input_values!M181="Y")),AND(MID(B181,1,2)="30",NOT(input_values!M181="Y"))),3,IF(OR(V181="&lt;25",B181&gt;1000000),1,IF((T181&gt;=S181),"2b","2a")))))</f>
        <v>1</v>
      </c>
      <c r="Y181" s="22">
        <f>IF(X181="ND","ND",IF(S181="","",IF(input_values!K181&gt;0,input_values!K181,IF(OR(X181=1,X181=3),1,IF((V181&gt;250),5,7)))))</f>
        <v>1</v>
      </c>
      <c r="Z181" s="330" t="str">
        <f t="shared" si="25"/>
        <v/>
      </c>
      <c r="AA181" s="331">
        <f t="shared" si="20"/>
        <v>0</v>
      </c>
      <c r="AB181" s="27">
        <f t="shared" si="26"/>
        <v>1</v>
      </c>
      <c r="AC181" s="330" t="str">
        <f t="shared" si="27"/>
        <v/>
      </c>
      <c r="AD181" s="332">
        <f t="shared" si="21"/>
        <v>0</v>
      </c>
      <c r="AE181" s="333" t="str">
        <f t="shared" si="28"/>
        <v/>
      </c>
      <c r="AF181" s="333" t="str">
        <f t="shared" si="29"/>
        <v/>
      </c>
      <c r="AG181" s="561" t="str">
        <f t="shared" si="22"/>
        <v/>
      </c>
      <c r="AH181" s="561" t="str">
        <f t="shared" si="23"/>
        <v/>
      </c>
      <c r="AI181" s="313"/>
    </row>
    <row r="182" spans="1:35" outlineLevel="3" x14ac:dyDescent="0.2">
      <c r="A182" s="39">
        <v>4</v>
      </c>
      <c r="B182" s="23">
        <v>256050</v>
      </c>
      <c r="C182" s="23" t="s">
        <v>132</v>
      </c>
      <c r="D182" s="300">
        <f>Table22[[#This Row],[Level used for acute calculation]]</f>
        <v>4</v>
      </c>
      <c r="E182" s="302">
        <f>Table22[[#This Row],[MRL individual commodity]]</f>
        <v>0</v>
      </c>
      <c r="F182" s="451">
        <f>Table22[[#This Row],[Acute RA input value]]</f>
        <v>0</v>
      </c>
      <c r="G182" s="301" t="str">
        <f>Table22[[#This Row],[Acute RA label]]</f>
        <v/>
      </c>
      <c r="H182" s="303">
        <f>Table22[[#This Row],[Acute RA IESTI new input value]]</f>
        <v>0</v>
      </c>
      <c r="I182" s="301" t="str">
        <f>Table22[[#This Row],[Acute RA IESTI new label]]</f>
        <v/>
      </c>
      <c r="J182" s="504"/>
      <c r="K182" s="544">
        <f>Table22[[#This Row],[GAP under assessment]]</f>
        <v>0</v>
      </c>
      <c r="L182" s="304" t="str">
        <f>IF(input_values!$M182=0,"",input_values!$M182)</f>
        <v/>
      </c>
      <c r="M182" s="301" t="str">
        <f>IF(input_values!H182=0,"",input_values!H182)</f>
        <v/>
      </c>
      <c r="N182" s="304">
        <f>input_values!$K182</f>
        <v>0</v>
      </c>
      <c r="O182" s="326">
        <v>0.75703900000000002</v>
      </c>
      <c r="P182" s="22">
        <v>97.5</v>
      </c>
      <c r="Q182" s="22" t="s">
        <v>330</v>
      </c>
      <c r="R182" s="326">
        <v>20</v>
      </c>
      <c r="S182" s="328">
        <f t="shared" si="24"/>
        <v>15.140779999999999</v>
      </c>
      <c r="T182" s="338" t="s">
        <v>617</v>
      </c>
      <c r="U182" s="129" t="s">
        <v>215</v>
      </c>
      <c r="V182" s="338" t="s">
        <v>617</v>
      </c>
      <c r="W182" s="129" t="s">
        <v>215</v>
      </c>
      <c r="X182" s="1464">
        <f>IF(V182="ND","ND",IF(S182="","",IF(OR(MID(C182,1,4)="milk",AND(MID(B182,1,2)="50",NOT(input_values!M182="Y")),AND(MID(B182,1,2)="40",NOT(input_values!M182="Y")),AND(MID(B182,1,2)="30",NOT(input_values!M182="Y"))),3,IF(OR(V182="&lt;25",B182&gt;1000000),1,IF((T182&gt;=S182),"2b","2a")))))</f>
        <v>1</v>
      </c>
      <c r="Y182" s="22">
        <f>IF(X182="ND","ND",IF(S182="","",IF(input_values!K182&gt;0,input_values!K182,IF(OR(X182=1,X182=3),1,IF((V182&gt;250),5,7)))))</f>
        <v>1</v>
      </c>
      <c r="Z182" s="330" t="str">
        <f t="shared" si="25"/>
        <v/>
      </c>
      <c r="AA182" s="331">
        <f t="shared" si="20"/>
        <v>0</v>
      </c>
      <c r="AB182" s="27">
        <f t="shared" si="26"/>
        <v>1</v>
      </c>
      <c r="AC182" s="330" t="str">
        <f t="shared" si="27"/>
        <v/>
      </c>
      <c r="AD182" s="332">
        <f t="shared" si="21"/>
        <v>0</v>
      </c>
      <c r="AE182" s="333" t="str">
        <f t="shared" si="28"/>
        <v/>
      </c>
      <c r="AF182" s="333" t="str">
        <f t="shared" si="29"/>
        <v/>
      </c>
      <c r="AG182" s="561" t="str">
        <f t="shared" si="22"/>
        <v/>
      </c>
      <c r="AH182" s="561" t="str">
        <f t="shared" si="23"/>
        <v/>
      </c>
      <c r="AI182" s="313"/>
    </row>
    <row r="183" spans="1:35" outlineLevel="3" x14ac:dyDescent="0.2">
      <c r="A183" s="39">
        <v>4</v>
      </c>
      <c r="B183" s="23">
        <v>256060</v>
      </c>
      <c r="C183" s="23" t="s">
        <v>133</v>
      </c>
      <c r="D183" s="300">
        <f>Table22[[#This Row],[Level used for acute calculation]]</f>
        <v>4</v>
      </c>
      <c r="E183" s="302">
        <f>Table22[[#This Row],[MRL individual commodity]]</f>
        <v>0</v>
      </c>
      <c r="F183" s="451">
        <f>Table22[[#This Row],[Acute RA input value]]</f>
        <v>0</v>
      </c>
      <c r="G183" s="301" t="str">
        <f>Table22[[#This Row],[Acute RA label]]</f>
        <v/>
      </c>
      <c r="H183" s="303">
        <f>Table22[[#This Row],[Acute RA IESTI new input value]]</f>
        <v>0</v>
      </c>
      <c r="I183" s="301" t="str">
        <f>Table22[[#This Row],[Acute RA IESTI new label]]</f>
        <v/>
      </c>
      <c r="J183" s="504"/>
      <c r="K183" s="544">
        <f>Table22[[#This Row],[GAP under assessment]]</f>
        <v>0</v>
      </c>
      <c r="L183" s="304" t="str">
        <f>IF(input_values!$M183=0,"",input_values!$M183)</f>
        <v/>
      </c>
      <c r="M183" s="301" t="str">
        <f>IF(input_values!H183=0,"",input_values!H183)</f>
        <v/>
      </c>
      <c r="N183" s="304">
        <f>input_values!$K183</f>
        <v>0</v>
      </c>
      <c r="O183" s="326">
        <v>0.03</v>
      </c>
      <c r="P183" s="22">
        <v>97.5</v>
      </c>
      <c r="Q183" s="22" t="s">
        <v>256</v>
      </c>
      <c r="R183" s="326">
        <v>16.149999999999999</v>
      </c>
      <c r="S183" s="328">
        <f t="shared" si="24"/>
        <v>0.48449999999999993</v>
      </c>
      <c r="T183" s="338" t="s">
        <v>617</v>
      </c>
      <c r="U183" s="129" t="s">
        <v>215</v>
      </c>
      <c r="V183" s="338" t="s">
        <v>617</v>
      </c>
      <c r="W183" s="129" t="s">
        <v>215</v>
      </c>
      <c r="X183" s="1464">
        <f>IF(V183="ND","ND",IF(S183="","",IF(OR(MID(C183,1,4)="milk",AND(MID(B183,1,2)="50",NOT(input_values!M183="Y")),AND(MID(B183,1,2)="40",NOT(input_values!M183="Y")),AND(MID(B183,1,2)="30",NOT(input_values!M183="Y"))),3,IF(OR(V183="&lt;25",B183&gt;1000000),1,IF((T183&gt;=S183),"2b","2a")))))</f>
        <v>1</v>
      </c>
      <c r="Y183" s="22">
        <f>IF(X183="ND","ND",IF(S183="","",IF(input_values!K183&gt;0,input_values!K183,IF(OR(X183=1,X183=3),1,IF((V183&gt;250),5,7)))))</f>
        <v>1</v>
      </c>
      <c r="Z183" s="330" t="str">
        <f t="shared" si="25"/>
        <v/>
      </c>
      <c r="AA183" s="331">
        <f t="shared" si="20"/>
        <v>0</v>
      </c>
      <c r="AB183" s="27">
        <f t="shared" si="26"/>
        <v>1</v>
      </c>
      <c r="AC183" s="330" t="str">
        <f t="shared" si="27"/>
        <v/>
      </c>
      <c r="AD183" s="332">
        <f t="shared" si="21"/>
        <v>0</v>
      </c>
      <c r="AE183" s="333" t="str">
        <f t="shared" si="28"/>
        <v/>
      </c>
      <c r="AF183" s="333" t="str">
        <f t="shared" si="29"/>
        <v/>
      </c>
      <c r="AG183" s="561" t="str">
        <f t="shared" si="22"/>
        <v/>
      </c>
      <c r="AH183" s="561" t="str">
        <f t="shared" si="23"/>
        <v/>
      </c>
      <c r="AI183" s="313"/>
    </row>
    <row r="184" spans="1:35" outlineLevel="3" x14ac:dyDescent="0.2">
      <c r="A184" s="39">
        <v>4</v>
      </c>
      <c r="B184" s="23">
        <v>256070</v>
      </c>
      <c r="C184" s="23" t="s">
        <v>134</v>
      </c>
      <c r="D184" s="300">
        <f>Table22[[#This Row],[Level used for acute calculation]]</f>
        <v>4</v>
      </c>
      <c r="E184" s="302">
        <f>Table22[[#This Row],[MRL individual commodity]]</f>
        <v>0</v>
      </c>
      <c r="F184" s="451">
        <f>Table22[[#This Row],[Acute RA input value]]</f>
        <v>0</v>
      </c>
      <c r="G184" s="301" t="str">
        <f>Table22[[#This Row],[Acute RA label]]</f>
        <v/>
      </c>
      <c r="H184" s="303">
        <f>Table22[[#This Row],[Acute RA IESTI new input value]]</f>
        <v>0</v>
      </c>
      <c r="I184" s="301" t="str">
        <f>Table22[[#This Row],[Acute RA IESTI new label]]</f>
        <v/>
      </c>
      <c r="J184" s="504"/>
      <c r="K184" s="544">
        <f>Table22[[#This Row],[GAP under assessment]]</f>
        <v>0</v>
      </c>
      <c r="L184" s="304" t="str">
        <f>IF(input_values!$M184=0,"",input_values!$M184)</f>
        <v/>
      </c>
      <c r="M184" s="301" t="str">
        <f>IF(input_values!H184=0,"",input_values!H184)</f>
        <v/>
      </c>
      <c r="N184" s="304">
        <f>input_values!$K184</f>
        <v>0</v>
      </c>
      <c r="O184" s="326">
        <v>0.06</v>
      </c>
      <c r="P184" s="22">
        <v>97.5</v>
      </c>
      <c r="Q184" s="22" t="s">
        <v>256</v>
      </c>
      <c r="R184" s="326">
        <v>16.149999999999999</v>
      </c>
      <c r="S184" s="328">
        <f t="shared" si="24"/>
        <v>0.96899999999999986</v>
      </c>
      <c r="T184" s="338" t="s">
        <v>617</v>
      </c>
      <c r="U184" s="129" t="s">
        <v>215</v>
      </c>
      <c r="V184" s="338" t="s">
        <v>617</v>
      </c>
      <c r="W184" s="129" t="s">
        <v>215</v>
      </c>
      <c r="X184" s="1464">
        <f>IF(V184="ND","ND",IF(S184="","",IF(OR(MID(C184,1,4)="milk",AND(MID(B184,1,2)="50",NOT(input_values!M184="Y")),AND(MID(B184,1,2)="40",NOT(input_values!M184="Y")),AND(MID(B184,1,2)="30",NOT(input_values!M184="Y"))),3,IF(OR(V184="&lt;25",B184&gt;1000000),1,IF((T184&gt;=S184),"2b","2a")))))</f>
        <v>1</v>
      </c>
      <c r="Y184" s="22">
        <f>IF(X184="ND","ND",IF(S184="","",IF(input_values!K184&gt;0,input_values!K184,IF(OR(X184=1,X184=3),1,IF((V184&gt;250),5,7)))))</f>
        <v>1</v>
      </c>
      <c r="Z184" s="330" t="str">
        <f t="shared" si="25"/>
        <v/>
      </c>
      <c r="AA184" s="331">
        <f t="shared" si="20"/>
        <v>0</v>
      </c>
      <c r="AB184" s="27">
        <f t="shared" si="26"/>
        <v>1</v>
      </c>
      <c r="AC184" s="330" t="str">
        <f t="shared" si="27"/>
        <v/>
      </c>
      <c r="AD184" s="332">
        <f t="shared" si="21"/>
        <v>0</v>
      </c>
      <c r="AE184" s="333" t="str">
        <f t="shared" si="28"/>
        <v/>
      </c>
      <c r="AF184" s="333" t="str">
        <f t="shared" si="29"/>
        <v/>
      </c>
      <c r="AG184" s="561" t="str">
        <f t="shared" si="22"/>
        <v/>
      </c>
      <c r="AH184" s="561" t="str">
        <f t="shared" si="23"/>
        <v/>
      </c>
      <c r="AI184" s="313"/>
    </row>
    <row r="185" spans="1:35" outlineLevel="3" x14ac:dyDescent="0.2">
      <c r="A185" s="39">
        <v>4</v>
      </c>
      <c r="B185" s="23">
        <v>256080</v>
      </c>
      <c r="C185" s="23" t="s">
        <v>735</v>
      </c>
      <c r="D185" s="300">
        <f>Table22[[#This Row],[Level used for acute calculation]]</f>
        <v>4</v>
      </c>
      <c r="E185" s="302">
        <f>Table22[[#This Row],[MRL individual commodity]]</f>
        <v>0</v>
      </c>
      <c r="F185" s="451">
        <f>Table22[[#This Row],[Acute RA input value]]</f>
        <v>0</v>
      </c>
      <c r="G185" s="301" t="str">
        <f>Table22[[#This Row],[Acute RA label]]</f>
        <v/>
      </c>
      <c r="H185" s="303">
        <f>Table22[[#This Row],[Acute RA IESTI new input value]]</f>
        <v>0</v>
      </c>
      <c r="I185" s="301" t="str">
        <f>Table22[[#This Row],[Acute RA IESTI new label]]</f>
        <v/>
      </c>
      <c r="J185" s="504"/>
      <c r="K185" s="544">
        <f>Table22[[#This Row],[GAP under assessment]]</f>
        <v>0</v>
      </c>
      <c r="L185" s="304" t="str">
        <f>IF(input_values!$M185=0,"",input_values!$M185)</f>
        <v/>
      </c>
      <c r="M185" s="301" t="str">
        <f>IF(input_values!H185=0,"",input_values!H185)</f>
        <v/>
      </c>
      <c r="N185" s="304">
        <f>input_values!$K185</f>
        <v>0</v>
      </c>
      <c r="O185" s="326">
        <v>0.73</v>
      </c>
      <c r="P185" s="22">
        <v>97.5</v>
      </c>
      <c r="Q185" s="22" t="s">
        <v>256</v>
      </c>
      <c r="R185" s="326">
        <v>16.149999999999999</v>
      </c>
      <c r="S185" s="328">
        <f t="shared" si="24"/>
        <v>11.789499999999999</v>
      </c>
      <c r="T185" s="338" t="s">
        <v>617</v>
      </c>
      <c r="U185" s="129" t="s">
        <v>215</v>
      </c>
      <c r="V185" s="338" t="s">
        <v>617</v>
      </c>
      <c r="W185" s="129" t="s">
        <v>215</v>
      </c>
      <c r="X185" s="1464">
        <f>IF(V185="ND","ND",IF(S185="","",IF(OR(MID(C185,1,4)="milk",AND(MID(B185,1,2)="50",NOT(input_values!M185="Y")),AND(MID(B185,1,2)="40",NOT(input_values!M185="Y")),AND(MID(B185,1,2)="30",NOT(input_values!M185="Y"))),3,IF(OR(V185="&lt;25",B185&gt;1000000),1,IF((T185&gt;=S185),"2b","2a")))))</f>
        <v>1</v>
      </c>
      <c r="Y185" s="22">
        <f>IF(X185="ND","ND",IF(S185="","",IF(input_values!K185&gt;0,input_values!K185,IF(OR(X185=1,X185=3),1,IF((V185&gt;250),5,7)))))</f>
        <v>1</v>
      </c>
      <c r="Z185" s="330" t="str">
        <f t="shared" si="25"/>
        <v/>
      </c>
      <c r="AA185" s="331">
        <f t="shared" si="20"/>
        <v>0</v>
      </c>
      <c r="AB185" s="27">
        <f t="shared" si="26"/>
        <v>1</v>
      </c>
      <c r="AC185" s="330" t="str">
        <f t="shared" si="27"/>
        <v/>
      </c>
      <c r="AD185" s="332">
        <f t="shared" si="21"/>
        <v>0</v>
      </c>
      <c r="AE185" s="333" t="str">
        <f t="shared" si="28"/>
        <v/>
      </c>
      <c r="AF185" s="333" t="str">
        <f t="shared" si="29"/>
        <v/>
      </c>
      <c r="AG185" s="561" t="str">
        <f t="shared" si="22"/>
        <v/>
      </c>
      <c r="AH185" s="561" t="str">
        <f t="shared" si="23"/>
        <v/>
      </c>
      <c r="AI185" s="313"/>
    </row>
    <row r="186" spans="1:35" ht="12.75" outlineLevel="3" x14ac:dyDescent="0.2">
      <c r="A186" s="39">
        <v>4</v>
      </c>
      <c r="B186" s="23">
        <v>256090</v>
      </c>
      <c r="C186" s="28" t="s">
        <v>736</v>
      </c>
      <c r="D186" s="300">
        <f>Table22[[#This Row],[Level used for acute calculation]]</f>
        <v>4</v>
      </c>
      <c r="E186" s="302">
        <f>Table22[[#This Row],[MRL individual commodity]]</f>
        <v>0</v>
      </c>
      <c r="F186" s="451">
        <f>Table22[[#This Row],[Acute RA input value]]</f>
        <v>0</v>
      </c>
      <c r="G186" s="301" t="str">
        <f>Table22[[#This Row],[Acute RA label]]</f>
        <v/>
      </c>
      <c r="H186" s="303">
        <f>Table22[[#This Row],[Acute RA IESTI new input value]]</f>
        <v>0</v>
      </c>
      <c r="I186" s="301" t="str">
        <f>Table22[[#This Row],[Acute RA IESTI new label]]</f>
        <v/>
      </c>
      <c r="J186" s="504"/>
      <c r="K186" s="544">
        <f>Table22[[#This Row],[GAP under assessment]]</f>
        <v>0</v>
      </c>
      <c r="L186" s="304" t="str">
        <f>IF(input_values!$M186=0,"",input_values!$M186)</f>
        <v/>
      </c>
      <c r="M186" s="301" t="str">
        <f>IF(input_values!H186=0,"",input_values!H186)</f>
        <v/>
      </c>
      <c r="N186" s="304">
        <f>input_values!$K186</f>
        <v>0</v>
      </c>
      <c r="O186" s="1125">
        <v>0.01</v>
      </c>
      <c r="P186" s="22">
        <v>97.5</v>
      </c>
      <c r="Q186" s="22" t="s">
        <v>1010</v>
      </c>
      <c r="R186" s="326">
        <v>45.3</v>
      </c>
      <c r="S186" s="328">
        <f t="shared" si="24"/>
        <v>0.45299999999999996</v>
      </c>
      <c r="T186" s="338" t="s">
        <v>617</v>
      </c>
      <c r="U186" s="129" t="s">
        <v>215</v>
      </c>
      <c r="V186" s="338" t="s">
        <v>617</v>
      </c>
      <c r="W186" s="129" t="s">
        <v>215</v>
      </c>
      <c r="X186" s="1464">
        <f>IF(V186="ND","ND",IF(S186="","",IF(OR(MID(C186,1,4)="milk",AND(MID(B186,1,2)="50",NOT(input_values!M186="Y")),AND(MID(B186,1,2)="40",NOT(input_values!M186="Y")),AND(MID(B186,1,2)="30",NOT(input_values!M186="Y"))),3,IF(OR(V186="&lt;25",B186&gt;1000000),1,IF((T186&gt;=S186),"2b","2a")))))</f>
        <v>1</v>
      </c>
      <c r="Y186" s="22">
        <f>IF(X186="ND","ND",IF(S186="","",IF(input_values!K186&gt;0,input_values!K186,IF(OR(X186=1,X186=3),1,IF((V186&gt;250),5,7)))))</f>
        <v>1</v>
      </c>
      <c r="Z186" s="330" t="str">
        <f t="shared" si="25"/>
        <v/>
      </c>
      <c r="AA186" s="331">
        <f t="shared" si="20"/>
        <v>0</v>
      </c>
      <c r="AB186" s="27">
        <f t="shared" si="26"/>
        <v>1</v>
      </c>
      <c r="AC186" s="330" t="str">
        <f t="shared" si="27"/>
        <v/>
      </c>
      <c r="AD186" s="332">
        <f t="shared" si="21"/>
        <v>0</v>
      </c>
      <c r="AE186" s="333" t="str">
        <f t="shared" si="28"/>
        <v/>
      </c>
      <c r="AF186" s="333" t="str">
        <f t="shared" si="29"/>
        <v/>
      </c>
      <c r="AG186" s="561" t="str">
        <f t="shared" si="22"/>
        <v/>
      </c>
      <c r="AH186" s="561" t="str">
        <f t="shared" si="23"/>
        <v/>
      </c>
      <c r="AI186" s="313"/>
    </row>
    <row r="187" spans="1:35" outlineLevel="3" x14ac:dyDescent="0.2">
      <c r="A187" s="39">
        <v>4</v>
      </c>
      <c r="B187" s="23">
        <v>256100</v>
      </c>
      <c r="C187" s="23" t="s">
        <v>31</v>
      </c>
      <c r="D187" s="300">
        <f>Table22[[#This Row],[Level used for acute calculation]]</f>
        <v>4</v>
      </c>
      <c r="E187" s="302">
        <f>Table22[[#This Row],[MRL individual commodity]]</f>
        <v>0</v>
      </c>
      <c r="F187" s="451">
        <f>Table22[[#This Row],[Acute RA input value]]</f>
        <v>0</v>
      </c>
      <c r="G187" s="301" t="str">
        <f>Table22[[#This Row],[Acute RA label]]</f>
        <v/>
      </c>
      <c r="H187" s="303">
        <f>Table22[[#This Row],[Acute RA IESTI new input value]]</f>
        <v>0</v>
      </c>
      <c r="I187" s="301" t="str">
        <f>Table22[[#This Row],[Acute RA IESTI new label]]</f>
        <v/>
      </c>
      <c r="J187" s="504"/>
      <c r="K187" s="544">
        <f>Table22[[#This Row],[GAP under assessment]]</f>
        <v>0</v>
      </c>
      <c r="L187" s="304" t="str">
        <f>IF(input_values!$M187=0,"",input_values!$M187)</f>
        <v/>
      </c>
      <c r="M187" s="301" t="str">
        <f>IF(input_values!H187=0,"",input_values!H187)</f>
        <v/>
      </c>
      <c r="N187" s="304">
        <f>input_values!$K187</f>
        <v>0</v>
      </c>
      <c r="O187" s="338" t="s">
        <v>618</v>
      </c>
      <c r="P187" s="22"/>
      <c r="Q187" s="22"/>
      <c r="R187" s="330"/>
      <c r="S187" s="31" t="str">
        <f t="shared" si="24"/>
        <v>ND</v>
      </c>
      <c r="T187" s="338" t="s">
        <v>617</v>
      </c>
      <c r="U187" s="129" t="s">
        <v>215</v>
      </c>
      <c r="V187" s="338" t="s">
        <v>617</v>
      </c>
      <c r="W187" s="129" t="s">
        <v>215</v>
      </c>
      <c r="X187" s="460">
        <f>IF(V187="ND","ND",IF(S187="","",IF(OR(MID(C187,1,4)="milk",AND(MID(B187,1,2)="50",NOT(input_values!M187="Y")),AND(MID(B187,1,2)="40",NOT(input_values!M187="Y")),AND(MID(B187,1,2)="30",NOT(input_values!M187="Y"))),3,IF(OR(V187="&lt;25",B187&gt;1000000),1,IF((T187&gt;=S187),"2b","2a")))))</f>
        <v>1</v>
      </c>
      <c r="Y187" s="22">
        <f>IF(X187="ND","ND",IF(S187="","",IF(input_values!K187&gt;0,input_values!K187,IF(OR(X187=1,X187=3),1,IF((V187&gt;250),5,7)))))</f>
        <v>1</v>
      </c>
      <c r="Z187" s="340" t="str">
        <f t="shared" si="25"/>
        <v/>
      </c>
      <c r="AA187" s="332">
        <f t="shared" si="20"/>
        <v>0</v>
      </c>
      <c r="AB187" s="27">
        <f t="shared" si="26"/>
        <v>1</v>
      </c>
      <c r="AC187" s="340" t="str">
        <f t="shared" si="27"/>
        <v/>
      </c>
      <c r="AD187" s="332">
        <f t="shared" si="21"/>
        <v>0</v>
      </c>
      <c r="AE187" s="37" t="str">
        <f t="shared" si="28"/>
        <v/>
      </c>
      <c r="AF187" s="37" t="str">
        <f t="shared" si="29"/>
        <v/>
      </c>
      <c r="AG187" s="561" t="str">
        <f t="shared" si="22"/>
        <v/>
      </c>
      <c r="AH187" s="561" t="str">
        <f t="shared" si="23"/>
        <v/>
      </c>
      <c r="AI187" s="334"/>
    </row>
    <row r="188" spans="1:35" outlineLevel="3" x14ac:dyDescent="0.2">
      <c r="A188" s="39">
        <v>4</v>
      </c>
      <c r="B188" s="23">
        <v>256990</v>
      </c>
      <c r="C188" s="23" t="s">
        <v>175</v>
      </c>
      <c r="D188" s="300">
        <f>Table22[[#This Row],[Level used for acute calculation]]</f>
        <v>0</v>
      </c>
      <c r="E188" s="302">
        <f>Table22[[#This Row],[MRL individual commodity]]</f>
        <v>0</v>
      </c>
      <c r="F188" s="451">
        <f>Table22[[#This Row],[Acute RA input value]]</f>
        <v>0</v>
      </c>
      <c r="G188" s="301">
        <f>Table22[[#This Row],[Acute RA label]]</f>
        <v>0</v>
      </c>
      <c r="H188" s="303">
        <f>Table22[[#This Row],[Acute RA IESTI new input value]]</f>
        <v>0</v>
      </c>
      <c r="I188" s="301">
        <f>Table22[[#This Row],[Acute RA IESTI new label]]</f>
        <v>0</v>
      </c>
      <c r="J188" s="504"/>
      <c r="K188" s="544">
        <f>Table22[[#This Row],[GAP under assessment]]</f>
        <v>0</v>
      </c>
      <c r="L188" s="304" t="str">
        <f>IF(input_values!$M188=0,"",input_values!$M188)</f>
        <v/>
      </c>
      <c r="M188" s="301" t="str">
        <f>IF(input_values!H188=0,"",input_values!H188)</f>
        <v/>
      </c>
      <c r="N188" s="304">
        <f>input_values!$K188</f>
        <v>0</v>
      </c>
      <c r="O188" s="309"/>
      <c r="P188" s="38"/>
      <c r="Q188" s="38"/>
      <c r="R188" s="335"/>
      <c r="S188" s="336" t="str">
        <f t="shared" si="24"/>
        <v/>
      </c>
      <c r="T188" s="305"/>
      <c r="U188" s="570"/>
      <c r="V188" s="305"/>
      <c r="W188" s="570"/>
      <c r="X188" s="611" t="str">
        <f>IF(V188="ND","ND",IF(S188="","",IF(OR(MID(C188,1,4)="milk",AND(MID(B188,1,2)="50",NOT(input_values!M188="Y")),AND(MID(B188,1,2)="40",NOT(input_values!M188="Y")),AND(MID(B188,1,2)="30",NOT(input_values!M188="Y"))),3,IF(OR(V188="&lt;25",B188&gt;1000000),1,IF((T188&gt;=S188),"2b","2a")))))</f>
        <v/>
      </c>
      <c r="Y188" s="38" t="str">
        <f>IF(X188="ND","ND",IF(S188="","",IF(input_values!K188&gt;0,input_values!K188,IF(OR(X188=1,X188=3),1,IF((V188&gt;250),5,7)))))</f>
        <v/>
      </c>
      <c r="Z188" s="335" t="str">
        <f t="shared" si="25"/>
        <v/>
      </c>
      <c r="AA188" s="311">
        <f t="shared" si="20"/>
        <v>0</v>
      </c>
      <c r="AB188" s="38" t="str">
        <f t="shared" si="26"/>
        <v/>
      </c>
      <c r="AC188" s="335" t="str">
        <f t="shared" si="27"/>
        <v/>
      </c>
      <c r="AD188" s="311">
        <f t="shared" si="21"/>
        <v>0</v>
      </c>
      <c r="AE188" s="344" t="str">
        <f t="shared" si="28"/>
        <v/>
      </c>
      <c r="AF188" s="344" t="str">
        <f t="shared" si="29"/>
        <v/>
      </c>
      <c r="AG188" s="561" t="str">
        <f t="shared" si="22"/>
        <v/>
      </c>
      <c r="AH188" s="561" t="str">
        <f t="shared" si="23"/>
        <v/>
      </c>
      <c r="AI188" s="313"/>
    </row>
    <row r="189" spans="1:35" outlineLevel="1" x14ac:dyDescent="0.2">
      <c r="A189" s="130">
        <v>2</v>
      </c>
      <c r="B189" s="131">
        <v>260000</v>
      </c>
      <c r="C189" s="131" t="s">
        <v>354</v>
      </c>
      <c r="D189" s="300">
        <f>Table22[[#This Row],[Level used for acute calculation]]</f>
        <v>4</v>
      </c>
      <c r="E189" s="302">
        <f>Table22[[#This Row],[MRL individual commodity]]</f>
        <v>0</v>
      </c>
      <c r="F189" s="451">
        <f>Table22[[#This Row],[Acute RA input value]]</f>
        <v>0</v>
      </c>
      <c r="G189" s="301">
        <f>Table22[[#This Row],[Acute RA label]]</f>
        <v>0</v>
      </c>
      <c r="H189" s="303">
        <f>Table22[[#This Row],[Acute RA IESTI new input value]]</f>
        <v>0</v>
      </c>
      <c r="I189" s="301">
        <f>Table22[[#This Row],[Acute RA IESTI new label]]</f>
        <v>0</v>
      </c>
      <c r="J189" s="504"/>
      <c r="K189" s="544">
        <f>Table22[[#This Row],[GAP under assessment]]</f>
        <v>0</v>
      </c>
      <c r="L189" s="304" t="str">
        <f>IF(input_values!$M189=0,"",input_values!$M189)</f>
        <v/>
      </c>
      <c r="M189" s="301" t="str">
        <f>IF(input_values!H189=0,"",input_values!H189)</f>
        <v/>
      </c>
      <c r="N189" s="304">
        <f>input_values!$K189</f>
        <v>0</v>
      </c>
      <c r="O189" s="309"/>
      <c r="P189" s="38"/>
      <c r="Q189" s="38"/>
      <c r="R189" s="335"/>
      <c r="S189" s="336" t="str">
        <f t="shared" si="24"/>
        <v/>
      </c>
      <c r="T189" s="315"/>
      <c r="U189" s="321"/>
      <c r="V189" s="315"/>
      <c r="W189" s="321"/>
      <c r="X189" s="611" t="str">
        <f>IF(V189="ND","ND",IF(S189="","",IF(OR(MID(C189,1,4)="milk",AND(MID(B189,1,2)="50",NOT(input_values!M189="Y")),AND(MID(B189,1,2)="40",NOT(input_values!M189="Y")),AND(MID(B189,1,2)="30",NOT(input_values!M189="Y"))),3,IF(OR(V189="&lt;25",B189&gt;1000000),1,IF((T189&gt;=S189),"2b","2a")))))</f>
        <v/>
      </c>
      <c r="Y189" s="38" t="str">
        <f>IF(X189="ND","ND",IF(S189="","",IF(input_values!K189&gt;0,input_values!K189,IF(OR(X189=1,X189=3),1,IF((V189&gt;250),5,7)))))</f>
        <v/>
      </c>
      <c r="Z189" s="335" t="str">
        <f t="shared" si="25"/>
        <v/>
      </c>
      <c r="AA189" s="311">
        <f t="shared" si="20"/>
        <v>0</v>
      </c>
      <c r="AB189" s="38" t="str">
        <f t="shared" si="26"/>
        <v/>
      </c>
      <c r="AC189" s="335" t="str">
        <f t="shared" si="27"/>
        <v/>
      </c>
      <c r="AD189" s="311">
        <f t="shared" si="21"/>
        <v>0</v>
      </c>
      <c r="AE189" s="344" t="str">
        <f t="shared" si="28"/>
        <v/>
      </c>
      <c r="AF189" s="344" t="str">
        <f t="shared" si="29"/>
        <v/>
      </c>
      <c r="AG189" s="561" t="str">
        <f t="shared" si="22"/>
        <v/>
      </c>
      <c r="AH189" s="561" t="str">
        <f t="shared" si="23"/>
        <v/>
      </c>
      <c r="AI189" s="313"/>
    </row>
    <row r="190" spans="1:35" outlineLevel="3" x14ac:dyDescent="0.2">
      <c r="A190" s="39">
        <v>4</v>
      </c>
      <c r="B190" s="23">
        <v>260010</v>
      </c>
      <c r="C190" s="23" t="s">
        <v>32</v>
      </c>
      <c r="D190" s="300">
        <f>Table22[[#This Row],[Level used for acute calculation]]</f>
        <v>4</v>
      </c>
      <c r="E190" s="302">
        <f>Table22[[#This Row],[MRL individual commodity]]</f>
        <v>0</v>
      </c>
      <c r="F190" s="451">
        <f>Table22[[#This Row],[Acute RA input value]]</f>
        <v>0</v>
      </c>
      <c r="G190" s="301" t="str">
        <f>Table22[[#This Row],[Acute RA label]]</f>
        <v/>
      </c>
      <c r="H190" s="303">
        <f>Table22[[#This Row],[Acute RA IESTI new input value]]</f>
        <v>0</v>
      </c>
      <c r="I190" s="301" t="str">
        <f>Table22[[#This Row],[Acute RA IESTI new label]]</f>
        <v/>
      </c>
      <c r="J190" s="504"/>
      <c r="K190" s="544">
        <f>Table22[[#This Row],[GAP under assessment]]</f>
        <v>0</v>
      </c>
      <c r="L190" s="304" t="str">
        <f>IF(input_values!$M190=0,"",input_values!$M190)</f>
        <v/>
      </c>
      <c r="M190" s="301" t="str">
        <f>IF(input_values!H190=0,"",input_values!H190)</f>
        <v/>
      </c>
      <c r="N190" s="304">
        <f>input_values!$K190</f>
        <v>0</v>
      </c>
      <c r="O190" s="326">
        <v>11.430999999999999</v>
      </c>
      <c r="P190" s="22" t="s">
        <v>331</v>
      </c>
      <c r="Q190" s="22" t="s">
        <v>329</v>
      </c>
      <c r="R190" s="326">
        <v>10.199999999999999</v>
      </c>
      <c r="S190" s="328">
        <f t="shared" si="24"/>
        <v>116.59619999999998</v>
      </c>
      <c r="T190" s="338" t="s">
        <v>617</v>
      </c>
      <c r="U190" s="129" t="s">
        <v>215</v>
      </c>
      <c r="V190" s="338" t="s">
        <v>617</v>
      </c>
      <c r="W190" s="129" t="s">
        <v>215</v>
      </c>
      <c r="X190" s="1464">
        <f>IF(V190="ND","ND",IF(S190="","",IF(OR(MID(C190,1,4)="milk",AND(MID(B190,1,2)="50",NOT(input_values!M190="Y")),AND(MID(B190,1,2)="40",NOT(input_values!M190="Y")),AND(MID(B190,1,2)="30",NOT(input_values!M190="Y"))),3,IF(OR(V190="&lt;25",B190&gt;1000000),1,IF((T190&gt;=S190),"2b","2a")))))</f>
        <v>1</v>
      </c>
      <c r="Y190" s="22">
        <f>IF(X190="ND","ND",IF(S190="","",IF(input_values!K190&gt;0,input_values!K190,IF(OR(X190=1,X190=3),1,IF((V190&gt;250),5,7)))))</f>
        <v>1</v>
      </c>
      <c r="Z190" s="330" t="str">
        <f t="shared" si="25"/>
        <v/>
      </c>
      <c r="AA190" s="331">
        <f t="shared" si="20"/>
        <v>0</v>
      </c>
      <c r="AB190" s="27">
        <f t="shared" si="26"/>
        <v>1</v>
      </c>
      <c r="AC190" s="330" t="str">
        <f t="shared" si="27"/>
        <v/>
      </c>
      <c r="AD190" s="332">
        <f t="shared" si="21"/>
        <v>0</v>
      </c>
      <c r="AE190" s="333" t="str">
        <f t="shared" si="28"/>
        <v/>
      </c>
      <c r="AF190" s="333" t="str">
        <f t="shared" si="29"/>
        <v/>
      </c>
      <c r="AG190" s="561" t="str">
        <f t="shared" si="22"/>
        <v/>
      </c>
      <c r="AH190" s="561" t="str">
        <f t="shared" si="23"/>
        <v/>
      </c>
      <c r="AI190" s="334"/>
    </row>
    <row r="191" spans="1:35" outlineLevel="3" x14ac:dyDescent="0.2">
      <c r="A191" s="39">
        <v>4</v>
      </c>
      <c r="B191" s="23">
        <v>260020</v>
      </c>
      <c r="C191" s="23" t="s">
        <v>33</v>
      </c>
      <c r="D191" s="300">
        <f>Table22[[#This Row],[Level used for acute calculation]]</f>
        <v>4</v>
      </c>
      <c r="E191" s="302">
        <f>Table22[[#This Row],[MRL individual commodity]]</f>
        <v>0</v>
      </c>
      <c r="F191" s="451">
        <f>Table22[[#This Row],[Acute RA input value]]</f>
        <v>0</v>
      </c>
      <c r="G191" s="301" t="str">
        <f>Table22[[#This Row],[Acute RA label]]</f>
        <v/>
      </c>
      <c r="H191" s="303">
        <f>Table22[[#This Row],[Acute RA IESTI new input value]]</f>
        <v>0</v>
      </c>
      <c r="I191" s="301" t="str">
        <f>Table22[[#This Row],[Acute RA IESTI new label]]</f>
        <v/>
      </c>
      <c r="J191" s="504"/>
      <c r="K191" s="544">
        <f>Table22[[#This Row],[GAP under assessment]]</f>
        <v>0</v>
      </c>
      <c r="L191" s="304" t="str">
        <f>IF(input_values!$M191=0,"",input_values!$M191)</f>
        <v/>
      </c>
      <c r="M191" s="301" t="str">
        <f>IF(input_values!H191=0,"",input_values!H191)</f>
        <v/>
      </c>
      <c r="N191" s="304">
        <f>input_values!$K191</f>
        <v>0</v>
      </c>
      <c r="O191" s="326">
        <v>7.8895900000000001</v>
      </c>
      <c r="P191" s="22">
        <v>97.5</v>
      </c>
      <c r="Q191" s="22" t="s">
        <v>330</v>
      </c>
      <c r="R191" s="326">
        <v>20</v>
      </c>
      <c r="S191" s="328">
        <f t="shared" si="24"/>
        <v>157.79179999999999</v>
      </c>
      <c r="T191" s="338" t="s">
        <v>617</v>
      </c>
      <c r="U191" s="129" t="s">
        <v>215</v>
      </c>
      <c r="V191" s="338" t="s">
        <v>617</v>
      </c>
      <c r="W191" s="129" t="s">
        <v>215</v>
      </c>
      <c r="X191" s="1464">
        <f>IF(V191="ND","ND",IF(S191="","",IF(OR(MID(C191,1,4)="milk",AND(MID(B191,1,2)="50",NOT(input_values!M191="Y")),AND(MID(B191,1,2)="40",NOT(input_values!M191="Y")),AND(MID(B191,1,2)="30",NOT(input_values!M191="Y"))),3,IF(OR(V191="&lt;25",B191&gt;1000000),1,IF((T191&gt;=S191),"2b","2a")))))</f>
        <v>1</v>
      </c>
      <c r="Y191" s="22">
        <f>IF(X191="ND","ND",IF(S191="","",IF(input_values!K191&gt;0,input_values!K191,IF(OR(X191=1,X191=3),1,IF((V191&gt;250),5,7)))))</f>
        <v>1</v>
      </c>
      <c r="Z191" s="330" t="str">
        <f t="shared" si="25"/>
        <v/>
      </c>
      <c r="AA191" s="331">
        <f t="shared" si="20"/>
        <v>0</v>
      </c>
      <c r="AB191" s="27">
        <f t="shared" si="26"/>
        <v>1</v>
      </c>
      <c r="AC191" s="330" t="str">
        <f t="shared" si="27"/>
        <v/>
      </c>
      <c r="AD191" s="332">
        <f t="shared" si="21"/>
        <v>0</v>
      </c>
      <c r="AE191" s="333" t="str">
        <f t="shared" si="28"/>
        <v/>
      </c>
      <c r="AF191" s="333" t="str">
        <f t="shared" si="29"/>
        <v/>
      </c>
      <c r="AG191" s="561" t="str">
        <f t="shared" si="22"/>
        <v/>
      </c>
      <c r="AH191" s="561" t="str">
        <f t="shared" si="23"/>
        <v/>
      </c>
      <c r="AI191" s="313"/>
    </row>
    <row r="192" spans="1:35" outlineLevel="3" x14ac:dyDescent="0.2">
      <c r="A192" s="39">
        <v>4</v>
      </c>
      <c r="B192" s="23">
        <v>260030</v>
      </c>
      <c r="C192" s="23" t="s">
        <v>57</v>
      </c>
      <c r="D192" s="300">
        <f>Table22[[#This Row],[Level used for acute calculation]]</f>
        <v>4</v>
      </c>
      <c r="E192" s="302">
        <f>Table22[[#This Row],[MRL individual commodity]]</f>
        <v>0</v>
      </c>
      <c r="F192" s="451">
        <f>Table22[[#This Row],[Acute RA input value]]</f>
        <v>0</v>
      </c>
      <c r="G192" s="301" t="str">
        <f>Table22[[#This Row],[Acute RA label]]</f>
        <v/>
      </c>
      <c r="H192" s="303">
        <f>Table22[[#This Row],[Acute RA IESTI new input value]]</f>
        <v>0</v>
      </c>
      <c r="I192" s="301" t="str">
        <f>Table22[[#This Row],[Acute RA IESTI new label]]</f>
        <v/>
      </c>
      <c r="J192" s="504"/>
      <c r="K192" s="544">
        <f>Table22[[#This Row],[GAP under assessment]]</f>
        <v>0</v>
      </c>
      <c r="L192" s="304" t="str">
        <f>IF(input_values!$M192=0,"",input_values!$M192)</f>
        <v/>
      </c>
      <c r="M192" s="301" t="str">
        <f>IF(input_values!H192=0,"",input_values!H192)</f>
        <v/>
      </c>
      <c r="N192" s="304">
        <f>input_values!$K192</f>
        <v>0</v>
      </c>
      <c r="O192" s="326">
        <v>8.1519999999999992</v>
      </c>
      <c r="P192" s="22" t="s">
        <v>331</v>
      </c>
      <c r="Q192" s="22" t="s">
        <v>259</v>
      </c>
      <c r="R192" s="326">
        <v>18.399999999999999</v>
      </c>
      <c r="S192" s="328">
        <f t="shared" si="24"/>
        <v>149.99679999999998</v>
      </c>
      <c r="T192" s="338" t="s">
        <v>617</v>
      </c>
      <c r="U192" s="129" t="s">
        <v>215</v>
      </c>
      <c r="V192" s="338" t="s">
        <v>617</v>
      </c>
      <c r="W192" s="129" t="s">
        <v>215</v>
      </c>
      <c r="X192" s="1464">
        <f>IF(V192="ND","ND",IF(S192="","",IF(OR(MID(C192,1,4)="milk",AND(MID(B192,1,2)="50",NOT(input_values!M192="Y")),AND(MID(B192,1,2)="40",NOT(input_values!M192="Y")),AND(MID(B192,1,2)="30",NOT(input_values!M192="Y"))),3,IF(OR(V192="&lt;25",B192&gt;1000000),1,IF((T192&gt;=S192),"2b","2a")))))</f>
        <v>1</v>
      </c>
      <c r="Y192" s="22">
        <f>IF(X192="ND","ND",IF(S192="","",IF(input_values!K192&gt;0,input_values!K192,IF(OR(X192=1,X192=3),1,IF((V192&gt;250),5,7)))))</f>
        <v>1</v>
      </c>
      <c r="Z192" s="330" t="str">
        <f t="shared" si="25"/>
        <v/>
      </c>
      <c r="AA192" s="331">
        <f t="shared" si="20"/>
        <v>0</v>
      </c>
      <c r="AB192" s="27">
        <f t="shared" si="26"/>
        <v>1</v>
      </c>
      <c r="AC192" s="330" t="str">
        <f t="shared" si="27"/>
        <v/>
      </c>
      <c r="AD192" s="332">
        <f t="shared" si="21"/>
        <v>0</v>
      </c>
      <c r="AE192" s="333" t="str">
        <f t="shared" si="28"/>
        <v/>
      </c>
      <c r="AF192" s="333" t="str">
        <f t="shared" si="29"/>
        <v/>
      </c>
      <c r="AG192" s="561" t="str">
        <f t="shared" si="22"/>
        <v/>
      </c>
      <c r="AH192" s="561" t="str">
        <f t="shared" si="23"/>
        <v/>
      </c>
      <c r="AI192" s="334"/>
    </row>
    <row r="193" spans="1:35" outlineLevel="3" x14ac:dyDescent="0.2">
      <c r="A193" s="39">
        <v>4</v>
      </c>
      <c r="B193" s="23">
        <v>260040</v>
      </c>
      <c r="C193" s="23" t="s">
        <v>58</v>
      </c>
      <c r="D193" s="300">
        <f>Table22[[#This Row],[Level used for acute calculation]]</f>
        <v>4</v>
      </c>
      <c r="E193" s="302">
        <f>Table22[[#This Row],[MRL individual commodity]]</f>
        <v>0</v>
      </c>
      <c r="F193" s="451">
        <f>Table22[[#This Row],[Acute RA input value]]</f>
        <v>0</v>
      </c>
      <c r="G193" s="301" t="str">
        <f>Table22[[#This Row],[Acute RA label]]</f>
        <v/>
      </c>
      <c r="H193" s="303">
        <f>Table22[[#This Row],[Acute RA IESTI new input value]]</f>
        <v>0</v>
      </c>
      <c r="I193" s="301" t="str">
        <f>Table22[[#This Row],[Acute RA IESTI new label]]</f>
        <v/>
      </c>
      <c r="J193" s="504"/>
      <c r="K193" s="544">
        <f>Table22[[#This Row],[GAP under assessment]]</f>
        <v>0</v>
      </c>
      <c r="L193" s="304" t="str">
        <f>IF(input_values!$M193=0,"",input_values!$M193)</f>
        <v/>
      </c>
      <c r="M193" s="301" t="str">
        <f>IF(input_values!H193=0,"",input_values!H193)</f>
        <v/>
      </c>
      <c r="N193" s="304">
        <f>input_values!$K193</f>
        <v>0</v>
      </c>
      <c r="O193" s="326">
        <v>8.1954022988505759</v>
      </c>
      <c r="P193" s="22">
        <v>97.5</v>
      </c>
      <c r="Q193" s="22" t="s">
        <v>89</v>
      </c>
      <c r="R193" s="326">
        <v>8.6999999999999993</v>
      </c>
      <c r="S193" s="328">
        <f t="shared" si="24"/>
        <v>71.300000000000011</v>
      </c>
      <c r="T193" s="338" t="s">
        <v>617</v>
      </c>
      <c r="U193" s="129" t="s">
        <v>215</v>
      </c>
      <c r="V193" s="338" t="s">
        <v>617</v>
      </c>
      <c r="W193" s="129" t="s">
        <v>215</v>
      </c>
      <c r="X193" s="1464">
        <f>IF(V193="ND","ND",IF(S193="","",IF(OR(MID(C193,1,4)="milk",AND(MID(B193,1,2)="50",NOT(input_values!M193="Y")),AND(MID(B193,1,2)="40",NOT(input_values!M193="Y")),AND(MID(B193,1,2)="30",NOT(input_values!M193="Y"))),3,IF(OR(V193="&lt;25",B193&gt;1000000),1,IF((T193&gt;=S193),"2b","2a")))))</f>
        <v>1</v>
      </c>
      <c r="Y193" s="22">
        <f>IF(X193="ND","ND",IF(S193="","",IF(input_values!K193&gt;0,input_values!K193,IF(OR(X193=1,X193=3),1,IF((V193&gt;250),5,7)))))</f>
        <v>1</v>
      </c>
      <c r="Z193" s="330" t="str">
        <f t="shared" si="25"/>
        <v/>
      </c>
      <c r="AA193" s="331">
        <f t="shared" si="20"/>
        <v>0</v>
      </c>
      <c r="AB193" s="27">
        <f t="shared" si="26"/>
        <v>1</v>
      </c>
      <c r="AC193" s="330" t="str">
        <f t="shared" si="27"/>
        <v/>
      </c>
      <c r="AD193" s="332">
        <f t="shared" si="21"/>
        <v>0</v>
      </c>
      <c r="AE193" s="333" t="str">
        <f t="shared" si="28"/>
        <v/>
      </c>
      <c r="AF193" s="333" t="str">
        <f t="shared" si="29"/>
        <v/>
      </c>
      <c r="AG193" s="561" t="str">
        <f t="shared" si="22"/>
        <v/>
      </c>
      <c r="AH193" s="561" t="str">
        <f t="shared" si="23"/>
        <v/>
      </c>
      <c r="AI193" s="334"/>
    </row>
    <row r="194" spans="1:35" outlineLevel="3" x14ac:dyDescent="0.2">
      <c r="A194" s="39">
        <v>4</v>
      </c>
      <c r="B194" s="23">
        <v>260050</v>
      </c>
      <c r="C194" s="23" t="s">
        <v>269</v>
      </c>
      <c r="D194" s="300">
        <f>Table22[[#This Row],[Level used for acute calculation]]</f>
        <v>4</v>
      </c>
      <c r="E194" s="302">
        <f>Table22[[#This Row],[MRL individual commodity]]</f>
        <v>0</v>
      </c>
      <c r="F194" s="451">
        <f>Table22[[#This Row],[Acute RA input value]]</f>
        <v>0</v>
      </c>
      <c r="G194" s="301" t="str">
        <f>Table22[[#This Row],[Acute RA label]]</f>
        <v/>
      </c>
      <c r="H194" s="303">
        <f>Table22[[#This Row],[Acute RA IESTI new input value]]</f>
        <v>0</v>
      </c>
      <c r="I194" s="301" t="str">
        <f>Table22[[#This Row],[Acute RA IESTI new label]]</f>
        <v/>
      </c>
      <c r="J194" s="504"/>
      <c r="K194" s="544">
        <f>Table22[[#This Row],[GAP under assessment]]</f>
        <v>0</v>
      </c>
      <c r="L194" s="304" t="str">
        <f>IF(input_values!$M194=0,"",input_values!$M194)</f>
        <v/>
      </c>
      <c r="M194" s="301" t="str">
        <f>IF(input_values!H194=0,"",input_values!H194)</f>
        <v/>
      </c>
      <c r="N194" s="304">
        <f>input_values!$K194</f>
        <v>0</v>
      </c>
      <c r="O194" s="326">
        <v>5.75</v>
      </c>
      <c r="P194" s="22">
        <v>95</v>
      </c>
      <c r="Q194" s="22" t="s">
        <v>256</v>
      </c>
      <c r="R194" s="326">
        <v>16.149999999999999</v>
      </c>
      <c r="S194" s="328">
        <f t="shared" si="24"/>
        <v>92.862499999999997</v>
      </c>
      <c r="T194" s="338" t="s">
        <v>617</v>
      </c>
      <c r="U194" s="129" t="s">
        <v>215</v>
      </c>
      <c r="V194" s="338" t="s">
        <v>617</v>
      </c>
      <c r="W194" s="129" t="s">
        <v>215</v>
      </c>
      <c r="X194" s="1464">
        <f>IF(V194="ND","ND",IF(S194="","",IF(OR(MID(C194,1,4)="milk",AND(MID(B194,1,2)="50",NOT(input_values!M194="Y")),AND(MID(B194,1,2)="40",NOT(input_values!M194="Y")),AND(MID(B194,1,2)="30",NOT(input_values!M194="Y"))),3,IF(OR(V194="&lt;25",B194&gt;1000000),1,IF((T194&gt;=S194),"2b","2a")))))</f>
        <v>1</v>
      </c>
      <c r="Y194" s="22">
        <f>IF(X194="ND","ND",IF(S194="","",IF(input_values!K194&gt;0,input_values!K194,IF(OR(X194=1,X194=3),1,IF((V194&gt;250),5,7)))))</f>
        <v>1</v>
      </c>
      <c r="Z194" s="330" t="str">
        <f t="shared" si="25"/>
        <v/>
      </c>
      <c r="AA194" s="331">
        <f t="shared" si="20"/>
        <v>0</v>
      </c>
      <c r="AB194" s="27">
        <f t="shared" si="26"/>
        <v>1</v>
      </c>
      <c r="AC194" s="330" t="str">
        <f t="shared" si="27"/>
        <v/>
      </c>
      <c r="AD194" s="332">
        <f t="shared" si="21"/>
        <v>0</v>
      </c>
      <c r="AE194" s="333" t="str">
        <f t="shared" si="28"/>
        <v/>
      </c>
      <c r="AF194" s="333" t="str">
        <f t="shared" si="29"/>
        <v/>
      </c>
      <c r="AG194" s="561" t="str">
        <f t="shared" si="22"/>
        <v/>
      </c>
      <c r="AH194" s="561" t="str">
        <f t="shared" si="23"/>
        <v/>
      </c>
      <c r="AI194" s="313"/>
    </row>
    <row r="195" spans="1:35" ht="24" outlineLevel="3" x14ac:dyDescent="0.2">
      <c r="A195" s="39">
        <v>4</v>
      </c>
      <c r="B195" s="23">
        <v>260990</v>
      </c>
      <c r="C195" s="23" t="s">
        <v>176</v>
      </c>
      <c r="D195" s="300">
        <f>Table22[[#This Row],[Level used for acute calculation]]</f>
        <v>0</v>
      </c>
      <c r="E195" s="302">
        <f>Table22[[#This Row],[MRL individual commodity]]</f>
        <v>0</v>
      </c>
      <c r="F195" s="451">
        <f>Table22[[#This Row],[Acute RA input value]]</f>
        <v>0</v>
      </c>
      <c r="G195" s="301">
        <f>Table22[[#This Row],[Acute RA label]]</f>
        <v>0</v>
      </c>
      <c r="H195" s="303">
        <f>Table22[[#This Row],[Acute RA IESTI new input value]]</f>
        <v>0</v>
      </c>
      <c r="I195" s="301">
        <f>Table22[[#This Row],[Acute RA IESTI new label]]</f>
        <v>0</v>
      </c>
      <c r="J195" s="504"/>
      <c r="K195" s="544">
        <f>Table22[[#This Row],[GAP under assessment]]</f>
        <v>0</v>
      </c>
      <c r="L195" s="304" t="str">
        <f>IF(input_values!$M195=0,"",input_values!$M195)</f>
        <v/>
      </c>
      <c r="M195" s="301" t="str">
        <f>IF(input_values!H195=0,"",input_values!H195)</f>
        <v/>
      </c>
      <c r="N195" s="304">
        <f>input_values!$K195</f>
        <v>0</v>
      </c>
      <c r="O195" s="309"/>
      <c r="P195" s="38"/>
      <c r="Q195" s="38"/>
      <c r="R195" s="335"/>
      <c r="S195" s="336" t="str">
        <f t="shared" si="24"/>
        <v/>
      </c>
      <c r="T195" s="305"/>
      <c r="U195" s="570"/>
      <c r="V195" s="305"/>
      <c r="W195" s="570"/>
      <c r="X195" s="611" t="str">
        <f>IF(V195="ND","ND",IF(S195="","",IF(OR(MID(C195,1,4)="milk",AND(MID(B195,1,2)="50",NOT(input_values!M195="Y")),AND(MID(B195,1,2)="40",NOT(input_values!M195="Y")),AND(MID(B195,1,2)="30",NOT(input_values!M195="Y"))),3,IF(OR(V195="&lt;25",B195&gt;1000000),1,IF((T195&gt;=S195),"2b","2a")))))</f>
        <v/>
      </c>
      <c r="Y195" s="38" t="str">
        <f>IF(X195="ND","ND",IF(S195="","",IF(input_values!K195&gt;0,input_values!K195,IF(OR(X195=1,X195=3),1,IF((V195&gt;250),5,7)))))</f>
        <v/>
      </c>
      <c r="Z195" s="335" t="str">
        <f t="shared" si="25"/>
        <v/>
      </c>
      <c r="AA195" s="311">
        <f t="shared" si="20"/>
        <v>0</v>
      </c>
      <c r="AB195" s="38" t="str">
        <f t="shared" si="26"/>
        <v/>
      </c>
      <c r="AC195" s="335" t="str">
        <f t="shared" si="27"/>
        <v/>
      </c>
      <c r="AD195" s="311">
        <f t="shared" si="21"/>
        <v>0</v>
      </c>
      <c r="AE195" s="344" t="str">
        <f t="shared" si="28"/>
        <v/>
      </c>
      <c r="AF195" s="344" t="str">
        <f t="shared" si="29"/>
        <v/>
      </c>
      <c r="AG195" s="561" t="str">
        <f t="shared" si="22"/>
        <v/>
      </c>
      <c r="AH195" s="561" t="str">
        <f t="shared" si="23"/>
        <v/>
      </c>
      <c r="AI195" s="313"/>
    </row>
    <row r="196" spans="1:35" outlineLevel="1" x14ac:dyDescent="0.2">
      <c r="A196" s="130">
        <v>2</v>
      </c>
      <c r="B196" s="131">
        <v>270000</v>
      </c>
      <c r="C196" s="131" t="s">
        <v>353</v>
      </c>
      <c r="D196" s="300">
        <f>Table22[[#This Row],[Level used for acute calculation]]</f>
        <v>4</v>
      </c>
      <c r="E196" s="302">
        <f>Table22[[#This Row],[MRL individual commodity]]</f>
        <v>0</v>
      </c>
      <c r="F196" s="451">
        <f>Table22[[#This Row],[Acute RA input value]]</f>
        <v>0</v>
      </c>
      <c r="G196" s="301">
        <f>Table22[[#This Row],[Acute RA label]]</f>
        <v>0</v>
      </c>
      <c r="H196" s="303">
        <f>Table22[[#This Row],[Acute RA IESTI new input value]]</f>
        <v>0</v>
      </c>
      <c r="I196" s="301">
        <f>Table22[[#This Row],[Acute RA IESTI new label]]</f>
        <v>0</v>
      </c>
      <c r="J196" s="504"/>
      <c r="K196" s="544">
        <f>Table22[[#This Row],[GAP under assessment]]</f>
        <v>0</v>
      </c>
      <c r="L196" s="304" t="str">
        <f>IF(input_values!$M196=0,"",input_values!$M196)</f>
        <v/>
      </c>
      <c r="M196" s="301" t="str">
        <f>IF(input_values!H196=0,"",input_values!H196)</f>
        <v/>
      </c>
      <c r="N196" s="304">
        <f>input_values!$K196</f>
        <v>0</v>
      </c>
      <c r="O196" s="309"/>
      <c r="P196" s="38"/>
      <c r="Q196" s="38"/>
      <c r="R196" s="335"/>
      <c r="S196" s="336" t="str">
        <f t="shared" si="24"/>
        <v/>
      </c>
      <c r="T196" s="315"/>
      <c r="U196" s="321"/>
      <c r="V196" s="315"/>
      <c r="W196" s="321"/>
      <c r="X196" s="611" t="str">
        <f>IF(V196="ND","ND",IF(S196="","",IF(OR(MID(C196,1,4)="milk",AND(MID(B196,1,2)="50",NOT(input_values!M196="Y")),AND(MID(B196,1,2)="40",NOT(input_values!M196="Y")),AND(MID(B196,1,2)="30",NOT(input_values!M196="Y"))),3,IF(OR(V196="&lt;25",B196&gt;1000000),1,IF((T196&gt;=S196),"2b","2a")))))</f>
        <v/>
      </c>
      <c r="Y196" s="38" t="str">
        <f>IF(X196="ND","ND",IF(S196="","",IF(input_values!K196&gt;0,input_values!K196,IF(OR(X196=1,X196=3),1,IF((V196&gt;250),5,7)))))</f>
        <v/>
      </c>
      <c r="Z196" s="335" t="str">
        <f t="shared" si="25"/>
        <v/>
      </c>
      <c r="AA196" s="311">
        <f t="shared" si="20"/>
        <v>0</v>
      </c>
      <c r="AB196" s="38" t="str">
        <f t="shared" si="26"/>
        <v/>
      </c>
      <c r="AC196" s="335" t="str">
        <f t="shared" si="27"/>
        <v/>
      </c>
      <c r="AD196" s="311">
        <f t="shared" si="21"/>
        <v>0</v>
      </c>
      <c r="AE196" s="344" t="str">
        <f t="shared" si="28"/>
        <v/>
      </c>
      <c r="AF196" s="344" t="str">
        <f t="shared" si="29"/>
        <v/>
      </c>
      <c r="AG196" s="561" t="str">
        <f t="shared" si="22"/>
        <v/>
      </c>
      <c r="AH196" s="561" t="str">
        <f t="shared" si="23"/>
        <v/>
      </c>
      <c r="AI196" s="313"/>
    </row>
    <row r="197" spans="1:35" outlineLevel="3" x14ac:dyDescent="0.2">
      <c r="A197" s="39">
        <v>4</v>
      </c>
      <c r="B197" s="23">
        <v>270010</v>
      </c>
      <c r="C197" s="23" t="s">
        <v>60</v>
      </c>
      <c r="D197" s="300">
        <f>Table22[[#This Row],[Level used for acute calculation]]</f>
        <v>4</v>
      </c>
      <c r="E197" s="302">
        <f>Table22[[#This Row],[MRL individual commodity]]</f>
        <v>0</v>
      </c>
      <c r="F197" s="451">
        <f>Table22[[#This Row],[Acute RA input value]]</f>
        <v>0</v>
      </c>
      <c r="G197" s="301" t="str">
        <f>Table22[[#This Row],[Acute RA label]]</f>
        <v/>
      </c>
      <c r="H197" s="303">
        <f>Table22[[#This Row],[Acute RA IESTI new input value]]</f>
        <v>0</v>
      </c>
      <c r="I197" s="301" t="str">
        <f>Table22[[#This Row],[Acute RA IESTI new label]]</f>
        <v/>
      </c>
      <c r="J197" s="504"/>
      <c r="K197" s="544">
        <f>Table22[[#This Row],[GAP under assessment]]</f>
        <v>0</v>
      </c>
      <c r="L197" s="304" t="str">
        <f>IF(input_values!$M197=0,"",input_values!$M197)</f>
        <v/>
      </c>
      <c r="M197" s="301" t="str">
        <f>IF(input_values!H197=0,"",input_values!H197)</f>
        <v/>
      </c>
      <c r="N197" s="304">
        <f>input_values!$K197</f>
        <v>0</v>
      </c>
      <c r="O197" s="326">
        <v>6.5430000000000001</v>
      </c>
      <c r="P197" s="22" t="s">
        <v>331</v>
      </c>
      <c r="Q197" s="22" t="s">
        <v>259</v>
      </c>
      <c r="R197" s="326">
        <v>18.399999999999999</v>
      </c>
      <c r="S197" s="328">
        <f t="shared" si="24"/>
        <v>120.3912</v>
      </c>
      <c r="T197" s="328">
        <v>39</v>
      </c>
      <c r="U197" s="329" t="s">
        <v>215</v>
      </c>
      <c r="V197" s="328">
        <v>39</v>
      </c>
      <c r="W197" s="329" t="s">
        <v>215</v>
      </c>
      <c r="X197" s="1464" t="str">
        <f>IF(V197="ND","ND",IF(S197="","",IF(OR(MID(C197,1,4)="milk",AND(MID(B197,1,2)="50",NOT(input_values!M197="Y")),AND(MID(B197,1,2)="40",NOT(input_values!M197="Y")),AND(MID(B197,1,2)="30",NOT(input_values!M197="Y"))),3,IF(OR(V197="&lt;25",B197&gt;1000000),1,IF((T197&gt;=S197),"2b","2a")))))</f>
        <v>2a</v>
      </c>
      <c r="Y197" s="22">
        <f>IF(X197="ND","ND",IF(S197="","",IF(input_values!K197&gt;0,input_values!K197,IF(OR(X197=1,X197=3),1,IF((V197&gt;250),5,7)))))</f>
        <v>7</v>
      </c>
      <c r="Z197" s="330" t="str">
        <f t="shared" si="25"/>
        <v/>
      </c>
      <c r="AA197" s="331">
        <f t="shared" si="20"/>
        <v>0</v>
      </c>
      <c r="AB197" s="27">
        <f t="shared" si="26"/>
        <v>3</v>
      </c>
      <c r="AC197" s="330" t="str">
        <f t="shared" si="27"/>
        <v/>
      </c>
      <c r="AD197" s="332">
        <f t="shared" si="21"/>
        <v>0</v>
      </c>
      <c r="AE197" s="333" t="str">
        <f t="shared" si="28"/>
        <v/>
      </c>
      <c r="AF197" s="333" t="str">
        <f t="shared" si="29"/>
        <v/>
      </c>
      <c r="AG197" s="561" t="str">
        <f t="shared" si="22"/>
        <v/>
      </c>
      <c r="AH197" s="561" t="str">
        <f t="shared" si="23"/>
        <v/>
      </c>
      <c r="AI197" s="334"/>
    </row>
    <row r="198" spans="1:35" ht="24" outlineLevel="3" x14ac:dyDescent="0.2">
      <c r="A198" s="39">
        <v>4</v>
      </c>
      <c r="B198" s="23">
        <v>270020</v>
      </c>
      <c r="C198" s="23" t="s">
        <v>61</v>
      </c>
      <c r="D198" s="300">
        <f>Table22[[#This Row],[Level used for acute calculation]]</f>
        <v>4</v>
      </c>
      <c r="E198" s="302">
        <f>Table22[[#This Row],[MRL individual commodity]]</f>
        <v>0</v>
      </c>
      <c r="F198" s="451">
        <f>Table22[[#This Row],[Acute RA input value]]</f>
        <v>0</v>
      </c>
      <c r="G198" s="301" t="str">
        <f>Table22[[#This Row],[Acute RA label]]</f>
        <v/>
      </c>
      <c r="H198" s="303">
        <f>Table22[[#This Row],[Acute RA IESTI new input value]]</f>
        <v>0</v>
      </c>
      <c r="I198" s="301" t="str">
        <f>Table22[[#This Row],[Acute RA IESTI new label]]</f>
        <v/>
      </c>
      <c r="J198" s="504"/>
      <c r="K198" s="544">
        <f>Table22[[#This Row],[GAP under assessment]]</f>
        <v>0</v>
      </c>
      <c r="L198" s="304" t="str">
        <f>IF(input_values!$M198=0,"",input_values!$M198)</f>
        <v/>
      </c>
      <c r="M198" s="301" t="str">
        <f>IF(input_values!H198=0,"",input_values!H198)</f>
        <v/>
      </c>
      <c r="N198" s="304">
        <f>input_values!$K198</f>
        <v>0</v>
      </c>
      <c r="O198" s="338" t="s">
        <v>618</v>
      </c>
      <c r="P198" s="22"/>
      <c r="Q198" s="22"/>
      <c r="R198" s="330"/>
      <c r="S198" s="31" t="str">
        <f t="shared" si="24"/>
        <v>ND</v>
      </c>
      <c r="T198" s="328">
        <v>100</v>
      </c>
      <c r="U198" s="329" t="s">
        <v>98</v>
      </c>
      <c r="V198" s="328">
        <v>100</v>
      </c>
      <c r="W198" s="329" t="s">
        <v>98</v>
      </c>
      <c r="X198" s="460" t="str">
        <f>IF(V198="ND","ND",IF(S198="","",IF(OR(MID(C198,1,4)="milk",AND(MID(B198,1,2)="50",NOT(input_values!M198="Y")),AND(MID(B198,1,2)="40",NOT(input_values!M198="Y")),AND(MID(B198,1,2)="30",NOT(input_values!M198="Y"))),3,IF(OR(V198="&lt;25",B198&gt;1000000),1,IF((T198&gt;=S198),"2b","2a")))))</f>
        <v>2a</v>
      </c>
      <c r="Y198" s="22">
        <f>IF(X198="ND","ND",IF(S198="","",IF(input_values!K198&gt;0,input_values!K198,IF(OR(X198=1,X198=3),1,IF((V198&gt;250),5,7)))))</f>
        <v>7</v>
      </c>
      <c r="Z198" s="340" t="str">
        <f t="shared" si="25"/>
        <v/>
      </c>
      <c r="AA198" s="332">
        <f t="shared" si="20"/>
        <v>0</v>
      </c>
      <c r="AB198" s="27">
        <f t="shared" si="26"/>
        <v>3</v>
      </c>
      <c r="AC198" s="340" t="str">
        <f t="shared" si="27"/>
        <v/>
      </c>
      <c r="AD198" s="332">
        <f t="shared" si="21"/>
        <v>0</v>
      </c>
      <c r="AE198" s="37" t="str">
        <f t="shared" si="28"/>
        <v/>
      </c>
      <c r="AF198" s="37" t="str">
        <f t="shared" si="29"/>
        <v/>
      </c>
      <c r="AG198" s="561" t="str">
        <f t="shared" si="22"/>
        <v/>
      </c>
      <c r="AH198" s="561" t="str">
        <f t="shared" si="23"/>
        <v/>
      </c>
      <c r="AI198" s="313"/>
    </row>
    <row r="199" spans="1:35" outlineLevel="3" x14ac:dyDescent="0.2">
      <c r="A199" s="39">
        <v>4</v>
      </c>
      <c r="B199" s="23">
        <v>270030</v>
      </c>
      <c r="C199" s="23" t="s">
        <v>737</v>
      </c>
      <c r="D199" s="300">
        <f>Table22[[#This Row],[Level used for acute calculation]]</f>
        <v>4</v>
      </c>
      <c r="E199" s="302">
        <f>Table22[[#This Row],[MRL individual commodity]]</f>
        <v>0</v>
      </c>
      <c r="F199" s="451">
        <f>Table22[[#This Row],[Acute RA input value]]</f>
        <v>0</v>
      </c>
      <c r="G199" s="301" t="str">
        <f>Table22[[#This Row],[Acute RA label]]</f>
        <v/>
      </c>
      <c r="H199" s="303">
        <f>Table22[[#This Row],[Acute RA IESTI new input value]]</f>
        <v>0</v>
      </c>
      <c r="I199" s="301" t="str">
        <f>Table22[[#This Row],[Acute RA IESTI new label]]</f>
        <v/>
      </c>
      <c r="J199" s="504"/>
      <c r="K199" s="544">
        <f>Table22[[#This Row],[GAP under assessment]]</f>
        <v>0</v>
      </c>
      <c r="L199" s="304" t="str">
        <f>IF(input_values!$M199=0,"",input_values!$M199)</f>
        <v/>
      </c>
      <c r="M199" s="301" t="str">
        <f>IF(input_values!H199=0,"",input_values!H199)</f>
        <v/>
      </c>
      <c r="N199" s="304">
        <f>input_values!$K199</f>
        <v>0</v>
      </c>
      <c r="O199" s="326">
        <v>7.4831460674157295</v>
      </c>
      <c r="P199" s="22">
        <v>100</v>
      </c>
      <c r="Q199" s="22" t="s">
        <v>93</v>
      </c>
      <c r="R199" s="326">
        <v>17.8</v>
      </c>
      <c r="S199" s="328">
        <f t="shared" si="24"/>
        <v>133.19999999999999</v>
      </c>
      <c r="T199" s="328">
        <v>462</v>
      </c>
      <c r="U199" s="329" t="s">
        <v>286</v>
      </c>
      <c r="V199" s="328">
        <v>700</v>
      </c>
      <c r="W199" s="329" t="s">
        <v>286</v>
      </c>
      <c r="X199" s="1464" t="str">
        <f>IF(V199="ND","ND",IF(S199="","",IF(OR(MID(C199,1,4)="milk",AND(MID(B199,1,2)="50",NOT(input_values!M199="Y")),AND(MID(B199,1,2)="40",NOT(input_values!M199="Y")),AND(MID(B199,1,2)="30",NOT(input_values!M199="Y"))),3,IF(OR(V199="&lt;25",B199&gt;1000000),1,IF((T199&gt;=S199),"2b","2a")))))</f>
        <v>2b</v>
      </c>
      <c r="Y199" s="22">
        <f>IF(X199="ND","ND",IF(S199="","",IF(input_values!K199&gt;0,input_values!K199,IF(OR(X199=1,X199=3),1,IF((V199&gt;250),5,7)))))</f>
        <v>5</v>
      </c>
      <c r="Z199" s="330" t="str">
        <f t="shared" si="25"/>
        <v/>
      </c>
      <c r="AA199" s="331">
        <f t="shared" si="20"/>
        <v>0</v>
      </c>
      <c r="AB199" s="27">
        <f t="shared" si="26"/>
        <v>3</v>
      </c>
      <c r="AC199" s="330" t="str">
        <f t="shared" si="27"/>
        <v/>
      </c>
      <c r="AD199" s="332">
        <f t="shared" si="21"/>
        <v>0</v>
      </c>
      <c r="AE199" s="333" t="str">
        <f t="shared" si="28"/>
        <v/>
      </c>
      <c r="AF199" s="333" t="str">
        <f t="shared" si="29"/>
        <v/>
      </c>
      <c r="AG199" s="561" t="str">
        <f t="shared" si="22"/>
        <v/>
      </c>
      <c r="AH199" s="561" t="str">
        <f t="shared" si="23"/>
        <v/>
      </c>
      <c r="AI199" s="334"/>
    </row>
    <row r="200" spans="1:35" outlineLevel="3" x14ac:dyDescent="0.2">
      <c r="A200" s="39">
        <v>4</v>
      </c>
      <c r="B200" s="23">
        <v>270040</v>
      </c>
      <c r="C200" s="23" t="s">
        <v>932</v>
      </c>
      <c r="D200" s="300">
        <f>Table22[[#This Row],[Level used for acute calculation]]</f>
        <v>4</v>
      </c>
      <c r="E200" s="302">
        <f>Table22[[#This Row],[MRL individual commodity]]</f>
        <v>0</v>
      </c>
      <c r="F200" s="451">
        <f>Table22[[#This Row],[Acute RA input value]]</f>
        <v>0</v>
      </c>
      <c r="G200" s="301" t="str">
        <f>Table22[[#This Row],[Acute RA label]]</f>
        <v/>
      </c>
      <c r="H200" s="303">
        <f>Table22[[#This Row],[Acute RA IESTI new input value]]</f>
        <v>0</v>
      </c>
      <c r="I200" s="301" t="str">
        <f>Table22[[#This Row],[Acute RA IESTI new label]]</f>
        <v/>
      </c>
      <c r="J200" s="504"/>
      <c r="K200" s="544">
        <f>Table22[[#This Row],[GAP under assessment]]</f>
        <v>0</v>
      </c>
      <c r="L200" s="304" t="str">
        <f>IF(input_values!$M200=0,"",input_values!$M200)</f>
        <v/>
      </c>
      <c r="M200" s="301" t="str">
        <f>IF(input_values!H200=0,"",input_values!H200)</f>
        <v/>
      </c>
      <c r="N200" s="304">
        <f>input_values!$K200</f>
        <v>0</v>
      </c>
      <c r="O200" s="326">
        <v>2.3199999999999998</v>
      </c>
      <c r="P200" s="22">
        <v>97.5</v>
      </c>
      <c r="Q200" s="22" t="s">
        <v>93</v>
      </c>
      <c r="R200" s="326">
        <v>17.8</v>
      </c>
      <c r="S200" s="328">
        <f t="shared" si="24"/>
        <v>41.295999999999999</v>
      </c>
      <c r="T200" s="328">
        <v>195.5</v>
      </c>
      <c r="U200" s="329" t="s">
        <v>286</v>
      </c>
      <c r="V200" s="328">
        <v>230</v>
      </c>
      <c r="W200" s="329" t="s">
        <v>286</v>
      </c>
      <c r="X200" s="1464" t="str">
        <f>IF(V200="ND","ND",IF(S200="","",IF(OR(MID(C200,1,4)="milk",AND(MID(B200,1,2)="50",NOT(input_values!M200="Y")),AND(MID(B200,1,2)="40",NOT(input_values!M200="Y")),AND(MID(B200,1,2)="30",NOT(input_values!M200="Y"))),3,IF(OR(V200="&lt;25",B200&gt;1000000),1,IF((T200&gt;=S200),"2b","2a")))))</f>
        <v>2b</v>
      </c>
      <c r="Y200" s="22">
        <f>IF(X200="ND","ND",IF(S200="","",IF(input_values!K200&gt;0,input_values!K200,IF(OR(X200=1,X200=3),1,IF((V200&gt;250),5,7)))))</f>
        <v>7</v>
      </c>
      <c r="Z200" s="330" t="str">
        <f t="shared" si="25"/>
        <v/>
      </c>
      <c r="AA200" s="331">
        <f t="shared" si="20"/>
        <v>0</v>
      </c>
      <c r="AB200" s="27">
        <f t="shared" si="26"/>
        <v>3</v>
      </c>
      <c r="AC200" s="330" t="str">
        <f t="shared" si="27"/>
        <v/>
      </c>
      <c r="AD200" s="332">
        <f t="shared" si="21"/>
        <v>0</v>
      </c>
      <c r="AE200" s="333" t="str">
        <f t="shared" si="28"/>
        <v/>
      </c>
      <c r="AF200" s="333" t="str">
        <f t="shared" si="29"/>
        <v/>
      </c>
      <c r="AG200" s="561" t="str">
        <f t="shared" si="22"/>
        <v/>
      </c>
      <c r="AH200" s="561" t="str">
        <f t="shared" si="23"/>
        <v/>
      </c>
      <c r="AI200" s="334"/>
    </row>
    <row r="201" spans="1:35" ht="24" outlineLevel="3" x14ac:dyDescent="0.2">
      <c r="A201" s="39">
        <v>4</v>
      </c>
      <c r="B201" s="23">
        <v>270050</v>
      </c>
      <c r="C201" s="23" t="s">
        <v>62</v>
      </c>
      <c r="D201" s="300">
        <f>Table22[[#This Row],[Level used for acute calculation]]</f>
        <v>4</v>
      </c>
      <c r="E201" s="302">
        <f>Table22[[#This Row],[MRL individual commodity]]</f>
        <v>0</v>
      </c>
      <c r="F201" s="451">
        <f>Table22[[#This Row],[Acute RA input value]]</f>
        <v>0</v>
      </c>
      <c r="G201" s="301" t="str">
        <f>Table22[[#This Row],[Acute RA label]]</f>
        <v/>
      </c>
      <c r="H201" s="303">
        <f>Table22[[#This Row],[Acute RA IESTI new input value]]</f>
        <v>0</v>
      </c>
      <c r="I201" s="301" t="str">
        <f>Table22[[#This Row],[Acute RA IESTI new label]]</f>
        <v/>
      </c>
      <c r="J201" s="504"/>
      <c r="K201" s="544">
        <f>Table22[[#This Row],[GAP under assessment]]</f>
        <v>0</v>
      </c>
      <c r="L201" s="304" t="str">
        <f>IF(input_values!$M201=0,"",input_values!$M201)</f>
        <v/>
      </c>
      <c r="M201" s="301" t="str">
        <f>IF(input_values!H201=0,"",input_values!H201)</f>
        <v/>
      </c>
      <c r="N201" s="304">
        <f>input_values!$K201</f>
        <v>0</v>
      </c>
      <c r="O201" s="326">
        <v>4.2</v>
      </c>
      <c r="P201" s="22">
        <v>95</v>
      </c>
      <c r="Q201" s="22" t="s">
        <v>332</v>
      </c>
      <c r="R201" s="326">
        <v>46.3</v>
      </c>
      <c r="S201" s="328">
        <f t="shared" si="24"/>
        <v>194.46</v>
      </c>
      <c r="T201" s="328">
        <v>155</v>
      </c>
      <c r="U201" s="329" t="s">
        <v>152</v>
      </c>
      <c r="V201" s="328">
        <v>378.04878048780489</v>
      </c>
      <c r="W201" s="329" t="s">
        <v>152</v>
      </c>
      <c r="X201" s="1464" t="str">
        <f>IF(V201="ND","ND",IF(S201="","",IF(OR(MID(C201,1,4)="milk",AND(MID(B201,1,2)="50",NOT(input_values!M201="Y")),AND(MID(B201,1,2)="40",NOT(input_values!M201="Y")),AND(MID(B201,1,2)="30",NOT(input_values!M201="Y"))),3,IF(OR(V201="&lt;25",B201&gt;1000000),1,IF((T201&gt;=S201),"2b","2a")))))</f>
        <v>2a</v>
      </c>
      <c r="Y201" s="22">
        <f>IF(X201="ND","ND",IF(S201="","",IF(input_values!K201&gt;0,input_values!K201,IF(OR(X201=1,X201=3),1,IF((V201&gt;250),5,7)))))</f>
        <v>5</v>
      </c>
      <c r="Z201" s="330" t="str">
        <f t="shared" si="25"/>
        <v/>
      </c>
      <c r="AA201" s="331">
        <f t="shared" si="20"/>
        <v>0</v>
      </c>
      <c r="AB201" s="27">
        <f t="shared" si="26"/>
        <v>3</v>
      </c>
      <c r="AC201" s="330" t="str">
        <f t="shared" si="27"/>
        <v/>
      </c>
      <c r="AD201" s="332">
        <f t="shared" si="21"/>
        <v>0</v>
      </c>
      <c r="AE201" s="333" t="str">
        <f t="shared" si="28"/>
        <v/>
      </c>
      <c r="AF201" s="333" t="str">
        <f t="shared" si="29"/>
        <v/>
      </c>
      <c r="AG201" s="561" t="str">
        <f t="shared" si="22"/>
        <v/>
      </c>
      <c r="AH201" s="561" t="str">
        <f t="shared" si="23"/>
        <v/>
      </c>
      <c r="AI201" s="313"/>
    </row>
    <row r="202" spans="1:35" outlineLevel="3" x14ac:dyDescent="0.2">
      <c r="A202" s="39">
        <v>4</v>
      </c>
      <c r="B202" s="23">
        <v>270060</v>
      </c>
      <c r="C202" s="23" t="s">
        <v>738</v>
      </c>
      <c r="D202" s="300">
        <f>Table22[[#This Row],[Level used for acute calculation]]</f>
        <v>4</v>
      </c>
      <c r="E202" s="302">
        <f>Table22[[#This Row],[MRL individual commodity]]</f>
        <v>0</v>
      </c>
      <c r="F202" s="451">
        <f>Table22[[#This Row],[Acute RA input value]]</f>
        <v>0</v>
      </c>
      <c r="G202" s="301" t="str">
        <f>Table22[[#This Row],[Acute RA label]]</f>
        <v/>
      </c>
      <c r="H202" s="303">
        <f>Table22[[#This Row],[Acute RA IESTI new input value]]</f>
        <v>0</v>
      </c>
      <c r="I202" s="301" t="str">
        <f>Table22[[#This Row],[Acute RA IESTI new label]]</f>
        <v/>
      </c>
      <c r="J202" s="504"/>
      <c r="K202" s="544">
        <f>Table22[[#This Row],[GAP under assessment]]</f>
        <v>0</v>
      </c>
      <c r="L202" s="304" t="str">
        <f>IF(input_values!$M202=0,"",input_values!$M202)</f>
        <v/>
      </c>
      <c r="M202" s="301" t="str">
        <f>IF(input_values!H202=0,"",input_values!H202)</f>
        <v/>
      </c>
      <c r="N202" s="304">
        <f>input_values!$K202</f>
        <v>0</v>
      </c>
      <c r="O202" s="326">
        <v>8.4213483146067407</v>
      </c>
      <c r="P202" s="22">
        <v>97.5</v>
      </c>
      <c r="Q202" s="22" t="s">
        <v>93</v>
      </c>
      <c r="R202" s="326">
        <v>17.8</v>
      </c>
      <c r="S202" s="328">
        <f t="shared" si="24"/>
        <v>149.89999999999998</v>
      </c>
      <c r="T202" s="328">
        <v>168.75</v>
      </c>
      <c r="U202" s="329" t="s">
        <v>286</v>
      </c>
      <c r="V202" s="328">
        <v>225</v>
      </c>
      <c r="W202" s="329" t="s">
        <v>286</v>
      </c>
      <c r="X202" s="1464" t="str">
        <f>IF(V202="ND","ND",IF(S202="","",IF(OR(MID(C202,1,4)="milk",AND(MID(B202,1,2)="50",NOT(input_values!M202="Y")),AND(MID(B202,1,2)="40",NOT(input_values!M202="Y")),AND(MID(B202,1,2)="30",NOT(input_values!M202="Y"))),3,IF(OR(V202="&lt;25",B202&gt;1000000),1,IF((T202&gt;=S202),"2b","2a")))))</f>
        <v>2b</v>
      </c>
      <c r="Y202" s="22">
        <f>IF(X202="ND","ND",IF(S202="","",IF(input_values!K202&gt;0,input_values!K202,IF(OR(X202=1,X202=3),1,IF((V202&gt;250),5,7)))))</f>
        <v>7</v>
      </c>
      <c r="Z202" s="330" t="str">
        <f t="shared" si="25"/>
        <v/>
      </c>
      <c r="AA202" s="331">
        <f t="shared" si="20"/>
        <v>0</v>
      </c>
      <c r="AB202" s="27">
        <f t="shared" si="26"/>
        <v>3</v>
      </c>
      <c r="AC202" s="330" t="str">
        <f t="shared" si="27"/>
        <v/>
      </c>
      <c r="AD202" s="332">
        <f t="shared" si="21"/>
        <v>0</v>
      </c>
      <c r="AE202" s="333" t="str">
        <f t="shared" si="28"/>
        <v/>
      </c>
      <c r="AF202" s="333" t="str">
        <f t="shared" si="29"/>
        <v/>
      </c>
      <c r="AG202" s="561" t="str">
        <f t="shared" si="22"/>
        <v/>
      </c>
      <c r="AH202" s="561" t="str">
        <f t="shared" si="23"/>
        <v/>
      </c>
      <c r="AI202" s="334"/>
    </row>
    <row r="203" spans="1:35" outlineLevel="3" x14ac:dyDescent="0.2">
      <c r="A203" s="39">
        <v>4</v>
      </c>
      <c r="B203" s="23">
        <v>270070</v>
      </c>
      <c r="C203" s="23" t="s">
        <v>739</v>
      </c>
      <c r="D203" s="300">
        <f>Table22[[#This Row],[Level used for acute calculation]]</f>
        <v>4</v>
      </c>
      <c r="E203" s="302">
        <f>Table22[[#This Row],[MRL individual commodity]]</f>
        <v>0</v>
      </c>
      <c r="F203" s="451">
        <f>Table22[[#This Row],[Acute RA input value]]</f>
        <v>0</v>
      </c>
      <c r="G203" s="301" t="str">
        <f>Table22[[#This Row],[Acute RA label]]</f>
        <v/>
      </c>
      <c r="H203" s="303">
        <f>Table22[[#This Row],[Acute RA IESTI new input value]]</f>
        <v>0</v>
      </c>
      <c r="I203" s="301" t="str">
        <f>Table22[[#This Row],[Acute RA IESTI new label]]</f>
        <v/>
      </c>
      <c r="J203" s="504"/>
      <c r="K203" s="544">
        <f>Table22[[#This Row],[GAP under assessment]]</f>
        <v>0</v>
      </c>
      <c r="L203" s="304" t="str">
        <f>IF(input_values!$M203=0,"",input_values!$M203)</f>
        <v/>
      </c>
      <c r="M203" s="301" t="str">
        <f>IF(input_values!H203=0,"",input_values!H203)</f>
        <v/>
      </c>
      <c r="N203" s="304">
        <f>input_values!$K203</f>
        <v>0</v>
      </c>
      <c r="O203" s="326">
        <v>5.7517241379310349</v>
      </c>
      <c r="P203" s="22">
        <v>97.5</v>
      </c>
      <c r="Q203" s="22" t="s">
        <v>91</v>
      </c>
      <c r="R203" s="326">
        <v>14.5</v>
      </c>
      <c r="S203" s="328">
        <f t="shared" si="24"/>
        <v>83.4</v>
      </c>
      <c r="T203" s="328">
        <v>76</v>
      </c>
      <c r="U203" s="329" t="s">
        <v>45</v>
      </c>
      <c r="V203" s="328">
        <v>76</v>
      </c>
      <c r="W203" s="329" t="s">
        <v>45</v>
      </c>
      <c r="X203" s="1464" t="str">
        <f>IF(V203="ND","ND",IF(S203="","",IF(OR(MID(C203,1,4)="milk",AND(MID(B203,1,2)="50",NOT(input_values!M203="Y")),AND(MID(B203,1,2)="40",NOT(input_values!M203="Y")),AND(MID(B203,1,2)="30",NOT(input_values!M203="Y"))),3,IF(OR(V203="&lt;25",B203&gt;1000000),1,IF((T203&gt;=S203),"2b","2a")))))</f>
        <v>2a</v>
      </c>
      <c r="Y203" s="22">
        <f>IF(X203="ND","ND",IF(S203="","",IF(input_values!K203&gt;0,input_values!K203,IF(OR(X203=1,X203=3),1,IF((V203&gt;250),5,7)))))</f>
        <v>7</v>
      </c>
      <c r="Z203" s="330" t="str">
        <f t="shared" si="25"/>
        <v/>
      </c>
      <c r="AA203" s="331">
        <f t="shared" si="20"/>
        <v>0</v>
      </c>
      <c r="AB203" s="27">
        <f t="shared" si="26"/>
        <v>3</v>
      </c>
      <c r="AC203" s="330" t="str">
        <f t="shared" si="27"/>
        <v/>
      </c>
      <c r="AD203" s="332">
        <f t="shared" si="21"/>
        <v>0</v>
      </c>
      <c r="AE203" s="333" t="str">
        <f t="shared" si="28"/>
        <v/>
      </c>
      <c r="AF203" s="333" t="str">
        <f t="shared" si="29"/>
        <v/>
      </c>
      <c r="AG203" s="561" t="str">
        <f t="shared" si="22"/>
        <v/>
      </c>
      <c r="AH203" s="561" t="str">
        <f t="shared" si="23"/>
        <v/>
      </c>
      <c r="AI203" s="334"/>
    </row>
    <row r="204" spans="1:35" ht="24" outlineLevel="3" x14ac:dyDescent="0.2">
      <c r="A204" s="39">
        <v>4</v>
      </c>
      <c r="B204" s="23">
        <v>270080</v>
      </c>
      <c r="C204" s="23" t="s">
        <v>63</v>
      </c>
      <c r="D204" s="300">
        <f>Table22[[#This Row],[Level used for acute calculation]]</f>
        <v>4</v>
      </c>
      <c r="E204" s="302">
        <f>Table22[[#This Row],[MRL individual commodity]]</f>
        <v>0</v>
      </c>
      <c r="F204" s="451">
        <f>Table22[[#This Row],[Acute RA input value]]</f>
        <v>0</v>
      </c>
      <c r="G204" s="301" t="str">
        <f>Table22[[#This Row],[Acute RA label]]</f>
        <v/>
      </c>
      <c r="H204" s="303">
        <f>Table22[[#This Row],[Acute RA IESTI new input value]]</f>
        <v>0</v>
      </c>
      <c r="I204" s="301" t="str">
        <f>Table22[[#This Row],[Acute RA IESTI new label]]</f>
        <v/>
      </c>
      <c r="J204" s="504"/>
      <c r="K204" s="544">
        <f>Table22[[#This Row],[GAP under assessment]]</f>
        <v>0</v>
      </c>
      <c r="L204" s="304" t="str">
        <f>IF(input_values!$M204=0,"",input_values!$M204)</f>
        <v/>
      </c>
      <c r="M204" s="301" t="str">
        <f>IF(input_values!H204=0,"",input_values!H204)</f>
        <v/>
      </c>
      <c r="N204" s="304">
        <f>input_values!$K204</f>
        <v>0</v>
      </c>
      <c r="O204" s="326">
        <v>1.6875</v>
      </c>
      <c r="P204" s="22">
        <v>97.5</v>
      </c>
      <c r="Q204" s="22" t="s">
        <v>95</v>
      </c>
      <c r="R204" s="326">
        <v>48</v>
      </c>
      <c r="S204" s="328">
        <f t="shared" si="24"/>
        <v>81</v>
      </c>
      <c r="T204" s="338" t="s">
        <v>617</v>
      </c>
      <c r="U204" s="329" t="s">
        <v>650</v>
      </c>
      <c r="V204" s="338" t="s">
        <v>617</v>
      </c>
      <c r="W204" s="329" t="s">
        <v>651</v>
      </c>
      <c r="X204" s="1464">
        <f>IF(V204="ND","ND",IF(S204="","",IF(OR(MID(C204,1,4)="milk",AND(MID(B204,1,2)="50",NOT(input_values!M204="Y")),AND(MID(B204,1,2)="40",NOT(input_values!M204="Y")),AND(MID(B204,1,2)="30",NOT(input_values!M204="Y"))),3,IF(OR(V204="&lt;25",B204&gt;1000000),1,IF((T204&gt;=S204),"2b","2a")))))</f>
        <v>1</v>
      </c>
      <c r="Y204" s="22">
        <f>IF(X204="ND","ND",IF(S204="","",IF(input_values!K204&gt;0,input_values!K204,IF(OR(X204=1,X204=3),1,IF((V204&gt;250),5,7)))))</f>
        <v>1</v>
      </c>
      <c r="Z204" s="330" t="str">
        <f t="shared" si="25"/>
        <v/>
      </c>
      <c r="AA204" s="331">
        <f t="shared" ref="AA204:AA267" si="30">IF(OR(ISTEXT(F204),F204=0),0,IF($C$5="not necessary","no acute RA",IF(Z204="ND","no acute RA",Z204/$C$5)))</f>
        <v>0</v>
      </c>
      <c r="AB204" s="27">
        <f t="shared" si="26"/>
        <v>1</v>
      </c>
      <c r="AC204" s="330" t="str">
        <f t="shared" si="27"/>
        <v/>
      </c>
      <c r="AD204" s="332">
        <f t="shared" ref="AD204:AD267" si="31">IF(OR(ISTEXT(H204),H204=0,S204=0),0,IF($C$5="not necessary","no acute RA",IF(AC204="ND","no acute RA",AC204/$C$5)))</f>
        <v>0</v>
      </c>
      <c r="AE204" s="333" t="str">
        <f t="shared" si="28"/>
        <v/>
      </c>
      <c r="AF204" s="333" t="str">
        <f t="shared" si="29"/>
        <v/>
      </c>
      <c r="AG204" s="561" t="str">
        <f t="shared" ref="AG204:AG267" si="32">IF(OR(Z204=0,Z204="ND",Z204="",$C$5="not necessary"),"",IF(X204="2a",1000*$C$5*R204/(T204*Y204+S204-T204),IF(X204="2b",1000*$C$5*R204/S204/Y204,IF(OR(X204=1,X204=3),1000*$C$5*R204/S204,""))))</f>
        <v/>
      </c>
      <c r="AH204" s="561" t="str">
        <f t="shared" ref="AH204:AH267" si="33">IF(OR(AC204=0,AC204="ND",AC204="",$C$5="not necessary"),"",1000*$C$5*R204/S204/AB204)</f>
        <v/>
      </c>
      <c r="AI204" s="334"/>
    </row>
    <row r="205" spans="1:35" outlineLevel="3" x14ac:dyDescent="0.2">
      <c r="A205" s="39">
        <v>4</v>
      </c>
      <c r="B205" s="23">
        <v>270090</v>
      </c>
      <c r="C205" s="23" t="s">
        <v>64</v>
      </c>
      <c r="D205" s="300">
        <f>Table22[[#This Row],[Level used for acute calculation]]</f>
        <v>4</v>
      </c>
      <c r="E205" s="302">
        <f>Table22[[#This Row],[MRL individual commodity]]</f>
        <v>0</v>
      </c>
      <c r="F205" s="451">
        <f>Table22[[#This Row],[Acute RA input value]]</f>
        <v>0</v>
      </c>
      <c r="G205" s="301" t="str">
        <f>Table22[[#This Row],[Acute RA label]]</f>
        <v/>
      </c>
      <c r="H205" s="303">
        <f>Table22[[#This Row],[Acute RA IESTI new input value]]</f>
        <v>0</v>
      </c>
      <c r="I205" s="301" t="str">
        <f>Table22[[#This Row],[Acute RA IESTI new label]]</f>
        <v/>
      </c>
      <c r="J205" s="504"/>
      <c r="K205" s="544">
        <f>Table22[[#This Row],[GAP under assessment]]</f>
        <v>0</v>
      </c>
      <c r="L205" s="304" t="str">
        <f>IF(input_values!$M205=0,"",input_values!$M205)</f>
        <v/>
      </c>
      <c r="M205" s="301" t="str">
        <f>IF(input_values!H205=0,"",input_values!H205)</f>
        <v/>
      </c>
      <c r="N205" s="304">
        <f>input_values!$K205</f>
        <v>0</v>
      </c>
      <c r="O205" s="338" t="s">
        <v>618</v>
      </c>
      <c r="P205" s="22"/>
      <c r="Q205" s="22"/>
      <c r="R205" s="330"/>
      <c r="S205" s="31" t="str">
        <f t="shared" ref="S205:S256" si="34">IF(O205="ND","ND",IF(O205="","",O205*R205))</f>
        <v>ND</v>
      </c>
      <c r="T205" s="338" t="s">
        <v>618</v>
      </c>
      <c r="U205" s="329"/>
      <c r="V205" s="338" t="s">
        <v>618</v>
      </c>
      <c r="W205" s="329"/>
      <c r="X205" s="1171" t="str">
        <f>IF(V205="ND","ND",IF(S205="","",IF(OR(MID(C205,1,4)="milk",AND(MID(B205,1,2)="50",NOT(input_values!M205="Y")),AND(MID(B205,1,2)="40",NOT(input_values!M205="Y")),AND(MID(B205,1,2)="30",NOT(input_values!M205="Y"))),3,IF(OR(V205="&lt;25",B205&gt;1000000),1,IF((T205&gt;=S205),"2b","2a")))))</f>
        <v>ND</v>
      </c>
      <c r="Y205" s="1172" t="str">
        <f>IF(X205="ND","ND",IF(S205="","",IF(input_values!K205&gt;0,input_values!K205,IF(OR(X205=1,X205=3),1,IF((V205&gt;250),5,7)))))</f>
        <v>ND</v>
      </c>
      <c r="Z205" s="340" t="str">
        <f t="shared" ref="Z205:Z257" si="35">IF(OR(ISTEXT(F205),F205=0),"",IF(OR(S205="ND",T205="ND"),"ND",IF(($X205="2a"),1/$R205*(($F205*$T205/1000*$Y205)+($F205*($S205-$T205)/1000)),IF(($X205="2b"),1/$R205*($F205*$S205/1000*$Y205),1/$R205*($F205*$S205/1000)))))</f>
        <v/>
      </c>
      <c r="AA205" s="332">
        <f t="shared" si="30"/>
        <v>0</v>
      </c>
      <c r="AB205" s="27" t="str">
        <f t="shared" ref="AB205:AB267" si="36">IF(OR(Y205=5,Y205=7,N205&gt;3),3,Y205)</f>
        <v>ND</v>
      </c>
      <c r="AC205" s="340" t="str">
        <f t="shared" ref="AC205:AC267" si="37">IF(OR(ISTEXT(H205),H205=0),"",IF(OR(S205="ND",T205="ND"),"ND",1/$R205*($H205*$S205*AB205/1000)))</f>
        <v/>
      </c>
      <c r="AD205" s="332">
        <f t="shared" si="31"/>
        <v>0</v>
      </c>
      <c r="AE205" s="37" t="str">
        <f t="shared" ref="AE205:AE267" si="38">IF(AA205&gt;=1,AG205,"")</f>
        <v/>
      </c>
      <c r="AF205" s="37" t="str">
        <f t="shared" ref="AF205:AF267" si="39">IF(AD205&gt;=1,AH205,"")</f>
        <v/>
      </c>
      <c r="AG205" s="561" t="str">
        <f t="shared" si="32"/>
        <v/>
      </c>
      <c r="AH205" s="561" t="str">
        <f t="shared" si="33"/>
        <v/>
      </c>
      <c r="AI205" s="313"/>
    </row>
    <row r="206" spans="1:35" outlineLevel="3" x14ac:dyDescent="0.2">
      <c r="A206" s="39">
        <v>4</v>
      </c>
      <c r="B206" s="23">
        <v>270990</v>
      </c>
      <c r="C206" s="23" t="s">
        <v>177</v>
      </c>
      <c r="D206" s="300">
        <f>Table22[[#This Row],[Level used for acute calculation]]</f>
        <v>0</v>
      </c>
      <c r="E206" s="302">
        <f>Table22[[#This Row],[MRL individual commodity]]</f>
        <v>0</v>
      </c>
      <c r="F206" s="451">
        <f>Table22[[#This Row],[Acute RA input value]]</f>
        <v>0</v>
      </c>
      <c r="G206" s="301">
        <f>Table22[[#This Row],[Acute RA label]]</f>
        <v>0</v>
      </c>
      <c r="H206" s="303">
        <f>Table22[[#This Row],[Acute RA IESTI new input value]]</f>
        <v>0</v>
      </c>
      <c r="I206" s="301">
        <f>Table22[[#This Row],[Acute RA IESTI new label]]</f>
        <v>0</v>
      </c>
      <c r="J206" s="504"/>
      <c r="K206" s="544">
        <f>Table22[[#This Row],[GAP under assessment]]</f>
        <v>0</v>
      </c>
      <c r="L206" s="304" t="str">
        <f>IF(input_values!$M206=0,"",input_values!$M206)</f>
        <v/>
      </c>
      <c r="M206" s="301" t="str">
        <f>IF(input_values!H206=0,"",input_values!H206)</f>
        <v/>
      </c>
      <c r="N206" s="304">
        <f>input_values!$K206</f>
        <v>0</v>
      </c>
      <c r="O206" s="309"/>
      <c r="P206" s="38"/>
      <c r="Q206" s="38"/>
      <c r="R206" s="335"/>
      <c r="S206" s="336" t="str">
        <f t="shared" si="34"/>
        <v/>
      </c>
      <c r="T206" s="305"/>
      <c r="U206" s="570"/>
      <c r="V206" s="305"/>
      <c r="W206" s="570"/>
      <c r="X206" s="611" t="str">
        <f>IF(V206="ND","ND",IF(S206="","",IF(OR(MID(C206,1,4)="milk",AND(MID(B206,1,2)="50",NOT(input_values!M206="Y")),AND(MID(B206,1,2)="40",NOT(input_values!M206="Y")),AND(MID(B206,1,2)="30",NOT(input_values!M206="Y"))),3,IF(OR(V206="&lt;25",B206&gt;1000000),1,IF((T206&gt;=S206),"2b","2a")))))</f>
        <v/>
      </c>
      <c r="Y206" s="38" t="str">
        <f>IF(X206="ND","ND",IF(S206="","",IF(input_values!K206&gt;0,input_values!K206,IF(OR(X206=1,X206=3),1,IF((V206&gt;250),5,7)))))</f>
        <v/>
      </c>
      <c r="Z206" s="335" t="str">
        <f t="shared" si="35"/>
        <v/>
      </c>
      <c r="AA206" s="311">
        <f t="shared" si="30"/>
        <v>0</v>
      </c>
      <c r="AB206" s="38" t="str">
        <f t="shared" si="36"/>
        <v/>
      </c>
      <c r="AC206" s="335" t="str">
        <f t="shared" si="37"/>
        <v/>
      </c>
      <c r="AD206" s="311">
        <f t="shared" si="31"/>
        <v>0</v>
      </c>
      <c r="AE206" s="344" t="str">
        <f t="shared" si="38"/>
        <v/>
      </c>
      <c r="AF206" s="344" t="str">
        <f t="shared" si="39"/>
        <v/>
      </c>
      <c r="AG206" s="561" t="str">
        <f t="shared" si="32"/>
        <v/>
      </c>
      <c r="AH206" s="561" t="str">
        <f t="shared" si="33"/>
        <v/>
      </c>
      <c r="AI206" s="313"/>
    </row>
    <row r="207" spans="1:35" outlineLevel="2" x14ac:dyDescent="0.2">
      <c r="A207" s="130">
        <v>2</v>
      </c>
      <c r="B207" s="131">
        <v>280000</v>
      </c>
      <c r="C207" s="131" t="s">
        <v>235</v>
      </c>
      <c r="D207" s="300">
        <f>Table22[[#This Row],[Level used for acute calculation]]</f>
        <v>4</v>
      </c>
      <c r="E207" s="302">
        <f>Table22[[#This Row],[MRL individual commodity]]</f>
        <v>0</v>
      </c>
      <c r="F207" s="451">
        <f>Table22[[#This Row],[Acute RA input value]]</f>
        <v>0</v>
      </c>
      <c r="G207" s="301">
        <f>Table22[[#This Row],[Acute RA label]]</f>
        <v>0</v>
      </c>
      <c r="H207" s="303">
        <f>Table22[[#This Row],[Acute RA IESTI new input value]]</f>
        <v>0</v>
      </c>
      <c r="I207" s="301">
        <f>Table22[[#This Row],[Acute RA IESTI new label]]</f>
        <v>0</v>
      </c>
      <c r="J207" s="504"/>
      <c r="K207" s="544">
        <f>Table22[[#This Row],[GAP under assessment]]</f>
        <v>0</v>
      </c>
      <c r="L207" s="304" t="str">
        <f>IF(input_values!$M207=0,"",input_values!$M207)</f>
        <v/>
      </c>
      <c r="M207" s="301" t="str">
        <f>IF(input_values!H207=0,"",input_values!H207)</f>
        <v/>
      </c>
      <c r="N207" s="304">
        <f>input_values!$K207</f>
        <v>0</v>
      </c>
      <c r="O207" s="309"/>
      <c r="P207" s="38"/>
      <c r="Q207" s="38"/>
      <c r="R207" s="335"/>
      <c r="S207" s="336" t="str">
        <f t="shared" si="34"/>
        <v/>
      </c>
      <c r="T207" s="315"/>
      <c r="U207" s="321"/>
      <c r="V207" s="315"/>
      <c r="W207" s="321"/>
      <c r="X207" s="611" t="str">
        <f>IF(V207="ND","ND",IF(S207="","",IF(OR(MID(C207,1,4)="milk",AND(MID(B207,1,2)="50",NOT(input_values!M207="Y")),AND(MID(B207,1,2)="40",NOT(input_values!M207="Y")),AND(MID(B207,1,2)="30",NOT(input_values!M207="Y"))),3,IF(OR(V207="&lt;25",B207&gt;1000000),1,IF((T207&gt;=S207),"2b","2a")))))</f>
        <v/>
      </c>
      <c r="Y207" s="38" t="str">
        <f>IF(X207="ND","ND",IF(S207="","",IF(input_values!K207&gt;0,input_values!K207,IF(OR(X207=1,X207=3),1,IF((V207&gt;250),5,7)))))</f>
        <v/>
      </c>
      <c r="Z207" s="335" t="str">
        <f t="shared" si="35"/>
        <v/>
      </c>
      <c r="AA207" s="311">
        <f t="shared" si="30"/>
        <v>0</v>
      </c>
      <c r="AB207" s="38" t="str">
        <f t="shared" si="36"/>
        <v/>
      </c>
      <c r="AC207" s="335" t="str">
        <f t="shared" si="37"/>
        <v/>
      </c>
      <c r="AD207" s="311">
        <f t="shared" si="31"/>
        <v>0</v>
      </c>
      <c r="AE207" s="344" t="str">
        <f t="shared" si="38"/>
        <v/>
      </c>
      <c r="AF207" s="344" t="str">
        <f t="shared" si="39"/>
        <v/>
      </c>
      <c r="AG207" s="561" t="str">
        <f t="shared" si="32"/>
        <v/>
      </c>
      <c r="AH207" s="561" t="str">
        <f t="shared" si="33"/>
        <v/>
      </c>
      <c r="AI207" s="313"/>
    </row>
    <row r="208" spans="1:35" outlineLevel="3" x14ac:dyDescent="0.2">
      <c r="A208" s="39">
        <v>4</v>
      </c>
      <c r="B208" s="23">
        <v>280010</v>
      </c>
      <c r="C208" s="23" t="s">
        <v>236</v>
      </c>
      <c r="D208" s="300">
        <f>Table22[[#This Row],[Level used for acute calculation]]</f>
        <v>4</v>
      </c>
      <c r="E208" s="302">
        <f>Table22[[#This Row],[MRL individual commodity]]</f>
        <v>0</v>
      </c>
      <c r="F208" s="451">
        <f>Table22[[#This Row],[Acute RA input value]]</f>
        <v>0</v>
      </c>
      <c r="G208" s="301" t="str">
        <f>Table22[[#This Row],[Acute RA label]]</f>
        <v/>
      </c>
      <c r="H208" s="303">
        <f>Table22[[#This Row],[Acute RA IESTI new input value]]</f>
        <v>0</v>
      </c>
      <c r="I208" s="301" t="str">
        <f>Table22[[#This Row],[Acute RA IESTI new label]]</f>
        <v/>
      </c>
      <c r="J208" s="504"/>
      <c r="K208" s="544">
        <f>Table22[[#This Row],[GAP under assessment]]</f>
        <v>0</v>
      </c>
      <c r="L208" s="304" t="str">
        <f>IF(input_values!$M208=0,"",input_values!$M208)</f>
        <v/>
      </c>
      <c r="M208" s="301" t="str">
        <f>IF(input_values!H208=0,"",input_values!H208)</f>
        <v/>
      </c>
      <c r="N208" s="304">
        <f>input_values!$K208</f>
        <v>0</v>
      </c>
      <c r="O208" s="326">
        <v>8.4438202247191008</v>
      </c>
      <c r="P208" s="22">
        <v>97.5</v>
      </c>
      <c r="Q208" s="22" t="s">
        <v>93</v>
      </c>
      <c r="R208" s="326">
        <v>17.8</v>
      </c>
      <c r="S208" s="328">
        <f t="shared" si="34"/>
        <v>150.30000000000001</v>
      </c>
      <c r="T208" s="338">
        <v>25</v>
      </c>
      <c r="U208" s="129" t="s">
        <v>215</v>
      </c>
      <c r="V208" s="338">
        <v>25</v>
      </c>
      <c r="W208" s="129" t="s">
        <v>215</v>
      </c>
      <c r="X208" s="1464" t="str">
        <f>IF(V208="ND","ND",IF(S208="","",IF(OR(MID(C208,1,4)="milk",AND(MID(B208,1,2)="50",NOT(input_values!M208="Y")),AND(MID(B208,1,2)="40",NOT(input_values!M208="Y")),AND(MID(B208,1,2)="30",NOT(input_values!M208="Y"))),3,IF(OR(V208="&lt;25",B208&gt;1000000),1,IF((T208&gt;=S208),"2b","2a")))))</f>
        <v>2a</v>
      </c>
      <c r="Y208" s="22">
        <f>IF(X208="ND","ND",IF(S208="","",IF(input_values!K208&gt;0,input_values!K208,IF(OR(X208=1,X208=3),1,IF((V208&gt;250),5,7)))))</f>
        <v>7</v>
      </c>
      <c r="Z208" s="330" t="str">
        <f t="shared" si="35"/>
        <v/>
      </c>
      <c r="AA208" s="331">
        <f t="shared" si="30"/>
        <v>0</v>
      </c>
      <c r="AB208" s="27">
        <f t="shared" si="36"/>
        <v>3</v>
      </c>
      <c r="AC208" s="330" t="str">
        <f t="shared" si="37"/>
        <v/>
      </c>
      <c r="AD208" s="332">
        <f t="shared" si="31"/>
        <v>0</v>
      </c>
      <c r="AE208" s="333" t="str">
        <f t="shared" si="38"/>
        <v/>
      </c>
      <c r="AF208" s="333" t="str">
        <f t="shared" si="39"/>
        <v/>
      </c>
      <c r="AG208" s="561" t="str">
        <f t="shared" si="32"/>
        <v/>
      </c>
      <c r="AH208" s="561" t="str">
        <f t="shared" si="33"/>
        <v/>
      </c>
      <c r="AI208" s="334"/>
    </row>
    <row r="209" spans="1:35" outlineLevel="3" x14ac:dyDescent="0.2">
      <c r="A209" s="39">
        <v>4</v>
      </c>
      <c r="B209" s="23">
        <v>280020</v>
      </c>
      <c r="C209" s="23" t="s">
        <v>237</v>
      </c>
      <c r="D209" s="300">
        <f>Table22[[#This Row],[Level used for acute calculation]]</f>
        <v>4</v>
      </c>
      <c r="E209" s="302">
        <f>Table22[[#This Row],[MRL individual commodity]]</f>
        <v>0</v>
      </c>
      <c r="F209" s="451">
        <f>Table22[[#This Row],[Acute RA input value]]</f>
        <v>0</v>
      </c>
      <c r="G209" s="301" t="str">
        <f>Table22[[#This Row],[Acute RA label]]</f>
        <v/>
      </c>
      <c r="H209" s="303">
        <f>Table22[[#This Row],[Acute RA IESTI new input value]]</f>
        <v>0</v>
      </c>
      <c r="I209" s="301" t="str">
        <f>Table22[[#This Row],[Acute RA IESTI new label]]</f>
        <v/>
      </c>
      <c r="J209" s="504"/>
      <c r="K209" s="544">
        <f>Table22[[#This Row],[GAP under assessment]]</f>
        <v>0</v>
      </c>
      <c r="L209" s="304" t="str">
        <f>IF(input_values!$M209=0,"",input_values!$M209)</f>
        <v/>
      </c>
      <c r="M209" s="301" t="str">
        <f>IF(input_values!H209=0,"",input_values!H209)</f>
        <v/>
      </c>
      <c r="N209" s="304">
        <f>input_values!$K209</f>
        <v>0</v>
      </c>
      <c r="O209" s="326">
        <v>1.801857585139319</v>
      </c>
      <c r="P209" s="22">
        <v>100</v>
      </c>
      <c r="Q209" s="22" t="s">
        <v>256</v>
      </c>
      <c r="R209" s="326">
        <v>16.149999999999999</v>
      </c>
      <c r="S209" s="328">
        <f t="shared" si="34"/>
        <v>29.1</v>
      </c>
      <c r="T209" s="328" t="s">
        <v>617</v>
      </c>
      <c r="U209" s="329" t="s">
        <v>215</v>
      </c>
      <c r="V209" s="328" t="s">
        <v>617</v>
      </c>
      <c r="W209" s="329" t="s">
        <v>215</v>
      </c>
      <c r="X209" s="1464">
        <f>IF(V209="ND","ND",IF(S209="","",IF(OR(MID(C209,1,4)="milk",AND(MID(B209,1,2)="50",NOT(input_values!M209="Y")),AND(MID(B209,1,2)="40",NOT(input_values!M209="Y")),AND(MID(B209,1,2)="30",NOT(input_values!M209="Y"))),3,IF(OR(V209="&lt;25",B209&gt;1000000),1,IF((T209&gt;=S209),"2b","2a")))))</f>
        <v>1</v>
      </c>
      <c r="Y209" s="22">
        <f>IF(X209="ND","ND",IF(S209="","",IF(input_values!K209&gt;0,input_values!K209,IF(OR(X209=1,X209=3),1,IF((V209&gt;250),5,7)))))</f>
        <v>1</v>
      </c>
      <c r="Z209" s="330" t="str">
        <f t="shared" si="35"/>
        <v/>
      </c>
      <c r="AA209" s="331">
        <f t="shared" si="30"/>
        <v>0</v>
      </c>
      <c r="AB209" s="27">
        <f t="shared" si="36"/>
        <v>1</v>
      </c>
      <c r="AC209" s="330" t="str">
        <f t="shared" si="37"/>
        <v/>
      </c>
      <c r="AD209" s="332">
        <f t="shared" si="31"/>
        <v>0</v>
      </c>
      <c r="AE209" s="333" t="str">
        <f t="shared" si="38"/>
        <v/>
      </c>
      <c r="AF209" s="333" t="str">
        <f t="shared" si="39"/>
        <v/>
      </c>
      <c r="AG209" s="561" t="str">
        <f t="shared" si="32"/>
        <v/>
      </c>
      <c r="AH209" s="561" t="str">
        <f t="shared" si="33"/>
        <v/>
      </c>
      <c r="AI209" s="334"/>
    </row>
    <row r="210" spans="1:35" outlineLevel="3" x14ac:dyDescent="0.2">
      <c r="A210" s="39">
        <v>4</v>
      </c>
      <c r="B210" s="23">
        <v>280990</v>
      </c>
      <c r="C210" s="23" t="s">
        <v>740</v>
      </c>
      <c r="D210" s="300">
        <f>Table22[[#This Row],[Level used for acute calculation]]</f>
        <v>4</v>
      </c>
      <c r="E210" s="302">
        <f>Table22[[#This Row],[MRL individual commodity]]</f>
        <v>0</v>
      </c>
      <c r="F210" s="451">
        <f>Table22[[#This Row],[Acute RA input value]]</f>
        <v>0</v>
      </c>
      <c r="G210" s="301" t="str">
        <f>Table22[[#This Row],[Acute RA label]]</f>
        <v/>
      </c>
      <c r="H210" s="303">
        <f>Table22[[#This Row],[Acute RA IESTI new input value]]</f>
        <v>0</v>
      </c>
      <c r="I210" s="301" t="str">
        <f>Table22[[#This Row],[Acute RA IESTI new label]]</f>
        <v/>
      </c>
      <c r="J210" s="504"/>
      <c r="K210" s="544">
        <f>Table22[[#This Row],[GAP under assessment]]</f>
        <v>0</v>
      </c>
      <c r="L210" s="304" t="str">
        <f>IF(input_values!$M210=0,"",input_values!$M210)</f>
        <v/>
      </c>
      <c r="M210" s="301" t="str">
        <f>IF(input_values!H210=0,"",input_values!H210)</f>
        <v/>
      </c>
      <c r="N210" s="304">
        <f>input_values!$K210</f>
        <v>0</v>
      </c>
      <c r="O210" s="347"/>
      <c r="P210" s="47"/>
      <c r="Q210" s="47"/>
      <c r="R210" s="354"/>
      <c r="S210" s="610"/>
      <c r="T210" s="347"/>
      <c r="U210" s="337"/>
      <c r="V210" s="347"/>
      <c r="W210" s="337"/>
      <c r="X210" s="611" t="str">
        <f>IF(V210="ND","ND",IF(S210="","",IF(OR(MID(C210,1,4)="milk",AND(MID(B210,1,2)="50",NOT(input_values!M210="Y")),AND(MID(B210,1,2)="40",NOT(input_values!M210="Y")),AND(MID(B210,1,2)="30",NOT(input_values!M210="Y"))),3,IF(OR(V210="&lt;25",B210&gt;1000000),1,IF((T210&gt;=S210),"2b","2a")))))</f>
        <v/>
      </c>
      <c r="Y210" s="47" t="str">
        <f>IF(X210="ND","ND",IF(S210="","",IF(input_values!K210&gt;0,input_values!K210,IF(OR(X210=1,X210=3),1,IF((V210&gt;250),5,7)))))</f>
        <v/>
      </c>
      <c r="Z210" s="354"/>
      <c r="AA210" s="351">
        <f t="shared" si="30"/>
        <v>0</v>
      </c>
      <c r="AB210" s="47"/>
      <c r="AC210" s="354"/>
      <c r="AD210" s="351">
        <f t="shared" si="31"/>
        <v>0</v>
      </c>
      <c r="AE210" s="355"/>
      <c r="AF210" s="355"/>
      <c r="AG210" s="561" t="str">
        <f t="shared" si="32"/>
        <v/>
      </c>
      <c r="AH210" s="561" t="str">
        <f t="shared" si="33"/>
        <v/>
      </c>
      <c r="AI210" s="313"/>
    </row>
    <row r="211" spans="1:35" ht="24" outlineLevel="1" x14ac:dyDescent="0.2">
      <c r="A211" s="130">
        <v>2</v>
      </c>
      <c r="B211" s="131">
        <v>290000</v>
      </c>
      <c r="C211" s="131" t="s">
        <v>741</v>
      </c>
      <c r="D211" s="300">
        <f>Table22[[#This Row],[Level used for acute calculation]]</f>
        <v>2</v>
      </c>
      <c r="E211" s="302">
        <f>Table22[[#This Row],[MRL individual commodity]]</f>
        <v>0</v>
      </c>
      <c r="F211" s="451">
        <f>Table22[[#This Row],[Acute RA input value]]</f>
        <v>0</v>
      </c>
      <c r="G211" s="301" t="str">
        <f>Table22[[#This Row],[Acute RA label]]</f>
        <v/>
      </c>
      <c r="H211" s="303">
        <f>Table22[[#This Row],[Acute RA IESTI new input value]]</f>
        <v>0</v>
      </c>
      <c r="I211" s="301" t="str">
        <f>Table22[[#This Row],[Acute RA IESTI new label]]</f>
        <v/>
      </c>
      <c r="J211" s="504"/>
      <c r="K211" s="544">
        <f>Table22[[#This Row],[GAP under assessment]]</f>
        <v>0</v>
      </c>
      <c r="L211" s="304" t="str">
        <f>IF(input_values!$M211=0,"",input_values!$M211)</f>
        <v/>
      </c>
      <c r="M211" s="301" t="str">
        <f>IF(input_values!H211=0,"",input_values!H211)</f>
        <v/>
      </c>
      <c r="N211" s="304">
        <f>input_values!$K211</f>
        <v>0</v>
      </c>
      <c r="O211" s="338" t="s">
        <v>618</v>
      </c>
      <c r="P211" s="22"/>
      <c r="Q211" s="22"/>
      <c r="R211" s="330"/>
      <c r="S211" s="31" t="str">
        <f t="shared" si="34"/>
        <v>ND</v>
      </c>
      <c r="T211" s="338" t="s">
        <v>618</v>
      </c>
      <c r="U211" s="329"/>
      <c r="V211" s="338" t="s">
        <v>618</v>
      </c>
      <c r="W211" s="329"/>
      <c r="X211" s="1171" t="str">
        <f>IF(V211="ND","ND",IF(S211="","",IF(OR(MID(C211,1,4)="milk",AND(MID(B211,1,2)="50",NOT(input_values!M211="Y")),AND(MID(B211,1,2)="40",NOT(input_values!M211="Y")),AND(MID(B211,1,2)="30",NOT(input_values!M211="Y"))),3,IF(OR(V211="&lt;25",B211&gt;1000000),1,IF((T211&gt;=S211),"2b","2a")))))</f>
        <v>ND</v>
      </c>
      <c r="Y211" s="1172" t="str">
        <f>IF(X211="ND","ND",IF(S211="","",IF(input_values!K211&gt;0,input_values!K211,IF(OR(X211=1,X211=3),1,IF((V211&gt;250),5,7)))))</f>
        <v>ND</v>
      </c>
      <c r="Z211" s="340" t="str">
        <f t="shared" si="35"/>
        <v/>
      </c>
      <c r="AA211" s="332">
        <f t="shared" si="30"/>
        <v>0</v>
      </c>
      <c r="AB211" s="27" t="str">
        <f t="shared" si="36"/>
        <v>ND</v>
      </c>
      <c r="AC211" s="340" t="str">
        <f t="shared" si="37"/>
        <v/>
      </c>
      <c r="AD211" s="332">
        <f t="shared" si="31"/>
        <v>0</v>
      </c>
      <c r="AE211" s="37" t="str">
        <f t="shared" si="38"/>
        <v/>
      </c>
      <c r="AF211" s="37" t="str">
        <f t="shared" si="39"/>
        <v/>
      </c>
      <c r="AG211" s="561" t="str">
        <f t="shared" si="32"/>
        <v/>
      </c>
      <c r="AH211" s="561" t="str">
        <f t="shared" si="33"/>
        <v/>
      </c>
      <c r="AI211" s="313"/>
    </row>
    <row r="212" spans="1:35" x14ac:dyDescent="0.2">
      <c r="A212" s="126">
        <v>1</v>
      </c>
      <c r="B212" s="127">
        <v>300000</v>
      </c>
      <c r="C212" s="127" t="s">
        <v>742</v>
      </c>
      <c r="D212" s="300">
        <f>Table22[[#This Row],[Level used for acute calculation]]</f>
        <v>4</v>
      </c>
      <c r="E212" s="302">
        <f>Table22[[#This Row],[MRL individual commodity]]</f>
        <v>0</v>
      </c>
      <c r="F212" s="451">
        <f>Table22[[#This Row],[Acute RA input value]]</f>
        <v>0</v>
      </c>
      <c r="G212" s="301">
        <f>Table22[[#This Row],[Acute RA label]]</f>
        <v>0</v>
      </c>
      <c r="H212" s="303">
        <f>Table22[[#This Row],[Acute RA IESTI new input value]]</f>
        <v>0</v>
      </c>
      <c r="I212" s="301">
        <f>Table22[[#This Row],[Acute RA IESTI new label]]</f>
        <v>0</v>
      </c>
      <c r="J212" s="504"/>
      <c r="K212" s="544">
        <f>Table22[[#This Row],[GAP under assessment]]</f>
        <v>0</v>
      </c>
      <c r="L212" s="304" t="str">
        <f>IF(input_values!$M212=0,"",input_values!$M212)</f>
        <v/>
      </c>
      <c r="M212" s="301" t="str">
        <f>IF(input_values!H212=0,"",input_values!H212)</f>
        <v/>
      </c>
      <c r="N212" s="304">
        <f>input_values!$K212</f>
        <v>0</v>
      </c>
      <c r="O212" s="309"/>
      <c r="P212" s="38"/>
      <c r="Q212" s="38"/>
      <c r="R212" s="335"/>
      <c r="S212" s="336" t="str">
        <f t="shared" si="34"/>
        <v/>
      </c>
      <c r="T212" s="305"/>
      <c r="U212" s="570"/>
      <c r="V212" s="305"/>
      <c r="W212" s="570"/>
      <c r="X212" s="611" t="str">
        <f>IF(V212="ND","ND",IF(S212="","",IF(OR(MID(C212,1,4)="milk",AND(MID(B212,1,2)="50",NOT(input_values!M212="Y")),AND(MID(B212,1,2)="40",NOT(input_values!M212="Y")),AND(MID(B212,1,2)="30",NOT(input_values!M212="Y"))),3,IF(OR(V212="&lt;25",B212&gt;1000000),1,IF((T212&gt;=S212),"2b","2a")))))</f>
        <v/>
      </c>
      <c r="Y212" s="38" t="str">
        <f>IF(X212="ND","ND",IF(S212="","",IF(input_values!K212&gt;0,input_values!K212,IF(OR(X212=1,X212=3),1,IF((V212&gt;250),5,7)))))</f>
        <v/>
      </c>
      <c r="Z212" s="335" t="str">
        <f t="shared" si="35"/>
        <v/>
      </c>
      <c r="AA212" s="311">
        <f t="shared" si="30"/>
        <v>0</v>
      </c>
      <c r="AB212" s="38" t="str">
        <f t="shared" si="36"/>
        <v/>
      </c>
      <c r="AC212" s="335" t="str">
        <f t="shared" si="37"/>
        <v/>
      </c>
      <c r="AD212" s="311">
        <f t="shared" si="31"/>
        <v>0</v>
      </c>
      <c r="AE212" s="344" t="str">
        <f t="shared" si="38"/>
        <v/>
      </c>
      <c r="AF212" s="344" t="str">
        <f t="shared" si="39"/>
        <v/>
      </c>
      <c r="AG212" s="561" t="str">
        <f t="shared" si="32"/>
        <v/>
      </c>
      <c r="AH212" s="561" t="str">
        <f t="shared" si="33"/>
        <v/>
      </c>
      <c r="AI212" s="313"/>
    </row>
    <row r="213" spans="1:35" outlineLevel="3" x14ac:dyDescent="0.2">
      <c r="A213" s="39">
        <v>4</v>
      </c>
      <c r="B213" s="23">
        <v>300010</v>
      </c>
      <c r="C213" s="23" t="s">
        <v>291</v>
      </c>
      <c r="D213" s="300">
        <f>Table22[[#This Row],[Level used for acute calculation]]</f>
        <v>4</v>
      </c>
      <c r="E213" s="302">
        <f>Table22[[#This Row],[MRL individual commodity]]</f>
        <v>0</v>
      </c>
      <c r="F213" s="451">
        <f>Table22[[#This Row],[Acute RA input value]]</f>
        <v>0</v>
      </c>
      <c r="G213" s="301" t="str">
        <f>Table22[[#This Row],[Acute RA label]]</f>
        <v/>
      </c>
      <c r="H213" s="303">
        <f>Table22[[#This Row],[Acute RA IESTI new input value]]</f>
        <v>0</v>
      </c>
      <c r="I213" s="301" t="str">
        <f>Table22[[#This Row],[Acute RA IESTI new label]]</f>
        <v/>
      </c>
      <c r="J213" s="504"/>
      <c r="K213" s="544">
        <f>Table22[[#This Row],[GAP under assessment]]</f>
        <v>0</v>
      </c>
      <c r="L213" s="304" t="str">
        <f>IF(input_values!$M213=0,"",input_values!$M213)</f>
        <v/>
      </c>
      <c r="M213" s="301" t="str">
        <f>IF(input_values!H213=0,"",input_values!H213)</f>
        <v/>
      </c>
      <c r="N213" s="304">
        <f>input_values!$K213</f>
        <v>0</v>
      </c>
      <c r="O213" s="326">
        <v>18.27586206896552</v>
      </c>
      <c r="P213" s="22">
        <v>97.5</v>
      </c>
      <c r="Q213" s="22" t="s">
        <v>89</v>
      </c>
      <c r="R213" s="326">
        <v>8.6999999999999993</v>
      </c>
      <c r="S213" s="328">
        <f t="shared" si="34"/>
        <v>159</v>
      </c>
      <c r="T213" s="338" t="s">
        <v>617</v>
      </c>
      <c r="U213" s="129" t="s">
        <v>215</v>
      </c>
      <c r="V213" s="338" t="s">
        <v>617</v>
      </c>
      <c r="W213" s="129" t="s">
        <v>215</v>
      </c>
      <c r="X213" s="1127">
        <f>IF(V213="ND","ND",IF(S213="","",IF(OR(MID(C213,1,4)="milk",AND(MID(B213,1,2)="50",NOT(input_values!M213="Y")),AND(MID(B213,1,2)="40",NOT(input_values!M213="Y")),AND(MID(B213,1,2)="30",NOT(input_values!M213="Y"))),3,IF(OR(V213="&lt;25",B213&gt;1000000),1,IF((T213&gt;=S213),"2b","2a")))))</f>
        <v>3</v>
      </c>
      <c r="Y213" s="22">
        <f>IF(X213="ND","ND",IF(S213="","",IF(input_values!K213&gt;0,input_values!K213,IF(OR(X213=1,X213=3),1,IF((V213&gt;250),5,7)))))</f>
        <v>1</v>
      </c>
      <c r="Z213" s="330" t="str">
        <f t="shared" si="35"/>
        <v/>
      </c>
      <c r="AA213" s="331">
        <f t="shared" si="30"/>
        <v>0</v>
      </c>
      <c r="AB213" s="27">
        <f t="shared" si="36"/>
        <v>1</v>
      </c>
      <c r="AC213" s="330" t="str">
        <f t="shared" si="37"/>
        <v/>
      </c>
      <c r="AD213" s="332">
        <f t="shared" si="31"/>
        <v>0</v>
      </c>
      <c r="AE213" s="333" t="str">
        <f t="shared" si="38"/>
        <v/>
      </c>
      <c r="AF213" s="333" t="str">
        <f t="shared" si="39"/>
        <v/>
      </c>
      <c r="AG213" s="561" t="str">
        <f t="shared" si="32"/>
        <v/>
      </c>
      <c r="AH213" s="561" t="str">
        <f t="shared" si="33"/>
        <v/>
      </c>
      <c r="AI213" s="334"/>
    </row>
    <row r="214" spans="1:35" ht="24" outlineLevel="3" x14ac:dyDescent="0.2">
      <c r="A214" s="39">
        <v>4</v>
      </c>
      <c r="B214" s="23">
        <v>300020</v>
      </c>
      <c r="C214" s="23" t="s">
        <v>59</v>
      </c>
      <c r="D214" s="300">
        <f>Table22[[#This Row],[Level used for acute calculation]]</f>
        <v>4</v>
      </c>
      <c r="E214" s="302">
        <f>Table22[[#This Row],[MRL individual commodity]]</f>
        <v>0</v>
      </c>
      <c r="F214" s="451">
        <f>Table22[[#This Row],[Acute RA input value]]</f>
        <v>0</v>
      </c>
      <c r="G214" s="301" t="str">
        <f>Table22[[#This Row],[Acute RA label]]</f>
        <v/>
      </c>
      <c r="H214" s="303">
        <f>Table22[[#This Row],[Acute RA IESTI new input value]]</f>
        <v>0</v>
      </c>
      <c r="I214" s="301" t="str">
        <f>Table22[[#This Row],[Acute RA IESTI new label]]</f>
        <v/>
      </c>
      <c r="J214" s="504"/>
      <c r="K214" s="544">
        <f>Table22[[#This Row],[GAP under assessment]]</f>
        <v>0</v>
      </c>
      <c r="L214" s="304" t="str">
        <f>IF(input_values!$M214=0,"",input_values!$M214)</f>
        <v/>
      </c>
      <c r="M214" s="301" t="str">
        <f>IF(input_values!H214=0,"",input_values!H214)</f>
        <v/>
      </c>
      <c r="N214" s="304">
        <f>input_values!$K214</f>
        <v>0</v>
      </c>
      <c r="O214" s="326">
        <v>6.697916666666667</v>
      </c>
      <c r="P214" s="22">
        <v>97.5</v>
      </c>
      <c r="Q214" s="22" t="s">
        <v>95</v>
      </c>
      <c r="R214" s="326">
        <v>48</v>
      </c>
      <c r="S214" s="328">
        <f t="shared" si="34"/>
        <v>321.5</v>
      </c>
      <c r="T214" s="338" t="s">
        <v>617</v>
      </c>
      <c r="U214" s="129" t="s">
        <v>215</v>
      </c>
      <c r="V214" s="338" t="s">
        <v>617</v>
      </c>
      <c r="W214" s="129" t="s">
        <v>215</v>
      </c>
      <c r="X214" s="1127">
        <f>IF(V214="ND","ND",IF(S214="","",IF(OR(MID(C214,1,4)="milk",AND(MID(B214,1,2)="50",NOT(input_values!M214="Y")),AND(MID(B214,1,2)="40",NOT(input_values!M214="Y")),AND(MID(B214,1,2)="30",NOT(input_values!M214="Y"))),3,IF(OR(V214="&lt;25",B214&gt;1000000),1,IF((T214&gt;=S214),"2b","2a")))))</f>
        <v>3</v>
      </c>
      <c r="Y214" s="22">
        <f>IF(X214="ND","ND",IF(S214="","",IF(input_values!K214&gt;0,input_values!K214,IF(OR(X214=1,X214=3),1,IF((V214&gt;250),5,7)))))</f>
        <v>1</v>
      </c>
      <c r="Z214" s="330" t="str">
        <f t="shared" si="35"/>
        <v/>
      </c>
      <c r="AA214" s="331">
        <f t="shared" si="30"/>
        <v>0</v>
      </c>
      <c r="AB214" s="27">
        <f t="shared" si="36"/>
        <v>1</v>
      </c>
      <c r="AC214" s="330" t="str">
        <f t="shared" si="37"/>
        <v/>
      </c>
      <c r="AD214" s="332">
        <f t="shared" si="31"/>
        <v>0</v>
      </c>
      <c r="AE214" s="333" t="str">
        <f t="shared" si="38"/>
        <v/>
      </c>
      <c r="AF214" s="333" t="str">
        <f t="shared" si="39"/>
        <v/>
      </c>
      <c r="AG214" s="561" t="str">
        <f t="shared" si="32"/>
        <v/>
      </c>
      <c r="AH214" s="561" t="str">
        <f t="shared" si="33"/>
        <v/>
      </c>
      <c r="AI214" s="334"/>
    </row>
    <row r="215" spans="1:35" ht="24" outlineLevel="3" x14ac:dyDescent="0.2">
      <c r="A215" s="39">
        <v>4</v>
      </c>
      <c r="B215" s="23">
        <v>300030</v>
      </c>
      <c r="C215" s="23" t="s">
        <v>292</v>
      </c>
      <c r="D215" s="300">
        <f>Table22[[#This Row],[Level used for acute calculation]]</f>
        <v>4</v>
      </c>
      <c r="E215" s="302">
        <f>Table22[[#This Row],[MRL individual commodity]]</f>
        <v>0</v>
      </c>
      <c r="F215" s="451">
        <f>Table22[[#This Row],[Acute RA input value]]</f>
        <v>0</v>
      </c>
      <c r="G215" s="301" t="str">
        <f>Table22[[#This Row],[Acute RA label]]</f>
        <v/>
      </c>
      <c r="H215" s="303">
        <f>Table22[[#This Row],[Acute RA IESTI new input value]]</f>
        <v>0</v>
      </c>
      <c r="I215" s="301" t="str">
        <f>Table22[[#This Row],[Acute RA IESTI new label]]</f>
        <v/>
      </c>
      <c r="J215" s="504"/>
      <c r="K215" s="544">
        <f>Table22[[#This Row],[GAP under assessment]]</f>
        <v>0</v>
      </c>
      <c r="L215" s="304" t="str">
        <f>IF(input_values!$M215=0,"",input_values!$M215)</f>
        <v/>
      </c>
      <c r="M215" s="301" t="str">
        <f>IF(input_values!H215=0,"",input_values!H215)</f>
        <v/>
      </c>
      <c r="N215" s="304">
        <f>input_values!$K215</f>
        <v>0</v>
      </c>
      <c r="O215" s="326">
        <v>6.5625</v>
      </c>
      <c r="P215" s="22">
        <v>97.5</v>
      </c>
      <c r="Q215" s="22" t="s">
        <v>95</v>
      </c>
      <c r="R215" s="326">
        <v>48</v>
      </c>
      <c r="S215" s="328">
        <f t="shared" si="34"/>
        <v>315</v>
      </c>
      <c r="T215" s="338" t="s">
        <v>617</v>
      </c>
      <c r="U215" s="129" t="s">
        <v>215</v>
      </c>
      <c r="V215" s="338" t="s">
        <v>617</v>
      </c>
      <c r="W215" s="129" t="s">
        <v>215</v>
      </c>
      <c r="X215" s="1127">
        <f>IF(V215="ND","ND",IF(S215="","",IF(OR(MID(C215,1,4)="milk",AND(MID(B215,1,2)="50",NOT(input_values!M215="Y")),AND(MID(B215,1,2)="40",NOT(input_values!M215="Y")),AND(MID(B215,1,2)="30",NOT(input_values!M215="Y"))),3,IF(OR(V215="&lt;25",B215&gt;1000000),1,IF((T215&gt;=S215),"2b","2a")))))</f>
        <v>3</v>
      </c>
      <c r="Y215" s="22">
        <f>IF(X215="ND","ND",IF(S215="","",IF(input_values!K215&gt;0,input_values!K215,IF(OR(X215=1,X215=3),1,IF((V215&gt;250),5,7)))))</f>
        <v>1</v>
      </c>
      <c r="Z215" s="330" t="str">
        <f t="shared" si="35"/>
        <v/>
      </c>
      <c r="AA215" s="331">
        <f t="shared" si="30"/>
        <v>0</v>
      </c>
      <c r="AB215" s="27">
        <f t="shared" si="36"/>
        <v>1</v>
      </c>
      <c r="AC215" s="330" t="str">
        <f t="shared" si="37"/>
        <v/>
      </c>
      <c r="AD215" s="332">
        <f t="shared" si="31"/>
        <v>0</v>
      </c>
      <c r="AE215" s="333" t="str">
        <f t="shared" si="38"/>
        <v/>
      </c>
      <c r="AF215" s="333" t="str">
        <f t="shared" si="39"/>
        <v/>
      </c>
      <c r="AG215" s="561" t="str">
        <f t="shared" si="32"/>
        <v/>
      </c>
      <c r="AH215" s="561" t="str">
        <f t="shared" si="33"/>
        <v/>
      </c>
      <c r="AI215" s="313"/>
    </row>
    <row r="216" spans="1:35" outlineLevel="3" x14ac:dyDescent="0.2">
      <c r="A216" s="39">
        <v>4</v>
      </c>
      <c r="B216" s="23">
        <v>300040</v>
      </c>
      <c r="C216" s="23" t="s">
        <v>743</v>
      </c>
      <c r="D216" s="300">
        <f>Table22[[#This Row],[Level used for acute calculation]]</f>
        <v>4</v>
      </c>
      <c r="E216" s="302">
        <f>Table22[[#This Row],[MRL individual commodity]]</f>
        <v>0</v>
      </c>
      <c r="F216" s="451">
        <f>Table22[[#This Row],[Acute RA input value]]</f>
        <v>0</v>
      </c>
      <c r="G216" s="301" t="str">
        <f>Table22[[#This Row],[Acute RA label]]</f>
        <v/>
      </c>
      <c r="H216" s="303">
        <f>Table22[[#This Row],[Acute RA IESTI new input value]]</f>
        <v>0</v>
      </c>
      <c r="I216" s="301" t="str">
        <f>Table22[[#This Row],[Acute RA IESTI new label]]</f>
        <v/>
      </c>
      <c r="J216" s="504"/>
      <c r="K216" s="544">
        <f>Table22[[#This Row],[GAP under assessment]]</f>
        <v>0</v>
      </c>
      <c r="L216" s="304" t="str">
        <f>IF(input_values!$M216=0,"",input_values!$M216)</f>
        <v/>
      </c>
      <c r="M216" s="301" t="str">
        <f>IF(input_values!H216=0,"",input_values!H216)</f>
        <v/>
      </c>
      <c r="N216" s="304">
        <f>input_values!$K216</f>
        <v>0</v>
      </c>
      <c r="O216" s="338" t="s">
        <v>618</v>
      </c>
      <c r="P216" s="22"/>
      <c r="Q216" s="22"/>
      <c r="R216" s="330"/>
      <c r="S216" s="31" t="str">
        <f t="shared" si="34"/>
        <v>ND</v>
      </c>
      <c r="T216" s="338" t="s">
        <v>617</v>
      </c>
      <c r="U216" s="129" t="s">
        <v>215</v>
      </c>
      <c r="V216" s="338" t="s">
        <v>617</v>
      </c>
      <c r="W216" s="129" t="s">
        <v>215</v>
      </c>
      <c r="X216" s="1127">
        <f>IF(V216="ND","ND",IF(S216="","",IF(OR(MID(C216,1,4)="milk",AND(MID(B216,1,2)="50",NOT(input_values!M216="Y")),AND(MID(B216,1,2)="40",NOT(input_values!M216="Y")),AND(MID(B216,1,2)="30",NOT(input_values!M216="Y"))),3,IF(OR(V216="&lt;25",B216&gt;1000000),1,IF((T216&gt;=S216),"2b","2a")))))</f>
        <v>3</v>
      </c>
      <c r="Y216" s="22">
        <f>IF(X216="ND","ND",IF(S216="","",IF(input_values!K216&gt;0,input_values!K216,IF(OR(X216=1,X216=3),1,IF((V216&gt;250),5,7)))))</f>
        <v>1</v>
      </c>
      <c r="Z216" s="340" t="str">
        <f t="shared" si="35"/>
        <v/>
      </c>
      <c r="AA216" s="332">
        <f t="shared" si="30"/>
        <v>0</v>
      </c>
      <c r="AB216" s="27">
        <f t="shared" si="36"/>
        <v>1</v>
      </c>
      <c r="AC216" s="340" t="str">
        <f t="shared" si="37"/>
        <v/>
      </c>
      <c r="AD216" s="332">
        <f t="shared" si="31"/>
        <v>0</v>
      </c>
      <c r="AE216" s="37" t="str">
        <f t="shared" si="38"/>
        <v/>
      </c>
      <c r="AF216" s="37" t="str">
        <f t="shared" si="39"/>
        <v/>
      </c>
      <c r="AG216" s="561" t="str">
        <f t="shared" si="32"/>
        <v/>
      </c>
      <c r="AH216" s="561" t="str">
        <f t="shared" si="33"/>
        <v/>
      </c>
      <c r="AI216" s="313"/>
    </row>
    <row r="217" spans="1:35" outlineLevel="3" x14ac:dyDescent="0.2">
      <c r="A217" s="39">
        <v>4</v>
      </c>
      <c r="B217" s="23">
        <v>300990</v>
      </c>
      <c r="C217" s="23" t="s">
        <v>744</v>
      </c>
      <c r="D217" s="300">
        <f>Table22[[#This Row],[Level used for acute calculation]]</f>
        <v>0</v>
      </c>
      <c r="E217" s="302">
        <f>Table22[[#This Row],[MRL individual commodity]]</f>
        <v>0</v>
      </c>
      <c r="F217" s="451">
        <f>Table22[[#This Row],[Acute RA input value]]</f>
        <v>0</v>
      </c>
      <c r="G217" s="301">
        <f>Table22[[#This Row],[Acute RA label]]</f>
        <v>0</v>
      </c>
      <c r="H217" s="303">
        <f>Table22[[#This Row],[Acute RA IESTI new input value]]</f>
        <v>0</v>
      </c>
      <c r="I217" s="301">
        <f>Table22[[#This Row],[Acute RA IESTI new label]]</f>
        <v>0</v>
      </c>
      <c r="J217" s="504"/>
      <c r="K217" s="544">
        <f>Table22[[#This Row],[GAP under assessment]]</f>
        <v>0</v>
      </c>
      <c r="L217" s="304" t="str">
        <f>IF(input_values!$M217=0,"",input_values!$M217)</f>
        <v/>
      </c>
      <c r="M217" s="301" t="str">
        <f>IF(input_values!H217=0,"",input_values!H217)</f>
        <v/>
      </c>
      <c r="N217" s="304">
        <f>input_values!$K217</f>
        <v>0</v>
      </c>
      <c r="O217" s="309"/>
      <c r="P217" s="38"/>
      <c r="Q217" s="38"/>
      <c r="R217" s="335"/>
      <c r="S217" s="336" t="str">
        <f t="shared" si="34"/>
        <v/>
      </c>
      <c r="T217" s="305"/>
      <c r="U217" s="570"/>
      <c r="V217" s="305"/>
      <c r="W217" s="570"/>
      <c r="X217" s="611" t="str">
        <f>IF(V217="ND","ND",IF(S217="","",IF(OR(MID(C217,1,4)="milk",AND(MID(B217,1,2)="50",NOT(input_values!M217="Y")),AND(MID(B217,1,2)="40",NOT(input_values!M217="Y")),AND(MID(B217,1,2)="30",NOT(input_values!M217="Y"))),3,IF(OR(V217="&lt;25",B217&gt;1000000),1,IF((T217&gt;=S217),"2b","2a")))))</f>
        <v/>
      </c>
      <c r="Y217" s="38" t="str">
        <f>IF(X217="ND","ND",IF(S217="","",IF(input_values!K217&gt;0,input_values!K217,IF(OR(X217=1,X217=3),1,IF((V217&gt;250),5,7)))))</f>
        <v/>
      </c>
      <c r="Z217" s="335" t="str">
        <f t="shared" si="35"/>
        <v/>
      </c>
      <c r="AA217" s="311">
        <f t="shared" si="30"/>
        <v>0</v>
      </c>
      <c r="AB217" s="38" t="str">
        <f t="shared" si="36"/>
        <v/>
      </c>
      <c r="AC217" s="335" t="str">
        <f t="shared" si="37"/>
        <v/>
      </c>
      <c r="AD217" s="311">
        <f t="shared" si="31"/>
        <v>0</v>
      </c>
      <c r="AE217" s="344" t="str">
        <f t="shared" si="38"/>
        <v/>
      </c>
      <c r="AF217" s="344" t="str">
        <f t="shared" si="39"/>
        <v/>
      </c>
      <c r="AG217" s="561" t="str">
        <f t="shared" si="32"/>
        <v/>
      </c>
      <c r="AH217" s="561" t="str">
        <f t="shared" si="33"/>
        <v/>
      </c>
      <c r="AI217" s="313"/>
    </row>
    <row r="218" spans="1:35" x14ac:dyDescent="0.2">
      <c r="A218" s="126">
        <v>1</v>
      </c>
      <c r="B218" s="127">
        <v>400000</v>
      </c>
      <c r="C218" s="127" t="s">
        <v>140</v>
      </c>
      <c r="D218" s="300">
        <f>Table22[[#This Row],[Level used for acute calculation]]</f>
        <v>4</v>
      </c>
      <c r="E218" s="302">
        <f>Table22[[#This Row],[MRL individual commodity]]</f>
        <v>0</v>
      </c>
      <c r="F218" s="451">
        <f>Table22[[#This Row],[Acute RA input value]]</f>
        <v>0</v>
      </c>
      <c r="G218" s="301">
        <f>Table22[[#This Row],[Acute RA label]]</f>
        <v>0</v>
      </c>
      <c r="H218" s="303">
        <f>Table22[[#This Row],[Acute RA IESTI new input value]]</f>
        <v>0</v>
      </c>
      <c r="I218" s="301">
        <f>Table22[[#This Row],[Acute RA IESTI new label]]</f>
        <v>0</v>
      </c>
      <c r="J218" s="504"/>
      <c r="K218" s="544">
        <f>Table22[[#This Row],[GAP under assessment]]</f>
        <v>0</v>
      </c>
      <c r="L218" s="304" t="str">
        <f>IF(input_values!$M218=0,"",input_values!$M218)</f>
        <v/>
      </c>
      <c r="M218" s="301" t="str">
        <f>IF(input_values!H218=0,"",input_values!H218)</f>
        <v/>
      </c>
      <c r="N218" s="304">
        <f>input_values!$K218</f>
        <v>0</v>
      </c>
      <c r="O218" s="309"/>
      <c r="P218" s="38"/>
      <c r="Q218" s="38"/>
      <c r="R218" s="335"/>
      <c r="S218" s="336" t="str">
        <f t="shared" si="34"/>
        <v/>
      </c>
      <c r="T218" s="305"/>
      <c r="U218" s="570"/>
      <c r="V218" s="305"/>
      <c r="W218" s="570"/>
      <c r="X218" s="611" t="str">
        <f>IF(V218="ND","ND",IF(S218="","",IF(OR(MID(C218,1,4)="milk",AND(MID(B218,1,2)="50",NOT(input_values!M218="Y")),AND(MID(B218,1,2)="40",NOT(input_values!M218="Y")),AND(MID(B218,1,2)="30",NOT(input_values!M218="Y"))),3,IF(OR(V218="&lt;25",B218&gt;1000000),1,IF((T218&gt;=S218),"2b","2a")))))</f>
        <v/>
      </c>
      <c r="Y218" s="38" t="str">
        <f>IF(X218="ND","ND",IF(S218="","",IF(input_values!K218&gt;0,input_values!K218,IF(OR(X218=1,X218=3),1,IF((V218&gt;250),5,7)))))</f>
        <v/>
      </c>
      <c r="Z218" s="335" t="str">
        <f t="shared" si="35"/>
        <v/>
      </c>
      <c r="AA218" s="311">
        <f t="shared" si="30"/>
        <v>0</v>
      </c>
      <c r="AB218" s="38" t="str">
        <f t="shared" si="36"/>
        <v/>
      </c>
      <c r="AC218" s="335" t="str">
        <f t="shared" si="37"/>
        <v/>
      </c>
      <c r="AD218" s="311">
        <f t="shared" si="31"/>
        <v>0</v>
      </c>
      <c r="AE218" s="344" t="str">
        <f t="shared" si="38"/>
        <v/>
      </c>
      <c r="AF218" s="344" t="str">
        <f t="shared" si="39"/>
        <v/>
      </c>
      <c r="AG218" s="561" t="str">
        <f t="shared" si="32"/>
        <v/>
      </c>
      <c r="AH218" s="561" t="str">
        <f t="shared" si="33"/>
        <v/>
      </c>
      <c r="AI218" s="313"/>
    </row>
    <row r="219" spans="1:35" outlineLevel="1" x14ac:dyDescent="0.2">
      <c r="A219" s="130">
        <v>2</v>
      </c>
      <c r="B219" s="131">
        <v>401000</v>
      </c>
      <c r="C219" s="131" t="s">
        <v>141</v>
      </c>
      <c r="D219" s="300">
        <f>Table22[[#This Row],[Level used for acute calculation]]</f>
        <v>4</v>
      </c>
      <c r="E219" s="302">
        <f>Table22[[#This Row],[MRL individual commodity]]</f>
        <v>0</v>
      </c>
      <c r="F219" s="451">
        <f>Table22[[#This Row],[Acute RA input value]]</f>
        <v>0</v>
      </c>
      <c r="G219" s="301">
        <f>Table22[[#This Row],[Acute RA label]]</f>
        <v>0</v>
      </c>
      <c r="H219" s="303">
        <f>Table22[[#This Row],[Acute RA IESTI new input value]]</f>
        <v>0</v>
      </c>
      <c r="I219" s="301">
        <f>Table22[[#This Row],[Acute RA IESTI new label]]</f>
        <v>0</v>
      </c>
      <c r="J219" s="504"/>
      <c r="K219" s="544">
        <f>Table22[[#This Row],[GAP under assessment]]</f>
        <v>0</v>
      </c>
      <c r="L219" s="304" t="str">
        <f>IF(input_values!$M219=0,"",input_values!$M219)</f>
        <v/>
      </c>
      <c r="M219" s="301" t="str">
        <f>IF(input_values!H219=0,"",input_values!H219)</f>
        <v/>
      </c>
      <c r="N219" s="304">
        <f>input_values!$K219</f>
        <v>0</v>
      </c>
      <c r="O219" s="309"/>
      <c r="P219" s="38"/>
      <c r="Q219" s="38"/>
      <c r="R219" s="335"/>
      <c r="S219" s="336" t="str">
        <f t="shared" si="34"/>
        <v/>
      </c>
      <c r="T219" s="315"/>
      <c r="U219" s="321"/>
      <c r="V219" s="315"/>
      <c r="W219" s="321"/>
      <c r="X219" s="611" t="str">
        <f>IF(V219="ND","ND",IF(S219="","",IF(OR(MID(C219,1,4)="milk",AND(MID(B219,1,2)="50",NOT(input_values!M219="Y")),AND(MID(B219,1,2)="40",NOT(input_values!M219="Y")),AND(MID(B219,1,2)="30",NOT(input_values!M219="Y"))),3,IF(OR(V219="&lt;25",B219&gt;1000000),1,IF((T219&gt;=S219),"2b","2a")))))</f>
        <v/>
      </c>
      <c r="Y219" s="38" t="str">
        <f>IF(X219="ND","ND",IF(S219="","",IF(input_values!K219&gt;0,input_values!K219,IF(OR(X219=1,X219=3),1,IF((V219&gt;250),5,7)))))</f>
        <v/>
      </c>
      <c r="Z219" s="335" t="str">
        <f t="shared" si="35"/>
        <v/>
      </c>
      <c r="AA219" s="311">
        <f t="shared" si="30"/>
        <v>0</v>
      </c>
      <c r="AB219" s="38" t="str">
        <f t="shared" si="36"/>
        <v/>
      </c>
      <c r="AC219" s="335" t="str">
        <f t="shared" si="37"/>
        <v/>
      </c>
      <c r="AD219" s="311">
        <f t="shared" si="31"/>
        <v>0</v>
      </c>
      <c r="AE219" s="344" t="str">
        <f t="shared" si="38"/>
        <v/>
      </c>
      <c r="AF219" s="344" t="str">
        <f t="shared" si="39"/>
        <v/>
      </c>
      <c r="AG219" s="561" t="str">
        <f t="shared" si="32"/>
        <v/>
      </c>
      <c r="AH219" s="561" t="str">
        <f t="shared" si="33"/>
        <v/>
      </c>
      <c r="AI219" s="313"/>
    </row>
    <row r="220" spans="1:35" outlineLevel="3" x14ac:dyDescent="0.2">
      <c r="A220" s="39">
        <v>4</v>
      </c>
      <c r="B220" s="23">
        <v>401010</v>
      </c>
      <c r="C220" s="23" t="s">
        <v>745</v>
      </c>
      <c r="D220" s="300">
        <f>Table22[[#This Row],[Level used for acute calculation]]</f>
        <v>4</v>
      </c>
      <c r="E220" s="302">
        <f>Table22[[#This Row],[MRL individual commodity]]</f>
        <v>0</v>
      </c>
      <c r="F220" s="451">
        <f>Table22[[#This Row],[Acute RA input value]]</f>
        <v>0</v>
      </c>
      <c r="G220" s="301" t="str">
        <f>Table22[[#This Row],[Acute RA label]]</f>
        <v/>
      </c>
      <c r="H220" s="303">
        <f>Table22[[#This Row],[Acute RA IESTI new input value]]</f>
        <v>0</v>
      </c>
      <c r="I220" s="301" t="str">
        <f>Table22[[#This Row],[Acute RA IESTI new label]]</f>
        <v/>
      </c>
      <c r="J220" s="504"/>
      <c r="K220" s="544">
        <f>Table22[[#This Row],[GAP under assessment]]</f>
        <v>0</v>
      </c>
      <c r="L220" s="304" t="str">
        <f>IF(input_values!$M220=0,"",input_values!$M220)</f>
        <v/>
      </c>
      <c r="M220" s="301" t="str">
        <f>IF(input_values!H220=0,"",input_values!H220)</f>
        <v/>
      </c>
      <c r="N220" s="304">
        <f>input_values!$K220</f>
        <v>0</v>
      </c>
      <c r="O220" s="326">
        <v>1.0712074303405574</v>
      </c>
      <c r="P220" s="22">
        <v>100</v>
      </c>
      <c r="Q220" s="22" t="s">
        <v>256</v>
      </c>
      <c r="R220" s="326">
        <v>16.149999999999999</v>
      </c>
      <c r="S220" s="328">
        <f t="shared" si="34"/>
        <v>17.3</v>
      </c>
      <c r="T220" s="338" t="s">
        <v>617</v>
      </c>
      <c r="U220" s="129" t="s">
        <v>215</v>
      </c>
      <c r="V220" s="338" t="s">
        <v>617</v>
      </c>
      <c r="W220" s="129" t="s">
        <v>215</v>
      </c>
      <c r="X220" s="1127">
        <f>IF(V220="ND","ND",IF(S220="","",IF(OR(MID(C220,1,4)="milk",AND(MID(B220,1,2)="50",NOT(input_values!M220="Y")),AND(MID(B220,1,2)="40",NOT(input_values!M220="Y")),AND(MID(B220,1,2)="30",NOT(input_values!M220="Y"))),3,IF(OR(V220="&lt;25",B220&gt;1000000),1,IF((T220&gt;=S220),"2b","2a")))))</f>
        <v>3</v>
      </c>
      <c r="Y220" s="22">
        <f>IF(X220="ND","ND",IF(S220="","",IF(input_values!K220&gt;0,input_values!K220,IF(OR(X220=1,X220=3),1,IF((V220&gt;250),5,7)))))</f>
        <v>1</v>
      </c>
      <c r="Z220" s="330" t="str">
        <f t="shared" si="35"/>
        <v/>
      </c>
      <c r="AA220" s="331">
        <f t="shared" si="30"/>
        <v>0</v>
      </c>
      <c r="AB220" s="27">
        <f t="shared" si="36"/>
        <v>1</v>
      </c>
      <c r="AC220" s="330" t="str">
        <f t="shared" si="37"/>
        <v/>
      </c>
      <c r="AD220" s="332">
        <f t="shared" si="31"/>
        <v>0</v>
      </c>
      <c r="AE220" s="333" t="str">
        <f t="shared" si="38"/>
        <v/>
      </c>
      <c r="AF220" s="333" t="str">
        <f t="shared" si="39"/>
        <v/>
      </c>
      <c r="AG220" s="561" t="str">
        <f t="shared" si="32"/>
        <v/>
      </c>
      <c r="AH220" s="561" t="str">
        <f t="shared" si="33"/>
        <v/>
      </c>
      <c r="AI220" s="313"/>
    </row>
    <row r="221" spans="1:35" outlineLevel="3" x14ac:dyDescent="0.2">
      <c r="A221" s="39">
        <v>4</v>
      </c>
      <c r="B221" s="23">
        <v>401020</v>
      </c>
      <c r="C221" s="23" t="s">
        <v>746</v>
      </c>
      <c r="D221" s="300">
        <f>Table22[[#This Row],[Level used for acute calculation]]</f>
        <v>4</v>
      </c>
      <c r="E221" s="302">
        <f>Table22[[#This Row],[MRL individual commodity]]</f>
        <v>0</v>
      </c>
      <c r="F221" s="451">
        <f>Table22[[#This Row],[Acute RA input value]]</f>
        <v>0</v>
      </c>
      <c r="G221" s="301" t="str">
        <f>Table22[[#This Row],[Acute RA label]]</f>
        <v/>
      </c>
      <c r="H221" s="303">
        <f>Table22[[#This Row],[Acute RA IESTI new input value]]</f>
        <v>0</v>
      </c>
      <c r="I221" s="301" t="str">
        <f>Table22[[#This Row],[Acute RA IESTI new label]]</f>
        <v/>
      </c>
      <c r="J221" s="504"/>
      <c r="K221" s="544">
        <f>Table22[[#This Row],[GAP under assessment]]</f>
        <v>0</v>
      </c>
      <c r="L221" s="304" t="str">
        <f>IF(input_values!$M221=0,"",input_values!$M221)</f>
        <v/>
      </c>
      <c r="M221" s="301" t="str">
        <f>IF(input_values!H221=0,"",input_values!H221)</f>
        <v/>
      </c>
      <c r="N221" s="304">
        <f>input_values!$K221</f>
        <v>0</v>
      </c>
      <c r="O221" s="326">
        <v>2.9103448275862069</v>
      </c>
      <c r="P221" s="22">
        <v>97.5</v>
      </c>
      <c r="Q221" s="22" t="s">
        <v>91</v>
      </c>
      <c r="R221" s="326">
        <v>14.5</v>
      </c>
      <c r="S221" s="328">
        <f t="shared" si="34"/>
        <v>42.2</v>
      </c>
      <c r="T221" s="338" t="s">
        <v>617</v>
      </c>
      <c r="U221" s="129" t="s">
        <v>215</v>
      </c>
      <c r="V221" s="338" t="s">
        <v>617</v>
      </c>
      <c r="W221" s="129" t="s">
        <v>215</v>
      </c>
      <c r="X221" s="1127">
        <f>IF(V221="ND","ND",IF(S221="","",IF(OR(MID(C221,1,4)="milk",AND(MID(B221,1,2)="50",NOT(input_values!M221="Y")),AND(MID(B221,1,2)="40",NOT(input_values!M221="Y")),AND(MID(B221,1,2)="30",NOT(input_values!M221="Y"))),3,IF(OR(V221="&lt;25",B221&gt;1000000),1,IF((T221&gt;=S221),"2b","2a")))))</f>
        <v>3</v>
      </c>
      <c r="Y221" s="22">
        <f>IF(X221="ND","ND",IF(S221="","",IF(input_values!K221&gt;0,input_values!K221,IF(OR(X221=1,X221=3),1,IF((V221&gt;250),5,7)))))</f>
        <v>1</v>
      </c>
      <c r="Z221" s="330" t="str">
        <f t="shared" si="35"/>
        <v/>
      </c>
      <c r="AA221" s="331">
        <f t="shared" si="30"/>
        <v>0</v>
      </c>
      <c r="AB221" s="27">
        <f t="shared" si="36"/>
        <v>1</v>
      </c>
      <c r="AC221" s="330" t="str">
        <f t="shared" si="37"/>
        <v/>
      </c>
      <c r="AD221" s="332">
        <f t="shared" si="31"/>
        <v>0</v>
      </c>
      <c r="AE221" s="333" t="str">
        <f t="shared" si="38"/>
        <v/>
      </c>
      <c r="AF221" s="333" t="str">
        <f t="shared" si="39"/>
        <v/>
      </c>
      <c r="AG221" s="561" t="str">
        <f t="shared" si="32"/>
        <v/>
      </c>
      <c r="AH221" s="561" t="str">
        <f t="shared" si="33"/>
        <v/>
      </c>
      <c r="AI221" s="334"/>
    </row>
    <row r="222" spans="1:35" outlineLevel="3" x14ac:dyDescent="0.2">
      <c r="A222" s="39">
        <v>4</v>
      </c>
      <c r="B222" s="23">
        <v>401030</v>
      </c>
      <c r="C222" s="28" t="s">
        <v>747</v>
      </c>
      <c r="D222" s="27">
        <f>Table22[[#This Row],[Level used for acute calculation]]</f>
        <v>4</v>
      </c>
      <c r="E222" s="302">
        <f>Table22[[#This Row],[MRL individual commodity]]</f>
        <v>0</v>
      </c>
      <c r="F222" s="451">
        <f>Table22[[#This Row],[Acute RA input value]]</f>
        <v>0</v>
      </c>
      <c r="G222" s="301" t="str">
        <f>Table22[[#This Row],[Acute RA label]]</f>
        <v/>
      </c>
      <c r="H222" s="303">
        <f>Table22[[#This Row],[Acute RA IESTI new input value]]</f>
        <v>0</v>
      </c>
      <c r="I222" s="301" t="str">
        <f>Table22[[#This Row],[Acute RA IESTI new label]]</f>
        <v/>
      </c>
      <c r="J222" s="504"/>
      <c r="K222" s="544">
        <f>Table22[[#This Row],[GAP under assessment]]</f>
        <v>0</v>
      </c>
      <c r="L222" s="304" t="str">
        <f>IF(input_values!$M222=0,"",input_values!$M222)</f>
        <v/>
      </c>
      <c r="M222" s="301" t="str">
        <f>IF(input_values!H222=0,"",input_values!H222)</f>
        <v/>
      </c>
      <c r="N222" s="304">
        <f>input_values!$K222</f>
        <v>0</v>
      </c>
      <c r="O222" s="455" t="s">
        <v>618</v>
      </c>
      <c r="P222" s="22"/>
      <c r="Q222" s="22"/>
      <c r="R222" s="326"/>
      <c r="S222" s="328" t="str">
        <f t="shared" si="34"/>
        <v>ND</v>
      </c>
      <c r="T222" s="338" t="s">
        <v>617</v>
      </c>
      <c r="U222" s="129" t="s">
        <v>215</v>
      </c>
      <c r="V222" s="338" t="s">
        <v>617</v>
      </c>
      <c r="W222" s="129" t="s">
        <v>215</v>
      </c>
      <c r="X222" s="1127">
        <f>IF(V222="ND","ND",IF(S222="","",IF(OR(MID(C222,1,4)="milk",AND(MID(B222,1,2)="50",NOT(input_values!M222="Y")),AND(MID(B222,1,2)="40",NOT(input_values!M222="Y")),AND(MID(B222,1,2)="30",NOT(input_values!M222="Y"))),3,IF(OR(V222="&lt;25",B222&gt;1000000),1,IF((T222&gt;=S222),"2b","2a")))))</f>
        <v>3</v>
      </c>
      <c r="Y222" s="22">
        <f>IF(X222="ND","ND",IF(S222="","",IF(input_values!K222&gt;0,input_values!K222,IF(OR(X222=1,X222=3),1,IF((V222&gt;250),5,7)))))</f>
        <v>1</v>
      </c>
      <c r="Z222" s="330" t="str">
        <f t="shared" si="35"/>
        <v/>
      </c>
      <c r="AA222" s="331">
        <f t="shared" si="30"/>
        <v>0</v>
      </c>
      <c r="AB222" s="27">
        <f t="shared" si="36"/>
        <v>1</v>
      </c>
      <c r="AC222" s="330" t="str">
        <f t="shared" si="37"/>
        <v/>
      </c>
      <c r="AD222" s="332">
        <f t="shared" si="31"/>
        <v>0</v>
      </c>
      <c r="AE222" s="333" t="str">
        <f t="shared" si="38"/>
        <v/>
      </c>
      <c r="AF222" s="333" t="str">
        <f t="shared" si="39"/>
        <v/>
      </c>
      <c r="AG222" s="561" t="str">
        <f t="shared" si="32"/>
        <v/>
      </c>
      <c r="AH222" s="561" t="str">
        <f t="shared" si="33"/>
        <v/>
      </c>
      <c r="AI222" s="334"/>
    </row>
    <row r="223" spans="1:35" outlineLevel="3" x14ac:dyDescent="0.2">
      <c r="A223" s="39">
        <v>4</v>
      </c>
      <c r="B223" s="23">
        <v>401040</v>
      </c>
      <c r="C223" s="23" t="s">
        <v>748</v>
      </c>
      <c r="D223" s="300">
        <f>Table22[[#This Row],[Level used for acute calculation]]</f>
        <v>4</v>
      </c>
      <c r="E223" s="302">
        <f>Table22[[#This Row],[MRL individual commodity]]</f>
        <v>0</v>
      </c>
      <c r="F223" s="451">
        <f>Table22[[#This Row],[Acute RA input value]]</f>
        <v>0</v>
      </c>
      <c r="G223" s="301" t="str">
        <f>Table22[[#This Row],[Acute RA label]]</f>
        <v/>
      </c>
      <c r="H223" s="303">
        <f>Table22[[#This Row],[Acute RA IESTI new input value]]</f>
        <v>0</v>
      </c>
      <c r="I223" s="301" t="str">
        <f>Table22[[#This Row],[Acute RA IESTI new label]]</f>
        <v/>
      </c>
      <c r="J223" s="504"/>
      <c r="K223" s="544">
        <f>Table22[[#This Row],[GAP under assessment]]</f>
        <v>0</v>
      </c>
      <c r="L223" s="304" t="str">
        <f>IF(input_values!$M223=0,"",input_values!$M223)</f>
        <v/>
      </c>
      <c r="M223" s="301" t="str">
        <f>IF(input_values!H223=0,"",input_values!H223)</f>
        <v/>
      </c>
      <c r="N223" s="304">
        <f>input_values!$K223</f>
        <v>0</v>
      </c>
      <c r="O223" s="326">
        <v>1.47</v>
      </c>
      <c r="P223" s="22">
        <v>97.5</v>
      </c>
      <c r="Q223" s="22" t="s">
        <v>256</v>
      </c>
      <c r="R223" s="326">
        <v>16.149999999999999</v>
      </c>
      <c r="S223" s="328">
        <f t="shared" si="34"/>
        <v>23.740499999999997</v>
      </c>
      <c r="T223" s="338" t="s">
        <v>617</v>
      </c>
      <c r="U223" s="129" t="s">
        <v>215</v>
      </c>
      <c r="V223" s="338" t="s">
        <v>617</v>
      </c>
      <c r="W223" s="129" t="s">
        <v>215</v>
      </c>
      <c r="X223" s="1127">
        <f>IF(V223="ND","ND",IF(S223="","",IF(OR(MID(C223,1,4)="milk",AND(MID(B223,1,2)="50",NOT(input_values!M223="Y")),AND(MID(B223,1,2)="40",NOT(input_values!M223="Y")),AND(MID(B223,1,2)="30",NOT(input_values!M223="Y"))),3,IF(OR(V223="&lt;25",B223&gt;1000000),1,IF((T223&gt;=S223),"2b","2a")))))</f>
        <v>3</v>
      </c>
      <c r="Y223" s="22">
        <f>IF(X223="ND","ND",IF(S223="","",IF(input_values!K223&gt;0,input_values!K223,IF(OR(X223=1,X223=3),1,IF((V223&gt;250),5,7)))))</f>
        <v>1</v>
      </c>
      <c r="Z223" s="330" t="str">
        <f t="shared" si="35"/>
        <v/>
      </c>
      <c r="AA223" s="331">
        <f t="shared" si="30"/>
        <v>0</v>
      </c>
      <c r="AB223" s="27">
        <f t="shared" si="36"/>
        <v>1</v>
      </c>
      <c r="AC223" s="330" t="str">
        <f t="shared" si="37"/>
        <v/>
      </c>
      <c r="AD223" s="332">
        <f t="shared" si="31"/>
        <v>0</v>
      </c>
      <c r="AE223" s="333" t="str">
        <f t="shared" si="38"/>
        <v/>
      </c>
      <c r="AF223" s="333" t="str">
        <f t="shared" si="39"/>
        <v/>
      </c>
      <c r="AG223" s="561" t="str">
        <f t="shared" si="32"/>
        <v/>
      </c>
      <c r="AH223" s="561" t="str">
        <f t="shared" si="33"/>
        <v/>
      </c>
      <c r="AI223" s="334"/>
    </row>
    <row r="224" spans="1:35" outlineLevel="3" x14ac:dyDescent="0.2">
      <c r="A224" s="39">
        <v>4</v>
      </c>
      <c r="B224" s="23">
        <v>401050</v>
      </c>
      <c r="C224" s="23" t="s">
        <v>749</v>
      </c>
      <c r="D224" s="300">
        <f>Table22[[#This Row],[Level used for acute calculation]]</f>
        <v>4</v>
      </c>
      <c r="E224" s="302">
        <f>Table22[[#This Row],[MRL individual commodity]]</f>
        <v>0</v>
      </c>
      <c r="F224" s="451">
        <f>Table22[[#This Row],[Acute RA input value]]</f>
        <v>0</v>
      </c>
      <c r="G224" s="301" t="str">
        <f>Table22[[#This Row],[Acute RA label]]</f>
        <v/>
      </c>
      <c r="H224" s="303">
        <f>Table22[[#This Row],[Acute RA IESTI new input value]]</f>
        <v>0</v>
      </c>
      <c r="I224" s="301" t="str">
        <f>Table22[[#This Row],[Acute RA IESTI new label]]</f>
        <v/>
      </c>
      <c r="J224" s="504"/>
      <c r="K224" s="544">
        <f>Table22[[#This Row],[GAP under assessment]]</f>
        <v>0</v>
      </c>
      <c r="L224" s="304" t="str">
        <f>IF(input_values!$M224=0,"",input_values!$M224)</f>
        <v/>
      </c>
      <c r="M224" s="301" t="str">
        <f>IF(input_values!H224=0,"",input_values!H224)</f>
        <v/>
      </c>
      <c r="N224" s="304">
        <f>input_values!$K224</f>
        <v>0</v>
      </c>
      <c r="O224" s="326">
        <v>3.19</v>
      </c>
      <c r="P224" s="22">
        <v>97.5</v>
      </c>
      <c r="Q224" s="22" t="s">
        <v>256</v>
      </c>
      <c r="R224" s="326">
        <v>16.149999999999999</v>
      </c>
      <c r="S224" s="328">
        <f t="shared" si="34"/>
        <v>51.518499999999996</v>
      </c>
      <c r="T224" s="338" t="s">
        <v>617</v>
      </c>
      <c r="U224" s="129" t="s">
        <v>215</v>
      </c>
      <c r="V224" s="338" t="s">
        <v>617</v>
      </c>
      <c r="W224" s="129" t="s">
        <v>215</v>
      </c>
      <c r="X224" s="1127">
        <f>IF(V224="ND","ND",IF(S224="","",IF(OR(MID(C224,1,4)="milk",AND(MID(B224,1,2)="50",NOT(input_values!M224="Y")),AND(MID(B224,1,2)="40",NOT(input_values!M224="Y")),AND(MID(B224,1,2)="30",NOT(input_values!M224="Y"))),3,IF(OR(V224="&lt;25",B224&gt;1000000),1,IF((T224&gt;=S224),"2b","2a")))))</f>
        <v>3</v>
      </c>
      <c r="Y224" s="22">
        <f>IF(X224="ND","ND",IF(S224="","",IF(input_values!K224&gt;0,input_values!K224,IF(OR(X224=1,X224=3),1,IF((V224&gt;250),5,7)))))</f>
        <v>1</v>
      </c>
      <c r="Z224" s="330" t="str">
        <f t="shared" si="35"/>
        <v/>
      </c>
      <c r="AA224" s="331">
        <f t="shared" si="30"/>
        <v>0</v>
      </c>
      <c r="AB224" s="27">
        <f t="shared" si="36"/>
        <v>1</v>
      </c>
      <c r="AC224" s="330" t="str">
        <f t="shared" si="37"/>
        <v/>
      </c>
      <c r="AD224" s="332">
        <f t="shared" si="31"/>
        <v>0</v>
      </c>
      <c r="AE224" s="333" t="str">
        <f t="shared" si="38"/>
        <v/>
      </c>
      <c r="AF224" s="333" t="str">
        <f t="shared" si="39"/>
        <v/>
      </c>
      <c r="AG224" s="561" t="str">
        <f t="shared" si="32"/>
        <v/>
      </c>
      <c r="AH224" s="561" t="str">
        <f t="shared" si="33"/>
        <v/>
      </c>
      <c r="AI224" s="334"/>
    </row>
    <row r="225" spans="1:35" outlineLevel="3" x14ac:dyDescent="0.2">
      <c r="A225" s="39">
        <v>4</v>
      </c>
      <c r="B225" s="23">
        <v>401060</v>
      </c>
      <c r="C225" s="23" t="s">
        <v>750</v>
      </c>
      <c r="D225" s="300">
        <f>Table22[[#This Row],[Level used for acute calculation]]</f>
        <v>4</v>
      </c>
      <c r="E225" s="302">
        <f>Table22[[#This Row],[MRL individual commodity]]</f>
        <v>0</v>
      </c>
      <c r="F225" s="451">
        <f>Table22[[#This Row],[Acute RA input value]]</f>
        <v>0</v>
      </c>
      <c r="G225" s="301" t="str">
        <f>Table22[[#This Row],[Acute RA label]]</f>
        <v/>
      </c>
      <c r="H225" s="303">
        <f>Table22[[#This Row],[Acute RA IESTI new input value]]</f>
        <v>0</v>
      </c>
      <c r="I225" s="301" t="str">
        <f>Table22[[#This Row],[Acute RA IESTI new label]]</f>
        <v/>
      </c>
      <c r="J225" s="504"/>
      <c r="K225" s="544">
        <f>Table22[[#This Row],[GAP under assessment]]</f>
        <v>0</v>
      </c>
      <c r="L225" s="304" t="str">
        <f>IF(input_values!$M225=0,"",input_values!$M225)</f>
        <v/>
      </c>
      <c r="M225" s="301" t="str">
        <f>IF(input_values!H225=0,"",input_values!H225)</f>
        <v/>
      </c>
      <c r="N225" s="304">
        <f>input_values!$K225</f>
        <v>0</v>
      </c>
      <c r="O225" s="326">
        <v>1.38</v>
      </c>
      <c r="P225" s="22">
        <v>95</v>
      </c>
      <c r="Q225" s="22" t="s">
        <v>256</v>
      </c>
      <c r="R225" s="326">
        <v>16.149999999999999</v>
      </c>
      <c r="S225" s="328">
        <f t="shared" si="34"/>
        <v>22.286999999999995</v>
      </c>
      <c r="T225" s="338" t="s">
        <v>617</v>
      </c>
      <c r="U225" s="129" t="s">
        <v>215</v>
      </c>
      <c r="V225" s="338" t="s">
        <v>617</v>
      </c>
      <c r="W225" s="129" t="s">
        <v>215</v>
      </c>
      <c r="X225" s="1127">
        <f>IF(V225="ND","ND",IF(S225="","",IF(OR(MID(C225,1,4)="milk",AND(MID(B225,1,2)="50",NOT(input_values!M225="Y")),AND(MID(B225,1,2)="40",NOT(input_values!M225="Y")),AND(MID(B225,1,2)="30",NOT(input_values!M225="Y"))),3,IF(OR(V225="&lt;25",B225&gt;1000000),1,IF((T225&gt;=S225),"2b","2a")))))</f>
        <v>3</v>
      </c>
      <c r="Y225" s="22">
        <f>IF(X225="ND","ND",IF(S225="","",IF(input_values!K225&gt;0,input_values!K225,IF(OR(X225=1,X225=3),1,IF((V225&gt;250),5,7)))))</f>
        <v>1</v>
      </c>
      <c r="Z225" s="330" t="str">
        <f t="shared" si="35"/>
        <v/>
      </c>
      <c r="AA225" s="331">
        <f t="shared" si="30"/>
        <v>0</v>
      </c>
      <c r="AB225" s="27">
        <f t="shared" si="36"/>
        <v>1</v>
      </c>
      <c r="AC225" s="330" t="str">
        <f t="shared" si="37"/>
        <v/>
      </c>
      <c r="AD225" s="332">
        <f t="shared" si="31"/>
        <v>0</v>
      </c>
      <c r="AE225" s="333" t="str">
        <f t="shared" si="38"/>
        <v/>
      </c>
      <c r="AF225" s="333" t="str">
        <f t="shared" si="39"/>
        <v/>
      </c>
      <c r="AG225" s="561" t="str">
        <f t="shared" si="32"/>
        <v/>
      </c>
      <c r="AH225" s="561" t="str">
        <f t="shared" si="33"/>
        <v/>
      </c>
      <c r="AI225" s="334"/>
    </row>
    <row r="226" spans="1:35" outlineLevel="3" x14ac:dyDescent="0.2">
      <c r="A226" s="39">
        <v>4</v>
      </c>
      <c r="B226" s="23">
        <v>401070</v>
      </c>
      <c r="C226" s="23" t="s">
        <v>751</v>
      </c>
      <c r="D226" s="300">
        <f>Table22[[#This Row],[Level used for acute calculation]]</f>
        <v>4</v>
      </c>
      <c r="E226" s="302">
        <f>Table22[[#This Row],[MRL individual commodity]]</f>
        <v>0</v>
      </c>
      <c r="F226" s="451">
        <f>Table22[[#This Row],[Acute RA input value]]</f>
        <v>0</v>
      </c>
      <c r="G226" s="301" t="str">
        <f>Table22[[#This Row],[Acute RA label]]</f>
        <v/>
      </c>
      <c r="H226" s="303">
        <f>Table22[[#This Row],[Acute RA IESTI new input value]]</f>
        <v>0</v>
      </c>
      <c r="I226" s="301" t="str">
        <f>Table22[[#This Row],[Acute RA IESTI new label]]</f>
        <v/>
      </c>
      <c r="J226" s="504"/>
      <c r="K226" s="544">
        <f>Table22[[#This Row],[GAP under assessment]]</f>
        <v>0</v>
      </c>
      <c r="L226" s="304" t="str">
        <f>IF(input_values!$M226=0,"",input_values!$M226)</f>
        <v/>
      </c>
      <c r="M226" s="301" t="str">
        <f>IF(input_values!H226=0,"",input_values!H226)</f>
        <v/>
      </c>
      <c r="N226" s="304">
        <f>input_values!$K226</f>
        <v>0</v>
      </c>
      <c r="O226" s="326">
        <v>2.3095975232198143</v>
      </c>
      <c r="P226" s="22">
        <v>97.5</v>
      </c>
      <c r="Q226" s="22" t="s">
        <v>256</v>
      </c>
      <c r="R226" s="326">
        <v>16.149999999999999</v>
      </c>
      <c r="S226" s="328">
        <f t="shared" si="34"/>
        <v>37.299999999999997</v>
      </c>
      <c r="T226" s="338" t="s">
        <v>617</v>
      </c>
      <c r="U226" s="129" t="s">
        <v>215</v>
      </c>
      <c r="V226" s="338" t="s">
        <v>617</v>
      </c>
      <c r="W226" s="129" t="s">
        <v>215</v>
      </c>
      <c r="X226" s="1127">
        <f>IF(V226="ND","ND",IF(S226="","",IF(OR(MID(C226,1,4)="milk",AND(MID(B226,1,2)="50",NOT(input_values!M226="Y")),AND(MID(B226,1,2)="40",NOT(input_values!M226="Y")),AND(MID(B226,1,2)="30",NOT(input_values!M226="Y"))),3,IF(OR(V226="&lt;25",B226&gt;1000000),1,IF((T226&gt;=S226),"2b","2a")))))</f>
        <v>3</v>
      </c>
      <c r="Y226" s="22">
        <f>IF(X226="ND","ND",IF(S226="","",IF(input_values!K226&gt;0,input_values!K226,IF(OR(X226=1,X226=3),1,IF((V226&gt;250),5,7)))))</f>
        <v>1</v>
      </c>
      <c r="Z226" s="330" t="str">
        <f t="shared" si="35"/>
        <v/>
      </c>
      <c r="AA226" s="331">
        <f t="shared" si="30"/>
        <v>0</v>
      </c>
      <c r="AB226" s="27">
        <f t="shared" si="36"/>
        <v>1</v>
      </c>
      <c r="AC226" s="330" t="str">
        <f t="shared" si="37"/>
        <v/>
      </c>
      <c r="AD226" s="332">
        <f t="shared" si="31"/>
        <v>0</v>
      </c>
      <c r="AE226" s="333" t="str">
        <f t="shared" si="38"/>
        <v/>
      </c>
      <c r="AF226" s="333" t="str">
        <f t="shared" si="39"/>
        <v/>
      </c>
      <c r="AG226" s="561" t="str">
        <f t="shared" si="32"/>
        <v/>
      </c>
      <c r="AH226" s="561" t="str">
        <f t="shared" si="33"/>
        <v/>
      </c>
      <c r="AI226" s="334"/>
    </row>
    <row r="227" spans="1:35" outlineLevel="3" x14ac:dyDescent="0.2">
      <c r="A227" s="39">
        <v>4</v>
      </c>
      <c r="B227" s="23">
        <v>401080</v>
      </c>
      <c r="C227" s="23" t="s">
        <v>752</v>
      </c>
      <c r="D227" s="300">
        <f>Table22[[#This Row],[Level used for acute calculation]]</f>
        <v>4</v>
      </c>
      <c r="E227" s="302">
        <f>Table22[[#This Row],[MRL individual commodity]]</f>
        <v>0</v>
      </c>
      <c r="F227" s="451">
        <f>Table22[[#This Row],[Acute RA input value]]</f>
        <v>0</v>
      </c>
      <c r="G227" s="301" t="str">
        <f>Table22[[#This Row],[Acute RA label]]</f>
        <v/>
      </c>
      <c r="H227" s="303">
        <f>Table22[[#This Row],[Acute RA IESTI new input value]]</f>
        <v>0</v>
      </c>
      <c r="I227" s="301" t="str">
        <f>Table22[[#This Row],[Acute RA IESTI new label]]</f>
        <v/>
      </c>
      <c r="J227" s="504"/>
      <c r="K227" s="544">
        <f>Table22[[#This Row],[GAP under assessment]]</f>
        <v>0</v>
      </c>
      <c r="L227" s="304" t="str">
        <f>IF(input_values!$M227=0,"",input_values!$M227)</f>
        <v/>
      </c>
      <c r="M227" s="301" t="str">
        <f>IF(input_values!H227=0,"",input_values!H227)</f>
        <v/>
      </c>
      <c r="N227" s="304">
        <f>input_values!$K227</f>
        <v>0</v>
      </c>
      <c r="O227" s="339">
        <v>1.02</v>
      </c>
      <c r="P227" s="22">
        <v>97.5</v>
      </c>
      <c r="Q227" s="22" t="s">
        <v>97</v>
      </c>
      <c r="R227" s="326">
        <v>32.299999999999997</v>
      </c>
      <c r="S227" s="328">
        <f t="shared" si="34"/>
        <v>32.945999999999998</v>
      </c>
      <c r="T227" s="338" t="s">
        <v>617</v>
      </c>
      <c r="U227" s="129" t="s">
        <v>215</v>
      </c>
      <c r="V227" s="338" t="s">
        <v>617</v>
      </c>
      <c r="W227" s="129" t="s">
        <v>215</v>
      </c>
      <c r="X227" s="1127">
        <f>IF(V227="ND","ND",IF(S227="","",IF(OR(MID(C227,1,4)="milk",AND(MID(B227,1,2)="50",NOT(input_values!M227="Y")),AND(MID(B227,1,2)="40",NOT(input_values!M227="Y")),AND(MID(B227,1,2)="30",NOT(input_values!M227="Y"))),3,IF(OR(V227="&lt;25",B227&gt;1000000),1,IF((T227&gt;=S227),"2b","2a")))))</f>
        <v>3</v>
      </c>
      <c r="Y227" s="22">
        <f>IF(X227="ND","ND",IF(S227="","",IF(input_values!K227&gt;0,input_values!K227,IF(OR(X227=1,X227=3),1,IF((V227&gt;250),5,7)))))</f>
        <v>1</v>
      </c>
      <c r="Z227" s="345" t="str">
        <f t="shared" si="35"/>
        <v/>
      </c>
      <c r="AA227" s="332">
        <f t="shared" si="30"/>
        <v>0</v>
      </c>
      <c r="AB227" s="27">
        <f t="shared" si="36"/>
        <v>1</v>
      </c>
      <c r="AC227" s="345" t="str">
        <f t="shared" si="37"/>
        <v/>
      </c>
      <c r="AD227" s="332">
        <f t="shared" si="31"/>
        <v>0</v>
      </c>
      <c r="AE227" s="40" t="str">
        <f t="shared" si="38"/>
        <v/>
      </c>
      <c r="AF227" s="40" t="str">
        <f t="shared" si="39"/>
        <v/>
      </c>
      <c r="AG227" s="561" t="str">
        <f t="shared" si="32"/>
        <v/>
      </c>
      <c r="AH227" s="561" t="str">
        <f t="shared" si="33"/>
        <v/>
      </c>
      <c r="AI227" s="313"/>
    </row>
    <row r="228" spans="1:35" outlineLevel="3" x14ac:dyDescent="0.2">
      <c r="A228" s="39">
        <v>4</v>
      </c>
      <c r="B228" s="23">
        <v>401090</v>
      </c>
      <c r="C228" s="23" t="s">
        <v>753</v>
      </c>
      <c r="D228" s="300">
        <f>Table22[[#This Row],[Level used for acute calculation]]</f>
        <v>4</v>
      </c>
      <c r="E228" s="302">
        <f>Table22[[#This Row],[MRL individual commodity]]</f>
        <v>0</v>
      </c>
      <c r="F228" s="451">
        <f>Table22[[#This Row],[Acute RA input value]]</f>
        <v>0</v>
      </c>
      <c r="G228" s="301" t="str">
        <f>Table22[[#This Row],[Acute RA label]]</f>
        <v/>
      </c>
      <c r="H228" s="303">
        <f>Table22[[#This Row],[Acute RA IESTI new input value]]</f>
        <v>0</v>
      </c>
      <c r="I228" s="301" t="str">
        <f>Table22[[#This Row],[Acute RA IESTI new label]]</f>
        <v/>
      </c>
      <c r="J228" s="504"/>
      <c r="K228" s="544">
        <f>Table22[[#This Row],[GAP under assessment]]</f>
        <v>0</v>
      </c>
      <c r="L228" s="304" t="str">
        <f>IF(input_values!$M228=0,"",input_values!$M228)</f>
        <v/>
      </c>
      <c r="M228" s="301" t="str">
        <f>IF(input_values!H228=0,"",input_values!H228)</f>
        <v/>
      </c>
      <c r="N228" s="304">
        <f>input_values!$K228</f>
        <v>0</v>
      </c>
      <c r="O228" s="338" t="s">
        <v>618</v>
      </c>
      <c r="P228" s="22"/>
      <c r="Q228" s="22"/>
      <c r="R228" s="330"/>
      <c r="S228" s="31" t="str">
        <f t="shared" si="34"/>
        <v>ND</v>
      </c>
      <c r="T228" s="338" t="s">
        <v>617</v>
      </c>
      <c r="U228" s="129" t="s">
        <v>215</v>
      </c>
      <c r="V228" s="338" t="s">
        <v>617</v>
      </c>
      <c r="W228" s="129" t="s">
        <v>215</v>
      </c>
      <c r="X228" s="1127">
        <f>IF(V228="ND","ND",IF(S228="","",IF(OR(MID(C228,1,4)="milk",AND(MID(B228,1,2)="50",NOT(input_values!M228="Y")),AND(MID(B228,1,2)="40",NOT(input_values!M228="Y")),AND(MID(B228,1,2)="30",NOT(input_values!M228="Y"))),3,IF(OR(V228="&lt;25",B228&gt;1000000),1,IF((T228&gt;=S228),"2b","2a")))))</f>
        <v>3</v>
      </c>
      <c r="Y228" s="22">
        <f>IF(X228="ND","ND",IF(S228="","",IF(input_values!K228&gt;0,input_values!K228,IF(OR(X228=1,X228=3),1,IF((V228&gt;250),5,7)))))</f>
        <v>1</v>
      </c>
      <c r="Z228" s="340" t="str">
        <f t="shared" si="35"/>
        <v/>
      </c>
      <c r="AA228" s="332">
        <f t="shared" si="30"/>
        <v>0</v>
      </c>
      <c r="AB228" s="27">
        <f t="shared" si="36"/>
        <v>1</v>
      </c>
      <c r="AC228" s="340" t="str">
        <f t="shared" si="37"/>
        <v/>
      </c>
      <c r="AD228" s="332">
        <f t="shared" si="31"/>
        <v>0</v>
      </c>
      <c r="AE228" s="37" t="str">
        <f t="shared" si="38"/>
        <v/>
      </c>
      <c r="AF228" s="37" t="str">
        <f t="shared" si="39"/>
        <v/>
      </c>
      <c r="AG228" s="561" t="str">
        <f t="shared" si="32"/>
        <v/>
      </c>
      <c r="AH228" s="561" t="str">
        <f t="shared" si="33"/>
        <v/>
      </c>
      <c r="AI228" s="313"/>
    </row>
    <row r="229" spans="1:35" outlineLevel="3" x14ac:dyDescent="0.2">
      <c r="A229" s="39">
        <v>4</v>
      </c>
      <c r="B229" s="23">
        <v>401100</v>
      </c>
      <c r="C229" s="23" t="s">
        <v>154</v>
      </c>
      <c r="D229" s="300">
        <f>Table22[[#This Row],[Level used for acute calculation]]</f>
        <v>4</v>
      </c>
      <c r="E229" s="302">
        <f>Table22[[#This Row],[MRL individual commodity]]</f>
        <v>0</v>
      </c>
      <c r="F229" s="451">
        <f>Table22[[#This Row],[Acute RA input value]]</f>
        <v>0</v>
      </c>
      <c r="G229" s="301" t="str">
        <f>Table22[[#This Row],[Acute RA label]]</f>
        <v/>
      </c>
      <c r="H229" s="303">
        <f>Table22[[#This Row],[Acute RA IESTI new input value]]</f>
        <v>0</v>
      </c>
      <c r="I229" s="301" t="str">
        <f>Table22[[#This Row],[Acute RA IESTI new label]]</f>
        <v/>
      </c>
      <c r="J229" s="504"/>
      <c r="K229" s="544">
        <f>Table22[[#This Row],[GAP under assessment]]</f>
        <v>0</v>
      </c>
      <c r="L229" s="304" t="str">
        <f>IF(input_values!$M229=0,"",input_values!$M229)</f>
        <v/>
      </c>
      <c r="M229" s="301" t="str">
        <f>IF(input_values!H229=0,"",input_values!H229)</f>
        <v/>
      </c>
      <c r="N229" s="304">
        <f>input_values!$K229</f>
        <v>0</v>
      </c>
      <c r="O229" s="339">
        <v>1.45</v>
      </c>
      <c r="P229" s="22">
        <v>97.5</v>
      </c>
      <c r="Q229" s="22" t="s">
        <v>256</v>
      </c>
      <c r="R229" s="326">
        <v>16.149999999999999</v>
      </c>
      <c r="S229" s="328">
        <f t="shared" si="34"/>
        <v>23.417499999999997</v>
      </c>
      <c r="T229" s="338" t="s">
        <v>617</v>
      </c>
      <c r="U229" s="129" t="s">
        <v>215</v>
      </c>
      <c r="V229" s="338" t="s">
        <v>617</v>
      </c>
      <c r="W229" s="129" t="s">
        <v>215</v>
      </c>
      <c r="X229" s="1127">
        <f>IF(V229="ND","ND",IF(S229="","",IF(OR(MID(C229,1,4)="milk",AND(MID(B229,1,2)="50",NOT(input_values!M229="Y")),AND(MID(B229,1,2)="40",NOT(input_values!M229="Y")),AND(MID(B229,1,2)="30",NOT(input_values!M229="Y"))),3,IF(OR(V229="&lt;25",B229&gt;1000000),1,IF((T229&gt;=S229),"2b","2a")))))</f>
        <v>3</v>
      </c>
      <c r="Y229" s="22">
        <f>IF(X229="ND","ND",IF(S229="","",IF(input_values!K229&gt;0,input_values!K229,IF(OR(X229=1,X229=3),1,IF((V229&gt;250),5,7)))))</f>
        <v>1</v>
      </c>
      <c r="Z229" s="345" t="str">
        <f t="shared" si="35"/>
        <v/>
      </c>
      <c r="AA229" s="332">
        <f t="shared" si="30"/>
        <v>0</v>
      </c>
      <c r="AB229" s="27">
        <f t="shared" si="36"/>
        <v>1</v>
      </c>
      <c r="AC229" s="345" t="str">
        <f t="shared" si="37"/>
        <v/>
      </c>
      <c r="AD229" s="332">
        <f t="shared" si="31"/>
        <v>0</v>
      </c>
      <c r="AE229" s="40" t="str">
        <f t="shared" si="38"/>
        <v/>
      </c>
      <c r="AF229" s="40" t="str">
        <f t="shared" si="39"/>
        <v/>
      </c>
      <c r="AG229" s="561" t="str">
        <f t="shared" si="32"/>
        <v/>
      </c>
      <c r="AH229" s="561" t="str">
        <f t="shared" si="33"/>
        <v/>
      </c>
      <c r="AI229" s="313"/>
    </row>
    <row r="230" spans="1:35" outlineLevel="3" x14ac:dyDescent="0.2">
      <c r="A230" s="39">
        <v>4</v>
      </c>
      <c r="B230" s="23">
        <v>401110</v>
      </c>
      <c r="C230" s="23" t="s">
        <v>754</v>
      </c>
      <c r="D230" s="300">
        <f>Table22[[#This Row],[Level used for acute calculation]]</f>
        <v>4</v>
      </c>
      <c r="E230" s="302">
        <f>Table22[[#This Row],[MRL individual commodity]]</f>
        <v>0</v>
      </c>
      <c r="F230" s="451">
        <f>Table22[[#This Row],[Acute RA input value]]</f>
        <v>0</v>
      </c>
      <c r="G230" s="301" t="str">
        <f>Table22[[#This Row],[Acute RA label]]</f>
        <v/>
      </c>
      <c r="H230" s="303">
        <f>Table22[[#This Row],[Acute RA IESTI new input value]]</f>
        <v>0</v>
      </c>
      <c r="I230" s="301" t="str">
        <f>Table22[[#This Row],[Acute RA IESTI new label]]</f>
        <v/>
      </c>
      <c r="J230" s="504"/>
      <c r="K230" s="544">
        <f>Table22[[#This Row],[GAP under assessment]]</f>
        <v>0</v>
      </c>
      <c r="L230" s="304" t="str">
        <f>IF(input_values!$M230=0,"",input_values!$M230)</f>
        <v/>
      </c>
      <c r="M230" s="301" t="str">
        <f>IF(input_values!H230=0,"",input_values!H230)</f>
        <v/>
      </c>
      <c r="N230" s="304">
        <f>input_values!$K230</f>
        <v>0</v>
      </c>
      <c r="O230" s="339">
        <v>3.08</v>
      </c>
      <c r="P230" s="22">
        <v>95</v>
      </c>
      <c r="Q230" s="22" t="s">
        <v>256</v>
      </c>
      <c r="R230" s="326">
        <v>16.149999999999999</v>
      </c>
      <c r="S230" s="328">
        <f t="shared" si="34"/>
        <v>49.741999999999997</v>
      </c>
      <c r="T230" s="338" t="s">
        <v>617</v>
      </c>
      <c r="U230" s="129" t="s">
        <v>215</v>
      </c>
      <c r="V230" s="338" t="s">
        <v>617</v>
      </c>
      <c r="W230" s="129" t="s">
        <v>215</v>
      </c>
      <c r="X230" s="1127">
        <f>IF(V230="ND","ND",IF(S230="","",IF(OR(MID(C230,1,4)="milk",AND(MID(B230,1,2)="50",NOT(input_values!M230="Y")),AND(MID(B230,1,2)="40",NOT(input_values!M230="Y")),AND(MID(B230,1,2)="30",NOT(input_values!M230="Y"))),3,IF(OR(V230="&lt;25",B230&gt;1000000),1,IF((T230&gt;=S230),"2b","2a")))))</f>
        <v>3</v>
      </c>
      <c r="Y230" s="22">
        <f>IF(X230="ND","ND",IF(S230="","",IF(input_values!K230&gt;0,input_values!K230,IF(OR(X230=1,X230=3),1,IF((V230&gt;250),5,7)))))</f>
        <v>1</v>
      </c>
      <c r="Z230" s="345" t="str">
        <f t="shared" si="35"/>
        <v/>
      </c>
      <c r="AA230" s="332">
        <f t="shared" si="30"/>
        <v>0</v>
      </c>
      <c r="AB230" s="27">
        <f t="shared" si="36"/>
        <v>1</v>
      </c>
      <c r="AC230" s="345" t="str">
        <f t="shared" si="37"/>
        <v/>
      </c>
      <c r="AD230" s="332">
        <f t="shared" si="31"/>
        <v>0</v>
      </c>
      <c r="AE230" s="40" t="str">
        <f t="shared" si="38"/>
        <v/>
      </c>
      <c r="AF230" s="40" t="str">
        <f t="shared" si="39"/>
        <v/>
      </c>
      <c r="AG230" s="561" t="str">
        <f t="shared" si="32"/>
        <v/>
      </c>
      <c r="AH230" s="561" t="str">
        <f t="shared" si="33"/>
        <v/>
      </c>
      <c r="AI230" s="334"/>
    </row>
    <row r="231" spans="1:35" outlineLevel="3" x14ac:dyDescent="0.2">
      <c r="A231" s="39">
        <v>4</v>
      </c>
      <c r="B231" s="23">
        <v>401120</v>
      </c>
      <c r="C231" s="23" t="s">
        <v>755</v>
      </c>
      <c r="D231" s="300">
        <f>Table22[[#This Row],[Level used for acute calculation]]</f>
        <v>4</v>
      </c>
      <c r="E231" s="302">
        <f>Table22[[#This Row],[MRL individual commodity]]</f>
        <v>0</v>
      </c>
      <c r="F231" s="451">
        <f>Table22[[#This Row],[Acute RA input value]]</f>
        <v>0</v>
      </c>
      <c r="G231" s="301" t="str">
        <f>Table22[[#This Row],[Acute RA label]]</f>
        <v/>
      </c>
      <c r="H231" s="303">
        <f>Table22[[#This Row],[Acute RA IESTI new input value]]</f>
        <v>0</v>
      </c>
      <c r="I231" s="301" t="str">
        <f>Table22[[#This Row],[Acute RA IESTI new label]]</f>
        <v/>
      </c>
      <c r="J231" s="504"/>
      <c r="K231" s="544">
        <f>Table22[[#This Row],[GAP under assessment]]</f>
        <v>0</v>
      </c>
      <c r="L231" s="304" t="str">
        <f>IF(input_values!$M231=0,"",input_values!$M231)</f>
        <v/>
      </c>
      <c r="M231" s="301" t="str">
        <f>IF(input_values!H231=0,"",input_values!H231)</f>
        <v/>
      </c>
      <c r="N231" s="304">
        <f>input_values!$K231</f>
        <v>0</v>
      </c>
      <c r="O231" s="338" t="s">
        <v>618</v>
      </c>
      <c r="P231" s="22"/>
      <c r="Q231" s="22"/>
      <c r="R231" s="330"/>
      <c r="S231" s="31" t="str">
        <f t="shared" si="34"/>
        <v>ND</v>
      </c>
      <c r="T231" s="338" t="s">
        <v>617</v>
      </c>
      <c r="U231" s="129" t="s">
        <v>215</v>
      </c>
      <c r="V231" s="338" t="s">
        <v>617</v>
      </c>
      <c r="W231" s="129" t="s">
        <v>215</v>
      </c>
      <c r="X231" s="1127">
        <f>IF(V231="ND","ND",IF(S231="","",IF(OR(MID(C231,1,4)="milk",AND(MID(B231,1,2)="50",NOT(input_values!M231="Y")),AND(MID(B231,1,2)="40",NOT(input_values!M231="Y")),AND(MID(B231,1,2)="30",NOT(input_values!M231="Y"))),3,IF(OR(V231="&lt;25",B231&gt;1000000),1,IF((T231&gt;=S231),"2b","2a")))))</f>
        <v>3</v>
      </c>
      <c r="Y231" s="22">
        <f>IF(X231="ND","ND",IF(S231="","",IF(input_values!K231&gt;0,input_values!K231,IF(OR(X231=1,X231=3),1,IF((V231&gt;250),5,7)))))</f>
        <v>1</v>
      </c>
      <c r="Z231" s="340" t="str">
        <f t="shared" si="35"/>
        <v/>
      </c>
      <c r="AA231" s="332">
        <f t="shared" si="30"/>
        <v>0</v>
      </c>
      <c r="AB231" s="27">
        <f t="shared" si="36"/>
        <v>1</v>
      </c>
      <c r="AC231" s="340" t="str">
        <f t="shared" si="37"/>
        <v/>
      </c>
      <c r="AD231" s="332">
        <f t="shared" si="31"/>
        <v>0</v>
      </c>
      <c r="AE231" s="37" t="str">
        <f t="shared" si="38"/>
        <v/>
      </c>
      <c r="AF231" s="37" t="str">
        <f t="shared" si="39"/>
        <v/>
      </c>
      <c r="AG231" s="561" t="str">
        <f t="shared" si="32"/>
        <v/>
      </c>
      <c r="AH231" s="561" t="str">
        <f t="shared" si="33"/>
        <v/>
      </c>
      <c r="AI231" s="313"/>
    </row>
    <row r="232" spans="1:35" outlineLevel="3" x14ac:dyDescent="0.2">
      <c r="A232" s="39">
        <v>4</v>
      </c>
      <c r="B232" s="23">
        <v>401130</v>
      </c>
      <c r="C232" s="23" t="s">
        <v>756</v>
      </c>
      <c r="D232" s="300">
        <f>Table22[[#This Row],[Level used for acute calculation]]</f>
        <v>4</v>
      </c>
      <c r="E232" s="302">
        <f>Table22[[#This Row],[MRL individual commodity]]</f>
        <v>0</v>
      </c>
      <c r="F232" s="451">
        <f>Table22[[#This Row],[Acute RA input value]]</f>
        <v>0</v>
      </c>
      <c r="G232" s="301" t="str">
        <f>Table22[[#This Row],[Acute RA label]]</f>
        <v/>
      </c>
      <c r="H232" s="303">
        <f>Table22[[#This Row],[Acute RA IESTI new input value]]</f>
        <v>0</v>
      </c>
      <c r="I232" s="301" t="str">
        <f>Table22[[#This Row],[Acute RA IESTI new label]]</f>
        <v/>
      </c>
      <c r="J232" s="504"/>
      <c r="K232" s="544">
        <f>Table22[[#This Row],[GAP under assessment]]</f>
        <v>0</v>
      </c>
      <c r="L232" s="304" t="str">
        <f>IF(input_values!$M232=0,"",input_values!$M232)</f>
        <v/>
      </c>
      <c r="M232" s="301" t="str">
        <f>IF(input_values!H232=0,"",input_values!H232)</f>
        <v/>
      </c>
      <c r="N232" s="304">
        <f>input_values!$K232</f>
        <v>0</v>
      </c>
      <c r="O232" s="338" t="s">
        <v>618</v>
      </c>
      <c r="P232" s="22"/>
      <c r="Q232" s="22"/>
      <c r="R232" s="330"/>
      <c r="S232" s="31" t="str">
        <f t="shared" si="34"/>
        <v>ND</v>
      </c>
      <c r="T232" s="338" t="s">
        <v>617</v>
      </c>
      <c r="U232" s="129" t="s">
        <v>215</v>
      </c>
      <c r="V232" s="338" t="s">
        <v>617</v>
      </c>
      <c r="W232" s="129" t="s">
        <v>215</v>
      </c>
      <c r="X232" s="1127">
        <f>IF(V232="ND","ND",IF(S232="","",IF(OR(MID(C232,1,4)="milk",AND(MID(B232,1,2)="50",NOT(input_values!M232="Y")),AND(MID(B232,1,2)="40",NOT(input_values!M232="Y")),AND(MID(B232,1,2)="30",NOT(input_values!M232="Y"))),3,IF(OR(V232="&lt;25",B232&gt;1000000),1,IF((T232&gt;=S232),"2b","2a")))))</f>
        <v>3</v>
      </c>
      <c r="Y232" s="22">
        <f>IF(X232="ND","ND",IF(S232="","",IF(input_values!K232&gt;0,input_values!K232,IF(OR(X232=1,X232=3),1,IF((V232&gt;250),5,7)))))</f>
        <v>1</v>
      </c>
      <c r="Z232" s="340" t="str">
        <f t="shared" si="35"/>
        <v/>
      </c>
      <c r="AA232" s="332">
        <f t="shared" si="30"/>
        <v>0</v>
      </c>
      <c r="AB232" s="27">
        <f t="shared" si="36"/>
        <v>1</v>
      </c>
      <c r="AC232" s="340" t="str">
        <f t="shared" si="37"/>
        <v/>
      </c>
      <c r="AD232" s="332">
        <f t="shared" si="31"/>
        <v>0</v>
      </c>
      <c r="AE232" s="37" t="str">
        <f t="shared" si="38"/>
        <v/>
      </c>
      <c r="AF232" s="37" t="str">
        <f t="shared" si="39"/>
        <v/>
      </c>
      <c r="AG232" s="561" t="str">
        <f t="shared" si="32"/>
        <v/>
      </c>
      <c r="AH232" s="561" t="str">
        <f t="shared" si="33"/>
        <v/>
      </c>
      <c r="AI232" s="313"/>
    </row>
    <row r="233" spans="1:35" ht="24" outlineLevel="3" x14ac:dyDescent="0.2">
      <c r="A233" s="39">
        <v>4</v>
      </c>
      <c r="B233" s="23">
        <v>401140</v>
      </c>
      <c r="C233" s="23" t="s">
        <v>757</v>
      </c>
      <c r="D233" s="300">
        <f>Table22[[#This Row],[Level used for acute calculation]]</f>
        <v>4</v>
      </c>
      <c r="E233" s="302">
        <f>Table22[[#This Row],[MRL individual commodity]]</f>
        <v>0</v>
      </c>
      <c r="F233" s="451">
        <f>Table22[[#This Row],[Acute RA input value]]</f>
        <v>0</v>
      </c>
      <c r="G233" s="301" t="str">
        <f>Table22[[#This Row],[Acute RA label]]</f>
        <v/>
      </c>
      <c r="H233" s="303">
        <f>Table22[[#This Row],[Acute RA IESTI new input value]]</f>
        <v>0</v>
      </c>
      <c r="I233" s="301" t="str">
        <f>Table22[[#This Row],[Acute RA IESTI new label]]</f>
        <v/>
      </c>
      <c r="J233" s="504"/>
      <c r="K233" s="544">
        <f>Table22[[#This Row],[GAP under assessment]]</f>
        <v>0</v>
      </c>
      <c r="L233" s="304" t="str">
        <f>IF(input_values!$M233=0,"",input_values!$M233)</f>
        <v/>
      </c>
      <c r="M233" s="301" t="str">
        <f>IF(input_values!H233=0,"",input_values!H233)</f>
        <v/>
      </c>
      <c r="N233" s="304">
        <f>input_values!$K233</f>
        <v>0</v>
      </c>
      <c r="O233" s="339">
        <v>0.1</v>
      </c>
      <c r="P233" s="22">
        <v>95</v>
      </c>
      <c r="Q233" s="22" t="s">
        <v>332</v>
      </c>
      <c r="R233" s="326">
        <v>46.3</v>
      </c>
      <c r="S233" s="328">
        <f t="shared" si="34"/>
        <v>4.63</v>
      </c>
      <c r="T233" s="338" t="s">
        <v>617</v>
      </c>
      <c r="U233" s="129" t="s">
        <v>215</v>
      </c>
      <c r="V233" s="338" t="s">
        <v>617</v>
      </c>
      <c r="W233" s="129" t="s">
        <v>215</v>
      </c>
      <c r="X233" s="1127">
        <f>IF(V233="ND","ND",IF(S233="","",IF(OR(MID(C233,1,4)="milk",AND(MID(B233,1,2)="50",NOT(input_values!M233="Y")),AND(MID(B233,1,2)="40",NOT(input_values!M233="Y")),AND(MID(B233,1,2)="30",NOT(input_values!M233="Y"))),3,IF(OR(V233="&lt;25",B233&gt;1000000),1,IF((T233&gt;=S233),"2b","2a")))))</f>
        <v>3</v>
      </c>
      <c r="Y233" s="22">
        <f>IF(X233="ND","ND",IF(S233="","",IF(input_values!K233&gt;0,input_values!K233,IF(OR(X233=1,X233=3),1,IF((V233&gt;250),5,7)))))</f>
        <v>1</v>
      </c>
      <c r="Z233" s="345" t="str">
        <f t="shared" si="35"/>
        <v/>
      </c>
      <c r="AA233" s="332">
        <f t="shared" si="30"/>
        <v>0</v>
      </c>
      <c r="AB233" s="27">
        <f t="shared" si="36"/>
        <v>1</v>
      </c>
      <c r="AC233" s="345" t="str">
        <f t="shared" si="37"/>
        <v/>
      </c>
      <c r="AD233" s="332">
        <f t="shared" si="31"/>
        <v>0</v>
      </c>
      <c r="AE233" s="40" t="str">
        <f t="shared" si="38"/>
        <v/>
      </c>
      <c r="AF233" s="40" t="str">
        <f t="shared" si="39"/>
        <v/>
      </c>
      <c r="AG233" s="561" t="str">
        <f t="shared" si="32"/>
        <v/>
      </c>
      <c r="AH233" s="561" t="str">
        <f t="shared" si="33"/>
        <v/>
      </c>
      <c r="AI233" s="313"/>
    </row>
    <row r="234" spans="1:35" outlineLevel="3" x14ac:dyDescent="0.2">
      <c r="A234" s="39">
        <v>4</v>
      </c>
      <c r="B234" s="23">
        <v>401150</v>
      </c>
      <c r="C234" s="23" t="s">
        <v>758</v>
      </c>
      <c r="D234" s="300">
        <f>Table22[[#This Row],[Level used for acute calculation]]</f>
        <v>4</v>
      </c>
      <c r="E234" s="302">
        <f>Table22[[#This Row],[MRL individual commodity]]</f>
        <v>0</v>
      </c>
      <c r="F234" s="451">
        <f>Table22[[#This Row],[Acute RA input value]]</f>
        <v>0</v>
      </c>
      <c r="G234" s="301" t="str">
        <f>Table22[[#This Row],[Acute RA label]]</f>
        <v/>
      </c>
      <c r="H234" s="303">
        <f>Table22[[#This Row],[Acute RA IESTI new input value]]</f>
        <v>0</v>
      </c>
      <c r="I234" s="301" t="str">
        <f>Table22[[#This Row],[Acute RA IESTI new label]]</f>
        <v/>
      </c>
      <c r="J234" s="504"/>
      <c r="K234" s="544">
        <f>Table22[[#This Row],[GAP under assessment]]</f>
        <v>0</v>
      </c>
      <c r="L234" s="304" t="str">
        <f>IF(input_values!$M234=0,"",input_values!$M234)</f>
        <v/>
      </c>
      <c r="M234" s="301" t="str">
        <f>IF(input_values!H234=0,"",input_values!H234)</f>
        <v/>
      </c>
      <c r="N234" s="304">
        <f>input_values!$K234</f>
        <v>0</v>
      </c>
      <c r="O234" s="338" t="s">
        <v>618</v>
      </c>
      <c r="P234" s="22"/>
      <c r="Q234" s="22"/>
      <c r="R234" s="330"/>
      <c r="S234" s="31" t="str">
        <f t="shared" si="34"/>
        <v>ND</v>
      </c>
      <c r="T234" s="338" t="s">
        <v>617</v>
      </c>
      <c r="U234" s="129" t="s">
        <v>215</v>
      </c>
      <c r="V234" s="338" t="s">
        <v>617</v>
      </c>
      <c r="W234" s="129" t="s">
        <v>215</v>
      </c>
      <c r="X234" s="1127">
        <f>IF(V234="ND","ND",IF(S234="","",IF(OR(MID(C234,1,4)="milk",AND(MID(B234,1,2)="50",NOT(input_values!M234="Y")),AND(MID(B234,1,2)="40",NOT(input_values!M234="Y")),AND(MID(B234,1,2)="30",NOT(input_values!M234="Y"))),3,IF(OR(V234="&lt;25",B234&gt;1000000),1,IF((T234&gt;=S234),"2b","2a")))))</f>
        <v>3</v>
      </c>
      <c r="Y234" s="22">
        <f>IF(X234="ND","ND",IF(S234="","",IF(input_values!K234&gt;0,input_values!K234,IF(OR(X234=1,X234=3),1,IF((V234&gt;250),5,7)))))</f>
        <v>1</v>
      </c>
      <c r="Z234" s="340" t="str">
        <f t="shared" si="35"/>
        <v/>
      </c>
      <c r="AA234" s="332">
        <f t="shared" si="30"/>
        <v>0</v>
      </c>
      <c r="AB234" s="27">
        <f t="shared" si="36"/>
        <v>1</v>
      </c>
      <c r="AC234" s="340" t="str">
        <f t="shared" si="37"/>
        <v/>
      </c>
      <c r="AD234" s="332">
        <f t="shared" si="31"/>
        <v>0</v>
      </c>
      <c r="AE234" s="37" t="str">
        <f t="shared" si="38"/>
        <v/>
      </c>
      <c r="AF234" s="37" t="str">
        <f t="shared" si="39"/>
        <v/>
      </c>
      <c r="AG234" s="561" t="str">
        <f t="shared" si="32"/>
        <v/>
      </c>
      <c r="AH234" s="561" t="str">
        <f t="shared" si="33"/>
        <v/>
      </c>
      <c r="AI234" s="313"/>
    </row>
    <row r="235" spans="1:35" outlineLevel="3" x14ac:dyDescent="0.2">
      <c r="A235" s="39">
        <v>4</v>
      </c>
      <c r="B235" s="23">
        <v>401990</v>
      </c>
      <c r="C235" s="23" t="s">
        <v>178</v>
      </c>
      <c r="D235" s="300">
        <f>Table22[[#This Row],[Level used for acute calculation]]</f>
        <v>0</v>
      </c>
      <c r="E235" s="302">
        <f>Table22[[#This Row],[MRL individual commodity]]</f>
        <v>0</v>
      </c>
      <c r="F235" s="451">
        <f>Table22[[#This Row],[Acute RA input value]]</f>
        <v>0</v>
      </c>
      <c r="G235" s="301">
        <f>Table22[[#This Row],[Acute RA label]]</f>
        <v>0</v>
      </c>
      <c r="H235" s="303">
        <f>Table22[[#This Row],[Acute RA IESTI new input value]]</f>
        <v>0</v>
      </c>
      <c r="I235" s="301">
        <f>Table22[[#This Row],[Acute RA IESTI new label]]</f>
        <v>0</v>
      </c>
      <c r="J235" s="504"/>
      <c r="K235" s="544">
        <f>Table22[[#This Row],[GAP under assessment]]</f>
        <v>0</v>
      </c>
      <c r="L235" s="304" t="str">
        <f>IF(input_values!$M235=0,"",input_values!$M235)</f>
        <v/>
      </c>
      <c r="M235" s="301" t="str">
        <f>IF(input_values!H235=0,"",input_values!H235)</f>
        <v/>
      </c>
      <c r="N235" s="304">
        <f>input_values!$K235</f>
        <v>0</v>
      </c>
      <c r="O235" s="309"/>
      <c r="P235" s="38"/>
      <c r="Q235" s="38"/>
      <c r="R235" s="335"/>
      <c r="S235" s="336" t="str">
        <f t="shared" si="34"/>
        <v/>
      </c>
      <c r="T235" s="305"/>
      <c r="U235" s="570"/>
      <c r="V235" s="305"/>
      <c r="W235" s="570"/>
      <c r="X235" s="611" t="str">
        <f>IF(V235="ND","ND",IF(S235="","",IF(OR(MID(C235,1,4)="milk",AND(MID(B235,1,2)="50",NOT(input_values!M235="Y")),AND(MID(B235,1,2)="40",NOT(input_values!M235="Y")),AND(MID(B235,1,2)="30",NOT(input_values!M235="Y"))),3,IF(OR(V235="&lt;25",B235&gt;1000000),1,IF((T235&gt;=S235),"2b","2a")))))</f>
        <v/>
      </c>
      <c r="Y235" s="38" t="str">
        <f>IF(X235="ND","ND",IF(S235="","",IF(input_values!K235&gt;0,input_values!K235,IF(OR(X235=1,X235=3),1,IF((V235&gt;250),5,7)))))</f>
        <v/>
      </c>
      <c r="Z235" s="335" t="str">
        <f t="shared" si="35"/>
        <v/>
      </c>
      <c r="AA235" s="311">
        <f t="shared" si="30"/>
        <v>0</v>
      </c>
      <c r="AB235" s="38" t="str">
        <f t="shared" si="36"/>
        <v/>
      </c>
      <c r="AC235" s="335" t="str">
        <f t="shared" si="37"/>
        <v/>
      </c>
      <c r="AD235" s="311">
        <f t="shared" si="31"/>
        <v>0</v>
      </c>
      <c r="AE235" s="344" t="str">
        <f t="shared" si="38"/>
        <v/>
      </c>
      <c r="AF235" s="344" t="str">
        <f t="shared" si="39"/>
        <v/>
      </c>
      <c r="AG235" s="561" t="str">
        <f t="shared" si="32"/>
        <v/>
      </c>
      <c r="AH235" s="561" t="str">
        <f t="shared" si="33"/>
        <v/>
      </c>
      <c r="AI235" s="313"/>
    </row>
    <row r="236" spans="1:35" outlineLevel="1" x14ac:dyDescent="0.2">
      <c r="A236" s="130">
        <v>2</v>
      </c>
      <c r="B236" s="131">
        <v>402000</v>
      </c>
      <c r="C236" s="131" t="s">
        <v>759</v>
      </c>
      <c r="D236" s="300">
        <f>Table22[[#This Row],[Level used for acute calculation]]</f>
        <v>4</v>
      </c>
      <c r="E236" s="302">
        <f>Table22[[#This Row],[MRL individual commodity]]</f>
        <v>0</v>
      </c>
      <c r="F236" s="451">
        <f>Table22[[#This Row],[Acute RA input value]]</f>
        <v>0</v>
      </c>
      <c r="G236" s="301">
        <f>Table22[[#This Row],[Acute RA label]]</f>
        <v>0</v>
      </c>
      <c r="H236" s="303">
        <f>Table22[[#This Row],[Acute RA IESTI new input value]]</f>
        <v>0</v>
      </c>
      <c r="I236" s="301">
        <f>Table22[[#This Row],[Acute RA IESTI new label]]</f>
        <v>0</v>
      </c>
      <c r="J236" s="504"/>
      <c r="K236" s="544">
        <f>Table22[[#This Row],[GAP under assessment]]</f>
        <v>0</v>
      </c>
      <c r="L236" s="304" t="str">
        <f>IF(input_values!$M236=0,"",input_values!$M236)</f>
        <v/>
      </c>
      <c r="M236" s="301" t="str">
        <f>IF(input_values!H236=0,"",input_values!H236)</f>
        <v/>
      </c>
      <c r="N236" s="304">
        <f>input_values!$K236</f>
        <v>0</v>
      </c>
      <c r="O236" s="309"/>
      <c r="P236" s="38"/>
      <c r="Q236" s="38"/>
      <c r="R236" s="335"/>
      <c r="S236" s="336" t="str">
        <f t="shared" si="34"/>
        <v/>
      </c>
      <c r="T236" s="315"/>
      <c r="U236" s="321"/>
      <c r="V236" s="315"/>
      <c r="W236" s="321"/>
      <c r="X236" s="611" t="str">
        <f>IF(V236="ND","ND",IF(S236="","",IF(OR(MID(C236,1,4)="milk",AND(MID(B236,1,2)="50",NOT(input_values!M236="Y")),AND(MID(B236,1,2)="40",NOT(input_values!M236="Y")),AND(MID(B236,1,2)="30",NOT(input_values!M236="Y"))),3,IF(OR(V236="&lt;25",B236&gt;1000000),1,IF((T236&gt;=S236),"2b","2a")))))</f>
        <v/>
      </c>
      <c r="Y236" s="38" t="str">
        <f>IF(X236="ND","ND",IF(S236="","",IF(input_values!K236&gt;0,input_values!K236,IF(OR(X236=1,X236=3),1,IF((V236&gt;250),5,7)))))</f>
        <v/>
      </c>
      <c r="Z236" s="335" t="str">
        <f t="shared" si="35"/>
        <v/>
      </c>
      <c r="AA236" s="311">
        <f t="shared" si="30"/>
        <v>0</v>
      </c>
      <c r="AB236" s="38" t="str">
        <f t="shared" si="36"/>
        <v/>
      </c>
      <c r="AC236" s="335" t="str">
        <f t="shared" si="37"/>
        <v/>
      </c>
      <c r="AD236" s="311">
        <f t="shared" si="31"/>
        <v>0</v>
      </c>
      <c r="AE236" s="344" t="str">
        <f t="shared" si="38"/>
        <v/>
      </c>
      <c r="AF236" s="344" t="str">
        <f t="shared" si="39"/>
        <v/>
      </c>
      <c r="AG236" s="561" t="str">
        <f t="shared" si="32"/>
        <v/>
      </c>
      <c r="AH236" s="561" t="str">
        <f t="shared" si="33"/>
        <v/>
      </c>
      <c r="AI236" s="313"/>
    </row>
    <row r="237" spans="1:35" outlineLevel="2" x14ac:dyDescent="0.2">
      <c r="A237" s="39">
        <v>4</v>
      </c>
      <c r="B237" s="23">
        <v>402010</v>
      </c>
      <c r="C237" s="23" t="s">
        <v>155</v>
      </c>
      <c r="D237" s="300">
        <f>Table22[[#This Row],[Level used for acute calculation]]</f>
        <v>4</v>
      </c>
      <c r="E237" s="302">
        <f>Table22[[#This Row],[MRL individual commodity]]</f>
        <v>0</v>
      </c>
      <c r="F237" s="451">
        <f>Table22[[#This Row],[Acute RA input value]]</f>
        <v>0</v>
      </c>
      <c r="G237" s="301" t="str">
        <f>Table22[[#This Row],[Acute RA label]]</f>
        <v/>
      </c>
      <c r="H237" s="303">
        <f>Table22[[#This Row],[Acute RA IESTI new input value]]</f>
        <v>0</v>
      </c>
      <c r="I237" s="301" t="str">
        <f>Table22[[#This Row],[Acute RA IESTI new label]]</f>
        <v/>
      </c>
      <c r="J237" s="504"/>
      <c r="K237" s="544">
        <f>Table22[[#This Row],[GAP under assessment]]</f>
        <v>0</v>
      </c>
      <c r="L237" s="304" t="str">
        <f>IF(input_values!$M237=0,"",input_values!$M237)</f>
        <v/>
      </c>
      <c r="M237" s="301" t="str">
        <f>IF(input_values!H237=0,"",input_values!H237)</f>
        <v/>
      </c>
      <c r="N237" s="304">
        <f>input_values!$K237</f>
        <v>0</v>
      </c>
      <c r="O237" s="326">
        <v>1.2804</v>
      </c>
      <c r="P237" s="22">
        <v>97.5</v>
      </c>
      <c r="Q237" s="22" t="s">
        <v>1</v>
      </c>
      <c r="R237" s="326">
        <v>34.479999999999997</v>
      </c>
      <c r="S237" s="328">
        <f t="shared" si="34"/>
        <v>44.148191999999995</v>
      </c>
      <c r="T237" s="338" t="s">
        <v>617</v>
      </c>
      <c r="U237" s="129" t="s">
        <v>215</v>
      </c>
      <c r="V237" s="338" t="s">
        <v>617</v>
      </c>
      <c r="W237" s="129" t="s">
        <v>215</v>
      </c>
      <c r="X237" s="1127">
        <f>IF(V237="ND","ND",IF(S237="","",IF(OR(MID(C237,1,4)="milk",AND(MID(B237,1,2)="50",NOT(input_values!M237="Y")),AND(MID(B237,1,2)="40",NOT(input_values!M237="Y")),AND(MID(B237,1,2)="30",NOT(input_values!M237="Y"))),3,IF(OR(V237="&lt;25",B237&gt;1000000),1,IF((T237&gt;=S237),"2b","2a")))))</f>
        <v>3</v>
      </c>
      <c r="Y237" s="22">
        <f>IF(X237="ND","ND",IF(S237="","",IF(input_values!K237&gt;0,input_values!K237,IF(OR(X237=1,X237=3),1,IF((V237&gt;250),5,7)))))</f>
        <v>1</v>
      </c>
      <c r="Z237" s="330" t="str">
        <f t="shared" si="35"/>
        <v/>
      </c>
      <c r="AA237" s="331">
        <f t="shared" si="30"/>
        <v>0</v>
      </c>
      <c r="AB237" s="27">
        <f t="shared" si="36"/>
        <v>1</v>
      </c>
      <c r="AC237" s="330" t="str">
        <f t="shared" si="37"/>
        <v/>
      </c>
      <c r="AD237" s="332">
        <f t="shared" si="31"/>
        <v>0</v>
      </c>
      <c r="AE237" s="333" t="str">
        <f t="shared" si="38"/>
        <v/>
      </c>
      <c r="AF237" s="333" t="str">
        <f t="shared" si="39"/>
        <v/>
      </c>
      <c r="AG237" s="561" t="str">
        <f t="shared" si="32"/>
        <v/>
      </c>
      <c r="AH237" s="561" t="str">
        <f t="shared" si="33"/>
        <v/>
      </c>
      <c r="AI237" s="334"/>
    </row>
    <row r="238" spans="1:35" outlineLevel="2" x14ac:dyDescent="0.2">
      <c r="A238" s="39">
        <v>4</v>
      </c>
      <c r="B238" s="23">
        <v>402020</v>
      </c>
      <c r="C238" s="23" t="s">
        <v>760</v>
      </c>
      <c r="D238" s="300">
        <f>Table22[[#This Row],[Level used for acute calculation]]</f>
        <v>4</v>
      </c>
      <c r="E238" s="302">
        <f>Table22[[#This Row],[MRL individual commodity]]</f>
        <v>0</v>
      </c>
      <c r="F238" s="451">
        <f>Table22[[#This Row],[Acute RA input value]]</f>
        <v>0</v>
      </c>
      <c r="G238" s="301" t="str">
        <f>Table22[[#This Row],[Acute RA label]]</f>
        <v/>
      </c>
      <c r="H238" s="303">
        <f>Table22[[#This Row],[Acute RA IESTI new input value]]</f>
        <v>0</v>
      </c>
      <c r="I238" s="301" t="str">
        <f>Table22[[#This Row],[Acute RA IESTI new label]]</f>
        <v/>
      </c>
      <c r="J238" s="504"/>
      <c r="K238" s="544">
        <f>Table22[[#This Row],[GAP under assessment]]</f>
        <v>0</v>
      </c>
      <c r="L238" s="304" t="str">
        <f>IF(input_values!$M238=0,"",input_values!$M238)</f>
        <v/>
      </c>
      <c r="M238" s="301" t="str">
        <f>IF(input_values!H238=0,"",input_values!H238)</f>
        <v/>
      </c>
      <c r="N238" s="304">
        <f>input_values!$K238</f>
        <v>0</v>
      </c>
      <c r="O238" s="339">
        <v>1.68</v>
      </c>
      <c r="P238" s="22">
        <v>90</v>
      </c>
      <c r="Q238" s="22" t="s">
        <v>256</v>
      </c>
      <c r="R238" s="326">
        <v>16.149999999999999</v>
      </c>
      <c r="S238" s="328">
        <f t="shared" si="34"/>
        <v>27.131999999999998</v>
      </c>
      <c r="T238" s="338" t="s">
        <v>617</v>
      </c>
      <c r="U238" s="329" t="s">
        <v>650</v>
      </c>
      <c r="V238" s="338" t="s">
        <v>617</v>
      </c>
      <c r="W238" s="329" t="s">
        <v>651</v>
      </c>
      <c r="X238" s="1127">
        <f>IF(V238="ND","ND",IF(S238="","",IF(OR(MID(C238,1,4)="milk",AND(MID(B238,1,2)="50",NOT(input_values!M238="Y")),AND(MID(B238,1,2)="40",NOT(input_values!M238="Y")),AND(MID(B238,1,2)="30",NOT(input_values!M238="Y"))),3,IF(OR(V238="&lt;25",B238&gt;1000000),1,IF((T238&gt;=S238),"2b","2a")))))</f>
        <v>3</v>
      </c>
      <c r="Y238" s="22">
        <f>IF(X238="ND","ND",IF(S238="","",IF(input_values!K238&gt;0,input_values!K238,IF(OR(X238=1,X238=3),1,IF((V238&gt;250),5,7)))))</f>
        <v>1</v>
      </c>
      <c r="Z238" s="345" t="str">
        <f t="shared" si="35"/>
        <v/>
      </c>
      <c r="AA238" s="332">
        <f t="shared" si="30"/>
        <v>0</v>
      </c>
      <c r="AB238" s="27">
        <f t="shared" si="36"/>
        <v>1</v>
      </c>
      <c r="AC238" s="345" t="str">
        <f t="shared" si="37"/>
        <v/>
      </c>
      <c r="AD238" s="332">
        <f t="shared" si="31"/>
        <v>0</v>
      </c>
      <c r="AE238" s="40" t="str">
        <f t="shared" si="38"/>
        <v/>
      </c>
      <c r="AF238" s="40" t="str">
        <f t="shared" si="39"/>
        <v/>
      </c>
      <c r="AG238" s="561" t="str">
        <f t="shared" si="32"/>
        <v/>
      </c>
      <c r="AH238" s="561" t="str">
        <f t="shared" si="33"/>
        <v/>
      </c>
      <c r="AI238" s="313"/>
    </row>
    <row r="239" spans="1:35" outlineLevel="2" x14ac:dyDescent="0.2">
      <c r="A239" s="39">
        <v>4</v>
      </c>
      <c r="B239" s="23">
        <v>402030</v>
      </c>
      <c r="C239" s="23" t="s">
        <v>761</v>
      </c>
      <c r="D239" s="300">
        <f>Table22[[#This Row],[Level used for acute calculation]]</f>
        <v>4</v>
      </c>
      <c r="E239" s="302">
        <f>Table22[[#This Row],[MRL individual commodity]]</f>
        <v>0</v>
      </c>
      <c r="F239" s="451">
        <f>Table22[[#This Row],[Acute RA input value]]</f>
        <v>0</v>
      </c>
      <c r="G239" s="301" t="str">
        <f>Table22[[#This Row],[Acute RA label]]</f>
        <v/>
      </c>
      <c r="H239" s="303">
        <f>Table22[[#This Row],[Acute RA IESTI new input value]]</f>
        <v>0</v>
      </c>
      <c r="I239" s="301" t="str">
        <f>Table22[[#This Row],[Acute RA IESTI new label]]</f>
        <v/>
      </c>
      <c r="J239" s="504"/>
      <c r="K239" s="544">
        <f>Table22[[#This Row],[GAP under assessment]]</f>
        <v>0</v>
      </c>
      <c r="L239" s="304" t="str">
        <f>IF(input_values!$M239=0,"",input_values!$M239)</f>
        <v/>
      </c>
      <c r="M239" s="301" t="str">
        <f>IF(input_values!H239=0,"",input_values!H239)</f>
        <v/>
      </c>
      <c r="N239" s="304">
        <f>input_values!$K239</f>
        <v>0</v>
      </c>
      <c r="O239" s="338" t="s">
        <v>618</v>
      </c>
      <c r="P239" s="22"/>
      <c r="Q239" s="22"/>
      <c r="R239" s="330"/>
      <c r="S239" s="31" t="str">
        <f t="shared" si="34"/>
        <v>ND</v>
      </c>
      <c r="T239" s="338" t="s">
        <v>618</v>
      </c>
      <c r="U239" s="329"/>
      <c r="V239" s="338" t="s">
        <v>618</v>
      </c>
      <c r="W239" s="329"/>
      <c r="X239" s="1171" t="str">
        <f>IF(V239="ND","ND",IF(S239="","",IF(OR(MID(C239,1,4)="milk",AND(MID(B239,1,2)="50",NOT(input_values!M239="Y")),AND(MID(B239,1,2)="40",NOT(input_values!M239="Y")),AND(MID(B239,1,2)="30",NOT(input_values!M239="Y"))),3,IF(OR(V239="&lt;25",B239&gt;1000000),1,IF((T239&gt;=S239),"2b","2a")))))</f>
        <v>ND</v>
      </c>
      <c r="Y239" s="1172" t="str">
        <f>IF(X239="ND","ND",IF(S239="","",IF(input_values!K239&gt;0,input_values!K239,IF(OR(X239=1,X239=3),1,IF((V239&gt;250),5,7)))))</f>
        <v>ND</v>
      </c>
      <c r="Z239" s="340" t="str">
        <f t="shared" si="35"/>
        <v/>
      </c>
      <c r="AA239" s="332">
        <f t="shared" si="30"/>
        <v>0</v>
      </c>
      <c r="AB239" s="27" t="str">
        <f t="shared" si="36"/>
        <v>ND</v>
      </c>
      <c r="AC239" s="340" t="str">
        <f t="shared" si="37"/>
        <v/>
      </c>
      <c r="AD239" s="332">
        <f t="shared" si="31"/>
        <v>0</v>
      </c>
      <c r="AE239" s="37" t="str">
        <f t="shared" si="38"/>
        <v/>
      </c>
      <c r="AF239" s="37" t="str">
        <f t="shared" si="39"/>
        <v/>
      </c>
      <c r="AG239" s="561" t="str">
        <f t="shared" si="32"/>
        <v/>
      </c>
      <c r="AH239" s="561" t="str">
        <f t="shared" si="33"/>
        <v/>
      </c>
      <c r="AI239" s="334"/>
    </row>
    <row r="240" spans="1:35" outlineLevel="2" x14ac:dyDescent="0.2">
      <c r="A240" s="39">
        <v>4</v>
      </c>
      <c r="B240" s="23">
        <v>402040</v>
      </c>
      <c r="C240" s="23" t="s">
        <v>156</v>
      </c>
      <c r="D240" s="300">
        <f>Table22[[#This Row],[Level used for acute calculation]]</f>
        <v>4</v>
      </c>
      <c r="E240" s="302">
        <f>Table22[[#This Row],[MRL individual commodity]]</f>
        <v>0</v>
      </c>
      <c r="F240" s="451">
        <f>Table22[[#This Row],[Acute RA input value]]</f>
        <v>0</v>
      </c>
      <c r="G240" s="301" t="str">
        <f>Table22[[#This Row],[Acute RA label]]</f>
        <v/>
      </c>
      <c r="H240" s="303">
        <f>Table22[[#This Row],[Acute RA IESTI new input value]]</f>
        <v>0</v>
      </c>
      <c r="I240" s="301" t="str">
        <f>Table22[[#This Row],[Acute RA IESTI new label]]</f>
        <v/>
      </c>
      <c r="J240" s="504"/>
      <c r="K240" s="544">
        <f>Table22[[#This Row],[GAP under assessment]]</f>
        <v>0</v>
      </c>
      <c r="L240" s="304" t="str">
        <f>IF(input_values!$M240=0,"",input_values!$M240)</f>
        <v/>
      </c>
      <c r="M240" s="301" t="str">
        <f>IF(input_values!H240=0,"",input_values!H240)</f>
        <v/>
      </c>
      <c r="N240" s="304">
        <f>input_values!$K240</f>
        <v>0</v>
      </c>
      <c r="O240" s="338" t="s">
        <v>618</v>
      </c>
      <c r="P240" s="22"/>
      <c r="Q240" s="22"/>
      <c r="R240" s="330"/>
      <c r="S240" s="31" t="str">
        <f t="shared" si="34"/>
        <v>ND</v>
      </c>
      <c r="T240" s="338" t="s">
        <v>618</v>
      </c>
      <c r="U240" s="329"/>
      <c r="V240" s="338" t="s">
        <v>618</v>
      </c>
      <c r="W240" s="329"/>
      <c r="X240" s="1466" t="str">
        <f>IF(V240="ND","ND",IF(S240="","",IF(OR(MID(C240,1,4)="milk",AND(MID(B240,1,2)="50",NOT(input_values!M240="Y")),AND(MID(B240,1,2)="40",NOT(input_values!M240="Y")),AND(MID(B240,1,2)="30",NOT(input_values!M240="Y"))),3,IF(OR(V240="&lt;25",B240&gt;1000000),1,IF((T240&gt;=S240),"2b","2a")))))</f>
        <v>ND</v>
      </c>
      <c r="Y240" s="22" t="str">
        <f>IF(X240="ND","ND",IF(S240="","",IF(input_values!K240&gt;0,input_values!K240,IF(OR(X240=1,X240=3),1,IF((V240&gt;250),5,7)))))</f>
        <v>ND</v>
      </c>
      <c r="Z240" s="340" t="str">
        <f t="shared" si="35"/>
        <v/>
      </c>
      <c r="AA240" s="332">
        <f t="shared" si="30"/>
        <v>0</v>
      </c>
      <c r="AB240" s="27" t="str">
        <f t="shared" si="36"/>
        <v>ND</v>
      </c>
      <c r="AC240" s="340" t="str">
        <f t="shared" si="37"/>
        <v/>
      </c>
      <c r="AD240" s="332">
        <f t="shared" si="31"/>
        <v>0</v>
      </c>
      <c r="AE240" s="37" t="str">
        <f t="shared" si="38"/>
        <v/>
      </c>
      <c r="AF240" s="37" t="str">
        <f t="shared" si="39"/>
        <v/>
      </c>
      <c r="AG240" s="561" t="str">
        <f t="shared" si="32"/>
        <v/>
      </c>
      <c r="AH240" s="561" t="str">
        <f t="shared" si="33"/>
        <v/>
      </c>
      <c r="AI240" s="313"/>
    </row>
    <row r="241" spans="1:35" outlineLevel="2" x14ac:dyDescent="0.2">
      <c r="A241" s="39">
        <v>4</v>
      </c>
      <c r="B241" s="23">
        <v>402990</v>
      </c>
      <c r="C241" s="23" t="s">
        <v>179</v>
      </c>
      <c r="D241" s="300">
        <f>Table22[[#This Row],[Level used for acute calculation]]</f>
        <v>0</v>
      </c>
      <c r="E241" s="302">
        <f>Table22[[#This Row],[MRL individual commodity]]</f>
        <v>0</v>
      </c>
      <c r="F241" s="451">
        <f>Table22[[#This Row],[Acute RA input value]]</f>
        <v>0</v>
      </c>
      <c r="G241" s="301">
        <f>Table22[[#This Row],[Acute RA label]]</f>
        <v>0</v>
      </c>
      <c r="H241" s="303">
        <f>Table22[[#This Row],[Acute RA IESTI new input value]]</f>
        <v>0</v>
      </c>
      <c r="I241" s="301">
        <f>Table22[[#This Row],[Acute RA IESTI new label]]</f>
        <v>0</v>
      </c>
      <c r="J241" s="504"/>
      <c r="K241" s="544">
        <f>Table22[[#This Row],[GAP under assessment]]</f>
        <v>0</v>
      </c>
      <c r="L241" s="304" t="str">
        <f>IF(input_values!$M241=0,"",input_values!$M241)</f>
        <v/>
      </c>
      <c r="M241" s="301" t="str">
        <f>IF(input_values!H241=0,"",input_values!H241)</f>
        <v/>
      </c>
      <c r="N241" s="304">
        <f>input_values!$K241</f>
        <v>0</v>
      </c>
      <c r="O241" s="309"/>
      <c r="P241" s="38"/>
      <c r="Q241" s="38"/>
      <c r="R241" s="335"/>
      <c r="S241" s="336" t="str">
        <f t="shared" si="34"/>
        <v/>
      </c>
      <c r="T241" s="305"/>
      <c r="U241" s="570"/>
      <c r="V241" s="305"/>
      <c r="W241" s="570"/>
      <c r="X241" s="611" t="str">
        <f>IF(V241="ND","ND",IF(S241="","",IF(OR(MID(C241,1,4)="milk",AND(MID(B241,1,2)="50",NOT(input_values!M241="Y")),AND(MID(B241,1,2)="40",NOT(input_values!M241="Y")),AND(MID(B241,1,2)="30",NOT(input_values!M241="Y"))),3,IF(OR(V241="&lt;25",B241&gt;1000000),1,IF((T241&gt;=S241),"2b","2a")))))</f>
        <v/>
      </c>
      <c r="Y241" s="38" t="str">
        <f>IF(X241="ND","ND",IF(S241="","",IF(input_values!K241&gt;0,input_values!K241,IF(OR(X241=1,X241=3),1,IF((V241&gt;250),5,7)))))</f>
        <v/>
      </c>
      <c r="Z241" s="335" t="str">
        <f t="shared" si="35"/>
        <v/>
      </c>
      <c r="AA241" s="311">
        <f t="shared" si="30"/>
        <v>0</v>
      </c>
      <c r="AB241" s="38" t="str">
        <f t="shared" si="36"/>
        <v/>
      </c>
      <c r="AC241" s="335" t="str">
        <f t="shared" si="37"/>
        <v/>
      </c>
      <c r="AD241" s="311">
        <f t="shared" si="31"/>
        <v>0</v>
      </c>
      <c r="AE241" s="344" t="str">
        <f t="shared" si="38"/>
        <v/>
      </c>
      <c r="AF241" s="344" t="str">
        <f t="shared" si="39"/>
        <v/>
      </c>
      <c r="AG241" s="561" t="str">
        <f t="shared" si="32"/>
        <v/>
      </c>
      <c r="AH241" s="561" t="str">
        <f t="shared" si="33"/>
        <v/>
      </c>
      <c r="AI241" s="313"/>
    </row>
    <row r="242" spans="1:35" x14ac:dyDescent="0.2">
      <c r="A242" s="126">
        <v>1</v>
      </c>
      <c r="B242" s="127">
        <v>500000</v>
      </c>
      <c r="C242" s="127" t="s">
        <v>142</v>
      </c>
      <c r="D242" s="300">
        <f>Table22[[#This Row],[Level used for acute calculation]]</f>
        <v>4</v>
      </c>
      <c r="E242" s="302">
        <f>Table22[[#This Row],[MRL individual commodity]]</f>
        <v>0</v>
      </c>
      <c r="F242" s="451">
        <f>Table22[[#This Row],[Acute RA input value]]</f>
        <v>0</v>
      </c>
      <c r="G242" s="301">
        <f>Table22[[#This Row],[Acute RA label]]</f>
        <v>0</v>
      </c>
      <c r="H242" s="303">
        <f>Table22[[#This Row],[Acute RA IESTI new input value]]</f>
        <v>0</v>
      </c>
      <c r="I242" s="301">
        <f>Table22[[#This Row],[Acute RA IESTI new label]]</f>
        <v>0</v>
      </c>
      <c r="J242" s="504"/>
      <c r="K242" s="544">
        <f>Table22[[#This Row],[GAP under assessment]]</f>
        <v>0</v>
      </c>
      <c r="L242" s="304" t="str">
        <f>IF(input_values!$M242=0,"",input_values!$M242)</f>
        <v/>
      </c>
      <c r="M242" s="301" t="str">
        <f>IF(input_values!H242=0,"",input_values!H242)</f>
        <v/>
      </c>
      <c r="N242" s="304">
        <f>input_values!$K242</f>
        <v>0</v>
      </c>
      <c r="O242" s="309"/>
      <c r="P242" s="38"/>
      <c r="Q242" s="38"/>
      <c r="R242" s="335"/>
      <c r="S242" s="336" t="str">
        <f t="shared" si="34"/>
        <v/>
      </c>
      <c r="T242" s="305"/>
      <c r="U242" s="570"/>
      <c r="V242" s="305"/>
      <c r="W242" s="570"/>
      <c r="X242" s="611" t="str">
        <f>IF(V242="ND","ND",IF(S242="","",IF(OR(MID(C242,1,4)="milk",AND(MID(B242,1,2)="50",NOT(input_values!M242="Y")),AND(MID(B242,1,2)="40",NOT(input_values!M242="Y")),AND(MID(B242,1,2)="30",NOT(input_values!M242="Y"))),3,IF(OR(V242="&lt;25",B242&gt;1000000),1,IF((T242&gt;=S242),"2b","2a")))))</f>
        <v/>
      </c>
      <c r="Y242" s="38" t="str">
        <f>IF(X242="ND","ND",IF(S242="","",IF(input_values!K242&gt;0,input_values!K242,IF(OR(X242=1,X242=3),1,IF((V242&gt;250),5,7)))))</f>
        <v/>
      </c>
      <c r="Z242" s="335" t="str">
        <f t="shared" si="35"/>
        <v/>
      </c>
      <c r="AA242" s="311">
        <f t="shared" si="30"/>
        <v>0</v>
      </c>
      <c r="AB242" s="38" t="str">
        <f t="shared" si="36"/>
        <v/>
      </c>
      <c r="AC242" s="335" t="str">
        <f t="shared" si="37"/>
        <v/>
      </c>
      <c r="AD242" s="311">
        <f t="shared" si="31"/>
        <v>0</v>
      </c>
      <c r="AE242" s="344" t="str">
        <f t="shared" si="38"/>
        <v/>
      </c>
      <c r="AF242" s="344" t="str">
        <f t="shared" si="39"/>
        <v/>
      </c>
      <c r="AG242" s="561" t="str">
        <f t="shared" si="32"/>
        <v/>
      </c>
      <c r="AH242" s="561" t="str">
        <f t="shared" si="33"/>
        <v/>
      </c>
      <c r="AI242" s="313"/>
    </row>
    <row r="243" spans="1:35" outlineLevel="2" x14ac:dyDescent="0.2">
      <c r="A243" s="39">
        <v>4</v>
      </c>
      <c r="B243" s="23">
        <v>500010</v>
      </c>
      <c r="C243" s="23" t="s">
        <v>157</v>
      </c>
      <c r="D243" s="300">
        <f>Table22[[#This Row],[Level used for acute calculation]]</f>
        <v>4</v>
      </c>
      <c r="E243" s="302">
        <f>Table22[[#This Row],[MRL individual commodity]]</f>
        <v>0</v>
      </c>
      <c r="F243" s="451">
        <f>Table22[[#This Row],[Acute RA input value]]</f>
        <v>0</v>
      </c>
      <c r="G243" s="301" t="str">
        <f>Table22[[#This Row],[Acute RA label]]</f>
        <v/>
      </c>
      <c r="H243" s="303">
        <f>Table22[[#This Row],[Acute RA IESTI new input value]]</f>
        <v>0</v>
      </c>
      <c r="I243" s="301" t="str">
        <f>Table22[[#This Row],[Acute RA IESTI new label]]</f>
        <v/>
      </c>
      <c r="J243" s="504"/>
      <c r="K243" s="544">
        <f>Table22[[#This Row],[GAP under assessment]]</f>
        <v>0</v>
      </c>
      <c r="L243" s="304" t="str">
        <f>IF(input_values!$M243=0,"",input_values!$M243)</f>
        <v/>
      </c>
      <c r="M243" s="301" t="str">
        <f>IF(input_values!H243=0,"",input_values!H243)</f>
        <v/>
      </c>
      <c r="N243" s="304">
        <f>input_values!$K243</f>
        <v>0</v>
      </c>
      <c r="O243" s="326">
        <v>5.6116504854368934</v>
      </c>
      <c r="P243" s="22">
        <v>97.5</v>
      </c>
      <c r="Q243" s="22" t="s">
        <v>94</v>
      </c>
      <c r="R243" s="326">
        <v>30.9</v>
      </c>
      <c r="S243" s="328">
        <f t="shared" si="34"/>
        <v>173.4</v>
      </c>
      <c r="T243" s="338" t="s">
        <v>617</v>
      </c>
      <c r="U243" s="129" t="s">
        <v>215</v>
      </c>
      <c r="V243" s="338" t="s">
        <v>617</v>
      </c>
      <c r="W243" s="129" t="s">
        <v>215</v>
      </c>
      <c r="X243" s="1127">
        <f>IF(V243="ND","ND",IF(S243="","",IF(OR(MID(C243,1,4)="milk",AND(MID(B243,1,2)="50",NOT(input_values!M243="Y")),AND(MID(B243,1,2)="40",NOT(input_values!M243="Y")),AND(MID(B243,1,2)="30",NOT(input_values!M243="Y"))),3,IF(OR(V243="&lt;25",B243&gt;1000000),1,IF((T243&gt;=S243),"2b","2a")))))</f>
        <v>3</v>
      </c>
      <c r="Y243" s="22">
        <f>IF(X243="ND","ND",IF(S243="","",IF(input_values!K243&gt;0,input_values!K243,IF(OR(X243=1,X243=3),1,IF((V243&gt;250),5,7)))))</f>
        <v>1</v>
      </c>
      <c r="Z243" s="330" t="str">
        <f t="shared" si="35"/>
        <v/>
      </c>
      <c r="AA243" s="331">
        <f t="shared" si="30"/>
        <v>0</v>
      </c>
      <c r="AB243" s="27">
        <f t="shared" si="36"/>
        <v>1</v>
      </c>
      <c r="AC243" s="330" t="str">
        <f t="shared" si="37"/>
        <v/>
      </c>
      <c r="AD243" s="332">
        <f t="shared" si="31"/>
        <v>0</v>
      </c>
      <c r="AE243" s="333" t="str">
        <f t="shared" si="38"/>
        <v/>
      </c>
      <c r="AF243" s="333" t="str">
        <f t="shared" si="39"/>
        <v/>
      </c>
      <c r="AG243" s="561" t="str">
        <f t="shared" si="32"/>
        <v/>
      </c>
      <c r="AH243" s="561" t="str">
        <f t="shared" si="33"/>
        <v/>
      </c>
      <c r="AI243" s="334"/>
    </row>
    <row r="244" spans="1:35" ht="12" customHeight="1" outlineLevel="2" x14ac:dyDescent="0.2">
      <c r="A244" s="39">
        <v>4</v>
      </c>
      <c r="B244" s="23">
        <v>500020</v>
      </c>
      <c r="C244" s="23" t="s">
        <v>762</v>
      </c>
      <c r="D244" s="300">
        <f>Table22[[#This Row],[Level used for acute calculation]]</f>
        <v>4</v>
      </c>
      <c r="E244" s="302">
        <f>Table22[[#This Row],[MRL individual commodity]]</f>
        <v>0</v>
      </c>
      <c r="F244" s="451">
        <f>Table22[[#This Row],[Acute RA input value]]</f>
        <v>0</v>
      </c>
      <c r="G244" s="301" t="str">
        <f>Table22[[#This Row],[Acute RA label]]</f>
        <v/>
      </c>
      <c r="H244" s="303">
        <f>Table22[[#This Row],[Acute RA IESTI new input value]]</f>
        <v>0</v>
      </c>
      <c r="I244" s="301" t="str">
        <f>Table22[[#This Row],[Acute RA IESTI new label]]</f>
        <v/>
      </c>
      <c r="J244" s="504"/>
      <c r="K244" s="544">
        <f>Table22[[#This Row],[GAP under assessment]]</f>
        <v>0</v>
      </c>
      <c r="L244" s="304" t="str">
        <f>IF(input_values!$M244=0,"",input_values!$M244)</f>
        <v/>
      </c>
      <c r="M244" s="301" t="str">
        <f>IF(input_values!H244=0,"",input_values!H244)</f>
        <v/>
      </c>
      <c r="N244" s="304">
        <f>input_values!$K244</f>
        <v>0</v>
      </c>
      <c r="O244" s="603">
        <v>4.9793998896999998</v>
      </c>
      <c r="P244" s="27">
        <v>97.5</v>
      </c>
      <c r="Q244" s="27" t="s">
        <v>955</v>
      </c>
      <c r="R244" s="603">
        <v>15.2</v>
      </c>
      <c r="S244" s="328">
        <f>IF(O244="ND","ND",IF(O244="","",O244*R244))</f>
        <v>75.686878323439998</v>
      </c>
      <c r="T244" s="338" t="s">
        <v>617</v>
      </c>
      <c r="U244" s="129" t="s">
        <v>215</v>
      </c>
      <c r="V244" s="338" t="s">
        <v>617</v>
      </c>
      <c r="W244" s="129" t="s">
        <v>215</v>
      </c>
      <c r="X244" s="1127">
        <f>IF(V244="ND","ND",IF(S244="","",IF(OR(MID(C244,1,4)="milk",AND(MID(B244,1,2)="50",NOT(input_values!M244="Y")),AND(MID(B244,1,2)="40",NOT(input_values!M244="Y")),AND(MID(B244,1,2)="30",NOT(input_values!M244="Y"))),3,IF(OR(V244="&lt;25",B244&gt;1000000),1,IF((T244&gt;=S244),"2b","2a")))))</f>
        <v>3</v>
      </c>
      <c r="Y244" s="22">
        <f>IF(X244="ND","ND",IF(S244="","",IF(input_values!K244&gt;0,input_values!K244,IF(OR(X244=1,X244=3),1,IF((V244&gt;250),5,7)))))</f>
        <v>1</v>
      </c>
      <c r="Z244" s="330" t="str">
        <f t="shared" si="35"/>
        <v/>
      </c>
      <c r="AA244" s="331">
        <f t="shared" si="30"/>
        <v>0</v>
      </c>
      <c r="AB244" s="27">
        <f t="shared" si="36"/>
        <v>1</v>
      </c>
      <c r="AC244" s="330" t="str">
        <f t="shared" si="37"/>
        <v/>
      </c>
      <c r="AD244" s="332">
        <f t="shared" si="31"/>
        <v>0</v>
      </c>
      <c r="AE244" s="333" t="str">
        <f t="shared" si="38"/>
        <v/>
      </c>
      <c r="AF244" s="333" t="str">
        <f t="shared" si="39"/>
        <v/>
      </c>
      <c r="AG244" s="561" t="str">
        <f t="shared" si="32"/>
        <v/>
      </c>
      <c r="AH244" s="561" t="str">
        <f t="shared" si="33"/>
        <v/>
      </c>
      <c r="AI244" s="334"/>
    </row>
    <row r="245" spans="1:35" outlineLevel="2" x14ac:dyDescent="0.2">
      <c r="A245" s="39">
        <v>4</v>
      </c>
      <c r="B245" s="23">
        <v>500030</v>
      </c>
      <c r="C245" s="23" t="s">
        <v>763</v>
      </c>
      <c r="D245" s="300">
        <f>Table22[[#This Row],[Level used for acute calculation]]</f>
        <v>4</v>
      </c>
      <c r="E245" s="302">
        <f>Table22[[#This Row],[MRL individual commodity]]</f>
        <v>0</v>
      </c>
      <c r="F245" s="451">
        <f>Table22[[#This Row],[Acute RA input value]]</f>
        <v>0</v>
      </c>
      <c r="G245" s="301" t="str">
        <f>Table22[[#This Row],[Acute RA label]]</f>
        <v/>
      </c>
      <c r="H245" s="303">
        <f>Table22[[#This Row],[Acute RA IESTI new input value]]</f>
        <v>0</v>
      </c>
      <c r="I245" s="301" t="str">
        <f>Table22[[#This Row],[Acute RA IESTI new label]]</f>
        <v/>
      </c>
      <c r="J245" s="504"/>
      <c r="K245" s="544">
        <f>Table22[[#This Row],[GAP under assessment]]</f>
        <v>0</v>
      </c>
      <c r="L245" s="304" t="str">
        <f>IF(input_values!$M245=0,"",input_values!$M245)</f>
        <v/>
      </c>
      <c r="M245" s="301" t="str">
        <f>IF(input_values!H245=0,"",input_values!H245)</f>
        <v/>
      </c>
      <c r="N245" s="304">
        <f>input_values!$K245</f>
        <v>0</v>
      </c>
      <c r="O245" s="326">
        <v>6.7356321839080469</v>
      </c>
      <c r="P245" s="22">
        <v>97.5</v>
      </c>
      <c r="Q245" s="22" t="s">
        <v>89</v>
      </c>
      <c r="R245" s="326">
        <v>8.6999999999999993</v>
      </c>
      <c r="S245" s="328">
        <f t="shared" si="34"/>
        <v>58.6</v>
      </c>
      <c r="T245" s="338" t="s">
        <v>617</v>
      </c>
      <c r="U245" s="129" t="s">
        <v>215</v>
      </c>
      <c r="V245" s="338" t="s">
        <v>617</v>
      </c>
      <c r="W245" s="129" t="s">
        <v>215</v>
      </c>
      <c r="X245" s="1127">
        <f>IF(V245="ND","ND",IF(S245="","",IF(OR(MID(C245,1,4)="milk",AND(MID(B245,1,2)="50",NOT(input_values!M245="Y")),AND(MID(B245,1,2)="40",NOT(input_values!M245="Y")),AND(MID(B245,1,2)="30",NOT(input_values!M245="Y"))),3,IF(OR(V245="&lt;25",B245&gt;1000000),1,IF((T245&gt;=S245),"2b","2a")))))</f>
        <v>3</v>
      </c>
      <c r="Y245" s="22">
        <f>IF(X245="ND","ND",IF(S245="","",IF(input_values!K245&gt;0,input_values!K245,IF(OR(X245=1,X245=3),1,IF((V245&gt;250),5,7)))))</f>
        <v>1</v>
      </c>
      <c r="Z245" s="330" t="str">
        <f t="shared" si="35"/>
        <v/>
      </c>
      <c r="AA245" s="331">
        <f t="shared" si="30"/>
        <v>0</v>
      </c>
      <c r="AB245" s="27">
        <f t="shared" si="36"/>
        <v>1</v>
      </c>
      <c r="AC245" s="330" t="str">
        <f t="shared" si="37"/>
        <v/>
      </c>
      <c r="AD245" s="332">
        <f t="shared" si="31"/>
        <v>0</v>
      </c>
      <c r="AE245" s="333" t="str">
        <f t="shared" si="38"/>
        <v/>
      </c>
      <c r="AF245" s="333" t="str">
        <f t="shared" si="39"/>
        <v/>
      </c>
      <c r="AG245" s="561" t="str">
        <f t="shared" si="32"/>
        <v/>
      </c>
      <c r="AH245" s="561" t="str">
        <f t="shared" si="33"/>
        <v/>
      </c>
      <c r="AI245" s="334"/>
    </row>
    <row r="246" spans="1:35" outlineLevel="2" x14ac:dyDescent="0.2">
      <c r="A246" s="39">
        <v>4</v>
      </c>
      <c r="B246" s="23">
        <v>500040</v>
      </c>
      <c r="C246" s="23" t="s">
        <v>764</v>
      </c>
      <c r="D246" s="300">
        <f>Table22[[#This Row],[Level used for acute calculation]]</f>
        <v>4</v>
      </c>
      <c r="E246" s="302">
        <f>Table22[[#This Row],[MRL individual commodity]]</f>
        <v>0</v>
      </c>
      <c r="F246" s="451">
        <f>Table22[[#This Row],[Acute RA input value]]</f>
        <v>0</v>
      </c>
      <c r="G246" s="301" t="str">
        <f>Table22[[#This Row],[Acute RA label]]</f>
        <v/>
      </c>
      <c r="H246" s="303">
        <f>Table22[[#This Row],[Acute RA IESTI new input value]]</f>
        <v>0</v>
      </c>
      <c r="I246" s="301" t="str">
        <f>Table22[[#This Row],[Acute RA IESTI new label]]</f>
        <v/>
      </c>
      <c r="J246" s="504"/>
      <c r="K246" s="544">
        <f>Table22[[#This Row],[GAP under assessment]]</f>
        <v>0</v>
      </c>
      <c r="L246" s="304" t="str">
        <f>IF(input_values!$M246=0,"",input_values!$M246)</f>
        <v/>
      </c>
      <c r="M246" s="301" t="str">
        <f>IF(input_values!H246=0,"",input_values!H246)</f>
        <v/>
      </c>
      <c r="N246" s="304">
        <f>input_values!$K246</f>
        <v>0</v>
      </c>
      <c r="O246" s="603">
        <v>1.3856258901</v>
      </c>
      <c r="P246" s="27">
        <v>97.5</v>
      </c>
      <c r="Q246" s="27" t="s">
        <v>955</v>
      </c>
      <c r="R246" s="603">
        <v>15.2</v>
      </c>
      <c r="S246" s="328">
        <f t="shared" si="34"/>
        <v>21.061513529519999</v>
      </c>
      <c r="T246" s="338" t="s">
        <v>617</v>
      </c>
      <c r="U246" s="129" t="s">
        <v>215</v>
      </c>
      <c r="V246" s="338" t="s">
        <v>617</v>
      </c>
      <c r="W246" s="129" t="s">
        <v>215</v>
      </c>
      <c r="X246" s="1127">
        <f>IF(V246="ND","ND",IF(S246="","",IF(OR(MID(C246,1,4)="milk",AND(MID(B246,1,2)="50",NOT(input_values!M246="Y")),AND(MID(B246,1,2)="40",NOT(input_values!M246="Y")),AND(MID(B246,1,2)="30",NOT(input_values!M246="Y"))),3,IF(OR(V246="&lt;25",B246&gt;1000000),1,IF((T246&gt;=S246),"2b","2a")))))</f>
        <v>3</v>
      </c>
      <c r="Y246" s="22">
        <f>IF(X246="ND","ND",IF(S246="","",IF(input_values!K246&gt;0,input_values!K246,IF(OR(X246=1,X246=3),1,IF((V246&gt;250),5,7)))))</f>
        <v>1</v>
      </c>
      <c r="Z246" s="330" t="str">
        <f t="shared" si="35"/>
        <v/>
      </c>
      <c r="AA246" s="331">
        <f t="shared" si="30"/>
        <v>0</v>
      </c>
      <c r="AB246" s="27">
        <f t="shared" si="36"/>
        <v>1</v>
      </c>
      <c r="AC246" s="330" t="str">
        <f t="shared" si="37"/>
        <v/>
      </c>
      <c r="AD246" s="332">
        <f t="shared" si="31"/>
        <v>0</v>
      </c>
      <c r="AE246" s="333" t="str">
        <f t="shared" si="38"/>
        <v/>
      </c>
      <c r="AF246" s="333" t="str">
        <f t="shared" si="39"/>
        <v/>
      </c>
      <c r="AG246" s="561" t="str">
        <f t="shared" si="32"/>
        <v/>
      </c>
      <c r="AH246" s="561" t="str">
        <f t="shared" si="33"/>
        <v/>
      </c>
      <c r="AI246" s="334"/>
    </row>
    <row r="247" spans="1:35" outlineLevel="2" x14ac:dyDescent="0.2">
      <c r="A247" s="39">
        <v>4</v>
      </c>
      <c r="B247" s="23">
        <v>500050</v>
      </c>
      <c r="C247" s="23" t="s">
        <v>844</v>
      </c>
      <c r="D247" s="300">
        <f>Table22[[#This Row],[Level used for acute calculation]]</f>
        <v>4</v>
      </c>
      <c r="E247" s="302">
        <f>Table22[[#This Row],[MRL individual commodity]]</f>
        <v>0</v>
      </c>
      <c r="F247" s="451">
        <f>Table22[[#This Row],[Acute RA input value]]</f>
        <v>0</v>
      </c>
      <c r="G247" s="301" t="str">
        <f>Table22[[#This Row],[Acute RA label]]</f>
        <v/>
      </c>
      <c r="H247" s="303">
        <f>Table22[[#This Row],[Acute RA IESTI new input value]]</f>
        <v>0</v>
      </c>
      <c r="I247" s="301" t="str">
        <f>Table22[[#This Row],[Acute RA IESTI new label]]</f>
        <v/>
      </c>
      <c r="J247" s="504"/>
      <c r="K247" s="544">
        <f>Table22[[#This Row],[GAP under assessment]]</f>
        <v>0</v>
      </c>
      <c r="L247" s="304" t="str">
        <f>IF(input_values!$M247=0,"",input_values!$M247)</f>
        <v/>
      </c>
      <c r="M247" s="301" t="str">
        <f>IF(input_values!H247=0,"",input_values!H247)</f>
        <v/>
      </c>
      <c r="N247" s="304">
        <f>input_values!$K247</f>
        <v>0</v>
      </c>
      <c r="O247" s="326">
        <v>1.1100000000000001</v>
      </c>
      <c r="P247" s="22">
        <v>97.5</v>
      </c>
      <c r="Q247" s="22" t="s">
        <v>256</v>
      </c>
      <c r="R247" s="326">
        <v>16.149999999999999</v>
      </c>
      <c r="S247" s="328">
        <f t="shared" si="34"/>
        <v>17.926500000000001</v>
      </c>
      <c r="T247" s="338" t="s">
        <v>617</v>
      </c>
      <c r="U247" s="129" t="s">
        <v>215</v>
      </c>
      <c r="V247" s="338" t="s">
        <v>617</v>
      </c>
      <c r="W247" s="129" t="s">
        <v>215</v>
      </c>
      <c r="X247" s="1127">
        <f>IF(V247="ND","ND",IF(S247="","",IF(OR(MID(C247,1,4)="milk",AND(MID(B247,1,2)="50",NOT(input_values!M247="Y")),AND(MID(B247,1,2)="40",NOT(input_values!M247="Y")),AND(MID(B247,1,2)="30",NOT(input_values!M247="Y"))),3,IF(OR(V247="&lt;25",B247&gt;1000000),1,IF((T247&gt;=S247),"2b","2a")))))</f>
        <v>3</v>
      </c>
      <c r="Y247" s="22">
        <f>IF(X247="ND","ND",IF(S247="","",IF(input_values!K247&gt;0,input_values!K247,IF(OR(X247=1,X247=3),1,IF((V247&gt;250),5,7)))))</f>
        <v>1</v>
      </c>
      <c r="Z247" s="330" t="str">
        <f t="shared" si="35"/>
        <v/>
      </c>
      <c r="AA247" s="331">
        <f t="shared" si="30"/>
        <v>0</v>
      </c>
      <c r="AB247" s="27">
        <f t="shared" si="36"/>
        <v>1</v>
      </c>
      <c r="AC247" s="330" t="str">
        <f t="shared" si="37"/>
        <v/>
      </c>
      <c r="AD247" s="332">
        <f t="shared" si="31"/>
        <v>0</v>
      </c>
      <c r="AE247" s="333" t="str">
        <f t="shared" si="38"/>
        <v/>
      </c>
      <c r="AF247" s="333" t="str">
        <f t="shared" si="39"/>
        <v/>
      </c>
      <c r="AG247" s="561" t="str">
        <f t="shared" si="32"/>
        <v/>
      </c>
      <c r="AH247" s="561" t="str">
        <f t="shared" si="33"/>
        <v/>
      </c>
      <c r="AI247" s="334"/>
    </row>
    <row r="248" spans="1:35" outlineLevel="2" x14ac:dyDescent="0.2">
      <c r="A248" s="39">
        <v>4</v>
      </c>
      <c r="B248" s="23">
        <v>500060</v>
      </c>
      <c r="C248" s="23" t="s">
        <v>158</v>
      </c>
      <c r="D248" s="300">
        <f>Table22[[#This Row],[Level used for acute calculation]]</f>
        <v>4</v>
      </c>
      <c r="E248" s="302">
        <f>Table22[[#This Row],[MRL individual commodity]]</f>
        <v>0</v>
      </c>
      <c r="F248" s="451">
        <f>Table22[[#This Row],[Acute RA input value]]</f>
        <v>0</v>
      </c>
      <c r="G248" s="301" t="str">
        <f>Table22[[#This Row],[Acute RA label]]</f>
        <v/>
      </c>
      <c r="H248" s="303">
        <f>Table22[[#This Row],[Acute RA IESTI new input value]]</f>
        <v>0</v>
      </c>
      <c r="I248" s="301" t="str">
        <f>Table22[[#This Row],[Acute RA IESTI new label]]</f>
        <v/>
      </c>
      <c r="J248" s="504"/>
      <c r="K248" s="544">
        <f>Table22[[#This Row],[GAP under assessment]]</f>
        <v>0</v>
      </c>
      <c r="L248" s="304" t="str">
        <f>IF(input_values!$M248=0,"",input_values!$M248)</f>
        <v/>
      </c>
      <c r="M248" s="301" t="str">
        <f>IF(input_values!H248=0,"",input_values!H248)</f>
        <v/>
      </c>
      <c r="N248" s="304">
        <f>input_values!$K248</f>
        <v>0</v>
      </c>
      <c r="O248" s="326">
        <v>12.606896551724139</v>
      </c>
      <c r="P248" s="22">
        <v>97.5</v>
      </c>
      <c r="Q248" s="22" t="s">
        <v>91</v>
      </c>
      <c r="R248" s="326">
        <v>14.5</v>
      </c>
      <c r="S248" s="328">
        <f t="shared" si="34"/>
        <v>182.8</v>
      </c>
      <c r="T248" s="338" t="s">
        <v>617</v>
      </c>
      <c r="U248" s="129" t="s">
        <v>215</v>
      </c>
      <c r="V248" s="338" t="s">
        <v>617</v>
      </c>
      <c r="W248" s="129" t="s">
        <v>215</v>
      </c>
      <c r="X248" s="1127">
        <f>IF(V248="ND","ND",IF(S248="","",IF(OR(MID(C248,1,4)="milk",AND(MID(B248,1,2)="50",NOT(input_values!M248="Y")),AND(MID(B248,1,2)="40",NOT(input_values!M248="Y")),AND(MID(B248,1,2)="30",NOT(input_values!M248="Y"))),3,IF(OR(V248="&lt;25",B248&gt;1000000),1,IF((T248&gt;=S248),"2b","2a")))))</f>
        <v>3</v>
      </c>
      <c r="Y248" s="22">
        <f>IF(X248="ND","ND",IF(S248="","",IF(input_values!K248&gt;0,input_values!K248,IF(OR(X248=1,X248=3),1,IF((V248&gt;250),5,7)))))</f>
        <v>1</v>
      </c>
      <c r="Z248" s="330" t="str">
        <f t="shared" si="35"/>
        <v/>
      </c>
      <c r="AA248" s="331">
        <f t="shared" si="30"/>
        <v>0</v>
      </c>
      <c r="AB248" s="27">
        <f t="shared" si="36"/>
        <v>1</v>
      </c>
      <c r="AC248" s="330" t="str">
        <f t="shared" si="37"/>
        <v/>
      </c>
      <c r="AD248" s="332">
        <f t="shared" si="31"/>
        <v>0</v>
      </c>
      <c r="AE248" s="333" t="str">
        <f t="shared" si="38"/>
        <v/>
      </c>
      <c r="AF248" s="333" t="str">
        <f t="shared" si="39"/>
        <v/>
      </c>
      <c r="AG248" s="561" t="str">
        <f t="shared" si="32"/>
        <v/>
      </c>
      <c r="AH248" s="561" t="str">
        <f t="shared" si="33"/>
        <v/>
      </c>
      <c r="AI248" s="334"/>
    </row>
    <row r="249" spans="1:35" outlineLevel="2" x14ac:dyDescent="0.2">
      <c r="A249" s="39">
        <v>4</v>
      </c>
      <c r="B249" s="23">
        <v>500070</v>
      </c>
      <c r="C249" s="23" t="s">
        <v>159</v>
      </c>
      <c r="D249" s="300">
        <f>Table22[[#This Row],[Level used for acute calculation]]</f>
        <v>4</v>
      </c>
      <c r="E249" s="302">
        <f>Table22[[#This Row],[MRL individual commodity]]</f>
        <v>0</v>
      </c>
      <c r="F249" s="451">
        <f>Table22[[#This Row],[Acute RA input value]]</f>
        <v>0</v>
      </c>
      <c r="G249" s="301" t="str">
        <f>Table22[[#This Row],[Acute RA label]]</f>
        <v/>
      </c>
      <c r="H249" s="303">
        <f>Table22[[#This Row],[Acute RA IESTI new input value]]</f>
        <v>0</v>
      </c>
      <c r="I249" s="301" t="str">
        <f>Table22[[#This Row],[Acute RA IESTI new label]]</f>
        <v/>
      </c>
      <c r="J249" s="504"/>
      <c r="K249" s="544">
        <f>Table22[[#This Row],[GAP under assessment]]</f>
        <v>0</v>
      </c>
      <c r="L249" s="304" t="str">
        <f>IF(input_values!$M249=0,"",input_values!$M249)</f>
        <v/>
      </c>
      <c r="M249" s="301" t="str">
        <f>IF(input_values!H249=0,"",input_values!H249)</f>
        <v/>
      </c>
      <c r="N249" s="304">
        <f>input_values!$K249</f>
        <v>0</v>
      </c>
      <c r="O249" s="326">
        <v>6.3218390804597711</v>
      </c>
      <c r="P249" s="22">
        <v>97.5</v>
      </c>
      <c r="Q249" s="22" t="s">
        <v>89</v>
      </c>
      <c r="R249" s="326">
        <v>8.6999999999999993</v>
      </c>
      <c r="S249" s="328">
        <f t="shared" si="34"/>
        <v>55.000000000000007</v>
      </c>
      <c r="T249" s="338" t="s">
        <v>617</v>
      </c>
      <c r="U249" s="129" t="s">
        <v>215</v>
      </c>
      <c r="V249" s="338" t="s">
        <v>617</v>
      </c>
      <c r="W249" s="129" t="s">
        <v>215</v>
      </c>
      <c r="X249" s="1127">
        <f>IF(V249="ND","ND",IF(S249="","",IF(OR(MID(C249,1,4)="milk",AND(MID(B249,1,2)="50",NOT(input_values!M249="Y")),AND(MID(B249,1,2)="40",NOT(input_values!M249="Y")),AND(MID(B249,1,2)="30",NOT(input_values!M249="Y"))),3,IF(OR(V249="&lt;25",B249&gt;1000000),1,IF((T249&gt;=S249),"2b","2a")))))</f>
        <v>3</v>
      </c>
      <c r="Y249" s="22">
        <f>IF(X249="ND","ND",IF(S249="","",IF(input_values!K249&gt;0,input_values!K249,IF(OR(X249=1,X249=3),1,IF((V249&gt;250),5,7)))))</f>
        <v>1</v>
      </c>
      <c r="Z249" s="330" t="str">
        <f t="shared" si="35"/>
        <v/>
      </c>
      <c r="AA249" s="331">
        <f t="shared" si="30"/>
        <v>0</v>
      </c>
      <c r="AB249" s="27">
        <f t="shared" si="36"/>
        <v>1</v>
      </c>
      <c r="AC249" s="330" t="str">
        <f t="shared" si="37"/>
        <v/>
      </c>
      <c r="AD249" s="332">
        <f t="shared" si="31"/>
        <v>0</v>
      </c>
      <c r="AE249" s="333" t="str">
        <f t="shared" si="38"/>
        <v/>
      </c>
      <c r="AF249" s="333" t="str">
        <f t="shared" si="39"/>
        <v/>
      </c>
      <c r="AG249" s="561" t="str">
        <f t="shared" si="32"/>
        <v/>
      </c>
      <c r="AH249" s="561" t="str">
        <f t="shared" si="33"/>
        <v/>
      </c>
      <c r="AI249" s="334"/>
    </row>
    <row r="250" spans="1:35" outlineLevel="2" x14ac:dyDescent="0.2">
      <c r="A250" s="39">
        <v>4</v>
      </c>
      <c r="B250" s="23">
        <v>500080</v>
      </c>
      <c r="C250" s="23" t="s">
        <v>160</v>
      </c>
      <c r="D250" s="300">
        <f>Table22[[#This Row],[Level used for acute calculation]]</f>
        <v>4</v>
      </c>
      <c r="E250" s="302">
        <f>Table22[[#This Row],[MRL individual commodity]]</f>
        <v>0</v>
      </c>
      <c r="F250" s="451">
        <f>Table22[[#This Row],[Acute RA input value]]</f>
        <v>0</v>
      </c>
      <c r="G250" s="301" t="str">
        <f>Table22[[#This Row],[Acute RA label]]</f>
        <v/>
      </c>
      <c r="H250" s="303">
        <f>Table22[[#This Row],[Acute RA IESTI new input value]]</f>
        <v>0</v>
      </c>
      <c r="I250" s="301" t="str">
        <f>Table22[[#This Row],[Acute RA IESTI new label]]</f>
        <v/>
      </c>
      <c r="J250" s="504"/>
      <c r="K250" s="544">
        <f>Table22[[#This Row],[GAP under assessment]]</f>
        <v>0</v>
      </c>
      <c r="L250" s="304" t="str">
        <f>IF(input_values!$M250=0,"",input_values!$M250)</f>
        <v/>
      </c>
      <c r="M250" s="301" t="str">
        <f>IF(input_values!H250=0,"",input_values!H250)</f>
        <v/>
      </c>
      <c r="N250" s="304">
        <f>input_values!$K250</f>
        <v>0</v>
      </c>
      <c r="O250" s="326">
        <v>3.21</v>
      </c>
      <c r="P250" s="22">
        <v>90</v>
      </c>
      <c r="Q250" s="22" t="s">
        <v>256</v>
      </c>
      <c r="R250" s="326">
        <v>16.149999999999999</v>
      </c>
      <c r="S250" s="328">
        <f t="shared" si="34"/>
        <v>51.841499999999996</v>
      </c>
      <c r="T250" s="338" t="s">
        <v>617</v>
      </c>
      <c r="U250" s="129" t="s">
        <v>215</v>
      </c>
      <c r="V250" s="338" t="s">
        <v>617</v>
      </c>
      <c r="W250" s="129" t="s">
        <v>215</v>
      </c>
      <c r="X250" s="1127">
        <f>IF(V250="ND","ND",IF(S250="","",IF(OR(MID(C250,1,4)="milk",AND(MID(B250,1,2)="50",NOT(input_values!M250="Y")),AND(MID(B250,1,2)="40",NOT(input_values!M250="Y")),AND(MID(B250,1,2)="30",NOT(input_values!M250="Y"))),3,IF(OR(V250="&lt;25",B250&gt;1000000),1,IF((T250&gt;=S250),"2b","2a")))))</f>
        <v>3</v>
      </c>
      <c r="Y250" s="22">
        <f>IF(X250="ND","ND",IF(S250="","",IF(input_values!K250&gt;0,input_values!K250,IF(OR(X250=1,X250=3),1,IF((V250&gt;250),5,7)))))</f>
        <v>1</v>
      </c>
      <c r="Z250" s="330" t="str">
        <f t="shared" si="35"/>
        <v/>
      </c>
      <c r="AA250" s="331">
        <f t="shared" si="30"/>
        <v>0</v>
      </c>
      <c r="AB250" s="27">
        <f t="shared" si="36"/>
        <v>1</v>
      </c>
      <c r="AC250" s="330" t="str">
        <f t="shared" si="37"/>
        <v/>
      </c>
      <c r="AD250" s="332">
        <f t="shared" si="31"/>
        <v>0</v>
      </c>
      <c r="AE250" s="333" t="str">
        <f t="shared" si="38"/>
        <v/>
      </c>
      <c r="AF250" s="333" t="str">
        <f t="shared" si="39"/>
        <v/>
      </c>
      <c r="AG250" s="561" t="str">
        <f t="shared" si="32"/>
        <v/>
      </c>
      <c r="AH250" s="561" t="str">
        <f t="shared" si="33"/>
        <v/>
      </c>
      <c r="AI250" s="313"/>
    </row>
    <row r="251" spans="1:35" outlineLevel="2" x14ac:dyDescent="0.2">
      <c r="A251" s="39">
        <v>4</v>
      </c>
      <c r="B251" s="23">
        <v>500090</v>
      </c>
      <c r="C251" s="23" t="s">
        <v>161</v>
      </c>
      <c r="D251" s="300">
        <f>Table22[[#This Row],[Level used for acute calculation]]</f>
        <v>4</v>
      </c>
      <c r="E251" s="302">
        <f>Table22[[#This Row],[MRL individual commodity]]</f>
        <v>0</v>
      </c>
      <c r="F251" s="451">
        <f>Table22[[#This Row],[Acute RA input value]]</f>
        <v>0</v>
      </c>
      <c r="G251" s="301" t="str">
        <f>Table22[[#This Row],[Acute RA label]]</f>
        <v/>
      </c>
      <c r="H251" s="303">
        <f>Table22[[#This Row],[Acute RA IESTI new input value]]</f>
        <v>0</v>
      </c>
      <c r="I251" s="301" t="str">
        <f>Table22[[#This Row],[Acute RA IESTI new label]]</f>
        <v/>
      </c>
      <c r="J251" s="504"/>
      <c r="K251" s="544">
        <f>Table22[[#This Row],[GAP under assessment]]</f>
        <v>0</v>
      </c>
      <c r="L251" s="304" t="str">
        <f>IF(input_values!$M251=0,"",input_values!$M251)</f>
        <v/>
      </c>
      <c r="M251" s="301" t="str">
        <f>IF(input_values!H251=0,"",input_values!H251)</f>
        <v/>
      </c>
      <c r="N251" s="304">
        <f>input_values!$K251</f>
        <v>0</v>
      </c>
      <c r="O251" s="326">
        <v>14.448780487804877</v>
      </c>
      <c r="P251" s="22">
        <v>97.5</v>
      </c>
      <c r="Q251" s="22" t="s">
        <v>92</v>
      </c>
      <c r="R251" s="326">
        <v>20.5</v>
      </c>
      <c r="S251" s="328">
        <f t="shared" si="34"/>
        <v>296.2</v>
      </c>
      <c r="T251" s="338" t="s">
        <v>617</v>
      </c>
      <c r="U251" s="129" t="s">
        <v>215</v>
      </c>
      <c r="V251" s="338" t="s">
        <v>617</v>
      </c>
      <c r="W251" s="129" t="s">
        <v>215</v>
      </c>
      <c r="X251" s="1127">
        <f>IF(V251="ND","ND",IF(S251="","",IF(OR(MID(C251,1,4)="milk",AND(MID(B251,1,2)="50",NOT(input_values!M251="Y")),AND(MID(B251,1,2)="40",NOT(input_values!M251="Y")),AND(MID(B251,1,2)="30",NOT(input_values!M251="Y"))),3,IF(OR(V251="&lt;25",B251&gt;1000000),1,IF((T251&gt;=S251),"2b","2a")))))</f>
        <v>3</v>
      </c>
      <c r="Y251" s="22">
        <f>IF(X251="ND","ND",IF(S251="","",IF(input_values!K251&gt;0,input_values!K251,IF(OR(X251=1,X251=3),1,IF((V251&gt;250),5,7)))))</f>
        <v>1</v>
      </c>
      <c r="Z251" s="330" t="str">
        <f t="shared" si="35"/>
        <v/>
      </c>
      <c r="AA251" s="331">
        <f t="shared" si="30"/>
        <v>0</v>
      </c>
      <c r="AB251" s="27">
        <f t="shared" si="36"/>
        <v>1</v>
      </c>
      <c r="AC251" s="330" t="str">
        <f t="shared" si="37"/>
        <v/>
      </c>
      <c r="AD251" s="332">
        <f t="shared" si="31"/>
        <v>0</v>
      </c>
      <c r="AE251" s="333" t="str">
        <f t="shared" si="38"/>
        <v/>
      </c>
      <c r="AF251" s="333" t="str">
        <f t="shared" si="39"/>
        <v/>
      </c>
      <c r="AG251" s="561" t="str">
        <f t="shared" si="32"/>
        <v/>
      </c>
      <c r="AH251" s="561" t="str">
        <f t="shared" si="33"/>
        <v/>
      </c>
      <c r="AI251" s="334"/>
    </row>
    <row r="252" spans="1:35" outlineLevel="2" x14ac:dyDescent="0.2">
      <c r="A252" s="39">
        <v>4</v>
      </c>
      <c r="B252" s="23">
        <v>500990</v>
      </c>
      <c r="C252" s="23" t="s">
        <v>765</v>
      </c>
      <c r="D252" s="300">
        <f>Table22[[#This Row],[Level used for acute calculation]]</f>
        <v>0</v>
      </c>
      <c r="E252" s="302">
        <f>Table22[[#This Row],[MRL individual commodity]]</f>
        <v>0</v>
      </c>
      <c r="F252" s="451">
        <f>Table22[[#This Row],[Acute RA input value]]</f>
        <v>0</v>
      </c>
      <c r="G252" s="301">
        <f>Table22[[#This Row],[Acute RA label]]</f>
        <v>0</v>
      </c>
      <c r="H252" s="303">
        <f>Table22[[#This Row],[Acute RA IESTI new input value]]</f>
        <v>0</v>
      </c>
      <c r="I252" s="301">
        <f>Table22[[#This Row],[Acute RA IESTI new label]]</f>
        <v>0</v>
      </c>
      <c r="J252" s="504"/>
      <c r="K252" s="544">
        <f>Table22[[#This Row],[GAP under assessment]]</f>
        <v>0</v>
      </c>
      <c r="L252" s="304" t="str">
        <f>IF(input_values!$M252=0,"",input_values!$M252)</f>
        <v/>
      </c>
      <c r="M252" s="301" t="str">
        <f>IF(input_values!H252=0,"",input_values!H252)</f>
        <v/>
      </c>
      <c r="N252" s="304">
        <f>input_values!$K252</f>
        <v>0</v>
      </c>
      <c r="O252" s="309"/>
      <c r="P252" s="38"/>
      <c r="Q252" s="38"/>
      <c r="R252" s="335"/>
      <c r="S252" s="336" t="str">
        <f t="shared" si="34"/>
        <v/>
      </c>
      <c r="T252" s="305"/>
      <c r="U252" s="570"/>
      <c r="V252" s="305"/>
      <c r="W252" s="570"/>
      <c r="X252" s="611" t="str">
        <f>IF(V252="ND","ND",IF(S252="","",IF(OR(MID(C252,1,4)="milk",AND(MID(B252,1,2)="50",NOT(input_values!M252="Y")),AND(MID(B252,1,2)="40",NOT(input_values!M252="Y")),AND(MID(B252,1,2)="30",NOT(input_values!M252="Y"))),3,IF(OR(V252="&lt;25",B252&gt;1000000),1,IF((T252&gt;=S252),"2b","2a")))))</f>
        <v/>
      </c>
      <c r="Y252" s="38" t="str">
        <f>IF(X252="ND","ND",IF(S252="","",IF(input_values!K252&gt;0,input_values!K252,IF(OR(X252=1,X252=3),1,IF((V252&gt;250),5,7)))))</f>
        <v/>
      </c>
      <c r="Z252" s="335" t="str">
        <f t="shared" si="35"/>
        <v/>
      </c>
      <c r="AA252" s="311">
        <f t="shared" si="30"/>
        <v>0</v>
      </c>
      <c r="AB252" s="38" t="str">
        <f t="shared" si="36"/>
        <v/>
      </c>
      <c r="AC252" s="335" t="str">
        <f t="shared" si="37"/>
        <v/>
      </c>
      <c r="AD252" s="311">
        <f t="shared" si="31"/>
        <v>0</v>
      </c>
      <c r="AE252" s="344" t="str">
        <f t="shared" si="38"/>
        <v/>
      </c>
      <c r="AF252" s="344" t="str">
        <f t="shared" si="39"/>
        <v/>
      </c>
      <c r="AG252" s="561" t="str">
        <f t="shared" si="32"/>
        <v/>
      </c>
      <c r="AH252" s="561" t="str">
        <f t="shared" si="33"/>
        <v/>
      </c>
      <c r="AI252" s="313"/>
    </row>
    <row r="253" spans="1:35" ht="24" x14ac:dyDescent="0.2">
      <c r="A253" s="126">
        <v>1</v>
      </c>
      <c r="B253" s="127">
        <v>600000</v>
      </c>
      <c r="C253" s="127" t="s">
        <v>351</v>
      </c>
      <c r="D253" s="300">
        <f>Table22[[#This Row],[Level used for acute calculation]]</f>
        <v>2</v>
      </c>
      <c r="E253" s="302">
        <f>Table22[[#This Row],[MRL individual commodity]]</f>
        <v>0</v>
      </c>
      <c r="F253" s="451">
        <f>Table22[[#This Row],[Acute RA input value]]</f>
        <v>0</v>
      </c>
      <c r="G253" s="301">
        <f>Table22[[#This Row],[Acute RA label]]</f>
        <v>0</v>
      </c>
      <c r="H253" s="303">
        <f>Table22[[#This Row],[Acute RA IESTI new input value]]</f>
        <v>0</v>
      </c>
      <c r="I253" s="301">
        <f>Table22[[#This Row],[Acute RA IESTI new label]]</f>
        <v>0</v>
      </c>
      <c r="J253" s="504"/>
      <c r="K253" s="544">
        <f>Table22[[#This Row],[GAP under assessment]]</f>
        <v>0</v>
      </c>
      <c r="L253" s="304" t="str">
        <f>IF(input_values!$M253=0,"",input_values!$M253)</f>
        <v/>
      </c>
      <c r="M253" s="301" t="str">
        <f>IF(input_values!H253=0,"",input_values!H253)</f>
        <v/>
      </c>
      <c r="N253" s="304">
        <f>input_values!$K253</f>
        <v>0</v>
      </c>
      <c r="O253" s="309"/>
      <c r="P253" s="38"/>
      <c r="Q253" s="38"/>
      <c r="R253" s="335"/>
      <c r="S253" s="336" t="str">
        <f t="shared" si="34"/>
        <v/>
      </c>
      <c r="T253" s="305"/>
      <c r="U253" s="570"/>
      <c r="V253" s="305"/>
      <c r="W253" s="570"/>
      <c r="X253" s="611" t="str">
        <f>IF(V253="ND","ND",IF(S253="","",IF(OR(MID(C253,1,4)="milk",AND(MID(B253,1,2)="50",NOT(input_values!M253="Y")),AND(MID(B253,1,2)="40",NOT(input_values!M253="Y")),AND(MID(B253,1,2)="30",NOT(input_values!M253="Y"))),3,IF(OR(V253="&lt;25",B253&gt;1000000),1,IF((T253&gt;=S253),"2b","2a")))))</f>
        <v/>
      </c>
      <c r="Y253" s="38" t="str">
        <f>IF(X253="ND","ND",IF(S253="","",IF(input_values!K253&gt;0,input_values!K253,IF(OR(X253=1,X253=3),1,IF((V253&gt;250),5,7)))))</f>
        <v/>
      </c>
      <c r="Z253" s="335" t="str">
        <f t="shared" si="35"/>
        <v/>
      </c>
      <c r="AA253" s="311">
        <f t="shared" si="30"/>
        <v>0</v>
      </c>
      <c r="AB253" s="38" t="str">
        <f t="shared" si="36"/>
        <v/>
      </c>
      <c r="AC253" s="335" t="str">
        <f t="shared" si="37"/>
        <v/>
      </c>
      <c r="AD253" s="311">
        <f t="shared" si="31"/>
        <v>0</v>
      </c>
      <c r="AE253" s="344" t="str">
        <f t="shared" si="38"/>
        <v/>
      </c>
      <c r="AF253" s="344" t="str">
        <f t="shared" si="39"/>
        <v/>
      </c>
      <c r="AG253" s="561" t="str">
        <f t="shared" si="32"/>
        <v/>
      </c>
      <c r="AH253" s="561" t="str">
        <f t="shared" si="33"/>
        <v/>
      </c>
      <c r="AI253" s="313"/>
    </row>
    <row r="254" spans="1:35" ht="24" outlineLevel="1" x14ac:dyDescent="0.2">
      <c r="A254" s="130">
        <v>2</v>
      </c>
      <c r="B254" s="131">
        <v>610000</v>
      </c>
      <c r="C254" s="131" t="s">
        <v>678</v>
      </c>
      <c r="D254" s="300">
        <f>Table22[[#This Row],[Level used for acute calculation]]</f>
        <v>2</v>
      </c>
      <c r="E254" s="302">
        <f>Table22[[#This Row],[MRL individual commodity]]</f>
        <v>0</v>
      </c>
      <c r="F254" s="451">
        <f>Table22[[#This Row],[Acute RA input value]]</f>
        <v>0</v>
      </c>
      <c r="G254" s="301" t="str">
        <f>Table22[[#This Row],[Acute RA label]]</f>
        <v/>
      </c>
      <c r="H254" s="303">
        <f>Table22[[#This Row],[Acute RA IESTI new input value]]</f>
        <v>0</v>
      </c>
      <c r="I254" s="301" t="str">
        <f>Table22[[#This Row],[Acute RA IESTI new label]]</f>
        <v/>
      </c>
      <c r="J254" s="504"/>
      <c r="K254" s="544">
        <f>Table22[[#This Row],[GAP under assessment]]</f>
        <v>0</v>
      </c>
      <c r="L254" s="304" t="str">
        <f>IF(input_values!$M254=0,"",input_values!$M254)</f>
        <v/>
      </c>
      <c r="M254" s="301" t="str">
        <f>IF(input_values!H254=0,"",input_values!H254)</f>
        <v/>
      </c>
      <c r="N254" s="304">
        <f>input_values!$K254</f>
        <v>0</v>
      </c>
      <c r="O254" s="339">
        <v>1.53</v>
      </c>
      <c r="P254" s="128">
        <v>97.5</v>
      </c>
      <c r="Q254" s="128" t="s">
        <v>330</v>
      </c>
      <c r="R254" s="339">
        <v>20</v>
      </c>
      <c r="S254" s="338">
        <f t="shared" si="34"/>
        <v>30.6</v>
      </c>
      <c r="T254" s="338" t="s">
        <v>617</v>
      </c>
      <c r="U254" s="129" t="s">
        <v>215</v>
      </c>
      <c r="V254" s="338" t="s">
        <v>617</v>
      </c>
      <c r="W254" s="129" t="s">
        <v>215</v>
      </c>
      <c r="X254" s="1171">
        <v>3</v>
      </c>
      <c r="Y254" s="1172">
        <f>IF(X254="ND","ND",IF(S254="","",IF(input_values!K254&gt;0,input_values!K254,IF(OR(X254=1,X254=3),1,IF((V254&gt;250),5,7)))))</f>
        <v>1</v>
      </c>
      <c r="Z254" s="345" t="str">
        <f t="shared" si="35"/>
        <v/>
      </c>
      <c r="AA254" s="332">
        <f t="shared" si="30"/>
        <v>0</v>
      </c>
      <c r="AB254" s="27">
        <f t="shared" si="36"/>
        <v>1</v>
      </c>
      <c r="AC254" s="345" t="str">
        <f t="shared" si="37"/>
        <v/>
      </c>
      <c r="AD254" s="332">
        <f t="shared" si="31"/>
        <v>0</v>
      </c>
      <c r="AE254" s="40" t="str">
        <f t="shared" si="38"/>
        <v/>
      </c>
      <c r="AF254" s="40" t="str">
        <f t="shared" si="39"/>
        <v/>
      </c>
      <c r="AG254" s="561" t="str">
        <f t="shared" si="32"/>
        <v/>
      </c>
      <c r="AH254" s="561" t="str">
        <f t="shared" si="33"/>
        <v/>
      </c>
      <c r="AI254" s="334"/>
    </row>
    <row r="255" spans="1:35" ht="24" outlineLevel="1" x14ac:dyDescent="0.2">
      <c r="A255" s="130">
        <v>2</v>
      </c>
      <c r="B255" s="131">
        <v>620000</v>
      </c>
      <c r="C255" s="131" t="s">
        <v>143</v>
      </c>
      <c r="D255" s="300">
        <f>Table22[[#This Row],[Level used for acute calculation]]</f>
        <v>2</v>
      </c>
      <c r="E255" s="302">
        <f>Table22[[#This Row],[MRL individual commodity]]</f>
        <v>0</v>
      </c>
      <c r="F255" s="451">
        <f>Table22[[#This Row],[Acute RA input value]]</f>
        <v>0</v>
      </c>
      <c r="G255" s="301" t="str">
        <f>Table22[[#This Row],[Acute RA label]]</f>
        <v/>
      </c>
      <c r="H255" s="303">
        <f>Table22[[#This Row],[Acute RA IESTI new input value]]</f>
        <v>0</v>
      </c>
      <c r="I255" s="301" t="str">
        <f>Table22[[#This Row],[Acute RA IESTI new label]]</f>
        <v/>
      </c>
      <c r="J255" s="504"/>
      <c r="K255" s="544">
        <f>Table22[[#This Row],[GAP under assessment]]</f>
        <v>0</v>
      </c>
      <c r="L255" s="304" t="str">
        <f>IF(input_values!$M255=0,"",input_values!$M255)</f>
        <v/>
      </c>
      <c r="M255" s="301" t="str">
        <f>IF(input_values!H255=0,"",input_values!H255)</f>
        <v/>
      </c>
      <c r="N255" s="304">
        <f>input_values!$K255</f>
        <v>0</v>
      </c>
      <c r="O255" s="339">
        <v>0.7</v>
      </c>
      <c r="P255" s="128">
        <v>85</v>
      </c>
      <c r="Q255" s="128" t="s">
        <v>332</v>
      </c>
      <c r="R255" s="339">
        <v>46.3</v>
      </c>
      <c r="S255" s="338">
        <f t="shared" si="34"/>
        <v>32.409999999999997</v>
      </c>
      <c r="T255" s="338" t="s">
        <v>617</v>
      </c>
      <c r="U255" s="129" t="s">
        <v>215</v>
      </c>
      <c r="V255" s="338" t="s">
        <v>617</v>
      </c>
      <c r="W255" s="129" t="s">
        <v>215</v>
      </c>
      <c r="X255" s="1171">
        <v>3</v>
      </c>
      <c r="Y255" s="1172">
        <f>IF(X255="ND","ND",IF(S255="","",IF(input_values!K255&gt;0,input_values!K255,IF(OR(X255=1,X255=3),1,IF((V255&gt;250),5,7)))))</f>
        <v>1</v>
      </c>
      <c r="Z255" s="345" t="str">
        <f t="shared" si="35"/>
        <v/>
      </c>
      <c r="AA255" s="332">
        <f t="shared" si="30"/>
        <v>0</v>
      </c>
      <c r="AB255" s="27">
        <f t="shared" si="36"/>
        <v>1</v>
      </c>
      <c r="AC255" s="345" t="str">
        <f t="shared" si="37"/>
        <v/>
      </c>
      <c r="AD255" s="332">
        <f t="shared" si="31"/>
        <v>0</v>
      </c>
      <c r="AE255" s="40" t="str">
        <f t="shared" si="38"/>
        <v/>
      </c>
      <c r="AF255" s="40" t="str">
        <f t="shared" si="39"/>
        <v/>
      </c>
      <c r="AG255" s="561" t="str">
        <f t="shared" si="32"/>
        <v/>
      </c>
      <c r="AH255" s="561" t="str">
        <f t="shared" si="33"/>
        <v/>
      </c>
      <c r="AI255" s="334"/>
    </row>
    <row r="256" spans="1:35" outlineLevel="1" x14ac:dyDescent="0.2">
      <c r="A256" s="130">
        <v>2</v>
      </c>
      <c r="B256" s="131">
        <v>630000</v>
      </c>
      <c r="C256" s="131" t="s">
        <v>365</v>
      </c>
      <c r="D256" s="300">
        <f>Table22[[#This Row],[Level used for acute calculation]]</f>
        <v>4</v>
      </c>
      <c r="E256" s="302">
        <f>Table22[[#This Row],[MRL individual commodity]]</f>
        <v>0</v>
      </c>
      <c r="F256" s="451">
        <f>Table22[[#This Row],[Acute RA input value]]</f>
        <v>0</v>
      </c>
      <c r="G256" s="301">
        <f>Table22[[#This Row],[Acute RA label]]</f>
        <v>0</v>
      </c>
      <c r="H256" s="303">
        <f>Table22[[#This Row],[Acute RA IESTI new input value]]</f>
        <v>0</v>
      </c>
      <c r="I256" s="301">
        <f>Table22[[#This Row],[Acute RA IESTI new label]]</f>
        <v>0</v>
      </c>
      <c r="J256" s="504"/>
      <c r="K256" s="544">
        <f>Table22[[#This Row],[GAP under assessment]]</f>
        <v>0</v>
      </c>
      <c r="L256" s="304" t="str">
        <f>IF(input_values!$M256=0,"",input_values!$M256)</f>
        <v/>
      </c>
      <c r="M256" s="301" t="str">
        <f>IF(input_values!H256=0,"",input_values!H256)</f>
        <v/>
      </c>
      <c r="N256" s="304">
        <f>input_values!$K256</f>
        <v>0</v>
      </c>
      <c r="O256" s="347"/>
      <c r="P256" s="47"/>
      <c r="Q256" s="47"/>
      <c r="R256" s="349"/>
      <c r="S256" s="347" t="str">
        <f t="shared" si="34"/>
        <v/>
      </c>
      <c r="T256" s="347"/>
      <c r="U256" s="337"/>
      <c r="V256" s="347"/>
      <c r="W256" s="337"/>
      <c r="X256" s="611" t="str">
        <f>IF(V256="ND","ND",IF(S256="","",IF(OR(MID(C256,1,4)="milk",AND(MID(B256,1,2)="50",NOT(input_values!M256="Y")),AND(MID(B256,1,2)="40",NOT(input_values!M256="Y")),AND(MID(B256,1,2)="30",NOT(input_values!M256="Y"))),3,IF(OR(V256="&lt;25",B256&gt;1000000),1,IF((T256&gt;=S256),"2b","2a")))))</f>
        <v/>
      </c>
      <c r="Y256" s="47" t="str">
        <f>IF(X256="ND","ND",IF(S256="","",IF(input_values!K256&gt;0,input_values!K256,IF(OR(X256=1,X256=3),1,IF((V256&gt;250),5,7)))))</f>
        <v/>
      </c>
      <c r="Z256" s="350" t="str">
        <f t="shared" si="35"/>
        <v/>
      </c>
      <c r="AA256" s="351">
        <f t="shared" si="30"/>
        <v>0</v>
      </c>
      <c r="AB256" s="38" t="str">
        <f t="shared" si="36"/>
        <v/>
      </c>
      <c r="AC256" s="350" t="str">
        <f t="shared" si="37"/>
        <v/>
      </c>
      <c r="AD256" s="351">
        <f t="shared" si="31"/>
        <v>0</v>
      </c>
      <c r="AE256" s="352" t="str">
        <f t="shared" si="38"/>
        <v/>
      </c>
      <c r="AF256" s="352" t="str">
        <f t="shared" si="39"/>
        <v/>
      </c>
      <c r="AG256" s="561" t="str">
        <f t="shared" si="32"/>
        <v/>
      </c>
      <c r="AH256" s="561" t="str">
        <f t="shared" si="33"/>
        <v/>
      </c>
      <c r="AI256" s="313"/>
    </row>
    <row r="257" spans="1:35" ht="24" outlineLevel="2" x14ac:dyDescent="0.2">
      <c r="A257" s="132">
        <v>3</v>
      </c>
      <c r="B257" s="3">
        <v>631000</v>
      </c>
      <c r="C257" s="3" t="s">
        <v>74</v>
      </c>
      <c r="D257" s="300">
        <f>Table22[[#This Row],[Level used for acute calculation]]</f>
        <v>4</v>
      </c>
      <c r="E257" s="302">
        <f>Table22[[#This Row],[MRL individual commodity]]</f>
        <v>0</v>
      </c>
      <c r="F257" s="451">
        <f>Table22[[#This Row],[Acute RA input value]]</f>
        <v>0</v>
      </c>
      <c r="G257" s="301">
        <f>Table22[[#This Row],[Acute RA label]]</f>
        <v>0</v>
      </c>
      <c r="H257" s="303">
        <f>Table22[[#This Row],[Acute RA IESTI new input value]]</f>
        <v>0</v>
      </c>
      <c r="I257" s="301">
        <f>Table22[[#This Row],[Acute RA IESTI new label]]</f>
        <v>0</v>
      </c>
      <c r="J257" s="504"/>
      <c r="K257" s="544">
        <f>Table22[[#This Row],[GAP under assessment]]</f>
        <v>0</v>
      </c>
      <c r="L257" s="304" t="str">
        <f>IF(input_values!$M257=0,"",input_values!$M257)</f>
        <v/>
      </c>
      <c r="M257" s="301" t="str">
        <f>IF(input_values!H257=0,"",input_values!H257)</f>
        <v/>
      </c>
      <c r="N257" s="304">
        <f>input_values!$K257</f>
        <v>0</v>
      </c>
      <c r="O257" s="349"/>
      <c r="P257" s="47"/>
      <c r="Q257" s="47"/>
      <c r="R257" s="354"/>
      <c r="S257" s="347"/>
      <c r="T257" s="347"/>
      <c r="U257" s="337"/>
      <c r="V257" s="347"/>
      <c r="W257" s="337"/>
      <c r="X257" s="611" t="str">
        <f>IF(V257="ND","ND",IF(S257="","",IF(OR(MID(C257,1,4)="milk",AND(MID(B257,1,2)="50",NOT(input_values!M257="Y")),AND(MID(B257,1,2)="40",NOT(input_values!M257="Y")),AND(MID(B257,1,2)="30",NOT(input_values!M257="Y"))),3,IF(OR(V257="&lt;25",B257&gt;1000000),1,IF((T257&gt;=S257),"2b","2a")))))</f>
        <v/>
      </c>
      <c r="Y257" s="47" t="str">
        <f>IF(X257="ND","ND",IF(S257="","",IF(input_values!K257&gt;0,input_values!K257,IF(OR(X257=1,X257=3),1,IF((V257&gt;250),5,7)))))</f>
        <v/>
      </c>
      <c r="Z257" s="354" t="str">
        <f t="shared" si="35"/>
        <v/>
      </c>
      <c r="AA257" s="351">
        <f t="shared" si="30"/>
        <v>0</v>
      </c>
      <c r="AB257" s="47" t="str">
        <f t="shared" si="36"/>
        <v/>
      </c>
      <c r="AC257" s="354" t="str">
        <f t="shared" si="37"/>
        <v/>
      </c>
      <c r="AD257" s="351">
        <f t="shared" si="31"/>
        <v>0</v>
      </c>
      <c r="AE257" s="355" t="str">
        <f t="shared" si="38"/>
        <v/>
      </c>
      <c r="AF257" s="355" t="str">
        <f t="shared" si="39"/>
        <v/>
      </c>
      <c r="AG257" s="561" t="str">
        <f t="shared" si="32"/>
        <v/>
      </c>
      <c r="AH257" s="561" t="str">
        <f t="shared" si="33"/>
        <v/>
      </c>
      <c r="AI257" s="313"/>
    </row>
    <row r="258" spans="1:35" outlineLevel="3" x14ac:dyDescent="0.2">
      <c r="A258" s="39">
        <v>4</v>
      </c>
      <c r="B258" s="23">
        <v>631010</v>
      </c>
      <c r="C258" s="23" t="s">
        <v>767</v>
      </c>
      <c r="D258" s="300">
        <f>Table22[[#This Row],[Level used for acute calculation]]</f>
        <v>4</v>
      </c>
      <c r="E258" s="302">
        <f>Table22[[#This Row],[MRL individual commodity]]</f>
        <v>0</v>
      </c>
      <c r="F258" s="451">
        <f>Table22[[#This Row],[Acute RA input value]]</f>
        <v>0</v>
      </c>
      <c r="G258" s="301" t="str">
        <f>Table22[[#This Row],[Acute RA label]]</f>
        <v/>
      </c>
      <c r="H258" s="303">
        <f>Table22[[#This Row],[Acute RA IESTI new input value]]</f>
        <v>0</v>
      </c>
      <c r="I258" s="301" t="str">
        <f>Table22[[#This Row],[Acute RA IESTI new label]]</f>
        <v/>
      </c>
      <c r="J258" s="504"/>
      <c r="K258" s="544">
        <f>Table22[[#This Row],[GAP under assessment]]</f>
        <v>0</v>
      </c>
      <c r="L258" s="304" t="str">
        <f>IF(input_values!$M258=0,"",input_values!$M258)</f>
        <v/>
      </c>
      <c r="M258" s="301" t="str">
        <f>IF(input_values!H258=0,"",input_values!H258)</f>
        <v/>
      </c>
      <c r="N258" s="304">
        <f>input_values!$K258</f>
        <v>0</v>
      </c>
      <c r="O258" s="339">
        <v>0.2</v>
      </c>
      <c r="P258" s="128"/>
      <c r="Q258" s="128" t="s">
        <v>98</v>
      </c>
      <c r="R258" s="339">
        <v>10</v>
      </c>
      <c r="S258" s="338">
        <f>IF(O258="ND","ND",IF(O258="","",O258*R258))</f>
        <v>2</v>
      </c>
      <c r="T258" s="338" t="s">
        <v>617</v>
      </c>
      <c r="U258" s="129" t="s">
        <v>215</v>
      </c>
      <c r="V258" s="338" t="s">
        <v>617</v>
      </c>
      <c r="W258" s="129" t="s">
        <v>215</v>
      </c>
      <c r="X258" s="460">
        <f>IF(V258="ND","ND",IF(S258="","",IF(OR(MID(C258,1,4)="milk",AND(MID(B258,1,2)="50",NOT(input_values!M258="Y")),AND(MID(B258,1,2)="40",NOT(input_values!M258="Y")),AND(MID(B258,1,2)="30",NOT(input_values!M258="Y"))),3,IF(OR(V258="&lt;25",B258&gt;1000000),1,IF((T258&gt;=S258),"2b","2a")))))</f>
        <v>1</v>
      </c>
      <c r="Y258" s="128">
        <f>IF(X258="ND","ND",IF(S258="","",IF(input_values!K258&gt;0,input_values!K258,IF(OR(X258=1,X258=3),1,IF((V258&gt;250),5,7)))))</f>
        <v>1</v>
      </c>
      <c r="Z258" s="345" t="str">
        <f t="shared" ref="Z258:Z267" si="40">IF(OR(ISTEXT(F258),F258=0),"",IF(OR(S258="ND",T258="ND"),"ND",IF(S258=0,0,IF(($X258="2a"),1/$R258*(($F258*$T258/1000*$Y258)+($F258*($S258-$T258)/1000)),IF(($X258="2b"),1/$R258*($F258*$S258/1000*$Y258),1/$R258*($F258*$S258/1000))))))</f>
        <v/>
      </c>
      <c r="AA258" s="332">
        <f t="shared" si="30"/>
        <v>0</v>
      </c>
      <c r="AB258" s="128">
        <f t="shared" si="36"/>
        <v>1</v>
      </c>
      <c r="AC258" s="345" t="str">
        <f t="shared" si="37"/>
        <v/>
      </c>
      <c r="AD258" s="332">
        <f t="shared" si="31"/>
        <v>0</v>
      </c>
      <c r="AE258" s="40" t="str">
        <f t="shared" si="38"/>
        <v/>
      </c>
      <c r="AF258" s="40" t="str">
        <f t="shared" si="39"/>
        <v/>
      </c>
      <c r="AG258" s="561" t="str">
        <f t="shared" si="32"/>
        <v/>
      </c>
      <c r="AH258" s="561" t="str">
        <f t="shared" si="33"/>
        <v/>
      </c>
      <c r="AI258" s="334"/>
    </row>
    <row r="259" spans="1:35" outlineLevel="3" x14ac:dyDescent="0.2">
      <c r="A259" s="39">
        <v>4</v>
      </c>
      <c r="B259" s="23">
        <v>631020</v>
      </c>
      <c r="C259" s="23" t="s">
        <v>768</v>
      </c>
      <c r="D259" s="300">
        <f>Table22[[#This Row],[Level used for acute calculation]]</f>
        <v>4</v>
      </c>
      <c r="E259" s="302">
        <f>Table22[[#This Row],[MRL individual commodity]]</f>
        <v>0</v>
      </c>
      <c r="F259" s="451">
        <f>Table22[[#This Row],[Acute RA input value]]</f>
        <v>0</v>
      </c>
      <c r="G259" s="301" t="str">
        <f>Table22[[#This Row],[Acute RA label]]</f>
        <v/>
      </c>
      <c r="H259" s="303">
        <f>Table22[[#This Row],[Acute RA IESTI new input value]]</f>
        <v>0</v>
      </c>
      <c r="I259" s="301" t="str">
        <f>Table22[[#This Row],[Acute RA IESTI new label]]</f>
        <v/>
      </c>
      <c r="J259" s="504"/>
      <c r="K259" s="544">
        <f>Table22[[#This Row],[GAP under assessment]]</f>
        <v>0</v>
      </c>
      <c r="L259" s="304" t="str">
        <f>IF(input_values!$M259=0,"",input_values!$M259)</f>
        <v/>
      </c>
      <c r="M259" s="301" t="str">
        <f>IF(input_values!H259=0,"",input_values!H259)</f>
        <v/>
      </c>
      <c r="N259" s="304">
        <f>input_values!$K259</f>
        <v>0</v>
      </c>
      <c r="O259" s="339">
        <v>0.2</v>
      </c>
      <c r="P259" s="128"/>
      <c r="Q259" s="128" t="s">
        <v>98</v>
      </c>
      <c r="R259" s="339">
        <v>10</v>
      </c>
      <c r="S259" s="338">
        <f>IF(O259="ND","ND",IF(O259="","",O259*R259))</f>
        <v>2</v>
      </c>
      <c r="T259" s="338" t="s">
        <v>617</v>
      </c>
      <c r="U259" s="129" t="s">
        <v>215</v>
      </c>
      <c r="V259" s="338" t="s">
        <v>617</v>
      </c>
      <c r="W259" s="129" t="s">
        <v>215</v>
      </c>
      <c r="X259" s="460">
        <f>IF(V259="ND","ND",IF(S259="","",IF(OR(MID(C259,1,4)="milk",AND(MID(B259,1,2)="50",NOT(input_values!M259="Y")),AND(MID(B259,1,2)="40",NOT(input_values!M259="Y")),AND(MID(B259,1,2)="30",NOT(input_values!M259="Y"))),3,IF(OR(V259="&lt;25",B259&gt;1000000),1,IF((T259&gt;=S259),"2b","2a")))))</f>
        <v>1</v>
      </c>
      <c r="Y259" s="128">
        <f>IF(X259="ND","ND",IF(S259="","",IF(input_values!K259&gt;0,input_values!K259,IF(OR(X259=1,X259=3),1,IF((V259&gt;250),5,7)))))</f>
        <v>1</v>
      </c>
      <c r="Z259" s="345" t="str">
        <f t="shared" si="40"/>
        <v/>
      </c>
      <c r="AA259" s="332">
        <f t="shared" si="30"/>
        <v>0</v>
      </c>
      <c r="AB259" s="128">
        <f t="shared" si="36"/>
        <v>1</v>
      </c>
      <c r="AC259" s="345" t="str">
        <f t="shared" si="37"/>
        <v/>
      </c>
      <c r="AD259" s="332">
        <f t="shared" si="31"/>
        <v>0</v>
      </c>
      <c r="AE259" s="40" t="str">
        <f t="shared" si="38"/>
        <v/>
      </c>
      <c r="AF259" s="40" t="str">
        <f t="shared" si="39"/>
        <v/>
      </c>
      <c r="AG259" s="561" t="str">
        <f t="shared" si="32"/>
        <v/>
      </c>
      <c r="AH259" s="561" t="str">
        <f t="shared" si="33"/>
        <v/>
      </c>
      <c r="AI259" s="334"/>
    </row>
    <row r="260" spans="1:35" outlineLevel="3" x14ac:dyDescent="0.2">
      <c r="A260" s="39">
        <v>4</v>
      </c>
      <c r="B260" s="23">
        <v>631030</v>
      </c>
      <c r="C260" s="23" t="s">
        <v>769</v>
      </c>
      <c r="D260" s="300">
        <f>Table22[[#This Row],[Level used for acute calculation]]</f>
        <v>4</v>
      </c>
      <c r="E260" s="302">
        <f>Table22[[#This Row],[MRL individual commodity]]</f>
        <v>0</v>
      </c>
      <c r="F260" s="451">
        <f>Table22[[#This Row],[Acute RA input value]]</f>
        <v>0</v>
      </c>
      <c r="G260" s="301" t="str">
        <f>Table22[[#This Row],[Acute RA label]]</f>
        <v/>
      </c>
      <c r="H260" s="303">
        <f>Table22[[#This Row],[Acute RA IESTI new input value]]</f>
        <v>0</v>
      </c>
      <c r="I260" s="301" t="str">
        <f>Table22[[#This Row],[Acute RA IESTI new label]]</f>
        <v/>
      </c>
      <c r="J260" s="504"/>
      <c r="K260" s="544">
        <f>Table22[[#This Row],[GAP under assessment]]</f>
        <v>0</v>
      </c>
      <c r="L260" s="304" t="str">
        <f>IF(input_values!$M260=0,"",input_values!$M260)</f>
        <v/>
      </c>
      <c r="M260" s="301" t="str">
        <f>IF(input_values!H260=0,"",input_values!H260)</f>
        <v/>
      </c>
      <c r="N260" s="304">
        <f>input_values!$K260</f>
        <v>0</v>
      </c>
      <c r="O260" s="339">
        <v>0.2</v>
      </c>
      <c r="P260" s="128"/>
      <c r="Q260" s="128" t="s">
        <v>98</v>
      </c>
      <c r="R260" s="339">
        <v>10</v>
      </c>
      <c r="S260" s="338">
        <f>IF(O260="ND","ND",IF(O260="","",O260*R260))</f>
        <v>2</v>
      </c>
      <c r="T260" s="338" t="s">
        <v>617</v>
      </c>
      <c r="U260" s="129" t="s">
        <v>215</v>
      </c>
      <c r="V260" s="338" t="s">
        <v>617</v>
      </c>
      <c r="W260" s="129" t="s">
        <v>215</v>
      </c>
      <c r="X260" s="460">
        <f>IF(V260="ND","ND",IF(S260="","",IF(OR(MID(C260,1,4)="milk",AND(MID(B260,1,2)="50",NOT(input_values!M260="Y")),AND(MID(B260,1,2)="40",NOT(input_values!M260="Y")),AND(MID(B260,1,2)="30",NOT(input_values!M260="Y"))),3,IF(OR(V260="&lt;25",B260&gt;1000000),1,IF((T260&gt;=S260),"2b","2a")))))</f>
        <v>1</v>
      </c>
      <c r="Y260" s="128">
        <f>IF(X260="ND","ND",IF(S260="","",IF(input_values!K260&gt;0,input_values!K260,IF(OR(X260=1,X260=3),1,IF((V260&gt;250),5,7)))))</f>
        <v>1</v>
      </c>
      <c r="Z260" s="345" t="str">
        <f t="shared" si="40"/>
        <v/>
      </c>
      <c r="AA260" s="332">
        <f t="shared" si="30"/>
        <v>0</v>
      </c>
      <c r="AB260" s="128">
        <f t="shared" si="36"/>
        <v>1</v>
      </c>
      <c r="AC260" s="345" t="str">
        <f t="shared" si="37"/>
        <v/>
      </c>
      <c r="AD260" s="332">
        <f t="shared" si="31"/>
        <v>0</v>
      </c>
      <c r="AE260" s="40" t="str">
        <f t="shared" si="38"/>
        <v/>
      </c>
      <c r="AF260" s="40" t="str">
        <f t="shared" si="39"/>
        <v/>
      </c>
      <c r="AG260" s="561" t="str">
        <f t="shared" si="32"/>
        <v/>
      </c>
      <c r="AH260" s="561" t="str">
        <f t="shared" si="33"/>
        <v/>
      </c>
      <c r="AI260" s="313"/>
    </row>
    <row r="261" spans="1:35" outlineLevel="3" x14ac:dyDescent="0.2">
      <c r="A261" s="39">
        <v>4</v>
      </c>
      <c r="B261" s="23">
        <v>631040</v>
      </c>
      <c r="C261" s="23" t="s">
        <v>770</v>
      </c>
      <c r="D261" s="300">
        <f>Table22[[#This Row],[Level used for acute calculation]]</f>
        <v>4</v>
      </c>
      <c r="E261" s="302">
        <f>Table22[[#This Row],[MRL individual commodity]]</f>
        <v>0</v>
      </c>
      <c r="F261" s="451">
        <f>Table22[[#This Row],[Acute RA input value]]</f>
        <v>0</v>
      </c>
      <c r="G261" s="301" t="str">
        <f>Table22[[#This Row],[Acute RA label]]</f>
        <v/>
      </c>
      <c r="H261" s="303">
        <f>Table22[[#This Row],[Acute RA IESTI new input value]]</f>
        <v>0</v>
      </c>
      <c r="I261" s="301" t="str">
        <f>Table22[[#This Row],[Acute RA IESTI new label]]</f>
        <v/>
      </c>
      <c r="J261" s="504"/>
      <c r="K261" s="544">
        <f>Table22[[#This Row],[GAP under assessment]]</f>
        <v>0</v>
      </c>
      <c r="L261" s="304" t="str">
        <f>IF(input_values!$M261=0,"",input_values!$M261)</f>
        <v/>
      </c>
      <c r="M261" s="301" t="str">
        <f>IF(input_values!H261=0,"",input_values!H261)</f>
        <v/>
      </c>
      <c r="N261" s="304">
        <f>input_values!$K261</f>
        <v>0</v>
      </c>
      <c r="O261" s="339">
        <v>0.2</v>
      </c>
      <c r="P261" s="128"/>
      <c r="Q261" s="128" t="s">
        <v>98</v>
      </c>
      <c r="R261" s="339">
        <v>10</v>
      </c>
      <c r="S261" s="338">
        <f>IF(O261="ND","ND",IF(O261="","",O261*R261))</f>
        <v>2</v>
      </c>
      <c r="T261" s="338" t="s">
        <v>617</v>
      </c>
      <c r="U261" s="129" t="s">
        <v>215</v>
      </c>
      <c r="V261" s="338" t="s">
        <v>617</v>
      </c>
      <c r="W261" s="129" t="s">
        <v>215</v>
      </c>
      <c r="X261" s="460">
        <f>IF(V261="ND","ND",IF(S261="","",IF(OR(MID(C261,1,4)="milk",AND(MID(B261,1,2)="50",NOT(input_values!M261="Y")),AND(MID(B261,1,2)="40",NOT(input_values!M261="Y")),AND(MID(B261,1,2)="30",NOT(input_values!M261="Y"))),3,IF(OR(V261="&lt;25",B261&gt;1000000),1,IF((T261&gt;=S261),"2b","2a")))))</f>
        <v>1</v>
      </c>
      <c r="Y261" s="128">
        <f>IF(X261="ND","ND",IF(S261="","",IF(input_values!K261&gt;0,input_values!K261,IF(OR(X261=1,X261=3),1,IF((V261&gt;250),5,7)))))</f>
        <v>1</v>
      </c>
      <c r="Z261" s="345" t="str">
        <f t="shared" si="40"/>
        <v/>
      </c>
      <c r="AA261" s="332">
        <f t="shared" si="30"/>
        <v>0</v>
      </c>
      <c r="AB261" s="128">
        <f t="shared" si="36"/>
        <v>1</v>
      </c>
      <c r="AC261" s="345" t="str">
        <f t="shared" si="37"/>
        <v/>
      </c>
      <c r="AD261" s="332">
        <f t="shared" si="31"/>
        <v>0</v>
      </c>
      <c r="AE261" s="40" t="str">
        <f t="shared" si="38"/>
        <v/>
      </c>
      <c r="AF261" s="40" t="str">
        <f t="shared" si="39"/>
        <v/>
      </c>
      <c r="AG261" s="561" t="str">
        <f t="shared" si="32"/>
        <v/>
      </c>
      <c r="AH261" s="561" t="str">
        <f t="shared" si="33"/>
        <v/>
      </c>
      <c r="AI261" s="313"/>
    </row>
    <row r="262" spans="1:35" outlineLevel="3" x14ac:dyDescent="0.2">
      <c r="A262" s="39">
        <v>4</v>
      </c>
      <c r="B262" s="23">
        <v>631050</v>
      </c>
      <c r="C262" s="23" t="s">
        <v>766</v>
      </c>
      <c r="D262" s="300">
        <f>Table22[[#This Row],[Level used for acute calculation]]</f>
        <v>4</v>
      </c>
      <c r="E262" s="302">
        <f>Table22[[#This Row],[MRL individual commodity]]</f>
        <v>0</v>
      </c>
      <c r="F262" s="451">
        <f>Table22[[#This Row],[Acute RA input value]]</f>
        <v>0</v>
      </c>
      <c r="G262" s="301" t="str">
        <f>Table22[[#This Row],[Acute RA label]]</f>
        <v/>
      </c>
      <c r="H262" s="303">
        <f>Table22[[#This Row],[Acute RA IESTI new input value]]</f>
        <v>0</v>
      </c>
      <c r="I262" s="301" t="str">
        <f>Table22[[#This Row],[Acute RA IESTI new label]]</f>
        <v/>
      </c>
      <c r="J262" s="504"/>
      <c r="K262" s="544">
        <f>Table22[[#This Row],[GAP under assessment]]</f>
        <v>0</v>
      </c>
      <c r="L262" s="304" t="str">
        <f>IF(input_values!$M262=0,"",input_values!$M262)</f>
        <v/>
      </c>
      <c r="M262" s="301" t="str">
        <f>IF(input_values!H262=0,"",input_values!H262)</f>
        <v/>
      </c>
      <c r="N262" s="304">
        <f>input_values!$K262</f>
        <v>0</v>
      </c>
      <c r="O262" s="339">
        <v>0.2</v>
      </c>
      <c r="P262" s="128"/>
      <c r="Q262" s="128" t="s">
        <v>98</v>
      </c>
      <c r="R262" s="339">
        <v>10</v>
      </c>
      <c r="S262" s="338">
        <f>IF(O262="ND","ND",IF(O262="","",O262*R262))</f>
        <v>2</v>
      </c>
      <c r="T262" s="338" t="s">
        <v>617</v>
      </c>
      <c r="U262" s="129" t="s">
        <v>215</v>
      </c>
      <c r="V262" s="338" t="s">
        <v>617</v>
      </c>
      <c r="W262" s="129" t="s">
        <v>215</v>
      </c>
      <c r="X262" s="460">
        <f>IF(V262="ND","ND",IF(S262="","",IF(OR(MID(C262,1,4)="milk",AND(MID(B262,1,2)="50",NOT(input_values!M262="Y")),AND(MID(B262,1,2)="40",NOT(input_values!M262="Y")),AND(MID(B262,1,2)="30",NOT(input_values!M262="Y"))),3,IF(OR(V262="&lt;25",B262&gt;1000000),1,IF((T262&gt;=S262),"2b","2a")))))</f>
        <v>1</v>
      </c>
      <c r="Y262" s="128">
        <f>IF(X262="ND","ND",IF(S262="","",IF(input_values!K262&gt;0,input_values!K262,IF(OR(X262=1,X262=3),1,IF((V262&gt;250),5,7)))))</f>
        <v>1</v>
      </c>
      <c r="Z262" s="345" t="str">
        <f t="shared" si="40"/>
        <v/>
      </c>
      <c r="AA262" s="332">
        <f t="shared" si="30"/>
        <v>0</v>
      </c>
      <c r="AB262" s="128">
        <f t="shared" si="36"/>
        <v>1</v>
      </c>
      <c r="AC262" s="345" t="str">
        <f t="shared" si="37"/>
        <v/>
      </c>
      <c r="AD262" s="332">
        <f t="shared" si="31"/>
        <v>0</v>
      </c>
      <c r="AE262" s="40" t="str">
        <f t="shared" si="38"/>
        <v/>
      </c>
      <c r="AF262" s="40" t="str">
        <f t="shared" si="39"/>
        <v/>
      </c>
      <c r="AG262" s="561" t="str">
        <f t="shared" si="32"/>
        <v/>
      </c>
      <c r="AH262" s="561" t="str">
        <f t="shared" si="33"/>
        <v/>
      </c>
      <c r="AI262" s="313"/>
    </row>
    <row r="263" spans="1:35" ht="24" outlineLevel="3" x14ac:dyDescent="0.2">
      <c r="A263" s="39">
        <v>4</v>
      </c>
      <c r="B263" s="23">
        <v>631990</v>
      </c>
      <c r="C263" s="23" t="s">
        <v>180</v>
      </c>
      <c r="D263" s="300">
        <f>Table22[[#This Row],[Level used for acute calculation]]</f>
        <v>0</v>
      </c>
      <c r="E263" s="302">
        <f>Table22[[#This Row],[MRL individual commodity]]</f>
        <v>0</v>
      </c>
      <c r="F263" s="451">
        <f>Table22[[#This Row],[Acute RA input value]]</f>
        <v>0</v>
      </c>
      <c r="G263" s="301">
        <f>Table22[[#This Row],[Acute RA label]]</f>
        <v>0</v>
      </c>
      <c r="H263" s="303">
        <f>Table22[[#This Row],[Acute RA IESTI new input value]]</f>
        <v>0</v>
      </c>
      <c r="I263" s="301">
        <f>Table22[[#This Row],[Acute RA IESTI new label]]</f>
        <v>0</v>
      </c>
      <c r="J263" s="504"/>
      <c r="K263" s="544">
        <f>Table22[[#This Row],[GAP under assessment]]</f>
        <v>0</v>
      </c>
      <c r="L263" s="304" t="str">
        <f>IF(input_values!$M263=0,"",input_values!$M263)</f>
        <v/>
      </c>
      <c r="M263" s="301" t="str">
        <f>IF(input_values!H263=0,"",input_values!H263)</f>
        <v/>
      </c>
      <c r="N263" s="304">
        <f>input_values!$K263</f>
        <v>0</v>
      </c>
      <c r="O263" s="349"/>
      <c r="P263" s="47"/>
      <c r="Q263" s="47"/>
      <c r="R263" s="349"/>
      <c r="S263" s="347"/>
      <c r="T263" s="347"/>
      <c r="U263" s="337"/>
      <c r="V263" s="347"/>
      <c r="W263" s="337"/>
      <c r="X263" s="611" t="str">
        <f>IF(V263="ND","ND",IF(S263="","",IF(OR(MID(C263,1,4)="milk",AND(MID(B263,1,2)="50",NOT(input_values!M263="Y")),AND(MID(B263,1,2)="40",NOT(input_values!M263="Y")),AND(MID(B263,1,2)="30",NOT(input_values!M263="Y"))),3,IF(OR(V263="&lt;25",B263&gt;1000000),1,IF((T263&gt;=S263),"2b","2a")))))</f>
        <v/>
      </c>
      <c r="Y263" s="47" t="str">
        <f>IF(X263="ND","ND",IF(S263="","",IF(input_values!K263&gt;0,input_values!K263,IF(OR(X263=1,X263=3),1,IF((V263&gt;250),5,7)))))</f>
        <v/>
      </c>
      <c r="Z263" s="354"/>
      <c r="AA263" s="351">
        <f t="shared" si="30"/>
        <v>0</v>
      </c>
      <c r="AB263" s="47"/>
      <c r="AC263" s="354"/>
      <c r="AD263" s="351">
        <f t="shared" si="31"/>
        <v>0</v>
      </c>
      <c r="AE263" s="355"/>
      <c r="AF263" s="355"/>
      <c r="AG263" s="561" t="str">
        <f t="shared" si="32"/>
        <v/>
      </c>
      <c r="AH263" s="561" t="str">
        <f t="shared" si="33"/>
        <v/>
      </c>
      <c r="AI263" s="313"/>
    </row>
    <row r="264" spans="1:35" ht="24" outlineLevel="2" x14ac:dyDescent="0.2">
      <c r="A264" s="132">
        <v>3</v>
      </c>
      <c r="B264" s="3">
        <v>632000</v>
      </c>
      <c r="C264" s="3" t="s">
        <v>75</v>
      </c>
      <c r="D264" s="300">
        <f>Table22[[#This Row],[Level used for acute calculation]]</f>
        <v>4</v>
      </c>
      <c r="E264" s="302">
        <f>Table22[[#This Row],[MRL individual commodity]]</f>
        <v>0</v>
      </c>
      <c r="F264" s="451">
        <f>Table22[[#This Row],[Acute RA input value]]</f>
        <v>0</v>
      </c>
      <c r="G264" s="301">
        <f>Table22[[#This Row],[Acute RA label]]</f>
        <v>0</v>
      </c>
      <c r="H264" s="303">
        <f>Table22[[#This Row],[Acute RA IESTI new input value]]</f>
        <v>0</v>
      </c>
      <c r="I264" s="301">
        <f>Table22[[#This Row],[Acute RA IESTI new label]]</f>
        <v>0</v>
      </c>
      <c r="J264" s="504"/>
      <c r="K264" s="544">
        <f>Table22[[#This Row],[GAP under assessment]]</f>
        <v>0</v>
      </c>
      <c r="L264" s="304" t="str">
        <f>IF(input_values!$M264=0,"",input_values!$M264)</f>
        <v/>
      </c>
      <c r="M264" s="301" t="str">
        <f>IF(input_values!H264=0,"",input_values!H264)</f>
        <v/>
      </c>
      <c r="N264" s="304">
        <f>input_values!$K264</f>
        <v>0</v>
      </c>
      <c r="O264" s="349"/>
      <c r="P264" s="47"/>
      <c r="Q264" s="47"/>
      <c r="R264" s="349"/>
      <c r="S264" s="347"/>
      <c r="T264" s="347"/>
      <c r="U264" s="337"/>
      <c r="V264" s="347"/>
      <c r="W264" s="337"/>
      <c r="X264" s="611" t="str">
        <f>IF(V264="ND","ND",IF(S264="","",IF(OR(MID(C264,1,4)="milk",AND(MID(B264,1,2)="50",NOT(input_values!M264="Y")),AND(MID(B264,1,2)="40",NOT(input_values!M264="Y")),AND(MID(B264,1,2)="30",NOT(input_values!M264="Y"))),3,IF(OR(V264="&lt;25",B264&gt;1000000),1,IF((T264&gt;=S264),"2b","2a")))))</f>
        <v/>
      </c>
      <c r="Y264" s="47" t="str">
        <f>IF(X264="ND","ND",IF(S264="","",IF(input_values!K264&gt;0,input_values!K264,IF(OR(X264=1,X264=3),1,IF((V264&gt;250),5,7)))))</f>
        <v/>
      </c>
      <c r="Z264" s="354" t="str">
        <f t="shared" si="40"/>
        <v/>
      </c>
      <c r="AA264" s="351">
        <f t="shared" si="30"/>
        <v>0</v>
      </c>
      <c r="AB264" s="47" t="str">
        <f t="shared" si="36"/>
        <v/>
      </c>
      <c r="AC264" s="354" t="str">
        <f t="shared" si="37"/>
        <v/>
      </c>
      <c r="AD264" s="351">
        <f t="shared" si="31"/>
        <v>0</v>
      </c>
      <c r="AE264" s="355" t="str">
        <f t="shared" si="38"/>
        <v/>
      </c>
      <c r="AF264" s="355" t="str">
        <f t="shared" si="39"/>
        <v/>
      </c>
      <c r="AG264" s="561" t="str">
        <f t="shared" si="32"/>
        <v/>
      </c>
      <c r="AH264" s="561" t="str">
        <f t="shared" si="33"/>
        <v/>
      </c>
      <c r="AI264" s="313"/>
    </row>
    <row r="265" spans="1:35" outlineLevel="3" x14ac:dyDescent="0.2">
      <c r="A265" s="39">
        <v>4</v>
      </c>
      <c r="B265" s="23">
        <v>632010</v>
      </c>
      <c r="C265" s="23" t="s">
        <v>162</v>
      </c>
      <c r="D265" s="300">
        <f>Table22[[#This Row],[Level used for acute calculation]]</f>
        <v>4</v>
      </c>
      <c r="E265" s="302">
        <f>Table22[[#This Row],[MRL individual commodity]]</f>
        <v>0</v>
      </c>
      <c r="F265" s="451">
        <f>Table22[[#This Row],[Acute RA input value]]</f>
        <v>0</v>
      </c>
      <c r="G265" s="301" t="str">
        <f>Table22[[#This Row],[Acute RA label]]</f>
        <v/>
      </c>
      <c r="H265" s="303">
        <f>Table22[[#This Row],[Acute RA IESTI new input value]]</f>
        <v>0</v>
      </c>
      <c r="I265" s="301" t="str">
        <f>Table22[[#This Row],[Acute RA IESTI new label]]</f>
        <v/>
      </c>
      <c r="J265" s="504"/>
      <c r="K265" s="544">
        <f>Table22[[#This Row],[GAP under assessment]]</f>
        <v>0</v>
      </c>
      <c r="L265" s="304" t="str">
        <f>IF(input_values!$M265=0,"",input_values!$M265)</f>
        <v/>
      </c>
      <c r="M265" s="301" t="str">
        <f>IF(input_values!H265=0,"",input_values!H265)</f>
        <v/>
      </c>
      <c r="N265" s="304">
        <f>input_values!$K265</f>
        <v>0</v>
      </c>
      <c r="O265" s="339">
        <v>0.2</v>
      </c>
      <c r="P265" s="128"/>
      <c r="Q265" s="128" t="s">
        <v>98</v>
      </c>
      <c r="R265" s="339">
        <v>10</v>
      </c>
      <c r="S265" s="338">
        <f>IF(O265="ND","ND",IF(O265="","",O265*R265))</f>
        <v>2</v>
      </c>
      <c r="T265" s="338" t="s">
        <v>617</v>
      </c>
      <c r="U265" s="129" t="s">
        <v>215</v>
      </c>
      <c r="V265" s="338" t="s">
        <v>617</v>
      </c>
      <c r="W265" s="129" t="s">
        <v>215</v>
      </c>
      <c r="X265" s="460">
        <f>IF(V265="ND","ND",IF(S265="","",IF(OR(MID(C265,1,4)="milk",AND(MID(B265,1,2)="50",NOT(input_values!M265="Y")),AND(MID(B265,1,2)="40",NOT(input_values!M265="Y")),AND(MID(B265,1,2)="30",NOT(input_values!M265="Y"))),3,IF(OR(V265="&lt;25",B265&gt;1000000),1,IF((T265&gt;=S265),"2b","2a")))))</f>
        <v>1</v>
      </c>
      <c r="Y265" s="128">
        <f>IF(X265="ND","ND",IF(S265="","",IF(input_values!K265&gt;0,input_values!K265,IF(OR(X265=1,X265=3),1,IF((V265&gt;250),5,7)))))</f>
        <v>1</v>
      </c>
      <c r="Z265" s="453" t="str">
        <f t="shared" si="40"/>
        <v/>
      </c>
      <c r="AA265" s="454">
        <f t="shared" si="30"/>
        <v>0</v>
      </c>
      <c r="AB265" s="27">
        <f t="shared" si="36"/>
        <v>1</v>
      </c>
      <c r="AC265" s="453" t="str">
        <f t="shared" si="37"/>
        <v/>
      </c>
      <c r="AD265" s="454">
        <f t="shared" si="31"/>
        <v>0</v>
      </c>
      <c r="AE265" s="444" t="str">
        <f t="shared" si="38"/>
        <v/>
      </c>
      <c r="AF265" s="444" t="str">
        <f t="shared" si="39"/>
        <v/>
      </c>
      <c r="AG265" s="561" t="str">
        <f t="shared" si="32"/>
        <v/>
      </c>
      <c r="AH265" s="561" t="str">
        <f t="shared" si="33"/>
        <v/>
      </c>
      <c r="AI265" s="313"/>
    </row>
    <row r="266" spans="1:35" outlineLevel="3" x14ac:dyDescent="0.2">
      <c r="A266" s="39">
        <v>4</v>
      </c>
      <c r="B266" s="23">
        <v>632020</v>
      </c>
      <c r="C266" s="23" t="s">
        <v>771</v>
      </c>
      <c r="D266" s="300">
        <f>Table22[[#This Row],[Level used for acute calculation]]</f>
        <v>4</v>
      </c>
      <c r="E266" s="302">
        <f>Table22[[#This Row],[MRL individual commodity]]</f>
        <v>0</v>
      </c>
      <c r="F266" s="451">
        <f>Table22[[#This Row],[Acute RA input value]]</f>
        <v>0</v>
      </c>
      <c r="G266" s="301" t="str">
        <f>Table22[[#This Row],[Acute RA label]]</f>
        <v/>
      </c>
      <c r="H266" s="303">
        <f>Table22[[#This Row],[Acute RA IESTI new input value]]</f>
        <v>0</v>
      </c>
      <c r="I266" s="301" t="str">
        <f>Table22[[#This Row],[Acute RA IESTI new label]]</f>
        <v/>
      </c>
      <c r="J266" s="504"/>
      <c r="K266" s="544">
        <f>Table22[[#This Row],[GAP under assessment]]</f>
        <v>0</v>
      </c>
      <c r="L266" s="304" t="str">
        <f>IF(input_values!$M266=0,"",input_values!$M266)</f>
        <v/>
      </c>
      <c r="M266" s="301" t="str">
        <f>IF(input_values!H266=0,"",input_values!H266)</f>
        <v/>
      </c>
      <c r="N266" s="304">
        <f>input_values!$K266</f>
        <v>0</v>
      </c>
      <c r="O266" s="339">
        <v>0.2</v>
      </c>
      <c r="P266" s="128"/>
      <c r="Q266" s="128" t="s">
        <v>98</v>
      </c>
      <c r="R266" s="339">
        <v>10</v>
      </c>
      <c r="S266" s="338">
        <f>IF(O266="ND","ND",IF(O266="","",O266*R266))</f>
        <v>2</v>
      </c>
      <c r="T266" s="338" t="s">
        <v>617</v>
      </c>
      <c r="U266" s="129" t="s">
        <v>215</v>
      </c>
      <c r="V266" s="338" t="s">
        <v>617</v>
      </c>
      <c r="W266" s="129" t="s">
        <v>215</v>
      </c>
      <c r="X266" s="460">
        <f>IF(V266="ND","ND",IF(S266="","",IF(OR(MID(C266,1,4)="milk",AND(MID(B266,1,2)="50",NOT(input_values!M266="Y")),AND(MID(B266,1,2)="40",NOT(input_values!M266="Y")),AND(MID(B266,1,2)="30",NOT(input_values!M266="Y"))),3,IF(OR(V266="&lt;25",B266&gt;1000000),1,IF((T266&gt;=S266),"2b","2a")))))</f>
        <v>1</v>
      </c>
      <c r="Y266" s="128">
        <f>IF(X266="ND","ND",IF(S266="","",IF(input_values!K266&gt;0,input_values!K266,IF(OR(X266=1,X266=3),1,IF((V266&gt;250),5,7)))))</f>
        <v>1</v>
      </c>
      <c r="Z266" s="453" t="str">
        <f t="shared" si="40"/>
        <v/>
      </c>
      <c r="AA266" s="454">
        <f t="shared" si="30"/>
        <v>0</v>
      </c>
      <c r="AB266" s="27">
        <f t="shared" si="36"/>
        <v>1</v>
      </c>
      <c r="AC266" s="453" t="str">
        <f t="shared" si="37"/>
        <v/>
      </c>
      <c r="AD266" s="454">
        <f t="shared" si="31"/>
        <v>0</v>
      </c>
      <c r="AE266" s="444" t="str">
        <f t="shared" si="38"/>
        <v/>
      </c>
      <c r="AF266" s="444" t="str">
        <f t="shared" si="39"/>
        <v/>
      </c>
      <c r="AG266" s="561" t="str">
        <f t="shared" si="32"/>
        <v/>
      </c>
      <c r="AH266" s="561" t="str">
        <f t="shared" si="33"/>
        <v/>
      </c>
      <c r="AI266" s="313"/>
    </row>
    <row r="267" spans="1:35" outlineLevel="3" x14ac:dyDescent="0.2">
      <c r="A267" s="39">
        <v>4</v>
      </c>
      <c r="B267" s="23">
        <v>632030</v>
      </c>
      <c r="C267" s="23" t="s">
        <v>772</v>
      </c>
      <c r="D267" s="300">
        <f>Table22[[#This Row],[Level used for acute calculation]]</f>
        <v>4</v>
      </c>
      <c r="E267" s="302">
        <f>Table22[[#This Row],[MRL individual commodity]]</f>
        <v>0</v>
      </c>
      <c r="F267" s="451">
        <f>Table22[[#This Row],[Acute RA input value]]</f>
        <v>0</v>
      </c>
      <c r="G267" s="301" t="str">
        <f>Table22[[#This Row],[Acute RA label]]</f>
        <v/>
      </c>
      <c r="H267" s="303">
        <f>Table22[[#This Row],[Acute RA IESTI new input value]]</f>
        <v>0</v>
      </c>
      <c r="I267" s="301" t="str">
        <f>Table22[[#This Row],[Acute RA IESTI new label]]</f>
        <v/>
      </c>
      <c r="J267" s="504"/>
      <c r="K267" s="544">
        <f>Table22[[#This Row],[GAP under assessment]]</f>
        <v>0</v>
      </c>
      <c r="L267" s="304" t="str">
        <f>IF(input_values!$M267=0,"",input_values!$M267)</f>
        <v/>
      </c>
      <c r="M267" s="301" t="str">
        <f>IF(input_values!H267=0,"",input_values!H267)</f>
        <v/>
      </c>
      <c r="N267" s="304">
        <f>input_values!$K267</f>
        <v>0</v>
      </c>
      <c r="O267" s="339">
        <v>0.2</v>
      </c>
      <c r="P267" s="128"/>
      <c r="Q267" s="128" t="s">
        <v>98</v>
      </c>
      <c r="R267" s="339">
        <v>10</v>
      </c>
      <c r="S267" s="338">
        <f>IF(O267="ND","ND",IF(O267="","",O267*R267))</f>
        <v>2</v>
      </c>
      <c r="T267" s="338" t="s">
        <v>617</v>
      </c>
      <c r="U267" s="129" t="s">
        <v>215</v>
      </c>
      <c r="V267" s="338" t="s">
        <v>617</v>
      </c>
      <c r="W267" s="129" t="s">
        <v>215</v>
      </c>
      <c r="X267" s="460">
        <f>IF(V267="ND","ND",IF(S267="","",IF(OR(MID(C267,1,4)="milk",AND(MID(B267,1,2)="50",NOT(input_values!M267="Y")),AND(MID(B267,1,2)="40",NOT(input_values!M267="Y")),AND(MID(B267,1,2)="30",NOT(input_values!M267="Y"))),3,IF(OR(V267="&lt;25",B267&gt;1000000),1,IF((T267&gt;=S267),"2b","2a")))))</f>
        <v>1</v>
      </c>
      <c r="Y267" s="128">
        <f>IF(X267="ND","ND",IF(S267="","",IF(input_values!K267&gt;0,input_values!K267,IF(OR(X267=1,X267=3),1,IF((V267&gt;250),5,7)))))</f>
        <v>1</v>
      </c>
      <c r="Z267" s="453" t="str">
        <f t="shared" si="40"/>
        <v/>
      </c>
      <c r="AA267" s="454">
        <f t="shared" si="30"/>
        <v>0</v>
      </c>
      <c r="AB267" s="27">
        <f t="shared" si="36"/>
        <v>1</v>
      </c>
      <c r="AC267" s="453" t="str">
        <f t="shared" si="37"/>
        <v/>
      </c>
      <c r="AD267" s="454">
        <f t="shared" si="31"/>
        <v>0</v>
      </c>
      <c r="AE267" s="444" t="str">
        <f t="shared" si="38"/>
        <v/>
      </c>
      <c r="AF267" s="444" t="str">
        <f t="shared" si="39"/>
        <v/>
      </c>
      <c r="AG267" s="561" t="str">
        <f t="shared" si="32"/>
        <v/>
      </c>
      <c r="AH267" s="561" t="str">
        <f t="shared" si="33"/>
        <v/>
      </c>
      <c r="AI267" s="313"/>
    </row>
    <row r="268" spans="1:35" ht="24" outlineLevel="3" x14ac:dyDescent="0.2">
      <c r="A268" s="39">
        <v>4</v>
      </c>
      <c r="B268" s="23">
        <v>632990</v>
      </c>
      <c r="C268" s="23" t="s">
        <v>181</v>
      </c>
      <c r="D268" s="300">
        <f>Table22[[#This Row],[Level used for acute calculation]]</f>
        <v>0</v>
      </c>
      <c r="E268" s="302">
        <f>Table22[[#This Row],[MRL individual commodity]]</f>
        <v>0</v>
      </c>
      <c r="F268" s="451">
        <f>Table22[[#This Row],[Acute RA input value]]</f>
        <v>0</v>
      </c>
      <c r="G268" s="301">
        <f>Table22[[#This Row],[Acute RA label]]</f>
        <v>0</v>
      </c>
      <c r="H268" s="303">
        <f>Table22[[#This Row],[Acute RA IESTI new input value]]</f>
        <v>0</v>
      </c>
      <c r="I268" s="301">
        <f>Table22[[#This Row],[Acute RA IESTI new label]]</f>
        <v>0</v>
      </c>
      <c r="J268" s="504"/>
      <c r="K268" s="544">
        <f>Table22[[#This Row],[GAP under assessment]]</f>
        <v>0</v>
      </c>
      <c r="L268" s="304" t="str">
        <f>IF(input_values!$M268=0,"",input_values!$M268)</f>
        <v/>
      </c>
      <c r="M268" s="301" t="str">
        <f>IF(input_values!H268=0,"",input_values!H268)</f>
        <v/>
      </c>
      <c r="N268" s="304">
        <f>input_values!$K268</f>
        <v>0</v>
      </c>
      <c r="O268" s="349"/>
      <c r="P268" s="47"/>
      <c r="Q268" s="47"/>
      <c r="R268" s="349"/>
      <c r="S268" s="347"/>
      <c r="T268" s="347"/>
      <c r="U268" s="337"/>
      <c r="V268" s="347"/>
      <c r="W268" s="337"/>
      <c r="X268" s="611" t="str">
        <f>IF(V268="ND","ND",IF(S268="","",IF(OR(MID(C268,1,4)="milk",AND(MID(B268,1,2)="50",NOT(input_values!M268="Y")),AND(MID(B268,1,2)="40",NOT(input_values!M268="Y")),AND(MID(B268,1,2)="30",NOT(input_values!M268="Y"))),3,IF(OR(V268="&lt;25",B268&gt;1000000),1,IF((T268&gt;=S268),"2b","2a")))))</f>
        <v/>
      </c>
      <c r="Y268" s="47" t="str">
        <f>IF(X268="ND","ND",IF(S268="","",IF(input_values!K268&gt;0,input_values!K268,IF(OR(X268=1,X268=3),1,IF((V268&gt;250),5,7)))))</f>
        <v/>
      </c>
      <c r="Z268" s="354"/>
      <c r="AA268" s="351">
        <f t="shared" ref="AA268:AA331" si="41">IF(OR(ISTEXT(F268),F268=0),0,IF($C$5="not necessary","no acute RA",IF(Z268="ND","no acute RA",Z268/$C$5)))</f>
        <v>0</v>
      </c>
      <c r="AB268" s="47"/>
      <c r="AC268" s="354"/>
      <c r="AD268" s="351">
        <f t="shared" ref="AD268:AD331" si="42">IF(OR(ISTEXT(H268),H268=0,S268=0),0,IF($C$5="not necessary","no acute RA",IF(AC268="ND","no acute RA",AC268/$C$5)))</f>
        <v>0</v>
      </c>
      <c r="AE268" s="355"/>
      <c r="AF268" s="355"/>
      <c r="AG268" s="561" t="str">
        <f t="shared" ref="AG268:AG331" si="43">IF(OR(Z268=0,Z268="ND",Z268="",$C$5="not necessary"),"",IF(X268="2a",1000*$C$5*R268/(T268*Y268+S268-T268),IF(X268="2b",1000*$C$5*R268/S268/Y268,IF(OR(X268=1,X268=3),1000*$C$5*R268/S268,""))))</f>
        <v/>
      </c>
      <c r="AH268" s="561" t="str">
        <f t="shared" ref="AH268:AH331" si="44">IF(OR(AC268=0,AC268="ND",AC268="",$C$5="not necessary"),"",1000*$C$5*R268/S268/AB268)</f>
        <v/>
      </c>
      <c r="AI268" s="313"/>
    </row>
    <row r="269" spans="1:35" outlineLevel="2" x14ac:dyDescent="0.2">
      <c r="A269" s="132">
        <v>3</v>
      </c>
      <c r="B269" s="3">
        <v>633000</v>
      </c>
      <c r="C269" s="3" t="s">
        <v>76</v>
      </c>
      <c r="D269" s="300">
        <f>Table22[[#This Row],[Level used for acute calculation]]</f>
        <v>4</v>
      </c>
      <c r="E269" s="302">
        <f>Table22[[#This Row],[MRL individual commodity]]</f>
        <v>0</v>
      </c>
      <c r="F269" s="451">
        <f>Table22[[#This Row],[Acute RA input value]]</f>
        <v>0</v>
      </c>
      <c r="G269" s="301">
        <f>Table22[[#This Row],[Acute RA label]]</f>
        <v>0</v>
      </c>
      <c r="H269" s="303">
        <f>Table22[[#This Row],[Acute RA IESTI new input value]]</f>
        <v>0</v>
      </c>
      <c r="I269" s="301">
        <f>Table22[[#This Row],[Acute RA IESTI new label]]</f>
        <v>0</v>
      </c>
      <c r="J269" s="504"/>
      <c r="K269" s="544">
        <f>Table22[[#This Row],[GAP under assessment]]</f>
        <v>0</v>
      </c>
      <c r="L269" s="304" t="str">
        <f>IF(input_values!$M269=0,"",input_values!$M269)</f>
        <v/>
      </c>
      <c r="M269" s="301" t="str">
        <f>IF(input_values!H269=0,"",input_values!H269)</f>
        <v/>
      </c>
      <c r="N269" s="304">
        <f>input_values!$K269</f>
        <v>0</v>
      </c>
      <c r="O269" s="349"/>
      <c r="P269" s="47"/>
      <c r="Q269" s="47"/>
      <c r="R269" s="349"/>
      <c r="S269" s="347"/>
      <c r="T269" s="347"/>
      <c r="U269" s="337"/>
      <c r="V269" s="347"/>
      <c r="W269" s="337"/>
      <c r="X269" s="611" t="str">
        <f>IF(V269="ND","ND",IF(S269="","",IF(OR(MID(C269,1,4)="milk",AND(MID(B269,1,2)="50",NOT(input_values!M269="Y")),AND(MID(B269,1,2)="40",NOT(input_values!M269="Y")),AND(MID(B269,1,2)="30",NOT(input_values!M269="Y"))),3,IF(OR(V269="&lt;25",B269&gt;1000000),1,IF((T269&gt;=S269),"2b","2a")))))</f>
        <v/>
      </c>
      <c r="Y269" s="47" t="str">
        <f>IF(X269="ND","ND",IF(S269="","",IF(input_values!K269&gt;0,input_values!K269,IF(OR(X269=1,X269=3),1,IF((V269&gt;250),5,7)))))</f>
        <v/>
      </c>
      <c r="Z269" s="354" t="str">
        <f t="shared" ref="Z269:Z330" si="45">IF(OR(ISTEXT(F269),F269=0),"",IF(OR(S269="ND",T269="ND"),"ND",IF(S269=0,0,IF(($X269="2a"),1/$R269*(($F269*$T269/1000*$Y269)+($F269*($S269-$T269)/1000)),IF(($X269="2b"),1/$R269*($F269*$S269/1000*$Y269),1/$R269*($F269*$S269/1000))))))</f>
        <v/>
      </c>
      <c r="AA269" s="351">
        <f t="shared" si="41"/>
        <v>0</v>
      </c>
      <c r="AB269" s="47" t="str">
        <f t="shared" ref="AB269:AB332" si="46">IF(OR(Y269=5,Y269=7,N269&gt;3),3,Y269)</f>
        <v/>
      </c>
      <c r="AC269" s="354" t="str">
        <f t="shared" ref="AC269:AC332" si="47">IF(OR(ISTEXT(H269),H269=0),"",IF(OR(S269="ND",T269="ND"),"ND",1/$R269*($H269*$S269*AB269/1000)))</f>
        <v/>
      </c>
      <c r="AD269" s="351">
        <f t="shared" si="42"/>
        <v>0</v>
      </c>
      <c r="AE269" s="355" t="str">
        <f t="shared" ref="AE269:AE332" si="48">IF(AA269&gt;=1,AG269,"")</f>
        <v/>
      </c>
      <c r="AF269" s="355" t="str">
        <f t="shared" ref="AF269:AF332" si="49">IF(AD269&gt;=1,AH269,"")</f>
        <v/>
      </c>
      <c r="AG269" s="561" t="str">
        <f t="shared" si="43"/>
        <v/>
      </c>
      <c r="AH269" s="561" t="str">
        <f t="shared" si="44"/>
        <v/>
      </c>
      <c r="AI269" s="313"/>
    </row>
    <row r="270" spans="1:35" outlineLevel="3" x14ac:dyDescent="0.2">
      <c r="A270" s="39">
        <v>4</v>
      </c>
      <c r="B270" s="23">
        <v>633010</v>
      </c>
      <c r="C270" s="23" t="s">
        <v>270</v>
      </c>
      <c r="D270" s="300">
        <f>Table22[[#This Row],[Level used for acute calculation]]</f>
        <v>4</v>
      </c>
      <c r="E270" s="302">
        <f>Table22[[#This Row],[MRL individual commodity]]</f>
        <v>0</v>
      </c>
      <c r="F270" s="451">
        <f>Table22[[#This Row],[Acute RA input value]]</f>
        <v>0</v>
      </c>
      <c r="G270" s="301" t="str">
        <f>Table22[[#This Row],[Acute RA label]]</f>
        <v/>
      </c>
      <c r="H270" s="303">
        <f>Table22[[#This Row],[Acute RA IESTI new input value]]</f>
        <v>0</v>
      </c>
      <c r="I270" s="301" t="str">
        <f>Table22[[#This Row],[Acute RA IESTI new label]]</f>
        <v/>
      </c>
      <c r="J270" s="504"/>
      <c r="K270" s="544">
        <f>Table22[[#This Row],[GAP under assessment]]</f>
        <v>0</v>
      </c>
      <c r="L270" s="304" t="str">
        <f>IF(input_values!$M270=0,"",input_values!$M270)</f>
        <v/>
      </c>
      <c r="M270" s="301" t="str">
        <f>IF(input_values!H270=0,"",input_values!H270)</f>
        <v/>
      </c>
      <c r="N270" s="304">
        <f>input_values!$K270</f>
        <v>0</v>
      </c>
      <c r="O270" s="339">
        <v>0.2</v>
      </c>
      <c r="P270" s="128"/>
      <c r="Q270" s="128" t="s">
        <v>98</v>
      </c>
      <c r="R270" s="339">
        <v>10</v>
      </c>
      <c r="S270" s="338">
        <f>IF(O270="ND","ND",IF(O270="","",O270*R270))</f>
        <v>2</v>
      </c>
      <c r="T270" s="338" t="s">
        <v>617</v>
      </c>
      <c r="U270" s="129" t="s">
        <v>215</v>
      </c>
      <c r="V270" s="338" t="s">
        <v>617</v>
      </c>
      <c r="W270" s="129" t="s">
        <v>215</v>
      </c>
      <c r="X270" s="460">
        <f>IF(V270="ND","ND",IF(S270="","",IF(OR(MID(C270,1,4)="milk",AND(MID(B270,1,2)="50",NOT(input_values!M270="Y")),AND(MID(B270,1,2)="40",NOT(input_values!M270="Y")),AND(MID(B270,1,2)="30",NOT(input_values!M270="Y"))),3,IF(OR(V270="&lt;25",B270&gt;1000000),1,IF((T270&gt;=S270),"2b","2a")))))</f>
        <v>1</v>
      </c>
      <c r="Y270" s="128">
        <f>IF(X270="ND","ND",IF(S270="","",IF(input_values!K270&gt;0,input_values!K270,IF(OR(X270=1,X270=3),1,IF((V270&gt;250),5,7)))))</f>
        <v>1</v>
      </c>
      <c r="Z270" s="453" t="str">
        <f t="shared" si="45"/>
        <v/>
      </c>
      <c r="AA270" s="454">
        <f t="shared" si="41"/>
        <v>0</v>
      </c>
      <c r="AB270" s="27">
        <f t="shared" si="46"/>
        <v>1</v>
      </c>
      <c r="AC270" s="453" t="str">
        <f t="shared" si="47"/>
        <v/>
      </c>
      <c r="AD270" s="454">
        <f t="shared" si="42"/>
        <v>0</v>
      </c>
      <c r="AE270" s="444" t="str">
        <f t="shared" si="48"/>
        <v/>
      </c>
      <c r="AF270" s="444" t="str">
        <f t="shared" si="49"/>
        <v/>
      </c>
      <c r="AG270" s="561" t="str">
        <f t="shared" si="43"/>
        <v/>
      </c>
      <c r="AH270" s="561" t="str">
        <f t="shared" si="44"/>
        <v/>
      </c>
      <c r="AI270" s="313"/>
    </row>
    <row r="271" spans="1:35" outlineLevel="3" x14ac:dyDescent="0.2">
      <c r="A271" s="39">
        <v>4</v>
      </c>
      <c r="B271" s="23">
        <v>633020</v>
      </c>
      <c r="C271" s="23" t="s">
        <v>271</v>
      </c>
      <c r="D271" s="300">
        <f>Table22[[#This Row],[Level used for acute calculation]]</f>
        <v>4</v>
      </c>
      <c r="E271" s="302">
        <f>Table22[[#This Row],[MRL individual commodity]]</f>
        <v>0</v>
      </c>
      <c r="F271" s="451">
        <f>Table22[[#This Row],[Acute RA input value]]</f>
        <v>0</v>
      </c>
      <c r="G271" s="301" t="str">
        <f>Table22[[#This Row],[Acute RA label]]</f>
        <v/>
      </c>
      <c r="H271" s="303">
        <f>Table22[[#This Row],[Acute RA IESTI new input value]]</f>
        <v>0</v>
      </c>
      <c r="I271" s="301" t="str">
        <f>Table22[[#This Row],[Acute RA IESTI new label]]</f>
        <v/>
      </c>
      <c r="J271" s="504"/>
      <c r="K271" s="544">
        <f>Table22[[#This Row],[GAP under assessment]]</f>
        <v>0</v>
      </c>
      <c r="L271" s="304" t="str">
        <f>IF(input_values!$M271=0,"",input_values!$M271)</f>
        <v/>
      </c>
      <c r="M271" s="301" t="str">
        <f>IF(input_values!H271=0,"",input_values!H271)</f>
        <v/>
      </c>
      <c r="N271" s="304">
        <f>input_values!$K271</f>
        <v>0</v>
      </c>
      <c r="O271" s="339">
        <v>0.2</v>
      </c>
      <c r="P271" s="128"/>
      <c r="Q271" s="128" t="s">
        <v>98</v>
      </c>
      <c r="R271" s="339">
        <v>10</v>
      </c>
      <c r="S271" s="338">
        <f>IF(O271="ND","ND",IF(O271="","",O271*R271))</f>
        <v>2</v>
      </c>
      <c r="T271" s="338" t="s">
        <v>617</v>
      </c>
      <c r="U271" s="129" t="s">
        <v>215</v>
      </c>
      <c r="V271" s="338" t="s">
        <v>617</v>
      </c>
      <c r="W271" s="129" t="s">
        <v>215</v>
      </c>
      <c r="X271" s="460">
        <f>IF(V271="ND","ND",IF(S271="","",IF(OR(MID(C271,1,4)="milk",AND(MID(B271,1,2)="50",NOT(input_values!M271="Y")),AND(MID(B271,1,2)="40",NOT(input_values!M271="Y")),AND(MID(B271,1,2)="30",NOT(input_values!M271="Y"))),3,IF(OR(V271="&lt;25",B271&gt;1000000),1,IF((T271&gt;=S271),"2b","2a")))))</f>
        <v>1</v>
      </c>
      <c r="Y271" s="128">
        <f>IF(X271="ND","ND",IF(S271="","",IF(input_values!K271&gt;0,input_values!K271,IF(OR(X271=1,X271=3),1,IF((V271&gt;250),5,7)))))</f>
        <v>1</v>
      </c>
      <c r="Z271" s="453" t="str">
        <f t="shared" si="45"/>
        <v/>
      </c>
      <c r="AA271" s="454">
        <f t="shared" si="41"/>
        <v>0</v>
      </c>
      <c r="AB271" s="27">
        <f t="shared" si="46"/>
        <v>1</v>
      </c>
      <c r="AC271" s="453" t="str">
        <f t="shared" si="47"/>
        <v/>
      </c>
      <c r="AD271" s="454">
        <f t="shared" si="42"/>
        <v>0</v>
      </c>
      <c r="AE271" s="444" t="str">
        <f t="shared" si="48"/>
        <v/>
      </c>
      <c r="AF271" s="444" t="str">
        <f t="shared" si="49"/>
        <v/>
      </c>
      <c r="AG271" s="561" t="str">
        <f t="shared" si="43"/>
        <v/>
      </c>
      <c r="AH271" s="561" t="str">
        <f t="shared" si="44"/>
        <v/>
      </c>
      <c r="AI271" s="313"/>
    </row>
    <row r="272" spans="1:35" ht="24" outlineLevel="3" x14ac:dyDescent="0.2">
      <c r="A272" s="39">
        <v>4</v>
      </c>
      <c r="B272" s="23">
        <v>633990</v>
      </c>
      <c r="C272" s="23" t="s">
        <v>182</v>
      </c>
      <c r="D272" s="300">
        <f>Table22[[#This Row],[Level used for acute calculation]]</f>
        <v>0</v>
      </c>
      <c r="E272" s="302">
        <f>Table22[[#This Row],[MRL individual commodity]]</f>
        <v>0</v>
      </c>
      <c r="F272" s="451">
        <f>Table22[[#This Row],[Acute RA input value]]</f>
        <v>0</v>
      </c>
      <c r="G272" s="301">
        <f>Table22[[#This Row],[Acute RA label]]</f>
        <v>0</v>
      </c>
      <c r="H272" s="303">
        <f>Table22[[#This Row],[Acute RA IESTI new input value]]</f>
        <v>0</v>
      </c>
      <c r="I272" s="301">
        <f>Table22[[#This Row],[Acute RA IESTI new label]]</f>
        <v>0</v>
      </c>
      <c r="J272" s="504"/>
      <c r="K272" s="544">
        <f>Table22[[#This Row],[GAP under assessment]]</f>
        <v>0</v>
      </c>
      <c r="L272" s="304" t="str">
        <f>IF(input_values!$M272=0,"",input_values!$M272)</f>
        <v/>
      </c>
      <c r="M272" s="301" t="str">
        <f>IF(input_values!H272=0,"",input_values!H272)</f>
        <v/>
      </c>
      <c r="N272" s="304">
        <f>input_values!$K272</f>
        <v>0</v>
      </c>
      <c r="O272" s="349"/>
      <c r="P272" s="47"/>
      <c r="Q272" s="47"/>
      <c r="R272" s="349"/>
      <c r="S272" s="347"/>
      <c r="T272" s="347"/>
      <c r="U272" s="337"/>
      <c r="V272" s="347"/>
      <c r="W272" s="337"/>
      <c r="X272" s="611" t="str">
        <f>IF(V272="ND","ND",IF(S272="","",IF(OR(MID(C272,1,4)="milk",AND(MID(B272,1,2)="50",NOT(input_values!M272="Y")),AND(MID(B272,1,2)="40",NOT(input_values!M272="Y")),AND(MID(B272,1,2)="30",NOT(input_values!M272="Y"))),3,IF(OR(V272="&lt;25",B272&gt;1000000),1,IF((T272&gt;=S272),"2b","2a")))))</f>
        <v/>
      </c>
      <c r="Y272" s="47" t="str">
        <f>IF(X272="ND","ND",IF(S272="","",IF(input_values!K272&gt;0,input_values!K272,IF(OR(X272=1,X272=3),1,IF((V272&gt;250),5,7)))))</f>
        <v/>
      </c>
      <c r="Z272" s="354"/>
      <c r="AA272" s="351">
        <f t="shared" si="41"/>
        <v>0</v>
      </c>
      <c r="AB272" s="47"/>
      <c r="AC272" s="354"/>
      <c r="AD272" s="351">
        <f t="shared" si="42"/>
        <v>0</v>
      </c>
      <c r="AE272" s="355"/>
      <c r="AF272" s="355"/>
      <c r="AG272" s="561" t="str">
        <f t="shared" si="43"/>
        <v/>
      </c>
      <c r="AH272" s="561" t="str">
        <f t="shared" si="44"/>
        <v/>
      </c>
      <c r="AI272" s="313"/>
    </row>
    <row r="273" spans="1:35" ht="36" outlineLevel="2" x14ac:dyDescent="0.2">
      <c r="A273" s="133">
        <v>3</v>
      </c>
      <c r="B273" s="5">
        <v>639000</v>
      </c>
      <c r="C273" s="5" t="s">
        <v>773</v>
      </c>
      <c r="D273" s="300">
        <f>Table22[[#This Row],[Level used for acute calculation]]</f>
        <v>3</v>
      </c>
      <c r="E273" s="302">
        <f>Table22[[#This Row],[MRL individual commodity]]</f>
        <v>0</v>
      </c>
      <c r="F273" s="451">
        <f>Table22[[#This Row],[Acute RA input value]]</f>
        <v>0</v>
      </c>
      <c r="G273" s="301">
        <f>Table22[[#This Row],[Acute RA label]]</f>
        <v>0</v>
      </c>
      <c r="H273" s="303">
        <f>Table22[[#This Row],[Acute RA IESTI new input value]]</f>
        <v>0</v>
      </c>
      <c r="I273" s="301">
        <f>Table22[[#This Row],[Acute RA IESTI new label]]</f>
        <v>0</v>
      </c>
      <c r="J273" s="504"/>
      <c r="K273" s="544">
        <f>Table22[[#This Row],[GAP under assessment]]</f>
        <v>0</v>
      </c>
      <c r="L273" s="304" t="str">
        <f>IF(input_values!$M273=0,"",input_values!$M273)</f>
        <v/>
      </c>
      <c r="M273" s="301" t="str">
        <f>IF(input_values!H273=0,"",input_values!H273)</f>
        <v/>
      </c>
      <c r="N273" s="304">
        <f>input_values!$K273</f>
        <v>0</v>
      </c>
      <c r="O273" s="339">
        <v>0.2</v>
      </c>
      <c r="P273" s="128"/>
      <c r="Q273" s="128" t="s">
        <v>98</v>
      </c>
      <c r="R273" s="339">
        <v>10</v>
      </c>
      <c r="S273" s="338">
        <f t="shared" ref="S273:S332" si="50">IF(O273="ND","ND",IF(O273="","",O273*R273))</f>
        <v>2</v>
      </c>
      <c r="T273" s="338" t="s">
        <v>617</v>
      </c>
      <c r="U273" s="129"/>
      <c r="V273" s="338" t="s">
        <v>617</v>
      </c>
      <c r="W273" s="129" t="s">
        <v>215</v>
      </c>
      <c r="X273" s="460">
        <f>IF(V273="ND","ND",IF(S273="","",IF(OR(MID(C273,1,4)="milk",AND(MID(B273,1,2)="50",NOT(input_values!M273="Y")),AND(MID(B273,1,2)="40",NOT(input_values!M273="Y")),AND(MID(B273,1,2)="30",NOT(input_values!M273="Y"))),3,IF(OR(V273="&lt;25",B273&gt;1000000),1,IF((T273&gt;=S273),"2b","2a")))))</f>
        <v>1</v>
      </c>
      <c r="Y273" s="128">
        <f>IF(X273="ND","ND",IF(S273="","",IF(input_values!K273&gt;0,input_values!K273,IF(OR(X273=1,X273=3),1,IF((V273&gt;250),5,7)))))</f>
        <v>1</v>
      </c>
      <c r="Z273" s="345" t="str">
        <f t="shared" si="45"/>
        <v/>
      </c>
      <c r="AA273" s="332">
        <f t="shared" si="41"/>
        <v>0</v>
      </c>
      <c r="AB273" s="128">
        <f t="shared" si="46"/>
        <v>1</v>
      </c>
      <c r="AC273" s="345" t="str">
        <f t="shared" si="47"/>
        <v/>
      </c>
      <c r="AD273" s="332">
        <f t="shared" si="42"/>
        <v>0</v>
      </c>
      <c r="AE273" s="40" t="str">
        <f t="shared" si="48"/>
        <v/>
      </c>
      <c r="AF273" s="40" t="str">
        <f t="shared" si="49"/>
        <v/>
      </c>
      <c r="AG273" s="561" t="str">
        <f t="shared" si="43"/>
        <v/>
      </c>
      <c r="AH273" s="561" t="str">
        <f t="shared" si="44"/>
        <v/>
      </c>
      <c r="AI273" s="313"/>
    </row>
    <row r="274" spans="1:35" outlineLevel="1" x14ac:dyDescent="0.2">
      <c r="A274" s="130">
        <v>2</v>
      </c>
      <c r="B274" s="131">
        <v>640000</v>
      </c>
      <c r="C274" s="131" t="s">
        <v>774</v>
      </c>
      <c r="D274" s="300">
        <f>Table22[[#This Row],[Level used for acute calculation]]</f>
        <v>2</v>
      </c>
      <c r="E274" s="302">
        <f>Table22[[#This Row],[MRL individual commodity]]</f>
        <v>0</v>
      </c>
      <c r="F274" s="451">
        <f>Table22[[#This Row],[Acute RA input value]]</f>
        <v>0</v>
      </c>
      <c r="G274" s="301" t="str">
        <f>Table22[[#This Row],[Acute RA label]]</f>
        <v/>
      </c>
      <c r="H274" s="303">
        <f>Table22[[#This Row],[Acute RA IESTI new input value]]</f>
        <v>0</v>
      </c>
      <c r="I274" s="301" t="str">
        <f>Table22[[#This Row],[Acute RA IESTI new label]]</f>
        <v/>
      </c>
      <c r="J274" s="504"/>
      <c r="K274" s="544">
        <f>Table22[[#This Row],[GAP under assessment]]</f>
        <v>0</v>
      </c>
      <c r="L274" s="304" t="str">
        <f>IF(input_values!$M274=0,"",input_values!$M274)</f>
        <v/>
      </c>
      <c r="M274" s="301" t="str">
        <f>IF(input_values!H274=0,"",input_values!H274)</f>
        <v/>
      </c>
      <c r="N274" s="304">
        <f>input_values!$K274</f>
        <v>0</v>
      </c>
      <c r="O274" s="603">
        <v>3.2258064516</v>
      </c>
      <c r="P274" s="27">
        <v>97.5</v>
      </c>
      <c r="Q274" s="27" t="s">
        <v>955</v>
      </c>
      <c r="R274" s="603">
        <v>15.2</v>
      </c>
      <c r="S274" s="338">
        <f t="shared" si="50"/>
        <v>49.032258064319997</v>
      </c>
      <c r="T274" s="338" t="s">
        <v>617</v>
      </c>
      <c r="U274" s="329" t="s">
        <v>650</v>
      </c>
      <c r="V274" s="338" t="s">
        <v>617</v>
      </c>
      <c r="W274" s="329" t="s">
        <v>651</v>
      </c>
      <c r="X274" s="460">
        <f>IF(V274="ND","ND",IF(S274="","",IF(OR(MID(C274,1,4)="milk",AND(MID(B274,1,2)="50",NOT(input_values!M274="Y")),AND(MID(B274,1,2)="40",NOT(input_values!M274="Y")),AND(MID(B274,1,2)="30",NOT(input_values!M274="Y"))),3,IF(OR(V274="&lt;25",B274&gt;1000000),1,IF((T274&gt;=S274),"2b","2a")))))</f>
        <v>1</v>
      </c>
      <c r="Y274" s="128">
        <f>IF(X274="ND","ND",IF(S274="","",IF(input_values!K274&gt;0,input_values!K274,IF(OR(X274=1,X274=3),1,IF((V274&gt;250),5,7)))))</f>
        <v>1</v>
      </c>
      <c r="Z274" s="345" t="str">
        <f t="shared" si="45"/>
        <v/>
      </c>
      <c r="AA274" s="332">
        <f t="shared" si="41"/>
        <v>0</v>
      </c>
      <c r="AB274" s="27">
        <f t="shared" si="46"/>
        <v>1</v>
      </c>
      <c r="AC274" s="345" t="str">
        <f t="shared" si="47"/>
        <v/>
      </c>
      <c r="AD274" s="332">
        <f t="shared" si="42"/>
        <v>0</v>
      </c>
      <c r="AE274" s="40" t="str">
        <f t="shared" si="48"/>
        <v/>
      </c>
      <c r="AF274" s="40" t="str">
        <f t="shared" si="49"/>
        <v/>
      </c>
      <c r="AG274" s="561" t="str">
        <f t="shared" si="43"/>
        <v/>
      </c>
      <c r="AH274" s="561" t="str">
        <f t="shared" si="44"/>
        <v/>
      </c>
      <c r="AI274" s="334"/>
    </row>
    <row r="275" spans="1:35" outlineLevel="1" x14ac:dyDescent="0.2">
      <c r="A275" s="130">
        <v>2</v>
      </c>
      <c r="B275" s="131">
        <v>650000</v>
      </c>
      <c r="C275" s="131" t="s">
        <v>775</v>
      </c>
      <c r="D275" s="300">
        <f>Table22[[#This Row],[Level used for acute calculation]]</f>
        <v>2</v>
      </c>
      <c r="E275" s="302">
        <f>Table22[[#This Row],[MRL individual commodity]]</f>
        <v>0</v>
      </c>
      <c r="F275" s="451">
        <f>Table22[[#This Row],[Acute RA input value]]</f>
        <v>0</v>
      </c>
      <c r="G275" s="301" t="str">
        <f>Table22[[#This Row],[Acute RA label]]</f>
        <v/>
      </c>
      <c r="H275" s="303">
        <f>Table22[[#This Row],[Acute RA IESTI new input value]]</f>
        <v>0</v>
      </c>
      <c r="I275" s="301" t="str">
        <f>Table22[[#This Row],[Acute RA IESTI new label]]</f>
        <v/>
      </c>
      <c r="J275" s="504"/>
      <c r="K275" s="544">
        <f>Table22[[#This Row],[GAP under assessment]]</f>
        <v>0</v>
      </c>
      <c r="L275" s="304" t="str">
        <f>IF(input_values!$M275=0,"",input_values!$M275)</f>
        <v/>
      </c>
      <c r="M275" s="301" t="str">
        <f>IF(input_values!H275=0,"",input_values!H275)</f>
        <v/>
      </c>
      <c r="N275" s="304">
        <f>input_values!$K275</f>
        <v>0</v>
      </c>
      <c r="O275" s="339">
        <v>7.8604799999999999</v>
      </c>
      <c r="P275" s="128">
        <v>97.5</v>
      </c>
      <c r="Q275" s="128" t="s">
        <v>330</v>
      </c>
      <c r="R275" s="339">
        <v>20</v>
      </c>
      <c r="S275" s="338">
        <f t="shared" si="50"/>
        <v>157.20959999999999</v>
      </c>
      <c r="T275" s="338" t="s">
        <v>617</v>
      </c>
      <c r="U275" s="329" t="s">
        <v>650</v>
      </c>
      <c r="V275" s="338" t="s">
        <v>617</v>
      </c>
      <c r="W275" s="129" t="s">
        <v>651</v>
      </c>
      <c r="X275" s="460">
        <f>IF(V275="ND","ND",IF(S275="","",IF(OR(MID(C275,1,4)="milk",AND(MID(B275,1,2)="50",NOT(input_values!M275="Y")),AND(MID(B275,1,2)="40",NOT(input_values!M275="Y")),AND(MID(B275,1,2)="30",NOT(input_values!M275="Y"))),3,IF(OR(V275="&lt;25",B275&gt;1000000),1,IF((T275&gt;=S275),"2b","2a")))))</f>
        <v>1</v>
      </c>
      <c r="Y275" s="128">
        <f>IF(X275="ND","ND",IF(S275="","",IF(input_values!K275&gt;0,input_values!K275,IF(OR(X275=1,X275=3),1,IF((V275&gt;250),5,7)))))</f>
        <v>1</v>
      </c>
      <c r="Z275" s="345" t="str">
        <f t="shared" si="45"/>
        <v/>
      </c>
      <c r="AA275" s="332">
        <f t="shared" si="41"/>
        <v>0</v>
      </c>
      <c r="AB275" s="27">
        <f t="shared" si="46"/>
        <v>1</v>
      </c>
      <c r="AC275" s="345" t="str">
        <f t="shared" si="47"/>
        <v/>
      </c>
      <c r="AD275" s="332">
        <f t="shared" si="42"/>
        <v>0</v>
      </c>
      <c r="AE275" s="40" t="str">
        <f t="shared" si="48"/>
        <v/>
      </c>
      <c r="AF275" s="40" t="str">
        <f t="shared" si="49"/>
        <v/>
      </c>
      <c r="AG275" s="561" t="str">
        <f t="shared" si="43"/>
        <v/>
      </c>
      <c r="AH275" s="561" t="str">
        <f t="shared" si="44"/>
        <v/>
      </c>
      <c r="AI275" s="334"/>
    </row>
    <row r="276" spans="1:35" ht="24" collapsed="1" x14ac:dyDescent="0.2">
      <c r="A276" s="126">
        <v>1</v>
      </c>
      <c r="B276" s="127">
        <v>700000</v>
      </c>
      <c r="C276" s="127" t="s">
        <v>366</v>
      </c>
      <c r="D276" s="300">
        <f>Table22[[#This Row],[Level used for acute calculation]]</f>
        <v>1</v>
      </c>
      <c r="E276" s="302">
        <f>Table22[[#This Row],[MRL individual commodity]]</f>
        <v>0</v>
      </c>
      <c r="F276" s="451">
        <f>Table22[[#This Row],[Acute RA input value]]</f>
        <v>0</v>
      </c>
      <c r="G276" s="301" t="str">
        <f>Table22[[#This Row],[Acute RA label]]</f>
        <v/>
      </c>
      <c r="H276" s="303">
        <f>Table22[[#This Row],[Acute RA IESTI new input value]]</f>
        <v>0</v>
      </c>
      <c r="I276" s="301" t="str">
        <f>Table22[[#This Row],[Acute RA IESTI new label]]</f>
        <v/>
      </c>
      <c r="J276" s="504"/>
      <c r="K276" s="544">
        <f>Table22[[#This Row],[GAP under assessment]]</f>
        <v>0</v>
      </c>
      <c r="L276" s="304" t="str">
        <f>IF(input_values!$M276=0,"",input_values!$M276)</f>
        <v/>
      </c>
      <c r="M276" s="301" t="str">
        <f>IF(input_values!H276=0,"",input_values!H276)</f>
        <v/>
      </c>
      <c r="N276" s="304">
        <f>input_values!$K276</f>
        <v>0</v>
      </c>
      <c r="O276" s="339">
        <v>4.1666666666666664E-2</v>
      </c>
      <c r="P276" s="128">
        <v>97.5</v>
      </c>
      <c r="Q276" s="128" t="s">
        <v>95</v>
      </c>
      <c r="R276" s="339">
        <v>48</v>
      </c>
      <c r="S276" s="338">
        <f t="shared" si="50"/>
        <v>2</v>
      </c>
      <c r="T276" s="338" t="s">
        <v>617</v>
      </c>
      <c r="U276" s="329" t="s">
        <v>650</v>
      </c>
      <c r="V276" s="338" t="s">
        <v>617</v>
      </c>
      <c r="W276" s="129" t="s">
        <v>651</v>
      </c>
      <c r="X276" s="460">
        <f>IF(V276="ND","ND",IF(S276="","",IF(OR(MID(C276,1,4)="milk",AND(MID(B276,1,2)="50",NOT(input_values!M276="Y")),AND(MID(B276,1,2)="40",NOT(input_values!M276="Y")),AND(MID(B276,1,2)="30",NOT(input_values!M276="Y"))),3,IF(OR(V276="&lt;25",B276&gt;1000000),1,IF((T276&gt;=S276),"2b","2a")))))</f>
        <v>1</v>
      </c>
      <c r="Y276" s="128">
        <f>IF(X276="ND","ND",IF(S276="","",IF(input_values!K276&gt;0,input_values!K276,IF(OR(X276=1,X276=3),1,IF((V276&gt;250),5,7)))))</f>
        <v>1</v>
      </c>
      <c r="Z276" s="345" t="str">
        <f t="shared" si="45"/>
        <v/>
      </c>
      <c r="AA276" s="332">
        <f t="shared" si="41"/>
        <v>0</v>
      </c>
      <c r="AB276" s="27">
        <f t="shared" si="46"/>
        <v>1</v>
      </c>
      <c r="AC276" s="345" t="str">
        <f t="shared" si="47"/>
        <v/>
      </c>
      <c r="AD276" s="332">
        <f t="shared" si="42"/>
        <v>0</v>
      </c>
      <c r="AE276" s="40" t="str">
        <f t="shared" si="48"/>
        <v/>
      </c>
      <c r="AF276" s="40" t="str">
        <f t="shared" si="49"/>
        <v/>
      </c>
      <c r="AG276" s="561" t="str">
        <f t="shared" si="43"/>
        <v/>
      </c>
      <c r="AH276" s="561" t="str">
        <f t="shared" si="44"/>
        <v/>
      </c>
      <c r="AI276" s="313"/>
    </row>
    <row r="277" spans="1:35" x14ac:dyDescent="0.2">
      <c r="A277" s="126">
        <v>1</v>
      </c>
      <c r="B277" s="127">
        <v>800000</v>
      </c>
      <c r="C277" s="127" t="s">
        <v>144</v>
      </c>
      <c r="D277" s="300">
        <f>Table22[[#This Row],[Level used for acute calculation]]</f>
        <v>4</v>
      </c>
      <c r="E277" s="302">
        <f>Table22[[#This Row],[MRL individual commodity]]</f>
        <v>0</v>
      </c>
      <c r="F277" s="451">
        <f>Table22[[#This Row],[Acute RA input value]]</f>
        <v>0</v>
      </c>
      <c r="G277" s="301">
        <f>Table22[[#This Row],[Acute RA label]]</f>
        <v>0</v>
      </c>
      <c r="H277" s="303">
        <f>Table22[[#This Row],[Acute RA IESTI new input value]]</f>
        <v>0</v>
      </c>
      <c r="I277" s="301">
        <f>Table22[[#This Row],[Acute RA IESTI new label]]</f>
        <v>0</v>
      </c>
      <c r="J277" s="504"/>
      <c r="K277" s="544">
        <f>Table22[[#This Row],[GAP under assessment]]</f>
        <v>0</v>
      </c>
      <c r="L277" s="304" t="str">
        <f>IF(input_values!$M277=0,"",input_values!$M277)</f>
        <v/>
      </c>
      <c r="M277" s="301" t="str">
        <f>IF(input_values!H277=0,"",input_values!H277)</f>
        <v/>
      </c>
      <c r="N277" s="304">
        <f>input_values!$K277</f>
        <v>0</v>
      </c>
      <c r="O277" s="349"/>
      <c r="P277" s="47"/>
      <c r="Q277" s="47"/>
      <c r="R277" s="354"/>
      <c r="S277" s="347" t="str">
        <f t="shared" si="50"/>
        <v/>
      </c>
      <c r="T277" s="347"/>
      <c r="U277" s="570"/>
      <c r="V277" s="347"/>
      <c r="W277" s="570"/>
      <c r="X277" s="611" t="str">
        <f>IF(V277="ND","ND",IF(S277="","",IF(OR(MID(C277,1,4)="milk",AND(MID(B277,1,2)="50",NOT(input_values!M277="Y")),AND(MID(B277,1,2)="40",NOT(input_values!M277="Y")),AND(MID(B277,1,2)="30",NOT(input_values!M277="Y"))),3,IF(OR(V277="&lt;25",B277&gt;1000000),1,IF((T277&gt;=S277),"2b","2a")))))</f>
        <v/>
      </c>
      <c r="Y277" s="47" t="str">
        <f>IF(X277="ND","ND",IF(S277="","",IF(input_values!K277&gt;0,input_values!K277,IF(OR(X277=1,X277=3),1,IF((V277&gt;250),5,7)))))</f>
        <v/>
      </c>
      <c r="Z277" s="354" t="str">
        <f t="shared" si="45"/>
        <v/>
      </c>
      <c r="AA277" s="351">
        <f t="shared" si="41"/>
        <v>0</v>
      </c>
      <c r="AB277" s="38" t="str">
        <f t="shared" si="46"/>
        <v/>
      </c>
      <c r="AC277" s="354" t="str">
        <f t="shared" si="47"/>
        <v/>
      </c>
      <c r="AD277" s="351">
        <f t="shared" si="42"/>
        <v>0</v>
      </c>
      <c r="AE277" s="355" t="str">
        <f t="shared" si="48"/>
        <v/>
      </c>
      <c r="AF277" s="355" t="str">
        <f t="shared" si="49"/>
        <v/>
      </c>
      <c r="AG277" s="561" t="str">
        <f t="shared" si="43"/>
        <v/>
      </c>
      <c r="AH277" s="561" t="str">
        <f t="shared" si="44"/>
        <v/>
      </c>
      <c r="AI277" s="313"/>
    </row>
    <row r="278" spans="1:35" outlineLevel="1" x14ac:dyDescent="0.2">
      <c r="A278" s="130">
        <v>2</v>
      </c>
      <c r="B278" s="131">
        <v>810000</v>
      </c>
      <c r="C278" s="131" t="s">
        <v>77</v>
      </c>
      <c r="D278" s="300">
        <f>Table22[[#This Row],[Level used for acute calculation]]</f>
        <v>4</v>
      </c>
      <c r="E278" s="302">
        <f>Table22[[#This Row],[MRL individual commodity]]</f>
        <v>0</v>
      </c>
      <c r="F278" s="451">
        <f>Table22[[#This Row],[Acute RA input value]]</f>
        <v>0</v>
      </c>
      <c r="G278" s="301">
        <f>Table22[[#This Row],[Acute RA label]]</f>
        <v>0</v>
      </c>
      <c r="H278" s="303">
        <f>Table22[[#This Row],[Acute RA IESTI new input value]]</f>
        <v>0</v>
      </c>
      <c r="I278" s="301">
        <f>Table22[[#This Row],[Acute RA IESTI new label]]</f>
        <v>0</v>
      </c>
      <c r="J278" s="504"/>
      <c r="K278" s="544">
        <f>Table22[[#This Row],[GAP under assessment]]</f>
        <v>0</v>
      </c>
      <c r="L278" s="304" t="str">
        <f>IF(input_values!$M278=0,"",input_values!$M278)</f>
        <v/>
      </c>
      <c r="M278" s="301" t="str">
        <f>IF(input_values!H278=0,"",input_values!H278)</f>
        <v/>
      </c>
      <c r="N278" s="304">
        <f>input_values!$K278</f>
        <v>0</v>
      </c>
      <c r="O278" s="309"/>
      <c r="P278" s="38"/>
      <c r="Q278" s="38"/>
      <c r="R278" s="335"/>
      <c r="S278" s="336" t="str">
        <f t="shared" si="50"/>
        <v/>
      </c>
      <c r="T278" s="305"/>
      <c r="U278" s="570"/>
      <c r="V278" s="305"/>
      <c r="W278" s="570"/>
      <c r="X278" s="611" t="str">
        <f>IF(V278="ND","ND",IF(S278="","",IF(OR(MID(C278,1,4)="milk",AND(MID(B278,1,2)="50",NOT(input_values!M278="Y")),AND(MID(B278,1,2)="40",NOT(input_values!M278="Y")),AND(MID(B278,1,2)="30",NOT(input_values!M278="Y"))),3,IF(OR(V278="&lt;25",B278&gt;1000000),1,IF((T278&gt;=S278),"2b","2a")))))</f>
        <v/>
      </c>
      <c r="Y278" s="38" t="str">
        <f>IF(X278="ND","ND",IF(S278="","",IF(input_values!K278&gt;0,input_values!K278,IF(OR(X278=1,X278=3),1,IF((V278&gt;250),5,7)))))</f>
        <v/>
      </c>
      <c r="Z278" s="335" t="str">
        <f t="shared" si="45"/>
        <v/>
      </c>
      <c r="AA278" s="311">
        <f t="shared" si="41"/>
        <v>0</v>
      </c>
      <c r="AB278" s="38" t="str">
        <f t="shared" si="46"/>
        <v/>
      </c>
      <c r="AC278" s="335" t="str">
        <f t="shared" si="47"/>
        <v/>
      </c>
      <c r="AD278" s="311">
        <f t="shared" si="42"/>
        <v>0</v>
      </c>
      <c r="AE278" s="344" t="str">
        <f t="shared" si="48"/>
        <v/>
      </c>
      <c r="AF278" s="344" t="str">
        <f t="shared" si="49"/>
        <v/>
      </c>
      <c r="AG278" s="561" t="str">
        <f t="shared" si="43"/>
        <v/>
      </c>
      <c r="AH278" s="561" t="str">
        <f t="shared" si="44"/>
        <v/>
      </c>
      <c r="AI278" s="313"/>
    </row>
    <row r="279" spans="1:35" outlineLevel="3" x14ac:dyDescent="0.2">
      <c r="A279" s="39">
        <v>4</v>
      </c>
      <c r="B279" s="23">
        <v>810010</v>
      </c>
      <c r="C279" s="23" t="s">
        <v>776</v>
      </c>
      <c r="D279" s="300">
        <f>Table22[[#This Row],[Level used for acute calculation]]</f>
        <v>4</v>
      </c>
      <c r="E279" s="302">
        <f>Table22[[#This Row],[MRL individual commodity]]</f>
        <v>0</v>
      </c>
      <c r="F279" s="451">
        <f>Table22[[#This Row],[Acute RA input value]]</f>
        <v>0</v>
      </c>
      <c r="G279" s="301" t="str">
        <f>Table22[[#This Row],[Acute RA label]]</f>
        <v/>
      </c>
      <c r="H279" s="303">
        <f>Table22[[#This Row],[Acute RA IESTI new input value]]</f>
        <v>0</v>
      </c>
      <c r="I279" s="301" t="str">
        <f>Table22[[#This Row],[Acute RA IESTI new label]]</f>
        <v/>
      </c>
      <c r="J279" s="504"/>
      <c r="K279" s="544">
        <f>Table22[[#This Row],[GAP under assessment]]</f>
        <v>0</v>
      </c>
      <c r="L279" s="304" t="str">
        <f>IF(input_values!$M279=0,"",input_values!$M279)</f>
        <v/>
      </c>
      <c r="M279" s="301" t="str">
        <f>IF(input_values!H279=0,"",input_values!H279)</f>
        <v/>
      </c>
      <c r="N279" s="304">
        <f>input_values!$K279</f>
        <v>0</v>
      </c>
      <c r="O279" s="339">
        <v>0.02</v>
      </c>
      <c r="P279" s="128">
        <v>90</v>
      </c>
      <c r="Q279" s="128" t="s">
        <v>256</v>
      </c>
      <c r="R279" s="339">
        <v>16.149999999999999</v>
      </c>
      <c r="S279" s="338">
        <f t="shared" si="50"/>
        <v>0.32299999999999995</v>
      </c>
      <c r="T279" s="338" t="s">
        <v>617</v>
      </c>
      <c r="U279" s="129" t="s">
        <v>215</v>
      </c>
      <c r="V279" s="338" t="s">
        <v>617</v>
      </c>
      <c r="W279" s="129" t="s">
        <v>215</v>
      </c>
      <c r="X279" s="460">
        <f>IF(V279="ND","ND",IF(S279="","",IF(OR(MID(C279,1,4)="milk",AND(MID(B279,1,2)="50",NOT(input_values!M279="Y")),AND(MID(B279,1,2)="40",NOT(input_values!M279="Y")),AND(MID(B279,1,2)="30",NOT(input_values!M279="Y"))),3,IF(OR(V279="&lt;25",B279&gt;1000000),1,IF((T279&gt;=S279),"2b","2a")))))</f>
        <v>1</v>
      </c>
      <c r="Y279" s="128">
        <f>IF(X279="ND","ND",IF(S279="","",IF(input_values!K279&gt;0,input_values!K279,IF(OR(X279=1,X279=3),1,IF((V279&gt;250),5,7)))))</f>
        <v>1</v>
      </c>
      <c r="Z279" s="345" t="str">
        <f t="shared" si="45"/>
        <v/>
      </c>
      <c r="AA279" s="332">
        <f t="shared" si="41"/>
        <v>0</v>
      </c>
      <c r="AB279" s="27">
        <f t="shared" si="46"/>
        <v>1</v>
      </c>
      <c r="AC279" s="345" t="str">
        <f t="shared" si="47"/>
        <v/>
      </c>
      <c r="AD279" s="332">
        <f t="shared" si="42"/>
        <v>0</v>
      </c>
      <c r="AE279" s="40" t="str">
        <f t="shared" si="48"/>
        <v/>
      </c>
      <c r="AF279" s="40" t="str">
        <f t="shared" si="49"/>
        <v/>
      </c>
      <c r="AG279" s="561" t="str">
        <f t="shared" si="43"/>
        <v/>
      </c>
      <c r="AH279" s="561" t="str">
        <f t="shared" si="44"/>
        <v/>
      </c>
      <c r="AI279" s="313"/>
    </row>
    <row r="280" spans="1:35" outlineLevel="3" x14ac:dyDescent="0.2">
      <c r="A280" s="39">
        <v>4</v>
      </c>
      <c r="B280" s="23">
        <v>810020</v>
      </c>
      <c r="C280" s="28" t="s">
        <v>777</v>
      </c>
      <c r="D280" s="300">
        <f>Table22[[#This Row],[Level used for acute calculation]]</f>
        <v>4</v>
      </c>
      <c r="E280" s="302">
        <f>Table22[[#This Row],[MRL individual commodity]]</f>
        <v>0</v>
      </c>
      <c r="F280" s="451">
        <f>Table22[[#This Row],[Acute RA input value]]</f>
        <v>0</v>
      </c>
      <c r="G280" s="301" t="str">
        <f>Table22[[#This Row],[Acute RA label]]</f>
        <v/>
      </c>
      <c r="H280" s="303">
        <f>Table22[[#This Row],[Acute RA IESTI new input value]]</f>
        <v>0</v>
      </c>
      <c r="I280" s="301" t="str">
        <f>Table22[[#This Row],[Acute RA IESTI new label]]</f>
        <v/>
      </c>
      <c r="J280" s="504"/>
      <c r="K280" s="544">
        <f>Table22[[#This Row],[GAP under assessment]]</f>
        <v>0</v>
      </c>
      <c r="L280" s="304" t="str">
        <f>IF(input_values!$M280=0,"",input_values!$M280)</f>
        <v/>
      </c>
      <c r="M280" s="301" t="str">
        <f>IF(input_values!H280=0,"",input_values!H280)</f>
        <v/>
      </c>
      <c r="N280" s="304">
        <f>input_values!$K280</f>
        <v>0</v>
      </c>
      <c r="O280" s="455" t="s">
        <v>618</v>
      </c>
      <c r="P280" s="128"/>
      <c r="Q280" s="128"/>
      <c r="R280" s="339"/>
      <c r="S280" s="338" t="str">
        <f t="shared" si="50"/>
        <v>ND</v>
      </c>
      <c r="T280" s="338" t="s">
        <v>617</v>
      </c>
      <c r="U280" s="129" t="s">
        <v>215</v>
      </c>
      <c r="V280" s="338" t="s">
        <v>617</v>
      </c>
      <c r="W280" s="129" t="s">
        <v>215</v>
      </c>
      <c r="X280" s="460">
        <f>IF(V280="ND","ND",IF(S280="","",IF(OR(MID(C280,1,4)="milk",AND(MID(B280,1,2)="50",NOT(input_values!M280="Y")),AND(MID(B280,1,2)="40",NOT(input_values!M280="Y")),AND(MID(B280,1,2)="30",NOT(input_values!M280="Y"))),3,IF(OR(V280="&lt;25",B280&gt;1000000),1,IF((T280&gt;=S280),"2b","2a")))))</f>
        <v>1</v>
      </c>
      <c r="Y280" s="128">
        <f>IF(X280="ND","ND",IF(S280="","",IF(input_values!K280&gt;0,input_values!K280,IF(OR(X280=1,X280=3),1,IF((V280&gt;250),5,7)))))</f>
        <v>1</v>
      </c>
      <c r="Z280" s="340" t="str">
        <f t="shared" si="45"/>
        <v/>
      </c>
      <c r="AA280" s="332">
        <f t="shared" si="41"/>
        <v>0</v>
      </c>
      <c r="AB280" s="27">
        <f t="shared" si="46"/>
        <v>1</v>
      </c>
      <c r="AC280" s="345" t="str">
        <f t="shared" si="47"/>
        <v/>
      </c>
      <c r="AD280" s="332">
        <f t="shared" si="42"/>
        <v>0</v>
      </c>
      <c r="AE280" s="40" t="str">
        <f t="shared" si="48"/>
        <v/>
      </c>
      <c r="AF280" s="40" t="str">
        <f t="shared" si="49"/>
        <v/>
      </c>
      <c r="AG280" s="561" t="str">
        <f t="shared" si="43"/>
        <v/>
      </c>
      <c r="AH280" s="561" t="str">
        <f t="shared" si="44"/>
        <v/>
      </c>
      <c r="AI280" s="313"/>
    </row>
    <row r="281" spans="1:35" outlineLevel="3" x14ac:dyDescent="0.2">
      <c r="A281" s="39">
        <v>4</v>
      </c>
      <c r="B281" s="23">
        <v>810030</v>
      </c>
      <c r="C281" s="23" t="s">
        <v>272</v>
      </c>
      <c r="D281" s="300">
        <f>Table22[[#This Row],[Level used for acute calculation]]</f>
        <v>4</v>
      </c>
      <c r="E281" s="302">
        <f>Table22[[#This Row],[MRL individual commodity]]</f>
        <v>0</v>
      </c>
      <c r="F281" s="451">
        <f>Table22[[#This Row],[Acute RA input value]]</f>
        <v>0</v>
      </c>
      <c r="G281" s="301" t="str">
        <f>Table22[[#This Row],[Acute RA label]]</f>
        <v/>
      </c>
      <c r="H281" s="303">
        <f>Table22[[#This Row],[Acute RA IESTI new input value]]</f>
        <v>0</v>
      </c>
      <c r="I281" s="301" t="str">
        <f>Table22[[#This Row],[Acute RA IESTI new label]]</f>
        <v/>
      </c>
      <c r="J281" s="504"/>
      <c r="K281" s="544">
        <f>Table22[[#This Row],[GAP under assessment]]</f>
        <v>0</v>
      </c>
      <c r="L281" s="304" t="str">
        <f>IF(input_values!$M281=0,"",input_values!$M281)</f>
        <v/>
      </c>
      <c r="M281" s="301" t="str">
        <f>IF(input_values!H281=0,"",input_values!H281)</f>
        <v/>
      </c>
      <c r="N281" s="304">
        <f>input_values!$K281</f>
        <v>0</v>
      </c>
      <c r="O281" s="338" t="s">
        <v>618</v>
      </c>
      <c r="P281" s="22"/>
      <c r="Q281" s="22"/>
      <c r="R281" s="330"/>
      <c r="S281" s="31" t="str">
        <f t="shared" si="50"/>
        <v>ND</v>
      </c>
      <c r="T281" s="338" t="s">
        <v>617</v>
      </c>
      <c r="U281" s="129" t="s">
        <v>215</v>
      </c>
      <c r="V281" s="338" t="s">
        <v>617</v>
      </c>
      <c r="W281" s="129" t="s">
        <v>215</v>
      </c>
      <c r="X281" s="460">
        <f>IF(V281="ND","ND",IF(S281="","",IF(OR(MID(C281,1,4)="milk",AND(MID(B281,1,2)="50",NOT(input_values!M281="Y")),AND(MID(B281,1,2)="40",NOT(input_values!M281="Y")),AND(MID(B281,1,2)="30",NOT(input_values!M281="Y"))),3,IF(OR(V281="&lt;25",B281&gt;1000000),1,IF((T281&gt;=S281),"2b","2a")))))</f>
        <v>1</v>
      </c>
      <c r="Y281" s="22">
        <f>IF(X281="ND","ND",IF(S281="","",IF(input_values!K281&gt;0,input_values!K281,IF(OR(X281=1,X281=3),1,IF((V281&gt;250),5,7)))))</f>
        <v>1</v>
      </c>
      <c r="Z281" s="340" t="str">
        <f t="shared" si="45"/>
        <v/>
      </c>
      <c r="AA281" s="332">
        <f t="shared" si="41"/>
        <v>0</v>
      </c>
      <c r="AB281" s="27">
        <f t="shared" si="46"/>
        <v>1</v>
      </c>
      <c r="AC281" s="340" t="str">
        <f t="shared" si="47"/>
        <v/>
      </c>
      <c r="AD281" s="332">
        <f t="shared" si="42"/>
        <v>0</v>
      </c>
      <c r="AE281" s="37" t="str">
        <f t="shared" si="48"/>
        <v/>
      </c>
      <c r="AF281" s="37" t="str">
        <f t="shared" si="49"/>
        <v/>
      </c>
      <c r="AG281" s="561" t="str">
        <f t="shared" si="43"/>
        <v/>
      </c>
      <c r="AH281" s="561" t="str">
        <f t="shared" si="44"/>
        <v/>
      </c>
      <c r="AI281" s="313"/>
    </row>
    <row r="282" spans="1:35" outlineLevel="3" x14ac:dyDescent="0.2">
      <c r="A282" s="39">
        <v>4</v>
      </c>
      <c r="B282" s="23">
        <v>810040</v>
      </c>
      <c r="C282" s="23" t="s">
        <v>273</v>
      </c>
      <c r="D282" s="300">
        <f>Table22[[#This Row],[Level used for acute calculation]]</f>
        <v>4</v>
      </c>
      <c r="E282" s="302">
        <f>Table22[[#This Row],[MRL individual commodity]]</f>
        <v>0</v>
      </c>
      <c r="F282" s="451">
        <f>Table22[[#This Row],[Acute RA input value]]</f>
        <v>0</v>
      </c>
      <c r="G282" s="301" t="str">
        <f>Table22[[#This Row],[Acute RA label]]</f>
        <v/>
      </c>
      <c r="H282" s="303">
        <f>Table22[[#This Row],[Acute RA IESTI new input value]]</f>
        <v>0</v>
      </c>
      <c r="I282" s="301" t="str">
        <f>Table22[[#This Row],[Acute RA IESTI new label]]</f>
        <v/>
      </c>
      <c r="J282" s="504"/>
      <c r="K282" s="544">
        <f>Table22[[#This Row],[GAP under assessment]]</f>
        <v>0</v>
      </c>
      <c r="L282" s="304" t="str">
        <f>IF(input_values!$M282=0,"",input_values!$M282)</f>
        <v/>
      </c>
      <c r="M282" s="301" t="str">
        <f>IF(input_values!H282=0,"",input_values!H282)</f>
        <v/>
      </c>
      <c r="N282" s="304">
        <f>input_values!$K282</f>
        <v>0</v>
      </c>
      <c r="O282" s="339">
        <v>0.02</v>
      </c>
      <c r="P282" s="128">
        <v>97.5</v>
      </c>
      <c r="Q282" s="128" t="s">
        <v>256</v>
      </c>
      <c r="R282" s="339">
        <v>16.149999999999999</v>
      </c>
      <c r="S282" s="338">
        <f t="shared" si="50"/>
        <v>0.32299999999999995</v>
      </c>
      <c r="T282" s="338" t="s">
        <v>617</v>
      </c>
      <c r="U282" s="129" t="s">
        <v>215</v>
      </c>
      <c r="V282" s="338" t="s">
        <v>617</v>
      </c>
      <c r="W282" s="129" t="s">
        <v>215</v>
      </c>
      <c r="X282" s="460">
        <f>IF(V282="ND","ND",IF(S282="","",IF(OR(MID(C282,1,4)="milk",AND(MID(B282,1,2)="50",NOT(input_values!M282="Y")),AND(MID(B282,1,2)="40",NOT(input_values!M282="Y")),AND(MID(B282,1,2)="30",NOT(input_values!M282="Y"))),3,IF(OR(V282="&lt;25",B282&gt;1000000),1,IF((T282&gt;=S282),"2b","2a")))))</f>
        <v>1</v>
      </c>
      <c r="Y282" s="128">
        <f>IF(X282="ND","ND",IF(S282="","",IF(input_values!K282&gt;0,input_values!K282,IF(OR(X282=1,X282=3),1,IF((V282&gt;250),5,7)))))</f>
        <v>1</v>
      </c>
      <c r="Z282" s="345" t="str">
        <f t="shared" si="45"/>
        <v/>
      </c>
      <c r="AA282" s="332">
        <f t="shared" si="41"/>
        <v>0</v>
      </c>
      <c r="AB282" s="27">
        <f t="shared" si="46"/>
        <v>1</v>
      </c>
      <c r="AC282" s="345" t="str">
        <f t="shared" si="47"/>
        <v/>
      </c>
      <c r="AD282" s="332">
        <f t="shared" si="42"/>
        <v>0</v>
      </c>
      <c r="AE282" s="40" t="str">
        <f t="shared" si="48"/>
        <v/>
      </c>
      <c r="AF282" s="40" t="str">
        <f t="shared" si="49"/>
        <v/>
      </c>
      <c r="AG282" s="561" t="str">
        <f t="shared" si="43"/>
        <v/>
      </c>
      <c r="AH282" s="561" t="str">
        <f t="shared" si="44"/>
        <v/>
      </c>
      <c r="AI282" s="313"/>
    </row>
    <row r="283" spans="1:35" outlineLevel="3" x14ac:dyDescent="0.2">
      <c r="A283" s="39">
        <v>4</v>
      </c>
      <c r="B283" s="23">
        <v>810050</v>
      </c>
      <c r="C283" s="23" t="s">
        <v>274</v>
      </c>
      <c r="D283" s="300">
        <f>Table22[[#This Row],[Level used for acute calculation]]</f>
        <v>4</v>
      </c>
      <c r="E283" s="302">
        <f>Table22[[#This Row],[MRL individual commodity]]</f>
        <v>0</v>
      </c>
      <c r="F283" s="451">
        <f>Table22[[#This Row],[Acute RA input value]]</f>
        <v>0</v>
      </c>
      <c r="G283" s="301" t="str">
        <f>Table22[[#This Row],[Acute RA label]]</f>
        <v/>
      </c>
      <c r="H283" s="303">
        <f>Table22[[#This Row],[Acute RA IESTI new input value]]</f>
        <v>0</v>
      </c>
      <c r="I283" s="301" t="str">
        <f>Table22[[#This Row],[Acute RA IESTI new label]]</f>
        <v/>
      </c>
      <c r="J283" s="504"/>
      <c r="K283" s="544">
        <f>Table22[[#This Row],[GAP under assessment]]</f>
        <v>0</v>
      </c>
      <c r="L283" s="304" t="str">
        <f>IF(input_values!$M283=0,"",input_values!$M283)</f>
        <v/>
      </c>
      <c r="M283" s="301" t="str">
        <f>IF(input_values!H283=0,"",input_values!H283)</f>
        <v/>
      </c>
      <c r="N283" s="304">
        <f>input_values!$K283</f>
        <v>0</v>
      </c>
      <c r="O283" s="339">
        <v>5.4347826086956529E-3</v>
      </c>
      <c r="P283" s="128" t="s">
        <v>331</v>
      </c>
      <c r="Q283" s="128" t="s">
        <v>259</v>
      </c>
      <c r="R283" s="339">
        <v>18.399999999999999</v>
      </c>
      <c r="S283" s="338">
        <f t="shared" si="50"/>
        <v>0.1</v>
      </c>
      <c r="T283" s="338" t="s">
        <v>617</v>
      </c>
      <c r="U283" s="129" t="s">
        <v>215</v>
      </c>
      <c r="V283" s="338" t="s">
        <v>617</v>
      </c>
      <c r="W283" s="129" t="s">
        <v>215</v>
      </c>
      <c r="X283" s="460">
        <f>IF(V283="ND","ND",IF(S283="","",IF(OR(MID(C283,1,4)="milk",AND(MID(B283,1,2)="50",NOT(input_values!M283="Y")),AND(MID(B283,1,2)="40",NOT(input_values!M283="Y")),AND(MID(B283,1,2)="30",NOT(input_values!M283="Y"))),3,IF(OR(V283="&lt;25",B283&gt;1000000),1,IF((T283&gt;=S283),"2b","2a")))))</f>
        <v>1</v>
      </c>
      <c r="Y283" s="128">
        <f>IF(X283="ND","ND",IF(S283="","",IF(input_values!K283&gt;0,input_values!K283,IF(OR(X283=1,X283=3),1,IF((V283&gt;250),5,7)))))</f>
        <v>1</v>
      </c>
      <c r="Z283" s="345" t="str">
        <f t="shared" si="45"/>
        <v/>
      </c>
      <c r="AA283" s="332">
        <f t="shared" si="41"/>
        <v>0</v>
      </c>
      <c r="AB283" s="27">
        <f t="shared" si="46"/>
        <v>1</v>
      </c>
      <c r="AC283" s="345" t="str">
        <f t="shared" si="47"/>
        <v/>
      </c>
      <c r="AD283" s="332">
        <f t="shared" si="42"/>
        <v>0</v>
      </c>
      <c r="AE283" s="40" t="str">
        <f t="shared" si="48"/>
        <v/>
      </c>
      <c r="AF283" s="40" t="str">
        <f t="shared" si="49"/>
        <v/>
      </c>
      <c r="AG283" s="561" t="str">
        <f t="shared" si="43"/>
        <v/>
      </c>
      <c r="AH283" s="561" t="str">
        <f t="shared" si="44"/>
        <v/>
      </c>
      <c r="AI283" s="313"/>
    </row>
    <row r="284" spans="1:35" outlineLevel="3" x14ac:dyDescent="0.2">
      <c r="A284" s="39">
        <v>4</v>
      </c>
      <c r="B284" s="23">
        <v>810060</v>
      </c>
      <c r="C284" s="23" t="s">
        <v>275</v>
      </c>
      <c r="D284" s="300">
        <f>Table22[[#This Row],[Level used for acute calculation]]</f>
        <v>4</v>
      </c>
      <c r="E284" s="302">
        <f>Table22[[#This Row],[MRL individual commodity]]</f>
        <v>0</v>
      </c>
      <c r="F284" s="451">
        <f>Table22[[#This Row],[Acute RA input value]]</f>
        <v>0</v>
      </c>
      <c r="G284" s="301" t="str">
        <f>Table22[[#This Row],[Acute RA label]]</f>
        <v/>
      </c>
      <c r="H284" s="303">
        <f>Table22[[#This Row],[Acute RA IESTI new input value]]</f>
        <v>0</v>
      </c>
      <c r="I284" s="301" t="str">
        <f>Table22[[#This Row],[Acute RA IESTI new label]]</f>
        <v/>
      </c>
      <c r="J284" s="504"/>
      <c r="K284" s="544">
        <f>Table22[[#This Row],[GAP under assessment]]</f>
        <v>0</v>
      </c>
      <c r="L284" s="304" t="str">
        <f>IF(input_values!$M284=0,"",input_values!$M284)</f>
        <v/>
      </c>
      <c r="M284" s="301" t="str">
        <f>IF(input_values!H284=0,"",input_values!H284)</f>
        <v/>
      </c>
      <c r="N284" s="304">
        <f>input_values!$K284</f>
        <v>0</v>
      </c>
      <c r="O284" s="339">
        <v>5.4347826086956529E-3</v>
      </c>
      <c r="P284" s="128" t="s">
        <v>331</v>
      </c>
      <c r="Q284" s="128" t="s">
        <v>259</v>
      </c>
      <c r="R284" s="339">
        <v>18.399999999999999</v>
      </c>
      <c r="S284" s="338">
        <f t="shared" si="50"/>
        <v>0.1</v>
      </c>
      <c r="T284" s="338" t="s">
        <v>617</v>
      </c>
      <c r="U284" s="129" t="s">
        <v>215</v>
      </c>
      <c r="V284" s="338" t="s">
        <v>617</v>
      </c>
      <c r="W284" s="129" t="s">
        <v>215</v>
      </c>
      <c r="X284" s="460">
        <f>IF(V284="ND","ND",IF(S284="","",IF(OR(MID(C284,1,4)="milk",AND(MID(B284,1,2)="50",NOT(input_values!M284="Y")),AND(MID(B284,1,2)="40",NOT(input_values!M284="Y")),AND(MID(B284,1,2)="30",NOT(input_values!M284="Y"))),3,IF(OR(V284="&lt;25",B284&gt;1000000),1,IF((T284&gt;=S284),"2b","2a")))))</f>
        <v>1</v>
      </c>
      <c r="Y284" s="128">
        <f>IF(X284="ND","ND",IF(S284="","",IF(input_values!K284&gt;0,input_values!K284,IF(OR(X284=1,X284=3),1,IF((V284&gt;250),5,7)))))</f>
        <v>1</v>
      </c>
      <c r="Z284" s="345" t="str">
        <f t="shared" si="45"/>
        <v/>
      </c>
      <c r="AA284" s="332">
        <f t="shared" si="41"/>
        <v>0</v>
      </c>
      <c r="AB284" s="27">
        <f t="shared" si="46"/>
        <v>1</v>
      </c>
      <c r="AC284" s="345" t="str">
        <f t="shared" si="47"/>
        <v/>
      </c>
      <c r="AD284" s="332">
        <f t="shared" si="42"/>
        <v>0</v>
      </c>
      <c r="AE284" s="40" t="str">
        <f t="shared" si="48"/>
        <v/>
      </c>
      <c r="AF284" s="40" t="str">
        <f t="shared" si="49"/>
        <v/>
      </c>
      <c r="AG284" s="561" t="str">
        <f t="shared" si="43"/>
        <v/>
      </c>
      <c r="AH284" s="561" t="str">
        <f t="shared" si="44"/>
        <v/>
      </c>
      <c r="AI284" s="313"/>
    </row>
    <row r="285" spans="1:35" outlineLevel="3" x14ac:dyDescent="0.2">
      <c r="A285" s="39">
        <v>4</v>
      </c>
      <c r="B285" s="23">
        <v>810070</v>
      </c>
      <c r="C285" s="23" t="s">
        <v>276</v>
      </c>
      <c r="D285" s="300">
        <f>Table22[[#This Row],[Level used for acute calculation]]</f>
        <v>4</v>
      </c>
      <c r="E285" s="302">
        <f>Table22[[#This Row],[MRL individual commodity]]</f>
        <v>0</v>
      </c>
      <c r="F285" s="451">
        <f>Table22[[#This Row],[Acute RA input value]]</f>
        <v>0</v>
      </c>
      <c r="G285" s="301" t="str">
        <f>Table22[[#This Row],[Acute RA label]]</f>
        <v/>
      </c>
      <c r="H285" s="303">
        <f>Table22[[#This Row],[Acute RA IESTI new input value]]</f>
        <v>0</v>
      </c>
      <c r="I285" s="301" t="str">
        <f>Table22[[#This Row],[Acute RA IESTI new label]]</f>
        <v/>
      </c>
      <c r="J285" s="504"/>
      <c r="K285" s="544">
        <f>Table22[[#This Row],[GAP under assessment]]</f>
        <v>0</v>
      </c>
      <c r="L285" s="304" t="str">
        <f>IF(input_values!$M285=0,"",input_values!$M285)</f>
        <v/>
      </c>
      <c r="M285" s="301" t="str">
        <f>IF(input_values!H285=0,"",input_values!H285)</f>
        <v/>
      </c>
      <c r="N285" s="304">
        <f>input_values!$K285</f>
        <v>0</v>
      </c>
      <c r="O285" s="339">
        <v>0.77</v>
      </c>
      <c r="P285" s="128">
        <v>97.5</v>
      </c>
      <c r="Q285" s="128" t="s">
        <v>256</v>
      </c>
      <c r="R285" s="339">
        <v>16.149999999999999</v>
      </c>
      <c r="S285" s="338">
        <f t="shared" si="50"/>
        <v>12.435499999999999</v>
      </c>
      <c r="T285" s="338" t="s">
        <v>617</v>
      </c>
      <c r="U285" s="129" t="s">
        <v>215</v>
      </c>
      <c r="V285" s="338" t="s">
        <v>617</v>
      </c>
      <c r="W285" s="129" t="s">
        <v>215</v>
      </c>
      <c r="X285" s="460">
        <f>IF(V285="ND","ND",IF(S285="","",IF(OR(MID(C285,1,4)="milk",AND(MID(B285,1,2)="50",NOT(input_values!M285="Y")),AND(MID(B285,1,2)="40",NOT(input_values!M285="Y")),AND(MID(B285,1,2)="30",NOT(input_values!M285="Y"))),3,IF(OR(V285="&lt;25",B285&gt;1000000),1,IF((T285&gt;=S285),"2b","2a")))))</f>
        <v>1</v>
      </c>
      <c r="Y285" s="128">
        <f>IF(X285="ND","ND",IF(S285="","",IF(input_values!K285&gt;0,input_values!K285,IF(OR(X285=1,X285=3),1,IF((V285&gt;250),5,7)))))</f>
        <v>1</v>
      </c>
      <c r="Z285" s="345" t="str">
        <f t="shared" si="45"/>
        <v/>
      </c>
      <c r="AA285" s="332">
        <f t="shared" si="41"/>
        <v>0</v>
      </c>
      <c r="AB285" s="27">
        <f t="shared" si="46"/>
        <v>1</v>
      </c>
      <c r="AC285" s="345" t="str">
        <f t="shared" si="47"/>
        <v/>
      </c>
      <c r="AD285" s="332">
        <f t="shared" si="42"/>
        <v>0</v>
      </c>
      <c r="AE285" s="40" t="str">
        <f t="shared" si="48"/>
        <v/>
      </c>
      <c r="AF285" s="40" t="str">
        <f t="shared" si="49"/>
        <v/>
      </c>
      <c r="AG285" s="561" t="str">
        <f t="shared" si="43"/>
        <v/>
      </c>
      <c r="AH285" s="561" t="str">
        <f t="shared" si="44"/>
        <v/>
      </c>
      <c r="AI285" s="313"/>
    </row>
    <row r="286" spans="1:35" outlineLevel="3" x14ac:dyDescent="0.2">
      <c r="A286" s="39">
        <v>4</v>
      </c>
      <c r="B286" s="23">
        <v>810080</v>
      </c>
      <c r="C286" s="23" t="s">
        <v>277</v>
      </c>
      <c r="D286" s="300">
        <f>Table22[[#This Row],[Level used for acute calculation]]</f>
        <v>4</v>
      </c>
      <c r="E286" s="302">
        <f>Table22[[#This Row],[MRL individual commodity]]</f>
        <v>0</v>
      </c>
      <c r="F286" s="451">
        <f>Table22[[#This Row],[Acute RA input value]]</f>
        <v>0</v>
      </c>
      <c r="G286" s="301" t="str">
        <f>Table22[[#This Row],[Acute RA label]]</f>
        <v/>
      </c>
      <c r="H286" s="303">
        <f>Table22[[#This Row],[Acute RA IESTI new input value]]</f>
        <v>0</v>
      </c>
      <c r="I286" s="301" t="str">
        <f>Table22[[#This Row],[Acute RA IESTI new label]]</f>
        <v/>
      </c>
      <c r="J286" s="504"/>
      <c r="K286" s="544">
        <f>Table22[[#This Row],[GAP under assessment]]</f>
        <v>0</v>
      </c>
      <c r="L286" s="304" t="str">
        <f>IF(input_values!$M286=0,"",input_values!$M286)</f>
        <v/>
      </c>
      <c r="M286" s="301" t="str">
        <f>IF(input_values!H286=0,"",input_values!H286)</f>
        <v/>
      </c>
      <c r="N286" s="304">
        <f>input_values!$K286</f>
        <v>0</v>
      </c>
      <c r="O286" s="339">
        <v>5.4347826086956529E-3</v>
      </c>
      <c r="P286" s="128" t="s">
        <v>331</v>
      </c>
      <c r="Q286" s="128" t="s">
        <v>259</v>
      </c>
      <c r="R286" s="339">
        <v>18.399999999999999</v>
      </c>
      <c r="S286" s="338">
        <f t="shared" si="50"/>
        <v>0.1</v>
      </c>
      <c r="T286" s="338" t="s">
        <v>617</v>
      </c>
      <c r="U286" s="129" t="s">
        <v>215</v>
      </c>
      <c r="V286" s="338" t="s">
        <v>617</v>
      </c>
      <c r="W286" s="129" t="s">
        <v>215</v>
      </c>
      <c r="X286" s="460">
        <f>IF(V286="ND","ND",IF(S286="","",IF(OR(MID(C286,1,4)="milk",AND(MID(B286,1,2)="50",NOT(input_values!M286="Y")),AND(MID(B286,1,2)="40",NOT(input_values!M286="Y")),AND(MID(B286,1,2)="30",NOT(input_values!M286="Y"))),3,IF(OR(V286="&lt;25",B286&gt;1000000),1,IF((T286&gt;=S286),"2b","2a")))))</f>
        <v>1</v>
      </c>
      <c r="Y286" s="128">
        <f>IF(X286="ND","ND",IF(S286="","",IF(input_values!K286&gt;0,input_values!K286,IF(OR(X286=1,X286=3),1,IF((V286&gt;250),5,7)))))</f>
        <v>1</v>
      </c>
      <c r="Z286" s="345" t="str">
        <f t="shared" si="45"/>
        <v/>
      </c>
      <c r="AA286" s="332">
        <f t="shared" si="41"/>
        <v>0</v>
      </c>
      <c r="AB286" s="27">
        <f t="shared" si="46"/>
        <v>1</v>
      </c>
      <c r="AC286" s="345" t="str">
        <f t="shared" si="47"/>
        <v/>
      </c>
      <c r="AD286" s="332">
        <f t="shared" si="42"/>
        <v>0</v>
      </c>
      <c r="AE286" s="40" t="str">
        <f t="shared" si="48"/>
        <v/>
      </c>
      <c r="AF286" s="40" t="str">
        <f t="shared" si="49"/>
        <v/>
      </c>
      <c r="AG286" s="561" t="str">
        <f t="shared" si="43"/>
        <v/>
      </c>
      <c r="AH286" s="561" t="str">
        <f t="shared" si="44"/>
        <v/>
      </c>
      <c r="AI286" s="313"/>
    </row>
    <row r="287" spans="1:35" outlineLevel="3" x14ac:dyDescent="0.2">
      <c r="A287" s="39">
        <v>4</v>
      </c>
      <c r="B287" s="23">
        <v>810090</v>
      </c>
      <c r="C287" s="23" t="s">
        <v>278</v>
      </c>
      <c r="D287" s="300">
        <f>Table22[[#This Row],[Level used for acute calculation]]</f>
        <v>4</v>
      </c>
      <c r="E287" s="302">
        <f>Table22[[#This Row],[MRL individual commodity]]</f>
        <v>0</v>
      </c>
      <c r="F287" s="451">
        <f>Table22[[#This Row],[Acute RA input value]]</f>
        <v>0</v>
      </c>
      <c r="G287" s="301" t="str">
        <f>Table22[[#This Row],[Acute RA label]]</f>
        <v/>
      </c>
      <c r="H287" s="303">
        <f>Table22[[#This Row],[Acute RA IESTI new input value]]</f>
        <v>0</v>
      </c>
      <c r="I287" s="301" t="str">
        <f>Table22[[#This Row],[Acute RA IESTI new label]]</f>
        <v/>
      </c>
      <c r="J287" s="504"/>
      <c r="K287" s="544">
        <f>Table22[[#This Row],[GAP under assessment]]</f>
        <v>0</v>
      </c>
      <c r="L287" s="304" t="str">
        <f>IF(input_values!$M287=0,"",input_values!$M287)</f>
        <v/>
      </c>
      <c r="M287" s="301" t="str">
        <f>IF(input_values!H287=0,"",input_values!H287)</f>
        <v/>
      </c>
      <c r="N287" s="304">
        <f>input_values!$K287</f>
        <v>0</v>
      </c>
      <c r="O287" s="339">
        <v>0.01</v>
      </c>
      <c r="P287" s="128">
        <v>97.5</v>
      </c>
      <c r="Q287" s="128" t="s">
        <v>256</v>
      </c>
      <c r="R287" s="339">
        <v>16.149999999999999</v>
      </c>
      <c r="S287" s="338">
        <f t="shared" si="50"/>
        <v>0.16149999999999998</v>
      </c>
      <c r="T287" s="338" t="s">
        <v>617</v>
      </c>
      <c r="U287" s="129" t="s">
        <v>215</v>
      </c>
      <c r="V287" s="338" t="s">
        <v>617</v>
      </c>
      <c r="W287" s="129" t="s">
        <v>215</v>
      </c>
      <c r="X287" s="460">
        <f>IF(V287="ND","ND",IF(S287="","",IF(OR(MID(C287,1,4)="milk",AND(MID(B287,1,2)="50",NOT(input_values!M287="Y")),AND(MID(B287,1,2)="40",NOT(input_values!M287="Y")),AND(MID(B287,1,2)="30",NOT(input_values!M287="Y"))),3,IF(OR(V287="&lt;25",B287&gt;1000000),1,IF((T287&gt;=S287),"2b","2a")))))</f>
        <v>1</v>
      </c>
      <c r="Y287" s="128">
        <f>IF(X287="ND","ND",IF(S287="","",IF(input_values!K287&gt;0,input_values!K287,IF(OR(X287=1,X287=3),1,IF((V287&gt;250),5,7)))))</f>
        <v>1</v>
      </c>
      <c r="Z287" s="345" t="str">
        <f t="shared" si="45"/>
        <v/>
      </c>
      <c r="AA287" s="332">
        <f t="shared" si="41"/>
        <v>0</v>
      </c>
      <c r="AB287" s="27">
        <f t="shared" si="46"/>
        <v>1</v>
      </c>
      <c r="AC287" s="345" t="str">
        <f t="shared" si="47"/>
        <v/>
      </c>
      <c r="AD287" s="332">
        <f t="shared" si="42"/>
        <v>0</v>
      </c>
      <c r="AE287" s="40" t="str">
        <f t="shared" si="48"/>
        <v/>
      </c>
      <c r="AF287" s="40" t="str">
        <f t="shared" si="49"/>
        <v/>
      </c>
      <c r="AG287" s="561" t="str">
        <f t="shared" si="43"/>
        <v/>
      </c>
      <c r="AH287" s="561" t="str">
        <f t="shared" si="44"/>
        <v/>
      </c>
      <c r="AI287" s="313"/>
    </row>
    <row r="288" spans="1:35" outlineLevel="3" x14ac:dyDescent="0.2">
      <c r="A288" s="39">
        <v>4</v>
      </c>
      <c r="B288" s="23">
        <v>810990</v>
      </c>
      <c r="C288" s="23" t="s">
        <v>183</v>
      </c>
      <c r="D288" s="300">
        <f>Table22[[#This Row],[Level used for acute calculation]]</f>
        <v>0</v>
      </c>
      <c r="E288" s="302">
        <f>Table22[[#This Row],[MRL individual commodity]]</f>
        <v>0</v>
      </c>
      <c r="F288" s="451">
        <f>Table22[[#This Row],[Acute RA input value]]</f>
        <v>0</v>
      </c>
      <c r="G288" s="301">
        <f>Table22[[#This Row],[Acute RA label]]</f>
        <v>0</v>
      </c>
      <c r="H288" s="303">
        <f>Table22[[#This Row],[Acute RA IESTI new input value]]</f>
        <v>0</v>
      </c>
      <c r="I288" s="301">
        <f>Table22[[#This Row],[Acute RA IESTI new label]]</f>
        <v>0</v>
      </c>
      <c r="J288" s="504"/>
      <c r="K288" s="544">
        <f>Table22[[#This Row],[GAP under assessment]]</f>
        <v>0</v>
      </c>
      <c r="L288" s="304" t="str">
        <f>IF(input_values!$M288=0,"",input_values!$M288)</f>
        <v/>
      </c>
      <c r="M288" s="301" t="str">
        <f>IF(input_values!H288=0,"",input_values!H288)</f>
        <v/>
      </c>
      <c r="N288" s="304">
        <f>input_values!$K288</f>
        <v>0</v>
      </c>
      <c r="O288" s="309"/>
      <c r="P288" s="38"/>
      <c r="Q288" s="38"/>
      <c r="R288" s="335"/>
      <c r="S288" s="336" t="str">
        <f t="shared" si="50"/>
        <v/>
      </c>
      <c r="T288" s="305"/>
      <c r="U288" s="570"/>
      <c r="V288" s="305"/>
      <c r="W288" s="570"/>
      <c r="X288" s="611" t="str">
        <f>IF(V288="ND","ND",IF(S288="","",IF(OR(MID(C288,1,4)="milk",AND(MID(B288,1,2)="50",NOT(input_values!M288="Y")),AND(MID(B288,1,2)="40",NOT(input_values!M288="Y")),AND(MID(B288,1,2)="30",NOT(input_values!M288="Y"))),3,IF(OR(V288="&lt;25",B288&gt;1000000),1,IF((T288&gt;=S288),"2b","2a")))))</f>
        <v/>
      </c>
      <c r="Y288" s="38" t="str">
        <f>IF(X288="ND","ND",IF(S288="","",IF(input_values!K288&gt;0,input_values!K288,IF(OR(X288=1,X288=3),1,IF((V288&gt;250),5,7)))))</f>
        <v/>
      </c>
      <c r="Z288" s="335" t="str">
        <f t="shared" si="45"/>
        <v/>
      </c>
      <c r="AA288" s="311">
        <f t="shared" si="41"/>
        <v>0</v>
      </c>
      <c r="AB288" s="38" t="str">
        <f t="shared" si="46"/>
        <v/>
      </c>
      <c r="AC288" s="335" t="str">
        <f t="shared" si="47"/>
        <v/>
      </c>
      <c r="AD288" s="311">
        <f t="shared" si="42"/>
        <v>0</v>
      </c>
      <c r="AE288" s="344" t="str">
        <f t="shared" si="48"/>
        <v/>
      </c>
      <c r="AF288" s="344" t="str">
        <f t="shared" si="49"/>
        <v/>
      </c>
      <c r="AG288" s="561" t="str">
        <f t="shared" si="43"/>
        <v/>
      </c>
      <c r="AH288" s="561" t="str">
        <f t="shared" si="44"/>
        <v/>
      </c>
      <c r="AI288" s="313"/>
    </row>
    <row r="289" spans="1:35" outlineLevel="1" x14ac:dyDescent="0.2">
      <c r="A289" s="130">
        <v>2</v>
      </c>
      <c r="B289" s="131">
        <v>820000</v>
      </c>
      <c r="C289" s="131" t="s">
        <v>783</v>
      </c>
      <c r="D289" s="300">
        <f>Table22[[#This Row],[Level used for acute calculation]]</f>
        <v>4</v>
      </c>
      <c r="E289" s="302">
        <f>Table22[[#This Row],[MRL individual commodity]]</f>
        <v>0</v>
      </c>
      <c r="F289" s="451">
        <f>Table22[[#This Row],[Acute RA input value]]</f>
        <v>0</v>
      </c>
      <c r="G289" s="301">
        <f>Table22[[#This Row],[Acute RA label]]</f>
        <v>0</v>
      </c>
      <c r="H289" s="303">
        <f>Table22[[#This Row],[Acute RA IESTI new input value]]</f>
        <v>0</v>
      </c>
      <c r="I289" s="301">
        <f>Table22[[#This Row],[Acute RA IESTI new label]]</f>
        <v>0</v>
      </c>
      <c r="J289" s="504"/>
      <c r="K289" s="544">
        <f>Table22[[#This Row],[GAP under assessment]]</f>
        <v>0</v>
      </c>
      <c r="L289" s="304" t="str">
        <f>IF(input_values!$M289=0,"",input_values!$M289)</f>
        <v/>
      </c>
      <c r="M289" s="301" t="str">
        <f>IF(input_values!H289=0,"",input_values!H289)</f>
        <v/>
      </c>
      <c r="N289" s="304">
        <f>input_values!$K289</f>
        <v>0</v>
      </c>
      <c r="O289" s="309"/>
      <c r="P289" s="38"/>
      <c r="Q289" s="38"/>
      <c r="R289" s="335"/>
      <c r="S289" s="336" t="str">
        <f t="shared" si="50"/>
        <v/>
      </c>
      <c r="T289" s="305"/>
      <c r="U289" s="570"/>
      <c r="V289" s="305"/>
      <c r="W289" s="570"/>
      <c r="X289" s="611" t="str">
        <f>IF(V289="ND","ND",IF(S289="","",IF(OR(MID(C289,1,4)="milk",AND(MID(B289,1,2)="50",NOT(input_values!M289="Y")),AND(MID(B289,1,2)="40",NOT(input_values!M289="Y")),AND(MID(B289,1,2)="30",NOT(input_values!M289="Y"))),3,IF(OR(V289="&lt;25",B289&gt;1000000),1,IF((T289&gt;=S289),"2b","2a")))))</f>
        <v/>
      </c>
      <c r="Y289" s="38" t="str">
        <f>IF(X289="ND","ND",IF(S289="","",IF(input_values!K289&gt;0,input_values!K289,IF(OR(X289=1,X289=3),1,IF((V289&gt;250),5,7)))))</f>
        <v/>
      </c>
      <c r="Z289" s="335" t="str">
        <f t="shared" si="45"/>
        <v/>
      </c>
      <c r="AA289" s="311">
        <f t="shared" si="41"/>
        <v>0</v>
      </c>
      <c r="AB289" s="38" t="str">
        <f t="shared" si="46"/>
        <v/>
      </c>
      <c r="AC289" s="335" t="str">
        <f t="shared" si="47"/>
        <v/>
      </c>
      <c r="AD289" s="311">
        <f t="shared" si="42"/>
        <v>0</v>
      </c>
      <c r="AE289" s="344" t="str">
        <f t="shared" si="48"/>
        <v/>
      </c>
      <c r="AF289" s="344" t="str">
        <f t="shared" si="49"/>
        <v/>
      </c>
      <c r="AG289" s="561" t="str">
        <f t="shared" si="43"/>
        <v/>
      </c>
      <c r="AH289" s="561" t="str">
        <f t="shared" si="44"/>
        <v/>
      </c>
      <c r="AI289" s="313"/>
    </row>
    <row r="290" spans="1:35" outlineLevel="3" x14ac:dyDescent="0.2">
      <c r="A290" s="39">
        <v>4</v>
      </c>
      <c r="B290" s="23">
        <v>820010</v>
      </c>
      <c r="C290" s="23" t="s">
        <v>778</v>
      </c>
      <c r="D290" s="300">
        <f>Table22[[#This Row],[Level used for acute calculation]]</f>
        <v>4</v>
      </c>
      <c r="E290" s="302">
        <f>Table22[[#This Row],[MRL individual commodity]]</f>
        <v>0</v>
      </c>
      <c r="F290" s="451">
        <f>Table22[[#This Row],[Acute RA input value]]</f>
        <v>0</v>
      </c>
      <c r="G290" s="301" t="str">
        <f>Table22[[#This Row],[Acute RA label]]</f>
        <v/>
      </c>
      <c r="H290" s="303">
        <f>Table22[[#This Row],[Acute RA IESTI new input value]]</f>
        <v>0</v>
      </c>
      <c r="I290" s="301" t="str">
        <f>Table22[[#This Row],[Acute RA IESTI new label]]</f>
        <v/>
      </c>
      <c r="J290" s="504"/>
      <c r="K290" s="544">
        <f>Table22[[#This Row],[GAP under assessment]]</f>
        <v>0</v>
      </c>
      <c r="L290" s="304" t="str">
        <f>IF(input_values!$M290=0,"",input_values!$M290)</f>
        <v/>
      </c>
      <c r="M290" s="301" t="str">
        <f>IF(input_values!H290=0,"",input_values!H290)</f>
        <v/>
      </c>
      <c r="N290" s="304">
        <f>input_values!$K290</f>
        <v>0</v>
      </c>
      <c r="O290" s="339">
        <v>2.4213100000000001E-2</v>
      </c>
      <c r="P290" s="128">
        <v>97.5</v>
      </c>
      <c r="Q290" s="128" t="s">
        <v>330</v>
      </c>
      <c r="R290" s="339">
        <v>20</v>
      </c>
      <c r="S290" s="338">
        <f t="shared" si="50"/>
        <v>0.48426200000000003</v>
      </c>
      <c r="T290" s="338" t="s">
        <v>617</v>
      </c>
      <c r="U290" s="129" t="s">
        <v>215</v>
      </c>
      <c r="V290" s="338" t="s">
        <v>617</v>
      </c>
      <c r="W290" s="129" t="s">
        <v>215</v>
      </c>
      <c r="X290" s="460">
        <f>IF(V290="ND","ND",IF(S290="","",IF(OR(MID(C290,1,4)="milk",AND(MID(B290,1,2)="50",NOT(input_values!M290="Y")),AND(MID(B290,1,2)="40",NOT(input_values!M290="Y")),AND(MID(B290,1,2)="30",NOT(input_values!M290="Y"))),3,IF(OR(V290="&lt;25",B290&gt;1000000),1,IF((T290&gt;=S290),"2b","2a")))))</f>
        <v>1</v>
      </c>
      <c r="Y290" s="128">
        <f>IF(X290="ND","ND",IF(S290="","",IF(input_values!K290&gt;0,input_values!K290,IF(OR(X290=1,X290=3),1,IF((V290&gt;250),5,7)))))</f>
        <v>1</v>
      </c>
      <c r="Z290" s="345" t="str">
        <f t="shared" si="45"/>
        <v/>
      </c>
      <c r="AA290" s="332">
        <f t="shared" si="41"/>
        <v>0</v>
      </c>
      <c r="AB290" s="27">
        <f t="shared" si="46"/>
        <v>1</v>
      </c>
      <c r="AC290" s="345" t="str">
        <f t="shared" si="47"/>
        <v/>
      </c>
      <c r="AD290" s="332">
        <f t="shared" si="42"/>
        <v>0</v>
      </c>
      <c r="AE290" s="40" t="str">
        <f t="shared" si="48"/>
        <v/>
      </c>
      <c r="AF290" s="40" t="str">
        <f t="shared" si="49"/>
        <v/>
      </c>
      <c r="AG290" s="561" t="str">
        <f t="shared" si="43"/>
        <v/>
      </c>
      <c r="AH290" s="561" t="str">
        <f t="shared" si="44"/>
        <v/>
      </c>
      <c r="AI290" s="313"/>
    </row>
    <row r="291" spans="1:35" outlineLevel="3" x14ac:dyDescent="0.2">
      <c r="A291" s="39">
        <v>4</v>
      </c>
      <c r="B291" s="23">
        <v>820020</v>
      </c>
      <c r="C291" s="23" t="s">
        <v>779</v>
      </c>
      <c r="D291" s="300">
        <f>Table22[[#This Row],[Level used for acute calculation]]</f>
        <v>4</v>
      </c>
      <c r="E291" s="302">
        <f>Table22[[#This Row],[MRL individual commodity]]</f>
        <v>0</v>
      </c>
      <c r="F291" s="451">
        <f>Table22[[#This Row],[Acute RA input value]]</f>
        <v>0</v>
      </c>
      <c r="G291" s="301" t="str">
        <f>Table22[[#This Row],[Acute RA label]]</f>
        <v/>
      </c>
      <c r="H291" s="303">
        <f>Table22[[#This Row],[Acute RA IESTI new input value]]</f>
        <v>0</v>
      </c>
      <c r="I291" s="301" t="str">
        <f>Table22[[#This Row],[Acute RA IESTI new label]]</f>
        <v/>
      </c>
      <c r="J291" s="504"/>
      <c r="K291" s="544">
        <f>Table22[[#This Row],[GAP under assessment]]</f>
        <v>0</v>
      </c>
      <c r="L291" s="304" t="str">
        <f>IF(input_values!$M291=0,"",input_values!$M291)</f>
        <v/>
      </c>
      <c r="M291" s="301" t="str">
        <f>IF(input_values!H291=0,"",input_values!H291)</f>
        <v/>
      </c>
      <c r="N291" s="304">
        <f>input_values!$K291</f>
        <v>0</v>
      </c>
      <c r="O291" s="338" t="s">
        <v>618</v>
      </c>
      <c r="P291" s="128"/>
      <c r="Q291" s="128"/>
      <c r="R291" s="345"/>
      <c r="S291" s="340" t="str">
        <f t="shared" si="50"/>
        <v>ND</v>
      </c>
      <c r="T291" s="338" t="s">
        <v>617</v>
      </c>
      <c r="U291" s="129" t="s">
        <v>215</v>
      </c>
      <c r="V291" s="338" t="s">
        <v>617</v>
      </c>
      <c r="W291" s="129" t="s">
        <v>215</v>
      </c>
      <c r="X291" s="460">
        <f>IF(V291="ND","ND",IF(S291="","",IF(OR(MID(C291,1,4)="milk",AND(MID(B291,1,2)="50",NOT(input_values!M291="Y")),AND(MID(B291,1,2)="40",NOT(input_values!M291="Y")),AND(MID(B291,1,2)="30",NOT(input_values!M291="Y"))),3,IF(OR(V291="&lt;25",B291&gt;1000000),1,IF((T291&gt;=S291),"2b","2a")))))</f>
        <v>1</v>
      </c>
      <c r="Y291" s="128">
        <f>IF(X291="ND","ND",IF(S291="","",IF(input_values!K291&gt;0,input_values!K291,IF(OR(X291=1,X291=3),1,IF((V291&gt;250),5,7)))))</f>
        <v>1</v>
      </c>
      <c r="Z291" s="340" t="str">
        <f t="shared" si="45"/>
        <v/>
      </c>
      <c r="AA291" s="332">
        <f t="shared" si="41"/>
        <v>0</v>
      </c>
      <c r="AB291" s="27">
        <f t="shared" si="46"/>
        <v>1</v>
      </c>
      <c r="AC291" s="340" t="str">
        <f t="shared" si="47"/>
        <v/>
      </c>
      <c r="AD291" s="332">
        <f t="shared" si="42"/>
        <v>0</v>
      </c>
      <c r="AE291" s="37" t="str">
        <f t="shared" si="48"/>
        <v/>
      </c>
      <c r="AF291" s="37" t="str">
        <f t="shared" si="49"/>
        <v/>
      </c>
      <c r="AG291" s="561" t="str">
        <f t="shared" si="43"/>
        <v/>
      </c>
      <c r="AH291" s="561" t="str">
        <f t="shared" si="44"/>
        <v/>
      </c>
      <c r="AI291" s="313"/>
    </row>
    <row r="292" spans="1:35" outlineLevel="3" x14ac:dyDescent="0.2">
      <c r="A292" s="39">
        <v>4</v>
      </c>
      <c r="B292" s="23">
        <v>820030</v>
      </c>
      <c r="C292" s="23" t="s">
        <v>279</v>
      </c>
      <c r="D292" s="300">
        <f>Table22[[#This Row],[Level used for acute calculation]]</f>
        <v>4</v>
      </c>
      <c r="E292" s="302">
        <f>Table22[[#This Row],[MRL individual commodity]]</f>
        <v>0</v>
      </c>
      <c r="F292" s="451">
        <f>Table22[[#This Row],[Acute RA input value]]</f>
        <v>0</v>
      </c>
      <c r="G292" s="301" t="str">
        <f>Table22[[#This Row],[Acute RA label]]</f>
        <v/>
      </c>
      <c r="H292" s="303">
        <f>Table22[[#This Row],[Acute RA IESTI new input value]]</f>
        <v>0</v>
      </c>
      <c r="I292" s="301" t="str">
        <f>Table22[[#This Row],[Acute RA IESTI new label]]</f>
        <v/>
      </c>
      <c r="J292" s="504"/>
      <c r="K292" s="544">
        <f>Table22[[#This Row],[GAP under assessment]]</f>
        <v>0</v>
      </c>
      <c r="L292" s="304" t="str">
        <f>IF(input_values!$M292=0,"",input_values!$M292)</f>
        <v/>
      </c>
      <c r="M292" s="301" t="str">
        <f>IF(input_values!H292=0,"",input_values!H292)</f>
        <v/>
      </c>
      <c r="N292" s="304">
        <f>input_values!$K292</f>
        <v>0</v>
      </c>
      <c r="O292" s="339">
        <v>0.02</v>
      </c>
      <c r="P292" s="128">
        <v>97.5</v>
      </c>
      <c r="Q292" s="128" t="s">
        <v>96</v>
      </c>
      <c r="R292" s="339">
        <v>21.4</v>
      </c>
      <c r="S292" s="338">
        <f t="shared" si="50"/>
        <v>0.42799999999999999</v>
      </c>
      <c r="T292" s="338" t="s">
        <v>617</v>
      </c>
      <c r="U292" s="129" t="s">
        <v>215</v>
      </c>
      <c r="V292" s="338" t="s">
        <v>617</v>
      </c>
      <c r="W292" s="129" t="s">
        <v>215</v>
      </c>
      <c r="X292" s="460">
        <f>IF(V292="ND","ND",IF(S292="","",IF(OR(MID(C292,1,4)="milk",AND(MID(B292,1,2)="50",NOT(input_values!M292="Y")),AND(MID(B292,1,2)="40",NOT(input_values!M292="Y")),AND(MID(B292,1,2)="30",NOT(input_values!M292="Y"))),3,IF(OR(V292="&lt;25",B292&gt;1000000),1,IF((T292&gt;=S292),"2b","2a")))))</f>
        <v>1</v>
      </c>
      <c r="Y292" s="128">
        <f>IF(X292="ND","ND",IF(S292="","",IF(input_values!K292&gt;0,input_values!K292,IF(OR(X292=1,X292=3),1,IF((V292&gt;250),5,7)))))</f>
        <v>1</v>
      </c>
      <c r="Z292" s="345" t="str">
        <f t="shared" si="45"/>
        <v/>
      </c>
      <c r="AA292" s="332">
        <f t="shared" si="41"/>
        <v>0</v>
      </c>
      <c r="AB292" s="27">
        <f t="shared" si="46"/>
        <v>1</v>
      </c>
      <c r="AC292" s="345" t="str">
        <f t="shared" si="47"/>
        <v/>
      </c>
      <c r="AD292" s="332">
        <f t="shared" si="42"/>
        <v>0</v>
      </c>
      <c r="AE292" s="40" t="str">
        <f t="shared" si="48"/>
        <v/>
      </c>
      <c r="AF292" s="40" t="str">
        <f t="shared" si="49"/>
        <v/>
      </c>
      <c r="AG292" s="561" t="str">
        <f t="shared" si="43"/>
        <v/>
      </c>
      <c r="AH292" s="561" t="str">
        <f t="shared" si="44"/>
        <v/>
      </c>
      <c r="AI292" s="313"/>
    </row>
    <row r="293" spans="1:35" outlineLevel="3" x14ac:dyDescent="0.2">
      <c r="A293" s="39">
        <v>4</v>
      </c>
      <c r="B293" s="23">
        <v>820040</v>
      </c>
      <c r="C293" s="23" t="s">
        <v>280</v>
      </c>
      <c r="D293" s="300">
        <f>Table22[[#This Row],[Level used for acute calculation]]</f>
        <v>4</v>
      </c>
      <c r="E293" s="302">
        <f>Table22[[#This Row],[MRL individual commodity]]</f>
        <v>0</v>
      </c>
      <c r="F293" s="451">
        <f>Table22[[#This Row],[Acute RA input value]]</f>
        <v>0</v>
      </c>
      <c r="G293" s="301" t="str">
        <f>Table22[[#This Row],[Acute RA label]]</f>
        <v/>
      </c>
      <c r="H293" s="303">
        <f>Table22[[#This Row],[Acute RA IESTI new input value]]</f>
        <v>0</v>
      </c>
      <c r="I293" s="301" t="str">
        <f>Table22[[#This Row],[Acute RA IESTI new label]]</f>
        <v/>
      </c>
      <c r="J293" s="504"/>
      <c r="K293" s="544">
        <f>Table22[[#This Row],[GAP under assessment]]</f>
        <v>0</v>
      </c>
      <c r="L293" s="304" t="str">
        <f>IF(input_values!$M293=0,"",input_values!$M293)</f>
        <v/>
      </c>
      <c r="M293" s="301" t="str">
        <f>IF(input_values!H293=0,"",input_values!H293)</f>
        <v/>
      </c>
      <c r="N293" s="304">
        <f>input_values!$K293</f>
        <v>0</v>
      </c>
      <c r="O293" s="339">
        <v>0.01</v>
      </c>
      <c r="P293" s="128">
        <v>97.5</v>
      </c>
      <c r="Q293" s="128" t="s">
        <v>256</v>
      </c>
      <c r="R293" s="339">
        <v>16.149999999999999</v>
      </c>
      <c r="S293" s="338">
        <f t="shared" si="50"/>
        <v>0.16149999999999998</v>
      </c>
      <c r="T293" s="338" t="s">
        <v>617</v>
      </c>
      <c r="U293" s="129" t="s">
        <v>215</v>
      </c>
      <c r="V293" s="338" t="s">
        <v>617</v>
      </c>
      <c r="W293" s="129" t="s">
        <v>215</v>
      </c>
      <c r="X293" s="460">
        <f>IF(V293="ND","ND",IF(S293="","",IF(OR(MID(C293,1,4)="milk",AND(MID(B293,1,2)="50",NOT(input_values!M293="Y")),AND(MID(B293,1,2)="40",NOT(input_values!M293="Y")),AND(MID(B293,1,2)="30",NOT(input_values!M293="Y"))),3,IF(OR(V293="&lt;25",B293&gt;1000000),1,IF((T293&gt;=S293),"2b","2a")))))</f>
        <v>1</v>
      </c>
      <c r="Y293" s="128">
        <f>IF(X293="ND","ND",IF(S293="","",IF(input_values!K293&gt;0,input_values!K293,IF(OR(X293=1,X293=3),1,IF((V293&gt;250),5,7)))))</f>
        <v>1</v>
      </c>
      <c r="Z293" s="345" t="str">
        <f t="shared" si="45"/>
        <v/>
      </c>
      <c r="AA293" s="332">
        <f t="shared" si="41"/>
        <v>0</v>
      </c>
      <c r="AB293" s="27">
        <f t="shared" si="46"/>
        <v>1</v>
      </c>
      <c r="AC293" s="345" t="str">
        <f t="shared" si="47"/>
        <v/>
      </c>
      <c r="AD293" s="332">
        <f t="shared" si="42"/>
        <v>0</v>
      </c>
      <c r="AE293" s="40" t="str">
        <f t="shared" si="48"/>
        <v/>
      </c>
      <c r="AF293" s="40" t="str">
        <f t="shared" si="49"/>
        <v/>
      </c>
      <c r="AG293" s="561" t="str">
        <f t="shared" si="43"/>
        <v/>
      </c>
      <c r="AH293" s="561" t="str">
        <f t="shared" si="44"/>
        <v/>
      </c>
      <c r="AI293" s="313"/>
    </row>
    <row r="294" spans="1:35" outlineLevel="3" x14ac:dyDescent="0.2">
      <c r="A294" s="39">
        <v>4</v>
      </c>
      <c r="B294" s="23">
        <v>820050</v>
      </c>
      <c r="C294" s="23" t="s">
        <v>780</v>
      </c>
      <c r="D294" s="300">
        <f>Table22[[#This Row],[Level used for acute calculation]]</f>
        <v>4</v>
      </c>
      <c r="E294" s="302">
        <f>Table22[[#This Row],[MRL individual commodity]]</f>
        <v>0</v>
      </c>
      <c r="F294" s="451">
        <f>Table22[[#This Row],[Acute RA input value]]</f>
        <v>0</v>
      </c>
      <c r="G294" s="301" t="str">
        <f>Table22[[#This Row],[Acute RA label]]</f>
        <v/>
      </c>
      <c r="H294" s="303">
        <f>Table22[[#This Row],[Acute RA IESTI new input value]]</f>
        <v>0</v>
      </c>
      <c r="I294" s="301" t="str">
        <f>Table22[[#This Row],[Acute RA IESTI new label]]</f>
        <v/>
      </c>
      <c r="J294" s="504"/>
      <c r="K294" s="544">
        <f>Table22[[#This Row],[GAP under assessment]]</f>
        <v>0</v>
      </c>
      <c r="L294" s="304" t="str">
        <f>IF(input_values!$M294=0,"",input_values!$M294)</f>
        <v/>
      </c>
      <c r="M294" s="301" t="str">
        <f>IF(input_values!H294=0,"",input_values!H294)</f>
        <v/>
      </c>
      <c r="N294" s="304">
        <f>input_values!$K294</f>
        <v>0</v>
      </c>
      <c r="O294" s="339">
        <v>0.1</v>
      </c>
      <c r="P294" s="128">
        <v>100</v>
      </c>
      <c r="Q294" s="128" t="s">
        <v>256</v>
      </c>
      <c r="R294" s="339">
        <v>16.149999999999999</v>
      </c>
      <c r="S294" s="338">
        <f t="shared" si="50"/>
        <v>1.615</v>
      </c>
      <c r="T294" s="338" t="s">
        <v>617</v>
      </c>
      <c r="U294" s="129" t="s">
        <v>215</v>
      </c>
      <c r="V294" s="338" t="s">
        <v>617</v>
      </c>
      <c r="W294" s="129" t="s">
        <v>215</v>
      </c>
      <c r="X294" s="460">
        <f>IF(V294="ND","ND",IF(S294="","",IF(OR(MID(C294,1,4)="milk",AND(MID(B294,1,2)="50",NOT(input_values!M294="Y")),AND(MID(B294,1,2)="40",NOT(input_values!M294="Y")),AND(MID(B294,1,2)="30",NOT(input_values!M294="Y"))),3,IF(OR(V294="&lt;25",B294&gt;1000000),1,IF((T294&gt;=S294),"2b","2a")))))</f>
        <v>1</v>
      </c>
      <c r="Y294" s="128">
        <f>IF(X294="ND","ND",IF(S294="","",IF(input_values!K294&gt;0,input_values!K294,IF(OR(X294=1,X294=3),1,IF((V294&gt;250),5,7)))))</f>
        <v>1</v>
      </c>
      <c r="Z294" s="345" t="str">
        <f t="shared" si="45"/>
        <v/>
      </c>
      <c r="AA294" s="332">
        <f t="shared" si="41"/>
        <v>0</v>
      </c>
      <c r="AB294" s="27">
        <f t="shared" si="46"/>
        <v>1</v>
      </c>
      <c r="AC294" s="345" t="str">
        <f t="shared" si="47"/>
        <v/>
      </c>
      <c r="AD294" s="332">
        <f t="shared" si="42"/>
        <v>0</v>
      </c>
      <c r="AE294" s="40" t="str">
        <f t="shared" si="48"/>
        <v/>
      </c>
      <c r="AF294" s="40" t="str">
        <f t="shared" si="49"/>
        <v/>
      </c>
      <c r="AG294" s="561" t="str">
        <f t="shared" si="43"/>
        <v/>
      </c>
      <c r="AH294" s="561" t="str">
        <f t="shared" si="44"/>
        <v/>
      </c>
      <c r="AI294" s="313"/>
    </row>
    <row r="295" spans="1:35" ht="24" outlineLevel="3" x14ac:dyDescent="0.2">
      <c r="A295" s="39">
        <v>4</v>
      </c>
      <c r="B295" s="23">
        <v>820060</v>
      </c>
      <c r="C295" s="23" t="s">
        <v>781</v>
      </c>
      <c r="D295" s="300">
        <f>Table22[[#This Row],[Level used for acute calculation]]</f>
        <v>4</v>
      </c>
      <c r="E295" s="302">
        <f>Table22[[#This Row],[MRL individual commodity]]</f>
        <v>0</v>
      </c>
      <c r="F295" s="451">
        <f>Table22[[#This Row],[Acute RA input value]]</f>
        <v>0</v>
      </c>
      <c r="G295" s="301" t="str">
        <f>Table22[[#This Row],[Acute RA label]]</f>
        <v/>
      </c>
      <c r="H295" s="303">
        <f>Table22[[#This Row],[Acute RA IESTI new input value]]</f>
        <v>0</v>
      </c>
      <c r="I295" s="301" t="str">
        <f>Table22[[#This Row],[Acute RA IESTI new label]]</f>
        <v/>
      </c>
      <c r="J295" s="504"/>
      <c r="K295" s="544">
        <f>Table22[[#This Row],[GAP under assessment]]</f>
        <v>0</v>
      </c>
      <c r="L295" s="304" t="str">
        <f>IF(input_values!$M295=0,"",input_values!$M295)</f>
        <v/>
      </c>
      <c r="M295" s="301" t="str">
        <f>IF(input_values!H295=0,"",input_values!H295)</f>
        <v/>
      </c>
      <c r="N295" s="304">
        <f>input_values!$K295</f>
        <v>0</v>
      </c>
      <c r="O295" s="339">
        <v>4.3343653250773995E-2</v>
      </c>
      <c r="P295" s="128">
        <v>97.5</v>
      </c>
      <c r="Q295" s="128" t="s">
        <v>256</v>
      </c>
      <c r="R295" s="339">
        <v>16.149999999999999</v>
      </c>
      <c r="S295" s="338">
        <f t="shared" si="50"/>
        <v>0.7</v>
      </c>
      <c r="T295" s="338" t="s">
        <v>617</v>
      </c>
      <c r="U295" s="129" t="s">
        <v>215</v>
      </c>
      <c r="V295" s="338" t="s">
        <v>617</v>
      </c>
      <c r="W295" s="129" t="s">
        <v>215</v>
      </c>
      <c r="X295" s="460">
        <f>IF(V295="ND","ND",IF(S295="","",IF(OR(MID(C295,1,4)="milk",AND(MID(B295,1,2)="50",NOT(input_values!M295="Y")),AND(MID(B295,1,2)="40",NOT(input_values!M295="Y")),AND(MID(B295,1,2)="30",NOT(input_values!M295="Y"))),3,IF(OR(V295="&lt;25",B295&gt;1000000),1,IF((T295&gt;=S295),"2b","2a")))))</f>
        <v>1</v>
      </c>
      <c r="Y295" s="128">
        <f>IF(X295="ND","ND",IF(S295="","",IF(input_values!K295&gt;0,input_values!K295,IF(OR(X295=1,X295=3),1,IF((V295&gt;250),5,7)))))</f>
        <v>1</v>
      </c>
      <c r="Z295" s="345" t="str">
        <f t="shared" si="45"/>
        <v/>
      </c>
      <c r="AA295" s="332">
        <f t="shared" si="41"/>
        <v>0</v>
      </c>
      <c r="AB295" s="27">
        <f t="shared" si="46"/>
        <v>1</v>
      </c>
      <c r="AC295" s="345" t="str">
        <f t="shared" si="47"/>
        <v/>
      </c>
      <c r="AD295" s="332">
        <f t="shared" si="42"/>
        <v>0</v>
      </c>
      <c r="AE295" s="40" t="str">
        <f t="shared" si="48"/>
        <v/>
      </c>
      <c r="AF295" s="40" t="str">
        <f t="shared" si="49"/>
        <v/>
      </c>
      <c r="AG295" s="561" t="str">
        <f t="shared" si="43"/>
        <v/>
      </c>
      <c r="AH295" s="561" t="str">
        <f t="shared" si="44"/>
        <v/>
      </c>
      <c r="AI295" s="313"/>
    </row>
    <row r="296" spans="1:35" outlineLevel="3" x14ac:dyDescent="0.2">
      <c r="A296" s="39">
        <v>4</v>
      </c>
      <c r="B296" s="23">
        <v>820070</v>
      </c>
      <c r="C296" s="23" t="s">
        <v>122</v>
      </c>
      <c r="D296" s="300">
        <f>Table22[[#This Row],[Level used for acute calculation]]</f>
        <v>4</v>
      </c>
      <c r="E296" s="302">
        <f>Table22[[#This Row],[MRL individual commodity]]</f>
        <v>0</v>
      </c>
      <c r="F296" s="451">
        <f>Table22[[#This Row],[Acute RA input value]]</f>
        <v>0</v>
      </c>
      <c r="G296" s="301" t="str">
        <f>Table22[[#This Row],[Acute RA label]]</f>
        <v/>
      </c>
      <c r="H296" s="303">
        <f>Table22[[#This Row],[Acute RA IESTI new input value]]</f>
        <v>0</v>
      </c>
      <c r="I296" s="301" t="str">
        <f>Table22[[#This Row],[Acute RA IESTI new label]]</f>
        <v/>
      </c>
      <c r="J296" s="504"/>
      <c r="K296" s="544">
        <f>Table22[[#This Row],[GAP under assessment]]</f>
        <v>0</v>
      </c>
      <c r="L296" s="304" t="str">
        <f>IF(input_values!$M296=0,"",input_values!$M296)</f>
        <v/>
      </c>
      <c r="M296" s="301" t="str">
        <f>IF(input_values!H296=0,"",input_values!H296)</f>
        <v/>
      </c>
      <c r="N296" s="304">
        <f>input_values!$K296</f>
        <v>0</v>
      </c>
      <c r="O296" s="339">
        <v>0.61</v>
      </c>
      <c r="P296" s="128">
        <v>97.5</v>
      </c>
      <c r="Q296" s="128" t="s">
        <v>256</v>
      </c>
      <c r="R296" s="339">
        <v>16.149999999999999</v>
      </c>
      <c r="S296" s="338">
        <f t="shared" si="50"/>
        <v>9.8514999999999997</v>
      </c>
      <c r="T296" s="338" t="s">
        <v>617</v>
      </c>
      <c r="U296" s="129" t="s">
        <v>215</v>
      </c>
      <c r="V296" s="338" t="s">
        <v>617</v>
      </c>
      <c r="W296" s="129" t="s">
        <v>215</v>
      </c>
      <c r="X296" s="460">
        <f>IF(V296="ND","ND",IF(S296="","",IF(OR(MID(C296,1,4)="milk",AND(MID(B296,1,2)="50",NOT(input_values!M296="Y")),AND(MID(B296,1,2)="40",NOT(input_values!M296="Y")),AND(MID(B296,1,2)="30",NOT(input_values!M296="Y"))),3,IF(OR(V296="&lt;25",B296&gt;1000000),1,IF((T296&gt;=S296),"2b","2a")))))</f>
        <v>1</v>
      </c>
      <c r="Y296" s="128">
        <f>IF(X296="ND","ND",IF(S296="","",IF(input_values!K296&gt;0,input_values!K296,IF(OR(X296=1,X296=3),1,IF((V296&gt;250),5,7)))))</f>
        <v>1</v>
      </c>
      <c r="Z296" s="345" t="str">
        <f t="shared" si="45"/>
        <v/>
      </c>
      <c r="AA296" s="332">
        <f t="shared" si="41"/>
        <v>0</v>
      </c>
      <c r="AB296" s="27">
        <f t="shared" si="46"/>
        <v>1</v>
      </c>
      <c r="AC296" s="345" t="str">
        <f t="shared" si="47"/>
        <v/>
      </c>
      <c r="AD296" s="332">
        <f t="shared" si="42"/>
        <v>0</v>
      </c>
      <c r="AE296" s="40" t="str">
        <f t="shared" si="48"/>
        <v/>
      </c>
      <c r="AF296" s="40" t="str">
        <f t="shared" si="49"/>
        <v/>
      </c>
      <c r="AG296" s="561" t="str">
        <f t="shared" si="43"/>
        <v/>
      </c>
      <c r="AH296" s="561" t="str">
        <f t="shared" si="44"/>
        <v/>
      </c>
      <c r="AI296" s="313"/>
    </row>
    <row r="297" spans="1:35" outlineLevel="3" x14ac:dyDescent="0.2">
      <c r="A297" s="39">
        <v>4</v>
      </c>
      <c r="B297" s="23">
        <v>820080</v>
      </c>
      <c r="C297" s="23" t="s">
        <v>123</v>
      </c>
      <c r="D297" s="300">
        <f>Table22[[#This Row],[Level used for acute calculation]]</f>
        <v>4</v>
      </c>
      <c r="E297" s="302">
        <f>Table22[[#This Row],[MRL individual commodity]]</f>
        <v>0</v>
      </c>
      <c r="F297" s="451">
        <f>Table22[[#This Row],[Acute RA input value]]</f>
        <v>0</v>
      </c>
      <c r="G297" s="301" t="str">
        <f>Table22[[#This Row],[Acute RA label]]</f>
        <v/>
      </c>
      <c r="H297" s="303">
        <f>Table22[[#This Row],[Acute RA IESTI new input value]]</f>
        <v>0</v>
      </c>
      <c r="I297" s="301" t="str">
        <f>Table22[[#This Row],[Acute RA IESTI new label]]</f>
        <v/>
      </c>
      <c r="J297" s="504"/>
      <c r="K297" s="544">
        <f>Table22[[#This Row],[GAP under assessment]]</f>
        <v>0</v>
      </c>
      <c r="L297" s="304" t="str">
        <f>IF(input_values!$M297=0,"",input_values!$M297)</f>
        <v/>
      </c>
      <c r="M297" s="301" t="str">
        <f>IF(input_values!H297=0,"",input_values!H297)</f>
        <v/>
      </c>
      <c r="N297" s="304">
        <f>input_values!$K297</f>
        <v>0</v>
      </c>
      <c r="O297" s="338" t="s">
        <v>618</v>
      </c>
      <c r="P297" s="128"/>
      <c r="Q297" s="128"/>
      <c r="R297" s="345"/>
      <c r="S297" s="340" t="str">
        <f t="shared" si="50"/>
        <v>ND</v>
      </c>
      <c r="T297" s="338">
        <v>10.6</v>
      </c>
      <c r="U297" s="329" t="s">
        <v>1152</v>
      </c>
      <c r="V297" s="338">
        <v>23</v>
      </c>
      <c r="W297" s="329" t="s">
        <v>1152</v>
      </c>
      <c r="X297" s="460" t="str">
        <f>IF(V297="ND","ND",IF(S297="","",IF(OR(MID(C297,1,4)="milk",AND(MID(B297,1,2)="50",NOT(input_values!M297="Y")),AND(MID(B297,1,2)="40",NOT(input_values!M297="Y")),AND(MID(B297,1,2)="30",NOT(input_values!M297="Y"))),3,IF(OR(V297="&lt;25",B297&gt;1000000),1,IF((T297&gt;=S297),"2b","2a")))))</f>
        <v>2a</v>
      </c>
      <c r="Y297" s="128">
        <f>IF(X297="ND","ND",IF(S297="","",IF(input_values!K297&gt;0,input_values!K297,IF(OR(X297=1,X297=3),1,IF((V297&gt;250),5,7)))))</f>
        <v>7</v>
      </c>
      <c r="Z297" s="340" t="str">
        <f t="shared" si="45"/>
        <v/>
      </c>
      <c r="AA297" s="332">
        <f t="shared" si="41"/>
        <v>0</v>
      </c>
      <c r="AB297" s="27">
        <f t="shared" si="46"/>
        <v>3</v>
      </c>
      <c r="AC297" s="340" t="str">
        <f t="shared" si="47"/>
        <v/>
      </c>
      <c r="AD297" s="332">
        <f t="shared" si="42"/>
        <v>0</v>
      </c>
      <c r="AE297" s="37" t="str">
        <f t="shared" si="48"/>
        <v/>
      </c>
      <c r="AF297" s="37" t="str">
        <f t="shared" si="49"/>
        <v/>
      </c>
      <c r="AG297" s="561" t="str">
        <f t="shared" si="43"/>
        <v/>
      </c>
      <c r="AH297" s="561" t="str">
        <f t="shared" si="44"/>
        <v/>
      </c>
      <c r="AI297" s="313"/>
    </row>
    <row r="298" spans="1:35" outlineLevel="3" x14ac:dyDescent="0.2">
      <c r="A298" s="39">
        <v>4</v>
      </c>
      <c r="B298" s="23">
        <v>820990</v>
      </c>
      <c r="C298" s="23" t="s">
        <v>782</v>
      </c>
      <c r="D298" s="300">
        <f>Table22[[#This Row],[Level used for acute calculation]]</f>
        <v>0</v>
      </c>
      <c r="E298" s="302">
        <f>Table22[[#This Row],[MRL individual commodity]]</f>
        <v>0</v>
      </c>
      <c r="F298" s="451">
        <f>Table22[[#This Row],[Acute RA input value]]</f>
        <v>0</v>
      </c>
      <c r="G298" s="301">
        <f>Table22[[#This Row],[Acute RA label]]</f>
        <v>0</v>
      </c>
      <c r="H298" s="303">
        <f>Table22[[#This Row],[Acute RA IESTI new input value]]</f>
        <v>0</v>
      </c>
      <c r="I298" s="301">
        <f>Table22[[#This Row],[Acute RA IESTI new label]]</f>
        <v>0</v>
      </c>
      <c r="J298" s="504"/>
      <c r="K298" s="544">
        <f>Table22[[#This Row],[GAP under assessment]]</f>
        <v>0</v>
      </c>
      <c r="L298" s="304" t="str">
        <f>IF(input_values!$M298=0,"",input_values!$M298)</f>
        <v/>
      </c>
      <c r="M298" s="301" t="str">
        <f>IF(input_values!H298=0,"",input_values!H298)</f>
        <v/>
      </c>
      <c r="N298" s="304">
        <f>input_values!$K298</f>
        <v>0</v>
      </c>
      <c r="O298" s="309"/>
      <c r="P298" s="38"/>
      <c r="Q298" s="38"/>
      <c r="R298" s="335"/>
      <c r="S298" s="336" t="str">
        <f t="shared" si="50"/>
        <v/>
      </c>
      <c r="T298" s="305"/>
      <c r="U298" s="570"/>
      <c r="V298" s="305"/>
      <c r="W298" s="570"/>
      <c r="X298" s="611" t="str">
        <f>IF(V298="ND","ND",IF(S298="","",IF(OR(MID(C298,1,4)="milk",AND(MID(B298,1,2)="50",NOT(input_values!M298="Y")),AND(MID(B298,1,2)="40",NOT(input_values!M298="Y")),AND(MID(B298,1,2)="30",NOT(input_values!M298="Y"))),3,IF(OR(V298="&lt;25",B298&gt;1000000),1,IF((T298&gt;=S298),"2b","2a")))))</f>
        <v/>
      </c>
      <c r="Y298" s="38" t="str">
        <f>IF(X298="ND","ND",IF(S298="","",IF(input_values!K298&gt;0,input_values!K298,IF(OR(X298=1,X298=3),1,IF((V298&gt;250),5,7)))))</f>
        <v/>
      </c>
      <c r="Z298" s="335" t="str">
        <f t="shared" si="45"/>
        <v/>
      </c>
      <c r="AA298" s="311">
        <f t="shared" si="41"/>
        <v>0</v>
      </c>
      <c r="AB298" s="38" t="str">
        <f t="shared" si="46"/>
        <v/>
      </c>
      <c r="AC298" s="335" t="str">
        <f t="shared" si="47"/>
        <v/>
      </c>
      <c r="AD298" s="311">
        <f t="shared" si="42"/>
        <v>0</v>
      </c>
      <c r="AE298" s="344" t="str">
        <f t="shared" si="48"/>
        <v/>
      </c>
      <c r="AF298" s="344" t="str">
        <f t="shared" si="49"/>
        <v/>
      </c>
      <c r="AG298" s="561" t="str">
        <f t="shared" si="43"/>
        <v/>
      </c>
      <c r="AH298" s="561" t="str">
        <f t="shared" si="44"/>
        <v/>
      </c>
      <c r="AI298" s="313"/>
    </row>
    <row r="299" spans="1:35" outlineLevel="1" x14ac:dyDescent="0.2">
      <c r="A299" s="130">
        <v>2</v>
      </c>
      <c r="B299" s="131">
        <v>830000</v>
      </c>
      <c r="C299" s="131" t="s">
        <v>78</v>
      </c>
      <c r="D299" s="300">
        <f>Table22[[#This Row],[Level used for acute calculation]]</f>
        <v>4</v>
      </c>
      <c r="E299" s="302">
        <f>Table22[[#This Row],[MRL individual commodity]]</f>
        <v>0</v>
      </c>
      <c r="F299" s="451">
        <f>Table22[[#This Row],[Acute RA input value]]</f>
        <v>0</v>
      </c>
      <c r="G299" s="301">
        <f>Table22[[#This Row],[Acute RA label]]</f>
        <v>0</v>
      </c>
      <c r="H299" s="303">
        <f>Table22[[#This Row],[Acute RA IESTI new input value]]</f>
        <v>0</v>
      </c>
      <c r="I299" s="301">
        <f>Table22[[#This Row],[Acute RA IESTI new label]]</f>
        <v>0</v>
      </c>
      <c r="J299" s="504"/>
      <c r="K299" s="544">
        <f>Table22[[#This Row],[GAP under assessment]]</f>
        <v>0</v>
      </c>
      <c r="L299" s="304" t="str">
        <f>IF(input_values!$M299=0,"",input_values!$M299)</f>
        <v/>
      </c>
      <c r="M299" s="301" t="str">
        <f>IF(input_values!H299=0,"",input_values!H299)</f>
        <v/>
      </c>
      <c r="N299" s="304">
        <f>input_values!$K299</f>
        <v>0</v>
      </c>
      <c r="O299" s="309"/>
      <c r="P299" s="38"/>
      <c r="Q299" s="38"/>
      <c r="R299" s="335"/>
      <c r="S299" s="336" t="str">
        <f t="shared" si="50"/>
        <v/>
      </c>
      <c r="T299" s="305"/>
      <c r="U299" s="570"/>
      <c r="V299" s="305"/>
      <c r="W299" s="570"/>
      <c r="X299" s="611" t="str">
        <f>IF(V299="ND","ND",IF(S299="","",IF(OR(MID(C299,1,4)="milk",AND(MID(B299,1,2)="50",NOT(input_values!M299="Y")),AND(MID(B299,1,2)="40",NOT(input_values!M299="Y")),AND(MID(B299,1,2)="30",NOT(input_values!M299="Y"))),3,IF(OR(V299="&lt;25",B299&gt;1000000),1,IF((T299&gt;=S299),"2b","2a")))))</f>
        <v/>
      </c>
      <c r="Y299" s="38" t="str">
        <f>IF(X299="ND","ND",IF(S299="","",IF(input_values!K299&gt;0,input_values!K299,IF(OR(X299=1,X299=3),1,IF((V299&gt;250),5,7)))))</f>
        <v/>
      </c>
      <c r="Z299" s="335" t="str">
        <f t="shared" si="45"/>
        <v/>
      </c>
      <c r="AA299" s="311">
        <f t="shared" si="41"/>
        <v>0</v>
      </c>
      <c r="AB299" s="38" t="str">
        <f t="shared" si="46"/>
        <v/>
      </c>
      <c r="AC299" s="335" t="str">
        <f t="shared" si="47"/>
        <v/>
      </c>
      <c r="AD299" s="311">
        <f t="shared" si="42"/>
        <v>0</v>
      </c>
      <c r="AE299" s="344" t="str">
        <f t="shared" si="48"/>
        <v/>
      </c>
      <c r="AF299" s="344" t="str">
        <f t="shared" si="49"/>
        <v/>
      </c>
      <c r="AG299" s="561" t="str">
        <f t="shared" si="43"/>
        <v/>
      </c>
      <c r="AH299" s="561" t="str">
        <f t="shared" si="44"/>
        <v/>
      </c>
      <c r="AI299" s="313"/>
    </row>
    <row r="300" spans="1:35" outlineLevel="3" x14ac:dyDescent="0.2">
      <c r="A300" s="39">
        <v>4</v>
      </c>
      <c r="B300" s="23">
        <v>830010</v>
      </c>
      <c r="C300" s="23" t="s">
        <v>124</v>
      </c>
      <c r="D300" s="300">
        <f>Table22[[#This Row],[Level used for acute calculation]]</f>
        <v>4</v>
      </c>
      <c r="E300" s="302">
        <f>Table22[[#This Row],[MRL individual commodity]]</f>
        <v>0</v>
      </c>
      <c r="F300" s="451">
        <f>Table22[[#This Row],[Acute RA input value]]</f>
        <v>0</v>
      </c>
      <c r="G300" s="301" t="str">
        <f>Table22[[#This Row],[Acute RA label]]</f>
        <v/>
      </c>
      <c r="H300" s="303">
        <f>Table22[[#This Row],[Acute RA IESTI new input value]]</f>
        <v>0</v>
      </c>
      <c r="I300" s="301" t="str">
        <f>Table22[[#This Row],[Acute RA IESTI new label]]</f>
        <v/>
      </c>
      <c r="J300" s="504"/>
      <c r="K300" s="544">
        <f>Table22[[#This Row],[GAP under assessment]]</f>
        <v>0</v>
      </c>
      <c r="L300" s="304" t="str">
        <f>IF(input_values!$M300=0,"",input_values!$M300)</f>
        <v/>
      </c>
      <c r="M300" s="301" t="str">
        <f>IF(input_values!H300=0,"",input_values!H300)</f>
        <v/>
      </c>
      <c r="N300" s="304">
        <f>input_values!$K300</f>
        <v>0</v>
      </c>
      <c r="O300" s="339">
        <v>0.19</v>
      </c>
      <c r="P300" s="128">
        <v>97.5</v>
      </c>
      <c r="Q300" s="128" t="s">
        <v>256</v>
      </c>
      <c r="R300" s="339">
        <v>16.149999999999999</v>
      </c>
      <c r="S300" s="338">
        <f t="shared" si="50"/>
        <v>3.0684999999999998</v>
      </c>
      <c r="T300" s="338" t="s">
        <v>617</v>
      </c>
      <c r="U300" s="129" t="s">
        <v>215</v>
      </c>
      <c r="V300" s="338" t="s">
        <v>617</v>
      </c>
      <c r="W300" s="129" t="s">
        <v>215</v>
      </c>
      <c r="X300" s="460">
        <f>IF(V300="ND","ND",IF(S300="","",IF(OR(MID(C300,1,4)="milk",AND(MID(B300,1,2)="50",NOT(input_values!M300="Y")),AND(MID(B300,1,2)="40",NOT(input_values!M300="Y")),AND(MID(B300,1,2)="30",NOT(input_values!M300="Y"))),3,IF(OR(V300="&lt;25",B300&gt;1000000),1,IF((T300&gt;=S300),"2b","2a")))))</f>
        <v>1</v>
      </c>
      <c r="Y300" s="128">
        <f>IF(X300="ND","ND",IF(S300="","",IF(input_values!K300&gt;0,input_values!K300,IF(OR(X300=1,X300=3),1,IF((V300&gt;250),5,7)))))</f>
        <v>1</v>
      </c>
      <c r="Z300" s="345" t="str">
        <f t="shared" si="45"/>
        <v/>
      </c>
      <c r="AA300" s="332">
        <f t="shared" si="41"/>
        <v>0</v>
      </c>
      <c r="AB300" s="27">
        <f t="shared" si="46"/>
        <v>1</v>
      </c>
      <c r="AC300" s="345" t="str">
        <f t="shared" si="47"/>
        <v/>
      </c>
      <c r="AD300" s="332">
        <f t="shared" si="42"/>
        <v>0</v>
      </c>
      <c r="AE300" s="40" t="str">
        <f t="shared" si="48"/>
        <v/>
      </c>
      <c r="AF300" s="40" t="str">
        <f t="shared" si="49"/>
        <v/>
      </c>
      <c r="AG300" s="561" t="str">
        <f t="shared" si="43"/>
        <v/>
      </c>
      <c r="AH300" s="561" t="str">
        <f t="shared" si="44"/>
        <v/>
      </c>
      <c r="AI300" s="313"/>
    </row>
    <row r="301" spans="1:35" outlineLevel="3" x14ac:dyDescent="0.2">
      <c r="A301" s="39">
        <v>4</v>
      </c>
      <c r="B301" s="23">
        <v>830990</v>
      </c>
      <c r="C301" s="23" t="s">
        <v>184</v>
      </c>
      <c r="D301" s="300">
        <f>Table22[[#This Row],[Level used for acute calculation]]</f>
        <v>0</v>
      </c>
      <c r="E301" s="302">
        <f>Table22[[#This Row],[MRL individual commodity]]</f>
        <v>0</v>
      </c>
      <c r="F301" s="451">
        <f>Table22[[#This Row],[Acute RA input value]]</f>
        <v>0</v>
      </c>
      <c r="G301" s="301">
        <f>Table22[[#This Row],[Acute RA label]]</f>
        <v>0</v>
      </c>
      <c r="H301" s="303">
        <f>Table22[[#This Row],[Acute RA IESTI new input value]]</f>
        <v>0</v>
      </c>
      <c r="I301" s="301">
        <f>Table22[[#This Row],[Acute RA IESTI new label]]</f>
        <v>0</v>
      </c>
      <c r="J301" s="504"/>
      <c r="K301" s="544">
        <f>Table22[[#This Row],[GAP under assessment]]</f>
        <v>0</v>
      </c>
      <c r="L301" s="304" t="str">
        <f>IF(input_values!$M301=0,"",input_values!$M301)</f>
        <v/>
      </c>
      <c r="M301" s="301" t="str">
        <f>IF(input_values!H301=0,"",input_values!H301)</f>
        <v/>
      </c>
      <c r="N301" s="304">
        <f>input_values!$K301</f>
        <v>0</v>
      </c>
      <c r="O301" s="309"/>
      <c r="P301" s="38"/>
      <c r="Q301" s="38"/>
      <c r="R301" s="335"/>
      <c r="S301" s="336" t="str">
        <f t="shared" si="50"/>
        <v/>
      </c>
      <c r="T301" s="305"/>
      <c r="U301" s="570"/>
      <c r="V301" s="305"/>
      <c r="W301" s="570"/>
      <c r="X301" s="611" t="str">
        <f>IF(V301="ND","ND",IF(S301="","",IF(OR(MID(C301,1,4)="milk",AND(MID(B301,1,2)="50",NOT(input_values!M301="Y")),AND(MID(B301,1,2)="40",NOT(input_values!M301="Y")),AND(MID(B301,1,2)="30",NOT(input_values!M301="Y"))),3,IF(OR(V301="&lt;25",B301&gt;1000000),1,IF((T301&gt;=S301),"2b","2a")))))</f>
        <v/>
      </c>
      <c r="Y301" s="38" t="str">
        <f>IF(X301="ND","ND",IF(S301="","",IF(input_values!K301&gt;0,input_values!K301,IF(OR(X301=1,X301=3),1,IF((V301&gt;250),5,7)))))</f>
        <v/>
      </c>
      <c r="Z301" s="335" t="str">
        <f t="shared" si="45"/>
        <v/>
      </c>
      <c r="AA301" s="311">
        <f t="shared" si="41"/>
        <v>0</v>
      </c>
      <c r="AB301" s="38" t="str">
        <f t="shared" si="46"/>
        <v/>
      </c>
      <c r="AC301" s="335" t="str">
        <f t="shared" si="47"/>
        <v/>
      </c>
      <c r="AD301" s="311">
        <f t="shared" si="42"/>
        <v>0</v>
      </c>
      <c r="AE301" s="344" t="str">
        <f t="shared" si="48"/>
        <v/>
      </c>
      <c r="AF301" s="344" t="str">
        <f t="shared" si="49"/>
        <v/>
      </c>
      <c r="AG301" s="561" t="str">
        <f t="shared" si="43"/>
        <v/>
      </c>
      <c r="AH301" s="561" t="str">
        <f t="shared" si="44"/>
        <v/>
      </c>
      <c r="AI301" s="313"/>
    </row>
    <row r="302" spans="1:35" outlineLevel="1" x14ac:dyDescent="0.2">
      <c r="A302" s="130">
        <v>2</v>
      </c>
      <c r="B302" s="131">
        <v>840000</v>
      </c>
      <c r="C302" s="131" t="s">
        <v>79</v>
      </c>
      <c r="D302" s="300">
        <f>Table22[[#This Row],[Level used for acute calculation]]</f>
        <v>4</v>
      </c>
      <c r="E302" s="302">
        <f>Table22[[#This Row],[MRL individual commodity]]</f>
        <v>0</v>
      </c>
      <c r="F302" s="451">
        <f>Table22[[#This Row],[Acute RA input value]]</f>
        <v>0</v>
      </c>
      <c r="G302" s="301">
        <f>Table22[[#This Row],[Acute RA label]]</f>
        <v>0</v>
      </c>
      <c r="H302" s="303">
        <f>Table22[[#This Row],[Acute RA IESTI new input value]]</f>
        <v>0</v>
      </c>
      <c r="I302" s="301">
        <f>Table22[[#This Row],[Acute RA IESTI new label]]</f>
        <v>0</v>
      </c>
      <c r="J302" s="504"/>
      <c r="K302" s="544">
        <f>Table22[[#This Row],[GAP under assessment]]</f>
        <v>0</v>
      </c>
      <c r="L302" s="304" t="str">
        <f>IF(input_values!$M302=0,"",input_values!$M302)</f>
        <v/>
      </c>
      <c r="M302" s="301" t="str">
        <f>IF(input_values!H302=0,"",input_values!H302)</f>
        <v/>
      </c>
      <c r="N302" s="304">
        <f>input_values!$K302</f>
        <v>0</v>
      </c>
      <c r="O302" s="309"/>
      <c r="P302" s="38"/>
      <c r="Q302" s="38"/>
      <c r="R302" s="335"/>
      <c r="S302" s="336" t="str">
        <f t="shared" si="50"/>
        <v/>
      </c>
      <c r="T302" s="305"/>
      <c r="U302" s="570"/>
      <c r="V302" s="305"/>
      <c r="W302" s="570"/>
      <c r="X302" s="611" t="str">
        <f>IF(V302="ND","ND",IF(S302="","",IF(OR(MID(C302,1,4)="milk",AND(MID(B302,1,2)="50",NOT(input_values!M302="Y")),AND(MID(B302,1,2)="40",NOT(input_values!M302="Y")),AND(MID(B302,1,2)="30",NOT(input_values!M302="Y"))),3,IF(OR(V302="&lt;25",B302&gt;1000000),1,IF((T302&gt;=S302),"2b","2a")))))</f>
        <v/>
      </c>
      <c r="Y302" s="38" t="str">
        <f>IF(X302="ND","ND",IF(S302="","",IF(input_values!K302&gt;0,input_values!K302,IF(OR(X302=1,X302=3),1,IF((V302&gt;250),5,7)))))</f>
        <v/>
      </c>
      <c r="Z302" s="335" t="str">
        <f t="shared" si="45"/>
        <v/>
      </c>
      <c r="AA302" s="311">
        <f t="shared" si="41"/>
        <v>0</v>
      </c>
      <c r="AB302" s="38" t="str">
        <f t="shared" si="46"/>
        <v/>
      </c>
      <c r="AC302" s="335" t="str">
        <f t="shared" si="47"/>
        <v/>
      </c>
      <c r="AD302" s="311">
        <f t="shared" si="42"/>
        <v>0</v>
      </c>
      <c r="AE302" s="344" t="str">
        <f t="shared" si="48"/>
        <v/>
      </c>
      <c r="AF302" s="344" t="str">
        <f t="shared" si="49"/>
        <v/>
      </c>
      <c r="AG302" s="561" t="str">
        <f t="shared" si="43"/>
        <v/>
      </c>
      <c r="AH302" s="561" t="str">
        <f t="shared" si="44"/>
        <v/>
      </c>
      <c r="AI302" s="313"/>
    </row>
    <row r="303" spans="1:35" outlineLevel="3" x14ac:dyDescent="0.2">
      <c r="A303" s="39">
        <v>4</v>
      </c>
      <c r="B303" s="23">
        <v>840010</v>
      </c>
      <c r="C303" s="23" t="s">
        <v>125</v>
      </c>
      <c r="D303" s="300">
        <f>Table22[[#This Row],[Level used for acute calculation]]</f>
        <v>4</v>
      </c>
      <c r="E303" s="302">
        <f>Table22[[#This Row],[MRL individual commodity]]</f>
        <v>0</v>
      </c>
      <c r="F303" s="451">
        <f>Table22[[#This Row],[Acute RA input value]]</f>
        <v>0</v>
      </c>
      <c r="G303" s="301" t="str">
        <f>Table22[[#This Row],[Acute RA label]]</f>
        <v/>
      </c>
      <c r="H303" s="303">
        <f>Table22[[#This Row],[Acute RA IESTI new input value]]</f>
        <v>0</v>
      </c>
      <c r="I303" s="301" t="str">
        <f>Table22[[#This Row],[Acute RA IESTI new label]]</f>
        <v/>
      </c>
      <c r="J303" s="504"/>
      <c r="K303" s="544">
        <f>Table22[[#This Row],[GAP under assessment]]</f>
        <v>0</v>
      </c>
      <c r="L303" s="304" t="str">
        <f>IF(input_values!$M303=0,"",input_values!$M303)</f>
        <v/>
      </c>
      <c r="M303" s="301" t="str">
        <f>IF(input_values!H303=0,"",input_values!H303)</f>
        <v/>
      </c>
      <c r="N303" s="304">
        <f>input_values!$K303</f>
        <v>0</v>
      </c>
      <c r="O303" s="339">
        <v>5.4347826086956529E-3</v>
      </c>
      <c r="P303" s="128" t="s">
        <v>331</v>
      </c>
      <c r="Q303" s="128" t="s">
        <v>259</v>
      </c>
      <c r="R303" s="338">
        <v>18.399999999999999</v>
      </c>
      <c r="S303" s="338">
        <f t="shared" si="50"/>
        <v>0.1</v>
      </c>
      <c r="T303" s="338" t="s">
        <v>617</v>
      </c>
      <c r="U303" s="129" t="s">
        <v>215</v>
      </c>
      <c r="V303" s="338" t="s">
        <v>617</v>
      </c>
      <c r="W303" s="129" t="s">
        <v>215</v>
      </c>
      <c r="X303" s="460">
        <f>IF(V303="ND","ND",IF(S303="","",IF(OR(MID(C303,1,4)="milk",AND(MID(B303,1,2)="50",NOT(input_values!M303="Y")),AND(MID(B303,1,2)="40",NOT(input_values!M303="Y")),AND(MID(B303,1,2)="30",NOT(input_values!M303="Y"))),3,IF(OR(V303="&lt;25",B303&gt;1000000),1,IF((T303&gt;=S303),"2b","2a")))))</f>
        <v>1</v>
      </c>
      <c r="Y303" s="128">
        <f>IF(X303="ND","ND",IF(S303="","",IF(input_values!K303&gt;0,input_values!K303,IF(OR(X303=1,X303=3),1,IF((V303&gt;250),5,7)))))</f>
        <v>1</v>
      </c>
      <c r="Z303" s="345" t="str">
        <f t="shared" si="45"/>
        <v/>
      </c>
      <c r="AA303" s="332">
        <f t="shared" si="41"/>
        <v>0</v>
      </c>
      <c r="AB303" s="27">
        <f t="shared" si="46"/>
        <v>1</v>
      </c>
      <c r="AC303" s="345" t="str">
        <f t="shared" si="47"/>
        <v/>
      </c>
      <c r="AD303" s="332">
        <f t="shared" si="42"/>
        <v>0</v>
      </c>
      <c r="AE303" s="40" t="str">
        <f t="shared" si="48"/>
        <v/>
      </c>
      <c r="AF303" s="40" t="str">
        <f t="shared" si="49"/>
        <v/>
      </c>
      <c r="AG303" s="561" t="str">
        <f t="shared" si="43"/>
        <v/>
      </c>
      <c r="AH303" s="561" t="str">
        <f t="shared" si="44"/>
        <v/>
      </c>
      <c r="AI303" s="313"/>
    </row>
    <row r="304" spans="1:35" outlineLevel="3" x14ac:dyDescent="0.2">
      <c r="A304" s="39">
        <v>4</v>
      </c>
      <c r="B304" s="23">
        <v>840020</v>
      </c>
      <c r="C304" s="23" t="s">
        <v>126</v>
      </c>
      <c r="D304" s="300">
        <f>Table22[[#This Row],[Level used for acute calculation]]</f>
        <v>4</v>
      </c>
      <c r="E304" s="302">
        <f>Table22[[#This Row],[MRL individual commodity]]</f>
        <v>0</v>
      </c>
      <c r="F304" s="451">
        <f>Table22[[#This Row],[Acute RA input value]]</f>
        <v>0</v>
      </c>
      <c r="G304" s="301" t="str">
        <f>Table22[[#This Row],[Acute RA label]]</f>
        <v/>
      </c>
      <c r="H304" s="303">
        <f>Table22[[#This Row],[Acute RA IESTI new input value]]</f>
        <v>0</v>
      </c>
      <c r="I304" s="301" t="str">
        <f>Table22[[#This Row],[Acute RA IESTI new label]]</f>
        <v/>
      </c>
      <c r="J304" s="504"/>
      <c r="K304" s="544">
        <f>Table22[[#This Row],[GAP under assessment]]</f>
        <v>0</v>
      </c>
      <c r="L304" s="304" t="str">
        <f>IF(input_values!$M304=0,"",input_values!$M304)</f>
        <v/>
      </c>
      <c r="M304" s="301" t="str">
        <f>IF(input_values!H304=0,"",input_values!H304)</f>
        <v/>
      </c>
      <c r="N304" s="304">
        <f>input_values!$K304</f>
        <v>0</v>
      </c>
      <c r="O304" s="339">
        <v>8.0495356037151716E-2</v>
      </c>
      <c r="P304" s="128">
        <v>95</v>
      </c>
      <c r="Q304" s="128" t="s">
        <v>256</v>
      </c>
      <c r="R304" s="338">
        <v>16.149999999999999</v>
      </c>
      <c r="S304" s="328">
        <f t="shared" si="50"/>
        <v>1.3</v>
      </c>
      <c r="T304" s="338"/>
      <c r="U304" s="129"/>
      <c r="V304" s="338"/>
      <c r="W304" s="129"/>
      <c r="X304" s="460" t="str">
        <f>IF(V304="ND","ND",IF(S304="","",IF(OR(MID(C304,1,4)="milk",AND(MID(B304,1,2)="50",NOT(input_values!M304="Y")),AND(MID(B304,1,2)="40",NOT(input_values!M304="Y")),AND(MID(B304,1,2)="30",NOT(input_values!M304="Y"))),3,IF(OR(V304="&lt;25",B304&gt;1000000),1,IF((T304&gt;=S304),"2b","2a")))))</f>
        <v>2a</v>
      </c>
      <c r="Y304" s="128">
        <f>IF(X304="ND","ND",IF(S304="","",IF(input_values!K304&gt;0,input_values!K304,IF(OR(X304=1,X304=3),1,IF((V304&gt;250),5,7)))))</f>
        <v>7</v>
      </c>
      <c r="Z304" s="345" t="str">
        <f t="shared" si="45"/>
        <v/>
      </c>
      <c r="AA304" s="332">
        <f t="shared" si="41"/>
        <v>0</v>
      </c>
      <c r="AB304" s="27">
        <f t="shared" si="46"/>
        <v>3</v>
      </c>
      <c r="AC304" s="345" t="str">
        <f t="shared" si="47"/>
        <v/>
      </c>
      <c r="AD304" s="332">
        <f t="shared" si="42"/>
        <v>0</v>
      </c>
      <c r="AE304" s="40" t="str">
        <f t="shared" si="48"/>
        <v/>
      </c>
      <c r="AF304" s="40" t="str">
        <f t="shared" si="49"/>
        <v/>
      </c>
      <c r="AG304" s="561" t="str">
        <f t="shared" si="43"/>
        <v/>
      </c>
      <c r="AH304" s="561" t="str">
        <f t="shared" si="44"/>
        <v/>
      </c>
      <c r="AI304" s="334"/>
    </row>
    <row r="305" spans="1:35" outlineLevel="3" x14ac:dyDescent="0.2">
      <c r="A305" s="39">
        <v>4</v>
      </c>
      <c r="B305" s="23">
        <v>840030</v>
      </c>
      <c r="C305" s="23" t="s">
        <v>784</v>
      </c>
      <c r="D305" s="300">
        <f>Table22[[#This Row],[Level used for acute calculation]]</f>
        <v>4</v>
      </c>
      <c r="E305" s="302">
        <f>Table22[[#This Row],[MRL individual commodity]]</f>
        <v>0</v>
      </c>
      <c r="F305" s="451">
        <f>Table22[[#This Row],[Acute RA input value]]</f>
        <v>0</v>
      </c>
      <c r="G305" s="301" t="str">
        <f>Table22[[#This Row],[Acute RA label]]</f>
        <v/>
      </c>
      <c r="H305" s="303">
        <f>Table22[[#This Row],[Acute RA IESTI new input value]]</f>
        <v>0</v>
      </c>
      <c r="I305" s="301" t="str">
        <f>Table22[[#This Row],[Acute RA IESTI new label]]</f>
        <v/>
      </c>
      <c r="J305" s="504"/>
      <c r="K305" s="544">
        <f>Table22[[#This Row],[GAP under assessment]]</f>
        <v>0</v>
      </c>
      <c r="L305" s="304" t="str">
        <f>IF(input_values!$M305=0,"",input_values!$M305)</f>
        <v/>
      </c>
      <c r="M305" s="301" t="str">
        <f>IF(input_values!H305=0,"",input_values!H305)</f>
        <v/>
      </c>
      <c r="N305" s="304">
        <f>input_values!$K305</f>
        <v>0</v>
      </c>
      <c r="O305" s="339">
        <v>2.3557100000000001E-2</v>
      </c>
      <c r="P305" s="128">
        <v>97.5</v>
      </c>
      <c r="Q305" s="128" t="s">
        <v>330</v>
      </c>
      <c r="R305" s="338">
        <v>20</v>
      </c>
      <c r="S305" s="338">
        <f t="shared" si="50"/>
        <v>0.47114200000000001</v>
      </c>
      <c r="T305" s="338" t="s">
        <v>617</v>
      </c>
      <c r="U305" s="129" t="s">
        <v>215</v>
      </c>
      <c r="V305" s="338" t="s">
        <v>617</v>
      </c>
      <c r="W305" s="129" t="s">
        <v>215</v>
      </c>
      <c r="X305" s="460">
        <f>IF(V305="ND","ND",IF(S305="","",IF(OR(MID(C305,1,4)="milk",AND(MID(B305,1,2)="50",NOT(input_values!M305="Y")),AND(MID(B305,1,2)="40",NOT(input_values!M305="Y")),AND(MID(B305,1,2)="30",NOT(input_values!M305="Y"))),3,IF(OR(V305="&lt;25",B305&gt;1000000),1,IF((T305&gt;=S305),"2b","2a")))))</f>
        <v>1</v>
      </c>
      <c r="Y305" s="128">
        <f>IF(X305="ND","ND",IF(S305="","",IF(input_values!K305&gt;0,input_values!K305,IF(OR(X305=1,X305=3),1,IF((V305&gt;250),5,7)))))</f>
        <v>1</v>
      </c>
      <c r="Z305" s="345" t="str">
        <f t="shared" si="45"/>
        <v/>
      </c>
      <c r="AA305" s="332">
        <f t="shared" si="41"/>
        <v>0</v>
      </c>
      <c r="AB305" s="27">
        <f t="shared" si="46"/>
        <v>1</v>
      </c>
      <c r="AC305" s="345" t="str">
        <f t="shared" si="47"/>
        <v/>
      </c>
      <c r="AD305" s="332">
        <f t="shared" si="42"/>
        <v>0</v>
      </c>
      <c r="AE305" s="40" t="str">
        <f t="shared" si="48"/>
        <v/>
      </c>
      <c r="AF305" s="40" t="str">
        <f t="shared" si="49"/>
        <v/>
      </c>
      <c r="AG305" s="561" t="str">
        <f t="shared" si="43"/>
        <v/>
      </c>
      <c r="AH305" s="561" t="str">
        <f t="shared" si="44"/>
        <v/>
      </c>
      <c r="AI305" s="313"/>
    </row>
    <row r="306" spans="1:35" outlineLevel="3" x14ac:dyDescent="0.2">
      <c r="A306" s="39">
        <v>4</v>
      </c>
      <c r="B306" s="23">
        <v>840040</v>
      </c>
      <c r="C306" s="23" t="s">
        <v>185</v>
      </c>
      <c r="D306" s="300">
        <f>Table22[[#This Row],[Level used for acute calculation]]</f>
        <v>4</v>
      </c>
      <c r="E306" s="302">
        <f>Table22[[#This Row],[MRL individual commodity]]</f>
        <v>0</v>
      </c>
      <c r="F306" s="451">
        <f>Table22[[#This Row],[Acute RA input value]]</f>
        <v>0</v>
      </c>
      <c r="G306" s="301" t="str">
        <f>Table22[[#This Row],[Acute RA label]]</f>
        <v/>
      </c>
      <c r="H306" s="303">
        <f>Table22[[#This Row],[Acute RA IESTI new input value]]</f>
        <v>0</v>
      </c>
      <c r="I306" s="301" t="str">
        <f>Table22[[#This Row],[Acute RA IESTI new label]]</f>
        <v/>
      </c>
      <c r="J306" s="504"/>
      <c r="K306" s="544">
        <f>Table22[[#This Row],[GAP under assessment]]</f>
        <v>0</v>
      </c>
      <c r="L306" s="304" t="str">
        <f>IF(input_values!$M306=0,"",input_values!$M306)</f>
        <v/>
      </c>
      <c r="M306" s="301" t="str">
        <f>IF(input_values!H306=0,"",input_values!H306)</f>
        <v/>
      </c>
      <c r="N306" s="304">
        <f>input_values!$K306</f>
        <v>0</v>
      </c>
      <c r="O306" s="338" t="s">
        <v>618</v>
      </c>
      <c r="P306" s="128"/>
      <c r="Q306" s="128"/>
      <c r="R306" s="338"/>
      <c r="S306" s="338" t="str">
        <f t="shared" si="50"/>
        <v>ND</v>
      </c>
      <c r="T306" s="338">
        <v>220</v>
      </c>
      <c r="U306" s="129" t="s">
        <v>45</v>
      </c>
      <c r="V306" s="338">
        <v>220</v>
      </c>
      <c r="W306" s="129" t="s">
        <v>45</v>
      </c>
      <c r="X306" s="460" t="str">
        <f>IF(V306="ND","ND",IF(S306="","",IF(OR(MID(C306,1,4)="milk",AND(MID(B306,1,2)="50",NOT(input_values!M306="Y")),AND(MID(B306,1,2)="40",NOT(input_values!M306="Y")),AND(MID(B306,1,2)="30",NOT(input_values!M306="Y"))),3,IF(OR(V306="&lt;25",B306&gt;1000000),1,IF((T306&gt;=S306),"2b","2a")))))</f>
        <v>2a</v>
      </c>
      <c r="Y306" s="128">
        <f>IF(X306="ND","ND",IF(S306="","",IF(input_values!K306&gt;0,input_values!K306,IF(OR(X306=1,X306=3),1,IF((V306&gt;250),5,7)))))</f>
        <v>7</v>
      </c>
      <c r="Z306" s="340" t="str">
        <f t="shared" si="45"/>
        <v/>
      </c>
      <c r="AA306" s="332">
        <f t="shared" si="41"/>
        <v>0</v>
      </c>
      <c r="AB306" s="27">
        <f t="shared" si="46"/>
        <v>3</v>
      </c>
      <c r="AC306" s="340" t="str">
        <f t="shared" si="47"/>
        <v/>
      </c>
      <c r="AD306" s="332">
        <f t="shared" si="42"/>
        <v>0</v>
      </c>
      <c r="AE306" s="37" t="str">
        <f t="shared" si="48"/>
        <v/>
      </c>
      <c r="AF306" s="37" t="str">
        <f t="shared" si="49"/>
        <v/>
      </c>
      <c r="AG306" s="561" t="str">
        <f t="shared" si="43"/>
        <v/>
      </c>
      <c r="AH306" s="561" t="str">
        <f t="shared" si="44"/>
        <v/>
      </c>
      <c r="AI306" s="313"/>
    </row>
    <row r="307" spans="1:35" outlineLevel="3" x14ac:dyDescent="0.2">
      <c r="A307" s="39">
        <v>4</v>
      </c>
      <c r="B307" s="23">
        <v>840990</v>
      </c>
      <c r="C307" s="23" t="s">
        <v>186</v>
      </c>
      <c r="D307" s="300">
        <f>Table22[[#This Row],[Level used for acute calculation]]</f>
        <v>0</v>
      </c>
      <c r="E307" s="302">
        <f>Table22[[#This Row],[MRL individual commodity]]</f>
        <v>0</v>
      </c>
      <c r="F307" s="451">
        <f>Table22[[#This Row],[Acute RA input value]]</f>
        <v>0</v>
      </c>
      <c r="G307" s="301">
        <f>Table22[[#This Row],[Acute RA label]]</f>
        <v>0</v>
      </c>
      <c r="H307" s="303">
        <f>Table22[[#This Row],[Acute RA IESTI new input value]]</f>
        <v>0</v>
      </c>
      <c r="I307" s="301">
        <f>Table22[[#This Row],[Acute RA IESTI new label]]</f>
        <v>0</v>
      </c>
      <c r="J307" s="504"/>
      <c r="K307" s="544">
        <f>Table22[[#This Row],[GAP under assessment]]</f>
        <v>0</v>
      </c>
      <c r="L307" s="304" t="str">
        <f>IF(input_values!$M307=0,"",input_values!$M307)</f>
        <v/>
      </c>
      <c r="M307" s="301" t="str">
        <f>IF(input_values!H307=0,"",input_values!H307)</f>
        <v/>
      </c>
      <c r="N307" s="304">
        <f>input_values!$K307</f>
        <v>0</v>
      </c>
      <c r="O307" s="309"/>
      <c r="P307" s="38"/>
      <c r="Q307" s="38"/>
      <c r="R307" s="335"/>
      <c r="S307" s="336" t="str">
        <f t="shared" si="50"/>
        <v/>
      </c>
      <c r="T307" s="305"/>
      <c r="U307" s="570"/>
      <c r="V307" s="305"/>
      <c r="W307" s="570"/>
      <c r="X307" s="611" t="str">
        <f>IF(V307="ND","ND",IF(S307="","",IF(OR(MID(C307,1,4)="milk",AND(MID(B307,1,2)="50",NOT(input_values!M307="Y")),AND(MID(B307,1,2)="40",NOT(input_values!M307="Y")),AND(MID(B307,1,2)="30",NOT(input_values!M307="Y"))),3,IF(OR(V307="&lt;25",B307&gt;1000000),1,IF((T307&gt;=S307),"2b","2a")))))</f>
        <v/>
      </c>
      <c r="Y307" s="38" t="str">
        <f>IF(X307="ND","ND",IF(S307="","",IF(input_values!K307&gt;0,input_values!K307,IF(OR(X307=1,X307=3),1,IF((V307&gt;250),5,7)))))</f>
        <v/>
      </c>
      <c r="Z307" s="335" t="str">
        <f t="shared" si="45"/>
        <v/>
      </c>
      <c r="AA307" s="311">
        <f t="shared" si="41"/>
        <v>0</v>
      </c>
      <c r="AB307" s="38" t="str">
        <f t="shared" si="46"/>
        <v/>
      </c>
      <c r="AC307" s="335" t="str">
        <f t="shared" si="47"/>
        <v/>
      </c>
      <c r="AD307" s="311">
        <f t="shared" si="42"/>
        <v>0</v>
      </c>
      <c r="AE307" s="344" t="str">
        <f t="shared" si="48"/>
        <v/>
      </c>
      <c r="AF307" s="344" t="str">
        <f t="shared" si="49"/>
        <v/>
      </c>
      <c r="AG307" s="561" t="str">
        <f t="shared" si="43"/>
        <v/>
      </c>
      <c r="AH307" s="561" t="str">
        <f t="shared" si="44"/>
        <v/>
      </c>
      <c r="AI307" s="313"/>
    </row>
    <row r="308" spans="1:35" outlineLevel="1" x14ac:dyDescent="0.2">
      <c r="A308" s="130">
        <v>2</v>
      </c>
      <c r="B308" s="131">
        <v>850000</v>
      </c>
      <c r="C308" s="131" t="s">
        <v>80</v>
      </c>
      <c r="D308" s="300">
        <f>Table22[[#This Row],[Level used for acute calculation]]</f>
        <v>4</v>
      </c>
      <c r="E308" s="302">
        <f>Table22[[#This Row],[MRL individual commodity]]</f>
        <v>0</v>
      </c>
      <c r="F308" s="451">
        <f>Table22[[#This Row],[Acute RA input value]]</f>
        <v>0</v>
      </c>
      <c r="G308" s="301">
        <f>Table22[[#This Row],[Acute RA label]]</f>
        <v>0</v>
      </c>
      <c r="H308" s="303">
        <f>Table22[[#This Row],[Acute RA IESTI new input value]]</f>
        <v>0</v>
      </c>
      <c r="I308" s="301">
        <f>Table22[[#This Row],[Acute RA IESTI new label]]</f>
        <v>0</v>
      </c>
      <c r="J308" s="504"/>
      <c r="K308" s="544">
        <f>Table22[[#This Row],[GAP under assessment]]</f>
        <v>0</v>
      </c>
      <c r="L308" s="304" t="str">
        <f>IF(input_values!$M308=0,"",input_values!$M308)</f>
        <v/>
      </c>
      <c r="M308" s="301" t="str">
        <f>IF(input_values!H308=0,"",input_values!H308)</f>
        <v/>
      </c>
      <c r="N308" s="304">
        <f>input_values!$K308</f>
        <v>0</v>
      </c>
      <c r="O308" s="309"/>
      <c r="P308" s="38"/>
      <c r="Q308" s="38"/>
      <c r="R308" s="335"/>
      <c r="S308" s="336" t="str">
        <f t="shared" si="50"/>
        <v/>
      </c>
      <c r="T308" s="305"/>
      <c r="U308" s="570"/>
      <c r="V308" s="305"/>
      <c r="W308" s="570"/>
      <c r="X308" s="611" t="str">
        <f>IF(V308="ND","ND",IF(S308="","",IF(OR(MID(C308,1,4)="milk",AND(MID(B308,1,2)="50",NOT(input_values!M308="Y")),AND(MID(B308,1,2)="40",NOT(input_values!M308="Y")),AND(MID(B308,1,2)="30",NOT(input_values!M308="Y"))),3,IF(OR(V308="&lt;25",B308&gt;1000000),1,IF((T308&gt;=S308),"2b","2a")))))</f>
        <v/>
      </c>
      <c r="Y308" s="38" t="str">
        <f>IF(X308="ND","ND",IF(S308="","",IF(input_values!K308&gt;0,input_values!K308,IF(OR(X308=1,X308=3),1,IF((V308&gt;250),5,7)))))</f>
        <v/>
      </c>
      <c r="Z308" s="335" t="str">
        <f t="shared" si="45"/>
        <v/>
      </c>
      <c r="AA308" s="311">
        <f t="shared" si="41"/>
        <v>0</v>
      </c>
      <c r="AB308" s="38" t="str">
        <f t="shared" si="46"/>
        <v/>
      </c>
      <c r="AC308" s="335" t="str">
        <f t="shared" si="47"/>
        <v/>
      </c>
      <c r="AD308" s="311">
        <f t="shared" si="42"/>
        <v>0</v>
      </c>
      <c r="AE308" s="344" t="str">
        <f t="shared" si="48"/>
        <v/>
      </c>
      <c r="AF308" s="344" t="str">
        <f t="shared" si="49"/>
        <v/>
      </c>
      <c r="AG308" s="561" t="str">
        <f t="shared" si="43"/>
        <v/>
      </c>
      <c r="AH308" s="561" t="str">
        <f t="shared" si="44"/>
        <v/>
      </c>
      <c r="AI308" s="313"/>
    </row>
    <row r="309" spans="1:35" outlineLevel="3" x14ac:dyDescent="0.2">
      <c r="A309" s="39">
        <v>4</v>
      </c>
      <c r="B309" s="23">
        <v>850010</v>
      </c>
      <c r="C309" s="23" t="s">
        <v>202</v>
      </c>
      <c r="D309" s="300">
        <f>Table22[[#This Row],[Level used for acute calculation]]</f>
        <v>4</v>
      </c>
      <c r="E309" s="302">
        <f>Table22[[#This Row],[MRL individual commodity]]</f>
        <v>0</v>
      </c>
      <c r="F309" s="451">
        <f>Table22[[#This Row],[Acute RA input value]]</f>
        <v>0</v>
      </c>
      <c r="G309" s="301" t="str">
        <f>Table22[[#This Row],[Acute RA label]]</f>
        <v/>
      </c>
      <c r="H309" s="303">
        <f>Table22[[#This Row],[Acute RA IESTI new input value]]</f>
        <v>0</v>
      </c>
      <c r="I309" s="301" t="str">
        <f>Table22[[#This Row],[Acute RA IESTI new label]]</f>
        <v/>
      </c>
      <c r="J309" s="504"/>
      <c r="K309" s="544">
        <f>Table22[[#This Row],[GAP under assessment]]</f>
        <v>0</v>
      </c>
      <c r="L309" s="304" t="str">
        <f>IF(input_values!$M309=0,"",input_values!$M309)</f>
        <v/>
      </c>
      <c r="M309" s="301" t="str">
        <f>IF(input_values!H309=0,"",input_values!H309)</f>
        <v/>
      </c>
      <c r="N309" s="304">
        <f>input_values!$K309</f>
        <v>0</v>
      </c>
      <c r="O309" s="339">
        <v>0.02</v>
      </c>
      <c r="P309" s="128">
        <v>97.5</v>
      </c>
      <c r="Q309" s="128" t="s">
        <v>256</v>
      </c>
      <c r="R309" s="338">
        <v>16.149999999999999</v>
      </c>
      <c r="S309" s="338">
        <f t="shared" si="50"/>
        <v>0.32299999999999995</v>
      </c>
      <c r="T309" s="338" t="s">
        <v>617</v>
      </c>
      <c r="U309" s="129" t="s">
        <v>215</v>
      </c>
      <c r="V309" s="338" t="s">
        <v>617</v>
      </c>
      <c r="W309" s="129" t="s">
        <v>215</v>
      </c>
      <c r="X309" s="460">
        <f>IF(V309="ND","ND",IF(S309="","",IF(OR(MID(C309,1,4)="milk",AND(MID(B309,1,2)="50",NOT(input_values!M309="Y")),AND(MID(B309,1,2)="40",NOT(input_values!M309="Y")),AND(MID(B309,1,2)="30",NOT(input_values!M309="Y"))),3,IF(OR(V309="&lt;25",B309&gt;1000000),1,IF((T309&gt;=S309),"2b","2a")))))</f>
        <v>1</v>
      </c>
      <c r="Y309" s="128">
        <f>IF(X309="ND","ND",IF(S309="","",IF(input_values!K309&gt;0,input_values!K309,IF(OR(X309=1,X309=3),1,IF((V309&gt;250),5,7)))))</f>
        <v>1</v>
      </c>
      <c r="Z309" s="345" t="str">
        <f t="shared" si="45"/>
        <v/>
      </c>
      <c r="AA309" s="332">
        <f t="shared" si="41"/>
        <v>0</v>
      </c>
      <c r="AB309" s="27">
        <f t="shared" si="46"/>
        <v>1</v>
      </c>
      <c r="AC309" s="345" t="str">
        <f t="shared" si="47"/>
        <v/>
      </c>
      <c r="AD309" s="332">
        <f t="shared" si="42"/>
        <v>0</v>
      </c>
      <c r="AE309" s="40" t="str">
        <f t="shared" si="48"/>
        <v/>
      </c>
      <c r="AF309" s="40" t="str">
        <f t="shared" si="49"/>
        <v/>
      </c>
      <c r="AG309" s="561" t="str">
        <f t="shared" si="43"/>
        <v/>
      </c>
      <c r="AH309" s="561" t="str">
        <f t="shared" si="44"/>
        <v/>
      </c>
      <c r="AI309" s="313"/>
    </row>
    <row r="310" spans="1:35" outlineLevel="3" x14ac:dyDescent="0.2">
      <c r="A310" s="39">
        <v>4</v>
      </c>
      <c r="B310" s="23">
        <v>850020</v>
      </c>
      <c r="C310" s="23" t="s">
        <v>203</v>
      </c>
      <c r="D310" s="300">
        <f>Table22[[#This Row],[Level used for acute calculation]]</f>
        <v>4</v>
      </c>
      <c r="E310" s="302">
        <f>Table22[[#This Row],[MRL individual commodity]]</f>
        <v>0</v>
      </c>
      <c r="F310" s="451">
        <f>Table22[[#This Row],[Acute RA input value]]</f>
        <v>0</v>
      </c>
      <c r="G310" s="301" t="str">
        <f>Table22[[#This Row],[Acute RA label]]</f>
        <v/>
      </c>
      <c r="H310" s="303">
        <f>Table22[[#This Row],[Acute RA IESTI new input value]]</f>
        <v>0</v>
      </c>
      <c r="I310" s="301" t="str">
        <f>Table22[[#This Row],[Acute RA IESTI new label]]</f>
        <v/>
      </c>
      <c r="J310" s="504"/>
      <c r="K310" s="544">
        <f>Table22[[#This Row],[GAP under assessment]]</f>
        <v>0</v>
      </c>
      <c r="L310" s="304" t="str">
        <f>IF(input_values!$M310=0,"",input_values!$M310)</f>
        <v/>
      </c>
      <c r="M310" s="301" t="str">
        <f>IF(input_values!H310=0,"",input_values!H310)</f>
        <v/>
      </c>
      <c r="N310" s="304">
        <f>input_values!$K310</f>
        <v>0</v>
      </c>
      <c r="O310" s="339">
        <v>0.26</v>
      </c>
      <c r="P310" s="128">
        <v>97.5</v>
      </c>
      <c r="Q310" s="128" t="s">
        <v>256</v>
      </c>
      <c r="R310" s="338">
        <v>16.149999999999999</v>
      </c>
      <c r="S310" s="338">
        <f t="shared" si="50"/>
        <v>4.1989999999999998</v>
      </c>
      <c r="T310" s="338" t="s">
        <v>617</v>
      </c>
      <c r="U310" s="129" t="s">
        <v>215</v>
      </c>
      <c r="V310" s="338" t="s">
        <v>617</v>
      </c>
      <c r="W310" s="129" t="s">
        <v>215</v>
      </c>
      <c r="X310" s="460">
        <f>IF(V310="ND","ND",IF(S310="","",IF(OR(MID(C310,1,4)="milk",AND(MID(B310,1,2)="50",NOT(input_values!M310="Y")),AND(MID(B310,1,2)="40",NOT(input_values!M310="Y")),AND(MID(B310,1,2)="30",NOT(input_values!M310="Y"))),3,IF(OR(V310="&lt;25",B310&gt;1000000),1,IF((T310&gt;=S310),"2b","2a")))))</f>
        <v>1</v>
      </c>
      <c r="Y310" s="128">
        <f>IF(X310="ND","ND",IF(S310="","",IF(input_values!K310&gt;0,input_values!K310,IF(OR(X310=1,X310=3),1,IF((V310&gt;250),5,7)))))</f>
        <v>1</v>
      </c>
      <c r="Z310" s="345" t="str">
        <f t="shared" si="45"/>
        <v/>
      </c>
      <c r="AA310" s="332">
        <f t="shared" si="41"/>
        <v>0</v>
      </c>
      <c r="AB310" s="27">
        <f t="shared" si="46"/>
        <v>1</v>
      </c>
      <c r="AC310" s="345" t="str">
        <f t="shared" si="47"/>
        <v/>
      </c>
      <c r="AD310" s="332">
        <f t="shared" si="42"/>
        <v>0</v>
      </c>
      <c r="AE310" s="40" t="str">
        <f t="shared" si="48"/>
        <v/>
      </c>
      <c r="AF310" s="40" t="str">
        <f t="shared" si="49"/>
        <v/>
      </c>
      <c r="AG310" s="561" t="str">
        <f t="shared" si="43"/>
        <v/>
      </c>
      <c r="AH310" s="561" t="str">
        <f t="shared" si="44"/>
        <v/>
      </c>
      <c r="AI310" s="334"/>
    </row>
    <row r="311" spans="1:35" outlineLevel="3" x14ac:dyDescent="0.2">
      <c r="A311" s="39">
        <v>4</v>
      </c>
      <c r="B311" s="23">
        <v>850990</v>
      </c>
      <c r="C311" s="23" t="s">
        <v>187</v>
      </c>
      <c r="D311" s="300">
        <f>Table22[[#This Row],[Level used for acute calculation]]</f>
        <v>0</v>
      </c>
      <c r="E311" s="302">
        <f>Table22[[#This Row],[MRL individual commodity]]</f>
        <v>0</v>
      </c>
      <c r="F311" s="451">
        <f>Table22[[#This Row],[Acute RA input value]]</f>
        <v>0</v>
      </c>
      <c r="G311" s="301">
        <f>Table22[[#This Row],[Acute RA label]]</f>
        <v>0</v>
      </c>
      <c r="H311" s="303">
        <f>Table22[[#This Row],[Acute RA IESTI new input value]]</f>
        <v>0</v>
      </c>
      <c r="I311" s="301">
        <f>Table22[[#This Row],[Acute RA IESTI new label]]</f>
        <v>0</v>
      </c>
      <c r="J311" s="504"/>
      <c r="K311" s="544">
        <f>Table22[[#This Row],[GAP under assessment]]</f>
        <v>0</v>
      </c>
      <c r="L311" s="304" t="str">
        <f>IF(input_values!$M311=0,"",input_values!$M311)</f>
        <v/>
      </c>
      <c r="M311" s="301" t="str">
        <f>IF(input_values!H311=0,"",input_values!H311)</f>
        <v/>
      </c>
      <c r="N311" s="304">
        <f>input_values!$K311</f>
        <v>0</v>
      </c>
      <c r="O311" s="309"/>
      <c r="P311" s="38"/>
      <c r="Q311" s="38"/>
      <c r="R311" s="335"/>
      <c r="S311" s="336" t="str">
        <f t="shared" si="50"/>
        <v/>
      </c>
      <c r="T311" s="305"/>
      <c r="U311" s="570"/>
      <c r="V311" s="305"/>
      <c r="W311" s="570"/>
      <c r="X311" s="611" t="str">
        <f>IF(V311="ND","ND",IF(S311="","",IF(OR(MID(C311,1,4)="milk",AND(MID(B311,1,2)="50",NOT(input_values!M311="Y")),AND(MID(B311,1,2)="40",NOT(input_values!M311="Y")),AND(MID(B311,1,2)="30",NOT(input_values!M311="Y"))),3,IF(OR(V311="&lt;25",B311&gt;1000000),1,IF((T311&gt;=S311),"2b","2a")))))</f>
        <v/>
      </c>
      <c r="Y311" s="38" t="str">
        <f>IF(X311="ND","ND",IF(S311="","",IF(input_values!K311&gt;0,input_values!K311,IF(OR(X311=1,X311=3),1,IF((V311&gt;250),5,7)))))</f>
        <v/>
      </c>
      <c r="Z311" s="335" t="str">
        <f t="shared" si="45"/>
        <v/>
      </c>
      <c r="AA311" s="311">
        <f t="shared" si="41"/>
        <v>0</v>
      </c>
      <c r="AB311" s="38" t="str">
        <f t="shared" si="46"/>
        <v/>
      </c>
      <c r="AC311" s="335" t="str">
        <f t="shared" si="47"/>
        <v/>
      </c>
      <c r="AD311" s="311">
        <f t="shared" si="42"/>
        <v>0</v>
      </c>
      <c r="AE311" s="344" t="str">
        <f t="shared" si="48"/>
        <v/>
      </c>
      <c r="AF311" s="344" t="str">
        <f t="shared" si="49"/>
        <v/>
      </c>
      <c r="AG311" s="561" t="str">
        <f t="shared" si="43"/>
        <v/>
      </c>
      <c r="AH311" s="561" t="str">
        <f t="shared" si="44"/>
        <v/>
      </c>
      <c r="AI311" s="313"/>
    </row>
    <row r="312" spans="1:35" outlineLevel="1" x14ac:dyDescent="0.2">
      <c r="A312" s="130">
        <v>2</v>
      </c>
      <c r="B312" s="131">
        <v>860000</v>
      </c>
      <c r="C312" s="131" t="s">
        <v>81</v>
      </c>
      <c r="D312" s="300">
        <f>Table22[[#This Row],[Level used for acute calculation]]</f>
        <v>4</v>
      </c>
      <c r="E312" s="302">
        <f>Table22[[#This Row],[MRL individual commodity]]</f>
        <v>0</v>
      </c>
      <c r="F312" s="451">
        <f>Table22[[#This Row],[Acute RA input value]]</f>
        <v>0</v>
      </c>
      <c r="G312" s="301">
        <f>Table22[[#This Row],[Acute RA label]]</f>
        <v>0</v>
      </c>
      <c r="H312" s="303">
        <f>Table22[[#This Row],[Acute RA IESTI new input value]]</f>
        <v>0</v>
      </c>
      <c r="I312" s="301">
        <f>Table22[[#This Row],[Acute RA IESTI new label]]</f>
        <v>0</v>
      </c>
      <c r="J312" s="504"/>
      <c r="K312" s="544">
        <f>Table22[[#This Row],[GAP under assessment]]</f>
        <v>0</v>
      </c>
      <c r="L312" s="304" t="str">
        <f>IF(input_values!$M312=0,"",input_values!$M312)</f>
        <v/>
      </c>
      <c r="M312" s="301" t="str">
        <f>IF(input_values!H312=0,"",input_values!H312)</f>
        <v/>
      </c>
      <c r="N312" s="304">
        <f>input_values!$K312</f>
        <v>0</v>
      </c>
      <c r="O312" s="309"/>
      <c r="P312" s="38"/>
      <c r="Q312" s="38"/>
      <c r="R312" s="335"/>
      <c r="S312" s="336" t="str">
        <f t="shared" si="50"/>
        <v/>
      </c>
      <c r="T312" s="305"/>
      <c r="U312" s="570"/>
      <c r="V312" s="305"/>
      <c r="W312" s="570"/>
      <c r="X312" s="611" t="str">
        <f>IF(V312="ND","ND",IF(S312="","",IF(OR(MID(C312,1,4)="milk",AND(MID(B312,1,2)="50",NOT(input_values!M312="Y")),AND(MID(B312,1,2)="40",NOT(input_values!M312="Y")),AND(MID(B312,1,2)="30",NOT(input_values!M312="Y"))),3,IF(OR(V312="&lt;25",B312&gt;1000000),1,IF((T312&gt;=S312),"2b","2a")))))</f>
        <v/>
      </c>
      <c r="Y312" s="38" t="str">
        <f>IF(X312="ND","ND",IF(S312="","",IF(input_values!K312&gt;0,input_values!K312,IF(OR(X312=1,X312=3),1,IF((V312&gt;250),5,7)))))</f>
        <v/>
      </c>
      <c r="Z312" s="335" t="str">
        <f t="shared" si="45"/>
        <v/>
      </c>
      <c r="AA312" s="311">
        <f t="shared" si="41"/>
        <v>0</v>
      </c>
      <c r="AB312" s="38" t="str">
        <f t="shared" si="46"/>
        <v/>
      </c>
      <c r="AC312" s="335" t="str">
        <f t="shared" si="47"/>
        <v/>
      </c>
      <c r="AD312" s="311">
        <f t="shared" si="42"/>
        <v>0</v>
      </c>
      <c r="AE312" s="344" t="str">
        <f t="shared" si="48"/>
        <v/>
      </c>
      <c r="AF312" s="344" t="str">
        <f t="shared" si="49"/>
        <v/>
      </c>
      <c r="AG312" s="561" t="str">
        <f t="shared" si="43"/>
        <v/>
      </c>
      <c r="AH312" s="561" t="str">
        <f t="shared" si="44"/>
        <v/>
      </c>
      <c r="AI312" s="313"/>
    </row>
    <row r="313" spans="1:35" outlineLevel="3" x14ac:dyDescent="0.2">
      <c r="A313" s="39">
        <v>4</v>
      </c>
      <c r="B313" s="23">
        <v>860010</v>
      </c>
      <c r="C313" s="23" t="s">
        <v>204</v>
      </c>
      <c r="D313" s="300">
        <f>Table22[[#This Row],[Level used for acute calculation]]</f>
        <v>4</v>
      </c>
      <c r="E313" s="302">
        <f>Table22[[#This Row],[MRL individual commodity]]</f>
        <v>0</v>
      </c>
      <c r="F313" s="451">
        <f>Table22[[#This Row],[Acute RA input value]]</f>
        <v>0</v>
      </c>
      <c r="G313" s="301" t="str">
        <f>Table22[[#This Row],[Acute RA label]]</f>
        <v/>
      </c>
      <c r="H313" s="303">
        <f>Table22[[#This Row],[Acute RA IESTI new input value]]</f>
        <v>0</v>
      </c>
      <c r="I313" s="301" t="str">
        <f>Table22[[#This Row],[Acute RA IESTI new label]]</f>
        <v/>
      </c>
      <c r="J313" s="504"/>
      <c r="K313" s="544">
        <f>Table22[[#This Row],[GAP under assessment]]</f>
        <v>0</v>
      </c>
      <c r="L313" s="304" t="str">
        <f>IF(input_values!$M313=0,"",input_values!$M313)</f>
        <v/>
      </c>
      <c r="M313" s="301" t="str">
        <f>IF(input_values!H313=0,"",input_values!H313)</f>
        <v/>
      </c>
      <c r="N313" s="304">
        <f>input_values!$K313</f>
        <v>0</v>
      </c>
      <c r="O313" s="339">
        <v>0.01</v>
      </c>
      <c r="P313" s="128">
        <v>100</v>
      </c>
      <c r="Q313" s="128" t="s">
        <v>256</v>
      </c>
      <c r="R313" s="338">
        <v>16.149999999999999</v>
      </c>
      <c r="S313" s="338">
        <f t="shared" si="50"/>
        <v>0.16149999999999998</v>
      </c>
      <c r="T313" s="338" t="s">
        <v>617</v>
      </c>
      <c r="U313" s="129" t="s">
        <v>215</v>
      </c>
      <c r="V313" s="338" t="s">
        <v>617</v>
      </c>
      <c r="W313" s="129" t="s">
        <v>215</v>
      </c>
      <c r="X313" s="460">
        <f>IF(V313="ND","ND",IF(S313="","",IF(OR(MID(C313,1,4)="milk",AND(MID(B313,1,2)="50",NOT(input_values!M313="Y")),AND(MID(B313,1,2)="40",NOT(input_values!M313="Y")),AND(MID(B313,1,2)="30",NOT(input_values!M313="Y"))),3,IF(OR(V313="&lt;25",B313&gt;1000000),1,IF((T313&gt;=S313),"2b","2a")))))</f>
        <v>1</v>
      </c>
      <c r="Y313" s="128">
        <f>IF(X313="ND","ND",IF(S313="","",IF(input_values!K313&gt;0,input_values!K313,IF(OR(X313=1,X313=3),1,IF((V313&gt;250),5,7)))))</f>
        <v>1</v>
      </c>
      <c r="Z313" s="345" t="str">
        <f t="shared" si="45"/>
        <v/>
      </c>
      <c r="AA313" s="332">
        <f t="shared" si="41"/>
        <v>0</v>
      </c>
      <c r="AB313" s="27">
        <f t="shared" si="46"/>
        <v>1</v>
      </c>
      <c r="AC313" s="345" t="str">
        <f t="shared" si="47"/>
        <v/>
      </c>
      <c r="AD313" s="332">
        <f t="shared" si="42"/>
        <v>0</v>
      </c>
      <c r="AE313" s="40" t="str">
        <f t="shared" si="48"/>
        <v/>
      </c>
      <c r="AF313" s="40" t="str">
        <f t="shared" si="49"/>
        <v/>
      </c>
      <c r="AG313" s="561" t="str">
        <f t="shared" si="43"/>
        <v/>
      </c>
      <c r="AH313" s="561" t="str">
        <f t="shared" si="44"/>
        <v/>
      </c>
      <c r="AI313" s="313"/>
    </row>
    <row r="314" spans="1:35" outlineLevel="3" x14ac:dyDescent="0.2">
      <c r="A314" s="39">
        <v>4</v>
      </c>
      <c r="B314" s="23">
        <v>860990</v>
      </c>
      <c r="C314" s="23" t="s">
        <v>188</v>
      </c>
      <c r="D314" s="300">
        <f>Table22[[#This Row],[Level used for acute calculation]]</f>
        <v>0</v>
      </c>
      <c r="E314" s="302">
        <f>Table22[[#This Row],[MRL individual commodity]]</f>
        <v>0</v>
      </c>
      <c r="F314" s="451">
        <f>Table22[[#This Row],[Acute RA input value]]</f>
        <v>0</v>
      </c>
      <c r="G314" s="301">
        <f>Table22[[#This Row],[Acute RA label]]</f>
        <v>0</v>
      </c>
      <c r="H314" s="303">
        <f>Table22[[#This Row],[Acute RA IESTI new input value]]</f>
        <v>0</v>
      </c>
      <c r="I314" s="301">
        <f>Table22[[#This Row],[Acute RA IESTI new label]]</f>
        <v>0</v>
      </c>
      <c r="J314" s="504"/>
      <c r="K314" s="544">
        <f>Table22[[#This Row],[GAP under assessment]]</f>
        <v>0</v>
      </c>
      <c r="L314" s="304" t="str">
        <f>IF(input_values!$M314=0,"",input_values!$M314)</f>
        <v/>
      </c>
      <c r="M314" s="301" t="str">
        <f>IF(input_values!H314=0,"",input_values!H314)</f>
        <v/>
      </c>
      <c r="N314" s="304">
        <f>input_values!$K314</f>
        <v>0</v>
      </c>
      <c r="O314" s="309"/>
      <c r="P314" s="38"/>
      <c r="Q314" s="38"/>
      <c r="R314" s="335"/>
      <c r="S314" s="336" t="str">
        <f t="shared" si="50"/>
        <v/>
      </c>
      <c r="T314" s="305"/>
      <c r="U314" s="570"/>
      <c r="V314" s="305"/>
      <c r="W314" s="570"/>
      <c r="X314" s="611" t="str">
        <f>IF(V314="ND","ND",IF(S314="","",IF(OR(MID(C314,1,4)="milk",AND(MID(B314,1,2)="50",NOT(input_values!M314="Y")),AND(MID(B314,1,2)="40",NOT(input_values!M314="Y")),AND(MID(B314,1,2)="30",NOT(input_values!M314="Y"))),3,IF(OR(V314="&lt;25",B314&gt;1000000),1,IF((T314&gt;=S314),"2b","2a")))))</f>
        <v/>
      </c>
      <c r="Y314" s="38" t="str">
        <f>IF(X314="ND","ND",IF(S314="","",IF(input_values!K314&gt;0,input_values!K314,IF(OR(X314=1,X314=3),1,IF((V314&gt;250),5,7)))))</f>
        <v/>
      </c>
      <c r="Z314" s="335" t="str">
        <f t="shared" si="45"/>
        <v/>
      </c>
      <c r="AA314" s="311">
        <f t="shared" si="41"/>
        <v>0</v>
      </c>
      <c r="AB314" s="38" t="str">
        <f t="shared" si="46"/>
        <v/>
      </c>
      <c r="AC314" s="335" t="str">
        <f t="shared" si="47"/>
        <v/>
      </c>
      <c r="AD314" s="311">
        <f t="shared" si="42"/>
        <v>0</v>
      </c>
      <c r="AE314" s="344" t="str">
        <f t="shared" si="48"/>
        <v/>
      </c>
      <c r="AF314" s="344" t="str">
        <f t="shared" si="49"/>
        <v/>
      </c>
      <c r="AG314" s="561" t="str">
        <f t="shared" si="43"/>
        <v/>
      </c>
      <c r="AH314" s="561" t="str">
        <f t="shared" si="44"/>
        <v/>
      </c>
      <c r="AI314" s="313"/>
    </row>
    <row r="315" spans="1:35" outlineLevel="1" x14ac:dyDescent="0.2">
      <c r="A315" s="130">
        <v>2</v>
      </c>
      <c r="B315" s="131">
        <v>870000</v>
      </c>
      <c r="C315" s="131" t="s">
        <v>82</v>
      </c>
      <c r="D315" s="300">
        <f>Table22[[#This Row],[Level used for acute calculation]]</f>
        <v>4</v>
      </c>
      <c r="E315" s="302">
        <f>Table22[[#This Row],[MRL individual commodity]]</f>
        <v>0</v>
      </c>
      <c r="F315" s="451">
        <f>Table22[[#This Row],[Acute RA input value]]</f>
        <v>0</v>
      </c>
      <c r="G315" s="301">
        <f>Table22[[#This Row],[Acute RA label]]</f>
        <v>0</v>
      </c>
      <c r="H315" s="303">
        <f>Table22[[#This Row],[Acute RA IESTI new input value]]</f>
        <v>0</v>
      </c>
      <c r="I315" s="301">
        <f>Table22[[#This Row],[Acute RA IESTI new label]]</f>
        <v>0</v>
      </c>
      <c r="J315" s="504"/>
      <c r="K315" s="544">
        <f>Table22[[#This Row],[GAP under assessment]]</f>
        <v>0</v>
      </c>
      <c r="L315" s="304" t="str">
        <f>IF(input_values!$M315=0,"",input_values!$M315)</f>
        <v/>
      </c>
      <c r="M315" s="301" t="str">
        <f>IF(input_values!H315=0,"",input_values!H315)</f>
        <v/>
      </c>
      <c r="N315" s="304">
        <f>input_values!$K315</f>
        <v>0</v>
      </c>
      <c r="O315" s="309"/>
      <c r="P315" s="38"/>
      <c r="Q315" s="38"/>
      <c r="R315" s="335"/>
      <c r="S315" s="336" t="str">
        <f t="shared" si="50"/>
        <v/>
      </c>
      <c r="T315" s="305"/>
      <c r="U315" s="570"/>
      <c r="V315" s="305"/>
      <c r="W315" s="570"/>
      <c r="X315" s="611" t="str">
        <f>IF(V315="ND","ND",IF(S315="","",IF(OR(MID(C315,1,4)="milk",AND(MID(B315,1,2)="50",NOT(input_values!M315="Y")),AND(MID(B315,1,2)="40",NOT(input_values!M315="Y")),AND(MID(B315,1,2)="30",NOT(input_values!M315="Y"))),3,IF(OR(V315="&lt;25",B315&gt;1000000),1,IF((T315&gt;=S315),"2b","2a")))))</f>
        <v/>
      </c>
      <c r="Y315" s="38" t="str">
        <f>IF(X315="ND","ND",IF(S315="","",IF(input_values!K315&gt;0,input_values!K315,IF(OR(X315=1,X315=3),1,IF((V315&gt;250),5,7)))))</f>
        <v/>
      </c>
      <c r="Z315" s="335" t="str">
        <f t="shared" si="45"/>
        <v/>
      </c>
      <c r="AA315" s="311">
        <f t="shared" si="41"/>
        <v>0</v>
      </c>
      <c r="AB315" s="38" t="str">
        <f t="shared" si="46"/>
        <v/>
      </c>
      <c r="AC315" s="335" t="str">
        <f t="shared" si="47"/>
        <v/>
      </c>
      <c r="AD315" s="311">
        <f t="shared" si="42"/>
        <v>0</v>
      </c>
      <c r="AE315" s="344" t="str">
        <f t="shared" si="48"/>
        <v/>
      </c>
      <c r="AF315" s="344" t="str">
        <f t="shared" si="49"/>
        <v/>
      </c>
      <c r="AG315" s="561" t="str">
        <f t="shared" si="43"/>
        <v/>
      </c>
      <c r="AH315" s="561" t="str">
        <f t="shared" si="44"/>
        <v/>
      </c>
      <c r="AI315" s="313"/>
    </row>
    <row r="316" spans="1:35" outlineLevel="3" x14ac:dyDescent="0.2">
      <c r="A316" s="39">
        <v>4</v>
      </c>
      <c r="B316" s="23">
        <v>870010</v>
      </c>
      <c r="C316" s="23" t="s">
        <v>205</v>
      </c>
      <c r="D316" s="300">
        <f>Table22[[#This Row],[Level used for acute calculation]]</f>
        <v>4</v>
      </c>
      <c r="E316" s="302">
        <f>Table22[[#This Row],[MRL individual commodity]]</f>
        <v>0</v>
      </c>
      <c r="F316" s="451">
        <f>Table22[[#This Row],[Acute RA input value]]</f>
        <v>0</v>
      </c>
      <c r="G316" s="301" t="str">
        <f>Table22[[#This Row],[Acute RA label]]</f>
        <v/>
      </c>
      <c r="H316" s="303">
        <f>Table22[[#This Row],[Acute RA IESTI new input value]]</f>
        <v>0</v>
      </c>
      <c r="I316" s="301" t="str">
        <f>Table22[[#This Row],[Acute RA IESTI new label]]</f>
        <v/>
      </c>
      <c r="J316" s="504"/>
      <c r="K316" s="544">
        <f>Table22[[#This Row],[GAP under assessment]]</f>
        <v>0</v>
      </c>
      <c r="L316" s="304" t="str">
        <f>IF(input_values!$M316=0,"",input_values!$M316)</f>
        <v/>
      </c>
      <c r="M316" s="301" t="str">
        <f>IF(input_values!H316=0,"",input_values!H316)</f>
        <v/>
      </c>
      <c r="N316" s="304">
        <f>input_values!$K316</f>
        <v>0</v>
      </c>
      <c r="O316" s="339">
        <v>5.4347826086956529E-3</v>
      </c>
      <c r="P316" s="128" t="s">
        <v>331</v>
      </c>
      <c r="Q316" s="128" t="s">
        <v>259</v>
      </c>
      <c r="R316" s="338">
        <v>18.399999999999999</v>
      </c>
      <c r="S316" s="338">
        <f t="shared" si="50"/>
        <v>0.1</v>
      </c>
      <c r="T316" s="338" t="s">
        <v>617</v>
      </c>
      <c r="U316" s="129" t="s">
        <v>215</v>
      </c>
      <c r="V316" s="338" t="s">
        <v>617</v>
      </c>
      <c r="W316" s="129" t="s">
        <v>215</v>
      </c>
      <c r="X316" s="460">
        <f>IF(V316="ND","ND",IF(S316="","",IF(OR(MID(C316,1,4)="milk",AND(MID(B316,1,2)="50",NOT(input_values!M316="Y")),AND(MID(B316,1,2)="40",NOT(input_values!M316="Y")),AND(MID(B316,1,2)="30",NOT(input_values!M316="Y"))),3,IF(OR(V316="&lt;25",B316&gt;1000000),1,IF((T316&gt;=S316),"2b","2a")))))</f>
        <v>1</v>
      </c>
      <c r="Y316" s="128">
        <f>IF(X316="ND","ND",IF(S316="","",IF(input_values!K316&gt;0,input_values!K316,IF(OR(X316=1,X316=3),1,IF((V316&gt;250),5,7)))))</f>
        <v>1</v>
      </c>
      <c r="Z316" s="345" t="str">
        <f t="shared" si="45"/>
        <v/>
      </c>
      <c r="AA316" s="332">
        <f t="shared" si="41"/>
        <v>0</v>
      </c>
      <c r="AB316" s="27">
        <f t="shared" si="46"/>
        <v>1</v>
      </c>
      <c r="AC316" s="345" t="str">
        <f t="shared" si="47"/>
        <v/>
      </c>
      <c r="AD316" s="332">
        <f t="shared" si="42"/>
        <v>0</v>
      </c>
      <c r="AE316" s="40" t="str">
        <f t="shared" si="48"/>
        <v/>
      </c>
      <c r="AF316" s="40" t="str">
        <f t="shared" si="49"/>
        <v/>
      </c>
      <c r="AG316" s="561" t="str">
        <f t="shared" si="43"/>
        <v/>
      </c>
      <c r="AH316" s="561" t="str">
        <f t="shared" si="44"/>
        <v/>
      </c>
      <c r="AI316" s="313"/>
    </row>
    <row r="317" spans="1:35" outlineLevel="3" x14ac:dyDescent="0.2">
      <c r="A317" s="39">
        <v>4</v>
      </c>
      <c r="B317" s="23">
        <v>870990</v>
      </c>
      <c r="C317" s="23" t="s">
        <v>189</v>
      </c>
      <c r="D317" s="300">
        <f>Table22[[#This Row],[Level used for acute calculation]]</f>
        <v>0</v>
      </c>
      <c r="E317" s="302">
        <f>Table22[[#This Row],[MRL individual commodity]]</f>
        <v>0</v>
      </c>
      <c r="F317" s="451">
        <f>Table22[[#This Row],[Acute RA input value]]</f>
        <v>0</v>
      </c>
      <c r="G317" s="301">
        <f>Table22[[#This Row],[Acute RA label]]</f>
        <v>0</v>
      </c>
      <c r="H317" s="303">
        <f>Table22[[#This Row],[Acute RA IESTI new input value]]</f>
        <v>0</v>
      </c>
      <c r="I317" s="301">
        <f>Table22[[#This Row],[Acute RA IESTI new label]]</f>
        <v>0</v>
      </c>
      <c r="J317" s="504"/>
      <c r="K317" s="544">
        <f>Table22[[#This Row],[GAP under assessment]]</f>
        <v>0</v>
      </c>
      <c r="L317" s="304" t="str">
        <f>IF(input_values!$M317=0,"",input_values!$M317)</f>
        <v/>
      </c>
      <c r="M317" s="301" t="str">
        <f>IF(input_values!H317=0,"",input_values!H317)</f>
        <v/>
      </c>
      <c r="N317" s="304">
        <f>input_values!$K317</f>
        <v>0</v>
      </c>
      <c r="O317" s="309"/>
      <c r="P317" s="38"/>
      <c r="Q317" s="38"/>
      <c r="R317" s="335"/>
      <c r="S317" s="336" t="str">
        <f t="shared" si="50"/>
        <v/>
      </c>
      <c r="T317" s="305"/>
      <c r="U317" s="570"/>
      <c r="V317" s="305"/>
      <c r="W317" s="570"/>
      <c r="X317" s="611" t="str">
        <f>IF(V317="ND","ND",IF(S317="","",IF(OR(MID(C317,1,4)="milk",AND(MID(B317,1,2)="50",NOT(input_values!M317="Y")),AND(MID(B317,1,2)="40",NOT(input_values!M317="Y")),AND(MID(B317,1,2)="30",NOT(input_values!M317="Y"))),3,IF(OR(V317="&lt;25",B317&gt;1000000),1,IF((T317&gt;=S317),"2b","2a")))))</f>
        <v/>
      </c>
      <c r="Y317" s="38" t="str">
        <f>IF(X317="ND","ND",IF(S317="","",IF(input_values!K317&gt;0,input_values!K317,IF(OR(X317=1,X317=3),1,IF((V317&gt;250),5,7)))))</f>
        <v/>
      </c>
      <c r="Z317" s="335" t="str">
        <f t="shared" si="45"/>
        <v/>
      </c>
      <c r="AA317" s="311">
        <f t="shared" si="41"/>
        <v>0</v>
      </c>
      <c r="AB317" s="38" t="str">
        <f t="shared" si="46"/>
        <v/>
      </c>
      <c r="AC317" s="335" t="str">
        <f t="shared" si="47"/>
        <v/>
      </c>
      <c r="AD317" s="311">
        <f t="shared" si="42"/>
        <v>0</v>
      </c>
      <c r="AE317" s="344" t="str">
        <f t="shared" si="48"/>
        <v/>
      </c>
      <c r="AF317" s="344" t="str">
        <f t="shared" si="49"/>
        <v/>
      </c>
      <c r="AG317" s="561" t="str">
        <f t="shared" si="43"/>
        <v/>
      </c>
      <c r="AH317" s="561" t="str">
        <f t="shared" si="44"/>
        <v/>
      </c>
      <c r="AI317" s="313"/>
    </row>
    <row r="318" spans="1:35" x14ac:dyDescent="0.2">
      <c r="A318" s="126">
        <v>1</v>
      </c>
      <c r="B318" s="127">
        <v>900000</v>
      </c>
      <c r="C318" s="127" t="s">
        <v>145</v>
      </c>
      <c r="D318" s="300">
        <f>Table22[[#This Row],[Level used for acute calculation]]</f>
        <v>4</v>
      </c>
      <c r="E318" s="302">
        <f>Table22[[#This Row],[MRL individual commodity]]</f>
        <v>0</v>
      </c>
      <c r="F318" s="451">
        <f>Table22[[#This Row],[Acute RA input value]]</f>
        <v>0</v>
      </c>
      <c r="G318" s="301">
        <f>Table22[[#This Row],[Acute RA label]]</f>
        <v>0</v>
      </c>
      <c r="H318" s="303">
        <f>Table22[[#This Row],[Acute RA IESTI new input value]]</f>
        <v>0</v>
      </c>
      <c r="I318" s="301">
        <f>Table22[[#This Row],[Acute RA IESTI new label]]</f>
        <v>0</v>
      </c>
      <c r="J318" s="504"/>
      <c r="K318" s="544">
        <f>Table22[[#This Row],[GAP under assessment]]</f>
        <v>0</v>
      </c>
      <c r="L318" s="304" t="str">
        <f>IF(input_values!$M318=0,"",input_values!$M318)</f>
        <v/>
      </c>
      <c r="M318" s="301" t="str">
        <f>IF(input_values!H318=0,"",input_values!H318)</f>
        <v/>
      </c>
      <c r="N318" s="304">
        <f>input_values!$K318</f>
        <v>0</v>
      </c>
      <c r="O318" s="309"/>
      <c r="P318" s="38"/>
      <c r="Q318" s="38"/>
      <c r="R318" s="335"/>
      <c r="S318" s="336" t="str">
        <f t="shared" si="50"/>
        <v/>
      </c>
      <c r="T318" s="305"/>
      <c r="U318" s="570"/>
      <c r="V318" s="305"/>
      <c r="W318" s="570"/>
      <c r="X318" s="611" t="str">
        <f>IF(V318="ND","ND",IF(S318="","",IF(OR(MID(C318,1,4)="milk",AND(MID(B318,1,2)="50",NOT(input_values!M318="Y")),AND(MID(B318,1,2)="40",NOT(input_values!M318="Y")),AND(MID(B318,1,2)="30",NOT(input_values!M318="Y"))),3,IF(OR(V318="&lt;25",B318&gt;1000000),1,IF((T318&gt;=S318),"2b","2a")))))</f>
        <v/>
      </c>
      <c r="Y318" s="38" t="str">
        <f>IF(X318="ND","ND",IF(S318="","",IF(input_values!K318&gt;0,input_values!K318,IF(OR(X318=1,X318=3),1,IF((V318&gt;250),5,7)))))</f>
        <v/>
      </c>
      <c r="Z318" s="335" t="str">
        <f t="shared" si="45"/>
        <v/>
      </c>
      <c r="AA318" s="311">
        <f t="shared" si="41"/>
        <v>0</v>
      </c>
      <c r="AB318" s="38" t="str">
        <f t="shared" si="46"/>
        <v/>
      </c>
      <c r="AC318" s="335" t="str">
        <f t="shared" si="47"/>
        <v/>
      </c>
      <c r="AD318" s="311">
        <f t="shared" si="42"/>
        <v>0</v>
      </c>
      <c r="AE318" s="344" t="str">
        <f t="shared" si="48"/>
        <v/>
      </c>
      <c r="AF318" s="344" t="str">
        <f t="shared" si="49"/>
        <v/>
      </c>
      <c r="AG318" s="561" t="str">
        <f t="shared" si="43"/>
        <v/>
      </c>
      <c r="AH318" s="561" t="str">
        <f t="shared" si="44"/>
        <v/>
      </c>
      <c r="AI318" s="313"/>
    </row>
    <row r="319" spans="1:35" outlineLevel="3" x14ac:dyDescent="0.2">
      <c r="A319" s="39">
        <v>4</v>
      </c>
      <c r="B319" s="23">
        <v>900010</v>
      </c>
      <c r="C319" s="23" t="s">
        <v>785</v>
      </c>
      <c r="D319" s="300">
        <f>Table22[[#This Row],[Level used for acute calculation]]</f>
        <v>4</v>
      </c>
      <c r="E319" s="302">
        <f>Table22[[#This Row],[MRL individual commodity]]</f>
        <v>0</v>
      </c>
      <c r="F319" s="451">
        <f>Table22[[#This Row],[Acute RA input value]]</f>
        <v>0</v>
      </c>
      <c r="G319" s="301" t="str">
        <f>Table22[[#This Row],[Acute RA label]]</f>
        <v/>
      </c>
      <c r="H319" s="303">
        <f>Table22[[#This Row],[Acute RA IESTI new input value]]</f>
        <v>0</v>
      </c>
      <c r="I319" s="301" t="str">
        <f>Table22[[#This Row],[Acute RA IESTI new label]]</f>
        <v/>
      </c>
      <c r="J319" s="504"/>
      <c r="K319" s="544">
        <f>Table22[[#This Row],[GAP under assessment]]</f>
        <v>0</v>
      </c>
      <c r="L319" s="304" t="str">
        <f>IF(input_values!$M319=0,"",input_values!$M319)</f>
        <v/>
      </c>
      <c r="M319" s="301" t="str">
        <f>IF(input_values!H319=0,"",input_values!H319)</f>
        <v/>
      </c>
      <c r="N319" s="304">
        <f>input_values!$K319</f>
        <v>0</v>
      </c>
      <c r="O319" s="338" t="s">
        <v>618</v>
      </c>
      <c r="P319" s="128"/>
      <c r="Q319" s="128"/>
      <c r="R319" s="338"/>
      <c r="S319" s="338" t="str">
        <f t="shared" si="50"/>
        <v>ND</v>
      </c>
      <c r="T319" s="338" t="s">
        <v>618</v>
      </c>
      <c r="U319" s="329"/>
      <c r="V319" s="338" t="s">
        <v>618</v>
      </c>
      <c r="W319" s="329"/>
      <c r="X319" s="460" t="str">
        <f>IF(V319="ND","ND",IF(S319="","",IF(OR(MID(C319,1,4)="milk",AND(MID(B319,1,2)="50",NOT(input_values!M319="Y")),AND(MID(B319,1,2)="40",NOT(input_values!M319="Y")),AND(MID(B319,1,2)="30",NOT(input_values!M319="Y"))),3,IF(OR(V319="&lt;25",B319&gt;1000000),1,IF((T319&gt;=S319),"2b","2a")))))</f>
        <v>ND</v>
      </c>
      <c r="Y319" s="128" t="str">
        <f>IF(X319="ND","ND",IF(S319="","",IF(input_values!K319&gt;0,input_values!K319,IF(OR(X319=1,X319=3),1,IF((V319&gt;250),5,7)))))</f>
        <v>ND</v>
      </c>
      <c r="Z319" s="340" t="str">
        <f t="shared" si="45"/>
        <v/>
      </c>
      <c r="AA319" s="332">
        <f t="shared" si="41"/>
        <v>0</v>
      </c>
      <c r="AB319" s="27" t="str">
        <f t="shared" si="46"/>
        <v>ND</v>
      </c>
      <c r="AC319" s="340" t="str">
        <f t="shared" si="47"/>
        <v/>
      </c>
      <c r="AD319" s="332">
        <f t="shared" si="42"/>
        <v>0</v>
      </c>
      <c r="AE319" s="37" t="str">
        <f t="shared" si="48"/>
        <v/>
      </c>
      <c r="AF319" s="37" t="str">
        <f t="shared" si="49"/>
        <v/>
      </c>
      <c r="AG319" s="561" t="str">
        <f t="shared" si="43"/>
        <v/>
      </c>
      <c r="AH319" s="561" t="str">
        <f t="shared" si="44"/>
        <v/>
      </c>
      <c r="AI319" s="334"/>
    </row>
    <row r="320" spans="1:35" ht="24" outlineLevel="3" x14ac:dyDescent="0.2">
      <c r="A320" s="39">
        <v>4</v>
      </c>
      <c r="B320" s="23">
        <v>900020</v>
      </c>
      <c r="C320" s="23" t="s">
        <v>786</v>
      </c>
      <c r="D320" s="300">
        <f>Table22[[#This Row],[Level used for acute calculation]]</f>
        <v>4</v>
      </c>
      <c r="E320" s="302">
        <f>Table22[[#This Row],[MRL individual commodity]]</f>
        <v>0</v>
      </c>
      <c r="F320" s="451">
        <f>Table22[[#This Row],[Acute RA input value]]</f>
        <v>0</v>
      </c>
      <c r="G320" s="301" t="str">
        <f>Table22[[#This Row],[Acute RA label]]</f>
        <v/>
      </c>
      <c r="H320" s="303">
        <f>Table22[[#This Row],[Acute RA IESTI new input value]]</f>
        <v>0</v>
      </c>
      <c r="I320" s="301" t="str">
        <f>Table22[[#This Row],[Acute RA IESTI new label]]</f>
        <v/>
      </c>
      <c r="J320" s="504"/>
      <c r="K320" s="544">
        <f>Table22[[#This Row],[GAP under assessment]]</f>
        <v>0</v>
      </c>
      <c r="L320" s="304" t="str">
        <f>IF(input_values!$M320=0,"",input_values!$M320)</f>
        <v/>
      </c>
      <c r="M320" s="301" t="str">
        <f>IF(input_values!H320=0,"",input_values!H320)</f>
        <v/>
      </c>
      <c r="N320" s="304">
        <f>input_values!$K320</f>
        <v>0</v>
      </c>
      <c r="O320" s="339">
        <v>0.2</v>
      </c>
      <c r="P320" s="128">
        <v>75</v>
      </c>
      <c r="Q320" s="128" t="s">
        <v>332</v>
      </c>
      <c r="R320" s="338">
        <v>46.3</v>
      </c>
      <c r="S320" s="338">
        <f t="shared" si="50"/>
        <v>9.26</v>
      </c>
      <c r="T320" s="338" t="s">
        <v>617</v>
      </c>
      <c r="U320" s="329" t="s">
        <v>650</v>
      </c>
      <c r="V320" s="338" t="s">
        <v>617</v>
      </c>
      <c r="W320" s="329" t="s">
        <v>651</v>
      </c>
      <c r="X320" s="460">
        <f>IF(V320="ND","ND",IF(S320="","",IF(OR(MID(C320,1,4)="milk",AND(MID(B320,1,2)="50",NOT(input_values!M320="Y")),AND(MID(B320,1,2)="40",NOT(input_values!M320="Y")),AND(MID(B320,1,2)="30",NOT(input_values!M320="Y"))),3,IF(OR(V320="&lt;25",B320&gt;1000000),1,IF((T320&gt;=S320),"2b","2a")))))</f>
        <v>1</v>
      </c>
      <c r="Y320" s="128">
        <f>IF(X320="ND","ND",IF(S320="","",IF(input_values!K320&gt;0,input_values!K320,IF(OR(X320=1,X320=3),1,IF((V320&gt;250),5,7)))))</f>
        <v>1</v>
      </c>
      <c r="Z320" s="345" t="str">
        <f t="shared" si="45"/>
        <v/>
      </c>
      <c r="AA320" s="332">
        <f t="shared" si="41"/>
        <v>0</v>
      </c>
      <c r="AB320" s="27">
        <f t="shared" si="46"/>
        <v>1</v>
      </c>
      <c r="AC320" s="345" t="str">
        <f t="shared" si="47"/>
        <v/>
      </c>
      <c r="AD320" s="332">
        <f t="shared" si="42"/>
        <v>0</v>
      </c>
      <c r="AE320" s="40" t="str">
        <f t="shared" si="48"/>
        <v/>
      </c>
      <c r="AF320" s="40" t="str">
        <f t="shared" si="49"/>
        <v/>
      </c>
      <c r="AG320" s="561" t="str">
        <f t="shared" si="43"/>
        <v/>
      </c>
      <c r="AH320" s="561" t="str">
        <f t="shared" si="44"/>
        <v/>
      </c>
      <c r="AI320" s="334"/>
    </row>
    <row r="321" spans="1:35" outlineLevel="3" x14ac:dyDescent="0.2">
      <c r="A321" s="39">
        <v>4</v>
      </c>
      <c r="B321" s="23">
        <v>900030</v>
      </c>
      <c r="C321" s="23" t="s">
        <v>206</v>
      </c>
      <c r="D321" s="300">
        <f>Table22[[#This Row],[Level used for acute calculation]]</f>
        <v>4</v>
      </c>
      <c r="E321" s="302">
        <f>Table22[[#This Row],[MRL individual commodity]]</f>
        <v>0</v>
      </c>
      <c r="F321" s="451">
        <f>Table22[[#This Row],[Acute RA input value]]</f>
        <v>0</v>
      </c>
      <c r="G321" s="301" t="str">
        <f>Table22[[#This Row],[Acute RA label]]</f>
        <v/>
      </c>
      <c r="H321" s="303">
        <f>Table22[[#This Row],[Acute RA IESTI new input value]]</f>
        <v>0</v>
      </c>
      <c r="I321" s="301" t="str">
        <f>Table22[[#This Row],[Acute RA IESTI new label]]</f>
        <v/>
      </c>
      <c r="J321" s="504"/>
      <c r="K321" s="544">
        <f>Table22[[#This Row],[GAP under assessment]]</f>
        <v>0</v>
      </c>
      <c r="L321" s="304" t="str">
        <f>IF(input_values!$M321=0,"",input_values!$M321)</f>
        <v/>
      </c>
      <c r="M321" s="301" t="str">
        <f>IF(input_values!H321=0,"",input_values!H321)</f>
        <v/>
      </c>
      <c r="N321" s="304">
        <f>input_values!$K321</f>
        <v>0</v>
      </c>
      <c r="O321" s="338" t="s">
        <v>618</v>
      </c>
      <c r="P321" s="128"/>
      <c r="Q321" s="128"/>
      <c r="R321" s="338"/>
      <c r="S321" s="338" t="str">
        <f t="shared" si="50"/>
        <v>ND</v>
      </c>
      <c r="T321" s="338" t="s">
        <v>618</v>
      </c>
      <c r="U321" s="329"/>
      <c r="V321" s="338" t="s">
        <v>618</v>
      </c>
      <c r="W321" s="329"/>
      <c r="X321" s="1171" t="str">
        <f>IF(V321="ND","ND",IF(S321="","",IF(OR(MID(C321,1,4)="milk",AND(MID(B321,1,2)="50",NOT(input_values!M321="Y")),AND(MID(B321,1,2)="40",NOT(input_values!M321="Y")),AND(MID(B321,1,2)="30",NOT(input_values!M321="Y"))),3,IF(OR(V321="&lt;25",B321&gt;1000000),1,IF((T321&gt;=S321),"2b","2a")))))</f>
        <v>ND</v>
      </c>
      <c r="Y321" s="1172" t="str">
        <f>IF(X321="ND","ND",IF(S321="","",IF(input_values!K321&gt;0,input_values!K321,IF(OR(X321=1,X321=3),1,IF((V321&gt;250),5,7)))))</f>
        <v>ND</v>
      </c>
      <c r="Z321" s="340" t="str">
        <f t="shared" si="45"/>
        <v/>
      </c>
      <c r="AA321" s="332">
        <f t="shared" si="41"/>
        <v>0</v>
      </c>
      <c r="AB321" s="27" t="str">
        <f t="shared" si="46"/>
        <v>ND</v>
      </c>
      <c r="AC321" s="340" t="str">
        <f t="shared" si="47"/>
        <v/>
      </c>
      <c r="AD321" s="332">
        <f t="shared" si="42"/>
        <v>0</v>
      </c>
      <c r="AE321" s="37" t="str">
        <f t="shared" si="48"/>
        <v/>
      </c>
      <c r="AF321" s="37" t="str">
        <f t="shared" si="49"/>
        <v/>
      </c>
      <c r="AG321" s="561" t="str">
        <f t="shared" si="43"/>
        <v/>
      </c>
      <c r="AH321" s="561" t="str">
        <f t="shared" si="44"/>
        <v/>
      </c>
      <c r="AI321" s="334"/>
    </row>
    <row r="322" spans="1:35" outlineLevel="3" x14ac:dyDescent="0.2">
      <c r="A322" s="39">
        <v>4</v>
      </c>
      <c r="B322" s="23">
        <v>900990</v>
      </c>
      <c r="C322" s="23" t="s">
        <v>190</v>
      </c>
      <c r="D322" s="300">
        <f>Table22[[#This Row],[Level used for acute calculation]]</f>
        <v>0</v>
      </c>
      <c r="E322" s="302">
        <f>Table22[[#This Row],[MRL individual commodity]]</f>
        <v>0</v>
      </c>
      <c r="F322" s="451">
        <f>Table22[[#This Row],[Acute RA input value]]</f>
        <v>0</v>
      </c>
      <c r="G322" s="301">
        <f>Table22[[#This Row],[Acute RA label]]</f>
        <v>0</v>
      </c>
      <c r="H322" s="303">
        <f>Table22[[#This Row],[Acute RA IESTI new input value]]</f>
        <v>0</v>
      </c>
      <c r="I322" s="301">
        <f>Table22[[#This Row],[Acute RA IESTI new label]]</f>
        <v>0</v>
      </c>
      <c r="J322" s="504"/>
      <c r="K322" s="544">
        <f>Table22[[#This Row],[GAP under assessment]]</f>
        <v>0</v>
      </c>
      <c r="L322" s="304" t="str">
        <f>IF(input_values!$M322=0,"",input_values!$M322)</f>
        <v/>
      </c>
      <c r="M322" s="301" t="str">
        <f>IF(input_values!H322=0,"",input_values!H322)</f>
        <v/>
      </c>
      <c r="N322" s="304">
        <f>input_values!$K322</f>
        <v>0</v>
      </c>
      <c r="O322" s="309"/>
      <c r="P322" s="38"/>
      <c r="Q322" s="38"/>
      <c r="R322" s="335"/>
      <c r="S322" s="336" t="str">
        <f t="shared" si="50"/>
        <v/>
      </c>
      <c r="T322" s="305"/>
      <c r="U322" s="570"/>
      <c r="V322" s="305"/>
      <c r="W322" s="570"/>
      <c r="X322" s="611" t="str">
        <f>IF(V322="ND","ND",IF(S322="","",IF(OR(MID(C322,1,4)="milk",AND(MID(B322,1,2)="50",NOT(input_values!M322="Y")),AND(MID(B322,1,2)="40",NOT(input_values!M322="Y")),AND(MID(B322,1,2)="30",NOT(input_values!M322="Y"))),3,IF(OR(V322="&lt;25",B322&gt;1000000),1,IF((T322&gt;=S322),"2b","2a")))))</f>
        <v/>
      </c>
      <c r="Y322" s="38" t="str">
        <f>IF(X322="ND","ND",IF(S322="","",IF(input_values!K322&gt;0,input_values!K322,IF(OR(X322=1,X322=3),1,IF((V322&gt;250),5,7)))))</f>
        <v/>
      </c>
      <c r="Z322" s="335" t="str">
        <f t="shared" si="45"/>
        <v/>
      </c>
      <c r="AA322" s="311">
        <f t="shared" si="41"/>
        <v>0</v>
      </c>
      <c r="AB322" s="38" t="str">
        <f t="shared" si="46"/>
        <v/>
      </c>
      <c r="AC322" s="335" t="str">
        <f t="shared" si="47"/>
        <v/>
      </c>
      <c r="AD322" s="311">
        <f t="shared" si="42"/>
        <v>0</v>
      </c>
      <c r="AE322" s="344" t="str">
        <f t="shared" si="48"/>
        <v/>
      </c>
      <c r="AF322" s="344" t="str">
        <f t="shared" si="49"/>
        <v/>
      </c>
      <c r="AG322" s="561" t="str">
        <f t="shared" si="43"/>
        <v/>
      </c>
      <c r="AH322" s="561" t="str">
        <f t="shared" si="44"/>
        <v/>
      </c>
      <c r="AI322" s="313"/>
    </row>
    <row r="323" spans="1:35" ht="36" x14ac:dyDescent="0.2">
      <c r="A323" s="126">
        <v>1</v>
      </c>
      <c r="B323" s="127">
        <v>1000000</v>
      </c>
      <c r="C323" s="127" t="s">
        <v>139</v>
      </c>
      <c r="D323" s="300">
        <f>Table22[[#This Row],[Level used for acute calculation]]</f>
        <v>4</v>
      </c>
      <c r="E323" s="302">
        <f>Table22[[#This Row],[MRL individual commodity]]</f>
        <v>0</v>
      </c>
      <c r="F323" s="451">
        <f>Table22[[#This Row],[Acute RA input value]]</f>
        <v>0</v>
      </c>
      <c r="G323" s="301">
        <f>Table22[[#This Row],[Acute RA label]]</f>
        <v>0</v>
      </c>
      <c r="H323" s="303">
        <f>Table22[[#This Row],[Acute RA IESTI new input value]]</f>
        <v>0</v>
      </c>
      <c r="I323" s="301">
        <f>Table22[[#This Row],[Acute RA IESTI new label]]</f>
        <v>0</v>
      </c>
      <c r="J323" s="504"/>
      <c r="K323" s="544">
        <f>Table22[[#This Row],[GAP under assessment]]</f>
        <v>0</v>
      </c>
      <c r="L323" s="304" t="str">
        <f>IF(input_values!$M323=0,"",input_values!$M323)</f>
        <v/>
      </c>
      <c r="M323" s="301" t="str">
        <f>IF(input_values!H323=0,"",input_values!H323)</f>
        <v/>
      </c>
      <c r="N323" s="304">
        <f>input_values!$K323</f>
        <v>0</v>
      </c>
      <c r="O323" s="309"/>
      <c r="P323" s="38"/>
      <c r="Q323" s="38"/>
      <c r="R323" s="335"/>
      <c r="S323" s="336" t="str">
        <f t="shared" si="50"/>
        <v/>
      </c>
      <c r="T323" s="305"/>
      <c r="U323" s="570"/>
      <c r="V323" s="305"/>
      <c r="W323" s="570"/>
      <c r="X323" s="611" t="str">
        <f>IF(V323="ND","ND",IF(S323="","",IF(OR(MID(C323,1,4)="milk",AND(MID(B323,1,2)="50",NOT(input_values!M323="Y")),AND(MID(B323,1,2)="40",NOT(input_values!M323="Y")),AND(MID(B323,1,2)="30",NOT(input_values!M323="Y"))),3,IF(OR(V323="&lt;25",B323&gt;1000000),1,IF((T323&gt;=S323),"2b","2a")))))</f>
        <v/>
      </c>
      <c r="Y323" s="38" t="str">
        <f>IF(X323="ND","ND",IF(S323="","",IF(input_values!K323&gt;0,input_values!K323,IF(OR(X323=1,X323=3),1,IF((V323&gt;250),5,7)))))</f>
        <v/>
      </c>
      <c r="Z323" s="335" t="str">
        <f t="shared" si="45"/>
        <v/>
      </c>
      <c r="AA323" s="311">
        <f t="shared" si="41"/>
        <v>0</v>
      </c>
      <c r="AB323" s="38" t="str">
        <f t="shared" si="46"/>
        <v/>
      </c>
      <c r="AC323" s="335" t="str">
        <f t="shared" si="47"/>
        <v/>
      </c>
      <c r="AD323" s="311">
        <f t="shared" si="42"/>
        <v>0</v>
      </c>
      <c r="AE323" s="344" t="str">
        <f t="shared" si="48"/>
        <v/>
      </c>
      <c r="AF323" s="344" t="str">
        <f t="shared" si="49"/>
        <v/>
      </c>
      <c r="AG323" s="561" t="str">
        <f t="shared" si="43"/>
        <v/>
      </c>
      <c r="AH323" s="561" t="str">
        <f t="shared" si="44"/>
        <v/>
      </c>
      <c r="AI323" s="313"/>
    </row>
    <row r="324" spans="1:35" outlineLevel="1" x14ac:dyDescent="0.2">
      <c r="A324" s="130">
        <v>2</v>
      </c>
      <c r="B324" s="131">
        <v>1010000</v>
      </c>
      <c r="C324" s="131" t="s">
        <v>625</v>
      </c>
      <c r="D324" s="300">
        <f>Table22[[#This Row],[Level used for acute calculation]]</f>
        <v>4</v>
      </c>
      <c r="E324" s="302">
        <f>Table22[[#This Row],[MRL individual commodity]]</f>
        <v>0</v>
      </c>
      <c r="F324" s="451">
        <f>Table22[[#This Row],[Acute RA input value]]</f>
        <v>0</v>
      </c>
      <c r="G324" s="301">
        <f>Table22[[#This Row],[Acute RA label]]</f>
        <v>0</v>
      </c>
      <c r="H324" s="303">
        <f>Table22[[#This Row],[Acute RA IESTI new input value]]</f>
        <v>0</v>
      </c>
      <c r="I324" s="301">
        <f>Table22[[#This Row],[Acute RA IESTI new label]]</f>
        <v>0</v>
      </c>
      <c r="J324" s="504"/>
      <c r="K324" s="544">
        <f>Table22[[#This Row],[GAP under assessment]]</f>
        <v>0</v>
      </c>
      <c r="L324" s="304" t="str">
        <f>IF(input_values!$M324=0,"",input_values!$M324)</f>
        <v/>
      </c>
      <c r="M324" s="301" t="str">
        <f>IF(input_values!H324=0,"",input_values!H324)</f>
        <v/>
      </c>
      <c r="N324" s="304">
        <f>input_values!$K324</f>
        <v>0</v>
      </c>
      <c r="O324" s="309"/>
      <c r="P324" s="38"/>
      <c r="Q324" s="38"/>
      <c r="R324" s="335"/>
      <c r="S324" s="336" t="str">
        <f t="shared" si="50"/>
        <v/>
      </c>
      <c r="T324" s="305"/>
      <c r="U324" s="570"/>
      <c r="V324" s="305"/>
      <c r="W324" s="570"/>
      <c r="X324" s="611" t="str">
        <f>IF(V324="ND","ND",IF(S324="","",IF(OR(MID(C324,1,4)="milk",AND(MID(B324,1,2)="50",NOT(input_values!M324="Y")),AND(MID(B324,1,2)="40",NOT(input_values!M324="Y")),AND(MID(B324,1,2)="30",NOT(input_values!M324="Y"))),3,IF(OR(V324="&lt;25",B324&gt;1000000),1,IF((T324&gt;=S324),"2b","2a")))))</f>
        <v/>
      </c>
      <c r="Y324" s="38" t="str">
        <f>IF(X324="ND","ND",IF(S324="","",IF(input_values!K324&gt;0,input_values!K324,IF(OR(X324=1,X324=3),1,IF((V324&gt;250),5,7)))))</f>
        <v/>
      </c>
      <c r="Z324" s="335" t="str">
        <f t="shared" si="45"/>
        <v/>
      </c>
      <c r="AA324" s="311">
        <f t="shared" si="41"/>
        <v>0</v>
      </c>
      <c r="AB324" s="38" t="str">
        <f t="shared" si="46"/>
        <v/>
      </c>
      <c r="AC324" s="335" t="str">
        <f t="shared" si="47"/>
        <v/>
      </c>
      <c r="AD324" s="311">
        <f t="shared" si="42"/>
        <v>0</v>
      </c>
      <c r="AE324" s="344" t="str">
        <f t="shared" si="48"/>
        <v/>
      </c>
      <c r="AF324" s="344" t="str">
        <f t="shared" si="49"/>
        <v/>
      </c>
      <c r="AG324" s="561" t="str">
        <f t="shared" si="43"/>
        <v/>
      </c>
      <c r="AH324" s="561" t="str">
        <f t="shared" si="44"/>
        <v/>
      </c>
      <c r="AI324" s="313"/>
    </row>
    <row r="325" spans="1:35" outlineLevel="2" x14ac:dyDescent="0.2">
      <c r="A325" s="133">
        <v>3</v>
      </c>
      <c r="B325" s="5">
        <v>1011000</v>
      </c>
      <c r="C325" s="5" t="s">
        <v>146</v>
      </c>
      <c r="D325" s="300">
        <f>Table22[[#This Row],[Level used for acute calculation]]</f>
        <v>4</v>
      </c>
      <c r="E325" s="302">
        <f>Table22[[#This Row],[MRL individual commodity]]</f>
        <v>0</v>
      </c>
      <c r="F325" s="451">
        <f>Table22[[#This Row],[Acute RA input value]]</f>
        <v>0</v>
      </c>
      <c r="G325" s="301">
        <f>Table22[[#This Row],[Acute RA label]]</f>
        <v>0</v>
      </c>
      <c r="H325" s="303">
        <f>Table22[[#This Row],[Acute RA IESTI new input value]]</f>
        <v>0</v>
      </c>
      <c r="I325" s="301">
        <f>Table22[[#This Row],[Acute RA IESTI new label]]</f>
        <v>0</v>
      </c>
      <c r="J325" s="504"/>
      <c r="K325" s="544">
        <f>Table22[[#This Row],[GAP under assessment]]</f>
        <v>0</v>
      </c>
      <c r="L325" s="304" t="str">
        <f>IF(input_values!$M325=0,"",input_values!$M325)</f>
        <v/>
      </c>
      <c r="M325" s="301" t="str">
        <f>IF(input_values!H325=0,"",input_values!H325)</f>
        <v/>
      </c>
      <c r="N325" s="304">
        <f>input_values!$K325</f>
        <v>0</v>
      </c>
      <c r="O325" s="309"/>
      <c r="P325" s="38"/>
      <c r="Q325" s="38"/>
      <c r="R325" s="335"/>
      <c r="S325" s="336" t="str">
        <f t="shared" si="50"/>
        <v/>
      </c>
      <c r="T325" s="305"/>
      <c r="U325" s="570"/>
      <c r="V325" s="305"/>
      <c r="W325" s="570"/>
      <c r="X325" s="611" t="str">
        <f>IF(V325="ND","ND",IF(S325="","",IF(OR(MID(C325,1,4)="milk",AND(MID(B325,1,2)="50",NOT(input_values!M325="Y")),AND(MID(B325,1,2)="40",NOT(input_values!M325="Y")),AND(MID(B325,1,2)="30",NOT(input_values!M325="Y"))),3,IF(OR(V325="&lt;25",B325&gt;1000000),1,IF((T325&gt;=S325),"2b","2a")))))</f>
        <v/>
      </c>
      <c r="Y325" s="38" t="str">
        <f>IF(X325="ND","ND",IF(S325="","",IF(input_values!K325&gt;0,input_values!K325,IF(OR(X325=1,X325=3),1,IF((V325&gt;250),5,7)))))</f>
        <v/>
      </c>
      <c r="Z325" s="335" t="str">
        <f t="shared" si="45"/>
        <v/>
      </c>
      <c r="AA325" s="311">
        <f t="shared" si="41"/>
        <v>0</v>
      </c>
      <c r="AB325" s="38" t="str">
        <f t="shared" si="46"/>
        <v/>
      </c>
      <c r="AC325" s="335" t="str">
        <f t="shared" si="47"/>
        <v/>
      </c>
      <c r="AD325" s="311">
        <f t="shared" si="42"/>
        <v>0</v>
      </c>
      <c r="AE325" s="344" t="str">
        <f t="shared" si="48"/>
        <v/>
      </c>
      <c r="AF325" s="344" t="str">
        <f t="shared" si="49"/>
        <v/>
      </c>
      <c r="AG325" s="561" t="str">
        <f t="shared" si="43"/>
        <v/>
      </c>
      <c r="AH325" s="561" t="str">
        <f t="shared" si="44"/>
        <v/>
      </c>
      <c r="AI325" s="313"/>
    </row>
    <row r="326" spans="1:35" outlineLevel="3" x14ac:dyDescent="0.2">
      <c r="A326" s="39">
        <v>4</v>
      </c>
      <c r="B326" s="23">
        <v>1011010</v>
      </c>
      <c r="C326" s="23" t="s">
        <v>862</v>
      </c>
      <c r="D326" s="300">
        <f>Table22[[#This Row],[Level used for acute calculation]]</f>
        <v>4</v>
      </c>
      <c r="E326" s="302">
        <f>Table22[[#This Row],[MRL individual commodity]]</f>
        <v>0</v>
      </c>
      <c r="F326" s="451">
        <f>Table22[[#This Row],[Acute RA input value]]</f>
        <v>0</v>
      </c>
      <c r="G326" s="301" t="str">
        <f>Table22[[#This Row],[Acute RA label]]</f>
        <v/>
      </c>
      <c r="H326" s="303">
        <f>Table22[[#This Row],[Acute RA IESTI new input value]]</f>
        <v>0</v>
      </c>
      <c r="I326" s="301" t="str">
        <f>Table22[[#This Row],[Acute RA IESTI new label]]</f>
        <v/>
      </c>
      <c r="J326" s="504"/>
      <c r="K326" s="544">
        <f>Table22[[#This Row],[GAP under assessment]]</f>
        <v>0</v>
      </c>
      <c r="L326" s="304" t="str">
        <f>IF(input_values!$M326=0,"",input_values!$M326)</f>
        <v/>
      </c>
      <c r="M326" s="301" t="str">
        <f>IF(input_values!H326=0,"",input_values!H326)</f>
        <v/>
      </c>
      <c r="N326" s="304">
        <f>input_values!$K326</f>
        <v>0</v>
      </c>
      <c r="O326" s="339">
        <v>12.11</v>
      </c>
      <c r="P326" s="128">
        <v>97.5</v>
      </c>
      <c r="Q326" s="128" t="s">
        <v>96</v>
      </c>
      <c r="R326" s="338">
        <v>21.4</v>
      </c>
      <c r="S326" s="338">
        <f t="shared" si="50"/>
        <v>259.154</v>
      </c>
      <c r="T326" s="305"/>
      <c r="U326" s="570"/>
      <c r="V326" s="305"/>
      <c r="W326" s="570"/>
      <c r="X326" s="460">
        <f>IF(V326="ND","ND",IF(S326="","",IF(OR(MID(C326,1,4)="milk",AND(MID(B326,1,2)="50",NOT(input_values!M326="Y")),AND(MID(B326,1,2)="40",NOT(input_values!M326="Y")),AND(MID(B326,1,2)="30",NOT(input_values!M326="Y"))),3,IF(OR(V326="&lt;25",B326&gt;1000000),1,IF((T326&gt;=S326),"2b","2a")))))</f>
        <v>1</v>
      </c>
      <c r="Y326" s="128">
        <f>IF(X326="ND","ND",IF(S326="","",IF(input_values!K326&gt;0,input_values!K326,IF(OR(X326=1,X326=3),1,IF((V326&gt;250),5,7)))))</f>
        <v>1</v>
      </c>
      <c r="Z326" s="345" t="str">
        <f t="shared" si="45"/>
        <v/>
      </c>
      <c r="AA326" s="332">
        <f t="shared" si="41"/>
        <v>0</v>
      </c>
      <c r="AB326" s="27">
        <f t="shared" si="46"/>
        <v>1</v>
      </c>
      <c r="AC326" s="345" t="str">
        <f t="shared" si="47"/>
        <v/>
      </c>
      <c r="AD326" s="332">
        <f t="shared" si="42"/>
        <v>0</v>
      </c>
      <c r="AE326" s="40" t="str">
        <f t="shared" si="48"/>
        <v/>
      </c>
      <c r="AF326" s="40" t="str">
        <f t="shared" si="49"/>
        <v/>
      </c>
      <c r="AG326" s="561" t="str">
        <f t="shared" si="43"/>
        <v/>
      </c>
      <c r="AH326" s="561" t="str">
        <f t="shared" si="44"/>
        <v/>
      </c>
      <c r="AI326" s="313"/>
    </row>
    <row r="327" spans="1:35" ht="24" outlineLevel="3" x14ac:dyDescent="0.2">
      <c r="A327" s="39">
        <v>4</v>
      </c>
      <c r="B327" s="23">
        <v>1011020</v>
      </c>
      <c r="C327" s="23" t="s">
        <v>787</v>
      </c>
      <c r="D327" s="300">
        <f>Table22[[#This Row],[Level used for acute calculation]]</f>
        <v>4</v>
      </c>
      <c r="E327" s="302">
        <f>Table22[[#This Row],[MRL individual commodity]]</f>
        <v>0</v>
      </c>
      <c r="F327" s="451">
        <f>Table22[[#This Row],[Acute RA input value]]</f>
        <v>0</v>
      </c>
      <c r="G327" s="301" t="str">
        <f>Table22[[#This Row],[Acute RA label]]</f>
        <v/>
      </c>
      <c r="H327" s="303">
        <f>Table22[[#This Row],[Acute RA IESTI new input value]]</f>
        <v>0</v>
      </c>
      <c r="I327" s="301" t="str">
        <f>Table22[[#This Row],[Acute RA IESTI new label]]</f>
        <v/>
      </c>
      <c r="J327" s="504"/>
      <c r="K327" s="544">
        <f>Table22[[#This Row],[GAP under assessment]]</f>
        <v>0</v>
      </c>
      <c r="L327" s="304" t="str">
        <f>IF(input_values!$M327=0,"",input_values!$M327)</f>
        <v/>
      </c>
      <c r="M327" s="301" t="str">
        <f>IF(input_values!H327=0,"",input_values!H327)</f>
        <v/>
      </c>
      <c r="N327" s="304">
        <f>input_values!$K327</f>
        <v>0</v>
      </c>
      <c r="O327" s="339">
        <v>1.7</v>
      </c>
      <c r="P327" s="128">
        <v>90</v>
      </c>
      <c r="Q327" s="128" t="s">
        <v>332</v>
      </c>
      <c r="R327" s="338">
        <v>46.3</v>
      </c>
      <c r="S327" s="338">
        <f t="shared" si="50"/>
        <v>78.709999999999994</v>
      </c>
      <c r="T327" s="305"/>
      <c r="U327" s="570"/>
      <c r="V327" s="305"/>
      <c r="W327" s="570"/>
      <c r="X327" s="460">
        <f>IF(V327="ND","ND",IF(S327="","",IF(OR(MID(C327,1,4)="milk",AND(MID(B327,1,2)="50",NOT(input_values!M327="Y")),AND(MID(B327,1,2)="40",NOT(input_values!M327="Y")),AND(MID(B327,1,2)="30",NOT(input_values!M327="Y"))),3,IF(OR(V327="&lt;25",B327&gt;1000000),1,IF((T327&gt;=S327),"2b","2a")))))</f>
        <v>1</v>
      </c>
      <c r="Y327" s="128">
        <f>IF(X327="ND","ND",IF(S327="","",IF(input_values!K327&gt;0,input_values!K327,IF(OR(X327=1,X327=3),1,IF((V327&gt;250),5,7)))))</f>
        <v>1</v>
      </c>
      <c r="Z327" s="345" t="str">
        <f t="shared" si="45"/>
        <v/>
      </c>
      <c r="AA327" s="332">
        <f t="shared" si="41"/>
        <v>0</v>
      </c>
      <c r="AB327" s="27">
        <f t="shared" si="46"/>
        <v>1</v>
      </c>
      <c r="AC327" s="345" t="str">
        <f t="shared" si="47"/>
        <v/>
      </c>
      <c r="AD327" s="332">
        <f t="shared" si="42"/>
        <v>0</v>
      </c>
      <c r="AE327" s="40" t="str">
        <f t="shared" si="48"/>
        <v/>
      </c>
      <c r="AF327" s="40" t="str">
        <f t="shared" si="49"/>
        <v/>
      </c>
      <c r="AG327" s="561" t="str">
        <f t="shared" si="43"/>
        <v/>
      </c>
      <c r="AH327" s="561" t="str">
        <f t="shared" si="44"/>
        <v/>
      </c>
      <c r="AI327" s="313"/>
    </row>
    <row r="328" spans="1:35" outlineLevel="3" x14ac:dyDescent="0.2">
      <c r="A328" s="39">
        <v>4</v>
      </c>
      <c r="B328" s="23">
        <v>1011030</v>
      </c>
      <c r="C328" s="23" t="s">
        <v>191</v>
      </c>
      <c r="D328" s="300">
        <f>Table22[[#This Row],[Level used for acute calculation]]</f>
        <v>4</v>
      </c>
      <c r="E328" s="302">
        <f>Table22[[#This Row],[MRL individual commodity]]</f>
        <v>0</v>
      </c>
      <c r="F328" s="451">
        <f>Table22[[#This Row],[Acute RA input value]]</f>
        <v>0</v>
      </c>
      <c r="G328" s="301" t="str">
        <f>Table22[[#This Row],[Acute RA label]]</f>
        <v/>
      </c>
      <c r="H328" s="303">
        <f>Table22[[#This Row],[Acute RA IESTI new input value]]</f>
        <v>0</v>
      </c>
      <c r="I328" s="301" t="str">
        <f>Table22[[#This Row],[Acute RA IESTI new label]]</f>
        <v/>
      </c>
      <c r="J328" s="504"/>
      <c r="K328" s="544">
        <f>Table22[[#This Row],[GAP under assessment]]</f>
        <v>0</v>
      </c>
      <c r="L328" s="304" t="str">
        <f>IF(input_values!$M328=0,"",input_values!$M328)</f>
        <v/>
      </c>
      <c r="M328" s="301" t="str">
        <f>IF(input_values!H328=0,"",input_values!H328)</f>
        <v/>
      </c>
      <c r="N328" s="304">
        <f>input_values!$K328</f>
        <v>0</v>
      </c>
      <c r="O328" s="339">
        <v>1.2254901960784315</v>
      </c>
      <c r="P328" s="128">
        <v>100</v>
      </c>
      <c r="Q328" s="128" t="s">
        <v>329</v>
      </c>
      <c r="R328" s="338">
        <v>10.199999999999999</v>
      </c>
      <c r="S328" s="338">
        <f t="shared" si="50"/>
        <v>12.5</v>
      </c>
      <c r="T328" s="305"/>
      <c r="U328" s="570"/>
      <c r="V328" s="305"/>
      <c r="W328" s="570"/>
      <c r="X328" s="460">
        <f>IF(V328="ND","ND",IF(S328="","",IF(OR(MID(C328,1,4)="milk",AND(MID(B328,1,2)="50",NOT(input_values!M328="Y")),AND(MID(B328,1,2)="40",NOT(input_values!M328="Y")),AND(MID(B328,1,2)="30",NOT(input_values!M328="Y"))),3,IF(OR(V328="&lt;25",B328&gt;1000000),1,IF((T328&gt;=S328),"2b","2a")))))</f>
        <v>1</v>
      </c>
      <c r="Y328" s="128">
        <f>IF(X328="ND","ND",IF(S328="","",IF(input_values!K328&gt;0,input_values!K328,IF(OR(X328=1,X328=3),1,IF((V328&gt;250),5,7)))))</f>
        <v>1</v>
      </c>
      <c r="Z328" s="345" t="str">
        <f t="shared" si="45"/>
        <v/>
      </c>
      <c r="AA328" s="332">
        <f t="shared" si="41"/>
        <v>0</v>
      </c>
      <c r="AB328" s="27">
        <f t="shared" si="46"/>
        <v>1</v>
      </c>
      <c r="AC328" s="345" t="str">
        <f t="shared" si="47"/>
        <v/>
      </c>
      <c r="AD328" s="332">
        <f t="shared" si="42"/>
        <v>0</v>
      </c>
      <c r="AE328" s="40" t="str">
        <f t="shared" si="48"/>
        <v/>
      </c>
      <c r="AF328" s="40" t="str">
        <f t="shared" si="49"/>
        <v/>
      </c>
      <c r="AG328" s="561" t="str">
        <f t="shared" si="43"/>
        <v/>
      </c>
      <c r="AH328" s="561" t="str">
        <f t="shared" si="44"/>
        <v/>
      </c>
      <c r="AI328" s="313"/>
    </row>
    <row r="329" spans="1:35" outlineLevel="3" x14ac:dyDescent="0.2">
      <c r="A329" s="39">
        <v>4</v>
      </c>
      <c r="B329" s="23">
        <v>1011040</v>
      </c>
      <c r="C329" s="23" t="s">
        <v>192</v>
      </c>
      <c r="D329" s="300">
        <f>Table22[[#This Row],[Level used for acute calculation]]</f>
        <v>4</v>
      </c>
      <c r="E329" s="302">
        <f>Table22[[#This Row],[MRL individual commodity]]</f>
        <v>0</v>
      </c>
      <c r="F329" s="451">
        <f>Table22[[#This Row],[Acute RA input value]]</f>
        <v>0</v>
      </c>
      <c r="G329" s="301" t="str">
        <f>Table22[[#This Row],[Acute RA label]]</f>
        <v/>
      </c>
      <c r="H329" s="303">
        <f>Table22[[#This Row],[Acute RA IESTI new input value]]</f>
        <v>0</v>
      </c>
      <c r="I329" s="301" t="str">
        <f>Table22[[#This Row],[Acute RA IESTI new label]]</f>
        <v/>
      </c>
      <c r="J329" s="504"/>
      <c r="K329" s="544">
        <f>Table22[[#This Row],[GAP under assessment]]</f>
        <v>0</v>
      </c>
      <c r="L329" s="304" t="str">
        <f>IF(input_values!$M329=0,"",input_values!$M329)</f>
        <v/>
      </c>
      <c r="M329" s="301" t="str">
        <f>IF(input_values!H329=0,"",input_values!H329)</f>
        <v/>
      </c>
      <c r="N329" s="304">
        <f>input_values!$K329</f>
        <v>0</v>
      </c>
      <c r="O329" s="339">
        <v>1.2682</v>
      </c>
      <c r="P329" s="128">
        <v>97.5</v>
      </c>
      <c r="Q329" s="128" t="s">
        <v>1</v>
      </c>
      <c r="R329" s="338">
        <v>34.479999999999997</v>
      </c>
      <c r="S329" s="338">
        <f t="shared" si="50"/>
        <v>43.727535999999994</v>
      </c>
      <c r="T329" s="305"/>
      <c r="U329" s="570"/>
      <c r="V329" s="305"/>
      <c r="W329" s="570"/>
      <c r="X329" s="460">
        <f>IF(V329="ND","ND",IF(S329="","",IF(OR(MID(C329,1,4)="milk",AND(MID(B329,1,2)="50",NOT(input_values!M329="Y")),AND(MID(B329,1,2)="40",NOT(input_values!M329="Y")),AND(MID(B329,1,2)="30",NOT(input_values!M329="Y"))),3,IF(OR(V329="&lt;25",B329&gt;1000000),1,IF((T329&gt;=S329),"2b","2a")))))</f>
        <v>1</v>
      </c>
      <c r="Y329" s="128">
        <f>IF(X329="ND","ND",IF(S329="","",IF(input_values!K329&gt;0,input_values!K329,IF(OR(X329=1,X329=3),1,IF((V329&gt;250),5,7)))))</f>
        <v>1</v>
      </c>
      <c r="Z329" s="345" t="str">
        <f t="shared" si="45"/>
        <v/>
      </c>
      <c r="AA329" s="332">
        <f t="shared" si="41"/>
        <v>0</v>
      </c>
      <c r="AB329" s="27">
        <f t="shared" si="46"/>
        <v>1</v>
      </c>
      <c r="AC329" s="345" t="str">
        <f t="shared" si="47"/>
        <v/>
      </c>
      <c r="AD329" s="332">
        <f t="shared" si="42"/>
        <v>0</v>
      </c>
      <c r="AE329" s="40" t="str">
        <f t="shared" si="48"/>
        <v/>
      </c>
      <c r="AF329" s="40" t="str">
        <f t="shared" si="49"/>
        <v/>
      </c>
      <c r="AG329" s="561" t="str">
        <f t="shared" si="43"/>
        <v/>
      </c>
      <c r="AH329" s="561" t="str">
        <f t="shared" si="44"/>
        <v/>
      </c>
      <c r="AI329" s="313"/>
    </row>
    <row r="330" spans="1:35" ht="24" outlineLevel="3" x14ac:dyDescent="0.2">
      <c r="A330" s="39">
        <v>4</v>
      </c>
      <c r="B330" s="23">
        <v>1011050</v>
      </c>
      <c r="C330" s="23" t="s">
        <v>788</v>
      </c>
      <c r="D330" s="300">
        <f>Table22[[#This Row],[Level used for acute calculation]]</f>
        <v>4</v>
      </c>
      <c r="E330" s="302">
        <f>Table22[[#This Row],[MRL individual commodity]]</f>
        <v>0</v>
      </c>
      <c r="F330" s="451">
        <f>Table22[[#This Row],[Acute RA input value]]</f>
        <v>0</v>
      </c>
      <c r="G330" s="301" t="str">
        <f>Table22[[#This Row],[Acute RA label]]</f>
        <v/>
      </c>
      <c r="H330" s="303">
        <f>Table22[[#This Row],[Acute RA IESTI new input value]]</f>
        <v>0</v>
      </c>
      <c r="I330" s="301" t="str">
        <f>Table22[[#This Row],[Acute RA IESTI new label]]</f>
        <v/>
      </c>
      <c r="J330" s="504"/>
      <c r="K330" s="544">
        <f>Table22[[#This Row],[GAP under assessment]]</f>
        <v>0</v>
      </c>
      <c r="L330" s="304" t="str">
        <f>IF(input_values!$M330=0,"",input_values!$M330)</f>
        <v/>
      </c>
      <c r="M330" s="301" t="str">
        <f>IF(input_values!H330=0,"",input_values!H330)</f>
        <v/>
      </c>
      <c r="N330" s="304">
        <f>input_values!$K330</f>
        <v>0</v>
      </c>
      <c r="O330" s="339">
        <v>3</v>
      </c>
      <c r="P330" s="128">
        <v>60</v>
      </c>
      <c r="Q330" s="128" t="s">
        <v>333</v>
      </c>
      <c r="R330" s="338">
        <v>30</v>
      </c>
      <c r="S330" s="338">
        <f t="shared" si="50"/>
        <v>90</v>
      </c>
      <c r="T330" s="305"/>
      <c r="U330" s="570"/>
      <c r="V330" s="305"/>
      <c r="W330" s="570"/>
      <c r="X330" s="460">
        <f>IF(V330="ND","ND",IF(S330="","",IF(OR(MID(C330,1,4)="milk",AND(MID(B330,1,2)="50",NOT(input_values!M330="Y")),AND(MID(B330,1,2)="40",NOT(input_values!M330="Y")),AND(MID(B330,1,2)="30",NOT(input_values!M330="Y"))),3,IF(OR(V330="&lt;25",B330&gt;1000000),1,IF((T330&gt;=S330),"2b","2a")))))</f>
        <v>1</v>
      </c>
      <c r="Y330" s="128">
        <f>IF(X330="ND","ND",IF(S330="","",IF(input_values!K330&gt;0,input_values!K330,IF(OR(X330=1,X330=3),1,IF((V330&gt;250),5,7)))))</f>
        <v>1</v>
      </c>
      <c r="Z330" s="345" t="str">
        <f t="shared" si="45"/>
        <v/>
      </c>
      <c r="AA330" s="332">
        <f t="shared" si="41"/>
        <v>0</v>
      </c>
      <c r="AB330" s="27">
        <f t="shared" si="46"/>
        <v>1</v>
      </c>
      <c r="AC330" s="345" t="str">
        <f t="shared" si="47"/>
        <v/>
      </c>
      <c r="AD330" s="332">
        <f t="shared" si="42"/>
        <v>0</v>
      </c>
      <c r="AE330" s="40" t="str">
        <f t="shared" si="48"/>
        <v/>
      </c>
      <c r="AF330" s="40" t="str">
        <f t="shared" si="49"/>
        <v/>
      </c>
      <c r="AG330" s="561" t="str">
        <f t="shared" si="43"/>
        <v/>
      </c>
      <c r="AH330" s="561" t="str">
        <f t="shared" si="44"/>
        <v/>
      </c>
      <c r="AI330" s="313"/>
    </row>
    <row r="331" spans="1:35" outlineLevel="3" x14ac:dyDescent="0.2">
      <c r="A331" s="39">
        <v>4</v>
      </c>
      <c r="B331" s="23">
        <v>1011990</v>
      </c>
      <c r="C331" s="23" t="s">
        <v>634</v>
      </c>
      <c r="D331" s="300">
        <f>Table22[[#This Row],[Level used for acute calculation]]</f>
        <v>4</v>
      </c>
      <c r="E331" s="302">
        <f>Table22[[#This Row],[MRL individual commodity]]</f>
        <v>0</v>
      </c>
      <c r="F331" s="451">
        <f>Table22[[#This Row],[Acute RA input value]]</f>
        <v>0</v>
      </c>
      <c r="G331" s="301" t="str">
        <f>Table22[[#This Row],[Acute RA label]]</f>
        <v/>
      </c>
      <c r="H331" s="303">
        <f>Table22[[#This Row],[Acute RA IESTI new input value]]</f>
        <v>0</v>
      </c>
      <c r="I331" s="301" t="str">
        <f>Table22[[#This Row],[Acute RA IESTI new label]]</f>
        <v/>
      </c>
      <c r="J331" s="504"/>
      <c r="K331" s="544">
        <f>Table22[[#This Row],[GAP under assessment]]</f>
        <v>0</v>
      </c>
      <c r="L331" s="304" t="str">
        <f>IF(input_values!$M331=0,"",input_values!$M331)</f>
        <v/>
      </c>
      <c r="M331" s="301" t="str">
        <f>IF(input_values!H331=0,"",input_values!H331)</f>
        <v/>
      </c>
      <c r="N331" s="304">
        <f>input_values!$K331</f>
        <v>0</v>
      </c>
      <c r="O331" s="309"/>
      <c r="P331" s="38"/>
      <c r="Q331" s="38"/>
      <c r="R331" s="335"/>
      <c r="S331" s="336" t="str">
        <f t="shared" si="50"/>
        <v/>
      </c>
      <c r="T331" s="305"/>
      <c r="U331" s="570"/>
      <c r="V331" s="305"/>
      <c r="W331" s="570"/>
      <c r="X331" s="611" t="str">
        <f>IF(V331="ND","ND",IF(S331="","",IF(OR(MID(C331,1,4)="milk",AND(MID(B331,1,2)="50",NOT(input_values!M331="Y")),AND(MID(B331,1,2)="40",NOT(input_values!M331="Y")),AND(MID(B331,1,2)="30",NOT(input_values!M331="Y"))),3,IF(OR(V331="&lt;25",B331&gt;1000000),1,IF((T331&gt;=S331),"2b","2a")))))</f>
        <v/>
      </c>
      <c r="Y331" s="38" t="str">
        <f>IF(X331="ND","ND",IF(S331="","",IF(input_values!K331&gt;0,input_values!K331,IF(OR(X331=1,X331=3),1,IF((V331&gt;250),5,7)))))</f>
        <v/>
      </c>
      <c r="Z331" s="335"/>
      <c r="AA331" s="311">
        <f t="shared" si="41"/>
        <v>0</v>
      </c>
      <c r="AB331" s="47"/>
      <c r="AC331" s="335"/>
      <c r="AD331" s="311">
        <f t="shared" si="42"/>
        <v>0</v>
      </c>
      <c r="AE331" s="344"/>
      <c r="AF331" s="344"/>
      <c r="AG331" s="561" t="str">
        <f t="shared" si="43"/>
        <v/>
      </c>
      <c r="AH331" s="561" t="str">
        <f t="shared" si="44"/>
        <v/>
      </c>
      <c r="AI331" s="313"/>
    </row>
    <row r="332" spans="1:35" outlineLevel="2" x14ac:dyDescent="0.2">
      <c r="A332" s="133">
        <v>3</v>
      </c>
      <c r="B332" s="5">
        <v>1012000</v>
      </c>
      <c r="C332" s="5" t="s">
        <v>193</v>
      </c>
      <c r="D332" s="300">
        <f>Table22[[#This Row],[Level used for acute calculation]]</f>
        <v>4</v>
      </c>
      <c r="E332" s="302">
        <f>Table22[[#This Row],[MRL individual commodity]]</f>
        <v>0</v>
      </c>
      <c r="F332" s="451">
        <f>Table22[[#This Row],[Acute RA input value]]</f>
        <v>0</v>
      </c>
      <c r="G332" s="301">
        <f>Table22[[#This Row],[Acute RA label]]</f>
        <v>0</v>
      </c>
      <c r="H332" s="303">
        <f>Table22[[#This Row],[Acute RA IESTI new input value]]</f>
        <v>0</v>
      </c>
      <c r="I332" s="301">
        <f>Table22[[#This Row],[Acute RA IESTI new label]]</f>
        <v>0</v>
      </c>
      <c r="J332" s="504"/>
      <c r="K332" s="544">
        <f>Table22[[#This Row],[GAP under assessment]]</f>
        <v>0</v>
      </c>
      <c r="L332" s="304" t="str">
        <f>IF(input_values!$M332=0,"",input_values!$M332)</f>
        <v/>
      </c>
      <c r="M332" s="301" t="str">
        <f>IF(input_values!H332=0,"",input_values!H332)</f>
        <v/>
      </c>
      <c r="N332" s="304">
        <f>input_values!$K332</f>
        <v>0</v>
      </c>
      <c r="O332" s="309"/>
      <c r="P332" s="38"/>
      <c r="Q332" s="38"/>
      <c r="R332" s="335"/>
      <c r="S332" s="336" t="str">
        <f t="shared" si="50"/>
        <v/>
      </c>
      <c r="T332" s="305"/>
      <c r="U332" s="570"/>
      <c r="V332" s="305"/>
      <c r="W332" s="570"/>
      <c r="X332" s="611" t="str">
        <f>IF(V332="ND","ND",IF(S332="","",IF(OR(MID(C332,1,4)="milk",AND(MID(B332,1,2)="50",NOT(input_values!M332="Y")),AND(MID(B332,1,2)="40",NOT(input_values!M332="Y")),AND(MID(B332,1,2)="30",NOT(input_values!M332="Y"))),3,IF(OR(V332="&lt;25",B332&gt;1000000),1,IF((T332&gt;=S332),"2b","2a")))))</f>
        <v/>
      </c>
      <c r="Y332" s="38" t="str">
        <f>IF(X332="ND","ND",IF(S332="","",IF(input_values!K332&gt;0,input_values!K332,IF(OR(X332=1,X332=3),1,IF((V332&gt;250),5,7)))))</f>
        <v/>
      </c>
      <c r="Z332" s="335" t="str">
        <f t="shared" ref="Z332:Z389" si="51">IF(OR(ISTEXT(F332),F332=0),"",IF(OR(S332="ND",T332="ND"),"ND",IF(S332=0,0,IF(($X332="2a"),1/$R332*(($F332*$T332/1000*$Y332)+($F332*($S332-$T332)/1000)),IF(($X332="2b"),1/$R332*($F332*$S332/1000*$Y332),1/$R332*($F332*$S332/1000))))))</f>
        <v/>
      </c>
      <c r="AA332" s="311">
        <f t="shared" ref="AA332:AA391" si="52">IF(OR(ISTEXT(F332),F332=0),0,IF($C$5="not necessary","no acute RA",IF(Z332="ND","no acute RA",Z332/$C$5)))</f>
        <v>0</v>
      </c>
      <c r="AB332" s="47" t="str">
        <f t="shared" si="46"/>
        <v/>
      </c>
      <c r="AC332" s="335" t="str">
        <f t="shared" si="47"/>
        <v/>
      </c>
      <c r="AD332" s="311">
        <f t="shared" ref="AD332:AD391" si="53">IF(OR(ISTEXT(H332),H332=0,S332=0),0,IF($C$5="not necessary","no acute RA",IF(AC332="ND","no acute RA",AC332/$C$5)))</f>
        <v>0</v>
      </c>
      <c r="AE332" s="344" t="str">
        <f t="shared" si="48"/>
        <v/>
      </c>
      <c r="AF332" s="344" t="str">
        <f t="shared" si="49"/>
        <v/>
      </c>
      <c r="AG332" s="561" t="str">
        <f t="shared" ref="AG332:AG391" si="54">IF(OR(Z332=0,Z332="ND",Z332="",$C$5="not necessary"),"",IF(X332="2a",1000*$C$5*R332/(T332*Y332+S332-T332),IF(X332="2b",1000*$C$5*R332/S332/Y332,IF(OR(X332=1,X332=3),1000*$C$5*R332/S332,""))))</f>
        <v/>
      </c>
      <c r="AH332" s="561" t="str">
        <f t="shared" ref="AH332:AH391" si="55">IF(OR(AC332=0,AC332="ND",AC332="",$C$5="not necessary"),"",1000*$C$5*R332/S332/AB332)</f>
        <v/>
      </c>
      <c r="AI332" s="313"/>
    </row>
    <row r="333" spans="1:35" outlineLevel="3" x14ac:dyDescent="0.2">
      <c r="A333" s="39">
        <v>4</v>
      </c>
      <c r="B333" s="23">
        <v>1012010</v>
      </c>
      <c r="C333" s="23" t="s">
        <v>863</v>
      </c>
      <c r="D333" s="300">
        <f>Table22[[#This Row],[Level used for acute calculation]]</f>
        <v>4</v>
      </c>
      <c r="E333" s="302">
        <f>Table22[[#This Row],[MRL individual commodity]]</f>
        <v>0</v>
      </c>
      <c r="F333" s="451">
        <f>Table22[[#This Row],[Acute RA input value]]</f>
        <v>0</v>
      </c>
      <c r="G333" s="301" t="str">
        <f>Table22[[#This Row],[Acute RA label]]</f>
        <v/>
      </c>
      <c r="H333" s="303">
        <f>Table22[[#This Row],[Acute RA IESTI new input value]]</f>
        <v>0</v>
      </c>
      <c r="I333" s="301" t="str">
        <f>Table22[[#This Row],[Acute RA IESTI new label]]</f>
        <v/>
      </c>
      <c r="J333" s="504"/>
      <c r="K333" s="544">
        <f>Table22[[#This Row],[GAP under assessment]]</f>
        <v>0</v>
      </c>
      <c r="L333" s="304" t="str">
        <f>IF(input_values!$M333=0,"",input_values!$M333)</f>
        <v/>
      </c>
      <c r="M333" s="301" t="str">
        <f>IF(input_values!H333=0,"",input_values!H333)</f>
        <v/>
      </c>
      <c r="N333" s="304">
        <f>input_values!$K333</f>
        <v>0</v>
      </c>
      <c r="O333" s="339">
        <v>7.21</v>
      </c>
      <c r="P333" s="128">
        <v>95</v>
      </c>
      <c r="Q333" s="128" t="s">
        <v>256</v>
      </c>
      <c r="R333" s="338">
        <v>16.149999999999999</v>
      </c>
      <c r="S333" s="338">
        <f t="shared" ref="S333:S390" si="56">IF(O333="ND","ND",IF(O333="","",O333*R333))</f>
        <v>116.44149999999999</v>
      </c>
      <c r="T333" s="305"/>
      <c r="U333" s="570"/>
      <c r="V333" s="305"/>
      <c r="W333" s="570"/>
      <c r="X333" s="460">
        <f>IF(V333="ND","ND",IF(S333="","",IF(OR(MID(C333,1,4)="milk",AND(MID(B333,1,2)="50",NOT(input_values!M333="Y")),AND(MID(B333,1,2)="40",NOT(input_values!M333="Y")),AND(MID(B333,1,2)="30",NOT(input_values!M333="Y"))),3,IF(OR(V333="&lt;25",B333&gt;1000000),1,IF((T333&gt;=S333),"2b","2a")))))</f>
        <v>1</v>
      </c>
      <c r="Y333" s="128">
        <f>IF(X333="ND","ND",IF(S333="","",IF(input_values!K333&gt;0,input_values!K333,IF(OR(X333=1,X333=3),1,IF((V333&gt;250),5,7)))))</f>
        <v>1</v>
      </c>
      <c r="Z333" s="345" t="str">
        <f t="shared" si="51"/>
        <v/>
      </c>
      <c r="AA333" s="332">
        <f t="shared" si="52"/>
        <v>0</v>
      </c>
      <c r="AB333" s="27">
        <f t="shared" ref="AB333:AB390" si="57">IF(OR(Y333=5,Y333=7,N333&gt;3),3,Y333)</f>
        <v>1</v>
      </c>
      <c r="AC333" s="345" t="str">
        <f t="shared" ref="AC333:AC390" si="58">IF(OR(ISTEXT(H333),H333=0),"",IF(OR(S333="ND",T333="ND"),"ND",1/$R333*($H333*$S333*AB333/1000)))</f>
        <v/>
      </c>
      <c r="AD333" s="332">
        <f t="shared" si="53"/>
        <v>0</v>
      </c>
      <c r="AE333" s="40" t="str">
        <f t="shared" ref="AE333:AE390" si="59">IF(AA333&gt;=1,AG333,"")</f>
        <v/>
      </c>
      <c r="AF333" s="40" t="str">
        <f t="shared" ref="AF333:AF390" si="60">IF(AD333&gt;=1,AH333,"")</f>
        <v/>
      </c>
      <c r="AG333" s="561" t="str">
        <f t="shared" si="54"/>
        <v/>
      </c>
      <c r="AH333" s="561" t="str">
        <f t="shared" si="55"/>
        <v/>
      </c>
      <c r="AI333" s="313"/>
    </row>
    <row r="334" spans="1:35" outlineLevel="3" x14ac:dyDescent="0.2">
      <c r="A334" s="39">
        <v>4</v>
      </c>
      <c r="B334" s="23">
        <v>1012020</v>
      </c>
      <c r="C334" s="23" t="s">
        <v>789</v>
      </c>
      <c r="D334" s="300">
        <f>Table22[[#This Row],[Level used for acute calculation]]</f>
        <v>4</v>
      </c>
      <c r="E334" s="302">
        <f>Table22[[#This Row],[MRL individual commodity]]</f>
        <v>0</v>
      </c>
      <c r="F334" s="451">
        <f>Table22[[#This Row],[Acute RA input value]]</f>
        <v>0</v>
      </c>
      <c r="G334" s="301" t="str">
        <f>Table22[[#This Row],[Acute RA label]]</f>
        <v/>
      </c>
      <c r="H334" s="303">
        <f>Table22[[#This Row],[Acute RA IESTI new input value]]</f>
        <v>0</v>
      </c>
      <c r="I334" s="301" t="str">
        <f>Table22[[#This Row],[Acute RA IESTI new label]]</f>
        <v/>
      </c>
      <c r="J334" s="504"/>
      <c r="K334" s="544">
        <f>Table22[[#This Row],[GAP under assessment]]</f>
        <v>0</v>
      </c>
      <c r="L334" s="304" t="str">
        <f>IF(input_values!$M334=0,"",input_values!$M334)</f>
        <v/>
      </c>
      <c r="M334" s="301" t="str">
        <f>IF(input_values!H334=0,"",input_values!H334)</f>
        <v/>
      </c>
      <c r="N334" s="304">
        <f>input_values!$K334</f>
        <v>0</v>
      </c>
      <c r="O334" s="339">
        <v>2.0804597701149428</v>
      </c>
      <c r="P334" s="128">
        <v>97.5</v>
      </c>
      <c r="Q334" s="128" t="s">
        <v>89</v>
      </c>
      <c r="R334" s="338">
        <v>8.6999999999999993</v>
      </c>
      <c r="S334" s="338">
        <f t="shared" si="56"/>
        <v>18.100000000000001</v>
      </c>
      <c r="T334" s="305"/>
      <c r="U334" s="570"/>
      <c r="V334" s="305"/>
      <c r="W334" s="570"/>
      <c r="X334" s="460">
        <f>IF(V334="ND","ND",IF(S334="","",IF(OR(MID(C334,1,4)="milk",AND(MID(B334,1,2)="50",NOT(input_values!M334="Y")),AND(MID(B334,1,2)="40",NOT(input_values!M334="Y")),AND(MID(B334,1,2)="30",NOT(input_values!M334="Y"))),3,IF(OR(V334="&lt;25",B334&gt;1000000),1,IF((T334&gt;=S334),"2b","2a")))))</f>
        <v>1</v>
      </c>
      <c r="Y334" s="128">
        <f>IF(X334="ND","ND",IF(S334="","",IF(input_values!K334&gt;0,input_values!K334,IF(OR(X334=1,X334=3),1,IF((V334&gt;250),5,7)))))</f>
        <v>1</v>
      </c>
      <c r="Z334" s="345" t="str">
        <f t="shared" si="51"/>
        <v/>
      </c>
      <c r="AA334" s="332">
        <f t="shared" si="52"/>
        <v>0</v>
      </c>
      <c r="AB334" s="27">
        <f t="shared" si="57"/>
        <v>1</v>
      </c>
      <c r="AC334" s="345" t="str">
        <f t="shared" si="58"/>
        <v/>
      </c>
      <c r="AD334" s="332">
        <f t="shared" si="53"/>
        <v>0</v>
      </c>
      <c r="AE334" s="40" t="str">
        <f t="shared" si="59"/>
        <v/>
      </c>
      <c r="AF334" s="40" t="str">
        <f t="shared" si="60"/>
        <v/>
      </c>
      <c r="AG334" s="561" t="str">
        <f t="shared" si="54"/>
        <v/>
      </c>
      <c r="AH334" s="561" t="str">
        <f t="shared" si="55"/>
        <v/>
      </c>
      <c r="AI334" s="313"/>
    </row>
    <row r="335" spans="1:35" outlineLevel="3" x14ac:dyDescent="0.2">
      <c r="A335" s="39">
        <v>4</v>
      </c>
      <c r="B335" s="23">
        <v>1012030</v>
      </c>
      <c r="C335" s="23" t="s">
        <v>194</v>
      </c>
      <c r="D335" s="300">
        <f>Table22[[#This Row],[Level used for acute calculation]]</f>
        <v>4</v>
      </c>
      <c r="E335" s="302">
        <f>Table22[[#This Row],[MRL individual commodity]]</f>
        <v>0</v>
      </c>
      <c r="F335" s="451">
        <f>Table22[[#This Row],[Acute RA input value]]</f>
        <v>0</v>
      </c>
      <c r="G335" s="301" t="str">
        <f>Table22[[#This Row],[Acute RA label]]</f>
        <v/>
      </c>
      <c r="H335" s="303">
        <f>Table22[[#This Row],[Acute RA IESTI new input value]]</f>
        <v>0</v>
      </c>
      <c r="I335" s="301" t="str">
        <f>Table22[[#This Row],[Acute RA IESTI new label]]</f>
        <v/>
      </c>
      <c r="J335" s="504"/>
      <c r="K335" s="544">
        <f>Table22[[#This Row],[GAP under assessment]]</f>
        <v>0</v>
      </c>
      <c r="L335" s="304" t="str">
        <f>IF(input_values!$M335=0,"",input_values!$M335)</f>
        <v/>
      </c>
      <c r="M335" s="301" t="str">
        <f>IF(input_values!H335=0,"",input_values!H335)</f>
        <v/>
      </c>
      <c r="N335" s="304">
        <f>input_values!$K335</f>
        <v>0</v>
      </c>
      <c r="O335" s="339">
        <v>8.0689655172413808</v>
      </c>
      <c r="P335" s="128">
        <v>97.5</v>
      </c>
      <c r="Q335" s="128" t="s">
        <v>89</v>
      </c>
      <c r="R335" s="338">
        <v>8.6999999999999993</v>
      </c>
      <c r="S335" s="338">
        <f t="shared" si="56"/>
        <v>70.2</v>
      </c>
      <c r="T335" s="305"/>
      <c r="U335" s="570"/>
      <c r="V335" s="305"/>
      <c r="W335" s="570"/>
      <c r="X335" s="460">
        <f>IF(V335="ND","ND",IF(S335="","",IF(OR(MID(C335,1,4)="milk",AND(MID(B335,1,2)="50",NOT(input_values!M335="Y")),AND(MID(B335,1,2)="40",NOT(input_values!M335="Y")),AND(MID(B335,1,2)="30",NOT(input_values!M335="Y"))),3,IF(OR(V335="&lt;25",B335&gt;1000000),1,IF((T335&gt;=S335),"2b","2a")))))</f>
        <v>1</v>
      </c>
      <c r="Y335" s="128">
        <f>IF(X335="ND","ND",IF(S335="","",IF(input_values!K335&gt;0,input_values!K335,IF(OR(X335=1,X335=3),1,IF((V335&gt;250),5,7)))))</f>
        <v>1</v>
      </c>
      <c r="Z335" s="345" t="str">
        <f t="shared" si="51"/>
        <v/>
      </c>
      <c r="AA335" s="332">
        <f t="shared" si="52"/>
        <v>0</v>
      </c>
      <c r="AB335" s="27">
        <f t="shared" si="57"/>
        <v>1</v>
      </c>
      <c r="AC335" s="345" t="str">
        <f t="shared" si="58"/>
        <v/>
      </c>
      <c r="AD335" s="332">
        <f t="shared" si="53"/>
        <v>0</v>
      </c>
      <c r="AE335" s="40" t="str">
        <f t="shared" si="59"/>
        <v/>
      </c>
      <c r="AF335" s="40" t="str">
        <f t="shared" si="60"/>
        <v/>
      </c>
      <c r="AG335" s="561" t="str">
        <f t="shared" si="54"/>
        <v/>
      </c>
      <c r="AH335" s="561" t="str">
        <f t="shared" si="55"/>
        <v/>
      </c>
      <c r="AI335" s="313"/>
    </row>
    <row r="336" spans="1:35" outlineLevel="3" x14ac:dyDescent="0.2">
      <c r="A336" s="39">
        <v>4</v>
      </c>
      <c r="B336" s="23">
        <v>1012040</v>
      </c>
      <c r="C336" s="23" t="s">
        <v>195</v>
      </c>
      <c r="D336" s="300">
        <f>Table22[[#This Row],[Level used for acute calculation]]</f>
        <v>4</v>
      </c>
      <c r="E336" s="302">
        <f>Table22[[#This Row],[MRL individual commodity]]</f>
        <v>0</v>
      </c>
      <c r="F336" s="451">
        <f>Table22[[#This Row],[Acute RA input value]]</f>
        <v>0</v>
      </c>
      <c r="G336" s="301" t="str">
        <f>Table22[[#This Row],[Acute RA label]]</f>
        <v/>
      </c>
      <c r="H336" s="303">
        <f>Table22[[#This Row],[Acute RA IESTI new input value]]</f>
        <v>0</v>
      </c>
      <c r="I336" s="301" t="str">
        <f>Table22[[#This Row],[Acute RA IESTI new label]]</f>
        <v/>
      </c>
      <c r="J336" s="504"/>
      <c r="K336" s="544">
        <f>Table22[[#This Row],[GAP under assessment]]</f>
        <v>0</v>
      </c>
      <c r="L336" s="304" t="str">
        <f>IF(input_values!$M336=0,"",input_values!$M336)</f>
        <v/>
      </c>
      <c r="M336" s="301" t="str">
        <f>IF(input_values!H336=0,"",input_values!H336)</f>
        <v/>
      </c>
      <c r="N336" s="304">
        <f>input_values!$K336</f>
        <v>0</v>
      </c>
      <c r="O336" s="339">
        <v>3.7655172413793103</v>
      </c>
      <c r="P336" s="128">
        <v>97.5</v>
      </c>
      <c r="Q336" s="128" t="s">
        <v>91</v>
      </c>
      <c r="R336" s="338">
        <v>14.5</v>
      </c>
      <c r="S336" s="338">
        <f t="shared" si="56"/>
        <v>54.6</v>
      </c>
      <c r="T336" s="305"/>
      <c r="U336" s="570"/>
      <c r="V336" s="305"/>
      <c r="W336" s="570"/>
      <c r="X336" s="460">
        <f>IF(V336="ND","ND",IF(S336="","",IF(OR(MID(C336,1,4)="milk",AND(MID(B336,1,2)="50",NOT(input_values!M336="Y")),AND(MID(B336,1,2)="40",NOT(input_values!M336="Y")),AND(MID(B336,1,2)="30",NOT(input_values!M336="Y"))),3,IF(OR(V336="&lt;25",B336&gt;1000000),1,IF((T336&gt;=S336),"2b","2a")))))</f>
        <v>1</v>
      </c>
      <c r="Y336" s="128">
        <f>IF(X336="ND","ND",IF(S336="","",IF(input_values!K336&gt;0,input_values!K336,IF(OR(X336=1,X336=3),1,IF((V336&gt;250),5,7)))))</f>
        <v>1</v>
      </c>
      <c r="Z336" s="345" t="str">
        <f t="shared" si="51"/>
        <v/>
      </c>
      <c r="AA336" s="332">
        <f t="shared" si="52"/>
        <v>0</v>
      </c>
      <c r="AB336" s="27">
        <f t="shared" si="57"/>
        <v>1</v>
      </c>
      <c r="AC336" s="345" t="str">
        <f t="shared" si="58"/>
        <v/>
      </c>
      <c r="AD336" s="332">
        <f t="shared" si="53"/>
        <v>0</v>
      </c>
      <c r="AE336" s="40" t="str">
        <f t="shared" si="59"/>
        <v/>
      </c>
      <c r="AF336" s="40" t="str">
        <f t="shared" si="60"/>
        <v/>
      </c>
      <c r="AG336" s="561" t="str">
        <f t="shared" si="54"/>
        <v/>
      </c>
      <c r="AH336" s="561" t="str">
        <f t="shared" si="55"/>
        <v/>
      </c>
      <c r="AI336" s="313"/>
    </row>
    <row r="337" spans="1:35" ht="24" outlineLevel="3" x14ac:dyDescent="0.2">
      <c r="A337" s="39">
        <v>4</v>
      </c>
      <c r="B337" s="23">
        <v>1012050</v>
      </c>
      <c r="C337" s="23" t="s">
        <v>790</v>
      </c>
      <c r="D337" s="300">
        <f>Table22[[#This Row],[Level used for acute calculation]]</f>
        <v>4</v>
      </c>
      <c r="E337" s="302">
        <f>Table22[[#This Row],[MRL individual commodity]]</f>
        <v>0</v>
      </c>
      <c r="F337" s="451">
        <f>Table22[[#This Row],[Acute RA input value]]</f>
        <v>0</v>
      </c>
      <c r="G337" s="301" t="str">
        <f>Table22[[#This Row],[Acute RA label]]</f>
        <v/>
      </c>
      <c r="H337" s="303">
        <f>Table22[[#This Row],[Acute RA IESTI new input value]]</f>
        <v>0</v>
      </c>
      <c r="I337" s="301" t="str">
        <f>Table22[[#This Row],[Acute RA IESTI new label]]</f>
        <v/>
      </c>
      <c r="J337" s="504"/>
      <c r="K337" s="544">
        <f>Table22[[#This Row],[GAP under assessment]]</f>
        <v>0</v>
      </c>
      <c r="L337" s="304" t="str">
        <f>IF(input_values!$M337=0,"",input_values!$M337)</f>
        <v/>
      </c>
      <c r="M337" s="301" t="str">
        <f>IF(input_values!H337=0,"",input_values!H337)</f>
        <v/>
      </c>
      <c r="N337" s="304">
        <f>input_values!$K337</f>
        <v>0</v>
      </c>
      <c r="O337" s="339">
        <v>7.2758620689655178</v>
      </c>
      <c r="P337" s="128">
        <v>97.5</v>
      </c>
      <c r="Q337" s="128" t="s">
        <v>89</v>
      </c>
      <c r="R337" s="338">
        <v>8.6999999999999993</v>
      </c>
      <c r="S337" s="338">
        <f t="shared" si="56"/>
        <v>63.3</v>
      </c>
      <c r="T337" s="305"/>
      <c r="U337" s="570"/>
      <c r="V337" s="305"/>
      <c r="W337" s="570"/>
      <c r="X337" s="460">
        <f>IF(V337="ND","ND",IF(S337="","",IF(OR(MID(C337,1,4)="milk",AND(MID(B337,1,2)="50",NOT(input_values!M337="Y")),AND(MID(B337,1,2)="40",NOT(input_values!M337="Y")),AND(MID(B337,1,2)="30",NOT(input_values!M337="Y"))),3,IF(OR(V337="&lt;25",B337&gt;1000000),1,IF((T337&gt;=S337),"2b","2a")))))</f>
        <v>1</v>
      </c>
      <c r="Y337" s="128">
        <f>IF(X337="ND","ND",IF(S337="","",IF(input_values!K337&gt;0,input_values!K337,IF(OR(X337=1,X337=3),1,IF((V337&gt;250),5,7)))))</f>
        <v>1</v>
      </c>
      <c r="Z337" s="345" t="str">
        <f t="shared" si="51"/>
        <v/>
      </c>
      <c r="AA337" s="332">
        <f t="shared" si="52"/>
        <v>0</v>
      </c>
      <c r="AB337" s="27">
        <f t="shared" si="57"/>
        <v>1</v>
      </c>
      <c r="AC337" s="345" t="str">
        <f t="shared" si="58"/>
        <v/>
      </c>
      <c r="AD337" s="332">
        <f t="shared" si="53"/>
        <v>0</v>
      </c>
      <c r="AE337" s="40" t="str">
        <f t="shared" si="59"/>
        <v/>
      </c>
      <c r="AF337" s="40" t="str">
        <f t="shared" si="60"/>
        <v/>
      </c>
      <c r="AG337" s="561" t="str">
        <f t="shared" si="54"/>
        <v/>
      </c>
      <c r="AH337" s="561" t="str">
        <f t="shared" si="55"/>
        <v/>
      </c>
      <c r="AI337" s="313"/>
    </row>
    <row r="338" spans="1:35" outlineLevel="3" x14ac:dyDescent="0.2">
      <c r="A338" s="39">
        <v>4</v>
      </c>
      <c r="B338" s="23">
        <v>1012990</v>
      </c>
      <c r="C338" s="23" t="s">
        <v>635</v>
      </c>
      <c r="D338" s="300">
        <f>Table22[[#This Row],[Level used for acute calculation]]</f>
        <v>4</v>
      </c>
      <c r="E338" s="302">
        <f>Table22[[#This Row],[MRL individual commodity]]</f>
        <v>0</v>
      </c>
      <c r="F338" s="451">
        <f>Table22[[#This Row],[Acute RA input value]]</f>
        <v>0</v>
      </c>
      <c r="G338" s="301" t="str">
        <f>Table22[[#This Row],[Acute RA label]]</f>
        <v/>
      </c>
      <c r="H338" s="303">
        <f>Table22[[#This Row],[Acute RA IESTI new input value]]</f>
        <v>0</v>
      </c>
      <c r="I338" s="301" t="str">
        <f>Table22[[#This Row],[Acute RA IESTI new label]]</f>
        <v/>
      </c>
      <c r="J338" s="504"/>
      <c r="K338" s="544">
        <f>Table22[[#This Row],[GAP under assessment]]</f>
        <v>0</v>
      </c>
      <c r="L338" s="304" t="str">
        <f>IF(input_values!$M338=0,"",input_values!$M338)</f>
        <v/>
      </c>
      <c r="M338" s="301" t="str">
        <f>IF(input_values!H338=0,"",input_values!H338)</f>
        <v/>
      </c>
      <c r="N338" s="304">
        <f>input_values!$K338</f>
        <v>0</v>
      </c>
      <c r="O338" s="309"/>
      <c r="P338" s="38"/>
      <c r="Q338" s="38"/>
      <c r="R338" s="335"/>
      <c r="S338" s="336" t="str">
        <f t="shared" si="56"/>
        <v/>
      </c>
      <c r="T338" s="305"/>
      <c r="U338" s="570"/>
      <c r="V338" s="305"/>
      <c r="W338" s="570"/>
      <c r="X338" s="611" t="str">
        <f>IF(V338="ND","ND",IF(S338="","",IF(OR(MID(C338,1,4)="milk",AND(MID(B338,1,2)="50",NOT(input_values!M338="Y")),AND(MID(B338,1,2)="40",NOT(input_values!M338="Y")),AND(MID(B338,1,2)="30",NOT(input_values!M338="Y"))),3,IF(OR(V338="&lt;25",B338&gt;1000000),1,IF((T338&gt;=S338),"2b","2a")))))</f>
        <v/>
      </c>
      <c r="Y338" s="38" t="str">
        <f>IF(X338="ND","ND",IF(S338="","",IF(input_values!K338&gt;0,input_values!K338,IF(OR(X338=1,X338=3),1,IF((V338&gt;250),5,7)))))</f>
        <v/>
      </c>
      <c r="Z338" s="335"/>
      <c r="AA338" s="311">
        <f t="shared" si="52"/>
        <v>0</v>
      </c>
      <c r="AB338" s="38"/>
      <c r="AC338" s="335"/>
      <c r="AD338" s="311">
        <f t="shared" si="53"/>
        <v>0</v>
      </c>
      <c r="AE338" s="344"/>
      <c r="AF338" s="344"/>
      <c r="AG338" s="561" t="str">
        <f t="shared" si="54"/>
        <v/>
      </c>
      <c r="AH338" s="561" t="str">
        <f t="shared" si="55"/>
        <v/>
      </c>
      <c r="AI338" s="313"/>
    </row>
    <row r="339" spans="1:35" outlineLevel="2" x14ac:dyDescent="0.2">
      <c r="A339" s="133">
        <v>3</v>
      </c>
      <c r="B339" s="5">
        <v>1013000</v>
      </c>
      <c r="C339" s="5" t="s">
        <v>264</v>
      </c>
      <c r="D339" s="300">
        <f>Table22[[#This Row],[Level used for acute calculation]]</f>
        <v>4</v>
      </c>
      <c r="E339" s="302">
        <f>Table22[[#This Row],[MRL individual commodity]]</f>
        <v>0</v>
      </c>
      <c r="F339" s="451">
        <f>Table22[[#This Row],[Acute RA input value]]</f>
        <v>0</v>
      </c>
      <c r="G339" s="301">
        <f>Table22[[#This Row],[Acute RA label]]</f>
        <v>0</v>
      </c>
      <c r="H339" s="303">
        <f>Table22[[#This Row],[Acute RA IESTI new input value]]</f>
        <v>0</v>
      </c>
      <c r="I339" s="301">
        <f>Table22[[#This Row],[Acute RA IESTI new label]]</f>
        <v>0</v>
      </c>
      <c r="J339" s="504"/>
      <c r="K339" s="544">
        <f>Table22[[#This Row],[GAP under assessment]]</f>
        <v>0</v>
      </c>
      <c r="L339" s="304" t="str">
        <f>IF(input_values!$M339=0,"",input_values!$M339)</f>
        <v/>
      </c>
      <c r="M339" s="301" t="str">
        <f>IF(input_values!H339=0,"",input_values!H339)</f>
        <v/>
      </c>
      <c r="N339" s="304">
        <f>input_values!$K339</f>
        <v>0</v>
      </c>
      <c r="O339" s="309"/>
      <c r="P339" s="38"/>
      <c r="Q339" s="38"/>
      <c r="R339" s="335"/>
      <c r="S339" s="336" t="str">
        <f t="shared" si="56"/>
        <v/>
      </c>
      <c r="T339" s="305"/>
      <c r="U339" s="570"/>
      <c r="V339" s="305"/>
      <c r="W339" s="570"/>
      <c r="X339" s="611" t="str">
        <f>IF(V339="ND","ND",IF(S339="","",IF(OR(MID(C339,1,4)="milk",AND(MID(B339,1,2)="50",NOT(input_values!M339="Y")),AND(MID(B339,1,2)="40",NOT(input_values!M339="Y")),AND(MID(B339,1,2)="30",NOT(input_values!M339="Y"))),3,IF(OR(V339="&lt;25",B339&gt;1000000),1,IF((T339&gt;=S339),"2b","2a")))))</f>
        <v/>
      </c>
      <c r="Y339" s="38" t="str">
        <f>IF(X339="ND","ND",IF(S339="","",IF(input_values!K339&gt;0,input_values!K339,IF(OR(X339=1,X339=3),1,IF((V339&gt;250),5,7)))))</f>
        <v/>
      </c>
      <c r="Z339" s="335" t="str">
        <f t="shared" si="51"/>
        <v/>
      </c>
      <c r="AA339" s="311">
        <f t="shared" si="52"/>
        <v>0</v>
      </c>
      <c r="AB339" s="38" t="str">
        <f t="shared" si="57"/>
        <v/>
      </c>
      <c r="AC339" s="335" t="str">
        <f t="shared" si="58"/>
        <v/>
      </c>
      <c r="AD339" s="311">
        <f t="shared" si="53"/>
        <v>0</v>
      </c>
      <c r="AE339" s="344" t="str">
        <f t="shared" si="59"/>
        <v/>
      </c>
      <c r="AF339" s="344" t="str">
        <f t="shared" si="60"/>
        <v/>
      </c>
      <c r="AG339" s="561" t="str">
        <f t="shared" si="54"/>
        <v/>
      </c>
      <c r="AH339" s="561" t="str">
        <f t="shared" si="55"/>
        <v/>
      </c>
      <c r="AI339" s="313"/>
    </row>
    <row r="340" spans="1:35" outlineLevel="3" x14ac:dyDescent="0.2">
      <c r="A340" s="39">
        <v>4</v>
      </c>
      <c r="B340" s="23">
        <v>1013010</v>
      </c>
      <c r="C340" s="23" t="s">
        <v>864</v>
      </c>
      <c r="D340" s="300">
        <f>Table22[[#This Row],[Level used for acute calculation]]</f>
        <v>4</v>
      </c>
      <c r="E340" s="302">
        <f>Table22[[#This Row],[MRL individual commodity]]</f>
        <v>0</v>
      </c>
      <c r="F340" s="451">
        <f>Table22[[#This Row],[Acute RA input value]]</f>
        <v>0</v>
      </c>
      <c r="G340" s="301" t="str">
        <f>Table22[[#This Row],[Acute RA label]]</f>
        <v/>
      </c>
      <c r="H340" s="303">
        <f>Table22[[#This Row],[Acute RA IESTI new input value]]</f>
        <v>0</v>
      </c>
      <c r="I340" s="301" t="str">
        <f>Table22[[#This Row],[Acute RA IESTI new label]]</f>
        <v/>
      </c>
      <c r="J340" s="504"/>
      <c r="K340" s="544">
        <f>Table22[[#This Row],[GAP under assessment]]</f>
        <v>0</v>
      </c>
      <c r="L340" s="304" t="str">
        <f>IF(input_values!$M340=0,"",input_values!$M340)</f>
        <v/>
      </c>
      <c r="M340" s="301" t="str">
        <f>IF(input_values!H340=0,"",input_values!H340)</f>
        <v/>
      </c>
      <c r="N340" s="304">
        <f>input_values!$K340</f>
        <v>0</v>
      </c>
      <c r="O340" s="339">
        <v>5.4349999999999996</v>
      </c>
      <c r="P340" s="128" t="s">
        <v>331</v>
      </c>
      <c r="Q340" s="128" t="s">
        <v>259</v>
      </c>
      <c r="R340" s="338">
        <v>18.399999999999999</v>
      </c>
      <c r="S340" s="338">
        <f t="shared" si="56"/>
        <v>100.00399999999999</v>
      </c>
      <c r="T340" s="305"/>
      <c r="U340" s="570"/>
      <c r="V340" s="305"/>
      <c r="W340" s="570"/>
      <c r="X340" s="460">
        <f>IF(V340="ND","ND",IF(S340="","",IF(OR(MID(C340,1,4)="milk",AND(MID(B340,1,2)="50",NOT(input_values!M340="Y")),AND(MID(B340,1,2)="40",NOT(input_values!M340="Y")),AND(MID(B340,1,2)="30",NOT(input_values!M340="Y"))),3,IF(OR(V340="&lt;25",B340&gt;1000000),1,IF((T340&gt;=S340),"2b","2a")))))</f>
        <v>1</v>
      </c>
      <c r="Y340" s="128">
        <f>IF(X340="ND","ND",IF(S340="","",IF(input_values!K340&gt;0,input_values!K340,IF(OR(X340=1,X340=3),1,IF((V340&gt;250),5,7)))))</f>
        <v>1</v>
      </c>
      <c r="Z340" s="345" t="str">
        <f t="shared" si="51"/>
        <v/>
      </c>
      <c r="AA340" s="332">
        <f t="shared" si="52"/>
        <v>0</v>
      </c>
      <c r="AB340" s="27">
        <f t="shared" si="57"/>
        <v>1</v>
      </c>
      <c r="AC340" s="345" t="str">
        <f t="shared" si="58"/>
        <v/>
      </c>
      <c r="AD340" s="332">
        <f t="shared" si="53"/>
        <v>0</v>
      </c>
      <c r="AE340" s="40" t="str">
        <f t="shared" si="59"/>
        <v/>
      </c>
      <c r="AF340" s="40" t="str">
        <f t="shared" si="60"/>
        <v/>
      </c>
      <c r="AG340" s="561" t="str">
        <f t="shared" si="54"/>
        <v/>
      </c>
      <c r="AH340" s="561" t="str">
        <f t="shared" si="55"/>
        <v/>
      </c>
      <c r="AI340" s="313"/>
    </row>
    <row r="341" spans="1:35" outlineLevel="3" x14ac:dyDescent="0.2">
      <c r="A341" s="39">
        <v>4</v>
      </c>
      <c r="B341" s="23">
        <v>1013020</v>
      </c>
      <c r="C341" s="23" t="s">
        <v>791</v>
      </c>
      <c r="D341" s="300">
        <f>Table22[[#This Row],[Level used for acute calculation]]</f>
        <v>4</v>
      </c>
      <c r="E341" s="302">
        <f>Table22[[#This Row],[MRL individual commodity]]</f>
        <v>0</v>
      </c>
      <c r="F341" s="451">
        <f>Table22[[#This Row],[Acute RA input value]]</f>
        <v>0</v>
      </c>
      <c r="G341" s="301" t="str">
        <f>Table22[[#This Row],[Acute RA label]]</f>
        <v/>
      </c>
      <c r="H341" s="303">
        <f>Table22[[#This Row],[Acute RA IESTI new input value]]</f>
        <v>0</v>
      </c>
      <c r="I341" s="301" t="str">
        <f>Table22[[#This Row],[Acute RA IESTI new label]]</f>
        <v/>
      </c>
      <c r="J341" s="504"/>
      <c r="K341" s="544">
        <f>Table22[[#This Row],[GAP under assessment]]</f>
        <v>0</v>
      </c>
      <c r="L341" s="304" t="str">
        <f>IF(input_values!$M341=0,"",input_values!$M341)</f>
        <v/>
      </c>
      <c r="M341" s="301" t="str">
        <f>IF(input_values!H341=0,"",input_values!H341)</f>
        <v/>
      </c>
      <c r="N341" s="304">
        <f>input_values!$K341</f>
        <v>0</v>
      </c>
      <c r="O341" s="338" t="s">
        <v>618</v>
      </c>
      <c r="P341" s="128"/>
      <c r="Q341" s="128"/>
      <c r="R341" s="338"/>
      <c r="S341" s="338" t="str">
        <f t="shared" si="56"/>
        <v>ND</v>
      </c>
      <c r="T341" s="305"/>
      <c r="U341" s="570"/>
      <c r="V341" s="305"/>
      <c r="W341" s="570"/>
      <c r="X341" s="460">
        <f>IF(V341="ND","ND",IF(S341="","",IF(OR(MID(C341,1,4)="milk",AND(MID(B341,1,2)="50",NOT(input_values!M341="Y")),AND(MID(B341,1,2)="40",NOT(input_values!M341="Y")),AND(MID(B341,1,2)="30",NOT(input_values!M341="Y"))),3,IF(OR(V341="&lt;25",B341&gt;1000000),1,IF((T341&gt;=S341),"2b","2a")))))</f>
        <v>1</v>
      </c>
      <c r="Y341" s="128">
        <f>IF(X341="ND","ND",IF(S341="","",IF(input_values!K341&gt;0,input_values!K341,IF(OR(X341=1,X341=3),1,IF((V341&gt;250),5,7)))))</f>
        <v>1</v>
      </c>
      <c r="Z341" s="340" t="str">
        <f t="shared" si="51"/>
        <v/>
      </c>
      <c r="AA341" s="332">
        <f t="shared" si="52"/>
        <v>0</v>
      </c>
      <c r="AB341" s="27">
        <f t="shared" si="57"/>
        <v>1</v>
      </c>
      <c r="AC341" s="340" t="str">
        <f t="shared" si="58"/>
        <v/>
      </c>
      <c r="AD341" s="332">
        <f t="shared" si="53"/>
        <v>0</v>
      </c>
      <c r="AE341" s="37" t="str">
        <f t="shared" si="59"/>
        <v/>
      </c>
      <c r="AF341" s="37" t="str">
        <f t="shared" si="60"/>
        <v/>
      </c>
      <c r="AG341" s="561" t="str">
        <f t="shared" si="54"/>
        <v/>
      </c>
      <c r="AH341" s="561" t="str">
        <f t="shared" si="55"/>
        <v/>
      </c>
      <c r="AI341" s="313"/>
    </row>
    <row r="342" spans="1:35" outlineLevel="3" x14ac:dyDescent="0.2">
      <c r="A342" s="39">
        <v>4</v>
      </c>
      <c r="B342" s="23">
        <v>1013030</v>
      </c>
      <c r="C342" s="23" t="s">
        <v>196</v>
      </c>
      <c r="D342" s="300">
        <f>Table22[[#This Row],[Level used for acute calculation]]</f>
        <v>4</v>
      </c>
      <c r="E342" s="302">
        <f>Table22[[#This Row],[MRL individual commodity]]</f>
        <v>0</v>
      </c>
      <c r="F342" s="451">
        <f>Table22[[#This Row],[Acute RA input value]]</f>
        <v>0</v>
      </c>
      <c r="G342" s="301" t="str">
        <f>Table22[[#This Row],[Acute RA label]]</f>
        <v/>
      </c>
      <c r="H342" s="303">
        <f>Table22[[#This Row],[Acute RA IESTI new input value]]</f>
        <v>0</v>
      </c>
      <c r="I342" s="301" t="str">
        <f>Table22[[#This Row],[Acute RA IESTI new label]]</f>
        <v/>
      </c>
      <c r="J342" s="504"/>
      <c r="K342" s="544">
        <f>Table22[[#This Row],[GAP under assessment]]</f>
        <v>0</v>
      </c>
      <c r="L342" s="304" t="str">
        <f>IF(input_values!$M342=0,"",input_values!$M342)</f>
        <v/>
      </c>
      <c r="M342" s="301" t="str">
        <f>IF(input_values!H342=0,"",input_values!H342)</f>
        <v/>
      </c>
      <c r="N342" s="304">
        <f>input_values!$K342</f>
        <v>0</v>
      </c>
      <c r="O342" s="338" t="s">
        <v>618</v>
      </c>
      <c r="P342" s="128"/>
      <c r="Q342" s="128"/>
      <c r="R342" s="338"/>
      <c r="S342" s="338" t="str">
        <f t="shared" si="56"/>
        <v>ND</v>
      </c>
      <c r="T342" s="305"/>
      <c r="U342" s="570"/>
      <c r="V342" s="305"/>
      <c r="W342" s="570"/>
      <c r="X342" s="460">
        <f>IF(V342="ND","ND",IF(S342="","",IF(OR(MID(C342,1,4)="milk",AND(MID(B342,1,2)="50",NOT(input_values!M342="Y")),AND(MID(B342,1,2)="40",NOT(input_values!M342="Y")),AND(MID(B342,1,2)="30",NOT(input_values!M342="Y"))),3,IF(OR(V342="&lt;25",B342&gt;1000000),1,IF((T342&gt;=S342),"2b","2a")))))</f>
        <v>1</v>
      </c>
      <c r="Y342" s="128">
        <f>IF(X342="ND","ND",IF(S342="","",IF(input_values!K342&gt;0,input_values!K342,IF(OR(X342=1,X342=3),1,IF((V342&gt;250),5,7)))))</f>
        <v>1</v>
      </c>
      <c r="Z342" s="340" t="str">
        <f t="shared" si="51"/>
        <v/>
      </c>
      <c r="AA342" s="332">
        <f t="shared" si="52"/>
        <v>0</v>
      </c>
      <c r="AB342" s="27">
        <f t="shared" si="57"/>
        <v>1</v>
      </c>
      <c r="AC342" s="340" t="str">
        <f t="shared" si="58"/>
        <v/>
      </c>
      <c r="AD342" s="332">
        <f t="shared" si="53"/>
        <v>0</v>
      </c>
      <c r="AE342" s="37" t="str">
        <f t="shared" si="59"/>
        <v/>
      </c>
      <c r="AF342" s="37" t="str">
        <f t="shared" si="60"/>
        <v/>
      </c>
      <c r="AG342" s="561" t="str">
        <f t="shared" si="54"/>
        <v/>
      </c>
      <c r="AH342" s="561" t="str">
        <f t="shared" si="55"/>
        <v/>
      </c>
      <c r="AI342" s="313"/>
    </row>
    <row r="343" spans="1:35" outlineLevel="3" x14ac:dyDescent="0.2">
      <c r="A343" s="39">
        <v>4</v>
      </c>
      <c r="B343" s="23">
        <v>1013040</v>
      </c>
      <c r="C343" s="23" t="s">
        <v>197</v>
      </c>
      <c r="D343" s="300">
        <f>Table22[[#This Row],[Level used for acute calculation]]</f>
        <v>4</v>
      </c>
      <c r="E343" s="302">
        <f>Table22[[#This Row],[MRL individual commodity]]</f>
        <v>0</v>
      </c>
      <c r="F343" s="451">
        <f>Table22[[#This Row],[Acute RA input value]]</f>
        <v>0</v>
      </c>
      <c r="G343" s="301" t="str">
        <f>Table22[[#This Row],[Acute RA label]]</f>
        <v/>
      </c>
      <c r="H343" s="303">
        <f>Table22[[#This Row],[Acute RA IESTI new input value]]</f>
        <v>0</v>
      </c>
      <c r="I343" s="301" t="str">
        <f>Table22[[#This Row],[Acute RA IESTI new label]]</f>
        <v/>
      </c>
      <c r="J343" s="504"/>
      <c r="K343" s="544">
        <f>Table22[[#This Row],[GAP under assessment]]</f>
        <v>0</v>
      </c>
      <c r="L343" s="304" t="str">
        <f>IF(input_values!$M343=0,"",input_values!$M343)</f>
        <v/>
      </c>
      <c r="M343" s="301" t="str">
        <f>IF(input_values!H343=0,"",input_values!H343)</f>
        <v/>
      </c>
      <c r="N343" s="304">
        <f>input_values!$K343</f>
        <v>0</v>
      </c>
      <c r="O343" s="338" t="s">
        <v>618</v>
      </c>
      <c r="P343" s="128"/>
      <c r="Q343" s="128"/>
      <c r="R343" s="338"/>
      <c r="S343" s="338" t="str">
        <f t="shared" si="56"/>
        <v>ND</v>
      </c>
      <c r="T343" s="305"/>
      <c r="U343" s="570"/>
      <c r="V343" s="305"/>
      <c r="W343" s="570"/>
      <c r="X343" s="460">
        <f>IF(V343="ND","ND",IF(S343="","",IF(OR(MID(C343,1,4)="milk",AND(MID(B343,1,2)="50",NOT(input_values!M343="Y")),AND(MID(B343,1,2)="40",NOT(input_values!M343="Y")),AND(MID(B343,1,2)="30",NOT(input_values!M343="Y"))),3,IF(OR(V343="&lt;25",B343&gt;1000000),1,IF((T343&gt;=S343),"2b","2a")))))</f>
        <v>1</v>
      </c>
      <c r="Y343" s="128">
        <f>IF(X343="ND","ND",IF(S343="","",IF(input_values!K343&gt;0,input_values!K343,IF(OR(X343=1,X343=3),1,IF((V343&gt;250),5,7)))))</f>
        <v>1</v>
      </c>
      <c r="Z343" s="340" t="str">
        <f t="shared" si="51"/>
        <v/>
      </c>
      <c r="AA343" s="332">
        <f t="shared" si="52"/>
        <v>0</v>
      </c>
      <c r="AB343" s="27">
        <f t="shared" si="57"/>
        <v>1</v>
      </c>
      <c r="AC343" s="340" t="str">
        <f t="shared" si="58"/>
        <v/>
      </c>
      <c r="AD343" s="332">
        <f t="shared" si="53"/>
        <v>0</v>
      </c>
      <c r="AE343" s="37" t="str">
        <f t="shared" si="59"/>
        <v/>
      </c>
      <c r="AF343" s="37" t="str">
        <f t="shared" si="60"/>
        <v/>
      </c>
      <c r="AG343" s="561" t="str">
        <f t="shared" si="54"/>
        <v/>
      </c>
      <c r="AH343" s="561" t="str">
        <f t="shared" si="55"/>
        <v/>
      </c>
      <c r="AI343" s="313"/>
    </row>
    <row r="344" spans="1:35" ht="24" outlineLevel="3" x14ac:dyDescent="0.2">
      <c r="A344" s="39">
        <v>4</v>
      </c>
      <c r="B344" s="23">
        <v>1013050</v>
      </c>
      <c r="C344" s="23" t="s">
        <v>794</v>
      </c>
      <c r="D344" s="300">
        <f>Table22[[#This Row],[Level used for acute calculation]]</f>
        <v>4</v>
      </c>
      <c r="E344" s="302">
        <f>Table22[[#This Row],[MRL individual commodity]]</f>
        <v>0</v>
      </c>
      <c r="F344" s="451">
        <f>Table22[[#This Row],[Acute RA input value]]</f>
        <v>0</v>
      </c>
      <c r="G344" s="301" t="str">
        <f>Table22[[#This Row],[Acute RA label]]</f>
        <v/>
      </c>
      <c r="H344" s="303">
        <f>Table22[[#This Row],[Acute RA IESTI new input value]]</f>
        <v>0</v>
      </c>
      <c r="I344" s="301" t="str">
        <f>Table22[[#This Row],[Acute RA IESTI new label]]</f>
        <v/>
      </c>
      <c r="J344" s="504"/>
      <c r="K344" s="544">
        <f>Table22[[#This Row],[GAP under assessment]]</f>
        <v>0</v>
      </c>
      <c r="L344" s="304" t="str">
        <f>IF(input_values!$M344=0,"",input_values!$M344)</f>
        <v/>
      </c>
      <c r="M344" s="301" t="str">
        <f>IF(input_values!H344=0,"",input_values!H344)</f>
        <v/>
      </c>
      <c r="N344" s="304">
        <f>input_values!$K344</f>
        <v>0</v>
      </c>
      <c r="O344" s="338" t="s">
        <v>618</v>
      </c>
      <c r="P344" s="128"/>
      <c r="Q344" s="128"/>
      <c r="R344" s="338"/>
      <c r="S344" s="338" t="str">
        <f t="shared" si="56"/>
        <v>ND</v>
      </c>
      <c r="T344" s="305"/>
      <c r="U344" s="570"/>
      <c r="V344" s="305"/>
      <c r="W344" s="570"/>
      <c r="X344" s="460">
        <f>IF(V344="ND","ND",IF(S344="","",IF(OR(MID(C344,1,4)="milk",AND(MID(B344,1,2)="50",NOT(input_values!M344="Y")),AND(MID(B344,1,2)="40",NOT(input_values!M344="Y")),AND(MID(B344,1,2)="30",NOT(input_values!M344="Y"))),3,IF(OR(V344="&lt;25",B344&gt;1000000),1,IF((T344&gt;=S344),"2b","2a")))))</f>
        <v>1</v>
      </c>
      <c r="Y344" s="128">
        <f>IF(X344="ND","ND",IF(S344="","",IF(input_values!K344&gt;0,input_values!K344,IF(OR(X344=1,X344=3),1,IF((V344&gt;250),5,7)))))</f>
        <v>1</v>
      </c>
      <c r="Z344" s="340" t="str">
        <f t="shared" si="51"/>
        <v/>
      </c>
      <c r="AA344" s="332">
        <f t="shared" si="52"/>
        <v>0</v>
      </c>
      <c r="AB344" s="27">
        <f t="shared" si="57"/>
        <v>1</v>
      </c>
      <c r="AC344" s="340" t="str">
        <f t="shared" si="58"/>
        <v/>
      </c>
      <c r="AD344" s="332">
        <f t="shared" si="53"/>
        <v>0</v>
      </c>
      <c r="AE344" s="37" t="str">
        <f t="shared" si="59"/>
        <v/>
      </c>
      <c r="AF344" s="37" t="str">
        <f t="shared" si="60"/>
        <v/>
      </c>
      <c r="AG344" s="561" t="str">
        <f t="shared" si="54"/>
        <v/>
      </c>
      <c r="AH344" s="561" t="str">
        <f t="shared" si="55"/>
        <v/>
      </c>
      <c r="AI344" s="313"/>
    </row>
    <row r="345" spans="1:35" outlineLevel="3" x14ac:dyDescent="0.2">
      <c r="A345" s="39">
        <v>4</v>
      </c>
      <c r="B345" s="23">
        <v>1013990</v>
      </c>
      <c r="C345" s="23" t="s">
        <v>636</v>
      </c>
      <c r="D345" s="300">
        <f>Table22[[#This Row],[Level used for acute calculation]]</f>
        <v>0</v>
      </c>
      <c r="E345" s="302">
        <f>Table22[[#This Row],[MRL individual commodity]]</f>
        <v>0</v>
      </c>
      <c r="F345" s="451">
        <f>Table22[[#This Row],[Acute RA input value]]</f>
        <v>0</v>
      </c>
      <c r="G345" s="301">
        <f>Table22[[#This Row],[Acute RA label]]</f>
        <v>0</v>
      </c>
      <c r="H345" s="303">
        <f>Table22[[#This Row],[Acute RA IESTI new input value]]</f>
        <v>0</v>
      </c>
      <c r="I345" s="301">
        <f>Table22[[#This Row],[Acute RA IESTI new label]]</f>
        <v>0</v>
      </c>
      <c r="J345" s="504"/>
      <c r="K345" s="544">
        <f>Table22[[#This Row],[GAP under assessment]]</f>
        <v>0</v>
      </c>
      <c r="L345" s="304" t="str">
        <f>IF(input_values!$M345=0,"",input_values!$M345)</f>
        <v/>
      </c>
      <c r="M345" s="301" t="str">
        <f>IF(input_values!H345=0,"",input_values!H345)</f>
        <v/>
      </c>
      <c r="N345" s="304">
        <f>input_values!$K345</f>
        <v>0</v>
      </c>
      <c r="O345" s="309"/>
      <c r="P345" s="38"/>
      <c r="Q345" s="38"/>
      <c r="R345" s="335"/>
      <c r="S345" s="336" t="str">
        <f t="shared" si="56"/>
        <v/>
      </c>
      <c r="T345" s="305"/>
      <c r="U345" s="570"/>
      <c r="V345" s="305"/>
      <c r="W345" s="570"/>
      <c r="X345" s="611" t="str">
        <f>IF(V345="ND","ND",IF(S345="","",IF(OR(MID(C345,1,4)="milk",AND(MID(B345,1,2)="50",NOT(input_values!M345="Y")),AND(MID(B345,1,2)="40",NOT(input_values!M345="Y")),AND(MID(B345,1,2)="30",NOT(input_values!M345="Y"))),3,IF(OR(V345="&lt;25",B345&gt;1000000),1,IF((T345&gt;=S345),"2b","2a")))))</f>
        <v/>
      </c>
      <c r="Y345" s="38" t="str">
        <f>IF(X345="ND","ND",IF(S345="","",IF(input_values!K345&gt;0,input_values!K345,IF(OR(X345=1,X345=3),1,IF((V345&gt;250),5,7)))))</f>
        <v/>
      </c>
      <c r="Z345" s="335" t="str">
        <f t="shared" si="51"/>
        <v/>
      </c>
      <c r="AA345" s="311">
        <f t="shared" si="52"/>
        <v>0</v>
      </c>
      <c r="AB345" s="38" t="str">
        <f t="shared" si="57"/>
        <v/>
      </c>
      <c r="AC345" s="335" t="str">
        <f t="shared" si="58"/>
        <v/>
      </c>
      <c r="AD345" s="311">
        <f t="shared" si="53"/>
        <v>0</v>
      </c>
      <c r="AE345" s="344" t="str">
        <f t="shared" si="59"/>
        <v/>
      </c>
      <c r="AF345" s="344" t="str">
        <f t="shared" si="60"/>
        <v/>
      </c>
      <c r="AG345" s="561" t="str">
        <f t="shared" si="54"/>
        <v/>
      </c>
      <c r="AH345" s="561" t="str">
        <f t="shared" si="55"/>
        <v/>
      </c>
      <c r="AI345" s="313"/>
    </row>
    <row r="346" spans="1:35" outlineLevel="2" x14ac:dyDescent="0.2">
      <c r="A346" s="133">
        <v>3</v>
      </c>
      <c r="B346" s="5">
        <v>1014000</v>
      </c>
      <c r="C346" s="5" t="s">
        <v>198</v>
      </c>
      <c r="D346" s="300">
        <f>Table22[[#This Row],[Level used for acute calculation]]</f>
        <v>4</v>
      </c>
      <c r="E346" s="302">
        <f>Table22[[#This Row],[MRL individual commodity]]</f>
        <v>0</v>
      </c>
      <c r="F346" s="451">
        <f>Table22[[#This Row],[Acute RA input value]]</f>
        <v>0</v>
      </c>
      <c r="G346" s="301">
        <f>Table22[[#This Row],[Acute RA label]]</f>
        <v>0</v>
      </c>
      <c r="H346" s="303">
        <f>Table22[[#This Row],[Acute RA IESTI new input value]]</f>
        <v>0</v>
      </c>
      <c r="I346" s="301">
        <f>Table22[[#This Row],[Acute RA IESTI new label]]</f>
        <v>0</v>
      </c>
      <c r="J346" s="504"/>
      <c r="K346" s="544">
        <f>Table22[[#This Row],[GAP under assessment]]</f>
        <v>0</v>
      </c>
      <c r="L346" s="304" t="str">
        <f>IF(input_values!$M346=0,"",input_values!$M346)</f>
        <v/>
      </c>
      <c r="M346" s="301" t="str">
        <f>IF(input_values!H346=0,"",input_values!H346)</f>
        <v/>
      </c>
      <c r="N346" s="304">
        <f>input_values!$K346</f>
        <v>0</v>
      </c>
      <c r="O346" s="309"/>
      <c r="P346" s="38"/>
      <c r="Q346" s="38"/>
      <c r="R346" s="335"/>
      <c r="S346" s="336" t="str">
        <f t="shared" si="56"/>
        <v/>
      </c>
      <c r="T346" s="305"/>
      <c r="U346" s="570"/>
      <c r="V346" s="305"/>
      <c r="W346" s="570"/>
      <c r="X346" s="611" t="str">
        <f>IF(V346="ND","ND",IF(S346="","",IF(OR(MID(C346,1,4)="milk",AND(MID(B346,1,2)="50",NOT(input_values!M346="Y")),AND(MID(B346,1,2)="40",NOT(input_values!M346="Y")),AND(MID(B346,1,2)="30",NOT(input_values!M346="Y"))),3,IF(OR(V346="&lt;25",B346&gt;1000000),1,IF((T346&gt;=S346),"2b","2a")))))</f>
        <v/>
      </c>
      <c r="Y346" s="38" t="str">
        <f>IF(X346="ND","ND",IF(S346="","",IF(input_values!K346&gt;0,input_values!K346,IF(OR(X346=1,X346=3),1,IF((V346&gt;250),5,7)))))</f>
        <v/>
      </c>
      <c r="Z346" s="335" t="str">
        <f t="shared" si="51"/>
        <v/>
      </c>
      <c r="AA346" s="311">
        <f t="shared" si="52"/>
        <v>0</v>
      </c>
      <c r="AB346" s="38" t="str">
        <f t="shared" si="57"/>
        <v/>
      </c>
      <c r="AC346" s="335" t="str">
        <f t="shared" si="58"/>
        <v/>
      </c>
      <c r="AD346" s="311">
        <f t="shared" si="53"/>
        <v>0</v>
      </c>
      <c r="AE346" s="344" t="str">
        <f t="shared" si="59"/>
        <v/>
      </c>
      <c r="AF346" s="344" t="str">
        <f t="shared" si="60"/>
        <v/>
      </c>
      <c r="AG346" s="561" t="str">
        <f t="shared" si="54"/>
        <v/>
      </c>
      <c r="AH346" s="561" t="str">
        <f t="shared" si="55"/>
        <v/>
      </c>
      <c r="AI346" s="313"/>
    </row>
    <row r="347" spans="1:35" outlineLevel="3" x14ac:dyDescent="0.2">
      <c r="A347" s="39">
        <v>4</v>
      </c>
      <c r="B347" s="23">
        <v>1014010</v>
      </c>
      <c r="C347" s="23" t="s">
        <v>865</v>
      </c>
      <c r="D347" s="300">
        <f>Table22[[#This Row],[Level used for acute calculation]]</f>
        <v>4</v>
      </c>
      <c r="E347" s="302">
        <f>Table22[[#This Row],[MRL individual commodity]]</f>
        <v>0</v>
      </c>
      <c r="F347" s="451">
        <f>Table22[[#This Row],[Acute RA input value]]</f>
        <v>0</v>
      </c>
      <c r="G347" s="301" t="str">
        <f>Table22[[#This Row],[Acute RA label]]</f>
        <v/>
      </c>
      <c r="H347" s="303">
        <f>Table22[[#This Row],[Acute RA IESTI new input value]]</f>
        <v>0</v>
      </c>
      <c r="I347" s="301" t="str">
        <f>Table22[[#This Row],[Acute RA IESTI new label]]</f>
        <v/>
      </c>
      <c r="J347" s="504"/>
      <c r="K347" s="544">
        <f>Table22[[#This Row],[GAP under assessment]]</f>
        <v>0</v>
      </c>
      <c r="L347" s="304" t="str">
        <f>IF(input_values!$M347=0,"",input_values!$M347)</f>
        <v/>
      </c>
      <c r="M347" s="301" t="str">
        <f>IF(input_values!H347=0,"",input_values!H347)</f>
        <v/>
      </c>
      <c r="N347" s="304">
        <f>input_values!$K347</f>
        <v>0</v>
      </c>
      <c r="O347" s="338" t="s">
        <v>618</v>
      </c>
      <c r="P347" s="128"/>
      <c r="Q347" s="128"/>
      <c r="R347" s="338"/>
      <c r="S347" s="338" t="str">
        <f t="shared" si="56"/>
        <v>ND</v>
      </c>
      <c r="T347" s="305"/>
      <c r="U347" s="570"/>
      <c r="V347" s="305"/>
      <c r="W347" s="570"/>
      <c r="X347" s="460">
        <f>IF(V347="ND","ND",IF(S347="","",IF(OR(MID(C347,1,4)="milk",AND(MID(B347,1,2)="50",NOT(input_values!M347="Y")),AND(MID(B347,1,2)="40",NOT(input_values!M347="Y")),AND(MID(B347,1,2)="30",NOT(input_values!M347="Y"))),3,IF(OR(V347="&lt;25",B347&gt;1000000),1,IF((T347&gt;=S347),"2b","2a")))))</f>
        <v>1</v>
      </c>
      <c r="Y347" s="128">
        <f>IF(X347="ND","ND",IF(S347="","",IF(input_values!K347&gt;0,input_values!K347,IF(OR(X347=1,X347=3),1,IF((V347&gt;250),5,7)))))</f>
        <v>1</v>
      </c>
      <c r="Z347" s="340" t="str">
        <f t="shared" si="51"/>
        <v/>
      </c>
      <c r="AA347" s="332">
        <f t="shared" si="52"/>
        <v>0</v>
      </c>
      <c r="AB347" s="27">
        <f t="shared" si="57"/>
        <v>1</v>
      </c>
      <c r="AC347" s="340" t="str">
        <f t="shared" si="58"/>
        <v/>
      </c>
      <c r="AD347" s="332">
        <f t="shared" si="53"/>
        <v>0</v>
      </c>
      <c r="AE347" s="37" t="str">
        <f t="shared" si="59"/>
        <v/>
      </c>
      <c r="AF347" s="37" t="str">
        <f t="shared" si="60"/>
        <v/>
      </c>
      <c r="AG347" s="561" t="str">
        <f t="shared" si="54"/>
        <v/>
      </c>
      <c r="AH347" s="561" t="str">
        <f t="shared" si="55"/>
        <v/>
      </c>
      <c r="AI347" s="313"/>
    </row>
    <row r="348" spans="1:35" outlineLevel="3" x14ac:dyDescent="0.2">
      <c r="A348" s="39">
        <v>4</v>
      </c>
      <c r="B348" s="23">
        <v>1014020</v>
      </c>
      <c r="C348" s="23" t="s">
        <v>792</v>
      </c>
      <c r="D348" s="300">
        <f>Table22[[#This Row],[Level used for acute calculation]]</f>
        <v>4</v>
      </c>
      <c r="E348" s="302">
        <f>Table22[[#This Row],[MRL individual commodity]]</f>
        <v>0</v>
      </c>
      <c r="F348" s="451">
        <f>Table22[[#This Row],[Acute RA input value]]</f>
        <v>0</v>
      </c>
      <c r="G348" s="301" t="str">
        <f>Table22[[#This Row],[Acute RA label]]</f>
        <v/>
      </c>
      <c r="H348" s="303">
        <f>Table22[[#This Row],[Acute RA IESTI new input value]]</f>
        <v>0</v>
      </c>
      <c r="I348" s="301" t="str">
        <f>Table22[[#This Row],[Acute RA IESTI new label]]</f>
        <v/>
      </c>
      <c r="J348" s="504"/>
      <c r="K348" s="544">
        <f>Table22[[#This Row],[GAP under assessment]]</f>
        <v>0</v>
      </c>
      <c r="L348" s="304" t="str">
        <f>IF(input_values!$M348=0,"",input_values!$M348)</f>
        <v/>
      </c>
      <c r="M348" s="301" t="str">
        <f>IF(input_values!H348=0,"",input_values!H348)</f>
        <v/>
      </c>
      <c r="N348" s="304">
        <f>input_values!$K348</f>
        <v>0</v>
      </c>
      <c r="O348" s="338" t="s">
        <v>618</v>
      </c>
      <c r="P348" s="128"/>
      <c r="Q348" s="128"/>
      <c r="R348" s="338"/>
      <c r="S348" s="338" t="str">
        <f t="shared" si="56"/>
        <v>ND</v>
      </c>
      <c r="T348" s="305"/>
      <c r="U348" s="570"/>
      <c r="V348" s="305"/>
      <c r="W348" s="570"/>
      <c r="X348" s="460">
        <f>IF(V348="ND","ND",IF(S348="","",IF(OR(MID(C348,1,4)="milk",AND(MID(B348,1,2)="50",NOT(input_values!M348="Y")),AND(MID(B348,1,2)="40",NOT(input_values!M348="Y")),AND(MID(B348,1,2)="30",NOT(input_values!M348="Y"))),3,IF(OR(V348="&lt;25",B348&gt;1000000),1,IF((T348&gt;=S348),"2b","2a")))))</f>
        <v>1</v>
      </c>
      <c r="Y348" s="128">
        <f>IF(X348="ND","ND",IF(S348="","",IF(input_values!K348&gt;0,input_values!K348,IF(OR(X348=1,X348=3),1,IF((V348&gt;250),5,7)))))</f>
        <v>1</v>
      </c>
      <c r="Z348" s="340" t="str">
        <f t="shared" si="51"/>
        <v/>
      </c>
      <c r="AA348" s="332">
        <f t="shared" si="52"/>
        <v>0</v>
      </c>
      <c r="AB348" s="27">
        <f t="shared" si="57"/>
        <v>1</v>
      </c>
      <c r="AC348" s="340" t="str">
        <f t="shared" si="58"/>
        <v/>
      </c>
      <c r="AD348" s="332">
        <f t="shared" si="53"/>
        <v>0</v>
      </c>
      <c r="AE348" s="37" t="str">
        <f t="shared" si="59"/>
        <v/>
      </c>
      <c r="AF348" s="37" t="str">
        <f t="shared" si="60"/>
        <v/>
      </c>
      <c r="AG348" s="561" t="str">
        <f t="shared" si="54"/>
        <v/>
      </c>
      <c r="AH348" s="561" t="str">
        <f t="shared" si="55"/>
        <v/>
      </c>
      <c r="AI348" s="313"/>
    </row>
    <row r="349" spans="1:35" outlineLevel="3" x14ac:dyDescent="0.2">
      <c r="A349" s="39">
        <v>4</v>
      </c>
      <c r="B349" s="23">
        <v>1014030</v>
      </c>
      <c r="C349" s="23" t="s">
        <v>199</v>
      </c>
      <c r="D349" s="300">
        <f>Table22[[#This Row],[Level used for acute calculation]]</f>
        <v>4</v>
      </c>
      <c r="E349" s="302">
        <f>Table22[[#This Row],[MRL individual commodity]]</f>
        <v>0</v>
      </c>
      <c r="F349" s="451">
        <f>Table22[[#This Row],[Acute RA input value]]</f>
        <v>0</v>
      </c>
      <c r="G349" s="301" t="str">
        <f>Table22[[#This Row],[Acute RA label]]</f>
        <v/>
      </c>
      <c r="H349" s="303">
        <f>Table22[[#This Row],[Acute RA IESTI new input value]]</f>
        <v>0</v>
      </c>
      <c r="I349" s="301" t="str">
        <f>Table22[[#This Row],[Acute RA IESTI new label]]</f>
        <v/>
      </c>
      <c r="J349" s="504"/>
      <c r="K349" s="544">
        <f>Table22[[#This Row],[GAP under assessment]]</f>
        <v>0</v>
      </c>
      <c r="L349" s="304" t="str">
        <f>IF(input_values!$M349=0,"",input_values!$M349)</f>
        <v/>
      </c>
      <c r="M349" s="301" t="str">
        <f>IF(input_values!H349=0,"",input_values!H349)</f>
        <v/>
      </c>
      <c r="N349" s="304">
        <f>input_values!$K349</f>
        <v>0</v>
      </c>
      <c r="O349" s="338" t="s">
        <v>618</v>
      </c>
      <c r="P349" s="128"/>
      <c r="Q349" s="128"/>
      <c r="R349" s="338"/>
      <c r="S349" s="338" t="str">
        <f t="shared" si="56"/>
        <v>ND</v>
      </c>
      <c r="T349" s="305"/>
      <c r="U349" s="570"/>
      <c r="V349" s="305"/>
      <c r="W349" s="570"/>
      <c r="X349" s="460">
        <f>IF(V349="ND","ND",IF(S349="","",IF(OR(MID(C349,1,4)="milk",AND(MID(B349,1,2)="50",NOT(input_values!M349="Y")),AND(MID(B349,1,2)="40",NOT(input_values!M349="Y")),AND(MID(B349,1,2)="30",NOT(input_values!M349="Y"))),3,IF(OR(V349="&lt;25",B349&gt;1000000),1,IF((T349&gt;=S349),"2b","2a")))))</f>
        <v>1</v>
      </c>
      <c r="Y349" s="128">
        <f>IF(X349="ND","ND",IF(S349="","",IF(input_values!K349&gt;0,input_values!K349,IF(OR(X349=1,X349=3),1,IF((V349&gt;250),5,7)))))</f>
        <v>1</v>
      </c>
      <c r="Z349" s="340" t="str">
        <f t="shared" si="51"/>
        <v/>
      </c>
      <c r="AA349" s="332">
        <f t="shared" si="52"/>
        <v>0</v>
      </c>
      <c r="AB349" s="27">
        <f t="shared" si="57"/>
        <v>1</v>
      </c>
      <c r="AC349" s="340" t="str">
        <f t="shared" si="58"/>
        <v/>
      </c>
      <c r="AD349" s="332">
        <f t="shared" si="53"/>
        <v>0</v>
      </c>
      <c r="AE349" s="37" t="str">
        <f t="shared" si="59"/>
        <v/>
      </c>
      <c r="AF349" s="37" t="str">
        <f t="shared" si="60"/>
        <v/>
      </c>
      <c r="AG349" s="561" t="str">
        <f t="shared" si="54"/>
        <v/>
      </c>
      <c r="AH349" s="561" t="str">
        <f t="shared" si="55"/>
        <v/>
      </c>
      <c r="AI349" s="313"/>
    </row>
    <row r="350" spans="1:35" outlineLevel="3" x14ac:dyDescent="0.2">
      <c r="A350" s="39">
        <v>4</v>
      </c>
      <c r="B350" s="23">
        <v>1014040</v>
      </c>
      <c r="C350" s="23" t="s">
        <v>200</v>
      </c>
      <c r="D350" s="300">
        <f>Table22[[#This Row],[Level used for acute calculation]]</f>
        <v>4</v>
      </c>
      <c r="E350" s="302">
        <f>Table22[[#This Row],[MRL individual commodity]]</f>
        <v>0</v>
      </c>
      <c r="F350" s="451">
        <f>Table22[[#This Row],[Acute RA input value]]</f>
        <v>0</v>
      </c>
      <c r="G350" s="301" t="str">
        <f>Table22[[#This Row],[Acute RA label]]</f>
        <v/>
      </c>
      <c r="H350" s="303">
        <f>Table22[[#This Row],[Acute RA IESTI new input value]]</f>
        <v>0</v>
      </c>
      <c r="I350" s="301" t="str">
        <f>Table22[[#This Row],[Acute RA IESTI new label]]</f>
        <v/>
      </c>
      <c r="J350" s="504"/>
      <c r="K350" s="544">
        <f>Table22[[#This Row],[GAP under assessment]]</f>
        <v>0</v>
      </c>
      <c r="L350" s="304" t="str">
        <f>IF(input_values!$M350=0,"",input_values!$M350)</f>
        <v/>
      </c>
      <c r="M350" s="301" t="str">
        <f>IF(input_values!H350=0,"",input_values!H350)</f>
        <v/>
      </c>
      <c r="N350" s="304">
        <f>input_values!$K350</f>
        <v>0</v>
      </c>
      <c r="O350" s="338" t="s">
        <v>618</v>
      </c>
      <c r="P350" s="128"/>
      <c r="Q350" s="128"/>
      <c r="R350" s="338"/>
      <c r="S350" s="338" t="str">
        <f t="shared" si="56"/>
        <v>ND</v>
      </c>
      <c r="T350" s="305"/>
      <c r="U350" s="570"/>
      <c r="V350" s="305"/>
      <c r="W350" s="570"/>
      <c r="X350" s="460">
        <f>IF(V350="ND","ND",IF(S350="","",IF(OR(MID(C350,1,4)="milk",AND(MID(B350,1,2)="50",NOT(input_values!M350="Y")),AND(MID(B350,1,2)="40",NOT(input_values!M350="Y")),AND(MID(B350,1,2)="30",NOT(input_values!M350="Y"))),3,IF(OR(V350="&lt;25",B350&gt;1000000),1,IF((T350&gt;=S350),"2b","2a")))))</f>
        <v>1</v>
      </c>
      <c r="Y350" s="128">
        <f>IF(X350="ND","ND",IF(S350="","",IF(input_values!K350&gt;0,input_values!K350,IF(OR(X350=1,X350=3),1,IF((V350&gt;250),5,7)))))</f>
        <v>1</v>
      </c>
      <c r="Z350" s="340" t="str">
        <f t="shared" si="51"/>
        <v/>
      </c>
      <c r="AA350" s="332">
        <f t="shared" si="52"/>
        <v>0</v>
      </c>
      <c r="AB350" s="27">
        <f t="shared" si="57"/>
        <v>1</v>
      </c>
      <c r="AC350" s="340" t="str">
        <f t="shared" si="58"/>
        <v/>
      </c>
      <c r="AD350" s="332">
        <f t="shared" si="53"/>
        <v>0</v>
      </c>
      <c r="AE350" s="37" t="str">
        <f t="shared" si="59"/>
        <v/>
      </c>
      <c r="AF350" s="37" t="str">
        <f t="shared" si="60"/>
        <v/>
      </c>
      <c r="AG350" s="561" t="str">
        <f t="shared" si="54"/>
        <v/>
      </c>
      <c r="AH350" s="561" t="str">
        <f t="shared" si="55"/>
        <v/>
      </c>
      <c r="AI350" s="313"/>
    </row>
    <row r="351" spans="1:35" ht="24" outlineLevel="3" x14ac:dyDescent="0.2">
      <c r="A351" s="39">
        <v>4</v>
      </c>
      <c r="B351" s="23">
        <v>1014050</v>
      </c>
      <c r="C351" s="23" t="s">
        <v>795</v>
      </c>
      <c r="D351" s="300">
        <f>Table22[[#This Row],[Level used for acute calculation]]</f>
        <v>4</v>
      </c>
      <c r="E351" s="302">
        <f>Table22[[#This Row],[MRL individual commodity]]</f>
        <v>0</v>
      </c>
      <c r="F351" s="451">
        <f>Table22[[#This Row],[Acute RA input value]]</f>
        <v>0</v>
      </c>
      <c r="G351" s="301" t="str">
        <f>Table22[[#This Row],[Acute RA label]]</f>
        <v/>
      </c>
      <c r="H351" s="303">
        <f>Table22[[#This Row],[Acute RA IESTI new input value]]</f>
        <v>0</v>
      </c>
      <c r="I351" s="301" t="str">
        <f>Table22[[#This Row],[Acute RA IESTI new label]]</f>
        <v/>
      </c>
      <c r="J351" s="504"/>
      <c r="K351" s="544">
        <f>Table22[[#This Row],[GAP under assessment]]</f>
        <v>0</v>
      </c>
      <c r="L351" s="304" t="str">
        <f>IF(input_values!$M351=0,"",input_values!$M351)</f>
        <v/>
      </c>
      <c r="M351" s="301" t="str">
        <f>IF(input_values!H351=0,"",input_values!H351)</f>
        <v/>
      </c>
      <c r="N351" s="304">
        <f>input_values!$K351</f>
        <v>0</v>
      </c>
      <c r="O351" s="338" t="s">
        <v>618</v>
      </c>
      <c r="P351" s="128"/>
      <c r="Q351" s="128"/>
      <c r="R351" s="338"/>
      <c r="S351" s="338" t="str">
        <f t="shared" si="56"/>
        <v>ND</v>
      </c>
      <c r="T351" s="305"/>
      <c r="U351" s="570"/>
      <c r="V351" s="305"/>
      <c r="W351" s="570"/>
      <c r="X351" s="460">
        <f>IF(V351="ND","ND",IF(S351="","",IF(OR(MID(C351,1,4)="milk",AND(MID(B351,1,2)="50",NOT(input_values!M351="Y")),AND(MID(B351,1,2)="40",NOT(input_values!M351="Y")),AND(MID(B351,1,2)="30",NOT(input_values!M351="Y"))),3,IF(OR(V351="&lt;25",B351&gt;1000000),1,IF((T351&gt;=S351),"2b","2a")))))</f>
        <v>1</v>
      </c>
      <c r="Y351" s="128">
        <f>IF(X351="ND","ND",IF(S351="","",IF(input_values!K351&gt;0,input_values!K351,IF(OR(X351=1,X351=3),1,IF((V351&gt;250),5,7)))))</f>
        <v>1</v>
      </c>
      <c r="Z351" s="340" t="str">
        <f t="shared" si="51"/>
        <v/>
      </c>
      <c r="AA351" s="332">
        <f t="shared" si="52"/>
        <v>0</v>
      </c>
      <c r="AB351" s="27">
        <f t="shared" si="57"/>
        <v>1</v>
      </c>
      <c r="AC351" s="340" t="str">
        <f t="shared" si="58"/>
        <v/>
      </c>
      <c r="AD351" s="332">
        <f t="shared" si="53"/>
        <v>0</v>
      </c>
      <c r="AE351" s="37" t="str">
        <f t="shared" si="59"/>
        <v/>
      </c>
      <c r="AF351" s="37" t="str">
        <f t="shared" si="60"/>
        <v/>
      </c>
      <c r="AG351" s="561" t="str">
        <f t="shared" si="54"/>
        <v/>
      </c>
      <c r="AH351" s="561" t="str">
        <f t="shared" si="55"/>
        <v/>
      </c>
      <c r="AI351" s="313"/>
    </row>
    <row r="352" spans="1:35" outlineLevel="3" x14ac:dyDescent="0.2">
      <c r="A352" s="39">
        <v>4</v>
      </c>
      <c r="B352" s="23">
        <v>1014990</v>
      </c>
      <c r="C352" s="23" t="s">
        <v>637</v>
      </c>
      <c r="D352" s="300">
        <f>Table22[[#This Row],[Level used for acute calculation]]</f>
        <v>0</v>
      </c>
      <c r="E352" s="302">
        <f>Table22[[#This Row],[MRL individual commodity]]</f>
        <v>0</v>
      </c>
      <c r="F352" s="451">
        <f>Table22[[#This Row],[Acute RA input value]]</f>
        <v>0</v>
      </c>
      <c r="G352" s="301">
        <f>Table22[[#This Row],[Acute RA label]]</f>
        <v>0</v>
      </c>
      <c r="H352" s="303">
        <f>Table22[[#This Row],[Acute RA IESTI new input value]]</f>
        <v>0</v>
      </c>
      <c r="I352" s="301">
        <f>Table22[[#This Row],[Acute RA IESTI new label]]</f>
        <v>0</v>
      </c>
      <c r="J352" s="504"/>
      <c r="K352" s="544">
        <f>Table22[[#This Row],[GAP under assessment]]</f>
        <v>0</v>
      </c>
      <c r="L352" s="304" t="str">
        <f>IF(input_values!$M352=0,"",input_values!$M352)</f>
        <v/>
      </c>
      <c r="M352" s="301" t="str">
        <f>IF(input_values!H352=0,"",input_values!H352)</f>
        <v/>
      </c>
      <c r="N352" s="304">
        <f>input_values!$K352</f>
        <v>0</v>
      </c>
      <c r="O352" s="309"/>
      <c r="P352" s="38"/>
      <c r="Q352" s="38"/>
      <c r="R352" s="335"/>
      <c r="S352" s="336" t="str">
        <f t="shared" si="56"/>
        <v/>
      </c>
      <c r="T352" s="305"/>
      <c r="U352" s="570"/>
      <c r="V352" s="305"/>
      <c r="W352" s="570"/>
      <c r="X352" s="611" t="str">
        <f>IF(V352="ND","ND",IF(S352="","",IF(OR(MID(C352,1,4)="milk",AND(MID(B352,1,2)="50",NOT(input_values!M352="Y")),AND(MID(B352,1,2)="40",NOT(input_values!M352="Y")),AND(MID(B352,1,2)="30",NOT(input_values!M352="Y"))),3,IF(OR(V352="&lt;25",B352&gt;1000000),1,IF((T352&gt;=S352),"2b","2a")))))</f>
        <v/>
      </c>
      <c r="Y352" s="38" t="str">
        <f>IF(X352="ND","ND",IF(S352="","",IF(input_values!K352&gt;0,input_values!K352,IF(OR(X352=1,X352=3),1,IF((V352&gt;250),5,7)))))</f>
        <v/>
      </c>
      <c r="Z352" s="335" t="str">
        <f t="shared" si="51"/>
        <v/>
      </c>
      <c r="AA352" s="311">
        <f t="shared" si="52"/>
        <v>0</v>
      </c>
      <c r="AB352" s="38" t="str">
        <f t="shared" si="57"/>
        <v/>
      </c>
      <c r="AC352" s="335" t="str">
        <f t="shared" si="58"/>
        <v/>
      </c>
      <c r="AD352" s="311">
        <f t="shared" si="53"/>
        <v>0</v>
      </c>
      <c r="AE352" s="344" t="str">
        <f t="shared" si="59"/>
        <v/>
      </c>
      <c r="AF352" s="344" t="str">
        <f t="shared" si="60"/>
        <v/>
      </c>
      <c r="AG352" s="561" t="str">
        <f t="shared" si="54"/>
        <v/>
      </c>
      <c r="AH352" s="561" t="str">
        <f t="shared" si="55"/>
        <v/>
      </c>
      <c r="AI352" s="313"/>
    </row>
    <row r="353" spans="1:35" outlineLevel="2" x14ac:dyDescent="0.2">
      <c r="A353" s="133">
        <v>3</v>
      </c>
      <c r="B353" s="5">
        <v>1015000</v>
      </c>
      <c r="C353" s="5" t="s">
        <v>796</v>
      </c>
      <c r="D353" s="300">
        <f>Table22[[#This Row],[Level used for acute calculation]]</f>
        <v>4</v>
      </c>
      <c r="E353" s="302">
        <f>Table22[[#This Row],[MRL individual commodity]]</f>
        <v>0</v>
      </c>
      <c r="F353" s="451">
        <f>Table22[[#This Row],[Acute RA input value]]</f>
        <v>0</v>
      </c>
      <c r="G353" s="301">
        <f>Table22[[#This Row],[Acute RA label]]</f>
        <v>0</v>
      </c>
      <c r="H353" s="303">
        <f>Table22[[#This Row],[Acute RA IESTI new input value]]</f>
        <v>0</v>
      </c>
      <c r="I353" s="301">
        <f>Table22[[#This Row],[Acute RA IESTI new label]]</f>
        <v>0</v>
      </c>
      <c r="J353" s="504"/>
      <c r="K353" s="544">
        <f>Table22[[#This Row],[GAP under assessment]]</f>
        <v>0</v>
      </c>
      <c r="L353" s="304" t="str">
        <f>IF(input_values!$M353=0,"",input_values!$M353)</f>
        <v/>
      </c>
      <c r="M353" s="301" t="str">
        <f>IF(input_values!H353=0,"",input_values!H353)</f>
        <v/>
      </c>
      <c r="N353" s="304">
        <f>input_values!$K353</f>
        <v>0</v>
      </c>
      <c r="O353" s="309"/>
      <c r="P353" s="38"/>
      <c r="Q353" s="38"/>
      <c r="R353" s="335"/>
      <c r="S353" s="336" t="str">
        <f t="shared" si="56"/>
        <v/>
      </c>
      <c r="T353" s="305"/>
      <c r="U353" s="570"/>
      <c r="V353" s="305"/>
      <c r="W353" s="570"/>
      <c r="X353" s="611" t="str">
        <f>IF(V353="ND","ND",IF(S353="","",IF(OR(MID(C353,1,4)="milk",AND(MID(B353,1,2)="50",NOT(input_values!M353="Y")),AND(MID(B353,1,2)="40",NOT(input_values!M353="Y")),AND(MID(B353,1,2)="30",NOT(input_values!M353="Y"))),3,IF(OR(V353="&lt;25",B353&gt;1000000),1,IF((T353&gt;=S353),"2b","2a")))))</f>
        <v/>
      </c>
      <c r="Y353" s="38" t="str">
        <f>IF(X353="ND","ND",IF(S353="","",IF(input_values!K353&gt;0,input_values!K353,IF(OR(X353=1,X353=3),1,IF((V353&gt;250),5,7)))))</f>
        <v/>
      </c>
      <c r="Z353" s="335" t="str">
        <f t="shared" si="51"/>
        <v/>
      </c>
      <c r="AA353" s="311">
        <f t="shared" si="52"/>
        <v>0</v>
      </c>
      <c r="AB353" s="38" t="str">
        <f t="shared" si="57"/>
        <v/>
      </c>
      <c r="AC353" s="335" t="str">
        <f t="shared" si="58"/>
        <v/>
      </c>
      <c r="AD353" s="311">
        <f t="shared" si="53"/>
        <v>0</v>
      </c>
      <c r="AE353" s="344" t="str">
        <f t="shared" si="59"/>
        <v/>
      </c>
      <c r="AF353" s="344" t="str">
        <f t="shared" si="60"/>
        <v/>
      </c>
      <c r="AG353" s="561" t="str">
        <f t="shared" si="54"/>
        <v/>
      </c>
      <c r="AH353" s="561" t="str">
        <f t="shared" si="55"/>
        <v/>
      </c>
      <c r="AI353" s="313"/>
    </row>
    <row r="354" spans="1:35" outlineLevel="3" x14ac:dyDescent="0.2">
      <c r="A354" s="39">
        <v>4</v>
      </c>
      <c r="B354" s="23">
        <v>1015010</v>
      </c>
      <c r="C354" s="23" t="s">
        <v>866</v>
      </c>
      <c r="D354" s="300">
        <f>Table22[[#This Row],[Level used for acute calculation]]</f>
        <v>4</v>
      </c>
      <c r="E354" s="302">
        <f>Table22[[#This Row],[MRL individual commodity]]</f>
        <v>0</v>
      </c>
      <c r="F354" s="451">
        <f>Table22[[#This Row],[Acute RA input value]]</f>
        <v>0</v>
      </c>
      <c r="G354" s="301" t="str">
        <f>Table22[[#This Row],[Acute RA label]]</f>
        <v/>
      </c>
      <c r="H354" s="303">
        <f>Table22[[#This Row],[Acute RA IESTI new input value]]</f>
        <v>0</v>
      </c>
      <c r="I354" s="301" t="str">
        <f>Table22[[#This Row],[Acute RA IESTI new label]]</f>
        <v/>
      </c>
      <c r="J354" s="504"/>
      <c r="K354" s="544">
        <f>Table22[[#This Row],[GAP under assessment]]</f>
        <v>0</v>
      </c>
      <c r="L354" s="304" t="str">
        <f>IF(input_values!$M354=0,"",input_values!$M354)</f>
        <v/>
      </c>
      <c r="M354" s="301" t="str">
        <f>IF(input_values!H354=0,"",input_values!H354)</f>
        <v/>
      </c>
      <c r="N354" s="304">
        <f>input_values!$K354</f>
        <v>0</v>
      </c>
      <c r="O354" s="339">
        <v>6.0145999999999997</v>
      </c>
      <c r="P354" s="128">
        <v>97.5</v>
      </c>
      <c r="Q354" s="128" t="s">
        <v>1</v>
      </c>
      <c r="R354" s="338">
        <v>34.479999999999997</v>
      </c>
      <c r="S354" s="338">
        <f t="shared" si="56"/>
        <v>207.38340799999997</v>
      </c>
      <c r="T354" s="305"/>
      <c r="U354" s="570"/>
      <c r="V354" s="305"/>
      <c r="W354" s="570"/>
      <c r="X354" s="460">
        <f>IF(V354="ND","ND",IF(S354="","",IF(OR(MID(C354,1,4)="milk",AND(MID(B354,1,2)="50",NOT(input_values!M354="Y")),AND(MID(B354,1,2)="40",NOT(input_values!M354="Y")),AND(MID(B354,1,2)="30",NOT(input_values!M354="Y"))),3,IF(OR(V354="&lt;25",B354&gt;1000000),1,IF((T354&gt;=S354),"2b","2a")))))</f>
        <v>1</v>
      </c>
      <c r="Y354" s="128">
        <f>IF(X354="ND","ND",IF(S354="","",IF(input_values!K354&gt;0,input_values!K354,IF(OR(X354=1,X354=3),1,IF((V354&gt;250),5,7)))))</f>
        <v>1</v>
      </c>
      <c r="Z354" s="345" t="str">
        <f t="shared" si="51"/>
        <v/>
      </c>
      <c r="AA354" s="332">
        <f t="shared" si="52"/>
        <v>0</v>
      </c>
      <c r="AB354" s="27">
        <f t="shared" si="57"/>
        <v>1</v>
      </c>
      <c r="AC354" s="345" t="str">
        <f t="shared" si="58"/>
        <v/>
      </c>
      <c r="AD354" s="332">
        <f t="shared" si="53"/>
        <v>0</v>
      </c>
      <c r="AE354" s="40" t="str">
        <f t="shared" si="59"/>
        <v/>
      </c>
      <c r="AF354" s="40" t="str">
        <f t="shared" si="60"/>
        <v/>
      </c>
      <c r="AG354" s="561" t="str">
        <f t="shared" si="54"/>
        <v/>
      </c>
      <c r="AH354" s="561" t="str">
        <f t="shared" si="55"/>
        <v/>
      </c>
      <c r="AI354" s="313"/>
    </row>
    <row r="355" spans="1:35" outlineLevel="3" x14ac:dyDescent="0.2">
      <c r="A355" s="39">
        <v>4</v>
      </c>
      <c r="B355" s="23">
        <v>1015020</v>
      </c>
      <c r="C355" s="23" t="s">
        <v>797</v>
      </c>
      <c r="D355" s="300">
        <f>Table22[[#This Row],[Level used for acute calculation]]</f>
        <v>4</v>
      </c>
      <c r="E355" s="302">
        <f>Table22[[#This Row],[MRL individual commodity]]</f>
        <v>0</v>
      </c>
      <c r="F355" s="451">
        <f>Table22[[#This Row],[Acute RA input value]]</f>
        <v>0</v>
      </c>
      <c r="G355" s="301" t="str">
        <f>Table22[[#This Row],[Acute RA label]]</f>
        <v/>
      </c>
      <c r="H355" s="303">
        <f>Table22[[#This Row],[Acute RA IESTI new input value]]</f>
        <v>0</v>
      </c>
      <c r="I355" s="301" t="str">
        <f>Table22[[#This Row],[Acute RA IESTI new label]]</f>
        <v/>
      </c>
      <c r="J355" s="504"/>
      <c r="K355" s="544">
        <f>Table22[[#This Row],[GAP under assessment]]</f>
        <v>0</v>
      </c>
      <c r="L355" s="304" t="str">
        <f>IF(input_values!$M355=0,"",input_values!$M355)</f>
        <v/>
      </c>
      <c r="M355" s="301" t="str">
        <f>IF(input_values!H355=0,"",input_values!H355)</f>
        <v/>
      </c>
      <c r="N355" s="304">
        <f>input_values!$K355</f>
        <v>0</v>
      </c>
      <c r="O355" s="338" t="s">
        <v>618</v>
      </c>
      <c r="P355" s="128"/>
      <c r="Q355" s="128"/>
      <c r="R355" s="338"/>
      <c r="S355" s="338" t="str">
        <f t="shared" si="56"/>
        <v>ND</v>
      </c>
      <c r="T355" s="305"/>
      <c r="U355" s="570"/>
      <c r="V355" s="305"/>
      <c r="W355" s="570"/>
      <c r="X355" s="460">
        <f>IF(V355="ND","ND",IF(S355="","",IF(OR(MID(C355,1,4)="milk",AND(MID(B355,1,2)="50",NOT(input_values!M355="Y")),AND(MID(B355,1,2)="40",NOT(input_values!M355="Y")),AND(MID(B355,1,2)="30",NOT(input_values!M355="Y"))),3,IF(OR(V355="&lt;25",B355&gt;1000000),1,IF((T355&gt;=S355),"2b","2a")))))</f>
        <v>1</v>
      </c>
      <c r="Y355" s="128">
        <f>IF(X355="ND","ND",IF(S355="","",IF(input_values!K355&gt;0,input_values!K355,IF(OR(X355=1,X355=3),1,IF((V355&gt;250),5,7)))))</f>
        <v>1</v>
      </c>
      <c r="Z355" s="340" t="str">
        <f t="shared" si="51"/>
        <v/>
      </c>
      <c r="AA355" s="332">
        <f t="shared" si="52"/>
        <v>0</v>
      </c>
      <c r="AB355" s="27">
        <f t="shared" si="57"/>
        <v>1</v>
      </c>
      <c r="AC355" s="340" t="str">
        <f t="shared" si="58"/>
        <v/>
      </c>
      <c r="AD355" s="332">
        <f t="shared" si="53"/>
        <v>0</v>
      </c>
      <c r="AE355" s="37" t="str">
        <f t="shared" si="59"/>
        <v/>
      </c>
      <c r="AF355" s="37" t="str">
        <f t="shared" si="60"/>
        <v/>
      </c>
      <c r="AG355" s="561" t="str">
        <f t="shared" si="54"/>
        <v/>
      </c>
      <c r="AH355" s="561" t="str">
        <f t="shared" si="55"/>
        <v/>
      </c>
      <c r="AI355" s="313"/>
    </row>
    <row r="356" spans="1:35" outlineLevel="3" x14ac:dyDescent="0.2">
      <c r="A356" s="39">
        <v>4</v>
      </c>
      <c r="B356" s="23">
        <v>1015030</v>
      </c>
      <c r="C356" s="23" t="s">
        <v>798</v>
      </c>
      <c r="D356" s="300">
        <f>Table22[[#This Row],[Level used for acute calculation]]</f>
        <v>4</v>
      </c>
      <c r="E356" s="302">
        <f>Table22[[#This Row],[MRL individual commodity]]</f>
        <v>0</v>
      </c>
      <c r="F356" s="451">
        <f>Table22[[#This Row],[Acute RA input value]]</f>
        <v>0</v>
      </c>
      <c r="G356" s="301" t="str">
        <f>Table22[[#This Row],[Acute RA label]]</f>
        <v/>
      </c>
      <c r="H356" s="303">
        <f>Table22[[#This Row],[Acute RA IESTI new input value]]</f>
        <v>0</v>
      </c>
      <c r="I356" s="301" t="str">
        <f>Table22[[#This Row],[Acute RA IESTI new label]]</f>
        <v/>
      </c>
      <c r="J356" s="504"/>
      <c r="K356" s="544">
        <f>Table22[[#This Row],[GAP under assessment]]</f>
        <v>0</v>
      </c>
      <c r="L356" s="304" t="str">
        <f>IF(input_values!$M356=0,"",input_values!$M356)</f>
        <v/>
      </c>
      <c r="M356" s="301" t="str">
        <f>IF(input_values!H356=0,"",input_values!H356)</f>
        <v/>
      </c>
      <c r="N356" s="304">
        <f>input_values!$K356</f>
        <v>0</v>
      </c>
      <c r="O356" s="338" t="s">
        <v>618</v>
      </c>
      <c r="P356" s="128"/>
      <c r="Q356" s="128"/>
      <c r="R356" s="338"/>
      <c r="S356" s="338" t="str">
        <f t="shared" si="56"/>
        <v>ND</v>
      </c>
      <c r="T356" s="305"/>
      <c r="U356" s="570"/>
      <c r="V356" s="305"/>
      <c r="W356" s="570"/>
      <c r="X356" s="460">
        <f>IF(V356="ND","ND",IF(S356="","",IF(OR(MID(C356,1,4)="milk",AND(MID(B356,1,2)="50",NOT(input_values!M356="Y")),AND(MID(B356,1,2)="40",NOT(input_values!M356="Y")),AND(MID(B356,1,2)="30",NOT(input_values!M356="Y"))),3,IF(OR(V356="&lt;25",B356&gt;1000000),1,IF((T356&gt;=S356),"2b","2a")))))</f>
        <v>1</v>
      </c>
      <c r="Y356" s="128">
        <f>IF(X356="ND","ND",IF(S356="","",IF(input_values!K356&gt;0,input_values!K356,IF(OR(X356=1,X356=3),1,IF((V356&gt;250),5,7)))))</f>
        <v>1</v>
      </c>
      <c r="Z356" s="340" t="str">
        <f t="shared" si="51"/>
        <v/>
      </c>
      <c r="AA356" s="332">
        <f t="shared" si="52"/>
        <v>0</v>
      </c>
      <c r="AB356" s="27">
        <f t="shared" si="57"/>
        <v>1</v>
      </c>
      <c r="AC356" s="340" t="str">
        <f t="shared" si="58"/>
        <v/>
      </c>
      <c r="AD356" s="332">
        <f t="shared" si="53"/>
        <v>0</v>
      </c>
      <c r="AE356" s="37" t="str">
        <f t="shared" si="59"/>
        <v/>
      </c>
      <c r="AF356" s="37" t="str">
        <f t="shared" si="60"/>
        <v/>
      </c>
      <c r="AG356" s="561" t="str">
        <f t="shared" si="54"/>
        <v/>
      </c>
      <c r="AH356" s="561" t="str">
        <f t="shared" si="55"/>
        <v/>
      </c>
      <c r="AI356" s="313"/>
    </row>
    <row r="357" spans="1:35" outlineLevel="3" x14ac:dyDescent="0.2">
      <c r="A357" s="39">
        <v>4</v>
      </c>
      <c r="B357" s="23">
        <v>1015040</v>
      </c>
      <c r="C357" s="23" t="s">
        <v>799</v>
      </c>
      <c r="D357" s="300">
        <f>Table22[[#This Row],[Level used for acute calculation]]</f>
        <v>4</v>
      </c>
      <c r="E357" s="302">
        <f>Table22[[#This Row],[MRL individual commodity]]</f>
        <v>0</v>
      </c>
      <c r="F357" s="451">
        <f>Table22[[#This Row],[Acute RA input value]]</f>
        <v>0</v>
      </c>
      <c r="G357" s="301" t="str">
        <f>Table22[[#This Row],[Acute RA label]]</f>
        <v/>
      </c>
      <c r="H357" s="303">
        <f>Table22[[#This Row],[Acute RA IESTI new input value]]</f>
        <v>0</v>
      </c>
      <c r="I357" s="301" t="str">
        <f>Table22[[#This Row],[Acute RA IESTI new label]]</f>
        <v/>
      </c>
      <c r="J357" s="504"/>
      <c r="K357" s="544">
        <f>Table22[[#This Row],[GAP under assessment]]</f>
        <v>0</v>
      </c>
      <c r="L357" s="304" t="str">
        <f>IF(input_values!$M357=0,"",input_values!$M357)</f>
        <v/>
      </c>
      <c r="M357" s="301" t="str">
        <f>IF(input_values!H357=0,"",input_values!H357)</f>
        <v/>
      </c>
      <c r="N357" s="304">
        <f>input_values!$K357</f>
        <v>0</v>
      </c>
      <c r="O357" s="338" t="s">
        <v>618</v>
      </c>
      <c r="P357" s="128"/>
      <c r="Q357" s="128"/>
      <c r="R357" s="338"/>
      <c r="S357" s="338" t="str">
        <f t="shared" si="56"/>
        <v>ND</v>
      </c>
      <c r="T357" s="305"/>
      <c r="U357" s="570"/>
      <c r="V357" s="305"/>
      <c r="W357" s="570"/>
      <c r="X357" s="460">
        <f>IF(V357="ND","ND",IF(S357="","",IF(OR(MID(C357,1,4)="milk",AND(MID(B357,1,2)="50",NOT(input_values!M357="Y")),AND(MID(B357,1,2)="40",NOT(input_values!M357="Y")),AND(MID(B357,1,2)="30",NOT(input_values!M357="Y"))),3,IF(OR(V357="&lt;25",B357&gt;1000000),1,IF((T357&gt;=S357),"2b","2a")))))</f>
        <v>1</v>
      </c>
      <c r="Y357" s="128">
        <f>IF(X357="ND","ND",IF(S357="","",IF(input_values!K357&gt;0,input_values!K357,IF(OR(X357=1,X357=3),1,IF((V357&gt;250),5,7)))))</f>
        <v>1</v>
      </c>
      <c r="Z357" s="340" t="str">
        <f t="shared" si="51"/>
        <v/>
      </c>
      <c r="AA357" s="332">
        <f t="shared" si="52"/>
        <v>0</v>
      </c>
      <c r="AB357" s="27">
        <f t="shared" si="57"/>
        <v>1</v>
      </c>
      <c r="AC357" s="340" t="str">
        <f t="shared" si="58"/>
        <v/>
      </c>
      <c r="AD357" s="332">
        <f t="shared" si="53"/>
        <v>0</v>
      </c>
      <c r="AE357" s="37" t="str">
        <f t="shared" si="59"/>
        <v/>
      </c>
      <c r="AF357" s="37" t="str">
        <f t="shared" si="60"/>
        <v/>
      </c>
      <c r="AG357" s="561" t="str">
        <f t="shared" si="54"/>
        <v/>
      </c>
      <c r="AH357" s="561" t="str">
        <f t="shared" si="55"/>
        <v/>
      </c>
      <c r="AI357" s="313"/>
    </row>
    <row r="358" spans="1:35" ht="24" outlineLevel="3" x14ac:dyDescent="0.2">
      <c r="A358" s="39">
        <v>4</v>
      </c>
      <c r="B358" s="23">
        <v>1015050</v>
      </c>
      <c r="C358" s="23" t="s">
        <v>801</v>
      </c>
      <c r="D358" s="300">
        <f>Table22[[#This Row],[Level used for acute calculation]]</f>
        <v>4</v>
      </c>
      <c r="E358" s="302">
        <f>Table22[[#This Row],[MRL individual commodity]]</f>
        <v>0</v>
      </c>
      <c r="F358" s="451">
        <f>Table22[[#This Row],[Acute RA input value]]</f>
        <v>0</v>
      </c>
      <c r="G358" s="301" t="str">
        <f>Table22[[#This Row],[Acute RA label]]</f>
        <v/>
      </c>
      <c r="H358" s="303">
        <f>Table22[[#This Row],[Acute RA IESTI new input value]]</f>
        <v>0</v>
      </c>
      <c r="I358" s="301" t="str">
        <f>Table22[[#This Row],[Acute RA IESTI new label]]</f>
        <v/>
      </c>
      <c r="J358" s="504"/>
      <c r="K358" s="544">
        <f>Table22[[#This Row],[GAP under assessment]]</f>
        <v>0</v>
      </c>
      <c r="L358" s="304" t="str">
        <f>IF(input_values!$M358=0,"",input_values!$M358)</f>
        <v/>
      </c>
      <c r="M358" s="301" t="str">
        <f>IF(input_values!H358=0,"",input_values!H358)</f>
        <v/>
      </c>
      <c r="N358" s="304">
        <f>input_values!$K358</f>
        <v>0</v>
      </c>
      <c r="O358" s="338" t="s">
        <v>618</v>
      </c>
      <c r="P358" s="128"/>
      <c r="Q358" s="128"/>
      <c r="R358" s="338"/>
      <c r="S358" s="338" t="str">
        <f t="shared" si="56"/>
        <v>ND</v>
      </c>
      <c r="T358" s="305"/>
      <c r="U358" s="570"/>
      <c r="V358" s="305"/>
      <c r="W358" s="570"/>
      <c r="X358" s="460">
        <f>IF(V358="ND","ND",IF(S358="","",IF(OR(MID(C358,1,4)="milk",AND(MID(B358,1,2)="50",NOT(input_values!M358="Y")),AND(MID(B358,1,2)="40",NOT(input_values!M358="Y")),AND(MID(B358,1,2)="30",NOT(input_values!M358="Y"))),3,IF(OR(V358="&lt;25",B358&gt;1000000),1,IF((T358&gt;=S358),"2b","2a")))))</f>
        <v>1</v>
      </c>
      <c r="Y358" s="128">
        <f>IF(X358="ND","ND",IF(S358="","",IF(input_values!K358&gt;0,input_values!K358,IF(OR(X358=1,X358=3),1,IF((V358&gt;250),5,7)))))</f>
        <v>1</v>
      </c>
      <c r="Z358" s="340" t="str">
        <f t="shared" si="51"/>
        <v/>
      </c>
      <c r="AA358" s="332">
        <f t="shared" si="52"/>
        <v>0</v>
      </c>
      <c r="AB358" s="27">
        <f t="shared" si="57"/>
        <v>1</v>
      </c>
      <c r="AC358" s="340" t="str">
        <f t="shared" si="58"/>
        <v/>
      </c>
      <c r="AD358" s="332">
        <f t="shared" si="53"/>
        <v>0</v>
      </c>
      <c r="AE358" s="37" t="str">
        <f t="shared" si="59"/>
        <v/>
      </c>
      <c r="AF358" s="37" t="str">
        <f t="shared" si="60"/>
        <v/>
      </c>
      <c r="AG358" s="561" t="str">
        <f t="shared" si="54"/>
        <v/>
      </c>
      <c r="AH358" s="561" t="str">
        <f t="shared" si="55"/>
        <v/>
      </c>
      <c r="AI358" s="313"/>
    </row>
    <row r="359" spans="1:35" outlineLevel="3" x14ac:dyDescent="0.2">
      <c r="A359" s="39">
        <v>4</v>
      </c>
      <c r="B359" s="23">
        <v>1015990</v>
      </c>
      <c r="C359" s="23" t="s">
        <v>800</v>
      </c>
      <c r="D359" s="300">
        <f>Table22[[#This Row],[Level used for acute calculation]]</f>
        <v>0</v>
      </c>
      <c r="E359" s="302">
        <f>Table22[[#This Row],[MRL individual commodity]]</f>
        <v>0</v>
      </c>
      <c r="F359" s="451">
        <f>Table22[[#This Row],[Acute RA input value]]</f>
        <v>0</v>
      </c>
      <c r="G359" s="301">
        <f>Table22[[#This Row],[Acute RA label]]</f>
        <v>0</v>
      </c>
      <c r="H359" s="303">
        <f>Table22[[#This Row],[Acute RA IESTI new input value]]</f>
        <v>0</v>
      </c>
      <c r="I359" s="301">
        <f>Table22[[#This Row],[Acute RA IESTI new label]]</f>
        <v>0</v>
      </c>
      <c r="J359" s="504"/>
      <c r="K359" s="544">
        <f>Table22[[#This Row],[GAP under assessment]]</f>
        <v>0</v>
      </c>
      <c r="L359" s="304" t="str">
        <f>IF(input_values!$M359=0,"",input_values!$M359)</f>
        <v/>
      </c>
      <c r="M359" s="301" t="str">
        <f>IF(input_values!H359=0,"",input_values!H359)</f>
        <v/>
      </c>
      <c r="N359" s="304">
        <f>input_values!$K359</f>
        <v>0</v>
      </c>
      <c r="O359" s="309"/>
      <c r="P359" s="38"/>
      <c r="Q359" s="38"/>
      <c r="R359" s="335"/>
      <c r="S359" s="336" t="str">
        <f t="shared" si="56"/>
        <v/>
      </c>
      <c r="T359" s="305"/>
      <c r="U359" s="570"/>
      <c r="V359" s="305"/>
      <c r="W359" s="570"/>
      <c r="X359" s="611" t="str">
        <f>IF(V359="ND","ND",IF(S359="","",IF(OR(MID(C359,1,4)="milk",AND(MID(B359,1,2)="50",NOT(input_values!M359="Y")),AND(MID(B359,1,2)="40",NOT(input_values!M359="Y")),AND(MID(B359,1,2)="30",NOT(input_values!M359="Y"))),3,IF(OR(V359="&lt;25",B359&gt;1000000),1,IF((T359&gt;=S359),"2b","2a")))))</f>
        <v/>
      </c>
      <c r="Y359" s="38" t="str">
        <f>IF(X359="ND","ND",IF(S359="","",IF(input_values!K359&gt;0,input_values!K359,IF(OR(X359=1,X359=3),1,IF((V359&gt;250),5,7)))))</f>
        <v/>
      </c>
      <c r="Z359" s="335" t="str">
        <f t="shared" si="51"/>
        <v/>
      </c>
      <c r="AA359" s="311">
        <f t="shared" si="52"/>
        <v>0</v>
      </c>
      <c r="AB359" s="38" t="str">
        <f t="shared" si="57"/>
        <v/>
      </c>
      <c r="AC359" s="335" t="str">
        <f t="shared" si="58"/>
        <v/>
      </c>
      <c r="AD359" s="311">
        <f t="shared" si="53"/>
        <v>0</v>
      </c>
      <c r="AE359" s="344" t="str">
        <f t="shared" si="59"/>
        <v/>
      </c>
      <c r="AF359" s="344" t="str">
        <f t="shared" si="60"/>
        <v/>
      </c>
      <c r="AG359" s="561" t="str">
        <f t="shared" si="54"/>
        <v/>
      </c>
      <c r="AH359" s="561" t="str">
        <f t="shared" si="55"/>
        <v/>
      </c>
      <c r="AI359" s="313"/>
    </row>
    <row r="360" spans="1:35" outlineLevel="2" x14ac:dyDescent="0.2">
      <c r="A360" s="133">
        <v>3</v>
      </c>
      <c r="B360" s="5">
        <v>1016000</v>
      </c>
      <c r="C360" s="5" t="s">
        <v>802</v>
      </c>
      <c r="D360" s="300">
        <f>Table22[[#This Row],[Level used for acute calculation]]</f>
        <v>4</v>
      </c>
      <c r="E360" s="302">
        <f>Table22[[#This Row],[MRL individual commodity]]</f>
        <v>0</v>
      </c>
      <c r="F360" s="451">
        <f>Table22[[#This Row],[Acute RA input value]]</f>
        <v>0</v>
      </c>
      <c r="G360" s="301">
        <f>Table22[[#This Row],[Acute RA label]]</f>
        <v>0</v>
      </c>
      <c r="H360" s="303">
        <f>Table22[[#This Row],[Acute RA IESTI new input value]]</f>
        <v>0</v>
      </c>
      <c r="I360" s="301">
        <f>Table22[[#This Row],[Acute RA IESTI new label]]</f>
        <v>0</v>
      </c>
      <c r="J360" s="504"/>
      <c r="K360" s="544">
        <f>Table22[[#This Row],[GAP under assessment]]</f>
        <v>0</v>
      </c>
      <c r="L360" s="304" t="str">
        <f>IF(input_values!$M360=0,"",input_values!$M360)</f>
        <v/>
      </c>
      <c r="M360" s="301" t="str">
        <f>IF(input_values!H360=0,"",input_values!H360)</f>
        <v/>
      </c>
      <c r="N360" s="304">
        <f>input_values!$K360</f>
        <v>0</v>
      </c>
      <c r="O360" s="309"/>
      <c r="P360" s="38"/>
      <c r="Q360" s="38"/>
      <c r="R360" s="335"/>
      <c r="S360" s="336" t="str">
        <f t="shared" si="56"/>
        <v/>
      </c>
      <c r="T360" s="305"/>
      <c r="U360" s="570"/>
      <c r="V360" s="305"/>
      <c r="W360" s="570"/>
      <c r="X360" s="611" t="str">
        <f>IF(V360="ND","ND",IF(S360="","",IF(OR(MID(C360,1,4)="milk",AND(MID(B360,1,2)="50",NOT(input_values!M360="Y")),AND(MID(B360,1,2)="40",NOT(input_values!M360="Y")),AND(MID(B360,1,2)="30",NOT(input_values!M360="Y"))),3,IF(OR(V360="&lt;25",B360&gt;1000000),1,IF((T360&gt;=S360),"2b","2a")))))</f>
        <v/>
      </c>
      <c r="Y360" s="38" t="str">
        <f>IF(X360="ND","ND",IF(S360="","",IF(input_values!K360&gt;0,input_values!K360,IF(OR(X360=1,X360=3),1,IF((V360&gt;250),5,7)))))</f>
        <v/>
      </c>
      <c r="Z360" s="335" t="str">
        <f t="shared" si="51"/>
        <v/>
      </c>
      <c r="AA360" s="311">
        <f t="shared" si="52"/>
        <v>0</v>
      </c>
      <c r="AB360" s="38" t="str">
        <f t="shared" si="57"/>
        <v/>
      </c>
      <c r="AC360" s="335" t="str">
        <f t="shared" si="58"/>
        <v/>
      </c>
      <c r="AD360" s="311">
        <f t="shared" si="53"/>
        <v>0</v>
      </c>
      <c r="AE360" s="344" t="str">
        <f t="shared" si="59"/>
        <v/>
      </c>
      <c r="AF360" s="344" t="str">
        <f t="shared" si="60"/>
        <v/>
      </c>
      <c r="AG360" s="561" t="str">
        <f t="shared" si="54"/>
        <v/>
      </c>
      <c r="AH360" s="561" t="str">
        <f t="shared" si="55"/>
        <v/>
      </c>
      <c r="AI360" s="313"/>
    </row>
    <row r="361" spans="1:35" outlineLevel="3" x14ac:dyDescent="0.2">
      <c r="A361" s="39">
        <v>4</v>
      </c>
      <c r="B361" s="23">
        <v>1016010</v>
      </c>
      <c r="C361" s="23" t="s">
        <v>867</v>
      </c>
      <c r="D361" s="300">
        <f>Table22[[#This Row],[Level used for acute calculation]]</f>
        <v>4</v>
      </c>
      <c r="E361" s="302">
        <f>Table22[[#This Row],[MRL individual commodity]]</f>
        <v>0</v>
      </c>
      <c r="F361" s="451">
        <f>Table22[[#This Row],[Acute RA input value]]</f>
        <v>0</v>
      </c>
      <c r="G361" s="301" t="str">
        <f>Table22[[#This Row],[Acute RA label]]</f>
        <v/>
      </c>
      <c r="H361" s="303">
        <f>Table22[[#This Row],[Acute RA IESTI new input value]]</f>
        <v>0</v>
      </c>
      <c r="I361" s="301" t="str">
        <f>Table22[[#This Row],[Acute RA IESTI new label]]</f>
        <v/>
      </c>
      <c r="J361" s="504"/>
      <c r="K361" s="544">
        <f>Table22[[#This Row],[GAP under assessment]]</f>
        <v>0</v>
      </c>
      <c r="L361" s="304" t="str">
        <f>IF(input_values!$M361=0,"",input_values!$M361)</f>
        <v/>
      </c>
      <c r="M361" s="301" t="str">
        <f>IF(input_values!H361=0,"",input_values!H361)</f>
        <v/>
      </c>
      <c r="N361" s="304">
        <f>input_values!$K361</f>
        <v>0</v>
      </c>
      <c r="O361" s="339">
        <v>16.989999999999998</v>
      </c>
      <c r="P361" s="128">
        <v>97.5</v>
      </c>
      <c r="Q361" s="128" t="s">
        <v>96</v>
      </c>
      <c r="R361" s="338">
        <v>21.4</v>
      </c>
      <c r="S361" s="338">
        <f t="shared" si="56"/>
        <v>363.58599999999996</v>
      </c>
      <c r="T361" s="305"/>
      <c r="U361" s="570"/>
      <c r="V361" s="305"/>
      <c r="W361" s="570"/>
      <c r="X361" s="460">
        <f>IF(V361="ND","ND",IF(S361="","",IF(OR(MID(C361,1,4)="milk",AND(MID(B361,1,2)="50",NOT(input_values!M361="Y")),AND(MID(B361,1,2)="40",NOT(input_values!M361="Y")),AND(MID(B361,1,2)="30",NOT(input_values!M361="Y"))),3,IF(OR(V361="&lt;25",B361&gt;1000000),1,IF((T361&gt;=S361),"2b","2a")))))</f>
        <v>1</v>
      </c>
      <c r="Y361" s="128">
        <f>IF(X361="ND","ND",IF(S361="","",IF(input_values!K361&gt;0,input_values!K361,IF(OR(X361=1,X361=3),1,IF((V361&gt;250),5,7)))))</f>
        <v>1</v>
      </c>
      <c r="Z361" s="345" t="str">
        <f t="shared" si="51"/>
        <v/>
      </c>
      <c r="AA361" s="332">
        <f t="shared" si="52"/>
        <v>0</v>
      </c>
      <c r="AB361" s="27">
        <f t="shared" si="57"/>
        <v>1</v>
      </c>
      <c r="AC361" s="345" t="str">
        <f t="shared" si="58"/>
        <v/>
      </c>
      <c r="AD361" s="332">
        <f t="shared" si="53"/>
        <v>0</v>
      </c>
      <c r="AE361" s="40" t="str">
        <f t="shared" si="59"/>
        <v/>
      </c>
      <c r="AF361" s="40" t="str">
        <f t="shared" si="60"/>
        <v/>
      </c>
      <c r="AG361" s="561" t="str">
        <f t="shared" si="54"/>
        <v/>
      </c>
      <c r="AH361" s="561" t="str">
        <f t="shared" si="55"/>
        <v/>
      </c>
      <c r="AI361" s="313"/>
    </row>
    <row r="362" spans="1:35" ht="24" outlineLevel="3" x14ac:dyDescent="0.2">
      <c r="A362" s="39">
        <v>4</v>
      </c>
      <c r="B362" s="23">
        <v>1016020</v>
      </c>
      <c r="C362" s="23" t="s">
        <v>793</v>
      </c>
      <c r="D362" s="300">
        <f>Table22[[#This Row],[Level used for acute calculation]]</f>
        <v>4</v>
      </c>
      <c r="E362" s="302">
        <f>Table22[[#This Row],[MRL individual commodity]]</f>
        <v>0</v>
      </c>
      <c r="F362" s="451">
        <f>Table22[[#This Row],[Acute RA input value]]</f>
        <v>0</v>
      </c>
      <c r="G362" s="301" t="str">
        <f>Table22[[#This Row],[Acute RA label]]</f>
        <v/>
      </c>
      <c r="H362" s="303">
        <f>Table22[[#This Row],[Acute RA IESTI new input value]]</f>
        <v>0</v>
      </c>
      <c r="I362" s="301" t="str">
        <f>Table22[[#This Row],[Acute RA IESTI new label]]</f>
        <v/>
      </c>
      <c r="J362" s="504"/>
      <c r="K362" s="544">
        <f>Table22[[#This Row],[GAP under assessment]]</f>
        <v>0</v>
      </c>
      <c r="L362" s="304" t="str">
        <f>IF(input_values!$M362=0,"",input_values!$M362)</f>
        <v/>
      </c>
      <c r="M362" s="301" t="str">
        <f>IF(input_values!H362=0,"",input_values!H362)</f>
        <v/>
      </c>
      <c r="N362" s="304">
        <f>input_values!$K362</f>
        <v>0</v>
      </c>
      <c r="O362" s="339">
        <v>0.1</v>
      </c>
      <c r="P362" s="128">
        <v>95</v>
      </c>
      <c r="Q362" s="128" t="s">
        <v>332</v>
      </c>
      <c r="R362" s="338">
        <v>46.3</v>
      </c>
      <c r="S362" s="338">
        <f t="shared" si="56"/>
        <v>4.63</v>
      </c>
      <c r="T362" s="305"/>
      <c r="U362" s="570"/>
      <c r="V362" s="305"/>
      <c r="W362" s="570"/>
      <c r="X362" s="460">
        <f>IF(V362="ND","ND",IF(S362="","",IF(OR(MID(C362,1,4)="milk",AND(MID(B362,1,2)="50",NOT(input_values!M362="Y")),AND(MID(B362,1,2)="40",NOT(input_values!M362="Y")),AND(MID(B362,1,2)="30",NOT(input_values!M362="Y"))),3,IF(OR(V362="&lt;25",B362&gt;1000000),1,IF((T362&gt;=S362),"2b","2a")))))</f>
        <v>1</v>
      </c>
      <c r="Y362" s="128">
        <f>IF(X362="ND","ND",IF(S362="","",IF(input_values!K362&gt;0,input_values!K362,IF(OR(X362=1,X362=3),1,IF((V362&gt;250),5,7)))))</f>
        <v>1</v>
      </c>
      <c r="Z362" s="345" t="str">
        <f t="shared" si="51"/>
        <v/>
      </c>
      <c r="AA362" s="332">
        <f t="shared" si="52"/>
        <v>0</v>
      </c>
      <c r="AB362" s="27">
        <f t="shared" si="57"/>
        <v>1</v>
      </c>
      <c r="AC362" s="345" t="str">
        <f t="shared" si="58"/>
        <v/>
      </c>
      <c r="AD362" s="332">
        <f t="shared" si="53"/>
        <v>0</v>
      </c>
      <c r="AE362" s="40" t="str">
        <f t="shared" si="59"/>
        <v/>
      </c>
      <c r="AF362" s="40" t="str">
        <f t="shared" si="60"/>
        <v/>
      </c>
      <c r="AG362" s="561" t="str">
        <f t="shared" si="54"/>
        <v/>
      </c>
      <c r="AH362" s="561" t="str">
        <f t="shared" si="55"/>
        <v/>
      </c>
      <c r="AI362" s="313"/>
    </row>
    <row r="363" spans="1:35" ht="24" outlineLevel="3" x14ac:dyDescent="0.2">
      <c r="A363" s="39">
        <v>4</v>
      </c>
      <c r="B363" s="23">
        <v>1016030</v>
      </c>
      <c r="C363" s="23" t="s">
        <v>201</v>
      </c>
      <c r="D363" s="300">
        <f>Table22[[#This Row],[Level used for acute calculation]]</f>
        <v>4</v>
      </c>
      <c r="E363" s="302">
        <f>Table22[[#This Row],[MRL individual commodity]]</f>
        <v>0</v>
      </c>
      <c r="F363" s="451">
        <f>Table22[[#This Row],[Acute RA input value]]</f>
        <v>0</v>
      </c>
      <c r="G363" s="301" t="str">
        <f>Table22[[#This Row],[Acute RA label]]</f>
        <v/>
      </c>
      <c r="H363" s="303">
        <f>Table22[[#This Row],[Acute RA IESTI new input value]]</f>
        <v>0</v>
      </c>
      <c r="I363" s="301" t="str">
        <f>Table22[[#This Row],[Acute RA IESTI new label]]</f>
        <v/>
      </c>
      <c r="J363" s="504"/>
      <c r="K363" s="544">
        <f>Table22[[#This Row],[GAP under assessment]]</f>
        <v>0</v>
      </c>
      <c r="L363" s="304" t="str">
        <f>IF(input_values!$M363=0,"",input_values!$M363)</f>
        <v/>
      </c>
      <c r="M363" s="301" t="str">
        <f>IF(input_values!H363=0,"",input_values!H363)</f>
        <v/>
      </c>
      <c r="N363" s="304">
        <f>input_values!$K363</f>
        <v>0</v>
      </c>
      <c r="O363" s="339">
        <v>1.1000000000000001</v>
      </c>
      <c r="P363" s="128">
        <v>65</v>
      </c>
      <c r="Q363" s="128" t="s">
        <v>332</v>
      </c>
      <c r="R363" s="338">
        <v>46.3</v>
      </c>
      <c r="S363" s="338">
        <f t="shared" si="56"/>
        <v>50.93</v>
      </c>
      <c r="T363" s="305"/>
      <c r="U363" s="570"/>
      <c r="V363" s="305"/>
      <c r="W363" s="570"/>
      <c r="X363" s="460">
        <f>IF(V363="ND","ND",IF(S363="","",IF(OR(MID(C363,1,4)="milk",AND(MID(B363,1,2)="50",NOT(input_values!M363="Y")),AND(MID(B363,1,2)="40",NOT(input_values!M363="Y")),AND(MID(B363,1,2)="30",NOT(input_values!M363="Y"))),3,IF(OR(V363="&lt;25",B363&gt;1000000),1,IF((T363&gt;=S363),"2b","2a")))))</f>
        <v>1</v>
      </c>
      <c r="Y363" s="128">
        <f>IF(X363="ND","ND",IF(S363="","",IF(input_values!K363&gt;0,input_values!K363,IF(OR(X363=1,X363=3),1,IF((V363&gt;250),5,7)))))</f>
        <v>1</v>
      </c>
      <c r="Z363" s="345" t="str">
        <f t="shared" si="51"/>
        <v/>
      </c>
      <c r="AA363" s="332">
        <f t="shared" si="52"/>
        <v>0</v>
      </c>
      <c r="AB363" s="27">
        <f t="shared" si="57"/>
        <v>1</v>
      </c>
      <c r="AC363" s="345" t="str">
        <f t="shared" si="58"/>
        <v/>
      </c>
      <c r="AD363" s="332">
        <f t="shared" si="53"/>
        <v>0</v>
      </c>
      <c r="AE363" s="40" t="str">
        <f t="shared" si="59"/>
        <v/>
      </c>
      <c r="AF363" s="40" t="str">
        <f t="shared" si="60"/>
        <v/>
      </c>
      <c r="AG363" s="561" t="str">
        <f t="shared" si="54"/>
        <v/>
      </c>
      <c r="AH363" s="561" t="str">
        <f t="shared" si="55"/>
        <v/>
      </c>
      <c r="AI363" s="313"/>
    </row>
    <row r="364" spans="1:35" outlineLevel="3" x14ac:dyDescent="0.2">
      <c r="A364" s="39">
        <v>4</v>
      </c>
      <c r="B364" s="23">
        <v>1016040</v>
      </c>
      <c r="C364" s="23" t="s">
        <v>147</v>
      </c>
      <c r="D364" s="300">
        <f>Table22[[#This Row],[Level used for acute calculation]]</f>
        <v>4</v>
      </c>
      <c r="E364" s="302">
        <f>Table22[[#This Row],[MRL individual commodity]]</f>
        <v>0</v>
      </c>
      <c r="F364" s="451">
        <f>Table22[[#This Row],[Acute RA input value]]</f>
        <v>0</v>
      </c>
      <c r="G364" s="301" t="str">
        <f>Table22[[#This Row],[Acute RA label]]</f>
        <v/>
      </c>
      <c r="H364" s="303">
        <f>Table22[[#This Row],[Acute RA IESTI new input value]]</f>
        <v>0</v>
      </c>
      <c r="I364" s="301" t="str">
        <f>Table22[[#This Row],[Acute RA IESTI new label]]</f>
        <v/>
      </c>
      <c r="J364" s="504"/>
      <c r="K364" s="544">
        <f>Table22[[#This Row],[GAP under assessment]]</f>
        <v>0</v>
      </c>
      <c r="L364" s="304" t="str">
        <f>IF(input_values!$M364=0,"",input_values!$M364)</f>
        <v/>
      </c>
      <c r="M364" s="301" t="str">
        <f>IF(input_values!H364=0,"",input_values!H364)</f>
        <v/>
      </c>
      <c r="N364" s="304">
        <f>input_values!$K364</f>
        <v>0</v>
      </c>
      <c r="O364" s="338" t="s">
        <v>618</v>
      </c>
      <c r="P364" s="128"/>
      <c r="Q364" s="128"/>
      <c r="R364" s="338"/>
      <c r="S364" s="338" t="str">
        <f t="shared" si="56"/>
        <v>ND</v>
      </c>
      <c r="T364" s="305"/>
      <c r="U364" s="570"/>
      <c r="V364" s="305"/>
      <c r="W364" s="570"/>
      <c r="X364" s="460">
        <f>IF(V364="ND","ND",IF(S364="","",IF(OR(MID(C364,1,4)="milk",AND(MID(B364,1,2)="50",NOT(input_values!M364="Y")),AND(MID(B364,1,2)="40",NOT(input_values!M364="Y")),AND(MID(B364,1,2)="30",NOT(input_values!M364="Y"))),3,IF(OR(V364="&lt;25",B364&gt;1000000),1,IF((T364&gt;=S364),"2b","2a")))))</f>
        <v>1</v>
      </c>
      <c r="Y364" s="128">
        <f>IF(X364="ND","ND",IF(S364="","",IF(input_values!K364&gt;0,input_values!K364,IF(OR(X364=1,X364=3),1,IF((V364&gt;250),5,7)))))</f>
        <v>1</v>
      </c>
      <c r="Z364" s="340" t="str">
        <f t="shared" si="51"/>
        <v/>
      </c>
      <c r="AA364" s="332">
        <f t="shared" si="52"/>
        <v>0</v>
      </c>
      <c r="AB364" s="27">
        <f t="shared" si="57"/>
        <v>1</v>
      </c>
      <c r="AC364" s="340" t="str">
        <f t="shared" si="58"/>
        <v/>
      </c>
      <c r="AD364" s="332">
        <f t="shared" si="53"/>
        <v>0</v>
      </c>
      <c r="AE364" s="37" t="str">
        <f t="shared" si="59"/>
        <v/>
      </c>
      <c r="AF364" s="37" t="str">
        <f t="shared" si="60"/>
        <v/>
      </c>
      <c r="AG364" s="561" t="str">
        <f t="shared" si="54"/>
        <v/>
      </c>
      <c r="AH364" s="561" t="str">
        <f t="shared" si="55"/>
        <v/>
      </c>
      <c r="AI364" s="313"/>
    </row>
    <row r="365" spans="1:35" ht="24" outlineLevel="3" x14ac:dyDescent="0.2">
      <c r="A365" s="39">
        <v>4</v>
      </c>
      <c r="B365" s="23">
        <v>1016050</v>
      </c>
      <c r="C365" s="23" t="s">
        <v>803</v>
      </c>
      <c r="D365" s="300">
        <f>Table22[[#This Row],[Level used for acute calculation]]</f>
        <v>4</v>
      </c>
      <c r="E365" s="302">
        <f>Table22[[#This Row],[MRL individual commodity]]</f>
        <v>0</v>
      </c>
      <c r="F365" s="451">
        <f>Table22[[#This Row],[Acute RA input value]]</f>
        <v>0</v>
      </c>
      <c r="G365" s="301" t="str">
        <f>Table22[[#This Row],[Acute RA label]]</f>
        <v/>
      </c>
      <c r="H365" s="303">
        <f>Table22[[#This Row],[Acute RA IESTI new input value]]</f>
        <v>0</v>
      </c>
      <c r="I365" s="301" t="str">
        <f>Table22[[#This Row],[Acute RA IESTI new label]]</f>
        <v/>
      </c>
      <c r="J365" s="504"/>
      <c r="K365" s="544">
        <f>Table22[[#This Row],[GAP under assessment]]</f>
        <v>0</v>
      </c>
      <c r="L365" s="304" t="str">
        <f>IF(input_values!$M365=0,"",input_values!$M365)</f>
        <v/>
      </c>
      <c r="M365" s="301" t="str">
        <f>IF(input_values!H365=0,"",input_values!H365)</f>
        <v/>
      </c>
      <c r="N365" s="304">
        <f>input_values!$K365</f>
        <v>0</v>
      </c>
      <c r="O365" s="338" t="s">
        <v>618</v>
      </c>
      <c r="P365" s="128"/>
      <c r="Q365" s="128"/>
      <c r="R365" s="338"/>
      <c r="S365" s="338" t="str">
        <f t="shared" si="56"/>
        <v>ND</v>
      </c>
      <c r="T365" s="305"/>
      <c r="U365" s="570"/>
      <c r="V365" s="305"/>
      <c r="W365" s="570"/>
      <c r="X365" s="460">
        <f>IF(V365="ND","ND",IF(S365="","",IF(OR(MID(C365,1,4)="milk",AND(MID(B365,1,2)="50",NOT(input_values!M365="Y")),AND(MID(B365,1,2)="40",NOT(input_values!M365="Y")),AND(MID(B365,1,2)="30",NOT(input_values!M365="Y"))),3,IF(OR(V365="&lt;25",B365&gt;1000000),1,IF((T365&gt;=S365),"2b","2a")))))</f>
        <v>1</v>
      </c>
      <c r="Y365" s="128">
        <f>IF(X365="ND","ND",IF(S365="","",IF(input_values!K365&gt;0,input_values!K365,IF(OR(X365=1,X365=3),1,IF((V365&gt;250),5,7)))))</f>
        <v>1</v>
      </c>
      <c r="Z365" s="340" t="str">
        <f t="shared" si="51"/>
        <v/>
      </c>
      <c r="AA365" s="332">
        <f t="shared" si="52"/>
        <v>0</v>
      </c>
      <c r="AB365" s="27">
        <f t="shared" si="57"/>
        <v>1</v>
      </c>
      <c r="AC365" s="340" t="str">
        <f t="shared" si="58"/>
        <v/>
      </c>
      <c r="AD365" s="332">
        <f t="shared" si="53"/>
        <v>0</v>
      </c>
      <c r="AE365" s="37" t="str">
        <f t="shared" si="59"/>
        <v/>
      </c>
      <c r="AF365" s="37" t="str">
        <f t="shared" si="60"/>
        <v/>
      </c>
      <c r="AG365" s="561" t="str">
        <f t="shared" si="54"/>
        <v/>
      </c>
      <c r="AH365" s="561" t="str">
        <f t="shared" si="55"/>
        <v/>
      </c>
      <c r="AI365" s="313"/>
    </row>
    <row r="366" spans="1:35" outlineLevel="3" x14ac:dyDescent="0.2">
      <c r="A366" s="39">
        <v>4</v>
      </c>
      <c r="B366" s="23">
        <v>1016990</v>
      </c>
      <c r="C366" s="23" t="s">
        <v>638</v>
      </c>
      <c r="D366" s="300">
        <f>Table22[[#This Row],[Level used for acute calculation]]</f>
        <v>0</v>
      </c>
      <c r="E366" s="302">
        <f>Table22[[#This Row],[MRL individual commodity]]</f>
        <v>0</v>
      </c>
      <c r="F366" s="451">
        <f>Table22[[#This Row],[Acute RA input value]]</f>
        <v>0</v>
      </c>
      <c r="G366" s="301">
        <f>Table22[[#This Row],[Acute RA label]]</f>
        <v>0</v>
      </c>
      <c r="H366" s="303">
        <f>Table22[[#This Row],[Acute RA IESTI new input value]]</f>
        <v>0</v>
      </c>
      <c r="I366" s="301">
        <f>Table22[[#This Row],[Acute RA IESTI new label]]</f>
        <v>0</v>
      </c>
      <c r="J366" s="504"/>
      <c r="K366" s="544">
        <f>Table22[[#This Row],[GAP under assessment]]</f>
        <v>0</v>
      </c>
      <c r="L366" s="304" t="str">
        <f>IF(input_values!$M366=0,"",input_values!$M366)</f>
        <v/>
      </c>
      <c r="M366" s="301" t="str">
        <f>IF(input_values!H366=0,"",input_values!H366)</f>
        <v/>
      </c>
      <c r="N366" s="304">
        <f>input_values!$K366</f>
        <v>0</v>
      </c>
      <c r="O366" s="309"/>
      <c r="P366" s="38"/>
      <c r="Q366" s="38"/>
      <c r="R366" s="335"/>
      <c r="S366" s="336" t="str">
        <f t="shared" si="56"/>
        <v/>
      </c>
      <c r="T366" s="305"/>
      <c r="U366" s="570"/>
      <c r="V366" s="305"/>
      <c r="W366" s="570"/>
      <c r="X366" s="611" t="str">
        <f>IF(V366="ND","ND",IF(S366="","",IF(OR(MID(C366,1,4)="milk",AND(MID(B366,1,2)="50",NOT(input_values!M366="Y")),AND(MID(B366,1,2)="40",NOT(input_values!M366="Y")),AND(MID(B366,1,2)="30",NOT(input_values!M366="Y"))),3,IF(OR(V366="&lt;25",B366&gt;1000000),1,IF((T366&gt;=S366),"2b","2a")))))</f>
        <v/>
      </c>
      <c r="Y366" s="38" t="str">
        <f>IF(X366="ND","ND",IF(S366="","",IF(input_values!K366&gt;0,input_values!K366,IF(OR(X366=1,X366=3),1,IF((V366&gt;250),5,7)))))</f>
        <v/>
      </c>
      <c r="Z366" s="335" t="str">
        <f t="shared" si="51"/>
        <v/>
      </c>
      <c r="AA366" s="311">
        <f t="shared" si="52"/>
        <v>0</v>
      </c>
      <c r="AB366" s="38" t="str">
        <f t="shared" si="57"/>
        <v/>
      </c>
      <c r="AC366" s="335" t="str">
        <f t="shared" si="58"/>
        <v/>
      </c>
      <c r="AD366" s="311">
        <f t="shared" si="53"/>
        <v>0</v>
      </c>
      <c r="AE366" s="344" t="str">
        <f t="shared" si="59"/>
        <v/>
      </c>
      <c r="AF366" s="344" t="str">
        <f t="shared" si="60"/>
        <v/>
      </c>
      <c r="AG366" s="561" t="str">
        <f t="shared" si="54"/>
        <v/>
      </c>
      <c r="AH366" s="561" t="str">
        <f t="shared" si="55"/>
        <v/>
      </c>
      <c r="AI366" s="313"/>
    </row>
    <row r="367" spans="1:35" ht="24" outlineLevel="2" x14ac:dyDescent="0.2">
      <c r="A367" s="133">
        <v>3</v>
      </c>
      <c r="B367" s="5">
        <v>1017000</v>
      </c>
      <c r="C367" s="5" t="s">
        <v>804</v>
      </c>
      <c r="D367" s="300">
        <f>Table22[[#This Row],[Level used for acute calculation]]</f>
        <v>4</v>
      </c>
      <c r="E367" s="302">
        <f>Table22[[#This Row],[MRL individual commodity]]</f>
        <v>0</v>
      </c>
      <c r="F367" s="451">
        <f>Table22[[#This Row],[Acute RA input value]]</f>
        <v>0</v>
      </c>
      <c r="G367" s="301">
        <f>Table22[[#This Row],[Acute RA label]]</f>
        <v>0</v>
      </c>
      <c r="H367" s="303">
        <f>Table22[[#This Row],[Acute RA IESTI new input value]]</f>
        <v>0</v>
      </c>
      <c r="I367" s="301">
        <f>Table22[[#This Row],[Acute RA IESTI new label]]</f>
        <v>0</v>
      </c>
      <c r="J367" s="504"/>
      <c r="K367" s="544">
        <f>Table22[[#This Row],[GAP under assessment]]</f>
        <v>0</v>
      </c>
      <c r="L367" s="304" t="str">
        <f>IF(input_values!$M367=0,"",input_values!$M367)</f>
        <v/>
      </c>
      <c r="M367" s="301" t="str">
        <f>IF(input_values!H367=0,"",input_values!H367)</f>
        <v/>
      </c>
      <c r="N367" s="304">
        <f>input_values!$K367</f>
        <v>0</v>
      </c>
      <c r="O367" s="309"/>
      <c r="P367" s="38"/>
      <c r="Q367" s="38"/>
      <c r="R367" s="335"/>
      <c r="S367" s="336" t="str">
        <f t="shared" si="56"/>
        <v/>
      </c>
      <c r="T367" s="305"/>
      <c r="U367" s="570"/>
      <c r="V367" s="305"/>
      <c r="W367" s="570"/>
      <c r="X367" s="611" t="str">
        <f>IF(V367="ND","ND",IF(S367="","",IF(OR(MID(C367,1,4)="milk",AND(MID(B367,1,2)="50",NOT(input_values!M367="Y")),AND(MID(B367,1,2)="40",NOT(input_values!M367="Y")),AND(MID(B367,1,2)="30",NOT(input_values!M367="Y"))),3,IF(OR(V367="&lt;25",B367&gt;1000000),1,IF((T367&gt;=S367),"2b","2a")))))</f>
        <v/>
      </c>
      <c r="Y367" s="38" t="str">
        <f>IF(X367="ND","ND",IF(S367="","",IF(input_values!K367&gt;0,input_values!K367,IF(OR(X367=1,X367=3),1,IF((V367&gt;250),5,7)))))</f>
        <v/>
      </c>
      <c r="Z367" s="335" t="str">
        <f t="shared" si="51"/>
        <v/>
      </c>
      <c r="AA367" s="311">
        <f t="shared" si="52"/>
        <v>0</v>
      </c>
      <c r="AB367" s="38" t="str">
        <f t="shared" si="57"/>
        <v/>
      </c>
      <c r="AC367" s="335" t="str">
        <f t="shared" si="58"/>
        <v/>
      </c>
      <c r="AD367" s="311">
        <f t="shared" si="53"/>
        <v>0</v>
      </c>
      <c r="AE367" s="344" t="str">
        <f t="shared" si="59"/>
        <v/>
      </c>
      <c r="AF367" s="344" t="str">
        <f t="shared" si="60"/>
        <v/>
      </c>
      <c r="AG367" s="561" t="str">
        <f t="shared" si="54"/>
        <v/>
      </c>
      <c r="AH367" s="561" t="str">
        <f t="shared" si="55"/>
        <v/>
      </c>
      <c r="AI367" s="313"/>
    </row>
    <row r="368" spans="1:35" ht="24" outlineLevel="3" x14ac:dyDescent="0.2">
      <c r="A368" s="39">
        <v>4</v>
      </c>
      <c r="B368" s="23">
        <v>1017010</v>
      </c>
      <c r="C368" s="23" t="s">
        <v>868</v>
      </c>
      <c r="D368" s="300">
        <f>Table22[[#This Row],[Level used for acute calculation]]</f>
        <v>4</v>
      </c>
      <c r="E368" s="302">
        <f>Table22[[#This Row],[MRL individual commodity]]</f>
        <v>0</v>
      </c>
      <c r="F368" s="451">
        <f>Table22[[#This Row],[Acute RA input value]]</f>
        <v>0</v>
      </c>
      <c r="G368" s="301" t="str">
        <f>Table22[[#This Row],[Acute RA label]]</f>
        <v/>
      </c>
      <c r="H368" s="303">
        <f>Table22[[#This Row],[Acute RA IESTI new input value]]</f>
        <v>0</v>
      </c>
      <c r="I368" s="301" t="str">
        <f>Table22[[#This Row],[Acute RA IESTI new label]]</f>
        <v/>
      </c>
      <c r="J368" s="504"/>
      <c r="K368" s="544">
        <f>Table22[[#This Row],[GAP under assessment]]</f>
        <v>0</v>
      </c>
      <c r="L368" s="304" t="str">
        <f>IF(input_values!$M369=0,"",input_values!$M369)</f>
        <v/>
      </c>
      <c r="M368" s="301" t="str">
        <f>IF(input_values!H369=0,"",input_values!H369)</f>
        <v/>
      </c>
      <c r="N368" s="304">
        <f>input_values!$K369</f>
        <v>0</v>
      </c>
      <c r="O368" s="339">
        <v>6.91</v>
      </c>
      <c r="P368" s="128">
        <v>100</v>
      </c>
      <c r="Q368" s="128" t="s">
        <v>256</v>
      </c>
      <c r="R368" s="338">
        <v>16.149999999999999</v>
      </c>
      <c r="S368" s="338">
        <f t="shared" si="56"/>
        <v>111.59649999999999</v>
      </c>
      <c r="T368" s="305"/>
      <c r="U368" s="570"/>
      <c r="V368" s="305"/>
      <c r="W368" s="570"/>
      <c r="X368" s="460">
        <f>IF(V368="ND","ND",IF(S368="","",IF(OR(MID(C368,1,4)="milk",AND(MID(B368,1,2)="50",NOT(input_values!M368="Y")),AND(MID(B368,1,2)="40",NOT(input_values!M368="Y")),AND(MID(B368,1,2)="30",NOT(input_values!M368="Y"))),3,IF(OR(V368="&lt;25",B368&gt;1000000),1,IF((T368&gt;=S368),"2b","2a")))))</f>
        <v>1</v>
      </c>
      <c r="Y368" s="128">
        <f>IF(X368="ND","ND",IF(S368="","",IF(input_values!K368&gt;0,input_values!K368,IF(OR(X368=1,X368=3),1,IF((V368&gt;250),5,7)))))</f>
        <v>1</v>
      </c>
      <c r="Z368" s="345" t="str">
        <f t="shared" si="51"/>
        <v/>
      </c>
      <c r="AA368" s="332">
        <f t="shared" si="52"/>
        <v>0</v>
      </c>
      <c r="AB368" s="27">
        <f t="shared" si="57"/>
        <v>1</v>
      </c>
      <c r="AC368" s="345" t="str">
        <f t="shared" si="58"/>
        <v/>
      </c>
      <c r="AD368" s="332">
        <f t="shared" si="53"/>
        <v>0</v>
      </c>
      <c r="AE368" s="40" t="str">
        <f t="shared" si="59"/>
        <v/>
      </c>
      <c r="AF368" s="40" t="str">
        <f t="shared" si="60"/>
        <v/>
      </c>
      <c r="AG368" s="561" t="str">
        <f t="shared" si="54"/>
        <v/>
      </c>
      <c r="AH368" s="561" t="str">
        <f t="shared" si="55"/>
        <v/>
      </c>
      <c r="AI368" s="313"/>
    </row>
    <row r="369" spans="1:35" ht="24" outlineLevel="3" x14ac:dyDescent="0.2">
      <c r="A369" s="39">
        <v>4</v>
      </c>
      <c r="B369" s="23">
        <v>1017020</v>
      </c>
      <c r="C369" s="23" t="s">
        <v>805</v>
      </c>
      <c r="D369" s="300">
        <f>Table22[[#This Row],[Level used for acute calculation]]</f>
        <v>4</v>
      </c>
      <c r="E369" s="302">
        <f>Table22[[#This Row],[MRL individual commodity]]</f>
        <v>0</v>
      </c>
      <c r="F369" s="451">
        <f>Table22[[#This Row],[Acute RA input value]]</f>
        <v>0</v>
      </c>
      <c r="G369" s="301" t="str">
        <f>Table22[[#This Row],[Acute RA label]]</f>
        <v/>
      </c>
      <c r="H369" s="303">
        <f>Table22[[#This Row],[Acute RA IESTI new input value]]</f>
        <v>0</v>
      </c>
      <c r="I369" s="301" t="str">
        <f>Table22[[#This Row],[Acute RA IESTI new label]]</f>
        <v/>
      </c>
      <c r="J369" s="504"/>
      <c r="K369" s="544">
        <f>Table22[[#This Row],[GAP under assessment]]</f>
        <v>0</v>
      </c>
      <c r="L369" s="304" t="str">
        <f>IF(input_values!$M369=0,"",input_values!$M369)</f>
        <v/>
      </c>
      <c r="M369" s="301" t="str">
        <f>IF(input_values!H369=0,"",input_values!H369)</f>
        <v/>
      </c>
      <c r="N369" s="304">
        <f>input_values!$K369</f>
        <v>0</v>
      </c>
      <c r="O369" s="338" t="s">
        <v>618</v>
      </c>
      <c r="P369" s="128"/>
      <c r="Q369" s="128"/>
      <c r="R369" s="338"/>
      <c r="S369" s="338" t="str">
        <f t="shared" si="56"/>
        <v>ND</v>
      </c>
      <c r="T369" s="305"/>
      <c r="U369" s="570"/>
      <c r="V369" s="305"/>
      <c r="W369" s="570"/>
      <c r="X369" s="460">
        <f>IF(V369="ND","ND",IF(S369="","",IF(OR(MID(C369,1,4)="milk",AND(MID(B369,1,2)="50",NOT(input_values!M369="Y")),AND(MID(B369,1,2)="40",NOT(input_values!M369="Y")),AND(MID(B369,1,2)="30",NOT(input_values!M369="Y"))),3,IF(OR(V369="&lt;25",B369&gt;1000000),1,IF((T369&gt;=S369),"2b","2a")))))</f>
        <v>1</v>
      </c>
      <c r="Y369" s="128">
        <f>IF(X369="ND","ND",IF(S369="","",IF(input_values!K369&gt;0,input_values!K369,IF(OR(X369=1,X369=3),1,IF((V369&gt;250),5,7)))))</f>
        <v>1</v>
      </c>
      <c r="Z369" s="340" t="str">
        <f t="shared" si="51"/>
        <v/>
      </c>
      <c r="AA369" s="332">
        <f t="shared" si="52"/>
        <v>0</v>
      </c>
      <c r="AB369" s="27">
        <f t="shared" si="57"/>
        <v>1</v>
      </c>
      <c r="AC369" s="340" t="str">
        <f t="shared" si="58"/>
        <v/>
      </c>
      <c r="AD369" s="332">
        <f t="shared" si="53"/>
        <v>0</v>
      </c>
      <c r="AE369" s="37" t="str">
        <f t="shared" si="59"/>
        <v/>
      </c>
      <c r="AF369" s="37" t="str">
        <f t="shared" si="60"/>
        <v/>
      </c>
      <c r="AG369" s="561" t="str">
        <f t="shared" si="54"/>
        <v/>
      </c>
      <c r="AH369" s="561" t="str">
        <f t="shared" si="55"/>
        <v/>
      </c>
      <c r="AI369" s="313"/>
    </row>
    <row r="370" spans="1:35" outlineLevel="3" x14ac:dyDescent="0.2">
      <c r="A370" s="39">
        <v>4</v>
      </c>
      <c r="B370" s="23">
        <v>1017030</v>
      </c>
      <c r="C370" s="23" t="s">
        <v>806</v>
      </c>
      <c r="D370" s="300">
        <f>Table22[[#This Row],[Level used for acute calculation]]</f>
        <v>4</v>
      </c>
      <c r="E370" s="302">
        <f>Table22[[#This Row],[MRL individual commodity]]</f>
        <v>0</v>
      </c>
      <c r="F370" s="451">
        <f>Table22[[#This Row],[Acute RA input value]]</f>
        <v>0</v>
      </c>
      <c r="G370" s="301" t="str">
        <f>Table22[[#This Row],[Acute RA label]]</f>
        <v/>
      </c>
      <c r="H370" s="303">
        <f>Table22[[#This Row],[Acute RA IESTI new input value]]</f>
        <v>0</v>
      </c>
      <c r="I370" s="301" t="str">
        <f>Table22[[#This Row],[Acute RA IESTI new label]]</f>
        <v/>
      </c>
      <c r="J370" s="504"/>
      <c r="K370" s="544">
        <f>Table22[[#This Row],[GAP under assessment]]</f>
        <v>0</v>
      </c>
      <c r="L370" s="304" t="str">
        <f>IF(input_values!$M370=0,"",input_values!$M370)</f>
        <v/>
      </c>
      <c r="M370" s="301" t="str">
        <f>IF(input_values!H370=0,"",input_values!H370)</f>
        <v/>
      </c>
      <c r="N370" s="304">
        <f>input_values!$K370</f>
        <v>0</v>
      </c>
      <c r="O370" s="338" t="s">
        <v>618</v>
      </c>
      <c r="P370" s="128"/>
      <c r="Q370" s="128"/>
      <c r="R370" s="338"/>
      <c r="S370" s="338" t="str">
        <f t="shared" si="56"/>
        <v>ND</v>
      </c>
      <c r="T370" s="305"/>
      <c r="U370" s="570"/>
      <c r="V370" s="305"/>
      <c r="W370" s="570"/>
      <c r="X370" s="460">
        <f>IF(V370="ND","ND",IF(S370="","",IF(OR(MID(C370,1,4)="milk",AND(MID(B370,1,2)="50",NOT(input_values!M370="Y")),AND(MID(B370,1,2)="40",NOT(input_values!M370="Y")),AND(MID(B370,1,2)="30",NOT(input_values!M370="Y"))),3,IF(OR(V370="&lt;25",B370&gt;1000000),1,IF((T370&gt;=S370),"2b","2a")))))</f>
        <v>1</v>
      </c>
      <c r="Y370" s="128">
        <f>IF(X370="ND","ND",IF(S370="","",IF(input_values!K370&gt;0,input_values!K370,IF(OR(X370=1,X370=3),1,IF((V370&gt;250),5,7)))))</f>
        <v>1</v>
      </c>
      <c r="Z370" s="340" t="str">
        <f t="shared" si="51"/>
        <v/>
      </c>
      <c r="AA370" s="332">
        <f t="shared" si="52"/>
        <v>0</v>
      </c>
      <c r="AB370" s="27">
        <f t="shared" si="57"/>
        <v>1</v>
      </c>
      <c r="AC370" s="340" t="str">
        <f t="shared" si="58"/>
        <v/>
      </c>
      <c r="AD370" s="332">
        <f t="shared" si="53"/>
        <v>0</v>
      </c>
      <c r="AE370" s="37" t="str">
        <f t="shared" si="59"/>
        <v/>
      </c>
      <c r="AF370" s="37" t="str">
        <f t="shared" si="60"/>
        <v/>
      </c>
      <c r="AG370" s="561" t="str">
        <f t="shared" si="54"/>
        <v/>
      </c>
      <c r="AH370" s="561" t="str">
        <f t="shared" si="55"/>
        <v/>
      </c>
      <c r="AI370" s="313"/>
    </row>
    <row r="371" spans="1:35" outlineLevel="3" x14ac:dyDescent="0.2">
      <c r="A371" s="39">
        <v>4</v>
      </c>
      <c r="B371" s="23">
        <v>1017040</v>
      </c>
      <c r="C371" s="23" t="s">
        <v>807</v>
      </c>
      <c r="D371" s="300">
        <f>Table22[[#This Row],[Level used for acute calculation]]</f>
        <v>4</v>
      </c>
      <c r="E371" s="302">
        <f>Table22[[#This Row],[MRL individual commodity]]</f>
        <v>0</v>
      </c>
      <c r="F371" s="451">
        <f>Table22[[#This Row],[Acute RA input value]]</f>
        <v>0</v>
      </c>
      <c r="G371" s="301" t="str">
        <f>Table22[[#This Row],[Acute RA label]]</f>
        <v/>
      </c>
      <c r="H371" s="303">
        <f>Table22[[#This Row],[Acute RA IESTI new input value]]</f>
        <v>0</v>
      </c>
      <c r="I371" s="301" t="str">
        <f>Table22[[#This Row],[Acute RA IESTI new label]]</f>
        <v/>
      </c>
      <c r="J371" s="504"/>
      <c r="K371" s="544">
        <f>Table22[[#This Row],[GAP under assessment]]</f>
        <v>0</v>
      </c>
      <c r="L371" s="304" t="str">
        <f>IF(input_values!$M371=0,"",input_values!$M371)</f>
        <v/>
      </c>
      <c r="M371" s="301" t="str">
        <f>IF(input_values!H371=0,"",input_values!H371)</f>
        <v/>
      </c>
      <c r="N371" s="304">
        <f>input_values!$K371</f>
        <v>0</v>
      </c>
      <c r="O371" s="338" t="s">
        <v>618</v>
      </c>
      <c r="P371" s="128"/>
      <c r="Q371" s="128"/>
      <c r="R371" s="338"/>
      <c r="S371" s="338" t="str">
        <f t="shared" si="56"/>
        <v>ND</v>
      </c>
      <c r="T371" s="305"/>
      <c r="U371" s="570"/>
      <c r="V371" s="305"/>
      <c r="W371" s="570"/>
      <c r="X371" s="460">
        <f>IF(V371="ND","ND",IF(S371="","",IF(OR(MID(C371,1,4)="milk",AND(MID(B371,1,2)="50",NOT(input_values!M371="Y")),AND(MID(B371,1,2)="40",NOT(input_values!M371="Y")),AND(MID(B371,1,2)="30",NOT(input_values!M371="Y"))),3,IF(OR(V371="&lt;25",B371&gt;1000000),1,IF((T371&gt;=S371),"2b","2a")))))</f>
        <v>1</v>
      </c>
      <c r="Y371" s="128">
        <f>IF(X371="ND","ND",IF(S371="","",IF(input_values!K371&gt;0,input_values!K371,IF(OR(X371=1,X371=3),1,IF((V371&gt;250),5,7)))))</f>
        <v>1</v>
      </c>
      <c r="Z371" s="340" t="str">
        <f t="shared" si="51"/>
        <v/>
      </c>
      <c r="AA371" s="332">
        <f t="shared" si="52"/>
        <v>0</v>
      </c>
      <c r="AB371" s="27">
        <f t="shared" si="57"/>
        <v>1</v>
      </c>
      <c r="AC371" s="340" t="str">
        <f t="shared" si="58"/>
        <v/>
      </c>
      <c r="AD371" s="332">
        <f t="shared" si="53"/>
        <v>0</v>
      </c>
      <c r="AE371" s="37" t="str">
        <f t="shared" si="59"/>
        <v/>
      </c>
      <c r="AF371" s="37" t="str">
        <f t="shared" si="60"/>
        <v/>
      </c>
      <c r="AG371" s="561" t="str">
        <f t="shared" si="54"/>
        <v/>
      </c>
      <c r="AH371" s="561" t="str">
        <f t="shared" si="55"/>
        <v/>
      </c>
      <c r="AI371" s="313"/>
    </row>
    <row r="372" spans="1:35" ht="36" outlineLevel="3" x14ac:dyDescent="0.2">
      <c r="A372" s="39">
        <v>4</v>
      </c>
      <c r="B372" s="23">
        <v>1017050</v>
      </c>
      <c r="C372" s="23" t="s">
        <v>809</v>
      </c>
      <c r="D372" s="300">
        <f>Table22[[#This Row],[Level used for acute calculation]]</f>
        <v>4</v>
      </c>
      <c r="E372" s="302">
        <f>Table22[[#This Row],[MRL individual commodity]]</f>
        <v>0</v>
      </c>
      <c r="F372" s="451">
        <f>Table22[[#This Row],[Acute RA input value]]</f>
        <v>0</v>
      </c>
      <c r="G372" s="301" t="str">
        <f>Table22[[#This Row],[Acute RA label]]</f>
        <v/>
      </c>
      <c r="H372" s="303">
        <f>Table22[[#This Row],[Acute RA IESTI new input value]]</f>
        <v>0</v>
      </c>
      <c r="I372" s="301" t="str">
        <f>Table22[[#This Row],[Acute RA IESTI new label]]</f>
        <v/>
      </c>
      <c r="J372" s="504"/>
      <c r="K372" s="544">
        <f>Table22[[#This Row],[GAP under assessment]]</f>
        <v>0</v>
      </c>
      <c r="L372" s="304" t="str">
        <f>IF(input_values!$M372=0,"",input_values!$M372)</f>
        <v/>
      </c>
      <c r="M372" s="301" t="str">
        <f>IF(input_values!H372=0,"",input_values!H372)</f>
        <v/>
      </c>
      <c r="N372" s="304">
        <f>input_values!$K372</f>
        <v>0</v>
      </c>
      <c r="O372" s="338" t="s">
        <v>618</v>
      </c>
      <c r="P372" s="128"/>
      <c r="Q372" s="128"/>
      <c r="R372" s="338"/>
      <c r="S372" s="338" t="str">
        <f t="shared" si="56"/>
        <v>ND</v>
      </c>
      <c r="T372" s="305"/>
      <c r="U372" s="570"/>
      <c r="V372" s="305"/>
      <c r="W372" s="570"/>
      <c r="X372" s="460">
        <f>IF(V372="ND","ND",IF(S372="","",IF(OR(MID(C372,1,4)="milk",AND(MID(B372,1,2)="50",NOT(input_values!M372="Y")),AND(MID(B372,1,2)="40",NOT(input_values!M372="Y")),AND(MID(B372,1,2)="30",NOT(input_values!M372="Y"))),3,IF(OR(V372="&lt;25",B372&gt;1000000),1,IF((T372&gt;=S372),"2b","2a")))))</f>
        <v>1</v>
      </c>
      <c r="Y372" s="128">
        <f>IF(X372="ND","ND",IF(S372="","",IF(input_values!K372&gt;0,input_values!K372,IF(OR(X372=1,X372=3),1,IF((V372&gt;250),5,7)))))</f>
        <v>1</v>
      </c>
      <c r="Z372" s="340" t="str">
        <f t="shared" si="51"/>
        <v/>
      </c>
      <c r="AA372" s="332">
        <f t="shared" si="52"/>
        <v>0</v>
      </c>
      <c r="AB372" s="27">
        <f t="shared" si="57"/>
        <v>1</v>
      </c>
      <c r="AC372" s="340" t="str">
        <f t="shared" si="58"/>
        <v/>
      </c>
      <c r="AD372" s="332">
        <f t="shared" si="53"/>
        <v>0</v>
      </c>
      <c r="AE372" s="37" t="str">
        <f t="shared" si="59"/>
        <v/>
      </c>
      <c r="AF372" s="37" t="str">
        <f t="shared" si="60"/>
        <v/>
      </c>
      <c r="AG372" s="561" t="str">
        <f t="shared" si="54"/>
        <v/>
      </c>
      <c r="AH372" s="561" t="str">
        <f t="shared" si="55"/>
        <v/>
      </c>
      <c r="AI372" s="313"/>
    </row>
    <row r="373" spans="1:35" ht="24" outlineLevel="3" x14ac:dyDescent="0.2">
      <c r="A373" s="39">
        <v>4</v>
      </c>
      <c r="B373" s="23">
        <v>1017990</v>
      </c>
      <c r="C373" s="23" t="s">
        <v>808</v>
      </c>
      <c r="D373" s="300">
        <f>Table22[[#This Row],[Level used for acute calculation]]</f>
        <v>0</v>
      </c>
      <c r="E373" s="302">
        <f>Table22[[#This Row],[MRL individual commodity]]</f>
        <v>0</v>
      </c>
      <c r="F373" s="451">
        <f>Table22[[#This Row],[Acute RA input value]]</f>
        <v>0</v>
      </c>
      <c r="G373" s="301">
        <f>Table22[[#This Row],[Acute RA label]]</f>
        <v>0</v>
      </c>
      <c r="H373" s="303">
        <f>Table22[[#This Row],[Acute RA IESTI new input value]]</f>
        <v>0</v>
      </c>
      <c r="I373" s="301">
        <f>Table22[[#This Row],[Acute RA IESTI new label]]</f>
        <v>0</v>
      </c>
      <c r="J373" s="504"/>
      <c r="K373" s="544">
        <f>Table22[[#This Row],[GAP under assessment]]</f>
        <v>0</v>
      </c>
      <c r="L373" s="304" t="str">
        <f>IF(input_values!$M373=0,"",input_values!$M373)</f>
        <v/>
      </c>
      <c r="M373" s="301" t="str">
        <f>IF(input_values!H373=0,"",input_values!H373)</f>
        <v/>
      </c>
      <c r="N373" s="304">
        <f>input_values!$K373</f>
        <v>0</v>
      </c>
      <c r="O373" s="309"/>
      <c r="P373" s="38"/>
      <c r="Q373" s="38"/>
      <c r="R373" s="335"/>
      <c r="S373" s="336" t="str">
        <f t="shared" si="56"/>
        <v/>
      </c>
      <c r="T373" s="305"/>
      <c r="U373" s="570"/>
      <c r="V373" s="305"/>
      <c r="W373" s="570"/>
      <c r="X373" s="611" t="str">
        <f>IF(V373="ND","ND",IF(S373="","",IF(OR(MID(C373,1,4)="milk",AND(MID(B373,1,2)="50",NOT(input_values!M373="Y")),AND(MID(B373,1,2)="40",NOT(input_values!M373="Y")),AND(MID(B373,1,2)="30",NOT(input_values!M373="Y"))),3,IF(OR(V373="&lt;25",B373&gt;1000000),1,IF((T373&gt;=S373),"2b","2a")))))</f>
        <v/>
      </c>
      <c r="Y373" s="38" t="str">
        <f>IF(X373="ND","ND",IF(S373="","",IF(input_values!K373&gt;0,input_values!K373,IF(OR(X373=1,X373=3),1,IF((V373&gt;250),5,7)))))</f>
        <v/>
      </c>
      <c r="Z373" s="335" t="str">
        <f t="shared" si="51"/>
        <v/>
      </c>
      <c r="AA373" s="311">
        <f t="shared" si="52"/>
        <v>0</v>
      </c>
      <c r="AB373" s="38" t="str">
        <f t="shared" si="57"/>
        <v/>
      </c>
      <c r="AC373" s="335" t="str">
        <f t="shared" si="58"/>
        <v/>
      </c>
      <c r="AD373" s="311">
        <f t="shared" si="53"/>
        <v>0</v>
      </c>
      <c r="AE373" s="344" t="str">
        <f t="shared" si="59"/>
        <v/>
      </c>
      <c r="AF373" s="344" t="str">
        <f t="shared" si="60"/>
        <v/>
      </c>
      <c r="AG373" s="561" t="str">
        <f t="shared" si="54"/>
        <v/>
      </c>
      <c r="AH373" s="561" t="str">
        <f t="shared" si="55"/>
        <v/>
      </c>
      <c r="AI373" s="313"/>
    </row>
    <row r="374" spans="1:35" outlineLevel="1" x14ac:dyDescent="0.2">
      <c r="A374" s="130">
        <v>2</v>
      </c>
      <c r="B374" s="131">
        <v>1020000</v>
      </c>
      <c r="C374" s="131" t="s">
        <v>628</v>
      </c>
      <c r="D374" s="300">
        <f>Table22[[#This Row],[Level used for acute calculation]]</f>
        <v>4</v>
      </c>
      <c r="E374" s="302">
        <f>Table22[[#This Row],[MRL individual commodity]]</f>
        <v>0</v>
      </c>
      <c r="F374" s="451">
        <f>Table22[[#This Row],[Acute RA input value]]</f>
        <v>0</v>
      </c>
      <c r="G374" s="301">
        <f>Table22[[#This Row],[Acute RA label]]</f>
        <v>0</v>
      </c>
      <c r="H374" s="303">
        <f>Table22[[#This Row],[Acute RA IESTI new input value]]</f>
        <v>0</v>
      </c>
      <c r="I374" s="301">
        <f>Table22[[#This Row],[Acute RA IESTI new label]]</f>
        <v>0</v>
      </c>
      <c r="J374" s="504"/>
      <c r="K374" s="544">
        <f>Table22[[#This Row],[GAP under assessment]]</f>
        <v>0</v>
      </c>
      <c r="L374" s="304" t="str">
        <f>IF(input_values!$M374=0,"",input_values!$M374)</f>
        <v/>
      </c>
      <c r="M374" s="301" t="str">
        <f>IF(input_values!H374=0,"",input_values!H374)</f>
        <v/>
      </c>
      <c r="N374" s="304">
        <f>input_values!$K374</f>
        <v>0</v>
      </c>
      <c r="O374" s="309"/>
      <c r="P374" s="38"/>
      <c r="Q374" s="38"/>
      <c r="R374" s="335"/>
      <c r="S374" s="336" t="str">
        <f t="shared" si="56"/>
        <v/>
      </c>
      <c r="T374" s="305"/>
      <c r="U374" s="570"/>
      <c r="V374" s="305"/>
      <c r="W374" s="570"/>
      <c r="X374" s="611" t="str">
        <f>IF(V374="ND","ND",IF(S374="","",IF(OR(MID(C374,1,4)="milk",AND(MID(B374,1,2)="50",NOT(input_values!M374="Y")),AND(MID(B374,1,2)="40",NOT(input_values!M374="Y")),AND(MID(B374,1,2)="30",NOT(input_values!M374="Y"))),3,IF(OR(V374="&lt;25",B374&gt;1000000),1,IF((T374&gt;=S374),"2b","2a")))))</f>
        <v/>
      </c>
      <c r="Y374" s="38" t="str">
        <f>IF(X374="ND","ND",IF(S374="","",IF(input_values!K374&gt;0,input_values!K374,IF(OR(X374=1,X374=3),1,IF((V374&gt;250),5,7)))))</f>
        <v/>
      </c>
      <c r="Z374" s="335" t="str">
        <f t="shared" si="51"/>
        <v/>
      </c>
      <c r="AA374" s="311">
        <f t="shared" si="52"/>
        <v>0</v>
      </c>
      <c r="AB374" s="38" t="str">
        <f t="shared" si="57"/>
        <v/>
      </c>
      <c r="AC374" s="335" t="str">
        <f t="shared" si="58"/>
        <v/>
      </c>
      <c r="AD374" s="311">
        <f t="shared" si="53"/>
        <v>0</v>
      </c>
      <c r="AE374" s="344" t="str">
        <f t="shared" si="59"/>
        <v/>
      </c>
      <c r="AF374" s="344" t="str">
        <f t="shared" si="60"/>
        <v/>
      </c>
      <c r="AG374" s="561" t="str">
        <f t="shared" si="54"/>
        <v/>
      </c>
      <c r="AH374" s="561" t="str">
        <f t="shared" si="55"/>
        <v/>
      </c>
      <c r="AI374" s="313"/>
    </row>
    <row r="375" spans="1:35" outlineLevel="3" x14ac:dyDescent="0.2">
      <c r="A375" s="39">
        <v>4</v>
      </c>
      <c r="B375" s="23">
        <v>1020010</v>
      </c>
      <c r="C375" s="23" t="s">
        <v>629</v>
      </c>
      <c r="D375" s="300">
        <f>Table22[[#This Row],[Level used for acute calculation]]</f>
        <v>4</v>
      </c>
      <c r="E375" s="302">
        <f>Table22[[#This Row],[MRL individual commodity]]</f>
        <v>0</v>
      </c>
      <c r="F375" s="451">
        <f>Table22[[#This Row],[Acute RA input value]]</f>
        <v>0</v>
      </c>
      <c r="G375" s="301" t="str">
        <f>Table22[[#This Row],[Acute RA label]]</f>
        <v/>
      </c>
      <c r="H375" s="303">
        <f>Table22[[#This Row],[Acute RA IESTI new input value]]</f>
        <v>0</v>
      </c>
      <c r="I375" s="301" t="str">
        <f>Table22[[#This Row],[Acute RA IESTI new label]]</f>
        <v/>
      </c>
      <c r="J375" s="504"/>
      <c r="K375" s="544">
        <f>Table22[[#This Row],[GAP under assessment]]</f>
        <v>0</v>
      </c>
      <c r="L375" s="304" t="str">
        <f>IF(input_values!$M375=0,"",input_values!$M375)</f>
        <v/>
      </c>
      <c r="M375" s="301" t="str">
        <f>IF(input_values!H375=0,"",input_values!H375)</f>
        <v/>
      </c>
      <c r="N375" s="304">
        <f>input_values!$K375</f>
        <v>0</v>
      </c>
      <c r="O375" s="339">
        <v>124.21839080459772</v>
      </c>
      <c r="P375" s="128">
        <v>97.5</v>
      </c>
      <c r="Q375" s="128" t="s">
        <v>89</v>
      </c>
      <c r="R375" s="338">
        <v>8.6999999999999993</v>
      </c>
      <c r="S375" s="338">
        <f t="shared" si="56"/>
        <v>1080.7</v>
      </c>
      <c r="T375" s="305"/>
      <c r="U375" s="570"/>
      <c r="V375" s="305"/>
      <c r="W375" s="570"/>
      <c r="X375" s="460">
        <f>IF(V375="ND","ND",IF(S375="","",IF(OR(MID(C375,1,4)="milk",AND(MID(B375,1,2)="50",NOT(input_values!M375="Y")),AND(MID(B375,1,2)="40",NOT(input_values!M375="Y")),AND(MID(B375,1,2)="30",NOT(input_values!M375="Y"))),3,IF(OR(V375="&lt;25",B375&gt;1000000),1,IF((T375&gt;=S375),"2b","2a")))))</f>
        <v>3</v>
      </c>
      <c r="Y375" s="128">
        <f>IF(X375="ND","ND",IF(S375="","",IF(input_values!K375&gt;0,input_values!K375,IF(OR(X375=1,X375=3),1,IF((V375&gt;250),5,7)))))</f>
        <v>1</v>
      </c>
      <c r="Z375" s="345" t="str">
        <f t="shared" si="51"/>
        <v/>
      </c>
      <c r="AA375" s="332">
        <f t="shared" si="52"/>
        <v>0</v>
      </c>
      <c r="AB375" s="27">
        <f t="shared" si="57"/>
        <v>1</v>
      </c>
      <c r="AC375" s="345" t="str">
        <f t="shared" si="58"/>
        <v/>
      </c>
      <c r="AD375" s="332">
        <f t="shared" si="53"/>
        <v>0</v>
      </c>
      <c r="AE375" s="40" t="str">
        <f t="shared" si="59"/>
        <v/>
      </c>
      <c r="AF375" s="40" t="str">
        <f t="shared" si="60"/>
        <v/>
      </c>
      <c r="AG375" s="561" t="str">
        <f t="shared" si="54"/>
        <v/>
      </c>
      <c r="AH375" s="561" t="str">
        <f t="shared" si="55"/>
        <v/>
      </c>
      <c r="AI375" s="313"/>
    </row>
    <row r="376" spans="1:35" outlineLevel="3" x14ac:dyDescent="0.2">
      <c r="A376" s="39">
        <v>4</v>
      </c>
      <c r="B376" s="23">
        <v>1020020</v>
      </c>
      <c r="C376" s="23" t="s">
        <v>630</v>
      </c>
      <c r="D376" s="300">
        <f>Table22[[#This Row],[Level used for acute calculation]]</f>
        <v>4</v>
      </c>
      <c r="E376" s="302">
        <f>Table22[[#This Row],[MRL individual commodity]]</f>
        <v>0</v>
      </c>
      <c r="F376" s="451">
        <f>Table22[[#This Row],[Acute RA input value]]</f>
        <v>0</v>
      </c>
      <c r="G376" s="301" t="str">
        <f>Table22[[#This Row],[Acute RA label]]</f>
        <v/>
      </c>
      <c r="H376" s="303">
        <f>Table22[[#This Row],[Acute RA IESTI new input value]]</f>
        <v>0</v>
      </c>
      <c r="I376" s="301" t="str">
        <f>Table22[[#This Row],[Acute RA IESTI new label]]</f>
        <v/>
      </c>
      <c r="J376" s="504"/>
      <c r="K376" s="544">
        <f>Table22[[#This Row],[GAP under assessment]]</f>
        <v>0</v>
      </c>
      <c r="L376" s="304" t="str">
        <f>IF(input_values!$M376=0,"",input_values!$M376)</f>
        <v/>
      </c>
      <c r="M376" s="301" t="str">
        <f>IF(input_values!H376=0,"",input_values!H376)</f>
        <v/>
      </c>
      <c r="N376" s="304">
        <f>input_values!$K376</f>
        <v>0</v>
      </c>
      <c r="O376" s="339">
        <v>3.5706521739130439</v>
      </c>
      <c r="P376" s="128">
        <v>100</v>
      </c>
      <c r="Q376" s="128" t="s">
        <v>259</v>
      </c>
      <c r="R376" s="338">
        <v>18.399999999999999</v>
      </c>
      <c r="S376" s="338">
        <f t="shared" si="56"/>
        <v>65.7</v>
      </c>
      <c r="T376" s="305"/>
      <c r="U376" s="570"/>
      <c r="V376" s="305"/>
      <c r="W376" s="570"/>
      <c r="X376" s="460">
        <f>IF(V376="ND","ND",IF(S376="","",IF(OR(MID(C376,1,4)="milk",AND(MID(B376,1,2)="50",NOT(input_values!M376="Y")),AND(MID(B376,1,2)="40",NOT(input_values!M376="Y")),AND(MID(B376,1,2)="30",NOT(input_values!M376="Y"))),3,IF(OR(V376="&lt;25",B376&gt;1000000),1,IF((T376&gt;=S376),"2b","2a")))))</f>
        <v>3</v>
      </c>
      <c r="Y376" s="128">
        <f>IF(X376="ND","ND",IF(S376="","",IF(input_values!K376&gt;0,input_values!K376,IF(OR(X376=1,X376=3),1,IF((V376&gt;250),5,7)))))</f>
        <v>1</v>
      </c>
      <c r="Z376" s="345" t="str">
        <f t="shared" si="51"/>
        <v/>
      </c>
      <c r="AA376" s="332">
        <f t="shared" si="52"/>
        <v>0</v>
      </c>
      <c r="AB376" s="27">
        <f t="shared" si="57"/>
        <v>1</v>
      </c>
      <c r="AC376" s="345" t="str">
        <f t="shared" si="58"/>
        <v/>
      </c>
      <c r="AD376" s="332">
        <f t="shared" si="53"/>
        <v>0</v>
      </c>
      <c r="AE376" s="40" t="str">
        <f t="shared" si="59"/>
        <v/>
      </c>
      <c r="AF376" s="40" t="str">
        <f t="shared" si="60"/>
        <v/>
      </c>
      <c r="AG376" s="561" t="str">
        <f t="shared" si="54"/>
        <v/>
      </c>
      <c r="AH376" s="561" t="str">
        <f t="shared" si="55"/>
        <v/>
      </c>
      <c r="AI376" s="313"/>
    </row>
    <row r="377" spans="1:35" outlineLevel="3" x14ac:dyDescent="0.2">
      <c r="A377" s="39">
        <v>4</v>
      </c>
      <c r="B377" s="23">
        <v>1020030</v>
      </c>
      <c r="C377" s="23" t="s">
        <v>631</v>
      </c>
      <c r="D377" s="300">
        <f>Table22[[#This Row],[Level used for acute calculation]]</f>
        <v>4</v>
      </c>
      <c r="E377" s="302">
        <f>Table22[[#This Row],[MRL individual commodity]]</f>
        <v>0</v>
      </c>
      <c r="F377" s="451">
        <f>Table22[[#This Row],[Acute RA input value]]</f>
        <v>0</v>
      </c>
      <c r="G377" s="301" t="str">
        <f>Table22[[#This Row],[Acute RA label]]</f>
        <v/>
      </c>
      <c r="H377" s="303">
        <f>Table22[[#This Row],[Acute RA IESTI new input value]]</f>
        <v>0</v>
      </c>
      <c r="I377" s="301" t="str">
        <f>Table22[[#This Row],[Acute RA IESTI new label]]</f>
        <v/>
      </c>
      <c r="J377" s="504"/>
      <c r="K377" s="544">
        <f>Table22[[#This Row],[GAP under assessment]]</f>
        <v>0</v>
      </c>
      <c r="L377" s="304" t="str">
        <f>IF(input_values!$M377=0,"",input_values!$M377)</f>
        <v/>
      </c>
      <c r="M377" s="301" t="str">
        <f>IF(input_values!H377=0,"",input_values!H377)</f>
        <v/>
      </c>
      <c r="N377" s="304">
        <f>input_values!$K377</f>
        <v>0</v>
      </c>
      <c r="O377" s="339">
        <v>24.174600000000002</v>
      </c>
      <c r="P377" s="128">
        <v>97.5</v>
      </c>
      <c r="Q377" s="128" t="s">
        <v>1</v>
      </c>
      <c r="R377" s="338">
        <v>34.479999999999997</v>
      </c>
      <c r="S377" s="338">
        <f t="shared" si="56"/>
        <v>833.54020800000001</v>
      </c>
      <c r="T377" s="305"/>
      <c r="U377" s="570"/>
      <c r="V377" s="305"/>
      <c r="W377" s="570"/>
      <c r="X377" s="460">
        <f>IF(V377="ND","ND",IF(S377="","",IF(OR(MID(C377,1,4)="milk",AND(MID(B377,1,2)="50",NOT(input_values!M377="Y")),AND(MID(B377,1,2)="40",NOT(input_values!M377="Y")),AND(MID(B377,1,2)="30",NOT(input_values!M377="Y"))),3,IF(OR(V377="&lt;25",B377&gt;1000000),1,IF((T377&gt;=S377),"2b","2a")))))</f>
        <v>3</v>
      </c>
      <c r="Y377" s="128">
        <f>IF(X377="ND","ND",IF(S377="","",IF(input_values!K377&gt;0,input_values!K377,IF(OR(X377=1,X377=3),1,IF((V377&gt;250),5,7)))))</f>
        <v>1</v>
      </c>
      <c r="Z377" s="345" t="str">
        <f t="shared" si="51"/>
        <v/>
      </c>
      <c r="AA377" s="332">
        <f t="shared" si="52"/>
        <v>0</v>
      </c>
      <c r="AB377" s="27">
        <f t="shared" si="57"/>
        <v>1</v>
      </c>
      <c r="AC377" s="345" t="str">
        <f t="shared" si="58"/>
        <v/>
      </c>
      <c r="AD377" s="332">
        <f t="shared" si="53"/>
        <v>0</v>
      </c>
      <c r="AE377" s="40" t="str">
        <f t="shared" si="59"/>
        <v/>
      </c>
      <c r="AF377" s="40" t="str">
        <f t="shared" si="60"/>
        <v/>
      </c>
      <c r="AG377" s="561" t="str">
        <f t="shared" si="54"/>
        <v/>
      </c>
      <c r="AH377" s="561" t="str">
        <f t="shared" si="55"/>
        <v/>
      </c>
      <c r="AI377" s="313"/>
    </row>
    <row r="378" spans="1:35" outlineLevel="3" x14ac:dyDescent="0.2">
      <c r="A378" s="39">
        <v>4</v>
      </c>
      <c r="B378" s="23">
        <v>1020040</v>
      </c>
      <c r="C378" s="23" t="s">
        <v>639</v>
      </c>
      <c r="D378" s="300">
        <f>Table22[[#This Row],[Level used for acute calculation]]</f>
        <v>4</v>
      </c>
      <c r="E378" s="302">
        <f>Table22[[#This Row],[MRL individual commodity]]</f>
        <v>0</v>
      </c>
      <c r="F378" s="451">
        <f>Table22[[#This Row],[Acute RA input value]]</f>
        <v>0</v>
      </c>
      <c r="G378" s="301" t="str">
        <f>Table22[[#This Row],[Acute RA label]]</f>
        <v/>
      </c>
      <c r="H378" s="303">
        <f>Table22[[#This Row],[Acute RA IESTI new input value]]</f>
        <v>0</v>
      </c>
      <c r="I378" s="301" t="str">
        <f>Table22[[#This Row],[Acute RA IESTI new label]]</f>
        <v/>
      </c>
      <c r="J378" s="504"/>
      <c r="K378" s="544">
        <f>Table22[[#This Row],[GAP under assessment]]</f>
        <v>0</v>
      </c>
      <c r="L378" s="304" t="str">
        <f>IF(input_values!$M378=0,"",input_values!$M378)</f>
        <v/>
      </c>
      <c r="M378" s="301" t="str">
        <f>IF(input_values!H378=0,"",input_values!H378)</f>
        <v/>
      </c>
      <c r="N378" s="304">
        <f>input_values!$K378</f>
        <v>0</v>
      </c>
      <c r="O378" s="338" t="s">
        <v>618</v>
      </c>
      <c r="P378" s="128"/>
      <c r="Q378" s="128"/>
      <c r="R378" s="338"/>
      <c r="S378" s="338" t="str">
        <f t="shared" si="56"/>
        <v>ND</v>
      </c>
      <c r="T378" s="305"/>
      <c r="U378" s="570"/>
      <c r="V378" s="305"/>
      <c r="W378" s="570"/>
      <c r="X378" s="460">
        <f>IF(V378="ND","ND",IF(S378="","",IF(OR(MID(C378,1,4)="milk",AND(MID(B378,1,2)="50",NOT(input_values!M378="Y")),AND(MID(B378,1,2)="40",NOT(input_values!M378="Y")),AND(MID(B378,1,2)="30",NOT(input_values!M378="Y"))),3,IF(OR(V378="&lt;25",B378&gt;1000000),1,IF((T378&gt;=S378),"2b","2a")))))</f>
        <v>3</v>
      </c>
      <c r="Y378" s="128">
        <f>IF(X378="ND","ND",IF(S378="","",IF(input_values!K378&gt;0,input_values!K378,IF(OR(X378=1,X378=3),1,IF((V378&gt;250),5,7)))))</f>
        <v>1</v>
      </c>
      <c r="Z378" s="340" t="str">
        <f t="shared" si="51"/>
        <v/>
      </c>
      <c r="AA378" s="332">
        <f t="shared" si="52"/>
        <v>0</v>
      </c>
      <c r="AB378" s="27">
        <f t="shared" si="57"/>
        <v>1</v>
      </c>
      <c r="AC378" s="340" t="str">
        <f t="shared" si="58"/>
        <v/>
      </c>
      <c r="AD378" s="332">
        <f t="shared" si="53"/>
        <v>0</v>
      </c>
      <c r="AE378" s="37" t="str">
        <f t="shared" si="59"/>
        <v/>
      </c>
      <c r="AF378" s="37" t="str">
        <f t="shared" si="60"/>
        <v/>
      </c>
      <c r="AG378" s="561" t="str">
        <f t="shared" si="54"/>
        <v/>
      </c>
      <c r="AH378" s="561" t="str">
        <f t="shared" si="55"/>
        <v/>
      </c>
      <c r="AI378" s="313"/>
    </row>
    <row r="379" spans="1:35" outlineLevel="3" x14ac:dyDescent="0.2">
      <c r="A379" s="39">
        <v>4</v>
      </c>
      <c r="B379" s="23">
        <v>1020990</v>
      </c>
      <c r="C379" s="23" t="s">
        <v>632</v>
      </c>
      <c r="D379" s="300">
        <f>Table22[[#This Row],[Level used for acute calculation]]</f>
        <v>4</v>
      </c>
      <c r="E379" s="302">
        <f>Table22[[#This Row],[MRL individual commodity]]</f>
        <v>0</v>
      </c>
      <c r="F379" s="451">
        <f>Table22[[#This Row],[Acute RA input value]]</f>
        <v>0</v>
      </c>
      <c r="G379" s="301" t="str">
        <f>Table22[[#This Row],[Acute RA label]]</f>
        <v/>
      </c>
      <c r="H379" s="303">
        <f>Table22[[#This Row],[Acute RA IESTI new input value]]</f>
        <v>0</v>
      </c>
      <c r="I379" s="301" t="str">
        <f>Table22[[#This Row],[Acute RA IESTI new label]]</f>
        <v/>
      </c>
      <c r="J379" s="504"/>
      <c r="K379" s="544">
        <f>Table22[[#This Row],[GAP under assessment]]</f>
        <v>0</v>
      </c>
      <c r="L379" s="304" t="str">
        <f>IF(input_values!$M379=0,"",input_values!$M379)</f>
        <v/>
      </c>
      <c r="M379" s="301" t="str">
        <f>IF(input_values!H379=0,"",input_values!H379)</f>
        <v/>
      </c>
      <c r="N379" s="304">
        <f>input_values!$K379</f>
        <v>0</v>
      </c>
      <c r="O379" s="347"/>
      <c r="P379" s="47"/>
      <c r="Q379" s="47"/>
      <c r="R379" s="354"/>
      <c r="S379" s="610"/>
      <c r="T379" s="305"/>
      <c r="U379" s="570"/>
      <c r="V379" s="305"/>
      <c r="W379" s="570"/>
      <c r="X379" s="611" t="str">
        <f>IF(V379="ND","ND",IF(S379="","",IF(OR(MID(C379,1,4)="milk",AND(MID(B379,1,2)="50",NOT(input_values!M379="Y")),AND(MID(B379,1,2)="40",NOT(input_values!M379="Y")),AND(MID(B379,1,2)="30",NOT(input_values!M379="Y"))),3,IF(OR(V379="&lt;25",B379&gt;1000000),1,IF((T379&gt;=S379),"2b","2a")))))</f>
        <v/>
      </c>
      <c r="Y379" s="47" t="str">
        <f>IF(X379="ND","ND",IF(S379="","",IF(input_values!K379&gt;0,input_values!K379,IF(OR(X379=1,X379=3),1,IF((V379&gt;250),5,7)))))</f>
        <v/>
      </c>
      <c r="Z379" s="354"/>
      <c r="AA379" s="351">
        <f t="shared" si="52"/>
        <v>0</v>
      </c>
      <c r="AB379" s="47"/>
      <c r="AC379" s="354"/>
      <c r="AD379" s="351">
        <f t="shared" si="53"/>
        <v>0</v>
      </c>
      <c r="AE379" s="355"/>
      <c r="AF379" s="355"/>
      <c r="AG379" s="561" t="str">
        <f t="shared" si="54"/>
        <v/>
      </c>
      <c r="AH379" s="561" t="str">
        <f t="shared" si="55"/>
        <v/>
      </c>
      <c r="AI379" s="313"/>
    </row>
    <row r="380" spans="1:35" outlineLevel="1" x14ac:dyDescent="0.2">
      <c r="A380" s="130">
        <v>2</v>
      </c>
      <c r="B380" s="131">
        <v>1030000</v>
      </c>
      <c r="C380" s="131" t="s">
        <v>810</v>
      </c>
      <c r="D380" s="300">
        <f>Table22[[#This Row],[Level used for acute calculation]]</f>
        <v>4</v>
      </c>
      <c r="E380" s="302">
        <f>Table22[[#This Row],[MRL individual commodity]]</f>
        <v>0</v>
      </c>
      <c r="F380" s="451">
        <f>Table22[[#This Row],[Acute RA input value]]</f>
        <v>0</v>
      </c>
      <c r="G380" s="301">
        <f>Table22[[#This Row],[Acute RA label]]</f>
        <v>0</v>
      </c>
      <c r="H380" s="303">
        <f>Table22[[#This Row],[Acute RA IESTI new input value]]</f>
        <v>0</v>
      </c>
      <c r="I380" s="301">
        <f>Table22[[#This Row],[Acute RA IESTI new label]]</f>
        <v>0</v>
      </c>
      <c r="J380" s="504"/>
      <c r="K380" s="544">
        <f>Table22[[#This Row],[GAP under assessment]]</f>
        <v>0</v>
      </c>
      <c r="L380" s="304" t="str">
        <f>IF(input_values!$M380=0,"",input_values!$M380)</f>
        <v/>
      </c>
      <c r="M380" s="301" t="str">
        <f>IF(input_values!H380=0,"",input_values!H380)</f>
        <v/>
      </c>
      <c r="N380" s="304">
        <f>input_values!$K380</f>
        <v>0</v>
      </c>
      <c r="O380" s="305"/>
      <c r="P380" s="38"/>
      <c r="Q380" s="38"/>
      <c r="R380" s="335"/>
      <c r="S380" s="336" t="str">
        <f t="shared" si="56"/>
        <v/>
      </c>
      <c r="T380" s="305"/>
      <c r="U380" s="570"/>
      <c r="V380" s="305"/>
      <c r="W380" s="570"/>
      <c r="X380" s="611" t="str">
        <f>IF(V380="ND","ND",IF(S380="","",IF(OR(MID(C380,1,4)="milk",AND(MID(B380,1,2)="50",NOT(input_values!M380="Y")),AND(MID(B380,1,2)="40",NOT(input_values!M380="Y")),AND(MID(B380,1,2)="30",NOT(input_values!M380="Y"))),3,IF(OR(V380="&lt;25",B380&gt;1000000),1,IF((T380&gt;=S380),"2b","2a")))))</f>
        <v/>
      </c>
      <c r="Y380" s="38" t="str">
        <f>IF(X380="ND","ND",IF(S380="","",IF(input_values!K380&gt;0,input_values!K380,IF(OR(X380=1,X380=3),1,IF((V380&gt;250),5,7)))))</f>
        <v/>
      </c>
      <c r="Z380" s="310" t="str">
        <f t="shared" si="51"/>
        <v/>
      </c>
      <c r="AA380" s="311">
        <f t="shared" si="52"/>
        <v>0</v>
      </c>
      <c r="AB380" s="38" t="str">
        <f t="shared" si="57"/>
        <v/>
      </c>
      <c r="AC380" s="310" t="str">
        <f t="shared" si="58"/>
        <v/>
      </c>
      <c r="AD380" s="311">
        <f t="shared" si="53"/>
        <v>0</v>
      </c>
      <c r="AE380" s="312" t="str">
        <f t="shared" si="59"/>
        <v/>
      </c>
      <c r="AF380" s="312" t="str">
        <f t="shared" si="60"/>
        <v/>
      </c>
      <c r="AG380" s="561" t="str">
        <f t="shared" si="54"/>
        <v/>
      </c>
      <c r="AH380" s="561" t="str">
        <f t="shared" si="55"/>
        <v/>
      </c>
      <c r="AI380" s="313"/>
    </row>
    <row r="381" spans="1:35" outlineLevel="3" x14ac:dyDescent="0.2">
      <c r="A381" s="39">
        <v>4</v>
      </c>
      <c r="B381" s="23">
        <v>1030010</v>
      </c>
      <c r="C381" s="23" t="s">
        <v>148</v>
      </c>
      <c r="D381" s="300">
        <f>Table22[[#This Row],[Level used for acute calculation]]</f>
        <v>4</v>
      </c>
      <c r="E381" s="302">
        <f>Table22[[#This Row],[MRL individual commodity]]</f>
        <v>0</v>
      </c>
      <c r="F381" s="451">
        <f>Table22[[#This Row],[Acute RA input value]]</f>
        <v>0</v>
      </c>
      <c r="G381" s="301" t="str">
        <f>Table22[[#This Row],[Acute RA label]]</f>
        <v/>
      </c>
      <c r="H381" s="303">
        <f>Table22[[#This Row],[Acute RA IESTI new input value]]</f>
        <v>0</v>
      </c>
      <c r="I381" s="301" t="str">
        <f>Table22[[#This Row],[Acute RA IESTI new label]]</f>
        <v/>
      </c>
      <c r="J381" s="504"/>
      <c r="K381" s="544">
        <f>Table22[[#This Row],[GAP under assessment]]</f>
        <v>0</v>
      </c>
      <c r="L381" s="304" t="str">
        <f>IF(input_values!$M381=0,"",input_values!$M381)</f>
        <v/>
      </c>
      <c r="M381" s="301" t="str">
        <f>IF(input_values!H381=0,"",input_values!H381)</f>
        <v/>
      </c>
      <c r="N381" s="304">
        <f>input_values!$K381</f>
        <v>0</v>
      </c>
      <c r="O381" s="339">
        <v>12.413793103448278</v>
      </c>
      <c r="P381" s="128">
        <v>97.5</v>
      </c>
      <c r="Q381" s="128" t="s">
        <v>89</v>
      </c>
      <c r="R381" s="338">
        <v>8.6999999999999993</v>
      </c>
      <c r="S381" s="338">
        <f t="shared" si="56"/>
        <v>108</v>
      </c>
      <c r="T381" s="305"/>
      <c r="U381" s="570"/>
      <c r="V381" s="305"/>
      <c r="W381" s="570"/>
      <c r="X381" s="460">
        <f>IF(V381="ND","ND",IF(S381="","",IF(OR(MID(C381,1,4)="milk",AND(MID(B381,1,2)="50",NOT(input_values!M381="Y")),AND(MID(B381,1,2)="40",NOT(input_values!M381="Y")),AND(MID(B381,1,2)="30",NOT(input_values!M381="Y"))),3,IF(OR(V381="&lt;25",B381&gt;1000000),1,IF((T381&gt;=S381),"2b","2a")))))</f>
        <v>1</v>
      </c>
      <c r="Y381" s="128">
        <f>IF(X381="ND","ND",IF(S381="","",IF(input_values!K381&gt;0,input_values!K381,IF(OR(X381=1,X381=3),1,IF((V381&gt;250),5,7)))))</f>
        <v>1</v>
      </c>
      <c r="Z381" s="345" t="str">
        <f t="shared" si="51"/>
        <v/>
      </c>
      <c r="AA381" s="332">
        <f t="shared" si="52"/>
        <v>0</v>
      </c>
      <c r="AB381" s="27">
        <f t="shared" si="57"/>
        <v>1</v>
      </c>
      <c r="AC381" s="345" t="str">
        <f t="shared" si="58"/>
        <v/>
      </c>
      <c r="AD381" s="332">
        <f t="shared" si="53"/>
        <v>0</v>
      </c>
      <c r="AE381" s="40" t="str">
        <f t="shared" si="59"/>
        <v/>
      </c>
      <c r="AF381" s="40" t="str">
        <f t="shared" si="60"/>
        <v/>
      </c>
      <c r="AG381" s="561" t="str">
        <f t="shared" si="54"/>
        <v/>
      </c>
      <c r="AH381" s="561" t="str">
        <f t="shared" si="55"/>
        <v/>
      </c>
      <c r="AI381" s="313"/>
    </row>
    <row r="382" spans="1:35" outlineLevel="3" x14ac:dyDescent="0.2">
      <c r="A382" s="39">
        <v>4</v>
      </c>
      <c r="B382" s="23">
        <v>1030020</v>
      </c>
      <c r="C382" s="23" t="s">
        <v>149</v>
      </c>
      <c r="D382" s="300">
        <f>Table22[[#This Row],[Level used for acute calculation]]</f>
        <v>4</v>
      </c>
      <c r="E382" s="302">
        <f>Table22[[#This Row],[MRL individual commodity]]</f>
        <v>0</v>
      </c>
      <c r="F382" s="451">
        <f>Table22[[#This Row],[Acute RA input value]]</f>
        <v>0</v>
      </c>
      <c r="G382" s="301" t="str">
        <f>Table22[[#This Row],[Acute RA label]]</f>
        <v/>
      </c>
      <c r="H382" s="303">
        <f>Table22[[#This Row],[Acute RA IESTI new input value]]</f>
        <v>0</v>
      </c>
      <c r="I382" s="301" t="str">
        <f>Table22[[#This Row],[Acute RA IESTI new label]]</f>
        <v/>
      </c>
      <c r="J382" s="504"/>
      <c r="K382" s="544">
        <f>Table22[[#This Row],[GAP under assessment]]</f>
        <v>0</v>
      </c>
      <c r="L382" s="304" t="str">
        <f>IF(input_values!$M382=0,"",input_values!$M382)</f>
        <v/>
      </c>
      <c r="M382" s="301" t="str">
        <f>IF(input_values!H382=0,"",input_values!H382)</f>
        <v/>
      </c>
      <c r="N382" s="304">
        <f>input_values!$K382</f>
        <v>0</v>
      </c>
      <c r="O382" s="338" t="s">
        <v>618</v>
      </c>
      <c r="P382" s="128"/>
      <c r="Q382" s="128"/>
      <c r="R382" s="338"/>
      <c r="S382" s="338" t="str">
        <f t="shared" si="56"/>
        <v>ND</v>
      </c>
      <c r="T382" s="305"/>
      <c r="U382" s="570"/>
      <c r="V382" s="305"/>
      <c r="W382" s="570"/>
      <c r="X382" s="460">
        <f>IF(V382="ND","ND",IF(S382="","",IF(OR(MID(C382,1,4)="milk",AND(MID(B382,1,2)="50",NOT(input_values!M382="Y")),AND(MID(B382,1,2)="40",NOT(input_values!M382="Y")),AND(MID(B382,1,2)="30",NOT(input_values!M382="Y"))),3,IF(OR(V382="&lt;25",B382&gt;1000000),1,IF((T382&gt;=S382),"2b","2a")))))</f>
        <v>1</v>
      </c>
      <c r="Y382" s="128">
        <f>IF(X382="ND","ND",IF(S382="","",IF(input_values!K382&gt;0,input_values!K382,IF(OR(X382=1,X382=3),1,IF((V382&gt;250),5,7)))))</f>
        <v>1</v>
      </c>
      <c r="Z382" s="340" t="str">
        <f t="shared" si="51"/>
        <v/>
      </c>
      <c r="AA382" s="332">
        <f t="shared" si="52"/>
        <v>0</v>
      </c>
      <c r="AB382" s="27">
        <f t="shared" si="57"/>
        <v>1</v>
      </c>
      <c r="AC382" s="340" t="str">
        <f t="shared" si="58"/>
        <v/>
      </c>
      <c r="AD382" s="332">
        <f t="shared" si="53"/>
        <v>0</v>
      </c>
      <c r="AE382" s="37" t="str">
        <f t="shared" si="59"/>
        <v/>
      </c>
      <c r="AF382" s="37" t="str">
        <f t="shared" si="60"/>
        <v/>
      </c>
      <c r="AG382" s="561" t="str">
        <f t="shared" si="54"/>
        <v/>
      </c>
      <c r="AH382" s="561" t="str">
        <f t="shared" si="55"/>
        <v/>
      </c>
      <c r="AI382" s="313"/>
    </row>
    <row r="383" spans="1:35" outlineLevel="3" x14ac:dyDescent="0.2">
      <c r="A383" s="39">
        <v>4</v>
      </c>
      <c r="B383" s="23">
        <v>1030030</v>
      </c>
      <c r="C383" s="23" t="s">
        <v>150</v>
      </c>
      <c r="D383" s="300">
        <f>Table22[[#This Row],[Level used for acute calculation]]</f>
        <v>4</v>
      </c>
      <c r="E383" s="302">
        <f>Table22[[#This Row],[MRL individual commodity]]</f>
        <v>0</v>
      </c>
      <c r="F383" s="451">
        <f>Table22[[#This Row],[Acute RA input value]]</f>
        <v>0</v>
      </c>
      <c r="G383" s="301" t="str">
        <f>Table22[[#This Row],[Acute RA label]]</f>
        <v/>
      </c>
      <c r="H383" s="303">
        <f>Table22[[#This Row],[Acute RA IESTI new input value]]</f>
        <v>0</v>
      </c>
      <c r="I383" s="301" t="str">
        <f>Table22[[#This Row],[Acute RA IESTI new label]]</f>
        <v/>
      </c>
      <c r="J383" s="504"/>
      <c r="K383" s="544">
        <f>Table22[[#This Row],[GAP under assessment]]</f>
        <v>0</v>
      </c>
      <c r="L383" s="304" t="str">
        <f>IF(input_values!$M383=0,"",input_values!$M383)</f>
        <v/>
      </c>
      <c r="M383" s="301" t="str">
        <f>IF(input_values!H383=0,"",input_values!H383)</f>
        <v/>
      </c>
      <c r="N383" s="304">
        <f>input_values!$K383</f>
        <v>0</v>
      </c>
      <c r="O383" s="338" t="s">
        <v>618</v>
      </c>
      <c r="P383" s="128"/>
      <c r="Q383" s="128"/>
      <c r="R383" s="338"/>
      <c r="S383" s="338" t="str">
        <f t="shared" si="56"/>
        <v>ND</v>
      </c>
      <c r="T383" s="305"/>
      <c r="U383" s="570"/>
      <c r="V383" s="305"/>
      <c r="W383" s="570"/>
      <c r="X383" s="460">
        <f>IF(V383="ND","ND",IF(S383="","",IF(OR(MID(C383,1,4)="milk",AND(MID(B383,1,2)="50",NOT(input_values!M383="Y")),AND(MID(B383,1,2)="40",NOT(input_values!M383="Y")),AND(MID(B383,1,2)="30",NOT(input_values!M383="Y"))),3,IF(OR(V383="&lt;25",B383&gt;1000000),1,IF((T383&gt;=S383),"2b","2a")))))</f>
        <v>1</v>
      </c>
      <c r="Y383" s="128">
        <f>IF(X383="ND","ND",IF(S383="","",IF(input_values!K383&gt;0,input_values!K383,IF(OR(X383=1,X383=3),1,IF((V383&gt;250),5,7)))))</f>
        <v>1</v>
      </c>
      <c r="Z383" s="340" t="str">
        <f t="shared" si="51"/>
        <v/>
      </c>
      <c r="AA383" s="332">
        <f t="shared" si="52"/>
        <v>0</v>
      </c>
      <c r="AB383" s="27">
        <f t="shared" si="57"/>
        <v>1</v>
      </c>
      <c r="AC383" s="340" t="str">
        <f t="shared" si="58"/>
        <v/>
      </c>
      <c r="AD383" s="332">
        <f t="shared" si="53"/>
        <v>0</v>
      </c>
      <c r="AE383" s="37" t="str">
        <f t="shared" si="59"/>
        <v/>
      </c>
      <c r="AF383" s="37" t="str">
        <f t="shared" si="60"/>
        <v/>
      </c>
      <c r="AG383" s="561" t="str">
        <f t="shared" si="54"/>
        <v/>
      </c>
      <c r="AH383" s="561" t="str">
        <f t="shared" si="55"/>
        <v/>
      </c>
      <c r="AI383" s="313"/>
    </row>
    <row r="384" spans="1:35" outlineLevel="3" x14ac:dyDescent="0.2">
      <c r="A384" s="39">
        <v>4</v>
      </c>
      <c r="B384" s="23">
        <v>1030040</v>
      </c>
      <c r="C384" s="23" t="s">
        <v>151</v>
      </c>
      <c r="D384" s="300">
        <f>Table22[[#This Row],[Level used for acute calculation]]</f>
        <v>4</v>
      </c>
      <c r="E384" s="302">
        <f>Table22[[#This Row],[MRL individual commodity]]</f>
        <v>0</v>
      </c>
      <c r="F384" s="451">
        <f>Table22[[#This Row],[Acute RA input value]]</f>
        <v>0</v>
      </c>
      <c r="G384" s="301" t="str">
        <f>Table22[[#This Row],[Acute RA label]]</f>
        <v/>
      </c>
      <c r="H384" s="303">
        <f>Table22[[#This Row],[Acute RA IESTI new input value]]</f>
        <v>0</v>
      </c>
      <c r="I384" s="301" t="str">
        <f>Table22[[#This Row],[Acute RA IESTI new label]]</f>
        <v/>
      </c>
      <c r="J384" s="504"/>
      <c r="K384" s="544">
        <f>Table22[[#This Row],[GAP under assessment]]</f>
        <v>0</v>
      </c>
      <c r="L384" s="304" t="str">
        <f>IF(input_values!$M384=0,"",input_values!$M384)</f>
        <v/>
      </c>
      <c r="M384" s="301" t="str">
        <f>IF(input_values!H384=0,"",input_values!H384)</f>
        <v/>
      </c>
      <c r="N384" s="304">
        <f>input_values!$K384</f>
        <v>0</v>
      </c>
      <c r="O384" s="338" t="s">
        <v>618</v>
      </c>
      <c r="P384" s="128"/>
      <c r="Q384" s="128"/>
      <c r="R384" s="338"/>
      <c r="S384" s="338" t="str">
        <f t="shared" si="56"/>
        <v>ND</v>
      </c>
      <c r="T384" s="305"/>
      <c r="U384" s="570"/>
      <c r="V384" s="305"/>
      <c r="W384" s="570"/>
      <c r="X384" s="460">
        <f>IF(V384="ND","ND",IF(S384="","",IF(OR(MID(C384,1,4)="milk",AND(MID(B384,1,2)="50",NOT(input_values!M384="Y")),AND(MID(B384,1,2)="40",NOT(input_values!M384="Y")),AND(MID(B384,1,2)="30",NOT(input_values!M384="Y"))),3,IF(OR(V384="&lt;25",B384&gt;1000000),1,IF((T384&gt;=S384),"2b","2a")))))</f>
        <v>1</v>
      </c>
      <c r="Y384" s="128">
        <f>IF(X384="ND","ND",IF(S384="","",IF(input_values!K384&gt;0,input_values!K384,IF(OR(X384=1,X384=3),1,IF((V384&gt;250),5,7)))))</f>
        <v>1</v>
      </c>
      <c r="Z384" s="340" t="str">
        <f t="shared" si="51"/>
        <v/>
      </c>
      <c r="AA384" s="332">
        <f t="shared" si="52"/>
        <v>0</v>
      </c>
      <c r="AB384" s="27">
        <f t="shared" si="57"/>
        <v>1</v>
      </c>
      <c r="AC384" s="340" t="str">
        <f t="shared" si="58"/>
        <v/>
      </c>
      <c r="AD384" s="332">
        <f t="shared" si="53"/>
        <v>0</v>
      </c>
      <c r="AE384" s="37" t="str">
        <f t="shared" si="59"/>
        <v/>
      </c>
      <c r="AF384" s="37" t="str">
        <f t="shared" si="60"/>
        <v/>
      </c>
      <c r="AG384" s="561" t="str">
        <f t="shared" si="54"/>
        <v/>
      </c>
      <c r="AH384" s="561" t="str">
        <f t="shared" si="55"/>
        <v/>
      </c>
      <c r="AI384" s="313"/>
    </row>
    <row r="385" spans="1:35" outlineLevel="3" x14ac:dyDescent="0.2">
      <c r="A385" s="39">
        <v>4</v>
      </c>
      <c r="B385" s="23">
        <v>1030990</v>
      </c>
      <c r="C385" s="23" t="s">
        <v>633</v>
      </c>
      <c r="D385" s="300">
        <f>Table22[[#This Row],[Level used for acute calculation]]</f>
        <v>0</v>
      </c>
      <c r="E385" s="302">
        <f>Table22[[#This Row],[MRL individual commodity]]</f>
        <v>0</v>
      </c>
      <c r="F385" s="451">
        <f>Table22[[#This Row],[Acute RA input value]]</f>
        <v>0</v>
      </c>
      <c r="G385" s="301" t="str">
        <f>Table22[[#This Row],[Acute RA label]]</f>
        <v/>
      </c>
      <c r="H385" s="303">
        <f>Table22[[#This Row],[Acute RA IESTI new input value]]</f>
        <v>0</v>
      </c>
      <c r="I385" s="301" t="str">
        <f>Table22[[#This Row],[Acute RA IESTI new label]]</f>
        <v/>
      </c>
      <c r="J385" s="504"/>
      <c r="K385" s="544">
        <f>Table22[[#This Row],[GAP under assessment]]</f>
        <v>0</v>
      </c>
      <c r="L385" s="304" t="str">
        <f>IF(input_values!$M385=0,"",input_values!$M385)</f>
        <v/>
      </c>
      <c r="M385" s="301" t="str">
        <f>IF(input_values!H385=0,"",input_values!H385)</f>
        <v/>
      </c>
      <c r="N385" s="304">
        <f>input_values!$K385</f>
        <v>0</v>
      </c>
      <c r="O385" s="347"/>
      <c r="P385" s="47"/>
      <c r="Q385" s="47"/>
      <c r="R385" s="347"/>
      <c r="S385" s="347"/>
      <c r="T385" s="305"/>
      <c r="U385" s="570"/>
      <c r="V385" s="305"/>
      <c r="W385" s="570"/>
      <c r="X385" s="611" t="str">
        <f>IF(V385="ND","ND",IF(S385="","",IF(OR(MID(C385,1,4)="milk",AND(MID(B385,1,2)="50",NOT(input_values!M385="Y")),AND(MID(B385,1,2)="40",NOT(input_values!M385="Y")),AND(MID(B385,1,2)="30",NOT(input_values!M385="Y"))),3,IF(OR(V385="&lt;25",B385&gt;1000000),1,IF((T385&gt;=S385),"2b","2a")))))</f>
        <v/>
      </c>
      <c r="Y385" s="47" t="str">
        <f>IF(X385="ND","ND",IF(S385="","",IF(input_values!K385&gt;0,input_values!K385,IF(OR(X385=1,X385=3),1,IF((V385&gt;250),5,7)))))</f>
        <v/>
      </c>
      <c r="Z385" s="350"/>
      <c r="AA385" s="351">
        <f t="shared" si="52"/>
        <v>0</v>
      </c>
      <c r="AB385" s="47"/>
      <c r="AC385" s="350"/>
      <c r="AD385" s="351">
        <f t="shared" si="53"/>
        <v>0</v>
      </c>
      <c r="AE385" s="352"/>
      <c r="AF385" s="352"/>
      <c r="AG385" s="561" t="str">
        <f t="shared" si="54"/>
        <v/>
      </c>
      <c r="AH385" s="561" t="str">
        <f t="shared" si="55"/>
        <v/>
      </c>
      <c r="AI385" s="313"/>
    </row>
    <row r="386" spans="1:35" ht="24" outlineLevel="1" x14ac:dyDescent="0.2">
      <c r="A386" s="130">
        <v>2</v>
      </c>
      <c r="B386" s="131">
        <v>1040000</v>
      </c>
      <c r="C386" s="131" t="s">
        <v>811</v>
      </c>
      <c r="D386" s="300">
        <f>Table22[[#This Row],[Level used for acute calculation]]</f>
        <v>2</v>
      </c>
      <c r="E386" s="302">
        <f>Table22[[#This Row],[MRL individual commodity]]</f>
        <v>0</v>
      </c>
      <c r="F386" s="451">
        <f>Table22[[#This Row],[Acute RA input value]]</f>
        <v>0</v>
      </c>
      <c r="G386" s="301" t="str">
        <f>Table22[[#This Row],[Acute RA label]]</f>
        <v/>
      </c>
      <c r="H386" s="303">
        <f>Table22[[#This Row],[Acute RA IESTI new input value]]</f>
        <v>0</v>
      </c>
      <c r="I386" s="301" t="str">
        <f>Table22[[#This Row],[Acute RA IESTI new label]]</f>
        <v/>
      </c>
      <c r="J386" s="504"/>
      <c r="K386" s="544">
        <f>Table22[[#This Row],[GAP under assessment]]</f>
        <v>0</v>
      </c>
      <c r="L386" s="304" t="str">
        <f>IF(input_values!$M386=0,"",input_values!$M386)</f>
        <v/>
      </c>
      <c r="M386" s="301" t="str">
        <f>IF(input_values!H386=0,"",input_values!H386)</f>
        <v/>
      </c>
      <c r="N386" s="304">
        <f>input_values!$K386</f>
        <v>0</v>
      </c>
      <c r="O386" s="339">
        <v>3.5784313725490198</v>
      </c>
      <c r="P386" s="128">
        <v>97.5</v>
      </c>
      <c r="Q386" s="128" t="s">
        <v>329</v>
      </c>
      <c r="R386" s="338">
        <v>10.199999999999999</v>
      </c>
      <c r="S386" s="338">
        <f t="shared" si="56"/>
        <v>36.5</v>
      </c>
      <c r="T386" s="305"/>
      <c r="U386" s="570"/>
      <c r="V386" s="305"/>
      <c r="W386" s="570"/>
      <c r="X386" s="460">
        <f>IF(V386="ND","ND",IF(S386="","",IF(OR(MID(C386,1,4)="milk",AND(MID(B386,1,2)="50",NOT(input_values!M386="Y")),AND(MID(B386,1,2)="40",NOT(input_values!M386="Y")),AND(MID(B386,1,2)="30",NOT(input_values!M386="Y"))),3,IF(OR(V386="&lt;25",B386&gt;1000000),1,IF((T386&gt;=S386),"2b","2a")))))</f>
        <v>1</v>
      </c>
      <c r="Y386" s="128">
        <f>IF(X386="ND","ND",IF(S386="","",IF(input_values!K386&gt;0,input_values!K386,IF(OR(X386=1,X386=3),1,IF((V386&gt;250),5,7)))))</f>
        <v>1</v>
      </c>
      <c r="Z386" s="356" t="str">
        <f>IF(OR(ISTEXT(F386),F386=0),"",IF(OR(S386="ND",T386="ND"),"ND",IF(S386=0,0,IF(($X386="2a"),1/$R386*(($F386*$T386/1000*$Y386)+($F386*($S386-$T386)/1000)),IF(($X386="2b"),1/$R386*($F386*$S386/1000*$Y386),1/$R386*($F386*$S386/1000))))))</f>
        <v/>
      </c>
      <c r="AA386" s="332">
        <f t="shared" si="52"/>
        <v>0</v>
      </c>
      <c r="AB386" s="27">
        <f t="shared" si="57"/>
        <v>1</v>
      </c>
      <c r="AC386" s="345" t="str">
        <f t="shared" si="58"/>
        <v/>
      </c>
      <c r="AD386" s="332">
        <f t="shared" si="53"/>
        <v>0</v>
      </c>
      <c r="AE386" s="40" t="str">
        <f t="shared" si="59"/>
        <v/>
      </c>
      <c r="AF386" s="40" t="str">
        <f t="shared" si="60"/>
        <v/>
      </c>
      <c r="AG386" s="561" t="str">
        <f t="shared" si="54"/>
        <v/>
      </c>
      <c r="AH386" s="561" t="str">
        <f t="shared" si="55"/>
        <v/>
      </c>
      <c r="AI386" s="313"/>
    </row>
    <row r="387" spans="1:35" outlineLevel="1" x14ac:dyDescent="0.2">
      <c r="A387" s="130">
        <v>2</v>
      </c>
      <c r="B387" s="131">
        <v>1050000</v>
      </c>
      <c r="C387" s="131" t="s">
        <v>38</v>
      </c>
      <c r="D387" s="300">
        <f>Table22[[#This Row],[Level used for acute calculation]]</f>
        <v>2</v>
      </c>
      <c r="E387" s="302">
        <f>Table22[[#This Row],[MRL individual commodity]]</f>
        <v>0</v>
      </c>
      <c r="F387" s="451">
        <f>Table22[[#This Row],[Acute RA input value]]</f>
        <v>0</v>
      </c>
      <c r="G387" s="301" t="str">
        <f>Table22[[#This Row],[Acute RA label]]</f>
        <v/>
      </c>
      <c r="H387" s="303">
        <f>Table22[[#This Row],[Acute RA IESTI new input value]]</f>
        <v>0</v>
      </c>
      <c r="I387" s="301" t="str">
        <f>Table22[[#This Row],[Acute RA IESTI new label]]</f>
        <v/>
      </c>
      <c r="J387" s="504"/>
      <c r="K387" s="544">
        <f>Table22[[#This Row],[GAP under assessment]]</f>
        <v>0</v>
      </c>
      <c r="L387" s="304" t="str">
        <f>IF(input_values!$M387=0,"",input_values!$M387)</f>
        <v/>
      </c>
      <c r="M387" s="301" t="str">
        <f>IF(input_values!H387=0,"",input_values!H387)</f>
        <v/>
      </c>
      <c r="N387" s="304">
        <f>input_values!$K387</f>
        <v>0</v>
      </c>
      <c r="O387" s="338" t="s">
        <v>618</v>
      </c>
      <c r="P387" s="128"/>
      <c r="Q387" s="128"/>
      <c r="R387" s="338"/>
      <c r="S387" s="338" t="str">
        <f t="shared" si="56"/>
        <v>ND</v>
      </c>
      <c r="T387" s="305"/>
      <c r="U387" s="570"/>
      <c r="V387" s="305"/>
      <c r="W387" s="570"/>
      <c r="X387" s="460">
        <f>IF(V387="ND","ND",IF(S387="","",IF(OR(MID(C387,1,4)="milk",AND(MID(B387,1,2)="50",NOT(input_values!M387="Y")),AND(MID(B387,1,2)="40",NOT(input_values!M387="Y")),AND(MID(B387,1,2)="30",NOT(input_values!M387="Y"))),3,IF(OR(V387="&lt;25",B387&gt;1000000),1,IF((T387&gt;=S387),"2b","2a")))))</f>
        <v>1</v>
      </c>
      <c r="Y387" s="128">
        <f>IF(X387="ND","ND",IF(S387="","",IF(input_values!K387&gt;0,input_values!K387,IF(OR(X387=1,X387=3),1,IF((V387&gt;250),5,7)))))</f>
        <v>1</v>
      </c>
      <c r="Z387" s="340" t="str">
        <f t="shared" si="51"/>
        <v/>
      </c>
      <c r="AA387" s="332">
        <f t="shared" si="52"/>
        <v>0</v>
      </c>
      <c r="AB387" s="27">
        <f t="shared" si="57"/>
        <v>1</v>
      </c>
      <c r="AC387" s="340" t="str">
        <f t="shared" si="58"/>
        <v/>
      </c>
      <c r="AD387" s="332">
        <f t="shared" si="53"/>
        <v>0</v>
      </c>
      <c r="AE387" s="37" t="str">
        <f t="shared" si="59"/>
        <v/>
      </c>
      <c r="AF387" s="37" t="str">
        <f t="shared" si="60"/>
        <v/>
      </c>
      <c r="AG387" s="561" t="str">
        <f t="shared" si="54"/>
        <v/>
      </c>
      <c r="AH387" s="561" t="str">
        <f t="shared" si="55"/>
        <v/>
      </c>
      <c r="AI387" s="313"/>
    </row>
    <row r="388" spans="1:35" ht="24" outlineLevel="1" x14ac:dyDescent="0.2">
      <c r="A388" s="130">
        <v>2</v>
      </c>
      <c r="B388" s="131">
        <v>1060000</v>
      </c>
      <c r="C388" s="131" t="s">
        <v>812</v>
      </c>
      <c r="D388" s="300">
        <f>Table22[[#This Row],[Level used for acute calculation]]</f>
        <v>2</v>
      </c>
      <c r="E388" s="302">
        <f>Table22[[#This Row],[MRL individual commodity]]</f>
        <v>0</v>
      </c>
      <c r="F388" s="451">
        <f>Table22[[#This Row],[Acute RA input value]]</f>
        <v>0</v>
      </c>
      <c r="G388" s="301" t="str">
        <f>Table22[[#This Row],[Acute RA label]]</f>
        <v/>
      </c>
      <c r="H388" s="303">
        <f>Table22[[#This Row],[Acute RA IESTI new input value]]</f>
        <v>0</v>
      </c>
      <c r="I388" s="301" t="str">
        <f>Table22[[#This Row],[Acute RA IESTI new label]]</f>
        <v/>
      </c>
      <c r="J388" s="504"/>
      <c r="K388" s="544">
        <f>Table22[[#This Row],[GAP under assessment]]</f>
        <v>0</v>
      </c>
      <c r="L388" s="304" t="str">
        <f>IF(input_values!$M388=0,"",input_values!$M388)</f>
        <v/>
      </c>
      <c r="M388" s="301" t="str">
        <f>IF(input_values!H388=0,"",input_values!H388)</f>
        <v/>
      </c>
      <c r="N388" s="304">
        <f>input_values!$K388</f>
        <v>0</v>
      </c>
      <c r="O388" s="338" t="s">
        <v>618</v>
      </c>
      <c r="P388" s="128"/>
      <c r="Q388" s="128"/>
      <c r="R388" s="338"/>
      <c r="S388" s="338" t="str">
        <f t="shared" si="56"/>
        <v>ND</v>
      </c>
      <c r="T388" s="305"/>
      <c r="U388" s="570"/>
      <c r="V388" s="305"/>
      <c r="W388" s="570"/>
      <c r="X388" s="460">
        <f>IF(V388="ND","ND",IF(S388="","",IF(OR(MID(C388,1,4)="milk",AND(MID(B388,1,2)="50",NOT(input_values!M388="Y")),AND(MID(B388,1,2)="40",NOT(input_values!M388="Y")),AND(MID(B388,1,2)="30",NOT(input_values!M388="Y"))),3,IF(OR(V388="&lt;25",B388&gt;1000000),1,IF((T388&gt;=S388),"2b","2a")))))</f>
        <v>1</v>
      </c>
      <c r="Y388" s="128">
        <f>IF(X388="ND","ND",IF(S388="","",IF(input_values!K388&gt;0,input_values!K388,IF(OR(X388=1,X388=3),1,IF((V388&gt;250),5,7)))))</f>
        <v>1</v>
      </c>
      <c r="Z388" s="340" t="str">
        <f t="shared" si="51"/>
        <v/>
      </c>
      <c r="AA388" s="332">
        <f t="shared" si="52"/>
        <v>0</v>
      </c>
      <c r="AB388" s="27">
        <f t="shared" si="57"/>
        <v>1</v>
      </c>
      <c r="AC388" s="340" t="str">
        <f t="shared" si="58"/>
        <v/>
      </c>
      <c r="AD388" s="332">
        <f t="shared" si="53"/>
        <v>0</v>
      </c>
      <c r="AE388" s="37" t="str">
        <f t="shared" si="59"/>
        <v/>
      </c>
      <c r="AF388" s="37" t="str">
        <f t="shared" si="60"/>
        <v/>
      </c>
      <c r="AG388" s="561" t="str">
        <f t="shared" si="54"/>
        <v/>
      </c>
      <c r="AH388" s="561" t="str">
        <f t="shared" si="55"/>
        <v/>
      </c>
      <c r="AI388" s="313"/>
    </row>
    <row r="389" spans="1:35" ht="24" outlineLevel="1" x14ac:dyDescent="0.2">
      <c r="A389" s="130">
        <v>2</v>
      </c>
      <c r="B389" s="131">
        <v>1070000</v>
      </c>
      <c r="C389" s="131" t="s">
        <v>813</v>
      </c>
      <c r="D389" s="300">
        <f>Table22[[#This Row],[Level used for acute calculation]]</f>
        <v>2</v>
      </c>
      <c r="E389" s="302">
        <f>Table22[[#This Row],[MRL individual commodity]]</f>
        <v>0</v>
      </c>
      <c r="F389" s="451">
        <f>Table22[[#This Row],[Acute RA input value]]</f>
        <v>0</v>
      </c>
      <c r="G389" s="301" t="str">
        <f>Table22[[#This Row],[Acute RA label]]</f>
        <v/>
      </c>
      <c r="H389" s="303">
        <f>Table22[[#This Row],[Acute RA IESTI new input value]]</f>
        <v>0</v>
      </c>
      <c r="I389" s="301" t="str">
        <f>Table22[[#This Row],[Acute RA IESTI new label]]</f>
        <v/>
      </c>
      <c r="J389" s="504"/>
      <c r="K389" s="544">
        <f>Table22[[#This Row],[GAP under assessment]]</f>
        <v>0</v>
      </c>
      <c r="L389" s="304" t="str">
        <f>IF(input_values!$M389=0,"",input_values!$M389)</f>
        <v/>
      </c>
      <c r="M389" s="301" t="str">
        <f>IF(input_values!H389=0,"",input_values!H389)</f>
        <v/>
      </c>
      <c r="N389" s="304">
        <f>input_values!$K389</f>
        <v>0</v>
      </c>
      <c r="O389" s="338" t="s">
        <v>618</v>
      </c>
      <c r="P389" s="128"/>
      <c r="Q389" s="128"/>
      <c r="R389" s="338"/>
      <c r="S389" s="338" t="str">
        <f t="shared" si="56"/>
        <v>ND</v>
      </c>
      <c r="T389" s="305"/>
      <c r="U389" s="570"/>
      <c r="V389" s="305"/>
      <c r="W389" s="570"/>
      <c r="X389" s="460">
        <f>IF(V389="ND","ND",IF(S389="","",IF(OR(MID(C389,1,4)="milk",AND(MID(B389,1,2)="50",NOT(input_values!M389="Y")),AND(MID(B389,1,2)="40",NOT(input_values!M389="Y")),AND(MID(B389,1,2)="30",NOT(input_values!M389="Y"))),3,IF(OR(V389="&lt;25",B389&gt;1000000),1,IF((T389&gt;=S389),"2b","2a")))))</f>
        <v>1</v>
      </c>
      <c r="Y389" s="128">
        <f>IF(X389="ND","ND",IF(S389="","",IF(input_values!K389&gt;0,input_values!K389,IF(OR(X389=1,X389=3),1,IF((V389&gt;250),5,7)))))</f>
        <v>1</v>
      </c>
      <c r="Z389" s="340" t="str">
        <f t="shared" si="51"/>
        <v/>
      </c>
      <c r="AA389" s="332">
        <f t="shared" si="52"/>
        <v>0</v>
      </c>
      <c r="AB389" s="128">
        <f t="shared" si="57"/>
        <v>1</v>
      </c>
      <c r="AC389" s="340" t="str">
        <f t="shared" si="58"/>
        <v/>
      </c>
      <c r="AD389" s="332">
        <f t="shared" si="53"/>
        <v>0</v>
      </c>
      <c r="AE389" s="37" t="str">
        <f t="shared" si="59"/>
        <v/>
      </c>
      <c r="AF389" s="37" t="str">
        <f t="shared" si="60"/>
        <v/>
      </c>
      <c r="AG389" s="561" t="str">
        <f t="shared" si="54"/>
        <v/>
      </c>
      <c r="AH389" s="561" t="str">
        <f t="shared" si="55"/>
        <v/>
      </c>
      <c r="AI389" s="313"/>
    </row>
    <row r="390" spans="1:35" ht="12.75" customHeight="1" x14ac:dyDescent="0.2">
      <c r="A390" s="126">
        <v>1</v>
      </c>
      <c r="B390" s="127">
        <v>1100000</v>
      </c>
      <c r="C390" s="127" t="s">
        <v>814</v>
      </c>
      <c r="D390" s="300">
        <f>Table22[[#This Row],[Level used for acute calculation]]</f>
        <v>0</v>
      </c>
      <c r="E390" s="302">
        <f>Table22[[#This Row],[MRL individual commodity]]</f>
        <v>0</v>
      </c>
      <c r="F390" s="451">
        <f>Table22[[#This Row],[Acute RA input value]]</f>
        <v>0</v>
      </c>
      <c r="G390" s="301">
        <f>Table22[[#This Row],[Acute RA label]]</f>
        <v>0</v>
      </c>
      <c r="H390" s="303">
        <f>Table22[[#This Row],[Acute RA IESTI new input value]]</f>
        <v>0</v>
      </c>
      <c r="I390" s="301">
        <f>Table22[[#This Row],[Acute RA IESTI new label]]</f>
        <v>0</v>
      </c>
      <c r="J390" s="504"/>
      <c r="K390" s="544">
        <f>Table22[[#This Row],[GAP under assessment]]</f>
        <v>0</v>
      </c>
      <c r="L390" s="304" t="str">
        <f>IF(input_values!$M390=0,"",input_values!$M390)</f>
        <v/>
      </c>
      <c r="M390" s="301" t="str">
        <f>IF(input_values!H390=0,"",input_values!H390)</f>
        <v/>
      </c>
      <c r="N390" s="304">
        <f>input_values!$K390</f>
        <v>0</v>
      </c>
      <c r="O390" s="339">
        <v>8.8505747126436791</v>
      </c>
      <c r="P390" s="128">
        <v>97.5</v>
      </c>
      <c r="Q390" s="128" t="s">
        <v>89</v>
      </c>
      <c r="R390" s="338">
        <v>8.6999999999999993</v>
      </c>
      <c r="S390" s="338">
        <f t="shared" si="56"/>
        <v>77</v>
      </c>
      <c r="T390" s="305"/>
      <c r="U390" s="570"/>
      <c r="V390" s="305"/>
      <c r="W390" s="570"/>
      <c r="X390" s="460">
        <f>IF(V390="ND","ND",IF(S390="","",IF(OR(MID(C390,1,4)="milk",AND(MID(B390,1,2)="50",NOT(input_values!M390="Y")),AND(MID(B390,1,2)="40",NOT(input_values!M390="Y")),AND(MID(B390,1,2)="30",NOT(input_values!M390="Y"))),3,IF(OR(V390="&lt;25",B390&gt;1000000),1,IF((T390&gt;=S390),"2b","2a")))))</f>
        <v>1</v>
      </c>
      <c r="Y390" s="128">
        <f>IF(X390="ND","ND",IF(S390="","",IF(input_values!K390&gt;0,input_values!K390,IF(OR(X390=1,X390=3),1,IF((V390&gt;250),5,7)))))</f>
        <v>1</v>
      </c>
      <c r="Z390" s="356" t="str">
        <f>IF(OR(ISTEXT(F390),F390=0),"",IF(OR(S390="ND",T390="ND"),"ND",IF(S390=0,0,IF(($X390="2a"),1/$R390*(($F390*$T390/1000*$Y390)+($F390*($S390-$T390)/1000)),IF(($X390="2b"),1/$R390*($F390*$S390/1000*$Y390),1/$R390*($F390*$S390/1000))))))</f>
        <v/>
      </c>
      <c r="AA390" s="332">
        <f t="shared" si="52"/>
        <v>0</v>
      </c>
      <c r="AB390" s="27">
        <f t="shared" si="57"/>
        <v>1</v>
      </c>
      <c r="AC390" s="345" t="str">
        <f t="shared" si="58"/>
        <v/>
      </c>
      <c r="AD390" s="332">
        <f t="shared" si="53"/>
        <v>0</v>
      </c>
      <c r="AE390" s="40" t="str">
        <f t="shared" si="59"/>
        <v/>
      </c>
      <c r="AF390" s="40" t="str">
        <f t="shared" si="60"/>
        <v/>
      </c>
      <c r="AG390" s="561" t="str">
        <f t="shared" si="54"/>
        <v/>
      </c>
      <c r="AH390" s="561" t="str">
        <f t="shared" si="55"/>
        <v/>
      </c>
      <c r="AI390" s="313"/>
    </row>
    <row r="391" spans="1:35" x14ac:dyDescent="0.2">
      <c r="A391" s="499" t="s">
        <v>456</v>
      </c>
      <c r="B391" s="500"/>
      <c r="C391" s="501"/>
      <c r="D391" s="502"/>
      <c r="E391" s="503"/>
      <c r="F391" s="502"/>
      <c r="G391" s="502"/>
      <c r="H391" s="503"/>
      <c r="I391" s="502"/>
      <c r="J391" s="502"/>
      <c r="K391" s="545">
        <f>Table22[[#This Row],[GAP under assessment]]</f>
        <v>0</v>
      </c>
      <c r="L391" s="357"/>
      <c r="M391" s="357"/>
      <c r="N391" s="357"/>
      <c r="O391" s="357"/>
      <c r="P391" s="358"/>
      <c r="Q391" s="358"/>
      <c r="R391" s="359"/>
      <c r="S391" s="359"/>
      <c r="T391" s="357"/>
      <c r="U391" s="358"/>
      <c r="V391" s="357"/>
      <c r="W391" s="358"/>
      <c r="X391" s="1465" t="str">
        <f>IF(V391="ND","ND",IF(S391="","",IF(OR(MID(C391,1,4)="milk",AND(MID(B391,1,2)="50",NOT(input_values!M391="Y")),AND(MID(B391,1,2)="40",NOT(input_values!M391="Y")),AND(MID(B391,1,2)="30",NOT(input_values!M391="Y"))),3,IF(OR(V391="&lt;25",B391&gt;1000000),1,IF((T391&gt;=S391),"2b","2a")))))</f>
        <v/>
      </c>
      <c r="Y391" s="358" t="str">
        <f>IF(X391="ND","ND",IF(S391="","",IF(input_values!K391&gt;0,input_values!K391,IF(OR(X391=1,X391=3),1,IF((V391&gt;250),5,7)))))</f>
        <v/>
      </c>
      <c r="Z391" s="360"/>
      <c r="AA391" s="361">
        <f t="shared" si="52"/>
        <v>0</v>
      </c>
      <c r="AB391" s="357"/>
      <c r="AC391" s="360"/>
      <c r="AD391" s="361">
        <f t="shared" si="53"/>
        <v>0</v>
      </c>
      <c r="AE391" s="362"/>
      <c r="AF391" s="362"/>
      <c r="AG391" s="362" t="str">
        <f t="shared" si="54"/>
        <v/>
      </c>
      <c r="AH391" s="561" t="str">
        <f t="shared" si="55"/>
        <v/>
      </c>
      <c r="AI391" s="313"/>
    </row>
    <row r="392" spans="1:35" ht="30" customHeight="1" x14ac:dyDescent="0.2">
      <c r="A392" s="11" t="s">
        <v>456</v>
      </c>
      <c r="B392" s="288"/>
      <c r="C392" s="288"/>
      <c r="D392" s="363"/>
      <c r="E392" s="565"/>
      <c r="F392" s="364"/>
      <c r="G392" s="364"/>
      <c r="H392" s="365"/>
      <c r="I392" s="364"/>
      <c r="J392" s="364"/>
      <c r="K392" s="366"/>
      <c r="L392" s="364"/>
      <c r="M392" s="364"/>
      <c r="N392" s="364"/>
      <c r="O392" s="367"/>
    </row>
    <row r="393" spans="1:35" x14ac:dyDescent="0.2">
      <c r="A393" s="13" t="s">
        <v>456</v>
      </c>
      <c r="F393" s="382"/>
      <c r="G393" s="382"/>
      <c r="H393" s="286"/>
      <c r="I393" s="382"/>
      <c r="J393" s="382"/>
      <c r="K393" s="366"/>
      <c r="L393" s="382"/>
      <c r="M393" s="382"/>
      <c r="N393" s="382"/>
      <c r="O393" s="367"/>
      <c r="T393" s="1179"/>
      <c r="U393" s="1180"/>
      <c r="V393" s="1179"/>
      <c r="W393" s="1180"/>
    </row>
    <row r="394" spans="1:35" x14ac:dyDescent="0.2">
      <c r="A394" s="13" t="s">
        <v>456</v>
      </c>
      <c r="F394" s="382"/>
      <c r="G394" s="382"/>
      <c r="H394" s="286"/>
      <c r="I394" s="382"/>
      <c r="J394" s="382"/>
      <c r="K394" s="366"/>
      <c r="L394" s="382"/>
      <c r="M394" s="382"/>
      <c r="N394" s="382"/>
      <c r="O394" s="367"/>
    </row>
    <row r="395" spans="1:35" x14ac:dyDescent="0.2">
      <c r="A395" s="13" t="s">
        <v>456</v>
      </c>
      <c r="F395" s="382"/>
      <c r="G395" s="382"/>
      <c r="H395" s="286"/>
      <c r="I395" s="382"/>
      <c r="J395" s="382"/>
      <c r="K395" s="366"/>
      <c r="L395" s="382"/>
      <c r="M395" s="382"/>
      <c r="N395" s="382"/>
      <c r="O395" s="367"/>
    </row>
    <row r="396" spans="1:35" x14ac:dyDescent="0.2">
      <c r="A396" s="13" t="s">
        <v>456</v>
      </c>
      <c r="F396" s="382"/>
      <c r="G396" s="382"/>
      <c r="H396" s="286"/>
      <c r="I396" s="382"/>
      <c r="J396" s="382"/>
      <c r="K396" s="366"/>
      <c r="L396" s="382"/>
      <c r="M396" s="382"/>
      <c r="N396" s="382"/>
      <c r="O396" s="367"/>
    </row>
    <row r="397" spans="1:35" x14ac:dyDescent="0.2">
      <c r="A397" s="13" t="s">
        <v>456</v>
      </c>
      <c r="F397" s="382"/>
      <c r="G397" s="382"/>
      <c r="H397" s="286"/>
      <c r="I397" s="382"/>
      <c r="J397" s="382"/>
      <c r="K397" s="366"/>
      <c r="L397" s="382"/>
      <c r="M397" s="382"/>
      <c r="N397" s="382"/>
      <c r="O397" s="367"/>
    </row>
    <row r="398" spans="1:35" x14ac:dyDescent="0.2">
      <c r="A398" s="13" t="s">
        <v>456</v>
      </c>
      <c r="F398" s="382"/>
      <c r="G398" s="382"/>
      <c r="H398" s="286"/>
      <c r="I398" s="382"/>
      <c r="J398" s="382"/>
      <c r="K398" s="366"/>
      <c r="L398" s="382"/>
      <c r="M398" s="382"/>
      <c r="N398" s="382"/>
      <c r="O398" s="367"/>
    </row>
    <row r="399" spans="1:35" x14ac:dyDescent="0.2">
      <c r="A399" s="13" t="s">
        <v>456</v>
      </c>
      <c r="F399" s="382"/>
      <c r="G399" s="382"/>
      <c r="H399" s="286"/>
      <c r="I399" s="382"/>
      <c r="J399" s="382"/>
      <c r="K399" s="366"/>
      <c r="L399" s="382"/>
      <c r="M399" s="382"/>
      <c r="N399" s="382"/>
      <c r="O399" s="367"/>
    </row>
    <row r="400" spans="1:35" x14ac:dyDescent="0.2">
      <c r="A400" s="13" t="s">
        <v>456</v>
      </c>
      <c r="F400" s="382"/>
      <c r="G400" s="382"/>
      <c r="H400" s="286"/>
      <c r="I400" s="382"/>
      <c r="J400" s="382"/>
      <c r="K400" s="382"/>
      <c r="L400" s="382"/>
      <c r="M400" s="382"/>
      <c r="N400" s="382"/>
      <c r="O400" s="367"/>
    </row>
    <row r="401" spans="1:36" x14ac:dyDescent="0.2">
      <c r="A401" s="13" t="s">
        <v>456</v>
      </c>
      <c r="F401" s="382"/>
      <c r="G401" s="382"/>
      <c r="H401" s="286"/>
      <c r="I401" s="382"/>
      <c r="J401" s="382"/>
      <c r="K401" s="382"/>
      <c r="L401" s="382"/>
      <c r="M401" s="382"/>
      <c r="N401" s="382"/>
      <c r="O401" s="367"/>
    </row>
    <row r="402" spans="1:36" x14ac:dyDescent="0.2">
      <c r="A402" s="13" t="s">
        <v>456</v>
      </c>
      <c r="F402" s="382"/>
      <c r="G402" s="382"/>
      <c r="H402" s="286"/>
      <c r="I402" s="382"/>
      <c r="J402" s="382"/>
      <c r="K402" s="382"/>
      <c r="L402" s="382"/>
      <c r="M402" s="382"/>
      <c r="N402" s="382"/>
      <c r="O402" s="367"/>
    </row>
    <row r="403" spans="1:36" x14ac:dyDescent="0.2">
      <c r="A403" s="13" t="s">
        <v>456</v>
      </c>
      <c r="F403" s="382"/>
      <c r="G403" s="382"/>
      <c r="H403" s="286"/>
      <c r="I403" s="382"/>
      <c r="J403" s="382"/>
      <c r="K403" s="382"/>
      <c r="L403" s="382"/>
      <c r="M403" s="382"/>
      <c r="N403" s="382"/>
      <c r="O403" s="367"/>
    </row>
    <row r="404" spans="1:36" x14ac:dyDescent="0.2">
      <c r="A404" s="13" t="s">
        <v>456</v>
      </c>
      <c r="F404" s="382"/>
      <c r="G404" s="382"/>
      <c r="H404" s="286"/>
      <c r="I404" s="382"/>
      <c r="J404" s="382"/>
      <c r="K404" s="382"/>
      <c r="L404" s="382"/>
      <c r="M404" s="382"/>
      <c r="N404" s="382"/>
      <c r="O404" s="367"/>
    </row>
    <row r="405" spans="1:36" x14ac:dyDescent="0.2">
      <c r="A405" s="13" t="s">
        <v>456</v>
      </c>
      <c r="F405" s="382"/>
      <c r="G405" s="382"/>
      <c r="H405" s="286"/>
      <c r="I405" s="382"/>
      <c r="J405" s="382"/>
      <c r="K405" s="382"/>
      <c r="L405" s="382"/>
      <c r="M405" s="382"/>
      <c r="N405" s="382"/>
      <c r="O405" s="367"/>
      <c r="Z405" s="372"/>
    </row>
    <row r="406" spans="1:36" x14ac:dyDescent="0.2">
      <c r="A406" s="13" t="s">
        <v>456</v>
      </c>
      <c r="F406" s="382"/>
      <c r="G406" s="382"/>
      <c r="H406" s="286"/>
      <c r="I406" s="382"/>
      <c r="J406" s="382"/>
      <c r="K406" s="382"/>
      <c r="L406" s="382"/>
      <c r="M406" s="382"/>
      <c r="N406" s="382"/>
      <c r="O406" s="367"/>
    </row>
    <row r="407" spans="1:36" x14ac:dyDescent="0.2">
      <c r="A407" s="13" t="s">
        <v>456</v>
      </c>
      <c r="F407" s="382"/>
      <c r="G407" s="382"/>
      <c r="H407" s="286"/>
      <c r="I407" s="382"/>
      <c r="J407" s="382"/>
      <c r="K407" s="382"/>
      <c r="L407" s="382"/>
      <c r="M407" s="382"/>
      <c r="N407" s="382"/>
      <c r="O407" s="367"/>
      <c r="X407" s="1455"/>
      <c r="Z407" s="371"/>
    </row>
    <row r="408" spans="1:36" x14ac:dyDescent="0.2">
      <c r="A408" s="13" t="s">
        <v>456</v>
      </c>
      <c r="F408" s="382"/>
      <c r="G408" s="382"/>
      <c r="H408" s="286"/>
      <c r="I408" s="382"/>
      <c r="J408" s="382"/>
      <c r="K408" s="382"/>
      <c r="L408" s="382"/>
      <c r="M408" s="382"/>
      <c r="N408" s="382"/>
      <c r="O408" s="367"/>
      <c r="Z408" s="371"/>
    </row>
    <row r="409" spans="1:36" ht="12.75" x14ac:dyDescent="0.2">
      <c r="A409" s="13" t="s">
        <v>456</v>
      </c>
      <c r="F409" s="382"/>
      <c r="G409" s="382"/>
      <c r="H409" s="286"/>
      <c r="I409" s="382"/>
      <c r="J409" s="382"/>
      <c r="O409" s="367"/>
      <c r="AD409"/>
    </row>
    <row r="410" spans="1:36" x14ac:dyDescent="0.2">
      <c r="A410" s="13" t="s">
        <v>456</v>
      </c>
      <c r="F410" s="382"/>
      <c r="G410" s="382"/>
      <c r="H410" s="286"/>
      <c r="I410" s="382"/>
      <c r="J410" s="382"/>
      <c r="O410" s="367"/>
      <c r="Z410" s="372"/>
    </row>
    <row r="411" spans="1:36" ht="65.45" customHeight="1" x14ac:dyDescent="0.2">
      <c r="A411" s="463" t="s">
        <v>644</v>
      </c>
      <c r="B411" s="157" t="s">
        <v>212</v>
      </c>
      <c r="C411" s="157" t="s">
        <v>282</v>
      </c>
      <c r="D411" s="157" t="s">
        <v>483</v>
      </c>
      <c r="E411" s="157" t="s">
        <v>931</v>
      </c>
      <c r="F411" s="157" t="s">
        <v>358</v>
      </c>
      <c r="G411" s="157" t="s">
        <v>357</v>
      </c>
      <c r="H411" s="157" t="s">
        <v>359</v>
      </c>
      <c r="I411" s="157" t="s">
        <v>360</v>
      </c>
      <c r="J411" s="157" t="s">
        <v>344</v>
      </c>
      <c r="K411" s="157" t="s">
        <v>917</v>
      </c>
      <c r="L411" s="157" t="s">
        <v>643</v>
      </c>
      <c r="M411" s="157" t="s">
        <v>435</v>
      </c>
      <c r="N411" s="157" t="s">
        <v>363</v>
      </c>
      <c r="O411" s="158" t="s">
        <v>455</v>
      </c>
      <c r="P411" s="496" t="s">
        <v>56</v>
      </c>
      <c r="Q411" s="157" t="s">
        <v>324</v>
      </c>
      <c r="R411" s="158" t="s">
        <v>372</v>
      </c>
      <c r="S411" s="505" t="s">
        <v>1901</v>
      </c>
      <c r="T411" s="157" t="s">
        <v>1900</v>
      </c>
      <c r="U411" s="157" t="s">
        <v>296</v>
      </c>
      <c r="V411" s="505" t="s">
        <v>1899</v>
      </c>
      <c r="W411" s="157" t="s">
        <v>327</v>
      </c>
      <c r="X411" s="158" t="s">
        <v>285</v>
      </c>
      <c r="Y411" s="505" t="s">
        <v>1893</v>
      </c>
      <c r="Z411" s="157" t="s">
        <v>1894</v>
      </c>
      <c r="AA411" s="158" t="s">
        <v>362</v>
      </c>
      <c r="AB411" s="505" t="s">
        <v>297</v>
      </c>
      <c r="AC411" s="157" t="s">
        <v>1895</v>
      </c>
      <c r="AD411" s="158" t="s">
        <v>1896</v>
      </c>
      <c r="AE411" s="505" t="s">
        <v>1897</v>
      </c>
      <c r="AF411" s="157" t="s">
        <v>1902</v>
      </c>
      <c r="AG411" s="158" t="s">
        <v>1903</v>
      </c>
      <c r="AH411" s="497" t="s">
        <v>1904</v>
      </c>
      <c r="AI411" s="298"/>
    </row>
    <row r="412" spans="1:36" s="11" customFormat="1" ht="12" customHeight="1" x14ac:dyDescent="0.2">
      <c r="A412" s="39"/>
      <c r="B412" s="23">
        <v>110020</v>
      </c>
      <c r="C412" s="325" t="s">
        <v>376</v>
      </c>
      <c r="D412" s="373" t="str">
        <f>VLOOKUP(C412,input_values!$C$412:$BG$538,input_values!$BG$410-2,0)</f>
        <v>PROC-110020-9</v>
      </c>
      <c r="E412" s="567">
        <f>VLOOKUP(B412,input_values!$B$412:$M$538,4,FALSE)</f>
        <v>0</v>
      </c>
      <c r="F412" s="451" t="str">
        <f>VLOOKUP($D412,Table6[[Identifyer]:[Acute RA IESTI new input value]],input_values!$Q$410,FALSE)</f>
        <v/>
      </c>
      <c r="G412" s="451" t="str">
        <f>VLOOKUP($D412,Table6[[Identifyer]:[Acute RA IESTI new input value]],input_values!$P$410,FALSE)</f>
        <v/>
      </c>
      <c r="H412" s="451">
        <f>VLOOKUP($D412,Table6[[Identifyer]:[Acute RA IESTI new input value]],input_values!$S$410,FALSE)</f>
        <v>0</v>
      </c>
      <c r="I412" s="451" t="str">
        <f>VLOOKUP($D412,Table6[[Identifyer]:[Acute RA IESTI new input value]],input_values!$R$410,FALSE)</f>
        <v/>
      </c>
      <c r="J412" s="65"/>
      <c r="K412" s="301">
        <f>IF(Table5[[#This Row],[Unit weight RAC (g)]]="",1,IF(Table5[[#This Row],[Unit weight RAC (g)]]&gt;250,5,7))</f>
        <v>1</v>
      </c>
      <c r="L412" s="302" t="str">
        <f>VLOOKUP(D412,input_values!$A$412:$BB$538,input_values!$AA$410,FALSE)</f>
        <v/>
      </c>
      <c r="M412" s="302">
        <f>VLOOKUP(D412,input_values!$A$412:$BB$538,input_values!$Y$410,FALSE)</f>
        <v>1</v>
      </c>
      <c r="N412" s="374" t="str">
        <f>IF(VLOOKUP(D412,input_values!$A$412:$BB$538,input_values!$L$410,FALSE)&lt;&gt;"",VLOOKUP(D412,input_values!$A$412:$BB$538,input_values!$L$410,FALSE),"")</f>
        <v/>
      </c>
      <c r="O412" s="603">
        <v>52.74</v>
      </c>
      <c r="P412" s="375">
        <v>97.5</v>
      </c>
      <c r="Q412" s="375" t="s">
        <v>256</v>
      </c>
      <c r="R412" s="377">
        <v>16.149999999999999</v>
      </c>
      <c r="S412" s="326">
        <f t="shared" ref="S412:S441" si="61">O412*R412</f>
        <v>851.75099999999998</v>
      </c>
      <c r="T412" s="376"/>
      <c r="U412" s="573"/>
      <c r="V412" s="377"/>
      <c r="W412" s="573"/>
      <c r="X412" s="378">
        <v>3</v>
      </c>
      <c r="Y412" s="64">
        <f>IF(OR(Table5[[#This Row],[Case]]=1,Table5[[#This Row],[Case]]=3),1,IF(N412="",K412,N412))</f>
        <v>1</v>
      </c>
      <c r="Z412" s="648" t="str">
        <f t="shared" ref="Z412:Z443" si="62">IF(F412&lt;&gt;"",IF(OR($X412=3,$X412=1),1/$R412*($F412*$S412/1000*$Y412),IF(($X412="2a"),1/$R412*(($F412*$T412/1000*$Y412)+($F412*($S412-$T412)/1000)),IF($X412="2b",1/$R412*($F412*$S412/1000*$Y412)))),"ND")</f>
        <v>ND</v>
      </c>
      <c r="AA412" s="380" t="str">
        <f t="shared" ref="AA412:AA443" si="63">IF($C$5="not necessary","no acute risk assessment",IF(Z412="ND","no acute risk assessment",Z412/$C$5))</f>
        <v>no acute risk assessment</v>
      </c>
      <c r="AB412" s="64">
        <f>IF(OR(Table5[[#This Row],[Case]]=3,Table5[[#This Row],[Case]]=1),1,IF(Table5[[#This Row],[Variability factor for IESTI ]]&lt;3,Table5[[#This Row],[Variability factor for IESTI ]],3))</f>
        <v>1</v>
      </c>
      <c r="AC412" s="559" t="str">
        <f t="shared" ref="AC412:AC443" si="64">IF(OR(ISTEXT(H412),H412=0),"ND",1/$R412*($H412*$S412*AB412/1000))</f>
        <v>ND</v>
      </c>
      <c r="AD412" s="380" t="str">
        <f>IF($C$5="not necessary","no acute RA",IF(AC412="ND","no acute RA",IF(Table5[[#This Row],[IESTI new (mg/kg bw)]]&lt;&gt;"",AC412/$C$5,0)))</f>
        <v>no acute RA</v>
      </c>
      <c r="AE412" s="423" t="str">
        <f>IF(AA412&gt;=1,AG412,"")</f>
        <v/>
      </c>
      <c r="AF412" s="423" t="str">
        <f>IF(AD412&gt;=1,AH412,"")</f>
        <v/>
      </c>
      <c r="AG412" s="381" t="str">
        <f>IF(OR(Z412=0,Z412="ND",Z412="",$C$5="not necessary"),"",IF(X412="2a",1000*$C$5*R412/Table5[[#This Row],[Processing factor]]/(T412*Y412+S412-T412),IF(X412="2b",1000*$C$5*R412/Table5[[#This Row],[Processing factor]]/S412/Y412,IF(OR(X412=1,X412=3),1000*$C$5*R412/Table5[[#This Row],[Processing factor]]/S412,""))))</f>
        <v/>
      </c>
      <c r="AH412" s="381" t="str">
        <f>IF(OR(AC412=0,AC412="ND",$C$5="not necessary"),"",1000*$C$5*R412/Table5[[#This Row],[Processing factor]]/S412/AB412)</f>
        <v/>
      </c>
      <c r="AI412" s="313"/>
      <c r="AJ412" s="1178"/>
    </row>
    <row r="413" spans="1:36" s="11" customFormat="1" ht="12" customHeight="1" x14ac:dyDescent="0.2">
      <c r="A413" s="39"/>
      <c r="B413" s="23">
        <v>110030</v>
      </c>
      <c r="C413" s="325" t="s">
        <v>421</v>
      </c>
      <c r="D413" s="373" t="str">
        <f>VLOOKUP(C413,input_values!$C$412:$BG$538,input_values!$BG$410-2,0)</f>
        <v>PROC-110030-11</v>
      </c>
      <c r="E413" s="567">
        <f>VLOOKUP(B413,input_values!$B$412:$M$538,4,FALSE)</f>
        <v>0</v>
      </c>
      <c r="F413" s="451" t="str">
        <f>VLOOKUP($D413,Table6[[Identifyer]:[Acute RA IESTI new input value]],input_values!$Q$410,FALSE)</f>
        <v/>
      </c>
      <c r="G413" s="451" t="str">
        <f>VLOOKUP($D413,Table6[[Identifyer]:[Acute RA IESTI new input value]],input_values!$P$410,FALSE)</f>
        <v/>
      </c>
      <c r="H413" s="451">
        <f>VLOOKUP($D413,Table6[[Identifyer]:[Acute RA IESTI new input value]],input_values!$S$410,FALSE)</f>
        <v>0</v>
      </c>
      <c r="I413" s="451" t="str">
        <f>VLOOKUP($D413,Table6[[Identifyer]:[Acute RA IESTI new input value]],input_values!$R$410,FALSE)</f>
        <v/>
      </c>
      <c r="J413" s="65"/>
      <c r="K413" s="301">
        <f>IF(Table5[[#This Row],[Unit weight RAC (g)]]="",1,IF(Table5[[#This Row],[Unit weight RAC (g)]]&gt;250,5,7))</f>
        <v>1</v>
      </c>
      <c r="L413" s="302" t="str">
        <f>VLOOKUP(D413,input_values!$A$412:$BB$538,input_values!$AA$410,FALSE)</f>
        <v/>
      </c>
      <c r="M413" s="302">
        <f>VLOOKUP(D413,input_values!$A$412:$BB$538,input_values!$Y$410,FALSE)</f>
        <v>1</v>
      </c>
      <c r="N413" s="374" t="str">
        <f>IF(VLOOKUP(D413,input_values!$A$412:$BB$538,input_values!$L$410,FALSE)&lt;&gt;"",VLOOKUP(D413,input_values!$A$412:$BB$538,input_values!$L$410,FALSE),"")</f>
        <v/>
      </c>
      <c r="O413" s="603">
        <v>3.0271739130434785</v>
      </c>
      <c r="P413" s="375" t="s">
        <v>440</v>
      </c>
      <c r="Q413" s="375" t="s">
        <v>259</v>
      </c>
      <c r="R413" s="377">
        <v>18.399999999999999</v>
      </c>
      <c r="S413" s="326">
        <f t="shared" si="61"/>
        <v>55.7</v>
      </c>
      <c r="T413" s="376"/>
      <c r="U413" s="573"/>
      <c r="V413" s="377"/>
      <c r="W413" s="573"/>
      <c r="X413" s="378">
        <v>3</v>
      </c>
      <c r="Y413" s="64">
        <f>IF(OR(Table5[[#This Row],[Case]]=1,Table5[[#This Row],[Case]]=3),1,IF(N413="",K413,N413))</f>
        <v>1</v>
      </c>
      <c r="Z413" s="379" t="str">
        <f t="shared" si="62"/>
        <v>ND</v>
      </c>
      <c r="AA413" s="380" t="str">
        <f t="shared" si="63"/>
        <v>no acute risk assessment</v>
      </c>
      <c r="AB413" s="64">
        <f>IF(OR(Table5[[#This Row],[Case]]=3,Table5[[#This Row],[Case]]=1),1,IF(Table5[[#This Row],[Variability factor for IESTI ]]&lt;3,Table5[[#This Row],[Variability factor for IESTI ]],3))</f>
        <v>1</v>
      </c>
      <c r="AC413" s="379" t="str">
        <f t="shared" si="64"/>
        <v>ND</v>
      </c>
      <c r="AD413" s="380" t="str">
        <f>IF($C$5="not necessary","no acute RA",IF(AC413="ND","no acute RA",IF(Table5[[#This Row],[IESTI new (mg/kg bw)]]&lt;&gt;"",AC413/$C$5,0)))</f>
        <v>no acute RA</v>
      </c>
      <c r="AE413" s="339" t="str">
        <f t="shared" ref="AE413:AE476" si="65">IF(AA413&gt;=1,AG413,"")</f>
        <v/>
      </c>
      <c r="AF413" s="339" t="str">
        <f t="shared" ref="AF413:AF476" si="66">IF(AD413&gt;=1,AH413,"")</f>
        <v/>
      </c>
      <c r="AG413" s="381" t="str">
        <f>IF(OR(Z413=0,Z413="ND",Z413="",$C$5="not necessary"),"",IF(X413="2a",1000*$C$5*R413/Table5[[#This Row],[Processing factor]]/(T413*Y413+S413-T413),IF(X413="2b",1000*$C$5*R413/Table5[[#This Row],[Processing factor]]/S413/Y413,IF(OR(X413=1,X413=3),1000*$C$5*R413/Table5[[#This Row],[Processing factor]]/S413,""))))</f>
        <v/>
      </c>
      <c r="AH413" s="495" t="str">
        <f>IF(OR(AC413=0,AC413="ND",$C$5="not necessary"),"",1000*$C$5*R413/Table5[[#This Row],[Processing factor]]/S413/AB413)</f>
        <v/>
      </c>
      <c r="AI413" s="313"/>
      <c r="AJ413" s="382"/>
    </row>
    <row r="414" spans="1:36" s="11" customFormat="1" ht="12" customHeight="1" x14ac:dyDescent="0.2">
      <c r="A414" s="39"/>
      <c r="B414" s="23">
        <v>110040</v>
      </c>
      <c r="C414" s="325" t="s">
        <v>377</v>
      </c>
      <c r="D414" s="373" t="str">
        <f>VLOOKUP(C414,input_values!$C$412:$BG$538,input_values!$BG$410-2,0)</f>
        <v>PROC-110040-9</v>
      </c>
      <c r="E414" s="567">
        <f>VLOOKUP(B414,input_values!$B$412:$M$538,4,FALSE)</f>
        <v>0</v>
      </c>
      <c r="F414" s="451" t="str">
        <f>VLOOKUP($D414,Table6[[Identifyer]:[Acute RA IESTI new input value]],input_values!$Q$410,FALSE)</f>
        <v/>
      </c>
      <c r="G414" s="451" t="str">
        <f>VLOOKUP($D414,Table6[[Identifyer]:[Acute RA IESTI new input value]],input_values!$P$410,FALSE)</f>
        <v/>
      </c>
      <c r="H414" s="451">
        <f>VLOOKUP($D414,Table6[[Identifyer]:[Acute RA IESTI new input value]],input_values!$S$410,FALSE)</f>
        <v>0</v>
      </c>
      <c r="I414" s="451" t="str">
        <f>VLOOKUP($D414,Table6[[Identifyer]:[Acute RA IESTI new input value]],input_values!$R$410,FALSE)</f>
        <v/>
      </c>
      <c r="J414" s="65"/>
      <c r="K414" s="301">
        <f>IF(Table5[[#This Row],[Unit weight RAC (g)]]="",1,IF(Table5[[#This Row],[Unit weight RAC (g)]]&gt;250,5,7))</f>
        <v>1</v>
      </c>
      <c r="L414" s="302" t="str">
        <f>VLOOKUP(D414,input_values!$A$412:$BB$538,input_values!$AA$410,FALSE)</f>
        <v/>
      </c>
      <c r="M414" s="302">
        <f>VLOOKUP(D414,input_values!$A$412:$BB$538,input_values!$Y$410,FALSE)</f>
        <v>1</v>
      </c>
      <c r="N414" s="374" t="str">
        <f>IF(VLOOKUP(D414,input_values!$A$412:$BB$538,input_values!$L$410,FALSE)&lt;&gt;"",VLOOKUP(D414,input_values!$A$412:$BB$538,input_values!$L$410,FALSE),"")</f>
        <v/>
      </c>
      <c r="O414" s="603">
        <v>9.2391304347826095E-2</v>
      </c>
      <c r="P414" s="375" t="s">
        <v>441</v>
      </c>
      <c r="Q414" s="375" t="s">
        <v>259</v>
      </c>
      <c r="R414" s="377">
        <v>18.399999999999999</v>
      </c>
      <c r="S414" s="326">
        <f t="shared" si="61"/>
        <v>1.7</v>
      </c>
      <c r="T414" s="376"/>
      <c r="U414" s="573"/>
      <c r="V414" s="377"/>
      <c r="W414" s="573"/>
      <c r="X414" s="378">
        <v>3</v>
      </c>
      <c r="Y414" s="64">
        <f>IF(OR(Table5[[#This Row],[Case]]=1,Table5[[#This Row],[Case]]=3),1,IF(N414="",K414,N414))</f>
        <v>1</v>
      </c>
      <c r="Z414" s="379" t="str">
        <f t="shared" si="62"/>
        <v>ND</v>
      </c>
      <c r="AA414" s="380" t="str">
        <f t="shared" si="63"/>
        <v>no acute risk assessment</v>
      </c>
      <c r="AB414" s="64">
        <f>IF(OR(Table5[[#This Row],[Case]]=3,Table5[[#This Row],[Case]]=1),1,IF(Table5[[#This Row],[Variability factor for IESTI ]]&lt;3,Table5[[#This Row],[Variability factor for IESTI ]],3))</f>
        <v>1</v>
      </c>
      <c r="AC414" s="379" t="str">
        <f t="shared" si="64"/>
        <v>ND</v>
      </c>
      <c r="AD414" s="380" t="str">
        <f>IF($C$5="not necessary","no acute RA",IF(AC414="ND","no acute RA",IF(Table5[[#This Row],[IESTI new (mg/kg bw)]]&lt;&gt;"",AC414/$C$5,0)))</f>
        <v>no acute RA</v>
      </c>
      <c r="AE414" s="339" t="str">
        <f t="shared" si="65"/>
        <v/>
      </c>
      <c r="AF414" s="339" t="str">
        <f t="shared" si="66"/>
        <v/>
      </c>
      <c r="AG414" s="381" t="str">
        <f>IF(OR(Z414=0,Z414="ND",Z414="",$C$5="not necessary"),"",IF(X414="2a",1000*$C$5*R414/Table5[[#This Row],[Processing factor]]/(T414*Y414+S414-T414),IF(X414="2b",1000*$C$5*R414/Table5[[#This Row],[Processing factor]]/S414/Y414,IF(OR(X414=1,X414=3),1000*$C$5*R414/Table5[[#This Row],[Processing factor]]/S414,""))))</f>
        <v/>
      </c>
      <c r="AH414" s="495" t="str">
        <f>IF(OR(AC414=0,AC414="ND",$C$5="not necessary"),"",1000*$C$5*R414/Table5[[#This Row],[Processing factor]]/S414/AB414)</f>
        <v/>
      </c>
      <c r="AI414" s="313"/>
      <c r="AJ414" s="382"/>
    </row>
    <row r="415" spans="1:36" s="11" customFormat="1" ht="12" customHeight="1" x14ac:dyDescent="0.2">
      <c r="A415" s="39"/>
      <c r="B415" s="23">
        <v>120050</v>
      </c>
      <c r="C415" s="166" t="s">
        <v>1907</v>
      </c>
      <c r="D415" s="373" t="str">
        <f>VLOOKUP(C415,input_values!$C$412:$BG$538,input_values!$BG$410-2,0)</f>
        <v>PROC-120050-24</v>
      </c>
      <c r="E415" s="567">
        <f>VLOOKUP(B415,input_values!$B$412:$M$538,4,FALSE)</f>
        <v>0</v>
      </c>
      <c r="F415" s="451" t="str">
        <f>VLOOKUP($D415,Table6[[Identifyer]:[Acute RA IESTI new input value]],input_values!$Q$410,FALSE)</f>
        <v/>
      </c>
      <c r="G415" s="451" t="str">
        <f>VLOOKUP($D415,Table6[[Identifyer]:[Acute RA IESTI new input value]],input_values!$P$410,FALSE)</f>
        <v/>
      </c>
      <c r="H415" s="451">
        <f>VLOOKUP($D415,Table6[[Identifyer]:[Acute RA IESTI new input value]],input_values!$S$410,FALSE)</f>
        <v>0</v>
      </c>
      <c r="I415" s="451" t="str">
        <f>VLOOKUP($D415,Table6[[Identifyer]:[Acute RA IESTI new input value]],input_values!$R$410,FALSE)</f>
        <v/>
      </c>
      <c r="J415" s="65"/>
      <c r="K415" s="301">
        <f>IF(Table5[[#This Row],[Unit weight RAC (g)]]="",1,IF(Table5[[#This Row],[Unit weight RAC (g)]]&gt;250,5,7))</f>
        <v>1</v>
      </c>
      <c r="L415" s="302" t="str">
        <f>VLOOKUP(D415,input_values!$A$412:$BB$538,input_values!$AA$410,FALSE)</f>
        <v/>
      </c>
      <c r="M415" s="302">
        <f>VLOOKUP(D415,input_values!$A$412:$BB$538,input_values!$Y$410,FALSE)</f>
        <v>1</v>
      </c>
      <c r="N415" s="374" t="str">
        <f>IF(VLOOKUP(D415,input_values!$A$412:$BB$538,input_values!$L$410,FALSE)&lt;&gt;"",VLOOKUP(D415,input_values!$A$412:$BB$538,input_values!$L$410,FALSE),"")</f>
        <v/>
      </c>
      <c r="O415" s="603">
        <v>8.5923913043478262</v>
      </c>
      <c r="P415" s="375" t="s">
        <v>442</v>
      </c>
      <c r="Q415" s="375" t="s">
        <v>259</v>
      </c>
      <c r="R415" s="377">
        <v>18.399999999999999</v>
      </c>
      <c r="S415" s="326">
        <f t="shared" si="61"/>
        <v>158.1</v>
      </c>
      <c r="T415" s="376"/>
      <c r="U415" s="573"/>
      <c r="V415" s="377"/>
      <c r="W415" s="573"/>
      <c r="X415" s="378">
        <v>3</v>
      </c>
      <c r="Y415" s="64">
        <f>IF(OR(Table5[[#This Row],[Case]]=1,Table5[[#This Row],[Case]]=3),1,IF(N415="",K415,N415))</f>
        <v>1</v>
      </c>
      <c r="Z415" s="379" t="str">
        <f t="shared" si="62"/>
        <v>ND</v>
      </c>
      <c r="AA415" s="380" t="str">
        <f t="shared" si="63"/>
        <v>no acute risk assessment</v>
      </c>
      <c r="AB415" s="64">
        <f>IF(OR(Table5[[#This Row],[Case]]=3,Table5[[#This Row],[Case]]=1),1,IF(Table5[[#This Row],[Variability factor for IESTI ]]&lt;3,Table5[[#This Row],[Variability factor for IESTI ]],3))</f>
        <v>1</v>
      </c>
      <c r="AC415" s="379" t="str">
        <f t="shared" si="64"/>
        <v>ND</v>
      </c>
      <c r="AD415" s="380" t="str">
        <f>IF($C$5="not necessary","no acute RA",IF(AC415="ND","no acute RA",IF(Table5[[#This Row],[IESTI new (mg/kg bw)]]&lt;&gt;"",AC415/$C$5,0)))</f>
        <v>no acute RA</v>
      </c>
      <c r="AE415" s="339" t="str">
        <f t="shared" si="65"/>
        <v/>
      </c>
      <c r="AF415" s="339" t="str">
        <f t="shared" si="66"/>
        <v/>
      </c>
      <c r="AG415" s="381" t="str">
        <f>IF(OR(Z415=0,Z415="ND",Z415="",$C$5="not necessary"),"",IF(X415="2a",1000*$C$5*R415/Table5[[#This Row],[Processing factor]]/(T415*Y415+S415-T415),IF(X415="2b",1000*$C$5*R415/Table5[[#This Row],[Processing factor]]/S415/Y415,IF(OR(X415=1,X415=3),1000*$C$5*R415/Table5[[#This Row],[Processing factor]]/S415,""))))</f>
        <v/>
      </c>
      <c r="AH415" s="495" t="str">
        <f>IF(OR(AC415=0,AC415="ND",$C$5="not necessary"),"",1000*$C$5*R415/Table5[[#This Row],[Processing factor]]/S415/AB415)</f>
        <v/>
      </c>
      <c r="AI415" s="313"/>
      <c r="AJ415" s="382"/>
    </row>
    <row r="416" spans="1:36" s="11" customFormat="1" ht="12" customHeight="1" x14ac:dyDescent="0.2">
      <c r="A416" s="39"/>
      <c r="B416" s="23">
        <v>130010</v>
      </c>
      <c r="C416" s="165" t="s">
        <v>378</v>
      </c>
      <c r="D416" s="373" t="str">
        <f>VLOOKUP(C416,input_values!$C$412:$BG$538,input_values!$BG$410-2,0)</f>
        <v>PROC-130010-9</v>
      </c>
      <c r="E416" s="567">
        <f>VLOOKUP(B416,input_values!$B$412:$M$538,4,FALSE)</f>
        <v>0</v>
      </c>
      <c r="F416" s="451" t="str">
        <f>VLOOKUP($D416,Table6[[Identifyer]:[Acute RA IESTI new input value]],input_values!$Q$410,FALSE)</f>
        <v/>
      </c>
      <c r="G416" s="451" t="str">
        <f>VLOOKUP($D416,Table6[[Identifyer]:[Acute RA IESTI new input value]],input_values!$P$410,FALSE)</f>
        <v/>
      </c>
      <c r="H416" s="451">
        <f>VLOOKUP($D416,Table6[[Identifyer]:[Acute RA IESTI new input value]],input_values!$S$410,FALSE)</f>
        <v>0</v>
      </c>
      <c r="I416" s="451" t="str">
        <f>VLOOKUP($D416,Table6[[Identifyer]:[Acute RA IESTI new input value]],input_values!$R$410,FALSE)</f>
        <v/>
      </c>
      <c r="J416" s="65"/>
      <c r="K416" s="301">
        <f>IF(Table5[[#This Row],[Unit weight RAC (g)]]="",1,IF(Table5[[#This Row],[Unit weight RAC (g)]]&gt;250,5,7))</f>
        <v>1</v>
      </c>
      <c r="L416" s="302" t="str">
        <f>VLOOKUP(D416,input_values!$A$412:$BB$538,input_values!$AA$410,FALSE)</f>
        <v/>
      </c>
      <c r="M416" s="302">
        <f>VLOOKUP(D416,input_values!$A$412:$BB$538,input_values!$Y$410,FALSE)</f>
        <v>1</v>
      </c>
      <c r="N416" s="374" t="str">
        <f>IF(VLOOKUP(D416,input_values!$A$412:$BB$538,input_values!$L$410,FALSE)&lt;&gt;"",VLOOKUP(D416,input_values!$A$412:$BB$538,input_values!$L$410,FALSE),"")</f>
        <v/>
      </c>
      <c r="O416" s="603">
        <v>54.14</v>
      </c>
      <c r="P416" s="375">
        <v>97.5</v>
      </c>
      <c r="Q416" s="375" t="s">
        <v>256</v>
      </c>
      <c r="R416" s="377">
        <v>16.149999999999999</v>
      </c>
      <c r="S416" s="326">
        <f t="shared" si="61"/>
        <v>874.36099999999988</v>
      </c>
      <c r="T416" s="376"/>
      <c r="U416" s="573"/>
      <c r="V416" s="377"/>
      <c r="W416" s="573"/>
      <c r="X416" s="378">
        <v>3</v>
      </c>
      <c r="Y416" s="64">
        <f>IF(OR(Table5[[#This Row],[Case]]=1,Table5[[#This Row],[Case]]=3),1,IF(N416="",K416,N416))</f>
        <v>1</v>
      </c>
      <c r="Z416" s="379" t="str">
        <f t="shared" si="62"/>
        <v>ND</v>
      </c>
      <c r="AA416" s="380" t="str">
        <f t="shared" si="63"/>
        <v>no acute risk assessment</v>
      </c>
      <c r="AB416" s="64">
        <f>IF(OR(Table5[[#This Row],[Case]]=3,Table5[[#This Row],[Case]]=1),1,IF(Table5[[#This Row],[Variability factor for IESTI ]]&lt;3,Table5[[#This Row],[Variability factor for IESTI ]],3))</f>
        <v>1</v>
      </c>
      <c r="AC416" s="379" t="str">
        <f t="shared" si="64"/>
        <v>ND</v>
      </c>
      <c r="AD416" s="380" t="str">
        <f>IF($C$5="not necessary","no acute RA",IF(AC416="ND","no acute RA",IF(Table5[[#This Row],[IESTI new (mg/kg bw)]]&lt;&gt;"",AC416/$C$5,0)))</f>
        <v>no acute RA</v>
      </c>
      <c r="AE416" s="339" t="str">
        <f t="shared" si="65"/>
        <v/>
      </c>
      <c r="AF416" s="339" t="str">
        <f t="shared" si="66"/>
        <v/>
      </c>
      <c r="AG416" s="381" t="str">
        <f>IF(OR(Z416=0,Z416="ND",Z416="",$C$5="not necessary"),"",IF(X416="2a",1000*$C$5*R416/Table5[[#This Row],[Processing factor]]/(T416*Y416+S416-T416),IF(X416="2b",1000*$C$5*R416/Table5[[#This Row],[Processing factor]]/S416/Y416,IF(OR(X416=1,X416=3),1000*$C$5*R416/Table5[[#This Row],[Processing factor]]/S416,""))))</f>
        <v/>
      </c>
      <c r="AH416" s="495" t="str">
        <f>IF(OR(AC416=0,AC416="ND",$C$5="not necessary"),"",1000*$C$5*R416/Table5[[#This Row],[Processing factor]]/S416/AB416)</f>
        <v/>
      </c>
      <c r="AI416" s="313"/>
      <c r="AJ416" s="382"/>
    </row>
    <row r="417" spans="1:36" s="11" customFormat="1" ht="12" customHeight="1" x14ac:dyDescent="0.2">
      <c r="A417" s="39"/>
      <c r="B417" s="23">
        <v>130020</v>
      </c>
      <c r="C417" s="325" t="s">
        <v>379</v>
      </c>
      <c r="D417" s="373" t="str">
        <f>VLOOKUP(C417,input_values!$C$412:$BG$538,input_values!$BG$410-2,0)</f>
        <v>PROC-130020-9</v>
      </c>
      <c r="E417" s="567">
        <f>VLOOKUP(B417,input_values!$B$412:$M$538,4,FALSE)</f>
        <v>0</v>
      </c>
      <c r="F417" s="451" t="str">
        <f>VLOOKUP($D417,Table6[[Identifyer]:[Acute RA IESTI new input value]],input_values!$Q$410,FALSE)</f>
        <v/>
      </c>
      <c r="G417" s="451" t="str">
        <f>VLOOKUP($D417,Table6[[Identifyer]:[Acute RA IESTI new input value]],input_values!$P$410,FALSE)</f>
        <v/>
      </c>
      <c r="H417" s="451">
        <f>VLOOKUP($D417,Table6[[Identifyer]:[Acute RA IESTI new input value]],input_values!$S$410,FALSE)</f>
        <v>0</v>
      </c>
      <c r="I417" s="451" t="str">
        <f>VLOOKUP($D417,Table6[[Identifyer]:[Acute RA IESTI new input value]],input_values!$R$410,FALSE)</f>
        <v/>
      </c>
      <c r="J417" s="65"/>
      <c r="K417" s="301">
        <f>IF(Table5[[#This Row],[Unit weight RAC (g)]]="",1,IF(Table5[[#This Row],[Unit weight RAC (g)]]&gt;250,5,7))</f>
        <v>1</v>
      </c>
      <c r="L417" s="302" t="str">
        <f>VLOOKUP(D417,input_values!$A$412:$BB$538,input_values!$AA$410,FALSE)</f>
        <v/>
      </c>
      <c r="M417" s="302">
        <f>VLOOKUP(D417,input_values!$A$412:$BB$538,input_values!$Y$410,FALSE)</f>
        <v>1</v>
      </c>
      <c r="N417" s="374" t="str">
        <f>IF(VLOOKUP(D417,input_values!$A$412:$BB$538,input_values!$L$410,FALSE)&lt;&gt;"",VLOOKUP(D417,input_values!$A$412:$BB$538,input_values!$L$410,FALSE),"")</f>
        <v/>
      </c>
      <c r="O417" s="603">
        <v>32.581521739130437</v>
      </c>
      <c r="P417" s="375" t="s">
        <v>20</v>
      </c>
      <c r="Q417" s="375" t="s">
        <v>259</v>
      </c>
      <c r="R417" s="377">
        <v>18.399999999999999</v>
      </c>
      <c r="S417" s="326">
        <f t="shared" si="61"/>
        <v>599.5</v>
      </c>
      <c r="T417" s="376"/>
      <c r="U417" s="574"/>
      <c r="V417" s="376"/>
      <c r="W417" s="574"/>
      <c r="X417" s="378">
        <v>3</v>
      </c>
      <c r="Y417" s="64">
        <f>IF(OR(Table5[[#This Row],[Case]]=1,Table5[[#This Row],[Case]]=3),1,IF(N417="",K417,N417))</f>
        <v>1</v>
      </c>
      <c r="Z417" s="379" t="str">
        <f t="shared" si="62"/>
        <v>ND</v>
      </c>
      <c r="AA417" s="380" t="str">
        <f t="shared" si="63"/>
        <v>no acute risk assessment</v>
      </c>
      <c r="AB417" s="64">
        <f>IF(OR(Table5[[#This Row],[Case]]=3,Table5[[#This Row],[Case]]=1),1,IF(Table5[[#This Row],[Variability factor for IESTI ]]&lt;3,Table5[[#This Row],[Variability factor for IESTI ]],3))</f>
        <v>1</v>
      </c>
      <c r="AC417" s="379" t="str">
        <f t="shared" si="64"/>
        <v>ND</v>
      </c>
      <c r="AD417" s="380" t="str">
        <f>IF($C$5="not necessary","no acute RA",IF(AC417="ND","no acute RA",IF(Table5[[#This Row],[IESTI new (mg/kg bw)]]&lt;&gt;"",AC417/$C$5,0)))</f>
        <v>no acute RA</v>
      </c>
      <c r="AE417" s="339" t="str">
        <f t="shared" si="65"/>
        <v/>
      </c>
      <c r="AF417" s="339" t="str">
        <f t="shared" si="66"/>
        <v/>
      </c>
      <c r="AG417" s="381" t="str">
        <f>IF(OR(Z417=0,Z417="ND",Z417="",$C$5="not necessary"),"",IF(X417="2a",1000*$C$5*R417/Table5[[#This Row],[Processing factor]]/(T417*Y417+S417-T417),IF(X417="2b",1000*$C$5*R417/Table5[[#This Row],[Processing factor]]/S417/Y417,IF(OR(X417=1,X417=3),1000*$C$5*R417/Table5[[#This Row],[Processing factor]]/S417,""))))</f>
        <v/>
      </c>
      <c r="AH417" s="495" t="str">
        <f>IF(OR(AC417=0,AC417="ND",$C$5="not necessary"),"",1000*$C$5*R417/Table5[[#This Row],[Processing factor]]/S417/AB417)</f>
        <v/>
      </c>
      <c r="AI417" s="313"/>
      <c r="AJ417" s="382"/>
    </row>
    <row r="418" spans="1:36" s="11" customFormat="1" ht="12" customHeight="1" x14ac:dyDescent="0.2">
      <c r="A418" s="494"/>
      <c r="B418" s="23">
        <v>130030</v>
      </c>
      <c r="C418" s="325" t="s">
        <v>380</v>
      </c>
      <c r="D418" s="373" t="str">
        <f>VLOOKUP(C418,input_values!$C$412:$BG$538,input_values!$BG$410-2,0)</f>
        <v>PROC-130030-11</v>
      </c>
      <c r="E418" s="567">
        <f>VLOOKUP(B418,input_values!$B$412:$M$538,4,FALSE)</f>
        <v>0</v>
      </c>
      <c r="F418" s="451" t="str">
        <f>VLOOKUP($D418,Table6[[Identifyer]:[Acute RA IESTI new input value]],input_values!$Q$410,FALSE)</f>
        <v/>
      </c>
      <c r="G418" s="451" t="str">
        <f>VLOOKUP($D418,Table6[[Identifyer]:[Acute RA IESTI new input value]],input_values!$P$410,FALSE)</f>
        <v/>
      </c>
      <c r="H418" s="451">
        <f>VLOOKUP($D418,Table6[[Identifyer]:[Acute RA IESTI new input value]],input_values!$S$410,FALSE)</f>
        <v>0</v>
      </c>
      <c r="I418" s="451" t="str">
        <f>VLOOKUP($D418,Table6[[Identifyer]:[Acute RA IESTI new input value]],input_values!$R$410,FALSE)</f>
        <v/>
      </c>
      <c r="J418" s="65"/>
      <c r="K418" s="301">
        <f>IF(Table5[[#This Row],[Unit weight RAC (g)]]="",1,IF(Table5[[#This Row],[Unit weight RAC (g)]]&gt;250,5,7))</f>
        <v>1</v>
      </c>
      <c r="L418" s="302" t="str">
        <f>VLOOKUP(D418,input_values!$A$412:$BB$538,input_values!$AA$410,FALSE)</f>
        <v/>
      </c>
      <c r="M418" s="302">
        <f>VLOOKUP(D418,input_values!$A$412:$BB$538,input_values!$Y$410,FALSE)</f>
        <v>1</v>
      </c>
      <c r="N418" s="374" t="str">
        <f>IF(VLOOKUP(D418,input_values!$A$412:$BB$538,input_values!$L$410,FALSE)&lt;&gt;"",VLOOKUP(D418,input_values!$A$412:$BB$538,input_values!$L$410,FALSE),"")</f>
        <v/>
      </c>
      <c r="O418" s="603">
        <v>3.0271739130434785</v>
      </c>
      <c r="P418" s="375" t="s">
        <v>443</v>
      </c>
      <c r="Q418" s="375" t="s">
        <v>259</v>
      </c>
      <c r="R418" s="377">
        <v>18.399999999999999</v>
      </c>
      <c r="S418" s="326">
        <f t="shared" si="61"/>
        <v>55.7</v>
      </c>
      <c r="T418" s="376"/>
      <c r="U418" s="574"/>
      <c r="V418" s="376"/>
      <c r="W418" s="574"/>
      <c r="X418" s="378">
        <v>3</v>
      </c>
      <c r="Y418" s="64">
        <f>IF(OR(Table5[[#This Row],[Case]]=1,Table5[[#This Row],[Case]]=3),1,IF(N418="",K418,N418))</f>
        <v>1</v>
      </c>
      <c r="Z418" s="379" t="str">
        <f t="shared" si="62"/>
        <v>ND</v>
      </c>
      <c r="AA418" s="380" t="str">
        <f t="shared" si="63"/>
        <v>no acute risk assessment</v>
      </c>
      <c r="AB418" s="64">
        <f>IF(OR(Table5[[#This Row],[Case]]=3,Table5[[#This Row],[Case]]=1),1,IF(Table5[[#This Row],[Variability factor for IESTI ]]&lt;3,Table5[[#This Row],[Variability factor for IESTI ]],3))</f>
        <v>1</v>
      </c>
      <c r="AC418" s="379" t="str">
        <f t="shared" si="64"/>
        <v>ND</v>
      </c>
      <c r="AD418" s="380" t="str">
        <f>IF($C$5="not necessary","no acute RA",IF(AC418="ND","no acute RA",IF(Table5[[#This Row],[IESTI new (mg/kg bw)]]&lt;&gt;"",AC418/$C$5,0)))</f>
        <v>no acute RA</v>
      </c>
      <c r="AE418" s="339" t="str">
        <f t="shared" si="65"/>
        <v/>
      </c>
      <c r="AF418" s="339" t="str">
        <f t="shared" si="66"/>
        <v/>
      </c>
      <c r="AG418" s="381" t="str">
        <f>IF(OR(Z418=0,Z418="ND",Z418="",$C$5="not necessary"),"",IF(X418="2a",1000*$C$5*R418/Table5[[#This Row],[Processing factor]]/(T418*Y418+S418-T418),IF(X418="2b",1000*$C$5*R418/Table5[[#This Row],[Processing factor]]/S418/Y418,IF(OR(X418=1,X418=3),1000*$C$5*R418/Table5[[#This Row],[Processing factor]]/S418,""))))</f>
        <v/>
      </c>
      <c r="AH418" s="495" t="str">
        <f>IF(OR(AC418=0,AC418="ND",$C$5="not necessary"),"",1000*$C$5*R418/Table5[[#This Row],[Processing factor]]/S418/AB418)</f>
        <v/>
      </c>
      <c r="AI418" s="313"/>
      <c r="AJ418" s="382"/>
    </row>
    <row r="419" spans="1:36" s="11" customFormat="1" ht="12" customHeight="1" x14ac:dyDescent="0.2">
      <c r="A419" s="494"/>
      <c r="B419" s="23">
        <v>140030</v>
      </c>
      <c r="C419" s="325" t="s">
        <v>382</v>
      </c>
      <c r="D419" s="373" t="str">
        <f>VLOOKUP(C419,input_values!$C$412:$BG$538,input_values!$BG$410-2,0)</f>
        <v>PROC-140030-9</v>
      </c>
      <c r="E419" s="567">
        <f>VLOOKUP(B419,input_values!$B$412:$M$538,4,FALSE)</f>
        <v>0</v>
      </c>
      <c r="F419" s="451" t="str">
        <f>VLOOKUP($D419,Table6[[Identifyer]:[Acute RA IESTI new input value]],input_values!$Q$410,FALSE)</f>
        <v/>
      </c>
      <c r="G419" s="451" t="str">
        <f>VLOOKUP($D419,Table6[[Identifyer]:[Acute RA IESTI new input value]],input_values!$P$410,FALSE)</f>
        <v/>
      </c>
      <c r="H419" s="451">
        <f>VLOOKUP($D419,Table6[[Identifyer]:[Acute RA IESTI new input value]],input_values!$S$410,FALSE)</f>
        <v>0</v>
      </c>
      <c r="I419" s="451" t="str">
        <f>VLOOKUP($D419,Table6[[Identifyer]:[Acute RA IESTI new input value]],input_values!$R$410,FALSE)</f>
        <v/>
      </c>
      <c r="J419" s="65"/>
      <c r="K419" s="301">
        <f>IF(Table5[[#This Row],[Unit weight RAC (g)]]="",1,IF(Table5[[#This Row],[Unit weight RAC (g)]]&gt;250,5,7))</f>
        <v>1</v>
      </c>
      <c r="L419" s="302" t="str">
        <f>VLOOKUP(D419,input_values!$A$412:$BB$538,input_values!$AA$410,FALSE)</f>
        <v/>
      </c>
      <c r="M419" s="302">
        <f>VLOOKUP(D419,input_values!$A$412:$BB$538,input_values!$Y$410,FALSE)</f>
        <v>1</v>
      </c>
      <c r="N419" s="374" t="str">
        <f>IF(VLOOKUP(D419,input_values!$A$412:$BB$538,input_values!$L$410,FALSE)&lt;&gt;"",VLOOKUP(D419,input_values!$A$412:$BB$538,input_values!$L$410,FALSE),"")</f>
        <v/>
      </c>
      <c r="O419" s="603">
        <v>16.59</v>
      </c>
      <c r="P419" s="375">
        <v>90</v>
      </c>
      <c r="Q419" s="375" t="s">
        <v>256</v>
      </c>
      <c r="R419" s="377">
        <v>16.149999999999999</v>
      </c>
      <c r="S419" s="326">
        <f t="shared" si="61"/>
        <v>267.92849999999999</v>
      </c>
      <c r="T419" s="376"/>
      <c r="U419" s="574"/>
      <c r="V419" s="376"/>
      <c r="W419" s="574"/>
      <c r="X419" s="378">
        <v>3</v>
      </c>
      <c r="Y419" s="64">
        <f>IF(OR(Table5[[#This Row],[Case]]=1,Table5[[#This Row],[Case]]=3),1,IF(N419="",K419,N419))</f>
        <v>1</v>
      </c>
      <c r="Z419" s="379" t="str">
        <f t="shared" si="62"/>
        <v>ND</v>
      </c>
      <c r="AA419" s="380" t="str">
        <f t="shared" si="63"/>
        <v>no acute risk assessment</v>
      </c>
      <c r="AB419" s="64">
        <f>IF(OR(Table5[[#This Row],[Case]]=3,Table5[[#This Row],[Case]]=1),1,IF(Table5[[#This Row],[Variability factor for IESTI ]]&lt;3,Table5[[#This Row],[Variability factor for IESTI ]],3))</f>
        <v>1</v>
      </c>
      <c r="AC419" s="379" t="str">
        <f t="shared" si="64"/>
        <v>ND</v>
      </c>
      <c r="AD419" s="380" t="str">
        <f>IF($C$5="not necessary","no acute RA",IF(AC419="ND","no acute RA",IF(Table5[[#This Row],[IESTI new (mg/kg bw)]]&lt;&gt;"",AC419/$C$5,0)))</f>
        <v>no acute RA</v>
      </c>
      <c r="AE419" s="339" t="str">
        <f t="shared" si="65"/>
        <v/>
      </c>
      <c r="AF419" s="339" t="str">
        <f t="shared" si="66"/>
        <v/>
      </c>
      <c r="AG419" s="381" t="str">
        <f>IF(OR(Z419=0,Z419="ND",Z419="",$C$5="not necessary"),"",IF(X419="2a",1000*$C$5*R419/Table5[[#This Row],[Processing factor]]/(T419*Y419+S419-T419),IF(X419="2b",1000*$C$5*R419/Table5[[#This Row],[Processing factor]]/S419/Y419,IF(OR(X419=1,X419=3),1000*$C$5*R419/Table5[[#This Row],[Processing factor]]/S419,""))))</f>
        <v/>
      </c>
      <c r="AH419" s="495" t="str">
        <f>IF(OR(AC419=0,AC419="ND",$C$5="not necessary"),"",1000*$C$5*R419/Table5[[#This Row],[Processing factor]]/S419/AB419)</f>
        <v/>
      </c>
      <c r="AI419" s="313"/>
      <c r="AJ419" s="382"/>
    </row>
    <row r="420" spans="1:36" s="11" customFormat="1" ht="12" customHeight="1" x14ac:dyDescent="0.2">
      <c r="A420" s="494"/>
      <c r="B420" s="23">
        <v>140030</v>
      </c>
      <c r="C420" s="325" t="s">
        <v>381</v>
      </c>
      <c r="D420" s="373" t="str">
        <f>VLOOKUP(C420,input_values!$C$412:$BG$538,input_values!$BG$410-2,0)</f>
        <v>PROC-140030-5</v>
      </c>
      <c r="E420" s="567">
        <f>VLOOKUP(B420,input_values!$B$412:$M$538,4,FALSE)</f>
        <v>0</v>
      </c>
      <c r="F420" s="451" t="str">
        <f>VLOOKUP($D420,Table6[[Identifyer]:[Acute RA IESTI new input value]],input_values!$Q$410,FALSE)</f>
        <v/>
      </c>
      <c r="G420" s="451" t="str">
        <f>VLOOKUP($D420,Table6[[Identifyer]:[Acute RA IESTI new input value]],input_values!$P$410,FALSE)</f>
        <v/>
      </c>
      <c r="H420" s="451">
        <f>VLOOKUP($D420,Table6[[Identifyer]:[Acute RA IESTI new input value]],input_values!$S$410,FALSE)</f>
        <v>0</v>
      </c>
      <c r="I420" s="451" t="str">
        <f>VLOOKUP($D420,Table6[[Identifyer]:[Acute RA IESTI new input value]],input_values!$R$410,FALSE)</f>
        <v/>
      </c>
      <c r="J420" s="65"/>
      <c r="K420" s="301">
        <f>IF(Table5[[#This Row],[Unit weight RAC (g)]]="",1,IF(Table5[[#This Row],[Unit weight RAC (g)]]&gt;250,5,7))</f>
        <v>7</v>
      </c>
      <c r="L420" s="302" t="str">
        <f>VLOOKUP(D420,input_values!$A$412:$BB$538,input_values!$AA$410,FALSE)</f>
        <v/>
      </c>
      <c r="M420" s="302">
        <f>VLOOKUP(D420,input_values!$A$412:$BB$538,input_values!$Y$410,FALSE)</f>
        <v>1</v>
      </c>
      <c r="N420" s="451" t="str">
        <f>IF(VLOOKUP(D420,input_values!$A$412:$BB$538,input_values!$L$410,FALSE)&lt;&gt;"",VLOOKUP(D420,input_values!$A$412:$BB$538,input_values!$L$410,FALSE),"")</f>
        <v/>
      </c>
      <c r="O420" s="603">
        <v>6.44</v>
      </c>
      <c r="P420" s="375" t="s">
        <v>331</v>
      </c>
      <c r="Q420" s="375" t="s">
        <v>259</v>
      </c>
      <c r="R420" s="377">
        <v>18.399999999999999</v>
      </c>
      <c r="S420" s="326">
        <f t="shared" si="61"/>
        <v>118.496</v>
      </c>
      <c r="T420" s="376">
        <v>60</v>
      </c>
      <c r="U420" s="574" t="s">
        <v>215</v>
      </c>
      <c r="V420" s="376">
        <v>60</v>
      </c>
      <c r="W420" s="574" t="s">
        <v>215</v>
      </c>
      <c r="X420" s="378" t="s">
        <v>1891</v>
      </c>
      <c r="Y420" s="64">
        <f>IF(OR(Table5[[#This Row],[Case]]=1,Table5[[#This Row],[Case]]=3),1,IF(N420="",K420,N420))</f>
        <v>7</v>
      </c>
      <c r="Z420" s="379" t="str">
        <f>IF(F420&lt;&gt;"",IF(OR($X420=3,$X420=1),1/$R420*($F420*$S420/1000*$Y420),IF(($X420="2a"),1/$R420*(($F420*$T420/1000*$Y420)+($F420*($S420-$T420)/1000)),IF($X420="2b",1/$R420*($F420*$S420/1000*$Y420)))),"ND")</f>
        <v>ND</v>
      </c>
      <c r="AA420" s="380" t="str">
        <f t="shared" si="63"/>
        <v>no acute risk assessment</v>
      </c>
      <c r="AB420" s="64">
        <f>IF(OR(Table5[[#This Row],[Case]]=3,Table5[[#This Row],[Case]]=1),1,IF(Table5[[#This Row],[Variability factor for IESTI ]]&lt;3,Table5[[#This Row],[Variability factor for IESTI ]],3))</f>
        <v>3</v>
      </c>
      <c r="AC420" s="379" t="str">
        <f t="shared" si="64"/>
        <v>ND</v>
      </c>
      <c r="AD420" s="380" t="str">
        <f>IF($C$5="not necessary","no acute RA",IF(AC420="ND","no acute RA",IF(Table5[[#This Row],[IESTI new (mg/kg bw)]]&lt;&gt;"",AC420/$C$5,0)))</f>
        <v>no acute RA</v>
      </c>
      <c r="AE420" s="339" t="str">
        <f t="shared" si="65"/>
        <v/>
      </c>
      <c r="AF420" s="339" t="str">
        <f t="shared" si="66"/>
        <v/>
      </c>
      <c r="AG420" s="381" t="str">
        <f>IF(OR(Z420=0,Z420="ND",Z420="",$C$5="not necessary"),"",IF(X420="2a",1000*$C$5*R420/Table5[[#This Row],[Processing factor]]/(T420*Y420+S420-T420),IF(X420="2b",1000*$C$5*R420/Table5[[#This Row],[Processing factor]]/S420/Y420,IF(OR(X420=1,X420=3),1000*$C$5*R420/Table5[[#This Row],[Processing factor]]/S420,""))))</f>
        <v/>
      </c>
      <c r="AH420" s="495" t="str">
        <f>IF(OR(AC420=0,AC420="ND",$C$5="not necessary"),"",1000*$C$5*R420/Table5[[#This Row],[Processing factor]]/S420/AB420)</f>
        <v/>
      </c>
      <c r="AI420" s="313"/>
      <c r="AJ420" s="382"/>
    </row>
    <row r="421" spans="1:36" s="11" customFormat="1" ht="12" customHeight="1" x14ac:dyDescent="0.2">
      <c r="A421" s="494"/>
      <c r="B421" s="23">
        <v>140040</v>
      </c>
      <c r="C421" s="325" t="s">
        <v>383</v>
      </c>
      <c r="D421" s="373" t="str">
        <f>VLOOKUP(C421,input_values!$C$412:$BG$538,input_values!$BG$410-2,0)</f>
        <v>PROC-140040-9</v>
      </c>
      <c r="E421" s="567">
        <f>VLOOKUP(B421,input_values!$B$412:$M$538,4,FALSE)</f>
        <v>0</v>
      </c>
      <c r="F421" s="451" t="str">
        <f>VLOOKUP($D421,Table6[[Identifyer]:[Acute RA IESTI new input value]],input_values!$Q$410,FALSE)</f>
        <v/>
      </c>
      <c r="G421" s="451" t="str">
        <f>VLOOKUP($D421,Table6[[Identifyer]:[Acute RA IESTI new input value]],input_values!$P$410,FALSE)</f>
        <v/>
      </c>
      <c r="H421" s="451">
        <f>VLOOKUP($D421,Table6[[Identifyer]:[Acute RA IESTI new input value]],input_values!$S$410,FALSE)</f>
        <v>0</v>
      </c>
      <c r="I421" s="451" t="str">
        <f>VLOOKUP($D421,Table6[[Identifyer]:[Acute RA IESTI new input value]],input_values!$R$410,FALSE)</f>
        <v/>
      </c>
      <c r="J421" s="65"/>
      <c r="K421" s="301">
        <f>IF(Table5[[#This Row],[Unit weight RAC (g)]]="",1,IF(Table5[[#This Row],[Unit weight RAC (g)]]&gt;250,5,7))</f>
        <v>1</v>
      </c>
      <c r="L421" s="302" t="str">
        <f>VLOOKUP(D421,input_values!$A$412:$BB$538,input_values!$AA$410,FALSE)</f>
        <v/>
      </c>
      <c r="M421" s="302">
        <f>VLOOKUP(D421,input_values!$A$412:$BB$538,input_values!$Y$410,FALSE)</f>
        <v>1</v>
      </c>
      <c r="N421" s="374" t="str">
        <f>IF(VLOOKUP(D421,input_values!$A$412:$BB$538,input_values!$L$410,FALSE)&lt;&gt;"",VLOOKUP(D421,input_values!$A$412:$BB$538,input_values!$L$410,FALSE),"")</f>
        <v/>
      </c>
      <c r="O421" s="603">
        <v>9.43</v>
      </c>
      <c r="P421" s="375">
        <v>95</v>
      </c>
      <c r="Q421" s="375" t="s">
        <v>256</v>
      </c>
      <c r="R421" s="377">
        <v>16.149999999999999</v>
      </c>
      <c r="S421" s="326">
        <f t="shared" si="61"/>
        <v>152.29449999999997</v>
      </c>
      <c r="T421" s="376"/>
      <c r="U421" s="574"/>
      <c r="V421" s="376"/>
      <c r="W421" s="574"/>
      <c r="X421" s="378">
        <v>3</v>
      </c>
      <c r="Y421" s="64">
        <f>IF(OR(Table5[[#This Row],[Case]]=1,Table5[[#This Row],[Case]]=3),1,IF(N421="",K421,N421))</f>
        <v>1</v>
      </c>
      <c r="Z421" s="379" t="str">
        <f t="shared" si="62"/>
        <v>ND</v>
      </c>
      <c r="AA421" s="380" t="str">
        <f t="shared" si="63"/>
        <v>no acute risk assessment</v>
      </c>
      <c r="AB421" s="64">
        <f>IF(OR(Table5[[#This Row],[Case]]=3,Table5[[#This Row],[Case]]=1),1,IF(Table5[[#This Row],[Variability factor for IESTI ]]&lt;3,Table5[[#This Row],[Variability factor for IESTI ]],3))</f>
        <v>1</v>
      </c>
      <c r="AC421" s="379" t="str">
        <f t="shared" si="64"/>
        <v>ND</v>
      </c>
      <c r="AD421" s="380" t="str">
        <f>IF($C$5="not necessary","no acute RA",IF(AC421="ND","no acute RA",IF(Table5[[#This Row],[IESTI new (mg/kg bw)]]&lt;&gt;"",AC421/$C$5,0)))</f>
        <v>no acute RA</v>
      </c>
      <c r="AE421" s="339" t="str">
        <f t="shared" si="65"/>
        <v/>
      </c>
      <c r="AF421" s="339" t="str">
        <f t="shared" si="66"/>
        <v/>
      </c>
      <c r="AG421" s="381" t="str">
        <f>IF(OR(Z421=0,Z421="ND",Z421="",$C$5="not necessary"),"",IF(X421="2a",1000*$C$5*R421/Table5[[#This Row],[Processing factor]]/(T421*Y421+S421-T421),IF(X421="2b",1000*$C$5*R421/Table5[[#This Row],[Processing factor]]/S421/Y421,IF(OR(X421=1,X421=3),1000*$C$5*R421/Table5[[#This Row],[Processing factor]]/S421,""))))</f>
        <v/>
      </c>
      <c r="AH421" s="495" t="str">
        <f>IF(OR(AC421=0,AC421="ND",$C$5="not necessary"),"",1000*$C$5*R421/Table5[[#This Row],[Processing factor]]/S421/AB421)</f>
        <v/>
      </c>
      <c r="AI421" s="313"/>
      <c r="AJ421" s="382"/>
    </row>
    <row r="422" spans="1:36" s="11" customFormat="1" ht="12" customHeight="1" x14ac:dyDescent="0.2">
      <c r="A422" s="494"/>
      <c r="B422" s="23">
        <v>151020</v>
      </c>
      <c r="C422" s="325" t="s">
        <v>384</v>
      </c>
      <c r="D422" s="373" t="str">
        <f>VLOOKUP(C422,input_values!$C$412:$BG$538,input_values!$BG$410-2,0)</f>
        <v>PROC-151020-9</v>
      </c>
      <c r="E422" s="567">
        <f>VLOOKUP(B422,input_values!$B$412:$M$538,4,FALSE)</f>
        <v>0</v>
      </c>
      <c r="F422" s="451" t="str">
        <f>VLOOKUP($D422,Table6[[Identifyer]:[Acute RA IESTI new input value]],input_values!$Q$410,FALSE)</f>
        <v/>
      </c>
      <c r="G422" s="451" t="str">
        <f>VLOOKUP($D422,Table6[[Identifyer]:[Acute RA IESTI new input value]],input_values!$P$410,FALSE)</f>
        <v/>
      </c>
      <c r="H422" s="451">
        <f>VLOOKUP($D422,Table6[[Identifyer]:[Acute RA IESTI new input value]],input_values!$S$410,FALSE)</f>
        <v>0</v>
      </c>
      <c r="I422" s="451" t="str">
        <f>VLOOKUP($D422,Table6[[Identifyer]:[Acute RA IESTI new input value]],input_values!$R$410,FALSE)</f>
        <v/>
      </c>
      <c r="J422" s="65"/>
      <c r="K422" s="301">
        <f>IF(Table5[[#This Row],[Unit weight RAC (g)]]="",1,IF(Table5[[#This Row],[Unit weight RAC (g)]]&gt;250,5,7))</f>
        <v>1</v>
      </c>
      <c r="L422" s="302" t="str">
        <f>VLOOKUP(D422,input_values!$A$412:$BB$538,input_values!$AA$410,FALSE)</f>
        <v/>
      </c>
      <c r="M422" s="302">
        <f>VLOOKUP(D422,input_values!$A$412:$BB$538,input_values!$Y$410,FALSE)</f>
        <v>1</v>
      </c>
      <c r="N422" s="374" t="str">
        <f>IF(VLOOKUP(D422,input_values!$A$412:$BB$538,input_values!$L$410,FALSE)&lt;&gt;"",VLOOKUP(D422,input_values!$A$412:$BB$538,input_values!$L$410,FALSE),"")</f>
        <v/>
      </c>
      <c r="O422" s="603">
        <v>43.652173913043484</v>
      </c>
      <c r="P422" s="375" t="s">
        <v>416</v>
      </c>
      <c r="Q422" s="375" t="s">
        <v>259</v>
      </c>
      <c r="R422" s="377">
        <v>18.399999999999999</v>
      </c>
      <c r="S422" s="326">
        <f t="shared" si="61"/>
        <v>803.2</v>
      </c>
      <c r="T422" s="376"/>
      <c r="U422" s="573"/>
      <c r="V422" s="377"/>
      <c r="W422" s="573"/>
      <c r="X422" s="378">
        <v>3</v>
      </c>
      <c r="Y422" s="64">
        <f>IF(OR(Table5[[#This Row],[Case]]=1,Table5[[#This Row],[Case]]=3),1,IF(N422="",K422,N422))</f>
        <v>1</v>
      </c>
      <c r="Z422" s="379" t="str">
        <f t="shared" si="62"/>
        <v>ND</v>
      </c>
      <c r="AA422" s="380" t="str">
        <f t="shared" si="63"/>
        <v>no acute risk assessment</v>
      </c>
      <c r="AB422" s="64">
        <f>IF(OR(Table5[[#This Row],[Case]]=3,Table5[[#This Row],[Case]]=1),1,IF(Table5[[#This Row],[Variability factor for IESTI ]]&lt;3,Table5[[#This Row],[Variability factor for IESTI ]],3))</f>
        <v>1</v>
      </c>
      <c r="AC422" s="379" t="str">
        <f t="shared" si="64"/>
        <v>ND</v>
      </c>
      <c r="AD422" s="380" t="str">
        <f>IF($C$5="not necessary","no acute RA",IF(AC422="ND","no acute RA",IF(Table5[[#This Row],[IESTI new (mg/kg bw)]]&lt;&gt;"",AC422/$C$5,0)))</f>
        <v>no acute RA</v>
      </c>
      <c r="AE422" s="339" t="str">
        <f t="shared" si="65"/>
        <v/>
      </c>
      <c r="AF422" s="339" t="str">
        <f t="shared" si="66"/>
        <v/>
      </c>
      <c r="AG422" s="381" t="str">
        <f>IF(OR(Z422=0,Z422="ND",Z422="",$C$5="not necessary"),"",IF(X422="2a",1000*$C$5*R422/Table5[[#This Row],[Processing factor]]/(T422*Y422+S422-T422),IF(X422="2b",1000*$C$5*R422/Table5[[#This Row],[Processing factor]]/S422/Y422,IF(OR(X422=1,X422=3),1000*$C$5*R422/Table5[[#This Row],[Processing factor]]/S422,""))))</f>
        <v/>
      </c>
      <c r="AH422" s="495" t="str">
        <f>IF(OR(AC422=0,AC422="ND",$C$5="not necessary"),"",1000*$C$5*R422/Table5[[#This Row],[Processing factor]]/S422/AB422)</f>
        <v/>
      </c>
      <c r="AI422" s="313"/>
      <c r="AJ422" s="382"/>
    </row>
    <row r="423" spans="1:36" s="11" customFormat="1" ht="12" customHeight="1" x14ac:dyDescent="0.2">
      <c r="A423" s="494"/>
      <c r="B423" s="23">
        <v>153030</v>
      </c>
      <c r="C423" s="325" t="s">
        <v>385</v>
      </c>
      <c r="D423" s="373" t="str">
        <f>VLOOKUP(C423,input_values!$C$412:$BG$538,input_values!$BG$410-2,0)</f>
        <v>PROC-153030-9</v>
      </c>
      <c r="E423" s="567">
        <f>VLOOKUP(B423,input_values!$B$412:$M$538,4,FALSE)</f>
        <v>0</v>
      </c>
      <c r="F423" s="451" t="str">
        <f>VLOOKUP($D423,Table6[[Identifyer]:[Acute RA IESTI new input value]],input_values!$Q$410,FALSE)</f>
        <v/>
      </c>
      <c r="G423" s="451" t="str">
        <f>VLOOKUP($D423,Table6[[Identifyer]:[Acute RA IESTI new input value]],input_values!$P$410,FALSE)</f>
        <v/>
      </c>
      <c r="H423" s="451">
        <f>VLOOKUP($D423,Table6[[Identifyer]:[Acute RA IESTI new input value]],input_values!$S$410,FALSE)</f>
        <v>0</v>
      </c>
      <c r="I423" s="451" t="str">
        <f>VLOOKUP($D423,Table6[[Identifyer]:[Acute RA IESTI new input value]],input_values!$R$410,FALSE)</f>
        <v/>
      </c>
      <c r="J423" s="65"/>
      <c r="K423" s="301">
        <f>IF(Table5[[#This Row],[Unit weight RAC (g)]]="",1,IF(Table5[[#This Row],[Unit weight RAC (g)]]&gt;250,5,7))</f>
        <v>1</v>
      </c>
      <c r="L423" s="302" t="str">
        <f>VLOOKUP(D423,input_values!$A$412:$BB$538,input_values!$AA$410,FALSE)</f>
        <v/>
      </c>
      <c r="M423" s="302">
        <f>VLOOKUP(D423,input_values!$A$412:$BB$538,input_values!$Y$410,FALSE)</f>
        <v>1</v>
      </c>
      <c r="N423" s="374" t="str">
        <f>IF(VLOOKUP(D423,input_values!$A$412:$BB$538,input_values!$L$410,FALSE)&lt;&gt;"",VLOOKUP(D423,input_values!$A$412:$BB$538,input_values!$L$410,FALSE),"")</f>
        <v/>
      </c>
      <c r="O423" s="603">
        <v>11.7</v>
      </c>
      <c r="P423" s="375">
        <v>95</v>
      </c>
      <c r="Q423" s="375" t="s">
        <v>256</v>
      </c>
      <c r="R423" s="377">
        <v>16.149999999999999</v>
      </c>
      <c r="S423" s="326">
        <f t="shared" si="61"/>
        <v>188.95499999999998</v>
      </c>
      <c r="T423" s="376"/>
      <c r="U423" s="573"/>
      <c r="V423" s="377"/>
      <c r="W423" s="573"/>
      <c r="X423" s="378">
        <v>3</v>
      </c>
      <c r="Y423" s="64">
        <f>IF(OR(Table5[[#This Row],[Case]]=1,Table5[[#This Row],[Case]]=3),1,IF(N423="",K423,N423))</f>
        <v>1</v>
      </c>
      <c r="Z423" s="379" t="str">
        <f t="shared" si="62"/>
        <v>ND</v>
      </c>
      <c r="AA423" s="380" t="str">
        <f t="shared" si="63"/>
        <v>no acute risk assessment</v>
      </c>
      <c r="AB423" s="64">
        <f>IF(OR(Table5[[#This Row],[Case]]=3,Table5[[#This Row],[Case]]=1),1,IF(Table5[[#This Row],[Variability factor for IESTI ]]&lt;3,Table5[[#This Row],[Variability factor for IESTI ]],3))</f>
        <v>1</v>
      </c>
      <c r="AC423" s="379" t="str">
        <f t="shared" si="64"/>
        <v>ND</v>
      </c>
      <c r="AD423" s="380" t="str">
        <f>IF($C$5="not necessary","no acute RA",IF(AC423="ND","no acute RA",IF(Table5[[#This Row],[IESTI new (mg/kg bw)]]&lt;&gt;"",AC423/$C$5,0)))</f>
        <v>no acute RA</v>
      </c>
      <c r="AE423" s="339" t="str">
        <f t="shared" si="65"/>
        <v/>
      </c>
      <c r="AF423" s="339" t="str">
        <f t="shared" si="66"/>
        <v/>
      </c>
      <c r="AG423" s="381" t="str">
        <f>IF(OR(Z423=0,Z423="ND",Z423="",$C$5="not necessary"),"",IF(X423="2a",1000*$C$5*R423/Table5[[#This Row],[Processing factor]]/(T423*Y423+S423-T423),IF(X423="2b",1000*$C$5*R423/Table5[[#This Row],[Processing factor]]/S423/Y423,IF(OR(X423=1,X423=3),1000*$C$5*R423/Table5[[#This Row],[Processing factor]]/S423,""))))</f>
        <v/>
      </c>
      <c r="AH423" s="495" t="str">
        <f>IF(OR(AC423=0,AC423="ND",$C$5="not necessary"),"",1000*$C$5*R423/Table5[[#This Row],[Processing factor]]/S423/AB423)</f>
        <v/>
      </c>
      <c r="AI423" s="313"/>
      <c r="AJ423" s="382"/>
    </row>
    <row r="424" spans="1:36" s="11" customFormat="1" ht="12" customHeight="1" x14ac:dyDescent="0.2">
      <c r="A424" s="494"/>
      <c r="B424" s="23">
        <v>154020</v>
      </c>
      <c r="C424" s="325" t="s">
        <v>386</v>
      </c>
      <c r="D424" s="373" t="str">
        <f>VLOOKUP(C424,input_values!$C$412:$BG$538,input_values!$BG$410-2,0)</f>
        <v>PROC-154020-9</v>
      </c>
      <c r="E424" s="567">
        <f>VLOOKUP(B424,input_values!$B$412:$M$538,4,FALSE)</f>
        <v>0</v>
      </c>
      <c r="F424" s="451" t="str">
        <f>VLOOKUP($D424,Table6[[Identifyer]:[Acute RA IESTI new input value]],input_values!$Q$410,FALSE)</f>
        <v/>
      </c>
      <c r="G424" s="451" t="str">
        <f>VLOOKUP($D424,Table6[[Identifyer]:[Acute RA IESTI new input value]],input_values!$P$410,FALSE)</f>
        <v/>
      </c>
      <c r="H424" s="451">
        <f>VLOOKUP($D424,Table6[[Identifyer]:[Acute RA IESTI new input value]],input_values!$S$410,FALSE)</f>
        <v>0</v>
      </c>
      <c r="I424" s="451" t="str">
        <f>VLOOKUP($D424,Table6[[Identifyer]:[Acute RA IESTI new input value]],input_values!$R$410,FALSE)</f>
        <v/>
      </c>
      <c r="J424" s="65"/>
      <c r="K424" s="301">
        <f>IF(Table5[[#This Row],[Unit weight RAC (g)]]="",1,IF(Table5[[#This Row],[Unit weight RAC (g)]]&gt;250,5,7))</f>
        <v>1</v>
      </c>
      <c r="L424" s="302" t="str">
        <f>VLOOKUP(D424,input_values!$A$412:$BB$538,input_values!$AA$410,FALSE)</f>
        <v/>
      </c>
      <c r="M424" s="302">
        <f>VLOOKUP(D424,input_values!$A$412:$BB$538,input_values!$Y$410,FALSE)</f>
        <v>1</v>
      </c>
      <c r="N424" s="374" t="str">
        <f>IF(VLOOKUP(D424,input_values!$A$412:$BB$538,input_values!$L$410,FALSE)&lt;&gt;"",VLOOKUP(D424,input_values!$A$412:$BB$538,input_values!$L$410,FALSE),"")</f>
        <v/>
      </c>
      <c r="O424" s="603">
        <v>5.78</v>
      </c>
      <c r="P424" s="375"/>
      <c r="Q424" s="375" t="s">
        <v>330</v>
      </c>
      <c r="R424" s="377">
        <v>20</v>
      </c>
      <c r="S424" s="326">
        <f t="shared" si="61"/>
        <v>115.60000000000001</v>
      </c>
      <c r="T424" s="376"/>
      <c r="U424" s="573"/>
      <c r="V424" s="377"/>
      <c r="W424" s="573"/>
      <c r="X424" s="378">
        <v>3</v>
      </c>
      <c r="Y424" s="64">
        <f>IF(OR(Table5[[#This Row],[Case]]=1,Table5[[#This Row],[Case]]=3),1,IF(N424="",K424,N424))</f>
        <v>1</v>
      </c>
      <c r="Z424" s="379" t="str">
        <f t="shared" si="62"/>
        <v>ND</v>
      </c>
      <c r="AA424" s="380" t="str">
        <f t="shared" si="63"/>
        <v>no acute risk assessment</v>
      </c>
      <c r="AB424" s="64">
        <f>IF(OR(Table5[[#This Row],[Case]]=3,Table5[[#This Row],[Case]]=1),1,IF(Table5[[#This Row],[Variability factor for IESTI ]]&lt;3,Table5[[#This Row],[Variability factor for IESTI ]],3))</f>
        <v>1</v>
      </c>
      <c r="AC424" s="379" t="str">
        <f t="shared" si="64"/>
        <v>ND</v>
      </c>
      <c r="AD424" s="380" t="str">
        <f>IF($C$5="not necessary","no acute RA",IF(AC424="ND","no acute RA",IF(Table5[[#This Row],[IESTI new (mg/kg bw)]]&lt;&gt;"",AC424/$C$5,0)))</f>
        <v>no acute RA</v>
      </c>
      <c r="AE424" s="339" t="str">
        <f t="shared" si="65"/>
        <v/>
      </c>
      <c r="AF424" s="339" t="str">
        <f t="shared" si="66"/>
        <v/>
      </c>
      <c r="AG424" s="381" t="str">
        <f>IF(OR(Z424=0,Z424="ND",Z424="",$C$5="not necessary"),"",IF(X424="2a",1000*$C$5*R424/Table5[[#This Row],[Processing factor]]/(T424*Y424+S424-T424),IF(X424="2b",1000*$C$5*R424/Table5[[#This Row],[Processing factor]]/S424/Y424,IF(OR(X424=1,X424=3),1000*$C$5*R424/Table5[[#This Row],[Processing factor]]/S424,""))))</f>
        <v/>
      </c>
      <c r="AH424" s="495" t="str">
        <f>IF(OR(AC424=0,AC424="ND",$C$5="not necessary"),"",1000*$C$5*R424/Table5[[#This Row],[Processing factor]]/S424/AB424)</f>
        <v/>
      </c>
      <c r="AI424" s="313"/>
      <c r="AJ424" s="382"/>
    </row>
    <row r="425" spans="1:36" s="11" customFormat="1" ht="12" customHeight="1" x14ac:dyDescent="0.2">
      <c r="A425" s="494"/>
      <c r="B425" s="23">
        <v>154030</v>
      </c>
      <c r="C425" s="325" t="s">
        <v>387</v>
      </c>
      <c r="D425" s="373" t="str">
        <f>VLOOKUP(C425,input_values!$C$412:$BG$538,input_values!$BG$410-2,0)</f>
        <v>PROC-154030-9</v>
      </c>
      <c r="E425" s="567">
        <f>VLOOKUP(B425,input_values!$B$412:$M$538,4,FALSE)</f>
        <v>0</v>
      </c>
      <c r="F425" s="451" t="str">
        <f>VLOOKUP($D425,Table6[[Identifyer]:[Acute RA IESTI new input value]],input_values!$Q$410,FALSE)</f>
        <v/>
      </c>
      <c r="G425" s="451" t="str">
        <f>VLOOKUP($D425,Table6[[Identifyer]:[Acute RA IESTI new input value]],input_values!$P$410,FALSE)</f>
        <v/>
      </c>
      <c r="H425" s="451">
        <f>VLOOKUP($D425,Table6[[Identifyer]:[Acute RA IESTI new input value]],input_values!$S$410,FALSE)</f>
        <v>0</v>
      </c>
      <c r="I425" s="451" t="str">
        <f>VLOOKUP($D425,Table6[[Identifyer]:[Acute RA IESTI new input value]],input_values!$R$410,FALSE)</f>
        <v/>
      </c>
      <c r="J425" s="65"/>
      <c r="K425" s="301">
        <f>IF(Table5[[#This Row],[Unit weight RAC (g)]]="",1,IF(Table5[[#This Row],[Unit weight RAC (g)]]&gt;250,5,7))</f>
        <v>1</v>
      </c>
      <c r="L425" s="302" t="str">
        <f>VLOOKUP(D425,input_values!$A$412:$BB$538,input_values!$AA$410,FALSE)</f>
        <v/>
      </c>
      <c r="M425" s="302">
        <f>VLOOKUP(D425,input_values!$A$412:$BB$538,input_values!$Y$410,FALSE)</f>
        <v>1</v>
      </c>
      <c r="N425" s="374" t="str">
        <f>IF(VLOOKUP(D425,input_values!$A$412:$BB$538,input_values!$L$410,FALSE)&lt;&gt;"",VLOOKUP(D425,input_values!$A$412:$BB$538,input_values!$L$410,FALSE),"")</f>
        <v/>
      </c>
      <c r="O425" s="603">
        <v>28.576086956521738</v>
      </c>
      <c r="P425" s="375" t="s">
        <v>444</v>
      </c>
      <c r="Q425" s="375" t="s">
        <v>259</v>
      </c>
      <c r="R425" s="377">
        <v>18.399999999999999</v>
      </c>
      <c r="S425" s="326">
        <f t="shared" si="61"/>
        <v>525.79999999999995</v>
      </c>
      <c r="T425" s="376"/>
      <c r="U425" s="573"/>
      <c r="V425" s="377"/>
      <c r="W425" s="573"/>
      <c r="X425" s="378">
        <v>3</v>
      </c>
      <c r="Y425" s="64">
        <f>IF(OR(Table5[[#This Row],[Case]]=1,Table5[[#This Row],[Case]]=3),1,IF(N425="",K425,N425))</f>
        <v>1</v>
      </c>
      <c r="Z425" s="379" t="str">
        <f t="shared" si="62"/>
        <v>ND</v>
      </c>
      <c r="AA425" s="380" t="str">
        <f t="shared" si="63"/>
        <v>no acute risk assessment</v>
      </c>
      <c r="AB425" s="64">
        <f>IF(OR(Table5[[#This Row],[Case]]=3,Table5[[#This Row],[Case]]=1),1,IF(Table5[[#This Row],[Variability factor for IESTI ]]&lt;3,Table5[[#This Row],[Variability factor for IESTI ]],3))</f>
        <v>1</v>
      </c>
      <c r="AC425" s="379" t="str">
        <f t="shared" si="64"/>
        <v>ND</v>
      </c>
      <c r="AD425" s="380" t="str">
        <f>IF($C$5="not necessary","no acute RA",IF(AC425="ND","no acute RA",IF(Table5[[#This Row],[IESTI new (mg/kg bw)]]&lt;&gt;"",AC425/$C$5,0)))</f>
        <v>no acute RA</v>
      </c>
      <c r="AE425" s="339" t="str">
        <f t="shared" si="65"/>
        <v/>
      </c>
      <c r="AF425" s="339" t="str">
        <f t="shared" si="66"/>
        <v/>
      </c>
      <c r="AG425" s="381" t="str">
        <f>IF(OR(Z425=0,Z425="ND",Z425="",$C$5="not necessary"),"",IF(X425="2a",1000*$C$5*R425/Table5[[#This Row],[Processing factor]]/(T425*Y425+S425-T425),IF(X425="2b",1000*$C$5*R425/Table5[[#This Row],[Processing factor]]/S425/Y425,IF(OR(X425=1,X425=3),1000*$C$5*R425/Table5[[#This Row],[Processing factor]]/S425,""))))</f>
        <v/>
      </c>
      <c r="AH425" s="495" t="str">
        <f>IF(OR(AC425=0,AC425="ND",$C$5="not necessary"),"",1000*$C$5*R425/Table5[[#This Row],[Processing factor]]/S425/AB425)</f>
        <v/>
      </c>
      <c r="AI425" s="313"/>
      <c r="AJ425" s="382"/>
    </row>
    <row r="426" spans="1:36" s="11" customFormat="1" ht="12" customHeight="1" x14ac:dyDescent="0.2">
      <c r="A426" s="494"/>
      <c r="B426" s="23">
        <v>154050</v>
      </c>
      <c r="C426" s="325" t="s">
        <v>388</v>
      </c>
      <c r="D426" s="373" t="str">
        <f>VLOOKUP(C426,input_values!$C$412:$BG$538,input_values!$BG$410-2,0)</f>
        <v>PROC-154050-11</v>
      </c>
      <c r="E426" s="567">
        <f>VLOOKUP(B426,input_values!$B$412:$M$538,4,FALSE)</f>
        <v>0</v>
      </c>
      <c r="F426" s="451" t="str">
        <f>VLOOKUP($D426,Table6[[Identifyer]:[Acute RA IESTI new input value]],input_values!$Q$410,FALSE)</f>
        <v/>
      </c>
      <c r="G426" s="451" t="str">
        <f>VLOOKUP($D426,Table6[[Identifyer]:[Acute RA IESTI new input value]],input_values!$P$410,FALSE)</f>
        <v/>
      </c>
      <c r="H426" s="451">
        <f>VLOOKUP($D426,Table6[[Identifyer]:[Acute RA IESTI new input value]],input_values!$S$410,FALSE)</f>
        <v>0</v>
      </c>
      <c r="I426" s="451" t="str">
        <f>VLOOKUP($D426,Table6[[Identifyer]:[Acute RA IESTI new input value]],input_values!$R$410,FALSE)</f>
        <v/>
      </c>
      <c r="J426" s="65"/>
      <c r="K426" s="301">
        <f>IF(Table5[[#This Row],[Unit weight RAC (g)]]="",1,IF(Table5[[#This Row],[Unit weight RAC (g)]]&gt;250,5,7))</f>
        <v>1</v>
      </c>
      <c r="L426" s="302" t="str">
        <f>VLOOKUP(D426,input_values!$A$412:$BB$538,input_values!$AA$410,FALSE)</f>
        <v/>
      </c>
      <c r="M426" s="302">
        <f>VLOOKUP(D426,input_values!$A$412:$BB$538,input_values!$Y$410,FALSE)</f>
        <v>1</v>
      </c>
      <c r="N426" s="374" t="str">
        <f>IF(VLOOKUP(D426,input_values!$A$412:$BB$538,input_values!$L$410,FALSE)&lt;&gt;"",VLOOKUP(D426,input_values!$A$412:$BB$538,input_values!$L$410,FALSE),"")</f>
        <v/>
      </c>
      <c r="O426" s="603">
        <v>3.0271739130434785</v>
      </c>
      <c r="P426" s="375" t="s">
        <v>443</v>
      </c>
      <c r="Q426" s="375" t="s">
        <v>259</v>
      </c>
      <c r="R426" s="377">
        <v>18.399999999999999</v>
      </c>
      <c r="S426" s="326">
        <f t="shared" si="61"/>
        <v>55.7</v>
      </c>
      <c r="T426" s="376"/>
      <c r="U426" s="573"/>
      <c r="V426" s="377"/>
      <c r="W426" s="573"/>
      <c r="X426" s="378">
        <v>3</v>
      </c>
      <c r="Y426" s="64">
        <f>IF(OR(Table5[[#This Row],[Case]]=1,Table5[[#This Row],[Case]]=3),1,IF(N426="",K426,N426))</f>
        <v>1</v>
      </c>
      <c r="Z426" s="379" t="str">
        <f t="shared" si="62"/>
        <v>ND</v>
      </c>
      <c r="AA426" s="380" t="str">
        <f t="shared" si="63"/>
        <v>no acute risk assessment</v>
      </c>
      <c r="AB426" s="64">
        <f>IF(OR(Table5[[#This Row],[Case]]=3,Table5[[#This Row],[Case]]=1),1,IF(Table5[[#This Row],[Variability factor for IESTI ]]&lt;3,Table5[[#This Row],[Variability factor for IESTI ]],3))</f>
        <v>1</v>
      </c>
      <c r="AC426" s="379" t="str">
        <f t="shared" si="64"/>
        <v>ND</v>
      </c>
      <c r="AD426" s="380" t="str">
        <f>IF($C$5="not necessary","no acute RA",IF(AC426="ND","no acute RA",IF(Table5[[#This Row],[IESTI new (mg/kg bw)]]&lt;&gt;"",AC426/$C$5,0)))</f>
        <v>no acute RA</v>
      </c>
      <c r="AE426" s="339" t="str">
        <f t="shared" si="65"/>
        <v/>
      </c>
      <c r="AF426" s="339" t="str">
        <f t="shared" si="66"/>
        <v/>
      </c>
      <c r="AG426" s="381" t="str">
        <f>IF(OR(Z426=0,Z426="ND",Z426="",$C$5="not necessary"),"",IF(X426="2a",1000*$C$5*R426/Table5[[#This Row],[Processing factor]]/(T426*Y426+S426-T426),IF(X426="2b",1000*$C$5*R426/Table5[[#This Row],[Processing factor]]/S426/Y426,IF(OR(X426=1,X426=3),1000*$C$5*R426/Table5[[#This Row],[Processing factor]]/S426,""))))</f>
        <v/>
      </c>
      <c r="AH426" s="495" t="str">
        <f>IF(OR(AC426=0,AC426="ND",$C$5="not necessary"),"",1000*$C$5*R426/Table5[[#This Row],[Processing factor]]/S426/AB426)</f>
        <v/>
      </c>
      <c r="AI426" s="313"/>
      <c r="AJ426" s="382"/>
    </row>
    <row r="427" spans="1:36" s="11" customFormat="1" ht="12" customHeight="1" x14ac:dyDescent="0.2">
      <c r="A427" s="494"/>
      <c r="B427" s="23">
        <v>154070</v>
      </c>
      <c r="C427" s="325" t="s">
        <v>389</v>
      </c>
      <c r="D427" s="373" t="str">
        <f>VLOOKUP(C427,input_values!$C$412:$BG$538,input_values!$BG$410-2,0)</f>
        <v>PROC-154070-9</v>
      </c>
      <c r="E427" s="567">
        <f>VLOOKUP(B427,input_values!$B$412:$M$538,4,FALSE)</f>
        <v>0</v>
      </c>
      <c r="F427" s="451" t="str">
        <f>VLOOKUP($D427,Table6[[Identifyer]:[Acute RA IESTI new input value]],input_values!$Q$410,FALSE)</f>
        <v/>
      </c>
      <c r="G427" s="451" t="str">
        <f>VLOOKUP($D427,Table6[[Identifyer]:[Acute RA IESTI new input value]],input_values!$P$410,FALSE)</f>
        <v/>
      </c>
      <c r="H427" s="451">
        <f>VLOOKUP($D427,Table6[[Identifyer]:[Acute RA IESTI new input value]],input_values!$S$410,FALSE)</f>
        <v>0</v>
      </c>
      <c r="I427" s="451" t="str">
        <f>VLOOKUP($D427,Table6[[Identifyer]:[Acute RA IESTI new input value]],input_values!$R$410,FALSE)</f>
        <v/>
      </c>
      <c r="J427" s="65"/>
      <c r="K427" s="301">
        <f>IF(Table5[[#This Row],[Unit weight RAC (g)]]="",1,IF(Table5[[#This Row],[Unit weight RAC (g)]]&gt;250,5,7))</f>
        <v>1</v>
      </c>
      <c r="L427" s="302" t="str">
        <f>VLOOKUP(D427,input_values!$A$412:$BB$538,input_values!$AA$410,FALSE)</f>
        <v/>
      </c>
      <c r="M427" s="302">
        <f>VLOOKUP(D427,input_values!$A$412:$BB$538,input_values!$Y$410,FALSE)</f>
        <v>1</v>
      </c>
      <c r="N427" s="374" t="str">
        <f>IF(VLOOKUP(D427,input_values!$A$412:$BB$538,input_values!$L$410,FALSE)&lt;&gt;"",VLOOKUP(D427,input_values!$A$412:$BB$538,input_values!$L$410,FALSE),"")</f>
        <v/>
      </c>
      <c r="O427" s="603">
        <v>5.55</v>
      </c>
      <c r="P427" s="375">
        <v>97.5</v>
      </c>
      <c r="Q427" s="375" t="s">
        <v>256</v>
      </c>
      <c r="R427" s="377">
        <v>16.149999999999999</v>
      </c>
      <c r="S427" s="326">
        <f t="shared" si="61"/>
        <v>89.632499999999993</v>
      </c>
      <c r="T427" s="376"/>
      <c r="U427" s="573"/>
      <c r="V427" s="377"/>
      <c r="W427" s="573"/>
      <c r="X427" s="378">
        <v>3</v>
      </c>
      <c r="Y427" s="64">
        <f>IF(OR(Table5[[#This Row],[Case]]=1,Table5[[#This Row],[Case]]=3),1,IF(N427="",K427,N427))</f>
        <v>1</v>
      </c>
      <c r="Z427" s="379" t="str">
        <f t="shared" si="62"/>
        <v>ND</v>
      </c>
      <c r="AA427" s="380" t="str">
        <f t="shared" si="63"/>
        <v>no acute risk assessment</v>
      </c>
      <c r="AB427" s="64">
        <f>IF(OR(Table5[[#This Row],[Case]]=3,Table5[[#This Row],[Case]]=1),1,IF(Table5[[#This Row],[Variability factor for IESTI ]]&lt;3,Table5[[#This Row],[Variability factor for IESTI ]],3))</f>
        <v>1</v>
      </c>
      <c r="AC427" s="379" t="str">
        <f t="shared" si="64"/>
        <v>ND</v>
      </c>
      <c r="AD427" s="380" t="str">
        <f>IF($C$5="not necessary","no acute RA",IF(AC427="ND","no acute RA",IF(Table5[[#This Row],[IESTI new (mg/kg bw)]]&lt;&gt;"",AC427/$C$5,0)))</f>
        <v>no acute RA</v>
      </c>
      <c r="AE427" s="339" t="str">
        <f t="shared" si="65"/>
        <v/>
      </c>
      <c r="AF427" s="339" t="str">
        <f t="shared" si="66"/>
        <v/>
      </c>
      <c r="AG427" s="381" t="str">
        <f>IF(OR(Z427=0,Z427="ND",Z427="",$C$5="not necessary"),"",IF(X427="2a",1000*$C$5*R427/Table5[[#This Row],[Processing factor]]/(T427*Y427+S427-T427),IF(X427="2b",1000*$C$5*R427/Table5[[#This Row],[Processing factor]]/S427/Y427,IF(OR(X427=1,X427=3),1000*$C$5*R427/Table5[[#This Row],[Processing factor]]/S427,""))))</f>
        <v/>
      </c>
      <c r="AH427" s="495" t="str">
        <f>IF(OR(AC427=0,AC427="ND",$C$5="not necessary"),"",1000*$C$5*R427/Table5[[#This Row],[Processing factor]]/S427/AB427)</f>
        <v/>
      </c>
      <c r="AI427" s="313"/>
      <c r="AJ427" s="382"/>
    </row>
    <row r="428" spans="1:36" s="11" customFormat="1" ht="12" customHeight="1" x14ac:dyDescent="0.2">
      <c r="A428" s="494"/>
      <c r="B428" s="23">
        <v>154080</v>
      </c>
      <c r="C428" s="325" t="s">
        <v>390</v>
      </c>
      <c r="D428" s="373" t="str">
        <f>VLOOKUP(C428,input_values!$C$412:$BG$538,input_values!$BG$410-2,0)</f>
        <v>PROC-154080-9</v>
      </c>
      <c r="E428" s="567">
        <f>VLOOKUP(B428,input_values!$B$412:$M$538,4,FALSE)</f>
        <v>0</v>
      </c>
      <c r="F428" s="451" t="str">
        <f>VLOOKUP($D428,Table6[[Identifyer]:[Acute RA IESTI new input value]],input_values!$Q$410,FALSE)</f>
        <v/>
      </c>
      <c r="G428" s="451" t="str">
        <f>VLOOKUP($D428,Table6[[Identifyer]:[Acute RA IESTI new input value]],input_values!$P$410,FALSE)</f>
        <v/>
      </c>
      <c r="H428" s="451">
        <f>VLOOKUP($D428,Table6[[Identifyer]:[Acute RA IESTI new input value]],input_values!$S$410,FALSE)</f>
        <v>0</v>
      </c>
      <c r="I428" s="451" t="str">
        <f>VLOOKUP($D428,Table6[[Identifyer]:[Acute RA IESTI new input value]],input_values!$R$410,FALSE)</f>
        <v/>
      </c>
      <c r="J428" s="65"/>
      <c r="K428" s="301">
        <f>IF(Table5[[#This Row],[Unit weight RAC (g)]]="",1,IF(Table5[[#This Row],[Unit weight RAC (g)]]&gt;250,5,7))</f>
        <v>1</v>
      </c>
      <c r="L428" s="302" t="str">
        <f>VLOOKUP(D428,input_values!$A$412:$BB$538,input_values!$AA$410,FALSE)</f>
        <v/>
      </c>
      <c r="M428" s="302">
        <f>VLOOKUP(D428,input_values!$A$412:$BB$538,input_values!$Y$410,FALSE)</f>
        <v>1</v>
      </c>
      <c r="N428" s="374" t="str">
        <f>IF(VLOOKUP(D428,input_values!$A$412:$BB$538,input_values!$L$410,FALSE)&lt;&gt;"",VLOOKUP(D428,input_values!$A$412:$BB$538,input_values!$L$410,FALSE),"")</f>
        <v/>
      </c>
      <c r="O428" s="603">
        <v>15.95</v>
      </c>
      <c r="P428" s="375">
        <v>97.5</v>
      </c>
      <c r="Q428" s="375" t="s">
        <v>256</v>
      </c>
      <c r="R428" s="377">
        <v>16.149999999999999</v>
      </c>
      <c r="S428" s="326">
        <f t="shared" si="61"/>
        <v>257.59249999999997</v>
      </c>
      <c r="T428" s="376"/>
      <c r="U428" s="573"/>
      <c r="V428" s="377"/>
      <c r="W428" s="573"/>
      <c r="X428" s="378">
        <v>3</v>
      </c>
      <c r="Y428" s="64">
        <f>IF(OR(Table5[[#This Row],[Case]]=1,Table5[[#This Row],[Case]]=3),1,IF(N428="",K428,N428))</f>
        <v>1</v>
      </c>
      <c r="Z428" s="379" t="str">
        <f t="shared" si="62"/>
        <v>ND</v>
      </c>
      <c r="AA428" s="380" t="str">
        <f t="shared" si="63"/>
        <v>no acute risk assessment</v>
      </c>
      <c r="AB428" s="64">
        <f>IF(OR(Table5[[#This Row],[Case]]=3,Table5[[#This Row],[Case]]=1),1,IF(Table5[[#This Row],[Variability factor for IESTI ]]&lt;3,Table5[[#This Row],[Variability factor for IESTI ]],3))</f>
        <v>1</v>
      </c>
      <c r="AC428" s="379" t="str">
        <f t="shared" si="64"/>
        <v>ND</v>
      </c>
      <c r="AD428" s="380" t="str">
        <f>IF($C$5="not necessary","no acute RA",IF(AC428="ND","no acute RA",IF(Table5[[#This Row],[IESTI new (mg/kg bw)]]&lt;&gt;"",AC428/$C$5,0)))</f>
        <v>no acute RA</v>
      </c>
      <c r="AE428" s="339" t="str">
        <f t="shared" si="65"/>
        <v/>
      </c>
      <c r="AF428" s="339" t="str">
        <f t="shared" si="66"/>
        <v/>
      </c>
      <c r="AG428" s="381" t="str">
        <f>IF(OR(Z428=0,Z428="ND",Z428="",$C$5="not necessary"),"",IF(X428="2a",1000*$C$5*R428/Table5[[#This Row],[Processing factor]]/(T428*Y428+S428-T428),IF(X428="2b",1000*$C$5*R428/Table5[[#This Row],[Processing factor]]/S428/Y428,IF(OR(X428=1,X428=3),1000*$C$5*R428/Table5[[#This Row],[Processing factor]]/S428,""))))</f>
        <v/>
      </c>
      <c r="AH428" s="495" t="str">
        <f>IF(OR(AC428=0,AC428="ND",$C$5="not necessary"),"",1000*$C$5*R428/Table5[[#This Row],[Processing factor]]/S428/AB428)</f>
        <v/>
      </c>
      <c r="AI428" s="313"/>
      <c r="AJ428" s="382"/>
    </row>
    <row r="429" spans="1:36" s="11" customFormat="1" ht="12" customHeight="1" x14ac:dyDescent="0.2">
      <c r="A429" s="494"/>
      <c r="B429" s="23">
        <v>161020</v>
      </c>
      <c r="C429" s="325" t="s">
        <v>461</v>
      </c>
      <c r="D429" s="373" t="str">
        <f>VLOOKUP(C429,input_values!$C$412:$BG$538,input_values!$BG$410-2,0)</f>
        <v>PROC-161020-11</v>
      </c>
      <c r="E429" s="567">
        <f>VLOOKUP(B429,input_values!$B$412:$M$538,4,FALSE)</f>
        <v>0</v>
      </c>
      <c r="F429" s="451" t="str">
        <f>VLOOKUP($D429,Table6[[Identifyer]:[Acute RA IESTI new input value]],input_values!$Q$410,FALSE)</f>
        <v/>
      </c>
      <c r="G429" s="451" t="str">
        <f>VLOOKUP($D429,Table6[[Identifyer]:[Acute RA IESTI new input value]],input_values!$P$410,FALSE)</f>
        <v/>
      </c>
      <c r="H429" s="451">
        <f>VLOOKUP($D429,Table6[[Identifyer]:[Acute RA IESTI new input value]],input_values!$S$410,FALSE)</f>
        <v>0</v>
      </c>
      <c r="I429" s="451" t="str">
        <f>VLOOKUP($D429,Table6[[Identifyer]:[Acute RA IESTI new input value]],input_values!$R$410,FALSE)</f>
        <v/>
      </c>
      <c r="J429" s="65"/>
      <c r="K429" s="301">
        <f>IF(Table5[[#This Row],[Unit weight RAC (g)]]="",1,IF(Table5[[#This Row],[Unit weight RAC (g)]]&gt;250,5,7))</f>
        <v>1</v>
      </c>
      <c r="L429" s="302" t="str">
        <f>VLOOKUP(D429,input_values!$A$412:$BB$538,input_values!$AA$410,FALSE)</f>
        <v/>
      </c>
      <c r="M429" s="302">
        <f>VLOOKUP(D429,input_values!$A$412:$BB$538,input_values!$Y$410,FALSE)</f>
        <v>1</v>
      </c>
      <c r="N429" s="374" t="str">
        <f>IF(VLOOKUP(D429,input_values!$A$412:$BB$538,input_values!$L$410,FALSE)&lt;&gt;"",VLOOKUP(D429,input_values!$A$412:$BB$538,input_values!$L$410,FALSE),"")</f>
        <v/>
      </c>
      <c r="O429" s="603">
        <v>3.0000000000000004</v>
      </c>
      <c r="P429" s="375" t="s">
        <v>440</v>
      </c>
      <c r="Q429" s="375" t="s">
        <v>329</v>
      </c>
      <c r="R429" s="377">
        <v>10.199999999999999</v>
      </c>
      <c r="S429" s="326">
        <f t="shared" si="61"/>
        <v>30.6</v>
      </c>
      <c r="T429" s="376"/>
      <c r="U429" s="573"/>
      <c r="V429" s="377"/>
      <c r="W429" s="573"/>
      <c r="X429" s="378">
        <v>3</v>
      </c>
      <c r="Y429" s="64">
        <f>IF(OR(Table5[[#This Row],[Case]]=1,Table5[[#This Row],[Case]]=3),1,IF(N429="",K429,N429))</f>
        <v>1</v>
      </c>
      <c r="Z429" s="379" t="str">
        <f t="shared" si="62"/>
        <v>ND</v>
      </c>
      <c r="AA429" s="380" t="str">
        <f t="shared" si="63"/>
        <v>no acute risk assessment</v>
      </c>
      <c r="AB429" s="64">
        <f>IF(OR(Table5[[#This Row],[Case]]=3,Table5[[#This Row],[Case]]=1),1,IF(Table5[[#This Row],[Variability factor for IESTI ]]&lt;3,Table5[[#This Row],[Variability factor for IESTI ]],3))</f>
        <v>1</v>
      </c>
      <c r="AC429" s="379" t="str">
        <f t="shared" si="64"/>
        <v>ND</v>
      </c>
      <c r="AD429" s="380" t="str">
        <f>IF($C$5="not necessary","no acute RA",IF(AC429="ND","no acute RA",IF(Table5[[#This Row],[IESTI new (mg/kg bw)]]&lt;&gt;"",AC429/$C$5,0)))</f>
        <v>no acute RA</v>
      </c>
      <c r="AE429" s="339" t="str">
        <f t="shared" si="65"/>
        <v/>
      </c>
      <c r="AF429" s="339" t="str">
        <f t="shared" si="66"/>
        <v/>
      </c>
      <c r="AG429" s="381" t="str">
        <f>IF(OR(Z429=0,Z429="ND",Z429="",$C$5="not necessary"),"",IF(X429="2a",1000*$C$5*R429/Table5[[#This Row],[Processing factor]]/(T429*Y429+S429-T429),IF(X429="2b",1000*$C$5*R429/Table5[[#This Row],[Processing factor]]/S429/Y429,IF(OR(X429=1,X429=3),1000*$C$5*R429/Table5[[#This Row],[Processing factor]]/S429,""))))</f>
        <v/>
      </c>
      <c r="AH429" s="495" t="str">
        <f>IF(OR(AC429=0,AC429="ND",$C$5="not necessary"),"",1000*$C$5*R429/Table5[[#This Row],[Processing factor]]/S429/AB429)</f>
        <v/>
      </c>
      <c r="AI429" s="313"/>
      <c r="AJ429" s="382"/>
    </row>
    <row r="430" spans="1:36" s="11" customFormat="1" ht="12" customHeight="1" x14ac:dyDescent="0.2">
      <c r="A430" s="494"/>
      <c r="B430" s="23">
        <v>161030</v>
      </c>
      <c r="C430" s="325" t="s">
        <v>445</v>
      </c>
      <c r="D430" s="373" t="str">
        <f>VLOOKUP(C430,input_values!$C$412:$BG$538,input_values!$BG$410-2,0)</f>
        <v>PROC-161030-5</v>
      </c>
      <c r="E430" s="567">
        <f>VLOOKUP(B430,input_values!$B$412:$M$538,4,FALSE)</f>
        <v>0</v>
      </c>
      <c r="F430" s="451" t="str">
        <f>VLOOKUP($D430,Table6[[Identifyer]:[Acute RA IESTI new input value]],input_values!$Q$410,FALSE)</f>
        <v/>
      </c>
      <c r="G430" s="451" t="str">
        <f>VLOOKUP($D430,Table6[[Identifyer]:[Acute RA IESTI new input value]],input_values!$P$410,FALSE)</f>
        <v/>
      </c>
      <c r="H430" s="451">
        <f>VLOOKUP($D430,Table6[[Identifyer]:[Acute RA IESTI new input value]],input_values!$S$410,FALSE)</f>
        <v>0</v>
      </c>
      <c r="I430" s="451" t="str">
        <f>VLOOKUP($D430,Table6[[Identifyer]:[Acute RA IESTI new input value]],input_values!$R$410,FALSE)</f>
        <v/>
      </c>
      <c r="J430" s="65"/>
      <c r="K430" s="301">
        <f>IF(Table5[[#This Row],[Unit weight RAC (g)]]="",1,IF(Table5[[#This Row],[Unit weight RAC (g)]]&gt;250,5,7))</f>
        <v>1</v>
      </c>
      <c r="L430" s="302" t="str">
        <f>VLOOKUP(D430,input_values!$A$412:$BB$538,input_values!$AA$410,FALSE)</f>
        <v/>
      </c>
      <c r="M430" s="302">
        <f>VLOOKUP(D430,input_values!$A$412:$BB$538,input_values!$Y$410,FALSE)</f>
        <v>1</v>
      </c>
      <c r="N430" s="374" t="str">
        <f>IF(VLOOKUP(D430,input_values!$A$412:$BB$538,input_values!$L$410,FALSE)&lt;&gt;"",VLOOKUP(D430,input_values!$A$412:$BB$538,input_values!$L$410,FALSE),"")</f>
        <v/>
      </c>
      <c r="O430" s="603">
        <v>1.1195652173913044</v>
      </c>
      <c r="P430" s="375" t="s">
        <v>441</v>
      </c>
      <c r="Q430" s="375" t="s">
        <v>259</v>
      </c>
      <c r="R430" s="377">
        <v>18.399999999999999</v>
      </c>
      <c r="S430" s="326">
        <f t="shared" si="61"/>
        <v>20.6</v>
      </c>
      <c r="T430" s="376"/>
      <c r="U430" s="573"/>
      <c r="V430" s="377"/>
      <c r="W430" s="573"/>
      <c r="X430" s="378">
        <v>3</v>
      </c>
      <c r="Y430" s="64">
        <f>IF(OR(Table5[[#This Row],[Case]]=1,Table5[[#This Row],[Case]]=3),1,IF(N430="",K430,N430))</f>
        <v>1</v>
      </c>
      <c r="Z430" s="379" t="str">
        <f t="shared" si="62"/>
        <v>ND</v>
      </c>
      <c r="AA430" s="380" t="str">
        <f t="shared" si="63"/>
        <v>no acute risk assessment</v>
      </c>
      <c r="AB430" s="64">
        <f>IF(OR(Table5[[#This Row],[Case]]=3,Table5[[#This Row],[Case]]=1),1,IF(Table5[[#This Row],[Variability factor for IESTI ]]&lt;3,Table5[[#This Row],[Variability factor for IESTI ]],3))</f>
        <v>1</v>
      </c>
      <c r="AC430" s="379" t="str">
        <f t="shared" si="64"/>
        <v>ND</v>
      </c>
      <c r="AD430" s="380" t="str">
        <f>IF($C$5="not necessary","no acute RA",IF(AC430="ND","no acute RA",IF(Table5[[#This Row],[IESTI new (mg/kg bw)]]&lt;&gt;"",AC430/$C$5,0)))</f>
        <v>no acute RA</v>
      </c>
      <c r="AE430" s="339" t="str">
        <f t="shared" si="65"/>
        <v/>
      </c>
      <c r="AF430" s="339" t="str">
        <f t="shared" si="66"/>
        <v/>
      </c>
      <c r="AG430" s="381" t="str">
        <f>IF(OR(Z430=0,Z430="ND",Z430="",$C$5="not necessary"),"",IF(X430="2a",1000*$C$5*R430/Table5[[#This Row],[Processing factor]]/(T430*Y430+S430-T430),IF(X430="2b",1000*$C$5*R430/Table5[[#This Row],[Processing factor]]/S430/Y430,IF(OR(X430=1,X430=3),1000*$C$5*R430/Table5[[#This Row],[Processing factor]]/S430,""))))</f>
        <v/>
      </c>
      <c r="AH430" s="495" t="str">
        <f>IF(OR(AC430=0,AC430="ND",$C$5="not necessary"),"",1000*$C$5*R430/Table5[[#This Row],[Processing factor]]/S430/AB430)</f>
        <v/>
      </c>
      <c r="AI430" s="313"/>
      <c r="AJ430" s="382"/>
    </row>
    <row r="431" spans="1:36" s="11" customFormat="1" ht="12" customHeight="1" x14ac:dyDescent="0.2">
      <c r="A431" s="494"/>
      <c r="B431" s="23">
        <v>162010</v>
      </c>
      <c r="C431" s="325" t="s">
        <v>817</v>
      </c>
      <c r="D431" s="373" t="str">
        <f>VLOOKUP(C431,input_values!$C$412:$BG$538,input_values!$BG$410-2,0)</f>
        <v>PROC-162010-9</v>
      </c>
      <c r="E431" s="567">
        <f>VLOOKUP(B431,input_values!$B$412:$M$538,4,FALSE)</f>
        <v>0</v>
      </c>
      <c r="F431" s="451" t="str">
        <f>VLOOKUP($D431,Table6[[Identifyer]:[Acute RA IESTI new input value]],input_values!$Q$410,FALSE)</f>
        <v/>
      </c>
      <c r="G431" s="451" t="str">
        <f>VLOOKUP($D431,Table6[[Identifyer]:[Acute RA IESTI new input value]],input_values!$P$410,FALSE)</f>
        <v/>
      </c>
      <c r="H431" s="451">
        <f>VLOOKUP($D431,Table6[[Identifyer]:[Acute RA IESTI new input value]],input_values!$S$410,FALSE)</f>
        <v>0</v>
      </c>
      <c r="I431" s="451" t="str">
        <f>VLOOKUP($D431,Table6[[Identifyer]:[Acute RA IESTI new input value]],input_values!$R$410,FALSE)</f>
        <v/>
      </c>
      <c r="J431" s="65"/>
      <c r="K431" s="301">
        <f>IF(Table5[[#This Row],[Unit weight RAC (g)]]="",1,IF(Table5[[#This Row],[Unit weight RAC (g)]]&gt;250,5,7))</f>
        <v>1</v>
      </c>
      <c r="L431" s="302" t="str">
        <f>VLOOKUP(D431,input_values!$A$412:$BB$538,input_values!$AA$410,FALSE)</f>
        <v/>
      </c>
      <c r="M431" s="302">
        <f>VLOOKUP(D431,input_values!$A$412:$BB$538,input_values!$Y$410,FALSE)</f>
        <v>1</v>
      </c>
      <c r="N431" s="374" t="str">
        <f>IF(VLOOKUP(D431,input_values!$A$412:$BB$538,input_values!$L$410,FALSE)&lt;&gt;"",VLOOKUP(D431,input_values!$A$412:$BB$538,input_values!$L$410,FALSE),"")</f>
        <v/>
      </c>
      <c r="O431" s="603">
        <v>17.91</v>
      </c>
      <c r="P431" s="375">
        <v>97.5</v>
      </c>
      <c r="Q431" s="375" t="s">
        <v>256</v>
      </c>
      <c r="R431" s="377">
        <v>16.149999999999999</v>
      </c>
      <c r="S431" s="326">
        <f t="shared" si="61"/>
        <v>289.24649999999997</v>
      </c>
      <c r="T431" s="376"/>
      <c r="U431" s="573"/>
      <c r="V431" s="377"/>
      <c r="W431" s="573"/>
      <c r="X431" s="378">
        <v>3</v>
      </c>
      <c r="Y431" s="64">
        <f>IF(OR(Table5[[#This Row],[Case]]=1,Table5[[#This Row],[Case]]=3),1,IF(N431="",K431,N431))</f>
        <v>1</v>
      </c>
      <c r="Z431" s="379" t="str">
        <f t="shared" si="62"/>
        <v>ND</v>
      </c>
      <c r="AA431" s="380" t="str">
        <f t="shared" si="63"/>
        <v>no acute risk assessment</v>
      </c>
      <c r="AB431" s="64">
        <f>IF(OR(Table5[[#This Row],[Case]]=3,Table5[[#This Row],[Case]]=1),1,IF(Table5[[#This Row],[Variability factor for IESTI ]]&lt;3,Table5[[#This Row],[Variability factor for IESTI ]],3))</f>
        <v>1</v>
      </c>
      <c r="AC431" s="379" t="str">
        <f t="shared" si="64"/>
        <v>ND</v>
      </c>
      <c r="AD431" s="380" t="str">
        <f>IF($C$5="not necessary","no acute RA",IF(AC431="ND","no acute RA",IF(Table5[[#This Row],[IESTI new (mg/kg bw)]]&lt;&gt;"",AC431/$C$5,0)))</f>
        <v>no acute RA</v>
      </c>
      <c r="AE431" s="339" t="str">
        <f t="shared" si="65"/>
        <v/>
      </c>
      <c r="AF431" s="339" t="str">
        <f t="shared" si="66"/>
        <v/>
      </c>
      <c r="AG431" s="381" t="str">
        <f>IF(OR(Z431=0,Z431="ND",Z431="",$C$5="not necessary"),"",IF(X431="2a",1000*$C$5*R431/Table5[[#This Row],[Processing factor]]/(T431*Y431+S431-T431),IF(X431="2b",1000*$C$5*R431/Table5[[#This Row],[Processing factor]]/S431/Y431,IF(OR(X431=1,X431=3),1000*$C$5*R431/Table5[[#This Row],[Processing factor]]/S431,""))))</f>
        <v/>
      </c>
      <c r="AH431" s="495" t="str">
        <f>IF(OR(AC431=0,AC431="ND",$C$5="not necessary"),"",1000*$C$5*R431/Table5[[#This Row],[Processing factor]]/S431/AB431)</f>
        <v/>
      </c>
      <c r="AI431" s="313"/>
      <c r="AJ431" s="382"/>
    </row>
    <row r="432" spans="1:36" s="11" customFormat="1" ht="12" customHeight="1" x14ac:dyDescent="0.2">
      <c r="A432" s="494"/>
      <c r="B432" s="23">
        <v>162020</v>
      </c>
      <c r="C432" s="325" t="s">
        <v>845</v>
      </c>
      <c r="D432" s="373" t="str">
        <f>VLOOKUP(C432,input_values!$C$412:$BG$538,input_values!$BG$410-2,0)</f>
        <v>PROC-162020-5</v>
      </c>
      <c r="E432" s="567">
        <f>VLOOKUP(B432,input_values!$B$412:$M$538,4,FALSE)</f>
        <v>0</v>
      </c>
      <c r="F432" s="451" t="str">
        <f>VLOOKUP($D432,Table6[[Identifyer]:[Acute RA IESTI new input value]],input_values!$Q$410,FALSE)</f>
        <v/>
      </c>
      <c r="G432" s="451" t="str">
        <f>VLOOKUP($D432,Table6[[Identifyer]:[Acute RA IESTI new input value]],input_values!$P$410,FALSE)</f>
        <v/>
      </c>
      <c r="H432" s="451">
        <f>VLOOKUP($D432,Table6[[Identifyer]:[Acute RA IESTI new input value]],input_values!$S$410,FALSE)</f>
        <v>0</v>
      </c>
      <c r="I432" s="451" t="str">
        <f>VLOOKUP($D432,Table6[[Identifyer]:[Acute RA IESTI new input value]],input_values!$R$410,FALSE)</f>
        <v/>
      </c>
      <c r="J432" s="65"/>
      <c r="K432" s="301">
        <f>IF(Table5[[#This Row],[Unit weight RAC (g)]]="",1,IF(Table5[[#This Row],[Unit weight RAC (g)]]&gt;250,5,7))</f>
        <v>1</v>
      </c>
      <c r="L432" s="302" t="str">
        <f>VLOOKUP(D432,input_values!$A$412:$BB$538,input_values!$AA$410,FALSE)</f>
        <v/>
      </c>
      <c r="M432" s="302">
        <f>VLOOKUP(D432,input_values!$A$412:$BB$538,input_values!$Y$410,FALSE)</f>
        <v>1</v>
      </c>
      <c r="N432" s="374" t="str">
        <f>IF(VLOOKUP(D432,input_values!$A$412:$BB$538,input_values!$L$410,FALSE)&lt;&gt;"",VLOOKUP(D432,input_values!$A$412:$BB$538,input_values!$L$410,FALSE),"")</f>
        <v/>
      </c>
      <c r="O432" s="603">
        <v>3.9836956521739131</v>
      </c>
      <c r="P432" s="375" t="s">
        <v>442</v>
      </c>
      <c r="Q432" s="375" t="s">
        <v>259</v>
      </c>
      <c r="R432" s="377">
        <v>18.399999999999999</v>
      </c>
      <c r="S432" s="326">
        <f t="shared" si="61"/>
        <v>73.3</v>
      </c>
      <c r="T432" s="376"/>
      <c r="U432" s="573"/>
      <c r="V432" s="377"/>
      <c r="W432" s="573"/>
      <c r="X432" s="378">
        <v>3</v>
      </c>
      <c r="Y432" s="64">
        <f>IF(OR(Table5[[#This Row],[Case]]=1,Table5[[#This Row],[Case]]=3),1,IF(N432="",K432,N432))</f>
        <v>1</v>
      </c>
      <c r="Z432" s="379" t="str">
        <f t="shared" si="62"/>
        <v>ND</v>
      </c>
      <c r="AA432" s="380" t="str">
        <f t="shared" si="63"/>
        <v>no acute risk assessment</v>
      </c>
      <c r="AB432" s="64">
        <f>IF(OR(Table5[[#This Row],[Case]]=3,Table5[[#This Row],[Case]]=1),1,IF(Table5[[#This Row],[Variability factor for IESTI ]]&lt;3,Table5[[#This Row],[Variability factor for IESTI ]],3))</f>
        <v>1</v>
      </c>
      <c r="AC432" s="379" t="str">
        <f t="shared" si="64"/>
        <v>ND</v>
      </c>
      <c r="AD432" s="380" t="str">
        <f>IF($C$5="not necessary","no acute RA",IF(AC432="ND","no acute RA",IF(Table5[[#This Row],[IESTI new (mg/kg bw)]]&lt;&gt;"",AC432/$C$5,0)))</f>
        <v>no acute RA</v>
      </c>
      <c r="AE432" s="339" t="str">
        <f t="shared" si="65"/>
        <v/>
      </c>
      <c r="AF432" s="339" t="str">
        <f t="shared" si="66"/>
        <v/>
      </c>
      <c r="AG432" s="381" t="str">
        <f>IF(OR(Z432=0,Z432="ND",Z432="",$C$5="not necessary"),"",IF(X432="2a",1000*$C$5*R432/Table5[[#This Row],[Processing factor]]/(T432*Y432+S432-T432),IF(X432="2b",1000*$C$5*R432/Table5[[#This Row],[Processing factor]]/S432/Y432,IF(OR(X432=1,X432=3),1000*$C$5*R432/Table5[[#This Row],[Processing factor]]/S432,""))))</f>
        <v/>
      </c>
      <c r="AH432" s="495" t="str">
        <f>IF(OR(AC432=0,AC432="ND",$C$5="not necessary"),"",1000*$C$5*R432/Table5[[#This Row],[Processing factor]]/S432/AB432)</f>
        <v/>
      </c>
      <c r="AI432" s="313"/>
      <c r="AJ432" s="382"/>
    </row>
    <row r="433" spans="1:36" s="11" customFormat="1" ht="12" customHeight="1" x14ac:dyDescent="0.2">
      <c r="A433" s="494"/>
      <c r="B433" s="23">
        <v>162030</v>
      </c>
      <c r="C433" s="325" t="s">
        <v>818</v>
      </c>
      <c r="D433" s="373" t="str">
        <f>VLOOKUP(C433,input_values!$C$412:$BG$538,input_values!$BG$410-2,0)</f>
        <v>PROC-162030-9</v>
      </c>
      <c r="E433" s="567">
        <f>VLOOKUP(B433,input_values!$B$412:$M$538,4,FALSE)</f>
        <v>0</v>
      </c>
      <c r="F433" s="451" t="str">
        <f>VLOOKUP($D433,Table6[[Identifyer]:[Acute RA IESTI new input value]],input_values!$Q$410,FALSE)</f>
        <v/>
      </c>
      <c r="G433" s="451" t="str">
        <f>VLOOKUP($D433,Table6[[Identifyer]:[Acute RA IESTI new input value]],input_values!$P$410,FALSE)</f>
        <v/>
      </c>
      <c r="H433" s="451">
        <f>VLOOKUP($D433,Table6[[Identifyer]:[Acute RA IESTI new input value]],input_values!$S$410,FALSE)</f>
        <v>0</v>
      </c>
      <c r="I433" s="451" t="str">
        <f>VLOOKUP($D433,Table6[[Identifyer]:[Acute RA IESTI new input value]],input_values!$R$410,FALSE)</f>
        <v/>
      </c>
      <c r="J433" s="65"/>
      <c r="K433" s="301">
        <f>IF(Table5[[#This Row],[Unit weight RAC (g)]]="",1,IF(Table5[[#This Row],[Unit weight RAC (g)]]&gt;250,5,7))</f>
        <v>1</v>
      </c>
      <c r="L433" s="302" t="str">
        <f>VLOOKUP(D433,input_values!$A$412:$BB$538,input_values!$AA$410,FALSE)</f>
        <v/>
      </c>
      <c r="M433" s="302">
        <f>VLOOKUP(D433,input_values!$A$412:$BB$538,input_values!$Y$410,FALSE)</f>
        <v>1</v>
      </c>
      <c r="N433" s="374" t="str">
        <f>IF(VLOOKUP(D433,input_values!$A$412:$BB$538,input_values!$L$410,FALSE)&lt;&gt;"",VLOOKUP(D433,input_values!$A$412:$BB$538,input_values!$L$410,FALSE),"")</f>
        <v/>
      </c>
      <c r="O433" s="603">
        <v>7.6</v>
      </c>
      <c r="P433" s="375">
        <v>97.5</v>
      </c>
      <c r="Q433" s="375" t="s">
        <v>256</v>
      </c>
      <c r="R433" s="377">
        <v>16.149999999999999</v>
      </c>
      <c r="S433" s="326">
        <f t="shared" si="61"/>
        <v>122.73999999999998</v>
      </c>
      <c r="T433" s="376"/>
      <c r="U433" s="573"/>
      <c r="V433" s="377"/>
      <c r="W433" s="573"/>
      <c r="X433" s="378">
        <v>3</v>
      </c>
      <c r="Y433" s="64">
        <f>IF(OR(Table5[[#This Row],[Case]]=1,Table5[[#This Row],[Case]]=3),1,IF(N433="",K433,N433))</f>
        <v>1</v>
      </c>
      <c r="Z433" s="379" t="str">
        <f t="shared" si="62"/>
        <v>ND</v>
      </c>
      <c r="AA433" s="380" t="str">
        <f t="shared" si="63"/>
        <v>no acute risk assessment</v>
      </c>
      <c r="AB433" s="64">
        <f>IF(OR(Table5[[#This Row],[Case]]=3,Table5[[#This Row],[Case]]=1),1,IF(Table5[[#This Row],[Variability factor for IESTI ]]&lt;3,Table5[[#This Row],[Variability factor for IESTI ]],3))</f>
        <v>1</v>
      </c>
      <c r="AC433" s="379" t="str">
        <f t="shared" si="64"/>
        <v>ND</v>
      </c>
      <c r="AD433" s="380" t="str">
        <f>IF($C$5="not necessary","no acute RA",IF(AC433="ND","no acute RA",IF(Table5[[#This Row],[IESTI new (mg/kg bw)]]&lt;&gt;"",AC433/$C$5,0)))</f>
        <v>no acute RA</v>
      </c>
      <c r="AE433" s="339" t="str">
        <f t="shared" si="65"/>
        <v/>
      </c>
      <c r="AF433" s="339" t="str">
        <f t="shared" si="66"/>
        <v/>
      </c>
      <c r="AG433" s="381" t="str">
        <f>IF(OR(Z433=0,Z433="ND",Z433="",$C$5="not necessary"),"",IF(X433="2a",1000*$C$5*R433/Table5[[#This Row],[Processing factor]]/(T433*Y433+S433-T433),IF(X433="2b",1000*$C$5*R433/Table5[[#This Row],[Processing factor]]/S433/Y433,IF(OR(X433=1,X433=3),1000*$C$5*R433/Table5[[#This Row],[Processing factor]]/S433,""))))</f>
        <v/>
      </c>
      <c r="AH433" s="495" t="str">
        <f>IF(OR(AC433=0,AC433="ND",$C$5="not necessary"),"",1000*$C$5*R433/Table5[[#This Row],[Processing factor]]/S433/AB433)</f>
        <v/>
      </c>
      <c r="AI433" s="313"/>
      <c r="AJ433" s="382"/>
    </row>
    <row r="434" spans="1:36" s="11" customFormat="1" ht="12" customHeight="1" x14ac:dyDescent="0.2">
      <c r="A434" s="494"/>
      <c r="B434" s="23">
        <v>163050</v>
      </c>
      <c r="C434" s="325" t="s">
        <v>819</v>
      </c>
      <c r="D434" s="373" t="str">
        <f>VLOOKUP(C434,input_values!$C$412:$BG$538,input_values!$BG$410-2,0)</f>
        <v>PROC-163050-9</v>
      </c>
      <c r="E434" s="567">
        <f>VLOOKUP(B434,input_values!$B$412:$M$538,4,FALSE)</f>
        <v>0</v>
      </c>
      <c r="F434" s="451" t="str">
        <f>VLOOKUP($D434,Table6[[Identifyer]:[Acute RA IESTI new input value]],input_values!$Q$410,FALSE)</f>
        <v/>
      </c>
      <c r="G434" s="451" t="str">
        <f>VLOOKUP($D434,Table6[[Identifyer]:[Acute RA IESTI new input value]],input_values!$P$410,FALSE)</f>
        <v/>
      </c>
      <c r="H434" s="451">
        <f>VLOOKUP($D434,Table6[[Identifyer]:[Acute RA IESTI new input value]],input_values!$S$410,FALSE)</f>
        <v>0</v>
      </c>
      <c r="I434" s="451" t="str">
        <f>VLOOKUP($D434,Table6[[Identifyer]:[Acute RA IESTI new input value]],input_values!$R$410,FALSE)</f>
        <v/>
      </c>
      <c r="J434" s="65"/>
      <c r="K434" s="301">
        <f>IF(Table5[[#This Row],[Unit weight RAC (g)]]="",1,IF(Table5[[#This Row],[Unit weight RAC (g)]]&gt;250,5,7))</f>
        <v>1</v>
      </c>
      <c r="L434" s="302" t="str">
        <f>VLOOKUP(D434,input_values!$A$412:$BB$538,input_values!$AA$410,FALSE)</f>
        <v/>
      </c>
      <c r="M434" s="302">
        <f>VLOOKUP(D434,input_values!$A$412:$BB$538,input_values!$Y$410,FALSE)</f>
        <v>1</v>
      </c>
      <c r="N434" s="374" t="str">
        <f>IF(VLOOKUP(D434,input_values!$A$412:$BB$538,input_values!$L$410,FALSE)&lt;&gt;"",VLOOKUP(D434,input_values!$A$412:$BB$538,input_values!$L$410,FALSE),"")</f>
        <v/>
      </c>
      <c r="O434" s="603">
        <v>2.7173913043478262</v>
      </c>
      <c r="P434" s="375" t="s">
        <v>446</v>
      </c>
      <c r="Q434" s="375" t="s">
        <v>259</v>
      </c>
      <c r="R434" s="377">
        <v>18.399999999999999</v>
      </c>
      <c r="S434" s="326">
        <f t="shared" si="61"/>
        <v>50</v>
      </c>
      <c r="T434" s="376"/>
      <c r="U434" s="573"/>
      <c r="V434" s="377"/>
      <c r="W434" s="573"/>
      <c r="X434" s="378">
        <v>3</v>
      </c>
      <c r="Y434" s="64">
        <f>IF(OR(Table5[[#This Row],[Case]]=1,Table5[[#This Row],[Case]]=3),1,IF(N434="",K434,N434))</f>
        <v>1</v>
      </c>
      <c r="Z434" s="379" t="str">
        <f t="shared" si="62"/>
        <v>ND</v>
      </c>
      <c r="AA434" s="380" t="str">
        <f t="shared" si="63"/>
        <v>no acute risk assessment</v>
      </c>
      <c r="AB434" s="64">
        <f>IF(OR(Table5[[#This Row],[Case]]=3,Table5[[#This Row],[Case]]=1),1,IF(Table5[[#This Row],[Variability factor for IESTI ]]&lt;3,Table5[[#This Row],[Variability factor for IESTI ]],3))</f>
        <v>1</v>
      </c>
      <c r="AC434" s="379" t="str">
        <f t="shared" si="64"/>
        <v>ND</v>
      </c>
      <c r="AD434" s="380" t="str">
        <f>IF($C$5="not necessary","no acute RA",IF(AC434="ND","no acute RA",IF(Table5[[#This Row],[IESTI new (mg/kg bw)]]&lt;&gt;"",AC434/$C$5,0)))</f>
        <v>no acute RA</v>
      </c>
      <c r="AE434" s="339" t="str">
        <f t="shared" si="65"/>
        <v/>
      </c>
      <c r="AF434" s="339" t="str">
        <f t="shared" si="66"/>
        <v/>
      </c>
      <c r="AG434" s="381" t="str">
        <f>IF(OR(Z434=0,Z434="ND",Z434="",$C$5="not necessary"),"",IF(X434="2a",1000*$C$5*R434/Table5[[#This Row],[Processing factor]]/(T434*Y434+S434-T434),IF(X434="2b",1000*$C$5*R434/Table5[[#This Row],[Processing factor]]/S434/Y434,IF(OR(X434=1,X434=3),1000*$C$5*R434/Table5[[#This Row],[Processing factor]]/S434,""))))</f>
        <v/>
      </c>
      <c r="AH434" s="495" t="str">
        <f>IF(OR(AC434=0,AC434="ND",$C$5="not necessary"),"",1000*$C$5*R434/Table5[[#This Row],[Processing factor]]/S434/AB434)</f>
        <v/>
      </c>
      <c r="AI434" s="313"/>
      <c r="AJ434" s="382"/>
    </row>
    <row r="435" spans="1:36" s="11" customFormat="1" ht="12" customHeight="1" x14ac:dyDescent="0.2">
      <c r="A435" s="494"/>
      <c r="B435" s="23">
        <v>163070</v>
      </c>
      <c r="C435" s="325" t="s">
        <v>820</v>
      </c>
      <c r="D435" s="373" t="str">
        <f>VLOOKUP(C435,input_values!$C$412:$BG$538,input_values!$BG$410-2,0)</f>
        <v>PROC-163070-9</v>
      </c>
      <c r="E435" s="567">
        <f>VLOOKUP(B435,input_values!$B$412:$M$538,4,FALSE)</f>
        <v>0</v>
      </c>
      <c r="F435" s="451" t="str">
        <f>VLOOKUP($D435,Table6[[Identifyer]:[Acute RA IESTI new input value]],input_values!$Q$410,FALSE)</f>
        <v/>
      </c>
      <c r="G435" s="451" t="str">
        <f>VLOOKUP($D435,Table6[[Identifyer]:[Acute RA IESTI new input value]],input_values!$P$410,FALSE)</f>
        <v/>
      </c>
      <c r="H435" s="451">
        <f>VLOOKUP($D435,Table6[[Identifyer]:[Acute RA IESTI new input value]],input_values!$S$410,FALSE)</f>
        <v>0</v>
      </c>
      <c r="I435" s="451" t="str">
        <f>VLOOKUP($D435,Table6[[Identifyer]:[Acute RA IESTI new input value]],input_values!$R$410,FALSE)</f>
        <v/>
      </c>
      <c r="J435" s="65"/>
      <c r="K435" s="301">
        <f>IF(Table5[[#This Row],[Unit weight RAC (g)]]="",1,IF(Table5[[#This Row],[Unit weight RAC (g)]]&gt;250,5,7))</f>
        <v>1</v>
      </c>
      <c r="L435" s="302" t="str">
        <f>VLOOKUP(D435,input_values!$A$412:$BB$538,input_values!$AA$410,FALSE)</f>
        <v/>
      </c>
      <c r="M435" s="302">
        <f>VLOOKUP(D435,input_values!$A$412:$BB$538,input_values!$Y$410,FALSE)</f>
        <v>1</v>
      </c>
      <c r="N435" s="374" t="str">
        <f>IF(VLOOKUP(D435,input_values!$A$412:$BB$538,input_values!$L$410,FALSE)&lt;&gt;"",VLOOKUP(D435,input_values!$A$412:$BB$538,input_values!$L$410,FALSE),"")</f>
        <v/>
      </c>
      <c r="O435" s="603">
        <v>1.7282608695652175</v>
      </c>
      <c r="P435" s="375" t="s">
        <v>20</v>
      </c>
      <c r="Q435" s="375" t="s">
        <v>259</v>
      </c>
      <c r="R435" s="377">
        <v>18.399999999999999</v>
      </c>
      <c r="S435" s="326">
        <f t="shared" si="61"/>
        <v>31.8</v>
      </c>
      <c r="T435" s="376"/>
      <c r="U435" s="573"/>
      <c r="V435" s="377"/>
      <c r="W435" s="573"/>
      <c r="X435" s="378">
        <v>3</v>
      </c>
      <c r="Y435" s="64">
        <f>IF(OR(Table5[[#This Row],[Case]]=1,Table5[[#This Row],[Case]]=3),1,IF(N435="",K435,N435))</f>
        <v>1</v>
      </c>
      <c r="Z435" s="379" t="str">
        <f t="shared" si="62"/>
        <v>ND</v>
      </c>
      <c r="AA435" s="380" t="str">
        <f t="shared" si="63"/>
        <v>no acute risk assessment</v>
      </c>
      <c r="AB435" s="64">
        <f>IF(OR(Table5[[#This Row],[Case]]=3,Table5[[#This Row],[Case]]=1),1,IF(Table5[[#This Row],[Variability factor for IESTI ]]&lt;3,Table5[[#This Row],[Variability factor for IESTI ]],3))</f>
        <v>1</v>
      </c>
      <c r="AC435" s="379" t="str">
        <f t="shared" si="64"/>
        <v>ND</v>
      </c>
      <c r="AD435" s="380" t="str">
        <f>IF($C$5="not necessary","no acute RA",IF(AC435="ND","no acute RA",IF(Table5[[#This Row],[IESTI new (mg/kg bw)]]&lt;&gt;"",AC435/$C$5,0)))</f>
        <v>no acute RA</v>
      </c>
      <c r="AE435" s="339" t="str">
        <f t="shared" si="65"/>
        <v/>
      </c>
      <c r="AF435" s="339" t="str">
        <f t="shared" si="66"/>
        <v/>
      </c>
      <c r="AG435" s="381" t="str">
        <f>IF(OR(Z435=0,Z435="ND",Z435="",$C$5="not necessary"),"",IF(X435="2a",1000*$C$5*R435/Table5[[#This Row],[Processing factor]]/(T435*Y435+S435-T435),IF(X435="2b",1000*$C$5*R435/Table5[[#This Row],[Processing factor]]/S435/Y435,IF(OR(X435=1,X435=3),1000*$C$5*R435/Table5[[#This Row],[Processing factor]]/S435,""))))</f>
        <v/>
      </c>
      <c r="AH435" s="495" t="str">
        <f>IF(OR(AC435=0,AC435="ND",$C$5="not necessary"),"",1000*$C$5*R435/Table5[[#This Row],[Processing factor]]/S435/AB435)</f>
        <v/>
      </c>
      <c r="AI435" s="313"/>
      <c r="AJ435" s="382"/>
    </row>
    <row r="436" spans="1:36" s="11" customFormat="1" ht="12" customHeight="1" x14ac:dyDescent="0.2">
      <c r="A436" s="494"/>
      <c r="B436" s="23">
        <v>163080</v>
      </c>
      <c r="C436" s="325" t="s">
        <v>422</v>
      </c>
      <c r="D436" s="373" t="str">
        <f>VLOOKUP(C436,input_values!$C$412:$BG$538,input_values!$BG$410-2,0)</f>
        <v>PROC-163080-9</v>
      </c>
      <c r="E436" s="567">
        <f>VLOOKUP(B436,input_values!$B$412:$M$538,4,FALSE)</f>
        <v>0</v>
      </c>
      <c r="F436" s="451" t="str">
        <f>VLOOKUP($D436,Table6[[Identifyer]:[Acute RA IESTI new input value]],input_values!$Q$410,FALSE)</f>
        <v/>
      </c>
      <c r="G436" s="451" t="str">
        <f>VLOOKUP($D436,Table6[[Identifyer]:[Acute RA IESTI new input value]],input_values!$P$410,FALSE)</f>
        <v/>
      </c>
      <c r="H436" s="451">
        <f>VLOOKUP($D436,Table6[[Identifyer]:[Acute RA IESTI new input value]],input_values!$S$410,FALSE)</f>
        <v>0</v>
      </c>
      <c r="I436" s="451" t="str">
        <f>VLOOKUP($D436,Table6[[Identifyer]:[Acute RA IESTI new input value]],input_values!$R$410,FALSE)</f>
        <v/>
      </c>
      <c r="J436" s="65"/>
      <c r="K436" s="301">
        <f>IF(Table5[[#This Row],[Unit weight RAC (g)]]="",1,IF(Table5[[#This Row],[Unit weight RAC (g)]]&gt;250,5,7))</f>
        <v>1</v>
      </c>
      <c r="L436" s="302" t="str">
        <f>VLOOKUP(D436,input_values!$A$412:$BB$538,input_values!$AA$410,FALSE)</f>
        <v/>
      </c>
      <c r="M436" s="302">
        <f>VLOOKUP(D436,input_values!$A$412:$BB$538,input_values!$Y$410,FALSE)</f>
        <v>1</v>
      </c>
      <c r="N436" s="374" t="str">
        <f>IF(VLOOKUP(D436,input_values!$A$412:$BB$538,input_values!$L$410,FALSE)&lt;&gt;"",VLOOKUP(D436,input_values!$A$412:$BB$538,input_values!$L$410,FALSE),"")</f>
        <v/>
      </c>
      <c r="O436" s="603">
        <v>14.456521739130435</v>
      </c>
      <c r="P436" s="375" t="s">
        <v>418</v>
      </c>
      <c r="Q436" s="375" t="s">
        <v>259</v>
      </c>
      <c r="R436" s="377">
        <v>18.399999999999999</v>
      </c>
      <c r="S436" s="326">
        <f t="shared" si="61"/>
        <v>266</v>
      </c>
      <c r="T436" s="376"/>
      <c r="U436" s="574"/>
      <c r="V436" s="376"/>
      <c r="W436" s="574"/>
      <c r="X436" s="378">
        <v>3</v>
      </c>
      <c r="Y436" s="64">
        <f>IF(OR(Table5[[#This Row],[Case]]=1,Table5[[#This Row],[Case]]=3),1,IF(N436="",K436,N436))</f>
        <v>1</v>
      </c>
      <c r="Z436" s="379" t="str">
        <f t="shared" si="62"/>
        <v>ND</v>
      </c>
      <c r="AA436" s="380" t="str">
        <f t="shared" si="63"/>
        <v>no acute risk assessment</v>
      </c>
      <c r="AB436" s="64">
        <f>IF(OR(Table5[[#This Row],[Case]]=3,Table5[[#This Row],[Case]]=1),1,IF(Table5[[#This Row],[Variability factor for IESTI ]]&lt;3,Table5[[#This Row],[Variability factor for IESTI ]],3))</f>
        <v>1</v>
      </c>
      <c r="AC436" s="379" t="str">
        <f t="shared" si="64"/>
        <v>ND</v>
      </c>
      <c r="AD436" s="380" t="str">
        <f>IF($C$5="not necessary","no acute RA",IF(AC436="ND","no acute RA",IF(Table5[[#This Row],[IESTI new (mg/kg bw)]]&lt;&gt;"",AC436/$C$5,0)))</f>
        <v>no acute RA</v>
      </c>
      <c r="AE436" s="339" t="str">
        <f t="shared" si="65"/>
        <v/>
      </c>
      <c r="AF436" s="339" t="str">
        <f t="shared" si="66"/>
        <v/>
      </c>
      <c r="AG436" s="381" t="str">
        <f>IF(OR(Z436=0,Z436="ND",Z436="",$C$5="not necessary"),"",IF(X436="2a",1000*$C$5*R436/Table5[[#This Row],[Processing factor]]/(T436*Y436+S436-T436),IF(X436="2b",1000*$C$5*R436/Table5[[#This Row],[Processing factor]]/S436/Y436,IF(OR(X436=1,X436=3),1000*$C$5*R436/Table5[[#This Row],[Processing factor]]/S436,""))))</f>
        <v/>
      </c>
      <c r="AH436" s="495" t="str">
        <f>IF(OR(AC436=0,AC436="ND",$C$5="not necessary"),"",1000*$C$5*R436/Table5[[#This Row],[Processing factor]]/S436/AB436)</f>
        <v/>
      </c>
      <c r="AI436" s="313"/>
      <c r="AJ436" s="382"/>
    </row>
    <row r="437" spans="1:36" s="11" customFormat="1" ht="12" customHeight="1" x14ac:dyDescent="0.2">
      <c r="A437" s="494"/>
      <c r="B437" s="23">
        <v>163080</v>
      </c>
      <c r="C437" s="325" t="s">
        <v>391</v>
      </c>
      <c r="D437" s="373" t="str">
        <f>VLOOKUP(C437,input_values!$C$412:$BG$538,input_values!$BG$410-2,0)</f>
        <v>PROC-163080-5</v>
      </c>
      <c r="E437" s="567">
        <f>VLOOKUP(B437,input_values!$B$412:$M$538,4,FALSE)</f>
        <v>0</v>
      </c>
      <c r="F437" s="451" t="str">
        <f>VLOOKUP($D437,Table6[[Identifyer]:[Acute RA IESTI new input value]],input_values!$Q$410,FALSE)</f>
        <v/>
      </c>
      <c r="G437" s="451" t="str">
        <f>VLOOKUP($D437,Table6[[Identifyer]:[Acute RA IESTI new input value]],input_values!$P$410,FALSE)</f>
        <v/>
      </c>
      <c r="H437" s="451">
        <f>VLOOKUP($D437,Table6[[Identifyer]:[Acute RA IESTI new input value]],input_values!$S$410,FALSE)</f>
        <v>0</v>
      </c>
      <c r="I437" s="451" t="str">
        <f>VLOOKUP($D437,Table6[[Identifyer]:[Acute RA IESTI new input value]],input_values!$R$410,FALSE)</f>
        <v/>
      </c>
      <c r="J437" s="65"/>
      <c r="K437" s="301">
        <f>IF(Table5[[#This Row],[Unit weight RAC (g)]]="",1,IF(Table5[[#This Row],[Unit weight RAC (g)]]&gt;250,5,7))</f>
        <v>5</v>
      </c>
      <c r="L437" s="302" t="str">
        <f>VLOOKUP(D437,input_values!$A$412:$BB$538,input_values!$AA$410,FALSE)</f>
        <v/>
      </c>
      <c r="M437" s="302">
        <f>VLOOKUP(D437,input_values!$A$412:$BB$538,input_values!$Y$410,FALSE)</f>
        <v>1</v>
      </c>
      <c r="N437" s="302" t="str">
        <f>IF(VLOOKUP(D437,input_values!$A$412:$BB$538,input_values!$L$410,FALSE)&lt;&gt;"",VLOOKUP(D437,input_values!$A$412:$BB$538,input_values!$L$410,FALSE),"")</f>
        <v/>
      </c>
      <c r="O437" s="603">
        <v>8.1969999999999992</v>
      </c>
      <c r="P437" s="375" t="s">
        <v>1882</v>
      </c>
      <c r="Q437" s="375" t="s">
        <v>329</v>
      </c>
      <c r="R437" s="377">
        <v>10.199999999999999</v>
      </c>
      <c r="S437" s="326">
        <f t="shared" si="61"/>
        <v>83.60939999999998</v>
      </c>
      <c r="T437" s="376">
        <v>1600</v>
      </c>
      <c r="U437" s="574" t="s">
        <v>45</v>
      </c>
      <c r="V437" s="376">
        <v>1600</v>
      </c>
      <c r="W437" s="574" t="s">
        <v>45</v>
      </c>
      <c r="X437" s="378" t="s">
        <v>1892</v>
      </c>
      <c r="Y437" s="64">
        <f>IF(OR(Table5[[#This Row],[Case]]=1,Table5[[#This Row],[Case]]=3),1,IF(N437="",K437,N437))</f>
        <v>5</v>
      </c>
      <c r="Z437" s="379" t="str">
        <f t="shared" si="62"/>
        <v>ND</v>
      </c>
      <c r="AA437" s="380" t="str">
        <f t="shared" si="63"/>
        <v>no acute risk assessment</v>
      </c>
      <c r="AB437" s="64">
        <f>IF(OR(Table5[[#This Row],[Case]]=3,Table5[[#This Row],[Case]]=1),1,IF(Table5[[#This Row],[Variability factor for IESTI ]]&lt;3,Table5[[#This Row],[Variability factor for IESTI ]],3))</f>
        <v>3</v>
      </c>
      <c r="AC437" s="379" t="str">
        <f t="shared" si="64"/>
        <v>ND</v>
      </c>
      <c r="AD437" s="380" t="str">
        <f>IF($C$5="not necessary","no acute RA",IF(AC437="ND","no acute RA",IF(Table5[[#This Row],[IESTI new (mg/kg bw)]]&lt;&gt;"",AC437/$C$5,0)))</f>
        <v>no acute RA</v>
      </c>
      <c r="AE437" s="339" t="str">
        <f t="shared" si="65"/>
        <v/>
      </c>
      <c r="AF437" s="339" t="str">
        <f t="shared" si="66"/>
        <v/>
      </c>
      <c r="AG437" s="381" t="str">
        <f>IF(OR(Z437=0,Z437="ND",Z437="",$C$5="not necessary"),"",IF(X437="2a",1000*$C$5*R437/Table5[[#This Row],[Processing factor]]/(T437*Y437+S437-T437),IF(X437="2b",1000*$C$5*R437/Table5[[#This Row],[Processing factor]]/S437/Y437,IF(OR(X437=1,X437=3),1000*$C$5*R437/Table5[[#This Row],[Processing factor]]/S437,""))))</f>
        <v/>
      </c>
      <c r="AH437" s="495" t="str">
        <f>IF(OR(AC437=0,AC437="ND",$C$5="not necessary"),"",1000*$C$5*R437/Table5[[#This Row],[Processing factor]]/S437/AB437)</f>
        <v/>
      </c>
      <c r="AI437" s="313"/>
      <c r="AJ437" s="382"/>
    </row>
    <row r="438" spans="1:36" s="11" customFormat="1" ht="12" customHeight="1" x14ac:dyDescent="0.2">
      <c r="A438" s="494"/>
      <c r="B438" s="23">
        <v>163110</v>
      </c>
      <c r="C438" s="325" t="s">
        <v>821</v>
      </c>
      <c r="D438" s="373" t="str">
        <f>VLOOKUP(C438,input_values!$C$412:$BG$538,input_values!$BG$410-2,0)</f>
        <v>PROC-163110-9</v>
      </c>
      <c r="E438" s="567">
        <f>VLOOKUP(B438,input_values!$B$412:$M$538,4,FALSE)</f>
        <v>0</v>
      </c>
      <c r="F438" s="451" t="str">
        <f>VLOOKUP($D438,Table6[[Identifyer]:[Acute RA IESTI new input value]],input_values!$Q$410,FALSE)</f>
        <v/>
      </c>
      <c r="G438" s="451" t="str">
        <f>VLOOKUP($D438,Table6[[Identifyer]:[Acute RA IESTI new input value]],input_values!$P$410,FALSE)</f>
        <v/>
      </c>
      <c r="H438" s="451">
        <f>VLOOKUP($D438,Table6[[Identifyer]:[Acute RA IESTI new input value]],input_values!$S$410,FALSE)</f>
        <v>0</v>
      </c>
      <c r="I438" s="451" t="str">
        <f>VLOOKUP($D438,Table6[[Identifyer]:[Acute RA IESTI new input value]],input_values!$R$410,FALSE)</f>
        <v/>
      </c>
      <c r="J438" s="65"/>
      <c r="K438" s="301">
        <f>IF(Table5[[#This Row],[Unit weight RAC (g)]]="",1,IF(Table5[[#This Row],[Unit weight RAC (g)]]&gt;250,5,7))</f>
        <v>1</v>
      </c>
      <c r="L438" s="302" t="str">
        <f>VLOOKUP(D438,input_values!$A$412:$BB$538,input_values!$AA$410,FALSE)</f>
        <v/>
      </c>
      <c r="M438" s="302">
        <f>VLOOKUP(D438,input_values!$A$412:$BB$538,input_values!$Y$410,FALSE)</f>
        <v>1</v>
      </c>
      <c r="N438" s="374" t="str">
        <f>IF(VLOOKUP(D438,input_values!$A$412:$BB$538,input_values!$L$410,FALSE)&lt;&gt;"",VLOOKUP(D438,input_values!$A$412:$BB$538,input_values!$L$410,FALSE),"")</f>
        <v/>
      </c>
      <c r="O438" s="603">
        <v>0.27173913043478265</v>
      </c>
      <c r="P438" s="375" t="s">
        <v>442</v>
      </c>
      <c r="Q438" s="375" t="s">
        <v>259</v>
      </c>
      <c r="R438" s="377">
        <v>18.399999999999999</v>
      </c>
      <c r="S438" s="326">
        <f t="shared" si="61"/>
        <v>5</v>
      </c>
      <c r="T438" s="376"/>
      <c r="U438" s="574"/>
      <c r="V438" s="376"/>
      <c r="W438" s="574"/>
      <c r="X438" s="378">
        <v>3</v>
      </c>
      <c r="Y438" s="64">
        <f>IF(OR(Table5[[#This Row],[Case]]=1,Table5[[#This Row],[Case]]=3),1,IF(N438="",K438,N438))</f>
        <v>1</v>
      </c>
      <c r="Z438" s="379" t="str">
        <f t="shared" si="62"/>
        <v>ND</v>
      </c>
      <c r="AA438" s="380" t="str">
        <f t="shared" si="63"/>
        <v>no acute risk assessment</v>
      </c>
      <c r="AB438" s="64">
        <f>IF(OR(Table5[[#This Row],[Case]]=3,Table5[[#This Row],[Case]]=1),1,IF(Table5[[#This Row],[Variability factor for IESTI ]]&lt;3,Table5[[#This Row],[Variability factor for IESTI ]],3))</f>
        <v>1</v>
      </c>
      <c r="AC438" s="379" t="str">
        <f t="shared" si="64"/>
        <v>ND</v>
      </c>
      <c r="AD438" s="380" t="str">
        <f>IF($C$5="not necessary","no acute RA",IF(AC438="ND","no acute RA",IF(Table5[[#This Row],[IESTI new (mg/kg bw)]]&lt;&gt;"",AC438/$C$5,0)))</f>
        <v>no acute RA</v>
      </c>
      <c r="AE438" s="339" t="str">
        <f t="shared" si="65"/>
        <v/>
      </c>
      <c r="AF438" s="339" t="str">
        <f t="shared" si="66"/>
        <v/>
      </c>
      <c r="AG438" s="381" t="str">
        <f>IF(OR(Z438=0,Z438="ND",Z438="",$C$5="not necessary"),"",IF(X438="2a",1000*$C$5*R438/Table5[[#This Row],[Processing factor]]/(T438*Y438+S438-T438),IF(X438="2b",1000*$C$5*R438/Table5[[#This Row],[Processing factor]]/S438/Y438,IF(OR(X438=1,X438=3),1000*$C$5*R438/Table5[[#This Row],[Processing factor]]/S438,""))))</f>
        <v/>
      </c>
      <c r="AH438" s="495" t="str">
        <f>IF(OR(AC438=0,AC438="ND",$C$5="not necessary"),"",1000*$C$5*R438/Table5[[#This Row],[Processing factor]]/S438/AB438)</f>
        <v/>
      </c>
      <c r="AI438" s="313"/>
      <c r="AJ438" s="382"/>
    </row>
    <row r="439" spans="1:36" s="11" customFormat="1" ht="12" customHeight="1" x14ac:dyDescent="0.2">
      <c r="A439" s="494"/>
      <c r="B439" s="23">
        <v>211000</v>
      </c>
      <c r="C439" s="325" t="s">
        <v>423</v>
      </c>
      <c r="D439" s="373" t="str">
        <f>VLOOKUP(C439,input_values!$C$412:$BG$538,input_values!$BG$410-2,0)</f>
        <v>PROC-211000-21</v>
      </c>
      <c r="E439" s="567">
        <f>VLOOKUP(B439,input_values!$B$412:$M$538,4,FALSE)</f>
        <v>0</v>
      </c>
      <c r="F439" s="451" t="str">
        <f>VLOOKUP($D439,Table6[[Identifyer]:[Acute RA IESTI new input value]],input_values!$Q$410,FALSE)</f>
        <v/>
      </c>
      <c r="G439" s="451" t="str">
        <f>VLOOKUP($D439,Table6[[Identifyer]:[Acute RA IESTI new input value]],input_values!$P$410,FALSE)</f>
        <v/>
      </c>
      <c r="H439" s="451">
        <f>VLOOKUP($D439,Table6[[Identifyer]:[Acute RA IESTI new input value]],input_values!$S$410,FALSE)</f>
        <v>0</v>
      </c>
      <c r="I439" s="451" t="str">
        <f>VLOOKUP($D439,Table6[[Identifyer]:[Acute RA IESTI new input value]],input_values!$R$410,FALSE)</f>
        <v/>
      </c>
      <c r="J439" s="65"/>
      <c r="K439" s="301">
        <f>IF(Table5[[#This Row],[Unit weight RAC (g)]]="",1,IF(Table5[[#This Row],[Unit weight RAC (g)]]&gt;250,5,7))</f>
        <v>7</v>
      </c>
      <c r="L439" s="302" t="str">
        <f>VLOOKUP(D439,input_values!$A$412:$BB$538,input_values!$AA$410,FALSE)</f>
        <v/>
      </c>
      <c r="M439" s="302">
        <f>VLOOKUP(D439,input_values!$A$412:$BB$538,input_values!$Y$410,FALSE)</f>
        <v>1</v>
      </c>
      <c r="N439" s="302" t="str">
        <f>IF(VLOOKUP(D439,input_values!$A$412:$BB$538,input_values!$L$410,FALSE)&lt;&gt;"",VLOOKUP(D439,input_values!$A$412:$BB$538,input_values!$L$410,FALSE),"")</f>
        <v/>
      </c>
      <c r="O439" s="603">
        <v>14.558823529411766</v>
      </c>
      <c r="P439" s="375" t="s">
        <v>20</v>
      </c>
      <c r="Q439" s="375" t="s">
        <v>329</v>
      </c>
      <c r="R439" s="377">
        <v>10.199999999999999</v>
      </c>
      <c r="S439" s="326">
        <f t="shared" si="61"/>
        <v>148.5</v>
      </c>
      <c r="T439" s="376">
        <v>134.1</v>
      </c>
      <c r="U439" s="574" t="s">
        <v>215</v>
      </c>
      <c r="V439" s="376">
        <v>149</v>
      </c>
      <c r="W439" s="574" t="s">
        <v>215</v>
      </c>
      <c r="X439" s="378" t="s">
        <v>1891</v>
      </c>
      <c r="Y439" s="64">
        <f>IF(OR(Table5[[#This Row],[Case]]=1,Table5[[#This Row],[Case]]=3),1,IF(N439="",K439,N439))</f>
        <v>7</v>
      </c>
      <c r="Z439" s="379" t="str">
        <f t="shared" si="62"/>
        <v>ND</v>
      </c>
      <c r="AA439" s="380" t="str">
        <f t="shared" si="63"/>
        <v>no acute risk assessment</v>
      </c>
      <c r="AB439" s="64">
        <f>IF(OR(Table5[[#This Row],[Case]]=3,Table5[[#This Row],[Case]]=1),1,IF(Table5[[#This Row],[Variability factor for IESTI ]]&lt;3,Table5[[#This Row],[Variability factor for IESTI ]],3))</f>
        <v>3</v>
      </c>
      <c r="AC439" s="379" t="str">
        <f t="shared" si="64"/>
        <v>ND</v>
      </c>
      <c r="AD439" s="380" t="str">
        <f>IF($C$5="not necessary","no acute RA",IF(AC439="ND","no acute RA",IF(Table5[[#This Row],[IESTI new (mg/kg bw)]]&lt;&gt;"",AC439/$C$5,0)))</f>
        <v>no acute RA</v>
      </c>
      <c r="AE439" s="339" t="str">
        <f t="shared" si="65"/>
        <v/>
      </c>
      <c r="AF439" s="339" t="str">
        <f t="shared" si="66"/>
        <v/>
      </c>
      <c r="AG439" s="381" t="str">
        <f>IF(OR(Z439=0,Z439="ND",Z439="",$C$5="not necessary"),"",IF(X439="2a",1000*$C$5*R439/Table5[[#This Row],[Processing factor]]/(T439*Y439+S439-T439),IF(X439="2b",1000*$C$5*R439/Table5[[#This Row],[Processing factor]]/S439/Y439,IF(OR(X439=1,X439=3),1000*$C$5*R439/Table5[[#This Row],[Processing factor]]/S439,""))))</f>
        <v/>
      </c>
      <c r="AH439" s="495" t="str">
        <f>IF(OR(AC439=0,AC439="ND",$C$5="not necessary"),"",1000*$C$5*R439/Table5[[#This Row],[Processing factor]]/S439/AB439)</f>
        <v/>
      </c>
      <c r="AI439" s="313"/>
      <c r="AJ439" s="382"/>
    </row>
    <row r="440" spans="1:36" s="11" customFormat="1" ht="12" customHeight="1" x14ac:dyDescent="0.2">
      <c r="A440" s="494"/>
      <c r="B440" s="23">
        <v>211000</v>
      </c>
      <c r="C440" s="325" t="s">
        <v>424</v>
      </c>
      <c r="D440" s="373" t="str">
        <f>VLOOKUP(C440,input_values!$C$412:$BG$538,input_values!$BG$410-2,0)</f>
        <v>PROC-211000-7</v>
      </c>
      <c r="E440" s="567">
        <f>VLOOKUP(B440,input_values!$B$412:$M$538,4,FALSE)</f>
        <v>0</v>
      </c>
      <c r="F440" s="451" t="str">
        <f>VLOOKUP($D440,Table6[[Identifyer]:[Acute RA IESTI new input value]],input_values!$Q$410,FALSE)</f>
        <v/>
      </c>
      <c r="G440" s="451" t="str">
        <f>VLOOKUP($D440,Table6[[Identifyer]:[Acute RA IESTI new input value]],input_values!$P$410,FALSE)</f>
        <v/>
      </c>
      <c r="H440" s="451">
        <f>VLOOKUP($D440,Table6[[Identifyer]:[Acute RA IESTI new input value]],input_values!$S$410,FALSE)</f>
        <v>0</v>
      </c>
      <c r="I440" s="451" t="str">
        <f>VLOOKUP($D440,Table6[[Identifyer]:[Acute RA IESTI new input value]],input_values!$R$410,FALSE)</f>
        <v/>
      </c>
      <c r="J440" s="65"/>
      <c r="K440" s="301">
        <f>IF(Table5[[#This Row],[Unit weight RAC (g)]]="",1,IF(Table5[[#This Row],[Unit weight RAC (g)]]&gt;250,5,7))</f>
        <v>1</v>
      </c>
      <c r="L440" s="302" t="str">
        <f>VLOOKUP(D440,input_values!$A$412:$BB$538,input_values!$AA$410,FALSE)</f>
        <v/>
      </c>
      <c r="M440" s="302">
        <f>VLOOKUP(D440,input_values!$A$412:$BB$538,input_values!$Y$410,FALSE)</f>
        <v>4.5999999999999996</v>
      </c>
      <c r="N440" s="374" t="str">
        <f>IF(VLOOKUP(D440,input_values!$A$412:$BB$538,input_values!$L$410,FALSE)&lt;&gt;"",VLOOKUP(D440,input_values!$A$412:$BB$538,input_values!$L$410,FALSE),"")</f>
        <v/>
      </c>
      <c r="O440" s="603">
        <v>12.9</v>
      </c>
      <c r="P440" s="375">
        <v>97.5</v>
      </c>
      <c r="Q440" s="375" t="s">
        <v>256</v>
      </c>
      <c r="R440" s="377">
        <v>16.149999999999999</v>
      </c>
      <c r="S440" s="326">
        <f t="shared" si="61"/>
        <v>208.33499999999998</v>
      </c>
      <c r="T440" s="376"/>
      <c r="U440" s="574"/>
      <c r="V440" s="376"/>
      <c r="W440" s="574"/>
      <c r="X440" s="378">
        <v>3</v>
      </c>
      <c r="Y440" s="64">
        <f>IF(OR(Table5[[#This Row],[Case]]=1,Table5[[#This Row],[Case]]=3),1,IF(N440="",K440,N440))</f>
        <v>1</v>
      </c>
      <c r="Z440" s="379" t="str">
        <f t="shared" si="62"/>
        <v>ND</v>
      </c>
      <c r="AA440" s="380" t="str">
        <f t="shared" si="63"/>
        <v>no acute risk assessment</v>
      </c>
      <c r="AB440" s="64">
        <f>IF(OR(Table5[[#This Row],[Case]]=3,Table5[[#This Row],[Case]]=1),1,IF(Table5[[#This Row],[Variability factor for IESTI ]]&lt;3,Table5[[#This Row],[Variability factor for IESTI ]],3))</f>
        <v>1</v>
      </c>
      <c r="AC440" s="379" t="str">
        <f t="shared" si="64"/>
        <v>ND</v>
      </c>
      <c r="AD440" s="380" t="str">
        <f>IF($C$5="not necessary","no acute RA",IF(AC440="ND","no acute RA",IF(Table5[[#This Row],[IESTI new (mg/kg bw)]]&lt;&gt;"",AC440/$C$5,0)))</f>
        <v>no acute RA</v>
      </c>
      <c r="AE440" s="339" t="str">
        <f t="shared" si="65"/>
        <v/>
      </c>
      <c r="AF440" s="339" t="str">
        <f t="shared" si="66"/>
        <v/>
      </c>
      <c r="AG440" s="381" t="str">
        <f>IF(OR(Z440=0,Z440="ND",Z440="",$C$5="not necessary"),"",IF(X440="2a",1000*$C$5*R440/Table5[[#This Row],[Processing factor]]/(T440*Y440+S440-T440),IF(X440="2b",1000*$C$5*R440/Table5[[#This Row],[Processing factor]]/S440/Y440,IF(OR(X440=1,X440=3),1000*$C$5*R440/Table5[[#This Row],[Processing factor]]/S440,""))))</f>
        <v/>
      </c>
      <c r="AH440" s="495" t="str">
        <f>IF(OR(AC440=0,AC440="ND",$C$5="not necessary"),"",1000*$C$5*R440/Table5[[#This Row],[Processing factor]]/S440/AB440)</f>
        <v/>
      </c>
      <c r="AI440" s="313"/>
      <c r="AJ440" s="382"/>
    </row>
    <row r="441" spans="1:36" s="11" customFormat="1" ht="12" customHeight="1" x14ac:dyDescent="0.2">
      <c r="A441" s="494"/>
      <c r="B441" s="23">
        <v>212020</v>
      </c>
      <c r="C441" s="325" t="s">
        <v>392</v>
      </c>
      <c r="D441" s="373" t="str">
        <f>VLOOKUP(C441,input_values!$C$412:$BG$538,input_values!$BG$410-2,0)</f>
        <v>PROC-212020-3</v>
      </c>
      <c r="E441" s="567">
        <f>VLOOKUP(B441,input_values!$B$412:$M$538,4,FALSE)</f>
        <v>0</v>
      </c>
      <c r="F441" s="451" t="str">
        <f>VLOOKUP($D441,Table6[[Identifyer]:[Acute RA IESTI new input value]],input_values!$Q$410,FALSE)</f>
        <v/>
      </c>
      <c r="G441" s="451" t="str">
        <f>VLOOKUP($D441,Table6[[Identifyer]:[Acute RA IESTI new input value]],input_values!$P$410,FALSE)</f>
        <v/>
      </c>
      <c r="H441" s="451">
        <f>VLOOKUP($D441,Table6[[Identifyer]:[Acute RA IESTI new input value]],input_values!$S$410,FALSE)</f>
        <v>0</v>
      </c>
      <c r="I441" s="451" t="str">
        <f>VLOOKUP($D441,Table6[[Identifyer]:[Acute RA IESTI new input value]],input_values!$R$410,FALSE)</f>
        <v/>
      </c>
      <c r="J441" s="65"/>
      <c r="K441" s="301">
        <f>IF(Table5[[#This Row],[Unit weight RAC (g)]]="",1,IF(Table5[[#This Row],[Unit weight RAC (g)]]&gt;250,5,7))</f>
        <v>7</v>
      </c>
      <c r="L441" s="302" t="str">
        <f>VLOOKUP(D441,input_values!$A$412:$BB$538,input_values!$AA$410,FALSE)</f>
        <v/>
      </c>
      <c r="M441" s="302">
        <f>VLOOKUP(D441,input_values!$A$412:$BB$538,input_values!$Y$410,FALSE)</f>
        <v>1</v>
      </c>
      <c r="N441" s="302" t="str">
        <f>IF(VLOOKUP(D441,input_values!$A$412:$BB$538,input_values!$L$410,FALSE)&lt;&gt;"",VLOOKUP(D441,input_values!$A$412:$BB$538,input_values!$L$410,FALSE),"")</f>
        <v/>
      </c>
      <c r="O441" s="603">
        <v>9.2989130434782616</v>
      </c>
      <c r="P441" s="375" t="s">
        <v>442</v>
      </c>
      <c r="Q441" s="375" t="s">
        <v>259</v>
      </c>
      <c r="R441" s="377">
        <v>18.399999999999999</v>
      </c>
      <c r="S441" s="326">
        <f t="shared" si="61"/>
        <v>171.1</v>
      </c>
      <c r="T441" s="376">
        <v>126</v>
      </c>
      <c r="U441" s="574" t="s">
        <v>215</v>
      </c>
      <c r="V441" s="376">
        <v>140</v>
      </c>
      <c r="W441" s="574" t="s">
        <v>215</v>
      </c>
      <c r="X441" s="378" t="s">
        <v>1891</v>
      </c>
      <c r="Y441" s="64">
        <f>IF(OR(Table5[[#This Row],[Case]]=1,Table5[[#This Row],[Case]]=3),1,IF(N441="",K441,N441))</f>
        <v>7</v>
      </c>
      <c r="Z441" s="379" t="str">
        <f t="shared" si="62"/>
        <v>ND</v>
      </c>
      <c r="AA441" s="380" t="str">
        <f t="shared" si="63"/>
        <v>no acute risk assessment</v>
      </c>
      <c r="AB441" s="64">
        <f>IF(OR(Table5[[#This Row],[Case]]=3,Table5[[#This Row],[Case]]=1),1,IF(Table5[[#This Row],[Variability factor for IESTI ]]&lt;3,Table5[[#This Row],[Variability factor for IESTI ]],3))</f>
        <v>3</v>
      </c>
      <c r="AC441" s="379" t="str">
        <f t="shared" si="64"/>
        <v>ND</v>
      </c>
      <c r="AD441" s="380" t="str">
        <f>IF($C$5="not necessary","no acute RA",IF(AC441="ND","no acute RA",IF(Table5[[#This Row],[IESTI new (mg/kg bw)]]&lt;&gt;"",AC441/$C$5,0)))</f>
        <v>no acute RA</v>
      </c>
      <c r="AE441" s="339" t="str">
        <f t="shared" si="65"/>
        <v/>
      </c>
      <c r="AF441" s="339" t="str">
        <f t="shared" si="66"/>
        <v/>
      </c>
      <c r="AG441" s="381" t="str">
        <f>IF(OR(Z441=0,Z441="ND",Z441="",$C$5="not necessary"),"",IF(X441="2a",1000*$C$5*R441/Table5[[#This Row],[Processing factor]]/(T441*Y441+S441-T441),IF(X441="2b",1000*$C$5*R441/Table5[[#This Row],[Processing factor]]/S441/Y441,IF(OR(X441=1,X441=3),1000*$C$5*R441/Table5[[#This Row],[Processing factor]]/S441,""))))</f>
        <v/>
      </c>
      <c r="AH441" s="495" t="str">
        <f>IF(OR(AC441=0,AC441="ND",$C$5="not necessary"),"",1000*$C$5*R441/Table5[[#This Row],[Processing factor]]/S441/AB441)</f>
        <v/>
      </c>
      <c r="AI441" s="313"/>
      <c r="AJ441" s="382"/>
    </row>
    <row r="442" spans="1:36" s="11" customFormat="1" ht="12" customHeight="1" x14ac:dyDescent="0.2">
      <c r="A442" s="494"/>
      <c r="B442" s="23">
        <v>212040</v>
      </c>
      <c r="C442" s="325" t="s">
        <v>822</v>
      </c>
      <c r="D442" s="373" t="str">
        <f>VLOOKUP(C442,input_values!$C$412:$BG$538,input_values!$BG$410-2,0)</f>
        <v>PROC-212040-23</v>
      </c>
      <c r="E442" s="567">
        <f>VLOOKUP(B442,input_values!$B$412:$M$538,4,FALSE)</f>
        <v>0</v>
      </c>
      <c r="F442" s="451" t="str">
        <f>VLOOKUP($D442,Table6[[Identifyer]:[Acute RA IESTI new input value]],input_values!$Q$410,FALSE)</f>
        <v/>
      </c>
      <c r="G442" s="451" t="str">
        <f>VLOOKUP($D442,Table6[[Identifyer]:[Acute RA IESTI new input value]],input_values!$P$410,FALSE)</f>
        <v/>
      </c>
      <c r="H442" s="451">
        <f>VLOOKUP($D442,Table6[[Identifyer]:[Acute RA IESTI new input value]],input_values!$S$410,FALSE)</f>
        <v>0</v>
      </c>
      <c r="I442" s="451" t="str">
        <f>VLOOKUP($D442,Table6[[Identifyer]:[Acute RA IESTI new input value]],input_values!$R$410,FALSE)</f>
        <v/>
      </c>
      <c r="J442" s="65"/>
      <c r="K442" s="301">
        <f>IF(Table5[[#This Row],[Unit weight RAC (g)]]="",1,IF(Table5[[#This Row],[Unit weight RAC (g)]]&gt;250,5,7))</f>
        <v>1</v>
      </c>
      <c r="L442" s="302" t="str">
        <f>VLOOKUP(D442,input_values!$A$412:$BB$538,input_values!$AA$410,FALSE)</f>
        <v/>
      </c>
      <c r="M442" s="302">
        <f>VLOOKUP(D442,input_values!$A$412:$BB$538,input_values!$Y$410,FALSE)</f>
        <v>1</v>
      </c>
      <c r="N442" s="374" t="str">
        <f>IF(VLOOKUP(D442,input_values!$A$412:$BB$538,input_values!$L$410,FALSE)&lt;&gt;"",VLOOKUP(D442,input_values!$A$412:$BB$538,input_values!$L$410,FALSE),"")</f>
        <v/>
      </c>
      <c r="O442" s="603">
        <v>0.67391304347826098</v>
      </c>
      <c r="P442" s="375" t="s">
        <v>448</v>
      </c>
      <c r="Q442" s="375" t="s">
        <v>259</v>
      </c>
      <c r="R442" s="377">
        <v>18.399999999999999</v>
      </c>
      <c r="S442" s="326">
        <f t="shared" ref="S442:S475" si="67">O442*R442</f>
        <v>12.4</v>
      </c>
      <c r="T442" s="376"/>
      <c r="U442" s="574"/>
      <c r="V442" s="376"/>
      <c r="W442" s="574"/>
      <c r="X442" s="378">
        <v>3</v>
      </c>
      <c r="Y442" s="64">
        <f>IF(OR(Table5[[#This Row],[Case]]=1,Table5[[#This Row],[Case]]=3),1,IF(N442="",K442,N442))</f>
        <v>1</v>
      </c>
      <c r="Z442" s="379" t="str">
        <f t="shared" si="62"/>
        <v>ND</v>
      </c>
      <c r="AA442" s="380" t="str">
        <f t="shared" si="63"/>
        <v>no acute risk assessment</v>
      </c>
      <c r="AB442" s="64">
        <f>IF(OR(Table5[[#This Row],[Case]]=3,Table5[[#This Row],[Case]]=1),1,IF(Table5[[#This Row],[Variability factor for IESTI ]]&lt;3,Table5[[#This Row],[Variability factor for IESTI ]],3))</f>
        <v>1</v>
      </c>
      <c r="AC442" s="379" t="str">
        <f t="shared" si="64"/>
        <v>ND</v>
      </c>
      <c r="AD442" s="380" t="str">
        <f>IF($C$5="not necessary","no acute RA",IF(AC442="ND","no acute RA",IF(Table5[[#This Row],[IESTI new (mg/kg bw)]]&lt;&gt;"",AC442/$C$5,0)))</f>
        <v>no acute RA</v>
      </c>
      <c r="AE442" s="339" t="str">
        <f t="shared" si="65"/>
        <v/>
      </c>
      <c r="AF442" s="339" t="str">
        <f t="shared" si="66"/>
        <v/>
      </c>
      <c r="AG442" s="381" t="str">
        <f>IF(OR(Z442=0,Z442="ND",Z442="",$C$5="not necessary"),"",IF(X442="2a",1000*$C$5*R442/Table5[[#This Row],[Processing factor]]/(T442*Y442+S442-T442),IF(X442="2b",1000*$C$5*R442/Table5[[#This Row],[Processing factor]]/S442/Y442,IF(OR(X442=1,X442=3),1000*$C$5*R442/Table5[[#This Row],[Processing factor]]/S442,""))))</f>
        <v/>
      </c>
      <c r="AH442" s="495" t="str">
        <f>IF(OR(AC442=0,AC442="ND",$C$5="not necessary"),"",1000*$C$5*R442/Table5[[#This Row],[Processing factor]]/S442/AB442)</f>
        <v/>
      </c>
      <c r="AI442" s="313"/>
      <c r="AJ442" s="382"/>
    </row>
    <row r="443" spans="1:36" s="11" customFormat="1" ht="12" customHeight="1" x14ac:dyDescent="0.2">
      <c r="A443" s="494"/>
      <c r="B443" s="23">
        <v>213010</v>
      </c>
      <c r="C443" s="325" t="s">
        <v>823</v>
      </c>
      <c r="D443" s="373" t="str">
        <f>VLOOKUP(C443,input_values!$C$412:$BG$538,input_values!$BG$410-2,0)</f>
        <v>PROC-213010-3</v>
      </c>
      <c r="E443" s="567">
        <f>VLOOKUP(B443,input_values!$B$412:$M$538,4,FALSE)</f>
        <v>0</v>
      </c>
      <c r="F443" s="451" t="str">
        <f>VLOOKUP($D443,Table6[[Identifyer]:[Acute RA IESTI new input value]],input_values!$Q$410,FALSE)</f>
        <v/>
      </c>
      <c r="G443" s="451" t="str">
        <f>VLOOKUP($D443,Table6[[Identifyer]:[Acute RA IESTI new input value]],input_values!$P$410,FALSE)</f>
        <v/>
      </c>
      <c r="H443" s="451">
        <f>VLOOKUP($D443,Table6[[Identifyer]:[Acute RA IESTI new input value]],input_values!$S$410,FALSE)</f>
        <v>0</v>
      </c>
      <c r="I443" s="451" t="str">
        <f>VLOOKUP($D443,Table6[[Identifyer]:[Acute RA IESTI new input value]],input_values!$R$410,FALSE)</f>
        <v/>
      </c>
      <c r="J443" s="65"/>
      <c r="K443" s="301">
        <f>IF(Table5[[#This Row],[Unit weight RAC (g)]]="",1,IF(Table5[[#This Row],[Unit weight RAC (g)]]&gt;250,5,7))</f>
        <v>7</v>
      </c>
      <c r="L443" s="302" t="str">
        <f>VLOOKUP(D443,input_values!$A$412:$BB$538,input_values!$AA$410,FALSE)</f>
        <v/>
      </c>
      <c r="M443" s="302">
        <f>VLOOKUP(D443,input_values!$A$412:$BB$538,input_values!$Y$410,FALSE)</f>
        <v>1</v>
      </c>
      <c r="N443" s="302" t="str">
        <f>IF(VLOOKUP(D443,input_values!$A$412:$BB$538,input_values!$L$410,FALSE)&lt;&gt;"",VLOOKUP(D443,input_values!$A$412:$BB$538,input_values!$L$410,FALSE),"")</f>
        <v/>
      </c>
      <c r="O443" s="603">
        <v>6.333333333333333</v>
      </c>
      <c r="P443" s="375" t="s">
        <v>20</v>
      </c>
      <c r="Q443" s="375" t="s">
        <v>329</v>
      </c>
      <c r="R443" s="377">
        <v>10.199999999999999</v>
      </c>
      <c r="S443" s="326">
        <f t="shared" si="67"/>
        <v>64.599999999999994</v>
      </c>
      <c r="T443" s="376">
        <v>182</v>
      </c>
      <c r="U443" s="574" t="s">
        <v>215</v>
      </c>
      <c r="V443" s="376">
        <v>224</v>
      </c>
      <c r="W443" s="574" t="s">
        <v>215</v>
      </c>
      <c r="X443" s="378" t="s">
        <v>1892</v>
      </c>
      <c r="Y443" s="64">
        <f>IF(OR(Table5[[#This Row],[Case]]=1,Table5[[#This Row],[Case]]=3),1,IF(N443="",K443,N443))</f>
        <v>7</v>
      </c>
      <c r="Z443" s="379" t="str">
        <f t="shared" si="62"/>
        <v>ND</v>
      </c>
      <c r="AA443" s="380" t="str">
        <f t="shared" si="63"/>
        <v>no acute risk assessment</v>
      </c>
      <c r="AB443" s="64">
        <f>IF(OR(Table5[[#This Row],[Case]]=3,Table5[[#This Row],[Case]]=1),1,IF(Table5[[#This Row],[Variability factor for IESTI ]]&lt;3,Table5[[#This Row],[Variability factor for IESTI ]],3))</f>
        <v>3</v>
      </c>
      <c r="AC443" s="379" t="str">
        <f t="shared" si="64"/>
        <v>ND</v>
      </c>
      <c r="AD443" s="380" t="str">
        <f>IF($C$5="not necessary","no acute RA",IF(AC443="ND","no acute RA",IF(Table5[[#This Row],[IESTI new (mg/kg bw)]]&lt;&gt;"",AC443/$C$5,0)))</f>
        <v>no acute RA</v>
      </c>
      <c r="AE443" s="339" t="str">
        <f t="shared" si="65"/>
        <v/>
      </c>
      <c r="AF443" s="339" t="str">
        <f t="shared" si="66"/>
        <v/>
      </c>
      <c r="AG443" s="381" t="str">
        <f>IF(OR(Z443=0,Z443="ND",Z443="",$C$5="not necessary"),"",IF(X443="2a",1000*$C$5*R443/Table5[[#This Row],[Processing factor]]/(T443*Y443+S443-T443),IF(X443="2b",1000*$C$5*R443/Table5[[#This Row],[Processing factor]]/S443/Y443,IF(OR(X443=1,X443=3),1000*$C$5*R443/Table5[[#This Row],[Processing factor]]/S443,""))))</f>
        <v/>
      </c>
      <c r="AH443" s="495" t="str">
        <f>IF(OR(AC443=0,AC443="ND",$C$5="not necessary"),"",1000*$C$5*R443/Table5[[#This Row],[Processing factor]]/S443/AB443)</f>
        <v/>
      </c>
      <c r="AI443" s="313"/>
      <c r="AJ443" s="382"/>
    </row>
    <row r="444" spans="1:36" s="11" customFormat="1" ht="12" customHeight="1" x14ac:dyDescent="0.2">
      <c r="A444" s="494"/>
      <c r="B444" s="23">
        <v>213020</v>
      </c>
      <c r="C444" s="325" t="s">
        <v>393</v>
      </c>
      <c r="D444" s="373" t="str">
        <f>VLOOKUP(C444,input_values!$C$412:$BG$538,input_values!$BG$410-2,0)</f>
        <v>PROC-213020-9</v>
      </c>
      <c r="E444" s="567">
        <f>VLOOKUP(B444,input_values!$B$412:$M$538,4,FALSE)</f>
        <v>0</v>
      </c>
      <c r="F444" s="451" t="str">
        <f>VLOOKUP($D444,Table6[[Identifyer]:[Acute RA IESTI new input value]],input_values!$Q$410,FALSE)</f>
        <v/>
      </c>
      <c r="G444" s="451" t="str">
        <f>VLOOKUP($D444,Table6[[Identifyer]:[Acute RA IESTI new input value]],input_values!$P$410,FALSE)</f>
        <v/>
      </c>
      <c r="H444" s="451">
        <f>VLOOKUP($D444,Table6[[Identifyer]:[Acute RA IESTI new input value]],input_values!$S$410,FALSE)</f>
        <v>0</v>
      </c>
      <c r="I444" s="451" t="str">
        <f>VLOOKUP($D444,Table6[[Identifyer]:[Acute RA IESTI new input value]],input_values!$R$410,FALSE)</f>
        <v/>
      </c>
      <c r="J444" s="65"/>
      <c r="K444" s="301">
        <f>IF(Table5[[#This Row],[Unit weight RAC (g)]]="",1,IF(Table5[[#This Row],[Unit weight RAC (g)]]&gt;250,5,7))</f>
        <v>1</v>
      </c>
      <c r="L444" s="302" t="str">
        <f>VLOOKUP(D444,input_values!$A$412:$BB$538,input_values!$AA$410,FALSE)</f>
        <v/>
      </c>
      <c r="M444" s="302">
        <f>VLOOKUP(D444,input_values!$A$412:$BB$538,input_values!$Y$410,FALSE)</f>
        <v>1</v>
      </c>
      <c r="N444" s="374" t="str">
        <f>IF(VLOOKUP(D444,input_values!$A$412:$BB$538,input_values!$L$410,FALSE)&lt;&gt;"",VLOOKUP(D444,input_values!$A$412:$BB$538,input_values!$L$410,FALSE),"")</f>
        <v/>
      </c>
      <c r="O444" s="603">
        <v>35.9</v>
      </c>
      <c r="P444" s="375">
        <v>97.5</v>
      </c>
      <c r="Q444" s="375" t="s">
        <v>256</v>
      </c>
      <c r="R444" s="377">
        <v>16.149999999999999</v>
      </c>
      <c r="S444" s="326">
        <f t="shared" si="67"/>
        <v>579.78499999999997</v>
      </c>
      <c r="T444" s="376"/>
      <c r="U444" s="574"/>
      <c r="V444" s="376"/>
      <c r="W444" s="574"/>
      <c r="X444" s="378">
        <v>3</v>
      </c>
      <c r="Y444" s="64">
        <f>IF(OR(Table5[[#This Row],[Case]]=1,Table5[[#This Row],[Case]]=3),1,IF(N444="",K444,N444))</f>
        <v>1</v>
      </c>
      <c r="Z444" s="379" t="str">
        <f t="shared" ref="Z444:Z475" si="68">IF(F444&lt;&gt;"",IF(OR($X444=3,$X444=1),1/$R444*($F444*$S444/1000*$Y444),IF(($X444="2a"),1/$R444*(($F444*$T444/1000*$Y444)+($F444*($S444-$T444)/1000)),IF($X444="2b",1/$R444*($F444*$S444/1000*$Y444)))),"ND")</f>
        <v>ND</v>
      </c>
      <c r="AA444" s="380" t="str">
        <f t="shared" ref="AA444:AA475" si="69">IF($C$5="not necessary","no acute risk assessment",IF(Z444="ND","no acute risk assessment",Z444/$C$5))</f>
        <v>no acute risk assessment</v>
      </c>
      <c r="AB444" s="64">
        <f>IF(OR(Table5[[#This Row],[Case]]=3,Table5[[#This Row],[Case]]=1),1,IF(Table5[[#This Row],[Variability factor for IESTI ]]&lt;3,Table5[[#This Row],[Variability factor for IESTI ]],3))</f>
        <v>1</v>
      </c>
      <c r="AC444" s="379" t="str">
        <f t="shared" ref="AC444:AC475" si="70">IF(OR(ISTEXT(H444),H444=0),"ND",1/$R444*($H444*$S444*AB444/1000))</f>
        <v>ND</v>
      </c>
      <c r="AD444" s="380" t="str">
        <f>IF($C$5="not necessary","no acute RA",IF(AC444="ND","no acute RA",IF(Table5[[#This Row],[IESTI new (mg/kg bw)]]&lt;&gt;"",AC444/$C$5,0)))</f>
        <v>no acute RA</v>
      </c>
      <c r="AE444" s="339" t="str">
        <f t="shared" si="65"/>
        <v/>
      </c>
      <c r="AF444" s="339" t="str">
        <f t="shared" si="66"/>
        <v/>
      </c>
      <c r="AG444" s="381" t="str">
        <f>IF(OR(Z444=0,Z444="ND",Z444="",$C$5="not necessary"),"",IF(X444="2a",1000*$C$5*R444/Table5[[#This Row],[Processing factor]]/(T444*Y444+S444-T444),IF(X444="2b",1000*$C$5*R444/Table5[[#This Row],[Processing factor]]/S444/Y444,IF(OR(X444=1,X444=3),1000*$C$5*R444/Table5[[#This Row],[Processing factor]]/S444,""))))</f>
        <v/>
      </c>
      <c r="AH444" s="495" t="str">
        <f>IF(OR(AC444=0,AC444="ND",$C$5="not necessary"),"",1000*$C$5*R444/Table5[[#This Row],[Processing factor]]/S444/AB444)</f>
        <v/>
      </c>
      <c r="AI444" s="313"/>
      <c r="AJ444" s="382"/>
    </row>
    <row r="445" spans="1:36" s="11" customFormat="1" ht="12" customHeight="1" x14ac:dyDescent="0.2">
      <c r="A445" s="494"/>
      <c r="B445" s="23">
        <v>213030</v>
      </c>
      <c r="C445" s="325" t="s">
        <v>825</v>
      </c>
      <c r="D445" s="373" t="str">
        <f>VLOOKUP(C445,input_values!$C$412:$BG$538,input_values!$BG$410-2,0)</f>
        <v>PROC-213030-9</v>
      </c>
      <c r="E445" s="567">
        <f>VLOOKUP(B445,input_values!$B$412:$M$538,4,FALSE)</f>
        <v>0</v>
      </c>
      <c r="F445" s="451" t="str">
        <f>VLOOKUP($D445,Table6[[Identifyer]:[Acute RA IESTI new input value]],input_values!$Q$410,FALSE)</f>
        <v/>
      </c>
      <c r="G445" s="451" t="str">
        <f>VLOOKUP($D445,Table6[[Identifyer]:[Acute RA IESTI new input value]],input_values!$P$410,FALSE)</f>
        <v/>
      </c>
      <c r="H445" s="451">
        <f>VLOOKUP($D445,Table6[[Identifyer]:[Acute RA IESTI new input value]],input_values!$S$410,FALSE)</f>
        <v>0</v>
      </c>
      <c r="I445" s="451" t="str">
        <f>VLOOKUP($D445,Table6[[Identifyer]:[Acute RA IESTI new input value]],input_values!$R$410,FALSE)</f>
        <v/>
      </c>
      <c r="J445" s="65"/>
      <c r="K445" s="301">
        <f>IF(Table5[[#This Row],[Unit weight RAC (g)]]="",1,IF(Table5[[#This Row],[Unit weight RAC (g)]]&gt;250,5,7))</f>
        <v>1</v>
      </c>
      <c r="L445" s="302" t="str">
        <f>VLOOKUP(D445,input_values!$A$412:$BB$538,input_values!$AA$410,FALSE)</f>
        <v/>
      </c>
      <c r="M445" s="302">
        <f>VLOOKUP(D445,input_values!$A$412:$BB$538,input_values!$Y$410,FALSE)</f>
        <v>1</v>
      </c>
      <c r="N445" s="374" t="str">
        <f>IF(VLOOKUP(D445,input_values!$A$412:$BB$538,input_values!$L$410,FALSE)&lt;&gt;"",VLOOKUP(D445,input_values!$A$412:$BB$538,input_values!$L$410,FALSE),"")</f>
        <v/>
      </c>
      <c r="O445" s="603">
        <v>14.42</v>
      </c>
      <c r="P445" s="375">
        <v>100</v>
      </c>
      <c r="Q445" s="375" t="s">
        <v>256</v>
      </c>
      <c r="R445" s="377">
        <v>16.149999999999999</v>
      </c>
      <c r="S445" s="326">
        <f t="shared" si="67"/>
        <v>232.88299999999998</v>
      </c>
      <c r="T445" s="376"/>
      <c r="U445" s="574"/>
      <c r="V445" s="376"/>
      <c r="W445" s="574"/>
      <c r="X445" s="378">
        <v>3</v>
      </c>
      <c r="Y445" s="64">
        <f>IF(OR(Table5[[#This Row],[Case]]=1,Table5[[#This Row],[Case]]=3),1,IF(N445="",K445,N445))</f>
        <v>1</v>
      </c>
      <c r="Z445" s="379" t="str">
        <f t="shared" si="68"/>
        <v>ND</v>
      </c>
      <c r="AA445" s="380" t="str">
        <f t="shared" si="69"/>
        <v>no acute risk assessment</v>
      </c>
      <c r="AB445" s="64">
        <f>IF(OR(Table5[[#This Row],[Case]]=3,Table5[[#This Row],[Case]]=1),1,IF(Table5[[#This Row],[Variability factor for IESTI ]]&lt;3,Table5[[#This Row],[Variability factor for IESTI ]],3))</f>
        <v>1</v>
      </c>
      <c r="AC445" s="379" t="str">
        <f t="shared" si="70"/>
        <v>ND</v>
      </c>
      <c r="AD445" s="380" t="str">
        <f>IF($C$5="not necessary","no acute RA",IF(AC445="ND","no acute RA",IF(Table5[[#This Row],[IESTI new (mg/kg bw)]]&lt;&gt;"",AC445/$C$5,0)))</f>
        <v>no acute RA</v>
      </c>
      <c r="AE445" s="339" t="str">
        <f t="shared" si="65"/>
        <v/>
      </c>
      <c r="AF445" s="339" t="str">
        <f t="shared" si="66"/>
        <v/>
      </c>
      <c r="AG445" s="381" t="str">
        <f>IF(OR(Z445=0,Z445="ND",Z445="",$C$5="not necessary"),"",IF(X445="2a",1000*$C$5*R445/Table5[[#This Row],[Processing factor]]/(T445*Y445+S445-T445),IF(X445="2b",1000*$C$5*R445/Table5[[#This Row],[Processing factor]]/S445/Y445,IF(OR(X445=1,X445=3),1000*$C$5*R445/Table5[[#This Row],[Processing factor]]/S445,""))))</f>
        <v/>
      </c>
      <c r="AH445" s="495" t="str">
        <f>IF(OR(AC445=0,AC445="ND",$C$5="not necessary"),"",1000*$C$5*R445/Table5[[#This Row],[Processing factor]]/S445/AB445)</f>
        <v/>
      </c>
      <c r="AI445" s="313"/>
      <c r="AJ445" s="382"/>
    </row>
    <row r="446" spans="1:36" s="11" customFormat="1" ht="12" customHeight="1" x14ac:dyDescent="0.2">
      <c r="A446" s="494"/>
      <c r="B446" s="23">
        <v>213050</v>
      </c>
      <c r="C446" s="325" t="s">
        <v>394</v>
      </c>
      <c r="D446" s="373" t="str">
        <f>VLOOKUP(C446,input_values!$C$412:$BG$538,input_values!$BG$410-2,0)</f>
        <v>PROC-213050-3</v>
      </c>
      <c r="E446" s="567">
        <f>VLOOKUP(B446,input_values!$B$412:$M$538,4,FALSE)</f>
        <v>0</v>
      </c>
      <c r="F446" s="451" t="str">
        <f>VLOOKUP($D446,Table6[[Identifyer]:[Acute RA IESTI new input value]],input_values!$Q$410,FALSE)</f>
        <v/>
      </c>
      <c r="G446" s="451" t="str">
        <f>VLOOKUP($D446,Table6[[Identifyer]:[Acute RA IESTI new input value]],input_values!$P$410,FALSE)</f>
        <v/>
      </c>
      <c r="H446" s="451">
        <f>VLOOKUP($D446,Table6[[Identifyer]:[Acute RA IESTI new input value]],input_values!$S$410,FALSE)</f>
        <v>0</v>
      </c>
      <c r="I446" s="451" t="str">
        <f>VLOOKUP($D446,Table6[[Identifyer]:[Acute RA IESTI new input value]],input_values!$R$410,FALSE)</f>
        <v/>
      </c>
      <c r="J446" s="65"/>
      <c r="K446" s="301">
        <f>IF(Table5[[#This Row],[Unit weight RAC (g)]]="",1,IF(Table5[[#This Row],[Unit weight RAC (g)]]&gt;250,5,7))</f>
        <v>7</v>
      </c>
      <c r="L446" s="302" t="str">
        <f>VLOOKUP(D446,input_values!$A$412:$BB$538,input_values!$AA$410,FALSE)</f>
        <v/>
      </c>
      <c r="M446" s="302">
        <f>VLOOKUP(D446,input_values!$A$412:$BB$538,input_values!$Y$410,FALSE)</f>
        <v>1</v>
      </c>
      <c r="N446" s="302" t="str">
        <f>IF(VLOOKUP(D446,input_values!$A$412:$BB$538,input_values!$L$410,FALSE)&lt;&gt;"",VLOOKUP(D446,input_values!$A$412:$BB$538,input_values!$L$410,FALSE),"")</f>
        <v/>
      </c>
      <c r="O446" s="603">
        <v>7.2445652173913055</v>
      </c>
      <c r="P446" s="375" t="s">
        <v>442</v>
      </c>
      <c r="Q446" s="375" t="s">
        <v>259</v>
      </c>
      <c r="R446" s="377">
        <v>18.399999999999999</v>
      </c>
      <c r="S446" s="326">
        <f t="shared" si="67"/>
        <v>133.30000000000001</v>
      </c>
      <c r="T446" s="376">
        <v>56</v>
      </c>
      <c r="U446" s="574" t="s">
        <v>215</v>
      </c>
      <c r="V446" s="376">
        <v>94</v>
      </c>
      <c r="W446" s="574" t="s">
        <v>215</v>
      </c>
      <c r="X446" s="378" t="s">
        <v>1891</v>
      </c>
      <c r="Y446" s="64">
        <f>IF(OR(Table5[[#This Row],[Case]]=1,Table5[[#This Row],[Case]]=3),1,IF(N446="",K446,N446))</f>
        <v>7</v>
      </c>
      <c r="Z446" s="379" t="str">
        <f t="shared" si="68"/>
        <v>ND</v>
      </c>
      <c r="AA446" s="380" t="str">
        <f t="shared" si="69"/>
        <v>no acute risk assessment</v>
      </c>
      <c r="AB446" s="64">
        <f>IF(OR(Table5[[#This Row],[Case]]=3,Table5[[#This Row],[Case]]=1),1,IF(Table5[[#This Row],[Variability factor for IESTI ]]&lt;3,Table5[[#This Row],[Variability factor for IESTI ]],3))</f>
        <v>3</v>
      </c>
      <c r="AC446" s="379" t="str">
        <f t="shared" si="70"/>
        <v>ND</v>
      </c>
      <c r="AD446" s="380" t="str">
        <f>IF($C$5="not necessary","no acute RA",IF(AC446="ND","no acute RA",IF(Table5[[#This Row],[IESTI new (mg/kg bw)]]&lt;&gt;"",AC446/$C$5,0)))</f>
        <v>no acute RA</v>
      </c>
      <c r="AE446" s="339" t="str">
        <f t="shared" si="65"/>
        <v/>
      </c>
      <c r="AF446" s="339" t="str">
        <f t="shared" si="66"/>
        <v/>
      </c>
      <c r="AG446" s="381" t="str">
        <f>IF(OR(Z446=0,Z446="ND",Z446="",$C$5="not necessary"),"",IF(X446="2a",1000*$C$5*R446/Table5[[#This Row],[Processing factor]]/(T446*Y446+S446-T446),IF(X446="2b",1000*$C$5*R446/Table5[[#This Row],[Processing factor]]/S446/Y446,IF(OR(X446=1,X446=3),1000*$C$5*R446/Table5[[#This Row],[Processing factor]]/S446,""))))</f>
        <v/>
      </c>
      <c r="AH446" s="495" t="str">
        <f>IF(OR(AC446=0,AC446="ND",$C$5="not necessary"),"",1000*$C$5*R446/Table5[[#This Row],[Processing factor]]/S446/AB446)</f>
        <v/>
      </c>
      <c r="AI446" s="313"/>
      <c r="AJ446" s="382"/>
    </row>
    <row r="447" spans="1:36" s="11" customFormat="1" ht="12" customHeight="1" x14ac:dyDescent="0.2">
      <c r="A447" s="494"/>
      <c r="B447" s="23">
        <v>213060</v>
      </c>
      <c r="C447" s="325" t="s">
        <v>395</v>
      </c>
      <c r="D447" s="373" t="str">
        <f>VLOOKUP(C447,input_values!$C$412:$BG$538,input_values!$BG$410-2,0)</f>
        <v>PROC-213060-3</v>
      </c>
      <c r="E447" s="567">
        <f>VLOOKUP(B447,input_values!$B$412:$M$538,4,FALSE)</f>
        <v>0</v>
      </c>
      <c r="F447" s="451" t="str">
        <f>VLOOKUP($D447,Table6[[Identifyer]:[Acute RA IESTI new input value]],input_values!$Q$410,FALSE)</f>
        <v/>
      </c>
      <c r="G447" s="451" t="str">
        <f>VLOOKUP($D447,Table6[[Identifyer]:[Acute RA IESTI new input value]],input_values!$P$410,FALSE)</f>
        <v/>
      </c>
      <c r="H447" s="451">
        <f>VLOOKUP($D447,Table6[[Identifyer]:[Acute RA IESTI new input value]],input_values!$S$410,FALSE)</f>
        <v>0</v>
      </c>
      <c r="I447" s="451" t="str">
        <f>VLOOKUP($D447,Table6[[Identifyer]:[Acute RA IESTI new input value]],input_values!$R$410,FALSE)</f>
        <v/>
      </c>
      <c r="J447" s="65"/>
      <c r="K447" s="301">
        <f>IF(Table5[[#This Row],[Unit weight RAC (g)]]="",1,IF(Table5[[#This Row],[Unit weight RAC (g)]]&gt;250,5,7))</f>
        <v>7</v>
      </c>
      <c r="L447" s="302" t="str">
        <f>VLOOKUP(D447,input_values!$A$412:$BB$538,input_values!$AA$410,FALSE)</f>
        <v/>
      </c>
      <c r="M447" s="302">
        <f>VLOOKUP(D447,input_values!$A$412:$BB$538,input_values!$Y$410,FALSE)</f>
        <v>1</v>
      </c>
      <c r="N447" s="302" t="str">
        <f>IF(VLOOKUP(D447,input_values!$A$412:$BB$538,input_values!$L$410,FALSE)&lt;&gt;"",VLOOKUP(D447,input_values!$A$412:$BB$538,input_values!$L$410,FALSE),"")</f>
        <v/>
      </c>
      <c r="O447" s="603">
        <v>7.2445652173913198</v>
      </c>
      <c r="P447" s="375" t="s">
        <v>442</v>
      </c>
      <c r="Q447" s="375" t="s">
        <v>259</v>
      </c>
      <c r="R447" s="377">
        <v>18.399999999999999</v>
      </c>
      <c r="S447" s="326">
        <f t="shared" si="67"/>
        <v>133.30000000000027</v>
      </c>
      <c r="T447" s="376">
        <v>227</v>
      </c>
      <c r="U447" s="574" t="s">
        <v>215</v>
      </c>
      <c r="V447" s="376">
        <v>227</v>
      </c>
      <c r="W447" s="574" t="s">
        <v>215</v>
      </c>
      <c r="X447" s="378" t="s">
        <v>1892</v>
      </c>
      <c r="Y447" s="64">
        <f>IF(OR(Table5[[#This Row],[Case]]=1,Table5[[#This Row],[Case]]=3),1,IF(N447="",K447,N447))</f>
        <v>7</v>
      </c>
      <c r="Z447" s="379" t="str">
        <f t="shared" si="68"/>
        <v>ND</v>
      </c>
      <c r="AA447" s="380" t="str">
        <f t="shared" si="69"/>
        <v>no acute risk assessment</v>
      </c>
      <c r="AB447" s="64">
        <f>IF(OR(Table5[[#This Row],[Case]]=3,Table5[[#This Row],[Case]]=1),1,IF(Table5[[#This Row],[Variability factor for IESTI ]]&lt;3,Table5[[#This Row],[Variability factor for IESTI ]],3))</f>
        <v>3</v>
      </c>
      <c r="AC447" s="379" t="str">
        <f t="shared" si="70"/>
        <v>ND</v>
      </c>
      <c r="AD447" s="380" t="str">
        <f>IF($C$5="not necessary","no acute RA",IF(AC447="ND","no acute RA",IF(Table5[[#This Row],[IESTI new (mg/kg bw)]]&lt;&gt;"",AC447/$C$5,0)))</f>
        <v>no acute RA</v>
      </c>
      <c r="AE447" s="339" t="str">
        <f t="shared" si="65"/>
        <v/>
      </c>
      <c r="AF447" s="339" t="str">
        <f t="shared" si="66"/>
        <v/>
      </c>
      <c r="AG447" s="381" t="str">
        <f>IF(OR(Z447=0,Z447="ND",Z447="",$C$5="not necessary"),"",IF(X447="2a",1000*$C$5*R447/Table5[[#This Row],[Processing factor]]/(T447*Y447+S447-T447),IF(X447="2b",1000*$C$5*R447/Table5[[#This Row],[Processing factor]]/S447/Y447,IF(OR(X447=1,X447=3),1000*$C$5*R447/Table5[[#This Row],[Processing factor]]/S447,""))))</f>
        <v/>
      </c>
      <c r="AH447" s="495" t="str">
        <f>IF(OR(AC447=0,AC447="ND",$C$5="not necessary"),"",1000*$C$5*R447/Table5[[#This Row],[Processing factor]]/S447/AB447)</f>
        <v/>
      </c>
      <c r="AI447" s="313"/>
      <c r="AJ447" s="382"/>
    </row>
    <row r="448" spans="1:36" s="11" customFormat="1" ht="12" customHeight="1" x14ac:dyDescent="0.2">
      <c r="A448" s="494"/>
      <c r="B448" s="23">
        <v>213090</v>
      </c>
      <c r="C448" s="325" t="s">
        <v>826</v>
      </c>
      <c r="D448" s="373" t="str">
        <f>VLOOKUP(C448,input_values!$C$412:$BG$538,input_values!$BG$410-2,0)</f>
        <v>PROC-213090-3</v>
      </c>
      <c r="E448" s="567">
        <f>VLOOKUP(B448,input_values!$B$412:$M$538,4,FALSE)</f>
        <v>0</v>
      </c>
      <c r="F448" s="451" t="str">
        <f>VLOOKUP($D448,Table6[[Identifyer]:[Acute RA IESTI new input value]],input_values!$Q$410,FALSE)</f>
        <v/>
      </c>
      <c r="G448" s="451" t="str">
        <f>VLOOKUP($D448,Table6[[Identifyer]:[Acute RA IESTI new input value]],input_values!$P$410,FALSE)</f>
        <v/>
      </c>
      <c r="H448" s="451">
        <f>VLOOKUP($D448,Table6[[Identifyer]:[Acute RA IESTI new input value]],input_values!$S$410,FALSE)</f>
        <v>0</v>
      </c>
      <c r="I448" s="451" t="str">
        <f>VLOOKUP($D448,Table6[[Identifyer]:[Acute RA IESTI new input value]],input_values!$R$410,FALSE)</f>
        <v/>
      </c>
      <c r="J448" s="65"/>
      <c r="K448" s="301">
        <f>IF(Table5[[#This Row],[Unit weight RAC (g)]]="",1,IF(Table5[[#This Row],[Unit weight RAC (g)]]&gt;250,5,7))</f>
        <v>7</v>
      </c>
      <c r="L448" s="302" t="str">
        <f>VLOOKUP(D448,input_values!$A$412:$BB$538,input_values!$AA$410,FALSE)</f>
        <v/>
      </c>
      <c r="M448" s="302">
        <f>VLOOKUP(D448,input_values!$A$412:$BB$538,input_values!$Y$410,FALSE)</f>
        <v>1</v>
      </c>
      <c r="N448" s="302" t="str">
        <f>IF(VLOOKUP(D448,input_values!$A$412:$BB$538,input_values!$L$410,FALSE)&lt;&gt;"",VLOOKUP(D448,input_values!$A$412:$BB$538,input_values!$L$410,FALSE),"")</f>
        <v/>
      </c>
      <c r="O448" s="603">
        <v>7.2445652173913304</v>
      </c>
      <c r="P448" s="375" t="s">
        <v>442</v>
      </c>
      <c r="Q448" s="375" t="s">
        <v>259</v>
      </c>
      <c r="R448" s="377">
        <v>18.399999999999999</v>
      </c>
      <c r="S448" s="326">
        <f t="shared" si="67"/>
        <v>133.30000000000047</v>
      </c>
      <c r="T448" s="376">
        <v>57</v>
      </c>
      <c r="U448" s="574" t="s">
        <v>215</v>
      </c>
      <c r="V448" s="376">
        <v>88</v>
      </c>
      <c r="W448" s="574" t="s">
        <v>215</v>
      </c>
      <c r="X448" s="378" t="s">
        <v>1891</v>
      </c>
      <c r="Y448" s="64">
        <f>IF(OR(Table5[[#This Row],[Case]]=1,Table5[[#This Row],[Case]]=3),1,IF(N448="",K448,N448))</f>
        <v>7</v>
      </c>
      <c r="Z448" s="379" t="str">
        <f t="shared" si="68"/>
        <v>ND</v>
      </c>
      <c r="AA448" s="380" t="str">
        <f t="shared" si="69"/>
        <v>no acute risk assessment</v>
      </c>
      <c r="AB448" s="64">
        <f>IF(OR(Table5[[#This Row],[Case]]=3,Table5[[#This Row],[Case]]=1),1,IF(Table5[[#This Row],[Variability factor for IESTI ]]&lt;3,Table5[[#This Row],[Variability factor for IESTI ]],3))</f>
        <v>3</v>
      </c>
      <c r="AC448" s="379" t="str">
        <f t="shared" si="70"/>
        <v>ND</v>
      </c>
      <c r="AD448" s="380" t="str">
        <f>IF($C$5="not necessary","no acute RA",IF(AC448="ND","no acute RA",IF(Table5[[#This Row],[IESTI new (mg/kg bw)]]&lt;&gt;"",AC448/$C$5,0)))</f>
        <v>no acute RA</v>
      </c>
      <c r="AE448" s="339" t="str">
        <f t="shared" si="65"/>
        <v/>
      </c>
      <c r="AF448" s="339" t="str">
        <f t="shared" si="66"/>
        <v/>
      </c>
      <c r="AG448" s="381" t="str">
        <f>IF(OR(Z448=0,Z448="ND",Z448="",$C$5="not necessary"),"",IF(X448="2a",1000*$C$5*R448/Table5[[#This Row],[Processing factor]]/(T448*Y448+S448-T448),IF(X448="2b",1000*$C$5*R448/Table5[[#This Row],[Processing factor]]/S448/Y448,IF(OR(X448=1,X448=3),1000*$C$5*R448/Table5[[#This Row],[Processing factor]]/S448,""))))</f>
        <v/>
      </c>
      <c r="AH448" s="495" t="str">
        <f>IF(OR(AC448=0,AC448="ND",$C$5="not necessary"),"",1000*$C$5*R448/Table5[[#This Row],[Processing factor]]/S448/AB448)</f>
        <v/>
      </c>
      <c r="AI448" s="313"/>
      <c r="AJ448" s="382"/>
    </row>
    <row r="449" spans="1:36" s="11" customFormat="1" ht="12" customHeight="1" x14ac:dyDescent="0.2">
      <c r="A449" s="494"/>
      <c r="B449" s="23">
        <v>213110</v>
      </c>
      <c r="C449" s="325" t="s">
        <v>464</v>
      </c>
      <c r="D449" s="373" t="str">
        <f>VLOOKUP(C449,input_values!$C$412:$BG$538,input_values!$BG$410-2,0)</f>
        <v>PROC-213110-3</v>
      </c>
      <c r="E449" s="567">
        <f>VLOOKUP(B449,input_values!$B$412:$M$538,4,FALSE)</f>
        <v>0</v>
      </c>
      <c r="F449" s="451" t="str">
        <f>VLOOKUP($D449,Table6[[Identifyer]:[Acute RA IESTI new input value]],input_values!$Q$410,FALSE)</f>
        <v/>
      </c>
      <c r="G449" s="451" t="str">
        <f>VLOOKUP($D449,Table6[[Identifyer]:[Acute RA IESTI new input value]],input_values!$P$410,FALSE)</f>
        <v/>
      </c>
      <c r="H449" s="451">
        <f>VLOOKUP($D449,Table6[[Identifyer]:[Acute RA IESTI new input value]],input_values!$S$410,FALSE)</f>
        <v>0</v>
      </c>
      <c r="I449" s="451" t="str">
        <f>VLOOKUP($D449,Table6[[Identifyer]:[Acute RA IESTI new input value]],input_values!$R$410,FALSE)</f>
        <v/>
      </c>
      <c r="J449" s="65"/>
      <c r="K449" s="301">
        <f>IF(Table5[[#This Row],[Unit weight RAC (g)]]="",1,IF(Table5[[#This Row],[Unit weight RAC (g)]]&gt;250,5,7))</f>
        <v>7</v>
      </c>
      <c r="L449" s="302" t="str">
        <f>VLOOKUP(D449,input_values!$A$412:$BB$538,input_values!$AA$410,FALSE)</f>
        <v/>
      </c>
      <c r="M449" s="302">
        <f>VLOOKUP(D449,input_values!$A$412:$BB$538,input_values!$Y$410,FALSE)</f>
        <v>1</v>
      </c>
      <c r="N449" s="302" t="str">
        <f>IF(VLOOKUP(D449,input_values!$A$412:$BB$538,input_values!$L$410,FALSE)&lt;&gt;"",VLOOKUP(D449,input_values!$A$412:$BB$538,input_values!$L$410,FALSE),"")</f>
        <v/>
      </c>
      <c r="O449" s="603">
        <v>7.2450000000000001</v>
      </c>
      <c r="P449" s="375" t="s">
        <v>331</v>
      </c>
      <c r="Q449" s="375" t="s">
        <v>259</v>
      </c>
      <c r="R449" s="377">
        <v>18.399999999999999</v>
      </c>
      <c r="S449" s="326">
        <f>O449*R449</f>
        <v>133.30799999999999</v>
      </c>
      <c r="T449" s="376">
        <v>176</v>
      </c>
      <c r="U449" s="574" t="s">
        <v>215</v>
      </c>
      <c r="V449" s="376">
        <v>176</v>
      </c>
      <c r="W449" s="574" t="s">
        <v>215</v>
      </c>
      <c r="X449" s="378" t="s">
        <v>1892</v>
      </c>
      <c r="Y449" s="64">
        <f>IF(OR(Table5[[#This Row],[Case]]=1,Table5[[#This Row],[Case]]=3),1,IF(N449="",K449,N449))</f>
        <v>7</v>
      </c>
      <c r="Z449" s="379" t="str">
        <f t="shared" si="68"/>
        <v>ND</v>
      </c>
      <c r="AA449" s="380" t="str">
        <f t="shared" si="69"/>
        <v>no acute risk assessment</v>
      </c>
      <c r="AB449" s="64">
        <f>IF(OR(Table5[[#This Row],[Case]]=3,Table5[[#This Row],[Case]]=1),1,IF(Table5[[#This Row],[Variability factor for IESTI ]]&lt;3,Table5[[#This Row],[Variability factor for IESTI ]],3))</f>
        <v>3</v>
      </c>
      <c r="AC449" s="379" t="str">
        <f t="shared" si="70"/>
        <v>ND</v>
      </c>
      <c r="AD449" s="380" t="str">
        <f>IF($C$5="not necessary","no acute RA",IF(AC449="ND","no acute RA",IF(Table5[[#This Row],[IESTI new (mg/kg bw)]]&lt;&gt;"",AC449/$C$5,0)))</f>
        <v>no acute RA</v>
      </c>
      <c r="AE449" s="339" t="str">
        <f>IF(AA449&gt;=1,AG449,"")</f>
        <v/>
      </c>
      <c r="AF449" s="339" t="str">
        <f>IF(AD449&gt;=1,AH449,"")</f>
        <v/>
      </c>
      <c r="AG449" s="381" t="str">
        <f>IF(OR(Z449=0,Z449="ND",Z449="",$C$5="not necessary"),"",IF(X449="2a",1000*$C$5*R449/Table5[[#This Row],[Processing factor]]/(T449*Y449+S449-T449),IF(X449="2b",1000*$C$5*R449/Table5[[#This Row],[Processing factor]]/S449/Y449,IF(OR(X449=1,X449=3),1000*$C$5*R449/Table5[[#This Row],[Processing factor]]/S449,""))))</f>
        <v/>
      </c>
      <c r="AH449" s="495" t="str">
        <f>IF(OR(AC449=0,AC449="ND",$C$5="not necessary"),"",1000*$C$5*R449/Table5[[#This Row],[Processing factor]]/S449/AB449)</f>
        <v/>
      </c>
      <c r="AI449" s="313"/>
      <c r="AJ449" s="382"/>
    </row>
    <row r="450" spans="1:36" s="11" customFormat="1" ht="12" customHeight="1" x14ac:dyDescent="0.2">
      <c r="A450" s="494"/>
      <c r="B450" s="23">
        <v>220030</v>
      </c>
      <c r="C450" s="325" t="s">
        <v>396</v>
      </c>
      <c r="D450" s="373" t="str">
        <f>VLOOKUP(C450,input_values!$C$412:$BG$538,input_values!$BG$410-2,0)</f>
        <v>PROC-220030-3</v>
      </c>
      <c r="E450" s="567">
        <f>VLOOKUP(B450,input_values!$B$412:$M$538,4,FALSE)</f>
        <v>0</v>
      </c>
      <c r="F450" s="451" t="str">
        <f>VLOOKUP($D450,Table6[[Identifyer]:[Acute RA IESTI new input value]],input_values!$Q$410,FALSE)</f>
        <v/>
      </c>
      <c r="G450" s="451" t="str">
        <f>VLOOKUP($D450,Table6[[Identifyer]:[Acute RA IESTI new input value]],input_values!$P$410,FALSE)</f>
        <v/>
      </c>
      <c r="H450" s="451">
        <f>VLOOKUP($D450,Table6[[Identifyer]:[Acute RA IESTI new input value]],input_values!$S$410,FALSE)</f>
        <v>0</v>
      </c>
      <c r="I450" s="451" t="str">
        <f>VLOOKUP($D450,Table6[[Identifyer]:[Acute RA IESTI new input value]],input_values!$R$410,FALSE)</f>
        <v/>
      </c>
      <c r="J450" s="65"/>
      <c r="K450" s="301">
        <f>IF(Table5[[#This Row],[Unit weight RAC (g)]]="",1,IF(Table5[[#This Row],[Unit weight RAC (g)]]&gt;250,5,7))</f>
        <v>7</v>
      </c>
      <c r="L450" s="302" t="str">
        <f>VLOOKUP(D450,input_values!$A$412:$BB$538,input_values!$AA$410,FALSE)</f>
        <v/>
      </c>
      <c r="M450" s="302">
        <f>VLOOKUP(D450,input_values!$A$412:$BB$538,input_values!$Y$410,FALSE)</f>
        <v>1</v>
      </c>
      <c r="N450" s="302" t="str">
        <f>IF(VLOOKUP(D450,input_values!$A$412:$BB$538,input_values!$L$410,FALSE)&lt;&gt;"",VLOOKUP(D450,input_values!$A$412:$BB$538,input_values!$L$410,FALSE),"")</f>
        <v/>
      </c>
      <c r="O450" s="603">
        <v>2.5219999999999998</v>
      </c>
      <c r="P450" s="375" t="s">
        <v>331</v>
      </c>
      <c r="Q450" s="375" t="s">
        <v>259</v>
      </c>
      <c r="R450" s="377">
        <v>18.399999999999999</v>
      </c>
      <c r="S450" s="326">
        <f t="shared" si="67"/>
        <v>46.404799999999994</v>
      </c>
      <c r="T450" s="338">
        <v>42</v>
      </c>
      <c r="U450" s="129" t="s">
        <v>215</v>
      </c>
      <c r="V450" s="338">
        <v>42</v>
      </c>
      <c r="W450" s="129" t="s">
        <v>215</v>
      </c>
      <c r="X450" s="378" t="s">
        <v>1891</v>
      </c>
      <c r="Y450" s="64">
        <f>IF(OR(Table5[[#This Row],[Case]]=1,Table5[[#This Row],[Case]]=3),1,IF(N450="",K450,N450))</f>
        <v>7</v>
      </c>
      <c r="Z450" s="379" t="str">
        <f t="shared" si="68"/>
        <v>ND</v>
      </c>
      <c r="AA450" s="380" t="str">
        <f t="shared" si="69"/>
        <v>no acute risk assessment</v>
      </c>
      <c r="AB450" s="64">
        <f>IF(OR(Table5[[#This Row],[Case]]=3,Table5[[#This Row],[Case]]=1),1,IF(Table5[[#This Row],[Variability factor for IESTI ]]&lt;3,Table5[[#This Row],[Variability factor for IESTI ]],3))</f>
        <v>3</v>
      </c>
      <c r="AC450" s="379" t="str">
        <f t="shared" si="70"/>
        <v>ND</v>
      </c>
      <c r="AD450" s="380" t="str">
        <f>IF($C$5="not necessary","no acute RA",IF(AC450="ND","no acute RA",IF(Table5[[#This Row],[IESTI new (mg/kg bw)]]&lt;&gt;"",AC450/$C$5,0)))</f>
        <v>no acute RA</v>
      </c>
      <c r="AE450" s="339" t="str">
        <f t="shared" si="65"/>
        <v/>
      </c>
      <c r="AF450" s="339" t="str">
        <f t="shared" si="66"/>
        <v/>
      </c>
      <c r="AG450" s="381" t="str">
        <f>IF(OR(Z450=0,Z450="ND",Z450="",$C$5="not necessary"),"",IF(X450="2a",1000*$C$5*R450/Table5[[#This Row],[Processing factor]]/(T450*Y450+S450-T450),IF(X450="2b",1000*$C$5*R450/Table5[[#This Row],[Processing factor]]/S450/Y450,IF(OR(X450=1,X450=3),1000*$C$5*R450/Table5[[#This Row],[Processing factor]]/S450,""))))</f>
        <v/>
      </c>
      <c r="AH450" s="495" t="str">
        <f>IF(OR(AC450=0,AC450="ND",$C$5="not necessary"),"",1000*$C$5*R450/Table5[[#This Row],[Processing factor]]/S450/AB450)</f>
        <v/>
      </c>
      <c r="AI450" s="313"/>
      <c r="AJ450" s="382"/>
    </row>
    <row r="451" spans="1:36" s="11" customFormat="1" ht="12" customHeight="1" x14ac:dyDescent="0.2">
      <c r="A451" s="494"/>
      <c r="B451" s="23">
        <v>231010</v>
      </c>
      <c r="C451" s="325" t="s">
        <v>397</v>
      </c>
      <c r="D451" s="373" t="str">
        <f>VLOOKUP(C451,input_values!$C$412:$BG$538,input_values!$BG$410-2,0)</f>
        <v>PROC-231010-9</v>
      </c>
      <c r="E451" s="567">
        <f>VLOOKUP(B451,input_values!$B$412:$M$538,4,FALSE)</f>
        <v>0</v>
      </c>
      <c r="F451" s="451" t="str">
        <f>VLOOKUP($D451,Table6[[Identifyer]:[Acute RA IESTI new input value]],input_values!$Q$410,FALSE)</f>
        <v/>
      </c>
      <c r="G451" s="451" t="str">
        <f>VLOOKUP($D451,Table6[[Identifyer]:[Acute RA IESTI new input value]],input_values!$P$410,FALSE)</f>
        <v/>
      </c>
      <c r="H451" s="451">
        <f>VLOOKUP($D451,Table6[[Identifyer]:[Acute RA IESTI new input value]],input_values!$S$410,FALSE)</f>
        <v>0</v>
      </c>
      <c r="I451" s="451" t="str">
        <f>VLOOKUP($D451,Table6[[Identifyer]:[Acute RA IESTI new input value]],input_values!$R$410,FALSE)</f>
        <v/>
      </c>
      <c r="J451" s="65"/>
      <c r="K451" s="301">
        <f>IF(Table5[[#This Row],[Unit weight RAC (g)]]="",1,IF(Table5[[#This Row],[Unit weight RAC (g)]]&gt;250,5,7))</f>
        <v>1</v>
      </c>
      <c r="L451" s="302" t="str">
        <f>VLOOKUP(D451,input_values!$A$412:$BB$538,input_values!$AA$410,FALSE)</f>
        <v/>
      </c>
      <c r="M451" s="302">
        <f>VLOOKUP(D451,input_values!$A$412:$BB$538,input_values!$Y$410,FALSE)</f>
        <v>1</v>
      </c>
      <c r="N451" s="374" t="str">
        <f>IF(VLOOKUP(D451,input_values!$A$412:$BB$538,input_values!$L$410,FALSE)&lt;&gt;"",VLOOKUP(D451,input_values!$A$412:$BB$538,input_values!$L$410,FALSE),"")</f>
        <v/>
      </c>
      <c r="O451" s="603">
        <v>19.03</v>
      </c>
      <c r="P451" s="375">
        <v>100</v>
      </c>
      <c r="Q451" s="375" t="s">
        <v>256</v>
      </c>
      <c r="R451" s="377">
        <v>16.149999999999999</v>
      </c>
      <c r="S451" s="326">
        <f t="shared" si="67"/>
        <v>307.33449999999999</v>
      </c>
      <c r="T451" s="376"/>
      <c r="U451" s="574"/>
      <c r="V451" s="376"/>
      <c r="W451" s="574"/>
      <c r="X451" s="378">
        <v>3</v>
      </c>
      <c r="Y451" s="64">
        <f>IF(OR(Table5[[#This Row],[Case]]=1,Table5[[#This Row],[Case]]=3),1,IF(N451="",K451,N451))</f>
        <v>1</v>
      </c>
      <c r="Z451" s="379" t="str">
        <f t="shared" si="68"/>
        <v>ND</v>
      </c>
      <c r="AA451" s="380" t="str">
        <f t="shared" si="69"/>
        <v>no acute risk assessment</v>
      </c>
      <c r="AB451" s="64">
        <f>IF(OR(Table5[[#This Row],[Case]]=3,Table5[[#This Row],[Case]]=1),1,IF(Table5[[#This Row],[Variability factor for IESTI ]]&lt;3,Table5[[#This Row],[Variability factor for IESTI ]],3))</f>
        <v>1</v>
      </c>
      <c r="AC451" s="379" t="str">
        <f t="shared" si="70"/>
        <v>ND</v>
      </c>
      <c r="AD451" s="380" t="str">
        <f>IF($C$5="not necessary","no acute RA",IF(AC451="ND","no acute RA",IF(Table5[[#This Row],[IESTI new (mg/kg bw)]]&lt;&gt;"",AC451/$C$5,0)))</f>
        <v>no acute RA</v>
      </c>
      <c r="AE451" s="339" t="str">
        <f t="shared" si="65"/>
        <v/>
      </c>
      <c r="AF451" s="339" t="str">
        <f t="shared" si="66"/>
        <v/>
      </c>
      <c r="AG451" s="381" t="str">
        <f>IF(OR(Z451=0,Z451="ND",Z451="",$C$5="not necessary"),"",IF(X451="2a",1000*$C$5*R451/Table5[[#This Row],[Processing factor]]/(T451*Y451+S451-T451),IF(X451="2b",1000*$C$5*R451/Table5[[#This Row],[Processing factor]]/S451/Y451,IF(OR(X451=1,X451=3),1000*$C$5*R451/Table5[[#This Row],[Processing factor]]/S451,""))))</f>
        <v/>
      </c>
      <c r="AH451" s="495" t="str">
        <f>IF(OR(AC451=0,AC451="ND",$C$5="not necessary"),"",1000*$C$5*R451/Table5[[#This Row],[Processing factor]]/S451/AB451)</f>
        <v/>
      </c>
      <c r="AI451" s="313"/>
      <c r="AJ451" s="382"/>
    </row>
    <row r="452" spans="1:36" s="11" customFormat="1" ht="12" customHeight="1" x14ac:dyDescent="0.2">
      <c r="A452" s="494"/>
      <c r="B452" s="325">
        <v>231010</v>
      </c>
      <c r="C452" s="325" t="s">
        <v>466</v>
      </c>
      <c r="D452" s="373" t="str">
        <f>VLOOKUP(C452,input_values!$C$412:$BG$538,input_values!$BG$410-2,0)</f>
        <v>PROC-231010-13</v>
      </c>
      <c r="E452" s="567">
        <f>VLOOKUP(B452,input_values!$B$412:$M$538,4,FALSE)</f>
        <v>0</v>
      </c>
      <c r="F452" s="451" t="str">
        <f>VLOOKUP($D452,Table6[[Identifyer]:[Acute RA IESTI new input value]],input_values!$Q$410,FALSE)</f>
        <v/>
      </c>
      <c r="G452" s="451" t="str">
        <f>VLOOKUP($D452,Table6[[Identifyer]:[Acute RA IESTI new input value]],input_values!$P$410,FALSE)</f>
        <v/>
      </c>
      <c r="H452" s="451">
        <f>VLOOKUP($D452,Table6[[Identifyer]:[Acute RA IESTI new input value]],input_values!$S$410,FALSE)</f>
        <v>0</v>
      </c>
      <c r="I452" s="451" t="str">
        <f>VLOOKUP($D452,Table6[[Identifyer]:[Acute RA IESTI new input value]],input_values!$R$410,FALSE)</f>
        <v/>
      </c>
      <c r="J452" s="65"/>
      <c r="K452" s="301">
        <f>IF(Table5[[#This Row],[Unit weight RAC (g)]]="",1,IF(Table5[[#This Row],[Unit weight RAC (g)]]&gt;250,5,7))</f>
        <v>1</v>
      </c>
      <c r="L452" s="302" t="str">
        <f>VLOOKUP(D452,input_values!$A$412:$BB$538,input_values!$AA$410,FALSE)</f>
        <v/>
      </c>
      <c r="M452" s="302">
        <f>VLOOKUP(D452,input_values!$A$412:$BB$538,input_values!$Y$410,FALSE)</f>
        <v>1</v>
      </c>
      <c r="N452" s="374" t="str">
        <f>IF(VLOOKUP(D452,input_values!$A$412:$BB$538,input_values!$L$410,FALSE)&lt;&gt;"",VLOOKUP(D452,input_values!$A$412:$BB$538,input_values!$L$410,FALSE),"")</f>
        <v/>
      </c>
      <c r="O452" s="603">
        <v>9.5399999999999991</v>
      </c>
      <c r="P452" s="375">
        <v>97.5</v>
      </c>
      <c r="Q452" s="375" t="s">
        <v>259</v>
      </c>
      <c r="R452" s="377">
        <v>18.399999999999999</v>
      </c>
      <c r="S452" s="326">
        <f>O452*R452</f>
        <v>175.53599999999997</v>
      </c>
      <c r="T452" s="376"/>
      <c r="U452" s="574"/>
      <c r="V452" s="376"/>
      <c r="W452" s="574"/>
      <c r="X452" s="378">
        <v>3</v>
      </c>
      <c r="Y452" s="64">
        <f>IF(OR(Table5[[#This Row],[Case]]=1,Table5[[#This Row],[Case]]=3),1,IF(N452="",K452,N452))</f>
        <v>1</v>
      </c>
      <c r="Z452" s="379" t="str">
        <f t="shared" si="68"/>
        <v>ND</v>
      </c>
      <c r="AA452" s="380" t="str">
        <f t="shared" si="69"/>
        <v>no acute risk assessment</v>
      </c>
      <c r="AB452" s="64">
        <f>IF(OR(Table5[[#This Row],[Case]]=3,Table5[[#This Row],[Case]]=1),1,IF(Table5[[#This Row],[Variability factor for IESTI ]]&lt;3,Table5[[#This Row],[Variability factor for IESTI ]],3))</f>
        <v>1</v>
      </c>
      <c r="AC452" s="379" t="str">
        <f t="shared" si="70"/>
        <v>ND</v>
      </c>
      <c r="AD452" s="380" t="str">
        <f>IF($C$5="not necessary","no acute RA",IF(AC452="ND","no acute RA",IF(Table5[[#This Row],[IESTI new (mg/kg bw)]]&lt;&gt;"",AC452/$C$5,0)))</f>
        <v>no acute RA</v>
      </c>
      <c r="AE452" s="339" t="str">
        <f>IF(AA452&gt;=1,AG452,"")</f>
        <v/>
      </c>
      <c r="AF452" s="339" t="str">
        <f>IF(AD452&gt;=1,AH452,"")</f>
        <v/>
      </c>
      <c r="AG452" s="381" t="str">
        <f>IF(OR(Z452=0,Z452="ND",Z452="",$C$5="not necessary"),"",IF(X452="2a",1000*$C$5*R452/Table5[[#This Row],[Processing factor]]/(T452*Y452+S452-T452),IF(X452="2b",1000*$C$5*R452/Table5[[#This Row],[Processing factor]]/S452/Y452,IF(OR(X452=1,X452=3),1000*$C$5*R452/Table5[[#This Row],[Processing factor]]/S452,""))))</f>
        <v/>
      </c>
      <c r="AH452" s="495" t="str">
        <f>IF(OR(AC452=0,AC452="ND",$C$5="not necessary"),"",1000*$C$5*R452/Table5[[#This Row],[Processing factor]]/S452/AB452)</f>
        <v/>
      </c>
      <c r="AI452" s="313"/>
      <c r="AJ452" s="382"/>
    </row>
    <row r="453" spans="1:36" s="11" customFormat="1" ht="12" customHeight="1" x14ac:dyDescent="0.2">
      <c r="A453" s="494"/>
      <c r="B453" s="23">
        <v>232020</v>
      </c>
      <c r="C453" s="325" t="s">
        <v>398</v>
      </c>
      <c r="D453" s="373" t="str">
        <f>VLOOKUP(C453,input_values!$C$412:$BG$538,input_values!$BG$410-2,0)</f>
        <v>PROC-232020-22</v>
      </c>
      <c r="E453" s="567">
        <f>VLOOKUP(B453,input_values!$B$412:$M$538,4,FALSE)</f>
        <v>0</v>
      </c>
      <c r="F453" s="451" t="str">
        <f>VLOOKUP($D453,Table6[[Identifyer]:[Acute RA IESTI new input value]],input_values!$Q$410,FALSE)</f>
        <v/>
      </c>
      <c r="G453" s="451" t="str">
        <f>VLOOKUP($D453,Table6[[Identifyer]:[Acute RA IESTI new input value]],input_values!$P$410,FALSE)</f>
        <v/>
      </c>
      <c r="H453" s="451">
        <f>VLOOKUP($D453,Table6[[Identifyer]:[Acute RA IESTI new input value]],input_values!$S$410,FALSE)</f>
        <v>0</v>
      </c>
      <c r="I453" s="451" t="str">
        <f>VLOOKUP($D453,Table6[[Identifyer]:[Acute RA IESTI new input value]],input_values!$R$410,FALSE)</f>
        <v/>
      </c>
      <c r="J453" s="65"/>
      <c r="K453" s="301">
        <f>IF(Table5[[#This Row],[Unit weight RAC (g)]]="",1,IF(Table5[[#This Row],[Unit weight RAC (g)]]&gt;250,5,7))</f>
        <v>7</v>
      </c>
      <c r="L453" s="302" t="str">
        <f>VLOOKUP(D453,input_values!$A$412:$BB$538,input_values!$AA$410,FALSE)</f>
        <v/>
      </c>
      <c r="M453" s="302">
        <f>VLOOKUP(D453,input_values!$A$412:$BB$538,input_values!$Y$410,FALSE)</f>
        <v>1</v>
      </c>
      <c r="N453" s="302" t="str">
        <f>IF(VLOOKUP(D453,input_values!$A$412:$BB$538,input_values!$L$410,FALSE)&lt;&gt;"",VLOOKUP(D453,input_values!$A$412:$BB$538,input_values!$L$410,FALSE),"")</f>
        <v/>
      </c>
      <c r="O453" s="603">
        <v>3.2843137254901964</v>
      </c>
      <c r="P453" s="375" t="s">
        <v>416</v>
      </c>
      <c r="Q453" s="375" t="s">
        <v>329</v>
      </c>
      <c r="R453" s="377">
        <v>10.199999999999999</v>
      </c>
      <c r="S453" s="326">
        <f t="shared" si="67"/>
        <v>33.5</v>
      </c>
      <c r="T453" s="376">
        <v>43</v>
      </c>
      <c r="U453" s="574" t="s">
        <v>215</v>
      </c>
      <c r="V453" s="376">
        <v>43</v>
      </c>
      <c r="W453" s="574" t="s">
        <v>215</v>
      </c>
      <c r="X453" s="378" t="s">
        <v>1892</v>
      </c>
      <c r="Y453" s="64">
        <f>IF(OR(Table5[[#This Row],[Case]]=1,Table5[[#This Row],[Case]]=3),1,IF(N453="",K453,N453))</f>
        <v>7</v>
      </c>
      <c r="Z453" s="649" t="str">
        <f t="shared" si="68"/>
        <v>ND</v>
      </c>
      <c r="AA453" s="380" t="str">
        <f t="shared" si="69"/>
        <v>no acute risk assessment</v>
      </c>
      <c r="AB453" s="64">
        <f>IF(OR(Table5[[#This Row],[Case]]=3,Table5[[#This Row],[Case]]=1),1,IF(Table5[[#This Row],[Variability factor for IESTI ]]&lt;3,Table5[[#This Row],[Variability factor for IESTI ]],3))</f>
        <v>3</v>
      </c>
      <c r="AC453" s="379" t="str">
        <f t="shared" si="70"/>
        <v>ND</v>
      </c>
      <c r="AD453" s="380" t="str">
        <f>IF($C$5="not necessary","no acute RA",IF(AC453="ND","no acute RA",IF(Table5[[#This Row],[IESTI new (mg/kg bw)]]&lt;&gt;"",AC453/$C$5,0)))</f>
        <v>no acute RA</v>
      </c>
      <c r="AE453" s="339" t="str">
        <f t="shared" si="65"/>
        <v/>
      </c>
      <c r="AF453" s="339" t="str">
        <f t="shared" si="66"/>
        <v/>
      </c>
      <c r="AG453" s="381" t="str">
        <f>IF(OR(Z453=0,Z453="ND",Z453="",$C$5="not necessary"),"",IF(X453="2a",1000*$C$5*R453/Table5[[#This Row],[Processing factor]]/(T453*Y453+S453-T453),IF(X453="2b",1000*$C$5*R453/Table5[[#This Row],[Processing factor]]/S453/Y453,IF(OR(X453=1,X453=3),1000*$C$5*R453/Table5[[#This Row],[Processing factor]]/S453,""))))</f>
        <v/>
      </c>
      <c r="AH453" s="495" t="str">
        <f>IF(OR(AC453=0,AC453="ND",$C$5="not necessary"),"",1000*$C$5*R453/Table5[[#This Row],[Processing factor]]/S453/AB453)</f>
        <v/>
      </c>
      <c r="AI453" s="313"/>
      <c r="AJ453" s="382"/>
    </row>
    <row r="454" spans="1:36" s="11" customFormat="1" ht="12" customHeight="1" x14ac:dyDescent="0.2">
      <c r="A454" s="494"/>
      <c r="B454" s="23">
        <v>232030</v>
      </c>
      <c r="C454" s="325" t="s">
        <v>399</v>
      </c>
      <c r="D454" s="373" t="str">
        <f>VLOOKUP(C454,input_values!$C$412:$BG$538,input_values!$BG$410-2,0)</f>
        <v>PROC-232030-3</v>
      </c>
      <c r="E454" s="567">
        <f>VLOOKUP(B454,input_values!$B$412:$M$538,4,FALSE)</f>
        <v>0</v>
      </c>
      <c r="F454" s="451" t="str">
        <f>VLOOKUP($D454,Table6[[Identifyer]:[Acute RA IESTI new input value]],input_values!$Q$410,FALSE)</f>
        <v/>
      </c>
      <c r="G454" s="451" t="str">
        <f>VLOOKUP($D454,Table6[[Identifyer]:[Acute RA IESTI new input value]],input_values!$P$410,FALSE)</f>
        <v/>
      </c>
      <c r="H454" s="451">
        <f>VLOOKUP($D454,Table6[[Identifyer]:[Acute RA IESTI new input value]],input_values!$S$410,FALSE)</f>
        <v>0</v>
      </c>
      <c r="I454" s="451" t="str">
        <f>VLOOKUP($D454,Table6[[Identifyer]:[Acute RA IESTI new input value]],input_values!$R$410,FALSE)</f>
        <v/>
      </c>
      <c r="J454" s="65"/>
      <c r="K454" s="301">
        <f>IF(Table5[[#This Row],[Unit weight RAC (g)]]="",1,IF(Table5[[#This Row],[Unit weight RAC (g)]]&gt;250,5,7))</f>
        <v>5</v>
      </c>
      <c r="L454" s="302" t="str">
        <f>VLOOKUP(D454,input_values!$A$412:$BB$538,input_values!$AA$410,FALSE)</f>
        <v/>
      </c>
      <c r="M454" s="302">
        <f>VLOOKUP(D454,input_values!$A$412:$BB$538,input_values!$Y$410,FALSE)</f>
        <v>1</v>
      </c>
      <c r="N454" s="302" t="str">
        <f>IF(VLOOKUP(D454,input_values!$A$412:$BB$538,input_values!$L$410,FALSE)&lt;&gt;"",VLOOKUP(D454,input_values!$A$412:$BB$538,input_values!$L$410,FALSE),"")</f>
        <v/>
      </c>
      <c r="O454" s="603">
        <v>7.0882352941176476</v>
      </c>
      <c r="P454" s="375" t="s">
        <v>441</v>
      </c>
      <c r="Q454" s="375" t="s">
        <v>329</v>
      </c>
      <c r="R454" s="377">
        <v>10.199999999999999</v>
      </c>
      <c r="S454" s="326">
        <f t="shared" si="67"/>
        <v>72.3</v>
      </c>
      <c r="T454" s="376">
        <v>289</v>
      </c>
      <c r="U454" s="574" t="s">
        <v>215</v>
      </c>
      <c r="V454" s="376">
        <v>335</v>
      </c>
      <c r="W454" s="574" t="s">
        <v>215</v>
      </c>
      <c r="X454" s="378" t="s">
        <v>1892</v>
      </c>
      <c r="Y454" s="64">
        <f>IF(OR(Table5[[#This Row],[Case]]=1,Table5[[#This Row],[Case]]=3),1,IF(N454="",K454,N454))</f>
        <v>5</v>
      </c>
      <c r="Z454" s="379" t="str">
        <f t="shared" si="68"/>
        <v>ND</v>
      </c>
      <c r="AA454" s="380" t="str">
        <f t="shared" si="69"/>
        <v>no acute risk assessment</v>
      </c>
      <c r="AB454" s="64">
        <f>IF(OR(Table5[[#This Row],[Case]]=3,Table5[[#This Row],[Case]]=1),1,IF(Table5[[#This Row],[Variability factor for IESTI ]]&lt;3,Table5[[#This Row],[Variability factor for IESTI ]],3))</f>
        <v>3</v>
      </c>
      <c r="AC454" s="379" t="str">
        <f t="shared" si="70"/>
        <v>ND</v>
      </c>
      <c r="AD454" s="380" t="str">
        <f>IF($C$5="not necessary","no acute RA",IF(AC454="ND","no acute RA",IF(Table5[[#This Row],[IESTI new (mg/kg bw)]]&lt;&gt;"",AC454/$C$5,0)))</f>
        <v>no acute RA</v>
      </c>
      <c r="AE454" s="339" t="str">
        <f t="shared" si="65"/>
        <v/>
      </c>
      <c r="AF454" s="339" t="str">
        <f t="shared" si="66"/>
        <v/>
      </c>
      <c r="AG454" s="381" t="str">
        <f>IF(OR(Z454=0,Z454="ND",Z454="",$C$5="not necessary"),"",IF(X454="2a",1000*$C$5*R454/Table5[[#This Row],[Processing factor]]/(T454*Y454+S454-T454),IF(X454="2b",1000*$C$5*R454/Table5[[#This Row],[Processing factor]]/S454/Y454,IF(OR(X454=1,X454=3),1000*$C$5*R454/Table5[[#This Row],[Processing factor]]/S454,""))))</f>
        <v/>
      </c>
      <c r="AH454" s="495" t="str">
        <f>IF(OR(AC454=0,AC454="ND",$C$5="not necessary"),"",1000*$C$5*R454/Table5[[#This Row],[Processing factor]]/S454/AB454)</f>
        <v/>
      </c>
      <c r="AI454" s="313"/>
      <c r="AJ454" s="382"/>
    </row>
    <row r="455" spans="1:36" s="11" customFormat="1" ht="12" customHeight="1" x14ac:dyDescent="0.2">
      <c r="A455" s="494"/>
      <c r="B455" s="23">
        <v>233020</v>
      </c>
      <c r="C455" s="325" t="s">
        <v>400</v>
      </c>
      <c r="D455" s="373" t="str">
        <f>VLOOKUP(C455,input_values!$C$412:$BG$538,input_values!$BG$410-2,0)</f>
        <v>PROC-233020-3</v>
      </c>
      <c r="E455" s="567">
        <f>VLOOKUP(B455,input_values!$B$412:$M$538,4,FALSE)</f>
        <v>0</v>
      </c>
      <c r="F455" s="451" t="str">
        <f>VLOOKUP($D455,Table6[[Identifyer]:[Acute RA IESTI new input value]],input_values!$Q$410,FALSE)</f>
        <v/>
      </c>
      <c r="G455" s="451" t="str">
        <f>VLOOKUP($D455,Table6[[Identifyer]:[Acute RA IESTI new input value]],input_values!$P$410,FALSE)</f>
        <v/>
      </c>
      <c r="H455" s="451">
        <f>VLOOKUP($D455,Table6[[Identifyer]:[Acute RA IESTI new input value]],input_values!$S$410,FALSE)</f>
        <v>0</v>
      </c>
      <c r="I455" s="451" t="str">
        <f>VLOOKUP($D455,Table6[[Identifyer]:[Acute RA IESTI new input value]],input_values!$R$410,FALSE)</f>
        <v/>
      </c>
      <c r="J455" s="65"/>
      <c r="K455" s="301">
        <f>IF(Table5[[#This Row],[Unit weight RAC (g)]]="",1,IF(Table5[[#This Row],[Unit weight RAC (g)]]&gt;250,5,7))</f>
        <v>5</v>
      </c>
      <c r="L455" s="302" t="str">
        <f>VLOOKUP(D455,input_values!$A$412:$BB$538,input_values!$AA$410,FALSE)</f>
        <v/>
      </c>
      <c r="M455" s="302">
        <f>VLOOKUP(D455,input_values!$A$412:$BB$538,input_values!$Y$410,FALSE)</f>
        <v>1</v>
      </c>
      <c r="N455" s="302" t="str">
        <f>IF(VLOOKUP(D455,input_values!$A$412:$BB$538,input_values!$L$410,FALSE)&lt;&gt;"",VLOOKUP(D455,input_values!$A$412:$BB$538,input_values!$L$410,FALSE),"")</f>
        <v/>
      </c>
      <c r="O455" s="603">
        <v>17.739130434782609</v>
      </c>
      <c r="P455" s="375" t="s">
        <v>444</v>
      </c>
      <c r="Q455" s="375" t="s">
        <v>259</v>
      </c>
      <c r="R455" s="377">
        <v>18.399999999999999</v>
      </c>
      <c r="S455" s="326">
        <f t="shared" si="67"/>
        <v>326.39999999999998</v>
      </c>
      <c r="T455" s="376">
        <v>689.3</v>
      </c>
      <c r="U455" s="574" t="s">
        <v>215</v>
      </c>
      <c r="V455" s="376">
        <v>999</v>
      </c>
      <c r="W455" s="574" t="s">
        <v>215</v>
      </c>
      <c r="X455" s="378" t="s">
        <v>1892</v>
      </c>
      <c r="Y455" s="64">
        <f>IF(OR(Table5[[#This Row],[Case]]=1,Table5[[#This Row],[Case]]=3),1,IF(N455="",K455,N455))</f>
        <v>5</v>
      </c>
      <c r="Z455" s="379" t="str">
        <f t="shared" si="68"/>
        <v>ND</v>
      </c>
      <c r="AA455" s="380" t="str">
        <f t="shared" si="69"/>
        <v>no acute risk assessment</v>
      </c>
      <c r="AB455" s="64">
        <f>IF(OR(Table5[[#This Row],[Case]]=3,Table5[[#This Row],[Case]]=1),1,IF(Table5[[#This Row],[Variability factor for IESTI ]]&lt;3,Table5[[#This Row],[Variability factor for IESTI ]],3))</f>
        <v>3</v>
      </c>
      <c r="AC455" s="379" t="str">
        <f t="shared" si="70"/>
        <v>ND</v>
      </c>
      <c r="AD455" s="380" t="str">
        <f>IF($C$5="not necessary","no acute RA",IF(AC455="ND","no acute RA",IF(Table5[[#This Row],[IESTI new (mg/kg bw)]]&lt;&gt;"",AC455/$C$5,0)))</f>
        <v>no acute RA</v>
      </c>
      <c r="AE455" s="339" t="str">
        <f t="shared" si="65"/>
        <v/>
      </c>
      <c r="AF455" s="339" t="str">
        <f t="shared" si="66"/>
        <v/>
      </c>
      <c r="AG455" s="381" t="str">
        <f>IF(OR(Z455=0,Z455="ND",Z455="",$C$5="not necessary"),"",IF(X455="2a",1000*$C$5*R455/Table5[[#This Row],[Processing factor]]/(T455*Y455+S455-T455),IF(X455="2b",1000*$C$5*R455/Table5[[#This Row],[Processing factor]]/S455/Y455,IF(OR(X455=1,X455=3),1000*$C$5*R455/Table5[[#This Row],[Processing factor]]/S455,""))))</f>
        <v/>
      </c>
      <c r="AH455" s="495" t="str">
        <f>IF(OR(AC455=0,AC455="ND",$C$5="not necessary"),"",1000*$C$5*R455/Table5[[#This Row],[Processing factor]]/S455/AB455)</f>
        <v/>
      </c>
      <c r="AI455" s="313"/>
      <c r="AJ455" s="382"/>
    </row>
    <row r="456" spans="1:36" s="11" customFormat="1" ht="12" customHeight="1" x14ac:dyDescent="0.2">
      <c r="A456" s="494"/>
      <c r="B456" s="23">
        <v>241010</v>
      </c>
      <c r="C456" s="325" t="s">
        <v>436</v>
      </c>
      <c r="D456" s="373" t="str">
        <f>VLOOKUP(C456,input_values!$C$412:$BG$538,input_values!$BG$410-2,0)</f>
        <v>PROC-241010-3</v>
      </c>
      <c r="E456" s="567">
        <f>VLOOKUP(B456,input_values!$B$412:$M$538,4,FALSE)</f>
        <v>0</v>
      </c>
      <c r="F456" s="451" t="str">
        <f>VLOOKUP($D456,Table6[[Identifyer]:[Acute RA IESTI new input value]],input_values!$Q$410,FALSE)</f>
        <v/>
      </c>
      <c r="G456" s="451" t="str">
        <f>VLOOKUP($D456,Table6[[Identifyer]:[Acute RA IESTI new input value]],input_values!$P$410,FALSE)</f>
        <v/>
      </c>
      <c r="H456" s="451">
        <f>VLOOKUP($D456,Table6[[Identifyer]:[Acute RA IESTI new input value]],input_values!$S$410,FALSE)</f>
        <v>0</v>
      </c>
      <c r="I456" s="451" t="str">
        <f>VLOOKUP($D456,Table6[[Identifyer]:[Acute RA IESTI new input value]],input_values!$R$410,FALSE)</f>
        <v/>
      </c>
      <c r="J456" s="65"/>
      <c r="K456" s="301">
        <f>IF(Table5[[#This Row],[Unit weight RAC (g)]]="",1,IF(Table5[[#This Row],[Unit weight RAC (g)]]&gt;250,5,7))</f>
        <v>5</v>
      </c>
      <c r="L456" s="302" t="str">
        <f>VLOOKUP(D456,input_values!$A$412:$BB$538,input_values!$AA$410,FALSE)</f>
        <v/>
      </c>
      <c r="M456" s="302">
        <f>VLOOKUP(D456,input_values!$A$412:$BB$538,input_values!$Y$410,FALSE)</f>
        <v>1</v>
      </c>
      <c r="N456" s="302" t="str">
        <f>IF(VLOOKUP(D456,input_values!$A$412:$BB$538,input_values!$L$410,FALSE)&lt;&gt;"",VLOOKUP(D456,input_values!$A$412:$BB$538,input_values!$L$410,FALSE),"")</f>
        <v/>
      </c>
      <c r="O456" s="603">
        <v>15.754901960784313</v>
      </c>
      <c r="P456" s="375" t="s">
        <v>20</v>
      </c>
      <c r="Q456" s="375" t="s">
        <v>329</v>
      </c>
      <c r="R456" s="377">
        <v>10.199999999999999</v>
      </c>
      <c r="S456" s="326">
        <f t="shared" si="67"/>
        <v>160.69999999999999</v>
      </c>
      <c r="T456" s="376">
        <v>286</v>
      </c>
      <c r="U456" s="574" t="s">
        <v>215</v>
      </c>
      <c r="V456" s="376">
        <v>320</v>
      </c>
      <c r="W456" s="574" t="s">
        <v>215</v>
      </c>
      <c r="X456" s="378" t="s">
        <v>1892</v>
      </c>
      <c r="Y456" s="64">
        <f>IF(OR(Table5[[#This Row],[Case]]=1,Table5[[#This Row],[Case]]=3),1,IF(N456="",K456,N456))</f>
        <v>5</v>
      </c>
      <c r="Z456" s="379" t="str">
        <f t="shared" si="68"/>
        <v>ND</v>
      </c>
      <c r="AA456" s="380" t="str">
        <f t="shared" si="69"/>
        <v>no acute risk assessment</v>
      </c>
      <c r="AB456" s="64">
        <f>IF(OR(Table5[[#This Row],[Case]]=3,Table5[[#This Row],[Case]]=1),1,IF(Table5[[#This Row],[Variability factor for IESTI ]]&lt;3,Table5[[#This Row],[Variability factor for IESTI ]],3))</f>
        <v>3</v>
      </c>
      <c r="AC456" s="379" t="str">
        <f t="shared" si="70"/>
        <v>ND</v>
      </c>
      <c r="AD456" s="380" t="str">
        <f>IF($C$5="not necessary","no acute RA",IF(AC456="ND","no acute RA",IF(Table5[[#This Row],[IESTI new (mg/kg bw)]]&lt;&gt;"",AC456/$C$5,0)))</f>
        <v>no acute RA</v>
      </c>
      <c r="AE456" s="339" t="str">
        <f t="shared" si="65"/>
        <v/>
      </c>
      <c r="AF456" s="339" t="str">
        <f t="shared" si="66"/>
        <v/>
      </c>
      <c r="AG456" s="381" t="str">
        <f>IF(OR(Z456=0,Z456="ND",Z456="",$C$5="not necessary"),"",IF(X456="2a",1000*$C$5*R456/Table5[[#This Row],[Processing factor]]/(T456*Y456+S456-T456),IF(X456="2b",1000*$C$5*R456/Table5[[#This Row],[Processing factor]]/S456/Y456,IF(OR(X456=1,X456=3),1000*$C$5*R456/Table5[[#This Row],[Processing factor]]/S456,""))))</f>
        <v/>
      </c>
      <c r="AH456" s="495" t="str">
        <f>IF(OR(AC456=0,AC456="ND",$C$5="not necessary"),"",1000*$C$5*R456/Table5[[#This Row],[Processing factor]]/S456/AB456)</f>
        <v/>
      </c>
      <c r="AI456" s="313"/>
      <c r="AJ456" s="382"/>
    </row>
    <row r="457" spans="1:36" s="11" customFormat="1" ht="12" customHeight="1" x14ac:dyDescent="0.2">
      <c r="A457" s="494"/>
      <c r="B457" s="23">
        <v>241020</v>
      </c>
      <c r="C457" s="325" t="s">
        <v>828</v>
      </c>
      <c r="D457" s="373" t="str">
        <f>VLOOKUP(C457,input_values!$C$412:$BG$538,input_values!$BG$410-2,0)</f>
        <v>PROC-241020-3</v>
      </c>
      <c r="E457" s="567">
        <f>VLOOKUP(B457,input_values!$B$412:$M$538,4,FALSE)</f>
        <v>0</v>
      </c>
      <c r="F457" s="451" t="str">
        <f>VLOOKUP($D457,Table6[[Identifyer]:[Acute RA IESTI new input value]],input_values!$Q$410,FALSE)</f>
        <v/>
      </c>
      <c r="G457" s="451" t="str">
        <f>VLOOKUP($D457,Table6[[Identifyer]:[Acute RA IESTI new input value]],input_values!$P$410,FALSE)</f>
        <v/>
      </c>
      <c r="H457" s="451">
        <f>VLOOKUP($D457,Table6[[Identifyer]:[Acute RA IESTI new input value]],input_values!$S$410,FALSE)</f>
        <v>0</v>
      </c>
      <c r="I457" s="451" t="str">
        <f>VLOOKUP($D457,Table6[[Identifyer]:[Acute RA IESTI new input value]],input_values!$R$410,FALSE)</f>
        <v/>
      </c>
      <c r="J457" s="65"/>
      <c r="K457" s="301">
        <f>IF(Table5[[#This Row],[Unit weight RAC (g)]]="",1,IF(Table5[[#This Row],[Unit weight RAC (g)]]&gt;250,5,7))</f>
        <v>5</v>
      </c>
      <c r="L457" s="302" t="str">
        <f>VLOOKUP(D457,input_values!$A$412:$BB$538,input_values!$AA$410,FALSE)</f>
        <v/>
      </c>
      <c r="M457" s="302">
        <f>VLOOKUP(D457,input_values!$A$412:$BB$538,input_values!$Y$410,FALSE)</f>
        <v>1</v>
      </c>
      <c r="N457" s="302" t="str">
        <f>IF(VLOOKUP(D457,input_values!$A$412:$BB$538,input_values!$L$410,FALSE)&lt;&gt;"",VLOOKUP(D457,input_values!$A$412:$BB$538,input_values!$L$410,FALSE),"")</f>
        <v/>
      </c>
      <c r="O457" s="603">
        <v>13.921568627450981</v>
      </c>
      <c r="P457" s="375" t="s">
        <v>20</v>
      </c>
      <c r="Q457" s="375" t="s">
        <v>329</v>
      </c>
      <c r="R457" s="377">
        <v>10.199999999999999</v>
      </c>
      <c r="S457" s="326">
        <f t="shared" si="67"/>
        <v>142</v>
      </c>
      <c r="T457" s="376">
        <v>749</v>
      </c>
      <c r="U457" s="574" t="s">
        <v>215</v>
      </c>
      <c r="V457" s="376">
        <v>797</v>
      </c>
      <c r="W457" s="574" t="s">
        <v>215</v>
      </c>
      <c r="X457" s="378" t="s">
        <v>1892</v>
      </c>
      <c r="Y457" s="64">
        <f>IF(OR(Table5[[#This Row],[Case]]=1,Table5[[#This Row],[Case]]=3),1,IF(N457="",K457,N457))</f>
        <v>5</v>
      </c>
      <c r="Z457" s="379" t="str">
        <f t="shared" si="68"/>
        <v>ND</v>
      </c>
      <c r="AA457" s="380" t="str">
        <f t="shared" si="69"/>
        <v>no acute risk assessment</v>
      </c>
      <c r="AB457" s="64">
        <f>IF(OR(Table5[[#This Row],[Case]]=3,Table5[[#This Row],[Case]]=1),1,IF(Table5[[#This Row],[Variability factor for IESTI ]]&lt;3,Table5[[#This Row],[Variability factor for IESTI ]],3))</f>
        <v>3</v>
      </c>
      <c r="AC457" s="379" t="str">
        <f t="shared" si="70"/>
        <v>ND</v>
      </c>
      <c r="AD457" s="380" t="str">
        <f>IF($C$5="not necessary","no acute RA",IF(AC457="ND","no acute RA",IF(Table5[[#This Row],[IESTI new (mg/kg bw)]]&lt;&gt;"",AC457/$C$5,0)))</f>
        <v>no acute RA</v>
      </c>
      <c r="AE457" s="339" t="str">
        <f t="shared" si="65"/>
        <v/>
      </c>
      <c r="AF457" s="339" t="str">
        <f t="shared" si="66"/>
        <v/>
      </c>
      <c r="AG457" s="381" t="str">
        <f>IF(OR(Z457=0,Z457="ND",Z457="",$C$5="not necessary"),"",IF(X457="2a",1000*$C$5*R457/Table5[[#This Row],[Processing factor]]/(T457*Y457+S457-T457),IF(X457="2b",1000*$C$5*R457/Table5[[#This Row],[Processing factor]]/S457/Y457,IF(OR(X457=1,X457=3),1000*$C$5*R457/Table5[[#This Row],[Processing factor]]/S457,""))))</f>
        <v/>
      </c>
      <c r="AH457" s="495" t="str">
        <f>IF(OR(AC457=0,AC457="ND",$C$5="not necessary"),"",1000*$C$5*R457/Table5[[#This Row],[Processing factor]]/S457/AB457)</f>
        <v/>
      </c>
      <c r="AI457" s="313"/>
      <c r="AJ457" s="382"/>
    </row>
    <row r="458" spans="1:36" s="11" customFormat="1" ht="12" customHeight="1" x14ac:dyDescent="0.2">
      <c r="A458" s="494"/>
      <c r="B458" s="23">
        <v>242010</v>
      </c>
      <c r="C458" s="325" t="s">
        <v>401</v>
      </c>
      <c r="D458" s="373" t="str">
        <f>VLOOKUP(C458,input_values!$C$412:$BG$538,input_values!$BG$410-2,0)</f>
        <v>PROC-242010-3</v>
      </c>
      <c r="E458" s="567">
        <f>VLOOKUP(B458,input_values!$B$412:$M$538,4,FALSE)</f>
        <v>0</v>
      </c>
      <c r="F458" s="451" t="str">
        <f>VLOOKUP($D458,Table6[[Identifyer]:[Acute RA IESTI new input value]],input_values!$Q$410,FALSE)</f>
        <v/>
      </c>
      <c r="G458" s="451" t="str">
        <f>VLOOKUP($D458,Table6[[Identifyer]:[Acute RA IESTI new input value]],input_values!$P$410,FALSE)</f>
        <v/>
      </c>
      <c r="H458" s="451">
        <f>VLOOKUP($D458,Table6[[Identifyer]:[Acute RA IESTI new input value]],input_values!$S$410,FALSE)</f>
        <v>0</v>
      </c>
      <c r="I458" s="451" t="str">
        <f>VLOOKUP($D458,Table6[[Identifyer]:[Acute RA IESTI new input value]],input_values!$R$410,FALSE)</f>
        <v/>
      </c>
      <c r="J458" s="65"/>
      <c r="K458" s="301">
        <f>IF(Table5[[#This Row],[Unit weight RAC (g)]]="",1,IF(Table5[[#This Row],[Unit weight RAC (g)]]&gt;250,5,7))</f>
        <v>5</v>
      </c>
      <c r="L458" s="302" t="str">
        <f>VLOOKUP(D458,input_values!$A$412:$BB$538,input_values!$AA$410,FALSE)</f>
        <v/>
      </c>
      <c r="M458" s="302">
        <f>VLOOKUP(D458,input_values!$A$412:$BB$538,input_values!$Y$410,FALSE)</f>
        <v>1</v>
      </c>
      <c r="N458" s="374" t="str">
        <f>IF(VLOOKUP(D458,input_values!$A$412:$BB$538,input_values!$L$410,FALSE)&lt;&gt;"",VLOOKUP(D458,input_values!$A$412:$BB$538,input_values!$L$410,FALSE),"")</f>
        <v/>
      </c>
      <c r="O458" s="603">
        <v>10.176470588235295</v>
      </c>
      <c r="P458" s="375" t="s">
        <v>441</v>
      </c>
      <c r="Q458" s="375" t="s">
        <v>329</v>
      </c>
      <c r="R458" s="377">
        <v>10.199999999999999</v>
      </c>
      <c r="S458" s="326">
        <f t="shared" si="67"/>
        <v>103.80000000000001</v>
      </c>
      <c r="T458" s="383" t="s">
        <v>617</v>
      </c>
      <c r="U458" s="574" t="s">
        <v>215</v>
      </c>
      <c r="V458" s="1170" t="s">
        <v>617</v>
      </c>
      <c r="W458" s="574" t="s">
        <v>215</v>
      </c>
      <c r="X458" s="378">
        <v>1</v>
      </c>
      <c r="Y458" s="64">
        <f>IF(OR(Table5[[#This Row],[Case]]=1,Table5[[#This Row],[Case]]=3),1,IF(N458="",K458,N458))</f>
        <v>1</v>
      </c>
      <c r="Z458" s="379" t="str">
        <f t="shared" si="68"/>
        <v>ND</v>
      </c>
      <c r="AA458" s="380" t="str">
        <f t="shared" si="69"/>
        <v>no acute risk assessment</v>
      </c>
      <c r="AB458" s="64">
        <f>IF(OR(Table5[[#This Row],[Case]]=3,Table5[[#This Row],[Case]]=1),1,IF(Table5[[#This Row],[Variability factor for IESTI ]]&lt;3,Table5[[#This Row],[Variability factor for IESTI ]],3))</f>
        <v>1</v>
      </c>
      <c r="AC458" s="379" t="str">
        <f t="shared" si="70"/>
        <v>ND</v>
      </c>
      <c r="AD458" s="380" t="str">
        <f>IF($C$5="not necessary","no acute RA",IF(AC458="ND","no acute RA",IF(Table5[[#This Row],[IESTI new (mg/kg bw)]]&lt;&gt;"",AC458/$C$5,0)))</f>
        <v>no acute RA</v>
      </c>
      <c r="AE458" s="339" t="str">
        <f t="shared" si="65"/>
        <v/>
      </c>
      <c r="AF458" s="339" t="str">
        <f t="shared" si="66"/>
        <v/>
      </c>
      <c r="AG458" s="381" t="str">
        <f>IF(OR(Z458=0,Z458="ND",Z458="",$C$5="not necessary"),"",IF(X458="2a",1000*$C$5*R458/Table5[[#This Row],[Processing factor]]/(T458*Y458+S458-T458),IF(X458="2b",1000*$C$5*R458/Table5[[#This Row],[Processing factor]]/S458/Y458,IF(OR(X458=1,X458=3),1000*$C$5*R458/Table5[[#This Row],[Processing factor]]/S458,""))))</f>
        <v/>
      </c>
      <c r="AH458" s="495" t="str">
        <f>IF(OR(AC458=0,AC458="ND",$C$5="not necessary"),"",1000*$C$5*R458/Table5[[#This Row],[Processing factor]]/S458/AB458)</f>
        <v/>
      </c>
      <c r="AI458" s="313"/>
      <c r="AJ458" s="382"/>
    </row>
    <row r="459" spans="1:36" s="11" customFormat="1" ht="12" customHeight="1" x14ac:dyDescent="0.2">
      <c r="A459" s="494"/>
      <c r="B459" s="23">
        <v>242020</v>
      </c>
      <c r="C459" s="325" t="s">
        <v>830</v>
      </c>
      <c r="D459" s="373" t="str">
        <f>VLOOKUP(C459,input_values!$C$412:$BG$538,input_values!$BG$410-2,0)</f>
        <v>PROC-242020-5</v>
      </c>
      <c r="E459" s="567">
        <f>VLOOKUP(B459,input_values!$B$412:$M$538,4,FALSE)</f>
        <v>0</v>
      </c>
      <c r="F459" s="451" t="str">
        <f>VLOOKUP($D459,Table6[[Identifyer]:[Acute RA IESTI new input value]],input_values!$Q$410,FALSE)</f>
        <v/>
      </c>
      <c r="G459" s="451" t="str">
        <f>VLOOKUP($D459,Table6[[Identifyer]:[Acute RA IESTI new input value]],input_values!$P$410,FALSE)</f>
        <v/>
      </c>
      <c r="H459" s="451">
        <f>VLOOKUP($D459,Table6[[Identifyer]:[Acute RA IESTI new input value]],input_values!$S$410,FALSE)</f>
        <v>0</v>
      </c>
      <c r="I459" s="451" t="str">
        <f>VLOOKUP($D459,Table6[[Identifyer]:[Acute RA IESTI new input value]],input_values!$R$410,FALSE)</f>
        <v/>
      </c>
      <c r="J459" s="65"/>
      <c r="K459" s="301">
        <f>IF(Table5[[#This Row],[Unit weight RAC (g)]]="",1,IF(Table5[[#This Row],[Unit weight RAC (g)]]&gt;250,5,7))</f>
        <v>1</v>
      </c>
      <c r="L459" s="302" t="str">
        <f>VLOOKUP(D459,input_values!$A$412:$BB$538,input_values!$AA$410,FALSE)</f>
        <v/>
      </c>
      <c r="M459" s="302">
        <f>VLOOKUP(D459,input_values!$A$412:$BB$538,input_values!$Y$410,FALSE)</f>
        <v>1</v>
      </c>
      <c r="N459" s="302" t="str">
        <f>IF(VLOOKUP(D459,input_values!$A$412:$BB$538,input_values!$L$410,FALSE)&lt;&gt;"",VLOOKUP(D459,input_values!$A$412:$BB$538,input_values!$L$410,FALSE),"")</f>
        <v/>
      </c>
      <c r="O459" s="603">
        <v>5.8280000000000003</v>
      </c>
      <c r="P459" s="375">
        <v>95</v>
      </c>
      <c r="Q459" s="375" t="s">
        <v>259</v>
      </c>
      <c r="R459" s="377">
        <v>18.399999999999999</v>
      </c>
      <c r="S459" s="326">
        <f>O459*R459</f>
        <v>107.23519999999999</v>
      </c>
      <c r="T459" s="376"/>
      <c r="U459" s="574"/>
      <c r="V459" s="376"/>
      <c r="W459" s="574"/>
      <c r="X459" s="378">
        <v>3</v>
      </c>
      <c r="Y459" s="64">
        <f>IF(OR(Table5[[#This Row],[Case]]=1,Table5[[#This Row],[Case]]=3),1,IF(N459="",K459,N459))</f>
        <v>1</v>
      </c>
      <c r="Z459" s="379" t="str">
        <f t="shared" si="68"/>
        <v>ND</v>
      </c>
      <c r="AA459" s="380" t="str">
        <f t="shared" si="69"/>
        <v>no acute risk assessment</v>
      </c>
      <c r="AB459" s="64">
        <f>IF(OR(Table5[[#This Row],[Case]]=3,Table5[[#This Row],[Case]]=1),1,IF(Table5[[#This Row],[Variability factor for IESTI ]]&lt;3,Table5[[#This Row],[Variability factor for IESTI ]],3))</f>
        <v>1</v>
      </c>
      <c r="AC459" s="379" t="str">
        <f t="shared" si="70"/>
        <v>ND</v>
      </c>
      <c r="AD459" s="380" t="str">
        <f>IF($C$5="not necessary","no acute RA",IF(AC459="ND","no acute RA",IF(Table5[[#This Row],[IESTI new (mg/kg bw)]]&lt;&gt;"",AC459/$C$5,0)))</f>
        <v>no acute RA</v>
      </c>
      <c r="AE459" s="339" t="str">
        <f>IF(AA459&gt;=1,AG459,"")</f>
        <v/>
      </c>
      <c r="AF459" s="339" t="str">
        <f>IF(AD459&gt;=1,AH459,"")</f>
        <v/>
      </c>
      <c r="AG459" s="381" t="str">
        <f>IF(OR(Z459=0,Z459="ND",Z459="",$C$5="not necessary"),"",IF(X459="2a",1000*$C$5*R459/Table5[[#This Row],[Processing factor]]/(T459*Y459+S459-T459),IF(X459="2b",1000*$C$5*R459/Table5[[#This Row],[Processing factor]]/S459/Y459,IF(OR(X459=1,X459=3),1000*$C$5*R459/Table5[[#This Row],[Processing factor]]/S459,""))))</f>
        <v/>
      </c>
      <c r="AH459" s="495" t="str">
        <f>IF(OR(AC459=0,AC459="ND",$C$5="not necessary"),"",1000*$C$5*R459/Table5[[#This Row],[Processing factor]]/S459/AB459)</f>
        <v/>
      </c>
      <c r="AI459" s="313"/>
      <c r="AJ459" s="382"/>
    </row>
    <row r="460" spans="1:36" s="11" customFormat="1" ht="12" customHeight="1" x14ac:dyDescent="0.2">
      <c r="A460" s="494"/>
      <c r="B460" s="23">
        <v>243020</v>
      </c>
      <c r="C460" s="325" t="s">
        <v>1147</v>
      </c>
      <c r="D460" s="373" t="str">
        <f>VLOOKUP(C460,input_values!$C$412:$BG$538,input_values!$BG$410-2,0)</f>
        <v>PROC-243020-98</v>
      </c>
      <c r="E460" s="567">
        <f>VLOOKUP(B460,input_values!$B$412:$M$538,4,FALSE)</f>
        <v>0</v>
      </c>
      <c r="F460" s="451" t="str">
        <f>VLOOKUP($D460,Table6[[Identifyer]:[Acute RA IESTI new input value]],input_values!$Q$410,FALSE)</f>
        <v/>
      </c>
      <c r="G460" s="451" t="str">
        <f>VLOOKUP($D460,Table6[[Identifyer]:[Acute RA IESTI new input value]],input_values!$P$410,FALSE)</f>
        <v/>
      </c>
      <c r="H460" s="451">
        <f>VLOOKUP($D460,Table6[[Identifyer]:[Acute RA IESTI new input value]],input_values!$S$410,FALSE)</f>
        <v>0</v>
      </c>
      <c r="I460" s="451" t="str">
        <f>VLOOKUP($D460,Table6[[Identifyer]:[Acute RA IESTI new input value]],input_values!$R$410,FALSE)</f>
        <v/>
      </c>
      <c r="J460" s="65"/>
      <c r="K460" s="301">
        <f>IF(Table5[[#This Row],[Unit weight RAC (g)]]="",1,IF(Table5[[#This Row],[Unit weight RAC (g)]]&gt;250,5,7))</f>
        <v>5</v>
      </c>
      <c r="L460" s="302" t="str">
        <f>VLOOKUP(D460,input_values!$A$412:$BB$538,input_values!$AA$410,FALSE)</f>
        <v/>
      </c>
      <c r="M460" s="302">
        <f>VLOOKUP(D460,input_values!$A$412:$BB$538,input_values!$Y$410,FALSE)</f>
        <v>1</v>
      </c>
      <c r="N460" s="302" t="str">
        <f>IF(VLOOKUP(D460,input_values!$A$412:$BB$538,input_values!$L$410,FALSE)&lt;&gt;"",VLOOKUP(D460,input_values!$A$412:$BB$538,input_values!$L$410,FALSE),"")</f>
        <v/>
      </c>
      <c r="O460" s="603">
        <v>5.5163043478260878</v>
      </c>
      <c r="P460" s="375" t="s">
        <v>444</v>
      </c>
      <c r="Q460" s="375" t="s">
        <v>259</v>
      </c>
      <c r="R460" s="377">
        <v>18.399999999999999</v>
      </c>
      <c r="S460" s="326">
        <f t="shared" si="67"/>
        <v>101.50000000000001</v>
      </c>
      <c r="T460" s="376">
        <v>538</v>
      </c>
      <c r="U460" s="574" t="s">
        <v>215</v>
      </c>
      <c r="V460" s="376">
        <v>1200</v>
      </c>
      <c r="W460" s="574" t="s">
        <v>215</v>
      </c>
      <c r="X460" s="378" t="s">
        <v>1892</v>
      </c>
      <c r="Y460" s="64">
        <f>IF(OR(Table5[[#This Row],[Case]]=1,Table5[[#This Row],[Case]]=3),1,IF(N460="",K460,N460))</f>
        <v>5</v>
      </c>
      <c r="Z460" s="379" t="str">
        <f t="shared" si="68"/>
        <v>ND</v>
      </c>
      <c r="AA460" s="380" t="str">
        <f t="shared" si="69"/>
        <v>no acute risk assessment</v>
      </c>
      <c r="AB460" s="64">
        <f>IF(OR(Table5[[#This Row],[Case]]=3,Table5[[#This Row],[Case]]=1),1,IF(Table5[[#This Row],[Variability factor for IESTI ]]&lt;3,Table5[[#This Row],[Variability factor for IESTI ]],3))</f>
        <v>3</v>
      </c>
      <c r="AC460" s="379" t="str">
        <f t="shared" si="70"/>
        <v>ND</v>
      </c>
      <c r="AD460" s="380" t="str">
        <f>IF($C$5="not necessary","no acute RA",IF(AC460="ND","no acute RA",IF(Table5[[#This Row],[IESTI new (mg/kg bw)]]&lt;&gt;"",AC460/$C$5,0)))</f>
        <v>no acute RA</v>
      </c>
      <c r="AE460" s="339" t="str">
        <f t="shared" si="65"/>
        <v/>
      </c>
      <c r="AF460" s="339" t="str">
        <f t="shared" si="66"/>
        <v/>
      </c>
      <c r="AG460" s="381" t="str">
        <f>IF(OR(Z460=0,Z460="ND",Z460="",$C$5="not necessary"),"",IF(X460="2a",1000*$C$5*R460/Table5[[#This Row],[Processing factor]]/(T460*Y460+S460-T460),IF(X460="2b",1000*$C$5*R460/Table5[[#This Row],[Processing factor]]/S460/Y460,IF(OR(X460=1,X460=3),1000*$C$5*R460/Table5[[#This Row],[Processing factor]]/S460,""))))</f>
        <v/>
      </c>
      <c r="AH460" s="495" t="str">
        <f>IF(OR(AC460=0,AC460="ND",$C$5="not necessary"),"",1000*$C$5*R460/Table5[[#This Row],[Processing factor]]/S460/AB460)</f>
        <v/>
      </c>
      <c r="AI460" s="313"/>
      <c r="AJ460" s="382"/>
    </row>
    <row r="461" spans="1:36" s="11" customFormat="1" ht="12" customHeight="1" x14ac:dyDescent="0.2">
      <c r="A461" s="494"/>
      <c r="B461" s="23">
        <v>251030</v>
      </c>
      <c r="C461" s="325" t="s">
        <v>850</v>
      </c>
      <c r="D461" s="373" t="str">
        <f>VLOOKUP(C461,input_values!$C$412:$BG$538,input_values!$BG$410-2,0)</f>
        <v>PROC-251030-3</v>
      </c>
      <c r="E461" s="567">
        <f>VLOOKUP(B461,input_values!$B$412:$M$538,4,FALSE)</f>
        <v>0</v>
      </c>
      <c r="F461" s="451" t="str">
        <f>VLOOKUP($D461,Table6[[Identifyer]:[Acute RA IESTI new input value]],input_values!$Q$410,FALSE)</f>
        <v/>
      </c>
      <c r="G461" s="451" t="str">
        <f>VLOOKUP($D461,Table6[[Identifyer]:[Acute RA IESTI new input value]],input_values!$P$410,FALSE)</f>
        <v/>
      </c>
      <c r="H461" s="451">
        <f>VLOOKUP($D461,Table6[[Identifyer]:[Acute RA IESTI new input value]],input_values!$S$410,FALSE)</f>
        <v>0</v>
      </c>
      <c r="I461" s="451" t="str">
        <f>VLOOKUP($D461,Table6[[Identifyer]:[Acute RA IESTI new input value]],input_values!$R$410,FALSE)</f>
        <v/>
      </c>
      <c r="J461" s="65"/>
      <c r="K461" s="301">
        <f>IF(Table5[[#This Row],[Unit weight RAC (g)]]="",1,IF(Table5[[#This Row],[Unit weight RAC (g)]]&gt;250,5,7))</f>
        <v>5</v>
      </c>
      <c r="L461" s="302" t="str">
        <f>VLOOKUP(D461,input_values!$A$412:$BB$538,input_values!$AA$410,FALSE)</f>
        <v/>
      </c>
      <c r="M461" s="302">
        <f>VLOOKUP(D461,input_values!$A$412:$BB$538,input_values!$Y$410,FALSE)</f>
        <v>1</v>
      </c>
      <c r="N461" s="302" t="str">
        <f>IF(VLOOKUP(D461,input_values!$A$412:$BB$538,input_values!$L$410,FALSE)&lt;&gt;"",VLOOKUP(D461,input_values!$A$412:$BB$538,input_values!$L$410,FALSE),"")</f>
        <v/>
      </c>
      <c r="O461" s="603">
        <v>13.254901960784313</v>
      </c>
      <c r="P461" s="375" t="s">
        <v>447</v>
      </c>
      <c r="Q461" s="375" t="s">
        <v>329</v>
      </c>
      <c r="R461" s="377">
        <v>10.199999999999999</v>
      </c>
      <c r="S461" s="326">
        <f t="shared" si="67"/>
        <v>135.19999999999999</v>
      </c>
      <c r="T461" s="376">
        <v>251</v>
      </c>
      <c r="U461" s="574" t="s">
        <v>215</v>
      </c>
      <c r="V461" s="376">
        <v>431</v>
      </c>
      <c r="W461" s="574" t="s">
        <v>215</v>
      </c>
      <c r="X461" s="378" t="s">
        <v>1892</v>
      </c>
      <c r="Y461" s="64">
        <f>IF(OR(Table5[[#This Row],[Case]]=1,Table5[[#This Row],[Case]]=3),1,IF(N461="",K461,N461))</f>
        <v>5</v>
      </c>
      <c r="Z461" s="379" t="str">
        <f t="shared" si="68"/>
        <v>ND</v>
      </c>
      <c r="AA461" s="380" t="str">
        <f t="shared" si="69"/>
        <v>no acute risk assessment</v>
      </c>
      <c r="AB461" s="64">
        <f>IF(OR(Table5[[#This Row],[Case]]=3,Table5[[#This Row],[Case]]=1),1,IF(Table5[[#This Row],[Variability factor for IESTI ]]&lt;3,Table5[[#This Row],[Variability factor for IESTI ]],3))</f>
        <v>3</v>
      </c>
      <c r="AC461" s="379" t="str">
        <f t="shared" si="70"/>
        <v>ND</v>
      </c>
      <c r="AD461" s="380" t="str">
        <f>IF($C$5="not necessary","no acute RA",IF(AC461="ND","no acute RA",IF(Table5[[#This Row],[IESTI new (mg/kg bw)]]&lt;&gt;"",AC461/$C$5,0)))</f>
        <v>no acute RA</v>
      </c>
      <c r="AE461" s="339" t="str">
        <f t="shared" si="65"/>
        <v/>
      </c>
      <c r="AF461" s="339" t="str">
        <f t="shared" si="66"/>
        <v/>
      </c>
      <c r="AG461" s="381" t="str">
        <f>IF(OR(Z461=0,Z461="ND",Z461="",$C$5="not necessary"),"",IF(X461="2a",1000*$C$5*R461/Table5[[#This Row],[Processing factor]]/(T461*Y461+S461-T461),IF(X461="2b",1000*$C$5*R461/Table5[[#This Row],[Processing factor]]/S461/Y461,IF(OR(X461=1,X461=3),1000*$C$5*R461/Table5[[#This Row],[Processing factor]]/S461,""))))</f>
        <v/>
      </c>
      <c r="AH461" s="495" t="str">
        <f>IF(OR(AC461=0,AC461="ND",$C$5="not necessary"),"",1000*$C$5*R461/Table5[[#This Row],[Processing factor]]/S461/AB461)</f>
        <v/>
      </c>
      <c r="AI461" s="313"/>
      <c r="AJ461" s="382"/>
    </row>
    <row r="462" spans="1:36" s="11" customFormat="1" ht="12" customHeight="1" x14ac:dyDescent="0.2">
      <c r="A462" s="494"/>
      <c r="B462" s="23">
        <v>252010</v>
      </c>
      <c r="C462" s="325" t="s">
        <v>1145</v>
      </c>
      <c r="D462" s="373" t="str">
        <f>VLOOKUP(C462,input_values!$C$412:$BG$538,input_values!$BG$410-2,0)</f>
        <v>PROC-252010-3</v>
      </c>
      <c r="E462" s="567">
        <f>VLOOKUP(B462,input_values!$B$412:$M$538,4,FALSE)</f>
        <v>0</v>
      </c>
      <c r="F462" s="451" t="str">
        <f>VLOOKUP($D462,Table6[[Identifyer]:[Acute RA IESTI new input value]],input_values!$Q$410,FALSE)</f>
        <v/>
      </c>
      <c r="G462" s="451" t="str">
        <f>VLOOKUP($D462,Table6[[Identifyer]:[Acute RA IESTI new input value]],input_values!$P$410,FALSE)</f>
        <v/>
      </c>
      <c r="H462" s="451">
        <f>VLOOKUP($D462,Table6[[Identifyer]:[Acute RA IESTI new input value]],input_values!$S$410,FALSE)</f>
        <v>0</v>
      </c>
      <c r="I462" s="451" t="str">
        <f>VLOOKUP($D462,Table6[[Identifyer]:[Acute RA IESTI new input value]],input_values!$R$410,FALSE)</f>
        <v/>
      </c>
      <c r="J462" s="65"/>
      <c r="K462" s="301">
        <f>IF(Table5[[#This Row],[Unit weight RAC (g)]]="",1,IF(Table5[[#This Row],[Unit weight RAC (g)]]&gt;250,5,7))</f>
        <v>5</v>
      </c>
      <c r="L462" s="302" t="str">
        <f>VLOOKUP(D462,input_values!$A$412:$BB$538,input_values!$AA$410,FALSE)</f>
        <v/>
      </c>
      <c r="M462" s="302">
        <f>VLOOKUP(D462,input_values!$A$412:$BB$538,input_values!$Y$410,FALSE)</f>
        <v>1</v>
      </c>
      <c r="N462" s="374" t="str">
        <f>IF(VLOOKUP(D462,input_values!$A$412:$BB$538,input_values!$L$410,FALSE)&lt;&gt;"",VLOOKUP(D462,input_values!$A$412:$BB$538,input_values!$L$410,FALSE),"")</f>
        <v/>
      </c>
      <c r="O462" s="603">
        <v>13.91</v>
      </c>
      <c r="P462" s="375" t="s">
        <v>20</v>
      </c>
      <c r="Q462" s="375" t="s">
        <v>329</v>
      </c>
      <c r="R462" s="377">
        <v>10.199999999999999</v>
      </c>
      <c r="S462" s="326">
        <f t="shared" si="67"/>
        <v>141.88200000000001</v>
      </c>
      <c r="T462" s="383" t="s">
        <v>617</v>
      </c>
      <c r="U462" s="574" t="s">
        <v>215</v>
      </c>
      <c r="V462" s="1170" t="s">
        <v>617</v>
      </c>
      <c r="W462" s="574" t="s">
        <v>215</v>
      </c>
      <c r="X462" s="378">
        <v>1</v>
      </c>
      <c r="Y462" s="64">
        <f>IF(OR(Table5[[#This Row],[Case]]=1,Table5[[#This Row],[Case]]=3),1,IF(N462="",K462,N462))</f>
        <v>1</v>
      </c>
      <c r="Z462" s="379" t="str">
        <f t="shared" si="68"/>
        <v>ND</v>
      </c>
      <c r="AA462" s="380" t="str">
        <f t="shared" si="69"/>
        <v>no acute risk assessment</v>
      </c>
      <c r="AB462" s="64">
        <f>IF(OR(Table5[[#This Row],[Case]]=3,Table5[[#This Row],[Case]]=1),1,IF(Table5[[#This Row],[Variability factor for IESTI ]]&lt;3,Table5[[#This Row],[Variability factor for IESTI ]],3))</f>
        <v>1</v>
      </c>
      <c r="AC462" s="379" t="str">
        <f t="shared" si="70"/>
        <v>ND</v>
      </c>
      <c r="AD462" s="380" t="str">
        <f>IF($C$5="not necessary","no acute RA",IF(AC462="ND","no acute RA",IF(Table5[[#This Row],[IESTI new (mg/kg bw)]]&lt;&gt;"",AC462/$C$5,0)))</f>
        <v>no acute RA</v>
      </c>
      <c r="AE462" s="339" t="str">
        <f t="shared" si="65"/>
        <v/>
      </c>
      <c r="AF462" s="339" t="str">
        <f t="shared" si="66"/>
        <v/>
      </c>
      <c r="AG462" s="381" t="str">
        <f>IF(OR(Z462=0,Z462="ND",Z462="",$C$5="not necessary"),"",IF(X462="2a",1000*$C$5*R462/Table5[[#This Row],[Processing factor]]/(T462*Y462+S462-T462),IF(X462="2b",1000*$C$5*R462/Table5[[#This Row],[Processing factor]]/S462/Y462,IF(OR(X462=1,X462=3),1000*$C$5*R462/Table5[[#This Row],[Processing factor]]/S462,""))))</f>
        <v/>
      </c>
      <c r="AH462" s="495" t="str">
        <f>IF(OR(AC462=0,AC462="ND",$C$5="not necessary"),"",1000*$C$5*R462/Table5[[#This Row],[Processing factor]]/S462/AB462)</f>
        <v/>
      </c>
      <c r="AI462" s="313"/>
      <c r="AJ462" s="382"/>
    </row>
    <row r="463" spans="1:36" s="11" customFormat="1" ht="12" customHeight="1" x14ac:dyDescent="0.2">
      <c r="A463" s="494"/>
      <c r="B463" s="23">
        <v>252030</v>
      </c>
      <c r="C463" s="325" t="s">
        <v>847</v>
      </c>
      <c r="D463" s="373" t="str">
        <f>VLOOKUP(C463,input_values!$C$412:$BG$538,input_values!$BG$410-2,0)</f>
        <v>PROC-252030-3</v>
      </c>
      <c r="E463" s="567">
        <f>VLOOKUP(B463,input_values!$B$412:$M$538,4,FALSE)</f>
        <v>0</v>
      </c>
      <c r="F463" s="451" t="str">
        <f>VLOOKUP($D463,Table6[[Identifyer]:[Acute RA IESTI new input value]],input_values!$Q$410,FALSE)</f>
        <v/>
      </c>
      <c r="G463" s="451" t="str">
        <f>VLOOKUP($D463,Table6[[Identifyer]:[Acute RA IESTI new input value]],input_values!$P$410,FALSE)</f>
        <v/>
      </c>
      <c r="H463" s="451">
        <f>VLOOKUP($D463,Table6[[Identifyer]:[Acute RA IESTI new input value]],input_values!$S$410,FALSE)</f>
        <v>0</v>
      </c>
      <c r="I463" s="451" t="str">
        <f>VLOOKUP($D463,Table6[[Identifyer]:[Acute RA IESTI new input value]],input_values!$R$410,FALSE)</f>
        <v/>
      </c>
      <c r="J463" s="65"/>
      <c r="K463" s="301">
        <f>IF(Table5[[#This Row],[Unit weight RAC (g)]]="",1,IF(Table5[[#This Row],[Unit weight RAC (g)]]&gt;250,5,7))</f>
        <v>7</v>
      </c>
      <c r="L463" s="302" t="str">
        <f>VLOOKUP(D463,input_values!$A$412:$BB$538,input_values!$AA$410,FALSE)</f>
        <v/>
      </c>
      <c r="M463" s="302">
        <f>VLOOKUP(D463,input_values!$A$412:$BB$538,input_values!$Y$410,FALSE)</f>
        <v>1</v>
      </c>
      <c r="N463" s="302" t="str">
        <f>IF(VLOOKUP(D463,input_values!$A$412:$BB$538,input_values!$L$410,FALSE)&lt;&gt;"",VLOOKUP(D463,input_values!$A$412:$BB$538,input_values!$L$410,FALSE),"")</f>
        <v/>
      </c>
      <c r="O463" s="603">
        <v>4.4456521739130439</v>
      </c>
      <c r="P463" s="375" t="s">
        <v>419</v>
      </c>
      <c r="Q463" s="375" t="s">
        <v>259</v>
      </c>
      <c r="R463" s="377">
        <v>18.399999999999999</v>
      </c>
      <c r="S463" s="326">
        <f t="shared" si="67"/>
        <v>81.8</v>
      </c>
      <c r="T463" s="376">
        <v>105</v>
      </c>
      <c r="U463" s="574" t="s">
        <v>215</v>
      </c>
      <c r="V463" s="1170">
        <v>175</v>
      </c>
      <c r="W463" s="574" t="s">
        <v>215</v>
      </c>
      <c r="X463" s="378" t="s">
        <v>1892</v>
      </c>
      <c r="Y463" s="64">
        <f>IF(OR(Table5[[#This Row],[Case]]=1,Table5[[#This Row],[Case]]=3),1,IF(N463="",K463,N463))</f>
        <v>7</v>
      </c>
      <c r="Z463" s="379" t="str">
        <f t="shared" si="68"/>
        <v>ND</v>
      </c>
      <c r="AA463" s="380" t="str">
        <f t="shared" si="69"/>
        <v>no acute risk assessment</v>
      </c>
      <c r="AB463" s="64">
        <f>IF(OR(Table5[[#This Row],[Case]]=3,Table5[[#This Row],[Case]]=1),1,IF(Table5[[#This Row],[Variability factor for IESTI ]]&lt;3,Table5[[#This Row],[Variability factor for IESTI ]],3))</f>
        <v>3</v>
      </c>
      <c r="AC463" s="379" t="str">
        <f t="shared" si="70"/>
        <v>ND</v>
      </c>
      <c r="AD463" s="380" t="str">
        <f>IF($C$5="not necessary","no acute RA",IF(AC463="ND","no acute RA",IF(Table5[[#This Row],[IESTI new (mg/kg bw)]]&lt;&gt;"",AC463/$C$5,0)))</f>
        <v>no acute RA</v>
      </c>
      <c r="AE463" s="339" t="str">
        <f t="shared" si="65"/>
        <v/>
      </c>
      <c r="AF463" s="339" t="str">
        <f t="shared" si="66"/>
        <v/>
      </c>
      <c r="AG463" s="381" t="str">
        <f>IF(OR(Z463=0,Z463="ND",Z463="",$C$5="not necessary"),"",IF(X463="2a",1000*$C$5*R463/Table5[[#This Row],[Processing factor]]/(T463*Y463+S463-T463),IF(X463="2b",1000*$C$5*R463/Table5[[#This Row],[Processing factor]]/S463/Y463,IF(OR(X463=1,X463=3),1000*$C$5*R463/Table5[[#This Row],[Processing factor]]/S463,""))))</f>
        <v/>
      </c>
      <c r="AH463" s="495" t="str">
        <f>IF(OR(AC463=0,AC463="ND",$C$5="not necessary"),"",1000*$C$5*R463/Table5[[#This Row],[Processing factor]]/S463/AB463)</f>
        <v/>
      </c>
      <c r="AI463" s="313"/>
      <c r="AJ463" s="382"/>
    </row>
    <row r="464" spans="1:36" s="11" customFormat="1" ht="12" customHeight="1" x14ac:dyDescent="0.2">
      <c r="A464" s="494"/>
      <c r="B464" s="23">
        <v>255000</v>
      </c>
      <c r="C464" s="325" t="s">
        <v>834</v>
      </c>
      <c r="D464" s="373" t="str">
        <f>VLOOKUP(C464,input_values!$C$412:$BG$538,input_values!$BG$410-2,0)</f>
        <v>PROC-255000-3</v>
      </c>
      <c r="E464" s="567">
        <f>VLOOKUP(B464,input_values!$B$412:$M$538,4,FALSE)</f>
        <v>0</v>
      </c>
      <c r="F464" s="451" t="str">
        <f>VLOOKUP($D464,Table6[[Identifyer]:[Acute RA IESTI new input value]],input_values!$Q$410,FALSE)</f>
        <v/>
      </c>
      <c r="G464" s="451" t="str">
        <f>VLOOKUP($D464,Table6[[Identifyer]:[Acute RA IESTI new input value]],input_values!$P$410,FALSE)</f>
        <v/>
      </c>
      <c r="H464" s="451">
        <f>VLOOKUP($D464,Table6[[Identifyer]:[Acute RA IESTI new input value]],input_values!$S$410,FALSE)</f>
        <v>0</v>
      </c>
      <c r="I464" s="451" t="str">
        <f>VLOOKUP($D464,Table6[[Identifyer]:[Acute RA IESTI new input value]],input_values!$R$410,FALSE)</f>
        <v/>
      </c>
      <c r="J464" s="65"/>
      <c r="K464" s="301">
        <f>IF(Table5[[#This Row],[Unit weight RAC (g)]]="",1,IF(Table5[[#This Row],[Unit weight RAC (g)]]&gt;250,5,7))</f>
        <v>7</v>
      </c>
      <c r="L464" s="302" t="str">
        <f>VLOOKUP(D464,input_values!$A$412:$BB$538,input_values!$AA$410,FALSE)</f>
        <v/>
      </c>
      <c r="M464" s="302">
        <f>VLOOKUP(D464,input_values!$A$412:$BB$538,input_values!$Y$410,FALSE)</f>
        <v>1</v>
      </c>
      <c r="N464" s="302" t="str">
        <f>IF(VLOOKUP(D464,input_values!$A$412:$BB$538,input_values!$L$410,FALSE)&lt;&gt;"",VLOOKUP(D464,input_values!$A$412:$BB$538,input_values!$L$410,FALSE),"")</f>
        <v/>
      </c>
      <c r="O464" s="603">
        <v>15.75</v>
      </c>
      <c r="P464" s="375" t="s">
        <v>20</v>
      </c>
      <c r="Q464" s="375" t="s">
        <v>329</v>
      </c>
      <c r="R464" s="377">
        <v>10.199999999999999</v>
      </c>
      <c r="S464" s="326">
        <f t="shared" si="67"/>
        <v>160.64999999999998</v>
      </c>
      <c r="T464" s="376">
        <v>124</v>
      </c>
      <c r="U464" s="574" t="s">
        <v>215</v>
      </c>
      <c r="V464" s="1170">
        <v>124</v>
      </c>
      <c r="W464" s="574" t="s">
        <v>215</v>
      </c>
      <c r="X464" s="378" t="s">
        <v>1891</v>
      </c>
      <c r="Y464" s="64">
        <f>IF(OR(Table5[[#This Row],[Case]]=1,Table5[[#This Row],[Case]]=3),1,IF(N464="",K464,N464))</f>
        <v>7</v>
      </c>
      <c r="Z464" s="379" t="str">
        <f t="shared" si="68"/>
        <v>ND</v>
      </c>
      <c r="AA464" s="380" t="str">
        <f t="shared" si="69"/>
        <v>no acute risk assessment</v>
      </c>
      <c r="AB464" s="64">
        <f>IF(OR(Table5[[#This Row],[Case]]=3,Table5[[#This Row],[Case]]=1),1,IF(Table5[[#This Row],[Variability factor for IESTI ]]&lt;3,Table5[[#This Row],[Variability factor for IESTI ]],3))</f>
        <v>3</v>
      </c>
      <c r="AC464" s="379" t="str">
        <f t="shared" si="70"/>
        <v>ND</v>
      </c>
      <c r="AD464" s="380" t="str">
        <f>IF($C$5="not necessary","no acute RA",IF(AC464="ND","no acute RA",IF(Table5[[#This Row],[IESTI new (mg/kg bw)]]&lt;&gt;"",AC464/$C$5,0)))</f>
        <v>no acute RA</v>
      </c>
      <c r="AE464" s="339" t="str">
        <f t="shared" si="65"/>
        <v/>
      </c>
      <c r="AF464" s="339" t="str">
        <f t="shared" si="66"/>
        <v/>
      </c>
      <c r="AG464" s="381" t="str">
        <f>IF(OR(Z464=0,Z464="ND",Z464="",$C$5="not necessary"),"",IF(X464="2a",1000*$C$5*R464/Table5[[#This Row],[Processing factor]]/(T464*Y464+S464-T464),IF(X464="2b",1000*$C$5*R464/Table5[[#This Row],[Processing factor]]/S464/Y464,IF(OR(X464=1,X464=3),1000*$C$5*R464/Table5[[#This Row],[Processing factor]]/S464,""))))</f>
        <v/>
      </c>
      <c r="AH464" s="495" t="str">
        <f>IF(OR(AC464=0,AC464="ND",$C$5="not necessary"),"",1000*$C$5*R464/Table5[[#This Row],[Processing factor]]/S464/AB464)</f>
        <v/>
      </c>
      <c r="AI464" s="313"/>
      <c r="AJ464" s="382"/>
    </row>
    <row r="465" spans="1:36" s="11" customFormat="1" ht="12" customHeight="1" x14ac:dyDescent="0.2">
      <c r="A465" s="494"/>
      <c r="B465" s="23">
        <v>260010</v>
      </c>
      <c r="C465" s="325" t="s">
        <v>402</v>
      </c>
      <c r="D465" s="373" t="str">
        <f>VLOOKUP(C465,input_values!$C$412:$BG$538,input_values!$BG$410-2,0)</f>
        <v>PROC-260010-3</v>
      </c>
      <c r="E465" s="567">
        <f>VLOOKUP(B465,input_values!$B$412:$M$538,4,FALSE)</f>
        <v>0</v>
      </c>
      <c r="F465" s="451" t="str">
        <f>VLOOKUP($D465,Table6[[Identifyer]:[Acute RA IESTI new input value]],input_values!$Q$410,FALSE)</f>
        <v/>
      </c>
      <c r="G465" s="451" t="str">
        <f>VLOOKUP($D465,Table6[[Identifyer]:[Acute RA IESTI new input value]],input_values!$P$410,FALSE)</f>
        <v/>
      </c>
      <c r="H465" s="451">
        <f>VLOOKUP($D465,Table6[[Identifyer]:[Acute RA IESTI new input value]],input_values!$S$410,FALSE)</f>
        <v>0</v>
      </c>
      <c r="I465" s="451" t="str">
        <f>VLOOKUP($D465,Table6[[Identifyer]:[Acute RA IESTI new input value]],input_values!$R$410,FALSE)</f>
        <v/>
      </c>
      <c r="J465" s="65"/>
      <c r="K465" s="301">
        <f>IF(Table5[[#This Row],[Unit weight RAC (g)]]="",1,IF(Table5[[#This Row],[Unit weight RAC (g)]]&gt;250,5,7))</f>
        <v>5</v>
      </c>
      <c r="L465" s="302" t="str">
        <f>VLOOKUP(D465,input_values!$A$412:$BB$538,input_values!$AA$410,FALSE)</f>
        <v/>
      </c>
      <c r="M465" s="302">
        <f>VLOOKUP(D465,input_values!$A$412:$BB$538,input_values!$Y$410,FALSE)</f>
        <v>1</v>
      </c>
      <c r="N465" s="374" t="str">
        <f>IF(VLOOKUP(D465,input_values!$A$412:$BB$538,input_values!$L$410,FALSE)&lt;&gt;"",VLOOKUP(D465,input_values!$A$412:$BB$538,input_values!$L$410,FALSE),"")</f>
        <v/>
      </c>
      <c r="O465" s="603">
        <v>12.539215686274511</v>
      </c>
      <c r="P465" s="375" t="s">
        <v>20</v>
      </c>
      <c r="Q465" s="375" t="s">
        <v>329</v>
      </c>
      <c r="R465" s="377">
        <v>10.199999999999999</v>
      </c>
      <c r="S465" s="326">
        <f t="shared" si="67"/>
        <v>127.9</v>
      </c>
      <c r="T465" s="383" t="s">
        <v>617</v>
      </c>
      <c r="U465" s="574" t="s">
        <v>215</v>
      </c>
      <c r="V465" s="1170" t="s">
        <v>617</v>
      </c>
      <c r="W465" s="574" t="s">
        <v>215</v>
      </c>
      <c r="X465" s="378">
        <v>1</v>
      </c>
      <c r="Y465" s="64">
        <f>IF(OR(Table5[[#This Row],[Case]]=1,Table5[[#This Row],[Case]]=3),1,IF(N465="",K465,N465))</f>
        <v>1</v>
      </c>
      <c r="Z465" s="379" t="str">
        <f t="shared" si="68"/>
        <v>ND</v>
      </c>
      <c r="AA465" s="380" t="str">
        <f t="shared" si="69"/>
        <v>no acute risk assessment</v>
      </c>
      <c r="AB465" s="64">
        <f>IF(OR(Table5[[#This Row],[Case]]=3,Table5[[#This Row],[Case]]=1),1,IF(Table5[[#This Row],[Variability factor for IESTI ]]&lt;3,Table5[[#This Row],[Variability factor for IESTI ]],3))</f>
        <v>1</v>
      </c>
      <c r="AC465" s="379" t="str">
        <f t="shared" si="70"/>
        <v>ND</v>
      </c>
      <c r="AD465" s="380" t="str">
        <f>IF($C$5="not necessary","no acute RA",IF(AC465="ND","no acute RA",IF(Table5[[#This Row],[IESTI new (mg/kg bw)]]&lt;&gt;"",AC465/$C$5,0)))</f>
        <v>no acute RA</v>
      </c>
      <c r="AE465" s="339" t="str">
        <f t="shared" si="65"/>
        <v/>
      </c>
      <c r="AF465" s="339" t="str">
        <f t="shared" si="66"/>
        <v/>
      </c>
      <c r="AG465" s="381" t="str">
        <f>IF(OR(Z465=0,Z465="ND",Z465="",$C$5="not necessary"),"",IF(X465="2a",1000*$C$5*R465/Table5[[#This Row],[Processing factor]]/(T465*Y465+S465-T465),IF(X465="2b",1000*$C$5*R465/Table5[[#This Row],[Processing factor]]/S465/Y465,IF(OR(X465=1,X465=3),1000*$C$5*R465/Table5[[#This Row],[Processing factor]]/S465,""))))</f>
        <v/>
      </c>
      <c r="AH465" s="495" t="str">
        <f>IF(OR(AC465=0,AC465="ND",$C$5="not necessary"),"",1000*$C$5*R465/Table5[[#This Row],[Processing factor]]/S465/AB465)</f>
        <v/>
      </c>
      <c r="AI465" s="313"/>
      <c r="AJ465" s="382"/>
    </row>
    <row r="466" spans="1:36" s="11" customFormat="1" ht="12" customHeight="1" x14ac:dyDescent="0.2">
      <c r="A466" s="494"/>
      <c r="B466" s="23">
        <v>260040</v>
      </c>
      <c r="C466" s="325" t="s">
        <v>425</v>
      </c>
      <c r="D466" s="373" t="str">
        <f>VLOOKUP(C466,input_values!$C$412:$BG$538,input_values!$BG$410-2,0)</f>
        <v>PROC-260040-5</v>
      </c>
      <c r="E466" s="567">
        <f>VLOOKUP(B466,input_values!$B$412:$M$538,4,FALSE)</f>
        <v>0</v>
      </c>
      <c r="F466" s="451" t="str">
        <f>VLOOKUP($D466,Table6[[Identifyer]:[Acute RA IESTI new input value]],input_values!$Q$410,FALSE)</f>
        <v/>
      </c>
      <c r="G466" s="451" t="str">
        <f>VLOOKUP($D466,Table6[[Identifyer]:[Acute RA IESTI new input value]],input_values!$P$410,FALSE)</f>
        <v/>
      </c>
      <c r="H466" s="451">
        <f>VLOOKUP($D466,Table6[[Identifyer]:[Acute RA IESTI new input value]],input_values!$S$410,FALSE)</f>
        <v>0</v>
      </c>
      <c r="I466" s="451" t="str">
        <f>VLOOKUP($D466,Table6[[Identifyer]:[Acute RA IESTI new input value]],input_values!$R$410,FALSE)</f>
        <v/>
      </c>
      <c r="J466" s="65"/>
      <c r="K466" s="301">
        <f>IF(Table5[[#This Row],[Unit weight RAC (g)]]="",1,IF(Table5[[#This Row],[Unit weight RAC (g)]]&gt;250,5,7))</f>
        <v>5</v>
      </c>
      <c r="L466" s="302" t="str">
        <f>VLOOKUP(D466,input_values!$A$412:$BB$538,input_values!$AA$410,FALSE)</f>
        <v/>
      </c>
      <c r="M466" s="302">
        <f>VLOOKUP(D466,input_values!$A$412:$BB$538,input_values!$Y$410,FALSE)</f>
        <v>1</v>
      </c>
      <c r="N466" s="374" t="str">
        <f>IF(VLOOKUP(D466,input_values!$A$412:$BB$538,input_values!$L$410,FALSE)&lt;&gt;"",VLOOKUP(D466,input_values!$A$412:$BB$538,input_values!$L$410,FALSE),"")</f>
        <v/>
      </c>
      <c r="O466" s="603">
        <v>7.9673913043478262</v>
      </c>
      <c r="P466" s="375" t="s">
        <v>444</v>
      </c>
      <c r="Q466" s="375" t="s">
        <v>259</v>
      </c>
      <c r="R466" s="377">
        <v>18.399999999999999</v>
      </c>
      <c r="S466" s="326">
        <f t="shared" si="67"/>
        <v>146.6</v>
      </c>
      <c r="T466" s="383" t="s">
        <v>617</v>
      </c>
      <c r="U466" s="574" t="s">
        <v>215</v>
      </c>
      <c r="V466" s="1170" t="s">
        <v>617</v>
      </c>
      <c r="W466" s="574" t="s">
        <v>215</v>
      </c>
      <c r="X466" s="378">
        <v>3</v>
      </c>
      <c r="Y466" s="64">
        <f>IF(OR(Table5[[#This Row],[Case]]=1,Table5[[#This Row],[Case]]=3),1,IF(N466="",K466,N466))</f>
        <v>1</v>
      </c>
      <c r="Z466" s="379" t="str">
        <f t="shared" si="68"/>
        <v>ND</v>
      </c>
      <c r="AA466" s="380" t="str">
        <f t="shared" si="69"/>
        <v>no acute risk assessment</v>
      </c>
      <c r="AB466" s="64">
        <f>IF(OR(Table5[[#This Row],[Case]]=3,Table5[[#This Row],[Case]]=1),1,IF(Table5[[#This Row],[Variability factor for IESTI ]]&lt;3,Table5[[#This Row],[Variability factor for IESTI ]],3))</f>
        <v>1</v>
      </c>
      <c r="AC466" s="379" t="str">
        <f t="shared" si="70"/>
        <v>ND</v>
      </c>
      <c r="AD466" s="380" t="str">
        <f>IF($C$5="not necessary","no acute RA",IF(AC466="ND","no acute RA",IF(Table5[[#This Row],[IESTI new (mg/kg bw)]]&lt;&gt;"",AC466/$C$5,0)))</f>
        <v>no acute RA</v>
      </c>
      <c r="AE466" s="339" t="str">
        <f t="shared" si="65"/>
        <v/>
      </c>
      <c r="AF466" s="339" t="str">
        <f t="shared" si="66"/>
        <v/>
      </c>
      <c r="AG466" s="381" t="str">
        <f>IF(OR(Z466=0,Z466="ND",Z466="",$C$5="not necessary"),"",IF(X466="2a",1000*$C$5*R466/Table5[[#This Row],[Processing factor]]/(T466*Y466+S466-T466),IF(X466="2b",1000*$C$5*R466/Table5[[#This Row],[Processing factor]]/S466/Y466,IF(OR(X466=1,X466=3),1000*$C$5*R466/Table5[[#This Row],[Processing factor]]/S466,""))))</f>
        <v/>
      </c>
      <c r="AH466" s="495" t="str">
        <f>IF(OR(AC466=0,AC466="ND",$C$5="not necessary"),"",1000*$C$5*R466/Table5[[#This Row],[Processing factor]]/S466/AB466)</f>
        <v/>
      </c>
      <c r="AI466" s="313"/>
      <c r="AJ466" s="382"/>
    </row>
    <row r="467" spans="1:36" s="11" customFormat="1" ht="12" customHeight="1" x14ac:dyDescent="0.2">
      <c r="A467" s="494"/>
      <c r="B467" s="23">
        <v>270040</v>
      </c>
      <c r="C467" s="325" t="s">
        <v>835</v>
      </c>
      <c r="D467" s="373" t="str">
        <f>VLOOKUP(C467,input_values!$C$412:$BG$538,input_values!$BG$410-2,0)</f>
        <v>PROC-270040-3</v>
      </c>
      <c r="E467" s="567">
        <f>VLOOKUP(B467,input_values!$B$412:$M$538,4,FALSE)</f>
        <v>0</v>
      </c>
      <c r="F467" s="451" t="str">
        <f>VLOOKUP($D467,Table6[[Identifyer]:[Acute RA IESTI new input value]],input_values!$Q$410,FALSE)</f>
        <v/>
      </c>
      <c r="G467" s="451" t="str">
        <f>VLOOKUP($D467,Table6[[Identifyer]:[Acute RA IESTI new input value]],input_values!$P$410,FALSE)</f>
        <v/>
      </c>
      <c r="H467" s="451">
        <f>VLOOKUP($D467,Table6[[Identifyer]:[Acute RA IESTI new input value]],input_values!$S$410,FALSE)</f>
        <v>0</v>
      </c>
      <c r="I467" s="451" t="str">
        <f>VLOOKUP($D467,Table6[[Identifyer]:[Acute RA IESTI new input value]],input_values!$R$410,FALSE)</f>
        <v/>
      </c>
      <c r="J467" s="65"/>
      <c r="K467" s="301">
        <f>IF(Table5[[#This Row],[Unit weight RAC (g)]]="",1,IF(Table5[[#This Row],[Unit weight RAC (g)]]&gt;250,5,7))</f>
        <v>5</v>
      </c>
      <c r="L467" s="302" t="str">
        <f>VLOOKUP(D467,input_values!$A$412:$BB$538,input_values!$AA$410,FALSE)</f>
        <v/>
      </c>
      <c r="M467" s="302">
        <f>VLOOKUP(D467,input_values!$A$412:$BB$538,input_values!$Y$410,FALSE)</f>
        <v>1</v>
      </c>
      <c r="N467" s="302" t="str">
        <f>IF(VLOOKUP(D467,input_values!$A$412:$BB$538,input_values!$L$410,FALSE)&lt;&gt;"",VLOOKUP(D467,input_values!$A$412:$BB$538,input_values!$L$410,FALSE),"")</f>
        <v/>
      </c>
      <c r="O467" s="603">
        <v>9.0652173913043494</v>
      </c>
      <c r="P467" s="375" t="s">
        <v>444</v>
      </c>
      <c r="Q467" s="375" t="s">
        <v>259</v>
      </c>
      <c r="R467" s="377">
        <v>18.399999999999999</v>
      </c>
      <c r="S467" s="326">
        <f t="shared" si="67"/>
        <v>166.8</v>
      </c>
      <c r="T467" s="376">
        <v>251</v>
      </c>
      <c r="U467" s="574" t="s">
        <v>215</v>
      </c>
      <c r="V467" s="376">
        <v>302</v>
      </c>
      <c r="W467" s="574" t="s">
        <v>215</v>
      </c>
      <c r="X467" s="378" t="s">
        <v>1892</v>
      </c>
      <c r="Y467" s="64">
        <f>IF(OR(Table5[[#This Row],[Case]]=1,Table5[[#This Row],[Case]]=3),1,IF(N467="",K467,N467))</f>
        <v>5</v>
      </c>
      <c r="Z467" s="379" t="str">
        <f t="shared" si="68"/>
        <v>ND</v>
      </c>
      <c r="AA467" s="380" t="str">
        <f t="shared" si="69"/>
        <v>no acute risk assessment</v>
      </c>
      <c r="AB467" s="64">
        <f>IF(OR(Table5[[#This Row],[Case]]=3,Table5[[#This Row],[Case]]=1),1,IF(Table5[[#This Row],[Variability factor for IESTI ]]&lt;3,Table5[[#This Row],[Variability factor for IESTI ]],3))</f>
        <v>3</v>
      </c>
      <c r="AC467" s="379" t="str">
        <f t="shared" si="70"/>
        <v>ND</v>
      </c>
      <c r="AD467" s="380" t="str">
        <f>IF($C$5="not necessary","no acute RA",IF(AC467="ND","no acute RA",IF(Table5[[#This Row],[IESTI new (mg/kg bw)]]&lt;&gt;"",AC467/$C$5,0)))</f>
        <v>no acute RA</v>
      </c>
      <c r="AE467" s="339" t="str">
        <f t="shared" si="65"/>
        <v/>
      </c>
      <c r="AF467" s="339" t="str">
        <f t="shared" si="66"/>
        <v/>
      </c>
      <c r="AG467" s="381" t="str">
        <f>IF(OR(Z467=0,Z467="ND",Z467="",$C$5="not necessary"),"",IF(X467="2a",1000*$C$5*R467/Table5[[#This Row],[Processing factor]]/(T467*Y467+S467-T467),IF(X467="2b",1000*$C$5*R467/Table5[[#This Row],[Processing factor]]/S467/Y467,IF(OR(X467=1,X467=3),1000*$C$5*R467/Table5[[#This Row],[Processing factor]]/S467,""))))</f>
        <v/>
      </c>
      <c r="AH467" s="495" t="str">
        <f>IF(OR(AC467=0,AC467="ND",$C$5="not necessary"),"",1000*$C$5*R467/Table5[[#This Row],[Processing factor]]/S467/AB467)</f>
        <v/>
      </c>
      <c r="AI467" s="313"/>
      <c r="AJ467" s="382"/>
    </row>
    <row r="468" spans="1:36" s="11" customFormat="1" ht="12" customHeight="1" x14ac:dyDescent="0.2">
      <c r="A468" s="494"/>
      <c r="B468" s="23">
        <v>270060</v>
      </c>
      <c r="C468" s="325" t="s">
        <v>836</v>
      </c>
      <c r="D468" s="373" t="str">
        <f>VLOOKUP(C468,input_values!$C$412:$BG$538,input_values!$BG$410-2,0)</f>
        <v>PROC-270060-3</v>
      </c>
      <c r="E468" s="567">
        <f>VLOOKUP(B468,input_values!$B$412:$M$538,4,FALSE)</f>
        <v>0</v>
      </c>
      <c r="F468" s="451" t="str">
        <f>VLOOKUP($D468,Table6[[Identifyer]:[Acute RA IESTI new input value]],input_values!$Q$410,FALSE)</f>
        <v/>
      </c>
      <c r="G468" s="451" t="str">
        <f>VLOOKUP($D468,Table6[[Identifyer]:[Acute RA IESTI new input value]],input_values!$P$410,FALSE)</f>
        <v/>
      </c>
      <c r="H468" s="451">
        <f>VLOOKUP($D468,Table6[[Identifyer]:[Acute RA IESTI new input value]],input_values!$S$410,FALSE)</f>
        <v>0</v>
      </c>
      <c r="I468" s="451" t="str">
        <f>VLOOKUP($D468,Table6[[Identifyer]:[Acute RA IESTI new input value]],input_values!$R$410,FALSE)</f>
        <v/>
      </c>
      <c r="J468" s="65"/>
      <c r="K468" s="301">
        <f>IF(Table5[[#This Row],[Unit weight RAC (g)]]="",1,IF(Table5[[#This Row],[Unit weight RAC (g)]]&gt;250,5,7))</f>
        <v>7</v>
      </c>
      <c r="L468" s="302" t="str">
        <f>VLOOKUP(D468,input_values!$A$412:$BB$538,input_values!$AA$410,FALSE)</f>
        <v/>
      </c>
      <c r="M468" s="302">
        <f>VLOOKUP(D468,input_values!$A$412:$BB$538,input_values!$Y$410,FALSE)</f>
        <v>1</v>
      </c>
      <c r="N468" s="302" t="str">
        <f>IF(VLOOKUP(D468,input_values!$A$412:$BB$538,input_values!$L$410,FALSE)&lt;&gt;"",VLOOKUP(D468,input_values!$A$412:$BB$538,input_values!$L$410,FALSE),"")</f>
        <v/>
      </c>
      <c r="O468" s="603">
        <v>10.946</v>
      </c>
      <c r="P468" s="375" t="s">
        <v>331</v>
      </c>
      <c r="Q468" s="375" t="s">
        <v>259</v>
      </c>
      <c r="R468" s="377">
        <v>18.399999999999999</v>
      </c>
      <c r="S468" s="326">
        <f t="shared" si="67"/>
        <v>201.40639999999999</v>
      </c>
      <c r="T468" s="383">
        <v>142</v>
      </c>
      <c r="U468" s="574" t="s">
        <v>215</v>
      </c>
      <c r="V468" s="376">
        <v>142</v>
      </c>
      <c r="W468" s="574" t="s">
        <v>215</v>
      </c>
      <c r="X468" s="378" t="s">
        <v>1891</v>
      </c>
      <c r="Y468" s="64">
        <f>IF(OR(Table5[[#This Row],[Case]]=1,Table5[[#This Row],[Case]]=3),1,IF(N468="",K468,N468))</f>
        <v>7</v>
      </c>
      <c r="Z468" s="379" t="str">
        <f t="shared" si="68"/>
        <v>ND</v>
      </c>
      <c r="AA468" s="380" t="str">
        <f t="shared" si="69"/>
        <v>no acute risk assessment</v>
      </c>
      <c r="AB468" s="64">
        <f>IF(OR(Table5[[#This Row],[Case]]=3,Table5[[#This Row],[Case]]=1),1,IF(Table5[[#This Row],[Variability factor for IESTI ]]&lt;3,Table5[[#This Row],[Variability factor for IESTI ]],3))</f>
        <v>3</v>
      </c>
      <c r="AC468" s="379" t="str">
        <f t="shared" si="70"/>
        <v>ND</v>
      </c>
      <c r="AD468" s="380" t="str">
        <f>IF($C$5="not necessary","no acute RA",IF(AC468="ND","no acute RA",IF(Table5[[#This Row],[IESTI new (mg/kg bw)]]&lt;&gt;"",AC468/$C$5,0)))</f>
        <v>no acute RA</v>
      </c>
      <c r="AE468" s="339" t="str">
        <f t="shared" si="65"/>
        <v/>
      </c>
      <c r="AF468" s="339" t="str">
        <f t="shared" si="66"/>
        <v/>
      </c>
      <c r="AG468" s="381" t="str">
        <f>IF(OR(Z468=0,Z468="ND",Z468="",$C$5="not necessary"),"",IF(X468="2a",1000*$C$5*R468/Table5[[#This Row],[Processing factor]]/(T468*Y468+S468-T468),IF(X468="2b",1000*$C$5*R468/Table5[[#This Row],[Processing factor]]/S468/Y468,IF(OR(X468=1,X468=3),1000*$C$5*R468/Table5[[#This Row],[Processing factor]]/S468,""))))</f>
        <v/>
      </c>
      <c r="AH468" s="495" t="str">
        <f>IF(OR(AC468=0,AC468="ND",$C$5="not necessary"),"",1000*$C$5*R468/Table5[[#This Row],[Processing factor]]/S468/AB468)</f>
        <v/>
      </c>
      <c r="AI468" s="313"/>
      <c r="AJ468" s="382"/>
    </row>
    <row r="469" spans="1:36" s="11" customFormat="1" ht="12" customHeight="1" x14ac:dyDescent="0.2">
      <c r="A469" s="494"/>
      <c r="B469" s="23">
        <v>270070</v>
      </c>
      <c r="C469" s="325" t="s">
        <v>837</v>
      </c>
      <c r="D469" s="373" t="str">
        <f>VLOOKUP(C469,input_values!$C$412:$BG$538,input_values!$BG$410-2,0)</f>
        <v>PROC-270070-13</v>
      </c>
      <c r="E469" s="567">
        <f>VLOOKUP(B469,input_values!$B$412:$M$538,4,FALSE)</f>
        <v>0</v>
      </c>
      <c r="F469" s="451" t="str">
        <f>VLOOKUP($D469,Table6[[Identifyer]:[Acute RA IESTI new input value]],input_values!$Q$410,FALSE)</f>
        <v/>
      </c>
      <c r="G469" s="451" t="str">
        <f>VLOOKUP($D469,Table6[[Identifyer]:[Acute RA IESTI new input value]],input_values!$P$410,FALSE)</f>
        <v/>
      </c>
      <c r="H469" s="451">
        <f>VLOOKUP($D469,Table6[[Identifyer]:[Acute RA IESTI new input value]],input_values!$S$410,FALSE)</f>
        <v>0</v>
      </c>
      <c r="I469" s="451" t="str">
        <f>VLOOKUP($D469,Table6[[Identifyer]:[Acute RA IESTI new input value]],input_values!$R$410,FALSE)</f>
        <v/>
      </c>
      <c r="J469" s="65"/>
      <c r="K469" s="301">
        <f>IF(Table5[[#This Row],[Unit weight RAC (g)]]="",1,IF(Table5[[#This Row],[Unit weight RAC (g)]]&gt;250,5,7))</f>
        <v>7</v>
      </c>
      <c r="L469" s="302" t="str">
        <f>VLOOKUP(D469,input_values!$A$412:$BB$538,input_values!$AA$410,FALSE)</f>
        <v/>
      </c>
      <c r="M469" s="302">
        <f>VLOOKUP(D469,input_values!$A$412:$BB$538,input_values!$Y$410,FALSE)</f>
        <v>1</v>
      </c>
      <c r="N469" s="302" t="str">
        <f>IF(VLOOKUP(D469,input_values!$A$412:$BB$538,input_values!$L$410,FALSE)&lt;&gt;"",VLOOKUP(D469,input_values!$A$412:$BB$538,input_values!$L$410,FALSE),"")</f>
        <v/>
      </c>
      <c r="O469" s="603">
        <v>8.1340000000000003</v>
      </c>
      <c r="P469" s="375" t="s">
        <v>420</v>
      </c>
      <c r="Q469" s="375" t="s">
        <v>259</v>
      </c>
      <c r="R469" s="377">
        <v>18.399999999999999</v>
      </c>
      <c r="S469" s="326">
        <f t="shared" si="67"/>
        <v>149.66559999999998</v>
      </c>
      <c r="T469" s="376">
        <v>89.4</v>
      </c>
      <c r="U469" s="574" t="s">
        <v>215</v>
      </c>
      <c r="V469" s="376">
        <v>104</v>
      </c>
      <c r="W469" s="574" t="s">
        <v>215</v>
      </c>
      <c r="X469" s="378" t="s">
        <v>1891</v>
      </c>
      <c r="Y469" s="64">
        <f>IF(OR(Table5[[#This Row],[Case]]=1,Table5[[#This Row],[Case]]=3),1,IF(N469="",K469,N469))</f>
        <v>7</v>
      </c>
      <c r="Z469" s="379" t="str">
        <f t="shared" si="68"/>
        <v>ND</v>
      </c>
      <c r="AA469" s="380" t="str">
        <f t="shared" si="69"/>
        <v>no acute risk assessment</v>
      </c>
      <c r="AB469" s="64">
        <f>IF(OR(Table5[[#This Row],[Case]]=3,Table5[[#This Row],[Case]]=1),1,IF(Table5[[#This Row],[Variability factor for IESTI ]]&lt;3,Table5[[#This Row],[Variability factor for IESTI ]],3))</f>
        <v>3</v>
      </c>
      <c r="AC469" s="379" t="str">
        <f t="shared" si="70"/>
        <v>ND</v>
      </c>
      <c r="AD469" s="380" t="str">
        <f>IF($C$5="not necessary","no acute RA",IF(AC469="ND","no acute RA",IF(Table5[[#This Row],[IESTI new (mg/kg bw)]]&lt;&gt;"",AC469/$C$5,0)))</f>
        <v>no acute RA</v>
      </c>
      <c r="AE469" s="339" t="str">
        <f t="shared" si="65"/>
        <v/>
      </c>
      <c r="AF469" s="339" t="str">
        <f t="shared" si="66"/>
        <v/>
      </c>
      <c r="AG469" s="381" t="str">
        <f>IF(OR(Z469=0,Z469="ND",Z469="",$C$5="not necessary"),"",IF(X469="2a",1000*$C$5*R469/Table5[[#This Row],[Processing factor]]/(T469*Y469+S469-T469),IF(X469="2b",1000*$C$5*R469/Table5[[#This Row],[Processing factor]]/S469/Y469,IF(OR(X469=1,X469=3),1000*$C$5*R469/Table5[[#This Row],[Processing factor]]/S469,""))))</f>
        <v/>
      </c>
      <c r="AH469" s="495" t="str">
        <f>IF(OR(AC469=0,AC469="ND",$C$5="not necessary"),"",1000*$C$5*R469/Table5[[#This Row],[Processing factor]]/S469/AB469)</f>
        <v/>
      </c>
      <c r="AI469" s="313"/>
      <c r="AJ469" s="382"/>
    </row>
    <row r="470" spans="1:36" s="11" customFormat="1" ht="12" customHeight="1" x14ac:dyDescent="0.2">
      <c r="A470" s="494"/>
      <c r="B470" s="23">
        <v>280010</v>
      </c>
      <c r="C470" s="325" t="s">
        <v>473</v>
      </c>
      <c r="D470" s="373" t="str">
        <f>VLOOKUP(C470,input_values!$C$412:$BG$538,input_values!$BG$410-2,0)</f>
        <v>PROC-280010-19</v>
      </c>
      <c r="E470" s="567">
        <f>VLOOKUP(B470,input_values!$B$412:$M$538,4,FALSE)</f>
        <v>0</v>
      </c>
      <c r="F470" s="451" t="str">
        <f>VLOOKUP($D470,Table6[[Identifyer]:[Acute RA IESTI new input value]],input_values!$Q$410,FALSE)</f>
        <v/>
      </c>
      <c r="G470" s="451" t="str">
        <f>VLOOKUP($D470,Table6[[Identifyer]:[Acute RA IESTI new input value]],input_values!$P$410,FALSE)</f>
        <v/>
      </c>
      <c r="H470" s="451">
        <f>VLOOKUP($D470,Table6[[Identifyer]:[Acute RA IESTI new input value]],input_values!$S$410,FALSE)</f>
        <v>0</v>
      </c>
      <c r="I470" s="451" t="str">
        <f>VLOOKUP($D470,Table6[[Identifyer]:[Acute RA IESTI new input value]],input_values!$R$410,FALSE)</f>
        <v/>
      </c>
      <c r="J470" s="65"/>
      <c r="K470" s="301">
        <f>IF(Table5[[#This Row],[Unit weight RAC (g)]]="",1,IF(Table5[[#This Row],[Unit weight RAC (g)]]&gt;250,5,7))</f>
        <v>1</v>
      </c>
      <c r="L470" s="302" t="str">
        <f>VLOOKUP(D470,input_values!$A$412:$BB$538,input_values!$AA$410,FALSE)</f>
        <v/>
      </c>
      <c r="M470" s="302">
        <f>VLOOKUP(D470,input_values!$A$412:$BB$538,input_values!$Y$410,FALSE)</f>
        <v>1</v>
      </c>
      <c r="N470" s="374" t="str">
        <f>IF(VLOOKUP(D470,input_values!$A$412:$BB$538,input_values!$L$410,FALSE)&lt;&gt;"",VLOOKUP(D470,input_values!$A$412:$BB$538,input_values!$L$410,FALSE),"")</f>
        <v/>
      </c>
      <c r="O470" s="603">
        <v>5.2391304347826093</v>
      </c>
      <c r="P470" s="375" t="s">
        <v>444</v>
      </c>
      <c r="Q470" s="375" t="s">
        <v>259</v>
      </c>
      <c r="R470" s="377">
        <v>18.399999999999999</v>
      </c>
      <c r="S470" s="326">
        <f t="shared" si="67"/>
        <v>96.4</v>
      </c>
      <c r="T470" s="376"/>
      <c r="U470" s="574"/>
      <c r="V470" s="376"/>
      <c r="W470" s="574"/>
      <c r="X470" s="378">
        <v>1</v>
      </c>
      <c r="Y470" s="64">
        <f>IF(OR(Table5[[#This Row],[Case]]=1,Table5[[#This Row],[Case]]=3),1,IF(N470="",K470,N470))</f>
        <v>1</v>
      </c>
      <c r="Z470" s="379" t="str">
        <f t="shared" si="68"/>
        <v>ND</v>
      </c>
      <c r="AA470" s="380" t="str">
        <f t="shared" si="69"/>
        <v>no acute risk assessment</v>
      </c>
      <c r="AB470" s="64">
        <f>IF(OR(Table5[[#This Row],[Case]]=3,Table5[[#This Row],[Case]]=1),1,IF(Table5[[#This Row],[Variability factor for IESTI ]]&lt;3,Table5[[#This Row],[Variability factor for IESTI ]],3))</f>
        <v>1</v>
      </c>
      <c r="AC470" s="379" t="str">
        <f t="shared" si="70"/>
        <v>ND</v>
      </c>
      <c r="AD470" s="380" t="str">
        <f>IF($C$5="not necessary","no acute RA",IF(AC470="ND","no acute RA",IF(Table5[[#This Row],[IESTI new (mg/kg bw)]]&lt;&gt;"",AC470/$C$5,0)))</f>
        <v>no acute RA</v>
      </c>
      <c r="AE470" s="339" t="str">
        <f t="shared" si="65"/>
        <v/>
      </c>
      <c r="AF470" s="339" t="str">
        <f t="shared" si="66"/>
        <v/>
      </c>
      <c r="AG470" s="381" t="str">
        <f>IF(OR(Z470=0,Z470="ND",Z470="",$C$5="not necessary"),"",IF(X470="2a",1000*$C$5*R470/Table5[[#This Row],[Processing factor]]/(T470*Y470+S470-T470),IF(X470="2b",1000*$C$5*R470/Table5[[#This Row],[Processing factor]]/S470/Y470,IF(OR(X470=1,X470=3),1000*$C$5*R470/Table5[[#This Row],[Processing factor]]/S470,""))))</f>
        <v/>
      </c>
      <c r="AH470" s="495" t="str">
        <f>IF(OR(AC470=0,AC470="ND",$C$5="not necessary"),"",1000*$C$5*R470/Table5[[#This Row],[Processing factor]]/S470/AB470)</f>
        <v/>
      </c>
      <c r="AI470" s="313"/>
      <c r="AJ470" s="382"/>
    </row>
    <row r="471" spans="1:36" s="11" customFormat="1" ht="12" customHeight="1" x14ac:dyDescent="0.2">
      <c r="A471" s="494"/>
      <c r="B471" s="23">
        <v>280020</v>
      </c>
      <c r="C471" s="325" t="s">
        <v>426</v>
      </c>
      <c r="D471" s="373" t="str">
        <f>VLOOKUP(C471,input_values!$C$412:$BG$538,input_values!$BG$410-2,0)</f>
        <v>PROC-280020-5</v>
      </c>
      <c r="E471" s="567">
        <f>VLOOKUP(B471,input_values!$B$412:$M$538,4,FALSE)</f>
        <v>0</v>
      </c>
      <c r="F471" s="451" t="str">
        <f>VLOOKUP($D471,Table6[[Identifyer]:[Acute RA IESTI new input value]],input_values!$Q$410,FALSE)</f>
        <v/>
      </c>
      <c r="G471" s="451" t="str">
        <f>VLOOKUP($D471,Table6[[Identifyer]:[Acute RA IESTI new input value]],input_values!$P$410,FALSE)</f>
        <v/>
      </c>
      <c r="H471" s="451">
        <f>VLOOKUP($D471,Table6[[Identifyer]:[Acute RA IESTI new input value]],input_values!$S$410,FALSE)</f>
        <v>0</v>
      </c>
      <c r="I471" s="451" t="str">
        <f>VLOOKUP($D471,Table6[[Identifyer]:[Acute RA IESTI new input value]],input_values!$R$410,FALSE)</f>
        <v/>
      </c>
      <c r="J471" s="65"/>
      <c r="K471" s="301">
        <f>IF(Table5[[#This Row],[Unit weight RAC (g)]]="",1,IF(Table5[[#This Row],[Unit weight RAC (g)]]&gt;250,5,7))</f>
        <v>1</v>
      </c>
      <c r="L471" s="302" t="str">
        <f>VLOOKUP(D471,input_values!$A$412:$BB$538,input_values!$AA$410,FALSE)</f>
        <v/>
      </c>
      <c r="M471" s="302">
        <f>VLOOKUP(D471,input_values!$A$412:$BB$538,input_values!$Y$410,FALSE)</f>
        <v>1</v>
      </c>
      <c r="N471" s="374" t="str">
        <f>IF(VLOOKUP(D471,input_values!$A$412:$BB$538,input_values!$L$410,FALSE)&lt;&gt;"",VLOOKUP(D471,input_values!$A$412:$BB$538,input_values!$L$410,FALSE),"")</f>
        <v/>
      </c>
      <c r="O471" s="603">
        <v>1.9945652173913047</v>
      </c>
      <c r="P471" s="375" t="s">
        <v>442</v>
      </c>
      <c r="Q471" s="375" t="s">
        <v>259</v>
      </c>
      <c r="R471" s="377">
        <v>18.399999999999999</v>
      </c>
      <c r="S471" s="326">
        <f t="shared" si="67"/>
        <v>36.700000000000003</v>
      </c>
      <c r="T471" s="376"/>
      <c r="U471" s="574"/>
      <c r="V471" s="376"/>
      <c r="W471" s="574"/>
      <c r="X471" s="378">
        <v>1</v>
      </c>
      <c r="Y471" s="64">
        <f>IF(OR(Table5[[#This Row],[Case]]=1,Table5[[#This Row],[Case]]=3),1,IF(N471="",K471,N471))</f>
        <v>1</v>
      </c>
      <c r="Z471" s="379" t="str">
        <f t="shared" si="68"/>
        <v>ND</v>
      </c>
      <c r="AA471" s="380" t="str">
        <f t="shared" si="69"/>
        <v>no acute risk assessment</v>
      </c>
      <c r="AB471" s="64">
        <f>IF(OR(Table5[[#This Row],[Case]]=3,Table5[[#This Row],[Case]]=1),1,IF(Table5[[#This Row],[Variability factor for IESTI ]]&lt;3,Table5[[#This Row],[Variability factor for IESTI ]],3))</f>
        <v>1</v>
      </c>
      <c r="AC471" s="379" t="str">
        <f t="shared" si="70"/>
        <v>ND</v>
      </c>
      <c r="AD471" s="380" t="str">
        <f>IF($C$5="not necessary","no acute RA",IF(AC471="ND","no acute RA",IF(Table5[[#This Row],[IESTI new (mg/kg bw)]]&lt;&gt;"",AC471/$C$5,0)))</f>
        <v>no acute RA</v>
      </c>
      <c r="AE471" s="339" t="str">
        <f t="shared" si="65"/>
        <v/>
      </c>
      <c r="AF471" s="339" t="str">
        <f t="shared" si="66"/>
        <v/>
      </c>
      <c r="AG471" s="381" t="str">
        <f>IF(OR(Z471=0,Z471="ND",Z471="",$C$5="not necessary"),"",IF(X471="2a",1000*$C$5*R471/Table5[[#This Row],[Processing factor]]/(T471*Y471+S471-T471),IF(X471="2b",1000*$C$5*R471/Table5[[#This Row],[Processing factor]]/S471/Y471,IF(OR(X471=1,X471=3),1000*$C$5*R471/Table5[[#This Row],[Processing factor]]/S471,""))))</f>
        <v/>
      </c>
      <c r="AH471" s="495" t="str">
        <f>IF(OR(AC471=0,AC471="ND",$C$5="not necessary"),"",1000*$C$5*R471/Table5[[#This Row],[Processing factor]]/S471/AB471)</f>
        <v/>
      </c>
      <c r="AI471" s="313"/>
      <c r="AJ471" s="382"/>
    </row>
    <row r="472" spans="1:36" s="11" customFormat="1" ht="12" customHeight="1" x14ac:dyDescent="0.2">
      <c r="A472" s="494"/>
      <c r="B472" s="23">
        <v>300020</v>
      </c>
      <c r="C472" s="325" t="s">
        <v>404</v>
      </c>
      <c r="D472" s="373" t="str">
        <f>VLOOKUP(C472,input_values!$C$412:$BG$538,input_values!$BG$410-2,0)</f>
        <v>PROC-300020-3</v>
      </c>
      <c r="E472" s="567">
        <f>VLOOKUP(B472,input_values!$B$412:$M$538,4,FALSE)</f>
        <v>0</v>
      </c>
      <c r="F472" s="451" t="str">
        <f>VLOOKUP($D472,Table6[[Identifyer]:[Acute RA IESTI new input value]],input_values!$Q$410,FALSE)</f>
        <v/>
      </c>
      <c r="G472" s="451" t="str">
        <f>VLOOKUP($D472,Table6[[Identifyer]:[Acute RA IESTI new input value]],input_values!$P$410,FALSE)</f>
        <v/>
      </c>
      <c r="H472" s="451">
        <f>VLOOKUP($D472,Table6[[Identifyer]:[Acute RA IESTI new input value]],input_values!$S$410,FALSE)</f>
        <v>0</v>
      </c>
      <c r="I472" s="451" t="str">
        <f>VLOOKUP($D472,Table6[[Identifyer]:[Acute RA IESTI new input value]],input_values!$R$410,FALSE)</f>
        <v/>
      </c>
      <c r="J472" s="65"/>
      <c r="K472" s="301">
        <f>IF(Table5[[#This Row],[Unit weight RAC (g)]]="",1,IF(Table5[[#This Row],[Unit weight RAC (g)]]&gt;250,5,7))</f>
        <v>1</v>
      </c>
      <c r="L472" s="302" t="str">
        <f>VLOOKUP(D472,input_values!$A$412:$BB$538,input_values!$AA$410,FALSE)</f>
        <v/>
      </c>
      <c r="M472" s="302">
        <f>VLOOKUP(D472,input_values!$A$412:$BB$538,input_values!$Y$410,FALSE)</f>
        <v>1</v>
      </c>
      <c r="N472" s="374" t="str">
        <f>IF(VLOOKUP(D472,input_values!$A$412:$BB$538,input_values!$L$410,FALSE)&lt;&gt;"",VLOOKUP(D472,input_values!$A$412:$BB$538,input_values!$L$410,FALSE),"")</f>
        <v/>
      </c>
      <c r="O472" s="603">
        <v>8.0652173913043494</v>
      </c>
      <c r="P472" s="375" t="s">
        <v>444</v>
      </c>
      <c r="Q472" s="375" t="s">
        <v>259</v>
      </c>
      <c r="R472" s="377">
        <v>18.399999999999999</v>
      </c>
      <c r="S472" s="326">
        <f t="shared" si="67"/>
        <v>148.4</v>
      </c>
      <c r="T472" s="376"/>
      <c r="U472" s="574"/>
      <c r="V472" s="376"/>
      <c r="W472" s="574"/>
      <c r="X472" s="378">
        <v>3</v>
      </c>
      <c r="Y472" s="64">
        <f>IF(OR(Table5[[#This Row],[Case]]=1,Table5[[#This Row],[Case]]=3),1,IF(N472="",K472,N472))</f>
        <v>1</v>
      </c>
      <c r="Z472" s="379" t="str">
        <f t="shared" si="68"/>
        <v>ND</v>
      </c>
      <c r="AA472" s="380" t="str">
        <f t="shared" si="69"/>
        <v>no acute risk assessment</v>
      </c>
      <c r="AB472" s="64">
        <f>IF(OR(Table5[[#This Row],[Case]]=3,Table5[[#This Row],[Case]]=1),1,IF(Table5[[#This Row],[Variability factor for IESTI ]]&lt;3,Table5[[#This Row],[Variability factor for IESTI ]],3))</f>
        <v>1</v>
      </c>
      <c r="AC472" s="379" t="str">
        <f t="shared" si="70"/>
        <v>ND</v>
      </c>
      <c r="AD472" s="380" t="str">
        <f>IF($C$5="not necessary","no acute RA",IF(AC472="ND","no acute RA",IF(Table5[[#This Row],[IESTI new (mg/kg bw)]]&lt;&gt;"",AC472/$C$5,0)))</f>
        <v>no acute RA</v>
      </c>
      <c r="AE472" s="339" t="str">
        <f t="shared" si="65"/>
        <v/>
      </c>
      <c r="AF472" s="339" t="str">
        <f t="shared" si="66"/>
        <v/>
      </c>
      <c r="AG472" s="381" t="str">
        <f>IF(OR(Z472=0,Z472="ND",Z472="",$C$5="not necessary"),"",IF(X472="2a",1000*$C$5*R472/Table5[[#This Row],[Processing factor]]/(T472*Y472+S472-T472),IF(X472="2b",1000*$C$5*R472/Table5[[#This Row],[Processing factor]]/S472/Y472,IF(OR(X472=1,X472=3),1000*$C$5*R472/Table5[[#This Row],[Processing factor]]/S472,""))))</f>
        <v/>
      </c>
      <c r="AH472" s="495" t="str">
        <f>IF(OR(AC472=0,AC472="ND",$C$5="not necessary"),"",1000*$C$5*R472/Table5[[#This Row],[Processing factor]]/S472/AB472)</f>
        <v/>
      </c>
      <c r="AI472" s="313"/>
      <c r="AJ472" s="382"/>
    </row>
    <row r="473" spans="1:36" s="11" customFormat="1" ht="12" customHeight="1" x14ac:dyDescent="0.2">
      <c r="A473" s="494"/>
      <c r="B473" s="23">
        <v>300030</v>
      </c>
      <c r="C473" s="325" t="s">
        <v>427</v>
      </c>
      <c r="D473" s="373" t="str">
        <f>VLOOKUP(C473,input_values!$C$412:$BG$538,input_values!$BG$410-2,0)</f>
        <v>PROC-300030-5</v>
      </c>
      <c r="E473" s="567">
        <f>VLOOKUP(B473,input_values!$B$412:$M$538,4,FALSE)</f>
        <v>0</v>
      </c>
      <c r="F473" s="451" t="str">
        <f>VLOOKUP($D473,Table6[[Identifyer]:[Acute RA IESTI new input value]],input_values!$Q$410,FALSE)</f>
        <v/>
      </c>
      <c r="G473" s="451" t="str">
        <f>VLOOKUP($D473,Table6[[Identifyer]:[Acute RA IESTI new input value]],input_values!$P$410,FALSE)</f>
        <v/>
      </c>
      <c r="H473" s="451">
        <f>VLOOKUP($D473,Table6[[Identifyer]:[Acute RA IESTI new input value]],input_values!$S$410,FALSE)</f>
        <v>0</v>
      </c>
      <c r="I473" s="451" t="str">
        <f>VLOOKUP($D473,Table6[[Identifyer]:[Acute RA IESTI new input value]],input_values!$R$410,FALSE)</f>
        <v/>
      </c>
      <c r="J473" s="65"/>
      <c r="K473" s="301">
        <f>IF(Table5[[#This Row],[Unit weight RAC (g)]]="",1,IF(Table5[[#This Row],[Unit weight RAC (g)]]&gt;250,5,7))</f>
        <v>1</v>
      </c>
      <c r="L473" s="302" t="str">
        <f>VLOOKUP(D473,input_values!$A$412:$BB$538,input_values!$AA$410,FALSE)</f>
        <v/>
      </c>
      <c r="M473" s="302">
        <f>VLOOKUP(D473,input_values!$A$412:$BB$538,input_values!$Y$410,FALSE)</f>
        <v>0.4</v>
      </c>
      <c r="N473" s="374" t="str">
        <f>IF(VLOOKUP(D473,input_values!$A$412:$BB$538,input_values!$L$410,FALSE)&lt;&gt;"",VLOOKUP(D473,input_values!$A$412:$BB$538,input_values!$L$410,FALSE),"")</f>
        <v/>
      </c>
      <c r="O473" s="603">
        <v>17.869565217391305</v>
      </c>
      <c r="P473" s="375" t="s">
        <v>420</v>
      </c>
      <c r="Q473" s="375" t="s">
        <v>259</v>
      </c>
      <c r="R473" s="377">
        <v>18.399999999999999</v>
      </c>
      <c r="S473" s="326">
        <f t="shared" si="67"/>
        <v>328.79999999999995</v>
      </c>
      <c r="T473" s="376"/>
      <c r="U473" s="574"/>
      <c r="V473" s="376"/>
      <c r="W473" s="574"/>
      <c r="X473" s="378">
        <v>3</v>
      </c>
      <c r="Y473" s="64">
        <f>IF(OR(Table5[[#This Row],[Case]]=1,Table5[[#This Row],[Case]]=3),1,IF(N473="",K473,N473))</f>
        <v>1</v>
      </c>
      <c r="Z473" s="379" t="str">
        <f t="shared" si="68"/>
        <v>ND</v>
      </c>
      <c r="AA473" s="380" t="str">
        <f t="shared" si="69"/>
        <v>no acute risk assessment</v>
      </c>
      <c r="AB473" s="64">
        <f>IF(OR(Table5[[#This Row],[Case]]=3,Table5[[#This Row],[Case]]=1),1,IF(Table5[[#This Row],[Variability factor for IESTI ]]&lt;3,Table5[[#This Row],[Variability factor for IESTI ]],3))</f>
        <v>1</v>
      </c>
      <c r="AC473" s="379" t="str">
        <f t="shared" si="70"/>
        <v>ND</v>
      </c>
      <c r="AD473" s="380" t="str">
        <f>IF($C$5="not necessary","no acute RA",IF(AC473="ND","no acute RA",IF(Table5[[#This Row],[IESTI new (mg/kg bw)]]&lt;&gt;"",AC473/$C$5,0)))</f>
        <v>no acute RA</v>
      </c>
      <c r="AE473" s="339" t="str">
        <f t="shared" si="65"/>
        <v/>
      </c>
      <c r="AF473" s="339" t="str">
        <f t="shared" si="66"/>
        <v/>
      </c>
      <c r="AG473" s="381" t="str">
        <f>IF(OR(Z473=0,Z473="ND",Z473="",$C$5="not necessary"),"",IF(X473="2a",1000*$C$5*R473/Table5[[#This Row],[Processing factor]]/(T473*Y473+S473-T473),IF(X473="2b",1000*$C$5*R473/Table5[[#This Row],[Processing factor]]/S473/Y473,IF(OR(X473=1,X473=3),1000*$C$5*R473/Table5[[#This Row],[Processing factor]]/S473,""))))</f>
        <v/>
      </c>
      <c r="AH473" s="495" t="str">
        <f>IF(OR(AC473=0,AC473="ND",$C$5="not necessary"),"",1000*$C$5*R473/Table5[[#This Row],[Processing factor]]/S473/AB473)</f>
        <v/>
      </c>
      <c r="AI473" s="313"/>
      <c r="AJ473" s="382"/>
    </row>
    <row r="474" spans="1:36" s="11" customFormat="1" ht="12" customHeight="1" x14ac:dyDescent="0.2">
      <c r="A474" s="494"/>
      <c r="B474" s="23">
        <v>401020</v>
      </c>
      <c r="C474" s="325" t="s">
        <v>405</v>
      </c>
      <c r="D474" s="373" t="str">
        <f>VLOOKUP(C474,input_values!$C$412:$BG$538,input_values!$BG$410-2,0)</f>
        <v>PROC-401020-25</v>
      </c>
      <c r="E474" s="567">
        <f>VLOOKUP(B474,input_values!$B$412:$M$538,4,FALSE)</f>
        <v>0</v>
      </c>
      <c r="F474" s="451" t="str">
        <f>VLOOKUP($D474,Table6[[Identifyer]:[Acute RA IESTI new input value]],input_values!$Q$410,FALSE)</f>
        <v/>
      </c>
      <c r="G474" s="451" t="str">
        <f>VLOOKUP($D474,Table6[[Identifyer]:[Acute RA IESTI new input value]],input_values!$P$410,FALSE)</f>
        <v/>
      </c>
      <c r="H474" s="451">
        <f>VLOOKUP($D474,Table6[[Identifyer]:[Acute RA IESTI new input value]],input_values!$S$410,FALSE)</f>
        <v>0</v>
      </c>
      <c r="I474" s="451" t="str">
        <f>VLOOKUP($D474,Table6[[Identifyer]:[Acute RA IESTI new input value]],input_values!$R$410,FALSE)</f>
        <v/>
      </c>
      <c r="J474" s="65"/>
      <c r="K474" s="301">
        <f>IF(Table5[[#This Row],[Unit weight RAC (g)]]="",1,IF(Table5[[#This Row],[Unit weight RAC (g)]]&gt;250,5,7))</f>
        <v>1</v>
      </c>
      <c r="L474" s="302" t="str">
        <f>VLOOKUP(D474,input_values!$A$412:$BB$538,input_values!$AA$410,FALSE)</f>
        <v/>
      </c>
      <c r="M474" s="302">
        <f>VLOOKUP(D474,input_values!$A$412:$BB$538,input_values!$Y$410,FALSE)</f>
        <v>1</v>
      </c>
      <c r="N474" s="374" t="str">
        <f>IF(VLOOKUP(D474,input_values!$A$412:$BB$538,input_values!$L$410,FALSE)&lt;&gt;"",VLOOKUP(D474,input_values!$A$412:$BB$538,input_values!$L$410,FALSE),"")</f>
        <v/>
      </c>
      <c r="O474" s="603">
        <v>3.6195652173913042</v>
      </c>
      <c r="P474" s="375" t="s">
        <v>20</v>
      </c>
      <c r="Q474" s="375" t="s">
        <v>259</v>
      </c>
      <c r="R474" s="377">
        <v>18.399999999999999</v>
      </c>
      <c r="S474" s="326">
        <f t="shared" si="67"/>
        <v>66.599999999999994</v>
      </c>
      <c r="T474" s="376"/>
      <c r="U474" s="574"/>
      <c r="V474" s="376"/>
      <c r="W474" s="574"/>
      <c r="X474" s="378">
        <v>3</v>
      </c>
      <c r="Y474" s="64">
        <f>IF(OR(Table5[[#This Row],[Case]]=1,Table5[[#This Row],[Case]]=3),1,IF(N474="",K474,N474))</f>
        <v>1</v>
      </c>
      <c r="Z474" s="379" t="str">
        <f t="shared" si="68"/>
        <v>ND</v>
      </c>
      <c r="AA474" s="380" t="str">
        <f t="shared" si="69"/>
        <v>no acute risk assessment</v>
      </c>
      <c r="AB474" s="64">
        <f>IF(OR(Table5[[#This Row],[Case]]=3,Table5[[#This Row],[Case]]=1),1,IF(Table5[[#This Row],[Variability factor for IESTI ]]&lt;3,Table5[[#This Row],[Variability factor for IESTI ]],3))</f>
        <v>1</v>
      </c>
      <c r="AC474" s="379" t="str">
        <f t="shared" si="70"/>
        <v>ND</v>
      </c>
      <c r="AD474" s="380" t="str">
        <f>IF($C$5="not necessary","no acute RA",IF(AC474="ND","no acute RA",IF(Table5[[#This Row],[IESTI new (mg/kg bw)]]&lt;&gt;"",AC474/$C$5,0)))</f>
        <v>no acute RA</v>
      </c>
      <c r="AE474" s="339" t="str">
        <f t="shared" si="65"/>
        <v/>
      </c>
      <c r="AF474" s="339" t="str">
        <f t="shared" si="66"/>
        <v/>
      </c>
      <c r="AG474" s="381" t="str">
        <f>IF(OR(Z474=0,Z474="ND",Z474="",$C$5="not necessary"),"",IF(X474="2a",1000*$C$5*R474/Table5[[#This Row],[Processing factor]]/(T474*Y474+S474-T474),IF(X474="2b",1000*$C$5*R474/Table5[[#This Row],[Processing factor]]/S474/Y474,IF(OR(X474=1,X474=3),1000*$C$5*R474/Table5[[#This Row],[Processing factor]]/S474,""))))</f>
        <v/>
      </c>
      <c r="AH474" s="495" t="str">
        <f>IF(OR(AC474=0,AC474="ND",$C$5="not necessary"),"",1000*$C$5*R474/Table5[[#This Row],[Processing factor]]/S474/AB474)</f>
        <v/>
      </c>
      <c r="AI474" s="313"/>
      <c r="AJ474" s="382"/>
    </row>
    <row r="475" spans="1:36" s="11" customFormat="1" ht="12" customHeight="1" x14ac:dyDescent="0.2">
      <c r="A475" s="494"/>
      <c r="B475" s="23">
        <v>401050</v>
      </c>
      <c r="C475" s="325" t="s">
        <v>838</v>
      </c>
      <c r="D475" s="373" t="str">
        <f>VLOOKUP(C475,input_values!$C$412:$BG$538,input_values!$BG$410-2,0)</f>
        <v>PROC-401050-1</v>
      </c>
      <c r="E475" s="567">
        <f>VLOOKUP(B475,input_values!$B$412:$M$538,4,FALSE)</f>
        <v>0</v>
      </c>
      <c r="F475" s="451" t="str">
        <f>VLOOKUP($D475,Table6[[Identifyer]:[Acute RA IESTI new input value]],input_values!$Q$410,FALSE)</f>
        <v/>
      </c>
      <c r="G475" s="451" t="str">
        <f>VLOOKUP($D475,Table6[[Identifyer]:[Acute RA IESTI new input value]],input_values!$P$410,FALSE)</f>
        <v/>
      </c>
      <c r="H475" s="451">
        <f>VLOOKUP($D475,Table6[[Identifyer]:[Acute RA IESTI new input value]],input_values!$S$410,FALSE)</f>
        <v>0</v>
      </c>
      <c r="I475" s="451" t="str">
        <f>VLOOKUP($D475,Table6[[Identifyer]:[Acute RA IESTI new input value]],input_values!$R$410,FALSE)</f>
        <v/>
      </c>
      <c r="J475" s="65"/>
      <c r="K475" s="301">
        <f>IF(Table5[[#This Row],[Unit weight RAC (g)]]="",1,IF(Table5[[#This Row],[Unit weight RAC (g)]]&gt;250,5,7))</f>
        <v>1</v>
      </c>
      <c r="L475" s="302" t="str">
        <f>VLOOKUP(D475,input_values!$A$412:$BB$538,input_values!$AA$410,FALSE)</f>
        <v/>
      </c>
      <c r="M475" s="302">
        <f>VLOOKUP(D475,input_values!$A$412:$BB$538,input_values!$Y$410,FALSE)</f>
        <v>2</v>
      </c>
      <c r="N475" s="374" t="str">
        <f>IF(VLOOKUP(D475,input_values!$A$412:$BB$538,input_values!$L$410,FALSE)&lt;&gt;"",VLOOKUP(D475,input_values!$A$412:$BB$538,input_values!$L$410,FALSE),"")</f>
        <v/>
      </c>
      <c r="O475" s="603">
        <v>1.173913043478261</v>
      </c>
      <c r="P475" s="375" t="s">
        <v>20</v>
      </c>
      <c r="Q475" s="375" t="s">
        <v>259</v>
      </c>
      <c r="R475" s="377">
        <v>18.399999999999999</v>
      </c>
      <c r="S475" s="326">
        <f t="shared" si="67"/>
        <v>21.6</v>
      </c>
      <c r="T475" s="376"/>
      <c r="U475" s="574"/>
      <c r="V475" s="376"/>
      <c r="W475" s="574"/>
      <c r="X475" s="378">
        <v>3</v>
      </c>
      <c r="Y475" s="64">
        <f>IF(OR(Table5[[#This Row],[Case]]=1,Table5[[#This Row],[Case]]=3),1,IF(N475="",K475,N475))</f>
        <v>1</v>
      </c>
      <c r="Z475" s="379" t="str">
        <f t="shared" si="68"/>
        <v>ND</v>
      </c>
      <c r="AA475" s="380" t="str">
        <f t="shared" si="69"/>
        <v>no acute risk assessment</v>
      </c>
      <c r="AB475" s="64">
        <f>IF(OR(Table5[[#This Row],[Case]]=3,Table5[[#This Row],[Case]]=1),1,IF(Table5[[#This Row],[Variability factor for IESTI ]]&lt;3,Table5[[#This Row],[Variability factor for IESTI ]],3))</f>
        <v>1</v>
      </c>
      <c r="AC475" s="379" t="str">
        <f t="shared" si="70"/>
        <v>ND</v>
      </c>
      <c r="AD475" s="380" t="str">
        <f>IF($C$5="not necessary","no acute RA",IF(AC475="ND","no acute RA",IF(Table5[[#This Row],[IESTI new (mg/kg bw)]]&lt;&gt;"",AC475/$C$5,0)))</f>
        <v>no acute RA</v>
      </c>
      <c r="AE475" s="339" t="str">
        <f t="shared" si="65"/>
        <v/>
      </c>
      <c r="AF475" s="339" t="str">
        <f t="shared" si="66"/>
        <v/>
      </c>
      <c r="AG475" s="381" t="str">
        <f>IF(OR(Z475=0,Z475="ND",Z475="",$C$5="not necessary"),"",IF(X475="2a",1000*$C$5*R475/Table5[[#This Row],[Processing factor]]/(T475*Y475+S475-T475),IF(X475="2b",1000*$C$5*R475/Table5[[#This Row],[Processing factor]]/S475/Y475,IF(OR(X475=1,X475=3),1000*$C$5*R475/Table5[[#This Row],[Processing factor]]/S475,""))))</f>
        <v/>
      </c>
      <c r="AH475" s="495" t="str">
        <f>IF(OR(AC475=0,AC475="ND",$C$5="not necessary"),"",1000*$C$5*R475/Table5[[#This Row],[Processing factor]]/S475/AB475)</f>
        <v/>
      </c>
      <c r="AI475" s="313"/>
      <c r="AJ475" s="382"/>
    </row>
    <row r="476" spans="1:36" s="11" customFormat="1" ht="12" customHeight="1" x14ac:dyDescent="0.2">
      <c r="A476" s="494"/>
      <c r="B476" s="23">
        <v>401060</v>
      </c>
      <c r="C476" s="325" t="s">
        <v>1146</v>
      </c>
      <c r="D476" s="373" t="str">
        <f>VLOOKUP(C476,input_values!$C$412:$BG$538,input_values!$BG$410-2,0)</f>
        <v>PROC-401060-98</v>
      </c>
      <c r="E476" s="567">
        <f>VLOOKUP(B476,input_values!$B$412:$M$538,4,FALSE)</f>
        <v>0</v>
      </c>
      <c r="F476" s="451" t="str">
        <f>VLOOKUP($D476,Table6[[Identifyer]:[Acute RA IESTI new input value]],input_values!$Q$410,FALSE)</f>
        <v/>
      </c>
      <c r="G476" s="451" t="str">
        <f>VLOOKUP($D476,Table6[[Identifyer]:[Acute RA IESTI new input value]],input_values!$P$410,FALSE)</f>
        <v/>
      </c>
      <c r="H476" s="451">
        <f>VLOOKUP($D476,Table6[[Identifyer]:[Acute RA IESTI new input value]],input_values!$S$410,FALSE)</f>
        <v>0</v>
      </c>
      <c r="I476" s="451" t="str">
        <f>VLOOKUP($D476,Table6[[Identifyer]:[Acute RA IESTI new input value]],input_values!$R$410,FALSE)</f>
        <v/>
      </c>
      <c r="J476" s="65"/>
      <c r="K476" s="301">
        <f>IF(Table5[[#This Row],[Unit weight RAC (g)]]="",1,IF(Table5[[#This Row],[Unit weight RAC (g)]]&gt;250,5,7))</f>
        <v>1</v>
      </c>
      <c r="L476" s="302" t="str">
        <f>VLOOKUP(D476,input_values!$A$412:$BB$538,input_values!$AA$410,FALSE)</f>
        <v/>
      </c>
      <c r="M476" s="302">
        <f>VLOOKUP(D476,input_values!$A$412:$BB$538,input_values!$Y$410,FALSE)</f>
        <v>2</v>
      </c>
      <c r="N476" s="374" t="str">
        <f>IF(VLOOKUP(D476,input_values!$A$412:$BB$538,input_values!$L$410,FALSE)&lt;&gt;"",VLOOKUP(D476,input_values!$A$412:$BB$538,input_values!$L$410,FALSE),"")</f>
        <v/>
      </c>
      <c r="O476" s="603">
        <v>0.29399999999999998</v>
      </c>
      <c r="P476" s="375" t="s">
        <v>20</v>
      </c>
      <c r="Q476" s="375" t="s">
        <v>329</v>
      </c>
      <c r="R476" s="377">
        <v>10.199999999999999</v>
      </c>
      <c r="S476" s="326">
        <f t="shared" ref="S476:S507" si="71">O476*R476</f>
        <v>2.9987999999999997</v>
      </c>
      <c r="T476" s="376"/>
      <c r="U476" s="574"/>
      <c r="V476" s="376"/>
      <c r="W476" s="574"/>
      <c r="X476" s="378">
        <v>3</v>
      </c>
      <c r="Y476" s="64">
        <f>IF(OR(Table5[[#This Row],[Case]]=1,Table5[[#This Row],[Case]]=3),1,IF(N476="",K476,N476))</f>
        <v>1</v>
      </c>
      <c r="Z476" s="379" t="str">
        <f>IF(F476&lt;&gt;"",IF(OR($X476=3,$X476=1),1/$R476*($F476*$S476/1000*$Y476),IF(($X476="2a"),1/$R476*(($F476*$T476/1000*$Y476)+($F476*($S476-$T476)/1000)),IF($X476="2b",1/$R476*($F476*$S476/1000*$Y476)))),"ND")</f>
        <v>ND</v>
      </c>
      <c r="AA476" s="380" t="str">
        <f t="shared" ref="AA476:AA507" si="72">IF($C$5="not necessary","no acute risk assessment",IF(Z476="ND","no acute risk assessment",Z476/$C$5))</f>
        <v>no acute risk assessment</v>
      </c>
      <c r="AB476" s="64">
        <f>IF(OR(Table5[[#This Row],[Case]]=3,Table5[[#This Row],[Case]]=1),1,IF(Table5[[#This Row],[Variability factor for IESTI ]]&lt;3,Table5[[#This Row],[Variability factor for IESTI ]],3))</f>
        <v>1</v>
      </c>
      <c r="AC476" s="379" t="str">
        <f t="shared" ref="AC476:AC507" si="73">IF(OR(ISTEXT(H476),H476=0),"ND",1/$R476*($H476*$S476*AB476/1000))</f>
        <v>ND</v>
      </c>
      <c r="AD476" s="380" t="str">
        <f>IF($C$5="not necessary","no acute RA",IF(AC476="ND","no acute RA",IF(Table5[[#This Row],[IESTI new (mg/kg bw)]]&lt;&gt;"",AC476/$C$5,0)))</f>
        <v>no acute RA</v>
      </c>
      <c r="AE476" s="339" t="str">
        <f t="shared" si="65"/>
        <v/>
      </c>
      <c r="AF476" s="339" t="str">
        <f t="shared" si="66"/>
        <v/>
      </c>
      <c r="AG476" s="381" t="str">
        <f>IF(OR(Z476=0,Z476="ND",Z476="",$C$5="not necessary"),"",IF(X476="2a",1000*$C$5*R476/Table5[[#This Row],[Processing factor]]/(T476*Y476+S476-T476),IF(X476="2b",1000*$C$5*R476/Table5[[#This Row],[Processing factor]]/S476/Y476,IF(OR(X476=1,X476=3),1000*$C$5*R476/Table5[[#This Row],[Processing factor]]/S476,""))))</f>
        <v/>
      </c>
      <c r="AH476" s="495" t="str">
        <f>IF(OR(AC476=0,AC476="ND",$C$5="not necessary"),"",1000*$C$5*R476/Table5[[#This Row],[Processing factor]]/S476/AB476)</f>
        <v/>
      </c>
      <c r="AI476" s="313"/>
      <c r="AJ476" s="382"/>
    </row>
    <row r="477" spans="1:36" s="11" customFormat="1" ht="12" customHeight="1" x14ac:dyDescent="0.2">
      <c r="A477" s="494"/>
      <c r="B477" s="23">
        <v>401070</v>
      </c>
      <c r="C477" s="325" t="s">
        <v>1906</v>
      </c>
      <c r="D477" s="373" t="str">
        <f>VLOOKUP(C477,input_values!$C$412:$BG$538,input_values!$BG$410-2,0)</f>
        <v>PROC-401070-27</v>
      </c>
      <c r="E477" s="567">
        <f>VLOOKUP(B477,input_values!$B$412:$M$538,4,FALSE)</f>
        <v>0</v>
      </c>
      <c r="F477" s="451" t="str">
        <f>VLOOKUP($D477,Table6[[Identifyer]:[Acute RA IESTI new input value]],input_values!$Q$410,FALSE)</f>
        <v/>
      </c>
      <c r="G477" s="451" t="str">
        <f>VLOOKUP($D477,Table6[[Identifyer]:[Acute RA IESTI new input value]],input_values!$P$410,FALSE)</f>
        <v/>
      </c>
      <c r="H477" s="451">
        <f>VLOOKUP($D477,Table6[[Identifyer]:[Acute RA IESTI new input value]],input_values!$S$410,FALSE)</f>
        <v>0</v>
      </c>
      <c r="I477" s="451" t="str">
        <f>VLOOKUP($D477,Table6[[Identifyer]:[Acute RA IESTI new input value]],input_values!$R$410,FALSE)</f>
        <v/>
      </c>
      <c r="J477" s="65"/>
      <c r="K477" s="301">
        <f>IF(Table5[[#This Row],[Unit weight RAC (g)]]="",1,IF(Table5[[#This Row],[Unit weight RAC (g)]]&gt;250,5,7))</f>
        <v>1</v>
      </c>
      <c r="L477" s="302" t="str">
        <f>VLOOKUP(D477,input_values!$A$412:$BB$538,input_values!$AA$410,FALSE)</f>
        <v/>
      </c>
      <c r="M477" s="302">
        <f>VLOOKUP(D477,input_values!$A$412:$BB$538,input_values!$Y$410,FALSE)</f>
        <v>1</v>
      </c>
      <c r="N477" s="374" t="str">
        <f>IF(VLOOKUP(D477,input_values!$A$412:$BB$538,input_values!$L$410,FALSE)&lt;&gt;"",VLOOKUP(D477,input_values!$A$412:$BB$538,input_values!$L$410,FALSE),"")</f>
        <v/>
      </c>
      <c r="O477" s="603">
        <v>4.1862745098039218</v>
      </c>
      <c r="P477" s="375" t="s">
        <v>417</v>
      </c>
      <c r="Q477" s="375" t="s">
        <v>329</v>
      </c>
      <c r="R477" s="377">
        <v>10.199999999999999</v>
      </c>
      <c r="S477" s="326">
        <f t="shared" si="71"/>
        <v>42.7</v>
      </c>
      <c r="T477" s="376"/>
      <c r="U477" s="574"/>
      <c r="V477" s="376"/>
      <c r="W477" s="574"/>
      <c r="X477" s="378">
        <v>3</v>
      </c>
      <c r="Y477" s="64">
        <f>IF(OR(Table5[[#This Row],[Case]]=1,Table5[[#This Row],[Case]]=3),1,IF(N477="",K477,N477))</f>
        <v>1</v>
      </c>
      <c r="Z477" s="379" t="str">
        <f t="shared" ref="Z477:Z507" si="74">IF(F477&lt;&gt;"",IF(OR($X477=3,$X477=1),1/$R477*($F477*$S477/1000*$Y477),IF(($X477="2a"),1/$R477*(($F477*$T477/1000*$Y477)+($F477*($S477-$T477)/1000)),IF($X477="2b",1/$R477*($F477*$S477/1000*$Y477)))),"ND")</f>
        <v>ND</v>
      </c>
      <c r="AA477" s="380" t="str">
        <f t="shared" si="72"/>
        <v>no acute risk assessment</v>
      </c>
      <c r="AB477" s="64">
        <f>IF(OR(Table5[[#This Row],[Case]]=3,Table5[[#This Row],[Case]]=1),1,IF(Table5[[#This Row],[Variability factor for IESTI ]]&lt;3,Table5[[#This Row],[Variability factor for IESTI ]],3))</f>
        <v>1</v>
      </c>
      <c r="AC477" s="379" t="str">
        <f t="shared" si="73"/>
        <v>ND</v>
      </c>
      <c r="AD477" s="380" t="str">
        <f>IF($C$5="not necessary","no acute RA",IF(AC477="ND","no acute RA",IF(Table5[[#This Row],[IESTI new (mg/kg bw)]]&lt;&gt;"",AC477/$C$5,0)))</f>
        <v>no acute RA</v>
      </c>
      <c r="AE477" s="339" t="str">
        <f t="shared" ref="AE477:AE507" si="75">IF(AA477&gt;=1,AG477,"")</f>
        <v/>
      </c>
      <c r="AF477" s="339" t="str">
        <f t="shared" ref="AF477:AF507" si="76">IF(AD477&gt;=1,AH477,"")</f>
        <v/>
      </c>
      <c r="AG477" s="381" t="str">
        <f>IF(OR(Z477=0,Z477="ND",Z477="",$C$5="not necessary"),"",IF(X477="2a",1000*$C$5*R477/Table5[[#This Row],[Processing factor]]/(T477*Y477+S477-T477),IF(X477="2b",1000*$C$5*R477/Table5[[#This Row],[Processing factor]]/S477/Y477,IF(OR(X477=1,X477=3),1000*$C$5*R477/Table5[[#This Row],[Processing factor]]/S477,""))))</f>
        <v/>
      </c>
      <c r="AH477" s="495" t="str">
        <f>IF(OR(AC477=0,AC477="ND",$C$5="not necessary"),"",1000*$C$5*R477/Table5[[#This Row],[Processing factor]]/S477/AB477)</f>
        <v/>
      </c>
      <c r="AI477" s="313"/>
      <c r="AJ477" s="382"/>
    </row>
    <row r="478" spans="1:36" s="11" customFormat="1" ht="12" customHeight="1" x14ac:dyDescent="0.2">
      <c r="A478" s="494"/>
      <c r="B478" s="23">
        <v>401070</v>
      </c>
      <c r="C478" s="325" t="s">
        <v>839</v>
      </c>
      <c r="D478" s="373" t="str">
        <f>VLOOKUP(C478,input_values!$C$412:$BG$538,input_values!$BG$410-2,0)</f>
        <v>PROC-401070-3</v>
      </c>
      <c r="E478" s="567">
        <f>VLOOKUP(B478,input_values!$B$412:$M$538,4,FALSE)</f>
        <v>0</v>
      </c>
      <c r="F478" s="451" t="str">
        <f>VLOOKUP($D478,Table6[[Identifyer]:[Acute RA IESTI new input value]],input_values!$Q$410,FALSE)</f>
        <v/>
      </c>
      <c r="G478" s="451" t="str">
        <f>VLOOKUP($D478,Table6[[Identifyer]:[Acute RA IESTI new input value]],input_values!$P$410,FALSE)</f>
        <v/>
      </c>
      <c r="H478" s="451">
        <f>VLOOKUP($D478,Table6[[Identifyer]:[Acute RA IESTI new input value]],input_values!$S$410,FALSE)</f>
        <v>0</v>
      </c>
      <c r="I478" s="451" t="str">
        <f>VLOOKUP($D478,Table6[[Identifyer]:[Acute RA IESTI new input value]],input_values!$R$410,FALSE)</f>
        <v/>
      </c>
      <c r="J478" s="65"/>
      <c r="K478" s="301">
        <f>IF(Table5[[#This Row],[Unit weight RAC (g)]]="",1,IF(Table5[[#This Row],[Unit weight RAC (g)]]&gt;250,5,7))</f>
        <v>1</v>
      </c>
      <c r="L478" s="302" t="str">
        <f>VLOOKUP(D478,input_values!$A$412:$BB$538,input_values!$AA$410,FALSE)</f>
        <v/>
      </c>
      <c r="M478" s="302">
        <f>VLOOKUP(D478,input_values!$A$412:$BB$538,input_values!$Y$410,FALSE)</f>
        <v>0.4</v>
      </c>
      <c r="N478" s="374" t="str">
        <f>IF(VLOOKUP(D478,input_values!$A$412:$BB$538,input_values!$L$410,FALSE)&lt;&gt;"",VLOOKUP(D478,input_values!$A$412:$BB$538,input_values!$L$410,FALSE),"")</f>
        <v/>
      </c>
      <c r="O478" s="603">
        <v>3.6250000000000004</v>
      </c>
      <c r="P478" s="375" t="s">
        <v>20</v>
      </c>
      <c r="Q478" s="375" t="s">
        <v>259</v>
      </c>
      <c r="R478" s="377">
        <v>18.399999999999999</v>
      </c>
      <c r="S478" s="326">
        <f t="shared" si="71"/>
        <v>66.7</v>
      </c>
      <c r="T478" s="376"/>
      <c r="U478" s="574"/>
      <c r="V478" s="376"/>
      <c r="W478" s="574"/>
      <c r="X478" s="378">
        <v>3</v>
      </c>
      <c r="Y478" s="64">
        <f>IF(OR(Table5[[#This Row],[Case]]=1,Table5[[#This Row],[Case]]=3),1,IF(N478="",K478,N478))</f>
        <v>1</v>
      </c>
      <c r="Z478" s="379" t="str">
        <f t="shared" si="74"/>
        <v>ND</v>
      </c>
      <c r="AA478" s="380" t="str">
        <f t="shared" si="72"/>
        <v>no acute risk assessment</v>
      </c>
      <c r="AB478" s="64">
        <f>IF(OR(Table5[[#This Row],[Case]]=3,Table5[[#This Row],[Case]]=1),1,IF(Table5[[#This Row],[Variability factor for IESTI ]]&lt;3,Table5[[#This Row],[Variability factor for IESTI ]],3))</f>
        <v>1</v>
      </c>
      <c r="AC478" s="379" t="str">
        <f t="shared" si="73"/>
        <v>ND</v>
      </c>
      <c r="AD478" s="380" t="str">
        <f>IF($C$5="not necessary","no acute RA",IF(AC478="ND","no acute RA",IF(Table5[[#This Row],[IESTI new (mg/kg bw)]]&lt;&gt;"",AC478/$C$5,0)))</f>
        <v>no acute RA</v>
      </c>
      <c r="AE478" s="339" t="str">
        <f t="shared" si="75"/>
        <v/>
      </c>
      <c r="AF478" s="339" t="str">
        <f t="shared" si="76"/>
        <v/>
      </c>
      <c r="AG478" s="381" t="str">
        <f>IF(OR(Z478=0,Z478="ND",Z478="",$C$5="not necessary"),"",IF(X478="2a",1000*$C$5*R478/Table5[[#This Row],[Processing factor]]/(T478*Y478+S478-T478),IF(X478="2b",1000*$C$5*R478/Table5[[#This Row],[Processing factor]]/S478/Y478,IF(OR(X478=1,X478=3),1000*$C$5*R478/Table5[[#This Row],[Processing factor]]/S478,""))))</f>
        <v/>
      </c>
      <c r="AH478" s="495" t="str">
        <f>IF(OR(AC478=0,AC478="ND",$C$5="not necessary"),"",1000*$C$5*R478/Table5[[#This Row],[Processing factor]]/S478/AB478)</f>
        <v/>
      </c>
      <c r="AI478" s="313"/>
      <c r="AJ478" s="382"/>
    </row>
    <row r="479" spans="1:36" s="11" customFormat="1" ht="12" customHeight="1" x14ac:dyDescent="0.2">
      <c r="A479" s="494"/>
      <c r="B479" s="23">
        <v>402010</v>
      </c>
      <c r="C479" s="325" t="s">
        <v>428</v>
      </c>
      <c r="D479" s="373" t="str">
        <f>VLOOKUP(C479,input_values!$C$412:$BG$538,input_values!$BG$410-2,0)</f>
        <v>PROC-402010-12</v>
      </c>
      <c r="E479" s="567">
        <f>VLOOKUP(B479,input_values!$B$412:$M$538,4,FALSE)</f>
        <v>0</v>
      </c>
      <c r="F479" s="451" t="str">
        <f>VLOOKUP($D479,Table6[[Identifyer]:[Acute RA IESTI new input value]],input_values!$Q$410,FALSE)</f>
        <v/>
      </c>
      <c r="G479" s="451" t="str">
        <f>VLOOKUP($D479,Table6[[Identifyer]:[Acute RA IESTI new input value]],input_values!$P$410,FALSE)</f>
        <v/>
      </c>
      <c r="H479" s="451">
        <f>VLOOKUP($D479,Table6[[Identifyer]:[Acute RA IESTI new input value]],input_values!$S$410,FALSE)</f>
        <v>0</v>
      </c>
      <c r="I479" s="451" t="str">
        <f>VLOOKUP($D479,Table6[[Identifyer]:[Acute RA IESTI new input value]],input_values!$R$410,FALSE)</f>
        <v/>
      </c>
      <c r="J479" s="65"/>
      <c r="K479" s="301">
        <f>IF(Table5[[#This Row],[Unit weight RAC (g)]]="",1,IF(Table5[[#This Row],[Unit weight RAC (g)]]&gt;250,5,7))</f>
        <v>1</v>
      </c>
      <c r="L479" s="302" t="str">
        <f>VLOOKUP(D479,input_values!$A$412:$BB$538,input_values!$AA$410,FALSE)</f>
        <v/>
      </c>
      <c r="M479" s="302">
        <f>VLOOKUP(D479,input_values!$A$412:$BB$538,input_values!$Y$410,FALSE)</f>
        <v>2</v>
      </c>
      <c r="N479" s="374" t="str">
        <f>IF(VLOOKUP(D479,input_values!$A$412:$BB$538,input_values!$L$410,FALSE)&lt;&gt;"",VLOOKUP(D479,input_values!$A$412:$BB$538,input_values!$L$410,FALSE),"")</f>
        <v/>
      </c>
      <c r="O479" s="603">
        <v>0.92156862745098045</v>
      </c>
      <c r="P479" s="375" t="s">
        <v>20</v>
      </c>
      <c r="Q479" s="375" t="s">
        <v>329</v>
      </c>
      <c r="R479" s="377">
        <v>10.199999999999999</v>
      </c>
      <c r="S479" s="326">
        <f t="shared" si="71"/>
        <v>9.4</v>
      </c>
      <c r="T479" s="376"/>
      <c r="U479" s="574"/>
      <c r="V479" s="376"/>
      <c r="W479" s="574"/>
      <c r="X479" s="378">
        <v>3</v>
      </c>
      <c r="Y479" s="64">
        <f>IF(OR(Table5[[#This Row],[Case]]=1,Table5[[#This Row],[Case]]=3),1,IF(N479="",K479,N479))</f>
        <v>1</v>
      </c>
      <c r="Z479" s="379" t="str">
        <f t="shared" si="74"/>
        <v>ND</v>
      </c>
      <c r="AA479" s="380" t="str">
        <f t="shared" si="72"/>
        <v>no acute risk assessment</v>
      </c>
      <c r="AB479" s="64">
        <f>IF(OR(Table5[[#This Row],[Case]]=3,Table5[[#This Row],[Case]]=1),1,IF(Table5[[#This Row],[Variability factor for IESTI ]]&lt;3,Table5[[#This Row],[Variability factor for IESTI ]],3))</f>
        <v>1</v>
      </c>
      <c r="AC479" s="379" t="str">
        <f t="shared" si="73"/>
        <v>ND</v>
      </c>
      <c r="AD479" s="380" t="str">
        <f>IF($C$5="not necessary","no acute RA",IF(AC479="ND","no acute RA",IF(Table5[[#This Row],[IESTI new (mg/kg bw)]]&lt;&gt;"",AC479/$C$5,0)))</f>
        <v>no acute RA</v>
      </c>
      <c r="AE479" s="339" t="str">
        <f t="shared" si="75"/>
        <v/>
      </c>
      <c r="AF479" s="339" t="str">
        <f t="shared" si="76"/>
        <v/>
      </c>
      <c r="AG479" s="381" t="str">
        <f>IF(OR(Z479=0,Z479="ND",Z479="",$C$5="not necessary"),"",IF(X479="2a",1000*$C$5*R479/Table5[[#This Row],[Processing factor]]/(T479*Y479+S479-T479),IF(X479="2b",1000*$C$5*R479/Table5[[#This Row],[Processing factor]]/S479/Y479,IF(OR(X479=1,X479=3),1000*$C$5*R479/Table5[[#This Row],[Processing factor]]/S479,""))))</f>
        <v/>
      </c>
      <c r="AH479" s="495" t="str">
        <f>IF(OR(AC479=0,AC479="ND",$C$5="not necessary"),"",1000*$C$5*R479/Table5[[#This Row],[Processing factor]]/S479/AB479)</f>
        <v/>
      </c>
      <c r="AI479" s="313"/>
      <c r="AJ479" s="382"/>
    </row>
    <row r="480" spans="1:36" s="11" customFormat="1" ht="12" customHeight="1" x14ac:dyDescent="0.2">
      <c r="A480" s="494"/>
      <c r="B480" s="23">
        <v>402020</v>
      </c>
      <c r="C480" s="325" t="s">
        <v>840</v>
      </c>
      <c r="D480" s="373" t="str">
        <f>VLOOKUP(C480,input_values!$C$412:$BG$538,input_values!$BG$410-2,0)</f>
        <v>PROC-402020-98</v>
      </c>
      <c r="E480" s="567">
        <f>VLOOKUP(B480,input_values!$B$412:$M$538,4,FALSE)</f>
        <v>0</v>
      </c>
      <c r="F480" s="451" t="str">
        <f>VLOOKUP($D480,Table6[[Identifyer]:[Acute RA IESTI new input value]],input_values!$Q$410,FALSE)</f>
        <v/>
      </c>
      <c r="G480" s="451" t="str">
        <f>VLOOKUP($D480,Table6[[Identifyer]:[Acute RA IESTI new input value]],input_values!$P$410,FALSE)</f>
        <v/>
      </c>
      <c r="H480" s="451">
        <f>VLOOKUP($D480,Table6[[Identifyer]:[Acute RA IESTI new input value]],input_values!$S$410,FALSE)</f>
        <v>0</v>
      </c>
      <c r="I480" s="451" t="str">
        <f>VLOOKUP($D480,Table6[[Identifyer]:[Acute RA IESTI new input value]],input_values!$R$410,FALSE)</f>
        <v/>
      </c>
      <c r="J480" s="65"/>
      <c r="K480" s="301">
        <f>IF(Table5[[#This Row],[Unit weight RAC (g)]]="",1,IF(Table5[[#This Row],[Unit weight RAC (g)]]&gt;250,5,7))</f>
        <v>1</v>
      </c>
      <c r="L480" s="302" t="str">
        <f>VLOOKUP(D480,input_values!$A$412:$BB$538,input_values!$AA$410,FALSE)</f>
        <v/>
      </c>
      <c r="M480" s="302">
        <f>VLOOKUP(D480,input_values!$A$412:$BB$538,input_values!$Y$410,FALSE)</f>
        <v>1</v>
      </c>
      <c r="N480" s="374" t="str">
        <f>IF(VLOOKUP(D480,input_values!$A$412:$BB$538,input_values!$L$410,FALSE)&lt;&gt;"",VLOOKUP(D480,input_values!$A$412:$BB$538,input_values!$L$410,FALSE),"")</f>
        <v/>
      </c>
      <c r="O480" s="603">
        <v>0.84313725490196079</v>
      </c>
      <c r="P480" s="375" t="s">
        <v>20</v>
      </c>
      <c r="Q480" s="375" t="s">
        <v>329</v>
      </c>
      <c r="R480" s="377">
        <v>10.199999999999999</v>
      </c>
      <c r="S480" s="326">
        <f t="shared" si="71"/>
        <v>8.6</v>
      </c>
      <c r="T480" s="376"/>
      <c r="U480" s="574"/>
      <c r="V480" s="376"/>
      <c r="W480" s="574"/>
      <c r="X480" s="378">
        <v>3</v>
      </c>
      <c r="Y480" s="64">
        <f>IF(OR(Table5[[#This Row],[Case]]=1,Table5[[#This Row],[Case]]=3),1,IF(N480="",K480,N480))</f>
        <v>1</v>
      </c>
      <c r="Z480" s="379" t="str">
        <f t="shared" si="74"/>
        <v>ND</v>
      </c>
      <c r="AA480" s="380" t="str">
        <f t="shared" si="72"/>
        <v>no acute risk assessment</v>
      </c>
      <c r="AB480" s="64">
        <f>IF(OR(Table5[[#This Row],[Case]]=3,Table5[[#This Row],[Case]]=1),1,IF(Table5[[#This Row],[Variability factor for IESTI ]]&lt;3,Table5[[#This Row],[Variability factor for IESTI ]],3))</f>
        <v>1</v>
      </c>
      <c r="AC480" s="379" t="str">
        <f t="shared" si="73"/>
        <v>ND</v>
      </c>
      <c r="AD480" s="380" t="str">
        <f>IF($C$5="not necessary","no acute RA",IF(AC480="ND","no acute RA",IF(Table5[[#This Row],[IESTI new (mg/kg bw)]]&lt;&gt;"",AC480/$C$5,0)))</f>
        <v>no acute RA</v>
      </c>
      <c r="AE480" s="339" t="str">
        <f t="shared" si="75"/>
        <v/>
      </c>
      <c r="AF480" s="339" t="str">
        <f t="shared" si="76"/>
        <v/>
      </c>
      <c r="AG480" s="381" t="str">
        <f>IF(OR(Z480=0,Z480="ND",Z480="",$C$5="not necessary"),"",IF(X480="2a",1000*$C$5*R480/Table5[[#This Row],[Processing factor]]/(T480*Y480+S480-T480),IF(X480="2b",1000*$C$5*R480/Table5[[#This Row],[Processing factor]]/S480/Y480,IF(OR(X480=1,X480=3),1000*$C$5*R480/Table5[[#This Row],[Processing factor]]/S480,""))))</f>
        <v/>
      </c>
      <c r="AH480" s="495" t="str">
        <f>IF(OR(AC480=0,AC480="ND",$C$5="not necessary"),"",1000*$C$5*R480/Table5[[#This Row],[Processing factor]]/S480/AB480)</f>
        <v/>
      </c>
      <c r="AI480" s="313"/>
      <c r="AJ480" s="382"/>
    </row>
    <row r="481" spans="1:36" s="11" customFormat="1" ht="12" customHeight="1" x14ac:dyDescent="0.2">
      <c r="A481" s="494"/>
      <c r="B481" s="23">
        <v>402030</v>
      </c>
      <c r="C481" s="325" t="s">
        <v>841</v>
      </c>
      <c r="D481" s="373" t="str">
        <f>VLOOKUP(C481,input_values!$C$412:$BG$538,input_values!$BG$410-2,0)</f>
        <v>PROC-402030-98</v>
      </c>
      <c r="E481" s="567">
        <f>VLOOKUP(B481,input_values!$B$412:$M$538,4,FALSE)</f>
        <v>0</v>
      </c>
      <c r="F481" s="451" t="str">
        <f>VLOOKUP($D481,Table6[[Identifyer]:[Acute RA IESTI new input value]],input_values!$Q$410,FALSE)</f>
        <v/>
      </c>
      <c r="G481" s="451" t="str">
        <f>VLOOKUP($D481,Table6[[Identifyer]:[Acute RA IESTI new input value]],input_values!$P$410,FALSE)</f>
        <v/>
      </c>
      <c r="H481" s="451">
        <f>VLOOKUP($D481,Table6[[Identifyer]:[Acute RA IESTI new input value]],input_values!$S$410,FALSE)</f>
        <v>0</v>
      </c>
      <c r="I481" s="451" t="str">
        <f>VLOOKUP($D481,Table6[[Identifyer]:[Acute RA IESTI new input value]],input_values!$R$410,FALSE)</f>
        <v/>
      </c>
      <c r="J481" s="65"/>
      <c r="K481" s="301">
        <f>IF(Table5[[#This Row],[Unit weight RAC (g)]]="",1,IF(Table5[[#This Row],[Unit weight RAC (g)]]&gt;250,5,7))</f>
        <v>1</v>
      </c>
      <c r="L481" s="302" t="str">
        <f>VLOOKUP(D481,input_values!$A$412:$BB$538,input_values!$AA$410,FALSE)</f>
        <v/>
      </c>
      <c r="M481" s="302">
        <f>VLOOKUP(D481,input_values!$A$412:$BB$538,input_values!$Y$410,FALSE)</f>
        <v>1</v>
      </c>
      <c r="N481" s="374" t="str">
        <f>IF(VLOOKUP(D481,input_values!$A$412:$BB$538,input_values!$L$410,FALSE)&lt;&gt;"",VLOOKUP(D481,input_values!$A$412:$BB$538,input_values!$L$410,FALSE),"")</f>
        <v/>
      </c>
      <c r="O481" s="603">
        <v>1.0434782608695652</v>
      </c>
      <c r="P481" s="375" t="s">
        <v>20</v>
      </c>
      <c r="Q481" s="375" t="s">
        <v>259</v>
      </c>
      <c r="R481" s="377">
        <v>18.399999999999999</v>
      </c>
      <c r="S481" s="326">
        <f t="shared" si="71"/>
        <v>19.2</v>
      </c>
      <c r="T481" s="376"/>
      <c r="U481" s="574"/>
      <c r="V481" s="376"/>
      <c r="W481" s="574"/>
      <c r="X481" s="378">
        <v>3</v>
      </c>
      <c r="Y481" s="64">
        <f>IF(OR(Table5[[#This Row],[Case]]=1,Table5[[#This Row],[Case]]=3),1,IF(N481="",K481,N481))</f>
        <v>1</v>
      </c>
      <c r="Z481" s="379" t="str">
        <f t="shared" si="74"/>
        <v>ND</v>
      </c>
      <c r="AA481" s="380" t="str">
        <f t="shared" si="72"/>
        <v>no acute risk assessment</v>
      </c>
      <c r="AB481" s="64">
        <f>IF(OR(Table5[[#This Row],[Case]]=3,Table5[[#This Row],[Case]]=1),1,IF(Table5[[#This Row],[Variability factor for IESTI ]]&lt;3,Table5[[#This Row],[Variability factor for IESTI ]],3))</f>
        <v>1</v>
      </c>
      <c r="AC481" s="379" t="str">
        <f t="shared" si="73"/>
        <v>ND</v>
      </c>
      <c r="AD481" s="380" t="str">
        <f>IF($C$5="not necessary","no acute RA",IF(AC481="ND","no acute RA",IF(Table5[[#This Row],[IESTI new (mg/kg bw)]]&lt;&gt;"",AC481/$C$5,0)))</f>
        <v>no acute RA</v>
      </c>
      <c r="AE481" s="339" t="str">
        <f t="shared" si="75"/>
        <v/>
      </c>
      <c r="AF481" s="339" t="str">
        <f t="shared" si="76"/>
        <v/>
      </c>
      <c r="AG481" s="381" t="str">
        <f>IF(OR(Z481=0,Z481="ND",Z481="",$C$5="not necessary"),"",IF(X481="2a",1000*$C$5*R481/Table5[[#This Row],[Processing factor]]/(T481*Y481+S481-T481),IF(X481="2b",1000*$C$5*R481/Table5[[#This Row],[Processing factor]]/S481/Y481,IF(OR(X481=1,X481=3),1000*$C$5*R481/Table5[[#This Row],[Processing factor]]/S481,""))))</f>
        <v/>
      </c>
      <c r="AH481" s="495" t="str">
        <f>IF(OR(AC481=0,AC481="ND",$C$5="not necessary"),"",1000*$C$5*R481/Table5[[#This Row],[Processing factor]]/S481/AB481)</f>
        <v/>
      </c>
      <c r="AI481" s="313"/>
      <c r="AJ481" s="382"/>
    </row>
    <row r="482" spans="1:36" s="11" customFormat="1" ht="12" customHeight="1" x14ac:dyDescent="0.2">
      <c r="A482" s="494"/>
      <c r="B482" s="23">
        <v>500010</v>
      </c>
      <c r="C482" s="325" t="s">
        <v>449</v>
      </c>
      <c r="D482" s="373" t="str">
        <f>VLOOKUP(C482,input_values!$C$412:$BG$538,input_values!$BG$410-2,0)</f>
        <v>PROC-500010-28</v>
      </c>
      <c r="E482" s="567">
        <f>VLOOKUP(B482,input_values!$B$412:$M$538,4,FALSE)</f>
        <v>0</v>
      </c>
      <c r="F482" s="451" t="str">
        <f>VLOOKUP($D482,Table6[[Identifyer]:[Acute RA IESTI new input value]],input_values!$Q$410,FALSE)</f>
        <v/>
      </c>
      <c r="G482" s="451" t="str">
        <f>VLOOKUP($D482,Table6[[Identifyer]:[Acute RA IESTI new input value]],input_values!$P$410,FALSE)</f>
        <v/>
      </c>
      <c r="H482" s="451">
        <f>VLOOKUP($D482,Table6[[Identifyer]:[Acute RA IESTI new input value]],input_values!$S$410,FALSE)</f>
        <v>0</v>
      </c>
      <c r="I482" s="451" t="str">
        <f>VLOOKUP($D482,Table6[[Identifyer]:[Acute RA IESTI new input value]],input_values!$R$410,FALSE)</f>
        <v/>
      </c>
      <c r="J482" s="65"/>
      <c r="K482" s="301">
        <f>IF(Table5[[#This Row],[Unit weight RAC (g)]]="",1,IF(Table5[[#This Row],[Unit weight RAC (g)]]&gt;250,5,7))</f>
        <v>1</v>
      </c>
      <c r="L482" s="302" t="str">
        <f>VLOOKUP(D482,input_values!$A$412:$BB$538,input_values!$AA$410,FALSE)</f>
        <v/>
      </c>
      <c r="M482" s="302">
        <f>VLOOKUP(D482,input_values!$A$412:$BB$538,input_values!$Y$410,FALSE)</f>
        <v>1</v>
      </c>
      <c r="N482" s="374" t="str">
        <f>IF(VLOOKUP(D482,input_values!$A$412:$BB$538,input_values!$L$410,FALSE)&lt;&gt;"",VLOOKUP(D482,input_values!$A$412:$BB$538,input_values!$L$410,FALSE),"")</f>
        <v/>
      </c>
      <c r="O482" s="603">
        <v>1.8097826086956521</v>
      </c>
      <c r="P482" s="375" t="s">
        <v>446</v>
      </c>
      <c r="Q482" s="375" t="s">
        <v>259</v>
      </c>
      <c r="R482" s="377">
        <v>18.399999999999999</v>
      </c>
      <c r="S482" s="326">
        <f t="shared" si="71"/>
        <v>33.299999999999997</v>
      </c>
      <c r="T482" s="376"/>
      <c r="U482" s="574"/>
      <c r="V482" s="376"/>
      <c r="W482" s="574"/>
      <c r="X482" s="378">
        <v>3</v>
      </c>
      <c r="Y482" s="64">
        <f>IF(OR(Table5[[#This Row],[Case]]=1,Table5[[#This Row],[Case]]=3),1,IF(N482="",K482,N482))</f>
        <v>1</v>
      </c>
      <c r="Z482" s="379" t="str">
        <f t="shared" si="74"/>
        <v>ND</v>
      </c>
      <c r="AA482" s="380" t="str">
        <f t="shared" si="72"/>
        <v>no acute risk assessment</v>
      </c>
      <c r="AB482" s="64">
        <f>IF(OR(Table5[[#This Row],[Case]]=3,Table5[[#This Row],[Case]]=1),1,IF(Table5[[#This Row],[Variability factor for IESTI ]]&lt;3,Table5[[#This Row],[Variability factor for IESTI ]],3))</f>
        <v>1</v>
      </c>
      <c r="AC482" s="379" t="str">
        <f t="shared" si="73"/>
        <v>ND</v>
      </c>
      <c r="AD482" s="380" t="str">
        <f>IF($C$5="not necessary","no acute RA",IF(AC482="ND","no acute RA",IF(Table5[[#This Row],[IESTI new (mg/kg bw)]]&lt;&gt;"",AC482/$C$5,0)))</f>
        <v>no acute RA</v>
      </c>
      <c r="AE482" s="339" t="str">
        <f t="shared" si="75"/>
        <v/>
      </c>
      <c r="AF482" s="339" t="str">
        <f t="shared" si="76"/>
        <v/>
      </c>
      <c r="AG482" s="381" t="str">
        <f>IF(OR(Z482=0,Z482="ND",Z482="",$C$5="not necessary"),"",IF(X482="2a",1000*$C$5*R482/Table5[[#This Row],[Processing factor]]/(T482*Y482+S482-T482),IF(X482="2b",1000*$C$5*R482/Table5[[#This Row],[Processing factor]]/S482/Y482,IF(OR(X482=1,X482=3),1000*$C$5*R482/Table5[[#This Row],[Processing factor]]/S482,""))))</f>
        <v/>
      </c>
      <c r="AH482" s="495" t="str">
        <f>IF(OR(AC482=0,AC482="ND",$C$5="not necessary"),"",1000*$C$5*R482/Table5[[#This Row],[Processing factor]]/S482/AB482)</f>
        <v/>
      </c>
      <c r="AI482" s="313"/>
      <c r="AJ482" s="382"/>
    </row>
    <row r="483" spans="1:36" s="11" customFormat="1" ht="12" customHeight="1" x14ac:dyDescent="0.2">
      <c r="A483" s="494"/>
      <c r="B483" s="23">
        <v>500010</v>
      </c>
      <c r="C483" s="325" t="s">
        <v>450</v>
      </c>
      <c r="D483" s="373" t="str">
        <f>VLOOKUP(C483,input_values!$C$412:$BG$538,input_values!$BG$410-2,0)</f>
        <v>PROC-500010-3</v>
      </c>
      <c r="E483" s="567">
        <f>VLOOKUP(B483,input_values!$B$412:$M$538,4,FALSE)</f>
        <v>0</v>
      </c>
      <c r="F483" s="451" t="str">
        <f>VLOOKUP($D483,Table6[[Identifyer]:[Acute RA IESTI new input value]],input_values!$Q$410,FALSE)</f>
        <v/>
      </c>
      <c r="G483" s="451" t="str">
        <f>VLOOKUP($D483,Table6[[Identifyer]:[Acute RA IESTI new input value]],input_values!$P$410,FALSE)</f>
        <v/>
      </c>
      <c r="H483" s="451">
        <f>VLOOKUP($D483,Table6[[Identifyer]:[Acute RA IESTI new input value]],input_values!$S$410,FALSE)</f>
        <v>0</v>
      </c>
      <c r="I483" s="451" t="str">
        <f>VLOOKUP($D483,Table6[[Identifyer]:[Acute RA IESTI new input value]],input_values!$R$410,FALSE)</f>
        <v/>
      </c>
      <c r="J483" s="65"/>
      <c r="K483" s="301">
        <f>IF(Table5[[#This Row],[Unit weight RAC (g)]]="",1,IF(Table5[[#This Row],[Unit weight RAC (g)]]&gt;250,5,7))</f>
        <v>1</v>
      </c>
      <c r="L483" s="302" t="str">
        <f>VLOOKUP(D483,input_values!$A$412:$BB$538,input_values!$AA$410,FALSE)</f>
        <v/>
      </c>
      <c r="M483" s="302">
        <f>VLOOKUP(D483,input_values!$A$412:$BB$538,input_values!$Y$410,FALSE)</f>
        <v>1</v>
      </c>
      <c r="N483" s="374" t="str">
        <f>IF(VLOOKUP(D483,input_values!$A$412:$BB$538,input_values!$L$410,FALSE)&lt;&gt;"",VLOOKUP(D483,input_values!$A$412:$BB$538,input_values!$L$410,FALSE),"")</f>
        <v/>
      </c>
      <c r="O483" s="603">
        <v>3.6251000000000002</v>
      </c>
      <c r="P483" s="375" t="s">
        <v>442</v>
      </c>
      <c r="Q483" s="375" t="s">
        <v>259</v>
      </c>
      <c r="R483" s="377">
        <v>18.399999999999999</v>
      </c>
      <c r="S483" s="326">
        <f t="shared" si="71"/>
        <v>66.701840000000004</v>
      </c>
      <c r="T483" s="376"/>
      <c r="U483" s="574"/>
      <c r="V483" s="376"/>
      <c r="W483" s="574"/>
      <c r="X483" s="378">
        <v>3</v>
      </c>
      <c r="Y483" s="64">
        <f>IF(OR(Table5[[#This Row],[Case]]=1,Table5[[#This Row],[Case]]=3),1,IF(N483="",K483,N483))</f>
        <v>1</v>
      </c>
      <c r="Z483" s="379" t="str">
        <f t="shared" si="74"/>
        <v>ND</v>
      </c>
      <c r="AA483" s="380" t="str">
        <f t="shared" si="72"/>
        <v>no acute risk assessment</v>
      </c>
      <c r="AB483" s="64">
        <f>IF(OR(Table5[[#This Row],[Case]]=3,Table5[[#This Row],[Case]]=1),1,IF(Table5[[#This Row],[Variability factor for IESTI ]]&lt;3,Table5[[#This Row],[Variability factor for IESTI ]],3))</f>
        <v>1</v>
      </c>
      <c r="AC483" s="379" t="str">
        <f t="shared" si="73"/>
        <v>ND</v>
      </c>
      <c r="AD483" s="380" t="str">
        <f>IF($C$5="not necessary","no acute RA",IF(AC483="ND","no acute RA",IF(Table5[[#This Row],[IESTI new (mg/kg bw)]]&lt;&gt;"",AC483/$C$5,0)))</f>
        <v>no acute RA</v>
      </c>
      <c r="AE483" s="339" t="str">
        <f t="shared" si="75"/>
        <v/>
      </c>
      <c r="AF483" s="339" t="str">
        <f t="shared" si="76"/>
        <v/>
      </c>
      <c r="AG483" s="381" t="str">
        <f>IF(OR(Z483=0,Z483="ND",Z483="",$C$5="not necessary"),"",IF(X483="2a",1000*$C$5*R483/Table5[[#This Row],[Processing factor]]/(T483*Y483+S483-T483),IF(X483="2b",1000*$C$5*R483/Table5[[#This Row],[Processing factor]]/S483/Y483,IF(OR(X483=1,X483=3),1000*$C$5*R483/Table5[[#This Row],[Processing factor]]/S483,""))))</f>
        <v/>
      </c>
      <c r="AH483" s="495" t="str">
        <f>IF(OR(AC483=0,AC483="ND",$C$5="not necessary"),"",1000*$C$5*R483/Table5[[#This Row],[Processing factor]]/S483/AB483)</f>
        <v/>
      </c>
      <c r="AI483" s="313"/>
      <c r="AJ483" s="382"/>
    </row>
    <row r="484" spans="1:36" s="11" customFormat="1" ht="12" customHeight="1" x14ac:dyDescent="0.2">
      <c r="A484" s="494"/>
      <c r="B484" s="23">
        <v>500020</v>
      </c>
      <c r="C484" s="325" t="s">
        <v>1007</v>
      </c>
      <c r="D484" s="373" t="str">
        <f>VLOOKUP(C484,input_values!$C$412:$BG$538,input_values!$BG$410-2,0)</f>
        <v>PROC-500020-28</v>
      </c>
      <c r="E484" s="567">
        <f>VLOOKUP(B484,input_values!$B$412:$M$538,4,FALSE)</f>
        <v>0</v>
      </c>
      <c r="F484" s="451" t="str">
        <f>VLOOKUP($D484,Table6[[Identifyer]:[Acute RA IESTI new input value]],input_values!$Q$410,FALSE)</f>
        <v/>
      </c>
      <c r="G484" s="451" t="str">
        <f>VLOOKUP($D484,Table6[[Identifyer]:[Acute RA IESTI new input value]],input_values!$P$410,FALSE)</f>
        <v/>
      </c>
      <c r="H484" s="451">
        <f>VLOOKUP($D484,Table6[[Identifyer]:[Acute RA IESTI new input value]],input_values!$S$410,FALSE)</f>
        <v>0</v>
      </c>
      <c r="I484" s="451" t="str">
        <f>VLOOKUP($D484,Table6[[Identifyer]:[Acute RA IESTI new input value]],input_values!$R$410,FALSE)</f>
        <v/>
      </c>
      <c r="J484" s="65"/>
      <c r="K484" s="301">
        <f>IF(Table5[[#This Row],[Unit weight RAC (g)]]="",1,IF(Table5[[#This Row],[Unit weight RAC (g)]]&gt;250,5,7))</f>
        <v>1</v>
      </c>
      <c r="L484" s="302" t="str">
        <f>VLOOKUP(D484,input_values!$A$412:$BB$538,input_values!$AA$410,FALSE)</f>
        <v/>
      </c>
      <c r="M484" s="302">
        <f>VLOOKUP(D484,input_values!$A$412:$BB$538,input_values!$Y$410,FALSE)</f>
        <v>1</v>
      </c>
      <c r="N484" s="374" t="str">
        <f>IF(VLOOKUP(D484,input_values!$A$412:$BB$538,input_values!$L$410,FALSE)&lt;&gt;"",VLOOKUP(D484,input_values!$A$412:$BB$538,input_values!$L$410,FALSE),"")</f>
        <v/>
      </c>
      <c r="O484" s="603">
        <v>5.3627450980392162</v>
      </c>
      <c r="P484" s="375" t="s">
        <v>655</v>
      </c>
      <c r="Q484" s="375" t="s">
        <v>329</v>
      </c>
      <c r="R484" s="377">
        <v>10.199999999999999</v>
      </c>
      <c r="S484" s="326">
        <f t="shared" si="71"/>
        <v>54.7</v>
      </c>
      <c r="T484" s="376"/>
      <c r="U484" s="574"/>
      <c r="V484" s="376"/>
      <c r="W484" s="574"/>
      <c r="X484" s="378">
        <v>3</v>
      </c>
      <c r="Y484" s="64">
        <f>IF(OR(Table5[[#This Row],[Case]]=1,Table5[[#This Row],[Case]]=3),1,IF(N484="",K484,N484))</f>
        <v>1</v>
      </c>
      <c r="Z484" s="379" t="str">
        <f t="shared" si="74"/>
        <v>ND</v>
      </c>
      <c r="AA484" s="380" t="str">
        <f t="shared" si="72"/>
        <v>no acute risk assessment</v>
      </c>
      <c r="AB484" s="64">
        <f>IF(OR(Table5[[#This Row],[Case]]=3,Table5[[#This Row],[Case]]=1),1,IF(Table5[[#This Row],[Variability factor for IESTI ]]&lt;3,Table5[[#This Row],[Variability factor for IESTI ]],3))</f>
        <v>1</v>
      </c>
      <c r="AC484" s="379" t="str">
        <f t="shared" si="73"/>
        <v>ND</v>
      </c>
      <c r="AD484" s="380" t="str">
        <f>IF($C$5="not necessary","no acute RA",IF(AC484="ND","no acute RA",IF(Table5[[#This Row],[IESTI new (mg/kg bw)]]&lt;&gt;"",AC484/$C$5,0)))</f>
        <v>no acute RA</v>
      </c>
      <c r="AE484" s="339" t="str">
        <f t="shared" si="75"/>
        <v/>
      </c>
      <c r="AF484" s="339" t="str">
        <f t="shared" si="76"/>
        <v/>
      </c>
      <c r="AG484" s="381" t="str">
        <f>IF(OR(Z484=0,Z484="ND",Z484="",$C$5="not necessary"),"",IF(X484="2a",1000*$C$5*R484/Table5[[#This Row],[Processing factor]]/(T484*Y484+S484-T484),IF(X484="2b",1000*$C$5*R484/Table5[[#This Row],[Processing factor]]/S484/Y484,IF(OR(X484=1,X484=3),1000*$C$5*R484/Table5[[#This Row],[Processing factor]]/S484,""))))</f>
        <v/>
      </c>
      <c r="AH484" s="495" t="str">
        <f>IF(OR(AC484=0,AC484="ND",$C$5="not necessary"),"",1000*$C$5*R484/Table5[[#This Row],[Processing factor]]/S484/AB484)</f>
        <v/>
      </c>
      <c r="AI484" s="313"/>
      <c r="AJ484" s="382"/>
    </row>
    <row r="485" spans="1:36" s="11" customFormat="1" ht="12" customHeight="1" x14ac:dyDescent="0.2">
      <c r="A485" s="494"/>
      <c r="B485" s="23">
        <v>500020</v>
      </c>
      <c r="C485" s="325" t="s">
        <v>406</v>
      </c>
      <c r="D485" s="373" t="str">
        <f>VLOOKUP(C485,input_values!$C$412:$BG$538,input_values!$BG$410-2,0)</f>
        <v>PROC-500020-3</v>
      </c>
      <c r="E485" s="567">
        <f>VLOOKUP(B485,input_values!$B$412:$M$538,4,FALSE)</f>
        <v>0</v>
      </c>
      <c r="F485" s="451" t="str">
        <f>VLOOKUP($D485,Table6[[Identifyer]:[Acute RA IESTI new input value]],input_values!$Q$410,FALSE)</f>
        <v/>
      </c>
      <c r="G485" s="451" t="str">
        <f>VLOOKUP($D485,Table6[[Identifyer]:[Acute RA IESTI new input value]],input_values!$P$410,FALSE)</f>
        <v/>
      </c>
      <c r="H485" s="451">
        <f>VLOOKUP($D485,Table6[[Identifyer]:[Acute RA IESTI new input value]],input_values!$S$410,FALSE)</f>
        <v>0</v>
      </c>
      <c r="I485" s="451" t="str">
        <f>VLOOKUP($D485,Table6[[Identifyer]:[Acute RA IESTI new input value]],input_values!$R$410,FALSE)</f>
        <v/>
      </c>
      <c r="J485" s="65"/>
      <c r="K485" s="301">
        <f>IF(Table5[[#This Row],[Unit weight RAC (g)]]="",1,IF(Table5[[#This Row],[Unit weight RAC (g)]]&gt;250,5,7))</f>
        <v>1</v>
      </c>
      <c r="L485" s="302" t="str">
        <f>VLOOKUP(D485,input_values!$A$412:$BB$538,input_values!$AA$410,FALSE)</f>
        <v/>
      </c>
      <c r="M485" s="302">
        <f>VLOOKUP(D485,input_values!$A$412:$BB$538,input_values!$Y$410,FALSE)</f>
        <v>1</v>
      </c>
      <c r="N485" s="374" t="str">
        <f>IF(VLOOKUP(D485,input_values!$A$412:$BB$538,input_values!$L$410,FALSE)&lt;&gt;"",VLOOKUP(D485,input_values!$A$412:$BB$538,input_values!$L$410,FALSE),"")</f>
        <v/>
      </c>
      <c r="O485" s="603">
        <v>3.6252</v>
      </c>
      <c r="P485" s="375" t="s">
        <v>442</v>
      </c>
      <c r="Q485" s="375" t="s">
        <v>259</v>
      </c>
      <c r="R485" s="377">
        <v>18.399999999999999</v>
      </c>
      <c r="S485" s="326">
        <f t="shared" si="71"/>
        <v>66.703679999999991</v>
      </c>
      <c r="T485" s="376"/>
      <c r="U485" s="574"/>
      <c r="V485" s="376"/>
      <c r="W485" s="574"/>
      <c r="X485" s="378">
        <v>3</v>
      </c>
      <c r="Y485" s="64">
        <f>IF(OR(Table5[[#This Row],[Case]]=1,Table5[[#This Row],[Case]]=3),1,IF(N485="",K485,N485))</f>
        <v>1</v>
      </c>
      <c r="Z485" s="379" t="str">
        <f t="shared" si="74"/>
        <v>ND</v>
      </c>
      <c r="AA485" s="380" t="str">
        <f t="shared" si="72"/>
        <v>no acute risk assessment</v>
      </c>
      <c r="AB485" s="64">
        <f>IF(OR(Table5[[#This Row],[Case]]=3,Table5[[#This Row],[Case]]=1),1,IF(Table5[[#This Row],[Variability factor for IESTI ]]&lt;3,Table5[[#This Row],[Variability factor for IESTI ]],3))</f>
        <v>1</v>
      </c>
      <c r="AC485" s="379" t="str">
        <f t="shared" si="73"/>
        <v>ND</v>
      </c>
      <c r="AD485" s="380" t="str">
        <f>IF($C$5="not necessary","no acute RA",IF(AC485="ND","no acute RA",IF(Table5[[#This Row],[IESTI new (mg/kg bw)]]&lt;&gt;"",AC485/$C$5,0)))</f>
        <v>no acute RA</v>
      </c>
      <c r="AE485" s="339" t="str">
        <f t="shared" si="75"/>
        <v/>
      </c>
      <c r="AF485" s="339" t="str">
        <f t="shared" si="76"/>
        <v/>
      </c>
      <c r="AG485" s="381" t="str">
        <f>IF(OR(Z485=0,Z485="ND",Z485="",$C$5="not necessary"),"",IF(X485="2a",1000*$C$5*R485/Table5[[#This Row],[Processing factor]]/(T485*Y485+S485-T485),IF(X485="2b",1000*$C$5*R485/Table5[[#This Row],[Processing factor]]/S485/Y485,IF(OR(X485=1,X485=3),1000*$C$5*R485/Table5[[#This Row],[Processing factor]]/S485,""))))</f>
        <v/>
      </c>
      <c r="AH485" s="495" t="str">
        <f>IF(OR(AC485=0,AC485="ND",$C$5="not necessary"),"",1000*$C$5*R485/Table5[[#This Row],[Processing factor]]/S485/AB485)</f>
        <v/>
      </c>
      <c r="AI485" s="313"/>
      <c r="AJ485" s="382"/>
    </row>
    <row r="486" spans="1:36" s="11" customFormat="1" ht="12" customHeight="1" x14ac:dyDescent="0.2">
      <c r="A486" s="494"/>
      <c r="B486" s="23">
        <v>500030</v>
      </c>
      <c r="C486" s="325" t="s">
        <v>407</v>
      </c>
      <c r="D486" s="373" t="str">
        <f>VLOOKUP(C486,input_values!$C$412:$BG$538,input_values!$BG$410-2,0)</f>
        <v>PROC-500030-98</v>
      </c>
      <c r="E486" s="567">
        <f>VLOOKUP(B486,input_values!$B$412:$M$538,4,FALSE)</f>
        <v>0</v>
      </c>
      <c r="F486" s="451" t="str">
        <f>VLOOKUP($D486,Table6[[Identifyer]:[Acute RA IESTI new input value]],input_values!$Q$410,FALSE)</f>
        <v/>
      </c>
      <c r="G486" s="451" t="str">
        <f>VLOOKUP($D486,Table6[[Identifyer]:[Acute RA IESTI new input value]],input_values!$P$410,FALSE)</f>
        <v/>
      </c>
      <c r="H486" s="451">
        <f>VLOOKUP($D486,Table6[[Identifyer]:[Acute RA IESTI new input value]],input_values!$S$410,FALSE)</f>
        <v>0</v>
      </c>
      <c r="I486" s="451" t="str">
        <f>VLOOKUP($D486,Table6[[Identifyer]:[Acute RA IESTI new input value]],input_values!$R$410,FALSE)</f>
        <v/>
      </c>
      <c r="J486" s="65"/>
      <c r="K486" s="301">
        <f>IF(Table5[[#This Row],[Unit weight RAC (g)]]="",1,IF(Table5[[#This Row],[Unit weight RAC (g)]]&gt;250,5,7))</f>
        <v>1</v>
      </c>
      <c r="L486" s="302" t="str">
        <f>VLOOKUP(D486,input_values!$A$412:$BB$538,input_values!$AA$410,FALSE)</f>
        <v/>
      </c>
      <c r="M486" s="302">
        <f>VLOOKUP(D486,input_values!$A$412:$BB$538,input_values!$Y$410,FALSE)</f>
        <v>1</v>
      </c>
      <c r="N486" s="374" t="str">
        <f>IF(VLOOKUP(D486,input_values!$A$412:$BB$538,input_values!$L$410,FALSE)&lt;&gt;"",VLOOKUP(D486,input_values!$A$412:$BB$538,input_values!$L$410,FALSE),"")</f>
        <v/>
      </c>
      <c r="O486" s="603">
        <v>2.125</v>
      </c>
      <c r="P486" s="375">
        <v>97.5</v>
      </c>
      <c r="Q486" s="375" t="s">
        <v>329</v>
      </c>
      <c r="R486" s="377">
        <v>10.199999999999999</v>
      </c>
      <c r="S486" s="326">
        <f t="shared" si="71"/>
        <v>21.674999999999997</v>
      </c>
      <c r="T486" s="376"/>
      <c r="U486" s="574"/>
      <c r="V486" s="376"/>
      <c r="W486" s="574"/>
      <c r="X486" s="378">
        <v>3</v>
      </c>
      <c r="Y486" s="64">
        <f>IF(OR(Table5[[#This Row],[Case]]=1,Table5[[#This Row],[Case]]=3),1,IF(N486="",K486,N486))</f>
        <v>1</v>
      </c>
      <c r="Z486" s="379" t="str">
        <f t="shared" si="74"/>
        <v>ND</v>
      </c>
      <c r="AA486" s="380" t="str">
        <f t="shared" si="72"/>
        <v>no acute risk assessment</v>
      </c>
      <c r="AB486" s="64">
        <f>IF(OR(Table5[[#This Row],[Case]]=3,Table5[[#This Row],[Case]]=1),1,IF(Table5[[#This Row],[Variability factor for IESTI ]]&lt;3,Table5[[#This Row],[Variability factor for IESTI ]],3))</f>
        <v>1</v>
      </c>
      <c r="AC486" s="379" t="str">
        <f t="shared" si="73"/>
        <v>ND</v>
      </c>
      <c r="AD486" s="380" t="str">
        <f>IF($C$5="not necessary","no acute RA",IF(AC486="ND","no acute RA",IF(Table5[[#This Row],[IESTI new (mg/kg bw)]]&lt;&gt;"",AC486/$C$5,0)))</f>
        <v>no acute RA</v>
      </c>
      <c r="AE486" s="339" t="str">
        <f t="shared" si="75"/>
        <v/>
      </c>
      <c r="AF486" s="339" t="str">
        <f t="shared" si="76"/>
        <v/>
      </c>
      <c r="AG486" s="381" t="str">
        <f>IF(OR(Z486=0,Z486="ND",Z486="",$C$5="not necessary"),"",IF(X486="2a",1000*$C$5*R486/Table5[[#This Row],[Processing factor]]/(T486*Y486+S486-T486),IF(X486="2b",1000*$C$5*R486/Table5[[#This Row],[Processing factor]]/S486/Y486,IF(OR(X486=1,X486=3),1000*$C$5*R486/Table5[[#This Row],[Processing factor]]/S486,""))))</f>
        <v/>
      </c>
      <c r="AH486" s="495" t="str">
        <f>IF(OR(AC486=0,AC486="ND",$C$5="not necessary"),"",1000*$C$5*R486/Table5[[#This Row],[Processing factor]]/S486/AB486)</f>
        <v/>
      </c>
      <c r="AI486" s="313"/>
      <c r="AJ486" s="382"/>
    </row>
    <row r="487" spans="1:36" s="11" customFormat="1" ht="12" customHeight="1" x14ac:dyDescent="0.2">
      <c r="A487" s="494"/>
      <c r="B487" s="23">
        <v>500030</v>
      </c>
      <c r="C487" s="165" t="s">
        <v>474</v>
      </c>
      <c r="D487" s="373" t="str">
        <f>VLOOKUP(C487,input_values!$C$412:$BG$538,input_values!$BG$410-2,0)</f>
        <v>PROC-500030-12</v>
      </c>
      <c r="E487" s="567">
        <f>VLOOKUP(B487,input_values!$B$412:$M$538,4,FALSE)</f>
        <v>0</v>
      </c>
      <c r="F487" s="451" t="str">
        <f>VLOOKUP($D487,Table6[[Identifyer]:[Acute RA IESTI new input value]],input_values!$Q$410,FALSE)</f>
        <v/>
      </c>
      <c r="G487" s="451" t="str">
        <f>VLOOKUP($D487,Table6[[Identifyer]:[Acute RA IESTI new input value]],input_values!$P$410,FALSE)</f>
        <v/>
      </c>
      <c r="H487" s="451">
        <f>VLOOKUP($D487,Table6[[Identifyer]:[Acute RA IESTI new input value]],input_values!$S$410,FALSE)</f>
        <v>0</v>
      </c>
      <c r="I487" s="451" t="str">
        <f>VLOOKUP($D487,Table6[[Identifyer]:[Acute RA IESTI new input value]],input_values!$R$410,FALSE)</f>
        <v/>
      </c>
      <c r="J487" s="65"/>
      <c r="K487" s="301">
        <f>IF(Table5[[#This Row],[Unit weight RAC (g)]]="",1,IF(Table5[[#This Row],[Unit weight RAC (g)]]&gt;250,5,7))</f>
        <v>1</v>
      </c>
      <c r="L487" s="302" t="str">
        <f>VLOOKUP(D487,input_values!$A$412:$BB$538,input_values!$AA$410,FALSE)</f>
        <v/>
      </c>
      <c r="M487" s="302">
        <f>VLOOKUP(D487,input_values!$A$412:$BB$538,input_values!$Y$410,FALSE)</f>
        <v>25</v>
      </c>
      <c r="N487" s="374" t="str">
        <f>IF(VLOOKUP(D487,input_values!$A$412:$BB$538,input_values!$L$410,FALSE)&lt;&gt;"",VLOOKUP(D487,input_values!$A$412:$BB$538,input_values!$L$410,FALSE),"")</f>
        <v/>
      </c>
      <c r="O487" s="603">
        <v>0.93137254901960786</v>
      </c>
      <c r="P487" s="375" t="s">
        <v>451</v>
      </c>
      <c r="Q487" s="375" t="s">
        <v>329</v>
      </c>
      <c r="R487" s="377">
        <v>10.199999999999999</v>
      </c>
      <c r="S487" s="326">
        <f t="shared" si="71"/>
        <v>9.5</v>
      </c>
      <c r="T487" s="376"/>
      <c r="U487" s="574"/>
      <c r="V487" s="376"/>
      <c r="W487" s="574"/>
      <c r="X487" s="378">
        <v>3</v>
      </c>
      <c r="Y487" s="64">
        <f>IF(OR(Table5[[#This Row],[Case]]=1,Table5[[#This Row],[Case]]=3),1,IF(N487="",K487,N487))</f>
        <v>1</v>
      </c>
      <c r="Z487" s="379" t="str">
        <f t="shared" si="74"/>
        <v>ND</v>
      </c>
      <c r="AA487" s="380" t="str">
        <f t="shared" si="72"/>
        <v>no acute risk assessment</v>
      </c>
      <c r="AB487" s="64">
        <f>IF(OR(Table5[[#This Row],[Case]]=3,Table5[[#This Row],[Case]]=1),1,IF(Table5[[#This Row],[Variability factor for IESTI ]]&lt;3,Table5[[#This Row],[Variability factor for IESTI ]],3))</f>
        <v>1</v>
      </c>
      <c r="AC487" s="379" t="str">
        <f t="shared" si="73"/>
        <v>ND</v>
      </c>
      <c r="AD487" s="380" t="str">
        <f>IF($C$5="not necessary","no acute RA",IF(AC487="ND","no acute RA",IF(Table5[[#This Row],[IESTI new (mg/kg bw)]]&lt;&gt;"",AC487/$C$5,0)))</f>
        <v>no acute RA</v>
      </c>
      <c r="AE487" s="339" t="str">
        <f t="shared" si="75"/>
        <v/>
      </c>
      <c r="AF487" s="339" t="str">
        <f t="shared" si="76"/>
        <v/>
      </c>
      <c r="AG487" s="381" t="str">
        <f>IF(OR(Z487=0,Z487="ND",Z487="",$C$5="not necessary"),"",IF(X487="2a",1000*$C$5*R487/Table5[[#This Row],[Processing factor]]/(T487*Y487+S487-T487),IF(X487="2b",1000*$C$5*R487/Table5[[#This Row],[Processing factor]]/S487/Y487,IF(OR(X487=1,X487=3),1000*$C$5*R487/Table5[[#This Row],[Processing factor]]/S487,""))))</f>
        <v/>
      </c>
      <c r="AH487" s="495" t="str">
        <f>IF(OR(AC487=0,AC487="ND",$C$5="not necessary"),"",1000*$C$5*R487/Table5[[#This Row],[Processing factor]]/S487/AB487)</f>
        <v/>
      </c>
      <c r="AI487" s="313"/>
      <c r="AJ487" s="382"/>
    </row>
    <row r="488" spans="1:36" s="11" customFormat="1" ht="12" customHeight="1" x14ac:dyDescent="0.2">
      <c r="A488" s="494"/>
      <c r="B488" s="23">
        <v>500040</v>
      </c>
      <c r="C488" s="325" t="s">
        <v>429</v>
      </c>
      <c r="D488" s="373" t="str">
        <f>VLOOKUP(C488,input_values!$C$412:$BG$538,input_values!$BG$410-2,0)</f>
        <v>PROC-500040-3</v>
      </c>
      <c r="E488" s="567">
        <f>VLOOKUP(B488,input_values!$B$412:$M$538,4,FALSE)</f>
        <v>0</v>
      </c>
      <c r="F488" s="451" t="str">
        <f>VLOOKUP($D488,Table6[[Identifyer]:[Acute RA IESTI new input value]],input_values!$Q$410,FALSE)</f>
        <v/>
      </c>
      <c r="G488" s="451" t="str">
        <f>VLOOKUP($D488,Table6[[Identifyer]:[Acute RA IESTI new input value]],input_values!$P$410,FALSE)</f>
        <v/>
      </c>
      <c r="H488" s="451">
        <f>VLOOKUP($D488,Table6[[Identifyer]:[Acute RA IESTI new input value]],input_values!$S$410,FALSE)</f>
        <v>0</v>
      </c>
      <c r="I488" s="451" t="str">
        <f>VLOOKUP($D488,Table6[[Identifyer]:[Acute RA IESTI new input value]],input_values!$R$410,FALSE)</f>
        <v/>
      </c>
      <c r="J488" s="65"/>
      <c r="K488" s="301">
        <f>IF(Table5[[#This Row],[Unit weight RAC (g)]]="",1,IF(Table5[[#This Row],[Unit weight RAC (g)]]&gt;250,5,7))</f>
        <v>1</v>
      </c>
      <c r="L488" s="302" t="str">
        <f>VLOOKUP(D488,input_values!$A$412:$BB$538,input_values!$AA$410,FALSE)</f>
        <v/>
      </c>
      <c r="M488" s="302">
        <f>VLOOKUP(D488,input_values!$A$412:$BB$538,input_values!$Y$410,FALSE)</f>
        <v>0.4</v>
      </c>
      <c r="N488" s="374" t="str">
        <f>IF(VLOOKUP(D488,input_values!$A$412:$BB$538,input_values!$L$410,FALSE)&lt;&gt;"",VLOOKUP(D488,input_values!$A$412:$BB$538,input_values!$L$410,FALSE),"")</f>
        <v/>
      </c>
      <c r="O488" s="603">
        <v>13.554347826086959</v>
      </c>
      <c r="P488" s="375" t="s">
        <v>444</v>
      </c>
      <c r="Q488" s="375" t="s">
        <v>259</v>
      </c>
      <c r="R488" s="377">
        <v>18.399999999999999</v>
      </c>
      <c r="S488" s="326">
        <f t="shared" si="71"/>
        <v>249.40000000000003</v>
      </c>
      <c r="T488" s="376"/>
      <c r="U488" s="574"/>
      <c r="V488" s="376"/>
      <c r="W488" s="574"/>
      <c r="X488" s="378">
        <v>3</v>
      </c>
      <c r="Y488" s="64">
        <f>IF(OR(Table5[[#This Row],[Case]]=1,Table5[[#This Row],[Case]]=3),1,IF(N488="",K488,N488))</f>
        <v>1</v>
      </c>
      <c r="Z488" s="379" t="str">
        <f t="shared" si="74"/>
        <v>ND</v>
      </c>
      <c r="AA488" s="380" t="str">
        <f t="shared" si="72"/>
        <v>no acute risk assessment</v>
      </c>
      <c r="AB488" s="64">
        <f>IF(OR(Table5[[#This Row],[Case]]=3,Table5[[#This Row],[Case]]=1),1,IF(Table5[[#This Row],[Variability factor for IESTI ]]&lt;3,Table5[[#This Row],[Variability factor for IESTI ]],3))</f>
        <v>1</v>
      </c>
      <c r="AC488" s="379" t="str">
        <f t="shared" si="73"/>
        <v>ND</v>
      </c>
      <c r="AD488" s="380" t="str">
        <f>IF($C$5="not necessary","no acute RA",IF(AC488="ND","no acute RA",IF(Table5[[#This Row],[IESTI new (mg/kg bw)]]&lt;&gt;"",AC488/$C$5,0)))</f>
        <v>no acute RA</v>
      </c>
      <c r="AE488" s="339" t="str">
        <f t="shared" si="75"/>
        <v/>
      </c>
      <c r="AF488" s="339" t="str">
        <f t="shared" si="76"/>
        <v/>
      </c>
      <c r="AG488" s="381" t="str">
        <f>IF(OR(Z488=0,Z488="ND",Z488="",$C$5="not necessary"),"",IF(X488="2a",1000*$C$5*R488/Table5[[#This Row],[Processing factor]]/(T488*Y488+S488-T488),IF(X488="2b",1000*$C$5*R488/Table5[[#This Row],[Processing factor]]/S488/Y488,IF(OR(X488=1,X488=3),1000*$C$5*R488/Table5[[#This Row],[Processing factor]]/S488,""))))</f>
        <v/>
      </c>
      <c r="AH488" s="495" t="str">
        <f>IF(OR(AC488=0,AC488="ND",$C$5="not necessary"),"",1000*$C$5*R488/Table5[[#This Row],[Processing factor]]/S488/AB488)</f>
        <v/>
      </c>
      <c r="AI488" s="313"/>
      <c r="AJ488" s="382"/>
    </row>
    <row r="489" spans="1:36" s="11" customFormat="1" ht="12" customHeight="1" x14ac:dyDescent="0.2">
      <c r="A489" s="494"/>
      <c r="B489" s="23">
        <v>500050</v>
      </c>
      <c r="C489" s="325" t="s">
        <v>843</v>
      </c>
      <c r="D489" s="373" t="str">
        <f>VLOOKUP(C489,input_values!$C$412:$BG$538,input_values!$BG$410-2,0)</f>
        <v>PROC-500050-44</v>
      </c>
      <c r="E489" s="567">
        <f>VLOOKUP(B489,input_values!$B$412:$M$538,4,FALSE)</f>
        <v>0</v>
      </c>
      <c r="F489" s="451" t="str">
        <f>VLOOKUP($D489,Table6[[Identifyer]:[Acute RA IESTI new input value]],input_values!$Q$410,FALSE)</f>
        <v/>
      </c>
      <c r="G489" s="451" t="str">
        <f>VLOOKUP($D489,Table6[[Identifyer]:[Acute RA IESTI new input value]],input_values!$P$410,FALSE)</f>
        <v/>
      </c>
      <c r="H489" s="451">
        <f>VLOOKUP($D489,Table6[[Identifyer]:[Acute RA IESTI new input value]],input_values!$S$410,FALSE)</f>
        <v>0</v>
      </c>
      <c r="I489" s="451" t="str">
        <f>VLOOKUP($D489,Table6[[Identifyer]:[Acute RA IESTI new input value]],input_values!$R$410,FALSE)</f>
        <v/>
      </c>
      <c r="J489" s="65"/>
      <c r="K489" s="301">
        <f>IF(Table5[[#This Row],[Unit weight RAC (g)]]="",1,IF(Table5[[#This Row],[Unit weight RAC (g)]]&gt;250,5,7))</f>
        <v>1</v>
      </c>
      <c r="L489" s="302" t="str">
        <f>VLOOKUP(D489,input_values!$A$412:$BB$538,input_values!$AA$410,FALSE)</f>
        <v/>
      </c>
      <c r="M489" s="302">
        <f>VLOOKUP(D489,input_values!$A$412:$BB$538,input_values!$Y$410,FALSE)</f>
        <v>1</v>
      </c>
      <c r="N489" s="374" t="str">
        <f>IF(VLOOKUP(D489,input_values!$A$412:$BB$538,input_values!$L$410,FALSE)&lt;&gt;"",VLOOKUP(D489,input_values!$A$412:$BB$538,input_values!$L$410,FALSE),"")</f>
        <v/>
      </c>
      <c r="O489" s="603">
        <v>3.0000000000000004</v>
      </c>
      <c r="P489" s="375" t="s">
        <v>441</v>
      </c>
      <c r="Q489" s="375" t="s">
        <v>259</v>
      </c>
      <c r="R489" s="377">
        <v>18.399999999999999</v>
      </c>
      <c r="S489" s="326">
        <f t="shared" si="71"/>
        <v>55.2</v>
      </c>
      <c r="T489" s="376"/>
      <c r="U489" s="574"/>
      <c r="V489" s="376"/>
      <c r="W489" s="574"/>
      <c r="X489" s="378">
        <v>3</v>
      </c>
      <c r="Y489" s="64">
        <f>IF(OR(Table5[[#This Row],[Case]]=1,Table5[[#This Row],[Case]]=3),1,IF(N489="",K489,N489))</f>
        <v>1</v>
      </c>
      <c r="Z489" s="379" t="str">
        <f t="shared" si="74"/>
        <v>ND</v>
      </c>
      <c r="AA489" s="380" t="str">
        <f t="shared" si="72"/>
        <v>no acute risk assessment</v>
      </c>
      <c r="AB489" s="64">
        <f>IF(OR(Table5[[#This Row],[Case]]=3,Table5[[#This Row],[Case]]=1),1,IF(Table5[[#This Row],[Variability factor for IESTI ]]&lt;3,Table5[[#This Row],[Variability factor for IESTI ]],3))</f>
        <v>1</v>
      </c>
      <c r="AC489" s="379" t="str">
        <f t="shared" si="73"/>
        <v>ND</v>
      </c>
      <c r="AD489" s="380" t="str">
        <f>IF($C$5="not necessary","no acute RA",IF(AC489="ND","no acute RA",IF(Table5[[#This Row],[IESTI new (mg/kg bw)]]&lt;&gt;"",AC489/$C$5,0)))</f>
        <v>no acute RA</v>
      </c>
      <c r="AE489" s="339" t="str">
        <f t="shared" si="75"/>
        <v/>
      </c>
      <c r="AF489" s="339" t="str">
        <f t="shared" si="76"/>
        <v/>
      </c>
      <c r="AG489" s="381" t="str">
        <f>IF(OR(Z489=0,Z489="ND",Z489="",$C$5="not necessary"),"",IF(X489="2a",1000*$C$5*R489/Table5[[#This Row],[Processing factor]]/(T489*Y489+S489-T489),IF(X489="2b",1000*$C$5*R489/Table5[[#This Row],[Processing factor]]/S489/Y489,IF(OR(X489=1,X489=3),1000*$C$5*R489/Table5[[#This Row],[Processing factor]]/S489,""))))</f>
        <v/>
      </c>
      <c r="AH489" s="495" t="str">
        <f>IF(OR(AC489=0,AC489="ND",$C$5="not necessary"),"",1000*$C$5*R489/Table5[[#This Row],[Processing factor]]/S489/AB489)</f>
        <v/>
      </c>
      <c r="AI489" s="313"/>
      <c r="AJ489" s="382"/>
    </row>
    <row r="490" spans="1:36" s="11" customFormat="1" ht="12" customHeight="1" x14ac:dyDescent="0.2">
      <c r="A490" s="494"/>
      <c r="B490" s="23">
        <v>500050</v>
      </c>
      <c r="C490" s="325" t="s">
        <v>842</v>
      </c>
      <c r="D490" s="373" t="str">
        <f>VLOOKUP(C490,input_values!$C$412:$BG$538,input_values!$BG$410-2,0)</f>
        <v>PROC-500050-3</v>
      </c>
      <c r="E490" s="567">
        <f>VLOOKUP(B490,input_values!$B$412:$M$538,4,FALSE)</f>
        <v>0</v>
      </c>
      <c r="F490" s="451" t="str">
        <f>VLOOKUP($D490,Table6[[Identifyer]:[Acute RA IESTI new input value]],input_values!$Q$410,FALSE)</f>
        <v/>
      </c>
      <c r="G490" s="451" t="str">
        <f>VLOOKUP($D490,Table6[[Identifyer]:[Acute RA IESTI new input value]],input_values!$P$410,FALSE)</f>
        <v/>
      </c>
      <c r="H490" s="451">
        <f>VLOOKUP($D490,Table6[[Identifyer]:[Acute RA IESTI new input value]],input_values!$S$410,FALSE)</f>
        <v>0</v>
      </c>
      <c r="I490" s="451" t="str">
        <f>VLOOKUP($D490,Table6[[Identifyer]:[Acute RA IESTI new input value]],input_values!$R$410,FALSE)</f>
        <v/>
      </c>
      <c r="J490" s="65"/>
      <c r="K490" s="301">
        <f>IF(Table5[[#This Row],[Unit weight RAC (g)]]="",1,IF(Table5[[#This Row],[Unit weight RAC (g)]]&gt;250,5,7))</f>
        <v>1</v>
      </c>
      <c r="L490" s="302" t="str">
        <f>VLOOKUP(D490,input_values!$A$412:$BB$538,input_values!$AA$410,FALSE)</f>
        <v/>
      </c>
      <c r="M490" s="302">
        <f>VLOOKUP(D490,input_values!$A$412:$BB$538,input_values!$Y$410,FALSE)</f>
        <v>1</v>
      </c>
      <c r="N490" s="374" t="str">
        <f>IF(VLOOKUP(D490,input_values!$A$412:$BB$538,input_values!$L$410,FALSE)&lt;&gt;"",VLOOKUP(D490,input_values!$A$412:$BB$538,input_values!$L$410,FALSE),"")</f>
        <v/>
      </c>
      <c r="O490" s="603">
        <v>3.6253000000000002</v>
      </c>
      <c r="P490" s="375" t="s">
        <v>442</v>
      </c>
      <c r="Q490" s="375" t="s">
        <v>259</v>
      </c>
      <c r="R490" s="377">
        <v>18.399999999999999</v>
      </c>
      <c r="S490" s="326">
        <f t="shared" si="71"/>
        <v>66.705519999999993</v>
      </c>
      <c r="T490" s="376"/>
      <c r="U490" s="574"/>
      <c r="V490" s="376"/>
      <c r="W490" s="574"/>
      <c r="X490" s="378">
        <v>3</v>
      </c>
      <c r="Y490" s="64">
        <f>IF(OR(Table5[[#This Row],[Case]]=1,Table5[[#This Row],[Case]]=3),1,IF(N490="",K490,N490))</f>
        <v>1</v>
      </c>
      <c r="Z490" s="379" t="str">
        <f t="shared" si="74"/>
        <v>ND</v>
      </c>
      <c r="AA490" s="380" t="str">
        <f t="shared" si="72"/>
        <v>no acute risk assessment</v>
      </c>
      <c r="AB490" s="64">
        <f>IF(OR(Table5[[#This Row],[Case]]=3,Table5[[#This Row],[Case]]=1),1,IF(Table5[[#This Row],[Variability factor for IESTI ]]&lt;3,Table5[[#This Row],[Variability factor for IESTI ]],3))</f>
        <v>1</v>
      </c>
      <c r="AC490" s="379" t="str">
        <f t="shared" si="73"/>
        <v>ND</v>
      </c>
      <c r="AD490" s="380" t="str">
        <f>IF($C$5="not necessary","no acute RA",IF(AC490="ND","no acute RA",IF(Table5[[#This Row],[IESTI new (mg/kg bw)]]&lt;&gt;"",AC490/$C$5,0)))</f>
        <v>no acute RA</v>
      </c>
      <c r="AE490" s="339" t="str">
        <f t="shared" si="75"/>
        <v/>
      </c>
      <c r="AF490" s="339" t="str">
        <f t="shared" si="76"/>
        <v/>
      </c>
      <c r="AG490" s="381" t="str">
        <f>IF(OR(Z490=0,Z490="ND",Z490="",$C$5="not necessary"),"",IF(X490="2a",1000*$C$5*R490/Table5[[#This Row],[Processing factor]]/(T490*Y490+S490-T490),IF(X490="2b",1000*$C$5*R490/Table5[[#This Row],[Processing factor]]/S490/Y490,IF(OR(X490=1,X490=3),1000*$C$5*R490/Table5[[#This Row],[Processing factor]]/S490,""))))</f>
        <v/>
      </c>
      <c r="AH490" s="495" t="str">
        <f>IF(OR(AC490=0,AC490="ND",$C$5="not necessary"),"",1000*$C$5*R490/Table5[[#This Row],[Processing factor]]/S490/AB490)</f>
        <v/>
      </c>
      <c r="AI490" s="313"/>
      <c r="AJ490" s="382"/>
    </row>
    <row r="491" spans="1:36" s="11" customFormat="1" ht="12" customHeight="1" x14ac:dyDescent="0.2">
      <c r="A491" s="494"/>
      <c r="B491" s="23">
        <v>500060</v>
      </c>
      <c r="C491" s="325" t="s">
        <v>430</v>
      </c>
      <c r="D491" s="373" t="str">
        <f>VLOOKUP(C491,input_values!$C$412:$BG$538,input_values!$BG$410-2,0)</f>
        <v>PROC-500060-47</v>
      </c>
      <c r="E491" s="567">
        <f>VLOOKUP(B491,input_values!$B$412:$M$538,4,FALSE)</f>
        <v>0</v>
      </c>
      <c r="F491" s="451" t="str">
        <f>VLOOKUP($D491,Table6[[Identifyer]:[Acute RA IESTI new input value]],input_values!$Q$410,FALSE)</f>
        <v/>
      </c>
      <c r="G491" s="451" t="str">
        <f>VLOOKUP($D491,Table6[[Identifyer]:[Acute RA IESTI new input value]],input_values!$P$410,FALSE)</f>
        <v/>
      </c>
      <c r="H491" s="451">
        <f>VLOOKUP($D491,Table6[[Identifyer]:[Acute RA IESTI new input value]],input_values!$S$410,FALSE)</f>
        <v>0</v>
      </c>
      <c r="I491" s="451" t="str">
        <f>VLOOKUP($D491,Table6[[Identifyer]:[Acute RA IESTI new input value]],input_values!$R$410,FALSE)</f>
        <v/>
      </c>
      <c r="J491" s="65"/>
      <c r="K491" s="301">
        <f>IF(Table5[[#This Row],[Unit weight RAC (g)]]="",1,IF(Table5[[#This Row],[Unit weight RAC (g)]]&gt;250,5,7))</f>
        <v>1</v>
      </c>
      <c r="L491" s="302" t="str">
        <f>VLOOKUP(D491,input_values!$A$412:$BB$538,input_values!$AA$410,FALSE)</f>
        <v/>
      </c>
      <c r="M491" s="302">
        <f>VLOOKUP(D491,input_values!$A$412:$BB$538,input_values!$Y$410,FALSE)</f>
        <v>0.4</v>
      </c>
      <c r="N491" s="374" t="str">
        <f>IF(VLOOKUP(D491,input_values!$A$412:$BB$538,input_values!$L$410,FALSE)&lt;&gt;"",VLOOKUP(D491,input_values!$A$412:$BB$538,input_values!$L$410,FALSE),"")</f>
        <v/>
      </c>
      <c r="O491" s="603">
        <v>15.294117647058824</v>
      </c>
      <c r="P491" s="375" t="s">
        <v>20</v>
      </c>
      <c r="Q491" s="375" t="s">
        <v>329</v>
      </c>
      <c r="R491" s="377">
        <v>10.199999999999999</v>
      </c>
      <c r="S491" s="326">
        <f t="shared" si="71"/>
        <v>156</v>
      </c>
      <c r="T491" s="376"/>
      <c r="U491" s="574"/>
      <c r="V491" s="376"/>
      <c r="W491" s="574"/>
      <c r="X491" s="378">
        <v>3</v>
      </c>
      <c r="Y491" s="64">
        <f>IF(OR(Table5[[#This Row],[Case]]=1,Table5[[#This Row],[Case]]=3),1,IF(N491="",K491,N491))</f>
        <v>1</v>
      </c>
      <c r="Z491" s="379" t="str">
        <f t="shared" si="74"/>
        <v>ND</v>
      </c>
      <c r="AA491" s="380" t="str">
        <f t="shared" si="72"/>
        <v>no acute risk assessment</v>
      </c>
      <c r="AB491" s="64">
        <f>IF(OR(Table5[[#This Row],[Case]]=3,Table5[[#This Row],[Case]]=1),1,IF(Table5[[#This Row],[Variability factor for IESTI ]]&lt;3,Table5[[#This Row],[Variability factor for IESTI ]],3))</f>
        <v>1</v>
      </c>
      <c r="AC491" s="379" t="str">
        <f t="shared" si="73"/>
        <v>ND</v>
      </c>
      <c r="AD491" s="380" t="str">
        <f>IF($C$5="not necessary","no acute RA",IF(AC491="ND","no acute RA",IF(Table5[[#This Row],[IESTI new (mg/kg bw)]]&lt;&gt;"",AC491/$C$5,0)))</f>
        <v>no acute RA</v>
      </c>
      <c r="AE491" s="339" t="str">
        <f t="shared" si="75"/>
        <v/>
      </c>
      <c r="AF491" s="339" t="str">
        <f t="shared" si="76"/>
        <v/>
      </c>
      <c r="AG491" s="381" t="str">
        <f>IF(OR(Z491=0,Z491="ND",Z491="",$C$5="not necessary"),"",IF(X491="2a",1000*$C$5*R491/Table5[[#This Row],[Processing factor]]/(T491*Y491+S491-T491),IF(X491="2b",1000*$C$5*R491/Table5[[#This Row],[Processing factor]]/S491/Y491,IF(OR(X491=1,X491=3),1000*$C$5*R491/Table5[[#This Row],[Processing factor]]/S491,""))))</f>
        <v/>
      </c>
      <c r="AH491" s="495" t="str">
        <f>IF(OR(AC491=0,AC491="ND",$C$5="not necessary"),"",1000*$C$5*R491/Table5[[#This Row],[Processing factor]]/S491/AB491)</f>
        <v/>
      </c>
      <c r="AI491" s="313"/>
      <c r="AJ491" s="382"/>
    </row>
    <row r="492" spans="1:36" s="11" customFormat="1" ht="12" customHeight="1" x14ac:dyDescent="0.2">
      <c r="A492" s="494"/>
      <c r="B492" s="23">
        <v>500070</v>
      </c>
      <c r="C492" s="325" t="s">
        <v>431</v>
      </c>
      <c r="D492" s="373" t="str">
        <f>VLOOKUP(C492,input_values!$C$412:$BG$538,input_values!$BG$410-2,0)</f>
        <v>PROC-500070-1</v>
      </c>
      <c r="E492" s="567">
        <f>VLOOKUP(B492,input_values!$B$412:$M$538,4,FALSE)</f>
        <v>0</v>
      </c>
      <c r="F492" s="451" t="str">
        <f>VLOOKUP($D492,Table6[[Identifyer]:[Acute RA IESTI new input value]],input_values!$Q$410,FALSE)</f>
        <v/>
      </c>
      <c r="G492" s="451" t="str">
        <f>VLOOKUP($D492,Table6[[Identifyer]:[Acute RA IESTI new input value]],input_values!$P$410,FALSE)</f>
        <v/>
      </c>
      <c r="H492" s="451">
        <f>VLOOKUP($D492,Table6[[Identifyer]:[Acute RA IESTI new input value]],input_values!$S$410,FALSE)</f>
        <v>0</v>
      </c>
      <c r="I492" s="451" t="str">
        <f>VLOOKUP($D492,Table6[[Identifyer]:[Acute RA IESTI new input value]],input_values!$R$410,FALSE)</f>
        <v/>
      </c>
      <c r="J492" s="65"/>
      <c r="K492" s="301">
        <f>IF(Table5[[#This Row],[Unit weight RAC (g)]]="",1,IF(Table5[[#This Row],[Unit weight RAC (g)]]&gt;250,5,7))</f>
        <v>1</v>
      </c>
      <c r="L492" s="302" t="str">
        <f>VLOOKUP(D492,input_values!$A$412:$BB$538,input_values!$AA$410,FALSE)</f>
        <v/>
      </c>
      <c r="M492" s="302">
        <f>VLOOKUP(D492,input_values!$A$412:$BB$538,input_values!$Y$410,FALSE)</f>
        <v>1</v>
      </c>
      <c r="N492" s="374" t="str">
        <f>IF(VLOOKUP(D492,input_values!$A$412:$BB$538,input_values!$L$410,FALSE)&lt;&gt;"",VLOOKUP(D492,input_values!$A$412:$BB$538,input_values!$L$410,FALSE),"")</f>
        <v/>
      </c>
      <c r="O492" s="603">
        <v>3.5108695652173911</v>
      </c>
      <c r="P492" s="375" t="s">
        <v>420</v>
      </c>
      <c r="Q492" s="375" t="s">
        <v>259</v>
      </c>
      <c r="R492" s="377">
        <v>18.399999999999999</v>
      </c>
      <c r="S492" s="326">
        <f t="shared" si="71"/>
        <v>64.599999999999994</v>
      </c>
      <c r="T492" s="376"/>
      <c r="U492" s="574"/>
      <c r="V492" s="376"/>
      <c r="W492" s="574"/>
      <c r="X492" s="378">
        <v>3</v>
      </c>
      <c r="Y492" s="64">
        <f>IF(OR(Table5[[#This Row],[Case]]=1,Table5[[#This Row],[Case]]=3),1,IF(N492="",K492,N492))</f>
        <v>1</v>
      </c>
      <c r="Z492" s="379" t="str">
        <f t="shared" si="74"/>
        <v>ND</v>
      </c>
      <c r="AA492" s="380" t="str">
        <f t="shared" si="72"/>
        <v>no acute risk assessment</v>
      </c>
      <c r="AB492" s="64">
        <f>IF(OR(Table5[[#This Row],[Case]]=3,Table5[[#This Row],[Case]]=1),1,IF(Table5[[#This Row],[Variability factor for IESTI ]]&lt;3,Table5[[#This Row],[Variability factor for IESTI ]],3))</f>
        <v>1</v>
      </c>
      <c r="AC492" s="379" t="str">
        <f t="shared" si="73"/>
        <v>ND</v>
      </c>
      <c r="AD492" s="380" t="str">
        <f>IF($C$5="not necessary","no acute RA",IF(AC492="ND","no acute RA",IF(Table5[[#This Row],[IESTI new (mg/kg bw)]]&lt;&gt;"",AC492/$C$5,0)))</f>
        <v>no acute RA</v>
      </c>
      <c r="AE492" s="339" t="str">
        <f t="shared" si="75"/>
        <v/>
      </c>
      <c r="AF492" s="339" t="str">
        <f t="shared" si="76"/>
        <v/>
      </c>
      <c r="AG492" s="381" t="str">
        <f>IF(OR(Z492=0,Z492="ND",Z492="",$C$5="not necessary"),"",IF(X492="2a",1000*$C$5*R492/Table5[[#This Row],[Processing factor]]/(T492*Y492+S492-T492),IF(X492="2b",1000*$C$5*R492/Table5[[#This Row],[Processing factor]]/S492/Y492,IF(OR(X492=1,X492=3),1000*$C$5*R492/Table5[[#This Row],[Processing factor]]/S492,""))))</f>
        <v/>
      </c>
      <c r="AH492" s="495" t="str">
        <f>IF(OR(AC492=0,AC492="ND",$C$5="not necessary"),"",1000*$C$5*R492/Table5[[#This Row],[Processing factor]]/S492/AB492)</f>
        <v/>
      </c>
      <c r="AI492" s="313"/>
      <c r="AJ492" s="382"/>
    </row>
    <row r="493" spans="1:36" s="11" customFormat="1" ht="12" customHeight="1" x14ac:dyDescent="0.2">
      <c r="A493" s="494"/>
      <c r="B493" s="23">
        <v>500070</v>
      </c>
      <c r="C493" s="325" t="s">
        <v>408</v>
      </c>
      <c r="D493" s="373" t="str">
        <f>VLOOKUP(C493,input_values!$C$412:$BG$538,input_values!$BG$410-2,0)</f>
        <v>PROC-500070-3</v>
      </c>
      <c r="E493" s="567">
        <f>VLOOKUP(B493,input_values!$B$412:$M$538,4,FALSE)</f>
        <v>0</v>
      </c>
      <c r="F493" s="451" t="str">
        <f>VLOOKUP($D493,Table6[[Identifyer]:[Acute RA IESTI new input value]],input_values!$Q$410,FALSE)</f>
        <v/>
      </c>
      <c r="G493" s="451" t="str">
        <f>VLOOKUP($D493,Table6[[Identifyer]:[Acute RA IESTI new input value]],input_values!$P$410,FALSE)</f>
        <v/>
      </c>
      <c r="H493" s="451">
        <f>VLOOKUP($D493,Table6[[Identifyer]:[Acute RA IESTI new input value]],input_values!$S$410,FALSE)</f>
        <v>0</v>
      </c>
      <c r="I493" s="451" t="str">
        <f>VLOOKUP($D493,Table6[[Identifyer]:[Acute RA IESTI new input value]],input_values!$R$410,FALSE)</f>
        <v/>
      </c>
      <c r="J493" s="65"/>
      <c r="K493" s="301">
        <f>IF(Table5[[#This Row],[Unit weight RAC (g)]]="",1,IF(Table5[[#This Row],[Unit weight RAC (g)]]&gt;250,5,7))</f>
        <v>1</v>
      </c>
      <c r="L493" s="302" t="str">
        <f>VLOOKUP(D493,input_values!$A$412:$BB$538,input_values!$AA$410,FALSE)</f>
        <v/>
      </c>
      <c r="M493" s="302">
        <f>VLOOKUP(D493,input_values!$A$412:$BB$538,input_values!$Y$410,FALSE)</f>
        <v>1</v>
      </c>
      <c r="N493" s="374" t="str">
        <f>IF(VLOOKUP(D493,input_values!$A$412:$BB$538,input_values!$L$410,FALSE)&lt;&gt;"",VLOOKUP(D493,input_values!$A$412:$BB$538,input_values!$L$410,FALSE),"")</f>
        <v/>
      </c>
      <c r="O493" s="603">
        <v>3.6254</v>
      </c>
      <c r="P493" s="375" t="s">
        <v>442</v>
      </c>
      <c r="Q493" s="375" t="s">
        <v>259</v>
      </c>
      <c r="R493" s="377">
        <v>18.399999999999999</v>
      </c>
      <c r="S493" s="326">
        <f t="shared" si="71"/>
        <v>66.707359999999994</v>
      </c>
      <c r="T493" s="376"/>
      <c r="U493" s="574"/>
      <c r="V493" s="376"/>
      <c r="W493" s="574"/>
      <c r="X493" s="378">
        <v>3</v>
      </c>
      <c r="Y493" s="64">
        <f>IF(OR(Table5[[#This Row],[Case]]=1,Table5[[#This Row],[Case]]=3),1,IF(N493="",K493,N493))</f>
        <v>1</v>
      </c>
      <c r="Z493" s="379" t="str">
        <f t="shared" si="74"/>
        <v>ND</v>
      </c>
      <c r="AA493" s="380" t="str">
        <f t="shared" si="72"/>
        <v>no acute risk assessment</v>
      </c>
      <c r="AB493" s="64">
        <f>IF(OR(Table5[[#This Row],[Case]]=3,Table5[[#This Row],[Case]]=1),1,IF(Table5[[#This Row],[Variability factor for IESTI ]]&lt;3,Table5[[#This Row],[Variability factor for IESTI ]],3))</f>
        <v>1</v>
      </c>
      <c r="AC493" s="379" t="str">
        <f t="shared" si="73"/>
        <v>ND</v>
      </c>
      <c r="AD493" s="380" t="str">
        <f>IF($C$5="not necessary","no acute RA",IF(AC493="ND","no acute RA",IF(Table5[[#This Row],[IESTI new (mg/kg bw)]]&lt;&gt;"",AC493/$C$5,0)))</f>
        <v>no acute RA</v>
      </c>
      <c r="AE493" s="339" t="str">
        <f t="shared" si="75"/>
        <v/>
      </c>
      <c r="AF493" s="339" t="str">
        <f t="shared" si="76"/>
        <v/>
      </c>
      <c r="AG493" s="381" t="str">
        <f>IF(OR(Z493=0,Z493="ND",Z493="",$C$5="not necessary"),"",IF(X493="2a",1000*$C$5*R493/Table5[[#This Row],[Processing factor]]/(T493*Y493+S493-T493),IF(X493="2b",1000*$C$5*R493/Table5[[#This Row],[Processing factor]]/S493/Y493,IF(OR(X493=1,X493=3),1000*$C$5*R493/Table5[[#This Row],[Processing factor]]/S493,""))))</f>
        <v/>
      </c>
      <c r="AH493" s="495" t="str">
        <f>IF(OR(AC493=0,AC493="ND",$C$5="not necessary"),"",1000*$C$5*R493/Table5[[#This Row],[Processing factor]]/S493/AB493)</f>
        <v/>
      </c>
      <c r="AI493" s="313"/>
      <c r="AJ493" s="382"/>
    </row>
    <row r="494" spans="1:36" s="11" customFormat="1" ht="12" customHeight="1" x14ac:dyDescent="0.2">
      <c r="A494" s="494"/>
      <c r="B494" s="23">
        <v>500090</v>
      </c>
      <c r="C494" s="325" t="s">
        <v>432</v>
      </c>
      <c r="D494" s="373" t="str">
        <f>VLOOKUP(C494,input_values!$C$412:$BG$538,input_values!$BG$410-2,0)</f>
        <v>PROC-500090-35</v>
      </c>
      <c r="E494" s="567">
        <f>VLOOKUP(B494,input_values!$B$412:$M$538,4,FALSE)</f>
        <v>0</v>
      </c>
      <c r="F494" s="451" t="str">
        <f>VLOOKUP($D494,Table6[[Identifyer]:[Acute RA IESTI new input value]],input_values!$Q$410,FALSE)</f>
        <v/>
      </c>
      <c r="G494" s="451" t="str">
        <f>VLOOKUP($D494,Table6[[Identifyer]:[Acute RA IESTI new input value]],input_values!$P$410,FALSE)</f>
        <v/>
      </c>
      <c r="H494" s="451">
        <f>VLOOKUP($D494,Table6[[Identifyer]:[Acute RA IESTI new input value]],input_values!$S$410,FALSE)</f>
        <v>0</v>
      </c>
      <c r="I494" s="451" t="str">
        <f>VLOOKUP($D494,Table6[[Identifyer]:[Acute RA IESTI new input value]],input_values!$R$410,FALSE)</f>
        <v/>
      </c>
      <c r="J494" s="65"/>
      <c r="K494" s="301">
        <f>IF(Table5[[#This Row],[Unit weight RAC (g)]]="",1,IF(Table5[[#This Row],[Unit weight RAC (g)]]&gt;250,5,7))</f>
        <v>1</v>
      </c>
      <c r="L494" s="302" t="str">
        <f>VLOOKUP(D494,input_values!$A$412:$BB$538,input_values!$AA$410,FALSE)</f>
        <v/>
      </c>
      <c r="M494" s="302">
        <f>VLOOKUP(D494,input_values!$A$412:$BB$538,input_values!$Y$410,FALSE)</f>
        <v>1</v>
      </c>
      <c r="N494" s="374" t="str">
        <f>IF(VLOOKUP(D494,input_values!$A$412:$BB$538,input_values!$L$410,FALSE)&lt;&gt;"",VLOOKUP(D494,input_values!$A$412:$BB$538,input_values!$L$410,FALSE),"")</f>
        <v/>
      </c>
      <c r="O494" s="603">
        <v>5.5434782608695654</v>
      </c>
      <c r="P494" s="375" t="s">
        <v>20</v>
      </c>
      <c r="Q494" s="375" t="s">
        <v>259</v>
      </c>
      <c r="R494" s="377">
        <v>18.399999999999999</v>
      </c>
      <c r="S494" s="326">
        <f t="shared" si="71"/>
        <v>102</v>
      </c>
      <c r="T494" s="376"/>
      <c r="U494" s="574"/>
      <c r="V494" s="376"/>
      <c r="W494" s="574"/>
      <c r="X494" s="378">
        <v>3</v>
      </c>
      <c r="Y494" s="64">
        <f>IF(OR(Table5[[#This Row],[Case]]=1,Table5[[#This Row],[Case]]=3),1,IF(N494="",K494,N494))</f>
        <v>1</v>
      </c>
      <c r="Z494" s="379" t="str">
        <f t="shared" si="74"/>
        <v>ND</v>
      </c>
      <c r="AA494" s="380" t="str">
        <f t="shared" si="72"/>
        <v>no acute risk assessment</v>
      </c>
      <c r="AB494" s="64">
        <f>IF(OR(Table5[[#This Row],[Case]]=3,Table5[[#This Row],[Case]]=1),1,IF(Table5[[#This Row],[Variability factor for IESTI ]]&lt;3,Table5[[#This Row],[Variability factor for IESTI ]],3))</f>
        <v>1</v>
      </c>
      <c r="AC494" s="379" t="str">
        <f t="shared" si="73"/>
        <v>ND</v>
      </c>
      <c r="AD494" s="380" t="str">
        <f>IF($C$5="not necessary","no acute RA",IF(AC494="ND","no acute RA",IF(Table5[[#This Row],[IESTI new (mg/kg bw)]]&lt;&gt;"",AC494/$C$5,0)))</f>
        <v>no acute RA</v>
      </c>
      <c r="AE494" s="339" t="str">
        <f t="shared" si="75"/>
        <v/>
      </c>
      <c r="AF494" s="339" t="str">
        <f t="shared" si="76"/>
        <v/>
      </c>
      <c r="AG494" s="381" t="str">
        <f>IF(OR(Z494=0,Z494="ND",Z494="",$C$5="not necessary"),"",IF(X494="2a",1000*$C$5*R494/Table5[[#This Row],[Processing factor]]/(T494*Y494+S494-T494),IF(X494="2b",1000*$C$5*R494/Table5[[#This Row],[Processing factor]]/S494/Y494,IF(OR(X494=1,X494=3),1000*$C$5*R494/Table5[[#This Row],[Processing factor]]/S494,""))))</f>
        <v/>
      </c>
      <c r="AH494" s="495" t="str">
        <f>IF(OR(AC494=0,AC494="ND",$C$5="not necessary"),"",1000*$C$5*R494/Table5[[#This Row],[Processing factor]]/S494/AB494)</f>
        <v/>
      </c>
      <c r="AI494" s="313"/>
      <c r="AJ494" s="382"/>
    </row>
    <row r="495" spans="1:36" s="11" customFormat="1" ht="12" customHeight="1" x14ac:dyDescent="0.2">
      <c r="A495" s="494"/>
      <c r="B495" s="23">
        <v>500090</v>
      </c>
      <c r="C495" s="325" t="s">
        <v>409</v>
      </c>
      <c r="D495" s="373" t="str">
        <f>VLOOKUP(C495,input_values!$C$412:$BG$538,input_values!$BG$410-2,0)</f>
        <v>PROC-500090-28</v>
      </c>
      <c r="E495" s="567">
        <f>VLOOKUP(B495,input_values!$B$412:$M$538,4,FALSE)</f>
        <v>0</v>
      </c>
      <c r="F495" s="451" t="str">
        <f>VLOOKUP($D495,Table6[[Identifyer]:[Acute RA IESTI new input value]],input_values!$Q$410,FALSE)</f>
        <v/>
      </c>
      <c r="G495" s="451" t="str">
        <f>VLOOKUP($D495,Table6[[Identifyer]:[Acute RA IESTI new input value]],input_values!$P$410,FALSE)</f>
        <v/>
      </c>
      <c r="H495" s="451">
        <f>VLOOKUP($D495,Table6[[Identifyer]:[Acute RA IESTI new input value]],input_values!$S$410,FALSE)</f>
        <v>0</v>
      </c>
      <c r="I495" s="451" t="str">
        <f>VLOOKUP($D495,Table6[[Identifyer]:[Acute RA IESTI new input value]],input_values!$R$410,FALSE)</f>
        <v/>
      </c>
      <c r="J495" s="65"/>
      <c r="K495" s="301">
        <f>IF(Table5[[#This Row],[Unit weight RAC (g)]]="",1,IF(Table5[[#This Row],[Unit weight RAC (g)]]&gt;250,5,7))</f>
        <v>1</v>
      </c>
      <c r="L495" s="302" t="str">
        <f>VLOOKUP(D495,input_values!$A$412:$BB$538,input_values!$AA$410,FALSE)</f>
        <v/>
      </c>
      <c r="M495" s="302">
        <f>VLOOKUP(D495,input_values!$A$412:$BB$538,input_values!$Y$410,FALSE)</f>
        <v>1</v>
      </c>
      <c r="N495" s="374" t="str">
        <f>IF(VLOOKUP(D495,input_values!$A$412:$BB$538,input_values!$L$410,FALSE)&lt;&gt;"",VLOOKUP(D495,input_values!$A$412:$BB$538,input_values!$L$410,FALSE),"")</f>
        <v/>
      </c>
      <c r="O495" s="603">
        <v>12.09</v>
      </c>
      <c r="P495" s="375">
        <v>97.5</v>
      </c>
      <c r="Q495" s="375" t="s">
        <v>256</v>
      </c>
      <c r="R495" s="377">
        <v>16.149999999999999</v>
      </c>
      <c r="S495" s="326">
        <f t="shared" si="71"/>
        <v>195.25349999999997</v>
      </c>
      <c r="T495" s="376"/>
      <c r="U495" s="574"/>
      <c r="V495" s="376"/>
      <c r="W495" s="574"/>
      <c r="X495" s="378">
        <v>3</v>
      </c>
      <c r="Y495" s="64">
        <f>IF(OR(Table5[[#This Row],[Case]]=1,Table5[[#This Row],[Case]]=3),1,IF(N495="",K495,N495))</f>
        <v>1</v>
      </c>
      <c r="Z495" s="379" t="str">
        <f t="shared" si="74"/>
        <v>ND</v>
      </c>
      <c r="AA495" s="380" t="str">
        <f t="shared" si="72"/>
        <v>no acute risk assessment</v>
      </c>
      <c r="AB495" s="64">
        <f>IF(OR(Table5[[#This Row],[Case]]=3,Table5[[#This Row],[Case]]=1),1,IF(Table5[[#This Row],[Variability factor for IESTI ]]&lt;3,Table5[[#This Row],[Variability factor for IESTI ]],3))</f>
        <v>1</v>
      </c>
      <c r="AC495" s="379" t="str">
        <f t="shared" si="73"/>
        <v>ND</v>
      </c>
      <c r="AD495" s="380" t="str">
        <f>IF($C$5="not necessary","no acute RA",IF(AC495="ND","no acute RA",IF(Table5[[#This Row],[IESTI new (mg/kg bw)]]&lt;&gt;"",AC495/$C$5,0)))</f>
        <v>no acute RA</v>
      </c>
      <c r="AE495" s="339" t="str">
        <f t="shared" si="75"/>
        <v/>
      </c>
      <c r="AF495" s="339" t="str">
        <f t="shared" si="76"/>
        <v/>
      </c>
      <c r="AG495" s="381" t="str">
        <f>IF(OR(Z495=0,Z495="ND",Z495="",$C$5="not necessary"),"",IF(X495="2a",1000*$C$5*R495/Table5[[#This Row],[Processing factor]]/(T495*Y495+S495-T495),IF(X495="2b",1000*$C$5*R495/Table5[[#This Row],[Processing factor]]/S495/Y495,IF(OR(X495=1,X495=3),1000*$C$5*R495/Table5[[#This Row],[Processing factor]]/S495,""))))</f>
        <v/>
      </c>
      <c r="AH495" s="495" t="str">
        <f>IF(OR(AC495=0,AC495="ND",$C$5="not necessary"),"",1000*$C$5*R495/Table5[[#This Row],[Processing factor]]/S495/AB495)</f>
        <v/>
      </c>
      <c r="AI495" s="313"/>
      <c r="AJ495" s="382"/>
    </row>
    <row r="496" spans="1:36" s="11" customFormat="1" ht="12" customHeight="1" x14ac:dyDescent="0.2">
      <c r="A496" s="494"/>
      <c r="B496" s="23">
        <v>610000</v>
      </c>
      <c r="C496" s="325" t="s">
        <v>679</v>
      </c>
      <c r="D496" s="373" t="str">
        <f>VLOOKUP(C496,input_values!$C$412:$BG$538,input_values!$BG$410-2,0)</f>
        <v>PROC-610000-31</v>
      </c>
      <c r="E496" s="567">
        <f>VLOOKUP(B496,input_values!$B$412:$M$538,4,FALSE)</f>
        <v>0</v>
      </c>
      <c r="F496" s="451" t="str">
        <f>VLOOKUP($D496,Table6[[Identifyer]:[Acute RA IESTI new input value]],input_values!$Q$410,FALSE)</f>
        <v/>
      </c>
      <c r="G496" s="451" t="str">
        <f>VLOOKUP($D496,Table6[[Identifyer]:[Acute RA IESTI new input value]],input_values!$P$410,FALSE)</f>
        <v/>
      </c>
      <c r="H496" s="451">
        <f>VLOOKUP($D496,Table6[[Identifyer]:[Acute RA IESTI new input value]],input_values!$S$410,FALSE)</f>
        <v>0</v>
      </c>
      <c r="I496" s="451" t="str">
        <f>VLOOKUP($D496,Table6[[Identifyer]:[Acute RA IESTI new input value]],input_values!$R$410,FALSE)</f>
        <v/>
      </c>
      <c r="J496" s="65"/>
      <c r="K496" s="301">
        <f>IF(Table5[[#This Row],[Unit weight RAC (g)]]="",1,IF(Table5[[#This Row],[Unit weight RAC (g)]]&gt;250,5,7))</f>
        <v>1</v>
      </c>
      <c r="L496" s="302" t="str">
        <f>VLOOKUP(D496,input_values!$A$412:$BB$538,input_values!$AA$410,FALSE)</f>
        <v/>
      </c>
      <c r="M496" s="302">
        <f>VLOOKUP(D496,input_values!$A$412:$BB$538,input_values!$Y$410,FALSE)</f>
        <v>0.01</v>
      </c>
      <c r="N496" s="374" t="str">
        <f>IF(VLOOKUP(D496,input_values!$A$412:$BB$538,input_values!$L$410,FALSE)&lt;&gt;"",VLOOKUP(D496,input_values!$A$412:$BB$538,input_values!$L$410,FALSE),"")</f>
        <v/>
      </c>
      <c r="O496" s="603">
        <v>35.091999999999999</v>
      </c>
      <c r="P496" s="375">
        <v>97.5</v>
      </c>
      <c r="Q496" s="375" t="s">
        <v>259</v>
      </c>
      <c r="R496" s="377">
        <v>18.399999999999999</v>
      </c>
      <c r="S496" s="326">
        <f>O496*R496</f>
        <v>645.69279999999992</v>
      </c>
      <c r="T496" s="376"/>
      <c r="U496" s="574"/>
      <c r="V496" s="376"/>
      <c r="W496" s="574"/>
      <c r="X496" s="378">
        <v>3</v>
      </c>
      <c r="Y496" s="64">
        <f>IF(OR(Table5[[#This Row],[Case]]=1,Table5[[#This Row],[Case]]=3),1,IF(N496="",K496,N496))</f>
        <v>1</v>
      </c>
      <c r="Z496" s="379" t="str">
        <f t="shared" si="74"/>
        <v>ND</v>
      </c>
      <c r="AA496" s="380" t="str">
        <f t="shared" si="72"/>
        <v>no acute risk assessment</v>
      </c>
      <c r="AB496" s="64">
        <f>IF(OR(Table5[[#This Row],[Case]]=3,Table5[[#This Row],[Case]]=1),1,IF(Table5[[#This Row],[Variability factor for IESTI ]]&lt;3,Table5[[#This Row],[Variability factor for IESTI ]],3))</f>
        <v>1</v>
      </c>
      <c r="AC496" s="379" t="str">
        <f t="shared" si="73"/>
        <v>ND</v>
      </c>
      <c r="AD496" s="380" t="str">
        <f>IF($C$5="not necessary","no acute RA",IF(AC496="ND","no acute RA",IF(Table5[[#This Row],[IESTI new (mg/kg bw)]]&lt;&gt;"",AC496/$C$5,0)))</f>
        <v>no acute RA</v>
      </c>
      <c r="AE496" s="339" t="str">
        <f>IF(AA496&gt;=1,AG496,"")</f>
        <v/>
      </c>
      <c r="AF496" s="339" t="str">
        <f>IF(AD496&gt;=1,AH496,"")</f>
        <v/>
      </c>
      <c r="AG496" s="381" t="str">
        <f>IF(OR(Z496=0,Z496="ND",Z496="",$C$5="not necessary"),"",IF(X496="2a",1000*$C$5*R496/Table5[[#This Row],[Processing factor]]/(T496*Y496+S496-T496),IF(X496="2b",1000*$C$5*R496/Table5[[#This Row],[Processing factor]]/S496/Y496,IF(OR(X496=1,X496=3),1000*$C$5*R496/Table5[[#This Row],[Processing factor]]/S496,""))))</f>
        <v/>
      </c>
      <c r="AH496" s="495" t="str">
        <f>IF(OR(AC496=0,AC496="ND",$C$5="not necessary"),"",1000*$C$5*R496/Table5[[#This Row],[Processing factor]]/S496/AB496)</f>
        <v/>
      </c>
      <c r="AI496" s="313"/>
      <c r="AJ496" s="382"/>
    </row>
    <row r="497" spans="1:36" s="11" customFormat="1" ht="12" customHeight="1" x14ac:dyDescent="0.2">
      <c r="A497" s="494"/>
      <c r="B497" s="23">
        <v>620000</v>
      </c>
      <c r="C497" s="325" t="s">
        <v>410</v>
      </c>
      <c r="D497" s="373" t="str">
        <f>VLOOKUP(C497,input_values!$C$412:$BG$538,input_values!$BG$410-2,0)</f>
        <v>PROC-620000-51</v>
      </c>
      <c r="E497" s="567">
        <f>VLOOKUP(B497,input_values!$B$412:$M$538,4,FALSE)</f>
        <v>0</v>
      </c>
      <c r="F497" s="451" t="str">
        <f>VLOOKUP($D497,Table6[[Identifyer]:[Acute RA IESTI new input value]],input_values!$Q$410,FALSE)</f>
        <v/>
      </c>
      <c r="G497" s="451" t="str">
        <f>VLOOKUP($D497,Table6[[Identifyer]:[Acute RA IESTI new input value]],input_values!$P$410,FALSE)</f>
        <v/>
      </c>
      <c r="H497" s="451">
        <f>VLOOKUP($D497,Table6[[Identifyer]:[Acute RA IESTI new input value]],input_values!$S$410,FALSE)</f>
        <v>0</v>
      </c>
      <c r="I497" s="451" t="str">
        <f>VLOOKUP($D497,Table6[[Identifyer]:[Acute RA IESTI new input value]],input_values!$R$410,FALSE)</f>
        <v/>
      </c>
      <c r="J497" s="65"/>
      <c r="K497" s="301">
        <f>IF(Table5[[#This Row],[Unit weight RAC (g)]]="",1,IF(Table5[[#This Row],[Unit weight RAC (g)]]&gt;250,5,7))</f>
        <v>1</v>
      </c>
      <c r="L497" s="302" t="str">
        <f>VLOOKUP(D497,input_values!$A$412:$BB$538,input_values!$AA$410,FALSE)</f>
        <v/>
      </c>
      <c r="M497" s="302">
        <f>VLOOKUP(D497,input_values!$A$412:$BB$538,input_values!$Y$410,FALSE)</f>
        <v>0.2</v>
      </c>
      <c r="N497" s="374" t="str">
        <f>IF(VLOOKUP(D497,input_values!$A$412:$BB$538,input_values!$L$410,FALSE)&lt;&gt;"",VLOOKUP(D497,input_values!$A$412:$BB$538,input_values!$L$410,FALSE),"")</f>
        <v/>
      </c>
      <c r="O497" s="603">
        <v>9.4347826086956523</v>
      </c>
      <c r="P497" s="375" t="s">
        <v>447</v>
      </c>
      <c r="Q497" s="375" t="s">
        <v>259</v>
      </c>
      <c r="R497" s="377">
        <v>18.399999999999999</v>
      </c>
      <c r="S497" s="326">
        <f t="shared" si="71"/>
        <v>173.6</v>
      </c>
      <c r="T497" s="376"/>
      <c r="U497" s="574"/>
      <c r="V497" s="376"/>
      <c r="W497" s="574"/>
      <c r="X497" s="378">
        <v>3</v>
      </c>
      <c r="Y497" s="64">
        <f>IF(OR(Table5[[#This Row],[Case]]=1,Table5[[#This Row],[Case]]=3),1,IF(N497="",K497,N497))</f>
        <v>1</v>
      </c>
      <c r="Z497" s="379" t="str">
        <f t="shared" si="74"/>
        <v>ND</v>
      </c>
      <c r="AA497" s="380" t="str">
        <f t="shared" si="72"/>
        <v>no acute risk assessment</v>
      </c>
      <c r="AB497" s="64">
        <f>IF(OR(Table5[[#This Row],[Case]]=3,Table5[[#This Row],[Case]]=1),1,IF(Table5[[#This Row],[Variability factor for IESTI ]]&lt;3,Table5[[#This Row],[Variability factor for IESTI ]],3))</f>
        <v>1</v>
      </c>
      <c r="AC497" s="379" t="str">
        <f t="shared" si="73"/>
        <v>ND</v>
      </c>
      <c r="AD497" s="380" t="str">
        <f>IF($C$5="not necessary","no acute RA",IF(AC497="ND","no acute RA",IF(Table5[[#This Row],[IESTI new (mg/kg bw)]]&lt;&gt;"",AC497/$C$5,0)))</f>
        <v>no acute RA</v>
      </c>
      <c r="AE497" s="339" t="str">
        <f t="shared" si="75"/>
        <v/>
      </c>
      <c r="AF497" s="339" t="str">
        <f t="shared" si="76"/>
        <v/>
      </c>
      <c r="AG497" s="381" t="str">
        <f>IF(OR(Z497=0,Z497="ND",Z497="",$C$5="not necessary"),"",IF(X497="2a",1000*$C$5*R497/Table5[[#This Row],[Processing factor]]/(T497*Y497+S497-T497),IF(X497="2b",1000*$C$5*R497/Table5[[#This Row],[Processing factor]]/S497/Y497,IF(OR(X497=1,X497=3),1000*$C$5*R497/Table5[[#This Row],[Processing factor]]/S497,""))))</f>
        <v/>
      </c>
      <c r="AH497" s="495" t="str">
        <f>IF(OR(AC497=0,AC497="ND",$C$5="not necessary"),"",1000*$C$5*R497/Table5[[#This Row],[Processing factor]]/S497/AB497)</f>
        <v/>
      </c>
      <c r="AI497" s="313"/>
      <c r="AJ497" s="382"/>
    </row>
    <row r="498" spans="1:36" s="11" customFormat="1" ht="12" customHeight="1" x14ac:dyDescent="0.2">
      <c r="A498" s="494"/>
      <c r="B498" s="23">
        <v>631010</v>
      </c>
      <c r="C498" s="325" t="s">
        <v>411</v>
      </c>
      <c r="D498" s="373" t="str">
        <f>VLOOKUP(C498,input_values!$C$412:$BG$538,input_values!$BG$410-2,0)</f>
        <v>PROC-631010-31</v>
      </c>
      <c r="E498" s="567">
        <f>VLOOKUP(B498,input_values!$B$412:$M$538,4,FALSE)</f>
        <v>0</v>
      </c>
      <c r="F498" s="451" t="str">
        <f>VLOOKUP($D498,Table6[[Identifyer]:[Acute RA IESTI new input value]],input_values!$Q$410,FALSE)</f>
        <v/>
      </c>
      <c r="G498" s="451" t="str">
        <f>VLOOKUP($D498,Table6[[Identifyer]:[Acute RA IESTI new input value]],input_values!$P$410,FALSE)</f>
        <v/>
      </c>
      <c r="H498" s="451">
        <f>VLOOKUP($D498,Table6[[Identifyer]:[Acute RA IESTI new input value]],input_values!$S$410,FALSE)</f>
        <v>0</v>
      </c>
      <c r="I498" s="451" t="str">
        <f>VLOOKUP($D498,Table6[[Identifyer]:[Acute RA IESTI new input value]],input_values!$R$410,FALSE)</f>
        <v/>
      </c>
      <c r="J498" s="65"/>
      <c r="K498" s="301">
        <f>IF(Table5[[#This Row],[Unit weight RAC (g)]]="",1,IF(Table5[[#This Row],[Unit weight RAC (g)]]&gt;250,5,7))</f>
        <v>1</v>
      </c>
      <c r="L498" s="302" t="str">
        <f>VLOOKUP(D498,input_values!$A$412:$BB$538,input_values!$AA$410,FALSE)</f>
        <v/>
      </c>
      <c r="M498" s="302">
        <f>VLOOKUP(D498,input_values!$A$412:$BB$538,input_values!$Y$410,FALSE)</f>
        <v>0.01</v>
      </c>
      <c r="N498" s="374" t="str">
        <f>IF(VLOOKUP(D498,input_values!$A$412:$BB$538,input_values!$L$410,FALSE)&lt;&gt;"",VLOOKUP(D498,input_values!$A$412:$BB$538,input_values!$L$410,FALSE),"")</f>
        <v/>
      </c>
      <c r="O498" s="603">
        <v>6.9891304347826093</v>
      </c>
      <c r="P498" s="375" t="s">
        <v>452</v>
      </c>
      <c r="Q498" s="375" t="s">
        <v>259</v>
      </c>
      <c r="R498" s="377">
        <v>18.399999999999999</v>
      </c>
      <c r="S498" s="326">
        <f t="shared" si="71"/>
        <v>128.6</v>
      </c>
      <c r="T498" s="376"/>
      <c r="U498" s="574"/>
      <c r="V498" s="376"/>
      <c r="W498" s="574"/>
      <c r="X498" s="378">
        <v>3</v>
      </c>
      <c r="Y498" s="64">
        <f>IF(OR(Table5[[#This Row],[Case]]=1,Table5[[#This Row],[Case]]=3),1,IF(N498="",K498,N498))</f>
        <v>1</v>
      </c>
      <c r="Z498" s="379" t="str">
        <f t="shared" si="74"/>
        <v>ND</v>
      </c>
      <c r="AA498" s="380" t="str">
        <f t="shared" si="72"/>
        <v>no acute risk assessment</v>
      </c>
      <c r="AB498" s="64">
        <f>IF(OR(Table5[[#This Row],[Case]]=3,Table5[[#This Row],[Case]]=1),1,IF(Table5[[#This Row],[Variability factor for IESTI ]]&lt;3,Table5[[#This Row],[Variability factor for IESTI ]],3))</f>
        <v>1</v>
      </c>
      <c r="AC498" s="379" t="str">
        <f t="shared" si="73"/>
        <v>ND</v>
      </c>
      <c r="AD498" s="380" t="str">
        <f>IF($C$5="not necessary","no acute RA",IF(AC498="ND","no acute RA",IF(Table5[[#This Row],[IESTI new (mg/kg bw)]]&lt;&gt;"",AC498/$C$5,0)))</f>
        <v>no acute RA</v>
      </c>
      <c r="AE498" s="339" t="str">
        <f t="shared" si="75"/>
        <v/>
      </c>
      <c r="AF498" s="339" t="str">
        <f t="shared" si="76"/>
        <v/>
      </c>
      <c r="AG498" s="381" t="str">
        <f>IF(OR(Z498=0,Z498="ND",Z498="",$C$5="not necessary"),"",IF(X498="2a",1000*$C$5*R498/Table5[[#This Row],[Processing factor]]/(T498*Y498+S498-T498),IF(X498="2b",1000*$C$5*R498/Table5[[#This Row],[Processing factor]]/S498/Y498,IF(OR(X498=1,X498=3),1000*$C$5*R498/Table5[[#This Row],[Processing factor]]/S498,""))))</f>
        <v/>
      </c>
      <c r="AH498" s="495" t="str">
        <f>IF(OR(AC498=0,AC498="ND",$C$5="not necessary"),"",1000*$C$5*R498/Table5[[#This Row],[Processing factor]]/S498/AB498)</f>
        <v/>
      </c>
      <c r="AI498" s="313"/>
      <c r="AJ498" s="382"/>
    </row>
    <row r="499" spans="1:36" s="11" customFormat="1" ht="12" customHeight="1" x14ac:dyDescent="0.2">
      <c r="A499" s="494"/>
      <c r="B499" s="23">
        <v>631020</v>
      </c>
      <c r="C499" s="325" t="s">
        <v>412</v>
      </c>
      <c r="D499" s="373" t="str">
        <f>VLOOKUP(C499,input_values!$C$412:$BG$538,input_values!$BG$410-2,0)</f>
        <v>PROC-631020-31</v>
      </c>
      <c r="E499" s="567">
        <f>VLOOKUP(B499,input_values!$B$412:$M$538,4,FALSE)</f>
        <v>0</v>
      </c>
      <c r="F499" s="451" t="str">
        <f>VLOOKUP($D499,Table6[[Identifyer]:[Acute RA IESTI new input value]],input_values!$Q$410,FALSE)</f>
        <v/>
      </c>
      <c r="G499" s="451" t="str">
        <f>VLOOKUP($D499,Table6[[Identifyer]:[Acute RA IESTI new input value]],input_values!$P$410,FALSE)</f>
        <v/>
      </c>
      <c r="H499" s="451">
        <f>VLOOKUP($D499,Table6[[Identifyer]:[Acute RA IESTI new input value]],input_values!$S$410,FALSE)</f>
        <v>0</v>
      </c>
      <c r="I499" s="451" t="str">
        <f>VLOOKUP($D499,Table6[[Identifyer]:[Acute RA IESTI new input value]],input_values!$R$410,FALSE)</f>
        <v/>
      </c>
      <c r="J499" s="65"/>
      <c r="K499" s="301">
        <f>IF(Table5[[#This Row],[Unit weight RAC (g)]]="",1,IF(Table5[[#This Row],[Unit weight RAC (g)]]&gt;250,5,7))</f>
        <v>1</v>
      </c>
      <c r="L499" s="302" t="str">
        <f>VLOOKUP(D499,input_values!$A$412:$BB$538,input_values!$AA$410,FALSE)</f>
        <v/>
      </c>
      <c r="M499" s="302">
        <f>VLOOKUP(D499,input_values!$A$412:$BB$538,input_values!$Y$410,FALSE)</f>
        <v>0.01</v>
      </c>
      <c r="N499" s="374" t="str">
        <f>IF(VLOOKUP(D499,input_values!$A$412:$BB$538,input_values!$L$410,FALSE)&lt;&gt;"",VLOOKUP(D499,input_values!$A$412:$BB$538,input_values!$L$410,FALSE),"")</f>
        <v/>
      </c>
      <c r="O499" s="603">
        <v>1.3967391304347827</v>
      </c>
      <c r="P499" s="375" t="s">
        <v>452</v>
      </c>
      <c r="Q499" s="375" t="s">
        <v>259</v>
      </c>
      <c r="R499" s="377">
        <v>18.399999999999999</v>
      </c>
      <c r="S499" s="326">
        <f t="shared" si="71"/>
        <v>25.7</v>
      </c>
      <c r="T499" s="376"/>
      <c r="U499" s="574"/>
      <c r="V499" s="376"/>
      <c r="W499" s="574"/>
      <c r="X499" s="378">
        <v>3</v>
      </c>
      <c r="Y499" s="64">
        <f>IF(OR(Table5[[#This Row],[Case]]=1,Table5[[#This Row],[Case]]=3),1,IF(N499="",K499,N499))</f>
        <v>1</v>
      </c>
      <c r="Z499" s="379" t="str">
        <f t="shared" si="74"/>
        <v>ND</v>
      </c>
      <c r="AA499" s="380" t="str">
        <f t="shared" si="72"/>
        <v>no acute risk assessment</v>
      </c>
      <c r="AB499" s="64">
        <f>IF(OR(Table5[[#This Row],[Case]]=3,Table5[[#This Row],[Case]]=1),1,IF(Table5[[#This Row],[Variability factor for IESTI ]]&lt;3,Table5[[#This Row],[Variability factor for IESTI ]],3))</f>
        <v>1</v>
      </c>
      <c r="AC499" s="379" t="str">
        <f t="shared" si="73"/>
        <v>ND</v>
      </c>
      <c r="AD499" s="380" t="str">
        <f>IF($C$5="not necessary","no acute RA",IF(AC499="ND","no acute RA",IF(Table5[[#This Row],[IESTI new (mg/kg bw)]]&lt;&gt;"",AC499/$C$5,0)))</f>
        <v>no acute RA</v>
      </c>
      <c r="AE499" s="339" t="str">
        <f t="shared" si="75"/>
        <v/>
      </c>
      <c r="AF499" s="339" t="str">
        <f t="shared" si="76"/>
        <v/>
      </c>
      <c r="AG499" s="381" t="str">
        <f>IF(OR(Z499=0,Z499="ND",Z499="",$C$5="not necessary"),"",IF(X499="2a",1000*$C$5*R499/Table5[[#This Row],[Processing factor]]/(T499*Y499+S499-T499),IF(X499="2b",1000*$C$5*R499/Table5[[#This Row],[Processing factor]]/S499/Y499,IF(OR(X499=1,X499=3),1000*$C$5*R499/Table5[[#This Row],[Processing factor]]/S499,""))))</f>
        <v/>
      </c>
      <c r="AH499" s="495" t="str">
        <f>IF(OR(AC499=0,AC499="ND",$C$5="not necessary"),"",1000*$C$5*R499/Table5[[#This Row],[Processing factor]]/S499/AB499)</f>
        <v/>
      </c>
      <c r="AI499" s="313"/>
      <c r="AJ499" s="382"/>
    </row>
    <row r="500" spans="1:36" s="11" customFormat="1" ht="12" customHeight="1" x14ac:dyDescent="0.2">
      <c r="A500" s="494"/>
      <c r="B500" s="23">
        <v>632020</v>
      </c>
      <c r="C500" s="325" t="s">
        <v>413</v>
      </c>
      <c r="D500" s="373" t="str">
        <f>VLOOKUP(C500,input_values!$C$412:$BG$538,input_values!$BG$410-2,0)</f>
        <v>PROC-632020-1</v>
      </c>
      <c r="E500" s="567">
        <f>VLOOKUP(B500,input_values!$B$412:$M$538,4,FALSE)</f>
        <v>0</v>
      </c>
      <c r="F500" s="451" t="str">
        <f>VLOOKUP($D500,Table6[[Identifyer]:[Acute RA IESTI new input value]],input_values!$Q$410,FALSE)</f>
        <v/>
      </c>
      <c r="G500" s="451" t="str">
        <f>VLOOKUP($D500,Table6[[Identifyer]:[Acute RA IESTI new input value]],input_values!$P$410,FALSE)</f>
        <v/>
      </c>
      <c r="H500" s="451">
        <f>VLOOKUP($D500,Table6[[Identifyer]:[Acute RA IESTI new input value]],input_values!$S$410,FALSE)</f>
        <v>0</v>
      </c>
      <c r="I500" s="451" t="str">
        <f>VLOOKUP($D500,Table6[[Identifyer]:[Acute RA IESTI new input value]],input_values!$R$410,FALSE)</f>
        <v/>
      </c>
      <c r="J500" s="65"/>
      <c r="K500" s="301">
        <f>IF(Table5[[#This Row],[Unit weight RAC (g)]]="",1,IF(Table5[[#This Row],[Unit weight RAC (g)]]&gt;250,5,7))</f>
        <v>1</v>
      </c>
      <c r="L500" s="302" t="str">
        <f>VLOOKUP(D500,input_values!$A$412:$BB$538,input_values!$AA$410,FALSE)</f>
        <v/>
      </c>
      <c r="M500" s="302">
        <f>VLOOKUP(D500,input_values!$A$412:$BB$538,input_values!$Y$410,FALSE)</f>
        <v>0.01</v>
      </c>
      <c r="N500" s="374" t="str">
        <f>IF(VLOOKUP(D500,input_values!$A$412:$BB$538,input_values!$L$410,FALSE)&lt;&gt;"",VLOOKUP(D500,input_values!$A$412:$BB$538,input_values!$L$410,FALSE),"")</f>
        <v/>
      </c>
      <c r="O500" s="603">
        <v>6.9891304347826093</v>
      </c>
      <c r="P500" s="375" t="s">
        <v>452</v>
      </c>
      <c r="Q500" s="375" t="s">
        <v>259</v>
      </c>
      <c r="R500" s="377">
        <v>18.399999999999999</v>
      </c>
      <c r="S500" s="326">
        <f t="shared" si="71"/>
        <v>128.6</v>
      </c>
      <c r="T500" s="376"/>
      <c r="U500" s="574"/>
      <c r="V500" s="376"/>
      <c r="W500" s="574"/>
      <c r="X500" s="378">
        <v>3</v>
      </c>
      <c r="Y500" s="64">
        <f>IF(OR(Table5[[#This Row],[Case]]=1,Table5[[#This Row],[Case]]=3),1,IF(N500="",K500,N500))</f>
        <v>1</v>
      </c>
      <c r="Z500" s="379" t="str">
        <f t="shared" si="74"/>
        <v>ND</v>
      </c>
      <c r="AA500" s="380" t="str">
        <f t="shared" si="72"/>
        <v>no acute risk assessment</v>
      </c>
      <c r="AB500" s="64">
        <f>IF(OR(Table5[[#This Row],[Case]]=3,Table5[[#This Row],[Case]]=1),1,IF(Table5[[#This Row],[Variability factor for IESTI ]]&lt;3,Table5[[#This Row],[Variability factor for IESTI ]],3))</f>
        <v>1</v>
      </c>
      <c r="AC500" s="379" t="str">
        <f t="shared" si="73"/>
        <v>ND</v>
      </c>
      <c r="AD500" s="380" t="str">
        <f>IF($C$5="not necessary","no acute RA",IF(AC500="ND","no acute RA",IF(Table5[[#This Row],[IESTI new (mg/kg bw)]]&lt;&gt;"",AC500/$C$5,0)))</f>
        <v>no acute RA</v>
      </c>
      <c r="AE500" s="339" t="str">
        <f t="shared" si="75"/>
        <v/>
      </c>
      <c r="AF500" s="339" t="str">
        <f t="shared" si="76"/>
        <v/>
      </c>
      <c r="AG500" s="381" t="str">
        <f>IF(OR(Z500=0,Z500="ND",Z500="",$C$5="not necessary"),"",IF(X500="2a",1000*$C$5*R500/Table5[[#This Row],[Processing factor]]/(T500*Y500+S500-T500),IF(X500="2b",1000*$C$5*R500/Table5[[#This Row],[Processing factor]]/S500/Y500,IF(OR(X500=1,X500=3),1000*$C$5*R500/Table5[[#This Row],[Processing factor]]/S500,""))))</f>
        <v/>
      </c>
      <c r="AH500" s="495" t="str">
        <f>IF(OR(AC500=0,AC500="ND",$C$5="not necessary"),"",1000*$C$5*R500/Table5[[#This Row],[Processing factor]]/S500/AB500)</f>
        <v/>
      </c>
      <c r="AI500" s="313"/>
      <c r="AJ500" s="382"/>
    </row>
    <row r="501" spans="1:36" s="11" customFormat="1" ht="12" customHeight="1" x14ac:dyDescent="0.2">
      <c r="A501" s="494"/>
      <c r="B501" s="23">
        <v>633010</v>
      </c>
      <c r="C501" s="23" t="s">
        <v>438</v>
      </c>
      <c r="D501" s="373" t="str">
        <f>VLOOKUP(C501,input_values!$C$412:$BG$538,input_values!$BG$410-2,0)</f>
        <v>PROC-633010-31</v>
      </c>
      <c r="E501" s="567">
        <f>VLOOKUP(B501,input_values!$B$412:$M$538,4,FALSE)</f>
        <v>0</v>
      </c>
      <c r="F501" s="451" t="str">
        <f>VLOOKUP($D501,Table6[[Identifyer]:[Acute RA IESTI new input value]],input_values!$Q$410,FALSE)</f>
        <v/>
      </c>
      <c r="G501" s="451" t="str">
        <f>VLOOKUP($D501,Table6[[Identifyer]:[Acute RA IESTI new input value]],input_values!$P$410,FALSE)</f>
        <v/>
      </c>
      <c r="H501" s="451">
        <f>VLOOKUP($D501,Table6[[Identifyer]:[Acute RA IESTI new input value]],input_values!$S$410,FALSE)</f>
        <v>0</v>
      </c>
      <c r="I501" s="451" t="str">
        <f>VLOOKUP($D501,Table6[[Identifyer]:[Acute RA IESTI new input value]],input_values!$R$410,FALSE)</f>
        <v/>
      </c>
      <c r="J501" s="65"/>
      <c r="K501" s="301">
        <f>IF(Table5[[#This Row],[Unit weight RAC (g)]]="",1,IF(Table5[[#This Row],[Unit weight RAC (g)]]&gt;250,5,7))</f>
        <v>1</v>
      </c>
      <c r="L501" s="302" t="str">
        <f>VLOOKUP(D501,input_values!$A$412:$BB$538,input_values!$AA$410,FALSE)</f>
        <v/>
      </c>
      <c r="M501" s="302">
        <f>VLOOKUP(D501,input_values!$A$412:$BB$538,input_values!$Y$410,FALSE)</f>
        <v>0.01</v>
      </c>
      <c r="N501" s="374" t="str">
        <f>IF(VLOOKUP(D501,input_values!$A$412:$BB$538,input_values!$L$410,FALSE)&lt;&gt;"",VLOOKUP(D501,input_values!$A$412:$BB$538,input_values!$L$410,FALSE),"")</f>
        <v/>
      </c>
      <c r="O501" s="603">
        <v>0.629</v>
      </c>
      <c r="P501" s="375" t="s">
        <v>331</v>
      </c>
      <c r="Q501" s="375" t="s">
        <v>259</v>
      </c>
      <c r="R501" s="377">
        <v>18.399999999999999</v>
      </c>
      <c r="S501" s="326">
        <f>O501*R501</f>
        <v>11.573599999999999</v>
      </c>
      <c r="T501" s="376"/>
      <c r="U501" s="574"/>
      <c r="V501" s="376"/>
      <c r="W501" s="574"/>
      <c r="X501" s="378">
        <v>3</v>
      </c>
      <c r="Y501" s="64">
        <f>IF(OR(Table5[[#This Row],[Case]]=1,Table5[[#This Row],[Case]]=3),1,IF(N501="",K501,N501))</f>
        <v>1</v>
      </c>
      <c r="Z501" s="379" t="str">
        <f t="shared" si="74"/>
        <v>ND</v>
      </c>
      <c r="AA501" s="380" t="str">
        <f t="shared" si="72"/>
        <v>no acute risk assessment</v>
      </c>
      <c r="AB501" s="64">
        <f>IF(OR(Table5[[#This Row],[Case]]=3,Table5[[#This Row],[Case]]=1),1,IF(Table5[[#This Row],[Variability factor for IESTI ]]&lt;3,Table5[[#This Row],[Variability factor for IESTI ]],3))</f>
        <v>1</v>
      </c>
      <c r="AC501" s="379" t="str">
        <f t="shared" si="73"/>
        <v>ND</v>
      </c>
      <c r="AD501" s="380" t="str">
        <f>IF($C$5="not necessary","no acute RA",IF(AC501="ND","no acute RA",IF(Table5[[#This Row],[IESTI new (mg/kg bw)]]&lt;&gt;"",AC501/$C$5,0)))</f>
        <v>no acute RA</v>
      </c>
      <c r="AE501" s="339" t="str">
        <f>IF(AA501&gt;=1,AG501,"")</f>
        <v/>
      </c>
      <c r="AF501" s="339" t="str">
        <f>IF(AD501&gt;=1,AH501,"")</f>
        <v/>
      </c>
      <c r="AG501" s="381" t="str">
        <f>IF(OR(Z501=0,Z501="ND",Z501="",$C$5="not necessary"),"",IF(X501="2a",1000*$C$5*R501/Table5[[#This Row],[Processing factor]]/(T501*Y501+S501-T501),IF(X501="2b",1000*$C$5*R501/Table5[[#This Row],[Processing factor]]/S501/Y501,IF(OR(X501=1,X501=3),1000*$C$5*R501/Table5[[#This Row],[Processing factor]]/S501,""))))</f>
        <v/>
      </c>
      <c r="AH501" s="495" t="str">
        <f>IF(OR(AC501=0,AC501="ND",$C$5="not necessary"),"",1000*$C$5*R501/Table5[[#This Row],[Processing factor]]/S501/AB501)</f>
        <v/>
      </c>
      <c r="AI501" s="313"/>
      <c r="AJ501" s="382"/>
    </row>
    <row r="502" spans="1:36" s="11" customFormat="1" ht="12" customHeight="1" x14ac:dyDescent="0.2">
      <c r="A502" s="494"/>
      <c r="B502" s="23">
        <v>640000</v>
      </c>
      <c r="C502" s="325" t="s">
        <v>433</v>
      </c>
      <c r="D502" s="373" t="str">
        <f>VLOOKUP(C502,input_values!$C$412:$BG$538,input_values!$BG$410-2,0)</f>
        <v>PROC-640000-49</v>
      </c>
      <c r="E502" s="567">
        <f>VLOOKUP(B502,input_values!$B$412:$M$538,4,FALSE)</f>
        <v>0</v>
      </c>
      <c r="F502" s="451" t="str">
        <f>VLOOKUP($D502,Table6[[Identifyer]:[Acute RA IESTI new input value]],input_values!$Q$410,FALSE)</f>
        <v/>
      </c>
      <c r="G502" s="451" t="str">
        <f>VLOOKUP($D502,Table6[[Identifyer]:[Acute RA IESTI new input value]],input_values!$P$410,FALSE)</f>
        <v/>
      </c>
      <c r="H502" s="451">
        <f>VLOOKUP($D502,Table6[[Identifyer]:[Acute RA IESTI new input value]],input_values!$S$410,FALSE)</f>
        <v>0</v>
      </c>
      <c r="I502" s="451" t="str">
        <f>VLOOKUP($D502,Table6[[Identifyer]:[Acute RA IESTI new input value]],input_values!$R$410,FALSE)</f>
        <v/>
      </c>
      <c r="J502" s="65"/>
      <c r="K502" s="301">
        <f>IF(Table5[[#This Row],[Unit weight RAC (g)]]="",1,IF(Table5[[#This Row],[Unit weight RAC (g)]]&gt;250,5,7))</f>
        <v>1</v>
      </c>
      <c r="L502" s="302" t="str">
        <f>VLOOKUP(D502,input_values!$A$412:$BB$538,input_values!$AA$410,FALSE)</f>
        <v/>
      </c>
      <c r="M502" s="302">
        <f>VLOOKUP(D502,input_values!$A$412:$BB$538,input_values!$Y$410,FALSE)</f>
        <v>0.03</v>
      </c>
      <c r="N502" s="374" t="str">
        <f>IF(VLOOKUP(D502,input_values!$A$412:$BB$538,input_values!$L$410,FALSE)&lt;&gt;"",VLOOKUP(D502,input_values!$A$412:$BB$538,input_values!$L$410,FALSE),"")</f>
        <v/>
      </c>
      <c r="O502" s="603">
        <v>40.195652173913047</v>
      </c>
      <c r="P502" s="375" t="s">
        <v>20</v>
      </c>
      <c r="Q502" s="375" t="s">
        <v>259</v>
      </c>
      <c r="R502" s="377">
        <v>18.399999999999999</v>
      </c>
      <c r="S502" s="326">
        <f t="shared" si="71"/>
        <v>739.6</v>
      </c>
      <c r="T502" s="376"/>
      <c r="U502" s="574"/>
      <c r="V502" s="376"/>
      <c r="W502" s="574"/>
      <c r="X502" s="378">
        <v>3</v>
      </c>
      <c r="Y502" s="64">
        <f>IF(OR(Table5[[#This Row],[Case]]=1,Table5[[#This Row],[Case]]=3),1,IF(N502="",K502,N502))</f>
        <v>1</v>
      </c>
      <c r="Z502" s="379" t="str">
        <f t="shared" si="74"/>
        <v>ND</v>
      </c>
      <c r="AA502" s="380" t="str">
        <f t="shared" si="72"/>
        <v>no acute risk assessment</v>
      </c>
      <c r="AB502" s="64">
        <f>IF(OR(Table5[[#This Row],[Case]]=3,Table5[[#This Row],[Case]]=1),1,IF(Table5[[#This Row],[Variability factor for IESTI ]]&lt;3,Table5[[#This Row],[Variability factor for IESTI ]],3))</f>
        <v>1</v>
      </c>
      <c r="AC502" s="379" t="str">
        <f t="shared" si="73"/>
        <v>ND</v>
      </c>
      <c r="AD502" s="380" t="str">
        <f>IF($C$5="not necessary","no acute RA",IF(AC502="ND","no acute RA",IF(Table5[[#This Row],[IESTI new (mg/kg bw)]]&lt;&gt;"",AC502/$C$5,0)))</f>
        <v>no acute RA</v>
      </c>
      <c r="AE502" s="339" t="str">
        <f t="shared" si="75"/>
        <v/>
      </c>
      <c r="AF502" s="339" t="str">
        <f t="shared" si="76"/>
        <v/>
      </c>
      <c r="AG502" s="381" t="str">
        <f>IF(OR(Z502=0,Z502="ND",Z502="",$C$5="not necessary"),"",IF(X502="2a",1000*$C$5*R502/Table5[[#This Row],[Processing factor]]/(T502*Y502+S502-T502),IF(X502="2b",1000*$C$5*R502/Table5[[#This Row],[Processing factor]]/S502/Y502,IF(OR(X502=1,X502=3),1000*$C$5*R502/Table5[[#This Row],[Processing factor]]/S502,""))))</f>
        <v/>
      </c>
      <c r="AH502" s="495" t="str">
        <f>IF(OR(AC502=0,AC502="ND",$C$5="not necessary"),"",1000*$C$5*R502/Table5[[#This Row],[Processing factor]]/S502/AB502)</f>
        <v/>
      </c>
      <c r="AI502" s="313"/>
      <c r="AJ502" s="382"/>
    </row>
    <row r="503" spans="1:36" s="11" customFormat="1" ht="12" customHeight="1" x14ac:dyDescent="0.2">
      <c r="A503" s="494"/>
      <c r="B503" s="23">
        <v>840020</v>
      </c>
      <c r="C503" s="325" t="s">
        <v>439</v>
      </c>
      <c r="D503" s="373" t="str">
        <f>VLOOKUP(C503,input_values!$C$412:$BG$538,input_values!$BG$410-2,0)</f>
        <v>PROC-840020-11</v>
      </c>
      <c r="E503" s="567">
        <f>VLOOKUP(B503,input_values!$B$412:$M$538,4,FALSE)</f>
        <v>0</v>
      </c>
      <c r="F503" s="451" t="str">
        <f>VLOOKUP($D503,Table6[[Identifyer]:[Acute RA IESTI new input value]],input_values!$Q$410,FALSE)</f>
        <v/>
      </c>
      <c r="G503" s="451" t="str">
        <f>VLOOKUP($D503,Table6[[Identifyer]:[Acute RA IESTI new input value]],input_values!$P$410,FALSE)</f>
        <v/>
      </c>
      <c r="H503" s="451">
        <f>VLOOKUP($D503,Table6[[Identifyer]:[Acute RA IESTI new input value]],input_values!$S$410,FALSE)</f>
        <v>0</v>
      </c>
      <c r="I503" s="451" t="str">
        <f>VLOOKUP($D503,Table6[[Identifyer]:[Acute RA IESTI new input value]],input_values!$R$410,FALSE)</f>
        <v/>
      </c>
      <c r="J503" s="65"/>
      <c r="K503" s="301">
        <f>IF(Table5[[#This Row],[Unit weight RAC (g)]]="",1,IF(Table5[[#This Row],[Unit weight RAC (g)]]&gt;250,5,7))</f>
        <v>1</v>
      </c>
      <c r="L503" s="302" t="str">
        <f>VLOOKUP(D503,input_values!$A$412:$BB$538,input_values!$AA$410,FALSE)</f>
        <v/>
      </c>
      <c r="M503" s="302">
        <f>VLOOKUP(D503,input_values!$A$412:$BB$538,input_values!$Y$410,FALSE)</f>
        <v>1</v>
      </c>
      <c r="N503" s="374" t="str">
        <f>IF(VLOOKUP(D503,input_values!$A$412:$BB$538,input_values!$L$410,FALSE)&lt;&gt;"",VLOOKUP(D503,input_values!$A$412:$BB$538,input_values!$L$410,FALSE),"")</f>
        <v/>
      </c>
      <c r="O503" s="603">
        <v>3.0271739130434785</v>
      </c>
      <c r="P503" s="375" t="s">
        <v>440</v>
      </c>
      <c r="Q503" s="375" t="s">
        <v>259</v>
      </c>
      <c r="R503" s="377">
        <v>18.399999999999999</v>
      </c>
      <c r="S503" s="326">
        <f t="shared" si="71"/>
        <v>55.7</v>
      </c>
      <c r="T503" s="376"/>
      <c r="U503" s="574"/>
      <c r="V503" s="376"/>
      <c r="W503" s="574"/>
      <c r="X503" s="378">
        <v>3</v>
      </c>
      <c r="Y503" s="64">
        <f>IF(OR(Table5[[#This Row],[Case]]=1,Table5[[#This Row],[Case]]=3),1,IF(N503="",K503,N503))</f>
        <v>1</v>
      </c>
      <c r="Z503" s="379" t="str">
        <f t="shared" si="74"/>
        <v>ND</v>
      </c>
      <c r="AA503" s="380" t="str">
        <f t="shared" si="72"/>
        <v>no acute risk assessment</v>
      </c>
      <c r="AB503" s="64">
        <f>IF(OR(Table5[[#This Row],[Case]]=3,Table5[[#This Row],[Case]]=1),1,IF(Table5[[#This Row],[Variability factor for IESTI ]]&lt;3,Table5[[#This Row],[Variability factor for IESTI ]],3))</f>
        <v>1</v>
      </c>
      <c r="AC503" s="379" t="str">
        <f t="shared" si="73"/>
        <v>ND</v>
      </c>
      <c r="AD503" s="380" t="str">
        <f>IF($C$5="not necessary","no acute RA",IF(AC503="ND","no acute RA",IF(Table5[[#This Row],[IESTI new (mg/kg bw)]]&lt;&gt;"",AC503/$C$5,0)))</f>
        <v>no acute RA</v>
      </c>
      <c r="AE503" s="339" t="str">
        <f t="shared" si="75"/>
        <v/>
      </c>
      <c r="AF503" s="339" t="str">
        <f t="shared" si="76"/>
        <v/>
      </c>
      <c r="AG503" s="381" t="str">
        <f>IF(OR(Z503=0,Z503="ND",Z503="",$C$5="not necessary"),"",IF(X503="2a",1000*$C$5*R503/Table5[[#This Row],[Processing factor]]/(T503*Y503+S503-T503),IF(X503="2b",1000*$C$5*R503/Table5[[#This Row],[Processing factor]]/S503/Y503,IF(OR(X503=1,X503=3),1000*$C$5*R503/Table5[[#This Row],[Processing factor]]/S503,""))))</f>
        <v/>
      </c>
      <c r="AH503" s="495" t="str">
        <f>IF(OR(AC503=0,AC503="ND",$C$5="not necessary"),"",1000*$C$5*R503/Table5[[#This Row],[Processing factor]]/S503/AB503)</f>
        <v/>
      </c>
      <c r="AI503" s="313"/>
      <c r="AJ503" s="382"/>
    </row>
    <row r="504" spans="1:36" s="11" customFormat="1" ht="12" customHeight="1" x14ac:dyDescent="0.2">
      <c r="A504" s="494"/>
      <c r="B504" s="23">
        <v>850020</v>
      </c>
      <c r="C504" s="325" t="s">
        <v>414</v>
      </c>
      <c r="D504" s="373" t="str">
        <f>VLOOKUP(C504,input_values!$C$412:$BG$538,input_values!$BG$410-2,0)</f>
        <v>PROC-850020-22</v>
      </c>
      <c r="E504" s="567">
        <f>VLOOKUP(B504,input_values!$B$412:$M$538,4,FALSE)</f>
        <v>0</v>
      </c>
      <c r="F504" s="451" t="str">
        <f>VLOOKUP($D504,Table6[[Identifyer]:[Acute RA IESTI new input value]],input_values!$Q$410,FALSE)</f>
        <v/>
      </c>
      <c r="G504" s="451" t="str">
        <f>VLOOKUP($D504,Table6[[Identifyer]:[Acute RA IESTI new input value]],input_values!$P$410,FALSE)</f>
        <v/>
      </c>
      <c r="H504" s="451">
        <f>VLOOKUP($D504,Table6[[Identifyer]:[Acute RA IESTI new input value]],input_values!$S$410,FALSE)</f>
        <v>0</v>
      </c>
      <c r="I504" s="451" t="str">
        <f>VLOOKUP($D504,Table6[[Identifyer]:[Acute RA IESTI new input value]],input_values!$R$410,FALSE)</f>
        <v/>
      </c>
      <c r="J504" s="65"/>
      <c r="K504" s="301">
        <f>IF(Table5[[#This Row],[Unit weight RAC (g)]]="",1,IF(Table5[[#This Row],[Unit weight RAC (g)]]&gt;250,5,7))</f>
        <v>1</v>
      </c>
      <c r="L504" s="302" t="str">
        <f>VLOOKUP(D504,input_values!$A$412:$BB$538,input_values!$AA$410,FALSE)</f>
        <v/>
      </c>
      <c r="M504" s="302">
        <f>VLOOKUP(D504,input_values!$A$412:$BB$538,input_values!$Y$410,FALSE)</f>
        <v>1</v>
      </c>
      <c r="N504" s="374" t="str">
        <f>IF(VLOOKUP(D504,input_values!$A$412:$BB$538,input_values!$L$410,FALSE)&lt;&gt;"",VLOOKUP(D504,input_values!$A$412:$BB$538,input_values!$L$410,FALSE),"")</f>
        <v/>
      </c>
      <c r="O504" s="603">
        <v>0.27173913043478265</v>
      </c>
      <c r="P504" s="375" t="s">
        <v>453</v>
      </c>
      <c r="Q504" s="375" t="s">
        <v>259</v>
      </c>
      <c r="R504" s="377">
        <v>18.399999999999999</v>
      </c>
      <c r="S504" s="326">
        <f t="shared" si="71"/>
        <v>5</v>
      </c>
      <c r="T504" s="376"/>
      <c r="U504" s="574"/>
      <c r="V504" s="376"/>
      <c r="W504" s="574"/>
      <c r="X504" s="378">
        <v>1</v>
      </c>
      <c r="Y504" s="64">
        <f>IF(OR(Table5[[#This Row],[Case]]=1,Table5[[#This Row],[Case]]=3),1,IF(N504="",K504,N504))</f>
        <v>1</v>
      </c>
      <c r="Z504" s="379" t="str">
        <f t="shared" si="74"/>
        <v>ND</v>
      </c>
      <c r="AA504" s="380" t="str">
        <f t="shared" si="72"/>
        <v>no acute risk assessment</v>
      </c>
      <c r="AB504" s="64">
        <f>IF(OR(Table5[[#This Row],[Case]]=3,Table5[[#This Row],[Case]]=1),1,IF(Table5[[#This Row],[Variability factor for IESTI ]]&lt;3,Table5[[#This Row],[Variability factor for IESTI ]],3))</f>
        <v>1</v>
      </c>
      <c r="AC504" s="379" t="str">
        <f t="shared" si="73"/>
        <v>ND</v>
      </c>
      <c r="AD504" s="380" t="str">
        <f>IF($C$5="not necessary","no acute RA",IF(AC504="ND","no acute RA",IF(Table5[[#This Row],[IESTI new (mg/kg bw)]]&lt;&gt;"",AC504/$C$5,0)))</f>
        <v>no acute RA</v>
      </c>
      <c r="AE504" s="339" t="str">
        <f t="shared" si="75"/>
        <v/>
      </c>
      <c r="AF504" s="339" t="str">
        <f t="shared" si="76"/>
        <v/>
      </c>
      <c r="AG504" s="381" t="str">
        <f>IF(OR(Z504=0,Z504="ND",Z504="",$C$5="not necessary"),"",IF(X504="2a",1000*$C$5*R504/Table5[[#This Row],[Processing factor]]/(T504*Y504+S504-T504),IF(X504="2b",1000*$C$5*R504/Table5[[#This Row],[Processing factor]]/S504/Y504,IF(OR(X504=1,X504=3),1000*$C$5*R504/Table5[[#This Row],[Processing factor]]/S504,""))))</f>
        <v/>
      </c>
      <c r="AH504" s="495" t="str">
        <f>IF(OR(AC504=0,AC504="ND",$C$5="not necessary"),"",1000*$C$5*R504/Table5[[#This Row],[Processing factor]]/S504/AB504)</f>
        <v/>
      </c>
      <c r="AI504" s="313"/>
      <c r="AJ504" s="382"/>
    </row>
    <row r="505" spans="1:36" s="11" customFormat="1" ht="12" customHeight="1" x14ac:dyDescent="0.2">
      <c r="A505" s="494"/>
      <c r="B505" s="23">
        <v>900010</v>
      </c>
      <c r="C505" s="325" t="s">
        <v>848</v>
      </c>
      <c r="D505" s="373" t="str">
        <f>VLOOKUP(C505,input_values!$C$412:$BG$538,input_values!$BG$410-2,0)</f>
        <v>PROC-900010-52</v>
      </c>
      <c r="E505" s="567">
        <f>VLOOKUP(B505,input_values!$B$412:$M$538,4,FALSE)</f>
        <v>0</v>
      </c>
      <c r="F505" s="451" t="str">
        <f>VLOOKUP($D505,Table6[[Identifyer]:[Acute RA IESTI new input value]],input_values!$Q$410,FALSE)</f>
        <v/>
      </c>
      <c r="G505" s="451" t="str">
        <f>VLOOKUP($D505,Table6[[Identifyer]:[Acute RA IESTI new input value]],input_values!$P$410,FALSE)</f>
        <v/>
      </c>
      <c r="H505" s="451">
        <f>VLOOKUP($D505,Table6[[Identifyer]:[Acute RA IESTI new input value]],input_values!$S$410,FALSE)</f>
        <v>0</v>
      </c>
      <c r="I505" s="451" t="str">
        <f>VLOOKUP($D505,Table6[[Identifyer]:[Acute RA IESTI new input value]],input_values!$R$410,FALSE)</f>
        <v/>
      </c>
      <c r="J505" s="65"/>
      <c r="K505" s="301">
        <f>IF(Table5[[#This Row],[Unit weight RAC (g)]]="",1,IF(Table5[[#This Row],[Unit weight RAC (g)]]&gt;250,5,7))</f>
        <v>1</v>
      </c>
      <c r="L505" s="302" t="str">
        <f>VLOOKUP(D505,input_values!$A$412:$BB$538,input_values!$AA$410,FALSE)</f>
        <v/>
      </c>
      <c r="M505" s="302">
        <f>VLOOKUP(D505,input_values!$A$412:$BB$538,input_values!$Y$410,FALSE)</f>
        <v>12</v>
      </c>
      <c r="N505" s="374" t="str">
        <f>IF(VLOOKUP(D505,input_values!$A$412:$BB$538,input_values!$L$410,FALSE)&lt;&gt;"",VLOOKUP(D505,input_values!$A$412:$BB$538,input_values!$L$410,FALSE),"")</f>
        <v/>
      </c>
      <c r="O505" s="603">
        <v>9.179347826086957</v>
      </c>
      <c r="P505" s="375" t="s">
        <v>20</v>
      </c>
      <c r="Q505" s="375" t="s">
        <v>259</v>
      </c>
      <c r="R505" s="377">
        <v>18.399999999999999</v>
      </c>
      <c r="S505" s="326">
        <f t="shared" si="71"/>
        <v>168.9</v>
      </c>
      <c r="T505" s="376"/>
      <c r="U505" s="574"/>
      <c r="V505" s="376"/>
      <c r="W505" s="574"/>
      <c r="X505" s="378">
        <v>3</v>
      </c>
      <c r="Y505" s="64">
        <f>IF(OR(Table5[[#This Row],[Case]]=1,Table5[[#This Row],[Case]]=3),1,IF(N505="",K505,N505))</f>
        <v>1</v>
      </c>
      <c r="Z505" s="379" t="str">
        <f t="shared" si="74"/>
        <v>ND</v>
      </c>
      <c r="AA505" s="380" t="str">
        <f t="shared" si="72"/>
        <v>no acute risk assessment</v>
      </c>
      <c r="AB505" s="64">
        <f>IF(OR(Table5[[#This Row],[Case]]=3,Table5[[#This Row],[Case]]=1),1,IF(Table5[[#This Row],[Variability factor for IESTI ]]&lt;3,Table5[[#This Row],[Variability factor for IESTI ]],3))</f>
        <v>1</v>
      </c>
      <c r="AC505" s="379" t="str">
        <f t="shared" si="73"/>
        <v>ND</v>
      </c>
      <c r="AD505" s="380" t="str">
        <f>IF($C$5="not necessary","no acute RA",IF(AC505="ND","no acute RA",IF(Table5[[#This Row],[IESTI new (mg/kg bw)]]&lt;&gt;"",AC505/$C$5,0)))</f>
        <v>no acute RA</v>
      </c>
      <c r="AE505" s="339" t="str">
        <f t="shared" si="75"/>
        <v/>
      </c>
      <c r="AF505" s="339" t="str">
        <f t="shared" si="76"/>
        <v/>
      </c>
      <c r="AG505" s="381" t="str">
        <f>IF(OR(Z505=0,Z505="ND",Z505="",$C$5="not necessary"),"",IF(X505="2a",1000*$C$5*R505/Table5[[#This Row],[Processing factor]]/(T505*Y505+S505-T505),IF(X505="2b",1000*$C$5*R505/Table5[[#This Row],[Processing factor]]/S505/Y505,IF(OR(X505=1,X505=3),1000*$C$5*R505/Table5[[#This Row],[Processing factor]]/S505,""))))</f>
        <v/>
      </c>
      <c r="AH505" s="495" t="str">
        <f>IF(OR(AC505=0,AC505="ND",$C$5="not necessary"),"",1000*$C$5*R505/Table5[[#This Row],[Processing factor]]/S505/AB505)</f>
        <v/>
      </c>
      <c r="AI505" s="313"/>
      <c r="AJ505" s="382"/>
    </row>
    <row r="506" spans="1:36" s="11" customFormat="1" ht="12" customHeight="1" x14ac:dyDescent="0.2">
      <c r="A506" s="494"/>
      <c r="B506" s="23">
        <v>900020</v>
      </c>
      <c r="C506" s="325" t="s">
        <v>849</v>
      </c>
      <c r="D506" s="373" t="str">
        <f>VLOOKUP(C506,input_values!$C$412:$BG$538,input_values!$BG$410-2,0)</f>
        <v>PROC-900020-52</v>
      </c>
      <c r="E506" s="567">
        <f>VLOOKUP(B506,input_values!$B$412:$M$538,4,FALSE)</f>
        <v>0</v>
      </c>
      <c r="F506" s="451" t="str">
        <f>VLOOKUP($D506,Table6[[Identifyer]:[Acute RA IESTI new input value]],input_values!$Q$410,FALSE)</f>
        <v/>
      </c>
      <c r="G506" s="451" t="str">
        <f>VLOOKUP($D506,Table6[[Identifyer]:[Acute RA IESTI new input value]],input_values!$P$410,FALSE)</f>
        <v/>
      </c>
      <c r="H506" s="451">
        <f>VLOOKUP($D506,Table6[[Identifyer]:[Acute RA IESTI new input value]],input_values!$S$410,FALSE)</f>
        <v>0</v>
      </c>
      <c r="I506" s="451" t="str">
        <f>VLOOKUP($D506,Table6[[Identifyer]:[Acute RA IESTI new input value]],input_values!$R$410,FALSE)</f>
        <v/>
      </c>
      <c r="J506" s="65"/>
      <c r="K506" s="301">
        <f>IF(Table5[[#This Row],[Unit weight RAC (g)]]="",1,IF(Table5[[#This Row],[Unit weight RAC (g)]]&gt;250,5,7))</f>
        <v>1</v>
      </c>
      <c r="L506" s="302" t="str">
        <f>VLOOKUP(D506,input_values!$A$412:$BB$538,input_values!$AA$410,FALSE)</f>
        <v/>
      </c>
      <c r="M506" s="302">
        <f>VLOOKUP(D506,input_values!$A$412:$BB$538,input_values!$Y$410,FALSE)</f>
        <v>1</v>
      </c>
      <c r="N506" s="374" t="str">
        <f>IF(VLOOKUP(D506,input_values!$A$412:$BB$538,input_values!$L$410,FALSE)&lt;&gt;"",VLOOKUP(D506,input_values!$A$412:$BB$538,input_values!$L$410,FALSE),"")</f>
        <v/>
      </c>
      <c r="O506" s="603">
        <v>9.179347826086957</v>
      </c>
      <c r="P506" s="375" t="s">
        <v>454</v>
      </c>
      <c r="Q506" s="375" t="s">
        <v>259</v>
      </c>
      <c r="R506" s="377">
        <v>18.399999999999999</v>
      </c>
      <c r="S506" s="326">
        <f t="shared" si="71"/>
        <v>168.9</v>
      </c>
      <c r="T506" s="376"/>
      <c r="U506" s="574"/>
      <c r="V506" s="376"/>
      <c r="W506" s="574"/>
      <c r="X506" s="378">
        <v>3</v>
      </c>
      <c r="Y506" s="64">
        <f>IF(OR(Table5[[#This Row],[Case]]=1,Table5[[#This Row],[Case]]=3),1,IF(N506="",K506,N506))</f>
        <v>1</v>
      </c>
      <c r="Z506" s="379" t="str">
        <f t="shared" si="74"/>
        <v>ND</v>
      </c>
      <c r="AA506" s="380" t="str">
        <f t="shared" si="72"/>
        <v>no acute risk assessment</v>
      </c>
      <c r="AB506" s="64">
        <f>IF(OR(Table5[[#This Row],[Case]]=3,Table5[[#This Row],[Case]]=1),1,IF(Table5[[#This Row],[Variability factor for IESTI ]]&lt;3,Table5[[#This Row],[Variability factor for IESTI ]],3))</f>
        <v>1</v>
      </c>
      <c r="AC506" s="379" t="str">
        <f t="shared" si="73"/>
        <v>ND</v>
      </c>
      <c r="AD506" s="380" t="str">
        <f>IF($C$5="not necessary","no acute RA",IF(AC506="ND","no acute RA",IF(Table5[[#This Row],[IESTI new (mg/kg bw)]]&lt;&gt;"",AC506/$C$5,0)))</f>
        <v>no acute RA</v>
      </c>
      <c r="AE506" s="339" t="str">
        <f t="shared" si="75"/>
        <v/>
      </c>
      <c r="AF506" s="339" t="str">
        <f t="shared" si="76"/>
        <v/>
      </c>
      <c r="AG506" s="381" t="str">
        <f>IF(OR(Z506=0,Z506="ND",Z506="",$C$5="not necessary"),"",IF(X506="2a",1000*$C$5*R506/Table5[[#This Row],[Processing factor]]/(T506*Y506+S506-T506),IF(X506="2b",1000*$C$5*R506/Table5[[#This Row],[Processing factor]]/S506/Y506,IF(OR(X506=1,X506=3),1000*$C$5*R506/Table5[[#This Row],[Processing factor]]/S506,""))))</f>
        <v/>
      </c>
      <c r="AH506" s="495" t="str">
        <f>IF(OR(AC506=0,AC506="ND",$C$5="not necessary"),"",1000*$C$5*R506/Table5[[#This Row],[Processing factor]]/S506/AB506)</f>
        <v/>
      </c>
      <c r="AI506" s="382"/>
      <c r="AJ506" s="382"/>
    </row>
    <row r="507" spans="1:36" s="11" customFormat="1" ht="12" customHeight="1" x14ac:dyDescent="0.2">
      <c r="A507" s="494"/>
      <c r="B507" s="23">
        <v>900030</v>
      </c>
      <c r="C507" s="325" t="s">
        <v>415</v>
      </c>
      <c r="D507" s="373" t="str">
        <f>VLOOKUP(C507,input_values!$C$412:$BG$538,input_values!$BG$410-2,0)</f>
        <v>PROC-900030-98</v>
      </c>
      <c r="E507" s="567">
        <f>VLOOKUP(B507,input_values!$B$412:$M$538,4,FALSE)</f>
        <v>0</v>
      </c>
      <c r="F507" s="451" t="str">
        <f>VLOOKUP($D507,Table6[[Identifyer]:[Acute RA IESTI new input value]],input_values!$Q$410,FALSE)</f>
        <v/>
      </c>
      <c r="G507" s="451" t="str">
        <f>VLOOKUP($D507,Table6[[Identifyer]:[Acute RA IESTI new input value]],input_values!$P$410,FALSE)</f>
        <v/>
      </c>
      <c r="H507" s="451">
        <f>VLOOKUP($D507,Table6[[Identifyer]:[Acute RA IESTI new input value]],input_values!$S$410,FALSE)</f>
        <v>0</v>
      </c>
      <c r="I507" s="451" t="str">
        <f>VLOOKUP($D507,Table6[[Identifyer]:[Acute RA IESTI new input value]],input_values!$R$410,FALSE)</f>
        <v/>
      </c>
      <c r="J507" s="65"/>
      <c r="K507" s="301">
        <f>IF(Table5[[#This Row],[Unit weight RAC (g)]]="",1,IF(Table5[[#This Row],[Unit weight RAC (g)]]&gt;250,5,7))</f>
        <v>1</v>
      </c>
      <c r="L507" s="302" t="str">
        <f>VLOOKUP(D507,input_values!$A$412:$BB$538,input_values!$AA$410,FALSE)</f>
        <v/>
      </c>
      <c r="M507" s="302">
        <f>VLOOKUP(D507,input_values!$A$412:$BB$538,input_values!$Y$410,FALSE)</f>
        <v>1</v>
      </c>
      <c r="N507" s="374" t="str">
        <f>IF(VLOOKUP(D507,input_values!$A$412:$BB$538,input_values!$L$410,FALSE)&lt;&gt;"",VLOOKUP(D507,input_values!$A$412:$BB$538,input_values!$L$410,FALSE),"")</f>
        <v/>
      </c>
      <c r="O507" s="603">
        <v>0.72282608695652184</v>
      </c>
      <c r="P507" s="375" t="s">
        <v>442</v>
      </c>
      <c r="Q507" s="375" t="s">
        <v>259</v>
      </c>
      <c r="R507" s="377">
        <v>18.399999999999999</v>
      </c>
      <c r="S507" s="326">
        <f t="shared" si="71"/>
        <v>13.3</v>
      </c>
      <c r="T507" s="376"/>
      <c r="U507" s="574"/>
      <c r="V507" s="376"/>
      <c r="W507" s="574"/>
      <c r="X507" s="378">
        <v>3</v>
      </c>
      <c r="Y507" s="64">
        <f>IF(OR(Table5[[#This Row],[Case]]=1,Table5[[#This Row],[Case]]=3),1,IF(N507="",K507,N507))</f>
        <v>1</v>
      </c>
      <c r="Z507" s="379" t="str">
        <f t="shared" si="74"/>
        <v>ND</v>
      </c>
      <c r="AA507" s="380" t="str">
        <f t="shared" si="72"/>
        <v>no acute risk assessment</v>
      </c>
      <c r="AB507" s="64">
        <f>IF(OR(Table5[[#This Row],[Case]]=3,Table5[[#This Row],[Case]]=1),1,IF(Table5[[#This Row],[Variability factor for IESTI ]]&lt;3,Table5[[#This Row],[Variability factor for IESTI ]],3))</f>
        <v>1</v>
      </c>
      <c r="AC507" s="379" t="str">
        <f t="shared" si="73"/>
        <v>ND</v>
      </c>
      <c r="AD507" s="380" t="str">
        <f>IF($C$5="not necessary","no acute RA",IF(AC507="ND","no acute RA",IF(Table5[[#This Row],[IESTI new (mg/kg bw)]]&lt;&gt;"",AC507/$C$5,0)))</f>
        <v>no acute RA</v>
      </c>
      <c r="AE507" s="339" t="str">
        <f t="shared" si="75"/>
        <v/>
      </c>
      <c r="AF507" s="339" t="str">
        <f t="shared" si="76"/>
        <v/>
      </c>
      <c r="AG507" s="381" t="str">
        <f>IF(OR(Z507=0,Z507="ND",Z507="",$C$5="not necessary"),"",IF(X507="2a",1000*$C$5*R507/Table5[[#This Row],[Processing factor]]/(T507*Y507+S507-T507),IF(X507="2b",1000*$C$5*R507/Table5[[#This Row],[Processing factor]]/S507/Y507,IF(OR(X507=1,X507=3),1000*$C$5*R507/Table5[[#This Row],[Processing factor]]/S507,""))))</f>
        <v/>
      </c>
      <c r="AH507" s="495" t="str">
        <f>IF(OR(AC507=0,AC507="ND",$C$5="not necessary"),"",1000*$C$5*R507/Table5[[#This Row],[Processing factor]]/S507/AB507)</f>
        <v/>
      </c>
      <c r="AI507" s="382"/>
      <c r="AJ507" s="382"/>
    </row>
  </sheetData>
  <sheetProtection sheet="1" objects="1" scenarios="1" formatCells="0" formatColumns="0" formatRows="0" autoFilter="0"/>
  <protectedRanges>
    <protectedRange sqref="J12:J390 J412:J507" name="Comment"/>
  </protectedRanges>
  <mergeCells count="6">
    <mergeCell ref="O9:S9"/>
    <mergeCell ref="T9:W9"/>
    <mergeCell ref="B1:E1"/>
    <mergeCell ref="B2:E2"/>
    <mergeCell ref="C7:E7"/>
    <mergeCell ref="C6:E6"/>
  </mergeCells>
  <phoneticPr fontId="2" type="noConversion"/>
  <conditionalFormatting sqref="AA12:AA391 AA393:AA410 AA413:AA507">
    <cfRule type="expression" priority="37" stopIfTrue="1">
      <formula>$AA12="no acute RA"</formula>
    </cfRule>
    <cfRule type="expression" dxfId="23" priority="39" stopIfTrue="1">
      <formula>$AA12&gt;1</formula>
    </cfRule>
  </conditionalFormatting>
  <conditionalFormatting sqref="AD12:AD391 AD393:AD408 AD410 AD413:AD507">
    <cfRule type="expression" priority="29" stopIfTrue="1">
      <formula>$AD12="no LP or U data"</formula>
    </cfRule>
    <cfRule type="expression" dxfId="22" priority="36" stopIfTrue="1">
      <formula>$AD12&gt;1</formula>
    </cfRule>
  </conditionalFormatting>
  <conditionalFormatting sqref="AA413:AA507">
    <cfRule type="cellIs" dxfId="21" priority="20" operator="equal">
      <formula>"no acute risk assessment"</formula>
    </cfRule>
  </conditionalFormatting>
  <conditionalFormatting sqref="AA12:AA391 AD12:AD391">
    <cfRule type="cellIs" dxfId="20" priority="15" operator="equal">
      <formula>"no acute RA"</formula>
    </cfRule>
  </conditionalFormatting>
  <conditionalFormatting sqref="C5:E5">
    <cfRule type="cellIs" dxfId="19" priority="16" operator="equal">
      <formula>"Please insert valid ARfD"</formula>
    </cfRule>
  </conditionalFormatting>
  <conditionalFormatting sqref="AB12:AB390 Y212:Y238 Y240:Y253 Y322:Y390 Y14:Y210 Y256:Y320">
    <cfRule type="expression" dxfId="18" priority="35">
      <formula>$N12&gt;0</formula>
    </cfRule>
  </conditionalFormatting>
  <conditionalFormatting sqref="Y211">
    <cfRule type="expression" dxfId="17" priority="11">
      <formula>$N211&gt;0</formula>
    </cfRule>
  </conditionalFormatting>
  <conditionalFormatting sqref="Y239">
    <cfRule type="expression" dxfId="16" priority="10">
      <formula>$N239&gt;0</formula>
    </cfRule>
  </conditionalFormatting>
  <conditionalFormatting sqref="Y321">
    <cfRule type="expression" dxfId="15" priority="9">
      <formula>$N321&gt;0</formula>
    </cfRule>
  </conditionalFormatting>
  <conditionalFormatting sqref="Y254:Y255">
    <cfRule type="expression" dxfId="14" priority="7">
      <formula>$N254&gt;0</formula>
    </cfRule>
  </conditionalFormatting>
  <conditionalFormatting sqref="AA412">
    <cfRule type="expression" priority="4" stopIfTrue="1">
      <formula>$AA412="no acute risk assessment"</formula>
    </cfRule>
    <cfRule type="expression" priority="5" stopIfTrue="1">
      <formula>$AA412="no LP or U data"</formula>
    </cfRule>
    <cfRule type="expression" dxfId="13" priority="6" stopIfTrue="1">
      <formula>$AA412&gt;1</formula>
    </cfRule>
  </conditionalFormatting>
  <conditionalFormatting sqref="AD412">
    <cfRule type="expression" dxfId="12" priority="1" stopIfTrue="1">
      <formula>$AD412="no acute risk assessment"</formula>
    </cfRule>
    <cfRule type="expression" priority="2" stopIfTrue="1">
      <formula>$AD412="no LP or U data"</formula>
    </cfRule>
    <cfRule type="expression" dxfId="11" priority="3" stopIfTrue="1">
      <formula>$AD412&gt;1</formula>
    </cfRule>
  </conditionalFormatting>
  <dataValidations count="1">
    <dataValidation allowBlank="1" showInputMessage="1" showErrorMessage="1" promptTitle="Attention" prompt="Go back to the spreadsheet 'input_values' and insert a valid entry for the ARfD in cell D5." sqref="C5" xr:uid="{00000000-0002-0000-0700-000000000000}"/>
  </dataValidations>
  <hyperlinks>
    <hyperlink ref="C6" location="Calculation_mode" display="Calculation_mode" xr:uid="{00000000-0004-0000-0700-000000000000}"/>
    <hyperlink ref="C7:E7" location="Results" display="Results" xr:uid="{00000000-0004-0000-0700-000001000000}"/>
  </hyperlinks>
  <pageMargins left="0.74803149606299213" right="0.35433070866141736" top="0.55118110236220474" bottom="0.16" header="0.51181102362204722" footer="0.51181102362204722"/>
  <pageSetup paperSize="9" scale="31" fitToHeight="0" orientation="landscape" r:id="rId1"/>
  <headerFooter alignWithMargins="0"/>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outlinePr summaryBelow="0" summaryRight="0"/>
    <pageSetUpPr fitToPage="1"/>
  </sheetPr>
  <dimension ref="A1:AK505"/>
  <sheetViews>
    <sheetView showGridLines="0" showZeros="0" zoomScale="80" zoomScaleNormal="80" workbookViewId="0">
      <pane xSplit="4" topLeftCell="E1" activePane="topRight" state="frozen"/>
      <selection pane="topRight"/>
    </sheetView>
  </sheetViews>
  <sheetFormatPr defaultColWidth="9.140625" defaultRowHeight="12" outlineLevelRow="3" outlineLevelCol="2" x14ac:dyDescent="0.2"/>
  <cols>
    <col min="1" max="1" width="5.5703125" style="13" customWidth="1"/>
    <col min="2" max="2" width="12.28515625" style="386" customWidth="1"/>
    <col min="3" max="3" width="26" style="13" customWidth="1"/>
    <col min="4" max="4" width="9.140625" style="43" hidden="1" customWidth="1"/>
    <col min="5" max="5" width="9.28515625" style="258" customWidth="1"/>
    <col min="6" max="6" width="8.28515625" style="43" customWidth="1" outlineLevel="1"/>
    <col min="7" max="7" width="16" style="43" customWidth="1" outlineLevel="1" collapsed="1"/>
    <col min="8" max="8" width="9.7109375" style="43" hidden="1" customWidth="1" outlineLevel="2"/>
    <col min="9" max="9" width="11" style="43" hidden="1" customWidth="1" outlineLevel="2"/>
    <col min="10" max="10" width="17.7109375" style="43" customWidth="1" collapsed="1"/>
    <col min="11" max="11" width="13" style="43" hidden="1" customWidth="1" outlineLevel="1"/>
    <col min="12" max="12" width="11.42578125" style="43" hidden="1" customWidth="1" outlineLevel="1"/>
    <col min="13" max="13" width="11.42578125" style="382" hidden="1" customWidth="1" outlineLevel="1"/>
    <col min="14" max="14" width="12" style="43" hidden="1" customWidth="1" outlineLevel="1"/>
    <col min="15" max="15" width="12.28515625" style="367" customWidth="1"/>
    <col min="16" max="16" width="11.85546875" style="369" customWidth="1"/>
    <col min="17" max="17" width="12.85546875" style="369" customWidth="1"/>
    <col min="18" max="18" width="10.85546875" style="370" customWidth="1" outlineLevel="1"/>
    <col min="19" max="19" width="14.140625" style="370" customWidth="1" outlineLevel="1"/>
    <col min="20" max="20" width="13" style="370" customWidth="1" outlineLevel="1"/>
    <col min="21" max="21" width="12" style="370" customWidth="1" outlineLevel="1"/>
    <col min="22" max="22" width="11.7109375" style="370" customWidth="1" outlineLevel="1"/>
    <col min="23" max="23" width="13" style="370" customWidth="1" outlineLevel="1"/>
    <col min="24" max="24" width="9.140625" style="46" customWidth="1"/>
    <col min="25" max="25" width="13" style="260"/>
    <col min="26" max="26" width="9.140625" style="46" customWidth="1"/>
    <col min="27" max="27" width="14.140625" style="46" customWidth="1"/>
    <col min="28" max="28" width="13" style="260"/>
    <col min="29" max="29" width="13" style="13"/>
    <col min="30" max="30" width="14.7109375" style="13" customWidth="1"/>
    <col min="31" max="31" width="13" style="46"/>
    <col min="32" max="32" width="13" style="46" collapsed="1"/>
    <col min="33" max="33" width="10.28515625" style="46" hidden="1" customWidth="1" outlineLevel="1"/>
    <col min="34" max="34" width="10.140625" style="46" hidden="1" customWidth="1" outlineLevel="1"/>
    <col min="35" max="35" width="9.140625" style="228" hidden="1" customWidth="1" outlineLevel="1"/>
    <col min="36" max="36" width="12" style="228" bestFit="1" customWidth="1" collapsed="1"/>
    <col min="37" max="16384" width="9.140625" style="13"/>
  </cols>
  <sheetData>
    <row r="1" spans="1:36" ht="28.5" customHeight="1" x14ac:dyDescent="0.2">
      <c r="A1" s="11"/>
      <c r="B1" s="1662" t="s">
        <v>670</v>
      </c>
      <c r="C1" s="1662"/>
      <c r="D1" s="1662"/>
      <c r="E1" s="1662"/>
      <c r="O1" s="384"/>
      <c r="P1" s="259"/>
      <c r="Q1" s="259"/>
      <c r="R1" s="155"/>
      <c r="S1" s="259"/>
      <c r="T1" s="259"/>
      <c r="U1" s="259"/>
      <c r="V1" s="259"/>
      <c r="W1" s="259"/>
      <c r="AI1" s="190"/>
      <c r="AJ1" s="11"/>
    </row>
    <row r="2" spans="1:36" ht="27" customHeight="1" x14ac:dyDescent="0.2">
      <c r="A2" s="11"/>
      <c r="B2" s="1663" t="s">
        <v>671</v>
      </c>
      <c r="C2" s="1663"/>
      <c r="D2" s="1663"/>
      <c r="E2" s="1663"/>
      <c r="P2" s="258"/>
      <c r="Q2" s="258"/>
      <c r="R2" s="262"/>
      <c r="S2" s="855"/>
      <c r="T2" s="262"/>
      <c r="U2" s="262"/>
      <c r="V2" s="262"/>
      <c r="W2" s="262"/>
      <c r="AI2" s="385"/>
      <c r="AJ2" s="11"/>
    </row>
    <row r="3" spans="1:36" x14ac:dyDescent="0.2">
      <c r="A3" s="11"/>
      <c r="C3" s="15"/>
      <c r="O3" s="264"/>
      <c r="P3" s="264"/>
      <c r="Q3" s="264"/>
      <c r="R3" s="387"/>
      <c r="S3" s="264"/>
      <c r="T3" s="264"/>
      <c r="U3" s="264"/>
      <c r="V3" s="264"/>
      <c r="W3" s="264"/>
      <c r="X3" s="264"/>
      <c r="Y3" s="264"/>
      <c r="Z3" s="264"/>
      <c r="AA3" s="264"/>
      <c r="AB3" s="264"/>
      <c r="AC3" s="264"/>
      <c r="AD3" s="264"/>
      <c r="AE3" s="264"/>
      <c r="AF3" s="264"/>
      <c r="AG3" s="264"/>
      <c r="AH3" s="264"/>
    </row>
    <row r="4" spans="1:36" ht="29.25" customHeight="1" x14ac:dyDescent="0.2">
      <c r="A4" s="11"/>
      <c r="B4" s="265" t="s">
        <v>41</v>
      </c>
      <c r="C4" s="266">
        <f>input_values!D3</f>
        <v>0</v>
      </c>
      <c r="D4" s="267"/>
      <c r="E4" s="1200"/>
      <c r="F4" s="269"/>
      <c r="G4" s="269"/>
      <c r="H4" s="269"/>
      <c r="I4" s="269"/>
      <c r="J4" s="269"/>
      <c r="K4" s="269"/>
      <c r="L4" s="269"/>
      <c r="M4" s="274"/>
      <c r="N4" s="269"/>
      <c r="P4" s="388"/>
      <c r="Q4" s="29"/>
      <c r="R4" s="262"/>
      <c r="S4" s="855"/>
      <c r="T4" s="29"/>
      <c r="U4" s="29"/>
      <c r="V4" s="29"/>
      <c r="W4" s="29"/>
    </row>
    <row r="5" spans="1:36" ht="24.6" customHeight="1" x14ac:dyDescent="0.2">
      <c r="A5" s="11"/>
      <c r="B5" s="272" t="s">
        <v>1157</v>
      </c>
      <c r="C5" s="1209" t="str">
        <f>IF(ARfD="insert valid entry","Please insert valid ARfD",IF(OR(input_values!D5="not necessary",ISNUMBER(input_values!D5)),input_values!D5,input_values!D4))</f>
        <v>Please insert valid ARfD</v>
      </c>
      <c r="D5" s="1234"/>
      <c r="E5" s="1207"/>
      <c r="F5" s="269"/>
      <c r="G5" s="269"/>
      <c r="H5" s="269"/>
      <c r="I5" s="269"/>
      <c r="J5" s="269"/>
      <c r="K5" s="269"/>
      <c r="L5" s="269"/>
      <c r="M5" s="274"/>
      <c r="N5" s="269"/>
      <c r="O5" s="389"/>
      <c r="P5" s="390"/>
      <c r="Q5" s="289"/>
      <c r="R5" s="391"/>
      <c r="S5" s="392"/>
      <c r="T5" s="392"/>
      <c r="U5" s="392"/>
      <c r="V5" s="392"/>
      <c r="W5" s="392"/>
      <c r="X5" s="393"/>
      <c r="Y5" s="394"/>
      <c r="Z5" s="395"/>
      <c r="AA5" s="395"/>
      <c r="AB5" s="394"/>
      <c r="AC5" s="391"/>
      <c r="AD5" s="391"/>
      <c r="AE5" s="395"/>
      <c r="AF5" s="395"/>
      <c r="AG5" s="395"/>
      <c r="AH5" s="396"/>
    </row>
    <row r="6" spans="1:36" s="29" customFormat="1" ht="24" x14ac:dyDescent="0.2">
      <c r="A6" s="43"/>
      <c r="B6" s="1124" t="s">
        <v>874</v>
      </c>
      <c r="C6" s="1201" t="str">
        <f>input_values!A10</f>
        <v>Normal mode</v>
      </c>
      <c r="D6" s="1202"/>
      <c r="E6" s="1203"/>
      <c r="F6" s="397"/>
      <c r="G6" s="155"/>
      <c r="H6" s="398"/>
      <c r="I6" s="155"/>
      <c r="J6" s="397"/>
      <c r="K6" s="155"/>
      <c r="L6" s="397"/>
      <c r="M6" s="155"/>
      <c r="N6" s="155"/>
      <c r="O6" s="399"/>
      <c r="P6" s="289"/>
      <c r="Q6" s="289"/>
      <c r="R6" s="391"/>
      <c r="S6" s="392"/>
      <c r="T6" s="400"/>
      <c r="U6" s="400"/>
      <c r="V6" s="392"/>
      <c r="W6" s="392"/>
      <c r="X6" s="401"/>
      <c r="Y6" s="394"/>
      <c r="Z6" s="395"/>
      <c r="AA6" s="402"/>
      <c r="AB6" s="394"/>
      <c r="AC6" s="395"/>
      <c r="AD6" s="391"/>
      <c r="AE6" s="395"/>
      <c r="AF6" s="395"/>
      <c r="AG6" s="395"/>
      <c r="AH6" s="402"/>
    </row>
    <row r="7" spans="1:36" ht="27" customHeight="1" x14ac:dyDescent="0.2">
      <c r="A7" s="11"/>
      <c r="B7" s="281"/>
      <c r="C7" s="1204" t="str">
        <f>Results!$B$62</f>
        <v>Show results for all crops</v>
      </c>
      <c r="D7" s="1205"/>
      <c r="E7" s="1206"/>
      <c r="F7" s="155"/>
      <c r="G7" s="155"/>
      <c r="H7" s="155"/>
      <c r="I7" s="155"/>
      <c r="J7" s="155"/>
      <c r="K7" s="155"/>
      <c r="L7" s="259"/>
      <c r="M7" s="259"/>
      <c r="N7" s="259"/>
      <c r="X7" s="84"/>
      <c r="Y7" s="282"/>
      <c r="Z7" s="84"/>
      <c r="AA7" s="84"/>
      <c r="AB7" s="282"/>
      <c r="AC7" s="29"/>
      <c r="AD7" s="29"/>
      <c r="AE7" s="84"/>
      <c r="AF7" s="84"/>
      <c r="AG7" s="84"/>
      <c r="AH7" s="84"/>
    </row>
    <row r="8" spans="1:36" x14ac:dyDescent="0.2">
      <c r="A8" s="11"/>
      <c r="B8" s="281"/>
      <c r="C8" s="403"/>
      <c r="D8" s="269"/>
      <c r="E8" s="270"/>
      <c r="F8" s="269"/>
      <c r="G8" s="269"/>
      <c r="H8" s="269"/>
      <c r="I8" s="269"/>
      <c r="J8" s="269"/>
      <c r="K8" s="269"/>
      <c r="L8" s="269"/>
      <c r="M8" s="274"/>
      <c r="N8" s="269"/>
      <c r="O8" s="404"/>
      <c r="P8" s="388"/>
      <c r="Q8" s="29"/>
      <c r="R8" s="262"/>
      <c r="S8" s="855"/>
      <c r="T8" s="29"/>
      <c r="U8" s="29"/>
      <c r="V8" s="29"/>
      <c r="W8" s="29"/>
      <c r="X8" s="282"/>
      <c r="Y8" s="282"/>
      <c r="Z8" s="84"/>
      <c r="AA8" s="84"/>
      <c r="AB8" s="282"/>
      <c r="AC8" s="283"/>
      <c r="AD8" s="282"/>
      <c r="AE8" s="84"/>
      <c r="AF8" s="84"/>
      <c r="AG8" s="84"/>
      <c r="AH8" s="84"/>
    </row>
    <row r="9" spans="1:36" x14ac:dyDescent="0.2">
      <c r="O9" s="404"/>
      <c r="P9" s="404"/>
      <c r="Q9" s="404"/>
      <c r="R9" s="404"/>
      <c r="S9" s="404"/>
      <c r="T9" s="1661"/>
      <c r="U9" s="1661"/>
      <c r="V9" s="1661"/>
      <c r="W9" s="1661"/>
    </row>
    <row r="10" spans="1:36" s="297" customFormat="1" ht="17.25" hidden="1" customHeight="1" x14ac:dyDescent="0.2">
      <c r="A10" s="287"/>
      <c r="B10" s="288"/>
      <c r="C10" s="288"/>
      <c r="D10" s="290"/>
      <c r="E10" s="577"/>
      <c r="F10" s="290"/>
      <c r="G10" s="290"/>
      <c r="H10" s="290"/>
      <c r="I10" s="290"/>
      <c r="J10" s="290"/>
      <c r="K10" s="290"/>
      <c r="L10" s="290"/>
      <c r="M10" s="292"/>
      <c r="N10" s="290"/>
      <c r="O10" s="293"/>
      <c r="P10" s="295"/>
      <c r="Q10" s="295"/>
      <c r="R10" s="405"/>
      <c r="S10" s="293"/>
      <c r="T10" s="293"/>
      <c r="U10" s="293"/>
      <c r="V10" s="293"/>
      <c r="W10" s="293"/>
      <c r="X10" s="294"/>
      <c r="Y10" s="296"/>
      <c r="Z10" s="294"/>
      <c r="AA10" s="294"/>
      <c r="AB10" s="296"/>
      <c r="AE10" s="294"/>
      <c r="AF10" s="294"/>
      <c r="AG10" s="294"/>
      <c r="AH10" s="294"/>
      <c r="AI10" s="292"/>
      <c r="AJ10" s="292"/>
    </row>
    <row r="11" spans="1:36" s="228" customFormat="1" ht="60" x14ac:dyDescent="0.2">
      <c r="A11" s="406" t="s">
        <v>281</v>
      </c>
      <c r="B11" s="407" t="s">
        <v>212</v>
      </c>
      <c r="C11" s="408" t="s">
        <v>282</v>
      </c>
      <c r="D11" s="407" t="s">
        <v>621</v>
      </c>
      <c r="E11" s="410" t="s">
        <v>364</v>
      </c>
      <c r="F11" s="409" t="s">
        <v>358</v>
      </c>
      <c r="G11" s="409" t="s">
        <v>357</v>
      </c>
      <c r="H11" s="409" t="s">
        <v>359</v>
      </c>
      <c r="I11" s="409" t="s">
        <v>360</v>
      </c>
      <c r="J11" s="161" t="s">
        <v>344</v>
      </c>
      <c r="K11" s="159" t="s">
        <v>923</v>
      </c>
      <c r="L11" s="161" t="s">
        <v>643</v>
      </c>
      <c r="M11" s="161" t="s">
        <v>967</v>
      </c>
      <c r="N11" s="161" t="s">
        <v>966</v>
      </c>
      <c r="O11" s="409" t="s">
        <v>1005</v>
      </c>
      <c r="P11" s="407" t="s">
        <v>56</v>
      </c>
      <c r="Q11" s="407" t="s">
        <v>324</v>
      </c>
      <c r="R11" s="411" t="s">
        <v>283</v>
      </c>
      <c r="S11" s="412" t="s">
        <v>325</v>
      </c>
      <c r="T11" s="412" t="s">
        <v>284</v>
      </c>
      <c r="U11" s="412" t="s">
        <v>296</v>
      </c>
      <c r="V11" s="412" t="s">
        <v>326</v>
      </c>
      <c r="W11" s="412" t="s">
        <v>327</v>
      </c>
      <c r="X11" s="413" t="s">
        <v>285</v>
      </c>
      <c r="Y11" s="414" t="s">
        <v>305</v>
      </c>
      <c r="Z11" s="415" t="s">
        <v>306</v>
      </c>
      <c r="AA11" s="416" t="s">
        <v>620</v>
      </c>
      <c r="AB11" s="414" t="s">
        <v>297</v>
      </c>
      <c r="AC11" s="415" t="s">
        <v>298</v>
      </c>
      <c r="AD11" s="416" t="s">
        <v>299</v>
      </c>
      <c r="AE11" s="415" t="s">
        <v>307</v>
      </c>
      <c r="AF11" s="415" t="s">
        <v>300</v>
      </c>
      <c r="AG11" s="415" t="s">
        <v>308</v>
      </c>
      <c r="AH11" s="417" t="s">
        <v>301</v>
      </c>
      <c r="AI11" s="575" t="s">
        <v>921</v>
      </c>
    </row>
    <row r="12" spans="1:36" x14ac:dyDescent="0.2">
      <c r="A12" s="126">
        <f>acute_overview_children!A12</f>
        <v>1</v>
      </c>
      <c r="B12" s="418">
        <f>acute_overview_children!B12</f>
        <v>100000</v>
      </c>
      <c r="C12" s="127" t="s">
        <v>815</v>
      </c>
      <c r="D12" s="300">
        <f>Table22[[#This Row],[Level used for acute calculation]]</f>
        <v>4</v>
      </c>
      <c r="E12" s="302">
        <f>Table22[[#This Row],[MRL individual commodity]]</f>
        <v>0</v>
      </c>
      <c r="F12" s="451">
        <f>Table22[[#This Row],[Acute RA input value]]</f>
        <v>0</v>
      </c>
      <c r="G12" s="301">
        <f>Table22[[#This Row],[Acute RA label]]</f>
        <v>0</v>
      </c>
      <c r="H12" s="303">
        <f>Table22[[#This Row],[Acute RA IESTI new input value]]</f>
        <v>0</v>
      </c>
      <c r="I12" s="301">
        <f>Table22[[#This Row],[Acute RA IESTI new label]]</f>
        <v>0</v>
      </c>
      <c r="J12" s="65"/>
      <c r="K12" s="304">
        <f>Table22[[#This Row],[GAP under assessment]]</f>
        <v>0</v>
      </c>
      <c r="L12" s="304" t="str">
        <f>IF(input_values!$M12=0,"",input_values!$M12)</f>
        <v/>
      </c>
      <c r="M12" s="301" t="str">
        <f>IF(input_values!H12=0,"",input_values!H12)</f>
        <v/>
      </c>
      <c r="N12" s="304">
        <f>input_values!$K12</f>
        <v>0</v>
      </c>
      <c r="O12" s="305"/>
      <c r="P12" s="38"/>
      <c r="Q12" s="306"/>
      <c r="R12" s="309"/>
      <c r="S12" s="308" t="str">
        <f>IF(O12="ND","ND",IF(O12="","",O12*R12))</f>
        <v/>
      </c>
      <c r="T12" s="305"/>
      <c r="U12" s="309"/>
      <c r="V12" s="305"/>
      <c r="W12" s="309"/>
      <c r="X12" s="1462" t="str">
        <f>IF(V12="ND","ND",IF(S12="","",IF(OR(MID(C12,1,4)="milk",AND(MID(B12,1,2)="50",NOT(input_values!M12="Y")),AND(MID(B12,1,2)="40",NOT(input_values!M12="Y")),AND(MID(B12,1,2)="30",NOT(input_values!M12="Y"))),3,IF(OR(V12="&lt;25",B12&gt;1000000),1,IF((T12&gt;=S12),"2b","2a")))))</f>
        <v/>
      </c>
      <c r="Y12" s="38" t="str">
        <f>IF(X12="ND","ND",IF(S12="","",IF(input_values!K12&gt;0,input_values!K12,IF(OR(X12=1,X12=3),1,IF((V12&gt;250),5,7)))))</f>
        <v/>
      </c>
      <c r="Z12" s="322" t="str">
        <f t="shared" ref="Z12:Z75" si="0">IF(OR(ISTEXT(F12),F12=0),"",IF(OR(S12="ND",T12="ND"),"ND",IF(($X12="2a"),1/$R12*(($F12*$T12/1000*$Y12)+($F12*($S12-$T12)/1000)),IF(($X12="2b"),1/$R12*($F12*$S12/1000*$Y12),1/$R12*($F12*$S12/1000)))))</f>
        <v/>
      </c>
      <c r="AA12" s="323">
        <f t="shared" ref="AA12:AA75" si="1">IF(OR(ISTEXT(F12),F12=0),0,IF($C$5="not necessary","no acuteRA",IF(Z12="ND","no acute RA",Z12/$C$5)))</f>
        <v>0</v>
      </c>
      <c r="AB12" s="38" t="str">
        <f>IF(OR(Y12=5,Y12=7,N12&gt;3),3,Y12)</f>
        <v/>
      </c>
      <c r="AC12" s="322" t="str">
        <f>IF(OR(ISTEXT(H12),H12=0),"",IF(OR(S12="ND",T12="ND"),"ND",1/$R12*($H12*$S12*AB12/1000)))</f>
        <v/>
      </c>
      <c r="AD12" s="311">
        <f t="shared" ref="AD12:AD75" si="2">IF(OR(ISTEXT(H12),H12=0,S12=0),0,IF($C$5="not necessary","no acute RA",IF(AC12="ND","no acute RA",AC12/$C$5)))</f>
        <v>0</v>
      </c>
      <c r="AE12" s="324" t="str">
        <f>IF(AA12&gt;=1,AG12,"")</f>
        <v/>
      </c>
      <c r="AF12" s="324" t="str">
        <f>IF(AD12&gt;=1,AH12,"")</f>
        <v/>
      </c>
      <c r="AG12" s="561" t="str">
        <f t="shared" ref="AG12:AG75" si="3">IF(OR(Z12=0,Z12="ND",Z12="",$C$5="not necessary"),"",IF(X12="2a",1000*$C$5*R12/(T12*Y12+S12-T12),IF(X12="2b",1000*$C$5*R12/S12/Y12,IF(OR(X12=1,X12=3),1000*$C$5*R12/S12,""))))</f>
        <v/>
      </c>
      <c r="AH12" s="561" t="str">
        <f>IF(OR(AC12=0,AC12="ND",AC12="",$C$5="not necessary"),"",1000*$C$5*R12/S12/AB12)</f>
        <v/>
      </c>
      <c r="AI12" s="576"/>
      <c r="AJ12" s="847"/>
    </row>
    <row r="13" spans="1:36" outlineLevel="1" x14ac:dyDescent="0.2">
      <c r="A13" s="130">
        <f>acute_overview_children!A13</f>
        <v>2</v>
      </c>
      <c r="B13" s="131">
        <f>acute_overview_children!B13</f>
        <v>110000</v>
      </c>
      <c r="C13" s="131" t="s">
        <v>213</v>
      </c>
      <c r="D13" s="300">
        <f>Table22[[#This Row],[Level used for acute calculation]]</f>
        <v>4</v>
      </c>
      <c r="E13" s="302">
        <f>Table22[[#This Row],[MRL individual commodity]]</f>
        <v>0</v>
      </c>
      <c r="F13" s="451">
        <f>Table22[[#This Row],[Acute RA input value]]</f>
        <v>0</v>
      </c>
      <c r="G13" s="301">
        <f>Table22[[#This Row],[Acute RA label]]</f>
        <v>0</v>
      </c>
      <c r="H13" s="303">
        <f>Table22[[#This Row],[Acute RA IESTI new input value]]</f>
        <v>0</v>
      </c>
      <c r="I13" s="301">
        <f>Table22[[#This Row],[Acute RA IESTI new label]]</f>
        <v>0</v>
      </c>
      <c r="J13" s="65"/>
      <c r="K13" s="304">
        <f>Table22[[#This Row],[GAP under assessment]]</f>
        <v>0</v>
      </c>
      <c r="L13" s="304" t="str">
        <f>IF(input_values!$M13=0,"",input_values!$M13)</f>
        <v/>
      </c>
      <c r="M13" s="301" t="str">
        <f>IF(input_values!H13=0,"",input_values!H13)</f>
        <v/>
      </c>
      <c r="N13" s="304">
        <f>input_values!$K13</f>
        <v>0</v>
      </c>
      <c r="O13" s="315"/>
      <c r="P13" s="316"/>
      <c r="Q13" s="317"/>
      <c r="R13" s="320"/>
      <c r="S13" s="319" t="str">
        <f t="shared" ref="S13:S76" si="4">IF(O13="ND","ND",IF(O13="","",O13*R13))</f>
        <v/>
      </c>
      <c r="T13" s="315"/>
      <c r="U13" s="320"/>
      <c r="V13" s="315"/>
      <c r="W13" s="320"/>
      <c r="X13" s="1463" t="str">
        <f>IF(V13="ND","ND",IF(S13="","",IF(OR(MID(C13,1,4)="milk",AND(MID(B13,1,2)="50",NOT(input_values!M13="Y")),AND(MID(B13,1,2)="40",NOT(input_values!M13="Y")),AND(MID(B13,1,2)="30",NOT(input_values!M13="Y"))),3,IF(OR(V13="&lt;25",B13&gt;1000000),1,IF((T13&gt;=S13),"2b","2a")))))</f>
        <v/>
      </c>
      <c r="Y13" s="316" t="str">
        <f>IF(X13="ND","ND",IF(S13="","",IF(input_values!K13&gt;0,input_values!K13,IF(OR(X13=1,X13=3),1,IF((V13&gt;250),5,7)))))</f>
        <v/>
      </c>
      <c r="Z13" s="322" t="str">
        <f t="shared" si="0"/>
        <v/>
      </c>
      <c r="AA13" s="323">
        <f t="shared" si="1"/>
        <v>0</v>
      </c>
      <c r="AB13" s="38" t="str">
        <f t="shared" ref="AB13:AB76" si="5">IF(OR(Y13=5,Y13=7,N13&gt;3),3,Y13)</f>
        <v/>
      </c>
      <c r="AC13" s="322" t="str">
        <f t="shared" ref="AC13:AC76" si="6">IF(OR(ISTEXT(H13),H13=0),"",IF(OR(S13="ND",T13="ND"),"ND",1/$R13*($H13*$S13*AB13/1000)))</f>
        <v/>
      </c>
      <c r="AD13" s="311">
        <f t="shared" si="2"/>
        <v>0</v>
      </c>
      <c r="AE13" s="324" t="str">
        <f t="shared" ref="AE13:AE76" si="7">IF(AA13&gt;=1,AG13,"")</f>
        <v/>
      </c>
      <c r="AF13" s="324" t="str">
        <f t="shared" ref="AF13:AF76" si="8">IF(AD13&gt;=1,AH13,"")</f>
        <v/>
      </c>
      <c r="AG13" s="561" t="str">
        <f t="shared" si="3"/>
        <v/>
      </c>
      <c r="AH13" s="561" t="str">
        <f t="shared" ref="AH13:AH76" si="9">IF(OR(AC13=0,AC13="ND",AC13="",$C$5="not necessary"),"",1000*$C$5*R13/S13/AB13)</f>
        <v/>
      </c>
      <c r="AI13" s="576"/>
      <c r="AJ13" s="847"/>
    </row>
    <row r="14" spans="1:36" ht="12" customHeight="1" outlineLevel="3" x14ac:dyDescent="0.2">
      <c r="A14" s="39">
        <f>acute_overview_children!A14</f>
        <v>4</v>
      </c>
      <c r="B14" s="23">
        <f>acute_overview_children!B14</f>
        <v>110010</v>
      </c>
      <c r="C14" s="23" t="s">
        <v>680</v>
      </c>
      <c r="D14" s="300">
        <f>Table22[[#This Row],[Level used for acute calculation]]</f>
        <v>4</v>
      </c>
      <c r="E14" s="302">
        <f>Table22[[#This Row],[MRL individual commodity]]</f>
        <v>0</v>
      </c>
      <c r="F14" s="451">
        <f>Table22[[#This Row],[Acute RA input value]]</f>
        <v>0</v>
      </c>
      <c r="G14" s="301" t="str">
        <f>Table22[[#This Row],[Acute RA label]]</f>
        <v/>
      </c>
      <c r="H14" s="303">
        <f>Table22[[#This Row],[Acute RA IESTI new input value]]</f>
        <v>0</v>
      </c>
      <c r="I14" s="301" t="str">
        <f>Table22[[#This Row],[Acute RA IESTI new label]]</f>
        <v/>
      </c>
      <c r="J14" s="65"/>
      <c r="K14" s="304">
        <f>Table22[[#This Row],[GAP under assessment]]</f>
        <v>0</v>
      </c>
      <c r="L14" s="304" t="str">
        <f>IF(input_values!$M14=0,"",input_values!$M14)</f>
        <v/>
      </c>
      <c r="M14" s="301" t="str">
        <f>IF(input_values!H14=0,"",input_values!H14)</f>
        <v/>
      </c>
      <c r="N14" s="304">
        <f>input_values!$K14</f>
        <v>0</v>
      </c>
      <c r="O14" s="339">
        <v>6.9970180198999996</v>
      </c>
      <c r="P14" s="128">
        <v>97.5</v>
      </c>
      <c r="Q14" s="346" t="s">
        <v>956</v>
      </c>
      <c r="R14" s="339">
        <v>71.2</v>
      </c>
      <c r="S14" s="338">
        <f>IF(O14="ND","ND",IF(O14="","",O14*R14))</f>
        <v>498.18768301687999</v>
      </c>
      <c r="T14" s="338">
        <v>193.78763125</v>
      </c>
      <c r="U14" s="339" t="s">
        <v>90</v>
      </c>
      <c r="V14" s="338">
        <v>315.19765406147826</v>
      </c>
      <c r="W14" s="339" t="s">
        <v>90</v>
      </c>
      <c r="X14" s="1464" t="str">
        <f>IF(V14="ND","ND",IF(S14="","",IF(OR(MID(C14,1,4)="milk",AND(MID(B14,1,2)="50",NOT(input_values!M14="Y")),AND(MID(B14,1,2)="40",NOT(input_values!M14="Y")),AND(MID(B14,1,2)="30",NOT(input_values!M14="Y"))),3,IF(OR(V14="&lt;25",B14&gt;1000000),1,IF((T14&gt;=S14),"2b","2a")))))</f>
        <v>2a</v>
      </c>
      <c r="Y14" s="22">
        <f>IF(X14="ND","ND",IF(S14="","",IF(input_values!K14&gt;0,input_values!K14,IF(OR(X14=1,X14=3),1,IF((V14&gt;250),5,7)))))</f>
        <v>5</v>
      </c>
      <c r="Z14" s="330" t="str">
        <f t="shared" si="0"/>
        <v/>
      </c>
      <c r="AA14" s="331">
        <f t="shared" si="1"/>
        <v>0</v>
      </c>
      <c r="AB14" s="128">
        <f t="shared" si="5"/>
        <v>3</v>
      </c>
      <c r="AC14" s="330" t="str">
        <f t="shared" si="6"/>
        <v/>
      </c>
      <c r="AD14" s="332">
        <f t="shared" si="2"/>
        <v>0</v>
      </c>
      <c r="AE14" s="333" t="str">
        <f t="shared" si="7"/>
        <v/>
      </c>
      <c r="AF14" s="333" t="str">
        <f t="shared" si="8"/>
        <v/>
      </c>
      <c r="AG14" s="561" t="str">
        <f t="shared" si="3"/>
        <v/>
      </c>
      <c r="AH14" s="561" t="str">
        <f t="shared" si="9"/>
        <v/>
      </c>
      <c r="AI14" s="576"/>
      <c r="AJ14" s="847"/>
    </row>
    <row r="15" spans="1:36" ht="12" customHeight="1" outlineLevel="3" x14ac:dyDescent="0.2">
      <c r="A15" s="39">
        <f>acute_overview_children!A15</f>
        <v>4</v>
      </c>
      <c r="B15" s="23">
        <f>acute_overview_children!B15</f>
        <v>110020</v>
      </c>
      <c r="C15" s="23" t="s">
        <v>2</v>
      </c>
      <c r="D15" s="300">
        <f>Table22[[#This Row],[Level used for acute calculation]]</f>
        <v>4</v>
      </c>
      <c r="E15" s="302">
        <f>Table22[[#This Row],[MRL individual commodity]]</f>
        <v>0</v>
      </c>
      <c r="F15" s="451">
        <f>Table22[[#This Row],[Acute RA input value]]</f>
        <v>0</v>
      </c>
      <c r="G15" s="301" t="str">
        <f>Table22[[#This Row],[Acute RA label]]</f>
        <v/>
      </c>
      <c r="H15" s="303">
        <f>Table22[[#This Row],[Acute RA IESTI new input value]]</f>
        <v>0</v>
      </c>
      <c r="I15" s="301" t="str">
        <f>Table22[[#This Row],[Acute RA IESTI new label]]</f>
        <v/>
      </c>
      <c r="J15" s="65"/>
      <c r="K15" s="304">
        <f>Table22[[#This Row],[GAP under assessment]]</f>
        <v>0</v>
      </c>
      <c r="L15" s="304" t="str">
        <f>IF(input_values!$M15=0,"",input_values!$M15)</f>
        <v/>
      </c>
      <c r="M15" s="301" t="str">
        <f>IF(input_values!H15=0,"",input_values!H15)</f>
        <v/>
      </c>
      <c r="N15" s="304">
        <f>input_values!$K15</f>
        <v>0</v>
      </c>
      <c r="O15" s="326">
        <v>15.619122257053291</v>
      </c>
      <c r="P15" s="22">
        <v>97.5</v>
      </c>
      <c r="Q15" s="327" t="s">
        <v>100</v>
      </c>
      <c r="R15" s="326">
        <v>63.8</v>
      </c>
      <c r="S15" s="328">
        <f t="shared" si="4"/>
        <v>996.5</v>
      </c>
      <c r="T15" s="328">
        <v>160</v>
      </c>
      <c r="U15" s="326" t="s">
        <v>45</v>
      </c>
      <c r="V15" s="328">
        <v>229</v>
      </c>
      <c r="W15" s="326" t="s">
        <v>45</v>
      </c>
      <c r="X15" s="1464" t="str">
        <f>IF(V15="ND","ND",IF(S15="","",IF(OR(MID(C15,1,4)="milk",AND(MID(B15,1,2)="50",NOT(input_values!M15="Y")),AND(MID(B15,1,2)="40",NOT(input_values!M15="Y")),AND(MID(B15,1,2)="30",NOT(input_values!M15="Y"))),3,IF(OR(V15="&lt;25",B15&gt;1000000),1,IF((T15&gt;=S15),"2b","2a")))))</f>
        <v>2a</v>
      </c>
      <c r="Y15" s="22">
        <f>IF(X15="ND","ND",IF(S15="","",IF(input_values!K15&gt;0,input_values!K15,IF(OR(X15=1,X15=3),1,IF((V15&gt;250),5,7)))))</f>
        <v>7</v>
      </c>
      <c r="Z15" s="330" t="str">
        <f t="shared" si="0"/>
        <v/>
      </c>
      <c r="AA15" s="331">
        <f t="shared" si="1"/>
        <v>0</v>
      </c>
      <c r="AB15" s="128">
        <f t="shared" si="5"/>
        <v>3</v>
      </c>
      <c r="AC15" s="330" t="str">
        <f t="shared" si="6"/>
        <v/>
      </c>
      <c r="AD15" s="332">
        <f t="shared" si="2"/>
        <v>0</v>
      </c>
      <c r="AE15" s="333" t="str">
        <f t="shared" si="7"/>
        <v/>
      </c>
      <c r="AF15" s="333" t="str">
        <f t="shared" si="8"/>
        <v/>
      </c>
      <c r="AG15" s="561" t="str">
        <f t="shared" si="3"/>
        <v/>
      </c>
      <c r="AH15" s="561" t="str">
        <f t="shared" si="9"/>
        <v/>
      </c>
      <c r="AI15" s="576"/>
      <c r="AJ15" s="847"/>
    </row>
    <row r="16" spans="1:36" ht="12" customHeight="1" outlineLevel="3" x14ac:dyDescent="0.2">
      <c r="A16" s="39">
        <f>acute_overview_children!A16</f>
        <v>4</v>
      </c>
      <c r="B16" s="23">
        <f>acute_overview_children!B16</f>
        <v>110030</v>
      </c>
      <c r="C16" s="23" t="s">
        <v>3</v>
      </c>
      <c r="D16" s="300">
        <f>Table22[[#This Row],[Level used for acute calculation]]</f>
        <v>4</v>
      </c>
      <c r="E16" s="302">
        <f>Table22[[#This Row],[MRL individual commodity]]</f>
        <v>0</v>
      </c>
      <c r="F16" s="451">
        <f>Table22[[#This Row],[Acute RA input value]]</f>
        <v>0</v>
      </c>
      <c r="G16" s="301" t="str">
        <f>Table22[[#This Row],[Acute RA label]]</f>
        <v/>
      </c>
      <c r="H16" s="303">
        <f>Table22[[#This Row],[Acute RA IESTI new input value]]</f>
        <v>0</v>
      </c>
      <c r="I16" s="301" t="str">
        <f>Table22[[#This Row],[Acute RA IESTI new label]]</f>
        <v/>
      </c>
      <c r="J16" s="65"/>
      <c r="K16" s="304">
        <f>Table22[[#This Row],[GAP under assessment]]</f>
        <v>0</v>
      </c>
      <c r="L16" s="304" t="str">
        <f>IF(input_values!$M16=0,"",input_values!$M16)</f>
        <v/>
      </c>
      <c r="M16" s="301" t="str">
        <f>IF(input_values!H16=0,"",input_values!H16)</f>
        <v/>
      </c>
      <c r="N16" s="304">
        <f>input_values!$K16</f>
        <v>0</v>
      </c>
      <c r="O16" s="326">
        <v>1.28</v>
      </c>
      <c r="P16" s="22">
        <v>97.5</v>
      </c>
      <c r="Q16" s="327" t="s">
        <v>103</v>
      </c>
      <c r="R16" s="326">
        <v>55.6</v>
      </c>
      <c r="S16" s="328">
        <f t="shared" si="4"/>
        <v>71.168000000000006</v>
      </c>
      <c r="T16" s="328">
        <v>71.338571428571427</v>
      </c>
      <c r="U16" s="326" t="s">
        <v>90</v>
      </c>
      <c r="V16" s="328">
        <v>120.50166112956812</v>
      </c>
      <c r="W16" s="326" t="s">
        <v>90</v>
      </c>
      <c r="X16" s="1464" t="str">
        <f>IF(V16="ND","ND",IF(S16="","",IF(OR(MID(C16,1,4)="milk",AND(MID(B16,1,2)="50",NOT(input_values!M16="Y")),AND(MID(B16,1,2)="40",NOT(input_values!M16="Y")),AND(MID(B16,1,2)="30",NOT(input_values!M16="Y"))),3,IF(OR(V16="&lt;25",B16&gt;1000000),1,IF((T16&gt;=S16),"2b","2a")))))</f>
        <v>2b</v>
      </c>
      <c r="Y16" s="22">
        <f>IF(X16="ND","ND",IF(S16="","",IF(input_values!K16&gt;0,input_values!K16,IF(OR(X16=1,X16=3),1,IF((V16&gt;250),5,7)))))</f>
        <v>7</v>
      </c>
      <c r="Z16" s="330" t="str">
        <f t="shared" si="0"/>
        <v/>
      </c>
      <c r="AA16" s="331">
        <f t="shared" si="1"/>
        <v>0</v>
      </c>
      <c r="AB16" s="128">
        <f t="shared" si="5"/>
        <v>3</v>
      </c>
      <c r="AC16" s="330" t="str">
        <f t="shared" si="6"/>
        <v/>
      </c>
      <c r="AD16" s="332">
        <f t="shared" si="2"/>
        <v>0</v>
      </c>
      <c r="AE16" s="333" t="str">
        <f t="shared" si="7"/>
        <v/>
      </c>
      <c r="AF16" s="333" t="str">
        <f t="shared" si="8"/>
        <v/>
      </c>
      <c r="AG16" s="561" t="str">
        <f t="shared" si="3"/>
        <v/>
      </c>
      <c r="AH16" s="561" t="str">
        <f t="shared" si="9"/>
        <v/>
      </c>
      <c r="AI16" s="576"/>
      <c r="AJ16" s="847"/>
    </row>
    <row r="17" spans="1:36" ht="12" customHeight="1" outlineLevel="3" x14ac:dyDescent="0.2">
      <c r="A17" s="39">
        <f>acute_overview_children!A17</f>
        <v>4</v>
      </c>
      <c r="B17" s="23">
        <f>acute_overview_children!B17</f>
        <v>110040</v>
      </c>
      <c r="C17" s="23" t="s">
        <v>4</v>
      </c>
      <c r="D17" s="300">
        <f>Table22[[#This Row],[Level used for acute calculation]]</f>
        <v>4</v>
      </c>
      <c r="E17" s="302">
        <f>Table22[[#This Row],[MRL individual commodity]]</f>
        <v>0</v>
      </c>
      <c r="F17" s="451">
        <f>Table22[[#This Row],[Acute RA input value]]</f>
        <v>0</v>
      </c>
      <c r="G17" s="301" t="str">
        <f>Table22[[#This Row],[Acute RA label]]</f>
        <v/>
      </c>
      <c r="H17" s="303">
        <f>Table22[[#This Row],[Acute RA IESTI new input value]]</f>
        <v>0</v>
      </c>
      <c r="I17" s="301" t="str">
        <f>Table22[[#This Row],[Acute RA IESTI new label]]</f>
        <v/>
      </c>
      <c r="J17" s="65"/>
      <c r="K17" s="304">
        <f>Table22[[#This Row],[GAP under assessment]]</f>
        <v>0</v>
      </c>
      <c r="L17" s="304" t="str">
        <f>IF(input_values!$M17=0,"",input_values!$M17)</f>
        <v/>
      </c>
      <c r="M17" s="301" t="str">
        <f>IF(input_values!H17=0,"",input_values!H17)</f>
        <v/>
      </c>
      <c r="N17" s="304">
        <f>input_values!$K17</f>
        <v>0</v>
      </c>
      <c r="O17" s="326">
        <v>1.0064935064935066</v>
      </c>
      <c r="P17" s="22">
        <v>97.5</v>
      </c>
      <c r="Q17" s="327" t="s">
        <v>104</v>
      </c>
      <c r="R17" s="326">
        <v>61.6</v>
      </c>
      <c r="S17" s="328">
        <f t="shared" si="4"/>
        <v>62.000000000000007</v>
      </c>
      <c r="T17" s="328">
        <v>67</v>
      </c>
      <c r="U17" s="326" t="s">
        <v>45</v>
      </c>
      <c r="V17" s="328">
        <v>67</v>
      </c>
      <c r="W17" s="326" t="s">
        <v>45</v>
      </c>
      <c r="X17" s="1464" t="str">
        <f>IF(V17="ND","ND",IF(S17="","",IF(OR(MID(C17,1,4)="milk",AND(MID(B17,1,2)="50",NOT(input_values!M17="Y")),AND(MID(B17,1,2)="40",NOT(input_values!M17="Y")),AND(MID(B17,1,2)="30",NOT(input_values!M17="Y"))),3,IF(OR(V17="&lt;25",B17&gt;1000000),1,IF((T17&gt;=S17),"2b","2a")))))</f>
        <v>2b</v>
      </c>
      <c r="Y17" s="22">
        <f>IF(X17="ND","ND",IF(S17="","",IF(input_values!K17&gt;0,input_values!K17,IF(OR(X17=1,X17=3),1,IF((V17&gt;250),5,7)))))</f>
        <v>7</v>
      </c>
      <c r="Z17" s="330" t="str">
        <f t="shared" si="0"/>
        <v/>
      </c>
      <c r="AA17" s="331">
        <f t="shared" si="1"/>
        <v>0</v>
      </c>
      <c r="AB17" s="128">
        <f t="shared" si="5"/>
        <v>3</v>
      </c>
      <c r="AC17" s="330" t="str">
        <f t="shared" si="6"/>
        <v/>
      </c>
      <c r="AD17" s="332">
        <f t="shared" si="2"/>
        <v>0</v>
      </c>
      <c r="AE17" s="333" t="str">
        <f t="shared" si="7"/>
        <v/>
      </c>
      <c r="AF17" s="333" t="str">
        <f t="shared" si="8"/>
        <v/>
      </c>
      <c r="AG17" s="561" t="str">
        <f t="shared" si="3"/>
        <v/>
      </c>
      <c r="AH17" s="561" t="str">
        <f t="shared" si="9"/>
        <v/>
      </c>
      <c r="AI17" s="576"/>
      <c r="AJ17" s="847"/>
    </row>
    <row r="18" spans="1:36" ht="12" customHeight="1" outlineLevel="3" x14ac:dyDescent="0.2">
      <c r="A18" s="39">
        <f>acute_overview_children!A18</f>
        <v>4</v>
      </c>
      <c r="B18" s="23">
        <f>acute_overview_children!B18</f>
        <v>110050</v>
      </c>
      <c r="C18" s="23" t="s">
        <v>5</v>
      </c>
      <c r="D18" s="300">
        <f>Table22[[#This Row],[Level used for acute calculation]]</f>
        <v>4</v>
      </c>
      <c r="E18" s="302">
        <f>Table22[[#This Row],[MRL individual commodity]]</f>
        <v>0</v>
      </c>
      <c r="F18" s="451">
        <f>Table22[[#This Row],[Acute RA input value]]</f>
        <v>0</v>
      </c>
      <c r="G18" s="301" t="str">
        <f>Table22[[#This Row],[Acute RA label]]</f>
        <v/>
      </c>
      <c r="H18" s="303">
        <f>Table22[[#This Row],[Acute RA IESTI new input value]]</f>
        <v>0</v>
      </c>
      <c r="I18" s="301" t="str">
        <f>Table22[[#This Row],[Acute RA IESTI new label]]</f>
        <v/>
      </c>
      <c r="J18" s="65"/>
      <c r="K18" s="304">
        <f>Table22[[#This Row],[GAP under assessment]]</f>
        <v>0</v>
      </c>
      <c r="L18" s="304" t="str">
        <f>IF(input_values!$M18=0,"",input_values!$M18)</f>
        <v/>
      </c>
      <c r="M18" s="301" t="str">
        <f>IF(input_values!H18=0,"",input_values!H18)</f>
        <v/>
      </c>
      <c r="N18" s="304">
        <f>input_values!$K18</f>
        <v>0</v>
      </c>
      <c r="O18" s="326">
        <v>10.99</v>
      </c>
      <c r="P18" s="22">
        <v>97.5</v>
      </c>
      <c r="Q18" s="327" t="s">
        <v>102</v>
      </c>
      <c r="R18" s="326">
        <v>65.599999999999994</v>
      </c>
      <c r="S18" s="328">
        <f t="shared" si="4"/>
        <v>720.94399999999996</v>
      </c>
      <c r="T18" s="328">
        <v>76.167531249999996</v>
      </c>
      <c r="U18" s="326" t="s">
        <v>90</v>
      </c>
      <c r="V18" s="328">
        <v>132.5301650229913</v>
      </c>
      <c r="W18" s="326" t="s">
        <v>90</v>
      </c>
      <c r="X18" s="1464" t="str">
        <f>IF(V18="ND","ND",IF(S18="","",IF(OR(MID(C18,1,4)="milk",AND(MID(B18,1,2)="50",NOT(input_values!M18="Y")),AND(MID(B18,1,2)="40",NOT(input_values!M18="Y")),AND(MID(B18,1,2)="30",NOT(input_values!M18="Y"))),3,IF(OR(V18="&lt;25",B18&gt;1000000),1,IF((T18&gt;=S18),"2b","2a")))))</f>
        <v>2a</v>
      </c>
      <c r="Y18" s="22">
        <f>IF(X18="ND","ND",IF(S18="","",IF(input_values!K18&gt;0,input_values!K18,IF(OR(X18=1,X18=3),1,IF((V18&gt;250),5,7)))))</f>
        <v>7</v>
      </c>
      <c r="Z18" s="330" t="str">
        <f t="shared" si="0"/>
        <v/>
      </c>
      <c r="AA18" s="331">
        <f t="shared" si="1"/>
        <v>0</v>
      </c>
      <c r="AB18" s="128">
        <f t="shared" si="5"/>
        <v>3</v>
      </c>
      <c r="AC18" s="330" t="str">
        <f t="shared" si="6"/>
        <v/>
      </c>
      <c r="AD18" s="332">
        <f t="shared" si="2"/>
        <v>0</v>
      </c>
      <c r="AE18" s="333" t="str">
        <f t="shared" si="7"/>
        <v/>
      </c>
      <c r="AF18" s="333" t="str">
        <f t="shared" si="8"/>
        <v/>
      </c>
      <c r="AG18" s="561" t="str">
        <f t="shared" si="3"/>
        <v/>
      </c>
      <c r="AH18" s="561" t="str">
        <f t="shared" si="9"/>
        <v/>
      </c>
      <c r="AI18" s="576"/>
      <c r="AJ18" s="847"/>
    </row>
    <row r="19" spans="1:36" ht="12" customHeight="1" outlineLevel="3" x14ac:dyDescent="0.2">
      <c r="A19" s="39">
        <f>acute_overview_children!A19</f>
        <v>4</v>
      </c>
      <c r="B19" s="23">
        <f>acute_overview_children!B19</f>
        <v>110990</v>
      </c>
      <c r="C19" s="23" t="s">
        <v>47</v>
      </c>
      <c r="D19" s="300">
        <f>Table22[[#This Row],[Level used for acute calculation]]</f>
        <v>0</v>
      </c>
      <c r="E19" s="302">
        <f>Table22[[#This Row],[MRL individual commodity]]</f>
        <v>0</v>
      </c>
      <c r="F19" s="451">
        <f>Table22[[#This Row],[Acute RA input value]]</f>
        <v>0</v>
      </c>
      <c r="G19" s="301">
        <f>Table22[[#This Row],[Acute RA label]]</f>
        <v>0</v>
      </c>
      <c r="H19" s="303">
        <f>Table22[[#This Row],[Acute RA IESTI new input value]]</f>
        <v>0</v>
      </c>
      <c r="I19" s="301">
        <f>Table22[[#This Row],[Acute RA IESTI new label]]</f>
        <v>0</v>
      </c>
      <c r="J19" s="65"/>
      <c r="K19" s="304">
        <f>Table22[[#This Row],[GAP under assessment]]</f>
        <v>0</v>
      </c>
      <c r="L19" s="304" t="str">
        <f>IF(input_values!$M19=0,"",input_values!$M19)</f>
        <v/>
      </c>
      <c r="M19" s="301" t="str">
        <f>IF(input_values!H19=0,"",input_values!H19)</f>
        <v/>
      </c>
      <c r="N19" s="304">
        <f>input_values!$K19</f>
        <v>0</v>
      </c>
      <c r="O19" s="310"/>
      <c r="P19" s="38"/>
      <c r="Q19" s="306"/>
      <c r="R19" s="309"/>
      <c r="S19" s="336" t="str">
        <f t="shared" si="4"/>
        <v/>
      </c>
      <c r="T19" s="305"/>
      <c r="U19" s="309"/>
      <c r="V19" s="305"/>
      <c r="W19" s="309"/>
      <c r="X19" s="611" t="str">
        <f>IF(V19="ND","ND",IF(S19="","",IF(OR(MID(C19,1,4)="milk",AND(MID(B19,1,2)="50",NOT(input_values!M19="Y")),AND(MID(B19,1,2)="40",NOT(input_values!M19="Y")),AND(MID(B19,1,2)="30",NOT(input_values!M19="Y"))),3,IF(OR(V19="&lt;25",B19&gt;1000000),1,IF((T19&gt;=S19),"2b","2a")))))</f>
        <v/>
      </c>
      <c r="Y19" s="38" t="str">
        <f>IF(X19="ND","ND",IF(S19="","",IF(input_values!K19&gt;0,input_values!K19,IF(OR(X19=1,X19=3),1,IF((V19&gt;250),5,7)))))</f>
        <v/>
      </c>
      <c r="Z19" s="310" t="str">
        <f t="shared" si="0"/>
        <v/>
      </c>
      <c r="AA19" s="311">
        <f t="shared" si="1"/>
        <v>0</v>
      </c>
      <c r="AB19" s="38" t="str">
        <f t="shared" si="5"/>
        <v/>
      </c>
      <c r="AC19" s="310" t="str">
        <f t="shared" si="6"/>
        <v/>
      </c>
      <c r="AD19" s="311">
        <f t="shared" si="2"/>
        <v>0</v>
      </c>
      <c r="AE19" s="312" t="str">
        <f t="shared" si="7"/>
        <v/>
      </c>
      <c r="AF19" s="312" t="str">
        <f t="shared" si="8"/>
        <v/>
      </c>
      <c r="AG19" s="561" t="str">
        <f t="shared" si="3"/>
        <v/>
      </c>
      <c r="AH19" s="561" t="str">
        <f t="shared" si="9"/>
        <v/>
      </c>
      <c r="AI19" s="576"/>
      <c r="AJ19" s="847"/>
    </row>
    <row r="20" spans="1:36" outlineLevel="1" x14ac:dyDescent="0.2">
      <c r="A20" s="130">
        <f>acute_overview_children!A20</f>
        <v>2</v>
      </c>
      <c r="B20" s="131">
        <f>acute_overview_children!B20</f>
        <v>120000</v>
      </c>
      <c r="C20" s="131" t="s">
        <v>352</v>
      </c>
      <c r="D20" s="300">
        <f>Table22[[#This Row],[Level used for acute calculation]]</f>
        <v>4</v>
      </c>
      <c r="E20" s="302">
        <f>Table22[[#This Row],[MRL individual commodity]]</f>
        <v>0</v>
      </c>
      <c r="F20" s="451">
        <f>Table22[[#This Row],[Acute RA input value]]</f>
        <v>0</v>
      </c>
      <c r="G20" s="301">
        <f>Table22[[#This Row],[Acute RA label]]</f>
        <v>0</v>
      </c>
      <c r="H20" s="303">
        <f>Table22[[#This Row],[Acute RA IESTI new input value]]</f>
        <v>0</v>
      </c>
      <c r="I20" s="301">
        <f>Table22[[#This Row],[Acute RA IESTI new label]]</f>
        <v>0</v>
      </c>
      <c r="J20" s="65"/>
      <c r="K20" s="304">
        <f>Table22[[#This Row],[GAP under assessment]]</f>
        <v>0</v>
      </c>
      <c r="L20" s="304" t="str">
        <f>IF(input_values!$M20=0,"",input_values!$M20)</f>
        <v/>
      </c>
      <c r="M20" s="301" t="str">
        <f>IF(input_values!H20=0,"",input_values!H20)</f>
        <v/>
      </c>
      <c r="N20" s="304">
        <f>input_values!$K20</f>
        <v>0</v>
      </c>
      <c r="O20" s="305"/>
      <c r="P20" s="38"/>
      <c r="Q20" s="306"/>
      <c r="R20" s="309"/>
      <c r="S20" s="336" t="str">
        <f t="shared" si="4"/>
        <v/>
      </c>
      <c r="T20" s="315"/>
      <c r="U20" s="320"/>
      <c r="V20" s="315"/>
      <c r="W20" s="320"/>
      <c r="X20" s="611" t="str">
        <f>IF(V20="ND","ND",IF(S20="","",IF(OR(MID(C20,1,4)="milk",AND(MID(B20,1,2)="50",NOT(input_values!M20="Y")),AND(MID(B20,1,2)="40",NOT(input_values!M20="Y")),AND(MID(B20,1,2)="30",NOT(input_values!M20="Y"))),3,IF(OR(V20="&lt;25",B20&gt;1000000),1,IF((T20&gt;=S20),"2b","2a")))))</f>
        <v/>
      </c>
      <c r="Y20" s="38" t="str">
        <f>IF(X20="ND","ND",IF(S20="","",IF(input_values!K20&gt;0,input_values!K20,IF(OR(X20=1,X20=3),1,IF((V20&gt;250),5,7)))))</f>
        <v/>
      </c>
      <c r="Z20" s="310" t="str">
        <f t="shared" si="0"/>
        <v/>
      </c>
      <c r="AA20" s="311">
        <f t="shared" si="1"/>
        <v>0</v>
      </c>
      <c r="AB20" s="38" t="str">
        <f t="shared" si="5"/>
        <v/>
      </c>
      <c r="AC20" s="310" t="str">
        <f t="shared" si="6"/>
        <v/>
      </c>
      <c r="AD20" s="311">
        <f t="shared" si="2"/>
        <v>0</v>
      </c>
      <c r="AE20" s="312" t="str">
        <f t="shared" si="7"/>
        <v/>
      </c>
      <c r="AF20" s="312" t="str">
        <f t="shared" si="8"/>
        <v/>
      </c>
      <c r="AG20" s="561" t="str">
        <f t="shared" si="3"/>
        <v/>
      </c>
      <c r="AH20" s="561" t="str">
        <f t="shared" si="9"/>
        <v/>
      </c>
      <c r="AI20" s="576"/>
      <c r="AJ20" s="847"/>
    </row>
    <row r="21" spans="1:36" ht="12" customHeight="1" outlineLevel="3" x14ac:dyDescent="0.2">
      <c r="A21" s="39">
        <f>acute_overview_children!A21</f>
        <v>4</v>
      </c>
      <c r="B21" s="23">
        <f>acute_overview_children!B21</f>
        <v>120010</v>
      </c>
      <c r="C21" s="23" t="s">
        <v>6</v>
      </c>
      <c r="D21" s="300">
        <f>Table22[[#This Row],[Level used for acute calculation]]</f>
        <v>4</v>
      </c>
      <c r="E21" s="302">
        <f>Table22[[#This Row],[MRL individual commodity]]</f>
        <v>0</v>
      </c>
      <c r="F21" s="451">
        <f>Table22[[#This Row],[Acute RA input value]]</f>
        <v>0</v>
      </c>
      <c r="G21" s="301" t="str">
        <f>Table22[[#This Row],[Acute RA label]]</f>
        <v/>
      </c>
      <c r="H21" s="303">
        <f>Table22[[#This Row],[Acute RA IESTI new input value]]</f>
        <v>0</v>
      </c>
      <c r="I21" s="301" t="str">
        <f>Table22[[#This Row],[Acute RA IESTI new label]]</f>
        <v/>
      </c>
      <c r="J21" s="65"/>
      <c r="K21" s="304">
        <f>Table22[[#This Row],[GAP under assessment]]</f>
        <v>0</v>
      </c>
      <c r="L21" s="304" t="str">
        <f>IF(input_values!$M21=0,"",input_values!$M21)</f>
        <v/>
      </c>
      <c r="M21" s="301" t="str">
        <f>IF(input_values!H21=0,"",input_values!H21)</f>
        <v/>
      </c>
      <c r="N21" s="304">
        <f>input_values!$K21</f>
        <v>0</v>
      </c>
      <c r="O21" s="326">
        <v>1.429</v>
      </c>
      <c r="P21" s="22">
        <v>97.5</v>
      </c>
      <c r="Q21" s="327" t="s">
        <v>99</v>
      </c>
      <c r="R21" s="326">
        <v>65.8</v>
      </c>
      <c r="S21" s="328">
        <f t="shared" si="4"/>
        <v>94.028199999999998</v>
      </c>
      <c r="T21" s="338" t="s">
        <v>617</v>
      </c>
      <c r="U21" s="339" t="s">
        <v>215</v>
      </c>
      <c r="V21" s="338" t="s">
        <v>617</v>
      </c>
      <c r="W21" s="339" t="s">
        <v>215</v>
      </c>
      <c r="X21" s="1464">
        <f>IF(V21="ND","ND",IF(S21="","",IF(OR(MID(C21,1,4)="milk",AND(MID(B21,1,2)="50",NOT(input_values!M21="Y")),AND(MID(B21,1,2)="40",NOT(input_values!M21="Y")),AND(MID(B21,1,2)="30",NOT(input_values!M21="Y"))),3,IF(OR(V21="&lt;25",B21&gt;1000000),1,IF((T21&gt;=S21),"2b","2a")))))</f>
        <v>1</v>
      </c>
      <c r="Y21" s="22">
        <f>IF(X21="ND","ND",IF(S21="","",IF(input_values!K21&gt;0,input_values!K21,IF(OR(X21=1,X21=3),1,IF((V21&gt;250),5,7)))))</f>
        <v>1</v>
      </c>
      <c r="Z21" s="330" t="str">
        <f t="shared" si="0"/>
        <v/>
      </c>
      <c r="AA21" s="331">
        <f t="shared" si="1"/>
        <v>0</v>
      </c>
      <c r="AB21" s="128">
        <f t="shared" si="5"/>
        <v>1</v>
      </c>
      <c r="AC21" s="330" t="str">
        <f t="shared" si="6"/>
        <v/>
      </c>
      <c r="AD21" s="332">
        <f t="shared" si="2"/>
        <v>0</v>
      </c>
      <c r="AE21" s="333" t="str">
        <f t="shared" si="7"/>
        <v/>
      </c>
      <c r="AF21" s="333" t="str">
        <f t="shared" si="8"/>
        <v/>
      </c>
      <c r="AG21" s="561" t="str">
        <f t="shared" si="3"/>
        <v/>
      </c>
      <c r="AH21" s="561" t="str">
        <f t="shared" si="9"/>
        <v/>
      </c>
      <c r="AI21" s="576"/>
      <c r="AJ21" s="847"/>
    </row>
    <row r="22" spans="1:36" ht="12" customHeight="1" outlineLevel="3" x14ac:dyDescent="0.2">
      <c r="A22" s="39">
        <f>acute_overview_children!A22</f>
        <v>4</v>
      </c>
      <c r="B22" s="23">
        <f>acute_overview_children!B22</f>
        <v>120020</v>
      </c>
      <c r="C22" s="23" t="s">
        <v>7</v>
      </c>
      <c r="D22" s="300">
        <f>Table22[[#This Row],[Level used for acute calculation]]</f>
        <v>4</v>
      </c>
      <c r="E22" s="302">
        <f>Table22[[#This Row],[MRL individual commodity]]</f>
        <v>0</v>
      </c>
      <c r="F22" s="451">
        <f>Table22[[#This Row],[Acute RA input value]]</f>
        <v>0</v>
      </c>
      <c r="G22" s="301" t="str">
        <f>Table22[[#This Row],[Acute RA label]]</f>
        <v/>
      </c>
      <c r="H22" s="303">
        <f>Table22[[#This Row],[Acute RA IESTI new input value]]</f>
        <v>0</v>
      </c>
      <c r="I22" s="301" t="str">
        <f>Table22[[#This Row],[Acute RA IESTI new label]]</f>
        <v/>
      </c>
      <c r="J22" s="65"/>
      <c r="K22" s="304">
        <f>Table22[[#This Row],[GAP under assessment]]</f>
        <v>0</v>
      </c>
      <c r="L22" s="304" t="str">
        <f>IF(input_values!$M22=0,"",input_values!$M22)</f>
        <v/>
      </c>
      <c r="M22" s="301" t="str">
        <f>IF(input_values!H22=0,"",input_values!H22)</f>
        <v/>
      </c>
      <c r="N22" s="304">
        <f>input_values!$K22</f>
        <v>0</v>
      </c>
      <c r="O22" s="326">
        <v>0.68947368421052635</v>
      </c>
      <c r="P22" s="22">
        <v>97.5</v>
      </c>
      <c r="Q22" s="327" t="s">
        <v>105</v>
      </c>
      <c r="R22" s="326">
        <v>76</v>
      </c>
      <c r="S22" s="328">
        <f t="shared" si="4"/>
        <v>52.400000000000006</v>
      </c>
      <c r="T22" s="338" t="s">
        <v>617</v>
      </c>
      <c r="U22" s="339" t="s">
        <v>215</v>
      </c>
      <c r="V22" s="338" t="s">
        <v>617</v>
      </c>
      <c r="W22" s="339" t="s">
        <v>215</v>
      </c>
      <c r="X22" s="1464">
        <f>IF(V22="ND","ND",IF(S22="","",IF(OR(MID(C22,1,4)="milk",AND(MID(B22,1,2)="50",NOT(input_values!M22="Y")),AND(MID(B22,1,2)="40",NOT(input_values!M22="Y")),AND(MID(B22,1,2)="30",NOT(input_values!M22="Y"))),3,IF(OR(V22="&lt;25",B22&gt;1000000),1,IF((T22&gt;=S22),"2b","2a")))))</f>
        <v>1</v>
      </c>
      <c r="Y22" s="22">
        <f>IF(X22="ND","ND",IF(S22="","",IF(input_values!K22&gt;0,input_values!K22,IF(OR(X22=1,X22=3),1,IF((V22&gt;250),5,7)))))</f>
        <v>1</v>
      </c>
      <c r="Z22" s="330" t="str">
        <f t="shared" si="0"/>
        <v/>
      </c>
      <c r="AA22" s="331">
        <f t="shared" si="1"/>
        <v>0</v>
      </c>
      <c r="AB22" s="128">
        <f t="shared" si="5"/>
        <v>1</v>
      </c>
      <c r="AC22" s="330" t="str">
        <f t="shared" si="6"/>
        <v/>
      </c>
      <c r="AD22" s="332">
        <f t="shared" si="2"/>
        <v>0</v>
      </c>
      <c r="AE22" s="333" t="str">
        <f t="shared" si="7"/>
        <v/>
      </c>
      <c r="AF22" s="333" t="str">
        <f t="shared" si="8"/>
        <v/>
      </c>
      <c r="AG22" s="561" t="str">
        <f t="shared" si="3"/>
        <v/>
      </c>
      <c r="AH22" s="561" t="str">
        <f t="shared" si="9"/>
        <v/>
      </c>
      <c r="AI22" s="576"/>
      <c r="AJ22" s="847"/>
    </row>
    <row r="23" spans="1:36" ht="12" customHeight="1" outlineLevel="3" x14ac:dyDescent="0.2">
      <c r="A23" s="39">
        <f>acute_overview_children!A23</f>
        <v>4</v>
      </c>
      <c r="B23" s="23">
        <f>acute_overview_children!B23</f>
        <v>120030</v>
      </c>
      <c r="C23" s="23" t="s">
        <v>8</v>
      </c>
      <c r="D23" s="300">
        <f>Table22[[#This Row],[Level used for acute calculation]]</f>
        <v>4</v>
      </c>
      <c r="E23" s="302">
        <f>Table22[[#This Row],[MRL individual commodity]]</f>
        <v>0</v>
      </c>
      <c r="F23" s="451">
        <f>Table22[[#This Row],[Acute RA input value]]</f>
        <v>0</v>
      </c>
      <c r="G23" s="301" t="str">
        <f>Table22[[#This Row],[Acute RA label]]</f>
        <v/>
      </c>
      <c r="H23" s="303">
        <f>Table22[[#This Row],[Acute RA IESTI new input value]]</f>
        <v>0</v>
      </c>
      <c r="I23" s="301" t="str">
        <f>Table22[[#This Row],[Acute RA IESTI new label]]</f>
        <v/>
      </c>
      <c r="J23" s="65"/>
      <c r="K23" s="304">
        <f>Table22[[#This Row],[GAP under assessment]]</f>
        <v>0</v>
      </c>
      <c r="L23" s="304" t="str">
        <f>IF(input_values!$M23=0,"",input_values!$M23)</f>
        <v/>
      </c>
      <c r="M23" s="301" t="str">
        <f>IF(input_values!H23=0,"",input_values!H23)</f>
        <v/>
      </c>
      <c r="N23" s="304">
        <f>input_values!$K23</f>
        <v>0</v>
      </c>
      <c r="O23" s="326">
        <v>1.7</v>
      </c>
      <c r="P23" s="22">
        <v>97.5</v>
      </c>
      <c r="Q23" s="327" t="s">
        <v>335</v>
      </c>
      <c r="R23" s="326">
        <v>76.38</v>
      </c>
      <c r="S23" s="328">
        <f t="shared" si="4"/>
        <v>129.84599999999998</v>
      </c>
      <c r="T23" s="338" t="s">
        <v>617</v>
      </c>
      <c r="U23" s="339" t="s">
        <v>215</v>
      </c>
      <c r="V23" s="338" t="s">
        <v>617</v>
      </c>
      <c r="W23" s="339" t="s">
        <v>215</v>
      </c>
      <c r="X23" s="1464">
        <f>IF(V23="ND","ND",IF(S23="","",IF(OR(MID(C23,1,4)="milk",AND(MID(B23,1,2)="50",NOT(input_values!M23="Y")),AND(MID(B23,1,2)="40",NOT(input_values!M23="Y")),AND(MID(B23,1,2)="30",NOT(input_values!M23="Y"))),3,IF(OR(V23="&lt;25",B23&gt;1000000),1,IF((T23&gt;=S23),"2b","2a")))))</f>
        <v>1</v>
      </c>
      <c r="Y23" s="22">
        <f>IF(X23="ND","ND",IF(S23="","",IF(input_values!K23&gt;0,input_values!K23,IF(OR(X23=1,X23=3),1,IF((V23&gt;250),5,7)))))</f>
        <v>1</v>
      </c>
      <c r="Z23" s="330" t="str">
        <f t="shared" si="0"/>
        <v/>
      </c>
      <c r="AA23" s="331">
        <f t="shared" si="1"/>
        <v>0</v>
      </c>
      <c r="AB23" s="128">
        <f t="shared" si="5"/>
        <v>1</v>
      </c>
      <c r="AC23" s="330" t="str">
        <f t="shared" si="6"/>
        <v/>
      </c>
      <c r="AD23" s="332">
        <f t="shared" si="2"/>
        <v>0</v>
      </c>
      <c r="AE23" s="333" t="str">
        <f t="shared" si="7"/>
        <v/>
      </c>
      <c r="AF23" s="333" t="str">
        <f t="shared" si="8"/>
        <v/>
      </c>
      <c r="AG23" s="561" t="str">
        <f t="shared" si="3"/>
        <v/>
      </c>
      <c r="AH23" s="561" t="str">
        <f t="shared" si="9"/>
        <v/>
      </c>
      <c r="AI23" s="576"/>
      <c r="AJ23" s="847"/>
    </row>
    <row r="24" spans="1:36" ht="12" customHeight="1" outlineLevel="3" x14ac:dyDescent="0.2">
      <c r="A24" s="39">
        <f>acute_overview_children!A24</f>
        <v>4</v>
      </c>
      <c r="B24" s="23">
        <f>acute_overview_children!B24</f>
        <v>120040</v>
      </c>
      <c r="C24" s="23" t="s">
        <v>9</v>
      </c>
      <c r="D24" s="300">
        <f>Table22[[#This Row],[Level used for acute calculation]]</f>
        <v>4</v>
      </c>
      <c r="E24" s="302">
        <f>Table22[[#This Row],[MRL individual commodity]]</f>
        <v>0</v>
      </c>
      <c r="F24" s="451">
        <f>Table22[[#This Row],[Acute RA input value]]</f>
        <v>0</v>
      </c>
      <c r="G24" s="301" t="str">
        <f>Table22[[#This Row],[Acute RA label]]</f>
        <v/>
      </c>
      <c r="H24" s="303">
        <f>Table22[[#This Row],[Acute RA IESTI new input value]]</f>
        <v>0</v>
      </c>
      <c r="I24" s="301" t="str">
        <f>Table22[[#This Row],[Acute RA IESTI new label]]</f>
        <v/>
      </c>
      <c r="J24" s="65"/>
      <c r="K24" s="304">
        <f>Table22[[#This Row],[GAP under assessment]]</f>
        <v>0</v>
      </c>
      <c r="L24" s="304" t="str">
        <f>IF(input_values!$M24=0,"",input_values!$M24)</f>
        <v/>
      </c>
      <c r="M24" s="301" t="str">
        <f>IF(input_values!H24=0,"",input_values!H24)</f>
        <v/>
      </c>
      <c r="N24" s="304">
        <f>input_values!$K24</f>
        <v>0</v>
      </c>
      <c r="O24" s="326">
        <v>4.5</v>
      </c>
      <c r="P24" s="22">
        <v>95</v>
      </c>
      <c r="Q24" s="327" t="s">
        <v>335</v>
      </c>
      <c r="R24" s="326">
        <v>76.38</v>
      </c>
      <c r="S24" s="328">
        <f t="shared" si="4"/>
        <v>343.71</v>
      </c>
      <c r="T24" s="338" t="s">
        <v>617</v>
      </c>
      <c r="U24" s="339" t="s">
        <v>215</v>
      </c>
      <c r="V24" s="338" t="s">
        <v>617</v>
      </c>
      <c r="W24" s="339" t="s">
        <v>215</v>
      </c>
      <c r="X24" s="1464">
        <f>IF(V24="ND","ND",IF(S24="","",IF(OR(MID(C24,1,4)="milk",AND(MID(B24,1,2)="50",NOT(input_values!M24="Y")),AND(MID(B24,1,2)="40",NOT(input_values!M24="Y")),AND(MID(B24,1,2)="30",NOT(input_values!M24="Y"))),3,IF(OR(V24="&lt;25",B24&gt;1000000),1,IF((T24&gt;=S24),"2b","2a")))))</f>
        <v>1</v>
      </c>
      <c r="Y24" s="22">
        <f>IF(X24="ND","ND",IF(S24="","",IF(input_values!K24&gt;0,input_values!K24,IF(OR(X24=1,X24=3),1,IF((V24&gt;250),5,7)))))</f>
        <v>1</v>
      </c>
      <c r="Z24" s="330" t="str">
        <f t="shared" si="0"/>
        <v/>
      </c>
      <c r="AA24" s="331">
        <f t="shared" si="1"/>
        <v>0</v>
      </c>
      <c r="AB24" s="128">
        <f t="shared" si="5"/>
        <v>1</v>
      </c>
      <c r="AC24" s="330" t="str">
        <f t="shared" si="6"/>
        <v/>
      </c>
      <c r="AD24" s="332">
        <f t="shared" si="2"/>
        <v>0</v>
      </c>
      <c r="AE24" s="333" t="str">
        <f t="shared" si="7"/>
        <v/>
      </c>
      <c r="AF24" s="333" t="str">
        <f t="shared" si="8"/>
        <v/>
      </c>
      <c r="AG24" s="561" t="str">
        <f t="shared" si="3"/>
        <v/>
      </c>
      <c r="AH24" s="561" t="str">
        <f t="shared" si="9"/>
        <v/>
      </c>
      <c r="AI24" s="576"/>
      <c r="AJ24" s="847"/>
    </row>
    <row r="25" spans="1:36" ht="12" customHeight="1" outlineLevel="3" x14ac:dyDescent="0.2">
      <c r="A25" s="39">
        <f>acute_overview_children!A25</f>
        <v>4</v>
      </c>
      <c r="B25" s="23">
        <f>acute_overview_children!B25</f>
        <v>120050</v>
      </c>
      <c r="C25" s="23" t="s">
        <v>10</v>
      </c>
      <c r="D25" s="300">
        <f>Table22[[#This Row],[Level used for acute calculation]]</f>
        <v>4</v>
      </c>
      <c r="E25" s="302">
        <f>Table22[[#This Row],[MRL individual commodity]]</f>
        <v>0</v>
      </c>
      <c r="F25" s="451">
        <f>Table22[[#This Row],[Acute RA input value]]</f>
        <v>0</v>
      </c>
      <c r="G25" s="301" t="str">
        <f>Table22[[#This Row],[Acute RA label]]</f>
        <v/>
      </c>
      <c r="H25" s="303">
        <f>Table22[[#This Row],[Acute RA IESTI new input value]]</f>
        <v>0</v>
      </c>
      <c r="I25" s="301" t="str">
        <f>Table22[[#This Row],[Acute RA IESTI new label]]</f>
        <v/>
      </c>
      <c r="J25" s="65"/>
      <c r="K25" s="304">
        <f>Table22[[#This Row],[GAP under assessment]]</f>
        <v>0</v>
      </c>
      <c r="L25" s="304" t="str">
        <f>IF(input_values!$M25=0,"",input_values!$M25)</f>
        <v/>
      </c>
      <c r="M25" s="301" t="str">
        <f>IF(input_values!H25=0,"",input_values!H25)</f>
        <v/>
      </c>
      <c r="N25" s="304">
        <f>input_values!$K25</f>
        <v>0</v>
      </c>
      <c r="O25" s="326">
        <v>1.72</v>
      </c>
      <c r="P25" s="22">
        <v>97.5</v>
      </c>
      <c r="Q25" s="327" t="s">
        <v>255</v>
      </c>
      <c r="R25" s="326">
        <v>66.7</v>
      </c>
      <c r="S25" s="328">
        <f t="shared" si="4"/>
        <v>114.724</v>
      </c>
      <c r="T25" s="328">
        <v>364</v>
      </c>
      <c r="U25" s="326" t="s">
        <v>215</v>
      </c>
      <c r="V25" s="328">
        <v>364</v>
      </c>
      <c r="W25" s="326" t="s">
        <v>215</v>
      </c>
      <c r="X25" s="1464" t="str">
        <f>IF(V25="ND","ND",IF(S25="","",IF(OR(MID(C25,1,4)="milk",AND(MID(B25,1,2)="50",NOT(input_values!M25="Y")),AND(MID(B25,1,2)="40",NOT(input_values!M25="Y")),AND(MID(B25,1,2)="30",NOT(input_values!M25="Y"))),3,IF(OR(V25="&lt;25",B25&gt;1000000),1,IF((T25&gt;=S25),"2b","2a")))))</f>
        <v>2b</v>
      </c>
      <c r="Y25" s="22">
        <f>IF(X25="ND","ND",IF(S25="","",IF(input_values!K25&gt;0,input_values!K25,IF(OR(X25=1,X25=3),1,IF((V25&gt;250),5,7)))))</f>
        <v>5</v>
      </c>
      <c r="Z25" s="330" t="str">
        <f t="shared" si="0"/>
        <v/>
      </c>
      <c r="AA25" s="331">
        <f t="shared" si="1"/>
        <v>0</v>
      </c>
      <c r="AB25" s="128">
        <f t="shared" si="5"/>
        <v>3</v>
      </c>
      <c r="AC25" s="330" t="str">
        <f t="shared" si="6"/>
        <v/>
      </c>
      <c r="AD25" s="332">
        <f t="shared" si="2"/>
        <v>0</v>
      </c>
      <c r="AE25" s="333" t="str">
        <f t="shared" si="7"/>
        <v/>
      </c>
      <c r="AF25" s="333" t="str">
        <f t="shared" si="8"/>
        <v/>
      </c>
      <c r="AG25" s="561" t="str">
        <f t="shared" si="3"/>
        <v/>
      </c>
      <c r="AH25" s="561" t="str">
        <f t="shared" si="9"/>
        <v/>
      </c>
      <c r="AI25" s="576"/>
      <c r="AJ25" s="847"/>
    </row>
    <row r="26" spans="1:36" ht="12" customHeight="1" outlineLevel="3" x14ac:dyDescent="0.2">
      <c r="A26" s="39">
        <f>acute_overview_children!A26</f>
        <v>4</v>
      </c>
      <c r="B26" s="23">
        <f>acute_overview_children!B26</f>
        <v>120060</v>
      </c>
      <c r="C26" s="23" t="s">
        <v>681</v>
      </c>
      <c r="D26" s="300">
        <f>Table22[[#This Row],[Level used for acute calculation]]</f>
        <v>4</v>
      </c>
      <c r="E26" s="302">
        <f>Table22[[#This Row],[MRL individual commodity]]</f>
        <v>0</v>
      </c>
      <c r="F26" s="451">
        <f>Table22[[#This Row],[Acute RA input value]]</f>
        <v>0</v>
      </c>
      <c r="G26" s="301" t="str">
        <f>Table22[[#This Row],[Acute RA label]]</f>
        <v/>
      </c>
      <c r="H26" s="303">
        <f>Table22[[#This Row],[Acute RA IESTI new input value]]</f>
        <v>0</v>
      </c>
      <c r="I26" s="301" t="str">
        <f>Table22[[#This Row],[Acute RA IESTI new label]]</f>
        <v/>
      </c>
      <c r="J26" s="65"/>
      <c r="K26" s="304">
        <f>Table22[[#This Row],[GAP under assessment]]</f>
        <v>0</v>
      </c>
      <c r="L26" s="304" t="str">
        <f>IF(input_values!$M26=0,"",input_values!$M26)</f>
        <v/>
      </c>
      <c r="M26" s="301" t="str">
        <f>IF(input_values!H26=0,"",input_values!H26)</f>
        <v/>
      </c>
      <c r="N26" s="304">
        <f>input_values!$K26</f>
        <v>0</v>
      </c>
      <c r="O26" s="326">
        <v>1.2</v>
      </c>
      <c r="P26" s="22">
        <v>97.5</v>
      </c>
      <c r="Q26" s="327" t="s">
        <v>335</v>
      </c>
      <c r="R26" s="326">
        <v>76.38</v>
      </c>
      <c r="S26" s="328">
        <f t="shared" si="4"/>
        <v>91.655999999999992</v>
      </c>
      <c r="T26" s="338" t="s">
        <v>617</v>
      </c>
      <c r="U26" s="339" t="s">
        <v>215</v>
      </c>
      <c r="V26" s="338" t="s">
        <v>617</v>
      </c>
      <c r="W26" s="339" t="s">
        <v>215</v>
      </c>
      <c r="X26" s="1464">
        <f>IF(V26="ND","ND",IF(S26="","",IF(OR(MID(C26,1,4)="milk",AND(MID(B26,1,2)="50",NOT(input_values!M26="Y")),AND(MID(B26,1,2)="40",NOT(input_values!M26="Y")),AND(MID(B26,1,2)="30",NOT(input_values!M26="Y"))),3,IF(OR(V26="&lt;25",B26&gt;1000000),1,IF((T26&gt;=S26),"2b","2a")))))</f>
        <v>1</v>
      </c>
      <c r="Y26" s="22">
        <f>IF(X26="ND","ND",IF(S26="","",IF(input_values!K26&gt;0,input_values!K26,IF(OR(X26=1,X26=3),1,IF((V26&gt;250),5,7)))))</f>
        <v>1</v>
      </c>
      <c r="Z26" s="330" t="str">
        <f t="shared" si="0"/>
        <v/>
      </c>
      <c r="AA26" s="331">
        <f t="shared" si="1"/>
        <v>0</v>
      </c>
      <c r="AB26" s="128">
        <f t="shared" si="5"/>
        <v>1</v>
      </c>
      <c r="AC26" s="330" t="str">
        <f t="shared" si="6"/>
        <v/>
      </c>
      <c r="AD26" s="332">
        <f t="shared" si="2"/>
        <v>0</v>
      </c>
      <c r="AE26" s="333" t="str">
        <f t="shared" si="7"/>
        <v/>
      </c>
      <c r="AF26" s="333" t="str">
        <f t="shared" si="8"/>
        <v/>
      </c>
      <c r="AG26" s="561" t="str">
        <f t="shared" si="3"/>
        <v/>
      </c>
      <c r="AH26" s="561" t="str">
        <f t="shared" si="9"/>
        <v/>
      </c>
      <c r="AI26" s="576"/>
      <c r="AJ26" s="847"/>
    </row>
    <row r="27" spans="1:36" ht="12" customHeight="1" outlineLevel="3" x14ac:dyDescent="0.2">
      <c r="A27" s="39">
        <f>acute_overview_children!A27</f>
        <v>4</v>
      </c>
      <c r="B27" s="23">
        <f>acute_overview_children!B27</f>
        <v>120070</v>
      </c>
      <c r="C27" s="23" t="s">
        <v>108</v>
      </c>
      <c r="D27" s="300">
        <f>Table22[[#This Row],[Level used for acute calculation]]</f>
        <v>4</v>
      </c>
      <c r="E27" s="302">
        <f>Table22[[#This Row],[MRL individual commodity]]</f>
        <v>0</v>
      </c>
      <c r="F27" s="451">
        <f>Table22[[#This Row],[Acute RA input value]]</f>
        <v>0</v>
      </c>
      <c r="G27" s="301" t="str">
        <f>Table22[[#This Row],[Acute RA label]]</f>
        <v/>
      </c>
      <c r="H27" s="303">
        <f>Table22[[#This Row],[Acute RA IESTI new input value]]</f>
        <v>0</v>
      </c>
      <c r="I27" s="301" t="str">
        <f>Table22[[#This Row],[Acute RA IESTI new label]]</f>
        <v/>
      </c>
      <c r="J27" s="65"/>
      <c r="K27" s="304">
        <f>Table22[[#This Row],[GAP under assessment]]</f>
        <v>0</v>
      </c>
      <c r="L27" s="304" t="str">
        <f>IF(input_values!$M27=0,"",input_values!$M27)</f>
        <v/>
      </c>
      <c r="M27" s="301" t="str">
        <f>IF(input_values!H27=0,"",input_values!H27)</f>
        <v/>
      </c>
      <c r="N27" s="304">
        <f>input_values!$K27</f>
        <v>0</v>
      </c>
      <c r="O27" s="326">
        <v>2.1</v>
      </c>
      <c r="P27" s="22">
        <v>100</v>
      </c>
      <c r="Q27" s="327" t="s">
        <v>334</v>
      </c>
      <c r="R27" s="326">
        <v>67.47</v>
      </c>
      <c r="S27" s="328">
        <f t="shared" si="4"/>
        <v>141.68700000000001</v>
      </c>
      <c r="T27" s="338" t="s">
        <v>617</v>
      </c>
      <c r="U27" s="339" t="s">
        <v>215</v>
      </c>
      <c r="V27" s="338" t="s">
        <v>617</v>
      </c>
      <c r="W27" s="339" t="s">
        <v>215</v>
      </c>
      <c r="X27" s="1464">
        <f>IF(V27="ND","ND",IF(S27="","",IF(OR(MID(C27,1,4)="milk",AND(MID(B27,1,2)="50",NOT(input_values!M27="Y")),AND(MID(B27,1,2)="40",NOT(input_values!M27="Y")),AND(MID(B27,1,2)="30",NOT(input_values!M27="Y"))),3,IF(OR(V27="&lt;25",B27&gt;1000000),1,IF((T27&gt;=S27),"2b","2a")))))</f>
        <v>1</v>
      </c>
      <c r="Y27" s="22">
        <f>IF(X27="ND","ND",IF(S27="","",IF(input_values!K27&gt;0,input_values!K27,IF(OR(X27=1,X27=3),1,IF((V27&gt;250),5,7)))))</f>
        <v>1</v>
      </c>
      <c r="Z27" s="330" t="str">
        <f t="shared" si="0"/>
        <v/>
      </c>
      <c r="AA27" s="331">
        <f t="shared" si="1"/>
        <v>0</v>
      </c>
      <c r="AB27" s="128">
        <f t="shared" si="5"/>
        <v>1</v>
      </c>
      <c r="AC27" s="330" t="str">
        <f t="shared" si="6"/>
        <v/>
      </c>
      <c r="AD27" s="332">
        <f t="shared" si="2"/>
        <v>0</v>
      </c>
      <c r="AE27" s="333" t="str">
        <f t="shared" si="7"/>
        <v/>
      </c>
      <c r="AF27" s="333" t="str">
        <f t="shared" si="8"/>
        <v/>
      </c>
      <c r="AG27" s="561" t="str">
        <f t="shared" si="3"/>
        <v/>
      </c>
      <c r="AH27" s="561" t="str">
        <f t="shared" si="9"/>
        <v/>
      </c>
      <c r="AI27" s="576"/>
      <c r="AJ27" s="847"/>
    </row>
    <row r="28" spans="1:36" ht="12" customHeight="1" outlineLevel="3" x14ac:dyDescent="0.2">
      <c r="A28" s="39">
        <f>acute_overview_children!A28</f>
        <v>4</v>
      </c>
      <c r="B28" s="23">
        <f>acute_overview_children!B28</f>
        <v>120080</v>
      </c>
      <c r="C28" s="23" t="s">
        <v>109</v>
      </c>
      <c r="D28" s="300">
        <f>Table22[[#This Row],[Level used for acute calculation]]</f>
        <v>4</v>
      </c>
      <c r="E28" s="302">
        <f>Table22[[#This Row],[MRL individual commodity]]</f>
        <v>0</v>
      </c>
      <c r="F28" s="451">
        <f>Table22[[#This Row],[Acute RA input value]]</f>
        <v>0</v>
      </c>
      <c r="G28" s="301" t="str">
        <f>Table22[[#This Row],[Acute RA label]]</f>
        <v/>
      </c>
      <c r="H28" s="303">
        <f>Table22[[#This Row],[Acute RA IESTI new input value]]</f>
        <v>0</v>
      </c>
      <c r="I28" s="301" t="str">
        <f>Table22[[#This Row],[Acute RA IESTI new label]]</f>
        <v/>
      </c>
      <c r="J28" s="65"/>
      <c r="K28" s="304">
        <f>Table22[[#This Row],[GAP under assessment]]</f>
        <v>0</v>
      </c>
      <c r="L28" s="304" t="str">
        <f>IF(input_values!$M28=0,"",input_values!$M28)</f>
        <v/>
      </c>
      <c r="M28" s="301" t="str">
        <f>IF(input_values!H28=0,"",input_values!H28)</f>
        <v/>
      </c>
      <c r="N28" s="304">
        <f>input_values!$K28</f>
        <v>0</v>
      </c>
      <c r="O28" s="326">
        <v>2.2788605697151425</v>
      </c>
      <c r="P28" s="22">
        <v>97.5</v>
      </c>
      <c r="Q28" s="327" t="s">
        <v>255</v>
      </c>
      <c r="R28" s="326">
        <v>66.7</v>
      </c>
      <c r="S28" s="328">
        <f t="shared" si="4"/>
        <v>152</v>
      </c>
      <c r="T28" s="338" t="s">
        <v>617</v>
      </c>
      <c r="U28" s="339" t="s">
        <v>215</v>
      </c>
      <c r="V28" s="338" t="s">
        <v>617</v>
      </c>
      <c r="W28" s="339" t="s">
        <v>215</v>
      </c>
      <c r="X28" s="1464">
        <f>IF(V28="ND","ND",IF(S28="","",IF(OR(MID(C28,1,4)="milk",AND(MID(B28,1,2)="50",NOT(input_values!M28="Y")),AND(MID(B28,1,2)="40",NOT(input_values!M28="Y")),AND(MID(B28,1,2)="30",NOT(input_values!M28="Y"))),3,IF(OR(V28="&lt;25",B28&gt;1000000),1,IF((T28&gt;=S28),"2b","2a")))))</f>
        <v>1</v>
      </c>
      <c r="Y28" s="22">
        <f>IF(X28="ND","ND",IF(S28="","",IF(input_values!K28&gt;0,input_values!K28,IF(OR(X28=1,X28=3),1,IF((V28&gt;250),5,7)))))</f>
        <v>1</v>
      </c>
      <c r="Z28" s="330" t="str">
        <f t="shared" si="0"/>
        <v/>
      </c>
      <c r="AA28" s="331">
        <f t="shared" si="1"/>
        <v>0</v>
      </c>
      <c r="AB28" s="128">
        <f t="shared" si="5"/>
        <v>1</v>
      </c>
      <c r="AC28" s="330" t="str">
        <f t="shared" si="6"/>
        <v/>
      </c>
      <c r="AD28" s="332">
        <f t="shared" si="2"/>
        <v>0</v>
      </c>
      <c r="AE28" s="333" t="str">
        <f t="shared" si="7"/>
        <v/>
      </c>
      <c r="AF28" s="333" t="str">
        <f t="shared" si="8"/>
        <v/>
      </c>
      <c r="AG28" s="561" t="str">
        <f t="shared" si="3"/>
        <v/>
      </c>
      <c r="AH28" s="561" t="str">
        <f t="shared" si="9"/>
        <v/>
      </c>
      <c r="AI28" s="576"/>
      <c r="AJ28" s="847"/>
    </row>
    <row r="29" spans="1:36" ht="12" customHeight="1" outlineLevel="3" x14ac:dyDescent="0.2">
      <c r="A29" s="39">
        <f>acute_overview_children!A29</f>
        <v>4</v>
      </c>
      <c r="B29" s="23">
        <f>acute_overview_children!B29</f>
        <v>120090</v>
      </c>
      <c r="C29" s="23" t="s">
        <v>682</v>
      </c>
      <c r="D29" s="300">
        <f>Table22[[#This Row],[Level used for acute calculation]]</f>
        <v>4</v>
      </c>
      <c r="E29" s="302">
        <f>Table22[[#This Row],[MRL individual commodity]]</f>
        <v>0</v>
      </c>
      <c r="F29" s="451">
        <f>Table22[[#This Row],[Acute RA input value]]</f>
        <v>0</v>
      </c>
      <c r="G29" s="301" t="str">
        <f>Table22[[#This Row],[Acute RA label]]</f>
        <v/>
      </c>
      <c r="H29" s="303">
        <f>Table22[[#This Row],[Acute RA IESTI new input value]]</f>
        <v>0</v>
      </c>
      <c r="I29" s="301" t="str">
        <f>Table22[[#This Row],[Acute RA IESTI new label]]</f>
        <v/>
      </c>
      <c r="J29" s="65"/>
      <c r="K29" s="304">
        <f>Table22[[#This Row],[GAP under assessment]]</f>
        <v>0</v>
      </c>
      <c r="L29" s="304" t="str">
        <f>IF(input_values!$M29=0,"",input_values!$M29)</f>
        <v/>
      </c>
      <c r="M29" s="301" t="str">
        <f>IF(input_values!H29=0,"",input_values!H29)</f>
        <v/>
      </c>
      <c r="N29" s="304">
        <f>input_values!$K29</f>
        <v>0</v>
      </c>
      <c r="O29" s="326">
        <v>1</v>
      </c>
      <c r="P29" s="22">
        <v>100</v>
      </c>
      <c r="Q29" s="327" t="s">
        <v>334</v>
      </c>
      <c r="R29" s="326">
        <v>67.47</v>
      </c>
      <c r="S29" s="328">
        <f t="shared" si="4"/>
        <v>67.47</v>
      </c>
      <c r="T29" s="338" t="s">
        <v>617</v>
      </c>
      <c r="U29" s="339" t="s">
        <v>215</v>
      </c>
      <c r="V29" s="338" t="s">
        <v>617</v>
      </c>
      <c r="W29" s="339" t="s">
        <v>215</v>
      </c>
      <c r="X29" s="1464">
        <f>IF(V29="ND","ND",IF(S29="","",IF(OR(MID(C29,1,4)="milk",AND(MID(B29,1,2)="50",NOT(input_values!M29="Y")),AND(MID(B29,1,2)="40",NOT(input_values!M29="Y")),AND(MID(B29,1,2)="30",NOT(input_values!M29="Y"))),3,IF(OR(V29="&lt;25",B29&gt;1000000),1,IF((T29&gt;=S29),"2b","2a")))))</f>
        <v>1</v>
      </c>
      <c r="Y29" s="22">
        <f>IF(X29="ND","ND",IF(S29="","",IF(input_values!K29&gt;0,input_values!K29,IF(OR(X29=1,X29=3),1,IF((V29&gt;250),5,7)))))</f>
        <v>1</v>
      </c>
      <c r="Z29" s="330" t="str">
        <f t="shared" si="0"/>
        <v/>
      </c>
      <c r="AA29" s="331">
        <f t="shared" si="1"/>
        <v>0</v>
      </c>
      <c r="AB29" s="128">
        <f t="shared" si="5"/>
        <v>1</v>
      </c>
      <c r="AC29" s="330" t="str">
        <f t="shared" si="6"/>
        <v/>
      </c>
      <c r="AD29" s="332">
        <f t="shared" si="2"/>
        <v>0</v>
      </c>
      <c r="AE29" s="333" t="str">
        <f t="shared" si="7"/>
        <v/>
      </c>
      <c r="AF29" s="333" t="str">
        <f t="shared" si="8"/>
        <v/>
      </c>
      <c r="AG29" s="561" t="str">
        <f t="shared" si="3"/>
        <v/>
      </c>
      <c r="AH29" s="561" t="str">
        <f t="shared" si="9"/>
        <v/>
      </c>
      <c r="AI29" s="576"/>
      <c r="AJ29" s="847"/>
    </row>
    <row r="30" spans="1:36" ht="12" customHeight="1" outlineLevel="3" x14ac:dyDescent="0.2">
      <c r="A30" s="39">
        <f>acute_overview_children!A30</f>
        <v>4</v>
      </c>
      <c r="B30" s="23">
        <f>acute_overview_children!B30</f>
        <v>120100</v>
      </c>
      <c r="C30" s="23" t="s">
        <v>110</v>
      </c>
      <c r="D30" s="300">
        <f>Table22[[#This Row],[Level used for acute calculation]]</f>
        <v>4</v>
      </c>
      <c r="E30" s="302">
        <f>Table22[[#This Row],[MRL individual commodity]]</f>
        <v>0</v>
      </c>
      <c r="F30" s="451">
        <f>Table22[[#This Row],[Acute RA input value]]</f>
        <v>0</v>
      </c>
      <c r="G30" s="301" t="str">
        <f>Table22[[#This Row],[Acute RA label]]</f>
        <v/>
      </c>
      <c r="H30" s="303">
        <f>Table22[[#This Row],[Acute RA IESTI new input value]]</f>
        <v>0</v>
      </c>
      <c r="I30" s="301" t="str">
        <f>Table22[[#This Row],[Acute RA IESTI new label]]</f>
        <v/>
      </c>
      <c r="J30" s="65"/>
      <c r="K30" s="304">
        <f>Table22[[#This Row],[GAP under assessment]]</f>
        <v>0</v>
      </c>
      <c r="L30" s="304" t="str">
        <f>IF(input_values!$M30=0,"",input_values!$M30)</f>
        <v/>
      </c>
      <c r="M30" s="301" t="str">
        <f>IF(input_values!H30=0,"",input_values!H30)</f>
        <v/>
      </c>
      <c r="N30" s="304">
        <f>input_values!$K30</f>
        <v>0</v>
      </c>
      <c r="O30" s="326">
        <v>2.6736842105263157</v>
      </c>
      <c r="P30" s="22">
        <v>97.5</v>
      </c>
      <c r="Q30" s="327" t="s">
        <v>105</v>
      </c>
      <c r="R30" s="326">
        <v>76</v>
      </c>
      <c r="S30" s="328">
        <f t="shared" si="4"/>
        <v>203.2</v>
      </c>
      <c r="T30" s="338" t="s">
        <v>617</v>
      </c>
      <c r="U30" s="339" t="s">
        <v>215</v>
      </c>
      <c r="V30" s="338" t="s">
        <v>617</v>
      </c>
      <c r="W30" s="339" t="s">
        <v>215</v>
      </c>
      <c r="X30" s="1464">
        <f>IF(V30="ND","ND",IF(S30="","",IF(OR(MID(C30,1,4)="milk",AND(MID(B30,1,2)="50",NOT(input_values!M30="Y")),AND(MID(B30,1,2)="40",NOT(input_values!M30="Y")),AND(MID(B30,1,2)="30",NOT(input_values!M30="Y"))),3,IF(OR(V30="&lt;25",B30&gt;1000000),1,IF((T30&gt;=S30),"2b","2a")))))</f>
        <v>1</v>
      </c>
      <c r="Y30" s="22">
        <f>IF(X30="ND","ND",IF(S30="","",IF(input_values!K30&gt;0,input_values!K30,IF(OR(X30=1,X30=3),1,IF((V30&gt;250),5,7)))))</f>
        <v>1</v>
      </c>
      <c r="Z30" s="330" t="str">
        <f t="shared" si="0"/>
        <v/>
      </c>
      <c r="AA30" s="331">
        <f t="shared" si="1"/>
        <v>0</v>
      </c>
      <c r="AB30" s="128">
        <f t="shared" si="5"/>
        <v>1</v>
      </c>
      <c r="AC30" s="330" t="str">
        <f t="shared" si="6"/>
        <v/>
      </c>
      <c r="AD30" s="332">
        <f t="shared" si="2"/>
        <v>0</v>
      </c>
      <c r="AE30" s="333" t="str">
        <f t="shared" si="7"/>
        <v/>
      </c>
      <c r="AF30" s="333" t="str">
        <f t="shared" si="8"/>
        <v/>
      </c>
      <c r="AG30" s="561" t="str">
        <f t="shared" si="3"/>
        <v/>
      </c>
      <c r="AH30" s="561" t="str">
        <f t="shared" si="9"/>
        <v/>
      </c>
      <c r="AI30" s="576"/>
      <c r="AJ30" s="847"/>
    </row>
    <row r="31" spans="1:36" ht="12" customHeight="1" outlineLevel="3" x14ac:dyDescent="0.2">
      <c r="A31" s="39">
        <f>acute_overview_children!A31</f>
        <v>4</v>
      </c>
      <c r="B31" s="23">
        <f>acute_overview_children!B31</f>
        <v>120110</v>
      </c>
      <c r="C31" s="23" t="s">
        <v>111</v>
      </c>
      <c r="D31" s="300">
        <f>Table22[[#This Row],[Level used for acute calculation]]</f>
        <v>4</v>
      </c>
      <c r="E31" s="302">
        <f>Table22[[#This Row],[MRL individual commodity]]</f>
        <v>0</v>
      </c>
      <c r="F31" s="451">
        <f>Table22[[#This Row],[Acute RA input value]]</f>
        <v>0</v>
      </c>
      <c r="G31" s="301" t="str">
        <f>Table22[[#This Row],[Acute RA label]]</f>
        <v/>
      </c>
      <c r="H31" s="303">
        <f>Table22[[#This Row],[Acute RA IESTI new input value]]</f>
        <v>0</v>
      </c>
      <c r="I31" s="301" t="str">
        <f>Table22[[#This Row],[Acute RA IESTI new label]]</f>
        <v/>
      </c>
      <c r="J31" s="65"/>
      <c r="K31" s="304">
        <f>Table22[[#This Row],[GAP under assessment]]</f>
        <v>0</v>
      </c>
      <c r="L31" s="304" t="str">
        <f>IF(input_values!$M31=0,"",input_values!$M31)</f>
        <v/>
      </c>
      <c r="M31" s="301" t="str">
        <f>IF(input_values!H31=0,"",input_values!H31)</f>
        <v/>
      </c>
      <c r="N31" s="304">
        <f>input_values!$K31</f>
        <v>0</v>
      </c>
      <c r="O31" s="326">
        <v>2.2000000000000002</v>
      </c>
      <c r="P31" s="22">
        <v>97.5</v>
      </c>
      <c r="Q31" s="327" t="s">
        <v>334</v>
      </c>
      <c r="R31" s="326">
        <v>67.47</v>
      </c>
      <c r="S31" s="328">
        <f t="shared" si="4"/>
        <v>148.434</v>
      </c>
      <c r="T31" s="338" t="s">
        <v>617</v>
      </c>
      <c r="U31" s="339" t="s">
        <v>215</v>
      </c>
      <c r="V31" s="338" t="s">
        <v>617</v>
      </c>
      <c r="W31" s="339" t="s">
        <v>215</v>
      </c>
      <c r="X31" s="1464">
        <f>IF(V31="ND","ND",IF(S31="","",IF(OR(MID(C31,1,4)="milk",AND(MID(B31,1,2)="50",NOT(input_values!M31="Y")),AND(MID(B31,1,2)="40",NOT(input_values!M31="Y")),AND(MID(B31,1,2)="30",NOT(input_values!M31="Y"))),3,IF(OR(V31="&lt;25",B31&gt;1000000),1,IF((T31&gt;=S31),"2b","2a")))))</f>
        <v>1</v>
      </c>
      <c r="Y31" s="22">
        <f>IF(X31="ND","ND",IF(S31="","",IF(input_values!K31&gt;0,input_values!K31,IF(OR(X31=1,X31=3),1,IF((V31&gt;250),5,7)))))</f>
        <v>1</v>
      </c>
      <c r="Z31" s="330" t="str">
        <f t="shared" si="0"/>
        <v/>
      </c>
      <c r="AA31" s="331">
        <f t="shared" si="1"/>
        <v>0</v>
      </c>
      <c r="AB31" s="128">
        <f t="shared" si="5"/>
        <v>1</v>
      </c>
      <c r="AC31" s="330" t="str">
        <f t="shared" si="6"/>
        <v/>
      </c>
      <c r="AD31" s="332">
        <f t="shared" si="2"/>
        <v>0</v>
      </c>
      <c r="AE31" s="333" t="str">
        <f t="shared" si="7"/>
        <v/>
      </c>
      <c r="AF31" s="333" t="str">
        <f t="shared" si="8"/>
        <v/>
      </c>
      <c r="AG31" s="561" t="str">
        <f t="shared" si="3"/>
        <v/>
      </c>
      <c r="AH31" s="561" t="str">
        <f t="shared" si="9"/>
        <v/>
      </c>
      <c r="AI31" s="576"/>
      <c r="AJ31" s="847"/>
    </row>
    <row r="32" spans="1:36" ht="12" customHeight="1" outlineLevel="3" x14ac:dyDescent="0.2">
      <c r="A32" s="39">
        <f>acute_overview_children!A32</f>
        <v>4</v>
      </c>
      <c r="B32" s="23">
        <f>acute_overview_children!B32</f>
        <v>120990</v>
      </c>
      <c r="C32" s="23" t="s">
        <v>48</v>
      </c>
      <c r="D32" s="300">
        <f>Table22[[#This Row],[Level used for acute calculation]]</f>
        <v>0</v>
      </c>
      <c r="E32" s="302">
        <f>Table22[[#This Row],[MRL individual commodity]]</f>
        <v>0</v>
      </c>
      <c r="F32" s="451">
        <f>Table22[[#This Row],[Acute RA input value]]</f>
        <v>0</v>
      </c>
      <c r="G32" s="301">
        <f>Table22[[#This Row],[Acute RA label]]</f>
        <v>0</v>
      </c>
      <c r="H32" s="303">
        <f>Table22[[#This Row],[Acute RA IESTI new input value]]</f>
        <v>0</v>
      </c>
      <c r="I32" s="301">
        <f>Table22[[#This Row],[Acute RA IESTI new label]]</f>
        <v>0</v>
      </c>
      <c r="J32" s="65"/>
      <c r="K32" s="304">
        <f>Table22[[#This Row],[GAP under assessment]]</f>
        <v>0</v>
      </c>
      <c r="L32" s="304" t="str">
        <f>IF(input_values!$M32=0,"",input_values!$M32)</f>
        <v/>
      </c>
      <c r="M32" s="301" t="str">
        <f>IF(input_values!H32=0,"",input_values!H32)</f>
        <v/>
      </c>
      <c r="N32" s="304">
        <f>input_values!$K32</f>
        <v>0</v>
      </c>
      <c r="O32" s="305"/>
      <c r="P32" s="38"/>
      <c r="Q32" s="306"/>
      <c r="R32" s="309"/>
      <c r="S32" s="336" t="str">
        <f t="shared" si="4"/>
        <v/>
      </c>
      <c r="T32" s="305"/>
      <c r="U32" s="309"/>
      <c r="V32" s="305"/>
      <c r="W32" s="309"/>
      <c r="X32" s="611" t="str">
        <f>IF(V32="ND","ND",IF(S32="","",IF(OR(MID(C32,1,4)="milk",AND(MID(B32,1,2)="50",NOT(input_values!M32="Y")),AND(MID(B32,1,2)="40",NOT(input_values!M32="Y")),AND(MID(B32,1,2)="30",NOT(input_values!M32="Y"))),3,IF(OR(V32="&lt;25",B32&gt;1000000),1,IF((T32&gt;=S32),"2b","2a")))))</f>
        <v/>
      </c>
      <c r="Y32" s="38" t="str">
        <f>IF(X32="ND","ND",IF(S32="","",IF(input_values!K32&gt;0,input_values!K32,IF(OR(X32=1,X32=3),1,IF((V32&gt;250),5,7)))))</f>
        <v/>
      </c>
      <c r="Z32" s="310" t="str">
        <f t="shared" si="0"/>
        <v/>
      </c>
      <c r="AA32" s="311">
        <f t="shared" si="1"/>
        <v>0</v>
      </c>
      <c r="AB32" s="38" t="str">
        <f t="shared" si="5"/>
        <v/>
      </c>
      <c r="AC32" s="310" t="str">
        <f t="shared" si="6"/>
        <v/>
      </c>
      <c r="AD32" s="311">
        <f t="shared" si="2"/>
        <v>0</v>
      </c>
      <c r="AE32" s="312" t="str">
        <f t="shared" si="7"/>
        <v/>
      </c>
      <c r="AF32" s="312" t="str">
        <f t="shared" si="8"/>
        <v/>
      </c>
      <c r="AG32" s="561" t="str">
        <f t="shared" si="3"/>
        <v/>
      </c>
      <c r="AH32" s="561" t="str">
        <f t="shared" si="9"/>
        <v/>
      </c>
      <c r="AI32" s="576"/>
      <c r="AJ32" s="847"/>
    </row>
    <row r="33" spans="1:36" outlineLevel="1" x14ac:dyDescent="0.2">
      <c r="A33" s="130">
        <f>acute_overview_children!A33</f>
        <v>2</v>
      </c>
      <c r="B33" s="131">
        <f>acute_overview_children!B33</f>
        <v>130000</v>
      </c>
      <c r="C33" s="131" t="s">
        <v>293</v>
      </c>
      <c r="D33" s="300">
        <f>Table22[[#This Row],[Level used for acute calculation]]</f>
        <v>4</v>
      </c>
      <c r="E33" s="302">
        <f>Table22[[#This Row],[MRL individual commodity]]</f>
        <v>0</v>
      </c>
      <c r="F33" s="451">
        <f>Table22[[#This Row],[Acute RA input value]]</f>
        <v>0</v>
      </c>
      <c r="G33" s="301">
        <f>Table22[[#This Row],[Acute RA label]]</f>
        <v>0</v>
      </c>
      <c r="H33" s="303">
        <f>Table22[[#This Row],[Acute RA IESTI new input value]]</f>
        <v>0</v>
      </c>
      <c r="I33" s="301">
        <f>Table22[[#This Row],[Acute RA IESTI new label]]</f>
        <v>0</v>
      </c>
      <c r="J33" s="65"/>
      <c r="K33" s="304">
        <f>Table22[[#This Row],[GAP under assessment]]</f>
        <v>0</v>
      </c>
      <c r="L33" s="304" t="str">
        <f>IF(input_values!$M33=0,"",input_values!$M33)</f>
        <v/>
      </c>
      <c r="M33" s="301" t="str">
        <f>IF(input_values!H33=0,"",input_values!H33)</f>
        <v/>
      </c>
      <c r="N33" s="304">
        <f>input_values!$K33</f>
        <v>0</v>
      </c>
      <c r="O33" s="305"/>
      <c r="P33" s="38"/>
      <c r="Q33" s="306"/>
      <c r="R33" s="309"/>
      <c r="S33" s="336" t="str">
        <f t="shared" si="4"/>
        <v/>
      </c>
      <c r="T33" s="315"/>
      <c r="U33" s="320"/>
      <c r="V33" s="315"/>
      <c r="W33" s="320"/>
      <c r="X33" s="611" t="str">
        <f>IF(V33="ND","ND",IF(S33="","",IF(OR(MID(C33,1,4)="milk",AND(MID(B33,1,2)="50",NOT(input_values!M33="Y")),AND(MID(B33,1,2)="40",NOT(input_values!M33="Y")),AND(MID(B33,1,2)="30",NOT(input_values!M33="Y"))),3,IF(OR(V33="&lt;25",B33&gt;1000000),1,IF((T33&gt;=S33),"2b","2a")))))</f>
        <v/>
      </c>
      <c r="Y33" s="38" t="str">
        <f>IF(X33="ND","ND",IF(S33="","",IF(input_values!K33&gt;0,input_values!K33,IF(OR(X33=1,X33=3),1,IF((V33&gt;250),5,7)))))</f>
        <v/>
      </c>
      <c r="Z33" s="310" t="str">
        <f t="shared" si="0"/>
        <v/>
      </c>
      <c r="AA33" s="311">
        <f t="shared" si="1"/>
        <v>0</v>
      </c>
      <c r="AB33" s="38" t="str">
        <f t="shared" si="5"/>
        <v/>
      </c>
      <c r="AC33" s="310" t="str">
        <f t="shared" si="6"/>
        <v/>
      </c>
      <c r="AD33" s="311">
        <f t="shared" si="2"/>
        <v>0</v>
      </c>
      <c r="AE33" s="312" t="str">
        <f t="shared" si="7"/>
        <v/>
      </c>
      <c r="AF33" s="312" t="str">
        <f t="shared" si="8"/>
        <v/>
      </c>
      <c r="AG33" s="561" t="str">
        <f t="shared" si="3"/>
        <v/>
      </c>
      <c r="AH33" s="561" t="str">
        <f t="shared" si="9"/>
        <v/>
      </c>
      <c r="AI33" s="576"/>
      <c r="AJ33" s="847"/>
    </row>
    <row r="34" spans="1:36" ht="12" customHeight="1" outlineLevel="3" x14ac:dyDescent="0.2">
      <c r="A34" s="39">
        <f>acute_overview_children!A34</f>
        <v>4</v>
      </c>
      <c r="B34" s="23">
        <f>acute_overview_children!B34</f>
        <v>130010</v>
      </c>
      <c r="C34" s="23" t="s">
        <v>112</v>
      </c>
      <c r="D34" s="300">
        <f>Table22[[#This Row],[Level used for acute calculation]]</f>
        <v>4</v>
      </c>
      <c r="E34" s="302">
        <f>Table22[[#This Row],[MRL individual commodity]]</f>
        <v>0</v>
      </c>
      <c r="F34" s="451">
        <f>Table22[[#This Row],[Acute RA input value]]</f>
        <v>0</v>
      </c>
      <c r="G34" s="301" t="str">
        <f>Table22[[#This Row],[Acute RA label]]</f>
        <v/>
      </c>
      <c r="H34" s="303">
        <f>Table22[[#This Row],[Acute RA IESTI new input value]]</f>
        <v>0</v>
      </c>
      <c r="I34" s="301" t="str">
        <f>Table22[[#This Row],[Acute RA IESTI new label]]</f>
        <v/>
      </c>
      <c r="J34" s="65"/>
      <c r="K34" s="304">
        <f>Table22[[#This Row],[GAP under assessment]]</f>
        <v>0</v>
      </c>
      <c r="L34" s="304" t="str">
        <f>IF(input_values!$M34=0,"",input_values!$M34)</f>
        <v/>
      </c>
      <c r="M34" s="301" t="str">
        <f>IF(input_values!H34=0,"",input_values!H34)</f>
        <v/>
      </c>
      <c r="N34" s="304">
        <f>input_values!$K34</f>
        <v>0</v>
      </c>
      <c r="O34" s="326">
        <v>10</v>
      </c>
      <c r="P34" s="22">
        <v>97.5</v>
      </c>
      <c r="Q34" s="327" t="s">
        <v>313</v>
      </c>
      <c r="R34" s="326">
        <v>66.400000000000006</v>
      </c>
      <c r="S34" s="328">
        <f t="shared" si="4"/>
        <v>664</v>
      </c>
      <c r="T34" s="328">
        <v>200</v>
      </c>
      <c r="U34" s="326" t="s">
        <v>152</v>
      </c>
      <c r="V34" s="328">
        <v>225.22877612935341</v>
      </c>
      <c r="W34" s="326" t="s">
        <v>152</v>
      </c>
      <c r="X34" s="1464" t="str">
        <f>IF(V34="ND","ND",IF(S34="","",IF(OR(MID(C34,1,4)="milk",AND(MID(B34,1,2)="50",NOT(input_values!M34="Y")),AND(MID(B34,1,2)="40",NOT(input_values!M34="Y")),AND(MID(B34,1,2)="30",NOT(input_values!M34="Y"))),3,IF(OR(V34="&lt;25",B34&gt;1000000),1,IF((T34&gt;=S34),"2b","2a")))))</f>
        <v>2a</v>
      </c>
      <c r="Y34" s="22">
        <f>IF(X34="ND","ND",IF(S34="","",IF(input_values!K34&gt;0,input_values!K34,IF(OR(X34=1,X34=3),1,IF((V34&gt;250),5,7)))))</f>
        <v>7</v>
      </c>
      <c r="Z34" s="330" t="str">
        <f t="shared" si="0"/>
        <v/>
      </c>
      <c r="AA34" s="331">
        <f t="shared" si="1"/>
        <v>0</v>
      </c>
      <c r="AB34" s="128">
        <f t="shared" si="5"/>
        <v>3</v>
      </c>
      <c r="AC34" s="330" t="str">
        <f t="shared" si="6"/>
        <v/>
      </c>
      <c r="AD34" s="332">
        <f t="shared" si="2"/>
        <v>0</v>
      </c>
      <c r="AE34" s="333" t="str">
        <f t="shared" si="7"/>
        <v/>
      </c>
      <c r="AF34" s="333" t="str">
        <f t="shared" si="8"/>
        <v/>
      </c>
      <c r="AG34" s="561" t="str">
        <f t="shared" si="3"/>
        <v/>
      </c>
      <c r="AH34" s="561" t="str">
        <f t="shared" si="9"/>
        <v/>
      </c>
      <c r="AI34" s="576"/>
      <c r="AJ34" s="847"/>
    </row>
    <row r="35" spans="1:36" ht="12" customHeight="1" outlineLevel="3" x14ac:dyDescent="0.2">
      <c r="A35" s="39">
        <f>acute_overview_children!A35</f>
        <v>4</v>
      </c>
      <c r="B35" s="23">
        <f>acute_overview_children!B35</f>
        <v>130020</v>
      </c>
      <c r="C35" s="23" t="s">
        <v>113</v>
      </c>
      <c r="D35" s="300">
        <f>Table22[[#This Row],[Level used for acute calculation]]</f>
        <v>4</v>
      </c>
      <c r="E35" s="302">
        <f>Table22[[#This Row],[MRL individual commodity]]</f>
        <v>0</v>
      </c>
      <c r="F35" s="451">
        <f>Table22[[#This Row],[Acute RA input value]]</f>
        <v>0</v>
      </c>
      <c r="G35" s="301" t="str">
        <f>Table22[[#This Row],[Acute RA label]]</f>
        <v/>
      </c>
      <c r="H35" s="303">
        <f>Table22[[#This Row],[Acute RA IESTI new input value]]</f>
        <v>0</v>
      </c>
      <c r="I35" s="301" t="str">
        <f>Table22[[#This Row],[Acute RA IESTI new label]]</f>
        <v/>
      </c>
      <c r="J35" s="65"/>
      <c r="K35" s="304">
        <f>Table22[[#This Row],[GAP under assessment]]</f>
        <v>0</v>
      </c>
      <c r="L35" s="304" t="str">
        <f>IF(input_values!$M35=0,"",input_values!$M35)</f>
        <v/>
      </c>
      <c r="M35" s="301" t="str">
        <f>IF(input_values!H35=0,"",input_values!H35)</f>
        <v/>
      </c>
      <c r="N35" s="304">
        <f>input_values!$K35</f>
        <v>0</v>
      </c>
      <c r="O35" s="326">
        <v>11.879939209726444</v>
      </c>
      <c r="P35" s="22" t="s">
        <v>328</v>
      </c>
      <c r="Q35" s="327" t="s">
        <v>99</v>
      </c>
      <c r="R35" s="326">
        <v>65.8</v>
      </c>
      <c r="S35" s="328">
        <f t="shared" si="4"/>
        <v>781.7</v>
      </c>
      <c r="T35" s="328">
        <v>204.67</v>
      </c>
      <c r="U35" s="326" t="s">
        <v>215</v>
      </c>
      <c r="V35" s="328">
        <v>211</v>
      </c>
      <c r="W35" s="326" t="s">
        <v>215</v>
      </c>
      <c r="X35" s="1464" t="str">
        <f>IF(V35="ND","ND",IF(S35="","",IF(OR(MID(C35,1,4)="milk",AND(MID(B35,1,2)="50",NOT(input_values!M35="Y")),AND(MID(B35,1,2)="40",NOT(input_values!M35="Y")),AND(MID(B35,1,2)="30",NOT(input_values!M35="Y"))),3,IF(OR(V35="&lt;25",B35&gt;1000000),1,IF((T35&gt;=S35),"2b","2a")))))</f>
        <v>2a</v>
      </c>
      <c r="Y35" s="22">
        <f>IF(X35="ND","ND",IF(S35="","",IF(input_values!K35&gt;0,input_values!K35,IF(OR(X35=1,X35=3),1,IF((V35&gt;250),5,7)))))</f>
        <v>7</v>
      </c>
      <c r="Z35" s="330" t="str">
        <f t="shared" si="0"/>
        <v/>
      </c>
      <c r="AA35" s="331">
        <f t="shared" si="1"/>
        <v>0</v>
      </c>
      <c r="AB35" s="128">
        <f t="shared" si="5"/>
        <v>3</v>
      </c>
      <c r="AC35" s="330" t="str">
        <f t="shared" si="6"/>
        <v/>
      </c>
      <c r="AD35" s="332">
        <f t="shared" si="2"/>
        <v>0</v>
      </c>
      <c r="AE35" s="333" t="str">
        <f t="shared" si="7"/>
        <v/>
      </c>
      <c r="AF35" s="333" t="str">
        <f t="shared" si="8"/>
        <v/>
      </c>
      <c r="AG35" s="561" t="str">
        <f t="shared" si="3"/>
        <v/>
      </c>
      <c r="AH35" s="561" t="str">
        <f t="shared" si="9"/>
        <v/>
      </c>
      <c r="AI35" s="576"/>
      <c r="AJ35" s="847"/>
    </row>
    <row r="36" spans="1:36" ht="12" customHeight="1" outlineLevel="3" x14ac:dyDescent="0.2">
      <c r="A36" s="39">
        <f>acute_overview_children!A36</f>
        <v>4</v>
      </c>
      <c r="B36" s="23">
        <f>acute_overview_children!B36</f>
        <v>130030</v>
      </c>
      <c r="C36" s="23" t="s">
        <v>114</v>
      </c>
      <c r="D36" s="300">
        <f>Table22[[#This Row],[Level used for acute calculation]]</f>
        <v>4</v>
      </c>
      <c r="E36" s="302">
        <f>Table22[[#This Row],[MRL individual commodity]]</f>
        <v>0</v>
      </c>
      <c r="F36" s="451">
        <f>Table22[[#This Row],[Acute RA input value]]</f>
        <v>0</v>
      </c>
      <c r="G36" s="301" t="str">
        <f>Table22[[#This Row],[Acute RA label]]</f>
        <v/>
      </c>
      <c r="H36" s="303">
        <f>Table22[[#This Row],[Acute RA IESTI new input value]]</f>
        <v>0</v>
      </c>
      <c r="I36" s="301" t="str">
        <f>Table22[[#This Row],[Acute RA IESTI new label]]</f>
        <v/>
      </c>
      <c r="J36" s="65"/>
      <c r="K36" s="304">
        <f>Table22[[#This Row],[GAP under assessment]]</f>
        <v>0</v>
      </c>
      <c r="L36" s="304" t="str">
        <f>IF(input_values!$M36=0,"",input_values!$M36)</f>
        <v/>
      </c>
      <c r="M36" s="301" t="str">
        <f>IF(input_values!H36=0,"",input_values!H36)</f>
        <v/>
      </c>
      <c r="N36" s="304">
        <f>input_values!$K36</f>
        <v>0</v>
      </c>
      <c r="O36" s="326">
        <v>3.0421</v>
      </c>
      <c r="P36" s="22">
        <v>97.5</v>
      </c>
      <c r="Q36" s="327" t="s">
        <v>0</v>
      </c>
      <c r="R36" s="326">
        <v>68.48</v>
      </c>
      <c r="S36" s="328">
        <f t="shared" si="4"/>
        <v>208.32300800000002</v>
      </c>
      <c r="T36" s="328">
        <v>301.20999999999998</v>
      </c>
      <c r="U36" s="326" t="s">
        <v>215</v>
      </c>
      <c r="V36" s="328">
        <v>331</v>
      </c>
      <c r="W36" s="326" t="s">
        <v>215</v>
      </c>
      <c r="X36" s="1464" t="str">
        <f>IF(V36="ND","ND",IF(S36="","",IF(OR(MID(C36,1,4)="milk",AND(MID(B36,1,2)="50",NOT(input_values!M36="Y")),AND(MID(B36,1,2)="40",NOT(input_values!M36="Y")),AND(MID(B36,1,2)="30",NOT(input_values!M36="Y"))),3,IF(OR(V36="&lt;25",B36&gt;1000000),1,IF((T36&gt;=S36),"2b","2a")))))</f>
        <v>2b</v>
      </c>
      <c r="Y36" s="22">
        <f>IF(X36="ND","ND",IF(S36="","",IF(input_values!K36&gt;0,input_values!K36,IF(OR(X36=1,X36=3),1,IF((V36&gt;250),5,7)))))</f>
        <v>5</v>
      </c>
      <c r="Z36" s="330" t="str">
        <f t="shared" si="0"/>
        <v/>
      </c>
      <c r="AA36" s="331">
        <f t="shared" si="1"/>
        <v>0</v>
      </c>
      <c r="AB36" s="128">
        <f t="shared" si="5"/>
        <v>3</v>
      </c>
      <c r="AC36" s="330" t="str">
        <f t="shared" si="6"/>
        <v/>
      </c>
      <c r="AD36" s="332">
        <f t="shared" si="2"/>
        <v>0</v>
      </c>
      <c r="AE36" s="333" t="str">
        <f t="shared" si="7"/>
        <v/>
      </c>
      <c r="AF36" s="333" t="str">
        <f t="shared" si="8"/>
        <v/>
      </c>
      <c r="AG36" s="561" t="str">
        <f t="shared" si="3"/>
        <v/>
      </c>
      <c r="AH36" s="561" t="str">
        <f t="shared" si="9"/>
        <v/>
      </c>
      <c r="AI36" s="576"/>
      <c r="AJ36" s="847"/>
    </row>
    <row r="37" spans="1:36" ht="12" customHeight="1" outlineLevel="3" x14ac:dyDescent="0.2">
      <c r="A37" s="39">
        <f>acute_overview_children!A37</f>
        <v>4</v>
      </c>
      <c r="B37" s="23">
        <f>acute_overview_children!B37</f>
        <v>130040</v>
      </c>
      <c r="C37" s="23" t="s">
        <v>115</v>
      </c>
      <c r="D37" s="300">
        <f>Table22[[#This Row],[Level used for acute calculation]]</f>
        <v>4</v>
      </c>
      <c r="E37" s="302">
        <f>Table22[[#This Row],[MRL individual commodity]]</f>
        <v>0</v>
      </c>
      <c r="F37" s="451">
        <f>Table22[[#This Row],[Acute RA input value]]</f>
        <v>0</v>
      </c>
      <c r="G37" s="301" t="str">
        <f>Table22[[#This Row],[Acute RA label]]</f>
        <v/>
      </c>
      <c r="H37" s="303">
        <f>Table22[[#This Row],[Acute RA IESTI new input value]]</f>
        <v>0</v>
      </c>
      <c r="I37" s="301" t="str">
        <f>Table22[[#This Row],[Acute RA IESTI new label]]</f>
        <v/>
      </c>
      <c r="J37" s="65"/>
      <c r="K37" s="304">
        <f>Table22[[#This Row],[GAP under assessment]]</f>
        <v>0</v>
      </c>
      <c r="L37" s="304" t="str">
        <f>IF(input_values!$M37=0,"",input_values!$M37)</f>
        <v/>
      </c>
      <c r="M37" s="301" t="str">
        <f>IF(input_values!H37=0,"",input_values!H37)</f>
        <v/>
      </c>
      <c r="N37" s="304">
        <f>input_values!$K37</f>
        <v>0</v>
      </c>
      <c r="O37" s="326">
        <v>1.5891999999999999</v>
      </c>
      <c r="P37" s="22">
        <v>97.5</v>
      </c>
      <c r="Q37" s="327" t="s">
        <v>0</v>
      </c>
      <c r="R37" s="326">
        <v>68.48</v>
      </c>
      <c r="S37" s="328">
        <f t="shared" si="4"/>
        <v>108.828416</v>
      </c>
      <c r="T37" s="328">
        <v>60</v>
      </c>
      <c r="U37" s="326" t="s">
        <v>45</v>
      </c>
      <c r="V37" s="328">
        <v>60</v>
      </c>
      <c r="W37" s="326" t="s">
        <v>45</v>
      </c>
      <c r="X37" s="1464" t="str">
        <f>IF(V37="ND","ND",IF(S37="","",IF(OR(MID(C37,1,4)="milk",AND(MID(B37,1,2)="50",NOT(input_values!M37="Y")),AND(MID(B37,1,2)="40",NOT(input_values!M37="Y")),AND(MID(B37,1,2)="30",NOT(input_values!M37="Y"))),3,IF(OR(V37="&lt;25",B37&gt;1000000),1,IF((T37&gt;=S37),"2b","2a")))))</f>
        <v>2a</v>
      </c>
      <c r="Y37" s="22">
        <f>IF(X37="ND","ND",IF(S37="","",IF(input_values!K37&gt;0,input_values!K37,IF(OR(X37=1,X37=3),1,IF((V37&gt;250),5,7)))))</f>
        <v>7</v>
      </c>
      <c r="Z37" s="330" t="str">
        <f t="shared" si="0"/>
        <v/>
      </c>
      <c r="AA37" s="331">
        <f t="shared" si="1"/>
        <v>0</v>
      </c>
      <c r="AB37" s="128">
        <f t="shared" si="5"/>
        <v>3</v>
      </c>
      <c r="AC37" s="330" t="str">
        <f t="shared" si="6"/>
        <v/>
      </c>
      <c r="AD37" s="332">
        <f t="shared" si="2"/>
        <v>0</v>
      </c>
      <c r="AE37" s="333" t="str">
        <f t="shared" si="7"/>
        <v/>
      </c>
      <c r="AF37" s="333" t="str">
        <f t="shared" si="8"/>
        <v/>
      </c>
      <c r="AG37" s="561" t="str">
        <f t="shared" si="3"/>
        <v/>
      </c>
      <c r="AH37" s="561" t="str">
        <f t="shared" si="9"/>
        <v/>
      </c>
      <c r="AI37" s="576"/>
      <c r="AJ37" s="847"/>
    </row>
    <row r="38" spans="1:36" ht="12" customHeight="1" outlineLevel="3" x14ac:dyDescent="0.2">
      <c r="A38" s="39">
        <f>acute_overview_children!A38</f>
        <v>4</v>
      </c>
      <c r="B38" s="23">
        <f>acute_overview_children!B38</f>
        <v>130050</v>
      </c>
      <c r="C38" s="23" t="s">
        <v>683</v>
      </c>
      <c r="D38" s="300">
        <f>Table22[[#This Row],[Level used for acute calculation]]</f>
        <v>4</v>
      </c>
      <c r="E38" s="302">
        <f>Table22[[#This Row],[MRL individual commodity]]</f>
        <v>0</v>
      </c>
      <c r="F38" s="451">
        <f>Table22[[#This Row],[Acute RA input value]]</f>
        <v>0</v>
      </c>
      <c r="G38" s="301" t="str">
        <f>Table22[[#This Row],[Acute RA label]]</f>
        <v/>
      </c>
      <c r="H38" s="303">
        <f>Table22[[#This Row],[Acute RA IESTI new input value]]</f>
        <v>0</v>
      </c>
      <c r="I38" s="301" t="str">
        <f>Table22[[#This Row],[Acute RA IESTI new label]]</f>
        <v/>
      </c>
      <c r="J38" s="65"/>
      <c r="K38" s="304">
        <f>Table22[[#This Row],[GAP under assessment]]</f>
        <v>0</v>
      </c>
      <c r="L38" s="304" t="str">
        <f>IF(input_values!$M38=0,"",input_values!$M38)</f>
        <v/>
      </c>
      <c r="M38" s="301" t="str">
        <f>IF(input_values!H38=0,"",input_values!H38)</f>
        <v/>
      </c>
      <c r="N38" s="304">
        <f>input_values!$K38</f>
        <v>0</v>
      </c>
      <c r="O38" s="338" t="s">
        <v>618</v>
      </c>
      <c r="P38" s="22"/>
      <c r="Q38" s="327"/>
      <c r="R38" s="326"/>
      <c r="S38" s="31" t="str">
        <f t="shared" si="4"/>
        <v>ND</v>
      </c>
      <c r="T38" s="338" t="s">
        <v>618</v>
      </c>
      <c r="U38" s="326"/>
      <c r="V38" s="338" t="s">
        <v>618</v>
      </c>
      <c r="W38" s="326"/>
      <c r="X38" s="460" t="str">
        <f>IF(V38="ND","ND",IF(S38="","",IF(OR(MID(C38,1,4)="milk",AND(MID(B38,1,2)="50",NOT(input_values!M38="Y")),AND(MID(B38,1,2)="40",NOT(input_values!M38="Y")),AND(MID(B38,1,2)="30",NOT(input_values!M38="Y"))),3,IF(OR(V38="&lt;25",B38&gt;1000000),1,IF((T38&gt;=S38),"2b","2a")))))</f>
        <v>ND</v>
      </c>
      <c r="Y38" s="22" t="str">
        <f>IF(X38="ND","ND",IF(S38="","",IF(input_values!K38&gt;0,input_values!K38,IF(OR(X38=1,X38=3),1,IF((V38&gt;250),5,7)))))</f>
        <v>ND</v>
      </c>
      <c r="Z38" s="340" t="str">
        <f t="shared" si="0"/>
        <v/>
      </c>
      <c r="AA38" s="332">
        <f t="shared" si="1"/>
        <v>0</v>
      </c>
      <c r="AB38" s="128" t="str">
        <f t="shared" si="5"/>
        <v>ND</v>
      </c>
      <c r="AC38" s="340" t="str">
        <f t="shared" si="6"/>
        <v/>
      </c>
      <c r="AD38" s="332">
        <f t="shared" si="2"/>
        <v>0</v>
      </c>
      <c r="AE38" s="37" t="str">
        <f t="shared" si="7"/>
        <v/>
      </c>
      <c r="AF38" s="37" t="str">
        <f t="shared" si="8"/>
        <v/>
      </c>
      <c r="AG38" s="561" t="str">
        <f t="shared" si="3"/>
        <v/>
      </c>
      <c r="AH38" s="561" t="str">
        <f t="shared" si="9"/>
        <v/>
      </c>
      <c r="AI38" s="576"/>
      <c r="AJ38" s="847"/>
    </row>
    <row r="39" spans="1:36" ht="12" customHeight="1" outlineLevel="3" x14ac:dyDescent="0.2">
      <c r="A39" s="39">
        <f>acute_overview_children!A39</f>
        <v>4</v>
      </c>
      <c r="B39" s="23">
        <f>acute_overview_children!B39</f>
        <v>130990</v>
      </c>
      <c r="C39" s="23" t="s">
        <v>49</v>
      </c>
      <c r="D39" s="300">
        <f>Table22[[#This Row],[Level used for acute calculation]]</f>
        <v>0</v>
      </c>
      <c r="E39" s="302">
        <f>Table22[[#This Row],[MRL individual commodity]]</f>
        <v>0</v>
      </c>
      <c r="F39" s="451">
        <f>Table22[[#This Row],[Acute RA input value]]</f>
        <v>0</v>
      </c>
      <c r="G39" s="301">
        <f>Table22[[#This Row],[Acute RA label]]</f>
        <v>0</v>
      </c>
      <c r="H39" s="303">
        <f>Table22[[#This Row],[Acute RA IESTI new input value]]</f>
        <v>0</v>
      </c>
      <c r="I39" s="301">
        <f>Table22[[#This Row],[Acute RA IESTI new label]]</f>
        <v>0</v>
      </c>
      <c r="J39" s="65"/>
      <c r="K39" s="304">
        <f>Table22[[#This Row],[GAP under assessment]]</f>
        <v>0</v>
      </c>
      <c r="L39" s="304" t="str">
        <f>IF(input_values!$M39=0,"",input_values!$M39)</f>
        <v/>
      </c>
      <c r="M39" s="301" t="str">
        <f>IF(input_values!H39=0,"",input_values!H39)</f>
        <v/>
      </c>
      <c r="N39" s="304">
        <f>input_values!$K39</f>
        <v>0</v>
      </c>
      <c r="O39" s="305"/>
      <c r="P39" s="38"/>
      <c r="Q39" s="306"/>
      <c r="R39" s="309"/>
      <c r="S39" s="336" t="str">
        <f t="shared" si="4"/>
        <v/>
      </c>
      <c r="T39" s="305"/>
      <c r="U39" s="309"/>
      <c r="V39" s="305"/>
      <c r="W39" s="309"/>
      <c r="X39" s="611" t="str">
        <f>IF(V39="ND","ND",IF(S39="","",IF(OR(MID(C39,1,4)="milk",AND(MID(B39,1,2)="50",NOT(input_values!M39="Y")),AND(MID(B39,1,2)="40",NOT(input_values!M39="Y")),AND(MID(B39,1,2)="30",NOT(input_values!M39="Y"))),3,IF(OR(V39="&lt;25",B39&gt;1000000),1,IF((T39&gt;=S39),"2b","2a")))))</f>
        <v/>
      </c>
      <c r="Y39" s="38" t="str">
        <f>IF(X39="ND","ND",IF(S39="","",IF(input_values!K39&gt;0,input_values!K39,IF(OR(X39=1,X39=3),1,IF((V39&gt;250),5,7)))))</f>
        <v/>
      </c>
      <c r="Z39" s="310" t="str">
        <f t="shared" si="0"/>
        <v/>
      </c>
      <c r="AA39" s="311">
        <f t="shared" si="1"/>
        <v>0</v>
      </c>
      <c r="AB39" s="38" t="str">
        <f t="shared" si="5"/>
        <v/>
      </c>
      <c r="AC39" s="310" t="str">
        <f t="shared" si="6"/>
        <v/>
      </c>
      <c r="AD39" s="311">
        <f t="shared" si="2"/>
        <v>0</v>
      </c>
      <c r="AE39" s="312" t="str">
        <f t="shared" si="7"/>
        <v/>
      </c>
      <c r="AF39" s="312" t="str">
        <f t="shared" si="8"/>
        <v/>
      </c>
      <c r="AG39" s="561" t="str">
        <f t="shared" si="3"/>
        <v/>
      </c>
      <c r="AH39" s="561" t="str">
        <f t="shared" si="9"/>
        <v/>
      </c>
      <c r="AI39" s="576"/>
      <c r="AJ39" s="847"/>
    </row>
    <row r="40" spans="1:36" outlineLevel="1" x14ac:dyDescent="0.2">
      <c r="A40" s="130">
        <f>acute_overview_children!A40</f>
        <v>2</v>
      </c>
      <c r="B40" s="131">
        <f>acute_overview_children!B40</f>
        <v>140000</v>
      </c>
      <c r="C40" s="131" t="s">
        <v>214</v>
      </c>
      <c r="D40" s="300">
        <f>Table22[[#This Row],[Level used for acute calculation]]</f>
        <v>4</v>
      </c>
      <c r="E40" s="302">
        <f>Table22[[#This Row],[MRL individual commodity]]</f>
        <v>0</v>
      </c>
      <c r="F40" s="451">
        <f>Table22[[#This Row],[Acute RA input value]]</f>
        <v>0</v>
      </c>
      <c r="G40" s="301">
        <f>Table22[[#This Row],[Acute RA label]]</f>
        <v>0</v>
      </c>
      <c r="H40" s="303">
        <f>Table22[[#This Row],[Acute RA IESTI new input value]]</f>
        <v>0</v>
      </c>
      <c r="I40" s="301">
        <f>Table22[[#This Row],[Acute RA IESTI new label]]</f>
        <v>0</v>
      </c>
      <c r="J40" s="65"/>
      <c r="K40" s="304">
        <f>Table22[[#This Row],[GAP under assessment]]</f>
        <v>0</v>
      </c>
      <c r="L40" s="304" t="str">
        <f>IF(input_values!$M40=0,"",input_values!$M40)</f>
        <v/>
      </c>
      <c r="M40" s="301" t="str">
        <f>IF(input_values!H40=0,"",input_values!H40)</f>
        <v/>
      </c>
      <c r="N40" s="304">
        <f>input_values!$K40</f>
        <v>0</v>
      </c>
      <c r="O40" s="305"/>
      <c r="P40" s="38"/>
      <c r="Q40" s="306"/>
      <c r="R40" s="309"/>
      <c r="S40" s="336" t="str">
        <f t="shared" si="4"/>
        <v/>
      </c>
      <c r="T40" s="315"/>
      <c r="U40" s="320"/>
      <c r="V40" s="315"/>
      <c r="W40" s="320"/>
      <c r="X40" s="611" t="str">
        <f>IF(V40="ND","ND",IF(S40="","",IF(OR(MID(C40,1,4)="milk",AND(MID(B40,1,2)="50",NOT(input_values!M40="Y")),AND(MID(B40,1,2)="40",NOT(input_values!M40="Y")),AND(MID(B40,1,2)="30",NOT(input_values!M40="Y"))),3,IF(OR(V40="&lt;25",B40&gt;1000000),1,IF((T40&gt;=S40),"2b","2a")))))</f>
        <v/>
      </c>
      <c r="Y40" s="38" t="str">
        <f>IF(X40="ND","ND",IF(S40="","",IF(input_values!K40&gt;0,input_values!K40,IF(OR(X40=1,X40=3),1,IF((V40&gt;250),5,7)))))</f>
        <v/>
      </c>
      <c r="Z40" s="310" t="str">
        <f t="shared" si="0"/>
        <v/>
      </c>
      <c r="AA40" s="311">
        <f t="shared" si="1"/>
        <v>0</v>
      </c>
      <c r="AB40" s="38" t="str">
        <f t="shared" si="5"/>
        <v/>
      </c>
      <c r="AC40" s="310" t="str">
        <f t="shared" si="6"/>
        <v/>
      </c>
      <c r="AD40" s="311">
        <f t="shared" si="2"/>
        <v>0</v>
      </c>
      <c r="AE40" s="312" t="str">
        <f t="shared" si="7"/>
        <v/>
      </c>
      <c r="AF40" s="312" t="str">
        <f t="shared" si="8"/>
        <v/>
      </c>
      <c r="AG40" s="561" t="str">
        <f t="shared" si="3"/>
        <v/>
      </c>
      <c r="AH40" s="561" t="str">
        <f t="shared" si="9"/>
        <v/>
      </c>
      <c r="AI40" s="576"/>
      <c r="AJ40" s="847"/>
    </row>
    <row r="41" spans="1:36" ht="12" customHeight="1" outlineLevel="3" x14ac:dyDescent="0.2">
      <c r="A41" s="39">
        <f>acute_overview_children!A41</f>
        <v>4</v>
      </c>
      <c r="B41" s="23">
        <f>acute_overview_children!B41</f>
        <v>140010</v>
      </c>
      <c r="C41" s="23" t="s">
        <v>116</v>
      </c>
      <c r="D41" s="300">
        <f>Table22[[#This Row],[Level used for acute calculation]]</f>
        <v>4</v>
      </c>
      <c r="E41" s="302">
        <f>Table22[[#This Row],[MRL individual commodity]]</f>
        <v>0</v>
      </c>
      <c r="F41" s="451">
        <f>Table22[[#This Row],[Acute RA input value]]</f>
        <v>0</v>
      </c>
      <c r="G41" s="301" t="str">
        <f>Table22[[#This Row],[Acute RA label]]</f>
        <v/>
      </c>
      <c r="H41" s="303">
        <f>Table22[[#This Row],[Acute RA IESTI new input value]]</f>
        <v>0</v>
      </c>
      <c r="I41" s="301" t="str">
        <f>Table22[[#This Row],[Acute RA IESTI new label]]</f>
        <v/>
      </c>
      <c r="J41" s="65"/>
      <c r="K41" s="304">
        <f>Table22[[#This Row],[GAP under assessment]]</f>
        <v>0</v>
      </c>
      <c r="L41" s="304" t="str">
        <f>IF(input_values!$M41=0,"",input_values!$M41)</f>
        <v/>
      </c>
      <c r="M41" s="301" t="str">
        <f>IF(input_values!H41=0,"",input_values!H41)</f>
        <v/>
      </c>
      <c r="N41" s="304">
        <f>input_values!$K41</f>
        <v>0</v>
      </c>
      <c r="O41" s="326">
        <v>4.28</v>
      </c>
      <c r="P41" s="22">
        <v>97.5</v>
      </c>
      <c r="Q41" s="327" t="s">
        <v>313</v>
      </c>
      <c r="R41" s="326">
        <v>66.400000000000006</v>
      </c>
      <c r="S41" s="328">
        <f t="shared" si="4"/>
        <v>284.19200000000006</v>
      </c>
      <c r="T41" s="328">
        <v>73</v>
      </c>
      <c r="U41" s="326" t="s">
        <v>152</v>
      </c>
      <c r="V41" s="328">
        <v>79.63636363636364</v>
      </c>
      <c r="W41" s="326" t="s">
        <v>152</v>
      </c>
      <c r="X41" s="1464" t="str">
        <f>IF(V41="ND","ND",IF(S41="","",IF(OR(MID(C41,1,4)="milk",AND(MID(B41,1,2)="50",NOT(input_values!M41="Y")),AND(MID(B41,1,2)="40",NOT(input_values!M41="Y")),AND(MID(B41,1,2)="30",NOT(input_values!M41="Y"))),3,IF(OR(V41="&lt;25",B41&gt;1000000),1,IF((T41&gt;=S41),"2b","2a")))))</f>
        <v>2a</v>
      </c>
      <c r="Y41" s="22">
        <f>IF(X41="ND","ND",IF(S41="","",IF(input_values!K41&gt;0,input_values!K41,IF(OR(X41=1,X41=3),1,IF((V41&gt;250),5,7)))))</f>
        <v>7</v>
      </c>
      <c r="Z41" s="330" t="str">
        <f t="shared" si="0"/>
        <v/>
      </c>
      <c r="AA41" s="331">
        <f t="shared" si="1"/>
        <v>0</v>
      </c>
      <c r="AB41" s="128">
        <f t="shared" si="5"/>
        <v>3</v>
      </c>
      <c r="AC41" s="330" t="str">
        <f t="shared" si="6"/>
        <v/>
      </c>
      <c r="AD41" s="332">
        <f t="shared" si="2"/>
        <v>0</v>
      </c>
      <c r="AE41" s="333" t="str">
        <f t="shared" si="7"/>
        <v/>
      </c>
      <c r="AF41" s="333" t="str">
        <f t="shared" si="8"/>
        <v/>
      </c>
      <c r="AG41" s="561" t="str">
        <f t="shared" si="3"/>
        <v/>
      </c>
      <c r="AH41" s="561" t="str">
        <f t="shared" si="9"/>
        <v/>
      </c>
      <c r="AI41" s="576"/>
      <c r="AJ41" s="847"/>
    </row>
    <row r="42" spans="1:36" ht="12" customHeight="1" outlineLevel="3" x14ac:dyDescent="0.2">
      <c r="A42" s="39">
        <f>acute_overview_children!A42</f>
        <v>4</v>
      </c>
      <c r="B42" s="23">
        <f>acute_overview_children!B42</f>
        <v>140020</v>
      </c>
      <c r="C42" s="23" t="s">
        <v>684</v>
      </c>
      <c r="D42" s="300">
        <f>Table22[[#This Row],[Level used for acute calculation]]</f>
        <v>4</v>
      </c>
      <c r="E42" s="302">
        <f>Table22[[#This Row],[MRL individual commodity]]</f>
        <v>0</v>
      </c>
      <c r="F42" s="451">
        <f>Table22[[#This Row],[Acute RA input value]]</f>
        <v>0</v>
      </c>
      <c r="G42" s="301" t="str">
        <f>Table22[[#This Row],[Acute RA label]]</f>
        <v/>
      </c>
      <c r="H42" s="303">
        <f>Table22[[#This Row],[Acute RA IESTI new input value]]</f>
        <v>0</v>
      </c>
      <c r="I42" s="301" t="str">
        <f>Table22[[#This Row],[Acute RA IESTI new label]]</f>
        <v/>
      </c>
      <c r="J42" s="65"/>
      <c r="K42" s="304">
        <f>Table22[[#This Row],[GAP under assessment]]</f>
        <v>0</v>
      </c>
      <c r="L42" s="304" t="str">
        <f>IF(input_values!$M42=0,"",input_values!$M42)</f>
        <v/>
      </c>
      <c r="M42" s="301" t="str">
        <f>IF(input_values!H42=0,"",input_values!H42)</f>
        <v/>
      </c>
      <c r="N42" s="304">
        <f>input_values!$K42</f>
        <v>0</v>
      </c>
      <c r="O42" s="326">
        <f>10</f>
        <v>10</v>
      </c>
      <c r="P42" s="22">
        <v>97.5</v>
      </c>
      <c r="Q42" s="327" t="s">
        <v>334</v>
      </c>
      <c r="R42" s="326">
        <v>67.47</v>
      </c>
      <c r="S42" s="328">
        <f t="shared" si="4"/>
        <v>674.7</v>
      </c>
      <c r="T42" s="338" t="s">
        <v>617</v>
      </c>
      <c r="U42" s="339" t="s">
        <v>215</v>
      </c>
      <c r="V42" s="338" t="s">
        <v>617</v>
      </c>
      <c r="W42" s="339" t="s">
        <v>215</v>
      </c>
      <c r="X42" s="1464">
        <f>IF(V42="ND","ND",IF(S42="","",IF(OR(MID(C42,1,4)="milk",AND(MID(B42,1,2)="50",NOT(input_values!M42="Y")),AND(MID(B42,1,2)="40",NOT(input_values!M42="Y")),AND(MID(B42,1,2)="30",NOT(input_values!M42="Y"))),3,IF(OR(V42="&lt;25",B42&gt;1000000),1,IF((T42&gt;=S42),"2b","2a")))))</f>
        <v>1</v>
      </c>
      <c r="Y42" s="22">
        <f>IF(X42="ND","ND",IF(S42="","",IF(input_values!K42&gt;0,input_values!K42,IF(OR(X42=1,X42=3),1,IF((V42&gt;250),5,7)))))</f>
        <v>1</v>
      </c>
      <c r="Z42" s="330" t="str">
        <f t="shared" si="0"/>
        <v/>
      </c>
      <c r="AA42" s="331">
        <f t="shared" si="1"/>
        <v>0</v>
      </c>
      <c r="AB42" s="128">
        <f t="shared" si="5"/>
        <v>1</v>
      </c>
      <c r="AC42" s="330" t="str">
        <f t="shared" si="6"/>
        <v/>
      </c>
      <c r="AD42" s="332">
        <f t="shared" si="2"/>
        <v>0</v>
      </c>
      <c r="AE42" s="333" t="str">
        <f t="shared" si="7"/>
        <v/>
      </c>
      <c r="AF42" s="333" t="str">
        <f t="shared" si="8"/>
        <v/>
      </c>
      <c r="AG42" s="561" t="str">
        <f t="shared" si="3"/>
        <v/>
      </c>
      <c r="AH42" s="561" t="str">
        <f t="shared" si="9"/>
        <v/>
      </c>
      <c r="AI42" s="576"/>
      <c r="AJ42" s="847"/>
    </row>
    <row r="43" spans="1:36" ht="12" customHeight="1" outlineLevel="3" x14ac:dyDescent="0.2">
      <c r="A43" s="39">
        <f>acute_overview_children!A43</f>
        <v>4</v>
      </c>
      <c r="B43" s="23">
        <f>acute_overview_children!B43</f>
        <v>140030</v>
      </c>
      <c r="C43" s="23" t="s">
        <v>117</v>
      </c>
      <c r="D43" s="300">
        <f>Table22[[#This Row],[Level used for acute calculation]]</f>
        <v>4</v>
      </c>
      <c r="E43" s="302">
        <f>Table22[[#This Row],[MRL individual commodity]]</f>
        <v>0</v>
      </c>
      <c r="F43" s="451">
        <f>Table22[[#This Row],[Acute RA input value]]</f>
        <v>0</v>
      </c>
      <c r="G43" s="301" t="str">
        <f>Table22[[#This Row],[Acute RA label]]</f>
        <v/>
      </c>
      <c r="H43" s="303">
        <f>Table22[[#This Row],[Acute RA IESTI new input value]]</f>
        <v>0</v>
      </c>
      <c r="I43" s="301" t="str">
        <f>Table22[[#This Row],[Acute RA IESTI new label]]</f>
        <v/>
      </c>
      <c r="J43" s="65"/>
      <c r="K43" s="304">
        <f>Table22[[#This Row],[GAP under assessment]]</f>
        <v>0</v>
      </c>
      <c r="L43" s="304" t="str">
        <f>IF(input_values!$M43=0,"",input_values!$M43)</f>
        <v/>
      </c>
      <c r="M43" s="301" t="str">
        <f>IF(input_values!H43=0,"",input_values!H43)</f>
        <v/>
      </c>
      <c r="N43" s="304">
        <f>input_values!$K43</f>
        <v>0</v>
      </c>
      <c r="O43" s="326">
        <v>6.7887537993920972</v>
      </c>
      <c r="P43" s="22" t="s">
        <v>328</v>
      </c>
      <c r="Q43" s="327" t="s">
        <v>99</v>
      </c>
      <c r="R43" s="326">
        <v>65.8</v>
      </c>
      <c r="S43" s="328">
        <f t="shared" si="4"/>
        <v>446.7</v>
      </c>
      <c r="T43" s="328">
        <v>130.94999999999999</v>
      </c>
      <c r="U43" s="326" t="s">
        <v>215</v>
      </c>
      <c r="V43" s="328">
        <v>135</v>
      </c>
      <c r="W43" s="326" t="s">
        <v>215</v>
      </c>
      <c r="X43" s="1464" t="str">
        <f>IF(V43="ND","ND",IF(S43="","",IF(OR(MID(C43,1,4)="milk",AND(MID(B43,1,2)="50",NOT(input_values!M43="Y")),AND(MID(B43,1,2)="40",NOT(input_values!M43="Y")),AND(MID(B43,1,2)="30",NOT(input_values!M43="Y"))),3,IF(OR(V43="&lt;25",B43&gt;1000000),1,IF((T43&gt;=S43),"2b","2a")))))</f>
        <v>2a</v>
      </c>
      <c r="Y43" s="22">
        <f>IF(X43="ND","ND",IF(S43="","",IF(input_values!K43&gt;0,input_values!K43,IF(OR(X43=1,X43=3),1,IF((V43&gt;250),5,7)))))</f>
        <v>7</v>
      </c>
      <c r="Z43" s="330" t="str">
        <f t="shared" si="0"/>
        <v/>
      </c>
      <c r="AA43" s="331">
        <f t="shared" si="1"/>
        <v>0</v>
      </c>
      <c r="AB43" s="128">
        <f t="shared" si="5"/>
        <v>3</v>
      </c>
      <c r="AC43" s="330" t="str">
        <f t="shared" si="6"/>
        <v/>
      </c>
      <c r="AD43" s="332">
        <f t="shared" si="2"/>
        <v>0</v>
      </c>
      <c r="AE43" s="333" t="str">
        <f t="shared" si="7"/>
        <v/>
      </c>
      <c r="AF43" s="333" t="str">
        <f t="shared" si="8"/>
        <v/>
      </c>
      <c r="AG43" s="561" t="str">
        <f t="shared" si="3"/>
        <v/>
      </c>
      <c r="AH43" s="561" t="str">
        <f t="shared" si="9"/>
        <v/>
      </c>
      <c r="AI43" s="576"/>
      <c r="AJ43" s="847"/>
    </row>
    <row r="44" spans="1:36" ht="12" customHeight="1" outlineLevel="3" x14ac:dyDescent="0.2">
      <c r="A44" s="39">
        <f>acute_overview_children!A44</f>
        <v>4</v>
      </c>
      <c r="B44" s="23">
        <f>acute_overview_children!B44</f>
        <v>140040</v>
      </c>
      <c r="C44" s="23" t="s">
        <v>118</v>
      </c>
      <c r="D44" s="300">
        <f>Table22[[#This Row],[Level used for acute calculation]]</f>
        <v>4</v>
      </c>
      <c r="E44" s="302">
        <f>Table22[[#This Row],[MRL individual commodity]]</f>
        <v>0</v>
      </c>
      <c r="F44" s="451">
        <f>Table22[[#This Row],[Acute RA input value]]</f>
        <v>0</v>
      </c>
      <c r="G44" s="301" t="str">
        <f>Table22[[#This Row],[Acute RA label]]</f>
        <v/>
      </c>
      <c r="H44" s="303">
        <f>Table22[[#This Row],[Acute RA IESTI new input value]]</f>
        <v>0</v>
      </c>
      <c r="I44" s="301" t="str">
        <f>Table22[[#This Row],[Acute RA IESTI new label]]</f>
        <v/>
      </c>
      <c r="J44" s="65"/>
      <c r="K44" s="304">
        <f>Table22[[#This Row],[GAP under assessment]]</f>
        <v>0</v>
      </c>
      <c r="L44" s="304" t="str">
        <f>IF(input_values!$M44=0,"",input_values!$M44)</f>
        <v/>
      </c>
      <c r="M44" s="301" t="str">
        <f>IF(input_values!H44=0,"",input_values!H44)</f>
        <v/>
      </c>
      <c r="N44" s="304">
        <f>input_values!$K44</f>
        <v>0</v>
      </c>
      <c r="O44" s="326">
        <v>13.03</v>
      </c>
      <c r="P44" s="22">
        <v>97.5</v>
      </c>
      <c r="Q44" s="327" t="s">
        <v>334</v>
      </c>
      <c r="R44" s="326">
        <v>67.47</v>
      </c>
      <c r="S44" s="328">
        <f t="shared" si="4"/>
        <v>879.13409999999999</v>
      </c>
      <c r="T44" s="328">
        <v>53.8</v>
      </c>
      <c r="U44" s="326" t="s">
        <v>40</v>
      </c>
      <c r="V44" s="328">
        <v>76</v>
      </c>
      <c r="W44" s="326" t="s">
        <v>40</v>
      </c>
      <c r="X44" s="1464" t="str">
        <f>IF(V44="ND","ND",IF(S44="","",IF(OR(MID(C44,1,4)="milk",AND(MID(B44,1,2)="50",NOT(input_values!M44="Y")),AND(MID(B44,1,2)="40",NOT(input_values!M44="Y")),AND(MID(B44,1,2)="30",NOT(input_values!M44="Y"))),3,IF(OR(V44="&lt;25",B44&gt;1000000),1,IF((T44&gt;=S44),"2b","2a")))))</f>
        <v>2a</v>
      </c>
      <c r="Y44" s="22">
        <f>IF(X44="ND","ND",IF(S44="","",IF(input_values!K44&gt;0,input_values!K44,IF(OR(X44=1,X44=3),1,IF((V44&gt;250),5,7)))))</f>
        <v>7</v>
      </c>
      <c r="Z44" s="330" t="str">
        <f t="shared" si="0"/>
        <v/>
      </c>
      <c r="AA44" s="331">
        <f t="shared" si="1"/>
        <v>0</v>
      </c>
      <c r="AB44" s="128">
        <f t="shared" si="5"/>
        <v>3</v>
      </c>
      <c r="AC44" s="330" t="str">
        <f t="shared" si="6"/>
        <v/>
      </c>
      <c r="AD44" s="332">
        <f t="shared" si="2"/>
        <v>0</v>
      </c>
      <c r="AE44" s="333" t="str">
        <f t="shared" si="7"/>
        <v/>
      </c>
      <c r="AF44" s="333" t="str">
        <f t="shared" si="8"/>
        <v/>
      </c>
      <c r="AG44" s="561" t="str">
        <f t="shared" si="3"/>
        <v/>
      </c>
      <c r="AH44" s="561" t="str">
        <f t="shared" si="9"/>
        <v/>
      </c>
      <c r="AI44" s="576"/>
      <c r="AJ44" s="847"/>
    </row>
    <row r="45" spans="1:36" ht="12" customHeight="1" outlineLevel="3" x14ac:dyDescent="0.2">
      <c r="A45" s="39">
        <f>acute_overview_children!A45</f>
        <v>4</v>
      </c>
      <c r="B45" s="23">
        <f>acute_overview_children!B45</f>
        <v>140990</v>
      </c>
      <c r="C45" s="23" t="s">
        <v>50</v>
      </c>
      <c r="D45" s="300">
        <f>Table22[[#This Row],[Level used for acute calculation]]</f>
        <v>0</v>
      </c>
      <c r="E45" s="302">
        <f>Table22[[#This Row],[MRL individual commodity]]</f>
        <v>0</v>
      </c>
      <c r="F45" s="451">
        <f>Table22[[#This Row],[Acute RA input value]]</f>
        <v>0</v>
      </c>
      <c r="G45" s="301">
        <f>Table22[[#This Row],[Acute RA label]]</f>
        <v>0</v>
      </c>
      <c r="H45" s="303">
        <f>Table22[[#This Row],[Acute RA IESTI new input value]]</f>
        <v>0</v>
      </c>
      <c r="I45" s="301">
        <f>Table22[[#This Row],[Acute RA IESTI new label]]</f>
        <v>0</v>
      </c>
      <c r="J45" s="65"/>
      <c r="K45" s="304">
        <f>Table22[[#This Row],[GAP under assessment]]</f>
        <v>0</v>
      </c>
      <c r="L45" s="304" t="str">
        <f>IF(input_values!$M45=0,"",input_values!$M45)</f>
        <v/>
      </c>
      <c r="M45" s="301" t="str">
        <f>IF(input_values!H45=0,"",input_values!H45)</f>
        <v/>
      </c>
      <c r="N45" s="304">
        <f>input_values!$K45</f>
        <v>0</v>
      </c>
      <c r="O45" s="305"/>
      <c r="P45" s="38"/>
      <c r="Q45" s="306"/>
      <c r="R45" s="309"/>
      <c r="S45" s="336" t="str">
        <f t="shared" si="4"/>
        <v/>
      </c>
      <c r="T45" s="305"/>
      <c r="U45" s="309"/>
      <c r="V45" s="305"/>
      <c r="W45" s="309"/>
      <c r="X45" s="611" t="str">
        <f>IF(V45="ND","ND",IF(S45="","",IF(OR(MID(C45,1,4)="milk",AND(MID(B45,1,2)="50",NOT(input_values!M45="Y")),AND(MID(B45,1,2)="40",NOT(input_values!M45="Y")),AND(MID(B45,1,2)="30",NOT(input_values!M45="Y"))),3,IF(OR(V45="&lt;25",B45&gt;1000000),1,IF((T45&gt;=S45),"2b","2a")))))</f>
        <v/>
      </c>
      <c r="Y45" s="38" t="str">
        <f>IF(X45="ND","ND",IF(S45="","",IF(input_values!K45&gt;0,input_values!K45,IF(OR(X45=1,X45=3),1,IF((V45&gt;250),5,7)))))</f>
        <v/>
      </c>
      <c r="Z45" s="310" t="str">
        <f t="shared" si="0"/>
        <v/>
      </c>
      <c r="AA45" s="311">
        <f t="shared" si="1"/>
        <v>0</v>
      </c>
      <c r="AB45" s="38" t="str">
        <f t="shared" si="5"/>
        <v/>
      </c>
      <c r="AC45" s="310" t="str">
        <f t="shared" si="6"/>
        <v/>
      </c>
      <c r="AD45" s="311">
        <f t="shared" si="2"/>
        <v>0</v>
      </c>
      <c r="AE45" s="312" t="str">
        <f t="shared" si="7"/>
        <v/>
      </c>
      <c r="AF45" s="312" t="str">
        <f t="shared" si="8"/>
        <v/>
      </c>
      <c r="AG45" s="561" t="str">
        <f t="shared" si="3"/>
        <v/>
      </c>
      <c r="AH45" s="561" t="str">
        <f t="shared" si="9"/>
        <v/>
      </c>
      <c r="AI45" s="576"/>
      <c r="AJ45" s="847"/>
    </row>
    <row r="46" spans="1:36" outlineLevel="1" x14ac:dyDescent="0.2">
      <c r="A46" s="130">
        <f>acute_overview_children!A46</f>
        <v>2</v>
      </c>
      <c r="B46" s="131">
        <f>acute_overview_children!B46</f>
        <v>150000</v>
      </c>
      <c r="C46" s="131" t="s">
        <v>216</v>
      </c>
      <c r="D46" s="300">
        <f>Table22[[#This Row],[Level used for acute calculation]]</f>
        <v>4</v>
      </c>
      <c r="E46" s="302">
        <f>Table22[[#This Row],[MRL individual commodity]]</f>
        <v>0</v>
      </c>
      <c r="F46" s="451">
        <f>Table22[[#This Row],[Acute RA input value]]</f>
        <v>0</v>
      </c>
      <c r="G46" s="301">
        <f>Table22[[#This Row],[Acute RA label]]</f>
        <v>0</v>
      </c>
      <c r="H46" s="303">
        <f>Table22[[#This Row],[Acute RA IESTI new input value]]</f>
        <v>0</v>
      </c>
      <c r="I46" s="301">
        <f>Table22[[#This Row],[Acute RA IESTI new label]]</f>
        <v>0</v>
      </c>
      <c r="J46" s="65"/>
      <c r="K46" s="304">
        <f>Table22[[#This Row],[GAP under assessment]]</f>
        <v>0</v>
      </c>
      <c r="L46" s="304" t="str">
        <f>IF(input_values!$M46=0,"",input_values!$M46)</f>
        <v/>
      </c>
      <c r="M46" s="301" t="str">
        <f>IF(input_values!H46=0,"",input_values!H46)</f>
        <v/>
      </c>
      <c r="N46" s="304">
        <f>input_values!$K46</f>
        <v>0</v>
      </c>
      <c r="O46" s="305"/>
      <c r="P46" s="38"/>
      <c r="Q46" s="306"/>
      <c r="R46" s="309"/>
      <c r="S46" s="336" t="str">
        <f t="shared" si="4"/>
        <v/>
      </c>
      <c r="T46" s="315"/>
      <c r="U46" s="320"/>
      <c r="V46" s="315"/>
      <c r="W46" s="320"/>
      <c r="X46" s="611" t="str">
        <f>IF(V46="ND","ND",IF(S46="","",IF(OR(MID(C46,1,4)="milk",AND(MID(B46,1,2)="50",NOT(input_values!M46="Y")),AND(MID(B46,1,2)="40",NOT(input_values!M46="Y")),AND(MID(B46,1,2)="30",NOT(input_values!M46="Y"))),3,IF(OR(V46="&lt;25",B46&gt;1000000),1,IF((T46&gt;=S46),"2b","2a")))))</f>
        <v/>
      </c>
      <c r="Y46" s="38" t="str">
        <f>IF(X46="ND","ND",IF(S46="","",IF(input_values!K46&gt;0,input_values!K46,IF(OR(X46=1,X46=3),1,IF((V46&gt;250),5,7)))))</f>
        <v/>
      </c>
      <c r="Z46" s="310" t="str">
        <f t="shared" si="0"/>
        <v/>
      </c>
      <c r="AA46" s="311">
        <f t="shared" si="1"/>
        <v>0</v>
      </c>
      <c r="AB46" s="38" t="str">
        <f t="shared" si="5"/>
        <v/>
      </c>
      <c r="AC46" s="310" t="str">
        <f t="shared" si="6"/>
        <v/>
      </c>
      <c r="AD46" s="311">
        <f t="shared" si="2"/>
        <v>0</v>
      </c>
      <c r="AE46" s="312" t="str">
        <f t="shared" si="7"/>
        <v/>
      </c>
      <c r="AF46" s="312" t="str">
        <f t="shared" si="8"/>
        <v/>
      </c>
      <c r="AG46" s="561" t="str">
        <f t="shared" si="3"/>
        <v/>
      </c>
      <c r="AH46" s="561" t="str">
        <f t="shared" si="9"/>
        <v/>
      </c>
      <c r="AI46" s="576"/>
      <c r="AJ46" s="847"/>
    </row>
    <row r="47" spans="1:36" outlineLevel="2" x14ac:dyDescent="0.2">
      <c r="A47" s="132">
        <f>acute_overview_children!A47</f>
        <v>3</v>
      </c>
      <c r="B47" s="3">
        <f>acute_overview_children!B47</f>
        <v>151000</v>
      </c>
      <c r="C47" s="3" t="s">
        <v>217</v>
      </c>
      <c r="D47" s="300">
        <f>Table22[[#This Row],[Level used for acute calculation]]</f>
        <v>4</v>
      </c>
      <c r="E47" s="302">
        <f>Table22[[#This Row],[MRL individual commodity]]</f>
        <v>0</v>
      </c>
      <c r="F47" s="451">
        <f>Table22[[#This Row],[Acute RA input value]]</f>
        <v>0</v>
      </c>
      <c r="G47" s="301">
        <f>Table22[[#This Row],[Acute RA label]]</f>
        <v>0</v>
      </c>
      <c r="H47" s="303">
        <f>Table22[[#This Row],[Acute RA IESTI new input value]]</f>
        <v>0</v>
      </c>
      <c r="I47" s="301">
        <f>Table22[[#This Row],[Acute RA IESTI new label]]</f>
        <v>0</v>
      </c>
      <c r="J47" s="65"/>
      <c r="K47" s="304">
        <f>Table22[[#This Row],[GAP under assessment]]</f>
        <v>0</v>
      </c>
      <c r="L47" s="304" t="str">
        <f>IF(input_values!$M47=0,"",input_values!$M47)</f>
        <v/>
      </c>
      <c r="M47" s="301" t="str">
        <f>IF(input_values!H47=0,"",input_values!H47)</f>
        <v/>
      </c>
      <c r="N47" s="304">
        <f>input_values!$K47</f>
        <v>0</v>
      </c>
      <c r="O47" s="305"/>
      <c r="P47" s="38"/>
      <c r="Q47" s="306"/>
      <c r="R47" s="309"/>
      <c r="S47" s="336" t="str">
        <f t="shared" si="4"/>
        <v/>
      </c>
      <c r="T47" s="342"/>
      <c r="U47" s="343"/>
      <c r="V47" s="342"/>
      <c r="W47" s="343"/>
      <c r="X47" s="611" t="str">
        <f>IF(V47="ND","ND",IF(S47="","",IF(OR(MID(C47,1,4)="milk",AND(MID(B47,1,2)="50",NOT(input_values!M47="Y")),AND(MID(B47,1,2)="40",NOT(input_values!M47="Y")),AND(MID(B47,1,2)="30",NOT(input_values!M47="Y"))),3,IF(OR(V47="&lt;25",B47&gt;1000000),1,IF((T47&gt;=S47),"2b","2a")))))</f>
        <v/>
      </c>
      <c r="Y47" s="38" t="str">
        <f>IF(X47="ND","ND",IF(S47="","",IF(input_values!K47&gt;0,input_values!K47,IF(OR(X47=1,X47=3),1,IF((V47&gt;250),5,7)))))</f>
        <v/>
      </c>
      <c r="Z47" s="310" t="str">
        <f t="shared" si="0"/>
        <v/>
      </c>
      <c r="AA47" s="311">
        <f t="shared" si="1"/>
        <v>0</v>
      </c>
      <c r="AB47" s="38" t="str">
        <f t="shared" si="5"/>
        <v/>
      </c>
      <c r="AC47" s="310" t="str">
        <f t="shared" si="6"/>
        <v/>
      </c>
      <c r="AD47" s="311">
        <f t="shared" si="2"/>
        <v>0</v>
      </c>
      <c r="AE47" s="312" t="str">
        <f t="shared" si="7"/>
        <v/>
      </c>
      <c r="AF47" s="312" t="str">
        <f t="shared" si="8"/>
        <v/>
      </c>
      <c r="AG47" s="561" t="str">
        <f t="shared" si="3"/>
        <v/>
      </c>
      <c r="AH47" s="561" t="str">
        <f t="shared" si="9"/>
        <v/>
      </c>
      <c r="AI47" s="576"/>
      <c r="AJ47" s="847"/>
    </row>
    <row r="48" spans="1:36" ht="12" customHeight="1" outlineLevel="3" x14ac:dyDescent="0.2">
      <c r="A48" s="39">
        <f>acute_overview_children!A48</f>
        <v>4</v>
      </c>
      <c r="B48" s="23">
        <f>acute_overview_children!B48</f>
        <v>151010</v>
      </c>
      <c r="C48" s="23" t="s">
        <v>119</v>
      </c>
      <c r="D48" s="300">
        <f>Table22[[#This Row],[Level used for acute calculation]]</f>
        <v>4</v>
      </c>
      <c r="E48" s="302">
        <f>Table22[[#This Row],[MRL individual commodity]]</f>
        <v>0</v>
      </c>
      <c r="F48" s="451">
        <f>Table22[[#This Row],[Acute RA input value]]</f>
        <v>0</v>
      </c>
      <c r="G48" s="301" t="str">
        <f>Table22[[#This Row],[Acute RA label]]</f>
        <v/>
      </c>
      <c r="H48" s="303">
        <f>Table22[[#This Row],[Acute RA IESTI new input value]]</f>
        <v>0</v>
      </c>
      <c r="I48" s="301" t="str">
        <f>Table22[[#This Row],[Acute RA IESTI new label]]</f>
        <v/>
      </c>
      <c r="J48" s="65"/>
      <c r="K48" s="304">
        <f>Table22[[#This Row],[GAP under assessment]]</f>
        <v>0</v>
      </c>
      <c r="L48" s="304" t="str">
        <f>IF(input_values!$M48=0,"",input_values!$M48)</f>
        <v/>
      </c>
      <c r="M48" s="301" t="str">
        <f>IF(input_values!H48=0,"",input_values!H48)</f>
        <v/>
      </c>
      <c r="N48" s="304">
        <f>input_values!$K48</f>
        <v>0</v>
      </c>
      <c r="O48" s="326">
        <v>6.7826747720364748</v>
      </c>
      <c r="P48" s="22" t="s">
        <v>328</v>
      </c>
      <c r="Q48" s="327" t="s">
        <v>99</v>
      </c>
      <c r="R48" s="326">
        <v>65.8</v>
      </c>
      <c r="S48" s="328">
        <f t="shared" si="4"/>
        <v>446.3</v>
      </c>
      <c r="T48" s="328">
        <v>500</v>
      </c>
      <c r="U48" s="326" t="s">
        <v>45</v>
      </c>
      <c r="V48" s="328">
        <v>500</v>
      </c>
      <c r="W48" s="326" t="s">
        <v>45</v>
      </c>
      <c r="X48" s="1464" t="str">
        <f>IF(V48="ND","ND",IF(S48="","",IF(OR(MID(C48,1,4)="milk",AND(MID(B48,1,2)="50",NOT(input_values!M48="Y")),AND(MID(B48,1,2)="40",NOT(input_values!M48="Y")),AND(MID(B48,1,2)="30",NOT(input_values!M48="Y"))),3,IF(OR(V48="&lt;25",B48&gt;1000000),1,IF((T48&gt;=S48),"2b","2a")))))</f>
        <v>2b</v>
      </c>
      <c r="Y48" s="22">
        <f>IF(X48="ND","ND",IF(S48="","",IF(input_values!K48&gt;0,input_values!K48,IF(OR(X48=1,X48=3),1,IF((V48&gt;250),5,7)))))</f>
        <v>5</v>
      </c>
      <c r="Z48" s="330" t="str">
        <f t="shared" si="0"/>
        <v/>
      </c>
      <c r="AA48" s="331">
        <f t="shared" si="1"/>
        <v>0</v>
      </c>
      <c r="AB48" s="128">
        <f t="shared" si="5"/>
        <v>3</v>
      </c>
      <c r="AC48" s="330" t="str">
        <f t="shared" si="6"/>
        <v/>
      </c>
      <c r="AD48" s="332">
        <f t="shared" si="2"/>
        <v>0</v>
      </c>
      <c r="AE48" s="333" t="str">
        <f t="shared" si="7"/>
        <v/>
      </c>
      <c r="AF48" s="333" t="str">
        <f t="shared" si="8"/>
        <v/>
      </c>
      <c r="AG48" s="561" t="str">
        <f t="shared" si="3"/>
        <v/>
      </c>
      <c r="AH48" s="561" t="str">
        <f t="shared" si="9"/>
        <v/>
      </c>
      <c r="AI48" s="576"/>
      <c r="AJ48" s="847"/>
    </row>
    <row r="49" spans="1:36" ht="12" customHeight="1" outlineLevel="3" x14ac:dyDescent="0.2">
      <c r="A49" s="39">
        <f>acute_overview_children!A49</f>
        <v>4</v>
      </c>
      <c r="B49" s="23">
        <f>acute_overview_children!B49</f>
        <v>151020</v>
      </c>
      <c r="C49" s="23" t="s">
        <v>120</v>
      </c>
      <c r="D49" s="300">
        <f>Table22[[#This Row],[Level used for acute calculation]]</f>
        <v>4</v>
      </c>
      <c r="E49" s="302">
        <f>Table22[[#This Row],[MRL individual commodity]]</f>
        <v>0</v>
      </c>
      <c r="F49" s="451">
        <f>Table22[[#This Row],[Acute RA input value]]</f>
        <v>0</v>
      </c>
      <c r="G49" s="301" t="str">
        <f>Table22[[#This Row],[Acute RA label]]</f>
        <v/>
      </c>
      <c r="H49" s="303">
        <f>Table22[[#This Row],[Acute RA IESTI new input value]]</f>
        <v>0</v>
      </c>
      <c r="I49" s="301" t="str">
        <f>Table22[[#This Row],[Acute RA IESTI new label]]</f>
        <v/>
      </c>
      <c r="J49" s="65"/>
      <c r="K49" s="304">
        <f>Table22[[#This Row],[GAP under assessment]]</f>
        <v>0</v>
      </c>
      <c r="L49" s="304" t="str">
        <f>IF(input_values!$M49=0,"",input_values!$M49)</f>
        <v/>
      </c>
      <c r="M49" s="301" t="str">
        <f>IF(input_values!H49=0,"",input_values!H49)</f>
        <v/>
      </c>
      <c r="N49" s="304">
        <f>input_values!$K49</f>
        <v>0</v>
      </c>
      <c r="O49" s="326">
        <v>23.718644736842105</v>
      </c>
      <c r="P49" s="22">
        <v>97.5</v>
      </c>
      <c r="Q49" s="327" t="s">
        <v>105</v>
      </c>
      <c r="R49" s="326">
        <v>76</v>
      </c>
      <c r="S49" s="328">
        <f t="shared" si="4"/>
        <v>1802.617</v>
      </c>
      <c r="T49" s="338" t="s">
        <v>617</v>
      </c>
      <c r="U49" s="339" t="s">
        <v>215</v>
      </c>
      <c r="V49" s="338" t="s">
        <v>617</v>
      </c>
      <c r="W49" s="339" t="s">
        <v>215</v>
      </c>
      <c r="X49" s="1464">
        <f>IF(V49="ND","ND",IF(S49="","",IF(OR(MID(C49,1,4)="milk",AND(MID(B49,1,2)="50",NOT(input_values!M49="Y")),AND(MID(B49,1,2)="40",NOT(input_values!M49="Y")),AND(MID(B49,1,2)="30",NOT(input_values!M49="Y"))),3,IF(OR(V49="&lt;25",B49&gt;1000000),1,IF((T49&gt;=S49),"2b","2a")))))</f>
        <v>1</v>
      </c>
      <c r="Y49" s="22">
        <f>IF(X49="ND","ND",IF(S49="","",IF(input_values!K49&gt;0,input_values!K49,IF(OR(X49=1,X49=3),1,IF((V49&gt;250),5,7)))))</f>
        <v>1</v>
      </c>
      <c r="Z49" s="330" t="str">
        <f t="shared" si="0"/>
        <v/>
      </c>
      <c r="AA49" s="331">
        <f t="shared" si="1"/>
        <v>0</v>
      </c>
      <c r="AB49" s="128">
        <f t="shared" si="5"/>
        <v>1</v>
      </c>
      <c r="AC49" s="330" t="str">
        <f t="shared" si="6"/>
        <v/>
      </c>
      <c r="AD49" s="332">
        <f t="shared" si="2"/>
        <v>0</v>
      </c>
      <c r="AE49" s="333" t="str">
        <f t="shared" si="7"/>
        <v/>
      </c>
      <c r="AF49" s="333" t="str">
        <f t="shared" si="8"/>
        <v/>
      </c>
      <c r="AG49" s="561" t="str">
        <f t="shared" si="3"/>
        <v/>
      </c>
      <c r="AH49" s="561" t="str">
        <f t="shared" si="9"/>
        <v/>
      </c>
      <c r="AI49" s="576"/>
      <c r="AJ49" s="847"/>
    </row>
    <row r="50" spans="1:36" ht="24" outlineLevel="2" x14ac:dyDescent="0.2">
      <c r="A50" s="132">
        <f>acute_overview_children!A50</f>
        <v>3</v>
      </c>
      <c r="B50" s="3">
        <f>acute_overview_children!B50</f>
        <v>152000</v>
      </c>
      <c r="C50" s="3" t="s">
        <v>218</v>
      </c>
      <c r="D50" s="300">
        <f>Table22[[#This Row],[Level used for acute calculation]]</f>
        <v>3</v>
      </c>
      <c r="E50" s="302">
        <f>Table22[[#This Row],[MRL individual commodity]]</f>
        <v>0</v>
      </c>
      <c r="F50" s="451">
        <f>Table22[[#This Row],[Acute RA input value]]</f>
        <v>0</v>
      </c>
      <c r="G50" s="301" t="str">
        <f>Table22[[#This Row],[Acute RA label]]</f>
        <v/>
      </c>
      <c r="H50" s="303">
        <f>Table22[[#This Row],[Acute RA IESTI new input value]]</f>
        <v>0</v>
      </c>
      <c r="I50" s="301" t="str">
        <f>Table22[[#This Row],[Acute RA IESTI new label]]</f>
        <v/>
      </c>
      <c r="J50" s="65"/>
      <c r="K50" s="304">
        <f>Table22[[#This Row],[GAP under assessment]]</f>
        <v>0</v>
      </c>
      <c r="L50" s="304" t="str">
        <f>IF(input_values!$M50=0,"",input_values!$M50)</f>
        <v/>
      </c>
      <c r="M50" s="301" t="str">
        <f>IF(input_values!H50=0,"",input_values!H50)</f>
        <v/>
      </c>
      <c r="N50" s="304">
        <f>input_values!$K50</f>
        <v>0</v>
      </c>
      <c r="O50" s="326">
        <f>10.6*0.88</f>
        <v>9.3279999999999994</v>
      </c>
      <c r="P50" s="22">
        <v>97.5</v>
      </c>
      <c r="Q50" s="327" t="s">
        <v>334</v>
      </c>
      <c r="R50" s="326">
        <v>67.47</v>
      </c>
      <c r="S50" s="328">
        <f t="shared" si="4"/>
        <v>629.36015999999995</v>
      </c>
      <c r="T50" s="338" t="s">
        <v>617</v>
      </c>
      <c r="U50" s="339" t="s">
        <v>215</v>
      </c>
      <c r="V50" s="338" t="s">
        <v>617</v>
      </c>
      <c r="W50" s="339" t="s">
        <v>215</v>
      </c>
      <c r="X50" s="1464">
        <f>IF(V50="ND","ND",IF(S50="","",IF(OR(MID(C50,1,4)="milk",AND(MID(B50,1,2)="50",NOT(input_values!M50="Y")),AND(MID(B50,1,2)="40",NOT(input_values!M50="Y")),AND(MID(B50,1,2)="30",NOT(input_values!M50="Y"))),3,IF(OR(V50="&lt;25",B50&gt;1000000),1,IF((T50&gt;=S50),"2b","2a")))))</f>
        <v>1</v>
      </c>
      <c r="Y50" s="22">
        <f>IF(X50="ND","ND",IF(S50="","",IF(input_values!K50&gt;0,input_values!K50,IF(OR(X50=1,X50=3),1,IF((V50&gt;250),5,7)))))</f>
        <v>1</v>
      </c>
      <c r="Z50" s="330" t="str">
        <f t="shared" si="0"/>
        <v/>
      </c>
      <c r="AA50" s="331">
        <f t="shared" si="1"/>
        <v>0</v>
      </c>
      <c r="AB50" s="128">
        <f t="shared" si="5"/>
        <v>1</v>
      </c>
      <c r="AC50" s="330" t="str">
        <f t="shared" si="6"/>
        <v/>
      </c>
      <c r="AD50" s="332">
        <f t="shared" si="2"/>
        <v>0</v>
      </c>
      <c r="AE50" s="333" t="str">
        <f t="shared" si="7"/>
        <v/>
      </c>
      <c r="AF50" s="333" t="str">
        <f t="shared" si="8"/>
        <v/>
      </c>
      <c r="AG50" s="561" t="str">
        <f t="shared" si="3"/>
        <v/>
      </c>
      <c r="AH50" s="561" t="str">
        <f t="shared" si="9"/>
        <v/>
      </c>
      <c r="AI50" s="576"/>
      <c r="AJ50" s="847"/>
    </row>
    <row r="51" spans="1:36" outlineLevel="2" x14ac:dyDescent="0.2">
      <c r="A51" s="132">
        <f>acute_overview_children!A51</f>
        <v>3</v>
      </c>
      <c r="B51" s="3">
        <f>acute_overview_children!B51</f>
        <v>153000</v>
      </c>
      <c r="C51" s="3" t="s">
        <v>219</v>
      </c>
      <c r="D51" s="300">
        <f>Table22[[#This Row],[Level used for acute calculation]]</f>
        <v>4</v>
      </c>
      <c r="E51" s="302">
        <f>Table22[[#This Row],[MRL individual commodity]]</f>
        <v>0</v>
      </c>
      <c r="F51" s="451">
        <f>Table22[[#This Row],[Acute RA input value]]</f>
        <v>0</v>
      </c>
      <c r="G51" s="301">
        <f>Table22[[#This Row],[Acute RA label]]</f>
        <v>0</v>
      </c>
      <c r="H51" s="303">
        <f>Table22[[#This Row],[Acute RA IESTI new input value]]</f>
        <v>0</v>
      </c>
      <c r="I51" s="301">
        <f>Table22[[#This Row],[Acute RA IESTI new label]]</f>
        <v>0</v>
      </c>
      <c r="J51" s="65"/>
      <c r="K51" s="304">
        <f>Table22[[#This Row],[GAP under assessment]]</f>
        <v>0</v>
      </c>
      <c r="L51" s="304" t="str">
        <f>IF(input_values!$M51=0,"",input_values!$M51)</f>
        <v/>
      </c>
      <c r="M51" s="301" t="str">
        <f>IF(input_values!H51=0,"",input_values!H51)</f>
        <v/>
      </c>
      <c r="N51" s="304">
        <f>input_values!$K51</f>
        <v>0</v>
      </c>
      <c r="O51" s="305"/>
      <c r="P51" s="38"/>
      <c r="Q51" s="306"/>
      <c r="R51" s="309"/>
      <c r="S51" s="336" t="str">
        <f t="shared" si="4"/>
        <v/>
      </c>
      <c r="T51" s="342"/>
      <c r="U51" s="343"/>
      <c r="V51" s="342"/>
      <c r="W51" s="343"/>
      <c r="X51" s="611" t="str">
        <f>IF(V51="ND","ND",IF(S51="","",IF(OR(MID(C51,1,4)="milk",AND(MID(B51,1,2)="50",NOT(input_values!M51="Y")),AND(MID(B51,1,2)="40",NOT(input_values!M51="Y")),AND(MID(B51,1,2)="30",NOT(input_values!M51="Y"))),3,IF(OR(V51="&lt;25",B51&gt;1000000),1,IF((T51&gt;=S51),"2b","2a")))))</f>
        <v/>
      </c>
      <c r="Y51" s="38" t="str">
        <f>IF(X51="ND","ND",IF(S51="","",IF(input_values!K51&gt;0,input_values!K51,IF(OR(X51=1,X51=3),1,IF((V51&gt;250),5,7)))))</f>
        <v/>
      </c>
      <c r="Z51" s="310" t="str">
        <f t="shared" si="0"/>
        <v/>
      </c>
      <c r="AA51" s="311">
        <f t="shared" si="1"/>
        <v>0</v>
      </c>
      <c r="AB51" s="38" t="str">
        <f t="shared" si="5"/>
        <v/>
      </c>
      <c r="AC51" s="310" t="str">
        <f t="shared" si="6"/>
        <v/>
      </c>
      <c r="AD51" s="311">
        <f t="shared" si="2"/>
        <v>0</v>
      </c>
      <c r="AE51" s="312" t="str">
        <f t="shared" si="7"/>
        <v/>
      </c>
      <c r="AF51" s="312" t="str">
        <f t="shared" si="8"/>
        <v/>
      </c>
      <c r="AG51" s="561" t="str">
        <f t="shared" si="3"/>
        <v/>
      </c>
      <c r="AH51" s="561" t="str">
        <f t="shared" si="9"/>
        <v/>
      </c>
      <c r="AI51" s="576"/>
      <c r="AJ51" s="847"/>
    </row>
    <row r="52" spans="1:36" ht="12" customHeight="1" outlineLevel="3" x14ac:dyDescent="0.2">
      <c r="A52" s="39">
        <f>acute_overview_children!A52</f>
        <v>4</v>
      </c>
      <c r="B52" s="23">
        <f>acute_overview_children!B52</f>
        <v>153010</v>
      </c>
      <c r="C52" s="23" t="s">
        <v>121</v>
      </c>
      <c r="D52" s="300">
        <f>Table22[[#This Row],[Level used for acute calculation]]</f>
        <v>4</v>
      </c>
      <c r="E52" s="302">
        <f>Table22[[#This Row],[MRL individual commodity]]</f>
        <v>0</v>
      </c>
      <c r="F52" s="451">
        <f>Table22[[#This Row],[Acute RA input value]]</f>
        <v>0</v>
      </c>
      <c r="G52" s="301" t="str">
        <f>Table22[[#This Row],[Acute RA label]]</f>
        <v/>
      </c>
      <c r="H52" s="303">
        <f>Table22[[#This Row],[Acute RA IESTI new input value]]</f>
        <v>0</v>
      </c>
      <c r="I52" s="301" t="str">
        <f>Table22[[#This Row],[Acute RA IESTI new label]]</f>
        <v/>
      </c>
      <c r="J52" s="65"/>
      <c r="K52" s="304">
        <f>Table22[[#This Row],[GAP under assessment]]</f>
        <v>0</v>
      </c>
      <c r="L52" s="304" t="str">
        <f>IF(input_values!$M52=0,"",input_values!$M52)</f>
        <v/>
      </c>
      <c r="M52" s="301" t="str">
        <f>IF(input_values!H52=0,"",input_values!H52)</f>
        <v/>
      </c>
      <c r="N52" s="304">
        <f>input_values!$K52</f>
        <v>0</v>
      </c>
      <c r="O52" s="326">
        <v>8.1999999999999993</v>
      </c>
      <c r="P52" s="22">
        <v>100</v>
      </c>
      <c r="Q52" s="327" t="s">
        <v>334</v>
      </c>
      <c r="R52" s="326">
        <v>67.47</v>
      </c>
      <c r="S52" s="328">
        <f t="shared" si="4"/>
        <v>553.25399999999991</v>
      </c>
      <c r="T52" s="338" t="s">
        <v>617</v>
      </c>
      <c r="U52" s="339" t="s">
        <v>215</v>
      </c>
      <c r="V52" s="338" t="s">
        <v>617</v>
      </c>
      <c r="W52" s="339" t="s">
        <v>215</v>
      </c>
      <c r="X52" s="1464">
        <f>IF(V52="ND","ND",IF(S52="","",IF(OR(MID(C52,1,4)="milk",AND(MID(B52,1,2)="50",NOT(input_values!M52="Y")),AND(MID(B52,1,2)="40",NOT(input_values!M52="Y")),AND(MID(B52,1,2)="30",NOT(input_values!M52="Y"))),3,IF(OR(V52="&lt;25",B52&gt;1000000),1,IF((T52&gt;=S52),"2b","2a")))))</f>
        <v>1</v>
      </c>
      <c r="Y52" s="22">
        <f>IF(X52="ND","ND",IF(S52="","",IF(input_values!K52&gt;0,input_values!K52,IF(OR(X52=1,X52=3),1,IF((V52&gt;250),5,7)))))</f>
        <v>1</v>
      </c>
      <c r="Z52" s="330" t="str">
        <f t="shared" si="0"/>
        <v/>
      </c>
      <c r="AA52" s="331">
        <f t="shared" si="1"/>
        <v>0</v>
      </c>
      <c r="AB52" s="128">
        <f t="shared" si="5"/>
        <v>1</v>
      </c>
      <c r="AC52" s="330" t="str">
        <f t="shared" si="6"/>
        <v/>
      </c>
      <c r="AD52" s="332">
        <f t="shared" si="2"/>
        <v>0</v>
      </c>
      <c r="AE52" s="333" t="str">
        <f t="shared" si="7"/>
        <v/>
      </c>
      <c r="AF52" s="333" t="str">
        <f t="shared" si="8"/>
        <v/>
      </c>
      <c r="AG52" s="561" t="str">
        <f t="shared" si="3"/>
        <v/>
      </c>
      <c r="AH52" s="561" t="str">
        <f t="shared" si="9"/>
        <v/>
      </c>
      <c r="AI52" s="576"/>
      <c r="AJ52" s="847"/>
    </row>
    <row r="53" spans="1:36" ht="12" customHeight="1" outlineLevel="3" x14ac:dyDescent="0.2">
      <c r="A53" s="39">
        <f>acute_overview_children!A53</f>
        <v>4</v>
      </c>
      <c r="B53" s="23">
        <f>acute_overview_children!B53</f>
        <v>153020</v>
      </c>
      <c r="C53" s="23" t="s">
        <v>240</v>
      </c>
      <c r="D53" s="300">
        <f>Table22[[#This Row],[Level used for acute calculation]]</f>
        <v>4</v>
      </c>
      <c r="E53" s="302">
        <f>Table22[[#This Row],[MRL individual commodity]]</f>
        <v>0</v>
      </c>
      <c r="F53" s="451">
        <f>Table22[[#This Row],[Acute RA input value]]</f>
        <v>0</v>
      </c>
      <c r="G53" s="301" t="str">
        <f>Table22[[#This Row],[Acute RA label]]</f>
        <v/>
      </c>
      <c r="H53" s="303">
        <f>Table22[[#This Row],[Acute RA IESTI new input value]]</f>
        <v>0</v>
      </c>
      <c r="I53" s="301" t="str">
        <f>Table22[[#This Row],[Acute RA IESTI new label]]</f>
        <v/>
      </c>
      <c r="J53" s="65"/>
      <c r="K53" s="304">
        <f>Table22[[#This Row],[GAP under assessment]]</f>
        <v>0</v>
      </c>
      <c r="L53" s="304" t="str">
        <f>IF(input_values!$M53=0,"",input_values!$M53)</f>
        <v/>
      </c>
      <c r="M53" s="301" t="str">
        <f>IF(input_values!H53=0,"",input_values!H53)</f>
        <v/>
      </c>
      <c r="N53" s="304">
        <f>input_values!$K53</f>
        <v>0</v>
      </c>
      <c r="O53" s="326">
        <v>1.4452773613193404</v>
      </c>
      <c r="P53" s="22">
        <v>97.5</v>
      </c>
      <c r="Q53" s="327" t="s">
        <v>255</v>
      </c>
      <c r="R53" s="326">
        <v>66.7</v>
      </c>
      <c r="S53" s="328">
        <f t="shared" si="4"/>
        <v>96.4</v>
      </c>
      <c r="T53" s="338" t="s">
        <v>617</v>
      </c>
      <c r="U53" s="339" t="s">
        <v>215</v>
      </c>
      <c r="V53" s="338" t="s">
        <v>617</v>
      </c>
      <c r="W53" s="339" t="s">
        <v>215</v>
      </c>
      <c r="X53" s="1464">
        <f>IF(V53="ND","ND",IF(S53="","",IF(OR(MID(C53,1,4)="milk",AND(MID(B53,1,2)="50",NOT(input_values!M53="Y")),AND(MID(B53,1,2)="40",NOT(input_values!M53="Y")),AND(MID(B53,1,2)="30",NOT(input_values!M53="Y"))),3,IF(OR(V53="&lt;25",B53&gt;1000000),1,IF((T53&gt;=S53),"2b","2a")))))</f>
        <v>1</v>
      </c>
      <c r="Y53" s="22">
        <f>IF(X53="ND","ND",IF(S53="","",IF(input_values!K53&gt;0,input_values!K53,IF(OR(X53=1,X53=3),1,IF((V53&gt;250),5,7)))))</f>
        <v>1</v>
      </c>
      <c r="Z53" s="330" t="str">
        <f t="shared" si="0"/>
        <v/>
      </c>
      <c r="AA53" s="331">
        <f t="shared" si="1"/>
        <v>0</v>
      </c>
      <c r="AB53" s="128">
        <f t="shared" si="5"/>
        <v>1</v>
      </c>
      <c r="AC53" s="330" t="str">
        <f t="shared" si="6"/>
        <v/>
      </c>
      <c r="AD53" s="332">
        <f t="shared" si="2"/>
        <v>0</v>
      </c>
      <c r="AE53" s="333" t="str">
        <f t="shared" si="7"/>
        <v/>
      </c>
      <c r="AF53" s="333" t="str">
        <f t="shared" si="8"/>
        <v/>
      </c>
      <c r="AG53" s="561" t="str">
        <f t="shared" si="3"/>
        <v/>
      </c>
      <c r="AH53" s="561" t="str">
        <f t="shared" si="9"/>
        <v/>
      </c>
      <c r="AI53" s="576"/>
      <c r="AJ53" s="847"/>
    </row>
    <row r="54" spans="1:36" ht="12" customHeight="1" outlineLevel="3" x14ac:dyDescent="0.2">
      <c r="A54" s="39">
        <f>acute_overview_children!A54</f>
        <v>4</v>
      </c>
      <c r="B54" s="23">
        <f>acute_overview_children!B54</f>
        <v>153030</v>
      </c>
      <c r="C54" s="23" t="s">
        <v>685</v>
      </c>
      <c r="D54" s="300">
        <f>Table22[[#This Row],[Level used for acute calculation]]</f>
        <v>4</v>
      </c>
      <c r="E54" s="302">
        <f>Table22[[#This Row],[MRL individual commodity]]</f>
        <v>0</v>
      </c>
      <c r="F54" s="451">
        <f>Table22[[#This Row],[Acute RA input value]]</f>
        <v>0</v>
      </c>
      <c r="G54" s="301" t="str">
        <f>Table22[[#This Row],[Acute RA label]]</f>
        <v/>
      </c>
      <c r="H54" s="303">
        <f>Table22[[#This Row],[Acute RA IESTI new input value]]</f>
        <v>0</v>
      </c>
      <c r="I54" s="301" t="str">
        <f>Table22[[#This Row],[Acute RA IESTI new label]]</f>
        <v/>
      </c>
      <c r="J54" s="65"/>
      <c r="K54" s="304">
        <f>Table22[[#This Row],[GAP under assessment]]</f>
        <v>0</v>
      </c>
      <c r="L54" s="304" t="str">
        <f>IF(input_values!$M54=0,"",input_values!$M54)</f>
        <v/>
      </c>
      <c r="M54" s="301" t="str">
        <f>IF(input_values!H54=0,"",input_values!H54)</f>
        <v/>
      </c>
      <c r="N54" s="304">
        <f>input_values!$K54</f>
        <v>0</v>
      </c>
      <c r="O54" s="339">
        <v>5.3929121726</v>
      </c>
      <c r="P54" s="128">
        <v>97.5</v>
      </c>
      <c r="Q54" s="346" t="s">
        <v>957</v>
      </c>
      <c r="R54" s="339">
        <v>84.7</v>
      </c>
      <c r="S54" s="328">
        <f t="shared" si="4"/>
        <v>456.77966101922004</v>
      </c>
      <c r="T54" s="338" t="s">
        <v>617</v>
      </c>
      <c r="U54" s="339" t="s">
        <v>215</v>
      </c>
      <c r="V54" s="338" t="s">
        <v>617</v>
      </c>
      <c r="W54" s="339" t="s">
        <v>215</v>
      </c>
      <c r="X54" s="1464">
        <f>IF(V54="ND","ND",IF(S54="","",IF(OR(MID(C54,1,4)="milk",AND(MID(B54,1,2)="50",NOT(input_values!M54="Y")),AND(MID(B54,1,2)="40",NOT(input_values!M54="Y")),AND(MID(B54,1,2)="30",NOT(input_values!M54="Y"))),3,IF(OR(V54="&lt;25",B54&gt;1000000),1,IF((T54&gt;=S54),"2b","2a")))))</f>
        <v>1</v>
      </c>
      <c r="Y54" s="22">
        <f>IF(X54="ND","ND",IF(S54="","",IF(input_values!K54&gt;0,input_values!K54,IF(OR(X54=1,X54=3),1,IF((V54&gt;250),5,7)))))</f>
        <v>1</v>
      </c>
      <c r="Z54" s="330" t="str">
        <f t="shared" si="0"/>
        <v/>
      </c>
      <c r="AA54" s="331">
        <f t="shared" si="1"/>
        <v>0</v>
      </c>
      <c r="AB54" s="128">
        <f t="shared" si="5"/>
        <v>1</v>
      </c>
      <c r="AC54" s="330" t="str">
        <f t="shared" si="6"/>
        <v/>
      </c>
      <c r="AD54" s="332">
        <f t="shared" si="2"/>
        <v>0</v>
      </c>
      <c r="AE54" s="333" t="str">
        <f t="shared" si="7"/>
        <v/>
      </c>
      <c r="AF54" s="333" t="str">
        <f t="shared" si="8"/>
        <v/>
      </c>
      <c r="AG54" s="561" t="str">
        <f t="shared" si="3"/>
        <v/>
      </c>
      <c r="AH54" s="561" t="str">
        <f t="shared" si="9"/>
        <v/>
      </c>
      <c r="AI54" s="576"/>
      <c r="AJ54" s="847"/>
    </row>
    <row r="55" spans="1:36" ht="12" customHeight="1" outlineLevel="3" x14ac:dyDescent="0.2">
      <c r="A55" s="39">
        <f>acute_overview_children!A55</f>
        <v>4</v>
      </c>
      <c r="B55" s="23">
        <f>acute_overview_children!B55</f>
        <v>153990</v>
      </c>
      <c r="C55" s="23" t="s">
        <v>51</v>
      </c>
      <c r="D55" s="300">
        <f>Table22[[#This Row],[Level used for acute calculation]]</f>
        <v>0</v>
      </c>
      <c r="E55" s="302">
        <f>Table22[[#This Row],[MRL individual commodity]]</f>
        <v>0</v>
      </c>
      <c r="F55" s="451">
        <f>Table22[[#This Row],[Acute RA input value]]</f>
        <v>0</v>
      </c>
      <c r="G55" s="301">
        <f>Table22[[#This Row],[Acute RA label]]</f>
        <v>0</v>
      </c>
      <c r="H55" s="303">
        <f>Table22[[#This Row],[Acute RA IESTI new input value]]</f>
        <v>0</v>
      </c>
      <c r="I55" s="301">
        <f>Table22[[#This Row],[Acute RA IESTI new label]]</f>
        <v>0</v>
      </c>
      <c r="J55" s="65"/>
      <c r="K55" s="304">
        <f>Table22[[#This Row],[GAP under assessment]]</f>
        <v>0</v>
      </c>
      <c r="L55" s="304" t="str">
        <f>IF(input_values!$M55=0,"",input_values!$M55)</f>
        <v/>
      </c>
      <c r="M55" s="301" t="str">
        <f>IF(input_values!H55=0,"",input_values!H55)</f>
        <v/>
      </c>
      <c r="N55" s="304">
        <f>input_values!$K55</f>
        <v>0</v>
      </c>
      <c r="O55" s="305"/>
      <c r="P55" s="38"/>
      <c r="Q55" s="306"/>
      <c r="R55" s="309"/>
      <c r="S55" s="336" t="str">
        <f t="shared" si="4"/>
        <v/>
      </c>
      <c r="T55" s="305"/>
      <c r="U55" s="309"/>
      <c r="V55" s="305"/>
      <c r="W55" s="309"/>
      <c r="X55" s="611" t="str">
        <f>IF(V55="ND","ND",IF(S55="","",IF(OR(MID(C55,1,4)="milk",AND(MID(B55,1,2)="50",NOT(input_values!M55="Y")),AND(MID(B55,1,2)="40",NOT(input_values!M55="Y")),AND(MID(B55,1,2)="30",NOT(input_values!M55="Y"))),3,IF(OR(V55="&lt;25",B55&gt;1000000),1,IF((T55&gt;=S55),"2b","2a")))))</f>
        <v/>
      </c>
      <c r="Y55" s="38" t="str">
        <f>IF(X55="ND","ND",IF(S55="","",IF(input_values!K55&gt;0,input_values!K55,IF(OR(X55=1,X55=3),1,IF((V55&gt;250),5,7)))))</f>
        <v/>
      </c>
      <c r="Z55" s="310" t="str">
        <f t="shared" si="0"/>
        <v/>
      </c>
      <c r="AA55" s="311">
        <f t="shared" si="1"/>
        <v>0</v>
      </c>
      <c r="AB55" s="38" t="str">
        <f t="shared" si="5"/>
        <v/>
      </c>
      <c r="AC55" s="310" t="str">
        <f t="shared" si="6"/>
        <v/>
      </c>
      <c r="AD55" s="311">
        <f t="shared" si="2"/>
        <v>0</v>
      </c>
      <c r="AE55" s="312" t="str">
        <f t="shared" si="7"/>
        <v/>
      </c>
      <c r="AF55" s="312" t="str">
        <f t="shared" si="8"/>
        <v/>
      </c>
      <c r="AG55" s="561" t="str">
        <f t="shared" si="3"/>
        <v/>
      </c>
      <c r="AH55" s="561" t="str">
        <f t="shared" si="9"/>
        <v/>
      </c>
      <c r="AI55" s="576"/>
      <c r="AJ55" s="847"/>
    </row>
    <row r="56" spans="1:36" outlineLevel="2" x14ac:dyDescent="0.2">
      <c r="A56" s="132">
        <f>acute_overview_children!A56</f>
        <v>3</v>
      </c>
      <c r="B56" s="3">
        <f>acute_overview_children!B56</f>
        <v>154000</v>
      </c>
      <c r="C56" s="3" t="s">
        <v>220</v>
      </c>
      <c r="D56" s="300">
        <f>Table22[[#This Row],[Level used for acute calculation]]</f>
        <v>4</v>
      </c>
      <c r="E56" s="302">
        <f>Table22[[#This Row],[MRL individual commodity]]</f>
        <v>0</v>
      </c>
      <c r="F56" s="451">
        <f>Table22[[#This Row],[Acute RA input value]]</f>
        <v>0</v>
      </c>
      <c r="G56" s="301">
        <f>Table22[[#This Row],[Acute RA label]]</f>
        <v>0</v>
      </c>
      <c r="H56" s="303">
        <f>Table22[[#This Row],[Acute RA IESTI new input value]]</f>
        <v>0</v>
      </c>
      <c r="I56" s="301">
        <f>Table22[[#This Row],[Acute RA IESTI new label]]</f>
        <v>0</v>
      </c>
      <c r="J56" s="65"/>
      <c r="K56" s="304">
        <f>Table22[[#This Row],[GAP under assessment]]</f>
        <v>0</v>
      </c>
      <c r="L56" s="304" t="str">
        <f>IF(input_values!$M56=0,"",input_values!$M56)</f>
        <v/>
      </c>
      <c r="M56" s="301" t="str">
        <f>IF(input_values!H56=0,"",input_values!H56)</f>
        <v/>
      </c>
      <c r="N56" s="304">
        <f>input_values!$K56</f>
        <v>0</v>
      </c>
      <c r="O56" s="305"/>
      <c r="P56" s="38"/>
      <c r="Q56" s="306"/>
      <c r="R56" s="309"/>
      <c r="S56" s="336" t="str">
        <f t="shared" si="4"/>
        <v/>
      </c>
      <c r="T56" s="342"/>
      <c r="U56" s="343"/>
      <c r="V56" s="342"/>
      <c r="W56" s="343"/>
      <c r="X56" s="611" t="str">
        <f>IF(V56="ND","ND",IF(S56="","",IF(OR(MID(C56,1,4)="milk",AND(MID(B56,1,2)="50",NOT(input_values!M56="Y")),AND(MID(B56,1,2)="40",NOT(input_values!M56="Y")),AND(MID(B56,1,2)="30",NOT(input_values!M56="Y"))),3,IF(OR(V56="&lt;25",B56&gt;1000000),1,IF((T56&gt;=S56),"2b","2a")))))</f>
        <v/>
      </c>
      <c r="Y56" s="38" t="str">
        <f>IF(X56="ND","ND",IF(S56="","",IF(input_values!K56&gt;0,input_values!K56,IF(OR(X56=1,X56=3),1,IF((V56&gt;250),5,7)))))</f>
        <v/>
      </c>
      <c r="Z56" s="310" t="str">
        <f t="shared" si="0"/>
        <v/>
      </c>
      <c r="AA56" s="311">
        <f t="shared" si="1"/>
        <v>0</v>
      </c>
      <c r="AB56" s="38" t="str">
        <f t="shared" si="5"/>
        <v/>
      </c>
      <c r="AC56" s="310" t="str">
        <f t="shared" si="6"/>
        <v/>
      </c>
      <c r="AD56" s="311">
        <f t="shared" si="2"/>
        <v>0</v>
      </c>
      <c r="AE56" s="312" t="str">
        <f t="shared" si="7"/>
        <v/>
      </c>
      <c r="AF56" s="312" t="str">
        <f t="shared" si="8"/>
        <v/>
      </c>
      <c r="AG56" s="561" t="str">
        <f t="shared" si="3"/>
        <v/>
      </c>
      <c r="AH56" s="561" t="str">
        <f t="shared" si="9"/>
        <v/>
      </c>
      <c r="AI56" s="576"/>
      <c r="AJ56" s="847"/>
    </row>
    <row r="57" spans="1:36" ht="12" customHeight="1" outlineLevel="3" x14ac:dyDescent="0.2">
      <c r="A57" s="39">
        <f>acute_overview_children!A57</f>
        <v>4</v>
      </c>
      <c r="B57" s="23">
        <f>acute_overview_children!B57</f>
        <v>154010</v>
      </c>
      <c r="C57" s="23" t="s">
        <v>241</v>
      </c>
      <c r="D57" s="300">
        <f>Table22[[#This Row],[Level used for acute calculation]]</f>
        <v>4</v>
      </c>
      <c r="E57" s="302">
        <f>Table22[[#This Row],[MRL individual commodity]]</f>
        <v>0</v>
      </c>
      <c r="F57" s="451">
        <f>Table22[[#This Row],[Acute RA input value]]</f>
        <v>0</v>
      </c>
      <c r="G57" s="301" t="str">
        <f>Table22[[#This Row],[Acute RA label]]</f>
        <v/>
      </c>
      <c r="H57" s="303">
        <f>Table22[[#This Row],[Acute RA IESTI new input value]]</f>
        <v>0</v>
      </c>
      <c r="I57" s="301" t="str">
        <f>Table22[[#This Row],[Acute RA IESTI new label]]</f>
        <v/>
      </c>
      <c r="J57" s="65"/>
      <c r="K57" s="304">
        <f>Table22[[#This Row],[GAP under assessment]]</f>
        <v>0</v>
      </c>
      <c r="L57" s="304" t="str">
        <f>IF(input_values!$M57=0,"",input_values!$M57)</f>
        <v/>
      </c>
      <c r="M57" s="301" t="str">
        <f>IF(input_values!H57=0,"",input_values!H57)</f>
        <v/>
      </c>
      <c r="N57" s="304">
        <f>input_values!$K57</f>
        <v>0</v>
      </c>
      <c r="O57" s="326">
        <f>9.4*0.97</f>
        <v>9.1180000000000003</v>
      </c>
      <c r="P57" s="22">
        <v>95</v>
      </c>
      <c r="Q57" s="327" t="s">
        <v>334</v>
      </c>
      <c r="R57" s="326">
        <v>67.47</v>
      </c>
      <c r="S57" s="328">
        <f t="shared" si="4"/>
        <v>615.19146000000001</v>
      </c>
      <c r="T57" s="338" t="s">
        <v>617</v>
      </c>
      <c r="U57" s="339" t="s">
        <v>215</v>
      </c>
      <c r="V57" s="338" t="s">
        <v>617</v>
      </c>
      <c r="W57" s="339" t="s">
        <v>215</v>
      </c>
      <c r="X57" s="1464">
        <f>IF(V57="ND","ND",IF(S57="","",IF(OR(MID(C57,1,4)="milk",AND(MID(B57,1,2)="50",NOT(input_values!M57="Y")),AND(MID(B57,1,2)="40",NOT(input_values!M57="Y")),AND(MID(B57,1,2)="30",NOT(input_values!M57="Y"))),3,IF(OR(V57="&lt;25",B57&gt;1000000),1,IF((T57&gt;=S57),"2b","2a")))))</f>
        <v>1</v>
      </c>
      <c r="Y57" s="22">
        <f>IF(X57="ND","ND",IF(S57="","",IF(input_values!K57&gt;0,input_values!K57,IF(OR(X57=1,X57=3),1,IF((V57&gt;250),5,7)))))</f>
        <v>1</v>
      </c>
      <c r="Z57" s="330" t="str">
        <f t="shared" si="0"/>
        <v/>
      </c>
      <c r="AA57" s="331">
        <f t="shared" si="1"/>
        <v>0</v>
      </c>
      <c r="AB57" s="128">
        <f t="shared" si="5"/>
        <v>1</v>
      </c>
      <c r="AC57" s="330" t="str">
        <f t="shared" si="6"/>
        <v/>
      </c>
      <c r="AD57" s="332">
        <f t="shared" si="2"/>
        <v>0</v>
      </c>
      <c r="AE57" s="333" t="str">
        <f t="shared" si="7"/>
        <v/>
      </c>
      <c r="AF57" s="333" t="str">
        <f t="shared" si="8"/>
        <v/>
      </c>
      <c r="AG57" s="561" t="str">
        <f t="shared" si="3"/>
        <v/>
      </c>
      <c r="AH57" s="561" t="str">
        <f t="shared" si="9"/>
        <v/>
      </c>
      <c r="AI57" s="576"/>
      <c r="AJ57" s="847"/>
    </row>
    <row r="58" spans="1:36" ht="12" customHeight="1" outlineLevel="3" x14ac:dyDescent="0.2">
      <c r="A58" s="39">
        <f>acute_overview_children!A58</f>
        <v>4</v>
      </c>
      <c r="B58" s="23">
        <f>acute_overview_children!B58</f>
        <v>154020</v>
      </c>
      <c r="C58" s="23" t="s">
        <v>242</v>
      </c>
      <c r="D58" s="300">
        <f>Table22[[#This Row],[Level used for acute calculation]]</f>
        <v>4</v>
      </c>
      <c r="E58" s="302">
        <f>Table22[[#This Row],[MRL individual commodity]]</f>
        <v>0</v>
      </c>
      <c r="F58" s="451">
        <f>Table22[[#This Row],[Acute RA input value]]</f>
        <v>0</v>
      </c>
      <c r="G58" s="301" t="str">
        <f>Table22[[#This Row],[Acute RA label]]</f>
        <v/>
      </c>
      <c r="H58" s="303">
        <f>Table22[[#This Row],[Acute RA IESTI new input value]]</f>
        <v>0</v>
      </c>
      <c r="I58" s="301" t="str">
        <f>Table22[[#This Row],[Acute RA IESTI new label]]</f>
        <v/>
      </c>
      <c r="J58" s="65"/>
      <c r="K58" s="304">
        <f>Table22[[#This Row],[GAP under assessment]]</f>
        <v>0</v>
      </c>
      <c r="L58" s="304" t="str">
        <f>IF(input_values!$M58=0,"",input_values!$M58)</f>
        <v/>
      </c>
      <c r="M58" s="301" t="str">
        <f>IF(input_values!H58=0,"",input_values!H58)</f>
        <v/>
      </c>
      <c r="N58" s="304">
        <f>input_values!$K58</f>
        <v>0</v>
      </c>
      <c r="O58" s="328">
        <v>1.1359999999999999</v>
      </c>
      <c r="P58" s="22">
        <v>100</v>
      </c>
      <c r="Q58" s="327" t="s">
        <v>99</v>
      </c>
      <c r="R58" s="326">
        <v>65.8</v>
      </c>
      <c r="S58" s="328">
        <f t="shared" si="4"/>
        <v>74.748799999999989</v>
      </c>
      <c r="T58" s="338" t="s">
        <v>617</v>
      </c>
      <c r="U58" s="339" t="s">
        <v>215</v>
      </c>
      <c r="V58" s="338" t="s">
        <v>617</v>
      </c>
      <c r="W58" s="339" t="s">
        <v>215</v>
      </c>
      <c r="X58" s="1464">
        <f>IF(V58="ND","ND",IF(S58="","",IF(OR(MID(C58,1,4)="milk",AND(MID(B58,1,2)="50",NOT(input_values!M58="Y")),AND(MID(B58,1,2)="40",NOT(input_values!M58="Y")),AND(MID(B58,1,2)="30",NOT(input_values!M58="Y"))),3,IF(OR(V58="&lt;25",B58&gt;1000000),1,IF((T58&gt;=S58),"2b","2a")))))</f>
        <v>1</v>
      </c>
      <c r="Y58" s="22">
        <f>IF(X58="ND","ND",IF(S58="","",IF(input_values!K58&gt;0,input_values!K58,IF(OR(X58=1,X58=3),1,IF((V58&gt;250),5,7)))))</f>
        <v>1</v>
      </c>
      <c r="Z58" s="330" t="str">
        <f t="shared" si="0"/>
        <v/>
      </c>
      <c r="AA58" s="331">
        <f t="shared" si="1"/>
        <v>0</v>
      </c>
      <c r="AB58" s="128">
        <f t="shared" si="5"/>
        <v>1</v>
      </c>
      <c r="AC58" s="330" t="str">
        <f t="shared" si="6"/>
        <v/>
      </c>
      <c r="AD58" s="332">
        <f t="shared" si="2"/>
        <v>0</v>
      </c>
      <c r="AE58" s="333" t="str">
        <f t="shared" si="7"/>
        <v/>
      </c>
      <c r="AF58" s="333" t="str">
        <f t="shared" si="8"/>
        <v/>
      </c>
      <c r="AG58" s="561" t="str">
        <f t="shared" si="3"/>
        <v/>
      </c>
      <c r="AH58" s="561" t="str">
        <f t="shared" si="9"/>
        <v/>
      </c>
      <c r="AI58" s="576"/>
      <c r="AJ58" s="847"/>
    </row>
    <row r="59" spans="1:36" ht="12" customHeight="1" outlineLevel="3" x14ac:dyDescent="0.2">
      <c r="A59" s="39">
        <f>acute_overview_children!A59</f>
        <v>4</v>
      </c>
      <c r="B59" s="23">
        <f>acute_overview_children!B59</f>
        <v>154030</v>
      </c>
      <c r="C59" s="23" t="s">
        <v>243</v>
      </c>
      <c r="D59" s="300">
        <f>Table22[[#This Row],[Level used for acute calculation]]</f>
        <v>4</v>
      </c>
      <c r="E59" s="302">
        <f>Table22[[#This Row],[MRL individual commodity]]</f>
        <v>0</v>
      </c>
      <c r="F59" s="451">
        <f>Table22[[#This Row],[Acute RA input value]]</f>
        <v>0</v>
      </c>
      <c r="G59" s="301" t="str">
        <f>Table22[[#This Row],[Acute RA label]]</f>
        <v/>
      </c>
      <c r="H59" s="303">
        <f>Table22[[#This Row],[Acute RA IESTI new input value]]</f>
        <v>0</v>
      </c>
      <c r="I59" s="301" t="str">
        <f>Table22[[#This Row],[Acute RA IESTI new label]]</f>
        <v/>
      </c>
      <c r="J59" s="65"/>
      <c r="K59" s="304">
        <f>Table22[[#This Row],[GAP under assessment]]</f>
        <v>0</v>
      </c>
      <c r="L59" s="304" t="str">
        <f>IF(input_values!$M59=0,"",input_values!$M59)</f>
        <v/>
      </c>
      <c r="M59" s="301" t="str">
        <f>IF(input_values!H59=0,"",input_values!H59)</f>
        <v/>
      </c>
      <c r="N59" s="304">
        <f>input_values!$K59</f>
        <v>0</v>
      </c>
      <c r="O59" s="326">
        <v>6.6</v>
      </c>
      <c r="P59" s="22">
        <v>97.5</v>
      </c>
      <c r="Q59" s="327" t="s">
        <v>335</v>
      </c>
      <c r="R59" s="326">
        <v>76.38</v>
      </c>
      <c r="S59" s="328">
        <f t="shared" si="4"/>
        <v>504.10799999999995</v>
      </c>
      <c r="T59" s="338" t="s">
        <v>617</v>
      </c>
      <c r="U59" s="339" t="s">
        <v>215</v>
      </c>
      <c r="V59" s="338" t="s">
        <v>617</v>
      </c>
      <c r="W59" s="339" t="s">
        <v>215</v>
      </c>
      <c r="X59" s="1464">
        <f>IF(V59="ND","ND",IF(S59="","",IF(OR(MID(C59,1,4)="milk",AND(MID(B59,1,2)="50",NOT(input_values!M59="Y")),AND(MID(B59,1,2)="40",NOT(input_values!M59="Y")),AND(MID(B59,1,2)="30",NOT(input_values!M59="Y"))),3,IF(OR(V59="&lt;25",B59&gt;1000000),1,IF((T59&gt;=S59),"2b","2a")))))</f>
        <v>1</v>
      </c>
      <c r="Y59" s="22">
        <f>IF(X59="ND","ND",IF(S59="","",IF(input_values!K59&gt;0,input_values!K59,IF(OR(X59=1,X59=3),1,IF((V59&gt;250),5,7)))))</f>
        <v>1</v>
      </c>
      <c r="Z59" s="330" t="str">
        <f t="shared" si="0"/>
        <v/>
      </c>
      <c r="AA59" s="331">
        <f t="shared" si="1"/>
        <v>0</v>
      </c>
      <c r="AB59" s="128">
        <f t="shared" si="5"/>
        <v>1</v>
      </c>
      <c r="AC59" s="330" t="str">
        <f t="shared" si="6"/>
        <v/>
      </c>
      <c r="AD59" s="332">
        <f t="shared" si="2"/>
        <v>0</v>
      </c>
      <c r="AE59" s="333" t="str">
        <f t="shared" si="7"/>
        <v/>
      </c>
      <c r="AF59" s="333" t="str">
        <f t="shared" si="8"/>
        <v/>
      </c>
      <c r="AG59" s="561" t="str">
        <f t="shared" si="3"/>
        <v/>
      </c>
      <c r="AH59" s="561" t="str">
        <f t="shared" si="9"/>
        <v/>
      </c>
      <c r="AI59" s="576"/>
      <c r="AJ59" s="847"/>
    </row>
    <row r="60" spans="1:36" ht="12" customHeight="1" outlineLevel="3" x14ac:dyDescent="0.2">
      <c r="A60" s="39">
        <f>acute_overview_children!A60</f>
        <v>4</v>
      </c>
      <c r="B60" s="23">
        <f>acute_overview_children!B60</f>
        <v>154040</v>
      </c>
      <c r="C60" s="23" t="s">
        <v>686</v>
      </c>
      <c r="D60" s="300">
        <f>Table22[[#This Row],[Level used for acute calculation]]</f>
        <v>4</v>
      </c>
      <c r="E60" s="302">
        <f>Table22[[#This Row],[MRL individual commodity]]</f>
        <v>0</v>
      </c>
      <c r="F60" s="451">
        <f>Table22[[#This Row],[Acute RA input value]]</f>
        <v>0</v>
      </c>
      <c r="G60" s="301" t="str">
        <f>Table22[[#This Row],[Acute RA label]]</f>
        <v/>
      </c>
      <c r="H60" s="303">
        <f>Table22[[#This Row],[Acute RA IESTI new input value]]</f>
        <v>0</v>
      </c>
      <c r="I60" s="301" t="str">
        <f>Table22[[#This Row],[Acute RA IESTI new label]]</f>
        <v/>
      </c>
      <c r="J60" s="65"/>
      <c r="K60" s="304">
        <f>Table22[[#This Row],[GAP under assessment]]</f>
        <v>0</v>
      </c>
      <c r="L60" s="304" t="str">
        <f>IF(input_values!$M60=0,"",input_values!$M60)</f>
        <v/>
      </c>
      <c r="M60" s="301" t="str">
        <f>IF(input_values!H60=0,"",input_values!H60)</f>
        <v/>
      </c>
      <c r="N60" s="304">
        <f>input_values!$K60</f>
        <v>0</v>
      </c>
      <c r="O60" s="326">
        <f>4.6*0.98</f>
        <v>4.508</v>
      </c>
      <c r="P60" s="22">
        <v>100</v>
      </c>
      <c r="Q60" s="327" t="s">
        <v>334</v>
      </c>
      <c r="R60" s="326">
        <v>67.47</v>
      </c>
      <c r="S60" s="328">
        <f t="shared" si="4"/>
        <v>304.15476000000001</v>
      </c>
      <c r="T60" s="338" t="s">
        <v>617</v>
      </c>
      <c r="U60" s="339" t="s">
        <v>215</v>
      </c>
      <c r="V60" s="338" t="s">
        <v>617</v>
      </c>
      <c r="W60" s="339" t="s">
        <v>215</v>
      </c>
      <c r="X60" s="1464">
        <f>IF(V60="ND","ND",IF(S60="","",IF(OR(MID(C60,1,4)="milk",AND(MID(B60,1,2)="50",NOT(input_values!M60="Y")),AND(MID(B60,1,2)="40",NOT(input_values!M60="Y")),AND(MID(B60,1,2)="30",NOT(input_values!M60="Y"))),3,IF(OR(V60="&lt;25",B60&gt;1000000),1,IF((T60&gt;=S60),"2b","2a")))))</f>
        <v>1</v>
      </c>
      <c r="Y60" s="22">
        <f>IF(X60="ND","ND",IF(S60="","",IF(input_values!K60&gt;0,input_values!K60,IF(OR(X60=1,X60=3),1,IF((V60&gt;250),5,7)))))</f>
        <v>1</v>
      </c>
      <c r="Z60" s="330" t="str">
        <f t="shared" si="0"/>
        <v/>
      </c>
      <c r="AA60" s="331">
        <f t="shared" si="1"/>
        <v>0</v>
      </c>
      <c r="AB60" s="128">
        <f t="shared" si="5"/>
        <v>1</v>
      </c>
      <c r="AC60" s="330" t="str">
        <f t="shared" si="6"/>
        <v/>
      </c>
      <c r="AD60" s="332">
        <f t="shared" si="2"/>
        <v>0</v>
      </c>
      <c r="AE60" s="333" t="str">
        <f t="shared" si="7"/>
        <v/>
      </c>
      <c r="AF60" s="333" t="str">
        <f t="shared" si="8"/>
        <v/>
      </c>
      <c r="AG60" s="561" t="str">
        <f t="shared" si="3"/>
        <v/>
      </c>
      <c r="AH60" s="561" t="str">
        <f t="shared" si="9"/>
        <v/>
      </c>
      <c r="AI60" s="576"/>
      <c r="AJ60" s="847"/>
    </row>
    <row r="61" spans="1:36" ht="12" customHeight="1" outlineLevel="3" x14ac:dyDescent="0.2">
      <c r="A61" s="39">
        <f>acute_overview_children!A61</f>
        <v>4</v>
      </c>
      <c r="B61" s="23">
        <f>acute_overview_children!B61</f>
        <v>154050</v>
      </c>
      <c r="C61" s="23" t="s">
        <v>65</v>
      </c>
      <c r="D61" s="300">
        <f>Table22[[#This Row],[Level used for acute calculation]]</f>
        <v>4</v>
      </c>
      <c r="E61" s="302">
        <f>Table22[[#This Row],[MRL individual commodity]]</f>
        <v>0</v>
      </c>
      <c r="F61" s="451">
        <f>Table22[[#This Row],[Acute RA input value]]</f>
        <v>0</v>
      </c>
      <c r="G61" s="301" t="str">
        <f>Table22[[#This Row],[Acute RA label]]</f>
        <v/>
      </c>
      <c r="H61" s="303">
        <f>Table22[[#This Row],[Acute RA IESTI new input value]]</f>
        <v>0</v>
      </c>
      <c r="I61" s="301" t="str">
        <f>Table22[[#This Row],[Acute RA IESTI new label]]</f>
        <v/>
      </c>
      <c r="J61" s="65"/>
      <c r="K61" s="304">
        <f>Table22[[#This Row],[GAP under assessment]]</f>
        <v>0</v>
      </c>
      <c r="L61" s="304" t="str">
        <f>IF(input_values!$M61=0,"",input_values!$M61)</f>
        <v/>
      </c>
      <c r="M61" s="301" t="str">
        <f>IF(input_values!H61=0,"",input_values!H61)</f>
        <v/>
      </c>
      <c r="N61" s="304">
        <f>input_values!$K61</f>
        <v>0</v>
      </c>
      <c r="O61" s="338">
        <v>2.1994134896999999</v>
      </c>
      <c r="P61" s="128">
        <v>97.5</v>
      </c>
      <c r="Q61" s="346" t="s">
        <v>956</v>
      </c>
      <c r="R61" s="339">
        <v>71.2</v>
      </c>
      <c r="S61" s="328">
        <f t="shared" si="4"/>
        <v>156.59824046663999</v>
      </c>
      <c r="T61" s="338" t="s">
        <v>617</v>
      </c>
      <c r="U61" s="339" t="s">
        <v>215</v>
      </c>
      <c r="V61" s="338" t="s">
        <v>617</v>
      </c>
      <c r="W61" s="339" t="s">
        <v>215</v>
      </c>
      <c r="X61" s="1464">
        <f>IF(V61="ND","ND",IF(S61="","",IF(OR(MID(C61,1,4)="milk",AND(MID(B61,1,2)="50",NOT(input_values!M61="Y")),AND(MID(B61,1,2)="40",NOT(input_values!M61="Y")),AND(MID(B61,1,2)="30",NOT(input_values!M61="Y"))),3,IF(OR(V61="&lt;25",B61&gt;1000000),1,IF((T61&gt;=S61),"2b","2a")))))</f>
        <v>1</v>
      </c>
      <c r="Y61" s="22">
        <f>IF(X61="ND","ND",IF(S61="","",IF(input_values!K61&gt;0,input_values!K61,IF(OR(X61=1,X61=3),1,IF((V61&gt;250),5,7)))))</f>
        <v>1</v>
      </c>
      <c r="Z61" s="31" t="str">
        <f t="shared" si="0"/>
        <v/>
      </c>
      <c r="AA61" s="331">
        <f t="shared" si="1"/>
        <v>0</v>
      </c>
      <c r="AB61" s="128">
        <f t="shared" si="5"/>
        <v>1</v>
      </c>
      <c r="AC61" s="31" t="str">
        <f t="shared" si="6"/>
        <v/>
      </c>
      <c r="AD61" s="332">
        <f t="shared" si="2"/>
        <v>0</v>
      </c>
      <c r="AE61" s="25" t="str">
        <f t="shared" si="7"/>
        <v/>
      </c>
      <c r="AF61" s="25" t="str">
        <f t="shared" si="8"/>
        <v/>
      </c>
      <c r="AG61" s="561" t="str">
        <f t="shared" si="3"/>
        <v/>
      </c>
      <c r="AH61" s="561" t="str">
        <f t="shared" si="9"/>
        <v/>
      </c>
      <c r="AI61" s="576"/>
      <c r="AJ61" s="847"/>
    </row>
    <row r="62" spans="1:36" ht="12" customHeight="1" outlineLevel="3" x14ac:dyDescent="0.2">
      <c r="A62" s="39">
        <f>acute_overview_children!A62</f>
        <v>4</v>
      </c>
      <c r="B62" s="23">
        <f>acute_overview_children!B62</f>
        <v>154060</v>
      </c>
      <c r="C62" s="23" t="s">
        <v>687</v>
      </c>
      <c r="D62" s="300">
        <f>Table22[[#This Row],[Level used for acute calculation]]</f>
        <v>4</v>
      </c>
      <c r="E62" s="302">
        <f>Table22[[#This Row],[MRL individual commodity]]</f>
        <v>0</v>
      </c>
      <c r="F62" s="451">
        <f>Table22[[#This Row],[Acute RA input value]]</f>
        <v>0</v>
      </c>
      <c r="G62" s="301" t="str">
        <f>Table22[[#This Row],[Acute RA label]]</f>
        <v/>
      </c>
      <c r="H62" s="303">
        <f>Table22[[#This Row],[Acute RA IESTI new input value]]</f>
        <v>0</v>
      </c>
      <c r="I62" s="301" t="str">
        <f>Table22[[#This Row],[Acute RA IESTI new label]]</f>
        <v/>
      </c>
      <c r="J62" s="65"/>
      <c r="K62" s="304">
        <f>Table22[[#This Row],[GAP under assessment]]</f>
        <v>0</v>
      </c>
      <c r="L62" s="304" t="str">
        <f>IF(input_values!$M62=0,"",input_values!$M62)</f>
        <v/>
      </c>
      <c r="M62" s="301" t="str">
        <f>IF(input_values!H62=0,"",input_values!H62)</f>
        <v/>
      </c>
      <c r="N62" s="304">
        <f>input_values!$K62</f>
        <v>0</v>
      </c>
      <c r="O62" s="328" t="s">
        <v>618</v>
      </c>
      <c r="P62" s="22"/>
      <c r="Q62" s="327"/>
      <c r="R62" s="326"/>
      <c r="S62" s="31" t="str">
        <f t="shared" si="4"/>
        <v>ND</v>
      </c>
      <c r="T62" s="338" t="s">
        <v>617</v>
      </c>
      <c r="U62" s="339" t="s">
        <v>215</v>
      </c>
      <c r="V62" s="338" t="s">
        <v>617</v>
      </c>
      <c r="W62" s="339" t="s">
        <v>215</v>
      </c>
      <c r="X62" s="1464">
        <f>IF(V62="ND","ND",IF(S62="","",IF(OR(MID(C62,1,4)="milk",AND(MID(B62,1,2)="50",NOT(input_values!M62="Y")),AND(MID(B62,1,2)="40",NOT(input_values!M62="Y")),AND(MID(B62,1,2)="30",NOT(input_values!M62="Y"))),3,IF(OR(V62="&lt;25",B62&gt;1000000),1,IF((T62&gt;=S62),"2b","2a")))))</f>
        <v>1</v>
      </c>
      <c r="Y62" s="22">
        <f>IF(X62="ND","ND",IF(S62="","",IF(input_values!K62&gt;0,input_values!K62,IF(OR(X62=1,X62=3),1,IF((V62&gt;250),5,7)))))</f>
        <v>1</v>
      </c>
      <c r="Z62" s="31" t="str">
        <f t="shared" si="0"/>
        <v/>
      </c>
      <c r="AA62" s="331">
        <f t="shared" si="1"/>
        <v>0</v>
      </c>
      <c r="AB62" s="128">
        <f t="shared" si="5"/>
        <v>1</v>
      </c>
      <c r="AC62" s="31" t="str">
        <f t="shared" si="6"/>
        <v/>
      </c>
      <c r="AD62" s="332">
        <f t="shared" si="2"/>
        <v>0</v>
      </c>
      <c r="AE62" s="25" t="str">
        <f t="shared" si="7"/>
        <v/>
      </c>
      <c r="AF62" s="25" t="str">
        <f t="shared" si="8"/>
        <v/>
      </c>
      <c r="AG62" s="561" t="str">
        <f t="shared" si="3"/>
        <v/>
      </c>
      <c r="AH62" s="561" t="str">
        <f t="shared" si="9"/>
        <v/>
      </c>
      <c r="AI62" s="576"/>
      <c r="AJ62" s="847"/>
    </row>
    <row r="63" spans="1:36" ht="12" customHeight="1" outlineLevel="3" x14ac:dyDescent="0.2">
      <c r="A63" s="39">
        <f>acute_overview_children!A63</f>
        <v>4</v>
      </c>
      <c r="B63" s="23">
        <f>acute_overview_children!B63</f>
        <v>154070</v>
      </c>
      <c r="C63" s="23" t="s">
        <v>688</v>
      </c>
      <c r="D63" s="300">
        <f>Table22[[#This Row],[Level used for acute calculation]]</f>
        <v>4</v>
      </c>
      <c r="E63" s="302">
        <f>Table22[[#This Row],[MRL individual commodity]]</f>
        <v>0</v>
      </c>
      <c r="F63" s="451">
        <f>Table22[[#This Row],[Acute RA input value]]</f>
        <v>0</v>
      </c>
      <c r="G63" s="301" t="str">
        <f>Table22[[#This Row],[Acute RA label]]</f>
        <v/>
      </c>
      <c r="H63" s="303">
        <f>Table22[[#This Row],[Acute RA IESTI new input value]]</f>
        <v>0</v>
      </c>
      <c r="I63" s="301" t="str">
        <f>Table22[[#This Row],[Acute RA IESTI new label]]</f>
        <v/>
      </c>
      <c r="J63" s="65"/>
      <c r="K63" s="304">
        <f>Table22[[#This Row],[GAP under assessment]]</f>
        <v>0</v>
      </c>
      <c r="L63" s="304" t="str">
        <f>IF(input_values!$M63=0,"",input_values!$M63)</f>
        <v/>
      </c>
      <c r="M63" s="301" t="str">
        <f>IF(input_values!H63=0,"",input_values!H63)</f>
        <v/>
      </c>
      <c r="N63" s="304">
        <f>input_values!$K63</f>
        <v>0</v>
      </c>
      <c r="O63" s="328" t="s">
        <v>618</v>
      </c>
      <c r="P63" s="22"/>
      <c r="Q63" s="327"/>
      <c r="R63" s="326"/>
      <c r="S63" s="328" t="str">
        <f t="shared" si="4"/>
        <v>ND</v>
      </c>
      <c r="T63" s="338" t="s">
        <v>617</v>
      </c>
      <c r="U63" s="339" t="s">
        <v>215</v>
      </c>
      <c r="V63" s="338" t="s">
        <v>617</v>
      </c>
      <c r="W63" s="339" t="s">
        <v>215</v>
      </c>
      <c r="X63" s="1464">
        <f>IF(V63="ND","ND",IF(S63="","",IF(OR(MID(C63,1,4)="milk",AND(MID(B63,1,2)="50",NOT(input_values!M63="Y")),AND(MID(B63,1,2)="40",NOT(input_values!M63="Y")),AND(MID(B63,1,2)="30",NOT(input_values!M63="Y"))),3,IF(OR(V63="&lt;25",B63&gt;1000000),1,IF((T63&gt;=S63),"2b","2a")))))</f>
        <v>1</v>
      </c>
      <c r="Y63" s="22">
        <f>IF(X63="ND","ND",IF(S63="","",IF(input_values!K63&gt;0,input_values!K63,IF(OR(X63=1,X63=3),1,IF((V63&gt;250),5,7)))))</f>
        <v>1</v>
      </c>
      <c r="Z63" s="31" t="str">
        <f t="shared" si="0"/>
        <v/>
      </c>
      <c r="AA63" s="331">
        <f t="shared" si="1"/>
        <v>0</v>
      </c>
      <c r="AB63" s="128">
        <f t="shared" si="5"/>
        <v>1</v>
      </c>
      <c r="AC63" s="330" t="str">
        <f t="shared" si="6"/>
        <v/>
      </c>
      <c r="AD63" s="332">
        <f t="shared" si="2"/>
        <v>0</v>
      </c>
      <c r="AE63" s="333" t="str">
        <f t="shared" si="7"/>
        <v/>
      </c>
      <c r="AF63" s="333" t="str">
        <f t="shared" si="8"/>
        <v/>
      </c>
      <c r="AG63" s="561" t="str">
        <f t="shared" si="3"/>
        <v/>
      </c>
      <c r="AH63" s="561" t="str">
        <f t="shared" si="9"/>
        <v/>
      </c>
      <c r="AI63" s="576"/>
      <c r="AJ63" s="847"/>
    </row>
    <row r="64" spans="1:36" ht="12" customHeight="1" outlineLevel="3" x14ac:dyDescent="0.2">
      <c r="A64" s="39">
        <f>acute_overview_children!A64</f>
        <v>4</v>
      </c>
      <c r="B64" s="23">
        <f>acute_overview_children!B64</f>
        <v>154080</v>
      </c>
      <c r="C64" s="23" t="s">
        <v>66</v>
      </c>
      <c r="D64" s="300">
        <f>Table22[[#This Row],[Level used for acute calculation]]</f>
        <v>4</v>
      </c>
      <c r="E64" s="302">
        <f>Table22[[#This Row],[MRL individual commodity]]</f>
        <v>0</v>
      </c>
      <c r="F64" s="451">
        <f>Table22[[#This Row],[Acute RA input value]]</f>
        <v>0</v>
      </c>
      <c r="G64" s="301" t="str">
        <f>Table22[[#This Row],[Acute RA label]]</f>
        <v/>
      </c>
      <c r="H64" s="303">
        <f>Table22[[#This Row],[Acute RA IESTI new input value]]</f>
        <v>0</v>
      </c>
      <c r="I64" s="301" t="str">
        <f>Table22[[#This Row],[Acute RA IESTI new label]]</f>
        <v/>
      </c>
      <c r="J64" s="65"/>
      <c r="K64" s="304">
        <f>Table22[[#This Row],[GAP under assessment]]</f>
        <v>0</v>
      </c>
      <c r="L64" s="304" t="str">
        <f>IF(input_values!$M64=0,"",input_values!$M64)</f>
        <v/>
      </c>
      <c r="M64" s="301" t="str">
        <f>IF(input_values!H64=0,"",input_values!H64)</f>
        <v/>
      </c>
      <c r="N64" s="304">
        <f>input_values!$K64</f>
        <v>0</v>
      </c>
      <c r="O64" s="328" t="s">
        <v>618</v>
      </c>
      <c r="P64" s="22"/>
      <c r="Q64" s="327"/>
      <c r="R64" s="326"/>
      <c r="S64" s="328" t="str">
        <f t="shared" si="4"/>
        <v>ND</v>
      </c>
      <c r="T64" s="338"/>
      <c r="U64" s="339" t="s">
        <v>215</v>
      </c>
      <c r="V64" s="338"/>
      <c r="W64" s="339"/>
      <c r="X64" s="1464" t="str">
        <f>IF(V64="ND","ND",IF(S64="","",IF(OR(MID(C64,1,4)="milk",AND(MID(B64,1,2)="50",NOT(input_values!M64="Y")),AND(MID(B64,1,2)="40",NOT(input_values!M64="Y")),AND(MID(B64,1,2)="30",NOT(input_values!M64="Y"))),3,IF(OR(V64="&lt;25",B64&gt;1000000),1,IF((T64&gt;=S64),"2b","2a")))))</f>
        <v>2a</v>
      </c>
      <c r="Y64" s="22">
        <f>IF(X64="ND","ND",IF(S64="","",IF(input_values!K64&gt;0,input_values!K64,IF(OR(X64=1,X64=3),1,IF((V64&gt;250),5,7)))))</f>
        <v>7</v>
      </c>
      <c r="Z64" s="330" t="str">
        <f t="shared" si="0"/>
        <v/>
      </c>
      <c r="AA64" s="331">
        <f t="shared" si="1"/>
        <v>0</v>
      </c>
      <c r="AB64" s="128">
        <f t="shared" si="5"/>
        <v>3</v>
      </c>
      <c r="AC64" s="330" t="str">
        <f t="shared" si="6"/>
        <v/>
      </c>
      <c r="AD64" s="332">
        <f t="shared" si="2"/>
        <v>0</v>
      </c>
      <c r="AE64" s="333" t="str">
        <f t="shared" si="7"/>
        <v/>
      </c>
      <c r="AF64" s="333" t="str">
        <f t="shared" si="8"/>
        <v/>
      </c>
      <c r="AG64" s="561" t="str">
        <f t="shared" si="3"/>
        <v/>
      </c>
      <c r="AH64" s="561" t="str">
        <f t="shared" si="9"/>
        <v/>
      </c>
      <c r="AI64" s="576"/>
      <c r="AJ64" s="847"/>
    </row>
    <row r="65" spans="1:36" ht="12" customHeight="1" outlineLevel="3" x14ac:dyDescent="0.2">
      <c r="A65" s="39">
        <f>acute_overview_children!A65</f>
        <v>4</v>
      </c>
      <c r="B65" s="23">
        <f>acute_overview_children!B65</f>
        <v>154990</v>
      </c>
      <c r="C65" s="23" t="s">
        <v>52</v>
      </c>
      <c r="D65" s="300">
        <f>Table22[[#This Row],[Level used for acute calculation]]</f>
        <v>0</v>
      </c>
      <c r="E65" s="302">
        <f>Table22[[#This Row],[MRL individual commodity]]</f>
        <v>0</v>
      </c>
      <c r="F65" s="451">
        <f>Table22[[#This Row],[Acute RA input value]]</f>
        <v>0</v>
      </c>
      <c r="G65" s="301">
        <f>Table22[[#This Row],[Acute RA label]]</f>
        <v>0</v>
      </c>
      <c r="H65" s="303">
        <f>Table22[[#This Row],[Acute RA IESTI new input value]]</f>
        <v>0</v>
      </c>
      <c r="I65" s="301">
        <f>Table22[[#This Row],[Acute RA IESTI new label]]</f>
        <v>0</v>
      </c>
      <c r="J65" s="65"/>
      <c r="K65" s="304">
        <f>Table22[[#This Row],[GAP under assessment]]</f>
        <v>0</v>
      </c>
      <c r="L65" s="304" t="str">
        <f>IF(input_values!$M65=0,"",input_values!$M65)</f>
        <v/>
      </c>
      <c r="M65" s="301" t="str">
        <f>IF(input_values!H65=0,"",input_values!H65)</f>
        <v/>
      </c>
      <c r="N65" s="304">
        <f>input_values!$K65</f>
        <v>0</v>
      </c>
      <c r="O65" s="309"/>
      <c r="P65" s="38"/>
      <c r="Q65" s="306"/>
      <c r="R65" s="309"/>
      <c r="S65" s="336" t="str">
        <f t="shared" si="4"/>
        <v/>
      </c>
      <c r="T65" s="305"/>
      <c r="U65" s="309"/>
      <c r="V65" s="305"/>
      <c r="W65" s="309"/>
      <c r="X65" s="611" t="str">
        <f>IF(V65="ND","ND",IF(S65="","",IF(OR(MID(C65,1,4)="milk",AND(MID(B65,1,2)="50",NOT(input_values!M65="Y")),AND(MID(B65,1,2)="40",NOT(input_values!M65="Y")),AND(MID(B65,1,2)="30",NOT(input_values!M65="Y"))),3,IF(OR(V65="&lt;25",B65&gt;1000000),1,IF((T65&gt;=S65),"2b","2a")))))</f>
        <v/>
      </c>
      <c r="Y65" s="38" t="str">
        <f>IF(X65="ND","ND",IF(S65="","",IF(input_values!K65&gt;0,input_values!K65,IF(OR(X65=1,X65=3),1,IF((V65&gt;250),5,7)))))</f>
        <v/>
      </c>
      <c r="Z65" s="335" t="str">
        <f t="shared" si="0"/>
        <v/>
      </c>
      <c r="AA65" s="311">
        <f t="shared" si="1"/>
        <v>0</v>
      </c>
      <c r="AB65" s="38" t="str">
        <f t="shared" si="5"/>
        <v/>
      </c>
      <c r="AC65" s="335" t="str">
        <f t="shared" si="6"/>
        <v/>
      </c>
      <c r="AD65" s="311">
        <f t="shared" si="2"/>
        <v>0</v>
      </c>
      <c r="AE65" s="344" t="str">
        <f t="shared" si="7"/>
        <v/>
      </c>
      <c r="AF65" s="344" t="str">
        <f t="shared" si="8"/>
        <v/>
      </c>
      <c r="AG65" s="561" t="str">
        <f t="shared" si="3"/>
        <v/>
      </c>
      <c r="AH65" s="561" t="str">
        <f t="shared" si="9"/>
        <v/>
      </c>
      <c r="AI65" s="576"/>
      <c r="AJ65" s="847"/>
    </row>
    <row r="66" spans="1:36" outlineLevel="1" x14ac:dyDescent="0.2">
      <c r="A66" s="130">
        <f>acute_overview_children!A66</f>
        <v>2</v>
      </c>
      <c r="B66" s="131">
        <f>acute_overview_children!B66</f>
        <v>160000</v>
      </c>
      <c r="C66" s="131" t="s">
        <v>221</v>
      </c>
      <c r="D66" s="300">
        <f>Table22[[#This Row],[Level used for acute calculation]]</f>
        <v>4</v>
      </c>
      <c r="E66" s="302">
        <f>Table22[[#This Row],[MRL individual commodity]]</f>
        <v>0</v>
      </c>
      <c r="F66" s="451">
        <f>Table22[[#This Row],[Acute RA input value]]</f>
        <v>0</v>
      </c>
      <c r="G66" s="301">
        <f>Table22[[#This Row],[Acute RA label]]</f>
        <v>0</v>
      </c>
      <c r="H66" s="303">
        <f>Table22[[#This Row],[Acute RA IESTI new input value]]</f>
        <v>0</v>
      </c>
      <c r="I66" s="301">
        <f>Table22[[#This Row],[Acute RA IESTI new label]]</f>
        <v>0</v>
      </c>
      <c r="J66" s="65"/>
      <c r="K66" s="304">
        <f>Table22[[#This Row],[GAP under assessment]]</f>
        <v>0</v>
      </c>
      <c r="L66" s="304" t="str">
        <f>IF(input_values!$M66=0,"",input_values!$M66)</f>
        <v/>
      </c>
      <c r="M66" s="301" t="str">
        <f>IF(input_values!H66=0,"",input_values!H66)</f>
        <v/>
      </c>
      <c r="N66" s="304">
        <f>input_values!$K66</f>
        <v>0</v>
      </c>
      <c r="O66" s="309"/>
      <c r="P66" s="38"/>
      <c r="Q66" s="306"/>
      <c r="R66" s="309"/>
      <c r="S66" s="336" t="str">
        <f t="shared" si="4"/>
        <v/>
      </c>
      <c r="T66" s="315"/>
      <c r="U66" s="320"/>
      <c r="V66" s="315"/>
      <c r="W66" s="320"/>
      <c r="X66" s="611" t="str">
        <f>IF(V66="ND","ND",IF(S66="","",IF(OR(MID(C66,1,4)="milk",AND(MID(B66,1,2)="50",NOT(input_values!M66="Y")),AND(MID(B66,1,2)="40",NOT(input_values!M66="Y")),AND(MID(B66,1,2)="30",NOT(input_values!M66="Y"))),3,IF(OR(V66="&lt;25",B66&gt;1000000),1,IF((T66&gt;=S66),"2b","2a")))))</f>
        <v/>
      </c>
      <c r="Y66" s="38" t="str">
        <f>IF(X66="ND","ND",IF(S66="","",IF(input_values!K66&gt;0,input_values!K66,IF(OR(X66=1,X66=3),1,IF((V66&gt;250),5,7)))))</f>
        <v/>
      </c>
      <c r="Z66" s="335" t="str">
        <f t="shared" si="0"/>
        <v/>
      </c>
      <c r="AA66" s="311">
        <f t="shared" si="1"/>
        <v>0</v>
      </c>
      <c r="AB66" s="38" t="str">
        <f t="shared" si="5"/>
        <v/>
      </c>
      <c r="AC66" s="335" t="str">
        <f t="shared" si="6"/>
        <v/>
      </c>
      <c r="AD66" s="311">
        <f t="shared" si="2"/>
        <v>0</v>
      </c>
      <c r="AE66" s="344" t="str">
        <f t="shared" si="7"/>
        <v/>
      </c>
      <c r="AF66" s="344" t="str">
        <f t="shared" si="8"/>
        <v/>
      </c>
      <c r="AG66" s="561" t="str">
        <f t="shared" si="3"/>
        <v/>
      </c>
      <c r="AH66" s="561" t="str">
        <f t="shared" si="9"/>
        <v/>
      </c>
      <c r="AI66" s="576"/>
      <c r="AJ66" s="847"/>
    </row>
    <row r="67" spans="1:36" ht="24" outlineLevel="2" x14ac:dyDescent="0.2">
      <c r="A67" s="132">
        <f>acute_overview_children!A67</f>
        <v>3</v>
      </c>
      <c r="B67" s="3">
        <f>acute_overview_children!B67</f>
        <v>161000</v>
      </c>
      <c r="C67" s="3" t="s">
        <v>73</v>
      </c>
      <c r="D67" s="300">
        <f>Table22[[#This Row],[Level used for acute calculation]]</f>
        <v>4</v>
      </c>
      <c r="E67" s="302">
        <f>Table22[[#This Row],[MRL individual commodity]]</f>
        <v>0</v>
      </c>
      <c r="F67" s="451">
        <f>Table22[[#This Row],[Acute RA input value]]</f>
        <v>0</v>
      </c>
      <c r="G67" s="301">
        <f>Table22[[#This Row],[Acute RA label]]</f>
        <v>0</v>
      </c>
      <c r="H67" s="303">
        <f>Table22[[#This Row],[Acute RA IESTI new input value]]</f>
        <v>0</v>
      </c>
      <c r="I67" s="301">
        <f>Table22[[#This Row],[Acute RA IESTI new label]]</f>
        <v>0</v>
      </c>
      <c r="J67" s="65"/>
      <c r="K67" s="304">
        <f>Table22[[#This Row],[GAP under assessment]]</f>
        <v>0</v>
      </c>
      <c r="L67" s="304" t="str">
        <f>IF(input_values!$M67=0,"",input_values!$M67)</f>
        <v/>
      </c>
      <c r="M67" s="301" t="str">
        <f>IF(input_values!H67=0,"",input_values!H67)</f>
        <v/>
      </c>
      <c r="N67" s="304">
        <f>input_values!$K67</f>
        <v>0</v>
      </c>
      <c r="O67" s="309"/>
      <c r="P67" s="38"/>
      <c r="Q67" s="306"/>
      <c r="R67" s="309"/>
      <c r="S67" s="336" t="str">
        <f t="shared" si="4"/>
        <v/>
      </c>
      <c r="T67" s="342"/>
      <c r="U67" s="343"/>
      <c r="V67" s="342"/>
      <c r="W67" s="343"/>
      <c r="X67" s="611" t="str">
        <f>IF(V67="ND","ND",IF(S67="","",IF(OR(MID(C67,1,4)="milk",AND(MID(B67,1,2)="50",NOT(input_values!M67="Y")),AND(MID(B67,1,2)="40",NOT(input_values!M67="Y")),AND(MID(B67,1,2)="30",NOT(input_values!M67="Y"))),3,IF(OR(V67="&lt;25",B67&gt;1000000),1,IF((T67&gt;=S67),"2b","2a")))))</f>
        <v/>
      </c>
      <c r="Y67" s="38" t="str">
        <f>IF(X67="ND","ND",IF(S67="","",IF(input_values!K67&gt;0,input_values!K67,IF(OR(X67=1,X67=3),1,IF((V67&gt;250),5,7)))))</f>
        <v/>
      </c>
      <c r="Z67" s="335" t="str">
        <f t="shared" si="0"/>
        <v/>
      </c>
      <c r="AA67" s="311">
        <f t="shared" si="1"/>
        <v>0</v>
      </c>
      <c r="AB67" s="38" t="str">
        <f t="shared" si="5"/>
        <v/>
      </c>
      <c r="AC67" s="335" t="str">
        <f t="shared" si="6"/>
        <v/>
      </c>
      <c r="AD67" s="311">
        <f t="shared" si="2"/>
        <v>0</v>
      </c>
      <c r="AE67" s="344" t="str">
        <f t="shared" si="7"/>
        <v/>
      </c>
      <c r="AF67" s="344" t="str">
        <f t="shared" si="8"/>
        <v/>
      </c>
      <c r="AG67" s="561" t="str">
        <f t="shared" si="3"/>
        <v/>
      </c>
      <c r="AH67" s="561" t="str">
        <f t="shared" si="9"/>
        <v/>
      </c>
      <c r="AI67" s="576"/>
      <c r="AJ67" s="847"/>
    </row>
    <row r="68" spans="1:36" ht="12" customHeight="1" outlineLevel="3" x14ac:dyDescent="0.2">
      <c r="A68" s="39">
        <f>acute_overview_children!A68</f>
        <v>4</v>
      </c>
      <c r="B68" s="23">
        <f>acute_overview_children!B68</f>
        <v>161010</v>
      </c>
      <c r="C68" s="23" t="s">
        <v>67</v>
      </c>
      <c r="D68" s="300">
        <f>Table22[[#This Row],[Level used for acute calculation]]</f>
        <v>4</v>
      </c>
      <c r="E68" s="302">
        <f>Table22[[#This Row],[MRL individual commodity]]</f>
        <v>0</v>
      </c>
      <c r="F68" s="451">
        <f>Table22[[#This Row],[Acute RA input value]]</f>
        <v>0</v>
      </c>
      <c r="G68" s="301" t="str">
        <f>Table22[[#This Row],[Acute RA label]]</f>
        <v/>
      </c>
      <c r="H68" s="303">
        <f>Table22[[#This Row],[Acute RA IESTI new input value]]</f>
        <v>0</v>
      </c>
      <c r="I68" s="301" t="str">
        <f>Table22[[#This Row],[Acute RA IESTI new label]]</f>
        <v/>
      </c>
      <c r="J68" s="65"/>
      <c r="K68" s="304">
        <f>Table22[[#This Row],[GAP under assessment]]</f>
        <v>0</v>
      </c>
      <c r="L68" s="304" t="str">
        <f>IF(input_values!$M68=0,"",input_values!$M68)</f>
        <v/>
      </c>
      <c r="M68" s="301" t="str">
        <f>IF(input_values!H68=0,"",input_values!H68)</f>
        <v/>
      </c>
      <c r="N68" s="304">
        <f>input_values!$K68</f>
        <v>0</v>
      </c>
      <c r="O68" s="326">
        <v>1.714</v>
      </c>
      <c r="P68" s="22" t="s">
        <v>331</v>
      </c>
      <c r="Q68" s="327" t="s">
        <v>99</v>
      </c>
      <c r="R68" s="326">
        <v>65.8</v>
      </c>
      <c r="S68" s="328">
        <f t="shared" si="4"/>
        <v>112.7812</v>
      </c>
      <c r="T68" s="338" t="s">
        <v>617</v>
      </c>
      <c r="U68" s="339" t="s">
        <v>215</v>
      </c>
      <c r="V68" s="338" t="s">
        <v>617</v>
      </c>
      <c r="W68" s="339" t="s">
        <v>215</v>
      </c>
      <c r="X68" s="1464">
        <f>IF(V68="ND","ND",IF(S68="","",IF(OR(MID(C68,1,4)="milk",AND(MID(B68,1,2)="50",NOT(input_values!M68="Y")),AND(MID(B68,1,2)="40",NOT(input_values!M68="Y")),AND(MID(B68,1,2)="30",NOT(input_values!M68="Y"))),3,IF(OR(V68="&lt;25",B68&gt;1000000),1,IF((T68&gt;=S68),"2b","2a")))))</f>
        <v>1</v>
      </c>
      <c r="Y68" s="22">
        <f>IF(X68="ND","ND",IF(S68="","",IF(input_values!K68&gt;0,input_values!K68,IF(OR(X68=1,X68=3),1,IF((V68&gt;250),5,7)))))</f>
        <v>1</v>
      </c>
      <c r="Z68" s="330" t="str">
        <f t="shared" si="0"/>
        <v/>
      </c>
      <c r="AA68" s="331">
        <f t="shared" si="1"/>
        <v>0</v>
      </c>
      <c r="AB68" s="128">
        <f t="shared" si="5"/>
        <v>1</v>
      </c>
      <c r="AC68" s="330" t="str">
        <f t="shared" si="6"/>
        <v/>
      </c>
      <c r="AD68" s="332">
        <f t="shared" si="2"/>
        <v>0</v>
      </c>
      <c r="AE68" s="333" t="str">
        <f t="shared" si="7"/>
        <v/>
      </c>
      <c r="AF68" s="333" t="str">
        <f t="shared" si="8"/>
        <v/>
      </c>
      <c r="AG68" s="561" t="str">
        <f t="shared" si="3"/>
        <v/>
      </c>
      <c r="AH68" s="561" t="str">
        <f t="shared" si="9"/>
        <v/>
      </c>
      <c r="AI68" s="576"/>
      <c r="AJ68" s="847"/>
    </row>
    <row r="69" spans="1:36" ht="12" customHeight="1" outlineLevel="3" x14ac:dyDescent="0.2">
      <c r="A69" s="39">
        <f>acute_overview_children!A69</f>
        <v>4</v>
      </c>
      <c r="B69" s="23">
        <f>acute_overview_children!B69</f>
        <v>161020</v>
      </c>
      <c r="C69" s="23" t="s">
        <v>68</v>
      </c>
      <c r="D69" s="300">
        <f>Table22[[#This Row],[Level used for acute calculation]]</f>
        <v>4</v>
      </c>
      <c r="E69" s="302">
        <f>Table22[[#This Row],[MRL individual commodity]]</f>
        <v>0</v>
      </c>
      <c r="F69" s="451">
        <f>Table22[[#This Row],[Acute RA input value]]</f>
        <v>0</v>
      </c>
      <c r="G69" s="301" t="str">
        <f>Table22[[#This Row],[Acute RA label]]</f>
        <v/>
      </c>
      <c r="H69" s="303">
        <f>Table22[[#This Row],[Acute RA IESTI new input value]]</f>
        <v>0</v>
      </c>
      <c r="I69" s="301" t="str">
        <f>Table22[[#This Row],[Acute RA IESTI new label]]</f>
        <v/>
      </c>
      <c r="J69" s="65"/>
      <c r="K69" s="304">
        <f>Table22[[#This Row],[GAP under assessment]]</f>
        <v>0</v>
      </c>
      <c r="L69" s="304" t="str">
        <f>IF(input_values!$M69=0,"",input_values!$M69)</f>
        <v/>
      </c>
      <c r="M69" s="301" t="str">
        <f>IF(input_values!H69=0,"",input_values!H69)</f>
        <v/>
      </c>
      <c r="N69" s="304">
        <f>input_values!$K69</f>
        <v>0</v>
      </c>
      <c r="O69" s="326">
        <v>6.55</v>
      </c>
      <c r="P69" s="22">
        <v>97.5</v>
      </c>
      <c r="Q69" s="327" t="s">
        <v>335</v>
      </c>
      <c r="R69" s="326">
        <v>76.38</v>
      </c>
      <c r="S69" s="328">
        <f t="shared" si="4"/>
        <v>500.28899999999993</v>
      </c>
      <c r="T69" s="328">
        <v>58.75</v>
      </c>
      <c r="U69" s="326" t="s">
        <v>90</v>
      </c>
      <c r="V69" s="328">
        <v>58.75</v>
      </c>
      <c r="W69" s="326" t="s">
        <v>90</v>
      </c>
      <c r="X69" s="1464" t="str">
        <f>IF(V69="ND","ND",IF(S69="","",IF(OR(MID(C69,1,4)="milk",AND(MID(B69,1,2)="50",NOT(input_values!M69="Y")),AND(MID(B69,1,2)="40",NOT(input_values!M69="Y")),AND(MID(B69,1,2)="30",NOT(input_values!M69="Y"))),3,IF(OR(V69="&lt;25",B69&gt;1000000),1,IF((T69&gt;=S69),"2b","2a")))))</f>
        <v>2a</v>
      </c>
      <c r="Y69" s="22">
        <f>IF(X69="ND","ND",IF(S69="","",IF(input_values!K69&gt;0,input_values!K69,IF(OR(X69=1,X69=3),1,IF((V69&gt;250),5,7)))))</f>
        <v>7</v>
      </c>
      <c r="Z69" s="330" t="str">
        <f t="shared" si="0"/>
        <v/>
      </c>
      <c r="AA69" s="331">
        <f t="shared" si="1"/>
        <v>0</v>
      </c>
      <c r="AB69" s="128">
        <f t="shared" si="5"/>
        <v>3</v>
      </c>
      <c r="AC69" s="330" t="str">
        <f t="shared" si="6"/>
        <v/>
      </c>
      <c r="AD69" s="332">
        <f t="shared" si="2"/>
        <v>0</v>
      </c>
      <c r="AE69" s="333" t="str">
        <f t="shared" si="7"/>
        <v/>
      </c>
      <c r="AF69" s="333" t="str">
        <f t="shared" si="8"/>
        <v/>
      </c>
      <c r="AG69" s="561" t="str">
        <f t="shared" si="3"/>
        <v/>
      </c>
      <c r="AH69" s="561" t="str">
        <f t="shared" si="9"/>
        <v/>
      </c>
      <c r="AI69" s="576"/>
      <c r="AJ69" s="847"/>
    </row>
    <row r="70" spans="1:36" ht="12" customHeight="1" outlineLevel="3" x14ac:dyDescent="0.2">
      <c r="A70" s="39">
        <f>acute_overview_children!A70</f>
        <v>4</v>
      </c>
      <c r="B70" s="23">
        <f>acute_overview_children!B70</f>
        <v>161030</v>
      </c>
      <c r="C70" s="23" t="s">
        <v>69</v>
      </c>
      <c r="D70" s="300">
        <f>Table22[[#This Row],[Level used for acute calculation]]</f>
        <v>4</v>
      </c>
      <c r="E70" s="302">
        <f>Table22[[#This Row],[MRL individual commodity]]</f>
        <v>0</v>
      </c>
      <c r="F70" s="451">
        <f>Table22[[#This Row],[Acute RA input value]]</f>
        <v>0</v>
      </c>
      <c r="G70" s="301" t="str">
        <f>Table22[[#This Row],[Acute RA label]]</f>
        <v/>
      </c>
      <c r="H70" s="303">
        <f>Table22[[#This Row],[Acute RA IESTI new input value]]</f>
        <v>0</v>
      </c>
      <c r="I70" s="301" t="str">
        <f>Table22[[#This Row],[Acute RA IESTI new label]]</f>
        <v/>
      </c>
      <c r="J70" s="65"/>
      <c r="K70" s="304">
        <f>Table22[[#This Row],[GAP under assessment]]</f>
        <v>0</v>
      </c>
      <c r="L70" s="304" t="str">
        <f>IF(input_values!$M70=0,"",input_values!$M70)</f>
        <v/>
      </c>
      <c r="M70" s="301" t="str">
        <f>IF(input_values!H70=0,"",input_values!H70)</f>
        <v/>
      </c>
      <c r="N70" s="304">
        <f>input_values!$K70</f>
        <v>0</v>
      </c>
      <c r="O70" s="326">
        <v>1</v>
      </c>
      <c r="P70" s="22">
        <v>97.5</v>
      </c>
      <c r="Q70" s="327" t="s">
        <v>334</v>
      </c>
      <c r="R70" s="326">
        <v>67.47</v>
      </c>
      <c r="S70" s="328">
        <f t="shared" si="4"/>
        <v>67.47</v>
      </c>
      <c r="T70" s="338" t="s">
        <v>617</v>
      </c>
      <c r="U70" s="339" t="s">
        <v>215</v>
      </c>
      <c r="V70" s="338" t="s">
        <v>617</v>
      </c>
      <c r="W70" s="339" t="s">
        <v>215</v>
      </c>
      <c r="X70" s="1464">
        <f>IF(V70="ND","ND",IF(S70="","",IF(OR(MID(C70,1,4)="milk",AND(MID(B70,1,2)="50",NOT(input_values!M70="Y")),AND(MID(B70,1,2)="40",NOT(input_values!M70="Y")),AND(MID(B70,1,2)="30",NOT(input_values!M70="Y"))),3,IF(OR(V70="&lt;25",B70&gt;1000000),1,IF((T70&gt;=S70),"2b","2a")))))</f>
        <v>1</v>
      </c>
      <c r="Y70" s="22">
        <f>IF(X70="ND","ND",IF(S70="","",IF(input_values!K70&gt;0,input_values!K70,IF(OR(X70=1,X70=3),1,IF((V70&gt;250),5,7)))))</f>
        <v>1</v>
      </c>
      <c r="Z70" s="330" t="str">
        <f t="shared" si="0"/>
        <v/>
      </c>
      <c r="AA70" s="331">
        <f t="shared" si="1"/>
        <v>0</v>
      </c>
      <c r="AB70" s="128">
        <f t="shared" si="5"/>
        <v>1</v>
      </c>
      <c r="AC70" s="330" t="str">
        <f t="shared" si="6"/>
        <v/>
      </c>
      <c r="AD70" s="332">
        <f t="shared" si="2"/>
        <v>0</v>
      </c>
      <c r="AE70" s="333" t="str">
        <f t="shared" si="7"/>
        <v/>
      </c>
      <c r="AF70" s="333" t="str">
        <f t="shared" si="8"/>
        <v/>
      </c>
      <c r="AG70" s="561" t="str">
        <f t="shared" si="3"/>
        <v/>
      </c>
      <c r="AH70" s="561" t="str">
        <f t="shared" si="9"/>
        <v/>
      </c>
      <c r="AI70" s="576"/>
      <c r="AJ70" s="847"/>
    </row>
    <row r="71" spans="1:36" ht="12" customHeight="1" outlineLevel="3" x14ac:dyDescent="0.2">
      <c r="A71" s="39">
        <f>acute_overview_children!A71</f>
        <v>4</v>
      </c>
      <c r="B71" s="23">
        <f>acute_overview_children!B71</f>
        <v>161040</v>
      </c>
      <c r="C71" s="23" t="s">
        <v>70</v>
      </c>
      <c r="D71" s="300">
        <f>Table22[[#This Row],[Level used for acute calculation]]</f>
        <v>4</v>
      </c>
      <c r="E71" s="302">
        <f>Table22[[#This Row],[MRL individual commodity]]</f>
        <v>0</v>
      </c>
      <c r="F71" s="451">
        <f>Table22[[#This Row],[Acute RA input value]]</f>
        <v>0</v>
      </c>
      <c r="G71" s="301" t="str">
        <f>Table22[[#This Row],[Acute RA label]]</f>
        <v/>
      </c>
      <c r="H71" s="303">
        <f>Table22[[#This Row],[Acute RA IESTI new input value]]</f>
        <v>0</v>
      </c>
      <c r="I71" s="301" t="str">
        <f>Table22[[#This Row],[Acute RA IESTI new label]]</f>
        <v/>
      </c>
      <c r="J71" s="65"/>
      <c r="K71" s="304">
        <f>Table22[[#This Row],[GAP under assessment]]</f>
        <v>0</v>
      </c>
      <c r="L71" s="304" t="str">
        <f>IF(input_values!$M71=0,"",input_values!$M71)</f>
        <v/>
      </c>
      <c r="M71" s="301" t="str">
        <f>IF(input_values!H71=0,"",input_values!H71)</f>
        <v/>
      </c>
      <c r="N71" s="304">
        <f>input_values!$K71</f>
        <v>0</v>
      </c>
      <c r="O71" s="326">
        <v>0.18237082066869301</v>
      </c>
      <c r="P71" s="22" t="s">
        <v>331</v>
      </c>
      <c r="Q71" s="327" t="s">
        <v>99</v>
      </c>
      <c r="R71" s="326">
        <v>65.8</v>
      </c>
      <c r="S71" s="328">
        <f t="shared" si="4"/>
        <v>12</v>
      </c>
      <c r="T71" s="338" t="s">
        <v>617</v>
      </c>
      <c r="U71" s="339" t="s">
        <v>215</v>
      </c>
      <c r="V71" s="338" t="s">
        <v>617</v>
      </c>
      <c r="W71" s="339" t="s">
        <v>215</v>
      </c>
      <c r="X71" s="1464">
        <f>IF(V71="ND","ND",IF(S71="","",IF(OR(MID(C71,1,4)="milk",AND(MID(B71,1,2)="50",NOT(input_values!M71="Y")),AND(MID(B71,1,2)="40",NOT(input_values!M71="Y")),AND(MID(B71,1,2)="30",NOT(input_values!M71="Y"))),3,IF(OR(V71="&lt;25",B71&gt;1000000),1,IF((T71&gt;=S71),"2b","2a")))))</f>
        <v>1</v>
      </c>
      <c r="Y71" s="22">
        <f>IF(X71="ND","ND",IF(S71="","",IF(input_values!K71&gt;0,input_values!K71,IF(OR(X71=1,X71=3),1,IF((V71&gt;250),5,7)))))</f>
        <v>1</v>
      </c>
      <c r="Z71" s="330" t="str">
        <f t="shared" si="0"/>
        <v/>
      </c>
      <c r="AA71" s="331">
        <f t="shared" si="1"/>
        <v>0</v>
      </c>
      <c r="AB71" s="128">
        <f t="shared" si="5"/>
        <v>1</v>
      </c>
      <c r="AC71" s="330" t="str">
        <f t="shared" si="6"/>
        <v/>
      </c>
      <c r="AD71" s="332">
        <f t="shared" si="2"/>
        <v>0</v>
      </c>
      <c r="AE71" s="333" t="str">
        <f t="shared" si="7"/>
        <v/>
      </c>
      <c r="AF71" s="333" t="str">
        <f t="shared" si="8"/>
        <v/>
      </c>
      <c r="AG71" s="561" t="str">
        <f t="shared" si="3"/>
        <v/>
      </c>
      <c r="AH71" s="561" t="str">
        <f t="shared" si="9"/>
        <v/>
      </c>
      <c r="AI71" s="576"/>
      <c r="AJ71" s="847"/>
    </row>
    <row r="72" spans="1:36" ht="12" customHeight="1" outlineLevel="3" x14ac:dyDescent="0.2">
      <c r="A72" s="39">
        <f>acute_overview_children!A72</f>
        <v>4</v>
      </c>
      <c r="B72" s="23">
        <f>acute_overview_children!B72</f>
        <v>161050</v>
      </c>
      <c r="C72" s="23" t="s">
        <v>689</v>
      </c>
      <c r="D72" s="300">
        <f>Table22[[#This Row],[Level used for acute calculation]]</f>
        <v>4</v>
      </c>
      <c r="E72" s="302">
        <f>Table22[[#This Row],[MRL individual commodity]]</f>
        <v>0</v>
      </c>
      <c r="F72" s="451">
        <f>Table22[[#This Row],[Acute RA input value]]</f>
        <v>0</v>
      </c>
      <c r="G72" s="301" t="str">
        <f>Table22[[#This Row],[Acute RA label]]</f>
        <v/>
      </c>
      <c r="H72" s="303">
        <f>Table22[[#This Row],[Acute RA IESTI new input value]]</f>
        <v>0</v>
      </c>
      <c r="I72" s="301" t="str">
        <f>Table22[[#This Row],[Acute RA IESTI new label]]</f>
        <v/>
      </c>
      <c r="J72" s="65"/>
      <c r="K72" s="304">
        <f>Table22[[#This Row],[GAP under assessment]]</f>
        <v>0</v>
      </c>
      <c r="L72" s="304" t="str">
        <f>IF(input_values!$M72=0,"",input_values!$M72)</f>
        <v/>
      </c>
      <c r="M72" s="301" t="str">
        <f>IF(input_values!H72=0,"",input_values!H72)</f>
        <v/>
      </c>
      <c r="N72" s="304">
        <f>input_values!$K72</f>
        <v>0</v>
      </c>
      <c r="O72" s="326">
        <v>2.3556231003039514</v>
      </c>
      <c r="P72" s="22" t="s">
        <v>331</v>
      </c>
      <c r="Q72" s="327" t="s">
        <v>99</v>
      </c>
      <c r="R72" s="326">
        <v>65.8</v>
      </c>
      <c r="S72" s="328">
        <f t="shared" si="4"/>
        <v>155</v>
      </c>
      <c r="T72" s="328">
        <v>155</v>
      </c>
      <c r="U72" s="326" t="s">
        <v>90</v>
      </c>
      <c r="V72" s="328">
        <v>155</v>
      </c>
      <c r="W72" s="326" t="s">
        <v>90</v>
      </c>
      <c r="X72" s="1464" t="str">
        <f>IF(V72="ND","ND",IF(S72="","",IF(OR(MID(C72,1,4)="milk",AND(MID(B72,1,2)="50",NOT(input_values!M72="Y")),AND(MID(B72,1,2)="40",NOT(input_values!M72="Y")),AND(MID(B72,1,2)="30",NOT(input_values!M72="Y"))),3,IF(OR(V72="&lt;25",B72&gt;1000000),1,IF((T72&gt;=S72),"2b","2a")))))</f>
        <v>2b</v>
      </c>
      <c r="Y72" s="22">
        <f>IF(X72="ND","ND",IF(S72="","",IF(input_values!K72&gt;0,input_values!K72,IF(OR(X72=1,X72=3),1,IF((V72&gt;250),5,7)))))</f>
        <v>7</v>
      </c>
      <c r="Z72" s="330" t="str">
        <f t="shared" si="0"/>
        <v/>
      </c>
      <c r="AA72" s="331">
        <f t="shared" si="1"/>
        <v>0</v>
      </c>
      <c r="AB72" s="128">
        <f t="shared" si="5"/>
        <v>3</v>
      </c>
      <c r="AC72" s="330" t="str">
        <f t="shared" si="6"/>
        <v/>
      </c>
      <c r="AD72" s="332">
        <f t="shared" si="2"/>
        <v>0</v>
      </c>
      <c r="AE72" s="333" t="str">
        <f t="shared" si="7"/>
        <v/>
      </c>
      <c r="AF72" s="333" t="str">
        <f t="shared" si="8"/>
        <v/>
      </c>
      <c r="AG72" s="561" t="str">
        <f t="shared" si="3"/>
        <v/>
      </c>
      <c r="AH72" s="561" t="str">
        <f t="shared" si="9"/>
        <v/>
      </c>
      <c r="AI72" s="576"/>
      <c r="AJ72" s="847"/>
    </row>
    <row r="73" spans="1:36" ht="12" customHeight="1" outlineLevel="3" x14ac:dyDescent="0.2">
      <c r="A73" s="39">
        <f>acute_overview_children!A73</f>
        <v>4</v>
      </c>
      <c r="B73" s="23">
        <f>acute_overview_children!B73</f>
        <v>161060</v>
      </c>
      <c r="C73" s="23" t="s">
        <v>690</v>
      </c>
      <c r="D73" s="300">
        <f>Table22[[#This Row],[Level used for acute calculation]]</f>
        <v>4</v>
      </c>
      <c r="E73" s="302">
        <f>Table22[[#This Row],[MRL individual commodity]]</f>
        <v>0</v>
      </c>
      <c r="F73" s="451">
        <f>Table22[[#This Row],[Acute RA input value]]</f>
        <v>0</v>
      </c>
      <c r="G73" s="301" t="str">
        <f>Table22[[#This Row],[Acute RA label]]</f>
        <v/>
      </c>
      <c r="H73" s="303">
        <f>Table22[[#This Row],[Acute RA IESTI new input value]]</f>
        <v>0</v>
      </c>
      <c r="I73" s="301" t="str">
        <f>Table22[[#This Row],[Acute RA IESTI new label]]</f>
        <v/>
      </c>
      <c r="J73" s="65"/>
      <c r="K73" s="304">
        <f>Table22[[#This Row],[GAP under assessment]]</f>
        <v>0</v>
      </c>
      <c r="L73" s="304" t="str">
        <f>IF(input_values!$M73=0,"",input_values!$M73)</f>
        <v/>
      </c>
      <c r="M73" s="301" t="str">
        <f>IF(input_values!H73=0,"",input_values!H73)</f>
        <v/>
      </c>
      <c r="N73" s="304">
        <f>input_values!$K73</f>
        <v>0</v>
      </c>
      <c r="O73" s="326">
        <v>8.99</v>
      </c>
      <c r="P73" s="22">
        <v>97.5</v>
      </c>
      <c r="Q73" s="327" t="s">
        <v>334</v>
      </c>
      <c r="R73" s="326">
        <v>67.47</v>
      </c>
      <c r="S73" s="328">
        <f t="shared" si="4"/>
        <v>606.55529999999999</v>
      </c>
      <c r="T73" s="328">
        <v>146</v>
      </c>
      <c r="U73" s="326" t="s">
        <v>90</v>
      </c>
      <c r="V73" s="328">
        <v>154</v>
      </c>
      <c r="W73" s="326" t="s">
        <v>90</v>
      </c>
      <c r="X73" s="1464" t="str">
        <f>IF(V73="ND","ND",IF(S73="","",IF(OR(MID(C73,1,4)="milk",AND(MID(B73,1,2)="50",NOT(input_values!M73="Y")),AND(MID(B73,1,2)="40",NOT(input_values!M73="Y")),AND(MID(B73,1,2)="30",NOT(input_values!M73="Y"))),3,IF(OR(V73="&lt;25",B73&gt;1000000),1,IF((T73&gt;=S73),"2b","2a")))))</f>
        <v>2a</v>
      </c>
      <c r="Y73" s="22">
        <f>IF(X73="ND","ND",IF(S73="","",IF(input_values!K73&gt;0,input_values!K73,IF(OR(X73=1,X73=3),1,IF((V73&gt;250),5,7)))))</f>
        <v>7</v>
      </c>
      <c r="Z73" s="330" t="str">
        <f t="shared" si="0"/>
        <v/>
      </c>
      <c r="AA73" s="331">
        <f t="shared" si="1"/>
        <v>0</v>
      </c>
      <c r="AB73" s="128">
        <f t="shared" si="5"/>
        <v>3</v>
      </c>
      <c r="AC73" s="330" t="str">
        <f t="shared" si="6"/>
        <v/>
      </c>
      <c r="AD73" s="332">
        <f t="shared" si="2"/>
        <v>0</v>
      </c>
      <c r="AE73" s="333" t="str">
        <f t="shared" si="7"/>
        <v/>
      </c>
      <c r="AF73" s="333" t="str">
        <f t="shared" si="8"/>
        <v/>
      </c>
      <c r="AG73" s="561" t="str">
        <f t="shared" si="3"/>
        <v/>
      </c>
      <c r="AH73" s="561" t="str">
        <f t="shared" si="9"/>
        <v/>
      </c>
      <c r="AI73" s="576"/>
      <c r="AJ73" s="847"/>
    </row>
    <row r="74" spans="1:36" ht="12" customHeight="1" outlineLevel="3" x14ac:dyDescent="0.2">
      <c r="A74" s="39">
        <f>acute_overview_children!A74</f>
        <v>4</v>
      </c>
      <c r="B74" s="23">
        <f>acute_overview_children!B74</f>
        <v>161070</v>
      </c>
      <c r="C74" s="23" t="s">
        <v>691</v>
      </c>
      <c r="D74" s="300">
        <f>Table22[[#This Row],[Level used for acute calculation]]</f>
        <v>4</v>
      </c>
      <c r="E74" s="302">
        <f>Table22[[#This Row],[MRL individual commodity]]</f>
        <v>0</v>
      </c>
      <c r="F74" s="451">
        <f>Table22[[#This Row],[Acute RA input value]]</f>
        <v>0</v>
      </c>
      <c r="G74" s="301" t="str">
        <f>Table22[[#This Row],[Acute RA label]]</f>
        <v/>
      </c>
      <c r="H74" s="303">
        <f>Table22[[#This Row],[Acute RA IESTI new input value]]</f>
        <v>0</v>
      </c>
      <c r="I74" s="301" t="str">
        <f>Table22[[#This Row],[Acute RA IESTI new label]]</f>
        <v/>
      </c>
      <c r="J74" s="65"/>
      <c r="K74" s="304">
        <f>Table22[[#This Row],[GAP under assessment]]</f>
        <v>0</v>
      </c>
      <c r="L74" s="304" t="str">
        <f>IF(input_values!$M74=0,"",input_values!$M74)</f>
        <v/>
      </c>
      <c r="M74" s="301" t="str">
        <f>IF(input_values!H74=0,"",input_values!H74)</f>
        <v/>
      </c>
      <c r="N74" s="304">
        <f>input_values!$K74</f>
        <v>0</v>
      </c>
      <c r="O74" s="338" t="s">
        <v>618</v>
      </c>
      <c r="P74" s="22"/>
      <c r="Q74" s="327"/>
      <c r="R74" s="326"/>
      <c r="S74" s="31" t="str">
        <f t="shared" si="4"/>
        <v>ND</v>
      </c>
      <c r="T74" s="338" t="s">
        <v>618</v>
      </c>
      <c r="U74" s="326"/>
      <c r="V74" s="338" t="s">
        <v>618</v>
      </c>
      <c r="W74" s="326"/>
      <c r="X74" s="460" t="str">
        <f>IF(V74="ND","ND",IF(S74="","",IF(OR(MID(C74,1,4)="milk",AND(MID(B74,1,2)="50",NOT(input_values!M74="Y")),AND(MID(B74,1,2)="40",NOT(input_values!M74="Y")),AND(MID(B74,1,2)="30",NOT(input_values!M74="Y"))),3,IF(OR(V74="&lt;25",B74&gt;1000000),1,IF((T74&gt;=S74),"2b","2a")))))</f>
        <v>ND</v>
      </c>
      <c r="Y74" s="22" t="str">
        <f>IF(X74="ND","ND",IF(S74="","",IF(input_values!K74&gt;0,input_values!K74,IF(OR(X74=1,X74=3),1,IF((V74&gt;250),5,7)))))</f>
        <v>ND</v>
      </c>
      <c r="Z74" s="340" t="str">
        <f t="shared" si="0"/>
        <v/>
      </c>
      <c r="AA74" s="332">
        <f t="shared" si="1"/>
        <v>0</v>
      </c>
      <c r="AB74" s="128" t="str">
        <f t="shared" si="5"/>
        <v>ND</v>
      </c>
      <c r="AC74" s="340" t="str">
        <f t="shared" si="6"/>
        <v/>
      </c>
      <c r="AD74" s="332">
        <f t="shared" si="2"/>
        <v>0</v>
      </c>
      <c r="AE74" s="37" t="str">
        <f t="shared" si="7"/>
        <v/>
      </c>
      <c r="AF74" s="37" t="str">
        <f t="shared" si="8"/>
        <v/>
      </c>
      <c r="AG74" s="561" t="str">
        <f t="shared" si="3"/>
        <v/>
      </c>
      <c r="AH74" s="561" t="str">
        <f t="shared" si="9"/>
        <v/>
      </c>
      <c r="AI74" s="576"/>
      <c r="AJ74" s="847"/>
    </row>
    <row r="75" spans="1:36" ht="12" customHeight="1" outlineLevel="3" x14ac:dyDescent="0.2">
      <c r="A75" s="39">
        <f>acute_overview_children!A75</f>
        <v>4</v>
      </c>
      <c r="B75" s="23">
        <f>acute_overview_children!B75</f>
        <v>161990</v>
      </c>
      <c r="C75" s="23" t="s">
        <v>53</v>
      </c>
      <c r="D75" s="300">
        <f>Table22[[#This Row],[Level used for acute calculation]]</f>
        <v>0</v>
      </c>
      <c r="E75" s="302">
        <f>Table22[[#This Row],[MRL individual commodity]]</f>
        <v>0</v>
      </c>
      <c r="F75" s="451">
        <f>Table22[[#This Row],[Acute RA input value]]</f>
        <v>0</v>
      </c>
      <c r="G75" s="301">
        <f>Table22[[#This Row],[Acute RA label]]</f>
        <v>0</v>
      </c>
      <c r="H75" s="303">
        <f>Table22[[#This Row],[Acute RA IESTI new input value]]</f>
        <v>0</v>
      </c>
      <c r="I75" s="301">
        <f>Table22[[#This Row],[Acute RA IESTI new label]]</f>
        <v>0</v>
      </c>
      <c r="J75" s="65"/>
      <c r="K75" s="304">
        <f>Table22[[#This Row],[GAP under assessment]]</f>
        <v>0</v>
      </c>
      <c r="L75" s="304" t="str">
        <f>IF(input_values!$M75=0,"",input_values!$M75)</f>
        <v/>
      </c>
      <c r="M75" s="301" t="str">
        <f>IF(input_values!H75=0,"",input_values!H75)</f>
        <v/>
      </c>
      <c r="N75" s="304">
        <f>input_values!$K75</f>
        <v>0</v>
      </c>
      <c r="O75" s="309"/>
      <c r="P75" s="38"/>
      <c r="Q75" s="306"/>
      <c r="R75" s="309"/>
      <c r="S75" s="336" t="str">
        <f t="shared" si="4"/>
        <v/>
      </c>
      <c r="T75" s="305"/>
      <c r="U75" s="309"/>
      <c r="V75" s="305"/>
      <c r="W75" s="309"/>
      <c r="X75" s="611" t="str">
        <f>IF(V75="ND","ND",IF(S75="","",IF(OR(MID(C75,1,4)="milk",AND(MID(B75,1,2)="50",NOT(input_values!M75="Y")),AND(MID(B75,1,2)="40",NOT(input_values!M75="Y")),AND(MID(B75,1,2)="30",NOT(input_values!M75="Y"))),3,IF(OR(V75="&lt;25",B75&gt;1000000),1,IF((T75&gt;=S75),"2b","2a")))))</f>
        <v/>
      </c>
      <c r="Y75" s="38" t="str">
        <f>IF(X75="ND","ND",IF(S75="","",IF(input_values!K75&gt;0,input_values!K75,IF(OR(X75=1,X75=3),1,IF((V75&gt;250),5,7)))))</f>
        <v/>
      </c>
      <c r="Z75" s="335" t="str">
        <f t="shared" si="0"/>
        <v/>
      </c>
      <c r="AA75" s="311">
        <f t="shared" si="1"/>
        <v>0</v>
      </c>
      <c r="AB75" s="38" t="str">
        <f t="shared" si="5"/>
        <v/>
      </c>
      <c r="AC75" s="335" t="str">
        <f t="shared" si="6"/>
        <v/>
      </c>
      <c r="AD75" s="311">
        <f t="shared" si="2"/>
        <v>0</v>
      </c>
      <c r="AE75" s="344" t="str">
        <f t="shared" si="7"/>
        <v/>
      </c>
      <c r="AF75" s="344" t="str">
        <f t="shared" si="8"/>
        <v/>
      </c>
      <c r="AG75" s="561" t="str">
        <f t="shared" si="3"/>
        <v/>
      </c>
      <c r="AH75" s="561" t="str">
        <f t="shared" si="9"/>
        <v/>
      </c>
      <c r="AI75" s="576"/>
      <c r="AJ75" s="847"/>
    </row>
    <row r="76" spans="1:36" ht="36" outlineLevel="2" x14ac:dyDescent="0.2">
      <c r="A76" s="132">
        <f>acute_overview_children!A76</f>
        <v>3</v>
      </c>
      <c r="B76" s="3">
        <f>acute_overview_children!B76</f>
        <v>162000</v>
      </c>
      <c r="C76" s="3" t="s">
        <v>135</v>
      </c>
      <c r="D76" s="300">
        <f>Table22[[#This Row],[Level used for acute calculation]]</f>
        <v>4</v>
      </c>
      <c r="E76" s="302">
        <f>Table22[[#This Row],[MRL individual commodity]]</f>
        <v>0</v>
      </c>
      <c r="F76" s="451">
        <f>Table22[[#This Row],[Acute RA input value]]</f>
        <v>0</v>
      </c>
      <c r="G76" s="301">
        <f>Table22[[#This Row],[Acute RA label]]</f>
        <v>0</v>
      </c>
      <c r="H76" s="303">
        <f>Table22[[#This Row],[Acute RA IESTI new input value]]</f>
        <v>0</v>
      </c>
      <c r="I76" s="301">
        <f>Table22[[#This Row],[Acute RA IESTI new label]]</f>
        <v>0</v>
      </c>
      <c r="J76" s="65"/>
      <c r="K76" s="304">
        <f>Table22[[#This Row],[GAP under assessment]]</f>
        <v>0</v>
      </c>
      <c r="L76" s="304" t="str">
        <f>IF(input_values!$M76=0,"",input_values!$M76)</f>
        <v/>
      </c>
      <c r="M76" s="301" t="str">
        <f>IF(input_values!H76=0,"",input_values!H76)</f>
        <v/>
      </c>
      <c r="N76" s="304">
        <f>input_values!$K76</f>
        <v>0</v>
      </c>
      <c r="O76" s="309"/>
      <c r="P76" s="38"/>
      <c r="Q76" s="306"/>
      <c r="R76" s="309"/>
      <c r="S76" s="336" t="str">
        <f t="shared" si="4"/>
        <v/>
      </c>
      <c r="T76" s="342"/>
      <c r="U76" s="343"/>
      <c r="V76" s="342"/>
      <c r="W76" s="343"/>
      <c r="X76" s="611" t="str">
        <f>IF(V76="ND","ND",IF(S76="","",IF(OR(MID(C76,1,4)="milk",AND(MID(B76,1,2)="50",NOT(input_values!M76="Y")),AND(MID(B76,1,2)="40",NOT(input_values!M76="Y")),AND(MID(B76,1,2)="30",NOT(input_values!M76="Y"))),3,IF(OR(V76="&lt;25",B76&gt;1000000),1,IF((T76&gt;=S76),"2b","2a")))))</f>
        <v/>
      </c>
      <c r="Y76" s="38" t="str">
        <f>IF(X76="ND","ND",IF(S76="","",IF(input_values!K76&gt;0,input_values!K76,IF(OR(X76=1,X76=3),1,IF((V76&gt;250),5,7)))))</f>
        <v/>
      </c>
      <c r="Z76" s="335" t="str">
        <f t="shared" ref="Z76:Z139" si="10">IF(OR(ISTEXT(F76),F76=0),"",IF(OR(S76="ND",T76="ND"),"ND",IF(($X76="2a"),1/$R76*(($F76*$T76/1000*$Y76)+($F76*($S76-$T76)/1000)),IF(($X76="2b"),1/$R76*($F76*$S76/1000*$Y76),1/$R76*($F76*$S76/1000)))))</f>
        <v/>
      </c>
      <c r="AA76" s="311">
        <f t="shared" ref="AA76:AA139" si="11">IF(OR(ISTEXT(F76),F76=0),0,IF($C$5="not necessary","no acuteRA",IF(Z76="ND","no acute RA",Z76/$C$5)))</f>
        <v>0</v>
      </c>
      <c r="AB76" s="38" t="str">
        <f t="shared" si="5"/>
        <v/>
      </c>
      <c r="AC76" s="335" t="str">
        <f t="shared" si="6"/>
        <v/>
      </c>
      <c r="AD76" s="311">
        <f t="shared" ref="AD76:AD139" si="12">IF(OR(ISTEXT(H76),H76=0,S76=0),0,IF($C$5="not necessary","no acute RA",IF(AC76="ND","no acute RA",AC76/$C$5)))</f>
        <v>0</v>
      </c>
      <c r="AE76" s="344" t="str">
        <f t="shared" si="7"/>
        <v/>
      </c>
      <c r="AF76" s="344" t="str">
        <f t="shared" si="8"/>
        <v/>
      </c>
      <c r="AG76" s="561" t="str">
        <f t="shared" ref="AG76:AG139" si="13">IF(OR(Z76=0,Z76="ND",Z76="",$C$5="not necessary"),"",IF(X76="2a",1000*$C$5*R76/(T76*Y76+S76-T76),IF(X76="2b",1000*$C$5*R76/S76/Y76,IF(OR(X76=1,X76=3),1000*$C$5*R76/S76,""))))</f>
        <v/>
      </c>
      <c r="AH76" s="561" t="str">
        <f t="shared" si="9"/>
        <v/>
      </c>
      <c r="AI76" s="576"/>
      <c r="AJ76" s="847"/>
    </row>
    <row r="77" spans="1:36" ht="12" customHeight="1" outlineLevel="3" x14ac:dyDescent="0.2">
      <c r="A77" s="39">
        <f>acute_overview_children!A77</f>
        <v>4</v>
      </c>
      <c r="B77" s="23">
        <f>acute_overview_children!B77</f>
        <v>162010</v>
      </c>
      <c r="C77" s="23" t="s">
        <v>692</v>
      </c>
      <c r="D77" s="300">
        <f>Table22[[#This Row],[Level used for acute calculation]]</f>
        <v>4</v>
      </c>
      <c r="E77" s="302">
        <f>Table22[[#This Row],[MRL individual commodity]]</f>
        <v>0</v>
      </c>
      <c r="F77" s="451">
        <f>Table22[[#This Row],[Acute RA input value]]</f>
        <v>0</v>
      </c>
      <c r="G77" s="301" t="str">
        <f>Table22[[#This Row],[Acute RA label]]</f>
        <v/>
      </c>
      <c r="H77" s="303">
        <f>Table22[[#This Row],[Acute RA IESTI new input value]]</f>
        <v>0</v>
      </c>
      <c r="I77" s="301" t="str">
        <f>Table22[[#This Row],[Acute RA IESTI new label]]</f>
        <v/>
      </c>
      <c r="J77" s="65"/>
      <c r="K77" s="304">
        <f>Table22[[#This Row],[GAP under assessment]]</f>
        <v>0</v>
      </c>
      <c r="L77" s="304" t="str">
        <f>IF(input_values!$M77=0,"",input_values!$M77)</f>
        <v/>
      </c>
      <c r="M77" s="301" t="str">
        <f>IF(input_values!H77=0,"",input_values!H77)</f>
        <v/>
      </c>
      <c r="N77" s="304">
        <f>input_values!$K77</f>
        <v>0</v>
      </c>
      <c r="O77" s="326">
        <v>6.3647416413373863</v>
      </c>
      <c r="P77" s="22" t="s">
        <v>328</v>
      </c>
      <c r="Q77" s="327" t="s">
        <v>99</v>
      </c>
      <c r="R77" s="326">
        <v>65.8</v>
      </c>
      <c r="S77" s="328">
        <f t="shared" ref="S77:S140" si="14">IF(O77="ND","ND",IF(O77="","",O77*R77))</f>
        <v>418.8</v>
      </c>
      <c r="T77" s="328">
        <v>83</v>
      </c>
      <c r="U77" s="326" t="s">
        <v>215</v>
      </c>
      <c r="V77" s="328">
        <v>100</v>
      </c>
      <c r="W77" s="326" t="s">
        <v>215</v>
      </c>
      <c r="X77" s="1464" t="str">
        <f>IF(V77="ND","ND",IF(S77="","",IF(OR(MID(C77,1,4)="milk",AND(MID(B77,1,2)="50",NOT(input_values!M77="Y")),AND(MID(B77,1,2)="40",NOT(input_values!M77="Y")),AND(MID(B77,1,2)="30",NOT(input_values!M77="Y"))),3,IF(OR(V77="&lt;25",B77&gt;1000000),1,IF((T77&gt;=S77),"2b","2a")))))</f>
        <v>2a</v>
      </c>
      <c r="Y77" s="22">
        <f>IF(X77="ND","ND",IF(S77="","",IF(input_values!K77&gt;0,input_values!K77,IF(OR(X77=1,X77=3),1,IF((V77&gt;250),5,7)))))</f>
        <v>7</v>
      </c>
      <c r="Z77" s="330" t="str">
        <f t="shared" si="10"/>
        <v/>
      </c>
      <c r="AA77" s="331">
        <f t="shared" si="11"/>
        <v>0</v>
      </c>
      <c r="AB77" s="128">
        <f t="shared" ref="AB77:AB140" si="15">IF(OR(Y77=5,Y77=7,N77&gt;3),3,Y77)</f>
        <v>3</v>
      </c>
      <c r="AC77" s="330" t="str">
        <f t="shared" ref="AC77:AC140" si="16">IF(OR(ISTEXT(H77),H77=0),"",IF(OR(S77="ND",T77="ND"),"ND",1/$R77*($H77*$S77*AB77/1000)))</f>
        <v/>
      </c>
      <c r="AD77" s="332">
        <f t="shared" si="12"/>
        <v>0</v>
      </c>
      <c r="AE77" s="333" t="str">
        <f t="shared" ref="AE77:AE140" si="17">IF(AA77&gt;=1,AG77,"")</f>
        <v/>
      </c>
      <c r="AF77" s="333" t="str">
        <f t="shared" ref="AF77:AF140" si="18">IF(AD77&gt;=1,AH77,"")</f>
        <v/>
      </c>
      <c r="AG77" s="561" t="str">
        <f t="shared" si="13"/>
        <v/>
      </c>
      <c r="AH77" s="561" t="str">
        <f t="shared" ref="AH77:AH140" si="19">IF(OR(AC77=0,AC77="ND",AC77="",$C$5="not necessary"),"",1000*$C$5*R77/S77/AB77)</f>
        <v/>
      </c>
      <c r="AI77" s="576"/>
      <c r="AJ77" s="847"/>
    </row>
    <row r="78" spans="1:36" ht="12" customHeight="1" outlineLevel="3" x14ac:dyDescent="0.2">
      <c r="A78" s="39">
        <f>acute_overview_children!A78</f>
        <v>4</v>
      </c>
      <c r="B78" s="23">
        <f>acute_overview_children!B78</f>
        <v>162020</v>
      </c>
      <c r="C78" s="23" t="s">
        <v>693</v>
      </c>
      <c r="D78" s="300">
        <f>Table22[[#This Row],[Level used for acute calculation]]</f>
        <v>4</v>
      </c>
      <c r="E78" s="302">
        <f>Table22[[#This Row],[MRL individual commodity]]</f>
        <v>0</v>
      </c>
      <c r="F78" s="451">
        <f>Table22[[#This Row],[Acute RA input value]]</f>
        <v>0</v>
      </c>
      <c r="G78" s="301" t="str">
        <f>Table22[[#This Row],[Acute RA label]]</f>
        <v/>
      </c>
      <c r="H78" s="303">
        <f>Table22[[#This Row],[Acute RA IESTI new input value]]</f>
        <v>0</v>
      </c>
      <c r="I78" s="301" t="str">
        <f>Table22[[#This Row],[Acute RA IESTI new label]]</f>
        <v/>
      </c>
      <c r="J78" s="65"/>
      <c r="K78" s="304">
        <f>Table22[[#This Row],[GAP under assessment]]</f>
        <v>0</v>
      </c>
      <c r="L78" s="304" t="str">
        <f>IF(input_values!$M78=0,"",input_values!$M78)</f>
        <v/>
      </c>
      <c r="M78" s="301" t="str">
        <f>IF(input_values!H78=0,"",input_values!H78)</f>
        <v/>
      </c>
      <c r="N78" s="304">
        <f>input_values!$K78</f>
        <v>0</v>
      </c>
      <c r="O78" s="326">
        <v>1.07</v>
      </c>
      <c r="P78" s="22">
        <v>95</v>
      </c>
      <c r="Q78" s="327" t="s">
        <v>335</v>
      </c>
      <c r="R78" s="326">
        <v>76.38</v>
      </c>
      <c r="S78" s="328">
        <f t="shared" si="14"/>
        <v>81.726600000000005</v>
      </c>
      <c r="T78" s="338" t="s">
        <v>617</v>
      </c>
      <c r="U78" s="339" t="s">
        <v>215</v>
      </c>
      <c r="V78" s="338" t="s">
        <v>617</v>
      </c>
      <c r="W78" s="339" t="s">
        <v>215</v>
      </c>
      <c r="X78" s="1464">
        <f>IF(V78="ND","ND",IF(S78="","",IF(OR(MID(C78,1,4)="milk",AND(MID(B78,1,2)="50",NOT(input_values!M78="Y")),AND(MID(B78,1,2)="40",NOT(input_values!M78="Y")),AND(MID(B78,1,2)="30",NOT(input_values!M78="Y"))),3,IF(OR(V78="&lt;25",B78&gt;1000000),1,IF((T78&gt;=S78),"2b","2a")))))</f>
        <v>1</v>
      </c>
      <c r="Y78" s="22">
        <f>IF(X78="ND","ND",IF(S78="","",IF(input_values!K78&gt;0,input_values!K78,IF(OR(X78=1,X78=3),1,IF((V78&gt;250),5,7)))))</f>
        <v>1</v>
      </c>
      <c r="Z78" s="330" t="str">
        <f t="shared" si="10"/>
        <v/>
      </c>
      <c r="AA78" s="331">
        <f t="shared" si="11"/>
        <v>0</v>
      </c>
      <c r="AB78" s="128">
        <f t="shared" si="15"/>
        <v>1</v>
      </c>
      <c r="AC78" s="330" t="str">
        <f t="shared" si="16"/>
        <v/>
      </c>
      <c r="AD78" s="332">
        <f t="shared" si="12"/>
        <v>0</v>
      </c>
      <c r="AE78" s="333" t="str">
        <f t="shared" si="17"/>
        <v/>
      </c>
      <c r="AF78" s="333" t="str">
        <f t="shared" si="18"/>
        <v/>
      </c>
      <c r="AG78" s="561" t="str">
        <f t="shared" si="13"/>
        <v/>
      </c>
      <c r="AH78" s="561" t="str">
        <f t="shared" si="19"/>
        <v/>
      </c>
      <c r="AI78" s="576"/>
      <c r="AJ78" s="847"/>
    </row>
    <row r="79" spans="1:36" ht="12" customHeight="1" outlineLevel="3" x14ac:dyDescent="0.2">
      <c r="A79" s="39">
        <f>acute_overview_children!A79</f>
        <v>4</v>
      </c>
      <c r="B79" s="23">
        <f>acute_overview_children!B79</f>
        <v>162030</v>
      </c>
      <c r="C79" s="23" t="s">
        <v>694</v>
      </c>
      <c r="D79" s="300">
        <f>Table22[[#This Row],[Level used for acute calculation]]</f>
        <v>4</v>
      </c>
      <c r="E79" s="302">
        <f>Table22[[#This Row],[MRL individual commodity]]</f>
        <v>0</v>
      </c>
      <c r="F79" s="451">
        <f>Table22[[#This Row],[Acute RA input value]]</f>
        <v>0</v>
      </c>
      <c r="G79" s="301" t="str">
        <f>Table22[[#This Row],[Acute RA label]]</f>
        <v/>
      </c>
      <c r="H79" s="303">
        <f>Table22[[#This Row],[Acute RA IESTI new input value]]</f>
        <v>0</v>
      </c>
      <c r="I79" s="301" t="str">
        <f>Table22[[#This Row],[Acute RA IESTI new label]]</f>
        <v/>
      </c>
      <c r="J79" s="65"/>
      <c r="K79" s="304">
        <f>Table22[[#This Row],[GAP under assessment]]</f>
        <v>0</v>
      </c>
      <c r="L79" s="304" t="str">
        <f>IF(input_values!$M79=0,"",input_values!$M79)</f>
        <v/>
      </c>
      <c r="M79" s="301" t="str">
        <f>IF(input_values!H79=0,"",input_values!H79)</f>
        <v/>
      </c>
      <c r="N79" s="304">
        <f>input_values!$K79</f>
        <v>0</v>
      </c>
      <c r="O79" s="326">
        <v>1.58</v>
      </c>
      <c r="P79" s="22">
        <v>97.5</v>
      </c>
      <c r="Q79" s="327" t="s">
        <v>0</v>
      </c>
      <c r="R79" s="326">
        <v>66.48</v>
      </c>
      <c r="S79" s="328">
        <f t="shared" si="14"/>
        <v>105.03840000000001</v>
      </c>
      <c r="T79" s="338">
        <v>19</v>
      </c>
      <c r="U79" s="339" t="s">
        <v>215</v>
      </c>
      <c r="V79" s="338">
        <v>37</v>
      </c>
      <c r="W79" s="339" t="s">
        <v>215</v>
      </c>
      <c r="X79" s="1464" t="str">
        <f>IF(V79="ND","ND",IF(S79="","",IF(OR(MID(C79,1,4)="milk",AND(MID(B79,1,2)="50",NOT(input_values!M79="Y")),AND(MID(B79,1,2)="40",NOT(input_values!M79="Y")),AND(MID(B79,1,2)="30",NOT(input_values!M79="Y"))),3,IF(OR(V79="&lt;25",B79&gt;1000000),1,IF((T79&gt;=S79),"2b","2a")))))</f>
        <v>2a</v>
      </c>
      <c r="Y79" s="22">
        <f>IF(X79="ND","ND",IF(S79="","",IF(input_values!K79&gt;0,input_values!K79,IF(OR(X79=1,X79=3),1,IF((V79&gt;250),5,7)))))</f>
        <v>7</v>
      </c>
      <c r="Z79" s="330" t="str">
        <f t="shared" si="10"/>
        <v/>
      </c>
      <c r="AA79" s="331">
        <f t="shared" si="11"/>
        <v>0</v>
      </c>
      <c r="AB79" s="128">
        <f t="shared" si="15"/>
        <v>3</v>
      </c>
      <c r="AC79" s="330" t="str">
        <f t="shared" si="16"/>
        <v/>
      </c>
      <c r="AD79" s="332">
        <f t="shared" si="12"/>
        <v>0</v>
      </c>
      <c r="AE79" s="333" t="str">
        <f t="shared" si="17"/>
        <v/>
      </c>
      <c r="AF79" s="333" t="str">
        <f t="shared" si="18"/>
        <v/>
      </c>
      <c r="AG79" s="561" t="str">
        <f t="shared" si="13"/>
        <v/>
      </c>
      <c r="AH79" s="561" t="str">
        <f t="shared" si="19"/>
        <v/>
      </c>
      <c r="AI79" s="576"/>
      <c r="AJ79" s="847"/>
    </row>
    <row r="80" spans="1:36" ht="12" customHeight="1" outlineLevel="3" x14ac:dyDescent="0.2">
      <c r="A80" s="39">
        <f>acute_overview_children!A80</f>
        <v>4</v>
      </c>
      <c r="B80" s="23">
        <f>acute_overview_children!B80</f>
        <v>162040</v>
      </c>
      <c r="C80" s="23" t="s">
        <v>695</v>
      </c>
      <c r="D80" s="300">
        <f>Table22[[#This Row],[Level used for acute calculation]]</f>
        <v>4</v>
      </c>
      <c r="E80" s="302">
        <f>Table22[[#This Row],[MRL individual commodity]]</f>
        <v>0</v>
      </c>
      <c r="F80" s="451">
        <f>Table22[[#This Row],[Acute RA input value]]</f>
        <v>0</v>
      </c>
      <c r="G80" s="301" t="str">
        <f>Table22[[#This Row],[Acute RA label]]</f>
        <v/>
      </c>
      <c r="H80" s="303">
        <f>Table22[[#This Row],[Acute RA IESTI new input value]]</f>
        <v>0</v>
      </c>
      <c r="I80" s="301" t="str">
        <f>Table22[[#This Row],[Acute RA IESTI new label]]</f>
        <v/>
      </c>
      <c r="J80" s="65"/>
      <c r="K80" s="304">
        <f>Table22[[#This Row],[GAP under assessment]]</f>
        <v>0</v>
      </c>
      <c r="L80" s="304" t="str">
        <f>IF(input_values!$M80=0,"",input_values!$M80)</f>
        <v/>
      </c>
      <c r="M80" s="301" t="str">
        <f>IF(input_values!H80=0,"",input_values!H80)</f>
        <v/>
      </c>
      <c r="N80" s="304">
        <f>input_values!$K80</f>
        <v>0</v>
      </c>
      <c r="O80" s="326">
        <v>1.34</v>
      </c>
      <c r="P80" s="22">
        <v>97.5</v>
      </c>
      <c r="Q80" s="327" t="s">
        <v>99</v>
      </c>
      <c r="R80" s="326">
        <v>65.8</v>
      </c>
      <c r="S80" s="328">
        <f t="shared" si="14"/>
        <v>88.171999999999997</v>
      </c>
      <c r="T80" s="328">
        <v>87.77</v>
      </c>
      <c r="U80" s="326" t="s">
        <v>215</v>
      </c>
      <c r="V80" s="328">
        <v>131</v>
      </c>
      <c r="W80" s="326" t="s">
        <v>215</v>
      </c>
      <c r="X80" s="1464" t="str">
        <f>IF(V80="ND","ND",IF(S80="","",IF(OR(MID(C80,1,4)="milk",AND(MID(B80,1,2)="50",NOT(input_values!M80="Y")),AND(MID(B80,1,2)="40",NOT(input_values!M80="Y")),AND(MID(B80,1,2)="30",NOT(input_values!M80="Y"))),3,IF(OR(V80="&lt;25",B80&gt;1000000),1,IF((T80&gt;=S80),"2b","2a")))))</f>
        <v>2a</v>
      </c>
      <c r="Y80" s="22">
        <f>IF(X80="ND","ND",IF(S80="","",IF(input_values!K80&gt;0,input_values!K80,IF(OR(X80=1,X80=3),1,IF((V80&gt;250),5,7)))))</f>
        <v>7</v>
      </c>
      <c r="Z80" s="330" t="str">
        <f t="shared" si="10"/>
        <v/>
      </c>
      <c r="AA80" s="331">
        <f t="shared" si="11"/>
        <v>0</v>
      </c>
      <c r="AB80" s="128">
        <f t="shared" si="15"/>
        <v>3</v>
      </c>
      <c r="AC80" s="330" t="str">
        <f t="shared" si="16"/>
        <v/>
      </c>
      <c r="AD80" s="332">
        <f t="shared" si="12"/>
        <v>0</v>
      </c>
      <c r="AE80" s="333" t="str">
        <f t="shared" si="17"/>
        <v/>
      </c>
      <c r="AF80" s="333" t="str">
        <f t="shared" si="18"/>
        <v/>
      </c>
      <c r="AG80" s="561" t="str">
        <f t="shared" si="13"/>
        <v/>
      </c>
      <c r="AH80" s="561" t="str">
        <f t="shared" si="19"/>
        <v/>
      </c>
      <c r="AI80" s="576"/>
      <c r="AJ80" s="847"/>
    </row>
    <row r="81" spans="1:36" ht="12" customHeight="1" outlineLevel="3" x14ac:dyDescent="0.2">
      <c r="A81" s="39">
        <f>acute_overview_children!A81</f>
        <v>4</v>
      </c>
      <c r="B81" s="23">
        <f>acute_overview_children!B81</f>
        <v>162050</v>
      </c>
      <c r="C81" s="23" t="s">
        <v>696</v>
      </c>
      <c r="D81" s="300">
        <f>Table22[[#This Row],[Level used for acute calculation]]</f>
        <v>4</v>
      </c>
      <c r="E81" s="302">
        <f>Table22[[#This Row],[MRL individual commodity]]</f>
        <v>0</v>
      </c>
      <c r="F81" s="451">
        <f>Table22[[#This Row],[Acute RA input value]]</f>
        <v>0</v>
      </c>
      <c r="G81" s="301" t="str">
        <f>Table22[[#This Row],[Acute RA label]]</f>
        <v/>
      </c>
      <c r="H81" s="303">
        <f>Table22[[#This Row],[Acute RA IESTI new input value]]</f>
        <v>0</v>
      </c>
      <c r="I81" s="301" t="str">
        <f>Table22[[#This Row],[Acute RA IESTI new label]]</f>
        <v/>
      </c>
      <c r="J81" s="65"/>
      <c r="K81" s="304">
        <f>Table22[[#This Row],[GAP under assessment]]</f>
        <v>0</v>
      </c>
      <c r="L81" s="304" t="str">
        <f>IF(input_values!$M81=0,"",input_values!$M81)</f>
        <v/>
      </c>
      <c r="M81" s="301" t="str">
        <f>IF(input_values!H81=0,"",input_values!H81)</f>
        <v/>
      </c>
      <c r="N81" s="304">
        <f>input_values!$K81</f>
        <v>0</v>
      </c>
      <c r="O81" s="338" t="s">
        <v>618</v>
      </c>
      <c r="P81" s="22"/>
      <c r="Q81" s="327"/>
      <c r="R81" s="326"/>
      <c r="S81" s="31" t="str">
        <f t="shared" si="14"/>
        <v>ND</v>
      </c>
      <c r="T81" s="338" t="s">
        <v>618</v>
      </c>
      <c r="U81" s="326"/>
      <c r="V81" s="338" t="s">
        <v>618</v>
      </c>
      <c r="W81" s="326"/>
      <c r="X81" s="460" t="str">
        <f>IF(V81="ND","ND",IF(S81="","",IF(OR(MID(C81,1,4)="milk",AND(MID(B81,1,2)="50",NOT(input_values!M81="Y")),AND(MID(B81,1,2)="40",NOT(input_values!M81="Y")),AND(MID(B81,1,2)="30",NOT(input_values!M81="Y"))),3,IF(OR(V81="&lt;25",B81&gt;1000000),1,IF((T81&gt;=S81),"2b","2a")))))</f>
        <v>ND</v>
      </c>
      <c r="Y81" s="22" t="str">
        <f>IF(X81="ND","ND",IF(S81="","",IF(input_values!K81&gt;0,input_values!K81,IF(OR(X81=1,X81=3),1,IF((V81&gt;250),5,7)))))</f>
        <v>ND</v>
      </c>
      <c r="Z81" s="340" t="str">
        <f t="shared" si="10"/>
        <v/>
      </c>
      <c r="AA81" s="332">
        <f t="shared" si="11"/>
        <v>0</v>
      </c>
      <c r="AB81" s="128" t="str">
        <f t="shared" si="15"/>
        <v>ND</v>
      </c>
      <c r="AC81" s="340" t="str">
        <f t="shared" si="16"/>
        <v/>
      </c>
      <c r="AD81" s="332">
        <f t="shared" si="12"/>
        <v>0</v>
      </c>
      <c r="AE81" s="37" t="str">
        <f t="shared" si="17"/>
        <v/>
      </c>
      <c r="AF81" s="37" t="str">
        <f t="shared" si="18"/>
        <v/>
      </c>
      <c r="AG81" s="561" t="str">
        <f t="shared" si="13"/>
        <v/>
      </c>
      <c r="AH81" s="561" t="str">
        <f t="shared" si="19"/>
        <v/>
      </c>
      <c r="AI81" s="576"/>
      <c r="AJ81" s="847"/>
    </row>
    <row r="82" spans="1:36" ht="12" customHeight="1" outlineLevel="3" x14ac:dyDescent="0.2">
      <c r="A82" s="39">
        <f>acute_overview_children!A82</f>
        <v>4</v>
      </c>
      <c r="B82" s="23">
        <f>acute_overview_children!B82</f>
        <v>162060</v>
      </c>
      <c r="C82" s="23" t="s">
        <v>697</v>
      </c>
      <c r="D82" s="300">
        <f>Table22[[#This Row],[Level used for acute calculation]]</f>
        <v>4</v>
      </c>
      <c r="E82" s="302">
        <f>Table22[[#This Row],[MRL individual commodity]]</f>
        <v>0</v>
      </c>
      <c r="F82" s="451">
        <f>Table22[[#This Row],[Acute RA input value]]</f>
        <v>0</v>
      </c>
      <c r="G82" s="301" t="str">
        <f>Table22[[#This Row],[Acute RA label]]</f>
        <v/>
      </c>
      <c r="H82" s="303">
        <f>Table22[[#This Row],[Acute RA IESTI new input value]]</f>
        <v>0</v>
      </c>
      <c r="I82" s="301" t="str">
        <f>Table22[[#This Row],[Acute RA IESTI new label]]</f>
        <v/>
      </c>
      <c r="J82" s="65"/>
      <c r="K82" s="304">
        <f>Table22[[#This Row],[GAP under assessment]]</f>
        <v>0</v>
      </c>
      <c r="L82" s="304" t="str">
        <f>IF(input_values!$M82=0,"",input_values!$M82)</f>
        <v/>
      </c>
      <c r="M82" s="301" t="str">
        <f>IF(input_values!H82=0,"",input_values!H82)</f>
        <v/>
      </c>
      <c r="N82" s="304">
        <f>input_values!$K82</f>
        <v>0</v>
      </c>
      <c r="O82" s="338" t="s">
        <v>618</v>
      </c>
      <c r="P82" s="22"/>
      <c r="Q82" s="327"/>
      <c r="R82" s="326"/>
      <c r="S82" s="31" t="str">
        <f t="shared" si="14"/>
        <v>ND</v>
      </c>
      <c r="T82" s="338">
        <v>145</v>
      </c>
      <c r="U82" s="326" t="s">
        <v>215</v>
      </c>
      <c r="V82" s="338">
        <v>135</v>
      </c>
      <c r="W82" s="326" t="s">
        <v>215</v>
      </c>
      <c r="X82" s="460" t="str">
        <f>IF(V82="ND","ND",IF(S82="","",IF(OR(MID(C82,1,4)="milk",AND(MID(B82,1,2)="50",NOT(input_values!M82="Y")),AND(MID(B82,1,2)="40",NOT(input_values!M82="Y")),AND(MID(B82,1,2)="30",NOT(input_values!M82="Y"))),3,IF(OR(V82="&lt;25",B82&gt;1000000),1,IF((T82&gt;=S82),"2b","2a")))))</f>
        <v>2a</v>
      </c>
      <c r="Y82" s="22">
        <f>IF(X82="ND","ND",IF(S82="","",IF(input_values!K82&gt;0,input_values!K82,IF(OR(X82=1,X82=3),1,IF((V82&gt;250),5,7)))))</f>
        <v>7</v>
      </c>
      <c r="Z82" s="340" t="str">
        <f t="shared" si="10"/>
        <v/>
      </c>
      <c r="AA82" s="332">
        <f t="shared" si="11"/>
        <v>0</v>
      </c>
      <c r="AB82" s="128">
        <f t="shared" si="15"/>
        <v>3</v>
      </c>
      <c r="AC82" s="340" t="str">
        <f t="shared" si="16"/>
        <v/>
      </c>
      <c r="AD82" s="332">
        <f t="shared" si="12"/>
        <v>0</v>
      </c>
      <c r="AE82" s="37" t="str">
        <f t="shared" si="17"/>
        <v/>
      </c>
      <c r="AF82" s="37" t="str">
        <f t="shared" si="18"/>
        <v/>
      </c>
      <c r="AG82" s="561" t="str">
        <f t="shared" si="13"/>
        <v/>
      </c>
      <c r="AH82" s="561" t="str">
        <f t="shared" si="19"/>
        <v/>
      </c>
      <c r="AI82" s="576"/>
      <c r="AJ82" s="847"/>
    </row>
    <row r="83" spans="1:36" ht="12" customHeight="1" outlineLevel="3" x14ac:dyDescent="0.2">
      <c r="A83" s="39">
        <f>acute_overview_children!A83</f>
        <v>4</v>
      </c>
      <c r="B83" s="23">
        <f>acute_overview_children!B83</f>
        <v>162990</v>
      </c>
      <c r="C83" s="23" t="s">
        <v>54</v>
      </c>
      <c r="D83" s="300">
        <f>Table22[[#This Row],[Level used for acute calculation]]</f>
        <v>0</v>
      </c>
      <c r="E83" s="302">
        <f>Table22[[#This Row],[MRL individual commodity]]</f>
        <v>0</v>
      </c>
      <c r="F83" s="451">
        <f>Table22[[#This Row],[Acute RA input value]]</f>
        <v>0</v>
      </c>
      <c r="G83" s="301">
        <f>Table22[[#This Row],[Acute RA label]]</f>
        <v>0</v>
      </c>
      <c r="H83" s="303">
        <f>Table22[[#This Row],[Acute RA IESTI new input value]]</f>
        <v>0</v>
      </c>
      <c r="I83" s="301">
        <f>Table22[[#This Row],[Acute RA IESTI new label]]</f>
        <v>0</v>
      </c>
      <c r="J83" s="65"/>
      <c r="K83" s="304">
        <f>Table22[[#This Row],[GAP under assessment]]</f>
        <v>0</v>
      </c>
      <c r="L83" s="304" t="str">
        <f>IF(input_values!$M83=0,"",input_values!$M83)</f>
        <v/>
      </c>
      <c r="M83" s="301" t="str">
        <f>IF(input_values!H83=0,"",input_values!H83)</f>
        <v/>
      </c>
      <c r="N83" s="304">
        <f>input_values!$K83</f>
        <v>0</v>
      </c>
      <c r="O83" s="309"/>
      <c r="P83" s="38"/>
      <c r="Q83" s="306"/>
      <c r="R83" s="309"/>
      <c r="S83" s="336" t="str">
        <f t="shared" si="14"/>
        <v/>
      </c>
      <c r="T83" s="305"/>
      <c r="U83" s="309"/>
      <c r="V83" s="305"/>
      <c r="W83" s="309"/>
      <c r="X83" s="611" t="str">
        <f>IF(V83="ND","ND",IF(S83="","",IF(OR(MID(C83,1,4)="milk",AND(MID(B83,1,2)="50",NOT(input_values!M83="Y")),AND(MID(B83,1,2)="40",NOT(input_values!M83="Y")),AND(MID(B83,1,2)="30",NOT(input_values!M83="Y"))),3,IF(OR(V83="&lt;25",B83&gt;1000000),1,IF((T83&gt;=S83),"2b","2a")))))</f>
        <v/>
      </c>
      <c r="Y83" s="38" t="str">
        <f>IF(X83="ND","ND",IF(S83="","",IF(input_values!K83&gt;0,input_values!K83,IF(OR(X83=1,X83=3),1,IF((V83&gt;250),5,7)))))</f>
        <v/>
      </c>
      <c r="Z83" s="335" t="str">
        <f t="shared" si="10"/>
        <v/>
      </c>
      <c r="AA83" s="311">
        <f t="shared" si="11"/>
        <v>0</v>
      </c>
      <c r="AB83" s="38" t="str">
        <f t="shared" si="15"/>
        <v/>
      </c>
      <c r="AC83" s="335" t="str">
        <f t="shared" si="16"/>
        <v/>
      </c>
      <c r="AD83" s="311">
        <f t="shared" si="12"/>
        <v>0</v>
      </c>
      <c r="AE83" s="344" t="str">
        <f t="shared" si="17"/>
        <v/>
      </c>
      <c r="AF83" s="344" t="str">
        <f t="shared" si="18"/>
        <v/>
      </c>
      <c r="AG83" s="561" t="str">
        <f t="shared" si="13"/>
        <v/>
      </c>
      <c r="AH83" s="561" t="str">
        <f t="shared" si="19"/>
        <v/>
      </c>
      <c r="AI83" s="576"/>
      <c r="AJ83" s="847"/>
    </row>
    <row r="84" spans="1:36" ht="36" outlineLevel="2" x14ac:dyDescent="0.2">
      <c r="A84" s="132">
        <f>acute_overview_children!A84</f>
        <v>3</v>
      </c>
      <c r="B84" s="3">
        <f>acute_overview_children!B84</f>
        <v>163000</v>
      </c>
      <c r="C84" s="3" t="s">
        <v>136</v>
      </c>
      <c r="D84" s="300">
        <f>Table22[[#This Row],[Level used for acute calculation]]</f>
        <v>4</v>
      </c>
      <c r="E84" s="302">
        <f>Table22[[#This Row],[MRL individual commodity]]</f>
        <v>0</v>
      </c>
      <c r="F84" s="451">
        <f>Table22[[#This Row],[Acute RA input value]]</f>
        <v>0</v>
      </c>
      <c r="G84" s="301">
        <f>Table22[[#This Row],[Acute RA label]]</f>
        <v>0</v>
      </c>
      <c r="H84" s="303">
        <f>Table22[[#This Row],[Acute RA IESTI new input value]]</f>
        <v>0</v>
      </c>
      <c r="I84" s="301">
        <f>Table22[[#This Row],[Acute RA IESTI new label]]</f>
        <v>0</v>
      </c>
      <c r="J84" s="65"/>
      <c r="K84" s="304">
        <f>Table22[[#This Row],[GAP under assessment]]</f>
        <v>0</v>
      </c>
      <c r="L84" s="304" t="str">
        <f>IF(input_values!$M84=0,"",input_values!$M84)</f>
        <v/>
      </c>
      <c r="M84" s="301" t="str">
        <f>IF(input_values!H84=0,"",input_values!H84)</f>
        <v/>
      </c>
      <c r="N84" s="304">
        <f>input_values!$K84</f>
        <v>0</v>
      </c>
      <c r="O84" s="309"/>
      <c r="P84" s="38"/>
      <c r="Q84" s="306"/>
      <c r="R84" s="309"/>
      <c r="S84" s="336" t="str">
        <f t="shared" si="14"/>
        <v/>
      </c>
      <c r="T84" s="342"/>
      <c r="U84" s="343"/>
      <c r="V84" s="342"/>
      <c r="W84" s="343"/>
      <c r="X84" s="611" t="str">
        <f>IF(V84="ND","ND",IF(S84="","",IF(OR(MID(C84,1,4)="milk",AND(MID(B84,1,2)="50",NOT(input_values!M84="Y")),AND(MID(B84,1,2)="40",NOT(input_values!M84="Y")),AND(MID(B84,1,2)="30",NOT(input_values!M84="Y"))),3,IF(OR(V84="&lt;25",B84&gt;1000000),1,IF((T84&gt;=S84),"2b","2a")))))</f>
        <v/>
      </c>
      <c r="Y84" s="38" t="str">
        <f>IF(X84="ND","ND",IF(S84="","",IF(input_values!K84&gt;0,input_values!K84,IF(OR(X84=1,X84=3),1,IF((V84&gt;250),5,7)))))</f>
        <v/>
      </c>
      <c r="Z84" s="335" t="str">
        <f t="shared" si="10"/>
        <v/>
      </c>
      <c r="AA84" s="311">
        <f t="shared" si="11"/>
        <v>0</v>
      </c>
      <c r="AB84" s="38" t="str">
        <f t="shared" si="15"/>
        <v/>
      </c>
      <c r="AC84" s="335" t="str">
        <f t="shared" si="16"/>
        <v/>
      </c>
      <c r="AD84" s="311">
        <f t="shared" si="12"/>
        <v>0</v>
      </c>
      <c r="AE84" s="344" t="str">
        <f t="shared" si="17"/>
        <v/>
      </c>
      <c r="AF84" s="344" t="str">
        <f t="shared" si="18"/>
        <v/>
      </c>
      <c r="AG84" s="561" t="str">
        <f t="shared" si="13"/>
        <v/>
      </c>
      <c r="AH84" s="561" t="str">
        <f t="shared" si="19"/>
        <v/>
      </c>
      <c r="AI84" s="576"/>
      <c r="AJ84" s="847"/>
    </row>
    <row r="85" spans="1:36" ht="12" customHeight="1" outlineLevel="3" x14ac:dyDescent="0.2">
      <c r="A85" s="39">
        <f>acute_overview_children!A85</f>
        <v>4</v>
      </c>
      <c r="B85" s="23">
        <f>acute_overview_children!B85</f>
        <v>163010</v>
      </c>
      <c r="C85" s="23" t="s">
        <v>265</v>
      </c>
      <c r="D85" s="300">
        <f>Table22[[#This Row],[Level used for acute calculation]]</f>
        <v>4</v>
      </c>
      <c r="E85" s="302">
        <f>Table22[[#This Row],[MRL individual commodity]]</f>
        <v>0</v>
      </c>
      <c r="F85" s="451">
        <f>Table22[[#This Row],[Acute RA input value]]</f>
        <v>0</v>
      </c>
      <c r="G85" s="301" t="str">
        <f>Table22[[#This Row],[Acute RA label]]</f>
        <v/>
      </c>
      <c r="H85" s="303">
        <f>Table22[[#This Row],[Acute RA IESTI new input value]]</f>
        <v>0</v>
      </c>
      <c r="I85" s="301" t="str">
        <f>Table22[[#This Row],[Acute RA IESTI new label]]</f>
        <v/>
      </c>
      <c r="J85" s="65"/>
      <c r="K85" s="304">
        <f>Table22[[#This Row],[GAP under assessment]]</f>
        <v>0</v>
      </c>
      <c r="L85" s="304" t="str">
        <f>IF(input_values!$M85=0,"",input_values!$M85)</f>
        <v/>
      </c>
      <c r="M85" s="301" t="str">
        <f>IF(input_values!H85=0,"",input_values!H85)</f>
        <v/>
      </c>
      <c r="N85" s="304">
        <f>input_values!$K85</f>
        <v>0</v>
      </c>
      <c r="O85" s="339">
        <v>4.0746054519000001</v>
      </c>
      <c r="P85" s="128">
        <v>97.5</v>
      </c>
      <c r="Q85" s="346" t="s">
        <v>957</v>
      </c>
      <c r="R85" s="339">
        <v>84.7</v>
      </c>
      <c r="S85" s="338">
        <f t="shared" si="14"/>
        <v>345.11908177593</v>
      </c>
      <c r="T85" s="338">
        <v>154.46571428571428</v>
      </c>
      <c r="U85" s="339" t="s">
        <v>90</v>
      </c>
      <c r="V85" s="338">
        <v>217.92491694352159</v>
      </c>
      <c r="W85" s="339" t="s">
        <v>90</v>
      </c>
      <c r="X85" s="1464" t="str">
        <f>IF(V85="ND","ND",IF(S85="","",IF(OR(MID(C85,1,4)="milk",AND(MID(B85,1,2)="50",NOT(input_values!M85="Y")),AND(MID(B85,1,2)="40",NOT(input_values!M85="Y")),AND(MID(B85,1,2)="30",NOT(input_values!M85="Y"))),3,IF(OR(V85="&lt;25",B85&gt;1000000),1,IF((T85&gt;=S85),"2b","2a")))))</f>
        <v>2a</v>
      </c>
      <c r="Y85" s="22">
        <f>IF(X85="ND","ND",IF(S85="","",IF(input_values!K85&gt;0,input_values!K85,IF(OR(X85=1,X85=3),1,IF((V85&gt;250),5,7)))))</f>
        <v>7</v>
      </c>
      <c r="Z85" s="330" t="str">
        <f t="shared" si="10"/>
        <v/>
      </c>
      <c r="AA85" s="331">
        <f t="shared" si="11"/>
        <v>0</v>
      </c>
      <c r="AB85" s="128">
        <f t="shared" si="15"/>
        <v>3</v>
      </c>
      <c r="AC85" s="330" t="str">
        <f t="shared" si="16"/>
        <v/>
      </c>
      <c r="AD85" s="332">
        <f t="shared" si="12"/>
        <v>0</v>
      </c>
      <c r="AE85" s="333" t="str">
        <f t="shared" si="17"/>
        <v/>
      </c>
      <c r="AF85" s="333" t="str">
        <f t="shared" si="18"/>
        <v/>
      </c>
      <c r="AG85" s="561" t="str">
        <f t="shared" si="13"/>
        <v/>
      </c>
      <c r="AH85" s="561" t="str">
        <f t="shared" si="19"/>
        <v/>
      </c>
      <c r="AI85" s="576"/>
      <c r="AJ85" s="847"/>
    </row>
    <row r="86" spans="1:36" ht="12" customHeight="1" outlineLevel="3" x14ac:dyDescent="0.2">
      <c r="A86" s="39">
        <f>acute_overview_children!A86</f>
        <v>4</v>
      </c>
      <c r="B86" s="23">
        <f>acute_overview_children!B86</f>
        <v>163020</v>
      </c>
      <c r="C86" s="23" t="s">
        <v>266</v>
      </c>
      <c r="D86" s="300">
        <f>Table22[[#This Row],[Level used for acute calculation]]</f>
        <v>4</v>
      </c>
      <c r="E86" s="302">
        <f>Table22[[#This Row],[MRL individual commodity]]</f>
        <v>0</v>
      </c>
      <c r="F86" s="451">
        <f>Table22[[#This Row],[Acute RA input value]]</f>
        <v>0</v>
      </c>
      <c r="G86" s="301" t="str">
        <f>Table22[[#This Row],[Acute RA label]]</f>
        <v/>
      </c>
      <c r="H86" s="303">
        <f>Table22[[#This Row],[Acute RA IESTI new input value]]</f>
        <v>0</v>
      </c>
      <c r="I86" s="301" t="str">
        <f>Table22[[#This Row],[Acute RA IESTI new label]]</f>
        <v/>
      </c>
      <c r="J86" s="65"/>
      <c r="K86" s="304">
        <f>Table22[[#This Row],[GAP under assessment]]</f>
        <v>0</v>
      </c>
      <c r="L86" s="304" t="str">
        <f>IF(input_values!$M86=0,"",input_values!$M86)</f>
        <v/>
      </c>
      <c r="M86" s="301" t="str">
        <f>IF(input_values!H86=0,"",input_values!H86)</f>
        <v/>
      </c>
      <c r="N86" s="304">
        <f>input_values!$K86</f>
        <v>0</v>
      </c>
      <c r="O86" s="326">
        <v>9.2857142857142865</v>
      </c>
      <c r="P86" s="22" t="s">
        <v>328</v>
      </c>
      <c r="Q86" s="327" t="s">
        <v>99</v>
      </c>
      <c r="R86" s="326">
        <v>65.8</v>
      </c>
      <c r="S86" s="328">
        <f t="shared" si="14"/>
        <v>611</v>
      </c>
      <c r="T86" s="328">
        <v>130.19999999999999</v>
      </c>
      <c r="U86" s="326" t="s">
        <v>215</v>
      </c>
      <c r="V86" s="328">
        <v>186</v>
      </c>
      <c r="W86" s="326" t="s">
        <v>215</v>
      </c>
      <c r="X86" s="1464" t="str">
        <f>IF(V86="ND","ND",IF(S86="","",IF(OR(MID(C86,1,4)="milk",AND(MID(B86,1,2)="50",NOT(input_values!M86="Y")),AND(MID(B86,1,2)="40",NOT(input_values!M86="Y")),AND(MID(B86,1,2)="30",NOT(input_values!M86="Y"))),3,IF(OR(V86="&lt;25",B86&gt;1000000),1,IF((T86&gt;=S86),"2b","2a")))))</f>
        <v>2a</v>
      </c>
      <c r="Y86" s="22">
        <f>IF(X86="ND","ND",IF(S86="","",IF(input_values!K86&gt;0,input_values!K86,IF(OR(X86=1,X86=3),1,IF((V86&gt;250),5,7)))))</f>
        <v>7</v>
      </c>
      <c r="Z86" s="330" t="str">
        <f t="shared" si="10"/>
        <v/>
      </c>
      <c r="AA86" s="331">
        <f t="shared" si="11"/>
        <v>0</v>
      </c>
      <c r="AB86" s="128">
        <f t="shared" si="15"/>
        <v>3</v>
      </c>
      <c r="AC86" s="330" t="str">
        <f t="shared" si="16"/>
        <v/>
      </c>
      <c r="AD86" s="332">
        <f t="shared" si="12"/>
        <v>0</v>
      </c>
      <c r="AE86" s="333" t="str">
        <f t="shared" si="17"/>
        <v/>
      </c>
      <c r="AF86" s="333" t="str">
        <f t="shared" si="18"/>
        <v/>
      </c>
      <c r="AG86" s="561" t="str">
        <f t="shared" si="13"/>
        <v/>
      </c>
      <c r="AH86" s="561" t="str">
        <f t="shared" si="19"/>
        <v/>
      </c>
      <c r="AI86" s="576"/>
      <c r="AJ86" s="847"/>
    </row>
    <row r="87" spans="1:36" ht="12" customHeight="1" outlineLevel="3" x14ac:dyDescent="0.2">
      <c r="A87" s="39">
        <f>acute_overview_children!A87</f>
        <v>4</v>
      </c>
      <c r="B87" s="23">
        <f>acute_overview_children!B87</f>
        <v>163030</v>
      </c>
      <c r="C87" s="23" t="s">
        <v>267</v>
      </c>
      <c r="D87" s="300">
        <f>Table22[[#This Row],[Level used for acute calculation]]</f>
        <v>4</v>
      </c>
      <c r="E87" s="302">
        <f>Table22[[#This Row],[MRL individual commodity]]</f>
        <v>0</v>
      </c>
      <c r="F87" s="451">
        <f>Table22[[#This Row],[Acute RA input value]]</f>
        <v>0</v>
      </c>
      <c r="G87" s="301" t="str">
        <f>Table22[[#This Row],[Acute RA label]]</f>
        <v/>
      </c>
      <c r="H87" s="303">
        <f>Table22[[#This Row],[Acute RA IESTI new input value]]</f>
        <v>0</v>
      </c>
      <c r="I87" s="301" t="str">
        <f>Table22[[#This Row],[Acute RA IESTI new label]]</f>
        <v/>
      </c>
      <c r="J87" s="65"/>
      <c r="K87" s="304">
        <f>Table22[[#This Row],[GAP under assessment]]</f>
        <v>0</v>
      </c>
      <c r="L87" s="304" t="str">
        <f>IF(input_values!$M87=0,"",input_values!$M87)</f>
        <v/>
      </c>
      <c r="M87" s="301" t="str">
        <f>IF(input_values!H87=0,"",input_values!H87)</f>
        <v/>
      </c>
      <c r="N87" s="304">
        <f>input_values!$K87</f>
        <v>0</v>
      </c>
      <c r="O87" s="326">
        <v>7.7758620689655178</v>
      </c>
      <c r="P87" s="22">
        <v>97.5</v>
      </c>
      <c r="Q87" s="327" t="s">
        <v>100</v>
      </c>
      <c r="R87" s="326">
        <v>63.8</v>
      </c>
      <c r="S87" s="328">
        <f t="shared" si="14"/>
        <v>496.1</v>
      </c>
      <c r="T87" s="328">
        <v>288.8</v>
      </c>
      <c r="U87" s="326" t="s">
        <v>215</v>
      </c>
      <c r="V87" s="328">
        <v>385</v>
      </c>
      <c r="W87" s="326" t="s">
        <v>215</v>
      </c>
      <c r="X87" s="1464" t="str">
        <f>IF(V87="ND","ND",IF(S87="","",IF(OR(MID(C87,1,4)="milk",AND(MID(B87,1,2)="50",NOT(input_values!M87="Y")),AND(MID(B87,1,2)="40",NOT(input_values!M87="Y")),AND(MID(B87,1,2)="30",NOT(input_values!M87="Y"))),3,IF(OR(V87="&lt;25",B87&gt;1000000),1,IF((T87&gt;=S87),"2b","2a")))))</f>
        <v>2a</v>
      </c>
      <c r="Y87" s="22">
        <f>IF(X87="ND","ND",IF(S87="","",IF(input_values!K87&gt;0,input_values!K87,IF(OR(X87=1,X87=3),1,IF((V87&gt;250),5,7)))))</f>
        <v>5</v>
      </c>
      <c r="Z87" s="330" t="str">
        <f t="shared" si="10"/>
        <v/>
      </c>
      <c r="AA87" s="331">
        <f t="shared" si="11"/>
        <v>0</v>
      </c>
      <c r="AB87" s="128">
        <f t="shared" si="15"/>
        <v>3</v>
      </c>
      <c r="AC87" s="330" t="str">
        <f t="shared" si="16"/>
        <v/>
      </c>
      <c r="AD87" s="332">
        <f t="shared" si="12"/>
        <v>0</v>
      </c>
      <c r="AE87" s="333" t="str">
        <f t="shared" si="17"/>
        <v/>
      </c>
      <c r="AF87" s="333" t="str">
        <f t="shared" si="18"/>
        <v/>
      </c>
      <c r="AG87" s="561" t="str">
        <f t="shared" si="13"/>
        <v/>
      </c>
      <c r="AH87" s="561" t="str">
        <f t="shared" si="19"/>
        <v/>
      </c>
      <c r="AI87" s="576"/>
      <c r="AJ87" s="847"/>
    </row>
    <row r="88" spans="1:36" ht="12" customHeight="1" outlineLevel="3" x14ac:dyDescent="0.2">
      <c r="A88" s="39">
        <f>acute_overview_children!A88</f>
        <v>4</v>
      </c>
      <c r="B88" s="23">
        <f>acute_overview_children!B88</f>
        <v>163040</v>
      </c>
      <c r="C88" s="23" t="s">
        <v>698</v>
      </c>
      <c r="D88" s="300">
        <f>Table22[[#This Row],[Level used for acute calculation]]</f>
        <v>4</v>
      </c>
      <c r="E88" s="302">
        <f>Table22[[#This Row],[MRL individual commodity]]</f>
        <v>0</v>
      </c>
      <c r="F88" s="451">
        <f>Table22[[#This Row],[Acute RA input value]]</f>
        <v>0</v>
      </c>
      <c r="G88" s="301" t="str">
        <f>Table22[[#This Row],[Acute RA label]]</f>
        <v/>
      </c>
      <c r="H88" s="303">
        <f>Table22[[#This Row],[Acute RA IESTI new input value]]</f>
        <v>0</v>
      </c>
      <c r="I88" s="301" t="str">
        <f>Table22[[#This Row],[Acute RA IESTI new label]]</f>
        <v/>
      </c>
      <c r="J88" s="65"/>
      <c r="K88" s="304">
        <f>Table22[[#This Row],[GAP under assessment]]</f>
        <v>0</v>
      </c>
      <c r="L88" s="304" t="str">
        <f>IF(input_values!$M88=0,"",input_values!$M88)</f>
        <v/>
      </c>
      <c r="M88" s="301" t="str">
        <f>IF(input_values!H88=0,"",input_values!H88)</f>
        <v/>
      </c>
      <c r="N88" s="304">
        <f>input_values!$K88</f>
        <v>0</v>
      </c>
      <c r="O88" s="326">
        <v>2.542553191489362</v>
      </c>
      <c r="P88" s="22">
        <v>100</v>
      </c>
      <c r="Q88" s="327" t="s">
        <v>99</v>
      </c>
      <c r="R88" s="326">
        <v>65.8</v>
      </c>
      <c r="S88" s="328">
        <f t="shared" si="14"/>
        <v>167.3</v>
      </c>
      <c r="T88" s="328">
        <v>125</v>
      </c>
      <c r="U88" s="326" t="s">
        <v>286</v>
      </c>
      <c r="V88" s="328">
        <v>250</v>
      </c>
      <c r="W88" s="326" t="s">
        <v>286</v>
      </c>
      <c r="X88" s="1464" t="str">
        <f>IF(V88="ND","ND",IF(S88="","",IF(OR(MID(C88,1,4)="milk",AND(MID(B88,1,2)="50",NOT(input_values!M88="Y")),AND(MID(B88,1,2)="40",NOT(input_values!M88="Y")),AND(MID(B88,1,2)="30",NOT(input_values!M88="Y"))),3,IF(OR(V88="&lt;25",B88&gt;1000000),1,IF((T88&gt;=S88),"2b","2a")))))</f>
        <v>2a</v>
      </c>
      <c r="Y88" s="22">
        <f>IF(X88="ND","ND",IF(S88="","",IF(input_values!K88&gt;0,input_values!K88,IF(OR(X88=1,X88=3),1,IF((V88&gt;250),5,7)))))</f>
        <v>7</v>
      </c>
      <c r="Z88" s="330" t="str">
        <f t="shared" si="10"/>
        <v/>
      </c>
      <c r="AA88" s="331">
        <f t="shared" si="11"/>
        <v>0</v>
      </c>
      <c r="AB88" s="128">
        <f t="shared" si="15"/>
        <v>3</v>
      </c>
      <c r="AC88" s="330" t="str">
        <f t="shared" si="16"/>
        <v/>
      </c>
      <c r="AD88" s="332">
        <f t="shared" si="12"/>
        <v>0</v>
      </c>
      <c r="AE88" s="333" t="str">
        <f t="shared" si="17"/>
        <v/>
      </c>
      <c r="AF88" s="333" t="str">
        <f t="shared" si="18"/>
        <v/>
      </c>
      <c r="AG88" s="561" t="str">
        <f t="shared" si="13"/>
        <v/>
      </c>
      <c r="AH88" s="561" t="str">
        <f t="shared" si="19"/>
        <v/>
      </c>
      <c r="AI88" s="576"/>
      <c r="AJ88" s="847"/>
    </row>
    <row r="89" spans="1:36" ht="12" customHeight="1" outlineLevel="3" x14ac:dyDescent="0.2">
      <c r="A89" s="39">
        <f>acute_overview_children!A89</f>
        <v>4</v>
      </c>
      <c r="B89" s="23">
        <f>acute_overview_children!B89</f>
        <v>163050</v>
      </c>
      <c r="C89" s="23" t="s">
        <v>699</v>
      </c>
      <c r="D89" s="300">
        <f>Table22[[#This Row],[Level used for acute calculation]]</f>
        <v>4</v>
      </c>
      <c r="E89" s="302">
        <f>Table22[[#This Row],[MRL individual commodity]]</f>
        <v>0</v>
      </c>
      <c r="F89" s="451">
        <f>Table22[[#This Row],[Acute RA input value]]</f>
        <v>0</v>
      </c>
      <c r="G89" s="301" t="str">
        <f>Table22[[#This Row],[Acute RA label]]</f>
        <v/>
      </c>
      <c r="H89" s="303">
        <f>Table22[[#This Row],[Acute RA IESTI new input value]]</f>
        <v>0</v>
      </c>
      <c r="I89" s="301" t="str">
        <f>Table22[[#This Row],[Acute RA IESTI new label]]</f>
        <v/>
      </c>
      <c r="J89" s="65"/>
      <c r="K89" s="304">
        <f>Table22[[#This Row],[GAP under assessment]]</f>
        <v>0</v>
      </c>
      <c r="L89" s="304" t="str">
        <f>IF(input_values!$M89=0,"",input_values!$M89)</f>
        <v/>
      </c>
      <c r="M89" s="301" t="str">
        <f>IF(input_values!H89=0,"",input_values!H89)</f>
        <v/>
      </c>
      <c r="N89" s="304">
        <f>input_values!$K89</f>
        <v>0</v>
      </c>
      <c r="O89" s="326">
        <v>3.2978723404255321</v>
      </c>
      <c r="P89" s="22" t="s">
        <v>331</v>
      </c>
      <c r="Q89" s="327" t="s">
        <v>99</v>
      </c>
      <c r="R89" s="326">
        <v>65.8</v>
      </c>
      <c r="S89" s="328">
        <f t="shared" si="14"/>
        <v>217</v>
      </c>
      <c r="T89" s="328">
        <v>158.41</v>
      </c>
      <c r="U89" s="326" t="s">
        <v>215</v>
      </c>
      <c r="V89" s="328">
        <v>217</v>
      </c>
      <c r="W89" s="326" t="s">
        <v>215</v>
      </c>
      <c r="X89" s="1464" t="str">
        <f>IF(V89="ND","ND",IF(S89="","",IF(OR(MID(C89,1,4)="milk",AND(MID(B89,1,2)="50",NOT(input_values!M89="Y")),AND(MID(B89,1,2)="40",NOT(input_values!M89="Y")),AND(MID(B89,1,2)="30",NOT(input_values!M89="Y"))),3,IF(OR(V89="&lt;25",B89&gt;1000000),1,IF((T89&gt;=S89),"2b","2a")))))</f>
        <v>2a</v>
      </c>
      <c r="Y89" s="22">
        <f>IF(X89="ND","ND",IF(S89="","",IF(input_values!K89&gt;0,input_values!K89,IF(OR(X89=1,X89=3),1,IF((V89&gt;250),5,7)))))</f>
        <v>7</v>
      </c>
      <c r="Z89" s="330" t="str">
        <f t="shared" si="10"/>
        <v/>
      </c>
      <c r="AA89" s="331">
        <f t="shared" si="11"/>
        <v>0</v>
      </c>
      <c r="AB89" s="128">
        <f t="shared" si="15"/>
        <v>3</v>
      </c>
      <c r="AC89" s="330" t="str">
        <f t="shared" si="16"/>
        <v/>
      </c>
      <c r="AD89" s="332">
        <f t="shared" si="12"/>
        <v>0</v>
      </c>
      <c r="AE89" s="333" t="str">
        <f t="shared" si="17"/>
        <v/>
      </c>
      <c r="AF89" s="333" t="str">
        <f t="shared" si="18"/>
        <v/>
      </c>
      <c r="AG89" s="561" t="str">
        <f t="shared" si="13"/>
        <v/>
      </c>
      <c r="AH89" s="561" t="str">
        <f t="shared" si="19"/>
        <v/>
      </c>
      <c r="AI89" s="576"/>
      <c r="AJ89" s="847"/>
    </row>
    <row r="90" spans="1:36" ht="12" customHeight="1" outlineLevel="3" x14ac:dyDescent="0.2">
      <c r="A90" s="39">
        <f>acute_overview_children!A90</f>
        <v>4</v>
      </c>
      <c r="B90" s="23">
        <f>acute_overview_children!B90</f>
        <v>163060</v>
      </c>
      <c r="C90" s="23" t="s">
        <v>700</v>
      </c>
      <c r="D90" s="300">
        <f>Table22[[#This Row],[Level used for acute calculation]]</f>
        <v>4</v>
      </c>
      <c r="E90" s="302">
        <f>Table22[[#This Row],[MRL individual commodity]]</f>
        <v>0</v>
      </c>
      <c r="F90" s="451">
        <f>Table22[[#This Row],[Acute RA input value]]</f>
        <v>0</v>
      </c>
      <c r="G90" s="301" t="str">
        <f>Table22[[#This Row],[Acute RA label]]</f>
        <v/>
      </c>
      <c r="H90" s="303">
        <f>Table22[[#This Row],[Acute RA IESTI new input value]]</f>
        <v>0</v>
      </c>
      <c r="I90" s="301" t="str">
        <f>Table22[[#This Row],[Acute RA IESTI new label]]</f>
        <v/>
      </c>
      <c r="J90" s="65"/>
      <c r="K90" s="304">
        <f>Table22[[#This Row],[GAP under assessment]]</f>
        <v>0</v>
      </c>
      <c r="L90" s="304" t="str">
        <f>IF(input_values!$M90=0,"",input_values!$M90)</f>
        <v/>
      </c>
      <c r="M90" s="301" t="str">
        <f>IF(input_values!H90=0,"",input_values!H90)</f>
        <v/>
      </c>
      <c r="N90" s="304">
        <f>input_values!$K90</f>
        <v>0</v>
      </c>
      <c r="O90" s="326">
        <v>2.15</v>
      </c>
      <c r="P90" s="22">
        <v>97.5</v>
      </c>
      <c r="Q90" s="327" t="s">
        <v>0</v>
      </c>
      <c r="R90" s="326">
        <v>66.48</v>
      </c>
      <c r="S90" s="328">
        <f>IF(O90="ND","ND",IF(O90="","",O90*R90))</f>
        <v>142.93200000000002</v>
      </c>
      <c r="T90" s="328">
        <v>312</v>
      </c>
      <c r="U90" s="326" t="s">
        <v>45</v>
      </c>
      <c r="V90" s="328">
        <v>312</v>
      </c>
      <c r="W90" s="326" t="s">
        <v>45</v>
      </c>
      <c r="X90" s="1464" t="str">
        <f>IF(V90="ND","ND",IF(S90="","",IF(OR(MID(C90,1,4)="milk",AND(MID(B90,1,2)="50",NOT(input_values!M90="Y")),AND(MID(B90,1,2)="40",NOT(input_values!M90="Y")),AND(MID(B90,1,2)="30",NOT(input_values!M90="Y"))),3,IF(OR(V90="&lt;25",B90&gt;1000000),1,IF((T90&gt;=S90),"2b","2a")))))</f>
        <v>2b</v>
      </c>
      <c r="Y90" s="22">
        <f>IF(X90="ND","ND",IF(S90="","",IF(input_values!K90&gt;0,input_values!K90,IF(OR(X90=1,X90=3),1,IF((V90&gt;250),5,7)))))</f>
        <v>5</v>
      </c>
      <c r="Z90" s="330" t="str">
        <f t="shared" si="10"/>
        <v/>
      </c>
      <c r="AA90" s="331">
        <f t="shared" si="11"/>
        <v>0</v>
      </c>
      <c r="AB90" s="128">
        <f t="shared" si="15"/>
        <v>3</v>
      </c>
      <c r="AC90" s="330" t="str">
        <f t="shared" si="16"/>
        <v/>
      </c>
      <c r="AD90" s="332">
        <f t="shared" si="12"/>
        <v>0</v>
      </c>
      <c r="AE90" s="333" t="str">
        <f t="shared" si="17"/>
        <v/>
      </c>
      <c r="AF90" s="333" t="str">
        <f t="shared" si="18"/>
        <v/>
      </c>
      <c r="AG90" s="561" t="str">
        <f t="shared" si="13"/>
        <v/>
      </c>
      <c r="AH90" s="561" t="str">
        <f t="shared" si="19"/>
        <v/>
      </c>
      <c r="AI90" s="576"/>
      <c r="AJ90" s="847"/>
    </row>
    <row r="91" spans="1:36" ht="12" customHeight="1" outlineLevel="3" x14ac:dyDescent="0.2">
      <c r="A91" s="39">
        <f>acute_overview_children!A91</f>
        <v>4</v>
      </c>
      <c r="B91" s="23">
        <f>acute_overview_children!B91</f>
        <v>163070</v>
      </c>
      <c r="C91" s="23" t="s">
        <v>701</v>
      </c>
      <c r="D91" s="300">
        <f>Table22[[#This Row],[Level used for acute calculation]]</f>
        <v>4</v>
      </c>
      <c r="E91" s="302">
        <f>Table22[[#This Row],[MRL individual commodity]]</f>
        <v>0</v>
      </c>
      <c r="F91" s="451">
        <f>Table22[[#This Row],[Acute RA input value]]</f>
        <v>0</v>
      </c>
      <c r="G91" s="301" t="str">
        <f>Table22[[#This Row],[Acute RA label]]</f>
        <v/>
      </c>
      <c r="H91" s="303">
        <f>Table22[[#This Row],[Acute RA IESTI new input value]]</f>
        <v>0</v>
      </c>
      <c r="I91" s="301" t="str">
        <f>Table22[[#This Row],[Acute RA IESTI new label]]</f>
        <v/>
      </c>
      <c r="J91" s="65"/>
      <c r="K91" s="304">
        <f>Table22[[#This Row],[GAP under assessment]]</f>
        <v>0</v>
      </c>
      <c r="L91" s="304" t="str">
        <f>IF(input_values!$M91=0,"",input_values!$M91)</f>
        <v/>
      </c>
      <c r="M91" s="301" t="str">
        <f>IF(input_values!H91=0,"",input_values!H91)</f>
        <v/>
      </c>
      <c r="N91" s="304">
        <f>input_values!$K91</f>
        <v>0</v>
      </c>
      <c r="O91" s="326">
        <v>2.547770700636943</v>
      </c>
      <c r="P91" s="22" t="s">
        <v>331</v>
      </c>
      <c r="Q91" s="327" t="s">
        <v>101</v>
      </c>
      <c r="R91" s="326">
        <v>62.8</v>
      </c>
      <c r="S91" s="328">
        <f t="shared" si="14"/>
        <v>160</v>
      </c>
      <c r="T91" s="328">
        <v>160</v>
      </c>
      <c r="U91" s="326" t="s">
        <v>45</v>
      </c>
      <c r="V91" s="328">
        <v>200</v>
      </c>
      <c r="W91" s="326" t="s">
        <v>251</v>
      </c>
      <c r="X91" s="1464" t="str">
        <f>IF(V91="ND","ND",IF(S91="","",IF(OR(MID(C91,1,4)="milk",AND(MID(B91,1,2)="50",NOT(input_values!M91="Y")),AND(MID(B91,1,2)="40",NOT(input_values!M91="Y")),AND(MID(B91,1,2)="30",NOT(input_values!M91="Y"))),3,IF(OR(V91="&lt;25",B91&gt;1000000),1,IF((T91&gt;=S91),"2b","2a")))))</f>
        <v>2b</v>
      </c>
      <c r="Y91" s="22">
        <f>IF(X91="ND","ND",IF(S91="","",IF(input_values!K91&gt;0,input_values!K91,IF(OR(X91=1,X91=3),1,IF((V91&gt;250),5,7)))))</f>
        <v>7</v>
      </c>
      <c r="Z91" s="330" t="str">
        <f t="shared" si="10"/>
        <v/>
      </c>
      <c r="AA91" s="331">
        <f t="shared" si="11"/>
        <v>0</v>
      </c>
      <c r="AB91" s="128">
        <f t="shared" si="15"/>
        <v>3</v>
      </c>
      <c r="AC91" s="330" t="str">
        <f t="shared" si="16"/>
        <v/>
      </c>
      <c r="AD91" s="332">
        <f t="shared" si="12"/>
        <v>0</v>
      </c>
      <c r="AE91" s="333" t="str">
        <f t="shared" si="17"/>
        <v/>
      </c>
      <c r="AF91" s="333" t="str">
        <f t="shared" si="18"/>
        <v/>
      </c>
      <c r="AG91" s="561" t="str">
        <f t="shared" si="13"/>
        <v/>
      </c>
      <c r="AH91" s="561" t="str">
        <f t="shared" si="19"/>
        <v/>
      </c>
      <c r="AI91" s="576"/>
      <c r="AJ91" s="847"/>
    </row>
    <row r="92" spans="1:36" ht="12" customHeight="1" outlineLevel="3" x14ac:dyDescent="0.2">
      <c r="A92" s="39">
        <f>acute_overview_children!A92</f>
        <v>4</v>
      </c>
      <c r="B92" s="23">
        <f>acute_overview_children!B92</f>
        <v>163080</v>
      </c>
      <c r="C92" s="23" t="s">
        <v>268</v>
      </c>
      <c r="D92" s="300">
        <f>Table22[[#This Row],[Level used for acute calculation]]</f>
        <v>4</v>
      </c>
      <c r="E92" s="302">
        <f>Table22[[#This Row],[MRL individual commodity]]</f>
        <v>0</v>
      </c>
      <c r="F92" s="451">
        <f>Table22[[#This Row],[Acute RA input value]]</f>
        <v>0</v>
      </c>
      <c r="G92" s="301" t="str">
        <f>Table22[[#This Row],[Acute RA label]]</f>
        <v/>
      </c>
      <c r="H92" s="303">
        <f>Table22[[#This Row],[Acute RA IESTI new input value]]</f>
        <v>0</v>
      </c>
      <c r="I92" s="301" t="str">
        <f>Table22[[#This Row],[Acute RA IESTI new label]]</f>
        <v/>
      </c>
      <c r="J92" s="65"/>
      <c r="K92" s="304">
        <f>Table22[[#This Row],[GAP under assessment]]</f>
        <v>0</v>
      </c>
      <c r="L92" s="304" t="str">
        <f>IF(input_values!$M92=0,"",input_values!$M92)</f>
        <v/>
      </c>
      <c r="M92" s="301" t="str">
        <f>IF(input_values!H92=0,"",input_values!H92)</f>
        <v/>
      </c>
      <c r="N92" s="304">
        <f>input_values!$K92</f>
        <v>0</v>
      </c>
      <c r="O92" s="339">
        <v>5.9233449477000004</v>
      </c>
      <c r="P92" s="128">
        <v>97.5</v>
      </c>
      <c r="Q92" s="346" t="s">
        <v>956</v>
      </c>
      <c r="R92" s="339">
        <v>71.2</v>
      </c>
      <c r="S92" s="338">
        <f t="shared" si="14"/>
        <v>421.74216027624004</v>
      </c>
      <c r="T92" s="338">
        <v>919.26571428571424</v>
      </c>
      <c r="U92" s="339" t="s">
        <v>90</v>
      </c>
      <c r="V92" s="338">
        <v>1398.4938775510204</v>
      </c>
      <c r="W92" s="339" t="s">
        <v>90</v>
      </c>
      <c r="X92" s="1464" t="str">
        <f>IF(V92="ND","ND",IF(S92="","",IF(OR(MID(C92,1,4)="milk",AND(MID(B92,1,2)="50",NOT(input_values!M92="Y")),AND(MID(B92,1,2)="40",NOT(input_values!M92="Y")),AND(MID(B92,1,2)="30",NOT(input_values!M92="Y"))),3,IF(OR(V92="&lt;25",B92&gt;1000000),1,IF((T92&gt;=S92),"2b","2a")))))</f>
        <v>2b</v>
      </c>
      <c r="Y92" s="22">
        <f>IF(X92="ND","ND",IF(S92="","",IF(input_values!K92&gt;0,input_values!K92,IF(OR(X92=1,X92=3),1,IF((V92&gt;250),5,7)))))</f>
        <v>5</v>
      </c>
      <c r="Z92" s="330" t="str">
        <f t="shared" si="10"/>
        <v/>
      </c>
      <c r="AA92" s="331">
        <f t="shared" si="11"/>
        <v>0</v>
      </c>
      <c r="AB92" s="128">
        <f t="shared" si="15"/>
        <v>3</v>
      </c>
      <c r="AC92" s="330" t="str">
        <f t="shared" si="16"/>
        <v/>
      </c>
      <c r="AD92" s="332">
        <f t="shared" si="12"/>
        <v>0</v>
      </c>
      <c r="AE92" s="333" t="str">
        <f t="shared" si="17"/>
        <v/>
      </c>
      <c r="AF92" s="333" t="str">
        <f t="shared" si="18"/>
        <v/>
      </c>
      <c r="AG92" s="561" t="str">
        <f t="shared" si="13"/>
        <v/>
      </c>
      <c r="AH92" s="561" t="str">
        <f t="shared" si="19"/>
        <v/>
      </c>
      <c r="AI92" s="576"/>
      <c r="AJ92" s="847"/>
    </row>
    <row r="93" spans="1:36" ht="12" customHeight="1" outlineLevel="3" x14ac:dyDescent="0.2">
      <c r="A93" s="39">
        <f>acute_overview_children!A93</f>
        <v>4</v>
      </c>
      <c r="B93" s="23">
        <f>acute_overview_children!B93</f>
        <v>163090</v>
      </c>
      <c r="C93" s="23" t="s">
        <v>702</v>
      </c>
      <c r="D93" s="300">
        <f>Table22[[#This Row],[Level used for acute calculation]]</f>
        <v>4</v>
      </c>
      <c r="E93" s="302">
        <f>Table22[[#This Row],[MRL individual commodity]]</f>
        <v>0</v>
      </c>
      <c r="F93" s="451">
        <f>Table22[[#This Row],[Acute RA input value]]</f>
        <v>0</v>
      </c>
      <c r="G93" s="301" t="str">
        <f>Table22[[#This Row],[Acute RA label]]</f>
        <v/>
      </c>
      <c r="H93" s="303">
        <f>Table22[[#This Row],[Acute RA IESTI new input value]]</f>
        <v>0</v>
      </c>
      <c r="I93" s="301" t="str">
        <f>Table22[[#This Row],[Acute RA IESTI new label]]</f>
        <v/>
      </c>
      <c r="J93" s="65"/>
      <c r="K93" s="304">
        <f>Table22[[#This Row],[GAP under assessment]]</f>
        <v>0</v>
      </c>
      <c r="L93" s="304" t="str">
        <f>IF(input_values!$M93=0,"",input_values!$M93)</f>
        <v/>
      </c>
      <c r="M93" s="301" t="str">
        <f>IF(input_values!H93=0,"",input_values!H93)</f>
        <v/>
      </c>
      <c r="N93" s="304">
        <f>input_values!$K93</f>
        <v>0</v>
      </c>
      <c r="O93" s="338" t="s">
        <v>618</v>
      </c>
      <c r="P93" s="22"/>
      <c r="Q93" s="327"/>
      <c r="R93" s="326"/>
      <c r="S93" s="31" t="str">
        <f t="shared" si="14"/>
        <v>ND</v>
      </c>
      <c r="T93" s="338" t="s">
        <v>618</v>
      </c>
      <c r="U93" s="326"/>
      <c r="V93" s="338" t="s">
        <v>618</v>
      </c>
      <c r="W93" s="326"/>
      <c r="X93" s="460" t="str">
        <f>IF(V93="ND","ND",IF(S93="","",IF(OR(MID(C93,1,4)="milk",AND(MID(B93,1,2)="50",NOT(input_values!M93="Y")),AND(MID(B93,1,2)="40",NOT(input_values!M93="Y")),AND(MID(B93,1,2)="30",NOT(input_values!M93="Y"))),3,IF(OR(V93="&lt;25",B93&gt;1000000),1,IF((T93&gt;=S93),"2b","2a")))))</f>
        <v>ND</v>
      </c>
      <c r="Y93" s="22" t="str">
        <f>IF(X93="ND","ND",IF(S93="","",IF(input_values!K93&gt;0,input_values!K93,IF(OR(X93=1,X93=3),1,IF((V93&gt;250),5,7)))))</f>
        <v>ND</v>
      </c>
      <c r="Z93" s="340" t="str">
        <f t="shared" si="10"/>
        <v/>
      </c>
      <c r="AA93" s="332">
        <f t="shared" si="11"/>
        <v>0</v>
      </c>
      <c r="AB93" s="128" t="str">
        <f t="shared" si="15"/>
        <v>ND</v>
      </c>
      <c r="AC93" s="340" t="str">
        <f t="shared" si="16"/>
        <v/>
      </c>
      <c r="AD93" s="332">
        <f t="shared" si="12"/>
        <v>0</v>
      </c>
      <c r="AE93" s="37" t="str">
        <f t="shared" si="17"/>
        <v/>
      </c>
      <c r="AF93" s="37" t="str">
        <f t="shared" si="18"/>
        <v/>
      </c>
      <c r="AG93" s="561" t="str">
        <f t="shared" si="13"/>
        <v/>
      </c>
      <c r="AH93" s="561" t="str">
        <f t="shared" si="19"/>
        <v/>
      </c>
      <c r="AI93" s="576"/>
      <c r="AJ93" s="847"/>
    </row>
    <row r="94" spans="1:36" ht="12" customHeight="1" outlineLevel="3" x14ac:dyDescent="0.2">
      <c r="A94" s="39">
        <f>acute_overview_children!A94</f>
        <v>4</v>
      </c>
      <c r="B94" s="23">
        <f>acute_overview_children!B94</f>
        <v>163100</v>
      </c>
      <c r="C94" s="23" t="s">
        <v>703</v>
      </c>
      <c r="D94" s="300">
        <f>Table22[[#This Row],[Level used for acute calculation]]</f>
        <v>4</v>
      </c>
      <c r="E94" s="302">
        <f>Table22[[#This Row],[MRL individual commodity]]</f>
        <v>0</v>
      </c>
      <c r="F94" s="451">
        <f>Table22[[#This Row],[Acute RA input value]]</f>
        <v>0</v>
      </c>
      <c r="G94" s="301" t="str">
        <f>Table22[[#This Row],[Acute RA label]]</f>
        <v/>
      </c>
      <c r="H94" s="303">
        <f>Table22[[#This Row],[Acute RA IESTI new input value]]</f>
        <v>0</v>
      </c>
      <c r="I94" s="301" t="str">
        <f>Table22[[#This Row],[Acute RA IESTI new label]]</f>
        <v/>
      </c>
      <c r="J94" s="65"/>
      <c r="K94" s="304">
        <f>Table22[[#This Row],[GAP under assessment]]</f>
        <v>0</v>
      </c>
      <c r="L94" s="304" t="str">
        <f>IF(input_values!$M94=0,"",input_values!$M94)</f>
        <v/>
      </c>
      <c r="M94" s="301" t="str">
        <f>IF(input_values!H94=0,"",input_values!H94)</f>
        <v/>
      </c>
      <c r="N94" s="304">
        <f>input_values!$K94</f>
        <v>0</v>
      </c>
      <c r="O94" s="338" t="s">
        <v>618</v>
      </c>
      <c r="P94" s="22"/>
      <c r="Q94" s="327"/>
      <c r="R94" s="326"/>
      <c r="S94" s="31" t="str">
        <f t="shared" si="14"/>
        <v>ND</v>
      </c>
      <c r="T94" s="338" t="s">
        <v>618</v>
      </c>
      <c r="U94" s="326"/>
      <c r="V94" s="338" t="s">
        <v>618</v>
      </c>
      <c r="W94" s="326"/>
      <c r="X94" s="460" t="str">
        <f>IF(V94="ND","ND",IF(S94="","",IF(OR(MID(C94,1,4)="milk",AND(MID(B94,1,2)="50",NOT(input_values!M94="Y")),AND(MID(B94,1,2)="40",NOT(input_values!M94="Y")),AND(MID(B94,1,2)="30",NOT(input_values!M94="Y"))),3,IF(OR(V94="&lt;25",B94&gt;1000000),1,IF((T94&gt;=S94),"2b","2a")))))</f>
        <v>ND</v>
      </c>
      <c r="Y94" s="22" t="str">
        <f>IF(X94="ND","ND",IF(S94="","",IF(input_values!K94&gt;0,input_values!K94,IF(OR(X94=1,X94=3),1,IF((V94&gt;250),5,7)))))</f>
        <v>ND</v>
      </c>
      <c r="Z94" s="340" t="str">
        <f t="shared" si="10"/>
        <v/>
      </c>
      <c r="AA94" s="332">
        <f t="shared" si="11"/>
        <v>0</v>
      </c>
      <c r="AB94" s="128" t="str">
        <f t="shared" si="15"/>
        <v>ND</v>
      </c>
      <c r="AC94" s="340" t="str">
        <f t="shared" si="16"/>
        <v/>
      </c>
      <c r="AD94" s="332">
        <f t="shared" si="12"/>
        <v>0</v>
      </c>
      <c r="AE94" s="37" t="str">
        <f t="shared" si="17"/>
        <v/>
      </c>
      <c r="AF94" s="37" t="str">
        <f t="shared" si="18"/>
        <v/>
      </c>
      <c r="AG94" s="561" t="str">
        <f t="shared" si="13"/>
        <v/>
      </c>
      <c r="AH94" s="561" t="str">
        <f t="shared" si="19"/>
        <v/>
      </c>
      <c r="AI94" s="576"/>
      <c r="AJ94" s="847"/>
    </row>
    <row r="95" spans="1:36" ht="12" customHeight="1" outlineLevel="3" x14ac:dyDescent="0.2">
      <c r="A95" s="39">
        <f>acute_overview_children!A95</f>
        <v>4</v>
      </c>
      <c r="B95" s="23">
        <f>acute_overview_children!B95</f>
        <v>163110</v>
      </c>
      <c r="C95" s="23" t="s">
        <v>704</v>
      </c>
      <c r="D95" s="300">
        <f>Table22[[#This Row],[Level used for acute calculation]]</f>
        <v>4</v>
      </c>
      <c r="E95" s="302">
        <f>Table22[[#This Row],[MRL individual commodity]]</f>
        <v>0</v>
      </c>
      <c r="F95" s="451">
        <f>Table22[[#This Row],[Acute RA input value]]</f>
        <v>0</v>
      </c>
      <c r="G95" s="301" t="str">
        <f>Table22[[#This Row],[Acute RA label]]</f>
        <v/>
      </c>
      <c r="H95" s="1158">
        <f>Table22[[#This Row],[Acute RA IESTI new input value]]</f>
        <v>0</v>
      </c>
      <c r="I95" s="301" t="str">
        <f>Table22[[#This Row],[Acute RA IESTI new label]]</f>
        <v/>
      </c>
      <c r="J95" s="65"/>
      <c r="K95" s="304">
        <f>Table22[[#This Row],[GAP under assessment]]</f>
        <v>0</v>
      </c>
      <c r="L95" s="304" t="str">
        <f>IF(input_values!$M95=0,"",input_values!$M95)</f>
        <v/>
      </c>
      <c r="M95" s="301" t="str">
        <f>IF(input_values!H95=0,"",input_values!H95)</f>
        <v/>
      </c>
      <c r="N95" s="304">
        <f>input_values!$K95</f>
        <v>0</v>
      </c>
      <c r="O95" s="338" t="s">
        <v>618</v>
      </c>
      <c r="P95" s="22"/>
      <c r="Q95" s="327"/>
      <c r="R95" s="326"/>
      <c r="S95" s="31" t="str">
        <f t="shared" si="14"/>
        <v>ND</v>
      </c>
      <c r="T95" s="338" t="s">
        <v>618</v>
      </c>
      <c r="U95" s="326"/>
      <c r="V95" s="338" t="s">
        <v>618</v>
      </c>
      <c r="W95" s="326"/>
      <c r="X95" s="460" t="str">
        <f>IF(V95="ND","ND",IF(S95="","",IF(OR(MID(C95,1,4)="milk",AND(MID(B95,1,2)="50",NOT(input_values!M95="Y")),AND(MID(B95,1,2)="40",NOT(input_values!M95="Y")),AND(MID(B95,1,2)="30",NOT(input_values!M95="Y"))),3,IF(OR(V95="&lt;25",B95&gt;1000000),1,IF((T95&gt;=S95),"2b","2a")))))</f>
        <v>ND</v>
      </c>
      <c r="Y95" s="22" t="str">
        <f>IF(X95="ND","ND",IF(S95="","",IF(input_values!K95&gt;0,input_values!K95,IF(OR(X95=1,X95=3),1,IF((V95&gt;250),5,7)))))</f>
        <v>ND</v>
      </c>
      <c r="Z95" s="340" t="str">
        <f t="shared" si="10"/>
        <v/>
      </c>
      <c r="AA95" s="332">
        <f t="shared" si="11"/>
        <v>0</v>
      </c>
      <c r="AB95" s="128" t="str">
        <f t="shared" si="15"/>
        <v>ND</v>
      </c>
      <c r="AC95" s="340" t="str">
        <f t="shared" si="16"/>
        <v/>
      </c>
      <c r="AD95" s="332">
        <f t="shared" si="12"/>
        <v>0</v>
      </c>
      <c r="AE95" s="37" t="str">
        <f t="shared" si="17"/>
        <v/>
      </c>
      <c r="AF95" s="37" t="str">
        <f t="shared" si="18"/>
        <v/>
      </c>
      <c r="AG95" s="561" t="str">
        <f t="shared" si="13"/>
        <v/>
      </c>
      <c r="AH95" s="561" t="str">
        <f t="shared" si="19"/>
        <v/>
      </c>
      <c r="AI95" s="576"/>
      <c r="AJ95" s="847"/>
    </row>
    <row r="96" spans="1:36" ht="12" customHeight="1" outlineLevel="3" x14ac:dyDescent="0.2">
      <c r="A96" s="39">
        <f>acute_overview_children!A96</f>
        <v>4</v>
      </c>
      <c r="B96" s="23">
        <f>acute_overview_children!B96</f>
        <v>163990</v>
      </c>
      <c r="C96" s="23" t="s">
        <v>55</v>
      </c>
      <c r="D96" s="300">
        <f>Table22[[#This Row],[Level used for acute calculation]]</f>
        <v>0</v>
      </c>
      <c r="E96" s="302">
        <f>Table22[[#This Row],[MRL individual commodity]]</f>
        <v>0</v>
      </c>
      <c r="F96" s="451">
        <f>Table22[[#This Row],[Acute RA input value]]</f>
        <v>0</v>
      </c>
      <c r="G96" s="301">
        <f>Table22[[#This Row],[Acute RA label]]</f>
        <v>0</v>
      </c>
      <c r="H96" s="303">
        <f>Table22[[#This Row],[Acute RA IESTI new input value]]</f>
        <v>0</v>
      </c>
      <c r="I96" s="301">
        <f>Table22[[#This Row],[Acute RA IESTI new label]]</f>
        <v>0</v>
      </c>
      <c r="J96" s="65"/>
      <c r="K96" s="304">
        <f>Table22[[#This Row],[GAP under assessment]]</f>
        <v>0</v>
      </c>
      <c r="L96" s="304" t="str">
        <f>IF(input_values!$M96=0,"",input_values!$M96)</f>
        <v/>
      </c>
      <c r="M96" s="301" t="str">
        <f>IF(input_values!H96=0,"",input_values!H96)</f>
        <v/>
      </c>
      <c r="N96" s="304">
        <f>input_values!$K96</f>
        <v>0</v>
      </c>
      <c r="O96" s="309"/>
      <c r="P96" s="38"/>
      <c r="Q96" s="306"/>
      <c r="R96" s="309"/>
      <c r="S96" s="336" t="str">
        <f t="shared" si="14"/>
        <v/>
      </c>
      <c r="T96" s="305"/>
      <c r="U96" s="309"/>
      <c r="V96" s="305"/>
      <c r="W96" s="309"/>
      <c r="X96" s="611" t="str">
        <f>IF(V96="ND","ND",IF(S96="","",IF(OR(MID(C96,1,4)="milk",AND(MID(B96,1,2)="50",NOT(input_values!M96="Y")),AND(MID(B96,1,2)="40",NOT(input_values!M96="Y")),AND(MID(B96,1,2)="30",NOT(input_values!M96="Y"))),3,IF(OR(V96="&lt;25",B96&gt;1000000),1,IF((T96&gt;=S96),"2b","2a")))))</f>
        <v/>
      </c>
      <c r="Y96" s="38" t="str">
        <f>IF(X96="ND","ND",IF(S96="","",IF(input_values!K96&gt;0,input_values!K96,IF(OR(X96=1,X96=3),1,IF((V96&gt;250),5,7)))))</f>
        <v/>
      </c>
      <c r="Z96" s="335" t="str">
        <f t="shared" si="10"/>
        <v/>
      </c>
      <c r="AA96" s="311">
        <f t="shared" si="11"/>
        <v>0</v>
      </c>
      <c r="AB96" s="38" t="str">
        <f t="shared" si="15"/>
        <v/>
      </c>
      <c r="AC96" s="335" t="str">
        <f t="shared" si="16"/>
        <v/>
      </c>
      <c r="AD96" s="311">
        <f t="shared" si="12"/>
        <v>0</v>
      </c>
      <c r="AE96" s="344" t="str">
        <f t="shared" si="17"/>
        <v/>
      </c>
      <c r="AF96" s="344" t="str">
        <f t="shared" si="18"/>
        <v/>
      </c>
      <c r="AG96" s="561" t="str">
        <f t="shared" si="13"/>
        <v/>
      </c>
      <c r="AH96" s="561" t="str">
        <f t="shared" si="19"/>
        <v/>
      </c>
      <c r="AI96" s="576"/>
      <c r="AJ96" s="847"/>
    </row>
    <row r="97" spans="1:36" ht="24" x14ac:dyDescent="0.2">
      <c r="A97" s="126">
        <f>acute_overview_children!A97</f>
        <v>1</v>
      </c>
      <c r="B97" s="127">
        <f>acute_overview_children!B97</f>
        <v>200000</v>
      </c>
      <c r="C97" s="127" t="s">
        <v>137</v>
      </c>
      <c r="D97" s="300">
        <f>Table22[[#This Row],[Level used for acute calculation]]</f>
        <v>4</v>
      </c>
      <c r="E97" s="302">
        <f>Table22[[#This Row],[MRL individual commodity]]</f>
        <v>0</v>
      </c>
      <c r="F97" s="451">
        <f>Table22[[#This Row],[Acute RA input value]]</f>
        <v>0</v>
      </c>
      <c r="G97" s="301">
        <f>Table22[[#This Row],[Acute RA label]]</f>
        <v>0</v>
      </c>
      <c r="H97" s="303">
        <f>Table22[[#This Row],[Acute RA IESTI new input value]]</f>
        <v>0</v>
      </c>
      <c r="I97" s="301">
        <f>Table22[[#This Row],[Acute RA IESTI new label]]</f>
        <v>0</v>
      </c>
      <c r="J97" s="65"/>
      <c r="K97" s="304">
        <f>Table22[[#This Row],[GAP under assessment]]</f>
        <v>0</v>
      </c>
      <c r="L97" s="304" t="str">
        <f>IF(input_values!$M97=0,"",input_values!$M97)</f>
        <v/>
      </c>
      <c r="M97" s="301" t="str">
        <f>IF(input_values!H97=0,"",input_values!H97)</f>
        <v/>
      </c>
      <c r="N97" s="304">
        <f>input_values!$K97</f>
        <v>0</v>
      </c>
      <c r="O97" s="309"/>
      <c r="P97" s="38"/>
      <c r="Q97" s="306"/>
      <c r="R97" s="309"/>
      <c r="S97" s="336" t="str">
        <f t="shared" si="14"/>
        <v/>
      </c>
      <c r="T97" s="305"/>
      <c r="U97" s="309"/>
      <c r="V97" s="305"/>
      <c r="W97" s="309"/>
      <c r="X97" s="611" t="str">
        <f>IF(V97="ND","ND",IF(S97="","",IF(OR(MID(C97,1,4)="milk",AND(MID(B97,1,2)="50",NOT(input_values!M97="Y")),AND(MID(B97,1,2)="40",NOT(input_values!M97="Y")),AND(MID(B97,1,2)="30",NOT(input_values!M97="Y"))),3,IF(OR(V97="&lt;25",B97&gt;1000000),1,IF((T97&gt;=S97),"2b","2a")))))</f>
        <v/>
      </c>
      <c r="Y97" s="38" t="str">
        <f>IF(X97="ND","ND",IF(S97="","",IF(input_values!K97&gt;0,input_values!K97,IF(OR(X97=1,X97=3),1,IF((V97&gt;250),5,7)))))</f>
        <v/>
      </c>
      <c r="Z97" s="335" t="str">
        <f t="shared" si="10"/>
        <v/>
      </c>
      <c r="AA97" s="311">
        <f t="shared" si="11"/>
        <v>0</v>
      </c>
      <c r="AB97" s="38" t="str">
        <f t="shared" si="15"/>
        <v/>
      </c>
      <c r="AC97" s="335" t="str">
        <f t="shared" si="16"/>
        <v/>
      </c>
      <c r="AD97" s="311">
        <f t="shared" si="12"/>
        <v>0</v>
      </c>
      <c r="AE97" s="344" t="str">
        <f t="shared" si="17"/>
        <v/>
      </c>
      <c r="AF97" s="344" t="str">
        <f t="shared" si="18"/>
        <v/>
      </c>
      <c r="AG97" s="561" t="str">
        <f t="shared" si="13"/>
        <v/>
      </c>
      <c r="AH97" s="561" t="str">
        <f t="shared" si="19"/>
        <v/>
      </c>
      <c r="AI97" s="576"/>
      <c r="AJ97" s="847"/>
    </row>
    <row r="98" spans="1:36" ht="24" outlineLevel="1" x14ac:dyDescent="0.2">
      <c r="A98" s="130">
        <f>acute_overview_children!A98</f>
        <v>2</v>
      </c>
      <c r="B98" s="131">
        <f>acute_overview_children!B98</f>
        <v>210000</v>
      </c>
      <c r="C98" s="131" t="s">
        <v>138</v>
      </c>
      <c r="D98" s="300">
        <f>Table22[[#This Row],[Level used for acute calculation]]</f>
        <v>4</v>
      </c>
      <c r="E98" s="302">
        <f>Table22[[#This Row],[MRL individual commodity]]</f>
        <v>0</v>
      </c>
      <c r="F98" s="451">
        <f>Table22[[#This Row],[Acute RA input value]]</f>
        <v>0</v>
      </c>
      <c r="G98" s="301">
        <f>Table22[[#This Row],[Acute RA label]]</f>
        <v>0</v>
      </c>
      <c r="H98" s="303">
        <f>Table22[[#This Row],[Acute RA IESTI new input value]]</f>
        <v>0</v>
      </c>
      <c r="I98" s="301">
        <f>Table22[[#This Row],[Acute RA IESTI new label]]</f>
        <v>0</v>
      </c>
      <c r="J98" s="65"/>
      <c r="K98" s="304">
        <f>Table22[[#This Row],[GAP under assessment]]</f>
        <v>0</v>
      </c>
      <c r="L98" s="304" t="str">
        <f>IF(input_values!$M98=0,"",input_values!$M98)</f>
        <v/>
      </c>
      <c r="M98" s="301" t="str">
        <f>IF(input_values!H98=0,"",input_values!H98)</f>
        <v/>
      </c>
      <c r="N98" s="304">
        <f>input_values!$K98</f>
        <v>0</v>
      </c>
      <c r="O98" s="309"/>
      <c r="P98" s="38"/>
      <c r="Q98" s="306"/>
      <c r="R98" s="309"/>
      <c r="S98" s="336" t="str">
        <f t="shared" si="14"/>
        <v/>
      </c>
      <c r="T98" s="315"/>
      <c r="U98" s="320"/>
      <c r="V98" s="315"/>
      <c r="W98" s="320"/>
      <c r="X98" s="611" t="str">
        <f>IF(V98="ND","ND",IF(S98="","",IF(OR(MID(C98,1,4)="milk",AND(MID(B98,1,2)="50",NOT(input_values!M98="Y")),AND(MID(B98,1,2)="40",NOT(input_values!M98="Y")),AND(MID(B98,1,2)="30",NOT(input_values!M98="Y"))),3,IF(OR(V98="&lt;25",B98&gt;1000000),1,IF((T98&gt;=S98),"2b","2a")))))</f>
        <v/>
      </c>
      <c r="Y98" s="38" t="str">
        <f>IF(X98="ND","ND",IF(S98="","",IF(input_values!K98&gt;0,input_values!K98,IF(OR(X98=1,X98=3),1,IF((V98&gt;250),5,7)))))</f>
        <v/>
      </c>
      <c r="Z98" s="335" t="str">
        <f t="shared" si="10"/>
        <v/>
      </c>
      <c r="AA98" s="311">
        <f t="shared" si="11"/>
        <v>0</v>
      </c>
      <c r="AB98" s="38" t="str">
        <f t="shared" si="15"/>
        <v/>
      </c>
      <c r="AC98" s="335" t="str">
        <f t="shared" si="16"/>
        <v/>
      </c>
      <c r="AD98" s="311">
        <f t="shared" si="12"/>
        <v>0</v>
      </c>
      <c r="AE98" s="344" t="str">
        <f t="shared" si="17"/>
        <v/>
      </c>
      <c r="AF98" s="344" t="str">
        <f t="shared" si="18"/>
        <v/>
      </c>
      <c r="AG98" s="561" t="str">
        <f t="shared" si="13"/>
        <v/>
      </c>
      <c r="AH98" s="561" t="str">
        <f t="shared" si="19"/>
        <v/>
      </c>
      <c r="AI98" s="576"/>
      <c r="AJ98" s="847"/>
    </row>
    <row r="99" spans="1:36" outlineLevel="2" x14ac:dyDescent="0.2">
      <c r="A99" s="132">
        <f>acute_overview_children!A99</f>
        <v>3</v>
      </c>
      <c r="B99" s="3">
        <f>acute_overview_children!B99</f>
        <v>211000</v>
      </c>
      <c r="C99" s="3" t="s">
        <v>222</v>
      </c>
      <c r="D99" s="300">
        <f>Table22[[#This Row],[Level used for acute calculation]]</f>
        <v>3</v>
      </c>
      <c r="E99" s="302">
        <f>Table22[[#This Row],[MRL individual commodity]]</f>
        <v>0</v>
      </c>
      <c r="F99" s="451">
        <f>Table22[[#This Row],[Acute RA input value]]</f>
        <v>0</v>
      </c>
      <c r="G99" s="301" t="str">
        <f>Table22[[#This Row],[Acute RA label]]</f>
        <v/>
      </c>
      <c r="H99" s="303">
        <f>Table22[[#This Row],[Acute RA IESTI new input value]]</f>
        <v>0</v>
      </c>
      <c r="I99" s="301" t="str">
        <f>Table22[[#This Row],[Acute RA IESTI new label]]</f>
        <v/>
      </c>
      <c r="J99" s="65"/>
      <c r="K99" s="304">
        <f>Table22[[#This Row],[GAP under assessment]]</f>
        <v>0</v>
      </c>
      <c r="L99" s="304" t="str">
        <f>IF(input_values!$M99=0,"",input_values!$M99)</f>
        <v/>
      </c>
      <c r="M99" s="301" t="str">
        <f>IF(input_values!H99=0,"",input_values!H99)</f>
        <v/>
      </c>
      <c r="N99" s="304">
        <f>input_values!$K99</f>
        <v>0</v>
      </c>
      <c r="O99" s="326">
        <v>10.410794602698649</v>
      </c>
      <c r="P99" s="22">
        <v>97.5</v>
      </c>
      <c r="Q99" s="327" t="s">
        <v>255</v>
      </c>
      <c r="R99" s="326">
        <v>66.7</v>
      </c>
      <c r="S99" s="328">
        <f t="shared" si="14"/>
        <v>694.4</v>
      </c>
      <c r="T99" s="328">
        <v>216</v>
      </c>
      <c r="U99" s="326" t="s">
        <v>45</v>
      </c>
      <c r="V99" s="328">
        <v>216</v>
      </c>
      <c r="W99" s="326" t="s">
        <v>45</v>
      </c>
      <c r="X99" s="1464" t="str">
        <f>IF(V99="ND","ND",IF(S99="","",IF(OR(MID(C99,1,4)="milk",AND(MID(B99,1,2)="50",NOT(input_values!M99="Y")),AND(MID(B99,1,2)="40",NOT(input_values!M99="Y")),AND(MID(B99,1,2)="30",NOT(input_values!M99="Y"))),3,IF(OR(V99="&lt;25",B99&gt;1000000),1,IF((T99&gt;=S99),"2b","2a")))))</f>
        <v>2a</v>
      </c>
      <c r="Y99" s="22">
        <f>IF(X99="ND","ND",IF(S99="","",IF(input_values!K99&gt;0,input_values!K99,IF(OR(X99=1,X99=3),1,IF((V99&gt;250),5,7)))))</f>
        <v>7</v>
      </c>
      <c r="Z99" s="330" t="str">
        <f t="shared" si="10"/>
        <v/>
      </c>
      <c r="AA99" s="331">
        <f t="shared" si="11"/>
        <v>0</v>
      </c>
      <c r="AB99" s="128">
        <f t="shared" si="15"/>
        <v>3</v>
      </c>
      <c r="AC99" s="330" t="str">
        <f t="shared" si="16"/>
        <v/>
      </c>
      <c r="AD99" s="332">
        <f t="shared" si="12"/>
        <v>0</v>
      </c>
      <c r="AE99" s="333" t="str">
        <f t="shared" si="17"/>
        <v/>
      </c>
      <c r="AF99" s="333" t="str">
        <f t="shared" si="18"/>
        <v/>
      </c>
      <c r="AG99" s="561" t="str">
        <f t="shared" si="13"/>
        <v/>
      </c>
      <c r="AH99" s="561" t="str">
        <f t="shared" si="19"/>
        <v/>
      </c>
      <c r="AI99" s="576"/>
      <c r="AJ99" s="847"/>
    </row>
    <row r="100" spans="1:36" ht="24" outlineLevel="2" x14ac:dyDescent="0.2">
      <c r="A100" s="132">
        <f>acute_overview_children!A100</f>
        <v>3</v>
      </c>
      <c r="B100" s="3">
        <f>acute_overview_children!B100</f>
        <v>212000</v>
      </c>
      <c r="C100" s="3" t="s">
        <v>223</v>
      </c>
      <c r="D100" s="300">
        <f>Table22[[#This Row],[Level used for acute calculation]]</f>
        <v>4</v>
      </c>
      <c r="E100" s="302">
        <f>Table22[[#This Row],[MRL individual commodity]]</f>
        <v>0</v>
      </c>
      <c r="F100" s="451">
        <f>Table22[[#This Row],[Acute RA input value]]</f>
        <v>0</v>
      </c>
      <c r="G100" s="301">
        <f>Table22[[#This Row],[Acute RA label]]</f>
        <v>0</v>
      </c>
      <c r="H100" s="303">
        <f>Table22[[#This Row],[Acute RA IESTI new input value]]</f>
        <v>0</v>
      </c>
      <c r="I100" s="301">
        <f>Table22[[#This Row],[Acute RA IESTI new label]]</f>
        <v>0</v>
      </c>
      <c r="J100" s="65"/>
      <c r="K100" s="304">
        <f>Table22[[#This Row],[GAP under assessment]]</f>
        <v>0</v>
      </c>
      <c r="L100" s="304" t="str">
        <f>IF(input_values!$M100=0,"",input_values!$M100)</f>
        <v/>
      </c>
      <c r="M100" s="301" t="str">
        <f>IF(input_values!H100=0,"",input_values!H100)</f>
        <v/>
      </c>
      <c r="N100" s="304">
        <f>input_values!$K100</f>
        <v>0</v>
      </c>
      <c r="O100" s="309"/>
      <c r="P100" s="38"/>
      <c r="Q100" s="306"/>
      <c r="R100" s="309"/>
      <c r="S100" s="336" t="str">
        <f t="shared" si="14"/>
        <v/>
      </c>
      <c r="T100" s="342"/>
      <c r="U100" s="343"/>
      <c r="V100" s="342"/>
      <c r="W100" s="343"/>
      <c r="X100" s="611" t="str">
        <f>IF(V100="ND","ND",IF(S100="","",IF(OR(MID(C100,1,4)="milk",AND(MID(B100,1,2)="50",NOT(input_values!M100="Y")),AND(MID(B100,1,2)="40",NOT(input_values!M100="Y")),AND(MID(B100,1,2)="30",NOT(input_values!M100="Y"))),3,IF(OR(V100="&lt;25",B100&gt;1000000),1,IF((T100&gt;=S100),"2b","2a")))))</f>
        <v/>
      </c>
      <c r="Y100" s="38" t="str">
        <f>IF(X100="ND","ND",IF(S100="","",IF(input_values!K100&gt;0,input_values!K100,IF(OR(X100=1,X100=3),1,IF((V100&gt;250),5,7)))))</f>
        <v/>
      </c>
      <c r="Z100" s="335" t="str">
        <f t="shared" si="10"/>
        <v/>
      </c>
      <c r="AA100" s="311">
        <f t="shared" si="11"/>
        <v>0</v>
      </c>
      <c r="AB100" s="38" t="str">
        <f t="shared" si="15"/>
        <v/>
      </c>
      <c r="AC100" s="335" t="str">
        <f t="shared" si="16"/>
        <v/>
      </c>
      <c r="AD100" s="311">
        <f t="shared" si="12"/>
        <v>0</v>
      </c>
      <c r="AE100" s="344" t="str">
        <f t="shared" si="17"/>
        <v/>
      </c>
      <c r="AF100" s="344" t="str">
        <f t="shared" si="18"/>
        <v/>
      </c>
      <c r="AG100" s="561" t="str">
        <f t="shared" si="13"/>
        <v/>
      </c>
      <c r="AH100" s="561" t="str">
        <f t="shared" si="19"/>
        <v/>
      </c>
      <c r="AI100" s="576"/>
      <c r="AJ100" s="847"/>
    </row>
    <row r="101" spans="1:36" ht="12" customHeight="1" outlineLevel="3" x14ac:dyDescent="0.2">
      <c r="A101" s="39">
        <f>acute_overview_children!A101</f>
        <v>4</v>
      </c>
      <c r="B101" s="23">
        <f>acute_overview_children!B101</f>
        <v>212010</v>
      </c>
      <c r="C101" s="23" t="s">
        <v>705</v>
      </c>
      <c r="D101" s="300">
        <f>Table22[[#This Row],[Level used for acute calculation]]</f>
        <v>4</v>
      </c>
      <c r="E101" s="302">
        <f>Table22[[#This Row],[MRL individual commodity]]</f>
        <v>0</v>
      </c>
      <c r="F101" s="451">
        <f>Table22[[#This Row],[Acute RA input value]]</f>
        <v>0</v>
      </c>
      <c r="G101" s="301" t="str">
        <f>Table22[[#This Row],[Acute RA label]]</f>
        <v/>
      </c>
      <c r="H101" s="303">
        <f>Table22[[#This Row],[Acute RA IESTI new input value]]</f>
        <v>0</v>
      </c>
      <c r="I101" s="301" t="str">
        <f>Table22[[#This Row],[Acute RA IESTI new label]]</f>
        <v/>
      </c>
      <c r="J101" s="65"/>
      <c r="K101" s="304">
        <f>Table22[[#This Row],[GAP under assessment]]</f>
        <v>0</v>
      </c>
      <c r="L101" s="304" t="str">
        <f>IF(input_values!$M101=0,"",input_values!$M101)</f>
        <v/>
      </c>
      <c r="M101" s="301" t="str">
        <f>IF(input_values!H101=0,"",input_values!H101)</f>
        <v/>
      </c>
      <c r="N101" s="304">
        <f>input_values!$K101</f>
        <v>0</v>
      </c>
      <c r="O101" s="338">
        <v>0.6</v>
      </c>
      <c r="P101" s="22" t="s">
        <v>331</v>
      </c>
      <c r="Q101" s="327" t="s">
        <v>313</v>
      </c>
      <c r="R101" s="326">
        <v>66.400000000000006</v>
      </c>
      <c r="S101" s="328">
        <f t="shared" si="14"/>
        <v>39.840000000000003</v>
      </c>
      <c r="T101" s="338">
        <v>356.3</v>
      </c>
      <c r="U101" s="339" t="s">
        <v>215</v>
      </c>
      <c r="V101" s="338">
        <v>475</v>
      </c>
      <c r="W101" s="339" t="s">
        <v>215</v>
      </c>
      <c r="X101" s="460" t="str">
        <f>IF(V101="ND","ND",IF(S101="","",IF(OR(MID(C101,1,4)="milk",AND(MID(B101,1,2)="50",NOT(input_values!M101="Y")),AND(MID(B101,1,2)="40",NOT(input_values!M101="Y")),AND(MID(B101,1,2)="30",NOT(input_values!M101="Y"))),3,IF(OR(V101="&lt;25",B101&gt;1000000),1,IF((T101&gt;=S101),"2b","2a")))))</f>
        <v>2b</v>
      </c>
      <c r="Y101" s="22">
        <f>IF(X101="ND","ND",IF(S101="","",IF(input_values!K101&gt;0,input_values!K101,IF(OR(X101=1,X101=3),1,IF((V101&gt;250),5,7)))))</f>
        <v>5</v>
      </c>
      <c r="Z101" s="340" t="str">
        <f t="shared" si="10"/>
        <v/>
      </c>
      <c r="AA101" s="332">
        <f t="shared" si="11"/>
        <v>0</v>
      </c>
      <c r="AB101" s="128">
        <f t="shared" si="15"/>
        <v>3</v>
      </c>
      <c r="AC101" s="340" t="str">
        <f t="shared" si="16"/>
        <v/>
      </c>
      <c r="AD101" s="332">
        <f t="shared" si="12"/>
        <v>0</v>
      </c>
      <c r="AE101" s="37" t="str">
        <f t="shared" si="17"/>
        <v/>
      </c>
      <c r="AF101" s="37" t="str">
        <f t="shared" si="18"/>
        <v/>
      </c>
      <c r="AG101" s="561" t="str">
        <f t="shared" si="13"/>
        <v/>
      </c>
      <c r="AH101" s="561" t="str">
        <f t="shared" si="19"/>
        <v/>
      </c>
      <c r="AI101" s="576"/>
      <c r="AJ101" s="847"/>
    </row>
    <row r="102" spans="1:36" ht="12" customHeight="1" outlineLevel="3" x14ac:dyDescent="0.2">
      <c r="A102" s="39">
        <f>acute_overview_children!A102</f>
        <v>4</v>
      </c>
      <c r="B102" s="23">
        <f>acute_overview_children!B102</f>
        <v>212020</v>
      </c>
      <c r="C102" s="23" t="s">
        <v>24</v>
      </c>
      <c r="D102" s="300">
        <f>Table22[[#This Row],[Level used for acute calculation]]</f>
        <v>4</v>
      </c>
      <c r="E102" s="302">
        <f>Table22[[#This Row],[MRL individual commodity]]</f>
        <v>0</v>
      </c>
      <c r="F102" s="451">
        <f>Table22[[#This Row],[Acute RA input value]]</f>
        <v>0</v>
      </c>
      <c r="G102" s="301" t="str">
        <f>Table22[[#This Row],[Acute RA label]]</f>
        <v/>
      </c>
      <c r="H102" s="303">
        <f>Table22[[#This Row],[Acute RA IESTI new input value]]</f>
        <v>0</v>
      </c>
      <c r="I102" s="301" t="str">
        <f>Table22[[#This Row],[Acute RA IESTI new label]]</f>
        <v/>
      </c>
      <c r="J102" s="65"/>
      <c r="K102" s="304">
        <f>Table22[[#This Row],[GAP under assessment]]</f>
        <v>0</v>
      </c>
      <c r="L102" s="304" t="str">
        <f>IF(input_values!$M102=0,"",input_values!$M102)</f>
        <v/>
      </c>
      <c r="M102" s="301" t="str">
        <f>IF(input_values!H102=0,"",input_values!H102)</f>
        <v/>
      </c>
      <c r="N102" s="304">
        <f>input_values!$K102</f>
        <v>0</v>
      </c>
      <c r="O102" s="326">
        <v>3.5372340425531914</v>
      </c>
      <c r="P102" s="22" t="s">
        <v>331</v>
      </c>
      <c r="Q102" s="327" t="s">
        <v>253</v>
      </c>
      <c r="R102" s="326">
        <v>75.2</v>
      </c>
      <c r="S102" s="328">
        <f t="shared" si="14"/>
        <v>266</v>
      </c>
      <c r="T102" s="328">
        <v>216</v>
      </c>
      <c r="U102" s="326" t="s">
        <v>72</v>
      </c>
      <c r="V102" s="328">
        <v>240</v>
      </c>
      <c r="W102" s="326" t="s">
        <v>72</v>
      </c>
      <c r="X102" s="1464" t="str">
        <f>IF(V102="ND","ND",IF(S102="","",IF(OR(MID(C102,1,4)="milk",AND(MID(B102,1,2)="50",NOT(input_values!M102="Y")),AND(MID(B102,1,2)="40",NOT(input_values!M102="Y")),AND(MID(B102,1,2)="30",NOT(input_values!M102="Y"))),3,IF(OR(V102="&lt;25",B102&gt;1000000),1,IF((T102&gt;=S102),"2b","2a")))))</f>
        <v>2a</v>
      </c>
      <c r="Y102" s="22">
        <f>IF(X102="ND","ND",IF(S102="","",IF(input_values!K102&gt;0,input_values!K102,IF(OR(X102=1,X102=3),1,IF((V102&gt;250),5,7)))))</f>
        <v>7</v>
      </c>
      <c r="Z102" s="330" t="str">
        <f t="shared" si="10"/>
        <v/>
      </c>
      <c r="AA102" s="331">
        <f t="shared" si="11"/>
        <v>0</v>
      </c>
      <c r="AB102" s="128">
        <f t="shared" si="15"/>
        <v>3</v>
      </c>
      <c r="AC102" s="330" t="str">
        <f t="shared" si="16"/>
        <v/>
      </c>
      <c r="AD102" s="332">
        <f t="shared" si="12"/>
        <v>0</v>
      </c>
      <c r="AE102" s="333" t="str">
        <f t="shared" si="17"/>
        <v/>
      </c>
      <c r="AF102" s="333" t="str">
        <f t="shared" si="18"/>
        <v/>
      </c>
      <c r="AG102" s="561" t="str">
        <f t="shared" si="13"/>
        <v/>
      </c>
      <c r="AH102" s="561" t="str">
        <f t="shared" si="19"/>
        <v/>
      </c>
      <c r="AI102" s="576"/>
      <c r="AJ102" s="847"/>
    </row>
    <row r="103" spans="1:36" ht="12" customHeight="1" outlineLevel="3" x14ac:dyDescent="0.2">
      <c r="A103" s="39">
        <f>acute_overview_children!A103</f>
        <v>4</v>
      </c>
      <c r="B103" s="23">
        <f>acute_overview_children!B103</f>
        <v>212030</v>
      </c>
      <c r="C103" s="23" t="s">
        <v>25</v>
      </c>
      <c r="D103" s="300">
        <f>Table22[[#This Row],[Level used for acute calculation]]</f>
        <v>4</v>
      </c>
      <c r="E103" s="302">
        <f>Table22[[#This Row],[MRL individual commodity]]</f>
        <v>0</v>
      </c>
      <c r="F103" s="451">
        <f>Table22[[#This Row],[Acute RA input value]]</f>
        <v>0</v>
      </c>
      <c r="G103" s="301" t="str">
        <f>Table22[[#This Row],[Acute RA label]]</f>
        <v/>
      </c>
      <c r="H103" s="303">
        <f>Table22[[#This Row],[Acute RA IESTI new input value]]</f>
        <v>0</v>
      </c>
      <c r="I103" s="301" t="str">
        <f>Table22[[#This Row],[Acute RA IESTI new label]]</f>
        <v/>
      </c>
      <c r="J103" s="65"/>
      <c r="K103" s="304">
        <f>Table22[[#This Row],[GAP under assessment]]</f>
        <v>0</v>
      </c>
      <c r="L103" s="304" t="str">
        <f>IF(input_values!$M103=0,"",input_values!$M103)</f>
        <v/>
      </c>
      <c r="M103" s="301" t="str">
        <f>IF(input_values!H103=0,"",input_values!H103)</f>
        <v/>
      </c>
      <c r="N103" s="304">
        <f>input_values!$K103</f>
        <v>0</v>
      </c>
      <c r="O103" s="326">
        <v>9.1276315789473692</v>
      </c>
      <c r="P103" s="22">
        <v>97.5</v>
      </c>
      <c r="Q103" s="327" t="s">
        <v>105</v>
      </c>
      <c r="R103" s="326">
        <v>76</v>
      </c>
      <c r="S103" s="328">
        <f t="shared" si="14"/>
        <v>693.7</v>
      </c>
      <c r="T103" s="328">
        <v>365</v>
      </c>
      <c r="U103" s="326" t="s">
        <v>45</v>
      </c>
      <c r="V103" s="328">
        <v>365</v>
      </c>
      <c r="W103" s="326" t="s">
        <v>45</v>
      </c>
      <c r="X103" s="1464" t="str">
        <f>IF(V103="ND","ND",IF(S103="","",IF(OR(MID(C103,1,4)="milk",AND(MID(B103,1,2)="50",NOT(input_values!M103="Y")),AND(MID(B103,1,2)="40",NOT(input_values!M103="Y")),AND(MID(B103,1,2)="30",NOT(input_values!M103="Y"))),3,IF(OR(V103="&lt;25",B103&gt;1000000),1,IF((T103&gt;=S103),"2b","2a")))))</f>
        <v>2a</v>
      </c>
      <c r="Y103" s="22">
        <f>IF(X103="ND","ND",IF(S103="","",IF(input_values!K103&gt;0,input_values!K103,IF(OR(X103=1,X103=3),1,IF((V103&gt;250),5,7)))))</f>
        <v>5</v>
      </c>
      <c r="Z103" s="330" t="str">
        <f t="shared" si="10"/>
        <v/>
      </c>
      <c r="AA103" s="331">
        <f t="shared" si="11"/>
        <v>0</v>
      </c>
      <c r="AB103" s="128">
        <f t="shared" si="15"/>
        <v>3</v>
      </c>
      <c r="AC103" s="330" t="str">
        <f t="shared" si="16"/>
        <v/>
      </c>
      <c r="AD103" s="332">
        <f t="shared" si="12"/>
        <v>0</v>
      </c>
      <c r="AE103" s="333" t="str">
        <f t="shared" si="17"/>
        <v/>
      </c>
      <c r="AF103" s="333" t="str">
        <f t="shared" si="18"/>
        <v/>
      </c>
      <c r="AG103" s="561" t="str">
        <f t="shared" si="13"/>
        <v/>
      </c>
      <c r="AH103" s="561" t="str">
        <f t="shared" si="19"/>
        <v/>
      </c>
      <c r="AI103" s="576"/>
      <c r="AJ103" s="847"/>
    </row>
    <row r="104" spans="1:36" ht="12" customHeight="1" outlineLevel="3" x14ac:dyDescent="0.2">
      <c r="A104" s="39">
        <f>acute_overview_children!A104</f>
        <v>4</v>
      </c>
      <c r="B104" s="23">
        <f>acute_overview_children!B104</f>
        <v>212040</v>
      </c>
      <c r="C104" s="23" t="s">
        <v>706</v>
      </c>
      <c r="D104" s="300">
        <f>Table22[[#This Row],[Level used for acute calculation]]</f>
        <v>4</v>
      </c>
      <c r="E104" s="302">
        <f>Table22[[#This Row],[MRL individual commodity]]</f>
        <v>0</v>
      </c>
      <c r="F104" s="451">
        <f>Table22[[#This Row],[Acute RA input value]]</f>
        <v>0</v>
      </c>
      <c r="G104" s="301" t="str">
        <f>Table22[[#This Row],[Acute RA label]]</f>
        <v/>
      </c>
      <c r="H104" s="303">
        <f>Table22[[#This Row],[Acute RA IESTI new input value]]</f>
        <v>0</v>
      </c>
      <c r="I104" s="301" t="str">
        <f>Table22[[#This Row],[Acute RA IESTI new label]]</f>
        <v/>
      </c>
      <c r="J104" s="65"/>
      <c r="K104" s="304">
        <f>Table22[[#This Row],[GAP under assessment]]</f>
        <v>0</v>
      </c>
      <c r="L104" s="304" t="str">
        <f>IF(input_values!$M104=0,"",input_values!$M104)</f>
        <v/>
      </c>
      <c r="M104" s="301" t="str">
        <f>IF(input_values!H104=0,"",input_values!H104)</f>
        <v/>
      </c>
      <c r="N104" s="304">
        <f>input_values!$K104</f>
        <v>0</v>
      </c>
      <c r="O104" s="338" t="s">
        <v>618</v>
      </c>
      <c r="P104" s="22"/>
      <c r="Q104" s="327"/>
      <c r="R104" s="326"/>
      <c r="S104" s="31" t="str">
        <f t="shared" si="14"/>
        <v>ND</v>
      </c>
      <c r="T104" s="338" t="s">
        <v>618</v>
      </c>
      <c r="U104" s="326"/>
      <c r="V104" s="338" t="s">
        <v>618</v>
      </c>
      <c r="W104" s="326"/>
      <c r="X104" s="460" t="str">
        <f>IF(V104="ND","ND",IF(S104="","",IF(OR(MID(C104,1,4)="milk",AND(MID(B104,1,2)="50",NOT(input_values!M104="Y")),AND(MID(B104,1,2)="40",NOT(input_values!M104="Y")),AND(MID(B104,1,2)="30",NOT(input_values!M104="Y"))),3,IF(OR(V104="&lt;25",B104&gt;1000000),1,IF((T104&gt;=S104),"2b","2a")))))</f>
        <v>ND</v>
      </c>
      <c r="Y104" s="22" t="str">
        <f>IF(X104="ND","ND",IF(S104="","",IF(input_values!K104&gt;0,input_values!K104,IF(OR(X104=1,X104=3),1,IF((V104&gt;250),5,7)))))</f>
        <v>ND</v>
      </c>
      <c r="Z104" s="340" t="str">
        <f t="shared" si="10"/>
        <v/>
      </c>
      <c r="AA104" s="332">
        <f t="shared" si="11"/>
        <v>0</v>
      </c>
      <c r="AB104" s="128" t="str">
        <f t="shared" si="15"/>
        <v>ND</v>
      </c>
      <c r="AC104" s="340" t="str">
        <f t="shared" si="16"/>
        <v/>
      </c>
      <c r="AD104" s="332">
        <f t="shared" si="12"/>
        <v>0</v>
      </c>
      <c r="AE104" s="37" t="str">
        <f t="shared" si="17"/>
        <v/>
      </c>
      <c r="AF104" s="37" t="str">
        <f t="shared" si="18"/>
        <v/>
      </c>
      <c r="AG104" s="561" t="str">
        <f t="shared" si="13"/>
        <v/>
      </c>
      <c r="AH104" s="561" t="str">
        <f t="shared" si="19"/>
        <v/>
      </c>
      <c r="AI104" s="576"/>
      <c r="AJ104" s="847"/>
    </row>
    <row r="105" spans="1:36" ht="12" customHeight="1" outlineLevel="3" x14ac:dyDescent="0.2">
      <c r="A105" s="39">
        <f>acute_overview_children!A105</f>
        <v>4</v>
      </c>
      <c r="B105" s="23">
        <f>acute_overview_children!B105</f>
        <v>212990</v>
      </c>
      <c r="C105" s="23" t="s">
        <v>163</v>
      </c>
      <c r="D105" s="300">
        <f>Table22[[#This Row],[Level used for acute calculation]]</f>
        <v>0</v>
      </c>
      <c r="E105" s="302">
        <f>Table22[[#This Row],[MRL individual commodity]]</f>
        <v>0</v>
      </c>
      <c r="F105" s="451">
        <f>Table22[[#This Row],[Acute RA input value]]</f>
        <v>0</v>
      </c>
      <c r="G105" s="301">
        <f>Table22[[#This Row],[Acute RA label]]</f>
        <v>0</v>
      </c>
      <c r="H105" s="303">
        <f>Table22[[#This Row],[Acute RA IESTI new input value]]</f>
        <v>0</v>
      </c>
      <c r="I105" s="301">
        <f>Table22[[#This Row],[Acute RA IESTI new label]]</f>
        <v>0</v>
      </c>
      <c r="J105" s="65"/>
      <c r="K105" s="304">
        <f>Table22[[#This Row],[GAP under assessment]]</f>
        <v>0</v>
      </c>
      <c r="L105" s="304" t="str">
        <f>IF(input_values!$M105=0,"",input_values!$M105)</f>
        <v/>
      </c>
      <c r="M105" s="301" t="str">
        <f>IF(input_values!H105=0,"",input_values!H105)</f>
        <v/>
      </c>
      <c r="N105" s="304">
        <f>input_values!$K105</f>
        <v>0</v>
      </c>
      <c r="O105" s="309"/>
      <c r="P105" s="38"/>
      <c r="Q105" s="306"/>
      <c r="R105" s="309"/>
      <c r="S105" s="336" t="str">
        <f t="shared" si="14"/>
        <v/>
      </c>
      <c r="T105" s="305"/>
      <c r="U105" s="309"/>
      <c r="V105" s="305"/>
      <c r="W105" s="309"/>
      <c r="X105" s="611" t="str">
        <f>IF(V105="ND","ND",IF(S105="","",IF(OR(MID(C105,1,4)="milk",AND(MID(B105,1,2)="50",NOT(input_values!M105="Y")),AND(MID(B105,1,2)="40",NOT(input_values!M105="Y")),AND(MID(B105,1,2)="30",NOT(input_values!M105="Y"))),3,IF(OR(V105="&lt;25",B105&gt;1000000),1,IF((T105&gt;=S105),"2b","2a")))))</f>
        <v/>
      </c>
      <c r="Y105" s="38" t="str">
        <f>IF(X105="ND","ND",IF(S105="","",IF(input_values!K105&gt;0,input_values!K105,IF(OR(X105=1,X105=3),1,IF((V105&gt;250),5,7)))))</f>
        <v/>
      </c>
      <c r="Z105" s="335" t="str">
        <f t="shared" si="10"/>
        <v/>
      </c>
      <c r="AA105" s="311">
        <f t="shared" si="11"/>
        <v>0</v>
      </c>
      <c r="AB105" s="38" t="str">
        <f t="shared" si="15"/>
        <v/>
      </c>
      <c r="AC105" s="335" t="str">
        <f t="shared" si="16"/>
        <v/>
      </c>
      <c r="AD105" s="311">
        <f t="shared" si="12"/>
        <v>0</v>
      </c>
      <c r="AE105" s="344" t="str">
        <f t="shared" si="17"/>
        <v/>
      </c>
      <c r="AF105" s="344" t="str">
        <f t="shared" si="18"/>
        <v/>
      </c>
      <c r="AG105" s="561" t="str">
        <f t="shared" si="13"/>
        <v/>
      </c>
      <c r="AH105" s="561" t="str">
        <f t="shared" si="19"/>
        <v/>
      </c>
      <c r="AI105" s="576"/>
      <c r="AJ105" s="847"/>
    </row>
    <row r="106" spans="1:36" ht="24" outlineLevel="2" x14ac:dyDescent="0.2">
      <c r="A106" s="132">
        <f>acute_overview_children!A106</f>
        <v>3</v>
      </c>
      <c r="B106" s="3">
        <f>acute_overview_children!B106</f>
        <v>213000</v>
      </c>
      <c r="C106" s="3" t="s">
        <v>294</v>
      </c>
      <c r="D106" s="300">
        <f>Table22[[#This Row],[Level used for acute calculation]]</f>
        <v>4</v>
      </c>
      <c r="E106" s="302">
        <f>Table22[[#This Row],[MRL individual commodity]]</f>
        <v>0</v>
      </c>
      <c r="F106" s="451">
        <f>Table22[[#This Row],[Acute RA input value]]</f>
        <v>0</v>
      </c>
      <c r="G106" s="301">
        <f>Table22[[#This Row],[Acute RA label]]</f>
        <v>0</v>
      </c>
      <c r="H106" s="303">
        <f>Table22[[#This Row],[Acute RA IESTI new input value]]</f>
        <v>0</v>
      </c>
      <c r="I106" s="301">
        <f>Table22[[#This Row],[Acute RA IESTI new label]]</f>
        <v>0</v>
      </c>
      <c r="J106" s="65"/>
      <c r="K106" s="304">
        <f>Table22[[#This Row],[GAP under assessment]]</f>
        <v>0</v>
      </c>
      <c r="L106" s="304" t="str">
        <f>IF(input_values!$M106=0,"",input_values!$M106)</f>
        <v/>
      </c>
      <c r="M106" s="301" t="str">
        <f>IF(input_values!H106=0,"",input_values!H106)</f>
        <v/>
      </c>
      <c r="N106" s="304">
        <f>input_values!$K106</f>
        <v>0</v>
      </c>
      <c r="O106" s="309"/>
      <c r="P106" s="38"/>
      <c r="Q106" s="306"/>
      <c r="R106" s="309"/>
      <c r="S106" s="336" t="str">
        <f t="shared" si="14"/>
        <v/>
      </c>
      <c r="T106" s="342"/>
      <c r="U106" s="343"/>
      <c r="V106" s="342"/>
      <c r="W106" s="343"/>
      <c r="X106" s="611" t="str">
        <f>IF(V106="ND","ND",IF(S106="","",IF(OR(MID(C106,1,4)="milk",AND(MID(B106,1,2)="50",NOT(input_values!M106="Y")),AND(MID(B106,1,2)="40",NOT(input_values!M106="Y")),AND(MID(B106,1,2)="30",NOT(input_values!M106="Y"))),3,IF(OR(V106="&lt;25",B106&gt;1000000),1,IF((T106&gt;=S106),"2b","2a")))))</f>
        <v/>
      </c>
      <c r="Y106" s="38" t="str">
        <f>IF(X106="ND","ND",IF(S106="","",IF(input_values!K106&gt;0,input_values!K106,IF(OR(X106=1,X106=3),1,IF((V106&gt;250),5,7)))))</f>
        <v/>
      </c>
      <c r="Z106" s="335" t="str">
        <f t="shared" si="10"/>
        <v/>
      </c>
      <c r="AA106" s="311">
        <f t="shared" si="11"/>
        <v>0</v>
      </c>
      <c r="AB106" s="38" t="str">
        <f t="shared" si="15"/>
        <v/>
      </c>
      <c r="AC106" s="335" t="str">
        <f t="shared" si="16"/>
        <v/>
      </c>
      <c r="AD106" s="311">
        <f t="shared" si="12"/>
        <v>0</v>
      </c>
      <c r="AE106" s="344" t="str">
        <f t="shared" si="17"/>
        <v/>
      </c>
      <c r="AF106" s="344" t="str">
        <f t="shared" si="18"/>
        <v/>
      </c>
      <c r="AG106" s="561" t="str">
        <f t="shared" si="13"/>
        <v/>
      </c>
      <c r="AH106" s="561" t="str">
        <f t="shared" si="19"/>
        <v/>
      </c>
      <c r="AI106" s="576"/>
      <c r="AJ106" s="847"/>
    </row>
    <row r="107" spans="1:36" ht="12" customHeight="1" outlineLevel="3" x14ac:dyDescent="0.2">
      <c r="A107" s="39">
        <f>acute_overview_children!A107</f>
        <v>4</v>
      </c>
      <c r="B107" s="23">
        <f>acute_overview_children!B107</f>
        <v>213010</v>
      </c>
      <c r="C107" s="23" t="s">
        <v>707</v>
      </c>
      <c r="D107" s="300">
        <f>Table22[[#This Row],[Level used for acute calculation]]</f>
        <v>4</v>
      </c>
      <c r="E107" s="302">
        <f>Table22[[#This Row],[MRL individual commodity]]</f>
        <v>0</v>
      </c>
      <c r="F107" s="451">
        <f>Table22[[#This Row],[Acute RA input value]]</f>
        <v>0</v>
      </c>
      <c r="G107" s="301" t="str">
        <f>Table22[[#This Row],[Acute RA label]]</f>
        <v/>
      </c>
      <c r="H107" s="303">
        <f>Table22[[#This Row],[Acute RA IESTI new input value]]</f>
        <v>0</v>
      </c>
      <c r="I107" s="301" t="str">
        <f>Table22[[#This Row],[Acute RA IESTI new label]]</f>
        <v/>
      </c>
      <c r="J107" s="65"/>
      <c r="K107" s="304">
        <f>Table22[[#This Row],[GAP under assessment]]</f>
        <v>0</v>
      </c>
      <c r="L107" s="304" t="str">
        <f>IF(input_values!$M107=0,"",input_values!$M107)</f>
        <v/>
      </c>
      <c r="M107" s="301" t="str">
        <f>IF(input_values!H107=0,"",input_values!H107)</f>
        <v/>
      </c>
      <c r="N107" s="304">
        <f>input_values!$K107</f>
        <v>0</v>
      </c>
      <c r="O107" s="326">
        <v>3.419</v>
      </c>
      <c r="P107" s="22" t="s">
        <v>331</v>
      </c>
      <c r="Q107" s="327" t="s">
        <v>99</v>
      </c>
      <c r="R107" s="326">
        <v>65.8</v>
      </c>
      <c r="S107" s="338">
        <f t="shared" si="14"/>
        <v>224.97020000000001</v>
      </c>
      <c r="T107" s="338">
        <v>215</v>
      </c>
      <c r="U107" s="339" t="s">
        <v>215</v>
      </c>
      <c r="V107" s="338">
        <v>224</v>
      </c>
      <c r="W107" s="339" t="s">
        <v>215</v>
      </c>
      <c r="X107" s="1464" t="str">
        <f>IF(V107="ND","ND",IF(S107="","",IF(OR(MID(C107,1,4)="milk",AND(MID(B107,1,2)="50",NOT(input_values!M107="Y")),AND(MID(B107,1,2)="40",NOT(input_values!M107="Y")),AND(MID(B107,1,2)="30",NOT(input_values!M107="Y"))),3,IF(OR(V107="&lt;25",B107&gt;1000000),1,IF((T107&gt;=S107),"2b","2a")))))</f>
        <v>2a</v>
      </c>
      <c r="Y107" s="22">
        <f>IF(X107="ND","ND",IF(S107="","",IF(input_values!K107&gt;0,input_values!K107,IF(OR(X107=1,X107=3),1,IF((V107&gt;250),5,7)))))</f>
        <v>7</v>
      </c>
      <c r="Z107" s="330" t="str">
        <f t="shared" si="10"/>
        <v/>
      </c>
      <c r="AA107" s="331">
        <f t="shared" si="11"/>
        <v>0</v>
      </c>
      <c r="AB107" s="128">
        <f t="shared" si="15"/>
        <v>3</v>
      </c>
      <c r="AC107" s="330" t="str">
        <f t="shared" si="16"/>
        <v/>
      </c>
      <c r="AD107" s="332">
        <f t="shared" si="12"/>
        <v>0</v>
      </c>
      <c r="AE107" s="333" t="str">
        <f t="shared" si="17"/>
        <v/>
      </c>
      <c r="AF107" s="333" t="str">
        <f t="shared" si="18"/>
        <v/>
      </c>
      <c r="AG107" s="561" t="str">
        <f t="shared" si="13"/>
        <v/>
      </c>
      <c r="AH107" s="561" t="str">
        <f t="shared" si="19"/>
        <v/>
      </c>
      <c r="AI107" s="576"/>
      <c r="AJ107" s="847"/>
    </row>
    <row r="108" spans="1:36" ht="12" customHeight="1" outlineLevel="3" x14ac:dyDescent="0.2">
      <c r="A108" s="39">
        <f>acute_overview_children!A108</f>
        <v>4</v>
      </c>
      <c r="B108" s="23">
        <f>acute_overview_children!B108</f>
        <v>213020</v>
      </c>
      <c r="C108" s="23" t="s">
        <v>26</v>
      </c>
      <c r="D108" s="300">
        <f>Table22[[#This Row],[Level used for acute calculation]]</f>
        <v>4</v>
      </c>
      <c r="E108" s="302">
        <f>Table22[[#This Row],[MRL individual commodity]]</f>
        <v>0</v>
      </c>
      <c r="F108" s="451">
        <f>Table22[[#This Row],[Acute RA input value]]</f>
        <v>0</v>
      </c>
      <c r="G108" s="301" t="str">
        <f>Table22[[#This Row],[Acute RA label]]</f>
        <v/>
      </c>
      <c r="H108" s="303">
        <f>Table22[[#This Row],[Acute RA IESTI new input value]]</f>
        <v>0</v>
      </c>
      <c r="I108" s="301" t="str">
        <f>Table22[[#This Row],[Acute RA IESTI new label]]</f>
        <v/>
      </c>
      <c r="J108" s="65"/>
      <c r="K108" s="304">
        <f>Table22[[#This Row],[GAP under assessment]]</f>
        <v>0</v>
      </c>
      <c r="L108" s="304" t="str">
        <f>IF(input_values!$M108=0,"",input_values!$M108)</f>
        <v/>
      </c>
      <c r="M108" s="301" t="str">
        <f>IF(input_values!H108=0,"",input_values!H108)</f>
        <v/>
      </c>
      <c r="N108" s="304">
        <f>input_values!$K108</f>
        <v>0</v>
      </c>
      <c r="O108" s="326">
        <v>3.9422492401215803</v>
      </c>
      <c r="P108" s="22" t="s">
        <v>328</v>
      </c>
      <c r="Q108" s="327" t="s">
        <v>99</v>
      </c>
      <c r="R108" s="326">
        <v>65.8</v>
      </c>
      <c r="S108" s="328">
        <f t="shared" si="14"/>
        <v>259.39999999999998</v>
      </c>
      <c r="T108" s="328">
        <v>300</v>
      </c>
      <c r="U108" s="326" t="s">
        <v>215</v>
      </c>
      <c r="V108" s="328">
        <v>300</v>
      </c>
      <c r="W108" s="326" t="s">
        <v>215</v>
      </c>
      <c r="X108" s="1464" t="str">
        <f>IF(V108="ND","ND",IF(S108="","",IF(OR(MID(C108,1,4)="milk",AND(MID(B108,1,2)="50",NOT(input_values!M108="Y")),AND(MID(B108,1,2)="40",NOT(input_values!M108="Y")),AND(MID(B108,1,2)="30",NOT(input_values!M108="Y"))),3,IF(OR(V108="&lt;25",B108&gt;1000000),1,IF((T108&gt;=S108),"2b","2a")))))</f>
        <v>2b</v>
      </c>
      <c r="Y108" s="22">
        <f>IF(X108="ND","ND",IF(S108="","",IF(input_values!K108&gt;0,input_values!K108,IF(OR(X108=1,X108=3),1,IF((V108&gt;250),5,7)))))</f>
        <v>5</v>
      </c>
      <c r="Z108" s="330" t="str">
        <f t="shared" si="10"/>
        <v/>
      </c>
      <c r="AA108" s="331">
        <f t="shared" si="11"/>
        <v>0</v>
      </c>
      <c r="AB108" s="128">
        <f t="shared" si="15"/>
        <v>3</v>
      </c>
      <c r="AC108" s="330" t="str">
        <f t="shared" si="16"/>
        <v/>
      </c>
      <c r="AD108" s="332">
        <f t="shared" si="12"/>
        <v>0</v>
      </c>
      <c r="AE108" s="333" t="str">
        <f t="shared" si="17"/>
        <v/>
      </c>
      <c r="AF108" s="333" t="str">
        <f t="shared" si="18"/>
        <v/>
      </c>
      <c r="AG108" s="561" t="str">
        <f t="shared" si="13"/>
        <v/>
      </c>
      <c r="AH108" s="561" t="str">
        <f t="shared" si="19"/>
        <v/>
      </c>
      <c r="AI108" s="576"/>
      <c r="AJ108" s="847"/>
    </row>
    <row r="109" spans="1:36" ht="12" customHeight="1" outlineLevel="3" x14ac:dyDescent="0.2">
      <c r="A109" s="39">
        <f>acute_overview_children!A109</f>
        <v>4</v>
      </c>
      <c r="B109" s="23">
        <f>acute_overview_children!B109</f>
        <v>213030</v>
      </c>
      <c r="C109" s="23" t="s">
        <v>708</v>
      </c>
      <c r="D109" s="300">
        <f>Table22[[#This Row],[Level used for acute calculation]]</f>
        <v>4</v>
      </c>
      <c r="E109" s="302">
        <f>Table22[[#This Row],[MRL individual commodity]]</f>
        <v>0</v>
      </c>
      <c r="F109" s="451">
        <f>Table22[[#This Row],[Acute RA input value]]</f>
        <v>0</v>
      </c>
      <c r="G109" s="301" t="str">
        <f>Table22[[#This Row],[Acute RA label]]</f>
        <v/>
      </c>
      <c r="H109" s="303">
        <f>Table22[[#This Row],[Acute RA IESTI new input value]]</f>
        <v>0</v>
      </c>
      <c r="I109" s="301" t="str">
        <f>Table22[[#This Row],[Acute RA IESTI new label]]</f>
        <v/>
      </c>
      <c r="J109" s="65"/>
      <c r="K109" s="304">
        <f>Table22[[#This Row],[GAP under assessment]]</f>
        <v>0</v>
      </c>
      <c r="L109" s="304" t="str">
        <f>IF(input_values!$M109=0,"",input_values!$M109)</f>
        <v/>
      </c>
      <c r="M109" s="301" t="str">
        <f>IF(input_values!H109=0,"",input_values!H109)</f>
        <v/>
      </c>
      <c r="N109" s="304">
        <f>input_values!$K109</f>
        <v>0</v>
      </c>
      <c r="O109" s="326">
        <v>2.3710526315789471</v>
      </c>
      <c r="P109" s="22">
        <v>97.5</v>
      </c>
      <c r="Q109" s="327" t="s">
        <v>105</v>
      </c>
      <c r="R109" s="326">
        <v>76</v>
      </c>
      <c r="S109" s="328">
        <f t="shared" si="14"/>
        <v>180.2</v>
      </c>
      <c r="T109" s="328">
        <v>550</v>
      </c>
      <c r="U109" s="326" t="s">
        <v>45</v>
      </c>
      <c r="V109" s="328">
        <v>550</v>
      </c>
      <c r="W109" s="326" t="s">
        <v>45</v>
      </c>
      <c r="X109" s="1464" t="str">
        <f>IF(V109="ND","ND",IF(S109="","",IF(OR(MID(C109,1,4)="milk",AND(MID(B109,1,2)="50",NOT(input_values!M109="Y")),AND(MID(B109,1,2)="40",NOT(input_values!M109="Y")),AND(MID(B109,1,2)="30",NOT(input_values!M109="Y"))),3,IF(OR(V109="&lt;25",B109&gt;1000000),1,IF((T109&gt;=S109),"2b","2a")))))</f>
        <v>2b</v>
      </c>
      <c r="Y109" s="22">
        <f>IF(X109="ND","ND",IF(S109="","",IF(input_values!K109&gt;0,input_values!K109,IF(OR(X109=1,X109=3),1,IF((V109&gt;250),5,7)))))</f>
        <v>5</v>
      </c>
      <c r="Z109" s="330" t="str">
        <f t="shared" si="10"/>
        <v/>
      </c>
      <c r="AA109" s="331">
        <f t="shared" si="11"/>
        <v>0</v>
      </c>
      <c r="AB109" s="128">
        <f t="shared" si="15"/>
        <v>3</v>
      </c>
      <c r="AC109" s="330" t="str">
        <f t="shared" si="16"/>
        <v/>
      </c>
      <c r="AD109" s="332">
        <f t="shared" si="12"/>
        <v>0</v>
      </c>
      <c r="AE109" s="333" t="str">
        <f t="shared" si="17"/>
        <v/>
      </c>
      <c r="AF109" s="333" t="str">
        <f t="shared" si="18"/>
        <v/>
      </c>
      <c r="AG109" s="561" t="str">
        <f t="shared" si="13"/>
        <v/>
      </c>
      <c r="AH109" s="561" t="str">
        <f t="shared" si="19"/>
        <v/>
      </c>
      <c r="AI109" s="576"/>
      <c r="AJ109" s="847"/>
    </row>
    <row r="110" spans="1:36" ht="12" customHeight="1" outlineLevel="3" x14ac:dyDescent="0.2">
      <c r="A110" s="39">
        <f>acute_overview_children!A110</f>
        <v>4</v>
      </c>
      <c r="B110" s="23">
        <f>acute_overview_children!B110</f>
        <v>213040</v>
      </c>
      <c r="C110" s="23" t="s">
        <v>709</v>
      </c>
      <c r="D110" s="300">
        <f>Table22[[#This Row],[Level used for acute calculation]]</f>
        <v>4</v>
      </c>
      <c r="E110" s="302">
        <f>Table22[[#This Row],[MRL individual commodity]]</f>
        <v>0</v>
      </c>
      <c r="F110" s="451">
        <f>Table22[[#This Row],[Acute RA input value]]</f>
        <v>0</v>
      </c>
      <c r="G110" s="301" t="str">
        <f>Table22[[#This Row],[Acute RA label]]</f>
        <v/>
      </c>
      <c r="H110" s="303">
        <f>Table22[[#This Row],[Acute RA IESTI new input value]]</f>
        <v>0</v>
      </c>
      <c r="I110" s="301" t="str">
        <f>Table22[[#This Row],[Acute RA IESTI new label]]</f>
        <v/>
      </c>
      <c r="J110" s="65"/>
      <c r="K110" s="304">
        <f>Table22[[#This Row],[GAP under assessment]]</f>
        <v>0</v>
      </c>
      <c r="L110" s="304" t="str">
        <f>IF(input_values!$M110=0,"",input_values!$M110)</f>
        <v/>
      </c>
      <c r="M110" s="301" t="str">
        <f>IF(input_values!H110=0,"",input_values!H110)</f>
        <v/>
      </c>
      <c r="N110" s="304">
        <f>input_values!$K110</f>
        <v>0</v>
      </c>
      <c r="O110" s="326">
        <v>1.0408483896307934</v>
      </c>
      <c r="P110" s="22">
        <v>97.5</v>
      </c>
      <c r="Q110" s="327" t="s">
        <v>335</v>
      </c>
      <c r="R110" s="326">
        <v>76.38</v>
      </c>
      <c r="S110" s="328">
        <f t="shared" si="14"/>
        <v>79.5</v>
      </c>
      <c r="T110" s="328">
        <v>220</v>
      </c>
      <c r="U110" s="326" t="s">
        <v>45</v>
      </c>
      <c r="V110" s="328">
        <v>220</v>
      </c>
      <c r="W110" s="326" t="s">
        <v>45</v>
      </c>
      <c r="X110" s="1464" t="str">
        <f>IF(V110="ND","ND",IF(S110="","",IF(OR(MID(C110,1,4)="milk",AND(MID(B110,1,2)="50",NOT(input_values!M110="Y")),AND(MID(B110,1,2)="40",NOT(input_values!M110="Y")),AND(MID(B110,1,2)="30",NOT(input_values!M110="Y"))),3,IF(OR(V110="&lt;25",B110&gt;1000000),1,IF((T110&gt;=S110),"2b","2a")))))</f>
        <v>2b</v>
      </c>
      <c r="Y110" s="22">
        <f>IF(X110="ND","ND",IF(S110="","",IF(input_values!K110&gt;0,input_values!K110,IF(OR(X110=1,X110=3),1,IF((V110&gt;250),5,7)))))</f>
        <v>7</v>
      </c>
      <c r="Z110" s="330" t="str">
        <f t="shared" si="10"/>
        <v/>
      </c>
      <c r="AA110" s="331">
        <f t="shared" si="11"/>
        <v>0</v>
      </c>
      <c r="AB110" s="128">
        <f t="shared" si="15"/>
        <v>3</v>
      </c>
      <c r="AC110" s="330" t="str">
        <f t="shared" si="16"/>
        <v/>
      </c>
      <c r="AD110" s="332">
        <f t="shared" si="12"/>
        <v>0</v>
      </c>
      <c r="AE110" s="333" t="str">
        <f t="shared" si="17"/>
        <v/>
      </c>
      <c r="AF110" s="333" t="str">
        <f t="shared" si="18"/>
        <v/>
      </c>
      <c r="AG110" s="561" t="str">
        <f t="shared" si="13"/>
        <v/>
      </c>
      <c r="AH110" s="561" t="str">
        <f t="shared" si="19"/>
        <v/>
      </c>
      <c r="AI110" s="576"/>
      <c r="AJ110" s="847"/>
    </row>
    <row r="111" spans="1:36" ht="12" customHeight="1" outlineLevel="3" x14ac:dyDescent="0.2">
      <c r="A111" s="39">
        <f>acute_overview_children!A111</f>
        <v>4</v>
      </c>
      <c r="B111" s="23">
        <f>acute_overview_children!B111</f>
        <v>213050</v>
      </c>
      <c r="C111" s="23" t="s">
        <v>27</v>
      </c>
      <c r="D111" s="300">
        <f>Table22[[#This Row],[Level used for acute calculation]]</f>
        <v>4</v>
      </c>
      <c r="E111" s="302">
        <f>Table22[[#This Row],[MRL individual commodity]]</f>
        <v>0</v>
      </c>
      <c r="F111" s="451">
        <f>Table22[[#This Row],[Acute RA input value]]</f>
        <v>0</v>
      </c>
      <c r="G111" s="301" t="str">
        <f>Table22[[#This Row],[Acute RA label]]</f>
        <v/>
      </c>
      <c r="H111" s="303">
        <f>Table22[[#This Row],[Acute RA IESTI new input value]]</f>
        <v>0</v>
      </c>
      <c r="I111" s="301" t="str">
        <f>Table22[[#This Row],[Acute RA IESTI new label]]</f>
        <v/>
      </c>
      <c r="J111" s="65"/>
      <c r="K111" s="304">
        <f>Table22[[#This Row],[GAP under assessment]]</f>
        <v>0</v>
      </c>
      <c r="L111" s="304" t="str">
        <f>IF(input_values!$M111=0,"",input_values!$M111)</f>
        <v/>
      </c>
      <c r="M111" s="301" t="str">
        <f>IF(input_values!H111=0,"",input_values!H111)</f>
        <v/>
      </c>
      <c r="N111" s="304">
        <f>input_values!$K111</f>
        <v>0</v>
      </c>
      <c r="O111" s="338">
        <v>3.5593268172000001</v>
      </c>
      <c r="P111" s="128">
        <v>97.5</v>
      </c>
      <c r="Q111" s="346" t="s">
        <v>956</v>
      </c>
      <c r="R111" s="339">
        <v>71.2</v>
      </c>
      <c r="S111" s="338">
        <f t="shared" si="14"/>
        <v>253.42406938464001</v>
      </c>
      <c r="T111" s="338">
        <v>68.77</v>
      </c>
      <c r="U111" s="339" t="s">
        <v>90</v>
      </c>
      <c r="V111" s="338">
        <v>94</v>
      </c>
      <c r="W111" s="339" t="s">
        <v>90</v>
      </c>
      <c r="X111" s="460" t="str">
        <f>IF(V111="ND","ND",IF(S111="","",IF(OR(MID(C111,1,4)="milk",AND(MID(B111,1,2)="50",NOT(input_values!M111="Y")),AND(MID(B111,1,2)="40",NOT(input_values!M111="Y")),AND(MID(B111,1,2)="30",NOT(input_values!M111="Y"))),3,IF(OR(V111="&lt;25",B111&gt;1000000),1,IF((T111&gt;=S111),"2b","2a")))))</f>
        <v>2a</v>
      </c>
      <c r="Y111" s="22">
        <f>IF(X111="ND","ND",IF(S111="","",IF(input_values!K111&gt;0,input_values!K111,IF(OR(X111=1,X111=3),1,IF((V111&gt;250),5,7)))))</f>
        <v>7</v>
      </c>
      <c r="Z111" s="340" t="str">
        <f t="shared" si="10"/>
        <v/>
      </c>
      <c r="AA111" s="332">
        <f t="shared" si="11"/>
        <v>0</v>
      </c>
      <c r="AB111" s="128">
        <f t="shared" si="15"/>
        <v>3</v>
      </c>
      <c r="AC111" s="340" t="str">
        <f t="shared" si="16"/>
        <v/>
      </c>
      <c r="AD111" s="332">
        <f t="shared" si="12"/>
        <v>0</v>
      </c>
      <c r="AE111" s="37" t="str">
        <f t="shared" si="17"/>
        <v/>
      </c>
      <c r="AF111" s="37" t="str">
        <f t="shared" si="18"/>
        <v/>
      </c>
      <c r="AG111" s="561" t="str">
        <f t="shared" si="13"/>
        <v/>
      </c>
      <c r="AH111" s="561" t="str">
        <f t="shared" si="19"/>
        <v/>
      </c>
      <c r="AI111" s="576"/>
      <c r="AJ111" s="847"/>
    </row>
    <row r="112" spans="1:36" ht="12" customHeight="1" outlineLevel="3" x14ac:dyDescent="0.2">
      <c r="A112" s="39">
        <f>acute_overview_children!A112</f>
        <v>4</v>
      </c>
      <c r="B112" s="23">
        <f>acute_overview_children!B112</f>
        <v>213060</v>
      </c>
      <c r="C112" s="23" t="s">
        <v>28</v>
      </c>
      <c r="D112" s="300">
        <f>Table22[[#This Row],[Level used for acute calculation]]</f>
        <v>4</v>
      </c>
      <c r="E112" s="302">
        <f>Table22[[#This Row],[MRL individual commodity]]</f>
        <v>0</v>
      </c>
      <c r="F112" s="451">
        <f>Table22[[#This Row],[Acute RA input value]]</f>
        <v>0</v>
      </c>
      <c r="G112" s="301" t="str">
        <f>Table22[[#This Row],[Acute RA label]]</f>
        <v/>
      </c>
      <c r="H112" s="303">
        <f>Table22[[#This Row],[Acute RA IESTI new input value]]</f>
        <v>0</v>
      </c>
      <c r="I112" s="301" t="str">
        <f>Table22[[#This Row],[Acute RA IESTI new label]]</f>
        <v/>
      </c>
      <c r="J112" s="65"/>
      <c r="K112" s="304">
        <f>Table22[[#This Row],[GAP under assessment]]</f>
        <v>0</v>
      </c>
      <c r="L112" s="304" t="str">
        <f>IF(input_values!$M112=0,"",input_values!$M112)</f>
        <v/>
      </c>
      <c r="M112" s="301" t="str">
        <f>IF(input_values!H112=0,"",input_values!H112)</f>
        <v/>
      </c>
      <c r="N112" s="304">
        <f>input_values!$K112</f>
        <v>0</v>
      </c>
      <c r="O112" s="326">
        <v>2.8185907046476761</v>
      </c>
      <c r="P112" s="22">
        <v>97.5</v>
      </c>
      <c r="Q112" s="327" t="s">
        <v>255</v>
      </c>
      <c r="R112" s="326">
        <v>66.7</v>
      </c>
      <c r="S112" s="328">
        <f t="shared" si="14"/>
        <v>188</v>
      </c>
      <c r="T112" s="328">
        <v>125</v>
      </c>
      <c r="U112" s="326" t="s">
        <v>45</v>
      </c>
      <c r="V112" s="328">
        <v>125</v>
      </c>
      <c r="W112" s="326" t="s">
        <v>45</v>
      </c>
      <c r="X112" s="1464" t="str">
        <f>IF(V112="ND","ND",IF(S112="","",IF(OR(MID(C112,1,4)="milk",AND(MID(B112,1,2)="50",NOT(input_values!M112="Y")),AND(MID(B112,1,2)="40",NOT(input_values!M112="Y")),AND(MID(B112,1,2)="30",NOT(input_values!M112="Y"))),3,IF(OR(V112="&lt;25",B112&gt;1000000),1,IF((T112&gt;=S112),"2b","2a")))))</f>
        <v>2a</v>
      </c>
      <c r="Y112" s="22">
        <f>IF(X112="ND","ND",IF(S112="","",IF(input_values!K112&gt;0,input_values!K112,IF(OR(X112=1,X112=3),1,IF((V112&gt;250),5,7)))))</f>
        <v>7</v>
      </c>
      <c r="Z112" s="330" t="str">
        <f t="shared" si="10"/>
        <v/>
      </c>
      <c r="AA112" s="331">
        <f t="shared" si="11"/>
        <v>0</v>
      </c>
      <c r="AB112" s="128">
        <f t="shared" si="15"/>
        <v>3</v>
      </c>
      <c r="AC112" s="330" t="str">
        <f t="shared" si="16"/>
        <v/>
      </c>
      <c r="AD112" s="332">
        <f t="shared" si="12"/>
        <v>0</v>
      </c>
      <c r="AE112" s="333" t="str">
        <f t="shared" si="17"/>
        <v/>
      </c>
      <c r="AF112" s="333" t="str">
        <f t="shared" si="18"/>
        <v/>
      </c>
      <c r="AG112" s="561" t="str">
        <f t="shared" si="13"/>
        <v/>
      </c>
      <c r="AH112" s="561" t="str">
        <f t="shared" si="19"/>
        <v/>
      </c>
      <c r="AI112" s="576"/>
      <c r="AJ112" s="847"/>
    </row>
    <row r="113" spans="1:36" ht="12" customHeight="1" outlineLevel="3" x14ac:dyDescent="0.2">
      <c r="A113" s="39">
        <f>acute_overview_children!A113</f>
        <v>4</v>
      </c>
      <c r="B113" s="23">
        <f>acute_overview_children!B113</f>
        <v>213070</v>
      </c>
      <c r="C113" s="23" t="s">
        <v>710</v>
      </c>
      <c r="D113" s="300">
        <f>Table22[[#This Row],[Level used for acute calculation]]</f>
        <v>4</v>
      </c>
      <c r="E113" s="302">
        <f>Table22[[#This Row],[MRL individual commodity]]</f>
        <v>0</v>
      </c>
      <c r="F113" s="451">
        <f>Table22[[#This Row],[Acute RA input value]]</f>
        <v>0</v>
      </c>
      <c r="G113" s="301" t="str">
        <f>Table22[[#This Row],[Acute RA label]]</f>
        <v/>
      </c>
      <c r="H113" s="303">
        <f>Table22[[#This Row],[Acute RA IESTI new input value]]</f>
        <v>0</v>
      </c>
      <c r="I113" s="301" t="str">
        <f>Table22[[#This Row],[Acute RA IESTI new label]]</f>
        <v/>
      </c>
      <c r="J113" s="65"/>
      <c r="K113" s="304">
        <f>Table22[[#This Row],[GAP under assessment]]</f>
        <v>0</v>
      </c>
      <c r="L113" s="304" t="str">
        <f>IF(input_values!$M113=0,"",input_values!$M113)</f>
        <v/>
      </c>
      <c r="M113" s="301" t="str">
        <f>IF(input_values!H113=0,"",input_values!H113)</f>
        <v/>
      </c>
      <c r="N113" s="304">
        <f>input_values!$K113</f>
        <v>0</v>
      </c>
      <c r="O113" s="326">
        <v>1.4680851063829787</v>
      </c>
      <c r="P113" s="22" t="s">
        <v>328</v>
      </c>
      <c r="Q113" s="327" t="s">
        <v>99</v>
      </c>
      <c r="R113" s="326">
        <v>65.8</v>
      </c>
      <c r="S113" s="328">
        <f t="shared" si="14"/>
        <v>96.6</v>
      </c>
      <c r="T113" s="328">
        <v>140</v>
      </c>
      <c r="U113" s="326" t="s">
        <v>288</v>
      </c>
      <c r="V113" s="328">
        <v>200</v>
      </c>
      <c r="W113" s="326" t="s">
        <v>288</v>
      </c>
      <c r="X113" s="1464" t="str">
        <f>IF(V113="ND","ND",IF(S113="","",IF(OR(MID(C113,1,4)="milk",AND(MID(B113,1,2)="50",NOT(input_values!M113="Y")),AND(MID(B113,1,2)="40",NOT(input_values!M113="Y")),AND(MID(B113,1,2)="30",NOT(input_values!M113="Y"))),3,IF(OR(V113="&lt;25",B113&gt;1000000),1,IF((T113&gt;=S113),"2b","2a")))))</f>
        <v>2b</v>
      </c>
      <c r="Y113" s="22">
        <f>IF(X113="ND","ND",IF(S113="","",IF(input_values!K113&gt;0,input_values!K113,IF(OR(X113=1,X113=3),1,IF((V113&gt;250),5,7)))))</f>
        <v>7</v>
      </c>
      <c r="Z113" s="330" t="str">
        <f t="shared" si="10"/>
        <v/>
      </c>
      <c r="AA113" s="331">
        <f t="shared" si="11"/>
        <v>0</v>
      </c>
      <c r="AB113" s="128">
        <f t="shared" si="15"/>
        <v>3</v>
      </c>
      <c r="AC113" s="330" t="str">
        <f t="shared" si="16"/>
        <v/>
      </c>
      <c r="AD113" s="332">
        <f t="shared" si="12"/>
        <v>0</v>
      </c>
      <c r="AE113" s="333" t="str">
        <f t="shared" si="17"/>
        <v/>
      </c>
      <c r="AF113" s="333" t="str">
        <f t="shared" si="18"/>
        <v/>
      </c>
      <c r="AG113" s="561" t="str">
        <f t="shared" si="13"/>
        <v/>
      </c>
      <c r="AH113" s="561" t="str">
        <f t="shared" si="19"/>
        <v/>
      </c>
      <c r="AI113" s="576"/>
      <c r="AJ113" s="847"/>
    </row>
    <row r="114" spans="1:36" ht="12" customHeight="1" outlineLevel="3" x14ac:dyDescent="0.2">
      <c r="A114" s="39">
        <f>acute_overview_children!A114</f>
        <v>4</v>
      </c>
      <c r="B114" s="23">
        <f>acute_overview_children!B114</f>
        <v>213080</v>
      </c>
      <c r="C114" s="23" t="s">
        <v>29</v>
      </c>
      <c r="D114" s="300">
        <f>Table22[[#This Row],[Level used for acute calculation]]</f>
        <v>4</v>
      </c>
      <c r="E114" s="302">
        <f>Table22[[#This Row],[MRL individual commodity]]</f>
        <v>0</v>
      </c>
      <c r="F114" s="451">
        <f>Table22[[#This Row],[Acute RA input value]]</f>
        <v>0</v>
      </c>
      <c r="G114" s="301" t="str">
        <f>Table22[[#This Row],[Acute RA label]]</f>
        <v/>
      </c>
      <c r="H114" s="303">
        <f>Table22[[#This Row],[Acute RA IESTI new input value]]</f>
        <v>0</v>
      </c>
      <c r="I114" s="301" t="str">
        <f>Table22[[#This Row],[Acute RA IESTI new label]]</f>
        <v/>
      </c>
      <c r="J114" s="65"/>
      <c r="K114" s="304">
        <f>Table22[[#This Row],[GAP under assessment]]</f>
        <v>0</v>
      </c>
      <c r="L114" s="304" t="str">
        <f>IF(input_values!$M114=0,"",input_values!$M114)</f>
        <v/>
      </c>
      <c r="M114" s="301" t="str">
        <f>IF(input_values!H114=0,"",input_values!H114)</f>
        <v/>
      </c>
      <c r="N114" s="304">
        <f>input_values!$K114</f>
        <v>0</v>
      </c>
      <c r="O114" s="326">
        <v>1.49</v>
      </c>
      <c r="P114" s="22">
        <v>97.5</v>
      </c>
      <c r="Q114" s="327" t="s">
        <v>334</v>
      </c>
      <c r="R114" s="326">
        <v>67.47</v>
      </c>
      <c r="S114" s="328">
        <f t="shared" si="14"/>
        <v>100.5303</v>
      </c>
      <c r="T114" s="328">
        <v>150.65</v>
      </c>
      <c r="U114" s="326" t="s">
        <v>90</v>
      </c>
      <c r="V114" s="328">
        <v>163.03603603603605</v>
      </c>
      <c r="W114" s="326" t="s">
        <v>90</v>
      </c>
      <c r="X114" s="1464" t="str">
        <f>IF(V114="ND","ND",IF(S114="","",IF(OR(MID(C114,1,4)="milk",AND(MID(B114,1,2)="50",NOT(input_values!M114="Y")),AND(MID(B114,1,2)="40",NOT(input_values!M114="Y")),AND(MID(B114,1,2)="30",NOT(input_values!M114="Y"))),3,IF(OR(V114="&lt;25",B114&gt;1000000),1,IF((T114&gt;=S114),"2b","2a")))))</f>
        <v>2b</v>
      </c>
      <c r="Y114" s="22">
        <f>IF(X114="ND","ND",IF(S114="","",IF(input_values!K114&gt;0,input_values!K114,IF(OR(X114=1,X114=3),1,IF((V114&gt;250),5,7)))))</f>
        <v>7</v>
      </c>
      <c r="Z114" s="330" t="str">
        <f t="shared" si="10"/>
        <v/>
      </c>
      <c r="AA114" s="331">
        <f t="shared" si="11"/>
        <v>0</v>
      </c>
      <c r="AB114" s="128">
        <f t="shared" si="15"/>
        <v>3</v>
      </c>
      <c r="AC114" s="330" t="str">
        <f t="shared" si="16"/>
        <v/>
      </c>
      <c r="AD114" s="332">
        <f t="shared" si="12"/>
        <v>0</v>
      </c>
      <c r="AE114" s="333" t="str">
        <f t="shared" si="17"/>
        <v/>
      </c>
      <c r="AF114" s="333" t="str">
        <f t="shared" si="18"/>
        <v/>
      </c>
      <c r="AG114" s="561" t="str">
        <f t="shared" si="13"/>
        <v/>
      </c>
      <c r="AH114" s="561" t="str">
        <f t="shared" si="19"/>
        <v/>
      </c>
      <c r="AI114" s="576"/>
      <c r="AJ114" s="847"/>
    </row>
    <row r="115" spans="1:36" ht="12" customHeight="1" outlineLevel="3" x14ac:dyDescent="0.2">
      <c r="A115" s="39">
        <f>acute_overview_children!A115</f>
        <v>4</v>
      </c>
      <c r="B115" s="23">
        <f>acute_overview_children!B115</f>
        <v>213090</v>
      </c>
      <c r="C115" s="23" t="s">
        <v>711</v>
      </c>
      <c r="D115" s="300">
        <f>Table22[[#This Row],[Level used for acute calculation]]</f>
        <v>4</v>
      </c>
      <c r="E115" s="302">
        <f>Table22[[#This Row],[MRL individual commodity]]</f>
        <v>0</v>
      </c>
      <c r="F115" s="451">
        <f>Table22[[#This Row],[Acute RA input value]]</f>
        <v>0</v>
      </c>
      <c r="G115" s="301" t="str">
        <f>Table22[[#This Row],[Acute RA label]]</f>
        <v/>
      </c>
      <c r="H115" s="303">
        <f>Table22[[#This Row],[Acute RA IESTI new input value]]</f>
        <v>0</v>
      </c>
      <c r="I115" s="301" t="str">
        <f>Table22[[#This Row],[Acute RA IESTI new label]]</f>
        <v/>
      </c>
      <c r="J115" s="65"/>
      <c r="K115" s="304">
        <f>Table22[[#This Row],[GAP under assessment]]</f>
        <v>0</v>
      </c>
      <c r="L115" s="304" t="str">
        <f>IF(input_values!$M115=0,"",input_values!$M115)</f>
        <v/>
      </c>
      <c r="M115" s="301" t="str">
        <f>IF(input_values!H115=0,"",input_values!H115)</f>
        <v/>
      </c>
      <c r="N115" s="304">
        <f>input_values!$K115</f>
        <v>0</v>
      </c>
      <c r="O115" s="326">
        <v>1.6191904047976011</v>
      </c>
      <c r="P115" s="22">
        <v>97.5</v>
      </c>
      <c r="Q115" s="327" t="s">
        <v>255</v>
      </c>
      <c r="R115" s="326">
        <v>66.7</v>
      </c>
      <c r="S115" s="328">
        <f t="shared" si="14"/>
        <v>108</v>
      </c>
      <c r="T115" s="328">
        <v>101</v>
      </c>
      <c r="U115" s="326" t="s">
        <v>45</v>
      </c>
      <c r="V115" s="328">
        <v>101</v>
      </c>
      <c r="W115" s="326" t="s">
        <v>45</v>
      </c>
      <c r="X115" s="1464" t="str">
        <f>IF(V115="ND","ND",IF(S115="","",IF(OR(MID(C115,1,4)="milk",AND(MID(B115,1,2)="50",NOT(input_values!M115="Y")),AND(MID(B115,1,2)="40",NOT(input_values!M115="Y")),AND(MID(B115,1,2)="30",NOT(input_values!M115="Y"))),3,IF(OR(V115="&lt;25",B115&gt;1000000),1,IF((T115&gt;=S115),"2b","2a")))))</f>
        <v>2a</v>
      </c>
      <c r="Y115" s="22">
        <f>IF(X115="ND","ND",IF(S115="","",IF(input_values!K115&gt;0,input_values!K115,IF(OR(X115=1,X115=3),1,IF((V115&gt;250),5,7)))))</f>
        <v>7</v>
      </c>
      <c r="Z115" s="330" t="str">
        <f t="shared" si="10"/>
        <v/>
      </c>
      <c r="AA115" s="331">
        <f t="shared" si="11"/>
        <v>0</v>
      </c>
      <c r="AB115" s="128">
        <f t="shared" si="15"/>
        <v>3</v>
      </c>
      <c r="AC115" s="330" t="str">
        <f t="shared" si="16"/>
        <v/>
      </c>
      <c r="AD115" s="332">
        <f t="shared" si="12"/>
        <v>0</v>
      </c>
      <c r="AE115" s="333" t="str">
        <f t="shared" si="17"/>
        <v/>
      </c>
      <c r="AF115" s="333" t="str">
        <f t="shared" si="18"/>
        <v/>
      </c>
      <c r="AG115" s="561" t="str">
        <f t="shared" si="13"/>
        <v/>
      </c>
      <c r="AH115" s="561" t="str">
        <f t="shared" si="19"/>
        <v/>
      </c>
      <c r="AI115" s="576"/>
      <c r="AJ115" s="847"/>
    </row>
    <row r="116" spans="1:36" ht="12" customHeight="1" outlineLevel="3" x14ac:dyDescent="0.2">
      <c r="A116" s="39">
        <f>acute_overview_children!A116</f>
        <v>4</v>
      </c>
      <c r="B116" s="23">
        <f>acute_overview_children!B116</f>
        <v>213100</v>
      </c>
      <c r="C116" s="23" t="s">
        <v>712</v>
      </c>
      <c r="D116" s="300">
        <f>Table22[[#This Row],[Level used for acute calculation]]</f>
        <v>4</v>
      </c>
      <c r="E116" s="302">
        <f>Table22[[#This Row],[MRL individual commodity]]</f>
        <v>0</v>
      </c>
      <c r="F116" s="451">
        <f>Table22[[#This Row],[Acute RA input value]]</f>
        <v>0</v>
      </c>
      <c r="G116" s="301" t="str">
        <f>Table22[[#This Row],[Acute RA label]]</f>
        <v/>
      </c>
      <c r="H116" s="303">
        <f>Table22[[#This Row],[Acute RA IESTI new input value]]</f>
        <v>0</v>
      </c>
      <c r="I116" s="301" t="str">
        <f>Table22[[#This Row],[Acute RA IESTI new label]]</f>
        <v/>
      </c>
      <c r="J116" s="65"/>
      <c r="K116" s="304">
        <f>Table22[[#This Row],[GAP under assessment]]</f>
        <v>0</v>
      </c>
      <c r="L116" s="304" t="str">
        <f>IF(input_values!$M116=0,"",input_values!$M116)</f>
        <v/>
      </c>
      <c r="M116" s="301" t="str">
        <f>IF(input_values!H116=0,"",input_values!H116)</f>
        <v/>
      </c>
      <c r="N116" s="304">
        <f>input_values!$K116</f>
        <v>0</v>
      </c>
      <c r="O116" s="326">
        <v>6.83</v>
      </c>
      <c r="P116" s="22">
        <v>95</v>
      </c>
      <c r="Q116" s="327" t="s">
        <v>334</v>
      </c>
      <c r="R116" s="326">
        <v>67.47</v>
      </c>
      <c r="S116" s="328">
        <f t="shared" si="14"/>
        <v>460.82010000000002</v>
      </c>
      <c r="T116" s="328">
        <v>555.79</v>
      </c>
      <c r="U116" s="326" t="s">
        <v>90</v>
      </c>
      <c r="V116" s="328">
        <v>626.81896551724139</v>
      </c>
      <c r="W116" s="326" t="s">
        <v>90</v>
      </c>
      <c r="X116" s="1464" t="str">
        <f>IF(V116="ND","ND",IF(S116="","",IF(OR(MID(C116,1,4)="milk",AND(MID(B116,1,2)="50",NOT(input_values!M116="Y")),AND(MID(B116,1,2)="40",NOT(input_values!M116="Y")),AND(MID(B116,1,2)="30",NOT(input_values!M116="Y"))),3,IF(OR(V116="&lt;25",B116&gt;1000000),1,IF((T116&gt;=S116),"2b","2a")))))</f>
        <v>2b</v>
      </c>
      <c r="Y116" s="22">
        <f>IF(X116="ND","ND",IF(S116="","",IF(input_values!K116&gt;0,input_values!K116,IF(OR(X116=1,X116=3),1,IF((V116&gt;250),5,7)))))</f>
        <v>5</v>
      </c>
      <c r="Z116" s="330" t="str">
        <f t="shared" si="10"/>
        <v/>
      </c>
      <c r="AA116" s="331">
        <f t="shared" si="11"/>
        <v>0</v>
      </c>
      <c r="AB116" s="128">
        <f t="shared" si="15"/>
        <v>3</v>
      </c>
      <c r="AC116" s="330" t="str">
        <f t="shared" si="16"/>
        <v/>
      </c>
      <c r="AD116" s="332">
        <f t="shared" si="12"/>
        <v>0</v>
      </c>
      <c r="AE116" s="333" t="str">
        <f t="shared" si="17"/>
        <v/>
      </c>
      <c r="AF116" s="333" t="str">
        <f t="shared" si="18"/>
        <v/>
      </c>
      <c r="AG116" s="561" t="str">
        <f t="shared" si="13"/>
        <v/>
      </c>
      <c r="AH116" s="561" t="str">
        <f t="shared" si="19"/>
        <v/>
      </c>
      <c r="AI116" s="576"/>
      <c r="AJ116" s="847"/>
    </row>
    <row r="117" spans="1:36" ht="12" customHeight="1" outlineLevel="3" x14ac:dyDescent="0.2">
      <c r="A117" s="39">
        <f>acute_overview_children!A117</f>
        <v>4</v>
      </c>
      <c r="B117" s="23">
        <f>acute_overview_children!B117</f>
        <v>213110</v>
      </c>
      <c r="C117" s="23" t="s">
        <v>30</v>
      </c>
      <c r="D117" s="300">
        <f>Table22[[#This Row],[Level used for acute calculation]]</f>
        <v>4</v>
      </c>
      <c r="E117" s="302">
        <f>Table22[[#This Row],[MRL individual commodity]]</f>
        <v>0</v>
      </c>
      <c r="F117" s="451">
        <f>Table22[[#This Row],[Acute RA input value]]</f>
        <v>0</v>
      </c>
      <c r="G117" s="301" t="str">
        <f>Table22[[#This Row],[Acute RA label]]</f>
        <v/>
      </c>
      <c r="H117" s="303">
        <f>Table22[[#This Row],[Acute RA IESTI new input value]]</f>
        <v>0</v>
      </c>
      <c r="I117" s="301" t="str">
        <f>Table22[[#This Row],[Acute RA IESTI new label]]</f>
        <v/>
      </c>
      <c r="J117" s="65"/>
      <c r="K117" s="304">
        <f>Table22[[#This Row],[GAP under assessment]]</f>
        <v>0</v>
      </c>
      <c r="L117" s="304" t="str">
        <f>IF(input_values!$M117=0,"",input_values!$M117)</f>
        <v/>
      </c>
      <c r="M117" s="301" t="str">
        <f>IF(input_values!H117=0,"",input_values!H117)</f>
        <v/>
      </c>
      <c r="N117" s="304">
        <f>input_values!$K117</f>
        <v>0</v>
      </c>
      <c r="O117" s="326">
        <v>1.8206214689265539</v>
      </c>
      <c r="P117" s="22">
        <v>97.5</v>
      </c>
      <c r="Q117" s="327" t="s">
        <v>106</v>
      </c>
      <c r="R117" s="326">
        <v>70.8</v>
      </c>
      <c r="S117" s="328">
        <f t="shared" si="14"/>
        <v>128.9</v>
      </c>
      <c r="T117" s="328">
        <v>110</v>
      </c>
      <c r="U117" s="326" t="s">
        <v>45</v>
      </c>
      <c r="V117" s="328">
        <v>147</v>
      </c>
      <c r="W117" s="326" t="s">
        <v>45</v>
      </c>
      <c r="X117" s="1464" t="str">
        <f>IF(V117="ND","ND",IF(S117="","",IF(OR(MID(C117,1,4)="milk",AND(MID(B117,1,2)="50",NOT(input_values!M117="Y")),AND(MID(B117,1,2)="40",NOT(input_values!M117="Y")),AND(MID(B117,1,2)="30",NOT(input_values!M117="Y"))),3,IF(OR(V117="&lt;25",B117&gt;1000000),1,IF((T117&gt;=S117),"2b","2a")))))</f>
        <v>2a</v>
      </c>
      <c r="Y117" s="22">
        <f>IF(X117="ND","ND",IF(S117="","",IF(input_values!K117&gt;0,input_values!K117,IF(OR(X117=1,X117=3),1,IF((V117&gt;250),5,7)))))</f>
        <v>7</v>
      </c>
      <c r="Z117" s="330" t="str">
        <f t="shared" si="10"/>
        <v/>
      </c>
      <c r="AA117" s="331">
        <f t="shared" si="11"/>
        <v>0</v>
      </c>
      <c r="AB117" s="128">
        <f t="shared" si="15"/>
        <v>3</v>
      </c>
      <c r="AC117" s="330" t="str">
        <f t="shared" si="16"/>
        <v/>
      </c>
      <c r="AD117" s="332">
        <f t="shared" si="12"/>
        <v>0</v>
      </c>
      <c r="AE117" s="333" t="str">
        <f t="shared" si="17"/>
        <v/>
      </c>
      <c r="AF117" s="333" t="str">
        <f t="shared" si="18"/>
        <v/>
      </c>
      <c r="AG117" s="561" t="str">
        <f t="shared" si="13"/>
        <v/>
      </c>
      <c r="AH117" s="561" t="str">
        <f t="shared" si="19"/>
        <v/>
      </c>
      <c r="AI117" s="576"/>
      <c r="AJ117" s="847"/>
    </row>
    <row r="118" spans="1:36" ht="12" customHeight="1" outlineLevel="3" x14ac:dyDescent="0.2">
      <c r="A118" s="39">
        <f>acute_overview_children!A118</f>
        <v>4</v>
      </c>
      <c r="B118" s="23">
        <f>acute_overview_children!B118</f>
        <v>213990</v>
      </c>
      <c r="C118" s="23" t="s">
        <v>164</v>
      </c>
      <c r="D118" s="300">
        <f>Table22[[#This Row],[Level used for acute calculation]]</f>
        <v>0</v>
      </c>
      <c r="E118" s="302">
        <f>Table22[[#This Row],[MRL individual commodity]]</f>
        <v>0</v>
      </c>
      <c r="F118" s="451">
        <f>Table22[[#This Row],[Acute RA input value]]</f>
        <v>0</v>
      </c>
      <c r="G118" s="301">
        <f>Table22[[#This Row],[Acute RA label]]</f>
        <v>0</v>
      </c>
      <c r="H118" s="303">
        <f>Table22[[#This Row],[Acute RA IESTI new input value]]</f>
        <v>0</v>
      </c>
      <c r="I118" s="301">
        <f>Table22[[#This Row],[Acute RA IESTI new label]]</f>
        <v>0</v>
      </c>
      <c r="J118" s="65"/>
      <c r="K118" s="304">
        <f>Table22[[#This Row],[GAP under assessment]]</f>
        <v>0</v>
      </c>
      <c r="L118" s="304" t="str">
        <f>IF(input_values!$M118=0,"",input_values!$M118)</f>
        <v/>
      </c>
      <c r="M118" s="301" t="str">
        <f>IF(input_values!H118=0,"",input_values!H118)</f>
        <v/>
      </c>
      <c r="N118" s="304">
        <f>input_values!$K118</f>
        <v>0</v>
      </c>
      <c r="O118" s="309"/>
      <c r="P118" s="38"/>
      <c r="Q118" s="306"/>
      <c r="R118" s="309"/>
      <c r="S118" s="336" t="str">
        <f t="shared" si="14"/>
        <v/>
      </c>
      <c r="T118" s="305"/>
      <c r="U118" s="309"/>
      <c r="V118" s="305"/>
      <c r="W118" s="309"/>
      <c r="X118" s="611" t="str">
        <f>IF(V118="ND","ND",IF(S118="","",IF(OR(MID(C118,1,4)="milk",AND(MID(B118,1,2)="50",NOT(input_values!M118="Y")),AND(MID(B118,1,2)="40",NOT(input_values!M118="Y")),AND(MID(B118,1,2)="30",NOT(input_values!M118="Y"))),3,IF(OR(V118="&lt;25",B118&gt;1000000),1,IF((T118&gt;=S118),"2b","2a")))))</f>
        <v/>
      </c>
      <c r="Y118" s="38" t="str">
        <f>IF(X118="ND","ND",IF(S118="","",IF(input_values!K118&gt;0,input_values!K118,IF(OR(X118=1,X118=3),1,IF((V118&gt;250),5,7)))))</f>
        <v/>
      </c>
      <c r="Z118" s="335" t="str">
        <f t="shared" si="10"/>
        <v/>
      </c>
      <c r="AA118" s="311">
        <f t="shared" si="11"/>
        <v>0</v>
      </c>
      <c r="AB118" s="38" t="str">
        <f t="shared" si="15"/>
        <v/>
      </c>
      <c r="AC118" s="335" t="str">
        <f t="shared" si="16"/>
        <v/>
      </c>
      <c r="AD118" s="311">
        <f t="shared" si="12"/>
        <v>0</v>
      </c>
      <c r="AE118" s="344" t="str">
        <f t="shared" si="17"/>
        <v/>
      </c>
      <c r="AF118" s="344" t="str">
        <f t="shared" si="18"/>
        <v/>
      </c>
      <c r="AG118" s="561" t="str">
        <f t="shared" si="13"/>
        <v/>
      </c>
      <c r="AH118" s="561" t="str">
        <f t="shared" si="19"/>
        <v/>
      </c>
      <c r="AI118" s="576"/>
      <c r="AJ118" s="847"/>
    </row>
    <row r="119" spans="1:36" outlineLevel="1" x14ac:dyDescent="0.2">
      <c r="A119" s="130">
        <f>acute_overview_children!A119</f>
        <v>2</v>
      </c>
      <c r="B119" s="131">
        <f>acute_overview_children!B119</f>
        <v>220000</v>
      </c>
      <c r="C119" s="131" t="s">
        <v>224</v>
      </c>
      <c r="D119" s="300">
        <f>Table22[[#This Row],[Level used for acute calculation]]</f>
        <v>4</v>
      </c>
      <c r="E119" s="302">
        <f>Table22[[#This Row],[MRL individual commodity]]</f>
        <v>0</v>
      </c>
      <c r="F119" s="451">
        <f>Table22[[#This Row],[Acute RA input value]]</f>
        <v>0</v>
      </c>
      <c r="G119" s="301">
        <f>Table22[[#This Row],[Acute RA label]]</f>
        <v>0</v>
      </c>
      <c r="H119" s="303">
        <f>Table22[[#This Row],[Acute RA IESTI new input value]]</f>
        <v>0</v>
      </c>
      <c r="I119" s="301">
        <f>Table22[[#This Row],[Acute RA IESTI new label]]</f>
        <v>0</v>
      </c>
      <c r="J119" s="65"/>
      <c r="K119" s="304">
        <f>Table22[[#This Row],[GAP under assessment]]</f>
        <v>0</v>
      </c>
      <c r="L119" s="304" t="str">
        <f>IF(input_values!$M119=0,"",input_values!$M119)</f>
        <v/>
      </c>
      <c r="M119" s="301" t="str">
        <f>IF(input_values!H119=0,"",input_values!H119)</f>
        <v/>
      </c>
      <c r="N119" s="304">
        <f>input_values!$K119</f>
        <v>0</v>
      </c>
      <c r="O119" s="309"/>
      <c r="P119" s="38"/>
      <c r="Q119" s="306"/>
      <c r="R119" s="309"/>
      <c r="S119" s="336" t="str">
        <f t="shared" si="14"/>
        <v/>
      </c>
      <c r="T119" s="315"/>
      <c r="U119" s="320"/>
      <c r="V119" s="315"/>
      <c r="W119" s="320"/>
      <c r="X119" s="611" t="str">
        <f>IF(V119="ND","ND",IF(S119="","",IF(OR(MID(C119,1,4)="milk",AND(MID(B119,1,2)="50",NOT(input_values!M119="Y")),AND(MID(B119,1,2)="40",NOT(input_values!M119="Y")),AND(MID(B119,1,2)="30",NOT(input_values!M119="Y"))),3,IF(OR(V119="&lt;25",B119&gt;1000000),1,IF((T119&gt;=S119),"2b","2a")))))</f>
        <v/>
      </c>
      <c r="Y119" s="38" t="str">
        <f>IF(X119="ND","ND",IF(S119="","",IF(input_values!K119&gt;0,input_values!K119,IF(OR(X119=1,X119=3),1,IF((V119&gt;250),5,7)))))</f>
        <v/>
      </c>
      <c r="Z119" s="335" t="str">
        <f t="shared" si="10"/>
        <v/>
      </c>
      <c r="AA119" s="311">
        <f t="shared" si="11"/>
        <v>0</v>
      </c>
      <c r="AB119" s="38" t="str">
        <f t="shared" si="15"/>
        <v/>
      </c>
      <c r="AC119" s="335" t="str">
        <f t="shared" si="16"/>
        <v/>
      </c>
      <c r="AD119" s="311">
        <f t="shared" si="12"/>
        <v>0</v>
      </c>
      <c r="AE119" s="344" t="str">
        <f t="shared" si="17"/>
        <v/>
      </c>
      <c r="AF119" s="344" t="str">
        <f t="shared" si="18"/>
        <v/>
      </c>
      <c r="AG119" s="561" t="str">
        <f t="shared" si="13"/>
        <v/>
      </c>
      <c r="AH119" s="561" t="str">
        <f t="shared" si="19"/>
        <v/>
      </c>
      <c r="AI119" s="576"/>
      <c r="AJ119" s="847"/>
    </row>
    <row r="120" spans="1:36" ht="12" customHeight="1" outlineLevel="3" x14ac:dyDescent="0.2">
      <c r="A120" s="39">
        <f>acute_overview_children!A120</f>
        <v>4</v>
      </c>
      <c r="B120" s="23">
        <f>acute_overview_children!B120</f>
        <v>220010</v>
      </c>
      <c r="C120" s="23" t="s">
        <v>207</v>
      </c>
      <c r="D120" s="300">
        <f>Table22[[#This Row],[Level used for acute calculation]]</f>
        <v>4</v>
      </c>
      <c r="E120" s="302">
        <f>Table22[[#This Row],[MRL individual commodity]]</f>
        <v>0</v>
      </c>
      <c r="F120" s="451">
        <f>Table22[[#This Row],[Acute RA input value]]</f>
        <v>0</v>
      </c>
      <c r="G120" s="301" t="str">
        <f>Table22[[#This Row],[Acute RA label]]</f>
        <v/>
      </c>
      <c r="H120" s="303">
        <f>Table22[[#This Row],[Acute RA IESTI new input value]]</f>
        <v>0</v>
      </c>
      <c r="I120" s="301" t="str">
        <f>Table22[[#This Row],[Acute RA IESTI new label]]</f>
        <v/>
      </c>
      <c r="J120" s="65"/>
      <c r="K120" s="304">
        <f>Table22[[#This Row],[GAP under assessment]]</f>
        <v>0</v>
      </c>
      <c r="L120" s="304" t="str">
        <f>IF(input_values!$M120=0,"",input_values!$M120)</f>
        <v/>
      </c>
      <c r="M120" s="301" t="str">
        <f>IF(input_values!H120=0,"",input_values!H120)</f>
        <v/>
      </c>
      <c r="N120" s="304">
        <f>input_values!$K120</f>
        <v>0</v>
      </c>
      <c r="O120" s="326">
        <v>0.64467766116941527</v>
      </c>
      <c r="P120" s="22">
        <v>97.5</v>
      </c>
      <c r="Q120" s="327" t="s">
        <v>255</v>
      </c>
      <c r="R120" s="326">
        <v>66.7</v>
      </c>
      <c r="S120" s="328">
        <f t="shared" si="14"/>
        <v>43</v>
      </c>
      <c r="T120" s="338" t="s">
        <v>617</v>
      </c>
      <c r="U120" s="339" t="s">
        <v>215</v>
      </c>
      <c r="V120" s="338" t="s">
        <v>617</v>
      </c>
      <c r="W120" s="339" t="s">
        <v>215</v>
      </c>
      <c r="X120" s="1464">
        <f>IF(V120="ND","ND",IF(S120="","",IF(OR(MID(C120,1,4)="milk",AND(MID(B120,1,2)="50",NOT(input_values!M120="Y")),AND(MID(B120,1,2)="40",NOT(input_values!M120="Y")),AND(MID(B120,1,2)="30",NOT(input_values!M120="Y"))),3,IF(OR(V120="&lt;25",B120&gt;1000000),1,IF((T120&gt;=S120),"2b","2a")))))</f>
        <v>1</v>
      </c>
      <c r="Y120" s="22">
        <f>IF(X120="ND","ND",IF(S120="","",IF(input_values!K120&gt;0,input_values!K120,IF(OR(X120=1,X120=3),1,IF((V120&gt;250),5,7)))))</f>
        <v>1</v>
      </c>
      <c r="Z120" s="330" t="str">
        <f t="shared" si="10"/>
        <v/>
      </c>
      <c r="AA120" s="331">
        <f t="shared" si="11"/>
        <v>0</v>
      </c>
      <c r="AB120" s="128">
        <f t="shared" si="15"/>
        <v>1</v>
      </c>
      <c r="AC120" s="330" t="str">
        <f t="shared" si="16"/>
        <v/>
      </c>
      <c r="AD120" s="332">
        <f t="shared" si="12"/>
        <v>0</v>
      </c>
      <c r="AE120" s="333" t="str">
        <f t="shared" si="17"/>
        <v/>
      </c>
      <c r="AF120" s="333" t="str">
        <f t="shared" si="18"/>
        <v/>
      </c>
      <c r="AG120" s="561" t="str">
        <f t="shared" si="13"/>
        <v/>
      </c>
      <c r="AH120" s="561" t="str">
        <f t="shared" si="19"/>
        <v/>
      </c>
      <c r="AI120" s="576"/>
      <c r="AJ120" s="847"/>
    </row>
    <row r="121" spans="1:36" ht="12" customHeight="1" outlineLevel="3" x14ac:dyDescent="0.2">
      <c r="A121" s="39">
        <f>acute_overview_children!A121</f>
        <v>4</v>
      </c>
      <c r="B121" s="23">
        <f>acute_overview_children!B121</f>
        <v>220020</v>
      </c>
      <c r="C121" s="23" t="s">
        <v>208</v>
      </c>
      <c r="D121" s="300">
        <f>Table22[[#This Row],[Level used for acute calculation]]</f>
        <v>4</v>
      </c>
      <c r="E121" s="302">
        <f>Table22[[#This Row],[MRL individual commodity]]</f>
        <v>0</v>
      </c>
      <c r="F121" s="451">
        <f>Table22[[#This Row],[Acute RA input value]]</f>
        <v>0</v>
      </c>
      <c r="G121" s="301" t="str">
        <f>Table22[[#This Row],[Acute RA label]]</f>
        <v/>
      </c>
      <c r="H121" s="303">
        <f>Table22[[#This Row],[Acute RA IESTI new input value]]</f>
        <v>0</v>
      </c>
      <c r="I121" s="301" t="str">
        <f>Table22[[#This Row],[Acute RA IESTI new label]]</f>
        <v/>
      </c>
      <c r="J121" s="65"/>
      <c r="K121" s="304">
        <f>Table22[[#This Row],[GAP under assessment]]</f>
        <v>0</v>
      </c>
      <c r="L121" s="304" t="str">
        <f>IF(input_values!$M121=0,"",input_values!$M121)</f>
        <v/>
      </c>
      <c r="M121" s="301" t="str">
        <f>IF(input_values!H121=0,"",input_values!H121)</f>
        <v/>
      </c>
      <c r="N121" s="304">
        <f>input_values!$K121</f>
        <v>0</v>
      </c>
      <c r="O121" s="326">
        <v>2.1214392803598199</v>
      </c>
      <c r="P121" s="22">
        <v>97.5</v>
      </c>
      <c r="Q121" s="327" t="s">
        <v>255</v>
      </c>
      <c r="R121" s="326">
        <v>66.7</v>
      </c>
      <c r="S121" s="328">
        <f t="shared" si="14"/>
        <v>141.5</v>
      </c>
      <c r="T121" s="328">
        <v>150</v>
      </c>
      <c r="U121" s="326" t="s">
        <v>45</v>
      </c>
      <c r="V121" s="328">
        <v>165</v>
      </c>
      <c r="W121" s="326" t="s">
        <v>45</v>
      </c>
      <c r="X121" s="1464" t="str">
        <f>IF(V121="ND","ND",IF(S121="","",IF(OR(MID(C121,1,4)="milk",AND(MID(B121,1,2)="50",NOT(input_values!M121="Y")),AND(MID(B121,1,2)="40",NOT(input_values!M121="Y")),AND(MID(B121,1,2)="30",NOT(input_values!M121="Y"))),3,IF(OR(V121="&lt;25",B121&gt;1000000),1,IF((T121&gt;=S121),"2b","2a")))))</f>
        <v>2b</v>
      </c>
      <c r="Y121" s="22">
        <f>IF(X121="ND","ND",IF(S121="","",IF(input_values!K121&gt;0,input_values!K121,IF(OR(X121=1,X121=3),1,IF((V121&gt;250),5,7)))))</f>
        <v>7</v>
      </c>
      <c r="Z121" s="330" t="str">
        <f t="shared" si="10"/>
        <v/>
      </c>
      <c r="AA121" s="331">
        <f t="shared" si="11"/>
        <v>0</v>
      </c>
      <c r="AB121" s="128">
        <f t="shared" si="15"/>
        <v>3</v>
      </c>
      <c r="AC121" s="330" t="str">
        <f t="shared" si="16"/>
        <v/>
      </c>
      <c r="AD121" s="332">
        <f t="shared" si="12"/>
        <v>0</v>
      </c>
      <c r="AE121" s="333" t="str">
        <f t="shared" si="17"/>
        <v/>
      </c>
      <c r="AF121" s="333" t="str">
        <f t="shared" si="18"/>
        <v/>
      </c>
      <c r="AG121" s="561" t="str">
        <f t="shared" si="13"/>
        <v/>
      </c>
      <c r="AH121" s="561" t="str">
        <f t="shared" si="19"/>
        <v/>
      </c>
      <c r="AI121" s="576"/>
      <c r="AJ121" s="847"/>
    </row>
    <row r="122" spans="1:36" ht="12" customHeight="1" outlineLevel="3" x14ac:dyDescent="0.2">
      <c r="A122" s="39">
        <f>acute_overview_children!A122</f>
        <v>4</v>
      </c>
      <c r="B122" s="23">
        <f>acute_overview_children!B122</f>
        <v>220030</v>
      </c>
      <c r="C122" s="23" t="s">
        <v>209</v>
      </c>
      <c r="D122" s="300">
        <f>Table22[[#This Row],[Level used for acute calculation]]</f>
        <v>4</v>
      </c>
      <c r="E122" s="302">
        <f>Table22[[#This Row],[MRL individual commodity]]</f>
        <v>0</v>
      </c>
      <c r="F122" s="451">
        <f>Table22[[#This Row],[Acute RA input value]]</f>
        <v>0</v>
      </c>
      <c r="G122" s="301" t="str">
        <f>Table22[[#This Row],[Acute RA label]]</f>
        <v/>
      </c>
      <c r="H122" s="303">
        <f>Table22[[#This Row],[Acute RA IESTI new input value]]</f>
        <v>0</v>
      </c>
      <c r="I122" s="301" t="str">
        <f>Table22[[#This Row],[Acute RA IESTI new label]]</f>
        <v/>
      </c>
      <c r="J122" s="65"/>
      <c r="K122" s="304">
        <f>Table22[[#This Row],[GAP under assessment]]</f>
        <v>0</v>
      </c>
      <c r="L122" s="304" t="str">
        <f>IF(input_values!$M122=0,"",input_values!$M122)</f>
        <v/>
      </c>
      <c r="M122" s="301" t="str">
        <f>IF(input_values!H122=0,"",input_values!H122)</f>
        <v/>
      </c>
      <c r="N122" s="304">
        <f>input_values!$K122</f>
        <v>0</v>
      </c>
      <c r="O122" s="326">
        <v>0.37993920972644379</v>
      </c>
      <c r="P122" s="22" t="s">
        <v>331</v>
      </c>
      <c r="Q122" s="327" t="s">
        <v>99</v>
      </c>
      <c r="R122" s="326">
        <v>65.8</v>
      </c>
      <c r="S122" s="328">
        <f t="shared" si="14"/>
        <v>25</v>
      </c>
      <c r="T122" s="338">
        <v>51.4</v>
      </c>
      <c r="U122" s="339" t="s">
        <v>215</v>
      </c>
      <c r="V122" s="338">
        <v>53</v>
      </c>
      <c r="W122" s="339" t="s">
        <v>215</v>
      </c>
      <c r="X122" s="1464" t="str">
        <f>IF(V122="ND","ND",IF(S122="","",IF(OR(MID(C122,1,4)="milk",AND(MID(B122,1,2)="50",NOT(input_values!M122="Y")),AND(MID(B122,1,2)="40",NOT(input_values!M122="Y")),AND(MID(B122,1,2)="30",NOT(input_values!M122="Y"))),3,IF(OR(V122="&lt;25",B122&gt;1000000),1,IF((T122&gt;=S122),"2b","2a")))))</f>
        <v>2b</v>
      </c>
      <c r="Y122" s="22">
        <f>IF(X122="ND","ND",IF(S122="","",IF(input_values!K122&gt;0,input_values!K122,IF(OR(X122=1,X122=3),1,IF((V122&gt;250),5,7)))))</f>
        <v>7</v>
      </c>
      <c r="Z122" s="330" t="str">
        <f t="shared" si="10"/>
        <v/>
      </c>
      <c r="AA122" s="331">
        <f t="shared" si="11"/>
        <v>0</v>
      </c>
      <c r="AB122" s="128">
        <f t="shared" si="15"/>
        <v>3</v>
      </c>
      <c r="AC122" s="330" t="str">
        <f t="shared" si="16"/>
        <v/>
      </c>
      <c r="AD122" s="332">
        <f t="shared" si="12"/>
        <v>0</v>
      </c>
      <c r="AE122" s="333" t="str">
        <f t="shared" si="17"/>
        <v/>
      </c>
      <c r="AF122" s="333" t="str">
        <f t="shared" si="18"/>
        <v/>
      </c>
      <c r="AG122" s="561" t="str">
        <f t="shared" si="13"/>
        <v/>
      </c>
      <c r="AH122" s="561" t="str">
        <f t="shared" si="19"/>
        <v/>
      </c>
      <c r="AI122" s="576"/>
      <c r="AJ122" s="847"/>
    </row>
    <row r="123" spans="1:36" ht="12" customHeight="1" outlineLevel="3" x14ac:dyDescent="0.2">
      <c r="A123" s="39">
        <f>acute_overview_children!A123</f>
        <v>4</v>
      </c>
      <c r="B123" s="23">
        <f>acute_overview_children!B123</f>
        <v>220040</v>
      </c>
      <c r="C123" s="23" t="s">
        <v>827</v>
      </c>
      <c r="D123" s="300">
        <f>Table22[[#This Row],[Level used for acute calculation]]</f>
        <v>4</v>
      </c>
      <c r="E123" s="302">
        <f>Table22[[#This Row],[MRL individual commodity]]</f>
        <v>0</v>
      </c>
      <c r="F123" s="451">
        <f>Table22[[#This Row],[Acute RA input value]]</f>
        <v>0</v>
      </c>
      <c r="G123" s="301" t="str">
        <f>Table22[[#This Row],[Acute RA label]]</f>
        <v/>
      </c>
      <c r="H123" s="303">
        <f>Table22[[#This Row],[Acute RA IESTI new input value]]</f>
        <v>0</v>
      </c>
      <c r="I123" s="301" t="str">
        <f>Table22[[#This Row],[Acute RA IESTI new label]]</f>
        <v/>
      </c>
      <c r="J123" s="65"/>
      <c r="K123" s="304">
        <f>Table22[[#This Row],[GAP under assessment]]</f>
        <v>0</v>
      </c>
      <c r="L123" s="304" t="str">
        <f>IF(input_values!$M123=0,"",input_values!$M123)</f>
        <v/>
      </c>
      <c r="M123" s="301" t="str">
        <f>IF(input_values!H123=0,"",input_values!H123)</f>
        <v/>
      </c>
      <c r="N123" s="304">
        <f>input_values!$K123</f>
        <v>0</v>
      </c>
      <c r="O123" s="326">
        <v>1.1190158589002519</v>
      </c>
      <c r="P123" s="22">
        <v>97.5</v>
      </c>
      <c r="Q123" s="327" t="s">
        <v>334</v>
      </c>
      <c r="R123" s="326">
        <v>67.47</v>
      </c>
      <c r="S123" s="328">
        <f t="shared" si="14"/>
        <v>75.5</v>
      </c>
      <c r="T123" s="338">
        <v>38</v>
      </c>
      <c r="U123" s="339" t="s">
        <v>215</v>
      </c>
      <c r="V123" s="338">
        <v>38</v>
      </c>
      <c r="W123" s="339" t="s">
        <v>215</v>
      </c>
      <c r="X123" s="1464" t="str">
        <f>IF(V123="ND","ND",IF(S123="","",IF(OR(MID(C123,1,4)="milk",AND(MID(B123,1,2)="50",NOT(input_values!M123="Y")),AND(MID(B123,1,2)="40",NOT(input_values!M123="Y")),AND(MID(B123,1,2)="30",NOT(input_values!M123="Y"))),3,IF(OR(V123="&lt;25",B123&gt;1000000),1,IF((T123&gt;=S123),"2b","2a")))))</f>
        <v>2a</v>
      </c>
      <c r="Y123" s="22">
        <f>IF(X123="ND","ND",IF(S123="","",IF(input_values!K123&gt;0,input_values!K123,IF(OR(X123=1,X123=3),1,IF((V123&gt;250),5,7)))))</f>
        <v>7</v>
      </c>
      <c r="Z123" s="330" t="str">
        <f t="shared" si="10"/>
        <v/>
      </c>
      <c r="AA123" s="331">
        <f t="shared" si="11"/>
        <v>0</v>
      </c>
      <c r="AB123" s="128">
        <f t="shared" si="15"/>
        <v>3</v>
      </c>
      <c r="AC123" s="330" t="str">
        <f t="shared" si="16"/>
        <v/>
      </c>
      <c r="AD123" s="332">
        <f t="shared" si="12"/>
        <v>0</v>
      </c>
      <c r="AE123" s="333" t="str">
        <f t="shared" si="17"/>
        <v/>
      </c>
      <c r="AF123" s="333" t="str">
        <f t="shared" si="18"/>
        <v/>
      </c>
      <c r="AG123" s="561" t="str">
        <f t="shared" si="13"/>
        <v/>
      </c>
      <c r="AH123" s="561" t="str">
        <f t="shared" si="19"/>
        <v/>
      </c>
      <c r="AI123" s="576"/>
      <c r="AJ123" s="847"/>
    </row>
    <row r="124" spans="1:36" ht="12" customHeight="1" outlineLevel="3" x14ac:dyDescent="0.2">
      <c r="A124" s="39">
        <f>acute_overview_children!A124</f>
        <v>4</v>
      </c>
      <c r="B124" s="23">
        <f>acute_overview_children!B124</f>
        <v>220990</v>
      </c>
      <c r="C124" s="23" t="s">
        <v>165</v>
      </c>
      <c r="D124" s="300">
        <f>Table22[[#This Row],[Level used for acute calculation]]</f>
        <v>0</v>
      </c>
      <c r="E124" s="302">
        <f>Table22[[#This Row],[MRL individual commodity]]</f>
        <v>0</v>
      </c>
      <c r="F124" s="451">
        <f>Table22[[#This Row],[Acute RA input value]]</f>
        <v>0</v>
      </c>
      <c r="G124" s="301">
        <f>Table22[[#This Row],[Acute RA label]]</f>
        <v>0</v>
      </c>
      <c r="H124" s="303">
        <f>Table22[[#This Row],[Acute RA IESTI new input value]]</f>
        <v>0</v>
      </c>
      <c r="I124" s="301">
        <f>Table22[[#This Row],[Acute RA IESTI new label]]</f>
        <v>0</v>
      </c>
      <c r="J124" s="65"/>
      <c r="K124" s="304">
        <f>Table22[[#This Row],[GAP under assessment]]</f>
        <v>0</v>
      </c>
      <c r="L124" s="304" t="str">
        <f>IF(input_values!$M124=0,"",input_values!$M124)</f>
        <v/>
      </c>
      <c r="M124" s="301" t="str">
        <f>IF(input_values!H124=0,"",input_values!H124)</f>
        <v/>
      </c>
      <c r="N124" s="304">
        <f>input_values!$K124</f>
        <v>0</v>
      </c>
      <c r="O124" s="309"/>
      <c r="P124" s="38"/>
      <c r="Q124" s="306"/>
      <c r="R124" s="309"/>
      <c r="S124" s="336" t="str">
        <f t="shared" si="14"/>
        <v/>
      </c>
      <c r="T124" s="305"/>
      <c r="U124" s="309"/>
      <c r="V124" s="305"/>
      <c r="W124" s="309"/>
      <c r="X124" s="611" t="str">
        <f>IF(V124="ND","ND",IF(S124="","",IF(OR(MID(C124,1,4)="milk",AND(MID(B124,1,2)="50",NOT(input_values!M124="Y")),AND(MID(B124,1,2)="40",NOT(input_values!M124="Y")),AND(MID(B124,1,2)="30",NOT(input_values!M124="Y"))),3,IF(OR(V124="&lt;25",B124&gt;1000000),1,IF((T124&gt;=S124),"2b","2a")))))</f>
        <v/>
      </c>
      <c r="Y124" s="38" t="str">
        <f>IF(X124="ND","ND",IF(S124="","",IF(input_values!K124&gt;0,input_values!K124,IF(OR(X124=1,X124=3),1,IF((V124&gt;250),5,7)))))</f>
        <v/>
      </c>
      <c r="Z124" s="335" t="str">
        <f t="shared" si="10"/>
        <v/>
      </c>
      <c r="AA124" s="311">
        <f t="shared" si="11"/>
        <v>0</v>
      </c>
      <c r="AB124" s="38" t="str">
        <f t="shared" si="15"/>
        <v/>
      </c>
      <c r="AC124" s="335" t="str">
        <f t="shared" si="16"/>
        <v/>
      </c>
      <c r="AD124" s="311">
        <f t="shared" si="12"/>
        <v>0</v>
      </c>
      <c r="AE124" s="344" t="str">
        <f t="shared" si="17"/>
        <v/>
      </c>
      <c r="AF124" s="344" t="str">
        <f t="shared" si="18"/>
        <v/>
      </c>
      <c r="AG124" s="561" t="str">
        <f t="shared" si="13"/>
        <v/>
      </c>
      <c r="AH124" s="561" t="str">
        <f t="shared" si="19"/>
        <v/>
      </c>
      <c r="AI124" s="576"/>
      <c r="AJ124" s="847"/>
    </row>
    <row r="125" spans="1:36" outlineLevel="1" x14ac:dyDescent="0.2">
      <c r="A125" s="130">
        <f>acute_overview_children!A125</f>
        <v>2</v>
      </c>
      <c r="B125" s="131">
        <f>acute_overview_children!B125</f>
        <v>230000</v>
      </c>
      <c r="C125" s="131" t="s">
        <v>225</v>
      </c>
      <c r="D125" s="300">
        <f>Table22[[#This Row],[Level used for acute calculation]]</f>
        <v>4</v>
      </c>
      <c r="E125" s="302">
        <f>Table22[[#This Row],[MRL individual commodity]]</f>
        <v>0</v>
      </c>
      <c r="F125" s="451">
        <f>Table22[[#This Row],[Acute RA input value]]</f>
        <v>0</v>
      </c>
      <c r="G125" s="301">
        <f>Table22[[#This Row],[Acute RA label]]</f>
        <v>0</v>
      </c>
      <c r="H125" s="303">
        <f>Table22[[#This Row],[Acute RA IESTI new input value]]</f>
        <v>0</v>
      </c>
      <c r="I125" s="301">
        <f>Table22[[#This Row],[Acute RA IESTI new label]]</f>
        <v>0</v>
      </c>
      <c r="J125" s="65"/>
      <c r="K125" s="304">
        <f>Table22[[#This Row],[GAP under assessment]]</f>
        <v>0</v>
      </c>
      <c r="L125" s="304" t="str">
        <f>IF(input_values!$M125=0,"",input_values!$M125)</f>
        <v/>
      </c>
      <c r="M125" s="301" t="str">
        <f>IF(input_values!H125=0,"",input_values!H125)</f>
        <v/>
      </c>
      <c r="N125" s="304">
        <f>input_values!$K125</f>
        <v>0</v>
      </c>
      <c r="O125" s="309"/>
      <c r="P125" s="38"/>
      <c r="Q125" s="306"/>
      <c r="R125" s="309"/>
      <c r="S125" s="336" t="str">
        <f t="shared" si="14"/>
        <v/>
      </c>
      <c r="T125" s="315"/>
      <c r="U125" s="320"/>
      <c r="V125" s="315"/>
      <c r="W125" s="320"/>
      <c r="X125" s="611" t="str">
        <f>IF(V125="ND","ND",IF(S125="","",IF(OR(MID(C125,1,4)="milk",AND(MID(B125,1,2)="50",NOT(input_values!M125="Y")),AND(MID(B125,1,2)="40",NOT(input_values!M125="Y")),AND(MID(B125,1,2)="30",NOT(input_values!M125="Y"))),3,IF(OR(V125="&lt;25",B125&gt;1000000),1,IF((T125&gt;=S125),"2b","2a")))))</f>
        <v/>
      </c>
      <c r="Y125" s="38" t="str">
        <f>IF(X125="ND","ND",IF(S125="","",IF(input_values!K125&gt;0,input_values!K125,IF(OR(X125=1,X125=3),1,IF((V125&gt;250),5,7)))))</f>
        <v/>
      </c>
      <c r="Z125" s="335" t="str">
        <f t="shared" si="10"/>
        <v/>
      </c>
      <c r="AA125" s="311">
        <f t="shared" si="11"/>
        <v>0</v>
      </c>
      <c r="AB125" s="38" t="str">
        <f t="shared" si="15"/>
        <v/>
      </c>
      <c r="AC125" s="335" t="str">
        <f t="shared" si="16"/>
        <v/>
      </c>
      <c r="AD125" s="311">
        <f t="shared" si="12"/>
        <v>0</v>
      </c>
      <c r="AE125" s="344" t="str">
        <f t="shared" si="17"/>
        <v/>
      </c>
      <c r="AF125" s="344" t="str">
        <f t="shared" si="18"/>
        <v/>
      </c>
      <c r="AG125" s="561" t="str">
        <f t="shared" si="13"/>
        <v/>
      </c>
      <c r="AH125" s="561" t="str">
        <f t="shared" si="19"/>
        <v/>
      </c>
      <c r="AI125" s="576"/>
      <c r="AJ125" s="847"/>
    </row>
    <row r="126" spans="1:36" outlineLevel="2" x14ac:dyDescent="0.2">
      <c r="A126" s="132">
        <f>acute_overview_children!A126</f>
        <v>3</v>
      </c>
      <c r="B126" s="3">
        <f>acute_overview_children!B126</f>
        <v>231000</v>
      </c>
      <c r="C126" s="3" t="s">
        <v>226</v>
      </c>
      <c r="D126" s="300">
        <f>Table22[[#This Row],[Level used for acute calculation]]</f>
        <v>4</v>
      </c>
      <c r="E126" s="302">
        <f>Table22[[#This Row],[MRL individual commodity]]</f>
        <v>0</v>
      </c>
      <c r="F126" s="451">
        <f>Table22[[#This Row],[Acute RA input value]]</f>
        <v>0</v>
      </c>
      <c r="G126" s="301">
        <f>Table22[[#This Row],[Acute RA label]]</f>
        <v>0</v>
      </c>
      <c r="H126" s="303">
        <f>Table22[[#This Row],[Acute RA IESTI new input value]]</f>
        <v>0</v>
      </c>
      <c r="I126" s="301">
        <f>Table22[[#This Row],[Acute RA IESTI new label]]</f>
        <v>0</v>
      </c>
      <c r="J126" s="65"/>
      <c r="K126" s="304">
        <f>Table22[[#This Row],[GAP under assessment]]</f>
        <v>0</v>
      </c>
      <c r="L126" s="304" t="str">
        <f>IF(input_values!$M126=0,"",input_values!$M126)</f>
        <v/>
      </c>
      <c r="M126" s="301" t="str">
        <f>IF(input_values!H126=0,"",input_values!H126)</f>
        <v/>
      </c>
      <c r="N126" s="304">
        <f>input_values!$K126</f>
        <v>0</v>
      </c>
      <c r="O126" s="309"/>
      <c r="P126" s="38"/>
      <c r="Q126" s="306"/>
      <c r="R126" s="309"/>
      <c r="S126" s="336" t="str">
        <f t="shared" si="14"/>
        <v/>
      </c>
      <c r="T126" s="342"/>
      <c r="U126" s="343"/>
      <c r="V126" s="342"/>
      <c r="W126" s="343"/>
      <c r="X126" s="611" t="str">
        <f>IF(V126="ND","ND",IF(S126="","",IF(OR(MID(C126,1,4)="milk",AND(MID(B126,1,2)="50",NOT(input_values!M126="Y")),AND(MID(B126,1,2)="40",NOT(input_values!M126="Y")),AND(MID(B126,1,2)="30",NOT(input_values!M126="Y"))),3,IF(OR(V126="&lt;25",B126&gt;1000000),1,IF((T126&gt;=S126),"2b","2a")))))</f>
        <v/>
      </c>
      <c r="Y126" s="38" t="str">
        <f>IF(X126="ND","ND",IF(S126="","",IF(input_values!K126&gt;0,input_values!K126,IF(OR(X126=1,X126=3),1,IF((V126&gt;250),5,7)))))</f>
        <v/>
      </c>
      <c r="Z126" s="335" t="str">
        <f t="shared" si="10"/>
        <v/>
      </c>
      <c r="AA126" s="311">
        <f t="shared" si="11"/>
        <v>0</v>
      </c>
      <c r="AB126" s="38" t="str">
        <f t="shared" si="15"/>
        <v/>
      </c>
      <c r="AC126" s="335" t="str">
        <f t="shared" si="16"/>
        <v/>
      </c>
      <c r="AD126" s="311">
        <f t="shared" si="12"/>
        <v>0</v>
      </c>
      <c r="AE126" s="344" t="str">
        <f t="shared" si="17"/>
        <v/>
      </c>
      <c r="AF126" s="344" t="str">
        <f t="shared" si="18"/>
        <v/>
      </c>
      <c r="AG126" s="561" t="str">
        <f t="shared" si="13"/>
        <v/>
      </c>
      <c r="AH126" s="561" t="str">
        <f t="shared" si="19"/>
        <v/>
      </c>
      <c r="AI126" s="576"/>
      <c r="AJ126" s="847"/>
    </row>
    <row r="127" spans="1:36" ht="12" customHeight="1" outlineLevel="3" x14ac:dyDescent="0.2">
      <c r="A127" s="39">
        <f>acute_overview_children!A127</f>
        <v>4</v>
      </c>
      <c r="B127" s="23">
        <f>acute_overview_children!B127</f>
        <v>231010</v>
      </c>
      <c r="C127" s="23" t="s">
        <v>210</v>
      </c>
      <c r="D127" s="300">
        <f>Table22[[#This Row],[Level used for acute calculation]]</f>
        <v>4</v>
      </c>
      <c r="E127" s="302">
        <f>Table22[[#This Row],[MRL individual commodity]]</f>
        <v>0</v>
      </c>
      <c r="F127" s="451">
        <f>Table22[[#This Row],[Acute RA input value]]</f>
        <v>0</v>
      </c>
      <c r="G127" s="301" t="str">
        <f>Table22[[#This Row],[Acute RA label]]</f>
        <v/>
      </c>
      <c r="H127" s="303">
        <f>Table22[[#This Row],[Acute RA IESTI new input value]]</f>
        <v>0</v>
      </c>
      <c r="I127" s="301" t="str">
        <f>Table22[[#This Row],[Acute RA IESTI new label]]</f>
        <v/>
      </c>
      <c r="J127" s="65"/>
      <c r="K127" s="304">
        <f>Table22[[#This Row],[GAP under assessment]]</f>
        <v>0</v>
      </c>
      <c r="L127" s="304" t="str">
        <f>IF(input_values!$M127=0,"",input_values!$M127)</f>
        <v/>
      </c>
      <c r="M127" s="301" t="str">
        <f>IF(input_values!H127=0,"",input_values!H127)</f>
        <v/>
      </c>
      <c r="N127" s="304">
        <f>input_values!$K127</f>
        <v>0</v>
      </c>
      <c r="O127" s="326">
        <v>6.4285714285714288</v>
      </c>
      <c r="P127" s="22">
        <v>97.5</v>
      </c>
      <c r="Q127" s="327" t="s">
        <v>254</v>
      </c>
      <c r="R127" s="326">
        <v>70</v>
      </c>
      <c r="S127" s="328">
        <f t="shared" si="14"/>
        <v>450</v>
      </c>
      <c r="T127" s="328">
        <v>110</v>
      </c>
      <c r="U127" s="326" t="s">
        <v>287</v>
      </c>
      <c r="V127" s="328">
        <v>112.48766470494996</v>
      </c>
      <c r="W127" s="326" t="s">
        <v>287</v>
      </c>
      <c r="X127" s="1464" t="str">
        <f>IF(V127="ND","ND",IF(S127="","",IF(OR(MID(C127,1,4)="milk",AND(MID(B127,1,2)="50",NOT(input_values!M127="Y")),AND(MID(B127,1,2)="40",NOT(input_values!M127="Y")),AND(MID(B127,1,2)="30",NOT(input_values!M127="Y"))),3,IF(OR(V127="&lt;25",B127&gt;1000000),1,IF((T127&gt;=S127),"2b","2a")))))</f>
        <v>2a</v>
      </c>
      <c r="Y127" s="22">
        <f>IF(X127="ND","ND",IF(S127="","",IF(input_values!K127&gt;0,input_values!K127,IF(OR(X127=1,X127=3),1,IF((V127&gt;250),5,7)))))</f>
        <v>7</v>
      </c>
      <c r="Z127" s="330" t="str">
        <f t="shared" si="10"/>
        <v/>
      </c>
      <c r="AA127" s="331">
        <f t="shared" si="11"/>
        <v>0</v>
      </c>
      <c r="AB127" s="128">
        <f t="shared" si="15"/>
        <v>3</v>
      </c>
      <c r="AC127" s="330" t="str">
        <f t="shared" si="16"/>
        <v/>
      </c>
      <c r="AD127" s="332">
        <f t="shared" si="12"/>
        <v>0</v>
      </c>
      <c r="AE127" s="333" t="str">
        <f t="shared" si="17"/>
        <v/>
      </c>
      <c r="AF127" s="333" t="str">
        <f t="shared" si="18"/>
        <v/>
      </c>
      <c r="AG127" s="561" t="str">
        <f t="shared" si="13"/>
        <v/>
      </c>
      <c r="AH127" s="561" t="str">
        <f t="shared" si="19"/>
        <v/>
      </c>
      <c r="AI127" s="576"/>
      <c r="AJ127" s="847"/>
    </row>
    <row r="128" spans="1:36" ht="12" customHeight="1" outlineLevel="3" x14ac:dyDescent="0.2">
      <c r="A128" s="39">
        <f>acute_overview_children!A128</f>
        <v>4</v>
      </c>
      <c r="B128" s="23">
        <f>acute_overview_children!B128</f>
        <v>231020</v>
      </c>
      <c r="C128" s="23" t="s">
        <v>713</v>
      </c>
      <c r="D128" s="300">
        <f>Table22[[#This Row],[Level used for acute calculation]]</f>
        <v>4</v>
      </c>
      <c r="E128" s="302">
        <f>Table22[[#This Row],[MRL individual commodity]]</f>
        <v>0</v>
      </c>
      <c r="F128" s="451">
        <f>Table22[[#This Row],[Acute RA input value]]</f>
        <v>0</v>
      </c>
      <c r="G128" s="301" t="str">
        <f>Table22[[#This Row],[Acute RA label]]</f>
        <v/>
      </c>
      <c r="H128" s="303">
        <f>Table22[[#This Row],[Acute RA IESTI new input value]]</f>
        <v>0</v>
      </c>
      <c r="I128" s="301" t="str">
        <f>Table22[[#This Row],[Acute RA IESTI new label]]</f>
        <v/>
      </c>
      <c r="J128" s="65"/>
      <c r="K128" s="304">
        <f>Table22[[#This Row],[GAP under assessment]]</f>
        <v>0</v>
      </c>
      <c r="L128" s="304" t="str">
        <f>IF(input_values!$M128=0,"",input_values!$M128)</f>
        <v/>
      </c>
      <c r="M128" s="301" t="str">
        <f>IF(input_values!H128=0,"",input_values!H128)</f>
        <v/>
      </c>
      <c r="N128" s="304">
        <f>input_values!$K128</f>
        <v>0</v>
      </c>
      <c r="O128" s="326">
        <v>2.33</v>
      </c>
      <c r="P128" s="22">
        <v>97.5</v>
      </c>
      <c r="Q128" s="327" t="s">
        <v>255</v>
      </c>
      <c r="R128" s="326">
        <v>66.7</v>
      </c>
      <c r="S128" s="328">
        <f t="shared" si="14"/>
        <v>155.411</v>
      </c>
      <c r="T128" s="328">
        <v>160</v>
      </c>
      <c r="U128" s="326" t="s">
        <v>45</v>
      </c>
      <c r="V128" s="328">
        <v>172</v>
      </c>
      <c r="W128" s="326" t="s">
        <v>45</v>
      </c>
      <c r="X128" s="1464" t="str">
        <f>IF(V128="ND","ND",IF(S128="","",IF(OR(MID(C128,1,4)="milk",AND(MID(B128,1,2)="50",NOT(input_values!M128="Y")),AND(MID(B128,1,2)="40",NOT(input_values!M128="Y")),AND(MID(B128,1,2)="30",NOT(input_values!M128="Y"))),3,IF(OR(V128="&lt;25",B128&gt;1000000),1,IF((T128&gt;=S128),"2b","2a")))))</f>
        <v>2b</v>
      </c>
      <c r="Y128" s="22">
        <f>IF(X128="ND","ND",IF(S128="","",IF(input_values!K128&gt;0,input_values!K128,IF(OR(X128=1,X128=3),1,IF((V128&gt;250),5,7)))))</f>
        <v>7</v>
      </c>
      <c r="Z128" s="330" t="str">
        <f t="shared" si="10"/>
        <v/>
      </c>
      <c r="AA128" s="331">
        <f t="shared" si="11"/>
        <v>0</v>
      </c>
      <c r="AB128" s="128">
        <f t="shared" si="15"/>
        <v>3</v>
      </c>
      <c r="AC128" s="330" t="str">
        <f t="shared" si="16"/>
        <v/>
      </c>
      <c r="AD128" s="332">
        <f t="shared" si="12"/>
        <v>0</v>
      </c>
      <c r="AE128" s="333" t="str">
        <f t="shared" si="17"/>
        <v/>
      </c>
      <c r="AF128" s="333" t="str">
        <f t="shared" si="18"/>
        <v/>
      </c>
      <c r="AG128" s="561" t="str">
        <f t="shared" si="13"/>
        <v/>
      </c>
      <c r="AH128" s="561" t="str">
        <f t="shared" si="19"/>
        <v/>
      </c>
      <c r="AI128" s="576"/>
      <c r="AJ128" s="847"/>
    </row>
    <row r="129" spans="1:36" ht="12" customHeight="1" outlineLevel="3" x14ac:dyDescent="0.2">
      <c r="A129" s="39">
        <f>acute_overview_children!A129</f>
        <v>4</v>
      </c>
      <c r="B129" s="23">
        <f>acute_overview_children!B129</f>
        <v>231030</v>
      </c>
      <c r="C129" s="23" t="s">
        <v>1055</v>
      </c>
      <c r="D129" s="300">
        <f>Table22[[#This Row],[Level used for acute calculation]]</f>
        <v>4</v>
      </c>
      <c r="E129" s="302">
        <f>Table22[[#This Row],[MRL individual commodity]]</f>
        <v>0</v>
      </c>
      <c r="F129" s="451">
        <f>Table22[[#This Row],[Acute RA input value]]</f>
        <v>0</v>
      </c>
      <c r="G129" s="301" t="str">
        <f>Table22[[#This Row],[Acute RA label]]</f>
        <v/>
      </c>
      <c r="H129" s="303">
        <f>Table22[[#This Row],[Acute RA IESTI new input value]]</f>
        <v>0</v>
      </c>
      <c r="I129" s="301" t="str">
        <f>Table22[[#This Row],[Acute RA IESTI new label]]</f>
        <v/>
      </c>
      <c r="J129" s="65"/>
      <c r="K129" s="304">
        <f>Table22[[#This Row],[GAP under assessment]]</f>
        <v>0</v>
      </c>
      <c r="L129" s="304" t="str">
        <f>IF(input_values!$M129=0,"",input_values!$M129)</f>
        <v/>
      </c>
      <c r="M129" s="301" t="str">
        <f>IF(input_values!H129=0,"",input_values!H129)</f>
        <v/>
      </c>
      <c r="N129" s="304">
        <f>input_values!$K129</f>
        <v>0</v>
      </c>
      <c r="O129" s="326">
        <v>6.444</v>
      </c>
      <c r="P129" s="22">
        <v>95</v>
      </c>
      <c r="Q129" s="327" t="s">
        <v>99</v>
      </c>
      <c r="R129" s="326">
        <v>65.8</v>
      </c>
      <c r="S129" s="328">
        <f t="shared" si="14"/>
        <v>424.01519999999999</v>
      </c>
      <c r="T129" s="328">
        <v>339.5</v>
      </c>
      <c r="U129" s="326" t="s">
        <v>40</v>
      </c>
      <c r="V129" s="328">
        <v>339.5</v>
      </c>
      <c r="W129" s="326" t="s">
        <v>40</v>
      </c>
      <c r="X129" s="1464" t="str">
        <f>IF(V129="ND","ND",IF(S129="","",IF(OR(MID(C129,1,4)="milk",AND(MID(B129,1,2)="50",NOT(input_values!M129="Y")),AND(MID(B129,1,2)="40",NOT(input_values!M129="Y")),AND(MID(B129,1,2)="30",NOT(input_values!M129="Y"))),3,IF(OR(V129="&lt;25",B129&gt;1000000),1,IF((T129&gt;=S129),"2b","2a")))))</f>
        <v>2a</v>
      </c>
      <c r="Y129" s="22">
        <f>IF(X129="ND","ND",IF(S129="","",IF(input_values!K129&gt;0,input_values!K129,IF(OR(X129=1,X129=3),1,IF((V129&gt;250),5,7)))))</f>
        <v>5</v>
      </c>
      <c r="Z129" s="330" t="str">
        <f t="shared" si="10"/>
        <v/>
      </c>
      <c r="AA129" s="331">
        <f t="shared" si="11"/>
        <v>0</v>
      </c>
      <c r="AB129" s="128">
        <f t="shared" si="15"/>
        <v>3</v>
      </c>
      <c r="AC129" s="330" t="str">
        <f t="shared" si="16"/>
        <v/>
      </c>
      <c r="AD129" s="332">
        <f t="shared" si="12"/>
        <v>0</v>
      </c>
      <c r="AE129" s="333" t="str">
        <f t="shared" si="17"/>
        <v/>
      </c>
      <c r="AF129" s="333" t="str">
        <f t="shared" si="18"/>
        <v/>
      </c>
      <c r="AG129" s="561" t="str">
        <f t="shared" si="13"/>
        <v/>
      </c>
      <c r="AH129" s="561" t="str">
        <f t="shared" si="19"/>
        <v/>
      </c>
      <c r="AI129" s="576"/>
      <c r="AJ129" s="847"/>
    </row>
    <row r="130" spans="1:36" ht="12" customHeight="1" outlineLevel="3" x14ac:dyDescent="0.2">
      <c r="A130" s="39">
        <f>acute_overview_children!A130</f>
        <v>4</v>
      </c>
      <c r="B130" s="23">
        <f>acute_overview_children!B130</f>
        <v>231040</v>
      </c>
      <c r="C130" s="23" t="s">
        <v>714</v>
      </c>
      <c r="D130" s="300">
        <f>Table22[[#This Row],[Level used for acute calculation]]</f>
        <v>4</v>
      </c>
      <c r="E130" s="302">
        <f>Table22[[#This Row],[MRL individual commodity]]</f>
        <v>0</v>
      </c>
      <c r="F130" s="451">
        <f>Table22[[#This Row],[Acute RA input value]]</f>
        <v>0</v>
      </c>
      <c r="G130" s="301" t="str">
        <f>Table22[[#This Row],[Acute RA label]]</f>
        <v/>
      </c>
      <c r="H130" s="303">
        <f>Table22[[#This Row],[Acute RA IESTI new input value]]</f>
        <v>0</v>
      </c>
      <c r="I130" s="301" t="str">
        <f>Table22[[#This Row],[Acute RA IESTI new label]]</f>
        <v/>
      </c>
      <c r="J130" s="65"/>
      <c r="K130" s="304">
        <f>Table22[[#This Row],[GAP under assessment]]</f>
        <v>0</v>
      </c>
      <c r="L130" s="304" t="str">
        <f>IF(input_values!$M130=0,"",input_values!$M130)</f>
        <v/>
      </c>
      <c r="M130" s="301" t="str">
        <f>IF(input_values!H130=0,"",input_values!H130)</f>
        <v/>
      </c>
      <c r="N130" s="304">
        <f>input_values!$K130</f>
        <v>0</v>
      </c>
      <c r="O130" s="338" t="s">
        <v>618</v>
      </c>
      <c r="P130" s="22"/>
      <c r="Q130" s="327"/>
      <c r="R130" s="326"/>
      <c r="S130" s="31" t="str">
        <f t="shared" si="14"/>
        <v>ND</v>
      </c>
      <c r="T130" s="338" t="s">
        <v>617</v>
      </c>
      <c r="U130" s="339" t="s">
        <v>215</v>
      </c>
      <c r="V130" s="338" t="s">
        <v>617</v>
      </c>
      <c r="W130" s="339" t="s">
        <v>215</v>
      </c>
      <c r="X130" s="460">
        <f>IF(V130="ND","ND",IF(S130="","",IF(OR(MID(C130,1,4)="milk",AND(MID(B130,1,2)="50",NOT(input_values!M130="Y")),AND(MID(B130,1,2)="40",NOT(input_values!M130="Y")),AND(MID(B130,1,2)="30",NOT(input_values!M130="Y"))),3,IF(OR(V130="&lt;25",B130&gt;1000000),1,IF((T130&gt;=S130),"2b","2a")))))</f>
        <v>1</v>
      </c>
      <c r="Y130" s="22">
        <f>IF(X130="ND","ND",IF(S130="","",IF(input_values!K130&gt;0,input_values!K130,IF(OR(X130=1,X130=3),1,IF((V130&gt;250),5,7)))))</f>
        <v>1</v>
      </c>
      <c r="Z130" s="340" t="str">
        <f t="shared" si="10"/>
        <v/>
      </c>
      <c r="AA130" s="332">
        <f t="shared" si="11"/>
        <v>0</v>
      </c>
      <c r="AB130" s="128">
        <f t="shared" si="15"/>
        <v>1</v>
      </c>
      <c r="AC130" s="340" t="str">
        <f t="shared" si="16"/>
        <v/>
      </c>
      <c r="AD130" s="332">
        <f t="shared" si="12"/>
        <v>0</v>
      </c>
      <c r="AE130" s="37" t="str">
        <f t="shared" si="17"/>
        <v/>
      </c>
      <c r="AF130" s="37" t="str">
        <f t="shared" si="18"/>
        <v/>
      </c>
      <c r="AG130" s="561" t="str">
        <f t="shared" si="13"/>
        <v/>
      </c>
      <c r="AH130" s="561" t="str">
        <f t="shared" si="19"/>
        <v/>
      </c>
      <c r="AI130" s="576"/>
      <c r="AJ130" s="847"/>
    </row>
    <row r="131" spans="1:36" ht="12" customHeight="1" outlineLevel="3" x14ac:dyDescent="0.2">
      <c r="A131" s="39">
        <f>acute_overview_children!A131</f>
        <v>4</v>
      </c>
      <c r="B131" s="23">
        <f>acute_overview_children!B131</f>
        <v>231990</v>
      </c>
      <c r="C131" s="23" t="s">
        <v>166</v>
      </c>
      <c r="D131" s="300">
        <f>Table22[[#This Row],[Level used for acute calculation]]</f>
        <v>0</v>
      </c>
      <c r="E131" s="302">
        <f>Table22[[#This Row],[MRL individual commodity]]</f>
        <v>0</v>
      </c>
      <c r="F131" s="451">
        <f>Table22[[#This Row],[Acute RA input value]]</f>
        <v>0</v>
      </c>
      <c r="G131" s="301">
        <f>Table22[[#This Row],[Acute RA label]]</f>
        <v>0</v>
      </c>
      <c r="H131" s="303">
        <f>Table22[[#This Row],[Acute RA IESTI new input value]]</f>
        <v>0</v>
      </c>
      <c r="I131" s="301">
        <f>Table22[[#This Row],[Acute RA IESTI new label]]</f>
        <v>0</v>
      </c>
      <c r="J131" s="65"/>
      <c r="K131" s="304">
        <f>Table22[[#This Row],[GAP under assessment]]</f>
        <v>0</v>
      </c>
      <c r="L131" s="304" t="str">
        <f>IF(input_values!$M131=0,"",input_values!$M131)</f>
        <v/>
      </c>
      <c r="M131" s="301" t="str">
        <f>IF(input_values!H131=0,"",input_values!H131)</f>
        <v/>
      </c>
      <c r="N131" s="304">
        <f>input_values!$K131</f>
        <v>0</v>
      </c>
      <c r="O131" s="309"/>
      <c r="P131" s="38"/>
      <c r="Q131" s="306"/>
      <c r="R131" s="309"/>
      <c r="S131" s="336" t="str">
        <f t="shared" si="14"/>
        <v/>
      </c>
      <c r="T131" s="305"/>
      <c r="U131" s="309"/>
      <c r="V131" s="305"/>
      <c r="W131" s="309"/>
      <c r="X131" s="611" t="str">
        <f>IF(V131="ND","ND",IF(S131="","",IF(OR(MID(C131,1,4)="milk",AND(MID(B131,1,2)="50",NOT(input_values!M131="Y")),AND(MID(B131,1,2)="40",NOT(input_values!M131="Y")),AND(MID(B131,1,2)="30",NOT(input_values!M131="Y"))),3,IF(OR(V131="&lt;25",B131&gt;1000000),1,IF((T131&gt;=S131),"2b","2a")))))</f>
        <v/>
      </c>
      <c r="Y131" s="38" t="str">
        <f>IF(X131="ND","ND",IF(S131="","",IF(input_values!K131&gt;0,input_values!K131,IF(OR(X131=1,X131=3),1,IF((V131&gt;250),5,7)))))</f>
        <v/>
      </c>
      <c r="Z131" s="335" t="str">
        <f t="shared" si="10"/>
        <v/>
      </c>
      <c r="AA131" s="311">
        <f t="shared" si="11"/>
        <v>0</v>
      </c>
      <c r="AB131" s="38" t="str">
        <f t="shared" si="15"/>
        <v/>
      </c>
      <c r="AC131" s="335" t="str">
        <f t="shared" si="16"/>
        <v/>
      </c>
      <c r="AD131" s="311">
        <f t="shared" si="12"/>
        <v>0</v>
      </c>
      <c r="AE131" s="344" t="str">
        <f t="shared" si="17"/>
        <v/>
      </c>
      <c r="AF131" s="344" t="str">
        <f t="shared" si="18"/>
        <v/>
      </c>
      <c r="AG131" s="561" t="str">
        <f t="shared" si="13"/>
        <v/>
      </c>
      <c r="AH131" s="561" t="str">
        <f t="shared" si="19"/>
        <v/>
      </c>
      <c r="AI131" s="576"/>
      <c r="AJ131" s="847"/>
    </row>
    <row r="132" spans="1:36" outlineLevel="2" x14ac:dyDescent="0.2">
      <c r="A132" s="132">
        <f>acute_overview_children!A132</f>
        <v>3</v>
      </c>
      <c r="B132" s="3">
        <f>acute_overview_children!B132</f>
        <v>232000</v>
      </c>
      <c r="C132" s="3" t="s">
        <v>227</v>
      </c>
      <c r="D132" s="300">
        <f>Table22[[#This Row],[Level used for acute calculation]]</f>
        <v>4</v>
      </c>
      <c r="E132" s="302">
        <f>Table22[[#This Row],[MRL individual commodity]]</f>
        <v>0</v>
      </c>
      <c r="F132" s="451">
        <f>Table22[[#This Row],[Acute RA input value]]</f>
        <v>0</v>
      </c>
      <c r="G132" s="301">
        <f>Table22[[#This Row],[Acute RA label]]</f>
        <v>0</v>
      </c>
      <c r="H132" s="303">
        <f>Table22[[#This Row],[Acute RA IESTI new input value]]</f>
        <v>0</v>
      </c>
      <c r="I132" s="301">
        <f>Table22[[#This Row],[Acute RA IESTI new label]]</f>
        <v>0</v>
      </c>
      <c r="J132" s="65"/>
      <c r="K132" s="304">
        <f>Table22[[#This Row],[GAP under assessment]]</f>
        <v>0</v>
      </c>
      <c r="L132" s="304" t="str">
        <f>IF(input_values!$M132=0,"",input_values!$M132)</f>
        <v/>
      </c>
      <c r="M132" s="301" t="str">
        <f>IF(input_values!H132=0,"",input_values!H132)</f>
        <v/>
      </c>
      <c r="N132" s="304">
        <f>input_values!$K132</f>
        <v>0</v>
      </c>
      <c r="O132" s="309"/>
      <c r="P132" s="38"/>
      <c r="Q132" s="306"/>
      <c r="R132" s="309"/>
      <c r="S132" s="336" t="str">
        <f t="shared" si="14"/>
        <v/>
      </c>
      <c r="T132" s="342"/>
      <c r="U132" s="343"/>
      <c r="V132" s="342"/>
      <c r="W132" s="343"/>
      <c r="X132" s="611" t="str">
        <f>IF(V132="ND","ND",IF(S132="","",IF(OR(MID(C132,1,4)="milk",AND(MID(B132,1,2)="50",NOT(input_values!M132="Y")),AND(MID(B132,1,2)="40",NOT(input_values!M132="Y")),AND(MID(B132,1,2)="30",NOT(input_values!M132="Y"))),3,IF(OR(V132="&lt;25",B132&gt;1000000),1,IF((T132&gt;=S132),"2b","2a")))))</f>
        <v/>
      </c>
      <c r="Y132" s="38" t="str">
        <f>IF(X132="ND","ND",IF(S132="","",IF(input_values!K132&gt;0,input_values!K132,IF(OR(X132=1,X132=3),1,IF((V132&gt;250),5,7)))))</f>
        <v/>
      </c>
      <c r="Z132" s="335" t="str">
        <f t="shared" si="10"/>
        <v/>
      </c>
      <c r="AA132" s="311">
        <f t="shared" si="11"/>
        <v>0</v>
      </c>
      <c r="AB132" s="38" t="str">
        <f t="shared" si="15"/>
        <v/>
      </c>
      <c r="AC132" s="335" t="str">
        <f t="shared" si="16"/>
        <v/>
      </c>
      <c r="AD132" s="311">
        <f t="shared" si="12"/>
        <v>0</v>
      </c>
      <c r="AE132" s="344" t="str">
        <f t="shared" si="17"/>
        <v/>
      </c>
      <c r="AF132" s="344" t="str">
        <f t="shared" si="18"/>
        <v/>
      </c>
      <c r="AG132" s="561" t="str">
        <f t="shared" si="13"/>
        <v/>
      </c>
      <c r="AH132" s="561" t="str">
        <f t="shared" si="19"/>
        <v/>
      </c>
      <c r="AI132" s="576"/>
      <c r="AJ132" s="847"/>
    </row>
    <row r="133" spans="1:36" ht="12" customHeight="1" outlineLevel="3" x14ac:dyDescent="0.2">
      <c r="A133" s="39">
        <f>acute_overview_children!A133</f>
        <v>4</v>
      </c>
      <c r="B133" s="23">
        <f>acute_overview_children!B133</f>
        <v>232010</v>
      </c>
      <c r="C133" s="23" t="s">
        <v>211</v>
      </c>
      <c r="D133" s="300">
        <f>Table22[[#This Row],[Level used for acute calculation]]</f>
        <v>4</v>
      </c>
      <c r="E133" s="302">
        <f>Table22[[#This Row],[MRL individual commodity]]</f>
        <v>0</v>
      </c>
      <c r="F133" s="451">
        <f>Table22[[#This Row],[Acute RA input value]]</f>
        <v>0</v>
      </c>
      <c r="G133" s="301" t="str">
        <f>Table22[[#This Row],[Acute RA label]]</f>
        <v/>
      </c>
      <c r="H133" s="303">
        <f>Table22[[#This Row],[Acute RA IESTI new input value]]</f>
        <v>0</v>
      </c>
      <c r="I133" s="301" t="str">
        <f>Table22[[#This Row],[Acute RA IESTI new label]]</f>
        <v/>
      </c>
      <c r="J133" s="65"/>
      <c r="K133" s="304">
        <f>Table22[[#This Row],[GAP under assessment]]</f>
        <v>0</v>
      </c>
      <c r="L133" s="304" t="str">
        <f>IF(input_values!$M133=0,"",input_values!$M133)</f>
        <v/>
      </c>
      <c r="M133" s="301" t="str">
        <f>IF(input_values!H133=0,"",input_values!H133)</f>
        <v/>
      </c>
      <c r="N133" s="304">
        <f>input_values!$K133</f>
        <v>0</v>
      </c>
      <c r="O133" s="326">
        <v>5.5592705167173255</v>
      </c>
      <c r="P133" s="22" t="s">
        <v>328</v>
      </c>
      <c r="Q133" s="327" t="s">
        <v>99</v>
      </c>
      <c r="R133" s="326">
        <v>65.8</v>
      </c>
      <c r="S133" s="328">
        <f t="shared" si="14"/>
        <v>365.8</v>
      </c>
      <c r="T133" s="328">
        <v>378</v>
      </c>
      <c r="U133" s="326" t="s">
        <v>215</v>
      </c>
      <c r="V133" s="328">
        <v>420</v>
      </c>
      <c r="W133" s="326" t="s">
        <v>215</v>
      </c>
      <c r="X133" s="1464" t="str">
        <f>IF(V133="ND","ND",IF(S133="","",IF(OR(MID(C133,1,4)="milk",AND(MID(B133,1,2)="50",NOT(input_values!M133="Y")),AND(MID(B133,1,2)="40",NOT(input_values!M133="Y")),AND(MID(B133,1,2)="30",NOT(input_values!M133="Y"))),3,IF(OR(V133="&lt;25",B133&gt;1000000),1,IF((T133&gt;=S133),"2b","2a")))))</f>
        <v>2b</v>
      </c>
      <c r="Y133" s="22">
        <f>IF(X133="ND","ND",IF(S133="","",IF(input_values!K133&gt;0,input_values!K133,IF(OR(X133=1,X133=3),1,IF((V133&gt;250),5,7)))))</f>
        <v>5</v>
      </c>
      <c r="Z133" s="330" t="str">
        <f t="shared" si="10"/>
        <v/>
      </c>
      <c r="AA133" s="331">
        <f t="shared" si="11"/>
        <v>0</v>
      </c>
      <c r="AB133" s="128">
        <f t="shared" si="15"/>
        <v>3</v>
      </c>
      <c r="AC133" s="330" t="str">
        <f t="shared" si="16"/>
        <v/>
      </c>
      <c r="AD133" s="332">
        <f t="shared" si="12"/>
        <v>0</v>
      </c>
      <c r="AE133" s="333" t="str">
        <f t="shared" si="17"/>
        <v/>
      </c>
      <c r="AF133" s="333" t="str">
        <f t="shared" si="18"/>
        <v/>
      </c>
      <c r="AG133" s="561" t="str">
        <f t="shared" si="13"/>
        <v/>
      </c>
      <c r="AH133" s="561" t="str">
        <f t="shared" si="19"/>
        <v/>
      </c>
      <c r="AI133" s="576"/>
      <c r="AJ133" s="847"/>
    </row>
    <row r="134" spans="1:36" ht="12" customHeight="1" outlineLevel="3" x14ac:dyDescent="0.2">
      <c r="A134" s="39">
        <f>acute_overview_children!A134</f>
        <v>4</v>
      </c>
      <c r="B134" s="23">
        <f>acute_overview_children!B134</f>
        <v>232020</v>
      </c>
      <c r="C134" s="23" t="s">
        <v>245</v>
      </c>
      <c r="D134" s="300">
        <f>Table22[[#This Row],[Level used for acute calculation]]</f>
        <v>4</v>
      </c>
      <c r="E134" s="302">
        <f>Table22[[#This Row],[MRL individual commodity]]</f>
        <v>0</v>
      </c>
      <c r="F134" s="451">
        <f>Table22[[#This Row],[Acute RA input value]]</f>
        <v>0</v>
      </c>
      <c r="G134" s="301" t="str">
        <f>Table22[[#This Row],[Acute RA label]]</f>
        <v/>
      </c>
      <c r="H134" s="303">
        <f>Table22[[#This Row],[Acute RA IESTI new input value]]</f>
        <v>0</v>
      </c>
      <c r="I134" s="301" t="str">
        <f>Table22[[#This Row],[Acute RA IESTI new label]]</f>
        <v/>
      </c>
      <c r="J134" s="65"/>
      <c r="K134" s="304">
        <f>Table22[[#This Row],[GAP under assessment]]</f>
        <v>0</v>
      </c>
      <c r="L134" s="304" t="str">
        <f>IF(input_values!$M134=0,"",input_values!$M134)</f>
        <v/>
      </c>
      <c r="M134" s="301" t="str">
        <f>IF(input_values!H134=0,"",input_values!H134)</f>
        <v/>
      </c>
      <c r="N134" s="304">
        <f>input_values!$K134</f>
        <v>0</v>
      </c>
      <c r="O134" s="326">
        <v>2.65</v>
      </c>
      <c r="P134" s="22">
        <v>97.5</v>
      </c>
      <c r="Q134" s="327" t="s">
        <v>334</v>
      </c>
      <c r="R134" s="326">
        <v>67.47</v>
      </c>
      <c r="S134" s="328">
        <f t="shared" si="14"/>
        <v>178.7955</v>
      </c>
      <c r="T134" s="328">
        <v>38.299999999999997</v>
      </c>
      <c r="U134" s="326" t="s">
        <v>90</v>
      </c>
      <c r="V134" s="328">
        <v>38.299999999999997</v>
      </c>
      <c r="W134" s="326" t="s">
        <v>90</v>
      </c>
      <c r="X134" s="1464" t="str">
        <f>IF(V134="ND","ND",IF(S134="","",IF(OR(MID(C134,1,4)="milk",AND(MID(B134,1,2)="50",NOT(input_values!M134="Y")),AND(MID(B134,1,2)="40",NOT(input_values!M134="Y")),AND(MID(B134,1,2)="30",NOT(input_values!M134="Y"))),3,IF(OR(V134="&lt;25",B134&gt;1000000),1,IF((T134&gt;=S134),"2b","2a")))))</f>
        <v>2a</v>
      </c>
      <c r="Y134" s="22">
        <f>IF(X134="ND","ND",IF(S134="","",IF(input_values!K134&gt;0,input_values!K134,IF(OR(X134=1,X134=3),1,IF((V134&gt;250),5,7)))))</f>
        <v>7</v>
      </c>
      <c r="Z134" s="330" t="str">
        <f t="shared" si="10"/>
        <v/>
      </c>
      <c r="AA134" s="331">
        <f t="shared" si="11"/>
        <v>0</v>
      </c>
      <c r="AB134" s="128">
        <f t="shared" si="15"/>
        <v>3</v>
      </c>
      <c r="AC134" s="330" t="str">
        <f t="shared" si="16"/>
        <v/>
      </c>
      <c r="AD134" s="332">
        <f t="shared" si="12"/>
        <v>0</v>
      </c>
      <c r="AE134" s="333" t="str">
        <f t="shared" si="17"/>
        <v/>
      </c>
      <c r="AF134" s="333" t="str">
        <f t="shared" si="18"/>
        <v/>
      </c>
      <c r="AG134" s="561" t="str">
        <f t="shared" si="13"/>
        <v/>
      </c>
      <c r="AH134" s="561" t="str">
        <f t="shared" si="19"/>
        <v/>
      </c>
      <c r="AI134" s="576"/>
      <c r="AJ134" s="847"/>
    </row>
    <row r="135" spans="1:36" ht="12" customHeight="1" outlineLevel="3" x14ac:dyDescent="0.2">
      <c r="A135" s="39">
        <f>acute_overview_children!A135</f>
        <v>4</v>
      </c>
      <c r="B135" s="23">
        <f>acute_overview_children!B135</f>
        <v>232030</v>
      </c>
      <c r="C135" s="23" t="s">
        <v>246</v>
      </c>
      <c r="D135" s="300">
        <f>Table22[[#This Row],[Level used for acute calculation]]</f>
        <v>4</v>
      </c>
      <c r="E135" s="302">
        <f>Table22[[#This Row],[MRL individual commodity]]</f>
        <v>0</v>
      </c>
      <c r="F135" s="451">
        <f>Table22[[#This Row],[Acute RA input value]]</f>
        <v>0</v>
      </c>
      <c r="G135" s="301" t="str">
        <f>Table22[[#This Row],[Acute RA label]]</f>
        <v/>
      </c>
      <c r="H135" s="303">
        <f>Table22[[#This Row],[Acute RA IESTI new input value]]</f>
        <v>0</v>
      </c>
      <c r="I135" s="301" t="str">
        <f>Table22[[#This Row],[Acute RA IESTI new label]]</f>
        <v/>
      </c>
      <c r="J135" s="65"/>
      <c r="K135" s="304">
        <f>Table22[[#This Row],[GAP under assessment]]</f>
        <v>0</v>
      </c>
      <c r="L135" s="304" t="str">
        <f>IF(input_values!$M135=0,"",input_values!$M135)</f>
        <v/>
      </c>
      <c r="M135" s="301" t="str">
        <f>IF(input_values!H135=0,"",input_values!H135)</f>
        <v/>
      </c>
      <c r="N135" s="304">
        <f>input_values!$K135</f>
        <v>0</v>
      </c>
      <c r="O135" s="326">
        <v>3.99</v>
      </c>
      <c r="P135" s="22">
        <v>97.5</v>
      </c>
      <c r="Q135" s="327" t="s">
        <v>313</v>
      </c>
      <c r="R135" s="326">
        <v>66.400000000000006</v>
      </c>
      <c r="S135" s="328">
        <f t="shared" si="14"/>
        <v>264.93600000000004</v>
      </c>
      <c r="T135" s="328">
        <v>213.5212657142857</v>
      </c>
      <c r="U135" s="326" t="s">
        <v>90</v>
      </c>
      <c r="V135" s="328">
        <v>232.67798672287822</v>
      </c>
      <c r="W135" s="326" t="s">
        <v>90</v>
      </c>
      <c r="X135" s="1464" t="str">
        <f>IF(V135="ND","ND",IF(S135="","",IF(OR(MID(C135,1,4)="milk",AND(MID(B135,1,2)="50",NOT(input_values!M135="Y")),AND(MID(B135,1,2)="40",NOT(input_values!M135="Y")),AND(MID(B135,1,2)="30",NOT(input_values!M135="Y"))),3,IF(OR(V135="&lt;25",B135&gt;1000000),1,IF((T135&gt;=S135),"2b","2a")))))</f>
        <v>2a</v>
      </c>
      <c r="Y135" s="22">
        <f>IF(X135="ND","ND",IF(S135="","",IF(input_values!K135&gt;0,input_values!K135,IF(OR(X135=1,X135=3),1,IF((V135&gt;250),5,7)))))</f>
        <v>7</v>
      </c>
      <c r="Z135" s="330" t="str">
        <f t="shared" si="10"/>
        <v/>
      </c>
      <c r="AA135" s="331">
        <f t="shared" si="11"/>
        <v>0</v>
      </c>
      <c r="AB135" s="128">
        <f t="shared" si="15"/>
        <v>3</v>
      </c>
      <c r="AC135" s="330" t="str">
        <f t="shared" si="16"/>
        <v/>
      </c>
      <c r="AD135" s="332">
        <f t="shared" si="12"/>
        <v>0</v>
      </c>
      <c r="AE135" s="333" t="str">
        <f t="shared" si="17"/>
        <v/>
      </c>
      <c r="AF135" s="333" t="str">
        <f t="shared" si="18"/>
        <v/>
      </c>
      <c r="AG135" s="561" t="str">
        <f t="shared" si="13"/>
        <v/>
      </c>
      <c r="AH135" s="561" t="str">
        <f t="shared" si="19"/>
        <v/>
      </c>
      <c r="AI135" s="576"/>
      <c r="AJ135" s="847"/>
    </row>
    <row r="136" spans="1:36" ht="12" customHeight="1" outlineLevel="3" x14ac:dyDescent="0.2">
      <c r="A136" s="39">
        <f>acute_overview_children!A136</f>
        <v>4</v>
      </c>
      <c r="B136" s="23">
        <f>acute_overview_children!B136</f>
        <v>232990</v>
      </c>
      <c r="C136" s="23" t="s">
        <v>167</v>
      </c>
      <c r="D136" s="300">
        <f>Table22[[#This Row],[Level used for acute calculation]]</f>
        <v>0</v>
      </c>
      <c r="E136" s="302">
        <f>Table22[[#This Row],[MRL individual commodity]]</f>
        <v>0</v>
      </c>
      <c r="F136" s="451">
        <f>Table22[[#This Row],[Acute RA input value]]</f>
        <v>0</v>
      </c>
      <c r="G136" s="301">
        <f>Table22[[#This Row],[Acute RA label]]</f>
        <v>0</v>
      </c>
      <c r="H136" s="303">
        <f>Table22[[#This Row],[Acute RA IESTI new input value]]</f>
        <v>0</v>
      </c>
      <c r="I136" s="301">
        <f>Table22[[#This Row],[Acute RA IESTI new label]]</f>
        <v>0</v>
      </c>
      <c r="J136" s="65"/>
      <c r="K136" s="304">
        <f>Table22[[#This Row],[GAP under assessment]]</f>
        <v>0</v>
      </c>
      <c r="L136" s="304" t="str">
        <f>IF(input_values!$M136=0,"",input_values!$M136)</f>
        <v/>
      </c>
      <c r="M136" s="301" t="str">
        <f>IF(input_values!H136=0,"",input_values!H136)</f>
        <v/>
      </c>
      <c r="N136" s="304">
        <f>input_values!$K136</f>
        <v>0</v>
      </c>
      <c r="O136" s="309"/>
      <c r="P136" s="38"/>
      <c r="Q136" s="306"/>
      <c r="R136" s="309"/>
      <c r="S136" s="336" t="str">
        <f t="shared" si="14"/>
        <v/>
      </c>
      <c r="T136" s="305"/>
      <c r="U136" s="309"/>
      <c r="V136" s="305"/>
      <c r="W136" s="309"/>
      <c r="X136" s="611" t="str">
        <f>IF(V136="ND","ND",IF(S136="","",IF(OR(MID(C136,1,4)="milk",AND(MID(B136,1,2)="50",NOT(input_values!M136="Y")),AND(MID(B136,1,2)="40",NOT(input_values!M136="Y")),AND(MID(B136,1,2)="30",NOT(input_values!M136="Y"))),3,IF(OR(V136="&lt;25",B136&gt;1000000),1,IF((T136&gt;=S136),"2b","2a")))))</f>
        <v/>
      </c>
      <c r="Y136" s="38" t="str">
        <f>IF(X136="ND","ND",IF(S136="","",IF(input_values!K136&gt;0,input_values!K136,IF(OR(X136=1,X136=3),1,IF((V136&gt;250),5,7)))))</f>
        <v/>
      </c>
      <c r="Z136" s="335" t="str">
        <f t="shared" si="10"/>
        <v/>
      </c>
      <c r="AA136" s="311">
        <f t="shared" si="11"/>
        <v>0</v>
      </c>
      <c r="AB136" s="38" t="str">
        <f t="shared" si="15"/>
        <v/>
      </c>
      <c r="AC136" s="335" t="str">
        <f t="shared" si="16"/>
        <v/>
      </c>
      <c r="AD136" s="311">
        <f t="shared" si="12"/>
        <v>0</v>
      </c>
      <c r="AE136" s="344" t="str">
        <f t="shared" si="17"/>
        <v/>
      </c>
      <c r="AF136" s="344" t="str">
        <f t="shared" si="18"/>
        <v/>
      </c>
      <c r="AG136" s="561" t="str">
        <f t="shared" si="13"/>
        <v/>
      </c>
      <c r="AH136" s="561" t="str">
        <f t="shared" si="19"/>
        <v/>
      </c>
      <c r="AI136" s="576"/>
      <c r="AJ136" s="847"/>
    </row>
    <row r="137" spans="1:36" outlineLevel="2" x14ac:dyDescent="0.2">
      <c r="A137" s="132">
        <f>acute_overview_children!A137</f>
        <v>3</v>
      </c>
      <c r="B137" s="3">
        <f>acute_overview_children!B137</f>
        <v>233000</v>
      </c>
      <c r="C137" s="3" t="s">
        <v>168</v>
      </c>
      <c r="D137" s="300">
        <f>Table22[[#This Row],[Level used for acute calculation]]</f>
        <v>4</v>
      </c>
      <c r="E137" s="302">
        <f>Table22[[#This Row],[MRL individual commodity]]</f>
        <v>0</v>
      </c>
      <c r="F137" s="451">
        <f>Table22[[#This Row],[Acute RA input value]]</f>
        <v>0</v>
      </c>
      <c r="G137" s="301">
        <f>Table22[[#This Row],[Acute RA label]]</f>
        <v>0</v>
      </c>
      <c r="H137" s="303">
        <f>Table22[[#This Row],[Acute RA IESTI new input value]]</f>
        <v>0</v>
      </c>
      <c r="I137" s="301">
        <f>Table22[[#This Row],[Acute RA IESTI new label]]</f>
        <v>0</v>
      </c>
      <c r="J137" s="65"/>
      <c r="K137" s="304">
        <f>Table22[[#This Row],[GAP under assessment]]</f>
        <v>0</v>
      </c>
      <c r="L137" s="304" t="str">
        <f>IF(input_values!$M137=0,"",input_values!$M137)</f>
        <v/>
      </c>
      <c r="M137" s="301" t="str">
        <f>IF(input_values!H137=0,"",input_values!H137)</f>
        <v/>
      </c>
      <c r="N137" s="304">
        <f>input_values!$K137</f>
        <v>0</v>
      </c>
      <c r="O137" s="309"/>
      <c r="P137" s="38"/>
      <c r="Q137" s="306"/>
      <c r="R137" s="309"/>
      <c r="S137" s="336" t="str">
        <f t="shared" si="14"/>
        <v/>
      </c>
      <c r="T137" s="342"/>
      <c r="U137" s="343"/>
      <c r="V137" s="342"/>
      <c r="W137" s="343"/>
      <c r="X137" s="611" t="str">
        <f>IF(V137="ND","ND",IF(S137="","",IF(OR(MID(C137,1,4)="milk",AND(MID(B137,1,2)="50",NOT(input_values!M137="Y")),AND(MID(B137,1,2)="40",NOT(input_values!M137="Y")),AND(MID(B137,1,2)="30",NOT(input_values!M137="Y"))),3,IF(OR(V137="&lt;25",B137&gt;1000000),1,IF((T137&gt;=S137),"2b","2a")))))</f>
        <v/>
      </c>
      <c r="Y137" s="38" t="str">
        <f>IF(X137="ND","ND",IF(S137="","",IF(input_values!K137&gt;0,input_values!K137,IF(OR(X137=1,X137=3),1,IF((V137&gt;250),5,7)))))</f>
        <v/>
      </c>
      <c r="Z137" s="335" t="str">
        <f t="shared" si="10"/>
        <v/>
      </c>
      <c r="AA137" s="311">
        <f t="shared" si="11"/>
        <v>0</v>
      </c>
      <c r="AB137" s="38" t="str">
        <f t="shared" si="15"/>
        <v/>
      </c>
      <c r="AC137" s="335" t="str">
        <f t="shared" si="16"/>
        <v/>
      </c>
      <c r="AD137" s="311">
        <f t="shared" si="12"/>
        <v>0</v>
      </c>
      <c r="AE137" s="344" t="str">
        <f t="shared" si="17"/>
        <v/>
      </c>
      <c r="AF137" s="344" t="str">
        <f t="shared" si="18"/>
        <v/>
      </c>
      <c r="AG137" s="561" t="str">
        <f t="shared" si="13"/>
        <v/>
      </c>
      <c r="AH137" s="561" t="str">
        <f t="shared" si="19"/>
        <v/>
      </c>
      <c r="AI137" s="576"/>
      <c r="AJ137" s="847"/>
    </row>
    <row r="138" spans="1:36" ht="12" customHeight="1" outlineLevel="3" x14ac:dyDescent="0.2">
      <c r="A138" s="39">
        <f>acute_overview_children!A138</f>
        <v>4</v>
      </c>
      <c r="B138" s="23">
        <f>acute_overview_children!B138</f>
        <v>233010</v>
      </c>
      <c r="C138" s="23" t="s">
        <v>247</v>
      </c>
      <c r="D138" s="300">
        <f>Table22[[#This Row],[Level used for acute calculation]]</f>
        <v>4</v>
      </c>
      <c r="E138" s="302">
        <f>Table22[[#This Row],[MRL individual commodity]]</f>
        <v>0</v>
      </c>
      <c r="F138" s="451">
        <f>Table22[[#This Row],[Acute RA input value]]</f>
        <v>0</v>
      </c>
      <c r="G138" s="301" t="str">
        <f>Table22[[#This Row],[Acute RA label]]</f>
        <v/>
      </c>
      <c r="H138" s="303">
        <f>Table22[[#This Row],[Acute RA IESTI new input value]]</f>
        <v>0</v>
      </c>
      <c r="I138" s="301" t="str">
        <f>Table22[[#This Row],[Acute RA IESTI new label]]</f>
        <v/>
      </c>
      <c r="J138" s="65"/>
      <c r="K138" s="304">
        <f>Table22[[#This Row],[GAP under assessment]]</f>
        <v>0</v>
      </c>
      <c r="L138" s="304" t="str">
        <f>IF(input_values!$M138=0,"",input_values!$M138)</f>
        <v/>
      </c>
      <c r="M138" s="301" t="str">
        <f>IF(input_values!H138=0,"",input_values!H138)</f>
        <v/>
      </c>
      <c r="N138" s="304">
        <f>input_values!$K138</f>
        <v>0</v>
      </c>
      <c r="O138" s="326">
        <v>7.8369905956112857</v>
      </c>
      <c r="P138" s="22">
        <v>97.5</v>
      </c>
      <c r="Q138" s="327" t="s">
        <v>100</v>
      </c>
      <c r="R138" s="326">
        <v>63.8</v>
      </c>
      <c r="S138" s="328">
        <f t="shared" si="14"/>
        <v>500</v>
      </c>
      <c r="T138" s="328">
        <v>552</v>
      </c>
      <c r="U138" s="326" t="s">
        <v>45</v>
      </c>
      <c r="V138" s="328">
        <v>552</v>
      </c>
      <c r="W138" s="326" t="s">
        <v>45</v>
      </c>
      <c r="X138" s="1464" t="str">
        <f>IF(V138="ND","ND",IF(S138="","",IF(OR(MID(C138,1,4)="milk",AND(MID(B138,1,2)="50",NOT(input_values!M138="Y")),AND(MID(B138,1,2)="40",NOT(input_values!M138="Y")),AND(MID(B138,1,2)="30",NOT(input_values!M138="Y"))),3,IF(OR(V138="&lt;25",B138&gt;1000000),1,IF((T138&gt;=S138),"2b","2a")))))</f>
        <v>2b</v>
      </c>
      <c r="Y138" s="22">
        <f>IF(X138="ND","ND",IF(S138="","",IF(input_values!K138&gt;0,input_values!K138,IF(OR(X138=1,X138=3),1,IF((V138&gt;250),5,7)))))</f>
        <v>5</v>
      </c>
      <c r="Z138" s="330" t="str">
        <f t="shared" si="10"/>
        <v/>
      </c>
      <c r="AA138" s="331">
        <f t="shared" si="11"/>
        <v>0</v>
      </c>
      <c r="AB138" s="128">
        <f t="shared" si="15"/>
        <v>3</v>
      </c>
      <c r="AC138" s="330" t="str">
        <f t="shared" si="16"/>
        <v/>
      </c>
      <c r="AD138" s="332">
        <f t="shared" si="12"/>
        <v>0</v>
      </c>
      <c r="AE138" s="333" t="str">
        <f t="shared" si="17"/>
        <v/>
      </c>
      <c r="AF138" s="333" t="str">
        <f t="shared" si="18"/>
        <v/>
      </c>
      <c r="AG138" s="561" t="str">
        <f t="shared" si="13"/>
        <v/>
      </c>
      <c r="AH138" s="561" t="str">
        <f t="shared" si="19"/>
        <v/>
      </c>
      <c r="AI138" s="576"/>
      <c r="AJ138" s="847"/>
    </row>
    <row r="139" spans="1:36" ht="12" customHeight="1" outlineLevel="3" x14ac:dyDescent="0.2">
      <c r="A139" s="39">
        <f>acute_overview_children!A139</f>
        <v>4</v>
      </c>
      <c r="B139" s="23">
        <f>acute_overview_children!B139</f>
        <v>233020</v>
      </c>
      <c r="C139" s="23" t="s">
        <v>248</v>
      </c>
      <c r="D139" s="300">
        <f>Table22[[#This Row],[Level used for acute calculation]]</f>
        <v>4</v>
      </c>
      <c r="E139" s="302">
        <f>Table22[[#This Row],[MRL individual commodity]]</f>
        <v>0</v>
      </c>
      <c r="F139" s="451">
        <f>Table22[[#This Row],[Acute RA input value]]</f>
        <v>0</v>
      </c>
      <c r="G139" s="301" t="str">
        <f>Table22[[#This Row],[Acute RA label]]</f>
        <v/>
      </c>
      <c r="H139" s="303">
        <f>Table22[[#This Row],[Acute RA IESTI new input value]]</f>
        <v>0</v>
      </c>
      <c r="I139" s="301" t="str">
        <f>Table22[[#This Row],[Acute RA IESTI new label]]</f>
        <v/>
      </c>
      <c r="J139" s="65"/>
      <c r="K139" s="304">
        <f>Table22[[#This Row],[GAP under assessment]]</f>
        <v>0</v>
      </c>
      <c r="L139" s="304" t="str">
        <f>IF(input_values!$M139=0,"",input_values!$M139)</f>
        <v/>
      </c>
      <c r="M139" s="301" t="str">
        <f>IF(input_values!H139=0,"",input_values!H139)</f>
        <v/>
      </c>
      <c r="N139" s="304">
        <f>input_values!$K139</f>
        <v>0</v>
      </c>
      <c r="O139" s="326">
        <v>2.94</v>
      </c>
      <c r="P139" s="22">
        <v>97.5</v>
      </c>
      <c r="Q139" s="327" t="s">
        <v>105</v>
      </c>
      <c r="R139" s="326">
        <v>76</v>
      </c>
      <c r="S139" s="328">
        <f t="shared" si="14"/>
        <v>223.44</v>
      </c>
      <c r="T139" s="328">
        <v>672.3275000000001</v>
      </c>
      <c r="U139" s="326" t="s">
        <v>90</v>
      </c>
      <c r="V139" s="328">
        <v>950.82758620689651</v>
      </c>
      <c r="W139" s="326" t="s">
        <v>90</v>
      </c>
      <c r="X139" s="1464" t="str">
        <f>IF(V139="ND","ND",IF(S139="","",IF(OR(MID(C139,1,4)="milk",AND(MID(B139,1,2)="50",NOT(input_values!M139="Y")),AND(MID(B139,1,2)="40",NOT(input_values!M139="Y")),AND(MID(B139,1,2)="30",NOT(input_values!M139="Y"))),3,IF(OR(V139="&lt;25",B139&gt;1000000),1,IF((T139&gt;=S139),"2b","2a")))))</f>
        <v>2b</v>
      </c>
      <c r="Y139" s="22">
        <f>IF(X139="ND","ND",IF(S139="","",IF(input_values!K139&gt;0,input_values!K139,IF(OR(X139=1,X139=3),1,IF((V139&gt;250),5,7)))))</f>
        <v>5</v>
      </c>
      <c r="Z139" s="330" t="str">
        <f t="shared" si="10"/>
        <v/>
      </c>
      <c r="AA139" s="331">
        <f t="shared" si="11"/>
        <v>0</v>
      </c>
      <c r="AB139" s="128">
        <f t="shared" si="15"/>
        <v>3</v>
      </c>
      <c r="AC139" s="330" t="str">
        <f t="shared" si="16"/>
        <v/>
      </c>
      <c r="AD139" s="332">
        <f t="shared" si="12"/>
        <v>0</v>
      </c>
      <c r="AE139" s="333" t="str">
        <f t="shared" si="17"/>
        <v/>
      </c>
      <c r="AF139" s="333" t="str">
        <f t="shared" si="18"/>
        <v/>
      </c>
      <c r="AG139" s="561" t="str">
        <f t="shared" si="13"/>
        <v/>
      </c>
      <c r="AH139" s="561" t="str">
        <f t="shared" si="19"/>
        <v/>
      </c>
      <c r="AI139" s="576"/>
      <c r="AJ139" s="847"/>
    </row>
    <row r="140" spans="1:36" ht="12" customHeight="1" outlineLevel="3" x14ac:dyDescent="0.2">
      <c r="A140" s="39">
        <f>acute_overview_children!A140</f>
        <v>4</v>
      </c>
      <c r="B140" s="23">
        <f>acute_overview_children!B140</f>
        <v>233030</v>
      </c>
      <c r="C140" s="23" t="s">
        <v>249</v>
      </c>
      <c r="D140" s="300">
        <f>Table22[[#This Row],[Level used for acute calculation]]</f>
        <v>4</v>
      </c>
      <c r="E140" s="302">
        <f>Table22[[#This Row],[MRL individual commodity]]</f>
        <v>0</v>
      </c>
      <c r="F140" s="451">
        <f>Table22[[#This Row],[Acute RA input value]]</f>
        <v>0</v>
      </c>
      <c r="G140" s="301" t="str">
        <f>Table22[[#This Row],[Acute RA label]]</f>
        <v/>
      </c>
      <c r="H140" s="303">
        <f>Table22[[#This Row],[Acute RA IESTI new input value]]</f>
        <v>0</v>
      </c>
      <c r="I140" s="301" t="str">
        <f>Table22[[#This Row],[Acute RA IESTI new label]]</f>
        <v/>
      </c>
      <c r="J140" s="65"/>
      <c r="K140" s="304">
        <f>Table22[[#This Row],[GAP under assessment]]</f>
        <v>0</v>
      </c>
      <c r="L140" s="304" t="str">
        <f>IF(input_values!$M140=0,"",input_values!$M140)</f>
        <v/>
      </c>
      <c r="M140" s="301" t="str">
        <f>IF(input_values!H140=0,"",input_values!H140)</f>
        <v/>
      </c>
      <c r="N140" s="304">
        <f>input_values!$K140</f>
        <v>0</v>
      </c>
      <c r="O140" s="326">
        <v>8.1203007518797001</v>
      </c>
      <c r="P140" s="22">
        <v>97.5</v>
      </c>
      <c r="Q140" s="327" t="s">
        <v>244</v>
      </c>
      <c r="R140" s="326">
        <v>66.5</v>
      </c>
      <c r="S140" s="328">
        <f t="shared" si="14"/>
        <v>540.00000000000011</v>
      </c>
      <c r="T140" s="328">
        <v>757</v>
      </c>
      <c r="U140" s="326" t="s">
        <v>90</v>
      </c>
      <c r="V140" s="328">
        <v>1376.8595041322315</v>
      </c>
      <c r="W140" s="326" t="s">
        <v>90</v>
      </c>
      <c r="X140" s="1464" t="str">
        <f>IF(V140="ND","ND",IF(S140="","",IF(OR(MID(C140,1,4)="milk",AND(MID(B140,1,2)="50",NOT(input_values!M140="Y")),AND(MID(B140,1,2)="40",NOT(input_values!M140="Y")),AND(MID(B140,1,2)="30",NOT(input_values!M140="Y"))),3,IF(OR(V140="&lt;25",B140&gt;1000000),1,IF((T140&gt;=S140),"2b","2a")))))</f>
        <v>2b</v>
      </c>
      <c r="Y140" s="22">
        <f>IF(X140="ND","ND",IF(S140="","",IF(input_values!K140&gt;0,input_values!K140,IF(OR(X140=1,X140=3),1,IF((V140&gt;250),5,7)))))</f>
        <v>5</v>
      </c>
      <c r="Z140" s="330" t="str">
        <f t="shared" ref="Z140:Z203" si="20">IF(OR(ISTEXT(F140),F140=0),"",IF(OR(S140="ND",T140="ND"),"ND",IF(($X140="2a"),1/$R140*(($F140*$T140/1000*$Y140)+($F140*($S140-$T140)/1000)),IF(($X140="2b"),1/$R140*($F140*$S140/1000*$Y140),1/$R140*($F140*$S140/1000)))))</f>
        <v/>
      </c>
      <c r="AA140" s="331">
        <f t="shared" ref="AA140:AA203" si="21">IF(OR(ISTEXT(F140),F140=0),0,IF($C$5="not necessary","no acuteRA",IF(Z140="ND","no acute RA",Z140/$C$5)))</f>
        <v>0</v>
      </c>
      <c r="AB140" s="128">
        <f t="shared" si="15"/>
        <v>3</v>
      </c>
      <c r="AC140" s="330" t="str">
        <f t="shared" si="16"/>
        <v/>
      </c>
      <c r="AD140" s="332">
        <f t="shared" ref="AD140:AD203" si="22">IF(OR(ISTEXT(H140),H140=0,S140=0),0,IF($C$5="not necessary","no acute RA",IF(AC140="ND","no acute RA",AC140/$C$5)))</f>
        <v>0</v>
      </c>
      <c r="AE140" s="333" t="str">
        <f t="shared" si="17"/>
        <v/>
      </c>
      <c r="AF140" s="333" t="str">
        <f t="shared" si="18"/>
        <v/>
      </c>
      <c r="AG140" s="561" t="str">
        <f t="shared" ref="AG140:AG203" si="23">IF(OR(Z140=0,Z140="ND",Z140="",$C$5="not necessary"),"",IF(X140="2a",1000*$C$5*R140/(T140*Y140+S140-T140),IF(X140="2b",1000*$C$5*R140/S140/Y140,IF(OR(X140=1,X140=3),1000*$C$5*R140/S140,""))))</f>
        <v/>
      </c>
      <c r="AH140" s="561" t="str">
        <f t="shared" si="19"/>
        <v/>
      </c>
      <c r="AI140" s="576"/>
      <c r="AJ140" s="847"/>
    </row>
    <row r="141" spans="1:36" ht="12" customHeight="1" outlineLevel="3" x14ac:dyDescent="0.2">
      <c r="A141" s="39">
        <f>acute_overview_children!A141</f>
        <v>4</v>
      </c>
      <c r="B141" s="23">
        <f>acute_overview_children!B141</f>
        <v>233990</v>
      </c>
      <c r="C141" s="23" t="s">
        <v>169</v>
      </c>
      <c r="D141" s="300">
        <f>Table22[[#This Row],[Level used for acute calculation]]</f>
        <v>0</v>
      </c>
      <c r="E141" s="302">
        <f>Table22[[#This Row],[MRL individual commodity]]</f>
        <v>0</v>
      </c>
      <c r="F141" s="451">
        <f>Table22[[#This Row],[Acute RA input value]]</f>
        <v>0</v>
      </c>
      <c r="G141" s="301">
        <f>Table22[[#This Row],[Acute RA label]]</f>
        <v>0</v>
      </c>
      <c r="H141" s="303">
        <f>Table22[[#This Row],[Acute RA IESTI new input value]]</f>
        <v>0</v>
      </c>
      <c r="I141" s="301">
        <f>Table22[[#This Row],[Acute RA IESTI new label]]</f>
        <v>0</v>
      </c>
      <c r="J141" s="65"/>
      <c r="K141" s="304">
        <f>Table22[[#This Row],[GAP under assessment]]</f>
        <v>0</v>
      </c>
      <c r="L141" s="304" t="str">
        <f>IF(input_values!$M141=0,"",input_values!$M141)</f>
        <v/>
      </c>
      <c r="M141" s="301" t="str">
        <f>IF(input_values!H141=0,"",input_values!H141)</f>
        <v/>
      </c>
      <c r="N141" s="304">
        <f>input_values!$K141</f>
        <v>0</v>
      </c>
      <c r="O141" s="309"/>
      <c r="P141" s="38"/>
      <c r="Q141" s="306"/>
      <c r="R141" s="309"/>
      <c r="S141" s="336" t="str">
        <f t="shared" ref="S141:S204" si="24">IF(O141="ND","ND",IF(O141="","",O141*R141))</f>
        <v/>
      </c>
      <c r="T141" s="305"/>
      <c r="U141" s="309"/>
      <c r="V141" s="305"/>
      <c r="W141" s="309"/>
      <c r="X141" s="611" t="str">
        <f>IF(V141="ND","ND",IF(S141="","",IF(OR(MID(C141,1,4)="milk",AND(MID(B141,1,2)="50",NOT(input_values!M141="Y")),AND(MID(B141,1,2)="40",NOT(input_values!M141="Y")),AND(MID(B141,1,2)="30",NOT(input_values!M141="Y"))),3,IF(OR(V141="&lt;25",B141&gt;1000000),1,IF((T141&gt;=S141),"2b","2a")))))</f>
        <v/>
      </c>
      <c r="Y141" s="38" t="str">
        <f>IF(X141="ND","ND",IF(S141="","",IF(input_values!K141&gt;0,input_values!K141,IF(OR(X141=1,X141=3),1,IF((V141&gt;250),5,7)))))</f>
        <v/>
      </c>
      <c r="Z141" s="335" t="str">
        <f t="shared" si="20"/>
        <v/>
      </c>
      <c r="AA141" s="311">
        <f t="shared" si="21"/>
        <v>0</v>
      </c>
      <c r="AB141" s="38" t="str">
        <f t="shared" ref="AB141:AB204" si="25">IF(OR(Y141=5,Y141=7,N141&gt;3),3,Y141)</f>
        <v/>
      </c>
      <c r="AC141" s="335" t="str">
        <f t="shared" ref="AC141:AC204" si="26">IF(OR(ISTEXT(H141),H141=0),"",IF(OR(S141="ND",T141="ND"),"ND",1/$R141*($H141*$S141*AB141/1000)))</f>
        <v/>
      </c>
      <c r="AD141" s="311">
        <f t="shared" si="22"/>
        <v>0</v>
      </c>
      <c r="AE141" s="344" t="str">
        <f t="shared" ref="AE141:AE204" si="27">IF(AA141&gt;=1,AG141,"")</f>
        <v/>
      </c>
      <c r="AF141" s="344" t="str">
        <f t="shared" ref="AF141:AF204" si="28">IF(AD141&gt;=1,AH141,"")</f>
        <v/>
      </c>
      <c r="AG141" s="561" t="str">
        <f t="shared" si="23"/>
        <v/>
      </c>
      <c r="AH141" s="561" t="str">
        <f t="shared" ref="AH141:AH204" si="29">IF(OR(AC141=0,AC141="ND",AC141="",$C$5="not necessary"),"",1000*$C$5*R141/S141/AB141)</f>
        <v/>
      </c>
      <c r="AI141" s="576"/>
      <c r="AJ141" s="847"/>
    </row>
    <row r="142" spans="1:36" ht="24" outlineLevel="2" x14ac:dyDescent="0.2">
      <c r="A142" s="132">
        <f>acute_overview_children!A142</f>
        <v>3</v>
      </c>
      <c r="B142" s="3">
        <f>acute_overview_children!B142</f>
        <v>234000</v>
      </c>
      <c r="C142" s="3" t="s">
        <v>228</v>
      </c>
      <c r="D142" s="300">
        <f>Table22[[#This Row],[Level used for acute calculation]]</f>
        <v>3</v>
      </c>
      <c r="E142" s="302">
        <f>Table22[[#This Row],[MRL individual commodity]]</f>
        <v>0</v>
      </c>
      <c r="F142" s="451">
        <f>Table22[[#This Row],[Acute RA input value]]</f>
        <v>0</v>
      </c>
      <c r="G142" s="301" t="str">
        <f>Table22[[#This Row],[Acute RA label]]</f>
        <v/>
      </c>
      <c r="H142" s="303">
        <f>Table22[[#This Row],[Acute RA IESTI new input value]]</f>
        <v>0</v>
      </c>
      <c r="I142" s="301" t="str">
        <f>Table22[[#This Row],[Acute RA IESTI new label]]</f>
        <v/>
      </c>
      <c r="J142" s="65"/>
      <c r="K142" s="304">
        <f>Table22[[#This Row],[GAP under assessment]]</f>
        <v>0</v>
      </c>
      <c r="L142" s="304" t="str">
        <f>IF(input_values!$M142=0,"",input_values!$M142)</f>
        <v/>
      </c>
      <c r="M142" s="301" t="str">
        <f>IF(input_values!H142=0,"",input_values!H142)</f>
        <v/>
      </c>
      <c r="N142" s="304">
        <f>input_values!$K142</f>
        <v>0</v>
      </c>
      <c r="O142" s="326">
        <v>4.177115987460815</v>
      </c>
      <c r="P142" s="22">
        <v>97.5</v>
      </c>
      <c r="Q142" s="327" t="s">
        <v>100</v>
      </c>
      <c r="R142" s="326">
        <v>63.8</v>
      </c>
      <c r="S142" s="328">
        <f t="shared" si="24"/>
        <v>266.5</v>
      </c>
      <c r="T142" s="328">
        <v>125</v>
      </c>
      <c r="U142" s="1169" t="s">
        <v>45</v>
      </c>
      <c r="V142" s="328">
        <v>215</v>
      </c>
      <c r="W142" s="1169" t="s">
        <v>45</v>
      </c>
      <c r="X142" s="1464" t="str">
        <f>IF(V142="ND","ND",IF(S142="","",IF(OR(MID(C142,1,4)="milk",AND(MID(B142,1,2)="50",NOT(input_values!M142="Y")),AND(MID(B142,1,2)="40",NOT(input_values!M142="Y")),AND(MID(B142,1,2)="30",NOT(input_values!M142="Y"))),3,IF(OR(V142="&lt;25",B142&gt;1000000),1,IF((T142&gt;=S142),"2b","2a")))))</f>
        <v>2a</v>
      </c>
      <c r="Y142" s="22">
        <f>IF(X142="ND","ND",IF(S142="","",IF(input_values!K142&gt;0,input_values!K142,IF(OR(X142=1,X142=3),1,IF((V142&gt;250),5,7)))))</f>
        <v>7</v>
      </c>
      <c r="Z142" s="330" t="str">
        <f t="shared" si="20"/>
        <v/>
      </c>
      <c r="AA142" s="331">
        <f t="shared" si="21"/>
        <v>0</v>
      </c>
      <c r="AB142" s="128">
        <f t="shared" si="25"/>
        <v>3</v>
      </c>
      <c r="AC142" s="330" t="str">
        <f t="shared" si="26"/>
        <v/>
      </c>
      <c r="AD142" s="332">
        <f t="shared" si="22"/>
        <v>0</v>
      </c>
      <c r="AE142" s="333" t="str">
        <f t="shared" si="27"/>
        <v/>
      </c>
      <c r="AF142" s="333" t="str">
        <f t="shared" si="28"/>
        <v/>
      </c>
      <c r="AG142" s="561" t="str">
        <f t="shared" si="23"/>
        <v/>
      </c>
      <c r="AH142" s="561" t="str">
        <f t="shared" si="29"/>
        <v/>
      </c>
      <c r="AI142" s="576"/>
      <c r="AJ142" s="847"/>
    </row>
    <row r="143" spans="1:36" outlineLevel="2" x14ac:dyDescent="0.2">
      <c r="A143" s="132">
        <f>acute_overview_children!A143</f>
        <v>3</v>
      </c>
      <c r="B143" s="3">
        <f>acute_overview_children!B143</f>
        <v>239000</v>
      </c>
      <c r="C143" s="3" t="s">
        <v>229</v>
      </c>
      <c r="D143" s="300">
        <f>Table22[[#This Row],[Level used for acute calculation]]</f>
        <v>4</v>
      </c>
      <c r="E143" s="302">
        <f>Table22[[#This Row],[MRL individual commodity]]</f>
        <v>0</v>
      </c>
      <c r="F143" s="451">
        <f>Table22[[#This Row],[Acute RA input value]]</f>
        <v>0</v>
      </c>
      <c r="G143" s="301">
        <f>Table22[[#This Row],[Acute RA label]]</f>
        <v>0</v>
      </c>
      <c r="H143" s="303">
        <f>Table22[[#This Row],[Acute RA IESTI new input value]]</f>
        <v>0</v>
      </c>
      <c r="I143" s="301">
        <f>Table22[[#This Row],[Acute RA IESTI new label]]</f>
        <v>0</v>
      </c>
      <c r="J143" s="65"/>
      <c r="K143" s="304">
        <f>Table22[[#This Row],[GAP under assessment]]</f>
        <v>0</v>
      </c>
      <c r="L143" s="304" t="str">
        <f>IF(input_values!$M143=0,"",input_values!$M143)</f>
        <v/>
      </c>
      <c r="M143" s="301" t="str">
        <f>IF(input_values!H143=0,"",input_values!H143)</f>
        <v/>
      </c>
      <c r="N143" s="304">
        <f>input_values!$K143</f>
        <v>0</v>
      </c>
      <c r="O143" s="309"/>
      <c r="P143" s="38"/>
      <c r="Q143" s="306"/>
      <c r="R143" s="309"/>
      <c r="S143" s="336" t="str">
        <f t="shared" si="24"/>
        <v/>
      </c>
      <c r="T143" s="342"/>
      <c r="U143" s="343"/>
      <c r="V143" s="342"/>
      <c r="W143" s="343"/>
      <c r="X143" s="611" t="str">
        <f>IF(V143="ND","ND",IF(S143="","",IF(OR(MID(C143,1,4)="milk",AND(MID(B143,1,2)="50",NOT(input_values!M143="Y")),AND(MID(B143,1,2)="40",NOT(input_values!M143="Y")),AND(MID(B143,1,2)="30",NOT(input_values!M143="Y"))),3,IF(OR(V143="&lt;25",B143&gt;1000000),1,IF((T143&gt;=S143),"2b","2a")))))</f>
        <v/>
      </c>
      <c r="Y143" s="38" t="str">
        <f>IF(X143="ND","ND",IF(S143="","",IF(input_values!K143&gt;0,input_values!K143,IF(OR(X143=1,X143=3),1,IF((V143&gt;250),5,7)))))</f>
        <v/>
      </c>
      <c r="Z143" s="335" t="str">
        <f t="shared" si="20"/>
        <v/>
      </c>
      <c r="AA143" s="311">
        <f t="shared" si="21"/>
        <v>0</v>
      </c>
      <c r="AB143" s="38" t="str">
        <f t="shared" si="25"/>
        <v/>
      </c>
      <c r="AC143" s="335" t="str">
        <f t="shared" si="26"/>
        <v/>
      </c>
      <c r="AD143" s="311">
        <f t="shared" si="22"/>
        <v>0</v>
      </c>
      <c r="AE143" s="344" t="str">
        <f t="shared" si="27"/>
        <v/>
      </c>
      <c r="AF143" s="344" t="str">
        <f t="shared" si="28"/>
        <v/>
      </c>
      <c r="AG143" s="561" t="str">
        <f t="shared" si="23"/>
        <v/>
      </c>
      <c r="AH143" s="561" t="str">
        <f t="shared" si="29"/>
        <v/>
      </c>
      <c r="AI143" s="576"/>
      <c r="AJ143" s="847"/>
    </row>
    <row r="144" spans="1:36" outlineLevel="1" x14ac:dyDescent="0.2">
      <c r="A144" s="130">
        <f>acute_overview_children!A144</f>
        <v>2</v>
      </c>
      <c r="B144" s="131">
        <f>acute_overview_children!B144</f>
        <v>240000</v>
      </c>
      <c r="C144" s="131" t="s">
        <v>230</v>
      </c>
      <c r="D144" s="300">
        <f>Table22[[#This Row],[Level used for acute calculation]]</f>
        <v>4</v>
      </c>
      <c r="E144" s="302">
        <f>Table22[[#This Row],[MRL individual commodity]]</f>
        <v>0</v>
      </c>
      <c r="F144" s="451">
        <f>Table22[[#This Row],[Acute RA input value]]</f>
        <v>0</v>
      </c>
      <c r="G144" s="301">
        <f>Table22[[#This Row],[Acute RA label]]</f>
        <v>0</v>
      </c>
      <c r="H144" s="303">
        <f>Table22[[#This Row],[Acute RA IESTI new input value]]</f>
        <v>0</v>
      </c>
      <c r="I144" s="301">
        <f>Table22[[#This Row],[Acute RA IESTI new label]]</f>
        <v>0</v>
      </c>
      <c r="J144" s="65"/>
      <c r="K144" s="304">
        <f>Table22[[#This Row],[GAP under assessment]]</f>
        <v>0</v>
      </c>
      <c r="L144" s="304" t="str">
        <f>IF(input_values!$M144=0,"",input_values!$M144)</f>
        <v/>
      </c>
      <c r="M144" s="301" t="str">
        <f>IF(input_values!H144=0,"",input_values!H144)</f>
        <v/>
      </c>
      <c r="N144" s="304">
        <f>input_values!$K144</f>
        <v>0</v>
      </c>
      <c r="O144" s="309"/>
      <c r="P144" s="38"/>
      <c r="Q144" s="306"/>
      <c r="R144" s="309"/>
      <c r="S144" s="336" t="str">
        <f t="shared" si="24"/>
        <v/>
      </c>
      <c r="T144" s="315"/>
      <c r="U144" s="320"/>
      <c r="V144" s="315"/>
      <c r="W144" s="320"/>
      <c r="X144" s="611" t="str">
        <f>IF(V144="ND","ND",IF(S144="","",IF(OR(MID(C144,1,4)="milk",AND(MID(B144,1,2)="50",NOT(input_values!M144="Y")),AND(MID(B144,1,2)="40",NOT(input_values!M144="Y")),AND(MID(B144,1,2)="30",NOT(input_values!M144="Y"))),3,IF(OR(V144="&lt;25",B144&gt;1000000),1,IF((T144&gt;=S144),"2b","2a")))))</f>
        <v/>
      </c>
      <c r="Y144" s="38" t="str">
        <f>IF(X144="ND","ND",IF(S144="","",IF(input_values!K144&gt;0,input_values!K144,IF(OR(X144=1,X144=3),1,IF((V144&gt;250),5,7)))))</f>
        <v/>
      </c>
      <c r="Z144" s="335" t="str">
        <f t="shared" si="20"/>
        <v/>
      </c>
      <c r="AA144" s="311">
        <f t="shared" si="21"/>
        <v>0</v>
      </c>
      <c r="AB144" s="38" t="str">
        <f t="shared" si="25"/>
        <v/>
      </c>
      <c r="AC144" s="335" t="str">
        <f t="shared" si="26"/>
        <v/>
      </c>
      <c r="AD144" s="311">
        <f t="shared" si="22"/>
        <v>0</v>
      </c>
      <c r="AE144" s="344" t="str">
        <f t="shared" si="27"/>
        <v/>
      </c>
      <c r="AF144" s="344" t="str">
        <f t="shared" si="28"/>
        <v/>
      </c>
      <c r="AG144" s="561" t="str">
        <f t="shared" si="23"/>
        <v/>
      </c>
      <c r="AH144" s="561" t="str">
        <f t="shared" si="29"/>
        <v/>
      </c>
      <c r="AI144" s="576"/>
      <c r="AJ144" s="847"/>
    </row>
    <row r="145" spans="1:36" outlineLevel="2" x14ac:dyDescent="0.2">
      <c r="A145" s="132">
        <f>acute_overview_children!A145</f>
        <v>3</v>
      </c>
      <c r="B145" s="3">
        <f>acute_overview_children!B145</f>
        <v>241000</v>
      </c>
      <c r="C145" s="3" t="s">
        <v>231</v>
      </c>
      <c r="D145" s="300">
        <f>Table22[[#This Row],[Level used for acute calculation]]</f>
        <v>4</v>
      </c>
      <c r="E145" s="302">
        <f>Table22[[#This Row],[MRL individual commodity]]</f>
        <v>0</v>
      </c>
      <c r="F145" s="451">
        <f>Table22[[#This Row],[Acute RA input value]]</f>
        <v>0</v>
      </c>
      <c r="G145" s="301">
        <f>Table22[[#This Row],[Acute RA label]]</f>
        <v>0</v>
      </c>
      <c r="H145" s="303">
        <f>Table22[[#This Row],[Acute RA IESTI new input value]]</f>
        <v>0</v>
      </c>
      <c r="I145" s="301">
        <f>Table22[[#This Row],[Acute RA IESTI new label]]</f>
        <v>0</v>
      </c>
      <c r="J145" s="65"/>
      <c r="K145" s="304">
        <f>Table22[[#This Row],[GAP under assessment]]</f>
        <v>0</v>
      </c>
      <c r="L145" s="304" t="str">
        <f>IF(input_values!$M145=0,"",input_values!$M145)</f>
        <v/>
      </c>
      <c r="M145" s="301" t="str">
        <f>IF(input_values!H145=0,"",input_values!H145)</f>
        <v/>
      </c>
      <c r="N145" s="304">
        <f>input_values!$K145</f>
        <v>0</v>
      </c>
      <c r="O145" s="309"/>
      <c r="P145" s="38"/>
      <c r="Q145" s="306"/>
      <c r="R145" s="309"/>
      <c r="S145" s="336" t="str">
        <f t="shared" si="24"/>
        <v/>
      </c>
      <c r="T145" s="342"/>
      <c r="U145" s="343"/>
      <c r="V145" s="342"/>
      <c r="W145" s="343"/>
      <c r="X145" s="611" t="str">
        <f>IF(V145="ND","ND",IF(S145="","",IF(OR(MID(C145,1,4)="milk",AND(MID(B145,1,2)="50",NOT(input_values!M145="Y")),AND(MID(B145,1,2)="40",NOT(input_values!M145="Y")),AND(MID(B145,1,2)="30",NOT(input_values!M145="Y"))),3,IF(OR(V145="&lt;25",B145&gt;1000000),1,IF((T145&gt;=S145),"2b","2a")))))</f>
        <v/>
      </c>
      <c r="Y145" s="38" t="str">
        <f>IF(X145="ND","ND",IF(S145="","",IF(input_values!K145&gt;0,input_values!K145,IF(OR(X145=1,X145=3),1,IF((V145&gt;250),5,7)))))</f>
        <v/>
      </c>
      <c r="Z145" s="335" t="str">
        <f t="shared" si="20"/>
        <v/>
      </c>
      <c r="AA145" s="311">
        <f t="shared" si="21"/>
        <v>0</v>
      </c>
      <c r="AB145" s="38" t="str">
        <f t="shared" si="25"/>
        <v/>
      </c>
      <c r="AC145" s="335" t="str">
        <f t="shared" si="26"/>
        <v/>
      </c>
      <c r="AD145" s="311">
        <f t="shared" si="22"/>
        <v>0</v>
      </c>
      <c r="AE145" s="344" t="str">
        <f t="shared" si="27"/>
        <v/>
      </c>
      <c r="AF145" s="344" t="str">
        <f t="shared" si="28"/>
        <v/>
      </c>
      <c r="AG145" s="561" t="str">
        <f t="shared" si="23"/>
        <v/>
      </c>
      <c r="AH145" s="561" t="str">
        <f t="shared" si="29"/>
        <v/>
      </c>
      <c r="AI145" s="576"/>
      <c r="AJ145" s="847"/>
    </row>
    <row r="146" spans="1:36" ht="12" customHeight="1" outlineLevel="3" x14ac:dyDescent="0.2">
      <c r="A146" s="39">
        <f>acute_overview_children!A146</f>
        <v>4</v>
      </c>
      <c r="B146" s="23">
        <f>acute_overview_children!B146</f>
        <v>241010</v>
      </c>
      <c r="C146" s="23" t="s">
        <v>250</v>
      </c>
      <c r="D146" s="300">
        <f>Table22[[#This Row],[Level used for acute calculation]]</f>
        <v>4</v>
      </c>
      <c r="E146" s="302">
        <f>Table22[[#This Row],[MRL individual commodity]]</f>
        <v>0</v>
      </c>
      <c r="F146" s="451">
        <f>Table22[[#This Row],[Acute RA input value]]</f>
        <v>0</v>
      </c>
      <c r="G146" s="301" t="str">
        <f>Table22[[#This Row],[Acute RA label]]</f>
        <v/>
      </c>
      <c r="H146" s="303">
        <f>Table22[[#This Row],[Acute RA IESTI new input value]]</f>
        <v>0</v>
      </c>
      <c r="I146" s="301" t="str">
        <f>Table22[[#This Row],[Acute RA IESTI new label]]</f>
        <v/>
      </c>
      <c r="J146" s="65"/>
      <c r="K146" s="304">
        <f>Table22[[#This Row],[GAP under assessment]]</f>
        <v>0</v>
      </c>
      <c r="L146" s="304" t="str">
        <f>IF(input_values!$M146=0,"",input_values!$M146)</f>
        <v/>
      </c>
      <c r="M146" s="301" t="str">
        <f>IF(input_values!H146=0,"",input_values!H146)</f>
        <v/>
      </c>
      <c r="N146" s="304">
        <f>input_values!$K146</f>
        <v>0</v>
      </c>
      <c r="O146" s="326">
        <v>6.4513677811550156</v>
      </c>
      <c r="P146" s="22">
        <v>90</v>
      </c>
      <c r="Q146" s="327" t="s">
        <v>99</v>
      </c>
      <c r="R146" s="326">
        <v>65.8</v>
      </c>
      <c r="S146" s="328">
        <f t="shared" si="24"/>
        <v>424.5</v>
      </c>
      <c r="T146" s="328">
        <v>286</v>
      </c>
      <c r="U146" s="326" t="s">
        <v>215</v>
      </c>
      <c r="V146" s="328">
        <v>320</v>
      </c>
      <c r="W146" s="326" t="s">
        <v>215</v>
      </c>
      <c r="X146" s="1464" t="str">
        <f>IF(V146="ND","ND",IF(S146="","",IF(OR(MID(C146,1,4)="milk",AND(MID(B146,1,2)="50",NOT(input_values!M146="Y")),AND(MID(B146,1,2)="40",NOT(input_values!M146="Y")),AND(MID(B146,1,2)="30",NOT(input_values!M146="Y"))),3,IF(OR(V146="&lt;25",B146&gt;1000000),1,IF((T146&gt;=S146),"2b","2a")))))</f>
        <v>2a</v>
      </c>
      <c r="Y146" s="22">
        <f>IF(X146="ND","ND",IF(S146="","",IF(input_values!K146&gt;0,input_values!K146,IF(OR(X146=1,X146=3),1,IF((V146&gt;250),5,7)))))</f>
        <v>5</v>
      </c>
      <c r="Z146" s="330" t="str">
        <f t="shared" si="20"/>
        <v/>
      </c>
      <c r="AA146" s="331">
        <f t="shared" si="21"/>
        <v>0</v>
      </c>
      <c r="AB146" s="128">
        <f t="shared" si="25"/>
        <v>3</v>
      </c>
      <c r="AC146" s="330" t="str">
        <f t="shared" si="26"/>
        <v/>
      </c>
      <c r="AD146" s="332">
        <f t="shared" si="22"/>
        <v>0</v>
      </c>
      <c r="AE146" s="333" t="str">
        <f t="shared" si="27"/>
        <v/>
      </c>
      <c r="AF146" s="333" t="str">
        <f t="shared" si="28"/>
        <v/>
      </c>
      <c r="AG146" s="561" t="str">
        <f t="shared" si="23"/>
        <v/>
      </c>
      <c r="AH146" s="561" t="str">
        <f t="shared" si="29"/>
        <v/>
      </c>
      <c r="AI146" s="576"/>
      <c r="AJ146" s="847"/>
    </row>
    <row r="147" spans="1:36" ht="12" customHeight="1" outlineLevel="3" x14ac:dyDescent="0.2">
      <c r="A147" s="39">
        <f>acute_overview_children!A147</f>
        <v>4</v>
      </c>
      <c r="B147" s="23">
        <f>acute_overview_children!B147</f>
        <v>241020</v>
      </c>
      <c r="C147" s="23" t="s">
        <v>715</v>
      </c>
      <c r="D147" s="300">
        <f>Table22[[#This Row],[Level used for acute calculation]]</f>
        <v>4</v>
      </c>
      <c r="E147" s="302">
        <f>Table22[[#This Row],[MRL individual commodity]]</f>
        <v>0</v>
      </c>
      <c r="F147" s="451">
        <f>Table22[[#This Row],[Acute RA input value]]</f>
        <v>0</v>
      </c>
      <c r="G147" s="301" t="str">
        <f>Table22[[#This Row],[Acute RA label]]</f>
        <v/>
      </c>
      <c r="H147" s="303">
        <f>Table22[[#This Row],[Acute RA IESTI new input value]]</f>
        <v>0</v>
      </c>
      <c r="I147" s="301" t="str">
        <f>Table22[[#This Row],[Acute RA IESTI new label]]</f>
        <v/>
      </c>
      <c r="J147" s="65"/>
      <c r="K147" s="304">
        <f>Table22[[#This Row],[GAP under assessment]]</f>
        <v>0</v>
      </c>
      <c r="L147" s="304" t="str">
        <f>IF(input_values!$M147=0,"",input_values!$M147)</f>
        <v/>
      </c>
      <c r="M147" s="301" t="str">
        <f>IF(input_values!H147=0,"",input_values!H147)</f>
        <v/>
      </c>
      <c r="N147" s="304">
        <f>input_values!$K147</f>
        <v>0</v>
      </c>
      <c r="O147" s="326">
        <v>4.6371814092953523</v>
      </c>
      <c r="P147" s="22">
        <v>97.5</v>
      </c>
      <c r="Q147" s="327" t="s">
        <v>255</v>
      </c>
      <c r="R147" s="326">
        <v>66.7</v>
      </c>
      <c r="S147" s="328">
        <f t="shared" si="24"/>
        <v>309.3</v>
      </c>
      <c r="T147" s="328">
        <v>780</v>
      </c>
      <c r="U147" s="326" t="s">
        <v>45</v>
      </c>
      <c r="V147" s="328">
        <v>780</v>
      </c>
      <c r="W147" s="326" t="s">
        <v>45</v>
      </c>
      <c r="X147" s="1464" t="str">
        <f>IF(V147="ND","ND",IF(S147="","",IF(OR(MID(C147,1,4)="milk",AND(MID(B147,1,2)="50",NOT(input_values!M147="Y")),AND(MID(B147,1,2)="40",NOT(input_values!M147="Y")),AND(MID(B147,1,2)="30",NOT(input_values!M147="Y"))),3,IF(OR(V147="&lt;25",B147&gt;1000000),1,IF((T147&gt;=S147),"2b","2a")))))</f>
        <v>2b</v>
      </c>
      <c r="Y147" s="22">
        <f>IF(X147="ND","ND",IF(S147="","",IF(input_values!K147&gt;0,input_values!K147,IF(OR(X147=1,X147=3),1,IF((V147&gt;250),5,7)))))</f>
        <v>5</v>
      </c>
      <c r="Z147" s="330" t="str">
        <f t="shared" si="20"/>
        <v/>
      </c>
      <c r="AA147" s="331">
        <f t="shared" si="21"/>
        <v>0</v>
      </c>
      <c r="AB147" s="128">
        <f t="shared" si="25"/>
        <v>3</v>
      </c>
      <c r="AC147" s="330" t="str">
        <f t="shared" si="26"/>
        <v/>
      </c>
      <c r="AD147" s="332">
        <f t="shared" si="22"/>
        <v>0</v>
      </c>
      <c r="AE147" s="333" t="str">
        <f t="shared" si="27"/>
        <v/>
      </c>
      <c r="AF147" s="333" t="str">
        <f t="shared" si="28"/>
        <v/>
      </c>
      <c r="AG147" s="561" t="str">
        <f t="shared" si="23"/>
        <v/>
      </c>
      <c r="AH147" s="561" t="str">
        <f t="shared" si="29"/>
        <v/>
      </c>
      <c r="AI147" s="576"/>
      <c r="AJ147" s="847"/>
    </row>
    <row r="148" spans="1:36" ht="12" customHeight="1" outlineLevel="3" x14ac:dyDescent="0.2">
      <c r="A148" s="39">
        <f>acute_overview_children!A148</f>
        <v>4</v>
      </c>
      <c r="B148" s="23">
        <f>acute_overview_children!B148</f>
        <v>241990</v>
      </c>
      <c r="C148" s="23" t="s">
        <v>170</v>
      </c>
      <c r="D148" s="300">
        <f>Table22[[#This Row],[Level used for acute calculation]]</f>
        <v>0</v>
      </c>
      <c r="E148" s="302">
        <f>Table22[[#This Row],[MRL individual commodity]]</f>
        <v>0</v>
      </c>
      <c r="F148" s="451">
        <f>Table22[[#This Row],[Acute RA input value]]</f>
        <v>0</v>
      </c>
      <c r="G148" s="301">
        <f>Table22[[#This Row],[Acute RA label]]</f>
        <v>0</v>
      </c>
      <c r="H148" s="303">
        <f>Table22[[#This Row],[Acute RA IESTI new input value]]</f>
        <v>0</v>
      </c>
      <c r="I148" s="301">
        <f>Table22[[#This Row],[Acute RA IESTI new label]]</f>
        <v>0</v>
      </c>
      <c r="J148" s="65"/>
      <c r="K148" s="304">
        <f>Table22[[#This Row],[GAP under assessment]]</f>
        <v>0</v>
      </c>
      <c r="L148" s="304" t="str">
        <f>IF(input_values!$M148=0,"",input_values!$M148)</f>
        <v/>
      </c>
      <c r="M148" s="301" t="str">
        <f>IF(input_values!H148=0,"",input_values!H148)</f>
        <v/>
      </c>
      <c r="N148" s="304">
        <f>input_values!$K148</f>
        <v>0</v>
      </c>
      <c r="O148" s="309"/>
      <c r="P148" s="38"/>
      <c r="Q148" s="306"/>
      <c r="R148" s="309"/>
      <c r="S148" s="336" t="str">
        <f t="shared" si="24"/>
        <v/>
      </c>
      <c r="T148" s="305"/>
      <c r="U148" s="309"/>
      <c r="V148" s="305"/>
      <c r="W148" s="309"/>
      <c r="X148" s="611" t="str">
        <f>IF(V148="ND","ND",IF(S148="","",IF(OR(MID(C148,1,4)="milk",AND(MID(B148,1,2)="50",NOT(input_values!M148="Y")),AND(MID(B148,1,2)="40",NOT(input_values!M148="Y")),AND(MID(B148,1,2)="30",NOT(input_values!M148="Y"))),3,IF(OR(V148="&lt;25",B148&gt;1000000),1,IF((T148&gt;=S148),"2b","2a")))))</f>
        <v/>
      </c>
      <c r="Y148" s="38" t="str">
        <f>IF(X148="ND","ND",IF(S148="","",IF(input_values!K148&gt;0,input_values!K148,IF(OR(X148=1,X148=3),1,IF((V148&gt;250),5,7)))))</f>
        <v/>
      </c>
      <c r="Z148" s="335" t="str">
        <f t="shared" si="20"/>
        <v/>
      </c>
      <c r="AA148" s="311">
        <f t="shared" si="21"/>
        <v>0</v>
      </c>
      <c r="AB148" s="38" t="str">
        <f t="shared" si="25"/>
        <v/>
      </c>
      <c r="AC148" s="335" t="str">
        <f t="shared" si="26"/>
        <v/>
      </c>
      <c r="AD148" s="311">
        <f t="shared" si="22"/>
        <v>0</v>
      </c>
      <c r="AE148" s="344" t="str">
        <f t="shared" si="27"/>
        <v/>
      </c>
      <c r="AF148" s="344" t="str">
        <f t="shared" si="28"/>
        <v/>
      </c>
      <c r="AG148" s="561" t="str">
        <f t="shared" si="23"/>
        <v/>
      </c>
      <c r="AH148" s="561" t="str">
        <f t="shared" si="29"/>
        <v/>
      </c>
      <c r="AI148" s="576"/>
      <c r="AJ148" s="847"/>
    </row>
    <row r="149" spans="1:36" outlineLevel="2" x14ac:dyDescent="0.2">
      <c r="A149" s="132">
        <f>acute_overview_children!A149</f>
        <v>3</v>
      </c>
      <c r="B149" s="3">
        <f>acute_overview_children!B149</f>
        <v>242000</v>
      </c>
      <c r="C149" s="3" t="s">
        <v>232</v>
      </c>
      <c r="D149" s="300">
        <f>Table22[[#This Row],[Level used for acute calculation]]</f>
        <v>4</v>
      </c>
      <c r="E149" s="302">
        <f>Table22[[#This Row],[MRL individual commodity]]</f>
        <v>0</v>
      </c>
      <c r="F149" s="451">
        <f>Table22[[#This Row],[Acute RA input value]]</f>
        <v>0</v>
      </c>
      <c r="G149" s="301">
        <f>Table22[[#This Row],[Acute RA label]]</f>
        <v>0</v>
      </c>
      <c r="H149" s="303">
        <f>Table22[[#This Row],[Acute RA IESTI new input value]]</f>
        <v>0</v>
      </c>
      <c r="I149" s="301">
        <f>Table22[[#This Row],[Acute RA IESTI new label]]</f>
        <v>0</v>
      </c>
      <c r="J149" s="65"/>
      <c r="K149" s="304">
        <f>Table22[[#This Row],[GAP under assessment]]</f>
        <v>0</v>
      </c>
      <c r="L149" s="304" t="str">
        <f>IF(input_values!$M149=0,"",input_values!$M149)</f>
        <v/>
      </c>
      <c r="M149" s="301" t="str">
        <f>IF(input_values!H149=0,"",input_values!H149)</f>
        <v/>
      </c>
      <c r="N149" s="304">
        <f>input_values!$K149</f>
        <v>0</v>
      </c>
      <c r="O149" s="309"/>
      <c r="P149" s="38"/>
      <c r="Q149" s="306"/>
      <c r="R149" s="309"/>
      <c r="S149" s="336" t="str">
        <f t="shared" si="24"/>
        <v/>
      </c>
      <c r="T149" s="342"/>
      <c r="U149" s="343"/>
      <c r="V149" s="342"/>
      <c r="W149" s="343"/>
      <c r="X149" s="611" t="str">
        <f>IF(V149="ND","ND",IF(S149="","",IF(OR(MID(C149,1,4)="milk",AND(MID(B149,1,2)="50",NOT(input_values!M149="Y")),AND(MID(B149,1,2)="40",NOT(input_values!M149="Y")),AND(MID(B149,1,2)="30",NOT(input_values!M149="Y"))),3,IF(OR(V149="&lt;25",B149&gt;1000000),1,IF((T149&gt;=S149),"2b","2a")))))</f>
        <v/>
      </c>
      <c r="Y149" s="38" t="str">
        <f>IF(X149="ND","ND",IF(S149="","",IF(input_values!K149&gt;0,input_values!K149,IF(OR(X149=1,X149=3),1,IF((V149&gt;250),5,7)))))</f>
        <v/>
      </c>
      <c r="Z149" s="335" t="str">
        <f t="shared" si="20"/>
        <v/>
      </c>
      <c r="AA149" s="311">
        <f t="shared" si="21"/>
        <v>0</v>
      </c>
      <c r="AB149" s="38" t="str">
        <f t="shared" si="25"/>
        <v/>
      </c>
      <c r="AC149" s="335" t="str">
        <f t="shared" si="26"/>
        <v/>
      </c>
      <c r="AD149" s="311">
        <f t="shared" si="22"/>
        <v>0</v>
      </c>
      <c r="AE149" s="344" t="str">
        <f t="shared" si="27"/>
        <v/>
      </c>
      <c r="AF149" s="344" t="str">
        <f t="shared" si="28"/>
        <v/>
      </c>
      <c r="AG149" s="561" t="str">
        <f t="shared" si="23"/>
        <v/>
      </c>
      <c r="AH149" s="561" t="str">
        <f t="shared" si="29"/>
        <v/>
      </c>
      <c r="AI149" s="576"/>
      <c r="AJ149" s="847"/>
    </row>
    <row r="150" spans="1:36" ht="12" customHeight="1" outlineLevel="3" x14ac:dyDescent="0.2">
      <c r="A150" s="39">
        <f>acute_overview_children!A150</f>
        <v>4</v>
      </c>
      <c r="B150" s="23">
        <f>acute_overview_children!B150</f>
        <v>242010</v>
      </c>
      <c r="C150" s="23" t="s">
        <v>86</v>
      </c>
      <c r="D150" s="300">
        <f>Table22[[#This Row],[Level used for acute calculation]]</f>
        <v>4</v>
      </c>
      <c r="E150" s="302">
        <f>Table22[[#This Row],[MRL individual commodity]]</f>
        <v>0</v>
      </c>
      <c r="F150" s="451">
        <f>Table22[[#This Row],[Acute RA input value]]</f>
        <v>0</v>
      </c>
      <c r="G150" s="301" t="str">
        <f>Table22[[#This Row],[Acute RA label]]</f>
        <v/>
      </c>
      <c r="H150" s="303">
        <f>Table22[[#This Row],[Acute RA IESTI new input value]]</f>
        <v>0</v>
      </c>
      <c r="I150" s="301" t="str">
        <f>Table22[[#This Row],[Acute RA IESTI new label]]</f>
        <v/>
      </c>
      <c r="J150" s="65"/>
      <c r="K150" s="304">
        <f>Table22[[#This Row],[GAP under assessment]]</f>
        <v>0</v>
      </c>
      <c r="L150" s="304" t="str">
        <f>IF(input_values!$M150=0,"",input_values!$M150)</f>
        <v/>
      </c>
      <c r="M150" s="301" t="str">
        <f>IF(input_values!H150=0,"",input_values!H150)</f>
        <v/>
      </c>
      <c r="N150" s="304">
        <f>input_values!$K150</f>
        <v>0</v>
      </c>
      <c r="O150" s="326">
        <v>6</v>
      </c>
      <c r="P150" s="22">
        <v>97.5</v>
      </c>
      <c r="Q150" s="327" t="s">
        <v>99</v>
      </c>
      <c r="R150" s="326">
        <v>65.8</v>
      </c>
      <c r="S150" s="328">
        <f t="shared" si="24"/>
        <v>394.79999999999995</v>
      </c>
      <c r="T150" s="338" t="s">
        <v>617</v>
      </c>
      <c r="U150" s="339" t="s">
        <v>215</v>
      </c>
      <c r="V150" s="338" t="s">
        <v>617</v>
      </c>
      <c r="W150" s="339" t="s">
        <v>215</v>
      </c>
      <c r="X150" s="1464">
        <f>IF(V150="ND","ND",IF(S150="","",IF(OR(MID(C150,1,4)="milk",AND(MID(B150,1,2)="50",NOT(input_values!M150="Y")),AND(MID(B150,1,2)="40",NOT(input_values!M150="Y")),AND(MID(B150,1,2)="30",NOT(input_values!M150="Y"))),3,IF(OR(V150="&lt;25",B150&gt;1000000),1,IF((T150&gt;=S150),"2b","2a")))))</f>
        <v>1</v>
      </c>
      <c r="Y150" s="22">
        <f>IF(X150="ND","ND",IF(S150="","",IF(input_values!K150&gt;0,input_values!K150,IF(OR(X150=1,X150=3),1,IF((V150&gt;250),5,7)))))</f>
        <v>1</v>
      </c>
      <c r="Z150" s="330" t="str">
        <f t="shared" si="20"/>
        <v/>
      </c>
      <c r="AA150" s="331">
        <f t="shared" si="21"/>
        <v>0</v>
      </c>
      <c r="AB150" s="128">
        <f t="shared" si="25"/>
        <v>1</v>
      </c>
      <c r="AC150" s="330" t="str">
        <f t="shared" si="26"/>
        <v/>
      </c>
      <c r="AD150" s="332">
        <f t="shared" si="22"/>
        <v>0</v>
      </c>
      <c r="AE150" s="333" t="str">
        <f t="shared" si="27"/>
        <v/>
      </c>
      <c r="AF150" s="333" t="str">
        <f t="shared" si="28"/>
        <v/>
      </c>
      <c r="AG150" s="561" t="str">
        <f t="shared" si="23"/>
        <v/>
      </c>
      <c r="AH150" s="561" t="str">
        <f t="shared" si="29"/>
        <v/>
      </c>
      <c r="AI150" s="576"/>
      <c r="AJ150" s="847"/>
    </row>
    <row r="151" spans="1:36" ht="12" customHeight="1" outlineLevel="3" x14ac:dyDescent="0.2">
      <c r="A151" s="39">
        <f>acute_overview_children!A151</f>
        <v>4</v>
      </c>
      <c r="B151" s="23">
        <f>acute_overview_children!B151</f>
        <v>242020</v>
      </c>
      <c r="C151" s="23" t="s">
        <v>716</v>
      </c>
      <c r="D151" s="300">
        <f>Table22[[#This Row],[Level used for acute calculation]]</f>
        <v>4</v>
      </c>
      <c r="E151" s="302">
        <f>Table22[[#This Row],[MRL individual commodity]]</f>
        <v>0</v>
      </c>
      <c r="F151" s="451">
        <f>Table22[[#This Row],[Acute RA input value]]</f>
        <v>0</v>
      </c>
      <c r="G151" s="301" t="str">
        <f>Table22[[#This Row],[Acute RA label]]</f>
        <v/>
      </c>
      <c r="H151" s="303">
        <f>Table22[[#This Row],[Acute RA IESTI new input value]]</f>
        <v>0</v>
      </c>
      <c r="I151" s="301" t="str">
        <f>Table22[[#This Row],[Acute RA IESTI new label]]</f>
        <v/>
      </c>
      <c r="J151" s="65"/>
      <c r="K151" s="304">
        <f>Table22[[#This Row],[GAP under assessment]]</f>
        <v>0</v>
      </c>
      <c r="L151" s="304" t="str">
        <f>IF(input_values!$M151=0,"",input_values!$M151)</f>
        <v/>
      </c>
      <c r="M151" s="301" t="str">
        <f>IF(input_values!H151=0,"",input_values!H151)</f>
        <v/>
      </c>
      <c r="N151" s="304">
        <f>input_values!$K151</f>
        <v>0</v>
      </c>
      <c r="O151" s="326">
        <v>8.41</v>
      </c>
      <c r="P151" s="22">
        <v>97.5</v>
      </c>
      <c r="Q151" s="327" t="s">
        <v>103</v>
      </c>
      <c r="R151" s="326">
        <v>55.6</v>
      </c>
      <c r="S151" s="328">
        <f t="shared" si="24"/>
        <v>467.596</v>
      </c>
      <c r="T151" s="328">
        <v>1148.4716666666666</v>
      </c>
      <c r="U151" s="326" t="s">
        <v>90</v>
      </c>
      <c r="V151" s="328">
        <v>1337.4563492063492</v>
      </c>
      <c r="W151" s="326" t="s">
        <v>90</v>
      </c>
      <c r="X151" s="1464" t="str">
        <f>IF(V151="ND","ND",IF(S151="","",IF(OR(MID(C151,1,4)="milk",AND(MID(B151,1,2)="50",NOT(input_values!M151="Y")),AND(MID(B151,1,2)="40",NOT(input_values!M151="Y")),AND(MID(B151,1,2)="30",NOT(input_values!M151="Y"))),3,IF(OR(V151="&lt;25",B151&gt;1000000),1,IF((T151&gt;=S151),"2b","2a")))))</f>
        <v>2b</v>
      </c>
      <c r="Y151" s="22">
        <f>IF(X151="ND","ND",IF(S151="","",IF(input_values!K151&gt;0,input_values!K151,IF(OR(X151=1,X151=3),1,IF((V151&gt;250),5,7)))))</f>
        <v>5</v>
      </c>
      <c r="Z151" s="330" t="str">
        <f t="shared" si="20"/>
        <v/>
      </c>
      <c r="AA151" s="331">
        <f t="shared" si="21"/>
        <v>0</v>
      </c>
      <c r="AB151" s="128">
        <f t="shared" si="25"/>
        <v>3</v>
      </c>
      <c r="AC151" s="330" t="str">
        <f t="shared" si="26"/>
        <v/>
      </c>
      <c r="AD151" s="332">
        <f t="shared" si="22"/>
        <v>0</v>
      </c>
      <c r="AE151" s="333" t="str">
        <f t="shared" si="27"/>
        <v/>
      </c>
      <c r="AF151" s="333" t="str">
        <f t="shared" si="28"/>
        <v/>
      </c>
      <c r="AG151" s="561" t="str">
        <f t="shared" si="23"/>
        <v/>
      </c>
      <c r="AH151" s="561" t="str">
        <f t="shared" si="29"/>
        <v/>
      </c>
      <c r="AI151" s="576"/>
      <c r="AJ151" s="847"/>
    </row>
    <row r="152" spans="1:36" ht="12" customHeight="1" outlineLevel="3" x14ac:dyDescent="0.2">
      <c r="A152" s="39">
        <f>acute_overview_children!A152</f>
        <v>4</v>
      </c>
      <c r="B152" s="23">
        <f>acute_overview_children!B152</f>
        <v>242990</v>
      </c>
      <c r="C152" s="23" t="s">
        <v>171</v>
      </c>
      <c r="D152" s="300">
        <f>Table22[[#This Row],[Level used for acute calculation]]</f>
        <v>0</v>
      </c>
      <c r="E152" s="302">
        <f>Table22[[#This Row],[MRL individual commodity]]</f>
        <v>0</v>
      </c>
      <c r="F152" s="451">
        <f>Table22[[#This Row],[Acute RA input value]]</f>
        <v>0</v>
      </c>
      <c r="G152" s="301">
        <f>Table22[[#This Row],[Acute RA label]]</f>
        <v>0</v>
      </c>
      <c r="H152" s="303">
        <f>Table22[[#This Row],[Acute RA IESTI new input value]]</f>
        <v>0</v>
      </c>
      <c r="I152" s="301">
        <f>Table22[[#This Row],[Acute RA IESTI new label]]</f>
        <v>0</v>
      </c>
      <c r="J152" s="65"/>
      <c r="K152" s="304">
        <f>Table22[[#This Row],[GAP under assessment]]</f>
        <v>0</v>
      </c>
      <c r="L152" s="304" t="str">
        <f>IF(input_values!$M152=0,"",input_values!$M152)</f>
        <v/>
      </c>
      <c r="M152" s="301" t="str">
        <f>IF(input_values!H152=0,"",input_values!H152)</f>
        <v/>
      </c>
      <c r="N152" s="304">
        <f>input_values!$K152</f>
        <v>0</v>
      </c>
      <c r="O152" s="309"/>
      <c r="P152" s="38"/>
      <c r="Q152" s="306"/>
      <c r="R152" s="309"/>
      <c r="S152" s="336" t="str">
        <f t="shared" si="24"/>
        <v/>
      </c>
      <c r="T152" s="305"/>
      <c r="U152" s="309"/>
      <c r="V152" s="305"/>
      <c r="W152" s="309"/>
      <c r="X152" s="611" t="str">
        <f>IF(V152="ND","ND",IF(S152="","",IF(OR(MID(C152,1,4)="milk",AND(MID(B152,1,2)="50",NOT(input_values!M152="Y")),AND(MID(B152,1,2)="40",NOT(input_values!M152="Y")),AND(MID(B152,1,2)="30",NOT(input_values!M152="Y"))),3,IF(OR(V152="&lt;25",B152&gt;1000000),1,IF((T152&gt;=S152),"2b","2a")))))</f>
        <v/>
      </c>
      <c r="Y152" s="38" t="str">
        <f>IF(X152="ND","ND",IF(S152="","",IF(input_values!K152&gt;0,input_values!K152,IF(OR(X152=1,X152=3),1,IF((V152&gt;250),5,7)))))</f>
        <v/>
      </c>
      <c r="Z152" s="335" t="str">
        <f t="shared" si="20"/>
        <v/>
      </c>
      <c r="AA152" s="311">
        <f t="shared" si="21"/>
        <v>0</v>
      </c>
      <c r="AB152" s="38" t="str">
        <f t="shared" si="25"/>
        <v/>
      </c>
      <c r="AC152" s="335" t="str">
        <f t="shared" si="26"/>
        <v/>
      </c>
      <c r="AD152" s="311">
        <f t="shared" si="22"/>
        <v>0</v>
      </c>
      <c r="AE152" s="344" t="str">
        <f t="shared" si="27"/>
        <v/>
      </c>
      <c r="AF152" s="344" t="str">
        <f t="shared" si="28"/>
        <v/>
      </c>
      <c r="AG152" s="561" t="str">
        <f t="shared" si="23"/>
        <v/>
      </c>
      <c r="AH152" s="561" t="str">
        <f t="shared" si="29"/>
        <v/>
      </c>
      <c r="AI152" s="576"/>
      <c r="AJ152" s="847"/>
    </row>
    <row r="153" spans="1:36" outlineLevel="2" x14ac:dyDescent="0.2">
      <c r="A153" s="132">
        <f>acute_overview_children!A153</f>
        <v>3</v>
      </c>
      <c r="B153" s="3">
        <f>acute_overview_children!B153</f>
        <v>243000</v>
      </c>
      <c r="C153" s="3" t="s">
        <v>233</v>
      </c>
      <c r="D153" s="300">
        <f>Table22[[#This Row],[Level used for acute calculation]]</f>
        <v>4</v>
      </c>
      <c r="E153" s="302">
        <f>Table22[[#This Row],[MRL individual commodity]]</f>
        <v>0</v>
      </c>
      <c r="F153" s="451">
        <f>Table22[[#This Row],[Acute RA input value]]</f>
        <v>0</v>
      </c>
      <c r="G153" s="301">
        <f>Table22[[#This Row],[Acute RA label]]</f>
        <v>0</v>
      </c>
      <c r="H153" s="303">
        <f>Table22[[#This Row],[Acute RA IESTI new input value]]</f>
        <v>0</v>
      </c>
      <c r="I153" s="301">
        <f>Table22[[#This Row],[Acute RA IESTI new label]]</f>
        <v>0</v>
      </c>
      <c r="J153" s="65"/>
      <c r="K153" s="304">
        <f>Table22[[#This Row],[GAP under assessment]]</f>
        <v>0</v>
      </c>
      <c r="L153" s="304" t="str">
        <f>IF(input_values!$M153=0,"",input_values!$M153)</f>
        <v/>
      </c>
      <c r="M153" s="301" t="str">
        <f>IF(input_values!H153=0,"",input_values!H153)</f>
        <v/>
      </c>
      <c r="N153" s="304">
        <f>input_values!$K153</f>
        <v>0</v>
      </c>
      <c r="O153" s="309"/>
      <c r="P153" s="38"/>
      <c r="Q153" s="306"/>
      <c r="R153" s="309"/>
      <c r="S153" s="336" t="str">
        <f t="shared" si="24"/>
        <v/>
      </c>
      <c r="T153" s="342"/>
      <c r="U153" s="343"/>
      <c r="V153" s="342"/>
      <c r="W153" s="343"/>
      <c r="X153" s="611" t="str">
        <f>IF(V153="ND","ND",IF(S153="","",IF(OR(MID(C153,1,4)="milk",AND(MID(B153,1,2)="50",NOT(input_values!M153="Y")),AND(MID(B153,1,2)="40",NOT(input_values!M153="Y")),AND(MID(B153,1,2)="30",NOT(input_values!M153="Y"))),3,IF(OR(V153="&lt;25",B153&gt;1000000),1,IF((T153&gt;=S153),"2b","2a")))))</f>
        <v/>
      </c>
      <c r="Y153" s="38" t="str">
        <f>IF(X153="ND","ND",IF(S153="","",IF(input_values!K153&gt;0,input_values!K153,IF(OR(X153=1,X153=3),1,IF((V153&gt;250),5,7)))))</f>
        <v/>
      </c>
      <c r="Z153" s="335" t="str">
        <f t="shared" si="20"/>
        <v/>
      </c>
      <c r="AA153" s="311">
        <f t="shared" si="21"/>
        <v>0</v>
      </c>
      <c r="AB153" s="38" t="str">
        <f t="shared" si="25"/>
        <v/>
      </c>
      <c r="AC153" s="335" t="str">
        <f t="shared" si="26"/>
        <v/>
      </c>
      <c r="AD153" s="311">
        <f t="shared" si="22"/>
        <v>0</v>
      </c>
      <c r="AE153" s="344" t="str">
        <f t="shared" si="27"/>
        <v/>
      </c>
      <c r="AF153" s="344" t="str">
        <f t="shared" si="28"/>
        <v/>
      </c>
      <c r="AG153" s="561" t="str">
        <f t="shared" si="23"/>
        <v/>
      </c>
      <c r="AH153" s="561" t="str">
        <f t="shared" si="29"/>
        <v/>
      </c>
      <c r="AI153" s="576"/>
      <c r="AJ153" s="847"/>
    </row>
    <row r="154" spans="1:36" ht="12" customHeight="1" outlineLevel="3" x14ac:dyDescent="0.2">
      <c r="A154" s="39">
        <f>acute_overview_children!A154</f>
        <v>4</v>
      </c>
      <c r="B154" s="23">
        <f>acute_overview_children!B154</f>
        <v>243010</v>
      </c>
      <c r="C154" s="23" t="s">
        <v>717</v>
      </c>
      <c r="D154" s="300">
        <f>Table22[[#This Row],[Level used for acute calculation]]</f>
        <v>4</v>
      </c>
      <c r="E154" s="302">
        <f>Table22[[#This Row],[MRL individual commodity]]</f>
        <v>0</v>
      </c>
      <c r="F154" s="451">
        <f>Table22[[#This Row],[Acute RA input value]]</f>
        <v>0</v>
      </c>
      <c r="G154" s="301" t="str">
        <f>Table22[[#This Row],[Acute RA label]]</f>
        <v/>
      </c>
      <c r="H154" s="303">
        <f>Table22[[#This Row],[Acute RA IESTI new input value]]</f>
        <v>0</v>
      </c>
      <c r="I154" s="301" t="str">
        <f>Table22[[#This Row],[Acute RA IESTI new label]]</f>
        <v/>
      </c>
      <c r="J154" s="65"/>
      <c r="K154" s="304">
        <f>Table22[[#This Row],[GAP under assessment]]</f>
        <v>0</v>
      </c>
      <c r="L154" s="304" t="str">
        <f>IF(input_values!$M154=0,"",input_values!$M154)</f>
        <v/>
      </c>
      <c r="M154" s="301" t="str">
        <f>IF(input_values!H154=0,"",input_values!H154)</f>
        <v/>
      </c>
      <c r="N154" s="304">
        <f>input_values!$K154</f>
        <v>0</v>
      </c>
      <c r="O154" s="326">
        <v>5.0626959247648902</v>
      </c>
      <c r="P154" s="22">
        <v>97.5</v>
      </c>
      <c r="Q154" s="327" t="s">
        <v>100</v>
      </c>
      <c r="R154" s="326">
        <v>63.8</v>
      </c>
      <c r="S154" s="328">
        <f t="shared" si="24"/>
        <v>323</v>
      </c>
      <c r="T154" s="328">
        <v>713.46999999999991</v>
      </c>
      <c r="U154" s="326" t="s">
        <v>90</v>
      </c>
      <c r="V154" s="328">
        <v>807.66666666666663</v>
      </c>
      <c r="W154" s="326" t="s">
        <v>90</v>
      </c>
      <c r="X154" s="1464" t="str">
        <f>IF(V154="ND","ND",IF(S154="","",IF(OR(MID(C154,1,4)="milk",AND(MID(B154,1,2)="50",NOT(input_values!M154="Y")),AND(MID(B154,1,2)="40",NOT(input_values!M154="Y")),AND(MID(B154,1,2)="30",NOT(input_values!M154="Y"))),3,IF(OR(V154="&lt;25",B154&gt;1000000),1,IF((T154&gt;=S154),"2b","2a")))))</f>
        <v>2b</v>
      </c>
      <c r="Y154" s="22">
        <f>IF(X154="ND","ND",IF(S154="","",IF(input_values!K154&gt;0,input_values!K154,IF(OR(X154=1,X154=3),1,IF((V154&gt;250),5,7)))))</f>
        <v>5</v>
      </c>
      <c r="Z154" s="330" t="str">
        <f t="shared" si="20"/>
        <v/>
      </c>
      <c r="AA154" s="331">
        <f t="shared" si="21"/>
        <v>0</v>
      </c>
      <c r="AB154" s="128">
        <f t="shared" si="25"/>
        <v>3</v>
      </c>
      <c r="AC154" s="330" t="str">
        <f t="shared" si="26"/>
        <v/>
      </c>
      <c r="AD154" s="332">
        <f t="shared" si="22"/>
        <v>0</v>
      </c>
      <c r="AE154" s="333" t="str">
        <f t="shared" si="27"/>
        <v/>
      </c>
      <c r="AF154" s="333" t="str">
        <f t="shared" si="28"/>
        <v/>
      </c>
      <c r="AG154" s="561" t="str">
        <f t="shared" si="23"/>
        <v/>
      </c>
      <c r="AH154" s="561" t="str">
        <f t="shared" si="29"/>
        <v/>
      </c>
      <c r="AI154" s="576"/>
      <c r="AJ154" s="847"/>
    </row>
    <row r="155" spans="1:36" ht="12" customHeight="1" outlineLevel="3" x14ac:dyDescent="0.2">
      <c r="A155" s="39">
        <f>acute_overview_children!A155</f>
        <v>4</v>
      </c>
      <c r="B155" s="23">
        <f>acute_overview_children!B155</f>
        <v>243020</v>
      </c>
      <c r="C155" s="23" t="s">
        <v>718</v>
      </c>
      <c r="D155" s="300">
        <f>Table22[[#This Row],[Level used for acute calculation]]</f>
        <v>4</v>
      </c>
      <c r="E155" s="302">
        <f>Table22[[#This Row],[MRL individual commodity]]</f>
        <v>0</v>
      </c>
      <c r="F155" s="451">
        <f>Table22[[#This Row],[Acute RA input value]]</f>
        <v>0</v>
      </c>
      <c r="G155" s="301" t="str">
        <f>Table22[[#This Row],[Acute RA label]]</f>
        <v/>
      </c>
      <c r="H155" s="303">
        <f>Table22[[#This Row],[Acute RA IESTI new input value]]</f>
        <v>0</v>
      </c>
      <c r="I155" s="301" t="str">
        <f>Table22[[#This Row],[Acute RA IESTI new label]]</f>
        <v/>
      </c>
      <c r="J155" s="65"/>
      <c r="K155" s="304">
        <f>Table22[[#This Row],[GAP under assessment]]</f>
        <v>0</v>
      </c>
      <c r="L155" s="304" t="str">
        <f>IF(input_values!$M155=0,"",input_values!$M155)</f>
        <v/>
      </c>
      <c r="M155" s="301" t="str">
        <f>IF(input_values!H155=0,"",input_values!H155)</f>
        <v/>
      </c>
      <c r="N155" s="304">
        <f>input_values!$K155</f>
        <v>0</v>
      </c>
      <c r="O155" s="326">
        <v>3.85</v>
      </c>
      <c r="P155" s="22">
        <v>97.5</v>
      </c>
      <c r="Q155" s="327" t="s">
        <v>335</v>
      </c>
      <c r="R155" s="326">
        <v>76.38</v>
      </c>
      <c r="S155" s="328">
        <f t="shared" si="24"/>
        <v>294.06299999999999</v>
      </c>
      <c r="T155" s="328">
        <v>672</v>
      </c>
      <c r="U155" s="326" t="s">
        <v>215</v>
      </c>
      <c r="V155" s="328">
        <v>1200</v>
      </c>
      <c r="W155" s="326" t="s">
        <v>215</v>
      </c>
      <c r="X155" s="1464" t="str">
        <f>IF(V155="ND","ND",IF(S155="","",IF(OR(MID(C155,1,4)="milk",AND(MID(B155,1,2)="50",NOT(input_values!M155="Y")),AND(MID(B155,1,2)="40",NOT(input_values!M155="Y")),AND(MID(B155,1,2)="30",NOT(input_values!M155="Y"))),3,IF(OR(V155="&lt;25",B155&gt;1000000),1,IF((T155&gt;=S155),"2b","2a")))))</f>
        <v>2b</v>
      </c>
      <c r="Y155" s="22">
        <f>IF(X155="ND","ND",IF(S155="","",IF(input_values!K155&gt;0,input_values!K155,IF(OR(X155=1,X155=3),1,IF((V155&gt;250),5,7)))))</f>
        <v>5</v>
      </c>
      <c r="Z155" s="330" t="str">
        <f t="shared" si="20"/>
        <v/>
      </c>
      <c r="AA155" s="331">
        <f t="shared" si="21"/>
        <v>0</v>
      </c>
      <c r="AB155" s="128">
        <f t="shared" si="25"/>
        <v>3</v>
      </c>
      <c r="AC155" s="330" t="str">
        <f t="shared" si="26"/>
        <v/>
      </c>
      <c r="AD155" s="332">
        <f t="shared" si="22"/>
        <v>0</v>
      </c>
      <c r="AE155" s="333" t="str">
        <f t="shared" si="27"/>
        <v/>
      </c>
      <c r="AF155" s="333" t="str">
        <f t="shared" si="28"/>
        <v/>
      </c>
      <c r="AG155" s="561" t="str">
        <f t="shared" si="23"/>
        <v/>
      </c>
      <c r="AH155" s="561" t="str">
        <f t="shared" si="29"/>
        <v/>
      </c>
      <c r="AI155" s="576"/>
      <c r="AJ155" s="847"/>
    </row>
    <row r="156" spans="1:36" ht="12" customHeight="1" outlineLevel="3" x14ac:dyDescent="0.2">
      <c r="A156" s="39">
        <f>acute_overview_children!A156</f>
        <v>4</v>
      </c>
      <c r="B156" s="23">
        <f>acute_overview_children!B156</f>
        <v>243990</v>
      </c>
      <c r="C156" s="23" t="s">
        <v>172</v>
      </c>
      <c r="D156" s="300">
        <f>Table22[[#This Row],[Level used for acute calculation]]</f>
        <v>0</v>
      </c>
      <c r="E156" s="302">
        <f>Table22[[#This Row],[MRL individual commodity]]</f>
        <v>0</v>
      </c>
      <c r="F156" s="451">
        <f>Table22[[#This Row],[Acute RA input value]]</f>
        <v>0</v>
      </c>
      <c r="G156" s="301">
        <f>Table22[[#This Row],[Acute RA label]]</f>
        <v>0</v>
      </c>
      <c r="H156" s="303">
        <f>Table22[[#This Row],[Acute RA IESTI new input value]]</f>
        <v>0</v>
      </c>
      <c r="I156" s="301">
        <f>Table22[[#This Row],[Acute RA IESTI new label]]</f>
        <v>0</v>
      </c>
      <c r="J156" s="65"/>
      <c r="K156" s="304">
        <f>Table22[[#This Row],[GAP under assessment]]</f>
        <v>0</v>
      </c>
      <c r="L156" s="304" t="str">
        <f>IF(input_values!$M156=0,"",input_values!$M156)</f>
        <v/>
      </c>
      <c r="M156" s="301" t="str">
        <f>IF(input_values!H156=0,"",input_values!H156)</f>
        <v/>
      </c>
      <c r="N156" s="304">
        <f>input_values!$K156</f>
        <v>0</v>
      </c>
      <c r="O156" s="309"/>
      <c r="P156" s="38"/>
      <c r="Q156" s="306"/>
      <c r="R156" s="309"/>
      <c r="S156" s="336" t="str">
        <f t="shared" si="24"/>
        <v/>
      </c>
      <c r="T156" s="305"/>
      <c r="U156" s="309"/>
      <c r="V156" s="305"/>
      <c r="W156" s="309"/>
      <c r="X156" s="611" t="str">
        <f>IF(V156="ND","ND",IF(S156="","",IF(OR(MID(C156,1,4)="milk",AND(MID(B156,1,2)="50",NOT(input_values!M156="Y")),AND(MID(B156,1,2)="40",NOT(input_values!M156="Y")),AND(MID(B156,1,2)="30",NOT(input_values!M156="Y"))),3,IF(OR(V156="&lt;25",B156&gt;1000000),1,IF((T156&gt;=S156),"2b","2a")))))</f>
        <v/>
      </c>
      <c r="Y156" s="38" t="str">
        <f>IF(X156="ND","ND",IF(S156="","",IF(input_values!K156&gt;0,input_values!K156,IF(OR(X156=1,X156=3),1,IF((V156&gt;250),5,7)))))</f>
        <v/>
      </c>
      <c r="Z156" s="335" t="str">
        <f t="shared" si="20"/>
        <v/>
      </c>
      <c r="AA156" s="311">
        <f t="shared" si="21"/>
        <v>0</v>
      </c>
      <c r="AB156" s="38" t="str">
        <f t="shared" si="25"/>
        <v/>
      </c>
      <c r="AC156" s="335" t="str">
        <f t="shared" si="26"/>
        <v/>
      </c>
      <c r="AD156" s="311">
        <f t="shared" si="22"/>
        <v>0</v>
      </c>
      <c r="AE156" s="344" t="str">
        <f t="shared" si="27"/>
        <v/>
      </c>
      <c r="AF156" s="344" t="str">
        <f t="shared" si="28"/>
        <v/>
      </c>
      <c r="AG156" s="561" t="str">
        <f t="shared" si="23"/>
        <v/>
      </c>
      <c r="AH156" s="561" t="str">
        <f t="shared" si="29"/>
        <v/>
      </c>
      <c r="AI156" s="576"/>
      <c r="AJ156" s="847"/>
    </row>
    <row r="157" spans="1:36" ht="12.6" customHeight="1" outlineLevel="2" x14ac:dyDescent="0.2">
      <c r="A157" s="132">
        <f>acute_overview_children!A157</f>
        <v>3</v>
      </c>
      <c r="B157" s="3">
        <f>acute_overview_children!B157</f>
        <v>244000</v>
      </c>
      <c r="C157" s="3" t="s">
        <v>719</v>
      </c>
      <c r="D157" s="300">
        <f>Table22[[#This Row],[Level used for acute calculation]]</f>
        <v>3</v>
      </c>
      <c r="E157" s="302">
        <f>Table22[[#This Row],[MRL individual commodity]]</f>
        <v>0</v>
      </c>
      <c r="F157" s="451">
        <f>Table22[[#This Row],[Acute RA input value]]</f>
        <v>0</v>
      </c>
      <c r="G157" s="301" t="str">
        <f>Table22[[#This Row],[Acute RA label]]</f>
        <v/>
      </c>
      <c r="H157" s="303">
        <f>Table22[[#This Row],[Acute RA IESTI new input value]]</f>
        <v>0</v>
      </c>
      <c r="I157" s="301" t="str">
        <f>Table22[[#This Row],[Acute RA IESTI new label]]</f>
        <v/>
      </c>
      <c r="J157" s="65"/>
      <c r="K157" s="304">
        <f>Table22[[#This Row],[GAP under assessment]]</f>
        <v>0</v>
      </c>
      <c r="L157" s="304" t="str">
        <f>IF(input_values!$M157=0,"",input_values!$M157)</f>
        <v/>
      </c>
      <c r="M157" s="301" t="str">
        <f>IF(input_values!H157=0,"",input_values!H157)</f>
        <v/>
      </c>
      <c r="N157" s="304">
        <f>input_values!$K157</f>
        <v>0</v>
      </c>
      <c r="O157" s="326">
        <v>2.82</v>
      </c>
      <c r="P157" s="22">
        <v>97.5</v>
      </c>
      <c r="Q157" s="327" t="s">
        <v>334</v>
      </c>
      <c r="R157" s="326">
        <v>67.47</v>
      </c>
      <c r="S157" s="328">
        <f t="shared" si="24"/>
        <v>190.2654</v>
      </c>
      <c r="T157" s="328">
        <v>265.39999999999998</v>
      </c>
      <c r="U157" s="326" t="s">
        <v>40</v>
      </c>
      <c r="V157" s="328">
        <v>351</v>
      </c>
      <c r="W157" s="326" t="s">
        <v>40</v>
      </c>
      <c r="X157" s="1464" t="str">
        <f>IF(V157="ND","ND",IF(S157="","",IF(OR(MID(C157,1,4)="milk",AND(MID(B157,1,2)="50",NOT(input_values!M157="Y")),AND(MID(B157,1,2)="40",NOT(input_values!M157="Y")),AND(MID(B157,1,2)="30",NOT(input_values!M157="Y"))),3,IF(OR(V157="&lt;25",B157&gt;1000000),1,IF((T157&gt;=S157),"2b","2a")))))</f>
        <v>2b</v>
      </c>
      <c r="Y157" s="22">
        <f>IF(X157="ND","ND",IF(S157="","",IF(input_values!K157&gt;0,input_values!K157,IF(OR(X157=1,X157=3),1,IF((V157&gt;250),5,7)))))</f>
        <v>5</v>
      </c>
      <c r="Z157" s="330" t="str">
        <f t="shared" si="20"/>
        <v/>
      </c>
      <c r="AA157" s="331">
        <f t="shared" si="21"/>
        <v>0</v>
      </c>
      <c r="AB157" s="128">
        <f t="shared" si="25"/>
        <v>3</v>
      </c>
      <c r="AC157" s="330" t="str">
        <f t="shared" si="26"/>
        <v/>
      </c>
      <c r="AD157" s="332">
        <f t="shared" si="22"/>
        <v>0</v>
      </c>
      <c r="AE157" s="333" t="str">
        <f t="shared" si="27"/>
        <v/>
      </c>
      <c r="AF157" s="333" t="str">
        <f t="shared" si="28"/>
        <v/>
      </c>
      <c r="AG157" s="561" t="str">
        <f t="shared" si="23"/>
        <v/>
      </c>
      <c r="AH157" s="561" t="str">
        <f t="shared" si="29"/>
        <v/>
      </c>
      <c r="AI157" s="576"/>
      <c r="AJ157" s="847"/>
    </row>
    <row r="158" spans="1:36" ht="24" outlineLevel="1" x14ac:dyDescent="0.2">
      <c r="A158" s="130">
        <f>acute_overview_children!A158</f>
        <v>2</v>
      </c>
      <c r="B158" s="131">
        <f>acute_overview_children!B158</f>
        <v>250000</v>
      </c>
      <c r="C158" s="131" t="s">
        <v>720</v>
      </c>
      <c r="D158" s="300">
        <f>Table22[[#This Row],[Level used for acute calculation]]</f>
        <v>4</v>
      </c>
      <c r="E158" s="302">
        <f>Table22[[#This Row],[MRL individual commodity]]</f>
        <v>0</v>
      </c>
      <c r="F158" s="451">
        <f>Table22[[#This Row],[Acute RA input value]]</f>
        <v>0</v>
      </c>
      <c r="G158" s="301">
        <f>Table22[[#This Row],[Acute RA label]]</f>
        <v>0</v>
      </c>
      <c r="H158" s="303">
        <f>Table22[[#This Row],[Acute RA IESTI new input value]]</f>
        <v>0</v>
      </c>
      <c r="I158" s="301">
        <f>Table22[[#This Row],[Acute RA IESTI new label]]</f>
        <v>0</v>
      </c>
      <c r="J158" s="65"/>
      <c r="K158" s="304">
        <f>Table22[[#This Row],[GAP under assessment]]</f>
        <v>0</v>
      </c>
      <c r="L158" s="304" t="str">
        <f>IF(input_values!$M158=0,"",input_values!$M158)</f>
        <v/>
      </c>
      <c r="M158" s="301" t="str">
        <f>IF(input_values!H158=0,"",input_values!H158)</f>
        <v/>
      </c>
      <c r="N158" s="304">
        <f>input_values!$K158</f>
        <v>0</v>
      </c>
      <c r="O158" s="309"/>
      <c r="P158" s="38"/>
      <c r="Q158" s="306"/>
      <c r="R158" s="309"/>
      <c r="S158" s="336" t="str">
        <f t="shared" si="24"/>
        <v/>
      </c>
      <c r="T158" s="315"/>
      <c r="U158" s="320"/>
      <c r="V158" s="315"/>
      <c r="W158" s="320"/>
      <c r="X158" s="611" t="str">
        <f>IF(V158="ND","ND",IF(S158="","",IF(OR(MID(C158,1,4)="milk",AND(MID(B158,1,2)="50",NOT(input_values!M158="Y")),AND(MID(B158,1,2)="40",NOT(input_values!M158="Y")),AND(MID(B158,1,2)="30",NOT(input_values!M158="Y"))),3,IF(OR(V158="&lt;25",B158&gt;1000000),1,IF((T158&gt;=S158),"2b","2a")))))</f>
        <v/>
      </c>
      <c r="Y158" s="38" t="str">
        <f>IF(X158="ND","ND",IF(S158="","",IF(input_values!K158&gt;0,input_values!K158,IF(OR(X158=1,X158=3),1,IF((V158&gt;250),5,7)))))</f>
        <v/>
      </c>
      <c r="Z158" s="335" t="str">
        <f t="shared" si="20"/>
        <v/>
      </c>
      <c r="AA158" s="311">
        <f t="shared" si="21"/>
        <v>0</v>
      </c>
      <c r="AB158" s="38" t="str">
        <f t="shared" si="25"/>
        <v/>
      </c>
      <c r="AC158" s="335" t="str">
        <f t="shared" si="26"/>
        <v/>
      </c>
      <c r="AD158" s="311">
        <f t="shared" si="22"/>
        <v>0</v>
      </c>
      <c r="AE158" s="344" t="str">
        <f t="shared" si="27"/>
        <v/>
      </c>
      <c r="AF158" s="344" t="str">
        <f t="shared" si="28"/>
        <v/>
      </c>
      <c r="AG158" s="561" t="str">
        <f t="shared" si="23"/>
        <v/>
      </c>
      <c r="AH158" s="561" t="str">
        <f t="shared" si="29"/>
        <v/>
      </c>
      <c r="AI158" s="576"/>
      <c r="AJ158" s="847"/>
    </row>
    <row r="159" spans="1:36" ht="24" outlineLevel="2" x14ac:dyDescent="0.2">
      <c r="A159" s="132">
        <f>acute_overview_children!A159</f>
        <v>3</v>
      </c>
      <c r="B159" s="3">
        <f>acute_overview_children!B159</f>
        <v>251000</v>
      </c>
      <c r="C159" s="3" t="s">
        <v>295</v>
      </c>
      <c r="D159" s="300">
        <f>Table22[[#This Row],[Level used for acute calculation]]</f>
        <v>4</v>
      </c>
      <c r="E159" s="302">
        <f>Table22[[#This Row],[MRL individual commodity]]</f>
        <v>0</v>
      </c>
      <c r="F159" s="451">
        <f>Table22[[#This Row],[Acute RA input value]]</f>
        <v>0</v>
      </c>
      <c r="G159" s="301">
        <f>Table22[[#This Row],[Acute RA label]]</f>
        <v>0</v>
      </c>
      <c r="H159" s="303">
        <f>Table22[[#This Row],[Acute RA IESTI new input value]]</f>
        <v>0</v>
      </c>
      <c r="I159" s="301">
        <f>Table22[[#This Row],[Acute RA IESTI new label]]</f>
        <v>0</v>
      </c>
      <c r="J159" s="65"/>
      <c r="K159" s="304">
        <f>Table22[[#This Row],[GAP under assessment]]</f>
        <v>0</v>
      </c>
      <c r="L159" s="304" t="str">
        <f>IF(input_values!$M159=0,"",input_values!$M159)</f>
        <v/>
      </c>
      <c r="M159" s="301" t="str">
        <f>IF(input_values!H159=0,"",input_values!H159)</f>
        <v/>
      </c>
      <c r="N159" s="304">
        <f>input_values!$K159</f>
        <v>0</v>
      </c>
      <c r="O159" s="309"/>
      <c r="P159" s="38"/>
      <c r="Q159" s="306"/>
      <c r="R159" s="309"/>
      <c r="S159" s="336" t="str">
        <f t="shared" si="24"/>
        <v/>
      </c>
      <c r="T159" s="342"/>
      <c r="U159" s="343"/>
      <c r="V159" s="342"/>
      <c r="W159" s="343"/>
      <c r="X159" s="611" t="str">
        <f>IF(V159="ND","ND",IF(S159="","",IF(OR(MID(C159,1,4)="milk",AND(MID(B159,1,2)="50",NOT(input_values!M159="Y")),AND(MID(B159,1,2)="40",NOT(input_values!M159="Y")),AND(MID(B159,1,2)="30",NOT(input_values!M159="Y"))),3,IF(OR(V159="&lt;25",B159&gt;1000000),1,IF((T159&gt;=S159),"2b","2a")))))</f>
        <v/>
      </c>
      <c r="Y159" s="38" t="str">
        <f>IF(X159="ND","ND",IF(S159="","",IF(input_values!K159&gt;0,input_values!K159,IF(OR(X159=1,X159=3),1,IF((V159&gt;250),5,7)))))</f>
        <v/>
      </c>
      <c r="Z159" s="335" t="str">
        <f t="shared" si="20"/>
        <v/>
      </c>
      <c r="AA159" s="311">
        <f t="shared" si="21"/>
        <v>0</v>
      </c>
      <c r="AB159" s="38" t="str">
        <f t="shared" si="25"/>
        <v/>
      </c>
      <c r="AC159" s="335" t="str">
        <f t="shared" si="26"/>
        <v/>
      </c>
      <c r="AD159" s="311">
        <f t="shared" si="22"/>
        <v>0</v>
      </c>
      <c r="AE159" s="344" t="str">
        <f t="shared" si="27"/>
        <v/>
      </c>
      <c r="AF159" s="344" t="str">
        <f t="shared" si="28"/>
        <v/>
      </c>
      <c r="AG159" s="561" t="str">
        <f t="shared" si="23"/>
        <v/>
      </c>
      <c r="AH159" s="561" t="str">
        <f t="shared" si="29"/>
        <v/>
      </c>
      <c r="AI159" s="576"/>
      <c r="AJ159" s="847"/>
    </row>
    <row r="160" spans="1:36" ht="12" customHeight="1" outlineLevel="3" x14ac:dyDescent="0.2">
      <c r="A160" s="39">
        <f>acute_overview_children!A160</f>
        <v>4</v>
      </c>
      <c r="B160" s="23">
        <f>acute_overview_children!B160</f>
        <v>251010</v>
      </c>
      <c r="C160" s="23" t="s">
        <v>721</v>
      </c>
      <c r="D160" s="300">
        <f>Table22[[#This Row],[Level used for acute calculation]]</f>
        <v>4</v>
      </c>
      <c r="E160" s="302">
        <f>Table22[[#This Row],[MRL individual commodity]]</f>
        <v>0</v>
      </c>
      <c r="F160" s="451">
        <f>Table22[[#This Row],[Acute RA input value]]</f>
        <v>0</v>
      </c>
      <c r="G160" s="301" t="str">
        <f>Table22[[#This Row],[Acute RA label]]</f>
        <v/>
      </c>
      <c r="H160" s="303">
        <f>Table22[[#This Row],[Acute RA IESTI new input value]]</f>
        <v>0</v>
      </c>
      <c r="I160" s="301" t="str">
        <f>Table22[[#This Row],[Acute RA IESTI new label]]</f>
        <v/>
      </c>
      <c r="J160" s="65"/>
      <c r="K160" s="304">
        <f>Table22[[#This Row],[GAP under assessment]]</f>
        <v>0</v>
      </c>
      <c r="L160" s="304" t="str">
        <f>IF(input_values!$M160=0,"",input_values!$M160)</f>
        <v/>
      </c>
      <c r="M160" s="301" t="str">
        <f>IF(input_values!H160=0,"",input_values!H160)</f>
        <v/>
      </c>
      <c r="N160" s="304">
        <f>input_values!$K160</f>
        <v>0</v>
      </c>
      <c r="O160" s="326">
        <v>1.8796992481203008</v>
      </c>
      <c r="P160" s="22">
        <v>97.5</v>
      </c>
      <c r="Q160" s="327" t="s">
        <v>244</v>
      </c>
      <c r="R160" s="326">
        <v>66.5</v>
      </c>
      <c r="S160" s="328">
        <f t="shared" si="24"/>
        <v>125</v>
      </c>
      <c r="T160" s="338" t="s">
        <v>617</v>
      </c>
      <c r="U160" s="339" t="s">
        <v>215</v>
      </c>
      <c r="V160" s="338" t="s">
        <v>617</v>
      </c>
      <c r="W160" s="339" t="s">
        <v>215</v>
      </c>
      <c r="X160" s="1464">
        <f>IF(V160="ND","ND",IF(S160="","",IF(OR(MID(C160,1,4)="milk",AND(MID(B160,1,2)="50",NOT(input_values!M160="Y")),AND(MID(B160,1,2)="40",NOT(input_values!M160="Y")),AND(MID(B160,1,2)="30",NOT(input_values!M160="Y"))),3,IF(OR(V160="&lt;25",B160&gt;1000000),1,IF((T160&gt;=S160),"2b","2a")))))</f>
        <v>1</v>
      </c>
      <c r="Y160" s="22">
        <f>IF(X160="ND","ND",IF(S160="","",IF(input_values!K160&gt;0,input_values!K160,IF(OR(X160=1,X160=3),1,IF((V160&gt;250),5,7)))))</f>
        <v>1</v>
      </c>
      <c r="Z160" s="330" t="str">
        <f t="shared" si="20"/>
        <v/>
      </c>
      <c r="AA160" s="331">
        <f t="shared" si="21"/>
        <v>0</v>
      </c>
      <c r="AB160" s="128">
        <f t="shared" si="25"/>
        <v>1</v>
      </c>
      <c r="AC160" s="330" t="str">
        <f t="shared" si="26"/>
        <v/>
      </c>
      <c r="AD160" s="332">
        <f t="shared" si="22"/>
        <v>0</v>
      </c>
      <c r="AE160" s="333" t="str">
        <f t="shared" si="27"/>
        <v/>
      </c>
      <c r="AF160" s="333" t="str">
        <f t="shared" si="28"/>
        <v/>
      </c>
      <c r="AG160" s="561" t="str">
        <f t="shared" si="23"/>
        <v/>
      </c>
      <c r="AH160" s="561" t="str">
        <f t="shared" si="29"/>
        <v/>
      </c>
      <c r="AI160" s="576"/>
      <c r="AJ160" s="847"/>
    </row>
    <row r="161" spans="1:36" ht="12" customHeight="1" outlineLevel="3" x14ac:dyDescent="0.2">
      <c r="A161" s="39">
        <f>acute_overview_children!A161</f>
        <v>4</v>
      </c>
      <c r="B161" s="23">
        <f>acute_overview_children!B161</f>
        <v>251020</v>
      </c>
      <c r="C161" s="23" t="s">
        <v>722</v>
      </c>
      <c r="D161" s="300">
        <f>Table22[[#This Row],[Level used for acute calculation]]</f>
        <v>4</v>
      </c>
      <c r="E161" s="302">
        <f>Table22[[#This Row],[MRL individual commodity]]</f>
        <v>0</v>
      </c>
      <c r="F161" s="451">
        <f>Table22[[#This Row],[Acute RA input value]]</f>
        <v>0</v>
      </c>
      <c r="G161" s="301" t="str">
        <f>Table22[[#This Row],[Acute RA label]]</f>
        <v/>
      </c>
      <c r="H161" s="303">
        <f>Table22[[#This Row],[Acute RA IESTI new input value]]</f>
        <v>0</v>
      </c>
      <c r="I161" s="301" t="str">
        <f>Table22[[#This Row],[Acute RA IESTI new label]]</f>
        <v/>
      </c>
      <c r="J161" s="65"/>
      <c r="K161" s="304">
        <f>Table22[[#This Row],[GAP under assessment]]</f>
        <v>0</v>
      </c>
      <c r="L161" s="304" t="str">
        <f>IF(input_values!$M161=0,"",input_values!$M161)</f>
        <v/>
      </c>
      <c r="M161" s="301" t="str">
        <f>IF(input_values!H161=0,"",input_values!H161)</f>
        <v/>
      </c>
      <c r="N161" s="304">
        <f>input_values!$K161</f>
        <v>0</v>
      </c>
      <c r="O161" s="326">
        <v>2.4285714285714288</v>
      </c>
      <c r="P161" s="22" t="s">
        <v>328</v>
      </c>
      <c r="Q161" s="327" t="s">
        <v>99</v>
      </c>
      <c r="R161" s="326">
        <v>65.8</v>
      </c>
      <c r="S161" s="328">
        <f t="shared" si="24"/>
        <v>159.80000000000001</v>
      </c>
      <c r="T161" s="328">
        <v>289.92</v>
      </c>
      <c r="U161" s="326" t="s">
        <v>215</v>
      </c>
      <c r="V161" s="328">
        <v>302</v>
      </c>
      <c r="W161" s="326" t="s">
        <v>215</v>
      </c>
      <c r="X161" s="1464" t="str">
        <f>IF(V161="ND","ND",IF(S161="","",IF(OR(MID(C161,1,4)="milk",AND(MID(B161,1,2)="50",NOT(input_values!M161="Y")),AND(MID(B161,1,2)="40",NOT(input_values!M161="Y")),AND(MID(B161,1,2)="30",NOT(input_values!M161="Y"))),3,IF(OR(V161="&lt;25",B161&gt;1000000),1,IF((T161&gt;=S161),"2b","2a")))))</f>
        <v>2b</v>
      </c>
      <c r="Y161" s="22">
        <f>IF(X161="ND","ND",IF(S161="","",IF(input_values!K161&gt;0,input_values!K161,IF(OR(X161=1,X161=3),1,IF((V161&gt;250),5,7)))))</f>
        <v>5</v>
      </c>
      <c r="Z161" s="330" t="str">
        <f t="shared" si="20"/>
        <v/>
      </c>
      <c r="AA161" s="331">
        <f t="shared" si="21"/>
        <v>0</v>
      </c>
      <c r="AB161" s="128">
        <f t="shared" si="25"/>
        <v>3</v>
      </c>
      <c r="AC161" s="330" t="str">
        <f t="shared" si="26"/>
        <v/>
      </c>
      <c r="AD161" s="332">
        <f t="shared" si="22"/>
        <v>0</v>
      </c>
      <c r="AE161" s="333" t="str">
        <f t="shared" si="27"/>
        <v/>
      </c>
      <c r="AF161" s="333" t="str">
        <f t="shared" si="28"/>
        <v/>
      </c>
      <c r="AG161" s="561" t="str">
        <f t="shared" si="23"/>
        <v/>
      </c>
      <c r="AH161" s="561" t="str">
        <f t="shared" si="29"/>
        <v/>
      </c>
      <c r="AI161" s="576"/>
      <c r="AJ161" s="847"/>
    </row>
    <row r="162" spans="1:36" ht="12" customHeight="1" outlineLevel="3" x14ac:dyDescent="0.2">
      <c r="A162" s="39">
        <f>acute_overview_children!A162</f>
        <v>4</v>
      </c>
      <c r="B162" s="23">
        <f>acute_overview_children!B162</f>
        <v>251030</v>
      </c>
      <c r="C162" s="23" t="s">
        <v>723</v>
      </c>
      <c r="D162" s="300">
        <f>Table22[[#This Row],[Level used for acute calculation]]</f>
        <v>4</v>
      </c>
      <c r="E162" s="302">
        <f>Table22[[#This Row],[MRL individual commodity]]</f>
        <v>0</v>
      </c>
      <c r="F162" s="451">
        <f>Table22[[#This Row],[Acute RA input value]]</f>
        <v>0</v>
      </c>
      <c r="G162" s="301" t="str">
        <f>Table22[[#This Row],[Acute RA label]]</f>
        <v/>
      </c>
      <c r="H162" s="303">
        <f>Table22[[#This Row],[Acute RA IESTI new input value]]</f>
        <v>0</v>
      </c>
      <c r="I162" s="301" t="str">
        <f>Table22[[#This Row],[Acute RA IESTI new label]]</f>
        <v/>
      </c>
      <c r="J162" s="65"/>
      <c r="K162" s="304">
        <f>Table22[[#This Row],[GAP under assessment]]</f>
        <v>0</v>
      </c>
      <c r="L162" s="304" t="str">
        <f>IF(input_values!$M162=0,"",input_values!$M162)</f>
        <v/>
      </c>
      <c r="M162" s="301" t="str">
        <f>IF(input_values!H162=0,"",input_values!H162)</f>
        <v/>
      </c>
      <c r="N162" s="304">
        <f>input_values!$K162</f>
        <v>0</v>
      </c>
      <c r="O162" s="326">
        <v>4.9042553191489366</v>
      </c>
      <c r="P162" s="22" t="s">
        <v>328</v>
      </c>
      <c r="Q162" s="327" t="s">
        <v>99</v>
      </c>
      <c r="R162" s="326">
        <v>65.8</v>
      </c>
      <c r="S162" s="328">
        <f t="shared" si="24"/>
        <v>322.70000000000005</v>
      </c>
      <c r="T162" s="328">
        <v>251</v>
      </c>
      <c r="U162" s="326" t="s">
        <v>215</v>
      </c>
      <c r="V162" s="328">
        <v>431</v>
      </c>
      <c r="W162" s="326" t="s">
        <v>215</v>
      </c>
      <c r="X162" s="1464" t="str">
        <f>IF(V162="ND","ND",IF(S162="","",IF(OR(MID(C162,1,4)="milk",AND(MID(B162,1,2)="50",NOT(input_values!M162="Y")),AND(MID(B162,1,2)="40",NOT(input_values!M162="Y")),AND(MID(B162,1,2)="30",NOT(input_values!M162="Y"))),3,IF(OR(V162="&lt;25",B162&gt;1000000),1,IF((T162&gt;=S162),"2b","2a")))))</f>
        <v>2a</v>
      </c>
      <c r="Y162" s="22">
        <f>IF(X162="ND","ND",IF(S162="","",IF(input_values!K162&gt;0,input_values!K162,IF(OR(X162=1,X162=3),1,IF((V162&gt;250),5,7)))))</f>
        <v>5</v>
      </c>
      <c r="Z162" s="330" t="str">
        <f t="shared" si="20"/>
        <v/>
      </c>
      <c r="AA162" s="331">
        <f t="shared" si="21"/>
        <v>0</v>
      </c>
      <c r="AB162" s="128">
        <f t="shared" si="25"/>
        <v>3</v>
      </c>
      <c r="AC162" s="330" t="str">
        <f t="shared" si="26"/>
        <v/>
      </c>
      <c r="AD162" s="332">
        <f t="shared" si="22"/>
        <v>0</v>
      </c>
      <c r="AE162" s="333" t="str">
        <f t="shared" si="27"/>
        <v/>
      </c>
      <c r="AF162" s="333" t="str">
        <f t="shared" si="28"/>
        <v/>
      </c>
      <c r="AG162" s="561" t="str">
        <f t="shared" si="23"/>
        <v/>
      </c>
      <c r="AH162" s="561" t="str">
        <f t="shared" si="29"/>
        <v/>
      </c>
      <c r="AI162" s="576"/>
      <c r="AJ162" s="847"/>
    </row>
    <row r="163" spans="1:36" ht="12" customHeight="1" outlineLevel="3" x14ac:dyDescent="0.2">
      <c r="A163" s="39">
        <f>acute_overview_children!A163</f>
        <v>4</v>
      </c>
      <c r="B163" s="23">
        <f>acute_overview_children!B163</f>
        <v>251040</v>
      </c>
      <c r="C163" s="23" t="s">
        <v>724</v>
      </c>
      <c r="D163" s="300">
        <f>Table22[[#This Row],[Level used for acute calculation]]</f>
        <v>4</v>
      </c>
      <c r="E163" s="302">
        <f>Table22[[#This Row],[MRL individual commodity]]</f>
        <v>0</v>
      </c>
      <c r="F163" s="451">
        <f>Table22[[#This Row],[Acute RA input value]]</f>
        <v>0</v>
      </c>
      <c r="G163" s="301" t="str">
        <f>Table22[[#This Row],[Acute RA label]]</f>
        <v/>
      </c>
      <c r="H163" s="303">
        <f>Table22[[#This Row],[Acute RA IESTI new input value]]</f>
        <v>0</v>
      </c>
      <c r="I163" s="301" t="str">
        <f>Table22[[#This Row],[Acute RA IESTI new label]]</f>
        <v/>
      </c>
      <c r="J163" s="65"/>
      <c r="K163" s="304">
        <f>Table22[[#This Row],[GAP under assessment]]</f>
        <v>0</v>
      </c>
      <c r="L163" s="304" t="str">
        <f>IF(input_values!$M163=0,"",input_values!$M163)</f>
        <v/>
      </c>
      <c r="M163" s="301" t="str">
        <f>IF(input_values!H163=0,"",input_values!H163)</f>
        <v/>
      </c>
      <c r="N163" s="304">
        <f>input_values!$K163</f>
        <v>0</v>
      </c>
      <c r="O163" s="326">
        <v>0.37781109445277361</v>
      </c>
      <c r="P163" s="22">
        <v>97.5</v>
      </c>
      <c r="Q163" s="327" t="s">
        <v>255</v>
      </c>
      <c r="R163" s="326">
        <v>66.7</v>
      </c>
      <c r="S163" s="328">
        <f t="shared" si="24"/>
        <v>25.2</v>
      </c>
      <c r="T163" s="338" t="s">
        <v>617</v>
      </c>
      <c r="U163" s="339" t="s">
        <v>215</v>
      </c>
      <c r="V163" s="338" t="s">
        <v>617</v>
      </c>
      <c r="W163" s="339" t="s">
        <v>215</v>
      </c>
      <c r="X163" s="1464">
        <f>IF(V163="ND","ND",IF(S163="","",IF(OR(MID(C163,1,4)="milk",AND(MID(B163,1,2)="50",NOT(input_values!M163="Y")),AND(MID(B163,1,2)="40",NOT(input_values!M163="Y")),AND(MID(B163,1,2)="30",NOT(input_values!M163="Y"))),3,IF(OR(V163="&lt;25",B163&gt;1000000),1,IF((T163&gt;=S163),"2b","2a")))))</f>
        <v>1</v>
      </c>
      <c r="Y163" s="22">
        <f>IF(X163="ND","ND",IF(S163="","",IF(input_values!K163&gt;0,input_values!K163,IF(OR(X163=1,X163=3),1,IF((V163&gt;250),5,7)))))</f>
        <v>1</v>
      </c>
      <c r="Z163" s="330" t="str">
        <f t="shared" si="20"/>
        <v/>
      </c>
      <c r="AA163" s="331">
        <f t="shared" si="21"/>
        <v>0</v>
      </c>
      <c r="AB163" s="128">
        <f t="shared" si="25"/>
        <v>1</v>
      </c>
      <c r="AC163" s="330" t="str">
        <f t="shared" si="26"/>
        <v/>
      </c>
      <c r="AD163" s="332">
        <f t="shared" si="22"/>
        <v>0</v>
      </c>
      <c r="AE163" s="333" t="str">
        <f t="shared" si="27"/>
        <v/>
      </c>
      <c r="AF163" s="333" t="str">
        <f t="shared" si="28"/>
        <v/>
      </c>
      <c r="AG163" s="561" t="str">
        <f t="shared" si="23"/>
        <v/>
      </c>
      <c r="AH163" s="561" t="str">
        <f t="shared" si="29"/>
        <v/>
      </c>
      <c r="AI163" s="576"/>
      <c r="AJ163" s="847"/>
    </row>
    <row r="164" spans="1:36" ht="12" customHeight="1" outlineLevel="3" x14ac:dyDescent="0.2">
      <c r="A164" s="39">
        <f>acute_overview_children!A164</f>
        <v>4</v>
      </c>
      <c r="B164" s="23">
        <f>acute_overview_children!B164</f>
        <v>251050</v>
      </c>
      <c r="C164" s="23" t="s">
        <v>127</v>
      </c>
      <c r="D164" s="300">
        <f>Table22[[#This Row],[Level used for acute calculation]]</f>
        <v>4</v>
      </c>
      <c r="E164" s="302">
        <f>Table22[[#This Row],[MRL individual commodity]]</f>
        <v>0</v>
      </c>
      <c r="F164" s="451">
        <f>Table22[[#This Row],[Acute RA input value]]</f>
        <v>0</v>
      </c>
      <c r="G164" s="301" t="str">
        <f>Table22[[#This Row],[Acute RA label]]</f>
        <v/>
      </c>
      <c r="H164" s="303">
        <f>Table22[[#This Row],[Acute RA IESTI new input value]]</f>
        <v>0</v>
      </c>
      <c r="I164" s="301" t="str">
        <f>Table22[[#This Row],[Acute RA IESTI new label]]</f>
        <v/>
      </c>
      <c r="J164" s="65"/>
      <c r="K164" s="304">
        <f>Table22[[#This Row],[GAP under assessment]]</f>
        <v>0</v>
      </c>
      <c r="L164" s="304" t="str">
        <f>IF(input_values!$M164=0,"",input_values!$M164)</f>
        <v/>
      </c>
      <c r="M164" s="301" t="str">
        <f>IF(input_values!H164=0,"",input_values!H164)</f>
        <v/>
      </c>
      <c r="N164" s="304">
        <f>input_values!$K164</f>
        <v>0</v>
      </c>
      <c r="O164" s="338" t="s">
        <v>618</v>
      </c>
      <c r="P164" s="22"/>
      <c r="Q164" s="327"/>
      <c r="R164" s="326"/>
      <c r="S164" s="31" t="str">
        <f t="shared" si="24"/>
        <v>ND</v>
      </c>
      <c r="T164" s="338" t="s">
        <v>618</v>
      </c>
      <c r="U164" s="326"/>
      <c r="V164" s="338" t="s">
        <v>618</v>
      </c>
      <c r="W164" s="326"/>
      <c r="X164" s="460" t="str">
        <f>IF(V164="ND","ND",IF(S164="","",IF(OR(MID(C164,1,4)="milk",AND(MID(B164,1,2)="50",NOT(input_values!M164="Y")),AND(MID(B164,1,2)="40",NOT(input_values!M164="Y")),AND(MID(B164,1,2)="30",NOT(input_values!M164="Y"))),3,IF(OR(V164="&lt;25",B164&gt;1000000),1,IF((T164&gt;=S164),"2b","2a")))))</f>
        <v>ND</v>
      </c>
      <c r="Y164" s="22" t="str">
        <f>IF(X164="ND","ND",IF(S164="","",IF(input_values!K164&gt;0,input_values!K164,IF(OR(X164=1,X164=3),1,IF((V164&gt;250),5,7)))))</f>
        <v>ND</v>
      </c>
      <c r="Z164" s="340" t="str">
        <f t="shared" si="20"/>
        <v/>
      </c>
      <c r="AA164" s="332">
        <f t="shared" si="21"/>
        <v>0</v>
      </c>
      <c r="AB164" s="128" t="str">
        <f t="shared" si="25"/>
        <v>ND</v>
      </c>
      <c r="AC164" s="340" t="str">
        <f t="shared" si="26"/>
        <v/>
      </c>
      <c r="AD164" s="332">
        <f t="shared" si="22"/>
        <v>0</v>
      </c>
      <c r="AE164" s="37" t="str">
        <f t="shared" si="27"/>
        <v/>
      </c>
      <c r="AF164" s="37" t="str">
        <f t="shared" si="28"/>
        <v/>
      </c>
      <c r="AG164" s="561" t="str">
        <f t="shared" si="23"/>
        <v/>
      </c>
      <c r="AH164" s="561" t="str">
        <f t="shared" si="29"/>
        <v/>
      </c>
      <c r="AI164" s="576"/>
      <c r="AJ164" s="847"/>
    </row>
    <row r="165" spans="1:36" ht="12" customHeight="1" outlineLevel="3" x14ac:dyDescent="0.2">
      <c r="A165" s="39">
        <f>acute_overview_children!A165</f>
        <v>4</v>
      </c>
      <c r="B165" s="23">
        <f>acute_overview_children!B165</f>
        <v>251060</v>
      </c>
      <c r="C165" s="23" t="s">
        <v>725</v>
      </c>
      <c r="D165" s="300">
        <f>Table22[[#This Row],[Level used for acute calculation]]</f>
        <v>4</v>
      </c>
      <c r="E165" s="302">
        <f>Table22[[#This Row],[MRL individual commodity]]</f>
        <v>0</v>
      </c>
      <c r="F165" s="451">
        <f>Table22[[#This Row],[Acute RA input value]]</f>
        <v>0</v>
      </c>
      <c r="G165" s="301" t="str">
        <f>Table22[[#This Row],[Acute RA label]]</f>
        <v/>
      </c>
      <c r="H165" s="303">
        <f>Table22[[#This Row],[Acute RA IESTI new input value]]</f>
        <v>0</v>
      </c>
      <c r="I165" s="301" t="str">
        <f>Table22[[#This Row],[Acute RA IESTI new label]]</f>
        <v/>
      </c>
      <c r="J165" s="65"/>
      <c r="K165" s="304">
        <f>Table22[[#This Row],[GAP under assessment]]</f>
        <v>0</v>
      </c>
      <c r="L165" s="304" t="str">
        <f>IF(input_values!$M165=0,"",input_values!$M165)</f>
        <v/>
      </c>
      <c r="M165" s="301" t="str">
        <f>IF(input_values!H165=0,"",input_values!H165)</f>
        <v/>
      </c>
      <c r="N165" s="304">
        <f>input_values!$K165</f>
        <v>0</v>
      </c>
      <c r="O165" s="339">
        <v>1.1823708206686929</v>
      </c>
      <c r="P165" s="22" t="s">
        <v>331</v>
      </c>
      <c r="Q165" s="327" t="s">
        <v>99</v>
      </c>
      <c r="R165" s="326">
        <v>65.8</v>
      </c>
      <c r="S165" s="328">
        <f t="shared" si="24"/>
        <v>77.8</v>
      </c>
      <c r="T165" s="338" t="s">
        <v>617</v>
      </c>
      <c r="U165" s="339" t="s">
        <v>215</v>
      </c>
      <c r="V165" s="338" t="s">
        <v>617</v>
      </c>
      <c r="W165" s="339" t="s">
        <v>215</v>
      </c>
      <c r="X165" s="460">
        <f>IF(V165="ND","ND",IF(S165="","",IF(OR(MID(C165,1,4)="milk",AND(MID(B165,1,2)="50",NOT(input_values!M165="Y")),AND(MID(B165,1,2)="40",NOT(input_values!M165="Y")),AND(MID(B165,1,2)="30",NOT(input_values!M165="Y"))),3,IF(OR(V165="&lt;25",B165&gt;1000000),1,IF((T165&gt;=S165),"2b","2a")))))</f>
        <v>1</v>
      </c>
      <c r="Y165" s="22">
        <f>IF(X165="ND","ND",IF(S165="","",IF(input_values!K165&gt;0,input_values!K165,IF(OR(X165=1,X165=3),1,IF((V165&gt;250),5,7)))))</f>
        <v>1</v>
      </c>
      <c r="Z165" s="345" t="str">
        <f t="shared" si="20"/>
        <v/>
      </c>
      <c r="AA165" s="332">
        <f t="shared" si="21"/>
        <v>0</v>
      </c>
      <c r="AB165" s="128">
        <f t="shared" si="25"/>
        <v>1</v>
      </c>
      <c r="AC165" s="345" t="str">
        <f t="shared" si="26"/>
        <v/>
      </c>
      <c r="AD165" s="332">
        <f t="shared" si="22"/>
        <v>0</v>
      </c>
      <c r="AE165" s="40" t="str">
        <f t="shared" si="27"/>
        <v/>
      </c>
      <c r="AF165" s="40" t="str">
        <f t="shared" si="28"/>
        <v/>
      </c>
      <c r="AG165" s="561" t="str">
        <f t="shared" si="23"/>
        <v/>
      </c>
      <c r="AH165" s="561" t="str">
        <f t="shared" si="29"/>
        <v/>
      </c>
      <c r="AI165" s="576"/>
      <c r="AJ165" s="847"/>
    </row>
    <row r="166" spans="1:36" ht="12" customHeight="1" outlineLevel="3" x14ac:dyDescent="0.2">
      <c r="A166" s="39">
        <f>acute_overview_children!A166</f>
        <v>4</v>
      </c>
      <c r="B166" s="23">
        <f>acute_overview_children!B166</f>
        <v>251070</v>
      </c>
      <c r="C166" s="23" t="s">
        <v>726</v>
      </c>
      <c r="D166" s="300">
        <f>Table22[[#This Row],[Level used for acute calculation]]</f>
        <v>4</v>
      </c>
      <c r="E166" s="302">
        <f>Table22[[#This Row],[MRL individual commodity]]</f>
        <v>0</v>
      </c>
      <c r="F166" s="451">
        <f>Table22[[#This Row],[Acute RA input value]]</f>
        <v>0</v>
      </c>
      <c r="G166" s="301" t="str">
        <f>Table22[[#This Row],[Acute RA label]]</f>
        <v/>
      </c>
      <c r="H166" s="303">
        <f>Table22[[#This Row],[Acute RA IESTI new input value]]</f>
        <v>0</v>
      </c>
      <c r="I166" s="301" t="str">
        <f>Table22[[#This Row],[Acute RA IESTI new label]]</f>
        <v/>
      </c>
      <c r="J166" s="65"/>
      <c r="K166" s="304">
        <f>Table22[[#This Row],[GAP under assessment]]</f>
        <v>0</v>
      </c>
      <c r="L166" s="304" t="str">
        <f>IF(input_values!$M166=0,"",input_values!$M166)</f>
        <v/>
      </c>
      <c r="M166" s="301" t="str">
        <f>IF(input_values!H166=0,"",input_values!H166)</f>
        <v/>
      </c>
      <c r="N166" s="304">
        <f>input_values!$K166</f>
        <v>0</v>
      </c>
      <c r="O166" s="338">
        <v>0.75835866261398177</v>
      </c>
      <c r="P166" s="22" t="s">
        <v>331</v>
      </c>
      <c r="Q166" s="327" t="s">
        <v>99</v>
      </c>
      <c r="R166" s="326">
        <v>65.8</v>
      </c>
      <c r="S166" s="328">
        <f t="shared" si="24"/>
        <v>49.9</v>
      </c>
      <c r="T166" s="338">
        <v>250</v>
      </c>
      <c r="U166" s="339" t="s">
        <v>215</v>
      </c>
      <c r="V166" s="338">
        <v>250</v>
      </c>
      <c r="W166" s="339" t="s">
        <v>215</v>
      </c>
      <c r="X166" s="460" t="str">
        <f>IF(V166="ND","ND",IF(S166="","",IF(OR(MID(C166,1,4)="milk",AND(MID(B166,1,2)="50",NOT(input_values!M166="Y")),AND(MID(B166,1,2)="40",NOT(input_values!M166="Y")),AND(MID(B166,1,2)="30",NOT(input_values!M166="Y"))),3,IF(OR(V166="&lt;25",B166&gt;1000000),1,IF((T166&gt;=S166),"2b","2a")))))</f>
        <v>2b</v>
      </c>
      <c r="Y166" s="22">
        <f>IF(X166="ND","ND",IF(S166="","",IF(input_values!K166&gt;0,input_values!K166,IF(OR(X166=1,X166=3),1,IF((V166&gt;250),5,7)))))</f>
        <v>7</v>
      </c>
      <c r="Z166" s="340" t="str">
        <f t="shared" si="20"/>
        <v/>
      </c>
      <c r="AA166" s="332">
        <f t="shared" si="21"/>
        <v>0</v>
      </c>
      <c r="AB166" s="128">
        <f t="shared" si="25"/>
        <v>3</v>
      </c>
      <c r="AC166" s="340" t="str">
        <f t="shared" si="26"/>
        <v/>
      </c>
      <c r="AD166" s="332">
        <f t="shared" si="22"/>
        <v>0</v>
      </c>
      <c r="AE166" s="37" t="str">
        <f t="shared" si="27"/>
        <v/>
      </c>
      <c r="AF166" s="37" t="str">
        <f t="shared" si="28"/>
        <v/>
      </c>
      <c r="AG166" s="561" t="str">
        <f t="shared" si="23"/>
        <v/>
      </c>
      <c r="AH166" s="561" t="str">
        <f t="shared" si="29"/>
        <v/>
      </c>
      <c r="AI166" s="576"/>
      <c r="AJ166" s="847"/>
    </row>
    <row r="167" spans="1:36" ht="12" customHeight="1" outlineLevel="3" x14ac:dyDescent="0.2">
      <c r="A167" s="39">
        <f>acute_overview_children!A167</f>
        <v>4</v>
      </c>
      <c r="B167" s="23">
        <f>acute_overview_children!B167</f>
        <v>251080</v>
      </c>
      <c r="C167" s="23" t="s">
        <v>727</v>
      </c>
      <c r="D167" s="300">
        <f>Table22[[#This Row],[Level used for acute calculation]]</f>
        <v>4</v>
      </c>
      <c r="E167" s="302">
        <f>Table22[[#This Row],[MRL individual commodity]]</f>
        <v>0</v>
      </c>
      <c r="F167" s="451">
        <f>Table22[[#This Row],[Acute RA input value]]</f>
        <v>0</v>
      </c>
      <c r="G167" s="301" t="str">
        <f>Table22[[#This Row],[Acute RA label]]</f>
        <v/>
      </c>
      <c r="H167" s="303">
        <f>Table22[[#This Row],[Acute RA IESTI new input value]]</f>
        <v>0</v>
      </c>
      <c r="I167" s="301" t="str">
        <f>Table22[[#This Row],[Acute RA IESTI new label]]</f>
        <v/>
      </c>
      <c r="J167" s="65"/>
      <c r="K167" s="304">
        <f>Table22[[#This Row],[GAP under assessment]]</f>
        <v>0</v>
      </c>
      <c r="L167" s="304" t="str">
        <f>IF(input_values!$M167=0,"",input_values!$M167)</f>
        <v/>
      </c>
      <c r="M167" s="301" t="str">
        <f>IF(input_values!H167=0,"",input_values!H167)</f>
        <v/>
      </c>
      <c r="N167" s="304">
        <f>input_values!$K167</f>
        <v>0</v>
      </c>
      <c r="O167" s="338" t="s">
        <v>618</v>
      </c>
      <c r="P167" s="22"/>
      <c r="Q167" s="327"/>
      <c r="R167" s="326"/>
      <c r="S167" s="31" t="str">
        <f t="shared" si="24"/>
        <v>ND</v>
      </c>
      <c r="T167" s="338" t="s">
        <v>617</v>
      </c>
      <c r="U167" s="339" t="s">
        <v>215</v>
      </c>
      <c r="V167" s="338" t="s">
        <v>617</v>
      </c>
      <c r="W167" s="339" t="s">
        <v>215</v>
      </c>
      <c r="X167" s="460">
        <f>IF(V167="ND","ND",IF(S167="","",IF(OR(MID(C167,1,4)="milk",AND(MID(B167,1,2)="50",NOT(input_values!M167="Y")),AND(MID(B167,1,2)="40",NOT(input_values!M167="Y")),AND(MID(B167,1,2)="30",NOT(input_values!M167="Y"))),3,IF(OR(V167="&lt;25",B167&gt;1000000),1,IF((T167&gt;=S167),"2b","2a")))))</f>
        <v>1</v>
      </c>
      <c r="Y167" s="22">
        <f>IF(X167="ND","ND",IF(S167="","",IF(input_values!K167&gt;0,input_values!K167,IF(OR(X167=1,X167=3),1,IF((V167&gt;250),5,7)))))</f>
        <v>1</v>
      </c>
      <c r="Z167" s="340" t="str">
        <f t="shared" si="20"/>
        <v/>
      </c>
      <c r="AA167" s="332">
        <f t="shared" si="21"/>
        <v>0</v>
      </c>
      <c r="AB167" s="128">
        <f t="shared" si="25"/>
        <v>1</v>
      </c>
      <c r="AC167" s="340" t="str">
        <f t="shared" si="26"/>
        <v/>
      </c>
      <c r="AD167" s="332">
        <f t="shared" si="22"/>
        <v>0</v>
      </c>
      <c r="AE167" s="37" t="str">
        <f t="shared" si="27"/>
        <v/>
      </c>
      <c r="AF167" s="37" t="str">
        <f t="shared" si="28"/>
        <v/>
      </c>
      <c r="AG167" s="561" t="str">
        <f t="shared" si="23"/>
        <v/>
      </c>
      <c r="AH167" s="561" t="str">
        <f t="shared" si="29"/>
        <v/>
      </c>
      <c r="AI167" s="576"/>
      <c r="AJ167" s="847"/>
    </row>
    <row r="168" spans="1:36" ht="12" customHeight="1" outlineLevel="3" x14ac:dyDescent="0.2">
      <c r="A168" s="39">
        <f>acute_overview_children!A168</f>
        <v>4</v>
      </c>
      <c r="B168" s="23">
        <f>acute_overview_children!B168</f>
        <v>251990</v>
      </c>
      <c r="C168" s="23" t="s">
        <v>173</v>
      </c>
      <c r="D168" s="300">
        <f>Table22[[#This Row],[Level used for acute calculation]]</f>
        <v>0</v>
      </c>
      <c r="E168" s="302">
        <f>Table22[[#This Row],[MRL individual commodity]]</f>
        <v>0</v>
      </c>
      <c r="F168" s="451">
        <f>Table22[[#This Row],[Acute RA input value]]</f>
        <v>0</v>
      </c>
      <c r="G168" s="301">
        <f>Table22[[#This Row],[Acute RA label]]</f>
        <v>0</v>
      </c>
      <c r="H168" s="303">
        <f>Table22[[#This Row],[Acute RA IESTI new input value]]</f>
        <v>0</v>
      </c>
      <c r="I168" s="301">
        <f>Table22[[#This Row],[Acute RA IESTI new label]]</f>
        <v>0</v>
      </c>
      <c r="J168" s="65"/>
      <c r="K168" s="304">
        <f>Table22[[#This Row],[GAP under assessment]]</f>
        <v>0</v>
      </c>
      <c r="L168" s="304" t="str">
        <f>IF(input_values!$M168=0,"",input_values!$M168)</f>
        <v/>
      </c>
      <c r="M168" s="301" t="str">
        <f>IF(input_values!H168=0,"",input_values!H168)</f>
        <v/>
      </c>
      <c r="N168" s="304">
        <f>input_values!$K168</f>
        <v>0</v>
      </c>
      <c r="O168" s="309"/>
      <c r="P168" s="38"/>
      <c r="Q168" s="306"/>
      <c r="R168" s="309"/>
      <c r="S168" s="336" t="str">
        <f t="shared" si="24"/>
        <v/>
      </c>
      <c r="T168" s="305"/>
      <c r="U168" s="309"/>
      <c r="V168" s="305"/>
      <c r="W168" s="309"/>
      <c r="X168" s="611" t="str">
        <f>IF(V168="ND","ND",IF(S168="","",IF(OR(MID(C168,1,4)="milk",AND(MID(B168,1,2)="50",NOT(input_values!M168="Y")),AND(MID(B168,1,2)="40",NOT(input_values!M168="Y")),AND(MID(B168,1,2)="30",NOT(input_values!M168="Y"))),3,IF(OR(V168="&lt;25",B168&gt;1000000),1,IF((T168&gt;=S168),"2b","2a")))))</f>
        <v/>
      </c>
      <c r="Y168" s="38" t="str">
        <f>IF(X168="ND","ND",IF(S168="","",IF(input_values!K168&gt;0,input_values!K168,IF(OR(X168=1,X168=3),1,IF((V168&gt;250),5,7)))))</f>
        <v/>
      </c>
      <c r="Z168" s="335" t="str">
        <f t="shared" si="20"/>
        <v/>
      </c>
      <c r="AA168" s="311">
        <f t="shared" si="21"/>
        <v>0</v>
      </c>
      <c r="AB168" s="38" t="str">
        <f t="shared" si="25"/>
        <v/>
      </c>
      <c r="AC168" s="335" t="str">
        <f t="shared" si="26"/>
        <v/>
      </c>
      <c r="AD168" s="311">
        <f t="shared" si="22"/>
        <v>0</v>
      </c>
      <c r="AE168" s="344" t="str">
        <f t="shared" si="27"/>
        <v/>
      </c>
      <c r="AF168" s="344" t="str">
        <f t="shared" si="28"/>
        <v/>
      </c>
      <c r="AG168" s="561" t="str">
        <f t="shared" si="23"/>
        <v/>
      </c>
      <c r="AH168" s="561" t="str">
        <f t="shared" si="29"/>
        <v/>
      </c>
      <c r="AI168" s="576"/>
      <c r="AJ168" s="847"/>
    </row>
    <row r="169" spans="1:36" outlineLevel="2" x14ac:dyDescent="0.2">
      <c r="A169" s="132">
        <f>acute_overview_children!A169</f>
        <v>3</v>
      </c>
      <c r="B169" s="3">
        <f>acute_overview_children!B169</f>
        <v>252000</v>
      </c>
      <c r="C169" s="3" t="s">
        <v>234</v>
      </c>
      <c r="D169" s="300">
        <f>Table22[[#This Row],[Level used for acute calculation]]</f>
        <v>4</v>
      </c>
      <c r="E169" s="302">
        <f>Table22[[#This Row],[MRL individual commodity]]</f>
        <v>0</v>
      </c>
      <c r="F169" s="451">
        <f>Table22[[#This Row],[Acute RA input value]]</f>
        <v>0</v>
      </c>
      <c r="G169" s="301">
        <f>Table22[[#This Row],[Acute RA label]]</f>
        <v>0</v>
      </c>
      <c r="H169" s="303">
        <f>Table22[[#This Row],[Acute RA IESTI new input value]]</f>
        <v>0</v>
      </c>
      <c r="I169" s="301">
        <f>Table22[[#This Row],[Acute RA IESTI new label]]</f>
        <v>0</v>
      </c>
      <c r="J169" s="65"/>
      <c r="K169" s="304">
        <f>Table22[[#This Row],[GAP under assessment]]</f>
        <v>0</v>
      </c>
      <c r="L169" s="304" t="str">
        <f>IF(input_values!$M169=0,"",input_values!$M169)</f>
        <v/>
      </c>
      <c r="M169" s="301" t="str">
        <f>IF(input_values!H169=0,"",input_values!H169)</f>
        <v/>
      </c>
      <c r="N169" s="304">
        <f>input_values!$K169</f>
        <v>0</v>
      </c>
      <c r="O169" s="309"/>
      <c r="P169" s="38"/>
      <c r="Q169" s="306"/>
      <c r="R169" s="309"/>
      <c r="S169" s="336" t="str">
        <f t="shared" si="24"/>
        <v/>
      </c>
      <c r="T169" s="342"/>
      <c r="U169" s="343"/>
      <c r="V169" s="342"/>
      <c r="W169" s="343"/>
      <c r="X169" s="611" t="str">
        <f>IF(V169="ND","ND",IF(S169="","",IF(OR(MID(C169,1,4)="milk",AND(MID(B169,1,2)="50",NOT(input_values!M169="Y")),AND(MID(B169,1,2)="40",NOT(input_values!M169="Y")),AND(MID(B169,1,2)="30",NOT(input_values!M169="Y"))),3,IF(OR(V169="&lt;25",B169&gt;1000000),1,IF((T169&gt;=S169),"2b","2a")))))</f>
        <v/>
      </c>
      <c r="Y169" s="38" t="str">
        <f>IF(X169="ND","ND",IF(S169="","",IF(input_values!K169&gt;0,input_values!K169,IF(OR(X169=1,X169=3),1,IF((V169&gt;250),5,7)))))</f>
        <v/>
      </c>
      <c r="Z169" s="335" t="str">
        <f t="shared" si="20"/>
        <v/>
      </c>
      <c r="AA169" s="311">
        <f t="shared" si="21"/>
        <v>0</v>
      </c>
      <c r="AB169" s="38" t="str">
        <f t="shared" si="25"/>
        <v/>
      </c>
      <c r="AC169" s="335" t="str">
        <f t="shared" si="26"/>
        <v/>
      </c>
      <c r="AD169" s="311">
        <f t="shared" si="22"/>
        <v>0</v>
      </c>
      <c r="AE169" s="344" t="str">
        <f t="shared" si="27"/>
        <v/>
      </c>
      <c r="AF169" s="344" t="str">
        <f t="shared" si="28"/>
        <v/>
      </c>
      <c r="AG169" s="561" t="str">
        <f t="shared" si="23"/>
        <v/>
      </c>
      <c r="AH169" s="561" t="str">
        <f t="shared" si="29"/>
        <v/>
      </c>
      <c r="AI169" s="576"/>
      <c r="AJ169" s="847"/>
    </row>
    <row r="170" spans="1:36" ht="12" customHeight="1" outlineLevel="3" x14ac:dyDescent="0.2">
      <c r="A170" s="39">
        <f>acute_overview_children!A170</f>
        <v>4</v>
      </c>
      <c r="B170" s="23">
        <f>acute_overview_children!B170</f>
        <v>252010</v>
      </c>
      <c r="C170" s="23" t="s">
        <v>728</v>
      </c>
      <c r="D170" s="300">
        <f>Table22[[#This Row],[Level used for acute calculation]]</f>
        <v>4</v>
      </c>
      <c r="E170" s="302">
        <f>Table22[[#This Row],[MRL individual commodity]]</f>
        <v>0</v>
      </c>
      <c r="F170" s="451">
        <f>Table22[[#This Row],[Acute RA input value]]</f>
        <v>0</v>
      </c>
      <c r="G170" s="301" t="str">
        <f>Table22[[#This Row],[Acute RA label]]</f>
        <v/>
      </c>
      <c r="H170" s="303">
        <f>Table22[[#This Row],[Acute RA IESTI new input value]]</f>
        <v>0</v>
      </c>
      <c r="I170" s="301" t="str">
        <f>Table22[[#This Row],[Acute RA IESTI new label]]</f>
        <v/>
      </c>
      <c r="J170" s="65"/>
      <c r="K170" s="304">
        <f>Table22[[#This Row],[GAP under assessment]]</f>
        <v>0</v>
      </c>
      <c r="L170" s="304" t="str">
        <f>IF(input_values!$M170=0,"",input_values!$M170)</f>
        <v/>
      </c>
      <c r="M170" s="301" t="str">
        <f>IF(input_values!H170=0,"",input_values!H170)</f>
        <v/>
      </c>
      <c r="N170" s="304">
        <f>input_values!$K170</f>
        <v>0</v>
      </c>
      <c r="O170" s="326">
        <v>4</v>
      </c>
      <c r="P170" s="22">
        <v>95</v>
      </c>
      <c r="Q170" s="327" t="s">
        <v>313</v>
      </c>
      <c r="R170" s="326">
        <v>66.400000000000006</v>
      </c>
      <c r="S170" s="328">
        <f t="shared" si="24"/>
        <v>265.60000000000002</v>
      </c>
      <c r="T170" s="338" t="s">
        <v>617</v>
      </c>
      <c r="U170" s="339" t="s">
        <v>215</v>
      </c>
      <c r="V170" s="338" t="s">
        <v>617</v>
      </c>
      <c r="W170" s="339" t="s">
        <v>215</v>
      </c>
      <c r="X170" s="1464">
        <f>IF(V170="ND","ND",IF(S170="","",IF(OR(MID(C170,1,4)="milk",AND(MID(B170,1,2)="50",NOT(input_values!M170="Y")),AND(MID(B170,1,2)="40",NOT(input_values!M170="Y")),AND(MID(B170,1,2)="30",NOT(input_values!M170="Y"))),3,IF(OR(V170="&lt;25",B170&gt;1000000),1,IF((T170&gt;=S170),"2b","2a")))))</f>
        <v>1</v>
      </c>
      <c r="Y170" s="22">
        <f>IF(X170="ND","ND",IF(S170="","",IF(input_values!K170&gt;0,input_values!K170,IF(OR(X170=1,X170=3),1,IF((V170&gt;250),5,7)))))</f>
        <v>1</v>
      </c>
      <c r="Z170" s="330" t="str">
        <f t="shared" si="20"/>
        <v/>
      </c>
      <c r="AA170" s="331">
        <f t="shared" si="21"/>
        <v>0</v>
      </c>
      <c r="AB170" s="128">
        <f t="shared" si="25"/>
        <v>1</v>
      </c>
      <c r="AC170" s="330" t="str">
        <f t="shared" si="26"/>
        <v/>
      </c>
      <c r="AD170" s="332">
        <f t="shared" si="22"/>
        <v>0</v>
      </c>
      <c r="AE170" s="333" t="str">
        <f t="shared" si="27"/>
        <v/>
      </c>
      <c r="AF170" s="333" t="str">
        <f t="shared" si="28"/>
        <v/>
      </c>
      <c r="AG170" s="561" t="str">
        <f t="shared" si="23"/>
        <v/>
      </c>
      <c r="AH170" s="561" t="str">
        <f t="shared" si="29"/>
        <v/>
      </c>
      <c r="AI170" s="576"/>
      <c r="AJ170" s="847"/>
    </row>
    <row r="171" spans="1:36" ht="12" customHeight="1" outlineLevel="3" x14ac:dyDescent="0.2">
      <c r="A171" s="39">
        <f>acute_overview_children!A171</f>
        <v>4</v>
      </c>
      <c r="B171" s="23">
        <f>acute_overview_children!B171</f>
        <v>252020</v>
      </c>
      <c r="C171" s="23" t="s">
        <v>729</v>
      </c>
      <c r="D171" s="300">
        <f>Table22[[#This Row],[Level used for acute calculation]]</f>
        <v>4</v>
      </c>
      <c r="E171" s="302">
        <f>Table22[[#This Row],[MRL individual commodity]]</f>
        <v>0</v>
      </c>
      <c r="F171" s="451">
        <f>Table22[[#This Row],[Acute RA input value]]</f>
        <v>0</v>
      </c>
      <c r="G171" s="301" t="str">
        <f>Table22[[#This Row],[Acute RA label]]</f>
        <v/>
      </c>
      <c r="H171" s="303">
        <f>Table22[[#This Row],[Acute RA IESTI new input value]]</f>
        <v>0</v>
      </c>
      <c r="I171" s="301" t="str">
        <f>Table22[[#This Row],[Acute RA IESTI new label]]</f>
        <v/>
      </c>
      <c r="J171" s="65"/>
      <c r="K171" s="304">
        <f>Table22[[#This Row],[GAP under assessment]]</f>
        <v>0</v>
      </c>
      <c r="L171" s="304" t="str">
        <f>IF(input_values!$M171=0,"",input_values!$M171)</f>
        <v/>
      </c>
      <c r="M171" s="301" t="str">
        <f>IF(input_values!H171=0,"",input_values!H171)</f>
        <v/>
      </c>
      <c r="N171" s="304">
        <f>input_values!$K171</f>
        <v>0</v>
      </c>
      <c r="O171" s="326">
        <v>1.9</v>
      </c>
      <c r="P171" s="22">
        <v>100</v>
      </c>
      <c r="Q171" s="327" t="s">
        <v>334</v>
      </c>
      <c r="R171" s="326">
        <v>67.47</v>
      </c>
      <c r="S171" s="328">
        <f t="shared" si="24"/>
        <v>128.19299999999998</v>
      </c>
      <c r="T171" s="338" t="s">
        <v>617</v>
      </c>
      <c r="U171" s="339" t="s">
        <v>215</v>
      </c>
      <c r="V171" s="338" t="s">
        <v>617</v>
      </c>
      <c r="W171" s="339" t="s">
        <v>215</v>
      </c>
      <c r="X171" s="1464">
        <f>IF(V171="ND","ND",IF(S171="","",IF(OR(MID(C171,1,4)="milk",AND(MID(B171,1,2)="50",NOT(input_values!M171="Y")),AND(MID(B171,1,2)="40",NOT(input_values!M171="Y")),AND(MID(B171,1,2)="30",NOT(input_values!M171="Y"))),3,IF(OR(V171="&lt;25",B171&gt;1000000),1,IF((T171&gt;=S171),"2b","2a")))))</f>
        <v>1</v>
      </c>
      <c r="Y171" s="22">
        <f>IF(X171="ND","ND",IF(S171="","",IF(input_values!K171&gt;0,input_values!K171,IF(OR(X171=1,X171=3),1,IF((V171&gt;250),5,7)))))</f>
        <v>1</v>
      </c>
      <c r="Z171" s="330" t="str">
        <f t="shared" si="20"/>
        <v/>
      </c>
      <c r="AA171" s="331">
        <f t="shared" si="21"/>
        <v>0</v>
      </c>
      <c r="AB171" s="128">
        <f t="shared" si="25"/>
        <v>1</v>
      </c>
      <c r="AC171" s="330" t="str">
        <f t="shared" si="26"/>
        <v/>
      </c>
      <c r="AD171" s="332">
        <f t="shared" si="22"/>
        <v>0</v>
      </c>
      <c r="AE171" s="333" t="str">
        <f t="shared" si="27"/>
        <v/>
      </c>
      <c r="AF171" s="333" t="str">
        <f t="shared" si="28"/>
        <v/>
      </c>
      <c r="AG171" s="561" t="str">
        <f t="shared" si="23"/>
        <v/>
      </c>
      <c r="AH171" s="561" t="str">
        <f t="shared" si="29"/>
        <v/>
      </c>
      <c r="AI171" s="576"/>
      <c r="AJ171" s="847"/>
    </row>
    <row r="172" spans="1:36" ht="12" customHeight="1" outlineLevel="3" x14ac:dyDescent="0.2">
      <c r="A172" s="39">
        <f>acute_overview_children!A172</f>
        <v>4</v>
      </c>
      <c r="B172" s="23">
        <f>acute_overview_children!B172</f>
        <v>252030</v>
      </c>
      <c r="C172" s="23" t="s">
        <v>730</v>
      </c>
      <c r="D172" s="300">
        <f>Table22[[#This Row],[Level used for acute calculation]]</f>
        <v>4</v>
      </c>
      <c r="E172" s="302">
        <f>Table22[[#This Row],[MRL individual commodity]]</f>
        <v>0</v>
      </c>
      <c r="F172" s="451">
        <f>Table22[[#This Row],[Acute RA input value]]</f>
        <v>0</v>
      </c>
      <c r="G172" s="301" t="str">
        <f>Table22[[#This Row],[Acute RA label]]</f>
        <v/>
      </c>
      <c r="H172" s="303">
        <f>Table22[[#This Row],[Acute RA IESTI new input value]]</f>
        <v>0</v>
      </c>
      <c r="I172" s="301" t="str">
        <f>Table22[[#This Row],[Acute RA IESTI new label]]</f>
        <v/>
      </c>
      <c r="J172" s="65"/>
      <c r="K172" s="304">
        <f>Table22[[#This Row],[GAP under assessment]]</f>
        <v>0</v>
      </c>
      <c r="L172" s="304" t="str">
        <f>IF(input_values!$M172=0,"",input_values!$M172)</f>
        <v/>
      </c>
      <c r="M172" s="301" t="str">
        <f>IF(input_values!H172=0,"",input_values!H172)</f>
        <v/>
      </c>
      <c r="N172" s="304">
        <f>input_values!$K172</f>
        <v>0</v>
      </c>
      <c r="O172" s="326">
        <v>2.9409999999999998</v>
      </c>
      <c r="P172" s="22">
        <v>97.5</v>
      </c>
      <c r="Q172" s="327" t="s">
        <v>99</v>
      </c>
      <c r="R172" s="326">
        <v>65.8</v>
      </c>
      <c r="S172" s="328">
        <f t="shared" si="24"/>
        <v>193.51779999999999</v>
      </c>
      <c r="T172" s="338">
        <v>175</v>
      </c>
      <c r="U172" s="339" t="s">
        <v>215</v>
      </c>
      <c r="V172" s="338">
        <v>175</v>
      </c>
      <c r="W172" s="339" t="s">
        <v>215</v>
      </c>
      <c r="X172" s="1464" t="str">
        <f>IF(V172="ND","ND",IF(S172="","",IF(OR(MID(C172,1,4)="milk",AND(MID(B172,1,2)="50",NOT(input_values!M172="Y")),AND(MID(B172,1,2)="40",NOT(input_values!M172="Y")),AND(MID(B172,1,2)="30",NOT(input_values!M172="Y"))),3,IF(OR(V172="&lt;25",B172&gt;1000000),1,IF((T172&gt;=S172),"2b","2a")))))</f>
        <v>2a</v>
      </c>
      <c r="Y172" s="22">
        <f>IF(X172="ND","ND",IF(S172="","",IF(input_values!K172&gt;0,input_values!K172,IF(OR(X172=1,X172=3),1,IF((V172&gt;250),5,7)))))</f>
        <v>7</v>
      </c>
      <c r="Z172" s="330" t="str">
        <f t="shared" si="20"/>
        <v/>
      </c>
      <c r="AA172" s="331">
        <f t="shared" si="21"/>
        <v>0</v>
      </c>
      <c r="AB172" s="128">
        <f t="shared" si="25"/>
        <v>3</v>
      </c>
      <c r="AC172" s="330" t="str">
        <f t="shared" si="26"/>
        <v/>
      </c>
      <c r="AD172" s="332">
        <f t="shared" si="22"/>
        <v>0</v>
      </c>
      <c r="AE172" s="333" t="str">
        <f t="shared" si="27"/>
        <v/>
      </c>
      <c r="AF172" s="333" t="str">
        <f t="shared" si="28"/>
        <v/>
      </c>
      <c r="AG172" s="561" t="str">
        <f t="shared" si="23"/>
        <v/>
      </c>
      <c r="AH172" s="561" t="str">
        <f t="shared" si="29"/>
        <v/>
      </c>
      <c r="AI172" s="576"/>
      <c r="AJ172" s="847"/>
    </row>
    <row r="173" spans="1:36" ht="12" customHeight="1" outlineLevel="3" x14ac:dyDescent="0.2">
      <c r="A173" s="39">
        <f>acute_overview_children!A173</f>
        <v>4</v>
      </c>
      <c r="B173" s="23">
        <f>acute_overview_children!B173</f>
        <v>252990</v>
      </c>
      <c r="C173" s="23" t="s">
        <v>174</v>
      </c>
      <c r="D173" s="300">
        <f>Table22[[#This Row],[Level used for acute calculation]]</f>
        <v>0</v>
      </c>
      <c r="E173" s="302">
        <f>Table22[[#This Row],[MRL individual commodity]]</f>
        <v>0</v>
      </c>
      <c r="F173" s="451">
        <f>Table22[[#This Row],[Acute RA input value]]</f>
        <v>0</v>
      </c>
      <c r="G173" s="301">
        <f>Table22[[#This Row],[Acute RA label]]</f>
        <v>0</v>
      </c>
      <c r="H173" s="303">
        <f>Table22[[#This Row],[Acute RA IESTI new input value]]</f>
        <v>0</v>
      </c>
      <c r="I173" s="301">
        <f>Table22[[#This Row],[Acute RA IESTI new label]]</f>
        <v>0</v>
      </c>
      <c r="J173" s="65"/>
      <c r="K173" s="304">
        <f>Table22[[#This Row],[GAP under assessment]]</f>
        <v>0</v>
      </c>
      <c r="L173" s="304" t="str">
        <f>IF(input_values!$M173=0,"",input_values!$M173)</f>
        <v/>
      </c>
      <c r="M173" s="301" t="str">
        <f>IF(input_values!H173=0,"",input_values!H173)</f>
        <v/>
      </c>
      <c r="N173" s="304">
        <f>input_values!$K173</f>
        <v>0</v>
      </c>
      <c r="O173" s="309"/>
      <c r="P173" s="38"/>
      <c r="Q173" s="306"/>
      <c r="R173" s="309"/>
      <c r="S173" s="336" t="str">
        <f t="shared" si="24"/>
        <v/>
      </c>
      <c r="T173" s="305"/>
      <c r="U173" s="309"/>
      <c r="V173" s="305"/>
      <c r="W173" s="309"/>
      <c r="X173" s="611" t="str">
        <f>IF(V173="ND","ND",IF(S173="","",IF(OR(MID(C173,1,4)="milk",AND(MID(B173,1,2)="50",NOT(input_values!M173="Y")),AND(MID(B173,1,2)="40",NOT(input_values!M173="Y")),AND(MID(B173,1,2)="30",NOT(input_values!M173="Y"))),3,IF(OR(V173="&lt;25",B173&gt;1000000),1,IF((T173&gt;=S173),"2b","2a")))))</f>
        <v/>
      </c>
      <c r="Y173" s="38" t="str">
        <f>IF(X173="ND","ND",IF(S173="","",IF(input_values!K173&gt;0,input_values!K173,IF(OR(X173=1,X173=3),1,IF((V173&gt;250),5,7)))))</f>
        <v/>
      </c>
      <c r="Z173" s="335" t="str">
        <f t="shared" si="20"/>
        <v/>
      </c>
      <c r="AA173" s="311">
        <f t="shared" si="21"/>
        <v>0</v>
      </c>
      <c r="AB173" s="38" t="str">
        <f t="shared" si="25"/>
        <v/>
      </c>
      <c r="AC173" s="335" t="str">
        <f t="shared" si="26"/>
        <v/>
      </c>
      <c r="AD173" s="311">
        <f t="shared" si="22"/>
        <v>0</v>
      </c>
      <c r="AE173" s="344" t="str">
        <f t="shared" si="27"/>
        <v/>
      </c>
      <c r="AF173" s="344" t="str">
        <f t="shared" si="28"/>
        <v/>
      </c>
      <c r="AG173" s="561" t="str">
        <f t="shared" si="23"/>
        <v/>
      </c>
      <c r="AH173" s="561" t="str">
        <f t="shared" si="29"/>
        <v/>
      </c>
      <c r="AI173" s="576"/>
      <c r="AJ173" s="847"/>
    </row>
    <row r="174" spans="1:36" ht="24" outlineLevel="2" x14ac:dyDescent="0.2">
      <c r="A174" s="132">
        <f>acute_overview_children!A174</f>
        <v>3</v>
      </c>
      <c r="B174" s="3">
        <f>acute_overview_children!B174</f>
        <v>253000</v>
      </c>
      <c r="C174" s="3" t="s">
        <v>731</v>
      </c>
      <c r="D174" s="300">
        <f>Table22[[#This Row],[Level used for acute calculation]]</f>
        <v>3</v>
      </c>
      <c r="E174" s="302">
        <f>Table22[[#This Row],[MRL individual commodity]]</f>
        <v>0</v>
      </c>
      <c r="F174" s="451">
        <f>Table22[[#This Row],[Acute RA input value]]</f>
        <v>0</v>
      </c>
      <c r="G174" s="301" t="str">
        <f>Table22[[#This Row],[Acute RA label]]</f>
        <v/>
      </c>
      <c r="H174" s="303">
        <f>Table22[[#This Row],[Acute RA IESTI new input value]]</f>
        <v>0</v>
      </c>
      <c r="I174" s="301" t="str">
        <f>Table22[[#This Row],[Acute RA IESTI new label]]</f>
        <v/>
      </c>
      <c r="J174" s="65"/>
      <c r="K174" s="304">
        <f>Table22[[#This Row],[GAP under assessment]]</f>
        <v>0</v>
      </c>
      <c r="L174" s="304" t="str">
        <f>IF(input_values!$M174=0,"",input_values!$M174)</f>
        <v/>
      </c>
      <c r="M174" s="301" t="str">
        <f>IF(input_values!H174=0,"",input_values!H174)</f>
        <v/>
      </c>
      <c r="N174" s="304">
        <f>input_values!$K174</f>
        <v>0</v>
      </c>
      <c r="O174" s="326">
        <v>0.9</v>
      </c>
      <c r="P174" s="22">
        <v>90</v>
      </c>
      <c r="Q174" s="327" t="s">
        <v>334</v>
      </c>
      <c r="R174" s="326">
        <v>67.47</v>
      </c>
      <c r="S174" s="328">
        <f t="shared" si="24"/>
        <v>60.722999999999999</v>
      </c>
      <c r="T174" s="338" t="s">
        <v>617</v>
      </c>
      <c r="U174" s="339" t="s">
        <v>215</v>
      </c>
      <c r="V174" s="338" t="s">
        <v>617</v>
      </c>
      <c r="W174" s="339" t="s">
        <v>215</v>
      </c>
      <c r="X174" s="1464">
        <f>IF(V174="ND","ND",IF(S174="","",IF(OR(MID(C174,1,4)="milk",AND(MID(B174,1,2)="50",NOT(input_values!M174="Y")),AND(MID(B174,1,2)="40",NOT(input_values!M174="Y")),AND(MID(B174,1,2)="30",NOT(input_values!M174="Y"))),3,IF(OR(V174="&lt;25",B174&gt;1000000),1,IF((T174&gt;=S174),"2b","2a")))))</f>
        <v>1</v>
      </c>
      <c r="Y174" s="22">
        <f>IF(X174="ND","ND",IF(S174="","",IF(input_values!K174&gt;0,input_values!K174,IF(OR(X174=1,X174=3),1,IF((V174&gt;250),5,7)))))</f>
        <v>1</v>
      </c>
      <c r="Z174" s="330" t="str">
        <f t="shared" si="20"/>
        <v/>
      </c>
      <c r="AA174" s="331">
        <f t="shared" si="21"/>
        <v>0</v>
      </c>
      <c r="AB174" s="128">
        <f t="shared" si="25"/>
        <v>1</v>
      </c>
      <c r="AC174" s="330" t="str">
        <f t="shared" si="26"/>
        <v/>
      </c>
      <c r="AD174" s="332">
        <f t="shared" si="22"/>
        <v>0</v>
      </c>
      <c r="AE174" s="333" t="str">
        <f t="shared" si="27"/>
        <v/>
      </c>
      <c r="AF174" s="333" t="str">
        <f t="shared" si="28"/>
        <v/>
      </c>
      <c r="AG174" s="561" t="str">
        <f t="shared" si="23"/>
        <v/>
      </c>
      <c r="AH174" s="561" t="str">
        <f t="shared" si="29"/>
        <v/>
      </c>
      <c r="AI174" s="576"/>
      <c r="AJ174" s="847"/>
    </row>
    <row r="175" spans="1:36" ht="24" outlineLevel="2" x14ac:dyDescent="0.2">
      <c r="A175" s="132">
        <f>acute_overview_children!A175</f>
        <v>3</v>
      </c>
      <c r="B175" s="3">
        <f>acute_overview_children!B175</f>
        <v>254000</v>
      </c>
      <c r="C175" s="3" t="s">
        <v>732</v>
      </c>
      <c r="D175" s="300">
        <f>Table22[[#This Row],[Level used for acute calculation]]</f>
        <v>3</v>
      </c>
      <c r="E175" s="302">
        <f>Table22[[#This Row],[MRL individual commodity]]</f>
        <v>0</v>
      </c>
      <c r="F175" s="451">
        <f>Table22[[#This Row],[Acute RA input value]]</f>
        <v>0</v>
      </c>
      <c r="G175" s="301" t="str">
        <f>Table22[[#This Row],[Acute RA label]]</f>
        <v/>
      </c>
      <c r="H175" s="303">
        <f>Table22[[#This Row],[Acute RA IESTI new input value]]</f>
        <v>0</v>
      </c>
      <c r="I175" s="301" t="str">
        <f>Table22[[#This Row],[Acute RA IESTI new label]]</f>
        <v/>
      </c>
      <c r="J175" s="65"/>
      <c r="K175" s="304">
        <f>Table22[[#This Row],[GAP under assessment]]</f>
        <v>0</v>
      </c>
      <c r="L175" s="304" t="str">
        <f>IF(input_values!$M175=0,"",input_values!$M175)</f>
        <v/>
      </c>
      <c r="M175" s="301" t="str">
        <f>IF(input_values!H175=0,"",input_values!H175)</f>
        <v/>
      </c>
      <c r="N175" s="304">
        <f>input_values!$K175</f>
        <v>0</v>
      </c>
      <c r="O175" s="326">
        <v>1.1823708206686929</v>
      </c>
      <c r="P175" s="22" t="s">
        <v>331</v>
      </c>
      <c r="Q175" s="327" t="s">
        <v>99</v>
      </c>
      <c r="R175" s="326">
        <v>65.8</v>
      </c>
      <c r="S175" s="328">
        <f t="shared" si="24"/>
        <v>77.8</v>
      </c>
      <c r="T175" s="338" t="s">
        <v>617</v>
      </c>
      <c r="U175" s="339" t="s">
        <v>215</v>
      </c>
      <c r="V175" s="338" t="s">
        <v>617</v>
      </c>
      <c r="W175" s="339" t="s">
        <v>215</v>
      </c>
      <c r="X175" s="1464">
        <f>IF(V175="ND","ND",IF(S175="","",IF(OR(MID(C175,1,4)="milk",AND(MID(B175,1,2)="50",NOT(input_values!M175="Y")),AND(MID(B175,1,2)="40",NOT(input_values!M175="Y")),AND(MID(B175,1,2)="30",NOT(input_values!M175="Y"))),3,IF(OR(V175="&lt;25",B175&gt;1000000),1,IF((T175&gt;=S175),"2b","2a")))))</f>
        <v>1</v>
      </c>
      <c r="Y175" s="22">
        <f>IF(X175="ND","ND",IF(S175="","",IF(input_values!K175&gt;0,input_values!K175,IF(OR(X175=1,X175=3),1,IF((V175&gt;250),5,7)))))</f>
        <v>1</v>
      </c>
      <c r="Z175" s="330" t="str">
        <f t="shared" si="20"/>
        <v/>
      </c>
      <c r="AA175" s="331">
        <f t="shared" si="21"/>
        <v>0</v>
      </c>
      <c r="AB175" s="128">
        <f t="shared" si="25"/>
        <v>1</v>
      </c>
      <c r="AC175" s="330" t="str">
        <f t="shared" si="26"/>
        <v/>
      </c>
      <c r="AD175" s="332">
        <f t="shared" si="22"/>
        <v>0</v>
      </c>
      <c r="AE175" s="333" t="str">
        <f t="shared" si="27"/>
        <v/>
      </c>
      <c r="AF175" s="333" t="str">
        <f t="shared" si="28"/>
        <v/>
      </c>
      <c r="AG175" s="561" t="str">
        <f t="shared" si="23"/>
        <v/>
      </c>
      <c r="AH175" s="561" t="str">
        <f t="shared" si="29"/>
        <v/>
      </c>
      <c r="AI175" s="576"/>
      <c r="AJ175" s="847"/>
    </row>
    <row r="176" spans="1:36" ht="11.45" customHeight="1" outlineLevel="2" x14ac:dyDescent="0.2">
      <c r="A176" s="132">
        <f>acute_overview_children!A176</f>
        <v>3</v>
      </c>
      <c r="B176" s="3">
        <f>acute_overview_children!B176</f>
        <v>255000</v>
      </c>
      <c r="C176" s="3" t="s">
        <v>733</v>
      </c>
      <c r="D176" s="300">
        <f>Table22[[#This Row],[Level used for acute calculation]]</f>
        <v>3</v>
      </c>
      <c r="E176" s="302">
        <f>Table22[[#This Row],[MRL individual commodity]]</f>
        <v>0</v>
      </c>
      <c r="F176" s="451">
        <f>Table22[[#This Row],[Acute RA input value]]</f>
        <v>0</v>
      </c>
      <c r="G176" s="301" t="str">
        <f>Table22[[#This Row],[Acute RA label]]</f>
        <v/>
      </c>
      <c r="H176" s="303">
        <f>Table22[[#This Row],[Acute RA IESTI new input value]]</f>
        <v>0</v>
      </c>
      <c r="I176" s="301" t="str">
        <f>Table22[[#This Row],[Acute RA IESTI new label]]</f>
        <v/>
      </c>
      <c r="J176" s="65"/>
      <c r="K176" s="304">
        <f>Table22[[#This Row],[GAP under assessment]]</f>
        <v>0</v>
      </c>
      <c r="L176" s="304" t="str">
        <f>IF(input_values!$M176=0,"",input_values!$M176)</f>
        <v/>
      </c>
      <c r="M176" s="301" t="str">
        <f>IF(input_values!H176=0,"",input_values!H176)</f>
        <v/>
      </c>
      <c r="N176" s="304">
        <f>input_values!$K176</f>
        <v>0</v>
      </c>
      <c r="O176" s="326">
        <v>4.2249240121580547</v>
      </c>
      <c r="P176" s="22" t="s">
        <v>328</v>
      </c>
      <c r="Q176" s="327" t="s">
        <v>99</v>
      </c>
      <c r="R176" s="326">
        <v>65.8</v>
      </c>
      <c r="S176" s="328">
        <f t="shared" si="24"/>
        <v>278</v>
      </c>
      <c r="T176" s="328">
        <v>155.52000000000001</v>
      </c>
      <c r="U176" s="326" t="s">
        <v>215</v>
      </c>
      <c r="V176" s="328">
        <v>162</v>
      </c>
      <c r="W176" s="326" t="s">
        <v>215</v>
      </c>
      <c r="X176" s="1464" t="str">
        <f>IF(V176="ND","ND",IF(S176="","",IF(OR(MID(C176,1,4)="milk",AND(MID(B176,1,2)="50",NOT(input_values!M176="Y")),AND(MID(B176,1,2)="40",NOT(input_values!M176="Y")),AND(MID(B176,1,2)="30",NOT(input_values!M176="Y"))),3,IF(OR(V176="&lt;25",B176&gt;1000000),1,IF((T176&gt;=S176),"2b","2a")))))</f>
        <v>2a</v>
      </c>
      <c r="Y176" s="22">
        <f>IF(X176="ND","ND",IF(S176="","",IF(input_values!K176&gt;0,input_values!K176,IF(OR(X176=1,X176=3),1,IF((V176&gt;250),5,7)))))</f>
        <v>7</v>
      </c>
      <c r="Z176" s="330" t="str">
        <f t="shared" si="20"/>
        <v/>
      </c>
      <c r="AA176" s="331">
        <f t="shared" si="21"/>
        <v>0</v>
      </c>
      <c r="AB176" s="128">
        <f t="shared" si="25"/>
        <v>3</v>
      </c>
      <c r="AC176" s="330" t="str">
        <f t="shared" si="26"/>
        <v/>
      </c>
      <c r="AD176" s="332">
        <f t="shared" si="22"/>
        <v>0</v>
      </c>
      <c r="AE176" s="333" t="str">
        <f t="shared" si="27"/>
        <v/>
      </c>
      <c r="AF176" s="333" t="str">
        <f t="shared" si="28"/>
        <v/>
      </c>
      <c r="AG176" s="561" t="str">
        <f t="shared" si="23"/>
        <v/>
      </c>
      <c r="AH176" s="561" t="str">
        <f t="shared" si="29"/>
        <v/>
      </c>
      <c r="AI176" s="576"/>
      <c r="AJ176" s="847"/>
    </row>
    <row r="177" spans="1:36" outlineLevel="2" x14ac:dyDescent="0.2">
      <c r="A177" s="132">
        <f>acute_overview_children!A177</f>
        <v>3</v>
      </c>
      <c r="B177" s="3">
        <f>acute_overview_children!B177</f>
        <v>256000</v>
      </c>
      <c r="C177" s="3" t="s">
        <v>734</v>
      </c>
      <c r="D177" s="300">
        <f>Table22[[#This Row],[Level used for acute calculation]]</f>
        <v>3</v>
      </c>
      <c r="E177" s="302">
        <f>Table22[[#This Row],[MRL individual commodity]]</f>
        <v>0</v>
      </c>
      <c r="F177" s="451">
        <f>Table22[[#This Row],[Acute RA input value]]</f>
        <v>0</v>
      </c>
      <c r="G177" s="301">
        <f>Table22[[#This Row],[Acute RA label]]</f>
        <v>0</v>
      </c>
      <c r="H177" s="303">
        <f>Table22[[#This Row],[Acute RA IESTI new input value]]</f>
        <v>0</v>
      </c>
      <c r="I177" s="301">
        <f>Table22[[#This Row],[Acute RA IESTI new label]]</f>
        <v>0</v>
      </c>
      <c r="J177" s="65"/>
      <c r="K177" s="304">
        <f>Table22[[#This Row],[GAP under assessment]]</f>
        <v>0</v>
      </c>
      <c r="L177" s="304" t="str">
        <f>IF(input_values!$M177=0,"",input_values!$M177)</f>
        <v/>
      </c>
      <c r="M177" s="301" t="str">
        <f>IF(input_values!H177=0,"",input_values!H177)</f>
        <v/>
      </c>
      <c r="N177" s="304">
        <f>input_values!$K177</f>
        <v>0</v>
      </c>
      <c r="O177" s="339">
        <v>0.15639097744360902</v>
      </c>
      <c r="P177" s="129">
        <v>97.5</v>
      </c>
      <c r="Q177" s="338" t="s">
        <v>244</v>
      </c>
      <c r="R177" s="339">
        <v>66.5</v>
      </c>
      <c r="S177" s="338">
        <f t="shared" si="24"/>
        <v>10.4</v>
      </c>
      <c r="T177" s="1468" t="s">
        <v>617</v>
      </c>
      <c r="U177" s="1469"/>
      <c r="V177" s="1468" t="s">
        <v>617</v>
      </c>
      <c r="W177" s="1469"/>
      <c r="X177" s="460">
        <f>IF(V177="ND","ND",IF(S177="","",IF(OR(MID(C177,1,4)="milk",AND(MID(B177,1,2)="50",NOT(input_values!M177="Y")),AND(MID(B177,1,2)="40",NOT(input_values!M177="Y")),AND(MID(B177,1,2)="30",NOT(input_values!M177="Y"))),3,IF(OR(V177="&lt;25",B177&gt;1000000),1,IF((T177&gt;=S177),"2b","2a")))))</f>
        <v>1</v>
      </c>
      <c r="Y177" s="128">
        <f>IF(X177="ND","ND",IF(S177="","",IF(input_values!K177&gt;0,input_values!K177,IF(OR(X177=1,X177=3),1,IF((V177&gt;250),5,7)))))</f>
        <v>1</v>
      </c>
      <c r="Z177" s="345" t="str">
        <f t="shared" si="20"/>
        <v/>
      </c>
      <c r="AA177" s="332">
        <f t="shared" si="21"/>
        <v>0</v>
      </c>
      <c r="AB177" s="128">
        <f t="shared" si="25"/>
        <v>1</v>
      </c>
      <c r="AC177" s="345" t="str">
        <f t="shared" si="26"/>
        <v/>
      </c>
      <c r="AD177" s="332">
        <f t="shared" si="22"/>
        <v>0</v>
      </c>
      <c r="AE177" s="40" t="str">
        <f t="shared" si="27"/>
        <v/>
      </c>
      <c r="AF177" s="40" t="str">
        <f t="shared" si="28"/>
        <v/>
      </c>
      <c r="AG177" s="561" t="str">
        <f t="shared" si="23"/>
        <v/>
      </c>
      <c r="AH177" s="561" t="str">
        <f t="shared" si="29"/>
        <v/>
      </c>
      <c r="AI177" s="576"/>
      <c r="AJ177" s="847"/>
    </row>
    <row r="178" spans="1:36" ht="12" customHeight="1" outlineLevel="3" x14ac:dyDescent="0.2">
      <c r="A178" s="39">
        <f>acute_overview_children!A178</f>
        <v>4</v>
      </c>
      <c r="B178" s="23">
        <f>acute_overview_children!B178</f>
        <v>256010</v>
      </c>
      <c r="C178" s="23" t="s">
        <v>128</v>
      </c>
      <c r="D178" s="300">
        <f>Table22[[#This Row],[Level used for acute calculation]]</f>
        <v>4</v>
      </c>
      <c r="E178" s="302">
        <f>Table22[[#This Row],[MRL individual commodity]]</f>
        <v>0</v>
      </c>
      <c r="F178" s="451">
        <f>Table22[[#This Row],[Acute RA input value]]</f>
        <v>0</v>
      </c>
      <c r="G178" s="301" t="str">
        <f>Table22[[#This Row],[Acute RA label]]</f>
        <v/>
      </c>
      <c r="H178" s="303">
        <f>Table22[[#This Row],[Acute RA IESTI new input value]]</f>
        <v>0</v>
      </c>
      <c r="I178" s="301" t="str">
        <f>Table22[[#This Row],[Acute RA IESTI new label]]</f>
        <v/>
      </c>
      <c r="J178" s="65"/>
      <c r="K178" s="304">
        <f>Table22[[#This Row],[GAP under assessment]]</f>
        <v>0</v>
      </c>
      <c r="L178" s="304" t="str">
        <f>IF(input_values!$M178=0,"",input_values!$M178)</f>
        <v/>
      </c>
      <c r="M178" s="301" t="str">
        <f>IF(input_values!H178=0,"",input_values!H178)</f>
        <v/>
      </c>
      <c r="N178" s="304">
        <f>input_values!$K178</f>
        <v>0</v>
      </c>
      <c r="O178" s="326">
        <v>8.0547112462006076E-2</v>
      </c>
      <c r="P178" s="22" t="s">
        <v>331</v>
      </c>
      <c r="Q178" s="327" t="s">
        <v>99</v>
      </c>
      <c r="R178" s="326">
        <v>65.8</v>
      </c>
      <c r="S178" s="328">
        <f t="shared" si="24"/>
        <v>5.3</v>
      </c>
      <c r="T178" s="338" t="s">
        <v>617</v>
      </c>
      <c r="U178" s="339" t="s">
        <v>215</v>
      </c>
      <c r="V178" s="338" t="s">
        <v>617</v>
      </c>
      <c r="W178" s="339" t="s">
        <v>215</v>
      </c>
      <c r="X178" s="1464">
        <f>IF(V178="ND","ND",IF(S178="","",IF(OR(MID(C178,1,4)="milk",AND(MID(B178,1,2)="50",NOT(input_values!M178="Y")),AND(MID(B178,1,2)="40",NOT(input_values!M178="Y")),AND(MID(B178,1,2)="30",NOT(input_values!M178="Y"))),3,IF(OR(V178="&lt;25",B178&gt;1000000),1,IF((T178&gt;=S178),"2b","2a")))))</f>
        <v>1</v>
      </c>
      <c r="Y178" s="22">
        <f>IF(X178="ND","ND",IF(S178="","",IF(input_values!K178&gt;0,input_values!K178,IF(OR(X178=1,X178=3),1,IF((V178&gt;250),5,7)))))</f>
        <v>1</v>
      </c>
      <c r="Z178" s="330" t="str">
        <f t="shared" si="20"/>
        <v/>
      </c>
      <c r="AA178" s="331">
        <f t="shared" si="21"/>
        <v>0</v>
      </c>
      <c r="AB178" s="128">
        <f t="shared" si="25"/>
        <v>1</v>
      </c>
      <c r="AC178" s="330" t="str">
        <f t="shared" si="26"/>
        <v/>
      </c>
      <c r="AD178" s="332">
        <f t="shared" si="22"/>
        <v>0</v>
      </c>
      <c r="AE178" s="333" t="str">
        <f t="shared" si="27"/>
        <v/>
      </c>
      <c r="AF178" s="333" t="str">
        <f t="shared" si="28"/>
        <v/>
      </c>
      <c r="AG178" s="561" t="str">
        <f t="shared" si="23"/>
        <v/>
      </c>
      <c r="AH178" s="561" t="str">
        <f t="shared" si="29"/>
        <v/>
      </c>
      <c r="AI178" s="576"/>
      <c r="AJ178" s="847"/>
    </row>
    <row r="179" spans="1:36" ht="12" customHeight="1" outlineLevel="3" x14ac:dyDescent="0.2">
      <c r="A179" s="39">
        <f>acute_overview_children!A179</f>
        <v>4</v>
      </c>
      <c r="B179" s="23">
        <f>acute_overview_children!B179</f>
        <v>256020</v>
      </c>
      <c r="C179" s="23" t="s">
        <v>129</v>
      </c>
      <c r="D179" s="300">
        <f>Table22[[#This Row],[Level used for acute calculation]]</f>
        <v>4</v>
      </c>
      <c r="E179" s="302">
        <f>Table22[[#This Row],[MRL individual commodity]]</f>
        <v>0</v>
      </c>
      <c r="F179" s="451">
        <f>Table22[[#This Row],[Acute RA input value]]</f>
        <v>0</v>
      </c>
      <c r="G179" s="301" t="str">
        <f>Table22[[#This Row],[Acute RA label]]</f>
        <v/>
      </c>
      <c r="H179" s="303">
        <f>Table22[[#This Row],[Acute RA IESTI new input value]]</f>
        <v>0</v>
      </c>
      <c r="I179" s="301" t="str">
        <f>Table22[[#This Row],[Acute RA IESTI new label]]</f>
        <v/>
      </c>
      <c r="J179" s="65"/>
      <c r="K179" s="304">
        <f>Table22[[#This Row],[GAP under assessment]]</f>
        <v>0</v>
      </c>
      <c r="L179" s="304" t="str">
        <f>IF(input_values!$M179=0,"",input_values!$M179)</f>
        <v/>
      </c>
      <c r="M179" s="301" t="str">
        <f>IF(input_values!H179=0,"",input_values!H179)</f>
        <v/>
      </c>
      <c r="N179" s="304">
        <f>input_values!$K179</f>
        <v>0</v>
      </c>
      <c r="O179" s="326">
        <v>0.17</v>
      </c>
      <c r="P179" s="22">
        <v>97.5</v>
      </c>
      <c r="Q179" s="327" t="s">
        <v>107</v>
      </c>
      <c r="R179" s="326">
        <v>67.7</v>
      </c>
      <c r="S179" s="328">
        <f t="shared" si="24"/>
        <v>11.509000000000002</v>
      </c>
      <c r="T179" s="338" t="s">
        <v>617</v>
      </c>
      <c r="U179" s="339" t="s">
        <v>215</v>
      </c>
      <c r="V179" s="338" t="s">
        <v>617</v>
      </c>
      <c r="W179" s="339" t="s">
        <v>215</v>
      </c>
      <c r="X179" s="1464">
        <f>IF(V179="ND","ND",IF(S179="","",IF(OR(MID(C179,1,4)="milk",AND(MID(B179,1,2)="50",NOT(input_values!M179="Y")),AND(MID(B179,1,2)="40",NOT(input_values!M179="Y")),AND(MID(B179,1,2)="30",NOT(input_values!M179="Y"))),3,IF(OR(V179="&lt;25",B179&gt;1000000),1,IF((T179&gt;=S179),"2b","2a")))))</f>
        <v>1</v>
      </c>
      <c r="Y179" s="22">
        <f>IF(X179="ND","ND",IF(S179="","",IF(input_values!K179&gt;0,input_values!K179,IF(OR(X179=1,X179=3),1,IF((V179&gt;250),5,7)))))</f>
        <v>1</v>
      </c>
      <c r="Z179" s="330" t="str">
        <f t="shared" si="20"/>
        <v/>
      </c>
      <c r="AA179" s="331">
        <f t="shared" si="21"/>
        <v>0</v>
      </c>
      <c r="AB179" s="128">
        <f t="shared" si="25"/>
        <v>1</v>
      </c>
      <c r="AC179" s="330" t="str">
        <f t="shared" si="26"/>
        <v/>
      </c>
      <c r="AD179" s="332">
        <f t="shared" si="22"/>
        <v>0</v>
      </c>
      <c r="AE179" s="333" t="str">
        <f t="shared" si="27"/>
        <v/>
      </c>
      <c r="AF179" s="333" t="str">
        <f t="shared" si="28"/>
        <v/>
      </c>
      <c r="AG179" s="561" t="str">
        <f t="shared" si="23"/>
        <v/>
      </c>
      <c r="AH179" s="561" t="str">
        <f t="shared" si="29"/>
        <v/>
      </c>
      <c r="AI179" s="576"/>
      <c r="AJ179" s="847"/>
    </row>
    <row r="180" spans="1:36" ht="12" customHeight="1" outlineLevel="3" x14ac:dyDescent="0.2">
      <c r="A180" s="39">
        <f>acute_overview_children!A180</f>
        <v>4</v>
      </c>
      <c r="B180" s="23">
        <f>acute_overview_children!B180</f>
        <v>256030</v>
      </c>
      <c r="C180" s="23" t="s">
        <v>130</v>
      </c>
      <c r="D180" s="300">
        <f>Table22[[#This Row],[Level used for acute calculation]]</f>
        <v>4</v>
      </c>
      <c r="E180" s="302">
        <f>Table22[[#This Row],[MRL individual commodity]]</f>
        <v>0</v>
      </c>
      <c r="F180" s="451">
        <f>Table22[[#This Row],[Acute RA input value]]</f>
        <v>0</v>
      </c>
      <c r="G180" s="301" t="str">
        <f>Table22[[#This Row],[Acute RA label]]</f>
        <v/>
      </c>
      <c r="H180" s="303">
        <f>Table22[[#This Row],[Acute RA IESTI new input value]]</f>
        <v>0</v>
      </c>
      <c r="I180" s="301" t="str">
        <f>Table22[[#This Row],[Acute RA IESTI new label]]</f>
        <v/>
      </c>
      <c r="J180" s="65"/>
      <c r="K180" s="304">
        <f>Table22[[#This Row],[GAP under assessment]]</f>
        <v>0</v>
      </c>
      <c r="L180" s="304" t="str">
        <f>IF(input_values!$M180=0,"",input_values!$M180)</f>
        <v/>
      </c>
      <c r="M180" s="301" t="str">
        <f>IF(input_values!H180=0,"",input_values!H180)</f>
        <v/>
      </c>
      <c r="N180" s="304">
        <f>input_values!$K180</f>
        <v>0</v>
      </c>
      <c r="O180" s="326">
        <v>0.32600000000000001</v>
      </c>
      <c r="P180" s="22">
        <v>97.5</v>
      </c>
      <c r="Q180" s="327" t="s">
        <v>99</v>
      </c>
      <c r="R180" s="326">
        <v>65.8</v>
      </c>
      <c r="S180" s="328">
        <f t="shared" si="24"/>
        <v>21.450800000000001</v>
      </c>
      <c r="T180" s="338" t="s">
        <v>617</v>
      </c>
      <c r="U180" s="339" t="s">
        <v>215</v>
      </c>
      <c r="V180" s="338" t="s">
        <v>617</v>
      </c>
      <c r="W180" s="339" t="s">
        <v>215</v>
      </c>
      <c r="X180" s="1464">
        <f>IF(V180="ND","ND",IF(S180="","",IF(OR(MID(C180,1,4)="milk",AND(MID(B180,1,2)="50",NOT(input_values!M180="Y")),AND(MID(B180,1,2)="40",NOT(input_values!M180="Y")),AND(MID(B180,1,2)="30",NOT(input_values!M180="Y"))),3,IF(OR(V180="&lt;25",B180&gt;1000000),1,IF((T180&gt;=S180),"2b","2a")))))</f>
        <v>1</v>
      </c>
      <c r="Y180" s="22">
        <f>IF(X180="ND","ND",IF(S180="","",IF(input_values!K180&gt;0,input_values!K180,IF(OR(X180=1,X180=3),1,IF((V180&gt;250),5,7)))))</f>
        <v>1</v>
      </c>
      <c r="Z180" s="330" t="str">
        <f t="shared" si="20"/>
        <v/>
      </c>
      <c r="AA180" s="331">
        <f t="shared" si="21"/>
        <v>0</v>
      </c>
      <c r="AB180" s="128">
        <f t="shared" si="25"/>
        <v>1</v>
      </c>
      <c r="AC180" s="330" t="str">
        <f t="shared" si="26"/>
        <v/>
      </c>
      <c r="AD180" s="332">
        <f t="shared" si="22"/>
        <v>0</v>
      </c>
      <c r="AE180" s="333" t="str">
        <f t="shared" si="27"/>
        <v/>
      </c>
      <c r="AF180" s="333" t="str">
        <f t="shared" si="28"/>
        <v/>
      </c>
      <c r="AG180" s="561" t="str">
        <f t="shared" si="23"/>
        <v/>
      </c>
      <c r="AH180" s="561" t="str">
        <f t="shared" si="29"/>
        <v/>
      </c>
      <c r="AI180" s="576"/>
      <c r="AJ180" s="847"/>
    </row>
    <row r="181" spans="1:36" ht="12" customHeight="1" outlineLevel="3" x14ac:dyDescent="0.2">
      <c r="A181" s="39">
        <f>acute_overview_children!A181</f>
        <v>4</v>
      </c>
      <c r="B181" s="23">
        <f>acute_overview_children!B181</f>
        <v>256040</v>
      </c>
      <c r="C181" s="23" t="s">
        <v>131</v>
      </c>
      <c r="D181" s="300">
        <f>Table22[[#This Row],[Level used for acute calculation]]</f>
        <v>4</v>
      </c>
      <c r="E181" s="302">
        <f>Table22[[#This Row],[MRL individual commodity]]</f>
        <v>0</v>
      </c>
      <c r="F181" s="451">
        <f>Table22[[#This Row],[Acute RA input value]]</f>
        <v>0</v>
      </c>
      <c r="G181" s="301" t="str">
        <f>Table22[[#This Row],[Acute RA label]]</f>
        <v/>
      </c>
      <c r="H181" s="303">
        <f>Table22[[#This Row],[Acute RA IESTI new input value]]</f>
        <v>0</v>
      </c>
      <c r="I181" s="301" t="str">
        <f>Table22[[#This Row],[Acute RA IESTI new label]]</f>
        <v/>
      </c>
      <c r="J181" s="65"/>
      <c r="K181" s="304">
        <f>Table22[[#This Row],[GAP under assessment]]</f>
        <v>0</v>
      </c>
      <c r="L181" s="304" t="str">
        <f>IF(input_values!$M181=0,"",input_values!$M181)</f>
        <v/>
      </c>
      <c r="M181" s="301" t="str">
        <f>IF(input_values!H181=0,"",input_values!H181)</f>
        <v/>
      </c>
      <c r="N181" s="304">
        <f>input_values!$K181</f>
        <v>0</v>
      </c>
      <c r="O181" s="326">
        <v>1.1979010494752624</v>
      </c>
      <c r="P181" s="22">
        <v>97.5</v>
      </c>
      <c r="Q181" s="327" t="s">
        <v>255</v>
      </c>
      <c r="R181" s="326">
        <v>66.7</v>
      </c>
      <c r="S181" s="328">
        <f t="shared" si="24"/>
        <v>79.900000000000006</v>
      </c>
      <c r="T181" s="338" t="s">
        <v>617</v>
      </c>
      <c r="U181" s="339" t="s">
        <v>215</v>
      </c>
      <c r="V181" s="338" t="s">
        <v>617</v>
      </c>
      <c r="W181" s="339" t="s">
        <v>215</v>
      </c>
      <c r="X181" s="1464">
        <f>IF(V181="ND","ND",IF(S181="","",IF(OR(MID(C181,1,4)="milk",AND(MID(B181,1,2)="50",NOT(input_values!M181="Y")),AND(MID(B181,1,2)="40",NOT(input_values!M181="Y")),AND(MID(B181,1,2)="30",NOT(input_values!M181="Y"))),3,IF(OR(V181="&lt;25",B181&gt;1000000),1,IF((T181&gt;=S181),"2b","2a")))))</f>
        <v>1</v>
      </c>
      <c r="Y181" s="22">
        <f>IF(X181="ND","ND",IF(S181="","",IF(input_values!K181&gt;0,input_values!K181,IF(OR(X181=1,X181=3),1,IF((V181&gt;250),5,7)))))</f>
        <v>1</v>
      </c>
      <c r="Z181" s="330" t="str">
        <f t="shared" si="20"/>
        <v/>
      </c>
      <c r="AA181" s="331">
        <f t="shared" si="21"/>
        <v>0</v>
      </c>
      <c r="AB181" s="128">
        <f t="shared" si="25"/>
        <v>1</v>
      </c>
      <c r="AC181" s="330" t="str">
        <f t="shared" si="26"/>
        <v/>
      </c>
      <c r="AD181" s="332">
        <f t="shared" si="22"/>
        <v>0</v>
      </c>
      <c r="AE181" s="333" t="str">
        <f t="shared" si="27"/>
        <v/>
      </c>
      <c r="AF181" s="333" t="str">
        <f t="shared" si="28"/>
        <v/>
      </c>
      <c r="AG181" s="561" t="str">
        <f t="shared" si="23"/>
        <v/>
      </c>
      <c r="AH181" s="561" t="str">
        <f t="shared" si="29"/>
        <v/>
      </c>
      <c r="AI181" s="576"/>
      <c r="AJ181" s="847"/>
    </row>
    <row r="182" spans="1:36" ht="12" customHeight="1" outlineLevel="3" x14ac:dyDescent="0.2">
      <c r="A182" s="39">
        <f>acute_overview_children!A182</f>
        <v>4</v>
      </c>
      <c r="B182" s="23">
        <f>acute_overview_children!B182</f>
        <v>256050</v>
      </c>
      <c r="C182" s="23" t="s">
        <v>132</v>
      </c>
      <c r="D182" s="300">
        <f>Table22[[#This Row],[Level used for acute calculation]]</f>
        <v>4</v>
      </c>
      <c r="E182" s="302">
        <f>Table22[[#This Row],[MRL individual commodity]]</f>
        <v>0</v>
      </c>
      <c r="F182" s="451">
        <f>Table22[[#This Row],[Acute RA input value]]</f>
        <v>0</v>
      </c>
      <c r="G182" s="301" t="str">
        <f>Table22[[#This Row],[Acute RA label]]</f>
        <v/>
      </c>
      <c r="H182" s="303">
        <f>Table22[[#This Row],[Acute RA IESTI new input value]]</f>
        <v>0</v>
      </c>
      <c r="I182" s="301" t="str">
        <f>Table22[[#This Row],[Acute RA IESTI new label]]</f>
        <v/>
      </c>
      <c r="J182" s="65"/>
      <c r="K182" s="304">
        <f>Table22[[#This Row],[GAP under assessment]]</f>
        <v>0</v>
      </c>
      <c r="L182" s="304" t="str">
        <f>IF(input_values!$M182=0,"",input_values!$M182)</f>
        <v/>
      </c>
      <c r="M182" s="301" t="str">
        <f>IF(input_values!H182=0,"",input_values!H182)</f>
        <v/>
      </c>
      <c r="N182" s="304">
        <f>input_values!$K182</f>
        <v>0</v>
      </c>
      <c r="O182" s="326">
        <v>0.2</v>
      </c>
      <c r="P182" s="22">
        <v>97.5</v>
      </c>
      <c r="Q182" s="327" t="s">
        <v>335</v>
      </c>
      <c r="R182" s="326">
        <v>76.38</v>
      </c>
      <c r="S182" s="328">
        <f t="shared" si="24"/>
        <v>15.276</v>
      </c>
      <c r="T182" s="338" t="s">
        <v>617</v>
      </c>
      <c r="U182" s="339" t="s">
        <v>215</v>
      </c>
      <c r="V182" s="338" t="s">
        <v>617</v>
      </c>
      <c r="W182" s="339" t="s">
        <v>215</v>
      </c>
      <c r="X182" s="1464">
        <f>IF(V182="ND","ND",IF(S182="","",IF(OR(MID(C182,1,4)="milk",AND(MID(B182,1,2)="50",NOT(input_values!M182="Y")),AND(MID(B182,1,2)="40",NOT(input_values!M182="Y")),AND(MID(B182,1,2)="30",NOT(input_values!M182="Y"))),3,IF(OR(V182="&lt;25",B182&gt;1000000),1,IF((T182&gt;=S182),"2b","2a")))))</f>
        <v>1</v>
      </c>
      <c r="Y182" s="22">
        <f>IF(X182="ND","ND",IF(S182="","",IF(input_values!K182&gt;0,input_values!K182,IF(OR(X182=1,X182=3),1,IF((V182&gt;250),5,7)))))</f>
        <v>1</v>
      </c>
      <c r="Z182" s="330" t="str">
        <f t="shared" si="20"/>
        <v/>
      </c>
      <c r="AA182" s="331">
        <f t="shared" si="21"/>
        <v>0</v>
      </c>
      <c r="AB182" s="128">
        <f t="shared" si="25"/>
        <v>1</v>
      </c>
      <c r="AC182" s="330" t="str">
        <f t="shared" si="26"/>
        <v/>
      </c>
      <c r="AD182" s="332">
        <f t="shared" si="22"/>
        <v>0</v>
      </c>
      <c r="AE182" s="333" t="str">
        <f t="shared" si="27"/>
        <v/>
      </c>
      <c r="AF182" s="333" t="str">
        <f t="shared" si="28"/>
        <v/>
      </c>
      <c r="AG182" s="561" t="str">
        <f t="shared" si="23"/>
        <v/>
      </c>
      <c r="AH182" s="561" t="str">
        <f t="shared" si="29"/>
        <v/>
      </c>
      <c r="AI182" s="576"/>
      <c r="AJ182" s="847"/>
    </row>
    <row r="183" spans="1:36" ht="12" customHeight="1" outlineLevel="3" x14ac:dyDescent="0.2">
      <c r="A183" s="39">
        <f>acute_overview_children!A183</f>
        <v>4</v>
      </c>
      <c r="B183" s="23">
        <f>acute_overview_children!B183</f>
        <v>256060</v>
      </c>
      <c r="C183" s="23" t="s">
        <v>133</v>
      </c>
      <c r="D183" s="300">
        <f>Table22[[#This Row],[Level used for acute calculation]]</f>
        <v>4</v>
      </c>
      <c r="E183" s="302">
        <f>Table22[[#This Row],[MRL individual commodity]]</f>
        <v>0</v>
      </c>
      <c r="F183" s="451">
        <f>Table22[[#This Row],[Acute RA input value]]</f>
        <v>0</v>
      </c>
      <c r="G183" s="301" t="str">
        <f>Table22[[#This Row],[Acute RA label]]</f>
        <v/>
      </c>
      <c r="H183" s="303">
        <f>Table22[[#This Row],[Acute RA IESTI new input value]]</f>
        <v>0</v>
      </c>
      <c r="I183" s="301" t="str">
        <f>Table22[[#This Row],[Acute RA IESTI new label]]</f>
        <v/>
      </c>
      <c r="J183" s="65"/>
      <c r="K183" s="304">
        <f>Table22[[#This Row],[GAP under assessment]]</f>
        <v>0</v>
      </c>
      <c r="L183" s="304" t="str">
        <f>IF(input_values!$M183=0,"",input_values!$M183)</f>
        <v/>
      </c>
      <c r="M183" s="301" t="str">
        <f>IF(input_values!H183=0,"",input_values!H183)</f>
        <v/>
      </c>
      <c r="N183" s="304">
        <f>input_values!$K183</f>
        <v>0</v>
      </c>
      <c r="O183" s="326">
        <v>0.1</v>
      </c>
      <c r="P183" s="22">
        <v>97.5</v>
      </c>
      <c r="Q183" s="327" t="s">
        <v>335</v>
      </c>
      <c r="R183" s="326">
        <v>76.38</v>
      </c>
      <c r="S183" s="328">
        <f t="shared" si="24"/>
        <v>7.6379999999999999</v>
      </c>
      <c r="T183" s="338" t="s">
        <v>617</v>
      </c>
      <c r="U183" s="339" t="s">
        <v>215</v>
      </c>
      <c r="V183" s="338" t="s">
        <v>617</v>
      </c>
      <c r="W183" s="339" t="s">
        <v>215</v>
      </c>
      <c r="X183" s="1464">
        <f>IF(V183="ND","ND",IF(S183="","",IF(OR(MID(C183,1,4)="milk",AND(MID(B183,1,2)="50",NOT(input_values!M183="Y")),AND(MID(B183,1,2)="40",NOT(input_values!M183="Y")),AND(MID(B183,1,2)="30",NOT(input_values!M183="Y"))),3,IF(OR(V183="&lt;25",B183&gt;1000000),1,IF((T183&gt;=S183),"2b","2a")))))</f>
        <v>1</v>
      </c>
      <c r="Y183" s="22">
        <f>IF(X183="ND","ND",IF(S183="","",IF(input_values!K183&gt;0,input_values!K183,IF(OR(X183=1,X183=3),1,IF((V183&gt;250),5,7)))))</f>
        <v>1</v>
      </c>
      <c r="Z183" s="330" t="str">
        <f t="shared" si="20"/>
        <v/>
      </c>
      <c r="AA183" s="331">
        <f t="shared" si="21"/>
        <v>0</v>
      </c>
      <c r="AB183" s="128">
        <f t="shared" si="25"/>
        <v>1</v>
      </c>
      <c r="AC183" s="330" t="str">
        <f t="shared" si="26"/>
        <v/>
      </c>
      <c r="AD183" s="332">
        <f t="shared" si="22"/>
        <v>0</v>
      </c>
      <c r="AE183" s="333" t="str">
        <f t="shared" si="27"/>
        <v/>
      </c>
      <c r="AF183" s="333" t="str">
        <f t="shared" si="28"/>
        <v/>
      </c>
      <c r="AG183" s="561" t="str">
        <f t="shared" si="23"/>
        <v/>
      </c>
      <c r="AH183" s="561" t="str">
        <f t="shared" si="29"/>
        <v/>
      </c>
      <c r="AI183" s="576"/>
      <c r="AJ183" s="847"/>
    </row>
    <row r="184" spans="1:36" ht="12" customHeight="1" outlineLevel="3" x14ac:dyDescent="0.2">
      <c r="A184" s="39">
        <f>acute_overview_children!A184</f>
        <v>4</v>
      </c>
      <c r="B184" s="23">
        <f>acute_overview_children!B184</f>
        <v>256070</v>
      </c>
      <c r="C184" s="23" t="s">
        <v>134</v>
      </c>
      <c r="D184" s="300">
        <f>Table22[[#This Row],[Level used for acute calculation]]</f>
        <v>4</v>
      </c>
      <c r="E184" s="302">
        <f>Table22[[#This Row],[MRL individual commodity]]</f>
        <v>0</v>
      </c>
      <c r="F184" s="451">
        <f>Table22[[#This Row],[Acute RA input value]]</f>
        <v>0</v>
      </c>
      <c r="G184" s="301" t="str">
        <f>Table22[[#This Row],[Acute RA label]]</f>
        <v/>
      </c>
      <c r="H184" s="303">
        <f>Table22[[#This Row],[Acute RA IESTI new input value]]</f>
        <v>0</v>
      </c>
      <c r="I184" s="301" t="str">
        <f>Table22[[#This Row],[Acute RA IESTI new label]]</f>
        <v/>
      </c>
      <c r="J184" s="65"/>
      <c r="K184" s="304">
        <f>Table22[[#This Row],[GAP under assessment]]</f>
        <v>0</v>
      </c>
      <c r="L184" s="304" t="str">
        <f>IF(input_values!$M184=0,"",input_values!$M184)</f>
        <v/>
      </c>
      <c r="M184" s="301" t="str">
        <f>IF(input_values!H184=0,"",input_values!H184)</f>
        <v/>
      </c>
      <c r="N184" s="304">
        <f>input_values!$K184</f>
        <v>0</v>
      </c>
      <c r="O184" s="326">
        <v>0.1</v>
      </c>
      <c r="P184" s="22">
        <v>97.5</v>
      </c>
      <c r="Q184" s="327" t="s">
        <v>335</v>
      </c>
      <c r="R184" s="326">
        <v>76.38</v>
      </c>
      <c r="S184" s="328">
        <f t="shared" si="24"/>
        <v>7.6379999999999999</v>
      </c>
      <c r="T184" s="338" t="s">
        <v>617</v>
      </c>
      <c r="U184" s="339" t="s">
        <v>215</v>
      </c>
      <c r="V184" s="338" t="s">
        <v>617</v>
      </c>
      <c r="W184" s="339" t="s">
        <v>215</v>
      </c>
      <c r="X184" s="1464">
        <f>IF(V184="ND","ND",IF(S184="","",IF(OR(MID(C184,1,4)="milk",AND(MID(B184,1,2)="50",NOT(input_values!M184="Y")),AND(MID(B184,1,2)="40",NOT(input_values!M184="Y")),AND(MID(B184,1,2)="30",NOT(input_values!M184="Y"))),3,IF(OR(V184="&lt;25",B184&gt;1000000),1,IF((T184&gt;=S184),"2b","2a")))))</f>
        <v>1</v>
      </c>
      <c r="Y184" s="22">
        <f>IF(X184="ND","ND",IF(S184="","",IF(input_values!K184&gt;0,input_values!K184,IF(OR(X184=1,X184=3),1,IF((V184&gt;250),5,7)))))</f>
        <v>1</v>
      </c>
      <c r="Z184" s="330" t="str">
        <f t="shared" si="20"/>
        <v/>
      </c>
      <c r="AA184" s="331">
        <f t="shared" si="21"/>
        <v>0</v>
      </c>
      <c r="AB184" s="128">
        <f t="shared" si="25"/>
        <v>1</v>
      </c>
      <c r="AC184" s="330" t="str">
        <f t="shared" si="26"/>
        <v/>
      </c>
      <c r="AD184" s="332">
        <f t="shared" si="22"/>
        <v>0</v>
      </c>
      <c r="AE184" s="333" t="str">
        <f t="shared" si="27"/>
        <v/>
      </c>
      <c r="AF184" s="333" t="str">
        <f t="shared" si="28"/>
        <v/>
      </c>
      <c r="AG184" s="561" t="str">
        <f t="shared" si="23"/>
        <v/>
      </c>
      <c r="AH184" s="561" t="str">
        <f t="shared" si="29"/>
        <v/>
      </c>
      <c r="AI184" s="576"/>
      <c r="AJ184" s="847"/>
    </row>
    <row r="185" spans="1:36" ht="12" customHeight="1" outlineLevel="3" x14ac:dyDescent="0.2">
      <c r="A185" s="39">
        <f>acute_overview_children!A185</f>
        <v>4</v>
      </c>
      <c r="B185" s="23">
        <f>acute_overview_children!B185</f>
        <v>256080</v>
      </c>
      <c r="C185" s="23" t="s">
        <v>735</v>
      </c>
      <c r="D185" s="300">
        <f>Table22[[#This Row],[Level used for acute calculation]]</f>
        <v>4</v>
      </c>
      <c r="E185" s="302">
        <f>Table22[[#This Row],[MRL individual commodity]]</f>
        <v>0</v>
      </c>
      <c r="F185" s="451">
        <f>Table22[[#This Row],[Acute RA input value]]</f>
        <v>0</v>
      </c>
      <c r="G185" s="301" t="str">
        <f>Table22[[#This Row],[Acute RA label]]</f>
        <v/>
      </c>
      <c r="H185" s="303">
        <f>Table22[[#This Row],[Acute RA IESTI new input value]]</f>
        <v>0</v>
      </c>
      <c r="I185" s="301" t="str">
        <f>Table22[[#This Row],[Acute RA IESTI new label]]</f>
        <v/>
      </c>
      <c r="J185" s="65"/>
      <c r="K185" s="304">
        <f>Table22[[#This Row],[GAP under assessment]]</f>
        <v>0</v>
      </c>
      <c r="L185" s="304" t="str">
        <f>IF(input_values!$M185=0,"",input_values!$M185)</f>
        <v/>
      </c>
      <c r="M185" s="301" t="str">
        <f>IF(input_values!H185=0,"",input_values!H185)</f>
        <v/>
      </c>
      <c r="N185" s="304">
        <f>input_values!$K185</f>
        <v>0</v>
      </c>
      <c r="O185" s="326">
        <v>0.123</v>
      </c>
      <c r="P185" s="22" t="s">
        <v>331</v>
      </c>
      <c r="Q185" s="327" t="s">
        <v>99</v>
      </c>
      <c r="R185" s="326">
        <v>65.8</v>
      </c>
      <c r="S185" s="328">
        <f t="shared" si="24"/>
        <v>8.093399999999999</v>
      </c>
      <c r="T185" s="338" t="s">
        <v>617</v>
      </c>
      <c r="U185" s="339" t="s">
        <v>215</v>
      </c>
      <c r="V185" s="338" t="s">
        <v>617</v>
      </c>
      <c r="W185" s="339" t="s">
        <v>215</v>
      </c>
      <c r="X185" s="1464">
        <f>IF(V185="ND","ND",IF(S185="","",IF(OR(MID(C185,1,4)="milk",AND(MID(B185,1,2)="50",NOT(input_values!M185="Y")),AND(MID(B185,1,2)="40",NOT(input_values!M185="Y")),AND(MID(B185,1,2)="30",NOT(input_values!M185="Y"))),3,IF(OR(V185="&lt;25",B185&gt;1000000),1,IF((T185&gt;=S185),"2b","2a")))))</f>
        <v>1</v>
      </c>
      <c r="Y185" s="22">
        <f>IF(X185="ND","ND",IF(S185="","",IF(input_values!K185&gt;0,input_values!K185,IF(OR(X185=1,X185=3),1,IF((V185&gt;250),5,7)))))</f>
        <v>1</v>
      </c>
      <c r="Z185" s="330" t="str">
        <f t="shared" si="20"/>
        <v/>
      </c>
      <c r="AA185" s="331">
        <f t="shared" si="21"/>
        <v>0</v>
      </c>
      <c r="AB185" s="128">
        <f t="shared" si="25"/>
        <v>1</v>
      </c>
      <c r="AC185" s="330" t="str">
        <f t="shared" si="26"/>
        <v/>
      </c>
      <c r="AD185" s="332">
        <f t="shared" si="22"/>
        <v>0</v>
      </c>
      <c r="AE185" s="333" t="str">
        <f t="shared" si="27"/>
        <v/>
      </c>
      <c r="AF185" s="333" t="str">
        <f t="shared" si="28"/>
        <v/>
      </c>
      <c r="AG185" s="561" t="str">
        <f t="shared" si="23"/>
        <v/>
      </c>
      <c r="AH185" s="561" t="str">
        <f t="shared" si="29"/>
        <v/>
      </c>
      <c r="AI185" s="576"/>
      <c r="AJ185" s="847"/>
    </row>
    <row r="186" spans="1:36" ht="12" customHeight="1" outlineLevel="3" x14ac:dyDescent="0.2">
      <c r="A186" s="39">
        <f>acute_overview_children!A186</f>
        <v>4</v>
      </c>
      <c r="B186" s="23">
        <f>acute_overview_children!B186</f>
        <v>256090</v>
      </c>
      <c r="C186" s="23" t="s">
        <v>736</v>
      </c>
      <c r="D186" s="300">
        <f>Table22[[#This Row],[Level used for acute calculation]]</f>
        <v>4</v>
      </c>
      <c r="E186" s="302">
        <f>Table22[[#This Row],[MRL individual commodity]]</f>
        <v>0</v>
      </c>
      <c r="F186" s="451">
        <f>Table22[[#This Row],[Acute RA input value]]</f>
        <v>0</v>
      </c>
      <c r="G186" s="301" t="str">
        <f>Table22[[#This Row],[Acute RA label]]</f>
        <v/>
      </c>
      <c r="H186" s="303">
        <f>Table22[[#This Row],[Acute RA IESTI new input value]]</f>
        <v>0</v>
      </c>
      <c r="I186" s="301" t="str">
        <f>Table22[[#This Row],[Acute RA IESTI new label]]</f>
        <v/>
      </c>
      <c r="J186" s="65"/>
      <c r="K186" s="304">
        <f>Table22[[#This Row],[GAP under assessment]]</f>
        <v>0</v>
      </c>
      <c r="L186" s="304" t="str">
        <f>IF(input_values!$M186=0,"",input_values!$M186)</f>
        <v/>
      </c>
      <c r="M186" s="301" t="str">
        <f>IF(input_values!H186=0,"",input_values!H186)</f>
        <v/>
      </c>
      <c r="N186" s="304">
        <f>input_values!$K186</f>
        <v>0</v>
      </c>
      <c r="O186" s="326">
        <v>0.1</v>
      </c>
      <c r="P186" s="22">
        <v>97.5</v>
      </c>
      <c r="Q186" s="327" t="s">
        <v>335</v>
      </c>
      <c r="R186" s="326">
        <v>76.38</v>
      </c>
      <c r="S186" s="328">
        <f t="shared" si="24"/>
        <v>7.6379999999999999</v>
      </c>
      <c r="T186" s="338" t="s">
        <v>617</v>
      </c>
      <c r="U186" s="339" t="s">
        <v>215</v>
      </c>
      <c r="V186" s="338" t="s">
        <v>617</v>
      </c>
      <c r="W186" s="339" t="s">
        <v>215</v>
      </c>
      <c r="X186" s="1464">
        <f>IF(V186="ND","ND",IF(S186="","",IF(OR(MID(C186,1,4)="milk",AND(MID(B186,1,2)="50",NOT(input_values!M186="Y")),AND(MID(B186,1,2)="40",NOT(input_values!M186="Y")),AND(MID(B186,1,2)="30",NOT(input_values!M186="Y"))),3,IF(OR(V186="&lt;25",B186&gt;1000000),1,IF((T186&gt;=S186),"2b","2a")))))</f>
        <v>1</v>
      </c>
      <c r="Y186" s="22">
        <f>IF(X186="ND","ND",IF(S186="","",IF(input_values!K186&gt;0,input_values!K186,IF(OR(X186=1,X186=3),1,IF((V186&gt;250),5,7)))))</f>
        <v>1</v>
      </c>
      <c r="Z186" s="330" t="str">
        <f t="shared" si="20"/>
        <v/>
      </c>
      <c r="AA186" s="331">
        <f t="shared" si="21"/>
        <v>0</v>
      </c>
      <c r="AB186" s="128">
        <f t="shared" si="25"/>
        <v>1</v>
      </c>
      <c r="AC186" s="330" t="str">
        <f t="shared" si="26"/>
        <v/>
      </c>
      <c r="AD186" s="332">
        <f t="shared" si="22"/>
        <v>0</v>
      </c>
      <c r="AE186" s="333" t="str">
        <f t="shared" si="27"/>
        <v/>
      </c>
      <c r="AF186" s="333" t="str">
        <f t="shared" si="28"/>
        <v/>
      </c>
      <c r="AG186" s="561" t="str">
        <f t="shared" si="23"/>
        <v/>
      </c>
      <c r="AH186" s="561" t="str">
        <f t="shared" si="29"/>
        <v/>
      </c>
      <c r="AI186" s="576"/>
      <c r="AJ186" s="847"/>
    </row>
    <row r="187" spans="1:36" ht="12" customHeight="1" outlineLevel="3" x14ac:dyDescent="0.2">
      <c r="A187" s="39">
        <f>acute_overview_children!A187</f>
        <v>4</v>
      </c>
      <c r="B187" s="23">
        <f>acute_overview_children!B187</f>
        <v>256100</v>
      </c>
      <c r="C187" s="23" t="s">
        <v>31</v>
      </c>
      <c r="D187" s="300">
        <f>Table22[[#This Row],[Level used for acute calculation]]</f>
        <v>4</v>
      </c>
      <c r="E187" s="302">
        <f>Table22[[#This Row],[MRL individual commodity]]</f>
        <v>0</v>
      </c>
      <c r="F187" s="451">
        <f>Table22[[#This Row],[Acute RA input value]]</f>
        <v>0</v>
      </c>
      <c r="G187" s="301" t="str">
        <f>Table22[[#This Row],[Acute RA label]]</f>
        <v/>
      </c>
      <c r="H187" s="303">
        <f>Table22[[#This Row],[Acute RA IESTI new input value]]</f>
        <v>0</v>
      </c>
      <c r="I187" s="301" t="str">
        <f>Table22[[#This Row],[Acute RA IESTI new label]]</f>
        <v/>
      </c>
      <c r="J187" s="65"/>
      <c r="K187" s="304">
        <f>Table22[[#This Row],[GAP under assessment]]</f>
        <v>0</v>
      </c>
      <c r="L187" s="304" t="str">
        <f>IF(input_values!$M187=0,"",input_values!$M187)</f>
        <v/>
      </c>
      <c r="M187" s="301" t="str">
        <f>IF(input_values!H187=0,"",input_values!H187)</f>
        <v/>
      </c>
      <c r="N187" s="304">
        <f>input_values!$K187</f>
        <v>0</v>
      </c>
      <c r="O187" s="338">
        <v>0.1</v>
      </c>
      <c r="P187" s="22">
        <v>97.5</v>
      </c>
      <c r="Q187" s="327" t="s">
        <v>334</v>
      </c>
      <c r="R187" s="326">
        <v>67.47</v>
      </c>
      <c r="S187" s="328">
        <f t="shared" si="24"/>
        <v>6.7469999999999999</v>
      </c>
      <c r="T187" s="338" t="s">
        <v>617</v>
      </c>
      <c r="U187" s="339" t="s">
        <v>215</v>
      </c>
      <c r="V187" s="338" t="s">
        <v>617</v>
      </c>
      <c r="W187" s="339" t="s">
        <v>215</v>
      </c>
      <c r="X187" s="460">
        <f>IF(V187="ND","ND",IF(S187="","",IF(OR(MID(C187,1,4)="milk",AND(MID(B187,1,2)="50",NOT(input_values!M187="Y")),AND(MID(B187,1,2)="40",NOT(input_values!M187="Y")),AND(MID(B187,1,2)="30",NOT(input_values!M187="Y"))),3,IF(OR(V187="&lt;25",B187&gt;1000000),1,IF((T187&gt;=S187),"2b","2a")))))</f>
        <v>1</v>
      </c>
      <c r="Y187" s="22">
        <f>IF(X187="ND","ND",IF(S187="","",IF(input_values!K187&gt;0,input_values!K187,IF(OR(X187=1,X187=3),1,IF((V187&gt;250),5,7)))))</f>
        <v>1</v>
      </c>
      <c r="Z187" s="340" t="str">
        <f t="shared" si="20"/>
        <v/>
      </c>
      <c r="AA187" s="332">
        <f t="shared" si="21"/>
        <v>0</v>
      </c>
      <c r="AB187" s="128">
        <f t="shared" si="25"/>
        <v>1</v>
      </c>
      <c r="AC187" s="340" t="str">
        <f t="shared" si="26"/>
        <v/>
      </c>
      <c r="AD187" s="332">
        <f t="shared" si="22"/>
        <v>0</v>
      </c>
      <c r="AE187" s="37" t="str">
        <f t="shared" si="27"/>
        <v/>
      </c>
      <c r="AF187" s="37" t="str">
        <f t="shared" si="28"/>
        <v/>
      </c>
      <c r="AG187" s="561" t="str">
        <f t="shared" si="23"/>
        <v/>
      </c>
      <c r="AH187" s="561" t="str">
        <f t="shared" si="29"/>
        <v/>
      </c>
      <c r="AI187" s="576"/>
      <c r="AJ187" s="847"/>
    </row>
    <row r="188" spans="1:36" ht="12" customHeight="1" outlineLevel="3" x14ac:dyDescent="0.2">
      <c r="A188" s="39">
        <f>acute_overview_children!A188</f>
        <v>4</v>
      </c>
      <c r="B188" s="23">
        <f>acute_overview_children!B188</f>
        <v>256990</v>
      </c>
      <c r="C188" s="23" t="s">
        <v>175</v>
      </c>
      <c r="D188" s="300">
        <f>Table22[[#This Row],[Level used for acute calculation]]</f>
        <v>0</v>
      </c>
      <c r="E188" s="302">
        <f>Table22[[#This Row],[MRL individual commodity]]</f>
        <v>0</v>
      </c>
      <c r="F188" s="451">
        <f>Table22[[#This Row],[Acute RA input value]]</f>
        <v>0</v>
      </c>
      <c r="G188" s="301">
        <f>Table22[[#This Row],[Acute RA label]]</f>
        <v>0</v>
      </c>
      <c r="H188" s="303">
        <f>Table22[[#This Row],[Acute RA IESTI new input value]]</f>
        <v>0</v>
      </c>
      <c r="I188" s="301">
        <f>Table22[[#This Row],[Acute RA IESTI new label]]</f>
        <v>0</v>
      </c>
      <c r="J188" s="65"/>
      <c r="K188" s="304">
        <f>Table22[[#This Row],[GAP under assessment]]</f>
        <v>0</v>
      </c>
      <c r="L188" s="304" t="str">
        <f>IF(input_values!$M188=0,"",input_values!$M188)</f>
        <v/>
      </c>
      <c r="M188" s="301" t="str">
        <f>IF(input_values!H188=0,"",input_values!H188)</f>
        <v/>
      </c>
      <c r="N188" s="304">
        <f>input_values!$K188</f>
        <v>0</v>
      </c>
      <c r="O188" s="309"/>
      <c r="P188" s="38"/>
      <c r="Q188" s="306"/>
      <c r="R188" s="309"/>
      <c r="S188" s="336" t="str">
        <f t="shared" si="24"/>
        <v/>
      </c>
      <c r="T188" s="305"/>
      <c r="U188" s="309"/>
      <c r="V188" s="305"/>
      <c r="W188" s="309"/>
      <c r="X188" s="611" t="str">
        <f>IF(V188="ND","ND",IF(S188="","",IF(OR(MID(C188,1,4)="milk",AND(MID(B188,1,2)="50",NOT(input_values!M188="Y")),AND(MID(B188,1,2)="40",NOT(input_values!M188="Y")),AND(MID(B188,1,2)="30",NOT(input_values!M188="Y"))),3,IF(OR(V188="&lt;25",B188&gt;1000000),1,IF((T188&gt;=S188),"2b","2a")))))</f>
        <v/>
      </c>
      <c r="Y188" s="38" t="str">
        <f>IF(X188="ND","ND",IF(S188="","",IF(input_values!K188&gt;0,input_values!K188,IF(OR(X188=1,X188=3),1,IF((V188&gt;250),5,7)))))</f>
        <v/>
      </c>
      <c r="Z188" s="335" t="str">
        <f t="shared" si="20"/>
        <v/>
      </c>
      <c r="AA188" s="311">
        <f t="shared" si="21"/>
        <v>0</v>
      </c>
      <c r="AB188" s="38" t="str">
        <f t="shared" si="25"/>
        <v/>
      </c>
      <c r="AC188" s="335" t="str">
        <f t="shared" si="26"/>
        <v/>
      </c>
      <c r="AD188" s="311">
        <f t="shared" si="22"/>
        <v>0</v>
      </c>
      <c r="AE188" s="344" t="str">
        <f t="shared" si="27"/>
        <v/>
      </c>
      <c r="AF188" s="344" t="str">
        <f t="shared" si="28"/>
        <v/>
      </c>
      <c r="AG188" s="561" t="str">
        <f t="shared" si="23"/>
        <v/>
      </c>
      <c r="AH188" s="561" t="str">
        <f t="shared" si="29"/>
        <v/>
      </c>
      <c r="AI188" s="576"/>
      <c r="AJ188" s="847"/>
    </row>
    <row r="189" spans="1:36" outlineLevel="1" x14ac:dyDescent="0.2">
      <c r="A189" s="130">
        <f>acute_overview_children!A189</f>
        <v>2</v>
      </c>
      <c r="B189" s="131">
        <f>acute_overview_children!B189</f>
        <v>260000</v>
      </c>
      <c r="C189" s="131" t="s">
        <v>354</v>
      </c>
      <c r="D189" s="300">
        <f>Table22[[#This Row],[Level used for acute calculation]]</f>
        <v>4</v>
      </c>
      <c r="E189" s="302">
        <f>Table22[[#This Row],[MRL individual commodity]]</f>
        <v>0</v>
      </c>
      <c r="F189" s="451">
        <f>Table22[[#This Row],[Acute RA input value]]</f>
        <v>0</v>
      </c>
      <c r="G189" s="301">
        <f>Table22[[#This Row],[Acute RA label]]</f>
        <v>0</v>
      </c>
      <c r="H189" s="303">
        <f>Table22[[#This Row],[Acute RA IESTI new input value]]</f>
        <v>0</v>
      </c>
      <c r="I189" s="301">
        <f>Table22[[#This Row],[Acute RA IESTI new label]]</f>
        <v>0</v>
      </c>
      <c r="J189" s="65"/>
      <c r="K189" s="304">
        <f>Table22[[#This Row],[GAP under assessment]]</f>
        <v>0</v>
      </c>
      <c r="L189" s="304" t="str">
        <f>IF(input_values!$M189=0,"",input_values!$M189)</f>
        <v/>
      </c>
      <c r="M189" s="301" t="str">
        <f>IF(input_values!H189=0,"",input_values!H189)</f>
        <v/>
      </c>
      <c r="N189" s="304">
        <f>input_values!$K189</f>
        <v>0</v>
      </c>
      <c r="O189" s="309"/>
      <c r="P189" s="38"/>
      <c r="Q189" s="306"/>
      <c r="R189" s="309"/>
      <c r="S189" s="336" t="str">
        <f t="shared" si="24"/>
        <v/>
      </c>
      <c r="T189" s="315"/>
      <c r="U189" s="320"/>
      <c r="V189" s="315"/>
      <c r="W189" s="320"/>
      <c r="X189" s="611" t="str">
        <f>IF(V189="ND","ND",IF(S189="","",IF(OR(MID(C189,1,4)="milk",AND(MID(B189,1,2)="50",NOT(input_values!M189="Y")),AND(MID(B189,1,2)="40",NOT(input_values!M189="Y")),AND(MID(B189,1,2)="30",NOT(input_values!M189="Y"))),3,IF(OR(V189="&lt;25",B189&gt;1000000),1,IF((T189&gt;=S189),"2b","2a")))))</f>
        <v/>
      </c>
      <c r="Y189" s="38" t="str">
        <f>IF(X189="ND","ND",IF(S189="","",IF(input_values!K189&gt;0,input_values!K189,IF(OR(X189=1,X189=3),1,IF((V189&gt;250),5,7)))))</f>
        <v/>
      </c>
      <c r="Z189" s="335" t="str">
        <f t="shared" si="20"/>
        <v/>
      </c>
      <c r="AA189" s="311">
        <f t="shared" si="21"/>
        <v>0</v>
      </c>
      <c r="AB189" s="38" t="str">
        <f t="shared" si="25"/>
        <v/>
      </c>
      <c r="AC189" s="335" t="str">
        <f t="shared" si="26"/>
        <v/>
      </c>
      <c r="AD189" s="311">
        <f t="shared" si="22"/>
        <v>0</v>
      </c>
      <c r="AE189" s="344" t="str">
        <f t="shared" si="27"/>
        <v/>
      </c>
      <c r="AF189" s="344" t="str">
        <f t="shared" si="28"/>
        <v/>
      </c>
      <c r="AG189" s="561" t="str">
        <f t="shared" si="23"/>
        <v/>
      </c>
      <c r="AH189" s="561" t="str">
        <f t="shared" si="29"/>
        <v/>
      </c>
      <c r="AI189" s="576"/>
      <c r="AJ189" s="847"/>
    </row>
    <row r="190" spans="1:36" ht="12" customHeight="1" outlineLevel="3" x14ac:dyDescent="0.2">
      <c r="A190" s="39">
        <f>acute_overview_children!A190</f>
        <v>4</v>
      </c>
      <c r="B190" s="23">
        <f>acute_overview_children!B190</f>
        <v>260010</v>
      </c>
      <c r="C190" s="23" t="s">
        <v>32</v>
      </c>
      <c r="D190" s="300">
        <f>Table22[[#This Row],[Level used for acute calculation]]</f>
        <v>4</v>
      </c>
      <c r="E190" s="302">
        <f>Table22[[#This Row],[MRL individual commodity]]</f>
        <v>0</v>
      </c>
      <c r="F190" s="451">
        <f>Table22[[#This Row],[Acute RA input value]]</f>
        <v>0</v>
      </c>
      <c r="G190" s="301" t="str">
        <f>Table22[[#This Row],[Acute RA label]]</f>
        <v/>
      </c>
      <c r="H190" s="303">
        <f>Table22[[#This Row],[Acute RA IESTI new input value]]</f>
        <v>0</v>
      </c>
      <c r="I190" s="301" t="str">
        <f>Table22[[#This Row],[Acute RA IESTI new label]]</f>
        <v/>
      </c>
      <c r="J190" s="65"/>
      <c r="K190" s="304">
        <f>Table22[[#This Row],[GAP under assessment]]</f>
        <v>0</v>
      </c>
      <c r="L190" s="304" t="str">
        <f>IF(input_values!$M190=0,"",input_values!$M190)</f>
        <v/>
      </c>
      <c r="M190" s="301" t="str">
        <f>IF(input_values!H190=0,"",input_values!H190)</f>
        <v/>
      </c>
      <c r="N190" s="304">
        <f>input_values!$K190</f>
        <v>0</v>
      </c>
      <c r="O190" s="326">
        <v>7.7140000000000004</v>
      </c>
      <c r="P190" s="22">
        <v>97.5</v>
      </c>
      <c r="Q190" s="327" t="s">
        <v>99</v>
      </c>
      <c r="R190" s="326">
        <v>65.8</v>
      </c>
      <c r="S190" s="328">
        <f t="shared" si="24"/>
        <v>507.58120000000002</v>
      </c>
      <c r="T190" s="338" t="s">
        <v>617</v>
      </c>
      <c r="U190" s="339" t="s">
        <v>215</v>
      </c>
      <c r="V190" s="338" t="s">
        <v>617</v>
      </c>
      <c r="W190" s="339" t="s">
        <v>215</v>
      </c>
      <c r="X190" s="1464">
        <f>IF(V190="ND","ND",IF(S190="","",IF(OR(MID(C190,1,4)="milk",AND(MID(B190,1,2)="50",NOT(input_values!M190="Y")),AND(MID(B190,1,2)="40",NOT(input_values!M190="Y")),AND(MID(B190,1,2)="30",NOT(input_values!M190="Y"))),3,IF(OR(V190="&lt;25",B190&gt;1000000),1,IF((T190&gt;=S190),"2b","2a")))))</f>
        <v>1</v>
      </c>
      <c r="Y190" s="22">
        <f>IF(X190="ND","ND",IF(S190="","",IF(input_values!K190&gt;0,input_values!K190,IF(OR(X190=1,X190=3),1,IF((V190&gt;250),5,7)))))</f>
        <v>1</v>
      </c>
      <c r="Z190" s="330" t="str">
        <f t="shared" si="20"/>
        <v/>
      </c>
      <c r="AA190" s="331">
        <f t="shared" si="21"/>
        <v>0</v>
      </c>
      <c r="AB190" s="128">
        <f t="shared" si="25"/>
        <v>1</v>
      </c>
      <c r="AC190" s="330" t="str">
        <f t="shared" si="26"/>
        <v/>
      </c>
      <c r="AD190" s="332">
        <f t="shared" si="22"/>
        <v>0</v>
      </c>
      <c r="AE190" s="333" t="str">
        <f t="shared" si="27"/>
        <v/>
      </c>
      <c r="AF190" s="333" t="str">
        <f t="shared" si="28"/>
        <v/>
      </c>
      <c r="AG190" s="561" t="str">
        <f t="shared" si="23"/>
        <v/>
      </c>
      <c r="AH190" s="561" t="str">
        <f t="shared" si="29"/>
        <v/>
      </c>
      <c r="AI190" s="576"/>
      <c r="AJ190" s="847"/>
    </row>
    <row r="191" spans="1:36" ht="12" customHeight="1" outlineLevel="3" x14ac:dyDescent="0.2">
      <c r="A191" s="39">
        <f>acute_overview_children!A191</f>
        <v>4</v>
      </c>
      <c r="B191" s="23">
        <f>acute_overview_children!B191</f>
        <v>260020</v>
      </c>
      <c r="C191" s="23" t="s">
        <v>33</v>
      </c>
      <c r="D191" s="300">
        <f>Table22[[#This Row],[Level used for acute calculation]]</f>
        <v>4</v>
      </c>
      <c r="E191" s="302">
        <f>Table22[[#This Row],[MRL individual commodity]]</f>
        <v>0</v>
      </c>
      <c r="F191" s="451">
        <f>Table22[[#This Row],[Acute RA input value]]</f>
        <v>0</v>
      </c>
      <c r="G191" s="301" t="str">
        <f>Table22[[#This Row],[Acute RA label]]</f>
        <v/>
      </c>
      <c r="H191" s="303">
        <f>Table22[[#This Row],[Acute RA IESTI new input value]]</f>
        <v>0</v>
      </c>
      <c r="I191" s="301" t="str">
        <f>Table22[[#This Row],[Acute RA IESTI new label]]</f>
        <v/>
      </c>
      <c r="J191" s="65"/>
      <c r="K191" s="304">
        <f>Table22[[#This Row],[GAP under assessment]]</f>
        <v>0</v>
      </c>
      <c r="L191" s="304" t="str">
        <f>IF(input_values!$M191=0,"",input_values!$M191)</f>
        <v/>
      </c>
      <c r="M191" s="301" t="str">
        <f>IF(input_values!H191=0,"",input_values!H191)</f>
        <v/>
      </c>
      <c r="N191" s="304">
        <f>input_values!$K191</f>
        <v>0</v>
      </c>
      <c r="O191" s="326">
        <v>3.9265367316341826</v>
      </c>
      <c r="P191" s="22">
        <v>97.5</v>
      </c>
      <c r="Q191" s="327" t="s">
        <v>255</v>
      </c>
      <c r="R191" s="326">
        <v>66.7</v>
      </c>
      <c r="S191" s="328">
        <f t="shared" si="24"/>
        <v>261.89999999999998</v>
      </c>
      <c r="T191" s="338" t="s">
        <v>617</v>
      </c>
      <c r="U191" s="339" t="s">
        <v>215</v>
      </c>
      <c r="V191" s="338" t="s">
        <v>617</v>
      </c>
      <c r="W191" s="339" t="s">
        <v>215</v>
      </c>
      <c r="X191" s="1464">
        <f>IF(V191="ND","ND",IF(S191="","",IF(OR(MID(C191,1,4)="milk",AND(MID(B191,1,2)="50",NOT(input_values!M191="Y")),AND(MID(B191,1,2)="40",NOT(input_values!M191="Y")),AND(MID(B191,1,2)="30",NOT(input_values!M191="Y"))),3,IF(OR(V191="&lt;25",B191&gt;1000000),1,IF((T191&gt;=S191),"2b","2a")))))</f>
        <v>1</v>
      </c>
      <c r="Y191" s="22">
        <f>IF(X191="ND","ND",IF(S191="","",IF(input_values!K191&gt;0,input_values!K191,IF(OR(X191=1,X191=3),1,IF((V191&gt;250),5,7)))))</f>
        <v>1</v>
      </c>
      <c r="Z191" s="330" t="str">
        <f t="shared" si="20"/>
        <v/>
      </c>
      <c r="AA191" s="331">
        <f t="shared" si="21"/>
        <v>0</v>
      </c>
      <c r="AB191" s="128">
        <f t="shared" si="25"/>
        <v>1</v>
      </c>
      <c r="AC191" s="330" t="str">
        <f t="shared" si="26"/>
        <v/>
      </c>
      <c r="AD191" s="332">
        <f t="shared" si="22"/>
        <v>0</v>
      </c>
      <c r="AE191" s="333" t="str">
        <f t="shared" si="27"/>
        <v/>
      </c>
      <c r="AF191" s="333" t="str">
        <f t="shared" si="28"/>
        <v/>
      </c>
      <c r="AG191" s="561" t="str">
        <f t="shared" si="23"/>
        <v/>
      </c>
      <c r="AH191" s="561" t="str">
        <f t="shared" si="29"/>
        <v/>
      </c>
      <c r="AI191" s="576"/>
      <c r="AJ191" s="847"/>
    </row>
    <row r="192" spans="1:36" ht="12" customHeight="1" outlineLevel="3" x14ac:dyDescent="0.2">
      <c r="A192" s="39">
        <f>acute_overview_children!A192</f>
        <v>4</v>
      </c>
      <c r="B192" s="23">
        <f>acute_overview_children!B192</f>
        <v>260030</v>
      </c>
      <c r="C192" s="23" t="s">
        <v>57</v>
      </c>
      <c r="D192" s="300">
        <f>Table22[[#This Row],[Level used for acute calculation]]</f>
        <v>4</v>
      </c>
      <c r="E192" s="302">
        <f>Table22[[#This Row],[MRL individual commodity]]</f>
        <v>0</v>
      </c>
      <c r="F192" s="451">
        <f>Table22[[#This Row],[Acute RA input value]]</f>
        <v>0</v>
      </c>
      <c r="G192" s="301" t="str">
        <f>Table22[[#This Row],[Acute RA label]]</f>
        <v/>
      </c>
      <c r="H192" s="303">
        <f>Table22[[#This Row],[Acute RA IESTI new input value]]</f>
        <v>0</v>
      </c>
      <c r="I192" s="301" t="str">
        <f>Table22[[#This Row],[Acute RA IESTI new label]]</f>
        <v/>
      </c>
      <c r="J192" s="65"/>
      <c r="K192" s="304">
        <f>Table22[[#This Row],[GAP under assessment]]</f>
        <v>0</v>
      </c>
      <c r="L192" s="304" t="str">
        <f>IF(input_values!$M192=0,"",input_values!$M192)</f>
        <v/>
      </c>
      <c r="M192" s="301" t="str">
        <f>IF(input_values!H192=0,"",input_values!H192)</f>
        <v/>
      </c>
      <c r="N192" s="304">
        <f>input_values!$K192</f>
        <v>0</v>
      </c>
      <c r="O192" s="326">
        <v>3.419</v>
      </c>
      <c r="P192" s="22" t="s">
        <v>331</v>
      </c>
      <c r="Q192" s="327" t="s">
        <v>99</v>
      </c>
      <c r="R192" s="326">
        <v>65.8</v>
      </c>
      <c r="S192" s="328">
        <f t="shared" si="24"/>
        <v>224.97020000000001</v>
      </c>
      <c r="T192" s="338" t="s">
        <v>617</v>
      </c>
      <c r="U192" s="339" t="s">
        <v>215</v>
      </c>
      <c r="V192" s="338" t="s">
        <v>617</v>
      </c>
      <c r="W192" s="339" t="s">
        <v>215</v>
      </c>
      <c r="X192" s="1464">
        <f>IF(V192="ND","ND",IF(S192="","",IF(OR(MID(C192,1,4)="milk",AND(MID(B192,1,2)="50",NOT(input_values!M192="Y")),AND(MID(B192,1,2)="40",NOT(input_values!M192="Y")),AND(MID(B192,1,2)="30",NOT(input_values!M192="Y"))),3,IF(OR(V192="&lt;25",B192&gt;1000000),1,IF((T192&gt;=S192),"2b","2a")))))</f>
        <v>1</v>
      </c>
      <c r="Y192" s="22">
        <f>IF(X192="ND","ND",IF(S192="","",IF(input_values!K192&gt;0,input_values!K192,IF(OR(X192=1,X192=3),1,IF((V192&gt;250),5,7)))))</f>
        <v>1</v>
      </c>
      <c r="Z192" s="330" t="str">
        <f t="shared" si="20"/>
        <v/>
      </c>
      <c r="AA192" s="331">
        <f t="shared" si="21"/>
        <v>0</v>
      </c>
      <c r="AB192" s="128">
        <f t="shared" si="25"/>
        <v>1</v>
      </c>
      <c r="AC192" s="330" t="str">
        <f t="shared" si="26"/>
        <v/>
      </c>
      <c r="AD192" s="332">
        <f t="shared" si="22"/>
        <v>0</v>
      </c>
      <c r="AE192" s="333" t="str">
        <f t="shared" si="27"/>
        <v/>
      </c>
      <c r="AF192" s="333" t="str">
        <f t="shared" si="28"/>
        <v/>
      </c>
      <c r="AG192" s="561" t="str">
        <f t="shared" si="23"/>
        <v/>
      </c>
      <c r="AH192" s="561" t="str">
        <f t="shared" si="29"/>
        <v/>
      </c>
      <c r="AI192" s="576"/>
      <c r="AJ192" s="847"/>
    </row>
    <row r="193" spans="1:36" ht="12" customHeight="1" outlineLevel="3" x14ac:dyDescent="0.2">
      <c r="A193" s="39">
        <f>acute_overview_children!A193</f>
        <v>4</v>
      </c>
      <c r="B193" s="23">
        <f>acute_overview_children!B193</f>
        <v>260040</v>
      </c>
      <c r="C193" s="23" t="s">
        <v>58</v>
      </c>
      <c r="D193" s="300">
        <f>Table22[[#This Row],[Level used for acute calculation]]</f>
        <v>4</v>
      </c>
      <c r="E193" s="302">
        <f>Table22[[#This Row],[MRL individual commodity]]</f>
        <v>0</v>
      </c>
      <c r="F193" s="451">
        <f>Table22[[#This Row],[Acute RA input value]]</f>
        <v>0</v>
      </c>
      <c r="G193" s="301" t="str">
        <f>Table22[[#This Row],[Acute RA label]]</f>
        <v/>
      </c>
      <c r="H193" s="303">
        <f>Table22[[#This Row],[Acute RA IESTI new input value]]</f>
        <v>0</v>
      </c>
      <c r="I193" s="301" t="str">
        <f>Table22[[#This Row],[Acute RA IESTI new label]]</f>
        <v/>
      </c>
      <c r="J193" s="65"/>
      <c r="K193" s="304">
        <f>Table22[[#This Row],[GAP under assessment]]</f>
        <v>0</v>
      </c>
      <c r="L193" s="304" t="str">
        <f>IF(input_values!$M193=0,"",input_values!$M193)</f>
        <v/>
      </c>
      <c r="M193" s="301" t="str">
        <f>IF(input_values!H193=0,"",input_values!H193)</f>
        <v/>
      </c>
      <c r="N193" s="304">
        <f>input_values!$K193</f>
        <v>0</v>
      </c>
      <c r="O193" s="326">
        <v>5.3390000000000004</v>
      </c>
      <c r="P193" s="22">
        <v>97.5</v>
      </c>
      <c r="Q193" s="327" t="s">
        <v>99</v>
      </c>
      <c r="R193" s="326">
        <v>65.8</v>
      </c>
      <c r="S193" s="328">
        <f t="shared" si="24"/>
        <v>351.30619999999999</v>
      </c>
      <c r="T193" s="338" t="s">
        <v>617</v>
      </c>
      <c r="U193" s="339" t="s">
        <v>215</v>
      </c>
      <c r="V193" s="338" t="s">
        <v>617</v>
      </c>
      <c r="W193" s="339" t="s">
        <v>215</v>
      </c>
      <c r="X193" s="1464">
        <f>IF(V193="ND","ND",IF(S193="","",IF(OR(MID(C193,1,4)="milk",AND(MID(B193,1,2)="50",NOT(input_values!M193="Y")),AND(MID(B193,1,2)="40",NOT(input_values!M193="Y")),AND(MID(B193,1,2)="30",NOT(input_values!M193="Y"))),3,IF(OR(V193="&lt;25",B193&gt;1000000),1,IF((T193&gt;=S193),"2b","2a")))))</f>
        <v>1</v>
      </c>
      <c r="Y193" s="22">
        <f>IF(X193="ND","ND",IF(S193="","",IF(input_values!K193&gt;0,input_values!K193,IF(OR(X193=1,X193=3),1,IF((V193&gt;250),5,7)))))</f>
        <v>1</v>
      </c>
      <c r="Z193" s="330" t="str">
        <f t="shared" si="20"/>
        <v/>
      </c>
      <c r="AA193" s="331">
        <f t="shared" si="21"/>
        <v>0</v>
      </c>
      <c r="AB193" s="128">
        <f t="shared" si="25"/>
        <v>1</v>
      </c>
      <c r="AC193" s="330" t="str">
        <f t="shared" si="26"/>
        <v/>
      </c>
      <c r="AD193" s="332">
        <f t="shared" si="22"/>
        <v>0</v>
      </c>
      <c r="AE193" s="333" t="str">
        <f t="shared" si="27"/>
        <v/>
      </c>
      <c r="AF193" s="333" t="str">
        <f t="shared" si="28"/>
        <v/>
      </c>
      <c r="AG193" s="561" t="str">
        <f t="shared" si="23"/>
        <v/>
      </c>
      <c r="AH193" s="561" t="str">
        <f t="shared" si="29"/>
        <v/>
      </c>
      <c r="AI193" s="576"/>
      <c r="AJ193" s="847"/>
    </row>
    <row r="194" spans="1:36" ht="12" customHeight="1" outlineLevel="3" x14ac:dyDescent="0.2">
      <c r="A194" s="39">
        <f>acute_overview_children!A194</f>
        <v>4</v>
      </c>
      <c r="B194" s="23">
        <f>acute_overview_children!B194</f>
        <v>260050</v>
      </c>
      <c r="C194" s="23" t="s">
        <v>269</v>
      </c>
      <c r="D194" s="300">
        <f>Table22[[#This Row],[Level used for acute calculation]]</f>
        <v>4</v>
      </c>
      <c r="E194" s="302">
        <f>Table22[[#This Row],[MRL individual commodity]]</f>
        <v>0</v>
      </c>
      <c r="F194" s="451">
        <f>Table22[[#This Row],[Acute RA input value]]</f>
        <v>0</v>
      </c>
      <c r="G194" s="301" t="str">
        <f>Table22[[#This Row],[Acute RA label]]</f>
        <v/>
      </c>
      <c r="H194" s="303">
        <f>Table22[[#This Row],[Acute RA IESTI new input value]]</f>
        <v>0</v>
      </c>
      <c r="I194" s="301" t="str">
        <f>Table22[[#This Row],[Acute RA IESTI new label]]</f>
        <v/>
      </c>
      <c r="J194" s="65"/>
      <c r="K194" s="304">
        <f>Table22[[#This Row],[GAP under assessment]]</f>
        <v>0</v>
      </c>
      <c r="L194" s="304" t="str">
        <f>IF(input_values!$M194=0,"",input_values!$M194)</f>
        <v/>
      </c>
      <c r="M194" s="301" t="str">
        <f>IF(input_values!H194=0,"",input_values!H194)</f>
        <v/>
      </c>
      <c r="N194" s="304">
        <f>input_values!$K194</f>
        <v>0</v>
      </c>
      <c r="O194" s="326">
        <v>3.3</v>
      </c>
      <c r="P194" s="22">
        <v>100</v>
      </c>
      <c r="Q194" s="327" t="s">
        <v>334</v>
      </c>
      <c r="R194" s="326">
        <v>67.47</v>
      </c>
      <c r="S194" s="328">
        <f t="shared" si="24"/>
        <v>222.65099999999998</v>
      </c>
      <c r="T194" s="338" t="s">
        <v>617</v>
      </c>
      <c r="U194" s="339" t="s">
        <v>215</v>
      </c>
      <c r="V194" s="338" t="s">
        <v>617</v>
      </c>
      <c r="W194" s="339" t="s">
        <v>215</v>
      </c>
      <c r="X194" s="1464">
        <f>IF(V194="ND","ND",IF(S194="","",IF(OR(MID(C194,1,4)="milk",AND(MID(B194,1,2)="50",NOT(input_values!M194="Y")),AND(MID(B194,1,2)="40",NOT(input_values!M194="Y")),AND(MID(B194,1,2)="30",NOT(input_values!M194="Y"))),3,IF(OR(V194="&lt;25",B194&gt;1000000),1,IF((T194&gt;=S194),"2b","2a")))))</f>
        <v>1</v>
      </c>
      <c r="Y194" s="22">
        <f>IF(X194="ND","ND",IF(S194="","",IF(input_values!K194&gt;0,input_values!K194,IF(OR(X194=1,X194=3),1,IF((V194&gt;250),5,7)))))</f>
        <v>1</v>
      </c>
      <c r="Z194" s="330" t="str">
        <f t="shared" si="20"/>
        <v/>
      </c>
      <c r="AA194" s="331">
        <f t="shared" si="21"/>
        <v>0</v>
      </c>
      <c r="AB194" s="128">
        <f t="shared" si="25"/>
        <v>1</v>
      </c>
      <c r="AC194" s="330" t="str">
        <f t="shared" si="26"/>
        <v/>
      </c>
      <c r="AD194" s="332">
        <f t="shared" si="22"/>
        <v>0</v>
      </c>
      <c r="AE194" s="333" t="str">
        <f t="shared" si="27"/>
        <v/>
      </c>
      <c r="AF194" s="333" t="str">
        <f t="shared" si="28"/>
        <v/>
      </c>
      <c r="AG194" s="561" t="str">
        <f t="shared" si="23"/>
        <v/>
      </c>
      <c r="AH194" s="561" t="str">
        <f t="shared" si="29"/>
        <v/>
      </c>
      <c r="AI194" s="576"/>
      <c r="AJ194" s="847"/>
    </row>
    <row r="195" spans="1:36" ht="12" customHeight="1" outlineLevel="3" x14ac:dyDescent="0.2">
      <c r="A195" s="39">
        <f>acute_overview_children!A195</f>
        <v>4</v>
      </c>
      <c r="B195" s="23">
        <f>acute_overview_children!B195</f>
        <v>260990</v>
      </c>
      <c r="C195" s="23" t="s">
        <v>176</v>
      </c>
      <c r="D195" s="300">
        <f>Table22[[#This Row],[Level used for acute calculation]]</f>
        <v>0</v>
      </c>
      <c r="E195" s="302">
        <f>Table22[[#This Row],[MRL individual commodity]]</f>
        <v>0</v>
      </c>
      <c r="F195" s="451">
        <f>Table22[[#This Row],[Acute RA input value]]</f>
        <v>0</v>
      </c>
      <c r="G195" s="301">
        <f>Table22[[#This Row],[Acute RA label]]</f>
        <v>0</v>
      </c>
      <c r="H195" s="303">
        <f>Table22[[#This Row],[Acute RA IESTI new input value]]</f>
        <v>0</v>
      </c>
      <c r="I195" s="301">
        <f>Table22[[#This Row],[Acute RA IESTI new label]]</f>
        <v>0</v>
      </c>
      <c r="J195" s="65"/>
      <c r="K195" s="304">
        <f>Table22[[#This Row],[GAP under assessment]]</f>
        <v>0</v>
      </c>
      <c r="L195" s="304" t="str">
        <f>IF(input_values!$M195=0,"",input_values!$M195)</f>
        <v/>
      </c>
      <c r="M195" s="301" t="str">
        <f>IF(input_values!H195=0,"",input_values!H195)</f>
        <v/>
      </c>
      <c r="N195" s="304">
        <f>input_values!$K195</f>
        <v>0</v>
      </c>
      <c r="O195" s="309"/>
      <c r="P195" s="38"/>
      <c r="Q195" s="306"/>
      <c r="R195" s="309"/>
      <c r="S195" s="336" t="str">
        <f t="shared" si="24"/>
        <v/>
      </c>
      <c r="T195" s="305"/>
      <c r="U195" s="309"/>
      <c r="V195" s="305"/>
      <c r="W195" s="309"/>
      <c r="X195" s="611" t="str">
        <f>IF(V195="ND","ND",IF(S195="","",IF(OR(MID(C195,1,4)="milk",AND(MID(B195,1,2)="50",NOT(input_values!M195="Y")),AND(MID(B195,1,2)="40",NOT(input_values!M195="Y")),AND(MID(B195,1,2)="30",NOT(input_values!M195="Y"))),3,IF(OR(V195="&lt;25",B195&gt;1000000),1,IF((T195&gt;=S195),"2b","2a")))))</f>
        <v/>
      </c>
      <c r="Y195" s="38" t="str">
        <f>IF(X195="ND","ND",IF(S195="","",IF(input_values!K195&gt;0,input_values!K195,IF(OR(X195=1,X195=3),1,IF((V195&gt;250),5,7)))))</f>
        <v/>
      </c>
      <c r="Z195" s="335" t="str">
        <f t="shared" si="20"/>
        <v/>
      </c>
      <c r="AA195" s="311">
        <f t="shared" si="21"/>
        <v>0</v>
      </c>
      <c r="AB195" s="38" t="str">
        <f t="shared" si="25"/>
        <v/>
      </c>
      <c r="AC195" s="335" t="str">
        <f t="shared" si="26"/>
        <v/>
      </c>
      <c r="AD195" s="311">
        <f t="shared" si="22"/>
        <v>0</v>
      </c>
      <c r="AE195" s="344" t="str">
        <f t="shared" si="27"/>
        <v/>
      </c>
      <c r="AF195" s="344" t="str">
        <f t="shared" si="28"/>
        <v/>
      </c>
      <c r="AG195" s="561" t="str">
        <f t="shared" si="23"/>
        <v/>
      </c>
      <c r="AH195" s="561" t="str">
        <f t="shared" si="29"/>
        <v/>
      </c>
      <c r="AI195" s="576"/>
      <c r="AJ195" s="847"/>
    </row>
    <row r="196" spans="1:36" ht="10.9" customHeight="1" outlineLevel="1" x14ac:dyDescent="0.2">
      <c r="A196" s="130">
        <f>acute_overview_children!A196</f>
        <v>2</v>
      </c>
      <c r="B196" s="131">
        <f>acute_overview_children!B196</f>
        <v>270000</v>
      </c>
      <c r="C196" s="131" t="s">
        <v>353</v>
      </c>
      <c r="D196" s="300">
        <f>Table22[[#This Row],[Level used for acute calculation]]</f>
        <v>4</v>
      </c>
      <c r="E196" s="302">
        <f>Table22[[#This Row],[MRL individual commodity]]</f>
        <v>0</v>
      </c>
      <c r="F196" s="451">
        <f>Table22[[#This Row],[Acute RA input value]]</f>
        <v>0</v>
      </c>
      <c r="G196" s="301">
        <f>Table22[[#This Row],[Acute RA label]]</f>
        <v>0</v>
      </c>
      <c r="H196" s="303">
        <f>Table22[[#This Row],[Acute RA IESTI new input value]]</f>
        <v>0</v>
      </c>
      <c r="I196" s="301">
        <f>Table22[[#This Row],[Acute RA IESTI new label]]</f>
        <v>0</v>
      </c>
      <c r="J196" s="65"/>
      <c r="K196" s="304">
        <f>Table22[[#This Row],[GAP under assessment]]</f>
        <v>0</v>
      </c>
      <c r="L196" s="304" t="str">
        <f>IF(input_values!$M196=0,"",input_values!$M196)</f>
        <v/>
      </c>
      <c r="M196" s="301" t="str">
        <f>IF(input_values!H196=0,"",input_values!H196)</f>
        <v/>
      </c>
      <c r="N196" s="304">
        <f>input_values!$K196</f>
        <v>0</v>
      </c>
      <c r="O196" s="309"/>
      <c r="P196" s="38"/>
      <c r="Q196" s="306"/>
      <c r="R196" s="309"/>
      <c r="S196" s="336" t="str">
        <f t="shared" si="24"/>
        <v/>
      </c>
      <c r="T196" s="315"/>
      <c r="U196" s="320"/>
      <c r="V196" s="315"/>
      <c r="W196" s="320"/>
      <c r="X196" s="611" t="str">
        <f>IF(V196="ND","ND",IF(S196="","",IF(OR(MID(C196,1,4)="milk",AND(MID(B196,1,2)="50",NOT(input_values!M196="Y")),AND(MID(B196,1,2)="40",NOT(input_values!M196="Y")),AND(MID(B196,1,2)="30",NOT(input_values!M196="Y"))),3,IF(OR(V196="&lt;25",B196&gt;1000000),1,IF((T196&gt;=S196),"2b","2a")))))</f>
        <v/>
      </c>
      <c r="Y196" s="38" t="str">
        <f>IF(X196="ND","ND",IF(S196="","",IF(input_values!K196&gt;0,input_values!K196,IF(OR(X196=1,X196=3),1,IF((V196&gt;250),5,7)))))</f>
        <v/>
      </c>
      <c r="Z196" s="335" t="str">
        <f t="shared" si="20"/>
        <v/>
      </c>
      <c r="AA196" s="311">
        <f t="shared" si="21"/>
        <v>0</v>
      </c>
      <c r="AB196" s="38" t="str">
        <f t="shared" si="25"/>
        <v/>
      </c>
      <c r="AC196" s="335" t="str">
        <f t="shared" si="26"/>
        <v/>
      </c>
      <c r="AD196" s="311">
        <f t="shared" si="22"/>
        <v>0</v>
      </c>
      <c r="AE196" s="344" t="str">
        <f t="shared" si="27"/>
        <v/>
      </c>
      <c r="AF196" s="344" t="str">
        <f t="shared" si="28"/>
        <v/>
      </c>
      <c r="AG196" s="561" t="str">
        <f t="shared" si="23"/>
        <v/>
      </c>
      <c r="AH196" s="561" t="str">
        <f t="shared" si="29"/>
        <v/>
      </c>
      <c r="AI196" s="576"/>
      <c r="AJ196" s="847"/>
    </row>
    <row r="197" spans="1:36" ht="12" customHeight="1" outlineLevel="3" x14ac:dyDescent="0.2">
      <c r="A197" s="39">
        <f>acute_overview_children!A197</f>
        <v>4</v>
      </c>
      <c r="B197" s="23">
        <f>acute_overview_children!B197</f>
        <v>270010</v>
      </c>
      <c r="C197" s="23" t="s">
        <v>60</v>
      </c>
      <c r="D197" s="300">
        <f>Table22[[#This Row],[Level used for acute calculation]]</f>
        <v>4</v>
      </c>
      <c r="E197" s="302">
        <f>Table22[[#This Row],[MRL individual commodity]]</f>
        <v>0</v>
      </c>
      <c r="F197" s="451">
        <f>Table22[[#This Row],[Acute RA input value]]</f>
        <v>0</v>
      </c>
      <c r="G197" s="301" t="str">
        <f>Table22[[#This Row],[Acute RA label]]</f>
        <v/>
      </c>
      <c r="H197" s="303">
        <f>Table22[[#This Row],[Acute RA IESTI new input value]]</f>
        <v>0</v>
      </c>
      <c r="I197" s="301" t="str">
        <f>Table22[[#This Row],[Acute RA IESTI new label]]</f>
        <v/>
      </c>
      <c r="J197" s="65"/>
      <c r="K197" s="304">
        <f>Table22[[#This Row],[GAP under assessment]]</f>
        <v>0</v>
      </c>
      <c r="L197" s="304" t="str">
        <f>IF(input_values!$M197=0,"",input_values!$M197)</f>
        <v/>
      </c>
      <c r="M197" s="301" t="str">
        <f>IF(input_values!H197=0,"",input_values!H197)</f>
        <v/>
      </c>
      <c r="N197" s="304">
        <f>input_values!$K197</f>
        <v>0</v>
      </c>
      <c r="O197" s="326">
        <v>5.9</v>
      </c>
      <c r="P197" s="22">
        <v>97.5</v>
      </c>
      <c r="Q197" s="327" t="s">
        <v>334</v>
      </c>
      <c r="R197" s="326">
        <v>67.47</v>
      </c>
      <c r="S197" s="328">
        <f t="shared" si="24"/>
        <v>398.07300000000004</v>
      </c>
      <c r="T197" s="328">
        <v>20.058</v>
      </c>
      <c r="U197" s="326" t="s">
        <v>90</v>
      </c>
      <c r="V197" s="328">
        <v>26.169230769230769</v>
      </c>
      <c r="W197" s="326" t="s">
        <v>90</v>
      </c>
      <c r="X197" s="1464" t="str">
        <f>IF(V197="ND","ND",IF(S197="","",IF(OR(MID(C197,1,4)="milk",AND(MID(B197,1,2)="50",NOT(input_values!M197="Y")),AND(MID(B197,1,2)="40",NOT(input_values!M197="Y")),AND(MID(B197,1,2)="30",NOT(input_values!M197="Y"))),3,IF(OR(V197="&lt;25",B197&gt;1000000),1,IF((T197&gt;=S197),"2b","2a")))))</f>
        <v>2a</v>
      </c>
      <c r="Y197" s="22">
        <f>IF(X197="ND","ND",IF(S197="","",IF(input_values!K197&gt;0,input_values!K197,IF(OR(X197=1,X197=3),1,IF((V197&gt;250),5,7)))))</f>
        <v>7</v>
      </c>
      <c r="Z197" s="330" t="str">
        <f t="shared" si="20"/>
        <v/>
      </c>
      <c r="AA197" s="331">
        <f t="shared" si="21"/>
        <v>0</v>
      </c>
      <c r="AB197" s="128">
        <f t="shared" si="25"/>
        <v>3</v>
      </c>
      <c r="AC197" s="330" t="str">
        <f t="shared" si="26"/>
        <v/>
      </c>
      <c r="AD197" s="332">
        <f t="shared" si="22"/>
        <v>0</v>
      </c>
      <c r="AE197" s="333" t="str">
        <f t="shared" si="27"/>
        <v/>
      </c>
      <c r="AF197" s="333" t="str">
        <f t="shared" si="28"/>
        <v/>
      </c>
      <c r="AG197" s="561" t="str">
        <f t="shared" si="23"/>
        <v/>
      </c>
      <c r="AH197" s="561" t="str">
        <f t="shared" si="29"/>
        <v/>
      </c>
      <c r="AI197" s="576"/>
      <c r="AJ197" s="847"/>
    </row>
    <row r="198" spans="1:36" ht="12" customHeight="1" outlineLevel="3" x14ac:dyDescent="0.2">
      <c r="A198" s="39">
        <f>acute_overview_children!A198</f>
        <v>4</v>
      </c>
      <c r="B198" s="23">
        <f>acute_overview_children!B198</f>
        <v>270020</v>
      </c>
      <c r="C198" s="23" t="s">
        <v>61</v>
      </c>
      <c r="D198" s="300">
        <f>Table22[[#This Row],[Level used for acute calculation]]</f>
        <v>4</v>
      </c>
      <c r="E198" s="302">
        <f>Table22[[#This Row],[MRL individual commodity]]</f>
        <v>0</v>
      </c>
      <c r="F198" s="451">
        <f>Table22[[#This Row],[Acute RA input value]]</f>
        <v>0</v>
      </c>
      <c r="G198" s="301" t="str">
        <f>Table22[[#This Row],[Acute RA label]]</f>
        <v/>
      </c>
      <c r="H198" s="303">
        <f>Table22[[#This Row],[Acute RA IESTI new input value]]</f>
        <v>0</v>
      </c>
      <c r="I198" s="301" t="str">
        <f>Table22[[#This Row],[Acute RA IESTI new label]]</f>
        <v/>
      </c>
      <c r="J198" s="65"/>
      <c r="K198" s="304">
        <f>Table22[[#This Row],[GAP under assessment]]</f>
        <v>0</v>
      </c>
      <c r="L198" s="304" t="str">
        <f>IF(input_values!$M198=0,"",input_values!$M198)</f>
        <v/>
      </c>
      <c r="M198" s="301" t="str">
        <f>IF(input_values!H198=0,"",input_values!H198)</f>
        <v/>
      </c>
      <c r="N198" s="304">
        <f>input_values!$K198</f>
        <v>0</v>
      </c>
      <c r="O198" s="338">
        <v>1.4827067669172931</v>
      </c>
      <c r="P198" s="22">
        <v>97.5</v>
      </c>
      <c r="Q198" s="327" t="s">
        <v>244</v>
      </c>
      <c r="R198" s="326">
        <v>66.5</v>
      </c>
      <c r="S198" s="328">
        <f t="shared" si="24"/>
        <v>98.6</v>
      </c>
      <c r="T198" s="328">
        <v>100</v>
      </c>
      <c r="U198" s="326" t="s">
        <v>98</v>
      </c>
      <c r="V198" s="328">
        <v>100</v>
      </c>
      <c r="W198" s="326" t="s">
        <v>98</v>
      </c>
      <c r="X198" s="460" t="str">
        <f>IF(V198="ND","ND",IF(S198="","",IF(OR(MID(C198,1,4)="milk",AND(MID(B198,1,2)="50",NOT(input_values!M198="Y")),AND(MID(B198,1,2)="40",NOT(input_values!M198="Y")),AND(MID(B198,1,2)="30",NOT(input_values!M198="Y"))),3,IF(OR(V198="&lt;25",B198&gt;1000000),1,IF((T198&gt;=S198),"2b","2a")))))</f>
        <v>2b</v>
      </c>
      <c r="Y198" s="22">
        <f>IF(X198="ND","ND",IF(S198="","",IF(input_values!K198&gt;0,input_values!K198,IF(OR(X198=1,X198=3),1,IF((V198&gt;250),5,7)))))</f>
        <v>7</v>
      </c>
      <c r="Z198" s="340" t="str">
        <f t="shared" si="20"/>
        <v/>
      </c>
      <c r="AA198" s="332">
        <f t="shared" si="21"/>
        <v>0</v>
      </c>
      <c r="AB198" s="128">
        <f t="shared" si="25"/>
        <v>3</v>
      </c>
      <c r="AC198" s="340" t="str">
        <f t="shared" si="26"/>
        <v/>
      </c>
      <c r="AD198" s="332">
        <f t="shared" si="22"/>
        <v>0</v>
      </c>
      <c r="AE198" s="37" t="str">
        <f t="shared" si="27"/>
        <v/>
      </c>
      <c r="AF198" s="37" t="str">
        <f t="shared" si="28"/>
        <v/>
      </c>
      <c r="AG198" s="561" t="str">
        <f t="shared" si="23"/>
        <v/>
      </c>
      <c r="AH198" s="561" t="str">
        <f t="shared" si="29"/>
        <v/>
      </c>
      <c r="AI198" s="576"/>
      <c r="AJ198" s="847"/>
    </row>
    <row r="199" spans="1:36" ht="12" customHeight="1" outlineLevel="3" x14ac:dyDescent="0.2">
      <c r="A199" s="39">
        <f>acute_overview_children!A199</f>
        <v>4</v>
      </c>
      <c r="B199" s="23">
        <f>acute_overview_children!B199</f>
        <v>270030</v>
      </c>
      <c r="C199" s="23" t="s">
        <v>737</v>
      </c>
      <c r="D199" s="300">
        <f>Table22[[#This Row],[Level used for acute calculation]]</f>
        <v>4</v>
      </c>
      <c r="E199" s="302">
        <f>Table22[[#This Row],[MRL individual commodity]]</f>
        <v>0</v>
      </c>
      <c r="F199" s="451">
        <f>Table22[[#This Row],[Acute RA input value]]</f>
        <v>0</v>
      </c>
      <c r="G199" s="301" t="str">
        <f>Table22[[#This Row],[Acute RA label]]</f>
        <v/>
      </c>
      <c r="H199" s="303">
        <f>Table22[[#This Row],[Acute RA IESTI new input value]]</f>
        <v>0</v>
      </c>
      <c r="I199" s="301" t="str">
        <f>Table22[[#This Row],[Acute RA IESTI new label]]</f>
        <v/>
      </c>
      <c r="J199" s="65"/>
      <c r="K199" s="304">
        <f>Table22[[#This Row],[GAP under assessment]]</f>
        <v>0</v>
      </c>
      <c r="L199" s="304" t="str">
        <f>IF(input_values!$M199=0,"",input_values!$M199)</f>
        <v/>
      </c>
      <c r="M199" s="301" t="str">
        <f>IF(input_values!H199=0,"",input_values!H199)</f>
        <v/>
      </c>
      <c r="N199" s="304">
        <f>input_values!$K199</f>
        <v>0</v>
      </c>
      <c r="O199" s="326">
        <v>3.2</v>
      </c>
      <c r="P199" s="22">
        <v>95</v>
      </c>
      <c r="Q199" s="327" t="s">
        <v>334</v>
      </c>
      <c r="R199" s="326">
        <v>67.47</v>
      </c>
      <c r="S199" s="328">
        <f t="shared" si="24"/>
        <v>215.904</v>
      </c>
      <c r="T199" s="328">
        <v>551.83333333333337</v>
      </c>
      <c r="U199" s="326" t="s">
        <v>90</v>
      </c>
      <c r="V199" s="328">
        <v>815</v>
      </c>
      <c r="W199" s="326" t="s">
        <v>90</v>
      </c>
      <c r="X199" s="1464" t="str">
        <f>IF(V199="ND","ND",IF(S199="","",IF(OR(MID(C199,1,4)="milk",AND(MID(B199,1,2)="50",NOT(input_values!M199="Y")),AND(MID(B199,1,2)="40",NOT(input_values!M199="Y")),AND(MID(B199,1,2)="30",NOT(input_values!M199="Y"))),3,IF(OR(V199="&lt;25",B199&gt;1000000),1,IF((T199&gt;=S199),"2b","2a")))))</f>
        <v>2b</v>
      </c>
      <c r="Y199" s="22">
        <f>IF(X199="ND","ND",IF(S199="","",IF(input_values!K199&gt;0,input_values!K199,IF(OR(X199=1,X199=3),1,IF((V199&gt;250),5,7)))))</f>
        <v>5</v>
      </c>
      <c r="Z199" s="330" t="str">
        <f t="shared" si="20"/>
        <v/>
      </c>
      <c r="AA199" s="331">
        <f t="shared" si="21"/>
        <v>0</v>
      </c>
      <c r="AB199" s="128">
        <f t="shared" si="25"/>
        <v>3</v>
      </c>
      <c r="AC199" s="330" t="str">
        <f t="shared" si="26"/>
        <v/>
      </c>
      <c r="AD199" s="332">
        <f t="shared" si="22"/>
        <v>0</v>
      </c>
      <c r="AE199" s="333" t="str">
        <f t="shared" si="27"/>
        <v/>
      </c>
      <c r="AF199" s="333" t="str">
        <f t="shared" si="28"/>
        <v/>
      </c>
      <c r="AG199" s="561" t="str">
        <f t="shared" si="23"/>
        <v/>
      </c>
      <c r="AH199" s="561" t="str">
        <f t="shared" si="29"/>
        <v/>
      </c>
      <c r="AI199" s="576"/>
      <c r="AJ199" s="847"/>
    </row>
    <row r="200" spans="1:36" ht="12" customHeight="1" outlineLevel="3" x14ac:dyDescent="0.2">
      <c r="A200" s="39">
        <f>acute_overview_children!A200</f>
        <v>4</v>
      </c>
      <c r="B200" s="23">
        <f>acute_overview_children!B200</f>
        <v>270040</v>
      </c>
      <c r="C200" s="23" t="s">
        <v>932</v>
      </c>
      <c r="D200" s="300">
        <f>Table22[[#This Row],[Level used for acute calculation]]</f>
        <v>4</v>
      </c>
      <c r="E200" s="302">
        <f>Table22[[#This Row],[MRL individual commodity]]</f>
        <v>0</v>
      </c>
      <c r="F200" s="451">
        <f>Table22[[#This Row],[Acute RA input value]]</f>
        <v>0</v>
      </c>
      <c r="G200" s="301" t="str">
        <f>Table22[[#This Row],[Acute RA label]]</f>
        <v/>
      </c>
      <c r="H200" s="303">
        <f>Table22[[#This Row],[Acute RA IESTI new input value]]</f>
        <v>0</v>
      </c>
      <c r="I200" s="301" t="str">
        <f>Table22[[#This Row],[Acute RA IESTI new label]]</f>
        <v/>
      </c>
      <c r="J200" s="65"/>
      <c r="K200" s="304">
        <f>Table22[[#This Row],[GAP under assessment]]</f>
        <v>0</v>
      </c>
      <c r="L200" s="304" t="str">
        <f>IF(input_values!$M200=0,"",input_values!$M200)</f>
        <v/>
      </c>
      <c r="M200" s="301" t="str">
        <f>IF(input_values!H200=0,"",input_values!H200)</f>
        <v/>
      </c>
      <c r="N200" s="304">
        <f>input_values!$K200</f>
        <v>0</v>
      </c>
      <c r="O200" s="326">
        <v>2.6626686656671663</v>
      </c>
      <c r="P200" s="22">
        <v>97.5</v>
      </c>
      <c r="Q200" s="327" t="s">
        <v>255</v>
      </c>
      <c r="R200" s="326">
        <v>66.7</v>
      </c>
      <c r="S200" s="328">
        <f t="shared" si="24"/>
        <v>177.6</v>
      </c>
      <c r="T200" s="328">
        <v>234</v>
      </c>
      <c r="U200" s="326" t="s">
        <v>45</v>
      </c>
      <c r="V200" s="328">
        <v>234</v>
      </c>
      <c r="W200" s="326" t="s">
        <v>45</v>
      </c>
      <c r="X200" s="1464" t="str">
        <f>IF(V200="ND","ND",IF(S200="","",IF(OR(MID(C200,1,4)="milk",AND(MID(B200,1,2)="50",NOT(input_values!M200="Y")),AND(MID(B200,1,2)="40",NOT(input_values!M200="Y")),AND(MID(B200,1,2)="30",NOT(input_values!M200="Y"))),3,IF(OR(V200="&lt;25",B200&gt;1000000),1,IF((T200&gt;=S200),"2b","2a")))))</f>
        <v>2b</v>
      </c>
      <c r="Y200" s="22">
        <f>IF(X200="ND","ND",IF(S200="","",IF(input_values!K200&gt;0,input_values!K200,IF(OR(X200=1,X200=3),1,IF((V200&gt;250),5,7)))))</f>
        <v>7</v>
      </c>
      <c r="Z200" s="330" t="str">
        <f t="shared" si="20"/>
        <v/>
      </c>
      <c r="AA200" s="331">
        <f t="shared" si="21"/>
        <v>0</v>
      </c>
      <c r="AB200" s="128">
        <f t="shared" si="25"/>
        <v>3</v>
      </c>
      <c r="AC200" s="330" t="str">
        <f t="shared" si="26"/>
        <v/>
      </c>
      <c r="AD200" s="332">
        <f t="shared" si="22"/>
        <v>0</v>
      </c>
      <c r="AE200" s="333" t="str">
        <f t="shared" si="27"/>
        <v/>
      </c>
      <c r="AF200" s="333" t="str">
        <f t="shared" si="28"/>
        <v/>
      </c>
      <c r="AG200" s="561" t="str">
        <f t="shared" si="23"/>
        <v/>
      </c>
      <c r="AH200" s="561" t="str">
        <f t="shared" si="29"/>
        <v/>
      </c>
      <c r="AI200" s="576"/>
      <c r="AJ200" s="847"/>
    </row>
    <row r="201" spans="1:36" ht="12" customHeight="1" outlineLevel="3" x14ac:dyDescent="0.2">
      <c r="A201" s="39">
        <f>acute_overview_children!A201</f>
        <v>4</v>
      </c>
      <c r="B201" s="23">
        <f>acute_overview_children!B201</f>
        <v>270050</v>
      </c>
      <c r="C201" s="23" t="s">
        <v>62</v>
      </c>
      <c r="D201" s="300">
        <f>Table22[[#This Row],[Level used for acute calculation]]</f>
        <v>4</v>
      </c>
      <c r="E201" s="302">
        <f>Table22[[#This Row],[MRL individual commodity]]</f>
        <v>0</v>
      </c>
      <c r="F201" s="451">
        <f>Table22[[#This Row],[Acute RA input value]]</f>
        <v>0</v>
      </c>
      <c r="G201" s="301" t="str">
        <f>Table22[[#This Row],[Acute RA label]]</f>
        <v/>
      </c>
      <c r="H201" s="303">
        <f>Table22[[#This Row],[Acute RA IESTI new input value]]</f>
        <v>0</v>
      </c>
      <c r="I201" s="301" t="str">
        <f>Table22[[#This Row],[Acute RA IESTI new label]]</f>
        <v/>
      </c>
      <c r="J201" s="65"/>
      <c r="K201" s="304">
        <f>Table22[[#This Row],[GAP under assessment]]</f>
        <v>0</v>
      </c>
      <c r="L201" s="304" t="str">
        <f>IF(input_values!$M201=0,"",input_values!$M201)</f>
        <v/>
      </c>
      <c r="M201" s="301" t="str">
        <f>IF(input_values!H201=0,"",input_values!H201)</f>
        <v/>
      </c>
      <c r="N201" s="304">
        <f>input_values!$K201</f>
        <v>0</v>
      </c>
      <c r="O201" s="326">
        <v>3.61</v>
      </c>
      <c r="P201" s="22">
        <v>97.5</v>
      </c>
      <c r="Q201" s="327" t="s">
        <v>313</v>
      </c>
      <c r="R201" s="326">
        <v>66.400000000000006</v>
      </c>
      <c r="S201" s="328">
        <f t="shared" si="24"/>
        <v>239.70400000000001</v>
      </c>
      <c r="T201" s="328">
        <v>155</v>
      </c>
      <c r="U201" s="326" t="s">
        <v>152</v>
      </c>
      <c r="V201" s="328">
        <v>378.04878048780489</v>
      </c>
      <c r="W201" s="326" t="s">
        <v>152</v>
      </c>
      <c r="X201" s="1464" t="str">
        <f>IF(V201="ND","ND",IF(S201="","",IF(OR(MID(C201,1,4)="milk",AND(MID(B201,1,2)="50",NOT(input_values!M201="Y")),AND(MID(B201,1,2)="40",NOT(input_values!M201="Y")),AND(MID(B201,1,2)="30",NOT(input_values!M201="Y"))),3,IF(OR(V201="&lt;25",B201&gt;1000000),1,IF((T201&gt;=S201),"2b","2a")))))</f>
        <v>2a</v>
      </c>
      <c r="Y201" s="22">
        <f>IF(X201="ND","ND",IF(S201="","",IF(input_values!K201&gt;0,input_values!K201,IF(OR(X201=1,X201=3),1,IF((V201&gt;250),5,7)))))</f>
        <v>5</v>
      </c>
      <c r="Z201" s="330" t="str">
        <f t="shared" si="20"/>
        <v/>
      </c>
      <c r="AA201" s="331">
        <f t="shared" si="21"/>
        <v>0</v>
      </c>
      <c r="AB201" s="128">
        <f t="shared" si="25"/>
        <v>3</v>
      </c>
      <c r="AC201" s="330" t="str">
        <f t="shared" si="26"/>
        <v/>
      </c>
      <c r="AD201" s="332">
        <f t="shared" si="22"/>
        <v>0</v>
      </c>
      <c r="AE201" s="333" t="str">
        <f t="shared" si="27"/>
        <v/>
      </c>
      <c r="AF201" s="333" t="str">
        <f t="shared" si="28"/>
        <v/>
      </c>
      <c r="AG201" s="561" t="str">
        <f t="shared" si="23"/>
        <v/>
      </c>
      <c r="AH201" s="561" t="str">
        <f t="shared" si="29"/>
        <v/>
      </c>
      <c r="AI201" s="576"/>
      <c r="AJ201" s="847"/>
    </row>
    <row r="202" spans="1:36" ht="12" customHeight="1" outlineLevel="3" x14ac:dyDescent="0.2">
      <c r="A202" s="39">
        <f>acute_overview_children!A202</f>
        <v>4</v>
      </c>
      <c r="B202" s="23">
        <f>acute_overview_children!B202</f>
        <v>270060</v>
      </c>
      <c r="C202" s="23" t="s">
        <v>738</v>
      </c>
      <c r="D202" s="300">
        <f>Table22[[#This Row],[Level used for acute calculation]]</f>
        <v>4</v>
      </c>
      <c r="E202" s="302">
        <f>Table22[[#This Row],[MRL individual commodity]]</f>
        <v>0</v>
      </c>
      <c r="F202" s="451">
        <f>Table22[[#This Row],[Acute RA input value]]</f>
        <v>0</v>
      </c>
      <c r="G202" s="301" t="str">
        <f>Table22[[#This Row],[Acute RA label]]</f>
        <v/>
      </c>
      <c r="H202" s="303">
        <f>Table22[[#This Row],[Acute RA IESTI new input value]]</f>
        <v>0</v>
      </c>
      <c r="I202" s="301" t="str">
        <f>Table22[[#This Row],[Acute RA IESTI new label]]</f>
        <v/>
      </c>
      <c r="J202" s="65"/>
      <c r="K202" s="304">
        <f>Table22[[#This Row],[GAP under assessment]]</f>
        <v>0</v>
      </c>
      <c r="L202" s="304" t="str">
        <f>IF(input_values!$M202=0,"",input_values!$M202)</f>
        <v/>
      </c>
      <c r="M202" s="301" t="str">
        <f>IF(input_values!H202=0,"",input_values!H202)</f>
        <v/>
      </c>
      <c r="N202" s="304">
        <f>input_values!$K202</f>
        <v>0</v>
      </c>
      <c r="O202" s="326">
        <v>1.9374999999999998</v>
      </c>
      <c r="P202" s="22">
        <v>97.5</v>
      </c>
      <c r="Q202" s="327" t="s">
        <v>253</v>
      </c>
      <c r="R202" s="326">
        <v>75.2</v>
      </c>
      <c r="S202" s="328">
        <f t="shared" si="24"/>
        <v>145.69999999999999</v>
      </c>
      <c r="T202" s="328">
        <v>140</v>
      </c>
      <c r="U202" s="326" t="s">
        <v>72</v>
      </c>
      <c r="V202" s="328">
        <v>168</v>
      </c>
      <c r="W202" s="326" t="s">
        <v>72</v>
      </c>
      <c r="X202" s="1464" t="str">
        <f>IF(V202="ND","ND",IF(S202="","",IF(OR(MID(C202,1,4)="milk",AND(MID(B202,1,2)="50",NOT(input_values!M202="Y")),AND(MID(B202,1,2)="40",NOT(input_values!M202="Y")),AND(MID(B202,1,2)="30",NOT(input_values!M202="Y"))),3,IF(OR(V202="&lt;25",B202&gt;1000000),1,IF((T202&gt;=S202),"2b","2a")))))</f>
        <v>2a</v>
      </c>
      <c r="Y202" s="22">
        <f>IF(X202="ND","ND",IF(S202="","",IF(input_values!K202&gt;0,input_values!K202,IF(OR(X202=1,X202=3),1,IF((V202&gt;250),5,7)))))</f>
        <v>7</v>
      </c>
      <c r="Z202" s="330" t="str">
        <f t="shared" si="20"/>
        <v/>
      </c>
      <c r="AA202" s="331">
        <f t="shared" si="21"/>
        <v>0</v>
      </c>
      <c r="AB202" s="128">
        <f t="shared" si="25"/>
        <v>3</v>
      </c>
      <c r="AC202" s="330" t="str">
        <f t="shared" si="26"/>
        <v/>
      </c>
      <c r="AD202" s="332">
        <f t="shared" si="22"/>
        <v>0</v>
      </c>
      <c r="AE202" s="333" t="str">
        <f t="shared" si="27"/>
        <v/>
      </c>
      <c r="AF202" s="333" t="str">
        <f t="shared" si="28"/>
        <v/>
      </c>
      <c r="AG202" s="561" t="str">
        <f t="shared" si="23"/>
        <v/>
      </c>
      <c r="AH202" s="561" t="str">
        <f t="shared" si="29"/>
        <v/>
      </c>
      <c r="AI202" s="576"/>
      <c r="AJ202" s="847"/>
    </row>
    <row r="203" spans="1:36" ht="12" customHeight="1" outlineLevel="3" x14ac:dyDescent="0.2">
      <c r="A203" s="39">
        <f>acute_overview_children!A203</f>
        <v>4</v>
      </c>
      <c r="B203" s="23">
        <f>acute_overview_children!B203</f>
        <v>270070</v>
      </c>
      <c r="C203" s="23" t="s">
        <v>739</v>
      </c>
      <c r="D203" s="300">
        <f>Table22[[#This Row],[Level used for acute calculation]]</f>
        <v>4</v>
      </c>
      <c r="E203" s="302">
        <f>Table22[[#This Row],[MRL individual commodity]]</f>
        <v>0</v>
      </c>
      <c r="F203" s="451">
        <f>Table22[[#This Row],[Acute RA input value]]</f>
        <v>0</v>
      </c>
      <c r="G203" s="301" t="str">
        <f>Table22[[#This Row],[Acute RA label]]</f>
        <v/>
      </c>
      <c r="H203" s="303">
        <f>Table22[[#This Row],[Acute RA IESTI new input value]]</f>
        <v>0</v>
      </c>
      <c r="I203" s="301" t="str">
        <f>Table22[[#This Row],[Acute RA IESTI new label]]</f>
        <v/>
      </c>
      <c r="J203" s="65"/>
      <c r="K203" s="304">
        <f>Table22[[#This Row],[GAP under assessment]]</f>
        <v>0</v>
      </c>
      <c r="L203" s="304" t="str">
        <f>IF(input_values!$M203=0,"",input_values!$M203)</f>
        <v/>
      </c>
      <c r="M203" s="301" t="str">
        <f>IF(input_values!H203=0,"",input_values!H203)</f>
        <v/>
      </c>
      <c r="N203" s="304">
        <f>input_values!$K203</f>
        <v>0</v>
      </c>
      <c r="O203" s="326">
        <v>2.442278860569715</v>
      </c>
      <c r="P203" s="22">
        <v>97.5</v>
      </c>
      <c r="Q203" s="327" t="s">
        <v>255</v>
      </c>
      <c r="R203" s="326">
        <v>66.7</v>
      </c>
      <c r="S203" s="328">
        <f t="shared" si="24"/>
        <v>162.9</v>
      </c>
      <c r="T203" s="328">
        <v>76</v>
      </c>
      <c r="U203" s="326" t="s">
        <v>45</v>
      </c>
      <c r="V203" s="328">
        <v>76</v>
      </c>
      <c r="W203" s="326" t="s">
        <v>45</v>
      </c>
      <c r="X203" s="1464" t="str">
        <f>IF(V203="ND","ND",IF(S203="","",IF(OR(MID(C203,1,4)="milk",AND(MID(B203,1,2)="50",NOT(input_values!M203="Y")),AND(MID(B203,1,2)="40",NOT(input_values!M203="Y")),AND(MID(B203,1,2)="30",NOT(input_values!M203="Y"))),3,IF(OR(V203="&lt;25",B203&gt;1000000),1,IF((T203&gt;=S203),"2b","2a")))))</f>
        <v>2a</v>
      </c>
      <c r="Y203" s="22">
        <f>IF(X203="ND","ND",IF(S203="","",IF(input_values!K203&gt;0,input_values!K203,IF(OR(X203=1,X203=3),1,IF((V203&gt;250),5,7)))))</f>
        <v>7</v>
      </c>
      <c r="Z203" s="330" t="str">
        <f t="shared" si="20"/>
        <v/>
      </c>
      <c r="AA203" s="331">
        <f t="shared" si="21"/>
        <v>0</v>
      </c>
      <c r="AB203" s="128">
        <f t="shared" si="25"/>
        <v>3</v>
      </c>
      <c r="AC203" s="330" t="str">
        <f t="shared" si="26"/>
        <v/>
      </c>
      <c r="AD203" s="332">
        <f t="shared" si="22"/>
        <v>0</v>
      </c>
      <c r="AE203" s="333" t="str">
        <f t="shared" si="27"/>
        <v/>
      </c>
      <c r="AF203" s="333" t="str">
        <f t="shared" si="28"/>
        <v/>
      </c>
      <c r="AG203" s="561" t="str">
        <f t="shared" si="23"/>
        <v/>
      </c>
      <c r="AH203" s="561" t="str">
        <f t="shared" si="29"/>
        <v/>
      </c>
      <c r="AI203" s="576"/>
      <c r="AJ203" s="847"/>
    </row>
    <row r="204" spans="1:36" ht="12" customHeight="1" outlineLevel="3" x14ac:dyDescent="0.2">
      <c r="A204" s="39">
        <f>acute_overview_children!A204</f>
        <v>4</v>
      </c>
      <c r="B204" s="23">
        <f>acute_overview_children!B204</f>
        <v>270080</v>
      </c>
      <c r="C204" s="23" t="s">
        <v>63</v>
      </c>
      <c r="D204" s="300">
        <f>Table22[[#This Row],[Level used for acute calculation]]</f>
        <v>4</v>
      </c>
      <c r="E204" s="302">
        <f>Table22[[#This Row],[MRL individual commodity]]</f>
        <v>0</v>
      </c>
      <c r="F204" s="451">
        <f>Table22[[#This Row],[Acute RA input value]]</f>
        <v>0</v>
      </c>
      <c r="G204" s="301" t="str">
        <f>Table22[[#This Row],[Acute RA label]]</f>
        <v/>
      </c>
      <c r="H204" s="303">
        <f>Table22[[#This Row],[Acute RA IESTI new input value]]</f>
        <v>0</v>
      </c>
      <c r="I204" s="301" t="str">
        <f>Table22[[#This Row],[Acute RA IESTI new label]]</f>
        <v/>
      </c>
      <c r="J204" s="65"/>
      <c r="K204" s="304">
        <f>Table22[[#This Row],[GAP under assessment]]</f>
        <v>0</v>
      </c>
      <c r="L204" s="304" t="str">
        <f>IF(input_values!$M204=0,"",input_values!$M204)</f>
        <v/>
      </c>
      <c r="M204" s="301" t="str">
        <f>IF(input_values!H204=0,"",input_values!H204)</f>
        <v/>
      </c>
      <c r="N204" s="304">
        <f>input_values!$K204</f>
        <v>0</v>
      </c>
      <c r="O204" s="326">
        <v>2.2999999999999998</v>
      </c>
      <c r="P204" s="22">
        <v>97.5</v>
      </c>
      <c r="Q204" s="327" t="s">
        <v>334</v>
      </c>
      <c r="R204" s="326">
        <v>67.47</v>
      </c>
      <c r="S204" s="328">
        <f t="shared" si="24"/>
        <v>155.18099999999998</v>
      </c>
      <c r="T204" s="338" t="s">
        <v>617</v>
      </c>
      <c r="U204" s="326" t="s">
        <v>651</v>
      </c>
      <c r="V204" s="338" t="s">
        <v>617</v>
      </c>
      <c r="W204" s="326" t="s">
        <v>651</v>
      </c>
      <c r="X204" s="1464">
        <f>IF(V204="ND","ND",IF(S204="","",IF(OR(MID(C204,1,4)="milk",AND(MID(B204,1,2)="50",NOT(input_values!M204="Y")),AND(MID(B204,1,2)="40",NOT(input_values!M204="Y")),AND(MID(B204,1,2)="30",NOT(input_values!M204="Y"))),3,IF(OR(V204="&lt;25",B204&gt;1000000),1,IF((T204&gt;=S204),"2b","2a")))))</f>
        <v>1</v>
      </c>
      <c r="Y204" s="22">
        <f>IF(X204="ND","ND",IF(S204="","",IF(input_values!K204&gt;0,input_values!K204,IF(OR(X204=1,X204=3),1,IF((V204&gt;250),5,7)))))</f>
        <v>1</v>
      </c>
      <c r="Z204" s="330" t="str">
        <f t="shared" ref="Z204:Z267" si="30">IF(OR(ISTEXT(F204),F204=0),"",IF(OR(S204="ND",T204="ND"),"ND",IF(($X204="2a"),1/$R204*(($F204*$T204/1000*$Y204)+($F204*($S204-$T204)/1000)),IF(($X204="2b"),1/$R204*($F204*$S204/1000*$Y204),1/$R204*($F204*$S204/1000)))))</f>
        <v/>
      </c>
      <c r="AA204" s="331">
        <f t="shared" ref="AA204:AA267" si="31">IF(OR(ISTEXT(F204),F204=0),0,IF($C$5="not necessary","no acuteRA",IF(Z204="ND","no acute RA",Z204/$C$5)))</f>
        <v>0</v>
      </c>
      <c r="AB204" s="128">
        <f t="shared" si="25"/>
        <v>1</v>
      </c>
      <c r="AC204" s="330" t="str">
        <f t="shared" si="26"/>
        <v/>
      </c>
      <c r="AD204" s="332">
        <f t="shared" ref="AD204:AD267" si="32">IF(OR(ISTEXT(H204),H204=0,S204=0),0,IF($C$5="not necessary","no acute RA",IF(AC204="ND","no acute RA",AC204/$C$5)))</f>
        <v>0</v>
      </c>
      <c r="AE204" s="333" t="str">
        <f t="shared" si="27"/>
        <v/>
      </c>
      <c r="AF204" s="333" t="str">
        <f t="shared" si="28"/>
        <v/>
      </c>
      <c r="AG204" s="561" t="str">
        <f t="shared" ref="AG204:AG267" si="33">IF(OR(Z204=0,Z204="ND",Z204="",$C$5="not necessary"),"",IF(X204="2a",1000*$C$5*R204/(T204*Y204+S204-T204),IF(X204="2b",1000*$C$5*R204/S204/Y204,IF(OR(X204=1,X204=3),1000*$C$5*R204/S204,""))))</f>
        <v/>
      </c>
      <c r="AH204" s="561" t="str">
        <f t="shared" si="29"/>
        <v/>
      </c>
      <c r="AI204" s="576"/>
      <c r="AJ204" s="847"/>
    </row>
    <row r="205" spans="1:36" ht="12" customHeight="1" outlineLevel="3" x14ac:dyDescent="0.2">
      <c r="A205" s="39">
        <f>acute_overview_children!A205</f>
        <v>4</v>
      </c>
      <c r="B205" s="23">
        <f>acute_overview_children!B205</f>
        <v>270090</v>
      </c>
      <c r="C205" s="23" t="s">
        <v>64</v>
      </c>
      <c r="D205" s="300">
        <f>Table22[[#This Row],[Level used for acute calculation]]</f>
        <v>4</v>
      </c>
      <c r="E205" s="302">
        <f>Table22[[#This Row],[MRL individual commodity]]</f>
        <v>0</v>
      </c>
      <c r="F205" s="451">
        <f>Table22[[#This Row],[Acute RA input value]]</f>
        <v>0</v>
      </c>
      <c r="G205" s="301" t="str">
        <f>Table22[[#This Row],[Acute RA label]]</f>
        <v/>
      </c>
      <c r="H205" s="303">
        <f>Table22[[#This Row],[Acute RA IESTI new input value]]</f>
        <v>0</v>
      </c>
      <c r="I205" s="301" t="str">
        <f>Table22[[#This Row],[Acute RA IESTI new label]]</f>
        <v/>
      </c>
      <c r="J205" s="65"/>
      <c r="K205" s="304">
        <f>Table22[[#This Row],[GAP under assessment]]</f>
        <v>0</v>
      </c>
      <c r="L205" s="304" t="str">
        <f>IF(input_values!$M205=0,"",input_values!$M205)</f>
        <v/>
      </c>
      <c r="M205" s="301" t="str">
        <f>IF(input_values!H205=0,"",input_values!H205)</f>
        <v/>
      </c>
      <c r="N205" s="304">
        <f>input_values!$K205</f>
        <v>0</v>
      </c>
      <c r="O205" s="338">
        <v>1.1299999999999999</v>
      </c>
      <c r="P205" s="22" t="s">
        <v>331</v>
      </c>
      <c r="Q205" s="327" t="s">
        <v>313</v>
      </c>
      <c r="R205" s="326">
        <v>66.400000000000006</v>
      </c>
      <c r="S205" s="328">
        <f t="shared" ref="S205:S267" si="34">IF(O205="ND","ND",IF(O205="","",O205*R205))</f>
        <v>75.031999999999996</v>
      </c>
      <c r="T205" s="338"/>
      <c r="U205" s="326"/>
      <c r="V205" s="338" t="s">
        <v>618</v>
      </c>
      <c r="W205" s="326"/>
      <c r="X205" s="1171">
        <v>1</v>
      </c>
      <c r="Y205" s="1172">
        <f>IF(X205="ND","ND",IF(S205="","",IF(input_values!K205&gt;0,input_values!K205,IF(OR(X205=1,X205=3),1,IF((V205&gt;250),5,7)))))</f>
        <v>1</v>
      </c>
      <c r="Z205" s="340" t="str">
        <f t="shared" si="30"/>
        <v/>
      </c>
      <c r="AA205" s="332">
        <f t="shared" si="31"/>
        <v>0</v>
      </c>
      <c r="AB205" s="128">
        <f t="shared" ref="AB205:AB267" si="35">IF(OR(Y205=5,Y205=7,N205&gt;3),3,Y205)</f>
        <v>1</v>
      </c>
      <c r="AC205" s="340" t="str">
        <f t="shared" ref="AC205:AC267" si="36">IF(OR(ISTEXT(H205),H205=0),"",IF(OR(S205="ND",T205="ND"),"ND",1/$R205*($H205*$S205*AB205/1000)))</f>
        <v/>
      </c>
      <c r="AD205" s="332">
        <f t="shared" si="32"/>
        <v>0</v>
      </c>
      <c r="AE205" s="37" t="str">
        <f t="shared" ref="AE205:AE267" si="37">IF(AA205&gt;=1,AG205,"")</f>
        <v/>
      </c>
      <c r="AF205" s="37" t="str">
        <f t="shared" ref="AF205:AF267" si="38">IF(AD205&gt;=1,AH205,"")</f>
        <v/>
      </c>
      <c r="AG205" s="561" t="str">
        <f t="shared" si="33"/>
        <v/>
      </c>
      <c r="AH205" s="561" t="str">
        <f t="shared" ref="AH205:AH268" si="39">IF(OR(AC205=0,AC205="ND",AC205="",$C$5="not necessary"),"",1000*$C$5*R205/S205/AB205)</f>
        <v/>
      </c>
      <c r="AI205" s="576"/>
      <c r="AJ205" s="847"/>
    </row>
    <row r="206" spans="1:36" ht="12" customHeight="1" outlineLevel="3" x14ac:dyDescent="0.2">
      <c r="A206" s="39">
        <f>acute_overview_children!A206</f>
        <v>4</v>
      </c>
      <c r="B206" s="23">
        <f>acute_overview_children!B206</f>
        <v>270990</v>
      </c>
      <c r="C206" s="23" t="s">
        <v>177</v>
      </c>
      <c r="D206" s="300">
        <f>Table22[[#This Row],[Level used for acute calculation]]</f>
        <v>0</v>
      </c>
      <c r="E206" s="302">
        <f>Table22[[#This Row],[MRL individual commodity]]</f>
        <v>0</v>
      </c>
      <c r="F206" s="451">
        <f>Table22[[#This Row],[Acute RA input value]]</f>
        <v>0</v>
      </c>
      <c r="G206" s="301">
        <f>Table22[[#This Row],[Acute RA label]]</f>
        <v>0</v>
      </c>
      <c r="H206" s="303">
        <f>Table22[[#This Row],[Acute RA IESTI new input value]]</f>
        <v>0</v>
      </c>
      <c r="I206" s="301">
        <f>Table22[[#This Row],[Acute RA IESTI new label]]</f>
        <v>0</v>
      </c>
      <c r="J206" s="65"/>
      <c r="K206" s="304">
        <f>Table22[[#This Row],[GAP under assessment]]</f>
        <v>0</v>
      </c>
      <c r="L206" s="304" t="str">
        <f>IF(input_values!$M206=0,"",input_values!$M206)</f>
        <v/>
      </c>
      <c r="M206" s="301" t="str">
        <f>IF(input_values!H206=0,"",input_values!H206)</f>
        <v/>
      </c>
      <c r="N206" s="304">
        <f>input_values!$K206</f>
        <v>0</v>
      </c>
      <c r="O206" s="309"/>
      <c r="P206" s="38"/>
      <c r="Q206" s="306"/>
      <c r="R206" s="309"/>
      <c r="S206" s="336" t="str">
        <f t="shared" si="34"/>
        <v/>
      </c>
      <c r="T206" s="305"/>
      <c r="U206" s="309"/>
      <c r="V206" s="305"/>
      <c r="W206" s="309"/>
      <c r="X206" s="611" t="str">
        <f>IF(V206="ND","ND",IF(S206="","",IF(OR(MID(C206,1,4)="milk",AND(MID(B206,1,2)="50",NOT(input_values!M206="Y")),AND(MID(B206,1,2)="40",NOT(input_values!M206="Y")),AND(MID(B206,1,2)="30",NOT(input_values!M206="Y"))),3,IF(OR(V206="&lt;25",B206&gt;1000000),1,IF((T206&gt;=S206),"2b","2a")))))</f>
        <v/>
      </c>
      <c r="Y206" s="38" t="str">
        <f>IF(X206="ND","ND",IF(S206="","",IF(input_values!K206&gt;0,input_values!K206,IF(OR(X206=1,X206=3),1,IF((V206&gt;250),5,7)))))</f>
        <v/>
      </c>
      <c r="Z206" s="335" t="str">
        <f t="shared" si="30"/>
        <v/>
      </c>
      <c r="AA206" s="311">
        <f t="shared" si="31"/>
        <v>0</v>
      </c>
      <c r="AB206" s="38" t="str">
        <f t="shared" si="35"/>
        <v/>
      </c>
      <c r="AC206" s="335" t="str">
        <f t="shared" si="36"/>
        <v/>
      </c>
      <c r="AD206" s="311">
        <f t="shared" si="32"/>
        <v>0</v>
      </c>
      <c r="AE206" s="344" t="str">
        <f t="shared" si="37"/>
        <v/>
      </c>
      <c r="AF206" s="344" t="str">
        <f t="shared" si="38"/>
        <v/>
      </c>
      <c r="AG206" s="561" t="str">
        <f t="shared" si="33"/>
        <v/>
      </c>
      <c r="AH206" s="561" t="str">
        <f t="shared" si="39"/>
        <v/>
      </c>
      <c r="AI206" s="576"/>
      <c r="AJ206" s="847"/>
    </row>
    <row r="207" spans="1:36" outlineLevel="2" x14ac:dyDescent="0.2">
      <c r="A207" s="130">
        <f>acute_overview_children!A207</f>
        <v>2</v>
      </c>
      <c r="B207" s="131">
        <f>acute_overview_children!B207</f>
        <v>280000</v>
      </c>
      <c r="C207" s="131" t="s">
        <v>235</v>
      </c>
      <c r="D207" s="300">
        <f>Table22[[#This Row],[Level used for acute calculation]]</f>
        <v>4</v>
      </c>
      <c r="E207" s="302">
        <f>Table22[[#This Row],[MRL individual commodity]]</f>
        <v>0</v>
      </c>
      <c r="F207" s="451">
        <f>Table22[[#This Row],[Acute RA input value]]</f>
        <v>0</v>
      </c>
      <c r="G207" s="301">
        <f>Table22[[#This Row],[Acute RA label]]</f>
        <v>0</v>
      </c>
      <c r="H207" s="303">
        <f>Table22[[#This Row],[Acute RA IESTI new input value]]</f>
        <v>0</v>
      </c>
      <c r="I207" s="301">
        <f>Table22[[#This Row],[Acute RA IESTI new label]]</f>
        <v>0</v>
      </c>
      <c r="J207" s="65"/>
      <c r="K207" s="304">
        <f>Table22[[#This Row],[GAP under assessment]]</f>
        <v>0</v>
      </c>
      <c r="L207" s="304" t="str">
        <f>IF(input_values!$M207=0,"",input_values!$M207)</f>
        <v/>
      </c>
      <c r="M207" s="301" t="str">
        <f>IF(input_values!H207=0,"",input_values!H207)</f>
        <v/>
      </c>
      <c r="N207" s="304">
        <f>input_values!$K207</f>
        <v>0</v>
      </c>
      <c r="O207" s="309"/>
      <c r="P207" s="38"/>
      <c r="Q207" s="306"/>
      <c r="R207" s="309"/>
      <c r="S207" s="336" t="str">
        <f t="shared" si="34"/>
        <v/>
      </c>
      <c r="T207" s="315"/>
      <c r="U207" s="320"/>
      <c r="V207" s="315"/>
      <c r="W207" s="320"/>
      <c r="X207" s="611" t="str">
        <f>IF(V207="ND","ND",IF(S207="","",IF(OR(MID(C207,1,4)="milk",AND(MID(B207,1,2)="50",NOT(input_values!M207="Y")),AND(MID(B207,1,2)="40",NOT(input_values!M207="Y")),AND(MID(B207,1,2)="30",NOT(input_values!M207="Y"))),3,IF(OR(V207="&lt;25",B207&gt;1000000),1,IF((T207&gt;=S207),"2b","2a")))))</f>
        <v/>
      </c>
      <c r="Y207" s="38" t="str">
        <f>IF(X207="ND","ND",IF(S207="","",IF(input_values!K207&gt;0,input_values!K207,IF(OR(X207=1,X207=3),1,IF((V207&gt;250),5,7)))))</f>
        <v/>
      </c>
      <c r="Z207" s="335" t="str">
        <f t="shared" si="30"/>
        <v/>
      </c>
      <c r="AA207" s="311">
        <f t="shared" si="31"/>
        <v>0</v>
      </c>
      <c r="AB207" s="38" t="str">
        <f t="shared" si="35"/>
        <v/>
      </c>
      <c r="AC207" s="335" t="str">
        <f t="shared" si="36"/>
        <v/>
      </c>
      <c r="AD207" s="311">
        <f t="shared" si="32"/>
        <v>0</v>
      </c>
      <c r="AE207" s="344" t="str">
        <f t="shared" si="37"/>
        <v/>
      </c>
      <c r="AF207" s="344" t="str">
        <f t="shared" si="38"/>
        <v/>
      </c>
      <c r="AG207" s="561" t="str">
        <f t="shared" si="33"/>
        <v/>
      </c>
      <c r="AH207" s="561" t="str">
        <f t="shared" si="39"/>
        <v/>
      </c>
      <c r="AI207" s="576"/>
      <c r="AJ207" s="847"/>
    </row>
    <row r="208" spans="1:36" ht="12" customHeight="1" outlineLevel="3" x14ac:dyDescent="0.2">
      <c r="A208" s="39">
        <f>acute_overview_children!A208</f>
        <v>4</v>
      </c>
      <c r="B208" s="23">
        <f>acute_overview_children!B208</f>
        <v>280010</v>
      </c>
      <c r="C208" s="23" t="s">
        <v>236</v>
      </c>
      <c r="D208" s="300">
        <f>Table22[[#This Row],[Level used for acute calculation]]</f>
        <v>4</v>
      </c>
      <c r="E208" s="302">
        <f>Table22[[#This Row],[MRL individual commodity]]</f>
        <v>0</v>
      </c>
      <c r="F208" s="451">
        <f>Table22[[#This Row],[Acute RA input value]]</f>
        <v>0</v>
      </c>
      <c r="G208" s="301" t="str">
        <f>Table22[[#This Row],[Acute RA label]]</f>
        <v/>
      </c>
      <c r="H208" s="303">
        <f>Table22[[#This Row],[Acute RA IESTI new input value]]</f>
        <v>0</v>
      </c>
      <c r="I208" s="301" t="str">
        <f>Table22[[#This Row],[Acute RA IESTI new label]]</f>
        <v/>
      </c>
      <c r="J208" s="65"/>
      <c r="K208" s="304">
        <f>Table22[[#This Row],[GAP under assessment]]</f>
        <v>0</v>
      </c>
      <c r="L208" s="304" t="str">
        <f>IF(input_values!$M208=0,"",input_values!$M208)</f>
        <v/>
      </c>
      <c r="M208" s="301" t="str">
        <f>IF(input_values!H208=0,"",input_values!H208)</f>
        <v/>
      </c>
      <c r="N208" s="304">
        <f>input_values!$K208</f>
        <v>0</v>
      </c>
      <c r="O208" s="326">
        <v>2.78</v>
      </c>
      <c r="P208" s="22">
        <v>97.5</v>
      </c>
      <c r="Q208" s="327" t="s">
        <v>313</v>
      </c>
      <c r="R208" s="326">
        <v>66.400000000000006</v>
      </c>
      <c r="S208" s="328">
        <f t="shared" si="34"/>
        <v>184.59200000000001</v>
      </c>
      <c r="T208" s="338">
        <v>25</v>
      </c>
      <c r="U208" s="339" t="s">
        <v>215</v>
      </c>
      <c r="V208" s="338">
        <v>25</v>
      </c>
      <c r="W208" s="339" t="s">
        <v>215</v>
      </c>
      <c r="X208" s="1464" t="str">
        <f>IF(V208="ND","ND",IF(S208="","",IF(OR(MID(C208,1,4)="milk",AND(MID(B208,1,2)="50",NOT(input_values!M208="Y")),AND(MID(B208,1,2)="40",NOT(input_values!M208="Y")),AND(MID(B208,1,2)="30",NOT(input_values!M208="Y"))),3,IF(OR(V208="&lt;25",B208&gt;1000000),1,IF((T208&gt;=S208),"2b","2a")))))</f>
        <v>2a</v>
      </c>
      <c r="Y208" s="22">
        <f>IF(X208="ND","ND",IF(S208="","",IF(input_values!K208&gt;0,input_values!K208,IF(OR(X208=1,X208=3),1,IF((V208&gt;250),5,7)))))</f>
        <v>7</v>
      </c>
      <c r="Z208" s="330" t="str">
        <f t="shared" si="30"/>
        <v/>
      </c>
      <c r="AA208" s="331">
        <f t="shared" si="31"/>
        <v>0</v>
      </c>
      <c r="AB208" s="128">
        <f t="shared" si="35"/>
        <v>3</v>
      </c>
      <c r="AC208" s="330" t="str">
        <f t="shared" si="36"/>
        <v/>
      </c>
      <c r="AD208" s="332">
        <f t="shared" si="32"/>
        <v>0</v>
      </c>
      <c r="AE208" s="333" t="str">
        <f t="shared" si="37"/>
        <v/>
      </c>
      <c r="AF208" s="333" t="str">
        <f t="shared" si="38"/>
        <v/>
      </c>
      <c r="AG208" s="561" t="str">
        <f t="shared" si="33"/>
        <v/>
      </c>
      <c r="AH208" s="561" t="str">
        <f t="shared" si="39"/>
        <v/>
      </c>
      <c r="AI208" s="576"/>
      <c r="AJ208" s="847"/>
    </row>
    <row r="209" spans="1:36" ht="12" customHeight="1" outlineLevel="3" x14ac:dyDescent="0.2">
      <c r="A209" s="39">
        <f>acute_overview_children!A209</f>
        <v>4</v>
      </c>
      <c r="B209" s="23">
        <f>acute_overview_children!B209</f>
        <v>280020</v>
      </c>
      <c r="C209" s="23" t="s">
        <v>237</v>
      </c>
      <c r="D209" s="300">
        <f>Table22[[#This Row],[Level used for acute calculation]]</f>
        <v>4</v>
      </c>
      <c r="E209" s="302">
        <f>Table22[[#This Row],[MRL individual commodity]]</f>
        <v>0</v>
      </c>
      <c r="F209" s="451">
        <f>Table22[[#This Row],[Acute RA input value]]</f>
        <v>0</v>
      </c>
      <c r="G209" s="301" t="str">
        <f>Table22[[#This Row],[Acute RA label]]</f>
        <v/>
      </c>
      <c r="H209" s="303">
        <f>Table22[[#This Row],[Acute RA IESTI new input value]]</f>
        <v>0</v>
      </c>
      <c r="I209" s="301" t="str">
        <f>Table22[[#This Row],[Acute RA IESTI new label]]</f>
        <v/>
      </c>
      <c r="J209" s="65"/>
      <c r="K209" s="304">
        <f>Table22[[#This Row],[GAP under assessment]]</f>
        <v>0</v>
      </c>
      <c r="L209" s="304" t="str">
        <f>IF(input_values!$M209=0,"",input_values!$M209)</f>
        <v/>
      </c>
      <c r="M209" s="301" t="str">
        <f>IF(input_values!H209=0,"",input_values!H209)</f>
        <v/>
      </c>
      <c r="N209" s="304">
        <f>input_values!$K209</f>
        <v>0</v>
      </c>
      <c r="O209" s="326">
        <v>1.619</v>
      </c>
      <c r="P209" s="22">
        <v>90</v>
      </c>
      <c r="Q209" s="327" t="s">
        <v>99</v>
      </c>
      <c r="R209" s="326">
        <v>65.8</v>
      </c>
      <c r="S209" s="328">
        <f t="shared" si="34"/>
        <v>106.53019999999999</v>
      </c>
      <c r="T209" s="328" t="s">
        <v>617</v>
      </c>
      <c r="U209" s="326" t="s">
        <v>215</v>
      </c>
      <c r="V209" s="328" t="s">
        <v>617</v>
      </c>
      <c r="W209" s="326" t="s">
        <v>215</v>
      </c>
      <c r="X209" s="1464">
        <f>IF(V209="ND","ND",IF(S209="","",IF(OR(MID(C209,1,4)="milk",AND(MID(B209,1,2)="50",NOT(input_values!M209="Y")),AND(MID(B209,1,2)="40",NOT(input_values!M209="Y")),AND(MID(B209,1,2)="30",NOT(input_values!M209="Y"))),3,IF(OR(V209="&lt;25",B209&gt;1000000),1,IF((T209&gt;=S209),"2b","2a")))))</f>
        <v>1</v>
      </c>
      <c r="Y209" s="22">
        <f>IF(X209="ND","ND",IF(S209="","",IF(input_values!K209&gt;0,input_values!K209,IF(OR(X209=1,X209=3),1,IF((V209&gt;250),5,7)))))</f>
        <v>1</v>
      </c>
      <c r="Z209" s="330" t="str">
        <f t="shared" si="30"/>
        <v/>
      </c>
      <c r="AA209" s="331">
        <f t="shared" si="31"/>
        <v>0</v>
      </c>
      <c r="AB209" s="128">
        <f t="shared" si="35"/>
        <v>1</v>
      </c>
      <c r="AC209" s="330" t="str">
        <f t="shared" si="36"/>
        <v/>
      </c>
      <c r="AD209" s="332">
        <f t="shared" si="32"/>
        <v>0</v>
      </c>
      <c r="AE209" s="333" t="str">
        <f t="shared" si="37"/>
        <v/>
      </c>
      <c r="AF209" s="333" t="str">
        <f t="shared" si="38"/>
        <v/>
      </c>
      <c r="AG209" s="561" t="str">
        <f t="shared" si="33"/>
        <v/>
      </c>
      <c r="AH209" s="561" t="str">
        <f t="shared" si="39"/>
        <v/>
      </c>
      <c r="AI209" s="576"/>
      <c r="AJ209" s="847"/>
    </row>
    <row r="210" spans="1:36" ht="12" customHeight="1" outlineLevel="3" x14ac:dyDescent="0.2">
      <c r="A210" s="39">
        <f>acute_overview_children!A210</f>
        <v>4</v>
      </c>
      <c r="B210" s="23">
        <f>acute_overview_children!B210</f>
        <v>280990</v>
      </c>
      <c r="C210" s="23" t="s">
        <v>740</v>
      </c>
      <c r="D210" s="300">
        <f>Table22[[#This Row],[Level used for acute calculation]]</f>
        <v>4</v>
      </c>
      <c r="E210" s="302">
        <f>Table22[[#This Row],[MRL individual commodity]]</f>
        <v>0</v>
      </c>
      <c r="F210" s="451">
        <f>Table22[[#This Row],[Acute RA input value]]</f>
        <v>0</v>
      </c>
      <c r="G210" s="301" t="str">
        <f>Table22[[#This Row],[Acute RA label]]</f>
        <v/>
      </c>
      <c r="H210" s="303">
        <f>Table22[[#This Row],[Acute RA IESTI new input value]]</f>
        <v>0</v>
      </c>
      <c r="I210" s="301" t="str">
        <f>Table22[[#This Row],[Acute RA IESTI new label]]</f>
        <v/>
      </c>
      <c r="J210" s="65"/>
      <c r="K210" s="304">
        <f>Table22[[#This Row],[GAP under assessment]]</f>
        <v>0</v>
      </c>
      <c r="L210" s="304" t="str">
        <f>IF(input_values!$M210=0,"",input_values!$M210)</f>
        <v/>
      </c>
      <c r="M210" s="301" t="str">
        <f>IF(input_values!H210=0,"",input_values!H210)</f>
        <v/>
      </c>
      <c r="N210" s="304">
        <f>input_values!$K210</f>
        <v>0</v>
      </c>
      <c r="O210" s="338"/>
      <c r="P210" s="128"/>
      <c r="Q210" s="346"/>
      <c r="R210" s="339"/>
      <c r="S210" s="1467" t="s">
        <v>618</v>
      </c>
      <c r="T210" s="338"/>
      <c r="U210" s="339"/>
      <c r="V210" s="338" t="s">
        <v>618</v>
      </c>
      <c r="W210" s="339"/>
      <c r="X210" s="460" t="str">
        <f>IF(V210="ND","ND",IF(S210="","",IF(OR(MID(C210,1,4)="milk",AND(MID(B210,1,2)="50",NOT(input_values!M210="Y")),AND(MID(B210,1,2)="40",NOT(input_values!M210="Y")),AND(MID(B210,1,2)="30",NOT(input_values!M210="Y"))),3,IF(OR(V210="&lt;25",B210&gt;1000000),1,IF((T210&gt;=S210),"2b","2a")))))</f>
        <v>ND</v>
      </c>
      <c r="Y210" s="128" t="str">
        <f>IF(X210="ND","ND",IF(S210="","",IF(input_values!K210&gt;0,input_values!K210,IF(OR(X210=1,X210=3),1,IF((V210&gt;250),5,7)))))</f>
        <v>ND</v>
      </c>
      <c r="Z210" s="340" t="str">
        <f t="shared" si="30"/>
        <v/>
      </c>
      <c r="AA210" s="332">
        <f t="shared" si="31"/>
        <v>0</v>
      </c>
      <c r="AB210" s="128" t="str">
        <f t="shared" si="35"/>
        <v>ND</v>
      </c>
      <c r="AC210" s="340" t="str">
        <f t="shared" si="36"/>
        <v/>
      </c>
      <c r="AD210" s="332">
        <f t="shared" si="32"/>
        <v>0</v>
      </c>
      <c r="AE210" s="40" t="str">
        <f t="shared" si="37"/>
        <v/>
      </c>
      <c r="AF210" s="40" t="str">
        <f t="shared" si="38"/>
        <v/>
      </c>
      <c r="AG210" s="561" t="str">
        <f t="shared" ref="AG210" si="40">IF(OR(Z210=0,Z210="ND",Z210="",$C$5="not necessary"),"",IF(X210="2a",1000*$C$5*R210/(T210*Y210+S210-T210),IF(X210="2b",1000*$C$5*R210/S210/Y210,IF(OR(X210=1,X210=3),1000*$C$5*R210/S210,""))))</f>
        <v/>
      </c>
      <c r="AH210" s="561" t="str">
        <f t="shared" ref="AH210" si="41">IF(OR(AC210=0,AC210="ND",AC210="",$C$5="not necessary"),"",1000*$C$5*R210/S210/AB210)</f>
        <v/>
      </c>
      <c r="AI210" s="576"/>
      <c r="AJ210" s="847"/>
    </row>
    <row r="211" spans="1:36" ht="24" outlineLevel="1" x14ac:dyDescent="0.2">
      <c r="A211" s="130">
        <f>acute_overview_children!A211</f>
        <v>2</v>
      </c>
      <c r="B211" s="131">
        <f>acute_overview_children!B211</f>
        <v>290000</v>
      </c>
      <c r="C211" s="131" t="s">
        <v>741</v>
      </c>
      <c r="D211" s="300">
        <f>Table22[[#This Row],[Level used for acute calculation]]</f>
        <v>2</v>
      </c>
      <c r="E211" s="302">
        <f>Table22[[#This Row],[MRL individual commodity]]</f>
        <v>0</v>
      </c>
      <c r="F211" s="451">
        <f>Table22[[#This Row],[Acute RA input value]]</f>
        <v>0</v>
      </c>
      <c r="G211" s="301" t="str">
        <f>Table22[[#This Row],[Acute RA label]]</f>
        <v/>
      </c>
      <c r="H211" s="303">
        <f>Table22[[#This Row],[Acute RA IESTI new input value]]</f>
        <v>0</v>
      </c>
      <c r="I211" s="301" t="str">
        <f>Table22[[#This Row],[Acute RA IESTI new label]]</f>
        <v/>
      </c>
      <c r="J211" s="65"/>
      <c r="K211" s="304">
        <f>Table22[[#This Row],[GAP under assessment]]</f>
        <v>0</v>
      </c>
      <c r="L211" s="304" t="str">
        <f>IF(input_values!$M211=0,"",input_values!$M211)</f>
        <v/>
      </c>
      <c r="M211" s="301" t="str">
        <f>IF(input_values!H211=0,"",input_values!H211)</f>
        <v/>
      </c>
      <c r="N211" s="304">
        <f>input_values!$K211</f>
        <v>0</v>
      </c>
      <c r="O211" s="338">
        <v>0.75019638648860965</v>
      </c>
      <c r="P211" s="22">
        <v>95</v>
      </c>
      <c r="Q211" s="327" t="s">
        <v>335</v>
      </c>
      <c r="R211" s="326">
        <v>76.38</v>
      </c>
      <c r="S211" s="328">
        <f t="shared" si="34"/>
        <v>57.300000000000004</v>
      </c>
      <c r="T211" s="338"/>
      <c r="U211" s="326"/>
      <c r="V211" s="338" t="s">
        <v>618</v>
      </c>
      <c r="W211" s="326"/>
      <c r="X211" s="1171">
        <v>1</v>
      </c>
      <c r="Y211" s="1172">
        <f>IF(X211="ND","ND",IF(S211="","",IF(input_values!K211&gt;0,input_values!K211,IF(OR(X211=1,X211=3),1,IF((V211&gt;250),5,7)))))</f>
        <v>1</v>
      </c>
      <c r="Z211" s="340" t="str">
        <f t="shared" si="30"/>
        <v/>
      </c>
      <c r="AA211" s="332">
        <f t="shared" si="31"/>
        <v>0</v>
      </c>
      <c r="AB211" s="1172">
        <f t="shared" si="35"/>
        <v>1</v>
      </c>
      <c r="AC211" s="340" t="str">
        <f t="shared" si="36"/>
        <v/>
      </c>
      <c r="AD211" s="332">
        <f t="shared" si="32"/>
        <v>0</v>
      </c>
      <c r="AE211" s="37" t="str">
        <f t="shared" si="37"/>
        <v/>
      </c>
      <c r="AF211" s="37" t="str">
        <f t="shared" si="38"/>
        <v/>
      </c>
      <c r="AG211" s="561" t="str">
        <f t="shared" si="33"/>
        <v/>
      </c>
      <c r="AH211" s="561" t="str">
        <f t="shared" si="39"/>
        <v/>
      </c>
      <c r="AI211" s="576"/>
      <c r="AJ211" s="847"/>
    </row>
    <row r="212" spans="1:36" x14ac:dyDescent="0.2">
      <c r="A212" s="126">
        <f>acute_overview_children!A212</f>
        <v>1</v>
      </c>
      <c r="B212" s="127">
        <f>acute_overview_children!B212</f>
        <v>300000</v>
      </c>
      <c r="C212" s="127" t="s">
        <v>742</v>
      </c>
      <c r="D212" s="300">
        <f>Table22[[#This Row],[Level used for acute calculation]]</f>
        <v>4</v>
      </c>
      <c r="E212" s="302">
        <f>Table22[[#This Row],[MRL individual commodity]]</f>
        <v>0</v>
      </c>
      <c r="F212" s="451">
        <f>Table22[[#This Row],[Acute RA input value]]</f>
        <v>0</v>
      </c>
      <c r="G212" s="301">
        <f>Table22[[#This Row],[Acute RA label]]</f>
        <v>0</v>
      </c>
      <c r="H212" s="303">
        <f>Table22[[#This Row],[Acute RA IESTI new input value]]</f>
        <v>0</v>
      </c>
      <c r="I212" s="301">
        <f>Table22[[#This Row],[Acute RA IESTI new label]]</f>
        <v>0</v>
      </c>
      <c r="J212" s="65"/>
      <c r="K212" s="304">
        <f>Table22[[#This Row],[GAP under assessment]]</f>
        <v>0</v>
      </c>
      <c r="L212" s="304" t="str">
        <f>IF(input_values!$M212=0,"",input_values!$M212)</f>
        <v/>
      </c>
      <c r="M212" s="301" t="str">
        <f>IF(input_values!H212=0,"",input_values!H212)</f>
        <v/>
      </c>
      <c r="N212" s="304">
        <f>input_values!$K212</f>
        <v>0</v>
      </c>
      <c r="O212" s="309"/>
      <c r="P212" s="38"/>
      <c r="Q212" s="306"/>
      <c r="R212" s="309"/>
      <c r="S212" s="336" t="str">
        <f t="shared" si="34"/>
        <v/>
      </c>
      <c r="T212" s="305"/>
      <c r="U212" s="309"/>
      <c r="V212" s="305"/>
      <c r="W212" s="309"/>
      <c r="X212" s="611" t="str">
        <f>IF(V212="ND","ND",IF(S212="","",IF(OR(MID(C212,1,4)="milk",AND(MID(B212,1,2)="50",NOT(input_values!M212="Y")),AND(MID(B212,1,2)="40",NOT(input_values!M212="Y")),AND(MID(B212,1,2)="30",NOT(input_values!M212="Y"))),3,IF(OR(V212="&lt;25",B212&gt;1000000),1,IF((T212&gt;=S212),"2b","2a")))))</f>
        <v/>
      </c>
      <c r="Y212" s="38" t="str">
        <f>IF(X212="ND","ND",IF(S212="","",IF(input_values!K212&gt;0,input_values!K212,IF(OR(X212=1,X212=3),1,IF((V212&gt;250),5,7)))))</f>
        <v/>
      </c>
      <c r="Z212" s="335" t="str">
        <f t="shared" si="30"/>
        <v/>
      </c>
      <c r="AA212" s="311">
        <f t="shared" si="31"/>
        <v>0</v>
      </c>
      <c r="AB212" s="38" t="str">
        <f t="shared" si="35"/>
        <v/>
      </c>
      <c r="AC212" s="335" t="str">
        <f t="shared" si="36"/>
        <v/>
      </c>
      <c r="AD212" s="311">
        <f t="shared" si="32"/>
        <v>0</v>
      </c>
      <c r="AE212" s="344" t="str">
        <f t="shared" si="37"/>
        <v/>
      </c>
      <c r="AF212" s="344" t="str">
        <f t="shared" si="38"/>
        <v/>
      </c>
      <c r="AG212" s="561" t="str">
        <f t="shared" si="33"/>
        <v/>
      </c>
      <c r="AH212" s="561" t="str">
        <f t="shared" si="39"/>
        <v/>
      </c>
      <c r="AI212" s="576"/>
      <c r="AJ212" s="847"/>
    </row>
    <row r="213" spans="1:36" ht="12" customHeight="1" outlineLevel="3" x14ac:dyDescent="0.2">
      <c r="A213" s="39">
        <f>acute_overview_children!A213</f>
        <v>4</v>
      </c>
      <c r="B213" s="23">
        <f>acute_overview_children!B213</f>
        <v>300010</v>
      </c>
      <c r="C213" s="23" t="s">
        <v>291</v>
      </c>
      <c r="D213" s="300">
        <f>Table22[[#This Row],[Level used for acute calculation]]</f>
        <v>4</v>
      </c>
      <c r="E213" s="302">
        <f>Table22[[#This Row],[MRL individual commodity]]</f>
        <v>0</v>
      </c>
      <c r="F213" s="451">
        <f>Table22[[#This Row],[Acute RA input value]]</f>
        <v>0</v>
      </c>
      <c r="G213" s="301" t="str">
        <f>Table22[[#This Row],[Acute RA label]]</f>
        <v/>
      </c>
      <c r="H213" s="303">
        <f>Table22[[#This Row],[Acute RA IESTI new input value]]</f>
        <v>0</v>
      </c>
      <c r="I213" s="301" t="str">
        <f>Table22[[#This Row],[Acute RA IESTI new label]]</f>
        <v/>
      </c>
      <c r="J213" s="65"/>
      <c r="K213" s="304">
        <f>Table22[[#This Row],[GAP under assessment]]</f>
        <v>0</v>
      </c>
      <c r="L213" s="304" t="str">
        <f>IF(input_values!$M213=0,"",input_values!$M213)</f>
        <v/>
      </c>
      <c r="M213" s="301" t="str">
        <f>IF(input_values!H213=0,"",input_values!H213)</f>
        <v/>
      </c>
      <c r="N213" s="304">
        <f>input_values!$K213</f>
        <v>0</v>
      </c>
      <c r="O213" s="326">
        <v>6.5815047021943576</v>
      </c>
      <c r="P213" s="22">
        <v>97.5</v>
      </c>
      <c r="Q213" s="327" t="s">
        <v>100</v>
      </c>
      <c r="R213" s="326">
        <v>63.8</v>
      </c>
      <c r="S213" s="328">
        <f t="shared" si="34"/>
        <v>419.9</v>
      </c>
      <c r="T213" s="338" t="s">
        <v>617</v>
      </c>
      <c r="U213" s="339" t="s">
        <v>215</v>
      </c>
      <c r="V213" s="338" t="s">
        <v>617</v>
      </c>
      <c r="W213" s="339" t="s">
        <v>215</v>
      </c>
      <c r="X213" s="1173">
        <f>IF(V213="ND","ND",IF(S213="","",IF(OR(MID(C213,1,4)="milk",AND(MID(B213,1,2)="50",NOT(input_values!M213="Y")),AND(MID(B213,1,2)="40",NOT(input_values!M213="Y")),AND(MID(B213,1,2)="30",NOT(input_values!M213="Y"))),3,IF(OR(V213="&lt;25",B213&gt;1000000),1,IF((T213&gt;=S213),"2b","2a")))))</f>
        <v>3</v>
      </c>
      <c r="Y213" s="22">
        <f>IF(X213="ND","ND",IF(S213="","",IF(input_values!K213&gt;0,input_values!K213,IF(OR(X213=1,X213=3),1,IF((V213&gt;250),5,7)))))</f>
        <v>1</v>
      </c>
      <c r="Z213" s="330" t="str">
        <f t="shared" si="30"/>
        <v/>
      </c>
      <c r="AA213" s="331">
        <f t="shared" si="31"/>
        <v>0</v>
      </c>
      <c r="AB213" s="128">
        <f t="shared" si="35"/>
        <v>1</v>
      </c>
      <c r="AC213" s="330" t="str">
        <f t="shared" si="36"/>
        <v/>
      </c>
      <c r="AD213" s="332">
        <f t="shared" si="32"/>
        <v>0</v>
      </c>
      <c r="AE213" s="333" t="str">
        <f t="shared" si="37"/>
        <v/>
      </c>
      <c r="AF213" s="333" t="str">
        <f t="shared" si="38"/>
        <v/>
      </c>
      <c r="AG213" s="561" t="str">
        <f t="shared" si="33"/>
        <v/>
      </c>
      <c r="AH213" s="561" t="str">
        <f t="shared" si="39"/>
        <v/>
      </c>
      <c r="AI213" s="576"/>
      <c r="AJ213" s="847"/>
    </row>
    <row r="214" spans="1:36" ht="12" customHeight="1" outlineLevel="3" x14ac:dyDescent="0.2">
      <c r="A214" s="39">
        <f>acute_overview_children!A214</f>
        <v>4</v>
      </c>
      <c r="B214" s="23">
        <f>acute_overview_children!B214</f>
        <v>300020</v>
      </c>
      <c r="C214" s="23" t="s">
        <v>59</v>
      </c>
      <c r="D214" s="300">
        <f>Table22[[#This Row],[Level used for acute calculation]]</f>
        <v>4</v>
      </c>
      <c r="E214" s="302">
        <f>Table22[[#This Row],[MRL individual commodity]]</f>
        <v>0</v>
      </c>
      <c r="F214" s="451">
        <f>Table22[[#This Row],[Acute RA input value]]</f>
        <v>0</v>
      </c>
      <c r="G214" s="301" t="str">
        <f>Table22[[#This Row],[Acute RA label]]</f>
        <v/>
      </c>
      <c r="H214" s="303">
        <f>Table22[[#This Row],[Acute RA IESTI new input value]]</f>
        <v>0</v>
      </c>
      <c r="I214" s="301" t="str">
        <f>Table22[[#This Row],[Acute RA IESTI new label]]</f>
        <v/>
      </c>
      <c r="J214" s="65"/>
      <c r="K214" s="304">
        <f>Table22[[#This Row],[GAP under assessment]]</f>
        <v>0</v>
      </c>
      <c r="L214" s="304" t="str">
        <f>IF(input_values!$M214=0,"",input_values!$M214)</f>
        <v/>
      </c>
      <c r="M214" s="301" t="str">
        <f>IF(input_values!H214=0,"",input_values!H214)</f>
        <v/>
      </c>
      <c r="N214" s="304">
        <f>input_values!$K214</f>
        <v>0</v>
      </c>
      <c r="O214" s="326">
        <v>6.15</v>
      </c>
      <c r="P214" s="22">
        <v>95</v>
      </c>
      <c r="Q214" s="327" t="s">
        <v>313</v>
      </c>
      <c r="R214" s="326">
        <v>66.400000000000006</v>
      </c>
      <c r="S214" s="328">
        <f t="shared" si="34"/>
        <v>408.36000000000007</v>
      </c>
      <c r="T214" s="338" t="s">
        <v>617</v>
      </c>
      <c r="U214" s="339" t="s">
        <v>215</v>
      </c>
      <c r="V214" s="338" t="s">
        <v>617</v>
      </c>
      <c r="W214" s="339" t="s">
        <v>215</v>
      </c>
      <c r="X214" s="1173">
        <f>IF(V214="ND","ND",IF(S214="","",IF(OR(MID(C214,1,4)="milk",AND(MID(B214,1,2)="50",NOT(input_values!M214="Y")),AND(MID(B214,1,2)="40",NOT(input_values!M214="Y")),AND(MID(B214,1,2)="30",NOT(input_values!M214="Y"))),3,IF(OR(V214="&lt;25",B214&gt;1000000),1,IF((T214&gt;=S214),"2b","2a")))))</f>
        <v>3</v>
      </c>
      <c r="Y214" s="22">
        <f>IF(X214="ND","ND",IF(S214="","",IF(input_values!K214&gt;0,input_values!K214,IF(OR(X214=1,X214=3),1,IF((V214&gt;250),5,7)))))</f>
        <v>1</v>
      </c>
      <c r="Z214" s="330" t="str">
        <f t="shared" si="30"/>
        <v/>
      </c>
      <c r="AA214" s="331">
        <f t="shared" si="31"/>
        <v>0</v>
      </c>
      <c r="AB214" s="128">
        <f t="shared" si="35"/>
        <v>1</v>
      </c>
      <c r="AC214" s="330" t="str">
        <f t="shared" si="36"/>
        <v/>
      </c>
      <c r="AD214" s="332">
        <f t="shared" si="32"/>
        <v>0</v>
      </c>
      <c r="AE214" s="333" t="str">
        <f t="shared" si="37"/>
        <v/>
      </c>
      <c r="AF214" s="333" t="str">
        <f t="shared" si="38"/>
        <v/>
      </c>
      <c r="AG214" s="561" t="str">
        <f t="shared" si="33"/>
        <v/>
      </c>
      <c r="AH214" s="561" t="str">
        <f t="shared" si="39"/>
        <v/>
      </c>
      <c r="AI214" s="576"/>
      <c r="AJ214" s="847"/>
    </row>
    <row r="215" spans="1:36" ht="12" customHeight="1" outlineLevel="3" x14ac:dyDescent="0.2">
      <c r="A215" s="39">
        <f>acute_overview_children!A215</f>
        <v>4</v>
      </c>
      <c r="B215" s="23">
        <f>acute_overview_children!B215</f>
        <v>300030</v>
      </c>
      <c r="C215" s="23" t="s">
        <v>292</v>
      </c>
      <c r="D215" s="300">
        <f>Table22[[#This Row],[Level used for acute calculation]]</f>
        <v>4</v>
      </c>
      <c r="E215" s="302">
        <f>Table22[[#This Row],[MRL individual commodity]]</f>
        <v>0</v>
      </c>
      <c r="F215" s="451">
        <f>Table22[[#This Row],[Acute RA input value]]</f>
        <v>0</v>
      </c>
      <c r="G215" s="301" t="str">
        <f>Table22[[#This Row],[Acute RA label]]</f>
        <v/>
      </c>
      <c r="H215" s="303">
        <f>Table22[[#This Row],[Acute RA IESTI new input value]]</f>
        <v>0</v>
      </c>
      <c r="I215" s="301" t="str">
        <f>Table22[[#This Row],[Acute RA IESTI new label]]</f>
        <v/>
      </c>
      <c r="J215" s="65"/>
      <c r="K215" s="304">
        <f>Table22[[#This Row],[GAP under assessment]]</f>
        <v>0</v>
      </c>
      <c r="L215" s="304" t="str">
        <f>IF(input_values!$M215=0,"",input_values!$M215)</f>
        <v/>
      </c>
      <c r="M215" s="301" t="str">
        <f>IF(input_values!H215=0,"",input_values!H215)</f>
        <v/>
      </c>
      <c r="N215" s="304">
        <f>input_values!$K215</f>
        <v>0</v>
      </c>
      <c r="O215" s="326">
        <v>3.3208395802098951</v>
      </c>
      <c r="P215" s="22">
        <v>97.5</v>
      </c>
      <c r="Q215" s="327" t="s">
        <v>255</v>
      </c>
      <c r="R215" s="326">
        <v>66.7</v>
      </c>
      <c r="S215" s="328">
        <f t="shared" si="34"/>
        <v>221.5</v>
      </c>
      <c r="T215" s="338" t="s">
        <v>617</v>
      </c>
      <c r="U215" s="339" t="s">
        <v>215</v>
      </c>
      <c r="V215" s="338" t="s">
        <v>617</v>
      </c>
      <c r="W215" s="339" t="s">
        <v>215</v>
      </c>
      <c r="X215" s="1173">
        <f>IF(V215="ND","ND",IF(S215="","",IF(OR(MID(C215,1,4)="milk",AND(MID(B215,1,2)="50",NOT(input_values!M215="Y")),AND(MID(B215,1,2)="40",NOT(input_values!M215="Y")),AND(MID(B215,1,2)="30",NOT(input_values!M215="Y"))),3,IF(OR(V215="&lt;25",B215&gt;1000000),1,IF((T215&gt;=S215),"2b","2a")))))</f>
        <v>3</v>
      </c>
      <c r="Y215" s="22">
        <f>IF(X215="ND","ND",IF(S215="","",IF(input_values!K215&gt;0,input_values!K215,IF(OR(X215=1,X215=3),1,IF((V215&gt;250),5,7)))))</f>
        <v>1</v>
      </c>
      <c r="Z215" s="330" t="str">
        <f t="shared" si="30"/>
        <v/>
      </c>
      <c r="AA215" s="331">
        <f t="shared" si="31"/>
        <v>0</v>
      </c>
      <c r="AB215" s="128">
        <f t="shared" si="35"/>
        <v>1</v>
      </c>
      <c r="AC215" s="330" t="str">
        <f t="shared" si="36"/>
        <v/>
      </c>
      <c r="AD215" s="332">
        <f t="shared" si="32"/>
        <v>0</v>
      </c>
      <c r="AE215" s="333" t="str">
        <f t="shared" si="37"/>
        <v/>
      </c>
      <c r="AF215" s="333" t="str">
        <f t="shared" si="38"/>
        <v/>
      </c>
      <c r="AG215" s="561" t="str">
        <f t="shared" si="33"/>
        <v/>
      </c>
      <c r="AH215" s="561" t="str">
        <f t="shared" si="39"/>
        <v/>
      </c>
      <c r="AI215" s="576"/>
      <c r="AJ215" s="847"/>
    </row>
    <row r="216" spans="1:36" ht="12" customHeight="1" outlineLevel="3" x14ac:dyDescent="0.2">
      <c r="A216" s="39">
        <f>acute_overview_children!A216</f>
        <v>4</v>
      </c>
      <c r="B216" s="23">
        <f>acute_overview_children!B216</f>
        <v>300040</v>
      </c>
      <c r="C216" s="23" t="s">
        <v>743</v>
      </c>
      <c r="D216" s="300">
        <f>Table22[[#This Row],[Level used for acute calculation]]</f>
        <v>4</v>
      </c>
      <c r="E216" s="302">
        <f>Table22[[#This Row],[MRL individual commodity]]</f>
        <v>0</v>
      </c>
      <c r="F216" s="451">
        <f>Table22[[#This Row],[Acute RA input value]]</f>
        <v>0</v>
      </c>
      <c r="G216" s="301" t="str">
        <f>Table22[[#This Row],[Acute RA label]]</f>
        <v/>
      </c>
      <c r="H216" s="303">
        <f>Table22[[#This Row],[Acute RA IESTI new input value]]</f>
        <v>0</v>
      </c>
      <c r="I216" s="301" t="str">
        <f>Table22[[#This Row],[Acute RA IESTI new label]]</f>
        <v/>
      </c>
      <c r="J216" s="65"/>
      <c r="K216" s="304">
        <f>Table22[[#This Row],[GAP under assessment]]</f>
        <v>0</v>
      </c>
      <c r="L216" s="304" t="str">
        <f>IF(input_values!$M216=0,"",input_values!$M216)</f>
        <v/>
      </c>
      <c r="M216" s="301" t="str">
        <f>IF(input_values!H216=0,"",input_values!H216)</f>
        <v/>
      </c>
      <c r="N216" s="304">
        <f>input_values!$K216</f>
        <v>0</v>
      </c>
      <c r="O216" s="338" t="s">
        <v>618</v>
      </c>
      <c r="P216" s="22"/>
      <c r="Q216" s="327"/>
      <c r="R216" s="326"/>
      <c r="S216" s="31" t="str">
        <f t="shared" si="34"/>
        <v>ND</v>
      </c>
      <c r="T216" s="338" t="s">
        <v>617</v>
      </c>
      <c r="U216" s="339" t="s">
        <v>215</v>
      </c>
      <c r="V216" s="338" t="s">
        <v>617</v>
      </c>
      <c r="W216" s="339" t="s">
        <v>215</v>
      </c>
      <c r="X216" s="1173">
        <f>IF(V216="ND","ND",IF(S216="","",IF(OR(MID(C216,1,4)="milk",AND(MID(B216,1,2)="50",NOT(input_values!M216="Y")),AND(MID(B216,1,2)="40",NOT(input_values!M216="Y")),AND(MID(B216,1,2)="30",NOT(input_values!M216="Y"))),3,IF(OR(V216="&lt;25",B216&gt;1000000),1,IF((T216&gt;=S216),"2b","2a")))))</f>
        <v>3</v>
      </c>
      <c r="Y216" s="22">
        <f>IF(X216="ND","ND",IF(S216="","",IF(input_values!K216&gt;0,input_values!K216,IF(OR(X216=1,X216=3),1,IF((V216&gt;250),5,7)))))</f>
        <v>1</v>
      </c>
      <c r="Z216" s="340" t="str">
        <f t="shared" si="30"/>
        <v/>
      </c>
      <c r="AA216" s="332">
        <f t="shared" si="31"/>
        <v>0</v>
      </c>
      <c r="AB216" s="128">
        <f t="shared" si="35"/>
        <v>1</v>
      </c>
      <c r="AC216" s="340" t="str">
        <f t="shared" si="36"/>
        <v/>
      </c>
      <c r="AD216" s="332">
        <f t="shared" si="32"/>
        <v>0</v>
      </c>
      <c r="AE216" s="37" t="str">
        <f t="shared" si="37"/>
        <v/>
      </c>
      <c r="AF216" s="37" t="str">
        <f t="shared" si="38"/>
        <v/>
      </c>
      <c r="AG216" s="561" t="str">
        <f t="shared" si="33"/>
        <v/>
      </c>
      <c r="AH216" s="561" t="str">
        <f t="shared" si="39"/>
        <v/>
      </c>
      <c r="AI216" s="576"/>
      <c r="AJ216" s="847"/>
    </row>
    <row r="217" spans="1:36" ht="12" customHeight="1" outlineLevel="3" x14ac:dyDescent="0.2">
      <c r="A217" s="39">
        <f>acute_overview_children!A217</f>
        <v>4</v>
      </c>
      <c r="B217" s="23">
        <f>acute_overview_children!B217</f>
        <v>300990</v>
      </c>
      <c r="C217" s="23" t="s">
        <v>744</v>
      </c>
      <c r="D217" s="300">
        <f>Table22[[#This Row],[Level used for acute calculation]]</f>
        <v>0</v>
      </c>
      <c r="E217" s="302">
        <f>Table22[[#This Row],[MRL individual commodity]]</f>
        <v>0</v>
      </c>
      <c r="F217" s="451">
        <f>Table22[[#This Row],[Acute RA input value]]</f>
        <v>0</v>
      </c>
      <c r="G217" s="301">
        <f>Table22[[#This Row],[Acute RA label]]</f>
        <v>0</v>
      </c>
      <c r="H217" s="303">
        <f>Table22[[#This Row],[Acute RA IESTI new input value]]</f>
        <v>0</v>
      </c>
      <c r="I217" s="301">
        <f>Table22[[#This Row],[Acute RA IESTI new label]]</f>
        <v>0</v>
      </c>
      <c r="J217" s="65"/>
      <c r="K217" s="304">
        <f>Table22[[#This Row],[GAP under assessment]]</f>
        <v>0</v>
      </c>
      <c r="L217" s="304" t="str">
        <f>IF(input_values!$M217=0,"",input_values!$M217)</f>
        <v/>
      </c>
      <c r="M217" s="301" t="str">
        <f>IF(input_values!H217=0,"",input_values!H217)</f>
        <v/>
      </c>
      <c r="N217" s="304">
        <f>input_values!$K217</f>
        <v>0</v>
      </c>
      <c r="O217" s="309"/>
      <c r="P217" s="38"/>
      <c r="Q217" s="306"/>
      <c r="R217" s="309"/>
      <c r="S217" s="336" t="str">
        <f t="shared" si="34"/>
        <v/>
      </c>
      <c r="T217" s="305"/>
      <c r="U217" s="309"/>
      <c r="V217" s="305"/>
      <c r="W217" s="309"/>
      <c r="X217" s="611" t="str">
        <f>IF(V217="ND","ND",IF(S217="","",IF(OR(MID(C217,1,4)="milk",AND(MID(B217,1,2)="50",NOT(input_values!M217="Y")),AND(MID(B217,1,2)="40",NOT(input_values!M217="Y")),AND(MID(B217,1,2)="30",NOT(input_values!M217="Y"))),3,IF(OR(V217="&lt;25",B217&gt;1000000),1,IF((T217&gt;=S217),"2b","2a")))))</f>
        <v/>
      </c>
      <c r="Y217" s="38" t="str">
        <f>IF(X217="ND","ND",IF(S217="","",IF(input_values!K217&gt;0,input_values!K217,IF(OR(X217=1,X217=3),1,IF((V217&gt;250),5,7)))))</f>
        <v/>
      </c>
      <c r="Z217" s="335" t="str">
        <f t="shared" si="30"/>
        <v/>
      </c>
      <c r="AA217" s="311">
        <f t="shared" si="31"/>
        <v>0</v>
      </c>
      <c r="AB217" s="38" t="str">
        <f t="shared" si="35"/>
        <v/>
      </c>
      <c r="AC217" s="335" t="str">
        <f t="shared" si="36"/>
        <v/>
      </c>
      <c r="AD217" s="311">
        <f t="shared" si="32"/>
        <v>0</v>
      </c>
      <c r="AE217" s="344" t="str">
        <f t="shared" si="37"/>
        <v/>
      </c>
      <c r="AF217" s="344" t="str">
        <f t="shared" si="38"/>
        <v/>
      </c>
      <c r="AG217" s="561" t="str">
        <f t="shared" si="33"/>
        <v/>
      </c>
      <c r="AH217" s="561" t="str">
        <f t="shared" si="39"/>
        <v/>
      </c>
      <c r="AI217" s="576"/>
      <c r="AJ217" s="847"/>
    </row>
    <row r="218" spans="1:36" x14ac:dyDescent="0.2">
      <c r="A218" s="126">
        <f>acute_overview_children!A218</f>
        <v>1</v>
      </c>
      <c r="B218" s="127">
        <f>acute_overview_children!B218</f>
        <v>400000</v>
      </c>
      <c r="C218" s="127" t="s">
        <v>140</v>
      </c>
      <c r="D218" s="300">
        <f>Table22[[#This Row],[Level used for acute calculation]]</f>
        <v>4</v>
      </c>
      <c r="E218" s="302">
        <f>Table22[[#This Row],[MRL individual commodity]]</f>
        <v>0</v>
      </c>
      <c r="F218" s="451">
        <f>Table22[[#This Row],[Acute RA input value]]</f>
        <v>0</v>
      </c>
      <c r="G218" s="301">
        <f>Table22[[#This Row],[Acute RA label]]</f>
        <v>0</v>
      </c>
      <c r="H218" s="303">
        <f>Table22[[#This Row],[Acute RA IESTI new input value]]</f>
        <v>0</v>
      </c>
      <c r="I218" s="301">
        <f>Table22[[#This Row],[Acute RA IESTI new label]]</f>
        <v>0</v>
      </c>
      <c r="J218" s="65"/>
      <c r="K218" s="304">
        <f>Table22[[#This Row],[GAP under assessment]]</f>
        <v>0</v>
      </c>
      <c r="L218" s="304" t="str">
        <f>IF(input_values!$M218=0,"",input_values!$M218)</f>
        <v/>
      </c>
      <c r="M218" s="301" t="str">
        <f>IF(input_values!H218=0,"",input_values!H218)</f>
        <v/>
      </c>
      <c r="N218" s="304">
        <f>input_values!$K218</f>
        <v>0</v>
      </c>
      <c r="O218" s="309"/>
      <c r="P218" s="38"/>
      <c r="Q218" s="306"/>
      <c r="R218" s="309"/>
      <c r="S218" s="336" t="str">
        <f t="shared" si="34"/>
        <v/>
      </c>
      <c r="T218" s="305"/>
      <c r="U218" s="309"/>
      <c r="V218" s="305"/>
      <c r="W218" s="309"/>
      <c r="X218" s="611" t="str">
        <f>IF(V218="ND","ND",IF(S218="","",IF(OR(MID(C218,1,4)="milk",AND(MID(B218,1,2)="50",NOT(input_values!M218="Y")),AND(MID(B218,1,2)="40",NOT(input_values!M218="Y")),AND(MID(B218,1,2)="30",NOT(input_values!M218="Y"))),3,IF(OR(V218="&lt;25",B218&gt;1000000),1,IF((T218&gt;=S218),"2b","2a")))))</f>
        <v/>
      </c>
      <c r="Y218" s="38" t="str">
        <f>IF(X218="ND","ND",IF(S218="","",IF(input_values!K218&gt;0,input_values!K218,IF(OR(X218=1,X218=3),1,IF((V218&gt;250),5,7)))))</f>
        <v/>
      </c>
      <c r="Z218" s="335" t="str">
        <f t="shared" si="30"/>
        <v/>
      </c>
      <c r="AA218" s="311">
        <f t="shared" si="31"/>
        <v>0</v>
      </c>
      <c r="AB218" s="38" t="str">
        <f t="shared" si="35"/>
        <v/>
      </c>
      <c r="AC218" s="335" t="str">
        <f t="shared" si="36"/>
        <v/>
      </c>
      <c r="AD218" s="311">
        <f t="shared" si="32"/>
        <v>0</v>
      </c>
      <c r="AE218" s="344" t="str">
        <f t="shared" si="37"/>
        <v/>
      </c>
      <c r="AF218" s="344" t="str">
        <f t="shared" si="38"/>
        <v/>
      </c>
      <c r="AG218" s="561" t="str">
        <f t="shared" si="33"/>
        <v/>
      </c>
      <c r="AH218" s="561" t="str">
        <f t="shared" si="39"/>
        <v/>
      </c>
      <c r="AI218" s="576"/>
      <c r="AJ218" s="847"/>
    </row>
    <row r="219" spans="1:36" outlineLevel="1" x14ac:dyDescent="0.2">
      <c r="A219" s="130">
        <f>acute_overview_children!A219</f>
        <v>2</v>
      </c>
      <c r="B219" s="131">
        <f>acute_overview_children!B219</f>
        <v>401000</v>
      </c>
      <c r="C219" s="131" t="s">
        <v>141</v>
      </c>
      <c r="D219" s="300">
        <f>Table22[[#This Row],[Level used for acute calculation]]</f>
        <v>4</v>
      </c>
      <c r="E219" s="302">
        <f>Table22[[#This Row],[MRL individual commodity]]</f>
        <v>0</v>
      </c>
      <c r="F219" s="451">
        <f>Table22[[#This Row],[Acute RA input value]]</f>
        <v>0</v>
      </c>
      <c r="G219" s="301">
        <f>Table22[[#This Row],[Acute RA label]]</f>
        <v>0</v>
      </c>
      <c r="H219" s="303">
        <f>Table22[[#This Row],[Acute RA IESTI new input value]]</f>
        <v>0</v>
      </c>
      <c r="I219" s="301">
        <f>Table22[[#This Row],[Acute RA IESTI new label]]</f>
        <v>0</v>
      </c>
      <c r="J219" s="65"/>
      <c r="K219" s="304">
        <f>Table22[[#This Row],[GAP under assessment]]</f>
        <v>0</v>
      </c>
      <c r="L219" s="304" t="str">
        <f>IF(input_values!$M219=0,"",input_values!$M219)</f>
        <v/>
      </c>
      <c r="M219" s="301" t="str">
        <f>IF(input_values!H219=0,"",input_values!H219)</f>
        <v/>
      </c>
      <c r="N219" s="304">
        <f>input_values!$K219</f>
        <v>0</v>
      </c>
      <c r="O219" s="309"/>
      <c r="P219" s="38"/>
      <c r="Q219" s="306"/>
      <c r="R219" s="309"/>
      <c r="S219" s="336" t="str">
        <f t="shared" si="34"/>
        <v/>
      </c>
      <c r="T219" s="315"/>
      <c r="U219" s="320"/>
      <c r="V219" s="315"/>
      <c r="W219" s="320"/>
      <c r="X219" s="611" t="str">
        <f>IF(V219="ND","ND",IF(S219="","",IF(OR(MID(C219,1,4)="milk",AND(MID(B219,1,2)="50",NOT(input_values!M219="Y")),AND(MID(B219,1,2)="40",NOT(input_values!M219="Y")),AND(MID(B219,1,2)="30",NOT(input_values!M219="Y"))),3,IF(OR(V219="&lt;25",B219&gt;1000000),1,IF((T219&gt;=S219),"2b","2a")))))</f>
        <v/>
      </c>
      <c r="Y219" s="38" t="str">
        <f>IF(X219="ND","ND",IF(S219="","",IF(input_values!K219&gt;0,input_values!K219,IF(OR(X219=1,X219=3),1,IF((V219&gt;250),5,7)))))</f>
        <v/>
      </c>
      <c r="Z219" s="335" t="str">
        <f t="shared" si="30"/>
        <v/>
      </c>
      <c r="AA219" s="311">
        <f t="shared" si="31"/>
        <v>0</v>
      </c>
      <c r="AB219" s="38" t="str">
        <f t="shared" si="35"/>
        <v/>
      </c>
      <c r="AC219" s="335" t="str">
        <f t="shared" si="36"/>
        <v/>
      </c>
      <c r="AD219" s="311">
        <f t="shared" si="32"/>
        <v>0</v>
      </c>
      <c r="AE219" s="344" t="str">
        <f t="shared" si="37"/>
        <v/>
      </c>
      <c r="AF219" s="344" t="str">
        <f t="shared" si="38"/>
        <v/>
      </c>
      <c r="AG219" s="561" t="str">
        <f t="shared" si="33"/>
        <v/>
      </c>
      <c r="AH219" s="561" t="str">
        <f t="shared" si="39"/>
        <v/>
      </c>
      <c r="AI219" s="576"/>
      <c r="AJ219" s="847"/>
    </row>
    <row r="220" spans="1:36" ht="12" customHeight="1" outlineLevel="3" x14ac:dyDescent="0.2">
      <c r="A220" s="39">
        <f>acute_overview_children!A220</f>
        <v>4</v>
      </c>
      <c r="B220" s="23">
        <f>acute_overview_children!B220</f>
        <v>401010</v>
      </c>
      <c r="C220" s="23" t="s">
        <v>745</v>
      </c>
      <c r="D220" s="300">
        <f>Table22[[#This Row],[Level used for acute calculation]]</f>
        <v>4</v>
      </c>
      <c r="E220" s="302">
        <f>Table22[[#This Row],[MRL individual commodity]]</f>
        <v>0</v>
      </c>
      <c r="F220" s="451">
        <f>Table22[[#This Row],[Acute RA input value]]</f>
        <v>0</v>
      </c>
      <c r="G220" s="301" t="str">
        <f>Table22[[#This Row],[Acute RA label]]</f>
        <v/>
      </c>
      <c r="H220" s="303">
        <f>Table22[[#This Row],[Acute RA IESTI new input value]]</f>
        <v>0</v>
      </c>
      <c r="I220" s="301" t="str">
        <f>Table22[[#This Row],[Acute RA IESTI new label]]</f>
        <v/>
      </c>
      <c r="J220" s="65"/>
      <c r="K220" s="304">
        <f>Table22[[#This Row],[GAP under assessment]]</f>
        <v>0</v>
      </c>
      <c r="L220" s="304" t="str">
        <f>IF(input_values!$M220=0,"",input_values!$M220)</f>
        <v/>
      </c>
      <c r="M220" s="301" t="str">
        <f>IF(input_values!H220=0,"",input_values!H220)</f>
        <v/>
      </c>
      <c r="N220" s="304">
        <f>input_values!$K220</f>
        <v>0</v>
      </c>
      <c r="O220" s="326">
        <f>1.5*0.32</f>
        <v>0.48</v>
      </c>
      <c r="P220" s="22">
        <v>97.5</v>
      </c>
      <c r="Q220" s="327" t="s">
        <v>335</v>
      </c>
      <c r="R220" s="326">
        <v>76.38</v>
      </c>
      <c r="S220" s="328">
        <f t="shared" si="34"/>
        <v>36.662399999999998</v>
      </c>
      <c r="T220" s="338" t="s">
        <v>617</v>
      </c>
      <c r="U220" s="339" t="s">
        <v>215</v>
      </c>
      <c r="V220" s="338" t="s">
        <v>617</v>
      </c>
      <c r="W220" s="339" t="s">
        <v>215</v>
      </c>
      <c r="X220" s="1173">
        <f>IF(V220="ND","ND",IF(S220="","",IF(OR(MID(C220,1,4)="milk",AND(MID(B220,1,2)="50",NOT(input_values!M220="Y")),AND(MID(B220,1,2)="40",NOT(input_values!M220="Y")),AND(MID(B220,1,2)="30",NOT(input_values!M220="Y"))),3,IF(OR(V220="&lt;25",B220&gt;1000000),1,IF((T220&gt;=S220),"2b","2a")))))</f>
        <v>3</v>
      </c>
      <c r="Y220" s="22">
        <f>IF(X220="ND","ND",IF(S220="","",IF(input_values!K220&gt;0,input_values!K220,IF(OR(X220=1,X220=3),1,IF((V220&gt;250),5,7)))))</f>
        <v>1</v>
      </c>
      <c r="Z220" s="330" t="str">
        <f t="shared" si="30"/>
        <v/>
      </c>
      <c r="AA220" s="331">
        <f t="shared" si="31"/>
        <v>0</v>
      </c>
      <c r="AB220" s="128">
        <f t="shared" si="35"/>
        <v>1</v>
      </c>
      <c r="AC220" s="330" t="str">
        <f t="shared" si="36"/>
        <v/>
      </c>
      <c r="AD220" s="332">
        <f t="shared" si="32"/>
        <v>0</v>
      </c>
      <c r="AE220" s="333" t="str">
        <f t="shared" si="37"/>
        <v/>
      </c>
      <c r="AF220" s="333" t="str">
        <f t="shared" si="38"/>
        <v/>
      </c>
      <c r="AG220" s="561" t="str">
        <f t="shared" si="33"/>
        <v/>
      </c>
      <c r="AH220" s="561" t="str">
        <f t="shared" si="39"/>
        <v/>
      </c>
      <c r="AI220" s="576"/>
      <c r="AJ220" s="847"/>
    </row>
    <row r="221" spans="1:36" ht="12" customHeight="1" outlineLevel="3" x14ac:dyDescent="0.2">
      <c r="A221" s="39">
        <f>acute_overview_children!A221</f>
        <v>4</v>
      </c>
      <c r="B221" s="23">
        <f>acute_overview_children!B221</f>
        <v>401020</v>
      </c>
      <c r="C221" s="23" t="s">
        <v>746</v>
      </c>
      <c r="D221" s="300">
        <f>Table22[[#This Row],[Level used for acute calculation]]</f>
        <v>4</v>
      </c>
      <c r="E221" s="302">
        <f>Table22[[#This Row],[MRL individual commodity]]</f>
        <v>0</v>
      </c>
      <c r="F221" s="451">
        <f>Table22[[#This Row],[Acute RA input value]]</f>
        <v>0</v>
      </c>
      <c r="G221" s="301" t="str">
        <f>Table22[[#This Row],[Acute RA label]]</f>
        <v/>
      </c>
      <c r="H221" s="303">
        <f>Table22[[#This Row],[Acute RA IESTI new input value]]</f>
        <v>0</v>
      </c>
      <c r="I221" s="301" t="str">
        <f>Table22[[#This Row],[Acute RA IESTI new label]]</f>
        <v/>
      </c>
      <c r="J221" s="65"/>
      <c r="K221" s="304">
        <f>Table22[[#This Row],[GAP under assessment]]</f>
        <v>0</v>
      </c>
      <c r="L221" s="304" t="str">
        <f>IF(input_values!$M221=0,"",input_values!$M221)</f>
        <v/>
      </c>
      <c r="M221" s="301" t="str">
        <f>IF(input_values!H221=0,"",input_values!H221)</f>
        <v/>
      </c>
      <c r="N221" s="304">
        <f>input_values!$K221</f>
        <v>0</v>
      </c>
      <c r="O221" s="326">
        <v>2.2999999999999998</v>
      </c>
      <c r="P221" s="22">
        <v>97.5</v>
      </c>
      <c r="Q221" s="327" t="s">
        <v>335</v>
      </c>
      <c r="R221" s="326">
        <v>76.38</v>
      </c>
      <c r="S221" s="328">
        <f t="shared" si="34"/>
        <v>175.67399999999998</v>
      </c>
      <c r="T221" s="338" t="s">
        <v>617</v>
      </c>
      <c r="U221" s="339" t="s">
        <v>215</v>
      </c>
      <c r="V221" s="338" t="s">
        <v>617</v>
      </c>
      <c r="W221" s="339" t="s">
        <v>215</v>
      </c>
      <c r="X221" s="1173">
        <f>IF(V221="ND","ND",IF(S221="","",IF(OR(MID(C221,1,4)="milk",AND(MID(B221,1,2)="50",NOT(input_values!M221="Y")),AND(MID(B221,1,2)="40",NOT(input_values!M221="Y")),AND(MID(B221,1,2)="30",NOT(input_values!M221="Y"))),3,IF(OR(V221="&lt;25",B221&gt;1000000),1,IF((T221&gt;=S221),"2b","2a")))))</f>
        <v>3</v>
      </c>
      <c r="Y221" s="22">
        <f>IF(X221="ND","ND",IF(S221="","",IF(input_values!K221&gt;0,input_values!K221,IF(OR(X221=1,X221=3),1,IF((V221&gt;250),5,7)))))</f>
        <v>1</v>
      </c>
      <c r="Z221" s="330" t="str">
        <f t="shared" si="30"/>
        <v/>
      </c>
      <c r="AA221" s="331">
        <f t="shared" si="31"/>
        <v>0</v>
      </c>
      <c r="AB221" s="128">
        <f t="shared" si="35"/>
        <v>1</v>
      </c>
      <c r="AC221" s="330" t="str">
        <f t="shared" si="36"/>
        <v/>
      </c>
      <c r="AD221" s="332">
        <f t="shared" si="32"/>
        <v>0</v>
      </c>
      <c r="AE221" s="333" t="str">
        <f t="shared" si="37"/>
        <v/>
      </c>
      <c r="AF221" s="333" t="str">
        <f t="shared" si="38"/>
        <v/>
      </c>
      <c r="AG221" s="561" t="str">
        <f t="shared" si="33"/>
        <v/>
      </c>
      <c r="AH221" s="561" t="str">
        <f t="shared" si="39"/>
        <v/>
      </c>
      <c r="AI221" s="576"/>
      <c r="AJ221" s="847"/>
    </row>
    <row r="222" spans="1:36" ht="12" customHeight="1" outlineLevel="3" x14ac:dyDescent="0.2">
      <c r="A222" s="39">
        <f>acute_overview_children!A222</f>
        <v>4</v>
      </c>
      <c r="B222" s="23">
        <f>acute_overview_children!B222</f>
        <v>401030</v>
      </c>
      <c r="C222" s="23" t="s">
        <v>747</v>
      </c>
      <c r="D222" s="300">
        <f>Table22[[#This Row],[Level used for acute calculation]]</f>
        <v>4</v>
      </c>
      <c r="E222" s="302">
        <f>Table22[[#This Row],[MRL individual commodity]]</f>
        <v>0</v>
      </c>
      <c r="F222" s="451">
        <f>Table22[[#This Row],[Acute RA input value]]</f>
        <v>0</v>
      </c>
      <c r="G222" s="301" t="str">
        <f>Table22[[#This Row],[Acute RA label]]</f>
        <v/>
      </c>
      <c r="H222" s="303">
        <f>Table22[[#This Row],[Acute RA IESTI new input value]]</f>
        <v>0</v>
      </c>
      <c r="I222" s="301" t="str">
        <f>Table22[[#This Row],[Acute RA IESTI new label]]</f>
        <v/>
      </c>
      <c r="J222" s="65"/>
      <c r="K222" s="304">
        <f>Table22[[#This Row],[GAP under assessment]]</f>
        <v>0</v>
      </c>
      <c r="L222" s="304" t="str">
        <f>IF(input_values!$M222=0,"",input_values!$M222)</f>
        <v/>
      </c>
      <c r="M222" s="301" t="str">
        <f>IF(input_values!H222=0,"",input_values!H222)</f>
        <v/>
      </c>
      <c r="N222" s="304">
        <f>input_values!$K222</f>
        <v>0</v>
      </c>
      <c r="O222" s="326">
        <v>0.7</v>
      </c>
      <c r="P222" s="22">
        <v>97.5</v>
      </c>
      <c r="Q222" s="327" t="s">
        <v>334</v>
      </c>
      <c r="R222" s="326">
        <v>67.47</v>
      </c>
      <c r="S222" s="328">
        <f t="shared" si="34"/>
        <v>47.228999999999999</v>
      </c>
      <c r="T222" s="338" t="s">
        <v>617</v>
      </c>
      <c r="U222" s="339" t="s">
        <v>215</v>
      </c>
      <c r="V222" s="338" t="s">
        <v>617</v>
      </c>
      <c r="W222" s="339" t="s">
        <v>215</v>
      </c>
      <c r="X222" s="1173">
        <f>IF(V222="ND","ND",IF(S222="","",IF(OR(MID(C222,1,4)="milk",AND(MID(B222,1,2)="50",NOT(input_values!M222="Y")),AND(MID(B222,1,2)="40",NOT(input_values!M222="Y")),AND(MID(B222,1,2)="30",NOT(input_values!M222="Y"))),3,IF(OR(V222="&lt;25",B222&gt;1000000),1,IF((T222&gt;=S222),"2b","2a")))))</f>
        <v>3</v>
      </c>
      <c r="Y222" s="22">
        <f>IF(X222="ND","ND",IF(S222="","",IF(input_values!K222&gt;0,input_values!K222,IF(OR(X222=1,X222=3),1,IF((V222&gt;250),5,7)))))</f>
        <v>1</v>
      </c>
      <c r="Z222" s="330" t="str">
        <f t="shared" si="30"/>
        <v/>
      </c>
      <c r="AA222" s="331">
        <f t="shared" si="31"/>
        <v>0</v>
      </c>
      <c r="AB222" s="128">
        <f t="shared" si="35"/>
        <v>1</v>
      </c>
      <c r="AC222" s="330" t="str">
        <f t="shared" si="36"/>
        <v/>
      </c>
      <c r="AD222" s="332">
        <f t="shared" si="32"/>
        <v>0</v>
      </c>
      <c r="AE222" s="333" t="str">
        <f t="shared" si="37"/>
        <v/>
      </c>
      <c r="AF222" s="333" t="str">
        <f t="shared" si="38"/>
        <v/>
      </c>
      <c r="AG222" s="561" t="str">
        <f t="shared" si="33"/>
        <v/>
      </c>
      <c r="AH222" s="561" t="str">
        <f t="shared" si="39"/>
        <v/>
      </c>
      <c r="AI222" s="576"/>
      <c r="AJ222" s="847"/>
    </row>
    <row r="223" spans="1:36" ht="12" customHeight="1" outlineLevel="3" x14ac:dyDescent="0.2">
      <c r="A223" s="39">
        <f>acute_overview_children!A223</f>
        <v>4</v>
      </c>
      <c r="B223" s="23">
        <f>acute_overview_children!B223</f>
        <v>401040</v>
      </c>
      <c r="C223" s="23" t="s">
        <v>748</v>
      </c>
      <c r="D223" s="300">
        <f>Table22[[#This Row],[Level used for acute calculation]]</f>
        <v>4</v>
      </c>
      <c r="E223" s="302">
        <f>Table22[[#This Row],[MRL individual commodity]]</f>
        <v>0</v>
      </c>
      <c r="F223" s="451">
        <f>Table22[[#This Row],[Acute RA input value]]</f>
        <v>0</v>
      </c>
      <c r="G223" s="301" t="str">
        <f>Table22[[#This Row],[Acute RA label]]</f>
        <v/>
      </c>
      <c r="H223" s="303">
        <f>Table22[[#This Row],[Acute RA IESTI new input value]]</f>
        <v>0</v>
      </c>
      <c r="I223" s="301" t="str">
        <f>Table22[[#This Row],[Acute RA IESTI new label]]</f>
        <v/>
      </c>
      <c r="J223" s="65"/>
      <c r="K223" s="304">
        <f>Table22[[#This Row],[GAP under assessment]]</f>
        <v>0</v>
      </c>
      <c r="L223" s="304" t="str">
        <f>IF(input_values!$M223=0,"",input_values!$M223)</f>
        <v/>
      </c>
      <c r="M223" s="301" t="str">
        <f>IF(input_values!H223=0,"",input_values!H223)</f>
        <v/>
      </c>
      <c r="N223" s="304">
        <f>input_values!$K223</f>
        <v>0</v>
      </c>
      <c r="O223" s="326">
        <v>0.7</v>
      </c>
      <c r="P223" s="22">
        <v>95</v>
      </c>
      <c r="Q223" s="327" t="s">
        <v>335</v>
      </c>
      <c r="R223" s="326">
        <v>76.38</v>
      </c>
      <c r="S223" s="328">
        <f t="shared" si="34"/>
        <v>53.465999999999994</v>
      </c>
      <c r="T223" s="338" t="s">
        <v>617</v>
      </c>
      <c r="U223" s="339" t="s">
        <v>215</v>
      </c>
      <c r="V223" s="338" t="s">
        <v>617</v>
      </c>
      <c r="W223" s="339" t="s">
        <v>215</v>
      </c>
      <c r="X223" s="1173">
        <f>IF(V223="ND","ND",IF(S223="","",IF(OR(MID(C223,1,4)="milk",AND(MID(B223,1,2)="50",NOT(input_values!M223="Y")),AND(MID(B223,1,2)="40",NOT(input_values!M223="Y")),AND(MID(B223,1,2)="30",NOT(input_values!M223="Y"))),3,IF(OR(V223="&lt;25",B223&gt;1000000),1,IF((T223&gt;=S223),"2b","2a")))))</f>
        <v>3</v>
      </c>
      <c r="Y223" s="22">
        <f>IF(X223="ND","ND",IF(S223="","",IF(input_values!K223&gt;0,input_values!K223,IF(OR(X223=1,X223=3),1,IF((V223&gt;250),5,7)))))</f>
        <v>1</v>
      </c>
      <c r="Z223" s="330" t="str">
        <f t="shared" si="30"/>
        <v/>
      </c>
      <c r="AA223" s="331">
        <f t="shared" si="31"/>
        <v>0</v>
      </c>
      <c r="AB223" s="128">
        <f t="shared" si="35"/>
        <v>1</v>
      </c>
      <c r="AC223" s="330" t="str">
        <f t="shared" si="36"/>
        <v/>
      </c>
      <c r="AD223" s="332">
        <f t="shared" si="32"/>
        <v>0</v>
      </c>
      <c r="AE223" s="333" t="str">
        <f t="shared" si="37"/>
        <v/>
      </c>
      <c r="AF223" s="333" t="str">
        <f t="shared" si="38"/>
        <v/>
      </c>
      <c r="AG223" s="561" t="str">
        <f t="shared" si="33"/>
        <v/>
      </c>
      <c r="AH223" s="561" t="str">
        <f t="shared" si="39"/>
        <v/>
      </c>
      <c r="AI223" s="576"/>
      <c r="AJ223" s="847"/>
    </row>
    <row r="224" spans="1:36" ht="12" customHeight="1" outlineLevel="3" x14ac:dyDescent="0.2">
      <c r="A224" s="39">
        <f>acute_overview_children!A224</f>
        <v>4</v>
      </c>
      <c r="B224" s="23">
        <f>acute_overview_children!B224</f>
        <v>401050</v>
      </c>
      <c r="C224" s="23" t="s">
        <v>749</v>
      </c>
      <c r="D224" s="300">
        <f>Table22[[#This Row],[Level used for acute calculation]]</f>
        <v>4</v>
      </c>
      <c r="E224" s="302">
        <f>Table22[[#This Row],[MRL individual commodity]]</f>
        <v>0</v>
      </c>
      <c r="F224" s="451">
        <f>Table22[[#This Row],[Acute RA input value]]</f>
        <v>0</v>
      </c>
      <c r="G224" s="301" t="str">
        <f>Table22[[#This Row],[Acute RA label]]</f>
        <v/>
      </c>
      <c r="H224" s="303">
        <f>Table22[[#This Row],[Acute RA IESTI new input value]]</f>
        <v>0</v>
      </c>
      <c r="I224" s="301" t="str">
        <f>Table22[[#This Row],[Acute RA IESTI new label]]</f>
        <v/>
      </c>
      <c r="J224" s="65"/>
      <c r="K224" s="304">
        <f>Table22[[#This Row],[GAP under assessment]]</f>
        <v>0</v>
      </c>
      <c r="L224" s="304" t="str">
        <f>IF(input_values!$M224=0,"",input_values!$M224)</f>
        <v/>
      </c>
      <c r="M224" s="301" t="str">
        <f>IF(input_values!H224=0,"",input_values!H224)</f>
        <v/>
      </c>
      <c r="N224" s="304">
        <f>input_values!$K224</f>
        <v>0</v>
      </c>
      <c r="O224" s="326">
        <v>1</v>
      </c>
      <c r="P224" s="22">
        <v>97.5</v>
      </c>
      <c r="Q224" s="327" t="s">
        <v>334</v>
      </c>
      <c r="R224" s="326">
        <v>67.47</v>
      </c>
      <c r="S224" s="328">
        <f t="shared" si="34"/>
        <v>67.47</v>
      </c>
      <c r="T224" s="338" t="s">
        <v>617</v>
      </c>
      <c r="U224" s="339" t="s">
        <v>215</v>
      </c>
      <c r="V224" s="338" t="s">
        <v>617</v>
      </c>
      <c r="W224" s="339" t="s">
        <v>215</v>
      </c>
      <c r="X224" s="1173">
        <f>IF(V224="ND","ND",IF(S224="","",IF(OR(MID(C224,1,4)="milk",AND(MID(B224,1,2)="50",NOT(input_values!M224="Y")),AND(MID(B224,1,2)="40",NOT(input_values!M224="Y")),AND(MID(B224,1,2)="30",NOT(input_values!M224="Y"))),3,IF(OR(V224="&lt;25",B224&gt;1000000),1,IF((T224&gt;=S224),"2b","2a")))))</f>
        <v>3</v>
      </c>
      <c r="Y224" s="22">
        <f>IF(X224="ND","ND",IF(S224="","",IF(input_values!K224&gt;0,input_values!K224,IF(OR(X224=1,X224=3),1,IF((V224&gt;250),5,7)))))</f>
        <v>1</v>
      </c>
      <c r="Z224" s="330" t="str">
        <f t="shared" si="30"/>
        <v/>
      </c>
      <c r="AA224" s="331">
        <f t="shared" si="31"/>
        <v>0</v>
      </c>
      <c r="AB224" s="128">
        <f t="shared" si="35"/>
        <v>1</v>
      </c>
      <c r="AC224" s="330" t="str">
        <f t="shared" si="36"/>
        <v/>
      </c>
      <c r="AD224" s="332">
        <f t="shared" si="32"/>
        <v>0</v>
      </c>
      <c r="AE224" s="333" t="str">
        <f t="shared" si="37"/>
        <v/>
      </c>
      <c r="AF224" s="333" t="str">
        <f t="shared" si="38"/>
        <v/>
      </c>
      <c r="AG224" s="561" t="str">
        <f t="shared" si="33"/>
        <v/>
      </c>
      <c r="AH224" s="561" t="str">
        <f t="shared" si="39"/>
        <v/>
      </c>
      <c r="AI224" s="576"/>
      <c r="AJ224" s="847"/>
    </row>
    <row r="225" spans="1:36" ht="12" customHeight="1" outlineLevel="3" x14ac:dyDescent="0.2">
      <c r="A225" s="39">
        <f>acute_overview_children!A225</f>
        <v>4</v>
      </c>
      <c r="B225" s="23">
        <f>acute_overview_children!B225</f>
        <v>401060</v>
      </c>
      <c r="C225" s="23" t="s">
        <v>750</v>
      </c>
      <c r="D225" s="300">
        <f>Table22[[#This Row],[Level used for acute calculation]]</f>
        <v>4</v>
      </c>
      <c r="E225" s="302">
        <f>Table22[[#This Row],[MRL individual commodity]]</f>
        <v>0</v>
      </c>
      <c r="F225" s="451">
        <f>Table22[[#This Row],[Acute RA input value]]</f>
        <v>0</v>
      </c>
      <c r="G225" s="301" t="str">
        <f>Table22[[#This Row],[Acute RA label]]</f>
        <v/>
      </c>
      <c r="H225" s="303">
        <f>Table22[[#This Row],[Acute RA IESTI new input value]]</f>
        <v>0</v>
      </c>
      <c r="I225" s="301" t="str">
        <f>Table22[[#This Row],[Acute RA IESTI new label]]</f>
        <v/>
      </c>
      <c r="J225" s="65"/>
      <c r="K225" s="304">
        <f>Table22[[#This Row],[GAP under assessment]]</f>
        <v>0</v>
      </c>
      <c r="L225" s="304" t="str">
        <f>IF(input_values!$M225=0,"",input_values!$M225)</f>
        <v/>
      </c>
      <c r="M225" s="301" t="str">
        <f>IF(input_values!H225=0,"",input_values!H225)</f>
        <v/>
      </c>
      <c r="N225" s="304">
        <f>input_values!$K225</f>
        <v>0</v>
      </c>
      <c r="O225" s="326">
        <f>1.7*0.31</f>
        <v>0.52700000000000002</v>
      </c>
      <c r="P225" s="22">
        <v>97.5</v>
      </c>
      <c r="Q225" s="327" t="s">
        <v>334</v>
      </c>
      <c r="R225" s="326">
        <v>67.47</v>
      </c>
      <c r="S225" s="328">
        <f t="shared" si="34"/>
        <v>35.556690000000003</v>
      </c>
      <c r="T225" s="338" t="s">
        <v>617</v>
      </c>
      <c r="U225" s="339" t="s">
        <v>215</v>
      </c>
      <c r="V225" s="338" t="s">
        <v>617</v>
      </c>
      <c r="W225" s="339" t="s">
        <v>215</v>
      </c>
      <c r="X225" s="1173">
        <f>IF(V225="ND","ND",IF(S225="","",IF(OR(MID(C225,1,4)="milk",AND(MID(B225,1,2)="50",NOT(input_values!M225="Y")),AND(MID(B225,1,2)="40",NOT(input_values!M225="Y")),AND(MID(B225,1,2)="30",NOT(input_values!M225="Y"))),3,IF(OR(V225="&lt;25",B225&gt;1000000),1,IF((T225&gt;=S225),"2b","2a")))))</f>
        <v>3</v>
      </c>
      <c r="Y225" s="22">
        <f>IF(X225="ND","ND",IF(S225="","",IF(input_values!K225&gt;0,input_values!K225,IF(OR(X225=1,X225=3),1,IF((V225&gt;250),5,7)))))</f>
        <v>1</v>
      </c>
      <c r="Z225" s="330" t="str">
        <f t="shared" si="30"/>
        <v/>
      </c>
      <c r="AA225" s="331">
        <f t="shared" si="31"/>
        <v>0</v>
      </c>
      <c r="AB225" s="128">
        <f t="shared" si="35"/>
        <v>1</v>
      </c>
      <c r="AC225" s="330" t="str">
        <f t="shared" si="36"/>
        <v/>
      </c>
      <c r="AD225" s="332">
        <f t="shared" si="32"/>
        <v>0</v>
      </c>
      <c r="AE225" s="333" t="str">
        <f t="shared" si="37"/>
        <v/>
      </c>
      <c r="AF225" s="333" t="str">
        <f t="shared" si="38"/>
        <v/>
      </c>
      <c r="AG225" s="561" t="str">
        <f t="shared" si="33"/>
        <v/>
      </c>
      <c r="AH225" s="561" t="str">
        <f t="shared" si="39"/>
        <v/>
      </c>
      <c r="AI225" s="576"/>
      <c r="AJ225" s="847"/>
    </row>
    <row r="226" spans="1:36" ht="12" customHeight="1" outlineLevel="3" x14ac:dyDescent="0.2">
      <c r="A226" s="39">
        <f>acute_overview_children!A226</f>
        <v>4</v>
      </c>
      <c r="B226" s="23">
        <f>acute_overview_children!B226</f>
        <v>401070</v>
      </c>
      <c r="C226" s="23" t="s">
        <v>751</v>
      </c>
      <c r="D226" s="300">
        <f>Table22[[#This Row],[Level used for acute calculation]]</f>
        <v>4</v>
      </c>
      <c r="E226" s="302">
        <f>Table22[[#This Row],[MRL individual commodity]]</f>
        <v>0</v>
      </c>
      <c r="F226" s="451">
        <f>Table22[[#This Row],[Acute RA input value]]</f>
        <v>0</v>
      </c>
      <c r="G226" s="301" t="str">
        <f>Table22[[#This Row],[Acute RA label]]</f>
        <v/>
      </c>
      <c r="H226" s="303">
        <f>Table22[[#This Row],[Acute RA IESTI new input value]]</f>
        <v>0</v>
      </c>
      <c r="I226" s="301" t="str">
        <f>Table22[[#This Row],[Acute RA IESTI new label]]</f>
        <v/>
      </c>
      <c r="J226" s="65"/>
      <c r="K226" s="304">
        <f>Table22[[#This Row],[GAP under assessment]]</f>
        <v>0</v>
      </c>
      <c r="L226" s="304" t="str">
        <f>IF(input_values!$M226=0,"",input_values!$M226)</f>
        <v/>
      </c>
      <c r="M226" s="301" t="str">
        <f>IF(input_values!H226=0,"",input_values!H226)</f>
        <v/>
      </c>
      <c r="N226" s="304">
        <f>input_values!$K226</f>
        <v>0</v>
      </c>
      <c r="O226" s="339">
        <v>5.5031446540999998</v>
      </c>
      <c r="P226" s="128">
        <v>97.5</v>
      </c>
      <c r="Q226" s="346" t="s">
        <v>956</v>
      </c>
      <c r="R226" s="339">
        <v>71.2</v>
      </c>
      <c r="S226" s="328">
        <f t="shared" si="34"/>
        <v>391.82389937191999</v>
      </c>
      <c r="T226" s="338" t="s">
        <v>617</v>
      </c>
      <c r="U226" s="339" t="s">
        <v>215</v>
      </c>
      <c r="V226" s="338" t="s">
        <v>617</v>
      </c>
      <c r="W226" s="339" t="s">
        <v>215</v>
      </c>
      <c r="X226" s="1173">
        <f>IF(V226="ND","ND",IF(S226="","",IF(OR(MID(C226,1,4)="milk",AND(MID(B226,1,2)="50",NOT(input_values!M226="Y")),AND(MID(B226,1,2)="40",NOT(input_values!M226="Y")),AND(MID(B226,1,2)="30",NOT(input_values!M226="Y"))),3,IF(OR(V226="&lt;25",B226&gt;1000000),1,IF((T226&gt;=S226),"2b","2a")))))</f>
        <v>3</v>
      </c>
      <c r="Y226" s="22">
        <f>IF(X226="ND","ND",IF(S226="","",IF(input_values!K226&gt;0,input_values!K226,IF(OR(X226=1,X226=3),1,IF((V226&gt;250),5,7)))))</f>
        <v>1</v>
      </c>
      <c r="Z226" s="330" t="str">
        <f t="shared" si="30"/>
        <v/>
      </c>
      <c r="AA226" s="331">
        <f t="shared" si="31"/>
        <v>0</v>
      </c>
      <c r="AB226" s="128">
        <f t="shared" si="35"/>
        <v>1</v>
      </c>
      <c r="AC226" s="330" t="str">
        <f t="shared" si="36"/>
        <v/>
      </c>
      <c r="AD226" s="332">
        <f t="shared" si="32"/>
        <v>0</v>
      </c>
      <c r="AE226" s="333" t="str">
        <f t="shared" si="37"/>
        <v/>
      </c>
      <c r="AF226" s="333" t="str">
        <f t="shared" si="38"/>
        <v/>
      </c>
      <c r="AG226" s="561" t="str">
        <f t="shared" si="33"/>
        <v/>
      </c>
      <c r="AH226" s="561" t="str">
        <f t="shared" si="39"/>
        <v/>
      </c>
      <c r="AI226" s="576"/>
      <c r="AJ226" s="847"/>
    </row>
    <row r="227" spans="1:36" ht="12" customHeight="1" outlineLevel="3" x14ac:dyDescent="0.2">
      <c r="A227" s="39">
        <f>acute_overview_children!A227</f>
        <v>4</v>
      </c>
      <c r="B227" s="23">
        <f>acute_overview_children!B227</f>
        <v>401080</v>
      </c>
      <c r="C227" s="23" t="s">
        <v>752</v>
      </c>
      <c r="D227" s="300">
        <f>Table22[[#This Row],[Level used for acute calculation]]</f>
        <v>4</v>
      </c>
      <c r="E227" s="302">
        <f>Table22[[#This Row],[MRL individual commodity]]</f>
        <v>0</v>
      </c>
      <c r="F227" s="451">
        <f>Table22[[#This Row],[Acute RA input value]]</f>
        <v>0</v>
      </c>
      <c r="G227" s="301" t="str">
        <f>Table22[[#This Row],[Acute RA label]]</f>
        <v/>
      </c>
      <c r="H227" s="303">
        <f>Table22[[#This Row],[Acute RA IESTI new input value]]</f>
        <v>0</v>
      </c>
      <c r="I227" s="301" t="str">
        <f>Table22[[#This Row],[Acute RA IESTI new label]]</f>
        <v/>
      </c>
      <c r="J227" s="65"/>
      <c r="K227" s="304">
        <f>Table22[[#This Row],[GAP under assessment]]</f>
        <v>0</v>
      </c>
      <c r="L227" s="304" t="str">
        <f>IF(input_values!$M227=0,"",input_values!$M227)</f>
        <v/>
      </c>
      <c r="M227" s="301" t="str">
        <f>IF(input_values!H227=0,"",input_values!H227)</f>
        <v/>
      </c>
      <c r="N227" s="304">
        <f>input_values!$K227</f>
        <v>0</v>
      </c>
      <c r="O227" s="339">
        <v>0.7</v>
      </c>
      <c r="P227" s="22">
        <v>97.5</v>
      </c>
      <c r="Q227" s="327" t="s">
        <v>102</v>
      </c>
      <c r="R227" s="326">
        <v>65.599999999999994</v>
      </c>
      <c r="S227" s="328">
        <f t="shared" si="34"/>
        <v>45.919999999999995</v>
      </c>
      <c r="T227" s="338" t="s">
        <v>617</v>
      </c>
      <c r="U227" s="339" t="s">
        <v>215</v>
      </c>
      <c r="V227" s="338" t="s">
        <v>617</v>
      </c>
      <c r="W227" s="339" t="s">
        <v>215</v>
      </c>
      <c r="X227" s="1173">
        <f>IF(V227="ND","ND",IF(S227="","",IF(OR(MID(C227,1,4)="milk",AND(MID(B227,1,2)="50",NOT(input_values!M227="Y")),AND(MID(B227,1,2)="40",NOT(input_values!M227="Y")),AND(MID(B227,1,2)="30",NOT(input_values!M227="Y"))),3,IF(OR(V227="&lt;25",B227&gt;1000000),1,IF((T227&gt;=S227),"2b","2a")))))</f>
        <v>3</v>
      </c>
      <c r="Y227" s="22">
        <f>IF(X227="ND","ND",IF(S227="","",IF(input_values!K227&gt;0,input_values!K227,IF(OR(X227=1,X227=3),1,IF((V227&gt;250),5,7)))))</f>
        <v>1</v>
      </c>
      <c r="Z227" s="345" t="str">
        <f t="shared" si="30"/>
        <v/>
      </c>
      <c r="AA227" s="332">
        <f t="shared" si="31"/>
        <v>0</v>
      </c>
      <c r="AB227" s="128">
        <f t="shared" si="35"/>
        <v>1</v>
      </c>
      <c r="AC227" s="345" t="str">
        <f t="shared" si="36"/>
        <v/>
      </c>
      <c r="AD227" s="332">
        <f t="shared" si="32"/>
        <v>0</v>
      </c>
      <c r="AE227" s="40" t="str">
        <f t="shared" si="37"/>
        <v/>
      </c>
      <c r="AF227" s="40" t="str">
        <f t="shared" si="38"/>
        <v/>
      </c>
      <c r="AG227" s="561" t="str">
        <f t="shared" si="33"/>
        <v/>
      </c>
      <c r="AH227" s="561" t="str">
        <f t="shared" si="39"/>
        <v/>
      </c>
      <c r="AI227" s="576"/>
      <c r="AJ227" s="847"/>
    </row>
    <row r="228" spans="1:36" ht="12" customHeight="1" outlineLevel="3" x14ac:dyDescent="0.2">
      <c r="A228" s="39">
        <f>acute_overview_children!A228</f>
        <v>4</v>
      </c>
      <c r="B228" s="23">
        <f>acute_overview_children!B228</f>
        <v>401090</v>
      </c>
      <c r="C228" s="23" t="s">
        <v>753</v>
      </c>
      <c r="D228" s="300">
        <f>Table22[[#This Row],[Level used for acute calculation]]</f>
        <v>4</v>
      </c>
      <c r="E228" s="302">
        <f>Table22[[#This Row],[MRL individual commodity]]</f>
        <v>0</v>
      </c>
      <c r="F228" s="451">
        <f>Table22[[#This Row],[Acute RA input value]]</f>
        <v>0</v>
      </c>
      <c r="G228" s="301" t="str">
        <f>Table22[[#This Row],[Acute RA label]]</f>
        <v/>
      </c>
      <c r="H228" s="303">
        <f>Table22[[#This Row],[Acute RA IESTI new input value]]</f>
        <v>0</v>
      </c>
      <c r="I228" s="301" t="str">
        <f>Table22[[#This Row],[Acute RA IESTI new label]]</f>
        <v/>
      </c>
      <c r="J228" s="65"/>
      <c r="K228" s="304">
        <f>Table22[[#This Row],[GAP under assessment]]</f>
        <v>0</v>
      </c>
      <c r="L228" s="304" t="str">
        <f>IF(input_values!$M228=0,"",input_values!$M228)</f>
        <v/>
      </c>
      <c r="M228" s="301" t="str">
        <f>IF(input_values!H228=0,"",input_values!H228)</f>
        <v/>
      </c>
      <c r="N228" s="304">
        <f>input_values!$K228</f>
        <v>0</v>
      </c>
      <c r="O228" s="338" t="s">
        <v>618</v>
      </c>
      <c r="P228" s="22"/>
      <c r="Q228" s="327"/>
      <c r="R228" s="326"/>
      <c r="S228" s="31" t="str">
        <f t="shared" si="34"/>
        <v>ND</v>
      </c>
      <c r="T228" s="338" t="s">
        <v>617</v>
      </c>
      <c r="U228" s="339" t="s">
        <v>215</v>
      </c>
      <c r="V228" s="338" t="s">
        <v>617</v>
      </c>
      <c r="W228" s="339" t="s">
        <v>215</v>
      </c>
      <c r="X228" s="1173">
        <f>IF(V228="ND","ND",IF(S228="","",IF(OR(MID(C228,1,4)="milk",AND(MID(B228,1,2)="50",NOT(input_values!M228="Y")),AND(MID(B228,1,2)="40",NOT(input_values!M228="Y")),AND(MID(B228,1,2)="30",NOT(input_values!M228="Y"))),3,IF(OR(V228="&lt;25",B228&gt;1000000),1,IF((T228&gt;=S228),"2b","2a")))))</f>
        <v>3</v>
      </c>
      <c r="Y228" s="22">
        <f>IF(X228="ND","ND",IF(S228="","",IF(input_values!K228&gt;0,input_values!K228,IF(OR(X228=1,X228=3),1,IF((V228&gt;250),5,7)))))</f>
        <v>1</v>
      </c>
      <c r="Z228" s="340" t="str">
        <f t="shared" si="30"/>
        <v/>
      </c>
      <c r="AA228" s="332">
        <f t="shared" si="31"/>
        <v>0</v>
      </c>
      <c r="AB228" s="128">
        <f t="shared" si="35"/>
        <v>1</v>
      </c>
      <c r="AC228" s="340" t="str">
        <f t="shared" si="36"/>
        <v/>
      </c>
      <c r="AD228" s="332">
        <f t="shared" si="32"/>
        <v>0</v>
      </c>
      <c r="AE228" s="37" t="str">
        <f t="shared" si="37"/>
        <v/>
      </c>
      <c r="AF228" s="37" t="str">
        <f t="shared" si="38"/>
        <v/>
      </c>
      <c r="AG228" s="561" t="str">
        <f t="shared" si="33"/>
        <v/>
      </c>
      <c r="AH228" s="561" t="str">
        <f t="shared" si="39"/>
        <v/>
      </c>
      <c r="AI228" s="576"/>
      <c r="AJ228" s="847"/>
    </row>
    <row r="229" spans="1:36" ht="12" customHeight="1" outlineLevel="3" x14ac:dyDescent="0.2">
      <c r="A229" s="39">
        <f>acute_overview_children!A229</f>
        <v>4</v>
      </c>
      <c r="B229" s="23">
        <f>acute_overview_children!B229</f>
        <v>401100</v>
      </c>
      <c r="C229" s="23" t="s">
        <v>154</v>
      </c>
      <c r="D229" s="300">
        <f>Table22[[#This Row],[Level used for acute calculation]]</f>
        <v>4</v>
      </c>
      <c r="E229" s="302">
        <f>Table22[[#This Row],[MRL individual commodity]]</f>
        <v>0</v>
      </c>
      <c r="F229" s="451">
        <f>Table22[[#This Row],[Acute RA input value]]</f>
        <v>0</v>
      </c>
      <c r="G229" s="301" t="str">
        <f>Table22[[#This Row],[Acute RA label]]</f>
        <v/>
      </c>
      <c r="H229" s="303">
        <f>Table22[[#This Row],[Acute RA IESTI new input value]]</f>
        <v>0</v>
      </c>
      <c r="I229" s="301" t="str">
        <f>Table22[[#This Row],[Acute RA IESTI new label]]</f>
        <v/>
      </c>
      <c r="J229" s="65"/>
      <c r="K229" s="304">
        <f>Table22[[#This Row],[GAP under assessment]]</f>
        <v>0</v>
      </c>
      <c r="L229" s="304" t="str">
        <f>IF(input_values!$M229=0,"",input_values!$M229)</f>
        <v/>
      </c>
      <c r="M229" s="301" t="str">
        <f>IF(input_values!H229=0,"",input_values!H229)</f>
        <v/>
      </c>
      <c r="N229" s="304">
        <f>input_values!$K229</f>
        <v>0</v>
      </c>
      <c r="O229" s="339">
        <v>1.6</v>
      </c>
      <c r="P229" s="22">
        <v>97.5</v>
      </c>
      <c r="Q229" s="327" t="s">
        <v>335</v>
      </c>
      <c r="R229" s="326">
        <v>76.38</v>
      </c>
      <c r="S229" s="328">
        <f t="shared" si="34"/>
        <v>122.208</v>
      </c>
      <c r="T229" s="338" t="s">
        <v>617</v>
      </c>
      <c r="U229" s="339" t="s">
        <v>215</v>
      </c>
      <c r="V229" s="338" t="s">
        <v>617</v>
      </c>
      <c r="W229" s="339" t="s">
        <v>215</v>
      </c>
      <c r="X229" s="1173">
        <f>IF(V229="ND","ND",IF(S229="","",IF(OR(MID(C229,1,4)="milk",AND(MID(B229,1,2)="50",NOT(input_values!M229="Y")),AND(MID(B229,1,2)="40",NOT(input_values!M229="Y")),AND(MID(B229,1,2)="30",NOT(input_values!M229="Y"))),3,IF(OR(V229="&lt;25",B229&gt;1000000),1,IF((T229&gt;=S229),"2b","2a")))))</f>
        <v>3</v>
      </c>
      <c r="Y229" s="22">
        <f>IF(X229="ND","ND",IF(S229="","",IF(input_values!K229&gt;0,input_values!K229,IF(OR(X229=1,X229=3),1,IF((V229&gt;250),5,7)))))</f>
        <v>1</v>
      </c>
      <c r="Z229" s="345" t="str">
        <f t="shared" si="30"/>
        <v/>
      </c>
      <c r="AA229" s="332">
        <f t="shared" si="31"/>
        <v>0</v>
      </c>
      <c r="AB229" s="128">
        <f t="shared" si="35"/>
        <v>1</v>
      </c>
      <c r="AC229" s="345" t="str">
        <f t="shared" si="36"/>
        <v/>
      </c>
      <c r="AD229" s="332">
        <f t="shared" si="32"/>
        <v>0</v>
      </c>
      <c r="AE229" s="40" t="str">
        <f t="shared" si="37"/>
        <v/>
      </c>
      <c r="AF229" s="40" t="str">
        <f t="shared" si="38"/>
        <v/>
      </c>
      <c r="AG229" s="561" t="str">
        <f t="shared" si="33"/>
        <v/>
      </c>
      <c r="AH229" s="561" t="str">
        <f t="shared" si="39"/>
        <v/>
      </c>
      <c r="AI229" s="576"/>
      <c r="AJ229" s="847"/>
    </row>
    <row r="230" spans="1:36" ht="12" customHeight="1" outlineLevel="3" x14ac:dyDescent="0.2">
      <c r="A230" s="39">
        <f>acute_overview_children!A230</f>
        <v>4</v>
      </c>
      <c r="B230" s="23">
        <f>acute_overview_children!B230</f>
        <v>401110</v>
      </c>
      <c r="C230" s="23" t="s">
        <v>754</v>
      </c>
      <c r="D230" s="300">
        <f>Table22[[#This Row],[Level used for acute calculation]]</f>
        <v>4</v>
      </c>
      <c r="E230" s="302">
        <f>Table22[[#This Row],[MRL individual commodity]]</f>
        <v>0</v>
      </c>
      <c r="F230" s="451">
        <f>Table22[[#This Row],[Acute RA input value]]</f>
        <v>0</v>
      </c>
      <c r="G230" s="301" t="str">
        <f>Table22[[#This Row],[Acute RA label]]</f>
        <v/>
      </c>
      <c r="H230" s="303">
        <f>Table22[[#This Row],[Acute RA IESTI new input value]]</f>
        <v>0</v>
      </c>
      <c r="I230" s="301" t="str">
        <f>Table22[[#This Row],[Acute RA IESTI new label]]</f>
        <v/>
      </c>
      <c r="J230" s="65"/>
      <c r="K230" s="304">
        <f>Table22[[#This Row],[GAP under assessment]]</f>
        <v>0</v>
      </c>
      <c r="L230" s="304" t="str">
        <f>IF(input_values!$M230=0,"",input_values!$M230)</f>
        <v/>
      </c>
      <c r="M230" s="301" t="str">
        <f>IF(input_values!H230=0,"",input_values!H230)</f>
        <v/>
      </c>
      <c r="N230" s="304">
        <f>input_values!$K230</f>
        <v>0</v>
      </c>
      <c r="O230" s="339">
        <f>1.6*0.26</f>
        <v>0.41600000000000004</v>
      </c>
      <c r="P230" s="22">
        <v>97.5</v>
      </c>
      <c r="Q230" s="327" t="s">
        <v>334</v>
      </c>
      <c r="R230" s="326">
        <v>67.47</v>
      </c>
      <c r="S230" s="328">
        <f t="shared" si="34"/>
        <v>28.067520000000002</v>
      </c>
      <c r="T230" s="338" t="s">
        <v>617</v>
      </c>
      <c r="U230" s="339" t="s">
        <v>215</v>
      </c>
      <c r="V230" s="338" t="s">
        <v>617</v>
      </c>
      <c r="W230" s="339" t="s">
        <v>215</v>
      </c>
      <c r="X230" s="1173">
        <f>IF(V230="ND","ND",IF(S230="","",IF(OR(MID(C230,1,4)="milk",AND(MID(B230,1,2)="50",NOT(input_values!M230="Y")),AND(MID(B230,1,2)="40",NOT(input_values!M230="Y")),AND(MID(B230,1,2)="30",NOT(input_values!M230="Y"))),3,IF(OR(V230="&lt;25",B230&gt;1000000),1,IF((T230&gt;=S230),"2b","2a")))))</f>
        <v>3</v>
      </c>
      <c r="Y230" s="22">
        <f>IF(X230="ND","ND",IF(S230="","",IF(input_values!K230&gt;0,input_values!K230,IF(OR(X230=1,X230=3),1,IF((V230&gt;250),5,7)))))</f>
        <v>1</v>
      </c>
      <c r="Z230" s="345" t="str">
        <f t="shared" si="30"/>
        <v/>
      </c>
      <c r="AA230" s="332">
        <f t="shared" si="31"/>
        <v>0</v>
      </c>
      <c r="AB230" s="128">
        <f t="shared" si="35"/>
        <v>1</v>
      </c>
      <c r="AC230" s="345" t="str">
        <f t="shared" si="36"/>
        <v/>
      </c>
      <c r="AD230" s="332">
        <f t="shared" si="32"/>
        <v>0</v>
      </c>
      <c r="AE230" s="40" t="str">
        <f t="shared" si="37"/>
        <v/>
      </c>
      <c r="AF230" s="40" t="str">
        <f t="shared" si="38"/>
        <v/>
      </c>
      <c r="AG230" s="561" t="str">
        <f t="shared" si="33"/>
        <v/>
      </c>
      <c r="AH230" s="561" t="str">
        <f t="shared" si="39"/>
        <v/>
      </c>
      <c r="AI230" s="576"/>
      <c r="AJ230" s="847"/>
    </row>
    <row r="231" spans="1:36" ht="12" customHeight="1" outlineLevel="3" x14ac:dyDescent="0.2">
      <c r="A231" s="39">
        <f>acute_overview_children!A231</f>
        <v>4</v>
      </c>
      <c r="B231" s="23">
        <f>acute_overview_children!B231</f>
        <v>401120</v>
      </c>
      <c r="C231" s="23" t="s">
        <v>755</v>
      </c>
      <c r="D231" s="300">
        <f>Table22[[#This Row],[Level used for acute calculation]]</f>
        <v>4</v>
      </c>
      <c r="E231" s="302">
        <f>Table22[[#This Row],[MRL individual commodity]]</f>
        <v>0</v>
      </c>
      <c r="F231" s="451">
        <f>Table22[[#This Row],[Acute RA input value]]</f>
        <v>0</v>
      </c>
      <c r="G231" s="301" t="str">
        <f>Table22[[#This Row],[Acute RA label]]</f>
        <v/>
      </c>
      <c r="H231" s="303">
        <f>Table22[[#This Row],[Acute RA IESTI new input value]]</f>
        <v>0</v>
      </c>
      <c r="I231" s="301" t="str">
        <f>Table22[[#This Row],[Acute RA IESTI new label]]</f>
        <v/>
      </c>
      <c r="J231" s="65"/>
      <c r="K231" s="304">
        <f>Table22[[#This Row],[GAP under assessment]]</f>
        <v>0</v>
      </c>
      <c r="L231" s="304" t="str">
        <f>IF(input_values!$M231=0,"",input_values!$M231)</f>
        <v/>
      </c>
      <c r="M231" s="301" t="str">
        <f>IF(input_values!H231=0,"",input_values!H231)</f>
        <v/>
      </c>
      <c r="N231" s="304">
        <f>input_values!$K231</f>
        <v>0</v>
      </c>
      <c r="O231" s="338">
        <v>0.5</v>
      </c>
      <c r="P231" s="22">
        <v>100</v>
      </c>
      <c r="Q231" s="327" t="s">
        <v>335</v>
      </c>
      <c r="R231" s="326">
        <v>76.38</v>
      </c>
      <c r="S231" s="328">
        <f t="shared" si="34"/>
        <v>38.19</v>
      </c>
      <c r="T231" s="338" t="s">
        <v>617</v>
      </c>
      <c r="U231" s="339" t="s">
        <v>215</v>
      </c>
      <c r="V231" s="338" t="s">
        <v>617</v>
      </c>
      <c r="W231" s="339" t="s">
        <v>215</v>
      </c>
      <c r="X231" s="1173">
        <f>IF(V231="ND","ND",IF(S231="","",IF(OR(MID(C231,1,4)="milk",AND(MID(B231,1,2)="50",NOT(input_values!M231="Y")),AND(MID(B231,1,2)="40",NOT(input_values!M231="Y")),AND(MID(B231,1,2)="30",NOT(input_values!M231="Y"))),3,IF(OR(V231="&lt;25",B231&gt;1000000),1,IF((T231&gt;=S231),"2b","2a")))))</f>
        <v>3</v>
      </c>
      <c r="Y231" s="22">
        <f>IF(X231="ND","ND",IF(S231="","",IF(input_values!K231&gt;0,input_values!K231,IF(OR(X231=1,X231=3),1,IF((V231&gt;250),5,7)))))</f>
        <v>1</v>
      </c>
      <c r="Z231" s="340" t="str">
        <f t="shared" si="30"/>
        <v/>
      </c>
      <c r="AA231" s="332">
        <f t="shared" si="31"/>
        <v>0</v>
      </c>
      <c r="AB231" s="128">
        <f t="shared" si="35"/>
        <v>1</v>
      </c>
      <c r="AC231" s="340" t="str">
        <f t="shared" si="36"/>
        <v/>
      </c>
      <c r="AD231" s="332">
        <f t="shared" si="32"/>
        <v>0</v>
      </c>
      <c r="AE231" s="37" t="str">
        <f t="shared" si="37"/>
        <v/>
      </c>
      <c r="AF231" s="37" t="str">
        <f t="shared" si="38"/>
        <v/>
      </c>
      <c r="AG231" s="561" t="str">
        <f t="shared" si="33"/>
        <v/>
      </c>
      <c r="AH231" s="561" t="str">
        <f t="shared" si="39"/>
        <v/>
      </c>
      <c r="AI231" s="576"/>
      <c r="AJ231" s="847"/>
    </row>
    <row r="232" spans="1:36" ht="12" customHeight="1" outlineLevel="3" x14ac:dyDescent="0.2">
      <c r="A232" s="39">
        <f>acute_overview_children!A232</f>
        <v>4</v>
      </c>
      <c r="B232" s="23">
        <f>acute_overview_children!B232</f>
        <v>401130</v>
      </c>
      <c r="C232" s="23" t="s">
        <v>756</v>
      </c>
      <c r="D232" s="300">
        <f>Table22[[#This Row],[Level used for acute calculation]]</f>
        <v>4</v>
      </c>
      <c r="E232" s="302">
        <f>Table22[[#This Row],[MRL individual commodity]]</f>
        <v>0</v>
      </c>
      <c r="F232" s="451">
        <f>Table22[[#This Row],[Acute RA input value]]</f>
        <v>0</v>
      </c>
      <c r="G232" s="301" t="str">
        <f>Table22[[#This Row],[Acute RA label]]</f>
        <v/>
      </c>
      <c r="H232" s="303">
        <f>Table22[[#This Row],[Acute RA IESTI new input value]]</f>
        <v>0</v>
      </c>
      <c r="I232" s="301" t="str">
        <f>Table22[[#This Row],[Acute RA IESTI new label]]</f>
        <v/>
      </c>
      <c r="J232" s="65"/>
      <c r="K232" s="304">
        <f>Table22[[#This Row],[GAP under assessment]]</f>
        <v>0</v>
      </c>
      <c r="L232" s="304" t="str">
        <f>IF(input_values!$M232=0,"",input_values!$M232)</f>
        <v/>
      </c>
      <c r="M232" s="301" t="str">
        <f>IF(input_values!H232=0,"",input_values!H232)</f>
        <v/>
      </c>
      <c r="N232" s="304">
        <f>input_values!$K232</f>
        <v>0</v>
      </c>
      <c r="O232" s="338" t="s">
        <v>618</v>
      </c>
      <c r="P232" s="22"/>
      <c r="Q232" s="327"/>
      <c r="R232" s="326"/>
      <c r="S232" s="31" t="str">
        <f t="shared" si="34"/>
        <v>ND</v>
      </c>
      <c r="T232" s="338" t="s">
        <v>617</v>
      </c>
      <c r="U232" s="339" t="s">
        <v>215</v>
      </c>
      <c r="V232" s="338" t="s">
        <v>617</v>
      </c>
      <c r="W232" s="339" t="s">
        <v>215</v>
      </c>
      <c r="X232" s="1173">
        <f>IF(V232="ND","ND",IF(S232="","",IF(OR(MID(C232,1,4)="milk",AND(MID(B232,1,2)="50",NOT(input_values!M232="Y")),AND(MID(B232,1,2)="40",NOT(input_values!M232="Y")),AND(MID(B232,1,2)="30",NOT(input_values!M232="Y"))),3,IF(OR(V232="&lt;25",B232&gt;1000000),1,IF((T232&gt;=S232),"2b","2a")))))</f>
        <v>3</v>
      </c>
      <c r="Y232" s="22">
        <f>IF(X232="ND","ND",IF(S232="","",IF(input_values!K232&gt;0,input_values!K232,IF(OR(X232=1,X232=3),1,IF((V232&gt;250),5,7)))))</f>
        <v>1</v>
      </c>
      <c r="Z232" s="340" t="str">
        <f t="shared" si="30"/>
        <v/>
      </c>
      <c r="AA232" s="332">
        <f t="shared" si="31"/>
        <v>0</v>
      </c>
      <c r="AB232" s="128">
        <f t="shared" si="35"/>
        <v>1</v>
      </c>
      <c r="AC232" s="340" t="str">
        <f t="shared" si="36"/>
        <v/>
      </c>
      <c r="AD232" s="332">
        <f t="shared" si="32"/>
        <v>0</v>
      </c>
      <c r="AE232" s="37" t="str">
        <f t="shared" si="37"/>
        <v/>
      </c>
      <c r="AF232" s="37" t="str">
        <f t="shared" si="38"/>
        <v/>
      </c>
      <c r="AG232" s="561" t="str">
        <f t="shared" si="33"/>
        <v/>
      </c>
      <c r="AH232" s="561" t="str">
        <f t="shared" si="39"/>
        <v/>
      </c>
      <c r="AI232" s="576"/>
      <c r="AJ232" s="847"/>
    </row>
    <row r="233" spans="1:36" ht="12" customHeight="1" outlineLevel="3" x14ac:dyDescent="0.2">
      <c r="A233" s="39">
        <f>acute_overview_children!A233</f>
        <v>4</v>
      </c>
      <c r="B233" s="23">
        <f>acute_overview_children!B233</f>
        <v>401140</v>
      </c>
      <c r="C233" s="23" t="s">
        <v>757</v>
      </c>
      <c r="D233" s="300">
        <f>Table22[[#This Row],[Level used for acute calculation]]</f>
        <v>4</v>
      </c>
      <c r="E233" s="302">
        <f>Table22[[#This Row],[MRL individual commodity]]</f>
        <v>0</v>
      </c>
      <c r="F233" s="451">
        <f>Table22[[#This Row],[Acute RA input value]]</f>
        <v>0</v>
      </c>
      <c r="G233" s="301" t="str">
        <f>Table22[[#This Row],[Acute RA label]]</f>
        <v/>
      </c>
      <c r="H233" s="303">
        <f>Table22[[#This Row],[Acute RA IESTI new input value]]</f>
        <v>0</v>
      </c>
      <c r="I233" s="301" t="str">
        <f>Table22[[#This Row],[Acute RA IESTI new label]]</f>
        <v/>
      </c>
      <c r="J233" s="65"/>
      <c r="K233" s="304">
        <f>Table22[[#This Row],[GAP under assessment]]</f>
        <v>0</v>
      </c>
      <c r="L233" s="304" t="str">
        <f>IF(input_values!$M233=0,"",input_values!$M233)</f>
        <v/>
      </c>
      <c r="M233" s="301" t="str">
        <f>IF(input_values!H233=0,"",input_values!H233)</f>
        <v/>
      </c>
      <c r="N233" s="304">
        <f>input_values!$K233</f>
        <v>0</v>
      </c>
      <c r="O233" s="339">
        <v>0.06</v>
      </c>
      <c r="P233" s="22">
        <v>97.5</v>
      </c>
      <c r="Q233" s="327" t="s">
        <v>313</v>
      </c>
      <c r="R233" s="326">
        <v>66.400000000000006</v>
      </c>
      <c r="S233" s="328">
        <f t="shared" si="34"/>
        <v>3.984</v>
      </c>
      <c r="T233" s="338" t="s">
        <v>617</v>
      </c>
      <c r="U233" s="339" t="s">
        <v>215</v>
      </c>
      <c r="V233" s="338" t="s">
        <v>617</v>
      </c>
      <c r="W233" s="339" t="s">
        <v>215</v>
      </c>
      <c r="X233" s="1173">
        <f>IF(V233="ND","ND",IF(S233="","",IF(OR(MID(C233,1,4)="milk",AND(MID(B233,1,2)="50",NOT(input_values!M233="Y")),AND(MID(B233,1,2)="40",NOT(input_values!M233="Y")),AND(MID(B233,1,2)="30",NOT(input_values!M233="Y"))),3,IF(OR(V233="&lt;25",B233&gt;1000000),1,IF((T233&gt;=S233),"2b","2a")))))</f>
        <v>3</v>
      </c>
      <c r="Y233" s="22">
        <f>IF(X233="ND","ND",IF(S233="","",IF(input_values!K233&gt;0,input_values!K233,IF(OR(X233=1,X233=3),1,IF((V233&gt;250),5,7)))))</f>
        <v>1</v>
      </c>
      <c r="Z233" s="345" t="str">
        <f t="shared" si="30"/>
        <v/>
      </c>
      <c r="AA233" s="332">
        <f t="shared" si="31"/>
        <v>0</v>
      </c>
      <c r="AB233" s="128">
        <f t="shared" si="35"/>
        <v>1</v>
      </c>
      <c r="AC233" s="345" t="str">
        <f t="shared" si="36"/>
        <v/>
      </c>
      <c r="AD233" s="332">
        <f t="shared" si="32"/>
        <v>0</v>
      </c>
      <c r="AE233" s="40" t="str">
        <f t="shared" si="37"/>
        <v/>
      </c>
      <c r="AF233" s="40" t="str">
        <f t="shared" si="38"/>
        <v/>
      </c>
      <c r="AG233" s="561" t="str">
        <f t="shared" si="33"/>
        <v/>
      </c>
      <c r="AH233" s="561" t="str">
        <f t="shared" si="39"/>
        <v/>
      </c>
      <c r="AI233" s="576"/>
      <c r="AJ233" s="847"/>
    </row>
    <row r="234" spans="1:36" ht="12" customHeight="1" outlineLevel="3" x14ac:dyDescent="0.2">
      <c r="A234" s="39">
        <f>acute_overview_children!A234</f>
        <v>4</v>
      </c>
      <c r="B234" s="23">
        <f>acute_overview_children!B234</f>
        <v>401150</v>
      </c>
      <c r="C234" s="23" t="s">
        <v>758</v>
      </c>
      <c r="D234" s="300">
        <f>Table22[[#This Row],[Level used for acute calculation]]</f>
        <v>4</v>
      </c>
      <c r="E234" s="302">
        <f>Table22[[#This Row],[MRL individual commodity]]</f>
        <v>0</v>
      </c>
      <c r="F234" s="451">
        <f>Table22[[#This Row],[Acute RA input value]]</f>
        <v>0</v>
      </c>
      <c r="G234" s="301" t="str">
        <f>Table22[[#This Row],[Acute RA label]]</f>
        <v/>
      </c>
      <c r="H234" s="303">
        <f>Table22[[#This Row],[Acute RA IESTI new input value]]</f>
        <v>0</v>
      </c>
      <c r="I234" s="301" t="str">
        <f>Table22[[#This Row],[Acute RA IESTI new label]]</f>
        <v/>
      </c>
      <c r="J234" s="65"/>
      <c r="K234" s="304">
        <f>Table22[[#This Row],[GAP under assessment]]</f>
        <v>0</v>
      </c>
      <c r="L234" s="304" t="str">
        <f>IF(input_values!$M234=0,"",input_values!$M234)</f>
        <v/>
      </c>
      <c r="M234" s="301" t="str">
        <f>IF(input_values!H234=0,"",input_values!H234)</f>
        <v/>
      </c>
      <c r="N234" s="304">
        <f>input_values!$K234</f>
        <v>0</v>
      </c>
      <c r="O234" s="338" t="s">
        <v>618</v>
      </c>
      <c r="P234" s="22"/>
      <c r="Q234" s="327"/>
      <c r="R234" s="326"/>
      <c r="S234" s="31" t="str">
        <f t="shared" si="34"/>
        <v>ND</v>
      </c>
      <c r="T234" s="338" t="s">
        <v>617</v>
      </c>
      <c r="U234" s="339" t="s">
        <v>215</v>
      </c>
      <c r="V234" s="338" t="s">
        <v>617</v>
      </c>
      <c r="W234" s="339" t="s">
        <v>215</v>
      </c>
      <c r="X234" s="1173">
        <f>IF(V234="ND","ND",IF(S234="","",IF(OR(MID(C234,1,4)="milk",AND(MID(B234,1,2)="50",NOT(input_values!M234="Y")),AND(MID(B234,1,2)="40",NOT(input_values!M234="Y")),AND(MID(B234,1,2)="30",NOT(input_values!M234="Y"))),3,IF(OR(V234="&lt;25",B234&gt;1000000),1,IF((T234&gt;=S234),"2b","2a")))))</f>
        <v>3</v>
      </c>
      <c r="Y234" s="22">
        <f>IF(X234="ND","ND",IF(S234="","",IF(input_values!K234&gt;0,input_values!K234,IF(OR(X234=1,X234=3),1,IF((V234&gt;250),5,7)))))</f>
        <v>1</v>
      </c>
      <c r="Z234" s="340" t="str">
        <f t="shared" si="30"/>
        <v/>
      </c>
      <c r="AA234" s="332">
        <f t="shared" si="31"/>
        <v>0</v>
      </c>
      <c r="AB234" s="128">
        <f t="shared" si="35"/>
        <v>1</v>
      </c>
      <c r="AC234" s="340" t="str">
        <f t="shared" si="36"/>
        <v/>
      </c>
      <c r="AD234" s="332">
        <f t="shared" si="32"/>
        <v>0</v>
      </c>
      <c r="AE234" s="37" t="str">
        <f t="shared" si="37"/>
        <v/>
      </c>
      <c r="AF234" s="37" t="str">
        <f t="shared" si="38"/>
        <v/>
      </c>
      <c r="AG234" s="561" t="str">
        <f t="shared" si="33"/>
        <v/>
      </c>
      <c r="AH234" s="561" t="str">
        <f t="shared" si="39"/>
        <v/>
      </c>
      <c r="AI234" s="576"/>
      <c r="AJ234" s="847"/>
    </row>
    <row r="235" spans="1:36" ht="12" customHeight="1" outlineLevel="3" x14ac:dyDescent="0.2">
      <c r="A235" s="39">
        <f>acute_overview_children!A235</f>
        <v>4</v>
      </c>
      <c r="B235" s="23">
        <f>acute_overview_children!B235</f>
        <v>401990</v>
      </c>
      <c r="C235" s="23" t="s">
        <v>178</v>
      </c>
      <c r="D235" s="300">
        <f>Table22[[#This Row],[Level used for acute calculation]]</f>
        <v>0</v>
      </c>
      <c r="E235" s="302">
        <f>Table22[[#This Row],[MRL individual commodity]]</f>
        <v>0</v>
      </c>
      <c r="F235" s="451">
        <f>Table22[[#This Row],[Acute RA input value]]</f>
        <v>0</v>
      </c>
      <c r="G235" s="301">
        <f>Table22[[#This Row],[Acute RA label]]</f>
        <v>0</v>
      </c>
      <c r="H235" s="303">
        <f>Table22[[#This Row],[Acute RA IESTI new input value]]</f>
        <v>0</v>
      </c>
      <c r="I235" s="301">
        <f>Table22[[#This Row],[Acute RA IESTI new label]]</f>
        <v>0</v>
      </c>
      <c r="J235" s="65"/>
      <c r="K235" s="304">
        <f>Table22[[#This Row],[GAP under assessment]]</f>
        <v>0</v>
      </c>
      <c r="L235" s="304" t="str">
        <f>IF(input_values!$M235=0,"",input_values!$M235)</f>
        <v/>
      </c>
      <c r="M235" s="301" t="str">
        <f>IF(input_values!H235=0,"",input_values!H235)</f>
        <v/>
      </c>
      <c r="N235" s="304">
        <f>input_values!$K235</f>
        <v>0</v>
      </c>
      <c r="O235" s="309"/>
      <c r="P235" s="38"/>
      <c r="Q235" s="306"/>
      <c r="R235" s="309"/>
      <c r="S235" s="336" t="str">
        <f t="shared" si="34"/>
        <v/>
      </c>
      <c r="T235" s="305"/>
      <c r="U235" s="309"/>
      <c r="V235" s="305"/>
      <c r="W235" s="309"/>
      <c r="X235" s="611" t="str">
        <f>IF(V235="ND","ND",IF(S235="","",IF(OR(MID(C235,1,4)="milk",AND(MID(B235,1,2)="50",NOT(input_values!M235="Y")),AND(MID(B235,1,2)="40",NOT(input_values!M235="Y")),AND(MID(B235,1,2)="30",NOT(input_values!M235="Y"))),3,IF(OR(V235="&lt;25",B235&gt;1000000),1,IF((T235&gt;=S235),"2b","2a")))))</f>
        <v/>
      </c>
      <c r="Y235" s="38" t="str">
        <f>IF(X235="ND","ND",IF(S235="","",IF(input_values!K235&gt;0,input_values!K235,IF(OR(X235=1,X235=3),1,IF((V235&gt;250),5,7)))))</f>
        <v/>
      </c>
      <c r="Z235" s="335" t="str">
        <f t="shared" si="30"/>
        <v/>
      </c>
      <c r="AA235" s="311">
        <f t="shared" si="31"/>
        <v>0</v>
      </c>
      <c r="AB235" s="38" t="str">
        <f t="shared" si="35"/>
        <v/>
      </c>
      <c r="AC235" s="335" t="str">
        <f t="shared" si="36"/>
        <v/>
      </c>
      <c r="AD235" s="311">
        <f t="shared" si="32"/>
        <v>0</v>
      </c>
      <c r="AE235" s="344" t="str">
        <f t="shared" si="37"/>
        <v/>
      </c>
      <c r="AF235" s="344" t="str">
        <f t="shared" si="38"/>
        <v/>
      </c>
      <c r="AG235" s="561" t="str">
        <f t="shared" si="33"/>
        <v/>
      </c>
      <c r="AH235" s="561" t="str">
        <f t="shared" si="39"/>
        <v/>
      </c>
      <c r="AI235" s="576"/>
      <c r="AJ235" s="847"/>
    </row>
    <row r="236" spans="1:36" outlineLevel="1" x14ac:dyDescent="0.2">
      <c r="A236" s="130">
        <f>acute_overview_children!A236</f>
        <v>2</v>
      </c>
      <c r="B236" s="131">
        <f>acute_overview_children!B236</f>
        <v>402000</v>
      </c>
      <c r="C236" s="131" t="s">
        <v>759</v>
      </c>
      <c r="D236" s="300">
        <f>Table22[[#This Row],[Level used for acute calculation]]</f>
        <v>4</v>
      </c>
      <c r="E236" s="302">
        <f>Table22[[#This Row],[MRL individual commodity]]</f>
        <v>0</v>
      </c>
      <c r="F236" s="451">
        <f>Table22[[#This Row],[Acute RA input value]]</f>
        <v>0</v>
      </c>
      <c r="G236" s="301">
        <f>Table22[[#This Row],[Acute RA label]]</f>
        <v>0</v>
      </c>
      <c r="H236" s="303">
        <f>Table22[[#This Row],[Acute RA IESTI new input value]]</f>
        <v>0</v>
      </c>
      <c r="I236" s="301">
        <f>Table22[[#This Row],[Acute RA IESTI new label]]</f>
        <v>0</v>
      </c>
      <c r="J236" s="65"/>
      <c r="K236" s="304">
        <f>Table22[[#This Row],[GAP under assessment]]</f>
        <v>0</v>
      </c>
      <c r="L236" s="304" t="str">
        <f>IF(input_values!$M236=0,"",input_values!$M236)</f>
        <v/>
      </c>
      <c r="M236" s="301" t="str">
        <f>IF(input_values!H236=0,"",input_values!H236)</f>
        <v/>
      </c>
      <c r="N236" s="304">
        <f>input_values!$K236</f>
        <v>0</v>
      </c>
      <c r="O236" s="309"/>
      <c r="P236" s="38"/>
      <c r="Q236" s="306"/>
      <c r="R236" s="309"/>
      <c r="S236" s="336" t="str">
        <f t="shared" si="34"/>
        <v/>
      </c>
      <c r="T236" s="315"/>
      <c r="U236" s="320"/>
      <c r="V236" s="315"/>
      <c r="W236" s="320"/>
      <c r="X236" s="611" t="str">
        <f>IF(V236="ND","ND",IF(S236="","",IF(OR(MID(C236,1,4)="milk",AND(MID(B236,1,2)="50",NOT(input_values!M236="Y")),AND(MID(B236,1,2)="40",NOT(input_values!M236="Y")),AND(MID(B236,1,2)="30",NOT(input_values!M236="Y"))),3,IF(OR(V236="&lt;25",B236&gt;1000000),1,IF((T236&gt;=S236),"2b","2a")))))</f>
        <v/>
      </c>
      <c r="Y236" s="38" t="str">
        <f>IF(X236="ND","ND",IF(S236="","",IF(input_values!K236&gt;0,input_values!K236,IF(OR(X236=1,X236=3),1,IF((V236&gt;250),5,7)))))</f>
        <v/>
      </c>
      <c r="Z236" s="335" t="str">
        <f t="shared" si="30"/>
        <v/>
      </c>
      <c r="AA236" s="311">
        <f t="shared" si="31"/>
        <v>0</v>
      </c>
      <c r="AB236" s="38" t="str">
        <f t="shared" si="35"/>
        <v/>
      </c>
      <c r="AC236" s="335" t="str">
        <f t="shared" si="36"/>
        <v/>
      </c>
      <c r="AD236" s="311">
        <f t="shared" si="32"/>
        <v>0</v>
      </c>
      <c r="AE236" s="344" t="str">
        <f t="shared" si="37"/>
        <v/>
      </c>
      <c r="AF236" s="344" t="str">
        <f t="shared" si="38"/>
        <v/>
      </c>
      <c r="AG236" s="561" t="str">
        <f t="shared" si="33"/>
        <v/>
      </c>
      <c r="AH236" s="561" t="str">
        <f t="shared" si="39"/>
        <v/>
      </c>
      <c r="AI236" s="576"/>
      <c r="AJ236" s="847"/>
    </row>
    <row r="237" spans="1:36" ht="12" customHeight="1" outlineLevel="2" x14ac:dyDescent="0.2">
      <c r="A237" s="39">
        <f>acute_overview_children!A237</f>
        <v>4</v>
      </c>
      <c r="B237" s="23">
        <f>acute_overview_children!B237</f>
        <v>402010</v>
      </c>
      <c r="C237" s="23" t="s">
        <v>155</v>
      </c>
      <c r="D237" s="300">
        <f>Table22[[#This Row],[Level used for acute calculation]]</f>
        <v>4</v>
      </c>
      <c r="E237" s="302">
        <f>Table22[[#This Row],[MRL individual commodity]]</f>
        <v>0</v>
      </c>
      <c r="F237" s="451">
        <f>Table22[[#This Row],[Acute RA input value]]</f>
        <v>0</v>
      </c>
      <c r="G237" s="301" t="str">
        <f>Table22[[#This Row],[Acute RA label]]</f>
        <v/>
      </c>
      <c r="H237" s="303">
        <f>Table22[[#This Row],[Acute RA IESTI new input value]]</f>
        <v>0</v>
      </c>
      <c r="I237" s="301" t="str">
        <f>Table22[[#This Row],[Acute RA IESTI new label]]</f>
        <v/>
      </c>
      <c r="J237" s="65"/>
      <c r="K237" s="304">
        <f>Table22[[#This Row],[GAP under assessment]]</f>
        <v>0</v>
      </c>
      <c r="L237" s="304" t="str">
        <f>IF(input_values!$M237=0,"",input_values!$M237)</f>
        <v/>
      </c>
      <c r="M237" s="301" t="str">
        <f>IF(input_values!H237=0,"",input_values!H237)</f>
        <v/>
      </c>
      <c r="N237" s="304">
        <f>input_values!$K237</f>
        <v>0</v>
      </c>
      <c r="O237" s="326">
        <v>0.77659999999999996</v>
      </c>
      <c r="P237" s="22">
        <v>97.5</v>
      </c>
      <c r="Q237" s="327" t="s">
        <v>0</v>
      </c>
      <c r="R237" s="326">
        <v>68.48</v>
      </c>
      <c r="S237" s="328">
        <f t="shared" si="34"/>
        <v>53.181567999999999</v>
      </c>
      <c r="T237" s="338" t="s">
        <v>617</v>
      </c>
      <c r="U237" s="339" t="s">
        <v>215</v>
      </c>
      <c r="V237" s="338" t="s">
        <v>617</v>
      </c>
      <c r="W237" s="339" t="s">
        <v>215</v>
      </c>
      <c r="X237" s="1173">
        <f>IF(V237="ND","ND",IF(S237="","",IF(OR(MID(C237,1,4)="milk",AND(MID(B237,1,2)="50",NOT(input_values!M237="Y")),AND(MID(B237,1,2)="40",NOT(input_values!M237="Y")),AND(MID(B237,1,2)="30",NOT(input_values!M237="Y"))),3,IF(OR(V237="&lt;25",B237&gt;1000000),1,IF((T237&gt;=S237),"2b","2a")))))</f>
        <v>3</v>
      </c>
      <c r="Y237" s="22">
        <f>IF(X237="ND","ND",IF(S237="","",IF(input_values!K237&gt;0,input_values!K237,IF(OR(X237=1,X237=3),1,IF((V237&gt;250),5,7)))))</f>
        <v>1</v>
      </c>
      <c r="Z237" s="330" t="str">
        <f t="shared" si="30"/>
        <v/>
      </c>
      <c r="AA237" s="331">
        <f t="shared" si="31"/>
        <v>0</v>
      </c>
      <c r="AB237" s="128">
        <f t="shared" si="35"/>
        <v>1</v>
      </c>
      <c r="AC237" s="330" t="str">
        <f t="shared" si="36"/>
        <v/>
      </c>
      <c r="AD237" s="332">
        <f t="shared" si="32"/>
        <v>0</v>
      </c>
      <c r="AE237" s="333" t="str">
        <f t="shared" si="37"/>
        <v/>
      </c>
      <c r="AF237" s="333" t="str">
        <f t="shared" si="38"/>
        <v/>
      </c>
      <c r="AG237" s="561" t="str">
        <f t="shared" si="33"/>
        <v/>
      </c>
      <c r="AH237" s="561" t="str">
        <f t="shared" si="39"/>
        <v/>
      </c>
      <c r="AI237" s="576"/>
      <c r="AJ237" s="847"/>
    </row>
    <row r="238" spans="1:36" ht="12" customHeight="1" outlineLevel="2" x14ac:dyDescent="0.2">
      <c r="A238" s="39">
        <f>acute_overview_children!A238</f>
        <v>4</v>
      </c>
      <c r="B238" s="23">
        <f>acute_overview_children!B238</f>
        <v>402020</v>
      </c>
      <c r="C238" s="23" t="s">
        <v>760</v>
      </c>
      <c r="D238" s="300">
        <f>Table22[[#This Row],[Level used for acute calculation]]</f>
        <v>4</v>
      </c>
      <c r="E238" s="302">
        <f>Table22[[#This Row],[MRL individual commodity]]</f>
        <v>0</v>
      </c>
      <c r="F238" s="451">
        <f>Table22[[#This Row],[Acute RA input value]]</f>
        <v>0</v>
      </c>
      <c r="G238" s="301" t="str">
        <f>Table22[[#This Row],[Acute RA label]]</f>
        <v/>
      </c>
      <c r="H238" s="303">
        <f>Table22[[#This Row],[Acute RA IESTI new input value]]</f>
        <v>0</v>
      </c>
      <c r="I238" s="301" t="str">
        <f>Table22[[#This Row],[Acute RA IESTI new label]]</f>
        <v/>
      </c>
      <c r="J238" s="65"/>
      <c r="K238" s="304">
        <f>Table22[[#This Row],[GAP under assessment]]</f>
        <v>0</v>
      </c>
      <c r="L238" s="304" t="str">
        <f>IF(input_values!$M238=0,"",input_values!$M238)</f>
        <v/>
      </c>
      <c r="M238" s="301" t="str">
        <f>IF(input_values!H238=0,"",input_values!H238)</f>
        <v/>
      </c>
      <c r="N238" s="304">
        <f>input_values!$K238</f>
        <v>0</v>
      </c>
      <c r="O238" s="339">
        <f>2*0.32</f>
        <v>0.64</v>
      </c>
      <c r="P238" s="22">
        <v>97.5</v>
      </c>
      <c r="Q238" s="327" t="s">
        <v>335</v>
      </c>
      <c r="R238" s="326">
        <v>76.38</v>
      </c>
      <c r="S238" s="328">
        <f t="shared" si="34"/>
        <v>48.883199999999995</v>
      </c>
      <c r="T238" s="338" t="s">
        <v>617</v>
      </c>
      <c r="U238" s="326" t="s">
        <v>651</v>
      </c>
      <c r="V238" s="338" t="s">
        <v>617</v>
      </c>
      <c r="W238" s="326" t="s">
        <v>651</v>
      </c>
      <c r="X238" s="1173">
        <f>IF(V238="ND","ND",IF(S238="","",IF(OR(MID(C238,1,4)="milk",AND(MID(B238,1,2)="50",NOT(input_values!M238="Y")),AND(MID(B238,1,2)="40",NOT(input_values!M238="Y")),AND(MID(B238,1,2)="30",NOT(input_values!M238="Y"))),3,IF(OR(V238="&lt;25",B238&gt;1000000),1,IF((T238&gt;=S238),"2b","2a")))))</f>
        <v>3</v>
      </c>
      <c r="Y238" s="22">
        <f>IF(X238="ND","ND",IF(S238="","",IF(input_values!K238&gt;0,input_values!K238,IF(OR(X238=1,X238=3),1,IF((V238&gt;250),5,7)))))</f>
        <v>1</v>
      </c>
      <c r="Z238" s="345" t="str">
        <f t="shared" si="30"/>
        <v/>
      </c>
      <c r="AA238" s="332">
        <f t="shared" si="31"/>
        <v>0</v>
      </c>
      <c r="AB238" s="128">
        <f t="shared" si="35"/>
        <v>1</v>
      </c>
      <c r="AC238" s="345" t="str">
        <f t="shared" si="36"/>
        <v/>
      </c>
      <c r="AD238" s="332">
        <f t="shared" si="32"/>
        <v>0</v>
      </c>
      <c r="AE238" s="40" t="str">
        <f t="shared" si="37"/>
        <v/>
      </c>
      <c r="AF238" s="40" t="str">
        <f t="shared" si="38"/>
        <v/>
      </c>
      <c r="AG238" s="561" t="str">
        <f t="shared" si="33"/>
        <v/>
      </c>
      <c r="AH238" s="561" t="str">
        <f t="shared" si="39"/>
        <v/>
      </c>
      <c r="AI238" s="576"/>
      <c r="AJ238" s="847"/>
    </row>
    <row r="239" spans="1:36" ht="12" customHeight="1" outlineLevel="2" x14ac:dyDescent="0.2">
      <c r="A239" s="39">
        <f>acute_overview_children!A239</f>
        <v>4</v>
      </c>
      <c r="B239" s="23">
        <f>acute_overview_children!B239</f>
        <v>402030</v>
      </c>
      <c r="C239" s="23" t="s">
        <v>761</v>
      </c>
      <c r="D239" s="300">
        <f>Table22[[#This Row],[Level used for acute calculation]]</f>
        <v>4</v>
      </c>
      <c r="E239" s="302">
        <f>Table22[[#This Row],[MRL individual commodity]]</f>
        <v>0</v>
      </c>
      <c r="F239" s="451">
        <f>Table22[[#This Row],[Acute RA input value]]</f>
        <v>0</v>
      </c>
      <c r="G239" s="301" t="str">
        <f>Table22[[#This Row],[Acute RA label]]</f>
        <v/>
      </c>
      <c r="H239" s="303">
        <f>Table22[[#This Row],[Acute RA IESTI new input value]]</f>
        <v>0</v>
      </c>
      <c r="I239" s="301" t="str">
        <f>Table22[[#This Row],[Acute RA IESTI new label]]</f>
        <v/>
      </c>
      <c r="J239" s="65"/>
      <c r="K239" s="304">
        <f>Table22[[#This Row],[GAP under assessment]]</f>
        <v>0</v>
      </c>
      <c r="L239" s="304" t="str">
        <f>IF(input_values!$M239=0,"",input_values!$M239)</f>
        <v/>
      </c>
      <c r="M239" s="301" t="str">
        <f>IF(input_values!H239=0,"",input_values!H239)</f>
        <v/>
      </c>
      <c r="N239" s="304">
        <f>input_values!$K239</f>
        <v>0</v>
      </c>
      <c r="O239" s="338">
        <v>4.3990573448546746</v>
      </c>
      <c r="P239" s="22">
        <v>97.5</v>
      </c>
      <c r="Q239" s="327" t="s">
        <v>335</v>
      </c>
      <c r="R239" s="326">
        <v>76.38</v>
      </c>
      <c r="S239" s="328">
        <f t="shared" si="34"/>
        <v>336</v>
      </c>
      <c r="T239" s="338"/>
      <c r="U239" s="326"/>
      <c r="V239" s="338" t="s">
        <v>618</v>
      </c>
      <c r="W239" s="326"/>
      <c r="X239" s="1173">
        <v>3</v>
      </c>
      <c r="Y239" s="22">
        <v>1</v>
      </c>
      <c r="Z239" s="340" t="str">
        <f t="shared" si="30"/>
        <v/>
      </c>
      <c r="AA239" s="332">
        <f t="shared" si="31"/>
        <v>0</v>
      </c>
      <c r="AB239" s="128">
        <f t="shared" si="35"/>
        <v>1</v>
      </c>
      <c r="AC239" s="340" t="str">
        <f t="shared" si="36"/>
        <v/>
      </c>
      <c r="AD239" s="332">
        <f t="shared" si="32"/>
        <v>0</v>
      </c>
      <c r="AE239" s="37" t="str">
        <f t="shared" si="37"/>
        <v/>
      </c>
      <c r="AF239" s="37" t="str">
        <f t="shared" si="38"/>
        <v/>
      </c>
      <c r="AG239" s="561" t="str">
        <f t="shared" si="33"/>
        <v/>
      </c>
      <c r="AH239" s="561" t="str">
        <f t="shared" si="39"/>
        <v/>
      </c>
      <c r="AI239" s="576"/>
      <c r="AJ239" s="847"/>
    </row>
    <row r="240" spans="1:36" ht="12" customHeight="1" outlineLevel="2" x14ac:dyDescent="0.2">
      <c r="A240" s="39">
        <f>acute_overview_children!A240</f>
        <v>4</v>
      </c>
      <c r="B240" s="23">
        <f>acute_overview_children!B240</f>
        <v>402040</v>
      </c>
      <c r="C240" s="23" t="s">
        <v>156</v>
      </c>
      <c r="D240" s="300">
        <f>Table22[[#This Row],[Level used for acute calculation]]</f>
        <v>4</v>
      </c>
      <c r="E240" s="302">
        <f>Table22[[#This Row],[MRL individual commodity]]</f>
        <v>0</v>
      </c>
      <c r="F240" s="451">
        <f>Table22[[#This Row],[Acute RA input value]]</f>
        <v>0</v>
      </c>
      <c r="G240" s="301" t="str">
        <f>Table22[[#This Row],[Acute RA label]]</f>
        <v/>
      </c>
      <c r="H240" s="303">
        <f>Table22[[#This Row],[Acute RA IESTI new input value]]</f>
        <v>0</v>
      </c>
      <c r="I240" s="301" t="str">
        <f>Table22[[#This Row],[Acute RA IESTI new label]]</f>
        <v/>
      </c>
      <c r="J240" s="65"/>
      <c r="K240" s="304">
        <f>Table22[[#This Row],[GAP under assessment]]</f>
        <v>0</v>
      </c>
      <c r="L240" s="304" t="str">
        <f>IF(input_values!$M240=0,"",input_values!$M240)</f>
        <v/>
      </c>
      <c r="M240" s="301" t="str">
        <f>IF(input_values!H240=0,"",input_values!H240)</f>
        <v/>
      </c>
      <c r="N240" s="304">
        <f>input_values!$K240</f>
        <v>0</v>
      </c>
      <c r="O240" s="338" t="s">
        <v>618</v>
      </c>
      <c r="P240" s="22"/>
      <c r="Q240" s="327"/>
      <c r="R240" s="326"/>
      <c r="S240" s="31" t="str">
        <f t="shared" si="34"/>
        <v>ND</v>
      </c>
      <c r="T240" s="338" t="s">
        <v>618</v>
      </c>
      <c r="U240" s="326"/>
      <c r="V240" s="338" t="s">
        <v>618</v>
      </c>
      <c r="W240" s="326"/>
      <c r="X240" s="460" t="str">
        <f>IF(V240="ND","ND",IF(S240="","",IF(OR(MID(C240,1,4)="milk",AND(MID(B240,1,2)="50",NOT(input_values!M240="Y")),AND(MID(B240,1,2)="40",NOT(input_values!M240="Y")),AND(MID(B240,1,2)="30",NOT(input_values!M240="Y"))),3,IF(OR(V240="&lt;25",B240&gt;1000000),1,IF((T240&gt;=S240),"2b","2a")))))</f>
        <v>ND</v>
      </c>
      <c r="Y240" s="22" t="str">
        <f>IF(X240="ND","ND",IF(S240="","",IF(input_values!K240&gt;0,input_values!K240,IF(OR(X240=1,X240=3),1,IF((V240&gt;250),5,7)))))</f>
        <v>ND</v>
      </c>
      <c r="Z240" s="340" t="str">
        <f t="shared" si="30"/>
        <v/>
      </c>
      <c r="AA240" s="332">
        <f t="shared" si="31"/>
        <v>0</v>
      </c>
      <c r="AB240" s="128" t="str">
        <f t="shared" si="35"/>
        <v>ND</v>
      </c>
      <c r="AC240" s="340" t="str">
        <f t="shared" si="36"/>
        <v/>
      </c>
      <c r="AD240" s="332">
        <f t="shared" si="32"/>
        <v>0</v>
      </c>
      <c r="AE240" s="37" t="str">
        <f t="shared" si="37"/>
        <v/>
      </c>
      <c r="AF240" s="37" t="str">
        <f t="shared" si="38"/>
        <v/>
      </c>
      <c r="AG240" s="561" t="str">
        <f t="shared" si="33"/>
        <v/>
      </c>
      <c r="AH240" s="561" t="str">
        <f t="shared" si="39"/>
        <v/>
      </c>
      <c r="AI240" s="576"/>
      <c r="AJ240" s="847"/>
    </row>
    <row r="241" spans="1:36" ht="12" customHeight="1" outlineLevel="2" x14ac:dyDescent="0.2">
      <c r="A241" s="39">
        <f>acute_overview_children!A241</f>
        <v>4</v>
      </c>
      <c r="B241" s="23">
        <f>acute_overview_children!B241</f>
        <v>402990</v>
      </c>
      <c r="C241" s="23" t="s">
        <v>179</v>
      </c>
      <c r="D241" s="300">
        <f>Table22[[#This Row],[Level used for acute calculation]]</f>
        <v>0</v>
      </c>
      <c r="E241" s="302">
        <f>Table22[[#This Row],[MRL individual commodity]]</f>
        <v>0</v>
      </c>
      <c r="F241" s="451">
        <f>Table22[[#This Row],[Acute RA input value]]</f>
        <v>0</v>
      </c>
      <c r="G241" s="301">
        <f>Table22[[#This Row],[Acute RA label]]</f>
        <v>0</v>
      </c>
      <c r="H241" s="303">
        <f>Table22[[#This Row],[Acute RA IESTI new input value]]</f>
        <v>0</v>
      </c>
      <c r="I241" s="301">
        <f>Table22[[#This Row],[Acute RA IESTI new label]]</f>
        <v>0</v>
      </c>
      <c r="J241" s="65"/>
      <c r="K241" s="304">
        <f>Table22[[#This Row],[GAP under assessment]]</f>
        <v>0</v>
      </c>
      <c r="L241" s="304" t="str">
        <f>IF(input_values!$M241=0,"",input_values!$M241)</f>
        <v/>
      </c>
      <c r="M241" s="301" t="str">
        <f>IF(input_values!H241=0,"",input_values!H241)</f>
        <v/>
      </c>
      <c r="N241" s="304">
        <f>input_values!$K241</f>
        <v>0</v>
      </c>
      <c r="O241" s="309"/>
      <c r="P241" s="38"/>
      <c r="Q241" s="306"/>
      <c r="R241" s="309"/>
      <c r="S241" s="336" t="str">
        <f t="shared" si="34"/>
        <v/>
      </c>
      <c r="T241" s="305"/>
      <c r="U241" s="309"/>
      <c r="V241" s="305"/>
      <c r="W241" s="309"/>
      <c r="X241" s="611" t="str">
        <f>IF(V241="ND","ND",IF(S241="","",IF(OR(MID(C241,1,4)="milk",AND(MID(B241,1,2)="50",NOT(input_values!M241="Y")),AND(MID(B241,1,2)="40",NOT(input_values!M241="Y")),AND(MID(B241,1,2)="30",NOT(input_values!M241="Y"))),3,IF(OR(V241="&lt;25",B241&gt;1000000),1,IF((T241&gt;=S241),"2b","2a")))))</f>
        <v/>
      </c>
      <c r="Y241" s="38" t="str">
        <f>IF(X241="ND","ND",IF(S241="","",IF(input_values!K241&gt;0,input_values!K241,IF(OR(X241=1,X241=3),1,IF((V241&gt;250),5,7)))))</f>
        <v/>
      </c>
      <c r="Z241" s="335" t="str">
        <f t="shared" si="30"/>
        <v/>
      </c>
      <c r="AA241" s="311">
        <f t="shared" si="31"/>
        <v>0</v>
      </c>
      <c r="AB241" s="38" t="str">
        <f t="shared" si="35"/>
        <v/>
      </c>
      <c r="AC241" s="335" t="str">
        <f t="shared" si="36"/>
        <v/>
      </c>
      <c r="AD241" s="311">
        <f t="shared" si="32"/>
        <v>0</v>
      </c>
      <c r="AE241" s="344" t="str">
        <f t="shared" si="37"/>
        <v/>
      </c>
      <c r="AF241" s="344" t="str">
        <f t="shared" si="38"/>
        <v/>
      </c>
      <c r="AG241" s="561" t="str">
        <f t="shared" si="33"/>
        <v/>
      </c>
      <c r="AH241" s="561" t="str">
        <f t="shared" si="39"/>
        <v/>
      </c>
      <c r="AI241" s="576"/>
      <c r="AJ241" s="847"/>
    </row>
    <row r="242" spans="1:36" x14ac:dyDescent="0.2">
      <c r="A242" s="126">
        <f>acute_overview_children!A242</f>
        <v>1</v>
      </c>
      <c r="B242" s="127">
        <f>acute_overview_children!B242</f>
        <v>500000</v>
      </c>
      <c r="C242" s="127" t="s">
        <v>142</v>
      </c>
      <c r="D242" s="300">
        <f>Table22[[#This Row],[Level used for acute calculation]]</f>
        <v>4</v>
      </c>
      <c r="E242" s="302">
        <f>Table22[[#This Row],[MRL individual commodity]]</f>
        <v>0</v>
      </c>
      <c r="F242" s="451">
        <f>Table22[[#This Row],[Acute RA input value]]</f>
        <v>0</v>
      </c>
      <c r="G242" s="301">
        <f>Table22[[#This Row],[Acute RA label]]</f>
        <v>0</v>
      </c>
      <c r="H242" s="303">
        <f>Table22[[#This Row],[Acute RA IESTI new input value]]</f>
        <v>0</v>
      </c>
      <c r="I242" s="301">
        <f>Table22[[#This Row],[Acute RA IESTI new label]]</f>
        <v>0</v>
      </c>
      <c r="J242" s="65"/>
      <c r="K242" s="304">
        <f>Table22[[#This Row],[GAP under assessment]]</f>
        <v>0</v>
      </c>
      <c r="L242" s="304" t="str">
        <f>IF(input_values!$M242=0,"",input_values!$M242)</f>
        <v/>
      </c>
      <c r="M242" s="301" t="str">
        <f>IF(input_values!H242=0,"",input_values!H242)</f>
        <v/>
      </c>
      <c r="N242" s="304">
        <f>input_values!$K242</f>
        <v>0</v>
      </c>
      <c r="O242" s="309"/>
      <c r="P242" s="38"/>
      <c r="Q242" s="306"/>
      <c r="R242" s="309"/>
      <c r="S242" s="336" t="str">
        <f t="shared" si="34"/>
        <v/>
      </c>
      <c r="T242" s="305"/>
      <c r="U242" s="309"/>
      <c r="V242" s="305"/>
      <c r="W242" s="309"/>
      <c r="X242" s="611" t="str">
        <f>IF(V242="ND","ND",IF(S242="","",IF(OR(MID(C242,1,4)="milk",AND(MID(B242,1,2)="50",NOT(input_values!M242="Y")),AND(MID(B242,1,2)="40",NOT(input_values!M242="Y")),AND(MID(B242,1,2)="30",NOT(input_values!M242="Y"))),3,IF(OR(V242="&lt;25",B242&gt;1000000),1,IF((T242&gt;=S242),"2b","2a")))))</f>
        <v/>
      </c>
      <c r="Y242" s="38" t="str">
        <f>IF(X242="ND","ND",IF(S242="","",IF(input_values!K242&gt;0,input_values!K242,IF(OR(X242=1,X242=3),1,IF((V242&gt;250),5,7)))))</f>
        <v/>
      </c>
      <c r="Z242" s="335" t="str">
        <f t="shared" si="30"/>
        <v/>
      </c>
      <c r="AA242" s="311">
        <f t="shared" si="31"/>
        <v>0</v>
      </c>
      <c r="AB242" s="38" t="str">
        <f t="shared" si="35"/>
        <v/>
      </c>
      <c r="AC242" s="335" t="str">
        <f t="shared" si="36"/>
        <v/>
      </c>
      <c r="AD242" s="311">
        <f t="shared" si="32"/>
        <v>0</v>
      </c>
      <c r="AE242" s="344" t="str">
        <f t="shared" si="37"/>
        <v/>
      </c>
      <c r="AF242" s="344" t="str">
        <f t="shared" si="38"/>
        <v/>
      </c>
      <c r="AG242" s="561" t="str">
        <f t="shared" si="33"/>
        <v/>
      </c>
      <c r="AH242" s="561" t="str">
        <f t="shared" si="39"/>
        <v/>
      </c>
      <c r="AI242" s="576"/>
      <c r="AJ242" s="847"/>
    </row>
    <row r="243" spans="1:36" ht="12" customHeight="1" outlineLevel="3" x14ac:dyDescent="0.2">
      <c r="A243" s="39">
        <f>acute_overview_children!A243</f>
        <v>4</v>
      </c>
      <c r="B243" s="23">
        <f>acute_overview_children!B243</f>
        <v>500010</v>
      </c>
      <c r="C243" s="23" t="s">
        <v>157</v>
      </c>
      <c r="D243" s="300">
        <f>Table22[[#This Row],[Level used for acute calculation]]</f>
        <v>4</v>
      </c>
      <c r="E243" s="302">
        <f>Table22[[#This Row],[MRL individual commodity]]</f>
        <v>0</v>
      </c>
      <c r="F243" s="451">
        <f>Table22[[#This Row],[Acute RA input value]]</f>
        <v>0</v>
      </c>
      <c r="G243" s="301" t="str">
        <f>Table22[[#This Row],[Acute RA label]]</f>
        <v/>
      </c>
      <c r="H243" s="303">
        <f>Table22[[#This Row],[Acute RA IESTI new input value]]</f>
        <v>0</v>
      </c>
      <c r="I243" s="301" t="str">
        <f>Table22[[#This Row],[Acute RA IESTI new label]]</f>
        <v/>
      </c>
      <c r="J243" s="65"/>
      <c r="K243" s="304">
        <f>Table22[[#This Row],[GAP under assessment]]</f>
        <v>0</v>
      </c>
      <c r="L243" s="304" t="str">
        <f>IF(input_values!$M243=0,"",input_values!$M243)</f>
        <v/>
      </c>
      <c r="M243" s="301" t="str">
        <f>IF(input_values!H243=0,"",input_values!H243)</f>
        <v/>
      </c>
      <c r="N243" s="304">
        <f>input_values!$K243</f>
        <v>0</v>
      </c>
      <c r="O243" s="326">
        <f>5.2*0.93</f>
        <v>4.8360000000000003</v>
      </c>
      <c r="P243" s="22">
        <v>97.5</v>
      </c>
      <c r="Q243" s="327" t="s">
        <v>335</v>
      </c>
      <c r="R243" s="326">
        <v>76.38</v>
      </c>
      <c r="S243" s="328">
        <f t="shared" si="34"/>
        <v>369.37367999999998</v>
      </c>
      <c r="T243" s="338" t="s">
        <v>617</v>
      </c>
      <c r="U243" s="339" t="s">
        <v>215</v>
      </c>
      <c r="V243" s="338" t="s">
        <v>617</v>
      </c>
      <c r="W243" s="339" t="s">
        <v>215</v>
      </c>
      <c r="X243" s="1173">
        <f>IF(V243="ND","ND",IF(S243="","",IF(OR(MID(C243,1,4)="milk",AND(MID(B243,1,2)="50",NOT(input_values!M243="Y")),AND(MID(B243,1,2)="40",NOT(input_values!M243="Y")),AND(MID(B243,1,2)="30",NOT(input_values!M243="Y"))),3,IF(OR(V243="&lt;25",B243&gt;1000000),1,IF((T243&gt;=S243),"2b","2a")))))</f>
        <v>3</v>
      </c>
      <c r="Y243" s="22">
        <f>IF(X243="ND","ND",IF(S243="","",IF(input_values!K243&gt;0,input_values!K243,IF(OR(X243=1,X243=3),1,IF((V243&gt;250),5,7)))))</f>
        <v>1</v>
      </c>
      <c r="Z243" s="330" t="str">
        <f t="shared" si="30"/>
        <v/>
      </c>
      <c r="AA243" s="331">
        <f t="shared" si="31"/>
        <v>0</v>
      </c>
      <c r="AB243" s="128">
        <f t="shared" si="35"/>
        <v>1</v>
      </c>
      <c r="AC243" s="330" t="str">
        <f t="shared" si="36"/>
        <v/>
      </c>
      <c r="AD243" s="332">
        <f t="shared" si="32"/>
        <v>0</v>
      </c>
      <c r="AE243" s="333" t="str">
        <f t="shared" si="37"/>
        <v/>
      </c>
      <c r="AF243" s="333" t="str">
        <f t="shared" si="38"/>
        <v/>
      </c>
      <c r="AG243" s="561" t="str">
        <f t="shared" si="33"/>
        <v/>
      </c>
      <c r="AH243" s="561" t="str">
        <f t="shared" si="39"/>
        <v/>
      </c>
      <c r="AI243" s="576"/>
      <c r="AJ243" s="847"/>
    </row>
    <row r="244" spans="1:36" ht="12" customHeight="1" outlineLevel="3" x14ac:dyDescent="0.2">
      <c r="A244" s="39">
        <f>acute_overview_children!A244</f>
        <v>4</v>
      </c>
      <c r="B244" s="23">
        <f>acute_overview_children!B244</f>
        <v>500020</v>
      </c>
      <c r="C244" s="23" t="s">
        <v>762</v>
      </c>
      <c r="D244" s="300">
        <f>Table22[[#This Row],[Level used for acute calculation]]</f>
        <v>4</v>
      </c>
      <c r="E244" s="302">
        <f>Table22[[#This Row],[MRL individual commodity]]</f>
        <v>0</v>
      </c>
      <c r="F244" s="451">
        <f>Table22[[#This Row],[Acute RA input value]]</f>
        <v>0</v>
      </c>
      <c r="G244" s="301" t="str">
        <f>Table22[[#This Row],[Acute RA label]]</f>
        <v/>
      </c>
      <c r="H244" s="303">
        <f>Table22[[#This Row],[Acute RA IESTI new input value]]</f>
        <v>0</v>
      </c>
      <c r="I244" s="301" t="str">
        <f>Table22[[#This Row],[Acute RA IESTI new label]]</f>
        <v/>
      </c>
      <c r="J244" s="65"/>
      <c r="K244" s="304">
        <f>Table22[[#This Row],[GAP under assessment]]</f>
        <v>0</v>
      </c>
      <c r="L244" s="304" t="str">
        <f>IF(input_values!$M244=0,"",input_values!$M244)</f>
        <v/>
      </c>
      <c r="M244" s="301" t="str">
        <f>IF(input_values!H244=0,"",input_values!H244)</f>
        <v/>
      </c>
      <c r="N244" s="304">
        <f>input_values!$K244</f>
        <v>0</v>
      </c>
      <c r="O244" s="326">
        <v>3.4642857142857144</v>
      </c>
      <c r="P244" s="22">
        <v>97.5</v>
      </c>
      <c r="Q244" s="327" t="s">
        <v>254</v>
      </c>
      <c r="R244" s="326">
        <v>70</v>
      </c>
      <c r="S244" s="328">
        <f t="shared" si="34"/>
        <v>242.5</v>
      </c>
      <c r="T244" s="338" t="s">
        <v>617</v>
      </c>
      <c r="U244" s="339" t="s">
        <v>215</v>
      </c>
      <c r="V244" s="338" t="s">
        <v>617</v>
      </c>
      <c r="W244" s="339" t="s">
        <v>215</v>
      </c>
      <c r="X244" s="1173">
        <f>IF(V244="ND","ND",IF(S244="","",IF(OR(MID(C244,1,4)="milk",AND(MID(B244,1,2)="50",NOT(input_values!M244="Y")),AND(MID(B244,1,2)="40",NOT(input_values!M244="Y")),AND(MID(B244,1,2)="30",NOT(input_values!M244="Y"))),3,IF(OR(V244="&lt;25",B244&gt;1000000),1,IF((T244&gt;=S244),"2b","2a")))))</f>
        <v>3</v>
      </c>
      <c r="Y244" s="22">
        <f>IF(X244="ND","ND",IF(S244="","",IF(input_values!K244&gt;0,input_values!K244,IF(OR(X244=1,X244=3),1,IF((V244&gt;250),5,7)))))</f>
        <v>1</v>
      </c>
      <c r="Z244" s="330" t="str">
        <f t="shared" si="30"/>
        <v/>
      </c>
      <c r="AA244" s="331">
        <f t="shared" si="31"/>
        <v>0</v>
      </c>
      <c r="AB244" s="128">
        <f t="shared" si="35"/>
        <v>1</v>
      </c>
      <c r="AC244" s="330" t="str">
        <f t="shared" si="36"/>
        <v/>
      </c>
      <c r="AD244" s="332">
        <f t="shared" si="32"/>
        <v>0</v>
      </c>
      <c r="AE244" s="333" t="str">
        <f t="shared" si="37"/>
        <v/>
      </c>
      <c r="AF244" s="333" t="str">
        <f t="shared" si="38"/>
        <v/>
      </c>
      <c r="AG244" s="561" t="str">
        <f t="shared" si="33"/>
        <v/>
      </c>
      <c r="AH244" s="561" t="str">
        <f t="shared" si="39"/>
        <v/>
      </c>
      <c r="AI244" s="576"/>
      <c r="AJ244" s="847"/>
    </row>
    <row r="245" spans="1:36" ht="12" customHeight="1" outlineLevel="3" x14ac:dyDescent="0.2">
      <c r="A245" s="39">
        <f>acute_overview_children!A245</f>
        <v>4</v>
      </c>
      <c r="B245" s="23">
        <f>acute_overview_children!B245</f>
        <v>500030</v>
      </c>
      <c r="C245" s="23" t="s">
        <v>763</v>
      </c>
      <c r="D245" s="300">
        <f>Table22[[#This Row],[Level used for acute calculation]]</f>
        <v>4</v>
      </c>
      <c r="E245" s="302">
        <f>Table22[[#This Row],[MRL individual commodity]]</f>
        <v>0</v>
      </c>
      <c r="F245" s="451">
        <f>Table22[[#This Row],[Acute RA input value]]</f>
        <v>0</v>
      </c>
      <c r="G245" s="301" t="str">
        <f>Table22[[#This Row],[Acute RA label]]</f>
        <v/>
      </c>
      <c r="H245" s="303">
        <f>Table22[[#This Row],[Acute RA IESTI new input value]]</f>
        <v>0</v>
      </c>
      <c r="I245" s="301" t="str">
        <f>Table22[[#This Row],[Acute RA IESTI new label]]</f>
        <v/>
      </c>
      <c r="J245" s="65"/>
      <c r="K245" s="304">
        <f>Table22[[#This Row],[GAP under assessment]]</f>
        <v>0</v>
      </c>
      <c r="L245" s="304" t="str">
        <f>IF(input_values!$M245=0,"",input_values!$M245)</f>
        <v/>
      </c>
      <c r="M245" s="301" t="str">
        <f>IF(input_values!H245=0,"",input_values!H245)</f>
        <v/>
      </c>
      <c r="N245" s="304">
        <f>input_values!$K245</f>
        <v>0</v>
      </c>
      <c r="O245" s="339">
        <v>2.1676300577999998</v>
      </c>
      <c r="P245" s="128">
        <v>97.5</v>
      </c>
      <c r="Q245" s="346" t="s">
        <v>957</v>
      </c>
      <c r="R245" s="339">
        <v>84.7</v>
      </c>
      <c r="S245" s="328">
        <f t="shared" si="34"/>
        <v>183.59826589566001</v>
      </c>
      <c r="T245" s="338" t="s">
        <v>617</v>
      </c>
      <c r="U245" s="339" t="s">
        <v>215</v>
      </c>
      <c r="V245" s="338" t="s">
        <v>617</v>
      </c>
      <c r="W245" s="339" t="s">
        <v>215</v>
      </c>
      <c r="X245" s="1173">
        <f>IF(V245="ND","ND",IF(S245="","",IF(OR(MID(C245,1,4)="milk",AND(MID(B245,1,2)="50",NOT(input_values!M245="Y")),AND(MID(B245,1,2)="40",NOT(input_values!M245="Y")),AND(MID(B245,1,2)="30",NOT(input_values!M245="Y"))),3,IF(OR(V245="&lt;25",B245&gt;1000000),1,IF((T245&gt;=S245),"2b","2a")))))</f>
        <v>3</v>
      </c>
      <c r="Y245" s="22">
        <f>IF(X245="ND","ND",IF(S245="","",IF(input_values!K245&gt;0,input_values!K245,IF(OR(X245=1,X245=3),1,IF((V245&gt;250),5,7)))))</f>
        <v>1</v>
      </c>
      <c r="Z245" s="330" t="str">
        <f t="shared" si="30"/>
        <v/>
      </c>
      <c r="AA245" s="331">
        <f t="shared" si="31"/>
        <v>0</v>
      </c>
      <c r="AB245" s="128">
        <f t="shared" si="35"/>
        <v>1</v>
      </c>
      <c r="AC245" s="330" t="str">
        <f t="shared" si="36"/>
        <v/>
      </c>
      <c r="AD245" s="332">
        <f t="shared" si="32"/>
        <v>0</v>
      </c>
      <c r="AE245" s="333" t="str">
        <f t="shared" si="37"/>
        <v/>
      </c>
      <c r="AF245" s="333" t="str">
        <f t="shared" si="38"/>
        <v/>
      </c>
      <c r="AG245" s="561" t="str">
        <f t="shared" si="33"/>
        <v/>
      </c>
      <c r="AH245" s="561" t="str">
        <f t="shared" si="39"/>
        <v/>
      </c>
      <c r="AI245" s="576"/>
      <c r="AJ245" s="847"/>
    </row>
    <row r="246" spans="1:36" ht="12" customHeight="1" outlineLevel="3" x14ac:dyDescent="0.2">
      <c r="A246" s="39">
        <f>acute_overview_children!A246</f>
        <v>4</v>
      </c>
      <c r="B246" s="23">
        <f>acute_overview_children!B246</f>
        <v>500040</v>
      </c>
      <c r="C246" s="23" t="s">
        <v>764</v>
      </c>
      <c r="D246" s="300">
        <f>Table22[[#This Row],[Level used for acute calculation]]</f>
        <v>4</v>
      </c>
      <c r="E246" s="302">
        <f>Table22[[#This Row],[MRL individual commodity]]</f>
        <v>0</v>
      </c>
      <c r="F246" s="451">
        <f>Table22[[#This Row],[Acute RA input value]]</f>
        <v>0</v>
      </c>
      <c r="G246" s="301" t="str">
        <f>Table22[[#This Row],[Acute RA label]]</f>
        <v/>
      </c>
      <c r="H246" s="303">
        <f>Table22[[#This Row],[Acute RA IESTI new input value]]</f>
        <v>0</v>
      </c>
      <c r="I246" s="301" t="str">
        <f>Table22[[#This Row],[Acute RA IESTI new label]]</f>
        <v/>
      </c>
      <c r="J246" s="65"/>
      <c r="K246" s="304">
        <f>Table22[[#This Row],[GAP under assessment]]</f>
        <v>0</v>
      </c>
      <c r="L246" s="304" t="str">
        <f>IF(input_values!$M246=0,"",input_values!$M246)</f>
        <v/>
      </c>
      <c r="M246" s="301" t="str">
        <f>IF(input_values!H246=0,"",input_values!H246)</f>
        <v/>
      </c>
      <c r="N246" s="304">
        <f>input_values!$K246</f>
        <v>0</v>
      </c>
      <c r="O246" s="339">
        <v>0.90497737639999998</v>
      </c>
      <c r="P246" s="128">
        <v>97.5</v>
      </c>
      <c r="Q246" s="346" t="s">
        <v>956</v>
      </c>
      <c r="R246" s="339">
        <v>71.2</v>
      </c>
      <c r="S246" s="328">
        <f t="shared" si="34"/>
        <v>64.434389199679998</v>
      </c>
      <c r="T246" s="338" t="s">
        <v>617</v>
      </c>
      <c r="U246" s="339" t="s">
        <v>215</v>
      </c>
      <c r="V246" s="338" t="s">
        <v>617</v>
      </c>
      <c r="W246" s="339" t="s">
        <v>215</v>
      </c>
      <c r="X246" s="1173">
        <f>IF(V246="ND","ND",IF(S246="","",IF(OR(MID(C246,1,4)="milk",AND(MID(B246,1,2)="50",NOT(input_values!M246="Y")),AND(MID(B246,1,2)="40",NOT(input_values!M246="Y")),AND(MID(B246,1,2)="30",NOT(input_values!M246="Y"))),3,IF(OR(V246="&lt;25",B246&gt;1000000),1,IF((T246&gt;=S246),"2b","2a")))))</f>
        <v>3</v>
      </c>
      <c r="Y246" s="22">
        <f>IF(X246="ND","ND",IF(S246="","",IF(input_values!K246&gt;0,input_values!K246,IF(OR(X246=1,X246=3),1,IF((V246&gt;250),5,7)))))</f>
        <v>1</v>
      </c>
      <c r="Z246" s="330" t="str">
        <f t="shared" si="30"/>
        <v/>
      </c>
      <c r="AA246" s="331">
        <f t="shared" si="31"/>
        <v>0</v>
      </c>
      <c r="AB246" s="128">
        <f t="shared" si="35"/>
        <v>1</v>
      </c>
      <c r="AC246" s="330" t="str">
        <f t="shared" si="36"/>
        <v/>
      </c>
      <c r="AD246" s="332">
        <f t="shared" si="32"/>
        <v>0</v>
      </c>
      <c r="AE246" s="333" t="str">
        <f t="shared" si="37"/>
        <v/>
      </c>
      <c r="AF246" s="333" t="str">
        <f t="shared" si="38"/>
        <v/>
      </c>
      <c r="AG246" s="561" t="str">
        <f t="shared" si="33"/>
        <v/>
      </c>
      <c r="AH246" s="561" t="str">
        <f t="shared" si="39"/>
        <v/>
      </c>
      <c r="AI246" s="576"/>
      <c r="AJ246" s="847"/>
    </row>
    <row r="247" spans="1:36" ht="12" customHeight="1" outlineLevel="3" x14ac:dyDescent="0.2">
      <c r="A247" s="39">
        <f>acute_overview_children!A247</f>
        <v>4</v>
      </c>
      <c r="B247" s="23">
        <f>acute_overview_children!B247</f>
        <v>500050</v>
      </c>
      <c r="C247" s="23" t="s">
        <v>844</v>
      </c>
      <c r="D247" s="300">
        <f>Table22[[#This Row],[Level used for acute calculation]]</f>
        <v>4</v>
      </c>
      <c r="E247" s="302">
        <f>Table22[[#This Row],[MRL individual commodity]]</f>
        <v>0</v>
      </c>
      <c r="F247" s="451">
        <f>Table22[[#This Row],[Acute RA input value]]</f>
        <v>0</v>
      </c>
      <c r="G247" s="301" t="str">
        <f>Table22[[#This Row],[Acute RA label]]</f>
        <v/>
      </c>
      <c r="H247" s="303">
        <f>Table22[[#This Row],[Acute RA IESTI new input value]]</f>
        <v>0</v>
      </c>
      <c r="I247" s="301" t="str">
        <f>Table22[[#This Row],[Acute RA IESTI new label]]</f>
        <v/>
      </c>
      <c r="J247" s="65"/>
      <c r="K247" s="304">
        <f>Table22[[#This Row],[GAP under assessment]]</f>
        <v>0</v>
      </c>
      <c r="L247" s="304" t="str">
        <f>IF(input_values!$M247=0,"",input_values!$M247)</f>
        <v/>
      </c>
      <c r="M247" s="301" t="str">
        <f>IF(input_values!H247=0,"",input_values!H247)</f>
        <v/>
      </c>
      <c r="N247" s="304">
        <f>input_values!$K247</f>
        <v>0</v>
      </c>
      <c r="O247" s="326">
        <f>0.8*0.8</f>
        <v>0.64000000000000012</v>
      </c>
      <c r="P247" s="22">
        <v>97.5</v>
      </c>
      <c r="Q247" s="327" t="s">
        <v>335</v>
      </c>
      <c r="R247" s="326">
        <v>76.38</v>
      </c>
      <c r="S247" s="328">
        <f t="shared" si="34"/>
        <v>48.883200000000009</v>
      </c>
      <c r="T247" s="338" t="s">
        <v>617</v>
      </c>
      <c r="U247" s="339" t="s">
        <v>215</v>
      </c>
      <c r="V247" s="338" t="s">
        <v>617</v>
      </c>
      <c r="W247" s="339" t="s">
        <v>215</v>
      </c>
      <c r="X247" s="1173">
        <f>IF(V247="ND","ND",IF(S247="","",IF(OR(MID(C247,1,4)="milk",AND(MID(B247,1,2)="50",NOT(input_values!M247="Y")),AND(MID(B247,1,2)="40",NOT(input_values!M247="Y")),AND(MID(B247,1,2)="30",NOT(input_values!M247="Y"))),3,IF(OR(V247="&lt;25",B247&gt;1000000),1,IF((T247&gt;=S247),"2b","2a")))))</f>
        <v>3</v>
      </c>
      <c r="Y247" s="22">
        <f>IF(X247="ND","ND",IF(S247="","",IF(input_values!K247&gt;0,input_values!K247,IF(OR(X247=1,X247=3),1,IF((V247&gt;250),5,7)))))</f>
        <v>1</v>
      </c>
      <c r="Z247" s="330" t="str">
        <f t="shared" si="30"/>
        <v/>
      </c>
      <c r="AA247" s="331">
        <f t="shared" si="31"/>
        <v>0</v>
      </c>
      <c r="AB247" s="128">
        <f t="shared" si="35"/>
        <v>1</v>
      </c>
      <c r="AC247" s="330" t="str">
        <f t="shared" si="36"/>
        <v/>
      </c>
      <c r="AD247" s="332">
        <f t="shared" si="32"/>
        <v>0</v>
      </c>
      <c r="AE247" s="333" t="str">
        <f t="shared" si="37"/>
        <v/>
      </c>
      <c r="AF247" s="333" t="str">
        <f t="shared" si="38"/>
        <v/>
      </c>
      <c r="AG247" s="561" t="str">
        <f t="shared" si="33"/>
        <v/>
      </c>
      <c r="AH247" s="561" t="str">
        <f t="shared" si="39"/>
        <v/>
      </c>
      <c r="AI247" s="576"/>
      <c r="AJ247" s="847"/>
    </row>
    <row r="248" spans="1:36" ht="12" customHeight="1" outlineLevel="3" x14ac:dyDescent="0.2">
      <c r="A248" s="39">
        <f>acute_overview_children!A248</f>
        <v>4</v>
      </c>
      <c r="B248" s="23">
        <f>acute_overview_children!B248</f>
        <v>500060</v>
      </c>
      <c r="C248" s="23" t="s">
        <v>158</v>
      </c>
      <c r="D248" s="300">
        <f>Table22[[#This Row],[Level used for acute calculation]]</f>
        <v>4</v>
      </c>
      <c r="E248" s="302">
        <f>Table22[[#This Row],[MRL individual commodity]]</f>
        <v>0</v>
      </c>
      <c r="F248" s="451">
        <f>Table22[[#This Row],[Acute RA input value]]</f>
        <v>0</v>
      </c>
      <c r="G248" s="301" t="str">
        <f>Table22[[#This Row],[Acute RA label]]</f>
        <v/>
      </c>
      <c r="H248" s="303">
        <f>Table22[[#This Row],[Acute RA IESTI new input value]]</f>
        <v>0</v>
      </c>
      <c r="I248" s="301" t="str">
        <f>Table22[[#This Row],[Acute RA IESTI new label]]</f>
        <v/>
      </c>
      <c r="J248" s="65"/>
      <c r="K248" s="304">
        <f>Table22[[#This Row],[GAP under assessment]]</f>
        <v>0</v>
      </c>
      <c r="L248" s="304" t="str">
        <f>IF(input_values!$M248=0,"",input_values!$M248)</f>
        <v/>
      </c>
      <c r="M248" s="301" t="str">
        <f>IF(input_values!H248=0,"",input_values!H248)</f>
        <v/>
      </c>
      <c r="N248" s="304">
        <f>input_values!$K248</f>
        <v>0</v>
      </c>
      <c r="O248" s="326">
        <v>8.5172413793103452</v>
      </c>
      <c r="P248" s="22">
        <v>97.5</v>
      </c>
      <c r="Q248" s="327" t="s">
        <v>100</v>
      </c>
      <c r="R248" s="326">
        <v>63.8</v>
      </c>
      <c r="S248" s="328">
        <f t="shared" si="34"/>
        <v>543.4</v>
      </c>
      <c r="T248" s="338" t="s">
        <v>617</v>
      </c>
      <c r="U248" s="339" t="s">
        <v>215</v>
      </c>
      <c r="V248" s="338" t="s">
        <v>617</v>
      </c>
      <c r="W248" s="339" t="s">
        <v>215</v>
      </c>
      <c r="X248" s="1173">
        <f>IF(V248="ND","ND",IF(S248="","",IF(OR(MID(C248,1,4)="milk",AND(MID(B248,1,2)="50",NOT(input_values!M248="Y")),AND(MID(B248,1,2)="40",NOT(input_values!M248="Y")),AND(MID(B248,1,2)="30",NOT(input_values!M248="Y"))),3,IF(OR(V248="&lt;25",B248&gt;1000000),1,IF((T248&gt;=S248),"2b","2a")))))</f>
        <v>3</v>
      </c>
      <c r="Y248" s="22">
        <f>IF(X248="ND","ND",IF(S248="","",IF(input_values!K248&gt;0,input_values!K248,IF(OR(X248=1,X248=3),1,IF((V248&gt;250),5,7)))))</f>
        <v>1</v>
      </c>
      <c r="Z248" s="330" t="str">
        <f t="shared" si="30"/>
        <v/>
      </c>
      <c r="AA248" s="331">
        <f t="shared" si="31"/>
        <v>0</v>
      </c>
      <c r="AB248" s="128">
        <f t="shared" si="35"/>
        <v>1</v>
      </c>
      <c r="AC248" s="330" t="str">
        <f t="shared" si="36"/>
        <v/>
      </c>
      <c r="AD248" s="332">
        <f t="shared" si="32"/>
        <v>0</v>
      </c>
      <c r="AE248" s="333" t="str">
        <f t="shared" si="37"/>
        <v/>
      </c>
      <c r="AF248" s="333" t="str">
        <f t="shared" si="38"/>
        <v/>
      </c>
      <c r="AG248" s="561" t="str">
        <f t="shared" si="33"/>
        <v/>
      </c>
      <c r="AH248" s="561" t="str">
        <f t="shared" si="39"/>
        <v/>
      </c>
      <c r="AI248" s="576"/>
      <c r="AJ248" s="847"/>
    </row>
    <row r="249" spans="1:36" ht="12" customHeight="1" outlineLevel="3" x14ac:dyDescent="0.2">
      <c r="A249" s="39">
        <f>acute_overview_children!A249</f>
        <v>4</v>
      </c>
      <c r="B249" s="23">
        <f>acute_overview_children!B249</f>
        <v>500070</v>
      </c>
      <c r="C249" s="23" t="s">
        <v>159</v>
      </c>
      <c r="D249" s="300">
        <f>Table22[[#This Row],[Level used for acute calculation]]</f>
        <v>4</v>
      </c>
      <c r="E249" s="302">
        <f>Table22[[#This Row],[MRL individual commodity]]</f>
        <v>0</v>
      </c>
      <c r="F249" s="451">
        <f>Table22[[#This Row],[Acute RA input value]]</f>
        <v>0</v>
      </c>
      <c r="G249" s="301" t="str">
        <f>Table22[[#This Row],[Acute RA label]]</f>
        <v/>
      </c>
      <c r="H249" s="303">
        <f>Table22[[#This Row],[Acute RA IESTI new input value]]</f>
        <v>0</v>
      </c>
      <c r="I249" s="301" t="str">
        <f>Table22[[#This Row],[Acute RA IESTI new label]]</f>
        <v/>
      </c>
      <c r="J249" s="65"/>
      <c r="K249" s="304">
        <f>Table22[[#This Row],[GAP under assessment]]</f>
        <v>0</v>
      </c>
      <c r="L249" s="304" t="str">
        <f>IF(input_values!$M249=0,"",input_values!$M249)</f>
        <v/>
      </c>
      <c r="M249" s="301" t="str">
        <f>IF(input_values!H249=0,"",input_values!H249)</f>
        <v/>
      </c>
      <c r="N249" s="304">
        <f>input_values!$K249</f>
        <v>0</v>
      </c>
      <c r="O249" s="326">
        <v>4.8528571428571423</v>
      </c>
      <c r="P249" s="22">
        <v>97.5</v>
      </c>
      <c r="Q249" s="327" t="s">
        <v>254</v>
      </c>
      <c r="R249" s="326">
        <v>70</v>
      </c>
      <c r="S249" s="328">
        <f t="shared" si="34"/>
        <v>339.7</v>
      </c>
      <c r="T249" s="338" t="s">
        <v>617</v>
      </c>
      <c r="U249" s="339" t="s">
        <v>215</v>
      </c>
      <c r="V249" s="338" t="s">
        <v>617</v>
      </c>
      <c r="W249" s="339" t="s">
        <v>215</v>
      </c>
      <c r="X249" s="1173">
        <f>IF(V249="ND","ND",IF(S249="","",IF(OR(MID(C249,1,4)="milk",AND(MID(B249,1,2)="50",NOT(input_values!M249="Y")),AND(MID(B249,1,2)="40",NOT(input_values!M249="Y")),AND(MID(B249,1,2)="30",NOT(input_values!M249="Y"))),3,IF(OR(V249="&lt;25",B249&gt;1000000),1,IF((T249&gt;=S249),"2b","2a")))))</f>
        <v>3</v>
      </c>
      <c r="Y249" s="22">
        <f>IF(X249="ND","ND",IF(S249="","",IF(input_values!K249&gt;0,input_values!K249,IF(OR(X249=1,X249=3),1,IF((V249&gt;250),5,7)))))</f>
        <v>1</v>
      </c>
      <c r="Z249" s="330" t="str">
        <f t="shared" si="30"/>
        <v/>
      </c>
      <c r="AA249" s="331">
        <f t="shared" si="31"/>
        <v>0</v>
      </c>
      <c r="AB249" s="128">
        <f t="shared" si="35"/>
        <v>1</v>
      </c>
      <c r="AC249" s="330" t="str">
        <f t="shared" si="36"/>
        <v/>
      </c>
      <c r="AD249" s="332">
        <f t="shared" si="32"/>
        <v>0</v>
      </c>
      <c r="AE249" s="333" t="str">
        <f t="shared" si="37"/>
        <v/>
      </c>
      <c r="AF249" s="333" t="str">
        <f t="shared" si="38"/>
        <v/>
      </c>
      <c r="AG249" s="561" t="str">
        <f t="shared" si="33"/>
        <v/>
      </c>
      <c r="AH249" s="561" t="str">
        <f t="shared" si="39"/>
        <v/>
      </c>
      <c r="AI249" s="576"/>
      <c r="AJ249" s="847"/>
    </row>
    <row r="250" spans="1:36" ht="12" customHeight="1" outlineLevel="3" x14ac:dyDescent="0.2">
      <c r="A250" s="39">
        <f>acute_overview_children!A250</f>
        <v>4</v>
      </c>
      <c r="B250" s="23">
        <f>acute_overview_children!B250</f>
        <v>500080</v>
      </c>
      <c r="C250" s="23" t="s">
        <v>160</v>
      </c>
      <c r="D250" s="300">
        <f>Table22[[#This Row],[Level used for acute calculation]]</f>
        <v>4</v>
      </c>
      <c r="E250" s="302">
        <f>Table22[[#This Row],[MRL individual commodity]]</f>
        <v>0</v>
      </c>
      <c r="F250" s="451">
        <f>Table22[[#This Row],[Acute RA input value]]</f>
        <v>0</v>
      </c>
      <c r="G250" s="301" t="str">
        <f>Table22[[#This Row],[Acute RA label]]</f>
        <v/>
      </c>
      <c r="H250" s="303">
        <f>Table22[[#This Row],[Acute RA IESTI new input value]]</f>
        <v>0</v>
      </c>
      <c r="I250" s="301" t="str">
        <f>Table22[[#This Row],[Acute RA IESTI new label]]</f>
        <v/>
      </c>
      <c r="J250" s="65"/>
      <c r="K250" s="304">
        <f>Table22[[#This Row],[GAP under assessment]]</f>
        <v>0</v>
      </c>
      <c r="L250" s="304" t="str">
        <f>IF(input_values!$M250=0,"",input_values!$M250)</f>
        <v/>
      </c>
      <c r="M250" s="301" t="str">
        <f>IF(input_values!H250=0,"",input_values!H250)</f>
        <v/>
      </c>
      <c r="N250" s="304">
        <f>input_values!$K250</f>
        <v>0</v>
      </c>
      <c r="O250" s="326">
        <v>0.3</v>
      </c>
      <c r="P250" s="22">
        <v>97.5</v>
      </c>
      <c r="Q250" s="327" t="s">
        <v>335</v>
      </c>
      <c r="R250" s="326">
        <v>76.38</v>
      </c>
      <c r="S250" s="328">
        <f t="shared" si="34"/>
        <v>22.913999999999998</v>
      </c>
      <c r="T250" s="338" t="s">
        <v>617</v>
      </c>
      <c r="U250" s="339" t="s">
        <v>215</v>
      </c>
      <c r="V250" s="338" t="s">
        <v>617</v>
      </c>
      <c r="W250" s="339" t="s">
        <v>215</v>
      </c>
      <c r="X250" s="1173">
        <f>IF(V250="ND","ND",IF(S250="","",IF(OR(MID(C250,1,4)="milk",AND(MID(B250,1,2)="50",NOT(input_values!M250="Y")),AND(MID(B250,1,2)="40",NOT(input_values!M250="Y")),AND(MID(B250,1,2)="30",NOT(input_values!M250="Y"))),3,IF(OR(V250="&lt;25",B250&gt;1000000),1,IF((T250&gt;=S250),"2b","2a")))))</f>
        <v>3</v>
      </c>
      <c r="Y250" s="22">
        <f>IF(X250="ND","ND",IF(S250="","",IF(input_values!K250&gt;0,input_values!K250,IF(OR(X250=1,X250=3),1,IF((V250&gt;250),5,7)))))</f>
        <v>1</v>
      </c>
      <c r="Z250" s="330" t="str">
        <f t="shared" si="30"/>
        <v/>
      </c>
      <c r="AA250" s="331">
        <f t="shared" si="31"/>
        <v>0</v>
      </c>
      <c r="AB250" s="128">
        <f t="shared" si="35"/>
        <v>1</v>
      </c>
      <c r="AC250" s="330" t="str">
        <f t="shared" si="36"/>
        <v/>
      </c>
      <c r="AD250" s="332">
        <f t="shared" si="32"/>
        <v>0</v>
      </c>
      <c r="AE250" s="333" t="str">
        <f t="shared" si="37"/>
        <v/>
      </c>
      <c r="AF250" s="333" t="str">
        <f t="shared" si="38"/>
        <v/>
      </c>
      <c r="AG250" s="561" t="str">
        <f t="shared" si="33"/>
        <v/>
      </c>
      <c r="AH250" s="561" t="str">
        <f t="shared" si="39"/>
        <v/>
      </c>
      <c r="AI250" s="576"/>
      <c r="AJ250" s="847"/>
    </row>
    <row r="251" spans="1:36" ht="12" customHeight="1" outlineLevel="3" x14ac:dyDescent="0.2">
      <c r="A251" s="39">
        <f>acute_overview_children!A251</f>
        <v>4</v>
      </c>
      <c r="B251" s="23">
        <f>acute_overview_children!B251</f>
        <v>500090</v>
      </c>
      <c r="C251" s="23" t="s">
        <v>161</v>
      </c>
      <c r="D251" s="300">
        <f>Table22[[#This Row],[Level used for acute calculation]]</f>
        <v>4</v>
      </c>
      <c r="E251" s="302">
        <f>Table22[[#This Row],[MRL individual commodity]]</f>
        <v>0</v>
      </c>
      <c r="F251" s="451">
        <f>Table22[[#This Row],[Acute RA input value]]</f>
        <v>0</v>
      </c>
      <c r="G251" s="301" t="str">
        <f>Table22[[#This Row],[Acute RA label]]</f>
        <v/>
      </c>
      <c r="H251" s="303">
        <f>Table22[[#This Row],[Acute RA IESTI new input value]]</f>
        <v>0</v>
      </c>
      <c r="I251" s="301" t="str">
        <f>Table22[[#This Row],[Acute RA IESTI new label]]</f>
        <v/>
      </c>
      <c r="J251" s="65"/>
      <c r="K251" s="304">
        <f>Table22[[#This Row],[GAP under assessment]]</f>
        <v>0</v>
      </c>
      <c r="L251" s="304" t="str">
        <f>IF(input_values!$M251=0,"",input_values!$M251)</f>
        <v/>
      </c>
      <c r="M251" s="301" t="str">
        <f>IF(input_values!H251=0,"",input_values!H251)</f>
        <v/>
      </c>
      <c r="N251" s="304">
        <f>input_values!$K251</f>
        <v>0</v>
      </c>
      <c r="O251" s="326">
        <v>8.4028213166144212</v>
      </c>
      <c r="P251" s="22">
        <v>97.5</v>
      </c>
      <c r="Q251" s="327" t="s">
        <v>100</v>
      </c>
      <c r="R251" s="326">
        <v>63.8</v>
      </c>
      <c r="S251" s="328">
        <f t="shared" si="34"/>
        <v>536.1</v>
      </c>
      <c r="T251" s="338" t="s">
        <v>617</v>
      </c>
      <c r="U251" s="339" t="s">
        <v>215</v>
      </c>
      <c r="V251" s="338" t="s">
        <v>617</v>
      </c>
      <c r="W251" s="339" t="s">
        <v>215</v>
      </c>
      <c r="X251" s="1173">
        <f>IF(V251="ND","ND",IF(S251="","",IF(OR(MID(C251,1,4)="milk",AND(MID(B251,1,2)="50",NOT(input_values!M251="Y")),AND(MID(B251,1,2)="40",NOT(input_values!M251="Y")),AND(MID(B251,1,2)="30",NOT(input_values!M251="Y"))),3,IF(OR(V251="&lt;25",B251&gt;1000000),1,IF((T251&gt;=S251),"2b","2a")))))</f>
        <v>3</v>
      </c>
      <c r="Y251" s="22">
        <f>IF(X251="ND","ND",IF(S251="","",IF(input_values!K251&gt;0,input_values!K251,IF(OR(X251=1,X251=3),1,IF((V251&gt;250),5,7)))))</f>
        <v>1</v>
      </c>
      <c r="Z251" s="330" t="str">
        <f t="shared" si="30"/>
        <v/>
      </c>
      <c r="AA251" s="331">
        <f t="shared" si="31"/>
        <v>0</v>
      </c>
      <c r="AB251" s="128">
        <f t="shared" si="35"/>
        <v>1</v>
      </c>
      <c r="AC251" s="330" t="str">
        <f t="shared" si="36"/>
        <v/>
      </c>
      <c r="AD251" s="332">
        <f t="shared" si="32"/>
        <v>0</v>
      </c>
      <c r="AE251" s="333" t="str">
        <f t="shared" si="37"/>
        <v/>
      </c>
      <c r="AF251" s="333" t="str">
        <f t="shared" si="38"/>
        <v/>
      </c>
      <c r="AG251" s="561" t="str">
        <f t="shared" si="33"/>
        <v/>
      </c>
      <c r="AH251" s="561" t="str">
        <f t="shared" si="39"/>
        <v/>
      </c>
      <c r="AI251" s="576"/>
      <c r="AJ251" s="847"/>
    </row>
    <row r="252" spans="1:36" ht="12" customHeight="1" outlineLevel="3" x14ac:dyDescent="0.2">
      <c r="A252" s="39">
        <f>acute_overview_children!A252</f>
        <v>4</v>
      </c>
      <c r="B252" s="23">
        <f>acute_overview_children!B252</f>
        <v>500990</v>
      </c>
      <c r="C252" s="23" t="s">
        <v>765</v>
      </c>
      <c r="D252" s="300">
        <f>Table22[[#This Row],[Level used for acute calculation]]</f>
        <v>0</v>
      </c>
      <c r="E252" s="302">
        <f>Table22[[#This Row],[MRL individual commodity]]</f>
        <v>0</v>
      </c>
      <c r="F252" s="451">
        <f>Table22[[#This Row],[Acute RA input value]]</f>
        <v>0</v>
      </c>
      <c r="G252" s="301">
        <f>Table22[[#This Row],[Acute RA label]]</f>
        <v>0</v>
      </c>
      <c r="H252" s="303">
        <f>Table22[[#This Row],[Acute RA IESTI new input value]]</f>
        <v>0</v>
      </c>
      <c r="I252" s="301">
        <f>Table22[[#This Row],[Acute RA IESTI new label]]</f>
        <v>0</v>
      </c>
      <c r="J252" s="65"/>
      <c r="K252" s="304">
        <f>Table22[[#This Row],[GAP under assessment]]</f>
        <v>0</v>
      </c>
      <c r="L252" s="304" t="str">
        <f>IF(input_values!$M252=0,"",input_values!$M252)</f>
        <v/>
      </c>
      <c r="M252" s="301" t="str">
        <f>IF(input_values!H252=0,"",input_values!H252)</f>
        <v/>
      </c>
      <c r="N252" s="304">
        <f>input_values!$K252</f>
        <v>0</v>
      </c>
      <c r="O252" s="309"/>
      <c r="P252" s="38"/>
      <c r="Q252" s="306"/>
      <c r="R252" s="309"/>
      <c r="S252" s="336" t="str">
        <f t="shared" si="34"/>
        <v/>
      </c>
      <c r="T252" s="305"/>
      <c r="U252" s="309"/>
      <c r="V252" s="305"/>
      <c r="W252" s="309"/>
      <c r="X252" s="611" t="str">
        <f>IF(V252="ND","ND",IF(S252="","",IF(OR(MID(C252,1,4)="milk",AND(MID(B252,1,2)="50",NOT(input_values!M252="Y")),AND(MID(B252,1,2)="40",NOT(input_values!M252="Y")),AND(MID(B252,1,2)="30",NOT(input_values!M252="Y"))),3,IF(OR(V252="&lt;25",B252&gt;1000000),1,IF((T252&gt;=S252),"2b","2a")))))</f>
        <v/>
      </c>
      <c r="Y252" s="38" t="str">
        <f>IF(X252="ND","ND",IF(S252="","",IF(input_values!K252&gt;0,input_values!K252,IF(OR(X252=1,X252=3),1,IF((V252&gt;250),5,7)))))</f>
        <v/>
      </c>
      <c r="Z252" s="335" t="str">
        <f t="shared" si="30"/>
        <v/>
      </c>
      <c r="AA252" s="311">
        <f t="shared" si="31"/>
        <v>0</v>
      </c>
      <c r="AB252" s="38" t="str">
        <f t="shared" si="35"/>
        <v/>
      </c>
      <c r="AC252" s="335" t="str">
        <f t="shared" si="36"/>
        <v/>
      </c>
      <c r="AD252" s="311">
        <f t="shared" si="32"/>
        <v>0</v>
      </c>
      <c r="AE252" s="344" t="str">
        <f t="shared" si="37"/>
        <v/>
      </c>
      <c r="AF252" s="344" t="str">
        <f t="shared" si="38"/>
        <v/>
      </c>
      <c r="AG252" s="561" t="str">
        <f t="shared" si="33"/>
        <v/>
      </c>
      <c r="AH252" s="561" t="str">
        <f t="shared" si="39"/>
        <v/>
      </c>
      <c r="AI252" s="576"/>
      <c r="AJ252" s="847"/>
    </row>
    <row r="253" spans="1:36" ht="24" x14ac:dyDescent="0.2">
      <c r="A253" s="126">
        <f>acute_overview_children!A253</f>
        <v>1</v>
      </c>
      <c r="B253" s="127">
        <f>acute_overview_children!B253</f>
        <v>600000</v>
      </c>
      <c r="C253" s="127" t="s">
        <v>351</v>
      </c>
      <c r="D253" s="300">
        <f>Table22[[#This Row],[Level used for acute calculation]]</f>
        <v>2</v>
      </c>
      <c r="E253" s="302">
        <f>Table22[[#This Row],[MRL individual commodity]]</f>
        <v>0</v>
      </c>
      <c r="F253" s="451">
        <f>Table22[[#This Row],[Acute RA input value]]</f>
        <v>0</v>
      </c>
      <c r="G253" s="301">
        <f>Table22[[#This Row],[Acute RA label]]</f>
        <v>0</v>
      </c>
      <c r="H253" s="303">
        <f>Table22[[#This Row],[Acute RA IESTI new input value]]</f>
        <v>0</v>
      </c>
      <c r="I253" s="301">
        <f>Table22[[#This Row],[Acute RA IESTI new label]]</f>
        <v>0</v>
      </c>
      <c r="J253" s="65"/>
      <c r="K253" s="304">
        <f>Table22[[#This Row],[GAP under assessment]]</f>
        <v>0</v>
      </c>
      <c r="L253" s="304" t="str">
        <f>IF(input_values!$M253=0,"",input_values!$M253)</f>
        <v/>
      </c>
      <c r="M253" s="301" t="str">
        <f>IF(input_values!H253=0,"",input_values!H253)</f>
        <v/>
      </c>
      <c r="N253" s="304">
        <f>input_values!$K253</f>
        <v>0</v>
      </c>
      <c r="O253" s="309"/>
      <c r="P253" s="38"/>
      <c r="Q253" s="306"/>
      <c r="R253" s="309"/>
      <c r="S253" s="336" t="str">
        <f t="shared" si="34"/>
        <v/>
      </c>
      <c r="T253" s="305"/>
      <c r="U253" s="309"/>
      <c r="V253" s="305"/>
      <c r="W253" s="309"/>
      <c r="X253" s="611" t="str">
        <f>IF(V253="ND","ND",IF(S253="","",IF(OR(MID(C253,1,4)="milk",AND(MID(B253,1,2)="50",NOT(input_values!M253="Y")),AND(MID(B253,1,2)="40",NOT(input_values!M253="Y")),AND(MID(B253,1,2)="30",NOT(input_values!M253="Y"))),3,IF(OR(V253="&lt;25",B253&gt;1000000),1,IF((T253&gt;=S253),"2b","2a")))))</f>
        <v/>
      </c>
      <c r="Y253" s="38" t="str">
        <f>IF(X253="ND","ND",IF(S253="","",IF(input_values!K253&gt;0,input_values!K253,IF(OR(X253=1,X253=3),1,IF((V253&gt;250),5,7)))))</f>
        <v/>
      </c>
      <c r="Z253" s="335" t="str">
        <f t="shared" si="30"/>
        <v/>
      </c>
      <c r="AA253" s="311">
        <f t="shared" si="31"/>
        <v>0</v>
      </c>
      <c r="AB253" s="38" t="str">
        <f t="shared" si="35"/>
        <v/>
      </c>
      <c r="AC253" s="335" t="str">
        <f t="shared" si="36"/>
        <v/>
      </c>
      <c r="AD253" s="311">
        <f t="shared" si="32"/>
        <v>0</v>
      </c>
      <c r="AE253" s="344" t="str">
        <f t="shared" si="37"/>
        <v/>
      </c>
      <c r="AF253" s="344" t="str">
        <f t="shared" si="38"/>
        <v/>
      </c>
      <c r="AG253" s="561" t="str">
        <f t="shared" si="33"/>
        <v/>
      </c>
      <c r="AH253" s="561" t="str">
        <f t="shared" si="39"/>
        <v/>
      </c>
      <c r="AI253" s="576"/>
      <c r="AJ253" s="847"/>
    </row>
    <row r="254" spans="1:36" ht="24" outlineLevel="1" x14ac:dyDescent="0.2">
      <c r="A254" s="130">
        <f>acute_overview_children!A254</f>
        <v>2</v>
      </c>
      <c r="B254" s="131">
        <f>acute_overview_children!B254</f>
        <v>610000</v>
      </c>
      <c r="C254" s="131" t="s">
        <v>678</v>
      </c>
      <c r="D254" s="300">
        <f>Table22[[#This Row],[Level used for acute calculation]]</f>
        <v>2</v>
      </c>
      <c r="E254" s="302">
        <f>Table22[[#This Row],[MRL individual commodity]]</f>
        <v>0</v>
      </c>
      <c r="F254" s="451">
        <f>Table22[[#This Row],[Acute RA input value]]</f>
        <v>0</v>
      </c>
      <c r="G254" s="301" t="str">
        <f>Table22[[#This Row],[Acute RA label]]</f>
        <v/>
      </c>
      <c r="H254" s="303">
        <f>Table22[[#This Row],[Acute RA IESTI new input value]]</f>
        <v>0</v>
      </c>
      <c r="I254" s="301" t="str">
        <f>Table22[[#This Row],[Acute RA IESTI new label]]</f>
        <v/>
      </c>
      <c r="J254" s="65"/>
      <c r="K254" s="304">
        <f>Table22[[#This Row],[GAP under assessment]]</f>
        <v>0</v>
      </c>
      <c r="L254" s="304" t="str">
        <f>IF(input_values!$M254=0,"",input_values!$M254)</f>
        <v/>
      </c>
      <c r="M254" s="301" t="str">
        <f>IF(input_values!H254=0,"",input_values!H254)</f>
        <v/>
      </c>
      <c r="N254" s="304">
        <f>input_values!$K254</f>
        <v>0</v>
      </c>
      <c r="O254" s="339">
        <v>0.5</v>
      </c>
      <c r="P254" s="128">
        <v>97.5</v>
      </c>
      <c r="Q254" s="346" t="s">
        <v>334</v>
      </c>
      <c r="R254" s="339">
        <v>67.47</v>
      </c>
      <c r="S254" s="338">
        <f t="shared" si="34"/>
        <v>33.734999999999999</v>
      </c>
      <c r="T254" s="338" t="s">
        <v>617</v>
      </c>
      <c r="U254" s="339" t="s">
        <v>215</v>
      </c>
      <c r="V254" s="338" t="s">
        <v>617</v>
      </c>
      <c r="W254" s="339" t="s">
        <v>215</v>
      </c>
      <c r="X254" s="1171">
        <v>3</v>
      </c>
      <c r="Y254" s="128">
        <f>IF(X254="ND","ND",IF(S254="","",IF(input_values!K254&gt;0,input_values!K254,IF(OR(X254=1,X254=3),1,IF((V254&gt;250),5,7)))))</f>
        <v>1</v>
      </c>
      <c r="Z254" s="345" t="str">
        <f t="shared" si="30"/>
        <v/>
      </c>
      <c r="AA254" s="332">
        <f t="shared" si="31"/>
        <v>0</v>
      </c>
      <c r="AB254" s="128">
        <f t="shared" si="35"/>
        <v>1</v>
      </c>
      <c r="AC254" s="345" t="str">
        <f t="shared" si="36"/>
        <v/>
      </c>
      <c r="AD254" s="332">
        <f t="shared" si="32"/>
        <v>0</v>
      </c>
      <c r="AE254" s="40" t="str">
        <f t="shared" si="37"/>
        <v/>
      </c>
      <c r="AF254" s="40" t="str">
        <f t="shared" si="38"/>
        <v/>
      </c>
      <c r="AG254" s="561" t="str">
        <f t="shared" si="33"/>
        <v/>
      </c>
      <c r="AH254" s="561" t="str">
        <f t="shared" si="39"/>
        <v/>
      </c>
      <c r="AI254" s="576"/>
      <c r="AJ254" s="847"/>
    </row>
    <row r="255" spans="1:36" outlineLevel="1" x14ac:dyDescent="0.2">
      <c r="A255" s="130">
        <f>acute_overview_children!A255</f>
        <v>2</v>
      </c>
      <c r="B255" s="131">
        <f>acute_overview_children!B255</f>
        <v>620000</v>
      </c>
      <c r="C255" s="131" t="s">
        <v>143</v>
      </c>
      <c r="D255" s="300">
        <f>Table22[[#This Row],[Level used for acute calculation]]</f>
        <v>2</v>
      </c>
      <c r="E255" s="302">
        <f>Table22[[#This Row],[MRL individual commodity]]</f>
        <v>0</v>
      </c>
      <c r="F255" s="451">
        <f>Table22[[#This Row],[Acute RA input value]]</f>
        <v>0</v>
      </c>
      <c r="G255" s="301" t="str">
        <f>Table22[[#This Row],[Acute RA label]]</f>
        <v/>
      </c>
      <c r="H255" s="303">
        <f>Table22[[#This Row],[Acute RA IESTI new input value]]</f>
        <v>0</v>
      </c>
      <c r="I255" s="301" t="str">
        <f>Table22[[#This Row],[Acute RA IESTI new label]]</f>
        <v/>
      </c>
      <c r="J255" s="65"/>
      <c r="K255" s="304">
        <f>Table22[[#This Row],[GAP under assessment]]</f>
        <v>0</v>
      </c>
      <c r="L255" s="304" t="str">
        <f>IF(input_values!$M255=0,"",input_values!$M255)</f>
        <v/>
      </c>
      <c r="M255" s="301" t="str">
        <f>IF(input_values!H255=0,"",input_values!H255)</f>
        <v/>
      </c>
      <c r="N255" s="304">
        <f>input_values!$K255</f>
        <v>0</v>
      </c>
      <c r="O255" s="339">
        <v>0.75</v>
      </c>
      <c r="P255" s="128" t="s">
        <v>331</v>
      </c>
      <c r="Q255" s="346" t="s">
        <v>98</v>
      </c>
      <c r="R255" s="339">
        <v>60</v>
      </c>
      <c r="S255" s="338">
        <f t="shared" si="34"/>
        <v>45</v>
      </c>
      <c r="T255" s="338" t="s">
        <v>617</v>
      </c>
      <c r="U255" s="339" t="s">
        <v>215</v>
      </c>
      <c r="V255" s="338" t="s">
        <v>617</v>
      </c>
      <c r="W255" s="339" t="s">
        <v>215</v>
      </c>
      <c r="X255" s="1171">
        <v>3</v>
      </c>
      <c r="Y255" s="128">
        <f>IF(X255="ND","ND",IF(S255="","",IF(input_values!K255&gt;0,input_values!K255,IF(OR(X255=1,X255=3),1,IF((V255&gt;250),5,7)))))</f>
        <v>1</v>
      </c>
      <c r="Z255" s="345" t="str">
        <f t="shared" si="30"/>
        <v/>
      </c>
      <c r="AA255" s="332">
        <f t="shared" si="31"/>
        <v>0</v>
      </c>
      <c r="AB255" s="128">
        <f t="shared" si="35"/>
        <v>1</v>
      </c>
      <c r="AC255" s="345" t="str">
        <f t="shared" si="36"/>
        <v/>
      </c>
      <c r="AD255" s="332">
        <f t="shared" si="32"/>
        <v>0</v>
      </c>
      <c r="AE255" s="40" t="str">
        <f t="shared" si="37"/>
        <v/>
      </c>
      <c r="AF255" s="40" t="str">
        <f t="shared" si="38"/>
        <v/>
      </c>
      <c r="AG255" s="561" t="str">
        <f t="shared" si="33"/>
        <v/>
      </c>
      <c r="AH255" s="561" t="str">
        <f t="shared" si="39"/>
        <v/>
      </c>
      <c r="AI255" s="576"/>
      <c r="AJ255" s="847"/>
    </row>
    <row r="256" spans="1:36" outlineLevel="1" x14ac:dyDescent="0.2">
      <c r="A256" s="130">
        <f>acute_overview_children!A256</f>
        <v>2</v>
      </c>
      <c r="B256" s="131">
        <f>acute_overview_children!B256</f>
        <v>630000</v>
      </c>
      <c r="C256" s="131" t="s">
        <v>365</v>
      </c>
      <c r="D256" s="300">
        <f>Table22[[#This Row],[Level used for acute calculation]]</f>
        <v>4</v>
      </c>
      <c r="E256" s="302">
        <f>Table22[[#This Row],[MRL individual commodity]]</f>
        <v>0</v>
      </c>
      <c r="F256" s="451">
        <f>Table22[[#This Row],[Acute RA input value]]</f>
        <v>0</v>
      </c>
      <c r="G256" s="301">
        <f>Table22[[#This Row],[Acute RA label]]</f>
        <v>0</v>
      </c>
      <c r="H256" s="303">
        <f>Table22[[#This Row],[Acute RA IESTI new input value]]</f>
        <v>0</v>
      </c>
      <c r="I256" s="301">
        <f>Table22[[#This Row],[Acute RA IESTI new label]]</f>
        <v>0</v>
      </c>
      <c r="J256" s="65"/>
      <c r="K256" s="304">
        <f>Table22[[#This Row],[GAP under assessment]]</f>
        <v>0</v>
      </c>
      <c r="L256" s="304" t="str">
        <f>IF(input_values!$M256=0,"",input_values!$M256)</f>
        <v/>
      </c>
      <c r="M256" s="301" t="str">
        <f>IF(input_values!H256=0,"",input_values!H256)</f>
        <v/>
      </c>
      <c r="N256" s="304">
        <f>input_values!$K256</f>
        <v>0</v>
      </c>
      <c r="O256" s="347"/>
      <c r="P256" s="47"/>
      <c r="Q256" s="348"/>
      <c r="R256" s="349"/>
      <c r="S256" s="347" t="str">
        <f t="shared" si="34"/>
        <v/>
      </c>
      <c r="T256" s="347"/>
      <c r="U256" s="349"/>
      <c r="V256" s="347"/>
      <c r="W256" s="349"/>
      <c r="X256" s="611" t="str">
        <f>IF(V256="ND","ND",IF(S256="","",IF(OR(MID(C256,1,4)="milk",AND(MID(B256,1,2)="50",NOT(input_values!M256="Y")),AND(MID(B256,1,2)="40",NOT(input_values!M256="Y")),AND(MID(B256,1,2)="30",NOT(input_values!M256="Y"))),3,IF(OR(V256="&lt;25",B256&gt;1000000),1,IF((T256&gt;=S256),"2b","2a")))))</f>
        <v/>
      </c>
      <c r="Y256" s="47" t="str">
        <f>IF(X256="ND","ND",IF(S256="","",IF(input_values!K256&gt;0,input_values!K256,IF(OR(X256=1,X256=3),1,IF((V256&gt;250),5,7)))))</f>
        <v/>
      </c>
      <c r="Z256" s="350" t="str">
        <f t="shared" si="30"/>
        <v/>
      </c>
      <c r="AA256" s="351">
        <f t="shared" si="31"/>
        <v>0</v>
      </c>
      <c r="AB256" s="38" t="str">
        <f t="shared" si="35"/>
        <v/>
      </c>
      <c r="AC256" s="350" t="str">
        <f t="shared" si="36"/>
        <v/>
      </c>
      <c r="AD256" s="351">
        <f t="shared" si="32"/>
        <v>0</v>
      </c>
      <c r="AE256" s="352" t="str">
        <f t="shared" si="37"/>
        <v/>
      </c>
      <c r="AF256" s="352" t="str">
        <f t="shared" si="38"/>
        <v/>
      </c>
      <c r="AG256" s="561" t="str">
        <f t="shared" si="33"/>
        <v/>
      </c>
      <c r="AH256" s="561" t="str">
        <f t="shared" si="39"/>
        <v/>
      </c>
      <c r="AI256" s="576"/>
      <c r="AJ256" s="847"/>
    </row>
    <row r="257" spans="1:36" ht="24" outlineLevel="2" x14ac:dyDescent="0.2">
      <c r="A257" s="132">
        <f>acute_overview_children!A257</f>
        <v>3</v>
      </c>
      <c r="B257" s="3">
        <f>acute_overview_children!B257</f>
        <v>631000</v>
      </c>
      <c r="C257" s="3" t="s">
        <v>74</v>
      </c>
      <c r="D257" s="300">
        <f>Table22[[#This Row],[Level used for acute calculation]]</f>
        <v>4</v>
      </c>
      <c r="E257" s="302">
        <f>Table22[[#This Row],[MRL individual commodity]]</f>
        <v>0</v>
      </c>
      <c r="F257" s="451">
        <f>Table22[[#This Row],[Acute RA input value]]</f>
        <v>0</v>
      </c>
      <c r="G257" s="301">
        <f>Table22[[#This Row],[Acute RA label]]</f>
        <v>0</v>
      </c>
      <c r="H257" s="303">
        <f>Table22[[#This Row],[Acute RA IESTI new input value]]</f>
        <v>0</v>
      </c>
      <c r="I257" s="301">
        <f>Table22[[#This Row],[Acute RA IESTI new label]]</f>
        <v>0</v>
      </c>
      <c r="J257" s="65"/>
      <c r="K257" s="304">
        <f>Table22[[#This Row],[GAP under assessment]]</f>
        <v>0</v>
      </c>
      <c r="L257" s="304" t="str">
        <f>IF(input_values!$M257=0,"",input_values!$M257)</f>
        <v/>
      </c>
      <c r="M257" s="301" t="str">
        <f>IF(input_values!H257=0,"",input_values!H257)</f>
        <v/>
      </c>
      <c r="N257" s="304">
        <f>input_values!$K257</f>
        <v>0</v>
      </c>
      <c r="O257" s="349"/>
      <c r="P257" s="47"/>
      <c r="Q257" s="348"/>
      <c r="R257" s="349"/>
      <c r="S257" s="347"/>
      <c r="T257" s="347"/>
      <c r="U257" s="349"/>
      <c r="V257" s="347"/>
      <c r="W257" s="349"/>
      <c r="X257" s="611" t="str">
        <f>IF(V257="ND","ND",IF(S257="","",IF(OR(MID(C257,1,4)="milk",AND(MID(B257,1,2)="50",NOT(input_values!M257="Y")),AND(MID(B257,1,2)="40",NOT(input_values!M257="Y")),AND(MID(B257,1,2)="30",NOT(input_values!M257="Y"))),3,IF(OR(V257="&lt;25",B257&gt;1000000),1,IF((T257&gt;=S257),"2b","2a")))))</f>
        <v/>
      </c>
      <c r="Y257" s="47" t="str">
        <f>IF(X257="ND","ND",IF(S257="","",IF(input_values!K257&gt;0,input_values!K257,IF(OR(X257=1,X257=3),1,IF((V257&gt;250),5,7)))))</f>
        <v/>
      </c>
      <c r="Z257" s="354" t="str">
        <f t="shared" si="30"/>
        <v/>
      </c>
      <c r="AA257" s="351">
        <f t="shared" si="31"/>
        <v>0</v>
      </c>
      <c r="AB257" s="47"/>
      <c r="AC257" s="354" t="str">
        <f t="shared" si="36"/>
        <v/>
      </c>
      <c r="AD257" s="351">
        <f t="shared" si="32"/>
        <v>0</v>
      </c>
      <c r="AE257" s="355" t="str">
        <f t="shared" si="37"/>
        <v/>
      </c>
      <c r="AF257" s="355" t="str">
        <f t="shared" si="38"/>
        <v/>
      </c>
      <c r="AG257" s="561" t="str">
        <f t="shared" si="33"/>
        <v/>
      </c>
      <c r="AH257" s="561" t="str">
        <f t="shared" si="39"/>
        <v/>
      </c>
      <c r="AI257" s="576"/>
      <c r="AJ257" s="847"/>
    </row>
    <row r="258" spans="1:36" ht="12" customHeight="1" outlineLevel="3" x14ac:dyDescent="0.2">
      <c r="A258" s="39">
        <f>acute_overview_children!A258</f>
        <v>4</v>
      </c>
      <c r="B258" s="23">
        <f>acute_overview_children!B258</f>
        <v>631010</v>
      </c>
      <c r="C258" s="23" t="s">
        <v>767</v>
      </c>
      <c r="D258" s="300">
        <f>Table22[[#This Row],[Level used for acute calculation]]</f>
        <v>4</v>
      </c>
      <c r="E258" s="302">
        <f>Table22[[#This Row],[MRL individual commodity]]</f>
        <v>0</v>
      </c>
      <c r="F258" s="451">
        <f>Table22[[#This Row],[Acute RA input value]]</f>
        <v>0</v>
      </c>
      <c r="G258" s="301" t="str">
        <f>Table22[[#This Row],[Acute RA label]]</f>
        <v/>
      </c>
      <c r="H258" s="303">
        <f>Table22[[#This Row],[Acute RA IESTI new input value]]</f>
        <v>0</v>
      </c>
      <c r="I258" s="301" t="str">
        <f>Table22[[#This Row],[Acute RA IESTI new label]]</f>
        <v/>
      </c>
      <c r="J258" s="65"/>
      <c r="K258" s="304">
        <f>Table22[[#This Row],[GAP under assessment]]</f>
        <v>0</v>
      </c>
      <c r="L258" s="304" t="str">
        <f>IF(input_values!$M258=0,"",input_values!$M258)</f>
        <v/>
      </c>
      <c r="M258" s="301" t="str">
        <f>IF(input_values!H258=0,"",input_values!H258)</f>
        <v/>
      </c>
      <c r="N258" s="304">
        <f>input_values!$K258</f>
        <v>0</v>
      </c>
      <c r="O258" s="339">
        <v>0.6</v>
      </c>
      <c r="P258" s="128" t="s">
        <v>331</v>
      </c>
      <c r="Q258" s="346" t="s">
        <v>98</v>
      </c>
      <c r="R258" s="339">
        <v>60</v>
      </c>
      <c r="S258" s="338">
        <f t="shared" si="34"/>
        <v>36</v>
      </c>
      <c r="T258" s="338" t="s">
        <v>617</v>
      </c>
      <c r="U258" s="339" t="s">
        <v>215</v>
      </c>
      <c r="V258" s="338" t="s">
        <v>617</v>
      </c>
      <c r="W258" s="339" t="s">
        <v>215</v>
      </c>
      <c r="X258" s="460">
        <f>IF(V258="ND","ND",IF(S258="","",IF(OR(MID(C258,1,4)="milk",AND(MID(B258,1,2)="50",NOT(input_values!M258="Y")),AND(MID(B258,1,2)="40",NOT(input_values!M258="Y")),AND(MID(B258,1,2)="30",NOT(input_values!M258="Y"))),3,IF(OR(V258="&lt;25",B258&gt;1000000),1,IF((T258&gt;=S258),"2b","2a")))))</f>
        <v>1</v>
      </c>
      <c r="Y258" s="128">
        <f>IF(X258="ND","ND",IF(S258="","",IF(input_values!K258&gt;0,input_values!K258,IF(OR(X258=1,X258=3),1,IF((V258&gt;250),5,7)))))</f>
        <v>1</v>
      </c>
      <c r="Z258" s="345" t="str">
        <f t="shared" si="30"/>
        <v/>
      </c>
      <c r="AA258" s="332">
        <f t="shared" si="31"/>
        <v>0</v>
      </c>
      <c r="AB258" s="128">
        <f t="shared" si="35"/>
        <v>1</v>
      </c>
      <c r="AC258" s="345" t="str">
        <f t="shared" si="36"/>
        <v/>
      </c>
      <c r="AD258" s="332">
        <f t="shared" si="32"/>
        <v>0</v>
      </c>
      <c r="AE258" s="40" t="str">
        <f t="shared" si="37"/>
        <v/>
      </c>
      <c r="AF258" s="40" t="str">
        <f t="shared" si="38"/>
        <v/>
      </c>
      <c r="AG258" s="561" t="str">
        <f t="shared" si="33"/>
        <v/>
      </c>
      <c r="AH258" s="561" t="str">
        <f t="shared" si="39"/>
        <v/>
      </c>
      <c r="AI258" s="576"/>
      <c r="AJ258" s="847"/>
    </row>
    <row r="259" spans="1:36" ht="12" customHeight="1" outlineLevel="3" x14ac:dyDescent="0.2">
      <c r="A259" s="39">
        <f>acute_overview_children!A259</f>
        <v>4</v>
      </c>
      <c r="B259" s="23">
        <f>acute_overview_children!B259</f>
        <v>631020</v>
      </c>
      <c r="C259" s="23" t="s">
        <v>768</v>
      </c>
      <c r="D259" s="300">
        <f>Table22[[#This Row],[Level used for acute calculation]]</f>
        <v>4</v>
      </c>
      <c r="E259" s="302">
        <f>Table22[[#This Row],[MRL individual commodity]]</f>
        <v>0</v>
      </c>
      <c r="F259" s="451">
        <f>Table22[[#This Row],[Acute RA input value]]</f>
        <v>0</v>
      </c>
      <c r="G259" s="301" t="str">
        <f>Table22[[#This Row],[Acute RA label]]</f>
        <v/>
      </c>
      <c r="H259" s="303">
        <f>Table22[[#This Row],[Acute RA IESTI new input value]]</f>
        <v>0</v>
      </c>
      <c r="I259" s="301" t="str">
        <f>Table22[[#This Row],[Acute RA IESTI new label]]</f>
        <v/>
      </c>
      <c r="J259" s="65"/>
      <c r="K259" s="304">
        <f>Table22[[#This Row],[GAP under assessment]]</f>
        <v>0</v>
      </c>
      <c r="L259" s="304" t="str">
        <f>IF(input_values!$M259=0,"",input_values!$M259)</f>
        <v/>
      </c>
      <c r="M259" s="301" t="str">
        <f>IF(input_values!H259=0,"",input_values!H259)</f>
        <v/>
      </c>
      <c r="N259" s="304">
        <f>input_values!$K259</f>
        <v>0</v>
      </c>
      <c r="O259" s="339">
        <v>0.3</v>
      </c>
      <c r="P259" s="128">
        <v>97.5</v>
      </c>
      <c r="Q259" s="346" t="s">
        <v>334</v>
      </c>
      <c r="R259" s="339">
        <v>67.47</v>
      </c>
      <c r="S259" s="338">
        <f t="shared" si="34"/>
        <v>20.241</v>
      </c>
      <c r="T259" s="338" t="s">
        <v>617</v>
      </c>
      <c r="U259" s="339"/>
      <c r="V259" s="338" t="s">
        <v>617</v>
      </c>
      <c r="W259" s="339"/>
      <c r="X259" s="460">
        <f>IF(V259="ND","ND",IF(S259="","",IF(OR(MID(C259,1,4)="milk",AND(MID(B259,1,2)="50",NOT(input_values!M259="Y")),AND(MID(B259,1,2)="40",NOT(input_values!M259="Y")),AND(MID(B259,1,2)="30",NOT(input_values!M259="Y"))),3,IF(OR(V259="&lt;25",B259&gt;1000000),1,IF((T259&gt;=S259),"2b","2a")))))</f>
        <v>1</v>
      </c>
      <c r="Y259" s="128">
        <f>IF(X259="ND","ND",IF(S259="","",IF(input_values!K259&gt;0,input_values!K259,IF(OR(X259=1,X259=3),1,IF((V259&gt;250),5,7)))))</f>
        <v>1</v>
      </c>
      <c r="Z259" s="345" t="str">
        <f t="shared" si="30"/>
        <v/>
      </c>
      <c r="AA259" s="332">
        <f t="shared" si="31"/>
        <v>0</v>
      </c>
      <c r="AB259" s="128">
        <f t="shared" si="35"/>
        <v>1</v>
      </c>
      <c r="AC259" s="345" t="str">
        <f t="shared" si="36"/>
        <v/>
      </c>
      <c r="AD259" s="332">
        <f t="shared" si="32"/>
        <v>0</v>
      </c>
      <c r="AE259" s="40" t="str">
        <f t="shared" si="37"/>
        <v/>
      </c>
      <c r="AF259" s="40" t="str">
        <f t="shared" si="38"/>
        <v/>
      </c>
      <c r="AG259" s="561" t="str">
        <f t="shared" si="33"/>
        <v/>
      </c>
      <c r="AH259" s="561" t="str">
        <f t="shared" si="39"/>
        <v/>
      </c>
      <c r="AI259" s="576"/>
      <c r="AJ259" s="847"/>
    </row>
    <row r="260" spans="1:36" ht="12" customHeight="1" outlineLevel="3" x14ac:dyDescent="0.2">
      <c r="A260" s="39">
        <f>acute_overview_children!A260</f>
        <v>4</v>
      </c>
      <c r="B260" s="23">
        <f>acute_overview_children!B260</f>
        <v>631030</v>
      </c>
      <c r="C260" s="23" t="s">
        <v>769</v>
      </c>
      <c r="D260" s="300">
        <f>Table22[[#This Row],[Level used for acute calculation]]</f>
        <v>4</v>
      </c>
      <c r="E260" s="302">
        <f>Table22[[#This Row],[MRL individual commodity]]</f>
        <v>0</v>
      </c>
      <c r="F260" s="451">
        <f>Table22[[#This Row],[Acute RA input value]]</f>
        <v>0</v>
      </c>
      <c r="G260" s="301" t="str">
        <f>Table22[[#This Row],[Acute RA label]]</f>
        <v/>
      </c>
      <c r="H260" s="303">
        <f>Table22[[#This Row],[Acute RA IESTI new input value]]</f>
        <v>0</v>
      </c>
      <c r="I260" s="301" t="str">
        <f>Table22[[#This Row],[Acute RA IESTI new label]]</f>
        <v/>
      </c>
      <c r="J260" s="65"/>
      <c r="K260" s="304">
        <f>Table22[[#This Row],[GAP under assessment]]</f>
        <v>0</v>
      </c>
      <c r="L260" s="304" t="str">
        <f>IF(input_values!$M260=0,"",input_values!$M260)</f>
        <v/>
      </c>
      <c r="M260" s="301" t="str">
        <f>IF(input_values!H260=0,"",input_values!H260)</f>
        <v/>
      </c>
      <c r="N260" s="304">
        <f>input_values!$K260</f>
        <v>0</v>
      </c>
      <c r="O260" s="339">
        <v>0.6</v>
      </c>
      <c r="P260" s="128" t="s">
        <v>331</v>
      </c>
      <c r="Q260" s="346" t="s">
        <v>98</v>
      </c>
      <c r="R260" s="339">
        <v>60</v>
      </c>
      <c r="S260" s="338">
        <f>IF(O260="ND","ND",IF(O260="","",O260*R260))</f>
        <v>36</v>
      </c>
      <c r="T260" s="338" t="s">
        <v>617</v>
      </c>
      <c r="U260" s="339"/>
      <c r="V260" s="338" t="s">
        <v>617</v>
      </c>
      <c r="W260" s="339"/>
      <c r="X260" s="460">
        <f>IF(V260="ND","ND",IF(S260="","",IF(OR(MID(C260,1,4)="milk",AND(MID(B260,1,2)="50",NOT(input_values!M260="Y")),AND(MID(B260,1,2)="40",NOT(input_values!M260="Y")),AND(MID(B260,1,2)="30",NOT(input_values!M260="Y"))),3,IF(OR(V260="&lt;25",B260&gt;1000000),1,IF((T260&gt;=S260),"2b","2a")))))</f>
        <v>1</v>
      </c>
      <c r="Y260" s="128">
        <f>IF(X260="ND","ND",IF(S260="","",IF(input_values!K260&gt;0,input_values!K260,IF(OR(X260=1,X260=3),1,IF((V260&gt;250),5,7)))))</f>
        <v>1</v>
      </c>
      <c r="Z260" s="345" t="str">
        <f t="shared" si="30"/>
        <v/>
      </c>
      <c r="AA260" s="332">
        <f t="shared" si="31"/>
        <v>0</v>
      </c>
      <c r="AB260" s="128">
        <f t="shared" si="35"/>
        <v>1</v>
      </c>
      <c r="AC260" s="345" t="str">
        <f t="shared" si="36"/>
        <v/>
      </c>
      <c r="AD260" s="332">
        <f t="shared" si="32"/>
        <v>0</v>
      </c>
      <c r="AE260" s="40" t="str">
        <f t="shared" si="37"/>
        <v/>
      </c>
      <c r="AF260" s="40" t="str">
        <f t="shared" si="38"/>
        <v/>
      </c>
      <c r="AG260" s="561" t="str">
        <f t="shared" si="33"/>
        <v/>
      </c>
      <c r="AH260" s="561" t="str">
        <f t="shared" si="39"/>
        <v/>
      </c>
      <c r="AI260" s="576"/>
      <c r="AJ260" s="847"/>
    </row>
    <row r="261" spans="1:36" ht="12" customHeight="1" outlineLevel="3" x14ac:dyDescent="0.2">
      <c r="A261" s="39">
        <f>acute_overview_children!A261</f>
        <v>4</v>
      </c>
      <c r="B261" s="23">
        <f>acute_overview_children!B261</f>
        <v>631040</v>
      </c>
      <c r="C261" s="23" t="s">
        <v>770</v>
      </c>
      <c r="D261" s="300">
        <f>Table22[[#This Row],[Level used for acute calculation]]</f>
        <v>4</v>
      </c>
      <c r="E261" s="302">
        <f>Table22[[#This Row],[MRL individual commodity]]</f>
        <v>0</v>
      </c>
      <c r="F261" s="451">
        <f>Table22[[#This Row],[Acute RA input value]]</f>
        <v>0</v>
      </c>
      <c r="G261" s="301" t="str">
        <f>Table22[[#This Row],[Acute RA label]]</f>
        <v/>
      </c>
      <c r="H261" s="303">
        <f>Table22[[#This Row],[Acute RA IESTI new input value]]</f>
        <v>0</v>
      </c>
      <c r="I261" s="301" t="str">
        <f>Table22[[#This Row],[Acute RA IESTI new label]]</f>
        <v/>
      </c>
      <c r="J261" s="65"/>
      <c r="K261" s="304">
        <f>Table22[[#This Row],[GAP under assessment]]</f>
        <v>0</v>
      </c>
      <c r="L261" s="304" t="str">
        <f>IF(input_values!$M261=0,"",input_values!$M261)</f>
        <v/>
      </c>
      <c r="M261" s="301" t="str">
        <f>IF(input_values!H261=0,"",input_values!H261)</f>
        <v/>
      </c>
      <c r="N261" s="304">
        <f>input_values!$K261</f>
        <v>0</v>
      </c>
      <c r="O261" s="339">
        <v>0.6</v>
      </c>
      <c r="P261" s="128" t="s">
        <v>331</v>
      </c>
      <c r="Q261" s="346" t="s">
        <v>98</v>
      </c>
      <c r="R261" s="339">
        <v>60</v>
      </c>
      <c r="S261" s="338">
        <f t="shared" si="34"/>
        <v>36</v>
      </c>
      <c r="T261" s="338" t="s">
        <v>617</v>
      </c>
      <c r="U261" s="339"/>
      <c r="V261" s="338" t="s">
        <v>617</v>
      </c>
      <c r="W261" s="339"/>
      <c r="X261" s="460">
        <f>IF(V261="ND","ND",IF(S261="","",IF(OR(MID(C261,1,4)="milk",AND(MID(B261,1,2)="50",NOT(input_values!M261="Y")),AND(MID(B261,1,2)="40",NOT(input_values!M261="Y")),AND(MID(B261,1,2)="30",NOT(input_values!M261="Y"))),3,IF(OR(V261="&lt;25",B261&gt;1000000),1,IF((T261&gt;=S261),"2b","2a")))))</f>
        <v>1</v>
      </c>
      <c r="Y261" s="128">
        <f>IF(X261="ND","ND",IF(S261="","",IF(input_values!K261&gt;0,input_values!K261,IF(OR(X261=1,X261=3),1,IF((V261&gt;250),5,7)))))</f>
        <v>1</v>
      </c>
      <c r="Z261" s="345" t="str">
        <f t="shared" si="30"/>
        <v/>
      </c>
      <c r="AA261" s="332">
        <f t="shared" si="31"/>
        <v>0</v>
      </c>
      <c r="AB261" s="128">
        <f t="shared" si="35"/>
        <v>1</v>
      </c>
      <c r="AC261" s="345" t="str">
        <f t="shared" si="36"/>
        <v/>
      </c>
      <c r="AD261" s="332">
        <f t="shared" si="32"/>
        <v>0</v>
      </c>
      <c r="AE261" s="40" t="str">
        <f t="shared" si="37"/>
        <v/>
      </c>
      <c r="AF261" s="40" t="str">
        <f t="shared" si="38"/>
        <v/>
      </c>
      <c r="AG261" s="561" t="str">
        <f t="shared" si="33"/>
        <v/>
      </c>
      <c r="AH261" s="561" t="str">
        <f t="shared" si="39"/>
        <v/>
      </c>
      <c r="AI261" s="576"/>
      <c r="AJ261" s="847"/>
    </row>
    <row r="262" spans="1:36" ht="12" customHeight="1" outlineLevel="3" x14ac:dyDescent="0.2">
      <c r="A262" s="39">
        <f>acute_overview_children!A262</f>
        <v>4</v>
      </c>
      <c r="B262" s="23">
        <f>acute_overview_children!B262</f>
        <v>631050</v>
      </c>
      <c r="C262" s="23" t="s">
        <v>766</v>
      </c>
      <c r="D262" s="300">
        <f>Table22[[#This Row],[Level used for acute calculation]]</f>
        <v>4</v>
      </c>
      <c r="E262" s="302">
        <f>Table22[[#This Row],[MRL individual commodity]]</f>
        <v>0</v>
      </c>
      <c r="F262" s="451">
        <f>Table22[[#This Row],[Acute RA input value]]</f>
        <v>0</v>
      </c>
      <c r="G262" s="301" t="str">
        <f>Table22[[#This Row],[Acute RA label]]</f>
        <v/>
      </c>
      <c r="H262" s="303">
        <f>Table22[[#This Row],[Acute RA IESTI new input value]]</f>
        <v>0</v>
      </c>
      <c r="I262" s="301" t="str">
        <f>Table22[[#This Row],[Acute RA IESTI new label]]</f>
        <v/>
      </c>
      <c r="J262" s="65"/>
      <c r="K262" s="304">
        <f>Table22[[#This Row],[GAP under assessment]]</f>
        <v>0</v>
      </c>
      <c r="L262" s="304" t="str">
        <f>IF(input_values!$M262=0,"",input_values!$M262)</f>
        <v/>
      </c>
      <c r="M262" s="301" t="str">
        <f>IF(input_values!H262=0,"",input_values!H262)</f>
        <v/>
      </c>
      <c r="N262" s="304">
        <f>input_values!$K262</f>
        <v>0</v>
      </c>
      <c r="O262" s="339">
        <v>0.6</v>
      </c>
      <c r="P262" s="128" t="s">
        <v>331</v>
      </c>
      <c r="Q262" s="346" t="s">
        <v>98</v>
      </c>
      <c r="R262" s="339">
        <v>60</v>
      </c>
      <c r="S262" s="338">
        <f t="shared" si="34"/>
        <v>36</v>
      </c>
      <c r="T262" s="338" t="s">
        <v>617</v>
      </c>
      <c r="U262" s="339"/>
      <c r="V262" s="338" t="s">
        <v>617</v>
      </c>
      <c r="W262" s="339"/>
      <c r="X262" s="460">
        <f>IF(V262="ND","ND",IF(S262="","",IF(OR(MID(C262,1,4)="milk",AND(MID(B262,1,2)="50",NOT(input_values!M262="Y")),AND(MID(B262,1,2)="40",NOT(input_values!M262="Y")),AND(MID(B262,1,2)="30",NOT(input_values!M262="Y"))),3,IF(OR(V262="&lt;25",B262&gt;1000000),1,IF((T262&gt;=S262),"2b","2a")))))</f>
        <v>1</v>
      </c>
      <c r="Y262" s="128">
        <f>IF(X262="ND","ND",IF(S262="","",IF(input_values!K262&gt;0,input_values!K262,IF(OR(X262=1,X262=3),1,IF((V262&gt;250),5,7)))))</f>
        <v>1</v>
      </c>
      <c r="Z262" s="345" t="str">
        <f t="shared" si="30"/>
        <v/>
      </c>
      <c r="AA262" s="332">
        <f t="shared" si="31"/>
        <v>0</v>
      </c>
      <c r="AB262" s="128">
        <f t="shared" si="35"/>
        <v>1</v>
      </c>
      <c r="AC262" s="345" t="str">
        <f t="shared" si="36"/>
        <v/>
      </c>
      <c r="AD262" s="332">
        <f t="shared" si="32"/>
        <v>0</v>
      </c>
      <c r="AE262" s="40" t="str">
        <f t="shared" si="37"/>
        <v/>
      </c>
      <c r="AF262" s="40" t="str">
        <f t="shared" si="38"/>
        <v/>
      </c>
      <c r="AG262" s="561" t="str">
        <f t="shared" si="33"/>
        <v/>
      </c>
      <c r="AH262" s="561" t="str">
        <f t="shared" si="39"/>
        <v/>
      </c>
      <c r="AI262" s="576"/>
      <c r="AJ262" s="847"/>
    </row>
    <row r="263" spans="1:36" ht="12" customHeight="1" outlineLevel="3" x14ac:dyDescent="0.2">
      <c r="A263" s="39">
        <f>acute_overview_children!A263</f>
        <v>4</v>
      </c>
      <c r="B263" s="23">
        <f>acute_overview_children!B263</f>
        <v>631990</v>
      </c>
      <c r="C263" s="23" t="s">
        <v>180</v>
      </c>
      <c r="D263" s="300">
        <f>Table22[[#This Row],[Level used for acute calculation]]</f>
        <v>0</v>
      </c>
      <c r="E263" s="302">
        <f>Table22[[#This Row],[MRL individual commodity]]</f>
        <v>0</v>
      </c>
      <c r="F263" s="451">
        <f>Table22[[#This Row],[Acute RA input value]]</f>
        <v>0</v>
      </c>
      <c r="G263" s="301">
        <f>Table22[[#This Row],[Acute RA label]]</f>
        <v>0</v>
      </c>
      <c r="H263" s="303">
        <f>Table22[[#This Row],[Acute RA IESTI new input value]]</f>
        <v>0</v>
      </c>
      <c r="I263" s="301">
        <f>Table22[[#This Row],[Acute RA IESTI new label]]</f>
        <v>0</v>
      </c>
      <c r="J263" s="65"/>
      <c r="K263" s="304">
        <f>Table22[[#This Row],[GAP under assessment]]</f>
        <v>0</v>
      </c>
      <c r="L263" s="304" t="str">
        <f>IF(input_values!$M263=0,"",input_values!$M263)</f>
        <v/>
      </c>
      <c r="M263" s="301" t="str">
        <f>IF(input_values!H263=0,"",input_values!H263)</f>
        <v/>
      </c>
      <c r="N263" s="304">
        <f>input_values!$K263</f>
        <v>0</v>
      </c>
      <c r="O263" s="349"/>
      <c r="P263" s="47"/>
      <c r="Q263" s="348"/>
      <c r="R263" s="349"/>
      <c r="S263" s="610"/>
      <c r="T263" s="347"/>
      <c r="U263" s="349"/>
      <c r="V263" s="347"/>
      <c r="W263" s="349"/>
      <c r="X263" s="611" t="str">
        <f>IF(V263="ND","ND",IF(S263="","",IF(OR(MID(C263,1,4)="milk",AND(MID(B263,1,2)="50",NOT(input_values!M263="Y")),AND(MID(B263,1,2)="40",NOT(input_values!M263="Y")),AND(MID(B263,1,2)="30",NOT(input_values!M263="Y"))),3,IF(OR(V263="&lt;25",B263&gt;1000000),1,IF((T263&gt;=S263),"2b","2a")))))</f>
        <v/>
      </c>
      <c r="Y263" s="47" t="str">
        <f>IF(X263="ND","ND",IF(S263="","",IF(input_values!K263&gt;0,input_values!K263,IF(OR(X263=1,X263=3),1,IF((V263&gt;250),5,7)))))</f>
        <v/>
      </c>
      <c r="Z263" s="354" t="str">
        <f t="shared" si="30"/>
        <v/>
      </c>
      <c r="AA263" s="351">
        <f t="shared" si="31"/>
        <v>0</v>
      </c>
      <c r="AB263" s="47"/>
      <c r="AC263" s="354"/>
      <c r="AD263" s="351">
        <f t="shared" si="32"/>
        <v>0</v>
      </c>
      <c r="AE263" s="355"/>
      <c r="AF263" s="355"/>
      <c r="AG263" s="561" t="str">
        <f t="shared" si="33"/>
        <v/>
      </c>
      <c r="AH263" s="561" t="str">
        <f t="shared" si="39"/>
        <v/>
      </c>
      <c r="AI263" s="576"/>
      <c r="AJ263" s="847"/>
    </row>
    <row r="264" spans="1:36" outlineLevel="2" x14ac:dyDescent="0.2">
      <c r="A264" s="132">
        <f>acute_overview_children!A264</f>
        <v>3</v>
      </c>
      <c r="B264" s="3">
        <f>acute_overview_children!B264</f>
        <v>632000</v>
      </c>
      <c r="C264" s="3" t="s">
        <v>75</v>
      </c>
      <c r="D264" s="300">
        <f>Table22[[#This Row],[Level used for acute calculation]]</f>
        <v>4</v>
      </c>
      <c r="E264" s="302">
        <f>Table22[[#This Row],[MRL individual commodity]]</f>
        <v>0</v>
      </c>
      <c r="F264" s="451">
        <f>Table22[[#This Row],[Acute RA input value]]</f>
        <v>0</v>
      </c>
      <c r="G264" s="301">
        <f>Table22[[#This Row],[Acute RA label]]</f>
        <v>0</v>
      </c>
      <c r="H264" s="303">
        <f>Table22[[#This Row],[Acute RA IESTI new input value]]</f>
        <v>0</v>
      </c>
      <c r="I264" s="301">
        <f>Table22[[#This Row],[Acute RA IESTI new label]]</f>
        <v>0</v>
      </c>
      <c r="J264" s="65"/>
      <c r="K264" s="304">
        <f>Table22[[#This Row],[GAP under assessment]]</f>
        <v>0</v>
      </c>
      <c r="L264" s="304" t="str">
        <f>IF(input_values!$M264=0,"",input_values!$M264)</f>
        <v/>
      </c>
      <c r="M264" s="301" t="str">
        <f>IF(input_values!H264=0,"",input_values!H264)</f>
        <v/>
      </c>
      <c r="N264" s="304">
        <f>input_values!$K264</f>
        <v>0</v>
      </c>
      <c r="O264" s="349"/>
      <c r="P264" s="47"/>
      <c r="Q264" s="348"/>
      <c r="R264" s="349"/>
      <c r="S264" s="347"/>
      <c r="T264" s="347"/>
      <c r="U264" s="349"/>
      <c r="V264" s="347"/>
      <c r="W264" s="349"/>
      <c r="X264" s="611" t="str">
        <f>IF(V264="ND","ND",IF(S264="","",IF(OR(MID(C264,1,4)="milk",AND(MID(B264,1,2)="50",NOT(input_values!M264="Y")),AND(MID(B264,1,2)="40",NOT(input_values!M264="Y")),AND(MID(B264,1,2)="30",NOT(input_values!M264="Y"))),3,IF(OR(V264="&lt;25",B264&gt;1000000),1,IF((T264&gt;=S264),"2b","2a")))))</f>
        <v/>
      </c>
      <c r="Y264" s="47" t="str">
        <f>IF(X264="ND","ND",IF(S264="","",IF(input_values!K264&gt;0,input_values!K264,IF(OR(X264=1,X264=3),1,IF((V264&gt;250),5,7)))))</f>
        <v/>
      </c>
      <c r="Z264" s="354" t="str">
        <f t="shared" si="30"/>
        <v/>
      </c>
      <c r="AA264" s="351">
        <f t="shared" si="31"/>
        <v>0</v>
      </c>
      <c r="AB264" s="47" t="str">
        <f t="shared" si="35"/>
        <v/>
      </c>
      <c r="AC264" s="354" t="str">
        <f t="shared" si="36"/>
        <v/>
      </c>
      <c r="AD264" s="351">
        <f t="shared" si="32"/>
        <v>0</v>
      </c>
      <c r="AE264" s="355" t="str">
        <f t="shared" si="37"/>
        <v/>
      </c>
      <c r="AF264" s="355" t="str">
        <f t="shared" si="38"/>
        <v/>
      </c>
      <c r="AG264" s="561" t="str">
        <f t="shared" si="33"/>
        <v/>
      </c>
      <c r="AH264" s="561" t="str">
        <f t="shared" si="39"/>
        <v/>
      </c>
      <c r="AI264" s="576"/>
      <c r="AJ264" s="847"/>
    </row>
    <row r="265" spans="1:36" ht="12" customHeight="1" outlineLevel="3" x14ac:dyDescent="0.2">
      <c r="A265" s="39">
        <f>acute_overview_children!A265</f>
        <v>4</v>
      </c>
      <c r="B265" s="23">
        <f>acute_overview_children!B265</f>
        <v>632010</v>
      </c>
      <c r="C265" s="23" t="s">
        <v>162</v>
      </c>
      <c r="D265" s="300">
        <f>Table22[[#This Row],[Level used for acute calculation]]</f>
        <v>4</v>
      </c>
      <c r="E265" s="302">
        <f>Table22[[#This Row],[MRL individual commodity]]</f>
        <v>0</v>
      </c>
      <c r="F265" s="451">
        <f>Table22[[#This Row],[Acute RA input value]]</f>
        <v>0</v>
      </c>
      <c r="G265" s="301" t="str">
        <f>Table22[[#This Row],[Acute RA label]]</f>
        <v/>
      </c>
      <c r="H265" s="303">
        <f>Table22[[#This Row],[Acute RA IESTI new input value]]</f>
        <v>0</v>
      </c>
      <c r="I265" s="301" t="str">
        <f>Table22[[#This Row],[Acute RA IESTI new label]]</f>
        <v/>
      </c>
      <c r="J265" s="65"/>
      <c r="K265" s="304">
        <f>Table22[[#This Row],[GAP under assessment]]</f>
        <v>0</v>
      </c>
      <c r="L265" s="304" t="str">
        <f>IF(input_values!$M265=0,"",input_values!$M265)</f>
        <v/>
      </c>
      <c r="M265" s="301" t="str">
        <f>IF(input_values!H265=0,"",input_values!H265)</f>
        <v/>
      </c>
      <c r="N265" s="304">
        <f>input_values!$K265</f>
        <v>0</v>
      </c>
      <c r="O265" s="339">
        <v>0.6</v>
      </c>
      <c r="P265" s="128" t="s">
        <v>331</v>
      </c>
      <c r="Q265" s="346" t="s">
        <v>98</v>
      </c>
      <c r="R265" s="339">
        <v>60</v>
      </c>
      <c r="S265" s="338">
        <f t="shared" si="34"/>
        <v>36</v>
      </c>
      <c r="T265" s="338" t="s">
        <v>617</v>
      </c>
      <c r="U265" s="339"/>
      <c r="V265" s="338" t="s">
        <v>617</v>
      </c>
      <c r="W265" s="339"/>
      <c r="X265" s="460">
        <f>IF(V265="ND","ND",IF(S265="","",IF(OR(MID(C265,1,4)="milk",AND(MID(B265,1,2)="50",NOT(input_values!M265="Y")),AND(MID(B265,1,2)="40",NOT(input_values!M265="Y")),AND(MID(B265,1,2)="30",NOT(input_values!M265="Y"))),3,IF(OR(V265="&lt;25",B265&gt;1000000),1,IF((T265&gt;=S265),"2b","2a")))))</f>
        <v>1</v>
      </c>
      <c r="Y265" s="128">
        <f>IF(X265="ND","ND",IF(S265="","",IF(input_values!K265&gt;0,input_values!K265,IF(OR(X265=1,X265=3),1,IF((V265&gt;250),5,7)))))</f>
        <v>1</v>
      </c>
      <c r="Z265" s="345" t="str">
        <f t="shared" si="30"/>
        <v/>
      </c>
      <c r="AA265" s="332">
        <f t="shared" si="31"/>
        <v>0</v>
      </c>
      <c r="AB265" s="128">
        <f t="shared" si="35"/>
        <v>1</v>
      </c>
      <c r="AC265" s="345" t="str">
        <f t="shared" si="36"/>
        <v/>
      </c>
      <c r="AD265" s="332">
        <f t="shared" si="32"/>
        <v>0</v>
      </c>
      <c r="AE265" s="40" t="str">
        <f t="shared" si="37"/>
        <v/>
      </c>
      <c r="AF265" s="40" t="str">
        <f t="shared" si="38"/>
        <v/>
      </c>
      <c r="AG265" s="561" t="str">
        <f t="shared" si="33"/>
        <v/>
      </c>
      <c r="AH265" s="561" t="str">
        <f t="shared" si="39"/>
        <v/>
      </c>
      <c r="AI265" s="576"/>
      <c r="AJ265" s="847"/>
    </row>
    <row r="266" spans="1:36" ht="12" customHeight="1" outlineLevel="3" x14ac:dyDescent="0.2">
      <c r="A266" s="39">
        <f>acute_overview_children!A266</f>
        <v>4</v>
      </c>
      <c r="B266" s="23">
        <f>acute_overview_children!B266</f>
        <v>632020</v>
      </c>
      <c r="C266" s="23" t="s">
        <v>771</v>
      </c>
      <c r="D266" s="300">
        <f>Table22[[#This Row],[Level used for acute calculation]]</f>
        <v>4</v>
      </c>
      <c r="E266" s="302">
        <f>Table22[[#This Row],[MRL individual commodity]]</f>
        <v>0</v>
      </c>
      <c r="F266" s="451">
        <f>Table22[[#This Row],[Acute RA input value]]</f>
        <v>0</v>
      </c>
      <c r="G266" s="301" t="str">
        <f>Table22[[#This Row],[Acute RA label]]</f>
        <v/>
      </c>
      <c r="H266" s="303">
        <f>Table22[[#This Row],[Acute RA IESTI new input value]]</f>
        <v>0</v>
      </c>
      <c r="I266" s="301" t="str">
        <f>Table22[[#This Row],[Acute RA IESTI new label]]</f>
        <v/>
      </c>
      <c r="J266" s="65"/>
      <c r="K266" s="304">
        <f>Table22[[#This Row],[GAP under assessment]]</f>
        <v>0</v>
      </c>
      <c r="L266" s="304" t="str">
        <f>IF(input_values!$M266=0,"",input_values!$M266)</f>
        <v/>
      </c>
      <c r="M266" s="301" t="str">
        <f>IF(input_values!H266=0,"",input_values!H266)</f>
        <v/>
      </c>
      <c r="N266" s="304">
        <f>input_values!$K266</f>
        <v>0</v>
      </c>
      <c r="O266" s="339">
        <v>0.4</v>
      </c>
      <c r="P266" s="128">
        <v>97.5</v>
      </c>
      <c r="Q266" s="346" t="s">
        <v>334</v>
      </c>
      <c r="R266" s="339">
        <v>67.47</v>
      </c>
      <c r="S266" s="338">
        <f t="shared" si="34"/>
        <v>26.988</v>
      </c>
      <c r="T266" s="338" t="s">
        <v>617</v>
      </c>
      <c r="U266" s="339"/>
      <c r="V266" s="338" t="s">
        <v>617</v>
      </c>
      <c r="W266" s="339"/>
      <c r="X266" s="460">
        <f>IF(V266="ND","ND",IF(S266="","",IF(OR(MID(C266,1,4)="milk",AND(MID(B266,1,2)="50",NOT(input_values!M266="Y")),AND(MID(B266,1,2)="40",NOT(input_values!M266="Y")),AND(MID(B266,1,2)="30",NOT(input_values!M266="Y"))),3,IF(OR(V266="&lt;25",B266&gt;1000000),1,IF((T266&gt;=S266),"2b","2a")))))</f>
        <v>1</v>
      </c>
      <c r="Y266" s="128">
        <f>IF(X266="ND","ND",IF(S266="","",IF(input_values!K266&gt;0,input_values!K266,IF(OR(X266=1,X266=3),1,IF((V266&gt;250),5,7)))))</f>
        <v>1</v>
      </c>
      <c r="Z266" s="345" t="str">
        <f t="shared" si="30"/>
        <v/>
      </c>
      <c r="AA266" s="332">
        <f t="shared" si="31"/>
        <v>0</v>
      </c>
      <c r="AB266" s="128">
        <f t="shared" si="35"/>
        <v>1</v>
      </c>
      <c r="AC266" s="345" t="str">
        <f t="shared" si="36"/>
        <v/>
      </c>
      <c r="AD266" s="332">
        <f t="shared" si="32"/>
        <v>0</v>
      </c>
      <c r="AE266" s="40" t="str">
        <f t="shared" si="37"/>
        <v/>
      </c>
      <c r="AF266" s="40" t="str">
        <f t="shared" si="38"/>
        <v/>
      </c>
      <c r="AG266" s="561" t="str">
        <f t="shared" si="33"/>
        <v/>
      </c>
      <c r="AH266" s="561" t="str">
        <f t="shared" si="39"/>
        <v/>
      </c>
      <c r="AI266" s="576"/>
      <c r="AJ266" s="847"/>
    </row>
    <row r="267" spans="1:36" ht="12" customHeight="1" outlineLevel="3" x14ac:dyDescent="0.2">
      <c r="A267" s="39">
        <f>acute_overview_children!A267</f>
        <v>4</v>
      </c>
      <c r="B267" s="23">
        <f>acute_overview_children!B267</f>
        <v>632030</v>
      </c>
      <c r="C267" s="23" t="s">
        <v>772</v>
      </c>
      <c r="D267" s="300">
        <f>Table22[[#This Row],[Level used for acute calculation]]</f>
        <v>4</v>
      </c>
      <c r="E267" s="302">
        <f>Table22[[#This Row],[MRL individual commodity]]</f>
        <v>0</v>
      </c>
      <c r="F267" s="451">
        <f>Table22[[#This Row],[Acute RA input value]]</f>
        <v>0</v>
      </c>
      <c r="G267" s="301" t="str">
        <f>Table22[[#This Row],[Acute RA label]]</f>
        <v/>
      </c>
      <c r="H267" s="303">
        <f>Table22[[#This Row],[Acute RA IESTI new input value]]</f>
        <v>0</v>
      </c>
      <c r="I267" s="301" t="str">
        <f>Table22[[#This Row],[Acute RA IESTI new label]]</f>
        <v/>
      </c>
      <c r="J267" s="65"/>
      <c r="K267" s="304">
        <f>Table22[[#This Row],[GAP under assessment]]</f>
        <v>0</v>
      </c>
      <c r="L267" s="304" t="str">
        <f>IF(input_values!$M267=0,"",input_values!$M267)</f>
        <v/>
      </c>
      <c r="M267" s="301" t="str">
        <f>IF(input_values!H267=0,"",input_values!H267)</f>
        <v/>
      </c>
      <c r="N267" s="304">
        <f>input_values!$K267</f>
        <v>0</v>
      </c>
      <c r="O267" s="339">
        <v>0.4</v>
      </c>
      <c r="P267" s="128">
        <v>100</v>
      </c>
      <c r="Q267" s="346" t="s">
        <v>334</v>
      </c>
      <c r="R267" s="339">
        <v>67.47</v>
      </c>
      <c r="S267" s="338">
        <f t="shared" si="34"/>
        <v>26.988</v>
      </c>
      <c r="T267" s="338" t="s">
        <v>617</v>
      </c>
      <c r="U267" s="339"/>
      <c r="V267" s="338" t="s">
        <v>617</v>
      </c>
      <c r="W267" s="339"/>
      <c r="X267" s="460">
        <f>IF(V267="ND","ND",IF(S267="","",IF(OR(MID(C267,1,4)="milk",AND(MID(B267,1,2)="50",NOT(input_values!M267="Y")),AND(MID(B267,1,2)="40",NOT(input_values!M267="Y")),AND(MID(B267,1,2)="30",NOT(input_values!M267="Y"))),3,IF(OR(V267="&lt;25",B267&gt;1000000),1,IF((T267&gt;=S267),"2b","2a")))))</f>
        <v>1</v>
      </c>
      <c r="Y267" s="128">
        <f>IF(X267="ND","ND",IF(S267="","",IF(input_values!K267&gt;0,input_values!K267,IF(OR(X267=1,X267=3),1,IF((V267&gt;250),5,7)))))</f>
        <v>1</v>
      </c>
      <c r="Z267" s="345" t="str">
        <f t="shared" si="30"/>
        <v/>
      </c>
      <c r="AA267" s="332">
        <f t="shared" si="31"/>
        <v>0</v>
      </c>
      <c r="AB267" s="128">
        <f t="shared" si="35"/>
        <v>1</v>
      </c>
      <c r="AC267" s="345" t="str">
        <f t="shared" si="36"/>
        <v/>
      </c>
      <c r="AD267" s="332">
        <f t="shared" si="32"/>
        <v>0</v>
      </c>
      <c r="AE267" s="40" t="str">
        <f t="shared" si="37"/>
        <v/>
      </c>
      <c r="AF267" s="40" t="str">
        <f t="shared" si="38"/>
        <v/>
      </c>
      <c r="AG267" s="561" t="str">
        <f t="shared" si="33"/>
        <v/>
      </c>
      <c r="AH267" s="561" t="str">
        <f t="shared" si="39"/>
        <v/>
      </c>
      <c r="AI267" s="576"/>
      <c r="AJ267" s="847"/>
    </row>
    <row r="268" spans="1:36" ht="12" customHeight="1" outlineLevel="3" x14ac:dyDescent="0.2">
      <c r="A268" s="39">
        <f>acute_overview_children!A268</f>
        <v>4</v>
      </c>
      <c r="B268" s="23">
        <f>acute_overview_children!B268</f>
        <v>632990</v>
      </c>
      <c r="C268" s="23" t="s">
        <v>181</v>
      </c>
      <c r="D268" s="300">
        <f>Table22[[#This Row],[Level used for acute calculation]]</f>
        <v>0</v>
      </c>
      <c r="E268" s="302">
        <f>Table22[[#This Row],[MRL individual commodity]]</f>
        <v>0</v>
      </c>
      <c r="F268" s="451">
        <f>Table22[[#This Row],[Acute RA input value]]</f>
        <v>0</v>
      </c>
      <c r="G268" s="301">
        <f>Table22[[#This Row],[Acute RA label]]</f>
        <v>0</v>
      </c>
      <c r="H268" s="303">
        <f>Table22[[#This Row],[Acute RA IESTI new input value]]</f>
        <v>0</v>
      </c>
      <c r="I268" s="301">
        <f>Table22[[#This Row],[Acute RA IESTI new label]]</f>
        <v>0</v>
      </c>
      <c r="J268" s="65"/>
      <c r="K268" s="304">
        <f>Table22[[#This Row],[GAP under assessment]]</f>
        <v>0</v>
      </c>
      <c r="L268" s="304" t="str">
        <f>IF(input_values!$M268=0,"",input_values!$M268)</f>
        <v/>
      </c>
      <c r="M268" s="301" t="str">
        <f>IF(input_values!H268=0,"",input_values!H268)</f>
        <v/>
      </c>
      <c r="N268" s="304">
        <f>input_values!$K268</f>
        <v>0</v>
      </c>
      <c r="O268" s="349"/>
      <c r="P268" s="47"/>
      <c r="Q268" s="348"/>
      <c r="R268" s="349"/>
      <c r="S268" s="610"/>
      <c r="T268" s="347"/>
      <c r="U268" s="349"/>
      <c r="V268" s="347"/>
      <c r="W268" s="349"/>
      <c r="X268" s="611" t="str">
        <f>IF(V268="ND","ND",IF(S268="","",IF(OR(MID(C268,1,4)="milk",AND(MID(B268,1,2)="50",NOT(input_values!M268="Y")),AND(MID(B268,1,2)="40",NOT(input_values!M268="Y")),AND(MID(B268,1,2)="30",NOT(input_values!M268="Y"))),3,IF(OR(V268="&lt;25",B268&gt;1000000),1,IF((T268&gt;=S268),"2b","2a")))))</f>
        <v/>
      </c>
      <c r="Y268" s="47" t="str">
        <f>IF(X268="ND","ND",IF(S268="","",IF(input_values!K268&gt;0,input_values!K268,IF(OR(X268=1,X268=3),1,IF((V268&gt;250),5,7)))))</f>
        <v/>
      </c>
      <c r="Z268" s="354" t="str">
        <f t="shared" ref="Z268:Z331" si="42">IF(OR(ISTEXT(F268),F268=0),"",IF(OR(S268="ND",T268="ND"),"ND",IF(($X268="2a"),1/$R268*(($F268*$T268/1000*$Y268)+($F268*($S268-$T268)/1000)),IF(($X268="2b"),1/$R268*($F268*$S268/1000*$Y268),1/$R268*($F268*$S268/1000)))))</f>
        <v/>
      </c>
      <c r="AA268" s="351">
        <f t="shared" ref="AA268:AA331" si="43">IF(OR(ISTEXT(F268),F268=0),0,IF($C$5="not necessary","no acuteRA",IF(Z268="ND","no acute RA",Z268/$C$5)))</f>
        <v>0</v>
      </c>
      <c r="AB268" s="47"/>
      <c r="AC268" s="354"/>
      <c r="AD268" s="351">
        <f t="shared" ref="AD268:AD331" si="44">IF(OR(ISTEXT(H268),H268=0,S268=0),0,IF($C$5="not necessary","no acute RA",IF(AC268="ND","no acute RA",AC268/$C$5)))</f>
        <v>0</v>
      </c>
      <c r="AE268" s="355"/>
      <c r="AF268" s="355"/>
      <c r="AG268" s="561" t="str">
        <f t="shared" ref="AG268:AG331" si="45">IF(OR(Z268=0,Z268="ND",Z268="",$C$5="not necessary"),"",IF(X268="2a",1000*$C$5*R268/(T268*Y268+S268-T268),IF(X268="2b",1000*$C$5*R268/S268/Y268,IF(OR(X268=1,X268=3),1000*$C$5*R268/S268,""))))</f>
        <v/>
      </c>
      <c r="AH268" s="561" t="str">
        <f t="shared" si="39"/>
        <v/>
      </c>
      <c r="AI268" s="576"/>
      <c r="AJ268" s="847"/>
    </row>
    <row r="269" spans="1:36" outlineLevel="2" x14ac:dyDescent="0.2">
      <c r="A269" s="132">
        <f>acute_overview_children!A269</f>
        <v>3</v>
      </c>
      <c r="B269" s="3">
        <f>acute_overview_children!B269</f>
        <v>633000</v>
      </c>
      <c r="C269" s="3" t="s">
        <v>76</v>
      </c>
      <c r="D269" s="300">
        <f>Table22[[#This Row],[Level used for acute calculation]]</f>
        <v>4</v>
      </c>
      <c r="E269" s="302">
        <f>Table22[[#This Row],[MRL individual commodity]]</f>
        <v>0</v>
      </c>
      <c r="F269" s="451">
        <f>Table22[[#This Row],[Acute RA input value]]</f>
        <v>0</v>
      </c>
      <c r="G269" s="301">
        <f>Table22[[#This Row],[Acute RA label]]</f>
        <v>0</v>
      </c>
      <c r="H269" s="303">
        <f>Table22[[#This Row],[Acute RA IESTI new input value]]</f>
        <v>0</v>
      </c>
      <c r="I269" s="301">
        <f>Table22[[#This Row],[Acute RA IESTI new label]]</f>
        <v>0</v>
      </c>
      <c r="J269" s="65"/>
      <c r="K269" s="304">
        <f>Table22[[#This Row],[GAP under assessment]]</f>
        <v>0</v>
      </c>
      <c r="L269" s="304" t="str">
        <f>IF(input_values!$M269=0,"",input_values!$M269)</f>
        <v/>
      </c>
      <c r="M269" s="301" t="str">
        <f>IF(input_values!H269=0,"",input_values!H269)</f>
        <v/>
      </c>
      <c r="N269" s="304">
        <f>input_values!$K269</f>
        <v>0</v>
      </c>
      <c r="O269" s="349"/>
      <c r="P269" s="47"/>
      <c r="Q269" s="348"/>
      <c r="R269" s="349"/>
      <c r="S269" s="347"/>
      <c r="T269" s="347"/>
      <c r="U269" s="349"/>
      <c r="V269" s="347"/>
      <c r="W269" s="349"/>
      <c r="X269" s="611" t="str">
        <f>IF(V269="ND","ND",IF(S269="","",IF(OR(MID(C269,1,4)="milk",AND(MID(B269,1,2)="50",NOT(input_values!M269="Y")),AND(MID(B269,1,2)="40",NOT(input_values!M269="Y")),AND(MID(B269,1,2)="30",NOT(input_values!M269="Y"))),3,IF(OR(V269="&lt;25",B269&gt;1000000),1,IF((T269&gt;=S269),"2b","2a")))))</f>
        <v/>
      </c>
      <c r="Y269" s="47" t="str">
        <f>IF(X269="ND","ND",IF(S269="","",IF(input_values!K269&gt;0,input_values!K269,IF(OR(X269=1,X269=3),1,IF((V269&gt;250),5,7)))))</f>
        <v/>
      </c>
      <c r="Z269" s="354" t="str">
        <f t="shared" si="42"/>
        <v/>
      </c>
      <c r="AA269" s="351">
        <f t="shared" si="43"/>
        <v>0</v>
      </c>
      <c r="AB269" s="47"/>
      <c r="AC269" s="354"/>
      <c r="AD269" s="351">
        <f t="shared" si="44"/>
        <v>0</v>
      </c>
      <c r="AE269" s="355"/>
      <c r="AF269" s="355"/>
      <c r="AG269" s="561" t="str">
        <f t="shared" si="45"/>
        <v/>
      </c>
      <c r="AH269" s="561" t="str">
        <f t="shared" ref="AH269:AH332" si="46">IF(OR(AC269=0,AC269="ND",AC269="",$C$5="not necessary"),"",1000*$C$5*R269/S269/AB269)</f>
        <v/>
      </c>
      <c r="AI269" s="576"/>
      <c r="AJ269" s="847"/>
    </row>
    <row r="270" spans="1:36" ht="12" customHeight="1" outlineLevel="3" x14ac:dyDescent="0.2">
      <c r="A270" s="39">
        <f>acute_overview_children!A270</f>
        <v>4</v>
      </c>
      <c r="B270" s="23">
        <f>acute_overview_children!B270</f>
        <v>633010</v>
      </c>
      <c r="C270" s="23" t="s">
        <v>270</v>
      </c>
      <c r="D270" s="300">
        <f>Table22[[#This Row],[Level used for acute calculation]]</f>
        <v>4</v>
      </c>
      <c r="E270" s="302">
        <f>Table22[[#This Row],[MRL individual commodity]]</f>
        <v>0</v>
      </c>
      <c r="F270" s="451">
        <f>Table22[[#This Row],[Acute RA input value]]</f>
        <v>0</v>
      </c>
      <c r="G270" s="301" t="str">
        <f>Table22[[#This Row],[Acute RA label]]</f>
        <v/>
      </c>
      <c r="H270" s="303">
        <f>Table22[[#This Row],[Acute RA IESTI new input value]]</f>
        <v>0</v>
      </c>
      <c r="I270" s="301" t="str">
        <f>Table22[[#This Row],[Acute RA IESTI new label]]</f>
        <v/>
      </c>
      <c r="J270" s="65"/>
      <c r="K270" s="304">
        <f>Table22[[#This Row],[GAP under assessment]]</f>
        <v>0</v>
      </c>
      <c r="L270" s="304" t="str">
        <f>IF(input_values!$M270=0,"",input_values!$M270)</f>
        <v/>
      </c>
      <c r="M270" s="301" t="str">
        <f>IF(input_values!H270=0,"",input_values!H270)</f>
        <v/>
      </c>
      <c r="N270" s="304">
        <f>input_values!$K270</f>
        <v>0</v>
      </c>
      <c r="O270" s="339">
        <v>0.6</v>
      </c>
      <c r="P270" s="128" t="s">
        <v>331</v>
      </c>
      <c r="Q270" s="346" t="s">
        <v>98</v>
      </c>
      <c r="R270" s="339">
        <v>60</v>
      </c>
      <c r="S270" s="338">
        <f t="shared" ref="S270:S332" si="47">IF(O270="ND","ND",IF(O270="","",O270*R270))</f>
        <v>36</v>
      </c>
      <c r="T270" s="338" t="s">
        <v>617</v>
      </c>
      <c r="U270" s="339"/>
      <c r="V270" s="338" t="s">
        <v>617</v>
      </c>
      <c r="W270" s="339"/>
      <c r="X270" s="460">
        <f>IF(V270="ND","ND",IF(S270="","",IF(OR(MID(C270,1,4)="milk",AND(MID(B270,1,2)="50",NOT(input_values!M270="Y")),AND(MID(B270,1,2)="40",NOT(input_values!M270="Y")),AND(MID(B270,1,2)="30",NOT(input_values!M270="Y"))),3,IF(OR(V270="&lt;25",B270&gt;1000000),1,IF((T270&gt;=S270),"2b","2a")))))</f>
        <v>1</v>
      </c>
      <c r="Y270" s="128">
        <f>IF(X270="ND","ND",IF(S270="","",IF(input_values!K270&gt;0,input_values!K270,IF(OR(X270=1,X270=3),1,IF((V270&gt;250),5,7)))))</f>
        <v>1</v>
      </c>
      <c r="Z270" s="345" t="str">
        <f t="shared" si="42"/>
        <v/>
      </c>
      <c r="AA270" s="332">
        <f t="shared" si="43"/>
        <v>0</v>
      </c>
      <c r="AB270" s="128">
        <f t="shared" ref="AB270:AB332" si="48">IF(OR(Y270=5,Y270=7,N270&gt;3),3,Y270)</f>
        <v>1</v>
      </c>
      <c r="AC270" s="345" t="str">
        <f t="shared" ref="AC270:AC332" si="49">IF(OR(ISTEXT(H270),H270=0),"",IF(OR(S270="ND",T270="ND"),"ND",1/$R270*($H270*$S270*AB270/1000)))</f>
        <v/>
      </c>
      <c r="AD270" s="332">
        <f t="shared" si="44"/>
        <v>0</v>
      </c>
      <c r="AE270" s="40" t="str">
        <f t="shared" ref="AE270:AE332" si="50">IF(AA270&gt;=1,AG270,"")</f>
        <v/>
      </c>
      <c r="AF270" s="40" t="str">
        <f t="shared" ref="AF270:AF332" si="51">IF(AD270&gt;=1,AH270,"")</f>
        <v/>
      </c>
      <c r="AG270" s="561" t="str">
        <f t="shared" si="45"/>
        <v/>
      </c>
      <c r="AH270" s="561" t="str">
        <f t="shared" si="46"/>
        <v/>
      </c>
      <c r="AI270" s="576"/>
      <c r="AJ270" s="847"/>
    </row>
    <row r="271" spans="1:36" ht="12" customHeight="1" outlineLevel="3" x14ac:dyDescent="0.2">
      <c r="A271" s="39">
        <f>acute_overview_children!A271</f>
        <v>4</v>
      </c>
      <c r="B271" s="23">
        <f>acute_overview_children!B271</f>
        <v>633020</v>
      </c>
      <c r="C271" s="23" t="s">
        <v>271</v>
      </c>
      <c r="D271" s="300">
        <f>Table22[[#This Row],[Level used for acute calculation]]</f>
        <v>4</v>
      </c>
      <c r="E271" s="302">
        <f>Table22[[#This Row],[MRL individual commodity]]</f>
        <v>0</v>
      </c>
      <c r="F271" s="451">
        <f>Table22[[#This Row],[Acute RA input value]]</f>
        <v>0</v>
      </c>
      <c r="G271" s="301" t="str">
        <f>Table22[[#This Row],[Acute RA label]]</f>
        <v/>
      </c>
      <c r="H271" s="303">
        <f>Table22[[#This Row],[Acute RA IESTI new input value]]</f>
        <v>0</v>
      </c>
      <c r="I271" s="301" t="str">
        <f>Table22[[#This Row],[Acute RA IESTI new label]]</f>
        <v/>
      </c>
      <c r="J271" s="65"/>
      <c r="K271" s="304">
        <f>Table22[[#This Row],[GAP under assessment]]</f>
        <v>0</v>
      </c>
      <c r="L271" s="304" t="str">
        <f>IF(input_values!$M271=0,"",input_values!$M271)</f>
        <v/>
      </c>
      <c r="M271" s="301" t="str">
        <f>IF(input_values!H271=0,"",input_values!H271)</f>
        <v/>
      </c>
      <c r="N271" s="304">
        <f>input_values!$K271</f>
        <v>0</v>
      </c>
      <c r="O271" s="339">
        <v>0.6</v>
      </c>
      <c r="P271" s="128" t="s">
        <v>331</v>
      </c>
      <c r="Q271" s="346" t="s">
        <v>98</v>
      </c>
      <c r="R271" s="339">
        <v>60</v>
      </c>
      <c r="S271" s="338">
        <f t="shared" si="47"/>
        <v>36</v>
      </c>
      <c r="T271" s="338" t="s">
        <v>617</v>
      </c>
      <c r="U271" s="339"/>
      <c r="V271" s="338" t="s">
        <v>617</v>
      </c>
      <c r="W271" s="339"/>
      <c r="X271" s="460">
        <f>IF(V271="ND","ND",IF(S271="","",IF(OR(MID(C271,1,4)="milk",AND(MID(B271,1,2)="50",NOT(input_values!M271="Y")),AND(MID(B271,1,2)="40",NOT(input_values!M271="Y")),AND(MID(B271,1,2)="30",NOT(input_values!M271="Y"))),3,IF(OR(V271="&lt;25",B271&gt;1000000),1,IF((T271&gt;=S271),"2b","2a")))))</f>
        <v>1</v>
      </c>
      <c r="Y271" s="128">
        <f>IF(X271="ND","ND",IF(S271="","",IF(input_values!K271&gt;0,input_values!K271,IF(OR(X271=1,X271=3),1,IF((V271&gt;250),5,7)))))</f>
        <v>1</v>
      </c>
      <c r="Z271" s="345" t="str">
        <f t="shared" si="42"/>
        <v/>
      </c>
      <c r="AA271" s="332">
        <f t="shared" si="43"/>
        <v>0</v>
      </c>
      <c r="AB271" s="128">
        <f t="shared" si="48"/>
        <v>1</v>
      </c>
      <c r="AC271" s="345" t="str">
        <f t="shared" si="49"/>
        <v/>
      </c>
      <c r="AD271" s="332">
        <f t="shared" si="44"/>
        <v>0</v>
      </c>
      <c r="AE271" s="40" t="str">
        <f t="shared" si="50"/>
        <v/>
      </c>
      <c r="AF271" s="40" t="str">
        <f t="shared" si="51"/>
        <v/>
      </c>
      <c r="AG271" s="561" t="str">
        <f t="shared" si="45"/>
        <v/>
      </c>
      <c r="AH271" s="561" t="str">
        <f t="shared" si="46"/>
        <v/>
      </c>
      <c r="AI271" s="576"/>
      <c r="AJ271" s="847"/>
    </row>
    <row r="272" spans="1:36" ht="12" customHeight="1" outlineLevel="3" x14ac:dyDescent="0.2">
      <c r="A272" s="39">
        <f>acute_overview_children!A272</f>
        <v>4</v>
      </c>
      <c r="B272" s="23">
        <f>acute_overview_children!B272</f>
        <v>633990</v>
      </c>
      <c r="C272" s="23" t="s">
        <v>182</v>
      </c>
      <c r="D272" s="300">
        <f>Table22[[#This Row],[Level used for acute calculation]]</f>
        <v>0</v>
      </c>
      <c r="E272" s="302">
        <f>Table22[[#This Row],[MRL individual commodity]]</f>
        <v>0</v>
      </c>
      <c r="F272" s="451">
        <f>Table22[[#This Row],[Acute RA input value]]</f>
        <v>0</v>
      </c>
      <c r="G272" s="301">
        <f>Table22[[#This Row],[Acute RA label]]</f>
        <v>0</v>
      </c>
      <c r="H272" s="303">
        <f>Table22[[#This Row],[Acute RA IESTI new input value]]</f>
        <v>0</v>
      </c>
      <c r="I272" s="301">
        <f>Table22[[#This Row],[Acute RA IESTI new label]]</f>
        <v>0</v>
      </c>
      <c r="J272" s="65"/>
      <c r="K272" s="304">
        <f>Table22[[#This Row],[GAP under assessment]]</f>
        <v>0</v>
      </c>
      <c r="L272" s="304" t="str">
        <f>IF(input_values!$M272=0,"",input_values!$M272)</f>
        <v/>
      </c>
      <c r="M272" s="301" t="str">
        <f>IF(input_values!H272=0,"",input_values!H272)</f>
        <v/>
      </c>
      <c r="N272" s="304">
        <f>input_values!$K272</f>
        <v>0</v>
      </c>
      <c r="O272" s="349"/>
      <c r="P272" s="47"/>
      <c r="Q272" s="348"/>
      <c r="R272" s="349"/>
      <c r="S272" s="610"/>
      <c r="T272" s="347"/>
      <c r="U272" s="349"/>
      <c r="V272" s="347"/>
      <c r="W272" s="349"/>
      <c r="X272" s="611" t="str">
        <f>IF(V272="ND","ND",IF(S272="","",IF(OR(MID(C272,1,4)="milk",AND(MID(B272,1,2)="50",NOT(input_values!M272="Y")),AND(MID(B272,1,2)="40",NOT(input_values!M272="Y")),AND(MID(B272,1,2)="30",NOT(input_values!M272="Y"))),3,IF(OR(V272="&lt;25",B272&gt;1000000),1,IF((T272&gt;=S272),"2b","2a")))))</f>
        <v/>
      </c>
      <c r="Y272" s="47" t="str">
        <f>IF(X272="ND","ND",IF(S272="","",IF(input_values!K272&gt;0,input_values!K272,IF(OR(X272=1,X272=3),1,IF((V272&gt;250),5,7)))))</f>
        <v/>
      </c>
      <c r="Z272" s="354" t="str">
        <f t="shared" si="42"/>
        <v/>
      </c>
      <c r="AA272" s="351">
        <f t="shared" si="43"/>
        <v>0</v>
      </c>
      <c r="AB272" s="47"/>
      <c r="AC272" s="354"/>
      <c r="AD272" s="351">
        <f t="shared" si="44"/>
        <v>0</v>
      </c>
      <c r="AE272" s="355"/>
      <c r="AF272" s="355"/>
      <c r="AG272" s="561" t="str">
        <f t="shared" si="45"/>
        <v/>
      </c>
      <c r="AH272" s="561" t="str">
        <f t="shared" si="46"/>
        <v/>
      </c>
      <c r="AI272" s="576"/>
      <c r="AJ272" s="847"/>
    </row>
    <row r="273" spans="1:36" ht="36" outlineLevel="2" x14ac:dyDescent="0.2">
      <c r="A273" s="133">
        <f>acute_overview_children!A273</f>
        <v>3</v>
      </c>
      <c r="B273" s="5">
        <f>acute_overview_children!B273</f>
        <v>639000</v>
      </c>
      <c r="C273" s="5" t="s">
        <v>773</v>
      </c>
      <c r="D273" s="300">
        <f>Table22[[#This Row],[Level used for acute calculation]]</f>
        <v>3</v>
      </c>
      <c r="E273" s="302">
        <f>Table22[[#This Row],[MRL individual commodity]]</f>
        <v>0</v>
      </c>
      <c r="F273" s="451">
        <f>Table22[[#This Row],[Acute RA input value]]</f>
        <v>0</v>
      </c>
      <c r="G273" s="301">
        <f>Table22[[#This Row],[Acute RA label]]</f>
        <v>0</v>
      </c>
      <c r="H273" s="303">
        <f>Table22[[#This Row],[Acute RA IESTI new input value]]</f>
        <v>0</v>
      </c>
      <c r="I273" s="301">
        <f>Table22[[#This Row],[Acute RA IESTI new label]]</f>
        <v>0</v>
      </c>
      <c r="J273" s="65"/>
      <c r="K273" s="304">
        <f>Table22[[#This Row],[GAP under assessment]]</f>
        <v>0</v>
      </c>
      <c r="L273" s="304" t="str">
        <f>IF(input_values!$M273=0,"",input_values!$M273)</f>
        <v/>
      </c>
      <c r="M273" s="301" t="str">
        <f>IF(input_values!H273=0,"",input_values!H273)</f>
        <v/>
      </c>
      <c r="N273" s="304">
        <f>input_values!$K273</f>
        <v>0</v>
      </c>
      <c r="O273" s="339">
        <v>0.6</v>
      </c>
      <c r="P273" s="128">
        <v>97.5</v>
      </c>
      <c r="Q273" s="346" t="s">
        <v>334</v>
      </c>
      <c r="R273" s="339">
        <v>67.47</v>
      </c>
      <c r="S273" s="338">
        <f t="shared" si="47"/>
        <v>40.481999999999999</v>
      </c>
      <c r="T273" s="338" t="s">
        <v>617</v>
      </c>
      <c r="U273" s="339" t="s">
        <v>215</v>
      </c>
      <c r="V273" s="338" t="s">
        <v>617</v>
      </c>
      <c r="W273" s="339" t="s">
        <v>215</v>
      </c>
      <c r="X273" s="460">
        <f>IF(V273="ND","ND",IF(S273="","",IF(OR(MID(C273,1,4)="milk",AND(MID(B273,1,2)="50",NOT(input_values!M273="Y")),AND(MID(B273,1,2)="40",NOT(input_values!M273="Y")),AND(MID(B273,1,2)="30",NOT(input_values!M273="Y"))),3,IF(OR(V273="&lt;25",B273&gt;1000000),1,IF((T273&gt;=S273),"2b","2a")))))</f>
        <v>1</v>
      </c>
      <c r="Y273" s="128">
        <f>IF(X273="ND","ND",IF(S273="","",IF(input_values!K273&gt;0,input_values!K273,IF(OR(X273=1,X273=3),1,IF((V273&gt;250),5,7)))))</f>
        <v>1</v>
      </c>
      <c r="Z273" s="345" t="str">
        <f t="shared" si="42"/>
        <v/>
      </c>
      <c r="AA273" s="332">
        <f t="shared" si="43"/>
        <v>0</v>
      </c>
      <c r="AB273" s="128">
        <f t="shared" si="48"/>
        <v>1</v>
      </c>
      <c r="AC273" s="345" t="str">
        <f t="shared" si="49"/>
        <v/>
      </c>
      <c r="AD273" s="332">
        <f t="shared" si="44"/>
        <v>0</v>
      </c>
      <c r="AE273" s="40" t="str">
        <f t="shared" si="50"/>
        <v/>
      </c>
      <c r="AF273" s="40" t="str">
        <f t="shared" si="51"/>
        <v/>
      </c>
      <c r="AG273" s="561" t="str">
        <f t="shared" si="45"/>
        <v/>
      </c>
      <c r="AH273" s="561" t="str">
        <f t="shared" si="46"/>
        <v/>
      </c>
      <c r="AI273" s="576"/>
      <c r="AJ273" s="847"/>
    </row>
    <row r="274" spans="1:36" outlineLevel="1" x14ac:dyDescent="0.2">
      <c r="A274" s="130">
        <f>acute_overview_children!A274</f>
        <v>2</v>
      </c>
      <c r="B274" s="131">
        <f>acute_overview_children!B274</f>
        <v>640000</v>
      </c>
      <c r="C274" s="131" t="s">
        <v>774</v>
      </c>
      <c r="D274" s="300">
        <f>Table22[[#This Row],[Level used for acute calculation]]</f>
        <v>2</v>
      </c>
      <c r="E274" s="302">
        <f>Table22[[#This Row],[MRL individual commodity]]</f>
        <v>0</v>
      </c>
      <c r="F274" s="451">
        <f>Table22[[#This Row],[Acute RA input value]]</f>
        <v>0</v>
      </c>
      <c r="G274" s="301" t="str">
        <f>Table22[[#This Row],[Acute RA label]]</f>
        <v/>
      </c>
      <c r="H274" s="303">
        <f>Table22[[#This Row],[Acute RA IESTI new input value]]</f>
        <v>0</v>
      </c>
      <c r="I274" s="301" t="str">
        <f>Table22[[#This Row],[Acute RA IESTI new label]]</f>
        <v/>
      </c>
      <c r="J274" s="65"/>
      <c r="K274" s="304">
        <f>Table22[[#This Row],[GAP under assessment]]</f>
        <v>0</v>
      </c>
      <c r="L274" s="304" t="str">
        <f>IF(input_values!$M274=0,"",input_values!$M274)</f>
        <v/>
      </c>
      <c r="M274" s="301" t="str">
        <f>IF(input_values!H274=0,"",input_values!H274)</f>
        <v/>
      </c>
      <c r="N274" s="304">
        <f>input_values!$K274</f>
        <v>0</v>
      </c>
      <c r="O274" s="339">
        <v>1.6853932584</v>
      </c>
      <c r="P274" s="128">
        <v>97.5</v>
      </c>
      <c r="Q274" s="346" t="s">
        <v>956</v>
      </c>
      <c r="R274" s="339">
        <v>71.2</v>
      </c>
      <c r="S274" s="338">
        <f t="shared" si="47"/>
        <v>119.99999999808</v>
      </c>
      <c r="T274" s="338" t="s">
        <v>617</v>
      </c>
      <c r="U274" s="326" t="s">
        <v>651</v>
      </c>
      <c r="V274" s="338" t="s">
        <v>617</v>
      </c>
      <c r="W274" s="326" t="s">
        <v>651</v>
      </c>
      <c r="X274" s="460">
        <f>IF(V274="ND","ND",IF(S274="","",IF(OR(MID(C274,1,4)="milk",AND(MID(B274,1,2)="50",NOT(input_values!M274="Y")),AND(MID(B274,1,2)="40",NOT(input_values!M274="Y")),AND(MID(B274,1,2)="30",NOT(input_values!M274="Y"))),3,IF(OR(V274="&lt;25",B274&gt;1000000),1,IF((T274&gt;=S274),"2b","2a")))))</f>
        <v>1</v>
      </c>
      <c r="Y274" s="128">
        <f>IF(X274="ND","ND",IF(S274="","",IF(input_values!K274&gt;0,input_values!K274,IF(OR(X274=1,X274=3),1,IF((V274&gt;250),5,7)))))</f>
        <v>1</v>
      </c>
      <c r="Z274" s="345" t="str">
        <f t="shared" si="42"/>
        <v/>
      </c>
      <c r="AA274" s="332">
        <f t="shared" si="43"/>
        <v>0</v>
      </c>
      <c r="AB274" s="128">
        <f t="shared" si="48"/>
        <v>1</v>
      </c>
      <c r="AC274" s="345" t="str">
        <f t="shared" si="49"/>
        <v/>
      </c>
      <c r="AD274" s="332">
        <f t="shared" si="44"/>
        <v>0</v>
      </c>
      <c r="AE274" s="40" t="str">
        <f t="shared" si="50"/>
        <v/>
      </c>
      <c r="AF274" s="40" t="str">
        <f t="shared" si="51"/>
        <v/>
      </c>
      <c r="AG274" s="561" t="str">
        <f t="shared" si="45"/>
        <v/>
      </c>
      <c r="AH274" s="561" t="str">
        <f t="shared" si="46"/>
        <v/>
      </c>
      <c r="AI274" s="576"/>
      <c r="AJ274" s="847"/>
    </row>
    <row r="275" spans="1:36" ht="24" outlineLevel="1" x14ac:dyDescent="0.2">
      <c r="A275" s="130">
        <f>acute_overview_children!A275</f>
        <v>2</v>
      </c>
      <c r="B275" s="131">
        <f>acute_overview_children!B275</f>
        <v>650000</v>
      </c>
      <c r="C275" s="131" t="s">
        <v>775</v>
      </c>
      <c r="D275" s="300">
        <f>Table22[[#This Row],[Level used for acute calculation]]</f>
        <v>2</v>
      </c>
      <c r="E275" s="302">
        <f>Table22[[#This Row],[MRL individual commodity]]</f>
        <v>0</v>
      </c>
      <c r="F275" s="451">
        <f>Table22[[#This Row],[Acute RA input value]]</f>
        <v>0</v>
      </c>
      <c r="G275" s="301" t="str">
        <f>Table22[[#This Row],[Acute RA label]]</f>
        <v/>
      </c>
      <c r="H275" s="303">
        <f>Table22[[#This Row],[Acute RA IESTI new input value]]</f>
        <v>0</v>
      </c>
      <c r="I275" s="301" t="str">
        <f>Table22[[#This Row],[Acute RA IESTI new label]]</f>
        <v/>
      </c>
      <c r="J275" s="65"/>
      <c r="K275" s="304">
        <f>Table22[[#This Row],[GAP under assessment]]</f>
        <v>0</v>
      </c>
      <c r="L275" s="304" t="str">
        <f>IF(input_values!$M275=0,"",input_values!$M275)</f>
        <v/>
      </c>
      <c r="M275" s="301" t="str">
        <f>IF(input_values!H275=0,"",input_values!H275)</f>
        <v/>
      </c>
      <c r="N275" s="304">
        <f>input_values!$K275</f>
        <v>0</v>
      </c>
      <c r="O275" s="339">
        <v>3.8535645472061661E-2</v>
      </c>
      <c r="P275" s="128">
        <v>97.5</v>
      </c>
      <c r="Q275" s="346" t="s">
        <v>334</v>
      </c>
      <c r="R275" s="339">
        <v>67.47</v>
      </c>
      <c r="S275" s="338">
        <f t="shared" si="47"/>
        <v>2.6</v>
      </c>
      <c r="T275" s="338" t="s">
        <v>617</v>
      </c>
      <c r="U275" s="326" t="s">
        <v>651</v>
      </c>
      <c r="V275" s="338" t="s">
        <v>617</v>
      </c>
      <c r="W275" s="339" t="s">
        <v>651</v>
      </c>
      <c r="X275" s="460">
        <f>IF(V275="ND","ND",IF(S275="","",IF(OR(MID(C275,1,4)="milk",AND(MID(B275,1,2)="50",NOT(input_values!M275="Y")),AND(MID(B275,1,2)="40",NOT(input_values!M275="Y")),AND(MID(B275,1,2)="30",NOT(input_values!M275="Y"))),3,IF(OR(V275="&lt;25",B275&gt;1000000),1,IF((T275&gt;=S275),"2b","2a")))))</f>
        <v>1</v>
      </c>
      <c r="Y275" s="128">
        <f>IF(X275="ND","ND",IF(S275="","",IF(input_values!K275&gt;0,input_values!K275,IF(OR(X275=1,X275=3),1,IF((V275&gt;250),5,7)))))</f>
        <v>1</v>
      </c>
      <c r="Z275" s="345" t="str">
        <f t="shared" si="42"/>
        <v/>
      </c>
      <c r="AA275" s="332">
        <f t="shared" si="43"/>
        <v>0</v>
      </c>
      <c r="AB275" s="128">
        <f t="shared" si="48"/>
        <v>1</v>
      </c>
      <c r="AC275" s="345" t="str">
        <f t="shared" si="49"/>
        <v/>
      </c>
      <c r="AD275" s="332">
        <f t="shared" si="44"/>
        <v>0</v>
      </c>
      <c r="AE275" s="40" t="str">
        <f t="shared" si="50"/>
        <v/>
      </c>
      <c r="AF275" s="40" t="str">
        <f t="shared" si="51"/>
        <v/>
      </c>
      <c r="AG275" s="561" t="str">
        <f t="shared" si="45"/>
        <v/>
      </c>
      <c r="AH275" s="561" t="str">
        <f t="shared" si="46"/>
        <v/>
      </c>
      <c r="AI275" s="576"/>
      <c r="AJ275" s="847"/>
    </row>
    <row r="276" spans="1:36" x14ac:dyDescent="0.2">
      <c r="A276" s="126">
        <f>acute_overview_children!A276</f>
        <v>1</v>
      </c>
      <c r="B276" s="127">
        <f>acute_overview_children!B276</f>
        <v>700000</v>
      </c>
      <c r="C276" s="127" t="s">
        <v>366</v>
      </c>
      <c r="D276" s="300">
        <f>Table22[[#This Row],[Level used for acute calculation]]</f>
        <v>1</v>
      </c>
      <c r="E276" s="302">
        <f>Table22[[#This Row],[MRL individual commodity]]</f>
        <v>0</v>
      </c>
      <c r="F276" s="451">
        <f>Table22[[#This Row],[Acute RA input value]]</f>
        <v>0</v>
      </c>
      <c r="G276" s="301" t="str">
        <f>Table22[[#This Row],[Acute RA label]]</f>
        <v/>
      </c>
      <c r="H276" s="303">
        <f>Table22[[#This Row],[Acute RA IESTI new input value]]</f>
        <v>0</v>
      </c>
      <c r="I276" s="301" t="str">
        <f>Table22[[#This Row],[Acute RA IESTI new label]]</f>
        <v/>
      </c>
      <c r="J276" s="65"/>
      <c r="K276" s="304">
        <f>Table22[[#This Row],[GAP under assessment]]</f>
        <v>0</v>
      </c>
      <c r="L276" s="304" t="str">
        <f>IF(input_values!$M276=0,"",input_values!$M276)</f>
        <v/>
      </c>
      <c r="M276" s="301" t="str">
        <f>IF(input_values!H276=0,"",input_values!H276)</f>
        <v/>
      </c>
      <c r="N276" s="304">
        <f>input_values!$K276</f>
        <v>0</v>
      </c>
      <c r="O276" s="339">
        <v>0.18290854572713641</v>
      </c>
      <c r="P276" s="128">
        <v>97.5</v>
      </c>
      <c r="Q276" s="346" t="s">
        <v>255</v>
      </c>
      <c r="R276" s="339">
        <v>66.7</v>
      </c>
      <c r="S276" s="338">
        <f t="shared" si="47"/>
        <v>12.2</v>
      </c>
      <c r="T276" s="338" t="s">
        <v>617</v>
      </c>
      <c r="U276" s="326" t="s">
        <v>651</v>
      </c>
      <c r="V276" s="338" t="s">
        <v>617</v>
      </c>
      <c r="W276" s="339" t="s">
        <v>651</v>
      </c>
      <c r="X276" s="460">
        <f>IF(V276="ND","ND",IF(S276="","",IF(OR(MID(C276,1,4)="milk",AND(MID(B276,1,2)="50",NOT(input_values!M276="Y")),AND(MID(B276,1,2)="40",NOT(input_values!M276="Y")),AND(MID(B276,1,2)="30",NOT(input_values!M276="Y"))),3,IF(OR(V276="&lt;25",B276&gt;1000000),1,IF((T276&gt;=S276),"2b","2a")))))</f>
        <v>1</v>
      </c>
      <c r="Y276" s="128">
        <f>IF(X276="ND","ND",IF(S276="","",IF(input_values!K276&gt;0,input_values!K276,IF(OR(X276=1,X276=3),1,IF((V276&gt;250),5,7)))))</f>
        <v>1</v>
      </c>
      <c r="Z276" s="345" t="str">
        <f t="shared" si="42"/>
        <v/>
      </c>
      <c r="AA276" s="332">
        <f t="shared" si="43"/>
        <v>0</v>
      </c>
      <c r="AB276" s="128">
        <f t="shared" si="48"/>
        <v>1</v>
      </c>
      <c r="AC276" s="345" t="str">
        <f t="shared" si="49"/>
        <v/>
      </c>
      <c r="AD276" s="332">
        <f t="shared" si="44"/>
        <v>0</v>
      </c>
      <c r="AE276" s="40" t="str">
        <f t="shared" si="50"/>
        <v/>
      </c>
      <c r="AF276" s="40" t="str">
        <f t="shared" si="51"/>
        <v/>
      </c>
      <c r="AG276" s="561" t="str">
        <f t="shared" si="45"/>
        <v/>
      </c>
      <c r="AH276" s="561" t="str">
        <f t="shared" si="46"/>
        <v/>
      </c>
      <c r="AI276" s="576"/>
      <c r="AJ276" s="847"/>
    </row>
    <row r="277" spans="1:36" x14ac:dyDescent="0.2">
      <c r="A277" s="126">
        <f>acute_overview_children!A277</f>
        <v>1</v>
      </c>
      <c r="B277" s="127">
        <f>acute_overview_children!B277</f>
        <v>800000</v>
      </c>
      <c r="C277" s="127" t="s">
        <v>144</v>
      </c>
      <c r="D277" s="300">
        <f>Table22[[#This Row],[Level used for acute calculation]]</f>
        <v>4</v>
      </c>
      <c r="E277" s="302">
        <f>Table22[[#This Row],[MRL individual commodity]]</f>
        <v>0</v>
      </c>
      <c r="F277" s="451">
        <f>Table22[[#This Row],[Acute RA input value]]</f>
        <v>0</v>
      </c>
      <c r="G277" s="301">
        <f>Table22[[#This Row],[Acute RA label]]</f>
        <v>0</v>
      </c>
      <c r="H277" s="303">
        <f>Table22[[#This Row],[Acute RA IESTI new input value]]</f>
        <v>0</v>
      </c>
      <c r="I277" s="301">
        <f>Table22[[#This Row],[Acute RA IESTI new label]]</f>
        <v>0</v>
      </c>
      <c r="J277" s="65"/>
      <c r="K277" s="304">
        <f>Table22[[#This Row],[GAP under assessment]]</f>
        <v>0</v>
      </c>
      <c r="L277" s="304" t="str">
        <f>IF(input_values!$M277=0,"",input_values!$M277)</f>
        <v/>
      </c>
      <c r="M277" s="301" t="str">
        <f>IF(input_values!H277=0,"",input_values!H277)</f>
        <v/>
      </c>
      <c r="N277" s="304">
        <f>input_values!$K277</f>
        <v>0</v>
      </c>
      <c r="O277" s="349"/>
      <c r="P277" s="47"/>
      <c r="Q277" s="348"/>
      <c r="R277" s="349"/>
      <c r="S277" s="347"/>
      <c r="T277" s="347"/>
      <c r="U277" s="309"/>
      <c r="V277" s="347"/>
      <c r="W277" s="309"/>
      <c r="X277" s="611" t="str">
        <f>IF(V277="ND","ND",IF(S277="","",IF(OR(MID(C277,1,4)="milk",AND(MID(B277,1,2)="50",NOT(input_values!M277="Y")),AND(MID(B277,1,2)="40",NOT(input_values!M277="Y")),AND(MID(B277,1,2)="30",NOT(input_values!M277="Y"))),3,IF(OR(V277="&lt;25",B277&gt;1000000),1,IF((T277&gt;=S277),"2b","2a")))))</f>
        <v/>
      </c>
      <c r="Y277" s="47" t="str">
        <f>IF(X277="ND","ND",IF(S277="","",IF(input_values!K277&gt;0,input_values!K277,IF(OR(X277=1,X277=3),1,IF((V277&gt;250),5,7)))))</f>
        <v/>
      </c>
      <c r="Z277" s="354" t="str">
        <f t="shared" si="42"/>
        <v/>
      </c>
      <c r="AA277" s="351">
        <f t="shared" si="43"/>
        <v>0</v>
      </c>
      <c r="AB277" s="38" t="str">
        <f t="shared" si="48"/>
        <v/>
      </c>
      <c r="AC277" s="354" t="str">
        <f t="shared" si="49"/>
        <v/>
      </c>
      <c r="AD277" s="351">
        <f t="shared" si="44"/>
        <v>0</v>
      </c>
      <c r="AE277" s="355" t="str">
        <f t="shared" si="50"/>
        <v/>
      </c>
      <c r="AF277" s="355" t="str">
        <f t="shared" si="51"/>
        <v/>
      </c>
      <c r="AG277" s="561" t="str">
        <f t="shared" si="45"/>
        <v/>
      </c>
      <c r="AH277" s="561" t="str">
        <f t="shared" si="46"/>
        <v/>
      </c>
      <c r="AI277" s="576"/>
      <c r="AJ277" s="847"/>
    </row>
    <row r="278" spans="1:36" outlineLevel="1" x14ac:dyDescent="0.2">
      <c r="A278" s="130">
        <f>acute_overview_children!A278</f>
        <v>2</v>
      </c>
      <c r="B278" s="131">
        <f>acute_overview_children!B278</f>
        <v>810000</v>
      </c>
      <c r="C278" s="131" t="s">
        <v>77</v>
      </c>
      <c r="D278" s="300">
        <f>Table22[[#This Row],[Level used for acute calculation]]</f>
        <v>4</v>
      </c>
      <c r="E278" s="302">
        <f>Table22[[#This Row],[MRL individual commodity]]</f>
        <v>0</v>
      </c>
      <c r="F278" s="451">
        <f>Table22[[#This Row],[Acute RA input value]]</f>
        <v>0</v>
      </c>
      <c r="G278" s="301">
        <f>Table22[[#This Row],[Acute RA label]]</f>
        <v>0</v>
      </c>
      <c r="H278" s="303">
        <f>Table22[[#This Row],[Acute RA IESTI new input value]]</f>
        <v>0</v>
      </c>
      <c r="I278" s="301">
        <f>Table22[[#This Row],[Acute RA IESTI new label]]</f>
        <v>0</v>
      </c>
      <c r="J278" s="65"/>
      <c r="K278" s="304">
        <f>Table22[[#This Row],[GAP under assessment]]</f>
        <v>0</v>
      </c>
      <c r="L278" s="304" t="str">
        <f>IF(input_values!$M278=0,"",input_values!$M278)</f>
        <v/>
      </c>
      <c r="M278" s="301" t="str">
        <f>IF(input_values!H278=0,"",input_values!H278)</f>
        <v/>
      </c>
      <c r="N278" s="304">
        <f>input_values!$K278</f>
        <v>0</v>
      </c>
      <c r="O278" s="309"/>
      <c r="P278" s="38"/>
      <c r="Q278" s="306"/>
      <c r="R278" s="309"/>
      <c r="S278" s="336" t="str">
        <f t="shared" si="47"/>
        <v/>
      </c>
      <c r="T278" s="305"/>
      <c r="U278" s="309"/>
      <c r="V278" s="305"/>
      <c r="W278" s="309"/>
      <c r="X278" s="611" t="str">
        <f>IF(V278="ND","ND",IF(S278="","",IF(OR(MID(C278,1,4)="milk",AND(MID(B278,1,2)="50",NOT(input_values!M278="Y")),AND(MID(B278,1,2)="40",NOT(input_values!M278="Y")),AND(MID(B278,1,2)="30",NOT(input_values!M278="Y"))),3,IF(OR(V278="&lt;25",B278&gt;1000000),1,IF((T278&gt;=S278),"2b","2a")))))</f>
        <v/>
      </c>
      <c r="Y278" s="38" t="str">
        <f>IF(X278="ND","ND",IF(S278="","",IF(input_values!K278&gt;0,input_values!K278,IF(OR(X278=1,X278=3),1,IF((V278&gt;250),5,7)))))</f>
        <v/>
      </c>
      <c r="Z278" s="335" t="str">
        <f t="shared" si="42"/>
        <v/>
      </c>
      <c r="AA278" s="311">
        <f t="shared" si="43"/>
        <v>0</v>
      </c>
      <c r="AB278" s="38" t="str">
        <f t="shared" si="48"/>
        <v/>
      </c>
      <c r="AC278" s="335" t="str">
        <f t="shared" si="49"/>
        <v/>
      </c>
      <c r="AD278" s="311">
        <f t="shared" si="44"/>
        <v>0</v>
      </c>
      <c r="AE278" s="344" t="str">
        <f t="shared" si="50"/>
        <v/>
      </c>
      <c r="AF278" s="344" t="str">
        <f t="shared" si="51"/>
        <v/>
      </c>
      <c r="AG278" s="561" t="str">
        <f t="shared" si="45"/>
        <v/>
      </c>
      <c r="AH278" s="561" t="str">
        <f t="shared" si="46"/>
        <v/>
      </c>
      <c r="AI278" s="576"/>
      <c r="AJ278" s="847"/>
    </row>
    <row r="279" spans="1:36" ht="12" customHeight="1" outlineLevel="3" x14ac:dyDescent="0.2">
      <c r="A279" s="39">
        <f>acute_overview_children!A279</f>
        <v>4</v>
      </c>
      <c r="B279" s="23">
        <f>acute_overview_children!B279</f>
        <v>810010</v>
      </c>
      <c r="C279" s="23" t="s">
        <v>776</v>
      </c>
      <c r="D279" s="300">
        <f>Table22[[#This Row],[Level used for acute calculation]]</f>
        <v>4</v>
      </c>
      <c r="E279" s="302">
        <f>Table22[[#This Row],[MRL individual commodity]]</f>
        <v>0</v>
      </c>
      <c r="F279" s="451">
        <f>Table22[[#This Row],[Acute RA input value]]</f>
        <v>0</v>
      </c>
      <c r="G279" s="301" t="str">
        <f>Table22[[#This Row],[Acute RA label]]</f>
        <v/>
      </c>
      <c r="H279" s="303">
        <f>Table22[[#This Row],[Acute RA IESTI new input value]]</f>
        <v>0</v>
      </c>
      <c r="I279" s="301" t="str">
        <f>Table22[[#This Row],[Acute RA IESTI new label]]</f>
        <v/>
      </c>
      <c r="J279" s="65"/>
      <c r="K279" s="304">
        <f>Table22[[#This Row],[GAP under assessment]]</f>
        <v>0</v>
      </c>
      <c r="L279" s="304" t="str">
        <f>IF(input_values!$M279=0,"",input_values!$M279)</f>
        <v/>
      </c>
      <c r="M279" s="301" t="str">
        <f>IF(input_values!H279=0,"",input_values!H279)</f>
        <v/>
      </c>
      <c r="N279" s="304">
        <f>input_values!$K279</f>
        <v>0</v>
      </c>
      <c r="O279" s="339">
        <v>0.1</v>
      </c>
      <c r="P279" s="128">
        <v>95</v>
      </c>
      <c r="Q279" s="346" t="s">
        <v>335</v>
      </c>
      <c r="R279" s="339">
        <v>76.38</v>
      </c>
      <c r="S279" s="338">
        <f t="shared" si="47"/>
        <v>7.6379999999999999</v>
      </c>
      <c r="T279" s="338" t="s">
        <v>617</v>
      </c>
      <c r="U279" s="339" t="s">
        <v>215</v>
      </c>
      <c r="V279" s="338" t="s">
        <v>617</v>
      </c>
      <c r="W279" s="339" t="s">
        <v>215</v>
      </c>
      <c r="X279" s="460">
        <f>IF(V279="ND","ND",IF(S279="","",IF(OR(MID(C279,1,4)="milk",AND(MID(B279,1,2)="50",NOT(input_values!M279="Y")),AND(MID(B279,1,2)="40",NOT(input_values!M279="Y")),AND(MID(B279,1,2)="30",NOT(input_values!M279="Y"))),3,IF(OR(V279="&lt;25",B279&gt;1000000),1,IF((T279&gt;=S279),"2b","2a")))))</f>
        <v>1</v>
      </c>
      <c r="Y279" s="128">
        <f>IF(X279="ND","ND",IF(S279="","",IF(input_values!K279&gt;0,input_values!K279,IF(OR(X279=1,X279=3),1,IF((V279&gt;250),5,7)))))</f>
        <v>1</v>
      </c>
      <c r="Z279" s="345" t="str">
        <f t="shared" si="42"/>
        <v/>
      </c>
      <c r="AA279" s="332">
        <f t="shared" si="43"/>
        <v>0</v>
      </c>
      <c r="AB279" s="128">
        <f t="shared" si="48"/>
        <v>1</v>
      </c>
      <c r="AC279" s="345" t="str">
        <f t="shared" si="49"/>
        <v/>
      </c>
      <c r="AD279" s="332">
        <f t="shared" si="44"/>
        <v>0</v>
      </c>
      <c r="AE279" s="40" t="str">
        <f t="shared" si="50"/>
        <v/>
      </c>
      <c r="AF279" s="40" t="str">
        <f t="shared" si="51"/>
        <v/>
      </c>
      <c r="AG279" s="561" t="str">
        <f t="shared" si="45"/>
        <v/>
      </c>
      <c r="AH279" s="561" t="str">
        <f t="shared" si="46"/>
        <v/>
      </c>
      <c r="AI279" s="576"/>
      <c r="AJ279" s="847"/>
    </row>
    <row r="280" spans="1:36" ht="12" customHeight="1" outlineLevel="3" x14ac:dyDescent="0.2">
      <c r="A280" s="39">
        <f>acute_overview_children!A280</f>
        <v>4</v>
      </c>
      <c r="B280" s="23">
        <f>acute_overview_children!B280</f>
        <v>810020</v>
      </c>
      <c r="C280" s="23" t="s">
        <v>777</v>
      </c>
      <c r="D280" s="300">
        <f>Table22[[#This Row],[Level used for acute calculation]]</f>
        <v>4</v>
      </c>
      <c r="E280" s="302">
        <f>Table22[[#This Row],[MRL individual commodity]]</f>
        <v>0</v>
      </c>
      <c r="F280" s="451">
        <f>Table22[[#This Row],[Acute RA input value]]</f>
        <v>0</v>
      </c>
      <c r="G280" s="301" t="str">
        <f>Table22[[#This Row],[Acute RA label]]</f>
        <v/>
      </c>
      <c r="H280" s="303">
        <f>Table22[[#This Row],[Acute RA IESTI new input value]]</f>
        <v>0</v>
      </c>
      <c r="I280" s="301" t="str">
        <f>Table22[[#This Row],[Acute RA IESTI new label]]</f>
        <v/>
      </c>
      <c r="J280" s="65"/>
      <c r="K280" s="304">
        <f>Table22[[#This Row],[GAP under assessment]]</f>
        <v>0</v>
      </c>
      <c r="L280" s="304" t="str">
        <f>IF(input_values!$M280=0,"",input_values!$M280)</f>
        <v/>
      </c>
      <c r="M280" s="301" t="str">
        <f>IF(input_values!H280=0,"",input_values!H280)</f>
        <v/>
      </c>
      <c r="N280" s="304">
        <f>input_values!$K280</f>
        <v>0</v>
      </c>
      <c r="O280" s="339">
        <v>0.1</v>
      </c>
      <c r="P280" s="128">
        <v>97.5</v>
      </c>
      <c r="Q280" s="346" t="s">
        <v>334</v>
      </c>
      <c r="R280" s="339">
        <v>67.47</v>
      </c>
      <c r="S280" s="338">
        <f t="shared" si="47"/>
        <v>6.7469999999999999</v>
      </c>
      <c r="T280" s="338" t="s">
        <v>617</v>
      </c>
      <c r="U280" s="339" t="s">
        <v>215</v>
      </c>
      <c r="V280" s="338" t="s">
        <v>617</v>
      </c>
      <c r="W280" s="339" t="s">
        <v>215</v>
      </c>
      <c r="X280" s="460">
        <f>IF(V280="ND","ND",IF(S280="","",IF(OR(MID(C280,1,4)="milk",AND(MID(B280,1,2)="50",NOT(input_values!M280="Y")),AND(MID(B280,1,2)="40",NOT(input_values!M280="Y")),AND(MID(B280,1,2)="30",NOT(input_values!M280="Y"))),3,IF(OR(V280="&lt;25",B280&gt;1000000),1,IF((T280&gt;=S280),"2b","2a")))))</f>
        <v>1</v>
      </c>
      <c r="Y280" s="128">
        <f>IF(X280="ND","ND",IF(S280="","",IF(input_values!K280&gt;0,input_values!K280,IF(OR(X280=1,X280=3),1,IF((V280&gt;250),5,7)))))</f>
        <v>1</v>
      </c>
      <c r="Z280" s="345" t="str">
        <f t="shared" si="42"/>
        <v/>
      </c>
      <c r="AA280" s="332">
        <f t="shared" si="43"/>
        <v>0</v>
      </c>
      <c r="AB280" s="128">
        <f t="shared" si="48"/>
        <v>1</v>
      </c>
      <c r="AC280" s="345" t="str">
        <f t="shared" si="49"/>
        <v/>
      </c>
      <c r="AD280" s="332">
        <f t="shared" si="44"/>
        <v>0</v>
      </c>
      <c r="AE280" s="40" t="str">
        <f t="shared" si="50"/>
        <v/>
      </c>
      <c r="AF280" s="40" t="str">
        <f t="shared" si="51"/>
        <v/>
      </c>
      <c r="AG280" s="561" t="str">
        <f t="shared" si="45"/>
        <v/>
      </c>
      <c r="AH280" s="561" t="str">
        <f t="shared" si="46"/>
        <v/>
      </c>
      <c r="AI280" s="576"/>
      <c r="AJ280" s="847"/>
    </row>
    <row r="281" spans="1:36" ht="12" customHeight="1" outlineLevel="3" x14ac:dyDescent="0.2">
      <c r="A281" s="39">
        <f>acute_overview_children!A281</f>
        <v>4</v>
      </c>
      <c r="B281" s="23">
        <f>acute_overview_children!B281</f>
        <v>810030</v>
      </c>
      <c r="C281" s="23" t="s">
        <v>272</v>
      </c>
      <c r="D281" s="300">
        <f>Table22[[#This Row],[Level used for acute calculation]]</f>
        <v>4</v>
      </c>
      <c r="E281" s="302">
        <f>Table22[[#This Row],[MRL individual commodity]]</f>
        <v>0</v>
      </c>
      <c r="F281" s="451">
        <f>Table22[[#This Row],[Acute RA input value]]</f>
        <v>0</v>
      </c>
      <c r="G281" s="301" t="str">
        <f>Table22[[#This Row],[Acute RA label]]</f>
        <v/>
      </c>
      <c r="H281" s="303">
        <f>Table22[[#This Row],[Acute RA IESTI new input value]]</f>
        <v>0</v>
      </c>
      <c r="I281" s="301" t="str">
        <f>Table22[[#This Row],[Acute RA IESTI new label]]</f>
        <v/>
      </c>
      <c r="J281" s="65"/>
      <c r="K281" s="304">
        <f>Table22[[#This Row],[GAP under assessment]]</f>
        <v>0</v>
      </c>
      <c r="L281" s="304" t="str">
        <f>IF(input_values!$M281=0,"",input_values!$M281)</f>
        <v/>
      </c>
      <c r="M281" s="301" t="str">
        <f>IF(input_values!H281=0,"",input_values!H281)</f>
        <v/>
      </c>
      <c r="N281" s="304">
        <f>input_values!$K281</f>
        <v>0</v>
      </c>
      <c r="O281" s="338" t="s">
        <v>618</v>
      </c>
      <c r="P281" s="22"/>
      <c r="Q281" s="327"/>
      <c r="R281" s="326"/>
      <c r="S281" s="31" t="str">
        <f t="shared" si="47"/>
        <v>ND</v>
      </c>
      <c r="T281" s="338" t="s">
        <v>617</v>
      </c>
      <c r="U281" s="339" t="s">
        <v>215</v>
      </c>
      <c r="V281" s="338" t="s">
        <v>617</v>
      </c>
      <c r="W281" s="339" t="s">
        <v>215</v>
      </c>
      <c r="X281" s="460">
        <f>IF(V281="ND","ND",IF(S281="","",IF(OR(MID(C281,1,4)="milk",AND(MID(B281,1,2)="50",NOT(input_values!M281="Y")),AND(MID(B281,1,2)="40",NOT(input_values!M281="Y")),AND(MID(B281,1,2)="30",NOT(input_values!M281="Y"))),3,IF(OR(V281="&lt;25",B281&gt;1000000),1,IF((T281&gt;=S281),"2b","2a")))))</f>
        <v>1</v>
      </c>
      <c r="Y281" s="22">
        <f>IF(X281="ND","ND",IF(S281="","",IF(input_values!K281&gt;0,input_values!K281,IF(OR(X281=1,X281=3),1,IF((V281&gt;250),5,7)))))</f>
        <v>1</v>
      </c>
      <c r="Z281" s="340" t="str">
        <f t="shared" si="42"/>
        <v/>
      </c>
      <c r="AA281" s="332">
        <f t="shared" si="43"/>
        <v>0</v>
      </c>
      <c r="AB281" s="128">
        <f t="shared" si="48"/>
        <v>1</v>
      </c>
      <c r="AC281" s="340" t="str">
        <f t="shared" si="49"/>
        <v/>
      </c>
      <c r="AD281" s="332">
        <f t="shared" si="44"/>
        <v>0</v>
      </c>
      <c r="AE281" s="37" t="str">
        <f t="shared" si="50"/>
        <v/>
      </c>
      <c r="AF281" s="37" t="str">
        <f t="shared" si="51"/>
        <v/>
      </c>
      <c r="AG281" s="561" t="str">
        <f t="shared" si="45"/>
        <v/>
      </c>
      <c r="AH281" s="561" t="str">
        <f t="shared" si="46"/>
        <v/>
      </c>
      <c r="AI281" s="576"/>
      <c r="AJ281" s="847"/>
    </row>
    <row r="282" spans="1:36" ht="12" customHeight="1" outlineLevel="3" x14ac:dyDescent="0.2">
      <c r="A282" s="39">
        <f>acute_overview_children!A282</f>
        <v>4</v>
      </c>
      <c r="B282" s="23">
        <f>acute_overview_children!B282</f>
        <v>810040</v>
      </c>
      <c r="C282" s="23" t="s">
        <v>273</v>
      </c>
      <c r="D282" s="300">
        <f>Table22[[#This Row],[Level used for acute calculation]]</f>
        <v>4</v>
      </c>
      <c r="E282" s="302">
        <f>Table22[[#This Row],[MRL individual commodity]]</f>
        <v>0</v>
      </c>
      <c r="F282" s="451">
        <f>Table22[[#This Row],[Acute RA input value]]</f>
        <v>0</v>
      </c>
      <c r="G282" s="301" t="str">
        <f>Table22[[#This Row],[Acute RA label]]</f>
        <v/>
      </c>
      <c r="H282" s="303">
        <f>Table22[[#This Row],[Acute RA IESTI new input value]]</f>
        <v>0</v>
      </c>
      <c r="I282" s="301" t="str">
        <f>Table22[[#This Row],[Acute RA IESTI new label]]</f>
        <v/>
      </c>
      <c r="J282" s="65"/>
      <c r="K282" s="304">
        <f>Table22[[#This Row],[GAP under assessment]]</f>
        <v>0</v>
      </c>
      <c r="L282" s="304" t="str">
        <f>IF(input_values!$M282=0,"",input_values!$M282)</f>
        <v/>
      </c>
      <c r="M282" s="301" t="str">
        <f>IF(input_values!H282=0,"",input_values!H282)</f>
        <v/>
      </c>
      <c r="N282" s="304">
        <f>input_values!$K282</f>
        <v>0</v>
      </c>
      <c r="O282" s="339">
        <v>0.1</v>
      </c>
      <c r="P282" s="128">
        <v>97.5</v>
      </c>
      <c r="Q282" s="346" t="s">
        <v>335</v>
      </c>
      <c r="R282" s="339">
        <v>76.38</v>
      </c>
      <c r="S282" s="338">
        <f t="shared" si="47"/>
        <v>7.6379999999999999</v>
      </c>
      <c r="T282" s="338" t="s">
        <v>617</v>
      </c>
      <c r="U282" s="339" t="s">
        <v>215</v>
      </c>
      <c r="V282" s="338" t="s">
        <v>617</v>
      </c>
      <c r="W282" s="339" t="s">
        <v>215</v>
      </c>
      <c r="X282" s="460">
        <f>IF(V282="ND","ND",IF(S282="","",IF(OR(MID(C282,1,4)="milk",AND(MID(B282,1,2)="50",NOT(input_values!M282="Y")),AND(MID(B282,1,2)="40",NOT(input_values!M282="Y")),AND(MID(B282,1,2)="30",NOT(input_values!M282="Y"))),3,IF(OR(V282="&lt;25",B282&gt;1000000),1,IF((T282&gt;=S282),"2b","2a")))))</f>
        <v>1</v>
      </c>
      <c r="Y282" s="128">
        <f>IF(X282="ND","ND",IF(S282="","",IF(input_values!K282&gt;0,input_values!K282,IF(OR(X282=1,X282=3),1,IF((V282&gt;250),5,7)))))</f>
        <v>1</v>
      </c>
      <c r="Z282" s="345" t="str">
        <f t="shared" si="42"/>
        <v/>
      </c>
      <c r="AA282" s="332">
        <f t="shared" si="43"/>
        <v>0</v>
      </c>
      <c r="AB282" s="128">
        <f t="shared" si="48"/>
        <v>1</v>
      </c>
      <c r="AC282" s="345" t="str">
        <f t="shared" si="49"/>
        <v/>
      </c>
      <c r="AD282" s="332">
        <f t="shared" si="44"/>
        <v>0</v>
      </c>
      <c r="AE282" s="40" t="str">
        <f t="shared" si="50"/>
        <v/>
      </c>
      <c r="AF282" s="40" t="str">
        <f t="shared" si="51"/>
        <v/>
      </c>
      <c r="AG282" s="561" t="str">
        <f t="shared" si="45"/>
        <v/>
      </c>
      <c r="AH282" s="561" t="str">
        <f t="shared" si="46"/>
        <v/>
      </c>
      <c r="AI282" s="576"/>
      <c r="AJ282" s="847"/>
    </row>
    <row r="283" spans="1:36" ht="12" customHeight="1" outlineLevel="3" x14ac:dyDescent="0.2">
      <c r="A283" s="39">
        <f>acute_overview_children!A283</f>
        <v>4</v>
      </c>
      <c r="B283" s="23">
        <f>acute_overview_children!B283</f>
        <v>810050</v>
      </c>
      <c r="C283" s="23" t="s">
        <v>274</v>
      </c>
      <c r="D283" s="300">
        <f>Table22[[#This Row],[Level used for acute calculation]]</f>
        <v>4</v>
      </c>
      <c r="E283" s="302">
        <f>Table22[[#This Row],[MRL individual commodity]]</f>
        <v>0</v>
      </c>
      <c r="F283" s="451">
        <f>Table22[[#This Row],[Acute RA input value]]</f>
        <v>0</v>
      </c>
      <c r="G283" s="301" t="str">
        <f>Table22[[#This Row],[Acute RA label]]</f>
        <v/>
      </c>
      <c r="H283" s="303">
        <f>Table22[[#This Row],[Acute RA IESTI new input value]]</f>
        <v>0</v>
      </c>
      <c r="I283" s="301" t="str">
        <f>Table22[[#This Row],[Acute RA IESTI new label]]</f>
        <v/>
      </c>
      <c r="J283" s="65"/>
      <c r="K283" s="304">
        <f>Table22[[#This Row],[GAP under assessment]]</f>
        <v>0</v>
      </c>
      <c r="L283" s="304" t="str">
        <f>IF(input_values!$M283=0,"",input_values!$M283)</f>
        <v/>
      </c>
      <c r="M283" s="301" t="str">
        <f>IF(input_values!H283=0,"",input_values!H283)</f>
        <v/>
      </c>
      <c r="N283" s="304">
        <f>input_values!$K283</f>
        <v>0</v>
      </c>
      <c r="O283" s="339">
        <v>1.5197568389057753E-3</v>
      </c>
      <c r="P283" s="128" t="s">
        <v>331</v>
      </c>
      <c r="Q283" s="346" t="s">
        <v>99</v>
      </c>
      <c r="R283" s="339">
        <v>65.8</v>
      </c>
      <c r="S283" s="338">
        <f t="shared" si="47"/>
        <v>0.1</v>
      </c>
      <c r="T283" s="338" t="s">
        <v>617</v>
      </c>
      <c r="U283" s="339" t="s">
        <v>215</v>
      </c>
      <c r="V283" s="338" t="s">
        <v>617</v>
      </c>
      <c r="W283" s="339" t="s">
        <v>215</v>
      </c>
      <c r="X283" s="460">
        <f>IF(V283="ND","ND",IF(S283="","",IF(OR(MID(C283,1,4)="milk",AND(MID(B283,1,2)="50",NOT(input_values!M283="Y")),AND(MID(B283,1,2)="40",NOT(input_values!M283="Y")),AND(MID(B283,1,2)="30",NOT(input_values!M283="Y"))),3,IF(OR(V283="&lt;25",B283&gt;1000000),1,IF((T283&gt;=S283),"2b","2a")))))</f>
        <v>1</v>
      </c>
      <c r="Y283" s="128">
        <f>IF(X283="ND","ND",IF(S283="","",IF(input_values!K283&gt;0,input_values!K283,IF(OR(X283=1,X283=3),1,IF((V283&gt;250),5,7)))))</f>
        <v>1</v>
      </c>
      <c r="Z283" s="345" t="str">
        <f t="shared" si="42"/>
        <v/>
      </c>
      <c r="AA283" s="332">
        <f t="shared" si="43"/>
        <v>0</v>
      </c>
      <c r="AB283" s="128">
        <f t="shared" si="48"/>
        <v>1</v>
      </c>
      <c r="AC283" s="345" t="str">
        <f t="shared" si="49"/>
        <v/>
      </c>
      <c r="AD283" s="332">
        <f t="shared" si="44"/>
        <v>0</v>
      </c>
      <c r="AE283" s="40" t="str">
        <f t="shared" si="50"/>
        <v/>
      </c>
      <c r="AF283" s="40" t="str">
        <f t="shared" si="51"/>
        <v/>
      </c>
      <c r="AG283" s="561" t="str">
        <f t="shared" si="45"/>
        <v/>
      </c>
      <c r="AH283" s="561" t="str">
        <f t="shared" si="46"/>
        <v/>
      </c>
      <c r="AI283" s="576"/>
      <c r="AJ283" s="847"/>
    </row>
    <row r="284" spans="1:36" ht="12" customHeight="1" outlineLevel="3" x14ac:dyDescent="0.2">
      <c r="A284" s="39">
        <f>acute_overview_children!A284</f>
        <v>4</v>
      </c>
      <c r="B284" s="23">
        <f>acute_overview_children!B284</f>
        <v>810060</v>
      </c>
      <c r="C284" s="23" t="s">
        <v>275</v>
      </c>
      <c r="D284" s="300">
        <f>Table22[[#This Row],[Level used for acute calculation]]</f>
        <v>4</v>
      </c>
      <c r="E284" s="302">
        <f>Table22[[#This Row],[MRL individual commodity]]</f>
        <v>0</v>
      </c>
      <c r="F284" s="451">
        <f>Table22[[#This Row],[Acute RA input value]]</f>
        <v>0</v>
      </c>
      <c r="G284" s="301" t="str">
        <f>Table22[[#This Row],[Acute RA label]]</f>
        <v/>
      </c>
      <c r="H284" s="303">
        <f>Table22[[#This Row],[Acute RA IESTI new input value]]</f>
        <v>0</v>
      </c>
      <c r="I284" s="301" t="str">
        <f>Table22[[#This Row],[Acute RA IESTI new label]]</f>
        <v/>
      </c>
      <c r="J284" s="65"/>
      <c r="K284" s="304">
        <f>Table22[[#This Row],[GAP under assessment]]</f>
        <v>0</v>
      </c>
      <c r="L284" s="304" t="str">
        <f>IF(input_values!$M284=0,"",input_values!$M284)</f>
        <v/>
      </c>
      <c r="M284" s="301" t="str">
        <f>IF(input_values!H284=0,"",input_values!H284)</f>
        <v/>
      </c>
      <c r="N284" s="304">
        <f>input_values!$K284</f>
        <v>0</v>
      </c>
      <c r="O284" s="339">
        <v>1.5197568389057753E-3</v>
      </c>
      <c r="P284" s="128" t="s">
        <v>331</v>
      </c>
      <c r="Q284" s="346" t="s">
        <v>99</v>
      </c>
      <c r="R284" s="339">
        <v>65.8</v>
      </c>
      <c r="S284" s="338">
        <f t="shared" si="47"/>
        <v>0.1</v>
      </c>
      <c r="T284" s="338" t="s">
        <v>617</v>
      </c>
      <c r="U284" s="339" t="s">
        <v>215</v>
      </c>
      <c r="V284" s="338" t="s">
        <v>617</v>
      </c>
      <c r="W284" s="339" t="s">
        <v>215</v>
      </c>
      <c r="X284" s="460">
        <f>IF(V284="ND","ND",IF(S284="","",IF(OR(MID(C284,1,4)="milk",AND(MID(B284,1,2)="50",NOT(input_values!M284="Y")),AND(MID(B284,1,2)="40",NOT(input_values!M284="Y")),AND(MID(B284,1,2)="30",NOT(input_values!M284="Y"))),3,IF(OR(V284="&lt;25",B284&gt;1000000),1,IF((T284&gt;=S284),"2b","2a")))))</f>
        <v>1</v>
      </c>
      <c r="Y284" s="128">
        <f>IF(X284="ND","ND",IF(S284="","",IF(input_values!K284&gt;0,input_values!K284,IF(OR(X284=1,X284=3),1,IF((V284&gt;250),5,7)))))</f>
        <v>1</v>
      </c>
      <c r="Z284" s="345" t="str">
        <f t="shared" si="42"/>
        <v/>
      </c>
      <c r="AA284" s="332">
        <f t="shared" si="43"/>
        <v>0</v>
      </c>
      <c r="AB284" s="128">
        <f t="shared" si="48"/>
        <v>1</v>
      </c>
      <c r="AC284" s="345" t="str">
        <f t="shared" si="49"/>
        <v/>
      </c>
      <c r="AD284" s="332">
        <f t="shared" si="44"/>
        <v>0</v>
      </c>
      <c r="AE284" s="40" t="str">
        <f t="shared" si="50"/>
        <v/>
      </c>
      <c r="AF284" s="40" t="str">
        <f t="shared" si="51"/>
        <v/>
      </c>
      <c r="AG284" s="561" t="str">
        <f t="shared" si="45"/>
        <v/>
      </c>
      <c r="AH284" s="561" t="str">
        <f t="shared" si="46"/>
        <v/>
      </c>
      <c r="AI284" s="576"/>
      <c r="AJ284" s="847"/>
    </row>
    <row r="285" spans="1:36" ht="12" customHeight="1" outlineLevel="3" x14ac:dyDescent="0.2">
      <c r="A285" s="39">
        <f>acute_overview_children!A285</f>
        <v>4</v>
      </c>
      <c r="B285" s="23">
        <f>acute_overview_children!B285</f>
        <v>810070</v>
      </c>
      <c r="C285" s="23" t="s">
        <v>276</v>
      </c>
      <c r="D285" s="300">
        <f>Table22[[#This Row],[Level used for acute calculation]]</f>
        <v>4</v>
      </c>
      <c r="E285" s="302">
        <f>Table22[[#This Row],[MRL individual commodity]]</f>
        <v>0</v>
      </c>
      <c r="F285" s="451">
        <f>Table22[[#This Row],[Acute RA input value]]</f>
        <v>0</v>
      </c>
      <c r="G285" s="301" t="str">
        <f>Table22[[#This Row],[Acute RA label]]</f>
        <v/>
      </c>
      <c r="H285" s="303">
        <f>Table22[[#This Row],[Acute RA IESTI new input value]]</f>
        <v>0</v>
      </c>
      <c r="I285" s="301" t="str">
        <f>Table22[[#This Row],[Acute RA IESTI new label]]</f>
        <v/>
      </c>
      <c r="J285" s="65"/>
      <c r="K285" s="304">
        <f>Table22[[#This Row],[GAP under assessment]]</f>
        <v>0</v>
      </c>
      <c r="L285" s="304" t="str">
        <f>IF(input_values!$M285=0,"",input_values!$M285)</f>
        <v/>
      </c>
      <c r="M285" s="301" t="str">
        <f>IF(input_values!H285=0,"",input_values!H285)</f>
        <v/>
      </c>
      <c r="N285" s="304">
        <f>input_values!$K285</f>
        <v>0</v>
      </c>
      <c r="O285" s="339">
        <v>0.1</v>
      </c>
      <c r="P285" s="128">
        <v>100</v>
      </c>
      <c r="Q285" s="346" t="s">
        <v>335</v>
      </c>
      <c r="R285" s="339">
        <v>76.38</v>
      </c>
      <c r="S285" s="338">
        <f t="shared" si="47"/>
        <v>7.6379999999999999</v>
      </c>
      <c r="T285" s="338" t="s">
        <v>617</v>
      </c>
      <c r="U285" s="339" t="s">
        <v>215</v>
      </c>
      <c r="V285" s="338" t="s">
        <v>617</v>
      </c>
      <c r="W285" s="339" t="s">
        <v>215</v>
      </c>
      <c r="X285" s="460">
        <f>IF(V285="ND","ND",IF(S285="","",IF(OR(MID(C285,1,4)="milk",AND(MID(B285,1,2)="50",NOT(input_values!M285="Y")),AND(MID(B285,1,2)="40",NOT(input_values!M285="Y")),AND(MID(B285,1,2)="30",NOT(input_values!M285="Y"))),3,IF(OR(V285="&lt;25",B285&gt;1000000),1,IF((T285&gt;=S285),"2b","2a")))))</f>
        <v>1</v>
      </c>
      <c r="Y285" s="128">
        <f>IF(X285="ND","ND",IF(S285="","",IF(input_values!K285&gt;0,input_values!K285,IF(OR(X285=1,X285=3),1,IF((V285&gt;250),5,7)))))</f>
        <v>1</v>
      </c>
      <c r="Z285" s="345" t="str">
        <f t="shared" si="42"/>
        <v/>
      </c>
      <c r="AA285" s="332">
        <f t="shared" si="43"/>
        <v>0</v>
      </c>
      <c r="AB285" s="128">
        <f t="shared" si="48"/>
        <v>1</v>
      </c>
      <c r="AC285" s="345" t="str">
        <f t="shared" si="49"/>
        <v/>
      </c>
      <c r="AD285" s="332">
        <f t="shared" si="44"/>
        <v>0</v>
      </c>
      <c r="AE285" s="40" t="str">
        <f t="shared" si="50"/>
        <v/>
      </c>
      <c r="AF285" s="40" t="str">
        <f t="shared" si="51"/>
        <v/>
      </c>
      <c r="AG285" s="561" t="str">
        <f t="shared" si="45"/>
        <v/>
      </c>
      <c r="AH285" s="561" t="str">
        <f t="shared" si="46"/>
        <v/>
      </c>
      <c r="AI285" s="576"/>
      <c r="AJ285" s="847"/>
    </row>
    <row r="286" spans="1:36" ht="12" customHeight="1" outlineLevel="3" x14ac:dyDescent="0.2">
      <c r="A286" s="39">
        <f>acute_overview_children!A286</f>
        <v>4</v>
      </c>
      <c r="B286" s="23">
        <f>acute_overview_children!B286</f>
        <v>810080</v>
      </c>
      <c r="C286" s="23" t="s">
        <v>277</v>
      </c>
      <c r="D286" s="300">
        <f>Table22[[#This Row],[Level used for acute calculation]]</f>
        <v>4</v>
      </c>
      <c r="E286" s="302">
        <f>Table22[[#This Row],[MRL individual commodity]]</f>
        <v>0</v>
      </c>
      <c r="F286" s="451">
        <f>Table22[[#This Row],[Acute RA input value]]</f>
        <v>0</v>
      </c>
      <c r="G286" s="301" t="str">
        <f>Table22[[#This Row],[Acute RA label]]</f>
        <v/>
      </c>
      <c r="H286" s="303">
        <f>Table22[[#This Row],[Acute RA IESTI new input value]]</f>
        <v>0</v>
      </c>
      <c r="I286" s="301" t="str">
        <f>Table22[[#This Row],[Acute RA IESTI new label]]</f>
        <v/>
      </c>
      <c r="J286" s="65"/>
      <c r="K286" s="304">
        <f>Table22[[#This Row],[GAP under assessment]]</f>
        <v>0</v>
      </c>
      <c r="L286" s="304" t="str">
        <f>IF(input_values!$M286=0,"",input_values!$M286)</f>
        <v/>
      </c>
      <c r="M286" s="301" t="str">
        <f>IF(input_values!H286=0,"",input_values!H286)</f>
        <v/>
      </c>
      <c r="N286" s="304">
        <f>input_values!$K286</f>
        <v>0</v>
      </c>
      <c r="O286" s="339">
        <v>0.1</v>
      </c>
      <c r="P286" s="128">
        <v>97.5</v>
      </c>
      <c r="Q286" s="346" t="s">
        <v>334</v>
      </c>
      <c r="R286" s="339">
        <v>67.47</v>
      </c>
      <c r="S286" s="338">
        <f t="shared" si="47"/>
        <v>6.7469999999999999</v>
      </c>
      <c r="T286" s="338" t="s">
        <v>617</v>
      </c>
      <c r="U286" s="339" t="s">
        <v>215</v>
      </c>
      <c r="V286" s="338" t="s">
        <v>617</v>
      </c>
      <c r="W286" s="339" t="s">
        <v>215</v>
      </c>
      <c r="X286" s="460">
        <f>IF(V286="ND","ND",IF(S286="","",IF(OR(MID(C286,1,4)="milk",AND(MID(B286,1,2)="50",NOT(input_values!M286="Y")),AND(MID(B286,1,2)="40",NOT(input_values!M286="Y")),AND(MID(B286,1,2)="30",NOT(input_values!M286="Y"))),3,IF(OR(V286="&lt;25",B286&gt;1000000),1,IF((T286&gt;=S286),"2b","2a")))))</f>
        <v>1</v>
      </c>
      <c r="Y286" s="128">
        <f>IF(X286="ND","ND",IF(S286="","",IF(input_values!K286&gt;0,input_values!K286,IF(OR(X286=1,X286=3),1,IF((V286&gt;250),5,7)))))</f>
        <v>1</v>
      </c>
      <c r="Z286" s="345" t="str">
        <f t="shared" si="42"/>
        <v/>
      </c>
      <c r="AA286" s="332">
        <f t="shared" si="43"/>
        <v>0</v>
      </c>
      <c r="AB286" s="128">
        <f t="shared" si="48"/>
        <v>1</v>
      </c>
      <c r="AC286" s="345" t="str">
        <f t="shared" si="49"/>
        <v/>
      </c>
      <c r="AD286" s="332">
        <f t="shared" si="44"/>
        <v>0</v>
      </c>
      <c r="AE286" s="40" t="str">
        <f t="shared" si="50"/>
        <v/>
      </c>
      <c r="AF286" s="40" t="str">
        <f t="shared" si="51"/>
        <v/>
      </c>
      <c r="AG286" s="561" t="str">
        <f t="shared" si="45"/>
        <v/>
      </c>
      <c r="AH286" s="561" t="str">
        <f t="shared" si="46"/>
        <v/>
      </c>
      <c r="AI286" s="576"/>
      <c r="AJ286" s="847"/>
    </row>
    <row r="287" spans="1:36" ht="12" customHeight="1" outlineLevel="3" x14ac:dyDescent="0.2">
      <c r="A287" s="39">
        <f>acute_overview_children!A287</f>
        <v>4</v>
      </c>
      <c r="B287" s="23">
        <f>acute_overview_children!B287</f>
        <v>810090</v>
      </c>
      <c r="C287" s="23" t="s">
        <v>278</v>
      </c>
      <c r="D287" s="300">
        <f>Table22[[#This Row],[Level used for acute calculation]]</f>
        <v>4</v>
      </c>
      <c r="E287" s="302">
        <f>Table22[[#This Row],[MRL individual commodity]]</f>
        <v>0</v>
      </c>
      <c r="F287" s="451">
        <f>Table22[[#This Row],[Acute RA input value]]</f>
        <v>0</v>
      </c>
      <c r="G287" s="301" t="str">
        <f>Table22[[#This Row],[Acute RA label]]</f>
        <v/>
      </c>
      <c r="H287" s="303">
        <f>Table22[[#This Row],[Acute RA IESTI new input value]]</f>
        <v>0</v>
      </c>
      <c r="I287" s="301" t="str">
        <f>Table22[[#This Row],[Acute RA IESTI new label]]</f>
        <v/>
      </c>
      <c r="J287" s="65"/>
      <c r="K287" s="304">
        <f>Table22[[#This Row],[GAP under assessment]]</f>
        <v>0</v>
      </c>
      <c r="L287" s="304" t="str">
        <f>IF(input_values!$M287=0,"",input_values!$M287)</f>
        <v/>
      </c>
      <c r="M287" s="301" t="str">
        <f>IF(input_values!H287=0,"",input_values!H287)</f>
        <v/>
      </c>
      <c r="N287" s="304">
        <f>input_values!$K287</f>
        <v>0</v>
      </c>
      <c r="O287" s="339">
        <v>0.1</v>
      </c>
      <c r="P287" s="128">
        <v>97.5</v>
      </c>
      <c r="Q287" s="346" t="s">
        <v>334</v>
      </c>
      <c r="R287" s="339">
        <v>67.47</v>
      </c>
      <c r="S287" s="338">
        <f t="shared" si="47"/>
        <v>6.7469999999999999</v>
      </c>
      <c r="T287" s="338" t="s">
        <v>617</v>
      </c>
      <c r="U287" s="339" t="s">
        <v>215</v>
      </c>
      <c r="V287" s="338" t="s">
        <v>617</v>
      </c>
      <c r="W287" s="339" t="s">
        <v>215</v>
      </c>
      <c r="X287" s="460">
        <f>IF(V287="ND","ND",IF(S287="","",IF(OR(MID(C287,1,4)="milk",AND(MID(B287,1,2)="50",NOT(input_values!M287="Y")),AND(MID(B287,1,2)="40",NOT(input_values!M287="Y")),AND(MID(B287,1,2)="30",NOT(input_values!M287="Y"))),3,IF(OR(V287="&lt;25",B287&gt;1000000),1,IF((T287&gt;=S287),"2b","2a")))))</f>
        <v>1</v>
      </c>
      <c r="Y287" s="128">
        <f>IF(X287="ND","ND",IF(S287="","",IF(input_values!K287&gt;0,input_values!K287,IF(OR(X287=1,X287=3),1,IF((V287&gt;250),5,7)))))</f>
        <v>1</v>
      </c>
      <c r="Z287" s="345" t="str">
        <f t="shared" si="42"/>
        <v/>
      </c>
      <c r="AA287" s="332">
        <f t="shared" si="43"/>
        <v>0</v>
      </c>
      <c r="AB287" s="128">
        <f t="shared" si="48"/>
        <v>1</v>
      </c>
      <c r="AC287" s="345" t="str">
        <f t="shared" si="49"/>
        <v/>
      </c>
      <c r="AD287" s="332">
        <f t="shared" si="44"/>
        <v>0</v>
      </c>
      <c r="AE287" s="40" t="str">
        <f t="shared" si="50"/>
        <v/>
      </c>
      <c r="AF287" s="40" t="str">
        <f t="shared" si="51"/>
        <v/>
      </c>
      <c r="AG287" s="561" t="str">
        <f t="shared" si="45"/>
        <v/>
      </c>
      <c r="AH287" s="561" t="str">
        <f t="shared" si="46"/>
        <v/>
      </c>
      <c r="AI287" s="576"/>
      <c r="AJ287" s="847"/>
    </row>
    <row r="288" spans="1:36" ht="12" customHeight="1" outlineLevel="3" x14ac:dyDescent="0.2">
      <c r="A288" s="39">
        <f>acute_overview_children!A288</f>
        <v>4</v>
      </c>
      <c r="B288" s="23">
        <f>acute_overview_children!B288</f>
        <v>810990</v>
      </c>
      <c r="C288" s="23" t="s">
        <v>183</v>
      </c>
      <c r="D288" s="300">
        <f>Table22[[#This Row],[Level used for acute calculation]]</f>
        <v>0</v>
      </c>
      <c r="E288" s="302">
        <f>Table22[[#This Row],[MRL individual commodity]]</f>
        <v>0</v>
      </c>
      <c r="F288" s="451">
        <f>Table22[[#This Row],[Acute RA input value]]</f>
        <v>0</v>
      </c>
      <c r="G288" s="301">
        <f>Table22[[#This Row],[Acute RA label]]</f>
        <v>0</v>
      </c>
      <c r="H288" s="303">
        <f>Table22[[#This Row],[Acute RA IESTI new input value]]</f>
        <v>0</v>
      </c>
      <c r="I288" s="301">
        <f>Table22[[#This Row],[Acute RA IESTI new label]]</f>
        <v>0</v>
      </c>
      <c r="J288" s="65"/>
      <c r="K288" s="304">
        <f>Table22[[#This Row],[GAP under assessment]]</f>
        <v>0</v>
      </c>
      <c r="L288" s="304" t="str">
        <f>IF(input_values!$M288=0,"",input_values!$M288)</f>
        <v/>
      </c>
      <c r="M288" s="301" t="str">
        <f>IF(input_values!H288=0,"",input_values!H288)</f>
        <v/>
      </c>
      <c r="N288" s="304">
        <f>input_values!$K288</f>
        <v>0</v>
      </c>
      <c r="O288" s="309"/>
      <c r="P288" s="38"/>
      <c r="Q288" s="306"/>
      <c r="R288" s="309"/>
      <c r="S288" s="336" t="str">
        <f t="shared" si="47"/>
        <v/>
      </c>
      <c r="T288" s="305"/>
      <c r="U288" s="309"/>
      <c r="V288" s="305"/>
      <c r="W288" s="309"/>
      <c r="X288" s="611" t="str">
        <f>IF(V288="ND","ND",IF(S288="","",IF(OR(MID(C288,1,4)="milk",AND(MID(B288,1,2)="50",NOT(input_values!M288="Y")),AND(MID(B288,1,2)="40",NOT(input_values!M288="Y")),AND(MID(B288,1,2)="30",NOT(input_values!M288="Y"))),3,IF(OR(V288="&lt;25",B288&gt;1000000),1,IF((T288&gt;=S288),"2b","2a")))))</f>
        <v/>
      </c>
      <c r="Y288" s="38" t="str">
        <f>IF(X288="ND","ND",IF(S288="","",IF(input_values!K288&gt;0,input_values!K288,IF(OR(X288=1,X288=3),1,IF((V288&gt;250),5,7)))))</f>
        <v/>
      </c>
      <c r="Z288" s="335" t="str">
        <f t="shared" si="42"/>
        <v/>
      </c>
      <c r="AA288" s="311">
        <f t="shared" si="43"/>
        <v>0</v>
      </c>
      <c r="AB288" s="38" t="str">
        <f t="shared" si="48"/>
        <v/>
      </c>
      <c r="AC288" s="335" t="str">
        <f t="shared" si="49"/>
        <v/>
      </c>
      <c r="AD288" s="311">
        <f t="shared" si="44"/>
        <v>0</v>
      </c>
      <c r="AE288" s="344" t="str">
        <f t="shared" si="50"/>
        <v/>
      </c>
      <c r="AF288" s="344" t="str">
        <f t="shared" si="51"/>
        <v/>
      </c>
      <c r="AG288" s="561" t="str">
        <f t="shared" si="45"/>
        <v/>
      </c>
      <c r="AH288" s="561" t="str">
        <f t="shared" si="46"/>
        <v/>
      </c>
      <c r="AI288" s="576"/>
      <c r="AJ288" s="847"/>
    </row>
    <row r="289" spans="1:36" outlineLevel="1" x14ac:dyDescent="0.2">
      <c r="A289" s="130">
        <f>acute_overview_children!A289</f>
        <v>2</v>
      </c>
      <c r="B289" s="131">
        <f>acute_overview_children!B289</f>
        <v>820000</v>
      </c>
      <c r="C289" s="131" t="s">
        <v>783</v>
      </c>
      <c r="D289" s="300">
        <f>Table22[[#This Row],[Level used for acute calculation]]</f>
        <v>4</v>
      </c>
      <c r="E289" s="302">
        <f>Table22[[#This Row],[MRL individual commodity]]</f>
        <v>0</v>
      </c>
      <c r="F289" s="451">
        <f>Table22[[#This Row],[Acute RA input value]]</f>
        <v>0</v>
      </c>
      <c r="G289" s="301">
        <f>Table22[[#This Row],[Acute RA label]]</f>
        <v>0</v>
      </c>
      <c r="H289" s="303">
        <f>Table22[[#This Row],[Acute RA IESTI new input value]]</f>
        <v>0</v>
      </c>
      <c r="I289" s="301">
        <f>Table22[[#This Row],[Acute RA IESTI new label]]</f>
        <v>0</v>
      </c>
      <c r="J289" s="65"/>
      <c r="K289" s="304">
        <f>Table22[[#This Row],[GAP under assessment]]</f>
        <v>0</v>
      </c>
      <c r="L289" s="304" t="str">
        <f>IF(input_values!$M289=0,"",input_values!$M289)</f>
        <v/>
      </c>
      <c r="M289" s="301" t="str">
        <f>IF(input_values!H289=0,"",input_values!H289)</f>
        <v/>
      </c>
      <c r="N289" s="304">
        <f>input_values!$K289</f>
        <v>0</v>
      </c>
      <c r="O289" s="309"/>
      <c r="P289" s="38"/>
      <c r="Q289" s="306"/>
      <c r="R289" s="309"/>
      <c r="S289" s="336" t="str">
        <f t="shared" si="47"/>
        <v/>
      </c>
      <c r="T289" s="305"/>
      <c r="U289" s="309"/>
      <c r="V289" s="305"/>
      <c r="W289" s="309"/>
      <c r="X289" s="611" t="str">
        <f>IF(V289="ND","ND",IF(S289="","",IF(OR(MID(C289,1,4)="milk",AND(MID(B289,1,2)="50",NOT(input_values!M289="Y")),AND(MID(B289,1,2)="40",NOT(input_values!M289="Y")),AND(MID(B289,1,2)="30",NOT(input_values!M289="Y"))),3,IF(OR(V289="&lt;25",B289&gt;1000000),1,IF((T289&gt;=S289),"2b","2a")))))</f>
        <v/>
      </c>
      <c r="Y289" s="38" t="str">
        <f>IF(X289="ND","ND",IF(S289="","",IF(input_values!K289&gt;0,input_values!K289,IF(OR(X289=1,X289=3),1,IF((V289&gt;250),5,7)))))</f>
        <v/>
      </c>
      <c r="Z289" s="335" t="str">
        <f t="shared" si="42"/>
        <v/>
      </c>
      <c r="AA289" s="311">
        <f t="shared" si="43"/>
        <v>0</v>
      </c>
      <c r="AB289" s="38" t="str">
        <f t="shared" si="48"/>
        <v/>
      </c>
      <c r="AC289" s="335" t="str">
        <f t="shared" si="49"/>
        <v/>
      </c>
      <c r="AD289" s="311">
        <f t="shared" si="44"/>
        <v>0</v>
      </c>
      <c r="AE289" s="344" t="str">
        <f t="shared" si="50"/>
        <v/>
      </c>
      <c r="AF289" s="344" t="str">
        <f t="shared" si="51"/>
        <v/>
      </c>
      <c r="AG289" s="561" t="str">
        <f t="shared" si="45"/>
        <v/>
      </c>
      <c r="AH289" s="561" t="str">
        <f t="shared" si="46"/>
        <v/>
      </c>
      <c r="AI289" s="576"/>
      <c r="AJ289" s="847"/>
    </row>
    <row r="290" spans="1:36" ht="12" customHeight="1" outlineLevel="3" x14ac:dyDescent="0.2">
      <c r="A290" s="39">
        <f>acute_overview_children!A290</f>
        <v>4</v>
      </c>
      <c r="B290" s="23">
        <f>acute_overview_children!B290</f>
        <v>820010</v>
      </c>
      <c r="C290" s="23" t="s">
        <v>778</v>
      </c>
      <c r="D290" s="300">
        <f>Table22[[#This Row],[Level used for acute calculation]]</f>
        <v>4</v>
      </c>
      <c r="E290" s="302">
        <f>Table22[[#This Row],[MRL individual commodity]]</f>
        <v>0</v>
      </c>
      <c r="F290" s="451">
        <f>Table22[[#This Row],[Acute RA input value]]</f>
        <v>0</v>
      </c>
      <c r="G290" s="301" t="str">
        <f>Table22[[#This Row],[Acute RA label]]</f>
        <v/>
      </c>
      <c r="H290" s="303">
        <f>Table22[[#This Row],[Acute RA IESTI new input value]]</f>
        <v>0</v>
      </c>
      <c r="I290" s="301" t="str">
        <f>Table22[[#This Row],[Acute RA IESTI new label]]</f>
        <v/>
      </c>
      <c r="J290" s="65"/>
      <c r="K290" s="304">
        <f>Table22[[#This Row],[GAP under assessment]]</f>
        <v>0</v>
      </c>
      <c r="L290" s="304" t="str">
        <f>IF(input_values!$M290=0,"",input_values!$M290)</f>
        <v/>
      </c>
      <c r="M290" s="301" t="str">
        <f>IF(input_values!H290=0,"",input_values!H290)</f>
        <v/>
      </c>
      <c r="N290" s="304">
        <f>input_values!$K290</f>
        <v>0</v>
      </c>
      <c r="O290" s="339">
        <v>0.01</v>
      </c>
      <c r="P290" s="128">
        <v>97.5</v>
      </c>
      <c r="Q290" s="346" t="s">
        <v>102</v>
      </c>
      <c r="R290" s="339">
        <v>65.599999999999994</v>
      </c>
      <c r="S290" s="338">
        <f t="shared" si="47"/>
        <v>0.65599999999999992</v>
      </c>
      <c r="T290" s="338" t="s">
        <v>617</v>
      </c>
      <c r="U290" s="339" t="s">
        <v>215</v>
      </c>
      <c r="V290" s="338" t="s">
        <v>617</v>
      </c>
      <c r="W290" s="339" t="s">
        <v>215</v>
      </c>
      <c r="X290" s="460">
        <f>IF(V290="ND","ND",IF(S290="","",IF(OR(MID(C290,1,4)="milk",AND(MID(B290,1,2)="50",NOT(input_values!M290="Y")),AND(MID(B290,1,2)="40",NOT(input_values!M290="Y")),AND(MID(B290,1,2)="30",NOT(input_values!M290="Y"))),3,IF(OR(V290="&lt;25",B290&gt;1000000),1,IF((T290&gt;=S290),"2b","2a")))))</f>
        <v>1</v>
      </c>
      <c r="Y290" s="128">
        <f>IF(X290="ND","ND",IF(S290="","",IF(input_values!K290&gt;0,input_values!K290,IF(OR(X290=1,X290=3),1,IF((V290&gt;250),5,7)))))</f>
        <v>1</v>
      </c>
      <c r="Z290" s="345" t="str">
        <f t="shared" si="42"/>
        <v/>
      </c>
      <c r="AA290" s="332">
        <f t="shared" si="43"/>
        <v>0</v>
      </c>
      <c r="AB290" s="128">
        <f t="shared" si="48"/>
        <v>1</v>
      </c>
      <c r="AC290" s="345" t="str">
        <f t="shared" si="49"/>
        <v/>
      </c>
      <c r="AD290" s="332">
        <f t="shared" si="44"/>
        <v>0</v>
      </c>
      <c r="AE290" s="40" t="str">
        <f t="shared" si="50"/>
        <v/>
      </c>
      <c r="AF290" s="40" t="str">
        <f t="shared" si="51"/>
        <v/>
      </c>
      <c r="AG290" s="561" t="str">
        <f t="shared" si="45"/>
        <v/>
      </c>
      <c r="AH290" s="561" t="str">
        <f t="shared" si="46"/>
        <v/>
      </c>
      <c r="AI290" s="576"/>
      <c r="AJ290" s="847"/>
    </row>
    <row r="291" spans="1:36" ht="12" customHeight="1" outlineLevel="3" x14ac:dyDescent="0.2">
      <c r="A291" s="39">
        <f>acute_overview_children!A291</f>
        <v>4</v>
      </c>
      <c r="B291" s="23">
        <f>acute_overview_children!B291</f>
        <v>820020</v>
      </c>
      <c r="C291" s="23" t="s">
        <v>779</v>
      </c>
      <c r="D291" s="300">
        <f>Table22[[#This Row],[Level used for acute calculation]]</f>
        <v>4</v>
      </c>
      <c r="E291" s="302">
        <f>Table22[[#This Row],[MRL individual commodity]]</f>
        <v>0</v>
      </c>
      <c r="F291" s="451">
        <f>Table22[[#This Row],[Acute RA input value]]</f>
        <v>0</v>
      </c>
      <c r="G291" s="301" t="str">
        <f>Table22[[#This Row],[Acute RA label]]</f>
        <v/>
      </c>
      <c r="H291" s="303">
        <f>Table22[[#This Row],[Acute RA IESTI new input value]]</f>
        <v>0</v>
      </c>
      <c r="I291" s="301" t="str">
        <f>Table22[[#This Row],[Acute RA IESTI new label]]</f>
        <v/>
      </c>
      <c r="J291" s="65"/>
      <c r="K291" s="304">
        <f>Table22[[#This Row],[GAP under assessment]]</f>
        <v>0</v>
      </c>
      <c r="L291" s="304" t="str">
        <f>IF(input_values!$M291=0,"",input_values!$M291)</f>
        <v/>
      </c>
      <c r="M291" s="301" t="str">
        <f>IF(input_values!H291=0,"",input_values!H291)</f>
        <v/>
      </c>
      <c r="N291" s="304">
        <f>input_values!$K291</f>
        <v>0</v>
      </c>
      <c r="O291" s="338" t="s">
        <v>618</v>
      </c>
      <c r="P291" s="128"/>
      <c r="Q291" s="346"/>
      <c r="R291" s="339"/>
      <c r="S291" s="340" t="str">
        <f t="shared" si="47"/>
        <v>ND</v>
      </c>
      <c r="T291" s="338" t="s">
        <v>617</v>
      </c>
      <c r="U291" s="339" t="s">
        <v>215</v>
      </c>
      <c r="V291" s="338" t="s">
        <v>617</v>
      </c>
      <c r="W291" s="339" t="s">
        <v>215</v>
      </c>
      <c r="X291" s="460">
        <f>IF(V291="ND","ND",IF(S291="","",IF(OR(MID(C291,1,4)="milk",AND(MID(B291,1,2)="50",NOT(input_values!M291="Y")),AND(MID(B291,1,2)="40",NOT(input_values!M291="Y")),AND(MID(B291,1,2)="30",NOT(input_values!M291="Y"))),3,IF(OR(V291="&lt;25",B291&gt;1000000),1,IF((T291&gt;=S291),"2b","2a")))))</f>
        <v>1</v>
      </c>
      <c r="Y291" s="128">
        <f>IF(X291="ND","ND",IF(S291="","",IF(input_values!K291&gt;0,input_values!K291,IF(OR(X291=1,X291=3),1,IF((V291&gt;250),5,7)))))</f>
        <v>1</v>
      </c>
      <c r="Z291" s="340" t="str">
        <f t="shared" si="42"/>
        <v/>
      </c>
      <c r="AA291" s="332">
        <f t="shared" si="43"/>
        <v>0</v>
      </c>
      <c r="AB291" s="128">
        <f t="shared" si="48"/>
        <v>1</v>
      </c>
      <c r="AC291" s="340" t="str">
        <f t="shared" si="49"/>
        <v/>
      </c>
      <c r="AD291" s="332">
        <f t="shared" si="44"/>
        <v>0</v>
      </c>
      <c r="AE291" s="37" t="str">
        <f t="shared" si="50"/>
        <v/>
      </c>
      <c r="AF291" s="37" t="str">
        <f t="shared" si="51"/>
        <v/>
      </c>
      <c r="AG291" s="561" t="str">
        <f t="shared" si="45"/>
        <v/>
      </c>
      <c r="AH291" s="561" t="str">
        <f t="shared" si="46"/>
        <v/>
      </c>
      <c r="AI291" s="576"/>
      <c r="AJ291" s="847"/>
    </row>
    <row r="292" spans="1:36" ht="12" customHeight="1" outlineLevel="3" x14ac:dyDescent="0.2">
      <c r="A292" s="39">
        <f>acute_overview_children!A292</f>
        <v>4</v>
      </c>
      <c r="B292" s="23">
        <f>acute_overview_children!B292</f>
        <v>820030</v>
      </c>
      <c r="C292" s="23" t="s">
        <v>279</v>
      </c>
      <c r="D292" s="300">
        <f>Table22[[#This Row],[Level used for acute calculation]]</f>
        <v>4</v>
      </c>
      <c r="E292" s="302">
        <f>Table22[[#This Row],[MRL individual commodity]]</f>
        <v>0</v>
      </c>
      <c r="F292" s="451">
        <f>Table22[[#This Row],[Acute RA input value]]</f>
        <v>0</v>
      </c>
      <c r="G292" s="301" t="str">
        <f>Table22[[#This Row],[Acute RA label]]</f>
        <v/>
      </c>
      <c r="H292" s="303">
        <f>Table22[[#This Row],[Acute RA IESTI new input value]]</f>
        <v>0</v>
      </c>
      <c r="I292" s="301" t="str">
        <f>Table22[[#This Row],[Acute RA IESTI new label]]</f>
        <v/>
      </c>
      <c r="J292" s="65"/>
      <c r="K292" s="304">
        <f>Table22[[#This Row],[GAP under assessment]]</f>
        <v>0</v>
      </c>
      <c r="L292" s="304" t="str">
        <f>IF(input_values!$M292=0,"",input_values!$M292)</f>
        <v/>
      </c>
      <c r="M292" s="301" t="str">
        <f>IF(input_values!H292=0,"",input_values!H292)</f>
        <v/>
      </c>
      <c r="N292" s="304">
        <f>input_values!$K292</f>
        <v>0</v>
      </c>
      <c r="O292" s="339">
        <v>0.02</v>
      </c>
      <c r="P292" s="128">
        <v>97.5</v>
      </c>
      <c r="Q292" s="346" t="s">
        <v>103</v>
      </c>
      <c r="R292" s="339">
        <v>55.6</v>
      </c>
      <c r="S292" s="338">
        <f t="shared" si="47"/>
        <v>1.1120000000000001</v>
      </c>
      <c r="T292" s="338" t="s">
        <v>617</v>
      </c>
      <c r="U292" s="339" t="s">
        <v>215</v>
      </c>
      <c r="V292" s="338" t="s">
        <v>617</v>
      </c>
      <c r="W292" s="339" t="s">
        <v>215</v>
      </c>
      <c r="X292" s="460">
        <f>IF(V292="ND","ND",IF(S292="","",IF(OR(MID(C292,1,4)="milk",AND(MID(B292,1,2)="50",NOT(input_values!M292="Y")),AND(MID(B292,1,2)="40",NOT(input_values!M292="Y")),AND(MID(B292,1,2)="30",NOT(input_values!M292="Y"))),3,IF(OR(V292="&lt;25",B292&gt;1000000),1,IF((T292&gt;=S292),"2b","2a")))))</f>
        <v>1</v>
      </c>
      <c r="Y292" s="128">
        <f>IF(X292="ND","ND",IF(S292="","",IF(input_values!K292&gt;0,input_values!K292,IF(OR(X292=1,X292=3),1,IF((V292&gt;250),5,7)))))</f>
        <v>1</v>
      </c>
      <c r="Z292" s="345" t="str">
        <f t="shared" si="42"/>
        <v/>
      </c>
      <c r="AA292" s="332">
        <f t="shared" si="43"/>
        <v>0</v>
      </c>
      <c r="AB292" s="128">
        <f t="shared" si="48"/>
        <v>1</v>
      </c>
      <c r="AC292" s="345" t="str">
        <f t="shared" si="49"/>
        <v/>
      </c>
      <c r="AD292" s="332">
        <f t="shared" si="44"/>
        <v>0</v>
      </c>
      <c r="AE292" s="40" t="str">
        <f t="shared" si="50"/>
        <v/>
      </c>
      <c r="AF292" s="40" t="str">
        <f t="shared" si="51"/>
        <v/>
      </c>
      <c r="AG292" s="561" t="str">
        <f t="shared" si="45"/>
        <v/>
      </c>
      <c r="AH292" s="561" t="str">
        <f t="shared" si="46"/>
        <v/>
      </c>
      <c r="AI292" s="576"/>
      <c r="AJ292" s="847"/>
    </row>
    <row r="293" spans="1:36" ht="12" customHeight="1" outlineLevel="3" x14ac:dyDescent="0.2">
      <c r="A293" s="39">
        <f>acute_overview_children!A293</f>
        <v>4</v>
      </c>
      <c r="B293" s="23">
        <f>acute_overview_children!B293</f>
        <v>820040</v>
      </c>
      <c r="C293" s="23" t="s">
        <v>280</v>
      </c>
      <c r="D293" s="300">
        <f>Table22[[#This Row],[Level used for acute calculation]]</f>
        <v>4</v>
      </c>
      <c r="E293" s="302">
        <f>Table22[[#This Row],[MRL individual commodity]]</f>
        <v>0</v>
      </c>
      <c r="F293" s="451">
        <f>Table22[[#This Row],[Acute RA input value]]</f>
        <v>0</v>
      </c>
      <c r="G293" s="301" t="str">
        <f>Table22[[#This Row],[Acute RA label]]</f>
        <v/>
      </c>
      <c r="H293" s="303">
        <f>Table22[[#This Row],[Acute RA IESTI new input value]]</f>
        <v>0</v>
      </c>
      <c r="I293" s="301" t="str">
        <f>Table22[[#This Row],[Acute RA IESTI new label]]</f>
        <v/>
      </c>
      <c r="J293" s="65"/>
      <c r="K293" s="304">
        <f>Table22[[#This Row],[GAP under assessment]]</f>
        <v>0</v>
      </c>
      <c r="L293" s="304" t="str">
        <f>IF(input_values!$M293=0,"",input_values!$M293)</f>
        <v/>
      </c>
      <c r="M293" s="301" t="str">
        <f>IF(input_values!H293=0,"",input_values!H293)</f>
        <v/>
      </c>
      <c r="N293" s="304">
        <f>input_values!$K293</f>
        <v>0</v>
      </c>
      <c r="O293" s="339">
        <v>0.1</v>
      </c>
      <c r="P293" s="128">
        <v>97.5</v>
      </c>
      <c r="Q293" s="346" t="s">
        <v>334</v>
      </c>
      <c r="R293" s="339">
        <v>67.47</v>
      </c>
      <c r="S293" s="338">
        <f t="shared" si="47"/>
        <v>6.7469999999999999</v>
      </c>
      <c r="T293" s="338" t="s">
        <v>617</v>
      </c>
      <c r="U293" s="339" t="s">
        <v>215</v>
      </c>
      <c r="V293" s="338" t="s">
        <v>617</v>
      </c>
      <c r="W293" s="339" t="s">
        <v>215</v>
      </c>
      <c r="X293" s="460">
        <f>IF(V293="ND","ND",IF(S293="","",IF(OR(MID(C293,1,4)="milk",AND(MID(B293,1,2)="50",NOT(input_values!M293="Y")),AND(MID(B293,1,2)="40",NOT(input_values!M293="Y")),AND(MID(B293,1,2)="30",NOT(input_values!M293="Y"))),3,IF(OR(V293="&lt;25",B293&gt;1000000),1,IF((T293&gt;=S293),"2b","2a")))))</f>
        <v>1</v>
      </c>
      <c r="Y293" s="128">
        <f>IF(X293="ND","ND",IF(S293="","",IF(input_values!K293&gt;0,input_values!K293,IF(OR(X293=1,X293=3),1,IF((V293&gt;250),5,7)))))</f>
        <v>1</v>
      </c>
      <c r="Z293" s="345" t="str">
        <f t="shared" si="42"/>
        <v/>
      </c>
      <c r="AA293" s="332">
        <f t="shared" si="43"/>
        <v>0</v>
      </c>
      <c r="AB293" s="128">
        <f t="shared" si="48"/>
        <v>1</v>
      </c>
      <c r="AC293" s="345" t="str">
        <f t="shared" si="49"/>
        <v/>
      </c>
      <c r="AD293" s="332">
        <f t="shared" si="44"/>
        <v>0</v>
      </c>
      <c r="AE293" s="40" t="str">
        <f t="shared" si="50"/>
        <v/>
      </c>
      <c r="AF293" s="40" t="str">
        <f t="shared" si="51"/>
        <v/>
      </c>
      <c r="AG293" s="561" t="str">
        <f t="shared" si="45"/>
        <v/>
      </c>
      <c r="AH293" s="561" t="str">
        <f t="shared" si="46"/>
        <v/>
      </c>
      <c r="AI293" s="576"/>
      <c r="AJ293" s="847"/>
    </row>
    <row r="294" spans="1:36" ht="12" customHeight="1" outlineLevel="3" x14ac:dyDescent="0.2">
      <c r="A294" s="39">
        <f>acute_overview_children!A294</f>
        <v>4</v>
      </c>
      <c r="B294" s="23">
        <f>acute_overview_children!B294</f>
        <v>820050</v>
      </c>
      <c r="C294" s="23" t="s">
        <v>780</v>
      </c>
      <c r="D294" s="300">
        <f>Table22[[#This Row],[Level used for acute calculation]]</f>
        <v>4</v>
      </c>
      <c r="E294" s="302">
        <f>Table22[[#This Row],[MRL individual commodity]]</f>
        <v>0</v>
      </c>
      <c r="F294" s="451">
        <f>Table22[[#This Row],[Acute RA input value]]</f>
        <v>0</v>
      </c>
      <c r="G294" s="301" t="str">
        <f>Table22[[#This Row],[Acute RA label]]</f>
        <v/>
      </c>
      <c r="H294" s="303">
        <f>Table22[[#This Row],[Acute RA IESTI new input value]]</f>
        <v>0</v>
      </c>
      <c r="I294" s="301" t="str">
        <f>Table22[[#This Row],[Acute RA IESTI new label]]</f>
        <v/>
      </c>
      <c r="J294" s="65"/>
      <c r="K294" s="304">
        <f>Table22[[#This Row],[GAP under assessment]]</f>
        <v>0</v>
      </c>
      <c r="L294" s="304" t="str">
        <f>IF(input_values!$M294=0,"",input_values!$M294)</f>
        <v/>
      </c>
      <c r="M294" s="301" t="str">
        <f>IF(input_values!H294=0,"",input_values!H294)</f>
        <v/>
      </c>
      <c r="N294" s="304">
        <f>input_values!$K294</f>
        <v>0</v>
      </c>
      <c r="O294" s="339">
        <v>1.5197568389057753E-3</v>
      </c>
      <c r="P294" s="128" t="s">
        <v>331</v>
      </c>
      <c r="Q294" s="346" t="s">
        <v>99</v>
      </c>
      <c r="R294" s="339">
        <v>65.8</v>
      </c>
      <c r="S294" s="338">
        <f t="shared" si="47"/>
        <v>0.1</v>
      </c>
      <c r="T294" s="338" t="s">
        <v>617</v>
      </c>
      <c r="U294" s="339" t="s">
        <v>215</v>
      </c>
      <c r="V294" s="338" t="s">
        <v>617</v>
      </c>
      <c r="W294" s="339" t="s">
        <v>215</v>
      </c>
      <c r="X294" s="460">
        <f>IF(V294="ND","ND",IF(S294="","",IF(OR(MID(C294,1,4)="milk",AND(MID(B294,1,2)="50",NOT(input_values!M294="Y")),AND(MID(B294,1,2)="40",NOT(input_values!M294="Y")),AND(MID(B294,1,2)="30",NOT(input_values!M294="Y"))),3,IF(OR(V294="&lt;25",B294&gt;1000000),1,IF((T294&gt;=S294),"2b","2a")))))</f>
        <v>1</v>
      </c>
      <c r="Y294" s="128">
        <f>IF(X294="ND","ND",IF(S294="","",IF(input_values!K294&gt;0,input_values!K294,IF(OR(X294=1,X294=3),1,IF((V294&gt;250),5,7)))))</f>
        <v>1</v>
      </c>
      <c r="Z294" s="345" t="str">
        <f t="shared" si="42"/>
        <v/>
      </c>
      <c r="AA294" s="332">
        <f t="shared" si="43"/>
        <v>0</v>
      </c>
      <c r="AB294" s="128">
        <f t="shared" si="48"/>
        <v>1</v>
      </c>
      <c r="AC294" s="345" t="str">
        <f t="shared" si="49"/>
        <v/>
      </c>
      <c r="AD294" s="332">
        <f t="shared" si="44"/>
        <v>0</v>
      </c>
      <c r="AE294" s="40" t="str">
        <f t="shared" si="50"/>
        <v/>
      </c>
      <c r="AF294" s="40" t="str">
        <f t="shared" si="51"/>
        <v/>
      </c>
      <c r="AG294" s="561" t="str">
        <f t="shared" si="45"/>
        <v/>
      </c>
      <c r="AH294" s="561" t="str">
        <f t="shared" si="46"/>
        <v/>
      </c>
      <c r="AI294" s="576"/>
      <c r="AJ294" s="847"/>
    </row>
    <row r="295" spans="1:36" ht="12" customHeight="1" outlineLevel="3" x14ac:dyDescent="0.2">
      <c r="A295" s="39">
        <f>acute_overview_children!A295</f>
        <v>4</v>
      </c>
      <c r="B295" s="23">
        <f>acute_overview_children!B295</f>
        <v>820060</v>
      </c>
      <c r="C295" s="23" t="s">
        <v>781</v>
      </c>
      <c r="D295" s="300">
        <f>Table22[[#This Row],[Level used for acute calculation]]</f>
        <v>4</v>
      </c>
      <c r="E295" s="302">
        <f>Table22[[#This Row],[MRL individual commodity]]</f>
        <v>0</v>
      </c>
      <c r="F295" s="451">
        <f>Table22[[#This Row],[Acute RA input value]]</f>
        <v>0</v>
      </c>
      <c r="G295" s="301" t="str">
        <f>Table22[[#This Row],[Acute RA label]]</f>
        <v/>
      </c>
      <c r="H295" s="303">
        <f>Table22[[#This Row],[Acute RA IESTI new input value]]</f>
        <v>0</v>
      </c>
      <c r="I295" s="301" t="str">
        <f>Table22[[#This Row],[Acute RA IESTI new label]]</f>
        <v/>
      </c>
      <c r="J295" s="65"/>
      <c r="K295" s="304">
        <f>Table22[[#This Row],[GAP under assessment]]</f>
        <v>0</v>
      </c>
      <c r="L295" s="304" t="str">
        <f>IF(input_values!$M295=0,"",input_values!$M295)</f>
        <v/>
      </c>
      <c r="M295" s="301" t="str">
        <f>IF(input_values!H295=0,"",input_values!H295)</f>
        <v/>
      </c>
      <c r="N295" s="304">
        <f>input_values!$K295</f>
        <v>0</v>
      </c>
      <c r="O295" s="339">
        <v>3.1E-2</v>
      </c>
      <c r="P295" s="128">
        <v>97.5</v>
      </c>
      <c r="Q295" s="346" t="s">
        <v>313</v>
      </c>
      <c r="R295" s="339">
        <v>66.400000000000006</v>
      </c>
      <c r="S295" s="338">
        <f t="shared" si="47"/>
        <v>2.0584000000000002</v>
      </c>
      <c r="T295" s="338" t="s">
        <v>617</v>
      </c>
      <c r="U295" s="339" t="s">
        <v>215</v>
      </c>
      <c r="V295" s="338" t="s">
        <v>617</v>
      </c>
      <c r="W295" s="339" t="s">
        <v>215</v>
      </c>
      <c r="X295" s="460">
        <f>IF(V295="ND","ND",IF(S295="","",IF(OR(MID(C295,1,4)="milk",AND(MID(B295,1,2)="50",NOT(input_values!M295="Y")),AND(MID(B295,1,2)="40",NOT(input_values!M295="Y")),AND(MID(B295,1,2)="30",NOT(input_values!M295="Y"))),3,IF(OR(V295="&lt;25",B295&gt;1000000),1,IF((T295&gt;=S295),"2b","2a")))))</f>
        <v>1</v>
      </c>
      <c r="Y295" s="128">
        <f>IF(X295="ND","ND",IF(S295="","",IF(input_values!K295&gt;0,input_values!K295,IF(OR(X295=1,X295=3),1,IF((V295&gt;250),5,7)))))</f>
        <v>1</v>
      </c>
      <c r="Z295" s="345" t="str">
        <f t="shared" si="42"/>
        <v/>
      </c>
      <c r="AA295" s="332">
        <f t="shared" si="43"/>
        <v>0</v>
      </c>
      <c r="AB295" s="128">
        <f t="shared" si="48"/>
        <v>1</v>
      </c>
      <c r="AC295" s="345" t="str">
        <f t="shared" si="49"/>
        <v/>
      </c>
      <c r="AD295" s="332">
        <f t="shared" si="44"/>
        <v>0</v>
      </c>
      <c r="AE295" s="40" t="str">
        <f t="shared" si="50"/>
        <v/>
      </c>
      <c r="AF295" s="40" t="str">
        <f t="shared" si="51"/>
        <v/>
      </c>
      <c r="AG295" s="561" t="str">
        <f t="shared" si="45"/>
        <v/>
      </c>
      <c r="AH295" s="561" t="str">
        <f t="shared" si="46"/>
        <v/>
      </c>
      <c r="AI295" s="576"/>
      <c r="AJ295" s="847"/>
    </row>
    <row r="296" spans="1:36" ht="12" customHeight="1" outlineLevel="3" x14ac:dyDescent="0.2">
      <c r="A296" s="39">
        <f>acute_overview_children!A296</f>
        <v>4</v>
      </c>
      <c r="B296" s="23">
        <f>acute_overview_children!B296</f>
        <v>820070</v>
      </c>
      <c r="C296" s="23" t="s">
        <v>122</v>
      </c>
      <c r="D296" s="300">
        <f>Table22[[#This Row],[Level used for acute calculation]]</f>
        <v>4</v>
      </c>
      <c r="E296" s="302">
        <f>Table22[[#This Row],[MRL individual commodity]]</f>
        <v>0</v>
      </c>
      <c r="F296" s="451">
        <f>Table22[[#This Row],[Acute RA input value]]</f>
        <v>0</v>
      </c>
      <c r="G296" s="301" t="str">
        <f>Table22[[#This Row],[Acute RA label]]</f>
        <v/>
      </c>
      <c r="H296" s="303">
        <f>Table22[[#This Row],[Acute RA IESTI new input value]]</f>
        <v>0</v>
      </c>
      <c r="I296" s="301" t="str">
        <f>Table22[[#This Row],[Acute RA IESTI new label]]</f>
        <v/>
      </c>
      <c r="J296" s="65"/>
      <c r="K296" s="304">
        <f>Table22[[#This Row],[GAP under assessment]]</f>
        <v>0</v>
      </c>
      <c r="L296" s="304" t="str">
        <f>IF(input_values!$M296=0,"",input_values!$M296)</f>
        <v/>
      </c>
      <c r="M296" s="301" t="str">
        <f>IF(input_values!H296=0,"",input_values!H296)</f>
        <v/>
      </c>
      <c r="N296" s="304">
        <f>input_values!$K296</f>
        <v>0</v>
      </c>
      <c r="O296" s="339">
        <v>0.1</v>
      </c>
      <c r="P296" s="128">
        <v>97.5</v>
      </c>
      <c r="Q296" s="346" t="s">
        <v>334</v>
      </c>
      <c r="R296" s="339">
        <v>67.47</v>
      </c>
      <c r="S296" s="338">
        <f t="shared" si="47"/>
        <v>6.7469999999999999</v>
      </c>
      <c r="T296" s="338" t="s">
        <v>617</v>
      </c>
      <c r="U296" s="339" t="s">
        <v>215</v>
      </c>
      <c r="V296" s="338" t="s">
        <v>617</v>
      </c>
      <c r="W296" s="339" t="s">
        <v>215</v>
      </c>
      <c r="X296" s="460">
        <f>IF(V296="ND","ND",IF(S296="","",IF(OR(MID(C296,1,4)="milk",AND(MID(B296,1,2)="50",NOT(input_values!M296="Y")),AND(MID(B296,1,2)="40",NOT(input_values!M296="Y")),AND(MID(B296,1,2)="30",NOT(input_values!M296="Y"))),3,IF(OR(V296="&lt;25",B296&gt;1000000),1,IF((T296&gt;=S296),"2b","2a")))))</f>
        <v>1</v>
      </c>
      <c r="Y296" s="128">
        <f>IF(X296="ND","ND",IF(S296="","",IF(input_values!K296&gt;0,input_values!K296,IF(OR(X296=1,X296=3),1,IF((V296&gt;250),5,7)))))</f>
        <v>1</v>
      </c>
      <c r="Z296" s="345" t="str">
        <f t="shared" si="42"/>
        <v/>
      </c>
      <c r="AA296" s="332">
        <f t="shared" si="43"/>
        <v>0</v>
      </c>
      <c r="AB296" s="128">
        <f t="shared" si="48"/>
        <v>1</v>
      </c>
      <c r="AC296" s="345" t="str">
        <f t="shared" si="49"/>
        <v/>
      </c>
      <c r="AD296" s="332">
        <f t="shared" si="44"/>
        <v>0</v>
      </c>
      <c r="AE296" s="40" t="str">
        <f t="shared" si="50"/>
        <v/>
      </c>
      <c r="AF296" s="40" t="str">
        <f t="shared" si="51"/>
        <v/>
      </c>
      <c r="AG296" s="561" t="str">
        <f t="shared" si="45"/>
        <v/>
      </c>
      <c r="AH296" s="561" t="str">
        <f t="shared" si="46"/>
        <v/>
      </c>
      <c r="AI296" s="576"/>
      <c r="AJ296" s="847"/>
    </row>
    <row r="297" spans="1:36" ht="12" customHeight="1" outlineLevel="3" x14ac:dyDescent="0.2">
      <c r="A297" s="39">
        <f>acute_overview_children!A297</f>
        <v>4</v>
      </c>
      <c r="B297" s="23">
        <f>acute_overview_children!B297</f>
        <v>820080</v>
      </c>
      <c r="C297" s="23" t="s">
        <v>123</v>
      </c>
      <c r="D297" s="300">
        <f>Table22[[#This Row],[Level used for acute calculation]]</f>
        <v>4</v>
      </c>
      <c r="E297" s="302">
        <f>Table22[[#This Row],[MRL individual commodity]]</f>
        <v>0</v>
      </c>
      <c r="F297" s="451">
        <f>Table22[[#This Row],[Acute RA input value]]</f>
        <v>0</v>
      </c>
      <c r="G297" s="301" t="str">
        <f>Table22[[#This Row],[Acute RA label]]</f>
        <v/>
      </c>
      <c r="H297" s="303">
        <f>Table22[[#This Row],[Acute RA IESTI new input value]]</f>
        <v>0</v>
      </c>
      <c r="I297" s="301" t="str">
        <f>Table22[[#This Row],[Acute RA IESTI new label]]</f>
        <v/>
      </c>
      <c r="J297" s="65"/>
      <c r="K297" s="304">
        <f>Table22[[#This Row],[GAP under assessment]]</f>
        <v>0</v>
      </c>
      <c r="L297" s="304" t="str">
        <f>IF(input_values!$M297=0,"",input_values!$M297)</f>
        <v/>
      </c>
      <c r="M297" s="301" t="str">
        <f>IF(input_values!H297=0,"",input_values!H297)</f>
        <v/>
      </c>
      <c r="N297" s="304">
        <f>input_values!$K297</f>
        <v>0</v>
      </c>
      <c r="O297" s="338">
        <v>4.7132757266300083E-2</v>
      </c>
      <c r="P297" s="128">
        <v>90</v>
      </c>
      <c r="Q297" s="346" t="s">
        <v>335</v>
      </c>
      <c r="R297" s="339">
        <v>76.38</v>
      </c>
      <c r="S297" s="338">
        <f t="shared" si="47"/>
        <v>3.6</v>
      </c>
      <c r="T297" s="338">
        <v>10.6</v>
      </c>
      <c r="U297" s="326" t="s">
        <v>1152</v>
      </c>
      <c r="V297" s="338">
        <v>23</v>
      </c>
      <c r="W297" s="326" t="s">
        <v>1152</v>
      </c>
      <c r="X297" s="460">
        <f>IF(V297="ND","ND",IF(S297="","",IF(OR(MID(C297,1,4)="milk",AND(MID(B297,1,2)="50",NOT(input_values!M297="Y")),AND(MID(B297,1,2)="40",NOT(input_values!M297="Y")),AND(MID(B297,1,2)="30",NOT(input_values!M297="Y"))),3,IF(OR(V297="&lt;25",Table164[[#This Row],[Unit weight RAC 
(g)]]&lt;25,B297&gt;1000000),1,IF((T297&gt;=S297),"2b","2a")))))</f>
        <v>1</v>
      </c>
      <c r="Y297" s="128">
        <f>IF(X297="ND","ND",IF(S297="","",IF(input_values!K297&gt;0,input_values!K297,IF(OR(X297=1,X297=3),1,IF((V297&gt;250),5,7)))))</f>
        <v>1</v>
      </c>
      <c r="Z297" s="340" t="str">
        <f t="shared" si="42"/>
        <v/>
      </c>
      <c r="AA297" s="332">
        <f t="shared" si="43"/>
        <v>0</v>
      </c>
      <c r="AB297" s="128">
        <f t="shared" si="48"/>
        <v>1</v>
      </c>
      <c r="AC297" s="340" t="str">
        <f t="shared" si="49"/>
        <v/>
      </c>
      <c r="AD297" s="332">
        <f t="shared" si="44"/>
        <v>0</v>
      </c>
      <c r="AE297" s="37" t="str">
        <f t="shared" si="50"/>
        <v/>
      </c>
      <c r="AF297" s="37" t="str">
        <f t="shared" si="51"/>
        <v/>
      </c>
      <c r="AG297" s="561" t="str">
        <f t="shared" si="45"/>
        <v/>
      </c>
      <c r="AH297" s="561" t="str">
        <f t="shared" si="46"/>
        <v/>
      </c>
      <c r="AI297" s="576"/>
      <c r="AJ297" s="847"/>
    </row>
    <row r="298" spans="1:36" ht="12" customHeight="1" outlineLevel="3" x14ac:dyDescent="0.2">
      <c r="A298" s="39">
        <f>acute_overview_children!A298</f>
        <v>4</v>
      </c>
      <c r="B298" s="23">
        <f>acute_overview_children!B298</f>
        <v>820990</v>
      </c>
      <c r="C298" s="23" t="s">
        <v>782</v>
      </c>
      <c r="D298" s="300">
        <f>Table22[[#This Row],[Level used for acute calculation]]</f>
        <v>0</v>
      </c>
      <c r="E298" s="302">
        <f>Table22[[#This Row],[MRL individual commodity]]</f>
        <v>0</v>
      </c>
      <c r="F298" s="451">
        <f>Table22[[#This Row],[Acute RA input value]]</f>
        <v>0</v>
      </c>
      <c r="G298" s="301">
        <f>Table22[[#This Row],[Acute RA label]]</f>
        <v>0</v>
      </c>
      <c r="H298" s="303">
        <f>Table22[[#This Row],[Acute RA IESTI new input value]]</f>
        <v>0</v>
      </c>
      <c r="I298" s="301">
        <f>Table22[[#This Row],[Acute RA IESTI new label]]</f>
        <v>0</v>
      </c>
      <c r="J298" s="65"/>
      <c r="K298" s="304">
        <f>Table22[[#This Row],[GAP under assessment]]</f>
        <v>0</v>
      </c>
      <c r="L298" s="304" t="str">
        <f>IF(input_values!$M298=0,"",input_values!$M298)</f>
        <v/>
      </c>
      <c r="M298" s="301" t="str">
        <f>IF(input_values!H298=0,"",input_values!H298)</f>
        <v/>
      </c>
      <c r="N298" s="304">
        <f>input_values!$K298</f>
        <v>0</v>
      </c>
      <c r="O298" s="309"/>
      <c r="P298" s="38"/>
      <c r="Q298" s="306"/>
      <c r="R298" s="309"/>
      <c r="S298" s="336" t="str">
        <f t="shared" si="47"/>
        <v/>
      </c>
      <c r="T298" s="305"/>
      <c r="U298" s="309"/>
      <c r="V298" s="305"/>
      <c r="W298" s="309"/>
      <c r="X298" s="611" t="str">
        <f>IF(V298="ND","ND",IF(S298="","",IF(OR(MID(C298,1,4)="milk",AND(MID(B298,1,2)="50",NOT(input_values!M298="Y")),AND(MID(B298,1,2)="40",NOT(input_values!M298="Y")),AND(MID(B298,1,2)="30",NOT(input_values!M298="Y"))),3,IF(OR(V298="&lt;25",B298&gt;1000000),1,IF((T298&gt;=S298),"2b","2a")))))</f>
        <v/>
      </c>
      <c r="Y298" s="38" t="str">
        <f>IF(X298="ND","ND",IF(S298="","",IF(input_values!K298&gt;0,input_values!K298,IF(OR(X298=1,X298=3),1,IF((V298&gt;250),5,7)))))</f>
        <v/>
      </c>
      <c r="Z298" s="335" t="str">
        <f t="shared" si="42"/>
        <v/>
      </c>
      <c r="AA298" s="311">
        <f t="shared" si="43"/>
        <v>0</v>
      </c>
      <c r="AB298" s="38" t="str">
        <f t="shared" si="48"/>
        <v/>
      </c>
      <c r="AC298" s="335" t="str">
        <f t="shared" si="49"/>
        <v/>
      </c>
      <c r="AD298" s="311">
        <f t="shared" si="44"/>
        <v>0</v>
      </c>
      <c r="AE298" s="344" t="str">
        <f t="shared" si="50"/>
        <v/>
      </c>
      <c r="AF298" s="344" t="str">
        <f t="shared" si="51"/>
        <v/>
      </c>
      <c r="AG298" s="561" t="str">
        <f t="shared" si="45"/>
        <v/>
      </c>
      <c r="AH298" s="561" t="str">
        <f t="shared" si="46"/>
        <v/>
      </c>
      <c r="AI298" s="576"/>
      <c r="AJ298" s="847"/>
    </row>
    <row r="299" spans="1:36" outlineLevel="1" x14ac:dyDescent="0.2">
      <c r="A299" s="130">
        <f>acute_overview_children!A299</f>
        <v>2</v>
      </c>
      <c r="B299" s="131">
        <f>acute_overview_children!B299</f>
        <v>830000</v>
      </c>
      <c r="C299" s="131" t="s">
        <v>78</v>
      </c>
      <c r="D299" s="300">
        <f>Table22[[#This Row],[Level used for acute calculation]]</f>
        <v>4</v>
      </c>
      <c r="E299" s="302">
        <f>Table22[[#This Row],[MRL individual commodity]]</f>
        <v>0</v>
      </c>
      <c r="F299" s="451">
        <f>Table22[[#This Row],[Acute RA input value]]</f>
        <v>0</v>
      </c>
      <c r="G299" s="301">
        <f>Table22[[#This Row],[Acute RA label]]</f>
        <v>0</v>
      </c>
      <c r="H299" s="303">
        <f>Table22[[#This Row],[Acute RA IESTI new input value]]</f>
        <v>0</v>
      </c>
      <c r="I299" s="301">
        <f>Table22[[#This Row],[Acute RA IESTI new label]]</f>
        <v>0</v>
      </c>
      <c r="J299" s="65"/>
      <c r="K299" s="304">
        <f>Table22[[#This Row],[GAP under assessment]]</f>
        <v>0</v>
      </c>
      <c r="L299" s="304" t="str">
        <f>IF(input_values!$M299=0,"",input_values!$M299)</f>
        <v/>
      </c>
      <c r="M299" s="301" t="str">
        <f>IF(input_values!H299=0,"",input_values!H299)</f>
        <v/>
      </c>
      <c r="N299" s="304">
        <f>input_values!$K299</f>
        <v>0</v>
      </c>
      <c r="O299" s="309"/>
      <c r="P299" s="38"/>
      <c r="Q299" s="306"/>
      <c r="R299" s="309"/>
      <c r="S299" s="336" t="str">
        <f t="shared" si="47"/>
        <v/>
      </c>
      <c r="T299" s="305"/>
      <c r="U299" s="309"/>
      <c r="V299" s="305"/>
      <c r="W299" s="309"/>
      <c r="X299" s="611" t="str">
        <f>IF(V299="ND","ND",IF(S299="","",IF(OR(MID(C299,1,4)="milk",AND(MID(B299,1,2)="50",NOT(input_values!M299="Y")),AND(MID(B299,1,2)="40",NOT(input_values!M299="Y")),AND(MID(B299,1,2)="30",NOT(input_values!M299="Y"))),3,IF(OR(V299="&lt;25",B299&gt;1000000),1,IF((T299&gt;=S299),"2b","2a")))))</f>
        <v/>
      </c>
      <c r="Y299" s="38" t="str">
        <f>IF(X299="ND","ND",IF(S299="","",IF(input_values!K299&gt;0,input_values!K299,IF(OR(X299=1,X299=3),1,IF((V299&gt;250),5,7)))))</f>
        <v/>
      </c>
      <c r="Z299" s="335" t="str">
        <f t="shared" si="42"/>
        <v/>
      </c>
      <c r="AA299" s="311">
        <f t="shared" si="43"/>
        <v>0</v>
      </c>
      <c r="AB299" s="38" t="str">
        <f t="shared" si="48"/>
        <v/>
      </c>
      <c r="AC299" s="335" t="str">
        <f t="shared" si="49"/>
        <v/>
      </c>
      <c r="AD299" s="311">
        <f t="shared" si="44"/>
        <v>0</v>
      </c>
      <c r="AE299" s="344" t="str">
        <f t="shared" si="50"/>
        <v/>
      </c>
      <c r="AF299" s="344" t="str">
        <f t="shared" si="51"/>
        <v/>
      </c>
      <c r="AG299" s="561" t="str">
        <f t="shared" si="45"/>
        <v/>
      </c>
      <c r="AH299" s="561" t="str">
        <f t="shared" si="46"/>
        <v/>
      </c>
      <c r="AI299" s="576"/>
      <c r="AJ299" s="847"/>
    </row>
    <row r="300" spans="1:36" ht="12" customHeight="1" outlineLevel="3" x14ac:dyDescent="0.2">
      <c r="A300" s="39">
        <f>acute_overview_children!A300</f>
        <v>4</v>
      </c>
      <c r="B300" s="23">
        <f>acute_overview_children!B300</f>
        <v>830010</v>
      </c>
      <c r="C300" s="23" t="s">
        <v>124</v>
      </c>
      <c r="D300" s="300">
        <f>Table22[[#This Row],[Level used for acute calculation]]</f>
        <v>4</v>
      </c>
      <c r="E300" s="302">
        <f>Table22[[#This Row],[MRL individual commodity]]</f>
        <v>0</v>
      </c>
      <c r="F300" s="451">
        <f>Table22[[#This Row],[Acute RA input value]]</f>
        <v>0</v>
      </c>
      <c r="G300" s="301" t="str">
        <f>Table22[[#This Row],[Acute RA label]]</f>
        <v/>
      </c>
      <c r="H300" s="303">
        <f>Table22[[#This Row],[Acute RA IESTI new input value]]</f>
        <v>0</v>
      </c>
      <c r="I300" s="301" t="str">
        <f>Table22[[#This Row],[Acute RA IESTI new label]]</f>
        <v/>
      </c>
      <c r="J300" s="65"/>
      <c r="K300" s="304">
        <f>Table22[[#This Row],[GAP under assessment]]</f>
        <v>0</v>
      </c>
      <c r="L300" s="304" t="str">
        <f>IF(input_values!$M300=0,"",input_values!$M300)</f>
        <v/>
      </c>
      <c r="M300" s="301" t="str">
        <f>IF(input_values!H300=0,"",input_values!H300)</f>
        <v/>
      </c>
      <c r="N300" s="304">
        <f>input_values!$K300</f>
        <v>0</v>
      </c>
      <c r="O300" s="339">
        <v>0.02</v>
      </c>
      <c r="P300" s="128">
        <v>97.5</v>
      </c>
      <c r="Q300" s="346" t="s">
        <v>103</v>
      </c>
      <c r="R300" s="339">
        <v>55.6</v>
      </c>
      <c r="S300" s="338">
        <f t="shared" si="47"/>
        <v>1.1120000000000001</v>
      </c>
      <c r="T300" s="338" t="s">
        <v>617</v>
      </c>
      <c r="U300" s="339" t="s">
        <v>215</v>
      </c>
      <c r="V300" s="338" t="s">
        <v>617</v>
      </c>
      <c r="W300" s="339" t="s">
        <v>215</v>
      </c>
      <c r="X300" s="460">
        <f>IF(V300="ND","ND",IF(S300="","",IF(OR(MID(C300,1,4)="milk",AND(MID(B300,1,2)="50",NOT(input_values!M300="Y")),AND(MID(B300,1,2)="40",NOT(input_values!M300="Y")),AND(MID(B300,1,2)="30",NOT(input_values!M300="Y"))),3,IF(OR(V300="&lt;25",B300&gt;1000000),1,IF((T300&gt;=S300),"2b","2a")))))</f>
        <v>1</v>
      </c>
      <c r="Y300" s="128">
        <f>IF(X300="ND","ND",IF(S300="","",IF(input_values!K300&gt;0,input_values!K300,IF(OR(X300=1,X300=3),1,IF((V300&gt;250),5,7)))))</f>
        <v>1</v>
      </c>
      <c r="Z300" s="345" t="str">
        <f t="shared" si="42"/>
        <v/>
      </c>
      <c r="AA300" s="332">
        <f t="shared" si="43"/>
        <v>0</v>
      </c>
      <c r="AB300" s="128">
        <f t="shared" si="48"/>
        <v>1</v>
      </c>
      <c r="AC300" s="345" t="str">
        <f t="shared" si="49"/>
        <v/>
      </c>
      <c r="AD300" s="332">
        <f t="shared" si="44"/>
        <v>0</v>
      </c>
      <c r="AE300" s="40" t="str">
        <f t="shared" si="50"/>
        <v/>
      </c>
      <c r="AF300" s="40" t="str">
        <f t="shared" si="51"/>
        <v/>
      </c>
      <c r="AG300" s="561" t="str">
        <f t="shared" si="45"/>
        <v/>
      </c>
      <c r="AH300" s="561" t="str">
        <f t="shared" si="46"/>
        <v/>
      </c>
      <c r="AI300" s="576"/>
      <c r="AJ300" s="847"/>
    </row>
    <row r="301" spans="1:36" ht="12" customHeight="1" outlineLevel="3" x14ac:dyDescent="0.2">
      <c r="A301" s="39">
        <f>acute_overview_children!A301</f>
        <v>4</v>
      </c>
      <c r="B301" s="23">
        <f>acute_overview_children!B301</f>
        <v>830990</v>
      </c>
      <c r="C301" s="23" t="s">
        <v>184</v>
      </c>
      <c r="D301" s="300">
        <f>Table22[[#This Row],[Level used for acute calculation]]</f>
        <v>0</v>
      </c>
      <c r="E301" s="302">
        <f>Table22[[#This Row],[MRL individual commodity]]</f>
        <v>0</v>
      </c>
      <c r="F301" s="451">
        <f>Table22[[#This Row],[Acute RA input value]]</f>
        <v>0</v>
      </c>
      <c r="G301" s="301">
        <f>Table22[[#This Row],[Acute RA label]]</f>
        <v>0</v>
      </c>
      <c r="H301" s="303">
        <f>Table22[[#This Row],[Acute RA IESTI new input value]]</f>
        <v>0</v>
      </c>
      <c r="I301" s="301">
        <f>Table22[[#This Row],[Acute RA IESTI new label]]</f>
        <v>0</v>
      </c>
      <c r="J301" s="65"/>
      <c r="K301" s="304">
        <f>Table22[[#This Row],[GAP under assessment]]</f>
        <v>0</v>
      </c>
      <c r="L301" s="304" t="str">
        <f>IF(input_values!$M301=0,"",input_values!$M301)</f>
        <v/>
      </c>
      <c r="M301" s="301" t="str">
        <f>IF(input_values!H301=0,"",input_values!H301)</f>
        <v/>
      </c>
      <c r="N301" s="304">
        <f>input_values!$K301</f>
        <v>0</v>
      </c>
      <c r="O301" s="309"/>
      <c r="P301" s="38"/>
      <c r="Q301" s="306"/>
      <c r="R301" s="309"/>
      <c r="S301" s="336" t="str">
        <f t="shared" si="47"/>
        <v/>
      </c>
      <c r="T301" s="305"/>
      <c r="U301" s="309"/>
      <c r="V301" s="305"/>
      <c r="W301" s="309"/>
      <c r="X301" s="611" t="str">
        <f>IF(V301="ND","ND",IF(S301="","",IF(OR(MID(C301,1,4)="milk",AND(MID(B301,1,2)="50",NOT(input_values!M301="Y")),AND(MID(B301,1,2)="40",NOT(input_values!M301="Y")),AND(MID(B301,1,2)="30",NOT(input_values!M301="Y"))),3,IF(OR(V301="&lt;25",B301&gt;1000000),1,IF((T301&gt;=S301),"2b","2a")))))</f>
        <v/>
      </c>
      <c r="Y301" s="38" t="str">
        <f>IF(X301="ND","ND",IF(S301="","",IF(input_values!K301&gt;0,input_values!K301,IF(OR(X301=1,X301=3),1,IF((V301&gt;250),5,7)))))</f>
        <v/>
      </c>
      <c r="Z301" s="335" t="str">
        <f t="shared" si="42"/>
        <v/>
      </c>
      <c r="AA301" s="311">
        <f t="shared" si="43"/>
        <v>0</v>
      </c>
      <c r="AB301" s="38" t="str">
        <f t="shared" si="48"/>
        <v/>
      </c>
      <c r="AC301" s="335" t="str">
        <f t="shared" si="49"/>
        <v/>
      </c>
      <c r="AD301" s="311">
        <f t="shared" si="44"/>
        <v>0</v>
      </c>
      <c r="AE301" s="344" t="str">
        <f t="shared" si="50"/>
        <v/>
      </c>
      <c r="AF301" s="344" t="str">
        <f t="shared" si="51"/>
        <v/>
      </c>
      <c r="AG301" s="561" t="str">
        <f t="shared" si="45"/>
        <v/>
      </c>
      <c r="AH301" s="561" t="str">
        <f t="shared" si="46"/>
        <v/>
      </c>
      <c r="AI301" s="576"/>
      <c r="AJ301" s="847"/>
    </row>
    <row r="302" spans="1:36" outlineLevel="1" x14ac:dyDescent="0.2">
      <c r="A302" s="130">
        <f>acute_overview_children!A302</f>
        <v>2</v>
      </c>
      <c r="B302" s="131">
        <f>acute_overview_children!B302</f>
        <v>840000</v>
      </c>
      <c r="C302" s="131" t="s">
        <v>79</v>
      </c>
      <c r="D302" s="300">
        <f>Table22[[#This Row],[Level used for acute calculation]]</f>
        <v>4</v>
      </c>
      <c r="E302" s="302">
        <f>Table22[[#This Row],[MRL individual commodity]]</f>
        <v>0</v>
      </c>
      <c r="F302" s="451">
        <f>Table22[[#This Row],[Acute RA input value]]</f>
        <v>0</v>
      </c>
      <c r="G302" s="301">
        <f>Table22[[#This Row],[Acute RA label]]</f>
        <v>0</v>
      </c>
      <c r="H302" s="303">
        <f>Table22[[#This Row],[Acute RA IESTI new input value]]</f>
        <v>0</v>
      </c>
      <c r="I302" s="301">
        <f>Table22[[#This Row],[Acute RA IESTI new label]]</f>
        <v>0</v>
      </c>
      <c r="J302" s="65"/>
      <c r="K302" s="304">
        <f>Table22[[#This Row],[GAP under assessment]]</f>
        <v>0</v>
      </c>
      <c r="L302" s="304" t="str">
        <f>IF(input_values!$M302=0,"",input_values!$M302)</f>
        <v/>
      </c>
      <c r="M302" s="301" t="str">
        <f>IF(input_values!H302=0,"",input_values!H302)</f>
        <v/>
      </c>
      <c r="N302" s="304">
        <f>input_values!$K302</f>
        <v>0</v>
      </c>
      <c r="O302" s="309"/>
      <c r="P302" s="38"/>
      <c r="Q302" s="306"/>
      <c r="R302" s="309"/>
      <c r="S302" s="336" t="str">
        <f t="shared" si="47"/>
        <v/>
      </c>
      <c r="T302" s="305"/>
      <c r="U302" s="309"/>
      <c r="V302" s="305"/>
      <c r="W302" s="309"/>
      <c r="X302" s="611" t="str">
        <f>IF(V302="ND","ND",IF(S302="","",IF(OR(MID(C302,1,4)="milk",AND(MID(B302,1,2)="50",NOT(input_values!M302="Y")),AND(MID(B302,1,2)="40",NOT(input_values!M302="Y")),AND(MID(B302,1,2)="30",NOT(input_values!M302="Y"))),3,IF(OR(V302="&lt;25",B302&gt;1000000),1,IF((T302&gt;=S302),"2b","2a")))))</f>
        <v/>
      </c>
      <c r="Y302" s="38" t="str">
        <f>IF(X302="ND","ND",IF(S302="","",IF(input_values!K302&gt;0,input_values!K302,IF(OR(X302=1,X302=3),1,IF((V302&gt;250),5,7)))))</f>
        <v/>
      </c>
      <c r="Z302" s="335" t="str">
        <f t="shared" si="42"/>
        <v/>
      </c>
      <c r="AA302" s="311">
        <f t="shared" si="43"/>
        <v>0</v>
      </c>
      <c r="AB302" s="38" t="str">
        <f t="shared" si="48"/>
        <v/>
      </c>
      <c r="AC302" s="335" t="str">
        <f t="shared" si="49"/>
        <v/>
      </c>
      <c r="AD302" s="311">
        <f t="shared" si="44"/>
        <v>0</v>
      </c>
      <c r="AE302" s="344" t="str">
        <f t="shared" si="50"/>
        <v/>
      </c>
      <c r="AF302" s="344" t="str">
        <f t="shared" si="51"/>
        <v/>
      </c>
      <c r="AG302" s="561" t="str">
        <f t="shared" si="45"/>
        <v/>
      </c>
      <c r="AH302" s="561" t="str">
        <f t="shared" si="46"/>
        <v/>
      </c>
      <c r="AI302" s="576"/>
      <c r="AJ302" s="847"/>
    </row>
    <row r="303" spans="1:36" ht="12" customHeight="1" outlineLevel="3" x14ac:dyDescent="0.2">
      <c r="A303" s="39">
        <f>acute_overview_children!A303</f>
        <v>4</v>
      </c>
      <c r="B303" s="23">
        <f>acute_overview_children!B303</f>
        <v>840010</v>
      </c>
      <c r="C303" s="23" t="s">
        <v>125</v>
      </c>
      <c r="D303" s="300">
        <f>Table22[[#This Row],[Level used for acute calculation]]</f>
        <v>4</v>
      </c>
      <c r="E303" s="302">
        <f>Table22[[#This Row],[MRL individual commodity]]</f>
        <v>0</v>
      </c>
      <c r="F303" s="451">
        <f>Table22[[#This Row],[Acute RA input value]]</f>
        <v>0</v>
      </c>
      <c r="G303" s="301" t="str">
        <f>Table22[[#This Row],[Acute RA label]]</f>
        <v/>
      </c>
      <c r="H303" s="303">
        <f>Table22[[#This Row],[Acute RA IESTI new input value]]</f>
        <v>0</v>
      </c>
      <c r="I303" s="301" t="str">
        <f>Table22[[#This Row],[Acute RA IESTI new label]]</f>
        <v/>
      </c>
      <c r="J303" s="65"/>
      <c r="K303" s="304">
        <f>Table22[[#This Row],[GAP under assessment]]</f>
        <v>0</v>
      </c>
      <c r="L303" s="304" t="str">
        <f>IF(input_values!$M303=0,"",input_values!$M303)</f>
        <v/>
      </c>
      <c r="M303" s="301" t="str">
        <f>IF(input_values!H303=0,"",input_values!H303)</f>
        <v/>
      </c>
      <c r="N303" s="304">
        <f>input_values!$K303</f>
        <v>0</v>
      </c>
      <c r="O303" s="339">
        <v>0.1</v>
      </c>
      <c r="P303" s="128">
        <v>97.5</v>
      </c>
      <c r="Q303" s="346" t="s">
        <v>334</v>
      </c>
      <c r="R303" s="338">
        <v>67.47</v>
      </c>
      <c r="S303" s="338">
        <f t="shared" si="47"/>
        <v>6.7469999999999999</v>
      </c>
      <c r="T303" s="338" t="s">
        <v>617</v>
      </c>
      <c r="U303" s="339" t="s">
        <v>215</v>
      </c>
      <c r="V303" s="338" t="s">
        <v>617</v>
      </c>
      <c r="W303" s="339" t="s">
        <v>215</v>
      </c>
      <c r="X303" s="460">
        <f>IF(V303="ND","ND",IF(S303="","",IF(OR(MID(C303,1,4)="milk",AND(MID(B303,1,2)="50",NOT(input_values!M303="Y")),AND(MID(B303,1,2)="40",NOT(input_values!M303="Y")),AND(MID(B303,1,2)="30",NOT(input_values!M303="Y"))),3,IF(OR(V303="&lt;25",B303&gt;1000000),1,IF((T303&gt;=S303),"2b","2a")))))</f>
        <v>1</v>
      </c>
      <c r="Y303" s="128">
        <f>IF(X303="ND","ND",IF(S303="","",IF(input_values!K303&gt;0,input_values!K303,IF(OR(X303=1,X303=3),1,IF((V303&gt;250),5,7)))))</f>
        <v>1</v>
      </c>
      <c r="Z303" s="345" t="str">
        <f t="shared" si="42"/>
        <v/>
      </c>
      <c r="AA303" s="332">
        <f t="shared" si="43"/>
        <v>0</v>
      </c>
      <c r="AB303" s="128">
        <f t="shared" si="48"/>
        <v>1</v>
      </c>
      <c r="AC303" s="345" t="str">
        <f t="shared" si="49"/>
        <v/>
      </c>
      <c r="AD303" s="332">
        <f t="shared" si="44"/>
        <v>0</v>
      </c>
      <c r="AE303" s="40" t="str">
        <f t="shared" si="50"/>
        <v/>
      </c>
      <c r="AF303" s="40" t="str">
        <f t="shared" si="51"/>
        <v/>
      </c>
      <c r="AG303" s="561" t="str">
        <f t="shared" si="45"/>
        <v/>
      </c>
      <c r="AH303" s="561" t="str">
        <f t="shared" si="46"/>
        <v/>
      </c>
      <c r="AI303" s="576"/>
      <c r="AJ303" s="847"/>
    </row>
    <row r="304" spans="1:36" ht="12" customHeight="1" outlineLevel="3" x14ac:dyDescent="0.2">
      <c r="A304" s="39">
        <f>acute_overview_children!A304</f>
        <v>4</v>
      </c>
      <c r="B304" s="23">
        <f>acute_overview_children!B304</f>
        <v>840020</v>
      </c>
      <c r="C304" s="1237" t="s">
        <v>126</v>
      </c>
      <c r="D304" s="300">
        <f>Table22[[#This Row],[Level used for acute calculation]]</f>
        <v>4</v>
      </c>
      <c r="E304" s="302">
        <f>Table22[[#This Row],[MRL individual commodity]]</f>
        <v>0</v>
      </c>
      <c r="F304" s="451">
        <f>Table22[[#This Row],[Acute RA input value]]</f>
        <v>0</v>
      </c>
      <c r="G304" s="301" t="str">
        <f>Table22[[#This Row],[Acute RA label]]</f>
        <v/>
      </c>
      <c r="H304" s="303">
        <f>Table22[[#This Row],[Acute RA IESTI new input value]]</f>
        <v>0</v>
      </c>
      <c r="I304" s="301" t="str">
        <f>Table22[[#This Row],[Acute RA IESTI new label]]</f>
        <v/>
      </c>
      <c r="J304" s="65"/>
      <c r="K304" s="304">
        <f>Table22[[#This Row],[GAP under assessment]]</f>
        <v>0</v>
      </c>
      <c r="L304" s="304" t="str">
        <f>IF(input_values!$M304=0,"",input_values!$M304)</f>
        <v/>
      </c>
      <c r="M304" s="301" t="str">
        <f>IF(input_values!H304=0,"",input_values!H304)</f>
        <v/>
      </c>
      <c r="N304" s="304">
        <f>input_values!$K304</f>
        <v>0</v>
      </c>
      <c r="O304" s="338" t="s">
        <v>618</v>
      </c>
      <c r="P304" s="128"/>
      <c r="Q304" s="346"/>
      <c r="R304" s="338"/>
      <c r="S304" s="338" t="str">
        <f t="shared" si="47"/>
        <v>ND</v>
      </c>
      <c r="T304" s="338" t="s">
        <v>618</v>
      </c>
      <c r="U304" s="339"/>
      <c r="V304" s="338" t="s">
        <v>618</v>
      </c>
      <c r="W304" s="339"/>
      <c r="X304" s="460" t="str">
        <f>IF(V304="ND","ND",IF(S304="","",IF(OR(MID(C304,1,4)="milk",AND(MID(B304,1,2)="50",NOT(input_values!M304="Y")),AND(MID(B304,1,2)="40",NOT(input_values!M304="Y")),AND(MID(B304,1,2)="30",NOT(input_values!M304="Y"))),3,IF(OR(V304="&lt;25",B304&gt;1000000),1,IF((T304&gt;=S304),"2b","2a")))))</f>
        <v>ND</v>
      </c>
      <c r="Y304" s="128" t="str">
        <f>IF(X304="ND","ND",IF(S304="","",IF(input_values!K304&gt;0,input_values!K304,IF(OR(X304=1,X304=3),1,IF((V304&gt;250),5,7)))))</f>
        <v>ND</v>
      </c>
      <c r="Z304" s="340" t="str">
        <f t="shared" si="42"/>
        <v/>
      </c>
      <c r="AA304" s="332">
        <f t="shared" si="43"/>
        <v>0</v>
      </c>
      <c r="AB304" s="128" t="str">
        <f t="shared" si="48"/>
        <v>ND</v>
      </c>
      <c r="AC304" s="340" t="str">
        <f t="shared" si="49"/>
        <v/>
      </c>
      <c r="AD304" s="332">
        <f t="shared" si="44"/>
        <v>0</v>
      </c>
      <c r="AE304" s="40" t="str">
        <f t="shared" si="50"/>
        <v/>
      </c>
      <c r="AF304" s="40" t="str">
        <f t="shared" si="51"/>
        <v/>
      </c>
      <c r="AG304" s="561" t="str">
        <f t="shared" si="45"/>
        <v/>
      </c>
      <c r="AH304" s="561" t="str">
        <f t="shared" si="46"/>
        <v/>
      </c>
      <c r="AI304" s="576"/>
      <c r="AJ304" s="847"/>
    </row>
    <row r="305" spans="1:36" ht="12" customHeight="1" outlineLevel="3" x14ac:dyDescent="0.2">
      <c r="A305" s="39">
        <f>acute_overview_children!A305</f>
        <v>4</v>
      </c>
      <c r="B305" s="23">
        <f>acute_overview_children!B305</f>
        <v>840030</v>
      </c>
      <c r="C305" s="23" t="s">
        <v>784</v>
      </c>
      <c r="D305" s="300">
        <f>Table22[[#This Row],[Level used for acute calculation]]</f>
        <v>4</v>
      </c>
      <c r="E305" s="302">
        <f>Table22[[#This Row],[MRL individual commodity]]</f>
        <v>0</v>
      </c>
      <c r="F305" s="451">
        <f>Table22[[#This Row],[Acute RA input value]]</f>
        <v>0</v>
      </c>
      <c r="G305" s="301" t="str">
        <f>Table22[[#This Row],[Acute RA label]]</f>
        <v/>
      </c>
      <c r="H305" s="303">
        <f>Table22[[#This Row],[Acute RA IESTI new input value]]</f>
        <v>0</v>
      </c>
      <c r="I305" s="301" t="str">
        <f>Table22[[#This Row],[Acute RA IESTI new label]]</f>
        <v/>
      </c>
      <c r="J305" s="65"/>
      <c r="K305" s="304">
        <f>Table22[[#This Row],[GAP under assessment]]</f>
        <v>0</v>
      </c>
      <c r="L305" s="304" t="str">
        <f>IF(input_values!$M305=0,"",input_values!$M305)</f>
        <v/>
      </c>
      <c r="M305" s="301" t="str">
        <f>IF(input_values!H305=0,"",input_values!H305)</f>
        <v/>
      </c>
      <c r="N305" s="304">
        <f>input_values!$K305</f>
        <v>0</v>
      </c>
      <c r="O305" s="339">
        <v>0.1</v>
      </c>
      <c r="P305" s="128">
        <v>97.5</v>
      </c>
      <c r="Q305" s="346" t="s">
        <v>334</v>
      </c>
      <c r="R305" s="338">
        <v>67.47</v>
      </c>
      <c r="S305" s="338">
        <f t="shared" si="47"/>
        <v>6.7469999999999999</v>
      </c>
      <c r="T305" s="338" t="s">
        <v>617</v>
      </c>
      <c r="U305" s="339" t="s">
        <v>215</v>
      </c>
      <c r="V305" s="338" t="s">
        <v>617</v>
      </c>
      <c r="W305" s="339" t="s">
        <v>215</v>
      </c>
      <c r="X305" s="460">
        <f>IF(V305="ND","ND",IF(S305="","",IF(OR(MID(C305,1,4)="milk",AND(MID(B305,1,2)="50",NOT(input_values!M305="Y")),AND(MID(B305,1,2)="40",NOT(input_values!M305="Y")),AND(MID(B305,1,2)="30",NOT(input_values!M305="Y"))),3,IF(OR(V305="&lt;25",B305&gt;1000000),1,IF((T305&gt;=S305),"2b","2a")))))</f>
        <v>1</v>
      </c>
      <c r="Y305" s="128">
        <f>IF(X305="ND","ND",IF(S305="","",IF(input_values!K305&gt;0,input_values!K305,IF(OR(X305=1,X305=3),1,IF((V305&gt;250),5,7)))))</f>
        <v>1</v>
      </c>
      <c r="Z305" s="345" t="str">
        <f t="shared" si="42"/>
        <v/>
      </c>
      <c r="AA305" s="332">
        <f t="shared" si="43"/>
        <v>0</v>
      </c>
      <c r="AB305" s="128">
        <f t="shared" si="48"/>
        <v>1</v>
      </c>
      <c r="AC305" s="345" t="str">
        <f t="shared" si="49"/>
        <v/>
      </c>
      <c r="AD305" s="332">
        <f t="shared" si="44"/>
        <v>0</v>
      </c>
      <c r="AE305" s="40" t="str">
        <f t="shared" si="50"/>
        <v/>
      </c>
      <c r="AF305" s="40" t="str">
        <f t="shared" si="51"/>
        <v/>
      </c>
      <c r="AG305" s="561" t="str">
        <f t="shared" si="45"/>
        <v/>
      </c>
      <c r="AH305" s="561" t="str">
        <f t="shared" si="46"/>
        <v/>
      </c>
      <c r="AI305" s="576"/>
      <c r="AJ305" s="847"/>
    </row>
    <row r="306" spans="1:36" ht="12" customHeight="1" outlineLevel="3" x14ac:dyDescent="0.2">
      <c r="A306" s="39">
        <f>acute_overview_children!A306</f>
        <v>4</v>
      </c>
      <c r="B306" s="23">
        <f>acute_overview_children!B306</f>
        <v>840040</v>
      </c>
      <c r="C306" s="23" t="s">
        <v>185</v>
      </c>
      <c r="D306" s="300">
        <f>Table22[[#This Row],[Level used for acute calculation]]</f>
        <v>4</v>
      </c>
      <c r="E306" s="302">
        <f>Table22[[#This Row],[MRL individual commodity]]</f>
        <v>0</v>
      </c>
      <c r="F306" s="451">
        <f>Table22[[#This Row],[Acute RA input value]]</f>
        <v>0</v>
      </c>
      <c r="G306" s="301" t="str">
        <f>Table22[[#This Row],[Acute RA label]]</f>
        <v/>
      </c>
      <c r="H306" s="303">
        <f>Table22[[#This Row],[Acute RA IESTI new input value]]</f>
        <v>0</v>
      </c>
      <c r="I306" s="301" t="str">
        <f>Table22[[#This Row],[Acute RA IESTI new label]]</f>
        <v/>
      </c>
      <c r="J306" s="65"/>
      <c r="K306" s="304">
        <f>Table22[[#This Row],[GAP under assessment]]</f>
        <v>0</v>
      </c>
      <c r="L306" s="304" t="str">
        <f>IF(input_values!$M306=0,"",input_values!$M306)</f>
        <v/>
      </c>
      <c r="M306" s="301" t="str">
        <f>IF(input_values!H306=0,"",input_values!H306)</f>
        <v/>
      </c>
      <c r="N306" s="304">
        <f>input_values!$K306</f>
        <v>0</v>
      </c>
      <c r="O306" s="338" t="s">
        <v>618</v>
      </c>
      <c r="P306" s="128"/>
      <c r="Q306" s="346"/>
      <c r="R306" s="338"/>
      <c r="S306" s="338" t="str">
        <f t="shared" si="47"/>
        <v>ND</v>
      </c>
      <c r="T306" s="338" t="s">
        <v>618</v>
      </c>
      <c r="U306" s="339"/>
      <c r="V306" s="338" t="s">
        <v>618</v>
      </c>
      <c r="W306" s="339"/>
      <c r="X306" s="460" t="str">
        <f>IF(V306="ND","ND",IF(S306="","",IF(OR(MID(C306,1,4)="milk",AND(MID(B306,1,2)="50",NOT(input_values!M306="Y")),AND(MID(B306,1,2)="40",NOT(input_values!M306="Y")),AND(MID(B306,1,2)="30",NOT(input_values!M306="Y"))),3,IF(OR(V306="&lt;25",B306&gt;1000000),1,IF((T306&gt;=S306),"2b","2a")))))</f>
        <v>ND</v>
      </c>
      <c r="Y306" s="128" t="str">
        <f>IF(X306="ND","ND",IF(S306="","",IF(input_values!K306&gt;0,input_values!K306,IF(OR(X306=1,X306=3),1,IF((V306&gt;250),5,7)))))</f>
        <v>ND</v>
      </c>
      <c r="Z306" s="340" t="str">
        <f t="shared" si="42"/>
        <v/>
      </c>
      <c r="AA306" s="332">
        <f t="shared" si="43"/>
        <v>0</v>
      </c>
      <c r="AB306" s="128" t="str">
        <f t="shared" si="48"/>
        <v>ND</v>
      </c>
      <c r="AC306" s="340" t="str">
        <f t="shared" si="49"/>
        <v/>
      </c>
      <c r="AD306" s="332">
        <f t="shared" si="44"/>
        <v>0</v>
      </c>
      <c r="AE306" s="37" t="str">
        <f t="shared" si="50"/>
        <v/>
      </c>
      <c r="AF306" s="37" t="str">
        <f t="shared" si="51"/>
        <v/>
      </c>
      <c r="AG306" s="561" t="str">
        <f t="shared" si="45"/>
        <v/>
      </c>
      <c r="AH306" s="561" t="str">
        <f t="shared" si="46"/>
        <v/>
      </c>
      <c r="AI306" s="576"/>
      <c r="AJ306" s="847"/>
    </row>
    <row r="307" spans="1:36" ht="12" customHeight="1" outlineLevel="3" x14ac:dyDescent="0.2">
      <c r="A307" s="39">
        <f>acute_overview_children!A307</f>
        <v>4</v>
      </c>
      <c r="B307" s="23">
        <f>acute_overview_children!B307</f>
        <v>840990</v>
      </c>
      <c r="C307" s="23" t="s">
        <v>186</v>
      </c>
      <c r="D307" s="300">
        <f>Table22[[#This Row],[Level used for acute calculation]]</f>
        <v>0</v>
      </c>
      <c r="E307" s="302">
        <f>Table22[[#This Row],[MRL individual commodity]]</f>
        <v>0</v>
      </c>
      <c r="F307" s="451">
        <f>Table22[[#This Row],[Acute RA input value]]</f>
        <v>0</v>
      </c>
      <c r="G307" s="301">
        <f>Table22[[#This Row],[Acute RA label]]</f>
        <v>0</v>
      </c>
      <c r="H307" s="303">
        <f>Table22[[#This Row],[Acute RA IESTI new input value]]</f>
        <v>0</v>
      </c>
      <c r="I307" s="301">
        <f>Table22[[#This Row],[Acute RA IESTI new label]]</f>
        <v>0</v>
      </c>
      <c r="J307" s="65"/>
      <c r="K307" s="304">
        <f>Table22[[#This Row],[GAP under assessment]]</f>
        <v>0</v>
      </c>
      <c r="L307" s="304" t="str">
        <f>IF(input_values!$M307=0,"",input_values!$M307)</f>
        <v/>
      </c>
      <c r="M307" s="301" t="str">
        <f>IF(input_values!H307=0,"",input_values!H307)</f>
        <v/>
      </c>
      <c r="N307" s="304">
        <f>input_values!$K307</f>
        <v>0</v>
      </c>
      <c r="O307" s="309"/>
      <c r="P307" s="38"/>
      <c r="Q307" s="306"/>
      <c r="R307" s="309"/>
      <c r="S307" s="336" t="str">
        <f t="shared" si="47"/>
        <v/>
      </c>
      <c r="T307" s="305"/>
      <c r="U307" s="309"/>
      <c r="V307" s="305"/>
      <c r="W307" s="309"/>
      <c r="X307" s="611" t="str">
        <f>IF(V307="ND","ND",IF(S307="","",IF(OR(MID(C307,1,4)="milk",AND(MID(B307,1,2)="50",NOT(input_values!M307="Y")),AND(MID(B307,1,2)="40",NOT(input_values!M307="Y")),AND(MID(B307,1,2)="30",NOT(input_values!M307="Y"))),3,IF(OR(V307="&lt;25",B307&gt;1000000),1,IF((T307&gt;=S307),"2b","2a")))))</f>
        <v/>
      </c>
      <c r="Y307" s="38" t="str">
        <f>IF(X307="ND","ND",IF(S307="","",IF(input_values!K307&gt;0,input_values!K307,IF(OR(X307=1,X307=3),1,IF((V307&gt;250),5,7)))))</f>
        <v/>
      </c>
      <c r="Z307" s="335" t="str">
        <f t="shared" si="42"/>
        <v/>
      </c>
      <c r="AA307" s="311">
        <f t="shared" si="43"/>
        <v>0</v>
      </c>
      <c r="AB307" s="38" t="str">
        <f t="shared" si="48"/>
        <v/>
      </c>
      <c r="AC307" s="335" t="str">
        <f t="shared" si="49"/>
        <v/>
      </c>
      <c r="AD307" s="311">
        <f t="shared" si="44"/>
        <v>0</v>
      </c>
      <c r="AE307" s="344" t="str">
        <f t="shared" si="50"/>
        <v/>
      </c>
      <c r="AF307" s="344" t="str">
        <f t="shared" si="51"/>
        <v/>
      </c>
      <c r="AG307" s="561" t="str">
        <f t="shared" si="45"/>
        <v/>
      </c>
      <c r="AH307" s="561" t="str">
        <f t="shared" si="46"/>
        <v/>
      </c>
      <c r="AI307" s="576"/>
      <c r="AJ307" s="847"/>
    </row>
    <row r="308" spans="1:36" outlineLevel="1" x14ac:dyDescent="0.2">
      <c r="A308" s="130">
        <f>acute_overview_children!A308</f>
        <v>2</v>
      </c>
      <c r="B308" s="131">
        <f>acute_overview_children!B308</f>
        <v>850000</v>
      </c>
      <c r="C308" s="131" t="s">
        <v>80</v>
      </c>
      <c r="D308" s="300">
        <f>Table22[[#This Row],[Level used for acute calculation]]</f>
        <v>4</v>
      </c>
      <c r="E308" s="302">
        <f>Table22[[#This Row],[MRL individual commodity]]</f>
        <v>0</v>
      </c>
      <c r="F308" s="451">
        <f>Table22[[#This Row],[Acute RA input value]]</f>
        <v>0</v>
      </c>
      <c r="G308" s="301">
        <f>Table22[[#This Row],[Acute RA label]]</f>
        <v>0</v>
      </c>
      <c r="H308" s="303">
        <f>Table22[[#This Row],[Acute RA IESTI new input value]]</f>
        <v>0</v>
      </c>
      <c r="I308" s="301">
        <f>Table22[[#This Row],[Acute RA IESTI new label]]</f>
        <v>0</v>
      </c>
      <c r="J308" s="65"/>
      <c r="K308" s="304">
        <f>Table22[[#This Row],[GAP under assessment]]</f>
        <v>0</v>
      </c>
      <c r="L308" s="304" t="str">
        <f>IF(input_values!$M308=0,"",input_values!$M308)</f>
        <v/>
      </c>
      <c r="M308" s="301" t="str">
        <f>IF(input_values!H308=0,"",input_values!H308)</f>
        <v/>
      </c>
      <c r="N308" s="304">
        <f>input_values!$K308</f>
        <v>0</v>
      </c>
      <c r="O308" s="309"/>
      <c r="P308" s="38"/>
      <c r="Q308" s="306"/>
      <c r="R308" s="309"/>
      <c r="S308" s="336" t="str">
        <f t="shared" si="47"/>
        <v/>
      </c>
      <c r="T308" s="305"/>
      <c r="U308" s="309"/>
      <c r="V308" s="305"/>
      <c r="W308" s="309"/>
      <c r="X308" s="611" t="str">
        <f>IF(V308="ND","ND",IF(S308="","",IF(OR(MID(C308,1,4)="milk",AND(MID(B308,1,2)="50",NOT(input_values!M308="Y")),AND(MID(B308,1,2)="40",NOT(input_values!M308="Y")),AND(MID(B308,1,2)="30",NOT(input_values!M308="Y"))),3,IF(OR(V308="&lt;25",B308&gt;1000000),1,IF((T308&gt;=S308),"2b","2a")))))</f>
        <v/>
      </c>
      <c r="Y308" s="38" t="str">
        <f>IF(X308="ND","ND",IF(S308="","",IF(input_values!K308&gt;0,input_values!K308,IF(OR(X308=1,X308=3),1,IF((V308&gt;250),5,7)))))</f>
        <v/>
      </c>
      <c r="Z308" s="335" t="str">
        <f t="shared" si="42"/>
        <v/>
      </c>
      <c r="AA308" s="311">
        <f t="shared" si="43"/>
        <v>0</v>
      </c>
      <c r="AB308" s="38" t="str">
        <f t="shared" si="48"/>
        <v/>
      </c>
      <c r="AC308" s="335" t="str">
        <f t="shared" si="49"/>
        <v/>
      </c>
      <c r="AD308" s="311">
        <f t="shared" si="44"/>
        <v>0</v>
      </c>
      <c r="AE308" s="344" t="str">
        <f t="shared" si="50"/>
        <v/>
      </c>
      <c r="AF308" s="344" t="str">
        <f t="shared" si="51"/>
        <v/>
      </c>
      <c r="AG308" s="561" t="str">
        <f t="shared" si="45"/>
        <v/>
      </c>
      <c r="AH308" s="561" t="str">
        <f t="shared" si="46"/>
        <v/>
      </c>
      <c r="AI308" s="576"/>
      <c r="AJ308" s="847"/>
    </row>
    <row r="309" spans="1:36" ht="12" customHeight="1" outlineLevel="3" x14ac:dyDescent="0.2">
      <c r="A309" s="39">
        <f>acute_overview_children!A309</f>
        <v>4</v>
      </c>
      <c r="B309" s="23">
        <f>acute_overview_children!B309</f>
        <v>850010</v>
      </c>
      <c r="C309" s="23" t="s">
        <v>202</v>
      </c>
      <c r="D309" s="300">
        <f>Table22[[#This Row],[Level used for acute calculation]]</f>
        <v>4</v>
      </c>
      <c r="E309" s="302">
        <f>Table22[[#This Row],[MRL individual commodity]]</f>
        <v>0</v>
      </c>
      <c r="F309" s="451">
        <f>Table22[[#This Row],[Acute RA input value]]</f>
        <v>0</v>
      </c>
      <c r="G309" s="301" t="str">
        <f>Table22[[#This Row],[Acute RA label]]</f>
        <v/>
      </c>
      <c r="H309" s="303">
        <f>Table22[[#This Row],[Acute RA IESTI new input value]]</f>
        <v>0</v>
      </c>
      <c r="I309" s="301" t="str">
        <f>Table22[[#This Row],[Acute RA IESTI new label]]</f>
        <v/>
      </c>
      <c r="J309" s="65"/>
      <c r="K309" s="304">
        <f>Table22[[#This Row],[GAP under assessment]]</f>
        <v>0</v>
      </c>
      <c r="L309" s="304" t="str">
        <f>IF(input_values!$M309=0,"",input_values!$M309)</f>
        <v/>
      </c>
      <c r="M309" s="301" t="str">
        <f>IF(input_values!H309=0,"",input_values!H309)</f>
        <v/>
      </c>
      <c r="N309" s="304">
        <f>input_values!$K309</f>
        <v>0</v>
      </c>
      <c r="O309" s="339">
        <v>0.1</v>
      </c>
      <c r="P309" s="128">
        <v>97.5</v>
      </c>
      <c r="Q309" s="346" t="s">
        <v>335</v>
      </c>
      <c r="R309" s="338">
        <v>76.38</v>
      </c>
      <c r="S309" s="338">
        <f t="shared" si="47"/>
        <v>7.6379999999999999</v>
      </c>
      <c r="T309" s="338" t="s">
        <v>617</v>
      </c>
      <c r="U309" s="339" t="s">
        <v>215</v>
      </c>
      <c r="V309" s="338" t="s">
        <v>617</v>
      </c>
      <c r="W309" s="339" t="s">
        <v>215</v>
      </c>
      <c r="X309" s="460">
        <f>IF(V309="ND","ND",IF(S309="","",IF(OR(MID(C309,1,4)="milk",AND(MID(B309,1,2)="50",NOT(input_values!M309="Y")),AND(MID(B309,1,2)="40",NOT(input_values!M309="Y")),AND(MID(B309,1,2)="30",NOT(input_values!M309="Y"))),3,IF(OR(V309="&lt;25",B309&gt;1000000),1,IF((T309&gt;=S309),"2b","2a")))))</f>
        <v>1</v>
      </c>
      <c r="Y309" s="128">
        <f>IF(X309="ND","ND",IF(S309="","",IF(input_values!K309&gt;0,input_values!K309,IF(OR(X309=1,X309=3),1,IF((V309&gt;250),5,7)))))</f>
        <v>1</v>
      </c>
      <c r="Z309" s="345" t="str">
        <f t="shared" si="42"/>
        <v/>
      </c>
      <c r="AA309" s="332">
        <f t="shared" si="43"/>
        <v>0</v>
      </c>
      <c r="AB309" s="128">
        <f t="shared" si="48"/>
        <v>1</v>
      </c>
      <c r="AC309" s="345" t="str">
        <f t="shared" si="49"/>
        <v/>
      </c>
      <c r="AD309" s="332">
        <f t="shared" si="44"/>
        <v>0</v>
      </c>
      <c r="AE309" s="40" t="str">
        <f t="shared" si="50"/>
        <v/>
      </c>
      <c r="AF309" s="40" t="str">
        <f t="shared" si="51"/>
        <v/>
      </c>
      <c r="AG309" s="561" t="str">
        <f t="shared" si="45"/>
        <v/>
      </c>
      <c r="AH309" s="561" t="str">
        <f t="shared" si="46"/>
        <v/>
      </c>
      <c r="AI309" s="576"/>
      <c r="AJ309" s="847"/>
    </row>
    <row r="310" spans="1:36" ht="12" customHeight="1" outlineLevel="3" x14ac:dyDescent="0.2">
      <c r="A310" s="39">
        <f>acute_overview_children!A310</f>
        <v>4</v>
      </c>
      <c r="B310" s="23">
        <f>acute_overview_children!B310</f>
        <v>850020</v>
      </c>
      <c r="C310" s="23" t="s">
        <v>203</v>
      </c>
      <c r="D310" s="300">
        <f>Table22[[#This Row],[Level used for acute calculation]]</f>
        <v>4</v>
      </c>
      <c r="E310" s="302">
        <f>Table22[[#This Row],[MRL individual commodity]]</f>
        <v>0</v>
      </c>
      <c r="F310" s="451">
        <f>Table22[[#This Row],[Acute RA input value]]</f>
        <v>0</v>
      </c>
      <c r="G310" s="301" t="str">
        <f>Table22[[#This Row],[Acute RA label]]</f>
        <v/>
      </c>
      <c r="H310" s="303">
        <f>Table22[[#This Row],[Acute RA IESTI new input value]]</f>
        <v>0</v>
      </c>
      <c r="I310" s="301" t="str">
        <f>Table22[[#This Row],[Acute RA IESTI new label]]</f>
        <v/>
      </c>
      <c r="J310" s="65"/>
      <c r="K310" s="304">
        <f>Table22[[#This Row],[GAP under assessment]]</f>
        <v>0</v>
      </c>
      <c r="L310" s="304" t="str">
        <f>IF(input_values!$M310=0,"",input_values!$M310)</f>
        <v/>
      </c>
      <c r="M310" s="301" t="str">
        <f>IF(input_values!H310=0,"",input_values!H310)</f>
        <v/>
      </c>
      <c r="N310" s="304">
        <f>input_values!$K310</f>
        <v>0</v>
      </c>
      <c r="O310" s="339">
        <v>0.2</v>
      </c>
      <c r="P310" s="128">
        <v>97.5</v>
      </c>
      <c r="Q310" s="346" t="s">
        <v>334</v>
      </c>
      <c r="R310" s="338">
        <v>67.47</v>
      </c>
      <c r="S310" s="338">
        <f t="shared" si="47"/>
        <v>13.494</v>
      </c>
      <c r="T310" s="338" t="s">
        <v>617</v>
      </c>
      <c r="U310" s="339" t="s">
        <v>215</v>
      </c>
      <c r="V310" s="338" t="s">
        <v>617</v>
      </c>
      <c r="W310" s="339" t="s">
        <v>215</v>
      </c>
      <c r="X310" s="460">
        <f>IF(V310="ND","ND",IF(S310="","",IF(OR(MID(C310,1,4)="milk",AND(MID(B310,1,2)="50",NOT(input_values!M310="Y")),AND(MID(B310,1,2)="40",NOT(input_values!M310="Y")),AND(MID(B310,1,2)="30",NOT(input_values!M310="Y"))),3,IF(OR(V310="&lt;25",B310&gt;1000000),1,IF((T310&gt;=S310),"2b","2a")))))</f>
        <v>1</v>
      </c>
      <c r="Y310" s="128">
        <f>IF(X310="ND","ND",IF(S310="","",IF(input_values!K310&gt;0,input_values!K310,IF(OR(X310=1,X310=3),1,IF((V310&gt;250),5,7)))))</f>
        <v>1</v>
      </c>
      <c r="Z310" s="345" t="str">
        <f t="shared" si="42"/>
        <v/>
      </c>
      <c r="AA310" s="332">
        <f t="shared" si="43"/>
        <v>0</v>
      </c>
      <c r="AB310" s="128">
        <f t="shared" si="48"/>
        <v>1</v>
      </c>
      <c r="AC310" s="345" t="str">
        <f t="shared" si="49"/>
        <v/>
      </c>
      <c r="AD310" s="332">
        <f t="shared" si="44"/>
        <v>0</v>
      </c>
      <c r="AE310" s="40" t="str">
        <f t="shared" si="50"/>
        <v/>
      </c>
      <c r="AF310" s="40" t="str">
        <f t="shared" si="51"/>
        <v/>
      </c>
      <c r="AG310" s="561" t="str">
        <f t="shared" si="45"/>
        <v/>
      </c>
      <c r="AH310" s="561" t="str">
        <f t="shared" si="46"/>
        <v/>
      </c>
      <c r="AI310" s="576"/>
      <c r="AJ310" s="847"/>
    </row>
    <row r="311" spans="1:36" ht="12" customHeight="1" outlineLevel="3" x14ac:dyDescent="0.2">
      <c r="A311" s="39">
        <f>acute_overview_children!A311</f>
        <v>4</v>
      </c>
      <c r="B311" s="23">
        <f>acute_overview_children!B311</f>
        <v>850990</v>
      </c>
      <c r="C311" s="23" t="s">
        <v>187</v>
      </c>
      <c r="D311" s="300">
        <f>Table22[[#This Row],[Level used for acute calculation]]</f>
        <v>0</v>
      </c>
      <c r="E311" s="302">
        <f>Table22[[#This Row],[MRL individual commodity]]</f>
        <v>0</v>
      </c>
      <c r="F311" s="451">
        <f>Table22[[#This Row],[Acute RA input value]]</f>
        <v>0</v>
      </c>
      <c r="G311" s="301">
        <f>Table22[[#This Row],[Acute RA label]]</f>
        <v>0</v>
      </c>
      <c r="H311" s="303">
        <f>Table22[[#This Row],[Acute RA IESTI new input value]]</f>
        <v>0</v>
      </c>
      <c r="I311" s="301">
        <f>Table22[[#This Row],[Acute RA IESTI new label]]</f>
        <v>0</v>
      </c>
      <c r="J311" s="65"/>
      <c r="K311" s="304">
        <f>Table22[[#This Row],[GAP under assessment]]</f>
        <v>0</v>
      </c>
      <c r="L311" s="304" t="str">
        <f>IF(input_values!$M311=0,"",input_values!$M311)</f>
        <v/>
      </c>
      <c r="M311" s="301" t="str">
        <f>IF(input_values!H311=0,"",input_values!H311)</f>
        <v/>
      </c>
      <c r="N311" s="304">
        <f>input_values!$K311</f>
        <v>0</v>
      </c>
      <c r="O311" s="309"/>
      <c r="P311" s="38"/>
      <c r="Q311" s="306"/>
      <c r="R311" s="309"/>
      <c r="S311" s="336" t="str">
        <f t="shared" si="47"/>
        <v/>
      </c>
      <c r="T311" s="305"/>
      <c r="U311" s="309"/>
      <c r="V311" s="305"/>
      <c r="W311" s="309"/>
      <c r="X311" s="611" t="str">
        <f>IF(V311="ND","ND",IF(S311="","",IF(OR(MID(C311,1,4)="milk",AND(MID(B311,1,2)="50",NOT(input_values!M311="Y")),AND(MID(B311,1,2)="40",NOT(input_values!M311="Y")),AND(MID(B311,1,2)="30",NOT(input_values!M311="Y"))),3,IF(OR(V311="&lt;25",B311&gt;1000000),1,IF((T311&gt;=S311),"2b","2a")))))</f>
        <v/>
      </c>
      <c r="Y311" s="38" t="str">
        <f>IF(X311="ND","ND",IF(S311="","",IF(input_values!K311&gt;0,input_values!K311,IF(OR(X311=1,X311=3),1,IF((V311&gt;250),5,7)))))</f>
        <v/>
      </c>
      <c r="Z311" s="335" t="str">
        <f t="shared" si="42"/>
        <v/>
      </c>
      <c r="AA311" s="311">
        <f t="shared" si="43"/>
        <v>0</v>
      </c>
      <c r="AB311" s="38" t="str">
        <f t="shared" si="48"/>
        <v/>
      </c>
      <c r="AC311" s="335" t="str">
        <f t="shared" si="49"/>
        <v/>
      </c>
      <c r="AD311" s="311">
        <f t="shared" si="44"/>
        <v>0</v>
      </c>
      <c r="AE311" s="344" t="str">
        <f t="shared" si="50"/>
        <v/>
      </c>
      <c r="AF311" s="344" t="str">
        <f t="shared" si="51"/>
        <v/>
      </c>
      <c r="AG311" s="561" t="str">
        <f t="shared" si="45"/>
        <v/>
      </c>
      <c r="AH311" s="561" t="str">
        <f t="shared" si="46"/>
        <v/>
      </c>
      <c r="AI311" s="576"/>
      <c r="AJ311" s="847"/>
    </row>
    <row r="312" spans="1:36" outlineLevel="1" x14ac:dyDescent="0.2">
      <c r="A312" s="130">
        <f>acute_overview_children!A312</f>
        <v>2</v>
      </c>
      <c r="B312" s="131">
        <f>acute_overview_children!B312</f>
        <v>860000</v>
      </c>
      <c r="C312" s="131" t="s">
        <v>81</v>
      </c>
      <c r="D312" s="300">
        <f>Table22[[#This Row],[Level used for acute calculation]]</f>
        <v>4</v>
      </c>
      <c r="E312" s="302">
        <f>Table22[[#This Row],[MRL individual commodity]]</f>
        <v>0</v>
      </c>
      <c r="F312" s="451">
        <f>Table22[[#This Row],[Acute RA input value]]</f>
        <v>0</v>
      </c>
      <c r="G312" s="301">
        <f>Table22[[#This Row],[Acute RA label]]</f>
        <v>0</v>
      </c>
      <c r="H312" s="303">
        <f>Table22[[#This Row],[Acute RA IESTI new input value]]</f>
        <v>0</v>
      </c>
      <c r="I312" s="301">
        <f>Table22[[#This Row],[Acute RA IESTI new label]]</f>
        <v>0</v>
      </c>
      <c r="J312" s="65"/>
      <c r="K312" s="304">
        <f>Table22[[#This Row],[GAP under assessment]]</f>
        <v>0</v>
      </c>
      <c r="L312" s="304" t="str">
        <f>IF(input_values!$M312=0,"",input_values!$M312)</f>
        <v/>
      </c>
      <c r="M312" s="301" t="str">
        <f>IF(input_values!H312=0,"",input_values!H312)</f>
        <v/>
      </c>
      <c r="N312" s="304">
        <f>input_values!$K312</f>
        <v>0</v>
      </c>
      <c r="O312" s="309"/>
      <c r="P312" s="38"/>
      <c r="Q312" s="306"/>
      <c r="R312" s="309"/>
      <c r="S312" s="336" t="str">
        <f t="shared" si="47"/>
        <v/>
      </c>
      <c r="T312" s="305"/>
      <c r="U312" s="309"/>
      <c r="V312" s="305"/>
      <c r="W312" s="309"/>
      <c r="X312" s="611" t="str">
        <f>IF(V312="ND","ND",IF(S312="","",IF(OR(MID(C312,1,4)="milk",AND(MID(B312,1,2)="50",NOT(input_values!M312="Y")),AND(MID(B312,1,2)="40",NOT(input_values!M312="Y")),AND(MID(B312,1,2)="30",NOT(input_values!M312="Y"))),3,IF(OR(V312="&lt;25",B312&gt;1000000),1,IF((T312&gt;=S312),"2b","2a")))))</f>
        <v/>
      </c>
      <c r="Y312" s="38" t="str">
        <f>IF(X312="ND","ND",IF(S312="","",IF(input_values!K312&gt;0,input_values!K312,IF(OR(X312=1,X312=3),1,IF((V312&gt;250),5,7)))))</f>
        <v/>
      </c>
      <c r="Z312" s="335" t="str">
        <f t="shared" si="42"/>
        <v/>
      </c>
      <c r="AA312" s="311">
        <f t="shared" si="43"/>
        <v>0</v>
      </c>
      <c r="AB312" s="38" t="str">
        <f t="shared" si="48"/>
        <v/>
      </c>
      <c r="AC312" s="335" t="str">
        <f t="shared" si="49"/>
        <v/>
      </c>
      <c r="AD312" s="311">
        <f t="shared" si="44"/>
        <v>0</v>
      </c>
      <c r="AE312" s="344" t="str">
        <f t="shared" si="50"/>
        <v/>
      </c>
      <c r="AF312" s="344" t="str">
        <f t="shared" si="51"/>
        <v/>
      </c>
      <c r="AG312" s="561" t="str">
        <f t="shared" si="45"/>
        <v/>
      </c>
      <c r="AH312" s="561" t="str">
        <f t="shared" si="46"/>
        <v/>
      </c>
      <c r="AI312" s="576"/>
      <c r="AJ312" s="847"/>
    </row>
    <row r="313" spans="1:36" ht="12" customHeight="1" outlineLevel="3" x14ac:dyDescent="0.2">
      <c r="A313" s="39">
        <f>acute_overview_children!A313</f>
        <v>4</v>
      </c>
      <c r="B313" s="23">
        <f>acute_overview_children!B313</f>
        <v>860010</v>
      </c>
      <c r="C313" s="23" t="s">
        <v>204</v>
      </c>
      <c r="D313" s="300">
        <f>Table22[[#This Row],[Level used for acute calculation]]</f>
        <v>4</v>
      </c>
      <c r="E313" s="302">
        <f>Table22[[#This Row],[MRL individual commodity]]</f>
        <v>0</v>
      </c>
      <c r="F313" s="451">
        <f>Table22[[#This Row],[Acute RA input value]]</f>
        <v>0</v>
      </c>
      <c r="G313" s="301" t="str">
        <f>Table22[[#This Row],[Acute RA label]]</f>
        <v/>
      </c>
      <c r="H313" s="303">
        <f>Table22[[#This Row],[Acute RA IESTI new input value]]</f>
        <v>0</v>
      </c>
      <c r="I313" s="301" t="str">
        <f>Table22[[#This Row],[Acute RA IESTI new label]]</f>
        <v/>
      </c>
      <c r="J313" s="65"/>
      <c r="K313" s="304">
        <f>Table22[[#This Row],[GAP under assessment]]</f>
        <v>0</v>
      </c>
      <c r="L313" s="304" t="str">
        <f>IF(input_values!$M313=0,"",input_values!$M313)</f>
        <v/>
      </c>
      <c r="M313" s="301" t="str">
        <f>IF(input_values!H313=0,"",input_values!H313)</f>
        <v/>
      </c>
      <c r="N313" s="304">
        <f>input_values!$K313</f>
        <v>0</v>
      </c>
      <c r="O313" s="339">
        <v>1.5197568389057753E-3</v>
      </c>
      <c r="P313" s="128" t="s">
        <v>331</v>
      </c>
      <c r="Q313" s="346" t="s">
        <v>99</v>
      </c>
      <c r="R313" s="338">
        <v>65.8</v>
      </c>
      <c r="S313" s="338">
        <f t="shared" si="47"/>
        <v>0.1</v>
      </c>
      <c r="T313" s="338" t="s">
        <v>617</v>
      </c>
      <c r="U313" s="339" t="s">
        <v>215</v>
      </c>
      <c r="V313" s="338" t="s">
        <v>617</v>
      </c>
      <c r="W313" s="339" t="s">
        <v>215</v>
      </c>
      <c r="X313" s="460">
        <f>IF(V313="ND","ND",IF(S313="","",IF(OR(MID(C313,1,4)="milk",AND(MID(B313,1,2)="50",NOT(input_values!M313="Y")),AND(MID(B313,1,2)="40",NOT(input_values!M313="Y")),AND(MID(B313,1,2)="30",NOT(input_values!M313="Y"))),3,IF(OR(V313="&lt;25",B313&gt;1000000),1,IF((T313&gt;=S313),"2b","2a")))))</f>
        <v>1</v>
      </c>
      <c r="Y313" s="128">
        <f>IF(X313="ND","ND",IF(S313="","",IF(input_values!K313&gt;0,input_values!K313,IF(OR(X313=1,X313=3),1,IF((V313&gt;250),5,7)))))</f>
        <v>1</v>
      </c>
      <c r="Z313" s="345" t="str">
        <f t="shared" si="42"/>
        <v/>
      </c>
      <c r="AA313" s="332">
        <f t="shared" si="43"/>
        <v>0</v>
      </c>
      <c r="AB313" s="128">
        <f t="shared" si="48"/>
        <v>1</v>
      </c>
      <c r="AC313" s="345" t="str">
        <f t="shared" si="49"/>
        <v/>
      </c>
      <c r="AD313" s="332">
        <f t="shared" si="44"/>
        <v>0</v>
      </c>
      <c r="AE313" s="40" t="str">
        <f t="shared" si="50"/>
        <v/>
      </c>
      <c r="AF313" s="40" t="str">
        <f t="shared" si="51"/>
        <v/>
      </c>
      <c r="AG313" s="561" t="str">
        <f t="shared" si="45"/>
        <v/>
      </c>
      <c r="AH313" s="561" t="str">
        <f t="shared" si="46"/>
        <v/>
      </c>
      <c r="AI313" s="576"/>
      <c r="AJ313" s="847"/>
    </row>
    <row r="314" spans="1:36" ht="12" customHeight="1" outlineLevel="3" x14ac:dyDescent="0.2">
      <c r="A314" s="39">
        <f>acute_overview_children!A314</f>
        <v>4</v>
      </c>
      <c r="B314" s="23">
        <f>acute_overview_children!B314</f>
        <v>860990</v>
      </c>
      <c r="C314" s="23" t="s">
        <v>188</v>
      </c>
      <c r="D314" s="300">
        <f>Table22[[#This Row],[Level used for acute calculation]]</f>
        <v>0</v>
      </c>
      <c r="E314" s="302">
        <f>Table22[[#This Row],[MRL individual commodity]]</f>
        <v>0</v>
      </c>
      <c r="F314" s="451">
        <f>Table22[[#This Row],[Acute RA input value]]</f>
        <v>0</v>
      </c>
      <c r="G314" s="301">
        <f>Table22[[#This Row],[Acute RA label]]</f>
        <v>0</v>
      </c>
      <c r="H314" s="303">
        <f>Table22[[#This Row],[Acute RA IESTI new input value]]</f>
        <v>0</v>
      </c>
      <c r="I314" s="301">
        <f>Table22[[#This Row],[Acute RA IESTI new label]]</f>
        <v>0</v>
      </c>
      <c r="J314" s="65"/>
      <c r="K314" s="304">
        <f>Table22[[#This Row],[GAP under assessment]]</f>
        <v>0</v>
      </c>
      <c r="L314" s="304" t="str">
        <f>IF(input_values!$M314=0,"",input_values!$M314)</f>
        <v/>
      </c>
      <c r="M314" s="301" t="str">
        <f>IF(input_values!H314=0,"",input_values!H314)</f>
        <v/>
      </c>
      <c r="N314" s="304">
        <f>input_values!$K314</f>
        <v>0</v>
      </c>
      <c r="O314" s="309"/>
      <c r="P314" s="38"/>
      <c r="Q314" s="306"/>
      <c r="R314" s="309"/>
      <c r="S314" s="336" t="str">
        <f t="shared" si="47"/>
        <v/>
      </c>
      <c r="T314" s="305"/>
      <c r="U314" s="309"/>
      <c r="V314" s="305"/>
      <c r="W314" s="309"/>
      <c r="X314" s="611" t="str">
        <f>IF(V314="ND","ND",IF(S314="","",IF(OR(MID(C314,1,4)="milk",AND(MID(B314,1,2)="50",NOT(input_values!M314="Y")),AND(MID(B314,1,2)="40",NOT(input_values!M314="Y")),AND(MID(B314,1,2)="30",NOT(input_values!M314="Y"))),3,IF(OR(V314="&lt;25",B314&gt;1000000),1,IF((T314&gt;=S314),"2b","2a")))))</f>
        <v/>
      </c>
      <c r="Y314" s="38" t="str">
        <f>IF(X314="ND","ND",IF(S314="","",IF(input_values!K314&gt;0,input_values!K314,IF(OR(X314=1,X314=3),1,IF((V314&gt;250),5,7)))))</f>
        <v/>
      </c>
      <c r="Z314" s="335" t="str">
        <f t="shared" si="42"/>
        <v/>
      </c>
      <c r="AA314" s="311">
        <f t="shared" si="43"/>
        <v>0</v>
      </c>
      <c r="AB314" s="38" t="str">
        <f t="shared" si="48"/>
        <v/>
      </c>
      <c r="AC314" s="335" t="str">
        <f t="shared" si="49"/>
        <v/>
      </c>
      <c r="AD314" s="311">
        <f t="shared" si="44"/>
        <v>0</v>
      </c>
      <c r="AE314" s="344" t="str">
        <f t="shared" si="50"/>
        <v/>
      </c>
      <c r="AF314" s="344" t="str">
        <f t="shared" si="51"/>
        <v/>
      </c>
      <c r="AG314" s="561" t="str">
        <f t="shared" si="45"/>
        <v/>
      </c>
      <c r="AH314" s="561" t="str">
        <f t="shared" si="46"/>
        <v/>
      </c>
      <c r="AI314" s="576"/>
      <c r="AJ314" s="847"/>
    </row>
    <row r="315" spans="1:36" outlineLevel="1" x14ac:dyDescent="0.2">
      <c r="A315" s="130">
        <f>acute_overview_children!A315</f>
        <v>2</v>
      </c>
      <c r="B315" s="131">
        <f>acute_overview_children!B315</f>
        <v>870000</v>
      </c>
      <c r="C315" s="131" t="s">
        <v>82</v>
      </c>
      <c r="D315" s="300">
        <f>Table22[[#This Row],[Level used for acute calculation]]</f>
        <v>4</v>
      </c>
      <c r="E315" s="302">
        <f>Table22[[#This Row],[MRL individual commodity]]</f>
        <v>0</v>
      </c>
      <c r="F315" s="451">
        <f>Table22[[#This Row],[Acute RA input value]]</f>
        <v>0</v>
      </c>
      <c r="G315" s="301">
        <f>Table22[[#This Row],[Acute RA label]]</f>
        <v>0</v>
      </c>
      <c r="H315" s="303">
        <f>Table22[[#This Row],[Acute RA IESTI new input value]]</f>
        <v>0</v>
      </c>
      <c r="I315" s="301">
        <f>Table22[[#This Row],[Acute RA IESTI new label]]</f>
        <v>0</v>
      </c>
      <c r="J315" s="65"/>
      <c r="K315" s="304">
        <f>Table22[[#This Row],[GAP under assessment]]</f>
        <v>0</v>
      </c>
      <c r="L315" s="304" t="str">
        <f>IF(input_values!$M315=0,"",input_values!$M315)</f>
        <v/>
      </c>
      <c r="M315" s="301" t="str">
        <f>IF(input_values!H315=0,"",input_values!H315)</f>
        <v/>
      </c>
      <c r="N315" s="304">
        <f>input_values!$K315</f>
        <v>0</v>
      </c>
      <c r="O315" s="309"/>
      <c r="P315" s="38"/>
      <c r="Q315" s="306"/>
      <c r="R315" s="309"/>
      <c r="S315" s="336" t="str">
        <f t="shared" si="47"/>
        <v/>
      </c>
      <c r="T315" s="305"/>
      <c r="U315" s="309"/>
      <c r="V315" s="305"/>
      <c r="W315" s="309"/>
      <c r="X315" s="611" t="str">
        <f>IF(V315="ND","ND",IF(S315="","",IF(OR(MID(C315,1,4)="milk",AND(MID(B315,1,2)="50",NOT(input_values!M315="Y")),AND(MID(B315,1,2)="40",NOT(input_values!M315="Y")),AND(MID(B315,1,2)="30",NOT(input_values!M315="Y"))),3,IF(OR(V315="&lt;25",B315&gt;1000000),1,IF((T315&gt;=S315),"2b","2a")))))</f>
        <v/>
      </c>
      <c r="Y315" s="38" t="str">
        <f>IF(X315="ND","ND",IF(S315="","",IF(input_values!K315&gt;0,input_values!K315,IF(OR(X315=1,X315=3),1,IF((V315&gt;250),5,7)))))</f>
        <v/>
      </c>
      <c r="Z315" s="335" t="str">
        <f t="shared" si="42"/>
        <v/>
      </c>
      <c r="AA315" s="311">
        <f t="shared" si="43"/>
        <v>0</v>
      </c>
      <c r="AB315" s="38" t="str">
        <f t="shared" si="48"/>
        <v/>
      </c>
      <c r="AC315" s="335" t="str">
        <f t="shared" si="49"/>
        <v/>
      </c>
      <c r="AD315" s="311">
        <f t="shared" si="44"/>
        <v>0</v>
      </c>
      <c r="AE315" s="344" t="str">
        <f t="shared" si="50"/>
        <v/>
      </c>
      <c r="AF315" s="344" t="str">
        <f t="shared" si="51"/>
        <v/>
      </c>
      <c r="AG315" s="561" t="str">
        <f t="shared" si="45"/>
        <v/>
      </c>
      <c r="AH315" s="561" t="str">
        <f t="shared" si="46"/>
        <v/>
      </c>
      <c r="AI315" s="576"/>
      <c r="AJ315" s="847"/>
    </row>
    <row r="316" spans="1:36" ht="12" customHeight="1" outlineLevel="3" x14ac:dyDescent="0.2">
      <c r="A316" s="39">
        <f>acute_overview_children!A316</f>
        <v>4</v>
      </c>
      <c r="B316" s="23">
        <f>acute_overview_children!B316</f>
        <v>870010</v>
      </c>
      <c r="C316" s="23" t="s">
        <v>205</v>
      </c>
      <c r="D316" s="300">
        <f>Table22[[#This Row],[Level used for acute calculation]]</f>
        <v>4</v>
      </c>
      <c r="E316" s="302">
        <f>Table22[[#This Row],[MRL individual commodity]]</f>
        <v>0</v>
      </c>
      <c r="F316" s="451">
        <f>Table22[[#This Row],[Acute RA input value]]</f>
        <v>0</v>
      </c>
      <c r="G316" s="301" t="str">
        <f>Table22[[#This Row],[Acute RA label]]</f>
        <v/>
      </c>
      <c r="H316" s="303">
        <f>Table22[[#This Row],[Acute RA IESTI new input value]]</f>
        <v>0</v>
      </c>
      <c r="I316" s="301" t="str">
        <f>Table22[[#This Row],[Acute RA IESTI new label]]</f>
        <v/>
      </c>
      <c r="J316" s="65"/>
      <c r="K316" s="304">
        <f>Table22[[#This Row],[GAP under assessment]]</f>
        <v>0</v>
      </c>
      <c r="L316" s="304" t="str">
        <f>IF(input_values!$M316=0,"",input_values!$M316)</f>
        <v/>
      </c>
      <c r="M316" s="301" t="str">
        <f>IF(input_values!H316=0,"",input_values!H316)</f>
        <v/>
      </c>
      <c r="N316" s="304">
        <f>input_values!$K316</f>
        <v>0</v>
      </c>
      <c r="O316" s="339">
        <v>0.1</v>
      </c>
      <c r="P316" s="128">
        <v>97.5</v>
      </c>
      <c r="Q316" s="346" t="s">
        <v>334</v>
      </c>
      <c r="R316" s="338">
        <v>67.47</v>
      </c>
      <c r="S316" s="338">
        <f t="shared" si="47"/>
        <v>6.7469999999999999</v>
      </c>
      <c r="T316" s="338" t="s">
        <v>617</v>
      </c>
      <c r="U316" s="339" t="s">
        <v>215</v>
      </c>
      <c r="V316" s="338" t="s">
        <v>617</v>
      </c>
      <c r="W316" s="339" t="s">
        <v>215</v>
      </c>
      <c r="X316" s="460">
        <f>IF(V316="ND","ND",IF(S316="","",IF(OR(MID(C316,1,4)="milk",AND(MID(B316,1,2)="50",NOT(input_values!M316="Y")),AND(MID(B316,1,2)="40",NOT(input_values!M316="Y")),AND(MID(B316,1,2)="30",NOT(input_values!M316="Y"))),3,IF(OR(V316="&lt;25",B316&gt;1000000),1,IF((T316&gt;=S316),"2b","2a")))))</f>
        <v>1</v>
      </c>
      <c r="Y316" s="128">
        <f>IF(X316="ND","ND",IF(S316="","",IF(input_values!K316&gt;0,input_values!K316,IF(OR(X316=1,X316=3),1,IF((V316&gt;250),5,7)))))</f>
        <v>1</v>
      </c>
      <c r="Z316" s="345" t="str">
        <f t="shared" si="42"/>
        <v/>
      </c>
      <c r="AA316" s="332">
        <f t="shared" si="43"/>
        <v>0</v>
      </c>
      <c r="AB316" s="128">
        <f t="shared" si="48"/>
        <v>1</v>
      </c>
      <c r="AC316" s="345" t="str">
        <f t="shared" si="49"/>
        <v/>
      </c>
      <c r="AD316" s="332">
        <f t="shared" si="44"/>
        <v>0</v>
      </c>
      <c r="AE316" s="40" t="str">
        <f t="shared" si="50"/>
        <v/>
      </c>
      <c r="AF316" s="40" t="str">
        <f t="shared" si="51"/>
        <v/>
      </c>
      <c r="AG316" s="561" t="str">
        <f t="shared" si="45"/>
        <v/>
      </c>
      <c r="AH316" s="561" t="str">
        <f t="shared" si="46"/>
        <v/>
      </c>
      <c r="AI316" s="576"/>
      <c r="AJ316" s="847"/>
    </row>
    <row r="317" spans="1:36" ht="12" customHeight="1" outlineLevel="3" x14ac:dyDescent="0.2">
      <c r="A317" s="39">
        <f>acute_overview_children!A317</f>
        <v>4</v>
      </c>
      <c r="B317" s="23">
        <f>acute_overview_children!B317</f>
        <v>870990</v>
      </c>
      <c r="C317" s="23" t="s">
        <v>189</v>
      </c>
      <c r="D317" s="300">
        <f>Table22[[#This Row],[Level used for acute calculation]]</f>
        <v>0</v>
      </c>
      <c r="E317" s="302">
        <f>Table22[[#This Row],[MRL individual commodity]]</f>
        <v>0</v>
      </c>
      <c r="F317" s="451">
        <f>Table22[[#This Row],[Acute RA input value]]</f>
        <v>0</v>
      </c>
      <c r="G317" s="301">
        <f>Table22[[#This Row],[Acute RA label]]</f>
        <v>0</v>
      </c>
      <c r="H317" s="303">
        <f>Table22[[#This Row],[Acute RA IESTI new input value]]</f>
        <v>0</v>
      </c>
      <c r="I317" s="301">
        <f>Table22[[#This Row],[Acute RA IESTI new label]]</f>
        <v>0</v>
      </c>
      <c r="J317" s="65"/>
      <c r="K317" s="304">
        <f>Table22[[#This Row],[GAP under assessment]]</f>
        <v>0</v>
      </c>
      <c r="L317" s="304" t="str">
        <f>IF(input_values!$M317=0,"",input_values!$M317)</f>
        <v/>
      </c>
      <c r="M317" s="301" t="str">
        <f>IF(input_values!H317=0,"",input_values!H317)</f>
        <v/>
      </c>
      <c r="N317" s="304">
        <f>input_values!$K317</f>
        <v>0</v>
      </c>
      <c r="O317" s="309"/>
      <c r="P317" s="38"/>
      <c r="Q317" s="306"/>
      <c r="R317" s="309"/>
      <c r="S317" s="336" t="str">
        <f t="shared" si="47"/>
        <v/>
      </c>
      <c r="T317" s="305"/>
      <c r="U317" s="309"/>
      <c r="V317" s="305"/>
      <c r="W317" s="309"/>
      <c r="X317" s="611" t="str">
        <f>IF(V317="ND","ND",IF(S317="","",IF(OR(MID(C317,1,4)="milk",AND(MID(B317,1,2)="50",NOT(input_values!M317="Y")),AND(MID(B317,1,2)="40",NOT(input_values!M317="Y")),AND(MID(B317,1,2)="30",NOT(input_values!M317="Y"))),3,IF(OR(V317="&lt;25",B317&gt;1000000),1,IF((T317&gt;=S317),"2b","2a")))))</f>
        <v/>
      </c>
      <c r="Y317" s="38" t="str">
        <f>IF(X317="ND","ND",IF(S317="","",IF(input_values!K317&gt;0,input_values!K317,IF(OR(X317=1,X317=3),1,IF((V317&gt;250),5,7)))))</f>
        <v/>
      </c>
      <c r="Z317" s="335" t="str">
        <f t="shared" si="42"/>
        <v/>
      </c>
      <c r="AA317" s="311">
        <f t="shared" si="43"/>
        <v>0</v>
      </c>
      <c r="AB317" s="38" t="str">
        <f t="shared" si="48"/>
        <v/>
      </c>
      <c r="AC317" s="335" t="str">
        <f t="shared" si="49"/>
        <v/>
      </c>
      <c r="AD317" s="311">
        <f t="shared" si="44"/>
        <v>0</v>
      </c>
      <c r="AE317" s="344" t="str">
        <f t="shared" si="50"/>
        <v/>
      </c>
      <c r="AF317" s="344" t="str">
        <f t="shared" si="51"/>
        <v/>
      </c>
      <c r="AG317" s="561" t="str">
        <f t="shared" si="45"/>
        <v/>
      </c>
      <c r="AH317" s="561" t="str">
        <f t="shared" si="46"/>
        <v/>
      </c>
      <c r="AI317" s="576"/>
      <c r="AJ317" s="847"/>
    </row>
    <row r="318" spans="1:36" x14ac:dyDescent="0.2">
      <c r="A318" s="126">
        <f>acute_overview_children!A318</f>
        <v>1</v>
      </c>
      <c r="B318" s="127">
        <f>acute_overview_children!B318</f>
        <v>900000</v>
      </c>
      <c r="C318" s="127" t="s">
        <v>145</v>
      </c>
      <c r="D318" s="300">
        <f>Table22[[#This Row],[Level used for acute calculation]]</f>
        <v>4</v>
      </c>
      <c r="E318" s="302">
        <f>Table22[[#This Row],[MRL individual commodity]]</f>
        <v>0</v>
      </c>
      <c r="F318" s="451">
        <f>Table22[[#This Row],[Acute RA input value]]</f>
        <v>0</v>
      </c>
      <c r="G318" s="301">
        <f>Table22[[#This Row],[Acute RA label]]</f>
        <v>0</v>
      </c>
      <c r="H318" s="303">
        <f>Table22[[#This Row],[Acute RA IESTI new input value]]</f>
        <v>0</v>
      </c>
      <c r="I318" s="301">
        <f>Table22[[#This Row],[Acute RA IESTI new label]]</f>
        <v>0</v>
      </c>
      <c r="J318" s="65"/>
      <c r="K318" s="304">
        <f>Table22[[#This Row],[GAP under assessment]]</f>
        <v>0</v>
      </c>
      <c r="L318" s="304" t="str">
        <f>IF(input_values!$M318=0,"",input_values!$M318)</f>
        <v/>
      </c>
      <c r="M318" s="301" t="str">
        <f>IF(input_values!H318=0,"",input_values!H318)</f>
        <v/>
      </c>
      <c r="N318" s="304">
        <f>input_values!$K318</f>
        <v>0</v>
      </c>
      <c r="O318" s="309"/>
      <c r="P318" s="38"/>
      <c r="Q318" s="306"/>
      <c r="R318" s="309"/>
      <c r="S318" s="336" t="str">
        <f t="shared" si="47"/>
        <v/>
      </c>
      <c r="T318" s="305"/>
      <c r="U318" s="309"/>
      <c r="V318" s="305"/>
      <c r="W318" s="309"/>
      <c r="X318" s="611" t="str">
        <f>IF(V318="ND","ND",IF(S318="","",IF(OR(MID(C318,1,4)="milk",AND(MID(B318,1,2)="50",NOT(input_values!M318="Y")),AND(MID(B318,1,2)="40",NOT(input_values!M318="Y")),AND(MID(B318,1,2)="30",NOT(input_values!M318="Y"))),3,IF(OR(V318="&lt;25",B318&gt;1000000),1,IF((T318&gt;=S318),"2b","2a")))))</f>
        <v/>
      </c>
      <c r="Y318" s="38" t="str">
        <f>IF(X318="ND","ND",IF(S318="","",IF(input_values!K318&gt;0,input_values!K318,IF(OR(X318=1,X318=3),1,IF((V318&gt;250),5,7)))))</f>
        <v/>
      </c>
      <c r="Z318" s="335" t="str">
        <f t="shared" si="42"/>
        <v/>
      </c>
      <c r="AA318" s="311">
        <f t="shared" si="43"/>
        <v>0</v>
      </c>
      <c r="AB318" s="38" t="str">
        <f t="shared" si="48"/>
        <v/>
      </c>
      <c r="AC318" s="335" t="str">
        <f t="shared" si="49"/>
        <v/>
      </c>
      <c r="AD318" s="311">
        <f t="shared" si="44"/>
        <v>0</v>
      </c>
      <c r="AE318" s="344" t="str">
        <f t="shared" si="50"/>
        <v/>
      </c>
      <c r="AF318" s="344" t="str">
        <f t="shared" si="51"/>
        <v/>
      </c>
      <c r="AG318" s="561" t="str">
        <f t="shared" si="45"/>
        <v/>
      </c>
      <c r="AH318" s="561" t="str">
        <f t="shared" si="46"/>
        <v/>
      </c>
      <c r="AI318" s="576"/>
      <c r="AJ318" s="847"/>
    </row>
    <row r="319" spans="1:36" ht="12" customHeight="1" outlineLevel="3" x14ac:dyDescent="0.2">
      <c r="A319" s="39">
        <f>acute_overview_children!A319</f>
        <v>4</v>
      </c>
      <c r="B319" s="23">
        <f>acute_overview_children!B319</f>
        <v>900010</v>
      </c>
      <c r="C319" s="23" t="s">
        <v>785</v>
      </c>
      <c r="D319" s="300">
        <f>Table22[[#This Row],[Level used for acute calculation]]</f>
        <v>4</v>
      </c>
      <c r="E319" s="302">
        <f>Table22[[#This Row],[MRL individual commodity]]</f>
        <v>0</v>
      </c>
      <c r="F319" s="451">
        <f>Table22[[#This Row],[Acute RA input value]]</f>
        <v>0</v>
      </c>
      <c r="G319" s="301" t="str">
        <f>Table22[[#This Row],[Acute RA label]]</f>
        <v/>
      </c>
      <c r="H319" s="303">
        <f>Table22[[#This Row],[Acute RA IESTI new input value]]</f>
        <v>0</v>
      </c>
      <c r="I319" s="301" t="str">
        <f>Table22[[#This Row],[Acute RA IESTI new label]]</f>
        <v/>
      </c>
      <c r="J319" s="65"/>
      <c r="K319" s="304">
        <f>Table22[[#This Row],[GAP under assessment]]</f>
        <v>0</v>
      </c>
      <c r="L319" s="304" t="str">
        <f>IF(input_values!$M319=0,"",input_values!$M319)</f>
        <v/>
      </c>
      <c r="M319" s="301" t="str">
        <f>IF(input_values!H319=0,"",input_values!H319)</f>
        <v/>
      </c>
      <c r="N319" s="304">
        <f>input_values!$K319</f>
        <v>0</v>
      </c>
      <c r="O319" s="338" t="s">
        <v>618</v>
      </c>
      <c r="P319" s="128"/>
      <c r="Q319" s="346"/>
      <c r="R319" s="338"/>
      <c r="S319" s="338" t="str">
        <f t="shared" si="47"/>
        <v>ND</v>
      </c>
      <c r="T319" s="338" t="s">
        <v>618</v>
      </c>
      <c r="U319" s="326"/>
      <c r="V319" s="338" t="s">
        <v>618</v>
      </c>
      <c r="W319" s="326"/>
      <c r="X319" s="460" t="str">
        <f>IF(V319="ND","ND",IF(S319="","",IF(OR(MID(C319,1,4)="milk",AND(MID(B319,1,2)="50",NOT(input_values!M319="Y")),AND(MID(B319,1,2)="40",NOT(input_values!M319="Y")),AND(MID(B319,1,2)="30",NOT(input_values!M319="Y"))),3,IF(OR(V319="&lt;25",B319&gt;1000000),1,IF((T319&gt;=S319),"2b","2a")))))</f>
        <v>ND</v>
      </c>
      <c r="Y319" s="128" t="str">
        <f>IF(X319="ND","ND",IF(S319="","",IF(input_values!K319&gt;0,input_values!K319,IF(OR(X319=1,X319=3),1,IF((V319&gt;250),5,7)))))</f>
        <v>ND</v>
      </c>
      <c r="Z319" s="340" t="str">
        <f t="shared" si="42"/>
        <v/>
      </c>
      <c r="AA319" s="332">
        <f t="shared" si="43"/>
        <v>0</v>
      </c>
      <c r="AB319" s="128" t="str">
        <f t="shared" si="48"/>
        <v>ND</v>
      </c>
      <c r="AC319" s="340" t="str">
        <f t="shared" si="49"/>
        <v/>
      </c>
      <c r="AD319" s="332">
        <f t="shared" si="44"/>
        <v>0</v>
      </c>
      <c r="AE319" s="37" t="str">
        <f t="shared" si="50"/>
        <v/>
      </c>
      <c r="AF319" s="37" t="str">
        <f t="shared" si="51"/>
        <v/>
      </c>
      <c r="AG319" s="561" t="str">
        <f t="shared" si="45"/>
        <v/>
      </c>
      <c r="AH319" s="561" t="str">
        <f t="shared" si="46"/>
        <v/>
      </c>
      <c r="AI319" s="576"/>
      <c r="AJ319" s="847"/>
    </row>
    <row r="320" spans="1:36" ht="12" customHeight="1" outlineLevel="3" x14ac:dyDescent="0.2">
      <c r="A320" s="39">
        <f>acute_overview_children!A320</f>
        <v>4</v>
      </c>
      <c r="B320" s="23">
        <f>acute_overview_children!B320</f>
        <v>900020</v>
      </c>
      <c r="C320" s="23" t="s">
        <v>786</v>
      </c>
      <c r="D320" s="300">
        <f>Table22[[#This Row],[Level used for acute calculation]]</f>
        <v>4</v>
      </c>
      <c r="E320" s="302">
        <f>Table22[[#This Row],[MRL individual commodity]]</f>
        <v>0</v>
      </c>
      <c r="F320" s="451">
        <f>Table22[[#This Row],[Acute RA input value]]</f>
        <v>0</v>
      </c>
      <c r="G320" s="301" t="str">
        <f>Table22[[#This Row],[Acute RA label]]</f>
        <v/>
      </c>
      <c r="H320" s="303">
        <f>Table22[[#This Row],[Acute RA IESTI new input value]]</f>
        <v>0</v>
      </c>
      <c r="I320" s="301" t="str">
        <f>Table22[[#This Row],[Acute RA IESTI new label]]</f>
        <v/>
      </c>
      <c r="J320" s="65"/>
      <c r="K320" s="304">
        <f>Table22[[#This Row],[GAP under assessment]]</f>
        <v>0</v>
      </c>
      <c r="L320" s="304" t="str">
        <f>IF(input_values!$M320=0,"",input_values!$M320)</f>
        <v/>
      </c>
      <c r="M320" s="301" t="str">
        <f>IF(input_values!H320=0,"",input_values!H320)</f>
        <v/>
      </c>
      <c r="N320" s="304">
        <f>input_values!$K320</f>
        <v>0</v>
      </c>
      <c r="O320" s="338" t="s">
        <v>618</v>
      </c>
      <c r="P320" s="128"/>
      <c r="Q320" s="346"/>
      <c r="R320" s="338"/>
      <c r="S320" s="338" t="str">
        <f t="shared" si="47"/>
        <v>ND</v>
      </c>
      <c r="T320" s="338" t="s">
        <v>617</v>
      </c>
      <c r="U320" s="326" t="s">
        <v>651</v>
      </c>
      <c r="V320" s="338" t="s">
        <v>617</v>
      </c>
      <c r="W320" s="326" t="s">
        <v>651</v>
      </c>
      <c r="X320" s="460">
        <f>IF(V320="ND","ND",IF(S320="","",IF(OR(MID(C320,1,4)="milk",AND(MID(B320,1,2)="50",NOT(input_values!M320="Y")),AND(MID(B320,1,2)="40",NOT(input_values!M320="Y")),AND(MID(B320,1,2)="30",NOT(input_values!M320="Y"))),3,IF(OR(V320="&lt;25",B320&gt;1000000),1,IF((T320&gt;=S320),"2b","2a")))))</f>
        <v>1</v>
      </c>
      <c r="Y320" s="128">
        <f>IF(X320="ND","ND",IF(S320="","",IF(input_values!K320&gt;0,input_values!K320,IF(OR(X320=1,X320=3),1,IF((V320&gt;250),5,7)))))</f>
        <v>1</v>
      </c>
      <c r="Z320" s="340" t="str">
        <f t="shared" si="42"/>
        <v/>
      </c>
      <c r="AA320" s="332">
        <f t="shared" si="43"/>
        <v>0</v>
      </c>
      <c r="AB320" s="128">
        <f t="shared" si="48"/>
        <v>1</v>
      </c>
      <c r="AC320" s="345" t="str">
        <f t="shared" si="49"/>
        <v/>
      </c>
      <c r="AD320" s="332">
        <f t="shared" si="44"/>
        <v>0</v>
      </c>
      <c r="AE320" s="40" t="str">
        <f t="shared" si="50"/>
        <v/>
      </c>
      <c r="AF320" s="40" t="str">
        <f t="shared" si="51"/>
        <v/>
      </c>
      <c r="AG320" s="561" t="str">
        <f t="shared" si="45"/>
        <v/>
      </c>
      <c r="AH320" s="561" t="str">
        <f t="shared" si="46"/>
        <v/>
      </c>
      <c r="AI320" s="576"/>
      <c r="AJ320" s="847"/>
    </row>
    <row r="321" spans="1:36" ht="12" customHeight="1" outlineLevel="3" x14ac:dyDescent="0.2">
      <c r="A321" s="39">
        <f>acute_overview_children!A321</f>
        <v>4</v>
      </c>
      <c r="B321" s="23">
        <f>acute_overview_children!B321</f>
        <v>900030</v>
      </c>
      <c r="C321" s="23" t="s">
        <v>206</v>
      </c>
      <c r="D321" s="300">
        <f>Table22[[#This Row],[Level used for acute calculation]]</f>
        <v>4</v>
      </c>
      <c r="E321" s="302">
        <f>Table22[[#This Row],[MRL individual commodity]]</f>
        <v>0</v>
      </c>
      <c r="F321" s="451">
        <f>Table22[[#This Row],[Acute RA input value]]</f>
        <v>0</v>
      </c>
      <c r="G321" s="301" t="str">
        <f>Table22[[#This Row],[Acute RA label]]</f>
        <v/>
      </c>
      <c r="H321" s="303">
        <f>Table22[[#This Row],[Acute RA IESTI new input value]]</f>
        <v>0</v>
      </c>
      <c r="I321" s="301" t="str">
        <f>Table22[[#This Row],[Acute RA IESTI new label]]</f>
        <v/>
      </c>
      <c r="J321" s="65"/>
      <c r="K321" s="304">
        <f>Table22[[#This Row],[GAP under assessment]]</f>
        <v>0</v>
      </c>
      <c r="L321" s="304" t="str">
        <f>IF(input_values!$M321=0,"",input_values!$M321)</f>
        <v/>
      </c>
      <c r="M321" s="301" t="str">
        <f>IF(input_values!H321=0,"",input_values!H321)</f>
        <v/>
      </c>
      <c r="N321" s="304">
        <f>input_values!$K321</f>
        <v>0</v>
      </c>
      <c r="O321" s="338">
        <v>0.38360827441738676</v>
      </c>
      <c r="P321" s="128">
        <v>97.5</v>
      </c>
      <c r="Q321" s="346" t="s">
        <v>335</v>
      </c>
      <c r="R321" s="338">
        <v>76.38</v>
      </c>
      <c r="S321" s="338">
        <f t="shared" si="47"/>
        <v>29.3</v>
      </c>
      <c r="T321" s="338"/>
      <c r="U321" s="326"/>
      <c r="V321" s="338" t="s">
        <v>618</v>
      </c>
      <c r="W321" s="326"/>
      <c r="X321" s="1171">
        <v>1</v>
      </c>
      <c r="Y321" s="1172">
        <f>IF(X321="ND","ND",IF(S321="","",IF(input_values!K321&gt;0,input_values!K321,IF(OR(X321=1,X321=3),1,IF((V321&gt;250),5,7)))))</f>
        <v>1</v>
      </c>
      <c r="Z321" s="340" t="str">
        <f t="shared" si="42"/>
        <v/>
      </c>
      <c r="AA321" s="332">
        <f t="shared" si="43"/>
        <v>0</v>
      </c>
      <c r="AB321" s="128">
        <f t="shared" si="48"/>
        <v>1</v>
      </c>
      <c r="AC321" s="340" t="str">
        <f t="shared" si="49"/>
        <v/>
      </c>
      <c r="AD321" s="332">
        <f t="shared" si="44"/>
        <v>0</v>
      </c>
      <c r="AE321" s="37" t="str">
        <f t="shared" si="50"/>
        <v/>
      </c>
      <c r="AF321" s="37" t="str">
        <f t="shared" si="51"/>
        <v/>
      </c>
      <c r="AG321" s="561" t="str">
        <f t="shared" si="45"/>
        <v/>
      </c>
      <c r="AH321" s="561" t="str">
        <f t="shared" si="46"/>
        <v/>
      </c>
      <c r="AI321" s="576"/>
      <c r="AJ321" s="847"/>
    </row>
    <row r="322" spans="1:36" ht="12" customHeight="1" outlineLevel="3" x14ac:dyDescent="0.2">
      <c r="A322" s="39">
        <f>acute_overview_children!A322</f>
        <v>4</v>
      </c>
      <c r="B322" s="23">
        <f>acute_overview_children!B322</f>
        <v>900990</v>
      </c>
      <c r="C322" s="23" t="s">
        <v>190</v>
      </c>
      <c r="D322" s="300">
        <f>Table22[[#This Row],[Level used for acute calculation]]</f>
        <v>0</v>
      </c>
      <c r="E322" s="302">
        <f>Table22[[#This Row],[MRL individual commodity]]</f>
        <v>0</v>
      </c>
      <c r="F322" s="451">
        <f>Table22[[#This Row],[Acute RA input value]]</f>
        <v>0</v>
      </c>
      <c r="G322" s="301">
        <f>Table22[[#This Row],[Acute RA label]]</f>
        <v>0</v>
      </c>
      <c r="H322" s="303">
        <f>Table22[[#This Row],[Acute RA IESTI new input value]]</f>
        <v>0</v>
      </c>
      <c r="I322" s="301">
        <f>Table22[[#This Row],[Acute RA IESTI new label]]</f>
        <v>0</v>
      </c>
      <c r="J322" s="65"/>
      <c r="K322" s="304">
        <f>Table22[[#This Row],[GAP under assessment]]</f>
        <v>0</v>
      </c>
      <c r="L322" s="304" t="str">
        <f>IF(input_values!$M322=0,"",input_values!$M322)</f>
        <v/>
      </c>
      <c r="M322" s="301" t="str">
        <f>IF(input_values!H322=0,"",input_values!H322)</f>
        <v/>
      </c>
      <c r="N322" s="304">
        <f>input_values!$K322</f>
        <v>0</v>
      </c>
      <c r="O322" s="309"/>
      <c r="P322" s="38"/>
      <c r="Q322" s="306"/>
      <c r="R322" s="309"/>
      <c r="S322" s="336" t="str">
        <f t="shared" si="47"/>
        <v/>
      </c>
      <c r="T322" s="305"/>
      <c r="U322" s="309"/>
      <c r="V322" s="305"/>
      <c r="W322" s="309"/>
      <c r="X322" s="611" t="str">
        <f>IF(V322="ND","ND",IF(S322="","",IF(OR(MID(C322,1,4)="milk",AND(MID(B322,1,2)="50",NOT(input_values!M322="Y")),AND(MID(B322,1,2)="40",NOT(input_values!M322="Y")),AND(MID(B322,1,2)="30",NOT(input_values!M322="Y"))),3,IF(OR(V322="&lt;25",B322&gt;1000000),1,IF((T322&gt;=S322),"2b","2a")))))</f>
        <v/>
      </c>
      <c r="Y322" s="38" t="str">
        <f>IF(X322="ND","ND",IF(S322="","",IF(input_values!K322&gt;0,input_values!K322,IF(OR(X322=1,X322=3),1,IF((V322&gt;250),5,7)))))</f>
        <v/>
      </c>
      <c r="Z322" s="335" t="str">
        <f t="shared" si="42"/>
        <v/>
      </c>
      <c r="AA322" s="311">
        <f t="shared" si="43"/>
        <v>0</v>
      </c>
      <c r="AB322" s="38" t="str">
        <f t="shared" si="48"/>
        <v/>
      </c>
      <c r="AC322" s="335" t="str">
        <f t="shared" si="49"/>
        <v/>
      </c>
      <c r="AD322" s="311">
        <f t="shared" si="44"/>
        <v>0</v>
      </c>
      <c r="AE322" s="344" t="str">
        <f t="shared" si="50"/>
        <v/>
      </c>
      <c r="AF322" s="344" t="str">
        <f t="shared" si="51"/>
        <v/>
      </c>
      <c r="AG322" s="561" t="str">
        <f t="shared" si="45"/>
        <v/>
      </c>
      <c r="AH322" s="561" t="str">
        <f t="shared" si="46"/>
        <v/>
      </c>
      <c r="AI322" s="576"/>
      <c r="AJ322" s="847"/>
    </row>
    <row r="323" spans="1:36" ht="36" x14ac:dyDescent="0.2">
      <c r="A323" s="126">
        <f>acute_overview_children!A323</f>
        <v>1</v>
      </c>
      <c r="B323" s="127">
        <f>acute_overview_children!B323</f>
        <v>1000000</v>
      </c>
      <c r="C323" s="127" t="s">
        <v>139</v>
      </c>
      <c r="D323" s="300">
        <f>Table22[[#This Row],[Level used for acute calculation]]</f>
        <v>4</v>
      </c>
      <c r="E323" s="302">
        <f>Table22[[#This Row],[MRL individual commodity]]</f>
        <v>0</v>
      </c>
      <c r="F323" s="451">
        <f>Table22[[#This Row],[Acute RA input value]]</f>
        <v>0</v>
      </c>
      <c r="G323" s="301">
        <f>Table22[[#This Row],[Acute RA label]]</f>
        <v>0</v>
      </c>
      <c r="H323" s="303">
        <f>Table22[[#This Row],[Acute RA IESTI new input value]]</f>
        <v>0</v>
      </c>
      <c r="I323" s="301">
        <f>Table22[[#This Row],[Acute RA IESTI new label]]</f>
        <v>0</v>
      </c>
      <c r="J323" s="65"/>
      <c r="K323" s="304">
        <f>Table22[[#This Row],[GAP under assessment]]</f>
        <v>0</v>
      </c>
      <c r="L323" s="304" t="str">
        <f>IF(input_values!$M323=0,"",input_values!$M323)</f>
        <v/>
      </c>
      <c r="M323" s="301" t="str">
        <f>IF(input_values!H323=0,"",input_values!H323)</f>
        <v/>
      </c>
      <c r="N323" s="304">
        <f>input_values!$K323</f>
        <v>0</v>
      </c>
      <c r="O323" s="309"/>
      <c r="P323" s="38"/>
      <c r="Q323" s="306"/>
      <c r="R323" s="309"/>
      <c r="S323" s="336" t="str">
        <f t="shared" si="47"/>
        <v/>
      </c>
      <c r="T323" s="305"/>
      <c r="U323" s="309"/>
      <c r="V323" s="305"/>
      <c r="W323" s="309"/>
      <c r="X323" s="611" t="str">
        <f>IF(V323="ND","ND",IF(S323="","",IF(OR(MID(C323,1,4)="milk",AND(MID(B323,1,2)="50",NOT(input_values!M323="Y")),AND(MID(B323,1,2)="40",NOT(input_values!M323="Y")),AND(MID(B323,1,2)="30",NOT(input_values!M323="Y"))),3,IF(OR(V323="&lt;25",B323&gt;1000000),1,IF((T323&gt;=S323),"2b","2a")))))</f>
        <v/>
      </c>
      <c r="Y323" s="38" t="str">
        <f>IF(X323="ND","ND",IF(S323="","",IF(input_values!K323&gt;0,input_values!K323,IF(OR(X323=1,X323=3),1,IF((V323&gt;250),5,7)))))</f>
        <v/>
      </c>
      <c r="Z323" s="335" t="str">
        <f t="shared" si="42"/>
        <v/>
      </c>
      <c r="AA323" s="311">
        <f t="shared" si="43"/>
        <v>0</v>
      </c>
      <c r="AB323" s="38" t="str">
        <f t="shared" si="48"/>
        <v/>
      </c>
      <c r="AC323" s="335" t="str">
        <f t="shared" si="49"/>
        <v/>
      </c>
      <c r="AD323" s="311">
        <f t="shared" si="44"/>
        <v>0</v>
      </c>
      <c r="AE323" s="344" t="str">
        <f t="shared" si="50"/>
        <v/>
      </c>
      <c r="AF323" s="344" t="str">
        <f t="shared" si="51"/>
        <v/>
      </c>
      <c r="AG323" s="561" t="str">
        <f t="shared" si="45"/>
        <v/>
      </c>
      <c r="AH323" s="561" t="str">
        <f t="shared" si="46"/>
        <v/>
      </c>
      <c r="AI323" s="576"/>
      <c r="AJ323" s="847"/>
    </row>
    <row r="324" spans="1:36" outlineLevel="1" x14ac:dyDescent="0.2">
      <c r="A324" s="130">
        <f>acute_overview_children!A324</f>
        <v>2</v>
      </c>
      <c r="B324" s="131">
        <f>acute_overview_children!B324</f>
        <v>1010000</v>
      </c>
      <c r="C324" s="131" t="s">
        <v>625</v>
      </c>
      <c r="D324" s="300">
        <f>Table22[[#This Row],[Level used for acute calculation]]</f>
        <v>4</v>
      </c>
      <c r="E324" s="302">
        <f>Table22[[#This Row],[MRL individual commodity]]</f>
        <v>0</v>
      </c>
      <c r="F324" s="451">
        <f>Table22[[#This Row],[Acute RA input value]]</f>
        <v>0</v>
      </c>
      <c r="G324" s="301">
        <f>Table22[[#This Row],[Acute RA label]]</f>
        <v>0</v>
      </c>
      <c r="H324" s="303">
        <f>Table22[[#This Row],[Acute RA IESTI new input value]]</f>
        <v>0</v>
      </c>
      <c r="I324" s="301">
        <f>Table22[[#This Row],[Acute RA IESTI new label]]</f>
        <v>0</v>
      </c>
      <c r="J324" s="65"/>
      <c r="K324" s="304">
        <f>Table22[[#This Row],[GAP under assessment]]</f>
        <v>0</v>
      </c>
      <c r="L324" s="304" t="str">
        <f>IF(input_values!$M324=0,"",input_values!$M324)</f>
        <v/>
      </c>
      <c r="M324" s="301" t="str">
        <f>IF(input_values!H324=0,"",input_values!H324)</f>
        <v/>
      </c>
      <c r="N324" s="304">
        <f>input_values!$K324</f>
        <v>0</v>
      </c>
      <c r="O324" s="309"/>
      <c r="P324" s="38"/>
      <c r="Q324" s="306"/>
      <c r="R324" s="309"/>
      <c r="S324" s="336" t="str">
        <f t="shared" si="47"/>
        <v/>
      </c>
      <c r="T324" s="305"/>
      <c r="U324" s="309"/>
      <c r="V324" s="305"/>
      <c r="W324" s="309"/>
      <c r="X324" s="611" t="str">
        <f>IF(V324="ND","ND",IF(S324="","",IF(OR(MID(C324,1,4)="milk",AND(MID(B324,1,2)="50",NOT(input_values!M324="Y")),AND(MID(B324,1,2)="40",NOT(input_values!M324="Y")),AND(MID(B324,1,2)="30",NOT(input_values!M324="Y"))),3,IF(OR(V324="&lt;25",B324&gt;1000000),1,IF((T324&gt;=S324),"2b","2a")))))</f>
        <v/>
      </c>
      <c r="Y324" s="38" t="str">
        <f>IF(X324="ND","ND",IF(S324="","",IF(input_values!K324&gt;0,input_values!K324,IF(OR(X324=1,X324=3),1,IF((V324&gt;250),5,7)))))</f>
        <v/>
      </c>
      <c r="Z324" s="335" t="str">
        <f t="shared" si="42"/>
        <v/>
      </c>
      <c r="AA324" s="311">
        <f t="shared" si="43"/>
        <v>0</v>
      </c>
      <c r="AB324" s="38" t="str">
        <f t="shared" si="48"/>
        <v/>
      </c>
      <c r="AC324" s="335" t="str">
        <f t="shared" si="49"/>
        <v/>
      </c>
      <c r="AD324" s="311">
        <f t="shared" si="44"/>
        <v>0</v>
      </c>
      <c r="AE324" s="344" t="str">
        <f t="shared" si="50"/>
        <v/>
      </c>
      <c r="AF324" s="344" t="str">
        <f t="shared" si="51"/>
        <v/>
      </c>
      <c r="AG324" s="561" t="str">
        <f t="shared" si="45"/>
        <v/>
      </c>
      <c r="AH324" s="561" t="str">
        <f t="shared" si="46"/>
        <v/>
      </c>
      <c r="AI324" s="576"/>
      <c r="AJ324" s="847"/>
    </row>
    <row r="325" spans="1:36" outlineLevel="2" x14ac:dyDescent="0.2">
      <c r="A325" s="133">
        <f>acute_overview_children!A325</f>
        <v>3</v>
      </c>
      <c r="B325" s="5">
        <f>acute_overview_children!B325</f>
        <v>1011000</v>
      </c>
      <c r="C325" s="5" t="s">
        <v>146</v>
      </c>
      <c r="D325" s="300">
        <f>Table22[[#This Row],[Level used for acute calculation]]</f>
        <v>4</v>
      </c>
      <c r="E325" s="302">
        <f>Table22[[#This Row],[MRL individual commodity]]</f>
        <v>0</v>
      </c>
      <c r="F325" s="451">
        <f>Table22[[#This Row],[Acute RA input value]]</f>
        <v>0</v>
      </c>
      <c r="G325" s="301">
        <f>Table22[[#This Row],[Acute RA label]]</f>
        <v>0</v>
      </c>
      <c r="H325" s="303">
        <f>Table22[[#This Row],[Acute RA IESTI new input value]]</f>
        <v>0</v>
      </c>
      <c r="I325" s="301">
        <f>Table22[[#This Row],[Acute RA IESTI new label]]</f>
        <v>0</v>
      </c>
      <c r="J325" s="65"/>
      <c r="K325" s="304">
        <f>Table22[[#This Row],[GAP under assessment]]</f>
        <v>0</v>
      </c>
      <c r="L325" s="304" t="str">
        <f>IF(input_values!$M325=0,"",input_values!$M325)</f>
        <v/>
      </c>
      <c r="M325" s="301" t="str">
        <f>IF(input_values!H325=0,"",input_values!H325)</f>
        <v/>
      </c>
      <c r="N325" s="304">
        <f>input_values!$K325</f>
        <v>0</v>
      </c>
      <c r="O325" s="309"/>
      <c r="P325" s="38"/>
      <c r="Q325" s="306"/>
      <c r="R325" s="309"/>
      <c r="S325" s="336" t="str">
        <f t="shared" si="47"/>
        <v/>
      </c>
      <c r="T325" s="305"/>
      <c r="U325" s="309"/>
      <c r="V325" s="305"/>
      <c r="W325" s="309"/>
      <c r="X325" s="611" t="str">
        <f>IF(V325="ND","ND",IF(S325="","",IF(OR(MID(C325,1,4)="milk",AND(MID(B325,1,2)="50",NOT(input_values!M325="Y")),AND(MID(B325,1,2)="40",NOT(input_values!M325="Y")),AND(MID(B325,1,2)="30",NOT(input_values!M325="Y"))),3,IF(OR(V325="&lt;25",B325&gt;1000000),1,IF((T325&gt;=S325),"2b","2a")))))</f>
        <v/>
      </c>
      <c r="Y325" s="38" t="str">
        <f>IF(X325="ND","ND",IF(S325="","",IF(input_values!K325&gt;0,input_values!K325,IF(OR(X325=1,X325=3),1,IF((V325&gt;250),5,7)))))</f>
        <v/>
      </c>
      <c r="Z325" s="335" t="str">
        <f t="shared" si="42"/>
        <v/>
      </c>
      <c r="AA325" s="311">
        <f t="shared" si="43"/>
        <v>0</v>
      </c>
      <c r="AB325" s="47" t="str">
        <f t="shared" si="48"/>
        <v/>
      </c>
      <c r="AC325" s="335" t="str">
        <f t="shared" si="49"/>
        <v/>
      </c>
      <c r="AD325" s="311">
        <f t="shared" si="44"/>
        <v>0</v>
      </c>
      <c r="AE325" s="344" t="str">
        <f t="shared" si="50"/>
        <v/>
      </c>
      <c r="AF325" s="344" t="str">
        <f t="shared" si="51"/>
        <v/>
      </c>
      <c r="AG325" s="561" t="str">
        <f t="shared" si="45"/>
        <v/>
      </c>
      <c r="AH325" s="561" t="str">
        <f t="shared" si="46"/>
        <v/>
      </c>
      <c r="AI325" s="576"/>
      <c r="AJ325" s="847"/>
    </row>
    <row r="326" spans="1:36" ht="12" customHeight="1" outlineLevel="3" x14ac:dyDescent="0.2">
      <c r="A326" s="39">
        <f>acute_overview_children!A326</f>
        <v>4</v>
      </c>
      <c r="B326" s="23">
        <f>acute_overview_children!B326</f>
        <v>1011010</v>
      </c>
      <c r="C326" s="23" t="s">
        <v>862</v>
      </c>
      <c r="D326" s="300">
        <f>Table22[[#This Row],[Level used for acute calculation]]</f>
        <v>4</v>
      </c>
      <c r="E326" s="302">
        <f>Table22[[#This Row],[MRL individual commodity]]</f>
        <v>0</v>
      </c>
      <c r="F326" s="451">
        <f>Table22[[#This Row],[Acute RA input value]]</f>
        <v>0</v>
      </c>
      <c r="G326" s="301" t="str">
        <f>Table22[[#This Row],[Acute RA label]]</f>
        <v/>
      </c>
      <c r="H326" s="303">
        <f>Table22[[#This Row],[Acute RA IESTI new input value]]</f>
        <v>0</v>
      </c>
      <c r="I326" s="301" t="str">
        <f>Table22[[#This Row],[Acute RA IESTI new label]]</f>
        <v/>
      </c>
      <c r="J326" s="65"/>
      <c r="K326" s="304">
        <f>Table22[[#This Row],[GAP under assessment]]</f>
        <v>0</v>
      </c>
      <c r="L326" s="304" t="str">
        <f>IF(input_values!$M326=0,"",input_values!$M326)</f>
        <v/>
      </c>
      <c r="M326" s="301" t="str">
        <f>IF(input_values!H326=0,"",input_values!H326)</f>
        <v/>
      </c>
      <c r="N326" s="304">
        <f>input_values!$K326</f>
        <v>0</v>
      </c>
      <c r="O326" s="339">
        <v>4.8360000000000003</v>
      </c>
      <c r="P326" s="128">
        <v>97.5</v>
      </c>
      <c r="Q326" s="346" t="s">
        <v>99</v>
      </c>
      <c r="R326" s="338">
        <v>65.8</v>
      </c>
      <c r="S326" s="338">
        <f t="shared" si="47"/>
        <v>318.2088</v>
      </c>
      <c r="T326" s="305"/>
      <c r="U326" s="309"/>
      <c r="V326" s="305"/>
      <c r="W326" s="309"/>
      <c r="X326" s="460">
        <f>IF(V326="ND","ND",IF(S326="","",IF(OR(MID(C326,1,4)="milk",AND(MID(B326,1,2)="50",NOT(input_values!M326="Y")),AND(MID(B326,1,2)="40",NOT(input_values!M326="Y")),AND(MID(B326,1,2)="30",NOT(input_values!M326="Y"))),3,IF(OR(V326="&lt;25",B326&gt;1000000),1,IF((T326&gt;=S326),"2b","2a")))))</f>
        <v>1</v>
      </c>
      <c r="Y326" s="128">
        <f>IF(X326="ND","ND",IF(S326="","",IF(input_values!K326&gt;0,input_values!K326,IF(OR(X326=1,X326=3),1,IF((V326&gt;250),5,7)))))</f>
        <v>1</v>
      </c>
      <c r="Z326" s="345" t="str">
        <f t="shared" si="42"/>
        <v/>
      </c>
      <c r="AA326" s="332">
        <f t="shared" si="43"/>
        <v>0</v>
      </c>
      <c r="AB326" s="128">
        <f t="shared" si="48"/>
        <v>1</v>
      </c>
      <c r="AC326" s="345" t="str">
        <f t="shared" si="49"/>
        <v/>
      </c>
      <c r="AD326" s="332">
        <f t="shared" si="44"/>
        <v>0</v>
      </c>
      <c r="AE326" s="40" t="str">
        <f t="shared" si="50"/>
        <v/>
      </c>
      <c r="AF326" s="40" t="str">
        <f t="shared" si="51"/>
        <v/>
      </c>
      <c r="AG326" s="561" t="str">
        <f t="shared" si="45"/>
        <v/>
      </c>
      <c r="AH326" s="561" t="str">
        <f t="shared" si="46"/>
        <v/>
      </c>
      <c r="AI326" s="576"/>
      <c r="AJ326" s="847"/>
    </row>
    <row r="327" spans="1:36" ht="12" customHeight="1" outlineLevel="3" x14ac:dyDescent="0.2">
      <c r="A327" s="39">
        <f>acute_overview_children!A327</f>
        <v>4</v>
      </c>
      <c r="B327" s="23">
        <f>acute_overview_children!B327</f>
        <v>1011020</v>
      </c>
      <c r="C327" s="23" t="s">
        <v>787</v>
      </c>
      <c r="D327" s="300">
        <f>Table22[[#This Row],[Level used for acute calculation]]</f>
        <v>4</v>
      </c>
      <c r="E327" s="302">
        <f>Table22[[#This Row],[MRL individual commodity]]</f>
        <v>0</v>
      </c>
      <c r="F327" s="451">
        <f>Table22[[#This Row],[Acute RA input value]]</f>
        <v>0</v>
      </c>
      <c r="G327" s="301" t="str">
        <f>Table22[[#This Row],[Acute RA label]]</f>
        <v/>
      </c>
      <c r="H327" s="303">
        <f>Table22[[#This Row],[Acute RA IESTI new input value]]</f>
        <v>0</v>
      </c>
      <c r="I327" s="301" t="str">
        <f>Table22[[#This Row],[Acute RA IESTI new label]]</f>
        <v/>
      </c>
      <c r="J327" s="65"/>
      <c r="K327" s="304">
        <f>Table22[[#This Row],[GAP under assessment]]</f>
        <v>0</v>
      </c>
      <c r="L327" s="304" t="str">
        <f>IF(input_values!$M327=0,"",input_values!$M327)</f>
        <v/>
      </c>
      <c r="M327" s="301" t="str">
        <f>IF(input_values!H327=0,"",input_values!H327)</f>
        <v/>
      </c>
      <c r="N327" s="304">
        <f>input_values!$K327</f>
        <v>0</v>
      </c>
      <c r="O327" s="339">
        <v>2.0299999999999998</v>
      </c>
      <c r="P327" s="128">
        <v>97.5</v>
      </c>
      <c r="Q327" s="346" t="s">
        <v>313</v>
      </c>
      <c r="R327" s="338">
        <v>66.400000000000006</v>
      </c>
      <c r="S327" s="338">
        <f t="shared" si="47"/>
        <v>134.792</v>
      </c>
      <c r="T327" s="305"/>
      <c r="U327" s="309"/>
      <c r="V327" s="305"/>
      <c r="W327" s="309"/>
      <c r="X327" s="460">
        <f>IF(V327="ND","ND",IF(S327="","",IF(OR(MID(C327,1,4)="milk",AND(MID(B327,1,2)="50",NOT(input_values!M327="Y")),AND(MID(B327,1,2)="40",NOT(input_values!M327="Y")),AND(MID(B327,1,2)="30",NOT(input_values!M327="Y"))),3,IF(OR(V327="&lt;25",B327&gt;1000000),1,IF((T327&gt;=S327),"2b","2a")))))</f>
        <v>1</v>
      </c>
      <c r="Y327" s="128">
        <f>IF(X327="ND","ND",IF(S327="","",IF(input_values!K327&gt;0,input_values!K327,IF(OR(X327=1,X327=3),1,IF((V327&gt;250),5,7)))))</f>
        <v>1</v>
      </c>
      <c r="Z327" s="345" t="str">
        <f t="shared" si="42"/>
        <v/>
      </c>
      <c r="AA327" s="332">
        <f t="shared" si="43"/>
        <v>0</v>
      </c>
      <c r="AB327" s="128">
        <f t="shared" si="48"/>
        <v>1</v>
      </c>
      <c r="AC327" s="345" t="str">
        <f t="shared" si="49"/>
        <v/>
      </c>
      <c r="AD327" s="332">
        <f t="shared" si="44"/>
        <v>0</v>
      </c>
      <c r="AE327" s="40" t="str">
        <f t="shared" si="50"/>
        <v/>
      </c>
      <c r="AF327" s="40" t="str">
        <f t="shared" si="51"/>
        <v/>
      </c>
      <c r="AG327" s="561" t="str">
        <f t="shared" si="45"/>
        <v/>
      </c>
      <c r="AH327" s="561" t="str">
        <f t="shared" si="46"/>
        <v/>
      </c>
      <c r="AI327" s="576"/>
      <c r="AJ327" s="847"/>
    </row>
    <row r="328" spans="1:36" ht="12" customHeight="1" outlineLevel="3" x14ac:dyDescent="0.2">
      <c r="A328" s="39">
        <f>acute_overview_children!A328</f>
        <v>4</v>
      </c>
      <c r="B328" s="23">
        <f>acute_overview_children!B328</f>
        <v>1011030</v>
      </c>
      <c r="C328" s="23" t="s">
        <v>191</v>
      </c>
      <c r="D328" s="300">
        <f>Table22[[#This Row],[Level used for acute calculation]]</f>
        <v>4</v>
      </c>
      <c r="E328" s="302">
        <f>Table22[[#This Row],[MRL individual commodity]]</f>
        <v>0</v>
      </c>
      <c r="F328" s="451">
        <f>Table22[[#This Row],[Acute RA input value]]</f>
        <v>0</v>
      </c>
      <c r="G328" s="301" t="str">
        <f>Table22[[#This Row],[Acute RA label]]</f>
        <v/>
      </c>
      <c r="H328" s="303">
        <f>Table22[[#This Row],[Acute RA IESTI new input value]]</f>
        <v>0</v>
      </c>
      <c r="I328" s="301" t="str">
        <f>Table22[[#This Row],[Acute RA IESTI new label]]</f>
        <v/>
      </c>
      <c r="J328" s="65"/>
      <c r="K328" s="304">
        <f>Table22[[#This Row],[GAP under assessment]]</f>
        <v>0</v>
      </c>
      <c r="L328" s="304" t="str">
        <f>IF(input_values!$M328=0,"",input_values!$M328)</f>
        <v/>
      </c>
      <c r="M328" s="301" t="str">
        <f>IF(input_values!H328=0,"",input_values!H328)</f>
        <v/>
      </c>
      <c r="N328" s="304">
        <f>input_values!$K328</f>
        <v>0</v>
      </c>
      <c r="O328" s="339">
        <v>1.4118541033434653</v>
      </c>
      <c r="P328" s="128" t="s">
        <v>328</v>
      </c>
      <c r="Q328" s="346" t="s">
        <v>99</v>
      </c>
      <c r="R328" s="338">
        <v>65.8</v>
      </c>
      <c r="S328" s="338">
        <f t="shared" si="47"/>
        <v>92.9</v>
      </c>
      <c r="T328" s="305"/>
      <c r="U328" s="309"/>
      <c r="V328" s="305"/>
      <c r="W328" s="309"/>
      <c r="X328" s="460">
        <f>IF(V328="ND","ND",IF(S328="","",IF(OR(MID(C328,1,4)="milk",AND(MID(B328,1,2)="50",NOT(input_values!M328="Y")),AND(MID(B328,1,2)="40",NOT(input_values!M328="Y")),AND(MID(B328,1,2)="30",NOT(input_values!M328="Y"))),3,IF(OR(V328="&lt;25",B328&gt;1000000),1,IF((T328&gt;=S328),"2b","2a")))))</f>
        <v>1</v>
      </c>
      <c r="Y328" s="128">
        <f>IF(X328="ND","ND",IF(S328="","",IF(input_values!K328&gt;0,input_values!K328,IF(OR(X328=1,X328=3),1,IF((V328&gt;250),5,7)))))</f>
        <v>1</v>
      </c>
      <c r="Z328" s="345" t="str">
        <f t="shared" si="42"/>
        <v/>
      </c>
      <c r="AA328" s="332">
        <f t="shared" si="43"/>
        <v>0</v>
      </c>
      <c r="AB328" s="128">
        <f t="shared" si="48"/>
        <v>1</v>
      </c>
      <c r="AC328" s="345" t="str">
        <f t="shared" si="49"/>
        <v/>
      </c>
      <c r="AD328" s="332">
        <f t="shared" si="44"/>
        <v>0</v>
      </c>
      <c r="AE328" s="40" t="str">
        <f t="shared" si="50"/>
        <v/>
      </c>
      <c r="AF328" s="40" t="str">
        <f t="shared" si="51"/>
        <v/>
      </c>
      <c r="AG328" s="561" t="str">
        <f t="shared" si="45"/>
        <v/>
      </c>
      <c r="AH328" s="561" t="str">
        <f t="shared" si="46"/>
        <v/>
      </c>
      <c r="AI328" s="576"/>
      <c r="AJ328" s="847"/>
    </row>
    <row r="329" spans="1:36" ht="12" customHeight="1" outlineLevel="3" x14ac:dyDescent="0.2">
      <c r="A329" s="39">
        <f>acute_overview_children!A329</f>
        <v>4</v>
      </c>
      <c r="B329" s="23">
        <f>acute_overview_children!B329</f>
        <v>1011040</v>
      </c>
      <c r="C329" s="23" t="s">
        <v>192</v>
      </c>
      <c r="D329" s="300">
        <f>Table22[[#This Row],[Level used for acute calculation]]</f>
        <v>4</v>
      </c>
      <c r="E329" s="302">
        <f>Table22[[#This Row],[MRL individual commodity]]</f>
        <v>0</v>
      </c>
      <c r="F329" s="451">
        <f>Table22[[#This Row],[Acute RA input value]]</f>
        <v>0</v>
      </c>
      <c r="G329" s="301" t="str">
        <f>Table22[[#This Row],[Acute RA label]]</f>
        <v/>
      </c>
      <c r="H329" s="303">
        <f>Table22[[#This Row],[Acute RA IESTI new input value]]</f>
        <v>0</v>
      </c>
      <c r="I329" s="301" t="str">
        <f>Table22[[#This Row],[Acute RA IESTI new label]]</f>
        <v/>
      </c>
      <c r="J329" s="65"/>
      <c r="K329" s="304">
        <f>Table22[[#This Row],[GAP under assessment]]</f>
        <v>0</v>
      </c>
      <c r="L329" s="304" t="str">
        <f>IF(input_values!$M329=0,"",input_values!$M329)</f>
        <v/>
      </c>
      <c r="M329" s="301" t="str">
        <f>IF(input_values!H329=0,"",input_values!H329)</f>
        <v/>
      </c>
      <c r="N329" s="304">
        <f>input_values!$K329</f>
        <v>0</v>
      </c>
      <c r="O329" s="339">
        <v>2.2000000000000002</v>
      </c>
      <c r="P329" s="128">
        <v>100</v>
      </c>
      <c r="Q329" s="346" t="s">
        <v>334</v>
      </c>
      <c r="R329" s="338">
        <v>67.47</v>
      </c>
      <c r="S329" s="338">
        <f t="shared" si="47"/>
        <v>148.434</v>
      </c>
      <c r="T329" s="305"/>
      <c r="U329" s="309"/>
      <c r="V329" s="305"/>
      <c r="W329" s="309"/>
      <c r="X329" s="460">
        <f>IF(V329="ND","ND",IF(S329="","",IF(OR(MID(C329,1,4)="milk",AND(MID(B329,1,2)="50",NOT(input_values!M329="Y")),AND(MID(B329,1,2)="40",NOT(input_values!M329="Y")),AND(MID(B329,1,2)="30",NOT(input_values!M329="Y"))),3,IF(OR(V329="&lt;25",B329&gt;1000000),1,IF((T329&gt;=S329),"2b","2a")))))</f>
        <v>1</v>
      </c>
      <c r="Y329" s="128">
        <f>IF(X329="ND","ND",IF(S329="","",IF(input_values!K329&gt;0,input_values!K329,IF(OR(X329=1,X329=3),1,IF((V329&gt;250),5,7)))))</f>
        <v>1</v>
      </c>
      <c r="Z329" s="345" t="str">
        <f t="shared" si="42"/>
        <v/>
      </c>
      <c r="AA329" s="332">
        <f t="shared" si="43"/>
        <v>0</v>
      </c>
      <c r="AB329" s="128">
        <f t="shared" si="48"/>
        <v>1</v>
      </c>
      <c r="AC329" s="345" t="str">
        <f t="shared" si="49"/>
        <v/>
      </c>
      <c r="AD329" s="332">
        <f t="shared" si="44"/>
        <v>0</v>
      </c>
      <c r="AE329" s="40" t="str">
        <f t="shared" si="50"/>
        <v/>
      </c>
      <c r="AF329" s="40" t="str">
        <f t="shared" si="51"/>
        <v/>
      </c>
      <c r="AG329" s="561" t="str">
        <f t="shared" si="45"/>
        <v/>
      </c>
      <c r="AH329" s="561" t="str">
        <f t="shared" si="46"/>
        <v/>
      </c>
      <c r="AI329" s="576"/>
      <c r="AJ329" s="847"/>
    </row>
    <row r="330" spans="1:36" ht="12" customHeight="1" outlineLevel="3" x14ac:dyDescent="0.2">
      <c r="A330" s="39">
        <f>acute_overview_children!A330</f>
        <v>4</v>
      </c>
      <c r="B330" s="23">
        <f>acute_overview_children!B330</f>
        <v>1011050</v>
      </c>
      <c r="C330" s="23" t="s">
        <v>788</v>
      </c>
      <c r="D330" s="300">
        <f>Table22[[#This Row],[Level used for acute calculation]]</f>
        <v>4</v>
      </c>
      <c r="E330" s="302">
        <f>Table22[[#This Row],[MRL individual commodity]]</f>
        <v>0</v>
      </c>
      <c r="F330" s="451">
        <f>Table22[[#This Row],[Acute RA input value]]</f>
        <v>0</v>
      </c>
      <c r="G330" s="301" t="str">
        <f>Table22[[#This Row],[Acute RA label]]</f>
        <v/>
      </c>
      <c r="H330" s="303">
        <f>Table22[[#This Row],[Acute RA IESTI new input value]]</f>
        <v>0</v>
      </c>
      <c r="I330" s="301" t="str">
        <f>Table22[[#This Row],[Acute RA IESTI new label]]</f>
        <v/>
      </c>
      <c r="J330" s="65"/>
      <c r="K330" s="304">
        <f>Table22[[#This Row],[GAP under assessment]]</f>
        <v>0</v>
      </c>
      <c r="L330" s="304" t="str">
        <f>IF(input_values!$M330=0,"",input_values!$M330)</f>
        <v/>
      </c>
      <c r="M330" s="301" t="str">
        <f>IF(input_values!H330=0,"",input_values!H330)</f>
        <v/>
      </c>
      <c r="N330" s="304">
        <f>input_values!$K330</f>
        <v>0</v>
      </c>
      <c r="O330" s="339">
        <v>2.61</v>
      </c>
      <c r="P330" s="128">
        <v>95</v>
      </c>
      <c r="Q330" s="346" t="s">
        <v>313</v>
      </c>
      <c r="R330" s="338">
        <v>66.400000000000006</v>
      </c>
      <c r="S330" s="338">
        <f t="shared" si="47"/>
        <v>173.304</v>
      </c>
      <c r="T330" s="305"/>
      <c r="U330" s="309"/>
      <c r="V330" s="305"/>
      <c r="W330" s="309"/>
      <c r="X330" s="460">
        <f>IF(V330="ND","ND",IF(S330="","",IF(OR(MID(C330,1,4)="milk",AND(MID(B330,1,2)="50",NOT(input_values!M330="Y")),AND(MID(B330,1,2)="40",NOT(input_values!M330="Y")),AND(MID(B330,1,2)="30",NOT(input_values!M330="Y"))),3,IF(OR(V330="&lt;25",B330&gt;1000000),1,IF((T330&gt;=S330),"2b","2a")))))</f>
        <v>1</v>
      </c>
      <c r="Y330" s="128">
        <f>IF(X330="ND","ND",IF(S330="","",IF(input_values!K330&gt;0,input_values!K330,IF(OR(X330=1,X330=3),1,IF((V330&gt;250),5,7)))))</f>
        <v>1</v>
      </c>
      <c r="Z330" s="345" t="str">
        <f t="shared" si="42"/>
        <v/>
      </c>
      <c r="AA330" s="332">
        <f t="shared" si="43"/>
        <v>0</v>
      </c>
      <c r="AB330" s="128">
        <f t="shared" si="48"/>
        <v>1</v>
      </c>
      <c r="AC330" s="345" t="str">
        <f t="shared" si="49"/>
        <v/>
      </c>
      <c r="AD330" s="332">
        <f t="shared" si="44"/>
        <v>0</v>
      </c>
      <c r="AE330" s="40" t="str">
        <f t="shared" si="50"/>
        <v/>
      </c>
      <c r="AF330" s="40" t="str">
        <f t="shared" si="51"/>
        <v/>
      </c>
      <c r="AG330" s="561" t="str">
        <f t="shared" si="45"/>
        <v/>
      </c>
      <c r="AH330" s="561" t="str">
        <f t="shared" si="46"/>
        <v/>
      </c>
      <c r="AI330" s="576"/>
      <c r="AJ330" s="847"/>
    </row>
    <row r="331" spans="1:36" ht="12" customHeight="1" outlineLevel="3" x14ac:dyDescent="0.2">
      <c r="A331" s="39">
        <f>acute_overview_children!A331</f>
        <v>4</v>
      </c>
      <c r="B331" s="23">
        <f>acute_overview_children!B331</f>
        <v>1011990</v>
      </c>
      <c r="C331" s="23" t="s">
        <v>634</v>
      </c>
      <c r="D331" s="300">
        <f>Table22[[#This Row],[Level used for acute calculation]]</f>
        <v>4</v>
      </c>
      <c r="E331" s="302">
        <f>Table22[[#This Row],[MRL individual commodity]]</f>
        <v>0</v>
      </c>
      <c r="F331" s="451">
        <f>Table22[[#This Row],[Acute RA input value]]</f>
        <v>0</v>
      </c>
      <c r="G331" s="301" t="str">
        <f>Table22[[#This Row],[Acute RA label]]</f>
        <v/>
      </c>
      <c r="H331" s="303">
        <f>Table22[[#This Row],[Acute RA IESTI new input value]]</f>
        <v>0</v>
      </c>
      <c r="I331" s="301" t="str">
        <f>Table22[[#This Row],[Acute RA IESTI new label]]</f>
        <v/>
      </c>
      <c r="J331" s="65"/>
      <c r="K331" s="304">
        <f>Table22[[#This Row],[GAP under assessment]]</f>
        <v>0</v>
      </c>
      <c r="L331" s="304" t="str">
        <f>IF(input_values!$M331=0,"",input_values!$M331)</f>
        <v/>
      </c>
      <c r="M331" s="301" t="str">
        <f>IF(input_values!H331=0,"",input_values!H331)</f>
        <v/>
      </c>
      <c r="N331" s="304">
        <f>input_values!$K331</f>
        <v>0</v>
      </c>
      <c r="O331" s="339">
        <v>3.29</v>
      </c>
      <c r="P331" s="128">
        <v>97.5</v>
      </c>
      <c r="Q331" s="346" t="s">
        <v>313</v>
      </c>
      <c r="R331" s="339">
        <v>66.400000000000006</v>
      </c>
      <c r="S331" s="338">
        <f t="shared" si="47"/>
        <v>218.45600000000002</v>
      </c>
      <c r="T331" s="338"/>
      <c r="U331" s="339"/>
      <c r="V331" s="338"/>
      <c r="W331" s="339"/>
      <c r="X331" s="460">
        <f>IF(V331="ND","ND",IF(S331="","",IF(OR(MID(C331,1,4)="milk",AND(MID(B331,1,2)="50",NOT(input_values!M331="Y")),AND(MID(B331,1,2)="40",NOT(input_values!M331="Y")),AND(MID(B331,1,2)="30",NOT(input_values!M331="Y"))),3,IF(OR(V331="&lt;25",B331&gt;1000000),1,IF((T331&gt;=S331),"2b","2a")))))</f>
        <v>1</v>
      </c>
      <c r="Y331" s="128">
        <f>IF(X331="ND","ND",IF(S331="","",IF(input_values!K331&gt;0,input_values!K331,IF(OR(X331=1,X331=3),1,IF((V331&gt;250),5,7)))))</f>
        <v>1</v>
      </c>
      <c r="Z331" s="345" t="str">
        <f t="shared" si="42"/>
        <v/>
      </c>
      <c r="AA331" s="332">
        <f t="shared" si="43"/>
        <v>0</v>
      </c>
      <c r="AB331" s="128">
        <f t="shared" si="48"/>
        <v>1</v>
      </c>
      <c r="AC331" s="345" t="str">
        <f t="shared" si="49"/>
        <v/>
      </c>
      <c r="AD331" s="332">
        <f t="shared" si="44"/>
        <v>0</v>
      </c>
      <c r="AE331" s="40" t="str">
        <f t="shared" si="50"/>
        <v/>
      </c>
      <c r="AF331" s="40" t="str">
        <f t="shared" si="51"/>
        <v/>
      </c>
      <c r="AG331" s="561" t="str">
        <f t="shared" si="45"/>
        <v/>
      </c>
      <c r="AH331" s="561" t="str">
        <f t="shared" si="46"/>
        <v/>
      </c>
      <c r="AI331" s="576"/>
      <c r="AJ331" s="847"/>
    </row>
    <row r="332" spans="1:36" outlineLevel="2" x14ac:dyDescent="0.2">
      <c r="A332" s="133">
        <f>acute_overview_children!A332</f>
        <v>3</v>
      </c>
      <c r="B332" s="5">
        <f>acute_overview_children!B332</f>
        <v>1012000</v>
      </c>
      <c r="C332" s="5" t="s">
        <v>193</v>
      </c>
      <c r="D332" s="300">
        <f>Table22[[#This Row],[Level used for acute calculation]]</f>
        <v>4</v>
      </c>
      <c r="E332" s="302">
        <f>Table22[[#This Row],[MRL individual commodity]]</f>
        <v>0</v>
      </c>
      <c r="F332" s="451">
        <f>Table22[[#This Row],[Acute RA input value]]</f>
        <v>0</v>
      </c>
      <c r="G332" s="301">
        <f>Table22[[#This Row],[Acute RA label]]</f>
        <v>0</v>
      </c>
      <c r="H332" s="303">
        <f>Table22[[#This Row],[Acute RA IESTI new input value]]</f>
        <v>0</v>
      </c>
      <c r="I332" s="301">
        <f>Table22[[#This Row],[Acute RA IESTI new label]]</f>
        <v>0</v>
      </c>
      <c r="J332" s="65"/>
      <c r="K332" s="304">
        <f>Table22[[#This Row],[GAP under assessment]]</f>
        <v>0</v>
      </c>
      <c r="L332" s="304" t="str">
        <f>IF(input_values!$M332=0,"",input_values!$M332)</f>
        <v/>
      </c>
      <c r="M332" s="301" t="str">
        <f>IF(input_values!H332=0,"",input_values!H332)</f>
        <v/>
      </c>
      <c r="N332" s="304">
        <f>input_values!$K332</f>
        <v>0</v>
      </c>
      <c r="O332" s="309"/>
      <c r="P332" s="38"/>
      <c r="Q332" s="306"/>
      <c r="R332" s="309"/>
      <c r="S332" s="336" t="str">
        <f t="shared" si="47"/>
        <v/>
      </c>
      <c r="T332" s="305"/>
      <c r="U332" s="309"/>
      <c r="V332" s="305"/>
      <c r="W332" s="309"/>
      <c r="X332" s="611" t="str">
        <f>IF(V332="ND","ND",IF(S332="","",IF(OR(MID(C332,1,4)="milk",AND(MID(B332,1,2)="50",NOT(input_values!M332="Y")),AND(MID(B332,1,2)="40",NOT(input_values!M332="Y")),AND(MID(B332,1,2)="30",NOT(input_values!M332="Y"))),3,IF(OR(V332="&lt;25",B332&gt;1000000),1,IF((T332&gt;=S332),"2b","2a")))))</f>
        <v/>
      </c>
      <c r="Y332" s="38" t="str">
        <f>IF(X332="ND","ND",IF(S332="","",IF(input_values!K332&gt;0,input_values!K332,IF(OR(X332=1,X332=3),1,IF((V332&gt;250),5,7)))))</f>
        <v/>
      </c>
      <c r="Z332" s="335" t="str">
        <f t="shared" ref="Z332:Z390" si="52">IF(OR(ISTEXT(F332),F332=0),"",IF(OR(S332="ND",T332="ND"),"ND",IF(($X332="2a"),1/$R332*(($F332*$T332/1000*$Y332)+($F332*($S332-$T332)/1000)),IF(($X332="2b"),1/$R332*($F332*$S332/1000*$Y332),1/$R332*($F332*$S332/1000)))))</f>
        <v/>
      </c>
      <c r="AA332" s="311">
        <f t="shared" ref="AA332:AA390" si="53">IF(OR(ISTEXT(F332),F332=0),0,IF($C$5="not necessary","no acuteRA",IF(Z332="ND","no acute RA",Z332/$C$5)))</f>
        <v>0</v>
      </c>
      <c r="AB332" s="47" t="str">
        <f t="shared" si="48"/>
        <v/>
      </c>
      <c r="AC332" s="335" t="str">
        <f t="shared" si="49"/>
        <v/>
      </c>
      <c r="AD332" s="311">
        <f t="shared" ref="AD332:AD390" si="54">IF(OR(ISTEXT(H332),H332=0,S332=0),0,IF($C$5="not necessary","no acute RA",IF(AC332="ND","no acute RA",AC332/$C$5)))</f>
        <v>0</v>
      </c>
      <c r="AE332" s="344" t="str">
        <f t="shared" si="50"/>
        <v/>
      </c>
      <c r="AF332" s="344" t="str">
        <f t="shared" si="51"/>
        <v/>
      </c>
      <c r="AG332" s="561" t="str">
        <f t="shared" ref="AG332:AG390" si="55">IF(OR(Z332=0,Z332="ND",Z332="",$C$5="not necessary"),"",IF(X332="2a",1000*$C$5*R332/(T332*Y332+S332-T332),IF(X332="2b",1000*$C$5*R332/S332/Y332,IF(OR(X332=1,X332=3),1000*$C$5*R332/S332,""))))</f>
        <v/>
      </c>
      <c r="AH332" s="561" t="str">
        <f t="shared" si="46"/>
        <v/>
      </c>
      <c r="AI332" s="576"/>
      <c r="AJ332" s="847"/>
    </row>
    <row r="333" spans="1:36" ht="12" customHeight="1" outlineLevel="3" x14ac:dyDescent="0.2">
      <c r="A333" s="39">
        <f>acute_overview_children!A333</f>
        <v>4</v>
      </c>
      <c r="B333" s="23">
        <f>acute_overview_children!B333</f>
        <v>1012010</v>
      </c>
      <c r="C333" s="23" t="s">
        <v>626</v>
      </c>
      <c r="D333" s="300">
        <f>Table22[[#This Row],[Level used for acute calculation]]</f>
        <v>4</v>
      </c>
      <c r="E333" s="302">
        <f>Table22[[#This Row],[MRL individual commodity]]</f>
        <v>0</v>
      </c>
      <c r="F333" s="451">
        <f>Table22[[#This Row],[Acute RA input value]]</f>
        <v>0</v>
      </c>
      <c r="G333" s="301" t="str">
        <f>Table22[[#This Row],[Acute RA label]]</f>
        <v/>
      </c>
      <c r="H333" s="303">
        <f>Table22[[#This Row],[Acute RA IESTI new input value]]</f>
        <v>0</v>
      </c>
      <c r="I333" s="301" t="str">
        <f>Table22[[#This Row],[Acute RA IESTI new label]]</f>
        <v/>
      </c>
      <c r="J333" s="65"/>
      <c r="K333" s="304">
        <f>Table22[[#This Row],[GAP under assessment]]</f>
        <v>0</v>
      </c>
      <c r="L333" s="304" t="str">
        <f>IF(input_values!$M333=0,"",input_values!$M333)</f>
        <v/>
      </c>
      <c r="M333" s="301" t="str">
        <f>IF(input_values!H333=0,"",input_values!H333)</f>
        <v/>
      </c>
      <c r="N333" s="304">
        <f>input_values!$K333</f>
        <v>0</v>
      </c>
      <c r="O333" s="339">
        <v>5.6990595611285269</v>
      </c>
      <c r="P333" s="128">
        <v>97.5</v>
      </c>
      <c r="Q333" s="346" t="s">
        <v>100</v>
      </c>
      <c r="R333" s="338">
        <v>63.8</v>
      </c>
      <c r="S333" s="338">
        <f t="shared" ref="S333:S390" si="56">IF(O333="ND","ND",IF(O333="","",O333*R333))</f>
        <v>363.6</v>
      </c>
      <c r="T333" s="305"/>
      <c r="U333" s="309"/>
      <c r="V333" s="305"/>
      <c r="W333" s="309"/>
      <c r="X333" s="460">
        <f>IF(V333="ND","ND",IF(S333="","",IF(OR(MID(C333,1,4)="milk",AND(MID(B333,1,2)="50",NOT(input_values!M333="Y")),AND(MID(B333,1,2)="40",NOT(input_values!M333="Y")),AND(MID(B333,1,2)="30",NOT(input_values!M333="Y"))),3,IF(OR(V333="&lt;25",B333&gt;1000000),1,IF((T333&gt;=S333),"2b","2a")))))</f>
        <v>1</v>
      </c>
      <c r="Y333" s="128">
        <f>IF(X333="ND","ND",IF(S333="","",IF(input_values!K333&gt;0,input_values!K333,IF(OR(X333=1,X333=3),1,IF((V333&gt;250),5,7)))))</f>
        <v>1</v>
      </c>
      <c r="Z333" s="345" t="str">
        <f t="shared" si="52"/>
        <v/>
      </c>
      <c r="AA333" s="332">
        <f t="shared" si="53"/>
        <v>0</v>
      </c>
      <c r="AB333" s="128">
        <f t="shared" ref="AB333:AB390" si="57">IF(OR(Y333=5,Y333=7,N333&gt;3),3,Y333)</f>
        <v>1</v>
      </c>
      <c r="AC333" s="345" t="str">
        <f t="shared" ref="AC333:AC390" si="58">IF(OR(ISTEXT(H333),H333=0),"",IF(OR(S333="ND",T333="ND"),"ND",1/$R333*($H333*$S333*AB333/1000)))</f>
        <v/>
      </c>
      <c r="AD333" s="332">
        <f t="shared" si="54"/>
        <v>0</v>
      </c>
      <c r="AE333" s="40" t="str">
        <f t="shared" ref="AE333:AE390" si="59">IF(AA333&gt;=1,AG333,"")</f>
        <v/>
      </c>
      <c r="AF333" s="40" t="str">
        <f t="shared" ref="AF333:AF390" si="60">IF(AD333&gt;=1,AH333,"")</f>
        <v/>
      </c>
      <c r="AG333" s="561" t="str">
        <f t="shared" si="55"/>
        <v/>
      </c>
      <c r="AH333" s="561" t="str">
        <f t="shared" ref="AH333:AH389" si="61">IF(OR(AC333=0,AC333="ND",AC333="",$C$5="not necessary"),"",1000*$C$5*R333/S333/AB333)</f>
        <v/>
      </c>
      <c r="AI333" s="576"/>
      <c r="AJ333" s="847"/>
    </row>
    <row r="334" spans="1:36" ht="12" customHeight="1" outlineLevel="3" x14ac:dyDescent="0.2">
      <c r="A334" s="39">
        <f>acute_overview_children!A334</f>
        <v>4</v>
      </c>
      <c r="B334" s="23">
        <f>acute_overview_children!B334</f>
        <v>1012020</v>
      </c>
      <c r="C334" s="23" t="s">
        <v>789</v>
      </c>
      <c r="D334" s="300">
        <f>Table22[[#This Row],[Level used for acute calculation]]</f>
        <v>4</v>
      </c>
      <c r="E334" s="302">
        <f>Table22[[#This Row],[MRL individual commodity]]</f>
        <v>0</v>
      </c>
      <c r="F334" s="451">
        <f>Table22[[#This Row],[Acute RA input value]]</f>
        <v>0</v>
      </c>
      <c r="G334" s="301" t="str">
        <f>Table22[[#This Row],[Acute RA label]]</f>
        <v/>
      </c>
      <c r="H334" s="303">
        <f>Table22[[#This Row],[Acute RA IESTI new input value]]</f>
        <v>0</v>
      </c>
      <c r="I334" s="301" t="str">
        <f>Table22[[#This Row],[Acute RA IESTI new label]]</f>
        <v/>
      </c>
      <c r="J334" s="65"/>
      <c r="K334" s="304">
        <f>Table22[[#This Row],[GAP under assessment]]</f>
        <v>0</v>
      </c>
      <c r="L334" s="304" t="str">
        <f>IF(input_values!$M334=0,"",input_values!$M334)</f>
        <v/>
      </c>
      <c r="M334" s="301" t="str">
        <f>IF(input_values!H334=0,"",input_values!H334)</f>
        <v/>
      </c>
      <c r="N334" s="304">
        <f>input_values!$K334</f>
        <v>0</v>
      </c>
      <c r="O334" s="339">
        <v>0.96960486322188455</v>
      </c>
      <c r="P334" s="128">
        <v>95</v>
      </c>
      <c r="Q334" s="346" t="s">
        <v>99</v>
      </c>
      <c r="R334" s="338">
        <v>65.8</v>
      </c>
      <c r="S334" s="338">
        <f t="shared" si="56"/>
        <v>63.8</v>
      </c>
      <c r="T334" s="305"/>
      <c r="U334" s="309"/>
      <c r="V334" s="305"/>
      <c r="W334" s="309"/>
      <c r="X334" s="460">
        <f>IF(V334="ND","ND",IF(S334="","",IF(OR(MID(C334,1,4)="milk",AND(MID(B334,1,2)="50",NOT(input_values!M334="Y")),AND(MID(B334,1,2)="40",NOT(input_values!M334="Y")),AND(MID(B334,1,2)="30",NOT(input_values!M334="Y"))),3,IF(OR(V334="&lt;25",B334&gt;1000000),1,IF((T334&gt;=S334),"2b","2a")))))</f>
        <v>1</v>
      </c>
      <c r="Y334" s="128">
        <f>IF(X334="ND","ND",IF(S334="","",IF(input_values!K334&gt;0,input_values!K334,IF(OR(X334=1,X334=3),1,IF((V334&gt;250),5,7)))))</f>
        <v>1</v>
      </c>
      <c r="Z334" s="345" t="str">
        <f t="shared" si="52"/>
        <v/>
      </c>
      <c r="AA334" s="332">
        <f t="shared" si="53"/>
        <v>0</v>
      </c>
      <c r="AB334" s="128">
        <f t="shared" si="57"/>
        <v>1</v>
      </c>
      <c r="AC334" s="345" t="str">
        <f t="shared" si="58"/>
        <v/>
      </c>
      <c r="AD334" s="332">
        <f t="shared" si="54"/>
        <v>0</v>
      </c>
      <c r="AE334" s="40" t="str">
        <f t="shared" si="59"/>
        <v/>
      </c>
      <c r="AF334" s="40" t="str">
        <f t="shared" si="60"/>
        <v/>
      </c>
      <c r="AG334" s="561" t="str">
        <f t="shared" si="55"/>
        <v/>
      </c>
      <c r="AH334" s="561" t="str">
        <f t="shared" si="61"/>
        <v/>
      </c>
      <c r="AI334" s="576"/>
      <c r="AJ334" s="847"/>
    </row>
    <row r="335" spans="1:36" ht="12" customHeight="1" outlineLevel="3" x14ac:dyDescent="0.2">
      <c r="A335" s="39">
        <f>acute_overview_children!A335</f>
        <v>4</v>
      </c>
      <c r="B335" s="23">
        <f>acute_overview_children!B335</f>
        <v>1012030</v>
      </c>
      <c r="C335" s="23" t="s">
        <v>194</v>
      </c>
      <c r="D335" s="300">
        <f>Table22[[#This Row],[Level used for acute calculation]]</f>
        <v>4</v>
      </c>
      <c r="E335" s="302">
        <f>Table22[[#This Row],[MRL individual commodity]]</f>
        <v>0</v>
      </c>
      <c r="F335" s="451">
        <f>Table22[[#This Row],[Acute RA input value]]</f>
        <v>0</v>
      </c>
      <c r="G335" s="301" t="str">
        <f>Table22[[#This Row],[Acute RA label]]</f>
        <v/>
      </c>
      <c r="H335" s="303">
        <f>Table22[[#This Row],[Acute RA IESTI new input value]]</f>
        <v>0</v>
      </c>
      <c r="I335" s="301" t="str">
        <f>Table22[[#This Row],[Acute RA IESTI new label]]</f>
        <v/>
      </c>
      <c r="J335" s="65"/>
      <c r="K335" s="304">
        <f>Table22[[#This Row],[GAP under assessment]]</f>
        <v>0</v>
      </c>
      <c r="L335" s="304" t="str">
        <f>IF(input_values!$M335=0,"",input_values!$M335)</f>
        <v/>
      </c>
      <c r="M335" s="301" t="str">
        <f>IF(input_values!H335=0,"",input_values!H335)</f>
        <v/>
      </c>
      <c r="N335" s="304">
        <f>input_values!$K335</f>
        <v>0</v>
      </c>
      <c r="O335" s="339">
        <v>4</v>
      </c>
      <c r="P335" s="128">
        <v>97.5</v>
      </c>
      <c r="Q335" s="346" t="s">
        <v>335</v>
      </c>
      <c r="R335" s="338">
        <v>76.38</v>
      </c>
      <c r="S335" s="338">
        <f t="shared" si="56"/>
        <v>305.52</v>
      </c>
      <c r="T335" s="305"/>
      <c r="U335" s="309"/>
      <c r="V335" s="305"/>
      <c r="W335" s="309"/>
      <c r="X335" s="460">
        <f>IF(V335="ND","ND",IF(S335="","",IF(OR(MID(C335,1,4)="milk",AND(MID(B335,1,2)="50",NOT(input_values!M335="Y")),AND(MID(B335,1,2)="40",NOT(input_values!M335="Y")),AND(MID(B335,1,2)="30",NOT(input_values!M335="Y"))),3,IF(OR(V335="&lt;25",B335&gt;1000000),1,IF((T335&gt;=S335),"2b","2a")))))</f>
        <v>1</v>
      </c>
      <c r="Y335" s="128">
        <f>IF(X335="ND","ND",IF(S335="","",IF(input_values!K335&gt;0,input_values!K335,IF(OR(X335=1,X335=3),1,IF((V335&gt;250),5,7)))))</f>
        <v>1</v>
      </c>
      <c r="Z335" s="345" t="str">
        <f t="shared" si="52"/>
        <v/>
      </c>
      <c r="AA335" s="332">
        <f t="shared" si="53"/>
        <v>0</v>
      </c>
      <c r="AB335" s="128">
        <f t="shared" si="57"/>
        <v>1</v>
      </c>
      <c r="AC335" s="345" t="str">
        <f t="shared" si="58"/>
        <v/>
      </c>
      <c r="AD335" s="332">
        <f t="shared" si="54"/>
        <v>0</v>
      </c>
      <c r="AE335" s="40" t="str">
        <f t="shared" si="59"/>
        <v/>
      </c>
      <c r="AF335" s="40" t="str">
        <f t="shared" si="60"/>
        <v/>
      </c>
      <c r="AG335" s="561" t="str">
        <f t="shared" si="55"/>
        <v/>
      </c>
      <c r="AH335" s="561" t="str">
        <f t="shared" si="61"/>
        <v/>
      </c>
      <c r="AI335" s="576"/>
      <c r="AJ335" s="847"/>
    </row>
    <row r="336" spans="1:36" ht="12" customHeight="1" outlineLevel="3" x14ac:dyDescent="0.2">
      <c r="A336" s="39">
        <f>acute_overview_children!A336</f>
        <v>4</v>
      </c>
      <c r="B336" s="23">
        <f>acute_overview_children!B336</f>
        <v>1012040</v>
      </c>
      <c r="C336" s="23" t="s">
        <v>195</v>
      </c>
      <c r="D336" s="300">
        <f>Table22[[#This Row],[Level used for acute calculation]]</f>
        <v>4</v>
      </c>
      <c r="E336" s="302">
        <f>Table22[[#This Row],[MRL individual commodity]]</f>
        <v>0</v>
      </c>
      <c r="F336" s="451">
        <f>Table22[[#This Row],[Acute RA input value]]</f>
        <v>0</v>
      </c>
      <c r="G336" s="301" t="str">
        <f>Table22[[#This Row],[Acute RA label]]</f>
        <v/>
      </c>
      <c r="H336" s="303">
        <f>Table22[[#This Row],[Acute RA IESTI new input value]]</f>
        <v>0</v>
      </c>
      <c r="I336" s="301" t="str">
        <f>Table22[[#This Row],[Acute RA IESTI new label]]</f>
        <v/>
      </c>
      <c r="J336" s="65"/>
      <c r="K336" s="304">
        <f>Table22[[#This Row],[GAP under assessment]]</f>
        <v>0</v>
      </c>
      <c r="L336" s="304" t="str">
        <f>IF(input_values!$M336=0,"",input_values!$M336)</f>
        <v/>
      </c>
      <c r="M336" s="301" t="str">
        <f>IF(input_values!H336=0,"",input_values!H336)</f>
        <v/>
      </c>
      <c r="N336" s="304">
        <f>input_values!$K336</f>
        <v>0</v>
      </c>
      <c r="O336" s="339">
        <v>2.1065830721003138</v>
      </c>
      <c r="P336" s="128">
        <v>97.5</v>
      </c>
      <c r="Q336" s="346" t="s">
        <v>100</v>
      </c>
      <c r="R336" s="338">
        <v>63.8</v>
      </c>
      <c r="S336" s="338">
        <f t="shared" si="56"/>
        <v>134.4</v>
      </c>
      <c r="T336" s="305"/>
      <c r="U336" s="309"/>
      <c r="V336" s="305"/>
      <c r="W336" s="309"/>
      <c r="X336" s="460">
        <f>IF(V336="ND","ND",IF(S336="","",IF(OR(MID(C336,1,4)="milk",AND(MID(B336,1,2)="50",NOT(input_values!M336="Y")),AND(MID(B336,1,2)="40",NOT(input_values!M336="Y")),AND(MID(B336,1,2)="30",NOT(input_values!M336="Y"))),3,IF(OR(V336="&lt;25",B336&gt;1000000),1,IF((T336&gt;=S336),"2b","2a")))))</f>
        <v>1</v>
      </c>
      <c r="Y336" s="128">
        <f>IF(X336="ND","ND",IF(S336="","",IF(input_values!K336&gt;0,input_values!K336,IF(OR(X336=1,X336=3),1,IF((V336&gt;250),5,7)))))</f>
        <v>1</v>
      </c>
      <c r="Z336" s="345" t="str">
        <f t="shared" si="52"/>
        <v/>
      </c>
      <c r="AA336" s="332">
        <f t="shared" si="53"/>
        <v>0</v>
      </c>
      <c r="AB336" s="128">
        <f t="shared" si="57"/>
        <v>1</v>
      </c>
      <c r="AC336" s="345" t="str">
        <f t="shared" si="58"/>
        <v/>
      </c>
      <c r="AD336" s="332">
        <f t="shared" si="54"/>
        <v>0</v>
      </c>
      <c r="AE336" s="40" t="str">
        <f t="shared" si="59"/>
        <v/>
      </c>
      <c r="AF336" s="40" t="str">
        <f t="shared" si="60"/>
        <v/>
      </c>
      <c r="AG336" s="561" t="str">
        <f t="shared" si="55"/>
        <v/>
      </c>
      <c r="AH336" s="561" t="str">
        <f t="shared" si="61"/>
        <v/>
      </c>
      <c r="AI336" s="576"/>
      <c r="AJ336" s="847"/>
    </row>
    <row r="337" spans="1:36" ht="12" customHeight="1" outlineLevel="3" x14ac:dyDescent="0.2">
      <c r="A337" s="39">
        <f>acute_overview_children!A337</f>
        <v>4</v>
      </c>
      <c r="B337" s="23">
        <f>acute_overview_children!B337</f>
        <v>1012050</v>
      </c>
      <c r="C337" s="23" t="s">
        <v>790</v>
      </c>
      <c r="D337" s="300">
        <f>Table22[[#This Row],[Level used for acute calculation]]</f>
        <v>4</v>
      </c>
      <c r="E337" s="302">
        <f>Table22[[#This Row],[MRL individual commodity]]</f>
        <v>0</v>
      </c>
      <c r="F337" s="451">
        <f>Table22[[#This Row],[Acute RA input value]]</f>
        <v>0</v>
      </c>
      <c r="G337" s="301" t="str">
        <f>Table22[[#This Row],[Acute RA label]]</f>
        <v/>
      </c>
      <c r="H337" s="303">
        <f>Table22[[#This Row],[Acute RA IESTI new input value]]</f>
        <v>0</v>
      </c>
      <c r="I337" s="301" t="str">
        <f>Table22[[#This Row],[Acute RA IESTI new label]]</f>
        <v/>
      </c>
      <c r="J337" s="65"/>
      <c r="K337" s="304">
        <f>Table22[[#This Row],[GAP under assessment]]</f>
        <v>0</v>
      </c>
      <c r="L337" s="304" t="str">
        <f>IF(input_values!$M337=0,"",input_values!$M337)</f>
        <v/>
      </c>
      <c r="M337" s="301" t="str">
        <f>IF(input_values!H337=0,"",input_values!H337)</f>
        <v/>
      </c>
      <c r="N337" s="304">
        <f>input_values!$K337</f>
        <v>0</v>
      </c>
      <c r="O337" s="339">
        <v>3.32</v>
      </c>
      <c r="P337" s="128">
        <v>90</v>
      </c>
      <c r="Q337" s="346" t="s">
        <v>313</v>
      </c>
      <c r="R337" s="338">
        <v>66.400000000000006</v>
      </c>
      <c r="S337" s="338">
        <f t="shared" si="56"/>
        <v>220.44800000000001</v>
      </c>
      <c r="T337" s="305"/>
      <c r="U337" s="309"/>
      <c r="V337" s="305"/>
      <c r="W337" s="309"/>
      <c r="X337" s="460">
        <f>IF(V337="ND","ND",IF(S337="","",IF(OR(MID(C337,1,4)="milk",AND(MID(B337,1,2)="50",NOT(input_values!M337="Y")),AND(MID(B337,1,2)="40",NOT(input_values!M337="Y")),AND(MID(B337,1,2)="30",NOT(input_values!M337="Y"))),3,IF(OR(V337="&lt;25",B337&gt;1000000),1,IF((T337&gt;=S337),"2b","2a")))))</f>
        <v>1</v>
      </c>
      <c r="Y337" s="128">
        <f>IF(X337="ND","ND",IF(S337="","",IF(input_values!K337&gt;0,input_values!K337,IF(OR(X337=1,X337=3),1,IF((V337&gt;250),5,7)))))</f>
        <v>1</v>
      </c>
      <c r="Z337" s="345" t="str">
        <f t="shared" si="52"/>
        <v/>
      </c>
      <c r="AA337" s="332">
        <f t="shared" si="53"/>
        <v>0</v>
      </c>
      <c r="AB337" s="128">
        <f t="shared" si="57"/>
        <v>1</v>
      </c>
      <c r="AC337" s="345" t="str">
        <f t="shared" si="58"/>
        <v/>
      </c>
      <c r="AD337" s="332">
        <f t="shared" si="54"/>
        <v>0</v>
      </c>
      <c r="AE337" s="40" t="str">
        <f t="shared" si="59"/>
        <v/>
      </c>
      <c r="AF337" s="40" t="str">
        <f t="shared" si="60"/>
        <v/>
      </c>
      <c r="AG337" s="561" t="str">
        <f t="shared" si="55"/>
        <v/>
      </c>
      <c r="AH337" s="561" t="str">
        <f t="shared" si="61"/>
        <v/>
      </c>
      <c r="AI337" s="576"/>
      <c r="AJ337" s="847"/>
    </row>
    <row r="338" spans="1:36" ht="12" customHeight="1" outlineLevel="3" x14ac:dyDescent="0.2">
      <c r="A338" s="39">
        <f>acute_overview_children!A338</f>
        <v>4</v>
      </c>
      <c r="B338" s="23">
        <f>acute_overview_children!B338</f>
        <v>1012990</v>
      </c>
      <c r="C338" s="23" t="s">
        <v>635</v>
      </c>
      <c r="D338" s="300">
        <f>Table22[[#This Row],[Level used for acute calculation]]</f>
        <v>4</v>
      </c>
      <c r="E338" s="302">
        <f>Table22[[#This Row],[MRL individual commodity]]</f>
        <v>0</v>
      </c>
      <c r="F338" s="451">
        <f>Table22[[#This Row],[Acute RA input value]]</f>
        <v>0</v>
      </c>
      <c r="G338" s="301" t="str">
        <f>Table22[[#This Row],[Acute RA label]]</f>
        <v/>
      </c>
      <c r="H338" s="303">
        <f>Table22[[#This Row],[Acute RA IESTI new input value]]</f>
        <v>0</v>
      </c>
      <c r="I338" s="301" t="str">
        <f>Table22[[#This Row],[Acute RA IESTI new label]]</f>
        <v/>
      </c>
      <c r="J338" s="65"/>
      <c r="K338" s="304">
        <f>Table22[[#This Row],[GAP under assessment]]</f>
        <v>0</v>
      </c>
      <c r="L338" s="304" t="str">
        <f>IF(input_values!$M338=0,"",input_values!$M338)</f>
        <v/>
      </c>
      <c r="M338" s="301" t="str">
        <f>IF(input_values!H338=0,"",input_values!H338)</f>
        <v/>
      </c>
      <c r="N338" s="304">
        <f>input_values!$K338</f>
        <v>0</v>
      </c>
      <c r="O338" s="339">
        <v>2</v>
      </c>
      <c r="P338" s="128">
        <v>95</v>
      </c>
      <c r="Q338" s="346" t="s">
        <v>334</v>
      </c>
      <c r="R338" s="339">
        <v>67.47</v>
      </c>
      <c r="S338" s="338">
        <f t="shared" si="56"/>
        <v>134.94</v>
      </c>
      <c r="T338" s="338"/>
      <c r="U338" s="339"/>
      <c r="V338" s="338"/>
      <c r="W338" s="339"/>
      <c r="X338" s="460">
        <f>IF(V338="ND","ND",IF(S338="","",IF(OR(MID(C338,1,4)="milk",AND(MID(B338,1,2)="50",NOT(input_values!M338="Y")),AND(MID(B338,1,2)="40",NOT(input_values!M338="Y")),AND(MID(B338,1,2)="30",NOT(input_values!M338="Y"))),3,IF(OR(V338="&lt;25",B338&gt;1000000),1,IF((T338&gt;=S338),"2b","2a")))))</f>
        <v>1</v>
      </c>
      <c r="Y338" s="128">
        <f>IF(X338="ND","ND",IF(S338="","",IF(input_values!K338&gt;0,input_values!K338,IF(OR(X338=1,X338=3),1,IF((V338&gt;250),5,7)))))</f>
        <v>1</v>
      </c>
      <c r="Z338" s="345" t="str">
        <f t="shared" si="52"/>
        <v/>
      </c>
      <c r="AA338" s="332">
        <f t="shared" si="53"/>
        <v>0</v>
      </c>
      <c r="AB338" s="128">
        <f t="shared" si="57"/>
        <v>1</v>
      </c>
      <c r="AC338" s="345" t="str">
        <f t="shared" si="58"/>
        <v/>
      </c>
      <c r="AD338" s="332">
        <f t="shared" si="54"/>
        <v>0</v>
      </c>
      <c r="AE338" s="40" t="str">
        <f t="shared" si="59"/>
        <v/>
      </c>
      <c r="AF338" s="40" t="str">
        <f t="shared" si="60"/>
        <v/>
      </c>
      <c r="AG338" s="561" t="str">
        <f t="shared" si="55"/>
        <v/>
      </c>
      <c r="AH338" s="561" t="str">
        <f t="shared" si="61"/>
        <v/>
      </c>
      <c r="AI338" s="576"/>
      <c r="AJ338" s="847"/>
    </row>
    <row r="339" spans="1:36" outlineLevel="2" x14ac:dyDescent="0.2">
      <c r="A339" s="133">
        <f>acute_overview_children!A339</f>
        <v>3</v>
      </c>
      <c r="B339" s="5">
        <f>acute_overview_children!B339</f>
        <v>1013000</v>
      </c>
      <c r="C339" s="5" t="s">
        <v>264</v>
      </c>
      <c r="D339" s="300">
        <f>Table22[[#This Row],[Level used for acute calculation]]</f>
        <v>4</v>
      </c>
      <c r="E339" s="302">
        <f>Table22[[#This Row],[MRL individual commodity]]</f>
        <v>0</v>
      </c>
      <c r="F339" s="451">
        <f>Table22[[#This Row],[Acute RA input value]]</f>
        <v>0</v>
      </c>
      <c r="G339" s="301">
        <f>Table22[[#This Row],[Acute RA label]]</f>
        <v>0</v>
      </c>
      <c r="H339" s="303">
        <f>Table22[[#This Row],[Acute RA IESTI new input value]]</f>
        <v>0</v>
      </c>
      <c r="I339" s="301">
        <f>Table22[[#This Row],[Acute RA IESTI new label]]</f>
        <v>0</v>
      </c>
      <c r="J339" s="65"/>
      <c r="K339" s="304">
        <f>Table22[[#This Row],[GAP under assessment]]</f>
        <v>0</v>
      </c>
      <c r="L339" s="304" t="str">
        <f>IF(input_values!$M339=0,"",input_values!$M339)</f>
        <v/>
      </c>
      <c r="M339" s="301" t="str">
        <f>IF(input_values!H339=0,"",input_values!H339)</f>
        <v/>
      </c>
      <c r="N339" s="304">
        <f>input_values!$K339</f>
        <v>0</v>
      </c>
      <c r="O339" s="309"/>
      <c r="P339" s="38"/>
      <c r="Q339" s="306"/>
      <c r="R339" s="309"/>
      <c r="S339" s="336" t="str">
        <f t="shared" si="56"/>
        <v/>
      </c>
      <c r="T339" s="305"/>
      <c r="U339" s="309"/>
      <c r="V339" s="305"/>
      <c r="W339" s="309"/>
      <c r="X339" s="611" t="str">
        <f>IF(V339="ND","ND",IF(S339="","",IF(OR(MID(C339,1,4)="milk",AND(MID(B339,1,2)="50",NOT(input_values!M339="Y")),AND(MID(B339,1,2)="40",NOT(input_values!M339="Y")),AND(MID(B339,1,2)="30",NOT(input_values!M339="Y"))),3,IF(OR(V339="&lt;25",B339&gt;1000000),1,IF((T339&gt;=S339),"2b","2a")))))</f>
        <v/>
      </c>
      <c r="Y339" s="38" t="str">
        <f>IF(X339="ND","ND",IF(S339="","",IF(input_values!K339&gt;0,input_values!K339,IF(OR(X339=1,X339=3),1,IF((V339&gt;250),5,7)))))</f>
        <v/>
      </c>
      <c r="Z339" s="335" t="str">
        <f t="shared" si="52"/>
        <v/>
      </c>
      <c r="AA339" s="311">
        <f t="shared" si="53"/>
        <v>0</v>
      </c>
      <c r="AB339" s="38" t="str">
        <f t="shared" si="57"/>
        <v/>
      </c>
      <c r="AC339" s="335" t="str">
        <f t="shared" si="58"/>
        <v/>
      </c>
      <c r="AD339" s="311">
        <f t="shared" si="54"/>
        <v>0</v>
      </c>
      <c r="AE339" s="344" t="str">
        <f t="shared" si="59"/>
        <v/>
      </c>
      <c r="AF339" s="344" t="str">
        <f t="shared" si="60"/>
        <v/>
      </c>
      <c r="AG339" s="561" t="str">
        <f t="shared" si="55"/>
        <v/>
      </c>
      <c r="AH339" s="561" t="str">
        <f t="shared" si="61"/>
        <v/>
      </c>
      <c r="AI339" s="576"/>
      <c r="AJ339" s="847"/>
    </row>
    <row r="340" spans="1:36" ht="12" customHeight="1" outlineLevel="3" x14ac:dyDescent="0.2">
      <c r="A340" s="39">
        <f>acute_overview_children!A340</f>
        <v>4</v>
      </c>
      <c r="B340" s="23">
        <f>acute_overview_children!B340</f>
        <v>1013010</v>
      </c>
      <c r="C340" s="23" t="s">
        <v>864</v>
      </c>
      <c r="D340" s="300">
        <f>Table22[[#This Row],[Level used for acute calculation]]</f>
        <v>4</v>
      </c>
      <c r="E340" s="302">
        <f>Table22[[#This Row],[MRL individual commodity]]</f>
        <v>0</v>
      </c>
      <c r="F340" s="451">
        <f>Table22[[#This Row],[Acute RA input value]]</f>
        <v>0</v>
      </c>
      <c r="G340" s="301" t="str">
        <f>Table22[[#This Row],[Acute RA label]]</f>
        <v/>
      </c>
      <c r="H340" s="303">
        <f>Table22[[#This Row],[Acute RA IESTI new input value]]</f>
        <v>0</v>
      </c>
      <c r="I340" s="301" t="str">
        <f>Table22[[#This Row],[Acute RA IESTI new label]]</f>
        <v/>
      </c>
      <c r="J340" s="65"/>
      <c r="K340" s="304">
        <f>Table22[[#This Row],[GAP under assessment]]</f>
        <v>0</v>
      </c>
      <c r="L340" s="304" t="str">
        <f>IF(input_values!$M340=0,"",input_values!$M340)</f>
        <v/>
      </c>
      <c r="M340" s="301" t="str">
        <f>IF(input_values!H340=0,"",input_values!H340)</f>
        <v/>
      </c>
      <c r="N340" s="304">
        <f>input_values!$K340</f>
        <v>0</v>
      </c>
      <c r="O340" s="339">
        <v>4.7350000000000003</v>
      </c>
      <c r="P340" s="128">
        <v>97.5</v>
      </c>
      <c r="Q340" s="346" t="s">
        <v>99</v>
      </c>
      <c r="R340" s="338">
        <v>65.8</v>
      </c>
      <c r="S340" s="338">
        <f t="shared" si="56"/>
        <v>311.56299999999999</v>
      </c>
      <c r="T340" s="305"/>
      <c r="U340" s="309"/>
      <c r="V340" s="305"/>
      <c r="W340" s="309"/>
      <c r="X340" s="460">
        <f>IF(V340="ND","ND",IF(S340="","",IF(OR(MID(C340,1,4)="milk",AND(MID(B340,1,2)="50",NOT(input_values!M340="Y")),AND(MID(B340,1,2)="40",NOT(input_values!M340="Y")),AND(MID(B340,1,2)="30",NOT(input_values!M340="Y"))),3,IF(OR(V340="&lt;25",B340&gt;1000000),1,IF((T340&gt;=S340),"2b","2a")))))</f>
        <v>1</v>
      </c>
      <c r="Y340" s="128">
        <f>IF(X340="ND","ND",IF(S340="","",IF(input_values!K340&gt;0,input_values!K340,IF(OR(X340=1,X340=3),1,IF((V340&gt;250),5,7)))))</f>
        <v>1</v>
      </c>
      <c r="Z340" s="345" t="str">
        <f t="shared" si="52"/>
        <v/>
      </c>
      <c r="AA340" s="332">
        <f t="shared" si="53"/>
        <v>0</v>
      </c>
      <c r="AB340" s="128">
        <f t="shared" si="57"/>
        <v>1</v>
      </c>
      <c r="AC340" s="345" t="str">
        <f t="shared" si="58"/>
        <v/>
      </c>
      <c r="AD340" s="332">
        <f t="shared" si="54"/>
        <v>0</v>
      </c>
      <c r="AE340" s="40" t="str">
        <f t="shared" si="59"/>
        <v/>
      </c>
      <c r="AF340" s="40" t="str">
        <f t="shared" si="60"/>
        <v/>
      </c>
      <c r="AG340" s="561" t="str">
        <f t="shared" si="55"/>
        <v/>
      </c>
      <c r="AH340" s="561" t="str">
        <f t="shared" si="61"/>
        <v/>
      </c>
      <c r="AI340" s="576"/>
      <c r="AJ340" s="847"/>
    </row>
    <row r="341" spans="1:36" ht="12" customHeight="1" outlineLevel="3" x14ac:dyDescent="0.2">
      <c r="A341" s="39">
        <f>acute_overview_children!A341</f>
        <v>4</v>
      </c>
      <c r="B341" s="23">
        <f>acute_overview_children!B341</f>
        <v>1013020</v>
      </c>
      <c r="C341" s="23" t="s">
        <v>791</v>
      </c>
      <c r="D341" s="300">
        <f>Table22[[#This Row],[Level used for acute calculation]]</f>
        <v>4</v>
      </c>
      <c r="E341" s="302">
        <f>Table22[[#This Row],[MRL individual commodity]]</f>
        <v>0</v>
      </c>
      <c r="F341" s="451">
        <f>Table22[[#This Row],[Acute RA input value]]</f>
        <v>0</v>
      </c>
      <c r="G341" s="301" t="str">
        <f>Table22[[#This Row],[Acute RA label]]</f>
        <v/>
      </c>
      <c r="H341" s="303">
        <f>Table22[[#This Row],[Acute RA IESTI new input value]]</f>
        <v>0</v>
      </c>
      <c r="I341" s="301" t="str">
        <f>Table22[[#This Row],[Acute RA IESTI new label]]</f>
        <v/>
      </c>
      <c r="J341" s="65"/>
      <c r="K341" s="304">
        <f>Table22[[#This Row],[GAP under assessment]]</f>
        <v>0</v>
      </c>
      <c r="L341" s="304" t="str">
        <f>IF(input_values!$M341=0,"",input_values!$M341)</f>
        <v/>
      </c>
      <c r="M341" s="301" t="str">
        <f>IF(input_values!H341=0,"",input_values!H341)</f>
        <v/>
      </c>
      <c r="N341" s="304">
        <f>input_values!$K341</f>
        <v>0</v>
      </c>
      <c r="O341" s="338" t="s">
        <v>618</v>
      </c>
      <c r="P341" s="128"/>
      <c r="Q341" s="346"/>
      <c r="R341" s="338"/>
      <c r="S341" s="338" t="str">
        <f t="shared" si="56"/>
        <v>ND</v>
      </c>
      <c r="T341" s="305"/>
      <c r="U341" s="309"/>
      <c r="V341" s="305"/>
      <c r="W341" s="309"/>
      <c r="X341" s="460">
        <f>IF(V341="ND","ND",IF(S341="","",IF(OR(MID(C341,1,4)="milk",AND(MID(B341,1,2)="50",NOT(input_values!M341="Y")),AND(MID(B341,1,2)="40",NOT(input_values!M341="Y")),AND(MID(B341,1,2)="30",NOT(input_values!M341="Y"))),3,IF(OR(V341="&lt;25",B341&gt;1000000),1,IF((T341&gt;=S341),"2b","2a")))))</f>
        <v>1</v>
      </c>
      <c r="Y341" s="128">
        <f>IF(X341="ND","ND",IF(S341="","",IF(input_values!K341&gt;0,input_values!K341,IF(OR(X341=1,X341=3),1,IF((V341&gt;250),5,7)))))</f>
        <v>1</v>
      </c>
      <c r="Z341" s="340" t="str">
        <f t="shared" si="52"/>
        <v/>
      </c>
      <c r="AA341" s="332">
        <f t="shared" si="53"/>
        <v>0</v>
      </c>
      <c r="AB341" s="128">
        <f t="shared" si="57"/>
        <v>1</v>
      </c>
      <c r="AC341" s="340" t="str">
        <f t="shared" si="58"/>
        <v/>
      </c>
      <c r="AD341" s="332">
        <f t="shared" si="54"/>
        <v>0</v>
      </c>
      <c r="AE341" s="37" t="str">
        <f t="shared" si="59"/>
        <v/>
      </c>
      <c r="AF341" s="37" t="str">
        <f t="shared" si="60"/>
        <v/>
      </c>
      <c r="AG341" s="561" t="str">
        <f t="shared" si="55"/>
        <v/>
      </c>
      <c r="AH341" s="561" t="str">
        <f t="shared" si="61"/>
        <v/>
      </c>
      <c r="AI341" s="576"/>
      <c r="AJ341" s="847"/>
    </row>
    <row r="342" spans="1:36" ht="12" customHeight="1" outlineLevel="3" x14ac:dyDescent="0.2">
      <c r="A342" s="39">
        <f>acute_overview_children!A342</f>
        <v>4</v>
      </c>
      <c r="B342" s="23">
        <f>acute_overview_children!B342</f>
        <v>1013030</v>
      </c>
      <c r="C342" s="23" t="s">
        <v>196</v>
      </c>
      <c r="D342" s="300">
        <f>Table22[[#This Row],[Level used for acute calculation]]</f>
        <v>4</v>
      </c>
      <c r="E342" s="302">
        <f>Table22[[#This Row],[MRL individual commodity]]</f>
        <v>0</v>
      </c>
      <c r="F342" s="451">
        <f>Table22[[#This Row],[Acute RA input value]]</f>
        <v>0</v>
      </c>
      <c r="G342" s="301" t="str">
        <f>Table22[[#This Row],[Acute RA label]]</f>
        <v/>
      </c>
      <c r="H342" s="303">
        <f>Table22[[#This Row],[Acute RA IESTI new input value]]</f>
        <v>0</v>
      </c>
      <c r="I342" s="301" t="str">
        <f>Table22[[#This Row],[Acute RA IESTI new label]]</f>
        <v/>
      </c>
      <c r="J342" s="65"/>
      <c r="K342" s="304">
        <f>Table22[[#This Row],[GAP under assessment]]</f>
        <v>0</v>
      </c>
      <c r="L342" s="304" t="str">
        <f>IF(input_values!$M342=0,"",input_values!$M342)</f>
        <v/>
      </c>
      <c r="M342" s="301" t="str">
        <f>IF(input_values!H342=0,"",input_values!H342)</f>
        <v/>
      </c>
      <c r="N342" s="304">
        <f>input_values!$K342</f>
        <v>0</v>
      </c>
      <c r="O342" s="338">
        <v>2.8</v>
      </c>
      <c r="P342" s="128">
        <v>100</v>
      </c>
      <c r="Q342" s="346" t="s">
        <v>334</v>
      </c>
      <c r="R342" s="338">
        <v>67.47</v>
      </c>
      <c r="S342" s="338">
        <f t="shared" si="56"/>
        <v>188.916</v>
      </c>
      <c r="T342" s="305"/>
      <c r="U342" s="309"/>
      <c r="V342" s="305"/>
      <c r="W342" s="309"/>
      <c r="X342" s="460">
        <f>IF(V342="ND","ND",IF(S342="","",IF(OR(MID(C342,1,4)="milk",AND(MID(B342,1,2)="50",NOT(input_values!M342="Y")),AND(MID(B342,1,2)="40",NOT(input_values!M342="Y")),AND(MID(B342,1,2)="30",NOT(input_values!M342="Y"))),3,IF(OR(V342="&lt;25",B342&gt;1000000),1,IF((T342&gt;=S342),"2b","2a")))))</f>
        <v>1</v>
      </c>
      <c r="Y342" s="128">
        <f>IF(X342="ND","ND",IF(S342="","",IF(input_values!K342&gt;0,input_values!K342,IF(OR(X342=1,X342=3),1,IF((V342&gt;250),5,7)))))</f>
        <v>1</v>
      </c>
      <c r="Z342" s="340" t="str">
        <f t="shared" si="52"/>
        <v/>
      </c>
      <c r="AA342" s="332">
        <f t="shared" si="53"/>
        <v>0</v>
      </c>
      <c r="AB342" s="128">
        <f t="shared" si="57"/>
        <v>1</v>
      </c>
      <c r="AC342" s="340" t="str">
        <f t="shared" si="58"/>
        <v/>
      </c>
      <c r="AD342" s="332">
        <f t="shared" si="54"/>
        <v>0</v>
      </c>
      <c r="AE342" s="37" t="str">
        <f t="shared" si="59"/>
        <v/>
      </c>
      <c r="AF342" s="37" t="str">
        <f t="shared" si="60"/>
        <v/>
      </c>
      <c r="AG342" s="561" t="str">
        <f t="shared" si="55"/>
        <v/>
      </c>
      <c r="AH342" s="561" t="str">
        <f t="shared" si="61"/>
        <v/>
      </c>
      <c r="AI342" s="576"/>
      <c r="AJ342" s="847"/>
    </row>
    <row r="343" spans="1:36" ht="12" customHeight="1" outlineLevel="3" x14ac:dyDescent="0.2">
      <c r="A343" s="39">
        <f>acute_overview_children!A343</f>
        <v>4</v>
      </c>
      <c r="B343" s="23">
        <f>acute_overview_children!B343</f>
        <v>1013040</v>
      </c>
      <c r="C343" s="23" t="s">
        <v>197</v>
      </c>
      <c r="D343" s="300">
        <f>Table22[[#This Row],[Level used for acute calculation]]</f>
        <v>4</v>
      </c>
      <c r="E343" s="302">
        <f>Table22[[#This Row],[MRL individual commodity]]</f>
        <v>0</v>
      </c>
      <c r="F343" s="451">
        <f>Table22[[#This Row],[Acute RA input value]]</f>
        <v>0</v>
      </c>
      <c r="G343" s="301" t="str">
        <f>Table22[[#This Row],[Acute RA label]]</f>
        <v/>
      </c>
      <c r="H343" s="303">
        <f>Table22[[#This Row],[Acute RA IESTI new input value]]</f>
        <v>0</v>
      </c>
      <c r="I343" s="301" t="str">
        <f>Table22[[#This Row],[Acute RA IESTI new label]]</f>
        <v/>
      </c>
      <c r="J343" s="65"/>
      <c r="K343" s="304">
        <f>Table22[[#This Row],[GAP under assessment]]</f>
        <v>0</v>
      </c>
      <c r="L343" s="304" t="str">
        <f>IF(input_values!$M343=0,"",input_values!$M343)</f>
        <v/>
      </c>
      <c r="M343" s="301" t="str">
        <f>IF(input_values!H343=0,"",input_values!H343)</f>
        <v/>
      </c>
      <c r="N343" s="304">
        <f>input_values!$K343</f>
        <v>0</v>
      </c>
      <c r="O343" s="338">
        <v>0.1</v>
      </c>
      <c r="P343" s="128">
        <v>100</v>
      </c>
      <c r="Q343" s="346" t="s">
        <v>335</v>
      </c>
      <c r="R343" s="338">
        <v>76.38</v>
      </c>
      <c r="S343" s="338">
        <f t="shared" si="56"/>
        <v>7.6379999999999999</v>
      </c>
      <c r="T343" s="305"/>
      <c r="U343" s="309"/>
      <c r="V343" s="305"/>
      <c r="W343" s="309"/>
      <c r="X343" s="460">
        <f>IF(V343="ND","ND",IF(S343="","",IF(OR(MID(C343,1,4)="milk",AND(MID(B343,1,2)="50",NOT(input_values!M343="Y")),AND(MID(B343,1,2)="40",NOT(input_values!M343="Y")),AND(MID(B343,1,2)="30",NOT(input_values!M343="Y"))),3,IF(OR(V343="&lt;25",B343&gt;1000000),1,IF((T343&gt;=S343),"2b","2a")))))</f>
        <v>1</v>
      </c>
      <c r="Y343" s="128">
        <f>IF(X343="ND","ND",IF(S343="","",IF(input_values!K343&gt;0,input_values!K343,IF(OR(X343=1,X343=3),1,IF((V343&gt;250),5,7)))))</f>
        <v>1</v>
      </c>
      <c r="Z343" s="340" t="str">
        <f t="shared" si="52"/>
        <v/>
      </c>
      <c r="AA343" s="332">
        <f t="shared" si="53"/>
        <v>0</v>
      </c>
      <c r="AB343" s="128">
        <f t="shared" si="57"/>
        <v>1</v>
      </c>
      <c r="AC343" s="340" t="str">
        <f t="shared" si="58"/>
        <v/>
      </c>
      <c r="AD343" s="332">
        <f t="shared" si="54"/>
        <v>0</v>
      </c>
      <c r="AE343" s="37" t="str">
        <f t="shared" si="59"/>
        <v/>
      </c>
      <c r="AF343" s="37" t="str">
        <f t="shared" si="60"/>
        <v/>
      </c>
      <c r="AG343" s="561" t="str">
        <f t="shared" si="55"/>
        <v/>
      </c>
      <c r="AH343" s="561" t="str">
        <f t="shared" si="61"/>
        <v/>
      </c>
      <c r="AI343" s="576"/>
      <c r="AJ343" s="847"/>
    </row>
    <row r="344" spans="1:36" ht="12" customHeight="1" outlineLevel="3" x14ac:dyDescent="0.2">
      <c r="A344" s="39">
        <f>acute_overview_children!A344</f>
        <v>4</v>
      </c>
      <c r="B344" s="23">
        <f>acute_overview_children!B344</f>
        <v>1013050</v>
      </c>
      <c r="C344" s="23" t="s">
        <v>794</v>
      </c>
      <c r="D344" s="300">
        <f>Table22[[#This Row],[Level used for acute calculation]]</f>
        <v>4</v>
      </c>
      <c r="E344" s="302">
        <f>Table22[[#This Row],[MRL individual commodity]]</f>
        <v>0</v>
      </c>
      <c r="F344" s="451">
        <f>Table22[[#This Row],[Acute RA input value]]</f>
        <v>0</v>
      </c>
      <c r="G344" s="301" t="str">
        <f>Table22[[#This Row],[Acute RA label]]</f>
        <v/>
      </c>
      <c r="H344" s="303">
        <f>Table22[[#This Row],[Acute RA IESTI new input value]]</f>
        <v>0</v>
      </c>
      <c r="I344" s="301" t="str">
        <f>Table22[[#This Row],[Acute RA IESTI new label]]</f>
        <v/>
      </c>
      <c r="J344" s="65"/>
      <c r="K344" s="304">
        <f>Table22[[#This Row],[GAP under assessment]]</f>
        <v>0</v>
      </c>
      <c r="L344" s="304" t="str">
        <f>IF(input_values!$M344=0,"",input_values!$M344)</f>
        <v/>
      </c>
      <c r="M344" s="301" t="str">
        <f>IF(input_values!H344=0,"",input_values!H344)</f>
        <v/>
      </c>
      <c r="N344" s="304">
        <f>input_values!$K344</f>
        <v>0</v>
      </c>
      <c r="O344" s="338">
        <v>0.68484042553191482</v>
      </c>
      <c r="P344" s="128">
        <v>97.5</v>
      </c>
      <c r="Q344" s="346" t="s">
        <v>253</v>
      </c>
      <c r="R344" s="338">
        <v>75.2</v>
      </c>
      <c r="S344" s="338">
        <f t="shared" si="56"/>
        <v>51.499999999999993</v>
      </c>
      <c r="T344" s="305"/>
      <c r="U344" s="309"/>
      <c r="V344" s="305"/>
      <c r="W344" s="309"/>
      <c r="X344" s="460">
        <f>IF(V344="ND","ND",IF(S344="","",IF(OR(MID(C344,1,4)="milk",AND(MID(B344,1,2)="50",NOT(input_values!M344="Y")),AND(MID(B344,1,2)="40",NOT(input_values!M344="Y")),AND(MID(B344,1,2)="30",NOT(input_values!M344="Y"))),3,IF(OR(V344="&lt;25",B344&gt;1000000),1,IF((T344&gt;=S344),"2b","2a")))))</f>
        <v>1</v>
      </c>
      <c r="Y344" s="128">
        <f>IF(X344="ND","ND",IF(S344="","",IF(input_values!K344&gt;0,input_values!K344,IF(OR(X344=1,X344=3),1,IF((V344&gt;250),5,7)))))</f>
        <v>1</v>
      </c>
      <c r="Z344" s="340" t="str">
        <f t="shared" si="52"/>
        <v/>
      </c>
      <c r="AA344" s="332">
        <f t="shared" si="53"/>
        <v>0</v>
      </c>
      <c r="AB344" s="128">
        <f t="shared" si="57"/>
        <v>1</v>
      </c>
      <c r="AC344" s="340" t="str">
        <f t="shared" si="58"/>
        <v/>
      </c>
      <c r="AD344" s="332">
        <f t="shared" si="54"/>
        <v>0</v>
      </c>
      <c r="AE344" s="37" t="str">
        <f t="shared" si="59"/>
        <v/>
      </c>
      <c r="AF344" s="37" t="str">
        <f t="shared" si="60"/>
        <v/>
      </c>
      <c r="AG344" s="561" t="str">
        <f t="shared" si="55"/>
        <v/>
      </c>
      <c r="AH344" s="561" t="str">
        <f t="shared" si="61"/>
        <v/>
      </c>
      <c r="AI344" s="576"/>
      <c r="AJ344" s="847"/>
    </row>
    <row r="345" spans="1:36" ht="12" customHeight="1" outlineLevel="3" x14ac:dyDescent="0.2">
      <c r="A345" s="39">
        <f>acute_overview_children!A345</f>
        <v>4</v>
      </c>
      <c r="B345" s="23">
        <f>acute_overview_children!B345</f>
        <v>1013990</v>
      </c>
      <c r="C345" s="23" t="s">
        <v>636</v>
      </c>
      <c r="D345" s="300">
        <f>Table22[[#This Row],[Level used for acute calculation]]</f>
        <v>0</v>
      </c>
      <c r="E345" s="302">
        <f>Table22[[#This Row],[MRL individual commodity]]</f>
        <v>0</v>
      </c>
      <c r="F345" s="451">
        <f>Table22[[#This Row],[Acute RA input value]]</f>
        <v>0</v>
      </c>
      <c r="G345" s="301">
        <f>Table22[[#This Row],[Acute RA label]]</f>
        <v>0</v>
      </c>
      <c r="H345" s="303">
        <f>Table22[[#This Row],[Acute RA IESTI new input value]]</f>
        <v>0</v>
      </c>
      <c r="I345" s="301">
        <f>Table22[[#This Row],[Acute RA IESTI new label]]</f>
        <v>0</v>
      </c>
      <c r="J345" s="65"/>
      <c r="K345" s="304">
        <f>Table22[[#This Row],[GAP under assessment]]</f>
        <v>0</v>
      </c>
      <c r="L345" s="304" t="str">
        <f>IF(input_values!$M345=0,"",input_values!$M345)</f>
        <v/>
      </c>
      <c r="M345" s="301" t="str">
        <f>IF(input_values!H345=0,"",input_values!H345)</f>
        <v/>
      </c>
      <c r="N345" s="304">
        <f>input_values!$K345</f>
        <v>0</v>
      </c>
      <c r="O345" s="309"/>
      <c r="P345" s="38"/>
      <c r="Q345" s="306"/>
      <c r="R345" s="309"/>
      <c r="S345" s="336" t="str">
        <f t="shared" si="56"/>
        <v/>
      </c>
      <c r="T345" s="305"/>
      <c r="U345" s="309"/>
      <c r="V345" s="305"/>
      <c r="W345" s="309"/>
      <c r="X345" s="611" t="str">
        <f>IF(V345="ND","ND",IF(S345="","",IF(OR(MID(C345,1,4)="milk",AND(MID(B345,1,2)="50",NOT(input_values!M345="Y")),AND(MID(B345,1,2)="40",NOT(input_values!M345="Y")),AND(MID(B345,1,2)="30",NOT(input_values!M345="Y"))),3,IF(OR(V345="&lt;25",B345&gt;1000000),1,IF((T345&gt;=S345),"2b","2a")))))</f>
        <v/>
      </c>
      <c r="Y345" s="38" t="str">
        <f>IF(X345="ND","ND",IF(S345="","",IF(input_values!K345&gt;0,input_values!K345,IF(OR(X345=1,X345=3),1,IF((V345&gt;250),5,7)))))</f>
        <v/>
      </c>
      <c r="Z345" s="335" t="str">
        <f t="shared" si="52"/>
        <v/>
      </c>
      <c r="AA345" s="311">
        <f t="shared" si="53"/>
        <v>0</v>
      </c>
      <c r="AB345" s="38" t="str">
        <f t="shared" si="57"/>
        <v/>
      </c>
      <c r="AC345" s="335" t="str">
        <f t="shared" si="58"/>
        <v/>
      </c>
      <c r="AD345" s="311">
        <f t="shared" si="54"/>
        <v>0</v>
      </c>
      <c r="AE345" s="344" t="str">
        <f t="shared" si="59"/>
        <v/>
      </c>
      <c r="AF345" s="344" t="str">
        <f t="shared" si="60"/>
        <v/>
      </c>
      <c r="AG345" s="561" t="str">
        <f t="shared" si="55"/>
        <v/>
      </c>
      <c r="AH345" s="561" t="str">
        <f t="shared" si="61"/>
        <v/>
      </c>
      <c r="AI345" s="576"/>
      <c r="AJ345" s="847"/>
    </row>
    <row r="346" spans="1:36" outlineLevel="2" x14ac:dyDescent="0.2">
      <c r="A346" s="133">
        <f>acute_overview_children!A346</f>
        <v>3</v>
      </c>
      <c r="B346" s="5">
        <f>acute_overview_children!B346</f>
        <v>1014000</v>
      </c>
      <c r="C346" s="5" t="s">
        <v>198</v>
      </c>
      <c r="D346" s="300">
        <f>Table22[[#This Row],[Level used for acute calculation]]</f>
        <v>4</v>
      </c>
      <c r="E346" s="302">
        <f>Table22[[#This Row],[MRL individual commodity]]</f>
        <v>0</v>
      </c>
      <c r="F346" s="451">
        <f>Table22[[#This Row],[Acute RA input value]]</f>
        <v>0</v>
      </c>
      <c r="G346" s="301">
        <f>Table22[[#This Row],[Acute RA label]]</f>
        <v>0</v>
      </c>
      <c r="H346" s="303">
        <f>Table22[[#This Row],[Acute RA IESTI new input value]]</f>
        <v>0</v>
      </c>
      <c r="I346" s="301">
        <f>Table22[[#This Row],[Acute RA IESTI new label]]</f>
        <v>0</v>
      </c>
      <c r="J346" s="65"/>
      <c r="K346" s="304">
        <f>Table22[[#This Row],[GAP under assessment]]</f>
        <v>0</v>
      </c>
      <c r="L346" s="304" t="str">
        <f>IF(input_values!$M346=0,"",input_values!$M346)</f>
        <v/>
      </c>
      <c r="M346" s="301" t="str">
        <f>IF(input_values!H346=0,"",input_values!H346)</f>
        <v/>
      </c>
      <c r="N346" s="304">
        <f>input_values!$K346</f>
        <v>0</v>
      </c>
      <c r="O346" s="309"/>
      <c r="P346" s="38"/>
      <c r="Q346" s="306"/>
      <c r="R346" s="309"/>
      <c r="S346" s="336" t="str">
        <f t="shared" si="56"/>
        <v/>
      </c>
      <c r="T346" s="305"/>
      <c r="U346" s="309"/>
      <c r="V346" s="305"/>
      <c r="W346" s="309"/>
      <c r="X346" s="611" t="str">
        <f>IF(V346="ND","ND",IF(S346="","",IF(OR(MID(C346,1,4)="milk",AND(MID(B346,1,2)="50",NOT(input_values!M346="Y")),AND(MID(B346,1,2)="40",NOT(input_values!M346="Y")),AND(MID(B346,1,2)="30",NOT(input_values!M346="Y"))),3,IF(OR(V346="&lt;25",B346&gt;1000000),1,IF((T346&gt;=S346),"2b","2a")))))</f>
        <v/>
      </c>
      <c r="Y346" s="38" t="str">
        <f>IF(X346="ND","ND",IF(S346="","",IF(input_values!K346&gt;0,input_values!K346,IF(OR(X346=1,X346=3),1,IF((V346&gt;250),5,7)))))</f>
        <v/>
      </c>
      <c r="Z346" s="335" t="str">
        <f t="shared" si="52"/>
        <v/>
      </c>
      <c r="AA346" s="311">
        <f t="shared" si="53"/>
        <v>0</v>
      </c>
      <c r="AB346" s="38" t="str">
        <f t="shared" si="57"/>
        <v/>
      </c>
      <c r="AC346" s="335" t="str">
        <f t="shared" si="58"/>
        <v/>
      </c>
      <c r="AD346" s="311">
        <f t="shared" si="54"/>
        <v>0</v>
      </c>
      <c r="AE346" s="344" t="str">
        <f t="shared" si="59"/>
        <v/>
      </c>
      <c r="AF346" s="344" t="str">
        <f t="shared" si="60"/>
        <v/>
      </c>
      <c r="AG346" s="561" t="str">
        <f t="shared" si="55"/>
        <v/>
      </c>
      <c r="AH346" s="561" t="str">
        <f t="shared" si="61"/>
        <v/>
      </c>
      <c r="AI346" s="576"/>
      <c r="AJ346" s="847"/>
    </row>
    <row r="347" spans="1:36" ht="12" customHeight="1" outlineLevel="3" x14ac:dyDescent="0.2">
      <c r="A347" s="39">
        <f>acute_overview_children!A347</f>
        <v>4</v>
      </c>
      <c r="B347" s="23">
        <f>acute_overview_children!B347</f>
        <v>1014010</v>
      </c>
      <c r="C347" s="23" t="s">
        <v>659</v>
      </c>
      <c r="D347" s="300">
        <f>Table22[[#This Row],[Level used for acute calculation]]</f>
        <v>4</v>
      </c>
      <c r="E347" s="302">
        <f>Table22[[#This Row],[MRL individual commodity]]</f>
        <v>0</v>
      </c>
      <c r="F347" s="451">
        <f>Table22[[#This Row],[Acute RA input value]]</f>
        <v>0</v>
      </c>
      <c r="G347" s="301" t="str">
        <f>Table22[[#This Row],[Acute RA label]]</f>
        <v/>
      </c>
      <c r="H347" s="303">
        <f>Table22[[#This Row],[Acute RA IESTI new input value]]</f>
        <v>0</v>
      </c>
      <c r="I347" s="301" t="str">
        <f>Table22[[#This Row],[Acute RA IESTI new label]]</f>
        <v/>
      </c>
      <c r="J347" s="65"/>
      <c r="K347" s="304">
        <f>Table22[[#This Row],[GAP under assessment]]</f>
        <v>0</v>
      </c>
      <c r="L347" s="304" t="str">
        <f>IF(input_values!$M347=0,"",input_values!$M347)</f>
        <v/>
      </c>
      <c r="M347" s="301" t="str">
        <f>IF(input_values!H347=0,"",input_values!H347)</f>
        <v/>
      </c>
      <c r="N347" s="304">
        <f>input_values!$K347</f>
        <v>0</v>
      </c>
      <c r="O347" s="338">
        <v>1.5615000000000001</v>
      </c>
      <c r="P347" s="128">
        <v>97.5</v>
      </c>
      <c r="Q347" s="346" t="s">
        <v>0</v>
      </c>
      <c r="R347" s="338">
        <v>68.48</v>
      </c>
      <c r="S347" s="338">
        <f t="shared" si="56"/>
        <v>106.93152000000002</v>
      </c>
      <c r="T347" s="305"/>
      <c r="U347" s="309"/>
      <c r="V347" s="305"/>
      <c r="W347" s="309"/>
      <c r="X347" s="460">
        <f>IF(V347="ND","ND",IF(S347="","",IF(OR(MID(C347,1,4)="milk",AND(MID(B347,1,2)="50",NOT(input_values!M347="Y")),AND(MID(B347,1,2)="40",NOT(input_values!M347="Y")),AND(MID(B347,1,2)="30",NOT(input_values!M347="Y"))),3,IF(OR(V347="&lt;25",B347&gt;1000000),1,IF((T347&gt;=S347),"2b","2a")))))</f>
        <v>1</v>
      </c>
      <c r="Y347" s="128">
        <f>IF(X347="ND","ND",IF(S347="","",IF(input_values!K347&gt;0,input_values!K347,IF(OR(X347=1,X347=3),1,IF((V347&gt;250),5,7)))))</f>
        <v>1</v>
      </c>
      <c r="Z347" s="340" t="str">
        <f t="shared" si="52"/>
        <v/>
      </c>
      <c r="AA347" s="332">
        <f t="shared" si="53"/>
        <v>0</v>
      </c>
      <c r="AB347" s="128">
        <f t="shared" si="57"/>
        <v>1</v>
      </c>
      <c r="AC347" s="340" t="str">
        <f t="shared" si="58"/>
        <v/>
      </c>
      <c r="AD347" s="332">
        <f t="shared" si="54"/>
        <v>0</v>
      </c>
      <c r="AE347" s="37" t="str">
        <f t="shared" si="59"/>
        <v/>
      </c>
      <c r="AF347" s="37" t="str">
        <f t="shared" si="60"/>
        <v/>
      </c>
      <c r="AG347" s="561" t="str">
        <f t="shared" si="55"/>
        <v/>
      </c>
      <c r="AH347" s="561" t="str">
        <f t="shared" si="61"/>
        <v/>
      </c>
      <c r="AI347" s="576"/>
      <c r="AJ347" s="847"/>
    </row>
    <row r="348" spans="1:36" ht="12" customHeight="1" outlineLevel="3" x14ac:dyDescent="0.2">
      <c r="A348" s="39">
        <f>acute_overview_children!A348</f>
        <v>4</v>
      </c>
      <c r="B348" s="23">
        <f>acute_overview_children!B348</f>
        <v>1014020</v>
      </c>
      <c r="C348" s="23" t="s">
        <v>792</v>
      </c>
      <c r="D348" s="300">
        <f>Table22[[#This Row],[Level used for acute calculation]]</f>
        <v>4</v>
      </c>
      <c r="E348" s="302">
        <f>Table22[[#This Row],[MRL individual commodity]]</f>
        <v>0</v>
      </c>
      <c r="F348" s="451">
        <f>Table22[[#This Row],[Acute RA input value]]</f>
        <v>0</v>
      </c>
      <c r="G348" s="301" t="str">
        <f>Table22[[#This Row],[Acute RA label]]</f>
        <v/>
      </c>
      <c r="H348" s="303">
        <f>Table22[[#This Row],[Acute RA IESTI new input value]]</f>
        <v>0</v>
      </c>
      <c r="I348" s="301" t="str">
        <f>Table22[[#This Row],[Acute RA IESTI new label]]</f>
        <v/>
      </c>
      <c r="J348" s="65"/>
      <c r="K348" s="304">
        <f>Table22[[#This Row],[GAP under assessment]]</f>
        <v>0</v>
      </c>
      <c r="L348" s="304" t="str">
        <f>IF(input_values!$M348=0,"",input_values!$M348)</f>
        <v/>
      </c>
      <c r="M348" s="301" t="str">
        <f>IF(input_values!H348=0,"",input_values!H348)</f>
        <v/>
      </c>
      <c r="N348" s="304">
        <f>input_values!$K348</f>
        <v>0</v>
      </c>
      <c r="O348" s="338" t="s">
        <v>618</v>
      </c>
      <c r="P348" s="128"/>
      <c r="Q348" s="346"/>
      <c r="R348" s="338"/>
      <c r="S348" s="338" t="str">
        <f t="shared" si="56"/>
        <v>ND</v>
      </c>
      <c r="T348" s="305"/>
      <c r="U348" s="309"/>
      <c r="V348" s="305"/>
      <c r="W348" s="309"/>
      <c r="X348" s="460">
        <f>IF(V348="ND","ND",IF(S348="","",IF(OR(MID(C348,1,4)="milk",AND(MID(B348,1,2)="50",NOT(input_values!M348="Y")),AND(MID(B348,1,2)="40",NOT(input_values!M348="Y")),AND(MID(B348,1,2)="30",NOT(input_values!M348="Y"))),3,IF(OR(V348="&lt;25",B348&gt;1000000),1,IF((T348&gt;=S348),"2b","2a")))))</f>
        <v>1</v>
      </c>
      <c r="Y348" s="128">
        <f>IF(X348="ND","ND",IF(S348="","",IF(input_values!K348&gt;0,input_values!K348,IF(OR(X348=1,X348=3),1,IF((V348&gt;250),5,7)))))</f>
        <v>1</v>
      </c>
      <c r="Z348" s="340" t="str">
        <f t="shared" si="52"/>
        <v/>
      </c>
      <c r="AA348" s="332">
        <f t="shared" si="53"/>
        <v>0</v>
      </c>
      <c r="AB348" s="128">
        <f t="shared" si="57"/>
        <v>1</v>
      </c>
      <c r="AC348" s="340" t="str">
        <f t="shared" si="58"/>
        <v/>
      </c>
      <c r="AD348" s="332">
        <f t="shared" si="54"/>
        <v>0</v>
      </c>
      <c r="AE348" s="37" t="str">
        <f t="shared" si="59"/>
        <v/>
      </c>
      <c r="AF348" s="37" t="str">
        <f t="shared" si="60"/>
        <v/>
      </c>
      <c r="AG348" s="561" t="str">
        <f t="shared" si="55"/>
        <v/>
      </c>
      <c r="AH348" s="561" t="str">
        <f t="shared" si="61"/>
        <v/>
      </c>
      <c r="AI348" s="576"/>
      <c r="AJ348" s="847"/>
    </row>
    <row r="349" spans="1:36" ht="12" customHeight="1" outlineLevel="3" x14ac:dyDescent="0.2">
      <c r="A349" s="39">
        <f>acute_overview_children!A349</f>
        <v>4</v>
      </c>
      <c r="B349" s="23">
        <f>acute_overview_children!B349</f>
        <v>1014030</v>
      </c>
      <c r="C349" s="23" t="s">
        <v>199</v>
      </c>
      <c r="D349" s="300">
        <f>Table22[[#This Row],[Level used for acute calculation]]</f>
        <v>4</v>
      </c>
      <c r="E349" s="302">
        <f>Table22[[#This Row],[MRL individual commodity]]</f>
        <v>0</v>
      </c>
      <c r="F349" s="451">
        <f>Table22[[#This Row],[Acute RA input value]]</f>
        <v>0</v>
      </c>
      <c r="G349" s="301" t="str">
        <f>Table22[[#This Row],[Acute RA label]]</f>
        <v/>
      </c>
      <c r="H349" s="303">
        <f>Table22[[#This Row],[Acute RA IESTI new input value]]</f>
        <v>0</v>
      </c>
      <c r="I349" s="301" t="str">
        <f>Table22[[#This Row],[Acute RA IESTI new label]]</f>
        <v/>
      </c>
      <c r="J349" s="65"/>
      <c r="K349" s="304">
        <f>Table22[[#This Row],[GAP under assessment]]</f>
        <v>0</v>
      </c>
      <c r="L349" s="304" t="str">
        <f>IF(input_values!$M349=0,"",input_values!$M349)</f>
        <v/>
      </c>
      <c r="M349" s="301" t="str">
        <f>IF(input_values!H349=0,"",input_values!H349)</f>
        <v/>
      </c>
      <c r="N349" s="304">
        <f>input_values!$K349</f>
        <v>0</v>
      </c>
      <c r="O349" s="338" t="s">
        <v>618</v>
      </c>
      <c r="P349" s="128"/>
      <c r="Q349" s="346"/>
      <c r="R349" s="338"/>
      <c r="S349" s="338" t="str">
        <f t="shared" si="56"/>
        <v>ND</v>
      </c>
      <c r="T349" s="305"/>
      <c r="U349" s="309"/>
      <c r="V349" s="305"/>
      <c r="W349" s="309"/>
      <c r="X349" s="460">
        <f>IF(V349="ND","ND",IF(S349="","",IF(OR(MID(C349,1,4)="milk",AND(MID(B349,1,2)="50",NOT(input_values!M349="Y")),AND(MID(B349,1,2)="40",NOT(input_values!M349="Y")),AND(MID(B349,1,2)="30",NOT(input_values!M349="Y"))),3,IF(OR(V349="&lt;25",B349&gt;1000000),1,IF((T349&gt;=S349),"2b","2a")))))</f>
        <v>1</v>
      </c>
      <c r="Y349" s="128">
        <f>IF(X349="ND","ND",IF(S349="","",IF(input_values!K349&gt;0,input_values!K349,IF(OR(X349=1,X349=3),1,IF((V349&gt;250),5,7)))))</f>
        <v>1</v>
      </c>
      <c r="Z349" s="340" t="str">
        <f t="shared" si="52"/>
        <v/>
      </c>
      <c r="AA349" s="332">
        <f t="shared" si="53"/>
        <v>0</v>
      </c>
      <c r="AB349" s="128">
        <f t="shared" si="57"/>
        <v>1</v>
      </c>
      <c r="AC349" s="340" t="str">
        <f t="shared" si="58"/>
        <v/>
      </c>
      <c r="AD349" s="332">
        <f t="shared" si="54"/>
        <v>0</v>
      </c>
      <c r="AE349" s="37" t="str">
        <f t="shared" si="59"/>
        <v/>
      </c>
      <c r="AF349" s="37" t="str">
        <f t="shared" si="60"/>
        <v/>
      </c>
      <c r="AG349" s="561" t="str">
        <f t="shared" si="55"/>
        <v/>
      </c>
      <c r="AH349" s="561" t="str">
        <f t="shared" si="61"/>
        <v/>
      </c>
      <c r="AI349" s="576"/>
      <c r="AJ349" s="847"/>
    </row>
    <row r="350" spans="1:36" ht="12" customHeight="1" outlineLevel="3" x14ac:dyDescent="0.2">
      <c r="A350" s="39">
        <f>acute_overview_children!A350</f>
        <v>4</v>
      </c>
      <c r="B350" s="23">
        <f>acute_overview_children!B350</f>
        <v>1014040</v>
      </c>
      <c r="C350" s="23" t="s">
        <v>200</v>
      </c>
      <c r="D350" s="300">
        <f>Table22[[#This Row],[Level used for acute calculation]]</f>
        <v>4</v>
      </c>
      <c r="E350" s="302">
        <f>Table22[[#This Row],[MRL individual commodity]]</f>
        <v>0</v>
      </c>
      <c r="F350" s="451">
        <f>Table22[[#This Row],[Acute RA input value]]</f>
        <v>0</v>
      </c>
      <c r="G350" s="301" t="str">
        <f>Table22[[#This Row],[Acute RA label]]</f>
        <v/>
      </c>
      <c r="H350" s="303">
        <f>Table22[[#This Row],[Acute RA IESTI new input value]]</f>
        <v>0</v>
      </c>
      <c r="I350" s="301" t="str">
        <f>Table22[[#This Row],[Acute RA IESTI new label]]</f>
        <v/>
      </c>
      <c r="J350" s="65"/>
      <c r="K350" s="304">
        <f>Table22[[#This Row],[GAP under assessment]]</f>
        <v>0</v>
      </c>
      <c r="L350" s="304" t="str">
        <f>IF(input_values!$M350=0,"",input_values!$M350)</f>
        <v/>
      </c>
      <c r="M350" s="301" t="str">
        <f>IF(input_values!H350=0,"",input_values!H350)</f>
        <v/>
      </c>
      <c r="N350" s="304">
        <f>input_values!$K350</f>
        <v>0</v>
      </c>
      <c r="O350" s="338" t="s">
        <v>618</v>
      </c>
      <c r="P350" s="128"/>
      <c r="Q350" s="346"/>
      <c r="R350" s="338"/>
      <c r="S350" s="338" t="str">
        <f t="shared" si="56"/>
        <v>ND</v>
      </c>
      <c r="T350" s="305"/>
      <c r="U350" s="309"/>
      <c r="V350" s="305"/>
      <c r="W350" s="309"/>
      <c r="X350" s="460">
        <f>IF(V350="ND","ND",IF(S350="","",IF(OR(MID(C350,1,4)="milk",AND(MID(B350,1,2)="50",NOT(input_values!M350="Y")),AND(MID(B350,1,2)="40",NOT(input_values!M350="Y")),AND(MID(B350,1,2)="30",NOT(input_values!M350="Y"))),3,IF(OR(V350="&lt;25",B350&gt;1000000),1,IF((T350&gt;=S350),"2b","2a")))))</f>
        <v>1</v>
      </c>
      <c r="Y350" s="128">
        <f>IF(X350="ND","ND",IF(S350="","",IF(input_values!K350&gt;0,input_values!K350,IF(OR(X350=1,X350=3),1,IF((V350&gt;250),5,7)))))</f>
        <v>1</v>
      </c>
      <c r="Z350" s="340" t="str">
        <f t="shared" si="52"/>
        <v/>
      </c>
      <c r="AA350" s="332">
        <f t="shared" si="53"/>
        <v>0</v>
      </c>
      <c r="AB350" s="128">
        <f t="shared" si="57"/>
        <v>1</v>
      </c>
      <c r="AC350" s="340" t="str">
        <f t="shared" si="58"/>
        <v/>
      </c>
      <c r="AD350" s="332">
        <f t="shared" si="54"/>
        <v>0</v>
      </c>
      <c r="AE350" s="37" t="str">
        <f t="shared" si="59"/>
        <v/>
      </c>
      <c r="AF350" s="37" t="str">
        <f t="shared" si="60"/>
        <v/>
      </c>
      <c r="AG350" s="561" t="str">
        <f t="shared" si="55"/>
        <v/>
      </c>
      <c r="AH350" s="561" t="str">
        <f t="shared" si="61"/>
        <v/>
      </c>
      <c r="AI350" s="576"/>
      <c r="AJ350" s="847"/>
    </row>
    <row r="351" spans="1:36" ht="12" customHeight="1" outlineLevel="3" x14ac:dyDescent="0.2">
      <c r="A351" s="39">
        <f>acute_overview_children!A351</f>
        <v>4</v>
      </c>
      <c r="B351" s="23">
        <f>acute_overview_children!B351</f>
        <v>1014050</v>
      </c>
      <c r="C351" s="23" t="s">
        <v>795</v>
      </c>
      <c r="D351" s="300">
        <f>Table22[[#This Row],[Level used for acute calculation]]</f>
        <v>4</v>
      </c>
      <c r="E351" s="302">
        <f>Table22[[#This Row],[MRL individual commodity]]</f>
        <v>0</v>
      </c>
      <c r="F351" s="451">
        <f>Table22[[#This Row],[Acute RA input value]]</f>
        <v>0</v>
      </c>
      <c r="G351" s="301" t="str">
        <f>Table22[[#This Row],[Acute RA label]]</f>
        <v/>
      </c>
      <c r="H351" s="303">
        <f>Table22[[#This Row],[Acute RA IESTI new input value]]</f>
        <v>0</v>
      </c>
      <c r="I351" s="301" t="str">
        <f>Table22[[#This Row],[Acute RA IESTI new label]]</f>
        <v/>
      </c>
      <c r="J351" s="65"/>
      <c r="K351" s="304">
        <f>Table22[[#This Row],[GAP under assessment]]</f>
        <v>0</v>
      </c>
      <c r="L351" s="304" t="str">
        <f>IF(input_values!$M351=0,"",input_values!$M351)</f>
        <v/>
      </c>
      <c r="M351" s="301" t="str">
        <f>IF(input_values!H351=0,"",input_values!H351)</f>
        <v/>
      </c>
      <c r="N351" s="304">
        <f>input_values!$K351</f>
        <v>0</v>
      </c>
      <c r="O351" s="338" t="s">
        <v>618</v>
      </c>
      <c r="P351" s="128"/>
      <c r="Q351" s="346"/>
      <c r="R351" s="338"/>
      <c r="S351" s="338" t="str">
        <f t="shared" si="56"/>
        <v>ND</v>
      </c>
      <c r="T351" s="305"/>
      <c r="U351" s="309"/>
      <c r="V351" s="305"/>
      <c r="W351" s="309"/>
      <c r="X351" s="460">
        <f>IF(V351="ND","ND",IF(S351="","",IF(OR(MID(C351,1,4)="milk",AND(MID(B351,1,2)="50",NOT(input_values!M351="Y")),AND(MID(B351,1,2)="40",NOT(input_values!M351="Y")),AND(MID(B351,1,2)="30",NOT(input_values!M351="Y"))),3,IF(OR(V351="&lt;25",B351&gt;1000000),1,IF((T351&gt;=S351),"2b","2a")))))</f>
        <v>1</v>
      </c>
      <c r="Y351" s="128">
        <f>IF(X351="ND","ND",IF(S351="","",IF(input_values!K351&gt;0,input_values!K351,IF(OR(X351=1,X351=3),1,IF((V351&gt;250),5,7)))))</f>
        <v>1</v>
      </c>
      <c r="Z351" s="340" t="str">
        <f t="shared" si="52"/>
        <v/>
      </c>
      <c r="AA351" s="332">
        <f t="shared" si="53"/>
        <v>0</v>
      </c>
      <c r="AB351" s="128">
        <f t="shared" si="57"/>
        <v>1</v>
      </c>
      <c r="AC351" s="340" t="str">
        <f t="shared" si="58"/>
        <v/>
      </c>
      <c r="AD351" s="332">
        <f t="shared" si="54"/>
        <v>0</v>
      </c>
      <c r="AE351" s="37" t="str">
        <f t="shared" si="59"/>
        <v/>
      </c>
      <c r="AF351" s="37" t="str">
        <f t="shared" si="60"/>
        <v/>
      </c>
      <c r="AG351" s="561" t="str">
        <f t="shared" si="55"/>
        <v/>
      </c>
      <c r="AH351" s="561" t="str">
        <f t="shared" si="61"/>
        <v/>
      </c>
      <c r="AI351" s="576"/>
      <c r="AJ351" s="847"/>
    </row>
    <row r="352" spans="1:36" ht="12" customHeight="1" outlineLevel="3" x14ac:dyDescent="0.2">
      <c r="A352" s="39">
        <f>acute_overview_children!A352</f>
        <v>4</v>
      </c>
      <c r="B352" s="23">
        <f>acute_overview_children!B352</f>
        <v>1014990</v>
      </c>
      <c r="C352" s="23" t="s">
        <v>637</v>
      </c>
      <c r="D352" s="300">
        <f>Table22[[#This Row],[Level used for acute calculation]]</f>
        <v>0</v>
      </c>
      <c r="E352" s="302">
        <f>Table22[[#This Row],[MRL individual commodity]]</f>
        <v>0</v>
      </c>
      <c r="F352" s="451">
        <f>Table22[[#This Row],[Acute RA input value]]</f>
        <v>0</v>
      </c>
      <c r="G352" s="301">
        <f>Table22[[#This Row],[Acute RA label]]</f>
        <v>0</v>
      </c>
      <c r="H352" s="303">
        <f>Table22[[#This Row],[Acute RA IESTI new input value]]</f>
        <v>0</v>
      </c>
      <c r="I352" s="301">
        <f>Table22[[#This Row],[Acute RA IESTI new label]]</f>
        <v>0</v>
      </c>
      <c r="J352" s="65"/>
      <c r="K352" s="304">
        <f>Table22[[#This Row],[GAP under assessment]]</f>
        <v>0</v>
      </c>
      <c r="L352" s="304" t="str">
        <f>IF(input_values!$M352=0,"",input_values!$M352)</f>
        <v/>
      </c>
      <c r="M352" s="301" t="str">
        <f>IF(input_values!H352=0,"",input_values!H352)</f>
        <v/>
      </c>
      <c r="N352" s="304">
        <f>input_values!$K352</f>
        <v>0</v>
      </c>
      <c r="O352" s="309"/>
      <c r="P352" s="38"/>
      <c r="Q352" s="306"/>
      <c r="R352" s="309"/>
      <c r="S352" s="336" t="str">
        <f t="shared" si="56"/>
        <v/>
      </c>
      <c r="T352" s="305"/>
      <c r="U352" s="309"/>
      <c r="V352" s="305"/>
      <c r="W352" s="309"/>
      <c r="X352" s="611" t="str">
        <f>IF(V352="ND","ND",IF(S352="","",IF(OR(MID(C352,1,4)="milk",AND(MID(B352,1,2)="50",NOT(input_values!M352="Y")),AND(MID(B352,1,2)="40",NOT(input_values!M352="Y")),AND(MID(B352,1,2)="30",NOT(input_values!M352="Y"))),3,IF(OR(V352="&lt;25",B352&gt;1000000),1,IF((T352&gt;=S352),"2b","2a")))))</f>
        <v/>
      </c>
      <c r="Y352" s="38" t="str">
        <f>IF(X352="ND","ND",IF(S352="","",IF(input_values!K352&gt;0,input_values!K352,IF(OR(X352=1,X352=3),1,IF((V352&gt;250),5,7)))))</f>
        <v/>
      </c>
      <c r="Z352" s="335" t="str">
        <f t="shared" si="52"/>
        <v/>
      </c>
      <c r="AA352" s="311">
        <f t="shared" si="53"/>
        <v>0</v>
      </c>
      <c r="AB352" s="38" t="str">
        <f t="shared" si="57"/>
        <v/>
      </c>
      <c r="AC352" s="335" t="str">
        <f t="shared" si="58"/>
        <v/>
      </c>
      <c r="AD352" s="311">
        <f t="shared" si="54"/>
        <v>0</v>
      </c>
      <c r="AE352" s="344" t="str">
        <f t="shared" si="59"/>
        <v/>
      </c>
      <c r="AF352" s="344" t="str">
        <f t="shared" si="60"/>
        <v/>
      </c>
      <c r="AG352" s="561" t="str">
        <f t="shared" si="55"/>
        <v/>
      </c>
      <c r="AH352" s="561" t="str">
        <f t="shared" si="61"/>
        <v/>
      </c>
      <c r="AI352" s="576"/>
      <c r="AJ352" s="847"/>
    </row>
    <row r="353" spans="1:36" outlineLevel="2" x14ac:dyDescent="0.2">
      <c r="A353" s="133">
        <f>acute_overview_children!A353</f>
        <v>3</v>
      </c>
      <c r="B353" s="5">
        <f>acute_overview_children!B353</f>
        <v>1015000</v>
      </c>
      <c r="C353" s="5" t="s">
        <v>796</v>
      </c>
      <c r="D353" s="300">
        <f>Table22[[#This Row],[Level used for acute calculation]]</f>
        <v>4</v>
      </c>
      <c r="E353" s="302">
        <f>Table22[[#This Row],[MRL individual commodity]]</f>
        <v>0</v>
      </c>
      <c r="F353" s="451">
        <f>Table22[[#This Row],[Acute RA input value]]</f>
        <v>0</v>
      </c>
      <c r="G353" s="301">
        <f>Table22[[#This Row],[Acute RA label]]</f>
        <v>0</v>
      </c>
      <c r="H353" s="303">
        <f>Table22[[#This Row],[Acute RA IESTI new input value]]</f>
        <v>0</v>
      </c>
      <c r="I353" s="301">
        <f>Table22[[#This Row],[Acute RA IESTI new label]]</f>
        <v>0</v>
      </c>
      <c r="J353" s="65"/>
      <c r="K353" s="304">
        <f>Table22[[#This Row],[GAP under assessment]]</f>
        <v>0</v>
      </c>
      <c r="L353" s="304" t="str">
        <f>IF(input_values!$M353=0,"",input_values!$M353)</f>
        <v/>
      </c>
      <c r="M353" s="301" t="str">
        <f>IF(input_values!H353=0,"",input_values!H353)</f>
        <v/>
      </c>
      <c r="N353" s="304">
        <f>input_values!$K353</f>
        <v>0</v>
      </c>
      <c r="O353" s="309"/>
      <c r="P353" s="38"/>
      <c r="Q353" s="306"/>
      <c r="R353" s="309"/>
      <c r="S353" s="336" t="str">
        <f t="shared" si="56"/>
        <v/>
      </c>
      <c r="T353" s="305"/>
      <c r="U353" s="309"/>
      <c r="V353" s="305"/>
      <c r="W353" s="309"/>
      <c r="X353" s="611" t="str">
        <f>IF(V353="ND","ND",IF(S353="","",IF(OR(MID(C353,1,4)="milk",AND(MID(B353,1,2)="50",NOT(input_values!M353="Y")),AND(MID(B353,1,2)="40",NOT(input_values!M353="Y")),AND(MID(B353,1,2)="30",NOT(input_values!M353="Y"))),3,IF(OR(V353="&lt;25",B353&gt;1000000),1,IF((T353&gt;=S353),"2b","2a")))))</f>
        <v/>
      </c>
      <c r="Y353" s="38" t="str">
        <f>IF(X353="ND","ND",IF(S353="","",IF(input_values!K353&gt;0,input_values!K353,IF(OR(X353=1,X353=3),1,IF((V353&gt;250),5,7)))))</f>
        <v/>
      </c>
      <c r="Z353" s="335" t="str">
        <f t="shared" si="52"/>
        <v/>
      </c>
      <c r="AA353" s="311">
        <f t="shared" si="53"/>
        <v>0</v>
      </c>
      <c r="AB353" s="38" t="str">
        <f t="shared" si="57"/>
        <v/>
      </c>
      <c r="AC353" s="335" t="str">
        <f t="shared" si="58"/>
        <v/>
      </c>
      <c r="AD353" s="311">
        <f t="shared" si="54"/>
        <v>0</v>
      </c>
      <c r="AE353" s="344" t="str">
        <f t="shared" si="59"/>
        <v/>
      </c>
      <c r="AF353" s="344" t="str">
        <f t="shared" si="60"/>
        <v/>
      </c>
      <c r="AG353" s="561" t="str">
        <f t="shared" si="55"/>
        <v/>
      </c>
      <c r="AH353" s="561" t="str">
        <f t="shared" si="61"/>
        <v/>
      </c>
      <c r="AI353" s="576"/>
      <c r="AJ353" s="847"/>
    </row>
    <row r="354" spans="1:36" ht="12" customHeight="1" outlineLevel="3" x14ac:dyDescent="0.2">
      <c r="A354" s="39">
        <f>acute_overview_children!A354</f>
        <v>4</v>
      </c>
      <c r="B354" s="23">
        <f>acute_overview_children!B354</f>
        <v>1015010</v>
      </c>
      <c r="C354" s="23" t="s">
        <v>866</v>
      </c>
      <c r="D354" s="300">
        <f>Table22[[#This Row],[Level used for acute calculation]]</f>
        <v>4</v>
      </c>
      <c r="E354" s="302">
        <f>Table22[[#This Row],[MRL individual commodity]]</f>
        <v>0</v>
      </c>
      <c r="F354" s="451">
        <f>Table22[[#This Row],[Acute RA input value]]</f>
        <v>0</v>
      </c>
      <c r="G354" s="301" t="str">
        <f>Table22[[#This Row],[Acute RA label]]</f>
        <v/>
      </c>
      <c r="H354" s="303">
        <f>Table22[[#This Row],[Acute RA IESTI new input value]]</f>
        <v>0</v>
      </c>
      <c r="I354" s="301" t="str">
        <f>Table22[[#This Row],[Acute RA IESTI new label]]</f>
        <v/>
      </c>
      <c r="J354" s="65"/>
      <c r="K354" s="304">
        <f>Table22[[#This Row],[GAP under assessment]]</f>
        <v>0</v>
      </c>
      <c r="L354" s="304" t="str">
        <f>IF(input_values!$M354=0,"",input_values!$M354)</f>
        <v/>
      </c>
      <c r="M354" s="301" t="str">
        <f>IF(input_values!H354=0,"",input_values!H354)</f>
        <v/>
      </c>
      <c r="N354" s="304">
        <f>input_values!$K354</f>
        <v>0</v>
      </c>
      <c r="O354" s="339">
        <v>4.8</v>
      </c>
      <c r="P354" s="128">
        <v>100</v>
      </c>
      <c r="Q354" s="346" t="s">
        <v>335</v>
      </c>
      <c r="R354" s="338">
        <v>76.38</v>
      </c>
      <c r="S354" s="338">
        <f t="shared" si="56"/>
        <v>366.62399999999997</v>
      </c>
      <c r="T354" s="305"/>
      <c r="U354" s="309"/>
      <c r="V354" s="305"/>
      <c r="W354" s="309"/>
      <c r="X354" s="460">
        <f>IF(V354="ND","ND",IF(S354="","",IF(OR(MID(C354,1,4)="milk",AND(MID(B354,1,2)="50",NOT(input_values!M354="Y")),AND(MID(B354,1,2)="40",NOT(input_values!M354="Y")),AND(MID(B354,1,2)="30",NOT(input_values!M354="Y"))),3,IF(OR(V354="&lt;25",B354&gt;1000000),1,IF((T354&gt;=S354),"2b","2a")))))</f>
        <v>1</v>
      </c>
      <c r="Y354" s="128">
        <f>IF(X354="ND","ND",IF(S354="","",IF(input_values!K354&gt;0,input_values!K354,IF(OR(X354=1,X354=3),1,IF((V354&gt;250),5,7)))))</f>
        <v>1</v>
      </c>
      <c r="Z354" s="345" t="str">
        <f t="shared" si="52"/>
        <v/>
      </c>
      <c r="AA354" s="332">
        <f t="shared" si="53"/>
        <v>0</v>
      </c>
      <c r="AB354" s="128">
        <f t="shared" si="57"/>
        <v>1</v>
      </c>
      <c r="AC354" s="345" t="str">
        <f t="shared" si="58"/>
        <v/>
      </c>
      <c r="AD354" s="332">
        <f t="shared" si="54"/>
        <v>0</v>
      </c>
      <c r="AE354" s="40" t="str">
        <f t="shared" si="59"/>
        <v/>
      </c>
      <c r="AF354" s="40" t="str">
        <f t="shared" si="60"/>
        <v/>
      </c>
      <c r="AG354" s="561" t="str">
        <f t="shared" si="55"/>
        <v/>
      </c>
      <c r="AH354" s="561" t="str">
        <f t="shared" si="61"/>
        <v/>
      </c>
      <c r="AI354" s="576"/>
      <c r="AJ354" s="847"/>
    </row>
    <row r="355" spans="1:36" ht="12" customHeight="1" outlineLevel="3" x14ac:dyDescent="0.2">
      <c r="A355" s="39">
        <f>acute_overview_children!A355</f>
        <v>4</v>
      </c>
      <c r="B355" s="23">
        <f>acute_overview_children!B355</f>
        <v>1015020</v>
      </c>
      <c r="C355" s="23" t="s">
        <v>797</v>
      </c>
      <c r="D355" s="300">
        <f>Table22[[#This Row],[Level used for acute calculation]]</f>
        <v>4</v>
      </c>
      <c r="E355" s="302">
        <f>Table22[[#This Row],[MRL individual commodity]]</f>
        <v>0</v>
      </c>
      <c r="F355" s="451">
        <f>Table22[[#This Row],[Acute RA input value]]</f>
        <v>0</v>
      </c>
      <c r="G355" s="301" t="str">
        <f>Table22[[#This Row],[Acute RA label]]</f>
        <v/>
      </c>
      <c r="H355" s="303">
        <f>Table22[[#This Row],[Acute RA IESTI new input value]]</f>
        <v>0</v>
      </c>
      <c r="I355" s="301" t="str">
        <f>Table22[[#This Row],[Acute RA IESTI new label]]</f>
        <v/>
      </c>
      <c r="J355" s="65"/>
      <c r="K355" s="304">
        <f>Table22[[#This Row],[GAP under assessment]]</f>
        <v>0</v>
      </c>
      <c r="L355" s="304" t="str">
        <f>IF(input_values!$M355=0,"",input_values!$M355)</f>
        <v/>
      </c>
      <c r="M355" s="301" t="str">
        <f>IF(input_values!H355=0,"",input_values!H355)</f>
        <v/>
      </c>
      <c r="N355" s="304">
        <f>input_values!$K355</f>
        <v>0</v>
      </c>
      <c r="O355" s="338" t="s">
        <v>618</v>
      </c>
      <c r="P355" s="128"/>
      <c r="Q355" s="346"/>
      <c r="R355" s="338"/>
      <c r="S355" s="338" t="str">
        <f t="shared" si="56"/>
        <v>ND</v>
      </c>
      <c r="T355" s="305"/>
      <c r="U355" s="309"/>
      <c r="V355" s="305"/>
      <c r="W355" s="309"/>
      <c r="X355" s="460">
        <f>IF(V355="ND","ND",IF(S355="","",IF(OR(MID(C355,1,4)="milk",AND(MID(B355,1,2)="50",NOT(input_values!M355="Y")),AND(MID(B355,1,2)="40",NOT(input_values!M355="Y")),AND(MID(B355,1,2)="30",NOT(input_values!M355="Y"))),3,IF(OR(V355="&lt;25",B355&gt;1000000),1,IF((T355&gt;=S355),"2b","2a")))))</f>
        <v>1</v>
      </c>
      <c r="Y355" s="128">
        <f>IF(X355="ND","ND",IF(S355="","",IF(input_values!K355&gt;0,input_values!K355,IF(OR(X355=1,X355=3),1,IF((V355&gt;250),5,7)))))</f>
        <v>1</v>
      </c>
      <c r="Z355" s="340" t="str">
        <f t="shared" si="52"/>
        <v/>
      </c>
      <c r="AA355" s="332">
        <f t="shared" si="53"/>
        <v>0</v>
      </c>
      <c r="AB355" s="128">
        <f t="shared" si="57"/>
        <v>1</v>
      </c>
      <c r="AC355" s="340" t="str">
        <f t="shared" si="58"/>
        <v/>
      </c>
      <c r="AD355" s="332">
        <f t="shared" si="54"/>
        <v>0</v>
      </c>
      <c r="AE355" s="37" t="str">
        <f t="shared" si="59"/>
        <v/>
      </c>
      <c r="AF355" s="37" t="str">
        <f t="shared" si="60"/>
        <v/>
      </c>
      <c r="AG355" s="561" t="str">
        <f t="shared" si="55"/>
        <v/>
      </c>
      <c r="AH355" s="561" t="str">
        <f t="shared" si="61"/>
        <v/>
      </c>
      <c r="AI355" s="576"/>
      <c r="AJ355" s="847"/>
    </row>
    <row r="356" spans="1:36" ht="12" customHeight="1" outlineLevel="3" x14ac:dyDescent="0.2">
      <c r="A356" s="39">
        <f>acute_overview_children!A356</f>
        <v>4</v>
      </c>
      <c r="B356" s="23">
        <f>acute_overview_children!B356</f>
        <v>1015030</v>
      </c>
      <c r="C356" s="23" t="s">
        <v>798</v>
      </c>
      <c r="D356" s="300">
        <f>Table22[[#This Row],[Level used for acute calculation]]</f>
        <v>4</v>
      </c>
      <c r="E356" s="302">
        <f>Table22[[#This Row],[MRL individual commodity]]</f>
        <v>0</v>
      </c>
      <c r="F356" s="451">
        <f>Table22[[#This Row],[Acute RA input value]]</f>
        <v>0</v>
      </c>
      <c r="G356" s="301" t="str">
        <f>Table22[[#This Row],[Acute RA label]]</f>
        <v/>
      </c>
      <c r="H356" s="303">
        <f>Table22[[#This Row],[Acute RA IESTI new input value]]</f>
        <v>0</v>
      </c>
      <c r="I356" s="301" t="str">
        <f>Table22[[#This Row],[Acute RA IESTI new label]]</f>
        <v/>
      </c>
      <c r="J356" s="65"/>
      <c r="K356" s="304">
        <f>Table22[[#This Row],[GAP under assessment]]</f>
        <v>0</v>
      </c>
      <c r="L356" s="304" t="str">
        <f>IF(input_values!$M356=0,"",input_values!$M356)</f>
        <v/>
      </c>
      <c r="M356" s="301" t="str">
        <f>IF(input_values!H356=0,"",input_values!H356)</f>
        <v/>
      </c>
      <c r="N356" s="304">
        <f>input_values!$K356</f>
        <v>0</v>
      </c>
      <c r="O356" s="338" t="s">
        <v>618</v>
      </c>
      <c r="P356" s="128"/>
      <c r="Q356" s="346"/>
      <c r="R356" s="338"/>
      <c r="S356" s="338" t="str">
        <f t="shared" si="56"/>
        <v>ND</v>
      </c>
      <c r="T356" s="305"/>
      <c r="U356" s="309"/>
      <c r="V356" s="305"/>
      <c r="W356" s="309"/>
      <c r="X356" s="460">
        <f>IF(V356="ND","ND",IF(S356="","",IF(OR(MID(C356,1,4)="milk",AND(MID(B356,1,2)="50",NOT(input_values!M356="Y")),AND(MID(B356,1,2)="40",NOT(input_values!M356="Y")),AND(MID(B356,1,2)="30",NOT(input_values!M356="Y"))),3,IF(OR(V356="&lt;25",B356&gt;1000000),1,IF((T356&gt;=S356),"2b","2a")))))</f>
        <v>1</v>
      </c>
      <c r="Y356" s="128">
        <f>IF(X356="ND","ND",IF(S356="","",IF(input_values!K356&gt;0,input_values!K356,IF(OR(X356=1,X356=3),1,IF((V356&gt;250),5,7)))))</f>
        <v>1</v>
      </c>
      <c r="Z356" s="340" t="str">
        <f t="shared" si="52"/>
        <v/>
      </c>
      <c r="AA356" s="332">
        <f t="shared" si="53"/>
        <v>0</v>
      </c>
      <c r="AB356" s="128">
        <f t="shared" si="57"/>
        <v>1</v>
      </c>
      <c r="AC356" s="340" t="str">
        <f t="shared" si="58"/>
        <v/>
      </c>
      <c r="AD356" s="332">
        <f t="shared" si="54"/>
        <v>0</v>
      </c>
      <c r="AE356" s="37" t="str">
        <f t="shared" si="59"/>
        <v/>
      </c>
      <c r="AF356" s="37" t="str">
        <f t="shared" si="60"/>
        <v/>
      </c>
      <c r="AG356" s="561" t="str">
        <f t="shared" si="55"/>
        <v/>
      </c>
      <c r="AH356" s="561" t="str">
        <f t="shared" si="61"/>
        <v/>
      </c>
      <c r="AI356" s="576"/>
      <c r="AJ356" s="847"/>
    </row>
    <row r="357" spans="1:36" ht="12" customHeight="1" outlineLevel="3" x14ac:dyDescent="0.2">
      <c r="A357" s="39">
        <f>acute_overview_children!A357</f>
        <v>4</v>
      </c>
      <c r="B357" s="23">
        <f>acute_overview_children!B357</f>
        <v>1015040</v>
      </c>
      <c r="C357" s="23" t="s">
        <v>799</v>
      </c>
      <c r="D357" s="300">
        <f>Table22[[#This Row],[Level used for acute calculation]]</f>
        <v>4</v>
      </c>
      <c r="E357" s="302">
        <f>Table22[[#This Row],[MRL individual commodity]]</f>
        <v>0</v>
      </c>
      <c r="F357" s="451">
        <f>Table22[[#This Row],[Acute RA input value]]</f>
        <v>0</v>
      </c>
      <c r="G357" s="301" t="str">
        <f>Table22[[#This Row],[Acute RA label]]</f>
        <v/>
      </c>
      <c r="H357" s="303">
        <f>Table22[[#This Row],[Acute RA IESTI new input value]]</f>
        <v>0</v>
      </c>
      <c r="I357" s="301" t="str">
        <f>Table22[[#This Row],[Acute RA IESTI new label]]</f>
        <v/>
      </c>
      <c r="J357" s="65"/>
      <c r="K357" s="304">
        <f>Table22[[#This Row],[GAP under assessment]]</f>
        <v>0</v>
      </c>
      <c r="L357" s="304" t="str">
        <f>IF(input_values!$M357=0,"",input_values!$M357)</f>
        <v/>
      </c>
      <c r="M357" s="301" t="str">
        <f>IF(input_values!H357=0,"",input_values!H357)</f>
        <v/>
      </c>
      <c r="N357" s="304">
        <f>input_values!$K357</f>
        <v>0</v>
      </c>
      <c r="O357" s="338" t="s">
        <v>618</v>
      </c>
      <c r="P357" s="128"/>
      <c r="Q357" s="346"/>
      <c r="R357" s="338"/>
      <c r="S357" s="338" t="str">
        <f t="shared" si="56"/>
        <v>ND</v>
      </c>
      <c r="T357" s="305"/>
      <c r="U357" s="309"/>
      <c r="V357" s="305"/>
      <c r="W357" s="309"/>
      <c r="X357" s="460">
        <f>IF(V357="ND","ND",IF(S357="","",IF(OR(MID(C357,1,4)="milk",AND(MID(B357,1,2)="50",NOT(input_values!M357="Y")),AND(MID(B357,1,2)="40",NOT(input_values!M357="Y")),AND(MID(B357,1,2)="30",NOT(input_values!M357="Y"))),3,IF(OR(V357="&lt;25",B357&gt;1000000),1,IF((T357&gt;=S357),"2b","2a")))))</f>
        <v>1</v>
      </c>
      <c r="Y357" s="128">
        <f>IF(X357="ND","ND",IF(S357="","",IF(input_values!K357&gt;0,input_values!K357,IF(OR(X357=1,X357=3),1,IF((V357&gt;250),5,7)))))</f>
        <v>1</v>
      </c>
      <c r="Z357" s="340" t="str">
        <f t="shared" si="52"/>
        <v/>
      </c>
      <c r="AA357" s="332">
        <f t="shared" si="53"/>
        <v>0</v>
      </c>
      <c r="AB357" s="128">
        <f t="shared" si="57"/>
        <v>1</v>
      </c>
      <c r="AC357" s="340" t="str">
        <f t="shared" si="58"/>
        <v/>
      </c>
      <c r="AD357" s="332">
        <f t="shared" si="54"/>
        <v>0</v>
      </c>
      <c r="AE357" s="37" t="str">
        <f t="shared" si="59"/>
        <v/>
      </c>
      <c r="AF357" s="37" t="str">
        <f t="shared" si="60"/>
        <v/>
      </c>
      <c r="AG357" s="561" t="str">
        <f t="shared" si="55"/>
        <v/>
      </c>
      <c r="AH357" s="561" t="str">
        <f t="shared" si="61"/>
        <v/>
      </c>
      <c r="AI357" s="576"/>
      <c r="AJ357" s="847"/>
    </row>
    <row r="358" spans="1:36" ht="12" customHeight="1" outlineLevel="3" x14ac:dyDescent="0.2">
      <c r="A358" s="39">
        <f>acute_overview_children!A358</f>
        <v>4</v>
      </c>
      <c r="B358" s="23">
        <f>acute_overview_children!B358</f>
        <v>1015050</v>
      </c>
      <c r="C358" s="23" t="s">
        <v>801</v>
      </c>
      <c r="D358" s="300">
        <f>Table22[[#This Row],[Level used for acute calculation]]</f>
        <v>4</v>
      </c>
      <c r="E358" s="302">
        <f>Table22[[#This Row],[MRL individual commodity]]</f>
        <v>0</v>
      </c>
      <c r="F358" s="451">
        <f>Table22[[#This Row],[Acute RA input value]]</f>
        <v>0</v>
      </c>
      <c r="G358" s="301" t="str">
        <f>Table22[[#This Row],[Acute RA label]]</f>
        <v/>
      </c>
      <c r="H358" s="303">
        <f>Table22[[#This Row],[Acute RA IESTI new input value]]</f>
        <v>0</v>
      </c>
      <c r="I358" s="301" t="str">
        <f>Table22[[#This Row],[Acute RA IESTI new label]]</f>
        <v/>
      </c>
      <c r="J358" s="65"/>
      <c r="K358" s="304">
        <f>Table22[[#This Row],[GAP under assessment]]</f>
        <v>0</v>
      </c>
      <c r="L358" s="304" t="str">
        <f>IF(input_values!$M358=0,"",input_values!$M358)</f>
        <v/>
      </c>
      <c r="M358" s="301" t="str">
        <f>IF(input_values!H358=0,"",input_values!H358)</f>
        <v/>
      </c>
      <c r="N358" s="304">
        <f>input_values!$K358</f>
        <v>0</v>
      </c>
      <c r="O358" s="338" t="s">
        <v>618</v>
      </c>
      <c r="P358" s="128"/>
      <c r="Q358" s="346"/>
      <c r="R358" s="338"/>
      <c r="S358" s="338" t="str">
        <f t="shared" si="56"/>
        <v>ND</v>
      </c>
      <c r="T358" s="305"/>
      <c r="U358" s="309"/>
      <c r="V358" s="305"/>
      <c r="W358" s="309"/>
      <c r="X358" s="460">
        <f>IF(V358="ND","ND",IF(S358="","",IF(OR(MID(C358,1,4)="milk",AND(MID(B358,1,2)="50",NOT(input_values!M358="Y")),AND(MID(B358,1,2)="40",NOT(input_values!M358="Y")),AND(MID(B358,1,2)="30",NOT(input_values!M358="Y"))),3,IF(OR(V358="&lt;25",B358&gt;1000000),1,IF((T358&gt;=S358),"2b","2a")))))</f>
        <v>1</v>
      </c>
      <c r="Y358" s="128">
        <f>IF(X358="ND","ND",IF(S358="","",IF(input_values!K358&gt;0,input_values!K358,IF(OR(X358=1,X358=3),1,IF((V358&gt;250),5,7)))))</f>
        <v>1</v>
      </c>
      <c r="Z358" s="340" t="str">
        <f t="shared" si="52"/>
        <v/>
      </c>
      <c r="AA358" s="332">
        <f t="shared" si="53"/>
        <v>0</v>
      </c>
      <c r="AB358" s="128">
        <f t="shared" si="57"/>
        <v>1</v>
      </c>
      <c r="AC358" s="340" t="str">
        <f t="shared" si="58"/>
        <v/>
      </c>
      <c r="AD358" s="332">
        <f t="shared" si="54"/>
        <v>0</v>
      </c>
      <c r="AE358" s="37" t="str">
        <f t="shared" si="59"/>
        <v/>
      </c>
      <c r="AF358" s="37" t="str">
        <f t="shared" si="60"/>
        <v/>
      </c>
      <c r="AG358" s="561" t="str">
        <f t="shared" si="55"/>
        <v/>
      </c>
      <c r="AH358" s="561" t="str">
        <f t="shared" si="61"/>
        <v/>
      </c>
      <c r="AI358" s="576"/>
      <c r="AJ358" s="847"/>
    </row>
    <row r="359" spans="1:36" ht="12" customHeight="1" outlineLevel="3" x14ac:dyDescent="0.2">
      <c r="A359" s="39">
        <f>acute_overview_children!A359</f>
        <v>4</v>
      </c>
      <c r="B359" s="23">
        <f>acute_overview_children!B359</f>
        <v>1015990</v>
      </c>
      <c r="C359" s="23" t="s">
        <v>800</v>
      </c>
      <c r="D359" s="300">
        <f>Table22[[#This Row],[Level used for acute calculation]]</f>
        <v>0</v>
      </c>
      <c r="E359" s="302">
        <f>Table22[[#This Row],[MRL individual commodity]]</f>
        <v>0</v>
      </c>
      <c r="F359" s="451">
        <f>Table22[[#This Row],[Acute RA input value]]</f>
        <v>0</v>
      </c>
      <c r="G359" s="301">
        <f>Table22[[#This Row],[Acute RA label]]</f>
        <v>0</v>
      </c>
      <c r="H359" s="303">
        <f>Table22[[#This Row],[Acute RA IESTI new input value]]</f>
        <v>0</v>
      </c>
      <c r="I359" s="301">
        <f>Table22[[#This Row],[Acute RA IESTI new label]]</f>
        <v>0</v>
      </c>
      <c r="J359" s="65"/>
      <c r="K359" s="304">
        <f>Table22[[#This Row],[GAP under assessment]]</f>
        <v>0</v>
      </c>
      <c r="L359" s="304" t="str">
        <f>IF(input_values!$M359=0,"",input_values!$M359)</f>
        <v/>
      </c>
      <c r="M359" s="301" t="str">
        <f>IF(input_values!H359=0,"",input_values!H359)</f>
        <v/>
      </c>
      <c r="N359" s="304">
        <f>input_values!$K359</f>
        <v>0</v>
      </c>
      <c r="O359" s="309"/>
      <c r="P359" s="38"/>
      <c r="Q359" s="306"/>
      <c r="R359" s="309"/>
      <c r="S359" s="336" t="str">
        <f t="shared" si="56"/>
        <v/>
      </c>
      <c r="T359" s="305"/>
      <c r="U359" s="309"/>
      <c r="V359" s="305"/>
      <c r="W359" s="309"/>
      <c r="X359" s="611" t="str">
        <f>IF(V359="ND","ND",IF(S359="","",IF(OR(MID(C359,1,4)="milk",AND(MID(B359,1,2)="50",NOT(input_values!M359="Y")),AND(MID(B359,1,2)="40",NOT(input_values!M359="Y")),AND(MID(B359,1,2)="30",NOT(input_values!M359="Y"))),3,IF(OR(V359="&lt;25",B359&gt;1000000),1,IF((T359&gt;=S359),"2b","2a")))))</f>
        <v/>
      </c>
      <c r="Y359" s="38" t="str">
        <f>IF(X359="ND","ND",IF(S359="","",IF(input_values!K359&gt;0,input_values!K359,IF(OR(X359=1,X359=3),1,IF((V359&gt;250),5,7)))))</f>
        <v/>
      </c>
      <c r="Z359" s="335" t="str">
        <f t="shared" si="52"/>
        <v/>
      </c>
      <c r="AA359" s="311">
        <f t="shared" si="53"/>
        <v>0</v>
      </c>
      <c r="AB359" s="38" t="str">
        <f t="shared" si="57"/>
        <v/>
      </c>
      <c r="AC359" s="335" t="str">
        <f t="shared" si="58"/>
        <v/>
      </c>
      <c r="AD359" s="311">
        <f t="shared" si="54"/>
        <v>0</v>
      </c>
      <c r="AE359" s="344" t="str">
        <f t="shared" si="59"/>
        <v/>
      </c>
      <c r="AF359" s="344" t="str">
        <f t="shared" si="60"/>
        <v/>
      </c>
      <c r="AG359" s="561" t="str">
        <f t="shared" si="55"/>
        <v/>
      </c>
      <c r="AH359" s="561" t="str">
        <f t="shared" si="61"/>
        <v/>
      </c>
      <c r="AI359" s="576"/>
      <c r="AJ359" s="847"/>
    </row>
    <row r="360" spans="1:36" outlineLevel="2" x14ac:dyDescent="0.2">
      <c r="A360" s="133">
        <f>acute_overview_children!A360</f>
        <v>3</v>
      </c>
      <c r="B360" s="5">
        <f>acute_overview_children!B360</f>
        <v>1016000</v>
      </c>
      <c r="C360" s="5" t="s">
        <v>802</v>
      </c>
      <c r="D360" s="300">
        <f>Table22[[#This Row],[Level used for acute calculation]]</f>
        <v>4</v>
      </c>
      <c r="E360" s="302">
        <f>Table22[[#This Row],[MRL individual commodity]]</f>
        <v>0</v>
      </c>
      <c r="F360" s="451">
        <f>Table22[[#This Row],[Acute RA input value]]</f>
        <v>0</v>
      </c>
      <c r="G360" s="301">
        <f>Table22[[#This Row],[Acute RA label]]</f>
        <v>0</v>
      </c>
      <c r="H360" s="303">
        <f>Table22[[#This Row],[Acute RA IESTI new input value]]</f>
        <v>0</v>
      </c>
      <c r="I360" s="301">
        <f>Table22[[#This Row],[Acute RA IESTI new label]]</f>
        <v>0</v>
      </c>
      <c r="J360" s="65"/>
      <c r="K360" s="304">
        <f>Table22[[#This Row],[GAP under assessment]]</f>
        <v>0</v>
      </c>
      <c r="L360" s="304" t="str">
        <f>IF(input_values!$M360=0,"",input_values!$M360)</f>
        <v/>
      </c>
      <c r="M360" s="301" t="str">
        <f>IF(input_values!H360=0,"",input_values!H360)</f>
        <v/>
      </c>
      <c r="N360" s="304">
        <f>input_values!$K360</f>
        <v>0</v>
      </c>
      <c r="O360" s="309"/>
      <c r="P360" s="38"/>
      <c r="Q360" s="306"/>
      <c r="R360" s="309"/>
      <c r="S360" s="336" t="str">
        <f t="shared" si="56"/>
        <v/>
      </c>
      <c r="T360" s="305"/>
      <c r="U360" s="309"/>
      <c r="V360" s="305"/>
      <c r="W360" s="309"/>
      <c r="X360" s="611" t="str">
        <f>IF(V360="ND","ND",IF(S360="","",IF(OR(MID(C360,1,4)="milk",AND(MID(B360,1,2)="50",NOT(input_values!M360="Y")),AND(MID(B360,1,2)="40",NOT(input_values!M360="Y")),AND(MID(B360,1,2)="30",NOT(input_values!M360="Y"))),3,IF(OR(V360="&lt;25",B360&gt;1000000),1,IF((T360&gt;=S360),"2b","2a")))))</f>
        <v/>
      </c>
      <c r="Y360" s="38" t="str">
        <f>IF(X360="ND","ND",IF(S360="","",IF(input_values!K360&gt;0,input_values!K360,IF(OR(X360=1,X360=3),1,IF((V360&gt;250),5,7)))))</f>
        <v/>
      </c>
      <c r="Z360" s="335" t="str">
        <f t="shared" si="52"/>
        <v/>
      </c>
      <c r="AA360" s="311">
        <f t="shared" si="53"/>
        <v>0</v>
      </c>
      <c r="AB360" s="38" t="str">
        <f t="shared" si="57"/>
        <v/>
      </c>
      <c r="AC360" s="335" t="str">
        <f t="shared" si="58"/>
        <v/>
      </c>
      <c r="AD360" s="311">
        <f t="shared" si="54"/>
        <v>0</v>
      </c>
      <c r="AE360" s="344" t="str">
        <f t="shared" si="59"/>
        <v/>
      </c>
      <c r="AF360" s="344" t="str">
        <f t="shared" si="60"/>
        <v/>
      </c>
      <c r="AG360" s="561" t="str">
        <f t="shared" si="55"/>
        <v/>
      </c>
      <c r="AH360" s="561" t="str">
        <f t="shared" si="61"/>
        <v/>
      </c>
      <c r="AI360" s="576"/>
      <c r="AJ360" s="847"/>
    </row>
    <row r="361" spans="1:36" ht="12" customHeight="1" outlineLevel="3" x14ac:dyDescent="0.2">
      <c r="A361" s="39">
        <f>acute_overview_children!A361</f>
        <v>4</v>
      </c>
      <c r="B361" s="23">
        <f>acute_overview_children!B361</f>
        <v>1016010</v>
      </c>
      <c r="C361" s="23" t="s">
        <v>627</v>
      </c>
      <c r="D361" s="300">
        <f>Table22[[#This Row],[Level used for acute calculation]]</f>
        <v>4</v>
      </c>
      <c r="E361" s="302">
        <f>Table22[[#This Row],[MRL individual commodity]]</f>
        <v>0</v>
      </c>
      <c r="F361" s="451">
        <f>Table22[[#This Row],[Acute RA input value]]</f>
        <v>0</v>
      </c>
      <c r="G361" s="301" t="str">
        <f>Table22[[#This Row],[Acute RA label]]</f>
        <v/>
      </c>
      <c r="H361" s="303">
        <f>Table22[[#This Row],[Acute RA IESTI new input value]]</f>
        <v>0</v>
      </c>
      <c r="I361" s="301" t="str">
        <f>Table22[[#This Row],[Acute RA IESTI new label]]</f>
        <v/>
      </c>
      <c r="J361" s="65"/>
      <c r="K361" s="304">
        <f>Table22[[#This Row],[GAP under assessment]]</f>
        <v>0</v>
      </c>
      <c r="L361" s="304" t="str">
        <f>IF(input_values!$M361=0,"",input_values!$M361)</f>
        <v/>
      </c>
      <c r="M361" s="301" t="str">
        <f>IF(input_values!H361=0,"",input_values!H361)</f>
        <v/>
      </c>
      <c r="N361" s="304">
        <f>input_values!$K361</f>
        <v>0</v>
      </c>
      <c r="O361" s="339">
        <v>11.746626686656672</v>
      </c>
      <c r="P361" s="128">
        <v>97.5</v>
      </c>
      <c r="Q361" s="346" t="s">
        <v>255</v>
      </c>
      <c r="R361" s="338">
        <v>66.7</v>
      </c>
      <c r="S361" s="338">
        <f t="shared" si="56"/>
        <v>783.5</v>
      </c>
      <c r="T361" s="305"/>
      <c r="U361" s="309"/>
      <c r="V361" s="305"/>
      <c r="W361" s="309"/>
      <c r="X361" s="460">
        <f>IF(V361="ND","ND",IF(S361="","",IF(OR(MID(C361,1,4)="milk",AND(MID(B361,1,2)="50",NOT(input_values!M361="Y")),AND(MID(B361,1,2)="40",NOT(input_values!M361="Y")),AND(MID(B361,1,2)="30",NOT(input_values!M361="Y"))),3,IF(OR(V361="&lt;25",B361&gt;1000000),1,IF((T361&gt;=S361),"2b","2a")))))</f>
        <v>1</v>
      </c>
      <c r="Y361" s="128">
        <f>IF(X361="ND","ND",IF(S361="","",IF(input_values!K361&gt;0,input_values!K361,IF(OR(X361=1,X361=3),1,IF((V361&gt;250),5,7)))))</f>
        <v>1</v>
      </c>
      <c r="Z361" s="345" t="str">
        <f t="shared" si="52"/>
        <v/>
      </c>
      <c r="AA361" s="332">
        <f t="shared" si="53"/>
        <v>0</v>
      </c>
      <c r="AB361" s="128">
        <f t="shared" si="57"/>
        <v>1</v>
      </c>
      <c r="AC361" s="345" t="str">
        <f t="shared" si="58"/>
        <v/>
      </c>
      <c r="AD361" s="332">
        <f t="shared" si="54"/>
        <v>0</v>
      </c>
      <c r="AE361" s="40" t="str">
        <f t="shared" si="59"/>
        <v/>
      </c>
      <c r="AF361" s="40" t="str">
        <f t="shared" si="60"/>
        <v/>
      </c>
      <c r="AG361" s="561" t="str">
        <f t="shared" si="55"/>
        <v/>
      </c>
      <c r="AH361" s="561" t="str">
        <f t="shared" si="61"/>
        <v/>
      </c>
      <c r="AI361" s="576"/>
      <c r="AJ361" s="847"/>
    </row>
    <row r="362" spans="1:36" ht="12" customHeight="1" outlineLevel="3" x14ac:dyDescent="0.2">
      <c r="A362" s="39">
        <f>acute_overview_children!A362</f>
        <v>4</v>
      </c>
      <c r="B362" s="23">
        <f>acute_overview_children!B362</f>
        <v>1016020</v>
      </c>
      <c r="C362" s="23" t="s">
        <v>793</v>
      </c>
      <c r="D362" s="300">
        <f>Table22[[#This Row],[Level used for acute calculation]]</f>
        <v>4</v>
      </c>
      <c r="E362" s="302">
        <f>Table22[[#This Row],[MRL individual commodity]]</f>
        <v>0</v>
      </c>
      <c r="F362" s="451">
        <f>Table22[[#This Row],[Acute RA input value]]</f>
        <v>0</v>
      </c>
      <c r="G362" s="301" t="str">
        <f>Table22[[#This Row],[Acute RA label]]</f>
        <v/>
      </c>
      <c r="H362" s="303">
        <f>Table22[[#This Row],[Acute RA IESTI new input value]]</f>
        <v>0</v>
      </c>
      <c r="I362" s="301" t="str">
        <f>Table22[[#This Row],[Acute RA IESTI new label]]</f>
        <v/>
      </c>
      <c r="J362" s="65"/>
      <c r="K362" s="304">
        <f>Table22[[#This Row],[GAP under assessment]]</f>
        <v>0</v>
      </c>
      <c r="L362" s="304" t="str">
        <f>IF(input_values!$M362=0,"",input_values!$M362)</f>
        <v/>
      </c>
      <c r="M362" s="301" t="str">
        <f>IF(input_values!H362=0,"",input_values!H362)</f>
        <v/>
      </c>
      <c r="N362" s="304">
        <f>input_values!$K362</f>
        <v>0</v>
      </c>
      <c r="O362" s="339">
        <v>0.3</v>
      </c>
      <c r="P362" s="128">
        <v>95</v>
      </c>
      <c r="Q362" s="346" t="s">
        <v>335</v>
      </c>
      <c r="R362" s="338">
        <v>76.38</v>
      </c>
      <c r="S362" s="338">
        <f t="shared" si="56"/>
        <v>22.913999999999998</v>
      </c>
      <c r="T362" s="305"/>
      <c r="U362" s="309"/>
      <c r="V362" s="305"/>
      <c r="W362" s="309"/>
      <c r="X362" s="460">
        <f>IF(V362="ND","ND",IF(S362="","",IF(OR(MID(C362,1,4)="milk",AND(MID(B362,1,2)="50",NOT(input_values!M362="Y")),AND(MID(B362,1,2)="40",NOT(input_values!M362="Y")),AND(MID(B362,1,2)="30",NOT(input_values!M362="Y"))),3,IF(OR(V362="&lt;25",B362&gt;1000000),1,IF((T362&gt;=S362),"2b","2a")))))</f>
        <v>1</v>
      </c>
      <c r="Y362" s="128">
        <f>IF(X362="ND","ND",IF(S362="","",IF(input_values!K362&gt;0,input_values!K362,IF(OR(X362=1,X362=3),1,IF((V362&gt;250),5,7)))))</f>
        <v>1</v>
      </c>
      <c r="Z362" s="345" t="str">
        <f t="shared" si="52"/>
        <v/>
      </c>
      <c r="AA362" s="332">
        <f t="shared" si="53"/>
        <v>0</v>
      </c>
      <c r="AB362" s="128">
        <f t="shared" si="57"/>
        <v>1</v>
      </c>
      <c r="AC362" s="345" t="str">
        <f t="shared" si="58"/>
        <v/>
      </c>
      <c r="AD362" s="332">
        <f t="shared" si="54"/>
        <v>0</v>
      </c>
      <c r="AE362" s="40" t="str">
        <f t="shared" si="59"/>
        <v/>
      </c>
      <c r="AF362" s="40" t="str">
        <f t="shared" si="60"/>
        <v/>
      </c>
      <c r="AG362" s="561" t="str">
        <f t="shared" si="55"/>
        <v/>
      </c>
      <c r="AH362" s="561" t="str">
        <f t="shared" si="61"/>
        <v/>
      </c>
      <c r="AI362" s="576"/>
      <c r="AJ362" s="847"/>
    </row>
    <row r="363" spans="1:36" ht="12" customHeight="1" outlineLevel="3" x14ac:dyDescent="0.2">
      <c r="A363" s="39">
        <f>acute_overview_children!A363</f>
        <v>4</v>
      </c>
      <c r="B363" s="23">
        <f>acute_overview_children!B363</f>
        <v>1016030</v>
      </c>
      <c r="C363" s="23" t="s">
        <v>201</v>
      </c>
      <c r="D363" s="300">
        <f>Table22[[#This Row],[Level used for acute calculation]]</f>
        <v>4</v>
      </c>
      <c r="E363" s="302">
        <f>Table22[[#This Row],[MRL individual commodity]]</f>
        <v>0</v>
      </c>
      <c r="F363" s="451">
        <f>Table22[[#This Row],[Acute RA input value]]</f>
        <v>0</v>
      </c>
      <c r="G363" s="301" t="str">
        <f>Table22[[#This Row],[Acute RA label]]</f>
        <v/>
      </c>
      <c r="H363" s="303">
        <f>Table22[[#This Row],[Acute RA IESTI new input value]]</f>
        <v>0</v>
      </c>
      <c r="I363" s="301" t="str">
        <f>Table22[[#This Row],[Acute RA IESTI new label]]</f>
        <v/>
      </c>
      <c r="J363" s="65"/>
      <c r="K363" s="304">
        <f>Table22[[#This Row],[GAP under assessment]]</f>
        <v>0</v>
      </c>
      <c r="L363" s="304" t="str">
        <f>IF(input_values!$M363=0,"",input_values!$M363)</f>
        <v/>
      </c>
      <c r="M363" s="301" t="str">
        <f>IF(input_values!H363=0,"",input_values!H363)</f>
        <v/>
      </c>
      <c r="N363" s="304">
        <f>input_values!$K363</f>
        <v>0</v>
      </c>
      <c r="O363" s="339">
        <v>4.7</v>
      </c>
      <c r="P363" s="128">
        <v>97.5</v>
      </c>
      <c r="Q363" s="346" t="s">
        <v>335</v>
      </c>
      <c r="R363" s="338">
        <v>76.38</v>
      </c>
      <c r="S363" s="338">
        <f t="shared" si="56"/>
        <v>358.98599999999999</v>
      </c>
      <c r="T363" s="305"/>
      <c r="U363" s="309"/>
      <c r="V363" s="305"/>
      <c r="W363" s="309"/>
      <c r="X363" s="460">
        <f>IF(V363="ND","ND",IF(S363="","",IF(OR(MID(C363,1,4)="milk",AND(MID(B363,1,2)="50",NOT(input_values!M363="Y")),AND(MID(B363,1,2)="40",NOT(input_values!M363="Y")),AND(MID(B363,1,2)="30",NOT(input_values!M363="Y"))),3,IF(OR(V363="&lt;25",B363&gt;1000000),1,IF((T363&gt;=S363),"2b","2a")))))</f>
        <v>1</v>
      </c>
      <c r="Y363" s="128">
        <f>IF(X363="ND","ND",IF(S363="","",IF(input_values!K363&gt;0,input_values!K363,IF(OR(X363=1,X363=3),1,IF((V363&gt;250),5,7)))))</f>
        <v>1</v>
      </c>
      <c r="Z363" s="345" t="str">
        <f t="shared" si="52"/>
        <v/>
      </c>
      <c r="AA363" s="332">
        <f t="shared" si="53"/>
        <v>0</v>
      </c>
      <c r="AB363" s="128">
        <f t="shared" si="57"/>
        <v>1</v>
      </c>
      <c r="AC363" s="345" t="str">
        <f t="shared" si="58"/>
        <v/>
      </c>
      <c r="AD363" s="332">
        <f t="shared" si="54"/>
        <v>0</v>
      </c>
      <c r="AE363" s="40" t="str">
        <f t="shared" si="59"/>
        <v/>
      </c>
      <c r="AF363" s="40" t="str">
        <f t="shared" si="60"/>
        <v/>
      </c>
      <c r="AG363" s="561" t="str">
        <f t="shared" si="55"/>
        <v/>
      </c>
      <c r="AH363" s="561" t="str">
        <f t="shared" si="61"/>
        <v/>
      </c>
      <c r="AI363" s="576"/>
      <c r="AJ363" s="847"/>
    </row>
    <row r="364" spans="1:36" ht="12" customHeight="1" outlineLevel="3" x14ac:dyDescent="0.2">
      <c r="A364" s="39">
        <f>acute_overview_children!A364</f>
        <v>4</v>
      </c>
      <c r="B364" s="23">
        <f>acute_overview_children!B364</f>
        <v>1016040</v>
      </c>
      <c r="C364" s="23" t="s">
        <v>147</v>
      </c>
      <c r="D364" s="300">
        <f>Table22[[#This Row],[Level used for acute calculation]]</f>
        <v>4</v>
      </c>
      <c r="E364" s="302">
        <f>Table22[[#This Row],[MRL individual commodity]]</f>
        <v>0</v>
      </c>
      <c r="F364" s="451">
        <f>Table22[[#This Row],[Acute RA input value]]</f>
        <v>0</v>
      </c>
      <c r="G364" s="301" t="str">
        <f>Table22[[#This Row],[Acute RA label]]</f>
        <v/>
      </c>
      <c r="H364" s="303">
        <f>Table22[[#This Row],[Acute RA IESTI new input value]]</f>
        <v>0</v>
      </c>
      <c r="I364" s="301" t="str">
        <f>Table22[[#This Row],[Acute RA IESTI new label]]</f>
        <v/>
      </c>
      <c r="J364" s="65"/>
      <c r="K364" s="304">
        <f>Table22[[#This Row],[GAP under assessment]]</f>
        <v>0</v>
      </c>
      <c r="L364" s="304" t="str">
        <f>IF(input_values!$M364=0,"",input_values!$M364)</f>
        <v/>
      </c>
      <c r="M364" s="301" t="str">
        <f>IF(input_values!H364=0,"",input_values!H364)</f>
        <v/>
      </c>
      <c r="N364" s="304">
        <f>input_values!$K364</f>
        <v>0</v>
      </c>
      <c r="O364" s="338">
        <v>1.29</v>
      </c>
      <c r="P364" s="128" t="s">
        <v>331</v>
      </c>
      <c r="Q364" s="346" t="s">
        <v>313</v>
      </c>
      <c r="R364" s="338">
        <v>66.400000000000006</v>
      </c>
      <c r="S364" s="338">
        <f t="shared" si="56"/>
        <v>85.656000000000006</v>
      </c>
      <c r="T364" s="305"/>
      <c r="U364" s="309"/>
      <c r="V364" s="305"/>
      <c r="W364" s="309"/>
      <c r="X364" s="460">
        <f>IF(V364="ND","ND",IF(S364="","",IF(OR(MID(C364,1,4)="milk",AND(MID(B364,1,2)="50",NOT(input_values!M364="Y")),AND(MID(B364,1,2)="40",NOT(input_values!M364="Y")),AND(MID(B364,1,2)="30",NOT(input_values!M364="Y"))),3,IF(OR(V364="&lt;25",B364&gt;1000000),1,IF((T364&gt;=S364),"2b","2a")))))</f>
        <v>1</v>
      </c>
      <c r="Y364" s="128">
        <f>IF(X364="ND","ND",IF(S364="","",IF(input_values!K364&gt;0,input_values!K364,IF(OR(X364=1,X364=3),1,IF((V364&gt;250),5,7)))))</f>
        <v>1</v>
      </c>
      <c r="Z364" s="340" t="str">
        <f t="shared" si="52"/>
        <v/>
      </c>
      <c r="AA364" s="332">
        <f t="shared" si="53"/>
        <v>0</v>
      </c>
      <c r="AB364" s="128">
        <f t="shared" si="57"/>
        <v>1</v>
      </c>
      <c r="AC364" s="340" t="str">
        <f t="shared" si="58"/>
        <v/>
      </c>
      <c r="AD364" s="332">
        <f t="shared" si="54"/>
        <v>0</v>
      </c>
      <c r="AE364" s="37" t="str">
        <f t="shared" si="59"/>
        <v/>
      </c>
      <c r="AF364" s="37" t="str">
        <f t="shared" si="60"/>
        <v/>
      </c>
      <c r="AG364" s="561" t="str">
        <f t="shared" si="55"/>
        <v/>
      </c>
      <c r="AH364" s="561" t="str">
        <f t="shared" si="61"/>
        <v/>
      </c>
      <c r="AI364" s="576"/>
      <c r="AJ364" s="847"/>
    </row>
    <row r="365" spans="1:36" ht="12" customHeight="1" outlineLevel="3" x14ac:dyDescent="0.2">
      <c r="A365" s="39">
        <f>acute_overview_children!A365</f>
        <v>4</v>
      </c>
      <c r="B365" s="23">
        <f>acute_overview_children!B365</f>
        <v>1016050</v>
      </c>
      <c r="C365" s="23" t="s">
        <v>803</v>
      </c>
      <c r="D365" s="300">
        <f>Table22[[#This Row],[Level used for acute calculation]]</f>
        <v>4</v>
      </c>
      <c r="E365" s="302">
        <f>Table22[[#This Row],[MRL individual commodity]]</f>
        <v>0</v>
      </c>
      <c r="F365" s="451">
        <f>Table22[[#This Row],[Acute RA input value]]</f>
        <v>0</v>
      </c>
      <c r="G365" s="301" t="str">
        <f>Table22[[#This Row],[Acute RA label]]</f>
        <v/>
      </c>
      <c r="H365" s="303">
        <f>Table22[[#This Row],[Acute RA IESTI new input value]]</f>
        <v>0</v>
      </c>
      <c r="I365" s="301" t="str">
        <f>Table22[[#This Row],[Acute RA IESTI new label]]</f>
        <v/>
      </c>
      <c r="J365" s="65"/>
      <c r="K365" s="304">
        <f>Table22[[#This Row],[GAP under assessment]]</f>
        <v>0</v>
      </c>
      <c r="L365" s="304" t="str">
        <f>IF(input_values!$M365=0,"",input_values!$M365)</f>
        <v/>
      </c>
      <c r="M365" s="301" t="str">
        <f>IF(input_values!H365=0,"",input_values!H365)</f>
        <v/>
      </c>
      <c r="N365" s="304">
        <f>input_values!$K365</f>
        <v>0</v>
      </c>
      <c r="O365" s="338" t="s">
        <v>618</v>
      </c>
      <c r="P365" s="128"/>
      <c r="Q365" s="346"/>
      <c r="R365" s="338"/>
      <c r="S365" s="338" t="str">
        <f t="shared" si="56"/>
        <v>ND</v>
      </c>
      <c r="T365" s="305"/>
      <c r="U365" s="309"/>
      <c r="V365" s="305"/>
      <c r="W365" s="309"/>
      <c r="X365" s="460">
        <f>IF(V365="ND","ND",IF(S365="","",IF(OR(MID(C365,1,4)="milk",AND(MID(B365,1,2)="50",NOT(input_values!M365="Y")),AND(MID(B365,1,2)="40",NOT(input_values!M365="Y")),AND(MID(B365,1,2)="30",NOT(input_values!M365="Y"))),3,IF(OR(V365="&lt;25",B365&gt;1000000),1,IF((T365&gt;=S365),"2b","2a")))))</f>
        <v>1</v>
      </c>
      <c r="Y365" s="128">
        <f>IF(X365="ND","ND",IF(S365="","",IF(input_values!K365&gt;0,input_values!K365,IF(OR(X365=1,X365=3),1,IF((V365&gt;250),5,7)))))</f>
        <v>1</v>
      </c>
      <c r="Z365" s="340" t="str">
        <f t="shared" si="52"/>
        <v/>
      </c>
      <c r="AA365" s="332">
        <f t="shared" si="53"/>
        <v>0</v>
      </c>
      <c r="AB365" s="128">
        <f t="shared" si="57"/>
        <v>1</v>
      </c>
      <c r="AC365" s="340" t="str">
        <f t="shared" si="58"/>
        <v/>
      </c>
      <c r="AD365" s="332">
        <f t="shared" si="54"/>
        <v>0</v>
      </c>
      <c r="AE365" s="37" t="str">
        <f t="shared" si="59"/>
        <v/>
      </c>
      <c r="AF365" s="37" t="str">
        <f t="shared" si="60"/>
        <v/>
      </c>
      <c r="AG365" s="561" t="str">
        <f t="shared" si="55"/>
        <v/>
      </c>
      <c r="AH365" s="561" t="str">
        <f t="shared" si="61"/>
        <v/>
      </c>
      <c r="AI365" s="576"/>
      <c r="AJ365" s="847"/>
    </row>
    <row r="366" spans="1:36" ht="12" customHeight="1" outlineLevel="3" x14ac:dyDescent="0.2">
      <c r="A366" s="39">
        <f>acute_overview_children!A366</f>
        <v>4</v>
      </c>
      <c r="B366" s="23">
        <f>acute_overview_children!B366</f>
        <v>1016990</v>
      </c>
      <c r="C366" s="23" t="s">
        <v>638</v>
      </c>
      <c r="D366" s="300">
        <f>Table22[[#This Row],[Level used for acute calculation]]</f>
        <v>0</v>
      </c>
      <c r="E366" s="302">
        <f>Table22[[#This Row],[MRL individual commodity]]</f>
        <v>0</v>
      </c>
      <c r="F366" s="451">
        <f>Table22[[#This Row],[Acute RA input value]]</f>
        <v>0</v>
      </c>
      <c r="G366" s="301">
        <f>Table22[[#This Row],[Acute RA label]]</f>
        <v>0</v>
      </c>
      <c r="H366" s="303">
        <f>Table22[[#This Row],[Acute RA IESTI new input value]]</f>
        <v>0</v>
      </c>
      <c r="I366" s="301">
        <f>Table22[[#This Row],[Acute RA IESTI new label]]</f>
        <v>0</v>
      </c>
      <c r="J366" s="65"/>
      <c r="K366" s="304">
        <f>Table22[[#This Row],[GAP under assessment]]</f>
        <v>0</v>
      </c>
      <c r="L366" s="304" t="str">
        <f>IF(input_values!$M366=0,"",input_values!$M366)</f>
        <v/>
      </c>
      <c r="M366" s="301" t="str">
        <f>IF(input_values!H366=0,"",input_values!H366)</f>
        <v/>
      </c>
      <c r="N366" s="304">
        <f>input_values!$K366</f>
        <v>0</v>
      </c>
      <c r="O366" s="309"/>
      <c r="P366" s="38"/>
      <c r="Q366" s="306"/>
      <c r="R366" s="309"/>
      <c r="S366" s="336" t="str">
        <f t="shared" si="56"/>
        <v/>
      </c>
      <c r="T366" s="305"/>
      <c r="U366" s="309"/>
      <c r="V366" s="305"/>
      <c r="W366" s="309"/>
      <c r="X366" s="611" t="str">
        <f>IF(V366="ND","ND",IF(S366="","",IF(OR(MID(C366,1,4)="milk",AND(MID(B366,1,2)="50",NOT(input_values!M366="Y")),AND(MID(B366,1,2)="40",NOT(input_values!M366="Y")),AND(MID(B366,1,2)="30",NOT(input_values!M366="Y"))),3,IF(OR(V366="&lt;25",B366&gt;1000000),1,IF((T366&gt;=S366),"2b","2a")))))</f>
        <v/>
      </c>
      <c r="Y366" s="38" t="str">
        <f>IF(X366="ND","ND",IF(S366="","",IF(input_values!K366&gt;0,input_values!K366,IF(OR(X366=1,X366=3),1,IF((V366&gt;250),5,7)))))</f>
        <v/>
      </c>
      <c r="Z366" s="335" t="str">
        <f t="shared" si="52"/>
        <v/>
      </c>
      <c r="AA366" s="311">
        <f t="shared" si="53"/>
        <v>0</v>
      </c>
      <c r="AB366" s="38" t="str">
        <f t="shared" si="57"/>
        <v/>
      </c>
      <c r="AC366" s="335" t="str">
        <f t="shared" si="58"/>
        <v/>
      </c>
      <c r="AD366" s="311">
        <f t="shared" si="54"/>
        <v>0</v>
      </c>
      <c r="AE366" s="344" t="str">
        <f t="shared" si="59"/>
        <v/>
      </c>
      <c r="AF366" s="344" t="str">
        <f t="shared" si="60"/>
        <v/>
      </c>
      <c r="AG366" s="561" t="str">
        <f t="shared" si="55"/>
        <v/>
      </c>
      <c r="AH366" s="561" t="str">
        <f t="shared" si="61"/>
        <v/>
      </c>
      <c r="AI366" s="576"/>
      <c r="AJ366" s="847"/>
    </row>
    <row r="367" spans="1:36" ht="24" outlineLevel="2" x14ac:dyDescent="0.2">
      <c r="A367" s="133">
        <f>acute_overview_children!A367</f>
        <v>3</v>
      </c>
      <c r="B367" s="5">
        <f>acute_overview_children!B367</f>
        <v>1017000</v>
      </c>
      <c r="C367" s="5" t="s">
        <v>804</v>
      </c>
      <c r="D367" s="300">
        <f>Table22[[#This Row],[Level used for acute calculation]]</f>
        <v>4</v>
      </c>
      <c r="E367" s="302">
        <f>Table22[[#This Row],[MRL individual commodity]]</f>
        <v>0</v>
      </c>
      <c r="F367" s="451">
        <f>Table22[[#This Row],[Acute RA input value]]</f>
        <v>0</v>
      </c>
      <c r="G367" s="301">
        <f>Table22[[#This Row],[Acute RA label]]</f>
        <v>0</v>
      </c>
      <c r="H367" s="303">
        <f>Table22[[#This Row],[Acute RA IESTI new input value]]</f>
        <v>0</v>
      </c>
      <c r="I367" s="301">
        <f>Table22[[#This Row],[Acute RA IESTI new label]]</f>
        <v>0</v>
      </c>
      <c r="J367" s="65"/>
      <c r="K367" s="304">
        <f>Table22[[#This Row],[GAP under assessment]]</f>
        <v>0</v>
      </c>
      <c r="L367" s="304" t="str">
        <f>IF(input_values!$M367=0,"",input_values!$M367)</f>
        <v/>
      </c>
      <c r="M367" s="301" t="str">
        <f>IF(input_values!H367=0,"",input_values!H367)</f>
        <v/>
      </c>
      <c r="N367" s="304">
        <f>input_values!$K367</f>
        <v>0</v>
      </c>
      <c r="O367" s="309"/>
      <c r="P367" s="38"/>
      <c r="Q367" s="306"/>
      <c r="R367" s="309"/>
      <c r="S367" s="336" t="str">
        <f t="shared" si="56"/>
        <v/>
      </c>
      <c r="T367" s="305"/>
      <c r="U367" s="309"/>
      <c r="V367" s="305"/>
      <c r="W367" s="309"/>
      <c r="X367" s="611" t="str">
        <f>IF(V367="ND","ND",IF(S367="","",IF(OR(MID(C367,1,4)="milk",AND(MID(B367,1,2)="50",NOT(input_values!M367="Y")),AND(MID(B367,1,2)="40",NOT(input_values!M367="Y")),AND(MID(B367,1,2)="30",NOT(input_values!M367="Y"))),3,IF(OR(V367="&lt;25",B367&gt;1000000),1,IF((T367&gt;=S367),"2b","2a")))))</f>
        <v/>
      </c>
      <c r="Y367" s="38" t="str">
        <f>IF(X367="ND","ND",IF(S367="","",IF(input_values!K367&gt;0,input_values!K367,IF(OR(X367=1,X367=3),1,IF((V367&gt;250),5,7)))))</f>
        <v/>
      </c>
      <c r="Z367" s="335" t="str">
        <f t="shared" si="52"/>
        <v/>
      </c>
      <c r="AA367" s="311">
        <f t="shared" si="53"/>
        <v>0</v>
      </c>
      <c r="AB367" s="38" t="str">
        <f t="shared" si="57"/>
        <v/>
      </c>
      <c r="AC367" s="335" t="str">
        <f t="shared" si="58"/>
        <v/>
      </c>
      <c r="AD367" s="311">
        <f t="shared" si="54"/>
        <v>0</v>
      </c>
      <c r="AE367" s="344" t="str">
        <f t="shared" si="59"/>
        <v/>
      </c>
      <c r="AF367" s="344" t="str">
        <f t="shared" si="60"/>
        <v/>
      </c>
      <c r="AG367" s="561" t="str">
        <f t="shared" si="55"/>
        <v/>
      </c>
      <c r="AH367" s="561" t="str">
        <f t="shared" si="61"/>
        <v/>
      </c>
      <c r="AI367" s="576"/>
      <c r="AJ367" s="847"/>
    </row>
    <row r="368" spans="1:36" ht="12" customHeight="1" outlineLevel="3" x14ac:dyDescent="0.2">
      <c r="A368" s="39">
        <f>acute_overview_children!A368</f>
        <v>4</v>
      </c>
      <c r="B368" s="23">
        <f>acute_overview_children!B368</f>
        <v>1017010</v>
      </c>
      <c r="C368" s="23" t="s">
        <v>868</v>
      </c>
      <c r="D368" s="300">
        <f>Table22[[#This Row],[Level used for acute calculation]]</f>
        <v>4</v>
      </c>
      <c r="E368" s="302">
        <f>Table22[[#This Row],[MRL individual commodity]]</f>
        <v>0</v>
      </c>
      <c r="F368" s="451">
        <f>Table22[[#This Row],[Acute RA input value]]</f>
        <v>0</v>
      </c>
      <c r="G368" s="301" t="str">
        <f>Table22[[#This Row],[Acute RA label]]</f>
        <v/>
      </c>
      <c r="H368" s="303">
        <f>Table22[[#This Row],[Acute RA IESTI new input value]]</f>
        <v>0</v>
      </c>
      <c r="I368" s="301" t="str">
        <f>Table22[[#This Row],[Acute RA IESTI new label]]</f>
        <v/>
      </c>
      <c r="J368" s="65"/>
      <c r="K368" s="304">
        <f>Table22[[#This Row],[GAP under assessment]]</f>
        <v>0</v>
      </c>
      <c r="L368" s="304" t="str">
        <f>IF(input_values!$M368=0,"",input_values!$M368)</f>
        <v/>
      </c>
      <c r="M368" s="301" t="str">
        <f>IF(input_values!H368=0,"",input_values!H368)</f>
        <v/>
      </c>
      <c r="N368" s="304">
        <f>input_values!$K368</f>
        <v>0</v>
      </c>
      <c r="O368" s="339">
        <v>5.6</v>
      </c>
      <c r="P368" s="128">
        <v>97.5</v>
      </c>
      <c r="Q368" s="346" t="s">
        <v>334</v>
      </c>
      <c r="R368" s="338">
        <v>67.47</v>
      </c>
      <c r="S368" s="338">
        <f t="shared" si="56"/>
        <v>377.83199999999999</v>
      </c>
      <c r="T368" s="305"/>
      <c r="U368" s="309"/>
      <c r="V368" s="305"/>
      <c r="W368" s="309"/>
      <c r="X368" s="460">
        <f>IF(V368="ND","ND",IF(S368="","",IF(OR(MID(C368,1,4)="milk",AND(MID(B368,1,2)="50",NOT(input_values!M368="Y")),AND(MID(B368,1,2)="40",NOT(input_values!M368="Y")),AND(MID(B368,1,2)="30",NOT(input_values!M368="Y"))),3,IF(OR(V368="&lt;25",B368&gt;1000000),1,IF((T368&gt;=S368),"2b","2a")))))</f>
        <v>1</v>
      </c>
      <c r="Y368" s="128">
        <f>IF(X368="ND","ND",IF(S368="","",IF(input_values!K368&gt;0,input_values!K368,IF(OR(X368=1,X368=3),1,IF((V368&gt;250),5,7)))))</f>
        <v>1</v>
      </c>
      <c r="Z368" s="345" t="str">
        <f t="shared" si="52"/>
        <v/>
      </c>
      <c r="AA368" s="332">
        <f t="shared" si="53"/>
        <v>0</v>
      </c>
      <c r="AB368" s="128">
        <f t="shared" si="57"/>
        <v>1</v>
      </c>
      <c r="AC368" s="345" t="str">
        <f t="shared" si="58"/>
        <v/>
      </c>
      <c r="AD368" s="332">
        <f t="shared" si="54"/>
        <v>0</v>
      </c>
      <c r="AE368" s="40" t="str">
        <f t="shared" si="59"/>
        <v/>
      </c>
      <c r="AF368" s="40" t="str">
        <f t="shared" si="60"/>
        <v/>
      </c>
      <c r="AG368" s="561" t="str">
        <f t="shared" si="55"/>
        <v/>
      </c>
      <c r="AH368" s="561" t="str">
        <f t="shared" si="61"/>
        <v/>
      </c>
      <c r="AI368" s="576"/>
      <c r="AJ368" s="847"/>
    </row>
    <row r="369" spans="1:36" ht="12" customHeight="1" outlineLevel="3" x14ac:dyDescent="0.2">
      <c r="A369" s="39">
        <f>acute_overview_children!A369</f>
        <v>4</v>
      </c>
      <c r="B369" s="23">
        <f>acute_overview_children!B369</f>
        <v>1017020</v>
      </c>
      <c r="C369" s="23" t="s">
        <v>805</v>
      </c>
      <c r="D369" s="300">
        <f>Table22[[#This Row],[Level used for acute calculation]]</f>
        <v>4</v>
      </c>
      <c r="E369" s="302">
        <f>Table22[[#This Row],[MRL individual commodity]]</f>
        <v>0</v>
      </c>
      <c r="F369" s="451">
        <f>Table22[[#This Row],[Acute RA input value]]</f>
        <v>0</v>
      </c>
      <c r="G369" s="301" t="str">
        <f>Table22[[#This Row],[Acute RA label]]</f>
        <v/>
      </c>
      <c r="H369" s="303">
        <f>Table22[[#This Row],[Acute RA IESTI new input value]]</f>
        <v>0</v>
      </c>
      <c r="I369" s="301" t="str">
        <f>Table22[[#This Row],[Acute RA IESTI new label]]</f>
        <v/>
      </c>
      <c r="J369" s="65"/>
      <c r="K369" s="304">
        <f>Table22[[#This Row],[GAP under assessment]]</f>
        <v>0</v>
      </c>
      <c r="L369" s="304" t="str">
        <f>IF(input_values!$M369=0,"",input_values!$M369)</f>
        <v/>
      </c>
      <c r="M369" s="301" t="str">
        <f>IF(input_values!H369=0,"",input_values!H369)</f>
        <v/>
      </c>
      <c r="N369" s="304">
        <f>input_values!$K369</f>
        <v>0</v>
      </c>
      <c r="O369" s="338" t="s">
        <v>618</v>
      </c>
      <c r="P369" s="128"/>
      <c r="Q369" s="346"/>
      <c r="R369" s="338"/>
      <c r="S369" s="338" t="str">
        <f t="shared" si="56"/>
        <v>ND</v>
      </c>
      <c r="T369" s="305"/>
      <c r="U369" s="309"/>
      <c r="V369" s="305"/>
      <c r="W369" s="309"/>
      <c r="X369" s="460">
        <f>IF(V369="ND","ND",IF(S369="","",IF(OR(MID(C369,1,4)="milk",AND(MID(B369,1,2)="50",NOT(input_values!M369="Y")),AND(MID(B369,1,2)="40",NOT(input_values!M369="Y")),AND(MID(B369,1,2)="30",NOT(input_values!M369="Y"))),3,IF(OR(V369="&lt;25",B369&gt;1000000),1,IF((T369&gt;=S369),"2b","2a")))))</f>
        <v>1</v>
      </c>
      <c r="Y369" s="128">
        <f>IF(X369="ND","ND",IF(S369="","",IF(input_values!K369&gt;0,input_values!K369,IF(OR(X369=1,X369=3),1,IF((V369&gt;250),5,7)))))</f>
        <v>1</v>
      </c>
      <c r="Z369" s="340" t="str">
        <f t="shared" si="52"/>
        <v/>
      </c>
      <c r="AA369" s="332">
        <f t="shared" si="53"/>
        <v>0</v>
      </c>
      <c r="AB369" s="128">
        <f t="shared" si="57"/>
        <v>1</v>
      </c>
      <c r="AC369" s="340" t="str">
        <f t="shared" si="58"/>
        <v/>
      </c>
      <c r="AD369" s="332">
        <f t="shared" si="54"/>
        <v>0</v>
      </c>
      <c r="AE369" s="37" t="str">
        <f t="shared" si="59"/>
        <v/>
      </c>
      <c r="AF369" s="37" t="str">
        <f t="shared" si="60"/>
        <v/>
      </c>
      <c r="AG369" s="561" t="str">
        <f t="shared" si="55"/>
        <v/>
      </c>
      <c r="AH369" s="561" t="str">
        <f t="shared" si="61"/>
        <v/>
      </c>
      <c r="AI369" s="576"/>
      <c r="AJ369" s="847"/>
    </row>
    <row r="370" spans="1:36" ht="12" customHeight="1" outlineLevel="3" x14ac:dyDescent="0.2">
      <c r="A370" s="39">
        <f>acute_overview_children!A370</f>
        <v>4</v>
      </c>
      <c r="B370" s="23">
        <f>acute_overview_children!B370</f>
        <v>1017030</v>
      </c>
      <c r="C370" s="23" t="s">
        <v>806</v>
      </c>
      <c r="D370" s="300">
        <f>Table22[[#This Row],[Level used for acute calculation]]</f>
        <v>4</v>
      </c>
      <c r="E370" s="302">
        <f>Table22[[#This Row],[MRL individual commodity]]</f>
        <v>0</v>
      </c>
      <c r="F370" s="451">
        <f>Table22[[#This Row],[Acute RA input value]]</f>
        <v>0</v>
      </c>
      <c r="G370" s="301" t="str">
        <f>Table22[[#This Row],[Acute RA label]]</f>
        <v/>
      </c>
      <c r="H370" s="303">
        <f>Table22[[#This Row],[Acute RA IESTI new input value]]</f>
        <v>0</v>
      </c>
      <c r="I370" s="301" t="str">
        <f>Table22[[#This Row],[Acute RA IESTI new label]]</f>
        <v/>
      </c>
      <c r="J370" s="65"/>
      <c r="K370" s="304">
        <f>Table22[[#This Row],[GAP under assessment]]</f>
        <v>0</v>
      </c>
      <c r="L370" s="304" t="str">
        <f>IF(input_values!$M370=0,"",input_values!$M370)</f>
        <v/>
      </c>
      <c r="M370" s="301" t="str">
        <f>IF(input_values!H370=0,"",input_values!H370)</f>
        <v/>
      </c>
      <c r="N370" s="304">
        <f>input_values!$K370</f>
        <v>0</v>
      </c>
      <c r="O370" s="338" t="s">
        <v>618</v>
      </c>
      <c r="P370" s="128"/>
      <c r="Q370" s="346"/>
      <c r="R370" s="338"/>
      <c r="S370" s="338" t="str">
        <f t="shared" si="56"/>
        <v>ND</v>
      </c>
      <c r="T370" s="305"/>
      <c r="U370" s="309"/>
      <c r="V370" s="305"/>
      <c r="W370" s="309"/>
      <c r="X370" s="460">
        <f>IF(V370="ND","ND",IF(S370="","",IF(OR(MID(C370,1,4)="milk",AND(MID(B370,1,2)="50",NOT(input_values!M370="Y")),AND(MID(B370,1,2)="40",NOT(input_values!M370="Y")),AND(MID(B370,1,2)="30",NOT(input_values!M370="Y"))),3,IF(OR(V370="&lt;25",B370&gt;1000000),1,IF((T370&gt;=S370),"2b","2a")))))</f>
        <v>1</v>
      </c>
      <c r="Y370" s="128">
        <f>IF(X370="ND","ND",IF(S370="","",IF(input_values!K370&gt;0,input_values!K370,IF(OR(X370=1,X370=3),1,IF((V370&gt;250),5,7)))))</f>
        <v>1</v>
      </c>
      <c r="Z370" s="340" t="str">
        <f t="shared" si="52"/>
        <v/>
      </c>
      <c r="AA370" s="332">
        <f t="shared" si="53"/>
        <v>0</v>
      </c>
      <c r="AB370" s="128">
        <f t="shared" si="57"/>
        <v>1</v>
      </c>
      <c r="AC370" s="340" t="str">
        <f t="shared" si="58"/>
        <v/>
      </c>
      <c r="AD370" s="332">
        <f t="shared" si="54"/>
        <v>0</v>
      </c>
      <c r="AE370" s="37" t="str">
        <f t="shared" si="59"/>
        <v/>
      </c>
      <c r="AF370" s="37" t="str">
        <f t="shared" si="60"/>
        <v/>
      </c>
      <c r="AG370" s="561" t="str">
        <f t="shared" si="55"/>
        <v/>
      </c>
      <c r="AH370" s="561" t="str">
        <f t="shared" si="61"/>
        <v/>
      </c>
      <c r="AI370" s="576"/>
      <c r="AJ370" s="847"/>
    </row>
    <row r="371" spans="1:36" ht="12" customHeight="1" outlineLevel="3" x14ac:dyDescent="0.2">
      <c r="A371" s="39">
        <f>acute_overview_children!A371</f>
        <v>4</v>
      </c>
      <c r="B371" s="23">
        <f>acute_overview_children!B371</f>
        <v>1017040</v>
      </c>
      <c r="C371" s="23" t="s">
        <v>807</v>
      </c>
      <c r="D371" s="300">
        <f>Table22[[#This Row],[Level used for acute calculation]]</f>
        <v>4</v>
      </c>
      <c r="E371" s="302">
        <f>Table22[[#This Row],[MRL individual commodity]]</f>
        <v>0</v>
      </c>
      <c r="F371" s="451">
        <f>Table22[[#This Row],[Acute RA input value]]</f>
        <v>0</v>
      </c>
      <c r="G371" s="301" t="str">
        <f>Table22[[#This Row],[Acute RA label]]</f>
        <v/>
      </c>
      <c r="H371" s="303">
        <f>Table22[[#This Row],[Acute RA IESTI new input value]]</f>
        <v>0</v>
      </c>
      <c r="I371" s="301" t="str">
        <f>Table22[[#This Row],[Acute RA IESTI new label]]</f>
        <v/>
      </c>
      <c r="J371" s="65"/>
      <c r="K371" s="304">
        <f>Table22[[#This Row],[GAP under assessment]]</f>
        <v>0</v>
      </c>
      <c r="L371" s="304" t="str">
        <f>IF(input_values!$M371=0,"",input_values!$M371)</f>
        <v/>
      </c>
      <c r="M371" s="301" t="str">
        <f>IF(input_values!H371=0,"",input_values!H371)</f>
        <v/>
      </c>
      <c r="N371" s="304">
        <f>input_values!$K371</f>
        <v>0</v>
      </c>
      <c r="O371" s="338" t="s">
        <v>618</v>
      </c>
      <c r="P371" s="128"/>
      <c r="Q371" s="346"/>
      <c r="R371" s="338"/>
      <c r="S371" s="338" t="str">
        <f t="shared" si="56"/>
        <v>ND</v>
      </c>
      <c r="T371" s="305"/>
      <c r="U371" s="309"/>
      <c r="V371" s="305"/>
      <c r="W371" s="309"/>
      <c r="X371" s="460">
        <f>IF(V371="ND","ND",IF(S371="","",IF(OR(MID(C371,1,4)="milk",AND(MID(B371,1,2)="50",NOT(input_values!M371="Y")),AND(MID(B371,1,2)="40",NOT(input_values!M371="Y")),AND(MID(B371,1,2)="30",NOT(input_values!M371="Y"))),3,IF(OR(V371="&lt;25",B371&gt;1000000),1,IF((T371&gt;=S371),"2b","2a")))))</f>
        <v>1</v>
      </c>
      <c r="Y371" s="128">
        <f>IF(X371="ND","ND",IF(S371="","",IF(input_values!K371&gt;0,input_values!K371,IF(OR(X371=1,X371=3),1,IF((V371&gt;250),5,7)))))</f>
        <v>1</v>
      </c>
      <c r="Z371" s="340" t="str">
        <f t="shared" si="52"/>
        <v/>
      </c>
      <c r="AA371" s="332">
        <f t="shared" si="53"/>
        <v>0</v>
      </c>
      <c r="AB371" s="128">
        <f t="shared" si="57"/>
        <v>1</v>
      </c>
      <c r="AC371" s="340" t="str">
        <f t="shared" si="58"/>
        <v/>
      </c>
      <c r="AD371" s="332">
        <f t="shared" si="54"/>
        <v>0</v>
      </c>
      <c r="AE371" s="37" t="str">
        <f t="shared" si="59"/>
        <v/>
      </c>
      <c r="AF371" s="37" t="str">
        <f t="shared" si="60"/>
        <v/>
      </c>
      <c r="AG371" s="561" t="str">
        <f t="shared" si="55"/>
        <v/>
      </c>
      <c r="AH371" s="561" t="str">
        <f t="shared" si="61"/>
        <v/>
      </c>
      <c r="AI371" s="576"/>
      <c r="AJ371" s="847"/>
    </row>
    <row r="372" spans="1:36" ht="12" customHeight="1" outlineLevel="3" x14ac:dyDescent="0.2">
      <c r="A372" s="39">
        <f>acute_overview_children!A372</f>
        <v>4</v>
      </c>
      <c r="B372" s="23">
        <f>acute_overview_children!B372</f>
        <v>1017050</v>
      </c>
      <c r="C372" s="23" t="s">
        <v>809</v>
      </c>
      <c r="D372" s="300">
        <f>Table22[[#This Row],[Level used for acute calculation]]</f>
        <v>4</v>
      </c>
      <c r="E372" s="302">
        <f>Table22[[#This Row],[MRL individual commodity]]</f>
        <v>0</v>
      </c>
      <c r="F372" s="451">
        <f>Table22[[#This Row],[Acute RA input value]]</f>
        <v>0</v>
      </c>
      <c r="G372" s="301" t="str">
        <f>Table22[[#This Row],[Acute RA label]]</f>
        <v/>
      </c>
      <c r="H372" s="303">
        <f>Table22[[#This Row],[Acute RA IESTI new input value]]</f>
        <v>0</v>
      </c>
      <c r="I372" s="301" t="str">
        <f>Table22[[#This Row],[Acute RA IESTI new label]]</f>
        <v/>
      </c>
      <c r="J372" s="65"/>
      <c r="K372" s="304">
        <f>Table22[[#This Row],[GAP under assessment]]</f>
        <v>0</v>
      </c>
      <c r="L372" s="304" t="str">
        <f>IF(input_values!$M372=0,"",input_values!$M372)</f>
        <v/>
      </c>
      <c r="M372" s="301" t="str">
        <f>IF(input_values!H372=0,"",input_values!H372)</f>
        <v/>
      </c>
      <c r="N372" s="304">
        <f>input_values!$K372</f>
        <v>0</v>
      </c>
      <c r="O372" s="338" t="s">
        <v>618</v>
      </c>
      <c r="P372" s="128"/>
      <c r="Q372" s="346"/>
      <c r="R372" s="338"/>
      <c r="S372" s="338" t="str">
        <f t="shared" si="56"/>
        <v>ND</v>
      </c>
      <c r="T372" s="305"/>
      <c r="U372" s="309"/>
      <c r="V372" s="305"/>
      <c r="W372" s="309"/>
      <c r="X372" s="460">
        <f>IF(V372="ND","ND",IF(S372="","",IF(OR(MID(C372,1,4)="milk",AND(MID(B372,1,2)="50",NOT(input_values!M372="Y")),AND(MID(B372,1,2)="40",NOT(input_values!M372="Y")),AND(MID(B372,1,2)="30",NOT(input_values!M372="Y"))),3,IF(OR(V372="&lt;25",B372&gt;1000000),1,IF((T372&gt;=S372),"2b","2a")))))</f>
        <v>1</v>
      </c>
      <c r="Y372" s="128">
        <f>IF(X372="ND","ND",IF(S372="","",IF(input_values!K372&gt;0,input_values!K372,IF(OR(X372=1,X372=3),1,IF((V372&gt;250),5,7)))))</f>
        <v>1</v>
      </c>
      <c r="Z372" s="340" t="str">
        <f t="shared" si="52"/>
        <v/>
      </c>
      <c r="AA372" s="332">
        <f t="shared" si="53"/>
        <v>0</v>
      </c>
      <c r="AB372" s="128">
        <f t="shared" si="57"/>
        <v>1</v>
      </c>
      <c r="AC372" s="340" t="str">
        <f t="shared" si="58"/>
        <v/>
      </c>
      <c r="AD372" s="332">
        <f t="shared" si="54"/>
        <v>0</v>
      </c>
      <c r="AE372" s="37" t="str">
        <f t="shared" si="59"/>
        <v/>
      </c>
      <c r="AF372" s="37" t="str">
        <f t="shared" si="60"/>
        <v/>
      </c>
      <c r="AG372" s="561" t="str">
        <f t="shared" si="55"/>
        <v/>
      </c>
      <c r="AH372" s="561" t="str">
        <f t="shared" si="61"/>
        <v/>
      </c>
      <c r="AI372" s="576"/>
      <c r="AJ372" s="847"/>
    </row>
    <row r="373" spans="1:36" ht="12" customHeight="1" outlineLevel="3" x14ac:dyDescent="0.2">
      <c r="A373" s="39">
        <f>acute_overview_children!A373</f>
        <v>4</v>
      </c>
      <c r="B373" s="23">
        <f>acute_overview_children!B373</f>
        <v>1017990</v>
      </c>
      <c r="C373" s="23" t="s">
        <v>808</v>
      </c>
      <c r="D373" s="300">
        <f>Table22[[#This Row],[Level used for acute calculation]]</f>
        <v>0</v>
      </c>
      <c r="E373" s="302">
        <f>Table22[[#This Row],[MRL individual commodity]]</f>
        <v>0</v>
      </c>
      <c r="F373" s="451">
        <f>Table22[[#This Row],[Acute RA input value]]</f>
        <v>0</v>
      </c>
      <c r="G373" s="301">
        <f>Table22[[#This Row],[Acute RA label]]</f>
        <v>0</v>
      </c>
      <c r="H373" s="303">
        <f>Table22[[#This Row],[Acute RA IESTI new input value]]</f>
        <v>0</v>
      </c>
      <c r="I373" s="301">
        <f>Table22[[#This Row],[Acute RA IESTI new label]]</f>
        <v>0</v>
      </c>
      <c r="J373" s="65"/>
      <c r="K373" s="304">
        <f>Table22[[#This Row],[GAP under assessment]]</f>
        <v>0</v>
      </c>
      <c r="L373" s="304" t="str">
        <f>IF(input_values!$M373=0,"",input_values!$M373)</f>
        <v/>
      </c>
      <c r="M373" s="301" t="str">
        <f>IF(input_values!H373=0,"",input_values!H373)</f>
        <v/>
      </c>
      <c r="N373" s="304">
        <f>input_values!$K373</f>
        <v>0</v>
      </c>
      <c r="O373" s="349"/>
      <c r="P373" s="47"/>
      <c r="Q373" s="348"/>
      <c r="R373" s="349"/>
      <c r="S373" s="610"/>
      <c r="T373" s="305"/>
      <c r="U373" s="309"/>
      <c r="V373" s="305"/>
      <c r="W373" s="309"/>
      <c r="X373" s="611" t="str">
        <f>IF(V373="ND","ND",IF(S373="","",IF(OR(MID(C373,1,4)="milk",AND(MID(B373,1,2)="50",NOT(input_values!M373="Y")),AND(MID(B373,1,2)="40",NOT(input_values!M373="Y")),AND(MID(B373,1,2)="30",NOT(input_values!M373="Y"))),3,IF(OR(V373="&lt;25",B373&gt;1000000),1,IF((T373&gt;=S373),"2b","2a")))))</f>
        <v/>
      </c>
      <c r="Y373" s="47" t="str">
        <f>IF(X373="ND","ND",IF(S373="","",IF(input_values!K373&gt;0,input_values!K373,IF(OR(X373=1,X373=3),1,IF((V373&gt;250),5,7)))))</f>
        <v/>
      </c>
      <c r="Z373" s="354" t="str">
        <f t="shared" si="52"/>
        <v/>
      </c>
      <c r="AA373" s="351">
        <f t="shared" si="53"/>
        <v>0</v>
      </c>
      <c r="AB373" s="47"/>
      <c r="AC373" s="354"/>
      <c r="AD373" s="351">
        <f t="shared" si="54"/>
        <v>0</v>
      </c>
      <c r="AE373" s="355"/>
      <c r="AF373" s="355"/>
      <c r="AG373" s="561" t="str">
        <f t="shared" si="55"/>
        <v/>
      </c>
      <c r="AH373" s="561" t="str">
        <f t="shared" si="61"/>
        <v/>
      </c>
      <c r="AI373" s="576"/>
      <c r="AJ373" s="847"/>
    </row>
    <row r="374" spans="1:36" outlineLevel="1" x14ac:dyDescent="0.2">
      <c r="A374" s="130">
        <f>acute_overview_children!A374</f>
        <v>2</v>
      </c>
      <c r="B374" s="131">
        <f>acute_overview_children!B374</f>
        <v>1020000</v>
      </c>
      <c r="C374" s="131" t="s">
        <v>628</v>
      </c>
      <c r="D374" s="300">
        <f>Table22[[#This Row],[Level used for acute calculation]]</f>
        <v>4</v>
      </c>
      <c r="E374" s="302">
        <f>Table22[[#This Row],[MRL individual commodity]]</f>
        <v>0</v>
      </c>
      <c r="F374" s="451">
        <f>Table22[[#This Row],[Acute RA input value]]</f>
        <v>0</v>
      </c>
      <c r="G374" s="301">
        <f>Table22[[#This Row],[Acute RA label]]</f>
        <v>0</v>
      </c>
      <c r="H374" s="303">
        <f>Table22[[#This Row],[Acute RA IESTI new input value]]</f>
        <v>0</v>
      </c>
      <c r="I374" s="301">
        <f>Table22[[#This Row],[Acute RA IESTI new label]]</f>
        <v>0</v>
      </c>
      <c r="J374" s="65"/>
      <c r="K374" s="304">
        <f>Table22[[#This Row],[GAP under assessment]]</f>
        <v>0</v>
      </c>
      <c r="L374" s="304" t="str">
        <f>IF(input_values!$M374=0,"",input_values!$M374)</f>
        <v/>
      </c>
      <c r="M374" s="301" t="str">
        <f>IF(input_values!H374=0,"",input_values!H374)</f>
        <v/>
      </c>
      <c r="N374" s="304">
        <f>input_values!$K374</f>
        <v>0</v>
      </c>
      <c r="O374" s="309"/>
      <c r="P374" s="38"/>
      <c r="Q374" s="306"/>
      <c r="R374" s="309"/>
      <c r="S374" s="336" t="str">
        <f t="shared" si="56"/>
        <v/>
      </c>
      <c r="T374" s="305"/>
      <c r="U374" s="309"/>
      <c r="V374" s="305"/>
      <c r="W374" s="309"/>
      <c r="X374" s="611" t="str">
        <f>IF(V374="ND","ND",IF(S374="","",IF(OR(MID(C374,1,4)="milk",AND(MID(B374,1,2)="50",NOT(input_values!M374="Y")),AND(MID(B374,1,2)="40",NOT(input_values!M374="Y")),AND(MID(B374,1,2)="30",NOT(input_values!M374="Y"))),3,IF(OR(V374="&lt;25",B374&gt;1000000),1,IF((T374&gt;=S374),"2b","2a")))))</f>
        <v/>
      </c>
      <c r="Y374" s="38" t="str">
        <f>IF(X374="ND","ND",IF(S374="","",IF(input_values!K374&gt;0,input_values!K374,IF(OR(X374=1,X374=3),1,IF((V374&gt;250),5,7)))))</f>
        <v/>
      </c>
      <c r="Z374" s="335" t="str">
        <f t="shared" si="52"/>
        <v/>
      </c>
      <c r="AA374" s="311">
        <f t="shared" si="53"/>
        <v>0</v>
      </c>
      <c r="AB374" s="38" t="str">
        <f t="shared" si="57"/>
        <v/>
      </c>
      <c r="AC374" s="335" t="str">
        <f t="shared" si="58"/>
        <v/>
      </c>
      <c r="AD374" s="311">
        <f t="shared" si="54"/>
        <v>0</v>
      </c>
      <c r="AE374" s="344" t="str">
        <f t="shared" si="59"/>
        <v/>
      </c>
      <c r="AF374" s="344" t="str">
        <f t="shared" si="60"/>
        <v/>
      </c>
      <c r="AG374" s="561" t="str">
        <f t="shared" si="55"/>
        <v/>
      </c>
      <c r="AH374" s="561" t="str">
        <f t="shared" si="61"/>
        <v/>
      </c>
      <c r="AI374" s="576"/>
      <c r="AJ374" s="847"/>
    </row>
    <row r="375" spans="1:36" ht="12" customHeight="1" outlineLevel="3" x14ac:dyDescent="0.2">
      <c r="A375" s="39">
        <f>acute_overview_children!A375</f>
        <v>4</v>
      </c>
      <c r="B375" s="23">
        <f>acute_overview_children!B375</f>
        <v>1020010</v>
      </c>
      <c r="C375" s="23" t="s">
        <v>629</v>
      </c>
      <c r="D375" s="300">
        <f>Table22[[#This Row],[Level used for acute calculation]]</f>
        <v>4</v>
      </c>
      <c r="E375" s="302">
        <f>Table22[[#This Row],[MRL individual commodity]]</f>
        <v>0</v>
      </c>
      <c r="F375" s="451">
        <f>Table22[[#This Row],[Acute RA input value]]</f>
        <v>0</v>
      </c>
      <c r="G375" s="301" t="str">
        <f>Table22[[#This Row],[Acute RA label]]</f>
        <v/>
      </c>
      <c r="H375" s="303">
        <f>Table22[[#This Row],[Acute RA IESTI new input value]]</f>
        <v>0</v>
      </c>
      <c r="I375" s="301" t="str">
        <f>Table22[[#This Row],[Acute RA IESTI new label]]</f>
        <v/>
      </c>
      <c r="J375" s="65"/>
      <c r="K375" s="304">
        <f>Table22[[#This Row],[GAP under assessment]]</f>
        <v>0</v>
      </c>
      <c r="L375" s="304" t="str">
        <f>IF(input_values!$M375=0,"",input_values!$M375)</f>
        <v/>
      </c>
      <c r="M375" s="301" t="str">
        <f>IF(input_values!H375=0,"",input_values!H375)</f>
        <v/>
      </c>
      <c r="N375" s="304">
        <f>input_values!$K375</f>
        <v>0</v>
      </c>
      <c r="O375" s="339">
        <v>38.560790273556236</v>
      </c>
      <c r="P375" s="128" t="s">
        <v>328</v>
      </c>
      <c r="Q375" s="346" t="s">
        <v>99</v>
      </c>
      <c r="R375" s="338">
        <v>65.8</v>
      </c>
      <c r="S375" s="338">
        <f t="shared" si="56"/>
        <v>2537.3000000000002</v>
      </c>
      <c r="T375" s="305"/>
      <c r="U375" s="309"/>
      <c r="V375" s="305"/>
      <c r="W375" s="309"/>
      <c r="X375" s="460">
        <f>IF(V375="ND","ND",IF(S375="","",IF(OR(MID(C375,1,4)="milk",AND(MID(B375,1,2)="50",NOT(input_values!M375="Y")),AND(MID(B375,1,2)="40",NOT(input_values!M375="Y")),AND(MID(B375,1,2)="30",NOT(input_values!M375="Y"))),3,IF(OR(V375="&lt;25",B375&gt;1000000),1,IF((T375&gt;=S375),"2b","2a")))))</f>
        <v>3</v>
      </c>
      <c r="Y375" s="128">
        <f>IF(X375="ND","ND",IF(S375="","",IF(input_values!K375&gt;0,input_values!K375,IF(OR(X375=1,X375=3),1,IF((V375&gt;250),5,7)))))</f>
        <v>1</v>
      </c>
      <c r="Z375" s="345" t="str">
        <f t="shared" si="52"/>
        <v/>
      </c>
      <c r="AA375" s="332">
        <f t="shared" si="53"/>
        <v>0</v>
      </c>
      <c r="AB375" s="128">
        <f t="shared" si="57"/>
        <v>1</v>
      </c>
      <c r="AC375" s="345" t="str">
        <f t="shared" si="58"/>
        <v/>
      </c>
      <c r="AD375" s="332">
        <f t="shared" si="54"/>
        <v>0</v>
      </c>
      <c r="AE375" s="40" t="str">
        <f t="shared" si="59"/>
        <v/>
      </c>
      <c r="AF375" s="40" t="str">
        <f t="shared" si="60"/>
        <v/>
      </c>
      <c r="AG375" s="561" t="str">
        <f t="shared" si="55"/>
        <v/>
      </c>
      <c r="AH375" s="561" t="str">
        <f t="shared" si="61"/>
        <v/>
      </c>
      <c r="AI375" s="576"/>
      <c r="AJ375" s="847"/>
    </row>
    <row r="376" spans="1:36" ht="12" customHeight="1" outlineLevel="3" x14ac:dyDescent="0.2">
      <c r="A376" s="39">
        <f>acute_overview_children!A376</f>
        <v>4</v>
      </c>
      <c r="B376" s="23">
        <f>acute_overview_children!B376</f>
        <v>1020020</v>
      </c>
      <c r="C376" s="23" t="s">
        <v>630</v>
      </c>
      <c r="D376" s="300">
        <f>Table22[[#This Row],[Level used for acute calculation]]</f>
        <v>4</v>
      </c>
      <c r="E376" s="302">
        <f>Table22[[#This Row],[MRL individual commodity]]</f>
        <v>0</v>
      </c>
      <c r="F376" s="451">
        <f>Table22[[#This Row],[Acute RA input value]]</f>
        <v>0</v>
      </c>
      <c r="G376" s="301" t="str">
        <f>Table22[[#This Row],[Acute RA label]]</f>
        <v/>
      </c>
      <c r="H376" s="303">
        <f>Table22[[#This Row],[Acute RA IESTI new input value]]</f>
        <v>0</v>
      </c>
      <c r="I376" s="301" t="str">
        <f>Table22[[#This Row],[Acute RA IESTI new label]]</f>
        <v/>
      </c>
      <c r="J376" s="65"/>
      <c r="K376" s="304">
        <f>Table22[[#This Row],[GAP under assessment]]</f>
        <v>0</v>
      </c>
      <c r="L376" s="304" t="str">
        <f>IF(input_values!$M376=0,"",input_values!$M376)</f>
        <v/>
      </c>
      <c r="M376" s="301" t="str">
        <f>IF(input_values!H376=0,"",input_values!H376)</f>
        <v/>
      </c>
      <c r="N376" s="304">
        <f>input_values!$K376</f>
        <v>0</v>
      </c>
      <c r="O376" s="339">
        <v>15.1</v>
      </c>
      <c r="P376" s="128">
        <v>97.5</v>
      </c>
      <c r="Q376" s="346" t="s">
        <v>334</v>
      </c>
      <c r="R376" s="338">
        <v>67.47</v>
      </c>
      <c r="S376" s="338">
        <f t="shared" si="56"/>
        <v>1018.7969999999999</v>
      </c>
      <c r="T376" s="305"/>
      <c r="U376" s="309"/>
      <c r="V376" s="305"/>
      <c r="W376" s="309"/>
      <c r="X376" s="460">
        <f>IF(V376="ND","ND",IF(S376="","",IF(OR(MID(C376,1,4)="milk",AND(MID(B376,1,2)="50",NOT(input_values!M376="Y")),AND(MID(B376,1,2)="40",NOT(input_values!M376="Y")),AND(MID(B376,1,2)="30",NOT(input_values!M376="Y"))),3,IF(OR(V376="&lt;25",B376&gt;1000000),1,IF((T376&gt;=S376),"2b","2a")))))</f>
        <v>3</v>
      </c>
      <c r="Y376" s="128">
        <f>IF(X376="ND","ND",IF(S376="","",IF(input_values!K376&gt;0,input_values!K376,IF(OR(X376=1,X376=3),1,IF((V376&gt;250),5,7)))))</f>
        <v>1</v>
      </c>
      <c r="Z376" s="345" t="str">
        <f t="shared" si="52"/>
        <v/>
      </c>
      <c r="AA376" s="332">
        <f t="shared" si="53"/>
        <v>0</v>
      </c>
      <c r="AB376" s="128">
        <f t="shared" si="57"/>
        <v>1</v>
      </c>
      <c r="AC376" s="345" t="str">
        <f t="shared" si="58"/>
        <v/>
      </c>
      <c r="AD376" s="332">
        <f t="shared" si="54"/>
        <v>0</v>
      </c>
      <c r="AE376" s="40" t="str">
        <f t="shared" si="59"/>
        <v/>
      </c>
      <c r="AF376" s="40" t="str">
        <f t="shared" si="60"/>
        <v/>
      </c>
      <c r="AG376" s="561" t="str">
        <f t="shared" si="55"/>
        <v/>
      </c>
      <c r="AH376" s="561" t="str">
        <f t="shared" si="61"/>
        <v/>
      </c>
      <c r="AI376" s="576"/>
      <c r="AJ376" s="847"/>
    </row>
    <row r="377" spans="1:36" ht="12" customHeight="1" outlineLevel="3" x14ac:dyDescent="0.2">
      <c r="A377" s="39">
        <f>acute_overview_children!A377</f>
        <v>4</v>
      </c>
      <c r="B377" s="23">
        <f>acute_overview_children!B377</f>
        <v>1020030</v>
      </c>
      <c r="C377" s="23" t="s">
        <v>631</v>
      </c>
      <c r="D377" s="300">
        <f>Table22[[#This Row],[Level used for acute calculation]]</f>
        <v>4</v>
      </c>
      <c r="E377" s="302">
        <f>Table22[[#This Row],[MRL individual commodity]]</f>
        <v>0</v>
      </c>
      <c r="F377" s="451">
        <f>Table22[[#This Row],[Acute RA input value]]</f>
        <v>0</v>
      </c>
      <c r="G377" s="301" t="str">
        <f>Table22[[#This Row],[Acute RA label]]</f>
        <v/>
      </c>
      <c r="H377" s="303">
        <f>Table22[[#This Row],[Acute RA IESTI new input value]]</f>
        <v>0</v>
      </c>
      <c r="I377" s="301" t="str">
        <f>Table22[[#This Row],[Acute RA IESTI new label]]</f>
        <v/>
      </c>
      <c r="J377" s="65"/>
      <c r="K377" s="304">
        <f>Table22[[#This Row],[GAP under assessment]]</f>
        <v>0</v>
      </c>
      <c r="L377" s="304" t="str">
        <f>IF(input_values!$M377=0,"",input_values!$M377)</f>
        <v/>
      </c>
      <c r="M377" s="301" t="str">
        <f>IF(input_values!H377=0,"",input_values!H377)</f>
        <v/>
      </c>
      <c r="N377" s="304">
        <f>input_values!$K377</f>
        <v>0</v>
      </c>
      <c r="O377" s="339">
        <v>18.399999999999999</v>
      </c>
      <c r="P377" s="128">
        <v>97.5</v>
      </c>
      <c r="Q377" s="346" t="s">
        <v>334</v>
      </c>
      <c r="R377" s="338">
        <v>67.47</v>
      </c>
      <c r="S377" s="338">
        <f t="shared" si="56"/>
        <v>1241.4479999999999</v>
      </c>
      <c r="T377" s="305"/>
      <c r="U377" s="309"/>
      <c r="V377" s="305"/>
      <c r="W377" s="309"/>
      <c r="X377" s="460">
        <f>IF(V377="ND","ND",IF(S377="","",IF(OR(MID(C377,1,4)="milk",AND(MID(B377,1,2)="50",NOT(input_values!M377="Y")),AND(MID(B377,1,2)="40",NOT(input_values!M377="Y")),AND(MID(B377,1,2)="30",NOT(input_values!M377="Y"))),3,IF(OR(V377="&lt;25",B377&gt;1000000),1,IF((T377&gt;=S377),"2b","2a")))))</f>
        <v>3</v>
      </c>
      <c r="Y377" s="128">
        <f>IF(X377="ND","ND",IF(S377="","",IF(input_values!K377&gt;0,input_values!K377,IF(OR(X377=1,X377=3),1,IF((V377&gt;250),5,7)))))</f>
        <v>1</v>
      </c>
      <c r="Z377" s="345" t="str">
        <f t="shared" si="52"/>
        <v/>
      </c>
      <c r="AA377" s="332">
        <f t="shared" si="53"/>
        <v>0</v>
      </c>
      <c r="AB377" s="128">
        <f t="shared" si="57"/>
        <v>1</v>
      </c>
      <c r="AC377" s="345" t="str">
        <f t="shared" si="58"/>
        <v/>
      </c>
      <c r="AD377" s="332">
        <f t="shared" si="54"/>
        <v>0</v>
      </c>
      <c r="AE377" s="40" t="str">
        <f t="shared" si="59"/>
        <v/>
      </c>
      <c r="AF377" s="40" t="str">
        <f t="shared" si="60"/>
        <v/>
      </c>
      <c r="AG377" s="561" t="str">
        <f t="shared" si="55"/>
        <v/>
      </c>
      <c r="AH377" s="561" t="str">
        <f t="shared" si="61"/>
        <v/>
      </c>
      <c r="AI377" s="576"/>
      <c r="AJ377" s="847"/>
    </row>
    <row r="378" spans="1:36" ht="12" customHeight="1" outlineLevel="3" x14ac:dyDescent="0.2">
      <c r="A378" s="39">
        <f>acute_overview_children!A378</f>
        <v>4</v>
      </c>
      <c r="B378" s="23">
        <f>acute_overview_children!B378</f>
        <v>1020040</v>
      </c>
      <c r="C378" s="23" t="s">
        <v>639</v>
      </c>
      <c r="D378" s="300">
        <f>Table22[[#This Row],[Level used for acute calculation]]</f>
        <v>4</v>
      </c>
      <c r="E378" s="302">
        <f>Table22[[#This Row],[MRL individual commodity]]</f>
        <v>0</v>
      </c>
      <c r="F378" s="451">
        <f>Table22[[#This Row],[Acute RA input value]]</f>
        <v>0</v>
      </c>
      <c r="G378" s="301" t="str">
        <f>Table22[[#This Row],[Acute RA label]]</f>
        <v/>
      </c>
      <c r="H378" s="303">
        <f>Table22[[#This Row],[Acute RA IESTI new input value]]</f>
        <v>0</v>
      </c>
      <c r="I378" s="301" t="str">
        <f>Table22[[#This Row],[Acute RA IESTI new label]]</f>
        <v/>
      </c>
      <c r="J378" s="65"/>
      <c r="K378" s="304">
        <f>Table22[[#This Row],[GAP under assessment]]</f>
        <v>0</v>
      </c>
      <c r="L378" s="304" t="str">
        <f>IF(input_values!$M378=0,"",input_values!$M378)</f>
        <v/>
      </c>
      <c r="M378" s="301" t="str">
        <f>IF(input_values!H378=0,"",input_values!H378)</f>
        <v/>
      </c>
      <c r="N378" s="304">
        <f>input_values!$K378</f>
        <v>0</v>
      </c>
      <c r="O378" s="338" t="s">
        <v>618</v>
      </c>
      <c r="P378" s="128"/>
      <c r="Q378" s="346"/>
      <c r="R378" s="338"/>
      <c r="S378" s="338" t="str">
        <f t="shared" si="56"/>
        <v>ND</v>
      </c>
      <c r="T378" s="305"/>
      <c r="U378" s="309"/>
      <c r="V378" s="305"/>
      <c r="W378" s="309"/>
      <c r="X378" s="460">
        <f>IF(V378="ND","ND",IF(S378="","",IF(OR(MID(C378,1,4)="milk",AND(MID(B378,1,2)="50",NOT(input_values!M378="Y")),AND(MID(B378,1,2)="40",NOT(input_values!M378="Y")),AND(MID(B378,1,2)="30",NOT(input_values!M378="Y"))),3,IF(OR(V378="&lt;25",B378&gt;1000000),1,IF((T378&gt;=S378),"2b","2a")))))</f>
        <v>3</v>
      </c>
      <c r="Y378" s="128">
        <f>IF(X378="ND","ND",IF(S378="","",IF(input_values!K378&gt;0,input_values!K378,IF(OR(X378=1,X378=3),1,IF((V378&gt;250),5,7)))))</f>
        <v>1</v>
      </c>
      <c r="Z378" s="340" t="str">
        <f t="shared" si="52"/>
        <v/>
      </c>
      <c r="AA378" s="332">
        <f t="shared" si="53"/>
        <v>0</v>
      </c>
      <c r="AB378" s="128">
        <f t="shared" si="57"/>
        <v>1</v>
      </c>
      <c r="AC378" s="340" t="str">
        <f t="shared" si="58"/>
        <v/>
      </c>
      <c r="AD378" s="332">
        <f t="shared" si="54"/>
        <v>0</v>
      </c>
      <c r="AE378" s="37" t="str">
        <f t="shared" si="59"/>
        <v/>
      </c>
      <c r="AF378" s="37" t="str">
        <f t="shared" si="60"/>
        <v/>
      </c>
      <c r="AG378" s="561" t="str">
        <f t="shared" si="55"/>
        <v/>
      </c>
      <c r="AH378" s="561" t="str">
        <f t="shared" si="61"/>
        <v/>
      </c>
      <c r="AI378" s="576"/>
      <c r="AJ378" s="847"/>
    </row>
    <row r="379" spans="1:36" ht="12" customHeight="1" outlineLevel="3" x14ac:dyDescent="0.2">
      <c r="A379" s="39">
        <f>acute_overview_children!A379</f>
        <v>4</v>
      </c>
      <c r="B379" s="23">
        <f>acute_overview_children!B379</f>
        <v>1020990</v>
      </c>
      <c r="C379" s="23" t="s">
        <v>632</v>
      </c>
      <c r="D379" s="300">
        <f>Table22[[#This Row],[Level used for acute calculation]]</f>
        <v>4</v>
      </c>
      <c r="E379" s="302">
        <f>Table22[[#This Row],[MRL individual commodity]]</f>
        <v>0</v>
      </c>
      <c r="F379" s="451">
        <f>Table22[[#This Row],[Acute RA input value]]</f>
        <v>0</v>
      </c>
      <c r="G379" s="301" t="str">
        <f>Table22[[#This Row],[Acute RA label]]</f>
        <v/>
      </c>
      <c r="H379" s="303">
        <f>Table22[[#This Row],[Acute RA IESTI new input value]]</f>
        <v>0</v>
      </c>
      <c r="I379" s="301" t="str">
        <f>Table22[[#This Row],[Acute RA IESTI new label]]</f>
        <v/>
      </c>
      <c r="J379" s="65"/>
      <c r="K379" s="304">
        <f>Table22[[#This Row],[GAP under assessment]]</f>
        <v>0</v>
      </c>
      <c r="L379" s="304" t="str">
        <f>IF(input_values!$M379=0,"",input_values!$M379)</f>
        <v/>
      </c>
      <c r="M379" s="301" t="str">
        <f>IF(input_values!H379=0,"",input_values!H379)</f>
        <v/>
      </c>
      <c r="N379" s="304">
        <f>input_values!$K379</f>
        <v>0</v>
      </c>
      <c r="O379" s="338" t="s">
        <v>618</v>
      </c>
      <c r="P379" s="128"/>
      <c r="Q379" s="346"/>
      <c r="R379" s="338"/>
      <c r="S379" s="338" t="str">
        <f t="shared" ref="S379" si="62">IF(O379="ND","ND",IF(O379="","",O379*R379))</f>
        <v>ND</v>
      </c>
      <c r="T379" s="305"/>
      <c r="U379" s="309"/>
      <c r="V379" s="305"/>
      <c r="W379" s="309"/>
      <c r="X379" s="460">
        <f>IF(V379="ND","ND",IF(S379="","",IF(OR(MID(C379,1,4)="milk",AND(MID(B379,1,2)="50",NOT(input_values!M379="Y")),AND(MID(B379,1,2)="40",NOT(input_values!M379="Y")),AND(MID(B379,1,2)="30",NOT(input_values!M379="Y"))),3,IF(OR(V379="&lt;25",B379&gt;1000000),1,IF((T379&gt;=S379),"2b","2a")))))</f>
        <v>3</v>
      </c>
      <c r="Y379" s="128">
        <f>IF(X379="ND","ND",IF(S379="","",IF(input_values!K379&gt;0,input_values!K379,IF(OR(X379=1,X379=3),1,IF((V379&gt;250),5,7)))))</f>
        <v>1</v>
      </c>
      <c r="Z379" s="340" t="str">
        <f t="shared" ref="Z379" si="63">IF(OR(ISTEXT(F379),F379=0),"",IF(OR(S379="ND",T379="ND"),"ND",IF(($X379="2a"),1/$R379*(($F379*$T379/1000*$Y379)+($F379*($S379-$T379)/1000)),IF(($X379="2b"),1/$R379*($F379*$S379/1000*$Y379),1/$R379*($F379*$S379/1000)))))</f>
        <v/>
      </c>
      <c r="AA379" s="332">
        <f t="shared" si="53"/>
        <v>0</v>
      </c>
      <c r="AB379" s="128">
        <f t="shared" si="57"/>
        <v>1</v>
      </c>
      <c r="AC379" s="340" t="str">
        <f t="shared" ref="AC379" si="64">IF(OR(ISTEXT(H379),H379=0),"",IF(OR(S379="ND",T379="ND"),"ND",1/$R379*($H379*$S379*AB379/1000)))</f>
        <v/>
      </c>
      <c r="AD379" s="332">
        <f t="shared" si="54"/>
        <v>0</v>
      </c>
      <c r="AE379" s="37" t="str">
        <f t="shared" ref="AE379" si="65">IF(AA379&gt;=1,AG379,"")</f>
        <v/>
      </c>
      <c r="AF379" s="37" t="str">
        <f t="shared" ref="AF379" si="66">IF(AD379&gt;=1,AH379,"")</f>
        <v/>
      </c>
      <c r="AG379" s="561" t="str">
        <f t="shared" si="55"/>
        <v/>
      </c>
      <c r="AH379" s="561"/>
      <c r="AI379" s="576"/>
      <c r="AJ379" s="847"/>
    </row>
    <row r="380" spans="1:36" outlineLevel="1" x14ac:dyDescent="0.2">
      <c r="A380" s="130">
        <f>acute_overview_children!A380</f>
        <v>2</v>
      </c>
      <c r="B380" s="131">
        <f>acute_overview_children!B380</f>
        <v>1030000</v>
      </c>
      <c r="C380" s="131" t="s">
        <v>810</v>
      </c>
      <c r="D380" s="300">
        <f>Table22[[#This Row],[Level used for acute calculation]]</f>
        <v>4</v>
      </c>
      <c r="E380" s="302">
        <f>Table22[[#This Row],[MRL individual commodity]]</f>
        <v>0</v>
      </c>
      <c r="F380" s="451">
        <f>Table22[[#This Row],[Acute RA input value]]</f>
        <v>0</v>
      </c>
      <c r="G380" s="301">
        <f>Table22[[#This Row],[Acute RA label]]</f>
        <v>0</v>
      </c>
      <c r="H380" s="303">
        <f>Table22[[#This Row],[Acute RA IESTI new input value]]</f>
        <v>0</v>
      </c>
      <c r="I380" s="301">
        <f>Table22[[#This Row],[Acute RA IESTI new label]]</f>
        <v>0</v>
      </c>
      <c r="J380" s="65"/>
      <c r="K380" s="304">
        <f>Table22[[#This Row],[GAP under assessment]]</f>
        <v>0</v>
      </c>
      <c r="L380" s="304" t="str">
        <f>IF(input_values!$M380=0,"",input_values!$M380)</f>
        <v/>
      </c>
      <c r="M380" s="301" t="str">
        <f>IF(input_values!H380=0,"",input_values!H380)</f>
        <v/>
      </c>
      <c r="N380" s="304">
        <f>input_values!$K380</f>
        <v>0</v>
      </c>
      <c r="O380" s="305"/>
      <c r="P380" s="38"/>
      <c r="Q380" s="306"/>
      <c r="R380" s="309"/>
      <c r="S380" s="336" t="str">
        <f t="shared" si="56"/>
        <v/>
      </c>
      <c r="T380" s="305"/>
      <c r="U380" s="309"/>
      <c r="V380" s="305"/>
      <c r="W380" s="309"/>
      <c r="X380" s="611" t="str">
        <f>IF(V380="ND","ND",IF(S380="","",IF(OR(MID(C380,1,4)="milk",AND(MID(B380,1,2)="50",NOT(input_values!M380="Y")),AND(MID(B380,1,2)="40",NOT(input_values!M380="Y")),AND(MID(B380,1,2)="30",NOT(input_values!M380="Y"))),3,IF(OR(V380="&lt;25",B380&gt;1000000),1,IF((T380&gt;=S380),"2b","2a")))))</f>
        <v/>
      </c>
      <c r="Y380" s="38" t="str">
        <f>IF(X380="ND","ND",IF(S380="","",IF(input_values!K380&gt;0,input_values!K380,IF(OR(X380=1,X380=3),1,IF((V380&gt;250),5,7)))))</f>
        <v/>
      </c>
      <c r="Z380" s="310" t="str">
        <f t="shared" si="52"/>
        <v/>
      </c>
      <c r="AA380" s="311">
        <f t="shared" si="53"/>
        <v>0</v>
      </c>
      <c r="AB380" s="38" t="str">
        <f t="shared" si="57"/>
        <v/>
      </c>
      <c r="AC380" s="310" t="str">
        <f t="shared" si="58"/>
        <v/>
      </c>
      <c r="AD380" s="311">
        <f t="shared" si="54"/>
        <v>0</v>
      </c>
      <c r="AE380" s="312" t="str">
        <f t="shared" si="59"/>
        <v/>
      </c>
      <c r="AF380" s="312" t="str">
        <f t="shared" si="60"/>
        <v/>
      </c>
      <c r="AG380" s="561" t="str">
        <f t="shared" si="55"/>
        <v/>
      </c>
      <c r="AH380" s="561" t="str">
        <f t="shared" si="61"/>
        <v/>
      </c>
      <c r="AI380" s="576"/>
      <c r="AJ380" s="847"/>
    </row>
    <row r="381" spans="1:36" ht="12" customHeight="1" outlineLevel="3" x14ac:dyDescent="0.2">
      <c r="A381" s="39">
        <f>acute_overview_children!A381</f>
        <v>4</v>
      </c>
      <c r="B381" s="23">
        <f>acute_overview_children!B381</f>
        <v>1030010</v>
      </c>
      <c r="C381" s="23" t="s">
        <v>148</v>
      </c>
      <c r="D381" s="300">
        <f>Table22[[#This Row],[Level used for acute calculation]]</f>
        <v>4</v>
      </c>
      <c r="E381" s="302">
        <f>Table22[[#This Row],[MRL individual commodity]]</f>
        <v>0</v>
      </c>
      <c r="F381" s="451">
        <f>Table22[[#This Row],[Acute RA input value]]</f>
        <v>0</v>
      </c>
      <c r="G381" s="301" t="str">
        <f>Table22[[#This Row],[Acute RA label]]</f>
        <v/>
      </c>
      <c r="H381" s="303">
        <f>Table22[[#This Row],[Acute RA IESTI new input value]]</f>
        <v>0</v>
      </c>
      <c r="I381" s="301" t="str">
        <f>Table22[[#This Row],[Acute RA IESTI new label]]</f>
        <v/>
      </c>
      <c r="J381" s="65"/>
      <c r="K381" s="304">
        <f>Table22[[#This Row],[GAP under assessment]]</f>
        <v>0</v>
      </c>
      <c r="L381" s="304" t="str">
        <f>IF(input_values!$M381=0,"",input_values!$M381)</f>
        <v/>
      </c>
      <c r="M381" s="301" t="str">
        <f>IF(input_values!H381=0,"",input_values!H381)</f>
        <v/>
      </c>
      <c r="N381" s="304">
        <f>input_values!$K381</f>
        <v>0</v>
      </c>
      <c r="O381" s="339">
        <v>4.25</v>
      </c>
      <c r="P381" s="128">
        <v>97.5</v>
      </c>
      <c r="Q381" s="346" t="s">
        <v>313</v>
      </c>
      <c r="R381" s="338">
        <v>66.400000000000006</v>
      </c>
      <c r="S381" s="338">
        <f t="shared" si="56"/>
        <v>282.20000000000005</v>
      </c>
      <c r="T381" s="305"/>
      <c r="U381" s="309"/>
      <c r="V381" s="305"/>
      <c r="W381" s="309"/>
      <c r="X381" s="460">
        <f>IF(V381="ND","ND",IF(S381="","",IF(OR(MID(C381,1,4)="milk",AND(MID(B381,1,2)="50",NOT(input_values!M381="Y")),AND(MID(B381,1,2)="40",NOT(input_values!M381="Y")),AND(MID(B381,1,2)="30",NOT(input_values!M381="Y"))),3,IF(OR(V381="&lt;25",B381&gt;1000000),1,IF((T381&gt;=S381),"2b","2a")))))</f>
        <v>1</v>
      </c>
      <c r="Y381" s="128">
        <f>IF(X381="ND","ND",IF(S381="","",IF(input_values!K381&gt;0,input_values!K381,IF(OR(X381=1,X381=3),1,IF((V381&gt;250),5,7)))))</f>
        <v>1</v>
      </c>
      <c r="Z381" s="345" t="str">
        <f t="shared" si="52"/>
        <v/>
      </c>
      <c r="AA381" s="332">
        <f t="shared" si="53"/>
        <v>0</v>
      </c>
      <c r="AB381" s="128">
        <f t="shared" si="57"/>
        <v>1</v>
      </c>
      <c r="AC381" s="345" t="str">
        <f t="shared" si="58"/>
        <v/>
      </c>
      <c r="AD381" s="332">
        <f t="shared" si="54"/>
        <v>0</v>
      </c>
      <c r="AE381" s="40" t="str">
        <f t="shared" si="59"/>
        <v/>
      </c>
      <c r="AF381" s="40" t="str">
        <f t="shared" si="60"/>
        <v/>
      </c>
      <c r="AG381" s="561" t="str">
        <f t="shared" si="55"/>
        <v/>
      </c>
      <c r="AH381" s="561" t="str">
        <f t="shared" si="61"/>
        <v/>
      </c>
      <c r="AI381" s="576"/>
      <c r="AJ381" s="847"/>
    </row>
    <row r="382" spans="1:36" ht="12" customHeight="1" outlineLevel="3" x14ac:dyDescent="0.2">
      <c r="A382" s="39">
        <f>acute_overview_children!A382</f>
        <v>4</v>
      </c>
      <c r="B382" s="23">
        <f>acute_overview_children!B382</f>
        <v>1030020</v>
      </c>
      <c r="C382" s="23" t="s">
        <v>149</v>
      </c>
      <c r="D382" s="300">
        <f>Table22[[#This Row],[Level used for acute calculation]]</f>
        <v>4</v>
      </c>
      <c r="E382" s="302">
        <f>Table22[[#This Row],[MRL individual commodity]]</f>
        <v>0</v>
      </c>
      <c r="F382" s="451">
        <f>Table22[[#This Row],[Acute RA input value]]</f>
        <v>0</v>
      </c>
      <c r="G382" s="301" t="str">
        <f>Table22[[#This Row],[Acute RA label]]</f>
        <v/>
      </c>
      <c r="H382" s="303">
        <f>Table22[[#This Row],[Acute RA IESTI new input value]]</f>
        <v>0</v>
      </c>
      <c r="I382" s="301" t="str">
        <f>Table22[[#This Row],[Acute RA IESTI new label]]</f>
        <v/>
      </c>
      <c r="J382" s="65"/>
      <c r="K382" s="304">
        <f>Table22[[#This Row],[GAP under assessment]]</f>
        <v>0</v>
      </c>
      <c r="L382" s="304" t="str">
        <f>IF(input_values!$M382=0,"",input_values!$M382)</f>
        <v/>
      </c>
      <c r="M382" s="301" t="str">
        <f>IF(input_values!H382=0,"",input_values!H382)</f>
        <v/>
      </c>
      <c r="N382" s="304">
        <f>input_values!$K382</f>
        <v>0</v>
      </c>
      <c r="O382" s="338" t="s">
        <v>618</v>
      </c>
      <c r="P382" s="128"/>
      <c r="Q382" s="346"/>
      <c r="R382" s="338"/>
      <c r="S382" s="338" t="str">
        <f t="shared" si="56"/>
        <v>ND</v>
      </c>
      <c r="T382" s="305"/>
      <c r="U382" s="309"/>
      <c r="V382" s="305"/>
      <c r="W382" s="309"/>
      <c r="X382" s="460">
        <f>IF(V382="ND","ND",IF(S382="","",IF(OR(MID(C382,1,4)="milk",AND(MID(B382,1,2)="50",NOT(input_values!M382="Y")),AND(MID(B382,1,2)="40",NOT(input_values!M382="Y")),AND(MID(B382,1,2)="30",NOT(input_values!M382="Y"))),3,IF(OR(V382="&lt;25",B382&gt;1000000),1,IF((T382&gt;=S382),"2b","2a")))))</f>
        <v>1</v>
      </c>
      <c r="Y382" s="128">
        <f>IF(X382="ND","ND",IF(S382="","",IF(input_values!K382&gt;0,input_values!K382,IF(OR(X382=1,X382=3),1,IF((V382&gt;250),5,7)))))</f>
        <v>1</v>
      </c>
      <c r="Z382" s="340" t="str">
        <f t="shared" si="52"/>
        <v/>
      </c>
      <c r="AA382" s="332">
        <f t="shared" si="53"/>
        <v>0</v>
      </c>
      <c r="AB382" s="128">
        <f t="shared" si="57"/>
        <v>1</v>
      </c>
      <c r="AC382" s="340" t="str">
        <f t="shared" si="58"/>
        <v/>
      </c>
      <c r="AD382" s="332">
        <f t="shared" si="54"/>
        <v>0</v>
      </c>
      <c r="AE382" s="37" t="str">
        <f t="shared" si="59"/>
        <v/>
      </c>
      <c r="AF382" s="37" t="str">
        <f t="shared" si="60"/>
        <v/>
      </c>
      <c r="AG382" s="561" t="str">
        <f t="shared" si="55"/>
        <v/>
      </c>
      <c r="AH382" s="561" t="str">
        <f t="shared" si="61"/>
        <v/>
      </c>
      <c r="AI382" s="576"/>
      <c r="AJ382" s="847"/>
    </row>
    <row r="383" spans="1:36" ht="12" customHeight="1" outlineLevel="3" x14ac:dyDescent="0.2">
      <c r="A383" s="39">
        <f>acute_overview_children!A383</f>
        <v>4</v>
      </c>
      <c r="B383" s="23">
        <f>acute_overview_children!B383</f>
        <v>1030030</v>
      </c>
      <c r="C383" s="23" t="s">
        <v>150</v>
      </c>
      <c r="D383" s="300">
        <f>Table22[[#This Row],[Level used for acute calculation]]</f>
        <v>4</v>
      </c>
      <c r="E383" s="302">
        <f>Table22[[#This Row],[MRL individual commodity]]</f>
        <v>0</v>
      </c>
      <c r="F383" s="451">
        <f>Table22[[#This Row],[Acute RA input value]]</f>
        <v>0</v>
      </c>
      <c r="G383" s="301" t="str">
        <f>Table22[[#This Row],[Acute RA label]]</f>
        <v/>
      </c>
      <c r="H383" s="303">
        <f>Table22[[#This Row],[Acute RA IESTI new input value]]</f>
        <v>0</v>
      </c>
      <c r="I383" s="301" t="str">
        <f>Table22[[#This Row],[Acute RA IESTI new label]]</f>
        <v/>
      </c>
      <c r="J383" s="65"/>
      <c r="K383" s="304">
        <f>Table22[[#This Row],[GAP under assessment]]</f>
        <v>0</v>
      </c>
      <c r="L383" s="304" t="str">
        <f>IF(input_values!$M383=0,"",input_values!$M383)</f>
        <v/>
      </c>
      <c r="M383" s="301" t="str">
        <f>IF(input_values!H383=0,"",input_values!H383)</f>
        <v/>
      </c>
      <c r="N383" s="304">
        <f>input_values!$K383</f>
        <v>0</v>
      </c>
      <c r="O383" s="338">
        <v>0.5</v>
      </c>
      <c r="P383" s="128">
        <v>100</v>
      </c>
      <c r="Q383" s="346" t="s">
        <v>335</v>
      </c>
      <c r="R383" s="338">
        <v>76.38</v>
      </c>
      <c r="S383" s="338">
        <f t="shared" si="56"/>
        <v>38.19</v>
      </c>
      <c r="T383" s="305"/>
      <c r="U383" s="309"/>
      <c r="V383" s="305"/>
      <c r="W383" s="309"/>
      <c r="X383" s="460">
        <f>IF(V383="ND","ND",IF(S383="","",IF(OR(MID(C383,1,4)="milk",AND(MID(B383,1,2)="50",NOT(input_values!M383="Y")),AND(MID(B383,1,2)="40",NOT(input_values!M383="Y")),AND(MID(B383,1,2)="30",NOT(input_values!M383="Y"))),3,IF(OR(V383="&lt;25",B383&gt;1000000),1,IF((T383&gt;=S383),"2b","2a")))))</f>
        <v>1</v>
      </c>
      <c r="Y383" s="128">
        <f>IF(X383="ND","ND",IF(S383="","",IF(input_values!K383&gt;0,input_values!K383,IF(OR(X383=1,X383=3),1,IF((V383&gt;250),5,7)))))</f>
        <v>1</v>
      </c>
      <c r="Z383" s="340" t="str">
        <f t="shared" si="52"/>
        <v/>
      </c>
      <c r="AA383" s="332">
        <f t="shared" si="53"/>
        <v>0</v>
      </c>
      <c r="AB383" s="128">
        <f t="shared" si="57"/>
        <v>1</v>
      </c>
      <c r="AC383" s="340" t="str">
        <f t="shared" si="58"/>
        <v/>
      </c>
      <c r="AD383" s="332">
        <f t="shared" si="54"/>
        <v>0</v>
      </c>
      <c r="AE383" s="37" t="str">
        <f t="shared" si="59"/>
        <v/>
      </c>
      <c r="AF383" s="37" t="str">
        <f t="shared" si="60"/>
        <v/>
      </c>
      <c r="AG383" s="561" t="str">
        <f t="shared" si="55"/>
        <v/>
      </c>
      <c r="AH383" s="561" t="str">
        <f t="shared" si="61"/>
        <v/>
      </c>
      <c r="AI383" s="576"/>
      <c r="AJ383" s="847"/>
    </row>
    <row r="384" spans="1:36" ht="12" customHeight="1" outlineLevel="3" x14ac:dyDescent="0.2">
      <c r="A384" s="39">
        <f>acute_overview_children!A384</f>
        <v>4</v>
      </c>
      <c r="B384" s="23">
        <f>acute_overview_children!B384</f>
        <v>1030040</v>
      </c>
      <c r="C384" s="23" t="s">
        <v>151</v>
      </c>
      <c r="D384" s="300">
        <f>Table22[[#This Row],[Level used for acute calculation]]</f>
        <v>4</v>
      </c>
      <c r="E384" s="302">
        <f>Table22[[#This Row],[MRL individual commodity]]</f>
        <v>0</v>
      </c>
      <c r="F384" s="451">
        <f>Table22[[#This Row],[Acute RA input value]]</f>
        <v>0</v>
      </c>
      <c r="G384" s="301" t="str">
        <f>Table22[[#This Row],[Acute RA label]]</f>
        <v/>
      </c>
      <c r="H384" s="303">
        <f>Table22[[#This Row],[Acute RA IESTI new input value]]</f>
        <v>0</v>
      </c>
      <c r="I384" s="301" t="str">
        <f>Table22[[#This Row],[Acute RA IESTI new label]]</f>
        <v/>
      </c>
      <c r="J384" s="65"/>
      <c r="K384" s="304">
        <f>Table22[[#This Row],[GAP under assessment]]</f>
        <v>0</v>
      </c>
      <c r="L384" s="304" t="str">
        <f>IF(input_values!$M384=0,"",input_values!$M384)</f>
        <v/>
      </c>
      <c r="M384" s="301" t="str">
        <f>IF(input_values!H384=0,"",input_values!H384)</f>
        <v/>
      </c>
      <c r="N384" s="304">
        <f>input_values!$K384</f>
        <v>0</v>
      </c>
      <c r="O384" s="338">
        <v>1.4</v>
      </c>
      <c r="P384" s="128">
        <v>100</v>
      </c>
      <c r="Q384" s="346" t="s">
        <v>335</v>
      </c>
      <c r="R384" s="338">
        <v>76.38</v>
      </c>
      <c r="S384" s="338">
        <f t="shared" si="56"/>
        <v>106.93199999999999</v>
      </c>
      <c r="T384" s="305"/>
      <c r="U384" s="309"/>
      <c r="V384" s="305"/>
      <c r="W384" s="309"/>
      <c r="X384" s="460">
        <f>IF(V384="ND","ND",IF(S384="","",IF(OR(MID(C384,1,4)="milk",AND(MID(B384,1,2)="50",NOT(input_values!M384="Y")),AND(MID(B384,1,2)="40",NOT(input_values!M384="Y")),AND(MID(B384,1,2)="30",NOT(input_values!M384="Y"))),3,IF(OR(V384="&lt;25",B384&gt;1000000),1,IF((T384&gt;=S384),"2b","2a")))))</f>
        <v>1</v>
      </c>
      <c r="Y384" s="128">
        <f>IF(X384="ND","ND",IF(S384="","",IF(input_values!K384&gt;0,input_values!K384,IF(OR(X384=1,X384=3),1,IF((V384&gt;250),5,7)))))</f>
        <v>1</v>
      </c>
      <c r="Z384" s="340" t="str">
        <f t="shared" si="52"/>
        <v/>
      </c>
      <c r="AA384" s="332">
        <f t="shared" si="53"/>
        <v>0</v>
      </c>
      <c r="AB384" s="128">
        <f t="shared" si="57"/>
        <v>1</v>
      </c>
      <c r="AC384" s="340" t="str">
        <f t="shared" si="58"/>
        <v/>
      </c>
      <c r="AD384" s="332">
        <f t="shared" si="54"/>
        <v>0</v>
      </c>
      <c r="AE384" s="37" t="str">
        <f t="shared" si="59"/>
        <v/>
      </c>
      <c r="AF384" s="37" t="str">
        <f t="shared" si="60"/>
        <v/>
      </c>
      <c r="AG384" s="561" t="str">
        <f t="shared" si="55"/>
        <v/>
      </c>
      <c r="AH384" s="561" t="str">
        <f t="shared" si="61"/>
        <v/>
      </c>
      <c r="AI384" s="576"/>
      <c r="AJ384" s="847"/>
    </row>
    <row r="385" spans="1:36" ht="12" customHeight="1" outlineLevel="3" x14ac:dyDescent="0.2">
      <c r="A385" s="39">
        <f>acute_overview_children!A385</f>
        <v>4</v>
      </c>
      <c r="B385" s="23">
        <f>acute_overview_children!B385</f>
        <v>1030990</v>
      </c>
      <c r="C385" s="23" t="s">
        <v>633</v>
      </c>
      <c r="D385" s="300"/>
      <c r="E385" s="302">
        <f>Table22[[#This Row],[MRL individual commodity]]</f>
        <v>0</v>
      </c>
      <c r="F385" s="451">
        <f>Table22[[#This Row],[Acute RA input value]]</f>
        <v>0</v>
      </c>
      <c r="G385" s="301" t="str">
        <f>Table22[[#This Row],[Acute RA label]]</f>
        <v/>
      </c>
      <c r="H385" s="303">
        <f>Table22[[#This Row],[Acute RA IESTI new input value]]</f>
        <v>0</v>
      </c>
      <c r="I385" s="301" t="str">
        <f>Table22[[#This Row],[Acute RA IESTI new label]]</f>
        <v/>
      </c>
      <c r="J385" s="65"/>
      <c r="K385" s="304">
        <f>Table22[[#This Row],[GAP under assessment]]</f>
        <v>0</v>
      </c>
      <c r="L385" s="304" t="str">
        <f>IF(input_values!$M385=0,"",input_values!$M385)</f>
        <v/>
      </c>
      <c r="M385" s="301" t="str">
        <f>IF(input_values!H385=0,"",input_values!H385)</f>
        <v/>
      </c>
      <c r="N385" s="304">
        <f>input_values!$K385</f>
        <v>0</v>
      </c>
      <c r="O385" s="305"/>
      <c r="P385" s="38"/>
      <c r="Q385" s="306"/>
      <c r="R385" s="305"/>
      <c r="S385" s="305"/>
      <c r="T385" s="305"/>
      <c r="U385" s="309"/>
      <c r="V385" s="305"/>
      <c r="W385" s="309"/>
      <c r="X385" s="611" t="str">
        <f>IF(V385="ND","ND",IF(S385="","",IF(OR(MID(C385,1,4)="milk",AND(MID(B385,1,2)="50",NOT(input_values!M385="Y")),AND(MID(B385,1,2)="40",NOT(input_values!M385="Y")),AND(MID(B385,1,2)="30",NOT(input_values!M385="Y"))),3,IF(OR(V385="&lt;25",B385&gt;1000000),1,IF((T385&gt;=S385),"2b","2a")))))</f>
        <v/>
      </c>
      <c r="Y385" s="38" t="str">
        <f>IF(X385="ND","ND",IF(S385="","",IF(input_values!K385&gt;0,input_values!K385,IF(OR(X385=1,X385=3),1,IF((V385&gt;250),5,7)))))</f>
        <v/>
      </c>
      <c r="Z385" s="310" t="str">
        <f t="shared" si="52"/>
        <v/>
      </c>
      <c r="AA385" s="311">
        <f t="shared" si="53"/>
        <v>0</v>
      </c>
      <c r="AB385" s="38"/>
      <c r="AC385" s="310"/>
      <c r="AD385" s="311">
        <f t="shared" si="54"/>
        <v>0</v>
      </c>
      <c r="AE385" s="312"/>
      <c r="AF385" s="312"/>
      <c r="AG385" s="561" t="str">
        <f t="shared" si="55"/>
        <v/>
      </c>
      <c r="AH385" s="561"/>
      <c r="AI385" s="576"/>
      <c r="AJ385" s="847"/>
    </row>
    <row r="386" spans="1:36" ht="24" outlineLevel="1" x14ac:dyDescent="0.2">
      <c r="A386" s="130">
        <f>acute_overview_children!A386</f>
        <v>2</v>
      </c>
      <c r="B386" s="131">
        <f>acute_overview_children!B386</f>
        <v>1040000</v>
      </c>
      <c r="C386" s="131" t="s">
        <v>811</v>
      </c>
      <c r="D386" s="300">
        <f>Table22[[#This Row],[Level used for acute calculation]]</f>
        <v>2</v>
      </c>
      <c r="E386" s="302">
        <f>Table22[[#This Row],[MRL individual commodity]]</f>
        <v>0</v>
      </c>
      <c r="F386" s="451">
        <f>Table22[[#This Row],[Acute RA input value]]</f>
        <v>0</v>
      </c>
      <c r="G386" s="301" t="str">
        <f>Table22[[#This Row],[Acute RA label]]</f>
        <v/>
      </c>
      <c r="H386" s="303">
        <f>Table22[[#This Row],[Acute RA IESTI new input value]]</f>
        <v>0</v>
      </c>
      <c r="I386" s="301" t="str">
        <f>Table22[[#This Row],[Acute RA IESTI new label]]</f>
        <v/>
      </c>
      <c r="J386" s="65"/>
      <c r="K386" s="304">
        <f>Table22[[#This Row],[GAP under assessment]]</f>
        <v>0</v>
      </c>
      <c r="L386" s="304" t="str">
        <f>IF(input_values!$M386=0,"",input_values!$M386)</f>
        <v/>
      </c>
      <c r="M386" s="301" t="str">
        <f>IF(input_values!H386=0,"",input_values!H386)</f>
        <v/>
      </c>
      <c r="N386" s="304">
        <f>input_values!$K386</f>
        <v>0</v>
      </c>
      <c r="O386" s="339">
        <v>1.38</v>
      </c>
      <c r="P386" s="128">
        <v>97.5</v>
      </c>
      <c r="Q386" s="346" t="s">
        <v>102</v>
      </c>
      <c r="R386" s="338">
        <v>65.599999999999994</v>
      </c>
      <c r="S386" s="338">
        <f t="shared" si="56"/>
        <v>90.527999999999992</v>
      </c>
      <c r="T386" s="305"/>
      <c r="U386" s="309"/>
      <c r="V386" s="305"/>
      <c r="W386" s="309"/>
      <c r="X386" s="460">
        <f>IF(V386="ND","ND",IF(S386="","",IF(OR(MID(C386,1,4)="milk",AND(MID(B386,1,2)="50",NOT(input_values!M386="Y")),AND(MID(B386,1,2)="40",NOT(input_values!M386="Y")),AND(MID(B386,1,2)="30",NOT(input_values!M386="Y"))),3,IF(OR(V386="&lt;25",B386&gt;1000000),1,IF((T386&gt;=S386),"2b","2a")))))</f>
        <v>1</v>
      </c>
      <c r="Y386" s="128">
        <f>IF(X386="ND","ND",IF(S386="","",IF(input_values!K386&gt;0,input_values!K386,IF(OR(X386=1,X386=3),1,IF((V386&gt;250),5,7)))))</f>
        <v>1</v>
      </c>
      <c r="Z386" s="345" t="str">
        <f t="shared" si="52"/>
        <v/>
      </c>
      <c r="AA386" s="332">
        <f t="shared" si="53"/>
        <v>0</v>
      </c>
      <c r="AB386" s="128">
        <f t="shared" si="57"/>
        <v>1</v>
      </c>
      <c r="AC386" s="345" t="str">
        <f t="shared" si="58"/>
        <v/>
      </c>
      <c r="AD386" s="332">
        <f t="shared" si="54"/>
        <v>0</v>
      </c>
      <c r="AE386" s="40" t="str">
        <f t="shared" si="59"/>
        <v/>
      </c>
      <c r="AF386" s="40" t="str">
        <f t="shared" si="60"/>
        <v/>
      </c>
      <c r="AG386" s="561" t="str">
        <f t="shared" si="55"/>
        <v/>
      </c>
      <c r="AH386" s="561" t="str">
        <f t="shared" si="61"/>
        <v/>
      </c>
      <c r="AI386" s="576"/>
      <c r="AJ386" s="847"/>
    </row>
    <row r="387" spans="1:36" ht="24" outlineLevel="1" x14ac:dyDescent="0.2">
      <c r="A387" s="130">
        <f>acute_overview_children!A387</f>
        <v>2</v>
      </c>
      <c r="B387" s="131">
        <f>acute_overview_children!B387</f>
        <v>1050000</v>
      </c>
      <c r="C387" s="131" t="s">
        <v>38</v>
      </c>
      <c r="D387" s="300">
        <f>Table22[[#This Row],[Level used for acute calculation]]</f>
        <v>2</v>
      </c>
      <c r="E387" s="302">
        <f>Table22[[#This Row],[MRL individual commodity]]</f>
        <v>0</v>
      </c>
      <c r="F387" s="451">
        <f>Table22[[#This Row],[Acute RA input value]]</f>
        <v>0</v>
      </c>
      <c r="G387" s="301" t="str">
        <f>Table22[[#This Row],[Acute RA label]]</f>
        <v/>
      </c>
      <c r="H387" s="303">
        <f>Table22[[#This Row],[Acute RA IESTI new input value]]</f>
        <v>0</v>
      </c>
      <c r="I387" s="301" t="str">
        <f>Table22[[#This Row],[Acute RA IESTI new label]]</f>
        <v/>
      </c>
      <c r="J387" s="65"/>
      <c r="K387" s="304">
        <f>Table22[[#This Row],[GAP under assessment]]</f>
        <v>0</v>
      </c>
      <c r="L387" s="304" t="str">
        <f>IF(input_values!$M387=0,"",input_values!$M387)</f>
        <v/>
      </c>
      <c r="M387" s="301" t="str">
        <f>IF(input_values!H387=0,"",input_values!H387)</f>
        <v/>
      </c>
      <c r="N387" s="304">
        <f>input_values!$K387</f>
        <v>0</v>
      </c>
      <c r="O387" s="338">
        <v>0.75987841945288759</v>
      </c>
      <c r="P387" s="128" t="s">
        <v>331</v>
      </c>
      <c r="Q387" s="346" t="s">
        <v>99</v>
      </c>
      <c r="R387" s="338">
        <v>65.8</v>
      </c>
      <c r="S387" s="338">
        <f t="shared" si="56"/>
        <v>50</v>
      </c>
      <c r="T387" s="305"/>
      <c r="U387" s="309"/>
      <c r="V387" s="305"/>
      <c r="W387" s="309"/>
      <c r="X387" s="460">
        <f>IF(V387="ND","ND",IF(S387="","",IF(OR(MID(C387,1,4)="milk",AND(MID(B387,1,2)="50",NOT(input_values!M387="Y")),AND(MID(B387,1,2)="40",NOT(input_values!M387="Y")),AND(MID(B387,1,2)="30",NOT(input_values!M387="Y"))),3,IF(OR(V387="&lt;25",B387&gt;1000000),1,IF((T387&gt;=S387),"2b","2a")))))</f>
        <v>1</v>
      </c>
      <c r="Y387" s="128">
        <f>IF(X387="ND","ND",IF(S387="","",IF(input_values!K387&gt;0,input_values!K387,IF(OR(X387=1,X387=3),1,IF((V387&gt;250),5,7)))))</f>
        <v>1</v>
      </c>
      <c r="Z387" s="340" t="str">
        <f t="shared" si="52"/>
        <v/>
      </c>
      <c r="AA387" s="332">
        <f t="shared" si="53"/>
        <v>0</v>
      </c>
      <c r="AB387" s="128">
        <f t="shared" si="57"/>
        <v>1</v>
      </c>
      <c r="AC387" s="340" t="str">
        <f t="shared" si="58"/>
        <v/>
      </c>
      <c r="AD387" s="332">
        <f t="shared" si="54"/>
        <v>0</v>
      </c>
      <c r="AE387" s="37" t="str">
        <f t="shared" si="59"/>
        <v/>
      </c>
      <c r="AF387" s="37" t="str">
        <f t="shared" si="60"/>
        <v/>
      </c>
      <c r="AG387" s="561" t="str">
        <f t="shared" si="55"/>
        <v/>
      </c>
      <c r="AH387" s="561" t="str">
        <f t="shared" si="61"/>
        <v/>
      </c>
      <c r="AI387" s="576"/>
      <c r="AJ387" s="847"/>
    </row>
    <row r="388" spans="1:36" ht="24" outlineLevel="1" x14ac:dyDescent="0.2">
      <c r="A388" s="130">
        <f>acute_overview_children!A388</f>
        <v>2</v>
      </c>
      <c r="B388" s="131">
        <f>acute_overview_children!B388</f>
        <v>1060000</v>
      </c>
      <c r="C388" s="131" t="s">
        <v>812</v>
      </c>
      <c r="D388" s="300">
        <f>Table22[[#This Row],[Level used for acute calculation]]</f>
        <v>2</v>
      </c>
      <c r="E388" s="302">
        <f>Table22[[#This Row],[MRL individual commodity]]</f>
        <v>0</v>
      </c>
      <c r="F388" s="451">
        <f>Table22[[#This Row],[Acute RA input value]]</f>
        <v>0</v>
      </c>
      <c r="G388" s="301" t="str">
        <f>Table22[[#This Row],[Acute RA label]]</f>
        <v/>
      </c>
      <c r="H388" s="303">
        <f>Table22[[#This Row],[Acute RA IESTI new input value]]</f>
        <v>0</v>
      </c>
      <c r="I388" s="301" t="str">
        <f>Table22[[#This Row],[Acute RA IESTI new label]]</f>
        <v/>
      </c>
      <c r="J388" s="65"/>
      <c r="K388" s="304">
        <f>Table22[[#This Row],[GAP under assessment]]</f>
        <v>0</v>
      </c>
      <c r="L388" s="304" t="str">
        <f>IF(input_values!$M388=0,"",input_values!$M388)</f>
        <v/>
      </c>
      <c r="M388" s="301" t="str">
        <f>IF(input_values!H388=0,"",input_values!H388)</f>
        <v/>
      </c>
      <c r="N388" s="304">
        <f>input_values!$K388</f>
        <v>0</v>
      </c>
      <c r="O388" s="338">
        <v>1.8028</v>
      </c>
      <c r="P388" s="128">
        <v>97.5</v>
      </c>
      <c r="Q388" s="346" t="s">
        <v>0</v>
      </c>
      <c r="R388" s="338">
        <v>68.48</v>
      </c>
      <c r="S388" s="338">
        <f t="shared" si="56"/>
        <v>123.45574400000001</v>
      </c>
      <c r="T388" s="305"/>
      <c r="U388" s="309"/>
      <c r="V388" s="305"/>
      <c r="W388" s="309"/>
      <c r="X388" s="460">
        <f>IF(V388="ND","ND",IF(S388="","",IF(OR(MID(C388,1,4)="milk",AND(MID(B388,1,2)="50",NOT(input_values!M388="Y")),AND(MID(B388,1,2)="40",NOT(input_values!M388="Y")),AND(MID(B388,1,2)="30",NOT(input_values!M388="Y"))),3,IF(OR(V388="&lt;25",B388&gt;1000000),1,IF((T388&gt;=S388),"2b","2a")))))</f>
        <v>1</v>
      </c>
      <c r="Y388" s="128">
        <f>IF(X388="ND","ND",IF(S388="","",IF(input_values!K388&gt;0,input_values!K388,IF(OR(X388=1,X388=3),1,IF((V388&gt;250),5,7)))))</f>
        <v>1</v>
      </c>
      <c r="Z388" s="340" t="str">
        <f t="shared" si="52"/>
        <v/>
      </c>
      <c r="AA388" s="332">
        <f t="shared" si="53"/>
        <v>0</v>
      </c>
      <c r="AB388" s="128">
        <f t="shared" si="57"/>
        <v>1</v>
      </c>
      <c r="AC388" s="340" t="str">
        <f t="shared" si="58"/>
        <v/>
      </c>
      <c r="AD388" s="332">
        <f t="shared" si="54"/>
        <v>0</v>
      </c>
      <c r="AE388" s="37" t="str">
        <f t="shared" si="59"/>
        <v/>
      </c>
      <c r="AF388" s="37" t="str">
        <f t="shared" si="60"/>
        <v/>
      </c>
      <c r="AG388" s="561" t="str">
        <f t="shared" si="55"/>
        <v/>
      </c>
      <c r="AH388" s="561" t="str">
        <f t="shared" si="61"/>
        <v/>
      </c>
      <c r="AI388" s="576"/>
      <c r="AJ388" s="847"/>
    </row>
    <row r="389" spans="1:36" ht="24" outlineLevel="1" x14ac:dyDescent="0.2">
      <c r="A389" s="130">
        <f>acute_overview_children!A389</f>
        <v>2</v>
      </c>
      <c r="B389" s="131">
        <f>acute_overview_children!B389</f>
        <v>1070000</v>
      </c>
      <c r="C389" s="131" t="s">
        <v>813</v>
      </c>
      <c r="D389" s="300">
        <f>Table22[[#This Row],[Level used for acute calculation]]</f>
        <v>2</v>
      </c>
      <c r="E389" s="302">
        <f>Table22[[#This Row],[MRL individual commodity]]</f>
        <v>0</v>
      </c>
      <c r="F389" s="451">
        <f>Table22[[#This Row],[Acute RA input value]]</f>
        <v>0</v>
      </c>
      <c r="G389" s="301" t="str">
        <f>Table22[[#This Row],[Acute RA label]]</f>
        <v/>
      </c>
      <c r="H389" s="303">
        <f>Table22[[#This Row],[Acute RA IESTI new input value]]</f>
        <v>0</v>
      </c>
      <c r="I389" s="301" t="str">
        <f>Table22[[#This Row],[Acute RA IESTI new label]]</f>
        <v/>
      </c>
      <c r="J389" s="65"/>
      <c r="K389" s="304">
        <f>Table22[[#This Row],[GAP under assessment]]</f>
        <v>0</v>
      </c>
      <c r="L389" s="304" t="str">
        <f>IF(input_values!$M389=0,"",input_values!$M389)</f>
        <v/>
      </c>
      <c r="M389" s="301" t="str">
        <f>IF(input_values!H389=0,"",input_values!H389)</f>
        <v/>
      </c>
      <c r="N389" s="304">
        <f>input_values!$K389</f>
        <v>0</v>
      </c>
      <c r="O389" s="338" t="s">
        <v>618</v>
      </c>
      <c r="P389" s="128"/>
      <c r="Q389" s="346"/>
      <c r="R389" s="338"/>
      <c r="S389" s="338" t="str">
        <f t="shared" si="56"/>
        <v>ND</v>
      </c>
      <c r="T389" s="305"/>
      <c r="U389" s="309"/>
      <c r="V389" s="305"/>
      <c r="W389" s="309"/>
      <c r="X389" s="460">
        <f>IF(V389="ND","ND",IF(S389="","",IF(OR(MID(C389,1,4)="milk",AND(MID(B389,1,2)="50",NOT(input_values!M389="Y")),AND(MID(B389,1,2)="40",NOT(input_values!M389="Y")),AND(MID(B389,1,2)="30",NOT(input_values!M389="Y"))),3,IF(OR(V389="&lt;25",B389&gt;1000000),1,IF((T389&gt;=S389),"2b","2a")))))</f>
        <v>1</v>
      </c>
      <c r="Y389" s="128">
        <f>IF(X389="ND","ND",IF(S389="","",IF(input_values!K389&gt;0,input_values!K389,IF(OR(X389=1,X389=3),1,IF((V389&gt;250),5,7)))))</f>
        <v>1</v>
      </c>
      <c r="Z389" s="340" t="str">
        <f t="shared" si="52"/>
        <v/>
      </c>
      <c r="AA389" s="332">
        <f t="shared" si="53"/>
        <v>0</v>
      </c>
      <c r="AB389" s="128">
        <f t="shared" si="57"/>
        <v>1</v>
      </c>
      <c r="AC389" s="340" t="str">
        <f t="shared" si="58"/>
        <v/>
      </c>
      <c r="AD389" s="332">
        <f t="shared" si="54"/>
        <v>0</v>
      </c>
      <c r="AE389" s="37" t="str">
        <f t="shared" si="59"/>
        <v/>
      </c>
      <c r="AF389" s="37" t="str">
        <f t="shared" si="60"/>
        <v/>
      </c>
      <c r="AG389" s="561" t="str">
        <f t="shared" si="55"/>
        <v/>
      </c>
      <c r="AH389" s="561" t="str">
        <f t="shared" si="61"/>
        <v/>
      </c>
      <c r="AI389" s="576"/>
      <c r="AJ389" s="847"/>
    </row>
    <row r="390" spans="1:36" ht="25.15" customHeight="1" x14ac:dyDescent="0.2">
      <c r="A390" s="420">
        <f>acute_overview_children!A390</f>
        <v>1</v>
      </c>
      <c r="B390" s="421">
        <f>acute_overview_children!B390</f>
        <v>1100000</v>
      </c>
      <c r="C390" s="127" t="s">
        <v>814</v>
      </c>
      <c r="D390" s="300">
        <f>Table22[[#This Row],[Level used for acute calculation]]</f>
        <v>0</v>
      </c>
      <c r="E390" s="302">
        <f>Table22[[#This Row],[MRL individual commodity]]</f>
        <v>0</v>
      </c>
      <c r="F390" s="451">
        <f>Table22[[#This Row],[Acute RA input value]]</f>
        <v>0</v>
      </c>
      <c r="G390" s="301">
        <f>Table22[[#This Row],[Acute RA label]]</f>
        <v>0</v>
      </c>
      <c r="H390" s="303">
        <f>Table22[[#This Row],[Acute RA IESTI new input value]]</f>
        <v>0</v>
      </c>
      <c r="I390" s="301">
        <f>Table22[[#This Row],[Acute RA IESTI new label]]</f>
        <v>0</v>
      </c>
      <c r="J390" s="70"/>
      <c r="K390" s="304">
        <f>Table22[[#This Row],[GAP under assessment]]</f>
        <v>0</v>
      </c>
      <c r="L390" s="304" t="str">
        <f>IF(input_values!$M390=0,"",input_values!$M390)</f>
        <v/>
      </c>
      <c r="M390" s="301" t="str">
        <f>IF(input_values!H390=0,"",input_values!H390)</f>
        <v/>
      </c>
      <c r="N390" s="304">
        <f>input_values!$K390</f>
        <v>0</v>
      </c>
      <c r="O390" s="339">
        <v>7.9</v>
      </c>
      <c r="P390" s="128">
        <v>97.5</v>
      </c>
      <c r="Q390" s="346" t="s">
        <v>335</v>
      </c>
      <c r="R390" s="338">
        <v>76.38</v>
      </c>
      <c r="S390" s="338">
        <f t="shared" si="56"/>
        <v>603.40200000000004</v>
      </c>
      <c r="T390" s="305"/>
      <c r="U390" s="309"/>
      <c r="V390" s="305"/>
      <c r="W390" s="309"/>
      <c r="X390" s="460">
        <f>IF(V390="ND","ND",IF(S390="","",IF(OR(MID(C390,1,4)="milk",AND(MID(B390,1,2)="50",NOT(input_values!M390="Y")),AND(MID(B390,1,2)="40",NOT(input_values!M390="Y")),AND(MID(B390,1,2)="30",NOT(input_values!M390="Y"))),3,IF(OR(V390="&lt;25",B390&gt;1000000),1,IF((T390&gt;=S390),"2b","2a")))))</f>
        <v>1</v>
      </c>
      <c r="Y390" s="128">
        <f>IF(X390="ND","ND",IF(S390="","",IF(input_values!K390&gt;0,input_values!K390,IF(OR(X390=1,X390=3),1,IF((V390&gt;250),5,7)))))</f>
        <v>1</v>
      </c>
      <c r="Z390" s="345" t="str">
        <f t="shared" si="52"/>
        <v/>
      </c>
      <c r="AA390" s="332">
        <f t="shared" si="53"/>
        <v>0</v>
      </c>
      <c r="AB390" s="128">
        <f t="shared" si="57"/>
        <v>1</v>
      </c>
      <c r="AC390" s="345" t="str">
        <f t="shared" si="58"/>
        <v/>
      </c>
      <c r="AD390" s="332">
        <f t="shared" si="54"/>
        <v>0</v>
      </c>
      <c r="AE390" s="40" t="str">
        <f t="shared" si="59"/>
        <v/>
      </c>
      <c r="AF390" s="40" t="str">
        <f t="shared" si="60"/>
        <v/>
      </c>
      <c r="AG390" s="561" t="str">
        <f t="shared" si="55"/>
        <v/>
      </c>
      <c r="AH390" s="561" t="str">
        <f>IF(OR(AC390=0,AC390="ND",AC390="",$C$5="not necessary"),"",1000*$C$5*R390/S390/AB390)</f>
        <v/>
      </c>
      <c r="AI390" s="576"/>
      <c r="AJ390" s="847"/>
    </row>
    <row r="391" spans="1:36" x14ac:dyDescent="0.2">
      <c r="A391" s="424" t="str">
        <f>acute_overview_children!A391</f>
        <v>.</v>
      </c>
      <c r="B391" s="425"/>
      <c r="C391" s="135"/>
      <c r="D391" s="47"/>
      <c r="E391" s="348"/>
      <c r="F391" s="347"/>
      <c r="G391" s="337"/>
      <c r="H391" s="347"/>
      <c r="I391" s="337"/>
      <c r="J391" s="347"/>
      <c r="K391" s="337"/>
      <c r="L391" s="337"/>
      <c r="M391" s="337"/>
      <c r="N391" s="337"/>
      <c r="O391" s="357"/>
      <c r="P391" s="358"/>
      <c r="Q391" s="357"/>
      <c r="R391" s="359"/>
      <c r="S391" s="359"/>
      <c r="T391" s="357"/>
      <c r="U391" s="357"/>
      <c r="V391" s="357"/>
      <c r="W391" s="357"/>
      <c r="X391" s="1465"/>
      <c r="Y391" s="358"/>
      <c r="Z391" s="360"/>
      <c r="AA391" s="361"/>
      <c r="AB391" s="357"/>
      <c r="AC391" s="360"/>
      <c r="AD391" s="361"/>
      <c r="AE391" s="362"/>
      <c r="AF391" s="362"/>
      <c r="AG391" s="357"/>
      <c r="AH391" s="357"/>
      <c r="AI391" s="419"/>
      <c r="AJ391" s="847"/>
    </row>
    <row r="392" spans="1:36" s="228" customFormat="1" ht="30" customHeight="1" x14ac:dyDescent="0.2">
      <c r="A392" s="382" t="s">
        <v>456</v>
      </c>
      <c r="B392" s="847"/>
      <c r="C392" s="847"/>
      <c r="D392" s="364"/>
      <c r="E392" s="365"/>
      <c r="F392" s="364"/>
      <c r="G392" s="364"/>
      <c r="H392" s="364"/>
      <c r="I392" s="364"/>
      <c r="J392" s="364"/>
      <c r="K392" s="364"/>
      <c r="L392" s="364"/>
      <c r="M392" s="155"/>
      <c r="N392" s="364"/>
      <c r="O392" s="153"/>
      <c r="P392" s="286"/>
      <c r="Q392" s="286"/>
      <c r="R392" s="364"/>
      <c r="S392" s="364"/>
      <c r="T392" s="364"/>
      <c r="U392" s="364"/>
      <c r="V392" s="364"/>
      <c r="W392" s="364"/>
      <c r="X392" s="278"/>
      <c r="Y392" s="280"/>
      <c r="Z392" s="278"/>
      <c r="AA392" s="278"/>
      <c r="AB392" s="280"/>
      <c r="AE392" s="278"/>
      <c r="AF392" s="278"/>
      <c r="AG392" s="278"/>
      <c r="AH392" s="278"/>
      <c r="AI392" s="313"/>
      <c r="AJ392" s="313"/>
    </row>
    <row r="393" spans="1:36" s="228" customFormat="1" x14ac:dyDescent="0.2">
      <c r="A393" s="228" t="s">
        <v>456</v>
      </c>
      <c r="B393" s="508"/>
      <c r="D393" s="382"/>
      <c r="E393" s="286"/>
      <c r="F393" s="382"/>
      <c r="G393" s="382"/>
      <c r="H393" s="382"/>
      <c r="I393" s="382"/>
      <c r="J393" s="382"/>
      <c r="K393" s="382"/>
      <c r="L393" s="382"/>
      <c r="M393" s="155"/>
      <c r="N393" s="382"/>
      <c r="O393" s="153"/>
      <c r="P393" s="286"/>
      <c r="Q393" s="286"/>
      <c r="R393" s="364"/>
      <c r="S393" s="364"/>
      <c r="T393" s="364"/>
      <c r="U393" s="364"/>
      <c r="V393" s="364"/>
      <c r="W393" s="364"/>
      <c r="X393" s="278"/>
      <c r="Y393" s="280"/>
      <c r="Z393" s="278"/>
      <c r="AA393" s="278"/>
      <c r="AB393" s="280"/>
      <c r="AE393" s="278"/>
      <c r="AF393" s="278"/>
      <c r="AG393" s="278"/>
      <c r="AH393" s="278"/>
    </row>
    <row r="394" spans="1:36" s="228" customFormat="1" x14ac:dyDescent="0.2">
      <c r="A394" s="228" t="s">
        <v>456</v>
      </c>
      <c r="B394" s="508"/>
      <c r="D394" s="382"/>
      <c r="E394" s="286"/>
      <c r="F394" s="382"/>
      <c r="G394" s="382"/>
      <c r="H394" s="382"/>
      <c r="I394" s="382"/>
      <c r="J394" s="382"/>
      <c r="K394" s="382"/>
      <c r="L394" s="382"/>
      <c r="M394" s="155"/>
      <c r="N394" s="382"/>
      <c r="O394" s="153"/>
      <c r="P394" s="286"/>
      <c r="Q394" s="286"/>
      <c r="R394" s="364"/>
      <c r="S394" s="364"/>
      <c r="T394" s="364"/>
      <c r="U394" s="364"/>
      <c r="V394" s="364"/>
      <c r="W394" s="364"/>
      <c r="X394" s="278"/>
      <c r="Y394" s="280"/>
      <c r="Z394" s="278"/>
      <c r="AA394" s="278"/>
      <c r="AB394" s="280"/>
      <c r="AE394" s="278"/>
      <c r="AF394" s="278"/>
      <c r="AG394" s="278"/>
      <c r="AH394" s="278"/>
    </row>
    <row r="395" spans="1:36" s="228" customFormat="1" x14ac:dyDescent="0.2">
      <c r="A395" s="228" t="s">
        <v>456</v>
      </c>
      <c r="B395" s="508"/>
      <c r="D395" s="382"/>
      <c r="E395" s="286"/>
      <c r="F395" s="382"/>
      <c r="G395" s="382"/>
      <c r="H395" s="382"/>
      <c r="I395" s="382"/>
      <c r="J395" s="382"/>
      <c r="K395" s="382"/>
      <c r="L395" s="382"/>
      <c r="M395" s="155"/>
      <c r="N395" s="382"/>
      <c r="O395" s="153"/>
      <c r="P395" s="286"/>
      <c r="Q395" s="286"/>
      <c r="R395" s="364"/>
      <c r="S395" s="364"/>
      <c r="T395" s="364"/>
      <c r="U395" s="364"/>
      <c r="V395" s="364"/>
      <c r="W395" s="364"/>
      <c r="X395" s="278"/>
      <c r="Y395" s="280"/>
      <c r="Z395" s="278"/>
      <c r="AA395" s="278"/>
      <c r="AB395" s="280"/>
      <c r="AE395" s="278"/>
      <c r="AF395" s="278"/>
      <c r="AG395" s="278"/>
      <c r="AH395" s="278"/>
    </row>
    <row r="396" spans="1:36" s="228" customFormat="1" x14ac:dyDescent="0.2">
      <c r="A396" s="228" t="s">
        <v>456</v>
      </c>
      <c r="B396" s="508"/>
      <c r="D396" s="382"/>
      <c r="E396" s="286"/>
      <c r="F396" s="382"/>
      <c r="G396" s="382"/>
      <c r="H396" s="382"/>
      <c r="I396" s="382"/>
      <c r="J396" s="382"/>
      <c r="K396" s="382"/>
      <c r="L396" s="382"/>
      <c r="M396" s="155"/>
      <c r="N396" s="382"/>
      <c r="O396" s="153"/>
      <c r="P396" s="286"/>
      <c r="Q396" s="286"/>
      <c r="R396" s="364"/>
      <c r="S396" s="364"/>
      <c r="T396" s="364"/>
      <c r="U396" s="364"/>
      <c r="V396" s="364"/>
      <c r="W396" s="364"/>
      <c r="X396" s="278"/>
      <c r="Y396" s="280"/>
      <c r="Z396" s="278"/>
      <c r="AA396" s="278"/>
      <c r="AB396" s="280"/>
      <c r="AE396" s="278"/>
      <c r="AF396" s="278"/>
      <c r="AG396" s="278"/>
      <c r="AH396" s="278"/>
    </row>
    <row r="397" spans="1:36" s="228" customFormat="1" x14ac:dyDescent="0.2">
      <c r="A397" s="228" t="s">
        <v>456</v>
      </c>
      <c r="B397" s="508"/>
      <c r="D397" s="382"/>
      <c r="E397" s="286"/>
      <c r="F397" s="382"/>
      <c r="G397" s="382"/>
      <c r="H397" s="382"/>
      <c r="I397" s="382"/>
      <c r="J397" s="382"/>
      <c r="K397" s="382"/>
      <c r="L397" s="382"/>
      <c r="M397" s="155"/>
      <c r="N397" s="382"/>
      <c r="O397" s="153"/>
      <c r="P397" s="286"/>
      <c r="Q397" s="286"/>
      <c r="R397" s="364"/>
      <c r="S397" s="364"/>
      <c r="T397" s="364"/>
      <c r="U397" s="364"/>
      <c r="V397" s="364"/>
      <c r="W397" s="364"/>
      <c r="X397" s="278"/>
      <c r="Y397" s="280"/>
      <c r="Z397" s="278"/>
      <c r="AA397" s="278"/>
      <c r="AB397" s="280"/>
      <c r="AE397" s="278"/>
      <c r="AF397" s="278"/>
      <c r="AG397" s="278"/>
      <c r="AH397" s="278"/>
    </row>
    <row r="398" spans="1:36" s="228" customFormat="1" x14ac:dyDescent="0.2">
      <c r="A398" s="228" t="s">
        <v>456</v>
      </c>
      <c r="B398" s="508"/>
      <c r="D398" s="382"/>
      <c r="E398" s="286"/>
      <c r="F398" s="382"/>
      <c r="G398" s="382"/>
      <c r="H398" s="382"/>
      <c r="I398" s="382"/>
      <c r="J398" s="382"/>
      <c r="K398" s="382"/>
      <c r="L398" s="382"/>
      <c r="M398" s="155"/>
      <c r="N398" s="382"/>
      <c r="O398" s="153"/>
      <c r="P398" s="286"/>
      <c r="Q398" s="286"/>
      <c r="R398" s="364"/>
      <c r="S398" s="364"/>
      <c r="T398" s="364"/>
      <c r="U398" s="364"/>
      <c r="V398" s="364"/>
      <c r="W398" s="364"/>
      <c r="X398" s="278"/>
      <c r="Y398" s="280"/>
      <c r="Z398" s="278"/>
      <c r="AA398" s="278"/>
      <c r="AB398" s="280"/>
      <c r="AE398" s="278"/>
      <c r="AF398" s="278"/>
      <c r="AG398" s="278"/>
      <c r="AH398" s="278"/>
    </row>
    <row r="399" spans="1:36" s="228" customFormat="1" x14ac:dyDescent="0.2">
      <c r="A399" s="228" t="s">
        <v>456</v>
      </c>
      <c r="B399" s="508"/>
      <c r="D399" s="382"/>
      <c r="E399" s="286"/>
      <c r="F399" s="382"/>
      <c r="G399" s="382"/>
      <c r="H399" s="382"/>
      <c r="I399" s="382"/>
      <c r="J399" s="382"/>
      <c r="K399" s="382"/>
      <c r="L399" s="382"/>
      <c r="M399" s="155"/>
      <c r="N399" s="382"/>
      <c r="O399" s="153"/>
      <c r="P399" s="286"/>
      <c r="Q399" s="286"/>
      <c r="R399" s="364"/>
      <c r="S399" s="364"/>
      <c r="T399" s="364"/>
      <c r="U399" s="364"/>
      <c r="V399" s="364"/>
      <c r="W399" s="364"/>
      <c r="X399" s="278"/>
      <c r="Y399" s="280"/>
      <c r="Z399" s="278"/>
      <c r="AA399" s="278"/>
      <c r="AB399" s="280"/>
      <c r="AE399" s="278"/>
      <c r="AF399" s="278"/>
      <c r="AG399" s="278"/>
      <c r="AH399" s="278"/>
    </row>
    <row r="400" spans="1:36" s="228" customFormat="1" x14ac:dyDescent="0.2">
      <c r="A400" s="228" t="s">
        <v>456</v>
      </c>
      <c r="B400" s="508"/>
      <c r="D400" s="382"/>
      <c r="E400" s="286"/>
      <c r="F400" s="382"/>
      <c r="G400" s="382"/>
      <c r="H400" s="382"/>
      <c r="I400" s="382"/>
      <c r="J400" s="382"/>
      <c r="K400" s="382"/>
      <c r="L400" s="382"/>
      <c r="M400" s="422"/>
      <c r="N400" s="382"/>
      <c r="O400" s="153"/>
      <c r="P400" s="286"/>
      <c r="Q400" s="286"/>
      <c r="R400" s="364"/>
      <c r="S400" s="364"/>
      <c r="T400" s="364"/>
      <c r="U400" s="364"/>
      <c r="V400" s="364"/>
      <c r="W400" s="364"/>
      <c r="X400" s="278"/>
      <c r="Y400" s="280"/>
      <c r="Z400" s="278"/>
      <c r="AA400" s="278"/>
      <c r="AB400" s="280"/>
      <c r="AE400" s="278"/>
      <c r="AF400" s="278"/>
      <c r="AG400" s="278"/>
      <c r="AH400" s="278"/>
    </row>
    <row r="401" spans="1:37" s="228" customFormat="1" x14ac:dyDescent="0.2">
      <c r="A401" s="228" t="s">
        <v>456</v>
      </c>
      <c r="B401" s="508"/>
      <c r="D401" s="382"/>
      <c r="E401" s="286"/>
      <c r="F401" s="382"/>
      <c r="G401" s="382"/>
      <c r="H401" s="382"/>
      <c r="I401" s="382"/>
      <c r="J401" s="382"/>
      <c r="K401" s="382"/>
      <c r="L401" s="382"/>
      <c r="M401" s="382"/>
      <c r="N401" s="382"/>
      <c r="O401" s="153"/>
      <c r="P401" s="286"/>
      <c r="Q401" s="286"/>
      <c r="R401" s="364"/>
      <c r="S401" s="364"/>
      <c r="T401" s="364"/>
      <c r="U401" s="364"/>
      <c r="V401" s="364"/>
      <c r="W401" s="364"/>
      <c r="X401" s="278"/>
      <c r="Y401" s="280"/>
      <c r="Z401" s="278"/>
      <c r="AA401" s="278"/>
      <c r="AB401" s="280"/>
      <c r="AE401" s="278"/>
      <c r="AF401" s="278"/>
      <c r="AG401" s="278"/>
      <c r="AH401" s="278"/>
    </row>
    <row r="402" spans="1:37" s="228" customFormat="1" x14ac:dyDescent="0.2">
      <c r="A402" s="228" t="s">
        <v>456</v>
      </c>
      <c r="B402" s="508"/>
      <c r="D402" s="382"/>
      <c r="E402" s="286"/>
      <c r="F402" s="382"/>
      <c r="G402" s="382"/>
      <c r="H402" s="382"/>
      <c r="I402" s="382"/>
      <c r="J402" s="382"/>
      <c r="K402" s="382"/>
      <c r="L402" s="382"/>
      <c r="M402" s="382"/>
      <c r="N402" s="382"/>
      <c r="O402" s="153"/>
      <c r="P402" s="286"/>
      <c r="Q402" s="286"/>
      <c r="R402" s="364"/>
      <c r="S402" s="364"/>
      <c r="T402" s="364"/>
      <c r="U402" s="364"/>
      <c r="V402" s="364"/>
      <c r="W402" s="364"/>
      <c r="X402" s="278"/>
      <c r="Y402" s="280"/>
      <c r="Z402" s="278"/>
      <c r="AA402" s="278"/>
      <c r="AB402" s="280"/>
      <c r="AE402" s="278"/>
      <c r="AF402" s="278"/>
      <c r="AG402" s="278"/>
      <c r="AH402" s="278"/>
    </row>
    <row r="403" spans="1:37" s="228" customFormat="1" x14ac:dyDescent="0.2">
      <c r="A403" s="228" t="s">
        <v>456</v>
      </c>
      <c r="B403" s="508"/>
      <c r="D403" s="382"/>
      <c r="E403" s="286"/>
      <c r="F403" s="382"/>
      <c r="G403" s="382"/>
      <c r="H403" s="382"/>
      <c r="I403" s="382"/>
      <c r="J403" s="382"/>
      <c r="K403" s="382"/>
      <c r="L403" s="382"/>
      <c r="M403" s="382"/>
      <c r="N403" s="382"/>
      <c r="O403" s="153"/>
      <c r="P403" s="286"/>
      <c r="Q403" s="286"/>
      <c r="R403" s="364"/>
      <c r="S403" s="364"/>
      <c r="T403" s="364"/>
      <c r="U403" s="364"/>
      <c r="V403" s="364"/>
      <c r="W403" s="364"/>
      <c r="X403" s="278"/>
      <c r="Y403" s="280"/>
      <c r="Z403" s="278"/>
      <c r="AA403" s="278"/>
      <c r="AB403" s="280"/>
      <c r="AE403" s="278"/>
      <c r="AF403" s="278"/>
      <c r="AG403" s="278"/>
      <c r="AH403" s="278"/>
    </row>
    <row r="404" spans="1:37" s="228" customFormat="1" x14ac:dyDescent="0.2">
      <c r="A404" s="228" t="s">
        <v>456</v>
      </c>
      <c r="B404" s="508"/>
      <c r="D404" s="382"/>
      <c r="E404" s="286"/>
      <c r="F404" s="382"/>
      <c r="G404" s="382"/>
      <c r="H404" s="382"/>
      <c r="I404" s="382"/>
      <c r="J404" s="382"/>
      <c r="K404" s="382"/>
      <c r="L404" s="382"/>
      <c r="M404" s="382"/>
      <c r="N404" s="382"/>
      <c r="O404" s="153"/>
      <c r="P404" s="286"/>
      <c r="Q404" s="286"/>
      <c r="R404" s="364"/>
      <c r="S404" s="364"/>
      <c r="T404" s="364"/>
      <c r="U404" s="364"/>
      <c r="V404" s="364"/>
      <c r="W404" s="364"/>
      <c r="X404" s="278"/>
      <c r="Y404" s="280"/>
      <c r="Z404" s="278"/>
      <c r="AA404" s="278"/>
      <c r="AB404" s="280"/>
      <c r="AE404" s="278"/>
      <c r="AF404" s="278"/>
      <c r="AG404" s="278"/>
      <c r="AH404" s="278"/>
    </row>
    <row r="405" spans="1:37" s="228" customFormat="1" x14ac:dyDescent="0.2">
      <c r="A405" s="228" t="s">
        <v>456</v>
      </c>
      <c r="B405" s="508"/>
      <c r="D405" s="382"/>
      <c r="E405" s="286"/>
      <c r="F405" s="382"/>
      <c r="G405" s="382"/>
      <c r="H405" s="382"/>
      <c r="I405" s="382"/>
      <c r="J405" s="382"/>
      <c r="K405" s="382"/>
      <c r="L405" s="382"/>
      <c r="M405" s="382"/>
      <c r="N405" s="382"/>
      <c r="O405" s="153"/>
      <c r="P405" s="286"/>
      <c r="Q405" s="286"/>
      <c r="R405" s="364"/>
      <c r="S405" s="364"/>
      <c r="T405" s="364"/>
      <c r="U405" s="364"/>
      <c r="V405" s="364"/>
      <c r="W405" s="364"/>
      <c r="X405" s="278"/>
      <c r="Y405" s="280"/>
      <c r="Z405" s="278"/>
      <c r="AA405" s="278"/>
      <c r="AB405" s="280"/>
      <c r="AE405" s="278"/>
      <c r="AF405" s="278"/>
      <c r="AG405" s="278"/>
      <c r="AH405" s="278"/>
    </row>
    <row r="406" spans="1:37" s="228" customFormat="1" x14ac:dyDescent="0.2">
      <c r="A406" s="228" t="s">
        <v>456</v>
      </c>
      <c r="B406" s="508"/>
      <c r="D406" s="382"/>
      <c r="E406" s="286"/>
      <c r="F406" s="382"/>
      <c r="G406" s="382"/>
      <c r="H406" s="382"/>
      <c r="I406" s="382"/>
      <c r="J406" s="382"/>
      <c r="K406" s="382"/>
      <c r="L406" s="382"/>
      <c r="M406" s="382"/>
      <c r="N406" s="382"/>
      <c r="O406" s="153"/>
      <c r="P406" s="286"/>
      <c r="Q406" s="286"/>
      <c r="R406" s="364"/>
      <c r="S406" s="364"/>
      <c r="T406" s="364"/>
      <c r="U406" s="364"/>
      <c r="V406" s="364"/>
      <c r="W406" s="364"/>
      <c r="X406" s="278"/>
      <c r="Y406" s="280"/>
      <c r="Z406" s="278"/>
      <c r="AA406" s="278"/>
      <c r="AB406" s="280"/>
      <c r="AE406" s="278"/>
      <c r="AF406" s="278"/>
      <c r="AG406" s="278"/>
      <c r="AH406" s="278"/>
    </row>
    <row r="407" spans="1:37" customFormat="1" ht="12.75" x14ac:dyDescent="0.2">
      <c r="A407" s="228" t="s">
        <v>456</v>
      </c>
      <c r="E407" s="1126"/>
    </row>
    <row r="408" spans="1:37" customFormat="1" ht="12.75" x14ac:dyDescent="0.2">
      <c r="A408" s="228" t="s">
        <v>456</v>
      </c>
      <c r="E408" s="1126"/>
      <c r="AG408" s="1456"/>
      <c r="AH408" s="1456"/>
    </row>
    <row r="409" spans="1:37" s="228" customFormat="1" x14ac:dyDescent="0.2">
      <c r="A409" s="228" t="s">
        <v>456</v>
      </c>
      <c r="B409" s="508"/>
      <c r="D409" s="382"/>
      <c r="E409" s="286"/>
      <c r="F409" s="382"/>
      <c r="G409" s="382"/>
      <c r="H409" s="382"/>
      <c r="I409" s="382"/>
      <c r="J409" s="382"/>
      <c r="K409" s="382"/>
      <c r="L409" s="382"/>
      <c r="M409" s="382"/>
      <c r="N409" s="382"/>
      <c r="O409" s="153"/>
      <c r="P409" s="286"/>
      <c r="Q409" s="286"/>
      <c r="R409" s="364"/>
      <c r="S409" s="364"/>
      <c r="T409" s="364"/>
      <c r="U409" s="364"/>
      <c r="V409" s="364"/>
      <c r="W409" s="364"/>
      <c r="X409" s="278"/>
      <c r="Y409" s="280"/>
      <c r="Z409" s="371"/>
      <c r="AA409" s="278"/>
      <c r="AB409" s="280"/>
      <c r="AE409" s="278"/>
      <c r="AF409" s="278"/>
      <c r="AG409" s="278"/>
      <c r="AH409" s="278"/>
    </row>
    <row r="410" spans="1:37" s="228" customFormat="1" x14ac:dyDescent="0.2">
      <c r="A410" s="228" t="s">
        <v>456</v>
      </c>
      <c r="B410" s="508"/>
      <c r="D410" s="382"/>
      <c r="E410" s="286"/>
      <c r="F410" s="382"/>
      <c r="G410" s="382"/>
      <c r="H410" s="382"/>
      <c r="I410" s="382"/>
      <c r="J410" s="382"/>
      <c r="K410" s="382"/>
      <c r="L410" s="382"/>
      <c r="M410" s="382"/>
      <c r="N410" s="382"/>
      <c r="O410" s="153"/>
      <c r="P410" s="286"/>
      <c r="Q410" s="286"/>
      <c r="R410" s="364"/>
      <c r="S410" s="364"/>
      <c r="T410" s="364"/>
      <c r="U410" s="364"/>
      <c r="V410" s="364"/>
      <c r="W410" s="364"/>
      <c r="X410" s="278"/>
      <c r="Y410" s="280"/>
      <c r="Z410" s="278"/>
      <c r="AA410" s="278"/>
      <c r="AB410" s="280"/>
      <c r="AE410" s="278"/>
      <c r="AF410" s="278"/>
      <c r="AG410" s="278"/>
      <c r="AH410" s="278"/>
    </row>
    <row r="411" spans="1:37" ht="50.25" customHeight="1" x14ac:dyDescent="0.2">
      <c r="A411" s="169" t="s">
        <v>644</v>
      </c>
      <c r="B411" s="157" t="s">
        <v>212</v>
      </c>
      <c r="C411" s="158" t="s">
        <v>282</v>
      </c>
      <c r="D411" s="157" t="s">
        <v>483</v>
      </c>
      <c r="E411" s="498" t="s">
        <v>613</v>
      </c>
      <c r="F411" s="159" t="s">
        <v>358</v>
      </c>
      <c r="G411" s="159" t="s">
        <v>357</v>
      </c>
      <c r="H411" s="505" t="s">
        <v>359</v>
      </c>
      <c r="I411" s="157" t="s">
        <v>360</v>
      </c>
      <c r="J411" s="158" t="s">
        <v>344</v>
      </c>
      <c r="K411" s="157" t="s">
        <v>917</v>
      </c>
      <c r="L411" s="159" t="s">
        <v>643</v>
      </c>
      <c r="M411" s="159" t="s">
        <v>435</v>
      </c>
      <c r="N411" s="159" t="s">
        <v>614</v>
      </c>
      <c r="O411" s="496" t="s">
        <v>455</v>
      </c>
      <c r="P411" s="157" t="s">
        <v>56</v>
      </c>
      <c r="Q411" s="505" t="s">
        <v>324</v>
      </c>
      <c r="R411" s="157" t="s">
        <v>372</v>
      </c>
      <c r="S411" s="159" t="s">
        <v>1901</v>
      </c>
      <c r="T411" s="159" t="s">
        <v>1900</v>
      </c>
      <c r="U411" s="159" t="s">
        <v>296</v>
      </c>
      <c r="V411" s="505" t="s">
        <v>1899</v>
      </c>
      <c r="W411" s="157" t="s">
        <v>327</v>
      </c>
      <c r="X411" s="158" t="s">
        <v>285</v>
      </c>
      <c r="Y411" s="157" t="s">
        <v>1893</v>
      </c>
      <c r="Z411" s="159" t="s">
        <v>1894</v>
      </c>
      <c r="AA411" s="159" t="s">
        <v>362</v>
      </c>
      <c r="AB411" s="159" t="s">
        <v>297</v>
      </c>
      <c r="AC411" s="505" t="s">
        <v>1895</v>
      </c>
      <c r="AD411" s="157" t="s">
        <v>1896</v>
      </c>
      <c r="AE411" s="158" t="s">
        <v>1897</v>
      </c>
      <c r="AF411" s="157" t="s">
        <v>1898</v>
      </c>
      <c r="AG411" s="159" t="s">
        <v>308</v>
      </c>
      <c r="AH411" s="507" t="s">
        <v>301</v>
      </c>
      <c r="AI411" s="298"/>
    </row>
    <row r="412" spans="1:37" ht="11.45" customHeight="1" x14ac:dyDescent="0.2">
      <c r="A412" s="506"/>
      <c r="B412" s="23">
        <v>110010</v>
      </c>
      <c r="C412" s="165" t="s">
        <v>816</v>
      </c>
      <c r="D412" s="560" t="str">
        <f>VLOOKUP(C412,input_values!$C$412:$BG$538,input_values!$BG$410-2,0)</f>
        <v>PROC-110010-9</v>
      </c>
      <c r="E412" s="567">
        <f>VLOOKUP(B412,input_values!$B$412:$M$538,4,FALSE)</f>
        <v>0</v>
      </c>
      <c r="F412" s="451" t="str">
        <f>VLOOKUP($D412,Table6[[Identifyer]:[Acute RA IESTI new input value]],input_values!$Q$410,FALSE)</f>
        <v/>
      </c>
      <c r="G412" s="451" t="str">
        <f>VLOOKUP($D412,Table6[[Identifyer]:[Acute RA IESTI new input value]],input_values!$P$410,FALSE)</f>
        <v/>
      </c>
      <c r="H412" s="451">
        <f>VLOOKUP($D412,Table6[[Identifyer]:[Acute RA IESTI new input value]],input_values!$S$410,FALSE)</f>
        <v>0</v>
      </c>
      <c r="I412" s="451" t="str">
        <f>VLOOKUP($D412,Table6[[Identifyer]:[Acute RA IESTI new input value]],input_values!$R$410,FALSE)</f>
        <v/>
      </c>
      <c r="J412" s="65"/>
      <c r="K412" s="301">
        <f t="shared" ref="K412:K443" si="67">IF(OR(X412=1,X412=3),1,IF(V412&gt;250,5,7))</f>
        <v>1</v>
      </c>
      <c r="L412" s="302" t="str">
        <f>VLOOKUP(D412,input_values!$A$412:$BB$538,input_values!$AA$410,FALSE)</f>
        <v/>
      </c>
      <c r="M412" s="302">
        <f>VLOOKUP(D412,input_values!$A$412:$BB$538,input_values!$Y$410,FALSE)</f>
        <v>1</v>
      </c>
      <c r="N412" s="374" t="str">
        <f>IF(VLOOKUP(D412,input_values!$A$412:$BB$538,input_values!$L$410,FALSE)&lt;&gt;"",VLOOKUP(D412,input_values!$A$412:$BB$538,input_values!$L$410,FALSE),"")</f>
        <v/>
      </c>
      <c r="O412" s="339">
        <v>10.861702127659576</v>
      </c>
      <c r="P412" s="375">
        <v>97.5</v>
      </c>
      <c r="Q412" s="21" t="s">
        <v>99</v>
      </c>
      <c r="R412" s="377">
        <v>65.8</v>
      </c>
      <c r="S412" s="326">
        <f>O412*R412</f>
        <v>714.7</v>
      </c>
      <c r="T412" s="377"/>
      <c r="U412" s="377"/>
      <c r="V412" s="377"/>
      <c r="W412" s="377"/>
      <c r="X412" s="378">
        <v>3</v>
      </c>
      <c r="Y412" s="64">
        <f>IF(OR(Table9[[#This Row],[Case]]=1,Table9[[#This Row],[Case]]=3),1,IF(N412="",K412,N412))</f>
        <v>1</v>
      </c>
      <c r="Z412" s="648" t="str">
        <f t="shared" ref="Z412:Z443" si="68">IF(F412&lt;&gt;"",IF(OR($X412=3,$X412=1),1/$R412*($F412*$S412/1000*$Y412),IF(($X412="2a"),1/$R412*(($F412*$T412/1000*$Y412)+($F412*($S412-$T412)/1000)),IF($X412="2b",1/$R412*($F412*$S412/1000*$Y412)))),"ND")</f>
        <v>ND</v>
      </c>
      <c r="AA412" s="380" t="str">
        <f t="shared" ref="AA412:AA443" si="69">IF($C$5="not necessary","no acute RA",IF(Z412="ND","no acute RA",Z412/$C$5))</f>
        <v>no acute RA</v>
      </c>
      <c r="AB412" s="64">
        <f>IF(OR(Table9[[#This Row],[Case]]=3,Table9[[#This Row],[Case]]=1),1,IF(Table9[[#This Row],[Variability factor for IESTI ]]&lt;3,Table9[[#This Row],[Variability factor for IESTI ]],3))</f>
        <v>1</v>
      </c>
      <c r="AC412" s="559" t="str">
        <f t="shared" ref="AC412:AC443" si="70">IF(OR(ISTEXT(H412),H412=0),"ND",1/$R412*($H412*$S412*AB412/1000))</f>
        <v>ND</v>
      </c>
      <c r="AD412" s="380" t="str">
        <f>IF($C$5="not necessary","no acute RA",IF(AC412="ND","no acute RA",IF(Table9[[#This Row],[IESTI new (mg/kg bw)]]&lt;&gt;"",AC412/$C$5,0)))</f>
        <v>no acute RA</v>
      </c>
      <c r="AE412" s="423" t="str">
        <f>IF(AA412&gt;=1,AG412,"")</f>
        <v/>
      </c>
      <c r="AF412" s="423" t="str">
        <f>IF(AD412&gt;=1,AH412,"")</f>
        <v/>
      </c>
      <c r="AG412" s="381" t="str">
        <f>IF(OR(Z412=0,Z412="ND",Z412="",$C$5="not necessary"),"",IF(X412="2a",1000*$C$5*R412/Table9[[#This Row],[Processing factor]]/(T412*Y412+S412-T412),IF(X412="2b",1000*$C$5*R412/Table9[[#This Row],[Processing factor]]/S412/Y412,IF(OR(X412=1,X412=3),1000*$C$5*R412/Table9[[#This Row],[Processing factor]]/S412,""))))</f>
        <v/>
      </c>
      <c r="AH412" s="381" t="str">
        <f>IF(OR(AC412=0,AC412="ND",$C$5="not necessary"),"",1000*$C$5*R412/Table9[[#This Row],[Processing factor]]/S412/AB412)</f>
        <v/>
      </c>
      <c r="AI412" s="313"/>
      <c r="AK412" s="650"/>
    </row>
    <row r="413" spans="1:37" ht="12" customHeight="1" x14ac:dyDescent="0.2">
      <c r="A413" s="506"/>
      <c r="B413" s="23">
        <v>110020</v>
      </c>
      <c r="C413" s="325" t="s">
        <v>376</v>
      </c>
      <c r="D413" s="373" t="str">
        <f>VLOOKUP(C413,input_values!$C$412:$BG$538,input_values!$BG$410-2,0)</f>
        <v>PROC-110020-9</v>
      </c>
      <c r="E413" s="567">
        <f>VLOOKUP(B413,input_values!$B$412:$M$538,4,FALSE)</f>
        <v>0</v>
      </c>
      <c r="F413" s="451" t="str">
        <f>VLOOKUP($D413,Table6[[Identifyer]:[Acute RA IESTI new input value]],input_values!$Q$410,FALSE)</f>
        <v/>
      </c>
      <c r="G413" s="451" t="str">
        <f>VLOOKUP($D413,Table6[[Identifyer]:[Acute RA IESTI new input value]],input_values!$P$410,FALSE)</f>
        <v/>
      </c>
      <c r="H413" s="451">
        <f>VLOOKUP($D413,Table6[[Identifyer]:[Acute RA IESTI new input value]],input_values!$S$410,FALSE)</f>
        <v>0</v>
      </c>
      <c r="I413" s="451" t="str">
        <f>VLOOKUP($D413,Table6[[Identifyer]:[Acute RA IESTI new input value]],input_values!$R$410,FALSE)</f>
        <v/>
      </c>
      <c r="J413" s="65"/>
      <c r="K413" s="301">
        <f t="shared" si="67"/>
        <v>1</v>
      </c>
      <c r="L413" s="301" t="str">
        <f>VLOOKUP(D413,input_values!$A$412:$BB$538,input_values!$AA$410,FALSE)</f>
        <v/>
      </c>
      <c r="M413" s="302">
        <f>VLOOKUP(D413,input_values!$A$412:$BB$538,input_values!$Y$410,FALSE)</f>
        <v>1</v>
      </c>
      <c r="N413" s="374" t="str">
        <f>IF(VLOOKUP(D413,input_values!$A$412:$BB$538,input_values!$L$410,FALSE)&lt;&gt;"",VLOOKUP(D413,input_values!$A$412:$BB$538,input_values!$L$410,FALSE),"")</f>
        <v/>
      </c>
      <c r="O413" s="339">
        <v>15.120060790273557</v>
      </c>
      <c r="P413" s="375">
        <v>97.5</v>
      </c>
      <c r="Q413" s="21" t="s">
        <v>99</v>
      </c>
      <c r="R413" s="377">
        <v>65.8</v>
      </c>
      <c r="S413" s="326">
        <f t="shared" ref="S413:S436" si="71">O413*R413</f>
        <v>994.9</v>
      </c>
      <c r="T413" s="377"/>
      <c r="U413" s="377"/>
      <c r="V413" s="377"/>
      <c r="W413" s="377"/>
      <c r="X413" s="378">
        <v>3</v>
      </c>
      <c r="Y413" s="64">
        <f>IF(OR(Table9[[#This Row],[Case]]=1,Table9[[#This Row],[Case]]=3),1,IF(N413="",K413,N413))</f>
        <v>1</v>
      </c>
      <c r="Z413" s="648" t="str">
        <f t="shared" si="68"/>
        <v>ND</v>
      </c>
      <c r="AA413" s="380" t="str">
        <f t="shared" si="69"/>
        <v>no acute RA</v>
      </c>
      <c r="AB413" s="64">
        <f>IF(OR(Table9[[#This Row],[Case]]=3,Table9[[#This Row],[Case]]=1),1,IF(Table9[[#This Row],[Variability factor for IESTI ]]&lt;3,Table9[[#This Row],[Variability factor for IESTI ]],3))</f>
        <v>1</v>
      </c>
      <c r="AC413" s="379" t="str">
        <f t="shared" si="70"/>
        <v>ND</v>
      </c>
      <c r="AD413" s="380" t="str">
        <f>IF($C$5="not necessary","no acute RA",IF(AC413="ND","no acute RA",IF(Table9[[#This Row],[IESTI new (mg/kg bw)]]&lt;&gt;"",AC413/$C$5,0)))</f>
        <v>no acute RA</v>
      </c>
      <c r="AE413" s="423" t="str">
        <f t="shared" ref="AE413:AE481" si="72">IF(AA413&gt;=1,AG413,"")</f>
        <v/>
      </c>
      <c r="AF413" s="423" t="str">
        <f t="shared" ref="AF413:AF481" si="73">IF(AD413&gt;=1,AH413,"")</f>
        <v/>
      </c>
      <c r="AG413" s="381" t="str">
        <f>IF(OR(Z413=0,Z413="ND",Z413="",$C$5="not necessary"),"",IF(X413="2a",1000*$C$5*R413/Table9[[#This Row],[Processing factor]]/(T413*Y413+S413-T413),IF(X413="2b",1000*$C$5*R413/Table9[[#This Row],[Processing factor]]/S413/Y413,IF(OR(X413=1,X413=3),1000*$C$5*R413/Table9[[#This Row],[Processing factor]]/S413,""))))</f>
        <v/>
      </c>
      <c r="AH413" s="495" t="str">
        <f>IF(OR(AC413=0,AC413="ND",$C$5="not necessary"),"",1000*$C$5*R413/Table9[[#This Row],[Processing factor]]/S413/AB413)</f>
        <v/>
      </c>
      <c r="AI413" s="313"/>
      <c r="AK413" s="651"/>
    </row>
    <row r="414" spans="1:37" x14ac:dyDescent="0.2">
      <c r="A414" s="506"/>
      <c r="B414" s="23">
        <v>110030</v>
      </c>
      <c r="C414" s="325" t="s">
        <v>457</v>
      </c>
      <c r="D414" s="373" t="str">
        <f>VLOOKUP(C414,input_values!$C$412:$BG$538,input_values!$BG$410-2,0)</f>
        <v>PROC-110030-9</v>
      </c>
      <c r="E414" s="567">
        <f>VLOOKUP(B414,input_values!$B$412:$M$538,4,FALSE)</f>
        <v>0</v>
      </c>
      <c r="F414" s="451" t="str">
        <f>VLOOKUP($D414,Table6[[Identifyer]:[Acute RA IESTI new input value]],input_values!$Q$410,FALSE)</f>
        <v/>
      </c>
      <c r="G414" s="451" t="str">
        <f>VLOOKUP($D414,Table6[[Identifyer]:[Acute RA IESTI new input value]],input_values!$P$410,FALSE)</f>
        <v/>
      </c>
      <c r="H414" s="451">
        <f>VLOOKUP($D414,Table6[[Identifyer]:[Acute RA IESTI new input value]],input_values!$S$410,FALSE)</f>
        <v>0</v>
      </c>
      <c r="I414" s="451" t="str">
        <f>VLOOKUP($D414,Table6[[Identifyer]:[Acute RA IESTI new input value]],input_values!$R$410,FALSE)</f>
        <v/>
      </c>
      <c r="J414" s="65"/>
      <c r="K414" s="301">
        <f t="shared" si="67"/>
        <v>1</v>
      </c>
      <c r="L414" s="301" t="str">
        <f>VLOOKUP(D414,input_values!$A$412:$BB$538,input_values!$AA$410,FALSE)</f>
        <v/>
      </c>
      <c r="M414" s="302">
        <f>VLOOKUP(D414,input_values!$A$412:$BB$538,input_values!$Y$410,FALSE)</f>
        <v>1</v>
      </c>
      <c r="N414" s="374" t="str">
        <f>IF(VLOOKUP(D414,input_values!$A$412:$BB$538,input_values!$L$410,FALSE)&lt;&gt;"",VLOOKUP(D414,input_values!$A$412:$BB$538,input_values!$L$410,FALSE),"")</f>
        <v/>
      </c>
      <c r="O414" s="339">
        <v>1.899696048632219</v>
      </c>
      <c r="P414" s="375">
        <v>97.5</v>
      </c>
      <c r="Q414" s="21" t="s">
        <v>99</v>
      </c>
      <c r="R414" s="377">
        <v>65.8</v>
      </c>
      <c r="S414" s="326">
        <f t="shared" si="71"/>
        <v>125</v>
      </c>
      <c r="T414" s="377"/>
      <c r="U414" s="377"/>
      <c r="V414" s="377"/>
      <c r="W414" s="377"/>
      <c r="X414" s="378">
        <v>3</v>
      </c>
      <c r="Y414" s="64">
        <f>IF(OR(Table9[[#This Row],[Case]]=1,Table9[[#This Row],[Case]]=3),1,IF(N414="",K414,N414))</f>
        <v>1</v>
      </c>
      <c r="Z414" s="648" t="str">
        <f t="shared" si="68"/>
        <v>ND</v>
      </c>
      <c r="AA414" s="380" t="str">
        <f t="shared" si="69"/>
        <v>no acute RA</v>
      </c>
      <c r="AB414" s="64">
        <f>IF(OR(Table9[[#This Row],[Case]]=3,Table9[[#This Row],[Case]]=1),1,IF(Table9[[#This Row],[Variability factor for IESTI ]]&lt;3,Table9[[#This Row],[Variability factor for IESTI ]],3))</f>
        <v>1</v>
      </c>
      <c r="AC414" s="379" t="str">
        <f t="shared" si="70"/>
        <v>ND</v>
      </c>
      <c r="AD414" s="380" t="str">
        <f>IF($C$5="not necessary","no acute RA",IF(AC414="ND","no acute RA",IF(Table9[[#This Row],[IESTI new (mg/kg bw)]]&lt;&gt;"",AC414/$C$5,0)))</f>
        <v>no acute RA</v>
      </c>
      <c r="AE414" s="423" t="str">
        <f t="shared" si="72"/>
        <v/>
      </c>
      <c r="AF414" s="423" t="str">
        <f t="shared" si="73"/>
        <v/>
      </c>
      <c r="AG414" s="381" t="str">
        <f>IF(OR(Z414=0,Z414="ND",Z414="",$C$5="not necessary"),"",IF(X414="2a",1000*$C$5*R414/Table9[[#This Row],[Processing factor]]/(T414*Y414+S414-T414),IF(X414="2b",1000*$C$5*R414/Table9[[#This Row],[Processing factor]]/S414/Y414,IF(OR(X414=1,X414=3),1000*$C$5*R414/Table9[[#This Row],[Processing factor]]/S414,""))))</f>
        <v/>
      </c>
      <c r="AH414" s="495" t="str">
        <f>IF(OR(AC414=0,AC414="ND",$C$5="not necessary"),"",1000*$C$5*R414/Table9[[#This Row],[Processing factor]]/S414/AB414)</f>
        <v/>
      </c>
      <c r="AI414" s="313"/>
      <c r="AK414" s="651"/>
    </row>
    <row r="415" spans="1:37" x14ac:dyDescent="0.2">
      <c r="A415" s="506"/>
      <c r="B415" s="23">
        <v>120050</v>
      </c>
      <c r="C415" s="325" t="s">
        <v>1907</v>
      </c>
      <c r="D415" s="373" t="str">
        <f>VLOOKUP(C415,input_values!$C$412:$BG$538,input_values!$BG$410-2,0)</f>
        <v>PROC-120050-24</v>
      </c>
      <c r="E415" s="567">
        <f>VLOOKUP(B415,input_values!$B$412:$M$538,4,FALSE)</f>
        <v>0</v>
      </c>
      <c r="F415" s="451" t="str">
        <f>VLOOKUP($D415,Table6[[Identifyer]:[Acute RA IESTI new input value]],input_values!$Q$410,FALSE)</f>
        <v/>
      </c>
      <c r="G415" s="451" t="str">
        <f>VLOOKUP($D415,Table6[[Identifyer]:[Acute RA IESTI new input value]],input_values!$P$410,FALSE)</f>
        <v/>
      </c>
      <c r="H415" s="451">
        <f>VLOOKUP($D415,Table6[[Identifyer]:[Acute RA IESTI new input value]],input_values!$S$410,FALSE)</f>
        <v>0</v>
      </c>
      <c r="I415" s="451" t="str">
        <f>VLOOKUP($D415,Table6[[Identifyer]:[Acute RA IESTI new input value]],input_values!$R$410,FALSE)</f>
        <v/>
      </c>
      <c r="J415" s="65"/>
      <c r="K415" s="301">
        <f t="shared" si="67"/>
        <v>1</v>
      </c>
      <c r="L415" s="301" t="str">
        <f>VLOOKUP(D415,input_values!$A$412:$BB$538,input_values!$AA$410,FALSE)</f>
        <v/>
      </c>
      <c r="M415" s="302">
        <f>VLOOKUP(D415,input_values!$A$412:$BB$538,input_values!$Y$410,FALSE)</f>
        <v>1</v>
      </c>
      <c r="N415" s="374" t="str">
        <f>IF(VLOOKUP(D415,input_values!$A$412:$BB$538,input_values!$L$410,FALSE)&lt;&gt;"",VLOOKUP(D415,input_values!$A$412:$BB$538,input_values!$L$410,FALSE),"")</f>
        <v/>
      </c>
      <c r="O415" s="339">
        <v>3.6048632218844983</v>
      </c>
      <c r="P415" s="375">
        <v>97.5</v>
      </c>
      <c r="Q415" s="21" t="s">
        <v>99</v>
      </c>
      <c r="R415" s="377">
        <v>65.8</v>
      </c>
      <c r="S415" s="326">
        <f t="shared" si="71"/>
        <v>237.2</v>
      </c>
      <c r="T415" s="377"/>
      <c r="U415" s="377"/>
      <c r="V415" s="377"/>
      <c r="W415" s="377"/>
      <c r="X415" s="378">
        <v>3</v>
      </c>
      <c r="Y415" s="64">
        <f>IF(OR(Table9[[#This Row],[Case]]=1,Table9[[#This Row],[Case]]=3),1,IF(N415="",K415,N415))</f>
        <v>1</v>
      </c>
      <c r="Z415" s="648" t="str">
        <f t="shared" si="68"/>
        <v>ND</v>
      </c>
      <c r="AA415" s="380" t="str">
        <f t="shared" si="69"/>
        <v>no acute RA</v>
      </c>
      <c r="AB415" s="64">
        <f>IF(OR(Table9[[#This Row],[Case]]=3,Table9[[#This Row],[Case]]=1),1,IF(Table9[[#This Row],[Variability factor for IESTI ]]&lt;3,Table9[[#This Row],[Variability factor for IESTI ]],3))</f>
        <v>1</v>
      </c>
      <c r="AC415" s="379" t="str">
        <f t="shared" si="70"/>
        <v>ND</v>
      </c>
      <c r="AD415" s="380" t="str">
        <f>IF($C$5="not necessary","no acute RA",IF(AC415="ND","no acute RA",IF(Table9[[#This Row],[IESTI new (mg/kg bw)]]&lt;&gt;"",AC415/$C$5,0)))</f>
        <v>no acute RA</v>
      </c>
      <c r="AE415" s="423" t="str">
        <f t="shared" si="72"/>
        <v/>
      </c>
      <c r="AF415" s="423" t="str">
        <f t="shared" si="73"/>
        <v/>
      </c>
      <c r="AG415" s="381" t="str">
        <f>IF(OR(Z415=0,Z415="ND",Z415="",$C$5="not necessary"),"",IF(X415="2a",1000*$C$5*R415/Table9[[#This Row],[Processing factor]]/(T415*Y415+S415-T415),IF(X415="2b",1000*$C$5*R415/Table9[[#This Row],[Processing factor]]/S415/Y415,IF(OR(X415=1,X415=3),1000*$C$5*R415/Table9[[#This Row],[Processing factor]]/S415,""))))</f>
        <v/>
      </c>
      <c r="AH415" s="495" t="str">
        <f>IF(OR(AC415=0,AC415="ND",$C$5="not necessary"),"",1000*$C$5*R415/Table9[[#This Row],[Processing factor]]/S415/AB415)</f>
        <v/>
      </c>
      <c r="AK415" s="651"/>
    </row>
    <row r="416" spans="1:37" x14ac:dyDescent="0.2">
      <c r="A416" s="506"/>
      <c r="B416" s="23">
        <v>130010</v>
      </c>
      <c r="C416" s="325" t="s">
        <v>378</v>
      </c>
      <c r="D416" s="373" t="str">
        <f>VLOOKUP(C416,input_values!$C$412:$BG$538,input_values!$BG$410-2,0)</f>
        <v>PROC-130010-9</v>
      </c>
      <c r="E416" s="567">
        <f>VLOOKUP(B416,input_values!$B$412:$M$538,4,FALSE)</f>
        <v>0</v>
      </c>
      <c r="F416" s="451" t="str">
        <f>VLOOKUP($D416,Table6[[Identifyer]:[Acute RA IESTI new input value]],input_values!$Q$410,FALSE)</f>
        <v/>
      </c>
      <c r="G416" s="451" t="str">
        <f>VLOOKUP($D416,Table6[[Identifyer]:[Acute RA IESTI new input value]],input_values!$P$410,FALSE)</f>
        <v/>
      </c>
      <c r="H416" s="451">
        <f>VLOOKUP($D416,Table6[[Identifyer]:[Acute RA IESTI new input value]],input_values!$S$410,FALSE)</f>
        <v>0</v>
      </c>
      <c r="I416" s="451" t="str">
        <f>VLOOKUP($D416,Table6[[Identifyer]:[Acute RA IESTI new input value]],input_values!$R$410,FALSE)</f>
        <v/>
      </c>
      <c r="J416" s="65"/>
      <c r="K416" s="301">
        <f t="shared" si="67"/>
        <v>1</v>
      </c>
      <c r="L416" s="301" t="str">
        <f>VLOOKUP(D416,input_values!$A$412:$BB$538,input_values!$AA$410,FALSE)</f>
        <v/>
      </c>
      <c r="M416" s="302">
        <f>VLOOKUP(D416,input_values!$A$412:$BB$538,input_values!$Y$410,FALSE)</f>
        <v>1</v>
      </c>
      <c r="N416" s="374" t="str">
        <f>IF(VLOOKUP(D416,input_values!$A$412:$BB$538,input_values!$L$410,FALSE)&lt;&gt;"",VLOOKUP(D416,input_values!$A$412:$BB$538,input_values!$L$410,FALSE),"")</f>
        <v/>
      </c>
      <c r="O416" s="339">
        <v>33.332826747720368</v>
      </c>
      <c r="P416" s="375">
        <v>97.5</v>
      </c>
      <c r="Q416" s="21" t="s">
        <v>99</v>
      </c>
      <c r="R416" s="377">
        <v>65.8</v>
      </c>
      <c r="S416" s="326">
        <f t="shared" si="71"/>
        <v>2193.3000000000002</v>
      </c>
      <c r="T416" s="377"/>
      <c r="U416" s="377"/>
      <c r="V416" s="377"/>
      <c r="W416" s="377"/>
      <c r="X416" s="378">
        <v>3</v>
      </c>
      <c r="Y416" s="64">
        <f>IF(OR(Table9[[#This Row],[Case]]=1,Table9[[#This Row],[Case]]=3),1,IF(N416="",K416,N416))</f>
        <v>1</v>
      </c>
      <c r="Z416" s="648" t="str">
        <f t="shared" si="68"/>
        <v>ND</v>
      </c>
      <c r="AA416" s="380" t="str">
        <f t="shared" si="69"/>
        <v>no acute RA</v>
      </c>
      <c r="AB416" s="64">
        <f>IF(OR(Table9[[#This Row],[Case]]=3,Table9[[#This Row],[Case]]=1),1,IF(Table9[[#This Row],[Variability factor for IESTI ]]&lt;3,Table9[[#This Row],[Variability factor for IESTI ]],3))</f>
        <v>1</v>
      </c>
      <c r="AC416" s="379" t="str">
        <f t="shared" si="70"/>
        <v>ND</v>
      </c>
      <c r="AD416" s="380" t="str">
        <f>IF($C$5="not necessary","no acute RA",IF(AC416="ND","no acute RA",IF(Table9[[#This Row],[IESTI new (mg/kg bw)]]&lt;&gt;"",AC416/$C$5,0)))</f>
        <v>no acute RA</v>
      </c>
      <c r="AE416" s="423" t="str">
        <f t="shared" si="72"/>
        <v/>
      </c>
      <c r="AF416" s="423" t="str">
        <f t="shared" si="73"/>
        <v/>
      </c>
      <c r="AG416" s="381" t="str">
        <f>IF(OR(Z416=0,Z416="ND",Z416="",$C$5="not necessary"),"",IF(X416="2a",1000*$C$5*R416/Table9[[#This Row],[Processing factor]]/(T416*Y416+S416-T416),IF(X416="2b",1000*$C$5*R416/Table9[[#This Row],[Processing factor]]/S416/Y416,IF(OR(X416=1,X416=3),1000*$C$5*R416/Table9[[#This Row],[Processing factor]]/S416,""))))</f>
        <v/>
      </c>
      <c r="AH416" s="495" t="str">
        <f>IF(OR(AC416=0,AC416="ND",$C$5="not necessary"),"",1000*$C$5*R416/Table9[[#This Row],[Processing factor]]/S416/AB416)</f>
        <v/>
      </c>
      <c r="AK416" s="651"/>
    </row>
    <row r="417" spans="1:37" x14ac:dyDescent="0.2">
      <c r="A417" s="506"/>
      <c r="B417" s="23">
        <v>130030</v>
      </c>
      <c r="C417" s="325" t="s">
        <v>380</v>
      </c>
      <c r="D417" s="373" t="str">
        <f>VLOOKUP(C417,input_values!$C$412:$BG$538,input_values!$BG$410-2,0)</f>
        <v>PROC-130030-11</v>
      </c>
      <c r="E417" s="567">
        <f>VLOOKUP(B417,input_values!$B$412:$M$538,4,FALSE)</f>
        <v>0</v>
      </c>
      <c r="F417" s="451" t="str">
        <f>VLOOKUP($D417,Table6[[Identifyer]:[Acute RA IESTI new input value]],input_values!$Q$410,FALSE)</f>
        <v/>
      </c>
      <c r="G417" s="451" t="str">
        <f>VLOOKUP($D417,Table6[[Identifyer]:[Acute RA IESTI new input value]],input_values!$P$410,FALSE)</f>
        <v/>
      </c>
      <c r="H417" s="451">
        <f>VLOOKUP($D417,Table6[[Identifyer]:[Acute RA IESTI new input value]],input_values!$S$410,FALSE)</f>
        <v>0</v>
      </c>
      <c r="I417" s="451" t="str">
        <f>VLOOKUP($D417,Table6[[Identifyer]:[Acute RA IESTI new input value]],input_values!$R$410,FALSE)</f>
        <v/>
      </c>
      <c r="J417" s="65"/>
      <c r="K417" s="301">
        <f t="shared" si="67"/>
        <v>1</v>
      </c>
      <c r="L417" s="301" t="str">
        <f>VLOOKUP(D417,input_values!$A$412:$BB$538,input_values!$AA$410,FALSE)</f>
        <v/>
      </c>
      <c r="M417" s="302">
        <f>VLOOKUP(D417,input_values!$A$412:$BB$538,input_values!$Y$410,FALSE)</f>
        <v>1</v>
      </c>
      <c r="N417" s="374" t="str">
        <f>IF(VLOOKUP(D417,input_values!$A$412:$BB$538,input_values!$L$410,FALSE)&lt;&gt;"",VLOOKUP(D417,input_values!$A$412:$BB$538,input_values!$L$410,FALSE),"")</f>
        <v/>
      </c>
      <c r="O417" s="339">
        <v>1.2507598784194529</v>
      </c>
      <c r="P417" s="375"/>
      <c r="Q417" s="21" t="s">
        <v>99</v>
      </c>
      <c r="R417" s="377">
        <v>65.8</v>
      </c>
      <c r="S417" s="326">
        <f t="shared" si="71"/>
        <v>82.3</v>
      </c>
      <c r="T417" s="377"/>
      <c r="U417" s="377"/>
      <c r="V417" s="377"/>
      <c r="W417" s="377"/>
      <c r="X417" s="378">
        <v>3</v>
      </c>
      <c r="Y417" s="64">
        <f>IF(OR(Table9[[#This Row],[Case]]=1,Table9[[#This Row],[Case]]=3),1,IF(N417="",K417,N417))</f>
        <v>1</v>
      </c>
      <c r="Z417" s="648" t="str">
        <f t="shared" si="68"/>
        <v>ND</v>
      </c>
      <c r="AA417" s="380" t="str">
        <f t="shared" si="69"/>
        <v>no acute RA</v>
      </c>
      <c r="AB417" s="64">
        <f>IF(OR(Table9[[#This Row],[Case]]=3,Table9[[#This Row],[Case]]=1),1,IF(Table9[[#This Row],[Variability factor for IESTI ]]&lt;3,Table9[[#This Row],[Variability factor for IESTI ]],3))</f>
        <v>1</v>
      </c>
      <c r="AC417" s="379" t="str">
        <f t="shared" si="70"/>
        <v>ND</v>
      </c>
      <c r="AD417" s="380" t="str">
        <f>IF($C$5="not necessary","no acute RA",IF(AC417="ND","no acute RA",IF(Table9[[#This Row],[IESTI new (mg/kg bw)]]&lt;&gt;"",AC417/$C$5,0)))</f>
        <v>no acute RA</v>
      </c>
      <c r="AE417" s="423" t="str">
        <f t="shared" si="72"/>
        <v/>
      </c>
      <c r="AF417" s="423" t="str">
        <f t="shared" si="73"/>
        <v/>
      </c>
      <c r="AG417" s="381" t="str">
        <f>IF(OR(Z417=0,Z417="ND",Z417="",$C$5="not necessary"),"",IF(X417="2a",1000*$C$5*R417/Table9[[#This Row],[Processing factor]]/(T417*Y417+S417-T417),IF(X417="2b",1000*$C$5*R417/Table9[[#This Row],[Processing factor]]/S417/Y417,IF(OR(X417=1,X417=3),1000*$C$5*R417/Table9[[#This Row],[Processing factor]]/S417,""))))</f>
        <v/>
      </c>
      <c r="AH417" s="495" t="str">
        <f>IF(OR(AC417=0,AC417="ND",$C$5="not necessary"),"",1000*$C$5*R417/Table9[[#This Row],[Processing factor]]/S417/AB417)</f>
        <v/>
      </c>
      <c r="AK417" s="651"/>
    </row>
    <row r="418" spans="1:37" x14ac:dyDescent="0.2">
      <c r="A418" s="506"/>
      <c r="B418" s="23">
        <v>140030</v>
      </c>
      <c r="C418" s="325" t="s">
        <v>381</v>
      </c>
      <c r="D418" s="373" t="str">
        <f>VLOOKUP(C418,input_values!$C$412:$BG$538,input_values!$BG$410-2,0)</f>
        <v>PROC-140030-5</v>
      </c>
      <c r="E418" s="567">
        <f>VLOOKUP(B418,input_values!$B$412:$M$538,4,FALSE)</f>
        <v>0</v>
      </c>
      <c r="F418" s="451" t="str">
        <f>VLOOKUP($D418,Table6[[Identifyer]:[Acute RA IESTI new input value]],input_values!$Q$410,FALSE)</f>
        <v/>
      </c>
      <c r="G418" s="451" t="str">
        <f>VLOOKUP($D418,Table6[[Identifyer]:[Acute RA IESTI new input value]],input_values!$P$410,FALSE)</f>
        <v/>
      </c>
      <c r="H418" s="451">
        <f>VLOOKUP($D418,Table6[[Identifyer]:[Acute RA IESTI new input value]],input_values!$S$410,FALSE)</f>
        <v>0</v>
      </c>
      <c r="I418" s="451" t="str">
        <f>VLOOKUP($D418,Table6[[Identifyer]:[Acute RA IESTI new input value]],input_values!$R$410,FALSE)</f>
        <v/>
      </c>
      <c r="J418" s="65"/>
      <c r="K418" s="301">
        <f t="shared" si="67"/>
        <v>7</v>
      </c>
      <c r="L418" s="301" t="str">
        <f>VLOOKUP(D418,input_values!$A$412:$BB$538,input_values!$AA$410,FALSE)</f>
        <v/>
      </c>
      <c r="M418" s="302">
        <f>VLOOKUP(D418,input_values!$A$412:$BB$538,input_values!$Y$410,FALSE)</f>
        <v>1</v>
      </c>
      <c r="N418" s="302" t="str">
        <f>IF(VLOOKUP(D418,input_values!$A$412:$BB$538,input_values!$L$410,FALSE)&lt;&gt;"",VLOOKUP(D418,input_values!$A$412:$BB$538,input_values!$L$410,FALSE),"")</f>
        <v/>
      </c>
      <c r="O418" s="339">
        <v>2.7010000000000001</v>
      </c>
      <c r="P418" s="375">
        <v>97.5</v>
      </c>
      <c r="Q418" s="21" t="s">
        <v>99</v>
      </c>
      <c r="R418" s="377">
        <v>65.8</v>
      </c>
      <c r="S418" s="326">
        <f t="shared" si="71"/>
        <v>177.72579999999999</v>
      </c>
      <c r="T418" s="376">
        <v>60</v>
      </c>
      <c r="U418" s="1453" t="str">
        <f>VLOOKUP(B418,$B$12:$W$390,20)</f>
        <v>NL</v>
      </c>
      <c r="V418" s="376">
        <v>60</v>
      </c>
      <c r="W418" s="376" t="str">
        <f>VLOOKUP(B418,$B$12:$W$390,22)</f>
        <v>NL</v>
      </c>
      <c r="X418" s="378" t="s">
        <v>1891</v>
      </c>
      <c r="Y418" s="64">
        <f>IF(OR(Table9[[#This Row],[Case]]=1,Table9[[#This Row],[Case]]=3),1,IF(N418="",K418,N418))</f>
        <v>7</v>
      </c>
      <c r="Z418" s="648" t="str">
        <f t="shared" si="68"/>
        <v>ND</v>
      </c>
      <c r="AA418" s="380" t="str">
        <f t="shared" si="69"/>
        <v>no acute RA</v>
      </c>
      <c r="AB418" s="64">
        <f>IF(OR(Table9[[#This Row],[Case]]=3,Table9[[#This Row],[Case]]=1),1,IF(Table9[[#This Row],[Variability factor for IESTI ]]&lt;3,Table9[[#This Row],[Variability factor for IESTI ]],3))</f>
        <v>3</v>
      </c>
      <c r="AC418" s="379" t="str">
        <f t="shared" si="70"/>
        <v>ND</v>
      </c>
      <c r="AD418" s="380" t="str">
        <f>IF($C$5="not necessary","no acute RA",IF(AC418="ND","no acute RA",IF(Table9[[#This Row],[IESTI new (mg/kg bw)]]&lt;&gt;"",AC418/$C$5,0)))</f>
        <v>no acute RA</v>
      </c>
      <c r="AE418" s="423" t="str">
        <f t="shared" si="72"/>
        <v/>
      </c>
      <c r="AF418" s="423" t="str">
        <f t="shared" si="73"/>
        <v/>
      </c>
      <c r="AG418" s="381" t="str">
        <f>IF(OR(Z418=0,Z418="ND",Z418="",$C$5="not necessary"),"",IF(X418="2a",1000*$C$5*R418/Table9[[#This Row],[Processing factor]]/(T418*Y418+S418-T418),IF(X418="2b",1000*$C$5*R418/Table9[[#This Row],[Processing factor]]/S418/Y418,IF(OR(X418=1,X418=3),1000*$C$5*R418/Table9[[#This Row],[Processing factor]]/S418,""))))</f>
        <v/>
      </c>
      <c r="AH418" s="495" t="str">
        <f>IF(OR(AC418=0,AC418="ND",$C$5="not necessary"),"",1000*$C$5*R418/Table9[[#This Row],[Processing factor]]/S418/AB418)</f>
        <v/>
      </c>
      <c r="AK418" s="651"/>
    </row>
    <row r="419" spans="1:37" x14ac:dyDescent="0.2">
      <c r="A419" s="506"/>
      <c r="B419" s="23">
        <v>151020</v>
      </c>
      <c r="C419" s="325" t="s">
        <v>384</v>
      </c>
      <c r="D419" s="373" t="str">
        <f>VLOOKUP(C419,input_values!$C$412:$BG$538,input_values!$BG$410-2,0)</f>
        <v>PROC-151020-9</v>
      </c>
      <c r="E419" s="567">
        <f>VLOOKUP(B419,input_values!$B$412:$M$538,4,FALSE)</f>
        <v>0</v>
      </c>
      <c r="F419" s="451" t="str">
        <f>VLOOKUP($D419,Table6[[Identifyer]:[Acute RA IESTI new input value]],input_values!$Q$410,FALSE)</f>
        <v/>
      </c>
      <c r="G419" s="451" t="str">
        <f>VLOOKUP($D419,Table6[[Identifyer]:[Acute RA IESTI new input value]],input_values!$P$410,FALSE)</f>
        <v/>
      </c>
      <c r="H419" s="451">
        <f>VLOOKUP($D419,Table6[[Identifyer]:[Acute RA IESTI new input value]],input_values!$S$410,FALSE)</f>
        <v>0</v>
      </c>
      <c r="I419" s="451" t="str">
        <f>VLOOKUP($D419,Table6[[Identifyer]:[Acute RA IESTI new input value]],input_values!$R$410,FALSE)</f>
        <v/>
      </c>
      <c r="J419" s="65"/>
      <c r="K419" s="301">
        <f t="shared" si="67"/>
        <v>1</v>
      </c>
      <c r="L419" s="301" t="str">
        <f>VLOOKUP(D419,input_values!$A$412:$BB$538,input_values!$AA$410,FALSE)</f>
        <v/>
      </c>
      <c r="M419" s="302">
        <f>VLOOKUP(D419,input_values!$A$412:$BB$538,input_values!$Y$410,FALSE)</f>
        <v>1</v>
      </c>
      <c r="N419" s="374" t="str">
        <f>IF(VLOOKUP(D419,input_values!$A$412:$BB$538,input_values!$L$410,FALSE)&lt;&gt;"",VLOOKUP(D419,input_values!$A$412:$BB$538,input_values!$L$410,FALSE),"")</f>
        <v/>
      </c>
      <c r="O419" s="339">
        <v>20.799392097264437</v>
      </c>
      <c r="P419" s="375">
        <v>97.5</v>
      </c>
      <c r="Q419" s="21" t="s">
        <v>99</v>
      </c>
      <c r="R419" s="377">
        <v>65.8</v>
      </c>
      <c r="S419" s="326">
        <f t="shared" si="71"/>
        <v>1368.6</v>
      </c>
      <c r="T419" s="377"/>
      <c r="U419" s="377"/>
      <c r="V419" s="377"/>
      <c r="W419" s="377"/>
      <c r="X419" s="378">
        <v>3</v>
      </c>
      <c r="Y419" s="64">
        <f>IF(OR(Table9[[#This Row],[Case]]=1,Table9[[#This Row],[Case]]=3),1,IF(N419="",K419,N419))</f>
        <v>1</v>
      </c>
      <c r="Z419" s="648" t="str">
        <f t="shared" si="68"/>
        <v>ND</v>
      </c>
      <c r="AA419" s="380" t="str">
        <f t="shared" si="69"/>
        <v>no acute RA</v>
      </c>
      <c r="AB419" s="64">
        <f>IF(OR(Table9[[#This Row],[Case]]=3,Table9[[#This Row],[Case]]=1),1,IF(Table9[[#This Row],[Variability factor for IESTI ]]&lt;3,Table9[[#This Row],[Variability factor for IESTI ]],3))</f>
        <v>1</v>
      </c>
      <c r="AC419" s="379" t="str">
        <f t="shared" si="70"/>
        <v>ND</v>
      </c>
      <c r="AD419" s="380" t="str">
        <f>IF($C$5="not necessary","no acute RA",IF(AC419="ND","no acute RA",IF(Table9[[#This Row],[IESTI new (mg/kg bw)]]&lt;&gt;"",AC419/$C$5,0)))</f>
        <v>no acute RA</v>
      </c>
      <c r="AE419" s="423" t="str">
        <f t="shared" si="72"/>
        <v/>
      </c>
      <c r="AF419" s="423" t="str">
        <f t="shared" si="73"/>
        <v/>
      </c>
      <c r="AG419" s="381" t="str">
        <f>IF(OR(Z419=0,Z419="ND",Z419="",$C$5="not necessary"),"",IF(X419="2a",1000*$C$5*R419/Table9[[#This Row],[Processing factor]]/(T419*Y419+S419-T419),IF(X419="2b",1000*$C$5*R419/Table9[[#This Row],[Processing factor]]/S419/Y419,IF(OR(X419=1,X419=3),1000*$C$5*R419/Table9[[#This Row],[Processing factor]]/S419,""))))</f>
        <v/>
      </c>
      <c r="AH419" s="495" t="str">
        <f>IF(OR(AC419=0,AC419="ND",$C$5="not necessary"),"",1000*$C$5*R419/Table9[[#This Row],[Processing factor]]/S419/AB419)</f>
        <v/>
      </c>
      <c r="AK419" s="651"/>
    </row>
    <row r="420" spans="1:37" x14ac:dyDescent="0.2">
      <c r="A420" s="506"/>
      <c r="B420" s="23">
        <v>151020</v>
      </c>
      <c r="C420" s="325" t="s">
        <v>877</v>
      </c>
      <c r="D420" s="373" t="str">
        <f>VLOOKUP(C420,input_values!$C$412:$BG$538,input_values!$BG$410-2,0)</f>
        <v>PROC-151020-7</v>
      </c>
      <c r="E420" s="567">
        <f>VLOOKUP(B420,input_values!$B$412:$M$538,4,FALSE)</f>
        <v>0</v>
      </c>
      <c r="F420" s="451" t="str">
        <f>VLOOKUP($D420,Table6[[Identifyer]:[Acute RA IESTI new input value]],input_values!$Q$410,FALSE)</f>
        <v/>
      </c>
      <c r="G420" s="451" t="str">
        <f>VLOOKUP($D420,Table6[[Identifyer]:[Acute RA IESTI new input value]],input_values!$P$410,FALSE)</f>
        <v/>
      </c>
      <c r="H420" s="451">
        <f>VLOOKUP($D420,Table6[[Identifyer]:[Acute RA IESTI new input value]],input_values!$S$410,FALSE)</f>
        <v>0</v>
      </c>
      <c r="I420" s="451" t="str">
        <f>VLOOKUP($D420,Table6[[Identifyer]:[Acute RA IESTI new input value]],input_values!$R$410,FALSE)</f>
        <v/>
      </c>
      <c r="J420" s="65"/>
      <c r="K420" s="301">
        <f t="shared" si="67"/>
        <v>1</v>
      </c>
      <c r="L420" s="301" t="str">
        <f>VLOOKUP(D420,input_values!$A$412:$BB$538,input_values!$AA$410,FALSE)</f>
        <v/>
      </c>
      <c r="M420" s="302">
        <f>VLOOKUP(D420,input_values!$A$412:$BB$538,input_values!$Y$410,FALSE)</f>
        <v>4.7</v>
      </c>
      <c r="N420" s="374" t="str">
        <f>IF(VLOOKUP(D420,input_values!$A$412:$BB$538,input_values!$L$410,FALSE)&lt;&gt;"",VLOOKUP(D420,input_values!$A$412:$BB$538,input_values!$L$410,FALSE),"")</f>
        <v/>
      </c>
      <c r="O420" s="339">
        <v>1.2250000000000001</v>
      </c>
      <c r="P420" s="375">
        <v>97.5</v>
      </c>
      <c r="Q420" s="21" t="s">
        <v>99</v>
      </c>
      <c r="R420" s="377">
        <v>65.8</v>
      </c>
      <c r="S420" s="326">
        <f t="shared" si="71"/>
        <v>80.605000000000004</v>
      </c>
      <c r="T420" s="377"/>
      <c r="U420" s="377"/>
      <c r="V420" s="377"/>
      <c r="W420" s="377"/>
      <c r="X420" s="378">
        <v>1</v>
      </c>
      <c r="Y420" s="64">
        <f>IF(OR(Table9[[#This Row],[Case]]=1,Table9[[#This Row],[Case]]=3),1,IF(N420="",K420,N420))</f>
        <v>1</v>
      </c>
      <c r="Z420" s="648" t="str">
        <f t="shared" si="68"/>
        <v>ND</v>
      </c>
      <c r="AA420" s="380" t="str">
        <f t="shared" si="69"/>
        <v>no acute RA</v>
      </c>
      <c r="AB420" s="64">
        <f>IF(OR(Table9[[#This Row],[Case]]=3,Table9[[#This Row],[Case]]=1),1,IF(Table9[[#This Row],[Variability factor for IESTI ]]&lt;3,Table9[[#This Row],[Variability factor for IESTI ]],3))</f>
        <v>1</v>
      </c>
      <c r="AC420" s="379" t="str">
        <f t="shared" si="70"/>
        <v>ND</v>
      </c>
      <c r="AD420" s="380" t="str">
        <f>IF($C$5="not necessary","no acute RA",IF(AC420="ND","no acute RA",IF(Table9[[#This Row],[IESTI new (mg/kg bw)]]&lt;&gt;"",AC420/$C$5,0)))</f>
        <v>no acute RA</v>
      </c>
      <c r="AE420" s="423" t="str">
        <f t="shared" si="72"/>
        <v/>
      </c>
      <c r="AF420" s="423" t="str">
        <f t="shared" si="73"/>
        <v/>
      </c>
      <c r="AG420" s="381" t="str">
        <f>IF(OR(Z420=0,Z420="ND",Z420="",$C$5="not necessary"),"",IF(X420="2a",1000*$C$5*R420/Table9[[#This Row],[Processing factor]]/(T420*Y420+S420-T420),IF(X420="2b",1000*$C$5*R420/Table9[[#This Row],[Processing factor]]/S420/Y420,IF(OR(X420=1,X420=3),1000*$C$5*R420/Table9[[#This Row],[Processing factor]]/S420,""))))</f>
        <v/>
      </c>
      <c r="AH420" s="495" t="str">
        <f>IF(OR(AC420=0,AC420="ND",$C$5="not necessary"),"",1000*$C$5*R420/Table9[[#This Row],[Processing factor]]/S420/AB420)</f>
        <v/>
      </c>
      <c r="AK420" s="651"/>
    </row>
    <row r="421" spans="1:37" ht="13.9" customHeight="1" x14ac:dyDescent="0.2">
      <c r="A421" s="506"/>
      <c r="B421" s="23">
        <v>151020</v>
      </c>
      <c r="C421" s="325" t="s">
        <v>458</v>
      </c>
      <c r="D421" s="373" t="str">
        <f>VLOOKUP(C421,input_values!$C$412:$BG$538,input_values!$BG$410-2,0)</f>
        <v>PROC-151020-16</v>
      </c>
      <c r="E421" s="567">
        <f>VLOOKUP(B421,input_values!$B$412:$M$538,4,FALSE)</f>
        <v>0</v>
      </c>
      <c r="F421" s="451" t="str">
        <f>VLOOKUP($D421,Table6[[Identifyer]:[Acute RA IESTI new input value]],input_values!$Q$410,FALSE)</f>
        <v/>
      </c>
      <c r="G421" s="451" t="str">
        <f>VLOOKUP($D421,Table6[[Identifyer]:[Acute RA IESTI new input value]],input_values!$P$410,FALSE)</f>
        <v/>
      </c>
      <c r="H421" s="451">
        <f>VLOOKUP($D421,Table6[[Identifyer]:[Acute RA IESTI new input value]],input_values!$S$410,FALSE)</f>
        <v>0</v>
      </c>
      <c r="I421" s="451" t="str">
        <f>VLOOKUP($D421,Table6[[Identifyer]:[Acute RA IESTI new input value]],input_values!$R$410,FALSE)</f>
        <v/>
      </c>
      <c r="J421" s="65"/>
      <c r="K421" s="301">
        <f t="shared" si="67"/>
        <v>1</v>
      </c>
      <c r="L421" s="301" t="str">
        <f>VLOOKUP(D421,input_values!$A$412:$BB$538,input_values!$AA$410,FALSE)</f>
        <v/>
      </c>
      <c r="M421" s="302">
        <f>VLOOKUP(D421,input_values!$A$412:$BB$538,input_values!$Y$410,FALSE)</f>
        <v>1</v>
      </c>
      <c r="N421" s="374" t="str">
        <f>IF(VLOOKUP(D421,input_values!$A$412:$BB$538,input_values!$L$410,FALSE)&lt;&gt;"",VLOOKUP(D421,input_values!$A$412:$BB$538,input_values!$L$410,FALSE),"")</f>
        <v/>
      </c>
      <c r="O421" s="603">
        <v>9.4583152409900126</v>
      </c>
      <c r="P421" s="652">
        <v>97.5</v>
      </c>
      <c r="Q421" s="653" t="s">
        <v>99</v>
      </c>
      <c r="R421" s="377">
        <v>65.8</v>
      </c>
      <c r="S421" s="326">
        <f t="shared" si="71"/>
        <v>622.35714285714278</v>
      </c>
      <c r="T421" s="377"/>
      <c r="U421" s="377"/>
      <c r="V421" s="377"/>
      <c r="W421" s="377"/>
      <c r="X421" s="378">
        <v>1</v>
      </c>
      <c r="Y421" s="64">
        <f>IF(OR(Table9[[#This Row],[Case]]=1,Table9[[#This Row],[Case]]=3),1,IF(N421="",K421,N421))</f>
        <v>1</v>
      </c>
      <c r="Z421" s="648" t="str">
        <f t="shared" si="68"/>
        <v>ND</v>
      </c>
      <c r="AA421" s="380" t="str">
        <f t="shared" si="69"/>
        <v>no acute RA</v>
      </c>
      <c r="AB421" s="64">
        <f>IF(OR(Table9[[#This Row],[Case]]=3,Table9[[#This Row],[Case]]=1),1,IF(Table9[[#This Row],[Variability factor for IESTI ]]&lt;3,Table9[[#This Row],[Variability factor for IESTI ]],3))</f>
        <v>1</v>
      </c>
      <c r="AC421" s="379" t="str">
        <f t="shared" si="70"/>
        <v>ND</v>
      </c>
      <c r="AD421" s="380" t="str">
        <f>IF($C$5="not necessary","no acute RA",IF(AC421="ND","no acute RA",IF(Table9[[#This Row],[IESTI new (mg/kg bw)]]&lt;&gt;"",AC421/$C$5,0)))</f>
        <v>no acute RA</v>
      </c>
      <c r="AE421" s="423" t="str">
        <f t="shared" si="72"/>
        <v/>
      </c>
      <c r="AF421" s="423" t="str">
        <f t="shared" si="73"/>
        <v/>
      </c>
      <c r="AG421" s="381" t="str">
        <f>IF(OR(Z421=0,Z421="ND",Z421="",$C$5="not necessary"),"",IF(X421="2a",1000*$C$5*R421/Table9[[#This Row],[Processing factor]]/(T421*Y421+S421-T421),IF(X421="2b",1000*$C$5*R421/Table9[[#This Row],[Processing factor]]/S421/Y421,IF(OR(X421=1,X421=3),1000*$C$5*R421/Table9[[#This Row],[Processing factor]]/S421,""))))</f>
        <v/>
      </c>
      <c r="AH421" s="495" t="str">
        <f>IF(OR(AC421=0,AC421="ND",$C$5="not necessary"),"",1000*$C$5*R421/Table9[[#This Row],[Processing factor]]/S421/AB421)</f>
        <v/>
      </c>
      <c r="AK421" s="651"/>
    </row>
    <row r="422" spans="1:37" x14ac:dyDescent="0.2">
      <c r="A422" s="506"/>
      <c r="B422" s="23">
        <v>154020</v>
      </c>
      <c r="C422" s="325" t="s">
        <v>460</v>
      </c>
      <c r="D422" s="373" t="str">
        <f>VLOOKUP(C422,input_values!$C$412:$BG$538,input_values!$BG$410-2,0)</f>
        <v>PROC-154020-7</v>
      </c>
      <c r="E422" s="567">
        <f>VLOOKUP(B422,input_values!$B$412:$M$538,4,FALSE)</f>
        <v>0</v>
      </c>
      <c r="F422" s="451" t="str">
        <f>VLOOKUP($D422,Table6[[Identifyer]:[Acute RA IESTI new input value]],input_values!$Q$410,FALSE)</f>
        <v/>
      </c>
      <c r="G422" s="451" t="str">
        <f>VLOOKUP($D422,Table6[[Identifyer]:[Acute RA IESTI new input value]],input_values!$P$410,FALSE)</f>
        <v/>
      </c>
      <c r="H422" s="451">
        <f>VLOOKUP($D422,Table6[[Identifyer]:[Acute RA IESTI new input value]],input_values!$S$410,FALSE)</f>
        <v>0</v>
      </c>
      <c r="I422" s="451" t="str">
        <f>VLOOKUP($D422,Table6[[Identifyer]:[Acute RA IESTI new input value]],input_values!$R$410,FALSE)</f>
        <v/>
      </c>
      <c r="J422" s="65"/>
      <c r="K422" s="301">
        <f t="shared" si="67"/>
        <v>1</v>
      </c>
      <c r="L422" s="301" t="str">
        <f>VLOOKUP(D422,input_values!$A$412:$BB$538,input_values!$AA$410,FALSE)</f>
        <v/>
      </c>
      <c r="M422" s="302">
        <f>VLOOKUP(D422,input_values!$A$412:$BB$538,input_values!$Y$410,FALSE)</f>
        <v>1</v>
      </c>
      <c r="N422" s="374" t="str">
        <f>IF(VLOOKUP(D422,input_values!$A$412:$BB$538,input_values!$L$410,FALSE)&lt;&gt;"",VLOOKUP(D422,input_values!$A$412:$BB$538,input_values!$L$410,FALSE),"")</f>
        <v/>
      </c>
      <c r="O422" s="339">
        <v>0.75987841945288759</v>
      </c>
      <c r="P422" s="375" t="s">
        <v>331</v>
      </c>
      <c r="Q422" s="21" t="s">
        <v>99</v>
      </c>
      <c r="R422" s="377">
        <v>65.8</v>
      </c>
      <c r="S422" s="326">
        <f t="shared" si="71"/>
        <v>50</v>
      </c>
      <c r="T422" s="377"/>
      <c r="U422" s="377"/>
      <c r="V422" s="377"/>
      <c r="W422" s="377"/>
      <c r="X422" s="378">
        <v>3</v>
      </c>
      <c r="Y422" s="64">
        <f>IF(OR(Table9[[#This Row],[Case]]=1,Table9[[#This Row],[Case]]=3),1,IF(N422="",K422,N422))</f>
        <v>1</v>
      </c>
      <c r="Z422" s="648" t="str">
        <f t="shared" si="68"/>
        <v>ND</v>
      </c>
      <c r="AA422" s="380" t="str">
        <f t="shared" si="69"/>
        <v>no acute RA</v>
      </c>
      <c r="AB422" s="64">
        <f>IF(OR(Table9[[#This Row],[Case]]=3,Table9[[#This Row],[Case]]=1),1,IF(Table9[[#This Row],[Variability factor for IESTI ]]&lt;3,Table9[[#This Row],[Variability factor for IESTI ]],3))</f>
        <v>1</v>
      </c>
      <c r="AC422" s="379" t="str">
        <f t="shared" si="70"/>
        <v>ND</v>
      </c>
      <c r="AD422" s="380" t="str">
        <f>IF($C$5="not necessary","no acute RA",IF(AC422="ND","no acute RA",IF(Table9[[#This Row],[IESTI new (mg/kg bw)]]&lt;&gt;"",AC422/$C$5,0)))</f>
        <v>no acute RA</v>
      </c>
      <c r="AE422" s="423" t="str">
        <f t="shared" si="72"/>
        <v/>
      </c>
      <c r="AF422" s="423" t="str">
        <f t="shared" si="73"/>
        <v/>
      </c>
      <c r="AG422" s="381" t="str">
        <f>IF(OR(Z422=0,Z422="ND",Z422="",$C$5="not necessary"),"",IF(X422="2a",1000*$C$5*R422/Table9[[#This Row],[Processing factor]]/(T422*Y422+S422-T422),IF(X422="2b",1000*$C$5*R422/Table9[[#This Row],[Processing factor]]/S422/Y422,IF(OR(X422=1,X422=3),1000*$C$5*R422/Table9[[#This Row],[Processing factor]]/S422,""))))</f>
        <v/>
      </c>
      <c r="AH422" s="495" t="str">
        <f>IF(OR(AC422=0,AC422="ND",$C$5="not necessary"),"",1000*$C$5*R422/Table9[[#This Row],[Processing factor]]/S422/AB422)</f>
        <v/>
      </c>
      <c r="AK422" s="651"/>
    </row>
    <row r="423" spans="1:37" ht="12" customHeight="1" x14ac:dyDescent="0.2">
      <c r="A423" s="506"/>
      <c r="B423" s="23">
        <v>154030</v>
      </c>
      <c r="C423" s="325" t="s">
        <v>387</v>
      </c>
      <c r="D423" s="373" t="str">
        <f>VLOOKUP(C423,input_values!$C$412:$BG$538,input_values!$BG$410-2,0)</f>
        <v>PROC-154030-9</v>
      </c>
      <c r="E423" s="567">
        <f>VLOOKUP(B423,input_values!$B$412:$M$538,4,FALSE)</f>
        <v>0</v>
      </c>
      <c r="F423" s="451" t="str">
        <f>VLOOKUP($D423,Table6[[Identifyer]:[Acute RA IESTI new input value]],input_values!$Q$410,FALSE)</f>
        <v/>
      </c>
      <c r="G423" s="451" t="str">
        <f>VLOOKUP($D423,Table6[[Identifyer]:[Acute RA IESTI new input value]],input_values!$P$410,FALSE)</f>
        <v/>
      </c>
      <c r="H423" s="451">
        <f>VLOOKUP($D423,Table6[[Identifyer]:[Acute RA IESTI new input value]],input_values!$S$410,FALSE)</f>
        <v>0</v>
      </c>
      <c r="I423" s="451" t="str">
        <f>VLOOKUP($D423,Table6[[Identifyer]:[Acute RA IESTI new input value]],input_values!$R$410,FALSE)</f>
        <v/>
      </c>
      <c r="J423" s="65"/>
      <c r="K423" s="301">
        <f t="shared" si="67"/>
        <v>1</v>
      </c>
      <c r="L423" s="301" t="str">
        <f>VLOOKUP(D423,input_values!$A$412:$BB$538,input_values!$AA$410,FALSE)</f>
        <v/>
      </c>
      <c r="M423" s="302">
        <f>VLOOKUP(D423,input_values!$A$412:$BB$538,input_values!$Y$410,FALSE)</f>
        <v>1</v>
      </c>
      <c r="N423" s="374" t="str">
        <f>IF(VLOOKUP(D423,input_values!$A$412:$BB$538,input_values!$L$410,FALSE)&lt;&gt;"",VLOOKUP(D423,input_values!$A$412:$BB$538,input_values!$L$410,FALSE),"")</f>
        <v/>
      </c>
      <c r="O423" s="339">
        <v>12.750759878419453</v>
      </c>
      <c r="P423" s="375">
        <v>97.5</v>
      </c>
      <c r="Q423" s="21" t="s">
        <v>99</v>
      </c>
      <c r="R423" s="377">
        <v>65.8</v>
      </c>
      <c r="S423" s="326">
        <f>O423*R423</f>
        <v>839</v>
      </c>
      <c r="T423" s="377"/>
      <c r="U423" s="377"/>
      <c r="V423" s="377"/>
      <c r="W423" s="377"/>
      <c r="X423" s="378">
        <v>3</v>
      </c>
      <c r="Y423" s="64">
        <f>IF(OR(Table9[[#This Row],[Case]]=1,Table9[[#This Row],[Case]]=3),1,IF(N423="",K423,N423))</f>
        <v>1</v>
      </c>
      <c r="Z423" s="648" t="str">
        <f t="shared" si="68"/>
        <v>ND</v>
      </c>
      <c r="AA423" s="380" t="str">
        <f t="shared" si="69"/>
        <v>no acute RA</v>
      </c>
      <c r="AB423" s="64">
        <f>IF(OR(Table9[[#This Row],[Case]]=3,Table9[[#This Row],[Case]]=1),1,IF(Table9[[#This Row],[Variability factor for IESTI ]]&lt;3,Table9[[#This Row],[Variability factor for IESTI ]],3))</f>
        <v>1</v>
      </c>
      <c r="AC423" s="379" t="str">
        <f t="shared" si="70"/>
        <v>ND</v>
      </c>
      <c r="AD423" s="380" t="str">
        <f>IF($C$5="not necessary","no acute RA",IF(AC423="ND","no acute RA",IF(Table9[[#This Row],[IESTI new (mg/kg bw)]]&lt;&gt;"",AC423/$C$5,0)))</f>
        <v>no acute RA</v>
      </c>
      <c r="AE423" s="423" t="str">
        <f t="shared" si="72"/>
        <v/>
      </c>
      <c r="AF423" s="423" t="str">
        <f t="shared" si="73"/>
        <v/>
      </c>
      <c r="AG423" s="381" t="str">
        <f>IF(OR(Z423=0,Z423="ND",Z423="",$C$5="not necessary"),"",IF(X423="2a",1000*$C$5*R423/Table9[[#This Row],[Processing factor]]/(T423*Y423+S423-T423),IF(X423="2b",1000*$C$5*R423/Table9[[#This Row],[Processing factor]]/S423/Y423,IF(OR(X423=1,X423=3),1000*$C$5*R423/Table9[[#This Row],[Processing factor]]/S423,""))))</f>
        <v/>
      </c>
      <c r="AH423" s="495" t="str">
        <f>IF(OR(AC423=0,AC423="ND",$C$5="not necessary"),"",1000*$C$5*R423/Table9[[#This Row],[Processing factor]]/S423/AB423)</f>
        <v/>
      </c>
      <c r="AK423" s="651"/>
    </row>
    <row r="424" spans="1:37" x14ac:dyDescent="0.2">
      <c r="A424" s="506"/>
      <c r="B424" s="23">
        <v>154050</v>
      </c>
      <c r="C424" s="325" t="s">
        <v>388</v>
      </c>
      <c r="D424" s="373" t="str">
        <f>VLOOKUP(C424,input_values!$C$412:$BG$538,input_values!$BG$410-2,0)</f>
        <v>PROC-154050-11</v>
      </c>
      <c r="E424" s="567">
        <f>VLOOKUP(B424,input_values!$B$412:$M$538,4,FALSE)</f>
        <v>0</v>
      </c>
      <c r="F424" s="451" t="str">
        <f>VLOOKUP($D424,Table6[[Identifyer]:[Acute RA IESTI new input value]],input_values!$Q$410,FALSE)</f>
        <v/>
      </c>
      <c r="G424" s="451" t="str">
        <f>VLOOKUP($D424,Table6[[Identifyer]:[Acute RA IESTI new input value]],input_values!$P$410,FALSE)</f>
        <v/>
      </c>
      <c r="H424" s="451">
        <f>VLOOKUP($D424,Table6[[Identifyer]:[Acute RA IESTI new input value]],input_values!$S$410,FALSE)</f>
        <v>0</v>
      </c>
      <c r="I424" s="451" t="str">
        <f>VLOOKUP($D424,Table6[[Identifyer]:[Acute RA IESTI new input value]],input_values!$R$410,FALSE)</f>
        <v/>
      </c>
      <c r="J424" s="65"/>
      <c r="K424" s="301">
        <f t="shared" si="67"/>
        <v>1</v>
      </c>
      <c r="L424" s="301" t="str">
        <f>VLOOKUP(D424,input_values!$A$412:$BB$538,input_values!$AA$410,FALSE)</f>
        <v/>
      </c>
      <c r="M424" s="302">
        <f>VLOOKUP(D424,input_values!$A$412:$BB$538,input_values!$Y$410,FALSE)</f>
        <v>1</v>
      </c>
      <c r="N424" s="374" t="str">
        <f>IF(VLOOKUP(D424,input_values!$A$412:$BB$538,input_values!$L$410,FALSE)&lt;&gt;"",VLOOKUP(D424,input_values!$A$412:$BB$538,input_values!$L$410,FALSE),"")</f>
        <v/>
      </c>
      <c r="O424" s="339">
        <v>1.2507598784194529</v>
      </c>
      <c r="P424" s="375">
        <v>97.5</v>
      </c>
      <c r="Q424" s="21" t="s">
        <v>99</v>
      </c>
      <c r="R424" s="377">
        <v>65.8</v>
      </c>
      <c r="S424" s="326">
        <f t="shared" si="71"/>
        <v>82.3</v>
      </c>
      <c r="T424" s="377"/>
      <c r="U424" s="377"/>
      <c r="V424" s="377"/>
      <c r="W424" s="377"/>
      <c r="X424" s="378">
        <v>3</v>
      </c>
      <c r="Y424" s="64">
        <f>IF(OR(Table9[[#This Row],[Case]]=1,Table9[[#This Row],[Case]]=3),1,IF(N424="",K424,N424))</f>
        <v>1</v>
      </c>
      <c r="Z424" s="648" t="str">
        <f t="shared" si="68"/>
        <v>ND</v>
      </c>
      <c r="AA424" s="380" t="str">
        <f t="shared" si="69"/>
        <v>no acute RA</v>
      </c>
      <c r="AB424" s="64">
        <f>IF(OR(Table9[[#This Row],[Case]]=3,Table9[[#This Row],[Case]]=1),1,IF(Table9[[#This Row],[Variability factor for IESTI ]]&lt;3,Table9[[#This Row],[Variability factor for IESTI ]],3))</f>
        <v>1</v>
      </c>
      <c r="AC424" s="379" t="str">
        <f t="shared" si="70"/>
        <v>ND</v>
      </c>
      <c r="AD424" s="380" t="str">
        <f>IF($C$5="not necessary","no acute RA",IF(AC424="ND","no acute RA",IF(Table9[[#This Row],[IESTI new (mg/kg bw)]]&lt;&gt;"",AC424/$C$5,0)))</f>
        <v>no acute RA</v>
      </c>
      <c r="AE424" s="423" t="str">
        <f t="shared" si="72"/>
        <v/>
      </c>
      <c r="AF424" s="423" t="str">
        <f t="shared" si="73"/>
        <v/>
      </c>
      <c r="AG424" s="381" t="str">
        <f>IF(OR(Z424=0,Z424="ND",Z424="",$C$5="not necessary"),"",IF(X424="2a",1000*$C$5*R424/Table9[[#This Row],[Processing factor]]/(T424*Y424+S424-T424),IF(X424="2b",1000*$C$5*R424/Table9[[#This Row],[Processing factor]]/S424/Y424,IF(OR(X424=1,X424=3),1000*$C$5*R424/Table9[[#This Row],[Processing factor]]/S424,""))))</f>
        <v/>
      </c>
      <c r="AH424" s="495" t="str">
        <f>IF(OR(AC424=0,AC424="ND",$C$5="not necessary"),"",1000*$C$5*R424/Table9[[#This Row],[Processing factor]]/S424/AB424)</f>
        <v/>
      </c>
      <c r="AK424" s="651"/>
    </row>
    <row r="425" spans="1:37" x14ac:dyDescent="0.2">
      <c r="A425" s="506"/>
      <c r="B425" s="23">
        <v>154080</v>
      </c>
      <c r="C425" s="325" t="s">
        <v>390</v>
      </c>
      <c r="D425" s="373" t="str">
        <f>VLOOKUP(C425,input_values!$C$412:$BG$538,input_values!$BG$410-2,0)</f>
        <v>PROC-154080-9</v>
      </c>
      <c r="E425" s="567">
        <f>VLOOKUP(B425,input_values!$B$412:$M$538,4,FALSE)</f>
        <v>0</v>
      </c>
      <c r="F425" s="451" t="str">
        <f>VLOOKUP($D425,Table6[[Identifyer]:[Acute RA IESTI new input value]],input_values!$Q$410,FALSE)</f>
        <v/>
      </c>
      <c r="G425" s="451" t="str">
        <f>VLOOKUP($D425,Table6[[Identifyer]:[Acute RA IESTI new input value]],input_values!$P$410,FALSE)</f>
        <v/>
      </c>
      <c r="H425" s="451">
        <f>VLOOKUP($D425,Table6[[Identifyer]:[Acute RA IESTI new input value]],input_values!$S$410,FALSE)</f>
        <v>0</v>
      </c>
      <c r="I425" s="451" t="str">
        <f>VLOOKUP($D425,Table6[[Identifyer]:[Acute RA IESTI new input value]],input_values!$R$410,FALSE)</f>
        <v/>
      </c>
      <c r="J425" s="65"/>
      <c r="K425" s="301">
        <f t="shared" si="67"/>
        <v>1</v>
      </c>
      <c r="L425" s="301" t="str">
        <f>VLOOKUP(D425,input_values!$A$412:$BB$538,input_values!$AA$410,FALSE)</f>
        <v/>
      </c>
      <c r="M425" s="302">
        <f>VLOOKUP(D425,input_values!$A$412:$BB$538,input_values!$Y$410,FALSE)</f>
        <v>1</v>
      </c>
      <c r="N425" s="374" t="str">
        <f>IF(VLOOKUP(D425,input_values!$A$412:$BB$538,input_values!$L$410,FALSE)&lt;&gt;"",VLOOKUP(D425,input_values!$A$412:$BB$538,input_values!$L$410,FALSE),"")</f>
        <v/>
      </c>
      <c r="O425" s="339">
        <v>9.1850000000000005</v>
      </c>
      <c r="P425" s="375">
        <v>95</v>
      </c>
      <c r="Q425" s="21" t="s">
        <v>335</v>
      </c>
      <c r="R425" s="377">
        <v>76.34</v>
      </c>
      <c r="S425" s="326">
        <f>O425*R425</f>
        <v>701.18290000000002</v>
      </c>
      <c r="T425" s="377"/>
      <c r="U425" s="377"/>
      <c r="V425" s="377"/>
      <c r="W425" s="377"/>
      <c r="X425" s="378">
        <v>3</v>
      </c>
      <c r="Y425" s="64">
        <f>IF(OR(Table9[[#This Row],[Case]]=1,Table9[[#This Row],[Case]]=3),1,IF(N425="",K425,N425))</f>
        <v>1</v>
      </c>
      <c r="Z425" s="648" t="str">
        <f t="shared" si="68"/>
        <v>ND</v>
      </c>
      <c r="AA425" s="380" t="str">
        <f t="shared" si="69"/>
        <v>no acute RA</v>
      </c>
      <c r="AB425" s="64">
        <f>IF(OR(Table9[[#This Row],[Case]]=3,Table9[[#This Row],[Case]]=1),1,IF(Table9[[#This Row],[Variability factor for IESTI ]]&lt;3,Table9[[#This Row],[Variability factor for IESTI ]],3))</f>
        <v>1</v>
      </c>
      <c r="AC425" s="379" t="str">
        <f t="shared" si="70"/>
        <v>ND</v>
      </c>
      <c r="AD425" s="380" t="str">
        <f>IF($C$5="not necessary","no acute RA",IF(AC425="ND","no acute RA",IF(Table9[[#This Row],[IESTI new (mg/kg bw)]]&lt;&gt;"",AC425/$C$5,0)))</f>
        <v>no acute RA</v>
      </c>
      <c r="AE425" s="423" t="str">
        <f>IF(AA425&gt;=1,AG425,"")</f>
        <v/>
      </c>
      <c r="AF425" s="423" t="str">
        <f>IF(AD425&gt;=1,AH425,"")</f>
        <v/>
      </c>
      <c r="AG425" s="381" t="str">
        <f>IF(OR(Z425=0,Z425="ND",Z425="",$C$5="not necessary"),"",IF(X425="2a",1000*$C$5*R425/Table9[[#This Row],[Processing factor]]/(T425*Y425+S425-T425),IF(X425="2b",1000*$C$5*R425/Table9[[#This Row],[Processing factor]]/S425/Y425,IF(OR(X425=1,X425=3),1000*$C$5*R425/Table9[[#This Row],[Processing factor]]/S425,""))))</f>
        <v/>
      </c>
      <c r="AH425" s="495" t="str">
        <f>IF(OR(AC425=0,AC425="ND",$C$5="not necessary"),"",1000*$C$5*R425/Table9[[#This Row],[Processing factor]]/S425/AB425)</f>
        <v/>
      </c>
      <c r="AK425" s="651"/>
    </row>
    <row r="426" spans="1:37" x14ac:dyDescent="0.2">
      <c r="A426" s="506"/>
      <c r="B426" s="23">
        <v>162020</v>
      </c>
      <c r="C426" s="325" t="s">
        <v>845</v>
      </c>
      <c r="D426" s="373" t="str">
        <f>VLOOKUP(C426,input_values!$C$412:$BG$538,input_values!$BG$410-2,0)</f>
        <v>PROC-162020-5</v>
      </c>
      <c r="E426" s="567">
        <f>VLOOKUP(B426,input_values!$B$412:$M$538,4,FALSE)</f>
        <v>0</v>
      </c>
      <c r="F426" s="451" t="str">
        <f>VLOOKUP($D426,Table6[[Identifyer]:[Acute RA IESTI new input value]],input_values!$Q$410,FALSE)</f>
        <v/>
      </c>
      <c r="G426" s="451" t="str">
        <f>VLOOKUP($D426,Table6[[Identifyer]:[Acute RA IESTI new input value]],input_values!$P$410,FALSE)</f>
        <v/>
      </c>
      <c r="H426" s="451">
        <f>VLOOKUP($D426,Table6[[Identifyer]:[Acute RA IESTI new input value]],input_values!$S$410,FALSE)</f>
        <v>0</v>
      </c>
      <c r="I426" s="451" t="str">
        <f>VLOOKUP($D426,Table6[[Identifyer]:[Acute RA IESTI new input value]],input_values!$R$410,FALSE)</f>
        <v/>
      </c>
      <c r="J426" s="65"/>
      <c r="K426" s="301">
        <f t="shared" si="67"/>
        <v>1</v>
      </c>
      <c r="L426" s="301" t="str">
        <f>VLOOKUP(D426,input_values!$A$412:$BB$538,input_values!$AA$410,FALSE)</f>
        <v/>
      </c>
      <c r="M426" s="302">
        <f>VLOOKUP(D426,input_values!$A$412:$BB$538,input_values!$Y$410,FALSE)</f>
        <v>1</v>
      </c>
      <c r="N426" s="374" t="str">
        <f>IF(VLOOKUP(D426,input_values!$A$412:$BB$538,input_values!$L$410,FALSE)&lt;&gt;"",VLOOKUP(D426,input_values!$A$412:$BB$538,input_values!$L$410,FALSE),"")</f>
        <v/>
      </c>
      <c r="O426" s="339">
        <v>1.6717325227963526</v>
      </c>
      <c r="P426" s="375" t="s">
        <v>331</v>
      </c>
      <c r="Q426" s="21" t="s">
        <v>99</v>
      </c>
      <c r="R426" s="377">
        <v>65.8</v>
      </c>
      <c r="S426" s="326">
        <f t="shared" si="71"/>
        <v>110</v>
      </c>
      <c r="T426" s="377"/>
      <c r="U426" s="377"/>
      <c r="V426" s="377"/>
      <c r="W426" s="377"/>
      <c r="X426" s="378">
        <v>3</v>
      </c>
      <c r="Y426" s="64">
        <f>IF(OR(Table9[[#This Row],[Case]]=1,Table9[[#This Row],[Case]]=3),1,IF(N426="",K426,N426))</f>
        <v>1</v>
      </c>
      <c r="Z426" s="648" t="str">
        <f t="shared" si="68"/>
        <v>ND</v>
      </c>
      <c r="AA426" s="380" t="str">
        <f t="shared" si="69"/>
        <v>no acute RA</v>
      </c>
      <c r="AB426" s="64">
        <f>IF(OR(Table9[[#This Row],[Case]]=3,Table9[[#This Row],[Case]]=1),1,IF(Table9[[#This Row],[Variability factor for IESTI ]]&lt;3,Table9[[#This Row],[Variability factor for IESTI ]],3))</f>
        <v>1</v>
      </c>
      <c r="AC426" s="379" t="str">
        <f t="shared" si="70"/>
        <v>ND</v>
      </c>
      <c r="AD426" s="380" t="str">
        <f>IF($C$5="not necessary","no acute RA",IF(AC426="ND","no acute RA",IF(Table9[[#This Row],[IESTI new (mg/kg bw)]]&lt;&gt;"",AC426/$C$5,0)))</f>
        <v>no acute RA</v>
      </c>
      <c r="AE426" s="423" t="str">
        <f t="shared" si="72"/>
        <v/>
      </c>
      <c r="AF426" s="423" t="str">
        <f t="shared" si="73"/>
        <v/>
      </c>
      <c r="AG426" s="381" t="str">
        <f>IF(OR(Z426=0,Z426="ND",Z426="",$C$5="not necessary"),"",IF(X426="2a",1000*$C$5*R426/Table9[[#This Row],[Processing factor]]/(T426*Y426+S426-T426),IF(X426="2b",1000*$C$5*R426/Table9[[#This Row],[Processing factor]]/S426/Y426,IF(OR(X426=1,X426=3),1000*$C$5*R426/Table9[[#This Row],[Processing factor]]/S426,""))))</f>
        <v/>
      </c>
      <c r="AH426" s="495" t="str">
        <f>IF(OR(AC426=0,AC426="ND",$C$5="not necessary"),"",1000*$C$5*R426/Table9[[#This Row],[Processing factor]]/S426/AB426)</f>
        <v/>
      </c>
      <c r="AK426" s="651"/>
    </row>
    <row r="427" spans="1:37" x14ac:dyDescent="0.2">
      <c r="A427" s="506"/>
      <c r="B427" s="23">
        <v>161030</v>
      </c>
      <c r="C427" s="23" t="s">
        <v>445</v>
      </c>
      <c r="D427" s="373" t="str">
        <f>VLOOKUP(C427,input_values!$C$412:$BG$538,input_values!$BG$410-2,0)</f>
        <v>PROC-161030-5</v>
      </c>
      <c r="E427" s="567">
        <f>VLOOKUP(B427,input_values!$B$412:$M$538,4,FALSE)</f>
        <v>0</v>
      </c>
      <c r="F427" s="451" t="str">
        <f>VLOOKUP($D427,Table6[[Identifyer]:[Acute RA IESTI new input value]],input_values!$Q$410,FALSE)</f>
        <v/>
      </c>
      <c r="G427" s="451" t="str">
        <f>VLOOKUP($D427,Table6[[Identifyer]:[Acute RA IESTI new input value]],input_values!$P$410,FALSE)</f>
        <v/>
      </c>
      <c r="H427" s="451">
        <f>VLOOKUP($D427,Table6[[Identifyer]:[Acute RA IESTI new input value]],input_values!$S$410,FALSE)</f>
        <v>0</v>
      </c>
      <c r="I427" s="451" t="str">
        <f>VLOOKUP($D427,Table6[[Identifyer]:[Acute RA IESTI new input value]],input_values!$R$410,FALSE)</f>
        <v/>
      </c>
      <c r="J427" s="65"/>
      <c r="K427" s="301">
        <f t="shared" si="67"/>
        <v>1</v>
      </c>
      <c r="L427" s="301" t="str">
        <f>VLOOKUP(D427,input_values!$A$412:$BB$538,input_values!$AA$410,FALSE)</f>
        <v/>
      </c>
      <c r="M427" s="302">
        <f>VLOOKUP(D427,input_values!$A$412:$BB$538,input_values!$Y$410,FALSE)</f>
        <v>1</v>
      </c>
      <c r="N427" s="374" t="str">
        <f>IF(VLOOKUP(D427,input_values!$A$412:$BB$538,input_values!$L$410,FALSE)&lt;&gt;"",VLOOKUP(D427,input_values!$A$412:$BB$538,input_values!$L$410,FALSE),"")</f>
        <v/>
      </c>
      <c r="O427" s="339">
        <v>1.2729999999999999</v>
      </c>
      <c r="P427" s="375">
        <v>97.5</v>
      </c>
      <c r="Q427" s="21" t="s">
        <v>99</v>
      </c>
      <c r="R427" s="377">
        <v>65.8</v>
      </c>
      <c r="S427" s="326">
        <f>O427*R427</f>
        <v>83.76339999999999</v>
      </c>
      <c r="T427" s="377"/>
      <c r="U427" s="377"/>
      <c r="V427" s="377"/>
      <c r="W427" s="377"/>
      <c r="X427" s="378">
        <v>3</v>
      </c>
      <c r="Y427" s="64">
        <f>IF(OR(Table9[[#This Row],[Case]]=1,Table9[[#This Row],[Case]]=3),1,IF(N427="",K427,N427))</f>
        <v>1</v>
      </c>
      <c r="Z427" s="648" t="str">
        <f t="shared" si="68"/>
        <v>ND</v>
      </c>
      <c r="AA427" s="380" t="str">
        <f t="shared" si="69"/>
        <v>no acute RA</v>
      </c>
      <c r="AB427" s="64">
        <f>IF(OR(Table9[[#This Row],[Case]]=3,Table9[[#This Row],[Case]]=1),1,IF(Table9[[#This Row],[Variability factor for IESTI ]]&lt;3,Table9[[#This Row],[Variability factor for IESTI ]],3))</f>
        <v>1</v>
      </c>
      <c r="AC427" s="379" t="str">
        <f t="shared" si="70"/>
        <v>ND</v>
      </c>
      <c r="AD427" s="380" t="str">
        <f>IF($C$5="not necessary","no acute RA",IF(AC427="ND","no acute RA",IF(Table9[[#This Row],[IESTI new (mg/kg bw)]]&lt;&gt;"",AC427/$C$5,0)))</f>
        <v>no acute RA</v>
      </c>
      <c r="AE427" s="423" t="str">
        <f>IF(AA427&gt;=1,AG427,"")</f>
        <v/>
      </c>
      <c r="AF427" s="423" t="str">
        <f>IF(AD427&gt;=1,AH427,"")</f>
        <v/>
      </c>
      <c r="AG427" s="381" t="str">
        <f>IF(OR(Z427=0,Z427="ND",Z427="",$C$5="not necessary"),"",IF(X427="2a",1000*$C$5*R427/Table9[[#This Row],[Processing factor]]/(T427*Y427+S427-T427),IF(X427="2b",1000*$C$5*R427/Table9[[#This Row],[Processing factor]]/S427/Y427,IF(OR(X427=1,X427=3),1000*$C$5*R427/Table9[[#This Row],[Processing factor]]/S427,""))))</f>
        <v/>
      </c>
      <c r="AH427" s="495" t="str">
        <f>IF(OR(AC427=0,AC427="ND",$C$5="not necessary"),"",1000*$C$5*R427/Table9[[#This Row],[Processing factor]]/S427/AB427)</f>
        <v/>
      </c>
      <c r="AK427" s="651"/>
    </row>
    <row r="428" spans="1:37" x14ac:dyDescent="0.2">
      <c r="A428" s="506"/>
      <c r="B428" s="23">
        <v>163080</v>
      </c>
      <c r="C428" s="325" t="s">
        <v>391</v>
      </c>
      <c r="D428" s="373" t="str">
        <f>VLOOKUP(C428,input_values!$C$412:$BG$538,input_values!$BG$410-2,0)</f>
        <v>PROC-163080-5</v>
      </c>
      <c r="E428" s="567">
        <f>VLOOKUP(B428,input_values!$B$412:$M$538,4,FALSE)</f>
        <v>0</v>
      </c>
      <c r="F428" s="451" t="str">
        <f>VLOOKUP($D428,Table6[[Identifyer]:[Acute RA IESTI new input value]],input_values!$Q$410,FALSE)</f>
        <v/>
      </c>
      <c r="G428" s="451" t="str">
        <f>VLOOKUP($D428,Table6[[Identifyer]:[Acute RA IESTI new input value]],input_values!$P$410,FALSE)</f>
        <v/>
      </c>
      <c r="H428" s="451">
        <f>VLOOKUP($D428,Table6[[Identifyer]:[Acute RA IESTI new input value]],input_values!$S$410,FALSE)</f>
        <v>0</v>
      </c>
      <c r="I428" s="451" t="str">
        <f>VLOOKUP($D428,Table6[[Identifyer]:[Acute RA IESTI new input value]],input_values!$R$410,FALSE)</f>
        <v/>
      </c>
      <c r="J428" s="65"/>
      <c r="K428" s="301">
        <f t="shared" si="67"/>
        <v>5</v>
      </c>
      <c r="L428" s="301" t="str">
        <f>VLOOKUP(D428,input_values!$A$412:$BB$538,input_values!$AA$410,FALSE)</f>
        <v/>
      </c>
      <c r="M428" s="302">
        <f>VLOOKUP(D428,input_values!$A$412:$BB$538,input_values!$Y$410,FALSE)</f>
        <v>1</v>
      </c>
      <c r="N428" s="302" t="str">
        <f>IF(VLOOKUP(D428,input_values!$A$412:$BB$538,input_values!$L$410,FALSE)&lt;&gt;"",VLOOKUP(D428,input_values!$A$412:$BB$538,input_values!$L$410,FALSE),"")</f>
        <v/>
      </c>
      <c r="O428" s="339">
        <v>2.6351</v>
      </c>
      <c r="P428" s="375">
        <v>97.5</v>
      </c>
      <c r="Q428" s="21" t="s">
        <v>0</v>
      </c>
      <c r="R428" s="377">
        <v>68.48</v>
      </c>
      <c r="S428" s="326">
        <f t="shared" si="71"/>
        <v>180.45164800000001</v>
      </c>
      <c r="T428" s="376">
        <v>1600</v>
      </c>
      <c r="U428" s="1453" t="s">
        <v>45</v>
      </c>
      <c r="V428" s="376">
        <v>1600</v>
      </c>
      <c r="W428" s="1453" t="s">
        <v>45</v>
      </c>
      <c r="X428" s="378" t="s">
        <v>1892</v>
      </c>
      <c r="Y428" s="64">
        <f>IF(OR(Table9[[#This Row],[Case]]=1,Table9[[#This Row],[Case]]=3),1,IF(N428="",K428,N428))</f>
        <v>5</v>
      </c>
      <c r="Z428" s="648" t="str">
        <f t="shared" si="68"/>
        <v>ND</v>
      </c>
      <c r="AA428" s="380" t="str">
        <f t="shared" si="69"/>
        <v>no acute RA</v>
      </c>
      <c r="AB428" s="64">
        <f>IF(OR(Table9[[#This Row],[Case]]=3,Table9[[#This Row],[Case]]=1),1,IF(Table9[[#This Row],[Variability factor for IESTI ]]&lt;3,Table9[[#This Row],[Variability factor for IESTI ]],3))</f>
        <v>3</v>
      </c>
      <c r="AC428" s="379" t="str">
        <f t="shared" si="70"/>
        <v>ND</v>
      </c>
      <c r="AD428" s="380" t="str">
        <f>IF($C$5="not necessary","no acute RA",IF(AC428="ND","no acute RA",IF(Table9[[#This Row],[IESTI new (mg/kg bw)]]&lt;&gt;"",AC428/$C$5,0)))</f>
        <v>no acute RA</v>
      </c>
      <c r="AE428" s="423" t="str">
        <f t="shared" si="72"/>
        <v/>
      </c>
      <c r="AF428" s="423" t="str">
        <f t="shared" si="73"/>
        <v/>
      </c>
      <c r="AG428" s="381" t="str">
        <f>IF(OR(Z428=0,Z428="ND",Z428="",$C$5="not necessary"),"",IF(X428="2a",1000*$C$5*R428/Table9[[#This Row],[Processing factor]]/(T428*Y428+S428-T428),IF(X428="2b",1000*$C$5*R428/Table9[[#This Row],[Processing factor]]/S428/Y428,IF(OR(X428=1,X428=3),1000*$C$5*R428/Table9[[#This Row],[Processing factor]]/S428,""))))</f>
        <v/>
      </c>
      <c r="AH428" s="495" t="str">
        <f>IF(OR(AC428=0,AC428="ND",$C$5="not necessary"),"",1000*$C$5*R428/Table9[[#This Row],[Processing factor]]/S428/AB428)</f>
        <v/>
      </c>
      <c r="AK428" s="651"/>
    </row>
    <row r="429" spans="1:37" x14ac:dyDescent="0.2">
      <c r="A429" s="506"/>
      <c r="B429" s="23">
        <v>163080</v>
      </c>
      <c r="C429" s="325" t="s">
        <v>422</v>
      </c>
      <c r="D429" s="373" t="str">
        <f>VLOOKUP(C429,input_values!$C$412:$BG$538,input_values!$BG$410-2,0)</f>
        <v>PROC-163080-9</v>
      </c>
      <c r="E429" s="567">
        <f>VLOOKUP(B429,input_values!$B$412:$M$538,4,FALSE)</f>
        <v>0</v>
      </c>
      <c r="F429" s="451" t="str">
        <f>VLOOKUP($D429,Table6[[Identifyer]:[Acute RA IESTI new input value]],input_values!$Q$410,FALSE)</f>
        <v/>
      </c>
      <c r="G429" s="451" t="str">
        <f>VLOOKUP($D429,Table6[[Identifyer]:[Acute RA IESTI new input value]],input_values!$P$410,FALSE)</f>
        <v/>
      </c>
      <c r="H429" s="451">
        <f>VLOOKUP($D429,Table6[[Identifyer]:[Acute RA IESTI new input value]],input_values!$S$410,FALSE)</f>
        <v>0</v>
      </c>
      <c r="I429" s="451" t="str">
        <f>VLOOKUP($D429,Table6[[Identifyer]:[Acute RA IESTI new input value]],input_values!$R$410,FALSE)</f>
        <v/>
      </c>
      <c r="J429" s="65"/>
      <c r="K429" s="301">
        <f t="shared" si="67"/>
        <v>1</v>
      </c>
      <c r="L429" s="301" t="str">
        <f>VLOOKUP(D429,input_values!$A$412:$BB$538,input_values!$AA$410,FALSE)</f>
        <v/>
      </c>
      <c r="M429" s="302">
        <f>VLOOKUP(D429,input_values!$A$412:$BB$538,input_values!$Y$410,FALSE)</f>
        <v>1</v>
      </c>
      <c r="N429" s="374" t="str">
        <f>IF(VLOOKUP(D429,input_values!$A$412:$BB$538,input_values!$L$410,FALSE)&lt;&gt;"",VLOOKUP(D429,input_values!$A$412:$BB$538,input_values!$L$410,FALSE),"")</f>
        <v/>
      </c>
      <c r="O429" s="339">
        <v>8.8237082066869306</v>
      </c>
      <c r="P429" s="375">
        <v>90</v>
      </c>
      <c r="Q429" s="21" t="s">
        <v>99</v>
      </c>
      <c r="R429" s="377">
        <v>65.8</v>
      </c>
      <c r="S429" s="326">
        <f t="shared" si="71"/>
        <v>580.6</v>
      </c>
      <c r="T429" s="377"/>
      <c r="U429" s="377"/>
      <c r="V429" s="377"/>
      <c r="W429" s="377"/>
      <c r="X429" s="378">
        <v>3</v>
      </c>
      <c r="Y429" s="64">
        <f>IF(OR(Table9[[#This Row],[Case]]=1,Table9[[#This Row],[Case]]=3),1,IF(N429="",K429,N429))</f>
        <v>1</v>
      </c>
      <c r="Z429" s="648" t="str">
        <f t="shared" si="68"/>
        <v>ND</v>
      </c>
      <c r="AA429" s="380" t="str">
        <f t="shared" si="69"/>
        <v>no acute RA</v>
      </c>
      <c r="AB429" s="64">
        <f>IF(OR(Table9[[#This Row],[Case]]=3,Table9[[#This Row],[Case]]=1),1,IF(Table9[[#This Row],[Variability factor for IESTI ]]&lt;3,Table9[[#This Row],[Variability factor for IESTI ]],3))</f>
        <v>1</v>
      </c>
      <c r="AC429" s="379" t="str">
        <f t="shared" si="70"/>
        <v>ND</v>
      </c>
      <c r="AD429" s="380" t="str">
        <f>IF($C$5="not necessary","no acute RA",IF(AC429="ND","no acute RA",IF(Table9[[#This Row],[IESTI new (mg/kg bw)]]&lt;&gt;"",AC429/$C$5,0)))</f>
        <v>no acute RA</v>
      </c>
      <c r="AE429" s="423" t="str">
        <f t="shared" si="72"/>
        <v/>
      </c>
      <c r="AF429" s="423" t="str">
        <f t="shared" si="73"/>
        <v/>
      </c>
      <c r="AG429" s="381" t="str">
        <f>IF(OR(Z429=0,Z429="ND",Z429="",$C$5="not necessary"),"",IF(X429="2a",1000*$C$5*R429/Table9[[#This Row],[Processing factor]]/(T429*Y429+S429-T429),IF(X429="2b",1000*$C$5*R429/Table9[[#This Row],[Processing factor]]/S429/Y429,IF(OR(X429=1,X429=3),1000*$C$5*R429/Table9[[#This Row],[Processing factor]]/S429,""))))</f>
        <v/>
      </c>
      <c r="AH429" s="495" t="str">
        <f>IF(OR(AC429=0,AC429="ND",$C$5="not necessary"),"",1000*$C$5*R429/Table9[[#This Row],[Processing factor]]/S429/AB429)</f>
        <v/>
      </c>
      <c r="AK429" s="651"/>
    </row>
    <row r="430" spans="1:37" x14ac:dyDescent="0.2">
      <c r="A430" s="506"/>
      <c r="B430" s="23">
        <v>163110</v>
      </c>
      <c r="C430" s="325" t="s">
        <v>821</v>
      </c>
      <c r="D430" s="373" t="str">
        <f>VLOOKUP(C430,input_values!$C$412:$BG$538,input_values!$BG$410-2,0)</f>
        <v>PROC-163110-9</v>
      </c>
      <c r="E430" s="567">
        <f>VLOOKUP(B430,input_values!$B$412:$M$538,4,FALSE)</f>
        <v>0</v>
      </c>
      <c r="F430" s="451" t="str">
        <f>VLOOKUP($D430,Table6[[Identifyer]:[Acute RA IESTI new input value]],input_values!$Q$410,FALSE)</f>
        <v/>
      </c>
      <c r="G430" s="451" t="str">
        <f>VLOOKUP($D430,Table6[[Identifyer]:[Acute RA IESTI new input value]],input_values!$P$410,FALSE)</f>
        <v/>
      </c>
      <c r="H430" s="451">
        <f>VLOOKUP($D430,Table6[[Identifyer]:[Acute RA IESTI new input value]],input_values!$S$410,FALSE)</f>
        <v>0</v>
      </c>
      <c r="I430" s="451" t="str">
        <f>VLOOKUP($D430,Table6[[Identifyer]:[Acute RA IESTI new input value]],input_values!$R$410,FALSE)</f>
        <v/>
      </c>
      <c r="J430" s="65"/>
      <c r="K430" s="301">
        <f t="shared" si="67"/>
        <v>1</v>
      </c>
      <c r="L430" s="301" t="str">
        <f>VLOOKUP(D430,input_values!$A$412:$BB$538,input_values!$AA$410,FALSE)</f>
        <v/>
      </c>
      <c r="M430" s="302">
        <f>VLOOKUP(D430,input_values!$A$412:$BB$538,input_values!$Y$410,FALSE)</f>
        <v>1</v>
      </c>
      <c r="N430" s="374" t="str">
        <f>IF(VLOOKUP(D430,input_values!$A$412:$BB$538,input_values!$L$410,FALSE)&lt;&gt;"",VLOOKUP(D430,input_values!$A$412:$BB$538,input_values!$L$410,FALSE),"")</f>
        <v/>
      </c>
      <c r="O430" s="339">
        <v>0.11398176291793313</v>
      </c>
      <c r="P430" s="375" t="s">
        <v>331</v>
      </c>
      <c r="Q430" s="21" t="s">
        <v>99</v>
      </c>
      <c r="R430" s="377">
        <v>65.8</v>
      </c>
      <c r="S430" s="326">
        <f t="shared" si="71"/>
        <v>7.5</v>
      </c>
      <c r="T430" s="377"/>
      <c r="U430" s="377"/>
      <c r="V430" s="377"/>
      <c r="W430" s="377"/>
      <c r="X430" s="378">
        <v>3</v>
      </c>
      <c r="Y430" s="64">
        <f>IF(OR(Table9[[#This Row],[Case]]=1,Table9[[#This Row],[Case]]=3),1,IF(N430="",K430,N430))</f>
        <v>1</v>
      </c>
      <c r="Z430" s="648" t="str">
        <f t="shared" si="68"/>
        <v>ND</v>
      </c>
      <c r="AA430" s="777" t="str">
        <f t="shared" si="69"/>
        <v>no acute RA</v>
      </c>
      <c r="AB430" s="64">
        <f>IF(OR(Table9[[#This Row],[Case]]=3,Table9[[#This Row],[Case]]=1),1,IF(Table9[[#This Row],[Variability factor for IESTI ]]&lt;3,Table9[[#This Row],[Variability factor for IESTI ]],3))</f>
        <v>1</v>
      </c>
      <c r="AC430" s="379" t="str">
        <f t="shared" si="70"/>
        <v>ND</v>
      </c>
      <c r="AD430" s="777" t="str">
        <f>IF($C$5="not necessary","no acute RA",IF(AC430="ND","no acute RA",IF(Table9[[#This Row],[IESTI new (mg/kg bw)]]&lt;&gt;"",AC430/$C$5,0)))</f>
        <v>no acute RA</v>
      </c>
      <c r="AE430" s="423" t="str">
        <f t="shared" si="72"/>
        <v/>
      </c>
      <c r="AF430" s="423" t="str">
        <f t="shared" si="73"/>
        <v/>
      </c>
      <c r="AG430" s="381" t="str">
        <f>IF(OR(Z430=0,Z430="ND",Z430="",$C$5="not necessary"),"",IF(X430="2a",1000*$C$5*R430/Table9[[#This Row],[Processing factor]]/(T430*Y430+S430-T430),IF(X430="2b",1000*$C$5*R430/Table9[[#This Row],[Processing factor]]/S430/Y430,IF(OR(X430=1,X430=3),1000*$C$5*R430/Table9[[#This Row],[Processing factor]]/S430,""))))</f>
        <v/>
      </c>
      <c r="AH430" s="495" t="str">
        <f>IF(OR(AC430=0,AC430="ND",$C$5="not necessary"),"",1000*$C$5*R430/Table9[[#This Row],[Processing factor]]/S430/AB430)</f>
        <v/>
      </c>
      <c r="AK430" s="651"/>
    </row>
    <row r="431" spans="1:37" x14ac:dyDescent="0.2">
      <c r="A431" s="506"/>
      <c r="B431" s="23">
        <v>211000</v>
      </c>
      <c r="C431" s="325" t="s">
        <v>462</v>
      </c>
      <c r="D431" s="373" t="str">
        <f>VLOOKUP(C431,input_values!$C$412:$BG$538,input_values!$BG$410-2,0)</f>
        <v>PROC-211000-19</v>
      </c>
      <c r="E431" s="567">
        <f>VLOOKUP(B431,input_values!$B$412:$M$538,4,FALSE)</f>
        <v>0</v>
      </c>
      <c r="F431" s="451" t="str">
        <f>VLOOKUP($D431,Table6[[Identifyer]:[Acute RA IESTI new input value]],input_values!$Q$410,FALSE)</f>
        <v/>
      </c>
      <c r="G431" s="451" t="str">
        <f>VLOOKUP($D431,Table6[[Identifyer]:[Acute RA IESTI new input value]],input_values!$P$410,FALSE)</f>
        <v/>
      </c>
      <c r="H431" s="451">
        <f>VLOOKUP($D431,Table6[[Identifyer]:[Acute RA IESTI new input value]],input_values!$S$410,FALSE)</f>
        <v>0</v>
      </c>
      <c r="I431" s="451" t="str">
        <f>VLOOKUP($D431,Table6[[Identifyer]:[Acute RA IESTI new input value]],input_values!$R$410,FALSE)</f>
        <v/>
      </c>
      <c r="J431" s="65"/>
      <c r="K431" s="301">
        <f t="shared" si="67"/>
        <v>1</v>
      </c>
      <c r="L431" s="301" t="str">
        <f>VLOOKUP(D431,input_values!$A$412:$BB$538,input_values!$AA$410,FALSE)</f>
        <v/>
      </c>
      <c r="M431" s="302">
        <f>VLOOKUP(D431,input_values!$A$412:$BB$538,input_values!$Y$410,FALSE)</f>
        <v>1</v>
      </c>
      <c r="N431" s="374" t="str">
        <f>IF(VLOOKUP(D431,input_values!$A$412:$BB$538,input_values!$L$410,FALSE)&lt;&gt;"",VLOOKUP(D431,input_values!$A$412:$BB$538,input_values!$L$410,FALSE),"")</f>
        <v/>
      </c>
      <c r="O431" s="339">
        <v>8.4600000000000009</v>
      </c>
      <c r="P431" s="375">
        <v>97.5</v>
      </c>
      <c r="Q431" s="21" t="s">
        <v>99</v>
      </c>
      <c r="R431" s="377">
        <v>65.8</v>
      </c>
      <c r="S431" s="326">
        <f t="shared" si="71"/>
        <v>556.66800000000001</v>
      </c>
      <c r="T431" s="377"/>
      <c r="U431" s="377"/>
      <c r="V431" s="377"/>
      <c r="W431" s="377"/>
      <c r="X431" s="378">
        <v>3</v>
      </c>
      <c r="Y431" s="64">
        <f>IF(OR(Table9[[#This Row],[Case]]=1,Table9[[#This Row],[Case]]=3),1,IF(N431="",K431,N431))</f>
        <v>1</v>
      </c>
      <c r="Z431" s="648" t="str">
        <f t="shared" si="68"/>
        <v>ND</v>
      </c>
      <c r="AA431" s="380" t="str">
        <f t="shared" si="69"/>
        <v>no acute RA</v>
      </c>
      <c r="AB431" s="64">
        <f>IF(OR(Table9[[#This Row],[Case]]=3,Table9[[#This Row],[Case]]=1),1,IF(Table9[[#This Row],[Variability factor for IESTI ]]&lt;3,Table9[[#This Row],[Variability factor for IESTI ]],3))</f>
        <v>1</v>
      </c>
      <c r="AC431" s="379" t="str">
        <f t="shared" si="70"/>
        <v>ND</v>
      </c>
      <c r="AD431" s="380" t="str">
        <f>IF($C$5="not necessary","no acute RA",IF(AC431="ND","no acute RA",IF(Table9[[#This Row],[IESTI new (mg/kg bw)]]&lt;&gt;"",AC431/$C$5,0)))</f>
        <v>no acute RA</v>
      </c>
      <c r="AE431" s="423" t="str">
        <f t="shared" si="72"/>
        <v/>
      </c>
      <c r="AF431" s="423" t="str">
        <f t="shared" si="73"/>
        <v/>
      </c>
      <c r="AG431" s="381" t="str">
        <f>IF(OR(Z431=0,Z431="ND",Z431="",$C$5="not necessary"),"",IF(X431="2a",1000*$C$5*R431/Table9[[#This Row],[Processing factor]]/(T431*Y431+S431-T431),IF(X431="2b",1000*$C$5*R431/Table9[[#This Row],[Processing factor]]/S431/Y431,IF(OR(X431=1,X431=3),1000*$C$5*R431/Table9[[#This Row],[Processing factor]]/S431,""))))</f>
        <v/>
      </c>
      <c r="AH431" s="495" t="str">
        <f>IF(OR(AC431=0,AC431="ND",$C$5="not necessary"),"",1000*$C$5*R431/Table9[[#This Row],[Processing factor]]/S431/AB431)</f>
        <v/>
      </c>
      <c r="AK431" s="651"/>
    </row>
    <row r="432" spans="1:37" x14ac:dyDescent="0.2">
      <c r="A432" s="506"/>
      <c r="B432" s="23">
        <v>211000</v>
      </c>
      <c r="C432" s="325" t="s">
        <v>424</v>
      </c>
      <c r="D432" s="373" t="str">
        <f>VLOOKUP(C432,input_values!$C$412:$BG$538,input_values!$BG$410-2,0)</f>
        <v>PROC-211000-7</v>
      </c>
      <c r="E432" s="567">
        <f>VLOOKUP(B432,input_values!$B$412:$M$538,4,FALSE)</f>
        <v>0</v>
      </c>
      <c r="F432" s="451" t="str">
        <f>VLOOKUP($D432,Table6[[Identifyer]:[Acute RA IESTI new input value]],input_values!$Q$410,FALSE)</f>
        <v/>
      </c>
      <c r="G432" s="451" t="str">
        <f>VLOOKUP($D432,Table6[[Identifyer]:[Acute RA IESTI new input value]],input_values!$P$410,FALSE)</f>
        <v/>
      </c>
      <c r="H432" s="451">
        <f>VLOOKUP($D432,Table6[[Identifyer]:[Acute RA IESTI new input value]],input_values!$S$410,FALSE)</f>
        <v>0</v>
      </c>
      <c r="I432" s="451" t="str">
        <f>VLOOKUP($D432,Table6[[Identifyer]:[Acute RA IESTI new input value]],input_values!$R$410,FALSE)</f>
        <v/>
      </c>
      <c r="J432" s="65"/>
      <c r="K432" s="301">
        <f t="shared" si="67"/>
        <v>1</v>
      </c>
      <c r="L432" s="301" t="str">
        <f>VLOOKUP(D432,input_values!$A$412:$BB$538,input_values!$AA$410,FALSE)</f>
        <v/>
      </c>
      <c r="M432" s="302">
        <f>VLOOKUP(D432,input_values!$A$412:$BB$538,input_values!$Y$410,FALSE)</f>
        <v>4.5999999999999996</v>
      </c>
      <c r="N432" s="374" t="str">
        <f>IF(VLOOKUP(D432,input_values!$A$412:$BB$538,input_values!$L$410,FALSE)&lt;&gt;"",VLOOKUP(D432,input_values!$A$412:$BB$538,input_values!$L$410,FALSE),"")</f>
        <v/>
      </c>
      <c r="O432" s="339">
        <v>1.2507598784194529</v>
      </c>
      <c r="P432" s="375">
        <v>97.5</v>
      </c>
      <c r="Q432" s="21" t="s">
        <v>99</v>
      </c>
      <c r="R432" s="377">
        <v>65.8</v>
      </c>
      <c r="S432" s="326">
        <f t="shared" si="71"/>
        <v>82.3</v>
      </c>
      <c r="T432" s="377"/>
      <c r="U432" s="377"/>
      <c r="V432" s="377"/>
      <c r="W432" s="377"/>
      <c r="X432" s="378">
        <v>3</v>
      </c>
      <c r="Y432" s="64">
        <f>IF(OR(Table9[[#This Row],[Case]]=1,Table9[[#This Row],[Case]]=3),1,IF(N432="",K432,N432))</f>
        <v>1</v>
      </c>
      <c r="Z432" s="648" t="str">
        <f t="shared" si="68"/>
        <v>ND</v>
      </c>
      <c r="AA432" s="380" t="str">
        <f t="shared" si="69"/>
        <v>no acute RA</v>
      </c>
      <c r="AB432" s="64">
        <f>IF(OR(Table9[[#This Row],[Case]]=3,Table9[[#This Row],[Case]]=1),1,IF(Table9[[#This Row],[Variability factor for IESTI ]]&lt;3,Table9[[#This Row],[Variability factor for IESTI ]],3))</f>
        <v>1</v>
      </c>
      <c r="AC432" s="379" t="str">
        <f t="shared" si="70"/>
        <v>ND</v>
      </c>
      <c r="AD432" s="380" t="str">
        <f>IF($C$5="not necessary","no acute RA",IF(AC432="ND","no acute RA",IF(Table9[[#This Row],[IESTI new (mg/kg bw)]]&lt;&gt;"",AC432/$C$5,0)))</f>
        <v>no acute RA</v>
      </c>
      <c r="AE432" s="423" t="str">
        <f t="shared" si="72"/>
        <v/>
      </c>
      <c r="AF432" s="423" t="str">
        <f t="shared" si="73"/>
        <v/>
      </c>
      <c r="AG432" s="381" t="str">
        <f>IF(OR(Z432=0,Z432="ND",Z432="",$C$5="not necessary"),"",IF(X432="2a",1000*$C$5*R432/Table9[[#This Row],[Processing factor]]/(T432*Y432+S432-T432),IF(X432="2b",1000*$C$5*R432/Table9[[#This Row],[Processing factor]]/S432/Y432,IF(OR(X432=1,X432=3),1000*$C$5*R432/Table9[[#This Row],[Processing factor]]/S432,""))))</f>
        <v/>
      </c>
      <c r="AH432" s="495" t="str">
        <f>IF(OR(AC432=0,AC432="ND",$C$5="not necessary"),"",1000*$C$5*R432/Table9[[#This Row],[Processing factor]]/S432/AB432)</f>
        <v/>
      </c>
      <c r="AK432" s="651"/>
    </row>
    <row r="433" spans="1:37" x14ac:dyDescent="0.2">
      <c r="A433" s="506"/>
      <c r="B433" s="23">
        <v>212010</v>
      </c>
      <c r="C433" s="325" t="s">
        <v>846</v>
      </c>
      <c r="D433" s="373" t="str">
        <f>VLOOKUP(C433,input_values!$C$412:$BG$538,input_values!$BG$410-2,0)</f>
        <v>PROC-212010-3</v>
      </c>
      <c r="E433" s="567">
        <f>VLOOKUP(B433,input_values!$B$412:$M$538,4,FALSE)</f>
        <v>0</v>
      </c>
      <c r="F433" s="451" t="str">
        <f>VLOOKUP($D433,Table6[[Identifyer]:[Acute RA IESTI new input value]],input_values!$Q$410,FALSE)</f>
        <v/>
      </c>
      <c r="G433" s="451" t="str">
        <f>VLOOKUP($D433,Table6[[Identifyer]:[Acute RA IESTI new input value]],input_values!$P$410,FALSE)</f>
        <v/>
      </c>
      <c r="H433" s="451">
        <f>VLOOKUP($D433,Table6[[Identifyer]:[Acute RA IESTI new input value]],input_values!$S$410,FALSE)</f>
        <v>0</v>
      </c>
      <c r="I433" s="451" t="str">
        <f>VLOOKUP($D433,Table6[[Identifyer]:[Acute RA IESTI new input value]],input_values!$R$410,FALSE)</f>
        <v/>
      </c>
      <c r="J433" s="65"/>
      <c r="K433" s="301">
        <f t="shared" si="67"/>
        <v>5</v>
      </c>
      <c r="L433" s="301" t="str">
        <f>VLOOKUP(D433,input_values!$A$412:$BB$538,input_values!$AA$410,FALSE)</f>
        <v/>
      </c>
      <c r="M433" s="302">
        <f>VLOOKUP(D433,input_values!$A$412:$BB$538,input_values!$Y$410,FALSE)</f>
        <v>1</v>
      </c>
      <c r="N433" s="302" t="str">
        <f>IF(VLOOKUP(D433,input_values!$A$412:$BB$538,input_values!$L$410,FALSE)&lt;&gt;"",VLOOKUP(D433,input_values!$A$412:$BB$538,input_values!$L$410,FALSE),"")</f>
        <v/>
      </c>
      <c r="O433" s="339">
        <v>3.7993920972644379</v>
      </c>
      <c r="P433" s="375" t="s">
        <v>331</v>
      </c>
      <c r="Q433" s="21" t="s">
        <v>99</v>
      </c>
      <c r="R433" s="377">
        <v>65.8</v>
      </c>
      <c r="S433" s="326">
        <f>O433*R433</f>
        <v>250</v>
      </c>
      <c r="T433" s="376">
        <v>356.3</v>
      </c>
      <c r="U433" s="1453" t="s">
        <v>215</v>
      </c>
      <c r="V433" s="376">
        <v>356.3</v>
      </c>
      <c r="W433" s="376" t="s">
        <v>215</v>
      </c>
      <c r="X433" s="378" t="s">
        <v>1892</v>
      </c>
      <c r="Y433" s="64">
        <f>IF(OR(Table9[[#This Row],[Case]]=1,Table9[[#This Row],[Case]]=3),1,IF(N433="",K433,N433))</f>
        <v>5</v>
      </c>
      <c r="Z433" s="648" t="str">
        <f t="shared" si="68"/>
        <v>ND</v>
      </c>
      <c r="AA433" s="380" t="str">
        <f t="shared" si="69"/>
        <v>no acute RA</v>
      </c>
      <c r="AB433" s="64">
        <f>IF(OR(Table9[[#This Row],[Case]]=3,Table9[[#This Row],[Case]]=1),1,IF(Table9[[#This Row],[Variability factor for IESTI ]]&lt;3,Table9[[#This Row],[Variability factor for IESTI ]],3))</f>
        <v>3</v>
      </c>
      <c r="AC433" s="379" t="str">
        <f t="shared" si="70"/>
        <v>ND</v>
      </c>
      <c r="AD433" s="380" t="str">
        <f>IF($C$5="not necessary","no acute RA",IF(AC433="ND","no acute RA",IF(Table9[[#This Row],[IESTI new (mg/kg bw)]]&lt;&gt;"",AC433/$C$5,0)))</f>
        <v>no acute RA</v>
      </c>
      <c r="AE433" s="423" t="str">
        <f t="shared" si="72"/>
        <v/>
      </c>
      <c r="AF433" s="423" t="str">
        <f t="shared" si="73"/>
        <v/>
      </c>
      <c r="AG433" s="381" t="str">
        <f>IF(OR(Z433=0,Z433="ND",Z433="",$C$5="not necessary"),"",IF(X433="2a",1000*$C$5*R433/Table9[[#This Row],[Processing factor]]/(T433*Y433+S433-T433),IF(X433="2b",1000*$C$5*R433/Table9[[#This Row],[Processing factor]]/S433/Y433,IF(OR(X433=1,X433=3),1000*$C$5*R433/Table9[[#This Row],[Processing factor]]/S433,""))))</f>
        <v/>
      </c>
      <c r="AH433" s="495" t="str">
        <f>IF(OR(AC433=0,AC433="ND",$C$5="not necessary"),"",1000*$C$5*R433/Table9[[#This Row],[Processing factor]]/S433/AB433)</f>
        <v/>
      </c>
      <c r="AK433" s="651"/>
    </row>
    <row r="434" spans="1:37" x14ac:dyDescent="0.2">
      <c r="A434" s="506"/>
      <c r="B434" s="23">
        <v>212020</v>
      </c>
      <c r="C434" s="325" t="s">
        <v>392</v>
      </c>
      <c r="D434" s="373" t="str">
        <f>VLOOKUP(C434,input_values!$C$412:$BG$538,input_values!$BG$410-2,0)</f>
        <v>PROC-212020-3</v>
      </c>
      <c r="E434" s="567">
        <f>VLOOKUP(B434,input_values!$B$412:$M$538,4,FALSE)</f>
        <v>0</v>
      </c>
      <c r="F434" s="451" t="str">
        <f>VLOOKUP($D434,Table6[[Identifyer]:[Acute RA IESTI new input value]],input_values!$Q$410,FALSE)</f>
        <v/>
      </c>
      <c r="G434" s="451" t="str">
        <f>VLOOKUP($D434,Table6[[Identifyer]:[Acute RA IESTI new input value]],input_values!$P$410,FALSE)</f>
        <v/>
      </c>
      <c r="H434" s="451">
        <f>VLOOKUP($D434,Table6[[Identifyer]:[Acute RA IESTI new input value]],input_values!$S$410,FALSE)</f>
        <v>0</v>
      </c>
      <c r="I434" s="451" t="str">
        <f>VLOOKUP($D434,Table6[[Identifyer]:[Acute RA IESTI new input value]],input_values!$R$410,FALSE)</f>
        <v/>
      </c>
      <c r="J434" s="65"/>
      <c r="K434" s="301">
        <f t="shared" si="67"/>
        <v>7</v>
      </c>
      <c r="L434" s="301" t="str">
        <f>VLOOKUP(D434,input_values!$A$412:$BB$538,input_values!$AA$410,FALSE)</f>
        <v/>
      </c>
      <c r="M434" s="302">
        <f>VLOOKUP(D434,input_values!$A$412:$BB$538,input_values!$Y$410,FALSE)</f>
        <v>1</v>
      </c>
      <c r="N434" s="302" t="str">
        <f>IF(VLOOKUP(D434,input_values!$A$412:$BB$538,input_values!$L$410,FALSE)&lt;&gt;"",VLOOKUP(D434,input_values!$A$412:$BB$538,input_values!$L$410,FALSE),"")</f>
        <v/>
      </c>
      <c r="O434" s="339">
        <v>3.8996960486322192</v>
      </c>
      <c r="P434" s="375" t="s">
        <v>349</v>
      </c>
      <c r="Q434" s="21" t="s">
        <v>99</v>
      </c>
      <c r="R434" s="377">
        <v>65.8</v>
      </c>
      <c r="S434" s="326">
        <f t="shared" si="71"/>
        <v>256.60000000000002</v>
      </c>
      <c r="T434" s="376">
        <v>126</v>
      </c>
      <c r="U434" s="1453" t="s">
        <v>215</v>
      </c>
      <c r="V434" s="376">
        <v>140</v>
      </c>
      <c r="W434" s="376" t="s">
        <v>215</v>
      </c>
      <c r="X434" s="378" t="s">
        <v>1891</v>
      </c>
      <c r="Y434" s="64">
        <f>IF(OR(Table9[[#This Row],[Case]]=1,Table9[[#This Row],[Case]]=3),1,IF(N434="",K434,N434))</f>
        <v>7</v>
      </c>
      <c r="Z434" s="648" t="str">
        <f t="shared" si="68"/>
        <v>ND</v>
      </c>
      <c r="AA434" s="380" t="str">
        <f t="shared" si="69"/>
        <v>no acute RA</v>
      </c>
      <c r="AB434" s="64">
        <f>IF(OR(Table9[[#This Row],[Case]]=3,Table9[[#This Row],[Case]]=1),1,IF(Table9[[#This Row],[Variability factor for IESTI ]]&lt;3,Table9[[#This Row],[Variability factor for IESTI ]],3))</f>
        <v>3</v>
      </c>
      <c r="AC434" s="379" t="str">
        <f t="shared" si="70"/>
        <v>ND</v>
      </c>
      <c r="AD434" s="380" t="str">
        <f>IF($C$5="not necessary","no acute RA",IF(AC434="ND","no acute RA",IF(Table9[[#This Row],[IESTI new (mg/kg bw)]]&lt;&gt;"",AC434/$C$5,0)))</f>
        <v>no acute RA</v>
      </c>
      <c r="AE434" s="423" t="str">
        <f t="shared" si="72"/>
        <v/>
      </c>
      <c r="AF434" s="423" t="str">
        <f t="shared" si="73"/>
        <v/>
      </c>
      <c r="AG434" s="381" t="str">
        <f>IF(OR(Z434=0,Z434="ND",Z434="",$C$5="not necessary"),"",IF(X434="2a",1000*$C$5*R434/Table9[[#This Row],[Processing factor]]/(T434*Y434+S434-T434),IF(X434="2b",1000*$C$5*R434/Table9[[#This Row],[Processing factor]]/S434/Y434,IF(OR(X434=1,X434=3),1000*$C$5*R434/Table9[[#This Row],[Processing factor]]/S434,""))))</f>
        <v/>
      </c>
      <c r="AH434" s="495" t="str">
        <f>IF(OR(AC434=0,AC434="ND",$C$5="not necessary"),"",1000*$C$5*R434/Table9[[#This Row],[Processing factor]]/S434/AB434)</f>
        <v/>
      </c>
      <c r="AK434" s="651"/>
    </row>
    <row r="435" spans="1:37" x14ac:dyDescent="0.2">
      <c r="A435" s="506"/>
      <c r="B435" s="23">
        <v>212040</v>
      </c>
      <c r="C435" s="325" t="s">
        <v>822</v>
      </c>
      <c r="D435" s="373" t="str">
        <f>VLOOKUP(C435,input_values!$C$412:$BG$538,input_values!$BG$410-2,0)</f>
        <v>PROC-212040-23</v>
      </c>
      <c r="E435" s="567">
        <f>VLOOKUP(B435,input_values!$B$412:$M$538,4,FALSE)</f>
        <v>0</v>
      </c>
      <c r="F435" s="451" t="str">
        <f>VLOOKUP($D435,Table6[[Identifyer]:[Acute RA IESTI new input value]],input_values!$Q$410,FALSE)</f>
        <v/>
      </c>
      <c r="G435" s="451" t="str">
        <f>VLOOKUP($D435,Table6[[Identifyer]:[Acute RA IESTI new input value]],input_values!$P$410,FALSE)</f>
        <v/>
      </c>
      <c r="H435" s="451">
        <f>VLOOKUP($D435,Table6[[Identifyer]:[Acute RA IESTI new input value]],input_values!$S$410,FALSE)</f>
        <v>0</v>
      </c>
      <c r="I435" s="451" t="str">
        <f>VLOOKUP($D435,Table6[[Identifyer]:[Acute RA IESTI new input value]],input_values!$R$410,FALSE)</f>
        <v/>
      </c>
      <c r="J435" s="65"/>
      <c r="K435" s="301">
        <f t="shared" si="67"/>
        <v>1</v>
      </c>
      <c r="L435" s="301" t="str">
        <f>VLOOKUP(D435,input_values!$A$412:$BB$538,input_values!$AA$410,FALSE)</f>
        <v/>
      </c>
      <c r="M435" s="302">
        <f>VLOOKUP(D435,input_values!$A$412:$BB$538,input_values!$Y$410,FALSE)</f>
        <v>1</v>
      </c>
      <c r="N435" s="374" t="str">
        <f>IF(VLOOKUP(D435,input_values!$A$412:$BB$538,input_values!$L$410,FALSE)&lt;&gt;"",VLOOKUP(D435,input_values!$A$412:$BB$538,input_values!$L$410,FALSE),"")</f>
        <v/>
      </c>
      <c r="O435" s="339">
        <v>0.2796352583586626</v>
      </c>
      <c r="P435" s="375" t="s">
        <v>331</v>
      </c>
      <c r="Q435" s="21" t="s">
        <v>99</v>
      </c>
      <c r="R435" s="377">
        <v>65.8</v>
      </c>
      <c r="S435" s="326">
        <f>O435*R435</f>
        <v>18.399999999999999</v>
      </c>
      <c r="T435" s="377"/>
      <c r="U435" s="377"/>
      <c r="V435" s="377"/>
      <c r="W435" s="377"/>
      <c r="X435" s="378">
        <v>3</v>
      </c>
      <c r="Y435" s="64">
        <f>IF(OR(Table9[[#This Row],[Case]]=1,Table9[[#This Row],[Case]]=3),1,IF(N435="",K435,N435))</f>
        <v>1</v>
      </c>
      <c r="Z435" s="648" t="str">
        <f t="shared" si="68"/>
        <v>ND</v>
      </c>
      <c r="AA435" s="380" t="str">
        <f t="shared" si="69"/>
        <v>no acute RA</v>
      </c>
      <c r="AB435" s="64">
        <f>IF(OR(Table9[[#This Row],[Case]]=3,Table9[[#This Row],[Case]]=1),1,IF(Table9[[#This Row],[Variability factor for IESTI ]]&lt;3,Table9[[#This Row],[Variability factor for IESTI ]],3))</f>
        <v>1</v>
      </c>
      <c r="AC435" s="379" t="str">
        <f t="shared" si="70"/>
        <v>ND</v>
      </c>
      <c r="AD435" s="380" t="str">
        <f>IF($C$5="not necessary","no acute RA",IF(AC435="ND","no acute RA",IF(Table9[[#This Row],[IESTI new (mg/kg bw)]]&lt;&gt;"",AC435/$C$5,0)))</f>
        <v>no acute RA</v>
      </c>
      <c r="AE435" s="423" t="str">
        <f t="shared" si="72"/>
        <v/>
      </c>
      <c r="AF435" s="423" t="str">
        <f t="shared" si="73"/>
        <v/>
      </c>
      <c r="AG435" s="381" t="str">
        <f>IF(OR(Z435=0,Z435="ND",Z435="",$C$5="not necessary"),"",IF(X435="2a",1000*$C$5*R435/Table9[[#This Row],[Processing factor]]/(T435*Y435+S435-T435),IF(X435="2b",1000*$C$5*R435/Table9[[#This Row],[Processing factor]]/S435/Y435,IF(OR(X435=1,X435=3),1000*$C$5*R435/Table9[[#This Row],[Processing factor]]/S435,""))))</f>
        <v/>
      </c>
      <c r="AH435" s="495" t="str">
        <f>IF(OR(AC435=0,AC435="ND",$C$5="not necessary"),"",1000*$C$5*R435/Table9[[#This Row],[Processing factor]]/S435/AB435)</f>
        <v/>
      </c>
      <c r="AK435" s="651"/>
    </row>
    <row r="436" spans="1:37" x14ac:dyDescent="0.2">
      <c r="A436" s="506"/>
      <c r="B436" s="23">
        <v>213010</v>
      </c>
      <c r="C436" s="325" t="s">
        <v>823</v>
      </c>
      <c r="D436" s="373" t="str">
        <f>VLOOKUP(C436,input_values!$C$412:$BG$538,input_values!$BG$410-2,0)</f>
        <v>PROC-213010-3</v>
      </c>
      <c r="E436" s="567">
        <f>VLOOKUP(B436,input_values!$B$412:$M$538,4,FALSE)</f>
        <v>0</v>
      </c>
      <c r="F436" s="451" t="str">
        <f>VLOOKUP($D436,Table6[[Identifyer]:[Acute RA IESTI new input value]],input_values!$Q$410,FALSE)</f>
        <v/>
      </c>
      <c r="G436" s="451" t="str">
        <f>VLOOKUP($D436,Table6[[Identifyer]:[Acute RA IESTI new input value]],input_values!$P$410,FALSE)</f>
        <v/>
      </c>
      <c r="H436" s="451">
        <f>VLOOKUP($D436,Table6[[Identifyer]:[Acute RA IESTI new input value]],input_values!$S$410,FALSE)</f>
        <v>0</v>
      </c>
      <c r="I436" s="451" t="str">
        <f>VLOOKUP($D436,Table6[[Identifyer]:[Acute RA IESTI new input value]],input_values!$R$410,FALSE)</f>
        <v/>
      </c>
      <c r="J436" s="65"/>
      <c r="K436" s="301">
        <f t="shared" si="67"/>
        <v>7</v>
      </c>
      <c r="L436" s="301" t="str">
        <f>VLOOKUP(D436,input_values!$A$412:$BB$538,input_values!$AA$410,FALSE)</f>
        <v/>
      </c>
      <c r="M436" s="302">
        <f>VLOOKUP(D436,input_values!$A$412:$BB$538,input_values!$Y$410,FALSE)</f>
        <v>1</v>
      </c>
      <c r="N436" s="302" t="str">
        <f>IF(VLOOKUP(D436,input_values!$A$412:$BB$538,input_values!$L$410,FALSE)&lt;&gt;"",VLOOKUP(D436,input_values!$A$412:$BB$538,input_values!$L$410,FALSE),"")</f>
        <v/>
      </c>
      <c r="O436" s="339">
        <v>5.5562310030395139</v>
      </c>
      <c r="P436" s="375">
        <v>97.5</v>
      </c>
      <c r="Q436" s="21" t="s">
        <v>99</v>
      </c>
      <c r="R436" s="377">
        <v>65.8</v>
      </c>
      <c r="S436" s="326">
        <f t="shared" si="71"/>
        <v>365.6</v>
      </c>
      <c r="T436" s="376">
        <v>182</v>
      </c>
      <c r="U436" s="1453" t="s">
        <v>215</v>
      </c>
      <c r="V436" s="376">
        <v>224</v>
      </c>
      <c r="W436" s="376" t="s">
        <v>215</v>
      </c>
      <c r="X436" s="378" t="s">
        <v>1892</v>
      </c>
      <c r="Y436" s="64">
        <f>IF(OR(Table9[[#This Row],[Case]]=1,Table9[[#This Row],[Case]]=3),1,IF(N436="",K436,N436))</f>
        <v>7</v>
      </c>
      <c r="Z436" s="648" t="str">
        <f>IF(F436&lt;&gt;"",IF(OR($X436=3,$X436=1),1/$R436*($F436*$S436/1000*$Y436),IF(($X436="2a"),1/$R436*(($F436*$T436/1000*$Y436)+($F436*($S436-$T436)/1000)),IF($X436="2b",1/$R436*($F436*$S436/1000*$Y436)))),"ND")</f>
        <v>ND</v>
      </c>
      <c r="AA436" s="380" t="str">
        <f t="shared" si="69"/>
        <v>no acute RA</v>
      </c>
      <c r="AB436" s="64">
        <f>IF(OR(Table9[[#This Row],[Case]]=3,Table9[[#This Row],[Case]]=1),1,IF(Table9[[#This Row],[Variability factor for IESTI ]]&lt;3,Table9[[#This Row],[Variability factor for IESTI ]],3))</f>
        <v>3</v>
      </c>
      <c r="AC436" s="379" t="str">
        <f t="shared" si="70"/>
        <v>ND</v>
      </c>
      <c r="AD436" s="380" t="str">
        <f>IF($C$5="not necessary","no acute RA",IF(AC436="ND","no acute RA",IF(Table9[[#This Row],[IESTI new (mg/kg bw)]]&lt;&gt;"",AC436/$C$5,0)))</f>
        <v>no acute RA</v>
      </c>
      <c r="AE436" s="423" t="str">
        <f t="shared" si="72"/>
        <v/>
      </c>
      <c r="AF436" s="423" t="str">
        <f t="shared" si="73"/>
        <v/>
      </c>
      <c r="AG436" s="381" t="str">
        <f>IF(OR(Z436=0,Z436="ND",Z436="",$C$5="not necessary"),"",IF(X436="2a",1000*$C$5*R436/Table9[[#This Row],[Processing factor]]/(T436*Y436+S436-T436),IF(X436="2b",1000*$C$5*R436/Table9[[#This Row],[Processing factor]]/S436/Y436,IF(OR(X436=1,X436=3),1000*$C$5*R436/Table9[[#This Row],[Processing factor]]/S436,""))))</f>
        <v/>
      </c>
      <c r="AH436" s="495" t="str">
        <f>IF(OR(AC436=0,AC436="ND",$C$5="not necessary"),"",1000*$C$5*R436/Table9[[#This Row],[Processing factor]]/S436/AB436)</f>
        <v/>
      </c>
      <c r="AK436" s="651"/>
    </row>
    <row r="437" spans="1:37" x14ac:dyDescent="0.2">
      <c r="A437" s="506"/>
      <c r="B437" s="23">
        <v>213020</v>
      </c>
      <c r="C437" s="325" t="s">
        <v>463</v>
      </c>
      <c r="D437" s="373" t="str">
        <f>VLOOKUP(C437,input_values!$C$412:$BG$538,input_values!$BG$410-2,0)</f>
        <v>PROC-213020-5</v>
      </c>
      <c r="E437" s="567">
        <f>VLOOKUP(B437,input_values!$B$412:$M$538,4,FALSE)</f>
        <v>0</v>
      </c>
      <c r="F437" s="451" t="str">
        <f>VLOOKUP($D437,Table6[[Identifyer]:[Acute RA IESTI new input value]],input_values!$Q$410,FALSE)</f>
        <v/>
      </c>
      <c r="G437" s="451" t="str">
        <f>VLOOKUP($D437,Table6[[Identifyer]:[Acute RA IESTI new input value]],input_values!$P$410,FALSE)</f>
        <v/>
      </c>
      <c r="H437" s="451">
        <f>VLOOKUP($D437,Table6[[Identifyer]:[Acute RA IESTI new input value]],input_values!$S$410,FALSE)</f>
        <v>0</v>
      </c>
      <c r="I437" s="451" t="str">
        <f>VLOOKUP($D437,Table6[[Identifyer]:[Acute RA IESTI new input value]],input_values!$R$410,FALSE)</f>
        <v/>
      </c>
      <c r="J437" s="65"/>
      <c r="K437" s="301">
        <f t="shared" si="67"/>
        <v>1</v>
      </c>
      <c r="L437" s="301" t="str">
        <f>VLOOKUP(D437,input_values!$A$412:$BB$538,input_values!$AA$410,FALSE)</f>
        <v/>
      </c>
      <c r="M437" s="302">
        <f>VLOOKUP(D437,input_values!$A$412:$BB$538,input_values!$Y$410,FALSE)</f>
        <v>1</v>
      </c>
      <c r="N437" s="374" t="str">
        <f>IF(VLOOKUP(D437,input_values!$A$412:$BB$538,input_values!$L$410,FALSE)&lt;&gt;"",VLOOKUP(D437,input_values!$A$412:$BB$538,input_values!$L$410,FALSE),"")</f>
        <v/>
      </c>
      <c r="O437" s="339">
        <v>8.1580547112461996</v>
      </c>
      <c r="P437" s="375">
        <v>95</v>
      </c>
      <c r="Q437" s="21" t="s">
        <v>99</v>
      </c>
      <c r="R437" s="377">
        <v>65.8</v>
      </c>
      <c r="S437" s="326">
        <f>O437*R437</f>
        <v>536.79999999999995</v>
      </c>
      <c r="T437" s="377"/>
      <c r="U437" s="377"/>
      <c r="V437" s="377"/>
      <c r="W437" s="377"/>
      <c r="X437" s="378">
        <v>3</v>
      </c>
      <c r="Y437" s="64">
        <f>IF(OR(Table9[[#This Row],[Case]]=1,Table9[[#This Row],[Case]]=3),1,IF(N437="",K437,N437))</f>
        <v>1</v>
      </c>
      <c r="Z437" s="648" t="str">
        <f t="shared" si="68"/>
        <v>ND</v>
      </c>
      <c r="AA437" s="380" t="str">
        <f t="shared" si="69"/>
        <v>no acute RA</v>
      </c>
      <c r="AB437" s="64">
        <f>IF(OR(Table9[[#This Row],[Case]]=3,Table9[[#This Row],[Case]]=1),1,IF(Table9[[#This Row],[Variability factor for IESTI ]]&lt;3,Table9[[#This Row],[Variability factor for IESTI ]],3))</f>
        <v>1</v>
      </c>
      <c r="AC437" s="379" t="str">
        <f t="shared" si="70"/>
        <v>ND</v>
      </c>
      <c r="AD437" s="380" t="str">
        <f>IF($C$5="not necessary","no acute RA",IF(AC437="ND","no acute RA",IF(Table9[[#This Row],[IESTI new (mg/kg bw)]]&lt;&gt;"",AC437/$C$5,0)))</f>
        <v>no acute RA</v>
      </c>
      <c r="AE437" s="423" t="str">
        <f t="shared" si="72"/>
        <v/>
      </c>
      <c r="AF437" s="423" t="str">
        <f t="shared" si="73"/>
        <v/>
      </c>
      <c r="AG437" s="381" t="str">
        <f>IF(OR(Z437=0,Z437="ND",Z437="",$C$5="not necessary"),"",IF(X437="2a",1000*$C$5*R437/Table9[[#This Row],[Processing factor]]/(T437*Y437+S437-T437),IF(X437="2b",1000*$C$5*R437/Table9[[#This Row],[Processing factor]]/S437/Y437,IF(OR(X437=1,X437=3),1000*$C$5*R437/Table9[[#This Row],[Processing factor]]/S437,""))))</f>
        <v/>
      </c>
      <c r="AH437" s="495" t="str">
        <f>IF(OR(AC437=0,AC437="ND",$C$5="not necessary"),"",1000*$C$5*R437/Table9[[#This Row],[Processing factor]]/S437/AB437)</f>
        <v/>
      </c>
      <c r="AK437" s="651"/>
    </row>
    <row r="438" spans="1:37" x14ac:dyDescent="0.2">
      <c r="A438" s="506"/>
      <c r="B438" s="23">
        <v>213030</v>
      </c>
      <c r="C438" s="325" t="s">
        <v>824</v>
      </c>
      <c r="D438" s="373" t="str">
        <f>VLOOKUP(C438,input_values!$C$412:$BG$538,input_values!$BG$410-2,0)</f>
        <v>PROC-213030-3</v>
      </c>
      <c r="E438" s="567">
        <f>VLOOKUP(B438,input_values!$B$412:$M$538,4,FALSE)</f>
        <v>0</v>
      </c>
      <c r="F438" s="451" t="str">
        <f>VLOOKUP($D438,Table6[[Identifyer]:[Acute RA IESTI new input value]],input_values!$Q$410,FALSE)</f>
        <v/>
      </c>
      <c r="G438" s="451" t="str">
        <f>VLOOKUP($D438,Table6[[Identifyer]:[Acute RA IESTI new input value]],input_values!$P$410,FALSE)</f>
        <v/>
      </c>
      <c r="H438" s="451">
        <f>VLOOKUP($D438,Table6[[Identifyer]:[Acute RA IESTI new input value]],input_values!$S$410,FALSE)</f>
        <v>0</v>
      </c>
      <c r="I438" s="451" t="str">
        <f>VLOOKUP($D438,Table6[[Identifyer]:[Acute RA IESTI new input value]],input_values!$R$410,FALSE)</f>
        <v/>
      </c>
      <c r="J438" s="65"/>
      <c r="K438" s="301">
        <f t="shared" si="67"/>
        <v>5</v>
      </c>
      <c r="L438" s="301" t="str">
        <f>VLOOKUP(D438,input_values!$A$412:$BB$538,input_values!$AA$410,FALSE)</f>
        <v/>
      </c>
      <c r="M438" s="302">
        <f>VLOOKUP(D438,input_values!$A$412:$BB$538,input_values!$Y$410,FALSE)</f>
        <v>1</v>
      </c>
      <c r="N438" s="302" t="str">
        <f>IF(VLOOKUP(D438,input_values!$A$412:$BB$538,input_values!$L$410,FALSE)&lt;&gt;"",VLOOKUP(D438,input_values!$A$412:$BB$538,input_values!$L$410,FALSE),"")</f>
        <v/>
      </c>
      <c r="O438" s="339">
        <v>3.6337386018237083</v>
      </c>
      <c r="P438" s="375">
        <v>95</v>
      </c>
      <c r="Q438" s="21" t="s">
        <v>99</v>
      </c>
      <c r="R438" s="377">
        <v>65.8</v>
      </c>
      <c r="S438" s="326">
        <f t="shared" ref="S438:S493" si="74">O438*R438</f>
        <v>239.1</v>
      </c>
      <c r="T438" s="376">
        <v>437</v>
      </c>
      <c r="U438" s="1453" t="s">
        <v>215</v>
      </c>
      <c r="V438" s="376">
        <v>437</v>
      </c>
      <c r="W438" s="376" t="s">
        <v>215</v>
      </c>
      <c r="X438" s="378" t="s">
        <v>1892</v>
      </c>
      <c r="Y438" s="64">
        <f>IF(OR(Table9[[#This Row],[Case]]=1,Table9[[#This Row],[Case]]=3),1,IF(N438="",K438,N438))</f>
        <v>5</v>
      </c>
      <c r="Z438" s="648" t="str">
        <f t="shared" si="68"/>
        <v>ND</v>
      </c>
      <c r="AA438" s="380" t="str">
        <f t="shared" si="69"/>
        <v>no acute RA</v>
      </c>
      <c r="AB438" s="64">
        <f>IF(OR(Table9[[#This Row],[Case]]=3,Table9[[#This Row],[Case]]=1),1,IF(Table9[[#This Row],[Variability factor for IESTI ]]&lt;3,Table9[[#This Row],[Variability factor for IESTI ]],3))</f>
        <v>3</v>
      </c>
      <c r="AC438" s="379" t="str">
        <f t="shared" si="70"/>
        <v>ND</v>
      </c>
      <c r="AD438" s="380" t="str">
        <f>IF($C$5="not necessary","no acute RA",IF(AC438="ND","no acute RA",IF(Table9[[#This Row],[IESTI new (mg/kg bw)]]&lt;&gt;"",AC438/$C$5,0)))</f>
        <v>no acute RA</v>
      </c>
      <c r="AE438" s="423" t="str">
        <f t="shared" si="72"/>
        <v/>
      </c>
      <c r="AF438" s="423" t="str">
        <f t="shared" si="73"/>
        <v/>
      </c>
      <c r="AG438" s="381" t="str">
        <f>IF(OR(Z438=0,Z438="ND",Z438="",$C$5="not necessary"),"",IF(X438="2a",1000*$C$5*R438/Table9[[#This Row],[Processing factor]]/(T438*Y438+S438-T438),IF(X438="2b",1000*$C$5*R438/Table9[[#This Row],[Processing factor]]/S438/Y438,IF(OR(X438=1,X438=3),1000*$C$5*R438/Table9[[#This Row],[Processing factor]]/S438,""))))</f>
        <v/>
      </c>
      <c r="AH438" s="495" t="str">
        <f>IF(OR(AC438=0,AC438="ND",$C$5="not necessary"),"",1000*$C$5*R438/Table9[[#This Row],[Processing factor]]/S438/AB438)</f>
        <v/>
      </c>
      <c r="AK438" s="651"/>
    </row>
    <row r="439" spans="1:37" x14ac:dyDescent="0.2">
      <c r="A439" s="506"/>
      <c r="B439" s="23">
        <v>213050</v>
      </c>
      <c r="C439" s="325" t="s">
        <v>394</v>
      </c>
      <c r="D439" s="373" t="str">
        <f>VLOOKUP(C439,input_values!$C$412:$BG$538,input_values!$BG$410-2,0)</f>
        <v>PROC-213050-3</v>
      </c>
      <c r="E439" s="567">
        <f>VLOOKUP(B439,input_values!$B$412:$M$538,4,FALSE)</f>
        <v>0</v>
      </c>
      <c r="F439" s="451" t="str">
        <f>VLOOKUP($D439,Table6[[Identifyer]:[Acute RA IESTI new input value]],input_values!$Q$410,FALSE)</f>
        <v/>
      </c>
      <c r="G439" s="451" t="str">
        <f>VLOOKUP($D439,Table6[[Identifyer]:[Acute RA IESTI new input value]],input_values!$P$410,FALSE)</f>
        <v/>
      </c>
      <c r="H439" s="451">
        <f>VLOOKUP($D439,Table6[[Identifyer]:[Acute RA IESTI new input value]],input_values!$S$410,FALSE)</f>
        <v>0</v>
      </c>
      <c r="I439" s="451" t="str">
        <f>VLOOKUP($D439,Table6[[Identifyer]:[Acute RA IESTI new input value]],input_values!$R$410,FALSE)</f>
        <v/>
      </c>
      <c r="J439" s="65"/>
      <c r="K439" s="301">
        <f t="shared" si="67"/>
        <v>7</v>
      </c>
      <c r="L439" s="301" t="str">
        <f>VLOOKUP(D439,input_values!$A$412:$BB$538,input_values!$AA$410,FALSE)</f>
        <v/>
      </c>
      <c r="M439" s="302">
        <f>VLOOKUP(D439,input_values!$A$412:$BB$538,input_values!$Y$410,FALSE)</f>
        <v>1</v>
      </c>
      <c r="N439" s="302" t="str">
        <f>IF(VLOOKUP(D439,input_values!$A$412:$BB$538,input_values!$L$410,FALSE)&lt;&gt;"",VLOOKUP(D439,input_values!$A$412:$BB$538,input_values!$L$410,FALSE),"")</f>
        <v/>
      </c>
      <c r="O439" s="339">
        <v>3.0395136778115504</v>
      </c>
      <c r="P439" s="375" t="s">
        <v>331</v>
      </c>
      <c r="Q439" s="21" t="s">
        <v>99</v>
      </c>
      <c r="R439" s="377">
        <v>65.8</v>
      </c>
      <c r="S439" s="326">
        <f t="shared" si="74"/>
        <v>200</v>
      </c>
      <c r="T439" s="376">
        <v>56</v>
      </c>
      <c r="U439" s="1453" t="s">
        <v>215</v>
      </c>
      <c r="V439" s="376">
        <v>94</v>
      </c>
      <c r="W439" s="376" t="s">
        <v>215</v>
      </c>
      <c r="X439" s="378" t="s">
        <v>1891</v>
      </c>
      <c r="Y439" s="64">
        <f>IF(OR(Table9[[#This Row],[Case]]=1,Table9[[#This Row],[Case]]=3),1,IF(N439="",K439,N439))</f>
        <v>7</v>
      </c>
      <c r="Z439" s="648" t="str">
        <f t="shared" si="68"/>
        <v>ND</v>
      </c>
      <c r="AA439" s="380" t="str">
        <f t="shared" si="69"/>
        <v>no acute RA</v>
      </c>
      <c r="AB439" s="64">
        <f>IF(OR(Table9[[#This Row],[Case]]=3,Table9[[#This Row],[Case]]=1),1,IF(Table9[[#This Row],[Variability factor for IESTI ]]&lt;3,Table9[[#This Row],[Variability factor for IESTI ]],3))</f>
        <v>3</v>
      </c>
      <c r="AC439" s="379" t="str">
        <f t="shared" si="70"/>
        <v>ND</v>
      </c>
      <c r="AD439" s="380" t="str">
        <f>IF($C$5="not necessary","no acute RA",IF(AC439="ND","no acute RA",IF(Table9[[#This Row],[IESTI new (mg/kg bw)]]&lt;&gt;"",AC439/$C$5,0)))</f>
        <v>no acute RA</v>
      </c>
      <c r="AE439" s="423" t="str">
        <f t="shared" si="72"/>
        <v/>
      </c>
      <c r="AF439" s="423" t="str">
        <f t="shared" si="73"/>
        <v/>
      </c>
      <c r="AG439" s="381" t="str">
        <f>IF(OR(Z439=0,Z439="ND",Z439="",$C$5="not necessary"),"",IF(X439="2a",1000*$C$5*R439/Table9[[#This Row],[Processing factor]]/(T439*Y439+S439-T439),IF(X439="2b",1000*$C$5*R439/Table9[[#This Row],[Processing factor]]/S439/Y439,IF(OR(X439=1,X439=3),1000*$C$5*R439/Table9[[#This Row],[Processing factor]]/S439,""))))</f>
        <v/>
      </c>
      <c r="AH439" s="495" t="str">
        <f>IF(OR(AC439=0,AC439="ND",$C$5="not necessary"),"",1000*$C$5*R439/Table9[[#This Row],[Processing factor]]/S439/AB439)</f>
        <v/>
      </c>
      <c r="AK439" s="651"/>
    </row>
    <row r="440" spans="1:37" x14ac:dyDescent="0.2">
      <c r="A440" s="506"/>
      <c r="B440" s="23">
        <v>213060</v>
      </c>
      <c r="C440" s="325" t="s">
        <v>395</v>
      </c>
      <c r="D440" s="373" t="str">
        <f>VLOOKUP(C440,input_values!$C$412:$BG$538,input_values!$BG$410-2,0)</f>
        <v>PROC-213060-3</v>
      </c>
      <c r="E440" s="567">
        <f>VLOOKUP(B440,input_values!$B$412:$M$538,4,FALSE)</f>
        <v>0</v>
      </c>
      <c r="F440" s="451" t="str">
        <f>VLOOKUP($D440,Table6[[Identifyer]:[Acute RA IESTI new input value]],input_values!$Q$410,FALSE)</f>
        <v/>
      </c>
      <c r="G440" s="451" t="str">
        <f>VLOOKUP($D440,Table6[[Identifyer]:[Acute RA IESTI new input value]],input_values!$P$410,FALSE)</f>
        <v/>
      </c>
      <c r="H440" s="451">
        <f>VLOOKUP($D440,Table6[[Identifyer]:[Acute RA IESTI new input value]],input_values!$S$410,FALSE)</f>
        <v>0</v>
      </c>
      <c r="I440" s="451" t="str">
        <f>VLOOKUP($D440,Table6[[Identifyer]:[Acute RA IESTI new input value]],input_values!$R$410,FALSE)</f>
        <v/>
      </c>
      <c r="J440" s="65"/>
      <c r="K440" s="301">
        <f t="shared" si="67"/>
        <v>7</v>
      </c>
      <c r="L440" s="301" t="str">
        <f>VLOOKUP(D440,input_values!$A$412:$BB$538,input_values!$AA$410,FALSE)</f>
        <v/>
      </c>
      <c r="M440" s="302">
        <f>VLOOKUP(D440,input_values!$A$412:$BB$538,input_values!$Y$410,FALSE)</f>
        <v>1</v>
      </c>
      <c r="N440" s="302" t="str">
        <f>IF(VLOOKUP(D440,input_values!$A$412:$BB$538,input_values!$L$410,FALSE)&lt;&gt;"",VLOOKUP(D440,input_values!$A$412:$BB$538,input_values!$L$410,FALSE),"")</f>
        <v/>
      </c>
      <c r="O440" s="339">
        <v>3.04</v>
      </c>
      <c r="P440" s="375" t="s">
        <v>331</v>
      </c>
      <c r="Q440" s="21" t="s">
        <v>99</v>
      </c>
      <c r="R440" s="377">
        <v>65.8</v>
      </c>
      <c r="S440" s="326">
        <f>O440*R440</f>
        <v>200.03199999999998</v>
      </c>
      <c r="T440" s="376">
        <v>227</v>
      </c>
      <c r="U440" s="1453" t="s">
        <v>215</v>
      </c>
      <c r="V440" s="376">
        <v>227</v>
      </c>
      <c r="W440" s="376" t="s">
        <v>215</v>
      </c>
      <c r="X440" s="378" t="s">
        <v>1892</v>
      </c>
      <c r="Y440" s="64">
        <f>IF(OR(Table9[[#This Row],[Case]]=1,Table9[[#This Row],[Case]]=3),1,IF(N440="",K440,N440))</f>
        <v>7</v>
      </c>
      <c r="Z440" s="648" t="str">
        <f t="shared" si="68"/>
        <v>ND</v>
      </c>
      <c r="AA440" s="380" t="str">
        <f t="shared" si="69"/>
        <v>no acute RA</v>
      </c>
      <c r="AB440" s="64">
        <f>IF(OR(Table9[[#This Row],[Case]]=3,Table9[[#This Row],[Case]]=1),1,IF(Table9[[#This Row],[Variability factor for IESTI ]]&lt;3,Table9[[#This Row],[Variability factor for IESTI ]],3))</f>
        <v>3</v>
      </c>
      <c r="AC440" s="379" t="str">
        <f t="shared" si="70"/>
        <v>ND</v>
      </c>
      <c r="AD440" s="380" t="str">
        <f>IF($C$5="not necessary","no acute RA",IF(AC440="ND","no acute RA",IF(Table9[[#This Row],[IESTI new (mg/kg bw)]]&lt;&gt;"",AC440/$C$5,0)))</f>
        <v>no acute RA</v>
      </c>
      <c r="AE440" s="423" t="str">
        <f>IF(AA440&gt;=1,AG440,"")</f>
        <v/>
      </c>
      <c r="AF440" s="423" t="str">
        <f>IF(AD440&gt;=1,AH440,"")</f>
        <v/>
      </c>
      <c r="AG440" s="381" t="str">
        <f>IF(OR(Z440=0,Z440="ND",Z440="",$C$5="not necessary"),"",IF(X440="2a",1000*$C$5*R440/Table9[[#This Row],[Processing factor]]/(T440*Y440+S440-T440),IF(X440="2b",1000*$C$5*R440/Table9[[#This Row],[Processing factor]]/S440/Y440,IF(OR(X440=1,X440=3),1000*$C$5*R440/Table9[[#This Row],[Processing factor]]/S440,""))))</f>
        <v/>
      </c>
      <c r="AH440" s="495" t="str">
        <f>IF(OR(AC440=0,AC440="ND",$C$5="not necessary"),"",1000*$C$5*R440/Table9[[#This Row],[Processing factor]]/S440/AB440)</f>
        <v/>
      </c>
      <c r="AK440" s="651"/>
    </row>
    <row r="441" spans="1:37" x14ac:dyDescent="0.2">
      <c r="A441" s="506"/>
      <c r="B441" s="23">
        <v>213090</v>
      </c>
      <c r="C441" s="325" t="s">
        <v>826</v>
      </c>
      <c r="D441" s="373" t="str">
        <f>VLOOKUP(C441,input_values!$C$412:$BG$538,input_values!$BG$410-2,0)</f>
        <v>PROC-213090-3</v>
      </c>
      <c r="E441" s="567">
        <f>VLOOKUP(B441,input_values!$B$412:$M$538,4,FALSE)</f>
        <v>0</v>
      </c>
      <c r="F441" s="451" t="str">
        <f>VLOOKUP($D441,Table6[[Identifyer]:[Acute RA IESTI new input value]],input_values!$Q$410,FALSE)</f>
        <v/>
      </c>
      <c r="G441" s="451" t="str">
        <f>VLOOKUP($D441,Table6[[Identifyer]:[Acute RA IESTI new input value]],input_values!$P$410,FALSE)</f>
        <v/>
      </c>
      <c r="H441" s="451">
        <f>VLOOKUP($D441,Table6[[Identifyer]:[Acute RA IESTI new input value]],input_values!$S$410,FALSE)</f>
        <v>0</v>
      </c>
      <c r="I441" s="451" t="str">
        <f>VLOOKUP($D441,Table6[[Identifyer]:[Acute RA IESTI new input value]],input_values!$R$410,FALSE)</f>
        <v/>
      </c>
      <c r="J441" s="65"/>
      <c r="K441" s="301">
        <f t="shared" si="67"/>
        <v>7</v>
      </c>
      <c r="L441" s="301" t="str">
        <f>VLOOKUP(D441,input_values!$A$412:$BB$538,input_values!$AA$410,FALSE)</f>
        <v/>
      </c>
      <c r="M441" s="302">
        <f>VLOOKUP(D441,input_values!$A$412:$BB$538,input_values!$Y$410,FALSE)</f>
        <v>1</v>
      </c>
      <c r="N441" s="302" t="str">
        <f>IF(VLOOKUP(D441,input_values!$A$412:$BB$538,input_values!$L$410,FALSE)&lt;&gt;"",VLOOKUP(D441,input_values!$A$412:$BB$538,input_values!$L$410,FALSE),"")</f>
        <v/>
      </c>
      <c r="O441" s="339">
        <v>3.0395136778115002</v>
      </c>
      <c r="P441" s="375">
        <v>97.5</v>
      </c>
      <c r="Q441" s="21" t="s">
        <v>99</v>
      </c>
      <c r="R441" s="377">
        <v>65.8</v>
      </c>
      <c r="S441" s="326">
        <f t="shared" si="74"/>
        <v>199.9999999999967</v>
      </c>
      <c r="T441" s="376">
        <v>57</v>
      </c>
      <c r="U441" s="1453" t="s">
        <v>215</v>
      </c>
      <c r="V441" s="376">
        <v>88</v>
      </c>
      <c r="W441" s="376" t="s">
        <v>215</v>
      </c>
      <c r="X441" s="378" t="s">
        <v>1891</v>
      </c>
      <c r="Y441" s="64">
        <f>IF(OR(Table9[[#This Row],[Case]]=1,Table9[[#This Row],[Case]]=3),1,IF(N441="",K441,N441))</f>
        <v>7</v>
      </c>
      <c r="Z441" s="648" t="str">
        <f t="shared" si="68"/>
        <v>ND</v>
      </c>
      <c r="AA441" s="380" t="str">
        <f t="shared" si="69"/>
        <v>no acute RA</v>
      </c>
      <c r="AB441" s="64">
        <f>IF(OR(Table9[[#This Row],[Case]]=3,Table9[[#This Row],[Case]]=1),1,IF(Table9[[#This Row],[Variability factor for IESTI ]]&lt;3,Table9[[#This Row],[Variability factor for IESTI ]],3))</f>
        <v>3</v>
      </c>
      <c r="AC441" s="379" t="str">
        <f t="shared" si="70"/>
        <v>ND</v>
      </c>
      <c r="AD441" s="380" t="str">
        <f>IF($C$5="not necessary","no acute RA",IF(AC441="ND","no acute RA",IF(Table9[[#This Row],[IESTI new (mg/kg bw)]]&lt;&gt;"",AC441/$C$5,0)))</f>
        <v>no acute RA</v>
      </c>
      <c r="AE441" s="423" t="str">
        <f t="shared" si="72"/>
        <v/>
      </c>
      <c r="AF441" s="423" t="str">
        <f t="shared" si="73"/>
        <v/>
      </c>
      <c r="AG441" s="381" t="str">
        <f>IF(OR(Z441=0,Z441="ND",Z441="",$C$5="not necessary"),"",IF(X441="2a",1000*$C$5*R441/Table9[[#This Row],[Processing factor]]/(T441*Y441+S441-T441),IF(X441="2b",1000*$C$5*R441/Table9[[#This Row],[Processing factor]]/S441/Y441,IF(OR(X441=1,X441=3),1000*$C$5*R441/Table9[[#This Row],[Processing factor]]/S441,""))))</f>
        <v/>
      </c>
      <c r="AH441" s="495" t="str">
        <f>IF(OR(AC441=0,AC441="ND",$C$5="not necessary"),"",1000*$C$5*R441/Table9[[#This Row],[Processing factor]]/S441/AB441)</f>
        <v/>
      </c>
      <c r="AK441" s="651"/>
    </row>
    <row r="442" spans="1:37" x14ac:dyDescent="0.2">
      <c r="A442" s="506"/>
      <c r="B442" s="23">
        <v>213110</v>
      </c>
      <c r="C442" s="325" t="s">
        <v>464</v>
      </c>
      <c r="D442" s="373" t="str">
        <f>VLOOKUP(C442,input_values!$C$412:$BG$538,input_values!$BG$410-2,0)</f>
        <v>PROC-213110-3</v>
      </c>
      <c r="E442" s="567">
        <f>VLOOKUP(B442,input_values!$B$412:$M$538,4,FALSE)</f>
        <v>0</v>
      </c>
      <c r="F442" s="451" t="str">
        <f>VLOOKUP($D442,Table6[[Identifyer]:[Acute RA IESTI new input value]],input_values!$Q$410,FALSE)</f>
        <v/>
      </c>
      <c r="G442" s="451" t="str">
        <f>VLOOKUP($D442,Table6[[Identifyer]:[Acute RA IESTI new input value]],input_values!$P$410,FALSE)</f>
        <v/>
      </c>
      <c r="H442" s="451">
        <f>VLOOKUP($D442,Table6[[Identifyer]:[Acute RA IESTI new input value]],input_values!$S$410,FALSE)</f>
        <v>0</v>
      </c>
      <c r="I442" s="451" t="str">
        <f>VLOOKUP($D442,Table6[[Identifyer]:[Acute RA IESTI new input value]],input_values!$R$410,FALSE)</f>
        <v/>
      </c>
      <c r="J442" s="65"/>
      <c r="K442" s="301">
        <f t="shared" si="67"/>
        <v>7</v>
      </c>
      <c r="L442" s="301" t="str">
        <f>VLOOKUP(D442,input_values!$A$412:$BB$538,input_values!$AA$410,FALSE)</f>
        <v/>
      </c>
      <c r="M442" s="302">
        <f>VLOOKUP(D442,input_values!$A$412:$BB$538,input_values!$Y$410,FALSE)</f>
        <v>1</v>
      </c>
      <c r="N442" s="302" t="str">
        <f>IF(VLOOKUP(D442,input_values!$A$412:$BB$538,input_values!$L$410,FALSE)&lt;&gt;"",VLOOKUP(D442,input_values!$A$412:$BB$538,input_values!$L$410,FALSE),"")</f>
        <v/>
      </c>
      <c r="O442" s="339">
        <v>3.0395136778115601</v>
      </c>
      <c r="P442" s="375"/>
      <c r="Q442" s="21" t="s">
        <v>99</v>
      </c>
      <c r="R442" s="377">
        <v>65.8</v>
      </c>
      <c r="S442" s="326">
        <f t="shared" si="74"/>
        <v>200.00000000000065</v>
      </c>
      <c r="T442" s="376">
        <v>176</v>
      </c>
      <c r="U442" s="1453" t="s">
        <v>215</v>
      </c>
      <c r="V442" s="376">
        <v>176</v>
      </c>
      <c r="W442" s="376" t="s">
        <v>215</v>
      </c>
      <c r="X442" s="378" t="s">
        <v>1891</v>
      </c>
      <c r="Y442" s="64">
        <f>IF(OR(Table9[[#This Row],[Case]]=1,Table9[[#This Row],[Case]]=3),1,IF(N442="",K442,N442))</f>
        <v>7</v>
      </c>
      <c r="Z442" s="648" t="str">
        <f t="shared" si="68"/>
        <v>ND</v>
      </c>
      <c r="AA442" s="380" t="str">
        <f t="shared" si="69"/>
        <v>no acute RA</v>
      </c>
      <c r="AB442" s="64">
        <f>IF(OR(Table9[[#This Row],[Case]]=3,Table9[[#This Row],[Case]]=1),1,IF(Table9[[#This Row],[Variability factor for IESTI ]]&lt;3,Table9[[#This Row],[Variability factor for IESTI ]],3))</f>
        <v>3</v>
      </c>
      <c r="AC442" s="379" t="str">
        <f t="shared" si="70"/>
        <v>ND</v>
      </c>
      <c r="AD442" s="380" t="str">
        <f>IF($C$5="not necessary","no acute RA",IF(AC442="ND","no acute RA",IF(Table9[[#This Row],[IESTI new (mg/kg bw)]]&lt;&gt;"",AC442/$C$5,0)))</f>
        <v>no acute RA</v>
      </c>
      <c r="AE442" s="423" t="str">
        <f t="shared" si="72"/>
        <v/>
      </c>
      <c r="AF442" s="423" t="str">
        <f t="shared" si="73"/>
        <v/>
      </c>
      <c r="AG442" s="381" t="str">
        <f>IF(OR(Z442=0,Z442="ND",Z442="",$C$5="not necessary"),"",IF(X442="2a",1000*$C$5*R442/Table9[[#This Row],[Processing factor]]/(T442*Y442+S442-T442),IF(X442="2b",1000*$C$5*R442/Table9[[#This Row],[Processing factor]]/S442/Y442,IF(OR(X442=1,X442=3),1000*$C$5*R442/Table9[[#This Row],[Processing factor]]/S442,""))))</f>
        <v/>
      </c>
      <c r="AH442" s="495" t="str">
        <f>IF(OR(AC442=0,AC442="ND",$C$5="not necessary"),"",1000*$C$5*R442/Table9[[#This Row],[Processing factor]]/S442/AB442)</f>
        <v/>
      </c>
      <c r="AK442" s="651"/>
    </row>
    <row r="443" spans="1:37" x14ac:dyDescent="0.2">
      <c r="A443" s="506"/>
      <c r="B443" s="23">
        <v>220020</v>
      </c>
      <c r="C443" s="325" t="s">
        <v>465</v>
      </c>
      <c r="D443" s="373" t="str">
        <f>VLOOKUP(C443,input_values!$C$412:$BG$538,input_values!$BG$410-2,0)</f>
        <v>PROC-220020-3</v>
      </c>
      <c r="E443" s="567">
        <f>VLOOKUP(B443,input_values!$B$412:$M$538,4,FALSE)</f>
        <v>0</v>
      </c>
      <c r="F443" s="451" t="str">
        <f>VLOOKUP($D443,Table6[[Identifyer]:[Acute RA IESTI new input value]],input_values!$Q$410,FALSE)</f>
        <v/>
      </c>
      <c r="G443" s="451" t="str">
        <f>VLOOKUP($D443,Table6[[Identifyer]:[Acute RA IESTI new input value]],input_values!$P$410,FALSE)</f>
        <v/>
      </c>
      <c r="H443" s="451">
        <f>VLOOKUP($D443,Table6[[Identifyer]:[Acute RA IESTI new input value]],input_values!$S$410,FALSE)</f>
        <v>0</v>
      </c>
      <c r="I443" s="451" t="str">
        <f>VLOOKUP($D443,Table6[[Identifyer]:[Acute RA IESTI new input value]],input_values!$R$410,FALSE)</f>
        <v/>
      </c>
      <c r="J443" s="65"/>
      <c r="K443" s="301">
        <f t="shared" si="67"/>
        <v>7</v>
      </c>
      <c r="L443" s="301" t="str">
        <f>VLOOKUP(D443,input_values!$A$412:$BB$538,input_values!$AA$410,FALSE)</f>
        <v/>
      </c>
      <c r="M443" s="302">
        <f>VLOOKUP(D443,input_values!$A$412:$BB$538,input_values!$Y$410,FALSE)</f>
        <v>1</v>
      </c>
      <c r="N443" s="302" t="str">
        <f>IF(VLOOKUP(D443,input_values!$A$412:$BB$538,input_values!$L$410,FALSE)&lt;&gt;"",VLOOKUP(D443,input_values!$A$412:$BB$538,input_values!$L$410,FALSE),"")</f>
        <v/>
      </c>
      <c r="O443" s="339">
        <v>2.3908369782785974</v>
      </c>
      <c r="P443" s="375">
        <v>97.5</v>
      </c>
      <c r="Q443" s="21" t="s">
        <v>99</v>
      </c>
      <c r="R443" s="377">
        <v>65.8</v>
      </c>
      <c r="S443" s="326">
        <f>O443*R443</f>
        <v>157.3170731707317</v>
      </c>
      <c r="T443" s="376">
        <v>77</v>
      </c>
      <c r="U443" s="1453" t="s">
        <v>215</v>
      </c>
      <c r="V443" s="376">
        <v>77</v>
      </c>
      <c r="W443" s="376" t="s">
        <v>215</v>
      </c>
      <c r="X443" s="378" t="s">
        <v>1891</v>
      </c>
      <c r="Y443" s="64">
        <f>IF(OR(Table9[[#This Row],[Case]]=1,Table9[[#This Row],[Case]]=3),1,IF(N443="",K443,N443))</f>
        <v>7</v>
      </c>
      <c r="Z443" s="648" t="str">
        <f t="shared" si="68"/>
        <v>ND</v>
      </c>
      <c r="AA443" s="380" t="str">
        <f t="shared" si="69"/>
        <v>no acute RA</v>
      </c>
      <c r="AB443" s="64">
        <f>IF(OR(Table9[[#This Row],[Case]]=3,Table9[[#This Row],[Case]]=1),1,IF(Table9[[#This Row],[Variability factor for IESTI ]]&lt;3,Table9[[#This Row],[Variability factor for IESTI ]],3))</f>
        <v>3</v>
      </c>
      <c r="AC443" s="379" t="str">
        <f t="shared" si="70"/>
        <v>ND</v>
      </c>
      <c r="AD443" s="380" t="str">
        <f>IF($C$5="not necessary","no acute RA",IF(AC443="ND","no acute RA",IF(Table9[[#This Row],[IESTI new (mg/kg bw)]]&lt;&gt;"",AC443/$C$5,0)))</f>
        <v>no acute RA</v>
      </c>
      <c r="AE443" s="423" t="str">
        <f t="shared" si="72"/>
        <v/>
      </c>
      <c r="AF443" s="423" t="str">
        <f t="shared" si="73"/>
        <v/>
      </c>
      <c r="AG443" s="381" t="str">
        <f>IF(OR(Z443=0,Z443="ND",Z443="",$C$5="not necessary"),"",IF(X443="2a",1000*$C$5*R443/Table9[[#This Row],[Processing factor]]/(T443*Y443+S443-T443),IF(X443="2b",1000*$C$5*R443/Table9[[#This Row],[Processing factor]]/S443/Y443,IF(OR(X443=1,X443=3),1000*$C$5*R443/Table9[[#This Row],[Processing factor]]/S443,""))))</f>
        <v/>
      </c>
      <c r="AH443" s="495" t="str">
        <f>IF(OR(AC443=0,AC443="ND",$C$5="not necessary"),"",1000*$C$5*R443/Table9[[#This Row],[Processing factor]]/S443/AB443)</f>
        <v/>
      </c>
      <c r="AK443" s="651"/>
    </row>
    <row r="444" spans="1:37" x14ac:dyDescent="0.2">
      <c r="A444" s="506"/>
      <c r="B444" s="23">
        <v>220030</v>
      </c>
      <c r="C444" s="325" t="s">
        <v>396</v>
      </c>
      <c r="D444" s="373" t="str">
        <f>VLOOKUP(C444,input_values!$C$412:$BG$538,input_values!$BG$410-2,0)</f>
        <v>PROC-220030-3</v>
      </c>
      <c r="E444" s="567">
        <f>VLOOKUP(B444,input_values!$B$412:$M$538,4,FALSE)</f>
        <v>0</v>
      </c>
      <c r="F444" s="451" t="str">
        <f>VLOOKUP($D444,Table6[[Identifyer]:[Acute RA IESTI new input value]],input_values!$Q$410,FALSE)</f>
        <v/>
      </c>
      <c r="G444" s="451" t="str">
        <f>VLOOKUP($D444,Table6[[Identifyer]:[Acute RA IESTI new input value]],input_values!$P$410,FALSE)</f>
        <v/>
      </c>
      <c r="H444" s="451">
        <f>VLOOKUP($D444,Table6[[Identifyer]:[Acute RA IESTI new input value]],input_values!$S$410,FALSE)</f>
        <v>0</v>
      </c>
      <c r="I444" s="451" t="str">
        <f>VLOOKUP($D444,Table6[[Identifyer]:[Acute RA IESTI new input value]],input_values!$R$410,FALSE)</f>
        <v/>
      </c>
      <c r="J444" s="65"/>
      <c r="K444" s="301">
        <f t="shared" ref="K444:K475" si="75">IF(OR(X444=1,X444=3),1,IF(V444&gt;250,5,7))</f>
        <v>7</v>
      </c>
      <c r="L444" s="301" t="str">
        <f>VLOOKUP(D444,input_values!$A$412:$BB$538,input_values!$AA$410,FALSE)</f>
        <v/>
      </c>
      <c r="M444" s="302">
        <f>VLOOKUP(D444,input_values!$A$412:$BB$538,input_values!$Y$410,FALSE)</f>
        <v>1</v>
      </c>
      <c r="N444" s="302" t="str">
        <f>IF(VLOOKUP(D444,input_values!$A$412:$BB$538,input_values!$L$410,FALSE)&lt;&gt;"",VLOOKUP(D444,input_values!$A$412:$BB$538,input_values!$L$410,FALSE),"")</f>
        <v/>
      </c>
      <c r="O444" s="339">
        <v>2.3708206686930091</v>
      </c>
      <c r="P444" s="375" t="s">
        <v>331</v>
      </c>
      <c r="Q444" s="21" t="s">
        <v>99</v>
      </c>
      <c r="R444" s="377">
        <v>65.8</v>
      </c>
      <c r="S444" s="326">
        <f t="shared" si="74"/>
        <v>156</v>
      </c>
      <c r="T444" s="376">
        <v>42</v>
      </c>
      <c r="U444" s="1453" t="s">
        <v>215</v>
      </c>
      <c r="V444" s="376">
        <v>42</v>
      </c>
      <c r="W444" s="376" t="s">
        <v>215</v>
      </c>
      <c r="X444" s="378" t="s">
        <v>1891</v>
      </c>
      <c r="Y444" s="64">
        <f>IF(OR(Table9[[#This Row],[Case]]=1,Table9[[#This Row],[Case]]=3),1,IF(N444="",K444,N444))</f>
        <v>7</v>
      </c>
      <c r="Z444" s="648" t="str">
        <f t="shared" ref="Z444:Z475" si="76">IF(F444&lt;&gt;"",IF(OR($X444=3,$X444=1),1/$R444*($F444*$S444/1000*$Y444),IF(($X444="2a"),1/$R444*(($F444*$T444/1000*$Y444)+($F444*($S444-$T444)/1000)),IF($X444="2b",1/$R444*($F444*$S444/1000*$Y444)))),"ND")</f>
        <v>ND</v>
      </c>
      <c r="AA444" s="380" t="str">
        <f t="shared" ref="AA444:AA475" si="77">IF($C$5="not necessary","no acute RA",IF(Z444="ND","no acute RA",Z444/$C$5))</f>
        <v>no acute RA</v>
      </c>
      <c r="AB444" s="64">
        <f>IF(OR(Table9[[#This Row],[Case]]=3,Table9[[#This Row],[Case]]=1),1,IF(Table9[[#This Row],[Variability factor for IESTI ]]&lt;3,Table9[[#This Row],[Variability factor for IESTI ]],3))</f>
        <v>3</v>
      </c>
      <c r="AC444" s="379" t="str">
        <f t="shared" ref="AC444:AC475" si="78">IF(OR(ISTEXT(H444),H444=0),"ND",1/$R444*($H444*$S444*AB444/1000))</f>
        <v>ND</v>
      </c>
      <c r="AD444" s="380" t="str">
        <f>IF($C$5="not necessary","no acute RA",IF(AC444="ND","no acute RA",IF(Table9[[#This Row],[IESTI new (mg/kg bw)]]&lt;&gt;"",AC444/$C$5,0)))</f>
        <v>no acute RA</v>
      </c>
      <c r="AE444" s="423" t="str">
        <f t="shared" si="72"/>
        <v/>
      </c>
      <c r="AF444" s="423" t="str">
        <f t="shared" si="73"/>
        <v/>
      </c>
      <c r="AG444" s="381" t="str">
        <f>IF(OR(Z444=0,Z444="ND",Z444="",$C$5="not necessary"),"",IF(X444="2a",1000*$C$5*R444/Table9[[#This Row],[Processing factor]]/(T444*Y444+S444-T444),IF(X444="2b",1000*$C$5*R444/Table9[[#This Row],[Processing factor]]/S444/Y444,IF(OR(X444=1,X444=3),1000*$C$5*R444/Table9[[#This Row],[Processing factor]]/S444,""))))</f>
        <v/>
      </c>
      <c r="AH444" s="495" t="str">
        <f>IF(OR(AC444=0,AC444="ND",$C$5="not necessary"),"",1000*$C$5*R444/Table9[[#This Row],[Processing factor]]/S444/AB444)</f>
        <v/>
      </c>
      <c r="AK444" s="651"/>
    </row>
    <row r="445" spans="1:37" x14ac:dyDescent="0.2">
      <c r="A445" s="506"/>
      <c r="B445" s="23">
        <v>231010</v>
      </c>
      <c r="C445" s="325" t="s">
        <v>466</v>
      </c>
      <c r="D445" s="373" t="str">
        <f>VLOOKUP(C445,input_values!$C$412:$BG$538,input_values!$BG$410-2,0)</f>
        <v>PROC-231010-13</v>
      </c>
      <c r="E445" s="567">
        <f>VLOOKUP(B445,input_values!$B$412:$M$538,4,FALSE)</f>
        <v>0</v>
      </c>
      <c r="F445" s="451" t="str">
        <f>VLOOKUP($D445,Table6[[Identifyer]:[Acute RA IESTI new input value]],input_values!$Q$410,FALSE)</f>
        <v/>
      </c>
      <c r="G445" s="451" t="str">
        <f>VLOOKUP($D445,Table6[[Identifyer]:[Acute RA IESTI new input value]],input_values!$P$410,FALSE)</f>
        <v/>
      </c>
      <c r="H445" s="451">
        <f>VLOOKUP($D445,Table6[[Identifyer]:[Acute RA IESTI new input value]],input_values!$S$410,FALSE)</f>
        <v>0</v>
      </c>
      <c r="I445" s="451" t="str">
        <f>VLOOKUP($D445,Table6[[Identifyer]:[Acute RA IESTI new input value]],input_values!$R$410,FALSE)</f>
        <v/>
      </c>
      <c r="J445" s="65"/>
      <c r="K445" s="301">
        <f t="shared" si="75"/>
        <v>1</v>
      </c>
      <c r="L445" s="301" t="str">
        <f>VLOOKUP(D445,input_values!$A$412:$BB$538,input_values!$AA$410,FALSE)</f>
        <v/>
      </c>
      <c r="M445" s="302">
        <f>VLOOKUP(D445,input_values!$A$412:$BB$538,input_values!$Y$410,FALSE)</f>
        <v>1</v>
      </c>
      <c r="N445" s="374" t="str">
        <f>IF(VLOOKUP(D445,input_values!$A$412:$BB$538,input_values!$L$410,FALSE)&lt;&gt;"",VLOOKUP(D445,input_values!$A$412:$BB$538,input_values!$L$410,FALSE),"")</f>
        <v/>
      </c>
      <c r="O445" s="339">
        <v>8.2110000000000003</v>
      </c>
      <c r="P445" s="375">
        <v>97.5</v>
      </c>
      <c r="Q445" s="21" t="s">
        <v>99</v>
      </c>
      <c r="R445" s="377">
        <v>65.8</v>
      </c>
      <c r="S445" s="326">
        <f t="shared" si="74"/>
        <v>540.28380000000004</v>
      </c>
      <c r="T445" s="377"/>
      <c r="U445" s="377"/>
      <c r="V445" s="377"/>
      <c r="W445" s="377"/>
      <c r="X445" s="378">
        <v>3</v>
      </c>
      <c r="Y445" s="64">
        <f>IF(OR(Table9[[#This Row],[Case]]=1,Table9[[#This Row],[Case]]=3),1,IF(N445="",K445,N445))</f>
        <v>1</v>
      </c>
      <c r="Z445" s="648" t="str">
        <f t="shared" si="76"/>
        <v>ND</v>
      </c>
      <c r="AA445" s="380" t="str">
        <f t="shared" si="77"/>
        <v>no acute RA</v>
      </c>
      <c r="AB445" s="64">
        <f>IF(OR(Table9[[#This Row],[Case]]=3,Table9[[#This Row],[Case]]=1),1,IF(Table9[[#This Row],[Variability factor for IESTI ]]&lt;3,Table9[[#This Row],[Variability factor for IESTI ]],3))</f>
        <v>1</v>
      </c>
      <c r="AC445" s="379" t="str">
        <f t="shared" si="78"/>
        <v>ND</v>
      </c>
      <c r="AD445" s="380" t="str">
        <f>IF($C$5="not necessary","no acute RA",IF(AC445="ND","no acute RA",IF(Table9[[#This Row],[IESTI new (mg/kg bw)]]&lt;&gt;"",AC445/$C$5,0)))</f>
        <v>no acute RA</v>
      </c>
      <c r="AE445" s="423" t="str">
        <f t="shared" si="72"/>
        <v/>
      </c>
      <c r="AF445" s="423" t="str">
        <f t="shared" si="73"/>
        <v/>
      </c>
      <c r="AG445" s="381" t="str">
        <f>IF(OR(Z445=0,Z445="ND",Z445="",$C$5="not necessary"),"",IF(X445="2a",1000*$C$5*R445/Table9[[#This Row],[Processing factor]]/(T445*Y445+S445-T445),IF(X445="2b",1000*$C$5*R445/Table9[[#This Row],[Processing factor]]/S445/Y445,IF(OR(X445=1,X445=3),1000*$C$5*R445/Table9[[#This Row],[Processing factor]]/S445,""))))</f>
        <v/>
      </c>
      <c r="AH445" s="495" t="str">
        <f>IF(OR(AC445=0,AC445="ND",$C$5="not necessary"),"",1000*$C$5*R445/Table9[[#This Row],[Processing factor]]/S445/AB445)</f>
        <v/>
      </c>
      <c r="AK445" s="651"/>
    </row>
    <row r="446" spans="1:37" x14ac:dyDescent="0.2">
      <c r="A446" s="506"/>
      <c r="B446" s="23">
        <v>231040</v>
      </c>
      <c r="C446" s="325" t="s">
        <v>467</v>
      </c>
      <c r="D446" s="373" t="str">
        <f>VLOOKUP(C446,input_values!$C$412:$BG$538,input_values!$BG$410-2,0)</f>
        <v>PROC-231040-3</v>
      </c>
      <c r="E446" s="567">
        <f>VLOOKUP(B446,input_values!$B$412:$M$538,4,FALSE)</f>
        <v>0</v>
      </c>
      <c r="F446" s="451" t="str">
        <f>VLOOKUP($D446,Table6[[Identifyer]:[Acute RA IESTI new input value]],input_values!$Q$410,FALSE)</f>
        <v/>
      </c>
      <c r="G446" s="451" t="str">
        <f>VLOOKUP($D446,Table6[[Identifyer]:[Acute RA IESTI new input value]],input_values!$P$410,FALSE)</f>
        <v/>
      </c>
      <c r="H446" s="451">
        <f>VLOOKUP($D446,Table6[[Identifyer]:[Acute RA IESTI new input value]],input_values!$S$410,FALSE)</f>
        <v>0</v>
      </c>
      <c r="I446" s="451" t="str">
        <f>VLOOKUP($D446,Table6[[Identifyer]:[Acute RA IESTI new input value]],input_values!$R$410,FALSE)</f>
        <v/>
      </c>
      <c r="J446" s="65"/>
      <c r="K446" s="301">
        <f t="shared" si="75"/>
        <v>1</v>
      </c>
      <c r="L446" s="301" t="str">
        <f>VLOOKUP(D446,input_values!$A$412:$BB$538,input_values!$AA$410,FALSE)</f>
        <v/>
      </c>
      <c r="M446" s="302">
        <f>VLOOKUP(D446,input_values!$A$412:$BB$538,input_values!$Y$410,FALSE)</f>
        <v>1</v>
      </c>
      <c r="N446" s="374" t="str">
        <f>IF(VLOOKUP(D446,input_values!$A$412:$BB$538,input_values!$L$410,FALSE)&lt;&gt;"",VLOOKUP(D446,input_values!$A$412:$BB$538,input_values!$L$410,FALSE),"")</f>
        <v/>
      </c>
      <c r="O446" s="339">
        <v>1.6246200607902737</v>
      </c>
      <c r="P446" s="375" t="s">
        <v>331</v>
      </c>
      <c r="Q446" s="21" t="s">
        <v>99</v>
      </c>
      <c r="R446" s="377">
        <v>65.8</v>
      </c>
      <c r="S446" s="326">
        <f t="shared" si="74"/>
        <v>106.9</v>
      </c>
      <c r="T446" s="377"/>
      <c r="U446" s="377"/>
      <c r="V446" s="377"/>
      <c r="W446" s="377"/>
      <c r="X446" s="378">
        <v>1</v>
      </c>
      <c r="Y446" s="64">
        <f>IF(OR(Table9[[#This Row],[Case]]=1,Table9[[#This Row],[Case]]=3),1,IF(N446="",K446,N446))</f>
        <v>1</v>
      </c>
      <c r="Z446" s="648" t="str">
        <f t="shared" si="76"/>
        <v>ND</v>
      </c>
      <c r="AA446" s="380" t="str">
        <f t="shared" si="77"/>
        <v>no acute RA</v>
      </c>
      <c r="AB446" s="64">
        <f>IF(OR(Table9[[#This Row],[Case]]=3,Table9[[#This Row],[Case]]=1),1,IF(Table9[[#This Row],[Variability factor for IESTI ]]&lt;3,Table9[[#This Row],[Variability factor for IESTI ]],3))</f>
        <v>1</v>
      </c>
      <c r="AC446" s="379" t="str">
        <f t="shared" si="78"/>
        <v>ND</v>
      </c>
      <c r="AD446" s="380" t="str">
        <f>IF($C$5="not necessary","no acute RA",IF(AC446="ND","no acute RA",IF(Table9[[#This Row],[IESTI new (mg/kg bw)]]&lt;&gt;"",AC446/$C$5,0)))</f>
        <v>no acute RA</v>
      </c>
      <c r="AE446" s="423" t="str">
        <f t="shared" si="72"/>
        <v/>
      </c>
      <c r="AF446" s="423" t="str">
        <f t="shared" si="73"/>
        <v/>
      </c>
      <c r="AG446" s="381" t="str">
        <f>IF(OR(Z446=0,Z446="ND",Z446="",$C$5="not necessary"),"",IF(X446="2a",1000*$C$5*R446/Table9[[#This Row],[Processing factor]]/(T446*Y446+S446-T446),IF(X446="2b",1000*$C$5*R446/Table9[[#This Row],[Processing factor]]/S446/Y446,IF(OR(X446=1,X446=3),1000*$C$5*R446/Table9[[#This Row],[Processing factor]]/S446,""))))</f>
        <v/>
      </c>
      <c r="AH446" s="495" t="str">
        <f>IF(OR(AC446=0,AC446="ND",$C$5="not necessary"),"",1000*$C$5*R446/Table9[[#This Row],[Processing factor]]/S446/AB446)</f>
        <v/>
      </c>
      <c r="AK446" s="651"/>
    </row>
    <row r="447" spans="1:37" x14ac:dyDescent="0.2">
      <c r="A447" s="506"/>
      <c r="B447" s="23">
        <v>232030</v>
      </c>
      <c r="C447" s="325" t="s">
        <v>399</v>
      </c>
      <c r="D447" s="373" t="str">
        <f>VLOOKUP(C447,input_values!$C$412:$BG$538,input_values!$BG$410-2,0)</f>
        <v>PROC-232030-3</v>
      </c>
      <c r="E447" s="567">
        <f>VLOOKUP(B447,input_values!$B$412:$M$538,4,FALSE)</f>
        <v>0</v>
      </c>
      <c r="F447" s="451" t="str">
        <f>VLOOKUP($D447,Table6[[Identifyer]:[Acute RA IESTI new input value]],input_values!$Q$410,FALSE)</f>
        <v/>
      </c>
      <c r="G447" s="451" t="str">
        <f>VLOOKUP($D447,Table6[[Identifyer]:[Acute RA IESTI new input value]],input_values!$P$410,FALSE)</f>
        <v/>
      </c>
      <c r="H447" s="451">
        <f>VLOOKUP($D447,Table6[[Identifyer]:[Acute RA IESTI new input value]],input_values!$S$410,FALSE)</f>
        <v>0</v>
      </c>
      <c r="I447" s="451" t="str">
        <f>VLOOKUP($D447,Table6[[Identifyer]:[Acute RA IESTI new input value]],input_values!$R$410,FALSE)</f>
        <v/>
      </c>
      <c r="J447" s="65"/>
      <c r="K447" s="301">
        <f t="shared" si="75"/>
        <v>5</v>
      </c>
      <c r="L447" s="301" t="str">
        <f>VLOOKUP(D447,input_values!$A$412:$BB$538,input_values!$AA$410,FALSE)</f>
        <v/>
      </c>
      <c r="M447" s="302">
        <f>VLOOKUP(D447,input_values!$A$412:$BB$538,input_values!$Y$410,FALSE)</f>
        <v>1</v>
      </c>
      <c r="N447" s="302" t="str">
        <f>IF(VLOOKUP(D447,input_values!$A$412:$BB$538,input_values!$L$410,FALSE)&lt;&gt;"",VLOOKUP(D447,input_values!$A$412:$BB$538,input_values!$L$410,FALSE),"")</f>
        <v/>
      </c>
      <c r="O447" s="339">
        <v>5.3009118541033438</v>
      </c>
      <c r="P447" s="375">
        <v>97.5</v>
      </c>
      <c r="Q447" s="21" t="s">
        <v>99</v>
      </c>
      <c r="R447" s="377">
        <v>65.8</v>
      </c>
      <c r="S447" s="326">
        <f t="shared" si="74"/>
        <v>348.8</v>
      </c>
      <c r="T447" s="376">
        <v>289</v>
      </c>
      <c r="U447" s="1453" t="s">
        <v>215</v>
      </c>
      <c r="V447" s="376">
        <v>335</v>
      </c>
      <c r="W447" s="376" t="s">
        <v>215</v>
      </c>
      <c r="X447" s="378" t="s">
        <v>1891</v>
      </c>
      <c r="Y447" s="64">
        <f>IF(OR(Table9[[#This Row],[Case]]=1,Table9[[#This Row],[Case]]=3),1,IF(N447="",K447,N447))</f>
        <v>5</v>
      </c>
      <c r="Z447" s="648" t="str">
        <f t="shared" si="76"/>
        <v>ND</v>
      </c>
      <c r="AA447" s="380" t="str">
        <f t="shared" si="77"/>
        <v>no acute RA</v>
      </c>
      <c r="AB447" s="64">
        <f>IF(OR(Table9[[#This Row],[Case]]=3,Table9[[#This Row],[Case]]=1),1,IF(Table9[[#This Row],[Variability factor for IESTI ]]&lt;3,Table9[[#This Row],[Variability factor for IESTI ]],3))</f>
        <v>3</v>
      </c>
      <c r="AC447" s="379" t="str">
        <f t="shared" si="78"/>
        <v>ND</v>
      </c>
      <c r="AD447" s="380" t="str">
        <f>IF($C$5="not necessary","no acute RA",IF(AC447="ND","no acute RA",IF(Table9[[#This Row],[IESTI new (mg/kg bw)]]&lt;&gt;"",AC447/$C$5,0)))</f>
        <v>no acute RA</v>
      </c>
      <c r="AE447" s="423" t="str">
        <f t="shared" si="72"/>
        <v/>
      </c>
      <c r="AF447" s="423" t="str">
        <f t="shared" si="73"/>
        <v/>
      </c>
      <c r="AG447" s="381" t="str">
        <f>IF(OR(Z447=0,Z447="ND",Z447="",$C$5="not necessary"),"",IF(X447="2a",1000*$C$5*R447/Table9[[#This Row],[Processing factor]]/(T447*Y447+S447-T447),IF(X447="2b",1000*$C$5*R447/Table9[[#This Row],[Processing factor]]/S447/Y447,IF(OR(X447=1,X447=3),1000*$C$5*R447/Table9[[#This Row],[Processing factor]]/S447,""))))</f>
        <v/>
      </c>
      <c r="AH447" s="495" t="str">
        <f>IF(OR(AC447=0,AC447="ND",$C$5="not necessary"),"",1000*$C$5*R447/Table9[[#This Row],[Processing factor]]/S447/AB447)</f>
        <v/>
      </c>
      <c r="AK447" s="651"/>
    </row>
    <row r="448" spans="1:37" x14ac:dyDescent="0.2">
      <c r="A448" s="506"/>
      <c r="B448" s="23">
        <v>233020</v>
      </c>
      <c r="C448" s="325" t="s">
        <v>400</v>
      </c>
      <c r="D448" s="373" t="str">
        <f>VLOOKUP(C448,input_values!$C$412:$BG$538,input_values!$BG$410-2,0)</f>
        <v>PROC-233020-3</v>
      </c>
      <c r="E448" s="567">
        <f>VLOOKUP(B448,input_values!$B$412:$M$538,4,FALSE)</f>
        <v>0</v>
      </c>
      <c r="F448" s="451" t="str">
        <f>VLOOKUP($D448,Table6[[Identifyer]:[Acute RA IESTI new input value]],input_values!$Q$410,FALSE)</f>
        <v/>
      </c>
      <c r="G448" s="451" t="str">
        <f>VLOOKUP($D448,Table6[[Identifyer]:[Acute RA IESTI new input value]],input_values!$P$410,FALSE)</f>
        <v/>
      </c>
      <c r="H448" s="451">
        <f>VLOOKUP($D448,Table6[[Identifyer]:[Acute RA IESTI new input value]],input_values!$S$410,FALSE)</f>
        <v>0</v>
      </c>
      <c r="I448" s="451" t="str">
        <f>VLOOKUP($D448,Table6[[Identifyer]:[Acute RA IESTI new input value]],input_values!$R$410,FALSE)</f>
        <v/>
      </c>
      <c r="J448" s="65"/>
      <c r="K448" s="301">
        <f t="shared" si="75"/>
        <v>5</v>
      </c>
      <c r="L448" s="301" t="str">
        <f>VLOOKUP(D448,input_values!$A$412:$BB$538,input_values!$AA$410,FALSE)</f>
        <v/>
      </c>
      <c r="M448" s="302">
        <f>VLOOKUP(D448,input_values!$A$412:$BB$538,input_values!$Y$410,FALSE)</f>
        <v>1</v>
      </c>
      <c r="N448" s="302" t="str">
        <f>IF(VLOOKUP(D448,input_values!$A$412:$BB$538,input_values!$L$410,FALSE)&lt;&gt;"",VLOOKUP(D448,input_values!$A$412:$BB$538,input_values!$L$410,FALSE),"")</f>
        <v/>
      </c>
      <c r="O448" s="339">
        <v>13.340425531914894</v>
      </c>
      <c r="P448" s="375" t="s">
        <v>349</v>
      </c>
      <c r="Q448" s="21" t="s">
        <v>99</v>
      </c>
      <c r="R448" s="377">
        <v>65.8</v>
      </c>
      <c r="S448" s="326">
        <f t="shared" si="74"/>
        <v>877.8</v>
      </c>
      <c r="T448" s="376">
        <v>689.3</v>
      </c>
      <c r="U448" s="1453" t="s">
        <v>215</v>
      </c>
      <c r="V448" s="376">
        <v>999</v>
      </c>
      <c r="W448" s="376" t="s">
        <v>215</v>
      </c>
      <c r="X448" s="378" t="s">
        <v>1891</v>
      </c>
      <c r="Y448" s="64">
        <f>IF(OR(Table9[[#This Row],[Case]]=1,Table9[[#This Row],[Case]]=3),1,IF(N448="",K448,N448))</f>
        <v>5</v>
      </c>
      <c r="Z448" s="648" t="str">
        <f t="shared" si="76"/>
        <v>ND</v>
      </c>
      <c r="AA448" s="380" t="str">
        <f t="shared" si="77"/>
        <v>no acute RA</v>
      </c>
      <c r="AB448" s="64">
        <f>IF(OR(Table9[[#This Row],[Case]]=3,Table9[[#This Row],[Case]]=1),1,IF(Table9[[#This Row],[Variability factor for IESTI ]]&lt;3,Table9[[#This Row],[Variability factor for IESTI ]],3))</f>
        <v>3</v>
      </c>
      <c r="AC448" s="379" t="str">
        <f t="shared" si="78"/>
        <v>ND</v>
      </c>
      <c r="AD448" s="380" t="str">
        <f>IF($C$5="not necessary","no acute RA",IF(AC448="ND","no acute RA",IF(Table9[[#This Row],[IESTI new (mg/kg bw)]]&lt;&gt;"",AC448/$C$5,0)))</f>
        <v>no acute RA</v>
      </c>
      <c r="AE448" s="423" t="str">
        <f t="shared" si="72"/>
        <v/>
      </c>
      <c r="AF448" s="423" t="str">
        <f t="shared" si="73"/>
        <v/>
      </c>
      <c r="AG448" s="381" t="str">
        <f>IF(OR(Z448=0,Z448="ND",Z448="",$C$5="not necessary"),"",IF(X448="2a",1000*$C$5*R448/Table9[[#This Row],[Processing factor]]/(T448*Y448+S448-T448),IF(X448="2b",1000*$C$5*R448/Table9[[#This Row],[Processing factor]]/S448/Y448,IF(OR(X448=1,X448=3),1000*$C$5*R448/Table9[[#This Row],[Processing factor]]/S448,""))))</f>
        <v/>
      </c>
      <c r="AH448" s="495" t="str">
        <f>IF(OR(AC448=0,AC448="ND",$C$5="not necessary"),"",1000*$C$5*R448/Table9[[#This Row],[Processing factor]]/S448/AB448)</f>
        <v/>
      </c>
      <c r="AK448" s="651"/>
    </row>
    <row r="449" spans="1:37" x14ac:dyDescent="0.2">
      <c r="A449" s="506"/>
      <c r="B449" s="23">
        <v>241010</v>
      </c>
      <c r="C449" s="325" t="s">
        <v>436</v>
      </c>
      <c r="D449" s="373" t="str">
        <f>VLOOKUP(C449,input_values!$C$412:$BG$538,input_values!$BG$410-2,0)</f>
        <v>PROC-241010-3</v>
      </c>
      <c r="E449" s="567">
        <f>VLOOKUP(B449,input_values!$B$412:$M$538,4,FALSE)</f>
        <v>0</v>
      </c>
      <c r="F449" s="451" t="str">
        <f>VLOOKUP($D449,Table6[[Identifyer]:[Acute RA IESTI new input value]],input_values!$Q$410,FALSE)</f>
        <v/>
      </c>
      <c r="G449" s="451" t="str">
        <f>VLOOKUP($D449,Table6[[Identifyer]:[Acute RA IESTI new input value]],input_values!$P$410,FALSE)</f>
        <v/>
      </c>
      <c r="H449" s="451">
        <f>VLOOKUP($D449,Table6[[Identifyer]:[Acute RA IESTI new input value]],input_values!$S$410,FALSE)</f>
        <v>0</v>
      </c>
      <c r="I449" s="451" t="str">
        <f>VLOOKUP($D449,Table6[[Identifyer]:[Acute RA IESTI new input value]],input_values!$R$410,FALSE)</f>
        <v/>
      </c>
      <c r="J449" s="65"/>
      <c r="K449" s="301">
        <f t="shared" si="75"/>
        <v>5</v>
      </c>
      <c r="L449" s="301" t="str">
        <f>VLOOKUP(D449,input_values!$A$412:$BB$538,input_values!$AA$410,FALSE)</f>
        <v/>
      </c>
      <c r="M449" s="302">
        <f>VLOOKUP(D449,input_values!$A$412:$BB$538,input_values!$Y$410,FALSE)</f>
        <v>1</v>
      </c>
      <c r="N449" s="302" t="str">
        <f>IF(VLOOKUP(D449,input_values!$A$412:$BB$538,input_values!$L$410,FALSE)&lt;&gt;"",VLOOKUP(D449,input_values!$A$412:$BB$538,input_values!$L$410,FALSE),"")</f>
        <v/>
      </c>
      <c r="O449" s="339">
        <v>6.6869300911854106</v>
      </c>
      <c r="P449" s="375">
        <v>97.5</v>
      </c>
      <c r="Q449" s="21" t="s">
        <v>99</v>
      </c>
      <c r="R449" s="377">
        <v>65.8</v>
      </c>
      <c r="S449" s="326">
        <f t="shared" si="74"/>
        <v>440</v>
      </c>
      <c r="T449" s="376">
        <v>286</v>
      </c>
      <c r="U449" s="1453" t="s">
        <v>215</v>
      </c>
      <c r="V449" s="376">
        <v>320</v>
      </c>
      <c r="W449" s="376" t="s">
        <v>215</v>
      </c>
      <c r="X449" s="378" t="s">
        <v>1891</v>
      </c>
      <c r="Y449" s="64">
        <f>IF(OR(Table9[[#This Row],[Case]]=1,Table9[[#This Row],[Case]]=3),1,IF(N449="",K449,N449))</f>
        <v>5</v>
      </c>
      <c r="Z449" s="648" t="str">
        <f t="shared" si="76"/>
        <v>ND</v>
      </c>
      <c r="AA449" s="380" t="str">
        <f t="shared" si="77"/>
        <v>no acute RA</v>
      </c>
      <c r="AB449" s="64">
        <f>IF(OR(Table9[[#This Row],[Case]]=3,Table9[[#This Row],[Case]]=1),1,IF(Table9[[#This Row],[Variability factor for IESTI ]]&lt;3,Table9[[#This Row],[Variability factor for IESTI ]],3))</f>
        <v>3</v>
      </c>
      <c r="AC449" s="379" t="str">
        <f t="shared" si="78"/>
        <v>ND</v>
      </c>
      <c r="AD449" s="380" t="str">
        <f>IF($C$5="not necessary","no acute RA",IF(AC449="ND","no acute RA",IF(Table9[[#This Row],[IESTI new (mg/kg bw)]]&lt;&gt;"",AC449/$C$5,0)))</f>
        <v>no acute RA</v>
      </c>
      <c r="AE449" s="423" t="str">
        <f t="shared" si="72"/>
        <v/>
      </c>
      <c r="AF449" s="423" t="str">
        <f t="shared" si="73"/>
        <v/>
      </c>
      <c r="AG449" s="381" t="str">
        <f>IF(OR(Z449=0,Z449="ND",Z449="",$C$5="not necessary"),"",IF(X449="2a",1000*$C$5*R449/Table9[[#This Row],[Processing factor]]/(T449*Y449+S449-T449),IF(X449="2b",1000*$C$5*R449/Table9[[#This Row],[Processing factor]]/S449/Y449,IF(OR(X449=1,X449=3),1000*$C$5*R449/Table9[[#This Row],[Processing factor]]/S449,""))))</f>
        <v/>
      </c>
      <c r="AH449" s="495" t="str">
        <f>IF(OR(AC449=0,AC449="ND",$C$5="not necessary"),"",1000*$C$5*R449/Table9[[#This Row],[Processing factor]]/S449/AB449)</f>
        <v/>
      </c>
      <c r="AK449" s="651"/>
    </row>
    <row r="450" spans="1:37" x14ac:dyDescent="0.2">
      <c r="A450" s="506"/>
      <c r="B450" s="23">
        <v>241020</v>
      </c>
      <c r="C450" s="325" t="s">
        <v>828</v>
      </c>
      <c r="D450" s="373" t="str">
        <f>VLOOKUP(C450,input_values!$C$412:$BG$538,input_values!$BG$410-2,0)</f>
        <v>PROC-241020-3</v>
      </c>
      <c r="E450" s="567">
        <f>VLOOKUP(B450,input_values!$B$412:$M$538,4,FALSE)</f>
        <v>0</v>
      </c>
      <c r="F450" s="451" t="str">
        <f>VLOOKUP($D450,Table6[[Identifyer]:[Acute RA IESTI new input value]],input_values!$Q$410,FALSE)</f>
        <v/>
      </c>
      <c r="G450" s="451" t="str">
        <f>VLOOKUP($D450,Table6[[Identifyer]:[Acute RA IESTI new input value]],input_values!$P$410,FALSE)</f>
        <v/>
      </c>
      <c r="H450" s="451">
        <f>VLOOKUP($D450,Table6[[Identifyer]:[Acute RA IESTI new input value]],input_values!$S$410,FALSE)</f>
        <v>0</v>
      </c>
      <c r="I450" s="451" t="str">
        <f>VLOOKUP($D450,Table6[[Identifyer]:[Acute RA IESTI new input value]],input_values!$R$410,FALSE)</f>
        <v/>
      </c>
      <c r="J450" s="65"/>
      <c r="K450" s="301">
        <f t="shared" si="75"/>
        <v>5</v>
      </c>
      <c r="L450" s="301" t="str">
        <f>VLOOKUP(D450,input_values!$A$412:$BB$538,input_values!$AA$410,FALSE)</f>
        <v/>
      </c>
      <c r="M450" s="302">
        <f>VLOOKUP(D450,input_values!$A$412:$BB$538,input_values!$Y$410,FALSE)</f>
        <v>1</v>
      </c>
      <c r="N450" s="302" t="str">
        <f>IF(VLOOKUP(D450,input_values!$A$412:$BB$538,input_values!$L$410,FALSE)&lt;&gt;"",VLOOKUP(D450,input_values!$A$412:$BB$538,input_values!$L$410,FALSE),"")</f>
        <v/>
      </c>
      <c r="O450" s="339">
        <v>8.3328267477203646</v>
      </c>
      <c r="P450" s="375">
        <v>97.5</v>
      </c>
      <c r="Q450" s="21" t="s">
        <v>99</v>
      </c>
      <c r="R450" s="377">
        <v>65.8</v>
      </c>
      <c r="S450" s="326">
        <f t="shared" si="74"/>
        <v>548.29999999999995</v>
      </c>
      <c r="T450" s="376">
        <v>749</v>
      </c>
      <c r="U450" s="1453" t="s">
        <v>215</v>
      </c>
      <c r="V450" s="376">
        <v>797</v>
      </c>
      <c r="W450" s="376" t="s">
        <v>215</v>
      </c>
      <c r="X450" s="378" t="s">
        <v>1892</v>
      </c>
      <c r="Y450" s="64">
        <f>IF(OR(Table9[[#This Row],[Case]]=1,Table9[[#This Row],[Case]]=3),1,IF(N450="",K450,N450))</f>
        <v>5</v>
      </c>
      <c r="Z450" s="648" t="str">
        <f t="shared" si="76"/>
        <v>ND</v>
      </c>
      <c r="AA450" s="380" t="str">
        <f t="shared" si="77"/>
        <v>no acute RA</v>
      </c>
      <c r="AB450" s="64">
        <f>IF(OR(Table9[[#This Row],[Case]]=3,Table9[[#This Row],[Case]]=1),1,IF(Table9[[#This Row],[Variability factor for IESTI ]]&lt;3,Table9[[#This Row],[Variability factor for IESTI ]],3))</f>
        <v>3</v>
      </c>
      <c r="AC450" s="379" t="str">
        <f t="shared" si="78"/>
        <v>ND</v>
      </c>
      <c r="AD450" s="380" t="str">
        <f>IF($C$5="not necessary","no acute RA",IF(AC450="ND","no acute RA",IF(Table9[[#This Row],[IESTI new (mg/kg bw)]]&lt;&gt;"",AC450/$C$5,0)))</f>
        <v>no acute RA</v>
      </c>
      <c r="AE450" s="423" t="str">
        <f t="shared" si="72"/>
        <v/>
      </c>
      <c r="AF450" s="423" t="str">
        <f t="shared" si="73"/>
        <v/>
      </c>
      <c r="AG450" s="381" t="str">
        <f>IF(OR(Z450=0,Z450="ND",Z450="",$C$5="not necessary"),"",IF(X450="2a",1000*$C$5*R450/Table9[[#This Row],[Processing factor]]/(T450*Y450+S450-T450),IF(X450="2b",1000*$C$5*R450/Table9[[#This Row],[Processing factor]]/S450/Y450,IF(OR(X450=1,X450=3),1000*$C$5*R450/Table9[[#This Row],[Processing factor]]/S450,""))))</f>
        <v/>
      </c>
      <c r="AH450" s="495" t="str">
        <f>IF(OR(AC450=0,AC450="ND",$C$5="not necessary"),"",1000*$C$5*R450/Table9[[#This Row],[Processing factor]]/S450/AB450)</f>
        <v/>
      </c>
      <c r="AK450" s="651"/>
    </row>
    <row r="451" spans="1:37" x14ac:dyDescent="0.2">
      <c r="A451" s="506"/>
      <c r="B451" s="23">
        <v>242020</v>
      </c>
      <c r="C451" s="325" t="s">
        <v>830</v>
      </c>
      <c r="D451" s="373" t="str">
        <f>VLOOKUP(C451,input_values!$C$412:$BG$538,input_values!$BG$410-2,0)</f>
        <v>PROC-242020-5</v>
      </c>
      <c r="E451" s="567">
        <f>VLOOKUP(B451,input_values!$B$412:$M$538,4,FALSE)</f>
        <v>0</v>
      </c>
      <c r="F451" s="451" t="str">
        <f>VLOOKUP($D451,Table6[[Identifyer]:[Acute RA IESTI new input value]],input_values!$Q$410,FALSE)</f>
        <v/>
      </c>
      <c r="G451" s="451" t="str">
        <f>VLOOKUP($D451,Table6[[Identifyer]:[Acute RA IESTI new input value]],input_values!$P$410,FALSE)</f>
        <v/>
      </c>
      <c r="H451" s="451">
        <f>VLOOKUP($D451,Table6[[Identifyer]:[Acute RA IESTI new input value]],input_values!$S$410,FALSE)</f>
        <v>0</v>
      </c>
      <c r="I451" s="451" t="str">
        <f>VLOOKUP($D451,Table6[[Identifyer]:[Acute RA IESTI new input value]],input_values!$R$410,FALSE)</f>
        <v/>
      </c>
      <c r="J451" s="65"/>
      <c r="K451" s="301">
        <f t="shared" si="75"/>
        <v>1</v>
      </c>
      <c r="L451" s="301" t="str">
        <f>VLOOKUP(D451,input_values!$A$412:$BB$538,input_values!$AA$410,FALSE)</f>
        <v/>
      </c>
      <c r="M451" s="302">
        <f>VLOOKUP(D451,input_values!$A$412:$BB$538,input_values!$Y$410,FALSE)</f>
        <v>1</v>
      </c>
      <c r="N451" s="374" t="str">
        <f>IF(VLOOKUP(D451,input_values!$A$412:$BB$538,input_values!$L$410,FALSE)&lt;&gt;"",VLOOKUP(D451,input_values!$A$412:$BB$538,input_values!$L$410,FALSE),"")</f>
        <v/>
      </c>
      <c r="O451" s="339">
        <v>9.4039999999999999</v>
      </c>
      <c r="P451" s="375">
        <v>97.5</v>
      </c>
      <c r="Q451" s="21" t="s">
        <v>99</v>
      </c>
      <c r="R451" s="377">
        <v>65.8</v>
      </c>
      <c r="S451" s="326">
        <f t="shared" si="74"/>
        <v>618.78319999999997</v>
      </c>
      <c r="T451" s="377"/>
      <c r="U451" s="377"/>
      <c r="V451" s="377"/>
      <c r="W451" s="377"/>
      <c r="X451" s="378">
        <v>3</v>
      </c>
      <c r="Y451" s="64">
        <f>IF(OR(Table9[[#This Row],[Case]]=1,Table9[[#This Row],[Case]]=3),1,IF(N451="",K451,N451))</f>
        <v>1</v>
      </c>
      <c r="Z451" s="648" t="str">
        <f t="shared" si="76"/>
        <v>ND</v>
      </c>
      <c r="AA451" s="380" t="str">
        <f t="shared" si="77"/>
        <v>no acute RA</v>
      </c>
      <c r="AB451" s="64">
        <f>IF(OR(Table9[[#This Row],[Case]]=3,Table9[[#This Row],[Case]]=1),1,IF(Table9[[#This Row],[Variability factor for IESTI ]]&lt;3,Table9[[#This Row],[Variability factor for IESTI ]],3))</f>
        <v>1</v>
      </c>
      <c r="AC451" s="379" t="str">
        <f t="shared" si="78"/>
        <v>ND</v>
      </c>
      <c r="AD451" s="380" t="str">
        <f>IF($C$5="not necessary","no acute RA",IF(AC451="ND","no acute RA",IF(Table9[[#This Row],[IESTI new (mg/kg bw)]]&lt;&gt;"",AC451/$C$5,0)))</f>
        <v>no acute RA</v>
      </c>
      <c r="AE451" s="423" t="str">
        <f t="shared" si="72"/>
        <v/>
      </c>
      <c r="AF451" s="423" t="str">
        <f t="shared" si="73"/>
        <v/>
      </c>
      <c r="AG451" s="381" t="str">
        <f>IF(OR(Z451=0,Z451="ND",Z451="",$C$5="not necessary"),"",IF(X451="2a",1000*$C$5*R451/Table9[[#This Row],[Processing factor]]/(T451*Y451+S451-T451),IF(X451="2b",1000*$C$5*R451/Table9[[#This Row],[Processing factor]]/S451/Y451,IF(OR(X451=1,X451=3),1000*$C$5*R451/Table9[[#This Row],[Processing factor]]/S451,""))))</f>
        <v/>
      </c>
      <c r="AH451" s="495" t="str">
        <f>IF(OR(AC451=0,AC451="ND",$C$5="not necessary"),"",1000*$C$5*R451/Table9[[#This Row],[Processing factor]]/S451/AB451)</f>
        <v/>
      </c>
      <c r="AK451" s="651"/>
    </row>
    <row r="452" spans="1:37" x14ac:dyDescent="0.2">
      <c r="A452" s="506"/>
      <c r="B452" s="23">
        <v>244000</v>
      </c>
      <c r="C452" s="325" t="s">
        <v>831</v>
      </c>
      <c r="D452" s="373" t="str">
        <f>VLOOKUP(C452,input_values!$C$412:$BG$538,input_values!$BG$410-2,0)</f>
        <v>PROC-244000-3</v>
      </c>
      <c r="E452" s="567">
        <f>VLOOKUP(B452,input_values!$B$412:$M$538,4,FALSE)</f>
        <v>0</v>
      </c>
      <c r="F452" s="451" t="str">
        <f>VLOOKUP($D452,Table6[[Identifyer]:[Acute RA IESTI new input value]],input_values!$Q$410,FALSE)</f>
        <v/>
      </c>
      <c r="G452" s="451" t="str">
        <f>VLOOKUP($D452,Table6[[Identifyer]:[Acute RA IESTI new input value]],input_values!$P$410,FALSE)</f>
        <v/>
      </c>
      <c r="H452" s="451">
        <f>VLOOKUP($D452,Table6[[Identifyer]:[Acute RA IESTI new input value]],input_values!$S$410,FALSE)</f>
        <v>0</v>
      </c>
      <c r="I452" s="451" t="str">
        <f>VLOOKUP($D452,Table6[[Identifyer]:[Acute RA IESTI new input value]],input_values!$R$410,FALSE)</f>
        <v/>
      </c>
      <c r="J452" s="65"/>
      <c r="K452" s="301">
        <f t="shared" si="75"/>
        <v>7</v>
      </c>
      <c r="L452" s="301" t="str">
        <f>VLOOKUP(D452,input_values!$A$412:$BB$538,input_values!$AA$410,FALSE)</f>
        <v/>
      </c>
      <c r="M452" s="302">
        <f>VLOOKUP(D452,input_values!$A$412:$BB$538,input_values!$Y$410,FALSE)</f>
        <v>1</v>
      </c>
      <c r="N452" s="302" t="str">
        <f>IF(VLOOKUP(D452,input_values!$A$412:$BB$538,input_values!$L$410,FALSE)&lt;&gt;"",VLOOKUP(D452,input_values!$A$412:$BB$538,input_values!$L$410,FALSE),"")</f>
        <v/>
      </c>
      <c r="O452" s="339">
        <v>3.0395136778115699</v>
      </c>
      <c r="P452" s="375" t="s">
        <v>349</v>
      </c>
      <c r="Q452" s="21" t="s">
        <v>99</v>
      </c>
      <c r="R452" s="377">
        <v>65.8</v>
      </c>
      <c r="S452" s="326">
        <f t="shared" si="74"/>
        <v>200.00000000000128</v>
      </c>
      <c r="T452" s="376">
        <v>210</v>
      </c>
      <c r="U452" s="1453" t="s">
        <v>215</v>
      </c>
      <c r="V452" s="376">
        <v>210</v>
      </c>
      <c r="W452" s="376" t="s">
        <v>215</v>
      </c>
      <c r="X452" s="378" t="s">
        <v>1892</v>
      </c>
      <c r="Y452" s="64">
        <f>IF(OR(Table9[[#This Row],[Case]]=1,Table9[[#This Row],[Case]]=3),1,IF(N452="",K452,N452))</f>
        <v>7</v>
      </c>
      <c r="Z452" s="648" t="str">
        <f t="shared" si="76"/>
        <v>ND</v>
      </c>
      <c r="AA452" s="380" t="str">
        <f t="shared" si="77"/>
        <v>no acute RA</v>
      </c>
      <c r="AB452" s="64">
        <f>IF(OR(Table9[[#This Row],[Case]]=3,Table9[[#This Row],[Case]]=1),1,IF(Table9[[#This Row],[Variability factor for IESTI ]]&lt;3,Table9[[#This Row],[Variability factor for IESTI ]],3))</f>
        <v>3</v>
      </c>
      <c r="AC452" s="379" t="str">
        <f t="shared" si="78"/>
        <v>ND</v>
      </c>
      <c r="AD452" s="380" t="str">
        <f>IF($C$5="not necessary","no acute RA",IF(AC452="ND","no acute RA",IF(Table9[[#This Row],[IESTI new (mg/kg bw)]]&lt;&gt;"",AC452/$C$5,0)))</f>
        <v>no acute RA</v>
      </c>
      <c r="AE452" s="423" t="str">
        <f t="shared" si="72"/>
        <v/>
      </c>
      <c r="AF452" s="423" t="str">
        <f t="shared" si="73"/>
        <v/>
      </c>
      <c r="AG452" s="381" t="str">
        <f>IF(OR(Z452=0,Z452="ND",Z452="",$C$5="not necessary"),"",IF(X452="2a",1000*$C$5*R452/Table9[[#This Row],[Processing factor]]/(T452*Y452+S452-T452),IF(X452="2b",1000*$C$5*R452/Table9[[#This Row],[Processing factor]]/S452/Y452,IF(OR(X452=1,X452=3),1000*$C$5*R452/Table9[[#This Row],[Processing factor]]/S452,""))))</f>
        <v/>
      </c>
      <c r="AH452" s="495" t="str">
        <f>IF(OR(AC452=0,AC452="ND",$C$5="not necessary"),"",1000*$C$5*R452/Table9[[#This Row],[Processing factor]]/S452/AB452)</f>
        <v/>
      </c>
      <c r="AK452" s="651"/>
    </row>
    <row r="453" spans="1:37" ht="14.45" customHeight="1" x14ac:dyDescent="0.2">
      <c r="A453" s="506"/>
      <c r="B453" s="23">
        <v>251030</v>
      </c>
      <c r="C453" s="165" t="s">
        <v>850</v>
      </c>
      <c r="D453" s="373" t="str">
        <f>VLOOKUP(C453,input_values!$C$412:$BG$538,input_values!$BG$410-2,0)</f>
        <v>PROC-251030-3</v>
      </c>
      <c r="E453" s="567">
        <f>VLOOKUP(B453,input_values!$B$412:$M$538,4,FALSE)</f>
        <v>0</v>
      </c>
      <c r="F453" s="451" t="str">
        <f>VLOOKUP($D453,Table6[[Identifyer]:[Acute RA IESTI new input value]],input_values!$Q$410,FALSE)</f>
        <v/>
      </c>
      <c r="G453" s="451" t="str">
        <f>VLOOKUP($D453,Table6[[Identifyer]:[Acute RA IESTI new input value]],input_values!$P$410,FALSE)</f>
        <v/>
      </c>
      <c r="H453" s="451">
        <f>VLOOKUP($D453,Table6[[Identifyer]:[Acute RA IESTI new input value]],input_values!$S$410,FALSE)</f>
        <v>0</v>
      </c>
      <c r="I453" s="451" t="str">
        <f>VLOOKUP($D453,Table6[[Identifyer]:[Acute RA IESTI new input value]],input_values!$R$410,FALSE)</f>
        <v/>
      </c>
      <c r="J453" s="65"/>
      <c r="K453" s="301">
        <f t="shared" si="75"/>
        <v>5</v>
      </c>
      <c r="L453" s="301" t="str">
        <f>VLOOKUP(D453,input_values!$A$412:$BB$538,input_values!$AA$410,FALSE)</f>
        <v/>
      </c>
      <c r="M453" s="302">
        <f>VLOOKUP(D453,input_values!$A$412:$BB$538,input_values!$Y$410,FALSE)</f>
        <v>1</v>
      </c>
      <c r="N453" s="302" t="str">
        <f>IF(VLOOKUP(D453,input_values!$A$412:$BB$538,input_values!$L$410,FALSE)&lt;&gt;"",VLOOKUP(D453,input_values!$A$412:$BB$538,input_values!$L$410,FALSE),"")</f>
        <v/>
      </c>
      <c r="O453" s="339">
        <v>5.179331306990882</v>
      </c>
      <c r="P453" s="375">
        <v>97.5</v>
      </c>
      <c r="Q453" s="21" t="s">
        <v>99</v>
      </c>
      <c r="R453" s="377">
        <v>65.8</v>
      </c>
      <c r="S453" s="326">
        <f t="shared" si="74"/>
        <v>340.8</v>
      </c>
      <c r="T453" s="376">
        <v>251</v>
      </c>
      <c r="U453" s="1453" t="s">
        <v>215</v>
      </c>
      <c r="V453" s="376">
        <v>431</v>
      </c>
      <c r="W453" s="376" t="s">
        <v>215</v>
      </c>
      <c r="X453" s="378" t="s">
        <v>1891</v>
      </c>
      <c r="Y453" s="64">
        <f>IF(OR(Table9[[#This Row],[Case]]=1,Table9[[#This Row],[Case]]=3),1,IF(N453="",K453,N453))</f>
        <v>5</v>
      </c>
      <c r="Z453" s="648" t="str">
        <f t="shared" si="76"/>
        <v>ND</v>
      </c>
      <c r="AA453" s="380" t="str">
        <f t="shared" si="77"/>
        <v>no acute RA</v>
      </c>
      <c r="AB453" s="64">
        <f>IF(OR(Table9[[#This Row],[Case]]=3,Table9[[#This Row],[Case]]=1),1,IF(Table9[[#This Row],[Variability factor for IESTI ]]&lt;3,Table9[[#This Row],[Variability factor for IESTI ]],3))</f>
        <v>3</v>
      </c>
      <c r="AC453" s="379" t="str">
        <f t="shared" si="78"/>
        <v>ND</v>
      </c>
      <c r="AD453" s="380" t="str">
        <f>IF($C$5="not necessary","no acute RA",IF(AC453="ND","no acute RA",IF(Table9[[#This Row],[IESTI new (mg/kg bw)]]&lt;&gt;"",AC453/$C$5,0)))</f>
        <v>no acute RA</v>
      </c>
      <c r="AE453" s="423" t="str">
        <f t="shared" si="72"/>
        <v/>
      </c>
      <c r="AF453" s="423" t="str">
        <f t="shared" si="73"/>
        <v/>
      </c>
      <c r="AG453" s="381" t="str">
        <f>IF(OR(Z453=0,Z453="ND",Z453="",$C$5="not necessary"),"",IF(X453="2a",1000*$C$5*R453/Table9[[#This Row],[Processing factor]]/(T453*Y453+S453-T453),IF(X453="2b",1000*$C$5*R453/Table9[[#This Row],[Processing factor]]/S453/Y453,IF(OR(X453=1,X453=3),1000*$C$5*R453/Table9[[#This Row],[Processing factor]]/S453,""))))</f>
        <v/>
      </c>
      <c r="AH453" s="495" t="str">
        <f>IF(OR(AC453=0,AC453="ND",$C$5="not necessary"),"",1000*$C$5*R453/Table9[[#This Row],[Processing factor]]/S453/AB453)</f>
        <v/>
      </c>
      <c r="AK453" s="651"/>
    </row>
    <row r="454" spans="1:37" x14ac:dyDescent="0.2">
      <c r="A454" s="506"/>
      <c r="B454" s="23">
        <v>252010</v>
      </c>
      <c r="C454" s="325" t="s">
        <v>1145</v>
      </c>
      <c r="D454" s="373" t="str">
        <f>VLOOKUP(C454,input_values!$C$412:$BG$538,input_values!$BG$410-2,0)</f>
        <v>PROC-252010-3</v>
      </c>
      <c r="E454" s="567">
        <f>VLOOKUP(B454,input_values!$B$412:$M$538,4,FALSE)</f>
        <v>0</v>
      </c>
      <c r="F454" s="451" t="str">
        <f>VLOOKUP($D454,Table6[[Identifyer]:[Acute RA IESTI new input value]],input_values!$Q$410,FALSE)</f>
        <v/>
      </c>
      <c r="G454" s="451" t="str">
        <f>VLOOKUP($D454,Table6[[Identifyer]:[Acute RA IESTI new input value]],input_values!$P$410,FALSE)</f>
        <v/>
      </c>
      <c r="H454" s="451">
        <f>VLOOKUP($D454,Table6[[Identifyer]:[Acute RA IESTI new input value]],input_values!$S$410,FALSE)</f>
        <v>0</v>
      </c>
      <c r="I454" s="451" t="str">
        <f>VLOOKUP($D454,Table6[[Identifyer]:[Acute RA IESTI new input value]],input_values!$R$410,FALSE)</f>
        <v/>
      </c>
      <c r="J454" s="65"/>
      <c r="K454" s="301">
        <f t="shared" si="75"/>
        <v>1</v>
      </c>
      <c r="L454" s="301" t="str">
        <f>VLOOKUP(D454,input_values!$A$412:$BB$538,input_values!$AA$410,FALSE)</f>
        <v/>
      </c>
      <c r="M454" s="302">
        <f>VLOOKUP(D454,input_values!$A$412:$BB$538,input_values!$Y$410,FALSE)</f>
        <v>1</v>
      </c>
      <c r="N454" s="374" t="str">
        <f>IF(VLOOKUP(D454,input_values!$A$412:$BB$538,input_values!$L$410,FALSE)&lt;&gt;"",VLOOKUP(D454,input_values!$A$412:$BB$538,input_values!$L$410,FALSE),"")</f>
        <v/>
      </c>
      <c r="O454" s="339">
        <v>8.2765957446808525</v>
      </c>
      <c r="P454" s="375">
        <v>97.5</v>
      </c>
      <c r="Q454" s="21" t="s">
        <v>99</v>
      </c>
      <c r="R454" s="377">
        <v>65.8</v>
      </c>
      <c r="S454" s="326">
        <f t="shared" si="74"/>
        <v>544.6</v>
      </c>
      <c r="T454" s="377"/>
      <c r="U454" s="377"/>
      <c r="V454" s="377"/>
      <c r="W454" s="377"/>
      <c r="X454" s="378">
        <v>1</v>
      </c>
      <c r="Y454" s="64">
        <f>IF(OR(Table9[[#This Row],[Case]]=1,Table9[[#This Row],[Case]]=3),1,IF(N454="",K454,N454))</f>
        <v>1</v>
      </c>
      <c r="Z454" s="648" t="str">
        <f t="shared" si="76"/>
        <v>ND</v>
      </c>
      <c r="AA454" s="380" t="str">
        <f t="shared" si="77"/>
        <v>no acute RA</v>
      </c>
      <c r="AB454" s="64">
        <f>IF(OR(Table9[[#This Row],[Case]]=3,Table9[[#This Row],[Case]]=1),1,IF(Table9[[#This Row],[Variability factor for IESTI ]]&lt;3,Table9[[#This Row],[Variability factor for IESTI ]],3))</f>
        <v>1</v>
      </c>
      <c r="AC454" s="379" t="str">
        <f t="shared" si="78"/>
        <v>ND</v>
      </c>
      <c r="AD454" s="380" t="str">
        <f>IF($C$5="not necessary","no acute RA",IF(AC454="ND","no acute RA",IF(Table9[[#This Row],[IESTI new (mg/kg bw)]]&lt;&gt;"",AC454/$C$5,0)))</f>
        <v>no acute RA</v>
      </c>
      <c r="AE454" s="423" t="str">
        <f t="shared" si="72"/>
        <v/>
      </c>
      <c r="AF454" s="423" t="str">
        <f t="shared" si="73"/>
        <v/>
      </c>
      <c r="AG454" s="381" t="str">
        <f>IF(OR(Z454=0,Z454="ND",Z454="",$C$5="not necessary"),"",IF(X454="2a",1000*$C$5*R454/Table9[[#This Row],[Processing factor]]/(T454*Y454+S454-T454),IF(X454="2b",1000*$C$5*R454/Table9[[#This Row],[Processing factor]]/S454/Y454,IF(OR(X454=1,X454=3),1000*$C$5*R454/Table9[[#This Row],[Processing factor]]/S454,""))))</f>
        <v/>
      </c>
      <c r="AH454" s="495" t="str">
        <f>IF(OR(AC454=0,AC454="ND",$C$5="not necessary"),"",1000*$C$5*R454/Table9[[#This Row],[Processing factor]]/S454/AB454)</f>
        <v/>
      </c>
      <c r="AK454" s="651"/>
    </row>
    <row r="455" spans="1:37" x14ac:dyDescent="0.2">
      <c r="A455" s="506"/>
      <c r="B455" s="23">
        <v>252020</v>
      </c>
      <c r="C455" s="325" t="s">
        <v>832</v>
      </c>
      <c r="D455" s="373" t="str">
        <f>VLOOKUP(C455,input_values!$C$412:$BG$538,input_values!$BG$410-2,0)</f>
        <v>PROC-252020-3</v>
      </c>
      <c r="E455" s="567">
        <f>VLOOKUP(B455,input_values!$B$412:$M$538,4,FALSE)</f>
        <v>0</v>
      </c>
      <c r="F455" s="451" t="str">
        <f>VLOOKUP($D455,Table6[[Identifyer]:[Acute RA IESTI new input value]],input_values!$Q$410,FALSE)</f>
        <v/>
      </c>
      <c r="G455" s="451" t="str">
        <f>VLOOKUP($D455,Table6[[Identifyer]:[Acute RA IESTI new input value]],input_values!$P$410,FALSE)</f>
        <v/>
      </c>
      <c r="H455" s="451">
        <f>VLOOKUP($D455,Table6[[Identifyer]:[Acute RA IESTI new input value]],input_values!$S$410,FALSE)</f>
        <v>0</v>
      </c>
      <c r="I455" s="451" t="str">
        <f>VLOOKUP($D455,Table6[[Identifyer]:[Acute RA IESTI new input value]],input_values!$R$410,FALSE)</f>
        <v/>
      </c>
      <c r="J455" s="65"/>
      <c r="K455" s="301">
        <f t="shared" si="75"/>
        <v>1</v>
      </c>
      <c r="L455" s="301" t="str">
        <f>VLOOKUP(D455,input_values!$A$412:$BB$538,input_values!$AA$410,FALSE)</f>
        <v/>
      </c>
      <c r="M455" s="302">
        <f>VLOOKUP(D455,input_values!$A$412:$BB$538,input_values!$Y$410,FALSE)</f>
        <v>1</v>
      </c>
      <c r="N455" s="374" t="str">
        <f>IF(VLOOKUP(D455,input_values!$A$412:$BB$538,input_values!$L$410,FALSE)&lt;&gt;"",VLOOKUP(D455,input_values!$A$412:$BB$538,input_values!$L$410,FALSE),"")</f>
        <v/>
      </c>
      <c r="O455" s="339">
        <v>4.1215805471124618</v>
      </c>
      <c r="P455" s="375" t="s">
        <v>349</v>
      </c>
      <c r="Q455" s="21" t="s">
        <v>99</v>
      </c>
      <c r="R455" s="377">
        <v>65.8</v>
      </c>
      <c r="S455" s="326">
        <f t="shared" si="74"/>
        <v>271.2</v>
      </c>
      <c r="T455" s="377"/>
      <c r="U455" s="377"/>
      <c r="V455" s="377"/>
      <c r="W455" s="377"/>
      <c r="X455" s="378">
        <v>1</v>
      </c>
      <c r="Y455" s="64">
        <f>IF(OR(Table9[[#This Row],[Case]]=1,Table9[[#This Row],[Case]]=3),1,IF(N455="",K455,N455))</f>
        <v>1</v>
      </c>
      <c r="Z455" s="648" t="str">
        <f t="shared" si="76"/>
        <v>ND</v>
      </c>
      <c r="AA455" s="380" t="str">
        <f t="shared" si="77"/>
        <v>no acute RA</v>
      </c>
      <c r="AB455" s="64">
        <f>IF(OR(Table9[[#This Row],[Case]]=3,Table9[[#This Row],[Case]]=1),1,IF(Table9[[#This Row],[Variability factor for IESTI ]]&lt;3,Table9[[#This Row],[Variability factor for IESTI ]],3))</f>
        <v>1</v>
      </c>
      <c r="AC455" s="379" t="str">
        <f t="shared" si="78"/>
        <v>ND</v>
      </c>
      <c r="AD455" s="380" t="str">
        <f>IF($C$5="not necessary","no acute RA",IF(AC455="ND","no acute RA",IF(Table9[[#This Row],[IESTI new (mg/kg bw)]]&lt;&gt;"",AC455/$C$5,0)))</f>
        <v>no acute RA</v>
      </c>
      <c r="AE455" s="423" t="str">
        <f t="shared" si="72"/>
        <v/>
      </c>
      <c r="AF455" s="423" t="str">
        <f t="shared" si="73"/>
        <v/>
      </c>
      <c r="AG455" s="381" t="str">
        <f>IF(OR(Z455=0,Z455="ND",Z455="",$C$5="not necessary"),"",IF(X455="2a",1000*$C$5*R455/Table9[[#This Row],[Processing factor]]/(T455*Y455+S455-T455),IF(X455="2b",1000*$C$5*R455/Table9[[#This Row],[Processing factor]]/S455/Y455,IF(OR(X455=1,X455=3),1000*$C$5*R455/Table9[[#This Row],[Processing factor]]/S455,""))))</f>
        <v/>
      </c>
      <c r="AH455" s="495" t="str">
        <f>IF(OR(AC455=0,AC455="ND",$C$5="not necessary"),"",1000*$C$5*R455/Table9[[#This Row],[Processing factor]]/S455/AB455)</f>
        <v/>
      </c>
      <c r="AK455" s="651"/>
    </row>
    <row r="456" spans="1:37" x14ac:dyDescent="0.2">
      <c r="A456" s="506"/>
      <c r="B456" s="23">
        <v>252030</v>
      </c>
      <c r="C456" s="165" t="s">
        <v>847</v>
      </c>
      <c r="D456" s="373" t="str">
        <f>VLOOKUP(C456,input_values!$C$412:$BG$538,input_values!$BG$410-2,0)</f>
        <v>PROC-252030-3</v>
      </c>
      <c r="E456" s="567">
        <f>VLOOKUP(B456,input_values!$B$412:$M$538,4,FALSE)</f>
        <v>0</v>
      </c>
      <c r="F456" s="451" t="str">
        <f>VLOOKUP($D456,Table6[[Identifyer]:[Acute RA IESTI new input value]],input_values!$Q$410,FALSE)</f>
        <v/>
      </c>
      <c r="G456" s="451" t="str">
        <f>VLOOKUP($D456,Table6[[Identifyer]:[Acute RA IESTI new input value]],input_values!$P$410,FALSE)</f>
        <v/>
      </c>
      <c r="H456" s="451">
        <f>VLOOKUP($D456,Table6[[Identifyer]:[Acute RA IESTI new input value]],input_values!$S$410,FALSE)</f>
        <v>0</v>
      </c>
      <c r="I456" s="451" t="str">
        <f>VLOOKUP($D456,Table6[[Identifyer]:[Acute RA IESTI new input value]],input_values!$R$410,FALSE)</f>
        <v/>
      </c>
      <c r="J456" s="65"/>
      <c r="K456" s="301">
        <f t="shared" si="75"/>
        <v>7</v>
      </c>
      <c r="L456" s="301" t="str">
        <f>VLOOKUP(D456,input_values!$A$412:$BB$538,input_values!$AA$410,FALSE)</f>
        <v/>
      </c>
      <c r="M456" s="302">
        <f>VLOOKUP(D456,input_values!$A$412:$BB$538,input_values!$Y$410,FALSE)</f>
        <v>1</v>
      </c>
      <c r="N456" s="302" t="str">
        <f>IF(VLOOKUP(D456,input_values!$A$412:$BB$538,input_values!$L$410,FALSE)&lt;&gt;"",VLOOKUP(D456,input_values!$A$412:$BB$538,input_values!$L$410,FALSE),"")</f>
        <v/>
      </c>
      <c r="O456" s="339">
        <v>2.9407294832826749</v>
      </c>
      <c r="P456" s="375" t="s">
        <v>349</v>
      </c>
      <c r="Q456" s="21" t="s">
        <v>99</v>
      </c>
      <c r="R456" s="377">
        <v>65.8</v>
      </c>
      <c r="S456" s="326">
        <f t="shared" si="74"/>
        <v>193.5</v>
      </c>
      <c r="T456" s="377">
        <v>105</v>
      </c>
      <c r="U456" s="1454" t="s">
        <v>215</v>
      </c>
      <c r="V456" s="377">
        <v>175</v>
      </c>
      <c r="W456" s="377" t="s">
        <v>215</v>
      </c>
      <c r="X456" s="378" t="s">
        <v>1891</v>
      </c>
      <c r="Y456" s="64">
        <f>IF(OR(Table9[[#This Row],[Case]]=1,Table9[[#This Row],[Case]]=3),1,IF(N456="",K456,N456))</f>
        <v>7</v>
      </c>
      <c r="Z456" s="648" t="str">
        <f t="shared" si="76"/>
        <v>ND</v>
      </c>
      <c r="AA456" s="380" t="str">
        <f t="shared" si="77"/>
        <v>no acute RA</v>
      </c>
      <c r="AB456" s="64">
        <f>IF(OR(Table9[[#This Row],[Case]]=3,Table9[[#This Row],[Case]]=1),1,IF(Table9[[#This Row],[Variability factor for IESTI ]]&lt;3,Table9[[#This Row],[Variability factor for IESTI ]],3))</f>
        <v>3</v>
      </c>
      <c r="AC456" s="379" t="str">
        <f t="shared" si="78"/>
        <v>ND</v>
      </c>
      <c r="AD456" s="380" t="str">
        <f>IF($C$5="not necessary","no acute RA",IF(AC456="ND","no acute RA",IF(Table9[[#This Row],[IESTI new (mg/kg bw)]]&lt;&gt;"",AC456/$C$5,0)))</f>
        <v>no acute RA</v>
      </c>
      <c r="AE456" s="423" t="str">
        <f t="shared" si="72"/>
        <v/>
      </c>
      <c r="AF456" s="423" t="str">
        <f t="shared" si="73"/>
        <v/>
      </c>
      <c r="AG456" s="381" t="str">
        <f>IF(OR(Z456=0,Z456="ND",Z456="",$C$5="not necessary"),"",IF(X456="2a",1000*$C$5*R456/Table9[[#This Row],[Processing factor]]/(T456*Y456+S456-T456),IF(X456="2b",1000*$C$5*R456/Table9[[#This Row],[Processing factor]]/S456/Y456,IF(OR(X456=1,X456=3),1000*$C$5*R456/Table9[[#This Row],[Processing factor]]/S456,""))))</f>
        <v/>
      </c>
      <c r="AH456" s="495" t="str">
        <f>IF(OR(AC456=0,AC456="ND",$C$5="not necessary"),"",1000*$C$5*R456/Table9[[#This Row],[Processing factor]]/S456/AB456)</f>
        <v/>
      </c>
      <c r="AK456" s="651"/>
    </row>
    <row r="457" spans="1:37" x14ac:dyDescent="0.2">
      <c r="A457" s="506"/>
      <c r="B457" s="23">
        <v>253000</v>
      </c>
      <c r="C457" s="165" t="s">
        <v>833</v>
      </c>
      <c r="D457" s="373" t="str">
        <f>VLOOKUP(C457,input_values!$C$412:$BG$538,input_values!$BG$410-2,0)</f>
        <v>PROC-253000-5</v>
      </c>
      <c r="E457" s="567">
        <f>VLOOKUP(B457,input_values!$B$412:$M$538,4,FALSE)</f>
        <v>0</v>
      </c>
      <c r="F457" s="451" t="str">
        <f>VLOOKUP($D457,Table6[[Identifyer]:[Acute RA IESTI new input value]],input_values!$Q$410,FALSE)</f>
        <v/>
      </c>
      <c r="G457" s="451" t="str">
        <f>VLOOKUP($D457,Table6[[Identifyer]:[Acute RA IESTI new input value]],input_values!$P$410,FALSE)</f>
        <v/>
      </c>
      <c r="H457" s="451">
        <f>VLOOKUP($D457,Table6[[Identifyer]:[Acute RA IESTI new input value]],input_values!$S$410,FALSE)</f>
        <v>0</v>
      </c>
      <c r="I457" s="451" t="str">
        <f>VLOOKUP($D457,Table6[[Identifyer]:[Acute RA IESTI new input value]],input_values!$R$410,FALSE)</f>
        <v/>
      </c>
      <c r="J457" s="65"/>
      <c r="K457" s="301">
        <f t="shared" si="75"/>
        <v>1</v>
      </c>
      <c r="L457" s="301" t="str">
        <f>VLOOKUP(D457,input_values!$A$412:$BB$538,input_values!$AA$410,FALSE)</f>
        <v/>
      </c>
      <c r="M457" s="302">
        <f>VLOOKUP(D457,input_values!$A$412:$BB$538,input_values!$Y$410,FALSE)</f>
        <v>1</v>
      </c>
      <c r="N457" s="374" t="str">
        <f>IF(VLOOKUP(D457,input_values!$A$412:$BB$538,input_values!$L$410,FALSE)&lt;&gt;"",VLOOKUP(D457,input_values!$A$412:$BB$538,input_values!$L$410,FALSE),"")</f>
        <v/>
      </c>
      <c r="O457" s="339">
        <v>0.83282674772036469</v>
      </c>
      <c r="P457" s="375" t="s">
        <v>349</v>
      </c>
      <c r="Q457" s="21" t="s">
        <v>99</v>
      </c>
      <c r="R457" s="377">
        <v>65.8</v>
      </c>
      <c r="S457" s="326">
        <f t="shared" si="74"/>
        <v>54.8</v>
      </c>
      <c r="T457" s="377"/>
      <c r="U457" s="377"/>
      <c r="V457" s="377"/>
      <c r="W457" s="377"/>
      <c r="X457" s="378">
        <v>1</v>
      </c>
      <c r="Y457" s="64">
        <f>IF(OR(Table9[[#This Row],[Case]]=1,Table9[[#This Row],[Case]]=3),1,IF(N457="",K457,N457))</f>
        <v>1</v>
      </c>
      <c r="Z457" s="648" t="str">
        <f t="shared" si="76"/>
        <v>ND</v>
      </c>
      <c r="AA457" s="380" t="str">
        <f t="shared" si="77"/>
        <v>no acute RA</v>
      </c>
      <c r="AB457" s="64">
        <f>IF(OR(Table9[[#This Row],[Case]]=3,Table9[[#This Row],[Case]]=1),1,IF(Table9[[#This Row],[Variability factor for IESTI ]]&lt;3,Table9[[#This Row],[Variability factor for IESTI ]],3))</f>
        <v>1</v>
      </c>
      <c r="AC457" s="379" t="str">
        <f t="shared" si="78"/>
        <v>ND</v>
      </c>
      <c r="AD457" s="380" t="str">
        <f>IF($C$5="not necessary","no acute RA",IF(AC457="ND","no acute RA",IF(Table9[[#This Row],[IESTI new (mg/kg bw)]]&lt;&gt;"",AC457/$C$5,0)))</f>
        <v>no acute RA</v>
      </c>
      <c r="AE457" s="423" t="str">
        <f t="shared" si="72"/>
        <v/>
      </c>
      <c r="AF457" s="423" t="str">
        <f t="shared" si="73"/>
        <v/>
      </c>
      <c r="AG457" s="381" t="str">
        <f>IF(OR(Z457=0,Z457="ND",Z457="",$C$5="not necessary"),"",IF(X457="2a",1000*$C$5*R457/Table9[[#This Row],[Processing factor]]/(T457*Y457+S457-T457),IF(X457="2b",1000*$C$5*R457/Table9[[#This Row],[Processing factor]]/S457/Y457,IF(OR(X457=1,X457=3),1000*$C$5*R457/Table9[[#This Row],[Processing factor]]/S457,""))))</f>
        <v/>
      </c>
      <c r="AH457" s="495" t="str">
        <f>IF(OR(AC457=0,AC457="ND",$C$5="not necessary"),"",1000*$C$5*R457/Table9[[#This Row],[Processing factor]]/S457/AB457)</f>
        <v/>
      </c>
      <c r="AK457" s="651"/>
    </row>
    <row r="458" spans="1:37" x14ac:dyDescent="0.2">
      <c r="A458" s="506"/>
      <c r="B458" s="23">
        <v>255000</v>
      </c>
      <c r="C458" s="165" t="s">
        <v>834</v>
      </c>
      <c r="D458" s="373" t="str">
        <f>VLOOKUP(C458,input_values!$C$412:$BG$538,input_values!$BG$410-2,0)</f>
        <v>PROC-255000-3</v>
      </c>
      <c r="E458" s="567">
        <f>VLOOKUP(B458,input_values!$B$412:$M$538,4,FALSE)</f>
        <v>0</v>
      </c>
      <c r="F458" s="451" t="str">
        <f>VLOOKUP($D458,Table6[[Identifyer]:[Acute RA IESTI new input value]],input_values!$Q$410,FALSE)</f>
        <v/>
      </c>
      <c r="G458" s="451" t="str">
        <f>VLOOKUP($D458,Table6[[Identifyer]:[Acute RA IESTI new input value]],input_values!$P$410,FALSE)</f>
        <v/>
      </c>
      <c r="H458" s="451">
        <f>VLOOKUP($D458,Table6[[Identifyer]:[Acute RA IESTI new input value]],input_values!$S$410,FALSE)</f>
        <v>0</v>
      </c>
      <c r="I458" s="451" t="str">
        <f>VLOOKUP($D458,Table6[[Identifyer]:[Acute RA IESTI new input value]],input_values!$R$410,FALSE)</f>
        <v/>
      </c>
      <c r="J458" s="65"/>
      <c r="K458" s="301">
        <f t="shared" si="75"/>
        <v>7</v>
      </c>
      <c r="L458" s="301" t="str">
        <f>VLOOKUP(D458,input_values!$A$412:$BB$538,input_values!$AA$410,FALSE)</f>
        <v/>
      </c>
      <c r="M458" s="302">
        <f>VLOOKUP(D458,input_values!$A$412:$BB$538,input_values!$Y$410,FALSE)</f>
        <v>1</v>
      </c>
      <c r="N458" s="302" t="str">
        <f>IF(VLOOKUP(D458,input_values!$A$412:$BB$538,input_values!$L$410,FALSE)&lt;&gt;"",VLOOKUP(D458,input_values!$A$412:$BB$538,input_values!$L$410,FALSE),"")</f>
        <v/>
      </c>
      <c r="O458" s="339">
        <v>7.1768996960486318</v>
      </c>
      <c r="P458" s="375">
        <v>97.5</v>
      </c>
      <c r="Q458" s="21" t="s">
        <v>99</v>
      </c>
      <c r="R458" s="377">
        <v>65.8</v>
      </c>
      <c r="S458" s="326">
        <f t="shared" si="74"/>
        <v>472.23999999999995</v>
      </c>
      <c r="T458" s="326">
        <v>124</v>
      </c>
      <c r="U458" s="1453" t="s">
        <v>215</v>
      </c>
      <c r="V458" s="326">
        <v>162</v>
      </c>
      <c r="W458" s="376" t="s">
        <v>215</v>
      </c>
      <c r="X458" s="378" t="s">
        <v>1891</v>
      </c>
      <c r="Y458" s="64">
        <f>IF(OR(Table9[[#This Row],[Case]]=1,Table9[[#This Row],[Case]]=3),1,IF(N458="",K458,N458))</f>
        <v>7</v>
      </c>
      <c r="Z458" s="648" t="str">
        <f t="shared" si="76"/>
        <v>ND</v>
      </c>
      <c r="AA458" s="380" t="str">
        <f t="shared" si="77"/>
        <v>no acute RA</v>
      </c>
      <c r="AB458" s="64">
        <f>IF(OR(Table9[[#This Row],[Case]]=3,Table9[[#This Row],[Case]]=1),1,IF(Table9[[#This Row],[Variability factor for IESTI ]]&lt;3,Table9[[#This Row],[Variability factor for IESTI ]],3))</f>
        <v>3</v>
      </c>
      <c r="AC458" s="379" t="str">
        <f t="shared" si="78"/>
        <v>ND</v>
      </c>
      <c r="AD458" s="380" t="str">
        <f>IF($C$5="not necessary","no acute RA",IF(AC458="ND","no acute RA",IF(Table9[[#This Row],[IESTI new (mg/kg bw)]]&lt;&gt;"",AC458/$C$5,0)))</f>
        <v>no acute RA</v>
      </c>
      <c r="AE458" s="423" t="str">
        <f t="shared" si="72"/>
        <v/>
      </c>
      <c r="AF458" s="423" t="str">
        <f t="shared" si="73"/>
        <v/>
      </c>
      <c r="AG458" s="381" t="str">
        <f>IF(OR(Z458=0,Z458="ND",Z458="",$C$5="not necessary"),"",IF(X458="2a",1000*$C$5*R458/Table9[[#This Row],[Processing factor]]/(T458*Y458+S458-T458),IF(X458="2b",1000*$C$5*R458/Table9[[#This Row],[Processing factor]]/S458/Y458,IF(OR(X458=1,X458=3),1000*$C$5*R458/Table9[[#This Row],[Processing factor]]/S458,""))))</f>
        <v/>
      </c>
      <c r="AH458" s="495" t="str">
        <f>IF(OR(AC458=0,AC458="ND",$C$5="not necessary"),"",1000*$C$5*R458/Table9[[#This Row],[Processing factor]]/S458/AB458)</f>
        <v/>
      </c>
      <c r="AK458" s="651"/>
    </row>
    <row r="459" spans="1:37" x14ac:dyDescent="0.2">
      <c r="A459" s="506"/>
      <c r="B459" s="23">
        <v>260020</v>
      </c>
      <c r="C459" s="325" t="s">
        <v>468</v>
      </c>
      <c r="D459" s="373" t="str">
        <f>VLOOKUP(C459,input_values!$C$412:$BG$538,input_values!$BG$410-2,0)</f>
        <v>PROC-260020-3</v>
      </c>
      <c r="E459" s="567">
        <f>VLOOKUP(B459,input_values!$B$412:$M$538,4,FALSE)</f>
        <v>0</v>
      </c>
      <c r="F459" s="451" t="str">
        <f>VLOOKUP($D459,Table6[[Identifyer]:[Acute RA IESTI new input value]],input_values!$Q$410,FALSE)</f>
        <v/>
      </c>
      <c r="G459" s="451" t="str">
        <f>VLOOKUP($D459,Table6[[Identifyer]:[Acute RA IESTI new input value]],input_values!$P$410,FALSE)</f>
        <v/>
      </c>
      <c r="H459" s="451">
        <f>VLOOKUP($D459,Table6[[Identifyer]:[Acute RA IESTI new input value]],input_values!$S$410,FALSE)</f>
        <v>0</v>
      </c>
      <c r="I459" s="451" t="str">
        <f>VLOOKUP($D459,Table6[[Identifyer]:[Acute RA IESTI new input value]],input_values!$R$410,FALSE)</f>
        <v/>
      </c>
      <c r="J459" s="65"/>
      <c r="K459" s="301">
        <f t="shared" si="75"/>
        <v>1</v>
      </c>
      <c r="L459" s="301" t="str">
        <f>VLOOKUP(D459,input_values!$A$412:$BB$538,input_values!$AA$410,FALSE)</f>
        <v/>
      </c>
      <c r="M459" s="302">
        <f>VLOOKUP(D459,input_values!$A$412:$BB$538,input_values!$Y$410,FALSE)</f>
        <v>1</v>
      </c>
      <c r="N459" s="374" t="str">
        <f>IF(VLOOKUP(D459,input_values!$A$412:$BB$538,input_values!$L$410,FALSE)&lt;&gt;"",VLOOKUP(D459,input_values!$A$412:$BB$538,input_values!$L$410,FALSE),"")</f>
        <v/>
      </c>
      <c r="O459" s="339">
        <v>5.1479999999999997</v>
      </c>
      <c r="P459" s="375">
        <v>95</v>
      </c>
      <c r="Q459" s="21" t="s">
        <v>99</v>
      </c>
      <c r="R459" s="377">
        <v>65.8</v>
      </c>
      <c r="S459" s="326">
        <f t="shared" si="74"/>
        <v>338.73839999999996</v>
      </c>
      <c r="T459" s="377"/>
      <c r="U459" s="377"/>
      <c r="V459" s="377"/>
      <c r="W459" s="377"/>
      <c r="X459" s="378">
        <v>1</v>
      </c>
      <c r="Y459" s="64">
        <f>IF(OR(Table9[[#This Row],[Case]]=1,Table9[[#This Row],[Case]]=3),1,IF(N459="",K459,N459))</f>
        <v>1</v>
      </c>
      <c r="Z459" s="648" t="str">
        <f t="shared" si="76"/>
        <v>ND</v>
      </c>
      <c r="AA459" s="380" t="str">
        <f t="shared" si="77"/>
        <v>no acute RA</v>
      </c>
      <c r="AB459" s="64">
        <f>IF(OR(Table9[[#This Row],[Case]]=3,Table9[[#This Row],[Case]]=1),1,IF(Table9[[#This Row],[Variability factor for IESTI ]]&lt;3,Table9[[#This Row],[Variability factor for IESTI ]],3))</f>
        <v>1</v>
      </c>
      <c r="AC459" s="379" t="str">
        <f t="shared" si="78"/>
        <v>ND</v>
      </c>
      <c r="AD459" s="380" t="str">
        <f>IF($C$5="not necessary","no acute RA",IF(AC459="ND","no acute RA",IF(Table9[[#This Row],[IESTI new (mg/kg bw)]]&lt;&gt;"",AC459/$C$5,0)))</f>
        <v>no acute RA</v>
      </c>
      <c r="AE459" s="423" t="str">
        <f t="shared" si="72"/>
        <v/>
      </c>
      <c r="AF459" s="423" t="str">
        <f t="shared" si="73"/>
        <v/>
      </c>
      <c r="AG459" s="381" t="str">
        <f>IF(OR(Z459=0,Z459="ND",Z459="",$C$5="not necessary"),"",IF(X459="2a",1000*$C$5*R459/Table9[[#This Row],[Processing factor]]/(T459*Y459+S459-T459),IF(X459="2b",1000*$C$5*R459/Table9[[#This Row],[Processing factor]]/S459/Y459,IF(OR(X459=1,X459=3),1000*$C$5*R459/Table9[[#This Row],[Processing factor]]/S459,""))))</f>
        <v/>
      </c>
      <c r="AH459" s="495" t="str">
        <f>IF(OR(AC459=0,AC459="ND",$C$5="not necessary"),"",1000*$C$5*R459/Table9[[#This Row],[Processing factor]]/S459/AB459)</f>
        <v/>
      </c>
      <c r="AK459" s="651"/>
    </row>
    <row r="460" spans="1:37" x14ac:dyDescent="0.2">
      <c r="A460" s="506"/>
      <c r="B460" s="23">
        <v>260030</v>
      </c>
      <c r="C460" s="325" t="s">
        <v>469</v>
      </c>
      <c r="D460" s="373" t="str">
        <f>VLOOKUP(C460,input_values!$C$412:$BG$538,input_values!$BG$410-2,0)</f>
        <v>PROC-260030-3</v>
      </c>
      <c r="E460" s="567">
        <f>VLOOKUP(B460,input_values!$B$412:$M$538,4,FALSE)</f>
        <v>0</v>
      </c>
      <c r="F460" s="451" t="str">
        <f>VLOOKUP($D460,Table6[[Identifyer]:[Acute RA IESTI new input value]],input_values!$Q$410,FALSE)</f>
        <v/>
      </c>
      <c r="G460" s="451" t="str">
        <f>VLOOKUP($D460,Table6[[Identifyer]:[Acute RA IESTI new input value]],input_values!$P$410,FALSE)</f>
        <v/>
      </c>
      <c r="H460" s="451">
        <f>VLOOKUP($D460,Table6[[Identifyer]:[Acute RA IESTI new input value]],input_values!$S$410,FALSE)</f>
        <v>0</v>
      </c>
      <c r="I460" s="451" t="str">
        <f>VLOOKUP($D460,Table6[[Identifyer]:[Acute RA IESTI new input value]],input_values!$R$410,FALSE)</f>
        <v/>
      </c>
      <c r="J460" s="65"/>
      <c r="K460" s="301">
        <f t="shared" si="75"/>
        <v>1</v>
      </c>
      <c r="L460" s="301" t="str">
        <f>VLOOKUP(D460,input_values!$A$412:$BB$538,input_values!$AA$410,FALSE)</f>
        <v/>
      </c>
      <c r="M460" s="302">
        <f>VLOOKUP(D460,input_values!$A$412:$BB$538,input_values!$Y$410,FALSE)</f>
        <v>1</v>
      </c>
      <c r="N460" s="374" t="str">
        <f>IF(VLOOKUP(D460,input_values!$A$412:$BB$538,input_values!$L$410,FALSE)&lt;&gt;"",VLOOKUP(D460,input_values!$A$412:$BB$538,input_values!$L$410,FALSE),"")</f>
        <v/>
      </c>
      <c r="O460" s="339">
        <v>3.4194528875379939</v>
      </c>
      <c r="P460" s="375" t="s">
        <v>331</v>
      </c>
      <c r="Q460" s="21" t="s">
        <v>99</v>
      </c>
      <c r="R460" s="377">
        <v>65.8</v>
      </c>
      <c r="S460" s="326">
        <f t="shared" si="74"/>
        <v>225</v>
      </c>
      <c r="T460" s="377"/>
      <c r="U460" s="377"/>
      <c r="V460" s="377"/>
      <c r="W460" s="377"/>
      <c r="X460" s="378">
        <v>1</v>
      </c>
      <c r="Y460" s="64">
        <f>IF(OR(Table9[[#This Row],[Case]]=1,Table9[[#This Row],[Case]]=3),1,IF(N460="",K460,N460))</f>
        <v>1</v>
      </c>
      <c r="Z460" s="648" t="str">
        <f t="shared" si="76"/>
        <v>ND</v>
      </c>
      <c r="AA460" s="380" t="str">
        <f t="shared" si="77"/>
        <v>no acute RA</v>
      </c>
      <c r="AB460" s="64">
        <f>IF(OR(Table9[[#This Row],[Case]]=3,Table9[[#This Row],[Case]]=1),1,IF(Table9[[#This Row],[Variability factor for IESTI ]]&lt;3,Table9[[#This Row],[Variability factor for IESTI ]],3))</f>
        <v>1</v>
      </c>
      <c r="AC460" s="379" t="str">
        <f t="shared" si="78"/>
        <v>ND</v>
      </c>
      <c r="AD460" s="380" t="str">
        <f>IF($C$5="not necessary","no acute RA",IF(AC460="ND","no acute RA",IF(Table9[[#This Row],[IESTI new (mg/kg bw)]]&lt;&gt;"",AC460/$C$5,0)))</f>
        <v>no acute RA</v>
      </c>
      <c r="AE460" s="423" t="str">
        <f t="shared" si="72"/>
        <v/>
      </c>
      <c r="AF460" s="423" t="str">
        <f t="shared" si="73"/>
        <v/>
      </c>
      <c r="AG460" s="381" t="str">
        <f>IF(OR(Z460=0,Z460="ND",Z460="",$C$5="not necessary"),"",IF(X460="2a",1000*$C$5*R460/Table9[[#This Row],[Processing factor]]/(T460*Y460+S460-T460),IF(X460="2b",1000*$C$5*R460/Table9[[#This Row],[Processing factor]]/S460/Y460,IF(OR(X460=1,X460=3),1000*$C$5*R460/Table9[[#This Row],[Processing factor]]/S460,""))))</f>
        <v/>
      </c>
      <c r="AH460" s="495" t="str">
        <f>IF(OR(AC460=0,AC460="ND",$C$5="not necessary"),"",1000*$C$5*R460/Table9[[#This Row],[Processing factor]]/S460/AB460)</f>
        <v/>
      </c>
      <c r="AK460" s="651"/>
    </row>
    <row r="461" spans="1:37" x14ac:dyDescent="0.2">
      <c r="A461" s="506"/>
      <c r="B461" s="23">
        <v>260040</v>
      </c>
      <c r="C461" s="325" t="s">
        <v>470</v>
      </c>
      <c r="D461" s="373" t="str">
        <f>VLOOKUP(C461,input_values!$C$412:$BG$538,input_values!$BG$410-2,0)</f>
        <v>PROC-260040-3</v>
      </c>
      <c r="E461" s="567">
        <f>VLOOKUP(B461,input_values!$B$412:$M$538,4,FALSE)</f>
        <v>0</v>
      </c>
      <c r="F461" s="451" t="str">
        <f>VLOOKUP($D461,Table6[[Identifyer]:[Acute RA IESTI new input value]],input_values!$Q$410,FALSE)</f>
        <v/>
      </c>
      <c r="G461" s="451" t="str">
        <f>VLOOKUP($D461,Table6[[Identifyer]:[Acute RA IESTI new input value]],input_values!$P$410,FALSE)</f>
        <v/>
      </c>
      <c r="H461" s="451">
        <f>VLOOKUP($D461,Table6[[Identifyer]:[Acute RA IESTI new input value]],input_values!$S$410,FALSE)</f>
        <v>0</v>
      </c>
      <c r="I461" s="451" t="str">
        <f>VLOOKUP($D461,Table6[[Identifyer]:[Acute RA IESTI new input value]],input_values!$R$410,FALSE)</f>
        <v/>
      </c>
      <c r="J461" s="65"/>
      <c r="K461" s="301">
        <f t="shared" si="75"/>
        <v>1</v>
      </c>
      <c r="L461" s="301" t="str">
        <f>VLOOKUP(D461,input_values!$A$412:$BB$538,input_values!$AA$410,FALSE)</f>
        <v/>
      </c>
      <c r="M461" s="302">
        <f>VLOOKUP(D461,input_values!$A$412:$BB$538,input_values!$Y$410,FALSE)</f>
        <v>1</v>
      </c>
      <c r="N461" s="374" t="str">
        <f>IF(VLOOKUP(D461,input_values!$A$412:$BB$538,input_values!$L$410,FALSE)&lt;&gt;"",VLOOKUP(D461,input_values!$A$412:$BB$538,input_values!$L$410,FALSE),"")</f>
        <v/>
      </c>
      <c r="O461" s="339">
        <v>3.1276595744680855</v>
      </c>
      <c r="P461" s="375">
        <v>97.5</v>
      </c>
      <c r="Q461" s="21" t="s">
        <v>99</v>
      </c>
      <c r="R461" s="377">
        <v>65.8</v>
      </c>
      <c r="S461" s="326">
        <f t="shared" si="74"/>
        <v>205.8</v>
      </c>
      <c r="T461" s="377"/>
      <c r="U461" s="377"/>
      <c r="V461" s="377"/>
      <c r="W461" s="377"/>
      <c r="X461" s="378">
        <v>1</v>
      </c>
      <c r="Y461" s="64">
        <f>IF(OR(Table9[[#This Row],[Case]]=1,Table9[[#This Row],[Case]]=3),1,IF(N461="",K461,N461))</f>
        <v>1</v>
      </c>
      <c r="Z461" s="648" t="str">
        <f t="shared" si="76"/>
        <v>ND</v>
      </c>
      <c r="AA461" s="380" t="str">
        <f t="shared" si="77"/>
        <v>no acute RA</v>
      </c>
      <c r="AB461" s="64">
        <f>IF(OR(Table9[[#This Row],[Case]]=3,Table9[[#This Row],[Case]]=1),1,IF(Table9[[#This Row],[Variability factor for IESTI ]]&lt;3,Table9[[#This Row],[Variability factor for IESTI ]],3))</f>
        <v>1</v>
      </c>
      <c r="AC461" s="379" t="str">
        <f t="shared" si="78"/>
        <v>ND</v>
      </c>
      <c r="AD461" s="380" t="str">
        <f>IF($C$5="not necessary","no acute RA",IF(AC461="ND","no acute RA",IF(Table9[[#This Row],[IESTI new (mg/kg bw)]]&lt;&gt;"",AC461/$C$5,0)))</f>
        <v>no acute RA</v>
      </c>
      <c r="AE461" s="423" t="str">
        <f t="shared" si="72"/>
        <v/>
      </c>
      <c r="AF461" s="423" t="str">
        <f t="shared" si="73"/>
        <v/>
      </c>
      <c r="AG461" s="381" t="str">
        <f>IF(OR(Z461=0,Z461="ND",Z461="",$C$5="not necessary"),"",IF(X461="2a",1000*$C$5*R461/Table9[[#This Row],[Processing factor]]/(T461*Y461+S461-T461),IF(X461="2b",1000*$C$5*R461/Table9[[#This Row],[Processing factor]]/S461/Y461,IF(OR(X461=1,X461=3),1000*$C$5*R461/Table9[[#This Row],[Processing factor]]/S461,""))))</f>
        <v/>
      </c>
      <c r="AH461" s="495" t="str">
        <f>IF(OR(AC461=0,AC461="ND",$C$5="not necessary"),"",1000*$C$5*R461/Table9[[#This Row],[Processing factor]]/S461/AB461)</f>
        <v/>
      </c>
      <c r="AK461" s="651"/>
    </row>
    <row r="462" spans="1:37" x14ac:dyDescent="0.2">
      <c r="A462" s="506"/>
      <c r="B462" s="23">
        <v>270020</v>
      </c>
      <c r="C462" s="325" t="s">
        <v>471</v>
      </c>
      <c r="D462" s="373" t="str">
        <f>VLOOKUP(C462,input_values!$C$412:$BG$538,input_values!$BG$410-2,0)</f>
        <v>PROC-270020-3</v>
      </c>
      <c r="E462" s="567">
        <f>VLOOKUP(B462,input_values!$B$412:$M$538,4,FALSE)</f>
        <v>0</v>
      </c>
      <c r="F462" s="451" t="str">
        <f>VLOOKUP($D462,Table6[[Identifyer]:[Acute RA IESTI new input value]],input_values!$Q$410,FALSE)</f>
        <v/>
      </c>
      <c r="G462" s="451" t="str">
        <f>VLOOKUP($D462,Table6[[Identifyer]:[Acute RA IESTI new input value]],input_values!$P$410,FALSE)</f>
        <v/>
      </c>
      <c r="H462" s="451">
        <f>VLOOKUP($D462,Table6[[Identifyer]:[Acute RA IESTI new input value]],input_values!$S$410,FALSE)</f>
        <v>0</v>
      </c>
      <c r="I462" s="451" t="str">
        <f>VLOOKUP($D462,Table6[[Identifyer]:[Acute RA IESTI new input value]],input_values!$R$410,FALSE)</f>
        <v/>
      </c>
      <c r="J462" s="65"/>
      <c r="K462" s="301">
        <f t="shared" si="75"/>
        <v>7</v>
      </c>
      <c r="L462" s="301" t="str">
        <f>VLOOKUP(D462,input_values!$A$412:$BB$538,input_values!$AA$410,FALSE)</f>
        <v/>
      </c>
      <c r="M462" s="302">
        <f>VLOOKUP(D462,input_values!$A$412:$BB$538,input_values!$Y$410,FALSE)</f>
        <v>1</v>
      </c>
      <c r="N462" s="302" t="str">
        <f>IF(VLOOKUP(D462,input_values!$A$412:$BB$538,input_values!$L$410,FALSE)&lt;&gt;"",VLOOKUP(D462,input_values!$A$412:$BB$538,input_values!$L$410,FALSE),"")</f>
        <v/>
      </c>
      <c r="O462" s="339">
        <v>3.0395136778115504</v>
      </c>
      <c r="P462" s="375" t="s">
        <v>331</v>
      </c>
      <c r="Q462" s="21" t="s">
        <v>99</v>
      </c>
      <c r="R462" s="377">
        <v>65.8</v>
      </c>
      <c r="S462" s="326">
        <f t="shared" si="74"/>
        <v>200</v>
      </c>
      <c r="T462" s="376">
        <v>100</v>
      </c>
      <c r="U462" s="1453" t="s">
        <v>98</v>
      </c>
      <c r="V462" s="376">
        <v>100</v>
      </c>
      <c r="W462" s="376" t="s">
        <v>98</v>
      </c>
      <c r="X462" s="378" t="s">
        <v>1891</v>
      </c>
      <c r="Y462" s="64">
        <f>IF(OR(Table9[[#This Row],[Case]]=1,Table9[[#This Row],[Case]]=3),1,IF(N462="",K462,N462))</f>
        <v>7</v>
      </c>
      <c r="Z462" s="648" t="str">
        <f t="shared" si="76"/>
        <v>ND</v>
      </c>
      <c r="AA462" s="380" t="str">
        <f t="shared" si="77"/>
        <v>no acute RA</v>
      </c>
      <c r="AB462" s="64">
        <f>IF(OR(Table9[[#This Row],[Case]]=3,Table9[[#This Row],[Case]]=1),1,IF(Table9[[#This Row],[Variability factor for IESTI ]]&lt;3,Table9[[#This Row],[Variability factor for IESTI ]],3))</f>
        <v>3</v>
      </c>
      <c r="AC462" s="379" t="str">
        <f t="shared" si="78"/>
        <v>ND</v>
      </c>
      <c r="AD462" s="380" t="str">
        <f>IF($C$5="not necessary","no acute RA",IF(AC462="ND","no acute RA",IF(Table9[[#This Row],[IESTI new (mg/kg bw)]]&lt;&gt;"",AC462/$C$5,0)))</f>
        <v>no acute RA</v>
      </c>
      <c r="AE462" s="423" t="str">
        <f t="shared" si="72"/>
        <v/>
      </c>
      <c r="AF462" s="423" t="str">
        <f t="shared" si="73"/>
        <v/>
      </c>
      <c r="AG462" s="381" t="str">
        <f>IF(OR(Z462=0,Z462="ND",Z462="",$C$5="not necessary"),"",IF(X462="2a",1000*$C$5*R462/Table9[[#This Row],[Processing factor]]/(T462*Y462+S462-T462),IF(X462="2b",1000*$C$5*R462/Table9[[#This Row],[Processing factor]]/S462/Y462,IF(OR(X462=1,X462=3),1000*$C$5*R462/Table9[[#This Row],[Processing factor]]/S462,""))))</f>
        <v/>
      </c>
      <c r="AH462" s="495" t="str">
        <f>IF(OR(AC462=0,AC462="ND",$C$5="not necessary"),"",1000*$C$5*R462/Table9[[#This Row],[Processing factor]]/S462/AB462)</f>
        <v/>
      </c>
      <c r="AK462" s="651"/>
    </row>
    <row r="463" spans="1:37" x14ac:dyDescent="0.2">
      <c r="A463" s="506"/>
      <c r="B463" s="23">
        <v>270030</v>
      </c>
      <c r="C463" s="325" t="s">
        <v>851</v>
      </c>
      <c r="D463" s="373" t="str">
        <f>VLOOKUP(C463,input_values!$C$412:$BG$538,input_values!$BG$410-2,0)</f>
        <v>PROC-270030-3</v>
      </c>
      <c r="E463" s="567">
        <f>VLOOKUP(B463,input_values!$B$412:$M$538,4,FALSE)</f>
        <v>0</v>
      </c>
      <c r="F463" s="451" t="str">
        <f>VLOOKUP($D463,Table6[[Identifyer]:[Acute RA IESTI new input value]],input_values!$Q$410,FALSE)</f>
        <v/>
      </c>
      <c r="G463" s="451" t="str">
        <f>VLOOKUP($D463,Table6[[Identifyer]:[Acute RA IESTI new input value]],input_values!$P$410,FALSE)</f>
        <v/>
      </c>
      <c r="H463" s="451">
        <f>VLOOKUP($D463,Table6[[Identifyer]:[Acute RA IESTI new input value]],input_values!$S$410,FALSE)</f>
        <v>0</v>
      </c>
      <c r="I463" s="451" t="str">
        <f>VLOOKUP($D463,Table6[[Identifyer]:[Acute RA IESTI new input value]],input_values!$R$410,FALSE)</f>
        <v/>
      </c>
      <c r="J463" s="65"/>
      <c r="K463" s="301">
        <f t="shared" si="75"/>
        <v>5</v>
      </c>
      <c r="L463" s="301" t="str">
        <f>VLOOKUP(D463,input_values!$A$412:$BB$538,input_values!$AA$410,FALSE)</f>
        <v/>
      </c>
      <c r="M463" s="302">
        <f>VLOOKUP(D463,input_values!$A$412:$BB$538,input_values!$Y$410,FALSE)</f>
        <v>1</v>
      </c>
      <c r="N463" s="302" t="str">
        <f>IF(VLOOKUP(D463,input_values!$A$412:$BB$538,input_values!$L$410,FALSE)&lt;&gt;"",VLOOKUP(D463,input_values!$A$412:$BB$538,input_values!$L$410,FALSE),"")</f>
        <v/>
      </c>
      <c r="O463" s="339">
        <v>6.7522796352583594</v>
      </c>
      <c r="P463" s="375">
        <v>97.5</v>
      </c>
      <c r="Q463" s="21" t="s">
        <v>99</v>
      </c>
      <c r="R463" s="377">
        <v>65.8</v>
      </c>
      <c r="S463" s="326">
        <f t="shared" si="74"/>
        <v>444.3</v>
      </c>
      <c r="T463" s="376">
        <v>607</v>
      </c>
      <c r="U463" s="1453" t="s">
        <v>215</v>
      </c>
      <c r="V463" s="376">
        <v>607</v>
      </c>
      <c r="W463" s="376" t="s">
        <v>215</v>
      </c>
      <c r="X463" s="378" t="s">
        <v>1892</v>
      </c>
      <c r="Y463" s="64">
        <f>IF(OR(Table9[[#This Row],[Case]]=1,Table9[[#This Row],[Case]]=3),1,IF(N463="",K463,N463))</f>
        <v>5</v>
      </c>
      <c r="Z463" s="648" t="str">
        <f t="shared" si="76"/>
        <v>ND</v>
      </c>
      <c r="AA463" s="380" t="str">
        <f t="shared" si="77"/>
        <v>no acute RA</v>
      </c>
      <c r="AB463" s="64">
        <f>IF(OR(Table9[[#This Row],[Case]]=3,Table9[[#This Row],[Case]]=1),1,IF(Table9[[#This Row],[Variability factor for IESTI ]]&lt;3,Table9[[#This Row],[Variability factor for IESTI ]],3))</f>
        <v>3</v>
      </c>
      <c r="AC463" s="379" t="str">
        <f t="shared" si="78"/>
        <v>ND</v>
      </c>
      <c r="AD463" s="380" t="str">
        <f>IF($C$5="not necessary","no acute RA",IF(AC463="ND","no acute RA",IF(Table9[[#This Row],[IESTI new (mg/kg bw)]]&lt;&gt;"",AC463/$C$5,0)))</f>
        <v>no acute RA</v>
      </c>
      <c r="AE463" s="423" t="str">
        <f t="shared" si="72"/>
        <v/>
      </c>
      <c r="AF463" s="423" t="str">
        <f t="shared" si="73"/>
        <v/>
      </c>
      <c r="AG463" s="381" t="str">
        <f>IF(OR(Z463=0,Z463="ND",Z463="",$C$5="not necessary"),"",IF(X463="2a",1000*$C$5*R463/Table9[[#This Row],[Processing factor]]/(T463*Y463+S463-T463),IF(X463="2b",1000*$C$5*R463/Table9[[#This Row],[Processing factor]]/S463/Y463,IF(OR(X463=1,X463=3),1000*$C$5*R463/Table9[[#This Row],[Processing factor]]/S463,""))))</f>
        <v/>
      </c>
      <c r="AH463" s="495" t="str">
        <f>IF(OR(AC463=0,AC463="ND",$C$5="not necessary"),"",1000*$C$5*R463/Table9[[#This Row],[Processing factor]]/S463/AB463)</f>
        <v/>
      </c>
      <c r="AK463" s="651"/>
    </row>
    <row r="464" spans="1:37" x14ac:dyDescent="0.2">
      <c r="A464" s="506"/>
      <c r="B464" s="23">
        <v>270040</v>
      </c>
      <c r="C464" s="325" t="s">
        <v>835</v>
      </c>
      <c r="D464" s="373" t="str">
        <f>VLOOKUP(C464,input_values!$C$412:$BG$538,input_values!$BG$410-2,0)</f>
        <v>PROC-270040-3</v>
      </c>
      <c r="E464" s="567">
        <f>VLOOKUP(B464,input_values!$B$412:$M$538,4,FALSE)</f>
        <v>0</v>
      </c>
      <c r="F464" s="451" t="str">
        <f>VLOOKUP($D464,Table6[[Identifyer]:[Acute RA IESTI new input value]],input_values!$Q$410,FALSE)</f>
        <v/>
      </c>
      <c r="G464" s="451" t="str">
        <f>VLOOKUP($D464,Table6[[Identifyer]:[Acute RA IESTI new input value]],input_values!$P$410,FALSE)</f>
        <v/>
      </c>
      <c r="H464" s="451">
        <f>VLOOKUP($D464,Table6[[Identifyer]:[Acute RA IESTI new input value]],input_values!$S$410,FALSE)</f>
        <v>0</v>
      </c>
      <c r="I464" s="451" t="str">
        <f>VLOOKUP($D464,Table6[[Identifyer]:[Acute RA IESTI new input value]],input_values!$R$410,FALSE)</f>
        <v/>
      </c>
      <c r="J464" s="65"/>
      <c r="K464" s="301">
        <f t="shared" si="75"/>
        <v>5</v>
      </c>
      <c r="L464" s="301" t="str">
        <f>VLOOKUP(D464,input_values!$A$412:$BB$538,input_values!$AA$410,FALSE)</f>
        <v/>
      </c>
      <c r="M464" s="302">
        <f>VLOOKUP(D464,input_values!$A$412:$BB$538,input_values!$Y$410,FALSE)</f>
        <v>1</v>
      </c>
      <c r="N464" s="302" t="str">
        <f>IF(VLOOKUP(D464,input_values!$A$412:$BB$538,input_values!$L$410,FALSE)&lt;&gt;"",VLOOKUP(D464,input_values!$A$412:$BB$538,input_values!$L$410,FALSE),"")</f>
        <v/>
      </c>
      <c r="O464" s="339">
        <v>4.1215805471124618</v>
      </c>
      <c r="P464" s="375" t="s">
        <v>349</v>
      </c>
      <c r="Q464" s="21" t="s">
        <v>99</v>
      </c>
      <c r="R464" s="377">
        <v>65.8</v>
      </c>
      <c r="S464" s="326">
        <f t="shared" si="74"/>
        <v>271.2</v>
      </c>
      <c r="T464" s="376">
        <v>251</v>
      </c>
      <c r="U464" s="1453" t="s">
        <v>215</v>
      </c>
      <c r="V464" s="376">
        <v>302</v>
      </c>
      <c r="W464" s="376" t="s">
        <v>215</v>
      </c>
      <c r="X464" s="378" t="s">
        <v>1891</v>
      </c>
      <c r="Y464" s="64">
        <f>IF(OR(Table9[[#This Row],[Case]]=1,Table9[[#This Row],[Case]]=3),1,IF(N464="",K464,N464))</f>
        <v>5</v>
      </c>
      <c r="Z464" s="648" t="str">
        <f t="shared" si="76"/>
        <v>ND</v>
      </c>
      <c r="AA464" s="380" t="str">
        <f t="shared" si="77"/>
        <v>no acute RA</v>
      </c>
      <c r="AB464" s="64">
        <f>IF(OR(Table9[[#This Row],[Case]]=3,Table9[[#This Row],[Case]]=1),1,IF(Table9[[#This Row],[Variability factor for IESTI ]]&lt;3,Table9[[#This Row],[Variability factor for IESTI ]],3))</f>
        <v>3</v>
      </c>
      <c r="AC464" s="379" t="str">
        <f t="shared" si="78"/>
        <v>ND</v>
      </c>
      <c r="AD464" s="380" t="str">
        <f>IF($C$5="not necessary","no acute RA",IF(AC464="ND","no acute RA",IF(Table9[[#This Row],[IESTI new (mg/kg bw)]]&lt;&gt;"",AC464/$C$5,0)))</f>
        <v>no acute RA</v>
      </c>
      <c r="AE464" s="423" t="str">
        <f t="shared" si="72"/>
        <v/>
      </c>
      <c r="AF464" s="423" t="str">
        <f t="shared" si="73"/>
        <v/>
      </c>
      <c r="AG464" s="381" t="str">
        <f>IF(OR(Z464=0,Z464="ND",Z464="",$C$5="not necessary"),"",IF(X464="2a",1000*$C$5*R464/Table9[[#This Row],[Processing factor]]/(T464*Y464+S464-T464),IF(X464="2b",1000*$C$5*R464/Table9[[#This Row],[Processing factor]]/S464/Y464,IF(OR(X464=1,X464=3),1000*$C$5*R464/Table9[[#This Row],[Processing factor]]/S464,""))))</f>
        <v/>
      </c>
      <c r="AH464" s="495" t="str">
        <f>IF(OR(AC464=0,AC464="ND",$C$5="not necessary"),"",1000*$C$5*R464/Table9[[#This Row],[Processing factor]]/S464/AB464)</f>
        <v/>
      </c>
      <c r="AK464" s="651"/>
    </row>
    <row r="465" spans="1:37" x14ac:dyDescent="0.2">
      <c r="A465" s="506"/>
      <c r="B465" s="23">
        <v>270060</v>
      </c>
      <c r="C465" s="325" t="s">
        <v>836</v>
      </c>
      <c r="D465" s="373" t="str">
        <f>VLOOKUP(C465,input_values!$C$412:$BG$538,input_values!$BG$410-2,0)</f>
        <v>PROC-270060-3</v>
      </c>
      <c r="E465" s="567">
        <f>VLOOKUP(B465,input_values!$B$412:$M$538,4,FALSE)</f>
        <v>0</v>
      </c>
      <c r="F465" s="451" t="str">
        <f>VLOOKUP($D465,Table6[[Identifyer]:[Acute RA IESTI new input value]],input_values!$Q$410,FALSE)</f>
        <v/>
      </c>
      <c r="G465" s="451" t="str">
        <f>VLOOKUP($D465,Table6[[Identifyer]:[Acute RA IESTI new input value]],input_values!$P$410,FALSE)</f>
        <v/>
      </c>
      <c r="H465" s="451">
        <f>VLOOKUP($D465,Table6[[Identifyer]:[Acute RA IESTI new input value]],input_values!$S$410,FALSE)</f>
        <v>0</v>
      </c>
      <c r="I465" s="451" t="str">
        <f>VLOOKUP($D465,Table6[[Identifyer]:[Acute RA IESTI new input value]],input_values!$R$410,FALSE)</f>
        <v/>
      </c>
      <c r="J465" s="65"/>
      <c r="K465" s="301">
        <f t="shared" si="75"/>
        <v>7</v>
      </c>
      <c r="L465" s="301" t="str">
        <f>VLOOKUP(D465,input_values!$A$412:$BB$538,input_values!$AA$410,FALSE)</f>
        <v/>
      </c>
      <c r="M465" s="302">
        <f>VLOOKUP(D465,input_values!$A$412:$BB$538,input_values!$Y$410,FALSE)</f>
        <v>1</v>
      </c>
      <c r="N465" s="302" t="str">
        <f>IF(VLOOKUP(D465,input_values!$A$412:$BB$538,input_values!$L$410,FALSE)&lt;&gt;"",VLOOKUP(D465,input_values!$A$412:$BB$538,input_values!$L$410,FALSE),"")</f>
        <v/>
      </c>
      <c r="O465" s="339">
        <v>4.5000000000000009</v>
      </c>
      <c r="P465" s="375">
        <v>97.5</v>
      </c>
      <c r="Q465" s="21" t="s">
        <v>99</v>
      </c>
      <c r="R465" s="377">
        <v>65.8</v>
      </c>
      <c r="S465" s="326">
        <f t="shared" si="74"/>
        <v>296.10000000000002</v>
      </c>
      <c r="T465" s="376">
        <v>142</v>
      </c>
      <c r="U465" s="1453" t="s">
        <v>215</v>
      </c>
      <c r="V465" s="376">
        <v>142</v>
      </c>
      <c r="W465" s="376" t="s">
        <v>215</v>
      </c>
      <c r="X465" s="378" t="s">
        <v>1891</v>
      </c>
      <c r="Y465" s="64">
        <f>IF(OR(Table9[[#This Row],[Case]]=1,Table9[[#This Row],[Case]]=3),1,IF(N465="",K465,N465))</f>
        <v>7</v>
      </c>
      <c r="Z465" s="648" t="str">
        <f t="shared" si="76"/>
        <v>ND</v>
      </c>
      <c r="AA465" s="380" t="str">
        <f t="shared" si="77"/>
        <v>no acute RA</v>
      </c>
      <c r="AB465" s="64">
        <f>IF(OR(Table9[[#This Row],[Case]]=3,Table9[[#This Row],[Case]]=1),1,IF(Table9[[#This Row],[Variability factor for IESTI ]]&lt;3,Table9[[#This Row],[Variability factor for IESTI ]],3))</f>
        <v>3</v>
      </c>
      <c r="AC465" s="379" t="str">
        <f t="shared" si="78"/>
        <v>ND</v>
      </c>
      <c r="AD465" s="380" t="str">
        <f>IF($C$5="not necessary","no acute RA",IF(AC465="ND","no acute RA",IF(Table9[[#This Row],[IESTI new (mg/kg bw)]]&lt;&gt;"",AC465/$C$5,0)))</f>
        <v>no acute RA</v>
      </c>
      <c r="AE465" s="423" t="str">
        <f t="shared" si="72"/>
        <v/>
      </c>
      <c r="AF465" s="423" t="str">
        <f t="shared" si="73"/>
        <v/>
      </c>
      <c r="AG465" s="381" t="str">
        <f>IF(OR(Z465=0,Z465="ND",Z465="",$C$5="not necessary"),"",IF(X465="2a",1000*$C$5*R465/Table9[[#This Row],[Processing factor]]/(T465*Y465+S465-T465),IF(X465="2b",1000*$C$5*R465/Table9[[#This Row],[Processing factor]]/S465/Y465,IF(OR(X465=1,X465=3),1000*$C$5*R465/Table9[[#This Row],[Processing factor]]/S465,""))))</f>
        <v/>
      </c>
      <c r="AH465" s="495" t="str">
        <f>IF(OR(AC465=0,AC465="ND",$C$5="not necessary"),"",1000*$C$5*R465/Table9[[#This Row],[Processing factor]]/S465/AB465)</f>
        <v/>
      </c>
      <c r="AK465" s="651"/>
    </row>
    <row r="466" spans="1:37" x14ac:dyDescent="0.2">
      <c r="A466" s="506"/>
      <c r="B466" s="23">
        <v>270070</v>
      </c>
      <c r="C466" s="325" t="s">
        <v>837</v>
      </c>
      <c r="D466" s="373" t="str">
        <f>VLOOKUP(C466,input_values!$C$412:$BG$538,input_values!$BG$410-2,0)</f>
        <v>PROC-270070-13</v>
      </c>
      <c r="E466" s="567">
        <f>VLOOKUP(B466,input_values!$B$412:$M$538,4,FALSE)</f>
        <v>0</v>
      </c>
      <c r="F466" s="451" t="str">
        <f>VLOOKUP($D466,Table6[[Identifyer]:[Acute RA IESTI new input value]],input_values!$Q$410,FALSE)</f>
        <v/>
      </c>
      <c r="G466" s="451" t="str">
        <f>VLOOKUP($D466,Table6[[Identifyer]:[Acute RA IESTI new input value]],input_values!$P$410,FALSE)</f>
        <v/>
      </c>
      <c r="H466" s="451">
        <f>VLOOKUP($D466,Table6[[Identifyer]:[Acute RA IESTI new input value]],input_values!$S$410,FALSE)</f>
        <v>0</v>
      </c>
      <c r="I466" s="451" t="str">
        <f>VLOOKUP($D466,Table6[[Identifyer]:[Acute RA IESTI new input value]],input_values!$R$410,FALSE)</f>
        <v/>
      </c>
      <c r="J466" s="65"/>
      <c r="K466" s="301">
        <f t="shared" si="75"/>
        <v>7</v>
      </c>
      <c r="L466" s="301" t="str">
        <f>VLOOKUP(D466,input_values!$A$412:$BB$538,input_values!$AA$410,FALSE)</f>
        <v/>
      </c>
      <c r="M466" s="302">
        <f>VLOOKUP(D466,input_values!$A$412:$BB$538,input_values!$Y$410,FALSE)</f>
        <v>1</v>
      </c>
      <c r="N466" s="302" t="str">
        <f>IF(VLOOKUP(D466,input_values!$A$412:$BB$538,input_values!$L$410,FALSE)&lt;&gt;"",VLOOKUP(D466,input_values!$A$412:$BB$538,input_values!$L$410,FALSE),"")</f>
        <v/>
      </c>
      <c r="O466" s="339">
        <v>6.4513677811550156</v>
      </c>
      <c r="P466" s="375">
        <v>95</v>
      </c>
      <c r="Q466" s="21" t="s">
        <v>99</v>
      </c>
      <c r="R466" s="377">
        <v>65.8</v>
      </c>
      <c r="S466" s="326">
        <f t="shared" si="74"/>
        <v>424.5</v>
      </c>
      <c r="T466" s="376">
        <v>89.4</v>
      </c>
      <c r="U466" s="1453" t="s">
        <v>215</v>
      </c>
      <c r="V466" s="376">
        <v>104</v>
      </c>
      <c r="W466" s="376" t="s">
        <v>215</v>
      </c>
      <c r="X466" s="378" t="s">
        <v>1891</v>
      </c>
      <c r="Y466" s="64">
        <f>IF(OR(Table9[[#This Row],[Case]]=1,Table9[[#This Row],[Case]]=3),1,IF(N466="",K466,N466))</f>
        <v>7</v>
      </c>
      <c r="Z466" s="648" t="str">
        <f t="shared" si="76"/>
        <v>ND</v>
      </c>
      <c r="AA466" s="380" t="str">
        <f t="shared" si="77"/>
        <v>no acute RA</v>
      </c>
      <c r="AB466" s="64">
        <f>IF(OR(Table9[[#This Row],[Case]]=3,Table9[[#This Row],[Case]]=1),1,IF(Table9[[#This Row],[Variability factor for IESTI ]]&lt;3,Table9[[#This Row],[Variability factor for IESTI ]],3))</f>
        <v>3</v>
      </c>
      <c r="AC466" s="379" t="str">
        <f t="shared" si="78"/>
        <v>ND</v>
      </c>
      <c r="AD466" s="380" t="str">
        <f>IF($C$5="not necessary","no acute RA",IF(AC466="ND","no acute RA",IF(Table9[[#This Row],[IESTI new (mg/kg bw)]]&lt;&gt;"",AC466/$C$5,0)))</f>
        <v>no acute RA</v>
      </c>
      <c r="AE466" s="423" t="str">
        <f t="shared" si="72"/>
        <v/>
      </c>
      <c r="AF466" s="423" t="str">
        <f t="shared" si="73"/>
        <v/>
      </c>
      <c r="AG466" s="381" t="str">
        <f>IF(OR(Z466=0,Z466="ND",Z466="",$C$5="not necessary"),"",IF(X466="2a",1000*$C$5*R466/Table9[[#This Row],[Processing factor]]/(T466*Y466+S466-T466),IF(X466="2b",1000*$C$5*R466/Table9[[#This Row],[Processing factor]]/S466/Y466,IF(OR(X466=1,X466=3),1000*$C$5*R466/Table9[[#This Row],[Processing factor]]/S466,""))))</f>
        <v/>
      </c>
      <c r="AH466" s="495" t="str">
        <f>IF(OR(AC466=0,AC466="ND",$C$5="not necessary"),"",1000*$C$5*R466/Table9[[#This Row],[Processing factor]]/S466/AB466)</f>
        <v/>
      </c>
      <c r="AK466" s="651"/>
    </row>
    <row r="467" spans="1:37" x14ac:dyDescent="0.2">
      <c r="A467" s="506"/>
      <c r="B467" s="23">
        <v>270090</v>
      </c>
      <c r="C467" s="325" t="s">
        <v>472</v>
      </c>
      <c r="D467" s="373" t="str">
        <f>VLOOKUP(C467,input_values!$C$412:$BG$538,input_values!$BG$410-2,0)</f>
        <v>PROC-270090-5</v>
      </c>
      <c r="E467" s="567">
        <f>VLOOKUP(B467,input_values!$B$412:$M$538,4,FALSE)</f>
        <v>0</v>
      </c>
      <c r="F467" s="451" t="str">
        <f>VLOOKUP($D467,Table6[[Identifyer]:[Acute RA IESTI new input value]],input_values!$Q$410,FALSE)</f>
        <v/>
      </c>
      <c r="G467" s="451" t="str">
        <f>VLOOKUP($D467,Table6[[Identifyer]:[Acute RA IESTI new input value]],input_values!$P$410,FALSE)</f>
        <v/>
      </c>
      <c r="H467" s="451">
        <f>VLOOKUP($D467,Table6[[Identifyer]:[Acute RA IESTI new input value]],input_values!$S$410,FALSE)</f>
        <v>0</v>
      </c>
      <c r="I467" s="451" t="str">
        <f>VLOOKUP($D467,Table6[[Identifyer]:[Acute RA IESTI new input value]],input_values!$R$410,FALSE)</f>
        <v/>
      </c>
      <c r="J467" s="65"/>
      <c r="K467" s="301">
        <f t="shared" si="75"/>
        <v>1</v>
      </c>
      <c r="L467" s="301" t="str">
        <f>VLOOKUP(D467,input_values!$A$412:$BB$538,input_values!$AA$410,FALSE)</f>
        <v/>
      </c>
      <c r="M467" s="302">
        <f>VLOOKUP(D467,input_values!$A$412:$BB$538,input_values!$Y$410,FALSE)</f>
        <v>1</v>
      </c>
      <c r="N467" s="374" t="str">
        <f>IF(VLOOKUP(D467,input_values!$A$412:$BB$538,input_values!$L$410,FALSE)&lt;&gt;"",VLOOKUP(D467,input_values!$A$412:$BB$538,input_values!$L$410,FALSE),"")</f>
        <v/>
      </c>
      <c r="O467" s="339">
        <v>1.6717325227963526</v>
      </c>
      <c r="P467" s="375" t="s">
        <v>331</v>
      </c>
      <c r="Q467" s="21" t="s">
        <v>99</v>
      </c>
      <c r="R467" s="377">
        <v>65.8</v>
      </c>
      <c r="S467" s="326">
        <f t="shared" si="74"/>
        <v>110</v>
      </c>
      <c r="T467" s="377"/>
      <c r="U467" s="1454"/>
      <c r="V467" s="377"/>
      <c r="W467" s="377"/>
      <c r="X467" s="378">
        <v>1</v>
      </c>
      <c r="Y467" s="64">
        <f>IF(OR(Table9[[#This Row],[Case]]=1,Table9[[#This Row],[Case]]=3),1,IF(N467="",K467,N467))</f>
        <v>1</v>
      </c>
      <c r="Z467" s="648" t="str">
        <f t="shared" si="76"/>
        <v>ND</v>
      </c>
      <c r="AA467" s="380" t="str">
        <f t="shared" si="77"/>
        <v>no acute RA</v>
      </c>
      <c r="AB467" s="64">
        <f>IF(OR(Table9[[#This Row],[Case]]=3,Table9[[#This Row],[Case]]=1),1,IF(Table9[[#This Row],[Variability factor for IESTI ]]&lt;3,Table9[[#This Row],[Variability factor for IESTI ]],3))</f>
        <v>1</v>
      </c>
      <c r="AC467" s="379" t="str">
        <f t="shared" si="78"/>
        <v>ND</v>
      </c>
      <c r="AD467" s="380" t="str">
        <f>IF($C$5="not necessary","no acute RA",IF(AC467="ND","no acute RA",IF(Table9[[#This Row],[IESTI new (mg/kg bw)]]&lt;&gt;"",AC467/$C$5,0)))</f>
        <v>no acute RA</v>
      </c>
      <c r="AE467" s="423" t="str">
        <f t="shared" si="72"/>
        <v/>
      </c>
      <c r="AF467" s="423" t="str">
        <f t="shared" si="73"/>
        <v/>
      </c>
      <c r="AG467" s="381" t="str">
        <f>IF(OR(Z467=0,Z467="ND",Z467="",$C$5="not necessary"),"",IF(X467="2a",1000*$C$5*R467/Table9[[#This Row],[Processing factor]]/(T467*Y467+S467-T467),IF(X467="2b",1000*$C$5*R467/Table9[[#This Row],[Processing factor]]/S467/Y467,IF(OR(X467=1,X467=3),1000*$C$5*R467/Table9[[#This Row],[Processing factor]]/S467,""))))</f>
        <v/>
      </c>
      <c r="AH467" s="495" t="str">
        <f>IF(OR(AC467=0,AC467="ND",$C$5="not necessary"),"",1000*$C$5*R467/Table9[[#This Row],[Processing factor]]/S467/AB467)</f>
        <v/>
      </c>
      <c r="AK467" s="651"/>
    </row>
    <row r="468" spans="1:37" x14ac:dyDescent="0.2">
      <c r="A468" s="506"/>
      <c r="B468" s="23">
        <v>300010</v>
      </c>
      <c r="C468" s="325" t="s">
        <v>403</v>
      </c>
      <c r="D468" s="373" t="str">
        <f>VLOOKUP(C468,input_values!$C$412:$BG$538,input_values!$BG$410-2,0)</f>
        <v>PROC-300010-5</v>
      </c>
      <c r="E468" s="567">
        <f>VLOOKUP(B468,input_values!$B$412:$M$538,4,FALSE)</f>
        <v>0</v>
      </c>
      <c r="F468" s="451" t="str">
        <f>VLOOKUP($D468,Table6[[Identifyer]:[Acute RA IESTI new input value]],input_values!$Q$410,FALSE)</f>
        <v/>
      </c>
      <c r="G468" s="451" t="str">
        <f>VLOOKUP($D468,Table6[[Identifyer]:[Acute RA IESTI new input value]],input_values!$P$410,FALSE)</f>
        <v/>
      </c>
      <c r="H468" s="451">
        <f>VLOOKUP($D468,Table6[[Identifyer]:[Acute RA IESTI new input value]],input_values!$S$410,FALSE)</f>
        <v>0</v>
      </c>
      <c r="I468" s="451" t="str">
        <f>VLOOKUP($D468,Table6[[Identifyer]:[Acute RA IESTI new input value]],input_values!$R$410,FALSE)</f>
        <v/>
      </c>
      <c r="J468" s="65"/>
      <c r="K468" s="301">
        <f t="shared" si="75"/>
        <v>1</v>
      </c>
      <c r="L468" s="301" t="str">
        <f>VLOOKUP(D468,input_values!$A$412:$BB$538,input_values!$AA$410,FALSE)</f>
        <v/>
      </c>
      <c r="M468" s="302">
        <f>VLOOKUP(D468,input_values!$A$412:$BB$538,input_values!$Y$410,FALSE)</f>
        <v>1</v>
      </c>
      <c r="N468" s="374" t="str">
        <f>IF(VLOOKUP(D468,input_values!$A$412:$BB$538,input_values!$L$410,FALSE)&lt;&gt;"",VLOOKUP(D468,input_values!$A$412:$BB$538,input_values!$L$410,FALSE),"")</f>
        <v/>
      </c>
      <c r="O468" s="339">
        <v>7.1641337386018238</v>
      </c>
      <c r="P468" s="375">
        <v>97.5</v>
      </c>
      <c r="Q468" s="21" t="s">
        <v>99</v>
      </c>
      <c r="R468" s="377">
        <v>65.8</v>
      </c>
      <c r="S468" s="326">
        <f t="shared" si="74"/>
        <v>471.4</v>
      </c>
      <c r="T468" s="377"/>
      <c r="U468" s="377"/>
      <c r="V468" s="377"/>
      <c r="W468" s="377"/>
      <c r="X468" s="378">
        <v>3</v>
      </c>
      <c r="Y468" s="64">
        <f>IF(OR(Table9[[#This Row],[Case]]=1,Table9[[#This Row],[Case]]=3),1,IF(N468="",K468,N468))</f>
        <v>1</v>
      </c>
      <c r="Z468" s="648" t="str">
        <f t="shared" si="76"/>
        <v>ND</v>
      </c>
      <c r="AA468" s="380" t="str">
        <f t="shared" si="77"/>
        <v>no acute RA</v>
      </c>
      <c r="AB468" s="64">
        <f>IF(OR(Table9[[#This Row],[Case]]=3,Table9[[#This Row],[Case]]=1),1,IF(Table9[[#This Row],[Variability factor for IESTI ]]&lt;3,Table9[[#This Row],[Variability factor for IESTI ]],3))</f>
        <v>1</v>
      </c>
      <c r="AC468" s="379" t="str">
        <f t="shared" si="78"/>
        <v>ND</v>
      </c>
      <c r="AD468" s="380" t="str">
        <f>IF($C$5="not necessary","no acute RA",IF(AC468="ND","no acute RA",IF(Table9[[#This Row],[IESTI new (mg/kg bw)]]&lt;&gt;"",AC468/$C$5,0)))</f>
        <v>no acute RA</v>
      </c>
      <c r="AE468" s="423" t="str">
        <f t="shared" si="72"/>
        <v/>
      </c>
      <c r="AF468" s="423" t="str">
        <f t="shared" si="73"/>
        <v/>
      </c>
      <c r="AG468" s="381" t="str">
        <f>IF(OR(Z468=0,Z468="ND",Z468="",$C$5="not necessary"),"",IF(X468="2a",1000*$C$5*R468/Table9[[#This Row],[Processing factor]]/(T468*Y468+S468-T468),IF(X468="2b",1000*$C$5*R468/Table9[[#This Row],[Processing factor]]/S468/Y468,IF(OR(X468=1,X468=3),1000*$C$5*R468/Table9[[#This Row],[Processing factor]]/S468,""))))</f>
        <v/>
      </c>
      <c r="AH468" s="495" t="str">
        <f>IF(OR(AC468=0,AC468="ND",$C$5="not necessary"),"",1000*$C$5*R468/Table9[[#This Row],[Processing factor]]/S468/AB468)</f>
        <v/>
      </c>
      <c r="AK468" s="651"/>
    </row>
    <row r="469" spans="1:37" x14ac:dyDescent="0.2">
      <c r="A469" s="506"/>
      <c r="B469" s="23">
        <v>300030</v>
      </c>
      <c r="C469" s="325" t="s">
        <v>427</v>
      </c>
      <c r="D469" s="373" t="str">
        <f>VLOOKUP(C469,input_values!$C$412:$BG$538,input_values!$BG$410-2,0)</f>
        <v>PROC-300030-5</v>
      </c>
      <c r="E469" s="567">
        <f>VLOOKUP(B469,input_values!$B$412:$M$538,4,FALSE)</f>
        <v>0</v>
      </c>
      <c r="F469" s="451" t="str">
        <f>VLOOKUP($D469,Table6[[Identifyer]:[Acute RA IESTI new input value]],input_values!$Q$410,FALSE)</f>
        <v/>
      </c>
      <c r="G469" s="451" t="str">
        <f>VLOOKUP($D469,Table6[[Identifyer]:[Acute RA IESTI new input value]],input_values!$P$410,FALSE)</f>
        <v/>
      </c>
      <c r="H469" s="451">
        <f>VLOOKUP($D469,Table6[[Identifyer]:[Acute RA IESTI new input value]],input_values!$S$410,FALSE)</f>
        <v>0</v>
      </c>
      <c r="I469" s="451" t="str">
        <f>VLOOKUP($D469,Table6[[Identifyer]:[Acute RA IESTI new input value]],input_values!$R$410,FALSE)</f>
        <v/>
      </c>
      <c r="J469" s="65"/>
      <c r="K469" s="301">
        <f t="shared" si="75"/>
        <v>1</v>
      </c>
      <c r="L469" s="301" t="str">
        <f>VLOOKUP(D469,input_values!$A$412:$BB$538,input_values!$AA$410,FALSE)</f>
        <v/>
      </c>
      <c r="M469" s="302">
        <f>VLOOKUP(D469,input_values!$A$412:$BB$538,input_values!$Y$410,FALSE)</f>
        <v>0.4</v>
      </c>
      <c r="N469" s="374" t="str">
        <f>IF(VLOOKUP(D469,input_values!$A$412:$BB$538,input_values!$L$410,FALSE)&lt;&gt;"",VLOOKUP(D469,input_values!$A$412:$BB$538,input_values!$L$410,FALSE),"")</f>
        <v/>
      </c>
      <c r="O469" s="339">
        <v>6.6246200607902734</v>
      </c>
      <c r="P469" s="375">
        <v>97.5</v>
      </c>
      <c r="Q469" s="21" t="s">
        <v>99</v>
      </c>
      <c r="R469" s="377">
        <v>65.8</v>
      </c>
      <c r="S469" s="326">
        <f t="shared" si="74"/>
        <v>435.9</v>
      </c>
      <c r="T469" s="377"/>
      <c r="U469" s="377"/>
      <c r="V469" s="377"/>
      <c r="W469" s="377"/>
      <c r="X469" s="378">
        <v>3</v>
      </c>
      <c r="Y469" s="64">
        <f>IF(OR(Table9[[#This Row],[Case]]=1,Table9[[#This Row],[Case]]=3),1,IF(N469="",K469,N469))</f>
        <v>1</v>
      </c>
      <c r="Z469" s="648" t="str">
        <f t="shared" si="76"/>
        <v>ND</v>
      </c>
      <c r="AA469" s="380" t="str">
        <f t="shared" si="77"/>
        <v>no acute RA</v>
      </c>
      <c r="AB469" s="64">
        <f>IF(OR(Table9[[#This Row],[Case]]=3,Table9[[#This Row],[Case]]=1),1,IF(Table9[[#This Row],[Variability factor for IESTI ]]&lt;3,Table9[[#This Row],[Variability factor for IESTI ]],3))</f>
        <v>1</v>
      </c>
      <c r="AC469" s="379" t="str">
        <f t="shared" si="78"/>
        <v>ND</v>
      </c>
      <c r="AD469" s="380" t="str">
        <f>IF($C$5="not necessary","no acute RA",IF(AC469="ND","no acute RA",IF(Table9[[#This Row],[IESTI new (mg/kg bw)]]&lt;&gt;"",AC469/$C$5,0)))</f>
        <v>no acute RA</v>
      </c>
      <c r="AE469" s="423" t="str">
        <f t="shared" si="72"/>
        <v/>
      </c>
      <c r="AF469" s="423" t="str">
        <f t="shared" si="73"/>
        <v/>
      </c>
      <c r="AG469" s="381" t="str">
        <f>IF(OR(Z469=0,Z469="ND",Z469="",$C$5="not necessary"),"",IF(X469="2a",1000*$C$5*R469/Table9[[#This Row],[Processing factor]]/(T469*Y469+S469-T469),IF(X469="2b",1000*$C$5*R469/Table9[[#This Row],[Processing factor]]/S469/Y469,IF(OR(X469=1,X469=3),1000*$C$5*R469/Table9[[#This Row],[Processing factor]]/S469,""))))</f>
        <v/>
      </c>
      <c r="AH469" s="495" t="str">
        <f>IF(OR(AC469=0,AC469="ND",$C$5="not necessary"),"",1000*$C$5*R469/Table9[[#This Row],[Processing factor]]/S469/AB469)</f>
        <v/>
      </c>
      <c r="AK469" s="651"/>
    </row>
    <row r="470" spans="1:37" x14ac:dyDescent="0.2">
      <c r="A470" s="506"/>
      <c r="B470" s="23">
        <v>500010</v>
      </c>
      <c r="C470" s="325" t="s">
        <v>437</v>
      </c>
      <c r="D470" s="373" t="str">
        <f>VLOOKUP(C470,input_values!$C$412:$BG$538,input_values!$BG$410-2,0)</f>
        <v>PROC-500010-41</v>
      </c>
      <c r="E470" s="567">
        <f>VLOOKUP(B470,input_values!$B$412:$M$538,4,FALSE)</f>
        <v>0</v>
      </c>
      <c r="F470" s="451" t="str">
        <f>VLOOKUP($D470,Table6[[Identifyer]:[Acute RA IESTI new input value]],input_values!$Q$410,FALSE)</f>
        <v/>
      </c>
      <c r="G470" s="451" t="str">
        <f>VLOOKUP($D470,Table6[[Identifyer]:[Acute RA IESTI new input value]],input_values!$P$410,FALSE)</f>
        <v/>
      </c>
      <c r="H470" s="451">
        <f>VLOOKUP($D470,Table6[[Identifyer]:[Acute RA IESTI new input value]],input_values!$S$410,FALSE)</f>
        <v>0</v>
      </c>
      <c r="I470" s="451" t="str">
        <f>VLOOKUP($D470,Table6[[Identifyer]:[Acute RA IESTI new input value]],input_values!$R$410,FALSE)</f>
        <v/>
      </c>
      <c r="J470" s="65"/>
      <c r="K470" s="301">
        <f t="shared" si="75"/>
        <v>1</v>
      </c>
      <c r="L470" s="301" t="str">
        <f>VLOOKUP(D470,input_values!$A$412:$BB$538,input_values!$AA$410,FALSE)</f>
        <v/>
      </c>
      <c r="M470" s="302">
        <f>VLOOKUP(D470,input_values!$A$412:$BB$538,input_values!$Y$410,FALSE)</f>
        <v>0.2</v>
      </c>
      <c r="N470" s="374" t="str">
        <f>IF(VLOOKUP(D470,input_values!$A$412:$BB$538,input_values!$L$410,FALSE)&lt;&gt;"",VLOOKUP(D470,input_values!$A$412:$BB$538,input_values!$L$410,FALSE),"")</f>
        <v/>
      </c>
      <c r="O470" s="339">
        <v>36.000000000000007</v>
      </c>
      <c r="P470" s="375">
        <v>97.5</v>
      </c>
      <c r="Q470" s="21" t="s">
        <v>99</v>
      </c>
      <c r="R470" s="377">
        <v>65.8</v>
      </c>
      <c r="S470" s="326">
        <f t="shared" si="74"/>
        <v>2368.8000000000002</v>
      </c>
      <c r="T470" s="377"/>
      <c r="U470" s="377"/>
      <c r="V470" s="377"/>
      <c r="W470" s="377"/>
      <c r="X470" s="378">
        <v>3</v>
      </c>
      <c r="Y470" s="64">
        <f>IF(OR(Table9[[#This Row],[Case]]=1,Table9[[#This Row],[Case]]=3),1,IF(N470="",K470,N470))</f>
        <v>1</v>
      </c>
      <c r="Z470" s="648" t="str">
        <f t="shared" si="76"/>
        <v>ND</v>
      </c>
      <c r="AA470" s="380" t="str">
        <f t="shared" si="77"/>
        <v>no acute RA</v>
      </c>
      <c r="AB470" s="64">
        <f>IF(OR(Table9[[#This Row],[Case]]=3,Table9[[#This Row],[Case]]=1),1,IF(Table9[[#This Row],[Variability factor for IESTI ]]&lt;3,Table9[[#This Row],[Variability factor for IESTI ]],3))</f>
        <v>1</v>
      </c>
      <c r="AC470" s="379" t="str">
        <f t="shared" si="78"/>
        <v>ND</v>
      </c>
      <c r="AD470" s="380" t="str">
        <f>IF($C$5="not necessary","no acute RA",IF(AC470="ND","no acute RA",IF(Table9[[#This Row],[IESTI new (mg/kg bw)]]&lt;&gt;"",AC470/$C$5,0)))</f>
        <v>no acute RA</v>
      </c>
      <c r="AE470" s="423" t="str">
        <f t="shared" si="72"/>
        <v/>
      </c>
      <c r="AF470" s="423" t="str">
        <f t="shared" si="73"/>
        <v/>
      </c>
      <c r="AG470" s="381" t="str">
        <f>IF(OR(Z470=0,Z470="ND",Z470="",$C$5="not necessary"),"",IF(X470="2a",1000*$C$5*R470/Table9[[#This Row],[Processing factor]]/(T470*Y470+S470-T470),IF(X470="2b",1000*$C$5*R470/Table9[[#This Row],[Processing factor]]/S470/Y470,IF(OR(X470=1,X470=3),1000*$C$5*R470/Table9[[#This Row],[Processing factor]]/S470,""))))</f>
        <v/>
      </c>
      <c r="AH470" s="495" t="str">
        <f>IF(OR(AC470=0,AC470="ND",$C$5="not necessary"),"",1000*$C$5*R470/Table9[[#This Row],[Processing factor]]/S470/AB470)</f>
        <v/>
      </c>
      <c r="AK470" s="651"/>
    </row>
    <row r="471" spans="1:37" x14ac:dyDescent="0.2">
      <c r="A471" s="506"/>
      <c r="B471" s="23">
        <v>500030</v>
      </c>
      <c r="C471" s="325" t="s">
        <v>474</v>
      </c>
      <c r="D471" s="373" t="str">
        <f>VLOOKUP(C471,input_values!$C$412:$BG$538,input_values!$BG$410-2,0)</f>
        <v>PROC-500030-12</v>
      </c>
      <c r="E471" s="567">
        <f>VLOOKUP(B471,input_values!$B$412:$M$538,4,FALSE)</f>
        <v>0</v>
      </c>
      <c r="F471" s="451" t="str">
        <f>VLOOKUP($D471,Table6[[Identifyer]:[Acute RA IESTI new input value]],input_values!$Q$410,FALSE)</f>
        <v/>
      </c>
      <c r="G471" s="451" t="str">
        <f>VLOOKUP($D471,Table6[[Identifyer]:[Acute RA IESTI new input value]],input_values!$P$410,FALSE)</f>
        <v/>
      </c>
      <c r="H471" s="451">
        <f>VLOOKUP($D471,Table6[[Identifyer]:[Acute RA IESTI new input value]],input_values!$S$410,FALSE)</f>
        <v>0</v>
      </c>
      <c r="I471" s="451" t="str">
        <f>VLOOKUP($D471,Table6[[Identifyer]:[Acute RA IESTI new input value]],input_values!$R$410,FALSE)</f>
        <v/>
      </c>
      <c r="J471" s="65"/>
      <c r="K471" s="301">
        <f t="shared" si="75"/>
        <v>1</v>
      </c>
      <c r="L471" s="301" t="str">
        <f>VLOOKUP(D471,input_values!$A$412:$BB$538,input_values!$AA$410,FALSE)</f>
        <v/>
      </c>
      <c r="M471" s="302">
        <f>VLOOKUP(D471,input_values!$A$412:$BB$538,input_values!$Y$410,FALSE)</f>
        <v>25</v>
      </c>
      <c r="N471" s="374" t="str">
        <f>IF(VLOOKUP(D471,input_values!$A$412:$BB$538,input_values!$L$410,FALSE)&lt;&gt;"",VLOOKUP(D471,input_values!$A$412:$BB$538,input_values!$L$410,FALSE),"")</f>
        <v/>
      </c>
      <c r="O471" s="339">
        <v>0.50797872340425543</v>
      </c>
      <c r="P471" s="375">
        <v>97.5</v>
      </c>
      <c r="Q471" s="21" t="s">
        <v>99</v>
      </c>
      <c r="R471" s="377">
        <v>65.8</v>
      </c>
      <c r="S471" s="326">
        <f t="shared" si="74"/>
        <v>33.425000000000004</v>
      </c>
      <c r="T471" s="377"/>
      <c r="U471" s="377"/>
      <c r="V471" s="377"/>
      <c r="W471" s="377"/>
      <c r="X471" s="378">
        <v>3</v>
      </c>
      <c r="Y471" s="64">
        <f>IF(OR(Table9[[#This Row],[Case]]=1,Table9[[#This Row],[Case]]=3),1,IF(N471="",K471,N471))</f>
        <v>1</v>
      </c>
      <c r="Z471" s="648" t="str">
        <f t="shared" si="76"/>
        <v>ND</v>
      </c>
      <c r="AA471" s="380" t="str">
        <f t="shared" si="77"/>
        <v>no acute RA</v>
      </c>
      <c r="AB471" s="64">
        <f>IF(OR(Table9[[#This Row],[Case]]=3,Table9[[#This Row],[Case]]=1),1,IF(Table9[[#This Row],[Variability factor for IESTI ]]&lt;3,Table9[[#This Row],[Variability factor for IESTI ]],3))</f>
        <v>1</v>
      </c>
      <c r="AC471" s="379" t="str">
        <f t="shared" si="78"/>
        <v>ND</v>
      </c>
      <c r="AD471" s="380" t="str">
        <f>IF($C$5="not necessary","no acute RA",IF(AC471="ND","no acute RA",IF(Table9[[#This Row],[IESTI new (mg/kg bw)]]&lt;&gt;"",AC471/$C$5,0)))</f>
        <v>no acute RA</v>
      </c>
      <c r="AE471" s="423" t="str">
        <f t="shared" si="72"/>
        <v/>
      </c>
      <c r="AF471" s="423" t="str">
        <f t="shared" si="73"/>
        <v/>
      </c>
      <c r="AG471" s="381" t="str">
        <f>IF(OR(Z471=0,Z471="ND",Z471="",$C$5="not necessary"),"",IF(X471="2a",1000*$C$5*R471/Table9[[#This Row],[Processing factor]]/(T471*Y471+S471-T471),IF(X471="2b",1000*$C$5*R471/Table9[[#This Row],[Processing factor]]/S471/Y471,IF(OR(X471=1,X471=3),1000*$C$5*R471/Table9[[#This Row],[Processing factor]]/S471,""))))</f>
        <v/>
      </c>
      <c r="AH471" s="495" t="str">
        <f>IF(OR(AC471=0,AC471="ND",$C$5="not necessary"),"",1000*$C$5*R471/Table9[[#This Row],[Processing factor]]/S471/AB471)</f>
        <v/>
      </c>
      <c r="AK471" s="651"/>
    </row>
    <row r="472" spans="1:37" x14ac:dyDescent="0.2">
      <c r="A472" s="506"/>
      <c r="B472" s="23">
        <v>500040</v>
      </c>
      <c r="C472" s="325" t="s">
        <v>429</v>
      </c>
      <c r="D472" s="373" t="str">
        <f>VLOOKUP(C472,input_values!$C$412:$BG$538,input_values!$BG$410-2,0)</f>
        <v>PROC-500040-3</v>
      </c>
      <c r="E472" s="567">
        <f>VLOOKUP(B472,input_values!$B$412:$M$538,4,FALSE)</f>
        <v>0</v>
      </c>
      <c r="F472" s="451" t="str">
        <f>VLOOKUP($D472,Table6[[Identifyer]:[Acute RA IESTI new input value]],input_values!$Q$410,FALSE)</f>
        <v/>
      </c>
      <c r="G472" s="451" t="str">
        <f>VLOOKUP($D472,Table6[[Identifyer]:[Acute RA IESTI new input value]],input_values!$P$410,FALSE)</f>
        <v/>
      </c>
      <c r="H472" s="451">
        <f>VLOOKUP($D472,Table6[[Identifyer]:[Acute RA IESTI new input value]],input_values!$S$410,FALSE)</f>
        <v>0</v>
      </c>
      <c r="I472" s="451" t="str">
        <f>VLOOKUP($D472,Table6[[Identifyer]:[Acute RA IESTI new input value]],input_values!$R$410,FALSE)</f>
        <v/>
      </c>
      <c r="J472" s="65"/>
      <c r="K472" s="301">
        <f t="shared" si="75"/>
        <v>1</v>
      </c>
      <c r="L472" s="301" t="str">
        <f>VLOOKUP(D472,input_values!$A$412:$BB$538,input_values!$AA$410,FALSE)</f>
        <v/>
      </c>
      <c r="M472" s="302">
        <f>VLOOKUP(D472,input_values!$A$412:$BB$538,input_values!$Y$410,FALSE)</f>
        <v>0.4</v>
      </c>
      <c r="N472" s="374" t="str">
        <f>IF(VLOOKUP(D472,input_values!$A$412:$BB$538,input_values!$L$410,FALSE)&lt;&gt;"",VLOOKUP(D472,input_values!$A$412:$BB$538,input_values!$L$410,FALSE),"")</f>
        <v/>
      </c>
      <c r="O472" s="339">
        <v>5.6829999999999998</v>
      </c>
      <c r="P472" s="375" t="s">
        <v>349</v>
      </c>
      <c r="Q472" s="21" t="s">
        <v>99</v>
      </c>
      <c r="R472" s="377">
        <v>65.8</v>
      </c>
      <c r="S472" s="326">
        <f>O472*R472</f>
        <v>373.94139999999999</v>
      </c>
      <c r="T472" s="377"/>
      <c r="U472" s="377"/>
      <c r="V472" s="377"/>
      <c r="W472" s="377"/>
      <c r="X472" s="378">
        <v>3</v>
      </c>
      <c r="Y472" s="64">
        <f>IF(OR(Table9[[#This Row],[Case]]=1,Table9[[#This Row],[Case]]=3),1,IF(N472="",K472,N472))</f>
        <v>1</v>
      </c>
      <c r="Z472" s="648" t="str">
        <f t="shared" si="76"/>
        <v>ND</v>
      </c>
      <c r="AA472" s="380" t="str">
        <f t="shared" si="77"/>
        <v>no acute RA</v>
      </c>
      <c r="AB472" s="64">
        <f>IF(OR(Table9[[#This Row],[Case]]=3,Table9[[#This Row],[Case]]=1),1,IF(Table9[[#This Row],[Variability factor for IESTI ]]&lt;3,Table9[[#This Row],[Variability factor for IESTI ]],3))</f>
        <v>1</v>
      </c>
      <c r="AC472" s="379" t="str">
        <f t="shared" si="78"/>
        <v>ND</v>
      </c>
      <c r="AD472" s="380" t="str">
        <f>IF($C$5="not necessary","no acute RA",IF(AC472="ND","no acute RA",IF(Table9[[#This Row],[IESTI new (mg/kg bw)]]&lt;&gt;"",AC472/$C$5,0)))</f>
        <v>no acute RA</v>
      </c>
      <c r="AE472" s="423" t="str">
        <f>IF(AA472&gt;=1,AG472,"")</f>
        <v/>
      </c>
      <c r="AF472" s="423" t="str">
        <f>IF(AD472&gt;=1,AH472,"")</f>
        <v/>
      </c>
      <c r="AG472" s="381" t="str">
        <f>IF(OR(Z472=0,Z472="ND",Z472="",$C$5="not necessary"),"",IF(X472="2a",1000*$C$5*R472/Table9[[#This Row],[Processing factor]]/(T472*Y472+S472-T472),IF(X472="2b",1000*$C$5*R472/Table9[[#This Row],[Processing factor]]/S472/Y472,IF(OR(X472=1,X472=3),1000*$C$5*R472/Table9[[#This Row],[Processing factor]]/S472,""))))</f>
        <v/>
      </c>
      <c r="AH472" s="495" t="str">
        <f>IF(OR(AC472=0,AC472="ND",$C$5="not necessary"),"",1000*$C$5*R472/Table9[[#This Row],[Processing factor]]/S472/AB472)</f>
        <v/>
      </c>
      <c r="AK472" s="651"/>
    </row>
    <row r="473" spans="1:37" x14ac:dyDescent="0.2">
      <c r="A473" s="506"/>
      <c r="B473" s="23">
        <v>500050</v>
      </c>
      <c r="C473" s="325" t="s">
        <v>842</v>
      </c>
      <c r="D473" s="373" t="str">
        <f>VLOOKUP(C473,input_values!$C$412:$BG$538,input_values!$BG$410-2,0)</f>
        <v>PROC-500050-3</v>
      </c>
      <c r="E473" s="567">
        <f>VLOOKUP(B473,input_values!$B$412:$M$538,4,FALSE)</f>
        <v>0</v>
      </c>
      <c r="F473" s="451" t="str">
        <f>VLOOKUP($D473,Table6[[Identifyer]:[Acute RA IESTI new input value]],input_values!$Q$410,FALSE)</f>
        <v/>
      </c>
      <c r="G473" s="451" t="str">
        <f>VLOOKUP($D473,Table6[[Identifyer]:[Acute RA IESTI new input value]],input_values!$P$410,FALSE)</f>
        <v/>
      </c>
      <c r="H473" s="451">
        <f>VLOOKUP($D473,Table6[[Identifyer]:[Acute RA IESTI new input value]],input_values!$S$410,FALSE)</f>
        <v>0</v>
      </c>
      <c r="I473" s="451" t="str">
        <f>VLOOKUP($D473,Table6[[Identifyer]:[Acute RA IESTI new input value]],input_values!$R$410,FALSE)</f>
        <v/>
      </c>
      <c r="J473" s="65"/>
      <c r="K473" s="301">
        <f t="shared" si="75"/>
        <v>1</v>
      </c>
      <c r="L473" s="301" t="str">
        <f>VLOOKUP(D473,input_values!$A$412:$BB$538,input_values!$AA$410,FALSE)</f>
        <v/>
      </c>
      <c r="M473" s="302">
        <f>VLOOKUP(D473,input_values!$A$412:$BB$538,input_values!$Y$410,FALSE)</f>
        <v>1</v>
      </c>
      <c r="N473" s="374" t="str">
        <f>IF(VLOOKUP(D473,input_values!$A$412:$BB$538,input_values!$L$410,FALSE)&lt;&gt;"",VLOOKUP(D473,input_values!$A$412:$BB$538,input_values!$L$410,FALSE),"")</f>
        <v/>
      </c>
      <c r="O473" s="339">
        <v>1.52</v>
      </c>
      <c r="P473" s="375" t="s">
        <v>331</v>
      </c>
      <c r="Q473" s="21" t="s">
        <v>99</v>
      </c>
      <c r="R473" s="377">
        <v>65.8</v>
      </c>
      <c r="S473" s="326">
        <f>O473*R473</f>
        <v>100.01599999999999</v>
      </c>
      <c r="T473" s="377"/>
      <c r="U473" s="377"/>
      <c r="V473" s="377"/>
      <c r="W473" s="377"/>
      <c r="X473" s="378">
        <v>3</v>
      </c>
      <c r="Y473" s="64">
        <f>IF(OR(Table9[[#This Row],[Case]]=1,Table9[[#This Row],[Case]]=3),1,IF(N473="",K473,N473))</f>
        <v>1</v>
      </c>
      <c r="Z473" s="648" t="str">
        <f t="shared" si="76"/>
        <v>ND</v>
      </c>
      <c r="AA473" s="380" t="str">
        <f t="shared" si="77"/>
        <v>no acute RA</v>
      </c>
      <c r="AB473" s="64">
        <f>IF(OR(Table9[[#This Row],[Case]]=3,Table9[[#This Row],[Case]]=1),1,IF(Table9[[#This Row],[Variability factor for IESTI ]]&lt;3,Table9[[#This Row],[Variability factor for IESTI ]],3))</f>
        <v>1</v>
      </c>
      <c r="AC473" s="379" t="str">
        <f t="shared" si="78"/>
        <v>ND</v>
      </c>
      <c r="AD473" s="380" t="str">
        <f>IF($C$5="not necessary","no acute RA",IF(AC473="ND","no acute RA",IF(Table9[[#This Row],[IESTI new (mg/kg bw)]]&lt;&gt;"",AC473/$C$5,0)))</f>
        <v>no acute RA</v>
      </c>
      <c r="AE473" s="423" t="str">
        <f>IF(AA473&gt;=1,AG473,"")</f>
        <v/>
      </c>
      <c r="AF473" s="423" t="str">
        <f>IF(AD473&gt;=1,AH473,"")</f>
        <v/>
      </c>
      <c r="AG473" s="381" t="str">
        <f>IF(OR(Z473=0,Z473="ND",Z473="",$C$5="not necessary"),"",IF(X473="2a",1000*$C$5*R473/Table9[[#This Row],[Processing factor]]/(T473*Y473+S473-T473),IF(X473="2b",1000*$C$5*R473/Table9[[#This Row],[Processing factor]]/S473/Y473,IF(OR(X473=1,X473=3),1000*$C$5*R473/Table9[[#This Row],[Processing factor]]/S473,""))))</f>
        <v/>
      </c>
      <c r="AH473" s="495" t="str">
        <f>IF(OR(AC473=0,AC473="ND",$C$5="not necessary"),"",1000*$C$5*R473/Table9[[#This Row],[Processing factor]]/S473/AB473)</f>
        <v/>
      </c>
      <c r="AK473" s="651"/>
    </row>
    <row r="474" spans="1:37" x14ac:dyDescent="0.2">
      <c r="A474" s="506"/>
      <c r="B474" s="23">
        <v>500060</v>
      </c>
      <c r="C474" s="325" t="s">
        <v>430</v>
      </c>
      <c r="D474" s="373" t="str">
        <f>VLOOKUP(C474,input_values!$C$412:$BG$538,input_values!$BG$410-2,0)</f>
        <v>PROC-500060-47</v>
      </c>
      <c r="E474" s="567">
        <f>VLOOKUP(B474,input_values!$B$412:$M$538,4,FALSE)</f>
        <v>0</v>
      </c>
      <c r="F474" s="451" t="str">
        <f>VLOOKUP($D474,Table6[[Identifyer]:[Acute RA IESTI new input value]],input_values!$Q$410,FALSE)</f>
        <v/>
      </c>
      <c r="G474" s="451" t="str">
        <f>VLOOKUP($D474,Table6[[Identifyer]:[Acute RA IESTI new input value]],input_values!$P$410,FALSE)</f>
        <v/>
      </c>
      <c r="H474" s="451">
        <f>VLOOKUP($D474,Table6[[Identifyer]:[Acute RA IESTI new input value]],input_values!$S$410,FALSE)</f>
        <v>0</v>
      </c>
      <c r="I474" s="451" t="str">
        <f>VLOOKUP($D474,Table6[[Identifyer]:[Acute RA IESTI new input value]],input_values!$R$410,FALSE)</f>
        <v/>
      </c>
      <c r="J474" s="65"/>
      <c r="K474" s="301">
        <f t="shared" si="75"/>
        <v>1</v>
      </c>
      <c r="L474" s="301" t="str">
        <f>VLOOKUP(D474,input_values!$A$412:$BB$538,input_values!$AA$410,FALSE)</f>
        <v/>
      </c>
      <c r="M474" s="302">
        <f>VLOOKUP(D474,input_values!$A$412:$BB$538,input_values!$Y$410,FALSE)</f>
        <v>0.4</v>
      </c>
      <c r="N474" s="374" t="str">
        <f>IF(VLOOKUP(D474,input_values!$A$412:$BB$538,input_values!$L$410,FALSE)&lt;&gt;"",VLOOKUP(D474,input_values!$A$412:$BB$538,input_values!$L$410,FALSE),"")</f>
        <v/>
      </c>
      <c r="O474" s="339">
        <v>9.6778115501519757</v>
      </c>
      <c r="P474" s="375">
        <v>97.5</v>
      </c>
      <c r="Q474" s="21" t="s">
        <v>99</v>
      </c>
      <c r="R474" s="377">
        <v>65.8</v>
      </c>
      <c r="S474" s="326">
        <f t="shared" si="74"/>
        <v>636.79999999999995</v>
      </c>
      <c r="T474" s="377"/>
      <c r="U474" s="377"/>
      <c r="V474" s="377"/>
      <c r="W474" s="377"/>
      <c r="X474" s="378">
        <v>3</v>
      </c>
      <c r="Y474" s="64">
        <f>IF(OR(Table9[[#This Row],[Case]]=1,Table9[[#This Row],[Case]]=3),1,IF(N474="",K474,N474))</f>
        <v>1</v>
      </c>
      <c r="Z474" s="648" t="str">
        <f t="shared" si="76"/>
        <v>ND</v>
      </c>
      <c r="AA474" s="380" t="str">
        <f t="shared" si="77"/>
        <v>no acute RA</v>
      </c>
      <c r="AB474" s="64">
        <f>IF(OR(Table9[[#This Row],[Case]]=3,Table9[[#This Row],[Case]]=1),1,IF(Table9[[#This Row],[Variability factor for IESTI ]]&lt;3,Table9[[#This Row],[Variability factor for IESTI ]],3))</f>
        <v>1</v>
      </c>
      <c r="AC474" s="379" t="str">
        <f t="shared" si="78"/>
        <v>ND</v>
      </c>
      <c r="AD474" s="380" t="str">
        <f>IF($C$5="not necessary","no acute RA",IF(AC474="ND","no acute RA",IF(Table9[[#This Row],[IESTI new (mg/kg bw)]]&lt;&gt;"",AC474/$C$5,0)))</f>
        <v>no acute RA</v>
      </c>
      <c r="AE474" s="423" t="str">
        <f t="shared" si="72"/>
        <v/>
      </c>
      <c r="AF474" s="423" t="str">
        <f t="shared" si="73"/>
        <v/>
      </c>
      <c r="AG474" s="381" t="str">
        <f>IF(OR(Z474=0,Z474="ND",Z474="",$C$5="not necessary"),"",IF(X474="2a",1000*$C$5*R474/Table9[[#This Row],[Processing factor]]/(T474*Y474+S474-T474),IF(X474="2b",1000*$C$5*R474/Table9[[#This Row],[Processing factor]]/S474/Y474,IF(OR(X474=1,X474=3),1000*$C$5*R474/Table9[[#This Row],[Processing factor]]/S474,""))))</f>
        <v/>
      </c>
      <c r="AH474" s="495" t="str">
        <f>IF(OR(AC474=0,AC474="ND",$C$5="not necessary"),"",1000*$C$5*R474/Table9[[#This Row],[Processing factor]]/S474/AB474)</f>
        <v/>
      </c>
      <c r="AK474" s="651"/>
    </row>
    <row r="475" spans="1:37" x14ac:dyDescent="0.2">
      <c r="A475" s="506"/>
      <c r="B475" s="23">
        <v>500090</v>
      </c>
      <c r="C475" s="325" t="s">
        <v>475</v>
      </c>
      <c r="D475" s="373" t="str">
        <f>VLOOKUP(C475,input_values!$C$412:$BG$538,input_values!$BG$410-2,0)</f>
        <v>PROC-500090-35</v>
      </c>
      <c r="E475" s="567">
        <f>VLOOKUP(B475,input_values!$B$412:$M$538,4,FALSE)</f>
        <v>0</v>
      </c>
      <c r="F475" s="451" t="str">
        <f>VLOOKUP($D475,Table6[[Identifyer]:[Acute RA IESTI new input value]],input_values!$Q$410,FALSE)</f>
        <v/>
      </c>
      <c r="G475" s="451" t="str">
        <f>VLOOKUP($D475,Table6[[Identifyer]:[Acute RA IESTI new input value]],input_values!$P$410,FALSE)</f>
        <v/>
      </c>
      <c r="H475" s="451">
        <f>VLOOKUP($D475,Table6[[Identifyer]:[Acute RA IESTI new input value]],input_values!$S$410,FALSE)</f>
        <v>0</v>
      </c>
      <c r="I475" s="451" t="str">
        <f>VLOOKUP($D475,Table6[[Identifyer]:[Acute RA IESTI new input value]],input_values!$R$410,FALSE)</f>
        <v/>
      </c>
      <c r="J475" s="65"/>
      <c r="K475" s="301">
        <f t="shared" si="75"/>
        <v>1</v>
      </c>
      <c r="L475" s="301" t="str">
        <f>VLOOKUP(D475,input_values!$A$412:$BB$538,input_values!$AA$410,FALSE)</f>
        <v/>
      </c>
      <c r="M475" s="302">
        <f>VLOOKUP(D475,input_values!$A$412:$BB$538,input_values!$Y$410,FALSE)</f>
        <v>1</v>
      </c>
      <c r="N475" s="374" t="str">
        <f>IF(VLOOKUP(D475,input_values!$A$412:$BB$538,input_values!$L$410,FALSE)&lt;&gt;"",VLOOKUP(D475,input_values!$A$412:$BB$538,input_values!$L$410,FALSE),"")</f>
        <v/>
      </c>
      <c r="O475" s="339">
        <v>3.4940000000000002</v>
      </c>
      <c r="P475" s="375">
        <v>97.5</v>
      </c>
      <c r="Q475" s="21" t="s">
        <v>99</v>
      </c>
      <c r="R475" s="377">
        <v>65.8</v>
      </c>
      <c r="S475" s="326">
        <f t="shared" si="74"/>
        <v>229.90520000000001</v>
      </c>
      <c r="T475" s="377"/>
      <c r="U475" s="377"/>
      <c r="V475" s="377"/>
      <c r="W475" s="377"/>
      <c r="X475" s="378">
        <v>3</v>
      </c>
      <c r="Y475" s="64">
        <f>IF(OR(Table9[[#This Row],[Case]]=1,Table9[[#This Row],[Case]]=3),1,IF(N475="",K475,N475))</f>
        <v>1</v>
      </c>
      <c r="Z475" s="648" t="str">
        <f t="shared" si="76"/>
        <v>ND</v>
      </c>
      <c r="AA475" s="380" t="str">
        <f t="shared" si="77"/>
        <v>no acute RA</v>
      </c>
      <c r="AB475" s="64">
        <f>IF(OR(Table9[[#This Row],[Case]]=3,Table9[[#This Row],[Case]]=1),1,IF(Table9[[#This Row],[Variability factor for IESTI ]]&lt;3,Table9[[#This Row],[Variability factor for IESTI ]],3))</f>
        <v>1</v>
      </c>
      <c r="AC475" s="379" t="str">
        <f t="shared" si="78"/>
        <v>ND</v>
      </c>
      <c r="AD475" s="380" t="str">
        <f>IF($C$5="not necessary","no acute RA",IF(AC475="ND","no acute RA",IF(Table9[[#This Row],[IESTI new (mg/kg bw)]]&lt;&gt;"",AC475/$C$5,0)))</f>
        <v>no acute RA</v>
      </c>
      <c r="AE475" s="423" t="str">
        <f t="shared" si="72"/>
        <v/>
      </c>
      <c r="AF475" s="423" t="str">
        <f t="shared" si="73"/>
        <v/>
      </c>
      <c r="AG475" s="381" t="str">
        <f>IF(OR(Z475=0,Z475="ND",Z475="",$C$5="not necessary"),"",IF(X475="2a",1000*$C$5*R475/Table9[[#This Row],[Processing factor]]/(T475*Y475+S475-T475),IF(X475="2b",1000*$C$5*R475/Table9[[#This Row],[Processing factor]]/S475/Y475,IF(OR(X475=1,X475=3),1000*$C$5*R475/Table9[[#This Row],[Processing factor]]/S475,""))))</f>
        <v/>
      </c>
      <c r="AH475" s="495" t="str">
        <f>IF(OR(AC475=0,AC475="ND",$C$5="not necessary"),"",1000*$C$5*R475/Table9[[#This Row],[Processing factor]]/S475/AB475)</f>
        <v/>
      </c>
      <c r="AK475" s="651"/>
    </row>
    <row r="476" spans="1:37" x14ac:dyDescent="0.2">
      <c r="A476" s="506"/>
      <c r="B476" s="23">
        <v>500090</v>
      </c>
      <c r="C476" s="325" t="s">
        <v>476</v>
      </c>
      <c r="D476" s="373" t="str">
        <f>VLOOKUP(C476,input_values!$C$412:$BG$538,input_values!$BG$410-2,0)</f>
        <v>PROC-500090-34</v>
      </c>
      <c r="E476" s="567">
        <f>VLOOKUP(B476,input_values!$B$412:$M$538,4,FALSE)</f>
        <v>0</v>
      </c>
      <c r="F476" s="451" t="str">
        <f>VLOOKUP($D476,Table6[[Identifyer]:[Acute RA IESTI new input value]],input_values!$Q$410,FALSE)</f>
        <v/>
      </c>
      <c r="G476" s="451" t="str">
        <f>VLOOKUP($D476,Table6[[Identifyer]:[Acute RA IESTI new input value]],input_values!$P$410,FALSE)</f>
        <v/>
      </c>
      <c r="H476" s="451">
        <f>VLOOKUP($D476,Table6[[Identifyer]:[Acute RA IESTI new input value]],input_values!$S$410,FALSE)</f>
        <v>0</v>
      </c>
      <c r="I476" s="451" t="str">
        <f>VLOOKUP($D476,Table6[[Identifyer]:[Acute RA IESTI new input value]],input_values!$R$410,FALSE)</f>
        <v/>
      </c>
      <c r="J476" s="65"/>
      <c r="K476" s="301">
        <f t="shared" ref="K476:K493" si="79">IF(OR(X476=1,X476=3),1,IF(V476&gt;250,5,7))</f>
        <v>1</v>
      </c>
      <c r="L476" s="301" t="str">
        <f>VLOOKUP(D476,input_values!$A$412:$BB$538,input_values!$AA$410,FALSE)</f>
        <v/>
      </c>
      <c r="M476" s="302">
        <f>VLOOKUP(D476,input_values!$A$412:$BB$538,input_values!$Y$410,FALSE)</f>
        <v>1</v>
      </c>
      <c r="N476" s="374" t="str">
        <f>IF(VLOOKUP(D476,input_values!$A$412:$BB$538,input_values!$L$410,FALSE)&lt;&gt;"",VLOOKUP(D476,input_values!$A$412:$BB$538,input_values!$L$410,FALSE),"")</f>
        <v/>
      </c>
      <c r="O476" s="339">
        <v>4.3909774436090228</v>
      </c>
      <c r="P476" s="375">
        <v>97.5</v>
      </c>
      <c r="Q476" s="21" t="s">
        <v>244</v>
      </c>
      <c r="R476" s="377">
        <v>66.5</v>
      </c>
      <c r="S476" s="326">
        <f t="shared" si="74"/>
        <v>292</v>
      </c>
      <c r="T476" s="377"/>
      <c r="U476" s="377"/>
      <c r="V476" s="377"/>
      <c r="W476" s="377"/>
      <c r="X476" s="378">
        <v>3</v>
      </c>
      <c r="Y476" s="64">
        <f>IF(OR(Table9[[#This Row],[Case]]=1,Table9[[#This Row],[Case]]=3),1,IF(N476="",K476,N476))</f>
        <v>1</v>
      </c>
      <c r="Z476" s="648" t="str">
        <f t="shared" ref="Z476:Z493" si="80">IF(F476&lt;&gt;"",IF(OR($X476=3,$X476=1),1/$R476*($F476*$S476/1000*$Y476),IF(($X476="2a"),1/$R476*(($F476*$T476/1000*$Y476)+($F476*($S476-$T476)/1000)),IF($X476="2b",1/$R476*($F476*$S476/1000*$Y476)))),"ND")</f>
        <v>ND</v>
      </c>
      <c r="AA476" s="380" t="str">
        <f t="shared" ref="AA476:AA493" si="81">IF($C$5="not necessary","no acute RA",IF(Z476="ND","no acute RA",Z476/$C$5))</f>
        <v>no acute RA</v>
      </c>
      <c r="AB476" s="64">
        <f>IF(OR(Table9[[#This Row],[Case]]=3,Table9[[#This Row],[Case]]=1),1,IF(Table9[[#This Row],[Variability factor for IESTI ]]&lt;3,Table9[[#This Row],[Variability factor for IESTI ]],3))</f>
        <v>1</v>
      </c>
      <c r="AC476" s="379" t="str">
        <f t="shared" ref="AC476:AC493" si="82">IF(OR(ISTEXT(H476),H476=0),"ND",1/$R476*($H476*$S476*AB476/1000))</f>
        <v>ND</v>
      </c>
      <c r="AD476" s="380" t="str">
        <f>IF($C$5="not necessary","no acute RA",IF(AC476="ND","no acute RA",IF(Table9[[#This Row],[IESTI new (mg/kg bw)]]&lt;&gt;"",AC476/$C$5,0)))</f>
        <v>no acute RA</v>
      </c>
      <c r="AE476" s="423" t="str">
        <f t="shared" si="72"/>
        <v/>
      </c>
      <c r="AF476" s="423" t="str">
        <f t="shared" si="73"/>
        <v/>
      </c>
      <c r="AG476" s="381" t="str">
        <f>IF(OR(Z476=0,Z476="ND",Z476="",$C$5="not necessary"),"",IF(X476="2a",1000*$C$5*R476/Table9[[#This Row],[Processing factor]]/(T476*Y476+S476-T476),IF(X476="2b",1000*$C$5*R476/Table9[[#This Row],[Processing factor]]/S476/Y476,IF(OR(X476=1,X476=3),1000*$C$5*R476/Table9[[#This Row],[Processing factor]]/S476,""))))</f>
        <v/>
      </c>
      <c r="AH476" s="495" t="str">
        <f>IF(OR(AC476=0,AC476="ND",$C$5="not necessary"),"",1000*$C$5*R476/Table9[[#This Row],[Processing factor]]/S476/AB476)</f>
        <v/>
      </c>
      <c r="AK476" s="651"/>
    </row>
    <row r="477" spans="1:37" x14ac:dyDescent="0.2">
      <c r="A477" s="506"/>
      <c r="B477" s="23">
        <v>500090</v>
      </c>
      <c r="C477" s="325" t="s">
        <v>477</v>
      </c>
      <c r="D477" s="373" t="str">
        <f>VLOOKUP(C477,input_values!$C$412:$BG$538,input_values!$BG$410-2,0)</f>
        <v>PROC-500090-32</v>
      </c>
      <c r="E477" s="567">
        <f>VLOOKUP(B477,input_values!$B$412:$M$538,4,FALSE)</f>
        <v>0</v>
      </c>
      <c r="F477" s="451" t="str">
        <f>VLOOKUP($D477,Table6[[Identifyer]:[Acute RA IESTI new input value]],input_values!$Q$410,FALSE)</f>
        <v/>
      </c>
      <c r="G477" s="451" t="str">
        <f>VLOOKUP($D477,Table6[[Identifyer]:[Acute RA IESTI new input value]],input_values!$P$410,FALSE)</f>
        <v/>
      </c>
      <c r="H477" s="451">
        <f>VLOOKUP($D477,Table6[[Identifyer]:[Acute RA IESTI new input value]],input_values!$S$410,FALSE)</f>
        <v>0</v>
      </c>
      <c r="I477" s="451" t="str">
        <f>VLOOKUP($D477,Table6[[Identifyer]:[Acute RA IESTI new input value]],input_values!$R$410,FALSE)</f>
        <v/>
      </c>
      <c r="J477" s="65"/>
      <c r="K477" s="301">
        <f t="shared" si="79"/>
        <v>1</v>
      </c>
      <c r="L477" s="301" t="str">
        <f>VLOOKUP(D477,input_values!$A$412:$BB$538,input_values!$AA$410,FALSE)</f>
        <v/>
      </c>
      <c r="M477" s="302">
        <f>VLOOKUP(D477,input_values!$A$412:$BB$538,input_values!$Y$410,FALSE)</f>
        <v>1</v>
      </c>
      <c r="N477" s="374" t="str">
        <f>IF(VLOOKUP(D477,input_values!$A$412:$BB$538,input_values!$L$410,FALSE)&lt;&gt;"",VLOOKUP(D477,input_values!$A$412:$BB$538,input_values!$L$410,FALSE),"")</f>
        <v/>
      </c>
      <c r="O477" s="339">
        <v>3.8145896656534957</v>
      </c>
      <c r="P477" s="375">
        <v>97.5</v>
      </c>
      <c r="Q477" s="21" t="s">
        <v>99</v>
      </c>
      <c r="R477" s="377">
        <v>65.8</v>
      </c>
      <c r="S477" s="326">
        <f t="shared" si="74"/>
        <v>251</v>
      </c>
      <c r="T477" s="377"/>
      <c r="U477" s="377"/>
      <c r="V477" s="377"/>
      <c r="W477" s="377"/>
      <c r="X477" s="378">
        <v>3</v>
      </c>
      <c r="Y477" s="64">
        <f>IF(OR(Table9[[#This Row],[Case]]=1,Table9[[#This Row],[Case]]=3),1,IF(N477="",K477,N477))</f>
        <v>1</v>
      </c>
      <c r="Z477" s="648" t="str">
        <f t="shared" si="80"/>
        <v>ND</v>
      </c>
      <c r="AA477" s="380" t="str">
        <f t="shared" si="81"/>
        <v>no acute RA</v>
      </c>
      <c r="AB477" s="64">
        <f>IF(OR(Table9[[#This Row],[Case]]=3,Table9[[#This Row],[Case]]=1),1,IF(Table9[[#This Row],[Variability factor for IESTI ]]&lt;3,Table9[[#This Row],[Variability factor for IESTI ]],3))</f>
        <v>1</v>
      </c>
      <c r="AC477" s="379" t="str">
        <f t="shared" si="82"/>
        <v>ND</v>
      </c>
      <c r="AD477" s="380" t="str">
        <f>IF($C$5="not necessary","no acute RA",IF(AC477="ND","no acute RA",IF(Table9[[#This Row],[IESTI new (mg/kg bw)]]&lt;&gt;"",AC477/$C$5,0)))</f>
        <v>no acute RA</v>
      </c>
      <c r="AE477" s="423" t="str">
        <f t="shared" si="72"/>
        <v/>
      </c>
      <c r="AF477" s="423" t="str">
        <f t="shared" si="73"/>
        <v/>
      </c>
      <c r="AG477" s="381" t="str">
        <f>IF(OR(Z477=0,Z477="ND",Z477="",$C$5="not necessary"),"",IF(X477="2a",1000*$C$5*R477/Table9[[#This Row],[Processing factor]]/(T477*Y477+S477-T477),IF(X477="2b",1000*$C$5*R477/Table9[[#This Row],[Processing factor]]/S477/Y477,IF(OR(X477=1,X477=3),1000*$C$5*R477/Table9[[#This Row],[Processing factor]]/S477,""))))</f>
        <v/>
      </c>
      <c r="AH477" s="495" t="str">
        <f>IF(OR(AC477=0,AC477="ND",$C$5="not necessary"),"",1000*$C$5*R477/Table9[[#This Row],[Processing factor]]/S477/AB477)</f>
        <v/>
      </c>
      <c r="AK477" s="651"/>
    </row>
    <row r="478" spans="1:37" ht="24" x14ac:dyDescent="0.2">
      <c r="A478" s="506"/>
      <c r="B478" s="23">
        <v>610000</v>
      </c>
      <c r="C478" s="325" t="s">
        <v>679</v>
      </c>
      <c r="D478" s="373" t="str">
        <f>VLOOKUP(C478,input_values!$C$412:$BG$538,input_values!$BG$410-2,0)</f>
        <v>PROC-610000-31</v>
      </c>
      <c r="E478" s="567">
        <f>VLOOKUP(B478,input_values!$B$412:$M$538,4,FALSE)</f>
        <v>0</v>
      </c>
      <c r="F478" s="451" t="str">
        <f>VLOOKUP($D478,Table6[[Identifyer]:[Acute RA IESTI new input value]],input_values!$Q$410,FALSE)</f>
        <v/>
      </c>
      <c r="G478" s="451" t="str">
        <f>VLOOKUP($D478,Table6[[Identifyer]:[Acute RA IESTI new input value]],input_values!$P$410,FALSE)</f>
        <v/>
      </c>
      <c r="H478" s="451">
        <f>VLOOKUP($D478,Table6[[Identifyer]:[Acute RA IESTI new input value]],input_values!$S$410,FALSE)</f>
        <v>0</v>
      </c>
      <c r="I478" s="451" t="str">
        <f>VLOOKUP($D478,Table6[[Identifyer]:[Acute RA IESTI new input value]],input_values!$R$410,FALSE)</f>
        <v/>
      </c>
      <c r="J478" s="65"/>
      <c r="K478" s="301">
        <f t="shared" si="79"/>
        <v>1</v>
      </c>
      <c r="L478" s="301" t="str">
        <f>VLOOKUP(D478,input_values!$A$412:$BB$538,input_values!$AA$410,FALSE)</f>
        <v/>
      </c>
      <c r="M478" s="302">
        <f>VLOOKUP(D478,input_values!$A$412:$BB$538,input_values!$Y$410,FALSE)</f>
        <v>0.01</v>
      </c>
      <c r="N478" s="374" t="str">
        <f>IF(VLOOKUP(D478,input_values!$A$412:$BB$538,input_values!$L$410,FALSE)&lt;&gt;"",VLOOKUP(D478,input_values!$A$412:$BB$538,input_values!$L$410,FALSE),"")</f>
        <v/>
      </c>
      <c r="O478" s="339">
        <v>20.293313069908816</v>
      </c>
      <c r="P478" s="375">
        <v>97.5</v>
      </c>
      <c r="Q478" s="21" t="s">
        <v>99</v>
      </c>
      <c r="R478" s="377">
        <v>65.8</v>
      </c>
      <c r="S478" s="326">
        <f t="shared" si="74"/>
        <v>1335.3</v>
      </c>
      <c r="T478" s="377"/>
      <c r="U478" s="377"/>
      <c r="V478" s="377"/>
      <c r="W478" s="377"/>
      <c r="X478" s="378">
        <v>3</v>
      </c>
      <c r="Y478" s="64">
        <f>IF(OR(Table9[[#This Row],[Case]]=1,Table9[[#This Row],[Case]]=3),1,IF(N478="",K478,N478))</f>
        <v>1</v>
      </c>
      <c r="Z478" s="648" t="str">
        <f t="shared" si="80"/>
        <v>ND</v>
      </c>
      <c r="AA478" s="380" t="str">
        <f t="shared" si="81"/>
        <v>no acute RA</v>
      </c>
      <c r="AB478" s="64">
        <f>IF(OR(Table9[[#This Row],[Case]]=3,Table9[[#This Row],[Case]]=1),1,IF(Table9[[#This Row],[Variability factor for IESTI ]]&lt;3,Table9[[#This Row],[Variability factor for IESTI ]],3))</f>
        <v>1</v>
      </c>
      <c r="AC478" s="379" t="str">
        <f t="shared" si="82"/>
        <v>ND</v>
      </c>
      <c r="AD478" s="380" t="str">
        <f>IF($C$5="not necessary","no acute RA",IF(AC478="ND","no acute RA",IF(Table9[[#This Row],[IESTI new (mg/kg bw)]]&lt;&gt;"",AC478/$C$5,0)))</f>
        <v>no acute RA</v>
      </c>
      <c r="AE478" s="423" t="str">
        <f t="shared" si="72"/>
        <v/>
      </c>
      <c r="AF478" s="423" t="str">
        <f t="shared" si="73"/>
        <v/>
      </c>
      <c r="AG478" s="381" t="str">
        <f>IF(OR(Z478=0,Z478="ND",Z478="",$C$5="not necessary"),"",IF(X478="2a",1000*$C$5*R478/Table9[[#This Row],[Processing factor]]/(T478*Y478+S478-T478),IF(X478="2b",1000*$C$5*R478/Table9[[#This Row],[Processing factor]]/S478/Y478,IF(OR(X478=1,X478=3),1000*$C$5*R478/Table9[[#This Row],[Processing factor]]/S478,""))))</f>
        <v/>
      </c>
      <c r="AH478" s="495" t="str">
        <f>IF(OR(AC478=0,AC478="ND",$C$5="not necessary"),"",1000*$C$5*R478/Table9[[#This Row],[Processing factor]]/S478/AB478)</f>
        <v/>
      </c>
      <c r="AK478" s="651"/>
    </row>
    <row r="479" spans="1:37" x14ac:dyDescent="0.2">
      <c r="A479" s="506"/>
      <c r="B479" s="23">
        <v>620000</v>
      </c>
      <c r="C479" s="165" t="s">
        <v>410</v>
      </c>
      <c r="D479" s="373" t="str">
        <f>VLOOKUP(C479,input_values!$C$412:$BG$538,input_values!$BG$410-2,0)</f>
        <v>PROC-620000-51</v>
      </c>
      <c r="E479" s="567">
        <f>VLOOKUP(B479,input_values!$B$412:$M$538,4,FALSE)</f>
        <v>0</v>
      </c>
      <c r="F479" s="451" t="str">
        <f>VLOOKUP($D479,Table6[[Identifyer]:[Acute RA IESTI new input value]],input_values!$Q$410,FALSE)</f>
        <v/>
      </c>
      <c r="G479" s="451" t="str">
        <f>VLOOKUP($D479,Table6[[Identifyer]:[Acute RA IESTI new input value]],input_values!$P$410,FALSE)</f>
        <v/>
      </c>
      <c r="H479" s="451">
        <f>VLOOKUP($D479,Table6[[Identifyer]:[Acute RA IESTI new input value]],input_values!$S$410,FALSE)</f>
        <v>0</v>
      </c>
      <c r="I479" s="451" t="str">
        <f>VLOOKUP($D479,Table6[[Identifyer]:[Acute RA IESTI new input value]],input_values!$R$410,FALSE)</f>
        <v/>
      </c>
      <c r="J479" s="65"/>
      <c r="K479" s="301">
        <f t="shared" si="79"/>
        <v>1</v>
      </c>
      <c r="L479" s="301" t="str">
        <f>VLOOKUP(D479,input_values!$A$412:$BB$538,input_values!$AA$410,FALSE)</f>
        <v/>
      </c>
      <c r="M479" s="302">
        <f>VLOOKUP(D479,input_values!$A$412:$BB$538,input_values!$Y$410,FALSE)</f>
        <v>0.2</v>
      </c>
      <c r="N479" s="374" t="str">
        <f>IF(VLOOKUP(D479,input_values!$A$412:$BB$538,input_values!$L$410,FALSE)&lt;&gt;"",VLOOKUP(D479,input_values!$A$412:$BB$538,input_values!$L$410,FALSE),"")</f>
        <v/>
      </c>
      <c r="O479" s="339">
        <v>23.840425531914896</v>
      </c>
      <c r="P479" s="375">
        <v>97.5</v>
      </c>
      <c r="Q479" s="21" t="s">
        <v>99</v>
      </c>
      <c r="R479" s="377">
        <v>65.8</v>
      </c>
      <c r="S479" s="326">
        <f t="shared" si="74"/>
        <v>1568.7</v>
      </c>
      <c r="T479" s="377"/>
      <c r="U479" s="377"/>
      <c r="V479" s="377"/>
      <c r="W479" s="377"/>
      <c r="X479" s="378">
        <v>3</v>
      </c>
      <c r="Y479" s="64">
        <f>IF(OR(Table9[[#This Row],[Case]]=1,Table9[[#This Row],[Case]]=3),1,IF(N479="",K479,N479))</f>
        <v>1</v>
      </c>
      <c r="Z479" s="648" t="str">
        <f t="shared" si="80"/>
        <v>ND</v>
      </c>
      <c r="AA479" s="380" t="str">
        <f t="shared" si="81"/>
        <v>no acute RA</v>
      </c>
      <c r="AB479" s="64">
        <f>IF(OR(Table9[[#This Row],[Case]]=3,Table9[[#This Row],[Case]]=1),1,IF(Table9[[#This Row],[Variability factor for IESTI ]]&lt;3,Table9[[#This Row],[Variability factor for IESTI ]],3))</f>
        <v>1</v>
      </c>
      <c r="AC479" s="379" t="str">
        <f t="shared" si="82"/>
        <v>ND</v>
      </c>
      <c r="AD479" s="380" t="str">
        <f>IF($C$5="not necessary","no acute RA",IF(AC479="ND","no acute RA",IF(Table9[[#This Row],[IESTI new (mg/kg bw)]]&lt;&gt;"",AC479/$C$5,0)))</f>
        <v>no acute RA</v>
      </c>
      <c r="AE479" s="423" t="str">
        <f t="shared" si="72"/>
        <v/>
      </c>
      <c r="AF479" s="423" t="str">
        <f t="shared" si="73"/>
        <v/>
      </c>
      <c r="AG479" s="381" t="str">
        <f>IF(OR(Z479=0,Z479="ND",Z479="",$C$5="not necessary"),"",IF(X479="2a",1000*$C$5*R479/Table9[[#This Row],[Processing factor]]/(T479*Y479+S479-T479),IF(X479="2b",1000*$C$5*R479/Table9[[#This Row],[Processing factor]]/S479/Y479,IF(OR(X479=1,X479=3),1000*$C$5*R479/Table9[[#This Row],[Processing factor]]/S479,""))))</f>
        <v/>
      </c>
      <c r="AH479" s="495" t="str">
        <f>IF(OR(AC479=0,AC479="ND",$C$5="not necessary"),"",1000*$C$5*R479/Table9[[#This Row],[Processing factor]]/S479/AB479)</f>
        <v/>
      </c>
      <c r="AK479" s="651"/>
    </row>
    <row r="480" spans="1:37" x14ac:dyDescent="0.2">
      <c r="A480" s="506"/>
      <c r="B480" s="23">
        <v>631010</v>
      </c>
      <c r="C480" s="325" t="s">
        <v>411</v>
      </c>
      <c r="D480" s="373" t="str">
        <f>VLOOKUP(C480,input_values!$C$412:$BG$538,input_values!$BG$410-2,0)</f>
        <v>PROC-631010-31</v>
      </c>
      <c r="E480" s="567">
        <f>VLOOKUP(B480,input_values!$B$412:$M$538,4,FALSE)</f>
        <v>0</v>
      </c>
      <c r="F480" s="451" t="str">
        <f>VLOOKUP($D480,Table6[[Identifyer]:[Acute RA IESTI new input value]],input_values!$Q$410,FALSE)</f>
        <v/>
      </c>
      <c r="G480" s="451" t="str">
        <f>VLOOKUP($D480,Table6[[Identifyer]:[Acute RA IESTI new input value]],input_values!$P$410,FALSE)</f>
        <v/>
      </c>
      <c r="H480" s="451">
        <f>VLOOKUP($D480,Table6[[Identifyer]:[Acute RA IESTI new input value]],input_values!$S$410,FALSE)</f>
        <v>0</v>
      </c>
      <c r="I480" s="451" t="str">
        <f>VLOOKUP($D480,Table6[[Identifyer]:[Acute RA IESTI new input value]],input_values!$R$410,FALSE)</f>
        <v/>
      </c>
      <c r="J480" s="65"/>
      <c r="K480" s="301">
        <f t="shared" si="79"/>
        <v>1</v>
      </c>
      <c r="L480" s="301" t="str">
        <f>VLOOKUP(D480,input_values!$A$412:$BB$538,input_values!$AA$410,FALSE)</f>
        <v/>
      </c>
      <c r="M480" s="302">
        <f>VLOOKUP(D480,input_values!$A$412:$BB$538,input_values!$Y$410,FALSE)</f>
        <v>0.01</v>
      </c>
      <c r="N480" s="374" t="str">
        <f>IF(VLOOKUP(D480,input_values!$A$412:$BB$538,input_values!$L$410,FALSE)&lt;&gt;"",VLOOKUP(D480,input_values!$A$412:$BB$538,input_values!$L$410,FALSE),"")</f>
        <v/>
      </c>
      <c r="O480" s="339">
        <v>2.9316109422492405</v>
      </c>
      <c r="P480" s="375" t="s">
        <v>331</v>
      </c>
      <c r="Q480" s="21" t="s">
        <v>99</v>
      </c>
      <c r="R480" s="377">
        <v>65.8</v>
      </c>
      <c r="S480" s="326">
        <f t="shared" si="74"/>
        <v>192.9</v>
      </c>
      <c r="T480" s="377"/>
      <c r="U480" s="377"/>
      <c r="V480" s="377"/>
      <c r="W480" s="377"/>
      <c r="X480" s="378">
        <v>3</v>
      </c>
      <c r="Y480" s="64">
        <f>IF(OR(Table9[[#This Row],[Case]]=1,Table9[[#This Row],[Case]]=3),1,IF(N480="",K480,N480))</f>
        <v>1</v>
      </c>
      <c r="Z480" s="648" t="str">
        <f t="shared" si="80"/>
        <v>ND</v>
      </c>
      <c r="AA480" s="777" t="str">
        <f t="shared" si="81"/>
        <v>no acute RA</v>
      </c>
      <c r="AB480" s="64">
        <f>IF(OR(Table9[[#This Row],[Case]]=3,Table9[[#This Row],[Case]]=1),1,IF(Table9[[#This Row],[Variability factor for IESTI ]]&lt;3,Table9[[#This Row],[Variability factor for IESTI ]],3))</f>
        <v>1</v>
      </c>
      <c r="AC480" s="379" t="str">
        <f t="shared" si="82"/>
        <v>ND</v>
      </c>
      <c r="AD480" s="777" t="str">
        <f>IF($C$5="not necessary","no acute RA",IF(AC480="ND","no acute RA",IF(Table9[[#This Row],[IESTI new (mg/kg bw)]]&lt;&gt;"",AC480/$C$5,0)))</f>
        <v>no acute RA</v>
      </c>
      <c r="AE480" s="423" t="str">
        <f t="shared" si="72"/>
        <v/>
      </c>
      <c r="AF480" s="423" t="str">
        <f t="shared" si="73"/>
        <v/>
      </c>
      <c r="AG480" s="381" t="str">
        <f>IF(OR(Z480=0,Z480="ND",Z480="",$C$5="not necessary"),"",IF(X480="2a",1000*$C$5*R480/Table9[[#This Row],[Processing factor]]/(T480*Y480+S480-T480),IF(X480="2b",1000*$C$5*R480/Table9[[#This Row],[Processing factor]]/S480/Y480,IF(OR(X480=1,X480=3),1000*$C$5*R480/Table9[[#This Row],[Processing factor]]/S480,""))))</f>
        <v/>
      </c>
      <c r="AH480" s="495" t="str">
        <f>IF(OR(AC480=0,AC480="ND",$C$5="not necessary"),"",1000*$C$5*R480/Table9[[#This Row],[Processing factor]]/S480/AB480)</f>
        <v/>
      </c>
      <c r="AK480" s="651"/>
    </row>
    <row r="481" spans="1:37" x14ac:dyDescent="0.2">
      <c r="A481" s="506"/>
      <c r="B481" s="23">
        <v>631020</v>
      </c>
      <c r="C481" s="325" t="s">
        <v>412</v>
      </c>
      <c r="D481" s="373" t="str">
        <f>VLOOKUP(C481,input_values!$C$412:$BG$538,input_values!$BG$410-2,0)</f>
        <v>PROC-631020-31</v>
      </c>
      <c r="E481" s="567">
        <f>VLOOKUP(B481,input_values!$B$412:$M$538,4,FALSE)</f>
        <v>0</v>
      </c>
      <c r="F481" s="451" t="str">
        <f>VLOOKUP($D481,Table6[[Identifyer]:[Acute RA IESTI new input value]],input_values!$Q$410,FALSE)</f>
        <v/>
      </c>
      <c r="G481" s="451" t="str">
        <f>VLOOKUP($D481,Table6[[Identifyer]:[Acute RA IESTI new input value]],input_values!$P$410,FALSE)</f>
        <v/>
      </c>
      <c r="H481" s="451">
        <f>VLOOKUP($D481,Table6[[Identifyer]:[Acute RA IESTI new input value]],input_values!$S$410,FALSE)</f>
        <v>0</v>
      </c>
      <c r="I481" s="451" t="str">
        <f>VLOOKUP($D481,Table6[[Identifyer]:[Acute RA IESTI new input value]],input_values!$R$410,FALSE)</f>
        <v/>
      </c>
      <c r="J481" s="65"/>
      <c r="K481" s="301">
        <f t="shared" si="79"/>
        <v>1</v>
      </c>
      <c r="L481" s="301" t="str">
        <f>VLOOKUP(D481,input_values!$A$412:$BB$538,input_values!$AA$410,FALSE)</f>
        <v/>
      </c>
      <c r="M481" s="302">
        <f>VLOOKUP(D481,input_values!$A$412:$BB$538,input_values!$Y$410,FALSE)</f>
        <v>0.01</v>
      </c>
      <c r="N481" s="374" t="str">
        <f>IF(VLOOKUP(D481,input_values!$A$412:$BB$538,input_values!$L$410,FALSE)&lt;&gt;"",VLOOKUP(D481,input_values!$A$412:$BB$538,input_values!$L$410,FALSE),"")</f>
        <v/>
      </c>
      <c r="O481" s="339">
        <v>0.58662613981762923</v>
      </c>
      <c r="P481" s="375" t="s">
        <v>331</v>
      </c>
      <c r="Q481" s="21" t="s">
        <v>99</v>
      </c>
      <c r="R481" s="377">
        <v>65.8</v>
      </c>
      <c r="S481" s="326">
        <f t="shared" si="74"/>
        <v>38.6</v>
      </c>
      <c r="T481" s="377"/>
      <c r="U481" s="377"/>
      <c r="V481" s="377"/>
      <c r="W481" s="377"/>
      <c r="X481" s="378">
        <v>3</v>
      </c>
      <c r="Y481" s="64">
        <f>IF(OR(Table9[[#This Row],[Case]]=1,Table9[[#This Row],[Case]]=3),1,IF(N481="",K481,N481))</f>
        <v>1</v>
      </c>
      <c r="Z481" s="648" t="str">
        <f t="shared" si="80"/>
        <v>ND</v>
      </c>
      <c r="AA481" s="777" t="str">
        <f t="shared" si="81"/>
        <v>no acute RA</v>
      </c>
      <c r="AB481" s="64">
        <f>IF(OR(Table9[[#This Row],[Case]]=3,Table9[[#This Row],[Case]]=1),1,IF(Table9[[#This Row],[Variability factor for IESTI ]]&lt;3,Table9[[#This Row],[Variability factor for IESTI ]],3))</f>
        <v>1</v>
      </c>
      <c r="AC481" s="379" t="str">
        <f t="shared" si="82"/>
        <v>ND</v>
      </c>
      <c r="AD481" s="777" t="str">
        <f>IF($C$5="not necessary","no acute RA",IF(AC481="ND","no acute RA",IF(Table9[[#This Row],[IESTI new (mg/kg bw)]]&lt;&gt;"",AC481/$C$5,0)))</f>
        <v>no acute RA</v>
      </c>
      <c r="AE481" s="423" t="str">
        <f t="shared" si="72"/>
        <v/>
      </c>
      <c r="AF481" s="423" t="str">
        <f t="shared" si="73"/>
        <v/>
      </c>
      <c r="AG481" s="381" t="str">
        <f>IF(OR(Z481=0,Z481="ND",Z481="",$C$5="not necessary"),"",IF(X481="2a",1000*$C$5*R481/Table9[[#This Row],[Processing factor]]/(T481*Y481+S481-T481),IF(X481="2b",1000*$C$5*R481/Table9[[#This Row],[Processing factor]]/S481/Y481,IF(OR(X481=1,X481=3),1000*$C$5*R481/Table9[[#This Row],[Processing factor]]/S481,""))))</f>
        <v/>
      </c>
      <c r="AH481" s="495" t="str">
        <f>IF(OR(AC481=0,AC481="ND",$C$5="not necessary"),"",1000*$C$5*R481/Table9[[#This Row],[Processing factor]]/S481/AB481)</f>
        <v/>
      </c>
      <c r="AK481" s="651"/>
    </row>
    <row r="482" spans="1:37" x14ac:dyDescent="0.2">
      <c r="A482" s="506"/>
      <c r="B482" s="23">
        <v>632020</v>
      </c>
      <c r="C482" s="325" t="s">
        <v>413</v>
      </c>
      <c r="D482" s="373" t="str">
        <f>VLOOKUP(C482,input_values!$C$412:$BG$538,input_values!$BG$410-2,0)</f>
        <v>PROC-632020-1</v>
      </c>
      <c r="E482" s="567">
        <f>VLOOKUP(B482,input_values!$B$412:$M$538,4,FALSE)</f>
        <v>0</v>
      </c>
      <c r="F482" s="451" t="str">
        <f>VLOOKUP($D482,Table6[[Identifyer]:[Acute RA IESTI new input value]],input_values!$Q$410,FALSE)</f>
        <v/>
      </c>
      <c r="G482" s="451" t="str">
        <f>VLOOKUP($D482,Table6[[Identifyer]:[Acute RA IESTI new input value]],input_values!$P$410,FALSE)</f>
        <v/>
      </c>
      <c r="H482" s="451">
        <f>VLOOKUP($D482,Table6[[Identifyer]:[Acute RA IESTI new input value]],input_values!$S$410,FALSE)</f>
        <v>0</v>
      </c>
      <c r="I482" s="451" t="str">
        <f>VLOOKUP($D482,Table6[[Identifyer]:[Acute RA IESTI new input value]],input_values!$R$410,FALSE)</f>
        <v/>
      </c>
      <c r="J482" s="65"/>
      <c r="K482" s="301">
        <f t="shared" si="79"/>
        <v>1</v>
      </c>
      <c r="L482" s="301" t="str">
        <f>VLOOKUP(D482,input_values!$A$412:$BB$538,input_values!$AA$410,FALSE)</f>
        <v/>
      </c>
      <c r="M482" s="302">
        <f>VLOOKUP(D482,input_values!$A$412:$BB$538,input_values!$Y$410,FALSE)</f>
        <v>0.01</v>
      </c>
      <c r="N482" s="374" t="str">
        <f>IF(VLOOKUP(D482,input_values!$A$412:$BB$538,input_values!$L$410,FALSE)&lt;&gt;"",VLOOKUP(D482,input_values!$A$412:$BB$538,input_values!$L$410,FALSE),"")</f>
        <v/>
      </c>
      <c r="O482" s="339">
        <v>2.9316109422492498</v>
      </c>
      <c r="P482" s="375" t="s">
        <v>331</v>
      </c>
      <c r="Q482" s="21" t="s">
        <v>99</v>
      </c>
      <c r="R482" s="377">
        <v>65.8</v>
      </c>
      <c r="S482" s="326">
        <f t="shared" si="74"/>
        <v>192.90000000000063</v>
      </c>
      <c r="T482" s="377"/>
      <c r="U482" s="377"/>
      <c r="V482" s="377"/>
      <c r="W482" s="377"/>
      <c r="X482" s="378">
        <v>3</v>
      </c>
      <c r="Y482" s="64">
        <f>IF(OR(Table9[[#This Row],[Case]]=1,Table9[[#This Row],[Case]]=3),1,IF(N482="",K482,N482))</f>
        <v>1</v>
      </c>
      <c r="Z482" s="648" t="str">
        <f t="shared" si="80"/>
        <v>ND</v>
      </c>
      <c r="AA482" s="777" t="str">
        <f t="shared" si="81"/>
        <v>no acute RA</v>
      </c>
      <c r="AB482" s="64">
        <f>IF(OR(Table9[[#This Row],[Case]]=3,Table9[[#This Row],[Case]]=1),1,IF(Table9[[#This Row],[Variability factor for IESTI ]]&lt;3,Table9[[#This Row],[Variability factor for IESTI ]],3))</f>
        <v>1</v>
      </c>
      <c r="AC482" s="379" t="str">
        <f t="shared" si="82"/>
        <v>ND</v>
      </c>
      <c r="AD482" s="777" t="str">
        <f>IF($C$5="not necessary","no acute RA",IF(AC482="ND","no acute RA",IF(Table9[[#This Row],[IESTI new (mg/kg bw)]]&lt;&gt;"",AC482/$C$5,0)))</f>
        <v>no acute RA</v>
      </c>
      <c r="AE482" s="423" t="str">
        <f t="shared" ref="AE482:AE493" si="83">IF(AA482&gt;=1,AG482,"")</f>
        <v/>
      </c>
      <c r="AF482" s="423" t="str">
        <f t="shared" ref="AF482:AF493" si="84">IF(AD482&gt;=1,AH482,"")</f>
        <v/>
      </c>
      <c r="AG482" s="381" t="str">
        <f>IF(OR(Z482=0,Z482="ND",Z482="",$C$5="not necessary"),"",IF(X482="2a",1000*$C$5*R482/Table9[[#This Row],[Processing factor]]/(T482*Y482+S482-T482),IF(X482="2b",1000*$C$5*R482/Table9[[#This Row],[Processing factor]]/S482/Y482,IF(OR(X482=1,X482=3),1000*$C$5*R482/Table9[[#This Row],[Processing factor]]/S482,""))))</f>
        <v/>
      </c>
      <c r="AH482" s="495" t="str">
        <f>IF(OR(AC482=0,AC482="ND",$C$5="not necessary"),"",1000*$C$5*R482/Table9[[#This Row],[Processing factor]]/S482/AB482)</f>
        <v/>
      </c>
      <c r="AK482" s="651"/>
    </row>
    <row r="483" spans="1:37" x14ac:dyDescent="0.2">
      <c r="A483" s="506"/>
      <c r="B483" s="23">
        <v>633010</v>
      </c>
      <c r="C483" s="325" t="s">
        <v>438</v>
      </c>
      <c r="D483" s="373" t="str">
        <f>VLOOKUP(C483,input_values!$C$412:$BG$538,input_values!$BG$410-2,0)</f>
        <v>PROC-633010-31</v>
      </c>
      <c r="E483" s="567">
        <f>VLOOKUP(B483,input_values!$B$412:$M$538,4,FALSE)</f>
        <v>0</v>
      </c>
      <c r="F483" s="451" t="str">
        <f>VLOOKUP($D483,Table6[[Identifyer]:[Acute RA IESTI new input value]],input_values!$Q$410,FALSE)</f>
        <v/>
      </c>
      <c r="G483" s="451" t="str">
        <f>VLOOKUP($D483,Table6[[Identifyer]:[Acute RA IESTI new input value]],input_values!$P$410,FALSE)</f>
        <v/>
      </c>
      <c r="H483" s="451">
        <f>VLOOKUP($D483,Table6[[Identifyer]:[Acute RA IESTI new input value]],input_values!$S$410,FALSE)</f>
        <v>0</v>
      </c>
      <c r="I483" s="451" t="str">
        <f>VLOOKUP($D483,Table6[[Identifyer]:[Acute RA IESTI new input value]],input_values!$R$410,FALSE)</f>
        <v/>
      </c>
      <c r="J483" s="65"/>
      <c r="K483" s="301">
        <f t="shared" si="79"/>
        <v>1</v>
      </c>
      <c r="L483" s="301" t="str">
        <f>VLOOKUP(D483,input_values!$A$412:$BB$538,input_values!$AA$410,FALSE)</f>
        <v/>
      </c>
      <c r="M483" s="302">
        <f>VLOOKUP(D483,input_values!$A$412:$BB$538,input_values!$Y$410,FALSE)</f>
        <v>0.01</v>
      </c>
      <c r="N483" s="374" t="str">
        <f>IF(VLOOKUP(D483,input_values!$A$412:$BB$538,input_values!$L$410,FALSE)&lt;&gt;"",VLOOKUP(D483,input_values!$A$412:$BB$538,input_values!$L$410,FALSE),"")</f>
        <v/>
      </c>
      <c r="O483" s="339">
        <v>0.26443768996960487</v>
      </c>
      <c r="P483" s="375" t="s">
        <v>331</v>
      </c>
      <c r="Q483" s="21" t="s">
        <v>99</v>
      </c>
      <c r="R483" s="377">
        <v>65.8</v>
      </c>
      <c r="S483" s="326">
        <f t="shared" si="74"/>
        <v>17.399999999999999</v>
      </c>
      <c r="T483" s="377"/>
      <c r="U483" s="377"/>
      <c r="V483" s="377"/>
      <c r="W483" s="377"/>
      <c r="X483" s="378">
        <v>3</v>
      </c>
      <c r="Y483" s="64">
        <f>IF(OR(Table9[[#This Row],[Case]]=1,Table9[[#This Row],[Case]]=3),1,IF(N483="",K483,N483))</f>
        <v>1</v>
      </c>
      <c r="Z483" s="648" t="str">
        <f t="shared" si="80"/>
        <v>ND</v>
      </c>
      <c r="AA483" s="777" t="str">
        <f t="shared" si="81"/>
        <v>no acute RA</v>
      </c>
      <c r="AB483" s="64">
        <f>IF(OR(Table9[[#This Row],[Case]]=3,Table9[[#This Row],[Case]]=1),1,IF(Table9[[#This Row],[Variability factor for IESTI ]]&lt;3,Table9[[#This Row],[Variability factor for IESTI ]],3))</f>
        <v>1</v>
      </c>
      <c r="AC483" s="379" t="str">
        <f t="shared" si="82"/>
        <v>ND</v>
      </c>
      <c r="AD483" s="777" t="str">
        <f>IF($C$5="not necessary","no acute RA",IF(AC483="ND","no acute RA",IF(Table9[[#This Row],[IESTI new (mg/kg bw)]]&lt;&gt;"",AC483/$C$5,0)))</f>
        <v>no acute RA</v>
      </c>
      <c r="AE483" s="423" t="str">
        <f t="shared" si="83"/>
        <v/>
      </c>
      <c r="AF483" s="423" t="str">
        <f t="shared" si="84"/>
        <v/>
      </c>
      <c r="AG483" s="381" t="str">
        <f>IF(OR(Z483=0,Z483="ND",Z483="",$C$5="not necessary"),"",IF(X483="2a",1000*$C$5*R483/Table9[[#This Row],[Processing factor]]/(T483*Y483+S483-T483),IF(X483="2b",1000*$C$5*R483/Table9[[#This Row],[Processing factor]]/S483/Y483,IF(OR(X483=1,X483=3),1000*$C$5*R483/Table9[[#This Row],[Processing factor]]/S483,""))))</f>
        <v/>
      </c>
      <c r="AH483" s="495" t="str">
        <f>IF(OR(AC483=0,AC483="ND",$C$5="not necessary"),"",1000*$C$5*R483/Table9[[#This Row],[Processing factor]]/S483/AB483)</f>
        <v/>
      </c>
      <c r="AK483" s="651"/>
    </row>
    <row r="484" spans="1:37" ht="24" x14ac:dyDescent="0.2">
      <c r="A484" s="506"/>
      <c r="B484" s="23">
        <v>640000</v>
      </c>
      <c r="C484" s="325" t="s">
        <v>433</v>
      </c>
      <c r="D484" s="373" t="str">
        <f>VLOOKUP(C484,input_values!$C$412:$BG$538,input_values!$BG$410-2,0)</f>
        <v>PROC-640000-49</v>
      </c>
      <c r="E484" s="567">
        <f>VLOOKUP(B484,input_values!$B$412:$M$538,4,FALSE)</f>
        <v>0</v>
      </c>
      <c r="F484" s="451" t="str">
        <f>VLOOKUP($D484,Table6[[Identifyer]:[Acute RA IESTI new input value]],input_values!$Q$410,FALSE)</f>
        <v/>
      </c>
      <c r="G484" s="451" t="str">
        <f>VLOOKUP($D484,Table6[[Identifyer]:[Acute RA IESTI new input value]],input_values!$P$410,FALSE)</f>
        <v/>
      </c>
      <c r="H484" s="451">
        <f>VLOOKUP($D484,Table6[[Identifyer]:[Acute RA IESTI new input value]],input_values!$S$410,FALSE)</f>
        <v>0</v>
      </c>
      <c r="I484" s="451" t="str">
        <f>VLOOKUP($D484,Table6[[Identifyer]:[Acute RA IESTI new input value]],input_values!$R$410,FALSE)</f>
        <v/>
      </c>
      <c r="J484" s="65"/>
      <c r="K484" s="301">
        <f t="shared" si="79"/>
        <v>1</v>
      </c>
      <c r="L484" s="301" t="str">
        <f>VLOOKUP(D484,input_values!$A$412:$BB$538,input_values!$AA$410,FALSE)</f>
        <v/>
      </c>
      <c r="M484" s="302">
        <f>VLOOKUP(D484,input_values!$A$412:$BB$538,input_values!$Y$410,FALSE)</f>
        <v>0.03</v>
      </c>
      <c r="N484" s="374" t="str">
        <f>IF(VLOOKUP(D484,input_values!$A$412:$BB$538,input_values!$L$410,FALSE)&lt;&gt;"",VLOOKUP(D484,input_values!$A$412:$BB$538,input_values!$L$410,FALSE),"")</f>
        <v/>
      </c>
      <c r="O484" s="339">
        <v>22.714285714285715</v>
      </c>
      <c r="P484" s="375">
        <v>97.5</v>
      </c>
      <c r="Q484" s="21" t="s">
        <v>99</v>
      </c>
      <c r="R484" s="377">
        <v>65.8</v>
      </c>
      <c r="S484" s="326">
        <f t="shared" si="74"/>
        <v>1494.6</v>
      </c>
      <c r="T484" s="377"/>
      <c r="U484" s="377"/>
      <c r="V484" s="377"/>
      <c r="W484" s="377"/>
      <c r="X484" s="378">
        <v>3</v>
      </c>
      <c r="Y484" s="64">
        <f>IF(OR(Table9[[#This Row],[Case]]=1,Table9[[#This Row],[Case]]=3),1,IF(N484="",K484,N484))</f>
        <v>1</v>
      </c>
      <c r="Z484" s="648" t="str">
        <f t="shared" si="80"/>
        <v>ND</v>
      </c>
      <c r="AA484" s="380" t="str">
        <f t="shared" si="81"/>
        <v>no acute RA</v>
      </c>
      <c r="AB484" s="64">
        <f>IF(OR(Table9[[#This Row],[Case]]=3,Table9[[#This Row],[Case]]=1),1,IF(Table9[[#This Row],[Variability factor for IESTI ]]&lt;3,Table9[[#This Row],[Variability factor for IESTI ]],3))</f>
        <v>1</v>
      </c>
      <c r="AC484" s="379" t="str">
        <f t="shared" si="82"/>
        <v>ND</v>
      </c>
      <c r="AD484" s="380" t="str">
        <f>IF($C$5="not necessary","no acute RA",IF(AC484="ND","no acute RA",IF(Table9[[#This Row],[IESTI new (mg/kg bw)]]&lt;&gt;"",AC484/$C$5,0)))</f>
        <v>no acute RA</v>
      </c>
      <c r="AE484" s="423" t="str">
        <f t="shared" si="83"/>
        <v/>
      </c>
      <c r="AF484" s="423" t="str">
        <f t="shared" si="84"/>
        <v/>
      </c>
      <c r="AG484" s="381" t="str">
        <f>IF(OR(Z484=0,Z484="ND",Z484="",$C$5="not necessary"),"",IF(X484="2a",1000*$C$5*R484/Table9[[#This Row],[Processing factor]]/(T484*Y484+S484-T484),IF(X484="2b",1000*$C$5*R484/Table9[[#This Row],[Processing factor]]/S484/Y484,IF(OR(X484=1,X484=3),1000*$C$5*R484/Table9[[#This Row],[Processing factor]]/S484,""))))</f>
        <v/>
      </c>
      <c r="AH484" s="495" t="str">
        <f>IF(OR(AC484=0,AC484="ND",$C$5="not necessary"),"",1000*$C$5*R484/Table9[[#This Row],[Processing factor]]/S484/AB484)</f>
        <v/>
      </c>
      <c r="AK484" s="651"/>
    </row>
    <row r="485" spans="1:37" x14ac:dyDescent="0.2">
      <c r="A485" s="506"/>
      <c r="B485" s="23">
        <v>650000</v>
      </c>
      <c r="C485" s="325" t="s">
        <v>478</v>
      </c>
      <c r="D485" s="373" t="str">
        <f>VLOOKUP(C485,input_values!$C$412:$BG$538,input_values!$BG$410-2,0)</f>
        <v>PROC-650000-28</v>
      </c>
      <c r="E485" s="567">
        <f>VLOOKUP(B485,input_values!$B$412:$M$538,4,FALSE)</f>
        <v>0</v>
      </c>
      <c r="F485" s="451" t="str">
        <f>VLOOKUP($D485,Table6[[Identifyer]:[Acute RA IESTI new input value]],input_values!$Q$410,FALSE)</f>
        <v/>
      </c>
      <c r="G485" s="451" t="str">
        <f>VLOOKUP($D485,Table6[[Identifyer]:[Acute RA IESTI new input value]],input_values!$P$410,FALSE)</f>
        <v/>
      </c>
      <c r="H485" s="451">
        <f>VLOOKUP($D485,Table6[[Identifyer]:[Acute RA IESTI new input value]],input_values!$S$410,FALSE)</f>
        <v>0</v>
      </c>
      <c r="I485" s="451" t="str">
        <f>VLOOKUP($D485,Table6[[Identifyer]:[Acute RA IESTI new input value]],input_values!$R$410,FALSE)</f>
        <v/>
      </c>
      <c r="J485" s="65"/>
      <c r="K485" s="301">
        <f t="shared" si="79"/>
        <v>1</v>
      </c>
      <c r="L485" s="301" t="str">
        <f>VLOOKUP(D485,input_values!$A$412:$BB$538,input_values!$AA$410,FALSE)</f>
        <v/>
      </c>
      <c r="M485" s="302">
        <f>VLOOKUP(D485,input_values!$A$412:$BB$538,input_values!$Y$410,FALSE)</f>
        <v>1</v>
      </c>
      <c r="N485" s="374" t="str">
        <f>IF(VLOOKUP(D485,input_values!$A$412:$BB$538,input_values!$L$410,FALSE)&lt;&gt;"",VLOOKUP(D485,input_values!$A$412:$BB$538,input_values!$L$410,FALSE),"")</f>
        <v/>
      </c>
      <c r="O485" s="339">
        <v>0.76595744680851063</v>
      </c>
      <c r="P485" s="375" t="s">
        <v>331</v>
      </c>
      <c r="Q485" s="21" t="s">
        <v>99</v>
      </c>
      <c r="R485" s="377">
        <v>65.8</v>
      </c>
      <c r="S485" s="326">
        <f t="shared" si="74"/>
        <v>50.4</v>
      </c>
      <c r="T485" s="377"/>
      <c r="U485" s="377"/>
      <c r="V485" s="377"/>
      <c r="W485" s="377"/>
      <c r="X485" s="378">
        <v>3</v>
      </c>
      <c r="Y485" s="64">
        <f>IF(OR(Table9[[#This Row],[Case]]=1,Table9[[#This Row],[Case]]=3),1,IF(N485="",K485,N485))</f>
        <v>1</v>
      </c>
      <c r="Z485" s="648" t="str">
        <f t="shared" si="80"/>
        <v>ND</v>
      </c>
      <c r="AA485" s="380" t="str">
        <f t="shared" si="81"/>
        <v>no acute RA</v>
      </c>
      <c r="AB485" s="64">
        <f>IF(OR(Table9[[#This Row],[Case]]=3,Table9[[#This Row],[Case]]=1),1,IF(Table9[[#This Row],[Variability factor for IESTI ]]&lt;3,Table9[[#This Row],[Variability factor for IESTI ]],3))</f>
        <v>1</v>
      </c>
      <c r="AC485" s="379" t="str">
        <f t="shared" si="82"/>
        <v>ND</v>
      </c>
      <c r="AD485" s="380" t="str">
        <f>IF($C$5="not necessary","no acute RA",IF(AC485="ND","no acute RA",IF(Table9[[#This Row],[IESTI new (mg/kg bw)]]&lt;&gt;"",AC485/$C$5,0)))</f>
        <v>no acute RA</v>
      </c>
      <c r="AE485" s="423" t="str">
        <f t="shared" si="83"/>
        <v/>
      </c>
      <c r="AF485" s="423" t="str">
        <f t="shared" si="84"/>
        <v/>
      </c>
      <c r="AG485" s="381" t="str">
        <f>IF(OR(Z485=0,Z485="ND",Z485="",$C$5="not necessary"),"",IF(X485="2a",1000*$C$5*R485/Table9[[#This Row],[Processing factor]]/(T485*Y485+S485-T485),IF(X485="2b",1000*$C$5*R485/Table9[[#This Row],[Processing factor]]/S485/Y485,IF(OR(X485=1,X485=3),1000*$C$5*R485/Table9[[#This Row],[Processing factor]]/S485,""))))</f>
        <v/>
      </c>
      <c r="AH485" s="495" t="str">
        <f>IF(OR(AC485=0,AC485="ND",$C$5="not necessary"),"",1000*$C$5*R485/Table9[[#This Row],[Processing factor]]/S485/AB485)</f>
        <v/>
      </c>
      <c r="AK485" s="651"/>
    </row>
    <row r="486" spans="1:37" x14ac:dyDescent="0.2">
      <c r="A486" s="506"/>
      <c r="B486" s="23">
        <v>700000</v>
      </c>
      <c r="C486" s="165" t="s">
        <v>459</v>
      </c>
      <c r="D486" s="373" t="str">
        <f>VLOOKUP(C486,input_values!$C$412:$BG$538,input_values!$BG$410-2,0)</f>
        <v>PROC-700000-41</v>
      </c>
      <c r="E486" s="567">
        <f>VLOOKUP(B486,input_values!$B$412:$M$538,4,FALSE)</f>
        <v>0</v>
      </c>
      <c r="F486" s="451" t="str">
        <f>VLOOKUP($D486,Table6[[Identifyer]:[Acute RA IESTI new input value]],input_values!$Q$410,FALSE)</f>
        <v/>
      </c>
      <c r="G486" s="451" t="str">
        <f>VLOOKUP($D486,Table6[[Identifyer]:[Acute RA IESTI new input value]],input_values!$P$410,FALSE)</f>
        <v/>
      </c>
      <c r="H486" s="451">
        <f>VLOOKUP($D486,Table6[[Identifyer]:[Acute RA IESTI new input value]],input_values!$S$410,FALSE)</f>
        <v>0</v>
      </c>
      <c r="I486" s="451" t="str">
        <f>VLOOKUP($D486,Table6[[Identifyer]:[Acute RA IESTI new input value]],input_values!$R$410,FALSE)</f>
        <v/>
      </c>
      <c r="J486" s="65"/>
      <c r="K486" s="301">
        <f t="shared" si="79"/>
        <v>1</v>
      </c>
      <c r="L486" s="301" t="str">
        <f>VLOOKUP(D486,input_values!$A$412:$BB$538,input_values!$AA$410,FALSE)</f>
        <v/>
      </c>
      <c r="M486" s="302">
        <f>VLOOKUP(D486,input_values!$A$412:$BB$538,input_values!$Y$410,FALSE)</f>
        <v>4.0000000000000001E-3</v>
      </c>
      <c r="N486" s="374" t="str">
        <f>IF(VLOOKUP(D486,input_values!$A$412:$BB$538,input_values!$L$410,FALSE)&lt;&gt;"",VLOOKUP(D486,input_values!$A$412:$BB$538,input_values!$L$410,FALSE),"")</f>
        <v/>
      </c>
      <c r="O486" s="339">
        <v>36.000000000000007</v>
      </c>
      <c r="P486" s="375" t="s">
        <v>331</v>
      </c>
      <c r="Q486" s="21" t="s">
        <v>99</v>
      </c>
      <c r="R486" s="377">
        <v>65.8</v>
      </c>
      <c r="S486" s="326">
        <f t="shared" si="74"/>
        <v>2368.8000000000002</v>
      </c>
      <c r="T486" s="377"/>
      <c r="U486" s="377"/>
      <c r="V486" s="377"/>
      <c r="W486" s="377"/>
      <c r="X486" s="378">
        <v>3</v>
      </c>
      <c r="Y486" s="64">
        <f>IF(OR(Table9[[#This Row],[Case]]=1,Table9[[#This Row],[Case]]=3),1,IF(N486="",K486,N486))</f>
        <v>1</v>
      </c>
      <c r="Z486" s="648" t="str">
        <f t="shared" si="80"/>
        <v>ND</v>
      </c>
      <c r="AA486" s="380" t="str">
        <f t="shared" si="81"/>
        <v>no acute RA</v>
      </c>
      <c r="AB486" s="64">
        <f>IF(OR(Table9[[#This Row],[Case]]=3,Table9[[#This Row],[Case]]=1),1,IF(Table9[[#This Row],[Variability factor for IESTI ]]&lt;3,Table9[[#This Row],[Variability factor for IESTI ]],3))</f>
        <v>1</v>
      </c>
      <c r="AC486" s="379" t="str">
        <f t="shared" si="82"/>
        <v>ND</v>
      </c>
      <c r="AD486" s="380" t="str">
        <f>IF($C$5="not necessary","no acute RA",IF(AC486="ND","no acute RA",IF(Table9[[#This Row],[IESTI new (mg/kg bw)]]&lt;&gt;"",AC486/$C$5,0)))</f>
        <v>no acute RA</v>
      </c>
      <c r="AE486" s="423" t="str">
        <f t="shared" si="83"/>
        <v/>
      </c>
      <c r="AF486" s="423" t="str">
        <f t="shared" si="84"/>
        <v/>
      </c>
      <c r="AG486" s="381" t="str">
        <f>IF(OR(Z486=0,Z486="ND",Z486="",$C$5="not necessary"),"",IF(X486="2a",1000*$C$5*R486/Table9[[#This Row],[Processing factor]]/(T486*Y486+S486-T486),IF(X486="2b",1000*$C$5*R486/Table9[[#This Row],[Processing factor]]/S486/Y486,IF(OR(X486=1,X486=3),1000*$C$5*R486/Table9[[#This Row],[Processing factor]]/S486,""))))</f>
        <v/>
      </c>
      <c r="AH486" s="495" t="str">
        <f>IF(OR(AC486=0,AC486="ND",$C$5="not necessary"),"",1000*$C$5*R486/Table9[[#This Row],[Processing factor]]/S486/AB486)</f>
        <v/>
      </c>
      <c r="AK486" s="651"/>
    </row>
    <row r="487" spans="1:37" ht="24" x14ac:dyDescent="0.2">
      <c r="A487" s="506"/>
      <c r="B487" s="23">
        <v>810040</v>
      </c>
      <c r="C487" s="325" t="s">
        <v>479</v>
      </c>
      <c r="D487" s="373" t="str">
        <f>VLOOKUP(C487,input_values!$C$412:$BG$538,input_values!$BG$410-2,0)</f>
        <v>PROC-810040-98</v>
      </c>
      <c r="E487" s="567">
        <f>VLOOKUP(B487,input_values!$B$412:$M$538,4,FALSE)</f>
        <v>0</v>
      </c>
      <c r="F487" s="451" t="str">
        <f>VLOOKUP($D487,Table6[[Identifyer]:[Acute RA IESTI new input value]],input_values!$Q$410,FALSE)</f>
        <v/>
      </c>
      <c r="G487" s="451" t="str">
        <f>VLOOKUP($D487,Table6[[Identifyer]:[Acute RA IESTI new input value]],input_values!$P$410,FALSE)</f>
        <v/>
      </c>
      <c r="H487" s="451">
        <f>VLOOKUP($D487,Table6[[Identifyer]:[Acute RA IESTI new input value]],input_values!$S$410,FALSE)</f>
        <v>0</v>
      </c>
      <c r="I487" s="451" t="str">
        <f>VLOOKUP($D487,Table6[[Identifyer]:[Acute RA IESTI new input value]],input_values!$R$410,FALSE)</f>
        <v/>
      </c>
      <c r="J487" s="65"/>
      <c r="K487" s="301">
        <f t="shared" si="79"/>
        <v>1</v>
      </c>
      <c r="L487" s="301" t="str">
        <f>VLOOKUP(D487,input_values!$A$412:$BB$538,input_values!$AA$410,FALSE)</f>
        <v/>
      </c>
      <c r="M487" s="302">
        <f>VLOOKUP(D487,input_values!$A$412:$BB$538,input_values!$Y$410,FALSE)</f>
        <v>1</v>
      </c>
      <c r="N487" s="374" t="str">
        <f>IF(VLOOKUP(D487,input_values!$A$412:$BB$538,input_values!$L$410,FALSE)&lt;&gt;"",VLOOKUP(D487,input_values!$A$412:$BB$538,input_values!$L$410,FALSE),"")</f>
        <v/>
      </c>
      <c r="O487" s="339">
        <v>3.64741641337386E-2</v>
      </c>
      <c r="P487" s="375">
        <v>97.5</v>
      </c>
      <c r="Q487" s="21" t="s">
        <v>99</v>
      </c>
      <c r="R487" s="377">
        <v>65.8</v>
      </c>
      <c r="S487" s="326">
        <f t="shared" si="74"/>
        <v>2.4</v>
      </c>
      <c r="T487" s="377"/>
      <c r="U487" s="377"/>
      <c r="V487" s="377"/>
      <c r="W487" s="377"/>
      <c r="X487" s="378">
        <v>3</v>
      </c>
      <c r="Y487" s="64">
        <f>IF(OR(Table9[[#This Row],[Case]]=1,Table9[[#This Row],[Case]]=3),1,IF(N487="",K487,N487))</f>
        <v>1</v>
      </c>
      <c r="Z487" s="648" t="str">
        <f t="shared" si="80"/>
        <v>ND</v>
      </c>
      <c r="AA487" s="777" t="str">
        <f t="shared" si="81"/>
        <v>no acute RA</v>
      </c>
      <c r="AB487" s="64">
        <f>IF(OR(Table9[[#This Row],[Case]]=3,Table9[[#This Row],[Case]]=1),1,IF(Table9[[#This Row],[Variability factor for IESTI ]]&lt;3,Table9[[#This Row],[Variability factor for IESTI ]],3))</f>
        <v>1</v>
      </c>
      <c r="AC487" s="379" t="str">
        <f t="shared" si="82"/>
        <v>ND</v>
      </c>
      <c r="AD487" s="777" t="str">
        <f>IF($C$5="not necessary","no acute RA",IF(AC487="ND","no acute RA",IF(Table9[[#This Row],[IESTI new (mg/kg bw)]]&lt;&gt;"",AC487/$C$5,0)))</f>
        <v>no acute RA</v>
      </c>
      <c r="AE487" s="423" t="str">
        <f t="shared" si="83"/>
        <v/>
      </c>
      <c r="AF487" s="423" t="str">
        <f t="shared" si="84"/>
        <v/>
      </c>
      <c r="AG487" s="381" t="str">
        <f>IF(OR(Z487=0,Z487="ND",Z487="",$C$5="not necessary"),"",IF(X487="2a",1000*$C$5*R487/Table9[[#This Row],[Processing factor]]/(T487*Y487+S487-T487),IF(X487="2b",1000*$C$5*R487/Table9[[#This Row],[Processing factor]]/S487/Y487,IF(OR(X487=1,X487=3),1000*$C$5*R487/Table9[[#This Row],[Processing factor]]/S487,""))))</f>
        <v/>
      </c>
      <c r="AH487" s="495" t="str">
        <f>IF(OR(AC487=0,AC487="ND",$C$5="not necessary"),"",1000*$C$5*R487/Table9[[#This Row],[Processing factor]]/S487/AB487)</f>
        <v/>
      </c>
      <c r="AK487" s="651"/>
    </row>
    <row r="488" spans="1:37" ht="24" x14ac:dyDescent="0.2">
      <c r="A488" s="506"/>
      <c r="B488" s="23">
        <v>830010</v>
      </c>
      <c r="C488" s="325" t="s">
        <v>480</v>
      </c>
      <c r="D488" s="373" t="str">
        <f>VLOOKUP(C488,input_values!$C$412:$BG$538,input_values!$BG$410-2,0)</f>
        <v>PROC-830010-98</v>
      </c>
      <c r="E488" s="567">
        <f>VLOOKUP(B488,input_values!$B$412:$M$538,4,FALSE)</f>
        <v>0</v>
      </c>
      <c r="F488" s="451" t="str">
        <f>VLOOKUP($D488,Table6[[Identifyer]:[Acute RA IESTI new input value]],input_values!$Q$410,FALSE)</f>
        <v/>
      </c>
      <c r="G488" s="451" t="str">
        <f>VLOOKUP($D488,Table6[[Identifyer]:[Acute RA IESTI new input value]],input_values!$P$410,FALSE)</f>
        <v/>
      </c>
      <c r="H488" s="451">
        <f>VLOOKUP($D488,Table6[[Identifyer]:[Acute RA IESTI new input value]],input_values!$S$410,FALSE)</f>
        <v>0</v>
      </c>
      <c r="I488" s="451" t="str">
        <f>VLOOKUP($D488,Table6[[Identifyer]:[Acute RA IESTI new input value]],input_values!$R$410,FALSE)</f>
        <v/>
      </c>
      <c r="J488" s="65"/>
      <c r="K488" s="301">
        <f t="shared" si="79"/>
        <v>1</v>
      </c>
      <c r="L488" s="301" t="str">
        <f>VLOOKUP(D488,input_values!$A$412:$BB$538,input_values!$AA$410,FALSE)</f>
        <v/>
      </c>
      <c r="M488" s="302">
        <f>VLOOKUP(D488,input_values!$A$412:$BB$538,input_values!$Y$410,FALSE)</f>
        <v>1</v>
      </c>
      <c r="N488" s="374" t="str">
        <f>IF(VLOOKUP(D488,input_values!$A$412:$BB$538,input_values!$L$410,FALSE)&lt;&gt;"",VLOOKUP(D488,input_values!$A$412:$BB$538,input_values!$L$410,FALSE),"")</f>
        <v/>
      </c>
      <c r="O488" s="339">
        <v>9.11854103343465E-3</v>
      </c>
      <c r="P488" s="375" t="s">
        <v>331</v>
      </c>
      <c r="Q488" s="21" t="s">
        <v>99</v>
      </c>
      <c r="R488" s="377">
        <v>65.8</v>
      </c>
      <c r="S488" s="326">
        <f t="shared" si="74"/>
        <v>0.6</v>
      </c>
      <c r="T488" s="377"/>
      <c r="U488" s="377"/>
      <c r="V488" s="377"/>
      <c r="W488" s="377"/>
      <c r="X488" s="378">
        <v>3</v>
      </c>
      <c r="Y488" s="64">
        <f>IF(OR(Table9[[#This Row],[Case]]=1,Table9[[#This Row],[Case]]=3),1,IF(N488="",K488,N488))</f>
        <v>1</v>
      </c>
      <c r="Z488" s="648" t="str">
        <f t="shared" si="80"/>
        <v>ND</v>
      </c>
      <c r="AA488" s="777" t="str">
        <f t="shared" si="81"/>
        <v>no acute RA</v>
      </c>
      <c r="AB488" s="64">
        <f>IF(OR(Table9[[#This Row],[Case]]=3,Table9[[#This Row],[Case]]=1),1,IF(Table9[[#This Row],[Variability factor for IESTI ]]&lt;3,Table9[[#This Row],[Variability factor for IESTI ]],3))</f>
        <v>1</v>
      </c>
      <c r="AC488" s="379" t="str">
        <f t="shared" si="82"/>
        <v>ND</v>
      </c>
      <c r="AD488" s="777" t="str">
        <f>IF($C$5="not necessary","no acute RA",IF(AC488="ND","no acute RA",IF(Table9[[#This Row],[IESTI new (mg/kg bw)]]&lt;&gt;"",AC488/$C$5,0)))</f>
        <v>no acute RA</v>
      </c>
      <c r="AE488" s="423" t="str">
        <f t="shared" si="83"/>
        <v/>
      </c>
      <c r="AF488" s="423" t="str">
        <f t="shared" si="84"/>
        <v/>
      </c>
      <c r="AG488" s="381" t="str">
        <f>IF(OR(Z488=0,Z488="ND",Z488="",$C$5="not necessary"),"",IF(X488="2a",1000*$C$5*R488/Table9[[#This Row],[Processing factor]]/(T488*Y488+S488-T488),IF(X488="2b",1000*$C$5*R488/Table9[[#This Row],[Processing factor]]/S488/Y488,IF(OR(X488=1,X488=3),1000*$C$5*R488/Table9[[#This Row],[Processing factor]]/S488,""))))</f>
        <v/>
      </c>
      <c r="AH488" s="495" t="str">
        <f>IF(OR(AC488=0,AC488="ND",$C$5="not necessary"),"",1000*$C$5*R488/Table9[[#This Row],[Processing factor]]/S488/AB488)</f>
        <v/>
      </c>
      <c r="AK488" s="651"/>
    </row>
    <row r="489" spans="1:37" x14ac:dyDescent="0.2">
      <c r="A489" s="506"/>
      <c r="B489" s="23">
        <v>840020</v>
      </c>
      <c r="C489" s="165" t="s">
        <v>439</v>
      </c>
      <c r="D489" s="373" t="str">
        <f>VLOOKUP(C489,input_values!$C$412:$BG$538,input_values!$BG$410-2,0)</f>
        <v>PROC-840020-11</v>
      </c>
      <c r="E489" s="567">
        <f>VLOOKUP(B489,input_values!$B$412:$M$538,4,FALSE)</f>
        <v>0</v>
      </c>
      <c r="F489" s="451" t="str">
        <f>VLOOKUP($D489,Table6[[Identifyer]:[Acute RA IESTI new input value]],input_values!$Q$410,FALSE)</f>
        <v/>
      </c>
      <c r="G489" s="451" t="str">
        <f>VLOOKUP($D489,Table6[[Identifyer]:[Acute RA IESTI new input value]],input_values!$P$410,FALSE)</f>
        <v/>
      </c>
      <c r="H489" s="451">
        <f>VLOOKUP($D489,Table6[[Identifyer]:[Acute RA IESTI new input value]],input_values!$S$410,FALSE)</f>
        <v>0</v>
      </c>
      <c r="I489" s="451" t="str">
        <f>VLOOKUP($D489,Table6[[Identifyer]:[Acute RA IESTI new input value]],input_values!$R$410,FALSE)</f>
        <v/>
      </c>
      <c r="J489" s="65"/>
      <c r="K489" s="301">
        <f t="shared" si="79"/>
        <v>1</v>
      </c>
      <c r="L489" s="301" t="str">
        <f>VLOOKUP(D489,input_values!$A$412:$BB$538,input_values!$AA$410,FALSE)</f>
        <v/>
      </c>
      <c r="M489" s="302">
        <f>VLOOKUP(D489,input_values!$A$412:$BB$538,input_values!$Y$410,FALSE)</f>
        <v>1</v>
      </c>
      <c r="N489" s="374" t="str">
        <f>IF(VLOOKUP(D489,input_values!$A$412:$BB$538,input_values!$L$410,FALSE)&lt;&gt;"",VLOOKUP(D489,input_values!$A$412:$BB$538,input_values!$L$410,FALSE),"")</f>
        <v/>
      </c>
      <c r="O489" s="339">
        <v>1.2507598784194529</v>
      </c>
      <c r="P489" s="375" t="s">
        <v>331</v>
      </c>
      <c r="Q489" s="21" t="s">
        <v>99</v>
      </c>
      <c r="R489" s="377">
        <v>65.8</v>
      </c>
      <c r="S489" s="326">
        <f t="shared" si="74"/>
        <v>82.3</v>
      </c>
      <c r="T489" s="377"/>
      <c r="U489" s="377"/>
      <c r="V489" s="377"/>
      <c r="W489" s="377"/>
      <c r="X489" s="378">
        <v>3</v>
      </c>
      <c r="Y489" s="64">
        <f>IF(OR(Table9[[#This Row],[Case]]=1,Table9[[#This Row],[Case]]=3),1,IF(N489="",K489,N489))</f>
        <v>1</v>
      </c>
      <c r="Z489" s="648" t="str">
        <f t="shared" si="80"/>
        <v>ND</v>
      </c>
      <c r="AA489" s="380" t="str">
        <f t="shared" si="81"/>
        <v>no acute RA</v>
      </c>
      <c r="AB489" s="64">
        <f>IF(OR(Table9[[#This Row],[Case]]=3,Table9[[#This Row],[Case]]=1),1,IF(Table9[[#This Row],[Variability factor for IESTI ]]&lt;3,Table9[[#This Row],[Variability factor for IESTI ]],3))</f>
        <v>1</v>
      </c>
      <c r="AC489" s="379" t="str">
        <f t="shared" si="82"/>
        <v>ND</v>
      </c>
      <c r="AD489" s="380" t="str">
        <f>IF($C$5="not necessary","no acute RA",IF(AC489="ND","no acute RA",IF(Table9[[#This Row],[IESTI new (mg/kg bw)]]&lt;&gt;"",AC489/$C$5,0)))</f>
        <v>no acute RA</v>
      </c>
      <c r="AE489" s="423" t="str">
        <f t="shared" si="83"/>
        <v/>
      </c>
      <c r="AF489" s="423" t="str">
        <f t="shared" si="84"/>
        <v/>
      </c>
      <c r="AG489" s="381" t="str">
        <f>IF(OR(Z489=0,Z489="ND",Z489="",$C$5="not necessary"),"",IF(X489="2a",1000*$C$5*R489/Table9[[#This Row],[Processing factor]]/(T489*Y489+S489-T489),IF(X489="2b",1000*$C$5*R489/Table9[[#This Row],[Processing factor]]/S489/Y489,IF(OR(X489=1,X489=3),1000*$C$5*R489/Table9[[#This Row],[Processing factor]]/S489,""))))</f>
        <v/>
      </c>
      <c r="AH489" s="495" t="str">
        <f>IF(OR(AC489=0,AC489="ND",$C$5="not necessary"),"",1000*$C$5*R489/Table9[[#This Row],[Processing factor]]/S489/AB489)</f>
        <v/>
      </c>
      <c r="AK489" s="651"/>
    </row>
    <row r="490" spans="1:37" x14ac:dyDescent="0.2">
      <c r="A490" s="506"/>
      <c r="B490" s="23">
        <v>840030</v>
      </c>
      <c r="C490" s="325" t="s">
        <v>481</v>
      </c>
      <c r="D490" s="373" t="str">
        <f>VLOOKUP(C490,input_values!$C$412:$BG$538,input_values!$BG$410-2,0)</f>
        <v>PROC-840030-3</v>
      </c>
      <c r="E490" s="567">
        <f>VLOOKUP(B490,input_values!$B$412:$M$538,4,FALSE)</f>
        <v>0</v>
      </c>
      <c r="F490" s="451" t="str">
        <f>VLOOKUP($D490,Table6[[Identifyer]:[Acute RA IESTI new input value]],input_values!$Q$410,FALSE)</f>
        <v/>
      </c>
      <c r="G490" s="451" t="str">
        <f>VLOOKUP($D490,Table6[[Identifyer]:[Acute RA IESTI new input value]],input_values!$P$410,FALSE)</f>
        <v/>
      </c>
      <c r="H490" s="451">
        <f>VLOOKUP($D490,Table6[[Identifyer]:[Acute RA IESTI new input value]],input_values!$S$410,FALSE)</f>
        <v>0</v>
      </c>
      <c r="I490" s="451" t="str">
        <f>VLOOKUP($D490,Table6[[Identifyer]:[Acute RA IESTI new input value]],input_values!$R$410,FALSE)</f>
        <v/>
      </c>
      <c r="J490" s="65"/>
      <c r="K490" s="301">
        <f t="shared" si="79"/>
        <v>1</v>
      </c>
      <c r="L490" s="301" t="str">
        <f>VLOOKUP(D490,input_values!$A$412:$BB$538,input_values!$AA$410,FALSE)</f>
        <v/>
      </c>
      <c r="M490" s="302">
        <f>VLOOKUP(D490,input_values!$A$412:$BB$538,input_values!$Y$410,FALSE)</f>
        <v>1</v>
      </c>
      <c r="N490" s="374" t="str">
        <f>IF(VLOOKUP(D490,input_values!$A$412:$BB$538,input_values!$L$410,FALSE)&lt;&gt;"",VLOOKUP(D490,input_values!$A$412:$BB$538,input_values!$L$410,FALSE),"")</f>
        <v/>
      </c>
      <c r="O490" s="339">
        <v>1.5197568389057751E-2</v>
      </c>
      <c r="P490" s="375" t="s">
        <v>331</v>
      </c>
      <c r="Q490" s="21" t="s">
        <v>99</v>
      </c>
      <c r="R490" s="377">
        <v>65.8</v>
      </c>
      <c r="S490" s="326">
        <f t="shared" si="74"/>
        <v>1</v>
      </c>
      <c r="T490" s="377"/>
      <c r="U490" s="377"/>
      <c r="V490" s="377"/>
      <c r="W490" s="377"/>
      <c r="X490" s="378">
        <v>1</v>
      </c>
      <c r="Y490" s="64">
        <f>IF(OR(Table9[[#This Row],[Case]]=1,Table9[[#This Row],[Case]]=3),1,IF(N490="",K490,N490))</f>
        <v>1</v>
      </c>
      <c r="Z490" s="648" t="str">
        <f t="shared" si="80"/>
        <v>ND</v>
      </c>
      <c r="AA490" s="777" t="str">
        <f t="shared" si="81"/>
        <v>no acute RA</v>
      </c>
      <c r="AB490" s="64">
        <f>IF(OR(Table9[[#This Row],[Case]]=3,Table9[[#This Row],[Case]]=1),1,IF(Table9[[#This Row],[Variability factor for IESTI ]]&lt;3,Table9[[#This Row],[Variability factor for IESTI ]],3))</f>
        <v>1</v>
      </c>
      <c r="AC490" s="379" t="str">
        <f t="shared" si="82"/>
        <v>ND</v>
      </c>
      <c r="AD490" s="777" t="str">
        <f>IF($C$5="not necessary","no acute RA",IF(AC490="ND","no acute RA",IF(Table9[[#This Row],[IESTI new (mg/kg bw)]]&lt;&gt;"",AC490/$C$5,0)))</f>
        <v>no acute RA</v>
      </c>
      <c r="AE490" s="423" t="str">
        <f t="shared" si="83"/>
        <v/>
      </c>
      <c r="AF490" s="423" t="str">
        <f t="shared" si="84"/>
        <v/>
      </c>
      <c r="AG490" s="381" t="str">
        <f>IF(OR(Z490=0,Z490="ND",Z490="",$C$5="not necessary"),"",IF(X490="2a",1000*$C$5*R490/Table9[[#This Row],[Processing factor]]/(T490*Y490+S490-T490),IF(X490="2b",1000*$C$5*R490/Table9[[#This Row],[Processing factor]]/S490/Y490,IF(OR(X490=1,X490=3),1000*$C$5*R490/Table9[[#This Row],[Processing factor]]/S490,""))))</f>
        <v/>
      </c>
      <c r="AH490" s="495" t="str">
        <f>IF(OR(AC490=0,AC490="ND",$C$5="not necessary"),"",1000*$C$5*R490/Table9[[#This Row],[Processing factor]]/S490/AB490)</f>
        <v/>
      </c>
      <c r="AK490" s="651"/>
    </row>
    <row r="491" spans="1:37" x14ac:dyDescent="0.2">
      <c r="A491" s="506"/>
      <c r="B491" s="23">
        <v>900010</v>
      </c>
      <c r="C491" s="547" t="s">
        <v>848</v>
      </c>
      <c r="D491" s="373" t="str">
        <f>VLOOKUP(C491,input_values!$C$412:$BG$538,input_values!$BG$410-2,0)</f>
        <v>PROC-900010-52</v>
      </c>
      <c r="E491" s="567">
        <f>VLOOKUP(B491,input_values!$B$412:$M$538,4,FALSE)</f>
        <v>0</v>
      </c>
      <c r="F491" s="451" t="str">
        <f>VLOOKUP($D491,Table6[[Identifyer]:[Acute RA IESTI new input value]],input_values!$Q$410,FALSE)</f>
        <v/>
      </c>
      <c r="G491" s="451" t="str">
        <f>VLOOKUP($D491,Table6[[Identifyer]:[Acute RA IESTI new input value]],input_values!$P$410,FALSE)</f>
        <v/>
      </c>
      <c r="H491" s="451">
        <f>VLOOKUP($D491,Table6[[Identifyer]:[Acute RA IESTI new input value]],input_values!$S$410,FALSE)</f>
        <v>0</v>
      </c>
      <c r="I491" s="451" t="str">
        <f>VLOOKUP($D491,Table6[[Identifyer]:[Acute RA IESTI new input value]],input_values!$R$410,FALSE)</f>
        <v/>
      </c>
      <c r="J491" s="65"/>
      <c r="K491" s="301">
        <f t="shared" si="79"/>
        <v>1</v>
      </c>
      <c r="L491" s="301" t="str">
        <f>VLOOKUP(D491,input_values!$A$412:$BB$538,input_values!$AA$410,FALSE)</f>
        <v/>
      </c>
      <c r="M491" s="302">
        <f>VLOOKUP(D491,input_values!$A$412:$BB$538,input_values!$Y$410,FALSE)</f>
        <v>12</v>
      </c>
      <c r="N491" s="374" t="str">
        <f>IF(VLOOKUP(D491,input_values!$A$412:$BB$538,input_values!$L$410,FALSE)&lt;&gt;"",VLOOKUP(D491,input_values!$A$412:$BB$538,input_values!$L$410,FALSE),"")</f>
        <v/>
      </c>
      <c r="O491" s="339">
        <v>3.65</v>
      </c>
      <c r="P491" s="375">
        <v>97.5</v>
      </c>
      <c r="Q491" s="21" t="s">
        <v>313</v>
      </c>
      <c r="R491" s="377">
        <v>66.400000000000006</v>
      </c>
      <c r="S491" s="326">
        <f t="shared" si="74"/>
        <v>242.36</v>
      </c>
      <c r="T491" s="377"/>
      <c r="U491" s="377"/>
      <c r="V491" s="377"/>
      <c r="W491" s="377"/>
      <c r="X491" s="378">
        <v>3</v>
      </c>
      <c r="Y491" s="64">
        <f>IF(OR(Table9[[#This Row],[Case]]=1,Table9[[#This Row],[Case]]=3),1,IF(N491="",K491,N491))</f>
        <v>1</v>
      </c>
      <c r="Z491" s="648" t="str">
        <f t="shared" si="80"/>
        <v>ND</v>
      </c>
      <c r="AA491" s="380" t="str">
        <f t="shared" si="81"/>
        <v>no acute RA</v>
      </c>
      <c r="AB491" s="64">
        <f>IF(OR(Table9[[#This Row],[Case]]=3,Table9[[#This Row],[Case]]=1),1,IF(Table9[[#This Row],[Variability factor for IESTI ]]&lt;3,Table9[[#This Row],[Variability factor for IESTI ]],3))</f>
        <v>1</v>
      </c>
      <c r="AC491" s="379" t="str">
        <f t="shared" si="82"/>
        <v>ND</v>
      </c>
      <c r="AD491" s="380" t="str">
        <f>IF($C$5="not necessary","no acute RA",IF(AC491="ND","no acute RA",IF(Table9[[#This Row],[IESTI new (mg/kg bw)]]&lt;&gt;"",AC491/$C$5,0)))</f>
        <v>no acute RA</v>
      </c>
      <c r="AE491" s="423" t="str">
        <f t="shared" si="83"/>
        <v/>
      </c>
      <c r="AF491" s="423" t="str">
        <f t="shared" si="84"/>
        <v/>
      </c>
      <c r="AG491" s="381" t="str">
        <f>IF(OR(Z491=0,Z491="ND",Z491="",$C$5="not necessary"),"",IF(X491="2a",1000*$C$5*R491/Table9[[#This Row],[Processing factor]]/(T491*Y491+S491-T491),IF(X491="2b",1000*$C$5*R491/Table9[[#This Row],[Processing factor]]/S491/Y491,IF(OR(X491=1,X491=3),1000*$C$5*R491/Table9[[#This Row],[Processing factor]]/S491,""))))</f>
        <v/>
      </c>
      <c r="AH491" s="495" t="str">
        <f>IF(OR(AC491=0,AC491="ND",$C$5="not necessary"),"",1000*$C$5*R491/Table9[[#This Row],[Processing factor]]/S491/AB491)</f>
        <v/>
      </c>
      <c r="AK491" s="651"/>
    </row>
    <row r="492" spans="1:37" x14ac:dyDescent="0.2">
      <c r="A492" s="506"/>
      <c r="B492" s="23">
        <v>900020</v>
      </c>
      <c r="C492" s="325" t="s">
        <v>849</v>
      </c>
      <c r="D492" s="373" t="str">
        <f>VLOOKUP(C492,input_values!$C$412:$BG$538,input_values!$BG$410-2,0)</f>
        <v>PROC-900020-52</v>
      </c>
      <c r="E492" s="567">
        <f>VLOOKUP(B492,input_values!$B$412:$M$538,4,FALSE)</f>
        <v>0</v>
      </c>
      <c r="F492" s="451" t="str">
        <f>VLOOKUP($D492,Table6[[Identifyer]:[Acute RA IESTI new input value]],input_values!$Q$410,FALSE)</f>
        <v/>
      </c>
      <c r="G492" s="451" t="str">
        <f>VLOOKUP($D492,Table6[[Identifyer]:[Acute RA IESTI new input value]],input_values!$P$410,FALSE)</f>
        <v/>
      </c>
      <c r="H492" s="451">
        <f>VLOOKUP($D492,Table6[[Identifyer]:[Acute RA IESTI new input value]],input_values!$S$410,FALSE)</f>
        <v>0</v>
      </c>
      <c r="I492" s="451" t="str">
        <f>VLOOKUP($D492,Table6[[Identifyer]:[Acute RA IESTI new input value]],input_values!$R$410,FALSE)</f>
        <v/>
      </c>
      <c r="J492" s="65"/>
      <c r="K492" s="301">
        <f t="shared" si="79"/>
        <v>1</v>
      </c>
      <c r="L492" s="301" t="str">
        <f>VLOOKUP(D492,input_values!$A$412:$BB$538,input_values!$AA$410,FALSE)</f>
        <v/>
      </c>
      <c r="M492" s="302">
        <f>VLOOKUP(D492,input_values!$A$412:$BB$538,input_values!$Y$410,FALSE)</f>
        <v>1</v>
      </c>
      <c r="N492" s="374" t="str">
        <f>IF(VLOOKUP(D492,input_values!$A$412:$BB$538,input_values!$L$410,FALSE)&lt;&gt;"",VLOOKUP(D492,input_values!$A$412:$BB$538,input_values!$L$410,FALSE),"")</f>
        <v/>
      </c>
      <c r="O492" s="339">
        <v>5.6660000000000004</v>
      </c>
      <c r="P492" s="375" t="s">
        <v>331</v>
      </c>
      <c r="Q492" s="21" t="s">
        <v>99</v>
      </c>
      <c r="R492" s="377">
        <v>65.8</v>
      </c>
      <c r="S492" s="326">
        <f t="shared" si="74"/>
        <v>372.82280000000003</v>
      </c>
      <c r="T492" s="377"/>
      <c r="U492" s="377"/>
      <c r="V492" s="377"/>
      <c r="W492" s="377"/>
      <c r="X492" s="378">
        <v>3</v>
      </c>
      <c r="Y492" s="64">
        <f>IF(OR(Table9[[#This Row],[Case]]=1,Table9[[#This Row],[Case]]=3),1,IF(N492="",K492,N492))</f>
        <v>1</v>
      </c>
      <c r="Z492" s="648" t="str">
        <f t="shared" si="80"/>
        <v>ND</v>
      </c>
      <c r="AA492" s="380" t="str">
        <f t="shared" si="81"/>
        <v>no acute RA</v>
      </c>
      <c r="AB492" s="64">
        <f>IF(OR(Table9[[#This Row],[Case]]=3,Table9[[#This Row],[Case]]=1),1,IF(Table9[[#This Row],[Variability factor for IESTI ]]&lt;3,Table9[[#This Row],[Variability factor for IESTI ]],3))</f>
        <v>1</v>
      </c>
      <c r="AC492" s="379" t="str">
        <f t="shared" si="82"/>
        <v>ND</v>
      </c>
      <c r="AD492" s="380" t="str">
        <f>IF($C$5="not necessary","no acute RA",IF(AC492="ND","no acute RA",IF(Table9[[#This Row],[IESTI new (mg/kg bw)]]&lt;&gt;"",AC492/$C$5,0)))</f>
        <v>no acute RA</v>
      </c>
      <c r="AE492" s="423" t="str">
        <f t="shared" si="83"/>
        <v/>
      </c>
      <c r="AF492" s="423" t="str">
        <f t="shared" si="84"/>
        <v/>
      </c>
      <c r="AG492" s="381" t="str">
        <f>IF(OR(Z492=0,Z492="ND",Z492="",$C$5="not necessary"),"",IF(X492="2a",1000*$C$5*R492/Table9[[#This Row],[Processing factor]]/(T492*Y492+S492-T492),IF(X492="2b",1000*$C$5*R492/Table9[[#This Row],[Processing factor]]/S492/Y492,IF(OR(X492=1,X492=3),1000*$C$5*R492/Table9[[#This Row],[Processing factor]]/S492,""))))</f>
        <v/>
      </c>
      <c r="AH492" s="495" t="str">
        <f>IF(OR(AC492=0,AC492="ND",$C$5="not necessary"),"",1000*$C$5*R492/Table9[[#This Row],[Processing factor]]/S492/AB492)</f>
        <v/>
      </c>
      <c r="AK492" s="651"/>
    </row>
    <row r="493" spans="1:37" ht="24" x14ac:dyDescent="0.2">
      <c r="A493" s="506"/>
      <c r="B493" s="23">
        <v>900030</v>
      </c>
      <c r="C493" s="325" t="s">
        <v>415</v>
      </c>
      <c r="D493" s="373" t="str">
        <f>VLOOKUP(C493,input_values!$C$412:$BG$538,input_values!$BG$410-2,0)</f>
        <v>PROC-900030-98</v>
      </c>
      <c r="E493" s="567">
        <f>VLOOKUP(B493,input_values!$B$412:$M$538,4,FALSE)</f>
        <v>0</v>
      </c>
      <c r="F493" s="451" t="str">
        <f>VLOOKUP($D493,Table6[[Identifyer]:[Acute RA IESTI new input value]],input_values!$Q$410,FALSE)</f>
        <v/>
      </c>
      <c r="G493" s="451" t="str">
        <f>VLOOKUP($D493,Table6[[Identifyer]:[Acute RA IESTI new input value]],input_values!$P$410,FALSE)</f>
        <v/>
      </c>
      <c r="H493" s="451">
        <f>VLOOKUP($D493,Table6[[Identifyer]:[Acute RA IESTI new input value]],input_values!$S$410,FALSE)</f>
        <v>0</v>
      </c>
      <c r="I493" s="451" t="str">
        <f>VLOOKUP($D493,Table6[[Identifyer]:[Acute RA IESTI new input value]],input_values!$R$410,FALSE)</f>
        <v/>
      </c>
      <c r="J493" s="65"/>
      <c r="K493" s="301">
        <f t="shared" si="79"/>
        <v>1</v>
      </c>
      <c r="L493" s="301" t="str">
        <f>VLOOKUP(D493,input_values!$A$412:$BB$538,input_values!$AA$410,FALSE)</f>
        <v/>
      </c>
      <c r="M493" s="302">
        <f>VLOOKUP(D493,input_values!$A$412:$BB$538,input_values!$Y$410,FALSE)</f>
        <v>1</v>
      </c>
      <c r="N493" s="374" t="str">
        <f>IF(VLOOKUP(D493,input_values!$A$412:$BB$538,input_values!$L$410,FALSE)&lt;&gt;"",VLOOKUP(D493,input_values!$A$412:$BB$538,input_values!$L$410,FALSE),"")</f>
        <v/>
      </c>
      <c r="O493" s="339">
        <v>0.303951367781155</v>
      </c>
      <c r="P493" s="375" t="s">
        <v>331</v>
      </c>
      <c r="Q493" s="21" t="s">
        <v>99</v>
      </c>
      <c r="R493" s="377">
        <v>65.8</v>
      </c>
      <c r="S493" s="326">
        <f t="shared" si="74"/>
        <v>20</v>
      </c>
      <c r="T493" s="377"/>
      <c r="U493" s="377"/>
      <c r="V493" s="377"/>
      <c r="W493" s="377"/>
      <c r="X493" s="378">
        <v>3</v>
      </c>
      <c r="Y493" s="64">
        <f>IF(OR(Table9[[#This Row],[Case]]=1,Table9[[#This Row],[Case]]=3),1,IF(N493="",K493,N493))</f>
        <v>1</v>
      </c>
      <c r="Z493" s="648" t="str">
        <f t="shared" si="80"/>
        <v>ND</v>
      </c>
      <c r="AA493" s="380" t="str">
        <f t="shared" si="81"/>
        <v>no acute RA</v>
      </c>
      <c r="AB493" s="64">
        <f>IF(OR(Table9[[#This Row],[Case]]=3,Table9[[#This Row],[Case]]=1),1,IF(Table9[[#This Row],[Variability factor for IESTI ]]&lt;3,Table9[[#This Row],[Variability factor for IESTI ]],3))</f>
        <v>1</v>
      </c>
      <c r="AC493" s="379" t="str">
        <f t="shared" si="82"/>
        <v>ND</v>
      </c>
      <c r="AD493" s="380" t="str">
        <f>IF($C$5="not necessary","no acute RA",IF(AC493="ND","no acute RA",IF(Table9[[#This Row],[IESTI new (mg/kg bw)]]&lt;&gt;"",AC493/$C$5,0)))</f>
        <v>no acute RA</v>
      </c>
      <c r="AE493" s="423" t="str">
        <f t="shared" si="83"/>
        <v/>
      </c>
      <c r="AF493" s="423" t="str">
        <f t="shared" si="84"/>
        <v/>
      </c>
      <c r="AG493" s="381" t="str">
        <f>IF(OR(Z493=0,Z493="ND",Z493="",$C$5="not necessary"),"",IF(X493="2a",1000*$C$5*R493/Table9[[#This Row],[Processing factor]]/(T493*Y493+S493-T493),IF(X493="2b",1000*$C$5*R493/Table9[[#This Row],[Processing factor]]/S493/Y493,IF(OR(X493=1,X493=3),1000*$C$5*R493/Table9[[#This Row],[Processing factor]]/S493,""))))</f>
        <v/>
      </c>
      <c r="AH493" s="495" t="str">
        <f>IF(OR(AC493=0,AC493="ND",$C$5="not necessary"),"",1000*$C$5*R493/Table9[[#This Row],[Processing factor]]/S493/AB493)</f>
        <v/>
      </c>
      <c r="AK493" s="651"/>
    </row>
    <row r="494" spans="1:37" x14ac:dyDescent="0.2">
      <c r="AA494" s="426"/>
    </row>
    <row r="495" spans="1:37" x14ac:dyDescent="0.2">
      <c r="AA495" s="426"/>
    </row>
    <row r="496" spans="1:37" x14ac:dyDescent="0.2">
      <c r="AA496" s="426"/>
    </row>
    <row r="497" spans="27:27" x14ac:dyDescent="0.2">
      <c r="AA497" s="426"/>
    </row>
    <row r="498" spans="27:27" x14ac:dyDescent="0.2">
      <c r="AA498" s="426"/>
    </row>
    <row r="499" spans="27:27" x14ac:dyDescent="0.2">
      <c r="AA499" s="426"/>
    </row>
    <row r="500" spans="27:27" x14ac:dyDescent="0.2">
      <c r="AA500" s="426"/>
    </row>
    <row r="501" spans="27:27" x14ac:dyDescent="0.2">
      <c r="AA501" s="426"/>
    </row>
    <row r="502" spans="27:27" x14ac:dyDescent="0.2">
      <c r="AA502" s="426"/>
    </row>
    <row r="503" spans="27:27" x14ac:dyDescent="0.2">
      <c r="AA503" s="426"/>
    </row>
    <row r="504" spans="27:27" x14ac:dyDescent="0.2">
      <c r="AA504" s="426"/>
    </row>
    <row r="505" spans="27:27" x14ac:dyDescent="0.2">
      <c r="AA505" s="426"/>
    </row>
  </sheetData>
  <sheetProtection sheet="1" objects="1" scenarios="1" formatCells="0" formatColumns="0" formatRows="0" autoFilter="0"/>
  <protectedRanges>
    <protectedRange sqref="J12:J390 J412:J493" name="comment"/>
  </protectedRanges>
  <mergeCells count="3">
    <mergeCell ref="T9:W9"/>
    <mergeCell ref="B1:E1"/>
    <mergeCell ref="B2:E2"/>
  </mergeCells>
  <phoneticPr fontId="2" type="noConversion"/>
  <conditionalFormatting sqref="AB409:AB410 AB494:AB505 AB13:AB406">
    <cfRule type="expression" dxfId="10" priority="77" stopIfTrue="1">
      <formula>$N13&gt;1</formula>
    </cfRule>
  </conditionalFormatting>
  <conditionalFormatting sqref="Y494:Y505 Y409:Y410 Y12:Y406">
    <cfRule type="expression" dxfId="9" priority="76" stopIfTrue="1">
      <formula>$N12&gt;1</formula>
    </cfRule>
  </conditionalFormatting>
  <conditionalFormatting sqref="AD494:AD505 AD409:AD410 AD13:AD406">
    <cfRule type="expression" priority="68" stopIfTrue="1">
      <formula>$AD13="no acute RA"</formula>
    </cfRule>
    <cfRule type="expression" dxfId="8" priority="73" stopIfTrue="1">
      <formula>$AD13&gt;1</formula>
    </cfRule>
  </conditionalFormatting>
  <conditionalFormatting sqref="AD494:AD505 AD409:AD410 AD13:AD406">
    <cfRule type="expression" priority="69" stopIfTrue="1">
      <formula>$AD13="no acute risk"</formula>
    </cfRule>
  </conditionalFormatting>
  <conditionalFormatting sqref="AA494:AA505 AA13:AA391">
    <cfRule type="expression" dxfId="7" priority="63" stopIfTrue="1">
      <formula>$AA13&gt;1</formula>
    </cfRule>
  </conditionalFormatting>
  <conditionalFormatting sqref="AA413:AA414 AA416:AA493">
    <cfRule type="expression" priority="22" stopIfTrue="1">
      <formula>$AA413="no acute risk assessment"</formula>
    </cfRule>
    <cfRule type="expression" dxfId="6" priority="24" stopIfTrue="1">
      <formula>$AA413&gt;1</formula>
    </cfRule>
  </conditionalFormatting>
  <conditionalFormatting sqref="AD412:AD493">
    <cfRule type="expression" dxfId="5" priority="19" stopIfTrue="1">
      <formula>$AD412="no acute RA"</formula>
    </cfRule>
    <cfRule type="expression" priority="20" stopIfTrue="1">
      <formula>$AD412="no acute RA"</formula>
    </cfRule>
    <cfRule type="expression" dxfId="4" priority="21" stopIfTrue="1">
      <formula>$AD412&gt;1</formula>
    </cfRule>
  </conditionalFormatting>
  <conditionalFormatting sqref="C5">
    <cfRule type="cellIs" dxfId="3" priority="11" operator="equal">
      <formula>"Please insert valid ARfD"</formula>
    </cfRule>
  </conditionalFormatting>
  <conditionalFormatting sqref="AA412">
    <cfRule type="expression" priority="4" stopIfTrue="1">
      <formula>$AA412="no acute RA"</formula>
    </cfRule>
    <cfRule type="expression" priority="5" stopIfTrue="1">
      <formula>$AA412="no acute RA"</formula>
    </cfRule>
    <cfRule type="expression" dxfId="2" priority="6" stopIfTrue="1">
      <formula>$AA412&gt;1</formula>
    </cfRule>
  </conditionalFormatting>
  <conditionalFormatting sqref="AA415">
    <cfRule type="expression" priority="2" stopIfTrue="1">
      <formula>$AD415="no acute RA"</formula>
    </cfRule>
    <cfRule type="expression" dxfId="1" priority="3" stopIfTrue="1">
      <formula>$AD415&gt;1</formula>
    </cfRule>
  </conditionalFormatting>
  <conditionalFormatting sqref="AA412:AA4493">
    <cfRule type="expression" priority="23" stopIfTrue="1">
      <formula>$AA412="no LP or U data"</formula>
    </cfRule>
  </conditionalFormatting>
  <conditionalFormatting sqref="AA412:AA493">
    <cfRule type="expression" dxfId="0" priority="1" stopIfTrue="1">
      <formula>$AD412="no acute RA"</formula>
    </cfRule>
  </conditionalFormatting>
  <conditionalFormatting sqref="AA494:AA505">
    <cfRule type="expression" priority="61" stopIfTrue="1">
      <formula>$AA494="no acute RA"</formula>
    </cfRule>
  </conditionalFormatting>
  <conditionalFormatting sqref="AA13:AA391">
    <cfRule type="expression" priority="62" stopIfTrue="1">
      <formula>$AA13="no acute RA"</formula>
    </cfRule>
  </conditionalFormatting>
  <hyperlinks>
    <hyperlink ref="C6" location="Calculation_mode" display="Calculation_mode" xr:uid="{00000000-0004-0000-0800-000000000000}"/>
    <hyperlink ref="C7:E7" location="Results" display="Results" xr:uid="{00000000-0004-0000-0800-000001000000}"/>
  </hyperlinks>
  <pageMargins left="0.25" right="0.25" top="0.75" bottom="0.75" header="0.3" footer="0.3"/>
  <pageSetup paperSize="9" fitToHeight="0" orientation="landscape" r:id="rId1"/>
  <headerFooter alignWithMargins="0"/>
  <drawing r:id="rId2"/>
  <legacyDrawing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outlinePr summaryBelow="0"/>
  </sheetPr>
  <dimension ref="A1:BC793"/>
  <sheetViews>
    <sheetView showGridLines="0" showZeros="0" topLeftCell="B1" zoomScale="70" zoomScaleNormal="70" workbookViewId="0">
      <selection activeCell="P29" sqref="P29"/>
    </sheetView>
  </sheetViews>
  <sheetFormatPr defaultColWidth="9.140625" defaultRowHeight="15" customHeight="1" outlineLevelRow="3" x14ac:dyDescent="0.2"/>
  <cols>
    <col min="1" max="1" width="8" style="13" hidden="1" customWidth="1"/>
    <col min="2" max="2" width="15.140625" style="13" customWidth="1"/>
    <col min="3" max="3" width="15.42578125" style="13" customWidth="1"/>
    <col min="4" max="4" width="1.7109375" style="46" hidden="1" customWidth="1"/>
    <col min="5" max="19" width="10.7109375" style="12" customWidth="1"/>
    <col min="20" max="20" width="2.85546875" style="12" hidden="1" customWidth="1"/>
    <col min="21" max="26" width="10.7109375" style="12" customWidth="1"/>
    <col min="27" max="41" width="10.7109375" style="13" customWidth="1"/>
    <col min="42" max="42" width="8.42578125" style="13" hidden="1" customWidth="1"/>
    <col min="43" max="49" width="3.85546875" style="13" hidden="1" customWidth="1"/>
    <col min="50" max="51" width="9.140625" style="13" hidden="1" customWidth="1"/>
    <col min="52" max="53" width="9.140625" style="13"/>
    <col min="54" max="55" width="0" style="13" hidden="1" customWidth="1"/>
    <col min="56" max="16384" width="9.140625" style="13"/>
  </cols>
  <sheetData>
    <row r="1" spans="1:55" ht="57.75" customHeight="1" x14ac:dyDescent="0.2">
      <c r="A1" s="1670" t="s">
        <v>83</v>
      </c>
      <c r="B1" s="1670"/>
      <c r="C1" s="1670"/>
      <c r="D1" s="75"/>
      <c r="E1" s="89"/>
      <c r="F1" s="89"/>
      <c r="N1" s="95"/>
      <c r="O1" s="95"/>
    </row>
    <row r="2" spans="1:55" ht="15" customHeight="1" x14ac:dyDescent="0.2">
      <c r="A2" s="11"/>
      <c r="B2" s="14"/>
      <c r="C2" s="15"/>
      <c r="D2" s="76"/>
    </row>
    <row r="3" spans="1:55" ht="15" hidden="1" customHeight="1" x14ac:dyDescent="0.2">
      <c r="A3" s="11"/>
      <c r="B3" s="14"/>
      <c r="C3" s="15"/>
      <c r="D3" s="76"/>
    </row>
    <row r="4" spans="1:55" ht="15" customHeight="1" x14ac:dyDescent="0.2">
      <c r="A4" s="11"/>
      <c r="B4" s="14"/>
      <c r="C4" s="15"/>
      <c r="D4" s="76"/>
    </row>
    <row r="5" spans="1:55" s="33" customFormat="1" ht="16.5" customHeight="1" x14ac:dyDescent="0.2">
      <c r="A5" s="34"/>
      <c r="B5" s="35"/>
      <c r="C5" s="509" t="s">
        <v>372</v>
      </c>
      <c r="D5" s="77"/>
      <c r="E5" s="44">
        <v>16.149999999999999</v>
      </c>
      <c r="F5" s="44">
        <v>21.8</v>
      </c>
      <c r="G5" s="44">
        <v>34.479999999999997</v>
      </c>
      <c r="H5" s="44">
        <v>9.1</v>
      </c>
      <c r="I5" s="44">
        <v>13.6</v>
      </c>
      <c r="J5" s="44">
        <v>18.899999999999999</v>
      </c>
      <c r="K5" s="44">
        <v>41.61</v>
      </c>
      <c r="L5" s="45">
        <v>10.199999999999999</v>
      </c>
      <c r="M5" s="45">
        <v>18.399999999999999</v>
      </c>
      <c r="N5" s="44">
        <v>8.6999999999999993</v>
      </c>
      <c r="O5" s="44">
        <v>14.6</v>
      </c>
      <c r="P5" s="44">
        <v>75.099999999999994</v>
      </c>
      <c r="Q5" s="44">
        <v>68.48</v>
      </c>
      <c r="R5" s="44">
        <v>78.099999999999994</v>
      </c>
      <c r="S5" s="44">
        <v>66.400000000000006</v>
      </c>
      <c r="T5" s="44"/>
      <c r="U5" s="44">
        <v>75.2</v>
      </c>
      <c r="V5" s="44">
        <v>66.510000000000005</v>
      </c>
      <c r="W5" s="44">
        <v>70</v>
      </c>
      <c r="X5" s="45">
        <v>65.8</v>
      </c>
      <c r="Y5" s="44">
        <v>62.8</v>
      </c>
      <c r="Z5" s="44">
        <v>60</v>
      </c>
      <c r="AA5" s="44">
        <v>60</v>
      </c>
      <c r="AB5" s="44">
        <v>60</v>
      </c>
      <c r="AC5" s="44">
        <v>76</v>
      </c>
      <c r="AD5" s="44">
        <v>66.7</v>
      </c>
      <c r="AE5" s="44">
        <v>60</v>
      </c>
      <c r="AF5" s="44">
        <v>60</v>
      </c>
      <c r="AG5" s="44">
        <v>60</v>
      </c>
      <c r="AH5" s="44">
        <v>60</v>
      </c>
      <c r="AI5" s="44">
        <v>60</v>
      </c>
      <c r="AJ5" s="44">
        <v>60</v>
      </c>
      <c r="AK5" s="44">
        <v>76.37</v>
      </c>
      <c r="AL5" s="44">
        <v>67.47</v>
      </c>
      <c r="AM5" s="44">
        <v>20</v>
      </c>
      <c r="AN5" s="44">
        <v>15.2</v>
      </c>
      <c r="AO5" s="44">
        <v>22.4</v>
      </c>
    </row>
    <row r="6" spans="1:55" ht="26.25" customHeight="1" x14ac:dyDescent="0.2">
      <c r="A6" s="510"/>
      <c r="B6" s="511"/>
      <c r="C6" s="512"/>
      <c r="D6" s="513"/>
      <c r="E6" s="175" t="s">
        <v>374</v>
      </c>
      <c r="F6" s="176"/>
      <c r="G6" s="176"/>
      <c r="H6" s="176"/>
      <c r="I6" s="176"/>
      <c r="J6" s="176"/>
      <c r="K6" s="176"/>
      <c r="L6" s="176"/>
      <c r="M6" s="176"/>
      <c r="N6" s="176"/>
      <c r="O6" s="176"/>
      <c r="P6" s="176"/>
      <c r="Q6" s="176"/>
      <c r="R6" s="176"/>
      <c r="S6" s="176"/>
      <c r="T6" s="176"/>
      <c r="U6" s="176"/>
      <c r="V6" s="176"/>
      <c r="W6" s="176"/>
      <c r="X6" s="176"/>
      <c r="Y6" s="176"/>
      <c r="Z6" s="177"/>
      <c r="AA6" s="174"/>
      <c r="AB6" s="174"/>
      <c r="AC6" s="174"/>
      <c r="AD6" s="174"/>
      <c r="AE6" s="174"/>
      <c r="AF6" s="174"/>
      <c r="AG6" s="174"/>
      <c r="AH6" s="174"/>
      <c r="AI6" s="174"/>
      <c r="AJ6" s="174"/>
      <c r="AK6" s="174"/>
      <c r="AL6" s="174"/>
      <c r="AM6" s="174"/>
      <c r="AN6" s="174"/>
      <c r="AO6" s="174"/>
      <c r="AP6" s="174"/>
      <c r="AQ6" s="174"/>
      <c r="AR6" s="174"/>
      <c r="AS6" s="174"/>
    </row>
    <row r="7" spans="1:55" ht="15" hidden="1" customHeight="1" x14ac:dyDescent="0.2">
      <c r="A7" s="11"/>
      <c r="B7" s="16"/>
      <c r="C7" s="17"/>
      <c r="D7" s="18"/>
    </row>
    <row r="8" spans="1:55" ht="15" hidden="1" customHeight="1" x14ac:dyDescent="0.2">
      <c r="A8" s="11"/>
      <c r="B8" s="19"/>
      <c r="C8" s="20"/>
    </row>
    <row r="9" spans="1:55" ht="15" hidden="1" customHeight="1" x14ac:dyDescent="0.2"/>
    <row r="10" spans="1:55" ht="15" hidden="1" customHeight="1" x14ac:dyDescent="0.2"/>
    <row r="11" spans="1:55" ht="132.75" customHeight="1" x14ac:dyDescent="0.2">
      <c r="A11" s="169" t="s">
        <v>43</v>
      </c>
      <c r="B11" s="157" t="s">
        <v>44</v>
      </c>
      <c r="C11" s="158" t="s">
        <v>153</v>
      </c>
      <c r="D11" s="157" t="s">
        <v>642</v>
      </c>
      <c r="E11" s="171" t="s">
        <v>256</v>
      </c>
      <c r="F11" s="171" t="s">
        <v>257</v>
      </c>
      <c r="G11" s="171" t="s">
        <v>1</v>
      </c>
      <c r="H11" s="171" t="s">
        <v>258</v>
      </c>
      <c r="I11" s="171" t="s">
        <v>309</v>
      </c>
      <c r="J11" s="171" t="s">
        <v>310</v>
      </c>
      <c r="K11" s="171" t="s">
        <v>311</v>
      </c>
      <c r="L11" s="171" t="s">
        <v>329</v>
      </c>
      <c r="M11" s="171" t="s">
        <v>259</v>
      </c>
      <c r="N11" s="171" t="s">
        <v>89</v>
      </c>
      <c r="O11" s="172" t="s">
        <v>91</v>
      </c>
      <c r="P11" s="171" t="s">
        <v>252</v>
      </c>
      <c r="Q11" s="172" t="s">
        <v>0</v>
      </c>
      <c r="R11" s="171" t="s">
        <v>312</v>
      </c>
      <c r="S11" s="171" t="s">
        <v>313</v>
      </c>
      <c r="T11" s="171" t="s">
        <v>1134</v>
      </c>
      <c r="U11" s="171" t="s">
        <v>253</v>
      </c>
      <c r="V11" s="171" t="s">
        <v>244</v>
      </c>
      <c r="W11" s="171" t="s">
        <v>254</v>
      </c>
      <c r="X11" s="171" t="s">
        <v>338</v>
      </c>
      <c r="Y11" s="171" t="s">
        <v>314</v>
      </c>
      <c r="Z11" s="171" t="s">
        <v>315</v>
      </c>
      <c r="AA11" s="171" t="s">
        <v>316</v>
      </c>
      <c r="AB11" s="171" t="s">
        <v>317</v>
      </c>
      <c r="AC11" s="171" t="s">
        <v>105</v>
      </c>
      <c r="AD11" s="171" t="s">
        <v>255</v>
      </c>
      <c r="AE11" s="171" t="s">
        <v>854</v>
      </c>
      <c r="AF11" s="171" t="s">
        <v>855</v>
      </c>
      <c r="AG11" s="171" t="s">
        <v>856</v>
      </c>
      <c r="AH11" s="171" t="s">
        <v>857</v>
      </c>
      <c r="AI11" s="171" t="s">
        <v>858</v>
      </c>
      <c r="AJ11" s="171" t="s">
        <v>859</v>
      </c>
      <c r="AK11" s="173" t="s">
        <v>339</v>
      </c>
      <c r="AL11" s="173" t="s">
        <v>340</v>
      </c>
      <c r="AM11" s="173" t="s">
        <v>330</v>
      </c>
      <c r="AN11" s="173" t="s">
        <v>944</v>
      </c>
      <c r="AO11" s="173" t="s">
        <v>945</v>
      </c>
      <c r="AP11" s="173" t="s">
        <v>644</v>
      </c>
      <c r="AQ11" s="173" t="s">
        <v>860</v>
      </c>
      <c r="AR11" s="173" t="s">
        <v>938</v>
      </c>
      <c r="AS11" s="173" t="s">
        <v>946</v>
      </c>
      <c r="AT11" s="173" t="s">
        <v>950</v>
      </c>
      <c r="AU11" s="173" t="s">
        <v>951</v>
      </c>
      <c r="AV11" s="173" t="s">
        <v>954</v>
      </c>
      <c r="AW11" s="173" t="s">
        <v>953</v>
      </c>
      <c r="AX11" s="646" t="s">
        <v>1006</v>
      </c>
      <c r="AY11" s="173" t="s">
        <v>952</v>
      </c>
      <c r="AZ11" s="442" t="s">
        <v>663</v>
      </c>
      <c r="BA11" s="442" t="s">
        <v>664</v>
      </c>
      <c r="BB11" s="442" t="s">
        <v>666</v>
      </c>
      <c r="BC11" s="442" t="s">
        <v>665</v>
      </c>
    </row>
    <row r="12" spans="1:55" ht="15" customHeight="1" x14ac:dyDescent="0.2">
      <c r="A12" s="126">
        <v>1</v>
      </c>
      <c r="B12" s="127">
        <v>100000</v>
      </c>
      <c r="C12" s="127" t="s">
        <v>815</v>
      </c>
      <c r="D12" s="78">
        <f>input_values!Z12</f>
        <v>4</v>
      </c>
      <c r="E12" s="647">
        <f>SUM(E13,E20,E33,E40,E46,E66)</f>
        <v>24.130009999999999</v>
      </c>
      <c r="F12" s="90">
        <f t="shared" ref="F12:AO12" si="0">SUM(F13,F20,F33,F40,F46,F66)</f>
        <v>5.1384999999999996</v>
      </c>
      <c r="G12" s="90">
        <f t="shared" si="0"/>
        <v>5.6231</v>
      </c>
      <c r="H12" s="90">
        <f t="shared" si="0"/>
        <v>2.882646421996923</v>
      </c>
      <c r="I12" s="90">
        <f t="shared" si="0"/>
        <v>7.3966431004990252</v>
      </c>
      <c r="J12" s="90">
        <f t="shared" si="0"/>
        <v>8.1892973121532435</v>
      </c>
      <c r="K12" s="90">
        <f t="shared" si="0"/>
        <v>3.5203076183609712</v>
      </c>
      <c r="L12" s="90">
        <f t="shared" si="0"/>
        <v>28.618999999999996</v>
      </c>
      <c r="M12" s="90">
        <f t="shared" si="0"/>
        <v>14.83</v>
      </c>
      <c r="N12" s="90">
        <f t="shared" si="0"/>
        <v>5.501494252873564</v>
      </c>
      <c r="O12" s="90">
        <f t="shared" si="0"/>
        <v>6.3965068493150676</v>
      </c>
      <c r="P12" s="90">
        <f>SUM(P13,P20,P33,P40,P46,P66)</f>
        <v>3.4622383049267644</v>
      </c>
      <c r="Q12" s="90">
        <f t="shared" si="0"/>
        <v>4.079200000000001</v>
      </c>
      <c r="R12" s="90">
        <f t="shared" si="0"/>
        <v>2.2762385969999999</v>
      </c>
      <c r="S12" s="90">
        <f t="shared" si="0"/>
        <v>4.8432805392111131</v>
      </c>
      <c r="T12" s="90"/>
      <c r="U12" s="90">
        <f t="shared" si="0"/>
        <v>8.970744680851066</v>
      </c>
      <c r="V12" s="90">
        <f t="shared" si="0"/>
        <v>2.7923620508194258</v>
      </c>
      <c r="W12" s="90">
        <f t="shared" si="0"/>
        <v>2.3295714285714282</v>
      </c>
      <c r="X12" s="90">
        <f t="shared" si="0"/>
        <v>4.835</v>
      </c>
      <c r="Y12" s="90">
        <f t="shared" si="0"/>
        <v>3.3949044585987265</v>
      </c>
      <c r="Z12" s="90">
        <f t="shared" si="0"/>
        <v>5.9833333333333343</v>
      </c>
      <c r="AA12" s="90">
        <f t="shared" si="0"/>
        <v>4.6966666666666672</v>
      </c>
      <c r="AB12" s="90">
        <f t="shared" si="0"/>
        <v>5.5183333333333344</v>
      </c>
      <c r="AC12" s="90">
        <f t="shared" si="0"/>
        <v>2.9239473684210529</v>
      </c>
      <c r="AD12" s="90">
        <f t="shared" si="0"/>
        <v>3.3775112443778106</v>
      </c>
      <c r="AE12" s="90">
        <f t="shared" si="0"/>
        <v>5.8130000000000006</v>
      </c>
      <c r="AF12" s="90">
        <f t="shared" si="0"/>
        <v>6.8175000000000008</v>
      </c>
      <c r="AG12" s="90">
        <f t="shared" si="0"/>
        <v>5.6225000000000005</v>
      </c>
      <c r="AH12" s="90">
        <f t="shared" si="0"/>
        <v>4.8986666666666663</v>
      </c>
      <c r="AI12" s="90">
        <f t="shared" si="0"/>
        <v>7.1379999999999999</v>
      </c>
      <c r="AJ12" s="90">
        <f t="shared" si="0"/>
        <v>5.2720000000000002</v>
      </c>
      <c r="AK12" s="90">
        <f>SUM(AK13,AK20,AK33,AK40,AK46,AK66)</f>
        <v>6.7978573784824112</v>
      </c>
      <c r="AL12" s="90">
        <f>SUM(AL13,AL20,AL33,AL40,AL46,AL66)</f>
        <v>7.559306515384149</v>
      </c>
      <c r="AM12" s="90">
        <f t="shared" si="0"/>
        <v>0.81992853399999999</v>
      </c>
      <c r="AN12" s="90">
        <f t="shared" si="0"/>
        <v>4.4347196036999996</v>
      </c>
      <c r="AO12" s="90">
        <f t="shared" si="0"/>
        <v>3.0997003401000001</v>
      </c>
      <c r="AP12" s="90"/>
      <c r="AQ12" s="438"/>
      <c r="AR12" s="438"/>
      <c r="AS12" s="438"/>
      <c r="AT12" s="438"/>
      <c r="AU12" s="438"/>
      <c r="AV12" s="438"/>
      <c r="AW12" s="438"/>
      <c r="AX12" s="438" t="s">
        <v>369</v>
      </c>
      <c r="AY12" s="438"/>
      <c r="AZ12" s="438">
        <f>MAX(E12:AY12)</f>
        <v>28.618999999999996</v>
      </c>
      <c r="BA12" s="440" t="str">
        <f t="shared" ref="BA12:BA75" si="1">INDEX($E$11:$AY$11,MATCH(AZ12,E12:AY12,0))</f>
        <v>NL toddler</v>
      </c>
      <c r="BB12" s="440">
        <f t="shared" ref="BB12:BB75" si="2">MIN(E12:AY12)</f>
        <v>0.81992853399999999</v>
      </c>
      <c r="BC12" s="440" t="str">
        <f t="shared" ref="BC12:BC75" si="3">IF(BB12=0,"",INDEX($E$11:$AY$11,MATCH(BB12,E12:AY12,0)))</f>
        <v>IE child</v>
      </c>
    </row>
    <row r="13" spans="1:55" ht="15" customHeight="1" outlineLevel="1" x14ac:dyDescent="0.2">
      <c r="A13" s="130">
        <v>2</v>
      </c>
      <c r="B13" s="131">
        <v>110000</v>
      </c>
      <c r="C13" s="131" t="s">
        <v>213</v>
      </c>
      <c r="D13" s="79">
        <f>input_values!Z13</f>
        <v>4</v>
      </c>
      <c r="E13" s="581">
        <f>SUM(E14:E19)</f>
        <v>4.8199999999999994</v>
      </c>
      <c r="F13" s="92">
        <f t="shared" ref="F13:AO13" si="4">SUM(F14:F19)</f>
        <v>0.31454545454545452</v>
      </c>
      <c r="G13" s="92">
        <f t="shared" si="4"/>
        <v>2.3416000000000001</v>
      </c>
      <c r="H13" s="92">
        <f t="shared" si="4"/>
        <v>0.42524752311216329</v>
      </c>
      <c r="I13" s="92">
        <f t="shared" si="4"/>
        <v>2.3164033746962529</v>
      </c>
      <c r="J13" s="92">
        <f t="shared" si="4"/>
        <v>3.6208640157034182</v>
      </c>
      <c r="K13" s="92">
        <f t="shared" si="4"/>
        <v>0.73804373948570057</v>
      </c>
      <c r="L13" s="92">
        <f t="shared" si="4"/>
        <v>2.859</v>
      </c>
      <c r="M13" s="92">
        <f t="shared" si="4"/>
        <v>2.3420000000000001</v>
      </c>
      <c r="N13" s="92">
        <f t="shared" si="4"/>
        <v>1.3448275862068966</v>
      </c>
      <c r="O13" s="92">
        <f t="shared" si="4"/>
        <v>2.3082191780821915</v>
      </c>
      <c r="P13" s="92">
        <f>SUM(P14:P19)</f>
        <v>0.27793000000000001</v>
      </c>
      <c r="Q13" s="92">
        <f t="shared" si="4"/>
        <v>1.4478</v>
      </c>
      <c r="R13" s="92">
        <f t="shared" si="4"/>
        <v>0.56405550069999999</v>
      </c>
      <c r="S13" s="92">
        <f t="shared" si="4"/>
        <v>0.72015786885441258</v>
      </c>
      <c r="T13" s="92"/>
      <c r="U13" s="92">
        <f t="shared" si="4"/>
        <v>2.3377659574468086</v>
      </c>
      <c r="V13" s="92">
        <f t="shared" si="4"/>
        <v>0.5790106750864531</v>
      </c>
      <c r="W13" s="92">
        <f t="shared" si="4"/>
        <v>0.10042857142857144</v>
      </c>
      <c r="X13" s="92">
        <f t="shared" si="4"/>
        <v>1.2639999999999998</v>
      </c>
      <c r="Y13" s="92">
        <f t="shared" si="4"/>
        <v>0.12738853503184716</v>
      </c>
      <c r="Z13" s="92">
        <f t="shared" si="4"/>
        <v>0.76666666666666672</v>
      </c>
      <c r="AA13" s="92">
        <f t="shared" si="4"/>
        <v>0.43333333333333329</v>
      </c>
      <c r="AB13" s="92">
        <f t="shared" si="4"/>
        <v>1.3883333333333332</v>
      </c>
      <c r="AC13" s="92">
        <f t="shared" si="4"/>
        <v>0.69605263157894737</v>
      </c>
      <c r="AD13" s="92">
        <f t="shared" si="4"/>
        <v>1.0494752623688155</v>
      </c>
      <c r="AE13" s="92">
        <f t="shared" si="4"/>
        <v>1.6415</v>
      </c>
      <c r="AF13" s="92">
        <f t="shared" si="4"/>
        <v>1.9068333333333334</v>
      </c>
      <c r="AG13" s="92">
        <f t="shared" si="4"/>
        <v>1.0486666666666666</v>
      </c>
      <c r="AH13" s="92">
        <f t="shared" si="4"/>
        <v>1.6121666666666665</v>
      </c>
      <c r="AI13" s="92">
        <f t="shared" si="4"/>
        <v>1.6034999999999999</v>
      </c>
      <c r="AJ13" s="92">
        <f t="shared" si="4"/>
        <v>0.97550000000000003</v>
      </c>
      <c r="AK13" s="92">
        <f>SUM(AK14:AK19)</f>
        <v>1.9425489169085497</v>
      </c>
      <c r="AL13" s="92">
        <f>SUM(AL14:AL19)</f>
        <v>2.3297174479489384</v>
      </c>
      <c r="AM13" s="92">
        <f t="shared" si="4"/>
        <v>9.336991E-2</v>
      </c>
      <c r="AN13" s="92">
        <f t="shared" si="4"/>
        <v>0.56341952470000001</v>
      </c>
      <c r="AO13" s="92">
        <f t="shared" si="4"/>
        <v>0.49270194820000002</v>
      </c>
      <c r="AP13" s="92"/>
      <c r="AQ13" s="92"/>
      <c r="AR13" s="92"/>
      <c r="AS13" s="92"/>
      <c r="AT13" s="92"/>
      <c r="AU13" s="92"/>
      <c r="AV13" s="92"/>
      <c r="AW13" s="92"/>
      <c r="AX13" s="92" t="s">
        <v>369</v>
      </c>
      <c r="AY13" s="92"/>
      <c r="AZ13" s="92">
        <f t="shared" ref="AZ13:AZ75" si="5">MAX(E13:AY13)</f>
        <v>4.8199999999999994</v>
      </c>
      <c r="BA13" s="42" t="str">
        <f t="shared" si="1"/>
        <v>DE child</v>
      </c>
      <c r="BB13" s="42">
        <f t="shared" si="2"/>
        <v>9.336991E-2</v>
      </c>
      <c r="BC13" s="42" t="str">
        <f t="shared" si="3"/>
        <v>IE child</v>
      </c>
    </row>
    <row r="14" spans="1:55" ht="15" customHeight="1" outlineLevel="3" x14ac:dyDescent="0.2">
      <c r="A14" s="39">
        <v>4</v>
      </c>
      <c r="B14" s="23">
        <v>110010</v>
      </c>
      <c r="C14" s="23" t="s">
        <v>680</v>
      </c>
      <c r="D14" s="22">
        <f>input_values!Z14</f>
        <v>4</v>
      </c>
      <c r="E14" s="657">
        <v>0.22</v>
      </c>
      <c r="F14" s="31">
        <v>2.7272727272727271E-2</v>
      </c>
      <c r="G14" s="31">
        <v>0</v>
      </c>
      <c r="H14" s="31">
        <v>3.6193397296229425E-2</v>
      </c>
      <c r="I14" s="31">
        <v>9.3181338702370317E-2</v>
      </c>
      <c r="J14" s="31">
        <v>3.8471452220278445E-2</v>
      </c>
      <c r="K14" s="31">
        <v>1.4179283826003364E-2</v>
      </c>
      <c r="L14" s="31">
        <v>0.06</v>
      </c>
      <c r="M14" s="31">
        <v>9.7000000000000003E-2</v>
      </c>
      <c r="N14" s="31">
        <v>2.298850574712644E-2</v>
      </c>
      <c r="O14" s="31">
        <v>2.7397260273972605E-2</v>
      </c>
      <c r="P14" s="31">
        <v>1.89E-2</v>
      </c>
      <c r="Q14" s="31">
        <v>4.3E-3</v>
      </c>
      <c r="R14" s="584">
        <v>1.1746611299999999E-2</v>
      </c>
      <c r="S14" s="31">
        <v>5.6212663207353623E-2</v>
      </c>
      <c r="T14" s="31"/>
      <c r="U14" s="31">
        <v>0.69680851063829785</v>
      </c>
      <c r="V14" s="31">
        <v>1.6238159675236806E-2</v>
      </c>
      <c r="W14" s="31">
        <v>5.7142857142857143E-3</v>
      </c>
      <c r="X14" s="31">
        <v>6.4000000000000001E-2</v>
      </c>
      <c r="Y14" s="31">
        <v>1.2738853503184714E-2</v>
      </c>
      <c r="Z14" s="31">
        <v>2.5000000000000001E-2</v>
      </c>
      <c r="AA14" s="31">
        <v>0.05</v>
      </c>
      <c r="AB14" s="31">
        <v>0.1</v>
      </c>
      <c r="AC14" s="31">
        <v>6.9736842105263153E-2</v>
      </c>
      <c r="AD14" s="31">
        <v>0.11394302848575712</v>
      </c>
      <c r="AE14" s="31">
        <v>4.9500000000000002E-2</v>
      </c>
      <c r="AF14" s="31">
        <v>0.13683333333333333</v>
      </c>
      <c r="AG14" s="31">
        <v>7.6666666666666661E-2</v>
      </c>
      <c r="AH14" s="31">
        <v>9.7499999999999989E-2</v>
      </c>
      <c r="AI14" s="31">
        <v>0.33300000000000002</v>
      </c>
      <c r="AJ14" s="31">
        <v>5.3499999999999999E-2</v>
      </c>
      <c r="AK14" s="663">
        <v>8.6614801699450128E-2</v>
      </c>
      <c r="AL14" s="663">
        <v>8.5421941190653244E-2</v>
      </c>
      <c r="AM14" s="31">
        <v>4.4636800000000003E-3</v>
      </c>
      <c r="AN14" s="584">
        <v>2.4817169399999998E-2</v>
      </c>
      <c r="AO14" s="584">
        <v>8.3492211E-3</v>
      </c>
      <c r="AP14" s="663"/>
      <c r="AQ14" s="31"/>
      <c r="AR14" s="31"/>
      <c r="AS14" s="31"/>
      <c r="AT14" s="31"/>
      <c r="AU14" s="31"/>
      <c r="AV14" s="31"/>
      <c r="AW14" s="31"/>
      <c r="AX14" s="31"/>
      <c r="AY14" s="31"/>
      <c r="AZ14" s="31">
        <f t="shared" si="5"/>
        <v>0.69680851063829785</v>
      </c>
      <c r="BA14" s="25" t="str">
        <f t="shared" si="1"/>
        <v>IE adult</v>
      </c>
      <c r="BB14" s="25">
        <f t="shared" si="2"/>
        <v>0</v>
      </c>
      <c r="BC14" s="25" t="str">
        <f t="shared" si="3"/>
        <v/>
      </c>
    </row>
    <row r="15" spans="1:55" ht="15" customHeight="1" outlineLevel="3" x14ac:dyDescent="0.2">
      <c r="A15" s="39">
        <v>4</v>
      </c>
      <c r="B15" s="23">
        <v>110020</v>
      </c>
      <c r="C15" s="23" t="s">
        <v>2</v>
      </c>
      <c r="D15" s="22">
        <f>input_values!Z15</f>
        <v>4</v>
      </c>
      <c r="E15" s="657">
        <v>4.0199999999999996</v>
      </c>
      <c r="F15" s="31">
        <v>0.18181818181818182</v>
      </c>
      <c r="G15" s="31">
        <v>2.1673</v>
      </c>
      <c r="H15" s="31">
        <v>0.24439366372589297</v>
      </c>
      <c r="I15" s="31">
        <v>1.4341286190068254</v>
      </c>
      <c r="J15" s="31">
        <v>3.4059292579521134</v>
      </c>
      <c r="K15" s="31">
        <v>0.48065368901706323</v>
      </c>
      <c r="L15" s="31">
        <v>2.2429999999999999</v>
      </c>
      <c r="M15" s="31">
        <v>1.419</v>
      </c>
      <c r="N15" s="31">
        <v>1.2988505747126438</v>
      </c>
      <c r="O15" s="31">
        <v>1.9794520547945205</v>
      </c>
      <c r="P15" s="31">
        <v>0.14299999999999999</v>
      </c>
      <c r="Q15" s="31">
        <v>1.2921</v>
      </c>
      <c r="R15" s="584">
        <v>0.40694278150000002</v>
      </c>
      <c r="S15" s="31">
        <v>0.5876502548583562</v>
      </c>
      <c r="T15" s="31"/>
      <c r="U15" s="31">
        <v>1.0438829787234043</v>
      </c>
      <c r="V15" s="31">
        <v>0.37287625920914147</v>
      </c>
      <c r="W15" s="31">
        <v>7.2428571428571439E-2</v>
      </c>
      <c r="X15" s="31">
        <v>1.0089999999999999</v>
      </c>
      <c r="Y15" s="31">
        <v>1.7515923566878984E-2</v>
      </c>
      <c r="Z15" s="31">
        <v>0.61166666666666669</v>
      </c>
      <c r="AA15" s="31">
        <v>0.28333333333333333</v>
      </c>
      <c r="AB15" s="31">
        <v>0.74666666666666659</v>
      </c>
      <c r="AC15" s="31">
        <v>0.56184210526315792</v>
      </c>
      <c r="AD15" s="31">
        <v>0.86656671664167906</v>
      </c>
      <c r="AE15" s="31">
        <v>0.99849999999999994</v>
      </c>
      <c r="AF15" s="31">
        <v>1.3943333333333332</v>
      </c>
      <c r="AG15" s="31">
        <v>0.46066666666666667</v>
      </c>
      <c r="AH15" s="31">
        <v>1.1299999999999999</v>
      </c>
      <c r="AI15" s="31">
        <v>0.73283333333333334</v>
      </c>
      <c r="AJ15" s="31">
        <v>0.66716666666666669</v>
      </c>
      <c r="AK15" s="663">
        <v>1.562944174931679</v>
      </c>
      <c r="AL15" s="663">
        <v>1.9124726933881075</v>
      </c>
      <c r="AM15" s="31">
        <v>8.38898E-2</v>
      </c>
      <c r="AN15" s="584">
        <v>0.1450159104</v>
      </c>
      <c r="AO15" s="584">
        <v>0.1550693424</v>
      </c>
      <c r="AP15" s="663"/>
      <c r="AQ15" s="31"/>
      <c r="AR15" s="31"/>
      <c r="AS15" s="31"/>
      <c r="AT15" s="31"/>
      <c r="AU15" s="31"/>
      <c r="AV15" s="31"/>
      <c r="AW15" s="31"/>
      <c r="AX15" s="31"/>
      <c r="AY15" s="31"/>
      <c r="AZ15" s="31">
        <f t="shared" si="5"/>
        <v>4.0199999999999996</v>
      </c>
      <c r="BA15" s="25" t="str">
        <f t="shared" si="1"/>
        <v>DE child</v>
      </c>
      <c r="BB15" s="25">
        <f t="shared" si="2"/>
        <v>1.7515923566878984E-2</v>
      </c>
      <c r="BC15" s="25" t="str">
        <f t="shared" si="3"/>
        <v>PL general</v>
      </c>
    </row>
    <row r="16" spans="1:55" ht="15" customHeight="1" outlineLevel="3" x14ac:dyDescent="0.2">
      <c r="A16" s="39">
        <v>4</v>
      </c>
      <c r="B16" s="23">
        <v>110030</v>
      </c>
      <c r="C16" s="23" t="s">
        <v>3</v>
      </c>
      <c r="D16" s="22">
        <f>input_values!Z16</f>
        <v>4</v>
      </c>
      <c r="E16" s="657">
        <v>0.16</v>
      </c>
      <c r="F16" s="31">
        <v>1.3636363636363636E-2</v>
      </c>
      <c r="G16" s="31">
        <v>6.4999999999999997E-3</v>
      </c>
      <c r="H16" s="31">
        <v>1.5867174729101788E-3</v>
      </c>
      <c r="I16" s="31">
        <v>6.9919156232483856E-3</v>
      </c>
      <c r="J16" s="31">
        <v>1.2882723663197423E-2</v>
      </c>
      <c r="K16" s="31">
        <v>3.3886085075702954E-2</v>
      </c>
      <c r="L16" s="31">
        <v>0.13200000000000001</v>
      </c>
      <c r="M16" s="31">
        <v>0.17599999999999999</v>
      </c>
      <c r="N16" s="31">
        <v>2.298850574712644E-2</v>
      </c>
      <c r="O16" s="31">
        <v>6.8493150684931512E-3</v>
      </c>
      <c r="P16" s="31">
        <v>8.0300000000000007E-3</v>
      </c>
      <c r="Q16" s="31">
        <v>1.01E-2</v>
      </c>
      <c r="R16" s="584">
        <v>4.6797931000000003E-3</v>
      </c>
      <c r="S16" s="31">
        <v>1.0162749761737068E-2</v>
      </c>
      <c r="T16" s="31"/>
      <c r="U16" s="31">
        <v>4.3882978723404249E-2</v>
      </c>
      <c r="V16" s="31">
        <v>2.9018192752969477E-2</v>
      </c>
      <c r="W16" s="31">
        <v>7.1428571428571426E-3</v>
      </c>
      <c r="X16" s="31">
        <v>2.1000000000000001E-2</v>
      </c>
      <c r="Y16" s="31">
        <v>6.0509554140127389E-2</v>
      </c>
      <c r="Z16" s="31">
        <v>4.6666666666666662E-2</v>
      </c>
      <c r="AA16" s="31">
        <v>0.05</v>
      </c>
      <c r="AB16" s="31">
        <v>8.3333333333333329E-2</v>
      </c>
      <c r="AC16" s="31">
        <v>5.263157894736842E-3</v>
      </c>
      <c r="AD16" s="31">
        <v>1.7991004497751123E-2</v>
      </c>
      <c r="AE16" s="31">
        <v>0.27050000000000002</v>
      </c>
      <c r="AF16" s="31">
        <v>0.16866666666666666</v>
      </c>
      <c r="AG16" s="31">
        <v>0.26150000000000001</v>
      </c>
      <c r="AH16" s="31">
        <v>0.20500000000000002</v>
      </c>
      <c r="AI16" s="31">
        <v>0.372</v>
      </c>
      <c r="AJ16" s="31">
        <v>0.10383333333333335</v>
      </c>
      <c r="AK16" s="663">
        <v>0.20539667577978324</v>
      </c>
      <c r="AL16" s="663">
        <v>0.22035891810462024</v>
      </c>
      <c r="AM16" s="31">
        <v>3.90268E-3</v>
      </c>
      <c r="AN16" s="584">
        <v>4.2765455999999999E-3</v>
      </c>
      <c r="AO16" s="584">
        <v>2.8562836E-3</v>
      </c>
      <c r="AP16" s="663"/>
      <c r="AQ16" s="31"/>
      <c r="AR16" s="31"/>
      <c r="AS16" s="31"/>
      <c r="AT16" s="31"/>
      <c r="AU16" s="31"/>
      <c r="AV16" s="31"/>
      <c r="AW16" s="31"/>
      <c r="AX16" s="31"/>
      <c r="AY16" s="31"/>
      <c r="AZ16" s="31">
        <f t="shared" si="5"/>
        <v>0.372</v>
      </c>
      <c r="BA16" s="25" t="str">
        <f t="shared" si="1"/>
        <v>GEMS/Food G11</v>
      </c>
      <c r="BB16" s="25">
        <f t="shared" si="2"/>
        <v>1.5867174729101788E-3</v>
      </c>
      <c r="BC16" s="25" t="str">
        <f t="shared" si="3"/>
        <v>FR infant</v>
      </c>
    </row>
    <row r="17" spans="1:55" ht="15" customHeight="1" outlineLevel="3" x14ac:dyDescent="0.2">
      <c r="A17" s="39">
        <v>4</v>
      </c>
      <c r="B17" s="23">
        <v>110040</v>
      </c>
      <c r="C17" s="23" t="s">
        <v>4</v>
      </c>
      <c r="D17" s="22">
        <f>input_values!Z17</f>
        <v>4</v>
      </c>
      <c r="E17" s="657">
        <v>0.01</v>
      </c>
      <c r="F17" s="31">
        <v>4.5454545454545455E-4</v>
      </c>
      <c r="G17" s="31">
        <v>0</v>
      </c>
      <c r="H17" s="31">
        <v>0</v>
      </c>
      <c r="I17" s="31">
        <v>0</v>
      </c>
      <c r="J17" s="31">
        <v>0</v>
      </c>
      <c r="K17" s="31">
        <v>0</v>
      </c>
      <c r="L17" s="31">
        <v>1E-3</v>
      </c>
      <c r="M17" s="31">
        <v>2E-3</v>
      </c>
      <c r="N17" s="31">
        <v>0</v>
      </c>
      <c r="O17" s="31">
        <v>1.3698630136986302E-2</v>
      </c>
      <c r="P17" s="31">
        <v>0</v>
      </c>
      <c r="Q17" s="31">
        <v>0</v>
      </c>
      <c r="R17" s="584"/>
      <c r="S17" s="31">
        <v>0</v>
      </c>
      <c r="T17" s="31"/>
      <c r="U17" s="31">
        <v>3.8563829787234043E-2</v>
      </c>
      <c r="V17" s="31">
        <v>0</v>
      </c>
      <c r="W17" s="31">
        <v>0</v>
      </c>
      <c r="X17" s="31">
        <v>0</v>
      </c>
      <c r="Y17" s="31">
        <v>0</v>
      </c>
      <c r="Z17" s="31">
        <v>0</v>
      </c>
      <c r="AA17" s="31">
        <v>0</v>
      </c>
      <c r="AB17" s="31">
        <v>1.6666666666666666E-2</v>
      </c>
      <c r="AC17" s="31">
        <v>2.631578947368421E-3</v>
      </c>
      <c r="AD17" s="31">
        <v>4.4977511244377807E-3</v>
      </c>
      <c r="AE17" s="31"/>
      <c r="AF17" s="31"/>
      <c r="AG17" s="31"/>
      <c r="AH17" s="31"/>
      <c r="AI17" s="31"/>
      <c r="AJ17" s="31"/>
      <c r="AK17" s="663">
        <v>6.4745170859466187E-3</v>
      </c>
      <c r="AL17" s="663">
        <v>9.0415241045821819E-3</v>
      </c>
      <c r="AM17" s="31">
        <v>0</v>
      </c>
      <c r="AN17" s="584"/>
      <c r="AO17" s="584"/>
      <c r="AP17" s="663"/>
      <c r="AQ17" s="31"/>
      <c r="AR17" s="31"/>
      <c r="AS17" s="31"/>
      <c r="AT17" s="31"/>
      <c r="AU17" s="31"/>
      <c r="AV17" s="31"/>
      <c r="AW17" s="31"/>
      <c r="AX17" s="31"/>
      <c r="AY17" s="31"/>
      <c r="AZ17" s="31">
        <f t="shared" si="5"/>
        <v>3.8563829787234043E-2</v>
      </c>
      <c r="BA17" s="25" t="str">
        <f t="shared" si="1"/>
        <v>IE adult</v>
      </c>
      <c r="BB17" s="25">
        <f t="shared" si="2"/>
        <v>0</v>
      </c>
      <c r="BC17" s="25" t="str">
        <f t="shared" si="3"/>
        <v/>
      </c>
    </row>
    <row r="18" spans="1:55" ht="15" customHeight="1" outlineLevel="3" x14ac:dyDescent="0.2">
      <c r="A18" s="39">
        <v>4</v>
      </c>
      <c r="B18" s="23">
        <v>110050</v>
      </c>
      <c r="C18" s="23" t="s">
        <v>5</v>
      </c>
      <c r="D18" s="22">
        <f>input_values!Z18</f>
        <v>4</v>
      </c>
      <c r="E18" s="657">
        <v>0.41</v>
      </c>
      <c r="F18" s="31">
        <v>9.0909090909090912E-2</v>
      </c>
      <c r="G18" s="31">
        <v>0.1678</v>
      </c>
      <c r="H18" s="31">
        <v>0.14307374461713074</v>
      </c>
      <c r="I18" s="31">
        <v>0.78204291493711231</v>
      </c>
      <c r="J18" s="31">
        <v>0.16215161157972727</v>
      </c>
      <c r="K18" s="31">
        <v>0.20932468156693104</v>
      </c>
      <c r="L18" s="31">
        <v>0.42299999999999999</v>
      </c>
      <c r="M18" s="31">
        <v>0.64800000000000002</v>
      </c>
      <c r="N18" s="31">
        <v>0</v>
      </c>
      <c r="O18" s="31">
        <v>0.28082191780821913</v>
      </c>
      <c r="P18" s="31">
        <v>0.108</v>
      </c>
      <c r="Q18" s="31">
        <v>0.14130000000000001</v>
      </c>
      <c r="R18" s="584">
        <v>0.1401335799</v>
      </c>
      <c r="S18" s="31">
        <v>6.5816690750474471E-2</v>
      </c>
      <c r="T18" s="31"/>
      <c r="U18" s="31">
        <v>0.5146276595744681</v>
      </c>
      <c r="V18" s="31">
        <v>0.16087806344910538</v>
      </c>
      <c r="W18" s="31">
        <v>1.5142857142857144E-2</v>
      </c>
      <c r="X18" s="31">
        <v>0.17</v>
      </c>
      <c r="Y18" s="31">
        <v>3.5031847133757968E-2</v>
      </c>
      <c r="Z18" s="31">
        <v>8.3333333333333329E-2</v>
      </c>
      <c r="AA18" s="31">
        <v>0.05</v>
      </c>
      <c r="AB18" s="31">
        <v>0.44166666666666665</v>
      </c>
      <c r="AC18" s="31">
        <v>5.6578947368421048E-2</v>
      </c>
      <c r="AD18" s="31">
        <v>4.6476761619190406E-2</v>
      </c>
      <c r="AE18" s="31">
        <v>0.32300000000000001</v>
      </c>
      <c r="AF18" s="31">
        <v>0.20699999999999999</v>
      </c>
      <c r="AG18" s="31">
        <v>0.24983333333333332</v>
      </c>
      <c r="AH18" s="31">
        <v>0.17966666666666667</v>
      </c>
      <c r="AI18" s="31">
        <v>0.16566666666666666</v>
      </c>
      <c r="AJ18" s="31">
        <v>0.151</v>
      </c>
      <c r="AK18" s="663">
        <v>8.11187474116907E-2</v>
      </c>
      <c r="AL18" s="663">
        <v>0.1024223711609749</v>
      </c>
      <c r="AM18" s="31">
        <v>1.1137499999999999E-3</v>
      </c>
      <c r="AN18" s="584">
        <v>0.38930989929999998</v>
      </c>
      <c r="AO18" s="584">
        <v>0.32642710110000001</v>
      </c>
      <c r="AP18" s="663"/>
      <c r="AQ18" s="31"/>
      <c r="AR18" s="31"/>
      <c r="AS18" s="31"/>
      <c r="AT18" s="31"/>
      <c r="AU18" s="31"/>
      <c r="AV18" s="31"/>
      <c r="AW18" s="31"/>
      <c r="AX18" s="31"/>
      <c r="AY18" s="31"/>
      <c r="AZ18" s="31">
        <f t="shared" si="5"/>
        <v>0.78204291493711231</v>
      </c>
      <c r="BA18" s="25" t="str">
        <f t="shared" si="1"/>
        <v>FR toddler 2 3 yr</v>
      </c>
      <c r="BB18" s="25">
        <f t="shared" si="2"/>
        <v>0</v>
      </c>
      <c r="BC18" s="25" t="str">
        <f t="shared" si="3"/>
        <v/>
      </c>
    </row>
    <row r="19" spans="1:55" ht="15" customHeight="1" outlineLevel="3" x14ac:dyDescent="0.2">
      <c r="A19" s="39">
        <v>4</v>
      </c>
      <c r="B19" s="23">
        <v>110990</v>
      </c>
      <c r="C19" s="23" t="s">
        <v>47</v>
      </c>
      <c r="D19" s="22">
        <f>input_values!Z19</f>
        <v>4</v>
      </c>
      <c r="E19" s="657">
        <v>0</v>
      </c>
      <c r="F19" s="31">
        <v>4.5454545454545455E-4</v>
      </c>
      <c r="G19" s="31">
        <v>0</v>
      </c>
      <c r="H19" s="31">
        <v>0</v>
      </c>
      <c r="I19" s="31">
        <v>5.8586426696662905E-5</v>
      </c>
      <c r="J19" s="31">
        <v>1.4289702881015649E-3</v>
      </c>
      <c r="K19" s="31">
        <v>0</v>
      </c>
      <c r="L19" s="31">
        <v>0</v>
      </c>
      <c r="M19" s="31">
        <v>0</v>
      </c>
      <c r="N19" s="31">
        <v>0</v>
      </c>
      <c r="O19" s="31">
        <v>0</v>
      </c>
      <c r="P19" s="31">
        <v>0</v>
      </c>
      <c r="Q19" s="31">
        <v>0</v>
      </c>
      <c r="R19" s="584">
        <v>5.5273490000000002E-4</v>
      </c>
      <c r="S19" s="31">
        <v>3.1551027649120848E-4</v>
      </c>
      <c r="T19" s="31"/>
      <c r="U19" s="31">
        <v>0</v>
      </c>
      <c r="V19" s="31">
        <v>0</v>
      </c>
      <c r="W19" s="31">
        <v>0</v>
      </c>
      <c r="X19" s="31">
        <v>0</v>
      </c>
      <c r="Y19" s="31">
        <v>1.5923566878980893E-3</v>
      </c>
      <c r="Z19" s="31">
        <v>0</v>
      </c>
      <c r="AA19" s="31">
        <v>0</v>
      </c>
      <c r="AB19" s="31">
        <v>0</v>
      </c>
      <c r="AC19" s="31">
        <v>0</v>
      </c>
      <c r="AD19" s="31">
        <v>0</v>
      </c>
      <c r="AE19" s="31"/>
      <c r="AF19" s="31"/>
      <c r="AG19" s="31"/>
      <c r="AH19" s="31"/>
      <c r="AI19" s="31"/>
      <c r="AJ19" s="31"/>
      <c r="AK19" s="663">
        <v>0</v>
      </c>
      <c r="AL19" s="663">
        <v>0</v>
      </c>
      <c r="AM19" s="31">
        <v>0</v>
      </c>
      <c r="AN19" s="584"/>
      <c r="AO19" s="584"/>
      <c r="AP19" s="663"/>
      <c r="AQ19" s="31"/>
      <c r="AR19" s="31"/>
      <c r="AS19" s="31"/>
      <c r="AT19" s="31"/>
      <c r="AU19" s="31"/>
      <c r="AV19" s="31"/>
      <c r="AW19" s="31"/>
      <c r="AX19" s="31"/>
      <c r="AY19" s="31"/>
      <c r="AZ19" s="31">
        <f t="shared" si="5"/>
        <v>1.5923566878980893E-3</v>
      </c>
      <c r="BA19" s="25" t="str">
        <f t="shared" si="1"/>
        <v>PL general</v>
      </c>
      <c r="BB19" s="25">
        <f t="shared" si="2"/>
        <v>0</v>
      </c>
      <c r="BC19" s="25" t="str">
        <f t="shared" si="3"/>
        <v/>
      </c>
    </row>
    <row r="20" spans="1:55" ht="15" customHeight="1" outlineLevel="1" x14ac:dyDescent="0.2">
      <c r="A20" s="130">
        <v>2</v>
      </c>
      <c r="B20" s="131">
        <v>120000</v>
      </c>
      <c r="C20" s="131" t="s">
        <v>352</v>
      </c>
      <c r="D20" s="79">
        <f>input_values!Z20</f>
        <v>4</v>
      </c>
      <c r="E20" s="581">
        <f>SUM(E21:E32)</f>
        <v>0.24000000000000005</v>
      </c>
      <c r="F20" s="92">
        <f t="shared" ref="F20:AO20" si="6">SUM(F21:F32)</f>
        <v>1.3636363636363639E-2</v>
      </c>
      <c r="G20" s="92">
        <f t="shared" si="6"/>
        <v>3.3099999999999997E-2</v>
      </c>
      <c r="H20" s="92">
        <f t="shared" si="6"/>
        <v>2.4621713418879792E-2</v>
      </c>
      <c r="I20" s="92">
        <f t="shared" si="6"/>
        <v>7.0642084823325152E-2</v>
      </c>
      <c r="J20" s="92">
        <f t="shared" si="6"/>
        <v>0.16910171843826549</v>
      </c>
      <c r="K20" s="92">
        <f t="shared" si="6"/>
        <v>3.1002162941600575E-2</v>
      </c>
      <c r="L20" s="92">
        <f t="shared" si="6"/>
        <v>0.504</v>
      </c>
      <c r="M20" s="92">
        <f t="shared" si="6"/>
        <v>0.53</v>
      </c>
      <c r="N20" s="92">
        <f t="shared" si="6"/>
        <v>0</v>
      </c>
      <c r="O20" s="92">
        <f t="shared" si="6"/>
        <v>2.0547945205479454E-2</v>
      </c>
      <c r="P20" s="92">
        <f t="shared" si="6"/>
        <v>5.685752330226365E-3</v>
      </c>
      <c r="Q20" s="92">
        <f t="shared" si="6"/>
        <v>4.1099999999999998E-2</v>
      </c>
      <c r="R20" s="92">
        <f t="shared" si="6"/>
        <v>1.50109235E-2</v>
      </c>
      <c r="S20" s="92">
        <f t="shared" si="6"/>
        <v>4.9859157028761675E-2</v>
      </c>
      <c r="T20" s="92"/>
      <c r="U20" s="92">
        <f t="shared" si="6"/>
        <v>0.36037234042553284</v>
      </c>
      <c r="V20" s="92">
        <f t="shared" si="6"/>
        <v>2.4657946173507743E-2</v>
      </c>
      <c r="W20" s="92">
        <f t="shared" si="6"/>
        <v>1.1285714285714284E-2</v>
      </c>
      <c r="X20" s="92">
        <f t="shared" si="6"/>
        <v>0.31700000000000006</v>
      </c>
      <c r="Y20" s="92">
        <f t="shared" si="6"/>
        <v>3.1847133757961783E-2</v>
      </c>
      <c r="Z20" s="92">
        <f t="shared" si="6"/>
        <v>0</v>
      </c>
      <c r="AA20" s="92">
        <f t="shared" si="6"/>
        <v>3.3333333333333333E-2</v>
      </c>
      <c r="AB20" s="92">
        <f t="shared" si="6"/>
        <v>0</v>
      </c>
      <c r="AC20" s="92">
        <f t="shared" si="6"/>
        <v>2.5000000000000001E-2</v>
      </c>
      <c r="AD20" s="92">
        <f t="shared" si="6"/>
        <v>4.3478260869565216E-2</v>
      </c>
      <c r="AE20" s="92">
        <f t="shared" si="6"/>
        <v>0.15949999999999998</v>
      </c>
      <c r="AF20" s="92">
        <f t="shared" si="6"/>
        <v>0.14166666666666666</v>
      </c>
      <c r="AG20" s="92">
        <f t="shared" si="6"/>
        <v>0.1496666666666667</v>
      </c>
      <c r="AH20" s="92">
        <f t="shared" si="6"/>
        <v>0.16116666666666668</v>
      </c>
      <c r="AI20" s="92">
        <f t="shared" si="6"/>
        <v>0.24283333333333335</v>
      </c>
      <c r="AJ20" s="92">
        <f t="shared" si="6"/>
        <v>0.10366666666666667</v>
      </c>
      <c r="AK20" s="92">
        <f t="shared" si="6"/>
        <v>5.8230452348070866E-2</v>
      </c>
      <c r="AL20" s="92">
        <f t="shared" si="6"/>
        <v>7.1592307968087368E-2</v>
      </c>
      <c r="AM20" s="92">
        <f t="shared" si="6"/>
        <v>3.3800729999999999E-3</v>
      </c>
      <c r="AN20" s="92">
        <f t="shared" si="6"/>
        <v>8.3162531000000005E-3</v>
      </c>
      <c r="AO20" s="92">
        <f t="shared" si="6"/>
        <v>9.2629077000000015E-3</v>
      </c>
      <c r="AP20" s="92"/>
      <c r="AQ20" s="92"/>
      <c r="AR20" s="92"/>
      <c r="AS20" s="92"/>
      <c r="AT20" s="92"/>
      <c r="AU20" s="92"/>
      <c r="AV20" s="92"/>
      <c r="AW20" s="92"/>
      <c r="AX20" s="92" t="s">
        <v>369</v>
      </c>
      <c r="AY20" s="92"/>
      <c r="AZ20" s="92">
        <f t="shared" si="5"/>
        <v>0.53</v>
      </c>
      <c r="BA20" s="42" t="str">
        <f t="shared" si="1"/>
        <v>NL child</v>
      </c>
      <c r="BB20" s="42">
        <f t="shared" si="2"/>
        <v>0</v>
      </c>
      <c r="BC20" s="42" t="str">
        <f t="shared" si="3"/>
        <v/>
      </c>
    </row>
    <row r="21" spans="1:55" ht="15" customHeight="1" outlineLevel="3" x14ac:dyDescent="0.2">
      <c r="A21" s="39">
        <v>4</v>
      </c>
      <c r="B21" s="23">
        <v>120010</v>
      </c>
      <c r="C21" s="23" t="s">
        <v>6</v>
      </c>
      <c r="D21" s="22">
        <f>input_values!Z21</f>
        <v>4</v>
      </c>
      <c r="E21" s="657">
        <v>0.03</v>
      </c>
      <c r="F21" s="31">
        <v>2.2727272727272731E-3</v>
      </c>
      <c r="G21" s="31">
        <v>9.1999999999999998E-3</v>
      </c>
      <c r="H21" s="31">
        <v>0</v>
      </c>
      <c r="I21" s="31">
        <v>7.8404660598658787E-3</v>
      </c>
      <c r="J21" s="31">
        <v>7.9898046415864399E-3</v>
      </c>
      <c r="K21" s="31">
        <v>3.3645758231194427E-3</v>
      </c>
      <c r="L21" s="31">
        <v>0</v>
      </c>
      <c r="M21" s="31">
        <v>7.0000000000000001E-3</v>
      </c>
      <c r="N21" s="31">
        <v>0</v>
      </c>
      <c r="O21" s="31">
        <v>6.8493150684931512E-3</v>
      </c>
      <c r="P21" s="31">
        <v>7.989347536617843E-4</v>
      </c>
      <c r="Q21" s="31">
        <v>1.5899999999999997E-2</v>
      </c>
      <c r="R21" s="584">
        <v>6.1025545999999998E-3</v>
      </c>
      <c r="S21" s="31">
        <v>6.5522626637763738E-3</v>
      </c>
      <c r="T21" s="31"/>
      <c r="U21" s="31">
        <v>2.9255319148936171E-2</v>
      </c>
      <c r="V21" s="31">
        <v>1.8042399639152005E-3</v>
      </c>
      <c r="W21" s="31">
        <v>0</v>
      </c>
      <c r="X21" s="31">
        <v>1.2999999999999999E-2</v>
      </c>
      <c r="Y21" s="31">
        <v>0</v>
      </c>
      <c r="Z21" s="31">
        <v>0</v>
      </c>
      <c r="AA21" s="31">
        <v>0</v>
      </c>
      <c r="AB21" s="31">
        <v>0</v>
      </c>
      <c r="AC21" s="31">
        <v>3.9473684210526317E-3</v>
      </c>
      <c r="AD21" s="31">
        <v>7.4962518740629685E-3</v>
      </c>
      <c r="AE21" s="31">
        <v>1.3500000000000002E-2</v>
      </c>
      <c r="AF21" s="31">
        <v>1.3500000000000002E-2</v>
      </c>
      <c r="AG21" s="31">
        <v>3.6833333333333336E-2</v>
      </c>
      <c r="AH21" s="31">
        <v>1.7000000000000001E-2</v>
      </c>
      <c r="AI21" s="31">
        <v>2.4500000000000001E-2</v>
      </c>
      <c r="AJ21" s="31">
        <v>1.0166666666666666E-2</v>
      </c>
      <c r="AK21" s="663">
        <v>1.6489375661923045E-2</v>
      </c>
      <c r="AL21" s="663">
        <v>1.763068548186781E-2</v>
      </c>
      <c r="AM21" s="31">
        <v>7.69624E-4</v>
      </c>
      <c r="AN21" s="584">
        <v>2.5137420999999998E-3</v>
      </c>
      <c r="AO21" s="584">
        <v>2.8723583999999999E-3</v>
      </c>
      <c r="AP21" s="663"/>
      <c r="AQ21" s="31"/>
      <c r="AR21" s="31"/>
      <c r="AS21" s="31"/>
      <c r="AT21" s="31"/>
      <c r="AU21" s="31"/>
      <c r="AV21" s="31"/>
      <c r="AW21" s="31"/>
      <c r="AX21" s="31"/>
      <c r="AY21" s="31"/>
      <c r="AZ21" s="31">
        <f t="shared" si="5"/>
        <v>3.6833333333333336E-2</v>
      </c>
      <c r="BA21" s="25" t="str">
        <f t="shared" si="1"/>
        <v>GEMS/Food G08</v>
      </c>
      <c r="BB21" s="25">
        <f t="shared" si="2"/>
        <v>0</v>
      </c>
      <c r="BC21" s="25" t="str">
        <f t="shared" si="3"/>
        <v/>
      </c>
    </row>
    <row r="22" spans="1:55" ht="15" customHeight="1" outlineLevel="3" x14ac:dyDescent="0.2">
      <c r="A22" s="39">
        <v>4</v>
      </c>
      <c r="B22" s="23">
        <v>120020</v>
      </c>
      <c r="C22" s="23" t="s">
        <v>7</v>
      </c>
      <c r="D22" s="22">
        <f>input_values!Z22</f>
        <v>4</v>
      </c>
      <c r="E22" s="657">
        <v>0.01</v>
      </c>
      <c r="F22" s="31">
        <v>0</v>
      </c>
      <c r="G22" s="31">
        <v>0</v>
      </c>
      <c r="H22" s="31">
        <v>0</v>
      </c>
      <c r="I22" s="31">
        <v>0</v>
      </c>
      <c r="J22" s="31">
        <v>0</v>
      </c>
      <c r="K22" s="31">
        <v>0</v>
      </c>
      <c r="L22" s="31">
        <v>0</v>
      </c>
      <c r="M22" s="31">
        <v>0</v>
      </c>
      <c r="N22" s="31">
        <v>0</v>
      </c>
      <c r="O22" s="31">
        <v>0</v>
      </c>
      <c r="P22" s="31">
        <v>6.6577896138482028E-4</v>
      </c>
      <c r="Q22" s="31">
        <v>0</v>
      </c>
      <c r="R22" s="584"/>
      <c r="S22" s="31">
        <v>5.0240584700637381E-5</v>
      </c>
      <c r="T22" s="31"/>
      <c r="U22" s="31">
        <v>3.8563829787235E-2</v>
      </c>
      <c r="V22" s="31">
        <v>0</v>
      </c>
      <c r="W22" s="31">
        <v>0</v>
      </c>
      <c r="X22" s="31">
        <v>1E-3</v>
      </c>
      <c r="Y22" s="31">
        <v>0</v>
      </c>
      <c r="Z22" s="31">
        <v>0</v>
      </c>
      <c r="AA22" s="31">
        <v>0</v>
      </c>
      <c r="AB22" s="31">
        <v>0</v>
      </c>
      <c r="AC22" s="31">
        <v>2.631578947368421E-3</v>
      </c>
      <c r="AD22" s="31">
        <v>2.9985007496251873E-3</v>
      </c>
      <c r="AE22" s="31">
        <v>1.6666666666666668E-3</v>
      </c>
      <c r="AF22" s="31">
        <v>2E-3</v>
      </c>
      <c r="AG22" s="31">
        <v>1.6666666666666668E-3</v>
      </c>
      <c r="AH22" s="31">
        <v>1.6666666666666668E-3</v>
      </c>
      <c r="AI22" s="31">
        <v>2.1666666666666666E-3</v>
      </c>
      <c r="AJ22" s="31">
        <v>1.6666666666666668E-3</v>
      </c>
      <c r="AK22" s="663">
        <v>5.9185617454053717E-5</v>
      </c>
      <c r="AL22" s="663">
        <v>4.4562837156650959E-5</v>
      </c>
      <c r="AM22" s="31">
        <v>1.03E-5</v>
      </c>
      <c r="AN22" s="584"/>
      <c r="AO22" s="584"/>
      <c r="AP22" s="663"/>
      <c r="AQ22" s="31"/>
      <c r="AR22" s="31"/>
      <c r="AS22" s="31"/>
      <c r="AT22" s="31"/>
      <c r="AU22" s="31"/>
      <c r="AV22" s="31"/>
      <c r="AW22" s="31"/>
      <c r="AX22" s="31"/>
      <c r="AY22" s="31"/>
      <c r="AZ22" s="31">
        <f t="shared" si="5"/>
        <v>3.8563829787235E-2</v>
      </c>
      <c r="BA22" s="25" t="str">
        <f t="shared" si="1"/>
        <v>IE adult</v>
      </c>
      <c r="BB22" s="25">
        <f t="shared" si="2"/>
        <v>0</v>
      </c>
      <c r="BC22" s="25" t="str">
        <f t="shared" si="3"/>
        <v/>
      </c>
    </row>
    <row r="23" spans="1:55" ht="15" customHeight="1" outlineLevel="3" x14ac:dyDescent="0.2">
      <c r="A23" s="39">
        <v>4</v>
      </c>
      <c r="B23" s="23">
        <v>120030</v>
      </c>
      <c r="C23" s="23" t="s">
        <v>8</v>
      </c>
      <c r="D23" s="22">
        <f>input_values!Z23</f>
        <v>4</v>
      </c>
      <c r="E23" s="657">
        <v>0.01</v>
      </c>
      <c r="F23" s="31">
        <v>2.2727272727272731E-3</v>
      </c>
      <c r="G23" s="31">
        <v>0</v>
      </c>
      <c r="H23" s="31">
        <v>0</v>
      </c>
      <c r="I23" s="31">
        <v>1.7497812773403324E-5</v>
      </c>
      <c r="J23" s="31">
        <v>0</v>
      </c>
      <c r="K23" s="31">
        <v>0</v>
      </c>
      <c r="L23" s="31">
        <v>0</v>
      </c>
      <c r="M23" s="31">
        <v>3.0000000000000001E-3</v>
      </c>
      <c r="N23" s="31">
        <v>0</v>
      </c>
      <c r="O23" s="31">
        <v>0</v>
      </c>
      <c r="P23" s="31">
        <v>7.989347536617843E-4</v>
      </c>
      <c r="Q23" s="31">
        <v>0</v>
      </c>
      <c r="R23" s="584">
        <v>4.3038714999999996E-3</v>
      </c>
      <c r="S23" s="31">
        <v>2.6302703554166725E-4</v>
      </c>
      <c r="T23" s="31"/>
      <c r="U23" s="31">
        <v>2.9255319148936171E-2</v>
      </c>
      <c r="V23" s="31">
        <v>0</v>
      </c>
      <c r="W23" s="31">
        <v>0</v>
      </c>
      <c r="X23" s="31">
        <v>8.0000000000000002E-3</v>
      </c>
      <c r="Y23" s="31">
        <v>0</v>
      </c>
      <c r="Z23" s="31">
        <v>0</v>
      </c>
      <c r="AA23" s="31">
        <v>0</v>
      </c>
      <c r="AB23" s="31">
        <v>0</v>
      </c>
      <c r="AC23" s="31">
        <v>1.3157894736842105E-3</v>
      </c>
      <c r="AD23" s="31">
        <v>5.9970014992503746E-3</v>
      </c>
      <c r="AE23" s="31">
        <v>1.6666666666666668E-3</v>
      </c>
      <c r="AF23" s="31">
        <v>9.8333333333333328E-3</v>
      </c>
      <c r="AG23" s="31">
        <v>3.8333333333333336E-3</v>
      </c>
      <c r="AH23" s="31">
        <v>8.6666666666666663E-3</v>
      </c>
      <c r="AI23" s="31">
        <v>2.9166666666666667E-2</v>
      </c>
      <c r="AJ23" s="31">
        <v>1.8333333333333333E-3</v>
      </c>
      <c r="AK23" s="663">
        <v>2.2001989321030991E-3</v>
      </c>
      <c r="AL23" s="663">
        <v>2.2550921670070403E-3</v>
      </c>
      <c r="AM23" s="31">
        <v>7.9241999999999995E-4</v>
      </c>
      <c r="AN23" s="584">
        <v>1.3193974000000001E-3</v>
      </c>
      <c r="AO23" s="584"/>
      <c r="AP23" s="663"/>
      <c r="AQ23" s="31"/>
      <c r="AR23" s="31"/>
      <c r="AS23" s="31"/>
      <c r="AT23" s="31"/>
      <c r="AU23" s="31"/>
      <c r="AV23" s="31"/>
      <c r="AW23" s="31"/>
      <c r="AX23" s="31"/>
      <c r="AY23" s="31"/>
      <c r="AZ23" s="31">
        <f t="shared" si="5"/>
        <v>2.9255319148936171E-2</v>
      </c>
      <c r="BA23" s="25" t="str">
        <f t="shared" si="1"/>
        <v>IE adult</v>
      </c>
      <c r="BB23" s="25">
        <f t="shared" si="2"/>
        <v>0</v>
      </c>
      <c r="BC23" s="25" t="str">
        <f t="shared" si="3"/>
        <v/>
      </c>
    </row>
    <row r="24" spans="1:55" ht="15" customHeight="1" outlineLevel="3" x14ac:dyDescent="0.2">
      <c r="A24" s="39">
        <v>4</v>
      </c>
      <c r="B24" s="23">
        <v>120040</v>
      </c>
      <c r="C24" s="23" t="s">
        <v>9</v>
      </c>
      <c r="D24" s="22">
        <f>input_values!Z24</f>
        <v>4</v>
      </c>
      <c r="E24" s="657">
        <v>0.01</v>
      </c>
      <c r="F24" s="31">
        <v>0</v>
      </c>
      <c r="G24" s="31">
        <v>1.78E-2</v>
      </c>
      <c r="H24" s="31">
        <v>3.4378265412748172E-3</v>
      </c>
      <c r="I24" s="31">
        <v>0</v>
      </c>
      <c r="J24" s="31">
        <v>4.1012221079803561E-2</v>
      </c>
      <c r="K24" s="31">
        <v>1.4659937515020427E-2</v>
      </c>
      <c r="L24" s="31">
        <v>0</v>
      </c>
      <c r="M24" s="31">
        <v>1E-3</v>
      </c>
      <c r="N24" s="31">
        <v>0</v>
      </c>
      <c r="O24" s="31">
        <v>0</v>
      </c>
      <c r="P24" s="31">
        <v>0</v>
      </c>
      <c r="Q24" s="31">
        <v>5.4999999999999997E-3</v>
      </c>
      <c r="R24" s="584"/>
      <c r="S24" s="31">
        <v>8.6118877427039317E-3</v>
      </c>
      <c r="T24" s="31"/>
      <c r="U24" s="31">
        <v>0</v>
      </c>
      <c r="V24" s="31">
        <v>1.1426853104796271E-2</v>
      </c>
      <c r="W24" s="31">
        <v>0</v>
      </c>
      <c r="X24" s="31">
        <v>0</v>
      </c>
      <c r="Y24" s="31">
        <v>0</v>
      </c>
      <c r="Z24" s="31">
        <v>0</v>
      </c>
      <c r="AA24" s="31">
        <v>0</v>
      </c>
      <c r="AB24" s="31">
        <v>0</v>
      </c>
      <c r="AC24" s="31">
        <v>0</v>
      </c>
      <c r="AD24" s="31">
        <v>4.4977511244377807E-3</v>
      </c>
      <c r="AE24" s="31">
        <v>1.1166666666666667E-2</v>
      </c>
      <c r="AF24" s="31">
        <v>5.6666666666666671E-3</v>
      </c>
      <c r="AG24" s="31">
        <v>3.5000000000000001E-3</v>
      </c>
      <c r="AH24" s="31">
        <v>8.6666666666666663E-3</v>
      </c>
      <c r="AI24" s="31">
        <v>1.6666666666666668E-3</v>
      </c>
      <c r="AJ24" s="31">
        <v>1.2500000000000001E-2</v>
      </c>
      <c r="AK24" s="663">
        <v>1.4212565795526722E-3</v>
      </c>
      <c r="AL24" s="663">
        <v>3.1758808029744554E-3</v>
      </c>
      <c r="AM24" s="31">
        <v>0</v>
      </c>
      <c r="AN24" s="584"/>
      <c r="AO24" s="584"/>
      <c r="AP24" s="663"/>
      <c r="AQ24" s="31"/>
      <c r="AR24" s="31"/>
      <c r="AS24" s="31"/>
      <c r="AT24" s="31"/>
      <c r="AU24" s="31"/>
      <c r="AV24" s="31"/>
      <c r="AW24" s="31"/>
      <c r="AX24" s="31"/>
      <c r="AY24" s="31"/>
      <c r="AZ24" s="31">
        <f t="shared" si="5"/>
        <v>4.1012221079803561E-2</v>
      </c>
      <c r="BA24" s="25" t="str">
        <f t="shared" si="1"/>
        <v>FR child 3 15 yr</v>
      </c>
      <c r="BB24" s="25">
        <f t="shared" si="2"/>
        <v>0</v>
      </c>
      <c r="BC24" s="25" t="str">
        <f t="shared" si="3"/>
        <v/>
      </c>
    </row>
    <row r="25" spans="1:55" ht="15" customHeight="1" outlineLevel="3" x14ac:dyDescent="0.2">
      <c r="A25" s="39">
        <v>4</v>
      </c>
      <c r="B25" s="23">
        <v>120050</v>
      </c>
      <c r="C25" s="23" t="s">
        <v>10</v>
      </c>
      <c r="D25" s="22">
        <f>input_values!Z25</f>
        <v>4</v>
      </c>
      <c r="E25" s="657">
        <v>0.06</v>
      </c>
      <c r="F25" s="31">
        <v>0</v>
      </c>
      <c r="G25" s="31">
        <v>0</v>
      </c>
      <c r="H25" s="31">
        <v>1.6061986469257088E-2</v>
      </c>
      <c r="I25" s="31">
        <v>3.671293491972142E-2</v>
      </c>
      <c r="J25" s="31">
        <v>5.6326432885826443E-2</v>
      </c>
      <c r="K25" s="31">
        <v>0</v>
      </c>
      <c r="L25" s="31">
        <v>0.497</v>
      </c>
      <c r="M25" s="31">
        <v>0.47699999999999998</v>
      </c>
      <c r="N25" s="31">
        <v>0</v>
      </c>
      <c r="O25" s="31">
        <v>6.8493150684931512E-3</v>
      </c>
      <c r="P25" s="31">
        <v>1.0652463382157125E-4</v>
      </c>
      <c r="Q25" s="31">
        <v>0</v>
      </c>
      <c r="R25" s="584">
        <v>1.9866492000000001E-3</v>
      </c>
      <c r="S25" s="31">
        <v>2.0094125764713221E-2</v>
      </c>
      <c r="T25" s="31"/>
      <c r="U25" s="31">
        <v>3.9893617021276591E-2</v>
      </c>
      <c r="V25" s="31">
        <v>1.5035333032626671E-4</v>
      </c>
      <c r="W25" s="31">
        <v>0</v>
      </c>
      <c r="X25" s="31">
        <v>0.27700000000000002</v>
      </c>
      <c r="Y25" s="31">
        <v>0</v>
      </c>
      <c r="Z25" s="31">
        <v>0</v>
      </c>
      <c r="AA25" s="31">
        <v>0</v>
      </c>
      <c r="AB25" s="31">
        <v>0</v>
      </c>
      <c r="AC25" s="31">
        <v>1.0526315789473684E-2</v>
      </c>
      <c r="AD25" s="31">
        <v>1.0494752623688154E-2</v>
      </c>
      <c r="AE25" s="31">
        <v>4.9666666666666665E-2</v>
      </c>
      <c r="AF25" s="31">
        <v>6.883333333333333E-2</v>
      </c>
      <c r="AG25" s="31">
        <v>4.5499999999999999E-2</v>
      </c>
      <c r="AH25" s="31">
        <v>9.7499999999999989E-2</v>
      </c>
      <c r="AI25" s="31">
        <v>0.11533333333333333</v>
      </c>
      <c r="AJ25" s="31">
        <v>4.6833333333333331E-2</v>
      </c>
      <c r="AK25" s="663">
        <v>1.1503321798294374E-2</v>
      </c>
      <c r="AL25" s="663">
        <v>1.6568272075346863E-2</v>
      </c>
      <c r="AM25" s="31">
        <v>2.02645E-4</v>
      </c>
      <c r="AN25" s="584">
        <v>1.9003710999999999E-3</v>
      </c>
      <c r="AO25" s="584">
        <v>4.2074673999999996E-3</v>
      </c>
      <c r="AP25" s="663"/>
      <c r="AQ25" s="31"/>
      <c r="AR25" s="31"/>
      <c r="AS25" s="31"/>
      <c r="AT25" s="31"/>
      <c r="AU25" s="31"/>
      <c r="AV25" s="31"/>
      <c r="AW25" s="31"/>
      <c r="AX25" s="31"/>
      <c r="AY25" s="31"/>
      <c r="AZ25" s="31">
        <f t="shared" si="5"/>
        <v>0.497</v>
      </c>
      <c r="BA25" s="25" t="str">
        <f t="shared" si="1"/>
        <v>NL toddler</v>
      </c>
      <c r="BB25" s="25">
        <f t="shared" si="2"/>
        <v>0</v>
      </c>
      <c r="BC25" s="25" t="str">
        <f t="shared" si="3"/>
        <v/>
      </c>
    </row>
    <row r="26" spans="1:55" ht="15" customHeight="1" outlineLevel="3" x14ac:dyDescent="0.2">
      <c r="A26" s="39">
        <v>4</v>
      </c>
      <c r="B26" s="23">
        <v>120060</v>
      </c>
      <c r="C26" s="23" t="s">
        <v>681</v>
      </c>
      <c r="D26" s="22">
        <f>input_values!Z26</f>
        <v>4</v>
      </c>
      <c r="E26" s="657">
        <v>0.08</v>
      </c>
      <c r="F26" s="31">
        <v>2.2727272727272731E-3</v>
      </c>
      <c r="G26" s="31">
        <v>1.1999999999999999E-3</v>
      </c>
      <c r="H26" s="31">
        <v>5.1219004083478846E-3</v>
      </c>
      <c r="I26" s="31">
        <v>2.320133896221422E-2</v>
      </c>
      <c r="J26" s="31">
        <v>2.9693293564406954E-2</v>
      </c>
      <c r="K26" s="31">
        <v>2.4032684450853162E-4</v>
      </c>
      <c r="L26" s="31">
        <v>7.0000000000000001E-3</v>
      </c>
      <c r="M26" s="31">
        <v>0.04</v>
      </c>
      <c r="N26" s="31">
        <v>0</v>
      </c>
      <c r="O26" s="31">
        <v>6.8493150684931512E-3</v>
      </c>
      <c r="P26" s="31">
        <v>7.989347536617843E-4</v>
      </c>
      <c r="Q26" s="31">
        <v>2E-3</v>
      </c>
      <c r="R26" s="584">
        <v>1.3575152E-3</v>
      </c>
      <c r="S26" s="31">
        <v>5.2865242427124924E-3</v>
      </c>
      <c r="T26" s="31"/>
      <c r="U26" s="31">
        <v>3.1914893617021274E-2</v>
      </c>
      <c r="V26" s="31">
        <v>4.5105999097880012E-4</v>
      </c>
      <c r="W26" s="31">
        <v>3.8571428571428576E-3</v>
      </c>
      <c r="X26" s="31">
        <v>1.4999999999999999E-2</v>
      </c>
      <c r="Y26" s="31">
        <v>0</v>
      </c>
      <c r="Z26" s="31">
        <v>0</v>
      </c>
      <c r="AA26" s="31">
        <v>0</v>
      </c>
      <c r="AB26" s="31">
        <v>0</v>
      </c>
      <c r="AC26" s="31">
        <v>3.9473684210526317E-3</v>
      </c>
      <c r="AD26" s="31">
        <v>4.4977511244377807E-3</v>
      </c>
      <c r="AE26" s="31">
        <v>1.8500000000000003E-2</v>
      </c>
      <c r="AF26" s="31">
        <v>7.5000000000000006E-3</v>
      </c>
      <c r="AG26" s="31">
        <v>1.8666666666666668E-2</v>
      </c>
      <c r="AH26" s="31">
        <v>5.6666666666666671E-3</v>
      </c>
      <c r="AI26" s="31">
        <v>2.7166666666666665E-2</v>
      </c>
      <c r="AJ26" s="31">
        <v>3.5000000000000001E-3</v>
      </c>
      <c r="AK26" s="663">
        <v>1.6419524693609713E-2</v>
      </c>
      <c r="AL26" s="663">
        <v>2.0093878496218628E-2</v>
      </c>
      <c r="AM26" s="31">
        <v>3.2973399999999998E-4</v>
      </c>
      <c r="AN26" s="584">
        <v>1.4603819000000001E-3</v>
      </c>
      <c r="AO26" s="584">
        <v>1.8009509E-3</v>
      </c>
      <c r="AP26" s="663"/>
      <c r="AQ26" s="31"/>
      <c r="AR26" s="31"/>
      <c r="AS26" s="31"/>
      <c r="AT26" s="31"/>
      <c r="AU26" s="31"/>
      <c r="AV26" s="31"/>
      <c r="AW26" s="31"/>
      <c r="AX26" s="31"/>
      <c r="AY26" s="31"/>
      <c r="AZ26" s="31">
        <f t="shared" si="5"/>
        <v>0.08</v>
      </c>
      <c r="BA26" s="25" t="str">
        <f t="shared" si="1"/>
        <v>DE child</v>
      </c>
      <c r="BB26" s="25">
        <f t="shared" si="2"/>
        <v>0</v>
      </c>
      <c r="BC26" s="25" t="str">
        <f t="shared" si="3"/>
        <v/>
      </c>
    </row>
    <row r="27" spans="1:55" ht="15" customHeight="1" outlineLevel="3" x14ac:dyDescent="0.2">
      <c r="A27" s="39">
        <v>4</v>
      </c>
      <c r="B27" s="23">
        <v>120070</v>
      </c>
      <c r="C27" s="23" t="s">
        <v>108</v>
      </c>
      <c r="D27" s="22">
        <f>input_values!Z27</f>
        <v>4</v>
      </c>
      <c r="E27" s="657">
        <v>0</v>
      </c>
      <c r="F27" s="31">
        <v>0</v>
      </c>
      <c r="G27" s="31">
        <v>0</v>
      </c>
      <c r="H27" s="31">
        <v>0</v>
      </c>
      <c r="I27" s="31">
        <v>0</v>
      </c>
      <c r="J27" s="31">
        <v>0</v>
      </c>
      <c r="K27" s="31">
        <v>0</v>
      </c>
      <c r="L27" s="31">
        <v>0</v>
      </c>
      <c r="M27" s="31">
        <v>0</v>
      </c>
      <c r="N27" s="31">
        <v>0</v>
      </c>
      <c r="O27" s="31">
        <v>0</v>
      </c>
      <c r="P27" s="31">
        <v>0</v>
      </c>
      <c r="Q27" s="31">
        <v>0</v>
      </c>
      <c r="R27" s="584"/>
      <c r="S27" s="31">
        <v>0</v>
      </c>
      <c r="T27" s="31"/>
      <c r="U27" s="31">
        <v>0</v>
      </c>
      <c r="V27" s="31">
        <v>0</v>
      </c>
      <c r="W27" s="31">
        <v>0</v>
      </c>
      <c r="X27" s="31">
        <v>0</v>
      </c>
      <c r="Y27" s="31">
        <v>0</v>
      </c>
      <c r="Z27" s="31">
        <v>0</v>
      </c>
      <c r="AA27" s="31">
        <v>0</v>
      </c>
      <c r="AB27" s="31">
        <v>0</v>
      </c>
      <c r="AC27" s="31">
        <v>0</v>
      </c>
      <c r="AD27" s="31">
        <v>0</v>
      </c>
      <c r="AE27" s="31">
        <v>1.6666666666666668E-3</v>
      </c>
      <c r="AF27" s="31">
        <v>0</v>
      </c>
      <c r="AG27" s="31">
        <v>6.6666666666666671E-3</v>
      </c>
      <c r="AH27" s="31">
        <v>0</v>
      </c>
      <c r="AI27" s="31">
        <v>0</v>
      </c>
      <c r="AJ27" s="31">
        <v>0</v>
      </c>
      <c r="AK27" s="663">
        <v>4.9807687345374777E-4</v>
      </c>
      <c r="AL27" s="663">
        <v>9.3255760004633996E-4</v>
      </c>
      <c r="AM27" s="31">
        <v>0</v>
      </c>
      <c r="AN27" s="584"/>
      <c r="AO27" s="584"/>
      <c r="AP27" s="663"/>
      <c r="AQ27" s="31"/>
      <c r="AR27" s="31"/>
      <c r="AS27" s="31"/>
      <c r="AT27" s="31"/>
      <c r="AU27" s="31"/>
      <c r="AV27" s="31"/>
      <c r="AW27" s="31"/>
      <c r="AX27" s="31"/>
      <c r="AY27" s="31"/>
      <c r="AZ27" s="31">
        <f t="shared" si="5"/>
        <v>6.6666666666666671E-3</v>
      </c>
      <c r="BA27" s="25" t="str">
        <f t="shared" si="1"/>
        <v>GEMS/Food G08</v>
      </c>
      <c r="BB27" s="25">
        <f t="shared" si="2"/>
        <v>0</v>
      </c>
      <c r="BC27" s="25" t="str">
        <f t="shared" si="3"/>
        <v/>
      </c>
    </row>
    <row r="28" spans="1:55" ht="15" customHeight="1" outlineLevel="3" x14ac:dyDescent="0.2">
      <c r="A28" s="39">
        <v>4</v>
      </c>
      <c r="B28" s="23">
        <v>120080</v>
      </c>
      <c r="C28" s="23" t="s">
        <v>109</v>
      </c>
      <c r="D28" s="22">
        <f>input_values!Z28</f>
        <v>4</v>
      </c>
      <c r="E28" s="657">
        <v>0.01</v>
      </c>
      <c r="F28" s="31">
        <v>2.2727272727272731E-3</v>
      </c>
      <c r="G28" s="31">
        <v>0</v>
      </c>
      <c r="H28" s="31">
        <v>0</v>
      </c>
      <c r="I28" s="31">
        <v>0</v>
      </c>
      <c r="J28" s="31">
        <v>0</v>
      </c>
      <c r="K28" s="31">
        <v>0</v>
      </c>
      <c r="L28" s="31">
        <v>0</v>
      </c>
      <c r="M28" s="31">
        <v>0</v>
      </c>
      <c r="N28" s="31">
        <v>0</v>
      </c>
      <c r="O28" s="31">
        <v>0</v>
      </c>
      <c r="P28" s="31">
        <v>7.989347536617843E-4</v>
      </c>
      <c r="Q28" s="31">
        <v>0</v>
      </c>
      <c r="R28" s="584"/>
      <c r="S28" s="31">
        <v>0</v>
      </c>
      <c r="T28" s="31"/>
      <c r="U28" s="31">
        <v>7.9787234042553182E-2</v>
      </c>
      <c r="V28" s="31">
        <v>0</v>
      </c>
      <c r="W28" s="31">
        <v>5.4285714285714284E-3</v>
      </c>
      <c r="X28" s="31">
        <v>0</v>
      </c>
      <c r="Y28" s="31">
        <v>0</v>
      </c>
      <c r="Z28" s="31">
        <v>0</v>
      </c>
      <c r="AA28" s="31">
        <v>0</v>
      </c>
      <c r="AB28" s="31">
        <v>0</v>
      </c>
      <c r="AC28" s="31">
        <v>0</v>
      </c>
      <c r="AD28" s="31">
        <v>2.9985007496251873E-3</v>
      </c>
      <c r="AE28" s="31">
        <v>2.1666666666666666E-3</v>
      </c>
      <c r="AF28" s="31">
        <v>6.3333333333333332E-3</v>
      </c>
      <c r="AG28" s="31">
        <v>0</v>
      </c>
      <c r="AH28" s="31">
        <v>4.5000000000000005E-3</v>
      </c>
      <c r="AI28" s="31">
        <v>0</v>
      </c>
      <c r="AJ28" s="31">
        <v>5.1666666666666666E-3</v>
      </c>
      <c r="AK28" s="663">
        <v>2.6660956885826125E-5</v>
      </c>
      <c r="AL28" s="663">
        <v>0</v>
      </c>
      <c r="AM28" s="31">
        <v>0</v>
      </c>
      <c r="AN28" s="584"/>
      <c r="AO28" s="584"/>
      <c r="AP28" s="663"/>
      <c r="AQ28" s="31"/>
      <c r="AR28" s="31"/>
      <c r="AS28" s="31"/>
      <c r="AT28" s="31"/>
      <c r="AU28" s="31"/>
      <c r="AV28" s="31"/>
      <c r="AW28" s="31"/>
      <c r="AX28" s="31"/>
      <c r="AY28" s="31"/>
      <c r="AZ28" s="31">
        <f t="shared" si="5"/>
        <v>7.9787234042553182E-2</v>
      </c>
      <c r="BA28" s="25" t="str">
        <f t="shared" si="1"/>
        <v>IE adult</v>
      </c>
      <c r="BB28" s="25">
        <f t="shared" si="2"/>
        <v>0</v>
      </c>
      <c r="BC28" s="25" t="str">
        <f t="shared" si="3"/>
        <v/>
      </c>
    </row>
    <row r="29" spans="1:55" ht="15" customHeight="1" outlineLevel="3" x14ac:dyDescent="0.2">
      <c r="A29" s="39">
        <v>4</v>
      </c>
      <c r="B29" s="23">
        <v>120090</v>
      </c>
      <c r="C29" s="23" t="s">
        <v>682</v>
      </c>
      <c r="D29" s="22">
        <f>input_values!Z29</f>
        <v>4</v>
      </c>
      <c r="E29" s="657">
        <v>0.01</v>
      </c>
      <c r="F29" s="31">
        <v>0</v>
      </c>
      <c r="G29" s="31">
        <v>0</v>
      </c>
      <c r="H29" s="31">
        <v>0</v>
      </c>
      <c r="I29" s="31">
        <v>3.4995625546806649E-6</v>
      </c>
      <c r="J29" s="31">
        <v>0</v>
      </c>
      <c r="K29" s="31">
        <v>2.4032684450853162E-4</v>
      </c>
      <c r="L29" s="31">
        <v>0</v>
      </c>
      <c r="M29" s="31">
        <v>0</v>
      </c>
      <c r="N29" s="31">
        <v>0</v>
      </c>
      <c r="O29" s="31">
        <v>0</v>
      </c>
      <c r="P29" s="31">
        <v>1.1984021304926764E-4</v>
      </c>
      <c r="Q29" s="31">
        <v>0</v>
      </c>
      <c r="R29" s="584"/>
      <c r="S29" s="31">
        <v>0</v>
      </c>
      <c r="T29" s="31"/>
      <c r="U29" s="31">
        <v>2.2606382978723402E-2</v>
      </c>
      <c r="V29" s="31">
        <v>1.0524733122838671E-3</v>
      </c>
      <c r="W29" s="31">
        <v>0</v>
      </c>
      <c r="X29" s="31">
        <v>0</v>
      </c>
      <c r="Y29" s="31">
        <v>0</v>
      </c>
      <c r="Z29" s="31">
        <v>0</v>
      </c>
      <c r="AA29" s="31">
        <v>0</v>
      </c>
      <c r="AB29" s="31">
        <v>0</v>
      </c>
      <c r="AC29" s="31">
        <v>0</v>
      </c>
      <c r="AD29" s="31">
        <v>0</v>
      </c>
      <c r="AE29" s="31">
        <v>7.1666666666666667E-3</v>
      </c>
      <c r="AF29" s="31">
        <v>1.6500000000000001E-2</v>
      </c>
      <c r="AG29" s="31">
        <v>1.1000000000000001E-2</v>
      </c>
      <c r="AH29" s="31">
        <v>4.5000000000000005E-3</v>
      </c>
      <c r="AI29" s="31">
        <v>3.15E-2</v>
      </c>
      <c r="AJ29" s="31">
        <v>6.0000000000000001E-3</v>
      </c>
      <c r="AK29" s="663">
        <v>4.8568975769847084E-4</v>
      </c>
      <c r="AL29" s="663">
        <v>6.0597614024854979E-4</v>
      </c>
      <c r="AM29" s="31">
        <v>0</v>
      </c>
      <c r="AN29" s="584"/>
      <c r="AO29" s="584"/>
      <c r="AP29" s="663"/>
      <c r="AQ29" s="31"/>
      <c r="AR29" s="31"/>
      <c r="AS29" s="31"/>
      <c r="AT29" s="31"/>
      <c r="AU29" s="31"/>
      <c r="AV29" s="31"/>
      <c r="AW29" s="31"/>
      <c r="AX29" s="31"/>
      <c r="AY29" s="31"/>
      <c r="AZ29" s="31">
        <f t="shared" si="5"/>
        <v>3.15E-2</v>
      </c>
      <c r="BA29" s="25" t="str">
        <f t="shared" si="1"/>
        <v>GEMS/Food G11</v>
      </c>
      <c r="BB29" s="25">
        <f t="shared" si="2"/>
        <v>0</v>
      </c>
      <c r="BC29" s="25" t="str">
        <f t="shared" si="3"/>
        <v/>
      </c>
    </row>
    <row r="30" spans="1:55" ht="15" customHeight="1" outlineLevel="3" x14ac:dyDescent="0.2">
      <c r="A30" s="39">
        <v>4</v>
      </c>
      <c r="B30" s="23">
        <v>120100</v>
      </c>
      <c r="C30" s="23" t="s">
        <v>110</v>
      </c>
      <c r="D30" s="22">
        <f>input_values!Z30</f>
        <v>4</v>
      </c>
      <c r="E30" s="657">
        <v>0.01</v>
      </c>
      <c r="F30" s="31">
        <v>2.2727272727272731E-3</v>
      </c>
      <c r="G30" s="31">
        <v>1.5E-3</v>
      </c>
      <c r="H30" s="31">
        <v>0</v>
      </c>
      <c r="I30" s="31">
        <v>5.6749663048875649E-4</v>
      </c>
      <c r="J30" s="31">
        <v>2.2223085448522251E-3</v>
      </c>
      <c r="K30" s="31">
        <v>9.6130737803412647E-4</v>
      </c>
      <c r="L30" s="31">
        <v>0</v>
      </c>
      <c r="M30" s="31">
        <v>1E-3</v>
      </c>
      <c r="N30" s="31">
        <v>0</v>
      </c>
      <c r="O30" s="31">
        <v>0</v>
      </c>
      <c r="P30" s="31">
        <v>7.989347536617843E-4</v>
      </c>
      <c r="Q30" s="31">
        <v>4.7999999999999996E-3</v>
      </c>
      <c r="R30" s="584"/>
      <c r="S30" s="31">
        <v>9.2005595998404096E-4</v>
      </c>
      <c r="T30" s="31"/>
      <c r="U30" s="31">
        <v>3.9893617021276591E-2</v>
      </c>
      <c r="V30" s="31">
        <v>1.3531799729364004E-3</v>
      </c>
      <c r="W30" s="31">
        <v>2.8571428571428574E-4</v>
      </c>
      <c r="X30" s="31">
        <v>0</v>
      </c>
      <c r="Y30" s="31">
        <v>0</v>
      </c>
      <c r="Z30" s="31">
        <v>0</v>
      </c>
      <c r="AA30" s="31">
        <v>0</v>
      </c>
      <c r="AB30" s="31">
        <v>0</v>
      </c>
      <c r="AC30" s="31">
        <v>1.3157894736842105E-3</v>
      </c>
      <c r="AD30" s="31">
        <v>1.4992503748125937E-3</v>
      </c>
      <c r="AE30" s="31">
        <v>1.8000000000000002E-2</v>
      </c>
      <c r="AF30" s="31">
        <v>5.8333333333333327E-3</v>
      </c>
      <c r="AG30" s="31">
        <v>8.0000000000000002E-3</v>
      </c>
      <c r="AH30" s="31">
        <v>6.5000000000000006E-3</v>
      </c>
      <c r="AI30" s="31">
        <v>3.8333333333333336E-3</v>
      </c>
      <c r="AJ30" s="31">
        <v>2.5000000000000001E-3</v>
      </c>
      <c r="AK30" s="663">
        <v>1.4200329898927941E-3</v>
      </c>
      <c r="AL30" s="663">
        <v>1.6432223602260807E-3</v>
      </c>
      <c r="AM30" s="31">
        <v>1.1411399999999999E-3</v>
      </c>
      <c r="AN30" s="584"/>
      <c r="AO30" s="584"/>
      <c r="AP30" s="663"/>
      <c r="AQ30" s="31"/>
      <c r="AR30" s="31"/>
      <c r="AS30" s="31"/>
      <c r="AT30" s="31"/>
      <c r="AU30" s="31"/>
      <c r="AV30" s="31"/>
      <c r="AW30" s="31"/>
      <c r="AX30" s="31"/>
      <c r="AY30" s="31"/>
      <c r="AZ30" s="31">
        <f t="shared" si="5"/>
        <v>3.9893617021276591E-2</v>
      </c>
      <c r="BA30" s="25" t="str">
        <f t="shared" si="1"/>
        <v>IE adult</v>
      </c>
      <c r="BB30" s="25">
        <f t="shared" si="2"/>
        <v>0</v>
      </c>
      <c r="BC30" s="25" t="str">
        <f t="shared" si="3"/>
        <v/>
      </c>
    </row>
    <row r="31" spans="1:55" ht="15" customHeight="1" outlineLevel="3" x14ac:dyDescent="0.2">
      <c r="A31" s="39">
        <v>4</v>
      </c>
      <c r="B31" s="23">
        <v>120110</v>
      </c>
      <c r="C31" s="23" t="s">
        <v>111</v>
      </c>
      <c r="D31" s="22">
        <f>input_values!Z31</f>
        <v>4</v>
      </c>
      <c r="E31" s="657">
        <v>0.01</v>
      </c>
      <c r="F31" s="31">
        <v>2.2727272727272731E-3</v>
      </c>
      <c r="G31" s="31">
        <v>3.3999999999999998E-3</v>
      </c>
      <c r="H31" s="31">
        <v>0</v>
      </c>
      <c r="I31" s="31">
        <v>2.2988508757067843E-3</v>
      </c>
      <c r="J31" s="31">
        <v>3.1857657721789875E-2</v>
      </c>
      <c r="K31" s="31">
        <v>6.4888248017303538E-3</v>
      </c>
      <c r="L31" s="31">
        <v>0</v>
      </c>
      <c r="M31" s="31">
        <v>1E-3</v>
      </c>
      <c r="N31" s="31">
        <v>0</v>
      </c>
      <c r="O31" s="31">
        <v>0</v>
      </c>
      <c r="P31" s="31">
        <v>7.989347536617843E-4</v>
      </c>
      <c r="Q31" s="31">
        <v>1.29E-2</v>
      </c>
      <c r="R31" s="584">
        <v>1.260333E-3</v>
      </c>
      <c r="S31" s="31">
        <v>8.0810330346293147E-3</v>
      </c>
      <c r="T31" s="31"/>
      <c r="U31" s="31">
        <v>4.920212765957447E-2</v>
      </c>
      <c r="V31" s="31">
        <v>4.5105999097880016E-3</v>
      </c>
      <c r="W31" s="31">
        <v>0</v>
      </c>
      <c r="X31" s="31">
        <v>3.0000000000000001E-3</v>
      </c>
      <c r="Y31" s="31">
        <v>3.0254777070063694E-2</v>
      </c>
      <c r="Z31" s="31">
        <v>0</v>
      </c>
      <c r="AA31" s="31">
        <v>3.3333333333333333E-2</v>
      </c>
      <c r="AB31" s="31">
        <v>0</v>
      </c>
      <c r="AC31" s="31">
        <v>1.3157894736842105E-3</v>
      </c>
      <c r="AD31" s="31">
        <v>2.9985007496251873E-3</v>
      </c>
      <c r="AE31" s="31">
        <v>3.4333333333333334E-2</v>
      </c>
      <c r="AF31" s="31">
        <v>5.6666666666666671E-3</v>
      </c>
      <c r="AG31" s="31">
        <v>1.4E-2</v>
      </c>
      <c r="AH31" s="31">
        <v>6.5000000000000006E-3</v>
      </c>
      <c r="AI31" s="31">
        <v>7.5000000000000006E-3</v>
      </c>
      <c r="AJ31" s="31">
        <v>1.3500000000000002E-2</v>
      </c>
      <c r="AK31" s="663">
        <v>7.7071284872030745E-3</v>
      </c>
      <c r="AL31" s="663">
        <v>8.6421800069949439E-3</v>
      </c>
      <c r="AM31" s="31">
        <v>1.3421E-4</v>
      </c>
      <c r="AN31" s="584">
        <v>1.1223606E-3</v>
      </c>
      <c r="AO31" s="584">
        <v>3.8213100000000002E-4</v>
      </c>
      <c r="AP31" s="663"/>
      <c r="AQ31" s="31"/>
      <c r="AR31" s="31"/>
      <c r="AS31" s="31"/>
      <c r="AT31" s="31"/>
      <c r="AU31" s="31"/>
      <c r="AV31" s="31"/>
      <c r="AW31" s="31"/>
      <c r="AX31" s="31"/>
      <c r="AY31" s="31"/>
      <c r="AZ31" s="31">
        <f t="shared" si="5"/>
        <v>4.920212765957447E-2</v>
      </c>
      <c r="BA31" s="25" t="str">
        <f t="shared" si="1"/>
        <v>IE adult</v>
      </c>
      <c r="BB31" s="25">
        <f t="shared" si="2"/>
        <v>0</v>
      </c>
      <c r="BC31" s="25" t="str">
        <f t="shared" si="3"/>
        <v/>
      </c>
    </row>
    <row r="32" spans="1:55" ht="15" customHeight="1" outlineLevel="3" x14ac:dyDescent="0.2">
      <c r="A32" s="39">
        <v>4</v>
      </c>
      <c r="B32" s="23">
        <v>120990</v>
      </c>
      <c r="C32" s="23" t="s">
        <v>48</v>
      </c>
      <c r="D32" s="22">
        <f>input_values!Z32</f>
        <v>4</v>
      </c>
      <c r="E32" s="657">
        <v>0</v>
      </c>
      <c r="F32" s="31">
        <v>0</v>
      </c>
      <c r="G32" s="31">
        <v>0</v>
      </c>
      <c r="H32" s="31">
        <v>0</v>
      </c>
      <c r="I32" s="31">
        <v>0</v>
      </c>
      <c r="J32" s="31">
        <v>0</v>
      </c>
      <c r="K32" s="31">
        <v>5.0468637346791634E-3</v>
      </c>
      <c r="L32" s="31">
        <v>0</v>
      </c>
      <c r="M32" s="31">
        <v>0</v>
      </c>
      <c r="N32" s="31">
        <v>0</v>
      </c>
      <c r="O32" s="31">
        <v>0</v>
      </c>
      <c r="P32" s="31">
        <v>0</v>
      </c>
      <c r="Q32" s="31">
        <v>0</v>
      </c>
      <c r="R32" s="584"/>
      <c r="S32" s="31">
        <v>0</v>
      </c>
      <c r="T32" s="31"/>
      <c r="U32" s="31">
        <v>0</v>
      </c>
      <c r="V32" s="31">
        <v>3.9091865884829345E-3</v>
      </c>
      <c r="W32" s="31">
        <v>1.7142857142857142E-3</v>
      </c>
      <c r="X32" s="31">
        <v>0</v>
      </c>
      <c r="Y32" s="31">
        <v>1.5923566878980893E-3</v>
      </c>
      <c r="Z32" s="31">
        <v>0</v>
      </c>
      <c r="AA32" s="31">
        <v>0</v>
      </c>
      <c r="AB32" s="31">
        <v>0</v>
      </c>
      <c r="AC32" s="31">
        <v>0</v>
      </c>
      <c r="AD32" s="31">
        <v>0</v>
      </c>
      <c r="AE32" s="31"/>
      <c r="AF32" s="31"/>
      <c r="AG32" s="31"/>
      <c r="AH32" s="31"/>
      <c r="AI32" s="31"/>
      <c r="AJ32" s="31"/>
      <c r="AK32" s="663">
        <v>0</v>
      </c>
      <c r="AL32" s="663">
        <v>0</v>
      </c>
      <c r="AM32" s="31">
        <v>0</v>
      </c>
      <c r="AN32" s="584"/>
      <c r="AO32" s="584"/>
      <c r="AP32" s="663"/>
      <c r="AQ32" s="31"/>
      <c r="AR32" s="31"/>
      <c r="AS32" s="31"/>
      <c r="AT32" s="31"/>
      <c r="AU32" s="31"/>
      <c r="AV32" s="31"/>
      <c r="AW32" s="31"/>
      <c r="AX32" s="31"/>
      <c r="AY32" s="31"/>
      <c r="AZ32" s="31">
        <f t="shared" si="5"/>
        <v>5.0468637346791634E-3</v>
      </c>
      <c r="BA32" s="25" t="str">
        <f t="shared" si="1"/>
        <v>IT toddler</v>
      </c>
      <c r="BB32" s="25">
        <f t="shared" si="2"/>
        <v>0</v>
      </c>
      <c r="BC32" s="25" t="str">
        <f t="shared" si="3"/>
        <v/>
      </c>
    </row>
    <row r="33" spans="1:55" ht="15" customHeight="1" outlineLevel="1" x14ac:dyDescent="0.2">
      <c r="A33" s="130">
        <v>2</v>
      </c>
      <c r="B33" s="131">
        <v>130000</v>
      </c>
      <c r="C33" s="131" t="s">
        <v>293</v>
      </c>
      <c r="D33" s="79">
        <f>input_values!Z33</f>
        <v>4</v>
      </c>
      <c r="E33" s="581">
        <f>SUM(E34:E39)</f>
        <v>13.16</v>
      </c>
      <c r="F33" s="92">
        <f t="shared" ref="F33:AO33" si="7">SUM(F34:F39)</f>
        <v>3</v>
      </c>
      <c r="G33" s="92">
        <f t="shared" si="7"/>
        <v>1.6333000000000002</v>
      </c>
      <c r="H33" s="92">
        <f t="shared" si="7"/>
        <v>1.8747313402449866</v>
      </c>
      <c r="I33" s="92">
        <f t="shared" si="7"/>
        <v>3.4826942006994428</v>
      </c>
      <c r="J33" s="92">
        <f t="shared" si="7"/>
        <v>1.9500288942480428</v>
      </c>
      <c r="K33" s="92">
        <f t="shared" si="7"/>
        <v>1.2369622686854123</v>
      </c>
      <c r="L33" s="92">
        <f t="shared" si="7"/>
        <v>15.125</v>
      </c>
      <c r="M33" s="92">
        <f t="shared" si="7"/>
        <v>6.992</v>
      </c>
      <c r="N33" s="92">
        <f t="shared" si="7"/>
        <v>1.8160919540229887</v>
      </c>
      <c r="O33" s="92">
        <f t="shared" si="7"/>
        <v>1.8835616438356164</v>
      </c>
      <c r="P33" s="92">
        <f t="shared" si="7"/>
        <v>1.28</v>
      </c>
      <c r="Q33" s="92">
        <f t="shared" si="7"/>
        <v>1.1123000000000003</v>
      </c>
      <c r="R33" s="92">
        <f t="shared" si="7"/>
        <v>0.63400332289999994</v>
      </c>
      <c r="S33" s="92">
        <f t="shared" si="7"/>
        <v>0.91443497806971652</v>
      </c>
      <c r="T33" s="92"/>
      <c r="U33" s="92">
        <f t="shared" si="7"/>
        <v>1.1476063829787235</v>
      </c>
      <c r="V33" s="92">
        <f t="shared" si="7"/>
        <v>1.0288678394226431</v>
      </c>
      <c r="W33" s="92">
        <f t="shared" si="7"/>
        <v>2.0252857142857139</v>
      </c>
      <c r="X33" s="92">
        <f t="shared" si="7"/>
        <v>1.643</v>
      </c>
      <c r="Y33" s="92">
        <f t="shared" si="7"/>
        <v>2.3232484076433124</v>
      </c>
      <c r="Z33" s="92">
        <f t="shared" si="7"/>
        <v>1.4133333333333333</v>
      </c>
      <c r="AA33" s="92">
        <f t="shared" si="7"/>
        <v>1.5666666666666669</v>
      </c>
      <c r="AB33" s="92">
        <f t="shared" si="7"/>
        <v>1.4100000000000001</v>
      </c>
      <c r="AC33" s="92">
        <f t="shared" si="7"/>
        <v>0.46973684210526317</v>
      </c>
      <c r="AD33" s="92">
        <f t="shared" si="7"/>
        <v>0.66866566716641673</v>
      </c>
      <c r="AE33" s="92">
        <f t="shared" si="7"/>
        <v>1.0700000000000003</v>
      </c>
      <c r="AF33" s="92">
        <f t="shared" si="7"/>
        <v>1.1896666666666669</v>
      </c>
      <c r="AG33" s="92">
        <f t="shared" si="7"/>
        <v>1.3571666666666666</v>
      </c>
      <c r="AH33" s="92">
        <f t="shared" si="7"/>
        <v>0.98000000000000009</v>
      </c>
      <c r="AI33" s="92">
        <f t="shared" si="7"/>
        <v>1.7304999999999999</v>
      </c>
      <c r="AJ33" s="92">
        <f t="shared" si="7"/>
        <v>1.343333333333333</v>
      </c>
      <c r="AK33" s="92">
        <f t="shared" si="7"/>
        <v>2.5507333910198664</v>
      </c>
      <c r="AL33" s="92">
        <f t="shared" si="7"/>
        <v>2.7214367393158918</v>
      </c>
      <c r="AM33" s="92">
        <f t="shared" si="7"/>
        <v>0.3550605</v>
      </c>
      <c r="AN33" s="92">
        <f t="shared" si="7"/>
        <v>1.1179553091000001</v>
      </c>
      <c r="AO33" s="92">
        <f t="shared" si="7"/>
        <v>0.75993222949999994</v>
      </c>
      <c r="AP33" s="92"/>
      <c r="AQ33" s="92"/>
      <c r="AR33" s="92"/>
      <c r="AS33" s="92"/>
      <c r="AT33" s="92"/>
      <c r="AU33" s="92"/>
      <c r="AV33" s="92"/>
      <c r="AW33" s="92"/>
      <c r="AX33" s="92" t="s">
        <v>369</v>
      </c>
      <c r="AY33" s="92"/>
      <c r="AZ33" s="92">
        <f t="shared" si="5"/>
        <v>15.125</v>
      </c>
      <c r="BA33" s="42" t="str">
        <f t="shared" si="1"/>
        <v>NL toddler</v>
      </c>
      <c r="BB33" s="42">
        <f t="shared" si="2"/>
        <v>0.3550605</v>
      </c>
      <c r="BC33" s="42" t="str">
        <f t="shared" si="3"/>
        <v>IE child</v>
      </c>
    </row>
    <row r="34" spans="1:55" ht="15" customHeight="1" outlineLevel="3" x14ac:dyDescent="0.2">
      <c r="A34" s="39">
        <v>4</v>
      </c>
      <c r="B34" s="23">
        <v>130010</v>
      </c>
      <c r="C34" s="23" t="s">
        <v>112</v>
      </c>
      <c r="D34" s="22">
        <f>input_values!Z34</f>
        <v>4</v>
      </c>
      <c r="E34" s="657">
        <v>12.48</v>
      </c>
      <c r="F34" s="31">
        <v>2.3227272727272728</v>
      </c>
      <c r="G34" s="31">
        <v>1.1422000000000001</v>
      </c>
      <c r="H34" s="31">
        <v>1.6767131657965941</v>
      </c>
      <c r="I34" s="31">
        <v>3.1690676738862638</v>
      </c>
      <c r="J34" s="31">
        <v>1.676444091971536</v>
      </c>
      <c r="K34" s="31">
        <v>0.88680605623648157</v>
      </c>
      <c r="L34" s="31">
        <v>10.782999999999999</v>
      </c>
      <c r="M34" s="31">
        <v>5.78</v>
      </c>
      <c r="N34" s="31">
        <v>1.5632183908045978</v>
      </c>
      <c r="O34" s="31">
        <v>1.7054794520547945</v>
      </c>
      <c r="P34" s="31">
        <v>0.95699999999999996</v>
      </c>
      <c r="Q34" s="31">
        <v>0.76910000000000001</v>
      </c>
      <c r="R34" s="584">
        <v>0.5813690614</v>
      </c>
      <c r="S34" s="31">
        <v>0.76610043239765291</v>
      </c>
      <c r="T34" s="31"/>
      <c r="U34" s="31">
        <v>0.71276595744680848</v>
      </c>
      <c r="V34" s="31">
        <v>0.79386558412268826</v>
      </c>
      <c r="W34" s="31">
        <v>1.8667142857142855</v>
      </c>
      <c r="X34" s="31">
        <v>1.4570000000000001</v>
      </c>
      <c r="Y34" s="31">
        <v>2.0429936305732488</v>
      </c>
      <c r="Z34" s="31">
        <v>1.05</v>
      </c>
      <c r="AA34" s="31">
        <v>1.4166666666666667</v>
      </c>
      <c r="AB34" s="31">
        <v>1.05</v>
      </c>
      <c r="AC34" s="31">
        <v>0.41052631578947368</v>
      </c>
      <c r="AD34" s="31">
        <v>0.59220389805097451</v>
      </c>
      <c r="AE34" s="31">
        <v>0.92466666666666664</v>
      </c>
      <c r="AF34" s="31">
        <v>1.024</v>
      </c>
      <c r="AG34" s="31">
        <v>1.2135</v>
      </c>
      <c r="AH34" s="31">
        <v>0.753</v>
      </c>
      <c r="AI34" s="31">
        <v>1.5546666666666666</v>
      </c>
      <c r="AJ34" s="31">
        <v>1.0938333333333332</v>
      </c>
      <c r="AK34" s="663">
        <v>2.4261616202008929</v>
      </c>
      <c r="AL34" s="663">
        <v>2.5763331613317484</v>
      </c>
      <c r="AM34" s="31">
        <v>0.32528000000000001</v>
      </c>
      <c r="AN34" s="584">
        <v>0.9427666442</v>
      </c>
      <c r="AO34" s="584">
        <v>0.58157992380000001</v>
      </c>
      <c r="AP34" s="663"/>
      <c r="AQ34" s="31"/>
      <c r="AR34" s="31"/>
      <c r="AS34" s="31"/>
      <c r="AT34" s="31"/>
      <c r="AU34" s="31"/>
      <c r="AV34" s="31"/>
      <c r="AW34" s="31"/>
      <c r="AX34" s="31"/>
      <c r="AY34" s="31"/>
      <c r="AZ34" s="31">
        <f t="shared" si="5"/>
        <v>12.48</v>
      </c>
      <c r="BA34" s="25" t="str">
        <f t="shared" si="1"/>
        <v>DE child</v>
      </c>
      <c r="BB34" s="25">
        <f t="shared" si="2"/>
        <v>0.32528000000000001</v>
      </c>
      <c r="BC34" s="25" t="str">
        <f t="shared" si="3"/>
        <v>IE child</v>
      </c>
    </row>
    <row r="35" spans="1:55" ht="15" customHeight="1" outlineLevel="3" x14ac:dyDescent="0.2">
      <c r="A35" s="39">
        <v>4</v>
      </c>
      <c r="B35" s="23">
        <v>130020</v>
      </c>
      <c r="C35" s="23" t="s">
        <v>113</v>
      </c>
      <c r="D35" s="22">
        <f>input_values!Z35</f>
        <v>4</v>
      </c>
      <c r="E35" s="657">
        <v>0.65</v>
      </c>
      <c r="F35" s="31">
        <v>0.67727272727272725</v>
      </c>
      <c r="G35" s="31">
        <v>0.44490000000000002</v>
      </c>
      <c r="H35" s="31">
        <v>0.17709077283640656</v>
      </c>
      <c r="I35" s="31">
        <v>0.31362652681317893</v>
      </c>
      <c r="J35" s="31">
        <v>0.27358480227650672</v>
      </c>
      <c r="K35" s="31">
        <v>0.34607065609228554</v>
      </c>
      <c r="L35" s="31">
        <v>4.3390000000000004</v>
      </c>
      <c r="M35" s="31">
        <v>1.21</v>
      </c>
      <c r="N35" s="31">
        <v>0.25287356321839083</v>
      </c>
      <c r="O35" s="31">
        <v>0.17808219178082194</v>
      </c>
      <c r="P35" s="31">
        <v>0.32300000000000001</v>
      </c>
      <c r="Q35" s="31">
        <v>0.32669999999999999</v>
      </c>
      <c r="R35" s="584">
        <v>5.2634261500000001E-2</v>
      </c>
      <c r="S35" s="31">
        <v>0.14833454567206367</v>
      </c>
      <c r="T35" s="31"/>
      <c r="U35" s="31">
        <v>0.43484042553191493</v>
      </c>
      <c r="V35" s="31">
        <v>0.23455119530897606</v>
      </c>
      <c r="W35" s="31">
        <v>0.15857142857142856</v>
      </c>
      <c r="X35" s="31">
        <v>0.185</v>
      </c>
      <c r="Y35" s="31">
        <v>0.28025477707006374</v>
      </c>
      <c r="Z35" s="31">
        <v>0.33833333333333332</v>
      </c>
      <c r="AA35" s="31">
        <v>0.11666666666666667</v>
      </c>
      <c r="AB35" s="31">
        <v>0.34333333333333338</v>
      </c>
      <c r="AC35" s="31">
        <v>5.921052631578947E-2</v>
      </c>
      <c r="AD35" s="31">
        <v>7.6461769115442266E-2</v>
      </c>
      <c r="AE35" s="31">
        <v>8.8999999999999996E-2</v>
      </c>
      <c r="AF35" s="31">
        <v>0.14649999999999999</v>
      </c>
      <c r="AG35" s="31">
        <v>0.14066666666666666</v>
      </c>
      <c r="AH35" s="31">
        <v>0.16</v>
      </c>
      <c r="AI35" s="31">
        <v>0.17116666666666666</v>
      </c>
      <c r="AJ35" s="31">
        <v>0.1575</v>
      </c>
      <c r="AK35" s="663">
        <v>0.12223345456340366</v>
      </c>
      <c r="AL35" s="663">
        <v>0.14286282847425755</v>
      </c>
      <c r="AM35" s="31">
        <v>2.9780500000000001E-2</v>
      </c>
      <c r="AN35" s="584">
        <v>0.17518866490000001</v>
      </c>
      <c r="AO35" s="584">
        <v>0.17835230569999999</v>
      </c>
      <c r="AP35" s="663"/>
      <c r="AQ35" s="31"/>
      <c r="AR35" s="31"/>
      <c r="AS35" s="31"/>
      <c r="AT35" s="31"/>
      <c r="AU35" s="31"/>
      <c r="AV35" s="31"/>
      <c r="AW35" s="31"/>
      <c r="AX35" s="31"/>
      <c r="AY35" s="31"/>
      <c r="AZ35" s="31">
        <f t="shared" si="5"/>
        <v>4.3390000000000004</v>
      </c>
      <c r="BA35" s="25" t="str">
        <f t="shared" si="1"/>
        <v>NL toddler</v>
      </c>
      <c r="BB35" s="25">
        <f t="shared" si="2"/>
        <v>2.9780500000000001E-2</v>
      </c>
      <c r="BC35" s="25" t="str">
        <f t="shared" si="3"/>
        <v>IE child</v>
      </c>
    </row>
    <row r="36" spans="1:55" ht="15" customHeight="1" outlineLevel="3" x14ac:dyDescent="0.2">
      <c r="A36" s="39">
        <v>4</v>
      </c>
      <c r="B36" s="23">
        <v>130030</v>
      </c>
      <c r="C36" s="23" t="s">
        <v>114</v>
      </c>
      <c r="D36" s="22">
        <f>input_values!Z36</f>
        <v>4</v>
      </c>
      <c r="E36" s="657">
        <v>0.01</v>
      </c>
      <c r="F36" s="31">
        <v>0</v>
      </c>
      <c r="G36" s="31">
        <v>1.5599999999999999E-2</v>
      </c>
      <c r="H36" s="31">
        <v>2.092740161198579E-2</v>
      </c>
      <c r="I36" s="31">
        <v>0</v>
      </c>
      <c r="J36" s="31">
        <v>0</v>
      </c>
      <c r="K36" s="31">
        <v>4.0855563566450379E-3</v>
      </c>
      <c r="L36" s="31">
        <v>3.0000000000000001E-3</v>
      </c>
      <c r="M36" s="31">
        <v>2E-3</v>
      </c>
      <c r="N36" s="31">
        <v>0</v>
      </c>
      <c r="O36" s="31">
        <v>0</v>
      </c>
      <c r="P36" s="31">
        <v>0</v>
      </c>
      <c r="Q36" s="31">
        <v>1.11E-2</v>
      </c>
      <c r="R36" s="584"/>
      <c r="S36" s="31">
        <v>0</v>
      </c>
      <c r="T36" s="31"/>
      <c r="U36" s="31">
        <v>0</v>
      </c>
      <c r="V36" s="31">
        <v>4.5105999097880012E-4</v>
      </c>
      <c r="W36" s="31">
        <v>0</v>
      </c>
      <c r="X36" s="31">
        <v>1E-3</v>
      </c>
      <c r="Y36" s="31">
        <v>0</v>
      </c>
      <c r="Z36" s="31">
        <v>2.5000000000000001E-2</v>
      </c>
      <c r="AA36" s="31">
        <v>3.3333333333333333E-2</v>
      </c>
      <c r="AB36" s="31">
        <v>1.6666666666666666E-2</v>
      </c>
      <c r="AC36" s="31">
        <v>0</v>
      </c>
      <c r="AD36" s="31">
        <v>0</v>
      </c>
      <c r="AE36" s="31">
        <v>2.1833333333333333E-2</v>
      </c>
      <c r="AF36" s="31">
        <v>3.1666666666666666E-3</v>
      </c>
      <c r="AG36" s="31">
        <v>3.0000000000000001E-3</v>
      </c>
      <c r="AH36" s="31">
        <v>1.6666666666666668E-3</v>
      </c>
      <c r="AI36" s="31">
        <v>4.6666666666666671E-3</v>
      </c>
      <c r="AJ36" s="31">
        <v>1.0833333333333334E-2</v>
      </c>
      <c r="AK36" s="663">
        <v>2.3383162555696696E-3</v>
      </c>
      <c r="AL36" s="663">
        <v>2.2407495098857194E-3</v>
      </c>
      <c r="AM36" s="31">
        <v>0</v>
      </c>
      <c r="AN36" s="584"/>
      <c r="AO36" s="584"/>
      <c r="AP36" s="663"/>
      <c r="AQ36" s="31"/>
      <c r="AR36" s="31"/>
      <c r="AS36" s="31"/>
      <c r="AT36" s="31"/>
      <c r="AU36" s="31"/>
      <c r="AV36" s="31"/>
      <c r="AW36" s="31"/>
      <c r="AX36" s="31"/>
      <c r="AY36" s="31"/>
      <c r="AZ36" s="31">
        <f t="shared" si="5"/>
        <v>3.3333333333333333E-2</v>
      </c>
      <c r="BA36" s="25" t="str">
        <f t="shared" si="1"/>
        <v>RO general</v>
      </c>
      <c r="BB36" s="25">
        <f t="shared" si="2"/>
        <v>0</v>
      </c>
      <c r="BC36" s="25" t="str">
        <f t="shared" si="3"/>
        <v/>
      </c>
    </row>
    <row r="37" spans="1:55" ht="15" customHeight="1" outlineLevel="3" x14ac:dyDescent="0.2">
      <c r="A37" s="39">
        <v>4</v>
      </c>
      <c r="B37" s="23">
        <v>130040</v>
      </c>
      <c r="C37" s="23" t="s">
        <v>115</v>
      </c>
      <c r="D37" s="22">
        <f>input_values!Z37</f>
        <v>4</v>
      </c>
      <c r="E37" s="657">
        <v>0</v>
      </c>
      <c r="F37" s="31">
        <v>0</v>
      </c>
      <c r="G37" s="31">
        <v>3.0599999999999999E-2</v>
      </c>
      <c r="H37" s="31">
        <v>0</v>
      </c>
      <c r="I37" s="31">
        <v>0</v>
      </c>
      <c r="J37" s="31">
        <v>0</v>
      </c>
      <c r="K37" s="31">
        <v>0</v>
      </c>
      <c r="L37" s="31">
        <v>0</v>
      </c>
      <c r="M37" s="31">
        <v>0</v>
      </c>
      <c r="N37" s="31">
        <v>0</v>
      </c>
      <c r="O37" s="31">
        <v>0</v>
      </c>
      <c r="P37" s="31">
        <v>0</v>
      </c>
      <c r="Q37" s="31">
        <v>5.4000000000000003E-3</v>
      </c>
      <c r="R37" s="584"/>
      <c r="S37" s="31">
        <v>0</v>
      </c>
      <c r="T37" s="31"/>
      <c r="U37" s="31">
        <v>0</v>
      </c>
      <c r="V37" s="31">
        <v>0</v>
      </c>
      <c r="W37" s="31">
        <v>0</v>
      </c>
      <c r="X37" s="31">
        <v>0</v>
      </c>
      <c r="Y37" s="31">
        <v>0</v>
      </c>
      <c r="Z37" s="31">
        <v>0</v>
      </c>
      <c r="AA37" s="31">
        <v>0</v>
      </c>
      <c r="AB37" s="31">
        <v>0</v>
      </c>
      <c r="AC37" s="31">
        <v>0</v>
      </c>
      <c r="AD37" s="31">
        <v>0</v>
      </c>
      <c r="AE37" s="31">
        <v>1.5333333333333334E-2</v>
      </c>
      <c r="AF37" s="31">
        <v>0</v>
      </c>
      <c r="AG37" s="31">
        <v>0</v>
      </c>
      <c r="AH37" s="31">
        <v>0</v>
      </c>
      <c r="AI37" s="31">
        <v>0</v>
      </c>
      <c r="AJ37" s="31">
        <v>8.1166666666666665E-2</v>
      </c>
      <c r="AK37" s="663">
        <v>0</v>
      </c>
      <c r="AL37" s="663">
        <v>0</v>
      </c>
      <c r="AM37" s="31">
        <v>0</v>
      </c>
      <c r="AN37" s="584"/>
      <c r="AO37" s="584"/>
      <c r="AP37" s="663"/>
      <c r="AQ37" s="31"/>
      <c r="AR37" s="31"/>
      <c r="AS37" s="31"/>
      <c r="AT37" s="31"/>
      <c r="AU37" s="31"/>
      <c r="AV37" s="31"/>
      <c r="AW37" s="31"/>
      <c r="AX37" s="31"/>
      <c r="AY37" s="31"/>
      <c r="AZ37" s="31">
        <f t="shared" si="5"/>
        <v>8.1166666666666665E-2</v>
      </c>
      <c r="BA37" s="25" t="str">
        <f t="shared" si="1"/>
        <v>GEMS/Food G15</v>
      </c>
      <c r="BB37" s="25">
        <f t="shared" si="2"/>
        <v>0</v>
      </c>
      <c r="BC37" s="25" t="str">
        <f t="shared" si="3"/>
        <v/>
      </c>
    </row>
    <row r="38" spans="1:55" ht="15" customHeight="1" outlineLevel="3" x14ac:dyDescent="0.2">
      <c r="A38" s="39">
        <v>4</v>
      </c>
      <c r="B38" s="23">
        <v>130050</v>
      </c>
      <c r="C38" s="23" t="s">
        <v>683</v>
      </c>
      <c r="D38" s="22">
        <f>input_values!Z38</f>
        <v>4</v>
      </c>
      <c r="E38" s="657">
        <v>0</v>
      </c>
      <c r="F38" s="31">
        <v>0</v>
      </c>
      <c r="G38" s="31">
        <v>0</v>
      </c>
      <c r="H38" s="31">
        <v>0</v>
      </c>
      <c r="I38" s="31">
        <v>0</v>
      </c>
      <c r="J38" s="31">
        <v>0</v>
      </c>
      <c r="K38" s="31">
        <v>0</v>
      </c>
      <c r="L38" s="31">
        <v>0</v>
      </c>
      <c r="M38" s="31">
        <v>0</v>
      </c>
      <c r="N38" s="31">
        <v>0</v>
      </c>
      <c r="O38" s="31">
        <v>0</v>
      </c>
      <c r="P38" s="31">
        <v>0</v>
      </c>
      <c r="Q38" s="31">
        <v>0</v>
      </c>
      <c r="R38" s="584"/>
      <c r="S38" s="31">
        <v>0</v>
      </c>
      <c r="T38" s="31"/>
      <c r="U38" s="31">
        <v>0</v>
      </c>
      <c r="V38" s="31">
        <v>0</v>
      </c>
      <c r="W38" s="31">
        <v>0</v>
      </c>
      <c r="X38" s="31">
        <v>0</v>
      </c>
      <c r="Y38" s="31">
        <v>0</v>
      </c>
      <c r="Z38" s="31">
        <v>0</v>
      </c>
      <c r="AA38" s="31">
        <v>0</v>
      </c>
      <c r="AB38" s="31">
        <v>0</v>
      </c>
      <c r="AC38" s="31">
        <v>0</v>
      </c>
      <c r="AD38" s="31">
        <v>0</v>
      </c>
      <c r="AE38" s="31">
        <v>1.9166666666666665E-2</v>
      </c>
      <c r="AF38" s="31">
        <v>1.6E-2</v>
      </c>
      <c r="AG38" s="31">
        <v>0</v>
      </c>
      <c r="AH38" s="31">
        <v>6.5333333333333327E-2</v>
      </c>
      <c r="AI38" s="31">
        <v>0</v>
      </c>
      <c r="AJ38" s="31">
        <v>0</v>
      </c>
      <c r="AK38" s="663">
        <v>0</v>
      </c>
      <c r="AL38" s="663">
        <v>0</v>
      </c>
      <c r="AM38" s="31">
        <v>0</v>
      </c>
      <c r="AN38" s="584"/>
      <c r="AO38" s="584"/>
      <c r="AP38" s="663"/>
      <c r="AQ38" s="31"/>
      <c r="AR38" s="31"/>
      <c r="AS38" s="31"/>
      <c r="AT38" s="31"/>
      <c r="AU38" s="31"/>
      <c r="AV38" s="31"/>
      <c r="AW38" s="31"/>
      <c r="AX38" s="31"/>
      <c r="AY38" s="31"/>
      <c r="AZ38" s="31">
        <f t="shared" si="5"/>
        <v>6.5333333333333327E-2</v>
      </c>
      <c r="BA38" s="25" t="str">
        <f t="shared" si="1"/>
        <v>GEMS/Food G10</v>
      </c>
      <c r="BB38" s="25">
        <f t="shared" si="2"/>
        <v>0</v>
      </c>
      <c r="BC38" s="25" t="str">
        <f t="shared" si="3"/>
        <v/>
      </c>
    </row>
    <row r="39" spans="1:55" ht="15" customHeight="1" outlineLevel="3" x14ac:dyDescent="0.2">
      <c r="A39" s="39">
        <v>4</v>
      </c>
      <c r="B39" s="23">
        <v>130990</v>
      </c>
      <c r="C39" s="23" t="s">
        <v>49</v>
      </c>
      <c r="D39" s="22">
        <f>input_values!Z39</f>
        <v>4</v>
      </c>
      <c r="E39" s="657">
        <v>0.02</v>
      </c>
      <c r="F39" s="31">
        <v>0</v>
      </c>
      <c r="G39" s="31">
        <v>0</v>
      </c>
      <c r="H39" s="31">
        <v>0</v>
      </c>
      <c r="I39" s="31">
        <v>0</v>
      </c>
      <c r="J39" s="31">
        <v>0</v>
      </c>
      <c r="K39" s="31">
        <v>0</v>
      </c>
      <c r="L39" s="31">
        <v>0</v>
      </c>
      <c r="M39" s="31">
        <v>0</v>
      </c>
      <c r="N39" s="31">
        <v>0</v>
      </c>
      <c r="O39" s="31">
        <v>0</v>
      </c>
      <c r="P39" s="31">
        <v>0</v>
      </c>
      <c r="Q39" s="31">
        <v>0</v>
      </c>
      <c r="R39" s="584"/>
      <c r="S39" s="31">
        <v>0</v>
      </c>
      <c r="T39" s="31"/>
      <c r="U39" s="31">
        <v>0</v>
      </c>
      <c r="V39" s="31">
        <v>0</v>
      </c>
      <c r="W39" s="31">
        <v>0</v>
      </c>
      <c r="X39" s="31">
        <v>0</v>
      </c>
      <c r="Y39" s="31">
        <v>0</v>
      </c>
      <c r="Z39" s="31">
        <v>0</v>
      </c>
      <c r="AA39" s="31">
        <v>0</v>
      </c>
      <c r="AB39" s="31">
        <v>0</v>
      </c>
      <c r="AC39" s="31">
        <v>0</v>
      </c>
      <c r="AD39" s="31">
        <v>0</v>
      </c>
      <c r="AE39" s="31"/>
      <c r="AF39" s="31"/>
      <c r="AG39" s="31"/>
      <c r="AH39" s="31"/>
      <c r="AI39" s="31"/>
      <c r="AJ39" s="31"/>
      <c r="AK39" s="663">
        <v>0</v>
      </c>
      <c r="AL39" s="663">
        <v>0</v>
      </c>
      <c r="AM39" s="31">
        <v>0</v>
      </c>
      <c r="AN39" s="584"/>
      <c r="AO39" s="584"/>
      <c r="AP39" s="663"/>
      <c r="AQ39" s="31"/>
      <c r="AR39" s="31"/>
      <c r="AS39" s="31"/>
      <c r="AT39" s="31"/>
      <c r="AU39" s="31"/>
      <c r="AV39" s="31"/>
      <c r="AW39" s="31"/>
      <c r="AX39" s="31"/>
      <c r="AY39" s="31"/>
      <c r="AZ39" s="31">
        <f t="shared" si="5"/>
        <v>0.02</v>
      </c>
      <c r="BA39" s="25" t="str">
        <f t="shared" si="1"/>
        <v>DE child</v>
      </c>
      <c r="BB39" s="25">
        <f t="shared" si="2"/>
        <v>0</v>
      </c>
      <c r="BC39" s="25" t="str">
        <f t="shared" si="3"/>
        <v/>
      </c>
    </row>
    <row r="40" spans="1:55" ht="15" customHeight="1" outlineLevel="1" x14ac:dyDescent="0.2">
      <c r="A40" s="130">
        <v>2</v>
      </c>
      <c r="B40" s="131">
        <v>140000</v>
      </c>
      <c r="C40" s="131" t="s">
        <v>214</v>
      </c>
      <c r="D40" s="79">
        <f>input_values!Z40</f>
        <v>4</v>
      </c>
      <c r="E40" s="581">
        <f>SUM(E41:E45)</f>
        <v>1.1300000000000001</v>
      </c>
      <c r="F40" s="92">
        <f t="shared" ref="F40:AO40" si="8">SUM(F41:F45)</f>
        <v>0.19090909090909089</v>
      </c>
      <c r="G40" s="92">
        <f t="shared" si="8"/>
        <v>0.35609999999999997</v>
      </c>
      <c r="H40" s="92">
        <f t="shared" si="8"/>
        <v>4.292363922338098E-2</v>
      </c>
      <c r="I40" s="92">
        <f t="shared" si="8"/>
        <v>6.642682604621046E-2</v>
      </c>
      <c r="J40" s="92">
        <f t="shared" si="8"/>
        <v>0.32806352987468629</v>
      </c>
      <c r="K40" s="92">
        <f t="shared" si="8"/>
        <v>0.63061763999038689</v>
      </c>
      <c r="L40" s="92">
        <f t="shared" si="8"/>
        <v>0.62100000000000011</v>
      </c>
      <c r="M40" s="92">
        <f t="shared" si="8"/>
        <v>0.50600000000000001</v>
      </c>
      <c r="N40" s="92">
        <f t="shared" si="8"/>
        <v>0.25287356321839083</v>
      </c>
      <c r="O40" s="92">
        <f t="shared" si="8"/>
        <v>0.13698630136986301</v>
      </c>
      <c r="P40" s="92">
        <f t="shared" si="8"/>
        <v>0.11515400000000001</v>
      </c>
      <c r="Q40" s="92">
        <f t="shared" si="8"/>
        <v>0.33839999999999998</v>
      </c>
      <c r="R40" s="92">
        <f t="shared" si="8"/>
        <v>5.1652591099999999E-2</v>
      </c>
      <c r="S40" s="92">
        <f t="shared" si="8"/>
        <v>0.21249228956424765</v>
      </c>
      <c r="T40" s="92"/>
      <c r="U40" s="92">
        <f t="shared" si="8"/>
        <v>0.68085106382978722</v>
      </c>
      <c r="V40" s="92">
        <f t="shared" si="8"/>
        <v>0.66801984663960301</v>
      </c>
      <c r="W40" s="92">
        <f t="shared" si="8"/>
        <v>5.3714285714285714E-2</v>
      </c>
      <c r="X40" s="92">
        <f t="shared" si="8"/>
        <v>0.16700000000000001</v>
      </c>
      <c r="Y40" s="92">
        <f t="shared" si="8"/>
        <v>0.32324840764331209</v>
      </c>
      <c r="Z40" s="92">
        <f t="shared" si="8"/>
        <v>0.42666666666666664</v>
      </c>
      <c r="AA40" s="92">
        <f t="shared" si="8"/>
        <v>0.48333333333333339</v>
      </c>
      <c r="AB40" s="92">
        <f t="shared" si="8"/>
        <v>0.22833333333333333</v>
      </c>
      <c r="AC40" s="92">
        <f t="shared" si="8"/>
        <v>7.3684210526315796E-2</v>
      </c>
      <c r="AD40" s="92">
        <f t="shared" si="8"/>
        <v>9.2953523238380797E-2</v>
      </c>
      <c r="AE40" s="92">
        <f t="shared" si="8"/>
        <v>0.55733333333333335</v>
      </c>
      <c r="AF40" s="92">
        <f t="shared" si="8"/>
        <v>0.33299999999999996</v>
      </c>
      <c r="AG40" s="92">
        <f t="shared" si="8"/>
        <v>0.41449999999999998</v>
      </c>
      <c r="AH40" s="92">
        <f t="shared" si="8"/>
        <v>0.32566666666666666</v>
      </c>
      <c r="AI40" s="92">
        <f t="shared" si="8"/>
        <v>0.17966666666666667</v>
      </c>
      <c r="AJ40" s="92">
        <f t="shared" si="8"/>
        <v>0.5561666666666667</v>
      </c>
      <c r="AK40" s="92">
        <f t="shared" si="8"/>
        <v>0.38873555070238985</v>
      </c>
      <c r="AL40" s="92">
        <f t="shared" si="8"/>
        <v>0.42707533986381235</v>
      </c>
      <c r="AM40" s="92">
        <f t="shared" si="8"/>
        <v>2.2512311E-2</v>
      </c>
      <c r="AN40" s="92">
        <f t="shared" si="8"/>
        <v>0.22408578530000001</v>
      </c>
      <c r="AO40" s="92">
        <f t="shared" si="8"/>
        <v>0.149214346</v>
      </c>
      <c r="AP40" s="92"/>
      <c r="AQ40" s="92"/>
      <c r="AR40" s="92"/>
      <c r="AS40" s="92"/>
      <c r="AT40" s="92"/>
      <c r="AU40" s="92"/>
      <c r="AV40" s="92"/>
      <c r="AW40" s="92"/>
      <c r="AX40" s="92" t="s">
        <v>369</v>
      </c>
      <c r="AY40" s="92"/>
      <c r="AZ40" s="92">
        <f t="shared" si="5"/>
        <v>1.1300000000000001</v>
      </c>
      <c r="BA40" s="42" t="str">
        <f t="shared" si="1"/>
        <v>DE child</v>
      </c>
      <c r="BB40" s="42">
        <f t="shared" si="2"/>
        <v>2.2512311E-2</v>
      </c>
      <c r="BC40" s="42" t="str">
        <f t="shared" si="3"/>
        <v>IE child</v>
      </c>
    </row>
    <row r="41" spans="1:55" ht="15" customHeight="1" outlineLevel="3" x14ac:dyDescent="0.2">
      <c r="A41" s="39">
        <v>4</v>
      </c>
      <c r="B41" s="23">
        <v>140010</v>
      </c>
      <c r="C41" s="23" t="s">
        <v>116</v>
      </c>
      <c r="D41" s="22">
        <f>input_values!Z41</f>
        <v>4</v>
      </c>
      <c r="E41" s="657">
        <v>0.38</v>
      </c>
      <c r="F41" s="31">
        <v>4.5454545454545461E-3</v>
      </c>
      <c r="G41" s="31">
        <v>2.98E-2</v>
      </c>
      <c r="H41" s="31">
        <v>1.6968651125539757E-2</v>
      </c>
      <c r="I41" s="31">
        <v>4.5488303383032648E-2</v>
      </c>
      <c r="J41" s="31">
        <v>7.693843542607233E-2</v>
      </c>
      <c r="K41" s="31">
        <v>0.10334054313866858</v>
      </c>
      <c r="L41" s="31">
        <v>0.25</v>
      </c>
      <c r="M41" s="31">
        <v>0.18099999999999999</v>
      </c>
      <c r="N41" s="31">
        <v>0.12643678160919541</v>
      </c>
      <c r="O41" s="31">
        <v>1.3698630136986302E-2</v>
      </c>
      <c r="P41" s="31">
        <v>4.065E-3</v>
      </c>
      <c r="Q41" s="31">
        <v>3.4299999999999997E-2</v>
      </c>
      <c r="R41" s="584">
        <v>4.2204583000000004E-3</v>
      </c>
      <c r="S41" s="31">
        <v>3.4285823789012612E-2</v>
      </c>
      <c r="T41" s="31"/>
      <c r="U41" s="31">
        <v>8.9095744680851061E-2</v>
      </c>
      <c r="V41" s="31">
        <v>0.10855510449556456</v>
      </c>
      <c r="W41" s="31">
        <v>0</v>
      </c>
      <c r="X41" s="31">
        <v>4.1000000000000002E-2</v>
      </c>
      <c r="Y41" s="31">
        <v>0</v>
      </c>
      <c r="Z41" s="31">
        <v>1.8333333333333333E-2</v>
      </c>
      <c r="AA41" s="31">
        <v>6.6666666666666666E-2</v>
      </c>
      <c r="AB41" s="31">
        <v>3.3333333333333333E-2</v>
      </c>
      <c r="AC41" s="31">
        <v>1.0526315789473684E-2</v>
      </c>
      <c r="AD41" s="31">
        <v>1.7991004497751123E-2</v>
      </c>
      <c r="AE41" s="31">
        <v>0.11333333333333333</v>
      </c>
      <c r="AF41" s="31">
        <v>7.1166666666666656E-2</v>
      </c>
      <c r="AG41" s="31">
        <v>5.5166666666666669E-2</v>
      </c>
      <c r="AH41" s="31">
        <v>4.7666666666666663E-2</v>
      </c>
      <c r="AI41" s="31">
        <v>2.8500000000000001E-2</v>
      </c>
      <c r="AJ41" s="31">
        <v>5.4833333333333331E-2</v>
      </c>
      <c r="AK41" s="663">
        <v>9.5894264499546189E-2</v>
      </c>
      <c r="AL41" s="663">
        <v>0.10639348301863197</v>
      </c>
      <c r="AM41" s="31">
        <v>5.0678099999999998E-4</v>
      </c>
      <c r="AN41" s="584">
        <v>4.3393644299999999E-2</v>
      </c>
      <c r="AO41" s="584">
        <v>8.9313128000000006E-3</v>
      </c>
      <c r="AP41" s="663"/>
      <c r="AQ41" s="31"/>
      <c r="AR41" s="31"/>
      <c r="AS41" s="31"/>
      <c r="AT41" s="31"/>
      <c r="AU41" s="31"/>
      <c r="AV41" s="31"/>
      <c r="AW41" s="31"/>
      <c r="AX41" s="31"/>
      <c r="AY41" s="31"/>
      <c r="AZ41" s="31">
        <f t="shared" si="5"/>
        <v>0.38</v>
      </c>
      <c r="BA41" s="25" t="str">
        <f t="shared" si="1"/>
        <v>DE child</v>
      </c>
      <c r="BB41" s="25">
        <f t="shared" si="2"/>
        <v>0</v>
      </c>
      <c r="BC41" s="25" t="str">
        <f t="shared" si="3"/>
        <v/>
      </c>
    </row>
    <row r="42" spans="1:55" ht="15" customHeight="1" outlineLevel="3" x14ac:dyDescent="0.2">
      <c r="A42" s="39">
        <v>4</v>
      </c>
      <c r="B42" s="23">
        <v>140020</v>
      </c>
      <c r="C42" s="23" t="s">
        <v>684</v>
      </c>
      <c r="D42" s="22">
        <f>input_values!Z42</f>
        <v>4</v>
      </c>
      <c r="E42" s="657">
        <v>0.38</v>
      </c>
      <c r="F42" s="31">
        <v>1.8181818181818184E-2</v>
      </c>
      <c r="G42" s="31">
        <v>9.1999999999999998E-2</v>
      </c>
      <c r="H42" s="31">
        <v>0</v>
      </c>
      <c r="I42" s="31">
        <v>1.1736032995875514E-3</v>
      </c>
      <c r="J42" s="31">
        <v>5.0379811827928993E-2</v>
      </c>
      <c r="K42" s="31">
        <v>8.9401586157173765E-2</v>
      </c>
      <c r="L42" s="31">
        <v>5.1999999999999998E-2</v>
      </c>
      <c r="M42" s="31">
        <v>7.0000000000000007E-2</v>
      </c>
      <c r="N42" s="31">
        <v>6.8965517241379309E-2</v>
      </c>
      <c r="O42" s="31">
        <v>6.8493150684931512E-3</v>
      </c>
      <c r="P42" s="31">
        <v>4.8899999999999996E-4</v>
      </c>
      <c r="Q42" s="31">
        <v>6.54E-2</v>
      </c>
      <c r="R42" s="584">
        <v>1.097898E-4</v>
      </c>
      <c r="S42" s="31">
        <v>2.6375355314663201E-2</v>
      </c>
      <c r="T42" s="31"/>
      <c r="U42" s="31">
        <v>3.3244680851063829E-2</v>
      </c>
      <c r="V42" s="31">
        <v>6.1494512103443082E-2</v>
      </c>
      <c r="W42" s="31">
        <v>2.642857142857143E-2</v>
      </c>
      <c r="X42" s="31">
        <v>3.1E-2</v>
      </c>
      <c r="Y42" s="31">
        <v>8.9171974522292988E-2</v>
      </c>
      <c r="Z42" s="31">
        <v>3.6666666666666667E-2</v>
      </c>
      <c r="AA42" s="31">
        <v>0.13333333333333333</v>
      </c>
      <c r="AB42" s="31">
        <v>1.6666666666666666E-2</v>
      </c>
      <c r="AC42" s="31">
        <v>6.5789473684210523E-3</v>
      </c>
      <c r="AD42" s="31">
        <v>8.9955022488755615E-3</v>
      </c>
      <c r="AE42" s="31">
        <v>0.11066666666666666</v>
      </c>
      <c r="AF42" s="31">
        <v>2.3333333333333331E-2</v>
      </c>
      <c r="AG42" s="31">
        <v>7.0166666666666669E-2</v>
      </c>
      <c r="AH42" s="31">
        <v>4.8833333333333333E-2</v>
      </c>
      <c r="AI42" s="31">
        <v>2.5000000000000001E-2</v>
      </c>
      <c r="AJ42" s="31">
        <v>9.9333333333333329E-2</v>
      </c>
      <c r="AK42" s="663">
        <v>0.10151607925767016</v>
      </c>
      <c r="AL42" s="663">
        <v>0.12443654990353029</v>
      </c>
      <c r="AM42" s="31">
        <v>6.3056900000000001E-3</v>
      </c>
      <c r="AN42" s="584">
        <v>2.6402639999999998E-3</v>
      </c>
      <c r="AO42" s="584">
        <v>9.5871422000000008E-3</v>
      </c>
      <c r="AP42" s="663"/>
      <c r="AQ42" s="31"/>
      <c r="AR42" s="31"/>
      <c r="AS42" s="31"/>
      <c r="AT42" s="31"/>
      <c r="AU42" s="31"/>
      <c r="AV42" s="31"/>
      <c r="AW42" s="31"/>
      <c r="AX42" s="31"/>
      <c r="AY42" s="31"/>
      <c r="AZ42" s="31">
        <f t="shared" si="5"/>
        <v>0.38</v>
      </c>
      <c r="BA42" s="25" t="str">
        <f t="shared" si="1"/>
        <v>DE child</v>
      </c>
      <c r="BB42" s="25">
        <f t="shared" si="2"/>
        <v>0</v>
      </c>
      <c r="BC42" s="25" t="str">
        <f t="shared" si="3"/>
        <v/>
      </c>
    </row>
    <row r="43" spans="1:55" ht="15" customHeight="1" outlineLevel="3" x14ac:dyDescent="0.2">
      <c r="A43" s="39">
        <v>4</v>
      </c>
      <c r="B43" s="23">
        <v>140030</v>
      </c>
      <c r="C43" s="23" t="s">
        <v>117</v>
      </c>
      <c r="D43" s="22">
        <f>input_values!Z43</f>
        <v>4</v>
      </c>
      <c r="E43" s="657">
        <v>0.28000000000000003</v>
      </c>
      <c r="F43" s="31">
        <v>0.10909090909090909</v>
      </c>
      <c r="G43" s="31">
        <v>0.19590000000000002</v>
      </c>
      <c r="H43" s="31">
        <v>1.579417703050668E-2</v>
      </c>
      <c r="I43" s="31">
        <v>1.6363564812629409E-2</v>
      </c>
      <c r="J43" s="31">
        <v>0.14505902172910859</v>
      </c>
      <c r="K43" s="31">
        <v>0.3484739245373708</v>
      </c>
      <c r="L43" s="31">
        <v>0.27200000000000002</v>
      </c>
      <c r="M43" s="31">
        <v>0.20300000000000001</v>
      </c>
      <c r="N43" s="31">
        <v>4.597701149425288E-2</v>
      </c>
      <c r="O43" s="31">
        <v>6.8493150684931503E-2</v>
      </c>
      <c r="P43" s="31">
        <v>6.9000000000000006E-2</v>
      </c>
      <c r="Q43" s="31">
        <v>0.21099999999999999</v>
      </c>
      <c r="R43" s="584">
        <v>2.6160039100000001E-2</v>
      </c>
      <c r="S43" s="31">
        <v>0.12786560021265408</v>
      </c>
      <c r="T43" s="31"/>
      <c r="U43" s="31">
        <v>0.31781914893617019</v>
      </c>
      <c r="V43" s="31">
        <v>0.3758833258156668</v>
      </c>
      <c r="W43" s="31">
        <v>0</v>
      </c>
      <c r="X43" s="31">
        <v>5.7000000000000002E-2</v>
      </c>
      <c r="Y43" s="31">
        <v>6.0509554140127389E-2</v>
      </c>
      <c r="Z43" s="31">
        <v>0.35666666666666663</v>
      </c>
      <c r="AA43" s="31">
        <v>0.1</v>
      </c>
      <c r="AB43" s="31">
        <v>0.14499999999999999</v>
      </c>
      <c r="AC43" s="31">
        <v>2.7631578947368424E-2</v>
      </c>
      <c r="AD43" s="31">
        <v>2.9985007496251874E-2</v>
      </c>
      <c r="AE43" s="31">
        <v>0.26100000000000001</v>
      </c>
      <c r="AF43" s="31">
        <v>0.14599999999999999</v>
      </c>
      <c r="AG43" s="31">
        <v>0.21633333333333335</v>
      </c>
      <c r="AH43" s="31">
        <v>0.16816666666666666</v>
      </c>
      <c r="AI43" s="31">
        <v>6.0666666666666667E-2</v>
      </c>
      <c r="AJ43" s="31">
        <v>0.1245</v>
      </c>
      <c r="AK43" s="663">
        <v>0.12704145314718604</v>
      </c>
      <c r="AL43" s="663">
        <v>0.14628832759924912</v>
      </c>
      <c r="AM43" s="31">
        <v>8.1232800000000001E-3</v>
      </c>
      <c r="AN43" s="584">
        <v>0.1140670958</v>
      </c>
      <c r="AO43" s="584">
        <v>9.7401879499999997E-2</v>
      </c>
      <c r="AP43" s="663"/>
      <c r="AQ43" s="31"/>
      <c r="AR43" s="31"/>
      <c r="AS43" s="31"/>
      <c r="AT43" s="31"/>
      <c r="AU43" s="31"/>
      <c r="AV43" s="31"/>
      <c r="AW43" s="31"/>
      <c r="AX43" s="31"/>
      <c r="AY43" s="31"/>
      <c r="AZ43" s="31">
        <f t="shared" si="5"/>
        <v>0.3758833258156668</v>
      </c>
      <c r="BA43" s="25" t="str">
        <f t="shared" si="1"/>
        <v>IT adult</v>
      </c>
      <c r="BB43" s="25">
        <f t="shared" si="2"/>
        <v>0</v>
      </c>
      <c r="BC43" s="25" t="str">
        <f t="shared" si="3"/>
        <v/>
      </c>
    </row>
    <row r="44" spans="1:55" ht="15" customHeight="1" outlineLevel="3" x14ac:dyDescent="0.2">
      <c r="A44" s="39">
        <v>4</v>
      </c>
      <c r="B44" s="23">
        <v>140040</v>
      </c>
      <c r="C44" s="23" t="s">
        <v>118</v>
      </c>
      <c r="D44" s="22">
        <f>input_values!Z44</f>
        <v>4</v>
      </c>
      <c r="E44" s="657">
        <v>0.09</v>
      </c>
      <c r="F44" s="31">
        <v>5.909090909090909E-2</v>
      </c>
      <c r="G44" s="31">
        <v>3.8399999999999997E-2</v>
      </c>
      <c r="H44" s="31">
        <v>1.0160811067334548E-2</v>
      </c>
      <c r="I44" s="31">
        <v>3.4013545509608504E-3</v>
      </c>
      <c r="J44" s="31">
        <v>5.5686260891576432E-2</v>
      </c>
      <c r="K44" s="31">
        <v>6.0802691660658492E-2</v>
      </c>
      <c r="L44" s="31">
        <v>4.7E-2</v>
      </c>
      <c r="M44" s="31">
        <v>5.1999999999999998E-2</v>
      </c>
      <c r="N44" s="31">
        <v>1.149425287356322E-2</v>
      </c>
      <c r="O44" s="31">
        <v>4.7945205479452052E-2</v>
      </c>
      <c r="P44" s="31">
        <v>4.1599999999999998E-2</v>
      </c>
      <c r="Q44" s="31">
        <v>2.7699999999999999E-2</v>
      </c>
      <c r="R44" s="584">
        <v>2.1162303899999999E-2</v>
      </c>
      <c r="S44" s="31">
        <v>2.3965510247917758E-2</v>
      </c>
      <c r="T44" s="31"/>
      <c r="U44" s="31">
        <v>0.24069148936170215</v>
      </c>
      <c r="V44" s="31">
        <v>8.2393625018794173E-2</v>
      </c>
      <c r="W44" s="31">
        <v>2.7285714285714285E-2</v>
      </c>
      <c r="X44" s="31">
        <v>3.7999999999999999E-2</v>
      </c>
      <c r="Y44" s="31">
        <v>0.17356687898089174</v>
      </c>
      <c r="Z44" s="31">
        <v>1.5000000000000001E-2</v>
      </c>
      <c r="AA44" s="31">
        <v>0.18333333333333332</v>
      </c>
      <c r="AB44" s="31">
        <v>3.3333333333333333E-2</v>
      </c>
      <c r="AC44" s="31">
        <v>2.8947368421052635E-2</v>
      </c>
      <c r="AD44" s="31">
        <v>3.5982008995502246E-2</v>
      </c>
      <c r="AE44" s="31">
        <v>7.2333333333333333E-2</v>
      </c>
      <c r="AF44" s="31">
        <v>9.2499999999999999E-2</v>
      </c>
      <c r="AG44" s="31">
        <v>7.2833333333333333E-2</v>
      </c>
      <c r="AH44" s="31">
        <v>6.1000000000000006E-2</v>
      </c>
      <c r="AI44" s="31">
        <v>6.5500000000000003E-2</v>
      </c>
      <c r="AJ44" s="31">
        <v>0.27749999999999997</v>
      </c>
      <c r="AK44" s="663">
        <v>6.4283753797987453E-2</v>
      </c>
      <c r="AL44" s="663">
        <v>4.9956979342401009E-2</v>
      </c>
      <c r="AM44" s="31">
        <v>7.5765600000000004E-3</v>
      </c>
      <c r="AN44" s="584">
        <v>6.3984781199999993E-2</v>
      </c>
      <c r="AO44" s="584">
        <v>3.3294011499999998E-2</v>
      </c>
      <c r="AP44" s="663"/>
      <c r="AQ44" s="31"/>
      <c r="AR44" s="31"/>
      <c r="AS44" s="31"/>
      <c r="AT44" s="31"/>
      <c r="AU44" s="31"/>
      <c r="AV44" s="31"/>
      <c r="AW44" s="31"/>
      <c r="AX44" s="31"/>
      <c r="AY44" s="31"/>
      <c r="AZ44" s="31">
        <f t="shared" si="5"/>
        <v>0.27749999999999997</v>
      </c>
      <c r="BA44" s="25" t="str">
        <f t="shared" si="1"/>
        <v>GEMS/Food G15</v>
      </c>
      <c r="BB44" s="25">
        <f t="shared" si="2"/>
        <v>3.4013545509608504E-3</v>
      </c>
      <c r="BC44" s="25" t="str">
        <f t="shared" si="3"/>
        <v>FR toddler 2 3 yr</v>
      </c>
    </row>
    <row r="45" spans="1:55" ht="15" customHeight="1" outlineLevel="3" x14ac:dyDescent="0.2">
      <c r="A45" s="39">
        <v>4</v>
      </c>
      <c r="B45" s="23">
        <v>140990</v>
      </c>
      <c r="C45" s="23" t="s">
        <v>50</v>
      </c>
      <c r="D45" s="22">
        <f>input_values!Z45</f>
        <v>4</v>
      </c>
      <c r="E45" s="657">
        <v>0</v>
      </c>
      <c r="F45" s="31">
        <v>0</v>
      </c>
      <c r="G45" s="31">
        <v>0</v>
      </c>
      <c r="H45" s="31">
        <v>0</v>
      </c>
      <c r="I45" s="31">
        <v>0</v>
      </c>
      <c r="J45" s="31">
        <v>0</v>
      </c>
      <c r="K45" s="31">
        <v>2.8598894496515259E-2</v>
      </c>
      <c r="L45" s="31">
        <v>0</v>
      </c>
      <c r="M45" s="31">
        <v>0</v>
      </c>
      <c r="N45" s="31">
        <v>0</v>
      </c>
      <c r="O45" s="31">
        <v>0</v>
      </c>
      <c r="P45" s="31">
        <v>0</v>
      </c>
      <c r="Q45" s="31">
        <v>0</v>
      </c>
      <c r="R45" s="584"/>
      <c r="S45" s="31">
        <v>0</v>
      </c>
      <c r="T45" s="31"/>
      <c r="U45" s="31">
        <v>0</v>
      </c>
      <c r="V45" s="31">
        <v>3.9693279206134413E-2</v>
      </c>
      <c r="W45" s="31">
        <v>0</v>
      </c>
      <c r="X45" s="31">
        <v>0</v>
      </c>
      <c r="Y45" s="31">
        <v>0</v>
      </c>
      <c r="Z45" s="31">
        <v>0</v>
      </c>
      <c r="AA45" s="31">
        <v>0</v>
      </c>
      <c r="AB45" s="31">
        <v>0</v>
      </c>
      <c r="AC45" s="31">
        <v>0</v>
      </c>
      <c r="AD45" s="31">
        <v>0</v>
      </c>
      <c r="AE45" s="31"/>
      <c r="AF45" s="31"/>
      <c r="AG45" s="31"/>
      <c r="AH45" s="31"/>
      <c r="AI45" s="31"/>
      <c r="AJ45" s="31"/>
      <c r="AK45" s="663">
        <v>0</v>
      </c>
      <c r="AL45" s="663">
        <v>0</v>
      </c>
      <c r="AM45" s="31">
        <v>0</v>
      </c>
      <c r="AN45" s="584"/>
      <c r="AO45" s="584"/>
      <c r="AP45" s="663"/>
      <c r="AQ45" s="31"/>
      <c r="AR45" s="31"/>
      <c r="AS45" s="31"/>
      <c r="AT45" s="31"/>
      <c r="AU45" s="31"/>
      <c r="AV45" s="31"/>
      <c r="AW45" s="31"/>
      <c r="AX45" s="31"/>
      <c r="AY45" s="31"/>
      <c r="AZ45" s="31">
        <f t="shared" si="5"/>
        <v>3.9693279206134413E-2</v>
      </c>
      <c r="BA45" s="25" t="str">
        <f t="shared" si="1"/>
        <v>IT adult</v>
      </c>
      <c r="BB45" s="25">
        <f t="shared" si="2"/>
        <v>0</v>
      </c>
      <c r="BC45" s="25" t="str">
        <f t="shared" si="3"/>
        <v/>
      </c>
    </row>
    <row r="46" spans="1:55" ht="15" customHeight="1" outlineLevel="1" x14ac:dyDescent="0.2">
      <c r="A46" s="130">
        <v>2</v>
      </c>
      <c r="B46" s="131">
        <v>150000</v>
      </c>
      <c r="C46" s="131" t="s">
        <v>216</v>
      </c>
      <c r="D46" s="79">
        <f>input_values!Z46</f>
        <v>4</v>
      </c>
      <c r="E46" s="581">
        <f>SUM(E47,E50,E51,E56)</f>
        <v>2.1400100000000002</v>
      </c>
      <c r="F46" s="92">
        <f t="shared" ref="F46:AO46" si="9">SUM(F47,F50,F51,F56)</f>
        <v>0.33259090909090905</v>
      </c>
      <c r="G46" s="92">
        <f t="shared" si="9"/>
        <v>0.11289999999999999</v>
      </c>
      <c r="H46" s="92">
        <f t="shared" si="9"/>
        <v>0.22000650135820571</v>
      </c>
      <c r="I46" s="92">
        <f t="shared" si="9"/>
        <v>0.42885909856421794</v>
      </c>
      <c r="J46" s="92">
        <f t="shared" si="9"/>
        <v>0.9729781260256839</v>
      </c>
      <c r="K46" s="92">
        <f t="shared" si="9"/>
        <v>0.22710886806056235</v>
      </c>
      <c r="L46" s="92">
        <f t="shared" si="9"/>
        <v>2.7549999999999999</v>
      </c>
      <c r="M46" s="92">
        <f t="shared" si="9"/>
        <v>1.944</v>
      </c>
      <c r="N46" s="92">
        <f t="shared" si="9"/>
        <v>0.36356321839080463</v>
      </c>
      <c r="O46" s="92">
        <f t="shared" si="9"/>
        <v>0.73897260273972598</v>
      </c>
      <c r="P46" s="92">
        <f>SUM(P47,P50,P51,P56)</f>
        <v>1.2079872170439414</v>
      </c>
      <c r="Q46" s="92">
        <f t="shared" si="9"/>
        <v>0.52010000000000001</v>
      </c>
      <c r="R46" s="92">
        <f t="shared" si="9"/>
        <v>0.60732711129999994</v>
      </c>
      <c r="S46" s="92">
        <f t="shared" si="9"/>
        <v>2.5761018803079709</v>
      </c>
      <c r="T46" s="92"/>
      <c r="U46" s="92">
        <f t="shared" si="9"/>
        <v>1.9414893617021278</v>
      </c>
      <c r="V46" s="92">
        <f t="shared" si="9"/>
        <v>0.1883927228988122</v>
      </c>
      <c r="W46" s="92">
        <f t="shared" si="9"/>
        <v>8.085714285714285E-2</v>
      </c>
      <c r="X46" s="92">
        <f t="shared" si="9"/>
        <v>1.0269999999999999</v>
      </c>
      <c r="Y46" s="92">
        <f t="shared" si="9"/>
        <v>0.39331210191082805</v>
      </c>
      <c r="Z46" s="92">
        <f t="shared" si="9"/>
        <v>2.8066666666666671</v>
      </c>
      <c r="AA46" s="92">
        <f t="shared" si="9"/>
        <v>1.9133333333333333</v>
      </c>
      <c r="AB46" s="92">
        <f t="shared" si="9"/>
        <v>0.26833333333333337</v>
      </c>
      <c r="AC46" s="92">
        <f t="shared" si="9"/>
        <v>1.2081578947368421</v>
      </c>
      <c r="AD46" s="92">
        <f t="shared" si="9"/>
        <v>1.0011994002998499</v>
      </c>
      <c r="AE46" s="92">
        <f t="shared" si="9"/>
        <v>1.2313333333333334</v>
      </c>
      <c r="AF46" s="92">
        <f t="shared" si="9"/>
        <v>2.0641666666666669</v>
      </c>
      <c r="AG46" s="92">
        <f t="shared" si="9"/>
        <v>1.5866666666666669</v>
      </c>
      <c r="AH46" s="92">
        <f t="shared" si="9"/>
        <v>0.91383333333333339</v>
      </c>
      <c r="AI46" s="92">
        <f t="shared" si="9"/>
        <v>1.5711666666666668</v>
      </c>
      <c r="AJ46" s="92">
        <f t="shared" si="9"/>
        <v>1.5371666666666668</v>
      </c>
      <c r="AK46" s="92">
        <f>SUM(AK47,AK50,AK51,AK56)</f>
        <v>1.3038886753710985</v>
      </c>
      <c r="AL46" s="92">
        <f>SUM(AL47,AL50,AL51,AL56)</f>
        <v>1.3792049728447027</v>
      </c>
      <c r="AM46" s="92">
        <f t="shared" si="9"/>
        <v>0.11689768</v>
      </c>
      <c r="AN46" s="92">
        <f t="shared" si="9"/>
        <v>0.90173086729999996</v>
      </c>
      <c r="AO46" s="92">
        <f t="shared" si="9"/>
        <v>0.64598863660000005</v>
      </c>
      <c r="AP46" s="92"/>
      <c r="AQ46" s="92"/>
      <c r="AR46" s="92"/>
      <c r="AS46" s="92"/>
      <c r="AT46" s="92"/>
      <c r="AU46" s="92"/>
      <c r="AV46" s="92"/>
      <c r="AW46" s="92"/>
      <c r="AX46" s="92" t="s">
        <v>369</v>
      </c>
      <c r="AY46" s="92"/>
      <c r="AZ46" s="92">
        <f t="shared" si="5"/>
        <v>2.8066666666666671</v>
      </c>
      <c r="BA46" s="42" t="str">
        <f t="shared" si="1"/>
        <v>PT general</v>
      </c>
      <c r="BB46" s="42">
        <f t="shared" si="2"/>
        <v>8.085714285714285E-2</v>
      </c>
      <c r="BC46" s="42" t="str">
        <f t="shared" si="3"/>
        <v>LT adult</v>
      </c>
    </row>
    <row r="47" spans="1:55" ht="15" customHeight="1" outlineLevel="2" x14ac:dyDescent="0.2">
      <c r="A47" s="132">
        <v>3</v>
      </c>
      <c r="B47" s="3">
        <v>151000</v>
      </c>
      <c r="C47" s="3" t="s">
        <v>217</v>
      </c>
      <c r="D47" s="80">
        <f>input_values!Z47</f>
        <v>4</v>
      </c>
      <c r="E47" s="654">
        <f>SUM(E48:E49)</f>
        <v>1.3800000000000001</v>
      </c>
      <c r="F47" s="48">
        <f t="shared" ref="F47:AO47" si="10">SUM(F48:F49)</f>
        <v>0.18181818181818182</v>
      </c>
      <c r="G47" s="48">
        <f t="shared" si="10"/>
        <v>4.2399999999999993E-2</v>
      </c>
      <c r="H47" s="48">
        <f t="shared" si="10"/>
        <v>3.8830908693321245E-2</v>
      </c>
      <c r="I47" s="48">
        <f t="shared" si="10"/>
        <v>0.23744002163618502</v>
      </c>
      <c r="J47" s="48">
        <f t="shared" si="10"/>
        <v>0.71226103892754211</v>
      </c>
      <c r="K47" s="48">
        <f t="shared" si="10"/>
        <v>0.10550348473924537</v>
      </c>
      <c r="L47" s="48">
        <f t="shared" si="10"/>
        <v>1.548</v>
      </c>
      <c r="M47" s="48">
        <f t="shared" si="10"/>
        <v>1.0349999999999999</v>
      </c>
      <c r="N47" s="48">
        <f t="shared" si="10"/>
        <v>4.1724137931034487E-2</v>
      </c>
      <c r="O47" s="48">
        <f t="shared" si="10"/>
        <v>0.28006849315068494</v>
      </c>
      <c r="P47" s="48">
        <f>SUM(P48:P49)</f>
        <v>1.1268</v>
      </c>
      <c r="Q47" s="48">
        <f t="shared" si="10"/>
        <v>0.46030000000000004</v>
      </c>
      <c r="R47" s="48">
        <f t="shared" si="10"/>
        <v>0.38687284249999998</v>
      </c>
      <c r="S47" s="48">
        <f t="shared" si="10"/>
        <v>2.4340852204734724</v>
      </c>
      <c r="T47" s="48"/>
      <c r="U47" s="48">
        <f t="shared" si="10"/>
        <v>1.5093085106382977</v>
      </c>
      <c r="V47" s="48">
        <f t="shared" si="10"/>
        <v>0.13065704405352577</v>
      </c>
      <c r="W47" s="48">
        <f t="shared" si="10"/>
        <v>1.3285714285714286E-2</v>
      </c>
      <c r="X47" s="48">
        <f t="shared" si="10"/>
        <v>0.83699999999999997</v>
      </c>
      <c r="Y47" s="48">
        <f t="shared" si="10"/>
        <v>0.32006369426751596</v>
      </c>
      <c r="Z47" s="48">
        <f t="shared" si="10"/>
        <v>2.7666666666666671</v>
      </c>
      <c r="AA47" s="48">
        <f t="shared" si="10"/>
        <v>1.8633333333333333</v>
      </c>
      <c r="AB47" s="48">
        <f t="shared" si="10"/>
        <v>0</v>
      </c>
      <c r="AC47" s="48">
        <f t="shared" si="10"/>
        <v>1.1331578947368421</v>
      </c>
      <c r="AD47" s="48">
        <f t="shared" si="10"/>
        <v>0.89025487256371805</v>
      </c>
      <c r="AE47" s="48">
        <f t="shared" si="10"/>
        <v>1.1186666666666667</v>
      </c>
      <c r="AF47" s="48">
        <f t="shared" si="10"/>
        <v>1.8141666666666669</v>
      </c>
      <c r="AG47" s="48">
        <f t="shared" si="10"/>
        <v>1.3728333333333333</v>
      </c>
      <c r="AH47" s="48">
        <f t="shared" si="10"/>
        <v>0.71583333333333332</v>
      </c>
      <c r="AI47" s="48">
        <f t="shared" si="10"/>
        <v>1.4376666666666669</v>
      </c>
      <c r="AJ47" s="48">
        <f t="shared" si="10"/>
        <v>1.3426666666666667</v>
      </c>
      <c r="AK47" s="48">
        <f>SUM(AK48:AK49)</f>
        <v>1.0865443180908771</v>
      </c>
      <c r="AL47" s="48">
        <f>SUM(AL48:AL49)</f>
        <v>1.1376818740620522</v>
      </c>
      <c r="AM47" s="48">
        <f t="shared" si="10"/>
        <v>5.7198400000000003E-2</v>
      </c>
      <c r="AN47" s="48">
        <f t="shared" si="10"/>
        <v>0.2288375607</v>
      </c>
      <c r="AO47" s="48">
        <f t="shared" si="10"/>
        <v>0.17547856270000001</v>
      </c>
      <c r="AP47" s="48"/>
      <c r="AQ47" s="48"/>
      <c r="AR47" s="48"/>
      <c r="AS47" s="48"/>
      <c r="AT47" s="48"/>
      <c r="AU47" s="48"/>
      <c r="AV47" s="48"/>
      <c r="AW47" s="48"/>
      <c r="AX47" s="48" t="s">
        <v>369</v>
      </c>
      <c r="AY47" s="48"/>
      <c r="AZ47" s="48">
        <f t="shared" si="5"/>
        <v>2.7666666666666671</v>
      </c>
      <c r="BA47" s="4" t="str">
        <f t="shared" si="1"/>
        <v>PT general</v>
      </c>
      <c r="BB47" s="4">
        <f t="shared" si="2"/>
        <v>0</v>
      </c>
      <c r="BC47" s="4" t="str">
        <f t="shared" si="3"/>
        <v/>
      </c>
    </row>
    <row r="48" spans="1:55" ht="15" customHeight="1" outlineLevel="3" x14ac:dyDescent="0.2">
      <c r="A48" s="39">
        <v>4</v>
      </c>
      <c r="B48" s="23">
        <v>151010</v>
      </c>
      <c r="C48" s="23" t="s">
        <v>119</v>
      </c>
      <c r="D48" s="22">
        <f>input_values!Z48</f>
        <v>4</v>
      </c>
      <c r="E48" s="657">
        <v>1.37</v>
      </c>
      <c r="F48" s="31">
        <v>0.18181818181818182</v>
      </c>
      <c r="G48" s="31">
        <v>3.5499999999999997E-2</v>
      </c>
      <c r="H48" s="31">
        <v>2.7498212616179949E-4</v>
      </c>
      <c r="I48" s="31">
        <v>5.5352039586039226E-3</v>
      </c>
      <c r="J48" s="31">
        <v>0.35176835886081803</v>
      </c>
      <c r="K48" s="31">
        <v>0.10550348473924537</v>
      </c>
      <c r="L48" s="31">
        <v>1.548</v>
      </c>
      <c r="M48" s="31">
        <v>1.0329999999999999</v>
      </c>
      <c r="N48" s="31">
        <v>2.298850574712644E-2</v>
      </c>
      <c r="O48" s="31">
        <v>0.24657534246575344</v>
      </c>
      <c r="P48" s="31">
        <v>0.17299999999999999</v>
      </c>
      <c r="Q48" s="31">
        <v>4.3699999999999996E-2</v>
      </c>
      <c r="R48" s="584">
        <v>7.9147292300000005E-2</v>
      </c>
      <c r="S48" s="31">
        <v>0.11344567842307764</v>
      </c>
      <c r="T48" s="31"/>
      <c r="U48" s="31">
        <v>0.25930851063829785</v>
      </c>
      <c r="V48" s="31">
        <v>0.13065704405352577</v>
      </c>
      <c r="W48" s="31">
        <v>1.3285714285714286E-2</v>
      </c>
      <c r="X48" s="31">
        <v>0.25</v>
      </c>
      <c r="Y48" s="31">
        <v>0.32006369426751596</v>
      </c>
      <c r="Z48" s="31">
        <v>0.27833333333333332</v>
      </c>
      <c r="AA48" s="31">
        <v>0.18333333333333332</v>
      </c>
      <c r="AB48" s="31">
        <v>0</v>
      </c>
      <c r="AC48" s="31">
        <v>4.9999999999999996E-2</v>
      </c>
      <c r="AD48" s="31">
        <v>7.6461769115442266E-2</v>
      </c>
      <c r="AE48" s="31">
        <v>1.0518333333333334</v>
      </c>
      <c r="AF48" s="31">
        <v>0.33200000000000002</v>
      </c>
      <c r="AG48" s="31">
        <v>0.33266666666666667</v>
      </c>
      <c r="AH48" s="31">
        <v>0.29799999999999999</v>
      </c>
      <c r="AI48" s="31">
        <v>0.41816666666666669</v>
      </c>
      <c r="AJ48" s="31">
        <v>0.33549999999999996</v>
      </c>
      <c r="AK48" s="663">
        <v>0.25579891524427656</v>
      </c>
      <c r="AL48" s="663">
        <v>0.30125506473157837</v>
      </c>
      <c r="AM48" s="31">
        <v>5.7198400000000003E-2</v>
      </c>
      <c r="AN48" s="584">
        <v>0.2280746501</v>
      </c>
      <c r="AO48" s="584">
        <v>0.17450875800000001</v>
      </c>
      <c r="AP48" s="663"/>
      <c r="AQ48" s="31"/>
      <c r="AR48" s="31"/>
      <c r="AS48" s="31"/>
      <c r="AT48" s="31"/>
      <c r="AU48" s="31"/>
      <c r="AV48" s="31"/>
      <c r="AW48" s="31"/>
      <c r="AX48" s="31"/>
      <c r="AY48" s="31"/>
      <c r="AZ48" s="31">
        <f t="shared" si="5"/>
        <v>1.548</v>
      </c>
      <c r="BA48" s="25" t="str">
        <f t="shared" si="1"/>
        <v>NL toddler</v>
      </c>
      <c r="BB48" s="25">
        <f t="shared" si="2"/>
        <v>0</v>
      </c>
      <c r="BC48" s="25" t="str">
        <f t="shared" si="3"/>
        <v/>
      </c>
    </row>
    <row r="49" spans="1:55" ht="15" customHeight="1" outlineLevel="3" x14ac:dyDescent="0.2">
      <c r="A49" s="39">
        <v>4</v>
      </c>
      <c r="B49" s="23">
        <v>151020</v>
      </c>
      <c r="C49" s="23" t="s">
        <v>120</v>
      </c>
      <c r="D49" s="22">
        <f>input_values!Z49</f>
        <v>4</v>
      </c>
      <c r="E49" s="657">
        <v>0.01</v>
      </c>
      <c r="F49" s="31">
        <v>0</v>
      </c>
      <c r="G49" s="31">
        <v>6.8999999999999999E-3</v>
      </c>
      <c r="H49" s="31">
        <v>3.8555926567159449E-2</v>
      </c>
      <c r="I49" s="31">
        <v>0.23190481767758109</v>
      </c>
      <c r="J49" s="31">
        <v>0.36049268006672414</v>
      </c>
      <c r="K49" s="31">
        <v>0</v>
      </c>
      <c r="L49" s="31">
        <v>0</v>
      </c>
      <c r="M49" s="31">
        <v>2E-3</v>
      </c>
      <c r="N49" s="31">
        <v>1.8735632183908047E-2</v>
      </c>
      <c r="O49" s="31">
        <v>3.3493150684931507E-2</v>
      </c>
      <c r="P49" s="31">
        <v>0.95379999999999998</v>
      </c>
      <c r="Q49" s="31">
        <v>0.41660000000000003</v>
      </c>
      <c r="R49" s="584">
        <v>0.30772555019999998</v>
      </c>
      <c r="S49" s="31">
        <v>2.3206395420503947</v>
      </c>
      <c r="T49" s="31"/>
      <c r="U49" s="31">
        <v>1.25</v>
      </c>
      <c r="V49" s="31">
        <v>0</v>
      </c>
      <c r="W49" s="31">
        <v>0</v>
      </c>
      <c r="X49" s="31">
        <v>0.58699999999999997</v>
      </c>
      <c r="Y49" s="31">
        <v>0</v>
      </c>
      <c r="Z49" s="31">
        <v>2.4883333333333337</v>
      </c>
      <c r="AA49" s="31">
        <v>1.68</v>
      </c>
      <c r="AB49" s="31">
        <v>0</v>
      </c>
      <c r="AC49" s="31">
        <v>1.0831578947368421</v>
      </c>
      <c r="AD49" s="31">
        <v>0.81379310344827582</v>
      </c>
      <c r="AE49" s="31">
        <v>6.6833333333333328E-2</v>
      </c>
      <c r="AF49" s="31">
        <v>1.4821666666666669</v>
      </c>
      <c r="AG49" s="31">
        <v>1.0401666666666667</v>
      </c>
      <c r="AH49" s="31">
        <v>0.41783333333333333</v>
      </c>
      <c r="AI49" s="31">
        <v>1.0195000000000001</v>
      </c>
      <c r="AJ49" s="31">
        <v>1.0071666666666668</v>
      </c>
      <c r="AK49" s="663">
        <v>0.83074540284660059</v>
      </c>
      <c r="AL49" s="663">
        <v>0.83642680933047386</v>
      </c>
      <c r="AM49" s="31">
        <v>0</v>
      </c>
      <c r="AN49" s="584">
        <v>7.6291059999999999E-4</v>
      </c>
      <c r="AO49" s="584">
        <v>9.6980470000000002E-4</v>
      </c>
      <c r="AP49" s="663"/>
      <c r="AQ49" s="31"/>
      <c r="AR49" s="31"/>
      <c r="AS49" s="31"/>
      <c r="AT49" s="31"/>
      <c r="AU49" s="31"/>
      <c r="AV49" s="31"/>
      <c r="AW49" s="31"/>
      <c r="AX49" s="31"/>
      <c r="AY49" s="31"/>
      <c r="AZ49" s="31">
        <f t="shared" si="5"/>
        <v>2.4883333333333337</v>
      </c>
      <c r="BA49" s="25" t="str">
        <f t="shared" si="1"/>
        <v>PT general</v>
      </c>
      <c r="BB49" s="25">
        <f t="shared" si="2"/>
        <v>0</v>
      </c>
      <c r="BC49" s="25" t="str">
        <f t="shared" si="3"/>
        <v/>
      </c>
    </row>
    <row r="50" spans="1:55" ht="15" customHeight="1" outlineLevel="2" x14ac:dyDescent="0.2">
      <c r="A50" s="132">
        <v>3</v>
      </c>
      <c r="B50" s="3">
        <v>152000</v>
      </c>
      <c r="C50" s="3" t="s">
        <v>218</v>
      </c>
      <c r="D50" s="80">
        <f>input_values!Z50</f>
        <v>3</v>
      </c>
      <c r="E50" s="660">
        <v>0.5</v>
      </c>
      <c r="F50" s="48">
        <v>0.14577272727272728</v>
      </c>
      <c r="G50" s="48">
        <v>7.0499999999999993E-2</v>
      </c>
      <c r="H50" s="48">
        <v>0.17242381246389371</v>
      </c>
      <c r="I50" s="48">
        <v>0.16975256891646098</v>
      </c>
      <c r="J50" s="48">
        <v>0.22904885915422529</v>
      </c>
      <c r="K50" s="48">
        <v>0.11920211487623168</v>
      </c>
      <c r="L50" s="48">
        <v>0.34</v>
      </c>
      <c r="M50" s="48">
        <v>0.32700000000000001</v>
      </c>
      <c r="N50" s="48">
        <v>0.21839080459770116</v>
      </c>
      <c r="O50" s="48">
        <v>0.19863013698630136</v>
      </c>
      <c r="P50" s="48">
        <v>7.0699999999999999E-2</v>
      </c>
      <c r="Q50" s="48">
        <v>5.9799999999999999E-2</v>
      </c>
      <c r="R50" s="585">
        <v>0.13872595530000001</v>
      </c>
      <c r="S50" s="48">
        <v>0.12194080220394679</v>
      </c>
      <c r="T50" s="48"/>
      <c r="U50" s="48">
        <v>0.17952127659574468</v>
      </c>
      <c r="V50" s="48">
        <v>5.2473312283867084E-2</v>
      </c>
      <c r="W50" s="48">
        <v>3.6857142857142859E-2</v>
      </c>
      <c r="X50" s="48">
        <v>8.5000000000000006E-2</v>
      </c>
      <c r="Y50" s="48">
        <v>1.9108280254777069E-2</v>
      </c>
      <c r="Z50" s="48">
        <v>0.04</v>
      </c>
      <c r="AA50" s="48">
        <v>0.05</v>
      </c>
      <c r="AB50" s="48">
        <v>0.16500000000000001</v>
      </c>
      <c r="AC50" s="48">
        <v>4.736842105263158E-2</v>
      </c>
      <c r="AD50" s="48">
        <v>7.4962518740629688E-2</v>
      </c>
      <c r="AE50" s="48">
        <v>4.2166666666666665E-2</v>
      </c>
      <c r="AF50" s="48">
        <v>7.4833333333333335E-2</v>
      </c>
      <c r="AG50" s="48">
        <v>9.4333333333333338E-2</v>
      </c>
      <c r="AH50" s="48">
        <v>0.1105</v>
      </c>
      <c r="AI50" s="48">
        <v>9.583333333333334E-2</v>
      </c>
      <c r="AJ50" s="48">
        <v>5.5833333333333332E-2</v>
      </c>
      <c r="AK50" s="661">
        <v>0.10898503402430736</v>
      </c>
      <c r="AL50" s="661">
        <v>0.11908145760345809</v>
      </c>
      <c r="AM50" s="48">
        <v>2.3446499999999999E-2</v>
      </c>
      <c r="AN50" s="585">
        <v>0.36445925689999997</v>
      </c>
      <c r="AO50" s="585">
        <v>0.28498229940000003</v>
      </c>
      <c r="AP50" s="661"/>
      <c r="AQ50" s="48"/>
      <c r="AR50" s="48"/>
      <c r="AS50" s="48"/>
      <c r="AT50" s="48"/>
      <c r="AU50" s="48"/>
      <c r="AV50" s="48"/>
      <c r="AW50" s="48"/>
      <c r="AX50" s="48"/>
      <c r="AY50" s="48"/>
      <c r="AZ50" s="48">
        <f t="shared" si="5"/>
        <v>0.5</v>
      </c>
      <c r="BA50" s="4" t="str">
        <f t="shared" si="1"/>
        <v>DE child</v>
      </c>
      <c r="BB50" s="4">
        <f t="shared" si="2"/>
        <v>1.9108280254777069E-2</v>
      </c>
      <c r="BC50" s="4" t="str">
        <f t="shared" si="3"/>
        <v>PL general</v>
      </c>
    </row>
    <row r="51" spans="1:55" ht="15" customHeight="1" outlineLevel="2" x14ac:dyDescent="0.2">
      <c r="A51" s="132">
        <v>3</v>
      </c>
      <c r="B51" s="3">
        <v>153000</v>
      </c>
      <c r="C51" s="3" t="s">
        <v>219</v>
      </c>
      <c r="D51" s="80">
        <f>input_values!Z51</f>
        <v>4</v>
      </c>
      <c r="E51" s="654">
        <f>SUM(E52:E55)</f>
        <v>6.9999999999999993E-2</v>
      </c>
      <c r="F51" s="48">
        <f t="shared" ref="F51:AO51" si="11">SUM(F52:F55)</f>
        <v>4.5454545454545455E-4</v>
      </c>
      <c r="G51" s="48">
        <f t="shared" si="11"/>
        <v>0</v>
      </c>
      <c r="H51" s="48">
        <f t="shared" si="11"/>
        <v>8.0785663393760972E-3</v>
      </c>
      <c r="I51" s="48">
        <f t="shared" si="11"/>
        <v>2.0298004116576056E-2</v>
      </c>
      <c r="J51" s="48">
        <f t="shared" si="11"/>
        <v>1.7857368205872127E-2</v>
      </c>
      <c r="K51" s="48">
        <f t="shared" si="11"/>
        <v>1.4419610670511895E-3</v>
      </c>
      <c r="L51" s="48">
        <f t="shared" si="11"/>
        <v>0.193</v>
      </c>
      <c r="M51" s="48">
        <f t="shared" si="11"/>
        <v>0.157</v>
      </c>
      <c r="N51" s="48">
        <f t="shared" si="11"/>
        <v>2.298850574712644E-2</v>
      </c>
      <c r="O51" s="48">
        <f t="shared" si="11"/>
        <v>0.13013698630136988</v>
      </c>
      <c r="P51" s="48">
        <f t="shared" si="11"/>
        <v>1.0299600532623169E-2</v>
      </c>
      <c r="Q51" s="48">
        <f t="shared" si="11"/>
        <v>0</v>
      </c>
      <c r="R51" s="48">
        <f t="shared" si="11"/>
        <v>4.1924290599999997E-2</v>
      </c>
      <c r="S51" s="48">
        <f t="shared" si="11"/>
        <v>6.0942007378409274E-3</v>
      </c>
      <c r="T51" s="48"/>
      <c r="U51" s="48">
        <f t="shared" si="11"/>
        <v>0.11702127659574468</v>
      </c>
      <c r="V51" s="48">
        <f t="shared" si="11"/>
        <v>4.5105999097880012E-4</v>
      </c>
      <c r="W51" s="48">
        <f t="shared" si="11"/>
        <v>9.857142857142856E-3</v>
      </c>
      <c r="X51" s="48">
        <f t="shared" si="11"/>
        <v>3.5999999999999997E-2</v>
      </c>
      <c r="Y51" s="48">
        <f t="shared" si="11"/>
        <v>7.9617834394904458E-3</v>
      </c>
      <c r="Z51" s="48">
        <f t="shared" si="11"/>
        <v>0</v>
      </c>
      <c r="AA51" s="48">
        <f t="shared" si="11"/>
        <v>0</v>
      </c>
      <c r="AB51" s="48">
        <f t="shared" si="11"/>
        <v>5.3333333333333337E-2</v>
      </c>
      <c r="AC51" s="48">
        <f t="shared" si="11"/>
        <v>9.2105263157894728E-3</v>
      </c>
      <c r="AD51" s="48">
        <f t="shared" si="11"/>
        <v>1.4992503748125937E-2</v>
      </c>
      <c r="AE51" s="48">
        <f t="shared" si="11"/>
        <v>2.3833333333333335E-2</v>
      </c>
      <c r="AF51" s="48">
        <f t="shared" si="11"/>
        <v>1.1166666666666667E-2</v>
      </c>
      <c r="AG51" s="48">
        <f t="shared" si="11"/>
        <v>2.3833333333333331E-2</v>
      </c>
      <c r="AH51" s="48">
        <f t="shared" si="11"/>
        <v>2.2166666666666668E-2</v>
      </c>
      <c r="AI51" s="48">
        <f t="shared" si="11"/>
        <v>1.9E-2</v>
      </c>
      <c r="AJ51" s="48">
        <f t="shared" si="11"/>
        <v>3.8166666666666668E-2</v>
      </c>
      <c r="AK51" s="48">
        <f t="shared" si="11"/>
        <v>2.5706466116586311E-2</v>
      </c>
      <c r="AL51" s="48">
        <f t="shared" si="11"/>
        <v>2.8056618654404501E-2</v>
      </c>
      <c r="AM51" s="48">
        <f t="shared" si="11"/>
        <v>3.6024799999999999E-3</v>
      </c>
      <c r="AN51" s="48">
        <f t="shared" si="11"/>
        <v>0.1854933383</v>
      </c>
      <c r="AO51" s="48">
        <f t="shared" si="11"/>
        <v>0.13263529839999999</v>
      </c>
      <c r="AP51" s="48"/>
      <c r="AQ51" s="48"/>
      <c r="AR51" s="48"/>
      <c r="AS51" s="48"/>
      <c r="AT51" s="48"/>
      <c r="AU51" s="48"/>
      <c r="AV51" s="48"/>
      <c r="AW51" s="48"/>
      <c r="AX51" s="48" t="s">
        <v>369</v>
      </c>
      <c r="AY51" s="48"/>
      <c r="AZ51" s="48">
        <f t="shared" si="5"/>
        <v>0.193</v>
      </c>
      <c r="BA51" s="4" t="str">
        <f t="shared" si="1"/>
        <v>NL toddler</v>
      </c>
      <c r="BB51" s="4">
        <f t="shared" si="2"/>
        <v>0</v>
      </c>
      <c r="BC51" s="4" t="str">
        <f t="shared" si="3"/>
        <v/>
      </c>
    </row>
    <row r="52" spans="1:55" ht="15" customHeight="1" outlineLevel="3" x14ac:dyDescent="0.2">
      <c r="A52" s="39">
        <v>4</v>
      </c>
      <c r="B52" s="23">
        <v>153010</v>
      </c>
      <c r="C52" s="23" t="s">
        <v>121</v>
      </c>
      <c r="D52" s="22">
        <f>input_values!Z52</f>
        <v>4</v>
      </c>
      <c r="E52" s="657">
        <v>0.01</v>
      </c>
      <c r="F52" s="31">
        <v>0</v>
      </c>
      <c r="G52" s="31">
        <v>0</v>
      </c>
      <c r="H52" s="31">
        <v>0</v>
      </c>
      <c r="I52" s="31">
        <v>0</v>
      </c>
      <c r="J52" s="31">
        <v>0</v>
      </c>
      <c r="K52" s="31">
        <v>0</v>
      </c>
      <c r="L52" s="31">
        <v>3.4000000000000002E-2</v>
      </c>
      <c r="M52" s="31">
        <v>2.9000000000000001E-2</v>
      </c>
      <c r="N52" s="31">
        <v>0</v>
      </c>
      <c r="O52" s="31">
        <v>6.8493150684931512E-3</v>
      </c>
      <c r="P52" s="31">
        <v>0</v>
      </c>
      <c r="Q52" s="31">
        <v>0</v>
      </c>
      <c r="R52" s="584"/>
      <c r="S52" s="31">
        <v>0</v>
      </c>
      <c r="T52" s="31"/>
      <c r="U52" s="31">
        <v>0.11702127659574468</v>
      </c>
      <c r="V52" s="31">
        <v>0</v>
      </c>
      <c r="W52" s="31">
        <v>0</v>
      </c>
      <c r="X52" s="31">
        <v>8.9999999999999993E-3</v>
      </c>
      <c r="Y52" s="31">
        <v>0</v>
      </c>
      <c r="Z52" s="31">
        <v>0</v>
      </c>
      <c r="AA52" s="31">
        <v>0</v>
      </c>
      <c r="AB52" s="31">
        <v>1.3333333333333334E-2</v>
      </c>
      <c r="AC52" s="31">
        <v>1.3157894736842105E-3</v>
      </c>
      <c r="AD52" s="31">
        <v>4.4977511244377807E-3</v>
      </c>
      <c r="AE52" s="31">
        <v>2.0500000000000001E-2</v>
      </c>
      <c r="AF52" s="31">
        <v>1.6666666666666668E-3</v>
      </c>
      <c r="AG52" s="31">
        <v>8.6666666666666663E-3</v>
      </c>
      <c r="AH52" s="31">
        <v>4.0000000000000001E-3</v>
      </c>
      <c r="AI52" s="31">
        <v>0</v>
      </c>
      <c r="AJ52" s="31">
        <v>4.1666666666666666E-3</v>
      </c>
      <c r="AK52" s="663">
        <v>3.4533458943828386E-3</v>
      </c>
      <c r="AL52" s="663">
        <v>2.7698494495914808E-3</v>
      </c>
      <c r="AM52" s="31">
        <v>0</v>
      </c>
      <c r="AN52" s="584"/>
      <c r="AO52" s="584"/>
      <c r="AP52" s="663"/>
      <c r="AQ52" s="31"/>
      <c r="AR52" s="31"/>
      <c r="AS52" s="31"/>
      <c r="AT52" s="31"/>
      <c r="AU52" s="31"/>
      <c r="AV52" s="31"/>
      <c r="AW52" s="31"/>
      <c r="AX52" s="31"/>
      <c r="AY52" s="31"/>
      <c r="AZ52" s="31">
        <f t="shared" si="5"/>
        <v>0.11702127659574468</v>
      </c>
      <c r="BA52" s="25" t="str">
        <f t="shared" si="1"/>
        <v>IE adult</v>
      </c>
      <c r="BB52" s="25">
        <f t="shared" si="2"/>
        <v>0</v>
      </c>
      <c r="BC52" s="25" t="str">
        <f t="shared" si="3"/>
        <v/>
      </c>
    </row>
    <row r="53" spans="1:55" ht="15" customHeight="1" outlineLevel="3" x14ac:dyDescent="0.2">
      <c r="A53" s="39">
        <v>4</v>
      </c>
      <c r="B53" s="23">
        <v>153020</v>
      </c>
      <c r="C53" s="23" t="s">
        <v>240</v>
      </c>
      <c r="D53" s="22">
        <f>input_values!Z53</f>
        <v>4</v>
      </c>
      <c r="E53" s="657">
        <v>0</v>
      </c>
      <c r="F53" s="31">
        <v>0</v>
      </c>
      <c r="G53" s="31">
        <v>0</v>
      </c>
      <c r="H53" s="31">
        <v>0</v>
      </c>
      <c r="I53" s="31">
        <v>1.6222261989978523E-3</v>
      </c>
      <c r="J53" s="31">
        <v>2.0527859237536657E-3</v>
      </c>
      <c r="K53" s="31">
        <v>0</v>
      </c>
      <c r="L53" s="31">
        <v>0</v>
      </c>
      <c r="M53" s="31">
        <v>0</v>
      </c>
      <c r="N53" s="31">
        <v>2.298850574712644E-2</v>
      </c>
      <c r="O53" s="31">
        <v>2.0547945205479451E-2</v>
      </c>
      <c r="P53" s="31">
        <v>0</v>
      </c>
      <c r="Q53" s="31">
        <v>0</v>
      </c>
      <c r="R53" s="584"/>
      <c r="S53" s="31">
        <v>4.2178461758194676E-4</v>
      </c>
      <c r="T53" s="31"/>
      <c r="U53" s="31">
        <v>0</v>
      </c>
      <c r="V53" s="31">
        <v>0</v>
      </c>
      <c r="W53" s="31">
        <v>0</v>
      </c>
      <c r="X53" s="31">
        <v>0</v>
      </c>
      <c r="Y53" s="31">
        <v>0</v>
      </c>
      <c r="Z53" s="31">
        <v>0</v>
      </c>
      <c r="AA53" s="31">
        <v>0</v>
      </c>
      <c r="AB53" s="31">
        <v>2.6666666666666668E-2</v>
      </c>
      <c r="AC53" s="31">
        <v>1.3157894736842105E-3</v>
      </c>
      <c r="AD53" s="31">
        <v>1.4992503748125937E-3</v>
      </c>
      <c r="AE53" s="31">
        <v>1.6666666666666668E-3</v>
      </c>
      <c r="AF53" s="31">
        <v>1.6666666666666668E-3</v>
      </c>
      <c r="AG53" s="31">
        <v>0</v>
      </c>
      <c r="AH53" s="31">
        <v>1.6666666666666668E-3</v>
      </c>
      <c r="AI53" s="31">
        <v>0</v>
      </c>
      <c r="AJ53" s="31">
        <v>0</v>
      </c>
      <c r="AK53" s="663">
        <v>0</v>
      </c>
      <c r="AL53" s="663">
        <v>0</v>
      </c>
      <c r="AM53" s="31">
        <v>0</v>
      </c>
      <c r="AN53" s="584"/>
      <c r="AO53" s="584"/>
      <c r="AP53" s="663"/>
      <c r="AQ53" s="31"/>
      <c r="AR53" s="31"/>
      <c r="AS53" s="31"/>
      <c r="AT53" s="31"/>
      <c r="AU53" s="31"/>
      <c r="AV53" s="31"/>
      <c r="AW53" s="31"/>
      <c r="AX53" s="31"/>
      <c r="AY53" s="31"/>
      <c r="AZ53" s="31">
        <f t="shared" si="5"/>
        <v>2.6666666666666668E-2</v>
      </c>
      <c r="BA53" s="25" t="str">
        <f t="shared" si="1"/>
        <v>SE general</v>
      </c>
      <c r="BB53" s="25">
        <f t="shared" si="2"/>
        <v>0</v>
      </c>
      <c r="BC53" s="25" t="str">
        <f t="shared" si="3"/>
        <v/>
      </c>
    </row>
    <row r="54" spans="1:55" ht="15" customHeight="1" outlineLevel="3" x14ac:dyDescent="0.2">
      <c r="A54" s="39">
        <v>4</v>
      </c>
      <c r="B54" s="23">
        <v>153030</v>
      </c>
      <c r="C54" s="23" t="s">
        <v>685</v>
      </c>
      <c r="D54" s="22">
        <f>input_values!Z54</f>
        <v>4</v>
      </c>
      <c r="E54" s="657">
        <v>0.06</v>
      </c>
      <c r="F54" s="31">
        <v>4.5454545454545455E-4</v>
      </c>
      <c r="G54" s="31">
        <v>0</v>
      </c>
      <c r="H54" s="31">
        <v>8.0785663393760972E-3</v>
      </c>
      <c r="I54" s="31">
        <v>1.8675777917578202E-2</v>
      </c>
      <c r="J54" s="31">
        <v>1.5804582282118462E-2</v>
      </c>
      <c r="K54" s="31">
        <v>1.4419610670511895E-3</v>
      </c>
      <c r="L54" s="31">
        <v>0.159</v>
      </c>
      <c r="M54" s="31">
        <v>0.128</v>
      </c>
      <c r="N54" s="31">
        <v>0</v>
      </c>
      <c r="O54" s="31">
        <v>0.10273972602739727</v>
      </c>
      <c r="P54" s="31">
        <v>1.0299600532623169E-2</v>
      </c>
      <c r="Q54" s="31">
        <v>0</v>
      </c>
      <c r="R54" s="584">
        <v>4.1924290599999997E-2</v>
      </c>
      <c r="S54" s="31">
        <v>5.6724161202589803E-3</v>
      </c>
      <c r="T54" s="31"/>
      <c r="U54" s="31">
        <v>0</v>
      </c>
      <c r="V54" s="31">
        <v>4.5105999097880012E-4</v>
      </c>
      <c r="W54" s="31">
        <v>9.857142857142856E-3</v>
      </c>
      <c r="X54" s="31">
        <v>2.7E-2</v>
      </c>
      <c r="Y54" s="31">
        <v>7.9617834394904458E-3</v>
      </c>
      <c r="Z54" s="31">
        <v>0</v>
      </c>
      <c r="AA54" s="31">
        <v>0</v>
      </c>
      <c r="AB54" s="31">
        <v>1.3333333333333334E-2</v>
      </c>
      <c r="AC54" s="31">
        <v>6.5789473684210523E-3</v>
      </c>
      <c r="AD54" s="31">
        <v>8.9955022488755615E-3</v>
      </c>
      <c r="AE54" s="31">
        <v>1.6666666666666668E-3</v>
      </c>
      <c r="AF54" s="31">
        <v>7.8333333333333328E-3</v>
      </c>
      <c r="AG54" s="31">
        <v>1.5166666666666667E-2</v>
      </c>
      <c r="AH54" s="31">
        <v>1.6500000000000001E-2</v>
      </c>
      <c r="AI54" s="31">
        <v>1.9E-2</v>
      </c>
      <c r="AJ54" s="31">
        <v>3.4000000000000002E-2</v>
      </c>
      <c r="AK54" s="663">
        <v>2.2253120222203472E-2</v>
      </c>
      <c r="AL54" s="663">
        <v>2.5286769204813021E-2</v>
      </c>
      <c r="AM54" s="31">
        <v>3.6024799999999999E-3</v>
      </c>
      <c r="AN54" s="584">
        <v>0.1854933383</v>
      </c>
      <c r="AO54" s="584">
        <v>0.13263529839999999</v>
      </c>
      <c r="AP54" s="663"/>
      <c r="AQ54" s="31"/>
      <c r="AR54" s="31"/>
      <c r="AS54" s="31"/>
      <c r="AT54" s="31"/>
      <c r="AU54" s="31"/>
      <c r="AV54" s="31"/>
      <c r="AW54" s="31"/>
      <c r="AX54" s="31"/>
      <c r="AY54" s="31"/>
      <c r="AZ54" s="31">
        <f t="shared" si="5"/>
        <v>0.1854933383</v>
      </c>
      <c r="BA54" s="25" t="str">
        <f t="shared" si="1"/>
        <v>FI 3 yr</v>
      </c>
      <c r="BB54" s="25">
        <f t="shared" si="2"/>
        <v>0</v>
      </c>
      <c r="BC54" s="25" t="str">
        <f t="shared" si="3"/>
        <v/>
      </c>
    </row>
    <row r="55" spans="1:55" ht="15" customHeight="1" outlineLevel="3" x14ac:dyDescent="0.2">
      <c r="A55" s="39">
        <v>4</v>
      </c>
      <c r="B55" s="23">
        <v>153990</v>
      </c>
      <c r="C55" s="23" t="s">
        <v>51</v>
      </c>
      <c r="D55" s="22">
        <f>input_values!Z55</f>
        <v>4</v>
      </c>
      <c r="E55" s="657">
        <v>0</v>
      </c>
      <c r="F55" s="31"/>
      <c r="G55" s="31">
        <v>0</v>
      </c>
      <c r="H55" s="31">
        <v>0</v>
      </c>
      <c r="I55" s="31">
        <v>0</v>
      </c>
      <c r="J55" s="31">
        <v>0</v>
      </c>
      <c r="K55" s="31">
        <v>0</v>
      </c>
      <c r="L55" s="31">
        <v>0</v>
      </c>
      <c r="M55" s="31">
        <v>0</v>
      </c>
      <c r="N55" s="31">
        <v>0</v>
      </c>
      <c r="O55" s="31">
        <v>0</v>
      </c>
      <c r="P55" s="31">
        <v>0</v>
      </c>
      <c r="Q55" s="31">
        <v>0</v>
      </c>
      <c r="R55" s="584"/>
      <c r="S55" s="31">
        <v>0</v>
      </c>
      <c r="T55" s="31"/>
      <c r="U55" s="31">
        <v>0</v>
      </c>
      <c r="V55" s="31">
        <v>0</v>
      </c>
      <c r="W55" s="31">
        <v>0</v>
      </c>
      <c r="X55" s="31">
        <v>0</v>
      </c>
      <c r="Y55" s="31">
        <v>0</v>
      </c>
      <c r="Z55" s="31">
        <v>0</v>
      </c>
      <c r="AA55" s="31">
        <v>0</v>
      </c>
      <c r="AB55" s="31">
        <v>0</v>
      </c>
      <c r="AC55" s="31">
        <v>0</v>
      </c>
      <c r="AD55" s="31">
        <v>0</v>
      </c>
      <c r="AE55" s="31"/>
      <c r="AF55" s="31"/>
      <c r="AG55" s="31"/>
      <c r="AH55" s="31"/>
      <c r="AI55" s="31"/>
      <c r="AJ55" s="31"/>
      <c r="AK55" s="663">
        <v>0</v>
      </c>
      <c r="AL55" s="663">
        <v>0</v>
      </c>
      <c r="AM55" s="31">
        <v>0</v>
      </c>
      <c r="AN55" s="584"/>
      <c r="AO55" s="584"/>
      <c r="AP55" s="663"/>
      <c r="AQ55" s="31"/>
      <c r="AR55" s="31"/>
      <c r="AS55" s="31"/>
      <c r="AT55" s="31"/>
      <c r="AU55" s="31"/>
      <c r="AV55" s="31"/>
      <c r="AW55" s="31"/>
      <c r="AX55" s="31"/>
      <c r="AY55" s="31"/>
      <c r="AZ55" s="31">
        <f t="shared" si="5"/>
        <v>0</v>
      </c>
      <c r="BA55" s="25" t="str">
        <f t="shared" si="1"/>
        <v>DE child</v>
      </c>
      <c r="BB55" s="25">
        <f t="shared" si="2"/>
        <v>0</v>
      </c>
      <c r="BC55" s="25" t="str">
        <f t="shared" si="3"/>
        <v/>
      </c>
    </row>
    <row r="56" spans="1:55" ht="15" customHeight="1" outlineLevel="2" x14ac:dyDescent="0.2">
      <c r="A56" s="132">
        <v>3</v>
      </c>
      <c r="B56" s="3">
        <v>154000</v>
      </c>
      <c r="C56" s="3" t="s">
        <v>220</v>
      </c>
      <c r="D56" s="80">
        <f>input_values!Z56</f>
        <v>4</v>
      </c>
      <c r="E56" s="654">
        <f>SUM(E57:E65)</f>
        <v>0.19001000000000001</v>
      </c>
      <c r="F56" s="48">
        <f t="shared" ref="F56:AO56" si="12">SUM(F57:F65)</f>
        <v>4.5454545454545461E-3</v>
      </c>
      <c r="G56" s="48">
        <f t="shared" si="12"/>
        <v>0</v>
      </c>
      <c r="H56" s="48">
        <f t="shared" si="12"/>
        <v>6.7321386161467477E-4</v>
      </c>
      <c r="I56" s="48">
        <f t="shared" si="12"/>
        <v>1.3685038949958496E-3</v>
      </c>
      <c r="J56" s="48">
        <f t="shared" si="12"/>
        <v>1.3810859738044398E-2</v>
      </c>
      <c r="K56" s="48">
        <f t="shared" si="12"/>
        <v>9.6130737803412647E-4</v>
      </c>
      <c r="L56" s="48">
        <f t="shared" si="12"/>
        <v>0.67399999999999993</v>
      </c>
      <c r="M56" s="48">
        <f t="shared" si="12"/>
        <v>0.42500000000000004</v>
      </c>
      <c r="N56" s="48">
        <f t="shared" si="12"/>
        <v>8.0459770114942528E-2</v>
      </c>
      <c r="O56" s="48">
        <f t="shared" si="12"/>
        <v>0.13013698630136986</v>
      </c>
      <c r="P56" s="48">
        <f t="shared" si="12"/>
        <v>1.8761651131824235E-4</v>
      </c>
      <c r="Q56" s="48">
        <f t="shared" si="12"/>
        <v>0</v>
      </c>
      <c r="R56" s="48">
        <f t="shared" si="12"/>
        <v>3.9804022899999993E-2</v>
      </c>
      <c r="S56" s="48">
        <f t="shared" si="12"/>
        <v>1.3981656892710548E-2</v>
      </c>
      <c r="T56" s="48"/>
      <c r="U56" s="48">
        <f t="shared" si="12"/>
        <v>0.13563829787234041</v>
      </c>
      <c r="V56" s="48">
        <f t="shared" si="12"/>
        <v>4.8113065704405347E-3</v>
      </c>
      <c r="W56" s="48">
        <f t="shared" si="12"/>
        <v>2.0857142857142855E-2</v>
      </c>
      <c r="X56" s="48">
        <f t="shared" si="12"/>
        <v>6.9000000000000006E-2</v>
      </c>
      <c r="Y56" s="48">
        <f t="shared" si="12"/>
        <v>4.617834394904459E-2</v>
      </c>
      <c r="Z56" s="48">
        <f t="shared" si="12"/>
        <v>0</v>
      </c>
      <c r="AA56" s="48">
        <f t="shared" si="12"/>
        <v>0</v>
      </c>
      <c r="AB56" s="48">
        <f t="shared" si="12"/>
        <v>0.05</v>
      </c>
      <c r="AC56" s="48">
        <f t="shared" si="12"/>
        <v>1.8421052631578949E-2</v>
      </c>
      <c r="AD56" s="48">
        <f t="shared" si="12"/>
        <v>2.0989505247376312E-2</v>
      </c>
      <c r="AE56" s="48">
        <f t="shared" si="12"/>
        <v>4.6666666666666669E-2</v>
      </c>
      <c r="AF56" s="48">
        <f t="shared" si="12"/>
        <v>0.16399999999999998</v>
      </c>
      <c r="AG56" s="48">
        <f t="shared" si="12"/>
        <v>9.5666666666666691E-2</v>
      </c>
      <c r="AH56" s="48">
        <f t="shared" si="12"/>
        <v>6.5333333333333327E-2</v>
      </c>
      <c r="AI56" s="48">
        <f t="shared" si="12"/>
        <v>1.8666666666666665E-2</v>
      </c>
      <c r="AJ56" s="48">
        <f t="shared" si="12"/>
        <v>0.10050000000000001</v>
      </c>
      <c r="AK56" s="48">
        <f t="shared" si="12"/>
        <v>8.2652857139327948E-2</v>
      </c>
      <c r="AL56" s="48">
        <f t="shared" si="12"/>
        <v>9.438502252478792E-2</v>
      </c>
      <c r="AM56" s="48">
        <f t="shared" si="12"/>
        <v>3.26503E-2</v>
      </c>
      <c r="AN56" s="48">
        <f t="shared" si="12"/>
        <v>0.1229407114</v>
      </c>
      <c r="AO56" s="48">
        <f t="shared" si="12"/>
        <v>5.2892476099999995E-2</v>
      </c>
      <c r="AP56" s="48"/>
      <c r="AQ56" s="48"/>
      <c r="AR56" s="48"/>
      <c r="AS56" s="48"/>
      <c r="AT56" s="48"/>
      <c r="AU56" s="48"/>
      <c r="AV56" s="48"/>
      <c r="AW56" s="48"/>
      <c r="AX56" s="48" t="s">
        <v>369</v>
      </c>
      <c r="AY56" s="48"/>
      <c r="AZ56" s="48">
        <f t="shared" si="5"/>
        <v>0.67399999999999993</v>
      </c>
      <c r="BA56" s="4" t="str">
        <f t="shared" si="1"/>
        <v>NL toddler</v>
      </c>
      <c r="BB56" s="4">
        <f t="shared" si="2"/>
        <v>0</v>
      </c>
      <c r="BC56" s="4" t="str">
        <f t="shared" si="3"/>
        <v/>
      </c>
    </row>
    <row r="57" spans="1:55" ht="15" customHeight="1" outlineLevel="3" x14ac:dyDescent="0.2">
      <c r="A57" s="39">
        <v>4</v>
      </c>
      <c r="B57" s="23">
        <v>154010</v>
      </c>
      <c r="C57" s="23" t="s">
        <v>241</v>
      </c>
      <c r="D57" s="22">
        <f>input_values!Z57</f>
        <v>4</v>
      </c>
      <c r="E57" s="657">
        <v>0.02</v>
      </c>
      <c r="F57" s="31">
        <v>0</v>
      </c>
      <c r="G57" s="31">
        <v>0</v>
      </c>
      <c r="H57" s="31">
        <v>0</v>
      </c>
      <c r="I57" s="31">
        <v>6.5455255593050874E-4</v>
      </c>
      <c r="J57" s="31">
        <v>1.802716913532381E-3</v>
      </c>
      <c r="K57" s="31">
        <v>9.6130737803412647E-4</v>
      </c>
      <c r="L57" s="31">
        <v>3.1E-2</v>
      </c>
      <c r="M57" s="31">
        <v>1.7000000000000001E-2</v>
      </c>
      <c r="N57" s="31">
        <v>0</v>
      </c>
      <c r="O57" s="31">
        <v>0</v>
      </c>
      <c r="P57" s="31">
        <v>5.6990679094540619E-5</v>
      </c>
      <c r="Q57" s="31">
        <v>0</v>
      </c>
      <c r="R57" s="584"/>
      <c r="S57" s="31">
        <v>1.6353497264005111E-4</v>
      </c>
      <c r="T57" s="31"/>
      <c r="U57" s="31">
        <v>0</v>
      </c>
      <c r="V57" s="31">
        <v>6.0141332130506683E-4</v>
      </c>
      <c r="W57" s="31">
        <v>0</v>
      </c>
      <c r="X57" s="31">
        <v>5.0000000000000001E-3</v>
      </c>
      <c r="Y57" s="31">
        <v>3.1847133757961785E-3</v>
      </c>
      <c r="Z57" s="31">
        <v>0</v>
      </c>
      <c r="AA57" s="31">
        <v>0</v>
      </c>
      <c r="AB57" s="31">
        <v>8.3333333333333332E-3</v>
      </c>
      <c r="AC57" s="31">
        <v>0</v>
      </c>
      <c r="AD57" s="31">
        <v>0</v>
      </c>
      <c r="AE57" s="31">
        <v>1.6666666666666668E-3</v>
      </c>
      <c r="AF57" s="31">
        <v>1.6666666666666668E-3</v>
      </c>
      <c r="AG57" s="31">
        <v>3.8333333333333336E-3</v>
      </c>
      <c r="AH57" s="31">
        <v>1.3833333333333333E-2</v>
      </c>
      <c r="AI57" s="31">
        <v>5.5000000000000005E-3</v>
      </c>
      <c r="AJ57" s="31">
        <v>3.3333333333333335E-3</v>
      </c>
      <c r="AK57" s="663">
        <v>1.2173634804744085E-2</v>
      </c>
      <c r="AL57" s="663">
        <v>1.2758661872041312E-2</v>
      </c>
      <c r="AM57" s="31">
        <v>0</v>
      </c>
      <c r="AN57" s="584"/>
      <c r="AO57" s="584"/>
      <c r="AP57" s="663"/>
      <c r="AQ57" s="31"/>
      <c r="AR57" s="31"/>
      <c r="AS57" s="31"/>
      <c r="AT57" s="31"/>
      <c r="AU57" s="31"/>
      <c r="AV57" s="31"/>
      <c r="AW57" s="31"/>
      <c r="AX57" s="31"/>
      <c r="AY57" s="31"/>
      <c r="AZ57" s="31">
        <f t="shared" si="5"/>
        <v>3.1E-2</v>
      </c>
      <c r="BA57" s="25" t="str">
        <f t="shared" si="1"/>
        <v>NL toddler</v>
      </c>
      <c r="BB57" s="25">
        <f t="shared" si="2"/>
        <v>0</v>
      </c>
      <c r="BC57" s="25" t="str">
        <f t="shared" si="3"/>
        <v/>
      </c>
    </row>
    <row r="58" spans="1:55" ht="15" customHeight="1" outlineLevel="3" x14ac:dyDescent="0.2">
      <c r="A58" s="39">
        <v>4</v>
      </c>
      <c r="B58" s="23">
        <v>154020</v>
      </c>
      <c r="C58" s="23" t="s">
        <v>242</v>
      </c>
      <c r="D58" s="22">
        <f>input_values!Z58</f>
        <v>4</v>
      </c>
      <c r="E58" s="657">
        <v>0</v>
      </c>
      <c r="F58" s="31">
        <v>0</v>
      </c>
      <c r="G58" s="31">
        <v>0</v>
      </c>
      <c r="H58" s="31">
        <v>0</v>
      </c>
      <c r="I58" s="31">
        <v>0</v>
      </c>
      <c r="J58" s="31">
        <v>0</v>
      </c>
      <c r="K58" s="31">
        <v>0</v>
      </c>
      <c r="L58" s="31">
        <v>0</v>
      </c>
      <c r="M58" s="31">
        <v>5.0000000000000001E-3</v>
      </c>
      <c r="N58" s="31">
        <v>0</v>
      </c>
      <c r="O58" s="31">
        <v>0</v>
      </c>
      <c r="P58" s="31">
        <v>0</v>
      </c>
      <c r="Q58" s="31">
        <v>0</v>
      </c>
      <c r="R58" s="584"/>
      <c r="S58" s="31">
        <v>0</v>
      </c>
      <c r="T58" s="31"/>
      <c r="U58" s="31">
        <v>0</v>
      </c>
      <c r="V58" s="31">
        <v>0</v>
      </c>
      <c r="W58" s="31">
        <v>0</v>
      </c>
      <c r="X58" s="31">
        <v>0</v>
      </c>
      <c r="Y58" s="31">
        <v>0</v>
      </c>
      <c r="Z58" s="31">
        <v>0</v>
      </c>
      <c r="AA58" s="31">
        <v>0</v>
      </c>
      <c r="AB58" s="31">
        <v>8.3333333333333332E-3</v>
      </c>
      <c r="AC58" s="31">
        <v>0</v>
      </c>
      <c r="AD58" s="31">
        <v>0</v>
      </c>
      <c r="AE58" s="31">
        <v>1.6666666666666668E-3</v>
      </c>
      <c r="AF58" s="31">
        <v>1.6666666666666668E-3</v>
      </c>
      <c r="AG58" s="31">
        <v>1.6666666666666668E-3</v>
      </c>
      <c r="AH58" s="31">
        <v>2.0333333333333332E-2</v>
      </c>
      <c r="AI58" s="31">
        <v>1.8333333333333333E-3</v>
      </c>
      <c r="AJ58" s="31">
        <v>1.6666666666666668E-3</v>
      </c>
      <c r="AK58" s="663">
        <v>0</v>
      </c>
      <c r="AL58" s="663">
        <v>0</v>
      </c>
      <c r="AM58" s="31">
        <v>0</v>
      </c>
      <c r="AN58" s="584"/>
      <c r="AO58" s="584"/>
      <c r="AP58" s="663"/>
      <c r="AQ58" s="31"/>
      <c r="AR58" s="31"/>
      <c r="AS58" s="31"/>
      <c r="AT58" s="31"/>
      <c r="AU58" s="31"/>
      <c r="AV58" s="31"/>
      <c r="AW58" s="31"/>
      <c r="AX58" s="31"/>
      <c r="AY58" s="31"/>
      <c r="AZ58" s="31">
        <f t="shared" si="5"/>
        <v>2.0333333333333332E-2</v>
      </c>
      <c r="BA58" s="25" t="str">
        <f t="shared" si="1"/>
        <v>GEMS/Food G10</v>
      </c>
      <c r="BB58" s="25">
        <f t="shared" si="2"/>
        <v>0</v>
      </c>
      <c r="BC58" s="25" t="str">
        <f t="shared" si="3"/>
        <v/>
      </c>
    </row>
    <row r="59" spans="1:55" ht="15" customHeight="1" outlineLevel="3" x14ac:dyDescent="0.2">
      <c r="A59" s="39">
        <v>4</v>
      </c>
      <c r="B59" s="23">
        <v>154030</v>
      </c>
      <c r="C59" s="23" t="s">
        <v>243</v>
      </c>
      <c r="D59" s="22">
        <f>input_values!Z59</f>
        <v>4</v>
      </c>
      <c r="E59" s="657">
        <v>0.09</v>
      </c>
      <c r="F59" s="31">
        <v>2.2727272727272731E-3</v>
      </c>
      <c r="G59" s="31">
        <v>0</v>
      </c>
      <c r="H59" s="31">
        <v>6.7321386161467477E-4</v>
      </c>
      <c r="I59" s="31">
        <v>6.963360913068812E-4</v>
      </c>
      <c r="J59" s="31">
        <v>1.9469642956692374E-3</v>
      </c>
      <c r="K59" s="31">
        <v>0</v>
      </c>
      <c r="L59" s="31">
        <v>0.33300000000000002</v>
      </c>
      <c r="M59" s="31">
        <v>0.25</v>
      </c>
      <c r="N59" s="31">
        <v>6.8965517241379309E-2</v>
      </c>
      <c r="O59" s="31">
        <v>0.13013698630136986</v>
      </c>
      <c r="P59" s="31">
        <v>5.4593874833555265E-5</v>
      </c>
      <c r="Q59" s="31">
        <v>0</v>
      </c>
      <c r="R59" s="584">
        <v>3.4657823999999997E-2</v>
      </c>
      <c r="S59" s="31">
        <v>7.2643153413892302E-4</v>
      </c>
      <c r="T59" s="31"/>
      <c r="U59" s="31">
        <v>0</v>
      </c>
      <c r="V59" s="31">
        <v>0</v>
      </c>
      <c r="W59" s="31">
        <v>2.0857142857142855E-2</v>
      </c>
      <c r="X59" s="31">
        <v>3.4000000000000002E-2</v>
      </c>
      <c r="Y59" s="31">
        <v>0</v>
      </c>
      <c r="Z59" s="31">
        <v>0</v>
      </c>
      <c r="AA59" s="31">
        <v>0</v>
      </c>
      <c r="AB59" s="31">
        <v>1.6666666666666666E-2</v>
      </c>
      <c r="AC59" s="31">
        <v>1.7105263157894738E-2</v>
      </c>
      <c r="AD59" s="31">
        <v>1.4992503748125937E-2</v>
      </c>
      <c r="AE59" s="31">
        <v>1.6666666666666668E-3</v>
      </c>
      <c r="AF59" s="31">
        <v>8.0000000000000002E-3</v>
      </c>
      <c r="AG59" s="31">
        <v>7.0500000000000007E-2</v>
      </c>
      <c r="AH59" s="31">
        <v>2.5166666666666667E-2</v>
      </c>
      <c r="AI59" s="31">
        <v>8.1666666666666658E-3</v>
      </c>
      <c r="AJ59" s="31">
        <v>1.2333333333333333E-2</v>
      </c>
      <c r="AK59" s="663">
        <v>4.0891683225716249E-2</v>
      </c>
      <c r="AL59" s="663">
        <v>4.6512692747766218E-2</v>
      </c>
      <c r="AM59" s="31">
        <v>3.25837E-2</v>
      </c>
      <c r="AN59" s="584">
        <v>6.6696819500000004E-2</v>
      </c>
      <c r="AO59" s="584">
        <v>4.1890535E-2</v>
      </c>
      <c r="AP59" s="663"/>
      <c r="AQ59" s="31"/>
      <c r="AR59" s="31"/>
      <c r="AS59" s="31"/>
      <c r="AT59" s="31"/>
      <c r="AU59" s="31"/>
      <c r="AV59" s="31"/>
      <c r="AW59" s="31"/>
      <c r="AX59" s="31"/>
      <c r="AY59" s="31"/>
      <c r="AZ59" s="31">
        <f t="shared" si="5"/>
        <v>0.33300000000000002</v>
      </c>
      <c r="BA59" s="25" t="str">
        <f t="shared" si="1"/>
        <v>NL toddler</v>
      </c>
      <c r="BB59" s="25">
        <f t="shared" si="2"/>
        <v>0</v>
      </c>
      <c r="BC59" s="25" t="str">
        <f t="shared" si="3"/>
        <v/>
      </c>
    </row>
    <row r="60" spans="1:55" ht="15" customHeight="1" outlineLevel="3" x14ac:dyDescent="0.2">
      <c r="A60" s="39">
        <v>4</v>
      </c>
      <c r="B60" s="23">
        <v>154040</v>
      </c>
      <c r="C60" s="23" t="s">
        <v>686</v>
      </c>
      <c r="D60" s="22">
        <f>input_values!Z60</f>
        <v>4</v>
      </c>
      <c r="E60" s="657">
        <v>0.01</v>
      </c>
      <c r="F60" s="31">
        <v>2.2727272727272731E-3</v>
      </c>
      <c r="G60" s="31">
        <v>0</v>
      </c>
      <c r="H60" s="31">
        <v>0</v>
      </c>
      <c r="I60" s="31">
        <v>0</v>
      </c>
      <c r="J60" s="31">
        <v>0</v>
      </c>
      <c r="K60" s="31">
        <v>0</v>
      </c>
      <c r="L60" s="31">
        <v>0</v>
      </c>
      <c r="M60" s="31">
        <v>1E-3</v>
      </c>
      <c r="N60" s="31">
        <v>1.149425287356322E-2</v>
      </c>
      <c r="O60" s="31">
        <v>0</v>
      </c>
      <c r="P60" s="31">
        <v>7.6031957390146468E-5</v>
      </c>
      <c r="Q60" s="31">
        <v>0</v>
      </c>
      <c r="R60" s="584">
        <v>4.5714832000000004E-3</v>
      </c>
      <c r="S60" s="31">
        <v>0</v>
      </c>
      <c r="T60" s="31"/>
      <c r="U60" s="31">
        <v>0</v>
      </c>
      <c r="V60" s="31">
        <v>1.0524733122838671E-3</v>
      </c>
      <c r="W60" s="31">
        <v>0</v>
      </c>
      <c r="X60" s="31">
        <v>1E-3</v>
      </c>
      <c r="Y60" s="31">
        <v>4.2993630573248412E-2</v>
      </c>
      <c r="Z60" s="31">
        <v>0</v>
      </c>
      <c r="AA60" s="31">
        <v>0</v>
      </c>
      <c r="AB60" s="31">
        <v>1.6666666666666666E-2</v>
      </c>
      <c r="AC60" s="31">
        <v>1.3157894736842105E-3</v>
      </c>
      <c r="AD60" s="31">
        <v>5.9970014992503746E-3</v>
      </c>
      <c r="AE60" s="31">
        <v>0</v>
      </c>
      <c r="AF60" s="31">
        <v>1.6666666666666668E-3</v>
      </c>
      <c r="AG60" s="31">
        <v>1.7333333333333333E-2</v>
      </c>
      <c r="AH60" s="31">
        <v>3.8333333333333336E-3</v>
      </c>
      <c r="AI60" s="31">
        <v>0</v>
      </c>
      <c r="AJ60" s="31">
        <v>2E-3</v>
      </c>
      <c r="AK60" s="663">
        <v>4.2904021939229216E-3</v>
      </c>
      <c r="AL60" s="663">
        <v>5.4258860841604377E-3</v>
      </c>
      <c r="AM60" s="31">
        <v>6.6600000000000006E-5</v>
      </c>
      <c r="AN60" s="584">
        <v>1.2654212499999999E-2</v>
      </c>
      <c r="AO60" s="584">
        <v>3.6512241999999999E-3</v>
      </c>
      <c r="AP60" s="663"/>
      <c r="AQ60" s="31"/>
      <c r="AR60" s="31"/>
      <c r="AS60" s="31"/>
      <c r="AT60" s="31"/>
      <c r="AU60" s="31"/>
      <c r="AV60" s="31"/>
      <c r="AW60" s="31"/>
      <c r="AX60" s="31"/>
      <c r="AY60" s="31"/>
      <c r="AZ60" s="31">
        <f t="shared" si="5"/>
        <v>4.2993630573248412E-2</v>
      </c>
      <c r="BA60" s="25" t="str">
        <f t="shared" si="1"/>
        <v>PL general</v>
      </c>
      <c r="BB60" s="25">
        <f t="shared" si="2"/>
        <v>0</v>
      </c>
      <c r="BC60" s="25" t="str">
        <f t="shared" si="3"/>
        <v/>
      </c>
    </row>
    <row r="61" spans="1:55" ht="15" customHeight="1" outlineLevel="3" x14ac:dyDescent="0.2">
      <c r="A61" s="39">
        <v>4</v>
      </c>
      <c r="B61" s="23">
        <v>154050</v>
      </c>
      <c r="C61" s="23" t="s">
        <v>65</v>
      </c>
      <c r="D61" s="22">
        <f>input_values!Z61</f>
        <v>4</v>
      </c>
      <c r="E61" s="657">
        <v>0.01</v>
      </c>
      <c r="F61" s="31">
        <v>0</v>
      </c>
      <c r="G61" s="31">
        <v>0</v>
      </c>
      <c r="H61" s="31">
        <v>0</v>
      </c>
      <c r="I61" s="31">
        <v>0</v>
      </c>
      <c r="J61" s="31">
        <v>0</v>
      </c>
      <c r="K61" s="31">
        <v>0</v>
      </c>
      <c r="L61" s="31">
        <v>0.20599999999999999</v>
      </c>
      <c r="M61" s="31">
        <v>6.8000000000000005E-2</v>
      </c>
      <c r="N61" s="31">
        <v>0</v>
      </c>
      <c r="O61" s="31">
        <v>0</v>
      </c>
      <c r="P61" s="31">
        <v>0</v>
      </c>
      <c r="Q61" s="31">
        <v>0</v>
      </c>
      <c r="R61" s="584">
        <v>5.7471569999999997E-4</v>
      </c>
      <c r="S61" s="31">
        <v>0</v>
      </c>
      <c r="T61" s="31"/>
      <c r="U61" s="31">
        <v>0</v>
      </c>
      <c r="V61" s="31">
        <v>0</v>
      </c>
      <c r="W61" s="31">
        <v>0</v>
      </c>
      <c r="X61" s="31">
        <v>1.2999999999999999E-2</v>
      </c>
      <c r="Y61" s="31">
        <v>0</v>
      </c>
      <c r="Z61" s="31">
        <v>0</v>
      </c>
      <c r="AA61" s="31">
        <v>0</v>
      </c>
      <c r="AB61" s="31">
        <v>0</v>
      </c>
      <c r="AC61" s="31">
        <v>0</v>
      </c>
      <c r="AD61" s="31">
        <v>0</v>
      </c>
      <c r="AE61" s="31">
        <v>1.6500000000000001E-2</v>
      </c>
      <c r="AF61" s="31">
        <v>1.2666666666666666E-2</v>
      </c>
      <c r="AG61" s="31">
        <v>0</v>
      </c>
      <c r="AH61" s="31">
        <v>0</v>
      </c>
      <c r="AI61" s="31">
        <v>0</v>
      </c>
      <c r="AJ61" s="31">
        <v>8.1166666666666665E-2</v>
      </c>
      <c r="AK61" s="663">
        <v>1.3526763504459376E-2</v>
      </c>
      <c r="AL61" s="663">
        <v>1.7297039692252089E-2</v>
      </c>
      <c r="AM61" s="31">
        <v>0</v>
      </c>
      <c r="AN61" s="584">
        <v>4.3589679399999998E-2</v>
      </c>
      <c r="AO61" s="584">
        <v>7.3507169000000001E-3</v>
      </c>
      <c r="AP61" s="663"/>
      <c r="AQ61" s="31"/>
      <c r="AR61" s="31"/>
      <c r="AS61" s="31"/>
      <c r="AT61" s="31"/>
      <c r="AU61" s="31"/>
      <c r="AV61" s="31"/>
      <c r="AW61" s="31"/>
      <c r="AX61" s="31"/>
      <c r="AY61" s="31"/>
      <c r="AZ61" s="31">
        <f t="shared" si="5"/>
        <v>0.20599999999999999</v>
      </c>
      <c r="BA61" s="25" t="str">
        <f t="shared" si="1"/>
        <v>NL toddler</v>
      </c>
      <c r="BB61" s="25">
        <f t="shared" si="2"/>
        <v>0</v>
      </c>
      <c r="BC61" s="25" t="str">
        <f t="shared" si="3"/>
        <v/>
      </c>
    </row>
    <row r="62" spans="1:55" ht="15" customHeight="1" outlineLevel="3" x14ac:dyDescent="0.2">
      <c r="A62" s="39">
        <v>4</v>
      </c>
      <c r="B62" s="23">
        <v>154060</v>
      </c>
      <c r="C62" s="23" t="s">
        <v>687</v>
      </c>
      <c r="D62" s="22">
        <f>input_values!Z62</f>
        <v>4</v>
      </c>
      <c r="E62" s="657">
        <v>0</v>
      </c>
      <c r="F62" s="31">
        <v>0</v>
      </c>
      <c r="G62" s="31">
        <v>0</v>
      </c>
      <c r="H62" s="31">
        <v>0</v>
      </c>
      <c r="I62" s="31">
        <v>0</v>
      </c>
      <c r="J62" s="31">
        <v>0</v>
      </c>
      <c r="K62" s="31">
        <v>0</v>
      </c>
      <c r="L62" s="31">
        <v>0</v>
      </c>
      <c r="M62" s="31">
        <v>0</v>
      </c>
      <c r="N62" s="31">
        <v>0</v>
      </c>
      <c r="O62" s="31">
        <v>0</v>
      </c>
      <c r="P62" s="31">
        <v>0</v>
      </c>
      <c r="Q62" s="31">
        <v>0</v>
      </c>
      <c r="R62" s="584"/>
      <c r="S62" s="31">
        <v>0</v>
      </c>
      <c r="T62" s="31"/>
      <c r="U62" s="31">
        <v>0</v>
      </c>
      <c r="V62" s="31">
        <v>0</v>
      </c>
      <c r="W62" s="31">
        <v>0</v>
      </c>
      <c r="X62" s="31">
        <v>0</v>
      </c>
      <c r="Y62" s="31">
        <v>0</v>
      </c>
      <c r="Z62" s="31">
        <v>0</v>
      </c>
      <c r="AA62" s="31">
        <v>0</v>
      </c>
      <c r="AB62" s="31">
        <v>0</v>
      </c>
      <c r="AC62" s="31">
        <v>0</v>
      </c>
      <c r="AD62" s="31">
        <v>0</v>
      </c>
      <c r="AE62" s="31">
        <v>1.0666666666666666E-2</v>
      </c>
      <c r="AF62" s="31">
        <v>1.6666666666666668E-3</v>
      </c>
      <c r="AG62" s="31">
        <v>0</v>
      </c>
      <c r="AH62" s="31">
        <v>2.1666666666666666E-3</v>
      </c>
      <c r="AI62" s="31">
        <v>3.1666666666666666E-3</v>
      </c>
      <c r="AJ62" s="31">
        <v>0</v>
      </c>
      <c r="AK62" s="663">
        <v>0</v>
      </c>
      <c r="AL62" s="663">
        <v>0</v>
      </c>
      <c r="AM62" s="31">
        <v>0</v>
      </c>
      <c r="AN62" s="584"/>
      <c r="AO62" s="584"/>
      <c r="AP62" s="663"/>
      <c r="AQ62" s="31"/>
      <c r="AR62" s="31"/>
      <c r="AS62" s="31"/>
      <c r="AT62" s="31"/>
      <c r="AU62" s="31"/>
      <c r="AV62" s="31"/>
      <c r="AW62" s="31"/>
      <c r="AX62" s="31"/>
      <c r="AY62" s="31"/>
      <c r="AZ62" s="31">
        <f t="shared" si="5"/>
        <v>1.0666666666666666E-2</v>
      </c>
      <c r="BA62" s="25" t="str">
        <f t="shared" si="1"/>
        <v>GEMS/Food G06</v>
      </c>
      <c r="BB62" s="25">
        <f t="shared" si="2"/>
        <v>0</v>
      </c>
      <c r="BC62" s="25" t="str">
        <f t="shared" si="3"/>
        <v/>
      </c>
    </row>
    <row r="63" spans="1:55" ht="15" customHeight="1" outlineLevel="3" x14ac:dyDescent="0.2">
      <c r="A63" s="39">
        <v>4</v>
      </c>
      <c r="B63" s="23">
        <v>154070</v>
      </c>
      <c r="C63" s="23" t="s">
        <v>688</v>
      </c>
      <c r="D63" s="22">
        <f>input_values!Z63</f>
        <v>4</v>
      </c>
      <c r="E63" s="657">
        <v>1.001E-2</v>
      </c>
      <c r="F63" s="31">
        <v>0</v>
      </c>
      <c r="G63" s="31">
        <v>0</v>
      </c>
      <c r="H63" s="31">
        <v>0</v>
      </c>
      <c r="I63" s="31">
        <v>0</v>
      </c>
      <c r="J63" s="31">
        <v>0</v>
      </c>
      <c r="K63" s="31">
        <v>0</v>
      </c>
      <c r="L63" s="31">
        <v>0</v>
      </c>
      <c r="M63" s="31">
        <v>0</v>
      </c>
      <c r="N63" s="31">
        <v>0</v>
      </c>
      <c r="O63" s="31">
        <v>0</v>
      </c>
      <c r="P63" s="31">
        <v>0</v>
      </c>
      <c r="Q63" s="31">
        <v>0</v>
      </c>
      <c r="R63" s="584"/>
      <c r="S63" s="31">
        <v>0</v>
      </c>
      <c r="T63" s="31"/>
      <c r="U63" s="31">
        <v>0</v>
      </c>
      <c r="V63" s="31">
        <v>0</v>
      </c>
      <c r="W63" s="31">
        <v>0</v>
      </c>
      <c r="X63" s="31">
        <v>0</v>
      </c>
      <c r="Y63" s="31">
        <v>0</v>
      </c>
      <c r="Z63" s="31">
        <v>0</v>
      </c>
      <c r="AA63" s="31">
        <v>0</v>
      </c>
      <c r="AB63" s="31">
        <v>0</v>
      </c>
      <c r="AC63" s="31">
        <v>0</v>
      </c>
      <c r="AD63" s="31">
        <v>0</v>
      </c>
      <c r="AE63" s="31"/>
      <c r="AF63" s="31"/>
      <c r="AG63" s="31"/>
      <c r="AH63" s="31"/>
      <c r="AI63" s="31"/>
      <c r="AJ63" s="31"/>
      <c r="AK63" s="663">
        <v>0</v>
      </c>
      <c r="AL63" s="663">
        <v>0</v>
      </c>
      <c r="AM63" s="31">
        <v>0</v>
      </c>
      <c r="AN63" s="584"/>
      <c r="AO63" s="584"/>
      <c r="AP63" s="663"/>
      <c r="AQ63" s="31"/>
      <c r="AR63" s="31"/>
      <c r="AS63" s="31"/>
      <c r="AT63" s="31"/>
      <c r="AU63" s="31"/>
      <c r="AV63" s="31"/>
      <c r="AW63" s="31"/>
      <c r="AX63" s="31"/>
      <c r="AY63" s="31"/>
      <c r="AZ63" s="31">
        <f t="shared" si="5"/>
        <v>1.001E-2</v>
      </c>
      <c r="BA63" s="25" t="str">
        <f t="shared" si="1"/>
        <v>DE child</v>
      </c>
      <c r="BB63" s="25">
        <f t="shared" si="2"/>
        <v>0</v>
      </c>
      <c r="BC63" s="25" t="str">
        <f t="shared" si="3"/>
        <v/>
      </c>
    </row>
    <row r="64" spans="1:55" ht="15" customHeight="1" outlineLevel="3" x14ac:dyDescent="0.2">
      <c r="A64" s="39">
        <v>4</v>
      </c>
      <c r="B64" s="23">
        <v>154080</v>
      </c>
      <c r="C64" s="23" t="s">
        <v>66</v>
      </c>
      <c r="D64" s="22">
        <f>input_values!Z64</f>
        <v>4</v>
      </c>
      <c r="E64" s="657">
        <v>0.04</v>
      </c>
      <c r="F64" s="31">
        <v>0</v>
      </c>
      <c r="G64" s="31">
        <v>0</v>
      </c>
      <c r="H64" s="31">
        <v>0</v>
      </c>
      <c r="I64" s="31">
        <v>0</v>
      </c>
      <c r="J64" s="31">
        <v>0</v>
      </c>
      <c r="K64" s="31">
        <v>0</v>
      </c>
      <c r="L64" s="31">
        <v>0.104</v>
      </c>
      <c r="M64" s="31">
        <v>8.4000000000000005E-2</v>
      </c>
      <c r="N64" s="31">
        <v>0</v>
      </c>
      <c r="O64" s="31">
        <v>0</v>
      </c>
      <c r="P64" s="31">
        <v>0</v>
      </c>
      <c r="Q64" s="31">
        <v>0</v>
      </c>
      <c r="R64" s="584"/>
      <c r="S64" s="31">
        <v>0</v>
      </c>
      <c r="T64" s="31"/>
      <c r="U64" s="31">
        <v>0</v>
      </c>
      <c r="V64" s="31">
        <v>0</v>
      </c>
      <c r="W64" s="31">
        <v>0</v>
      </c>
      <c r="X64" s="31">
        <v>1.6E-2</v>
      </c>
      <c r="Y64" s="31">
        <v>0</v>
      </c>
      <c r="Z64" s="31">
        <v>0</v>
      </c>
      <c r="AA64" s="31">
        <v>0</v>
      </c>
      <c r="AB64" s="31">
        <v>0</v>
      </c>
      <c r="AC64" s="31">
        <v>0</v>
      </c>
      <c r="AD64" s="31">
        <v>0</v>
      </c>
      <c r="AE64" s="31">
        <v>1.4500000000000001E-2</v>
      </c>
      <c r="AF64" s="31">
        <v>0.13666666666666666</v>
      </c>
      <c r="AG64" s="31">
        <v>2.3333333333333335E-3</v>
      </c>
      <c r="AH64" s="31">
        <v>0</v>
      </c>
      <c r="AI64" s="31">
        <v>0</v>
      </c>
      <c r="AJ64" s="31">
        <v>0</v>
      </c>
      <c r="AK64" s="663">
        <v>1.1770373410485315E-2</v>
      </c>
      <c r="AL64" s="663">
        <v>1.2390742128567866E-2</v>
      </c>
      <c r="AM64" s="31">
        <v>0</v>
      </c>
      <c r="AN64" s="584"/>
      <c r="AO64" s="584"/>
      <c r="AP64" s="663"/>
      <c r="AQ64" s="31"/>
      <c r="AR64" s="31"/>
      <c r="AS64" s="31"/>
      <c r="AT64" s="31"/>
      <c r="AU64" s="31"/>
      <c r="AV64" s="31"/>
      <c r="AW64" s="31"/>
      <c r="AX64" s="31"/>
      <c r="AY64" s="31"/>
      <c r="AZ64" s="31">
        <f t="shared" si="5"/>
        <v>0.13666666666666666</v>
      </c>
      <c r="BA64" s="25" t="str">
        <f t="shared" si="1"/>
        <v>GEMS/Food G07</v>
      </c>
      <c r="BB64" s="25">
        <f t="shared" si="2"/>
        <v>0</v>
      </c>
      <c r="BC64" s="25" t="str">
        <f t="shared" si="3"/>
        <v/>
      </c>
    </row>
    <row r="65" spans="1:55" ht="15" customHeight="1" outlineLevel="3" x14ac:dyDescent="0.2">
      <c r="A65" s="39">
        <v>4</v>
      </c>
      <c r="B65" s="23">
        <v>154990</v>
      </c>
      <c r="C65" s="23" t="s">
        <v>52</v>
      </c>
      <c r="D65" s="22">
        <f>input_values!Z65</f>
        <v>4</v>
      </c>
      <c r="E65" s="657">
        <v>0.01</v>
      </c>
      <c r="F65" s="31"/>
      <c r="G65" s="31">
        <v>0</v>
      </c>
      <c r="H65" s="31">
        <v>0</v>
      </c>
      <c r="I65" s="31">
        <v>1.7615247758459724E-5</v>
      </c>
      <c r="J65" s="31">
        <v>1.0061178528842781E-2</v>
      </c>
      <c r="K65" s="31">
        <v>0</v>
      </c>
      <c r="L65" s="31">
        <v>0</v>
      </c>
      <c r="M65" s="31">
        <v>0</v>
      </c>
      <c r="N65" s="31">
        <v>0</v>
      </c>
      <c r="O65" s="31">
        <v>0</v>
      </c>
      <c r="P65" s="31">
        <v>0</v>
      </c>
      <c r="Q65" s="31">
        <v>0</v>
      </c>
      <c r="R65" s="584"/>
      <c r="S65" s="31">
        <v>1.3091690385931574E-2</v>
      </c>
      <c r="T65" s="31"/>
      <c r="U65" s="31">
        <v>0.13563829787234041</v>
      </c>
      <c r="V65" s="31">
        <v>3.1574199368516009E-3</v>
      </c>
      <c r="W65" s="31">
        <v>0</v>
      </c>
      <c r="X65" s="31">
        <v>0</v>
      </c>
      <c r="Y65" s="31">
        <v>0</v>
      </c>
      <c r="Z65" s="31">
        <v>0</v>
      </c>
      <c r="AA65" s="31">
        <v>0</v>
      </c>
      <c r="AB65" s="31">
        <v>0</v>
      </c>
      <c r="AC65" s="31">
        <v>0</v>
      </c>
      <c r="AD65" s="31">
        <v>0</v>
      </c>
      <c r="AE65" s="31"/>
      <c r="AF65" s="31"/>
      <c r="AG65" s="31"/>
      <c r="AH65" s="31"/>
      <c r="AI65" s="31"/>
      <c r="AJ65" s="31"/>
      <c r="AK65" s="663">
        <v>0</v>
      </c>
      <c r="AL65" s="663">
        <v>0</v>
      </c>
      <c r="AM65" s="31">
        <v>0</v>
      </c>
      <c r="AN65" s="584"/>
      <c r="AO65" s="584"/>
      <c r="AP65" s="663"/>
      <c r="AQ65" s="31"/>
      <c r="AR65" s="31"/>
      <c r="AS65" s="31"/>
      <c r="AT65" s="31"/>
      <c r="AU65" s="31"/>
      <c r="AV65" s="31"/>
      <c r="AW65" s="31"/>
      <c r="AX65" s="31"/>
      <c r="AY65" s="31"/>
      <c r="AZ65" s="31">
        <f t="shared" si="5"/>
        <v>0.13563829787234041</v>
      </c>
      <c r="BA65" s="25" t="str">
        <f t="shared" si="1"/>
        <v>IE adult</v>
      </c>
      <c r="BB65" s="25">
        <f t="shared" si="2"/>
        <v>0</v>
      </c>
      <c r="BC65" s="25" t="str">
        <f t="shared" si="3"/>
        <v/>
      </c>
    </row>
    <row r="66" spans="1:55" ht="15" customHeight="1" outlineLevel="1" x14ac:dyDescent="0.2">
      <c r="A66" s="130">
        <v>2</v>
      </c>
      <c r="B66" s="131">
        <v>160000</v>
      </c>
      <c r="C66" s="131" t="s">
        <v>221</v>
      </c>
      <c r="D66" s="79">
        <f>input_values!Z66</f>
        <v>4</v>
      </c>
      <c r="E66" s="581">
        <f>SUM(E67,E76,E84)</f>
        <v>2.6400000000000006</v>
      </c>
      <c r="F66" s="92">
        <f>SUM(F67,F76,F84)</f>
        <v>1.2868181818181819</v>
      </c>
      <c r="G66" s="92">
        <f t="shared" ref="G66:AO66" si="13">SUM(G67,G76,G84)</f>
        <v>1.1460999999999999</v>
      </c>
      <c r="H66" s="92">
        <f t="shared" si="13"/>
        <v>0.29511570463930659</v>
      </c>
      <c r="I66" s="92">
        <f t="shared" si="13"/>
        <v>1.0316175156695748</v>
      </c>
      <c r="J66" s="92">
        <f t="shared" si="13"/>
        <v>1.1482610278631469</v>
      </c>
      <c r="K66" s="92">
        <f t="shared" si="13"/>
        <v>0.6565729391973083</v>
      </c>
      <c r="L66" s="92">
        <f t="shared" si="13"/>
        <v>6.7549999999999999</v>
      </c>
      <c r="M66" s="92">
        <f t="shared" si="13"/>
        <v>2.5160000000000005</v>
      </c>
      <c r="N66" s="92">
        <f t="shared" si="13"/>
        <v>1.7241379310344829</v>
      </c>
      <c r="O66" s="92">
        <f t="shared" si="13"/>
        <v>1.3082191780821919</v>
      </c>
      <c r="P66" s="92">
        <f>SUM(P67,P76,P84)</f>
        <v>0.57548133555259662</v>
      </c>
      <c r="Q66" s="92">
        <f t="shared" si="13"/>
        <v>0.61950000000000005</v>
      </c>
      <c r="R66" s="92">
        <f t="shared" si="13"/>
        <v>0.40418914750000001</v>
      </c>
      <c r="S66" s="92">
        <f t="shared" si="13"/>
        <v>0.37023436538600374</v>
      </c>
      <c r="T66" s="92"/>
      <c r="U66" s="92">
        <f t="shared" si="13"/>
        <v>2.5026595744680851</v>
      </c>
      <c r="V66" s="92">
        <f t="shared" si="13"/>
        <v>0.30341302059840625</v>
      </c>
      <c r="W66" s="92">
        <f t="shared" si="13"/>
        <v>5.7999999999999996E-2</v>
      </c>
      <c r="X66" s="92">
        <f t="shared" si="13"/>
        <v>0.41699999999999998</v>
      </c>
      <c r="Y66" s="92">
        <f t="shared" si="13"/>
        <v>0.19585987261146498</v>
      </c>
      <c r="Z66" s="92">
        <f t="shared" si="13"/>
        <v>0.56999999999999995</v>
      </c>
      <c r="AA66" s="92">
        <f t="shared" si="13"/>
        <v>0.26666666666666666</v>
      </c>
      <c r="AB66" s="92">
        <f t="shared" si="13"/>
        <v>2.2233333333333336</v>
      </c>
      <c r="AC66" s="92">
        <f t="shared" si="13"/>
        <v>0.45131578947368411</v>
      </c>
      <c r="AD66" s="92">
        <f t="shared" si="13"/>
        <v>0.52173913043478259</v>
      </c>
      <c r="AE66" s="92">
        <f t="shared" si="13"/>
        <v>1.1533333333333333</v>
      </c>
      <c r="AF66" s="92">
        <f t="shared" si="13"/>
        <v>1.1821666666666668</v>
      </c>
      <c r="AG66" s="92">
        <f t="shared" si="13"/>
        <v>1.0658333333333334</v>
      </c>
      <c r="AH66" s="92">
        <f t="shared" si="13"/>
        <v>0.90583333333333316</v>
      </c>
      <c r="AI66" s="92">
        <f t="shared" si="13"/>
        <v>1.8103333333333336</v>
      </c>
      <c r="AJ66" s="92">
        <f t="shared" si="13"/>
        <v>0.75616666666666665</v>
      </c>
      <c r="AK66" s="92">
        <f>SUM(AK67,AK76,AK84)</f>
        <v>0.55372039213243596</v>
      </c>
      <c r="AL66" s="92">
        <f>SUM(AL67,AL76,AL84)</f>
        <v>0.63027970744271755</v>
      </c>
      <c r="AM66" s="92">
        <f t="shared" si="13"/>
        <v>0.22870806000000002</v>
      </c>
      <c r="AN66" s="92">
        <f t="shared" si="13"/>
        <v>1.6192118642</v>
      </c>
      <c r="AO66" s="92">
        <f t="shared" si="13"/>
        <v>1.0426002721000001</v>
      </c>
      <c r="AP66" s="92"/>
      <c r="AQ66" s="92"/>
      <c r="AR66" s="92"/>
      <c r="AS66" s="92"/>
      <c r="AT66" s="92"/>
      <c r="AU66" s="92"/>
      <c r="AV66" s="92"/>
      <c r="AW66" s="92"/>
      <c r="AX66" s="92" t="s">
        <v>369</v>
      </c>
      <c r="AY66" s="92"/>
      <c r="AZ66" s="92">
        <f t="shared" si="5"/>
        <v>6.7549999999999999</v>
      </c>
      <c r="BA66" s="42" t="str">
        <f t="shared" si="1"/>
        <v>NL toddler</v>
      </c>
      <c r="BB66" s="42">
        <f t="shared" si="2"/>
        <v>5.7999999999999996E-2</v>
      </c>
      <c r="BC66" s="42" t="str">
        <f t="shared" si="3"/>
        <v>LT adult</v>
      </c>
    </row>
    <row r="67" spans="1:55" ht="15" customHeight="1" outlineLevel="2" x14ac:dyDescent="0.2">
      <c r="A67" s="132">
        <v>3</v>
      </c>
      <c r="B67" s="3">
        <v>161000</v>
      </c>
      <c r="C67" s="3" t="s">
        <v>73</v>
      </c>
      <c r="D67" s="80">
        <f>input_values!Z67</f>
        <v>4</v>
      </c>
      <c r="E67" s="654">
        <f>SUM(E68:E75)</f>
        <v>0.04</v>
      </c>
      <c r="F67" s="48">
        <f>SUM(F68:F75)</f>
        <v>4.5454545454545455E-4</v>
      </c>
      <c r="G67" s="48">
        <f t="shared" ref="G67:AO67" si="14">SUM(G68:G75)</f>
        <v>4.9599999999999998E-2</v>
      </c>
      <c r="H67" s="48">
        <f t="shared" si="14"/>
        <v>8.0200791859962282E-3</v>
      </c>
      <c r="I67" s="48">
        <f t="shared" si="14"/>
        <v>4.380301460086896E-2</v>
      </c>
      <c r="J67" s="48">
        <f t="shared" si="14"/>
        <v>9.2096029152651498E-2</v>
      </c>
      <c r="K67" s="48">
        <f t="shared" si="14"/>
        <v>3.9173275654890656E-2</v>
      </c>
      <c r="L67" s="48">
        <f t="shared" si="14"/>
        <v>2E-3</v>
      </c>
      <c r="M67" s="48">
        <f t="shared" si="14"/>
        <v>1.0999999999999999E-2</v>
      </c>
      <c r="N67" s="48">
        <f t="shared" si="14"/>
        <v>2.298850574712644E-2</v>
      </c>
      <c r="O67" s="48">
        <f t="shared" si="14"/>
        <v>6.8493150684931512E-3</v>
      </c>
      <c r="P67" s="48">
        <f>SUM(P68:P75)</f>
        <v>2.8667110519307593E-3</v>
      </c>
      <c r="Q67" s="48">
        <f t="shared" si="14"/>
        <v>4.99E-2</v>
      </c>
      <c r="R67" s="48">
        <f t="shared" si="14"/>
        <v>1.2074367099999999E-2</v>
      </c>
      <c r="S67" s="48">
        <f t="shared" si="14"/>
        <v>4.652582075328536E-2</v>
      </c>
      <c r="T67" s="48"/>
      <c r="U67" s="48">
        <f t="shared" si="14"/>
        <v>0.56117021276595747</v>
      </c>
      <c r="V67" s="48">
        <f t="shared" si="14"/>
        <v>3.9542925875808141E-2</v>
      </c>
      <c r="W67" s="48">
        <f t="shared" si="14"/>
        <v>0</v>
      </c>
      <c r="X67" s="48">
        <f t="shared" si="14"/>
        <v>9.0000000000000011E-3</v>
      </c>
      <c r="Y67" s="48">
        <f t="shared" si="14"/>
        <v>0</v>
      </c>
      <c r="Z67" s="48">
        <f t="shared" si="14"/>
        <v>0.22</v>
      </c>
      <c r="AA67" s="48">
        <f t="shared" si="14"/>
        <v>3.3333333333333333E-2</v>
      </c>
      <c r="AB67" s="48">
        <f t="shared" si="14"/>
        <v>0.1</v>
      </c>
      <c r="AC67" s="48">
        <f t="shared" si="14"/>
        <v>7.8947368421052634E-3</v>
      </c>
      <c r="AD67" s="48">
        <f t="shared" si="14"/>
        <v>2.0989505247376312E-2</v>
      </c>
      <c r="AE67" s="48">
        <f t="shared" si="14"/>
        <v>0.47283333333333333</v>
      </c>
      <c r="AF67" s="48">
        <f t="shared" si="14"/>
        <v>0.13616666666666669</v>
      </c>
      <c r="AG67" s="48">
        <f t="shared" si="14"/>
        <v>0.16433333333333336</v>
      </c>
      <c r="AH67" s="48">
        <f t="shared" si="14"/>
        <v>5.8166666666666672E-2</v>
      </c>
      <c r="AI67" s="48">
        <f t="shared" si="14"/>
        <v>0.32750000000000001</v>
      </c>
      <c r="AJ67" s="48">
        <f t="shared" si="14"/>
        <v>8.2333333333333328E-2</v>
      </c>
      <c r="AK67" s="48">
        <f>SUM(AK68:AK75)</f>
        <v>3.0080093209541532E-2</v>
      </c>
      <c r="AL67" s="48">
        <f>SUM(AL68:AL75)</f>
        <v>3.5251618926781761E-2</v>
      </c>
      <c r="AM67" s="48">
        <f t="shared" si="14"/>
        <v>2.06252E-3</v>
      </c>
      <c r="AN67" s="48">
        <f t="shared" si="14"/>
        <v>1.3777217100000001E-2</v>
      </c>
      <c r="AO67" s="48">
        <f t="shared" si="14"/>
        <v>6.7449116999999999E-3</v>
      </c>
      <c r="AP67" s="48"/>
      <c r="AQ67" s="48"/>
      <c r="AR67" s="48"/>
      <c r="AS67" s="48"/>
      <c r="AT67" s="48"/>
      <c r="AU67" s="48"/>
      <c r="AV67" s="48"/>
      <c r="AW67" s="48"/>
      <c r="AX67" s="48" t="s">
        <v>369</v>
      </c>
      <c r="AY67" s="48"/>
      <c r="AZ67" s="48">
        <f t="shared" si="5"/>
        <v>0.56117021276595747</v>
      </c>
      <c r="BA67" s="4" t="str">
        <f t="shared" si="1"/>
        <v>IE adult</v>
      </c>
      <c r="BB67" s="4">
        <f t="shared" si="2"/>
        <v>0</v>
      </c>
      <c r="BC67" s="4" t="str">
        <f t="shared" si="3"/>
        <v/>
      </c>
    </row>
    <row r="68" spans="1:55" ht="15" customHeight="1" outlineLevel="3" x14ac:dyDescent="0.2">
      <c r="A68" s="39">
        <v>4</v>
      </c>
      <c r="B68" s="23">
        <v>161010</v>
      </c>
      <c r="C68" s="23" t="s">
        <v>67</v>
      </c>
      <c r="D68" s="22">
        <f>input_values!Z68</f>
        <v>4</v>
      </c>
      <c r="E68" s="657">
        <v>0.01</v>
      </c>
      <c r="F68" s="31">
        <v>0</v>
      </c>
      <c r="G68" s="31">
        <v>0</v>
      </c>
      <c r="H68" s="31">
        <v>1.4492753623188408E-3</v>
      </c>
      <c r="I68" s="31">
        <v>0</v>
      </c>
      <c r="J68" s="31">
        <v>7.8969417679095098E-4</v>
      </c>
      <c r="K68" s="31">
        <v>0</v>
      </c>
      <c r="L68" s="31">
        <v>0</v>
      </c>
      <c r="M68" s="31">
        <v>1E-3</v>
      </c>
      <c r="N68" s="31">
        <v>0</v>
      </c>
      <c r="O68" s="31">
        <v>0</v>
      </c>
      <c r="P68" s="31">
        <v>0</v>
      </c>
      <c r="Q68" s="31">
        <v>1.8E-3</v>
      </c>
      <c r="R68" s="584">
        <v>1.8889498000000001E-3</v>
      </c>
      <c r="S68" s="31">
        <v>1.5834042153204449E-3</v>
      </c>
      <c r="T68" s="31"/>
      <c r="U68" s="31">
        <v>0.36702127659574468</v>
      </c>
      <c r="V68" s="31">
        <v>7.5176665163133359E-4</v>
      </c>
      <c r="W68" s="31">
        <v>0</v>
      </c>
      <c r="X68" s="31">
        <v>1E-3</v>
      </c>
      <c r="Y68" s="31">
        <v>0</v>
      </c>
      <c r="Z68" s="31">
        <v>0</v>
      </c>
      <c r="AA68" s="31">
        <v>0</v>
      </c>
      <c r="AB68" s="31">
        <v>1.6666666666666666E-2</v>
      </c>
      <c r="AC68" s="31">
        <v>2.631578947368421E-3</v>
      </c>
      <c r="AD68" s="31">
        <v>5.9970014992503746E-3</v>
      </c>
      <c r="AE68" s="31">
        <v>0.34100000000000003</v>
      </c>
      <c r="AF68" s="31">
        <v>8.6666666666666663E-3</v>
      </c>
      <c r="AG68" s="31">
        <v>5.0000000000000001E-3</v>
      </c>
      <c r="AH68" s="31">
        <v>3.3333333333333335E-3</v>
      </c>
      <c r="AI68" s="31">
        <v>5.3333333333333332E-3</v>
      </c>
      <c r="AJ68" s="31">
        <v>3.0000000000000001E-3</v>
      </c>
      <c r="AK68" s="663">
        <v>4.2210457286270386E-3</v>
      </c>
      <c r="AL68" s="663">
        <v>4.3848676542379648E-3</v>
      </c>
      <c r="AM68" s="31">
        <v>0</v>
      </c>
      <c r="AN68" s="584">
        <v>8.8333810000000004E-4</v>
      </c>
      <c r="AO68" s="584">
        <v>7.0636679999999999E-4</v>
      </c>
      <c r="AP68" s="663"/>
      <c r="AQ68" s="31"/>
      <c r="AR68" s="31"/>
      <c r="AS68" s="31"/>
      <c r="AT68" s="31"/>
      <c r="AU68" s="31"/>
      <c r="AV68" s="31"/>
      <c r="AW68" s="31"/>
      <c r="AX68" s="31"/>
      <c r="AY68" s="31"/>
      <c r="AZ68" s="31">
        <f t="shared" si="5"/>
        <v>0.36702127659574468</v>
      </c>
      <c r="BA68" s="25" t="str">
        <f t="shared" si="1"/>
        <v>IE adult</v>
      </c>
      <c r="BB68" s="25">
        <f t="shared" si="2"/>
        <v>0</v>
      </c>
      <c r="BC68" s="25" t="str">
        <f t="shared" si="3"/>
        <v/>
      </c>
    </row>
    <row r="69" spans="1:55" ht="15" customHeight="1" outlineLevel="3" x14ac:dyDescent="0.2">
      <c r="A69" s="39">
        <v>4</v>
      </c>
      <c r="B69" s="23">
        <v>161020</v>
      </c>
      <c r="C69" s="23" t="s">
        <v>68</v>
      </c>
      <c r="D69" s="22">
        <f>input_values!Z69</f>
        <v>4</v>
      </c>
      <c r="E69" s="657">
        <v>0.01</v>
      </c>
      <c r="F69" s="31">
        <v>4.5454545454545455E-4</v>
      </c>
      <c r="G69" s="31">
        <v>1.5E-3</v>
      </c>
      <c r="H69" s="31">
        <v>5.9873834126707689E-3</v>
      </c>
      <c r="I69" s="31">
        <v>2.8218435452145901E-2</v>
      </c>
      <c r="J69" s="31">
        <v>3.8355515452289648E-3</v>
      </c>
      <c r="K69" s="31">
        <v>2.6435952895938478E-2</v>
      </c>
      <c r="L69" s="31">
        <v>0</v>
      </c>
      <c r="M69" s="31">
        <v>6.0000000000000001E-3</v>
      </c>
      <c r="N69" s="31">
        <v>2.298850574712644E-2</v>
      </c>
      <c r="O69" s="31">
        <v>6.8493150684931512E-3</v>
      </c>
      <c r="P69" s="31">
        <v>1.3302263648468711E-4</v>
      </c>
      <c r="Q69" s="31">
        <v>4.0000000000000001E-3</v>
      </c>
      <c r="R69" s="584"/>
      <c r="S69" s="31">
        <v>4.3250900745274608E-3</v>
      </c>
      <c r="T69" s="31"/>
      <c r="U69" s="31">
        <v>0.13297872340425532</v>
      </c>
      <c r="V69" s="31">
        <v>2.1049466245677339E-2</v>
      </c>
      <c r="W69" s="31">
        <v>0</v>
      </c>
      <c r="X69" s="31">
        <v>3.0000000000000001E-3</v>
      </c>
      <c r="Y69" s="31">
        <v>0</v>
      </c>
      <c r="Z69" s="31">
        <v>0.16500000000000001</v>
      </c>
      <c r="AA69" s="31">
        <v>0</v>
      </c>
      <c r="AB69" s="31">
        <v>1.6666666666666666E-2</v>
      </c>
      <c r="AC69" s="31">
        <v>2.631578947368421E-3</v>
      </c>
      <c r="AD69" s="31">
        <v>7.4962518740629685E-3</v>
      </c>
      <c r="AE69" s="31">
        <v>6.6666666666666666E-2</v>
      </c>
      <c r="AF69" s="31">
        <v>1.4666666666666666E-2</v>
      </c>
      <c r="AG69" s="31">
        <v>1.3666666666666666E-2</v>
      </c>
      <c r="AH69" s="31">
        <v>8.0000000000000002E-3</v>
      </c>
      <c r="AI69" s="31">
        <v>9.0000000000000011E-3</v>
      </c>
      <c r="AJ69" s="31">
        <v>1.883333333333333E-2</v>
      </c>
      <c r="AK69" s="663">
        <v>1.0688180813114343E-2</v>
      </c>
      <c r="AL69" s="663">
        <v>1.0406919541451872E-2</v>
      </c>
      <c r="AM69" s="31">
        <v>2.06252E-3</v>
      </c>
      <c r="AN69" s="584">
        <v>3.2987000000000001E-5</v>
      </c>
      <c r="AO69" s="584"/>
      <c r="AP69" s="663"/>
      <c r="AQ69" s="31"/>
      <c r="AR69" s="31"/>
      <c r="AS69" s="31"/>
      <c r="AT69" s="31"/>
      <c r="AU69" s="31"/>
      <c r="AV69" s="31"/>
      <c r="AW69" s="31"/>
      <c r="AX69" s="31"/>
      <c r="AY69" s="31"/>
      <c r="AZ69" s="31">
        <f t="shared" si="5"/>
        <v>0.16500000000000001</v>
      </c>
      <c r="BA69" s="25" t="str">
        <f t="shared" si="1"/>
        <v>PT general</v>
      </c>
      <c r="BB69" s="25">
        <f t="shared" si="2"/>
        <v>0</v>
      </c>
      <c r="BC69" s="25" t="str">
        <f t="shared" si="3"/>
        <v/>
      </c>
    </row>
    <row r="70" spans="1:55" ht="15" customHeight="1" outlineLevel="3" x14ac:dyDescent="0.2">
      <c r="A70" s="39">
        <v>4</v>
      </c>
      <c r="B70" s="23">
        <v>161030</v>
      </c>
      <c r="C70" s="23" t="s">
        <v>69</v>
      </c>
      <c r="D70" s="22">
        <f>input_values!Z70</f>
        <v>4</v>
      </c>
      <c r="E70" s="657">
        <v>0.01</v>
      </c>
      <c r="F70" s="31">
        <v>0</v>
      </c>
      <c r="G70" s="31">
        <v>4.3999999999999997E-2</v>
      </c>
      <c r="H70" s="31">
        <v>5.8342041100661792E-4</v>
      </c>
      <c r="I70" s="31">
        <v>1.5584579148723059E-2</v>
      </c>
      <c r="J70" s="31">
        <v>7.1911266512907765E-3</v>
      </c>
      <c r="K70" s="31">
        <v>1.2737322758952176E-2</v>
      </c>
      <c r="L70" s="31">
        <v>2E-3</v>
      </c>
      <c r="M70" s="31">
        <v>4.0000000000000001E-3</v>
      </c>
      <c r="N70" s="31">
        <v>0</v>
      </c>
      <c r="O70" s="31">
        <v>0</v>
      </c>
      <c r="P70" s="31">
        <v>0</v>
      </c>
      <c r="Q70" s="31">
        <v>3.4099999999999998E-2</v>
      </c>
      <c r="R70" s="584">
        <v>1.0185417299999999E-2</v>
      </c>
      <c r="S70" s="31">
        <v>5.4148011799181293E-3</v>
      </c>
      <c r="T70" s="31"/>
      <c r="U70" s="31">
        <v>6.1170212765957438E-2</v>
      </c>
      <c r="V70" s="31">
        <v>1.7741692978499472E-2</v>
      </c>
      <c r="W70" s="31">
        <v>0</v>
      </c>
      <c r="X70" s="31">
        <v>5.0000000000000001E-3</v>
      </c>
      <c r="Y70" s="31">
        <v>0</v>
      </c>
      <c r="Z70" s="31">
        <v>5.5E-2</v>
      </c>
      <c r="AA70" s="31">
        <v>3.3333333333333333E-2</v>
      </c>
      <c r="AB70" s="31">
        <v>0.05</v>
      </c>
      <c r="AC70" s="31">
        <v>2.631578947368421E-3</v>
      </c>
      <c r="AD70" s="31">
        <v>7.4962518740629685E-3</v>
      </c>
      <c r="AE70" s="31">
        <v>3.0833333333333334E-2</v>
      </c>
      <c r="AF70" s="31">
        <v>3.3333333333333333E-2</v>
      </c>
      <c r="AG70" s="31">
        <v>4.1333333333333333E-2</v>
      </c>
      <c r="AH70" s="31">
        <v>2.0166666666666666E-2</v>
      </c>
      <c r="AI70" s="31">
        <v>2.7333333333333331E-2</v>
      </c>
      <c r="AJ70" s="31">
        <v>2.9166666666666667E-2</v>
      </c>
      <c r="AK70" s="663">
        <v>6.3114767682417782E-3</v>
      </c>
      <c r="AL70" s="663">
        <v>6.5424292415237331E-3</v>
      </c>
      <c r="AM70" s="31">
        <v>0</v>
      </c>
      <c r="AN70" s="584">
        <v>1.2860892000000001E-2</v>
      </c>
      <c r="AO70" s="584">
        <v>6.0385448999999997E-3</v>
      </c>
      <c r="AP70" s="663"/>
      <c r="AQ70" s="31"/>
      <c r="AR70" s="31"/>
      <c r="AS70" s="31"/>
      <c r="AT70" s="31"/>
      <c r="AU70" s="31"/>
      <c r="AV70" s="31"/>
      <c r="AW70" s="31"/>
      <c r="AX70" s="31"/>
      <c r="AY70" s="31"/>
      <c r="AZ70" s="31">
        <f t="shared" si="5"/>
        <v>6.1170212765957438E-2</v>
      </c>
      <c r="BA70" s="25" t="str">
        <f t="shared" si="1"/>
        <v>IE adult</v>
      </c>
      <c r="BB70" s="25">
        <f t="shared" si="2"/>
        <v>0</v>
      </c>
      <c r="BC70" s="25" t="str">
        <f t="shared" si="3"/>
        <v/>
      </c>
    </row>
    <row r="71" spans="1:55" ht="15" customHeight="1" outlineLevel="3" x14ac:dyDescent="0.2">
      <c r="A71" s="39">
        <v>4</v>
      </c>
      <c r="B71" s="23">
        <v>161040</v>
      </c>
      <c r="C71" s="23" t="s">
        <v>70</v>
      </c>
      <c r="D71" s="22">
        <f>input_values!Z71</f>
        <v>4</v>
      </c>
      <c r="E71" s="657">
        <v>0</v>
      </c>
      <c r="F71" s="31">
        <v>0</v>
      </c>
      <c r="G71" s="31">
        <v>0</v>
      </c>
      <c r="H71" s="31">
        <v>0</v>
      </c>
      <c r="I71" s="31">
        <v>0</v>
      </c>
      <c r="J71" s="31">
        <v>0</v>
      </c>
      <c r="K71" s="31">
        <v>0</v>
      </c>
      <c r="L71" s="31">
        <v>0</v>
      </c>
      <c r="M71" s="31">
        <v>0</v>
      </c>
      <c r="N71" s="31">
        <v>0</v>
      </c>
      <c r="O71" s="31">
        <v>0</v>
      </c>
      <c r="P71" s="31">
        <v>0</v>
      </c>
      <c r="Q71" s="31">
        <v>0</v>
      </c>
      <c r="R71" s="584"/>
      <c r="S71" s="31">
        <v>0</v>
      </c>
      <c r="T71" s="31"/>
      <c r="U71" s="31">
        <v>0</v>
      </c>
      <c r="V71" s="31">
        <v>0</v>
      </c>
      <c r="W71" s="31">
        <v>0</v>
      </c>
      <c r="X71" s="31">
        <v>0</v>
      </c>
      <c r="Y71" s="31">
        <v>0</v>
      </c>
      <c r="Z71" s="31">
        <v>0</v>
      </c>
      <c r="AA71" s="31">
        <v>0</v>
      </c>
      <c r="AB71" s="31">
        <v>1.6666666666666666E-2</v>
      </c>
      <c r="AC71" s="31">
        <v>0</v>
      </c>
      <c r="AD71" s="31">
        <v>0</v>
      </c>
      <c r="AE71" s="31">
        <v>2.8500000000000001E-2</v>
      </c>
      <c r="AF71" s="31">
        <v>7.7833333333333338E-2</v>
      </c>
      <c r="AG71" s="31">
        <v>9.7666666666666666E-2</v>
      </c>
      <c r="AH71" s="31">
        <v>2.4166666666666666E-2</v>
      </c>
      <c r="AI71" s="31">
        <v>0.28416666666666668</v>
      </c>
      <c r="AJ71" s="31">
        <v>2.9666666666666668E-2</v>
      </c>
      <c r="AK71" s="663">
        <v>0</v>
      </c>
      <c r="AL71" s="663">
        <v>0</v>
      </c>
      <c r="AM71" s="31">
        <v>0</v>
      </c>
      <c r="AN71" s="584"/>
      <c r="AO71" s="584"/>
      <c r="AP71" s="663"/>
      <c r="AQ71" s="31"/>
      <c r="AR71" s="31"/>
      <c r="AS71" s="31"/>
      <c r="AT71" s="31"/>
      <c r="AU71" s="31"/>
      <c r="AV71" s="31"/>
      <c r="AW71" s="31"/>
      <c r="AX71" s="31"/>
      <c r="AY71" s="31"/>
      <c r="AZ71" s="31">
        <f t="shared" si="5"/>
        <v>0.28416666666666668</v>
      </c>
      <c r="BA71" s="25" t="str">
        <f t="shared" si="1"/>
        <v>GEMS/Food G11</v>
      </c>
      <c r="BB71" s="25">
        <f t="shared" si="2"/>
        <v>0</v>
      </c>
      <c r="BC71" s="25" t="str">
        <f t="shared" si="3"/>
        <v/>
      </c>
    </row>
    <row r="72" spans="1:55" ht="15" customHeight="1" outlineLevel="3" x14ac:dyDescent="0.2">
      <c r="A72" s="39">
        <v>4</v>
      </c>
      <c r="B72" s="23">
        <v>161050</v>
      </c>
      <c r="C72" s="23" t="s">
        <v>689</v>
      </c>
      <c r="D72" s="22">
        <f>input_values!Z72</f>
        <v>4</v>
      </c>
      <c r="E72" s="657">
        <v>0</v>
      </c>
      <c r="F72" s="31">
        <v>0</v>
      </c>
      <c r="G72" s="31">
        <v>0</v>
      </c>
      <c r="H72" s="31">
        <v>0</v>
      </c>
      <c r="I72" s="31">
        <v>0</v>
      </c>
      <c r="J72" s="31">
        <v>0</v>
      </c>
      <c r="K72" s="31">
        <v>0</v>
      </c>
      <c r="L72" s="31">
        <v>0</v>
      </c>
      <c r="M72" s="31">
        <v>0</v>
      </c>
      <c r="N72" s="31">
        <v>0</v>
      </c>
      <c r="O72" s="31">
        <v>0</v>
      </c>
      <c r="P72" s="31">
        <v>0</v>
      </c>
      <c r="Q72" s="31">
        <v>0</v>
      </c>
      <c r="R72" s="584"/>
      <c r="S72" s="31">
        <v>0</v>
      </c>
      <c r="T72" s="31"/>
      <c r="U72" s="31">
        <v>0</v>
      </c>
      <c r="V72" s="31">
        <v>0</v>
      </c>
      <c r="W72" s="31">
        <v>0</v>
      </c>
      <c r="X72" s="31">
        <v>0</v>
      </c>
      <c r="Y72" s="31">
        <v>0</v>
      </c>
      <c r="Z72" s="31">
        <v>0</v>
      </c>
      <c r="AA72" s="31">
        <v>0</v>
      </c>
      <c r="AB72" s="31">
        <v>0</v>
      </c>
      <c r="AC72" s="31">
        <v>0</v>
      </c>
      <c r="AD72" s="31">
        <v>0</v>
      </c>
      <c r="AE72" s="31">
        <v>1.6666666666666668E-3</v>
      </c>
      <c r="AF72" s="31">
        <v>0</v>
      </c>
      <c r="AG72" s="31">
        <v>1.6666666666666668E-3</v>
      </c>
      <c r="AH72" s="31">
        <v>0</v>
      </c>
      <c r="AI72" s="31">
        <v>0</v>
      </c>
      <c r="AJ72" s="31">
        <v>0</v>
      </c>
      <c r="AK72" s="663">
        <v>4.7312530390695445E-5</v>
      </c>
      <c r="AL72" s="663">
        <v>3.5109898082316954E-5</v>
      </c>
      <c r="AM72" s="31">
        <v>0</v>
      </c>
      <c r="AN72" s="584"/>
      <c r="AO72" s="584"/>
      <c r="AP72" s="663"/>
      <c r="AQ72" s="31"/>
      <c r="AR72" s="31"/>
      <c r="AS72" s="31"/>
      <c r="AT72" s="31"/>
      <c r="AU72" s="31"/>
      <c r="AV72" s="31"/>
      <c r="AW72" s="31"/>
      <c r="AX72" s="31"/>
      <c r="AY72" s="31"/>
      <c r="AZ72" s="31">
        <f t="shared" si="5"/>
        <v>1.6666666666666668E-3</v>
      </c>
      <c r="BA72" s="25" t="str">
        <f t="shared" si="1"/>
        <v>GEMS/Food G06</v>
      </c>
      <c r="BB72" s="25">
        <f t="shared" si="2"/>
        <v>0</v>
      </c>
      <c r="BC72" s="25" t="str">
        <f t="shared" si="3"/>
        <v/>
      </c>
    </row>
    <row r="73" spans="1:55" ht="15" customHeight="1" outlineLevel="3" x14ac:dyDescent="0.2">
      <c r="A73" s="39">
        <v>4</v>
      </c>
      <c r="B73" s="23">
        <v>161060</v>
      </c>
      <c r="C73" s="23" t="s">
        <v>690</v>
      </c>
      <c r="D73" s="22">
        <f>input_values!Z73</f>
        <v>4</v>
      </c>
      <c r="E73" s="657">
        <v>0.01</v>
      </c>
      <c r="F73" s="31">
        <v>0</v>
      </c>
      <c r="G73" s="31">
        <v>4.1000000000000003E-3</v>
      </c>
      <c r="H73" s="31">
        <v>0</v>
      </c>
      <c r="I73" s="31">
        <v>0</v>
      </c>
      <c r="J73" s="31">
        <v>0</v>
      </c>
      <c r="K73" s="31">
        <v>0</v>
      </c>
      <c r="L73" s="31">
        <v>0</v>
      </c>
      <c r="M73" s="31">
        <v>0</v>
      </c>
      <c r="N73" s="31">
        <v>0</v>
      </c>
      <c r="O73" s="31">
        <v>0</v>
      </c>
      <c r="P73" s="31">
        <v>2.7336884154460723E-3</v>
      </c>
      <c r="Q73" s="31">
        <v>0.01</v>
      </c>
      <c r="R73" s="584"/>
      <c r="S73" s="31">
        <v>0</v>
      </c>
      <c r="T73" s="31"/>
      <c r="U73" s="31">
        <v>0</v>
      </c>
      <c r="V73" s="31">
        <v>0</v>
      </c>
      <c r="W73" s="31">
        <v>0</v>
      </c>
      <c r="X73" s="31">
        <v>0</v>
      </c>
      <c r="Y73" s="31">
        <v>0</v>
      </c>
      <c r="Z73" s="31">
        <v>0</v>
      </c>
      <c r="AA73" s="31">
        <v>0</v>
      </c>
      <c r="AB73" s="31">
        <v>0</v>
      </c>
      <c r="AC73" s="31">
        <v>0</v>
      </c>
      <c r="AD73" s="31">
        <v>0</v>
      </c>
      <c r="AE73" s="31">
        <v>4.1666666666666666E-3</v>
      </c>
      <c r="AF73" s="31">
        <v>1.6666666666666668E-3</v>
      </c>
      <c r="AG73" s="31">
        <v>5.0000000000000001E-3</v>
      </c>
      <c r="AH73" s="31">
        <v>2.5000000000000001E-3</v>
      </c>
      <c r="AI73" s="31">
        <v>1.6666666666666668E-3</v>
      </c>
      <c r="AJ73" s="31">
        <v>1.6666666666666668E-3</v>
      </c>
      <c r="AK73" s="663">
        <v>8.8120773691676771E-3</v>
      </c>
      <c r="AL73" s="663">
        <v>1.3882292591485875E-2</v>
      </c>
      <c r="AM73" s="31">
        <v>0</v>
      </c>
      <c r="AN73" s="584"/>
      <c r="AO73" s="584"/>
      <c r="AP73" s="663"/>
      <c r="AQ73" s="31"/>
      <c r="AR73" s="31"/>
      <c r="AS73" s="31"/>
      <c r="AT73" s="31"/>
      <c r="AU73" s="31"/>
      <c r="AV73" s="31"/>
      <c r="AW73" s="31"/>
      <c r="AX73" s="31"/>
      <c r="AY73" s="31"/>
      <c r="AZ73" s="31">
        <f t="shared" si="5"/>
        <v>1.3882292591485875E-2</v>
      </c>
      <c r="BA73" s="25" t="str">
        <f t="shared" si="1"/>
        <v>DE women 14-50 yr</v>
      </c>
      <c r="BB73" s="25">
        <f t="shared" si="2"/>
        <v>0</v>
      </c>
      <c r="BC73" s="25" t="str">
        <f t="shared" si="3"/>
        <v/>
      </c>
    </row>
    <row r="74" spans="1:55" ht="15" customHeight="1" outlineLevel="3" x14ac:dyDescent="0.2">
      <c r="A74" s="39">
        <v>4</v>
      </c>
      <c r="B74" s="23">
        <v>161070</v>
      </c>
      <c r="C74" s="23" t="s">
        <v>691</v>
      </c>
      <c r="D74" s="22">
        <f>input_values!Z74</f>
        <v>4</v>
      </c>
      <c r="E74" s="657">
        <v>0</v>
      </c>
      <c r="F74" s="31">
        <v>0</v>
      </c>
      <c r="G74" s="31">
        <v>0</v>
      </c>
      <c r="H74" s="31">
        <v>0</v>
      </c>
      <c r="I74" s="31">
        <v>0</v>
      </c>
      <c r="J74" s="31">
        <v>0</v>
      </c>
      <c r="K74" s="31">
        <v>0</v>
      </c>
      <c r="L74" s="31">
        <v>0</v>
      </c>
      <c r="M74" s="31">
        <v>0</v>
      </c>
      <c r="N74" s="31">
        <v>0</v>
      </c>
      <c r="O74" s="31">
        <v>0</v>
      </c>
      <c r="P74" s="31">
        <v>0</v>
      </c>
      <c r="Q74" s="31">
        <v>0</v>
      </c>
      <c r="R74" s="584"/>
      <c r="S74" s="31">
        <v>0</v>
      </c>
      <c r="T74" s="31"/>
      <c r="U74" s="31">
        <v>0</v>
      </c>
      <c r="V74" s="31">
        <v>0</v>
      </c>
      <c r="W74" s="31">
        <v>0</v>
      </c>
      <c r="X74" s="31">
        <v>0</v>
      </c>
      <c r="Y74" s="31">
        <v>0</v>
      </c>
      <c r="Z74" s="31">
        <v>0</v>
      </c>
      <c r="AA74" s="31">
        <v>0</v>
      </c>
      <c r="AB74" s="31">
        <v>0</v>
      </c>
      <c r="AC74" s="31">
        <v>0</v>
      </c>
      <c r="AD74" s="31">
        <v>0</v>
      </c>
      <c r="AE74" s="31"/>
      <c r="AF74" s="31"/>
      <c r="AG74" s="31"/>
      <c r="AH74" s="31"/>
      <c r="AI74" s="31"/>
      <c r="AJ74" s="31"/>
      <c r="AK74" s="663">
        <v>0</v>
      </c>
      <c r="AL74" s="663">
        <v>0</v>
      </c>
      <c r="AM74" s="31">
        <v>0</v>
      </c>
      <c r="AN74" s="584"/>
      <c r="AO74" s="584"/>
      <c r="AP74" s="663"/>
      <c r="AQ74" s="31"/>
      <c r="AR74" s="31"/>
      <c r="AS74" s="31"/>
      <c r="AT74" s="31"/>
      <c r="AU74" s="31"/>
      <c r="AV74" s="31"/>
      <c r="AW74" s="31"/>
      <c r="AX74" s="31"/>
      <c r="AY74" s="31"/>
      <c r="AZ74" s="31">
        <f t="shared" si="5"/>
        <v>0</v>
      </c>
      <c r="BA74" s="25" t="str">
        <f t="shared" si="1"/>
        <v>DE child</v>
      </c>
      <c r="BB74" s="25">
        <f t="shared" si="2"/>
        <v>0</v>
      </c>
      <c r="BC74" s="25" t="str">
        <f t="shared" si="3"/>
        <v/>
      </c>
    </row>
    <row r="75" spans="1:55" ht="15" customHeight="1" outlineLevel="3" x14ac:dyDescent="0.2">
      <c r="A75" s="39">
        <v>4</v>
      </c>
      <c r="B75" s="23">
        <v>161990</v>
      </c>
      <c r="C75" s="23" t="s">
        <v>53</v>
      </c>
      <c r="D75" s="22">
        <f>input_values!Z75</f>
        <v>4</v>
      </c>
      <c r="E75" s="657">
        <v>0</v>
      </c>
      <c r="F75" s="31"/>
      <c r="G75" s="31">
        <v>0</v>
      </c>
      <c r="H75" s="31">
        <v>0</v>
      </c>
      <c r="I75" s="31">
        <v>0</v>
      </c>
      <c r="J75" s="31">
        <v>8.0279656779340805E-2</v>
      </c>
      <c r="K75" s="31">
        <v>0</v>
      </c>
      <c r="L75" s="31">
        <v>0</v>
      </c>
      <c r="M75" s="31">
        <v>0</v>
      </c>
      <c r="N75" s="31">
        <v>0</v>
      </c>
      <c r="O75" s="31">
        <v>0</v>
      </c>
      <c r="P75" s="31">
        <v>0</v>
      </c>
      <c r="Q75" s="31">
        <v>0</v>
      </c>
      <c r="R75" s="584"/>
      <c r="S75" s="31">
        <v>3.5202525283519324E-2</v>
      </c>
      <c r="T75" s="31"/>
      <c r="U75" s="31">
        <v>0</v>
      </c>
      <c r="V75" s="31">
        <v>0</v>
      </c>
      <c r="W75" s="31">
        <v>0</v>
      </c>
      <c r="X75" s="31">
        <v>0</v>
      </c>
      <c r="Y75" s="31">
        <v>0</v>
      </c>
      <c r="Z75" s="31">
        <v>0</v>
      </c>
      <c r="AA75" s="31">
        <v>0</v>
      </c>
      <c r="AB75" s="31">
        <v>0</v>
      </c>
      <c r="AC75" s="31">
        <v>0</v>
      </c>
      <c r="AD75" s="31">
        <v>0</v>
      </c>
      <c r="AE75" s="31"/>
      <c r="AF75" s="31"/>
      <c r="AG75" s="31"/>
      <c r="AH75" s="31"/>
      <c r="AI75" s="31"/>
      <c r="AJ75" s="31"/>
      <c r="AK75" s="663">
        <v>0</v>
      </c>
      <c r="AL75" s="663">
        <v>0</v>
      </c>
      <c r="AM75" s="31">
        <v>0</v>
      </c>
      <c r="AN75" s="584"/>
      <c r="AO75" s="584"/>
      <c r="AP75" s="663"/>
      <c r="AQ75" s="31"/>
      <c r="AR75" s="31"/>
      <c r="AS75" s="31"/>
      <c r="AT75" s="31"/>
      <c r="AU75" s="31"/>
      <c r="AV75" s="31"/>
      <c r="AW75" s="31"/>
      <c r="AX75" s="31"/>
      <c r="AY75" s="31"/>
      <c r="AZ75" s="31">
        <f t="shared" si="5"/>
        <v>8.0279656779340805E-2</v>
      </c>
      <c r="BA75" s="25" t="str">
        <f t="shared" si="1"/>
        <v>FR child 3 15 yr</v>
      </c>
      <c r="BB75" s="25">
        <f t="shared" si="2"/>
        <v>0</v>
      </c>
      <c r="BC75" s="25" t="str">
        <f t="shared" si="3"/>
        <v/>
      </c>
    </row>
    <row r="76" spans="1:55" ht="15" customHeight="1" outlineLevel="2" x14ac:dyDescent="0.2">
      <c r="A76" s="132">
        <v>3</v>
      </c>
      <c r="B76" s="3">
        <v>162000</v>
      </c>
      <c r="C76" s="3" t="s">
        <v>135</v>
      </c>
      <c r="D76" s="80">
        <f>input_values!Z76</f>
        <v>4</v>
      </c>
      <c r="E76" s="654">
        <f>SUM(E77:E83)</f>
        <v>0.53</v>
      </c>
      <c r="F76" s="48">
        <f t="shared" ref="F76:AO76" si="15">SUM(F77:F83)</f>
        <v>0.11136363636363636</v>
      </c>
      <c r="G76" s="48">
        <f t="shared" si="15"/>
        <v>4.3299999999999998E-2</v>
      </c>
      <c r="H76" s="48">
        <f t="shared" si="15"/>
        <v>2.5723742222394444E-2</v>
      </c>
      <c r="I76" s="48">
        <f t="shared" si="15"/>
        <v>0.18978509015026629</v>
      </c>
      <c r="J76" s="48">
        <f t="shared" si="15"/>
        <v>0.19157056494236346</v>
      </c>
      <c r="K76" s="48">
        <f t="shared" si="15"/>
        <v>6.8252823840422971E-2</v>
      </c>
      <c r="L76" s="48">
        <f t="shared" si="15"/>
        <v>0.94400000000000006</v>
      </c>
      <c r="M76" s="48">
        <f t="shared" si="15"/>
        <v>0.32600000000000001</v>
      </c>
      <c r="N76" s="48">
        <f t="shared" si="15"/>
        <v>0</v>
      </c>
      <c r="O76" s="48">
        <f t="shared" si="15"/>
        <v>2.7397260273972605E-2</v>
      </c>
      <c r="P76" s="48">
        <f t="shared" si="15"/>
        <v>4.260053262316911E-2</v>
      </c>
      <c r="Q76" s="48">
        <f t="shared" si="15"/>
        <v>0.1142</v>
      </c>
      <c r="R76" s="48">
        <f t="shared" si="15"/>
        <v>1.28756798E-2</v>
      </c>
      <c r="S76" s="48">
        <f t="shared" si="15"/>
        <v>8.3908394860378238E-2</v>
      </c>
      <c r="T76" s="48"/>
      <c r="U76" s="48">
        <f t="shared" si="15"/>
        <v>0.50930851063829785</v>
      </c>
      <c r="V76" s="48">
        <f t="shared" si="15"/>
        <v>3.7889039242219209E-2</v>
      </c>
      <c r="W76" s="48">
        <f t="shared" si="15"/>
        <v>0</v>
      </c>
      <c r="X76" s="48">
        <f t="shared" si="15"/>
        <v>6.3E-2</v>
      </c>
      <c r="Y76" s="48">
        <f t="shared" si="15"/>
        <v>7.9617834394904458E-3</v>
      </c>
      <c r="Z76" s="48">
        <f t="shared" si="15"/>
        <v>0</v>
      </c>
      <c r="AA76" s="48">
        <f t="shared" si="15"/>
        <v>0</v>
      </c>
      <c r="AB76" s="48">
        <f t="shared" si="15"/>
        <v>0.18333333333333332</v>
      </c>
      <c r="AC76" s="48">
        <f t="shared" si="15"/>
        <v>1.8421052631578946E-2</v>
      </c>
      <c r="AD76" s="48">
        <f t="shared" si="15"/>
        <v>2.5487256371814093E-2</v>
      </c>
      <c r="AE76" s="48">
        <f t="shared" si="15"/>
        <v>0.1021666666666666</v>
      </c>
      <c r="AF76" s="48">
        <f t="shared" si="15"/>
        <v>0.19533333333333336</v>
      </c>
      <c r="AG76" s="48">
        <f t="shared" si="15"/>
        <v>0.13383333333333333</v>
      </c>
      <c r="AH76" s="48">
        <f t="shared" si="15"/>
        <v>7.6999999999999999E-2</v>
      </c>
      <c r="AI76" s="48">
        <f t="shared" si="15"/>
        <v>0.32316666666666666</v>
      </c>
      <c r="AJ76" s="48">
        <f t="shared" si="15"/>
        <v>0.11783333333333332</v>
      </c>
      <c r="AK76" s="48">
        <f t="shared" si="15"/>
        <v>8.9052538601216744E-2</v>
      </c>
      <c r="AL76" s="48">
        <f t="shared" si="15"/>
        <v>0.10265917246431121</v>
      </c>
      <c r="AM76" s="48">
        <f t="shared" si="15"/>
        <v>1.9430699999999999E-2</v>
      </c>
      <c r="AN76" s="48">
        <f t="shared" si="15"/>
        <v>9.8346145199999999E-2</v>
      </c>
      <c r="AO76" s="48">
        <f t="shared" si="15"/>
        <v>6.3989622800000007E-2</v>
      </c>
      <c r="AP76" s="48"/>
      <c r="AQ76" s="48"/>
      <c r="AR76" s="48"/>
      <c r="AS76" s="48"/>
      <c r="AT76" s="48"/>
      <c r="AU76" s="48"/>
      <c r="AV76" s="48"/>
      <c r="AW76" s="48"/>
      <c r="AX76" s="48" t="s">
        <v>369</v>
      </c>
      <c r="AY76" s="48"/>
      <c r="AZ76" s="48">
        <f t="shared" ref="AZ76:AZ139" si="16">MAX(E76:AY76)</f>
        <v>0.94400000000000006</v>
      </c>
      <c r="BA76" s="4" t="str">
        <f t="shared" ref="BA76:BA139" si="17">INDEX($E$11:$AY$11,MATCH(AZ76,E76:AY76,0))</f>
        <v>NL toddler</v>
      </c>
      <c r="BB76" s="4">
        <f t="shared" ref="BB76:BB139" si="18">MIN(E76:AY76)</f>
        <v>0</v>
      </c>
      <c r="BC76" s="4" t="str">
        <f t="shared" ref="BC76:BC139" si="19">IF(BB76=0,"",INDEX($E$11:$AY$11,MATCH(BB76,E76:AY76,0)))</f>
        <v/>
      </c>
    </row>
    <row r="77" spans="1:55" ht="15" customHeight="1" outlineLevel="3" x14ac:dyDescent="0.2">
      <c r="A77" s="39">
        <v>4</v>
      </c>
      <c r="B77" s="23">
        <v>162010</v>
      </c>
      <c r="C77" s="23" t="s">
        <v>692</v>
      </c>
      <c r="D77" s="22">
        <f>input_values!Z77</f>
        <v>4</v>
      </c>
      <c r="E77" s="657">
        <v>0.28999999999999998</v>
      </c>
      <c r="F77" s="31">
        <v>0.10909090909090909</v>
      </c>
      <c r="G77" s="31">
        <v>4.2299999999999997E-2</v>
      </c>
      <c r="H77" s="31">
        <v>2.5723742222394444E-2</v>
      </c>
      <c r="I77" s="31">
        <v>0.18978509015026629</v>
      </c>
      <c r="J77" s="31">
        <v>0.11129090816302278</v>
      </c>
      <c r="K77" s="31">
        <v>4.5662100456621002E-2</v>
      </c>
      <c r="L77" s="31">
        <v>0.89300000000000002</v>
      </c>
      <c r="M77" s="31">
        <v>0.24099999999999999</v>
      </c>
      <c r="N77" s="31">
        <v>0</v>
      </c>
      <c r="O77" s="31">
        <v>2.7397260273972605E-2</v>
      </c>
      <c r="P77" s="31">
        <v>4.260053262316911E-2</v>
      </c>
      <c r="Q77" s="31">
        <v>0.1099</v>
      </c>
      <c r="R77" s="584">
        <v>1.28756798E-2</v>
      </c>
      <c r="S77" s="31">
        <v>4.8550450459022974E-2</v>
      </c>
      <c r="T77" s="31"/>
      <c r="U77" s="31">
        <v>0.26728723404255322</v>
      </c>
      <c r="V77" s="31">
        <v>3.7889039242219209E-2</v>
      </c>
      <c r="W77" s="31">
        <v>0</v>
      </c>
      <c r="X77" s="31">
        <v>5.0999999999999997E-2</v>
      </c>
      <c r="Y77" s="31">
        <v>7.9617834394904458E-3</v>
      </c>
      <c r="Z77" s="31">
        <v>0</v>
      </c>
      <c r="AA77" s="31">
        <v>0</v>
      </c>
      <c r="AB77" s="31">
        <v>0.13333333333333333</v>
      </c>
      <c r="AC77" s="31">
        <v>1.8421052631578946E-2</v>
      </c>
      <c r="AD77" s="31">
        <v>2.3988005997001498E-2</v>
      </c>
      <c r="AE77" s="31">
        <v>1.15E-2</v>
      </c>
      <c r="AF77" s="31">
        <v>4.1000000000000002E-2</v>
      </c>
      <c r="AG77" s="31">
        <v>6.0333333333333336E-2</v>
      </c>
      <c r="AH77" s="31">
        <v>2.4666666666666667E-2</v>
      </c>
      <c r="AI77" s="31">
        <v>0.12383333333333332</v>
      </c>
      <c r="AJ77" s="31">
        <v>3.3333333333333333E-2</v>
      </c>
      <c r="AK77" s="663">
        <v>4.3139225547044399E-2</v>
      </c>
      <c r="AL77" s="663">
        <v>4.2953493748351231E-2</v>
      </c>
      <c r="AM77" s="31">
        <v>1.9430699999999999E-2</v>
      </c>
      <c r="AN77" s="584">
        <v>9.7830324400000002E-2</v>
      </c>
      <c r="AO77" s="584">
        <v>6.3989622800000007E-2</v>
      </c>
      <c r="AP77" s="663"/>
      <c r="AQ77" s="31"/>
      <c r="AR77" s="31"/>
      <c r="AS77" s="31"/>
      <c r="AT77" s="31"/>
      <c r="AU77" s="31"/>
      <c r="AV77" s="31"/>
      <c r="AW77" s="31"/>
      <c r="AX77" s="31"/>
      <c r="AY77" s="31"/>
      <c r="AZ77" s="31">
        <f t="shared" si="16"/>
        <v>0.89300000000000002</v>
      </c>
      <c r="BA77" s="25" t="str">
        <f t="shared" si="17"/>
        <v>NL toddler</v>
      </c>
      <c r="BB77" s="25">
        <f t="shared" si="18"/>
        <v>0</v>
      </c>
      <c r="BC77" s="25" t="str">
        <f t="shared" si="19"/>
        <v/>
      </c>
    </row>
    <row r="78" spans="1:55" ht="15" customHeight="1" outlineLevel="3" x14ac:dyDescent="0.2">
      <c r="A78" s="39">
        <v>4</v>
      </c>
      <c r="B78" s="23">
        <v>162020</v>
      </c>
      <c r="C78" s="23" t="s">
        <v>693</v>
      </c>
      <c r="D78" s="22">
        <f>input_values!Z78</f>
        <v>4</v>
      </c>
      <c r="E78" s="657">
        <v>0.01</v>
      </c>
      <c r="F78" s="31">
        <v>0</v>
      </c>
      <c r="G78" s="31">
        <v>0</v>
      </c>
      <c r="H78" s="31">
        <v>0</v>
      </c>
      <c r="I78" s="31">
        <v>0</v>
      </c>
      <c r="J78" s="31">
        <v>0</v>
      </c>
      <c r="K78" s="31">
        <v>0</v>
      </c>
      <c r="L78" s="31">
        <v>2E-3</v>
      </c>
      <c r="M78" s="31">
        <v>1E-3</v>
      </c>
      <c r="N78" s="31">
        <v>0</v>
      </c>
      <c r="O78" s="31">
        <v>0</v>
      </c>
      <c r="P78" s="31">
        <v>0</v>
      </c>
      <c r="Q78" s="31">
        <v>0</v>
      </c>
      <c r="R78" s="584"/>
      <c r="S78" s="31">
        <v>1.5541911783594934E-4</v>
      </c>
      <c r="T78" s="31"/>
      <c r="U78" s="31">
        <v>5.1861702127659573E-2</v>
      </c>
      <c r="V78" s="31">
        <v>0</v>
      </c>
      <c r="W78" s="31">
        <v>0</v>
      </c>
      <c r="X78" s="31">
        <v>0</v>
      </c>
      <c r="Y78" s="31">
        <v>0</v>
      </c>
      <c r="Z78" s="31">
        <v>0</v>
      </c>
      <c r="AA78" s="31">
        <v>0</v>
      </c>
      <c r="AB78" s="31">
        <v>1.6666666666666666E-2</v>
      </c>
      <c r="AC78" s="31">
        <v>0</v>
      </c>
      <c r="AD78" s="31">
        <v>0</v>
      </c>
      <c r="AE78" s="31">
        <v>7.5666666666666674E-2</v>
      </c>
      <c r="AF78" s="31">
        <v>0.13333333333333333</v>
      </c>
      <c r="AG78" s="31">
        <v>6.1666666666666668E-2</v>
      </c>
      <c r="AH78" s="31">
        <v>1.6666666666666668E-3</v>
      </c>
      <c r="AI78" s="31">
        <v>0.19766666666666666</v>
      </c>
      <c r="AJ78" s="31">
        <v>8.1166666666666665E-2</v>
      </c>
      <c r="AK78" s="663">
        <v>9.1717947865210087E-4</v>
      </c>
      <c r="AL78" s="663">
        <v>1.2127225395014256E-3</v>
      </c>
      <c r="AM78" s="31">
        <v>0</v>
      </c>
      <c r="AN78" s="584">
        <v>5.1582080000000001E-4</v>
      </c>
      <c r="AO78" s="584"/>
      <c r="AP78" s="663"/>
      <c r="AQ78" s="31"/>
      <c r="AR78" s="31"/>
      <c r="AS78" s="31"/>
      <c r="AT78" s="31"/>
      <c r="AU78" s="31"/>
      <c r="AV78" s="31"/>
      <c r="AW78" s="31"/>
      <c r="AX78" s="31"/>
      <c r="AY78" s="31"/>
      <c r="AZ78" s="31">
        <f t="shared" si="16"/>
        <v>0.19766666666666666</v>
      </c>
      <c r="BA78" s="25" t="str">
        <f t="shared" si="17"/>
        <v>GEMS/Food G11</v>
      </c>
      <c r="BB78" s="25">
        <f t="shared" si="18"/>
        <v>0</v>
      </c>
      <c r="BC78" s="25" t="str">
        <f t="shared" si="19"/>
        <v/>
      </c>
    </row>
    <row r="79" spans="1:55" ht="15" customHeight="1" outlineLevel="3" x14ac:dyDescent="0.2">
      <c r="A79" s="39">
        <v>4</v>
      </c>
      <c r="B79" s="23">
        <v>162030</v>
      </c>
      <c r="C79" s="23" t="s">
        <v>694</v>
      </c>
      <c r="D79" s="22">
        <f>input_values!Z79</f>
        <v>4</v>
      </c>
      <c r="E79" s="657">
        <v>0.23</v>
      </c>
      <c r="F79" s="31">
        <v>2.2727272727272731E-3</v>
      </c>
      <c r="G79" s="31">
        <v>1E-3</v>
      </c>
      <c r="H79" s="31">
        <v>0</v>
      </c>
      <c r="I79" s="31">
        <v>0</v>
      </c>
      <c r="J79" s="31">
        <v>0</v>
      </c>
      <c r="K79" s="31">
        <v>0</v>
      </c>
      <c r="L79" s="31">
        <v>4.9000000000000002E-2</v>
      </c>
      <c r="M79" s="31">
        <v>8.4000000000000005E-2</v>
      </c>
      <c r="N79" s="31">
        <v>0</v>
      </c>
      <c r="O79" s="31">
        <v>0</v>
      </c>
      <c r="P79" s="31">
        <v>0</v>
      </c>
      <c r="Q79" s="31">
        <v>4.3E-3</v>
      </c>
      <c r="R79" s="584"/>
      <c r="S79" s="31">
        <v>0</v>
      </c>
      <c r="T79" s="31"/>
      <c r="U79" s="31">
        <v>0.1901595744680851</v>
      </c>
      <c r="V79" s="31">
        <v>0</v>
      </c>
      <c r="W79" s="31">
        <v>0</v>
      </c>
      <c r="X79" s="31">
        <v>1.2E-2</v>
      </c>
      <c r="Y79" s="31">
        <v>0</v>
      </c>
      <c r="Z79" s="31">
        <v>0</v>
      </c>
      <c r="AA79" s="31">
        <v>0</v>
      </c>
      <c r="AB79" s="31">
        <v>3.3333333333333333E-2</v>
      </c>
      <c r="AC79" s="31">
        <v>0</v>
      </c>
      <c r="AD79" s="31">
        <v>1.4992503748125937E-3</v>
      </c>
      <c r="AE79" s="31">
        <v>1.6666666666666668E-3</v>
      </c>
      <c r="AF79" s="31">
        <v>1.6666666666666668E-3</v>
      </c>
      <c r="AG79" s="31">
        <v>1.6666666666666668E-3</v>
      </c>
      <c r="AH79" s="31">
        <v>0</v>
      </c>
      <c r="AI79" s="31">
        <v>1.6666666666666668E-3</v>
      </c>
      <c r="AJ79" s="31">
        <v>1.6666666666666668E-3</v>
      </c>
      <c r="AK79" s="663">
        <v>3.9755699033848776E-2</v>
      </c>
      <c r="AL79" s="663">
        <v>5.6119142615768287E-2</v>
      </c>
      <c r="AM79" s="31">
        <v>0</v>
      </c>
      <c r="AN79" s="584"/>
      <c r="AO79" s="584"/>
      <c r="AP79" s="663"/>
      <c r="AQ79" s="31"/>
      <c r="AR79" s="31"/>
      <c r="AS79" s="31"/>
      <c r="AT79" s="31"/>
      <c r="AU79" s="31"/>
      <c r="AV79" s="31"/>
      <c r="AW79" s="31"/>
      <c r="AX79" s="31"/>
      <c r="AY79" s="31"/>
      <c r="AZ79" s="31">
        <f t="shared" si="16"/>
        <v>0.23</v>
      </c>
      <c r="BA79" s="25" t="str">
        <f t="shared" si="17"/>
        <v>DE child</v>
      </c>
      <c r="BB79" s="25">
        <f t="shared" si="18"/>
        <v>0</v>
      </c>
      <c r="BC79" s="25" t="str">
        <f t="shared" si="19"/>
        <v/>
      </c>
    </row>
    <row r="80" spans="1:55" ht="15" customHeight="1" outlineLevel="3" x14ac:dyDescent="0.2">
      <c r="A80" s="39">
        <v>4</v>
      </c>
      <c r="B80" s="23">
        <v>162040</v>
      </c>
      <c r="C80" s="23" t="s">
        <v>695</v>
      </c>
      <c r="D80" s="22">
        <f>input_values!Z80</f>
        <v>4</v>
      </c>
      <c r="E80" s="657">
        <v>0</v>
      </c>
      <c r="F80" s="31">
        <v>0</v>
      </c>
      <c r="G80" s="31">
        <v>0</v>
      </c>
      <c r="H80" s="31">
        <v>0</v>
      </c>
      <c r="I80" s="31">
        <v>0</v>
      </c>
      <c r="J80" s="31">
        <v>0</v>
      </c>
      <c r="K80" s="31">
        <v>0</v>
      </c>
      <c r="L80" s="31">
        <v>0</v>
      </c>
      <c r="M80" s="31">
        <v>0</v>
      </c>
      <c r="N80" s="31">
        <v>0</v>
      </c>
      <c r="O80" s="31">
        <v>0</v>
      </c>
      <c r="P80" s="31">
        <v>0</v>
      </c>
      <c r="Q80" s="31">
        <v>0</v>
      </c>
      <c r="R80" s="584"/>
      <c r="S80" s="31">
        <v>0</v>
      </c>
      <c r="T80" s="31"/>
      <c r="U80" s="31">
        <v>0</v>
      </c>
      <c r="V80" s="31">
        <v>0</v>
      </c>
      <c r="W80" s="31">
        <v>0</v>
      </c>
      <c r="X80" s="31">
        <v>0</v>
      </c>
      <c r="Y80" s="31">
        <v>0</v>
      </c>
      <c r="Z80" s="31">
        <v>0</v>
      </c>
      <c r="AA80" s="31">
        <v>0</v>
      </c>
      <c r="AB80" s="31">
        <v>0</v>
      </c>
      <c r="AC80" s="31">
        <v>0</v>
      </c>
      <c r="AD80" s="31">
        <v>0</v>
      </c>
      <c r="AE80" s="31">
        <v>0.01</v>
      </c>
      <c r="AF80" s="31">
        <v>1.7666666666666667E-2</v>
      </c>
      <c r="AG80" s="31">
        <v>1.0166666666666666E-2</v>
      </c>
      <c r="AH80" s="31">
        <v>1.6833333333333332E-2</v>
      </c>
      <c r="AI80" s="31">
        <v>0</v>
      </c>
      <c r="AJ80" s="31">
        <v>0</v>
      </c>
      <c r="AK80" s="663">
        <v>5.2404345416714624E-3</v>
      </c>
      <c r="AL80" s="663">
        <v>2.373813560690257E-3</v>
      </c>
      <c r="AM80" s="31">
        <v>0</v>
      </c>
      <c r="AN80" s="584"/>
      <c r="AO80" s="584"/>
      <c r="AP80" s="663"/>
      <c r="AQ80" s="31"/>
      <c r="AR80" s="31"/>
      <c r="AS80" s="31"/>
      <c r="AT80" s="31"/>
      <c r="AU80" s="31"/>
      <c r="AV80" s="31"/>
      <c r="AW80" s="31"/>
      <c r="AX80" s="31"/>
      <c r="AY80" s="31"/>
      <c r="AZ80" s="31">
        <f t="shared" si="16"/>
        <v>1.7666666666666667E-2</v>
      </c>
      <c r="BA80" s="25" t="str">
        <f t="shared" si="17"/>
        <v>GEMS/Food G07</v>
      </c>
      <c r="BB80" s="25">
        <f t="shared" si="18"/>
        <v>0</v>
      </c>
      <c r="BC80" s="25" t="str">
        <f t="shared" si="19"/>
        <v/>
      </c>
    </row>
    <row r="81" spans="1:55" ht="15" customHeight="1" outlineLevel="3" x14ac:dyDescent="0.2">
      <c r="A81" s="39">
        <v>4</v>
      </c>
      <c r="B81" s="23">
        <v>162050</v>
      </c>
      <c r="C81" s="23" t="s">
        <v>696</v>
      </c>
      <c r="D81" s="22">
        <f>input_values!Z81</f>
        <v>4</v>
      </c>
      <c r="E81" s="657">
        <v>0</v>
      </c>
      <c r="F81" s="31">
        <v>0</v>
      </c>
      <c r="G81" s="31">
        <v>0</v>
      </c>
      <c r="H81" s="31">
        <v>0</v>
      </c>
      <c r="I81" s="31">
        <v>0</v>
      </c>
      <c r="J81" s="31">
        <v>0</v>
      </c>
      <c r="K81" s="31">
        <v>0</v>
      </c>
      <c r="L81" s="31">
        <v>0</v>
      </c>
      <c r="M81" s="31">
        <v>0</v>
      </c>
      <c r="N81" s="31">
        <v>0</v>
      </c>
      <c r="O81" s="31">
        <v>0</v>
      </c>
      <c r="P81" s="31">
        <v>0</v>
      </c>
      <c r="Q81" s="31">
        <v>0</v>
      </c>
      <c r="R81" s="584"/>
      <c r="S81" s="31">
        <v>0</v>
      </c>
      <c r="T81" s="31"/>
      <c r="U81" s="31">
        <v>0</v>
      </c>
      <c r="V81" s="31">
        <v>0</v>
      </c>
      <c r="W81" s="31">
        <v>0</v>
      </c>
      <c r="X81" s="31">
        <v>0</v>
      </c>
      <c r="Y81" s="31">
        <v>0</v>
      </c>
      <c r="Z81" s="31">
        <v>0</v>
      </c>
      <c r="AA81" s="31">
        <v>0</v>
      </c>
      <c r="AB81" s="31">
        <v>0</v>
      </c>
      <c r="AC81" s="31">
        <v>0</v>
      </c>
      <c r="AD81" s="31">
        <v>0</v>
      </c>
      <c r="AE81" s="31">
        <v>1.66666666666661E-3</v>
      </c>
      <c r="AF81" s="31">
        <v>0</v>
      </c>
      <c r="AG81" s="31">
        <v>0</v>
      </c>
      <c r="AH81" s="31">
        <v>0</v>
      </c>
      <c r="AI81" s="31">
        <v>0</v>
      </c>
      <c r="AJ81" s="31">
        <v>0</v>
      </c>
      <c r="AK81" s="663">
        <v>0</v>
      </c>
      <c r="AL81" s="663">
        <v>0</v>
      </c>
      <c r="AM81" s="31">
        <v>0</v>
      </c>
      <c r="AN81" s="584"/>
      <c r="AO81" s="584"/>
      <c r="AP81" s="663"/>
      <c r="AQ81" s="31"/>
      <c r="AR81" s="31"/>
      <c r="AS81" s="31"/>
      <c r="AT81" s="31"/>
      <c r="AU81" s="31"/>
      <c r="AV81" s="31"/>
      <c r="AW81" s="31"/>
      <c r="AX81" s="31"/>
      <c r="AY81" s="31"/>
      <c r="AZ81" s="31">
        <f t="shared" si="16"/>
        <v>1.66666666666661E-3</v>
      </c>
      <c r="BA81" s="25" t="str">
        <f t="shared" si="17"/>
        <v>GEMS/Food G06</v>
      </c>
      <c r="BB81" s="25">
        <f t="shared" si="18"/>
        <v>0</v>
      </c>
      <c r="BC81" s="25" t="str">
        <f t="shared" si="19"/>
        <v/>
      </c>
    </row>
    <row r="82" spans="1:55" ht="15" customHeight="1" outlineLevel="3" x14ac:dyDescent="0.2">
      <c r="A82" s="39">
        <v>4</v>
      </c>
      <c r="B82" s="23">
        <v>162060</v>
      </c>
      <c r="C82" s="23" t="s">
        <v>697</v>
      </c>
      <c r="D82" s="22">
        <f>input_values!Z82</f>
        <v>4</v>
      </c>
      <c r="E82" s="657">
        <v>0</v>
      </c>
      <c r="F82" s="31">
        <v>0</v>
      </c>
      <c r="G82" s="31">
        <v>0</v>
      </c>
      <c r="H82" s="31">
        <v>0</v>
      </c>
      <c r="I82" s="31">
        <v>0</v>
      </c>
      <c r="J82" s="31">
        <v>0</v>
      </c>
      <c r="K82" s="31">
        <v>0</v>
      </c>
      <c r="L82" s="31">
        <v>0</v>
      </c>
      <c r="M82" s="31">
        <v>0</v>
      </c>
      <c r="N82" s="31">
        <v>0</v>
      </c>
      <c r="O82" s="31">
        <v>0</v>
      </c>
      <c r="P82" s="31">
        <v>0</v>
      </c>
      <c r="Q82" s="31">
        <v>0</v>
      </c>
      <c r="R82" s="584"/>
      <c r="S82" s="31">
        <v>0</v>
      </c>
      <c r="T82" s="31"/>
      <c r="U82" s="31">
        <v>0</v>
      </c>
      <c r="V82" s="31">
        <v>0</v>
      </c>
      <c r="W82" s="31">
        <v>0</v>
      </c>
      <c r="X82" s="31">
        <v>0</v>
      </c>
      <c r="Y82" s="31">
        <v>0</v>
      </c>
      <c r="Z82" s="31">
        <v>0</v>
      </c>
      <c r="AA82" s="31">
        <v>0</v>
      </c>
      <c r="AB82" s="31">
        <v>0</v>
      </c>
      <c r="AC82" s="31">
        <v>0</v>
      </c>
      <c r="AD82" s="31">
        <v>0</v>
      </c>
      <c r="AE82" s="31">
        <v>1.6666666666666668E-3</v>
      </c>
      <c r="AF82" s="31">
        <v>1.6666666666666668E-3</v>
      </c>
      <c r="AG82" s="31">
        <v>0</v>
      </c>
      <c r="AH82" s="31">
        <v>3.3833333333333333E-2</v>
      </c>
      <c r="AI82" s="31">
        <v>0</v>
      </c>
      <c r="AJ82" s="31">
        <v>1.6666666666666668E-3</v>
      </c>
      <c r="AK82" s="663">
        <v>0</v>
      </c>
      <c r="AL82" s="663">
        <v>0</v>
      </c>
      <c r="AM82" s="31">
        <v>0</v>
      </c>
      <c r="AN82" s="584"/>
      <c r="AO82" s="584"/>
      <c r="AP82" s="663"/>
      <c r="AQ82" s="31"/>
      <c r="AR82" s="31"/>
      <c r="AS82" s="31"/>
      <c r="AT82" s="31"/>
      <c r="AU82" s="31"/>
      <c r="AV82" s="31"/>
      <c r="AW82" s="31"/>
      <c r="AX82" s="31"/>
      <c r="AY82" s="31"/>
      <c r="AZ82" s="31">
        <f t="shared" si="16"/>
        <v>3.3833333333333333E-2</v>
      </c>
      <c r="BA82" s="25" t="str">
        <f t="shared" si="17"/>
        <v>GEMS/Food G10</v>
      </c>
      <c r="BB82" s="25">
        <f t="shared" si="18"/>
        <v>0</v>
      </c>
      <c r="BC82" s="25" t="str">
        <f t="shared" si="19"/>
        <v/>
      </c>
    </row>
    <row r="83" spans="1:55" ht="15" customHeight="1" outlineLevel="3" x14ac:dyDescent="0.2">
      <c r="A83" s="39">
        <v>4</v>
      </c>
      <c r="B83" s="23">
        <v>162990</v>
      </c>
      <c r="C83" s="23" t="s">
        <v>54</v>
      </c>
      <c r="D83" s="22">
        <f>input_values!Z83</f>
        <v>4</v>
      </c>
      <c r="E83" s="657">
        <v>0</v>
      </c>
      <c r="F83" s="31"/>
      <c r="G83" s="31">
        <v>0</v>
      </c>
      <c r="H83" s="31">
        <v>0</v>
      </c>
      <c r="I83" s="31">
        <v>0</v>
      </c>
      <c r="J83" s="31">
        <v>8.027965677934068E-2</v>
      </c>
      <c r="K83" s="31">
        <v>2.2590723383801969E-2</v>
      </c>
      <c r="L83" s="31">
        <v>0</v>
      </c>
      <c r="M83" s="31">
        <v>0</v>
      </c>
      <c r="N83" s="31">
        <v>0</v>
      </c>
      <c r="O83" s="31">
        <v>0</v>
      </c>
      <c r="P83" s="31">
        <v>0</v>
      </c>
      <c r="Q83" s="31">
        <v>0</v>
      </c>
      <c r="R83" s="584"/>
      <c r="S83" s="31">
        <v>3.5202525283519324E-2</v>
      </c>
      <c r="T83" s="31"/>
      <c r="U83" s="31">
        <v>0</v>
      </c>
      <c r="V83" s="31">
        <v>0</v>
      </c>
      <c r="W83" s="31">
        <v>0</v>
      </c>
      <c r="X83" s="31">
        <v>0</v>
      </c>
      <c r="Y83" s="31">
        <v>0</v>
      </c>
      <c r="Z83" s="31">
        <v>0</v>
      </c>
      <c r="AA83" s="31">
        <v>0</v>
      </c>
      <c r="AB83" s="31">
        <v>0</v>
      </c>
      <c r="AC83" s="31">
        <v>0</v>
      </c>
      <c r="AD83" s="31">
        <v>0</v>
      </c>
      <c r="AE83" s="31"/>
      <c r="AF83" s="31"/>
      <c r="AG83" s="31"/>
      <c r="AH83" s="31"/>
      <c r="AI83" s="31"/>
      <c r="AJ83" s="31"/>
      <c r="AK83" s="663">
        <v>0</v>
      </c>
      <c r="AL83" s="663">
        <v>0</v>
      </c>
      <c r="AM83" s="31">
        <v>0</v>
      </c>
      <c r="AN83" s="584"/>
      <c r="AO83" s="584"/>
      <c r="AP83" s="663"/>
      <c r="AQ83" s="31"/>
      <c r="AR83" s="31"/>
      <c r="AS83" s="31"/>
      <c r="AT83" s="31"/>
      <c r="AU83" s="31"/>
      <c r="AV83" s="31"/>
      <c r="AW83" s="31"/>
      <c r="AX83" s="31"/>
      <c r="AY83" s="31"/>
      <c r="AZ83" s="31">
        <f t="shared" si="16"/>
        <v>8.027965677934068E-2</v>
      </c>
      <c r="BA83" s="25" t="str">
        <f t="shared" si="17"/>
        <v>FR child 3 15 yr</v>
      </c>
      <c r="BB83" s="25">
        <f t="shared" si="18"/>
        <v>0</v>
      </c>
      <c r="BC83" s="25" t="str">
        <f t="shared" si="19"/>
        <v/>
      </c>
    </row>
    <row r="84" spans="1:55" ht="15" customHeight="1" outlineLevel="2" x14ac:dyDescent="0.2">
      <c r="A84" s="132">
        <v>3</v>
      </c>
      <c r="B84" s="3">
        <v>163000</v>
      </c>
      <c r="C84" s="3" t="s">
        <v>136</v>
      </c>
      <c r="D84" s="80">
        <f>input_values!Z84</f>
        <v>4</v>
      </c>
      <c r="E84" s="654">
        <f>SUM(E85:E96)</f>
        <v>2.0700000000000003</v>
      </c>
      <c r="F84" s="48">
        <f t="shared" ref="F84:AO84" si="20">SUM(F85:F96)</f>
        <v>1.175</v>
      </c>
      <c r="G84" s="48">
        <f t="shared" si="20"/>
        <v>1.0531999999999999</v>
      </c>
      <c r="H84" s="48">
        <f t="shared" si="20"/>
        <v>0.26137188323091592</v>
      </c>
      <c r="I84" s="48">
        <f t="shared" si="20"/>
        <v>0.79802941091843949</v>
      </c>
      <c r="J84" s="48">
        <f t="shared" si="20"/>
        <v>0.86459443376813194</v>
      </c>
      <c r="K84" s="48">
        <f t="shared" si="20"/>
        <v>0.54914683970199474</v>
      </c>
      <c r="L84" s="48">
        <f t="shared" si="20"/>
        <v>5.8090000000000002</v>
      </c>
      <c r="M84" s="48">
        <f t="shared" si="20"/>
        <v>2.1790000000000003</v>
      </c>
      <c r="N84" s="48">
        <f t="shared" si="20"/>
        <v>1.7011494252873565</v>
      </c>
      <c r="O84" s="48">
        <f t="shared" si="20"/>
        <v>1.2739726027397262</v>
      </c>
      <c r="P84" s="48">
        <f t="shared" si="20"/>
        <v>0.53001409187749671</v>
      </c>
      <c r="Q84" s="48">
        <f t="shared" si="20"/>
        <v>0.45540000000000003</v>
      </c>
      <c r="R84" s="48">
        <f t="shared" si="20"/>
        <v>0.37923910059999999</v>
      </c>
      <c r="S84" s="48">
        <f t="shared" si="20"/>
        <v>0.23980014977234013</v>
      </c>
      <c r="T84" s="48"/>
      <c r="U84" s="48">
        <f t="shared" si="20"/>
        <v>1.4321808510638299</v>
      </c>
      <c r="V84" s="48">
        <f t="shared" si="20"/>
        <v>0.22598105548037889</v>
      </c>
      <c r="W84" s="48">
        <f t="shared" si="20"/>
        <v>5.7999999999999996E-2</v>
      </c>
      <c r="X84" s="48">
        <f t="shared" si="20"/>
        <v>0.34499999999999997</v>
      </c>
      <c r="Y84" s="48">
        <f t="shared" si="20"/>
        <v>0.18789808917197454</v>
      </c>
      <c r="Z84" s="48">
        <f t="shared" si="20"/>
        <v>0.35</v>
      </c>
      <c r="AA84" s="48">
        <f t="shared" si="20"/>
        <v>0.23333333333333334</v>
      </c>
      <c r="AB84" s="48">
        <f t="shared" si="20"/>
        <v>1.9400000000000002</v>
      </c>
      <c r="AC84" s="48">
        <f t="shared" si="20"/>
        <v>0.42499999999999993</v>
      </c>
      <c r="AD84" s="48">
        <f t="shared" si="20"/>
        <v>0.4752623688155922</v>
      </c>
      <c r="AE84" s="48">
        <f t="shared" si="20"/>
        <v>0.57833333333333348</v>
      </c>
      <c r="AF84" s="48">
        <f t="shared" si="20"/>
        <v>0.85066666666666668</v>
      </c>
      <c r="AG84" s="48">
        <f t="shared" si="20"/>
        <v>0.76766666666666672</v>
      </c>
      <c r="AH84" s="48">
        <f t="shared" si="20"/>
        <v>0.7706666666666665</v>
      </c>
      <c r="AI84" s="48">
        <f t="shared" si="20"/>
        <v>1.1596666666666668</v>
      </c>
      <c r="AJ84" s="48">
        <f t="shared" si="20"/>
        <v>0.55599999999999994</v>
      </c>
      <c r="AK84" s="48">
        <f t="shared" si="20"/>
        <v>0.43458776032167767</v>
      </c>
      <c r="AL84" s="48">
        <f t="shared" si="20"/>
        <v>0.49236891605162458</v>
      </c>
      <c r="AM84" s="48">
        <f t="shared" si="20"/>
        <v>0.20721484000000001</v>
      </c>
      <c r="AN84" s="48">
        <f t="shared" si="20"/>
        <v>1.5070885019</v>
      </c>
      <c r="AO84" s="48">
        <f t="shared" si="20"/>
        <v>0.97186573760000006</v>
      </c>
      <c r="AP84" s="48"/>
      <c r="AQ84" s="48"/>
      <c r="AR84" s="48"/>
      <c r="AS84" s="48"/>
      <c r="AT84" s="48"/>
      <c r="AU84" s="48"/>
      <c r="AV84" s="48"/>
      <c r="AW84" s="48"/>
      <c r="AX84" s="48" t="s">
        <v>369</v>
      </c>
      <c r="AY84" s="48"/>
      <c r="AZ84" s="48">
        <f t="shared" si="16"/>
        <v>5.8090000000000002</v>
      </c>
      <c r="BA84" s="4" t="str">
        <f t="shared" si="17"/>
        <v>NL toddler</v>
      </c>
      <c r="BB84" s="4">
        <f t="shared" si="18"/>
        <v>5.7999999999999996E-2</v>
      </c>
      <c r="BC84" s="4" t="str">
        <f t="shared" si="19"/>
        <v>LT adult</v>
      </c>
    </row>
    <row r="85" spans="1:55" ht="15" customHeight="1" outlineLevel="3" x14ac:dyDescent="0.2">
      <c r="A85" s="39">
        <v>4</v>
      </c>
      <c r="B85" s="23">
        <v>163010</v>
      </c>
      <c r="C85" s="23" t="s">
        <v>265</v>
      </c>
      <c r="D85" s="22">
        <f>input_values!Z85</f>
        <v>4</v>
      </c>
      <c r="E85" s="657">
        <v>0.01</v>
      </c>
      <c r="F85" s="31">
        <v>4.5454545454545461E-3</v>
      </c>
      <c r="G85" s="31">
        <v>1.4E-3</v>
      </c>
      <c r="H85" s="31">
        <v>0</v>
      </c>
      <c r="I85" s="31">
        <v>1.9622296780337119E-2</v>
      </c>
      <c r="J85" s="31">
        <v>3.6022004240388726E-2</v>
      </c>
      <c r="K85" s="31">
        <v>1.2016342225426582E-3</v>
      </c>
      <c r="L85" s="31">
        <v>0</v>
      </c>
      <c r="M85" s="31">
        <v>0</v>
      </c>
      <c r="N85" s="31">
        <v>0</v>
      </c>
      <c r="O85" s="31">
        <v>0</v>
      </c>
      <c r="P85" s="31">
        <v>2.9800266311584556E-2</v>
      </c>
      <c r="Q85" s="31">
        <v>9.2999999999999992E-3</v>
      </c>
      <c r="R85" s="584">
        <v>3.2149364E-3</v>
      </c>
      <c r="S85" s="31">
        <v>2.5196662807017111E-2</v>
      </c>
      <c r="T85" s="31"/>
      <c r="U85" s="31">
        <v>0.18085106382978722</v>
      </c>
      <c r="V85" s="31">
        <v>9.0211998195760025E-4</v>
      </c>
      <c r="W85" s="31">
        <v>0</v>
      </c>
      <c r="X85" s="31">
        <v>2E-3</v>
      </c>
      <c r="Y85" s="31">
        <v>0</v>
      </c>
      <c r="Z85" s="31">
        <v>0</v>
      </c>
      <c r="AA85" s="31">
        <v>0</v>
      </c>
      <c r="AB85" s="31">
        <v>3.3333333333333333E-2</v>
      </c>
      <c r="AC85" s="31">
        <v>1.0526315789473684E-2</v>
      </c>
      <c r="AD85" s="31">
        <v>1.1994002998500749E-2</v>
      </c>
      <c r="AE85" s="31">
        <v>2E-3</v>
      </c>
      <c r="AF85" s="31">
        <v>4.4166666666666667E-2</v>
      </c>
      <c r="AG85" s="31">
        <v>1.4500000000000001E-2</v>
      </c>
      <c r="AH85" s="31">
        <v>2.7333333333333331E-2</v>
      </c>
      <c r="AI85" s="31">
        <v>2.1666666666666667E-2</v>
      </c>
      <c r="AJ85" s="31">
        <v>1.4E-2</v>
      </c>
      <c r="AK85" s="663">
        <v>4.437151796526065E-3</v>
      </c>
      <c r="AL85" s="663">
        <v>7.1103991586912553E-3</v>
      </c>
      <c r="AM85" s="31">
        <v>1.26812E-3</v>
      </c>
      <c r="AN85" s="584"/>
      <c r="AO85" s="584"/>
      <c r="AP85" s="663"/>
      <c r="AQ85" s="31"/>
      <c r="AR85" s="31"/>
      <c r="AS85" s="31"/>
      <c r="AT85" s="31"/>
      <c r="AU85" s="31"/>
      <c r="AV85" s="31"/>
      <c r="AW85" s="31"/>
      <c r="AX85" s="31"/>
      <c r="AY85" s="31"/>
      <c r="AZ85" s="31">
        <f t="shared" si="16"/>
        <v>0.18085106382978722</v>
      </c>
      <c r="BA85" s="25" t="str">
        <f t="shared" si="17"/>
        <v>IE adult</v>
      </c>
      <c r="BB85" s="25">
        <f t="shared" si="18"/>
        <v>0</v>
      </c>
      <c r="BC85" s="25" t="str">
        <f t="shared" si="19"/>
        <v/>
      </c>
    </row>
    <row r="86" spans="1:55" ht="15" customHeight="1" outlineLevel="3" x14ac:dyDescent="0.2">
      <c r="A86" s="39">
        <v>4</v>
      </c>
      <c r="B86" s="23">
        <v>163020</v>
      </c>
      <c r="C86" s="23" t="s">
        <v>266</v>
      </c>
      <c r="D86" s="22">
        <f>input_values!Z86</f>
        <v>4</v>
      </c>
      <c r="E86" s="657">
        <v>1.62</v>
      </c>
      <c r="F86" s="31">
        <v>1.1363636363636365</v>
      </c>
      <c r="G86" s="31">
        <v>1.0107999999999999</v>
      </c>
      <c r="H86" s="31">
        <v>0.21011370613758557</v>
      </c>
      <c r="I86" s="31">
        <v>0.55597544927837761</v>
      </c>
      <c r="J86" s="31">
        <v>0.68236382821109776</v>
      </c>
      <c r="K86" s="31">
        <v>0.53592886325402544</v>
      </c>
      <c r="L86" s="31">
        <v>5.3710000000000004</v>
      </c>
      <c r="M86" s="31">
        <v>1.929</v>
      </c>
      <c r="N86" s="31">
        <v>1.4597701149425288</v>
      </c>
      <c r="O86" s="31">
        <v>1.0753424657534247</v>
      </c>
      <c r="P86" s="31">
        <v>0.45400000000000001</v>
      </c>
      <c r="Q86" s="31">
        <v>0.36049999999999999</v>
      </c>
      <c r="R86" s="584">
        <v>0.30032228389999999</v>
      </c>
      <c r="S86" s="31">
        <v>0.14902367905953753</v>
      </c>
      <c r="T86" s="31"/>
      <c r="U86" s="31">
        <v>0.7792553191489362</v>
      </c>
      <c r="V86" s="31">
        <v>0.20448052924372273</v>
      </c>
      <c r="W86" s="31">
        <v>5.7999999999999996E-2</v>
      </c>
      <c r="X86" s="31">
        <v>0.29199999999999998</v>
      </c>
      <c r="Y86" s="31">
        <v>0.18789808917197454</v>
      </c>
      <c r="Z86" s="31">
        <v>0.33833333333333332</v>
      </c>
      <c r="AA86" s="31">
        <v>0.21666666666666667</v>
      </c>
      <c r="AB86" s="31">
        <v>1.8066666666666669</v>
      </c>
      <c r="AC86" s="31">
        <v>0.35394736842105262</v>
      </c>
      <c r="AD86" s="31">
        <v>0.37781109445277361</v>
      </c>
      <c r="AE86" s="31">
        <v>0.316</v>
      </c>
      <c r="AF86" s="31">
        <v>0.41899999999999998</v>
      </c>
      <c r="AG86" s="31">
        <v>0.38950000000000001</v>
      </c>
      <c r="AH86" s="31">
        <v>0.38999999999999996</v>
      </c>
      <c r="AI86" s="31">
        <v>0.30733333333333335</v>
      </c>
      <c r="AJ86" s="31">
        <v>0.40966666666666662</v>
      </c>
      <c r="AK86" s="663">
        <v>0.29799686741788189</v>
      </c>
      <c r="AL86" s="663">
        <v>0.32037325593653737</v>
      </c>
      <c r="AM86" s="31">
        <v>0.19811400000000001</v>
      </c>
      <c r="AN86" s="584">
        <v>1.3487423473</v>
      </c>
      <c r="AO86" s="584">
        <v>0.77535036580000005</v>
      </c>
      <c r="AP86" s="663"/>
      <c r="AQ86" s="31"/>
      <c r="AR86" s="31"/>
      <c r="AS86" s="31"/>
      <c r="AT86" s="31"/>
      <c r="AU86" s="31"/>
      <c r="AV86" s="31"/>
      <c r="AW86" s="31"/>
      <c r="AX86" s="31"/>
      <c r="AY86" s="31"/>
      <c r="AZ86" s="31">
        <f t="shared" si="16"/>
        <v>5.3710000000000004</v>
      </c>
      <c r="BA86" s="25" t="str">
        <f t="shared" si="17"/>
        <v>NL toddler</v>
      </c>
      <c r="BB86" s="25">
        <f t="shared" si="18"/>
        <v>5.7999999999999996E-2</v>
      </c>
      <c r="BC86" s="25" t="str">
        <f t="shared" si="19"/>
        <v>LT adult</v>
      </c>
    </row>
    <row r="87" spans="1:55" ht="15" customHeight="1" outlineLevel="3" x14ac:dyDescent="0.2">
      <c r="A87" s="39">
        <v>4</v>
      </c>
      <c r="B87" s="23">
        <v>163030</v>
      </c>
      <c r="C87" s="23" t="s">
        <v>267</v>
      </c>
      <c r="D87" s="22">
        <f>input_values!Z87</f>
        <v>4</v>
      </c>
      <c r="E87" s="657">
        <v>0.03</v>
      </c>
      <c r="F87" s="31">
        <v>1.1363636363636364E-2</v>
      </c>
      <c r="G87" s="31">
        <v>0</v>
      </c>
      <c r="H87" s="31">
        <v>4.9199798922904599E-3</v>
      </c>
      <c r="I87" s="31">
        <v>5.3410134282443587E-2</v>
      </c>
      <c r="J87" s="31">
        <v>2.2235828687441591E-3</v>
      </c>
      <c r="K87" s="31">
        <v>0</v>
      </c>
      <c r="L87" s="31">
        <v>0.152</v>
      </c>
      <c r="M87" s="31">
        <v>7.8E-2</v>
      </c>
      <c r="N87" s="31">
        <v>0</v>
      </c>
      <c r="O87" s="31">
        <v>6.8493150684931512E-3</v>
      </c>
      <c r="P87" s="31">
        <v>5.7403462050599199E-3</v>
      </c>
      <c r="Q87" s="31">
        <v>4.7999999999999996E-3</v>
      </c>
      <c r="R87" s="584"/>
      <c r="S87" s="31">
        <v>3.984625701993017E-3</v>
      </c>
      <c r="T87" s="31"/>
      <c r="U87" s="31">
        <v>0.25930851063829785</v>
      </c>
      <c r="V87" s="31">
        <v>0</v>
      </c>
      <c r="W87" s="31">
        <v>0</v>
      </c>
      <c r="X87" s="31">
        <v>1.4E-2</v>
      </c>
      <c r="Y87" s="31">
        <v>0</v>
      </c>
      <c r="Z87" s="31">
        <v>0</v>
      </c>
      <c r="AA87" s="31">
        <v>0</v>
      </c>
      <c r="AB87" s="31">
        <v>1.6666666666666666E-2</v>
      </c>
      <c r="AC87" s="31">
        <v>5.263157894736842E-3</v>
      </c>
      <c r="AD87" s="31">
        <v>8.9955022488755615E-3</v>
      </c>
      <c r="AE87" s="31">
        <v>0.10416666666666667</v>
      </c>
      <c r="AF87" s="31">
        <v>3.0000000000000002E-2</v>
      </c>
      <c r="AG87" s="31">
        <v>1.0500000000000001E-2</v>
      </c>
      <c r="AH87" s="31">
        <v>1.7833333333333333E-2</v>
      </c>
      <c r="AI87" s="31">
        <v>5.8666666666666666E-2</v>
      </c>
      <c r="AJ87" s="31">
        <v>1.2666666666666666E-2</v>
      </c>
      <c r="AK87" s="663">
        <v>3.4507574207533184E-2</v>
      </c>
      <c r="AL87" s="663">
        <v>5.0366245826357292E-2</v>
      </c>
      <c r="AM87" s="31">
        <v>1.7800800000000001E-3</v>
      </c>
      <c r="AN87" s="584"/>
      <c r="AO87" s="584"/>
      <c r="AP87" s="663"/>
      <c r="AQ87" s="31"/>
      <c r="AR87" s="31"/>
      <c r="AS87" s="31"/>
      <c r="AT87" s="31"/>
      <c r="AU87" s="31"/>
      <c r="AV87" s="31"/>
      <c r="AW87" s="31"/>
      <c r="AX87" s="31"/>
      <c r="AY87" s="31"/>
      <c r="AZ87" s="31">
        <f t="shared" si="16"/>
        <v>0.25930851063829785</v>
      </c>
      <c r="BA87" s="25" t="str">
        <f t="shared" si="17"/>
        <v>IE adult</v>
      </c>
      <c r="BB87" s="25">
        <f t="shared" si="18"/>
        <v>0</v>
      </c>
      <c r="BC87" s="25" t="str">
        <f t="shared" si="19"/>
        <v/>
      </c>
    </row>
    <row r="88" spans="1:55" ht="15" customHeight="1" outlineLevel="3" x14ac:dyDescent="0.2">
      <c r="A88" s="39">
        <v>4</v>
      </c>
      <c r="B88" s="23">
        <v>163040</v>
      </c>
      <c r="C88" s="23" t="s">
        <v>698</v>
      </c>
      <c r="D88" s="22">
        <f>input_values!Z88</f>
        <v>4</v>
      </c>
      <c r="E88" s="657">
        <v>0.01</v>
      </c>
      <c r="F88" s="31">
        <v>2.2727272727272731E-3</v>
      </c>
      <c r="G88" s="31">
        <v>0</v>
      </c>
      <c r="H88" s="31">
        <v>0</v>
      </c>
      <c r="I88" s="31">
        <v>0</v>
      </c>
      <c r="J88" s="31">
        <v>0</v>
      </c>
      <c r="K88" s="31">
        <v>0</v>
      </c>
      <c r="L88" s="31">
        <v>1.2E-2</v>
      </c>
      <c r="M88" s="31">
        <v>8.0000000000000002E-3</v>
      </c>
      <c r="N88" s="31">
        <v>0</v>
      </c>
      <c r="O88" s="31">
        <v>0</v>
      </c>
      <c r="P88" s="31">
        <v>9.4101198402130493E-4</v>
      </c>
      <c r="Q88" s="31">
        <v>1E-3</v>
      </c>
      <c r="R88" s="584"/>
      <c r="S88" s="31">
        <v>0</v>
      </c>
      <c r="T88" s="31"/>
      <c r="U88" s="31">
        <v>0</v>
      </c>
      <c r="V88" s="31">
        <v>0</v>
      </c>
      <c r="W88" s="31">
        <v>0</v>
      </c>
      <c r="X88" s="31">
        <v>0</v>
      </c>
      <c r="Y88" s="31">
        <v>0</v>
      </c>
      <c r="Z88" s="31">
        <v>0</v>
      </c>
      <c r="AA88" s="31">
        <v>0</v>
      </c>
      <c r="AB88" s="31">
        <v>1.6666666666666666E-2</v>
      </c>
      <c r="AC88" s="31">
        <v>0</v>
      </c>
      <c r="AD88" s="31">
        <v>0</v>
      </c>
      <c r="AE88" s="31">
        <v>1.6666666666666666E-2</v>
      </c>
      <c r="AF88" s="31">
        <v>5.1666666666666666E-3</v>
      </c>
      <c r="AG88" s="31">
        <v>3.0000000000000001E-3</v>
      </c>
      <c r="AH88" s="31">
        <v>8.5000000000000006E-3</v>
      </c>
      <c r="AI88" s="31">
        <v>9.0000000000000011E-3</v>
      </c>
      <c r="AJ88" s="31">
        <v>3.1666666666666666E-3</v>
      </c>
      <c r="AK88" s="663">
        <v>2.3082168409553588E-3</v>
      </c>
      <c r="AL88" s="663">
        <v>2.6861232019459837E-3</v>
      </c>
      <c r="AM88" s="31">
        <v>0</v>
      </c>
      <c r="AN88" s="584"/>
      <c r="AO88" s="584"/>
      <c r="AP88" s="663"/>
      <c r="AQ88" s="31"/>
      <c r="AR88" s="31"/>
      <c r="AS88" s="31"/>
      <c r="AT88" s="31"/>
      <c r="AU88" s="31"/>
      <c r="AV88" s="31"/>
      <c r="AW88" s="31"/>
      <c r="AX88" s="31"/>
      <c r="AY88" s="31"/>
      <c r="AZ88" s="31">
        <f t="shared" si="16"/>
        <v>1.6666666666666666E-2</v>
      </c>
      <c r="BA88" s="25" t="str">
        <f t="shared" si="17"/>
        <v>SE general</v>
      </c>
      <c r="BB88" s="25">
        <f t="shared" si="18"/>
        <v>0</v>
      </c>
      <c r="BC88" s="25" t="str">
        <f t="shared" si="19"/>
        <v/>
      </c>
    </row>
    <row r="89" spans="1:55" ht="15" customHeight="1" outlineLevel="3" x14ac:dyDescent="0.2">
      <c r="A89" s="39">
        <v>4</v>
      </c>
      <c r="B89" s="23">
        <v>163050</v>
      </c>
      <c r="C89" s="23" t="s">
        <v>699</v>
      </c>
      <c r="D89" s="22">
        <f>input_values!Z89</f>
        <v>4</v>
      </c>
      <c r="E89" s="657">
        <v>0.01</v>
      </c>
      <c r="F89" s="31">
        <v>2.2727272727272731E-3</v>
      </c>
      <c r="G89" s="31">
        <v>7.6E-3</v>
      </c>
      <c r="H89" s="31">
        <v>0</v>
      </c>
      <c r="I89" s="31">
        <v>5.4437639739477019E-3</v>
      </c>
      <c r="J89" s="31">
        <v>0</v>
      </c>
      <c r="K89" s="31">
        <v>5.287190579187695E-3</v>
      </c>
      <c r="L89" s="31">
        <v>0</v>
      </c>
      <c r="M89" s="31">
        <v>0</v>
      </c>
      <c r="N89" s="31">
        <v>3.4482758620689655E-2</v>
      </c>
      <c r="O89" s="31">
        <v>6.8493150684931512E-3</v>
      </c>
      <c r="P89" s="31">
        <v>1.3300000000000001E-4</v>
      </c>
      <c r="Q89" s="31">
        <v>1.4999999999999999E-2</v>
      </c>
      <c r="R89" s="584"/>
      <c r="S89" s="31">
        <v>3.7721838568352263E-4</v>
      </c>
      <c r="T89" s="31"/>
      <c r="U89" s="31">
        <v>0</v>
      </c>
      <c r="V89" s="31">
        <v>5.2623665614193347E-3</v>
      </c>
      <c r="W89" s="31">
        <v>0</v>
      </c>
      <c r="X89" s="31">
        <v>0</v>
      </c>
      <c r="Y89" s="31">
        <v>0</v>
      </c>
      <c r="Z89" s="31">
        <v>6.6666666666666671E-3</v>
      </c>
      <c r="AA89" s="31">
        <v>0</v>
      </c>
      <c r="AB89" s="31">
        <v>0</v>
      </c>
      <c r="AC89" s="31">
        <v>9.2105263157894728E-3</v>
      </c>
      <c r="AD89" s="31">
        <v>1.3493253373313342E-2</v>
      </c>
      <c r="AE89" s="31">
        <v>0.11116666666666666</v>
      </c>
      <c r="AF89" s="31">
        <v>0.13183333333333333</v>
      </c>
      <c r="AG89" s="31">
        <v>0.16200000000000001</v>
      </c>
      <c r="AH89" s="31">
        <v>8.7666666666666657E-2</v>
      </c>
      <c r="AI89" s="31">
        <v>0.15066666666666664</v>
      </c>
      <c r="AJ89" s="31">
        <v>0</v>
      </c>
      <c r="AK89" s="663">
        <v>1.1656849850564717E-3</v>
      </c>
      <c r="AL89" s="663">
        <v>1.3052025332227638E-3</v>
      </c>
      <c r="AM89" s="31">
        <v>0</v>
      </c>
      <c r="AN89" s="584"/>
      <c r="AO89" s="584"/>
      <c r="AP89" s="663"/>
      <c r="AQ89" s="31"/>
      <c r="AR89" s="31"/>
      <c r="AS89" s="31"/>
      <c r="AT89" s="31"/>
      <c r="AU89" s="31"/>
      <c r="AV89" s="31"/>
      <c r="AW89" s="31"/>
      <c r="AX89" s="31"/>
      <c r="AY89" s="31"/>
      <c r="AZ89" s="31">
        <f t="shared" si="16"/>
        <v>0.16200000000000001</v>
      </c>
      <c r="BA89" s="25" t="str">
        <f t="shared" si="17"/>
        <v>GEMS/Food G08</v>
      </c>
      <c r="BB89" s="25">
        <f t="shared" si="18"/>
        <v>0</v>
      </c>
      <c r="BC89" s="25" t="str">
        <f t="shared" si="19"/>
        <v/>
      </c>
    </row>
    <row r="90" spans="1:55" ht="15" customHeight="1" outlineLevel="3" x14ac:dyDescent="0.2">
      <c r="A90" s="39">
        <v>4</v>
      </c>
      <c r="B90" s="23">
        <v>163060</v>
      </c>
      <c r="C90" s="23" t="s">
        <v>700</v>
      </c>
      <c r="D90" s="22">
        <f>input_values!Z90</f>
        <v>4</v>
      </c>
      <c r="E90" s="657">
        <v>0</v>
      </c>
      <c r="F90" s="31">
        <v>0</v>
      </c>
      <c r="G90" s="31">
        <v>6.0000000000000001E-3</v>
      </c>
      <c r="H90" s="31">
        <v>0</v>
      </c>
      <c r="I90" s="31">
        <v>0</v>
      </c>
      <c r="J90" s="31">
        <v>0</v>
      </c>
      <c r="K90" s="31">
        <v>0</v>
      </c>
      <c r="L90" s="31">
        <v>0</v>
      </c>
      <c r="M90" s="31">
        <v>0</v>
      </c>
      <c r="N90" s="31">
        <v>0</v>
      </c>
      <c r="O90" s="31">
        <v>0</v>
      </c>
      <c r="P90" s="31">
        <v>0</v>
      </c>
      <c r="Q90" s="31">
        <v>1.8100000000000002E-2</v>
      </c>
      <c r="R90" s="584"/>
      <c r="S90" s="31">
        <v>0</v>
      </c>
      <c r="T90" s="31"/>
      <c r="U90" s="31">
        <v>0</v>
      </c>
      <c r="V90" s="31">
        <v>0</v>
      </c>
      <c r="W90" s="31">
        <v>0</v>
      </c>
      <c r="X90" s="31">
        <v>0</v>
      </c>
      <c r="Y90" s="31">
        <v>0</v>
      </c>
      <c r="Z90" s="31">
        <v>0</v>
      </c>
      <c r="AA90" s="31">
        <v>0</v>
      </c>
      <c r="AB90" s="31">
        <v>0</v>
      </c>
      <c r="AC90" s="31">
        <v>0</v>
      </c>
      <c r="AD90" s="31">
        <v>0</v>
      </c>
      <c r="AE90" s="31">
        <v>1.6666666666666668E-3</v>
      </c>
      <c r="AF90" s="31">
        <v>0</v>
      </c>
      <c r="AG90" s="31">
        <v>2.6666666666666666E-3</v>
      </c>
      <c r="AH90" s="31">
        <v>0</v>
      </c>
      <c r="AI90" s="31">
        <v>0</v>
      </c>
      <c r="AJ90" s="31">
        <v>1.6666666666666668E-3</v>
      </c>
      <c r="AK90" s="663">
        <v>6.0185033407916313E-5</v>
      </c>
      <c r="AL90" s="663">
        <v>1.6204735552473109E-4</v>
      </c>
      <c r="AM90" s="31">
        <v>0</v>
      </c>
      <c r="AN90" s="584"/>
      <c r="AO90" s="584"/>
      <c r="AP90" s="663"/>
      <c r="AQ90" s="31"/>
      <c r="AR90" s="31"/>
      <c r="AS90" s="31"/>
      <c r="AT90" s="31"/>
      <c r="AU90" s="31"/>
      <c r="AV90" s="31"/>
      <c r="AW90" s="31"/>
      <c r="AX90" s="31"/>
      <c r="AY90" s="31"/>
      <c r="AZ90" s="31">
        <f t="shared" si="16"/>
        <v>1.8100000000000002E-2</v>
      </c>
      <c r="BA90" s="25" t="str">
        <f t="shared" si="17"/>
        <v>ES adult</v>
      </c>
      <c r="BB90" s="25">
        <f t="shared" si="18"/>
        <v>0</v>
      </c>
      <c r="BC90" s="25" t="str">
        <f t="shared" si="19"/>
        <v/>
      </c>
    </row>
    <row r="91" spans="1:55" ht="15" customHeight="1" outlineLevel="3" x14ac:dyDescent="0.2">
      <c r="A91" s="39">
        <v>4</v>
      </c>
      <c r="B91" s="23">
        <v>163070</v>
      </c>
      <c r="C91" s="23" t="s">
        <v>701</v>
      </c>
      <c r="D91" s="22">
        <f>input_values!Z91</f>
        <v>4</v>
      </c>
      <c r="E91" s="657">
        <v>0.01</v>
      </c>
      <c r="F91" s="31">
        <v>0</v>
      </c>
      <c r="G91" s="31">
        <v>2.5000000000000001E-3</v>
      </c>
      <c r="H91" s="31">
        <v>0</v>
      </c>
      <c r="I91" s="31">
        <v>0</v>
      </c>
      <c r="J91" s="31">
        <v>0</v>
      </c>
      <c r="K91" s="31">
        <v>0</v>
      </c>
      <c r="L91" s="31">
        <v>3.7999999999999999E-2</v>
      </c>
      <c r="M91" s="31">
        <v>1.6E-2</v>
      </c>
      <c r="N91" s="31">
        <v>0</v>
      </c>
      <c r="O91" s="31">
        <v>0</v>
      </c>
      <c r="P91" s="31">
        <v>0</v>
      </c>
      <c r="Q91" s="31">
        <v>0</v>
      </c>
      <c r="R91" s="584"/>
      <c r="S91" s="31">
        <v>0</v>
      </c>
      <c r="T91" s="31"/>
      <c r="U91" s="31">
        <v>0</v>
      </c>
      <c r="V91" s="31">
        <v>0</v>
      </c>
      <c r="W91" s="31">
        <v>0</v>
      </c>
      <c r="X91" s="31">
        <v>0</v>
      </c>
      <c r="Y91" s="31">
        <v>0</v>
      </c>
      <c r="Z91" s="31">
        <v>0</v>
      </c>
      <c r="AA91" s="31">
        <v>0</v>
      </c>
      <c r="AB91" s="31">
        <v>0</v>
      </c>
      <c r="AC91" s="31">
        <v>0</v>
      </c>
      <c r="AD91" s="31">
        <v>0</v>
      </c>
      <c r="AE91" s="31">
        <v>1.6666666666666668E-3</v>
      </c>
      <c r="AF91" s="31">
        <v>1.6666666666666668E-3</v>
      </c>
      <c r="AG91" s="31">
        <v>0</v>
      </c>
      <c r="AH91" s="31">
        <v>0</v>
      </c>
      <c r="AI91" s="31">
        <v>0</v>
      </c>
      <c r="AJ91" s="31">
        <v>0</v>
      </c>
      <c r="AK91" s="663">
        <v>0</v>
      </c>
      <c r="AL91" s="663">
        <v>0</v>
      </c>
      <c r="AM91" s="31">
        <v>0</v>
      </c>
      <c r="AN91" s="584"/>
      <c r="AO91" s="584"/>
      <c r="AP91" s="663"/>
      <c r="AQ91" s="31"/>
      <c r="AR91" s="31"/>
      <c r="AS91" s="31"/>
      <c r="AT91" s="31"/>
      <c r="AU91" s="31"/>
      <c r="AV91" s="31"/>
      <c r="AW91" s="31"/>
      <c r="AX91" s="31"/>
      <c r="AY91" s="31"/>
      <c r="AZ91" s="31">
        <f t="shared" si="16"/>
        <v>3.7999999999999999E-2</v>
      </c>
      <c r="BA91" s="25" t="str">
        <f t="shared" si="17"/>
        <v>NL toddler</v>
      </c>
      <c r="BB91" s="25">
        <f t="shared" si="18"/>
        <v>0</v>
      </c>
      <c r="BC91" s="25" t="str">
        <f t="shared" si="19"/>
        <v/>
      </c>
    </row>
    <row r="92" spans="1:55" ht="15" customHeight="1" outlineLevel="3" x14ac:dyDescent="0.2">
      <c r="A92" s="39">
        <v>4</v>
      </c>
      <c r="B92" s="23">
        <v>163080</v>
      </c>
      <c r="C92" s="23" t="s">
        <v>268</v>
      </c>
      <c r="D92" s="22">
        <f>input_values!Z92</f>
        <v>4</v>
      </c>
      <c r="E92" s="657">
        <v>0.17</v>
      </c>
      <c r="F92" s="31">
        <v>1.8181818181818184E-2</v>
      </c>
      <c r="G92" s="31">
        <v>2.4900000000000002E-2</v>
      </c>
      <c r="H92" s="31">
        <v>4.6338197201039912E-2</v>
      </c>
      <c r="I92" s="31">
        <v>0.16357776660333342</v>
      </c>
      <c r="J92" s="31">
        <v>6.3705361668560667E-2</v>
      </c>
      <c r="K92" s="31">
        <v>6.7291516462388854E-3</v>
      </c>
      <c r="L92" s="31">
        <v>0.23599999999999999</v>
      </c>
      <c r="M92" s="31">
        <v>0.14799999999999999</v>
      </c>
      <c r="N92" s="31">
        <v>0.20689655172413796</v>
      </c>
      <c r="O92" s="31">
        <v>0.18493150684931509</v>
      </c>
      <c r="P92" s="31">
        <v>3.9399467376830893E-2</v>
      </c>
      <c r="Q92" s="31">
        <v>4.6699999999999998E-2</v>
      </c>
      <c r="R92" s="584">
        <v>7.1049343799999998E-2</v>
      </c>
      <c r="S92" s="31">
        <v>2.6015438534589638E-2</v>
      </c>
      <c r="T92" s="31"/>
      <c r="U92" s="31">
        <v>0.21276595744680851</v>
      </c>
      <c r="V92" s="31">
        <v>6.4651932040294688E-3</v>
      </c>
      <c r="W92" s="31">
        <v>0</v>
      </c>
      <c r="X92" s="31">
        <v>3.6999999999999998E-2</v>
      </c>
      <c r="Y92" s="31">
        <v>0</v>
      </c>
      <c r="Z92" s="31">
        <v>5.0000000000000001E-3</v>
      </c>
      <c r="AA92" s="31">
        <v>1.6666666666666666E-2</v>
      </c>
      <c r="AB92" s="31">
        <v>6.6666666666666666E-2</v>
      </c>
      <c r="AC92" s="31">
        <v>4.6052631578947366E-2</v>
      </c>
      <c r="AD92" s="31">
        <v>6.296851574212893E-2</v>
      </c>
      <c r="AE92" s="31">
        <v>2.1666666666666667E-2</v>
      </c>
      <c r="AF92" s="31">
        <v>0.21883333333333335</v>
      </c>
      <c r="AG92" s="31">
        <v>0.18550000000000003</v>
      </c>
      <c r="AH92" s="31">
        <v>0.23933333333333331</v>
      </c>
      <c r="AI92" s="31">
        <v>0.6123333333333334</v>
      </c>
      <c r="AJ92" s="31">
        <v>0.11483333333333333</v>
      </c>
      <c r="AK92" s="663">
        <v>9.4112080040316765E-2</v>
      </c>
      <c r="AL92" s="663">
        <v>0.11036564203934518</v>
      </c>
      <c r="AM92" s="31">
        <v>6.0526399999999998E-3</v>
      </c>
      <c r="AN92" s="584">
        <v>0.13369581420000001</v>
      </c>
      <c r="AO92" s="584">
        <v>0.19206498969999999</v>
      </c>
      <c r="AP92" s="663"/>
      <c r="AQ92" s="31"/>
      <c r="AR92" s="31"/>
      <c r="AS92" s="31"/>
      <c r="AT92" s="31"/>
      <c r="AU92" s="31"/>
      <c r="AV92" s="31"/>
      <c r="AW92" s="31"/>
      <c r="AX92" s="31"/>
      <c r="AY92" s="31"/>
      <c r="AZ92" s="31">
        <f t="shared" si="16"/>
        <v>0.6123333333333334</v>
      </c>
      <c r="BA92" s="25" t="str">
        <f t="shared" si="17"/>
        <v>GEMS/Food G11</v>
      </c>
      <c r="BB92" s="25">
        <f t="shared" si="18"/>
        <v>0</v>
      </c>
      <c r="BC92" s="25" t="str">
        <f t="shared" si="19"/>
        <v/>
      </c>
    </row>
    <row r="93" spans="1:55" ht="15" customHeight="1" outlineLevel="3" x14ac:dyDescent="0.2">
      <c r="A93" s="39">
        <v>4</v>
      </c>
      <c r="B93" s="23">
        <v>163090</v>
      </c>
      <c r="C93" s="23" t="s">
        <v>702</v>
      </c>
      <c r="D93" s="22">
        <f>input_values!Z93</f>
        <v>4</v>
      </c>
      <c r="E93" s="657">
        <v>0</v>
      </c>
      <c r="F93" s="31">
        <v>0</v>
      </c>
      <c r="G93" s="31">
        <v>0</v>
      </c>
      <c r="H93" s="31">
        <v>0</v>
      </c>
      <c r="I93" s="31">
        <v>0</v>
      </c>
      <c r="J93" s="31">
        <v>0</v>
      </c>
      <c r="K93" s="31">
        <v>0</v>
      </c>
      <c r="L93" s="31">
        <v>0</v>
      </c>
      <c r="M93" s="31">
        <v>0</v>
      </c>
      <c r="N93" s="31">
        <v>0</v>
      </c>
      <c r="O93" s="31">
        <v>0</v>
      </c>
      <c r="P93" s="31">
        <v>0</v>
      </c>
      <c r="Q93" s="31">
        <v>0</v>
      </c>
      <c r="R93" s="584"/>
      <c r="S93" s="31">
        <v>0</v>
      </c>
      <c r="T93" s="31"/>
      <c r="U93" s="31">
        <v>0</v>
      </c>
      <c r="V93" s="31">
        <v>0</v>
      </c>
      <c r="W93" s="31">
        <v>0</v>
      </c>
      <c r="X93" s="31">
        <v>0</v>
      </c>
      <c r="Y93" s="31">
        <v>0</v>
      </c>
      <c r="Z93" s="31">
        <v>0</v>
      </c>
      <c r="AA93" s="31">
        <v>0</v>
      </c>
      <c r="AB93" s="31">
        <v>0</v>
      </c>
      <c r="AC93" s="31">
        <v>0</v>
      </c>
      <c r="AD93" s="31">
        <v>0</v>
      </c>
      <c r="AE93" s="31"/>
      <c r="AF93" s="31"/>
      <c r="AG93" s="31"/>
      <c r="AH93" s="31"/>
      <c r="AI93" s="31"/>
      <c r="AJ93" s="31"/>
      <c r="AK93" s="663">
        <v>0</v>
      </c>
      <c r="AL93" s="663">
        <v>0</v>
      </c>
      <c r="AM93" s="31">
        <v>0</v>
      </c>
      <c r="AN93" s="584"/>
      <c r="AO93" s="584"/>
      <c r="AP93" s="663"/>
      <c r="AQ93" s="31"/>
      <c r="AR93" s="31"/>
      <c r="AS93" s="31"/>
      <c r="AT93" s="31"/>
      <c r="AU93" s="31"/>
      <c r="AV93" s="31"/>
      <c r="AW93" s="31"/>
      <c r="AX93" s="31"/>
      <c r="AY93" s="31"/>
      <c r="AZ93" s="31">
        <f t="shared" si="16"/>
        <v>0</v>
      </c>
      <c r="BA93" s="25" t="str">
        <f t="shared" si="17"/>
        <v>DE child</v>
      </c>
      <c r="BB93" s="25">
        <f t="shared" si="18"/>
        <v>0</v>
      </c>
      <c r="BC93" s="25" t="str">
        <f t="shared" si="19"/>
        <v/>
      </c>
    </row>
    <row r="94" spans="1:55" ht="15" customHeight="1" outlineLevel="3" x14ac:dyDescent="0.2">
      <c r="A94" s="39">
        <v>4</v>
      </c>
      <c r="B94" s="23">
        <v>163100</v>
      </c>
      <c r="C94" s="23" t="s">
        <v>703</v>
      </c>
      <c r="D94" s="22">
        <f>input_values!Z94</f>
        <v>4</v>
      </c>
      <c r="E94" s="657">
        <v>0</v>
      </c>
      <c r="F94" s="31">
        <v>0</v>
      </c>
      <c r="G94" s="31">
        <v>0</v>
      </c>
      <c r="H94" s="31">
        <v>0</v>
      </c>
      <c r="I94" s="31">
        <v>0</v>
      </c>
      <c r="J94" s="31">
        <v>0</v>
      </c>
      <c r="K94" s="31">
        <v>0</v>
      </c>
      <c r="L94" s="31">
        <v>0</v>
      </c>
      <c r="M94" s="31">
        <v>0</v>
      </c>
      <c r="N94" s="31">
        <v>0</v>
      </c>
      <c r="O94" s="31">
        <v>0</v>
      </c>
      <c r="P94" s="31">
        <v>0</v>
      </c>
      <c r="Q94" s="31">
        <v>0</v>
      </c>
      <c r="R94" s="584"/>
      <c r="S94" s="31">
        <v>0</v>
      </c>
      <c r="T94" s="31"/>
      <c r="U94" s="31">
        <v>0</v>
      </c>
      <c r="V94" s="31">
        <v>0</v>
      </c>
      <c r="W94" s="31">
        <v>0</v>
      </c>
      <c r="X94" s="31">
        <v>0</v>
      </c>
      <c r="Y94" s="31">
        <v>0</v>
      </c>
      <c r="Z94" s="31">
        <v>0</v>
      </c>
      <c r="AA94" s="31">
        <v>0</v>
      </c>
      <c r="AB94" s="31">
        <v>0</v>
      </c>
      <c r="AC94" s="31">
        <v>0</v>
      </c>
      <c r="AD94" s="31">
        <v>0</v>
      </c>
      <c r="AE94" s="31">
        <v>1.6666666666666199E-3</v>
      </c>
      <c r="AF94" s="31">
        <v>0</v>
      </c>
      <c r="AG94" s="31">
        <v>0</v>
      </c>
      <c r="AH94" s="31">
        <v>0</v>
      </c>
      <c r="AI94" s="31">
        <v>0</v>
      </c>
      <c r="AJ94" s="31">
        <v>0</v>
      </c>
      <c r="AK94" s="663">
        <v>0</v>
      </c>
      <c r="AL94" s="663">
        <v>0</v>
      </c>
      <c r="AM94" s="31">
        <v>0</v>
      </c>
      <c r="AN94" s="584"/>
      <c r="AO94" s="584"/>
      <c r="AP94" s="663"/>
      <c r="AQ94" s="31"/>
      <c r="AR94" s="31"/>
      <c r="AS94" s="31"/>
      <c r="AT94" s="31"/>
      <c r="AU94" s="31"/>
      <c r="AV94" s="31"/>
      <c r="AW94" s="31"/>
      <c r="AX94" s="31"/>
      <c r="AY94" s="31"/>
      <c r="AZ94" s="31">
        <f t="shared" si="16"/>
        <v>1.6666666666666199E-3</v>
      </c>
      <c r="BA94" s="25" t="str">
        <f t="shared" si="17"/>
        <v>GEMS/Food G06</v>
      </c>
      <c r="BB94" s="25">
        <f t="shared" si="18"/>
        <v>0</v>
      </c>
      <c r="BC94" s="25" t="str">
        <f t="shared" si="19"/>
        <v/>
      </c>
    </row>
    <row r="95" spans="1:55" ht="15" customHeight="1" outlineLevel="3" x14ac:dyDescent="0.2">
      <c r="A95" s="39">
        <v>4</v>
      </c>
      <c r="B95" s="23">
        <v>163110</v>
      </c>
      <c r="C95" s="23" t="s">
        <v>704</v>
      </c>
      <c r="D95" s="22">
        <f>input_values!Z95</f>
        <v>4</v>
      </c>
      <c r="E95" s="657">
        <v>0</v>
      </c>
      <c r="F95" s="31">
        <v>0</v>
      </c>
      <c r="G95" s="31">
        <v>0</v>
      </c>
      <c r="H95" s="31">
        <v>0</v>
      </c>
      <c r="I95" s="31">
        <v>0</v>
      </c>
      <c r="J95" s="31">
        <v>0</v>
      </c>
      <c r="K95" s="31">
        <v>0</v>
      </c>
      <c r="L95" s="31">
        <v>0</v>
      </c>
      <c r="M95" s="31">
        <v>0</v>
      </c>
      <c r="N95" s="31">
        <v>0</v>
      </c>
      <c r="O95" s="31">
        <v>0</v>
      </c>
      <c r="P95" s="31">
        <v>0</v>
      </c>
      <c r="Q95" s="31">
        <v>0</v>
      </c>
      <c r="R95" s="584"/>
      <c r="S95" s="31">
        <v>0</v>
      </c>
      <c r="T95" s="31"/>
      <c r="U95" s="31">
        <v>0</v>
      </c>
      <c r="V95" s="31">
        <v>0</v>
      </c>
      <c r="W95" s="31">
        <v>0</v>
      </c>
      <c r="X95" s="31">
        <v>0</v>
      </c>
      <c r="Y95" s="31">
        <v>0</v>
      </c>
      <c r="Z95" s="31">
        <v>0</v>
      </c>
      <c r="AA95" s="31">
        <v>0</v>
      </c>
      <c r="AB95" s="31">
        <v>0</v>
      </c>
      <c r="AC95" s="31">
        <v>0</v>
      </c>
      <c r="AD95" s="31">
        <v>0</v>
      </c>
      <c r="AE95" s="31">
        <v>1.6666666666666668E-3</v>
      </c>
      <c r="AF95" s="31">
        <v>0</v>
      </c>
      <c r="AG95" s="31">
        <v>0</v>
      </c>
      <c r="AH95" s="31">
        <v>0</v>
      </c>
      <c r="AI95" s="31">
        <v>0</v>
      </c>
      <c r="AJ95" s="31">
        <v>0</v>
      </c>
      <c r="AK95" s="663">
        <v>0</v>
      </c>
      <c r="AL95" s="663">
        <v>0</v>
      </c>
      <c r="AM95" s="31">
        <v>0</v>
      </c>
      <c r="AN95" s="584"/>
      <c r="AO95" s="584"/>
      <c r="AP95" s="663"/>
      <c r="AQ95" s="31"/>
      <c r="AR95" s="31"/>
      <c r="AS95" s="31"/>
      <c r="AT95" s="31"/>
      <c r="AU95" s="31"/>
      <c r="AV95" s="31"/>
      <c r="AW95" s="31"/>
      <c r="AX95" s="31"/>
      <c r="AY95" s="31"/>
      <c r="AZ95" s="31">
        <f t="shared" si="16"/>
        <v>1.6666666666666668E-3</v>
      </c>
      <c r="BA95" s="25" t="str">
        <f t="shared" si="17"/>
        <v>GEMS/Food G06</v>
      </c>
      <c r="BB95" s="25">
        <f t="shared" si="18"/>
        <v>0</v>
      </c>
      <c r="BC95" s="25" t="str">
        <f t="shared" si="19"/>
        <v/>
      </c>
    </row>
    <row r="96" spans="1:55" ht="15" customHeight="1" outlineLevel="3" x14ac:dyDescent="0.2">
      <c r="A96" s="39">
        <v>4</v>
      </c>
      <c r="B96" s="23">
        <v>163990</v>
      </c>
      <c r="C96" s="23" t="s">
        <v>55</v>
      </c>
      <c r="D96" s="22">
        <f>input_values!Z96</f>
        <v>4</v>
      </c>
      <c r="E96" s="657">
        <v>0.21</v>
      </c>
      <c r="F96" s="31"/>
      <c r="G96" s="31">
        <v>0</v>
      </c>
      <c r="H96" s="31">
        <v>0</v>
      </c>
      <c r="I96" s="31">
        <v>0</v>
      </c>
      <c r="J96" s="31">
        <v>8.027965677934068E-2</v>
      </c>
      <c r="K96" s="31">
        <v>0</v>
      </c>
      <c r="L96" s="31">
        <v>0</v>
      </c>
      <c r="M96" s="31">
        <v>0</v>
      </c>
      <c r="N96" s="31">
        <v>0</v>
      </c>
      <c r="O96" s="31">
        <v>0</v>
      </c>
      <c r="P96" s="31">
        <v>0</v>
      </c>
      <c r="Q96" s="31">
        <v>0</v>
      </c>
      <c r="R96" s="584">
        <v>4.6525365000000003E-3</v>
      </c>
      <c r="S96" s="31">
        <v>3.5202525283519324E-2</v>
      </c>
      <c r="T96" s="31"/>
      <c r="U96" s="31">
        <v>0</v>
      </c>
      <c r="V96" s="31">
        <v>8.8708464892497361E-3</v>
      </c>
      <c r="W96" s="31">
        <v>0</v>
      </c>
      <c r="X96" s="31">
        <v>0</v>
      </c>
      <c r="Y96" s="31">
        <v>0</v>
      </c>
      <c r="Z96" s="31">
        <v>0</v>
      </c>
      <c r="AA96" s="31">
        <v>0</v>
      </c>
      <c r="AB96" s="31">
        <v>0</v>
      </c>
      <c r="AC96" s="31">
        <v>0</v>
      </c>
      <c r="AD96" s="31">
        <v>0</v>
      </c>
      <c r="AE96" s="31"/>
      <c r="AF96" s="31"/>
      <c r="AG96" s="31"/>
      <c r="AH96" s="31"/>
      <c r="AI96" s="31"/>
      <c r="AJ96" s="31"/>
      <c r="AK96" s="663">
        <v>0</v>
      </c>
      <c r="AL96" s="663">
        <v>0</v>
      </c>
      <c r="AM96" s="31">
        <v>0</v>
      </c>
      <c r="AN96" s="584">
        <v>2.4650340400000002E-2</v>
      </c>
      <c r="AO96" s="584">
        <v>4.4503820999999997E-3</v>
      </c>
      <c r="AP96" s="663"/>
      <c r="AQ96" s="31"/>
      <c r="AR96" s="31"/>
      <c r="AS96" s="31"/>
      <c r="AT96" s="31"/>
      <c r="AU96" s="31"/>
      <c r="AV96" s="31"/>
      <c r="AW96" s="31"/>
      <c r="AX96" s="31"/>
      <c r="AY96" s="31"/>
      <c r="AZ96" s="31">
        <f t="shared" si="16"/>
        <v>0.21</v>
      </c>
      <c r="BA96" s="25" t="str">
        <f t="shared" si="17"/>
        <v>DE child</v>
      </c>
      <c r="BB96" s="25">
        <f t="shared" si="18"/>
        <v>0</v>
      </c>
      <c r="BC96" s="25" t="str">
        <f t="shared" si="19"/>
        <v/>
      </c>
    </row>
    <row r="97" spans="1:55" ht="15" customHeight="1" x14ac:dyDescent="0.2">
      <c r="A97" s="126">
        <v>1</v>
      </c>
      <c r="B97" s="127">
        <v>200000</v>
      </c>
      <c r="C97" s="127" t="s">
        <v>137</v>
      </c>
      <c r="D97" s="81">
        <f>input_values!Z97</f>
        <v>4</v>
      </c>
      <c r="E97" s="582">
        <f>SUM(E98,E119,E125,E144,E158,E189,E196,E207,E211)</f>
        <v>7.6101349999999996</v>
      </c>
      <c r="F97" s="91">
        <f>SUM(F98,F119,F125,F144,F158,F189,F196,F207,F211)</f>
        <v>7.3390909090909107</v>
      </c>
      <c r="G97" s="91">
        <f t="shared" ref="G97:AO97" si="21">SUM(G98,G119,G125,G144,G158,G189,G196,G207,G211)</f>
        <v>4.8936999999999999</v>
      </c>
      <c r="H97" s="91">
        <f t="shared" si="21"/>
        <v>5.7405181255830069</v>
      </c>
      <c r="I97" s="91">
        <f t="shared" si="21"/>
        <v>5.7444301675607674</v>
      </c>
      <c r="J97" s="91">
        <f t="shared" si="21"/>
        <v>5.9310513663917392</v>
      </c>
      <c r="K97" s="91">
        <f t="shared" si="21"/>
        <v>4.3061763999038689</v>
      </c>
      <c r="L97" s="91">
        <f t="shared" si="21"/>
        <v>11.179</v>
      </c>
      <c r="M97" s="91">
        <f t="shared" si="21"/>
        <v>6.6479999999999988</v>
      </c>
      <c r="N97" s="91">
        <f t="shared" si="21"/>
        <v>6.5747126436781613</v>
      </c>
      <c r="O97" s="91">
        <f t="shared" si="21"/>
        <v>5.9794520547945202</v>
      </c>
      <c r="P97" s="91">
        <f>SUM(P98,P119,P125,P144,P158,P189,P196,P207,P211)</f>
        <v>3.5006466045272977</v>
      </c>
      <c r="Q97" s="91">
        <f t="shared" si="21"/>
        <v>3.9337000000000004</v>
      </c>
      <c r="R97" s="91">
        <f t="shared" si="21"/>
        <v>3.1861974909000002</v>
      </c>
      <c r="S97" s="91">
        <f t="shared" si="21"/>
        <v>3.2278945444463045</v>
      </c>
      <c r="T97" s="91"/>
      <c r="U97" s="91">
        <f t="shared" si="21"/>
        <v>12.046808510638298</v>
      </c>
      <c r="V97" s="91">
        <f t="shared" si="21"/>
        <v>4.1153210043602462</v>
      </c>
      <c r="W97" s="91">
        <f t="shared" si="21"/>
        <v>5.1177142857142846</v>
      </c>
      <c r="X97" s="91">
        <f t="shared" si="21"/>
        <v>5.2970000000000006</v>
      </c>
      <c r="Y97" s="91">
        <f t="shared" si="21"/>
        <v>6.2487117834394912</v>
      </c>
      <c r="Z97" s="91">
        <f t="shared" si="21"/>
        <v>8.3978333333333328</v>
      </c>
      <c r="AA97" s="91">
        <f t="shared" si="21"/>
        <v>10</v>
      </c>
      <c r="AB97" s="91">
        <f t="shared" si="21"/>
        <v>10.236666666666666</v>
      </c>
      <c r="AC97" s="91">
        <f t="shared" si="21"/>
        <v>3.064473684210526</v>
      </c>
      <c r="AD97" s="91">
        <f t="shared" si="21"/>
        <v>3.8500749625187405</v>
      </c>
      <c r="AE97" s="91">
        <f t="shared" si="21"/>
        <v>11.456333333333335</v>
      </c>
      <c r="AF97" s="91">
        <f t="shared" si="21"/>
        <v>8.3836666666666666</v>
      </c>
      <c r="AG97" s="91">
        <f t="shared" si="21"/>
        <v>9.2993333333333332</v>
      </c>
      <c r="AH97" s="91">
        <f t="shared" si="21"/>
        <v>8.812166666666668</v>
      </c>
      <c r="AI97" s="91">
        <f t="shared" si="21"/>
        <v>8.829833333333335</v>
      </c>
      <c r="AJ97" s="91">
        <f t="shared" si="21"/>
        <v>9.5668333333333351</v>
      </c>
      <c r="AK97" s="91">
        <f>SUM(AK98,AK119,AK125,AK144,AK158,AK189,AK196,AK207,AK211)</f>
        <v>3.7323972185728849</v>
      </c>
      <c r="AL97" s="91">
        <f>SUM(AL98,AL119,AL125,AL144,AL158,AL189,AL196,AL207,AL211)</f>
        <v>3.8064713040513922</v>
      </c>
      <c r="AM97" s="91">
        <f t="shared" si="21"/>
        <v>1.3130748659999998</v>
      </c>
      <c r="AN97" s="91">
        <f t="shared" si="21"/>
        <v>8.661675402500002</v>
      </c>
      <c r="AO97" s="91">
        <f t="shared" si="21"/>
        <v>6.9409800856000006</v>
      </c>
      <c r="AP97" s="91"/>
      <c r="AQ97" s="91"/>
      <c r="AR97" s="91"/>
      <c r="AS97" s="91"/>
      <c r="AT97" s="91"/>
      <c r="AU97" s="91"/>
      <c r="AV97" s="91"/>
      <c r="AW97" s="91"/>
      <c r="AX97" s="91" t="s">
        <v>369</v>
      </c>
      <c r="AY97" s="91"/>
      <c r="AZ97" s="91">
        <f t="shared" si="16"/>
        <v>12.046808510638298</v>
      </c>
      <c r="BA97" s="41" t="str">
        <f t="shared" si="17"/>
        <v>IE adult</v>
      </c>
      <c r="BB97" s="41">
        <f t="shared" si="18"/>
        <v>1.3130748659999998</v>
      </c>
      <c r="BC97" s="41" t="str">
        <f t="shared" si="19"/>
        <v>IE child</v>
      </c>
    </row>
    <row r="98" spans="1:55" ht="15" customHeight="1" outlineLevel="1" x14ac:dyDescent="0.2">
      <c r="A98" s="130">
        <v>2</v>
      </c>
      <c r="B98" s="131">
        <v>210000</v>
      </c>
      <c r="C98" s="131" t="s">
        <v>138</v>
      </c>
      <c r="D98" s="79">
        <f>input_values!Z98</f>
        <v>4</v>
      </c>
      <c r="E98" s="581">
        <f>SUM(E99,E100,E106)</f>
        <v>3.7800000000000002</v>
      </c>
      <c r="F98" s="92">
        <f>SUM(F99,F100,F106)</f>
        <v>3.86</v>
      </c>
      <c r="G98" s="92">
        <f t="shared" ref="G98:AO98" si="22">SUM(G99,G100,G106)</f>
        <v>2.0352999999999999</v>
      </c>
      <c r="H98" s="92">
        <f t="shared" si="22"/>
        <v>3.2256617686006428</v>
      </c>
      <c r="I98" s="92">
        <f t="shared" si="22"/>
        <v>2.7856370199057388</v>
      </c>
      <c r="J98" s="92">
        <f t="shared" si="22"/>
        <v>2.2819530494390947</v>
      </c>
      <c r="K98" s="92">
        <f t="shared" si="22"/>
        <v>1.0884402787791396</v>
      </c>
      <c r="L98" s="92">
        <f t="shared" si="22"/>
        <v>5.4939999999999998</v>
      </c>
      <c r="M98" s="92">
        <f t="shared" si="22"/>
        <v>3.903</v>
      </c>
      <c r="N98" s="92">
        <f t="shared" si="22"/>
        <v>4.7356321839080469</v>
      </c>
      <c r="O98" s="92">
        <f t="shared" si="22"/>
        <v>4.095890410958904</v>
      </c>
      <c r="P98" s="92">
        <f>SUM(P99,P100,P106)</f>
        <v>1.7904832223701732</v>
      </c>
      <c r="Q98" s="92">
        <f t="shared" si="22"/>
        <v>1.0884</v>
      </c>
      <c r="R98" s="92">
        <f t="shared" si="22"/>
        <v>1.6064927767999999</v>
      </c>
      <c r="S98" s="92">
        <f t="shared" si="22"/>
        <v>1.0877316501156296</v>
      </c>
      <c r="T98" s="92"/>
      <c r="U98" s="92">
        <f t="shared" si="22"/>
        <v>6.9136968085106378</v>
      </c>
      <c r="V98" s="92">
        <f t="shared" si="22"/>
        <v>0.76514809803037132</v>
      </c>
      <c r="W98" s="92">
        <f t="shared" si="22"/>
        <v>3.4749999999999996</v>
      </c>
      <c r="X98" s="92">
        <f t="shared" si="22"/>
        <v>2.7410000000000001</v>
      </c>
      <c r="Y98" s="92">
        <f t="shared" si="22"/>
        <v>4.0663821656050958</v>
      </c>
      <c r="Z98" s="92">
        <f t="shared" si="22"/>
        <v>6.0733333333333333</v>
      </c>
      <c r="AA98" s="92">
        <f t="shared" si="22"/>
        <v>4.2166666666666668</v>
      </c>
      <c r="AB98" s="92">
        <f t="shared" si="22"/>
        <v>5.5150000000000006</v>
      </c>
      <c r="AC98" s="92">
        <f t="shared" si="22"/>
        <v>1.6368421052631579</v>
      </c>
      <c r="AD98" s="92">
        <f t="shared" si="22"/>
        <v>1.6596701649175412</v>
      </c>
      <c r="AE98" s="92">
        <f t="shared" si="22"/>
        <v>2.6173333333333328</v>
      </c>
      <c r="AF98" s="92">
        <f t="shared" si="22"/>
        <v>4.8428333333333331</v>
      </c>
      <c r="AG98" s="92">
        <f t="shared" si="22"/>
        <v>5.0010000000000003</v>
      </c>
      <c r="AH98" s="92">
        <f t="shared" si="22"/>
        <v>4.0376666666666674</v>
      </c>
      <c r="AI98" s="92">
        <f t="shared" si="22"/>
        <v>5.4589999999999996</v>
      </c>
      <c r="AJ98" s="92">
        <f t="shared" si="22"/>
        <v>4.7006666666666668</v>
      </c>
      <c r="AK98" s="92">
        <f>SUM(AK99,AK100,AK106)</f>
        <v>1.6467751849976704</v>
      </c>
      <c r="AL98" s="92">
        <f>SUM(AL99,AL100,AL106)</f>
        <v>1.5670821716524996</v>
      </c>
      <c r="AM98" s="92">
        <f t="shared" si="22"/>
        <v>0.82358741300000005</v>
      </c>
      <c r="AN98" s="92">
        <f t="shared" si="22"/>
        <v>5.7278270789000008</v>
      </c>
      <c r="AO98" s="92">
        <f t="shared" si="22"/>
        <v>4.6515330936000003</v>
      </c>
      <c r="AP98" s="92"/>
      <c r="AQ98" s="92"/>
      <c r="AR98" s="92"/>
      <c r="AS98" s="92"/>
      <c r="AT98" s="92"/>
      <c r="AU98" s="92"/>
      <c r="AV98" s="92"/>
      <c r="AW98" s="92"/>
      <c r="AX98" s="92" t="s">
        <v>369</v>
      </c>
      <c r="AY98" s="92"/>
      <c r="AZ98" s="92">
        <f t="shared" si="16"/>
        <v>6.9136968085106378</v>
      </c>
      <c r="BA98" s="42" t="str">
        <f t="shared" si="17"/>
        <v>IE adult</v>
      </c>
      <c r="BB98" s="42">
        <f t="shared" si="18"/>
        <v>0.76514809803037132</v>
      </c>
      <c r="BC98" s="42" t="str">
        <f t="shared" si="19"/>
        <v>IT adult</v>
      </c>
    </row>
    <row r="99" spans="1:55" ht="15" customHeight="1" outlineLevel="2" x14ac:dyDescent="0.2">
      <c r="A99" s="132">
        <v>3</v>
      </c>
      <c r="B99" s="3">
        <v>211000</v>
      </c>
      <c r="C99" s="3" t="s">
        <v>222</v>
      </c>
      <c r="D99" s="80">
        <f>input_values!Z99</f>
        <v>3</v>
      </c>
      <c r="E99" s="660">
        <v>2.61</v>
      </c>
      <c r="F99" s="48">
        <v>2.4318181818181817</v>
      </c>
      <c r="G99" s="48">
        <v>1.8401000000000001</v>
      </c>
      <c r="H99" s="48">
        <v>1.9113483026274465</v>
      </c>
      <c r="I99" s="48">
        <v>1.8600745009270119</v>
      </c>
      <c r="J99" s="48">
        <v>1.5104443294911238</v>
      </c>
      <c r="K99" s="48">
        <v>0.89641913001682283</v>
      </c>
      <c r="L99" s="48">
        <v>4.2690000000000001</v>
      </c>
      <c r="M99" s="48">
        <v>3.4430000000000001</v>
      </c>
      <c r="N99" s="48">
        <v>3.2528735632183912</v>
      </c>
      <c r="O99" s="48">
        <v>3.493150684931507</v>
      </c>
      <c r="P99" s="48">
        <v>1.27</v>
      </c>
      <c r="Q99" s="48">
        <v>0.92969999999999997</v>
      </c>
      <c r="R99" s="585">
        <v>1.184983044</v>
      </c>
      <c r="S99" s="48">
        <v>0.72724311608492065</v>
      </c>
      <c r="T99" s="48"/>
      <c r="U99" s="48">
        <v>2.291223404255319</v>
      </c>
      <c r="V99" s="48">
        <v>0.60066155465343563</v>
      </c>
      <c r="W99" s="48">
        <v>3.1741428571428569</v>
      </c>
      <c r="X99" s="48">
        <v>2.4300000000000002</v>
      </c>
      <c r="Y99" s="48">
        <v>3.4351878980891724</v>
      </c>
      <c r="Z99" s="48">
        <v>5.333333333333333</v>
      </c>
      <c r="AA99" s="48">
        <v>3.7333333333333334</v>
      </c>
      <c r="AB99" s="48">
        <v>4.166666666666667</v>
      </c>
      <c r="AC99" s="48">
        <v>1.3973684210526316</v>
      </c>
      <c r="AD99" s="48">
        <v>1.3703148425787106</v>
      </c>
      <c r="AE99" s="48">
        <v>1.9969999999999999</v>
      </c>
      <c r="AF99" s="48">
        <v>3.7505000000000002</v>
      </c>
      <c r="AG99" s="48">
        <v>3.9040000000000004</v>
      </c>
      <c r="AH99" s="48">
        <v>2.9591666666666669</v>
      </c>
      <c r="AI99" s="48">
        <v>3.9091666666666667</v>
      </c>
      <c r="AJ99" s="48">
        <v>3.5568333333333331</v>
      </c>
      <c r="AK99" s="661">
        <v>1.2283399503735286</v>
      </c>
      <c r="AL99" s="661">
        <v>1.0993045362903515</v>
      </c>
      <c r="AM99" s="48">
        <v>0.61043599999999998</v>
      </c>
      <c r="AN99" s="585">
        <v>4.7183476108000004</v>
      </c>
      <c r="AO99" s="585">
        <v>3.8887275775000001</v>
      </c>
      <c r="AP99" s="661"/>
      <c r="AQ99" s="48"/>
      <c r="AR99" s="48"/>
      <c r="AS99" s="48"/>
      <c r="AT99" s="48"/>
      <c r="AU99" s="48"/>
      <c r="AV99" s="48"/>
      <c r="AW99" s="48"/>
      <c r="AX99" s="48"/>
      <c r="AY99" s="48"/>
      <c r="AZ99" s="48">
        <f t="shared" si="16"/>
        <v>5.333333333333333</v>
      </c>
      <c r="BA99" s="4" t="str">
        <f t="shared" si="17"/>
        <v>PT general</v>
      </c>
      <c r="BB99" s="4">
        <f t="shared" si="18"/>
        <v>0.60066155465343563</v>
      </c>
      <c r="BC99" s="4" t="str">
        <f t="shared" si="19"/>
        <v>IT adult</v>
      </c>
    </row>
    <row r="100" spans="1:55" ht="15" customHeight="1" outlineLevel="2" x14ac:dyDescent="0.2">
      <c r="A100" s="132">
        <v>3</v>
      </c>
      <c r="B100" s="3">
        <v>212000</v>
      </c>
      <c r="C100" s="3" t="s">
        <v>223</v>
      </c>
      <c r="D100" s="80">
        <f>input_values!Z100</f>
        <v>4</v>
      </c>
      <c r="E100" s="654">
        <v>0</v>
      </c>
      <c r="F100" s="48">
        <f t="shared" ref="F100:AO100" si="23">SUM(F101:F105)</f>
        <v>0</v>
      </c>
      <c r="G100" s="48">
        <f t="shared" si="23"/>
        <v>0</v>
      </c>
      <c r="H100" s="48">
        <f t="shared" si="23"/>
        <v>0</v>
      </c>
      <c r="I100" s="48">
        <f t="shared" si="23"/>
        <v>0</v>
      </c>
      <c r="J100" s="48">
        <f t="shared" si="23"/>
        <v>0</v>
      </c>
      <c r="K100" s="48">
        <f t="shared" si="23"/>
        <v>0</v>
      </c>
      <c r="L100" s="48">
        <f t="shared" si="23"/>
        <v>7.0000000000000001E-3</v>
      </c>
      <c r="M100" s="48">
        <f t="shared" si="23"/>
        <v>0.01</v>
      </c>
      <c r="N100" s="48">
        <f t="shared" si="23"/>
        <v>0</v>
      </c>
      <c r="O100" s="48">
        <f t="shared" si="23"/>
        <v>0</v>
      </c>
      <c r="P100" s="48">
        <f t="shared" si="23"/>
        <v>0</v>
      </c>
      <c r="Q100" s="48">
        <f t="shared" si="23"/>
        <v>6.9999999999999999E-4</v>
      </c>
      <c r="R100" s="48">
        <f t="shared" si="23"/>
        <v>2.5010409999999999E-3</v>
      </c>
      <c r="S100" s="48">
        <f t="shared" si="23"/>
        <v>3.7385891238473512E-4</v>
      </c>
      <c r="T100" s="48"/>
      <c r="U100" s="48">
        <f t="shared" si="23"/>
        <v>3.5452127659574471</v>
      </c>
      <c r="V100" s="48">
        <f t="shared" si="23"/>
        <v>1.653886633588934E-3</v>
      </c>
      <c r="W100" s="48">
        <f t="shared" si="23"/>
        <v>0</v>
      </c>
      <c r="X100" s="48">
        <f t="shared" si="23"/>
        <v>1E-3</v>
      </c>
      <c r="Y100" s="48">
        <f t="shared" si="23"/>
        <v>0</v>
      </c>
      <c r="Z100" s="48">
        <f t="shared" si="23"/>
        <v>6.1666666666666668E-2</v>
      </c>
      <c r="AA100" s="48">
        <f t="shared" si="23"/>
        <v>0</v>
      </c>
      <c r="AB100" s="48">
        <f t="shared" si="23"/>
        <v>0.05</v>
      </c>
      <c r="AC100" s="48">
        <f t="shared" si="23"/>
        <v>5.263157894736842E-3</v>
      </c>
      <c r="AD100" s="48">
        <f t="shared" si="23"/>
        <v>0</v>
      </c>
      <c r="AE100" s="48">
        <f t="shared" si="23"/>
        <v>0.19466666666666665</v>
      </c>
      <c r="AF100" s="48">
        <f t="shared" si="23"/>
        <v>1.8833333333333334E-2</v>
      </c>
      <c r="AG100" s="48">
        <f t="shared" si="23"/>
        <v>7.0000000000000001E-3</v>
      </c>
      <c r="AH100" s="48">
        <f t="shared" si="23"/>
        <v>0.12116666666666667</v>
      </c>
      <c r="AI100" s="48">
        <f t="shared" si="23"/>
        <v>5.0000000000000001E-3</v>
      </c>
      <c r="AJ100" s="48">
        <f t="shared" si="23"/>
        <v>5.8333333333333336E-3</v>
      </c>
      <c r="AK100" s="48">
        <f t="shared" si="23"/>
        <v>7.4722664717922235E-4</v>
      </c>
      <c r="AL100" s="48">
        <f t="shared" si="23"/>
        <v>1.3876168590890737E-3</v>
      </c>
      <c r="AM100" s="48">
        <f t="shared" si="23"/>
        <v>7.9300000000000003E-5</v>
      </c>
      <c r="AN100" s="48">
        <f t="shared" si="23"/>
        <v>0</v>
      </c>
      <c r="AO100" s="48">
        <f t="shared" si="23"/>
        <v>0</v>
      </c>
      <c r="AP100" s="48"/>
      <c r="AQ100" s="48"/>
      <c r="AR100" s="48"/>
      <c r="AS100" s="48"/>
      <c r="AT100" s="48"/>
      <c r="AU100" s="48"/>
      <c r="AV100" s="48"/>
      <c r="AW100" s="48"/>
      <c r="AX100" s="48" t="s">
        <v>369</v>
      </c>
      <c r="AY100" s="48"/>
      <c r="AZ100" s="48">
        <f t="shared" si="16"/>
        <v>3.5452127659574471</v>
      </c>
      <c r="BA100" s="4" t="str">
        <f t="shared" si="17"/>
        <v>IE adult</v>
      </c>
      <c r="BB100" s="4">
        <f t="shared" si="18"/>
        <v>0</v>
      </c>
      <c r="BC100" s="4" t="str">
        <f t="shared" si="19"/>
        <v/>
      </c>
    </row>
    <row r="101" spans="1:55" ht="15" customHeight="1" outlineLevel="3" x14ac:dyDescent="0.2">
      <c r="A101" s="39">
        <v>4</v>
      </c>
      <c r="B101" s="23">
        <v>212010</v>
      </c>
      <c r="C101" s="23" t="s">
        <v>705</v>
      </c>
      <c r="D101" s="22">
        <f>input_values!Z101</f>
        <v>4</v>
      </c>
      <c r="E101" s="657">
        <v>0</v>
      </c>
      <c r="F101" s="31">
        <v>0</v>
      </c>
      <c r="G101" s="31">
        <v>0</v>
      </c>
      <c r="H101" s="31">
        <v>0</v>
      </c>
      <c r="I101" s="31">
        <v>0</v>
      </c>
      <c r="J101" s="31">
        <v>0</v>
      </c>
      <c r="K101" s="31">
        <v>0</v>
      </c>
      <c r="L101" s="31">
        <v>7.0000000000000001E-3</v>
      </c>
      <c r="M101" s="31">
        <v>0.01</v>
      </c>
      <c r="N101" s="31">
        <v>0</v>
      </c>
      <c r="O101" s="31">
        <v>0</v>
      </c>
      <c r="P101" s="31">
        <v>0</v>
      </c>
      <c r="Q101" s="31">
        <v>0</v>
      </c>
      <c r="R101" s="584"/>
      <c r="S101" s="31">
        <v>0</v>
      </c>
      <c r="T101" s="31"/>
      <c r="U101" s="31">
        <v>0</v>
      </c>
      <c r="V101" s="31">
        <v>0</v>
      </c>
      <c r="W101" s="31">
        <v>0</v>
      </c>
      <c r="X101" s="31">
        <v>0</v>
      </c>
      <c r="Y101" s="31">
        <v>0</v>
      </c>
      <c r="Z101" s="31">
        <v>0</v>
      </c>
      <c r="AA101" s="31">
        <v>0</v>
      </c>
      <c r="AB101" s="31">
        <v>0</v>
      </c>
      <c r="AC101" s="31">
        <v>0</v>
      </c>
      <c r="AD101" s="31">
        <v>0</v>
      </c>
      <c r="AE101" s="31">
        <v>7.0999999999999994E-2</v>
      </c>
      <c r="AF101" s="31">
        <v>1.6666666666666668E-3</v>
      </c>
      <c r="AG101" s="31">
        <v>0</v>
      </c>
      <c r="AH101" s="31">
        <v>1.6333333333333335E-2</v>
      </c>
      <c r="AI101" s="31">
        <v>0</v>
      </c>
      <c r="AJ101" s="31">
        <v>0</v>
      </c>
      <c r="AK101" s="663">
        <v>4.9831381491844144E-4</v>
      </c>
      <c r="AL101" s="663">
        <v>8.1195369518184235E-4</v>
      </c>
      <c r="AM101" s="31">
        <v>0</v>
      </c>
      <c r="AN101" s="584"/>
      <c r="AO101" s="584"/>
      <c r="AP101" s="663"/>
      <c r="AQ101" s="31"/>
      <c r="AR101" s="31"/>
      <c r="AS101" s="31"/>
      <c r="AT101" s="31"/>
      <c r="AU101" s="31"/>
      <c r="AV101" s="31"/>
      <c r="AW101" s="31"/>
      <c r="AX101" s="31"/>
      <c r="AY101" s="31"/>
      <c r="AZ101" s="31">
        <f t="shared" si="16"/>
        <v>7.0999999999999994E-2</v>
      </c>
      <c r="BA101" s="25" t="str">
        <f t="shared" si="17"/>
        <v>GEMS/Food G06</v>
      </c>
      <c r="BB101" s="25">
        <f t="shared" si="18"/>
        <v>0</v>
      </c>
      <c r="BC101" s="25" t="str">
        <f t="shared" si="19"/>
        <v/>
      </c>
    </row>
    <row r="102" spans="1:55" ht="15" customHeight="1" outlineLevel="3" x14ac:dyDescent="0.2">
      <c r="A102" s="39">
        <v>4</v>
      </c>
      <c r="B102" s="23">
        <v>212020</v>
      </c>
      <c r="C102" s="23" t="s">
        <v>24</v>
      </c>
      <c r="D102" s="22">
        <f>input_values!Z102</f>
        <v>4</v>
      </c>
      <c r="E102" s="657">
        <v>0</v>
      </c>
      <c r="F102" s="31">
        <v>0</v>
      </c>
      <c r="G102" s="31">
        <v>0</v>
      </c>
      <c r="H102" s="31">
        <v>0</v>
      </c>
      <c r="I102" s="31">
        <v>0</v>
      </c>
      <c r="J102" s="31">
        <v>0</v>
      </c>
      <c r="K102" s="31">
        <v>0</v>
      </c>
      <c r="L102" s="31">
        <v>0</v>
      </c>
      <c r="M102" s="31">
        <v>0</v>
      </c>
      <c r="N102" s="31">
        <v>0</v>
      </c>
      <c r="O102" s="31">
        <v>0</v>
      </c>
      <c r="P102" s="31">
        <v>0</v>
      </c>
      <c r="Q102" s="31">
        <v>6.9999999999999999E-4</v>
      </c>
      <c r="R102" s="584">
        <v>2.5010409999999999E-3</v>
      </c>
      <c r="S102" s="31">
        <v>3.7385891238473512E-4</v>
      </c>
      <c r="T102" s="31"/>
      <c r="U102" s="31">
        <v>3.5452127659574471</v>
      </c>
      <c r="V102" s="31">
        <v>1.653886633588934E-3</v>
      </c>
      <c r="W102" s="31">
        <v>0</v>
      </c>
      <c r="X102" s="31">
        <v>1E-3</v>
      </c>
      <c r="Y102" s="31">
        <v>0</v>
      </c>
      <c r="Z102" s="31">
        <v>6.1666666666666668E-2</v>
      </c>
      <c r="AA102" s="31">
        <v>0</v>
      </c>
      <c r="AB102" s="31">
        <v>3.3333333333333333E-2</v>
      </c>
      <c r="AC102" s="31">
        <v>0</v>
      </c>
      <c r="AD102" s="31">
        <v>0</v>
      </c>
      <c r="AE102" s="31">
        <v>0.11116666666666666</v>
      </c>
      <c r="AF102" s="31">
        <v>1.5500000000000002E-2</v>
      </c>
      <c r="AG102" s="31">
        <v>5.3333333333333332E-3</v>
      </c>
      <c r="AH102" s="31">
        <v>8.9499999999999996E-2</v>
      </c>
      <c r="AI102" s="31">
        <v>5.0000000000000001E-3</v>
      </c>
      <c r="AJ102" s="31">
        <v>2.5000000000000001E-3</v>
      </c>
      <c r="AK102" s="663">
        <v>2.4891283226078091E-4</v>
      </c>
      <c r="AL102" s="663">
        <v>5.7566316390723123E-4</v>
      </c>
      <c r="AM102" s="31">
        <v>7.9300000000000003E-5</v>
      </c>
      <c r="AN102" s="584"/>
      <c r="AO102" s="584"/>
      <c r="AP102" s="663"/>
      <c r="AQ102" s="31"/>
      <c r="AR102" s="31"/>
      <c r="AS102" s="31"/>
      <c r="AT102" s="31"/>
      <c r="AU102" s="31"/>
      <c r="AV102" s="31"/>
      <c r="AW102" s="31"/>
      <c r="AX102" s="31"/>
      <c r="AY102" s="31"/>
      <c r="AZ102" s="31">
        <f t="shared" si="16"/>
        <v>3.5452127659574471</v>
      </c>
      <c r="BA102" s="25" t="str">
        <f t="shared" si="17"/>
        <v>IE adult</v>
      </c>
      <c r="BB102" s="25">
        <f t="shared" si="18"/>
        <v>0</v>
      </c>
      <c r="BC102" s="25" t="str">
        <f t="shared" si="19"/>
        <v/>
      </c>
    </row>
    <row r="103" spans="1:55" ht="15" customHeight="1" outlineLevel="3" x14ac:dyDescent="0.2">
      <c r="A103" s="39">
        <v>4</v>
      </c>
      <c r="B103" s="23">
        <v>212030</v>
      </c>
      <c r="C103" s="23" t="s">
        <v>25</v>
      </c>
      <c r="D103" s="22">
        <f>input_values!Z103</f>
        <v>4</v>
      </c>
      <c r="E103" s="657">
        <v>0</v>
      </c>
      <c r="F103" s="31">
        <v>0</v>
      </c>
      <c r="G103" s="31">
        <v>0</v>
      </c>
      <c r="H103" s="31">
        <v>0</v>
      </c>
      <c r="I103" s="31">
        <v>0</v>
      </c>
      <c r="J103" s="31">
        <v>0</v>
      </c>
      <c r="K103" s="31">
        <v>0</v>
      </c>
      <c r="L103" s="31">
        <v>0</v>
      </c>
      <c r="M103" s="31">
        <v>0</v>
      </c>
      <c r="N103" s="31">
        <v>0</v>
      </c>
      <c r="O103" s="31">
        <v>0</v>
      </c>
      <c r="P103" s="31">
        <v>0</v>
      </c>
      <c r="Q103" s="31">
        <v>0</v>
      </c>
      <c r="R103" s="584"/>
      <c r="S103" s="31">
        <v>0</v>
      </c>
      <c r="T103" s="31"/>
      <c r="U103" s="31">
        <v>0</v>
      </c>
      <c r="V103" s="31">
        <v>0</v>
      </c>
      <c r="W103" s="31">
        <v>0</v>
      </c>
      <c r="X103" s="31">
        <v>0</v>
      </c>
      <c r="Y103" s="31">
        <v>0</v>
      </c>
      <c r="Z103" s="31">
        <v>0</v>
      </c>
      <c r="AA103" s="31">
        <v>0</v>
      </c>
      <c r="AB103" s="31">
        <v>1.6666666666666666E-2</v>
      </c>
      <c r="AC103" s="31">
        <v>5.263157894736842E-3</v>
      </c>
      <c r="AD103" s="31">
        <v>0</v>
      </c>
      <c r="AE103" s="31">
        <v>1.0833333333333334E-2</v>
      </c>
      <c r="AF103" s="31">
        <v>0</v>
      </c>
      <c r="AG103" s="31">
        <v>0</v>
      </c>
      <c r="AH103" s="31">
        <v>1.1833333333333333E-2</v>
      </c>
      <c r="AI103" s="31">
        <v>0</v>
      </c>
      <c r="AJ103" s="31">
        <v>1.6666666666666668E-3</v>
      </c>
      <c r="AK103" s="663">
        <v>0</v>
      </c>
      <c r="AL103" s="663">
        <v>0</v>
      </c>
      <c r="AM103" s="31">
        <v>0</v>
      </c>
      <c r="AN103" s="584"/>
      <c r="AO103" s="584"/>
      <c r="AP103" s="663"/>
      <c r="AQ103" s="31"/>
      <c r="AR103" s="31"/>
      <c r="AS103" s="31"/>
      <c r="AT103" s="31"/>
      <c r="AU103" s="31"/>
      <c r="AV103" s="31"/>
      <c r="AW103" s="31"/>
      <c r="AX103" s="31"/>
      <c r="AY103" s="31"/>
      <c r="AZ103" s="31">
        <f t="shared" si="16"/>
        <v>1.6666666666666666E-2</v>
      </c>
      <c r="BA103" s="25" t="str">
        <f t="shared" si="17"/>
        <v>SE general</v>
      </c>
      <c r="BB103" s="25">
        <f t="shared" si="18"/>
        <v>0</v>
      </c>
      <c r="BC103" s="25" t="str">
        <f t="shared" si="19"/>
        <v/>
      </c>
    </row>
    <row r="104" spans="1:55" ht="15" customHeight="1" outlineLevel="3" x14ac:dyDescent="0.2">
      <c r="A104" s="39">
        <v>4</v>
      </c>
      <c r="B104" s="23">
        <v>212040</v>
      </c>
      <c r="C104" s="23" t="s">
        <v>706</v>
      </c>
      <c r="D104" s="22">
        <f>input_values!Z104</f>
        <v>4</v>
      </c>
      <c r="E104" s="657">
        <v>0</v>
      </c>
      <c r="F104" s="31">
        <v>0</v>
      </c>
      <c r="G104" s="31">
        <v>0</v>
      </c>
      <c r="H104" s="31">
        <v>0</v>
      </c>
      <c r="I104" s="31">
        <v>0</v>
      </c>
      <c r="J104" s="31">
        <v>0</v>
      </c>
      <c r="K104" s="31">
        <v>0</v>
      </c>
      <c r="L104" s="31">
        <v>0</v>
      </c>
      <c r="M104" s="31">
        <v>0</v>
      </c>
      <c r="N104" s="31">
        <v>0</v>
      </c>
      <c r="O104" s="31">
        <v>0</v>
      </c>
      <c r="P104" s="31">
        <v>0</v>
      </c>
      <c r="Q104" s="31">
        <v>0</v>
      </c>
      <c r="R104" s="584"/>
      <c r="S104" s="31">
        <v>0</v>
      </c>
      <c r="T104" s="31"/>
      <c r="U104" s="31">
        <v>0</v>
      </c>
      <c r="V104" s="31">
        <v>0</v>
      </c>
      <c r="W104" s="31">
        <v>0</v>
      </c>
      <c r="X104" s="31">
        <v>0</v>
      </c>
      <c r="Y104" s="31">
        <v>0</v>
      </c>
      <c r="Z104" s="31">
        <v>0</v>
      </c>
      <c r="AA104" s="31">
        <v>0</v>
      </c>
      <c r="AB104" s="31">
        <v>0</v>
      </c>
      <c r="AC104" s="31">
        <v>0</v>
      </c>
      <c r="AD104" s="31">
        <v>0</v>
      </c>
      <c r="AE104" s="31">
        <v>1.6666666666666668E-3</v>
      </c>
      <c r="AF104" s="31">
        <v>1.6666666666666668E-3</v>
      </c>
      <c r="AG104" s="31">
        <v>1.6666666666666668E-3</v>
      </c>
      <c r="AH104" s="31">
        <v>3.5000000000000001E-3</v>
      </c>
      <c r="AI104" s="31">
        <v>0</v>
      </c>
      <c r="AJ104" s="31">
        <v>1.6666666666666668E-3</v>
      </c>
      <c r="AK104" s="663">
        <v>0</v>
      </c>
      <c r="AL104" s="663">
        <v>0</v>
      </c>
      <c r="AM104" s="31">
        <v>0</v>
      </c>
      <c r="AN104" s="584"/>
      <c r="AO104" s="584"/>
      <c r="AP104" s="663"/>
      <c r="AQ104" s="31"/>
      <c r="AR104" s="31"/>
      <c r="AS104" s="31"/>
      <c r="AT104" s="31"/>
      <c r="AU104" s="31"/>
      <c r="AV104" s="31"/>
      <c r="AW104" s="31"/>
      <c r="AX104" s="31"/>
      <c r="AY104" s="31"/>
      <c r="AZ104" s="31">
        <f t="shared" si="16"/>
        <v>3.5000000000000001E-3</v>
      </c>
      <c r="BA104" s="25" t="str">
        <f t="shared" si="17"/>
        <v>GEMS/Food G10</v>
      </c>
      <c r="BB104" s="25">
        <f t="shared" si="18"/>
        <v>0</v>
      </c>
      <c r="BC104" s="25" t="str">
        <f t="shared" si="19"/>
        <v/>
      </c>
    </row>
    <row r="105" spans="1:55" ht="15" customHeight="1" outlineLevel="3" x14ac:dyDescent="0.2">
      <c r="A105" s="39">
        <v>4</v>
      </c>
      <c r="B105" s="23">
        <v>212990</v>
      </c>
      <c r="C105" s="23" t="s">
        <v>163</v>
      </c>
      <c r="D105" s="22">
        <f>input_values!Z105</f>
        <v>4</v>
      </c>
      <c r="E105" s="657">
        <v>0</v>
      </c>
      <c r="F105" s="31"/>
      <c r="G105" s="31">
        <v>0</v>
      </c>
      <c r="H105" s="31">
        <v>0</v>
      </c>
      <c r="I105" s="31">
        <v>0</v>
      </c>
      <c r="J105" s="31">
        <v>0</v>
      </c>
      <c r="K105" s="31">
        <v>0</v>
      </c>
      <c r="L105" s="31">
        <v>0</v>
      </c>
      <c r="M105" s="31">
        <v>0</v>
      </c>
      <c r="N105" s="31">
        <v>0</v>
      </c>
      <c r="O105" s="31">
        <v>0</v>
      </c>
      <c r="P105" s="31">
        <v>0</v>
      </c>
      <c r="Q105" s="31">
        <v>0</v>
      </c>
      <c r="R105" s="584"/>
      <c r="S105" s="31">
        <v>0</v>
      </c>
      <c r="T105" s="31"/>
      <c r="U105" s="31">
        <v>0</v>
      </c>
      <c r="V105" s="31">
        <v>0</v>
      </c>
      <c r="W105" s="31">
        <v>0</v>
      </c>
      <c r="X105" s="31">
        <v>0</v>
      </c>
      <c r="Y105" s="31">
        <v>0</v>
      </c>
      <c r="Z105" s="31">
        <v>0</v>
      </c>
      <c r="AA105" s="31">
        <v>0</v>
      </c>
      <c r="AB105" s="31">
        <v>0</v>
      </c>
      <c r="AC105" s="31">
        <v>0</v>
      </c>
      <c r="AD105" s="31">
        <v>0</v>
      </c>
      <c r="AE105" s="31"/>
      <c r="AF105" s="31"/>
      <c r="AG105" s="31"/>
      <c r="AH105" s="31"/>
      <c r="AI105" s="31"/>
      <c r="AJ105" s="31"/>
      <c r="AK105" s="663">
        <v>0</v>
      </c>
      <c r="AL105" s="663">
        <v>0</v>
      </c>
      <c r="AM105" s="31">
        <v>0</v>
      </c>
      <c r="AN105" s="584"/>
      <c r="AO105" s="584"/>
      <c r="AP105" s="663"/>
      <c r="AQ105" s="31"/>
      <c r="AR105" s="31"/>
      <c r="AS105" s="31"/>
      <c r="AT105" s="31"/>
      <c r="AU105" s="31"/>
      <c r="AV105" s="31"/>
      <c r="AW105" s="31"/>
      <c r="AX105" s="31"/>
      <c r="AY105" s="31"/>
      <c r="AZ105" s="31">
        <f t="shared" si="16"/>
        <v>0</v>
      </c>
      <c r="BA105" s="25" t="str">
        <f t="shared" si="17"/>
        <v>DE child</v>
      </c>
      <c r="BB105" s="25">
        <f t="shared" si="18"/>
        <v>0</v>
      </c>
      <c r="BC105" s="25" t="str">
        <f t="shared" si="19"/>
        <v/>
      </c>
    </row>
    <row r="106" spans="1:55" ht="15" customHeight="1" outlineLevel="2" x14ac:dyDescent="0.2">
      <c r="A106" s="132">
        <v>3</v>
      </c>
      <c r="B106" s="3">
        <v>213000</v>
      </c>
      <c r="C106" s="3" t="s">
        <v>294</v>
      </c>
      <c r="D106" s="80">
        <f>input_values!Z106</f>
        <v>4</v>
      </c>
      <c r="E106" s="654">
        <f>SUM(E107:E118)</f>
        <v>1.1700000000000002</v>
      </c>
      <c r="F106" s="48">
        <f t="shared" ref="F106:AO106" si="24">SUM(F107:F118)</f>
        <v>1.4281818181818182</v>
      </c>
      <c r="G106" s="48">
        <f t="shared" si="24"/>
        <v>0.19520000000000001</v>
      </c>
      <c r="H106" s="48">
        <f t="shared" si="24"/>
        <v>1.3143134659731963</v>
      </c>
      <c r="I106" s="48">
        <f t="shared" si="24"/>
        <v>0.92556251897872688</v>
      </c>
      <c r="J106" s="48">
        <f t="shared" si="24"/>
        <v>0.77150871994797088</v>
      </c>
      <c r="K106" s="48">
        <f t="shared" si="24"/>
        <v>0.19202114876231674</v>
      </c>
      <c r="L106" s="48">
        <f t="shared" si="24"/>
        <v>1.2179999999999997</v>
      </c>
      <c r="M106" s="48">
        <f t="shared" si="24"/>
        <v>0.45</v>
      </c>
      <c r="N106" s="48">
        <f t="shared" si="24"/>
        <v>1.4827586206896552</v>
      </c>
      <c r="O106" s="48">
        <f t="shared" si="24"/>
        <v>0.60273972602739734</v>
      </c>
      <c r="P106" s="48">
        <f t="shared" si="24"/>
        <v>0.52048322237017319</v>
      </c>
      <c r="Q106" s="48">
        <f t="shared" si="24"/>
        <v>0.158</v>
      </c>
      <c r="R106" s="48">
        <f t="shared" si="24"/>
        <v>0.4190086918</v>
      </c>
      <c r="S106" s="48">
        <f t="shared" si="24"/>
        <v>0.36011467511832423</v>
      </c>
      <c r="T106" s="48"/>
      <c r="U106" s="48">
        <f t="shared" si="24"/>
        <v>1.0772606382978724</v>
      </c>
      <c r="V106" s="48">
        <f t="shared" si="24"/>
        <v>0.16283265674334685</v>
      </c>
      <c r="W106" s="48">
        <f t="shared" si="24"/>
        <v>0.30085714285714288</v>
      </c>
      <c r="X106" s="48">
        <f t="shared" si="24"/>
        <v>0.31000000000000005</v>
      </c>
      <c r="Y106" s="48">
        <f t="shared" si="24"/>
        <v>0.63119426751592356</v>
      </c>
      <c r="Z106" s="48">
        <f t="shared" si="24"/>
        <v>0.67833333333333334</v>
      </c>
      <c r="AA106" s="48">
        <f t="shared" si="24"/>
        <v>0.48333333333333328</v>
      </c>
      <c r="AB106" s="48">
        <f t="shared" si="24"/>
        <v>1.2983333333333333</v>
      </c>
      <c r="AC106" s="48">
        <f t="shared" si="24"/>
        <v>0.23421052631578951</v>
      </c>
      <c r="AD106" s="48">
        <f t="shared" si="24"/>
        <v>0.28935532233883055</v>
      </c>
      <c r="AE106" s="48">
        <f t="shared" si="24"/>
        <v>0.42566666666666664</v>
      </c>
      <c r="AF106" s="48">
        <f t="shared" si="24"/>
        <v>1.0735000000000001</v>
      </c>
      <c r="AG106" s="48">
        <f t="shared" si="24"/>
        <v>1.0900000000000001</v>
      </c>
      <c r="AH106" s="48">
        <f t="shared" si="24"/>
        <v>0.95733333333333337</v>
      </c>
      <c r="AI106" s="48">
        <f t="shared" si="24"/>
        <v>1.5448333333333333</v>
      </c>
      <c r="AJ106" s="48">
        <f t="shared" si="24"/>
        <v>1.1380000000000001</v>
      </c>
      <c r="AK106" s="48">
        <f t="shared" si="24"/>
        <v>0.41768800797696259</v>
      </c>
      <c r="AL106" s="48">
        <f t="shared" si="24"/>
        <v>0.466390018503059</v>
      </c>
      <c r="AM106" s="48">
        <f t="shared" si="24"/>
        <v>0.21307211300000004</v>
      </c>
      <c r="AN106" s="48">
        <f t="shared" si="24"/>
        <v>1.0094794680999999</v>
      </c>
      <c r="AO106" s="48">
        <f t="shared" si="24"/>
        <v>0.76280551610000014</v>
      </c>
      <c r="AP106" s="48"/>
      <c r="AQ106" s="48"/>
      <c r="AR106" s="48"/>
      <c r="AS106" s="48"/>
      <c r="AT106" s="48"/>
      <c r="AU106" s="48"/>
      <c r="AV106" s="48"/>
      <c r="AW106" s="48"/>
      <c r="AX106" s="48" t="s">
        <v>369</v>
      </c>
      <c r="AY106" s="48"/>
      <c r="AZ106" s="48">
        <f t="shared" si="16"/>
        <v>1.5448333333333333</v>
      </c>
      <c r="BA106" s="4" t="str">
        <f t="shared" si="17"/>
        <v>GEMS/Food G11</v>
      </c>
      <c r="BB106" s="4">
        <f t="shared" si="18"/>
        <v>0.158</v>
      </c>
      <c r="BC106" s="4" t="str">
        <f t="shared" si="19"/>
        <v>ES adult</v>
      </c>
    </row>
    <row r="107" spans="1:55" ht="15" customHeight="1" outlineLevel="3" x14ac:dyDescent="0.2">
      <c r="A107" s="39">
        <v>4</v>
      </c>
      <c r="B107" s="23">
        <v>213010</v>
      </c>
      <c r="C107" s="23" t="s">
        <v>707</v>
      </c>
      <c r="D107" s="22">
        <f>input_values!Z107</f>
        <v>4</v>
      </c>
      <c r="E107" s="657">
        <v>0.02</v>
      </c>
      <c r="F107" s="31">
        <v>9.0909090909090922E-3</v>
      </c>
      <c r="G107" s="31">
        <v>1.6999999999999999E-3</v>
      </c>
      <c r="H107" s="31">
        <v>1.1352348517099475E-3</v>
      </c>
      <c r="I107" s="31">
        <v>2.3177161505838161E-2</v>
      </c>
      <c r="J107" s="31">
        <v>6.4167076263555653E-2</v>
      </c>
      <c r="K107" s="31">
        <v>0</v>
      </c>
      <c r="L107" s="31">
        <v>0.13600000000000001</v>
      </c>
      <c r="M107" s="31">
        <v>5.8000000000000003E-2</v>
      </c>
      <c r="N107" s="31">
        <v>0</v>
      </c>
      <c r="O107" s="31">
        <v>1.3698630136986302E-2</v>
      </c>
      <c r="P107" s="31">
        <v>0</v>
      </c>
      <c r="Q107" s="31">
        <v>5.1000000000000004E-3</v>
      </c>
      <c r="R107" s="584">
        <v>5.2617848299999999E-2</v>
      </c>
      <c r="S107" s="31">
        <v>3.061652791693369E-2</v>
      </c>
      <c r="T107" s="31"/>
      <c r="U107" s="31">
        <v>0.10904255319148935</v>
      </c>
      <c r="V107" s="31">
        <v>9.4722598105548023E-3</v>
      </c>
      <c r="W107" s="31">
        <v>0.12214285714285715</v>
      </c>
      <c r="X107" s="31">
        <v>6.3E-2</v>
      </c>
      <c r="Y107" s="31">
        <v>0.21952070063694268</v>
      </c>
      <c r="Z107" s="31">
        <v>0</v>
      </c>
      <c r="AA107" s="31">
        <v>1.6666666666666666E-2</v>
      </c>
      <c r="AB107" s="31">
        <v>8.3333333333333329E-2</v>
      </c>
      <c r="AC107" s="31">
        <v>9.2105263157894728E-3</v>
      </c>
      <c r="AD107" s="31">
        <v>1.9490254872563718E-2</v>
      </c>
      <c r="AE107" s="31">
        <v>7.3166666666666658E-2</v>
      </c>
      <c r="AF107" s="31">
        <v>0.16516666666666666</v>
      </c>
      <c r="AG107" s="31">
        <v>0.10566666666666666</v>
      </c>
      <c r="AH107" s="31">
        <v>0.16083333333333333</v>
      </c>
      <c r="AI107" s="31">
        <v>0.31850000000000001</v>
      </c>
      <c r="AJ107" s="31">
        <v>0.15766666666666668</v>
      </c>
      <c r="AK107" s="663">
        <v>1.2898254971312214E-2</v>
      </c>
      <c r="AL107" s="663">
        <v>8.6431891740480511E-3</v>
      </c>
      <c r="AM107" s="31">
        <v>9.9841300000000008E-4</v>
      </c>
      <c r="AN107" s="584">
        <v>9.64305731E-2</v>
      </c>
      <c r="AO107" s="584">
        <v>0.1072416305</v>
      </c>
      <c r="AP107" s="663"/>
      <c r="AQ107" s="31"/>
      <c r="AR107" s="31"/>
      <c r="AS107" s="31"/>
      <c r="AT107" s="31"/>
      <c r="AU107" s="31"/>
      <c r="AV107" s="31"/>
      <c r="AW107" s="31"/>
      <c r="AX107" s="31"/>
      <c r="AY107" s="31"/>
      <c r="AZ107" s="31">
        <f t="shared" si="16"/>
        <v>0.31850000000000001</v>
      </c>
      <c r="BA107" s="25" t="str">
        <f t="shared" si="17"/>
        <v>GEMS/Food G11</v>
      </c>
      <c r="BB107" s="25">
        <f t="shared" si="18"/>
        <v>0</v>
      </c>
      <c r="BC107" s="25" t="str">
        <f t="shared" si="19"/>
        <v/>
      </c>
    </row>
    <row r="108" spans="1:55" ht="15" customHeight="1" outlineLevel="3" x14ac:dyDescent="0.2">
      <c r="A108" s="39">
        <v>4</v>
      </c>
      <c r="B108" s="23">
        <v>213020</v>
      </c>
      <c r="C108" s="23" t="s">
        <v>26</v>
      </c>
      <c r="D108" s="22">
        <f>input_values!Z108</f>
        <v>4</v>
      </c>
      <c r="E108" s="657">
        <v>1.04</v>
      </c>
      <c r="F108" s="31">
        <v>1.3727272727272728</v>
      </c>
      <c r="G108" s="31">
        <v>0.17899999999999999</v>
      </c>
      <c r="H108" s="31">
        <v>1.1230187771209834</v>
      </c>
      <c r="I108" s="31">
        <v>0.70821699825982276</v>
      </c>
      <c r="J108" s="31">
        <v>0.49665366807279593</v>
      </c>
      <c r="K108" s="31">
        <v>0.1833693823600096</v>
      </c>
      <c r="L108" s="31">
        <v>1.0669999999999999</v>
      </c>
      <c r="M108" s="31">
        <v>0.379</v>
      </c>
      <c r="N108" s="31">
        <v>1.3218390804597702</v>
      </c>
      <c r="O108" s="31">
        <v>0.52054794520547942</v>
      </c>
      <c r="P108" s="31">
        <v>0.498</v>
      </c>
      <c r="Q108" s="31">
        <v>0.14319999999999999</v>
      </c>
      <c r="R108" s="584">
        <v>0.32776763069999998</v>
      </c>
      <c r="S108" s="31">
        <v>0.20019132573921697</v>
      </c>
      <c r="T108" s="31"/>
      <c r="U108" s="31">
        <v>0.32047872340425532</v>
      </c>
      <c r="V108" s="31">
        <v>0.14283566380995338</v>
      </c>
      <c r="W108" s="31">
        <v>0.17299999999999999</v>
      </c>
      <c r="X108" s="31">
        <v>0.216</v>
      </c>
      <c r="Y108" s="31">
        <v>0.30295222929936311</v>
      </c>
      <c r="Z108" s="31">
        <v>0.66666666666666663</v>
      </c>
      <c r="AA108" s="31">
        <v>0.45</v>
      </c>
      <c r="AB108" s="31">
        <v>0.84833333333333327</v>
      </c>
      <c r="AC108" s="31">
        <v>0.18157894736842106</v>
      </c>
      <c r="AD108" s="31">
        <v>0.22638680659670163</v>
      </c>
      <c r="AE108" s="31">
        <v>0.10166666666666666</v>
      </c>
      <c r="AF108" s="31">
        <v>0.4376666666666667</v>
      </c>
      <c r="AG108" s="31">
        <v>0.45216666666666666</v>
      </c>
      <c r="AH108" s="31">
        <v>0.27483333333333332</v>
      </c>
      <c r="AI108" s="31">
        <v>0.74483333333333335</v>
      </c>
      <c r="AJ108" s="31">
        <v>0.42149999999999999</v>
      </c>
      <c r="AK108" s="663">
        <v>0.26303127150056888</v>
      </c>
      <c r="AL108" s="663">
        <v>0.30548894412983885</v>
      </c>
      <c r="AM108" s="31">
        <v>0.173122</v>
      </c>
      <c r="AN108" s="584">
        <v>0.83674673030000002</v>
      </c>
      <c r="AO108" s="584">
        <v>0.60387932330000005</v>
      </c>
      <c r="AP108" s="663"/>
      <c r="AQ108" s="31"/>
      <c r="AR108" s="31"/>
      <c r="AS108" s="31"/>
      <c r="AT108" s="31"/>
      <c r="AU108" s="31"/>
      <c r="AV108" s="31"/>
      <c r="AW108" s="31"/>
      <c r="AX108" s="31"/>
      <c r="AY108" s="31"/>
      <c r="AZ108" s="31">
        <f t="shared" si="16"/>
        <v>1.3727272727272728</v>
      </c>
      <c r="BA108" s="25" t="str">
        <f t="shared" si="17"/>
        <v>DK child</v>
      </c>
      <c r="BB108" s="25">
        <f t="shared" si="18"/>
        <v>0.10166666666666666</v>
      </c>
      <c r="BC108" s="25" t="str">
        <f t="shared" si="19"/>
        <v>GEMS/Food G06</v>
      </c>
    </row>
    <row r="109" spans="1:55" ht="15" customHeight="1" outlineLevel="3" x14ac:dyDescent="0.2">
      <c r="A109" s="39">
        <v>4</v>
      </c>
      <c r="B109" s="23">
        <v>213030</v>
      </c>
      <c r="C109" s="23" t="s">
        <v>708</v>
      </c>
      <c r="D109" s="22">
        <f>input_values!Z109</f>
        <v>4</v>
      </c>
      <c r="E109" s="657">
        <v>0.05</v>
      </c>
      <c r="F109" s="31">
        <v>4.5454545454545456E-2</v>
      </c>
      <c r="G109" s="31">
        <v>0</v>
      </c>
      <c r="H109" s="31">
        <v>0</v>
      </c>
      <c r="I109" s="31">
        <v>9.4622907713458899E-3</v>
      </c>
      <c r="J109" s="31">
        <v>1.3899506023242489E-2</v>
      </c>
      <c r="K109" s="31">
        <v>1.2016342225426582E-3</v>
      </c>
      <c r="L109" s="31">
        <v>0.01</v>
      </c>
      <c r="M109" s="31">
        <v>6.0000000000000001E-3</v>
      </c>
      <c r="N109" s="31">
        <v>0</v>
      </c>
      <c r="O109" s="31">
        <v>0</v>
      </c>
      <c r="P109" s="31">
        <v>1.3800266311584555E-2</v>
      </c>
      <c r="Q109" s="31">
        <v>0</v>
      </c>
      <c r="R109" s="584">
        <v>6.6200036000000004E-3</v>
      </c>
      <c r="S109" s="31">
        <v>1.10018176040481E-2</v>
      </c>
      <c r="T109" s="31"/>
      <c r="U109" s="31">
        <v>0.125</v>
      </c>
      <c r="V109" s="31">
        <v>1.9545932942414673E-3</v>
      </c>
      <c r="W109" s="31">
        <v>0</v>
      </c>
      <c r="X109" s="31">
        <v>1.2999999999999999E-2</v>
      </c>
      <c r="Y109" s="31">
        <v>3.7281847133757963E-2</v>
      </c>
      <c r="Z109" s="31">
        <v>0</v>
      </c>
      <c r="AA109" s="31">
        <v>0</v>
      </c>
      <c r="AB109" s="31">
        <v>1.6666666666666666E-2</v>
      </c>
      <c r="AC109" s="31">
        <v>1.3157894736842105E-3</v>
      </c>
      <c r="AD109" s="31">
        <v>0</v>
      </c>
      <c r="AE109" s="31">
        <v>3.6499999999999998E-2</v>
      </c>
      <c r="AF109" s="31">
        <v>4.9500000000000002E-2</v>
      </c>
      <c r="AG109" s="31">
        <v>2.9833333333333333E-2</v>
      </c>
      <c r="AH109" s="31">
        <v>1.6666666666666668E-3</v>
      </c>
      <c r="AI109" s="31">
        <v>0.28183333333333332</v>
      </c>
      <c r="AJ109" s="31">
        <v>0.1265</v>
      </c>
      <c r="AK109" s="663">
        <v>3.7343857596037824E-2</v>
      </c>
      <c r="AL109" s="663">
        <v>3.5357914784128121E-2</v>
      </c>
      <c r="AM109" s="31">
        <v>0</v>
      </c>
      <c r="AN109" s="584">
        <v>1.9643527099999999E-2</v>
      </c>
      <c r="AO109" s="584">
        <v>5.2115167999999996E-3</v>
      </c>
      <c r="AP109" s="663"/>
      <c r="AQ109" s="31"/>
      <c r="AR109" s="31"/>
      <c r="AS109" s="31"/>
      <c r="AT109" s="31"/>
      <c r="AU109" s="31"/>
      <c r="AV109" s="31"/>
      <c r="AW109" s="31"/>
      <c r="AX109" s="31"/>
      <c r="AY109" s="31"/>
      <c r="AZ109" s="31">
        <f t="shared" si="16"/>
        <v>0.28183333333333332</v>
      </c>
      <c r="BA109" s="25" t="str">
        <f t="shared" si="17"/>
        <v>GEMS/Food G11</v>
      </c>
      <c r="BB109" s="25">
        <f t="shared" si="18"/>
        <v>0</v>
      </c>
      <c r="BC109" s="25" t="str">
        <f t="shared" si="19"/>
        <v/>
      </c>
    </row>
    <row r="110" spans="1:55" ht="15" customHeight="1" outlineLevel="3" x14ac:dyDescent="0.2">
      <c r="A110" s="39">
        <v>4</v>
      </c>
      <c r="B110" s="23">
        <v>213040</v>
      </c>
      <c r="C110" s="23" t="s">
        <v>709</v>
      </c>
      <c r="D110" s="22">
        <f>input_values!Z110</f>
        <v>4</v>
      </c>
      <c r="E110" s="657">
        <v>0.01</v>
      </c>
      <c r="F110" s="31">
        <v>0</v>
      </c>
      <c r="G110" s="31">
        <v>0</v>
      </c>
      <c r="H110" s="31">
        <v>0</v>
      </c>
      <c r="I110" s="31">
        <v>0</v>
      </c>
      <c r="J110" s="31">
        <v>0</v>
      </c>
      <c r="K110" s="31">
        <v>0</v>
      </c>
      <c r="L110" s="31">
        <v>0</v>
      </c>
      <c r="M110" s="31">
        <v>0</v>
      </c>
      <c r="N110" s="31">
        <v>0</v>
      </c>
      <c r="O110" s="31">
        <v>0</v>
      </c>
      <c r="P110" s="31">
        <v>0</v>
      </c>
      <c r="Q110" s="31">
        <v>0</v>
      </c>
      <c r="R110" s="584"/>
      <c r="S110" s="31">
        <v>0</v>
      </c>
      <c r="T110" s="31"/>
      <c r="U110" s="31">
        <v>9.4414893617021274E-3</v>
      </c>
      <c r="V110" s="31">
        <v>0</v>
      </c>
      <c r="W110" s="31">
        <v>5.7142857142857143E-3</v>
      </c>
      <c r="X110" s="31">
        <v>0</v>
      </c>
      <c r="Y110" s="31">
        <v>2.4808917197452229E-3</v>
      </c>
      <c r="Z110" s="31">
        <v>0</v>
      </c>
      <c r="AA110" s="31">
        <v>0</v>
      </c>
      <c r="AB110" s="31">
        <v>1.6666666666666666E-2</v>
      </c>
      <c r="AC110" s="31">
        <v>0</v>
      </c>
      <c r="AD110" s="31">
        <v>0</v>
      </c>
      <c r="AE110" s="31">
        <v>1.1000000000000001E-2</v>
      </c>
      <c r="AF110" s="31">
        <v>1.6666666666666668E-3</v>
      </c>
      <c r="AG110" s="31">
        <v>7.0000000000000001E-3</v>
      </c>
      <c r="AH110" s="31">
        <v>4.3333333333333331E-3</v>
      </c>
      <c r="AI110" s="31">
        <v>4.5000000000000005E-2</v>
      </c>
      <c r="AJ110" s="31">
        <v>9.0000000000000011E-3</v>
      </c>
      <c r="AK110" s="663">
        <v>1.020646228524102E-3</v>
      </c>
      <c r="AL110" s="663">
        <v>6.9512425252602568E-4</v>
      </c>
      <c r="AM110" s="31">
        <v>0</v>
      </c>
      <c r="AN110" s="584"/>
      <c r="AO110" s="584"/>
      <c r="AP110" s="663"/>
      <c r="AQ110" s="31"/>
      <c r="AR110" s="31"/>
      <c r="AS110" s="31"/>
      <c r="AT110" s="31"/>
      <c r="AU110" s="31"/>
      <c r="AV110" s="31"/>
      <c r="AW110" s="31"/>
      <c r="AX110" s="31"/>
      <c r="AY110" s="31"/>
      <c r="AZ110" s="31">
        <f t="shared" si="16"/>
        <v>4.5000000000000005E-2</v>
      </c>
      <c r="BA110" s="25" t="str">
        <f t="shared" si="17"/>
        <v>GEMS/Food G11</v>
      </c>
      <c r="BB110" s="25">
        <f t="shared" si="18"/>
        <v>0</v>
      </c>
      <c r="BC110" s="25" t="str">
        <f t="shared" si="19"/>
        <v/>
      </c>
    </row>
    <row r="111" spans="1:55" ht="15" customHeight="1" outlineLevel="3" x14ac:dyDescent="0.2">
      <c r="A111" s="39">
        <v>4</v>
      </c>
      <c r="B111" s="23">
        <v>213050</v>
      </c>
      <c r="C111" s="23" t="s">
        <v>27</v>
      </c>
      <c r="D111" s="22">
        <f>input_values!Z111</f>
        <v>4</v>
      </c>
      <c r="E111" s="657">
        <v>0</v>
      </c>
      <c r="F111" s="31">
        <v>0</v>
      </c>
      <c r="G111" s="31">
        <v>0</v>
      </c>
      <c r="H111" s="31">
        <v>0</v>
      </c>
      <c r="I111" s="31">
        <v>2.6246719160104983E-2</v>
      </c>
      <c r="J111" s="31">
        <v>0</v>
      </c>
      <c r="K111" s="31">
        <v>0</v>
      </c>
      <c r="L111" s="31">
        <v>0</v>
      </c>
      <c r="M111" s="31">
        <v>0</v>
      </c>
      <c r="N111" s="31">
        <v>0</v>
      </c>
      <c r="O111" s="31">
        <v>0</v>
      </c>
      <c r="P111" s="31">
        <v>0</v>
      </c>
      <c r="Q111" s="31">
        <v>0</v>
      </c>
      <c r="R111" s="584">
        <v>1.7093792000000001E-3</v>
      </c>
      <c r="S111" s="31">
        <v>4.0464581327340703E-4</v>
      </c>
      <c r="T111" s="31"/>
      <c r="U111" s="31">
        <v>0</v>
      </c>
      <c r="V111" s="31">
        <v>0</v>
      </c>
      <c r="W111" s="31">
        <v>0</v>
      </c>
      <c r="X111" s="31">
        <v>0</v>
      </c>
      <c r="Y111" s="31">
        <v>0</v>
      </c>
      <c r="Z111" s="31">
        <v>0</v>
      </c>
      <c r="AA111" s="31">
        <v>0</v>
      </c>
      <c r="AB111" s="31">
        <v>1.6666666666666666E-2</v>
      </c>
      <c r="AC111" s="31">
        <v>0</v>
      </c>
      <c r="AD111" s="31">
        <v>0</v>
      </c>
      <c r="AE111" s="31">
        <v>1.6666666666666668E-3</v>
      </c>
      <c r="AF111" s="31">
        <v>1.8333333333333333E-3</v>
      </c>
      <c r="AG111" s="31">
        <v>1.6666666666666668E-3</v>
      </c>
      <c r="AH111" s="31">
        <v>3.6666666666666666E-3</v>
      </c>
      <c r="AI111" s="31">
        <v>0</v>
      </c>
      <c r="AJ111" s="31">
        <v>1.6666666666666668E-3</v>
      </c>
      <c r="AK111" s="663">
        <v>0</v>
      </c>
      <c r="AL111" s="663">
        <v>0</v>
      </c>
      <c r="AM111" s="31">
        <v>0</v>
      </c>
      <c r="AN111" s="584"/>
      <c r="AO111" s="584"/>
      <c r="AP111" s="663"/>
      <c r="AQ111" s="31"/>
      <c r="AR111" s="31"/>
      <c r="AS111" s="31"/>
      <c r="AT111" s="31"/>
      <c r="AU111" s="31"/>
      <c r="AV111" s="31"/>
      <c r="AW111" s="31"/>
      <c r="AX111" s="31"/>
      <c r="AY111" s="31"/>
      <c r="AZ111" s="31">
        <f t="shared" si="16"/>
        <v>2.6246719160104983E-2</v>
      </c>
      <c r="BA111" s="25" t="str">
        <f t="shared" si="17"/>
        <v>FR toddler 2 3 yr</v>
      </c>
      <c r="BB111" s="25">
        <f t="shared" si="18"/>
        <v>0</v>
      </c>
      <c r="BC111" s="25" t="str">
        <f t="shared" si="19"/>
        <v/>
      </c>
    </row>
    <row r="112" spans="1:55" ht="15" customHeight="1" outlineLevel="3" x14ac:dyDescent="0.2">
      <c r="A112" s="39">
        <v>4</v>
      </c>
      <c r="B112" s="23">
        <v>213060</v>
      </c>
      <c r="C112" s="23" t="s">
        <v>28</v>
      </c>
      <c r="D112" s="22">
        <f>input_values!Z112</f>
        <v>4</v>
      </c>
      <c r="E112" s="657">
        <v>0.01</v>
      </c>
      <c r="F112" s="31">
        <v>4.5454545454545455E-4</v>
      </c>
      <c r="G112" s="31">
        <v>0</v>
      </c>
      <c r="H112" s="31">
        <v>0</v>
      </c>
      <c r="I112" s="31">
        <v>0</v>
      </c>
      <c r="J112" s="31">
        <v>0</v>
      </c>
      <c r="K112" s="31">
        <v>0</v>
      </c>
      <c r="L112" s="31">
        <v>0</v>
      </c>
      <c r="M112" s="31">
        <v>0</v>
      </c>
      <c r="N112" s="31">
        <v>3.4482758620689655E-2</v>
      </c>
      <c r="O112" s="31">
        <v>6.8493150684931512E-3</v>
      </c>
      <c r="P112" s="31">
        <v>5.6804260985352864E-3</v>
      </c>
      <c r="Q112" s="31">
        <v>0</v>
      </c>
      <c r="R112" s="584">
        <v>3.1477393999999998E-3</v>
      </c>
      <c r="S112" s="31">
        <v>0</v>
      </c>
      <c r="T112" s="31"/>
      <c r="U112" s="31">
        <v>0.15292553191489361</v>
      </c>
      <c r="V112" s="31">
        <v>0</v>
      </c>
      <c r="W112" s="31">
        <v>0</v>
      </c>
      <c r="X112" s="31">
        <v>0</v>
      </c>
      <c r="Y112" s="31">
        <v>0</v>
      </c>
      <c r="Z112" s="31">
        <v>0</v>
      </c>
      <c r="AA112" s="31">
        <v>0</v>
      </c>
      <c r="AB112" s="31">
        <v>8.3333333333333329E-2</v>
      </c>
      <c r="AC112" s="31">
        <v>1.1842105263157895E-2</v>
      </c>
      <c r="AD112" s="31">
        <v>1.4992503748125937E-2</v>
      </c>
      <c r="AE112" s="31">
        <v>1.2666666666666666E-2</v>
      </c>
      <c r="AF112" s="31">
        <v>7.3666666666666672E-2</v>
      </c>
      <c r="AG112" s="31">
        <v>1.6666666666666668E-3</v>
      </c>
      <c r="AH112" s="31">
        <v>0</v>
      </c>
      <c r="AI112" s="31">
        <v>0</v>
      </c>
      <c r="AJ112" s="31">
        <v>5.8333333333333334E-2</v>
      </c>
      <c r="AK112" s="663">
        <v>2.3273562285639569E-4</v>
      </c>
      <c r="AL112" s="663">
        <v>1.7447353418601776E-4</v>
      </c>
      <c r="AM112" s="31">
        <v>1.1553000000000001E-2</v>
      </c>
      <c r="AN112" s="584">
        <v>2.23918187E-2</v>
      </c>
      <c r="AO112" s="584">
        <v>6.8665591E-3</v>
      </c>
      <c r="AP112" s="663"/>
      <c r="AQ112" s="31"/>
      <c r="AR112" s="31"/>
      <c r="AS112" s="31"/>
      <c r="AT112" s="31"/>
      <c r="AU112" s="31"/>
      <c r="AV112" s="31"/>
      <c r="AW112" s="31"/>
      <c r="AX112" s="31"/>
      <c r="AY112" s="31"/>
      <c r="AZ112" s="31">
        <f t="shared" si="16"/>
        <v>0.15292553191489361</v>
      </c>
      <c r="BA112" s="25" t="str">
        <f t="shared" si="17"/>
        <v>IE adult</v>
      </c>
      <c r="BB112" s="25">
        <f t="shared" si="18"/>
        <v>0</v>
      </c>
      <c r="BC112" s="25" t="str">
        <f t="shared" si="19"/>
        <v/>
      </c>
    </row>
    <row r="113" spans="1:55" ht="15" customHeight="1" outlineLevel="3" x14ac:dyDescent="0.2">
      <c r="A113" s="39">
        <v>4</v>
      </c>
      <c r="B113" s="23">
        <v>213070</v>
      </c>
      <c r="C113" s="23" t="s">
        <v>710</v>
      </c>
      <c r="D113" s="22">
        <f>input_values!Z113</f>
        <v>4</v>
      </c>
      <c r="E113" s="657">
        <v>0.01</v>
      </c>
      <c r="F113" s="31">
        <v>4.5454545454545455E-4</v>
      </c>
      <c r="G113" s="31">
        <v>0</v>
      </c>
      <c r="H113" s="31">
        <v>0</v>
      </c>
      <c r="I113" s="31">
        <v>0</v>
      </c>
      <c r="J113" s="31">
        <v>0</v>
      </c>
      <c r="K113" s="31">
        <v>0</v>
      </c>
      <c r="L113" s="31">
        <v>0</v>
      </c>
      <c r="M113" s="31">
        <v>0</v>
      </c>
      <c r="N113" s="31">
        <v>0</v>
      </c>
      <c r="O113" s="31">
        <v>0</v>
      </c>
      <c r="P113" s="31">
        <v>2.8695073235685755E-3</v>
      </c>
      <c r="Q113" s="31">
        <v>0</v>
      </c>
      <c r="R113" s="584"/>
      <c r="S113" s="31">
        <v>0</v>
      </c>
      <c r="T113" s="31"/>
      <c r="U113" s="31">
        <v>0</v>
      </c>
      <c r="V113" s="31">
        <v>0</v>
      </c>
      <c r="W113" s="31">
        <v>0</v>
      </c>
      <c r="X113" s="31">
        <v>0</v>
      </c>
      <c r="Y113" s="31">
        <v>6.0461783439490449E-2</v>
      </c>
      <c r="Z113" s="31">
        <v>0</v>
      </c>
      <c r="AA113" s="31">
        <v>0</v>
      </c>
      <c r="AB113" s="31">
        <v>1.6666666666666666E-2</v>
      </c>
      <c r="AC113" s="31">
        <v>0</v>
      </c>
      <c r="AD113" s="31">
        <v>0</v>
      </c>
      <c r="AE113" s="31">
        <v>6.8333333333333328E-3</v>
      </c>
      <c r="AF113" s="31">
        <v>0</v>
      </c>
      <c r="AG113" s="31">
        <v>0</v>
      </c>
      <c r="AH113" s="31">
        <v>0</v>
      </c>
      <c r="AI113" s="31">
        <v>0</v>
      </c>
      <c r="AJ113" s="31">
        <v>7.1499999999999994E-2</v>
      </c>
      <c r="AK113" s="663">
        <v>0</v>
      </c>
      <c r="AL113" s="663">
        <v>0</v>
      </c>
      <c r="AM113" s="31">
        <v>0</v>
      </c>
      <c r="AN113" s="584"/>
      <c r="AO113" s="584"/>
      <c r="AP113" s="663"/>
      <c r="AQ113" s="31"/>
      <c r="AR113" s="31"/>
      <c r="AS113" s="31"/>
      <c r="AT113" s="31"/>
      <c r="AU113" s="31"/>
      <c r="AV113" s="31"/>
      <c r="AW113" s="31"/>
      <c r="AX113" s="31"/>
      <c r="AY113" s="31"/>
      <c r="AZ113" s="31">
        <f t="shared" si="16"/>
        <v>7.1499999999999994E-2</v>
      </c>
      <c r="BA113" s="25" t="str">
        <f t="shared" si="17"/>
        <v>GEMS/Food G15</v>
      </c>
      <c r="BB113" s="25">
        <f t="shared" si="18"/>
        <v>0</v>
      </c>
      <c r="BC113" s="25" t="str">
        <f t="shared" si="19"/>
        <v/>
      </c>
    </row>
    <row r="114" spans="1:55" ht="15" customHeight="1" outlineLevel="3" x14ac:dyDescent="0.2">
      <c r="A114" s="39">
        <v>4</v>
      </c>
      <c r="B114" s="23">
        <v>213080</v>
      </c>
      <c r="C114" s="23" t="s">
        <v>29</v>
      </c>
      <c r="D114" s="22">
        <f>input_values!Z114</f>
        <v>4</v>
      </c>
      <c r="E114" s="657">
        <v>0.01</v>
      </c>
      <c r="F114" s="31">
        <v>0</v>
      </c>
      <c r="G114" s="31">
        <v>1.5E-3</v>
      </c>
      <c r="H114" s="31">
        <v>0</v>
      </c>
      <c r="I114" s="31">
        <v>1.062992125984252E-2</v>
      </c>
      <c r="J114" s="31">
        <v>4.6427404210759943E-2</v>
      </c>
      <c r="K114" s="31">
        <v>9.6130737803412647E-4</v>
      </c>
      <c r="L114" s="31">
        <v>0</v>
      </c>
      <c r="M114" s="31">
        <v>0</v>
      </c>
      <c r="N114" s="31">
        <v>0</v>
      </c>
      <c r="O114" s="31">
        <v>0</v>
      </c>
      <c r="P114" s="31">
        <v>1.3302263648468711E-4</v>
      </c>
      <c r="Q114" s="31">
        <v>2.5000000000000001E-3</v>
      </c>
      <c r="R114" s="584">
        <v>8.4829359999999995E-4</v>
      </c>
      <c r="S114" s="31">
        <v>2.9247028819017407E-2</v>
      </c>
      <c r="T114" s="31"/>
      <c r="U114" s="31">
        <v>2.7925531914893616E-2</v>
      </c>
      <c r="V114" s="31">
        <v>3.0070666065253344E-3</v>
      </c>
      <c r="W114" s="31">
        <v>0</v>
      </c>
      <c r="X114" s="31">
        <v>7.0000000000000001E-3</v>
      </c>
      <c r="Y114" s="31">
        <v>8.1735668789808917E-3</v>
      </c>
      <c r="Z114" s="31">
        <v>0</v>
      </c>
      <c r="AA114" s="31">
        <v>0</v>
      </c>
      <c r="AB114" s="31">
        <v>6.6666666666666666E-2</v>
      </c>
      <c r="AC114" s="31">
        <v>3.9473684210526317E-3</v>
      </c>
      <c r="AD114" s="31">
        <v>5.9970014992503746E-3</v>
      </c>
      <c r="AE114" s="31">
        <v>9.0166666666666673E-2</v>
      </c>
      <c r="AF114" s="31">
        <v>6.3833333333333339E-2</v>
      </c>
      <c r="AG114" s="31">
        <v>0.19983333333333334</v>
      </c>
      <c r="AH114" s="31">
        <v>0.40300000000000002</v>
      </c>
      <c r="AI114" s="31">
        <v>3.6499999999999998E-2</v>
      </c>
      <c r="AJ114" s="31">
        <v>5.5E-2</v>
      </c>
      <c r="AK114" s="663">
        <v>9.4196111517090272E-2</v>
      </c>
      <c r="AL114" s="663">
        <v>0.1066551295351484</v>
      </c>
      <c r="AM114" s="31">
        <v>5.9299999999999998E-5</v>
      </c>
      <c r="AN114" s="584">
        <v>4.773383E-4</v>
      </c>
      <c r="AO114" s="584">
        <v>5.0790721E-3</v>
      </c>
      <c r="AP114" s="663"/>
      <c r="AQ114" s="31"/>
      <c r="AR114" s="31"/>
      <c r="AS114" s="31"/>
      <c r="AT114" s="31"/>
      <c r="AU114" s="31"/>
      <c r="AV114" s="31"/>
      <c r="AW114" s="31"/>
      <c r="AX114" s="31"/>
      <c r="AY114" s="31"/>
      <c r="AZ114" s="31">
        <f t="shared" si="16"/>
        <v>0.40300000000000002</v>
      </c>
      <c r="BA114" s="25" t="str">
        <f t="shared" si="17"/>
        <v>GEMS/Food G10</v>
      </c>
      <c r="BB114" s="25">
        <f t="shared" si="18"/>
        <v>0</v>
      </c>
      <c r="BC114" s="25" t="str">
        <f t="shared" si="19"/>
        <v/>
      </c>
    </row>
    <row r="115" spans="1:55" ht="15" customHeight="1" outlineLevel="3" x14ac:dyDescent="0.2">
      <c r="A115" s="39">
        <v>4</v>
      </c>
      <c r="B115" s="23">
        <v>213090</v>
      </c>
      <c r="C115" s="23" t="s">
        <v>711</v>
      </c>
      <c r="D115" s="22">
        <f>input_values!Z115</f>
        <v>4</v>
      </c>
      <c r="E115" s="657">
        <v>0.01</v>
      </c>
      <c r="F115" s="31">
        <v>0</v>
      </c>
      <c r="G115" s="31">
        <v>0</v>
      </c>
      <c r="H115" s="31">
        <v>1.6452107279693488E-2</v>
      </c>
      <c r="I115" s="31">
        <v>0</v>
      </c>
      <c r="J115" s="31">
        <v>1.5561319449835808E-2</v>
      </c>
      <c r="K115" s="31">
        <v>0</v>
      </c>
      <c r="L115" s="31">
        <v>0</v>
      </c>
      <c r="M115" s="31">
        <v>0</v>
      </c>
      <c r="N115" s="31">
        <v>0</v>
      </c>
      <c r="O115" s="31">
        <v>0</v>
      </c>
      <c r="P115" s="31">
        <v>0</v>
      </c>
      <c r="Q115" s="31">
        <v>0</v>
      </c>
      <c r="R115" s="584"/>
      <c r="S115" s="31">
        <v>7.7393121603734237E-3</v>
      </c>
      <c r="T115" s="31"/>
      <c r="U115" s="31">
        <v>0</v>
      </c>
      <c r="V115" s="31">
        <v>3.0070666065253342E-4</v>
      </c>
      <c r="W115" s="31">
        <v>0</v>
      </c>
      <c r="X115" s="31">
        <v>1E-3</v>
      </c>
      <c r="Y115" s="31">
        <v>0</v>
      </c>
      <c r="Z115" s="31">
        <v>0</v>
      </c>
      <c r="AA115" s="31">
        <v>0</v>
      </c>
      <c r="AB115" s="31">
        <v>1.6666666666666666E-2</v>
      </c>
      <c r="AC115" s="31">
        <v>0</v>
      </c>
      <c r="AD115" s="31">
        <v>0</v>
      </c>
      <c r="AE115" s="31">
        <v>4.5000000000000005E-3</v>
      </c>
      <c r="AF115" s="31">
        <v>1.7000000000000001E-2</v>
      </c>
      <c r="AG115" s="31">
        <v>8.6666666666666663E-3</v>
      </c>
      <c r="AH115" s="31">
        <v>0</v>
      </c>
      <c r="AI115" s="31">
        <v>3.4666666666666665E-2</v>
      </c>
      <c r="AJ115" s="31">
        <v>0</v>
      </c>
      <c r="AK115" s="663">
        <v>2.3422390319577822E-3</v>
      </c>
      <c r="AL115" s="663">
        <v>7.1884202709755524E-4</v>
      </c>
      <c r="AM115" s="31">
        <v>0</v>
      </c>
      <c r="AN115" s="584"/>
      <c r="AO115" s="584"/>
      <c r="AP115" s="663"/>
      <c r="AQ115" s="31"/>
      <c r="AR115" s="31"/>
      <c r="AS115" s="31"/>
      <c r="AT115" s="31"/>
      <c r="AU115" s="31"/>
      <c r="AV115" s="31"/>
      <c r="AW115" s="31"/>
      <c r="AX115" s="31"/>
      <c r="AY115" s="31"/>
      <c r="AZ115" s="31">
        <f t="shared" si="16"/>
        <v>3.4666666666666665E-2</v>
      </c>
      <c r="BA115" s="25" t="str">
        <f t="shared" si="17"/>
        <v>GEMS/Food G11</v>
      </c>
      <c r="BB115" s="25">
        <f t="shared" si="18"/>
        <v>0</v>
      </c>
      <c r="BC115" s="25" t="str">
        <f t="shared" si="19"/>
        <v/>
      </c>
    </row>
    <row r="116" spans="1:55" ht="15" customHeight="1" outlineLevel="3" x14ac:dyDescent="0.2">
      <c r="A116" s="39">
        <v>4</v>
      </c>
      <c r="B116" s="23">
        <v>213100</v>
      </c>
      <c r="C116" s="23" t="s">
        <v>712</v>
      </c>
      <c r="D116" s="22">
        <f>input_values!Z116</f>
        <v>4</v>
      </c>
      <c r="E116" s="657">
        <v>0.01</v>
      </c>
      <c r="F116" s="31">
        <v>0</v>
      </c>
      <c r="G116" s="31">
        <v>0</v>
      </c>
      <c r="H116" s="31">
        <v>0</v>
      </c>
      <c r="I116" s="31">
        <v>0</v>
      </c>
      <c r="J116" s="31">
        <v>0</v>
      </c>
      <c r="K116" s="31">
        <v>0</v>
      </c>
      <c r="L116" s="31">
        <v>5.0000000000000001E-3</v>
      </c>
      <c r="M116" s="31">
        <v>7.0000000000000001E-3</v>
      </c>
      <c r="N116" s="31">
        <v>0.12643678160919541</v>
      </c>
      <c r="O116" s="31">
        <v>4.1095890410958902E-2</v>
      </c>
      <c r="P116" s="31">
        <v>0</v>
      </c>
      <c r="Q116" s="31">
        <v>0</v>
      </c>
      <c r="R116" s="584">
        <v>2.2685208599999999E-2</v>
      </c>
      <c r="S116" s="31">
        <v>0</v>
      </c>
      <c r="T116" s="31"/>
      <c r="U116" s="31">
        <v>0.25664893617021278</v>
      </c>
      <c r="V116" s="31">
        <v>0</v>
      </c>
      <c r="W116" s="31">
        <v>0</v>
      </c>
      <c r="X116" s="31">
        <v>0.01</v>
      </c>
      <c r="Y116" s="31">
        <v>0</v>
      </c>
      <c r="Z116" s="31">
        <v>0</v>
      </c>
      <c r="AA116" s="31">
        <v>0</v>
      </c>
      <c r="AB116" s="31">
        <v>8.3333333333333329E-2</v>
      </c>
      <c r="AC116" s="31">
        <v>1.8421052631578946E-2</v>
      </c>
      <c r="AD116" s="31">
        <v>1.6491754122938532E-2</v>
      </c>
      <c r="AE116" s="31">
        <v>3.3833333333333333E-2</v>
      </c>
      <c r="AF116" s="31">
        <v>0.16683333333333333</v>
      </c>
      <c r="AG116" s="31">
        <v>2.7666666666666666E-2</v>
      </c>
      <c r="AH116" s="31">
        <v>0</v>
      </c>
      <c r="AI116" s="31">
        <v>5.1000000000000004E-2</v>
      </c>
      <c r="AJ116" s="31">
        <v>0.13</v>
      </c>
      <c r="AK116" s="663">
        <v>6.5186287815409824E-3</v>
      </c>
      <c r="AL116" s="663">
        <v>8.6564010660859347E-3</v>
      </c>
      <c r="AM116" s="31">
        <v>3.2628000000000002E-3</v>
      </c>
      <c r="AN116" s="584">
        <v>3.2259046200000002E-2</v>
      </c>
      <c r="AO116" s="584">
        <v>2.6913645E-2</v>
      </c>
      <c r="AP116" s="663"/>
      <c r="AQ116" s="31"/>
      <c r="AR116" s="31"/>
      <c r="AS116" s="31"/>
      <c r="AT116" s="31"/>
      <c r="AU116" s="31"/>
      <c r="AV116" s="31"/>
      <c r="AW116" s="31"/>
      <c r="AX116" s="31"/>
      <c r="AY116" s="31"/>
      <c r="AZ116" s="31">
        <f t="shared" si="16"/>
        <v>0.25664893617021278</v>
      </c>
      <c r="BA116" s="25" t="str">
        <f t="shared" si="17"/>
        <v>IE adult</v>
      </c>
      <c r="BB116" s="25">
        <f t="shared" si="18"/>
        <v>0</v>
      </c>
      <c r="BC116" s="25" t="str">
        <f t="shared" si="19"/>
        <v/>
      </c>
    </row>
    <row r="117" spans="1:55" ht="15" customHeight="1" outlineLevel="3" x14ac:dyDescent="0.2">
      <c r="A117" s="39">
        <v>4</v>
      </c>
      <c r="B117" s="23">
        <v>213110</v>
      </c>
      <c r="C117" s="23" t="s">
        <v>30</v>
      </c>
      <c r="D117" s="22">
        <f>input_values!Z117</f>
        <v>4</v>
      </c>
      <c r="E117" s="657">
        <v>0</v>
      </c>
      <c r="F117" s="31">
        <v>0</v>
      </c>
      <c r="G117" s="31">
        <v>1.5E-3</v>
      </c>
      <c r="H117" s="31">
        <v>0.17370734672080945</v>
      </c>
      <c r="I117" s="31">
        <v>0.1478294280217726</v>
      </c>
      <c r="J117" s="31">
        <v>0.1308216150860014</v>
      </c>
      <c r="K117" s="31">
        <v>6.4888248017303538E-3</v>
      </c>
      <c r="L117" s="31">
        <v>0</v>
      </c>
      <c r="M117" s="31">
        <v>0</v>
      </c>
      <c r="N117" s="31">
        <v>0</v>
      </c>
      <c r="O117" s="31">
        <v>2.0547945205479451E-2</v>
      </c>
      <c r="P117" s="31">
        <v>0</v>
      </c>
      <c r="Q117" s="31">
        <v>1.9E-3</v>
      </c>
      <c r="R117" s="584">
        <v>3.6125884E-3</v>
      </c>
      <c r="S117" s="31">
        <v>8.0259145928578496E-2</v>
      </c>
      <c r="T117" s="31"/>
      <c r="U117" s="31">
        <v>7.5797872340425537E-2</v>
      </c>
      <c r="V117" s="31">
        <v>3.1574199368516009E-3</v>
      </c>
      <c r="W117" s="31">
        <v>0</v>
      </c>
      <c r="X117" s="31">
        <v>0</v>
      </c>
      <c r="Y117" s="31">
        <v>3.2324840764331211E-4</v>
      </c>
      <c r="Z117" s="31">
        <v>1.1666666666666665E-2</v>
      </c>
      <c r="AA117" s="31">
        <v>0</v>
      </c>
      <c r="AB117" s="31">
        <v>0.05</v>
      </c>
      <c r="AC117" s="31">
        <v>7.8947368421052634E-3</v>
      </c>
      <c r="AD117" s="31">
        <v>5.9970014992503746E-3</v>
      </c>
      <c r="AE117" s="31">
        <v>5.3666666666666668E-2</v>
      </c>
      <c r="AF117" s="31">
        <v>9.633333333333334E-2</v>
      </c>
      <c r="AG117" s="31">
        <v>0.2558333333333333</v>
      </c>
      <c r="AH117" s="31">
        <v>0.109</v>
      </c>
      <c r="AI117" s="31">
        <v>3.2500000000000001E-2</v>
      </c>
      <c r="AJ117" s="31">
        <v>0.10683333333333334</v>
      </c>
      <c r="AK117" s="663">
        <v>1.0426272707411966E-4</v>
      </c>
      <c r="AL117" s="663">
        <v>0</v>
      </c>
      <c r="AM117" s="31">
        <v>2.40766E-2</v>
      </c>
      <c r="AN117" s="584">
        <v>1.5304343999999999E-3</v>
      </c>
      <c r="AO117" s="584">
        <v>7.6137692999999999E-3</v>
      </c>
      <c r="AP117" s="663"/>
      <c r="AQ117" s="31"/>
      <c r="AR117" s="31"/>
      <c r="AS117" s="31"/>
      <c r="AT117" s="31"/>
      <c r="AU117" s="31"/>
      <c r="AV117" s="31"/>
      <c r="AW117" s="31"/>
      <c r="AX117" s="31"/>
      <c r="AY117" s="31"/>
      <c r="AZ117" s="31">
        <f t="shared" si="16"/>
        <v>0.2558333333333333</v>
      </c>
      <c r="BA117" s="25" t="str">
        <f t="shared" si="17"/>
        <v>GEMS/Food G08</v>
      </c>
      <c r="BB117" s="25">
        <f t="shared" si="18"/>
        <v>0</v>
      </c>
      <c r="BC117" s="25" t="str">
        <f t="shared" si="19"/>
        <v/>
      </c>
    </row>
    <row r="118" spans="1:55" ht="15" customHeight="1" outlineLevel="3" x14ac:dyDescent="0.2">
      <c r="A118" s="39">
        <v>4</v>
      </c>
      <c r="B118" s="23">
        <v>213990</v>
      </c>
      <c r="C118" s="23" t="s">
        <v>164</v>
      </c>
      <c r="D118" s="22">
        <f>input_values!Z118</f>
        <v>4</v>
      </c>
      <c r="E118" s="657">
        <v>0</v>
      </c>
      <c r="F118" s="31"/>
      <c r="G118" s="31">
        <v>1.15E-2</v>
      </c>
      <c r="H118" s="31">
        <v>0</v>
      </c>
      <c r="I118" s="31">
        <v>0</v>
      </c>
      <c r="J118" s="31">
        <v>3.978130841779527E-3</v>
      </c>
      <c r="K118" s="31">
        <v>0</v>
      </c>
      <c r="L118" s="31">
        <v>0</v>
      </c>
      <c r="M118" s="31">
        <v>0</v>
      </c>
      <c r="N118" s="31">
        <v>0</v>
      </c>
      <c r="O118" s="31">
        <v>0</v>
      </c>
      <c r="P118" s="31">
        <v>0</v>
      </c>
      <c r="Q118" s="31">
        <v>5.3E-3</v>
      </c>
      <c r="R118" s="584"/>
      <c r="S118" s="31">
        <v>6.5487113688272077E-4</v>
      </c>
      <c r="T118" s="31"/>
      <c r="U118" s="31">
        <v>0</v>
      </c>
      <c r="V118" s="31">
        <v>2.1049466245677342E-3</v>
      </c>
      <c r="W118" s="31">
        <v>0</v>
      </c>
      <c r="X118" s="31">
        <v>0</v>
      </c>
      <c r="Y118" s="31">
        <v>0</v>
      </c>
      <c r="Z118" s="31">
        <v>0</v>
      </c>
      <c r="AA118" s="31">
        <v>1.6666666666666601E-2</v>
      </c>
      <c r="AB118" s="31">
        <v>0</v>
      </c>
      <c r="AC118" s="31">
        <v>0</v>
      </c>
      <c r="AD118" s="31">
        <v>0</v>
      </c>
      <c r="AE118" s="31"/>
      <c r="AF118" s="31"/>
      <c r="AG118" s="31"/>
      <c r="AH118" s="31"/>
      <c r="AI118" s="31"/>
      <c r="AJ118" s="31"/>
      <c r="AK118" s="663">
        <v>0</v>
      </c>
      <c r="AL118" s="663">
        <v>0</v>
      </c>
      <c r="AM118" s="31">
        <v>0</v>
      </c>
      <c r="AN118" s="584"/>
      <c r="AO118" s="584"/>
      <c r="AP118" s="663"/>
      <c r="AQ118" s="31"/>
      <c r="AR118" s="31"/>
      <c r="AS118" s="31"/>
      <c r="AT118" s="31"/>
      <c r="AU118" s="31"/>
      <c r="AV118" s="31"/>
      <c r="AW118" s="31"/>
      <c r="AX118" s="31"/>
      <c r="AY118" s="31"/>
      <c r="AZ118" s="31">
        <f t="shared" si="16"/>
        <v>1.6666666666666601E-2</v>
      </c>
      <c r="BA118" s="25" t="str">
        <f t="shared" si="17"/>
        <v>RO general</v>
      </c>
      <c r="BB118" s="25">
        <f t="shared" si="18"/>
        <v>0</v>
      </c>
      <c r="BC118" s="25" t="str">
        <f t="shared" si="19"/>
        <v/>
      </c>
    </row>
    <row r="119" spans="1:55" ht="15" customHeight="1" outlineLevel="1" x14ac:dyDescent="0.2">
      <c r="A119" s="130">
        <v>2</v>
      </c>
      <c r="B119" s="131">
        <v>220000</v>
      </c>
      <c r="C119" s="131" t="s">
        <v>224</v>
      </c>
      <c r="D119" s="79">
        <f>input_values!Z119</f>
        <v>4</v>
      </c>
      <c r="E119" s="581">
        <f>SUM(E120:E124)</f>
        <v>0.22000000000000003</v>
      </c>
      <c r="F119" s="92">
        <f t="shared" ref="F119:AO119" si="25">SUM(F120:F124)</f>
        <v>0.27363636363636357</v>
      </c>
      <c r="G119" s="92">
        <f t="shared" si="25"/>
        <v>0.20600000000000002</v>
      </c>
      <c r="H119" s="92">
        <f t="shared" si="25"/>
        <v>0.12530773282983826</v>
      </c>
      <c r="I119" s="92">
        <f t="shared" si="25"/>
        <v>0.20527378293524645</v>
      </c>
      <c r="J119" s="92">
        <f t="shared" si="25"/>
        <v>0.22119114340525098</v>
      </c>
      <c r="K119" s="92">
        <f t="shared" si="25"/>
        <v>0.14659937515020427</v>
      </c>
      <c r="L119" s="92">
        <f t="shared" si="25"/>
        <v>0.184</v>
      </c>
      <c r="M119" s="92">
        <f t="shared" si="25"/>
        <v>0.14699999999999999</v>
      </c>
      <c r="N119" s="92">
        <f t="shared" si="25"/>
        <v>0.18390804597701152</v>
      </c>
      <c r="O119" s="92">
        <f t="shared" si="25"/>
        <v>0.23287671232876711</v>
      </c>
      <c r="P119" s="92">
        <f t="shared" si="25"/>
        <v>0.15033302263648471</v>
      </c>
      <c r="Q119" s="92">
        <f t="shared" si="25"/>
        <v>0.21759999999999999</v>
      </c>
      <c r="R119" s="92">
        <f t="shared" si="25"/>
        <v>0.1511048968</v>
      </c>
      <c r="S119" s="92">
        <f t="shared" si="25"/>
        <v>0.13327926093536338</v>
      </c>
      <c r="T119" s="92"/>
      <c r="U119" s="92">
        <f t="shared" si="25"/>
        <v>0.28351063829787243</v>
      </c>
      <c r="V119" s="92">
        <f t="shared" si="25"/>
        <v>0.11517065102992032</v>
      </c>
      <c r="W119" s="92">
        <f t="shared" si="25"/>
        <v>0</v>
      </c>
      <c r="X119" s="92">
        <f t="shared" si="25"/>
        <v>0.219</v>
      </c>
      <c r="Y119" s="92">
        <f t="shared" si="25"/>
        <v>0.32955254777070064</v>
      </c>
      <c r="Z119" s="92">
        <f t="shared" si="25"/>
        <v>0.35333333333333333</v>
      </c>
      <c r="AA119" s="92">
        <f t="shared" si="25"/>
        <v>0.83333333333333337</v>
      </c>
      <c r="AB119" s="92">
        <f t="shared" si="25"/>
        <v>0.5</v>
      </c>
      <c r="AC119" s="92">
        <f t="shared" si="25"/>
        <v>0.16052631578947368</v>
      </c>
      <c r="AD119" s="92">
        <f t="shared" si="25"/>
        <v>0.25037481259370314</v>
      </c>
      <c r="AE119" s="92">
        <f t="shared" si="25"/>
        <v>0.82200000000000017</v>
      </c>
      <c r="AF119" s="92">
        <f t="shared" si="25"/>
        <v>0.37033333333333329</v>
      </c>
      <c r="AG119" s="92">
        <f t="shared" si="25"/>
        <v>0.53433333333333333</v>
      </c>
      <c r="AH119" s="92">
        <f t="shared" si="25"/>
        <v>0.64716666666666678</v>
      </c>
      <c r="AI119" s="92">
        <f t="shared" si="25"/>
        <v>0.21183333333333332</v>
      </c>
      <c r="AJ119" s="92">
        <f t="shared" si="25"/>
        <v>0.58150000000000002</v>
      </c>
      <c r="AK119" s="92">
        <f t="shared" si="25"/>
        <v>0.11725912206127601</v>
      </c>
      <c r="AL119" s="92">
        <f t="shared" si="25"/>
        <v>0.10923620140848764</v>
      </c>
      <c r="AM119" s="92">
        <f t="shared" si="25"/>
        <v>7.2994268000000001E-2</v>
      </c>
      <c r="AN119" s="92">
        <f t="shared" si="25"/>
        <v>0.39603464590000004</v>
      </c>
      <c r="AO119" s="92">
        <f t="shared" si="25"/>
        <v>0.29993448480000001</v>
      </c>
      <c r="AP119" s="92"/>
      <c r="AQ119" s="92"/>
      <c r="AR119" s="92"/>
      <c r="AS119" s="92"/>
      <c r="AT119" s="92"/>
      <c r="AU119" s="92"/>
      <c r="AV119" s="92"/>
      <c r="AW119" s="92"/>
      <c r="AX119" s="92" t="s">
        <v>369</v>
      </c>
      <c r="AY119" s="92"/>
      <c r="AZ119" s="92">
        <f t="shared" si="16"/>
        <v>0.83333333333333337</v>
      </c>
      <c r="BA119" s="42" t="str">
        <f t="shared" si="17"/>
        <v>RO general</v>
      </c>
      <c r="BB119" s="42">
        <f t="shared" si="18"/>
        <v>0</v>
      </c>
      <c r="BC119" s="42" t="str">
        <f t="shared" si="19"/>
        <v/>
      </c>
    </row>
    <row r="120" spans="1:55" ht="15" customHeight="1" outlineLevel="3" x14ac:dyDescent="0.2">
      <c r="A120" s="39">
        <v>4</v>
      </c>
      <c r="B120" s="23">
        <v>220010</v>
      </c>
      <c r="C120" s="23" t="s">
        <v>207</v>
      </c>
      <c r="D120" s="22">
        <f>input_values!Z120</f>
        <v>4</v>
      </c>
      <c r="E120" s="657">
        <v>0.01</v>
      </c>
      <c r="F120" s="31">
        <v>4.5454545454545455E-4</v>
      </c>
      <c r="G120" s="31">
        <v>1.7299999999999999E-2</v>
      </c>
      <c r="H120" s="31">
        <v>1.2546736515197249E-3</v>
      </c>
      <c r="I120" s="31">
        <v>5.0708483435372353E-3</v>
      </c>
      <c r="J120" s="31">
        <v>3.5484478401004221E-3</v>
      </c>
      <c r="K120" s="31">
        <v>1.0093727469358327E-2</v>
      </c>
      <c r="L120" s="31">
        <v>0</v>
      </c>
      <c r="M120" s="31">
        <v>0</v>
      </c>
      <c r="N120" s="31">
        <v>0</v>
      </c>
      <c r="O120" s="31">
        <v>0</v>
      </c>
      <c r="P120" s="31">
        <v>1.2000000000000001E-3</v>
      </c>
      <c r="Q120" s="31">
        <v>2.1700000000000001E-2</v>
      </c>
      <c r="R120" s="584">
        <v>1.7764555000000001E-3</v>
      </c>
      <c r="S120" s="31">
        <v>2.4887849118100497E-3</v>
      </c>
      <c r="T120" s="31"/>
      <c r="U120" s="31">
        <v>9.5744680851063829E-3</v>
      </c>
      <c r="V120" s="31">
        <v>8.8708464892497361E-3</v>
      </c>
      <c r="W120" s="31">
        <v>0</v>
      </c>
      <c r="X120" s="31">
        <v>0</v>
      </c>
      <c r="Y120" s="31">
        <v>1.14171974522293E-3</v>
      </c>
      <c r="Z120" s="31">
        <v>1.6666666666666668E-3</v>
      </c>
      <c r="AA120" s="31">
        <v>8.3333333333333329E-2</v>
      </c>
      <c r="AB120" s="31">
        <v>3.3333333333333333E-2</v>
      </c>
      <c r="AC120" s="31">
        <v>1.3157894736842105E-3</v>
      </c>
      <c r="AD120" s="31">
        <v>8.9955022488755615E-3</v>
      </c>
      <c r="AE120" s="31">
        <v>6.5166666666666664E-2</v>
      </c>
      <c r="AF120" s="31">
        <v>1.6333333333333332E-2</v>
      </c>
      <c r="AG120" s="31">
        <v>2.4833333333333332E-2</v>
      </c>
      <c r="AH120" s="31">
        <v>6.2333333333333338E-2</v>
      </c>
      <c r="AI120" s="31">
        <v>3.4166666666666665E-2</v>
      </c>
      <c r="AJ120" s="31">
        <v>6.3166666666666663E-2</v>
      </c>
      <c r="AK120" s="663">
        <v>3.2799255337021774E-3</v>
      </c>
      <c r="AL120" s="663">
        <v>3.4835885793127901E-3</v>
      </c>
      <c r="AM120" s="31">
        <v>1.8241E-2</v>
      </c>
      <c r="AN120" s="584">
        <v>5.1351666999999998E-3</v>
      </c>
      <c r="AO120" s="584">
        <v>4.5053311999999996E-3</v>
      </c>
      <c r="AP120" s="663"/>
      <c r="AQ120" s="31"/>
      <c r="AR120" s="31"/>
      <c r="AS120" s="31"/>
      <c r="AT120" s="31"/>
      <c r="AU120" s="31"/>
      <c r="AV120" s="31"/>
      <c r="AW120" s="31"/>
      <c r="AX120" s="31"/>
      <c r="AY120" s="31"/>
      <c r="AZ120" s="31">
        <f t="shared" si="16"/>
        <v>8.3333333333333329E-2</v>
      </c>
      <c r="BA120" s="25" t="str">
        <f t="shared" si="17"/>
        <v>RO general</v>
      </c>
      <c r="BB120" s="25">
        <f t="shared" si="18"/>
        <v>0</v>
      </c>
      <c r="BC120" s="25" t="str">
        <f t="shared" si="19"/>
        <v/>
      </c>
    </row>
    <row r="121" spans="1:55" ht="15" customHeight="1" outlineLevel="3" x14ac:dyDescent="0.2">
      <c r="A121" s="39">
        <v>4</v>
      </c>
      <c r="B121" s="23">
        <v>220020</v>
      </c>
      <c r="C121" s="23" t="s">
        <v>208</v>
      </c>
      <c r="D121" s="22">
        <f>input_values!Z121</f>
        <v>4</v>
      </c>
      <c r="E121" s="657">
        <v>0.19</v>
      </c>
      <c r="F121" s="31">
        <v>0.27272727272727271</v>
      </c>
      <c r="G121" s="31">
        <v>0.18870000000000001</v>
      </c>
      <c r="H121" s="31">
        <v>0.12405305917831855</v>
      </c>
      <c r="I121" s="31">
        <v>0.20016093984105304</v>
      </c>
      <c r="J121" s="31">
        <v>0.21686944243209863</v>
      </c>
      <c r="K121" s="31">
        <v>0.13049747656813265</v>
      </c>
      <c r="L121" s="31">
        <v>0.182</v>
      </c>
      <c r="M121" s="31">
        <v>0.14699999999999999</v>
      </c>
      <c r="N121" s="31">
        <v>0.18390804597701152</v>
      </c>
      <c r="O121" s="31">
        <v>0.23287671232876711</v>
      </c>
      <c r="P121" s="31">
        <v>0.14900000000000002</v>
      </c>
      <c r="Q121" s="31">
        <v>0.19589999999999999</v>
      </c>
      <c r="R121" s="584">
        <v>0.1493284413</v>
      </c>
      <c r="S121" s="31">
        <v>0.13047793104311051</v>
      </c>
      <c r="T121" s="31"/>
      <c r="U121" s="31">
        <v>0.14760638297872339</v>
      </c>
      <c r="V121" s="31">
        <v>0.10314238460381897</v>
      </c>
      <c r="W121" s="31">
        <v>0</v>
      </c>
      <c r="X121" s="31">
        <v>0.219</v>
      </c>
      <c r="Y121" s="31">
        <v>0.32841082802547772</v>
      </c>
      <c r="Z121" s="31">
        <v>0.35166666666666668</v>
      </c>
      <c r="AA121" s="31">
        <v>0.75</v>
      </c>
      <c r="AB121" s="31">
        <v>0.45</v>
      </c>
      <c r="AC121" s="31">
        <v>0.15131578947368421</v>
      </c>
      <c r="AD121" s="31">
        <v>0.22638680659670163</v>
      </c>
      <c r="AE121" s="31">
        <v>0.75683333333333347</v>
      </c>
      <c r="AF121" s="31">
        <v>0.35399999999999998</v>
      </c>
      <c r="AG121" s="31">
        <v>0.50949999999999995</v>
      </c>
      <c r="AH121" s="31">
        <v>0.58483333333333343</v>
      </c>
      <c r="AI121" s="31">
        <v>0.17766666666666667</v>
      </c>
      <c r="AJ121" s="31">
        <v>0.51833333333333331</v>
      </c>
      <c r="AK121" s="663">
        <v>0.11187045760419188</v>
      </c>
      <c r="AL121" s="663">
        <v>0.10344264718809851</v>
      </c>
      <c r="AM121" s="31">
        <v>5.4099899999999999E-2</v>
      </c>
      <c r="AN121" s="584">
        <v>0.39089947920000001</v>
      </c>
      <c r="AO121" s="584">
        <v>0.29542915359999999</v>
      </c>
      <c r="AP121" s="663"/>
      <c r="AQ121" s="31"/>
      <c r="AR121" s="31"/>
      <c r="AS121" s="31"/>
      <c r="AT121" s="31"/>
      <c r="AU121" s="31"/>
      <c r="AV121" s="31"/>
      <c r="AW121" s="31"/>
      <c r="AX121" s="31"/>
      <c r="AY121" s="31"/>
      <c r="AZ121" s="31">
        <f t="shared" si="16"/>
        <v>0.75683333333333347</v>
      </c>
      <c r="BA121" s="25" t="str">
        <f t="shared" si="17"/>
        <v>GEMS/Food G06</v>
      </c>
      <c r="BB121" s="25">
        <f t="shared" si="18"/>
        <v>0</v>
      </c>
      <c r="BC121" s="25" t="str">
        <f t="shared" si="19"/>
        <v/>
      </c>
    </row>
    <row r="122" spans="1:55" ht="15" customHeight="1" outlineLevel="3" x14ac:dyDescent="0.2">
      <c r="A122" s="39">
        <v>4</v>
      </c>
      <c r="B122" s="23">
        <v>220030</v>
      </c>
      <c r="C122" s="23" t="s">
        <v>209</v>
      </c>
      <c r="D122" s="22">
        <f>input_values!Z122</f>
        <v>4</v>
      </c>
      <c r="E122" s="657">
        <v>0.01</v>
      </c>
      <c r="F122" s="31">
        <v>0</v>
      </c>
      <c r="G122" s="31">
        <v>0</v>
      </c>
      <c r="H122" s="31">
        <v>0</v>
      </c>
      <c r="I122" s="31">
        <v>4.1994750656167981E-5</v>
      </c>
      <c r="J122" s="31">
        <v>7.7325313305192072E-4</v>
      </c>
      <c r="K122" s="31">
        <v>0</v>
      </c>
      <c r="L122" s="31">
        <v>2E-3</v>
      </c>
      <c r="M122" s="31">
        <v>0</v>
      </c>
      <c r="N122" s="31">
        <v>0</v>
      </c>
      <c r="O122" s="31">
        <v>0</v>
      </c>
      <c r="P122" s="31">
        <v>0</v>
      </c>
      <c r="Q122" s="31">
        <v>0</v>
      </c>
      <c r="R122" s="584"/>
      <c r="S122" s="31">
        <v>3.1254498044283981E-4</v>
      </c>
      <c r="T122" s="31"/>
      <c r="U122" s="31">
        <v>7.9787234042553307E-2</v>
      </c>
      <c r="V122" s="31">
        <v>3.0070666065253342E-4</v>
      </c>
      <c r="W122" s="31">
        <v>0</v>
      </c>
      <c r="X122" s="31">
        <v>0</v>
      </c>
      <c r="Y122" s="31">
        <v>0</v>
      </c>
      <c r="Z122" s="31">
        <v>0</v>
      </c>
      <c r="AA122" s="31">
        <v>0</v>
      </c>
      <c r="AB122" s="31">
        <v>1.6666666666666666E-2</v>
      </c>
      <c r="AC122" s="31">
        <v>0</v>
      </c>
      <c r="AD122" s="31">
        <v>0</v>
      </c>
      <c r="AE122" s="31"/>
      <c r="AF122" s="31"/>
      <c r="AG122" s="31"/>
      <c r="AH122" s="31"/>
      <c r="AI122" s="31"/>
      <c r="AJ122" s="31"/>
      <c r="AK122" s="663">
        <v>2.230764958597987E-4</v>
      </c>
      <c r="AL122" s="663">
        <v>2.9392011927606334E-4</v>
      </c>
      <c r="AM122" s="31">
        <v>0</v>
      </c>
      <c r="AN122" s="584"/>
      <c r="AO122" s="584"/>
      <c r="AP122" s="663"/>
      <c r="AQ122" s="31"/>
      <c r="AR122" s="31"/>
      <c r="AS122" s="31"/>
      <c r="AT122" s="31"/>
      <c r="AU122" s="31"/>
      <c r="AV122" s="31"/>
      <c r="AW122" s="31"/>
      <c r="AX122" s="31"/>
      <c r="AY122" s="31"/>
      <c r="AZ122" s="31">
        <f t="shared" si="16"/>
        <v>7.9787234042553307E-2</v>
      </c>
      <c r="BA122" s="25" t="str">
        <f t="shared" si="17"/>
        <v>IE adult</v>
      </c>
      <c r="BB122" s="25">
        <f t="shared" si="18"/>
        <v>0</v>
      </c>
      <c r="BC122" s="25" t="str">
        <f t="shared" si="19"/>
        <v/>
      </c>
    </row>
    <row r="123" spans="1:55" ht="15" customHeight="1" outlineLevel="3" x14ac:dyDescent="0.2">
      <c r="A123" s="39">
        <v>4</v>
      </c>
      <c r="B123" s="23">
        <v>220040</v>
      </c>
      <c r="C123" s="23" t="s">
        <v>827</v>
      </c>
      <c r="D123" s="22">
        <f>input_values!Z123</f>
        <v>4</v>
      </c>
      <c r="E123" s="657">
        <v>0.01</v>
      </c>
      <c r="F123" s="31">
        <v>4.5454545454545455E-4</v>
      </c>
      <c r="G123" s="31">
        <v>0</v>
      </c>
      <c r="H123" s="31">
        <v>0</v>
      </c>
      <c r="I123" s="31">
        <v>0</v>
      </c>
      <c r="J123" s="31">
        <v>0</v>
      </c>
      <c r="K123" s="31">
        <v>6.0081711127132897E-3</v>
      </c>
      <c r="L123" s="31">
        <v>0</v>
      </c>
      <c r="M123" s="31">
        <v>0</v>
      </c>
      <c r="N123" s="31">
        <v>0</v>
      </c>
      <c r="O123" s="31">
        <v>0</v>
      </c>
      <c r="P123" s="31">
        <v>1.3302263648468711E-4</v>
      </c>
      <c r="Q123" s="31">
        <v>0</v>
      </c>
      <c r="R123" s="584"/>
      <c r="S123" s="31">
        <v>0</v>
      </c>
      <c r="T123" s="31"/>
      <c r="U123" s="31">
        <v>4.6542553191489359E-2</v>
      </c>
      <c r="V123" s="31">
        <v>2.8567132761990678E-3</v>
      </c>
      <c r="W123" s="31">
        <v>0</v>
      </c>
      <c r="X123" s="31">
        <v>0</v>
      </c>
      <c r="Y123" s="31">
        <v>0</v>
      </c>
      <c r="Z123" s="31">
        <v>0</v>
      </c>
      <c r="AA123" s="31">
        <v>0</v>
      </c>
      <c r="AB123" s="31">
        <v>0</v>
      </c>
      <c r="AC123" s="31">
        <v>7.8947368421052634E-3</v>
      </c>
      <c r="AD123" s="31">
        <v>1.4992503748125937E-2</v>
      </c>
      <c r="AE123" s="31"/>
      <c r="AF123" s="31"/>
      <c r="AG123" s="31"/>
      <c r="AH123" s="31"/>
      <c r="AI123" s="31"/>
      <c r="AJ123" s="31"/>
      <c r="AK123" s="663">
        <v>1.8856624275221459E-3</v>
      </c>
      <c r="AL123" s="663">
        <v>2.0160455218002802E-3</v>
      </c>
      <c r="AM123" s="31">
        <v>6.5336799999999998E-4</v>
      </c>
      <c r="AN123" s="584"/>
      <c r="AO123" s="584"/>
      <c r="AP123" s="663"/>
      <c r="AQ123" s="31"/>
      <c r="AR123" s="31"/>
      <c r="AS123" s="31"/>
      <c r="AT123" s="31"/>
      <c r="AU123" s="31"/>
      <c r="AV123" s="31"/>
      <c r="AW123" s="31"/>
      <c r="AX123" s="31"/>
      <c r="AY123" s="31"/>
      <c r="AZ123" s="31">
        <f t="shared" si="16"/>
        <v>4.6542553191489359E-2</v>
      </c>
      <c r="BA123" s="25" t="str">
        <f t="shared" si="17"/>
        <v>IE adult</v>
      </c>
      <c r="BB123" s="25">
        <f t="shared" si="18"/>
        <v>0</v>
      </c>
      <c r="BC123" s="25" t="str">
        <f t="shared" si="19"/>
        <v/>
      </c>
    </row>
    <row r="124" spans="1:55" ht="15" customHeight="1" outlineLevel="3" x14ac:dyDescent="0.2">
      <c r="A124" s="39">
        <v>4</v>
      </c>
      <c r="B124" s="23">
        <v>220990</v>
      </c>
      <c r="C124" s="23" t="s">
        <v>165</v>
      </c>
      <c r="D124" s="22">
        <f>input_values!Z124</f>
        <v>4</v>
      </c>
      <c r="E124" s="657">
        <v>0</v>
      </c>
      <c r="F124" s="31"/>
      <c r="G124" s="31">
        <v>0</v>
      </c>
      <c r="H124" s="31">
        <v>0</v>
      </c>
      <c r="I124" s="31">
        <v>0</v>
      </c>
      <c r="J124" s="31">
        <v>0</v>
      </c>
      <c r="K124" s="31">
        <v>0</v>
      </c>
      <c r="L124" s="31">
        <v>0</v>
      </c>
      <c r="M124" s="31">
        <v>0</v>
      </c>
      <c r="N124" s="31">
        <v>0</v>
      </c>
      <c r="O124" s="31">
        <v>0</v>
      </c>
      <c r="P124" s="31">
        <v>0</v>
      </c>
      <c r="Q124" s="31">
        <v>0</v>
      </c>
      <c r="R124" s="584"/>
      <c r="S124" s="31">
        <v>0</v>
      </c>
      <c r="T124" s="31"/>
      <c r="U124" s="31">
        <v>0</v>
      </c>
      <c r="V124" s="31">
        <v>0</v>
      </c>
      <c r="W124" s="31">
        <v>0</v>
      </c>
      <c r="X124" s="31">
        <v>0</v>
      </c>
      <c r="Y124" s="31">
        <v>0</v>
      </c>
      <c r="Z124" s="31">
        <v>0</v>
      </c>
      <c r="AA124" s="31">
        <v>0</v>
      </c>
      <c r="AB124" s="31">
        <v>0</v>
      </c>
      <c r="AC124" s="31">
        <v>0</v>
      </c>
      <c r="AD124" s="31">
        <v>0</v>
      </c>
      <c r="AE124" s="31"/>
      <c r="AF124" s="31"/>
      <c r="AG124" s="31"/>
      <c r="AH124" s="31"/>
      <c r="AI124" s="31"/>
      <c r="AJ124" s="31"/>
      <c r="AK124" s="663">
        <v>0</v>
      </c>
      <c r="AL124" s="663">
        <v>0</v>
      </c>
      <c r="AM124" s="31">
        <v>0</v>
      </c>
      <c r="AN124" s="584"/>
      <c r="AO124" s="584"/>
      <c r="AP124" s="663"/>
      <c r="AQ124" s="31"/>
      <c r="AR124" s="31"/>
      <c r="AS124" s="31"/>
      <c r="AT124" s="31"/>
      <c r="AU124" s="31"/>
      <c r="AV124" s="31"/>
      <c r="AW124" s="31"/>
      <c r="AX124" s="31"/>
      <c r="AY124" s="31"/>
      <c r="AZ124" s="31">
        <f t="shared" si="16"/>
        <v>0</v>
      </c>
      <c r="BA124" s="25" t="str">
        <f t="shared" si="17"/>
        <v>DE child</v>
      </c>
      <c r="BB124" s="25">
        <f t="shared" si="18"/>
        <v>0</v>
      </c>
      <c r="BC124" s="25" t="str">
        <f t="shared" si="19"/>
        <v/>
      </c>
    </row>
    <row r="125" spans="1:55" ht="15" customHeight="1" outlineLevel="1" x14ac:dyDescent="0.2">
      <c r="A125" s="130">
        <v>2</v>
      </c>
      <c r="B125" s="131">
        <v>230000</v>
      </c>
      <c r="C125" s="131" t="s">
        <v>225</v>
      </c>
      <c r="D125" s="79">
        <f>input_values!Z125</f>
        <v>4</v>
      </c>
      <c r="E125" s="581">
        <f>SUM(E126,E132,E137,E142,E143)</f>
        <v>2.2599999999999998</v>
      </c>
      <c r="F125" s="92">
        <f>SUM(F126,F132,F137,F142,F143)</f>
        <v>2.791818181818182</v>
      </c>
      <c r="G125" s="92">
        <f t="shared" ref="G125:AO125" si="26">SUM(G126,G132,G137,G142,G143)</f>
        <v>1.5318000000000001</v>
      </c>
      <c r="H125" s="92">
        <f t="shared" si="26"/>
        <v>0.73882025741604918</v>
      </c>
      <c r="I125" s="92">
        <f t="shared" si="26"/>
        <v>0.77784837114482108</v>
      </c>
      <c r="J125" s="92">
        <f t="shared" si="26"/>
        <v>1.6600476949445806</v>
      </c>
      <c r="K125" s="92">
        <f t="shared" si="26"/>
        <v>1.9887046383080988</v>
      </c>
      <c r="L125" s="92">
        <f t="shared" si="26"/>
        <v>1.4159999999999997</v>
      </c>
      <c r="M125" s="92">
        <f t="shared" si="26"/>
        <v>1.0089999999999999</v>
      </c>
      <c r="N125" s="92">
        <f t="shared" si="26"/>
        <v>0.42528735632183917</v>
      </c>
      <c r="O125" s="92">
        <f t="shared" si="26"/>
        <v>0.84246575342465757</v>
      </c>
      <c r="P125" s="92">
        <f>SUM(P126,P132,P137,P142,P143)</f>
        <v>1.0513334221038617</v>
      </c>
      <c r="Q125" s="92">
        <f t="shared" si="26"/>
        <v>1.3279000000000001</v>
      </c>
      <c r="R125" s="92">
        <f t="shared" si="26"/>
        <v>1.0216276417999999</v>
      </c>
      <c r="S125" s="92">
        <f t="shared" si="26"/>
        <v>0.84789688272823449</v>
      </c>
      <c r="T125" s="92"/>
      <c r="U125" s="92">
        <f t="shared" si="26"/>
        <v>2.0944148936170213</v>
      </c>
      <c r="V125" s="92">
        <f t="shared" si="26"/>
        <v>1.8225830702150054</v>
      </c>
      <c r="W125" s="92">
        <f t="shared" si="26"/>
        <v>1.0995714285714286</v>
      </c>
      <c r="X125" s="92">
        <f t="shared" si="26"/>
        <v>0.70200000000000007</v>
      </c>
      <c r="Y125" s="92">
        <f t="shared" si="26"/>
        <v>1.1000859872611464</v>
      </c>
      <c r="Z125" s="92">
        <f t="shared" si="26"/>
        <v>1.2066666666666666</v>
      </c>
      <c r="AA125" s="92">
        <f t="shared" si="26"/>
        <v>3.3333333333333335</v>
      </c>
      <c r="AB125" s="92">
        <f t="shared" si="26"/>
        <v>1.9183333333333332</v>
      </c>
      <c r="AC125" s="92">
        <f t="shared" si="26"/>
        <v>0.63684210526315799</v>
      </c>
      <c r="AD125" s="92">
        <f t="shared" si="26"/>
        <v>1.0464767616191903</v>
      </c>
      <c r="AE125" s="92">
        <f t="shared" si="26"/>
        <v>7.0151666666666683</v>
      </c>
      <c r="AF125" s="92">
        <f t="shared" si="26"/>
        <v>1.8694999999999999</v>
      </c>
      <c r="AG125" s="92">
        <f t="shared" si="26"/>
        <v>2.2103333333333337</v>
      </c>
      <c r="AH125" s="92">
        <f t="shared" si="26"/>
        <v>2.6710000000000003</v>
      </c>
      <c r="AI125" s="92">
        <f t="shared" si="26"/>
        <v>1.4161666666666668</v>
      </c>
      <c r="AJ125" s="92">
        <f t="shared" si="26"/>
        <v>2.8281666666666667</v>
      </c>
      <c r="AK125" s="92">
        <f>SUM(AK126,AK132,AK137,AK142,AK143)</f>
        <v>1.1038179844069216</v>
      </c>
      <c r="AL125" s="92">
        <f>SUM(AL126,AL132,AL137,AL142,AL143)</f>
        <v>1.2866200415896112</v>
      </c>
      <c r="AM125" s="92">
        <f t="shared" si="26"/>
        <v>0.13278038199999997</v>
      </c>
      <c r="AN125" s="92">
        <f t="shared" si="26"/>
        <v>2.0227576209999998</v>
      </c>
      <c r="AO125" s="92">
        <f t="shared" si="26"/>
        <v>1.5571700126999999</v>
      </c>
      <c r="AP125" s="92"/>
      <c r="AQ125" s="92"/>
      <c r="AR125" s="92"/>
      <c r="AS125" s="92"/>
      <c r="AT125" s="92"/>
      <c r="AU125" s="92"/>
      <c r="AV125" s="92"/>
      <c r="AW125" s="92"/>
      <c r="AX125" s="92" t="s">
        <v>369</v>
      </c>
      <c r="AY125" s="92"/>
      <c r="AZ125" s="92">
        <f t="shared" si="16"/>
        <v>7.0151666666666683</v>
      </c>
      <c r="BA125" s="42" t="str">
        <f t="shared" si="17"/>
        <v>GEMS/Food G06</v>
      </c>
      <c r="BB125" s="42">
        <f t="shared" si="18"/>
        <v>0.13278038199999997</v>
      </c>
      <c r="BC125" s="42" t="str">
        <f t="shared" si="19"/>
        <v>IE child</v>
      </c>
    </row>
    <row r="126" spans="1:55" ht="15" customHeight="1" outlineLevel="2" x14ac:dyDescent="0.2">
      <c r="A126" s="132">
        <v>3</v>
      </c>
      <c r="B126" s="3">
        <v>231000</v>
      </c>
      <c r="C126" s="3" t="s">
        <v>226</v>
      </c>
      <c r="D126" s="80">
        <f>input_values!Z126</f>
        <v>4</v>
      </c>
      <c r="E126" s="654">
        <f>SUM(E127:E131)</f>
        <v>1.29</v>
      </c>
      <c r="F126" s="48">
        <f>SUM(F127:F131)</f>
        <v>0.75909090909090904</v>
      </c>
      <c r="G126" s="48">
        <f t="shared" ref="G126:AO126" si="27">SUM(G127:G131)</f>
        <v>1.1085</v>
      </c>
      <c r="H126" s="48">
        <f t="shared" si="27"/>
        <v>0.12760760664412835</v>
      </c>
      <c r="I126" s="48">
        <f t="shared" si="27"/>
        <v>0.50766875583693938</v>
      </c>
      <c r="J126" s="48">
        <f t="shared" si="27"/>
        <v>0.90416315688020921</v>
      </c>
      <c r="K126" s="48">
        <f t="shared" si="27"/>
        <v>1.5847152126892574</v>
      </c>
      <c r="L126" s="48">
        <f t="shared" si="27"/>
        <v>1.0579999999999998</v>
      </c>
      <c r="M126" s="48">
        <f t="shared" si="27"/>
        <v>0.60399999999999998</v>
      </c>
      <c r="N126" s="48">
        <f t="shared" si="27"/>
        <v>0.36781609195402304</v>
      </c>
      <c r="O126" s="48">
        <f t="shared" si="27"/>
        <v>0.61643835616438358</v>
      </c>
      <c r="P126" s="48">
        <f>SUM(P127:P131)</f>
        <v>0.62830066577896149</v>
      </c>
      <c r="Q126" s="48">
        <f t="shared" si="27"/>
        <v>0.97609999999999997</v>
      </c>
      <c r="R126" s="48">
        <f t="shared" si="27"/>
        <v>0.60623302030000004</v>
      </c>
      <c r="S126" s="48">
        <f t="shared" si="27"/>
        <v>0.52358432960826573</v>
      </c>
      <c r="T126" s="48"/>
      <c r="U126" s="48">
        <f t="shared" si="27"/>
        <v>0.81781914893617014</v>
      </c>
      <c r="V126" s="48">
        <f t="shared" si="27"/>
        <v>1.3467147797323711</v>
      </c>
      <c r="W126" s="48">
        <f t="shared" si="27"/>
        <v>0.66499999999999992</v>
      </c>
      <c r="X126" s="48">
        <f t="shared" si="27"/>
        <v>0.47899999999999998</v>
      </c>
      <c r="Y126" s="48">
        <f t="shared" si="27"/>
        <v>0.97580414012738848</v>
      </c>
      <c r="Z126" s="48">
        <f t="shared" si="27"/>
        <v>1.0883333333333334</v>
      </c>
      <c r="AA126" s="48">
        <f t="shared" si="27"/>
        <v>2.5833333333333335</v>
      </c>
      <c r="AB126" s="48">
        <f t="shared" si="27"/>
        <v>1.02</v>
      </c>
      <c r="AC126" s="48">
        <f t="shared" si="27"/>
        <v>0.48289473684210532</v>
      </c>
      <c r="AD126" s="48">
        <f t="shared" si="27"/>
        <v>0.73163418290854576</v>
      </c>
      <c r="AE126" s="48">
        <f t="shared" si="27"/>
        <v>4.4231666666666678</v>
      </c>
      <c r="AF126" s="48">
        <f t="shared" si="27"/>
        <v>1.2154999999999998</v>
      </c>
      <c r="AG126" s="48">
        <f t="shared" si="27"/>
        <v>1.4498333333333335</v>
      </c>
      <c r="AH126" s="48">
        <f t="shared" si="27"/>
        <v>1.6188333333333333</v>
      </c>
      <c r="AI126" s="48">
        <f t="shared" si="27"/>
        <v>1.0991666666666668</v>
      </c>
      <c r="AJ126" s="48">
        <f t="shared" si="27"/>
        <v>1.8181666666666667</v>
      </c>
      <c r="AK126" s="48">
        <f>SUM(AK127:AK131)</f>
        <v>0.79289451781652209</v>
      </c>
      <c r="AL126" s="48">
        <f>SUM(AL127:AL131)</f>
        <v>0.89662665096333538</v>
      </c>
      <c r="AM126" s="48">
        <f t="shared" si="27"/>
        <v>6.6211446999999993E-2</v>
      </c>
      <c r="AN126" s="48">
        <f t="shared" si="27"/>
        <v>0.66163992019999995</v>
      </c>
      <c r="AO126" s="48">
        <f t="shared" si="27"/>
        <v>0.54019804509999991</v>
      </c>
      <c r="AP126" s="48"/>
      <c r="AQ126" s="48"/>
      <c r="AR126" s="48"/>
      <c r="AS126" s="48"/>
      <c r="AT126" s="48"/>
      <c r="AU126" s="48"/>
      <c r="AV126" s="48"/>
      <c r="AW126" s="48"/>
      <c r="AX126" s="48" t="s">
        <v>369</v>
      </c>
      <c r="AY126" s="48"/>
      <c r="AZ126" s="48">
        <f t="shared" si="16"/>
        <v>4.4231666666666678</v>
      </c>
      <c r="BA126" s="4" t="str">
        <f t="shared" si="17"/>
        <v>GEMS/Food G06</v>
      </c>
      <c r="BB126" s="4">
        <f t="shared" si="18"/>
        <v>6.6211446999999993E-2</v>
      </c>
      <c r="BC126" s="4" t="str">
        <f t="shared" si="19"/>
        <v>IE child</v>
      </c>
    </row>
    <row r="127" spans="1:55" ht="15" customHeight="1" outlineLevel="3" x14ac:dyDescent="0.2">
      <c r="A127" s="39">
        <v>4</v>
      </c>
      <c r="B127" s="23">
        <v>231010</v>
      </c>
      <c r="C127" s="23" t="s">
        <v>210</v>
      </c>
      <c r="D127" s="22">
        <f>input_values!Z127</f>
        <v>4</v>
      </c>
      <c r="E127" s="657">
        <v>0.99</v>
      </c>
      <c r="F127" s="31">
        <v>0.53181818181818175</v>
      </c>
      <c r="G127" s="31">
        <v>0.98199999999999998</v>
      </c>
      <c r="H127" s="31">
        <v>9.0480623334661128E-2</v>
      </c>
      <c r="I127" s="31">
        <v>0.47553668350993766</v>
      </c>
      <c r="J127" s="31">
        <v>0.83546027885024798</v>
      </c>
      <c r="K127" s="31">
        <v>1.4251381879355924</v>
      </c>
      <c r="L127" s="31">
        <v>0.995</v>
      </c>
      <c r="M127" s="31">
        <v>0.56399999999999995</v>
      </c>
      <c r="N127" s="31">
        <v>0.36781609195402304</v>
      </c>
      <c r="O127" s="31">
        <v>0.58904109589041098</v>
      </c>
      <c r="P127" s="31">
        <v>0.51800000000000002</v>
      </c>
      <c r="Q127" s="31">
        <v>0.78439999999999999</v>
      </c>
      <c r="R127" s="584">
        <v>0.55681553660000005</v>
      </c>
      <c r="S127" s="31">
        <v>0.46163475411204191</v>
      </c>
      <c r="T127" s="31"/>
      <c r="U127" s="31">
        <v>0.40159574468085102</v>
      </c>
      <c r="V127" s="31">
        <v>1.1637347767253046</v>
      </c>
      <c r="W127" s="31">
        <v>0.62014285714285711</v>
      </c>
      <c r="X127" s="31">
        <v>0.41899999999999998</v>
      </c>
      <c r="Y127" s="31">
        <v>0.88297611464968151</v>
      </c>
      <c r="Z127" s="31">
        <v>0.89500000000000002</v>
      </c>
      <c r="AA127" s="31">
        <v>1.9333333333333333</v>
      </c>
      <c r="AB127" s="31">
        <v>0.76500000000000001</v>
      </c>
      <c r="AC127" s="31">
        <v>0.43552631578947371</v>
      </c>
      <c r="AD127" s="31">
        <v>0.62218890554722639</v>
      </c>
      <c r="AE127" s="31">
        <v>3.5795000000000003</v>
      </c>
      <c r="AF127" s="31">
        <v>1.079</v>
      </c>
      <c r="AG127" s="31">
        <v>1.1385000000000001</v>
      </c>
      <c r="AH127" s="31">
        <v>1.3681666666666668</v>
      </c>
      <c r="AI127" s="31">
        <v>0.90833333333333333</v>
      </c>
      <c r="AJ127" s="31">
        <v>1.1919999999999999</v>
      </c>
      <c r="AK127" s="663">
        <v>0.65772515022445888</v>
      </c>
      <c r="AL127" s="663">
        <v>0.73944787350466556</v>
      </c>
      <c r="AM127" s="31">
        <v>5.2014699999999997E-2</v>
      </c>
      <c r="AN127" s="584">
        <v>0.56231011679999998</v>
      </c>
      <c r="AO127" s="584">
        <v>0.43674019809999998</v>
      </c>
      <c r="AP127" s="663"/>
      <c r="AQ127" s="31"/>
      <c r="AR127" s="31"/>
      <c r="AS127" s="31"/>
      <c r="AT127" s="31"/>
      <c r="AU127" s="31"/>
      <c r="AV127" s="31"/>
      <c r="AW127" s="31"/>
      <c r="AX127" s="31"/>
      <c r="AY127" s="31"/>
      <c r="AZ127" s="31">
        <f t="shared" si="16"/>
        <v>3.5795000000000003</v>
      </c>
      <c r="BA127" s="25" t="str">
        <f t="shared" si="17"/>
        <v>GEMS/Food G06</v>
      </c>
      <c r="BB127" s="25">
        <f t="shared" si="18"/>
        <v>5.2014699999999997E-2</v>
      </c>
      <c r="BC127" s="25" t="str">
        <f t="shared" si="19"/>
        <v>IE child</v>
      </c>
    </row>
    <row r="128" spans="1:55" ht="15" customHeight="1" outlineLevel="3" x14ac:dyDescent="0.2">
      <c r="A128" s="39">
        <v>4</v>
      </c>
      <c r="B128" s="23">
        <v>231020</v>
      </c>
      <c r="C128" s="23" t="s">
        <v>713</v>
      </c>
      <c r="D128" s="22">
        <f>input_values!Z128</f>
        <v>4</v>
      </c>
      <c r="E128" s="657">
        <v>0.28999999999999998</v>
      </c>
      <c r="F128" s="31">
        <v>0.22272727272727275</v>
      </c>
      <c r="G128" s="31">
        <v>0.1149</v>
      </c>
      <c r="H128" s="31">
        <v>8.8339238443337336E-3</v>
      </c>
      <c r="I128" s="31">
        <v>1.8872781072812466E-2</v>
      </c>
      <c r="J128" s="31">
        <v>4.4117917437130887E-2</v>
      </c>
      <c r="K128" s="31">
        <v>6.1043018505167031E-2</v>
      </c>
      <c r="L128" s="31">
        <v>5.6000000000000001E-2</v>
      </c>
      <c r="M128" s="31">
        <v>3.7999999999999999E-2</v>
      </c>
      <c r="N128" s="31">
        <v>0</v>
      </c>
      <c r="O128" s="31">
        <v>2.0547945205479451E-2</v>
      </c>
      <c r="P128" s="31">
        <v>9.9500665778961397E-2</v>
      </c>
      <c r="Q128" s="31">
        <v>0.15529999999999999</v>
      </c>
      <c r="R128" s="584">
        <v>4.5857187000000001E-2</v>
      </c>
      <c r="S128" s="31">
        <v>3.5272044367139828E-2</v>
      </c>
      <c r="T128" s="31"/>
      <c r="U128" s="31">
        <v>0.13696808510638298</v>
      </c>
      <c r="V128" s="31">
        <v>6.9613591941061481E-2</v>
      </c>
      <c r="W128" s="31">
        <v>2.0285714285714285E-2</v>
      </c>
      <c r="X128" s="31">
        <v>5.2999999999999999E-2</v>
      </c>
      <c r="Y128" s="31">
        <v>7.7660828025477718E-2</v>
      </c>
      <c r="Z128" s="31">
        <v>0.19333333333333333</v>
      </c>
      <c r="AA128" s="31">
        <v>0.41666666666666669</v>
      </c>
      <c r="AB128" s="31">
        <v>0.18833333333333335</v>
      </c>
      <c r="AC128" s="31">
        <v>4.3421052631578944E-2</v>
      </c>
      <c r="AD128" s="31">
        <v>8.0959520239880067E-2</v>
      </c>
      <c r="AE128" s="31">
        <v>0.48216666666666669</v>
      </c>
      <c r="AF128" s="31">
        <v>0.11966666666666667</v>
      </c>
      <c r="AG128" s="31">
        <v>0.28316666666666668</v>
      </c>
      <c r="AH128" s="31">
        <v>0.19783333333333333</v>
      </c>
      <c r="AI128" s="31">
        <v>0.16750000000000001</v>
      </c>
      <c r="AJ128" s="31">
        <v>0.56033333333333335</v>
      </c>
      <c r="AK128" s="663">
        <v>0.1257946660800569</v>
      </c>
      <c r="AL128" s="663">
        <v>0.13709760467581705</v>
      </c>
      <c r="AM128" s="31">
        <v>1.3824899999999999E-2</v>
      </c>
      <c r="AN128" s="584">
        <v>9.93298034E-2</v>
      </c>
      <c r="AO128" s="584">
        <v>0.1007312719</v>
      </c>
      <c r="AP128" s="663"/>
      <c r="AQ128" s="31"/>
      <c r="AR128" s="31"/>
      <c r="AS128" s="31"/>
      <c r="AT128" s="31"/>
      <c r="AU128" s="31"/>
      <c r="AV128" s="31"/>
      <c r="AW128" s="31"/>
      <c r="AX128" s="31"/>
      <c r="AY128" s="31"/>
      <c r="AZ128" s="31">
        <f t="shared" si="16"/>
        <v>0.56033333333333335</v>
      </c>
      <c r="BA128" s="25" t="str">
        <f t="shared" si="17"/>
        <v>GEMS/Food G15</v>
      </c>
      <c r="BB128" s="25">
        <f t="shared" si="18"/>
        <v>0</v>
      </c>
      <c r="BC128" s="25" t="str">
        <f t="shared" si="19"/>
        <v/>
      </c>
    </row>
    <row r="129" spans="1:55" ht="15" customHeight="1" outlineLevel="3" x14ac:dyDescent="0.2">
      <c r="A129" s="39">
        <v>4</v>
      </c>
      <c r="B129" s="23">
        <v>231030</v>
      </c>
      <c r="C129" s="23" t="s">
        <v>1055</v>
      </c>
      <c r="D129" s="22">
        <f>input_values!Z129</f>
        <v>4</v>
      </c>
      <c r="E129" s="657">
        <v>0.01</v>
      </c>
      <c r="F129" s="31">
        <v>4.5454545454545461E-3</v>
      </c>
      <c r="G129" s="31">
        <v>1.1599999999999999E-2</v>
      </c>
      <c r="H129" s="31">
        <v>2.8293059465133479E-2</v>
      </c>
      <c r="I129" s="31">
        <v>1.3259291254189181E-2</v>
      </c>
      <c r="J129" s="31">
        <v>2.4584960592830319E-2</v>
      </c>
      <c r="K129" s="31">
        <v>9.8534006248497952E-2</v>
      </c>
      <c r="L129" s="31">
        <v>7.0000000000000001E-3</v>
      </c>
      <c r="M129" s="31">
        <v>2E-3</v>
      </c>
      <c r="N129" s="31">
        <v>0</v>
      </c>
      <c r="O129" s="31">
        <v>6.8493150684931512E-3</v>
      </c>
      <c r="P129" s="31">
        <v>1.0800000000000001E-2</v>
      </c>
      <c r="Q129" s="31">
        <v>3.6400000000000002E-2</v>
      </c>
      <c r="R129" s="584">
        <v>3.5602966999999999E-3</v>
      </c>
      <c r="S129" s="31">
        <v>2.6677531129084046E-2</v>
      </c>
      <c r="T129" s="31"/>
      <c r="U129" s="31">
        <v>0.27925531914893614</v>
      </c>
      <c r="V129" s="31">
        <v>0.1133664110660051</v>
      </c>
      <c r="W129" s="31">
        <v>2.457142857142857E-2</v>
      </c>
      <c r="X129" s="31">
        <v>7.0000000000000001E-3</v>
      </c>
      <c r="Y129" s="31">
        <v>1.5167197452229299E-2</v>
      </c>
      <c r="Z129" s="31">
        <v>0</v>
      </c>
      <c r="AA129" s="31">
        <v>0.23333333333333334</v>
      </c>
      <c r="AB129" s="31">
        <v>6.6666666666666666E-2</v>
      </c>
      <c r="AC129" s="31">
        <v>3.9473684210526317E-3</v>
      </c>
      <c r="AD129" s="31">
        <v>2.8485757121439279E-2</v>
      </c>
      <c r="AE129" s="31">
        <v>0.33533333333333337</v>
      </c>
      <c r="AF129" s="31">
        <v>1.6833333333333332E-2</v>
      </c>
      <c r="AG129" s="31">
        <v>2.8166666666666666E-2</v>
      </c>
      <c r="AH129" s="31">
        <v>0.05</v>
      </c>
      <c r="AI129" s="31">
        <v>2.3333333333333331E-2</v>
      </c>
      <c r="AJ129" s="31">
        <v>6.5833333333333341E-2</v>
      </c>
      <c r="AK129" s="663">
        <v>9.3747015120062352E-3</v>
      </c>
      <c r="AL129" s="663">
        <v>2.0081172782852728E-2</v>
      </c>
      <c r="AM129" s="31">
        <v>3.7184700000000002E-4</v>
      </c>
      <c r="AN129" s="584"/>
      <c r="AO129" s="584">
        <v>2.7265751000000002E-3</v>
      </c>
      <c r="AP129" s="663"/>
      <c r="AQ129" s="31"/>
      <c r="AR129" s="31"/>
      <c r="AS129" s="31"/>
      <c r="AT129" s="31"/>
      <c r="AU129" s="31"/>
      <c r="AV129" s="31"/>
      <c r="AW129" s="31"/>
      <c r="AX129" s="31"/>
      <c r="AY129" s="31"/>
      <c r="AZ129" s="31">
        <f t="shared" si="16"/>
        <v>0.33533333333333337</v>
      </c>
      <c r="BA129" s="25" t="str">
        <f t="shared" si="17"/>
        <v>GEMS/Food G06</v>
      </c>
      <c r="BB129" s="25">
        <f t="shared" si="18"/>
        <v>0</v>
      </c>
      <c r="BC129" s="25" t="str">
        <f t="shared" si="19"/>
        <v/>
      </c>
    </row>
    <row r="130" spans="1:55" ht="15" customHeight="1" outlineLevel="3" x14ac:dyDescent="0.2">
      <c r="A130" s="39">
        <v>4</v>
      </c>
      <c r="B130" s="23">
        <v>231040</v>
      </c>
      <c r="C130" s="23" t="s">
        <v>714</v>
      </c>
      <c r="D130" s="22">
        <f>input_values!Z130</f>
        <v>4</v>
      </c>
      <c r="E130" s="657">
        <v>0</v>
      </c>
      <c r="F130" s="31">
        <v>0</v>
      </c>
      <c r="G130" s="31">
        <v>0</v>
      </c>
      <c r="H130" s="31">
        <v>0</v>
      </c>
      <c r="I130" s="31">
        <v>0</v>
      </c>
      <c r="J130" s="31">
        <v>0</v>
      </c>
      <c r="K130" s="31">
        <v>0</v>
      </c>
      <c r="L130" s="31">
        <v>0</v>
      </c>
      <c r="M130" s="31">
        <v>0</v>
      </c>
      <c r="N130" s="31">
        <v>0</v>
      </c>
      <c r="O130" s="31">
        <v>0</v>
      </c>
      <c r="P130" s="31">
        <v>0</v>
      </c>
      <c r="Q130" s="31">
        <v>0</v>
      </c>
      <c r="R130" s="584"/>
      <c r="S130" s="31">
        <v>0</v>
      </c>
      <c r="T130" s="31"/>
      <c r="U130" s="31">
        <v>0</v>
      </c>
      <c r="V130" s="31">
        <v>0</v>
      </c>
      <c r="W130" s="31">
        <v>0</v>
      </c>
      <c r="X130" s="31">
        <v>0</v>
      </c>
      <c r="Y130" s="31">
        <v>0</v>
      </c>
      <c r="Z130" s="31">
        <v>0</v>
      </c>
      <c r="AA130" s="31">
        <v>0</v>
      </c>
      <c r="AB130" s="31">
        <v>0</v>
      </c>
      <c r="AC130" s="31">
        <v>0</v>
      </c>
      <c r="AD130" s="31">
        <v>0</v>
      </c>
      <c r="AE130" s="31">
        <v>2.6166666666666668E-2</v>
      </c>
      <c r="AF130" s="31">
        <v>0</v>
      </c>
      <c r="AG130" s="31">
        <v>0</v>
      </c>
      <c r="AH130" s="31">
        <v>2.8333333333333335E-3</v>
      </c>
      <c r="AI130" s="31">
        <v>0</v>
      </c>
      <c r="AJ130" s="31">
        <v>0</v>
      </c>
      <c r="AK130" s="663">
        <v>0</v>
      </c>
      <c r="AL130" s="663">
        <v>0</v>
      </c>
      <c r="AM130" s="31">
        <v>0</v>
      </c>
      <c r="AN130" s="584"/>
      <c r="AO130" s="584"/>
      <c r="AP130" s="663"/>
      <c r="AQ130" s="31"/>
      <c r="AR130" s="31"/>
      <c r="AS130" s="31"/>
      <c r="AT130" s="31"/>
      <c r="AU130" s="31"/>
      <c r="AV130" s="31"/>
      <c r="AW130" s="31"/>
      <c r="AX130" s="31"/>
      <c r="AY130" s="31"/>
      <c r="AZ130" s="31">
        <f t="shared" si="16"/>
        <v>2.6166666666666668E-2</v>
      </c>
      <c r="BA130" s="25" t="str">
        <f t="shared" si="17"/>
        <v>GEMS/Food G06</v>
      </c>
      <c r="BB130" s="25">
        <f t="shared" si="18"/>
        <v>0</v>
      </c>
      <c r="BC130" s="25" t="str">
        <f t="shared" si="19"/>
        <v/>
      </c>
    </row>
    <row r="131" spans="1:55" ht="15" customHeight="1" outlineLevel="3" x14ac:dyDescent="0.2">
      <c r="A131" s="39">
        <v>4</v>
      </c>
      <c r="B131" s="23">
        <v>231990</v>
      </c>
      <c r="C131" s="23" t="s">
        <v>166</v>
      </c>
      <c r="D131" s="22">
        <f>input_values!Z131</f>
        <v>4</v>
      </c>
      <c r="E131" s="657">
        <v>0</v>
      </c>
      <c r="F131" s="31"/>
      <c r="G131" s="31">
        <v>0</v>
      </c>
      <c r="H131" s="31">
        <v>0</v>
      </c>
      <c r="I131" s="31">
        <v>0</v>
      </c>
      <c r="J131" s="31">
        <v>0</v>
      </c>
      <c r="K131" s="31">
        <v>0</v>
      </c>
      <c r="L131" s="31">
        <v>0</v>
      </c>
      <c r="M131" s="31">
        <v>0</v>
      </c>
      <c r="N131" s="31">
        <v>0</v>
      </c>
      <c r="O131" s="31">
        <v>0</v>
      </c>
      <c r="P131" s="31">
        <v>0</v>
      </c>
      <c r="Q131" s="31">
        <v>0</v>
      </c>
      <c r="R131" s="584"/>
      <c r="S131" s="31">
        <v>0</v>
      </c>
      <c r="T131" s="31"/>
      <c r="U131" s="31">
        <v>0</v>
      </c>
      <c r="V131" s="31">
        <v>0</v>
      </c>
      <c r="W131" s="31">
        <v>0</v>
      </c>
      <c r="X131" s="31">
        <v>0</v>
      </c>
      <c r="Y131" s="31">
        <v>0</v>
      </c>
      <c r="Z131" s="31">
        <v>0</v>
      </c>
      <c r="AA131" s="31">
        <v>0</v>
      </c>
      <c r="AB131" s="31">
        <v>0</v>
      </c>
      <c r="AC131" s="31">
        <v>0</v>
      </c>
      <c r="AD131" s="31">
        <v>0</v>
      </c>
      <c r="AE131" s="31"/>
      <c r="AF131" s="31"/>
      <c r="AG131" s="31"/>
      <c r="AH131" s="31"/>
      <c r="AI131" s="31"/>
      <c r="AJ131" s="31"/>
      <c r="AK131" s="663">
        <v>0</v>
      </c>
      <c r="AL131" s="663">
        <v>0</v>
      </c>
      <c r="AM131" s="31">
        <v>0</v>
      </c>
      <c r="AN131" s="584"/>
      <c r="AO131" s="584"/>
      <c r="AP131" s="663"/>
      <c r="AQ131" s="31"/>
      <c r="AR131" s="31"/>
      <c r="AS131" s="31"/>
      <c r="AT131" s="31"/>
      <c r="AU131" s="31"/>
      <c r="AV131" s="31"/>
      <c r="AW131" s="31"/>
      <c r="AX131" s="31"/>
      <c r="AY131" s="31"/>
      <c r="AZ131" s="31">
        <f t="shared" si="16"/>
        <v>0</v>
      </c>
      <c r="BA131" s="25" t="str">
        <f t="shared" si="17"/>
        <v>DE child</v>
      </c>
      <c r="BB131" s="25">
        <f t="shared" si="18"/>
        <v>0</v>
      </c>
      <c r="BC131" s="25" t="str">
        <f t="shared" si="19"/>
        <v/>
      </c>
    </row>
    <row r="132" spans="1:55" ht="15" customHeight="1" outlineLevel="2" x14ac:dyDescent="0.2">
      <c r="A132" s="132">
        <v>3</v>
      </c>
      <c r="B132" s="3">
        <v>232000</v>
      </c>
      <c r="C132" s="3" t="s">
        <v>227</v>
      </c>
      <c r="D132" s="80">
        <f>input_values!Z132</f>
        <v>4</v>
      </c>
      <c r="E132" s="654">
        <f>SUM(E133:E136)</f>
        <v>0.66999999999999993</v>
      </c>
      <c r="F132" s="48">
        <f t="shared" ref="F132:AO132" si="28">SUM(F133:F136)</f>
        <v>1.6368181818181819</v>
      </c>
      <c r="G132" s="48">
        <f t="shared" si="28"/>
        <v>9.5000000000000001E-2</v>
      </c>
      <c r="H132" s="48">
        <f t="shared" si="28"/>
        <v>0.44637743399065549</v>
      </c>
      <c r="I132" s="48">
        <f t="shared" si="28"/>
        <v>0.22693183161966846</v>
      </c>
      <c r="J132" s="48">
        <f t="shared" si="28"/>
        <v>0.28161791133732161</v>
      </c>
      <c r="K132" s="48">
        <f t="shared" si="28"/>
        <v>0.20932468156693101</v>
      </c>
      <c r="L132" s="48">
        <f t="shared" si="28"/>
        <v>0.21200000000000002</v>
      </c>
      <c r="M132" s="48">
        <f t="shared" si="28"/>
        <v>0.30800000000000005</v>
      </c>
      <c r="N132" s="48">
        <f t="shared" si="28"/>
        <v>1.149425287356322E-2</v>
      </c>
      <c r="O132" s="48">
        <f t="shared" si="28"/>
        <v>0.12328767123287672</v>
      </c>
      <c r="P132" s="48">
        <f t="shared" si="28"/>
        <v>0.24470000000000003</v>
      </c>
      <c r="Q132" s="48">
        <f t="shared" si="28"/>
        <v>8.5900000000000004E-2</v>
      </c>
      <c r="R132" s="48">
        <f t="shared" si="28"/>
        <v>0.38496200899999999</v>
      </c>
      <c r="S132" s="48">
        <f t="shared" si="28"/>
        <v>0.1421156860986581</v>
      </c>
      <c r="T132" s="48"/>
      <c r="U132" s="48">
        <f t="shared" si="28"/>
        <v>0.31382978723404253</v>
      </c>
      <c r="V132" s="48">
        <f t="shared" si="28"/>
        <v>0.20417982258307019</v>
      </c>
      <c r="W132" s="48">
        <f t="shared" si="28"/>
        <v>0.41642857142857143</v>
      </c>
      <c r="X132" s="48">
        <f t="shared" si="28"/>
        <v>0.156</v>
      </c>
      <c r="Y132" s="48">
        <f t="shared" si="28"/>
        <v>0.10283439490445861</v>
      </c>
      <c r="Z132" s="48">
        <f t="shared" si="28"/>
        <v>2.6666666666666668E-2</v>
      </c>
      <c r="AA132" s="48">
        <f t="shared" si="28"/>
        <v>0.23333333333333334</v>
      </c>
      <c r="AB132" s="48">
        <f t="shared" si="28"/>
        <v>0.64999999999999991</v>
      </c>
      <c r="AC132" s="48">
        <f t="shared" si="28"/>
        <v>7.2368421052631568E-2</v>
      </c>
      <c r="AD132" s="48">
        <f t="shared" si="28"/>
        <v>0.17541229385307344</v>
      </c>
      <c r="AE132" s="48">
        <f t="shared" si="28"/>
        <v>0.7473333333333334</v>
      </c>
      <c r="AF132" s="48">
        <f t="shared" si="28"/>
        <v>0.11883333333333333</v>
      </c>
      <c r="AG132" s="48">
        <f t="shared" si="28"/>
        <v>0.28199999999999997</v>
      </c>
      <c r="AH132" s="48">
        <f t="shared" si="28"/>
        <v>0.2533333333333333</v>
      </c>
      <c r="AI132" s="48">
        <f t="shared" si="28"/>
        <v>7.3666666666666658E-2</v>
      </c>
      <c r="AJ132" s="48">
        <f t="shared" si="28"/>
        <v>0.22583333333333333</v>
      </c>
      <c r="AK132" s="48">
        <f t="shared" si="28"/>
        <v>0.23509548913678469</v>
      </c>
      <c r="AL132" s="48">
        <f t="shared" si="28"/>
        <v>0.27362411782229645</v>
      </c>
      <c r="AM132" s="48">
        <f t="shared" si="28"/>
        <v>1.2820561999999999E-2</v>
      </c>
      <c r="AN132" s="48">
        <f t="shared" si="28"/>
        <v>1.0476675075999999</v>
      </c>
      <c r="AO132" s="48">
        <f t="shared" si="28"/>
        <v>0.7296917235</v>
      </c>
      <c r="AP132" s="48"/>
      <c r="AQ132" s="48"/>
      <c r="AR132" s="48"/>
      <c r="AS132" s="48"/>
      <c r="AT132" s="48"/>
      <c r="AU132" s="48"/>
      <c r="AV132" s="48"/>
      <c r="AW132" s="48"/>
      <c r="AX132" s="48" t="s">
        <v>369</v>
      </c>
      <c r="AY132" s="48"/>
      <c r="AZ132" s="48">
        <f t="shared" si="16"/>
        <v>1.6368181818181819</v>
      </c>
      <c r="BA132" s="4" t="str">
        <f t="shared" si="17"/>
        <v>DK child</v>
      </c>
      <c r="BB132" s="4">
        <f t="shared" si="18"/>
        <v>1.149425287356322E-2</v>
      </c>
      <c r="BC132" s="4" t="str">
        <f t="shared" si="19"/>
        <v>UK infant</v>
      </c>
    </row>
    <row r="133" spans="1:55" ht="15" customHeight="1" outlineLevel="3" x14ac:dyDescent="0.2">
      <c r="A133" s="39">
        <v>4</v>
      </c>
      <c r="B133" s="23">
        <v>232010</v>
      </c>
      <c r="C133" s="23" t="s">
        <v>211</v>
      </c>
      <c r="D133" s="22">
        <f>input_values!Z133</f>
        <v>4</v>
      </c>
      <c r="E133" s="657">
        <v>0.6</v>
      </c>
      <c r="F133" s="31">
        <v>1.6363636363636365</v>
      </c>
      <c r="G133" s="31">
        <v>3.2399999999999998E-2</v>
      </c>
      <c r="H133" s="31">
        <v>0</v>
      </c>
      <c r="I133" s="31">
        <v>5.9927385606519459E-2</v>
      </c>
      <c r="J133" s="31">
        <v>0.1643916428933227</v>
      </c>
      <c r="K133" s="31">
        <v>2.6916606584955542E-2</v>
      </c>
      <c r="L133" s="31">
        <v>0.111</v>
      </c>
      <c r="M133" s="31">
        <v>0.26800000000000002</v>
      </c>
      <c r="N133" s="31">
        <v>0</v>
      </c>
      <c r="O133" s="31">
        <v>0.10958904109589042</v>
      </c>
      <c r="P133" s="31">
        <v>0.22200000000000003</v>
      </c>
      <c r="Q133" s="31">
        <v>3.1800000000000002E-2</v>
      </c>
      <c r="R133" s="584">
        <v>0.37088691210000002</v>
      </c>
      <c r="S133" s="31">
        <v>5.4927971931111264E-2</v>
      </c>
      <c r="T133" s="31"/>
      <c r="U133" s="31">
        <v>0.10638297872340426</v>
      </c>
      <c r="V133" s="31">
        <v>2.2252292888287475E-2</v>
      </c>
      <c r="W133" s="31">
        <v>0.39185714285714285</v>
      </c>
      <c r="X133" s="31">
        <v>0.121</v>
      </c>
      <c r="Y133" s="31">
        <v>6.9259554140127397E-2</v>
      </c>
      <c r="Z133" s="31">
        <v>2.6666666666666668E-2</v>
      </c>
      <c r="AA133" s="31">
        <v>0.23333333333333334</v>
      </c>
      <c r="AB133" s="31">
        <v>0.31666666666666665</v>
      </c>
      <c r="AC133" s="31">
        <v>6.0526315789473678E-2</v>
      </c>
      <c r="AD133" s="31">
        <v>0.10644677661169415</v>
      </c>
      <c r="AE133" s="31">
        <v>0.58200000000000007</v>
      </c>
      <c r="AF133" s="31">
        <v>0.112</v>
      </c>
      <c r="AG133" s="31">
        <v>0.18383333333333332</v>
      </c>
      <c r="AH133" s="31">
        <v>0.25166666666666665</v>
      </c>
      <c r="AI133" s="31">
        <v>6.7499999999999991E-2</v>
      </c>
      <c r="AJ133" s="31">
        <v>0.17333333333333334</v>
      </c>
      <c r="AK133" s="663">
        <v>0.16046897752626071</v>
      </c>
      <c r="AL133" s="663">
        <v>0.19391795014488517</v>
      </c>
      <c r="AM133" s="31">
        <v>1.23924E-2</v>
      </c>
      <c r="AN133" s="584">
        <v>1.0293978311</v>
      </c>
      <c r="AO133" s="584">
        <v>0.70743714609999997</v>
      </c>
      <c r="AP133" s="663"/>
      <c r="AQ133" s="31"/>
      <c r="AR133" s="31"/>
      <c r="AS133" s="31"/>
      <c r="AT133" s="31"/>
      <c r="AU133" s="31"/>
      <c r="AV133" s="31"/>
      <c r="AW133" s="31"/>
      <c r="AX133" s="31"/>
      <c r="AY133" s="31"/>
      <c r="AZ133" s="31">
        <f t="shared" si="16"/>
        <v>1.6363636363636365</v>
      </c>
      <c r="BA133" s="25" t="str">
        <f t="shared" si="17"/>
        <v>DK child</v>
      </c>
      <c r="BB133" s="25">
        <f t="shared" si="18"/>
        <v>0</v>
      </c>
      <c r="BC133" s="25" t="str">
        <f t="shared" si="19"/>
        <v/>
      </c>
    </row>
    <row r="134" spans="1:55" ht="15" customHeight="1" outlineLevel="3" x14ac:dyDescent="0.2">
      <c r="A134" s="39">
        <v>4</v>
      </c>
      <c r="B134" s="23">
        <v>232020</v>
      </c>
      <c r="C134" s="23" t="s">
        <v>245</v>
      </c>
      <c r="D134" s="22">
        <f>input_values!Z134</f>
        <v>4</v>
      </c>
      <c r="E134" s="657">
        <v>0</v>
      </c>
      <c r="F134" s="31">
        <v>0</v>
      </c>
      <c r="G134" s="31">
        <v>0</v>
      </c>
      <c r="H134" s="31">
        <v>2.5140535593970296E-4</v>
      </c>
      <c r="I134" s="31">
        <v>1.1335121571342045E-2</v>
      </c>
      <c r="J134" s="31">
        <v>1.9369030076547378E-2</v>
      </c>
      <c r="K134" s="31">
        <v>0</v>
      </c>
      <c r="L134" s="31">
        <v>7.0000000000000001E-3</v>
      </c>
      <c r="M134" s="31">
        <v>1.7999999999999999E-2</v>
      </c>
      <c r="N134" s="31">
        <v>0</v>
      </c>
      <c r="O134" s="31">
        <v>0</v>
      </c>
      <c r="P134" s="31">
        <v>1.2000000000000001E-3</v>
      </c>
      <c r="Q134" s="31">
        <v>0</v>
      </c>
      <c r="R134" s="584"/>
      <c r="S134" s="31">
        <v>6.9515541520036141E-3</v>
      </c>
      <c r="T134" s="31"/>
      <c r="U134" s="31">
        <v>3.9893617021276591E-2</v>
      </c>
      <c r="V134" s="31">
        <v>0</v>
      </c>
      <c r="W134" s="31">
        <v>0</v>
      </c>
      <c r="X134" s="31">
        <v>2.1999999999999999E-2</v>
      </c>
      <c r="Y134" s="31">
        <v>0</v>
      </c>
      <c r="Z134" s="31">
        <v>0</v>
      </c>
      <c r="AA134" s="31">
        <v>0</v>
      </c>
      <c r="AB134" s="31">
        <v>0.16666666666666666</v>
      </c>
      <c r="AC134" s="31">
        <v>0</v>
      </c>
      <c r="AD134" s="31">
        <v>0</v>
      </c>
      <c r="AE134" s="31">
        <v>0.126</v>
      </c>
      <c r="AF134" s="31">
        <v>6.8333333333333328E-3</v>
      </c>
      <c r="AG134" s="31">
        <v>9.8166666666666666E-2</v>
      </c>
      <c r="AH134" s="31">
        <v>1.6666666666666668E-3</v>
      </c>
      <c r="AI134" s="31">
        <v>6.1666666666666667E-3</v>
      </c>
      <c r="AJ134" s="31">
        <v>5.2499999999999998E-2</v>
      </c>
      <c r="AK134" s="663">
        <v>5.1379266829068487E-2</v>
      </c>
      <c r="AL134" s="663">
        <v>4.9798814724245181E-2</v>
      </c>
      <c r="AM134" s="31">
        <v>0</v>
      </c>
      <c r="AN134" s="584"/>
      <c r="AO134" s="584"/>
      <c r="AP134" s="663"/>
      <c r="AQ134" s="31"/>
      <c r="AR134" s="31"/>
      <c r="AS134" s="31"/>
      <c r="AT134" s="31"/>
      <c r="AU134" s="31"/>
      <c r="AV134" s="31"/>
      <c r="AW134" s="31"/>
      <c r="AX134" s="31"/>
      <c r="AY134" s="31"/>
      <c r="AZ134" s="31">
        <f t="shared" si="16"/>
        <v>0.16666666666666666</v>
      </c>
      <c r="BA134" s="25" t="str">
        <f t="shared" si="17"/>
        <v>SE general</v>
      </c>
      <c r="BB134" s="25">
        <f t="shared" si="18"/>
        <v>0</v>
      </c>
      <c r="BC134" s="25" t="str">
        <f t="shared" si="19"/>
        <v/>
      </c>
    </row>
    <row r="135" spans="1:55" ht="15" customHeight="1" outlineLevel="3" x14ac:dyDescent="0.2">
      <c r="A135" s="39">
        <v>4</v>
      </c>
      <c r="B135" s="23">
        <v>232030</v>
      </c>
      <c r="C135" s="23" t="s">
        <v>246</v>
      </c>
      <c r="D135" s="22">
        <f>input_values!Z135</f>
        <v>4</v>
      </c>
      <c r="E135" s="657">
        <v>7.0000000000000007E-2</v>
      </c>
      <c r="F135" s="31">
        <v>4.5454545454545455E-4</v>
      </c>
      <c r="G135" s="31">
        <v>6.2600000000000003E-2</v>
      </c>
      <c r="H135" s="31">
        <v>0.44612602863471579</v>
      </c>
      <c r="I135" s="31">
        <v>0.15566932444180695</v>
      </c>
      <c r="J135" s="31">
        <v>9.7857238367451527E-2</v>
      </c>
      <c r="K135" s="31">
        <v>0.18240807498197548</v>
      </c>
      <c r="L135" s="31">
        <v>9.4E-2</v>
      </c>
      <c r="M135" s="31">
        <v>2.1999999999999999E-2</v>
      </c>
      <c r="N135" s="31">
        <v>1.149425287356322E-2</v>
      </c>
      <c r="O135" s="31">
        <v>1.3698630136986302E-2</v>
      </c>
      <c r="P135" s="31">
        <v>2.1500000000000002E-2</v>
      </c>
      <c r="Q135" s="31">
        <v>5.4100000000000002E-2</v>
      </c>
      <c r="R135" s="584">
        <v>1.40750969E-2</v>
      </c>
      <c r="S135" s="31">
        <v>8.023616001554322E-2</v>
      </c>
      <c r="T135" s="31"/>
      <c r="U135" s="31">
        <v>0.16755319148936168</v>
      </c>
      <c r="V135" s="31">
        <v>0.18192752969478271</v>
      </c>
      <c r="W135" s="31">
        <v>2.457142857142857E-2</v>
      </c>
      <c r="X135" s="31">
        <v>1.2999999999999999E-2</v>
      </c>
      <c r="Y135" s="31">
        <v>3.3574840764331211E-2</v>
      </c>
      <c r="Z135" s="31">
        <v>0</v>
      </c>
      <c r="AA135" s="31">
        <v>0</v>
      </c>
      <c r="AB135" s="31">
        <v>0.16666666666666666</v>
      </c>
      <c r="AC135" s="31">
        <v>1.1842105263157895E-2</v>
      </c>
      <c r="AD135" s="31">
        <v>6.8965517241379296E-2</v>
      </c>
      <c r="AE135" s="31">
        <v>3.9333333333333331E-2</v>
      </c>
      <c r="AF135" s="31">
        <v>0</v>
      </c>
      <c r="AG135" s="31">
        <v>0</v>
      </c>
      <c r="AH135" s="31">
        <v>0</v>
      </c>
      <c r="AI135" s="31">
        <v>0</v>
      </c>
      <c r="AJ135" s="31">
        <v>0</v>
      </c>
      <c r="AK135" s="663">
        <v>2.3247244781455494E-2</v>
      </c>
      <c r="AL135" s="663">
        <v>2.9907352953166075E-2</v>
      </c>
      <c r="AM135" s="31">
        <v>4.28162E-4</v>
      </c>
      <c r="AN135" s="584">
        <v>1.8269676499999998E-2</v>
      </c>
      <c r="AO135" s="584">
        <v>2.2254577399999999E-2</v>
      </c>
      <c r="AP135" s="663"/>
      <c r="AQ135" s="31"/>
      <c r="AR135" s="31"/>
      <c r="AS135" s="31"/>
      <c r="AT135" s="31"/>
      <c r="AU135" s="31"/>
      <c r="AV135" s="31"/>
      <c r="AW135" s="31"/>
      <c r="AX135" s="31"/>
      <c r="AY135" s="31"/>
      <c r="AZ135" s="31">
        <f t="shared" si="16"/>
        <v>0.44612602863471579</v>
      </c>
      <c r="BA135" s="25" t="str">
        <f t="shared" si="17"/>
        <v>FR infant</v>
      </c>
      <c r="BB135" s="25">
        <f t="shared" si="18"/>
        <v>0</v>
      </c>
      <c r="BC135" s="25" t="str">
        <f t="shared" si="19"/>
        <v/>
      </c>
    </row>
    <row r="136" spans="1:55" ht="15" customHeight="1" outlineLevel="3" x14ac:dyDescent="0.2">
      <c r="A136" s="39">
        <v>4</v>
      </c>
      <c r="B136" s="23">
        <v>232990</v>
      </c>
      <c r="C136" s="23" t="s">
        <v>167</v>
      </c>
      <c r="D136" s="22">
        <f>input_values!Z136</f>
        <v>4</v>
      </c>
      <c r="E136" s="657">
        <v>0</v>
      </c>
      <c r="F136" s="31"/>
      <c r="G136" s="31">
        <v>0</v>
      </c>
      <c r="H136" s="31">
        <v>0</v>
      </c>
      <c r="I136" s="31">
        <v>0</v>
      </c>
      <c r="J136" s="31">
        <v>0</v>
      </c>
      <c r="K136" s="31">
        <v>0</v>
      </c>
      <c r="L136" s="31">
        <v>0</v>
      </c>
      <c r="M136" s="31">
        <v>0</v>
      </c>
      <c r="N136" s="31">
        <v>0</v>
      </c>
      <c r="O136" s="31">
        <v>0</v>
      </c>
      <c r="P136" s="31">
        <v>0</v>
      </c>
      <c r="Q136" s="31">
        <v>0</v>
      </c>
      <c r="R136" s="584"/>
      <c r="S136" s="31">
        <v>0</v>
      </c>
      <c r="T136" s="31"/>
      <c r="U136" s="31">
        <v>0</v>
      </c>
      <c r="V136" s="31">
        <v>0</v>
      </c>
      <c r="W136" s="31">
        <v>0</v>
      </c>
      <c r="X136" s="31">
        <v>0</v>
      </c>
      <c r="Y136" s="31">
        <v>0</v>
      </c>
      <c r="Z136" s="31">
        <v>0</v>
      </c>
      <c r="AA136" s="31">
        <v>0</v>
      </c>
      <c r="AB136" s="31">
        <v>0</v>
      </c>
      <c r="AC136" s="31">
        <v>0</v>
      </c>
      <c r="AD136" s="31">
        <v>0</v>
      </c>
      <c r="AE136" s="31"/>
      <c r="AF136" s="31"/>
      <c r="AG136" s="31"/>
      <c r="AH136" s="31"/>
      <c r="AI136" s="31"/>
      <c r="AJ136" s="31"/>
      <c r="AK136" s="663">
        <v>0</v>
      </c>
      <c r="AL136" s="663">
        <v>0</v>
      </c>
      <c r="AM136" s="31">
        <v>0</v>
      </c>
      <c r="AN136" s="584"/>
      <c r="AO136" s="584"/>
      <c r="AP136" s="663"/>
      <c r="AQ136" s="31"/>
      <c r="AR136" s="31"/>
      <c r="AS136" s="31"/>
      <c r="AT136" s="31"/>
      <c r="AU136" s="31"/>
      <c r="AV136" s="31"/>
      <c r="AW136" s="31"/>
      <c r="AX136" s="31"/>
      <c r="AY136" s="31"/>
      <c r="AZ136" s="31">
        <f t="shared" si="16"/>
        <v>0</v>
      </c>
      <c r="BA136" s="25" t="str">
        <f t="shared" si="17"/>
        <v>DE child</v>
      </c>
      <c r="BB136" s="25">
        <f t="shared" si="18"/>
        <v>0</v>
      </c>
      <c r="BC136" s="25" t="str">
        <f t="shared" si="19"/>
        <v/>
      </c>
    </row>
    <row r="137" spans="1:55" ht="15" customHeight="1" outlineLevel="2" x14ac:dyDescent="0.2">
      <c r="A137" s="132">
        <v>3</v>
      </c>
      <c r="B137" s="3">
        <v>233000</v>
      </c>
      <c r="C137" s="3" t="s">
        <v>168</v>
      </c>
      <c r="D137" s="80">
        <f>input_values!Z137</f>
        <v>4</v>
      </c>
      <c r="E137" s="654">
        <f>SUM(E138:E141)</f>
        <v>0.23</v>
      </c>
      <c r="F137" s="48">
        <f t="shared" ref="F137:AO137" si="29">SUM(F138:F141)</f>
        <v>0.33681818181818179</v>
      </c>
      <c r="G137" s="48">
        <f t="shared" si="29"/>
        <v>0.32830000000000004</v>
      </c>
      <c r="H137" s="48">
        <f t="shared" si="29"/>
        <v>0.16286842240067786</v>
      </c>
      <c r="I137" s="48">
        <f t="shared" si="29"/>
        <v>1.7840398310426255E-2</v>
      </c>
      <c r="J137" s="48">
        <f t="shared" si="29"/>
        <v>0.39613323938766593</v>
      </c>
      <c r="K137" s="48">
        <f t="shared" si="29"/>
        <v>0.17255467435712568</v>
      </c>
      <c r="L137" s="48">
        <f t="shared" si="29"/>
        <v>7.0999999999999994E-2</v>
      </c>
      <c r="M137" s="48">
        <f t="shared" si="29"/>
        <v>8.3000000000000004E-2</v>
      </c>
      <c r="N137" s="48">
        <f t="shared" si="29"/>
        <v>2.298850574712644E-2</v>
      </c>
      <c r="O137" s="48">
        <f t="shared" si="29"/>
        <v>4.7945205479452052E-2</v>
      </c>
      <c r="P137" s="48">
        <f t="shared" si="29"/>
        <v>0.17819973368841546</v>
      </c>
      <c r="Q137" s="48">
        <f t="shared" si="29"/>
        <v>0.26589999999999997</v>
      </c>
      <c r="R137" s="48">
        <f t="shared" si="29"/>
        <v>1.85272683E-2</v>
      </c>
      <c r="S137" s="48">
        <f t="shared" si="29"/>
        <v>0.16815095176023331</v>
      </c>
      <c r="T137" s="48"/>
      <c r="U137" s="48">
        <f t="shared" si="29"/>
        <v>0.8125</v>
      </c>
      <c r="V137" s="48">
        <f t="shared" si="29"/>
        <v>0.26041196812509398</v>
      </c>
      <c r="W137" s="48">
        <f t="shared" si="29"/>
        <v>1.5285714285714286E-2</v>
      </c>
      <c r="X137" s="48">
        <f t="shared" si="29"/>
        <v>4.9000000000000002E-2</v>
      </c>
      <c r="Y137" s="48">
        <f t="shared" si="29"/>
        <v>2.1447452229299363E-2</v>
      </c>
      <c r="Z137" s="48">
        <f t="shared" si="29"/>
        <v>9.166666666666666E-2</v>
      </c>
      <c r="AA137" s="48">
        <f t="shared" si="29"/>
        <v>0.51666666666666672</v>
      </c>
      <c r="AB137" s="48">
        <f t="shared" si="29"/>
        <v>0.16500000000000001</v>
      </c>
      <c r="AC137" s="48">
        <f t="shared" si="29"/>
        <v>0.05</v>
      </c>
      <c r="AD137" s="48">
        <f t="shared" si="29"/>
        <v>7.3463268365817083E-2</v>
      </c>
      <c r="AE137" s="48">
        <f t="shared" si="29"/>
        <v>1.841</v>
      </c>
      <c r="AF137" s="48">
        <f t="shared" si="29"/>
        <v>0.34466666666666668</v>
      </c>
      <c r="AG137" s="48">
        <f t="shared" si="29"/>
        <v>0.41666666666666669</v>
      </c>
      <c r="AH137" s="48">
        <f t="shared" si="29"/>
        <v>0.57166666666666666</v>
      </c>
      <c r="AI137" s="48">
        <f t="shared" si="29"/>
        <v>0.19216666666666665</v>
      </c>
      <c r="AJ137" s="48">
        <f t="shared" si="29"/>
        <v>0.63783333333333336</v>
      </c>
      <c r="AK137" s="48">
        <f t="shared" si="29"/>
        <v>6.2460503803792283E-2</v>
      </c>
      <c r="AL137" s="48">
        <f t="shared" si="29"/>
        <v>9.6084251206225713E-2</v>
      </c>
      <c r="AM137" s="48">
        <f t="shared" si="29"/>
        <v>1.7099272999999998E-2</v>
      </c>
      <c r="AN137" s="48">
        <f t="shared" si="29"/>
        <v>0.25830203020000003</v>
      </c>
      <c r="AO137" s="48">
        <f t="shared" si="29"/>
        <v>0.26712932300000003</v>
      </c>
      <c r="AP137" s="48"/>
      <c r="AQ137" s="48"/>
      <c r="AR137" s="48"/>
      <c r="AS137" s="48"/>
      <c r="AT137" s="48"/>
      <c r="AU137" s="48"/>
      <c r="AV137" s="48"/>
      <c r="AW137" s="48"/>
      <c r="AX137" s="48" t="s">
        <v>369</v>
      </c>
      <c r="AY137" s="48"/>
      <c r="AZ137" s="48">
        <f t="shared" si="16"/>
        <v>1.841</v>
      </c>
      <c r="BA137" s="4" t="str">
        <f t="shared" si="17"/>
        <v>GEMS/Food G06</v>
      </c>
      <c r="BB137" s="4">
        <f t="shared" si="18"/>
        <v>1.5285714285714286E-2</v>
      </c>
      <c r="BC137" s="4" t="str">
        <f t="shared" si="19"/>
        <v>LT adult</v>
      </c>
    </row>
    <row r="138" spans="1:55" ht="15" customHeight="1" outlineLevel="3" x14ac:dyDescent="0.2">
      <c r="A138" s="39">
        <v>4</v>
      </c>
      <c r="B138" s="23">
        <v>233010</v>
      </c>
      <c r="C138" s="23" t="s">
        <v>247</v>
      </c>
      <c r="D138" s="22">
        <f>input_values!Z138</f>
        <v>4</v>
      </c>
      <c r="E138" s="657">
        <v>0.05</v>
      </c>
      <c r="F138" s="31">
        <v>0.26363636363636361</v>
      </c>
      <c r="G138" s="31">
        <v>0.13880000000000001</v>
      </c>
      <c r="H138" s="31">
        <v>0</v>
      </c>
      <c r="I138" s="31">
        <v>0</v>
      </c>
      <c r="J138" s="31">
        <v>0.34916000501026478</v>
      </c>
      <c r="K138" s="31">
        <v>9.0122566690699346E-2</v>
      </c>
      <c r="L138" s="31">
        <v>6.2E-2</v>
      </c>
      <c r="M138" s="31">
        <v>7.4999999999999997E-2</v>
      </c>
      <c r="N138" s="31">
        <v>2.298850574712644E-2</v>
      </c>
      <c r="O138" s="31">
        <v>4.7945205479452052E-2</v>
      </c>
      <c r="P138" s="31">
        <v>0.13900000000000001</v>
      </c>
      <c r="Q138" s="31">
        <v>0.20599999999999999</v>
      </c>
      <c r="R138" s="584">
        <v>5.5318905999999996E-3</v>
      </c>
      <c r="S138" s="31">
        <v>0.14513739363810019</v>
      </c>
      <c r="T138" s="31"/>
      <c r="U138" s="31">
        <v>0.8125</v>
      </c>
      <c r="V138" s="31">
        <v>0.12870245075928433</v>
      </c>
      <c r="W138" s="31">
        <v>0</v>
      </c>
      <c r="X138" s="31">
        <v>4.2000000000000003E-2</v>
      </c>
      <c r="Y138" s="31">
        <v>4.9203821656050963E-4</v>
      </c>
      <c r="Z138" s="31">
        <v>8.3333333333333329E-2</v>
      </c>
      <c r="AA138" s="31">
        <v>0.05</v>
      </c>
      <c r="AB138" s="31">
        <v>5.5E-2</v>
      </c>
      <c r="AC138" s="31">
        <v>4.736842105263158E-2</v>
      </c>
      <c r="AD138" s="31">
        <v>7.1964017991004492E-2</v>
      </c>
      <c r="AE138" s="31">
        <v>0.48616666666666669</v>
      </c>
      <c r="AF138" s="31">
        <v>0.15333333333333332</v>
      </c>
      <c r="AG138" s="31">
        <v>0.19916666666666666</v>
      </c>
      <c r="AH138" s="31">
        <v>0.14983333333333335</v>
      </c>
      <c r="AI138" s="31">
        <v>0.13100000000000001</v>
      </c>
      <c r="AJ138" s="31">
        <v>8.3000000000000004E-2</v>
      </c>
      <c r="AK138" s="663">
        <v>1.7248194069337204E-2</v>
      </c>
      <c r="AL138" s="663">
        <v>2.4557756388944516E-2</v>
      </c>
      <c r="AM138" s="31">
        <v>1.6879999999999999E-2</v>
      </c>
      <c r="AN138" s="584">
        <v>9.4296802999999998E-3</v>
      </c>
      <c r="AO138" s="584">
        <v>9.2293665000000007E-3</v>
      </c>
      <c r="AP138" s="663"/>
      <c r="AQ138" s="31"/>
      <c r="AR138" s="31"/>
      <c r="AS138" s="31"/>
      <c r="AT138" s="31"/>
      <c r="AU138" s="31"/>
      <c r="AV138" s="31"/>
      <c r="AW138" s="31"/>
      <c r="AX138" s="31"/>
      <c r="AY138" s="31"/>
      <c r="AZ138" s="31">
        <f t="shared" si="16"/>
        <v>0.8125</v>
      </c>
      <c r="BA138" s="25" t="str">
        <f t="shared" si="17"/>
        <v>IE adult</v>
      </c>
      <c r="BB138" s="25">
        <f t="shared" si="18"/>
        <v>0</v>
      </c>
      <c r="BC138" s="25" t="str">
        <f t="shared" si="19"/>
        <v/>
      </c>
    </row>
    <row r="139" spans="1:55" ht="15" customHeight="1" outlineLevel="3" x14ac:dyDescent="0.2">
      <c r="A139" s="39">
        <v>4</v>
      </c>
      <c r="B139" s="23">
        <v>233020</v>
      </c>
      <c r="C139" s="23" t="s">
        <v>248</v>
      </c>
      <c r="D139" s="22">
        <f>input_values!Z139</f>
        <v>4</v>
      </c>
      <c r="E139" s="657">
        <v>0.01</v>
      </c>
      <c r="F139" s="31">
        <v>4.5454545454545455E-4</v>
      </c>
      <c r="G139" s="31">
        <v>0</v>
      </c>
      <c r="H139" s="31">
        <v>0.16286842240067786</v>
      </c>
      <c r="I139" s="31">
        <v>1.7840398310426255E-2</v>
      </c>
      <c r="J139" s="31">
        <v>4.115546511859876E-3</v>
      </c>
      <c r="K139" s="31">
        <v>3.124248978610911E-2</v>
      </c>
      <c r="L139" s="31">
        <v>8.9999999999999993E-3</v>
      </c>
      <c r="M139" s="31">
        <v>2E-3</v>
      </c>
      <c r="N139" s="31">
        <v>0</v>
      </c>
      <c r="O139" s="31">
        <v>0</v>
      </c>
      <c r="P139" s="31">
        <v>0</v>
      </c>
      <c r="Q139" s="31">
        <v>0</v>
      </c>
      <c r="R139" s="584"/>
      <c r="S139" s="31">
        <v>3.7057093022045151E-3</v>
      </c>
      <c r="T139" s="31"/>
      <c r="U139" s="31">
        <v>0</v>
      </c>
      <c r="V139" s="31">
        <v>1.2780033077732671E-2</v>
      </c>
      <c r="W139" s="31">
        <v>0</v>
      </c>
      <c r="X139" s="31">
        <v>2E-3</v>
      </c>
      <c r="Y139" s="31">
        <v>1.3089171974522292E-3</v>
      </c>
      <c r="Z139" s="31">
        <v>0</v>
      </c>
      <c r="AA139" s="31">
        <v>0</v>
      </c>
      <c r="AB139" s="31">
        <v>5.5E-2</v>
      </c>
      <c r="AC139" s="31">
        <v>2.631578947368421E-3</v>
      </c>
      <c r="AD139" s="31">
        <v>1.4992503748125937E-3</v>
      </c>
      <c r="AE139" s="31">
        <v>0.23983333333333334</v>
      </c>
      <c r="AF139" s="31">
        <v>0.11466666666666667</v>
      </c>
      <c r="AG139" s="31">
        <v>5.383333333333333E-2</v>
      </c>
      <c r="AH139" s="31">
        <v>0.20199999999999999</v>
      </c>
      <c r="AI139" s="31">
        <v>2.8000000000000001E-2</v>
      </c>
      <c r="AJ139" s="31">
        <v>7.6499999999999999E-2</v>
      </c>
      <c r="AK139" s="663">
        <v>5.8961312461250246E-3</v>
      </c>
      <c r="AL139" s="663">
        <v>1.7830553817912488E-3</v>
      </c>
      <c r="AM139" s="31">
        <v>2.19273E-4</v>
      </c>
      <c r="AN139" s="584"/>
      <c r="AO139" s="584"/>
      <c r="AP139" s="663"/>
      <c r="AQ139" s="31"/>
      <c r="AR139" s="31"/>
      <c r="AS139" s="31"/>
      <c r="AT139" s="31"/>
      <c r="AU139" s="31"/>
      <c r="AV139" s="31"/>
      <c r="AW139" s="31"/>
      <c r="AX139" s="31"/>
      <c r="AY139" s="31"/>
      <c r="AZ139" s="31">
        <f t="shared" si="16"/>
        <v>0.23983333333333334</v>
      </c>
      <c r="BA139" s="25" t="str">
        <f t="shared" si="17"/>
        <v>GEMS/Food G06</v>
      </c>
      <c r="BB139" s="25">
        <f t="shared" si="18"/>
        <v>0</v>
      </c>
      <c r="BC139" s="25" t="str">
        <f t="shared" si="19"/>
        <v/>
      </c>
    </row>
    <row r="140" spans="1:55" ht="15" customHeight="1" outlineLevel="3" x14ac:dyDescent="0.2">
      <c r="A140" s="39">
        <v>4</v>
      </c>
      <c r="B140" s="23">
        <v>233030</v>
      </c>
      <c r="C140" s="23" t="s">
        <v>249</v>
      </c>
      <c r="D140" s="22">
        <f>input_values!Z140</f>
        <v>4</v>
      </c>
      <c r="E140" s="657">
        <v>0.17</v>
      </c>
      <c r="F140" s="31">
        <v>7.2727272727272738E-2</v>
      </c>
      <c r="G140" s="31">
        <v>0.1895</v>
      </c>
      <c r="H140" s="31">
        <v>0</v>
      </c>
      <c r="I140" s="31">
        <v>0</v>
      </c>
      <c r="J140" s="31">
        <v>4.285768786554129E-2</v>
      </c>
      <c r="K140" s="31">
        <v>5.1189617880317229E-2</v>
      </c>
      <c r="L140" s="31">
        <v>0</v>
      </c>
      <c r="M140" s="31">
        <v>6.0000000000000001E-3</v>
      </c>
      <c r="N140" s="31">
        <v>0</v>
      </c>
      <c r="O140" s="31">
        <v>0</v>
      </c>
      <c r="P140" s="31">
        <v>3.919973368841545E-2</v>
      </c>
      <c r="Q140" s="31">
        <v>5.9900000000000002E-2</v>
      </c>
      <c r="R140" s="584">
        <v>1.29953777E-2</v>
      </c>
      <c r="S140" s="31">
        <v>1.9307848819928617E-2</v>
      </c>
      <c r="T140" s="31"/>
      <c r="U140" s="31">
        <v>0</v>
      </c>
      <c r="V140" s="31">
        <v>0.11892948428807697</v>
      </c>
      <c r="W140" s="31">
        <v>1.5285714285714286E-2</v>
      </c>
      <c r="X140" s="31">
        <v>5.0000000000000001E-3</v>
      </c>
      <c r="Y140" s="31">
        <v>1.9646496815286626E-2</v>
      </c>
      <c r="Z140" s="31">
        <v>8.3333333333333332E-3</v>
      </c>
      <c r="AA140" s="31">
        <v>0.46666666666666667</v>
      </c>
      <c r="AB140" s="31">
        <v>5.5E-2</v>
      </c>
      <c r="AC140" s="31">
        <v>0</v>
      </c>
      <c r="AD140" s="31">
        <v>0</v>
      </c>
      <c r="AE140" s="31">
        <v>1.115</v>
      </c>
      <c r="AF140" s="31">
        <v>7.6666666666666661E-2</v>
      </c>
      <c r="AG140" s="31">
        <v>0.16366666666666668</v>
      </c>
      <c r="AH140" s="31">
        <v>0.21983333333333333</v>
      </c>
      <c r="AI140" s="31">
        <v>3.3166666666666664E-2</v>
      </c>
      <c r="AJ140" s="31">
        <v>0.47833333333333333</v>
      </c>
      <c r="AK140" s="663">
        <v>3.9316178488330057E-2</v>
      </c>
      <c r="AL140" s="663">
        <v>6.9743439435489954E-2</v>
      </c>
      <c r="AM140" s="31">
        <v>0</v>
      </c>
      <c r="AN140" s="584">
        <v>0.24887234990000001</v>
      </c>
      <c r="AO140" s="584">
        <v>0.25789995650000003</v>
      </c>
      <c r="AP140" s="663"/>
      <c r="AQ140" s="31"/>
      <c r="AR140" s="31"/>
      <c r="AS140" s="31"/>
      <c r="AT140" s="31"/>
      <c r="AU140" s="31"/>
      <c r="AV140" s="31"/>
      <c r="AW140" s="31"/>
      <c r="AX140" s="31"/>
      <c r="AY140" s="31"/>
      <c r="AZ140" s="31">
        <f t="shared" ref="AZ140:AZ203" si="30">MAX(E140:AY140)</f>
        <v>1.115</v>
      </c>
      <c r="BA140" s="25" t="str">
        <f t="shared" ref="BA140:BA203" si="31">INDEX($E$11:$AY$11,MATCH(AZ140,E140:AY140,0))</f>
        <v>GEMS/Food G06</v>
      </c>
      <c r="BB140" s="25">
        <f t="shared" ref="BB140:BB203" si="32">MIN(E140:AY140)</f>
        <v>0</v>
      </c>
      <c r="BC140" s="25" t="str">
        <f t="shared" ref="BC140:BC203" si="33">IF(BB140=0,"",INDEX($E$11:$AY$11,MATCH(BB140,E140:AY140,0)))</f>
        <v/>
      </c>
    </row>
    <row r="141" spans="1:55" ht="15" customHeight="1" outlineLevel="3" x14ac:dyDescent="0.2">
      <c r="A141" s="39">
        <v>4</v>
      </c>
      <c r="B141" s="23">
        <v>233990</v>
      </c>
      <c r="C141" s="23" t="s">
        <v>169</v>
      </c>
      <c r="D141" s="22">
        <f>input_values!Z141</f>
        <v>4</v>
      </c>
      <c r="E141" s="657">
        <v>0</v>
      </c>
      <c r="F141" s="31"/>
      <c r="G141" s="31">
        <v>0</v>
      </c>
      <c r="H141" s="31">
        <v>0</v>
      </c>
      <c r="I141" s="31">
        <v>0</v>
      </c>
      <c r="J141" s="31">
        <v>0</v>
      </c>
      <c r="K141" s="31">
        <v>0</v>
      </c>
      <c r="L141" s="31">
        <v>0</v>
      </c>
      <c r="M141" s="31">
        <v>0</v>
      </c>
      <c r="N141" s="31">
        <v>0</v>
      </c>
      <c r="O141" s="31">
        <v>0</v>
      </c>
      <c r="P141" s="31">
        <v>0</v>
      </c>
      <c r="Q141" s="31">
        <v>0</v>
      </c>
      <c r="R141" s="584"/>
      <c r="S141" s="31">
        <v>0</v>
      </c>
      <c r="T141" s="31"/>
      <c r="U141" s="31">
        <v>0</v>
      </c>
      <c r="V141" s="31">
        <v>0</v>
      </c>
      <c r="W141" s="31">
        <v>0</v>
      </c>
      <c r="X141" s="31">
        <v>0</v>
      </c>
      <c r="Y141" s="31">
        <v>0</v>
      </c>
      <c r="Z141" s="31">
        <v>0</v>
      </c>
      <c r="AA141" s="31">
        <v>0</v>
      </c>
      <c r="AB141" s="31">
        <v>0</v>
      </c>
      <c r="AC141" s="31">
        <v>0</v>
      </c>
      <c r="AD141" s="31">
        <v>0</v>
      </c>
      <c r="AE141" s="31"/>
      <c r="AF141" s="31"/>
      <c r="AG141" s="31"/>
      <c r="AH141" s="31"/>
      <c r="AI141" s="31"/>
      <c r="AJ141" s="31"/>
      <c r="AK141" s="663">
        <v>0</v>
      </c>
      <c r="AL141" s="663">
        <v>0</v>
      </c>
      <c r="AM141" s="31">
        <v>0</v>
      </c>
      <c r="AN141" s="584"/>
      <c r="AO141" s="584"/>
      <c r="AP141" s="663"/>
      <c r="AQ141" s="31"/>
      <c r="AR141" s="31"/>
      <c r="AS141" s="31"/>
      <c r="AT141" s="31"/>
      <c r="AU141" s="31"/>
      <c r="AV141" s="31"/>
      <c r="AW141" s="31"/>
      <c r="AX141" s="31"/>
      <c r="AY141" s="31"/>
      <c r="AZ141" s="31">
        <f t="shared" si="30"/>
        <v>0</v>
      </c>
      <c r="BA141" s="25" t="str">
        <f t="shared" si="31"/>
        <v>DE child</v>
      </c>
      <c r="BB141" s="25">
        <f t="shared" si="32"/>
        <v>0</v>
      </c>
      <c r="BC141" s="25" t="str">
        <f t="shared" si="33"/>
        <v/>
      </c>
    </row>
    <row r="142" spans="1:55" ht="15" customHeight="1" outlineLevel="2" x14ac:dyDescent="0.2">
      <c r="A142" s="132">
        <v>3</v>
      </c>
      <c r="B142" s="3">
        <v>234000</v>
      </c>
      <c r="C142" s="3" t="s">
        <v>228</v>
      </c>
      <c r="D142" s="80">
        <f>input_values!Z142</f>
        <v>3</v>
      </c>
      <c r="E142" s="660">
        <v>7.0000000000000007E-2</v>
      </c>
      <c r="F142" s="48">
        <v>5.909090909090909E-2</v>
      </c>
      <c r="G142" s="48">
        <v>0</v>
      </c>
      <c r="H142" s="48">
        <v>1.9667943805874838E-3</v>
      </c>
      <c r="I142" s="48">
        <v>2.5407385377787008E-2</v>
      </c>
      <c r="J142" s="48">
        <v>7.8133387339383797E-2</v>
      </c>
      <c r="K142" s="48">
        <v>2.211006969478491E-2</v>
      </c>
      <c r="L142" s="48">
        <v>7.4999999999999997E-2</v>
      </c>
      <c r="M142" s="48">
        <v>1.4E-2</v>
      </c>
      <c r="N142" s="48">
        <v>2.298850574712644E-2</v>
      </c>
      <c r="O142" s="48">
        <v>5.4794520547945209E-2</v>
      </c>
      <c r="P142" s="48">
        <v>1.3302263648468711E-4</v>
      </c>
      <c r="Q142" s="48">
        <v>0</v>
      </c>
      <c r="R142" s="585">
        <v>1.1905344199999999E-2</v>
      </c>
      <c r="S142" s="48">
        <v>1.4045915261077367E-2</v>
      </c>
      <c r="T142" s="48"/>
      <c r="U142" s="48">
        <v>0.15026595744680851</v>
      </c>
      <c r="V142" s="48">
        <v>1.1276499774470004E-2</v>
      </c>
      <c r="W142" s="48">
        <v>2.8571428571428571E-3</v>
      </c>
      <c r="X142" s="48">
        <v>1.7999999999999999E-2</v>
      </c>
      <c r="Y142" s="48">
        <v>0</v>
      </c>
      <c r="Z142" s="48">
        <v>0</v>
      </c>
      <c r="AA142" s="48">
        <v>0</v>
      </c>
      <c r="AB142" s="48">
        <v>8.3333333333333329E-2</v>
      </c>
      <c r="AC142" s="48">
        <v>3.1578947368421054E-2</v>
      </c>
      <c r="AD142" s="48">
        <v>6.5967016491754127E-2</v>
      </c>
      <c r="AE142" s="48">
        <v>3.6666666666666666E-3</v>
      </c>
      <c r="AF142" s="48">
        <v>0.1905</v>
      </c>
      <c r="AG142" s="48">
        <v>6.183333333333333E-2</v>
      </c>
      <c r="AH142" s="48">
        <v>0.22716666666666668</v>
      </c>
      <c r="AI142" s="48">
        <v>5.1166666666666666E-2</v>
      </c>
      <c r="AJ142" s="48">
        <v>0.14633333333333332</v>
      </c>
      <c r="AK142" s="661">
        <v>1.3367473649822499E-2</v>
      </c>
      <c r="AL142" s="661">
        <v>2.0285021597753732E-2</v>
      </c>
      <c r="AM142" s="48">
        <v>3.6649099999999997E-2</v>
      </c>
      <c r="AN142" s="585">
        <v>5.5148163E-2</v>
      </c>
      <c r="AO142" s="585">
        <v>2.01509211E-2</v>
      </c>
      <c r="AP142" s="661"/>
      <c r="AQ142" s="48"/>
      <c r="AR142" s="48"/>
      <c r="AS142" s="48"/>
      <c r="AT142" s="48"/>
      <c r="AU142" s="48"/>
      <c r="AV142" s="48"/>
      <c r="AW142" s="48"/>
      <c r="AX142" s="48"/>
      <c r="AY142" s="48"/>
      <c r="AZ142" s="48">
        <f t="shared" si="30"/>
        <v>0.22716666666666668</v>
      </c>
      <c r="BA142" s="4" t="str">
        <f t="shared" si="31"/>
        <v>GEMS/Food G10</v>
      </c>
      <c r="BB142" s="4">
        <f t="shared" si="32"/>
        <v>0</v>
      </c>
      <c r="BC142" s="4" t="str">
        <f t="shared" si="33"/>
        <v/>
      </c>
    </row>
    <row r="143" spans="1:55" ht="15" customHeight="1" outlineLevel="2" x14ac:dyDescent="0.2">
      <c r="A143" s="132">
        <v>3</v>
      </c>
      <c r="B143" s="3">
        <v>239000</v>
      </c>
      <c r="C143" s="3" t="s">
        <v>229</v>
      </c>
      <c r="D143" s="80">
        <f>input_values!Z143</f>
        <v>4</v>
      </c>
      <c r="E143" s="660">
        <v>0</v>
      </c>
      <c r="F143" s="48"/>
      <c r="G143" s="48">
        <v>0</v>
      </c>
      <c r="H143" s="48">
        <v>0</v>
      </c>
      <c r="I143" s="48">
        <v>0</v>
      </c>
      <c r="J143" s="48">
        <v>0</v>
      </c>
      <c r="K143" s="48">
        <v>0</v>
      </c>
      <c r="L143" s="48">
        <v>0</v>
      </c>
      <c r="M143" s="48">
        <v>0</v>
      </c>
      <c r="N143" s="48">
        <v>0</v>
      </c>
      <c r="O143" s="48">
        <v>0</v>
      </c>
      <c r="P143" s="48">
        <v>0</v>
      </c>
      <c r="Q143" s="48">
        <v>0</v>
      </c>
      <c r="R143" s="585"/>
      <c r="S143" s="48">
        <v>0</v>
      </c>
      <c r="T143" s="48"/>
      <c r="U143" s="48">
        <v>0</v>
      </c>
      <c r="V143" s="48">
        <v>0</v>
      </c>
      <c r="W143" s="48">
        <v>0</v>
      </c>
      <c r="X143" s="48">
        <v>0</v>
      </c>
      <c r="Y143" s="48">
        <v>0</v>
      </c>
      <c r="Z143" s="48">
        <v>0</v>
      </c>
      <c r="AA143" s="48">
        <v>0</v>
      </c>
      <c r="AB143" s="48">
        <v>0</v>
      </c>
      <c r="AC143" s="48">
        <v>0</v>
      </c>
      <c r="AD143" s="48">
        <v>0</v>
      </c>
      <c r="AE143" s="48"/>
      <c r="AF143" s="48"/>
      <c r="AG143" s="48"/>
      <c r="AH143" s="48"/>
      <c r="AI143" s="48"/>
      <c r="AJ143" s="48"/>
      <c r="AK143" s="661">
        <v>0</v>
      </c>
      <c r="AL143" s="661">
        <v>0</v>
      </c>
      <c r="AM143" s="48">
        <v>0</v>
      </c>
      <c r="AN143" s="585"/>
      <c r="AO143" s="585"/>
      <c r="AP143" s="661"/>
      <c r="AQ143" s="48"/>
      <c r="AR143" s="48"/>
      <c r="AS143" s="48"/>
      <c r="AT143" s="48"/>
      <c r="AU143" s="48"/>
      <c r="AV143" s="48"/>
      <c r="AW143" s="48"/>
      <c r="AX143" s="48"/>
      <c r="AY143" s="48"/>
      <c r="AZ143" s="48">
        <f t="shared" si="30"/>
        <v>0</v>
      </c>
      <c r="BA143" s="4" t="str">
        <f t="shared" si="31"/>
        <v>DE child</v>
      </c>
      <c r="BB143" s="4">
        <f t="shared" si="32"/>
        <v>0</v>
      </c>
      <c r="BC143" s="4" t="str">
        <f t="shared" si="33"/>
        <v/>
      </c>
    </row>
    <row r="144" spans="1:55" ht="15" customHeight="1" outlineLevel="1" x14ac:dyDescent="0.2">
      <c r="A144" s="130">
        <v>2</v>
      </c>
      <c r="B144" s="131">
        <v>240000</v>
      </c>
      <c r="C144" s="131" t="s">
        <v>230</v>
      </c>
      <c r="D144" s="79">
        <f>input_values!Z144</f>
        <v>4</v>
      </c>
      <c r="E144" s="581">
        <f>SUM(E145,E149,E153,E157)</f>
        <v>0.37</v>
      </c>
      <c r="F144" s="92">
        <f>SUM(F145,F149,F153,F157)</f>
        <v>0.16</v>
      </c>
      <c r="G144" s="92">
        <f t="shared" ref="G144:AO144" si="34">SUM(G145,G149,G153,G157)</f>
        <v>0.10009999999999999</v>
      </c>
      <c r="H144" s="92">
        <f t="shared" si="34"/>
        <v>0.4133877424779952</v>
      </c>
      <c r="I144" s="92">
        <f t="shared" si="34"/>
        <v>0.38330235210977354</v>
      </c>
      <c r="J144" s="92">
        <f t="shared" si="34"/>
        <v>0.31533969277495721</v>
      </c>
      <c r="K144" s="92">
        <f t="shared" si="34"/>
        <v>7.5702956020187451E-2</v>
      </c>
      <c r="L144" s="92">
        <f t="shared" si="34"/>
        <v>1.4480000000000002</v>
      </c>
      <c r="M144" s="92">
        <f t="shared" si="34"/>
        <v>0.53100000000000003</v>
      </c>
      <c r="N144" s="92">
        <f t="shared" si="34"/>
        <v>0.55172413793103448</v>
      </c>
      <c r="O144" s="92">
        <f t="shared" si="34"/>
        <v>0.31506849315068497</v>
      </c>
      <c r="P144" s="92">
        <f>SUM(P145,P149,P153,P157)</f>
        <v>0.17459853528628497</v>
      </c>
      <c r="Q144" s="92">
        <f t="shared" si="34"/>
        <v>9.11E-2</v>
      </c>
      <c r="R144" s="92">
        <f t="shared" si="34"/>
        <v>0.1840179163</v>
      </c>
      <c r="S144" s="92">
        <f t="shared" si="34"/>
        <v>0.20360847965911449</v>
      </c>
      <c r="T144" s="92"/>
      <c r="U144" s="92">
        <f t="shared" si="34"/>
        <v>0.89494680851063824</v>
      </c>
      <c r="V144" s="92">
        <f t="shared" si="34"/>
        <v>0.1291535107502631</v>
      </c>
      <c r="W144" s="92">
        <f t="shared" si="34"/>
        <v>0.39857142857142858</v>
      </c>
      <c r="X144" s="92">
        <f t="shared" si="34"/>
        <v>0.56499999999999995</v>
      </c>
      <c r="Y144" s="92">
        <f t="shared" si="34"/>
        <v>0.49017993630573248</v>
      </c>
      <c r="Z144" s="92">
        <f t="shared" si="34"/>
        <v>0.20616666666666664</v>
      </c>
      <c r="AA144" s="92">
        <f t="shared" si="34"/>
        <v>1.4666666666666668</v>
      </c>
      <c r="AB144" s="92">
        <f t="shared" si="34"/>
        <v>1.0999999999999999</v>
      </c>
      <c r="AC144" s="92">
        <f t="shared" si="34"/>
        <v>0.23684210526315791</v>
      </c>
      <c r="AD144" s="92">
        <f t="shared" si="34"/>
        <v>0.32683658170914537</v>
      </c>
      <c r="AE144" s="92">
        <f t="shared" si="34"/>
        <v>0.33066666666666666</v>
      </c>
      <c r="AF144" s="92">
        <f t="shared" si="34"/>
        <v>0.34533333333333338</v>
      </c>
      <c r="AG144" s="92">
        <f t="shared" si="34"/>
        <v>0.66349999999999998</v>
      </c>
      <c r="AH144" s="92">
        <f t="shared" si="34"/>
        <v>0.63216666666666677</v>
      </c>
      <c r="AI144" s="92">
        <f t="shared" si="34"/>
        <v>0.30333333333333329</v>
      </c>
      <c r="AJ144" s="92">
        <f t="shared" si="34"/>
        <v>0.97866666666666657</v>
      </c>
      <c r="AK144" s="92">
        <f>SUM(AK145,AK149,AK153,AK157)</f>
        <v>0.3964221061110379</v>
      </c>
      <c r="AL144" s="92">
        <f>SUM(AL145,AL149,AL153,AL157)</f>
        <v>0.36667025743656789</v>
      </c>
      <c r="AM144" s="92">
        <f t="shared" si="34"/>
        <v>0.11513804999999999</v>
      </c>
      <c r="AN144" s="92">
        <f t="shared" si="34"/>
        <v>0.263463263</v>
      </c>
      <c r="AO144" s="92">
        <f t="shared" si="34"/>
        <v>0.16913443810000001</v>
      </c>
      <c r="AP144" s="92"/>
      <c r="AQ144" s="92"/>
      <c r="AR144" s="92"/>
      <c r="AS144" s="92"/>
      <c r="AT144" s="92"/>
      <c r="AU144" s="92"/>
      <c r="AV144" s="92"/>
      <c r="AW144" s="92"/>
      <c r="AX144" s="92" t="s">
        <v>369</v>
      </c>
      <c r="AY144" s="92"/>
      <c r="AZ144" s="92">
        <f t="shared" si="30"/>
        <v>1.4666666666666668</v>
      </c>
      <c r="BA144" s="42" t="str">
        <f t="shared" si="31"/>
        <v>RO general</v>
      </c>
      <c r="BB144" s="42">
        <f t="shared" si="32"/>
        <v>7.5702956020187451E-2</v>
      </c>
      <c r="BC144" s="42" t="str">
        <f t="shared" si="33"/>
        <v>IT toddler</v>
      </c>
    </row>
    <row r="145" spans="1:55" ht="15" customHeight="1" outlineLevel="2" x14ac:dyDescent="0.2">
      <c r="A145" s="132">
        <v>3</v>
      </c>
      <c r="B145" s="3">
        <v>241000</v>
      </c>
      <c r="C145" s="3" t="s">
        <v>231</v>
      </c>
      <c r="D145" s="80">
        <f>input_values!Z145</f>
        <v>4</v>
      </c>
      <c r="E145" s="654">
        <f>SUM(E146:E148)</f>
        <v>0.24</v>
      </c>
      <c r="F145" s="48">
        <f>SUM(F146:F148)</f>
        <v>7.7272727272727271E-2</v>
      </c>
      <c r="G145" s="48">
        <f t="shared" ref="G145:AO145" si="35">SUM(G146:G148)</f>
        <v>5.0900000000000001E-2</v>
      </c>
      <c r="H145" s="48">
        <f t="shared" si="35"/>
        <v>0.40239240217549965</v>
      </c>
      <c r="I145" s="48">
        <f t="shared" si="35"/>
        <v>0.3507339231633918</v>
      </c>
      <c r="J145" s="48">
        <f t="shared" si="35"/>
        <v>0.25167417437749129</v>
      </c>
      <c r="K145" s="48">
        <f t="shared" si="35"/>
        <v>5.1189617880317229E-2</v>
      </c>
      <c r="L145" s="48">
        <f t="shared" si="35"/>
        <v>1.1970000000000001</v>
      </c>
      <c r="M145" s="48">
        <f t="shared" si="35"/>
        <v>0.26800000000000002</v>
      </c>
      <c r="N145" s="48">
        <f t="shared" si="35"/>
        <v>0.26436781609195403</v>
      </c>
      <c r="O145" s="48">
        <f t="shared" si="35"/>
        <v>0.17123287671232879</v>
      </c>
      <c r="P145" s="48">
        <f>SUM(P146:P148)</f>
        <v>7.1798934753661781E-2</v>
      </c>
      <c r="Q145" s="48">
        <f t="shared" si="35"/>
        <v>5.8900000000000001E-2</v>
      </c>
      <c r="R145" s="48">
        <f t="shared" si="35"/>
        <v>6.20519005E-2</v>
      </c>
      <c r="S145" s="48">
        <f t="shared" si="35"/>
        <v>0.1544984371778001</v>
      </c>
      <c r="T145" s="48"/>
      <c r="U145" s="48">
        <f t="shared" si="35"/>
        <v>0.36968085106382975</v>
      </c>
      <c r="V145" s="48">
        <f t="shared" si="35"/>
        <v>7.1267478574650434E-2</v>
      </c>
      <c r="W145" s="48">
        <f t="shared" si="35"/>
        <v>0</v>
      </c>
      <c r="X145" s="48">
        <f t="shared" si="35"/>
        <v>0.248</v>
      </c>
      <c r="Y145" s="48">
        <f t="shared" si="35"/>
        <v>0.10223248407643312</v>
      </c>
      <c r="Z145" s="48">
        <f t="shared" si="35"/>
        <v>1.95E-2</v>
      </c>
      <c r="AA145" s="48">
        <f t="shared" si="35"/>
        <v>3.3333333333333333E-2</v>
      </c>
      <c r="AB145" s="48">
        <f t="shared" si="35"/>
        <v>0.16666666666666666</v>
      </c>
      <c r="AC145" s="48">
        <f t="shared" si="35"/>
        <v>0.13947368421052631</v>
      </c>
      <c r="AD145" s="48">
        <f t="shared" si="35"/>
        <v>0.20089955022488754</v>
      </c>
      <c r="AE145" s="48">
        <f t="shared" si="35"/>
        <v>5.2000000000000005E-2</v>
      </c>
      <c r="AF145" s="48">
        <f t="shared" si="35"/>
        <v>0.1585</v>
      </c>
      <c r="AG145" s="48">
        <f t="shared" si="35"/>
        <v>0.11283333333333333</v>
      </c>
      <c r="AH145" s="48">
        <f t="shared" si="35"/>
        <v>5.3500000000000006E-2</v>
      </c>
      <c r="AI145" s="48">
        <f t="shared" si="35"/>
        <v>0.156</v>
      </c>
      <c r="AJ145" s="48">
        <f t="shared" si="35"/>
        <v>8.0999999999999989E-2</v>
      </c>
      <c r="AK145" s="48">
        <f>SUM(AK146:AK148)</f>
        <v>0.20136429218303759</v>
      </c>
      <c r="AL145" s="48">
        <f>SUM(AL146:AL148)</f>
        <v>0.21434829679154435</v>
      </c>
      <c r="AM145" s="48">
        <f t="shared" si="35"/>
        <v>8.5939699999999994E-2</v>
      </c>
      <c r="AN145" s="48">
        <f t="shared" si="35"/>
        <v>0.1688207988</v>
      </c>
      <c r="AO145" s="48">
        <f t="shared" si="35"/>
        <v>5.4643542599999997E-2</v>
      </c>
      <c r="AP145" s="48"/>
      <c r="AQ145" s="48"/>
      <c r="AR145" s="48"/>
      <c r="AS145" s="48"/>
      <c r="AT145" s="48"/>
      <c r="AU145" s="48"/>
      <c r="AV145" s="48"/>
      <c r="AW145" s="48"/>
      <c r="AX145" s="48" t="s">
        <v>369</v>
      </c>
      <c r="AY145" s="48"/>
      <c r="AZ145" s="48">
        <f t="shared" si="30"/>
        <v>1.1970000000000001</v>
      </c>
      <c r="BA145" s="4" t="str">
        <f t="shared" si="31"/>
        <v>NL toddler</v>
      </c>
      <c r="BB145" s="4">
        <f t="shared" si="32"/>
        <v>0</v>
      </c>
      <c r="BC145" s="4" t="str">
        <f t="shared" si="33"/>
        <v/>
      </c>
    </row>
    <row r="146" spans="1:55" ht="15" customHeight="1" outlineLevel="3" x14ac:dyDescent="0.2">
      <c r="A146" s="39">
        <v>4</v>
      </c>
      <c r="B146" s="23">
        <v>241010</v>
      </c>
      <c r="C146" s="23" t="s">
        <v>250</v>
      </c>
      <c r="D146" s="22">
        <f>input_values!Z146</f>
        <v>4</v>
      </c>
      <c r="E146" s="657">
        <v>0.12</v>
      </c>
      <c r="F146" s="31">
        <v>4.0909090909090909E-2</v>
      </c>
      <c r="G146" s="31">
        <v>0</v>
      </c>
      <c r="H146" s="31">
        <v>0.13938394757208572</v>
      </c>
      <c r="I146" s="31">
        <v>0.11559941756803385</v>
      </c>
      <c r="J146" s="31">
        <v>4.6982988579058714E-2</v>
      </c>
      <c r="K146" s="31">
        <v>1.1055034847392455E-2</v>
      </c>
      <c r="L146" s="31">
        <v>0.58499999999999996</v>
      </c>
      <c r="M146" s="31">
        <v>0.11700000000000001</v>
      </c>
      <c r="N146" s="31">
        <v>1.149425287356322E-2</v>
      </c>
      <c r="O146" s="31">
        <v>6.164383561643836E-2</v>
      </c>
      <c r="P146" s="31">
        <v>3.4399467376830896E-2</v>
      </c>
      <c r="Q146" s="31">
        <v>0</v>
      </c>
      <c r="R146" s="584">
        <v>2.2010803299999999E-2</v>
      </c>
      <c r="S146" s="31">
        <v>1.8523969586547659E-2</v>
      </c>
      <c r="T146" s="31"/>
      <c r="U146" s="31">
        <v>0.20611702127659573</v>
      </c>
      <c r="V146" s="31">
        <v>2.390617952187641E-2</v>
      </c>
      <c r="W146" s="31">
        <v>0</v>
      </c>
      <c r="X146" s="31">
        <v>5.6000000000000001E-2</v>
      </c>
      <c r="Y146" s="31">
        <v>1.0141719745222931E-2</v>
      </c>
      <c r="Z146" s="31">
        <v>0</v>
      </c>
      <c r="AA146" s="31">
        <v>0</v>
      </c>
      <c r="AB146" s="31">
        <v>8.3333333333333329E-2</v>
      </c>
      <c r="AC146" s="31">
        <v>7.4999999999999997E-2</v>
      </c>
      <c r="AD146" s="31">
        <v>8.6956521739130432E-2</v>
      </c>
      <c r="AE146" s="31">
        <v>1.8166666666666668E-2</v>
      </c>
      <c r="AF146" s="31">
        <v>7.0666666666666669E-2</v>
      </c>
      <c r="AG146" s="31">
        <v>2.9333333333333333E-2</v>
      </c>
      <c r="AH146" s="31">
        <v>8.5000000000000006E-3</v>
      </c>
      <c r="AI146" s="31">
        <v>6.3166666666666663E-2</v>
      </c>
      <c r="AJ146" s="31">
        <v>3.5499999999999997E-2</v>
      </c>
      <c r="AK146" s="663">
        <v>5.4953252551828334E-2</v>
      </c>
      <c r="AL146" s="663">
        <v>6.2413433866637884E-2</v>
      </c>
      <c r="AM146" s="31">
        <v>6.0363399999999998E-2</v>
      </c>
      <c r="AN146" s="584">
        <v>8.6522545100000001E-2</v>
      </c>
      <c r="AO146" s="584">
        <v>2.09741458E-2</v>
      </c>
      <c r="AP146" s="663"/>
      <c r="AQ146" s="31"/>
      <c r="AR146" s="31"/>
      <c r="AS146" s="31"/>
      <c r="AT146" s="31"/>
      <c r="AU146" s="31"/>
      <c r="AV146" s="31"/>
      <c r="AW146" s="31"/>
      <c r="AX146" s="31"/>
      <c r="AY146" s="31"/>
      <c r="AZ146" s="31">
        <f t="shared" si="30"/>
        <v>0.58499999999999996</v>
      </c>
      <c r="BA146" s="25" t="str">
        <f t="shared" si="31"/>
        <v>NL toddler</v>
      </c>
      <c r="BB146" s="25">
        <f t="shared" si="32"/>
        <v>0</v>
      </c>
      <c r="BC146" s="25" t="str">
        <f t="shared" si="33"/>
        <v/>
      </c>
    </row>
    <row r="147" spans="1:55" ht="15" customHeight="1" outlineLevel="3" x14ac:dyDescent="0.2">
      <c r="A147" s="39">
        <v>4</v>
      </c>
      <c r="B147" s="23">
        <v>241020</v>
      </c>
      <c r="C147" s="23" t="s">
        <v>715</v>
      </c>
      <c r="D147" s="22">
        <f>input_values!Z147</f>
        <v>4</v>
      </c>
      <c r="E147" s="657">
        <v>0.12</v>
      </c>
      <c r="F147" s="31">
        <v>3.6363636363636369E-2</v>
      </c>
      <c r="G147" s="31">
        <v>5.0900000000000001E-2</v>
      </c>
      <c r="H147" s="31">
        <v>0.26300845460341393</v>
      </c>
      <c r="I147" s="31">
        <v>0.23513450559535795</v>
      </c>
      <c r="J147" s="31">
        <v>0.20469118579843257</v>
      </c>
      <c r="K147" s="31">
        <v>4.0134583032924775E-2</v>
      </c>
      <c r="L147" s="31">
        <v>0.61199999999999999</v>
      </c>
      <c r="M147" s="31">
        <v>0.151</v>
      </c>
      <c r="N147" s="31">
        <v>0.25287356321839083</v>
      </c>
      <c r="O147" s="31">
        <v>0.10958904109589042</v>
      </c>
      <c r="P147" s="31">
        <v>3.7399467376830892E-2</v>
      </c>
      <c r="Q147" s="31">
        <v>5.8900000000000001E-2</v>
      </c>
      <c r="R147" s="584">
        <v>4.00410972E-2</v>
      </c>
      <c r="S147" s="31">
        <v>0.13597446759125245</v>
      </c>
      <c r="T147" s="31"/>
      <c r="U147" s="31">
        <v>0.16356382978723405</v>
      </c>
      <c r="V147" s="31">
        <v>4.7361299052774017E-2</v>
      </c>
      <c r="W147" s="31">
        <v>0</v>
      </c>
      <c r="X147" s="31">
        <v>0.192</v>
      </c>
      <c r="Y147" s="31">
        <v>9.209076433121019E-2</v>
      </c>
      <c r="Z147" s="31">
        <v>1.95E-2</v>
      </c>
      <c r="AA147" s="31">
        <v>3.3333333333333333E-2</v>
      </c>
      <c r="AB147" s="31">
        <v>8.3333333333333329E-2</v>
      </c>
      <c r="AC147" s="31">
        <v>6.4473684210526322E-2</v>
      </c>
      <c r="AD147" s="31">
        <v>0.11394302848575712</v>
      </c>
      <c r="AE147" s="31">
        <v>3.3833333333333333E-2</v>
      </c>
      <c r="AF147" s="31">
        <v>8.7833333333333333E-2</v>
      </c>
      <c r="AG147" s="31">
        <v>8.3499999999999991E-2</v>
      </c>
      <c r="AH147" s="31">
        <v>4.5000000000000005E-2</v>
      </c>
      <c r="AI147" s="31">
        <v>9.2833333333333337E-2</v>
      </c>
      <c r="AJ147" s="31">
        <v>4.5499999999999999E-2</v>
      </c>
      <c r="AK147" s="663">
        <v>0.14641103963120924</v>
      </c>
      <c r="AL147" s="663">
        <v>0.15193486292490646</v>
      </c>
      <c r="AM147" s="31">
        <v>2.55763E-2</v>
      </c>
      <c r="AN147" s="584">
        <v>8.2298253700000004E-2</v>
      </c>
      <c r="AO147" s="584">
        <v>3.3669396800000001E-2</v>
      </c>
      <c r="AP147" s="663"/>
      <c r="AQ147" s="31"/>
      <c r="AR147" s="31"/>
      <c r="AS147" s="31"/>
      <c r="AT147" s="31"/>
      <c r="AU147" s="31"/>
      <c r="AV147" s="31"/>
      <c r="AW147" s="31"/>
      <c r="AX147" s="31"/>
      <c r="AY147" s="31"/>
      <c r="AZ147" s="31">
        <f t="shared" si="30"/>
        <v>0.61199999999999999</v>
      </c>
      <c r="BA147" s="25" t="str">
        <f t="shared" si="31"/>
        <v>NL toddler</v>
      </c>
      <c r="BB147" s="25">
        <f t="shared" si="32"/>
        <v>0</v>
      </c>
      <c r="BC147" s="25" t="str">
        <f t="shared" si="33"/>
        <v/>
      </c>
    </row>
    <row r="148" spans="1:55" ht="15" customHeight="1" outlineLevel="3" x14ac:dyDescent="0.2">
      <c r="A148" s="39">
        <v>4</v>
      </c>
      <c r="B148" s="23">
        <v>241990</v>
      </c>
      <c r="C148" s="23" t="s">
        <v>170</v>
      </c>
      <c r="D148" s="22">
        <f>input_values!Z148</f>
        <v>4</v>
      </c>
      <c r="E148" s="657">
        <v>0</v>
      </c>
      <c r="F148" s="31"/>
      <c r="G148" s="31">
        <v>0</v>
      </c>
      <c r="H148" s="31">
        <v>0</v>
      </c>
      <c r="I148" s="31">
        <v>0</v>
      </c>
      <c r="J148" s="31">
        <v>0</v>
      </c>
      <c r="K148" s="31">
        <v>0</v>
      </c>
      <c r="L148" s="31">
        <v>0</v>
      </c>
      <c r="M148" s="31">
        <v>0</v>
      </c>
      <c r="N148" s="31">
        <v>0</v>
      </c>
      <c r="O148" s="31">
        <v>0</v>
      </c>
      <c r="P148" s="31">
        <v>0</v>
      </c>
      <c r="Q148" s="31">
        <v>0</v>
      </c>
      <c r="R148" s="584"/>
      <c r="S148" s="31">
        <v>0</v>
      </c>
      <c r="T148" s="31"/>
      <c r="U148" s="31">
        <v>0</v>
      </c>
      <c r="V148" s="31">
        <v>0</v>
      </c>
      <c r="W148" s="31">
        <v>0</v>
      </c>
      <c r="X148" s="31">
        <v>0</v>
      </c>
      <c r="Y148" s="31">
        <v>0</v>
      </c>
      <c r="Z148" s="31">
        <v>0</v>
      </c>
      <c r="AA148" s="31">
        <v>0</v>
      </c>
      <c r="AB148" s="31">
        <v>0</v>
      </c>
      <c r="AC148" s="31">
        <v>0</v>
      </c>
      <c r="AD148" s="31">
        <v>0</v>
      </c>
      <c r="AE148" s="31"/>
      <c r="AF148" s="31"/>
      <c r="AG148" s="31"/>
      <c r="AH148" s="31"/>
      <c r="AI148" s="31"/>
      <c r="AJ148" s="31"/>
      <c r="AK148" s="663">
        <v>0</v>
      </c>
      <c r="AL148" s="663">
        <v>0</v>
      </c>
      <c r="AM148" s="31">
        <v>0</v>
      </c>
      <c r="AN148" s="584"/>
      <c r="AO148" s="584"/>
      <c r="AP148" s="663"/>
      <c r="AQ148" s="31"/>
      <c r="AR148" s="31"/>
      <c r="AS148" s="31"/>
      <c r="AT148" s="31"/>
      <c r="AU148" s="31"/>
      <c r="AV148" s="31"/>
      <c r="AW148" s="31"/>
      <c r="AX148" s="31"/>
      <c r="AY148" s="31"/>
      <c r="AZ148" s="31">
        <f t="shared" si="30"/>
        <v>0</v>
      </c>
      <c r="BA148" s="25" t="str">
        <f t="shared" si="31"/>
        <v>DE child</v>
      </c>
      <c r="BB148" s="25">
        <f t="shared" si="32"/>
        <v>0</v>
      </c>
      <c r="BC148" s="25" t="str">
        <f t="shared" si="33"/>
        <v/>
      </c>
    </row>
    <row r="149" spans="1:55" ht="15" customHeight="1" outlineLevel="2" x14ac:dyDescent="0.2">
      <c r="A149" s="132">
        <v>3</v>
      </c>
      <c r="B149" s="3">
        <v>242000</v>
      </c>
      <c r="C149" s="3" t="s">
        <v>232</v>
      </c>
      <c r="D149" s="80">
        <f>input_values!Z149</f>
        <v>4</v>
      </c>
      <c r="E149" s="654">
        <f>SUM(E150:E152)</f>
        <v>0.11</v>
      </c>
      <c r="F149" s="48">
        <f t="shared" ref="F149:AO149" si="36">SUM(F150:F152)</f>
        <v>7.3181818181818195E-2</v>
      </c>
      <c r="G149" s="48">
        <f t="shared" si="36"/>
        <v>4.9200000000000001E-2</v>
      </c>
      <c r="H149" s="48">
        <f t="shared" si="36"/>
        <v>1.0995340302495573E-2</v>
      </c>
      <c r="I149" s="48">
        <f t="shared" si="36"/>
        <v>1.8290213723284588E-2</v>
      </c>
      <c r="J149" s="48">
        <f t="shared" si="36"/>
        <v>5.698908431461476E-2</v>
      </c>
      <c r="K149" s="48">
        <f t="shared" si="36"/>
        <v>5.0468637346791634E-3</v>
      </c>
      <c r="L149" s="48">
        <f t="shared" si="36"/>
        <v>0.187</v>
      </c>
      <c r="M149" s="48">
        <f t="shared" si="36"/>
        <v>0.19400000000000001</v>
      </c>
      <c r="N149" s="48">
        <f t="shared" si="36"/>
        <v>0.2873563218390805</v>
      </c>
      <c r="O149" s="48">
        <f t="shared" si="36"/>
        <v>0.14383561643835616</v>
      </c>
      <c r="P149" s="48">
        <f t="shared" si="36"/>
        <v>9.7999600532623188E-2</v>
      </c>
      <c r="Q149" s="48">
        <f t="shared" si="36"/>
        <v>3.2199999999999999E-2</v>
      </c>
      <c r="R149" s="48">
        <f t="shared" si="36"/>
        <v>0.1039567585</v>
      </c>
      <c r="S149" s="48">
        <f t="shared" si="36"/>
        <v>4.2402661941252084E-2</v>
      </c>
      <c r="T149" s="48"/>
      <c r="U149" s="48">
        <f t="shared" si="36"/>
        <v>0.33776595744680848</v>
      </c>
      <c r="V149" s="48">
        <f t="shared" si="36"/>
        <v>2.8867839422643211E-2</v>
      </c>
      <c r="W149" s="48">
        <f t="shared" si="36"/>
        <v>0.39857142857142858</v>
      </c>
      <c r="X149" s="48">
        <f t="shared" si="36"/>
        <v>0.24199999999999999</v>
      </c>
      <c r="Y149" s="48">
        <f t="shared" si="36"/>
        <v>0.36774840764331213</v>
      </c>
      <c r="Z149" s="48">
        <f t="shared" si="36"/>
        <v>0</v>
      </c>
      <c r="AA149" s="48">
        <f t="shared" si="36"/>
        <v>1.4333333333333333</v>
      </c>
      <c r="AB149" s="48">
        <f t="shared" si="36"/>
        <v>0.66666666666666663</v>
      </c>
      <c r="AC149" s="48">
        <f t="shared" si="36"/>
        <v>9.6052631578947376E-2</v>
      </c>
      <c r="AD149" s="48">
        <f t="shared" si="36"/>
        <v>0.12143928035982007</v>
      </c>
      <c r="AE149" s="48">
        <f t="shared" si="36"/>
        <v>0.21000000000000002</v>
      </c>
      <c r="AF149" s="48">
        <f t="shared" si="36"/>
        <v>0.18683333333333335</v>
      </c>
      <c r="AG149" s="48">
        <f t="shared" si="36"/>
        <v>0.4965</v>
      </c>
      <c r="AH149" s="48">
        <f t="shared" si="36"/>
        <v>0.42133333333333339</v>
      </c>
      <c r="AI149" s="48">
        <f t="shared" si="36"/>
        <v>0.14566666666666667</v>
      </c>
      <c r="AJ149" s="48">
        <f t="shared" si="36"/>
        <v>0.86749999999999994</v>
      </c>
      <c r="AK149" s="48">
        <f t="shared" si="36"/>
        <v>0.17821502927446209</v>
      </c>
      <c r="AL149" s="48">
        <f t="shared" si="36"/>
        <v>0.14106426892707039</v>
      </c>
      <c r="AM149" s="48">
        <f t="shared" si="36"/>
        <v>2.9198349999999998E-2</v>
      </c>
      <c r="AN149" s="48">
        <f t="shared" si="36"/>
        <v>7.4977485299999994E-2</v>
      </c>
      <c r="AO149" s="48">
        <f t="shared" si="36"/>
        <v>8.322333979999999E-2</v>
      </c>
      <c r="AP149" s="48"/>
      <c r="AQ149" s="48"/>
      <c r="AR149" s="48"/>
      <c r="AS149" s="48"/>
      <c r="AT149" s="48"/>
      <c r="AU149" s="48"/>
      <c r="AV149" s="48"/>
      <c r="AW149" s="48"/>
      <c r="AX149" s="48" t="s">
        <v>369</v>
      </c>
      <c r="AY149" s="48"/>
      <c r="AZ149" s="48">
        <f t="shared" si="30"/>
        <v>1.4333333333333333</v>
      </c>
      <c r="BA149" s="4" t="str">
        <f t="shared" si="31"/>
        <v>RO general</v>
      </c>
      <c r="BB149" s="4">
        <f t="shared" si="32"/>
        <v>0</v>
      </c>
      <c r="BC149" s="4" t="str">
        <f t="shared" si="33"/>
        <v/>
      </c>
    </row>
    <row r="150" spans="1:55" ht="15" customHeight="1" outlineLevel="3" x14ac:dyDescent="0.2">
      <c r="A150" s="39">
        <v>4</v>
      </c>
      <c r="B150" s="23">
        <v>242010</v>
      </c>
      <c r="C150" s="23" t="s">
        <v>86</v>
      </c>
      <c r="D150" s="22">
        <f>input_values!Z150</f>
        <v>4</v>
      </c>
      <c r="E150" s="657">
        <v>0.02</v>
      </c>
      <c r="F150" s="31">
        <v>4.5454545454545455E-4</v>
      </c>
      <c r="G150" s="31">
        <v>0</v>
      </c>
      <c r="H150" s="31">
        <v>1.0995340302495573E-2</v>
      </c>
      <c r="I150" s="31">
        <v>1.3228346456692913E-2</v>
      </c>
      <c r="J150" s="31">
        <v>1.3974407916922256E-2</v>
      </c>
      <c r="K150" s="31">
        <v>0</v>
      </c>
      <c r="L150" s="31">
        <v>4.2000000000000003E-2</v>
      </c>
      <c r="M150" s="31">
        <v>0.05</v>
      </c>
      <c r="N150" s="31">
        <v>0.18390804597701152</v>
      </c>
      <c r="O150" s="31">
        <v>4.7945205479452052E-2</v>
      </c>
      <c r="P150" s="31">
        <v>1.429960053262317E-2</v>
      </c>
      <c r="Q150" s="31">
        <v>0</v>
      </c>
      <c r="R150" s="584">
        <v>1.0712594000000001E-3</v>
      </c>
      <c r="S150" s="31">
        <v>1.0686900626729364E-2</v>
      </c>
      <c r="T150" s="31"/>
      <c r="U150" s="31">
        <v>0.20079787234042551</v>
      </c>
      <c r="V150" s="31">
        <v>3.0070666065253344E-3</v>
      </c>
      <c r="W150" s="31">
        <v>0</v>
      </c>
      <c r="X150" s="31">
        <v>6.3E-2</v>
      </c>
      <c r="Y150" s="31">
        <v>2.8248407643312102E-3</v>
      </c>
      <c r="Z150" s="31">
        <v>0</v>
      </c>
      <c r="AA150" s="31">
        <v>0</v>
      </c>
      <c r="AB150" s="31">
        <v>4.1666666666666664E-2</v>
      </c>
      <c r="AC150" s="31">
        <v>2.368421052631579E-2</v>
      </c>
      <c r="AD150" s="31">
        <v>1.9490254872563718E-2</v>
      </c>
      <c r="AE150" s="31">
        <v>3.9166666666666669E-2</v>
      </c>
      <c r="AF150" s="31">
        <v>3.7333333333333336E-2</v>
      </c>
      <c r="AG150" s="31">
        <v>4.4499999999999998E-2</v>
      </c>
      <c r="AH150" s="31">
        <v>5.3333333333333332E-3</v>
      </c>
      <c r="AI150" s="31">
        <v>6.9833333333333344E-2</v>
      </c>
      <c r="AJ150" s="31">
        <v>4.816666666666667E-2</v>
      </c>
      <c r="AK150" s="663">
        <v>1.6786732988657783E-2</v>
      </c>
      <c r="AL150" s="663">
        <v>1.3037651582404088E-2</v>
      </c>
      <c r="AM150" s="31">
        <v>3.3502499999999999E-3</v>
      </c>
      <c r="AN150" s="584"/>
      <c r="AO150" s="584">
        <v>1.2855089E-3</v>
      </c>
      <c r="AP150" s="663"/>
      <c r="AQ150" s="31"/>
      <c r="AR150" s="31"/>
      <c r="AS150" s="31"/>
      <c r="AT150" s="31"/>
      <c r="AU150" s="31"/>
      <c r="AV150" s="31"/>
      <c r="AW150" s="31"/>
      <c r="AX150" s="31"/>
      <c r="AY150" s="31"/>
      <c r="AZ150" s="31">
        <f t="shared" si="30"/>
        <v>0.20079787234042551</v>
      </c>
      <c r="BA150" s="25" t="str">
        <f t="shared" si="31"/>
        <v>IE adult</v>
      </c>
      <c r="BB150" s="25">
        <f t="shared" si="32"/>
        <v>0</v>
      </c>
      <c r="BC150" s="25" t="str">
        <f t="shared" si="33"/>
        <v/>
      </c>
    </row>
    <row r="151" spans="1:55" ht="15" customHeight="1" outlineLevel="3" x14ac:dyDescent="0.2">
      <c r="A151" s="39">
        <v>4</v>
      </c>
      <c r="B151" s="23">
        <v>242020</v>
      </c>
      <c r="C151" s="23" t="s">
        <v>716</v>
      </c>
      <c r="D151" s="22">
        <f>input_values!Z151</f>
        <v>4</v>
      </c>
      <c r="E151" s="657">
        <v>0.09</v>
      </c>
      <c r="F151" s="31">
        <v>7.2727272727272738E-2</v>
      </c>
      <c r="G151" s="31">
        <v>4.9200000000000001E-2</v>
      </c>
      <c r="H151" s="31">
        <v>0</v>
      </c>
      <c r="I151" s="31">
        <v>5.0618672665916761E-3</v>
      </c>
      <c r="J151" s="31">
        <v>4.3014676397692506E-2</v>
      </c>
      <c r="K151" s="31">
        <v>5.0468637346791634E-3</v>
      </c>
      <c r="L151" s="31">
        <v>0.14499999999999999</v>
      </c>
      <c r="M151" s="31">
        <v>0.14399999999999999</v>
      </c>
      <c r="N151" s="31">
        <v>0.10344827586206898</v>
      </c>
      <c r="O151" s="31">
        <v>9.5890410958904104E-2</v>
      </c>
      <c r="P151" s="31">
        <v>8.3700000000000011E-2</v>
      </c>
      <c r="Q151" s="31">
        <v>3.2199999999999999E-2</v>
      </c>
      <c r="R151" s="584">
        <v>0.1028854991</v>
      </c>
      <c r="S151" s="31">
        <v>3.1715761314522722E-2</v>
      </c>
      <c r="T151" s="31"/>
      <c r="U151" s="31">
        <v>0.13696808510638298</v>
      </c>
      <c r="V151" s="31">
        <v>2.5860772816117875E-2</v>
      </c>
      <c r="W151" s="31">
        <v>0.39857142857142858</v>
      </c>
      <c r="X151" s="31">
        <v>0.17899999999999999</v>
      </c>
      <c r="Y151" s="31">
        <v>0.36492356687898092</v>
      </c>
      <c r="Z151" s="31">
        <v>0</v>
      </c>
      <c r="AA151" s="31">
        <v>1.4333333333333333</v>
      </c>
      <c r="AB151" s="31">
        <v>0.625</v>
      </c>
      <c r="AC151" s="31">
        <v>7.2368421052631582E-2</v>
      </c>
      <c r="AD151" s="31">
        <v>0.10194902548725636</v>
      </c>
      <c r="AE151" s="31">
        <v>0.17083333333333334</v>
      </c>
      <c r="AF151" s="31">
        <v>0.14950000000000002</v>
      </c>
      <c r="AG151" s="31">
        <v>0.45200000000000001</v>
      </c>
      <c r="AH151" s="31">
        <v>0.41600000000000004</v>
      </c>
      <c r="AI151" s="31">
        <v>7.5833333333333336E-2</v>
      </c>
      <c r="AJ151" s="31">
        <v>0.81933333333333325</v>
      </c>
      <c r="AK151" s="663">
        <v>0.1614282962858043</v>
      </c>
      <c r="AL151" s="663">
        <v>0.1280266173446663</v>
      </c>
      <c r="AM151" s="31">
        <v>2.5848099999999999E-2</v>
      </c>
      <c r="AN151" s="584">
        <v>7.4977485299999994E-2</v>
      </c>
      <c r="AO151" s="584">
        <v>8.1937830899999994E-2</v>
      </c>
      <c r="AP151" s="663"/>
      <c r="AQ151" s="31"/>
      <c r="AR151" s="31"/>
      <c r="AS151" s="31"/>
      <c r="AT151" s="31"/>
      <c r="AU151" s="31"/>
      <c r="AV151" s="31"/>
      <c r="AW151" s="31"/>
      <c r="AX151" s="31"/>
      <c r="AY151" s="31"/>
      <c r="AZ151" s="31">
        <f t="shared" si="30"/>
        <v>1.4333333333333333</v>
      </c>
      <c r="BA151" s="25" t="str">
        <f t="shared" si="31"/>
        <v>RO general</v>
      </c>
      <c r="BB151" s="25">
        <f t="shared" si="32"/>
        <v>0</v>
      </c>
      <c r="BC151" s="25" t="str">
        <f t="shared" si="33"/>
        <v/>
      </c>
    </row>
    <row r="152" spans="1:55" ht="15" customHeight="1" outlineLevel="3" x14ac:dyDescent="0.2">
      <c r="A152" s="39">
        <v>4</v>
      </c>
      <c r="B152" s="23">
        <v>242990</v>
      </c>
      <c r="C152" s="23" t="s">
        <v>171</v>
      </c>
      <c r="D152" s="22">
        <f>input_values!Z152</f>
        <v>4</v>
      </c>
      <c r="E152" s="657">
        <v>0</v>
      </c>
      <c r="F152" s="31"/>
      <c r="G152" s="31">
        <v>0</v>
      </c>
      <c r="H152" s="31">
        <v>0</v>
      </c>
      <c r="I152" s="31">
        <v>0</v>
      </c>
      <c r="J152" s="31">
        <v>0</v>
      </c>
      <c r="K152" s="31">
        <v>0</v>
      </c>
      <c r="L152" s="31">
        <v>0</v>
      </c>
      <c r="M152" s="31">
        <v>0</v>
      </c>
      <c r="N152" s="31">
        <v>0</v>
      </c>
      <c r="O152" s="31">
        <v>0</v>
      </c>
      <c r="P152" s="31">
        <v>0</v>
      </c>
      <c r="Q152" s="31">
        <v>0</v>
      </c>
      <c r="R152" s="584"/>
      <c r="S152" s="31">
        <v>0</v>
      </c>
      <c r="T152" s="31"/>
      <c r="U152" s="31">
        <v>0</v>
      </c>
      <c r="V152" s="31">
        <v>0</v>
      </c>
      <c r="W152" s="31">
        <v>0</v>
      </c>
      <c r="X152" s="31">
        <v>0</v>
      </c>
      <c r="Y152" s="31">
        <v>0</v>
      </c>
      <c r="Z152" s="31">
        <v>0</v>
      </c>
      <c r="AA152" s="31">
        <v>0</v>
      </c>
      <c r="AB152" s="31">
        <v>0</v>
      </c>
      <c r="AC152" s="31">
        <v>0</v>
      </c>
      <c r="AD152" s="31">
        <v>0</v>
      </c>
      <c r="AE152" s="31"/>
      <c r="AF152" s="31"/>
      <c r="AG152" s="31"/>
      <c r="AH152" s="31"/>
      <c r="AI152" s="31"/>
      <c r="AJ152" s="31"/>
      <c r="AK152" s="663">
        <v>0</v>
      </c>
      <c r="AL152" s="663">
        <v>0</v>
      </c>
      <c r="AM152" s="31">
        <v>0</v>
      </c>
      <c r="AN152" s="584"/>
      <c r="AO152" s="584"/>
      <c r="AP152" s="663"/>
      <c r="AQ152" s="31"/>
      <c r="AR152" s="31"/>
      <c r="AS152" s="31"/>
      <c r="AT152" s="31"/>
      <c r="AU152" s="31"/>
      <c r="AV152" s="31"/>
      <c r="AW152" s="31"/>
      <c r="AX152" s="31"/>
      <c r="AY152" s="31"/>
      <c r="AZ152" s="31">
        <f t="shared" si="30"/>
        <v>0</v>
      </c>
      <c r="BA152" s="25" t="str">
        <f t="shared" si="31"/>
        <v>DE child</v>
      </c>
      <c r="BB152" s="25">
        <f t="shared" si="32"/>
        <v>0</v>
      </c>
      <c r="BC152" s="25" t="str">
        <f t="shared" si="33"/>
        <v/>
      </c>
    </row>
    <row r="153" spans="1:55" ht="15" customHeight="1" outlineLevel="2" x14ac:dyDescent="0.2">
      <c r="A153" s="132">
        <v>3</v>
      </c>
      <c r="B153" s="3">
        <v>243000</v>
      </c>
      <c r="C153" s="3" t="s">
        <v>233</v>
      </c>
      <c r="D153" s="80">
        <f>input_values!Z153</f>
        <v>4</v>
      </c>
      <c r="E153" s="654">
        <f>SUM(E154:E156)</f>
        <v>0.02</v>
      </c>
      <c r="F153" s="48">
        <f t="shared" ref="F153:AO153" si="37">SUM(F154:F156)</f>
        <v>9.5454545454545462E-3</v>
      </c>
      <c r="G153" s="48">
        <f t="shared" si="37"/>
        <v>0</v>
      </c>
      <c r="H153" s="48">
        <f t="shared" si="37"/>
        <v>0</v>
      </c>
      <c r="I153" s="48">
        <f t="shared" si="37"/>
        <v>1.4278215223097114E-2</v>
      </c>
      <c r="J153" s="48">
        <f t="shared" si="37"/>
        <v>6.6764340828511957E-3</v>
      </c>
      <c r="K153" s="48">
        <f t="shared" si="37"/>
        <v>1.9466474405191062E-2</v>
      </c>
      <c r="L153" s="48">
        <f t="shared" si="37"/>
        <v>6.4000000000000001E-2</v>
      </c>
      <c r="M153" s="48">
        <f t="shared" si="37"/>
        <v>6.8000000000000005E-2</v>
      </c>
      <c r="N153" s="48">
        <f t="shared" si="37"/>
        <v>0</v>
      </c>
      <c r="O153" s="48">
        <f t="shared" si="37"/>
        <v>0</v>
      </c>
      <c r="P153" s="48">
        <f t="shared" si="37"/>
        <v>4.8000000000000004E-3</v>
      </c>
      <c r="Q153" s="48">
        <f t="shared" si="37"/>
        <v>0</v>
      </c>
      <c r="R153" s="48">
        <f t="shared" si="37"/>
        <v>1.8009257300000001E-2</v>
      </c>
      <c r="S153" s="48">
        <f t="shared" si="37"/>
        <v>6.7073805400623045E-3</v>
      </c>
      <c r="T153" s="48"/>
      <c r="U153" s="48">
        <f t="shared" si="37"/>
        <v>0.1875</v>
      </c>
      <c r="V153" s="48">
        <f t="shared" si="37"/>
        <v>2.9018192752969477E-2</v>
      </c>
      <c r="W153" s="48">
        <f t="shared" si="37"/>
        <v>0</v>
      </c>
      <c r="X153" s="48">
        <f t="shared" si="37"/>
        <v>7.2999999999999995E-2</v>
      </c>
      <c r="Y153" s="48">
        <f t="shared" si="37"/>
        <v>1.9813694267515922E-2</v>
      </c>
      <c r="Z153" s="48">
        <f t="shared" si="37"/>
        <v>0.18666666666666665</v>
      </c>
      <c r="AA153" s="48">
        <f t="shared" si="37"/>
        <v>0</v>
      </c>
      <c r="AB153" s="48">
        <f t="shared" si="37"/>
        <v>0.25</v>
      </c>
      <c r="AC153" s="48">
        <f t="shared" si="37"/>
        <v>1.3157894736842105E-3</v>
      </c>
      <c r="AD153" s="48">
        <f t="shared" si="37"/>
        <v>4.4977511244377807E-3</v>
      </c>
      <c r="AE153" s="48">
        <f t="shared" si="37"/>
        <v>6.3166666666666663E-2</v>
      </c>
      <c r="AF153" s="48">
        <f t="shared" si="37"/>
        <v>0</v>
      </c>
      <c r="AG153" s="48">
        <f t="shared" si="37"/>
        <v>0</v>
      </c>
      <c r="AH153" s="48">
        <f t="shared" si="37"/>
        <v>0.15733333333333333</v>
      </c>
      <c r="AI153" s="48">
        <f t="shared" si="37"/>
        <v>0</v>
      </c>
      <c r="AJ153" s="48">
        <f t="shared" si="37"/>
        <v>0</v>
      </c>
      <c r="AK153" s="48">
        <f t="shared" si="37"/>
        <v>1.6842784653538233E-2</v>
      </c>
      <c r="AL153" s="48">
        <f t="shared" si="37"/>
        <v>1.1257691717953168E-2</v>
      </c>
      <c r="AM153" s="48">
        <f t="shared" si="37"/>
        <v>0</v>
      </c>
      <c r="AN153" s="48">
        <f t="shared" si="37"/>
        <v>1.9664978900000001E-2</v>
      </c>
      <c r="AO153" s="48">
        <f t="shared" si="37"/>
        <v>3.1267555699999998E-2</v>
      </c>
      <c r="AP153" s="48"/>
      <c r="AQ153" s="48"/>
      <c r="AR153" s="48"/>
      <c r="AS153" s="48"/>
      <c r="AT153" s="48"/>
      <c r="AU153" s="48"/>
      <c r="AV153" s="48"/>
      <c r="AW153" s="48"/>
      <c r="AX153" s="48" t="s">
        <v>369</v>
      </c>
      <c r="AY153" s="48"/>
      <c r="AZ153" s="48">
        <f t="shared" si="30"/>
        <v>0.25</v>
      </c>
      <c r="BA153" s="4" t="str">
        <f t="shared" si="31"/>
        <v>SE general</v>
      </c>
      <c r="BB153" s="4">
        <f t="shared" si="32"/>
        <v>0</v>
      </c>
      <c r="BC153" s="4" t="str">
        <f t="shared" si="33"/>
        <v/>
      </c>
    </row>
    <row r="154" spans="1:55" ht="15" customHeight="1" outlineLevel="3" x14ac:dyDescent="0.2">
      <c r="A154" s="39">
        <v>4</v>
      </c>
      <c r="B154" s="23">
        <v>243010</v>
      </c>
      <c r="C154" s="23" t="s">
        <v>717</v>
      </c>
      <c r="D154" s="22">
        <f>input_values!Z154</f>
        <v>4</v>
      </c>
      <c r="E154" s="657">
        <v>0.01</v>
      </c>
      <c r="F154" s="31">
        <v>9.0909090909090922E-3</v>
      </c>
      <c r="G154" s="31">
        <v>0</v>
      </c>
      <c r="H154" s="31">
        <v>0</v>
      </c>
      <c r="I154" s="31">
        <v>0</v>
      </c>
      <c r="J154" s="31">
        <v>0</v>
      </c>
      <c r="K154" s="31">
        <v>0</v>
      </c>
      <c r="L154" s="31">
        <v>4.0000000000000001E-3</v>
      </c>
      <c r="M154" s="31">
        <v>5.0000000000000001E-3</v>
      </c>
      <c r="N154" s="31">
        <v>0</v>
      </c>
      <c r="O154" s="31">
        <v>0</v>
      </c>
      <c r="P154" s="31">
        <v>0</v>
      </c>
      <c r="Q154" s="31">
        <v>0</v>
      </c>
      <c r="R154" s="584">
        <v>1.8009257300000001E-2</v>
      </c>
      <c r="S154" s="31">
        <v>0</v>
      </c>
      <c r="T154" s="31"/>
      <c r="U154" s="31">
        <v>0</v>
      </c>
      <c r="V154" s="31">
        <v>0</v>
      </c>
      <c r="W154" s="31">
        <v>0</v>
      </c>
      <c r="X154" s="31">
        <v>1.2E-2</v>
      </c>
      <c r="Y154" s="31">
        <v>1.9813694267515922E-2</v>
      </c>
      <c r="Z154" s="31">
        <v>0</v>
      </c>
      <c r="AA154" s="31">
        <v>0</v>
      </c>
      <c r="AB154" s="31">
        <v>0.2</v>
      </c>
      <c r="AC154" s="31">
        <v>1.3157894736842105E-3</v>
      </c>
      <c r="AD154" s="31">
        <v>4.4977511244377807E-3</v>
      </c>
      <c r="AE154" s="31">
        <v>2.7833333333333331E-2</v>
      </c>
      <c r="AF154" s="31">
        <v>0</v>
      </c>
      <c r="AG154" s="31">
        <v>0</v>
      </c>
      <c r="AH154" s="31">
        <v>0.15733333333333333</v>
      </c>
      <c r="AI154" s="31">
        <v>0</v>
      </c>
      <c r="AJ154" s="31">
        <v>0</v>
      </c>
      <c r="AK154" s="663">
        <v>2.1640443755460087E-3</v>
      </c>
      <c r="AL154" s="663">
        <v>1.8076261159098075E-3</v>
      </c>
      <c r="AM154" s="31">
        <v>0</v>
      </c>
      <c r="AN154" s="584">
        <v>1.9664978900000001E-2</v>
      </c>
      <c r="AO154" s="584">
        <v>3.1267555699999998E-2</v>
      </c>
      <c r="AP154" s="663"/>
      <c r="AQ154" s="31"/>
      <c r="AR154" s="31"/>
      <c r="AS154" s="31"/>
      <c r="AT154" s="31"/>
      <c r="AU154" s="31"/>
      <c r="AV154" s="31"/>
      <c r="AW154" s="31"/>
      <c r="AX154" s="31"/>
      <c r="AY154" s="31"/>
      <c r="AZ154" s="31">
        <f t="shared" si="30"/>
        <v>0.2</v>
      </c>
      <c r="BA154" s="25" t="str">
        <f t="shared" si="31"/>
        <v>SE general</v>
      </c>
      <c r="BB154" s="25">
        <f t="shared" si="32"/>
        <v>0</v>
      </c>
      <c r="BC154" s="25" t="str">
        <f t="shared" si="33"/>
        <v/>
      </c>
    </row>
    <row r="155" spans="1:55" ht="15" customHeight="1" outlineLevel="3" x14ac:dyDescent="0.2">
      <c r="A155" s="39">
        <v>4</v>
      </c>
      <c r="B155" s="23">
        <v>243020</v>
      </c>
      <c r="C155" s="23" t="s">
        <v>718</v>
      </c>
      <c r="D155" s="22">
        <f>input_values!Z155</f>
        <v>4</v>
      </c>
      <c r="E155" s="657">
        <v>0.01</v>
      </c>
      <c r="F155" s="31">
        <v>4.5454545454545455E-4</v>
      </c>
      <c r="G155" s="31">
        <v>0</v>
      </c>
      <c r="H155" s="31">
        <v>0</v>
      </c>
      <c r="I155" s="31">
        <v>1.4278215223097114E-2</v>
      </c>
      <c r="J155" s="31">
        <v>0</v>
      </c>
      <c r="K155" s="31">
        <v>0</v>
      </c>
      <c r="L155" s="31">
        <v>0.06</v>
      </c>
      <c r="M155" s="31">
        <v>6.3E-2</v>
      </c>
      <c r="N155" s="31">
        <v>0</v>
      </c>
      <c r="O155" s="31">
        <v>0</v>
      </c>
      <c r="P155" s="31">
        <v>4.8000000000000004E-3</v>
      </c>
      <c r="Q155" s="31">
        <v>0</v>
      </c>
      <c r="R155" s="584"/>
      <c r="S155" s="31">
        <v>0</v>
      </c>
      <c r="T155" s="31"/>
      <c r="U155" s="31">
        <v>0</v>
      </c>
      <c r="V155" s="31">
        <v>0</v>
      </c>
      <c r="W155" s="31">
        <v>0</v>
      </c>
      <c r="X155" s="31">
        <v>6.0999999999999999E-2</v>
      </c>
      <c r="Y155" s="31">
        <v>0</v>
      </c>
      <c r="Z155" s="31">
        <v>0.18666666666666665</v>
      </c>
      <c r="AA155" s="31">
        <v>0</v>
      </c>
      <c r="AB155" s="31">
        <v>0.05</v>
      </c>
      <c r="AC155" s="31">
        <v>0</v>
      </c>
      <c r="AD155" s="31">
        <v>0</v>
      </c>
      <c r="AE155" s="31">
        <v>3.5333333333333335E-2</v>
      </c>
      <c r="AF155" s="31">
        <v>0</v>
      </c>
      <c r="AG155" s="31">
        <v>0</v>
      </c>
      <c r="AH155" s="31">
        <v>0</v>
      </c>
      <c r="AI155" s="31">
        <v>0</v>
      </c>
      <c r="AJ155" s="31">
        <v>0</v>
      </c>
      <c r="AK155" s="663">
        <v>1.4678740277992226E-2</v>
      </c>
      <c r="AL155" s="663">
        <v>9.4500656020433602E-3</v>
      </c>
      <c r="AM155" s="31">
        <v>0</v>
      </c>
      <c r="AN155" s="584"/>
      <c r="AO155" s="584"/>
      <c r="AP155" s="663"/>
      <c r="AQ155" s="31"/>
      <c r="AR155" s="31"/>
      <c r="AS155" s="31"/>
      <c r="AT155" s="31"/>
      <c r="AU155" s="31"/>
      <c r="AV155" s="31"/>
      <c r="AW155" s="31"/>
      <c r="AX155" s="31"/>
      <c r="AY155" s="31"/>
      <c r="AZ155" s="31">
        <f t="shared" si="30"/>
        <v>0.18666666666666665</v>
      </c>
      <c r="BA155" s="25" t="str">
        <f t="shared" si="31"/>
        <v>PT general</v>
      </c>
      <c r="BB155" s="25">
        <f t="shared" si="32"/>
        <v>0</v>
      </c>
      <c r="BC155" s="25" t="str">
        <f t="shared" si="33"/>
        <v/>
      </c>
    </row>
    <row r="156" spans="1:55" ht="15" customHeight="1" outlineLevel="3" x14ac:dyDescent="0.2">
      <c r="A156" s="39">
        <v>4</v>
      </c>
      <c r="B156" s="23">
        <v>243990</v>
      </c>
      <c r="C156" s="23" t="s">
        <v>172</v>
      </c>
      <c r="D156" s="22">
        <f>input_values!Z156</f>
        <v>4</v>
      </c>
      <c r="E156" s="657">
        <v>0</v>
      </c>
      <c r="F156" s="31"/>
      <c r="G156" s="31">
        <v>0</v>
      </c>
      <c r="H156" s="31">
        <v>0</v>
      </c>
      <c r="I156" s="31">
        <v>0</v>
      </c>
      <c r="J156" s="31">
        <v>6.6764340828511957E-3</v>
      </c>
      <c r="K156" s="31">
        <v>1.9466474405191062E-2</v>
      </c>
      <c r="L156" s="31">
        <v>0</v>
      </c>
      <c r="M156" s="31">
        <v>0</v>
      </c>
      <c r="N156" s="31">
        <v>0</v>
      </c>
      <c r="O156" s="31">
        <v>0</v>
      </c>
      <c r="P156" s="31">
        <v>0</v>
      </c>
      <c r="Q156" s="31">
        <v>0</v>
      </c>
      <c r="R156" s="584"/>
      <c r="S156" s="31">
        <v>6.7073805400623045E-3</v>
      </c>
      <c r="T156" s="31"/>
      <c r="U156" s="31">
        <v>0.1875</v>
      </c>
      <c r="V156" s="31">
        <v>2.9018192752969477E-2</v>
      </c>
      <c r="W156" s="31">
        <v>0</v>
      </c>
      <c r="X156" s="31">
        <v>0</v>
      </c>
      <c r="Y156" s="31">
        <v>0</v>
      </c>
      <c r="Z156" s="31">
        <v>0</v>
      </c>
      <c r="AA156" s="31">
        <v>0</v>
      </c>
      <c r="AB156" s="31">
        <v>0</v>
      </c>
      <c r="AC156" s="31">
        <v>0</v>
      </c>
      <c r="AD156" s="31">
        <v>0</v>
      </c>
      <c r="AE156" s="31"/>
      <c r="AF156" s="31"/>
      <c r="AG156" s="31"/>
      <c r="AH156" s="31"/>
      <c r="AI156" s="31"/>
      <c r="AJ156" s="31"/>
      <c r="AK156" s="663">
        <v>0</v>
      </c>
      <c r="AL156" s="663">
        <v>0</v>
      </c>
      <c r="AM156" s="31">
        <v>0</v>
      </c>
      <c r="AN156" s="584"/>
      <c r="AO156" s="584"/>
      <c r="AP156" s="663"/>
      <c r="AQ156" s="31"/>
      <c r="AR156" s="31"/>
      <c r="AS156" s="31"/>
      <c r="AT156" s="31"/>
      <c r="AU156" s="31"/>
      <c r="AV156" s="31"/>
      <c r="AW156" s="31"/>
      <c r="AX156" s="31"/>
      <c r="AY156" s="31"/>
      <c r="AZ156" s="31">
        <f t="shared" si="30"/>
        <v>0.1875</v>
      </c>
      <c r="BA156" s="25" t="str">
        <f t="shared" si="31"/>
        <v>IE adult</v>
      </c>
      <c r="BB156" s="25">
        <f t="shared" si="32"/>
        <v>0</v>
      </c>
      <c r="BC156" s="25" t="str">
        <f t="shared" si="33"/>
        <v/>
      </c>
    </row>
    <row r="157" spans="1:55" ht="15" customHeight="1" outlineLevel="2" x14ac:dyDescent="0.2">
      <c r="A157" s="132">
        <v>3</v>
      </c>
      <c r="B157" s="3">
        <v>244000</v>
      </c>
      <c r="C157" s="3" t="s">
        <v>719</v>
      </c>
      <c r="D157" s="80">
        <f>input_values!Z157</f>
        <v>3</v>
      </c>
      <c r="E157" s="660">
        <v>0</v>
      </c>
      <c r="F157" s="48">
        <v>0</v>
      </c>
      <c r="G157" s="48">
        <v>0</v>
      </c>
      <c r="H157" s="48">
        <v>0</v>
      </c>
      <c r="I157" s="48">
        <v>0</v>
      </c>
      <c r="J157" s="48">
        <v>0</v>
      </c>
      <c r="K157" s="48">
        <v>0</v>
      </c>
      <c r="L157" s="48">
        <v>0</v>
      </c>
      <c r="M157" s="48">
        <v>1E-3</v>
      </c>
      <c r="N157" s="48">
        <v>0</v>
      </c>
      <c r="O157" s="48">
        <v>0</v>
      </c>
      <c r="P157" s="48">
        <v>0</v>
      </c>
      <c r="Q157" s="48">
        <v>0</v>
      </c>
      <c r="R157" s="585"/>
      <c r="S157" s="48">
        <v>0</v>
      </c>
      <c r="T157" s="48"/>
      <c r="U157" s="48">
        <v>0</v>
      </c>
      <c r="V157" s="48">
        <v>0</v>
      </c>
      <c r="W157" s="48">
        <v>0</v>
      </c>
      <c r="X157" s="48">
        <v>2E-3</v>
      </c>
      <c r="Y157" s="48">
        <v>3.8535031847133759E-4</v>
      </c>
      <c r="Z157" s="48">
        <v>0</v>
      </c>
      <c r="AA157" s="48">
        <v>0</v>
      </c>
      <c r="AB157" s="48">
        <v>1.6666666666666666E-2</v>
      </c>
      <c r="AC157" s="48">
        <v>0</v>
      </c>
      <c r="AD157" s="48">
        <v>0</v>
      </c>
      <c r="AE157" s="48">
        <v>5.5000000000000005E-3</v>
      </c>
      <c r="AF157" s="48">
        <v>0</v>
      </c>
      <c r="AG157" s="48">
        <v>5.4166666666666669E-2</v>
      </c>
      <c r="AH157" s="48">
        <v>0</v>
      </c>
      <c r="AI157" s="48">
        <v>1.6666666666666668E-3</v>
      </c>
      <c r="AJ157" s="48">
        <v>3.0166666666666668E-2</v>
      </c>
      <c r="AK157" s="661">
        <v>0</v>
      </c>
      <c r="AL157" s="661">
        <v>0</v>
      </c>
      <c r="AM157" s="48">
        <v>0</v>
      </c>
      <c r="AN157" s="585"/>
      <c r="AO157" s="585"/>
      <c r="AP157" s="661"/>
      <c r="AQ157" s="48"/>
      <c r="AR157" s="48"/>
      <c r="AS157" s="48"/>
      <c r="AT157" s="48"/>
      <c r="AU157" s="48"/>
      <c r="AV157" s="48"/>
      <c r="AW157" s="48"/>
      <c r="AX157" s="48"/>
      <c r="AY157" s="48"/>
      <c r="AZ157" s="48">
        <f t="shared" si="30"/>
        <v>5.4166666666666669E-2</v>
      </c>
      <c r="BA157" s="4" t="str">
        <f t="shared" si="31"/>
        <v>GEMS/Food G08</v>
      </c>
      <c r="BB157" s="4">
        <f t="shared" si="32"/>
        <v>0</v>
      </c>
      <c r="BC157" s="4" t="str">
        <f t="shared" si="33"/>
        <v/>
      </c>
    </row>
    <row r="158" spans="1:55" ht="15" customHeight="1" outlineLevel="1" x14ac:dyDescent="0.2">
      <c r="A158" s="130">
        <v>2</v>
      </c>
      <c r="B158" s="131">
        <v>250000</v>
      </c>
      <c r="C158" s="131" t="s">
        <v>720</v>
      </c>
      <c r="D158" s="79">
        <f>input_values!Z158</f>
        <v>4</v>
      </c>
      <c r="E158" s="581">
        <f>SUM(E159,E169,E174,E175,E176,E177)</f>
        <v>0.48011600000000004</v>
      </c>
      <c r="F158" s="92">
        <f>SUM(F159,F169,F174,F175,F176,F177)</f>
        <v>0.14227272727272727</v>
      </c>
      <c r="G158" s="92">
        <f t="shared" ref="G158:AO158" si="38">SUM(G159,G169,G174,G175,G176,G177)</f>
        <v>0.58830000000000005</v>
      </c>
      <c r="H158" s="92">
        <f t="shared" si="38"/>
        <v>0.32029725270845366</v>
      </c>
      <c r="I158" s="92">
        <f t="shared" si="38"/>
        <v>0.30002678844208502</v>
      </c>
      <c r="J158" s="92">
        <f t="shared" si="38"/>
        <v>0.31130107283428649</v>
      </c>
      <c r="K158" s="92">
        <f t="shared" si="38"/>
        <v>0.60874789714011057</v>
      </c>
      <c r="L158" s="92">
        <f t="shared" si="38"/>
        <v>1.2449999999999999</v>
      </c>
      <c r="M158" s="92">
        <f t="shared" si="38"/>
        <v>0.48099999999999998</v>
      </c>
      <c r="N158" s="92">
        <f t="shared" si="38"/>
        <v>1.149425287356322E-2</v>
      </c>
      <c r="O158" s="92">
        <f t="shared" si="38"/>
        <v>4.7945205479452052E-2</v>
      </c>
      <c r="P158" s="92">
        <f>SUM(P159,P169,P174,P175,P176,P177)</f>
        <v>0.10410998668442076</v>
      </c>
      <c r="Q158" s="92">
        <f t="shared" si="38"/>
        <v>0.69979999999999998</v>
      </c>
      <c r="R158" s="92">
        <f t="shared" si="38"/>
        <v>0.15555623690000001</v>
      </c>
      <c r="S158" s="92">
        <f t="shared" si="38"/>
        <v>0.32446128935628754</v>
      </c>
      <c r="T158" s="92"/>
      <c r="U158" s="92">
        <f t="shared" si="38"/>
        <v>0.26715425531914894</v>
      </c>
      <c r="V158" s="92">
        <f t="shared" si="38"/>
        <v>0.81235904375281909</v>
      </c>
      <c r="W158" s="92">
        <f t="shared" si="38"/>
        <v>6.3428571428571431E-2</v>
      </c>
      <c r="X158" s="92">
        <f t="shared" si="38"/>
        <v>0.48799999999999999</v>
      </c>
      <c r="Y158" s="92">
        <f t="shared" si="38"/>
        <v>3.3162420382165603E-2</v>
      </c>
      <c r="Z158" s="92">
        <f t="shared" si="38"/>
        <v>0.11</v>
      </c>
      <c r="AA158" s="92">
        <f t="shared" si="38"/>
        <v>0</v>
      </c>
      <c r="AB158" s="92">
        <f t="shared" si="38"/>
        <v>0.53666666666666674</v>
      </c>
      <c r="AC158" s="92">
        <f t="shared" si="38"/>
        <v>0.13815789473684212</v>
      </c>
      <c r="AD158" s="92">
        <f t="shared" si="38"/>
        <v>0.1874062968515742</v>
      </c>
      <c r="AE158" s="92">
        <f t="shared" si="38"/>
        <v>0.28066666666666662</v>
      </c>
      <c r="AF158" s="92">
        <f t="shared" si="38"/>
        <v>0.37816666666666671</v>
      </c>
      <c r="AG158" s="92">
        <f t="shared" si="38"/>
        <v>0.42249999999999993</v>
      </c>
      <c r="AH158" s="92">
        <f t="shared" si="38"/>
        <v>0.54333333333333333</v>
      </c>
      <c r="AI158" s="92">
        <f t="shared" si="38"/>
        <v>0.33316666666666672</v>
      </c>
      <c r="AJ158" s="92">
        <f t="shared" si="38"/>
        <v>0.17066666666666669</v>
      </c>
      <c r="AK158" s="92">
        <f>SUM(AK159,AK169,AK174,AK175,AK176,AK177)</f>
        <v>0.18617484399325532</v>
      </c>
      <c r="AL158" s="92">
        <f>SUM(AL159,AL169,AL174,AL175,AL176,AL177)</f>
        <v>0.21219658686570947</v>
      </c>
      <c r="AM158" s="92">
        <f t="shared" si="38"/>
        <v>1.2602753E-2</v>
      </c>
      <c r="AN158" s="92">
        <f t="shared" si="38"/>
        <v>0.10160773840000001</v>
      </c>
      <c r="AO158" s="92">
        <f t="shared" si="38"/>
        <v>0.1391504627</v>
      </c>
      <c r="AP158" s="92"/>
      <c r="AQ158" s="92"/>
      <c r="AR158" s="92"/>
      <c r="AS158" s="92"/>
      <c r="AT158" s="92"/>
      <c r="AU158" s="92"/>
      <c r="AV158" s="92"/>
      <c r="AW158" s="92"/>
      <c r="AX158" s="92" t="s">
        <v>369</v>
      </c>
      <c r="AY158" s="92"/>
      <c r="AZ158" s="92">
        <f t="shared" si="30"/>
        <v>1.2449999999999999</v>
      </c>
      <c r="BA158" s="42" t="str">
        <f t="shared" si="31"/>
        <v>NL toddler</v>
      </c>
      <c r="BB158" s="42">
        <f t="shared" si="32"/>
        <v>0</v>
      </c>
      <c r="BC158" s="42" t="str">
        <f t="shared" si="33"/>
        <v/>
      </c>
    </row>
    <row r="159" spans="1:55" ht="15" customHeight="1" outlineLevel="2" x14ac:dyDescent="0.2">
      <c r="A159" s="132">
        <v>3</v>
      </c>
      <c r="B159" s="3">
        <v>251000</v>
      </c>
      <c r="C159" s="3" t="s">
        <v>295</v>
      </c>
      <c r="D159" s="80">
        <f>input_values!Z159</f>
        <v>4</v>
      </c>
      <c r="E159" s="654">
        <f>SUM(E160:E168)</f>
        <v>0.11999999999999998</v>
      </c>
      <c r="F159" s="48">
        <f>SUM(F160:F168)</f>
        <v>0.1409090909090909</v>
      </c>
      <c r="G159" s="48">
        <f t="shared" ref="G159:AO159" si="39">SUM(G160:G168)</f>
        <v>0.41739999999999999</v>
      </c>
      <c r="H159" s="48">
        <f t="shared" si="39"/>
        <v>2.3220712875885292E-3</v>
      </c>
      <c r="I159" s="48">
        <f t="shared" si="39"/>
        <v>3.8649697114503619E-2</v>
      </c>
      <c r="J159" s="48">
        <f t="shared" si="39"/>
        <v>0.12225756359025131</v>
      </c>
      <c r="K159" s="48">
        <f t="shared" si="39"/>
        <v>0.41216053833213168</v>
      </c>
      <c r="L159" s="48">
        <f t="shared" si="39"/>
        <v>0.255</v>
      </c>
      <c r="M159" s="48">
        <f t="shared" si="39"/>
        <v>0.16999999999999998</v>
      </c>
      <c r="N159" s="48">
        <f t="shared" si="39"/>
        <v>0</v>
      </c>
      <c r="O159" s="48">
        <f t="shared" si="39"/>
        <v>2.0547945205479451E-2</v>
      </c>
      <c r="P159" s="48">
        <f>SUM(P160:P168)</f>
        <v>9.0449001331557921E-2</v>
      </c>
      <c r="Q159" s="48">
        <f t="shared" si="39"/>
        <v>0.53559999999999997</v>
      </c>
      <c r="R159" s="48">
        <f t="shared" si="39"/>
        <v>0.1413117029</v>
      </c>
      <c r="S159" s="48">
        <f t="shared" si="39"/>
        <v>0.17653587717449939</v>
      </c>
      <c r="T159" s="48"/>
      <c r="U159" s="48">
        <f t="shared" si="39"/>
        <v>8.5106382978723402E-2</v>
      </c>
      <c r="V159" s="48">
        <f t="shared" si="39"/>
        <v>0.55841226883175454</v>
      </c>
      <c r="W159" s="48">
        <f t="shared" si="39"/>
        <v>6.3428571428571431E-2</v>
      </c>
      <c r="X159" s="48">
        <f t="shared" si="39"/>
        <v>0.19400000000000001</v>
      </c>
      <c r="Y159" s="48">
        <f t="shared" si="39"/>
        <v>1.3275477707006369E-2</v>
      </c>
      <c r="Z159" s="48">
        <f t="shared" si="39"/>
        <v>0.105</v>
      </c>
      <c r="AA159" s="48">
        <f t="shared" si="39"/>
        <v>0</v>
      </c>
      <c r="AB159" s="48">
        <f t="shared" si="39"/>
        <v>0.40333333333333332</v>
      </c>
      <c r="AC159" s="48">
        <f t="shared" si="39"/>
        <v>0.11710526315789474</v>
      </c>
      <c r="AD159" s="48">
        <f t="shared" si="39"/>
        <v>0.14242878560719641</v>
      </c>
      <c r="AE159" s="48">
        <f t="shared" si="39"/>
        <v>0.15716666666666665</v>
      </c>
      <c r="AF159" s="48">
        <f t="shared" si="39"/>
        <v>0.27033333333333331</v>
      </c>
      <c r="AG159" s="48">
        <f t="shared" si="39"/>
        <v>0.28283333333333333</v>
      </c>
      <c r="AH159" s="48">
        <f t="shared" si="39"/>
        <v>0.41499999999999998</v>
      </c>
      <c r="AI159" s="48">
        <f t="shared" si="39"/>
        <v>0.21083333333333334</v>
      </c>
      <c r="AJ159" s="48">
        <f t="shared" si="39"/>
        <v>0.11349999999999999</v>
      </c>
      <c r="AK159" s="48">
        <f>SUM(AK160:AK168)</f>
        <v>0.11771962857911555</v>
      </c>
      <c r="AL159" s="48">
        <f>SUM(AL160:AL168)</f>
        <v>0.13964864568075858</v>
      </c>
      <c r="AM159" s="48">
        <f t="shared" si="39"/>
        <v>7.1362200000000004E-3</v>
      </c>
      <c r="AN159" s="48">
        <f t="shared" si="39"/>
        <v>3.5996917699999999E-2</v>
      </c>
      <c r="AO159" s="48">
        <f t="shared" si="39"/>
        <v>8.3112288399999998E-2</v>
      </c>
      <c r="AP159" s="48"/>
      <c r="AQ159" s="48"/>
      <c r="AR159" s="48"/>
      <c r="AS159" s="48"/>
      <c r="AT159" s="48"/>
      <c r="AU159" s="48"/>
      <c r="AV159" s="48"/>
      <c r="AW159" s="48"/>
      <c r="AX159" s="48" t="s">
        <v>369</v>
      </c>
      <c r="AY159" s="48"/>
      <c r="AZ159" s="48">
        <f t="shared" si="30"/>
        <v>0.55841226883175454</v>
      </c>
      <c r="BA159" s="4" t="str">
        <f t="shared" si="31"/>
        <v>IT adult</v>
      </c>
      <c r="BB159" s="4">
        <f t="shared" si="32"/>
        <v>0</v>
      </c>
      <c r="BC159" s="4" t="str">
        <f t="shared" si="33"/>
        <v/>
      </c>
    </row>
    <row r="160" spans="1:55" ht="15" customHeight="1" outlineLevel="3" x14ac:dyDescent="0.2">
      <c r="A160" s="39">
        <v>4</v>
      </c>
      <c r="B160" s="23">
        <v>251010</v>
      </c>
      <c r="C160" s="23" t="s">
        <v>721</v>
      </c>
      <c r="D160" s="22">
        <f>input_values!Z160</f>
        <v>4</v>
      </c>
      <c r="E160" s="657">
        <v>0.01</v>
      </c>
      <c r="F160" s="31">
        <v>0</v>
      </c>
      <c r="G160" s="31">
        <v>0</v>
      </c>
      <c r="H160" s="31">
        <v>0</v>
      </c>
      <c r="I160" s="31">
        <v>1.0157836605265971E-2</v>
      </c>
      <c r="J160" s="31">
        <v>6.8206557893341693E-3</v>
      </c>
      <c r="K160" s="31">
        <v>1.4419610670511895E-3</v>
      </c>
      <c r="L160" s="31">
        <v>0</v>
      </c>
      <c r="M160" s="31">
        <v>1E-3</v>
      </c>
      <c r="N160" s="31">
        <v>0</v>
      </c>
      <c r="O160" s="31">
        <v>0</v>
      </c>
      <c r="P160" s="31">
        <v>0</v>
      </c>
      <c r="Q160" s="31">
        <v>0</v>
      </c>
      <c r="R160" s="584"/>
      <c r="S160" s="31">
        <v>1.8871077863566458E-2</v>
      </c>
      <c r="T160" s="31"/>
      <c r="U160" s="31">
        <v>0</v>
      </c>
      <c r="V160" s="31">
        <v>3.0070666065253344E-3</v>
      </c>
      <c r="W160" s="31">
        <v>0</v>
      </c>
      <c r="X160" s="31">
        <v>2E-3</v>
      </c>
      <c r="Y160" s="31">
        <v>0</v>
      </c>
      <c r="Z160" s="31">
        <v>0</v>
      </c>
      <c r="AA160" s="31">
        <v>0</v>
      </c>
      <c r="AB160" s="31">
        <v>0</v>
      </c>
      <c r="AC160" s="31">
        <v>0</v>
      </c>
      <c r="AD160" s="31">
        <v>0</v>
      </c>
      <c r="AE160" s="31">
        <v>1.3666666666666666E-2</v>
      </c>
      <c r="AF160" s="31">
        <v>2.35E-2</v>
      </c>
      <c r="AG160" s="31">
        <v>7.1333333333333332E-2</v>
      </c>
      <c r="AH160" s="31">
        <v>1.6666666666666668E-3</v>
      </c>
      <c r="AI160" s="31">
        <v>8.5166666666666668E-2</v>
      </c>
      <c r="AJ160" s="31">
        <v>0</v>
      </c>
      <c r="AK160" s="663">
        <v>1.8242061233024003E-2</v>
      </c>
      <c r="AL160" s="663">
        <v>2.0805433970919308E-2</v>
      </c>
      <c r="AM160" s="31">
        <v>0</v>
      </c>
      <c r="AN160" s="584"/>
      <c r="AO160" s="584"/>
      <c r="AP160" s="663"/>
      <c r="AQ160" s="31"/>
      <c r="AR160" s="31"/>
      <c r="AS160" s="31"/>
      <c r="AT160" s="31"/>
      <c r="AU160" s="31"/>
      <c r="AV160" s="31"/>
      <c r="AW160" s="31"/>
      <c r="AX160" s="31"/>
      <c r="AY160" s="31"/>
      <c r="AZ160" s="31">
        <f t="shared" si="30"/>
        <v>8.5166666666666668E-2</v>
      </c>
      <c r="BA160" s="25" t="str">
        <f t="shared" si="31"/>
        <v>GEMS/Food G11</v>
      </c>
      <c r="BB160" s="25">
        <f t="shared" si="32"/>
        <v>0</v>
      </c>
      <c r="BC160" s="25" t="str">
        <f t="shared" si="33"/>
        <v/>
      </c>
    </row>
    <row r="161" spans="1:55" ht="15" customHeight="1" outlineLevel="3" x14ac:dyDescent="0.2">
      <c r="A161" s="39">
        <v>4</v>
      </c>
      <c r="B161" s="23">
        <v>251020</v>
      </c>
      <c r="C161" s="23" t="s">
        <v>722</v>
      </c>
      <c r="D161" s="22">
        <f>input_values!Z161</f>
        <v>4</v>
      </c>
      <c r="E161" s="657">
        <v>0.08</v>
      </c>
      <c r="F161" s="31">
        <v>0.1409090909090909</v>
      </c>
      <c r="G161" s="31">
        <v>0.41739999999999999</v>
      </c>
      <c r="H161" s="31">
        <v>0</v>
      </c>
      <c r="I161" s="31">
        <v>4.9493813273340835E-4</v>
      </c>
      <c r="J161" s="31">
        <v>6.3055103001263052E-3</v>
      </c>
      <c r="K161" s="31">
        <v>0.29079548185532322</v>
      </c>
      <c r="L161" s="31">
        <v>1.0999999999999999E-2</v>
      </c>
      <c r="M161" s="31">
        <v>7.2999999999999995E-2</v>
      </c>
      <c r="N161" s="31">
        <v>0</v>
      </c>
      <c r="O161" s="31">
        <v>2.0547945205479451E-2</v>
      </c>
      <c r="P161" s="31">
        <v>9.031597869507324E-2</v>
      </c>
      <c r="Q161" s="31">
        <v>0.53559999999999997</v>
      </c>
      <c r="R161" s="584">
        <v>0.1413117029</v>
      </c>
      <c r="S161" s="31">
        <v>8.2190776040434177E-3</v>
      </c>
      <c r="T161" s="31"/>
      <c r="U161" s="31">
        <v>8.5106382978723402E-2</v>
      </c>
      <c r="V161" s="31">
        <v>0.3773868591189295</v>
      </c>
      <c r="W161" s="31">
        <v>6.3428571428571431E-2</v>
      </c>
      <c r="X161" s="31">
        <v>9.2999999999999999E-2</v>
      </c>
      <c r="Y161" s="31">
        <v>1.3275477707006369E-2</v>
      </c>
      <c r="Z161" s="31">
        <v>0.105</v>
      </c>
      <c r="AA161" s="31">
        <v>0</v>
      </c>
      <c r="AB161" s="31">
        <v>0.40333333333333332</v>
      </c>
      <c r="AC161" s="31">
        <v>0.11710526315789474</v>
      </c>
      <c r="AD161" s="31">
        <v>0.1409295352323838</v>
      </c>
      <c r="AE161" s="31">
        <v>0.10083333333333333</v>
      </c>
      <c r="AF161" s="31">
        <v>0.24166666666666667</v>
      </c>
      <c r="AG161" s="31">
        <v>0.19600000000000001</v>
      </c>
      <c r="AH161" s="31">
        <v>0.32500000000000001</v>
      </c>
      <c r="AI161" s="31">
        <v>8.0166666666666664E-2</v>
      </c>
      <c r="AJ161" s="31">
        <v>0.11183333333333333</v>
      </c>
      <c r="AK161" s="663">
        <v>9.6366594336677047E-2</v>
      </c>
      <c r="AL161" s="663">
        <v>0.11599847617314291</v>
      </c>
      <c r="AM161" s="31">
        <v>7.1362200000000004E-3</v>
      </c>
      <c r="AN161" s="584">
        <v>3.5996917699999999E-2</v>
      </c>
      <c r="AO161" s="584">
        <v>8.3112288399999998E-2</v>
      </c>
      <c r="AP161" s="663"/>
      <c r="AQ161" s="31"/>
      <c r="AR161" s="31"/>
      <c r="AS161" s="31"/>
      <c r="AT161" s="31"/>
      <c r="AU161" s="31"/>
      <c r="AV161" s="31"/>
      <c r="AW161" s="31"/>
      <c r="AX161" s="31"/>
      <c r="AY161" s="31"/>
      <c r="AZ161" s="31">
        <f t="shared" si="30"/>
        <v>0.53559999999999997</v>
      </c>
      <c r="BA161" s="25" t="str">
        <f t="shared" si="31"/>
        <v>ES adult</v>
      </c>
      <c r="BB161" s="25">
        <f t="shared" si="32"/>
        <v>0</v>
      </c>
      <c r="BC161" s="25" t="str">
        <f t="shared" si="33"/>
        <v/>
      </c>
    </row>
    <row r="162" spans="1:55" ht="15" customHeight="1" outlineLevel="3" x14ac:dyDescent="0.2">
      <c r="A162" s="39">
        <v>4</v>
      </c>
      <c r="B162" s="23">
        <v>251030</v>
      </c>
      <c r="C162" s="23" t="s">
        <v>723</v>
      </c>
      <c r="D162" s="22">
        <f>input_values!Z162</f>
        <v>4</v>
      </c>
      <c r="E162" s="657">
        <v>0.01</v>
      </c>
      <c r="F162" s="31">
        <v>0</v>
      </c>
      <c r="G162" s="31">
        <v>0</v>
      </c>
      <c r="H162" s="31">
        <v>0</v>
      </c>
      <c r="I162" s="31">
        <v>0</v>
      </c>
      <c r="J162" s="31">
        <v>0</v>
      </c>
      <c r="K162" s="31">
        <v>9.6130737803412653E-3</v>
      </c>
      <c r="L162" s="31">
        <v>0.24399999999999999</v>
      </c>
      <c r="M162" s="31">
        <v>9.6000000000000002E-2</v>
      </c>
      <c r="N162" s="31">
        <v>0</v>
      </c>
      <c r="O162" s="31">
        <v>0</v>
      </c>
      <c r="P162" s="31">
        <v>0</v>
      </c>
      <c r="Q162" s="31">
        <v>0</v>
      </c>
      <c r="R162" s="584"/>
      <c r="S162" s="31">
        <v>0</v>
      </c>
      <c r="T162" s="31"/>
      <c r="U162" s="31">
        <v>0</v>
      </c>
      <c r="V162" s="31">
        <v>2.014734626371974E-2</v>
      </c>
      <c r="W162" s="31">
        <v>0</v>
      </c>
      <c r="X162" s="31">
        <v>9.9000000000000005E-2</v>
      </c>
      <c r="Y162" s="31">
        <v>0</v>
      </c>
      <c r="Z162" s="31">
        <v>0</v>
      </c>
      <c r="AA162" s="31">
        <v>0</v>
      </c>
      <c r="AB162" s="31">
        <v>0</v>
      </c>
      <c r="AC162" s="31">
        <v>0</v>
      </c>
      <c r="AD162" s="31">
        <v>0</v>
      </c>
      <c r="AE162" s="31">
        <v>6.5000000000000006E-3</v>
      </c>
      <c r="AF162" s="31">
        <v>3.5000000000000001E-3</v>
      </c>
      <c r="AG162" s="31">
        <v>1.5500000000000002E-2</v>
      </c>
      <c r="AH162" s="31">
        <v>5.0000000000000001E-3</v>
      </c>
      <c r="AI162" s="31">
        <v>3.5666666666666666E-2</v>
      </c>
      <c r="AJ162" s="31">
        <v>1.6666666666666668E-3</v>
      </c>
      <c r="AK162" s="663">
        <v>3.110973009414496E-3</v>
      </c>
      <c r="AL162" s="663">
        <v>2.8447355366963676E-3</v>
      </c>
      <c r="AM162" s="31">
        <v>0</v>
      </c>
      <c r="AN162" s="584"/>
      <c r="AO162" s="584"/>
      <c r="AP162" s="663"/>
      <c r="AQ162" s="31"/>
      <c r="AR162" s="31"/>
      <c r="AS162" s="31"/>
      <c r="AT162" s="31"/>
      <c r="AU162" s="31"/>
      <c r="AV162" s="31"/>
      <c r="AW162" s="31"/>
      <c r="AX162" s="31"/>
      <c r="AY162" s="31"/>
      <c r="AZ162" s="31">
        <f t="shared" si="30"/>
        <v>0.24399999999999999</v>
      </c>
      <c r="BA162" s="25" t="str">
        <f t="shared" si="31"/>
        <v>NL toddler</v>
      </c>
      <c r="BB162" s="25">
        <f t="shared" si="32"/>
        <v>0</v>
      </c>
      <c r="BC162" s="25" t="str">
        <f t="shared" si="33"/>
        <v/>
      </c>
    </row>
    <row r="163" spans="1:55" ht="15" customHeight="1" outlineLevel="3" x14ac:dyDescent="0.2">
      <c r="A163" s="39">
        <v>4</v>
      </c>
      <c r="B163" s="26">
        <v>251040</v>
      </c>
      <c r="C163" s="23" t="s">
        <v>724</v>
      </c>
      <c r="D163" s="22">
        <f>input_values!Z163</f>
        <v>4</v>
      </c>
      <c r="E163" s="657">
        <v>0.01</v>
      </c>
      <c r="F163" s="31"/>
      <c r="G163" s="31">
        <v>0</v>
      </c>
      <c r="H163" s="31">
        <v>0</v>
      </c>
      <c r="I163" s="31">
        <v>0</v>
      </c>
      <c r="J163" s="31">
        <v>0</v>
      </c>
      <c r="K163" s="31">
        <v>0</v>
      </c>
      <c r="L163" s="31">
        <v>0</v>
      </c>
      <c r="M163" s="31">
        <v>0</v>
      </c>
      <c r="N163" s="31">
        <v>0</v>
      </c>
      <c r="O163" s="31">
        <v>0</v>
      </c>
      <c r="P163" s="31">
        <v>0</v>
      </c>
      <c r="Q163" s="31">
        <v>0</v>
      </c>
      <c r="R163" s="584"/>
      <c r="S163" s="31">
        <v>5.4521844737631111E-4</v>
      </c>
      <c r="T163" s="31"/>
      <c r="U163" s="31">
        <v>0</v>
      </c>
      <c r="V163" s="31">
        <v>0</v>
      </c>
      <c r="W163" s="31">
        <v>0</v>
      </c>
      <c r="X163" s="31">
        <v>0</v>
      </c>
      <c r="Y163" s="31">
        <v>0</v>
      </c>
      <c r="Z163" s="31">
        <v>0</v>
      </c>
      <c r="AA163" s="31">
        <v>0</v>
      </c>
      <c r="AB163" s="31">
        <v>0</v>
      </c>
      <c r="AC163" s="31">
        <v>0</v>
      </c>
      <c r="AD163" s="31">
        <v>1.4992503748125937E-3</v>
      </c>
      <c r="AE163" s="31">
        <v>7.1666666666666675E-3</v>
      </c>
      <c r="AF163" s="31">
        <v>1.6666666666666668E-3</v>
      </c>
      <c r="AG163" s="31">
        <v>0</v>
      </c>
      <c r="AH163" s="31">
        <v>6.5166666666666664E-2</v>
      </c>
      <c r="AI163" s="31">
        <v>3.5000000000000001E-3</v>
      </c>
      <c r="AJ163" s="31">
        <v>0</v>
      </c>
      <c r="AK163" s="663">
        <v>0</v>
      </c>
      <c r="AL163" s="663">
        <v>0</v>
      </c>
      <c r="AM163" s="31">
        <v>0</v>
      </c>
      <c r="AN163" s="584"/>
      <c r="AO163" s="584"/>
      <c r="AP163" s="663"/>
      <c r="AQ163" s="31"/>
      <c r="AR163" s="31"/>
      <c r="AS163" s="31"/>
      <c r="AT163" s="31"/>
      <c r="AU163" s="31"/>
      <c r="AV163" s="31"/>
      <c r="AW163" s="31"/>
      <c r="AX163" s="31"/>
      <c r="AY163" s="31"/>
      <c r="AZ163" s="31">
        <f t="shared" si="30"/>
        <v>6.5166666666666664E-2</v>
      </c>
      <c r="BA163" s="25" t="str">
        <f t="shared" si="31"/>
        <v>GEMS/Food G10</v>
      </c>
      <c r="BB163" s="25">
        <f t="shared" si="32"/>
        <v>0</v>
      </c>
      <c r="BC163" s="25" t="str">
        <f t="shared" si="33"/>
        <v/>
      </c>
    </row>
    <row r="164" spans="1:55" ht="15" customHeight="1" outlineLevel="3" x14ac:dyDescent="0.2">
      <c r="A164" s="39">
        <v>4</v>
      </c>
      <c r="B164" s="26">
        <v>251050</v>
      </c>
      <c r="C164" s="23" t="s">
        <v>127</v>
      </c>
      <c r="D164" s="22">
        <f>input_values!Z164</f>
        <v>4</v>
      </c>
      <c r="E164" s="657">
        <v>0</v>
      </c>
      <c r="F164" s="31">
        <v>0</v>
      </c>
      <c r="G164" s="31">
        <v>0</v>
      </c>
      <c r="H164" s="31">
        <v>0</v>
      </c>
      <c r="I164" s="31">
        <v>0</v>
      </c>
      <c r="J164" s="31">
        <v>0</v>
      </c>
      <c r="K164" s="31">
        <v>0</v>
      </c>
      <c r="L164" s="31">
        <v>0</v>
      </c>
      <c r="M164" s="31">
        <v>0</v>
      </c>
      <c r="N164" s="31">
        <v>0</v>
      </c>
      <c r="O164" s="31">
        <v>0</v>
      </c>
      <c r="P164" s="31">
        <v>0</v>
      </c>
      <c r="Q164" s="31">
        <v>0</v>
      </c>
      <c r="R164" s="584"/>
      <c r="S164" s="31">
        <v>0</v>
      </c>
      <c r="T164" s="31"/>
      <c r="U164" s="31">
        <v>0</v>
      </c>
      <c r="V164" s="31">
        <v>0</v>
      </c>
      <c r="W164" s="31">
        <v>0</v>
      </c>
      <c r="X164" s="31">
        <v>0</v>
      </c>
      <c r="Y164" s="31">
        <v>0</v>
      </c>
      <c r="Z164" s="31">
        <v>0</v>
      </c>
      <c r="AA164" s="31">
        <v>0</v>
      </c>
      <c r="AB164" s="31">
        <v>0</v>
      </c>
      <c r="AC164" s="31">
        <v>0</v>
      </c>
      <c r="AD164" s="31">
        <v>0</v>
      </c>
      <c r="AE164" s="31"/>
      <c r="AF164" s="31"/>
      <c r="AG164" s="31"/>
      <c r="AH164" s="31"/>
      <c r="AI164" s="31"/>
      <c r="AJ164" s="31"/>
      <c r="AK164" s="663">
        <v>0</v>
      </c>
      <c r="AL164" s="663">
        <v>0</v>
      </c>
      <c r="AM164" s="31">
        <v>0</v>
      </c>
      <c r="AN164" s="584"/>
      <c r="AO164" s="584"/>
      <c r="AP164" s="663"/>
      <c r="AQ164" s="31"/>
      <c r="AR164" s="31"/>
      <c r="AS164" s="31"/>
      <c r="AT164" s="31"/>
      <c r="AU164" s="31"/>
      <c r="AV164" s="31"/>
      <c r="AW164" s="31"/>
      <c r="AX164" s="31"/>
      <c r="AY164" s="31"/>
      <c r="AZ164" s="31">
        <f t="shared" si="30"/>
        <v>0</v>
      </c>
      <c r="BA164" s="25" t="str">
        <f t="shared" si="31"/>
        <v>DE child</v>
      </c>
      <c r="BB164" s="25">
        <f t="shared" si="32"/>
        <v>0</v>
      </c>
      <c r="BC164" s="25" t="str">
        <f t="shared" si="33"/>
        <v/>
      </c>
    </row>
    <row r="165" spans="1:55" ht="15" customHeight="1" outlineLevel="3" x14ac:dyDescent="0.2">
      <c r="A165" s="39">
        <v>4</v>
      </c>
      <c r="B165" s="26">
        <v>251060</v>
      </c>
      <c r="C165" s="23" t="s">
        <v>725</v>
      </c>
      <c r="D165" s="22">
        <f>input_values!Z165</f>
        <v>4</v>
      </c>
      <c r="E165" s="657">
        <v>0.01</v>
      </c>
      <c r="F165" s="31">
        <v>0</v>
      </c>
      <c r="G165" s="31">
        <v>0</v>
      </c>
      <c r="H165" s="31">
        <v>0</v>
      </c>
      <c r="I165" s="31">
        <v>0</v>
      </c>
      <c r="J165" s="31">
        <v>0</v>
      </c>
      <c r="K165" s="31">
        <v>0</v>
      </c>
      <c r="L165" s="31">
        <v>0</v>
      </c>
      <c r="M165" s="31">
        <v>0</v>
      </c>
      <c r="N165" s="31">
        <v>0</v>
      </c>
      <c r="O165" s="31">
        <v>0</v>
      </c>
      <c r="P165" s="31">
        <v>1.3302263648468711E-4</v>
      </c>
      <c r="Q165" s="31">
        <v>0</v>
      </c>
      <c r="R165" s="584"/>
      <c r="S165" s="31">
        <v>0</v>
      </c>
      <c r="T165" s="31"/>
      <c r="U165" s="31">
        <v>0</v>
      </c>
      <c r="V165" s="31">
        <v>0</v>
      </c>
      <c r="W165" s="31">
        <v>0</v>
      </c>
      <c r="X165" s="31">
        <v>0</v>
      </c>
      <c r="Y165" s="31">
        <v>0</v>
      </c>
      <c r="Z165" s="31">
        <v>0</v>
      </c>
      <c r="AA165" s="31">
        <v>0</v>
      </c>
      <c r="AB165" s="31">
        <v>0</v>
      </c>
      <c r="AC165" s="31">
        <v>0</v>
      </c>
      <c r="AD165" s="31">
        <v>0</v>
      </c>
      <c r="AE165" s="31">
        <v>2.7166666666666665E-2</v>
      </c>
      <c r="AF165" s="31">
        <v>0</v>
      </c>
      <c r="AG165" s="31">
        <v>0</v>
      </c>
      <c r="AH165" s="31">
        <v>1.8166666666666668E-2</v>
      </c>
      <c r="AI165" s="31">
        <v>6.3333333333333332E-3</v>
      </c>
      <c r="AJ165" s="31">
        <v>0</v>
      </c>
      <c r="AK165" s="663">
        <v>0</v>
      </c>
      <c r="AL165" s="663">
        <v>0</v>
      </c>
      <c r="AM165" s="31">
        <v>0</v>
      </c>
      <c r="AN165" s="584"/>
      <c r="AO165" s="584"/>
      <c r="AP165" s="663"/>
      <c r="AQ165" s="31"/>
      <c r="AR165" s="31"/>
      <c r="AS165" s="31"/>
      <c r="AT165" s="31"/>
      <c r="AU165" s="31"/>
      <c r="AV165" s="31"/>
      <c r="AW165" s="31"/>
      <c r="AX165" s="31"/>
      <c r="AY165" s="31"/>
      <c r="AZ165" s="31">
        <f t="shared" si="30"/>
        <v>2.7166666666666665E-2</v>
      </c>
      <c r="BA165" s="25" t="str">
        <f t="shared" si="31"/>
        <v>GEMS/Food G06</v>
      </c>
      <c r="BB165" s="25">
        <f t="shared" si="32"/>
        <v>0</v>
      </c>
      <c r="BC165" s="25" t="str">
        <f t="shared" si="33"/>
        <v/>
      </c>
    </row>
    <row r="166" spans="1:55" ht="15" customHeight="1" outlineLevel="3" x14ac:dyDescent="0.2">
      <c r="A166" s="39">
        <v>4</v>
      </c>
      <c r="B166" s="26">
        <v>251070</v>
      </c>
      <c r="C166" s="23" t="s">
        <v>726</v>
      </c>
      <c r="D166" s="22">
        <f>input_values!Z166</f>
        <v>4</v>
      </c>
      <c r="E166" s="657">
        <v>0</v>
      </c>
      <c r="F166" s="31">
        <v>0</v>
      </c>
      <c r="G166" s="31">
        <v>0</v>
      </c>
      <c r="H166" s="31">
        <v>0</v>
      </c>
      <c r="I166" s="31">
        <v>0</v>
      </c>
      <c r="J166" s="31">
        <v>0</v>
      </c>
      <c r="K166" s="31">
        <v>0</v>
      </c>
      <c r="L166" s="31">
        <v>0</v>
      </c>
      <c r="M166" s="31">
        <v>0</v>
      </c>
      <c r="N166" s="31">
        <v>0</v>
      </c>
      <c r="O166" s="31">
        <v>0</v>
      </c>
      <c r="P166" s="31">
        <v>0</v>
      </c>
      <c r="Q166" s="31">
        <v>0</v>
      </c>
      <c r="R166" s="584"/>
      <c r="S166" s="31">
        <v>0</v>
      </c>
      <c r="T166" s="31"/>
      <c r="U166" s="31">
        <v>0</v>
      </c>
      <c r="V166" s="31">
        <v>0</v>
      </c>
      <c r="W166" s="31">
        <v>0</v>
      </c>
      <c r="X166" s="31">
        <v>0</v>
      </c>
      <c r="Y166" s="31">
        <v>0</v>
      </c>
      <c r="Z166" s="31">
        <v>0</v>
      </c>
      <c r="AA166" s="31">
        <v>0</v>
      </c>
      <c r="AB166" s="31">
        <v>0</v>
      </c>
      <c r="AC166" s="31">
        <v>0</v>
      </c>
      <c r="AD166" s="31">
        <v>0</v>
      </c>
      <c r="AE166" s="31">
        <v>1.8333333333333333E-3</v>
      </c>
      <c r="AF166" s="31">
        <v>0</v>
      </c>
      <c r="AG166" s="31">
        <v>0</v>
      </c>
      <c r="AH166" s="31">
        <v>0</v>
      </c>
      <c r="AI166" s="31">
        <v>0</v>
      </c>
      <c r="AJ166" s="31">
        <v>0</v>
      </c>
      <c r="AK166" s="663">
        <v>0</v>
      </c>
      <c r="AL166" s="663">
        <v>0</v>
      </c>
      <c r="AM166" s="31">
        <v>0</v>
      </c>
      <c r="AN166" s="584"/>
      <c r="AO166" s="584"/>
      <c r="AP166" s="663"/>
      <c r="AQ166" s="31"/>
      <c r="AR166" s="31"/>
      <c r="AS166" s="31"/>
      <c r="AT166" s="31"/>
      <c r="AU166" s="31"/>
      <c r="AV166" s="31"/>
      <c r="AW166" s="31"/>
      <c r="AX166" s="31"/>
      <c r="AY166" s="31"/>
      <c r="AZ166" s="31">
        <f t="shared" si="30"/>
        <v>1.8333333333333333E-3</v>
      </c>
      <c r="BA166" s="25" t="str">
        <f t="shared" si="31"/>
        <v>GEMS/Food G06</v>
      </c>
      <c r="BB166" s="25">
        <f t="shared" si="32"/>
        <v>0</v>
      </c>
      <c r="BC166" s="25" t="str">
        <f t="shared" si="33"/>
        <v/>
      </c>
    </row>
    <row r="167" spans="1:55" ht="15" customHeight="1" outlineLevel="3" x14ac:dyDescent="0.2">
      <c r="A167" s="39">
        <v>4</v>
      </c>
      <c r="B167" s="26">
        <v>251080</v>
      </c>
      <c r="C167" s="23" t="s">
        <v>727</v>
      </c>
      <c r="D167" s="22">
        <f>input_values!Z167</f>
        <v>4</v>
      </c>
      <c r="E167" s="657">
        <v>0</v>
      </c>
      <c r="F167" s="31">
        <v>0</v>
      </c>
      <c r="G167" s="31">
        <v>0</v>
      </c>
      <c r="H167" s="31">
        <v>0</v>
      </c>
      <c r="I167" s="31">
        <v>0</v>
      </c>
      <c r="J167" s="31">
        <v>0</v>
      </c>
      <c r="K167" s="31">
        <v>0</v>
      </c>
      <c r="L167" s="31">
        <v>0</v>
      </c>
      <c r="M167" s="31">
        <v>0</v>
      </c>
      <c r="N167" s="31">
        <v>0</v>
      </c>
      <c r="O167" s="31">
        <v>0</v>
      </c>
      <c r="P167" s="31">
        <v>0</v>
      </c>
      <c r="Q167" s="31">
        <v>0</v>
      </c>
      <c r="R167" s="584"/>
      <c r="S167" s="31">
        <v>0</v>
      </c>
      <c r="T167" s="31"/>
      <c r="U167" s="31">
        <v>0</v>
      </c>
      <c r="V167" s="31">
        <v>0</v>
      </c>
      <c r="W167" s="31">
        <v>0</v>
      </c>
      <c r="X167" s="31">
        <v>0</v>
      </c>
      <c r="Y167" s="31">
        <v>0</v>
      </c>
      <c r="Z167" s="31">
        <v>0</v>
      </c>
      <c r="AA167" s="31">
        <v>0</v>
      </c>
      <c r="AB167" s="31">
        <v>0</v>
      </c>
      <c r="AC167" s="31">
        <v>0</v>
      </c>
      <c r="AD167" s="31">
        <v>0</v>
      </c>
      <c r="AE167" s="31"/>
      <c r="AF167" s="31"/>
      <c r="AG167" s="31"/>
      <c r="AH167" s="31"/>
      <c r="AI167" s="31"/>
      <c r="AJ167" s="31"/>
      <c r="AK167" s="663">
        <v>0</v>
      </c>
      <c r="AL167" s="663">
        <v>0</v>
      </c>
      <c r="AM167" s="31">
        <v>0</v>
      </c>
      <c r="AN167" s="584"/>
      <c r="AO167" s="584"/>
      <c r="AP167" s="663"/>
      <c r="AQ167" s="31"/>
      <c r="AR167" s="31"/>
      <c r="AS167" s="31"/>
      <c r="AT167" s="31"/>
      <c r="AU167" s="31"/>
      <c r="AV167" s="31"/>
      <c r="AW167" s="31"/>
      <c r="AX167" s="31"/>
      <c r="AY167" s="31"/>
      <c r="AZ167" s="31">
        <f t="shared" si="30"/>
        <v>0</v>
      </c>
      <c r="BA167" s="25" t="str">
        <f t="shared" si="31"/>
        <v>DE child</v>
      </c>
      <c r="BB167" s="25">
        <f t="shared" si="32"/>
        <v>0</v>
      </c>
      <c r="BC167" s="25" t="str">
        <f t="shared" si="33"/>
        <v/>
      </c>
    </row>
    <row r="168" spans="1:55" ht="15" customHeight="1" outlineLevel="3" x14ac:dyDescent="0.2">
      <c r="A168" s="39">
        <v>4</v>
      </c>
      <c r="B168" s="23">
        <v>251990</v>
      </c>
      <c r="C168" s="23" t="s">
        <v>173</v>
      </c>
      <c r="D168" s="22">
        <f>input_values!Z168</f>
        <v>4</v>
      </c>
      <c r="E168" s="657">
        <v>0</v>
      </c>
      <c r="F168" s="31"/>
      <c r="G168" s="31">
        <v>0</v>
      </c>
      <c r="H168" s="31">
        <v>2.3220712875885292E-3</v>
      </c>
      <c r="I168" s="31">
        <v>2.7996922376504241E-2</v>
      </c>
      <c r="J168" s="31">
        <v>0.10913139750079083</v>
      </c>
      <c r="K168" s="31">
        <v>0.110310021629416</v>
      </c>
      <c r="L168" s="31">
        <v>0</v>
      </c>
      <c r="M168" s="31">
        <v>0</v>
      </c>
      <c r="N168" s="31">
        <v>0</v>
      </c>
      <c r="O168" s="31">
        <v>0</v>
      </c>
      <c r="P168" s="31">
        <v>0</v>
      </c>
      <c r="Q168" s="31">
        <v>0</v>
      </c>
      <c r="R168" s="584"/>
      <c r="S168" s="31">
        <v>0.14890050325951321</v>
      </c>
      <c r="T168" s="31"/>
      <c r="U168" s="31">
        <v>0</v>
      </c>
      <c r="V168" s="31">
        <v>0.15787099684258005</v>
      </c>
      <c r="W168" s="31">
        <v>0</v>
      </c>
      <c r="X168" s="31">
        <v>0</v>
      </c>
      <c r="Y168" s="31">
        <v>0</v>
      </c>
      <c r="Z168" s="31">
        <v>0</v>
      </c>
      <c r="AA168" s="31">
        <v>0</v>
      </c>
      <c r="AB168" s="31">
        <v>0</v>
      </c>
      <c r="AC168" s="31">
        <v>0</v>
      </c>
      <c r="AD168" s="31">
        <v>0</v>
      </c>
      <c r="AE168" s="31"/>
      <c r="AF168" s="31"/>
      <c r="AG168" s="31"/>
      <c r="AH168" s="31"/>
      <c r="AI168" s="31"/>
      <c r="AJ168" s="31"/>
      <c r="AK168" s="663">
        <v>0</v>
      </c>
      <c r="AL168" s="663">
        <v>0</v>
      </c>
      <c r="AM168" s="31">
        <v>0</v>
      </c>
      <c r="AN168" s="584"/>
      <c r="AO168" s="584"/>
      <c r="AP168" s="663"/>
      <c r="AQ168" s="31"/>
      <c r="AR168" s="31"/>
      <c r="AS168" s="31"/>
      <c r="AT168" s="31"/>
      <c r="AU168" s="31"/>
      <c r="AV168" s="31"/>
      <c r="AW168" s="31"/>
      <c r="AX168" s="31"/>
      <c r="AY168" s="31"/>
      <c r="AZ168" s="31">
        <f t="shared" si="30"/>
        <v>0.15787099684258005</v>
      </c>
      <c r="BA168" s="25" t="str">
        <f t="shared" si="31"/>
        <v>IT adult</v>
      </c>
      <c r="BB168" s="25">
        <f t="shared" si="32"/>
        <v>0</v>
      </c>
      <c r="BC168" s="25" t="str">
        <f t="shared" si="33"/>
        <v/>
      </c>
    </row>
    <row r="169" spans="1:55" ht="15" customHeight="1" outlineLevel="2" x14ac:dyDescent="0.2">
      <c r="A169" s="132">
        <v>3</v>
      </c>
      <c r="B169" s="3">
        <v>252000</v>
      </c>
      <c r="C169" s="3" t="s">
        <v>234</v>
      </c>
      <c r="D169" s="80">
        <f>input_values!Z169</f>
        <v>4</v>
      </c>
      <c r="E169" s="654">
        <f>SUM(E170:E173)</f>
        <v>0.22000000000000003</v>
      </c>
      <c r="F169" s="48">
        <f t="shared" ref="F169:AO169" si="40">SUM(F170:F173)</f>
        <v>4.5454545454545455E-4</v>
      </c>
      <c r="G169" s="48">
        <f t="shared" si="40"/>
        <v>0.1709</v>
      </c>
      <c r="H169" s="48">
        <f t="shared" si="40"/>
        <v>0.29574602688309248</v>
      </c>
      <c r="I169" s="48">
        <f t="shared" si="40"/>
        <v>0.16585781442835859</v>
      </c>
      <c r="J169" s="48">
        <f t="shared" si="40"/>
        <v>0.10721284126057901</v>
      </c>
      <c r="K169" s="48">
        <f t="shared" si="40"/>
        <v>0.17255467435712568</v>
      </c>
      <c r="L169" s="48">
        <f t="shared" si="40"/>
        <v>0.71799999999999997</v>
      </c>
      <c r="M169" s="48">
        <f t="shared" si="40"/>
        <v>0.255</v>
      </c>
      <c r="N169" s="48">
        <f t="shared" si="40"/>
        <v>1.149425287356322E-2</v>
      </c>
      <c r="O169" s="48">
        <f t="shared" si="40"/>
        <v>2.7397260273972605E-2</v>
      </c>
      <c r="P169" s="48">
        <f t="shared" si="40"/>
        <v>1.14E-2</v>
      </c>
      <c r="Q169" s="48">
        <f t="shared" si="40"/>
        <v>0.16419999999999998</v>
      </c>
      <c r="R169" s="48">
        <f t="shared" si="40"/>
        <v>1.4244534E-2</v>
      </c>
      <c r="S169" s="48">
        <f t="shared" si="40"/>
        <v>6.0331492903883913E-2</v>
      </c>
      <c r="T169" s="48"/>
      <c r="U169" s="48">
        <f t="shared" si="40"/>
        <v>0.125</v>
      </c>
      <c r="V169" s="48">
        <f t="shared" si="40"/>
        <v>0.22222222222222218</v>
      </c>
      <c r="W169" s="48">
        <f t="shared" si="40"/>
        <v>0</v>
      </c>
      <c r="X169" s="48">
        <f t="shared" si="40"/>
        <v>0.156</v>
      </c>
      <c r="Y169" s="48">
        <f t="shared" si="40"/>
        <v>8.832802547770701E-3</v>
      </c>
      <c r="Z169" s="48">
        <f t="shared" si="40"/>
        <v>0</v>
      </c>
      <c r="AA169" s="48">
        <f t="shared" si="40"/>
        <v>0</v>
      </c>
      <c r="AB169" s="48">
        <f t="shared" si="40"/>
        <v>8.3333333333333329E-2</v>
      </c>
      <c r="AC169" s="48">
        <f t="shared" si="40"/>
        <v>1.8421052631578946E-2</v>
      </c>
      <c r="AD169" s="48">
        <f t="shared" si="40"/>
        <v>3.4482758620689648E-2</v>
      </c>
      <c r="AE169" s="48">
        <f t="shared" si="40"/>
        <v>5.8833333333333328E-2</v>
      </c>
      <c r="AF169" s="48">
        <f t="shared" si="40"/>
        <v>3.833333333333333E-2</v>
      </c>
      <c r="AG169" s="48">
        <f t="shared" si="40"/>
        <v>2.9333333333333333E-2</v>
      </c>
      <c r="AH169" s="48">
        <f t="shared" si="40"/>
        <v>4.9000000000000002E-2</v>
      </c>
      <c r="AI169" s="48">
        <f t="shared" si="40"/>
        <v>9.2166666666666675E-2</v>
      </c>
      <c r="AJ169" s="48">
        <f t="shared" si="40"/>
        <v>1.3500000000000002E-2</v>
      </c>
      <c r="AK169" s="48">
        <f t="shared" si="40"/>
        <v>4.7741162230202021E-2</v>
      </c>
      <c r="AL169" s="48">
        <f t="shared" si="40"/>
        <v>5.0722485872020107E-2</v>
      </c>
      <c r="AM169" s="48">
        <f t="shared" si="40"/>
        <v>3.8330700000000001E-3</v>
      </c>
      <c r="AN169" s="48">
        <f t="shared" si="40"/>
        <v>6.5610820700000003E-2</v>
      </c>
      <c r="AO169" s="48">
        <f t="shared" si="40"/>
        <v>5.60381743E-2</v>
      </c>
      <c r="AP169" s="48"/>
      <c r="AQ169" s="48"/>
      <c r="AR169" s="48"/>
      <c r="AS169" s="48"/>
      <c r="AT169" s="48"/>
      <c r="AU169" s="48"/>
      <c r="AV169" s="48"/>
      <c r="AW169" s="48"/>
      <c r="AX169" s="48" t="s">
        <v>369</v>
      </c>
      <c r="AY169" s="48"/>
      <c r="AZ169" s="48">
        <f t="shared" si="30"/>
        <v>0.71799999999999997</v>
      </c>
      <c r="BA169" s="4" t="str">
        <f t="shared" si="31"/>
        <v>NL toddler</v>
      </c>
      <c r="BB169" s="4">
        <f t="shared" si="32"/>
        <v>0</v>
      </c>
      <c r="BC169" s="4" t="str">
        <f t="shared" si="33"/>
        <v/>
      </c>
    </row>
    <row r="170" spans="1:55" ht="15" customHeight="1" outlineLevel="3" x14ac:dyDescent="0.2">
      <c r="A170" s="39">
        <v>4</v>
      </c>
      <c r="B170" s="23">
        <v>252010</v>
      </c>
      <c r="C170" s="23" t="s">
        <v>728</v>
      </c>
      <c r="D170" s="22">
        <f>input_values!Z170</f>
        <v>4</v>
      </c>
      <c r="E170" s="657">
        <v>0.2</v>
      </c>
      <c r="F170" s="31">
        <v>4.5454545454545455E-4</v>
      </c>
      <c r="G170" s="31">
        <v>8.09E-2</v>
      </c>
      <c r="H170" s="31">
        <v>0.26566881011631133</v>
      </c>
      <c r="I170" s="31">
        <v>0.15785410900918304</v>
      </c>
      <c r="J170" s="31">
        <v>0.1056575417214085</v>
      </c>
      <c r="K170" s="31">
        <v>5.8159096371064645E-2</v>
      </c>
      <c r="L170" s="31">
        <v>0.71799999999999997</v>
      </c>
      <c r="M170" s="31">
        <v>0.251</v>
      </c>
      <c r="N170" s="31">
        <v>1.149425287356322E-2</v>
      </c>
      <c r="O170" s="31">
        <v>2.7397260273972605E-2</v>
      </c>
      <c r="P170" s="31">
        <v>1.14E-2</v>
      </c>
      <c r="Q170" s="31">
        <v>7.4099999999999999E-2</v>
      </c>
      <c r="R170" s="584">
        <v>1.4244534E-2</v>
      </c>
      <c r="S170" s="31">
        <v>5.2761278554753654E-2</v>
      </c>
      <c r="T170" s="31"/>
      <c r="U170" s="31">
        <v>0.125</v>
      </c>
      <c r="V170" s="31">
        <v>9.5474364757179353E-2</v>
      </c>
      <c r="W170" s="31">
        <v>0</v>
      </c>
      <c r="X170" s="31">
        <v>0.152</v>
      </c>
      <c r="Y170" s="31">
        <v>3.5764331210191083E-3</v>
      </c>
      <c r="Z170" s="31">
        <v>0</v>
      </c>
      <c r="AA170" s="31">
        <v>0</v>
      </c>
      <c r="AB170" s="31">
        <v>6.6666666666666666E-2</v>
      </c>
      <c r="AC170" s="31">
        <v>1.8421052631578946E-2</v>
      </c>
      <c r="AD170" s="31">
        <v>3.4482758620689648E-2</v>
      </c>
      <c r="AE170" s="31">
        <v>4.8666666666666664E-2</v>
      </c>
      <c r="AF170" s="31">
        <v>3.6666666666666667E-2</v>
      </c>
      <c r="AG170" s="31">
        <v>2.9333333333333333E-2</v>
      </c>
      <c r="AH170" s="31">
        <v>4.9000000000000002E-2</v>
      </c>
      <c r="AI170" s="31">
        <v>9.2166666666666675E-2</v>
      </c>
      <c r="AJ170" s="31">
        <v>1.3500000000000002E-2</v>
      </c>
      <c r="AK170" s="663">
        <v>4.551014765956142E-2</v>
      </c>
      <c r="AL170" s="663">
        <v>4.817846367120579E-2</v>
      </c>
      <c r="AM170" s="31">
        <v>3.8330700000000001E-3</v>
      </c>
      <c r="AN170" s="584">
        <v>6.5610820700000003E-2</v>
      </c>
      <c r="AO170" s="584">
        <v>5.60381743E-2</v>
      </c>
      <c r="AP170" s="663"/>
      <c r="AQ170" s="31"/>
      <c r="AR170" s="31"/>
      <c r="AS170" s="31"/>
      <c r="AT170" s="31"/>
      <c r="AU170" s="31"/>
      <c r="AV170" s="31"/>
      <c r="AW170" s="31"/>
      <c r="AX170" s="31"/>
      <c r="AY170" s="31"/>
      <c r="AZ170" s="31">
        <f t="shared" si="30"/>
        <v>0.71799999999999997</v>
      </c>
      <c r="BA170" s="25" t="str">
        <f t="shared" si="31"/>
        <v>NL toddler</v>
      </c>
      <c r="BB170" s="25">
        <f t="shared" si="32"/>
        <v>0</v>
      </c>
      <c r="BC170" s="25" t="str">
        <f t="shared" si="33"/>
        <v/>
      </c>
    </row>
    <row r="171" spans="1:55" ht="15" customHeight="1" outlineLevel="3" x14ac:dyDescent="0.2">
      <c r="A171" s="39">
        <v>4</v>
      </c>
      <c r="B171" s="23">
        <v>252020</v>
      </c>
      <c r="C171" s="23" t="s">
        <v>729</v>
      </c>
      <c r="D171" s="22">
        <f>input_values!Z171</f>
        <v>4</v>
      </c>
      <c r="E171" s="657">
        <v>0</v>
      </c>
      <c r="F171" s="31">
        <v>0</v>
      </c>
      <c r="G171" s="31">
        <v>0</v>
      </c>
      <c r="H171" s="31">
        <v>0</v>
      </c>
      <c r="I171" s="31">
        <v>0</v>
      </c>
      <c r="J171" s="31">
        <v>0</v>
      </c>
      <c r="K171" s="31">
        <v>0</v>
      </c>
      <c r="L171" s="31">
        <v>0</v>
      </c>
      <c r="M171" s="31">
        <v>0</v>
      </c>
      <c r="N171" s="31">
        <v>0</v>
      </c>
      <c r="O171" s="31">
        <v>0</v>
      </c>
      <c r="P171" s="31">
        <v>0</v>
      </c>
      <c r="Q171" s="31">
        <v>0</v>
      </c>
      <c r="R171" s="584"/>
      <c r="S171" s="31">
        <v>0</v>
      </c>
      <c r="T171" s="31"/>
      <c r="U171" s="31">
        <v>0</v>
      </c>
      <c r="V171" s="31">
        <v>0</v>
      </c>
      <c r="W171" s="31">
        <v>0</v>
      </c>
      <c r="X171" s="31">
        <v>2E-3</v>
      </c>
      <c r="Y171" s="31">
        <v>3.8614649681528663E-3</v>
      </c>
      <c r="Z171" s="31">
        <v>0</v>
      </c>
      <c r="AA171" s="31">
        <v>0</v>
      </c>
      <c r="AB171" s="31">
        <v>0</v>
      </c>
      <c r="AC171" s="31">
        <v>0</v>
      </c>
      <c r="AD171" s="31">
        <v>0</v>
      </c>
      <c r="AE171" s="31">
        <v>1.6666666666666668E-3</v>
      </c>
      <c r="AF171" s="31">
        <v>1.6666666666666668E-3</v>
      </c>
      <c r="AG171" s="31">
        <v>0</v>
      </c>
      <c r="AH171" s="31">
        <v>0</v>
      </c>
      <c r="AI171" s="31">
        <v>0</v>
      </c>
      <c r="AJ171" s="31">
        <v>0</v>
      </c>
      <c r="AK171" s="663">
        <v>5.9532946921755524E-5</v>
      </c>
      <c r="AL171" s="663">
        <v>1.9448029053443884E-4</v>
      </c>
      <c r="AM171" s="31">
        <v>0</v>
      </c>
      <c r="AN171" s="584"/>
      <c r="AO171" s="584"/>
      <c r="AP171" s="663"/>
      <c r="AQ171" s="31"/>
      <c r="AR171" s="31"/>
      <c r="AS171" s="31"/>
      <c r="AT171" s="31"/>
      <c r="AU171" s="31"/>
      <c r="AV171" s="31"/>
      <c r="AW171" s="31"/>
      <c r="AX171" s="31"/>
      <c r="AY171" s="31"/>
      <c r="AZ171" s="31">
        <f t="shared" si="30"/>
        <v>3.8614649681528663E-3</v>
      </c>
      <c r="BA171" s="25" t="str">
        <f t="shared" si="31"/>
        <v>PL general</v>
      </c>
      <c r="BB171" s="25">
        <f t="shared" si="32"/>
        <v>0</v>
      </c>
      <c r="BC171" s="25" t="str">
        <f t="shared" si="33"/>
        <v/>
      </c>
    </row>
    <row r="172" spans="1:55" ht="15" customHeight="1" outlineLevel="3" x14ac:dyDescent="0.2">
      <c r="A172" s="39">
        <v>4</v>
      </c>
      <c r="B172" s="23">
        <v>252030</v>
      </c>
      <c r="C172" s="23" t="s">
        <v>730</v>
      </c>
      <c r="D172" s="22">
        <f>input_values!Z172</f>
        <v>4</v>
      </c>
      <c r="E172" s="657">
        <v>0.01</v>
      </c>
      <c r="F172" s="31">
        <v>0</v>
      </c>
      <c r="G172" s="31">
        <v>8.0199999999999994E-2</v>
      </c>
      <c r="H172" s="31">
        <v>3.0077216766781153E-2</v>
      </c>
      <c r="I172" s="31">
        <v>8.0037054191755448E-3</v>
      </c>
      <c r="J172" s="31">
        <v>1.5552995391705069E-3</v>
      </c>
      <c r="K172" s="31">
        <v>6.0322037971641429E-2</v>
      </c>
      <c r="L172" s="31">
        <v>0</v>
      </c>
      <c r="M172" s="31">
        <v>4.0000000000000001E-3</v>
      </c>
      <c r="N172" s="31">
        <v>0</v>
      </c>
      <c r="O172" s="31">
        <v>0</v>
      </c>
      <c r="P172" s="31">
        <v>0</v>
      </c>
      <c r="Q172" s="31">
        <v>8.0299999999999996E-2</v>
      </c>
      <c r="R172" s="584"/>
      <c r="S172" s="31">
        <v>7.570214349130259E-3</v>
      </c>
      <c r="T172" s="31"/>
      <c r="U172" s="31">
        <v>0</v>
      </c>
      <c r="V172" s="31">
        <v>6.2847692076379483E-2</v>
      </c>
      <c r="W172" s="31">
        <v>0</v>
      </c>
      <c r="X172" s="31">
        <v>2E-3</v>
      </c>
      <c r="Y172" s="31">
        <v>1.394904458598726E-3</v>
      </c>
      <c r="Z172" s="31">
        <v>0</v>
      </c>
      <c r="AA172" s="31">
        <v>0</v>
      </c>
      <c r="AB172" s="31">
        <v>1.6666666666666666E-2</v>
      </c>
      <c r="AC172" s="31">
        <v>0</v>
      </c>
      <c r="AD172" s="31">
        <v>0</v>
      </c>
      <c r="AE172" s="31">
        <v>8.5000000000000006E-3</v>
      </c>
      <c r="AF172" s="31">
        <v>0</v>
      </c>
      <c r="AG172" s="31">
        <v>0</v>
      </c>
      <c r="AH172" s="31">
        <v>0</v>
      </c>
      <c r="AI172" s="31">
        <v>0</v>
      </c>
      <c r="AJ172" s="31">
        <v>0</v>
      </c>
      <c r="AK172" s="663">
        <v>2.1714816237188438E-3</v>
      </c>
      <c r="AL172" s="663">
        <v>2.3495419102798759E-3</v>
      </c>
      <c r="AM172" s="31">
        <v>0</v>
      </c>
      <c r="AN172" s="584"/>
      <c r="AO172" s="584"/>
      <c r="AP172" s="663"/>
      <c r="AQ172" s="31"/>
      <c r="AR172" s="31"/>
      <c r="AS172" s="31"/>
      <c r="AT172" s="31"/>
      <c r="AU172" s="31"/>
      <c r="AV172" s="31"/>
      <c r="AW172" s="31"/>
      <c r="AX172" s="31"/>
      <c r="AY172" s="31"/>
      <c r="AZ172" s="31">
        <f t="shared" si="30"/>
        <v>8.0299999999999996E-2</v>
      </c>
      <c r="BA172" s="25" t="str">
        <f t="shared" si="31"/>
        <v>ES adult</v>
      </c>
      <c r="BB172" s="25">
        <f t="shared" si="32"/>
        <v>0</v>
      </c>
      <c r="BC172" s="25" t="str">
        <f t="shared" si="33"/>
        <v/>
      </c>
    </row>
    <row r="173" spans="1:55" ht="15" customHeight="1" outlineLevel="3" x14ac:dyDescent="0.2">
      <c r="A173" s="39">
        <v>4</v>
      </c>
      <c r="B173" s="23">
        <v>252990</v>
      </c>
      <c r="C173" s="23" t="s">
        <v>174</v>
      </c>
      <c r="D173" s="22">
        <f>input_values!Z173</f>
        <v>4</v>
      </c>
      <c r="E173" s="657">
        <v>0.01</v>
      </c>
      <c r="F173" s="31"/>
      <c r="G173" s="31">
        <v>9.7999999999999997E-3</v>
      </c>
      <c r="H173" s="31">
        <v>0</v>
      </c>
      <c r="I173" s="31">
        <v>0</v>
      </c>
      <c r="J173" s="31">
        <v>0</v>
      </c>
      <c r="K173" s="31">
        <v>5.4073540014419615E-2</v>
      </c>
      <c r="L173" s="31">
        <v>0</v>
      </c>
      <c r="M173" s="31">
        <v>0</v>
      </c>
      <c r="N173" s="31">
        <v>0</v>
      </c>
      <c r="O173" s="31">
        <v>0</v>
      </c>
      <c r="P173" s="31">
        <v>0</v>
      </c>
      <c r="Q173" s="31">
        <v>9.7999999999999997E-3</v>
      </c>
      <c r="R173" s="584"/>
      <c r="S173" s="31">
        <v>0</v>
      </c>
      <c r="T173" s="31"/>
      <c r="U173" s="31">
        <v>0</v>
      </c>
      <c r="V173" s="31">
        <v>6.390016538866336E-2</v>
      </c>
      <c r="W173" s="31">
        <v>0</v>
      </c>
      <c r="X173" s="31">
        <v>0</v>
      </c>
      <c r="Y173" s="31">
        <v>0</v>
      </c>
      <c r="Z173" s="31">
        <v>0</v>
      </c>
      <c r="AA173" s="31">
        <v>0</v>
      </c>
      <c r="AB173" s="31">
        <v>0</v>
      </c>
      <c r="AC173" s="31">
        <v>0</v>
      </c>
      <c r="AD173" s="31">
        <v>0</v>
      </c>
      <c r="AE173" s="31"/>
      <c r="AF173" s="31"/>
      <c r="AG173" s="31"/>
      <c r="AH173" s="31"/>
      <c r="AI173" s="31"/>
      <c r="AJ173" s="31"/>
      <c r="AK173" s="663">
        <v>0</v>
      </c>
      <c r="AL173" s="663">
        <v>0</v>
      </c>
      <c r="AM173" s="31">
        <v>0</v>
      </c>
      <c r="AN173" s="584"/>
      <c r="AO173" s="584"/>
      <c r="AP173" s="663"/>
      <c r="AQ173" s="31"/>
      <c r="AR173" s="31"/>
      <c r="AS173" s="31"/>
      <c r="AT173" s="31"/>
      <c r="AU173" s="31"/>
      <c r="AV173" s="31"/>
      <c r="AW173" s="31"/>
      <c r="AX173" s="31"/>
      <c r="AY173" s="31"/>
      <c r="AZ173" s="31">
        <f t="shared" si="30"/>
        <v>6.390016538866336E-2</v>
      </c>
      <c r="BA173" s="25" t="str">
        <f t="shared" si="31"/>
        <v>IT adult</v>
      </c>
      <c r="BB173" s="25">
        <f t="shared" si="32"/>
        <v>0</v>
      </c>
      <c r="BC173" s="25" t="str">
        <f t="shared" si="33"/>
        <v/>
      </c>
    </row>
    <row r="174" spans="1:55" ht="15" customHeight="1" outlineLevel="2" x14ac:dyDescent="0.2">
      <c r="A174" s="132">
        <v>3</v>
      </c>
      <c r="B174" s="3">
        <v>253000</v>
      </c>
      <c r="C174" s="3" t="s">
        <v>731</v>
      </c>
      <c r="D174" s="80">
        <f>input_values!Z174</f>
        <v>3</v>
      </c>
      <c r="E174" s="660">
        <v>1.0011000000000001E-2</v>
      </c>
      <c r="F174" s="48">
        <v>0</v>
      </c>
      <c r="G174" s="48">
        <v>0</v>
      </c>
      <c r="H174" s="48">
        <v>0</v>
      </c>
      <c r="I174" s="48">
        <v>0</v>
      </c>
      <c r="J174" s="48">
        <v>0</v>
      </c>
      <c r="K174" s="48">
        <v>0</v>
      </c>
      <c r="L174" s="48">
        <v>0</v>
      </c>
      <c r="M174" s="48">
        <v>0</v>
      </c>
      <c r="N174" s="48">
        <v>0</v>
      </c>
      <c r="O174" s="48">
        <v>0</v>
      </c>
      <c r="P174" s="48">
        <v>0</v>
      </c>
      <c r="Q174" s="48">
        <v>0</v>
      </c>
      <c r="R174" s="585"/>
      <c r="S174" s="48">
        <v>0</v>
      </c>
      <c r="T174" s="48"/>
      <c r="U174" s="48">
        <v>0</v>
      </c>
      <c r="V174" s="48">
        <v>0</v>
      </c>
      <c r="W174" s="48">
        <v>0</v>
      </c>
      <c r="X174" s="48">
        <v>0</v>
      </c>
      <c r="Y174" s="48">
        <v>0</v>
      </c>
      <c r="Z174" s="48">
        <v>0</v>
      </c>
      <c r="AA174" s="48">
        <v>0</v>
      </c>
      <c r="AB174" s="48">
        <v>0</v>
      </c>
      <c r="AC174" s="48">
        <v>0</v>
      </c>
      <c r="AD174" s="48">
        <v>0</v>
      </c>
      <c r="AE174" s="48"/>
      <c r="AF174" s="48"/>
      <c r="AG174" s="48"/>
      <c r="AH174" s="48"/>
      <c r="AI174" s="48"/>
      <c r="AJ174" s="48"/>
      <c r="AK174" s="661">
        <v>1.8235898214986958E-4</v>
      </c>
      <c r="AL174" s="661">
        <v>4.2817079564676507E-4</v>
      </c>
      <c r="AM174" s="48">
        <v>0</v>
      </c>
      <c r="AN174" s="585"/>
      <c r="AO174" s="585"/>
      <c r="AP174" s="661"/>
      <c r="AQ174" s="48"/>
      <c r="AR174" s="48"/>
      <c r="AS174" s="48"/>
      <c r="AT174" s="48"/>
      <c r="AU174" s="48"/>
      <c r="AV174" s="48"/>
      <c r="AW174" s="48"/>
      <c r="AX174" s="48"/>
      <c r="AY174" s="48"/>
      <c r="AZ174" s="48">
        <f t="shared" si="30"/>
        <v>1.0011000000000001E-2</v>
      </c>
      <c r="BA174" s="4" t="str">
        <f t="shared" si="31"/>
        <v>DE child</v>
      </c>
      <c r="BB174" s="4">
        <f t="shared" si="32"/>
        <v>0</v>
      </c>
      <c r="BC174" s="4" t="str">
        <f t="shared" si="33"/>
        <v/>
      </c>
    </row>
    <row r="175" spans="1:55" ht="15" customHeight="1" outlineLevel="2" x14ac:dyDescent="0.2">
      <c r="A175" s="132">
        <v>3</v>
      </c>
      <c r="B175" s="3">
        <v>254000</v>
      </c>
      <c r="C175" s="3" t="s">
        <v>732</v>
      </c>
      <c r="D175" s="80">
        <f>input_values!Z175</f>
        <v>3</v>
      </c>
      <c r="E175" s="660">
        <v>0.01</v>
      </c>
      <c r="F175" s="48">
        <v>0</v>
      </c>
      <c r="G175" s="48">
        <v>0</v>
      </c>
      <c r="H175" s="48">
        <v>0</v>
      </c>
      <c r="I175" s="48">
        <v>0</v>
      </c>
      <c r="J175" s="48">
        <v>0</v>
      </c>
      <c r="K175" s="48">
        <v>0</v>
      </c>
      <c r="L175" s="48">
        <v>0</v>
      </c>
      <c r="M175" s="48">
        <v>0</v>
      </c>
      <c r="N175" s="48">
        <v>0</v>
      </c>
      <c r="O175" s="48">
        <v>0</v>
      </c>
      <c r="P175" s="48">
        <v>0</v>
      </c>
      <c r="Q175" s="48">
        <v>0</v>
      </c>
      <c r="R175" s="585"/>
      <c r="S175" s="48">
        <v>0</v>
      </c>
      <c r="T175" s="48"/>
      <c r="U175" s="48">
        <v>1.3297872340425532E-2</v>
      </c>
      <c r="V175" s="48">
        <v>0</v>
      </c>
      <c r="W175" s="48">
        <v>0</v>
      </c>
      <c r="X175" s="48">
        <v>0</v>
      </c>
      <c r="Y175" s="48">
        <v>0</v>
      </c>
      <c r="Z175" s="48">
        <v>0</v>
      </c>
      <c r="AA175" s="48">
        <v>0</v>
      </c>
      <c r="AB175" s="48">
        <v>1.6666666666666666E-2</v>
      </c>
      <c r="AC175" s="48">
        <v>1.3157894736842105E-3</v>
      </c>
      <c r="AD175" s="48">
        <v>7.4962518740629685E-3</v>
      </c>
      <c r="AE175" s="48">
        <v>2.6000000000000002E-2</v>
      </c>
      <c r="AF175" s="48">
        <v>5.8333333333333327E-3</v>
      </c>
      <c r="AG175" s="48">
        <v>5.2166666666666667E-2</v>
      </c>
      <c r="AH175" s="48">
        <v>0</v>
      </c>
      <c r="AI175" s="48">
        <v>0</v>
      </c>
      <c r="AJ175" s="48">
        <v>1.6666666666666668E-3</v>
      </c>
      <c r="AK175" s="661">
        <v>0</v>
      </c>
      <c r="AL175" s="661">
        <v>0</v>
      </c>
      <c r="AM175" s="48">
        <v>0</v>
      </c>
      <c r="AN175" s="585"/>
      <c r="AO175" s="585"/>
      <c r="AP175" s="661"/>
      <c r="AQ175" s="48"/>
      <c r="AR175" s="48"/>
      <c r="AS175" s="48"/>
      <c r="AT175" s="48"/>
      <c r="AU175" s="48"/>
      <c r="AV175" s="48"/>
      <c r="AW175" s="48"/>
      <c r="AX175" s="48"/>
      <c r="AY175" s="48"/>
      <c r="AZ175" s="48">
        <f t="shared" si="30"/>
        <v>5.2166666666666667E-2</v>
      </c>
      <c r="BA175" s="4" t="str">
        <f t="shared" si="31"/>
        <v>GEMS/Food G08</v>
      </c>
      <c r="BB175" s="4">
        <f t="shared" si="32"/>
        <v>0</v>
      </c>
      <c r="BC175" s="4" t="str">
        <f t="shared" si="33"/>
        <v/>
      </c>
    </row>
    <row r="176" spans="1:55" ht="15" customHeight="1" outlineLevel="2" x14ac:dyDescent="0.2">
      <c r="A176" s="132">
        <v>3</v>
      </c>
      <c r="B176" s="3">
        <v>255000</v>
      </c>
      <c r="C176" s="3" t="s">
        <v>733</v>
      </c>
      <c r="D176" s="80">
        <f>input_values!Z176</f>
        <v>3</v>
      </c>
      <c r="E176" s="660">
        <v>0.01</v>
      </c>
      <c r="F176" s="48">
        <v>0</v>
      </c>
      <c r="G176" s="48">
        <v>0</v>
      </c>
      <c r="H176" s="48">
        <v>7.1189476486827816E-3</v>
      </c>
      <c r="I176" s="48">
        <v>7.0512578059173645E-2</v>
      </c>
      <c r="J176" s="48">
        <v>5.8792083814202561E-2</v>
      </c>
      <c r="K176" s="48">
        <v>2.8839221341023791E-3</v>
      </c>
      <c r="L176" s="48">
        <v>0.26600000000000001</v>
      </c>
      <c r="M176" s="48">
        <v>5.0999999999999997E-2</v>
      </c>
      <c r="N176" s="48">
        <v>0</v>
      </c>
      <c r="O176" s="48">
        <v>0</v>
      </c>
      <c r="P176" s="48">
        <v>0</v>
      </c>
      <c r="Q176" s="48">
        <v>0</v>
      </c>
      <c r="R176" s="585"/>
      <c r="S176" s="48">
        <v>7.685342638075858E-2</v>
      </c>
      <c r="T176" s="48"/>
      <c r="U176" s="48">
        <v>0</v>
      </c>
      <c r="V176" s="48">
        <v>7.216959855660802E-3</v>
      </c>
      <c r="W176" s="48">
        <v>0</v>
      </c>
      <c r="X176" s="48">
        <v>0.13200000000000001</v>
      </c>
      <c r="Y176" s="48">
        <v>4.7770700636942675E-4</v>
      </c>
      <c r="Z176" s="48">
        <v>0</v>
      </c>
      <c r="AA176" s="48">
        <v>0</v>
      </c>
      <c r="AB176" s="48">
        <v>1.6666666666666666E-2</v>
      </c>
      <c r="AC176" s="48">
        <v>0</v>
      </c>
      <c r="AD176" s="48">
        <v>0</v>
      </c>
      <c r="AE176" s="48">
        <v>5.8333333333333327E-3</v>
      </c>
      <c r="AF176" s="48">
        <v>2.5000000000000001E-2</v>
      </c>
      <c r="AG176" s="48">
        <v>1.5833333333333331E-2</v>
      </c>
      <c r="AH176" s="48">
        <v>3.0666666666666668E-2</v>
      </c>
      <c r="AI176" s="48">
        <v>1.0833333333333334E-2</v>
      </c>
      <c r="AJ176" s="48">
        <v>1.6666666666666668E-3</v>
      </c>
      <c r="AK176" s="661">
        <v>4.9567999570463541E-3</v>
      </c>
      <c r="AL176" s="661">
        <v>3.6418135400521781E-3</v>
      </c>
      <c r="AM176" s="48">
        <v>0</v>
      </c>
      <c r="AN176" s="585"/>
      <c r="AO176" s="585"/>
      <c r="AP176" s="661"/>
      <c r="AQ176" s="48"/>
      <c r="AR176" s="48"/>
      <c r="AS176" s="48"/>
      <c r="AT176" s="48"/>
      <c r="AU176" s="48"/>
      <c r="AV176" s="48"/>
      <c r="AW176" s="48"/>
      <c r="AX176" s="48"/>
      <c r="AY176" s="48"/>
      <c r="AZ176" s="48">
        <f t="shared" si="30"/>
        <v>0.26600000000000001</v>
      </c>
      <c r="BA176" s="4" t="str">
        <f t="shared" si="31"/>
        <v>NL toddler</v>
      </c>
      <c r="BB176" s="4">
        <f t="shared" si="32"/>
        <v>0</v>
      </c>
      <c r="BC176" s="4" t="str">
        <f t="shared" si="33"/>
        <v/>
      </c>
    </row>
    <row r="177" spans="1:55" ht="15" customHeight="1" outlineLevel="2" x14ac:dyDescent="0.2">
      <c r="A177" s="132">
        <v>3</v>
      </c>
      <c r="B177" s="3">
        <v>256000</v>
      </c>
      <c r="C177" s="3" t="s">
        <v>734</v>
      </c>
      <c r="D177" s="80">
        <f>input_values!Z177</f>
        <v>4</v>
      </c>
      <c r="E177" s="654">
        <f>SUM(E178:E188)</f>
        <v>0.11010499999999999</v>
      </c>
      <c r="F177" s="48">
        <f t="shared" ref="F177:AO177" si="41">SUM(F178:F188)</f>
        <v>9.0909090909090909E-4</v>
      </c>
      <c r="G177" s="48">
        <f t="shared" si="41"/>
        <v>0</v>
      </c>
      <c r="H177" s="48">
        <f t="shared" si="41"/>
        <v>1.5110206889089879E-2</v>
      </c>
      <c r="I177" s="48">
        <f t="shared" si="41"/>
        <v>2.5006698840049198E-2</v>
      </c>
      <c r="J177" s="48">
        <f t="shared" si="41"/>
        <v>2.3038584169253605E-2</v>
      </c>
      <c r="K177" s="48">
        <f t="shared" si="41"/>
        <v>2.114876231675078E-2</v>
      </c>
      <c r="L177" s="48">
        <f t="shared" si="41"/>
        <v>6.0000000000000001E-3</v>
      </c>
      <c r="M177" s="48">
        <f t="shared" si="41"/>
        <v>5.0000000000000001E-3</v>
      </c>
      <c r="N177" s="48">
        <f t="shared" si="41"/>
        <v>0</v>
      </c>
      <c r="O177" s="48">
        <f t="shared" si="41"/>
        <v>0</v>
      </c>
      <c r="P177" s="48">
        <f t="shared" si="41"/>
        <v>2.2609853528628497E-3</v>
      </c>
      <c r="Q177" s="48">
        <f t="shared" si="41"/>
        <v>0</v>
      </c>
      <c r="R177" s="48">
        <f t="shared" si="41"/>
        <v>0</v>
      </c>
      <c r="S177" s="48">
        <f t="shared" si="41"/>
        <v>1.0740492897145626E-2</v>
      </c>
      <c r="T177" s="48"/>
      <c r="U177" s="48">
        <f t="shared" si="41"/>
        <v>4.3749999999999997E-2</v>
      </c>
      <c r="V177" s="48">
        <f t="shared" si="41"/>
        <v>2.4507592843181474E-2</v>
      </c>
      <c r="W177" s="48">
        <f t="shared" si="41"/>
        <v>0</v>
      </c>
      <c r="X177" s="48">
        <f t="shared" si="41"/>
        <v>6.0000000000000001E-3</v>
      </c>
      <c r="Y177" s="48">
        <f t="shared" si="41"/>
        <v>1.0576433121019108E-2</v>
      </c>
      <c r="Z177" s="48">
        <f t="shared" si="41"/>
        <v>5.0000000000000001E-3</v>
      </c>
      <c r="AA177" s="48">
        <f t="shared" si="41"/>
        <v>0</v>
      </c>
      <c r="AB177" s="48">
        <f t="shared" si="41"/>
        <v>1.6666666666666666E-2</v>
      </c>
      <c r="AC177" s="48">
        <f t="shared" si="41"/>
        <v>1.3157894736842105E-3</v>
      </c>
      <c r="AD177" s="48">
        <f t="shared" si="41"/>
        <v>2.9985007496251873E-3</v>
      </c>
      <c r="AE177" s="48">
        <f t="shared" si="41"/>
        <v>3.2833333333333332E-2</v>
      </c>
      <c r="AF177" s="48">
        <f t="shared" si="41"/>
        <v>3.8666666666666669E-2</v>
      </c>
      <c r="AG177" s="48">
        <f t="shared" si="41"/>
        <v>4.233333333333332E-2</v>
      </c>
      <c r="AH177" s="48">
        <f t="shared" si="41"/>
        <v>4.8666666666666664E-2</v>
      </c>
      <c r="AI177" s="48">
        <f t="shared" si="41"/>
        <v>1.9333333333333334E-2</v>
      </c>
      <c r="AJ177" s="48">
        <f t="shared" si="41"/>
        <v>4.0333333333333325E-2</v>
      </c>
      <c r="AK177" s="48">
        <f t="shared" si="41"/>
        <v>1.5574894244741523E-2</v>
      </c>
      <c r="AL177" s="48">
        <f t="shared" si="41"/>
        <v>1.7755470977231815E-2</v>
      </c>
      <c r="AM177" s="48">
        <f t="shared" si="41"/>
        <v>1.6334629999999999E-3</v>
      </c>
      <c r="AN177" s="48">
        <f t="shared" si="41"/>
        <v>0</v>
      </c>
      <c r="AO177" s="48">
        <f t="shared" si="41"/>
        <v>0</v>
      </c>
      <c r="AP177" s="48"/>
      <c r="AQ177" s="48"/>
      <c r="AR177" s="48"/>
      <c r="AS177" s="48"/>
      <c r="AT177" s="48"/>
      <c r="AU177" s="48"/>
      <c r="AV177" s="48"/>
      <c r="AW177" s="48"/>
      <c r="AX177" s="48" t="s">
        <v>369</v>
      </c>
      <c r="AY177" s="48"/>
      <c r="AZ177" s="48">
        <f t="shared" si="30"/>
        <v>0.11010499999999999</v>
      </c>
      <c r="BA177" s="4" t="str">
        <f t="shared" si="31"/>
        <v>DE child</v>
      </c>
      <c r="BB177" s="4">
        <f t="shared" si="32"/>
        <v>0</v>
      </c>
      <c r="BC177" s="4" t="str">
        <f t="shared" si="33"/>
        <v/>
      </c>
    </row>
    <row r="178" spans="1:55" ht="15" customHeight="1" outlineLevel="3" x14ac:dyDescent="0.2">
      <c r="A178" s="39">
        <v>4</v>
      </c>
      <c r="B178" s="23">
        <v>256010</v>
      </c>
      <c r="C178" s="23" t="s">
        <v>128</v>
      </c>
      <c r="D178" s="22">
        <f>input_values!Z178</f>
        <v>4</v>
      </c>
      <c r="E178" s="657">
        <v>1.0012E-2</v>
      </c>
      <c r="F178" s="31">
        <v>0</v>
      </c>
      <c r="G178" s="31">
        <v>0</v>
      </c>
      <c r="H178" s="31">
        <v>0</v>
      </c>
      <c r="I178" s="31">
        <v>0</v>
      </c>
      <c r="J178" s="31">
        <v>0</v>
      </c>
      <c r="K178" s="31">
        <v>0</v>
      </c>
      <c r="L178" s="31">
        <v>0</v>
      </c>
      <c r="M178" s="31">
        <v>0</v>
      </c>
      <c r="N178" s="31">
        <v>0</v>
      </c>
      <c r="O178" s="31">
        <v>0</v>
      </c>
      <c r="P178" s="31">
        <v>1.3302263648468711E-4</v>
      </c>
      <c r="Q178" s="31">
        <v>0</v>
      </c>
      <c r="R178" s="584"/>
      <c r="S178" s="31">
        <v>2.1036301055633408E-5</v>
      </c>
      <c r="T178" s="31"/>
      <c r="U178" s="31">
        <v>0</v>
      </c>
      <c r="V178" s="31">
        <v>0</v>
      </c>
      <c r="W178" s="31">
        <v>0</v>
      </c>
      <c r="X178" s="31">
        <v>0</v>
      </c>
      <c r="Y178" s="31">
        <v>0</v>
      </c>
      <c r="Z178" s="31">
        <v>0</v>
      </c>
      <c r="AA178" s="31">
        <v>0</v>
      </c>
      <c r="AB178" s="31">
        <v>0</v>
      </c>
      <c r="AC178" s="31">
        <v>0</v>
      </c>
      <c r="AD178" s="31">
        <v>0</v>
      </c>
      <c r="AE178" s="31">
        <v>4.1666666666666666E-3</v>
      </c>
      <c r="AF178" s="31">
        <v>0</v>
      </c>
      <c r="AG178" s="31">
        <v>0</v>
      </c>
      <c r="AH178" s="31">
        <v>0</v>
      </c>
      <c r="AI178" s="31">
        <v>0</v>
      </c>
      <c r="AJ178" s="31">
        <v>0</v>
      </c>
      <c r="AK178" s="663">
        <v>6.2255731968617676E-4</v>
      </c>
      <c r="AL178" s="663">
        <v>7.5458089019859347E-4</v>
      </c>
      <c r="AM178" s="31">
        <v>0</v>
      </c>
      <c r="AN178" s="584"/>
      <c r="AO178" s="584"/>
      <c r="AP178" s="663"/>
      <c r="AQ178" s="31"/>
      <c r="AR178" s="31"/>
      <c r="AS178" s="31"/>
      <c r="AT178" s="31"/>
      <c r="AU178" s="31"/>
      <c r="AV178" s="31"/>
      <c r="AW178" s="31"/>
      <c r="AX178" s="31"/>
      <c r="AY178" s="31"/>
      <c r="AZ178" s="31">
        <f t="shared" si="30"/>
        <v>1.0012E-2</v>
      </c>
      <c r="BA178" s="25" t="str">
        <f t="shared" si="31"/>
        <v>DE child</v>
      </c>
      <c r="BB178" s="25">
        <f t="shared" si="32"/>
        <v>0</v>
      </c>
      <c r="BC178" s="25" t="str">
        <f t="shared" si="33"/>
        <v/>
      </c>
    </row>
    <row r="179" spans="1:55" ht="15" customHeight="1" outlineLevel="3" x14ac:dyDescent="0.2">
      <c r="A179" s="39">
        <v>4</v>
      </c>
      <c r="B179" s="23">
        <v>256020</v>
      </c>
      <c r="C179" s="23" t="s">
        <v>129</v>
      </c>
      <c r="D179" s="22">
        <f>input_values!Z179</f>
        <v>4</v>
      </c>
      <c r="E179" s="657">
        <v>0.01</v>
      </c>
      <c r="F179" s="31">
        <v>0</v>
      </c>
      <c r="G179" s="31">
        <v>0</v>
      </c>
      <c r="H179" s="31">
        <v>6.1712548550062786E-3</v>
      </c>
      <c r="I179" s="31">
        <v>6.8018022515458484E-3</v>
      </c>
      <c r="J179" s="31">
        <v>4.9769716402127779E-3</v>
      </c>
      <c r="K179" s="31">
        <v>2.4032684450853162E-4</v>
      </c>
      <c r="L179" s="31">
        <v>0</v>
      </c>
      <c r="M179" s="31">
        <v>0</v>
      </c>
      <c r="N179" s="31">
        <v>0</v>
      </c>
      <c r="O179" s="31">
        <v>0</v>
      </c>
      <c r="P179" s="31">
        <v>9.1997336884154469E-4</v>
      </c>
      <c r="Q179" s="31">
        <v>0</v>
      </c>
      <c r="R179" s="584"/>
      <c r="S179" s="31">
        <v>3.3043983252072943E-3</v>
      </c>
      <c r="T179" s="31"/>
      <c r="U179" s="31">
        <v>0</v>
      </c>
      <c r="V179" s="31">
        <v>1.5035333032626671E-4</v>
      </c>
      <c r="W179" s="31">
        <v>0</v>
      </c>
      <c r="X179" s="31">
        <v>0</v>
      </c>
      <c r="Y179" s="31">
        <v>1.1433121019108281E-3</v>
      </c>
      <c r="Z179" s="31">
        <v>0</v>
      </c>
      <c r="AA179" s="31">
        <v>0</v>
      </c>
      <c r="AB179" s="31">
        <v>0</v>
      </c>
      <c r="AC179" s="31">
        <v>0</v>
      </c>
      <c r="AD179" s="31">
        <v>0</v>
      </c>
      <c r="AE179" s="31"/>
      <c r="AF179" s="31"/>
      <c r="AG179" s="31"/>
      <c r="AH179" s="31"/>
      <c r="AI179" s="31"/>
      <c r="AJ179" s="31"/>
      <c r="AK179" s="663">
        <v>3.9893880308812281E-3</v>
      </c>
      <c r="AL179" s="663">
        <v>4.7512118523692481E-3</v>
      </c>
      <c r="AM179" s="31">
        <v>0</v>
      </c>
      <c r="AN179" s="584"/>
      <c r="AO179" s="584"/>
      <c r="AP179" s="663"/>
      <c r="AQ179" s="31"/>
      <c r="AR179" s="31"/>
      <c r="AS179" s="31"/>
      <c r="AT179" s="31"/>
      <c r="AU179" s="31"/>
      <c r="AV179" s="31"/>
      <c r="AW179" s="31"/>
      <c r="AX179" s="31"/>
      <c r="AY179" s="31"/>
      <c r="AZ179" s="31">
        <f t="shared" si="30"/>
        <v>0.01</v>
      </c>
      <c r="BA179" s="25" t="str">
        <f t="shared" si="31"/>
        <v>DE child</v>
      </c>
      <c r="BB179" s="25">
        <f t="shared" si="32"/>
        <v>0</v>
      </c>
      <c r="BC179" s="25" t="str">
        <f t="shared" si="33"/>
        <v/>
      </c>
    </row>
    <row r="180" spans="1:55" ht="15" customHeight="1" outlineLevel="3" x14ac:dyDescent="0.2">
      <c r="A180" s="39">
        <v>4</v>
      </c>
      <c r="B180" s="23">
        <v>256030</v>
      </c>
      <c r="C180" s="23" t="s">
        <v>130</v>
      </c>
      <c r="D180" s="22">
        <f>input_values!Z180</f>
        <v>4</v>
      </c>
      <c r="E180" s="657">
        <v>1.0012999999999999E-2</v>
      </c>
      <c r="F180" s="31">
        <v>0</v>
      </c>
      <c r="G180" s="31">
        <v>0</v>
      </c>
      <c r="H180" s="31">
        <v>0</v>
      </c>
      <c r="I180" s="31">
        <v>0</v>
      </c>
      <c r="J180" s="31">
        <v>0</v>
      </c>
      <c r="K180" s="31">
        <v>0</v>
      </c>
      <c r="L180" s="31">
        <v>5.0000000000000001E-3</v>
      </c>
      <c r="M180" s="31">
        <v>4.0000000000000001E-3</v>
      </c>
      <c r="N180" s="31">
        <v>0</v>
      </c>
      <c r="O180" s="31">
        <v>0</v>
      </c>
      <c r="P180" s="31">
        <v>3.3901464713715051E-4</v>
      </c>
      <c r="Q180" s="31">
        <v>0</v>
      </c>
      <c r="R180" s="584"/>
      <c r="S180" s="31">
        <v>0</v>
      </c>
      <c r="T180" s="31"/>
      <c r="U180" s="31">
        <v>0</v>
      </c>
      <c r="V180" s="31">
        <v>0</v>
      </c>
      <c r="W180" s="31">
        <v>0</v>
      </c>
      <c r="X180" s="31">
        <v>4.0000000000000001E-3</v>
      </c>
      <c r="Y180" s="31">
        <v>8.0907643312101915E-3</v>
      </c>
      <c r="Z180" s="31">
        <v>0</v>
      </c>
      <c r="AA180" s="31">
        <v>0</v>
      </c>
      <c r="AB180" s="31">
        <v>0</v>
      </c>
      <c r="AC180" s="31">
        <v>0</v>
      </c>
      <c r="AD180" s="31">
        <v>0</v>
      </c>
      <c r="AE180" s="31">
        <v>2.8333333333333335E-3</v>
      </c>
      <c r="AF180" s="31">
        <v>0</v>
      </c>
      <c r="AG180" s="31">
        <v>0</v>
      </c>
      <c r="AH180" s="31">
        <v>0</v>
      </c>
      <c r="AI180" s="31">
        <v>0</v>
      </c>
      <c r="AJ180" s="31">
        <v>0</v>
      </c>
      <c r="AK180" s="663">
        <v>0</v>
      </c>
      <c r="AL180" s="663">
        <v>0</v>
      </c>
      <c r="AM180" s="31">
        <v>0</v>
      </c>
      <c r="AN180" s="584"/>
      <c r="AO180" s="584"/>
      <c r="AP180" s="663"/>
      <c r="AQ180" s="31"/>
      <c r="AR180" s="31"/>
      <c r="AS180" s="31"/>
      <c r="AT180" s="31"/>
      <c r="AU180" s="31"/>
      <c r="AV180" s="31"/>
      <c r="AW180" s="31"/>
      <c r="AX180" s="31"/>
      <c r="AY180" s="31"/>
      <c r="AZ180" s="31">
        <f t="shared" si="30"/>
        <v>1.0012999999999999E-2</v>
      </c>
      <c r="BA180" s="25" t="str">
        <f t="shared" si="31"/>
        <v>DE child</v>
      </c>
      <c r="BB180" s="25">
        <f t="shared" si="32"/>
        <v>0</v>
      </c>
      <c r="BC180" s="25" t="str">
        <f t="shared" si="33"/>
        <v/>
      </c>
    </row>
    <row r="181" spans="1:55" ht="15" customHeight="1" outlineLevel="3" x14ac:dyDescent="0.2">
      <c r="A181" s="39">
        <v>4</v>
      </c>
      <c r="B181" s="23">
        <v>256040</v>
      </c>
      <c r="C181" s="23" t="s">
        <v>131</v>
      </c>
      <c r="D181" s="22">
        <f>input_values!Z181</f>
        <v>4</v>
      </c>
      <c r="E181" s="657">
        <v>0.01</v>
      </c>
      <c r="F181" s="31">
        <v>9.0909090909090909E-4</v>
      </c>
      <c r="G181" s="31">
        <v>0</v>
      </c>
      <c r="H181" s="31">
        <v>8.6152368994747396E-3</v>
      </c>
      <c r="I181" s="31">
        <v>1.1616016274365443E-2</v>
      </c>
      <c r="J181" s="31">
        <v>8.0071672280140928E-3</v>
      </c>
      <c r="K181" s="31">
        <v>8.8920932468156688E-3</v>
      </c>
      <c r="L181" s="31">
        <v>1E-3</v>
      </c>
      <c r="M181" s="31">
        <v>1E-3</v>
      </c>
      <c r="N181" s="31">
        <v>0</v>
      </c>
      <c r="O181" s="31">
        <v>0</v>
      </c>
      <c r="P181" s="31">
        <v>8.6897470039946738E-4</v>
      </c>
      <c r="Q181" s="31">
        <v>0</v>
      </c>
      <c r="R181" s="584"/>
      <c r="S181" s="31">
        <v>5.4570313288163606E-3</v>
      </c>
      <c r="T181" s="31"/>
      <c r="U181" s="31">
        <v>5.1861702127659571E-3</v>
      </c>
      <c r="V181" s="31">
        <v>1.0224026462186137E-2</v>
      </c>
      <c r="W181" s="31">
        <v>0</v>
      </c>
      <c r="X181" s="31">
        <v>2E-3</v>
      </c>
      <c r="Y181" s="31">
        <v>1.3423566878980892E-3</v>
      </c>
      <c r="Z181" s="31">
        <v>5.0000000000000001E-3</v>
      </c>
      <c r="AA181" s="31">
        <v>0</v>
      </c>
      <c r="AB181" s="31">
        <v>1.6666666666666666E-2</v>
      </c>
      <c r="AC181" s="31">
        <v>1.3157894736842105E-3</v>
      </c>
      <c r="AD181" s="31">
        <v>2.9985007496251873E-3</v>
      </c>
      <c r="AE181" s="31">
        <v>1.2833333333333334E-2</v>
      </c>
      <c r="AF181" s="31">
        <v>2.3833333333333331E-2</v>
      </c>
      <c r="AG181" s="31">
        <v>3.5666666666666666E-2</v>
      </c>
      <c r="AH181" s="31">
        <v>4.2333333333333334E-2</v>
      </c>
      <c r="AI181" s="31">
        <v>1.3000000000000001E-2</v>
      </c>
      <c r="AJ181" s="31">
        <v>3.1166666666666669E-2</v>
      </c>
      <c r="AK181" s="663">
        <v>7.2330347155979543E-3</v>
      </c>
      <c r="AL181" s="663">
        <v>7.6144120372110399E-3</v>
      </c>
      <c r="AM181" s="31">
        <v>2.8943300000000002E-4</v>
      </c>
      <c r="AN181" s="584"/>
      <c r="AO181" s="584"/>
      <c r="AP181" s="663"/>
      <c r="AQ181" s="31"/>
      <c r="AR181" s="31"/>
      <c r="AS181" s="31"/>
      <c r="AT181" s="31"/>
      <c r="AU181" s="31"/>
      <c r="AV181" s="31"/>
      <c r="AW181" s="31"/>
      <c r="AX181" s="31"/>
      <c r="AY181" s="31"/>
      <c r="AZ181" s="31">
        <f t="shared" si="30"/>
        <v>4.2333333333333334E-2</v>
      </c>
      <c r="BA181" s="25" t="str">
        <f t="shared" si="31"/>
        <v>GEMS/Food G10</v>
      </c>
      <c r="BB181" s="25">
        <f t="shared" si="32"/>
        <v>0</v>
      </c>
      <c r="BC181" s="25" t="str">
        <f t="shared" si="33"/>
        <v/>
      </c>
    </row>
    <row r="182" spans="1:55" ht="15" customHeight="1" outlineLevel="3" x14ac:dyDescent="0.2">
      <c r="A182" s="39">
        <v>4</v>
      </c>
      <c r="B182" s="23">
        <v>256050</v>
      </c>
      <c r="C182" s="23" t="s">
        <v>132</v>
      </c>
      <c r="D182" s="22">
        <f>input_values!Z182</f>
        <v>4</v>
      </c>
      <c r="E182" s="657">
        <v>1.0014E-2</v>
      </c>
      <c r="F182" s="31">
        <v>0</v>
      </c>
      <c r="G182" s="31">
        <v>0</v>
      </c>
      <c r="H182" s="31">
        <v>0</v>
      </c>
      <c r="I182" s="31">
        <v>0</v>
      </c>
      <c r="J182" s="31">
        <v>0</v>
      </c>
      <c r="K182" s="31">
        <v>0</v>
      </c>
      <c r="L182" s="31">
        <v>0</v>
      </c>
      <c r="M182" s="31">
        <v>0</v>
      </c>
      <c r="N182" s="31">
        <v>0</v>
      </c>
      <c r="O182" s="31">
        <v>0</v>
      </c>
      <c r="P182" s="31">
        <v>0</v>
      </c>
      <c r="Q182" s="31">
        <v>0</v>
      </c>
      <c r="R182" s="584"/>
      <c r="S182" s="31">
        <v>0</v>
      </c>
      <c r="T182" s="31"/>
      <c r="U182" s="31">
        <v>0</v>
      </c>
      <c r="V182" s="31">
        <v>0</v>
      </c>
      <c r="W182" s="31">
        <v>0</v>
      </c>
      <c r="X182" s="31">
        <v>0</v>
      </c>
      <c r="Y182" s="31">
        <v>0</v>
      </c>
      <c r="Z182" s="31">
        <v>0</v>
      </c>
      <c r="AA182" s="31">
        <v>0</v>
      </c>
      <c r="AB182" s="31">
        <v>0</v>
      </c>
      <c r="AC182" s="31">
        <v>0</v>
      </c>
      <c r="AD182" s="31">
        <v>0</v>
      </c>
      <c r="AE182" s="31">
        <v>1.6666666666666668E-3</v>
      </c>
      <c r="AF182" s="31">
        <v>1.6666666666666668E-3</v>
      </c>
      <c r="AG182" s="31">
        <v>1.6666666666666668E-3</v>
      </c>
      <c r="AH182" s="31">
        <v>1.6666666666666668E-3</v>
      </c>
      <c r="AI182" s="31">
        <v>0</v>
      </c>
      <c r="AJ182" s="31">
        <v>1.6666666666666668E-3</v>
      </c>
      <c r="AK182" s="663">
        <v>8.6921044025036482E-5</v>
      </c>
      <c r="AL182" s="663">
        <v>7.6989062074652267E-5</v>
      </c>
      <c r="AM182" s="31">
        <v>1.34403E-3</v>
      </c>
      <c r="AN182" s="584"/>
      <c r="AO182" s="584"/>
      <c r="AP182" s="663"/>
      <c r="AQ182" s="31"/>
      <c r="AR182" s="31"/>
      <c r="AS182" s="31"/>
      <c r="AT182" s="31"/>
      <c r="AU182" s="31"/>
      <c r="AV182" s="31"/>
      <c r="AW182" s="31"/>
      <c r="AX182" s="31"/>
      <c r="AY182" s="31"/>
      <c r="AZ182" s="31">
        <f t="shared" si="30"/>
        <v>1.0014E-2</v>
      </c>
      <c r="BA182" s="25" t="str">
        <f t="shared" si="31"/>
        <v>DE child</v>
      </c>
      <c r="BB182" s="25">
        <f t="shared" si="32"/>
        <v>0</v>
      </c>
      <c r="BC182" s="25" t="str">
        <f t="shared" si="33"/>
        <v/>
      </c>
    </row>
    <row r="183" spans="1:55" ht="15" customHeight="1" outlineLevel="3" x14ac:dyDescent="0.2">
      <c r="A183" s="39">
        <v>4</v>
      </c>
      <c r="B183" s="23">
        <v>256060</v>
      </c>
      <c r="C183" s="23" t="s">
        <v>133</v>
      </c>
      <c r="D183" s="22">
        <f>input_values!Z183</f>
        <v>4</v>
      </c>
      <c r="E183" s="657">
        <v>1.0015E-2</v>
      </c>
      <c r="F183" s="31">
        <v>0</v>
      </c>
      <c r="G183" s="31">
        <v>0</v>
      </c>
      <c r="H183" s="31">
        <v>0</v>
      </c>
      <c r="I183" s="31">
        <v>0</v>
      </c>
      <c r="J183" s="31">
        <v>0</v>
      </c>
      <c r="K183" s="31">
        <v>0</v>
      </c>
      <c r="L183" s="31">
        <v>0</v>
      </c>
      <c r="M183" s="31">
        <v>0</v>
      </c>
      <c r="N183" s="31">
        <v>0</v>
      </c>
      <c r="O183" s="31">
        <v>0</v>
      </c>
      <c r="P183" s="31">
        <v>0</v>
      </c>
      <c r="Q183" s="31">
        <v>0</v>
      </c>
      <c r="R183" s="584"/>
      <c r="S183" s="31">
        <v>0</v>
      </c>
      <c r="T183" s="31"/>
      <c r="U183" s="31">
        <v>0</v>
      </c>
      <c r="V183" s="31">
        <v>0</v>
      </c>
      <c r="W183" s="31">
        <v>0</v>
      </c>
      <c r="X183" s="31">
        <v>0</v>
      </c>
      <c r="Y183" s="31">
        <v>0</v>
      </c>
      <c r="Z183" s="31">
        <v>0</v>
      </c>
      <c r="AA183" s="31">
        <v>0</v>
      </c>
      <c r="AB183" s="31">
        <v>0</v>
      </c>
      <c r="AC183" s="31">
        <v>0</v>
      </c>
      <c r="AD183" s="31">
        <v>0</v>
      </c>
      <c r="AE183" s="31">
        <v>1.6666666666666668E-3</v>
      </c>
      <c r="AF183" s="31">
        <v>1.6666666666666668E-3</v>
      </c>
      <c r="AG183" s="31">
        <v>1.6666666666666668E-3</v>
      </c>
      <c r="AH183" s="31">
        <v>1.6666666666666668E-3</v>
      </c>
      <c r="AI183" s="31">
        <v>0</v>
      </c>
      <c r="AJ183" s="31">
        <v>1.6666666666666668E-3</v>
      </c>
      <c r="AK183" s="663">
        <v>3.3015348934025107E-4</v>
      </c>
      <c r="AL183" s="663">
        <v>3.6320538969781348E-4</v>
      </c>
      <c r="AM183" s="31">
        <v>0</v>
      </c>
      <c r="AN183" s="584"/>
      <c r="AO183" s="584"/>
      <c r="AP183" s="663"/>
      <c r="AQ183" s="31"/>
      <c r="AR183" s="31"/>
      <c r="AS183" s="31"/>
      <c r="AT183" s="31"/>
      <c r="AU183" s="31"/>
      <c r="AV183" s="31"/>
      <c r="AW183" s="31"/>
      <c r="AX183" s="31"/>
      <c r="AY183" s="31"/>
      <c r="AZ183" s="31">
        <f t="shared" si="30"/>
        <v>1.0015E-2</v>
      </c>
      <c r="BA183" s="25" t="str">
        <f t="shared" si="31"/>
        <v>DE child</v>
      </c>
      <c r="BB183" s="25">
        <f t="shared" si="32"/>
        <v>0</v>
      </c>
      <c r="BC183" s="25" t="str">
        <f t="shared" si="33"/>
        <v/>
      </c>
    </row>
    <row r="184" spans="1:55" ht="15" customHeight="1" outlineLevel="3" x14ac:dyDescent="0.2">
      <c r="A184" s="39">
        <v>4</v>
      </c>
      <c r="B184" s="23">
        <v>256070</v>
      </c>
      <c r="C184" s="23" t="s">
        <v>134</v>
      </c>
      <c r="D184" s="22">
        <f>input_values!Z184</f>
        <v>4</v>
      </c>
      <c r="E184" s="657">
        <v>1.0016000000000001E-2</v>
      </c>
      <c r="F184" s="31">
        <v>0</v>
      </c>
      <c r="G184" s="31">
        <v>0</v>
      </c>
      <c r="H184" s="31">
        <v>0</v>
      </c>
      <c r="I184" s="31">
        <v>0</v>
      </c>
      <c r="J184" s="31">
        <v>0</v>
      </c>
      <c r="K184" s="31">
        <v>0</v>
      </c>
      <c r="L184" s="31">
        <v>0</v>
      </c>
      <c r="M184" s="31">
        <v>0</v>
      </c>
      <c r="N184" s="31">
        <v>0</v>
      </c>
      <c r="O184" s="31">
        <v>0</v>
      </c>
      <c r="P184" s="31">
        <v>0</v>
      </c>
      <c r="Q184" s="31">
        <v>0</v>
      </c>
      <c r="R184" s="584"/>
      <c r="S184" s="31">
        <v>0</v>
      </c>
      <c r="T184" s="31"/>
      <c r="U184" s="31">
        <v>0</v>
      </c>
      <c r="V184" s="31">
        <v>0</v>
      </c>
      <c r="W184" s="31">
        <v>0</v>
      </c>
      <c r="X184" s="31">
        <v>0</v>
      </c>
      <c r="Y184" s="31">
        <v>0</v>
      </c>
      <c r="Z184" s="31">
        <v>0</v>
      </c>
      <c r="AA184" s="31">
        <v>0</v>
      </c>
      <c r="AB184" s="31">
        <v>0</v>
      </c>
      <c r="AC184" s="31">
        <v>0</v>
      </c>
      <c r="AD184" s="31">
        <v>0</v>
      </c>
      <c r="AE184" s="31">
        <v>4.8333333333333327E-3</v>
      </c>
      <c r="AF184" s="31">
        <v>2.8333333333333335E-3</v>
      </c>
      <c r="AG184" s="31">
        <v>1.6666666666666668E-3</v>
      </c>
      <c r="AH184" s="31">
        <v>0</v>
      </c>
      <c r="AI184" s="31">
        <v>4.3333333333333331E-3</v>
      </c>
      <c r="AJ184" s="31">
        <v>2E-3</v>
      </c>
      <c r="AK184" s="663">
        <v>0</v>
      </c>
      <c r="AL184" s="663">
        <v>0</v>
      </c>
      <c r="AM184" s="31">
        <v>0</v>
      </c>
      <c r="AN184" s="584"/>
      <c r="AO184" s="584"/>
      <c r="AP184" s="663"/>
      <c r="AQ184" s="31"/>
      <c r="AR184" s="31"/>
      <c r="AS184" s="31"/>
      <c r="AT184" s="31"/>
      <c r="AU184" s="31"/>
      <c r="AV184" s="31"/>
      <c r="AW184" s="31"/>
      <c r="AX184" s="31"/>
      <c r="AY184" s="31"/>
      <c r="AZ184" s="31">
        <f t="shared" si="30"/>
        <v>1.0016000000000001E-2</v>
      </c>
      <c r="BA184" s="25" t="str">
        <f t="shared" si="31"/>
        <v>DE child</v>
      </c>
      <c r="BB184" s="25">
        <f t="shared" si="32"/>
        <v>0</v>
      </c>
      <c r="BC184" s="25" t="str">
        <f t="shared" si="33"/>
        <v/>
      </c>
    </row>
    <row r="185" spans="1:55" ht="15" customHeight="1" outlineLevel="3" x14ac:dyDescent="0.2">
      <c r="A185" s="39">
        <v>4</v>
      </c>
      <c r="B185" s="23">
        <v>256080</v>
      </c>
      <c r="C185" s="23" t="s">
        <v>735</v>
      </c>
      <c r="D185" s="22">
        <f>input_values!Z185</f>
        <v>4</v>
      </c>
      <c r="E185" s="657">
        <v>0.01</v>
      </c>
      <c r="F185" s="31">
        <v>0</v>
      </c>
      <c r="G185" s="31">
        <v>0</v>
      </c>
      <c r="H185" s="31">
        <v>0</v>
      </c>
      <c r="I185" s="31">
        <v>2.8871391076115487E-4</v>
      </c>
      <c r="J185" s="31">
        <v>3.1640887048856682E-4</v>
      </c>
      <c r="K185" s="31">
        <v>0</v>
      </c>
      <c r="L185" s="31">
        <v>0</v>
      </c>
      <c r="M185" s="31">
        <v>0</v>
      </c>
      <c r="N185" s="31">
        <v>0</v>
      </c>
      <c r="O185" s="31">
        <v>0</v>
      </c>
      <c r="P185" s="31">
        <v>0</v>
      </c>
      <c r="Q185" s="31">
        <v>0</v>
      </c>
      <c r="R185" s="584"/>
      <c r="S185" s="31">
        <v>4.1014354625391848E-4</v>
      </c>
      <c r="T185" s="31"/>
      <c r="U185" s="31">
        <v>3.3244680851063829E-2</v>
      </c>
      <c r="V185" s="31">
        <v>0</v>
      </c>
      <c r="W185" s="31">
        <v>0</v>
      </c>
      <c r="X185" s="31">
        <v>0</v>
      </c>
      <c r="Y185" s="31">
        <v>0</v>
      </c>
      <c r="Z185" s="31">
        <v>0</v>
      </c>
      <c r="AA185" s="31">
        <v>0</v>
      </c>
      <c r="AB185" s="31">
        <v>0</v>
      </c>
      <c r="AC185" s="31">
        <v>0</v>
      </c>
      <c r="AD185" s="31">
        <v>0</v>
      </c>
      <c r="AE185" s="31">
        <v>3.1666666666666666E-3</v>
      </c>
      <c r="AF185" s="31">
        <v>8.6666666666666663E-3</v>
      </c>
      <c r="AG185" s="31">
        <v>1.6666666666666668E-3</v>
      </c>
      <c r="AH185" s="31">
        <v>3.0000000000000001E-3</v>
      </c>
      <c r="AI185" s="31">
        <v>2E-3</v>
      </c>
      <c r="AJ185" s="31">
        <v>2.1666666666666666E-3</v>
      </c>
      <c r="AK185" s="663">
        <v>1.1917277894795807E-3</v>
      </c>
      <c r="AL185" s="663">
        <v>1.6374067051868272E-3</v>
      </c>
      <c r="AM185" s="31">
        <v>0</v>
      </c>
      <c r="AN185" s="584"/>
      <c r="AO185" s="584"/>
      <c r="AP185" s="663"/>
      <c r="AQ185" s="31"/>
      <c r="AR185" s="31"/>
      <c r="AS185" s="31"/>
      <c r="AT185" s="31"/>
      <c r="AU185" s="31"/>
      <c r="AV185" s="31"/>
      <c r="AW185" s="31"/>
      <c r="AX185" s="31"/>
      <c r="AY185" s="31"/>
      <c r="AZ185" s="31">
        <f t="shared" si="30"/>
        <v>3.3244680851063829E-2</v>
      </c>
      <c r="BA185" s="25" t="str">
        <f t="shared" si="31"/>
        <v>IE adult</v>
      </c>
      <c r="BB185" s="25">
        <f t="shared" si="32"/>
        <v>0</v>
      </c>
      <c r="BC185" s="25" t="str">
        <f t="shared" si="33"/>
        <v/>
      </c>
    </row>
    <row r="186" spans="1:55" ht="15" customHeight="1" outlineLevel="3" x14ac:dyDescent="0.2">
      <c r="A186" s="39">
        <v>4</v>
      </c>
      <c r="B186" s="23">
        <v>256090</v>
      </c>
      <c r="C186" s="23" t="s">
        <v>736</v>
      </c>
      <c r="D186" s="22">
        <f>input_values!Z186</f>
        <v>4</v>
      </c>
      <c r="E186" s="657">
        <v>1.0017E-2</v>
      </c>
      <c r="F186" s="31">
        <v>0</v>
      </c>
      <c r="G186" s="31">
        <v>0</v>
      </c>
      <c r="H186" s="31">
        <v>0</v>
      </c>
      <c r="I186" s="31">
        <v>0</v>
      </c>
      <c r="J186" s="31">
        <v>0</v>
      </c>
      <c r="K186" s="31">
        <v>0</v>
      </c>
      <c r="L186" s="31">
        <v>0</v>
      </c>
      <c r="M186" s="31">
        <v>0</v>
      </c>
      <c r="N186" s="31">
        <v>0</v>
      </c>
      <c r="O186" s="31">
        <v>0</v>
      </c>
      <c r="P186" s="31">
        <v>0</v>
      </c>
      <c r="Q186" s="31">
        <v>0</v>
      </c>
      <c r="R186" s="584"/>
      <c r="S186" s="31">
        <v>0</v>
      </c>
      <c r="T186" s="31"/>
      <c r="U186" s="31">
        <v>0</v>
      </c>
      <c r="V186" s="31">
        <v>0</v>
      </c>
      <c r="W186" s="31">
        <v>0</v>
      </c>
      <c r="X186" s="31">
        <v>0</v>
      </c>
      <c r="Y186" s="31">
        <v>0</v>
      </c>
      <c r="Z186" s="31">
        <v>0</v>
      </c>
      <c r="AA186" s="31">
        <v>0</v>
      </c>
      <c r="AB186" s="31">
        <v>0</v>
      </c>
      <c r="AC186" s="31">
        <v>0</v>
      </c>
      <c r="AD186" s="31">
        <v>0</v>
      </c>
      <c r="AE186" s="31"/>
      <c r="AF186" s="31"/>
      <c r="AG186" s="31"/>
      <c r="AH186" s="31"/>
      <c r="AI186" s="31"/>
      <c r="AJ186" s="31"/>
      <c r="AK186" s="663">
        <v>1.7993806700166348E-3</v>
      </c>
      <c r="AL186" s="663">
        <v>2.1372814310603363E-3</v>
      </c>
      <c r="AM186" s="31">
        <v>0</v>
      </c>
      <c r="AN186" s="584"/>
      <c r="AO186" s="584"/>
      <c r="AP186" s="663"/>
      <c r="AQ186" s="31"/>
      <c r="AR186" s="31"/>
      <c r="AS186" s="31"/>
      <c r="AT186" s="31"/>
      <c r="AU186" s="31"/>
      <c r="AV186" s="31"/>
      <c r="AW186" s="31"/>
      <c r="AX186" s="31"/>
      <c r="AY186" s="31"/>
      <c r="AZ186" s="31">
        <f t="shared" si="30"/>
        <v>1.0017E-2</v>
      </c>
      <c r="BA186" s="25" t="str">
        <f t="shared" si="31"/>
        <v>DE child</v>
      </c>
      <c r="BB186" s="25">
        <f t="shared" si="32"/>
        <v>0</v>
      </c>
      <c r="BC186" s="25" t="str">
        <f t="shared" si="33"/>
        <v/>
      </c>
    </row>
    <row r="187" spans="1:55" ht="15" customHeight="1" outlineLevel="3" x14ac:dyDescent="0.2">
      <c r="A187" s="39">
        <v>4</v>
      </c>
      <c r="B187" s="23">
        <v>256100</v>
      </c>
      <c r="C187" s="23" t="s">
        <v>31</v>
      </c>
      <c r="D187" s="22">
        <f>input_values!Z187</f>
        <v>4</v>
      </c>
      <c r="E187" s="657">
        <v>1.0018000000000001E-2</v>
      </c>
      <c r="F187" s="31">
        <v>0</v>
      </c>
      <c r="G187" s="31">
        <v>0</v>
      </c>
      <c r="H187" s="31">
        <v>0</v>
      </c>
      <c r="I187" s="31">
        <v>4.1994750656167981E-5</v>
      </c>
      <c r="J187" s="31">
        <v>1.5378756141219483E-5</v>
      </c>
      <c r="K187" s="31">
        <v>0</v>
      </c>
      <c r="L187" s="31">
        <v>0</v>
      </c>
      <c r="M187" s="31">
        <v>0</v>
      </c>
      <c r="N187" s="31">
        <v>0</v>
      </c>
      <c r="O187" s="31">
        <v>0</v>
      </c>
      <c r="P187" s="31">
        <v>0</v>
      </c>
      <c r="Q187" s="31">
        <v>0</v>
      </c>
      <c r="R187" s="584"/>
      <c r="S187" s="31">
        <v>2.0188023917526949E-5</v>
      </c>
      <c r="T187" s="31"/>
      <c r="U187" s="31">
        <v>0</v>
      </c>
      <c r="V187" s="31">
        <v>0</v>
      </c>
      <c r="W187" s="31">
        <v>0</v>
      </c>
      <c r="X187" s="31">
        <v>0</v>
      </c>
      <c r="Y187" s="31">
        <v>0</v>
      </c>
      <c r="Z187" s="31">
        <v>0</v>
      </c>
      <c r="AA187" s="31">
        <v>0</v>
      </c>
      <c r="AB187" s="31">
        <v>0</v>
      </c>
      <c r="AC187" s="31">
        <v>0</v>
      </c>
      <c r="AD187" s="31">
        <v>0</v>
      </c>
      <c r="AE187" s="31">
        <v>1.6666666666666668E-3</v>
      </c>
      <c r="AF187" s="31">
        <v>0</v>
      </c>
      <c r="AG187" s="31">
        <v>0</v>
      </c>
      <c r="AH187" s="31">
        <v>0</v>
      </c>
      <c r="AI187" s="31">
        <v>0</v>
      </c>
      <c r="AJ187" s="31">
        <v>1.6666666666666668E-3</v>
      </c>
      <c r="AK187" s="663">
        <v>3.2173118571465954E-4</v>
      </c>
      <c r="AL187" s="663">
        <v>4.2038360943330523E-4</v>
      </c>
      <c r="AM187" s="31">
        <v>0</v>
      </c>
      <c r="AN187" s="584"/>
      <c r="AO187" s="584"/>
      <c r="AP187" s="663"/>
      <c r="AQ187" s="31"/>
      <c r="AR187" s="31"/>
      <c r="AS187" s="31"/>
      <c r="AT187" s="31"/>
      <c r="AU187" s="31"/>
      <c r="AV187" s="31"/>
      <c r="AW187" s="31"/>
      <c r="AX187" s="31"/>
      <c r="AY187" s="31"/>
      <c r="AZ187" s="31">
        <f t="shared" si="30"/>
        <v>1.0018000000000001E-2</v>
      </c>
      <c r="BA187" s="25" t="str">
        <f t="shared" si="31"/>
        <v>DE child</v>
      </c>
      <c r="BB187" s="25">
        <f t="shared" si="32"/>
        <v>0</v>
      </c>
      <c r="BC187" s="25" t="str">
        <f t="shared" si="33"/>
        <v/>
      </c>
    </row>
    <row r="188" spans="1:55" ht="15" customHeight="1" outlineLevel="3" x14ac:dyDescent="0.2">
      <c r="A188" s="39">
        <v>4</v>
      </c>
      <c r="B188" s="23">
        <v>256990</v>
      </c>
      <c r="C188" s="23" t="s">
        <v>175</v>
      </c>
      <c r="D188" s="22">
        <f>input_values!Z188</f>
        <v>4</v>
      </c>
      <c r="E188" s="657">
        <v>0.01</v>
      </c>
      <c r="F188" s="31"/>
      <c r="G188" s="31">
        <v>0</v>
      </c>
      <c r="H188" s="31">
        <v>3.2371513460886092E-4</v>
      </c>
      <c r="I188" s="31">
        <v>6.2581716527205806E-3</v>
      </c>
      <c r="J188" s="31">
        <v>9.7226576743969471E-3</v>
      </c>
      <c r="K188" s="31">
        <v>1.2016342225426579E-2</v>
      </c>
      <c r="L188" s="31">
        <v>0</v>
      </c>
      <c r="M188" s="31">
        <v>0</v>
      </c>
      <c r="N188" s="31">
        <v>0</v>
      </c>
      <c r="O188" s="31">
        <v>0</v>
      </c>
      <c r="P188" s="31">
        <v>0</v>
      </c>
      <c r="Q188" s="31">
        <v>0</v>
      </c>
      <c r="R188" s="584"/>
      <c r="S188" s="31">
        <v>1.5276953718948918E-3</v>
      </c>
      <c r="T188" s="31"/>
      <c r="U188" s="31">
        <v>5.3191489361702126E-3</v>
      </c>
      <c r="V188" s="31">
        <v>1.413321305066907E-2</v>
      </c>
      <c r="W188" s="31">
        <v>0</v>
      </c>
      <c r="X188" s="31">
        <v>0</v>
      </c>
      <c r="Y188" s="31">
        <v>0</v>
      </c>
      <c r="Z188" s="31">
        <v>0</v>
      </c>
      <c r="AA188" s="31">
        <v>0</v>
      </c>
      <c r="AB188" s="31">
        <v>0</v>
      </c>
      <c r="AC188" s="31">
        <v>0</v>
      </c>
      <c r="AD188" s="31">
        <v>0</v>
      </c>
      <c r="AE188" s="31"/>
      <c r="AF188" s="31"/>
      <c r="AG188" s="31"/>
      <c r="AH188" s="31"/>
      <c r="AI188" s="31"/>
      <c r="AJ188" s="31"/>
      <c r="AK188" s="663">
        <v>0</v>
      </c>
      <c r="AL188" s="663">
        <v>0</v>
      </c>
      <c r="AM188" s="31">
        <v>0</v>
      </c>
      <c r="AN188" s="584"/>
      <c r="AO188" s="584"/>
      <c r="AP188" s="663"/>
      <c r="AQ188" s="31"/>
      <c r="AR188" s="31"/>
      <c r="AS188" s="31"/>
      <c r="AT188" s="31"/>
      <c r="AU188" s="31"/>
      <c r="AV188" s="31"/>
      <c r="AW188" s="31"/>
      <c r="AX188" s="31"/>
      <c r="AY188" s="31"/>
      <c r="AZ188" s="31">
        <f t="shared" si="30"/>
        <v>1.413321305066907E-2</v>
      </c>
      <c r="BA188" s="25" t="str">
        <f t="shared" si="31"/>
        <v>IT adult</v>
      </c>
      <c r="BB188" s="25">
        <f t="shared" si="32"/>
        <v>0</v>
      </c>
      <c r="BC188" s="25" t="str">
        <f t="shared" si="33"/>
        <v/>
      </c>
    </row>
    <row r="189" spans="1:55" ht="15" customHeight="1" outlineLevel="1" x14ac:dyDescent="0.2">
      <c r="A189" s="130">
        <v>2</v>
      </c>
      <c r="B189" s="131">
        <v>260000</v>
      </c>
      <c r="C189" s="131" t="s">
        <v>354</v>
      </c>
      <c r="D189" s="79">
        <f>input_values!Z189</f>
        <v>4</v>
      </c>
      <c r="E189" s="581">
        <f>SUM(E190:E195)</f>
        <v>0.27999999999999997</v>
      </c>
      <c r="F189" s="92">
        <f t="shared" ref="F189:AO189" si="42">SUM(F190:F195)</f>
        <v>5.4545454545454558E-3</v>
      </c>
      <c r="G189" s="92">
        <f t="shared" si="42"/>
        <v>0.31559999999999999</v>
      </c>
      <c r="H189" s="92">
        <f t="shared" si="42"/>
        <v>0.54402303052472745</v>
      </c>
      <c r="I189" s="92">
        <f t="shared" si="42"/>
        <v>0.94440599918412405</v>
      </c>
      <c r="J189" s="92">
        <f t="shared" si="42"/>
        <v>0.80079310587886843</v>
      </c>
      <c r="K189" s="92">
        <f t="shared" si="42"/>
        <v>0.21052631578947367</v>
      </c>
      <c r="L189" s="92">
        <f t="shared" si="42"/>
        <v>1.1080000000000001</v>
      </c>
      <c r="M189" s="92">
        <f t="shared" si="42"/>
        <v>0.41600000000000004</v>
      </c>
      <c r="N189" s="92">
        <f t="shared" si="42"/>
        <v>0.62068965517241392</v>
      </c>
      <c r="O189" s="92">
        <f t="shared" si="42"/>
        <v>0.32191780821917809</v>
      </c>
      <c r="P189" s="92">
        <f t="shared" si="42"/>
        <v>0.13753595206391478</v>
      </c>
      <c r="Q189" s="92">
        <f t="shared" si="42"/>
        <v>0.31859999999999999</v>
      </c>
      <c r="R189" s="92">
        <f t="shared" si="42"/>
        <v>2.1358975699999998E-2</v>
      </c>
      <c r="S189" s="92">
        <f t="shared" si="42"/>
        <v>0.37448457867108792</v>
      </c>
      <c r="T189" s="92"/>
      <c r="U189" s="92">
        <f t="shared" si="42"/>
        <v>0.66622340425531912</v>
      </c>
      <c r="V189" s="92">
        <f t="shared" si="42"/>
        <v>0.229439182077883</v>
      </c>
      <c r="W189" s="92">
        <f t="shared" si="42"/>
        <v>5.5428571428571431E-2</v>
      </c>
      <c r="X189" s="92">
        <f t="shared" si="42"/>
        <v>0.34400000000000003</v>
      </c>
      <c r="Y189" s="92">
        <f t="shared" si="42"/>
        <v>6.1001592356687902E-2</v>
      </c>
      <c r="Z189" s="92">
        <f t="shared" si="42"/>
        <v>0.44833333333333336</v>
      </c>
      <c r="AA189" s="92">
        <f t="shared" si="42"/>
        <v>0.15</v>
      </c>
      <c r="AB189" s="92">
        <f t="shared" si="42"/>
        <v>0.33333333333333331</v>
      </c>
      <c r="AC189" s="92">
        <f t="shared" si="42"/>
        <v>0.15263157894736842</v>
      </c>
      <c r="AD189" s="92">
        <f t="shared" si="42"/>
        <v>0.16791604197901047</v>
      </c>
      <c r="AE189" s="92">
        <f t="shared" si="42"/>
        <v>0.20133333333333331</v>
      </c>
      <c r="AF189" s="92">
        <f t="shared" si="42"/>
        <v>0.30000000000000004</v>
      </c>
      <c r="AG189" s="92">
        <f t="shared" si="42"/>
        <v>0.13450000000000001</v>
      </c>
      <c r="AH189" s="92">
        <f t="shared" si="42"/>
        <v>0.15949999999999998</v>
      </c>
      <c r="AI189" s="92">
        <f t="shared" si="42"/>
        <v>0.35299999999999998</v>
      </c>
      <c r="AJ189" s="92">
        <f t="shared" si="42"/>
        <v>0.16033333333333333</v>
      </c>
      <c r="AK189" s="92">
        <f t="shared" si="42"/>
        <v>0.11498297779670638</v>
      </c>
      <c r="AL189" s="92">
        <f t="shared" si="42"/>
        <v>0.10383157639767659</v>
      </c>
      <c r="AM189" s="92">
        <f t="shared" si="42"/>
        <v>0.1089464</v>
      </c>
      <c r="AN189" s="92">
        <f t="shared" si="42"/>
        <v>8.38571652E-2</v>
      </c>
      <c r="AO189" s="92">
        <f t="shared" si="42"/>
        <v>6.4303661900000003E-2</v>
      </c>
      <c r="AP189" s="92"/>
      <c r="AQ189" s="92"/>
      <c r="AR189" s="92"/>
      <c r="AS189" s="92"/>
      <c r="AT189" s="92"/>
      <c r="AU189" s="92"/>
      <c r="AV189" s="92"/>
      <c r="AW189" s="92"/>
      <c r="AX189" s="92" t="s">
        <v>369</v>
      </c>
      <c r="AY189" s="92"/>
      <c r="AZ189" s="92">
        <f t="shared" si="30"/>
        <v>1.1080000000000001</v>
      </c>
      <c r="BA189" s="42" t="str">
        <f t="shared" si="31"/>
        <v>NL toddler</v>
      </c>
      <c r="BB189" s="42">
        <f t="shared" si="32"/>
        <v>5.4545454545454558E-3</v>
      </c>
      <c r="BC189" s="42" t="str">
        <f t="shared" si="33"/>
        <v>DK child</v>
      </c>
    </row>
    <row r="190" spans="1:55" ht="15" customHeight="1" outlineLevel="3" x14ac:dyDescent="0.2">
      <c r="A190" s="39">
        <v>4</v>
      </c>
      <c r="B190" s="23">
        <v>260010</v>
      </c>
      <c r="C190" s="23" t="s">
        <v>32</v>
      </c>
      <c r="D190" s="22">
        <f>input_values!Z190</f>
        <v>4</v>
      </c>
      <c r="E190" s="657">
        <v>0.06</v>
      </c>
      <c r="F190" s="31">
        <v>4.5454545454545461E-3</v>
      </c>
      <c r="G190" s="31">
        <v>0.23899999999999999</v>
      </c>
      <c r="H190" s="31">
        <v>0.4789246772603854</v>
      </c>
      <c r="I190" s="31">
        <v>0.78820928700635784</v>
      </c>
      <c r="J190" s="31">
        <v>0.46303903627855136</v>
      </c>
      <c r="K190" s="31">
        <v>9.5409757269887055E-2</v>
      </c>
      <c r="L190" s="31">
        <v>0.82699999999999996</v>
      </c>
      <c r="M190" s="31">
        <v>0.315</v>
      </c>
      <c r="N190" s="31">
        <v>4.597701149425288E-2</v>
      </c>
      <c r="O190" s="31">
        <v>2.0547945205479451E-2</v>
      </c>
      <c r="P190" s="31">
        <v>1.7999999999999999E-2</v>
      </c>
      <c r="Q190" s="31">
        <v>0.23380000000000001</v>
      </c>
      <c r="R190" s="584">
        <v>5.9669023999999998E-3</v>
      </c>
      <c r="S190" s="31">
        <v>0.2347074544790837</v>
      </c>
      <c r="T190" s="31"/>
      <c r="U190" s="31">
        <v>0.16755319148936168</v>
      </c>
      <c r="V190" s="31">
        <v>0.15185686362952938</v>
      </c>
      <c r="W190" s="31">
        <v>0</v>
      </c>
      <c r="X190" s="31">
        <v>0.249</v>
      </c>
      <c r="Y190" s="31">
        <v>0</v>
      </c>
      <c r="Z190" s="31">
        <v>0</v>
      </c>
      <c r="AA190" s="31">
        <v>0.11666666666666667</v>
      </c>
      <c r="AB190" s="31">
        <v>8.3333333333333329E-2</v>
      </c>
      <c r="AC190" s="31">
        <v>1.7105263157894738E-2</v>
      </c>
      <c r="AD190" s="31">
        <v>1.4992503748125937E-2</v>
      </c>
      <c r="AE190" s="31">
        <v>8.1666666666666658E-3</v>
      </c>
      <c r="AF190" s="31">
        <v>8.4500000000000006E-2</v>
      </c>
      <c r="AG190" s="31">
        <v>1.3833333333333333E-2</v>
      </c>
      <c r="AH190" s="31">
        <v>6.1666666666666668E-2</v>
      </c>
      <c r="AI190" s="31">
        <v>0</v>
      </c>
      <c r="AJ190" s="31">
        <v>0</v>
      </c>
      <c r="AK190" s="663">
        <v>4.2689978061031621E-2</v>
      </c>
      <c r="AL190" s="663">
        <v>3.1269582302642131E-2</v>
      </c>
      <c r="AM190" s="31">
        <v>4.4493199999999997E-3</v>
      </c>
      <c r="AN190" s="584">
        <v>5.2849378999999998E-3</v>
      </c>
      <c r="AO190" s="584">
        <v>6.7394424999999997E-3</v>
      </c>
      <c r="AP190" s="663"/>
      <c r="AQ190" s="31"/>
      <c r="AR190" s="31"/>
      <c r="AS190" s="31"/>
      <c r="AT190" s="31"/>
      <c r="AU190" s="31"/>
      <c r="AV190" s="31"/>
      <c r="AW190" s="31"/>
      <c r="AX190" s="31"/>
      <c r="AY190" s="31"/>
      <c r="AZ190" s="31">
        <f t="shared" si="30"/>
        <v>0.82699999999999996</v>
      </c>
      <c r="BA190" s="25" t="str">
        <f t="shared" si="31"/>
        <v>NL toddler</v>
      </c>
      <c r="BB190" s="25">
        <f t="shared" si="32"/>
        <v>0</v>
      </c>
      <c r="BC190" s="25" t="str">
        <f t="shared" si="33"/>
        <v/>
      </c>
    </row>
    <row r="191" spans="1:55" ht="15" customHeight="1" outlineLevel="3" x14ac:dyDescent="0.2">
      <c r="A191" s="39">
        <v>4</v>
      </c>
      <c r="B191" s="23">
        <v>260020</v>
      </c>
      <c r="C191" s="23" t="s">
        <v>33</v>
      </c>
      <c r="D191" s="22">
        <f>input_values!Z191</f>
        <v>4</v>
      </c>
      <c r="E191" s="657">
        <v>0.03</v>
      </c>
      <c r="F191" s="31">
        <v>0</v>
      </c>
      <c r="G191" s="31">
        <v>7.0000000000000001E-3</v>
      </c>
      <c r="H191" s="31">
        <v>0</v>
      </c>
      <c r="I191" s="31">
        <v>0</v>
      </c>
      <c r="J191" s="31">
        <v>0</v>
      </c>
      <c r="K191" s="31">
        <v>0</v>
      </c>
      <c r="L191" s="31">
        <v>7.0000000000000001E-3</v>
      </c>
      <c r="M191" s="31">
        <v>7.0000000000000001E-3</v>
      </c>
      <c r="N191" s="31">
        <v>0</v>
      </c>
      <c r="O191" s="31">
        <v>6.8493150684931512E-3</v>
      </c>
      <c r="P191" s="31">
        <v>0</v>
      </c>
      <c r="Q191" s="31">
        <v>1.67E-2</v>
      </c>
      <c r="R191" s="584"/>
      <c r="S191" s="31">
        <v>0</v>
      </c>
      <c r="T191" s="31"/>
      <c r="U191" s="31">
        <v>0.175531914893617</v>
      </c>
      <c r="V191" s="31">
        <v>0</v>
      </c>
      <c r="W191" s="31">
        <v>2.5428571428571429E-2</v>
      </c>
      <c r="X191" s="31">
        <v>1.6E-2</v>
      </c>
      <c r="Y191" s="31">
        <v>5.820063694267516E-2</v>
      </c>
      <c r="Z191" s="31">
        <v>0.255</v>
      </c>
      <c r="AA191" s="31">
        <v>0</v>
      </c>
      <c r="AB191" s="31">
        <v>8.3333333333333329E-2</v>
      </c>
      <c r="AC191" s="31">
        <v>2.631578947368421E-3</v>
      </c>
      <c r="AD191" s="31">
        <v>7.4962518740629685E-3</v>
      </c>
      <c r="AE191" s="31">
        <v>0.12983333333333333</v>
      </c>
      <c r="AF191" s="31">
        <v>3.6833333333333336E-2</v>
      </c>
      <c r="AG191" s="31">
        <v>8.7499999999999994E-2</v>
      </c>
      <c r="AH191" s="31">
        <v>2.6833333333333334E-2</v>
      </c>
      <c r="AI191" s="31">
        <v>0.28249999999999997</v>
      </c>
      <c r="AJ191" s="31">
        <v>6.8500000000000005E-2</v>
      </c>
      <c r="AK191" s="663">
        <v>6.4801190211327938E-3</v>
      </c>
      <c r="AL191" s="663">
        <v>4.6146162901465702E-3</v>
      </c>
      <c r="AM191" s="31">
        <v>9.3196600000000004E-2</v>
      </c>
      <c r="AN191" s="584"/>
      <c r="AO191" s="584"/>
      <c r="AP191" s="663"/>
      <c r="AQ191" s="31"/>
      <c r="AR191" s="31"/>
      <c r="AS191" s="31"/>
      <c r="AT191" s="31"/>
      <c r="AU191" s="31"/>
      <c r="AV191" s="31"/>
      <c r="AW191" s="31"/>
      <c r="AX191" s="31"/>
      <c r="AY191" s="31"/>
      <c r="AZ191" s="31">
        <f t="shared" si="30"/>
        <v>0.28249999999999997</v>
      </c>
      <c r="BA191" s="25" t="str">
        <f t="shared" si="31"/>
        <v>GEMS/Food G11</v>
      </c>
      <c r="BB191" s="25">
        <f t="shared" si="32"/>
        <v>0</v>
      </c>
      <c r="BC191" s="25" t="str">
        <f t="shared" si="33"/>
        <v/>
      </c>
    </row>
    <row r="192" spans="1:55" ht="15" customHeight="1" outlineLevel="3" x14ac:dyDescent="0.2">
      <c r="A192" s="39">
        <v>4</v>
      </c>
      <c r="B192" s="23">
        <v>260030</v>
      </c>
      <c r="C192" s="23" t="s">
        <v>57</v>
      </c>
      <c r="D192" s="22">
        <f>input_values!Z192</f>
        <v>4</v>
      </c>
      <c r="E192" s="657">
        <v>0.01</v>
      </c>
      <c r="F192" s="31">
        <v>4.5454545454545455E-4</v>
      </c>
      <c r="G192" s="31">
        <v>0</v>
      </c>
      <c r="H192" s="31">
        <v>0</v>
      </c>
      <c r="I192" s="31">
        <v>0</v>
      </c>
      <c r="J192" s="31">
        <v>0</v>
      </c>
      <c r="K192" s="31">
        <v>0</v>
      </c>
      <c r="L192" s="31">
        <v>2E-3</v>
      </c>
      <c r="M192" s="31">
        <v>8.0000000000000002E-3</v>
      </c>
      <c r="N192" s="31">
        <v>0</v>
      </c>
      <c r="O192" s="31">
        <v>0</v>
      </c>
      <c r="P192" s="31">
        <v>4.0292942743009322E-4</v>
      </c>
      <c r="Q192" s="31">
        <v>0</v>
      </c>
      <c r="R192" s="584"/>
      <c r="S192" s="31">
        <v>0</v>
      </c>
      <c r="T192" s="31"/>
      <c r="U192" s="31">
        <v>0.10106382978723404</v>
      </c>
      <c r="V192" s="31">
        <v>4.5105999097880012E-4</v>
      </c>
      <c r="W192" s="31">
        <v>0</v>
      </c>
      <c r="X192" s="31">
        <v>6.0000000000000001E-3</v>
      </c>
      <c r="Y192" s="31">
        <v>0</v>
      </c>
      <c r="Z192" s="31">
        <v>0</v>
      </c>
      <c r="AA192" s="31">
        <v>0</v>
      </c>
      <c r="AB192" s="31">
        <v>8.3333333333333329E-2</v>
      </c>
      <c r="AC192" s="31">
        <v>6.5789473684210523E-3</v>
      </c>
      <c r="AD192" s="31">
        <v>8.9955022488755615E-3</v>
      </c>
      <c r="AE192" s="31">
        <v>6.3333333333333325E-2</v>
      </c>
      <c r="AF192" s="31">
        <v>0.17866666666666667</v>
      </c>
      <c r="AG192" s="31">
        <v>3.3166666666666664E-2</v>
      </c>
      <c r="AH192" s="31">
        <v>7.0999999999999994E-2</v>
      </c>
      <c r="AI192" s="31">
        <v>7.0500000000000007E-2</v>
      </c>
      <c r="AJ192" s="31">
        <v>9.1833333333333336E-2</v>
      </c>
      <c r="AK192" s="663">
        <v>1.4511094722585312E-3</v>
      </c>
      <c r="AL192" s="663">
        <v>2.2833344852132456E-3</v>
      </c>
      <c r="AM192" s="31">
        <v>2.7987999999999998E-4</v>
      </c>
      <c r="AN192" s="584"/>
      <c r="AO192" s="584"/>
      <c r="AP192" s="663"/>
      <c r="AQ192" s="31"/>
      <c r="AR192" s="31"/>
      <c r="AS192" s="31"/>
      <c r="AT192" s="31"/>
      <c r="AU192" s="31"/>
      <c r="AV192" s="31"/>
      <c r="AW192" s="31"/>
      <c r="AX192" s="31"/>
      <c r="AY192" s="31"/>
      <c r="AZ192" s="31">
        <f t="shared" si="30"/>
        <v>0.17866666666666667</v>
      </c>
      <c r="BA192" s="25" t="str">
        <f t="shared" si="31"/>
        <v>GEMS/Food G07</v>
      </c>
      <c r="BB192" s="25">
        <f t="shared" si="32"/>
        <v>0</v>
      </c>
      <c r="BC192" s="25" t="str">
        <f t="shared" si="33"/>
        <v/>
      </c>
    </row>
    <row r="193" spans="1:55" ht="15" customHeight="1" outlineLevel="3" x14ac:dyDescent="0.2">
      <c r="A193" s="39">
        <v>4</v>
      </c>
      <c r="B193" s="23">
        <v>260040</v>
      </c>
      <c r="C193" s="23" t="s">
        <v>58</v>
      </c>
      <c r="D193" s="22">
        <f>input_values!Z193</f>
        <v>4</v>
      </c>
      <c r="E193" s="657">
        <v>0.13</v>
      </c>
      <c r="F193" s="31">
        <v>4.5454545454545455E-4</v>
      </c>
      <c r="G193" s="31">
        <v>6.9599999999999995E-2</v>
      </c>
      <c r="H193" s="31">
        <v>6.5098353264342004E-2</v>
      </c>
      <c r="I193" s="31">
        <v>0.15619671217776618</v>
      </c>
      <c r="J193" s="31">
        <v>0.24900202002261815</v>
      </c>
      <c r="K193" s="31">
        <v>0.10237923576063446</v>
      </c>
      <c r="L193" s="31">
        <v>0.27200000000000002</v>
      </c>
      <c r="M193" s="31">
        <v>8.5999999999999993E-2</v>
      </c>
      <c r="N193" s="31">
        <v>0.57471264367816099</v>
      </c>
      <c r="O193" s="31">
        <v>0.29452054794520549</v>
      </c>
      <c r="P193" s="31">
        <v>0.11900000000000001</v>
      </c>
      <c r="Q193" s="31">
        <v>6.8099999999999994E-2</v>
      </c>
      <c r="R193" s="584">
        <v>1.53920733E-2</v>
      </c>
      <c r="S193" s="31">
        <v>7.5954973987963914E-2</v>
      </c>
      <c r="T193" s="31"/>
      <c r="U193" s="31">
        <v>0.22207446808510636</v>
      </c>
      <c r="V193" s="31">
        <v>7.126747857465042E-2</v>
      </c>
      <c r="W193" s="31">
        <v>3.0000000000000002E-2</v>
      </c>
      <c r="X193" s="31">
        <v>7.2999999999999995E-2</v>
      </c>
      <c r="Y193" s="31">
        <v>2.800955414012739E-3</v>
      </c>
      <c r="Z193" s="31">
        <v>0.19333333333333333</v>
      </c>
      <c r="AA193" s="31">
        <v>3.3333333333333333E-2</v>
      </c>
      <c r="AB193" s="31">
        <v>8.3333333333333329E-2</v>
      </c>
      <c r="AC193" s="31">
        <v>0.12631578947368421</v>
      </c>
      <c r="AD193" s="31">
        <v>0.13643178410794601</v>
      </c>
      <c r="AE193" s="31">
        <v>0</v>
      </c>
      <c r="AF193" s="31">
        <v>0</v>
      </c>
      <c r="AG193" s="31">
        <v>0</v>
      </c>
      <c r="AH193" s="31">
        <v>0</v>
      </c>
      <c r="AI193" s="31">
        <v>0</v>
      </c>
      <c r="AJ193" s="31">
        <v>0</v>
      </c>
      <c r="AK193" s="663">
        <v>6.1418677906705035E-2</v>
      </c>
      <c r="AL193" s="663">
        <v>6.1781210155826605E-2</v>
      </c>
      <c r="AM193" s="31">
        <v>1.10206E-2</v>
      </c>
      <c r="AN193" s="584">
        <v>7.8572227300000005E-2</v>
      </c>
      <c r="AO193" s="584">
        <v>5.7564219399999998E-2</v>
      </c>
      <c r="AP193" s="663"/>
      <c r="AQ193" s="31"/>
      <c r="AR193" s="31"/>
      <c r="AS193" s="31"/>
      <c r="AT193" s="31"/>
      <c r="AU193" s="31"/>
      <c r="AV193" s="31"/>
      <c r="AW193" s="31"/>
      <c r="AX193" s="31"/>
      <c r="AY193" s="31"/>
      <c r="AZ193" s="31">
        <f t="shared" si="30"/>
        <v>0.57471264367816099</v>
      </c>
      <c r="BA193" s="25" t="str">
        <f t="shared" si="31"/>
        <v>UK infant</v>
      </c>
      <c r="BB193" s="25">
        <f t="shared" si="32"/>
        <v>0</v>
      </c>
      <c r="BC193" s="25" t="str">
        <f t="shared" si="33"/>
        <v/>
      </c>
    </row>
    <row r="194" spans="1:55" ht="15" customHeight="1" outlineLevel="3" x14ac:dyDescent="0.2">
      <c r="A194" s="39">
        <v>4</v>
      </c>
      <c r="B194" s="23">
        <v>260050</v>
      </c>
      <c r="C194" s="23" t="s">
        <v>269</v>
      </c>
      <c r="D194" s="22">
        <f>input_values!Z194</f>
        <v>4</v>
      </c>
      <c r="E194" s="657">
        <v>0.04</v>
      </c>
      <c r="F194" s="31">
        <v>0</v>
      </c>
      <c r="G194" s="31">
        <v>0</v>
      </c>
      <c r="H194" s="31">
        <v>0</v>
      </c>
      <c r="I194" s="31">
        <v>0</v>
      </c>
      <c r="J194" s="31">
        <v>0</v>
      </c>
      <c r="K194" s="31">
        <v>0</v>
      </c>
      <c r="L194" s="31">
        <v>0</v>
      </c>
      <c r="M194" s="31">
        <v>0</v>
      </c>
      <c r="N194" s="31">
        <v>0</v>
      </c>
      <c r="O194" s="31">
        <v>0</v>
      </c>
      <c r="P194" s="31">
        <v>1.3302263648468711E-4</v>
      </c>
      <c r="Q194" s="31">
        <v>0</v>
      </c>
      <c r="R194" s="584"/>
      <c r="S194" s="31">
        <v>0</v>
      </c>
      <c r="T194" s="31"/>
      <c r="U194" s="31">
        <v>0</v>
      </c>
      <c r="V194" s="31">
        <v>0</v>
      </c>
      <c r="W194" s="31">
        <v>0</v>
      </c>
      <c r="X194" s="31">
        <v>0</v>
      </c>
      <c r="Y194" s="31">
        <v>0</v>
      </c>
      <c r="Z194" s="31">
        <v>0</v>
      </c>
      <c r="AA194" s="31">
        <v>0</v>
      </c>
      <c r="AB194" s="31">
        <v>0</v>
      </c>
      <c r="AC194" s="31">
        <v>0</v>
      </c>
      <c r="AD194" s="31">
        <v>0</v>
      </c>
      <c r="AE194" s="31"/>
      <c r="AF194" s="31"/>
      <c r="AG194" s="31"/>
      <c r="AH194" s="31"/>
      <c r="AI194" s="31"/>
      <c r="AJ194" s="31"/>
      <c r="AK194" s="663">
        <v>6.1162117850727604E-4</v>
      </c>
      <c r="AL194" s="663">
        <v>1.089270080136017E-3</v>
      </c>
      <c r="AM194" s="31">
        <v>0</v>
      </c>
      <c r="AN194" s="584"/>
      <c r="AO194" s="584"/>
      <c r="AP194" s="663"/>
      <c r="AQ194" s="31"/>
      <c r="AR194" s="31"/>
      <c r="AS194" s="31"/>
      <c r="AT194" s="31"/>
      <c r="AU194" s="31"/>
      <c r="AV194" s="31"/>
      <c r="AW194" s="31"/>
      <c r="AX194" s="31"/>
      <c r="AY194" s="31"/>
      <c r="AZ194" s="31">
        <f t="shared" si="30"/>
        <v>0.04</v>
      </c>
      <c r="BA194" s="25" t="str">
        <f t="shared" si="31"/>
        <v>DE child</v>
      </c>
      <c r="BB194" s="25">
        <f t="shared" si="32"/>
        <v>0</v>
      </c>
      <c r="BC194" s="25" t="str">
        <f t="shared" si="33"/>
        <v/>
      </c>
    </row>
    <row r="195" spans="1:55" ht="15" customHeight="1" outlineLevel="3" x14ac:dyDescent="0.2">
      <c r="A195" s="39">
        <v>4</v>
      </c>
      <c r="B195" s="23">
        <v>260990</v>
      </c>
      <c r="C195" s="23" t="s">
        <v>176</v>
      </c>
      <c r="D195" s="22">
        <f>input_values!Z195</f>
        <v>4</v>
      </c>
      <c r="E195" s="657">
        <v>0.01</v>
      </c>
      <c r="F195" s="31"/>
      <c r="G195" s="31">
        <v>0</v>
      </c>
      <c r="H195" s="31">
        <v>0</v>
      </c>
      <c r="I195" s="31">
        <v>0</v>
      </c>
      <c r="J195" s="31">
        <v>8.8752049577698888E-2</v>
      </c>
      <c r="K195" s="31">
        <v>1.2737322758952176E-2</v>
      </c>
      <c r="L195" s="31">
        <v>0</v>
      </c>
      <c r="M195" s="31">
        <v>0</v>
      </c>
      <c r="N195" s="31">
        <v>0</v>
      </c>
      <c r="O195" s="31">
        <v>0</v>
      </c>
      <c r="P195" s="31">
        <v>0</v>
      </c>
      <c r="Q195" s="31">
        <v>0</v>
      </c>
      <c r="R195" s="584"/>
      <c r="S195" s="31">
        <v>6.3822150204040307E-2</v>
      </c>
      <c r="T195" s="31"/>
      <c r="U195" s="31">
        <v>0</v>
      </c>
      <c r="V195" s="31">
        <v>5.8637798827244018E-3</v>
      </c>
      <c r="W195" s="31">
        <v>0</v>
      </c>
      <c r="X195" s="31">
        <v>0</v>
      </c>
      <c r="Y195" s="31">
        <v>0</v>
      </c>
      <c r="Z195" s="31">
        <v>0</v>
      </c>
      <c r="AA195" s="31">
        <v>0</v>
      </c>
      <c r="AB195" s="31">
        <v>0</v>
      </c>
      <c r="AC195" s="31">
        <v>0</v>
      </c>
      <c r="AD195" s="31">
        <v>0</v>
      </c>
      <c r="AE195" s="31"/>
      <c r="AF195" s="31"/>
      <c r="AG195" s="31"/>
      <c r="AH195" s="31"/>
      <c r="AI195" s="31"/>
      <c r="AJ195" s="31"/>
      <c r="AK195" s="663">
        <v>2.3314721570711293E-3</v>
      </c>
      <c r="AL195" s="663">
        <v>2.7935630837120375E-3</v>
      </c>
      <c r="AM195" s="31">
        <v>0</v>
      </c>
      <c r="AN195" s="584"/>
      <c r="AO195" s="584"/>
      <c r="AP195" s="663"/>
      <c r="AQ195" s="31"/>
      <c r="AR195" s="31"/>
      <c r="AS195" s="31"/>
      <c r="AT195" s="31"/>
      <c r="AU195" s="31"/>
      <c r="AV195" s="31"/>
      <c r="AW195" s="31"/>
      <c r="AX195" s="31"/>
      <c r="AY195" s="31"/>
      <c r="AZ195" s="31">
        <f t="shared" si="30"/>
        <v>8.8752049577698888E-2</v>
      </c>
      <c r="BA195" s="25" t="str">
        <f t="shared" si="31"/>
        <v>FR child 3 15 yr</v>
      </c>
      <c r="BB195" s="25">
        <f t="shared" si="32"/>
        <v>0</v>
      </c>
      <c r="BC195" s="25" t="str">
        <f t="shared" si="33"/>
        <v/>
      </c>
    </row>
    <row r="196" spans="1:55" ht="15" customHeight="1" outlineLevel="1" x14ac:dyDescent="0.2">
      <c r="A196" s="130">
        <v>2</v>
      </c>
      <c r="B196" s="131">
        <v>270000</v>
      </c>
      <c r="C196" s="131" t="s">
        <v>353</v>
      </c>
      <c r="D196" s="79">
        <f>input_values!Z196</f>
        <v>4</v>
      </c>
      <c r="E196" s="581">
        <f>SUM(E197:E206)</f>
        <v>0.14000000000000001</v>
      </c>
      <c r="F196" s="92">
        <f t="shared" ref="F196:AO196" si="43">SUM(F197:F206)</f>
        <v>6.0454545454545455E-2</v>
      </c>
      <c r="G196" s="92">
        <f t="shared" si="43"/>
        <v>9.6100000000000005E-2</v>
      </c>
      <c r="H196" s="92">
        <f t="shared" si="43"/>
        <v>0.36032419988679459</v>
      </c>
      <c r="I196" s="92">
        <f t="shared" si="43"/>
        <v>0.28367024677338448</v>
      </c>
      <c r="J196" s="92">
        <f t="shared" si="43"/>
        <v>0.26560056809738886</v>
      </c>
      <c r="K196" s="92">
        <f t="shared" si="43"/>
        <v>0.1377072819033886</v>
      </c>
      <c r="L196" s="92">
        <f t="shared" si="43"/>
        <v>0.14900000000000002</v>
      </c>
      <c r="M196" s="92">
        <f t="shared" si="43"/>
        <v>9.1999999999999998E-2</v>
      </c>
      <c r="N196" s="92">
        <f t="shared" si="43"/>
        <v>3.4482758620689662E-2</v>
      </c>
      <c r="O196" s="92">
        <f t="shared" si="43"/>
        <v>6.1643835616438353E-2</v>
      </c>
      <c r="P196" s="92">
        <f t="shared" si="43"/>
        <v>5.0152596537949401E-2</v>
      </c>
      <c r="Q196" s="92">
        <f t="shared" si="43"/>
        <v>0.12379999999999999</v>
      </c>
      <c r="R196" s="92">
        <f t="shared" si="43"/>
        <v>2.8492612800000001E-2</v>
      </c>
      <c r="S196" s="92">
        <f t="shared" si="43"/>
        <v>0.20410128603034591</v>
      </c>
      <c r="T196" s="92"/>
      <c r="U196" s="92">
        <f t="shared" si="43"/>
        <v>0.69015957446808507</v>
      </c>
      <c r="V196" s="92">
        <f t="shared" si="43"/>
        <v>0.18162682303413022</v>
      </c>
      <c r="W196" s="92">
        <f t="shared" si="43"/>
        <v>0</v>
      </c>
      <c r="X196" s="92">
        <f t="shared" si="43"/>
        <v>0.16</v>
      </c>
      <c r="Y196" s="92">
        <f t="shared" si="43"/>
        <v>4.1899681528662421E-2</v>
      </c>
      <c r="Z196" s="92">
        <f t="shared" si="43"/>
        <v>0</v>
      </c>
      <c r="AA196" s="92">
        <f t="shared" si="43"/>
        <v>0</v>
      </c>
      <c r="AB196" s="92">
        <f t="shared" si="43"/>
        <v>0.16666666666666666</v>
      </c>
      <c r="AC196" s="92">
        <f t="shared" si="43"/>
        <v>4.0789473684210528E-2</v>
      </c>
      <c r="AD196" s="92">
        <f t="shared" si="43"/>
        <v>8.5457271364317827E-2</v>
      </c>
      <c r="AE196" s="92">
        <f t="shared" si="43"/>
        <v>0.18916666666666671</v>
      </c>
      <c r="AF196" s="92">
        <f t="shared" si="43"/>
        <v>0.27749999999999997</v>
      </c>
      <c r="AG196" s="92">
        <f t="shared" si="43"/>
        <v>0.33316666666666667</v>
      </c>
      <c r="AH196" s="92">
        <f t="shared" si="43"/>
        <v>0.12133333333333332</v>
      </c>
      <c r="AI196" s="92">
        <f t="shared" si="43"/>
        <v>0.7533333333333333</v>
      </c>
      <c r="AJ196" s="92">
        <f t="shared" si="43"/>
        <v>0.14683333333333332</v>
      </c>
      <c r="AK196" s="92">
        <f t="shared" si="43"/>
        <v>0.12258091451199574</v>
      </c>
      <c r="AL196" s="92">
        <f t="shared" si="43"/>
        <v>0.11503164228328143</v>
      </c>
      <c r="AM196" s="92">
        <f t="shared" si="43"/>
        <v>2.1736600000000002E-2</v>
      </c>
      <c r="AN196" s="92">
        <f t="shared" si="43"/>
        <v>5.3186597500000002E-2</v>
      </c>
      <c r="AO196" s="92">
        <f t="shared" si="43"/>
        <v>4.5347522700000004E-2</v>
      </c>
      <c r="AP196" s="92"/>
      <c r="AQ196" s="92"/>
      <c r="AR196" s="92"/>
      <c r="AS196" s="92"/>
      <c r="AT196" s="92"/>
      <c r="AU196" s="92"/>
      <c r="AV196" s="92"/>
      <c r="AW196" s="92"/>
      <c r="AX196" s="92" t="s">
        <v>369</v>
      </c>
      <c r="AY196" s="92"/>
      <c r="AZ196" s="92">
        <f t="shared" si="30"/>
        <v>0.7533333333333333</v>
      </c>
      <c r="BA196" s="42" t="str">
        <f t="shared" si="31"/>
        <v>GEMS/Food G11</v>
      </c>
      <c r="BB196" s="42">
        <f t="shared" si="32"/>
        <v>0</v>
      </c>
      <c r="BC196" s="42" t="str">
        <f t="shared" si="33"/>
        <v/>
      </c>
    </row>
    <row r="197" spans="1:55" ht="15" customHeight="1" outlineLevel="3" x14ac:dyDescent="0.2">
      <c r="A197" s="39">
        <v>4</v>
      </c>
      <c r="B197" s="23">
        <v>270010</v>
      </c>
      <c r="C197" s="23" t="s">
        <v>60</v>
      </c>
      <c r="D197" s="22">
        <f>input_values!Z197</f>
        <v>4</v>
      </c>
      <c r="E197" s="657">
        <v>0.02</v>
      </c>
      <c r="F197" s="31">
        <v>4.5454545454545455E-4</v>
      </c>
      <c r="G197" s="31">
        <v>2.6800000000000001E-2</v>
      </c>
      <c r="H197" s="31">
        <v>0</v>
      </c>
      <c r="I197" s="31">
        <v>3.1246094238220226E-3</v>
      </c>
      <c r="J197" s="31">
        <v>8.4443801341288309E-3</v>
      </c>
      <c r="K197" s="31">
        <v>7.6904590242730117E-3</v>
      </c>
      <c r="L197" s="31">
        <v>1.2999999999999999E-2</v>
      </c>
      <c r="M197" s="31">
        <v>7.0000000000000001E-3</v>
      </c>
      <c r="N197" s="31">
        <v>0</v>
      </c>
      <c r="O197" s="31">
        <v>0</v>
      </c>
      <c r="P197" s="31">
        <v>1.3800000000000002E-2</v>
      </c>
      <c r="Q197" s="31">
        <v>3.6499999999999998E-2</v>
      </c>
      <c r="R197" s="584">
        <v>2.5686013999999999E-3</v>
      </c>
      <c r="S197" s="31">
        <v>1.7441086521913694E-2</v>
      </c>
      <c r="T197" s="31"/>
      <c r="U197" s="31">
        <v>0.12234042553191488</v>
      </c>
      <c r="V197" s="31">
        <v>1.0224026462186137E-2</v>
      </c>
      <c r="W197" s="31">
        <v>0</v>
      </c>
      <c r="X197" s="31">
        <v>1.2999999999999999E-2</v>
      </c>
      <c r="Y197" s="31">
        <v>0</v>
      </c>
      <c r="Z197" s="31">
        <v>0</v>
      </c>
      <c r="AA197" s="31">
        <v>0</v>
      </c>
      <c r="AB197" s="31">
        <v>0.05</v>
      </c>
      <c r="AC197" s="31">
        <v>5.263157894736842E-3</v>
      </c>
      <c r="AD197" s="31">
        <v>1.0494752623688154E-2</v>
      </c>
      <c r="AE197" s="31">
        <v>3.5000000000000001E-3</v>
      </c>
      <c r="AF197" s="31">
        <v>1.4E-2</v>
      </c>
      <c r="AG197" s="31">
        <v>3.4666666666666665E-2</v>
      </c>
      <c r="AH197" s="31">
        <v>1.6833333333333332E-2</v>
      </c>
      <c r="AI197" s="31">
        <v>2.8166666666666666E-2</v>
      </c>
      <c r="AJ197" s="31">
        <v>2.8333333333333335E-3</v>
      </c>
      <c r="AK197" s="663">
        <v>4.1977149240826558E-2</v>
      </c>
      <c r="AL197" s="663">
        <v>3.2532505671000266E-2</v>
      </c>
      <c r="AM197" s="31">
        <v>7.1799999999999997E-5</v>
      </c>
      <c r="AN197" s="584">
        <v>2.6990006999999998E-3</v>
      </c>
      <c r="AO197" s="584">
        <v>4.0769729999999999E-4</v>
      </c>
      <c r="AP197" s="663"/>
      <c r="AQ197" s="31"/>
      <c r="AR197" s="31"/>
      <c r="AS197" s="31"/>
      <c r="AT197" s="31"/>
      <c r="AU197" s="31"/>
      <c r="AV197" s="31"/>
      <c r="AW197" s="31"/>
      <c r="AX197" s="31"/>
      <c r="AY197" s="31"/>
      <c r="AZ197" s="31">
        <f t="shared" si="30"/>
        <v>0.12234042553191488</v>
      </c>
      <c r="BA197" s="25" t="str">
        <f t="shared" si="31"/>
        <v>IE adult</v>
      </c>
      <c r="BB197" s="25">
        <f t="shared" si="32"/>
        <v>0</v>
      </c>
      <c r="BC197" s="25" t="str">
        <f t="shared" si="33"/>
        <v/>
      </c>
    </row>
    <row r="198" spans="1:55" ht="15" customHeight="1" outlineLevel="3" x14ac:dyDescent="0.2">
      <c r="A198" s="39">
        <v>4</v>
      </c>
      <c r="B198" s="23">
        <v>270020</v>
      </c>
      <c r="C198" s="23" t="s">
        <v>61</v>
      </c>
      <c r="D198" s="22">
        <f>input_values!Z198</f>
        <v>4</v>
      </c>
      <c r="E198" s="657">
        <v>0</v>
      </c>
      <c r="F198" s="31">
        <v>0</v>
      </c>
      <c r="G198" s="31">
        <v>0</v>
      </c>
      <c r="H198" s="31">
        <v>6.6633349991670832E-3</v>
      </c>
      <c r="I198" s="31">
        <v>0</v>
      </c>
      <c r="J198" s="31">
        <v>0</v>
      </c>
      <c r="K198" s="31">
        <v>0</v>
      </c>
      <c r="L198" s="31">
        <v>0</v>
      </c>
      <c r="M198" s="31">
        <v>0</v>
      </c>
      <c r="N198" s="31">
        <v>0</v>
      </c>
      <c r="O198" s="31">
        <v>0</v>
      </c>
      <c r="P198" s="31">
        <v>0</v>
      </c>
      <c r="Q198" s="31">
        <v>1.0800000000000001E-2</v>
      </c>
      <c r="R198" s="584"/>
      <c r="S198" s="31">
        <v>9.4905111891686964E-4</v>
      </c>
      <c r="T198" s="31"/>
      <c r="U198" s="31">
        <v>0</v>
      </c>
      <c r="V198" s="31">
        <v>2.8567132761990678E-3</v>
      </c>
      <c r="W198" s="31">
        <v>0</v>
      </c>
      <c r="X198" s="31">
        <v>0</v>
      </c>
      <c r="Y198" s="31">
        <v>0</v>
      </c>
      <c r="Z198" s="31">
        <v>0</v>
      </c>
      <c r="AA198" s="31">
        <v>0</v>
      </c>
      <c r="AB198" s="31">
        <v>8.3333333333333332E-3</v>
      </c>
      <c r="AC198" s="31">
        <v>0</v>
      </c>
      <c r="AD198" s="31">
        <v>0</v>
      </c>
      <c r="AE198" s="31">
        <v>5.1666666666666666E-3</v>
      </c>
      <c r="AF198" s="31">
        <v>1.6666666666666668E-3</v>
      </c>
      <c r="AG198" s="31">
        <v>5.8166666666666672E-2</v>
      </c>
      <c r="AH198" s="31">
        <v>1.6666666666666668E-3</v>
      </c>
      <c r="AI198" s="31">
        <v>0</v>
      </c>
      <c r="AJ198" s="31">
        <v>0</v>
      </c>
      <c r="AK198" s="663">
        <v>0</v>
      </c>
      <c r="AL198" s="663">
        <v>0</v>
      </c>
      <c r="AM198" s="31">
        <v>0</v>
      </c>
      <c r="AN198" s="584"/>
      <c r="AO198" s="584"/>
      <c r="AP198" s="663"/>
      <c r="AQ198" s="31"/>
      <c r="AR198" s="31"/>
      <c r="AS198" s="31"/>
      <c r="AT198" s="31"/>
      <c r="AU198" s="31"/>
      <c r="AV198" s="31"/>
      <c r="AW198" s="31"/>
      <c r="AX198" s="31"/>
      <c r="AY198" s="31"/>
      <c r="AZ198" s="31">
        <f t="shared" si="30"/>
        <v>5.8166666666666672E-2</v>
      </c>
      <c r="BA198" s="25" t="str">
        <f t="shared" si="31"/>
        <v>GEMS/Food G08</v>
      </c>
      <c r="BB198" s="25">
        <f t="shared" si="32"/>
        <v>0</v>
      </c>
      <c r="BC198" s="25" t="str">
        <f t="shared" si="33"/>
        <v/>
      </c>
    </row>
    <row r="199" spans="1:55" ht="15" customHeight="1" outlineLevel="3" x14ac:dyDescent="0.2">
      <c r="A199" s="39">
        <v>4</v>
      </c>
      <c r="B199" s="23">
        <v>270030</v>
      </c>
      <c r="C199" s="23" t="s">
        <v>737</v>
      </c>
      <c r="D199" s="22">
        <f>input_values!Z199</f>
        <v>4</v>
      </c>
      <c r="E199" s="657">
        <v>0.01</v>
      </c>
      <c r="F199" s="31">
        <v>9.0909090909090922E-3</v>
      </c>
      <c r="G199" s="31">
        <v>4.5999999999999999E-3</v>
      </c>
      <c r="H199" s="31">
        <v>3.2226052216057212E-2</v>
      </c>
      <c r="I199" s="31">
        <v>6.7448206503324618E-3</v>
      </c>
      <c r="J199" s="31">
        <v>3.7693789649339351E-2</v>
      </c>
      <c r="K199" s="31">
        <v>2.6435952895938478E-2</v>
      </c>
      <c r="L199" s="31">
        <v>1.2E-2</v>
      </c>
      <c r="M199" s="31">
        <v>2E-3</v>
      </c>
      <c r="N199" s="31">
        <v>2.298850574712644E-2</v>
      </c>
      <c r="O199" s="31">
        <v>4.1095890410958902E-2</v>
      </c>
      <c r="P199" s="31">
        <v>6.8095872170439416E-3</v>
      </c>
      <c r="Q199" s="31">
        <v>4.1999999999999997E-3</v>
      </c>
      <c r="R199" s="584">
        <v>2.5461876999999999E-3</v>
      </c>
      <c r="S199" s="31">
        <v>2.1657369067902141E-2</v>
      </c>
      <c r="T199" s="31"/>
      <c r="U199" s="31">
        <v>0.1276595744680851</v>
      </c>
      <c r="V199" s="31">
        <v>2.1500526236656138E-2</v>
      </c>
      <c r="W199" s="31">
        <v>0</v>
      </c>
      <c r="X199" s="31">
        <v>0.01</v>
      </c>
      <c r="Y199" s="31">
        <v>0</v>
      </c>
      <c r="Z199" s="31">
        <v>0</v>
      </c>
      <c r="AA199" s="31">
        <v>0</v>
      </c>
      <c r="AB199" s="31">
        <v>1.6666666666666666E-2</v>
      </c>
      <c r="AC199" s="31">
        <v>1.3157894736842105E-2</v>
      </c>
      <c r="AD199" s="31">
        <v>3.4482758620689648E-2</v>
      </c>
      <c r="AE199" s="31">
        <v>4.583333333333333E-2</v>
      </c>
      <c r="AF199" s="31">
        <v>0.128</v>
      </c>
      <c r="AG199" s="31">
        <v>4.7500000000000001E-2</v>
      </c>
      <c r="AH199" s="31">
        <v>5.5666666666666663E-2</v>
      </c>
      <c r="AI199" s="31">
        <v>0.28049999999999997</v>
      </c>
      <c r="AJ199" s="31">
        <v>8.0666666666666664E-2</v>
      </c>
      <c r="AK199" s="663">
        <v>1.46010051377685E-3</v>
      </c>
      <c r="AL199" s="663">
        <v>2.7875944937216378E-3</v>
      </c>
      <c r="AM199" s="31">
        <v>6.2469200000000004E-3</v>
      </c>
      <c r="AN199" s="584">
        <v>6.8847609999999997E-4</v>
      </c>
      <c r="AO199" s="584">
        <v>4.7332210000000001E-4</v>
      </c>
      <c r="AP199" s="663"/>
      <c r="AQ199" s="31"/>
      <c r="AR199" s="31"/>
      <c r="AS199" s="31"/>
      <c r="AT199" s="31"/>
      <c r="AU199" s="31"/>
      <c r="AV199" s="31"/>
      <c r="AW199" s="31"/>
      <c r="AX199" s="31"/>
      <c r="AY199" s="31"/>
      <c r="AZ199" s="31">
        <f t="shared" si="30"/>
        <v>0.28049999999999997</v>
      </c>
      <c r="BA199" s="25" t="str">
        <f t="shared" si="31"/>
        <v>GEMS/Food G11</v>
      </c>
      <c r="BB199" s="25">
        <f t="shared" si="32"/>
        <v>0</v>
      </c>
      <c r="BC199" s="25" t="str">
        <f t="shared" si="33"/>
        <v/>
      </c>
    </row>
    <row r="200" spans="1:55" ht="15" customHeight="1" outlineLevel="3" x14ac:dyDescent="0.2">
      <c r="A200" s="39">
        <v>4</v>
      </c>
      <c r="B200" s="23">
        <v>270040</v>
      </c>
      <c r="C200" s="23" t="s">
        <v>932</v>
      </c>
      <c r="D200" s="22">
        <f>input_values!Z200</f>
        <v>4</v>
      </c>
      <c r="E200" s="657">
        <v>0.01</v>
      </c>
      <c r="F200" s="31">
        <v>4.5454545454545455E-4</v>
      </c>
      <c r="G200" s="31">
        <v>0</v>
      </c>
      <c r="H200" s="31">
        <v>4.7623102029232291E-2</v>
      </c>
      <c r="I200" s="31">
        <v>1.7767009892994147E-3</v>
      </c>
      <c r="J200" s="31">
        <v>3.339768735663164E-3</v>
      </c>
      <c r="K200" s="31">
        <v>8.2191780821917804E-2</v>
      </c>
      <c r="L200" s="31">
        <v>7.0000000000000001E-3</v>
      </c>
      <c r="M200" s="31">
        <v>2E-3</v>
      </c>
      <c r="N200" s="31">
        <v>0</v>
      </c>
      <c r="O200" s="31">
        <v>0</v>
      </c>
      <c r="P200" s="31">
        <v>1.3302263648468711E-4</v>
      </c>
      <c r="Q200" s="31">
        <v>0</v>
      </c>
      <c r="R200" s="584"/>
      <c r="S200" s="31">
        <v>5.1808731456736735E-3</v>
      </c>
      <c r="T200" s="31"/>
      <c r="U200" s="31">
        <v>1.0638297872340425E-2</v>
      </c>
      <c r="V200" s="31">
        <v>9.7278604721094564E-2</v>
      </c>
      <c r="W200" s="31">
        <v>0</v>
      </c>
      <c r="X200" s="31">
        <v>2E-3</v>
      </c>
      <c r="Y200" s="31">
        <v>0</v>
      </c>
      <c r="Z200" s="31">
        <v>0</v>
      </c>
      <c r="AA200" s="31">
        <v>0</v>
      </c>
      <c r="AB200" s="31">
        <v>8.3333333333333332E-3</v>
      </c>
      <c r="AC200" s="31">
        <v>1.3157894736842105E-3</v>
      </c>
      <c r="AD200" s="31">
        <v>0</v>
      </c>
      <c r="AE200" s="31"/>
      <c r="AF200" s="31"/>
      <c r="AG200" s="31"/>
      <c r="AH200" s="31"/>
      <c r="AI200" s="31"/>
      <c r="AJ200" s="31"/>
      <c r="AK200" s="663">
        <v>2.835573657397168E-3</v>
      </c>
      <c r="AL200" s="663">
        <v>3.6010525309121272E-3</v>
      </c>
      <c r="AM200" s="31">
        <v>0</v>
      </c>
      <c r="AN200" s="584"/>
      <c r="AO200" s="584"/>
      <c r="AP200" s="663"/>
      <c r="AQ200" s="31"/>
      <c r="AR200" s="31"/>
      <c r="AS200" s="31"/>
      <c r="AT200" s="31"/>
      <c r="AU200" s="31"/>
      <c r="AV200" s="31"/>
      <c r="AW200" s="31"/>
      <c r="AX200" s="31"/>
      <c r="AY200" s="31"/>
      <c r="AZ200" s="31">
        <f t="shared" si="30"/>
        <v>9.7278604721094564E-2</v>
      </c>
      <c r="BA200" s="25" t="str">
        <f t="shared" si="31"/>
        <v>IT adult</v>
      </c>
      <c r="BB200" s="25">
        <f t="shared" si="32"/>
        <v>0</v>
      </c>
      <c r="BC200" s="25" t="str">
        <f t="shared" si="33"/>
        <v/>
      </c>
    </row>
    <row r="201" spans="1:55" ht="15" customHeight="1" outlineLevel="3" x14ac:dyDescent="0.2">
      <c r="A201" s="39">
        <v>4</v>
      </c>
      <c r="B201" s="23">
        <v>270050</v>
      </c>
      <c r="C201" s="23" t="s">
        <v>62</v>
      </c>
      <c r="D201" s="22">
        <f>input_values!Z201</f>
        <v>4</v>
      </c>
      <c r="E201" s="657">
        <v>0.01</v>
      </c>
      <c r="F201" s="31">
        <v>4.5454545454545455E-4</v>
      </c>
      <c r="G201" s="31">
        <v>3.4500000000000003E-2</v>
      </c>
      <c r="H201" s="31">
        <v>1.4144569910582033E-2</v>
      </c>
      <c r="I201" s="31">
        <v>4.5169056864204282E-3</v>
      </c>
      <c r="J201" s="31">
        <v>2.460764700457526E-2</v>
      </c>
      <c r="K201" s="31">
        <v>1.8985820716173999E-2</v>
      </c>
      <c r="L201" s="31">
        <v>0</v>
      </c>
      <c r="M201" s="31">
        <v>0</v>
      </c>
      <c r="N201" s="31">
        <v>0</v>
      </c>
      <c r="O201" s="31">
        <v>0</v>
      </c>
      <c r="P201" s="31">
        <v>0</v>
      </c>
      <c r="Q201" s="31">
        <v>4.41E-2</v>
      </c>
      <c r="R201" s="584"/>
      <c r="S201" s="31">
        <v>3.0911467784426251E-2</v>
      </c>
      <c r="T201" s="31"/>
      <c r="U201" s="31">
        <v>9.5744680851063829E-2</v>
      </c>
      <c r="V201" s="31">
        <v>4.5256352428206276E-2</v>
      </c>
      <c r="W201" s="31">
        <v>0</v>
      </c>
      <c r="X201" s="31">
        <v>0</v>
      </c>
      <c r="Y201" s="31">
        <v>0</v>
      </c>
      <c r="Z201" s="31">
        <v>0</v>
      </c>
      <c r="AA201" s="31">
        <v>0</v>
      </c>
      <c r="AB201" s="31">
        <v>2.5000000000000001E-2</v>
      </c>
      <c r="AC201" s="31">
        <v>0</v>
      </c>
      <c r="AD201" s="31">
        <v>1.4992503748125937E-3</v>
      </c>
      <c r="AE201" s="31">
        <v>2.0166666666666666E-2</v>
      </c>
      <c r="AF201" s="31">
        <v>1.6333333333333332E-2</v>
      </c>
      <c r="AG201" s="31">
        <v>6.083333333333333E-2</v>
      </c>
      <c r="AH201" s="31">
        <v>2.7833333333333331E-2</v>
      </c>
      <c r="AI201" s="31">
        <v>4.3333333333333331E-3</v>
      </c>
      <c r="AJ201" s="31">
        <v>1.6666666666666668E-3</v>
      </c>
      <c r="AK201" s="663">
        <v>1.6409532631499405E-3</v>
      </c>
      <c r="AL201" s="663">
        <v>2.0109859186149895E-3</v>
      </c>
      <c r="AM201" s="31">
        <v>0</v>
      </c>
      <c r="AN201" s="584"/>
      <c r="AO201" s="584"/>
      <c r="AP201" s="663"/>
      <c r="AQ201" s="31"/>
      <c r="AR201" s="31"/>
      <c r="AS201" s="31"/>
      <c r="AT201" s="31"/>
      <c r="AU201" s="31"/>
      <c r="AV201" s="31"/>
      <c r="AW201" s="31"/>
      <c r="AX201" s="31"/>
      <c r="AY201" s="31"/>
      <c r="AZ201" s="31">
        <f t="shared" si="30"/>
        <v>9.5744680851063829E-2</v>
      </c>
      <c r="BA201" s="25" t="str">
        <f t="shared" si="31"/>
        <v>IE adult</v>
      </c>
      <c r="BB201" s="25">
        <f t="shared" si="32"/>
        <v>0</v>
      </c>
      <c r="BC201" s="25" t="str">
        <f t="shared" si="33"/>
        <v/>
      </c>
    </row>
    <row r="202" spans="1:55" ht="15" customHeight="1" outlineLevel="3" x14ac:dyDescent="0.2">
      <c r="A202" s="39">
        <v>4</v>
      </c>
      <c r="B202" s="23">
        <v>270060</v>
      </c>
      <c r="C202" s="23" t="s">
        <v>738</v>
      </c>
      <c r="D202" s="22">
        <f>input_values!Z202</f>
        <v>4</v>
      </c>
      <c r="E202" s="657">
        <v>7.0000000000000007E-2</v>
      </c>
      <c r="F202" s="31">
        <v>4.5454545454545456E-2</v>
      </c>
      <c r="G202" s="31">
        <v>3.0200000000000001E-2</v>
      </c>
      <c r="H202" s="31">
        <v>0.25966714073175595</v>
      </c>
      <c r="I202" s="31">
        <v>0.26225786619148911</v>
      </c>
      <c r="J202" s="31">
        <v>0.19102622402040753</v>
      </c>
      <c r="K202" s="31">
        <v>2.4032684450853163E-3</v>
      </c>
      <c r="L202" s="31">
        <v>0.11600000000000001</v>
      </c>
      <c r="M202" s="31">
        <v>6.8000000000000005E-2</v>
      </c>
      <c r="N202" s="31">
        <v>0</v>
      </c>
      <c r="O202" s="31">
        <v>1.3698630136986302E-2</v>
      </c>
      <c r="P202" s="31">
        <v>2.69E-2</v>
      </c>
      <c r="Q202" s="31">
        <v>2.8199999999999999E-2</v>
      </c>
      <c r="R202" s="584">
        <v>1.3450619E-2</v>
      </c>
      <c r="S202" s="31">
        <v>0.12539722471797363</v>
      </c>
      <c r="T202" s="31"/>
      <c r="U202" s="31">
        <v>8.9095744680851061E-2</v>
      </c>
      <c r="V202" s="31">
        <v>3.758833258156668E-3</v>
      </c>
      <c r="W202" s="31">
        <v>0</v>
      </c>
      <c r="X202" s="31">
        <v>0.128</v>
      </c>
      <c r="Y202" s="31">
        <v>4.1636942675159237E-2</v>
      </c>
      <c r="Z202" s="31">
        <v>0</v>
      </c>
      <c r="AA202" s="31">
        <v>0</v>
      </c>
      <c r="AB202" s="31">
        <v>0.05</v>
      </c>
      <c r="AC202" s="31">
        <v>1.7105263157894738E-2</v>
      </c>
      <c r="AD202" s="31">
        <v>2.8485757121439279E-2</v>
      </c>
      <c r="AE202" s="31">
        <v>5.3499999999999999E-2</v>
      </c>
      <c r="AF202" s="31">
        <v>6.6833333333333328E-2</v>
      </c>
      <c r="AG202" s="31">
        <v>7.3499999999999996E-2</v>
      </c>
      <c r="AH202" s="31">
        <v>9.0000000000000011E-3</v>
      </c>
      <c r="AI202" s="31">
        <v>0.27350000000000002</v>
      </c>
      <c r="AJ202" s="31">
        <v>2.0333333333333332E-2</v>
      </c>
      <c r="AK202" s="663">
        <v>7.051301446591221E-2</v>
      </c>
      <c r="AL202" s="663">
        <v>6.8734321991764671E-2</v>
      </c>
      <c r="AM202" s="31">
        <v>2.6467800000000001E-3</v>
      </c>
      <c r="AN202" s="584">
        <v>3.7101051699999998E-2</v>
      </c>
      <c r="AO202" s="584">
        <v>2.5722077400000001E-2</v>
      </c>
      <c r="AP202" s="663"/>
      <c r="AQ202" s="31"/>
      <c r="AR202" s="31"/>
      <c r="AS202" s="31"/>
      <c r="AT202" s="31"/>
      <c r="AU202" s="31"/>
      <c r="AV202" s="31"/>
      <c r="AW202" s="31"/>
      <c r="AX202" s="31"/>
      <c r="AY202" s="31"/>
      <c r="AZ202" s="31">
        <f t="shared" si="30"/>
        <v>0.27350000000000002</v>
      </c>
      <c r="BA202" s="25" t="str">
        <f t="shared" si="31"/>
        <v>GEMS/Food G11</v>
      </c>
      <c r="BB202" s="25">
        <f t="shared" si="32"/>
        <v>0</v>
      </c>
      <c r="BC202" s="25" t="str">
        <f t="shared" si="33"/>
        <v/>
      </c>
    </row>
    <row r="203" spans="1:55" ht="15" customHeight="1" outlineLevel="3" x14ac:dyDescent="0.2">
      <c r="A203" s="39">
        <v>4</v>
      </c>
      <c r="B203" s="23">
        <v>270070</v>
      </c>
      <c r="C203" s="23" t="s">
        <v>739</v>
      </c>
      <c r="D203" s="22">
        <f>input_values!Z203</f>
        <v>4</v>
      </c>
      <c r="E203" s="657">
        <v>0.01</v>
      </c>
      <c r="F203" s="31">
        <v>4.5454545454545461E-3</v>
      </c>
      <c r="G203" s="31">
        <v>0</v>
      </c>
      <c r="H203" s="31">
        <v>0</v>
      </c>
      <c r="I203" s="31">
        <v>0</v>
      </c>
      <c r="J203" s="31">
        <v>0</v>
      </c>
      <c r="K203" s="31">
        <v>0</v>
      </c>
      <c r="L203" s="31">
        <v>0</v>
      </c>
      <c r="M203" s="31">
        <v>1.2999999999999999E-2</v>
      </c>
      <c r="N203" s="31">
        <v>1.149425287356322E-2</v>
      </c>
      <c r="O203" s="31">
        <v>6.8493150684931512E-3</v>
      </c>
      <c r="P203" s="31">
        <v>2.5099866844207723E-3</v>
      </c>
      <c r="Q203" s="31">
        <v>0</v>
      </c>
      <c r="R203" s="584">
        <v>9.4190773000000002E-3</v>
      </c>
      <c r="S203" s="31">
        <v>0</v>
      </c>
      <c r="T203" s="31"/>
      <c r="U203" s="31">
        <v>0.24468085106382975</v>
      </c>
      <c r="V203" s="31">
        <v>0</v>
      </c>
      <c r="W203" s="31">
        <v>0</v>
      </c>
      <c r="X203" s="31">
        <v>7.0000000000000001E-3</v>
      </c>
      <c r="Y203" s="31">
        <v>2.6273885350318473E-4</v>
      </c>
      <c r="Z203" s="31">
        <v>0</v>
      </c>
      <c r="AA203" s="31">
        <v>0</v>
      </c>
      <c r="AB203" s="31">
        <v>8.3333333333333332E-3</v>
      </c>
      <c r="AC203" s="31">
        <v>2.631578947368421E-3</v>
      </c>
      <c r="AD203" s="31">
        <v>7.4962518740629685E-3</v>
      </c>
      <c r="AE203" s="31">
        <v>1.5666666666666666E-2</v>
      </c>
      <c r="AF203" s="31">
        <v>2.6833333333333334E-2</v>
      </c>
      <c r="AG203" s="31">
        <v>3.7166666666666667E-2</v>
      </c>
      <c r="AH203" s="31">
        <v>8.6666666666666663E-3</v>
      </c>
      <c r="AI203" s="31">
        <v>0.12716666666666668</v>
      </c>
      <c r="AJ203" s="31">
        <v>1.6E-2</v>
      </c>
      <c r="AK203" s="663">
        <v>0</v>
      </c>
      <c r="AL203" s="663">
        <v>0</v>
      </c>
      <c r="AM203" s="31">
        <v>1.2771100000000001E-2</v>
      </c>
      <c r="AN203" s="584">
        <v>1.22483733E-2</v>
      </c>
      <c r="AO203" s="584">
        <v>1.7728488800000001E-2</v>
      </c>
      <c r="AP203" s="663"/>
      <c r="AQ203" s="31"/>
      <c r="AR203" s="31"/>
      <c r="AS203" s="31"/>
      <c r="AT203" s="31"/>
      <c r="AU203" s="31"/>
      <c r="AV203" s="31"/>
      <c r="AW203" s="31"/>
      <c r="AX203" s="31"/>
      <c r="AY203" s="31"/>
      <c r="AZ203" s="31">
        <f t="shared" si="30"/>
        <v>0.24468085106382975</v>
      </c>
      <c r="BA203" s="25" t="str">
        <f t="shared" si="31"/>
        <v>IE adult</v>
      </c>
      <c r="BB203" s="25">
        <f t="shared" si="32"/>
        <v>0</v>
      </c>
      <c r="BC203" s="25" t="str">
        <f t="shared" si="33"/>
        <v/>
      </c>
    </row>
    <row r="204" spans="1:55" ht="15" customHeight="1" outlineLevel="3" x14ac:dyDescent="0.2">
      <c r="A204" s="39">
        <v>4</v>
      </c>
      <c r="B204" s="23">
        <v>270080</v>
      </c>
      <c r="C204" s="23" t="s">
        <v>63</v>
      </c>
      <c r="D204" s="22">
        <f>input_values!Z204</f>
        <v>4</v>
      </c>
      <c r="E204" s="657">
        <v>0.01</v>
      </c>
      <c r="F204" s="31">
        <v>0</v>
      </c>
      <c r="G204" s="31">
        <v>0</v>
      </c>
      <c r="H204" s="31">
        <v>0</v>
      </c>
      <c r="I204" s="31">
        <v>0</v>
      </c>
      <c r="J204" s="31">
        <v>0</v>
      </c>
      <c r="K204" s="31">
        <v>0</v>
      </c>
      <c r="L204" s="31">
        <v>1E-3</v>
      </c>
      <c r="M204" s="31">
        <v>0</v>
      </c>
      <c r="N204" s="31">
        <v>0</v>
      </c>
      <c r="O204" s="31">
        <v>0</v>
      </c>
      <c r="P204" s="31">
        <v>0</v>
      </c>
      <c r="Q204" s="31">
        <v>0</v>
      </c>
      <c r="R204" s="584">
        <v>5.0812739999999996E-4</v>
      </c>
      <c r="S204" s="31">
        <v>0</v>
      </c>
      <c r="T204" s="31"/>
      <c r="U204" s="31">
        <v>0</v>
      </c>
      <c r="V204" s="31">
        <v>0</v>
      </c>
      <c r="W204" s="31">
        <v>0</v>
      </c>
      <c r="X204" s="31">
        <v>0</v>
      </c>
      <c r="Y204" s="31">
        <v>0</v>
      </c>
      <c r="Z204" s="31">
        <v>0</v>
      </c>
      <c r="AA204" s="31">
        <v>0</v>
      </c>
      <c r="AB204" s="31">
        <v>0</v>
      </c>
      <c r="AC204" s="31">
        <v>1.3157894736842105E-3</v>
      </c>
      <c r="AD204" s="31">
        <v>2.9985007496251873E-3</v>
      </c>
      <c r="AE204" s="31">
        <v>3.6833333333333398E-2</v>
      </c>
      <c r="AF204" s="31">
        <v>1.5333333333333334E-2</v>
      </c>
      <c r="AG204" s="31">
        <v>9.1666666666666667E-3</v>
      </c>
      <c r="AH204" s="31">
        <v>0</v>
      </c>
      <c r="AI204" s="31">
        <v>2.8666666666666667E-2</v>
      </c>
      <c r="AJ204" s="31">
        <v>2.5333333333333333E-2</v>
      </c>
      <c r="AK204" s="663">
        <v>4.1541233709330109E-3</v>
      </c>
      <c r="AL204" s="663">
        <v>5.3651816772677377E-3</v>
      </c>
      <c r="AM204" s="31">
        <v>0</v>
      </c>
      <c r="AN204" s="584">
        <v>4.4969569999999998E-4</v>
      </c>
      <c r="AO204" s="584">
        <v>1.0159371E-3</v>
      </c>
      <c r="AP204" s="663"/>
      <c r="AQ204" s="31"/>
      <c r="AR204" s="31"/>
      <c r="AS204" s="31"/>
      <c r="AT204" s="31"/>
      <c r="AU204" s="31"/>
      <c r="AV204" s="31"/>
      <c r="AW204" s="31"/>
      <c r="AX204" s="31"/>
      <c r="AY204" s="31"/>
      <c r="AZ204" s="31">
        <f t="shared" ref="AZ204:AZ267" si="44">MAX(E204:AY204)</f>
        <v>3.6833333333333398E-2</v>
      </c>
      <c r="BA204" s="25" t="str">
        <f t="shared" ref="BA204:BA267" si="45">INDEX($E$11:$AY$11,MATCH(AZ204,E204:AY204,0))</f>
        <v>GEMS/Food G06</v>
      </c>
      <c r="BB204" s="25">
        <f t="shared" ref="BB204:BB267" si="46">MIN(E204:AY204)</f>
        <v>0</v>
      </c>
      <c r="BC204" s="25" t="str">
        <f t="shared" ref="BC204:BC267" si="47">IF(BB204=0,"",INDEX($E$11:$AY$11,MATCH(BB204,E204:AY204,0)))</f>
        <v/>
      </c>
    </row>
    <row r="205" spans="1:55" ht="15" customHeight="1" outlineLevel="3" x14ac:dyDescent="0.2">
      <c r="A205" s="39">
        <v>4</v>
      </c>
      <c r="B205" s="23">
        <v>270090</v>
      </c>
      <c r="C205" s="23" t="s">
        <v>64</v>
      </c>
      <c r="D205" s="22">
        <f>input_values!Z205</f>
        <v>4</v>
      </c>
      <c r="E205" s="657">
        <v>0</v>
      </c>
      <c r="F205" s="31">
        <v>0</v>
      </c>
      <c r="G205" s="31">
        <v>0</v>
      </c>
      <c r="H205" s="31">
        <v>0</v>
      </c>
      <c r="I205" s="31">
        <v>5.2493438320209973E-3</v>
      </c>
      <c r="J205" s="31">
        <v>4.8875855327468241E-4</v>
      </c>
      <c r="K205" s="31">
        <v>0</v>
      </c>
      <c r="L205" s="31">
        <v>0</v>
      </c>
      <c r="M205" s="31">
        <v>0</v>
      </c>
      <c r="N205" s="31">
        <v>0</v>
      </c>
      <c r="O205" s="31">
        <v>0</v>
      </c>
      <c r="P205" s="31">
        <v>0</v>
      </c>
      <c r="Q205" s="31">
        <v>0</v>
      </c>
      <c r="R205" s="584"/>
      <c r="S205" s="31">
        <v>2.5642136735396551E-3</v>
      </c>
      <c r="T205" s="31"/>
      <c r="U205" s="31">
        <v>0</v>
      </c>
      <c r="V205" s="31">
        <v>0</v>
      </c>
      <c r="W205" s="31">
        <v>0</v>
      </c>
      <c r="X205" s="31">
        <v>0</v>
      </c>
      <c r="Y205" s="31">
        <v>0</v>
      </c>
      <c r="Z205" s="31">
        <v>0</v>
      </c>
      <c r="AA205" s="31">
        <v>0</v>
      </c>
      <c r="AB205" s="31">
        <v>0</v>
      </c>
      <c r="AC205" s="31">
        <v>0</v>
      </c>
      <c r="AD205" s="31">
        <v>0</v>
      </c>
      <c r="AE205" s="31">
        <v>8.5000000000000006E-3</v>
      </c>
      <c r="AF205" s="31">
        <v>8.5000000000000006E-3</v>
      </c>
      <c r="AG205" s="31">
        <v>1.2166666666666666E-2</v>
      </c>
      <c r="AH205" s="31">
        <v>1.6666666666666668E-3</v>
      </c>
      <c r="AI205" s="31">
        <v>1.1000000000000001E-2</v>
      </c>
      <c r="AJ205" s="31">
        <v>0</v>
      </c>
      <c r="AK205" s="663">
        <v>0</v>
      </c>
      <c r="AL205" s="663">
        <v>0</v>
      </c>
      <c r="AM205" s="31">
        <v>0</v>
      </c>
      <c r="AN205" s="584"/>
      <c r="AO205" s="584"/>
      <c r="AP205" s="663"/>
      <c r="AQ205" s="31"/>
      <c r="AR205" s="31"/>
      <c r="AS205" s="31"/>
      <c r="AT205" s="31"/>
      <c r="AU205" s="31"/>
      <c r="AV205" s="31"/>
      <c r="AW205" s="31"/>
      <c r="AX205" s="31"/>
      <c r="AY205" s="31"/>
      <c r="AZ205" s="31">
        <f t="shared" si="44"/>
        <v>1.2166666666666666E-2</v>
      </c>
      <c r="BA205" s="25" t="str">
        <f t="shared" si="45"/>
        <v>GEMS/Food G08</v>
      </c>
      <c r="BB205" s="25">
        <f t="shared" si="46"/>
        <v>0</v>
      </c>
      <c r="BC205" s="25" t="str">
        <f t="shared" si="47"/>
        <v/>
      </c>
    </row>
    <row r="206" spans="1:55" ht="15" customHeight="1" outlineLevel="3" x14ac:dyDescent="0.2">
      <c r="A206" s="39">
        <v>4</v>
      </c>
      <c r="B206" s="23">
        <v>270990</v>
      </c>
      <c r="C206" s="23" t="s">
        <v>177</v>
      </c>
      <c r="D206" s="22">
        <f>input_values!Z206</f>
        <v>4</v>
      </c>
      <c r="E206" s="657">
        <v>0</v>
      </c>
      <c r="F206" s="31"/>
      <c r="G206" s="31">
        <v>0</v>
      </c>
      <c r="H206" s="31">
        <v>0</v>
      </c>
      <c r="I206" s="31">
        <v>0</v>
      </c>
      <c r="J206" s="31">
        <v>0</v>
      </c>
      <c r="K206" s="31">
        <v>0</v>
      </c>
      <c r="L206" s="31">
        <v>0</v>
      </c>
      <c r="M206" s="31">
        <v>0</v>
      </c>
      <c r="N206" s="31">
        <v>0</v>
      </c>
      <c r="O206" s="31">
        <v>0</v>
      </c>
      <c r="P206" s="31">
        <v>0</v>
      </c>
      <c r="Q206" s="31">
        <v>0</v>
      </c>
      <c r="R206" s="584"/>
      <c r="S206" s="31">
        <v>0</v>
      </c>
      <c r="T206" s="31"/>
      <c r="U206" s="31">
        <v>0</v>
      </c>
      <c r="V206" s="31">
        <v>7.5176665163133359E-4</v>
      </c>
      <c r="W206" s="31">
        <v>0</v>
      </c>
      <c r="X206" s="31">
        <v>0</v>
      </c>
      <c r="Y206" s="31">
        <v>0</v>
      </c>
      <c r="Z206" s="31">
        <v>0</v>
      </c>
      <c r="AA206" s="31">
        <v>0</v>
      </c>
      <c r="AB206" s="31">
        <v>0</v>
      </c>
      <c r="AC206" s="31">
        <v>0</v>
      </c>
      <c r="AD206" s="31">
        <v>0</v>
      </c>
      <c r="AE206" s="31"/>
      <c r="AF206" s="31"/>
      <c r="AG206" s="31"/>
      <c r="AH206" s="31"/>
      <c r="AI206" s="31"/>
      <c r="AJ206" s="31"/>
      <c r="AK206" s="663">
        <v>0</v>
      </c>
      <c r="AL206" s="663">
        <v>0</v>
      </c>
      <c r="AM206" s="31">
        <v>0</v>
      </c>
      <c r="AN206" s="584"/>
      <c r="AO206" s="584"/>
      <c r="AP206" s="663"/>
      <c r="AQ206" s="31"/>
      <c r="AR206" s="31"/>
      <c r="AS206" s="31"/>
      <c r="AT206" s="31"/>
      <c r="AU206" s="31"/>
      <c r="AV206" s="31"/>
      <c r="AW206" s="31"/>
      <c r="AX206" s="31"/>
      <c r="AY206" s="31"/>
      <c r="AZ206" s="31">
        <f t="shared" si="44"/>
        <v>7.5176665163133359E-4</v>
      </c>
      <c r="BA206" s="25" t="str">
        <f t="shared" si="45"/>
        <v>IT adult</v>
      </c>
      <c r="BB206" s="25">
        <f t="shared" si="46"/>
        <v>0</v>
      </c>
      <c r="BC206" s="25" t="str">
        <f t="shared" si="47"/>
        <v/>
      </c>
    </row>
    <row r="207" spans="1:55" ht="15" customHeight="1" outlineLevel="2" x14ac:dyDescent="0.2">
      <c r="A207" s="130">
        <v>2</v>
      </c>
      <c r="B207" s="131">
        <v>280000</v>
      </c>
      <c r="C207" s="131" t="s">
        <v>235</v>
      </c>
      <c r="D207" s="79">
        <f>input_values!Z207</f>
        <v>4</v>
      </c>
      <c r="E207" s="581">
        <f>SUM(E208:E210)</f>
        <v>8.0019000000000007E-2</v>
      </c>
      <c r="F207" s="92">
        <f t="shared" ref="F207:AO207" si="48">SUM(F208:F210)</f>
        <v>4.5454545454545456E-2</v>
      </c>
      <c r="G207" s="92">
        <f t="shared" si="48"/>
        <v>2.0500000000000001E-2</v>
      </c>
      <c r="H207" s="92">
        <f t="shared" si="48"/>
        <v>1.2696141138506261E-2</v>
      </c>
      <c r="I207" s="92">
        <f t="shared" si="48"/>
        <v>6.4265607065594171E-2</v>
      </c>
      <c r="J207" s="92">
        <f t="shared" si="48"/>
        <v>7.482503901731187E-2</v>
      </c>
      <c r="K207" s="92">
        <f t="shared" si="48"/>
        <v>4.9747656813266039E-2</v>
      </c>
      <c r="L207" s="92">
        <f t="shared" si="48"/>
        <v>0.13500000000000001</v>
      </c>
      <c r="M207" s="92">
        <f t="shared" si="48"/>
        <v>6.9000000000000006E-2</v>
      </c>
      <c r="N207" s="92">
        <f t="shared" si="48"/>
        <v>1.149425287356322E-2</v>
      </c>
      <c r="O207" s="92">
        <f t="shared" si="48"/>
        <v>6.164383561643836E-2</v>
      </c>
      <c r="P207" s="92">
        <f t="shared" si="48"/>
        <v>4.2099866844207731E-2</v>
      </c>
      <c r="Q207" s="92">
        <f t="shared" si="48"/>
        <v>6.6500000000000004E-2</v>
      </c>
      <c r="R207" s="92">
        <f t="shared" si="48"/>
        <v>1.75464338E-2</v>
      </c>
      <c r="S207" s="92">
        <f t="shared" si="48"/>
        <v>5.233111695024114E-2</v>
      </c>
      <c r="T207" s="92"/>
      <c r="U207" s="92">
        <f t="shared" si="48"/>
        <v>0.23670212765957446</v>
      </c>
      <c r="V207" s="92">
        <f t="shared" si="48"/>
        <v>5.984062546985415E-2</v>
      </c>
      <c r="W207" s="92">
        <f t="shared" si="48"/>
        <v>2.5714285714285714E-2</v>
      </c>
      <c r="X207" s="92">
        <f t="shared" si="48"/>
        <v>7.8E-2</v>
      </c>
      <c r="Y207" s="92">
        <f t="shared" si="48"/>
        <v>0.12644745222929937</v>
      </c>
      <c r="Z207" s="92">
        <f t="shared" si="48"/>
        <v>0</v>
      </c>
      <c r="AA207" s="92">
        <f t="shared" si="48"/>
        <v>0</v>
      </c>
      <c r="AB207" s="92">
        <f t="shared" si="48"/>
        <v>0.16666666666666666</v>
      </c>
      <c r="AC207" s="92">
        <f t="shared" si="48"/>
        <v>6.18421052631579E-2</v>
      </c>
      <c r="AD207" s="92">
        <f t="shared" si="48"/>
        <v>0.12593703148425786</v>
      </c>
      <c r="AE207" s="92">
        <f t="shared" si="48"/>
        <v>0</v>
      </c>
      <c r="AF207" s="92">
        <f t="shared" si="48"/>
        <v>0</v>
      </c>
      <c r="AG207" s="92">
        <f t="shared" si="48"/>
        <v>0</v>
      </c>
      <c r="AH207" s="92">
        <f t="shared" si="48"/>
        <v>0</v>
      </c>
      <c r="AI207" s="92">
        <f t="shared" si="48"/>
        <v>0</v>
      </c>
      <c r="AJ207" s="92">
        <f t="shared" si="48"/>
        <v>0</v>
      </c>
      <c r="AK207" s="92">
        <f t="shared" si="48"/>
        <v>4.4384084694021893E-2</v>
      </c>
      <c r="AL207" s="92">
        <f t="shared" si="48"/>
        <v>4.5802826417558125E-2</v>
      </c>
      <c r="AM207" s="92">
        <f t="shared" si="48"/>
        <v>2.5288999999999999E-2</v>
      </c>
      <c r="AN207" s="92">
        <f t="shared" si="48"/>
        <v>1.2941292599999999E-2</v>
      </c>
      <c r="AO207" s="92">
        <f t="shared" si="48"/>
        <v>1.44064091E-2</v>
      </c>
      <c r="AP207" s="92"/>
      <c r="AQ207" s="92"/>
      <c r="AR207" s="92"/>
      <c r="AS207" s="92"/>
      <c r="AT207" s="92"/>
      <c r="AU207" s="92"/>
      <c r="AV207" s="92"/>
      <c r="AW207" s="92"/>
      <c r="AX207" s="92" t="s">
        <v>369</v>
      </c>
      <c r="AY207" s="92"/>
      <c r="AZ207" s="92">
        <f t="shared" si="44"/>
        <v>0.23670212765957446</v>
      </c>
      <c r="BA207" s="42" t="str">
        <f t="shared" si="45"/>
        <v>IE adult</v>
      </c>
      <c r="BB207" s="42">
        <f t="shared" si="46"/>
        <v>0</v>
      </c>
      <c r="BC207" s="42" t="str">
        <f t="shared" si="47"/>
        <v/>
      </c>
    </row>
    <row r="208" spans="1:55" ht="15" customHeight="1" outlineLevel="3" x14ac:dyDescent="0.2">
      <c r="A208" s="39">
        <v>4</v>
      </c>
      <c r="B208" s="23">
        <v>280010</v>
      </c>
      <c r="C208" s="23" t="s">
        <v>236</v>
      </c>
      <c r="D208" s="22">
        <f>input_values!Z208</f>
        <v>4</v>
      </c>
      <c r="E208" s="657">
        <v>7.0000000000000007E-2</v>
      </c>
      <c r="F208" s="31">
        <v>4.5454545454545456E-2</v>
      </c>
      <c r="G208" s="31">
        <v>2.0500000000000001E-2</v>
      </c>
      <c r="H208" s="31">
        <v>1.2696141138506261E-2</v>
      </c>
      <c r="I208" s="31">
        <v>6.4064820804850389E-2</v>
      </c>
      <c r="J208" s="31">
        <v>7.482503901731187E-2</v>
      </c>
      <c r="K208" s="31">
        <v>4.1336217255467433E-2</v>
      </c>
      <c r="L208" s="31">
        <v>0.13500000000000001</v>
      </c>
      <c r="M208" s="31">
        <v>6.9000000000000006E-2</v>
      </c>
      <c r="N208" s="31">
        <v>1.149425287356322E-2</v>
      </c>
      <c r="O208" s="31">
        <v>6.164383561643836E-2</v>
      </c>
      <c r="P208" s="31">
        <v>4.2099866844207731E-2</v>
      </c>
      <c r="Q208" s="31">
        <v>6.6500000000000004E-2</v>
      </c>
      <c r="R208" s="584">
        <v>1.75464338E-2</v>
      </c>
      <c r="S208" s="31">
        <v>5.233111695024114E-2</v>
      </c>
      <c r="T208" s="31"/>
      <c r="U208" s="31">
        <v>0.23670212765957446</v>
      </c>
      <c r="V208" s="31">
        <v>5.0218012328973077E-2</v>
      </c>
      <c r="W208" s="31">
        <v>2.5714285714285714E-2</v>
      </c>
      <c r="X208" s="31">
        <v>7.6999999999999999E-2</v>
      </c>
      <c r="Y208" s="31">
        <v>0.12644745222929937</v>
      </c>
      <c r="Z208" s="31">
        <v>0</v>
      </c>
      <c r="AA208" s="31">
        <v>0</v>
      </c>
      <c r="AB208" s="31">
        <v>0.16666666666666666</v>
      </c>
      <c r="AC208" s="31">
        <v>6.18421052631579E-2</v>
      </c>
      <c r="AD208" s="31">
        <v>0.12593703148425786</v>
      </c>
      <c r="AE208" s="31"/>
      <c r="AF208" s="31"/>
      <c r="AG208" s="31"/>
      <c r="AH208" s="31"/>
      <c r="AI208" s="31"/>
      <c r="AJ208" s="31"/>
      <c r="AK208" s="663">
        <v>3.7782043469316941E-2</v>
      </c>
      <c r="AL208" s="663">
        <v>4.2345164683310725E-2</v>
      </c>
      <c r="AM208" s="31">
        <v>2.5288999999999999E-2</v>
      </c>
      <c r="AN208" s="584">
        <v>1.2941292599999999E-2</v>
      </c>
      <c r="AO208" s="584">
        <v>1.44064091E-2</v>
      </c>
      <c r="AP208" s="663"/>
      <c r="AQ208" s="31"/>
      <c r="AR208" s="31"/>
      <c r="AS208" s="31"/>
      <c r="AT208" s="31"/>
      <c r="AU208" s="31"/>
      <c r="AV208" s="31"/>
      <c r="AW208" s="31"/>
      <c r="AX208" s="31"/>
      <c r="AY208" s="31"/>
      <c r="AZ208" s="31">
        <f t="shared" si="44"/>
        <v>0.23670212765957446</v>
      </c>
      <c r="BA208" s="25" t="str">
        <f t="shared" si="45"/>
        <v>IE adult</v>
      </c>
      <c r="BB208" s="25">
        <f t="shared" si="46"/>
        <v>0</v>
      </c>
      <c r="BC208" s="25" t="str">
        <f t="shared" si="47"/>
        <v/>
      </c>
    </row>
    <row r="209" spans="1:55" ht="15" customHeight="1" outlineLevel="3" x14ac:dyDescent="0.2">
      <c r="A209" s="39">
        <v>4</v>
      </c>
      <c r="B209" s="23">
        <v>280020</v>
      </c>
      <c r="C209" s="23" t="s">
        <v>237</v>
      </c>
      <c r="D209" s="22">
        <f>input_values!Z209</f>
        <v>4</v>
      </c>
      <c r="E209" s="657">
        <v>1.0019E-2</v>
      </c>
      <c r="F209" s="31">
        <v>0</v>
      </c>
      <c r="G209" s="31">
        <v>0</v>
      </c>
      <c r="H209" s="31">
        <v>0</v>
      </c>
      <c r="I209" s="31">
        <v>2.0078626074377618E-4</v>
      </c>
      <c r="J209" s="31">
        <v>0</v>
      </c>
      <c r="K209" s="31">
        <v>8.4114395577986056E-3</v>
      </c>
      <c r="L209" s="31">
        <v>0</v>
      </c>
      <c r="M209" s="31">
        <v>0</v>
      </c>
      <c r="N209" s="31">
        <v>0</v>
      </c>
      <c r="O209" s="31">
        <v>0</v>
      </c>
      <c r="P209" s="31">
        <v>0</v>
      </c>
      <c r="Q209" s="31">
        <v>0</v>
      </c>
      <c r="R209" s="584"/>
      <c r="S209" s="31">
        <v>0</v>
      </c>
      <c r="T209" s="31"/>
      <c r="U209" s="31">
        <v>0</v>
      </c>
      <c r="V209" s="31">
        <v>9.6226131408810693E-3</v>
      </c>
      <c r="W209" s="31">
        <v>0</v>
      </c>
      <c r="X209" s="31">
        <v>1E-3</v>
      </c>
      <c r="Y209" s="31">
        <v>0</v>
      </c>
      <c r="Z209" s="31">
        <v>0</v>
      </c>
      <c r="AA209" s="31">
        <v>0</v>
      </c>
      <c r="AB209" s="31">
        <v>0</v>
      </c>
      <c r="AC209" s="31">
        <v>0</v>
      </c>
      <c r="AD209" s="31">
        <v>0</v>
      </c>
      <c r="AE209" s="31"/>
      <c r="AF209" s="31"/>
      <c r="AG209" s="31"/>
      <c r="AH209" s="31"/>
      <c r="AI209" s="31"/>
      <c r="AJ209" s="31"/>
      <c r="AK209" s="663">
        <v>6.6020412247049529E-3</v>
      </c>
      <c r="AL209" s="663">
        <v>3.4576617342474015E-3</v>
      </c>
      <c r="AM209" s="31">
        <v>0</v>
      </c>
      <c r="AN209" s="584"/>
      <c r="AO209" s="584"/>
      <c r="AP209" s="663"/>
      <c r="AQ209" s="31"/>
      <c r="AR209" s="31"/>
      <c r="AS209" s="31"/>
      <c r="AT209" s="31"/>
      <c r="AU209" s="31"/>
      <c r="AV209" s="31"/>
      <c r="AW209" s="31"/>
      <c r="AX209" s="31"/>
      <c r="AY209" s="31"/>
      <c r="AZ209" s="31">
        <f t="shared" si="44"/>
        <v>1.0019E-2</v>
      </c>
      <c r="BA209" s="25" t="str">
        <f t="shared" si="45"/>
        <v>DE child</v>
      </c>
      <c r="BB209" s="25">
        <f t="shared" si="46"/>
        <v>0</v>
      </c>
      <c r="BC209" s="25" t="str">
        <f t="shared" si="47"/>
        <v/>
      </c>
    </row>
    <row r="210" spans="1:55" ht="15" customHeight="1" outlineLevel="3" x14ac:dyDescent="0.2">
      <c r="A210" s="39">
        <v>4</v>
      </c>
      <c r="B210" s="23">
        <v>280990</v>
      </c>
      <c r="C210" s="23" t="s">
        <v>740</v>
      </c>
      <c r="D210" s="22">
        <f>input_values!Z210</f>
        <v>4</v>
      </c>
      <c r="E210" s="657">
        <v>0</v>
      </c>
      <c r="F210" s="31">
        <v>0</v>
      </c>
      <c r="G210" s="31">
        <v>0</v>
      </c>
      <c r="H210" s="31">
        <v>0</v>
      </c>
      <c r="I210" s="31">
        <v>0</v>
      </c>
      <c r="J210" s="31">
        <v>0</v>
      </c>
      <c r="K210" s="31">
        <v>0</v>
      </c>
      <c r="L210" s="31">
        <v>0</v>
      </c>
      <c r="M210" s="31">
        <v>0</v>
      </c>
      <c r="N210" s="31">
        <v>0</v>
      </c>
      <c r="O210" s="31">
        <v>0</v>
      </c>
      <c r="P210" s="31">
        <v>0</v>
      </c>
      <c r="Q210" s="31">
        <v>0</v>
      </c>
      <c r="R210" s="584"/>
      <c r="S210" s="31">
        <v>0</v>
      </c>
      <c r="T210" s="31"/>
      <c r="U210" s="31">
        <v>0</v>
      </c>
      <c r="V210" s="31">
        <v>0</v>
      </c>
      <c r="W210" s="31">
        <v>0</v>
      </c>
      <c r="X210" s="31">
        <v>0</v>
      </c>
      <c r="Y210" s="31">
        <v>0</v>
      </c>
      <c r="Z210" s="31">
        <v>0</v>
      </c>
      <c r="AA210" s="31">
        <v>0</v>
      </c>
      <c r="AB210" s="31">
        <v>0</v>
      </c>
      <c r="AC210" s="31">
        <v>0</v>
      </c>
      <c r="AD210" s="31">
        <v>0</v>
      </c>
      <c r="AE210" s="31"/>
      <c r="AF210" s="31"/>
      <c r="AG210" s="31"/>
      <c r="AH210" s="31"/>
      <c r="AI210" s="31"/>
      <c r="AJ210" s="31"/>
      <c r="AK210" s="663">
        <v>0</v>
      </c>
      <c r="AL210" s="663">
        <v>0</v>
      </c>
      <c r="AM210" s="31">
        <v>0</v>
      </c>
      <c r="AN210" s="584"/>
      <c r="AO210" s="584"/>
      <c r="AP210" s="663"/>
      <c r="AQ210" s="31"/>
      <c r="AR210" s="31"/>
      <c r="AS210" s="31"/>
      <c r="AT210" s="31"/>
      <c r="AU210" s="31"/>
      <c r="AV210" s="31"/>
      <c r="AW210" s="31"/>
      <c r="AX210" s="31"/>
      <c r="AY210" s="31"/>
      <c r="AZ210" s="31">
        <f t="shared" si="44"/>
        <v>0</v>
      </c>
      <c r="BA210" s="25" t="str">
        <f t="shared" si="45"/>
        <v>DE child</v>
      </c>
      <c r="BB210" s="25">
        <f t="shared" si="46"/>
        <v>0</v>
      </c>
      <c r="BC210" s="25" t="str">
        <f t="shared" si="47"/>
        <v/>
      </c>
    </row>
    <row r="211" spans="1:55" ht="15" customHeight="1" outlineLevel="1" x14ac:dyDescent="0.2">
      <c r="A211" s="130">
        <v>2</v>
      </c>
      <c r="B211" s="131">
        <v>290000</v>
      </c>
      <c r="C211" s="131" t="s">
        <v>741</v>
      </c>
      <c r="D211" s="79">
        <f>input_values!Z211</f>
        <v>2</v>
      </c>
      <c r="E211" s="656">
        <v>0</v>
      </c>
      <c r="F211" s="92">
        <v>0</v>
      </c>
      <c r="G211" s="92">
        <v>0</v>
      </c>
      <c r="H211" s="92">
        <v>0</v>
      </c>
      <c r="I211" s="92">
        <v>0</v>
      </c>
      <c r="J211" s="92">
        <v>0</v>
      </c>
      <c r="K211" s="92">
        <v>0</v>
      </c>
      <c r="L211" s="92">
        <v>0</v>
      </c>
      <c r="M211" s="92">
        <v>0</v>
      </c>
      <c r="N211" s="92">
        <v>0</v>
      </c>
      <c r="O211" s="92">
        <v>0</v>
      </c>
      <c r="P211" s="92">
        <v>0</v>
      </c>
      <c r="Q211" s="92">
        <v>0</v>
      </c>
      <c r="R211" s="583"/>
      <c r="S211" s="92">
        <v>0</v>
      </c>
      <c r="T211" s="92"/>
      <c r="U211" s="92">
        <v>0</v>
      </c>
      <c r="V211" s="92">
        <v>0</v>
      </c>
      <c r="W211" s="92">
        <v>0</v>
      </c>
      <c r="X211" s="92">
        <v>0</v>
      </c>
      <c r="Y211" s="92">
        <v>0</v>
      </c>
      <c r="Z211" s="92">
        <v>0</v>
      </c>
      <c r="AA211" s="92">
        <v>0</v>
      </c>
      <c r="AB211" s="92">
        <v>0</v>
      </c>
      <c r="AC211" s="92">
        <v>0</v>
      </c>
      <c r="AD211" s="92">
        <v>0</v>
      </c>
      <c r="AE211" s="92"/>
      <c r="AF211" s="92"/>
      <c r="AG211" s="92"/>
      <c r="AH211" s="92"/>
      <c r="AI211" s="92"/>
      <c r="AJ211" s="92"/>
      <c r="AK211" s="664">
        <v>0</v>
      </c>
      <c r="AL211" s="664">
        <v>0</v>
      </c>
      <c r="AM211" s="92">
        <v>0</v>
      </c>
      <c r="AN211" s="583"/>
      <c r="AO211" s="583"/>
      <c r="AP211" s="664"/>
      <c r="AQ211" s="92"/>
      <c r="AR211" s="92"/>
      <c r="AS211" s="92"/>
      <c r="AT211" s="92"/>
      <c r="AU211" s="92"/>
      <c r="AV211" s="92"/>
      <c r="AW211" s="92"/>
      <c r="AX211" s="92"/>
      <c r="AY211" s="92"/>
      <c r="AZ211" s="92">
        <f t="shared" si="44"/>
        <v>0</v>
      </c>
      <c r="BA211" s="42" t="str">
        <f t="shared" si="45"/>
        <v>DE child</v>
      </c>
      <c r="BB211" s="42">
        <f t="shared" si="46"/>
        <v>0</v>
      </c>
      <c r="BC211" s="42" t="str">
        <f t="shared" si="47"/>
        <v/>
      </c>
    </row>
    <row r="212" spans="1:55" ht="15" customHeight="1" x14ac:dyDescent="0.2">
      <c r="A212" s="126">
        <v>1</v>
      </c>
      <c r="B212" s="127">
        <v>300000</v>
      </c>
      <c r="C212" s="127" t="s">
        <v>742</v>
      </c>
      <c r="D212" s="81">
        <f>input_values!Z212</f>
        <v>4</v>
      </c>
      <c r="E212" s="582">
        <f>SUM(E213:E217)</f>
        <v>0.02</v>
      </c>
      <c r="F212" s="91">
        <f t="shared" ref="F212:AO212" si="49">SUM(F213:F217)</f>
        <v>9.0909090909090909E-4</v>
      </c>
      <c r="G212" s="91">
        <f t="shared" si="49"/>
        <v>0.47359999999999997</v>
      </c>
      <c r="H212" s="91">
        <f t="shared" si="49"/>
        <v>5.9226014343336922E-2</v>
      </c>
      <c r="I212" s="91">
        <f t="shared" si="49"/>
        <v>0.20677264665196665</v>
      </c>
      <c r="J212" s="91">
        <f t="shared" si="49"/>
        <v>0.36675394322826732</v>
      </c>
      <c r="K212" s="91">
        <f t="shared" si="49"/>
        <v>0.1475606825282384</v>
      </c>
      <c r="L212" s="91">
        <f t="shared" si="49"/>
        <v>0.14800000000000002</v>
      </c>
      <c r="M212" s="91">
        <f t="shared" si="49"/>
        <v>6.3E-2</v>
      </c>
      <c r="N212" s="91">
        <f t="shared" si="49"/>
        <v>0.4942528735632184</v>
      </c>
      <c r="O212" s="91">
        <f t="shared" si="49"/>
        <v>0.81506849315068508</v>
      </c>
      <c r="P212" s="91">
        <f t="shared" si="49"/>
        <v>6.2595206391478034E-3</v>
      </c>
      <c r="Q212" s="91">
        <f t="shared" si="49"/>
        <v>0.21959999999999999</v>
      </c>
      <c r="R212" s="91">
        <f t="shared" si="49"/>
        <v>4.6816299200000001E-2</v>
      </c>
      <c r="S212" s="91">
        <f t="shared" si="49"/>
        <v>0.20312562967817019</v>
      </c>
      <c r="T212" s="91"/>
      <c r="U212" s="91">
        <f t="shared" si="49"/>
        <v>0.54654255319148937</v>
      </c>
      <c r="V212" s="91">
        <f t="shared" si="49"/>
        <v>0.10148849797023002</v>
      </c>
      <c r="W212" s="91">
        <f t="shared" si="49"/>
        <v>0</v>
      </c>
      <c r="X212" s="91">
        <f t="shared" si="49"/>
        <v>7.8E-2</v>
      </c>
      <c r="Y212" s="91">
        <f t="shared" si="49"/>
        <v>5.2968152866242041E-2</v>
      </c>
      <c r="Z212" s="91">
        <f t="shared" si="49"/>
        <v>0.22666666666666666</v>
      </c>
      <c r="AA212" s="91">
        <f t="shared" si="49"/>
        <v>0.11666666666666667</v>
      </c>
      <c r="AB212" s="91">
        <f t="shared" si="49"/>
        <v>0</v>
      </c>
      <c r="AC212" s="91">
        <f t="shared" si="49"/>
        <v>0.24342105263157898</v>
      </c>
      <c r="AD212" s="91">
        <f t="shared" si="49"/>
        <v>0.42578710644677664</v>
      </c>
      <c r="AE212" s="91">
        <f t="shared" si="49"/>
        <v>0.30166666666666669</v>
      </c>
      <c r="AF212" s="91">
        <f t="shared" si="49"/>
        <v>0.10883333333333332</v>
      </c>
      <c r="AG212" s="91">
        <f t="shared" si="49"/>
        <v>8.7666666666666671E-2</v>
      </c>
      <c r="AH212" s="91">
        <f t="shared" si="49"/>
        <v>0.14250000000000002</v>
      </c>
      <c r="AI212" s="91">
        <f t="shared" si="49"/>
        <v>8.1166666666666665E-2</v>
      </c>
      <c r="AJ212" s="91">
        <f t="shared" si="49"/>
        <v>0.13300000000000001</v>
      </c>
      <c r="AK212" s="91">
        <f t="shared" si="49"/>
        <v>3.0643952170555409E-2</v>
      </c>
      <c r="AL212" s="91">
        <f t="shared" si="49"/>
        <v>2.4893070671593773E-2</v>
      </c>
      <c r="AM212" s="91">
        <f t="shared" si="49"/>
        <v>2.2003299999999999E-3</v>
      </c>
      <c r="AN212" s="91">
        <f t="shared" si="49"/>
        <v>8.3861274699999988E-2</v>
      </c>
      <c r="AO212" s="91">
        <f t="shared" si="49"/>
        <v>0.16125928819999999</v>
      </c>
      <c r="AP212" s="91"/>
      <c r="AQ212" s="91"/>
      <c r="AR212" s="91"/>
      <c r="AS212" s="91"/>
      <c r="AT212" s="91"/>
      <c r="AU212" s="91"/>
      <c r="AV212" s="91"/>
      <c r="AW212" s="91"/>
      <c r="AX212" s="91" t="s">
        <v>369</v>
      </c>
      <c r="AY212" s="91"/>
      <c r="AZ212" s="91">
        <f t="shared" si="44"/>
        <v>0.81506849315068508</v>
      </c>
      <c r="BA212" s="41" t="str">
        <f t="shared" si="45"/>
        <v>UK toddler</v>
      </c>
      <c r="BB212" s="41">
        <f t="shared" si="46"/>
        <v>0</v>
      </c>
      <c r="BC212" s="41" t="str">
        <f t="shared" si="47"/>
        <v/>
      </c>
    </row>
    <row r="213" spans="1:55" ht="15" customHeight="1" outlineLevel="3" x14ac:dyDescent="0.2">
      <c r="A213" s="39">
        <v>4</v>
      </c>
      <c r="B213" s="23">
        <v>300010</v>
      </c>
      <c r="C213" s="23" t="s">
        <v>291</v>
      </c>
      <c r="D213" s="22">
        <f>input_values!Z213</f>
        <v>4</v>
      </c>
      <c r="E213" s="657">
        <v>0</v>
      </c>
      <c r="F213" s="31">
        <v>4.5454545454545455E-4</v>
      </c>
      <c r="G213" s="31">
        <v>0.12429999999999999</v>
      </c>
      <c r="H213" s="31">
        <v>1.8707004504143962E-2</v>
      </c>
      <c r="I213" s="31">
        <v>9.3814220049865948E-2</v>
      </c>
      <c r="J213" s="31">
        <v>0.1801155376403622</v>
      </c>
      <c r="K213" s="31">
        <v>7.8346551309781298E-2</v>
      </c>
      <c r="L213" s="31">
        <v>0.129</v>
      </c>
      <c r="M213" s="31">
        <v>3.5000000000000003E-2</v>
      </c>
      <c r="N213" s="31">
        <v>0.4942528735632184</v>
      </c>
      <c r="O213" s="31">
        <v>0.77397260273972612</v>
      </c>
      <c r="P213" s="31">
        <v>5.9400798934753666E-3</v>
      </c>
      <c r="Q213" s="31">
        <v>5.0299999999999997E-2</v>
      </c>
      <c r="R213" s="587">
        <v>9.2248760999999995E-3</v>
      </c>
      <c r="S213" s="31">
        <v>0.1227242440674713</v>
      </c>
      <c r="T213" s="31"/>
      <c r="U213" s="31">
        <v>0.12234042553191488</v>
      </c>
      <c r="V213" s="31">
        <v>5.7434972184633885E-2</v>
      </c>
      <c r="W213" s="31">
        <v>0</v>
      </c>
      <c r="X213" s="31">
        <v>3.7999999999999999E-2</v>
      </c>
      <c r="Y213" s="31">
        <v>3.2283439490445862E-2</v>
      </c>
      <c r="Z213" s="31">
        <v>0.16833333333333333</v>
      </c>
      <c r="AA213" s="31">
        <v>0.11666666666666667</v>
      </c>
      <c r="AB213" s="31">
        <v>0</v>
      </c>
      <c r="AC213" s="31">
        <v>0.22105263157894739</v>
      </c>
      <c r="AD213" s="31">
        <v>0.3568215892053973</v>
      </c>
      <c r="AE213" s="31">
        <v>0.12400000000000001</v>
      </c>
      <c r="AF213" s="31">
        <v>2.5166666666666667E-2</v>
      </c>
      <c r="AG213" s="31">
        <v>2.5000000000000001E-2</v>
      </c>
      <c r="AH213" s="31">
        <v>8.5166666666666668E-2</v>
      </c>
      <c r="AI213" s="31">
        <v>2.2666666666666668E-2</v>
      </c>
      <c r="AJ213" s="31">
        <v>6.2666666666666662E-2</v>
      </c>
      <c r="AK213" s="663">
        <v>1.5003761451527306E-2</v>
      </c>
      <c r="AL213" s="663">
        <v>1.2451292022852846E-2</v>
      </c>
      <c r="AM213" s="31">
        <v>0</v>
      </c>
      <c r="AN213" s="584">
        <v>3.8857524599999999E-2</v>
      </c>
      <c r="AO213" s="584">
        <v>8.9740905400000001E-2</v>
      </c>
      <c r="AP213" s="663"/>
      <c r="AQ213" s="31"/>
      <c r="AR213" s="31"/>
      <c r="AS213" s="31"/>
      <c r="AT213" s="31"/>
      <c r="AU213" s="31"/>
      <c r="AV213" s="31"/>
      <c r="AW213" s="31"/>
      <c r="AX213" s="31"/>
      <c r="AY213" s="31"/>
      <c r="AZ213" s="31">
        <f t="shared" si="44"/>
        <v>0.77397260273972612</v>
      </c>
      <c r="BA213" s="25" t="str">
        <f t="shared" si="45"/>
        <v>UK toddler</v>
      </c>
      <c r="BB213" s="25">
        <f t="shared" si="46"/>
        <v>0</v>
      </c>
      <c r="BC213" s="25" t="str">
        <f t="shared" si="47"/>
        <v/>
      </c>
    </row>
    <row r="214" spans="1:55" ht="15" customHeight="1" outlineLevel="3" x14ac:dyDescent="0.2">
      <c r="A214" s="39">
        <v>4</v>
      </c>
      <c r="B214" s="23">
        <v>300020</v>
      </c>
      <c r="C214" s="23" t="s">
        <v>59</v>
      </c>
      <c r="D214" s="22">
        <f>input_values!Z214</f>
        <v>4</v>
      </c>
      <c r="E214" s="657">
        <v>0.01</v>
      </c>
      <c r="F214" s="31">
        <v>0</v>
      </c>
      <c r="G214" s="31">
        <v>0.2268</v>
      </c>
      <c r="H214" s="31">
        <v>3.7060458144414554E-2</v>
      </c>
      <c r="I214" s="31">
        <v>9.5968947006258423E-2</v>
      </c>
      <c r="J214" s="31">
        <v>0.18144360039309992</v>
      </c>
      <c r="K214" s="31">
        <v>3.6049026676279738E-2</v>
      </c>
      <c r="L214" s="31">
        <v>2E-3</v>
      </c>
      <c r="M214" s="31">
        <v>1E-3</v>
      </c>
      <c r="N214" s="31">
        <v>0</v>
      </c>
      <c r="O214" s="31">
        <v>1.3698630136986302E-2</v>
      </c>
      <c r="P214" s="31">
        <v>1.3302263648468711E-4</v>
      </c>
      <c r="Q214" s="31">
        <v>0.1009</v>
      </c>
      <c r="R214" s="587">
        <v>2.0949629E-3</v>
      </c>
      <c r="S214" s="31">
        <v>7.3685893249729947E-2</v>
      </c>
      <c r="T214" s="31"/>
      <c r="U214" s="31">
        <v>0.14627659574468085</v>
      </c>
      <c r="V214" s="31">
        <v>1.9094872951435873E-2</v>
      </c>
      <c r="W214" s="31">
        <v>0</v>
      </c>
      <c r="X214" s="31">
        <v>1E-3</v>
      </c>
      <c r="Y214" s="31">
        <v>0</v>
      </c>
      <c r="Z214" s="31">
        <v>0</v>
      </c>
      <c r="AA214" s="31">
        <v>0</v>
      </c>
      <c r="AB214" s="31">
        <v>0</v>
      </c>
      <c r="AC214" s="31">
        <v>1.0526315789473684E-2</v>
      </c>
      <c r="AD214" s="31">
        <v>4.0479760119940034E-2</v>
      </c>
      <c r="AE214" s="31">
        <v>8.1666666666666679E-2</v>
      </c>
      <c r="AF214" s="31">
        <v>1.5833333333333331E-2</v>
      </c>
      <c r="AG214" s="31">
        <v>1.9666666666666666E-2</v>
      </c>
      <c r="AH214" s="31">
        <v>1.6E-2</v>
      </c>
      <c r="AI214" s="31">
        <v>1.1833333333333333E-2</v>
      </c>
      <c r="AJ214" s="31">
        <v>6.1666666666666667E-3</v>
      </c>
      <c r="AK214" s="663">
        <v>1.1644148499922333E-2</v>
      </c>
      <c r="AL214" s="663">
        <v>1.0477333202213501E-2</v>
      </c>
      <c r="AM214" s="31">
        <v>0</v>
      </c>
      <c r="AN214" s="584">
        <v>1.5057006E-3</v>
      </c>
      <c r="AO214" s="584">
        <v>1.4911213000000001E-3</v>
      </c>
      <c r="AP214" s="663"/>
      <c r="AQ214" s="31"/>
      <c r="AR214" s="31"/>
      <c r="AS214" s="31"/>
      <c r="AT214" s="31"/>
      <c r="AU214" s="31"/>
      <c r="AV214" s="31"/>
      <c r="AW214" s="31"/>
      <c r="AX214" s="31"/>
      <c r="AY214" s="31"/>
      <c r="AZ214" s="31">
        <f t="shared" si="44"/>
        <v>0.2268</v>
      </c>
      <c r="BA214" s="25" t="str">
        <f t="shared" si="45"/>
        <v>ES child</v>
      </c>
      <c r="BB214" s="25">
        <f t="shared" si="46"/>
        <v>0</v>
      </c>
      <c r="BC214" s="25" t="str">
        <f t="shared" si="47"/>
        <v/>
      </c>
    </row>
    <row r="215" spans="1:55" ht="15" customHeight="1" outlineLevel="3" x14ac:dyDescent="0.2">
      <c r="A215" s="39">
        <v>4</v>
      </c>
      <c r="B215" s="23">
        <v>300030</v>
      </c>
      <c r="C215" s="23" t="s">
        <v>292</v>
      </c>
      <c r="D215" s="22">
        <f>input_values!Z215</f>
        <v>4</v>
      </c>
      <c r="E215" s="657">
        <v>0.01</v>
      </c>
      <c r="F215" s="31">
        <v>4.5454545454545455E-4</v>
      </c>
      <c r="G215" s="31">
        <v>0.1225</v>
      </c>
      <c r="H215" s="31">
        <v>0</v>
      </c>
      <c r="I215" s="31">
        <v>1.6989479595842308E-2</v>
      </c>
      <c r="J215" s="31">
        <v>0</v>
      </c>
      <c r="K215" s="31">
        <v>9.6130737803412653E-3</v>
      </c>
      <c r="L215" s="31">
        <v>8.9999999999999993E-3</v>
      </c>
      <c r="M215" s="31">
        <v>1.4E-2</v>
      </c>
      <c r="N215" s="31">
        <v>0</v>
      </c>
      <c r="O215" s="31">
        <v>2.7397260273972605E-2</v>
      </c>
      <c r="P215" s="31">
        <v>1.8641810918774968E-4</v>
      </c>
      <c r="Q215" s="31">
        <v>6.8399999999999989E-2</v>
      </c>
      <c r="R215" s="587">
        <v>3.5496460200000003E-2</v>
      </c>
      <c r="S215" s="31">
        <v>6.2290537897075199E-3</v>
      </c>
      <c r="T215" s="31"/>
      <c r="U215" s="31">
        <v>0.27792553191489361</v>
      </c>
      <c r="V215" s="31">
        <v>1.2178619756427604E-2</v>
      </c>
      <c r="W215" s="31">
        <v>0</v>
      </c>
      <c r="X215" s="31">
        <v>0.02</v>
      </c>
      <c r="Y215" s="31">
        <v>2.0684713375796179E-2</v>
      </c>
      <c r="Z215" s="31">
        <v>6.6666666666666671E-3</v>
      </c>
      <c r="AA215" s="31">
        <v>0</v>
      </c>
      <c r="AB215" s="31">
        <v>0</v>
      </c>
      <c r="AC215" s="31">
        <v>1.1842105263157895E-2</v>
      </c>
      <c r="AD215" s="31">
        <v>2.8485757121439279E-2</v>
      </c>
      <c r="AE215" s="31">
        <v>9.6000000000000002E-2</v>
      </c>
      <c r="AF215" s="31">
        <v>6.7833333333333329E-2</v>
      </c>
      <c r="AG215" s="31">
        <v>4.2999999999999997E-2</v>
      </c>
      <c r="AH215" s="31">
        <v>4.133333333333334E-2</v>
      </c>
      <c r="AI215" s="31">
        <v>4.6666666666666669E-2</v>
      </c>
      <c r="AJ215" s="31">
        <v>6.4166666666666664E-2</v>
      </c>
      <c r="AK215" s="663">
        <v>3.9960422191057708E-3</v>
      </c>
      <c r="AL215" s="663">
        <v>1.964445446527424E-3</v>
      </c>
      <c r="AM215" s="31">
        <v>2.2003299999999999E-3</v>
      </c>
      <c r="AN215" s="584">
        <v>4.3498049499999997E-2</v>
      </c>
      <c r="AO215" s="584">
        <v>7.0027261499999993E-2</v>
      </c>
      <c r="AP215" s="663"/>
      <c r="AQ215" s="31"/>
      <c r="AR215" s="31"/>
      <c r="AS215" s="31"/>
      <c r="AT215" s="31"/>
      <c r="AU215" s="31"/>
      <c r="AV215" s="31"/>
      <c r="AW215" s="31"/>
      <c r="AX215" s="31"/>
      <c r="AY215" s="31"/>
      <c r="AZ215" s="31">
        <f t="shared" si="44"/>
        <v>0.27792553191489361</v>
      </c>
      <c r="BA215" s="25" t="str">
        <f t="shared" si="45"/>
        <v>IE adult</v>
      </c>
      <c r="BB215" s="25">
        <f t="shared" si="46"/>
        <v>0</v>
      </c>
      <c r="BC215" s="25" t="str">
        <f t="shared" si="47"/>
        <v/>
      </c>
    </row>
    <row r="216" spans="1:55" ht="15" customHeight="1" outlineLevel="3" x14ac:dyDescent="0.2">
      <c r="A216" s="39">
        <v>4</v>
      </c>
      <c r="B216" s="23">
        <v>300040</v>
      </c>
      <c r="C216" s="23" t="s">
        <v>743</v>
      </c>
      <c r="D216" s="22">
        <f>input_values!Z216</f>
        <v>4</v>
      </c>
      <c r="E216" s="657">
        <v>0</v>
      </c>
      <c r="F216" s="31">
        <v>0</v>
      </c>
      <c r="G216" s="31">
        <v>0</v>
      </c>
      <c r="H216" s="31">
        <v>0</v>
      </c>
      <c r="I216" s="31">
        <v>0</v>
      </c>
      <c r="J216" s="31">
        <v>0</v>
      </c>
      <c r="K216" s="31">
        <v>0</v>
      </c>
      <c r="L216" s="31">
        <v>0</v>
      </c>
      <c r="M216" s="31">
        <v>0</v>
      </c>
      <c r="N216" s="31">
        <v>0</v>
      </c>
      <c r="O216" s="31">
        <v>0</v>
      </c>
      <c r="P216" s="31">
        <v>0</v>
      </c>
      <c r="Q216" s="31">
        <v>0</v>
      </c>
      <c r="R216" s="587"/>
      <c r="S216" s="31">
        <v>0</v>
      </c>
      <c r="T216" s="31"/>
      <c r="U216" s="31">
        <v>0</v>
      </c>
      <c r="V216" s="31">
        <v>0</v>
      </c>
      <c r="W216" s="31">
        <v>0</v>
      </c>
      <c r="X216" s="31">
        <v>0</v>
      </c>
      <c r="Y216" s="31">
        <v>0</v>
      </c>
      <c r="Z216" s="31">
        <v>0</v>
      </c>
      <c r="AA216" s="31">
        <v>0</v>
      </c>
      <c r="AB216" s="31">
        <v>0</v>
      </c>
      <c r="AC216" s="31">
        <v>0</v>
      </c>
      <c r="AD216" s="31">
        <v>0</v>
      </c>
      <c r="AE216" s="31"/>
      <c r="AF216" s="31"/>
      <c r="AG216" s="31"/>
      <c r="AH216" s="31"/>
      <c r="AI216" s="31"/>
      <c r="AJ216" s="31"/>
      <c r="AK216" s="663">
        <v>0</v>
      </c>
      <c r="AL216" s="663">
        <v>0</v>
      </c>
      <c r="AM216" s="31">
        <v>0</v>
      </c>
      <c r="AN216" s="584"/>
      <c r="AO216" s="584"/>
      <c r="AP216" s="663"/>
      <c r="AQ216" s="31"/>
      <c r="AR216" s="31"/>
      <c r="AS216" s="31"/>
      <c r="AT216" s="31"/>
      <c r="AU216" s="31"/>
      <c r="AV216" s="31"/>
      <c r="AW216" s="31"/>
      <c r="AX216" s="31"/>
      <c r="AY216" s="31"/>
      <c r="AZ216" s="31">
        <f t="shared" si="44"/>
        <v>0</v>
      </c>
      <c r="BA216" s="25" t="str">
        <f t="shared" si="45"/>
        <v>DE child</v>
      </c>
      <c r="BB216" s="25">
        <f t="shared" si="46"/>
        <v>0</v>
      </c>
      <c r="BC216" s="25" t="str">
        <f t="shared" si="47"/>
        <v/>
      </c>
    </row>
    <row r="217" spans="1:55" ht="15" customHeight="1" outlineLevel="3" x14ac:dyDescent="0.2">
      <c r="A217" s="39">
        <v>4</v>
      </c>
      <c r="B217" s="23">
        <v>300990</v>
      </c>
      <c r="C217" s="23" t="s">
        <v>744</v>
      </c>
      <c r="D217" s="22">
        <f>input_values!Z217</f>
        <v>4</v>
      </c>
      <c r="E217" s="657">
        <v>0</v>
      </c>
      <c r="F217" s="31"/>
      <c r="G217" s="31">
        <v>0</v>
      </c>
      <c r="H217" s="31">
        <v>3.4585516947784082E-3</v>
      </c>
      <c r="I217" s="31">
        <v>0</v>
      </c>
      <c r="J217" s="31">
        <v>5.1948051948051948E-3</v>
      </c>
      <c r="K217" s="31">
        <v>2.3552030761836096E-2</v>
      </c>
      <c r="L217" s="31">
        <v>8.0000000000000002E-3</v>
      </c>
      <c r="M217" s="31">
        <v>1.2999999999999999E-2</v>
      </c>
      <c r="N217" s="31">
        <v>0</v>
      </c>
      <c r="O217" s="31">
        <v>0</v>
      </c>
      <c r="P217" s="31">
        <v>0</v>
      </c>
      <c r="Q217" s="31">
        <v>0</v>
      </c>
      <c r="R217" s="587"/>
      <c r="S217" s="31">
        <v>4.8643857126143671E-4</v>
      </c>
      <c r="T217" s="31"/>
      <c r="U217" s="31">
        <v>0</v>
      </c>
      <c r="V217" s="31">
        <v>1.2780033077732671E-2</v>
      </c>
      <c r="W217" s="31">
        <v>0</v>
      </c>
      <c r="X217" s="31">
        <v>1.9E-2</v>
      </c>
      <c r="Y217" s="31">
        <v>0</v>
      </c>
      <c r="Z217" s="31">
        <v>5.1666666666666666E-2</v>
      </c>
      <c r="AA217" s="31">
        <v>0</v>
      </c>
      <c r="AB217" s="31">
        <v>0</v>
      </c>
      <c r="AC217" s="31">
        <v>0</v>
      </c>
      <c r="AD217" s="31">
        <v>0</v>
      </c>
      <c r="AE217" s="31"/>
      <c r="AF217" s="31"/>
      <c r="AG217" s="31"/>
      <c r="AH217" s="31"/>
      <c r="AI217" s="31"/>
      <c r="AJ217" s="31"/>
      <c r="AK217" s="663">
        <v>0</v>
      </c>
      <c r="AL217" s="663">
        <v>0</v>
      </c>
      <c r="AM217" s="31">
        <v>0</v>
      </c>
      <c r="AN217" s="584"/>
      <c r="AO217" s="584"/>
      <c r="AP217" s="663"/>
      <c r="AQ217" s="31"/>
      <c r="AR217" s="31"/>
      <c r="AS217" s="31"/>
      <c r="AT217" s="31"/>
      <c r="AU217" s="31"/>
      <c r="AV217" s="31"/>
      <c r="AW217" s="31"/>
      <c r="AX217" s="31"/>
      <c r="AY217" s="31"/>
      <c r="AZ217" s="31">
        <f t="shared" si="44"/>
        <v>5.1666666666666666E-2</v>
      </c>
      <c r="BA217" s="25" t="str">
        <f t="shared" si="45"/>
        <v>PT general</v>
      </c>
      <c r="BB217" s="25">
        <f t="shared" si="46"/>
        <v>0</v>
      </c>
      <c r="BC217" s="25" t="str">
        <f t="shared" si="47"/>
        <v/>
      </c>
    </row>
    <row r="218" spans="1:55" ht="15" customHeight="1" x14ac:dyDescent="0.2">
      <c r="A218" s="126">
        <v>1</v>
      </c>
      <c r="B218" s="127">
        <v>400000</v>
      </c>
      <c r="C218" s="127" t="s">
        <v>140</v>
      </c>
      <c r="D218" s="81">
        <f>input_values!Z218</f>
        <v>4</v>
      </c>
      <c r="E218" s="582">
        <f>SUM(E219,E236)</f>
        <v>0.28004100000000004</v>
      </c>
      <c r="F218" s="91">
        <f>SUM(F219,F236)</f>
        <v>4.5454545454545455E-4</v>
      </c>
      <c r="G218" s="91">
        <f t="shared" ref="G218:AO218" si="50">SUM(G219,G236)</f>
        <v>0.86280000000000001</v>
      </c>
      <c r="H218" s="91">
        <f t="shared" si="50"/>
        <v>9.7820484935347535E-2</v>
      </c>
      <c r="I218" s="91">
        <f t="shared" si="50"/>
        <v>0.48214927207576369</v>
      </c>
      <c r="J218" s="91">
        <f t="shared" si="50"/>
        <v>0.72675068069699789</v>
      </c>
      <c r="K218" s="91">
        <f t="shared" si="50"/>
        <v>6.9935111751982693E-2</v>
      </c>
      <c r="L218" s="91">
        <f t="shared" si="50"/>
        <v>2.7519999999999998</v>
      </c>
      <c r="M218" s="91">
        <f t="shared" si="50"/>
        <v>2.2340010000000001</v>
      </c>
      <c r="N218" s="91">
        <f t="shared" si="50"/>
        <v>1.149425287356322E-2</v>
      </c>
      <c r="O218" s="91">
        <f t="shared" si="50"/>
        <v>4.7945205479452052E-2</v>
      </c>
      <c r="P218" s="91">
        <f>SUM(P219,P236)</f>
        <v>2.4700399467376835E-4</v>
      </c>
      <c r="Q218" s="91">
        <f t="shared" si="50"/>
        <v>0.53100000000000003</v>
      </c>
      <c r="R218" s="91">
        <f t="shared" si="50"/>
        <v>0.13864060389999999</v>
      </c>
      <c r="S218" s="91">
        <f t="shared" si="50"/>
        <v>0.32412993867702533</v>
      </c>
      <c r="T218" s="91"/>
      <c r="U218" s="91">
        <f t="shared" si="50"/>
        <v>0.48005319148936171</v>
      </c>
      <c r="V218" s="91">
        <f t="shared" si="50"/>
        <v>5.728461885430762E-2</v>
      </c>
      <c r="W218" s="91">
        <f t="shared" si="50"/>
        <v>4.2285714285714288E-2</v>
      </c>
      <c r="X218" s="91">
        <f t="shared" si="50"/>
        <v>1.262</v>
      </c>
      <c r="Y218" s="91">
        <f t="shared" si="50"/>
        <v>1.5423566878980895E-2</v>
      </c>
      <c r="Z218" s="91">
        <f t="shared" si="50"/>
        <v>0.86166666666666669</v>
      </c>
      <c r="AA218" s="91">
        <f t="shared" si="50"/>
        <v>0.71666666666666667</v>
      </c>
      <c r="AB218" s="91">
        <f t="shared" si="50"/>
        <v>0</v>
      </c>
      <c r="AC218" s="91">
        <f t="shared" si="50"/>
        <v>2.1052631578947368E-2</v>
      </c>
      <c r="AD218" s="91">
        <f t="shared" si="50"/>
        <v>4.3478260869565216E-2</v>
      </c>
      <c r="AE218" s="91">
        <f t="shared" si="50"/>
        <v>2.5528333333333335</v>
      </c>
      <c r="AF218" s="91">
        <f t="shared" si="50"/>
        <v>3.4958333333333331</v>
      </c>
      <c r="AG218" s="91">
        <f t="shared" si="50"/>
        <v>3.8106666666666662</v>
      </c>
      <c r="AH218" s="91">
        <f t="shared" si="50"/>
        <v>4.5146666666666659</v>
      </c>
      <c r="AI218" s="91">
        <f t="shared" si="50"/>
        <v>4.6310000000000002</v>
      </c>
      <c r="AJ218" s="91">
        <f t="shared" si="50"/>
        <v>2.8476666666666666</v>
      </c>
      <c r="AK218" s="91">
        <f>SUM(AK219,AK236)</f>
        <v>0.24226208866328194</v>
      </c>
      <c r="AL218" s="91">
        <f>SUM(AL219,AL236)</f>
        <v>0.25076667216953902</v>
      </c>
      <c r="AM218" s="91">
        <f t="shared" si="50"/>
        <v>7.0669000000000001E-6</v>
      </c>
      <c r="AN218" s="91">
        <f t="shared" si="50"/>
        <v>0.19995121699999999</v>
      </c>
      <c r="AO218" s="91">
        <f t="shared" si="50"/>
        <v>0.17362458459999999</v>
      </c>
      <c r="AP218" s="91"/>
      <c r="AQ218" s="91"/>
      <c r="AR218" s="91"/>
      <c r="AS218" s="91"/>
      <c r="AT218" s="91"/>
      <c r="AU218" s="91"/>
      <c r="AV218" s="91"/>
      <c r="AW218" s="91"/>
      <c r="AX218" s="91" t="s">
        <v>369</v>
      </c>
      <c r="AY218" s="91"/>
      <c r="AZ218" s="91">
        <f t="shared" si="44"/>
        <v>4.6310000000000002</v>
      </c>
      <c r="BA218" s="41" t="str">
        <f t="shared" si="45"/>
        <v>GEMS/Food G11</v>
      </c>
      <c r="BB218" s="41">
        <f t="shared" si="46"/>
        <v>0</v>
      </c>
      <c r="BC218" s="41" t="str">
        <f t="shared" si="47"/>
        <v/>
      </c>
    </row>
    <row r="219" spans="1:55" ht="15" customHeight="1" outlineLevel="1" x14ac:dyDescent="0.2">
      <c r="A219" s="130">
        <v>2</v>
      </c>
      <c r="B219" s="131">
        <v>401000</v>
      </c>
      <c r="C219" s="131" t="s">
        <v>141</v>
      </c>
      <c r="D219" s="79">
        <f>input_values!Z219</f>
        <v>4</v>
      </c>
      <c r="E219" s="581">
        <f>SUM(E220:E235)</f>
        <v>0.21004100000000003</v>
      </c>
      <c r="F219" s="92">
        <f>SUM(F220:F235)</f>
        <v>4.5454545454545455E-4</v>
      </c>
      <c r="G219" s="92">
        <f t="shared" ref="G219:AO219" si="51">SUM(G220:G235)</f>
        <v>0.1303</v>
      </c>
      <c r="H219" s="92">
        <f t="shared" si="51"/>
        <v>8.8452038721507836E-2</v>
      </c>
      <c r="I219" s="92">
        <f t="shared" si="51"/>
        <v>0.43931676226859151</v>
      </c>
      <c r="J219" s="92">
        <f t="shared" si="51"/>
        <v>0.61306506974928487</v>
      </c>
      <c r="K219" s="92">
        <f t="shared" si="51"/>
        <v>6.9935111751982693E-2</v>
      </c>
      <c r="L219" s="92">
        <f t="shared" si="51"/>
        <v>1.5409999999999999</v>
      </c>
      <c r="M219" s="92">
        <f t="shared" si="51"/>
        <v>1.312001</v>
      </c>
      <c r="N219" s="92">
        <f t="shared" si="51"/>
        <v>1.149425287356322E-2</v>
      </c>
      <c r="O219" s="92">
        <f t="shared" si="51"/>
        <v>4.7945205479452052E-2</v>
      </c>
      <c r="P219" s="92">
        <f>SUM(P220:P235)</f>
        <v>2.4700399467376835E-4</v>
      </c>
      <c r="Q219" s="92">
        <f t="shared" si="51"/>
        <v>0.10920000000000001</v>
      </c>
      <c r="R219" s="92">
        <f t="shared" si="51"/>
        <v>0.1366498229</v>
      </c>
      <c r="S219" s="92">
        <f t="shared" si="51"/>
        <v>0.25510943263643809</v>
      </c>
      <c r="T219" s="92"/>
      <c r="U219" s="92">
        <f t="shared" si="51"/>
        <v>0.48005319148936171</v>
      </c>
      <c r="V219" s="92">
        <f t="shared" si="51"/>
        <v>5.728461885430762E-2</v>
      </c>
      <c r="W219" s="92">
        <f t="shared" si="51"/>
        <v>4.2285714285714288E-2</v>
      </c>
      <c r="X219" s="92">
        <f t="shared" si="51"/>
        <v>0.71699999999999997</v>
      </c>
      <c r="Y219" s="92">
        <f t="shared" si="51"/>
        <v>1.5423566878980895E-2</v>
      </c>
      <c r="Z219" s="92">
        <f t="shared" si="51"/>
        <v>0.60666666666666669</v>
      </c>
      <c r="AA219" s="92">
        <f t="shared" si="51"/>
        <v>0.71666666666666667</v>
      </c>
      <c r="AB219" s="92">
        <f t="shared" si="51"/>
        <v>0</v>
      </c>
      <c r="AC219" s="92">
        <f t="shared" si="51"/>
        <v>2.1052631578947368E-2</v>
      </c>
      <c r="AD219" s="92">
        <f t="shared" si="51"/>
        <v>4.3478260869565216E-2</v>
      </c>
      <c r="AE219" s="92">
        <f t="shared" si="51"/>
        <v>1.8941666666666668</v>
      </c>
      <c r="AF219" s="92">
        <f t="shared" si="51"/>
        <v>2.9976666666666665</v>
      </c>
      <c r="AG219" s="92">
        <f t="shared" si="51"/>
        <v>2.9154999999999998</v>
      </c>
      <c r="AH219" s="92">
        <f t="shared" si="51"/>
        <v>4.0073333333333325</v>
      </c>
      <c r="AI219" s="92">
        <f t="shared" si="51"/>
        <v>4.1583333333333332</v>
      </c>
      <c r="AJ219" s="92">
        <f t="shared" si="51"/>
        <v>2.5741666666666667</v>
      </c>
      <c r="AK219" s="92">
        <f>SUM(AK220:AK235)</f>
        <v>0.14606223751241557</v>
      </c>
      <c r="AL219" s="92">
        <f>SUM(AL220:AL235)</f>
        <v>0.15079684523172032</v>
      </c>
      <c r="AM219" s="92">
        <f t="shared" si="51"/>
        <v>7.0669000000000001E-6</v>
      </c>
      <c r="AN219" s="92">
        <f t="shared" si="51"/>
        <v>0.187776474</v>
      </c>
      <c r="AO219" s="92">
        <f t="shared" si="51"/>
        <v>0.16529848089999999</v>
      </c>
      <c r="AP219" s="92"/>
      <c r="AQ219" s="92"/>
      <c r="AR219" s="92"/>
      <c r="AS219" s="92"/>
      <c r="AT219" s="92"/>
      <c r="AU219" s="92"/>
      <c r="AV219" s="92"/>
      <c r="AW219" s="92"/>
      <c r="AX219" s="92" t="s">
        <v>369</v>
      </c>
      <c r="AY219" s="92"/>
      <c r="AZ219" s="92">
        <f t="shared" si="44"/>
        <v>4.1583333333333332</v>
      </c>
      <c r="BA219" s="42" t="str">
        <f t="shared" si="45"/>
        <v>GEMS/Food G11</v>
      </c>
      <c r="BB219" s="42">
        <f t="shared" si="46"/>
        <v>0</v>
      </c>
      <c r="BC219" s="42" t="str">
        <f t="shared" si="47"/>
        <v/>
      </c>
    </row>
    <row r="220" spans="1:55" ht="15" customHeight="1" outlineLevel="3" x14ac:dyDescent="0.2">
      <c r="A220" s="39">
        <v>4</v>
      </c>
      <c r="B220" s="23">
        <v>401010</v>
      </c>
      <c r="C220" s="23" t="s">
        <v>745</v>
      </c>
      <c r="D220" s="22">
        <f>input_values!Z220</f>
        <v>4</v>
      </c>
      <c r="E220" s="657">
        <v>0.01</v>
      </c>
      <c r="F220" s="31">
        <v>0</v>
      </c>
      <c r="G220" s="31">
        <v>0</v>
      </c>
      <c r="H220" s="31">
        <v>0</v>
      </c>
      <c r="I220" s="31">
        <v>3.6897561717828749E-4</v>
      </c>
      <c r="J220" s="31">
        <v>0</v>
      </c>
      <c r="K220" s="31">
        <v>0</v>
      </c>
      <c r="L220" s="31">
        <v>0</v>
      </c>
      <c r="M220" s="31">
        <v>0</v>
      </c>
      <c r="N220" s="31">
        <v>0</v>
      </c>
      <c r="O220" s="31">
        <v>0</v>
      </c>
      <c r="P220" s="31">
        <v>0</v>
      </c>
      <c r="Q220" s="31">
        <v>0</v>
      </c>
      <c r="R220" s="587">
        <v>5.3755319000000001E-3</v>
      </c>
      <c r="S220" s="31">
        <v>0</v>
      </c>
      <c r="T220" s="31"/>
      <c r="U220" s="31">
        <v>0.14760638297872339</v>
      </c>
      <c r="V220" s="31">
        <v>0</v>
      </c>
      <c r="W220" s="31">
        <v>0</v>
      </c>
      <c r="X220" s="31">
        <v>0</v>
      </c>
      <c r="Y220" s="31">
        <v>0</v>
      </c>
      <c r="Z220" s="31">
        <v>0</v>
      </c>
      <c r="AA220" s="31">
        <v>0</v>
      </c>
      <c r="AB220" s="31">
        <v>0</v>
      </c>
      <c r="AC220" s="31">
        <v>0</v>
      </c>
      <c r="AD220" s="31">
        <v>0</v>
      </c>
      <c r="AE220" s="31">
        <v>0</v>
      </c>
      <c r="AF220" s="31">
        <v>0</v>
      </c>
      <c r="AG220" s="31">
        <v>0</v>
      </c>
      <c r="AH220" s="31">
        <v>1.6666666666666668E-3</v>
      </c>
      <c r="AI220" s="31">
        <v>0</v>
      </c>
      <c r="AJ220" s="31">
        <v>1.6666666666666668E-3</v>
      </c>
      <c r="AK220" s="663">
        <v>2.1839338160223733E-3</v>
      </c>
      <c r="AL220" s="663">
        <v>1.2027244138666409E-3</v>
      </c>
      <c r="AM220" s="31">
        <v>9.6900000000000001E-8</v>
      </c>
      <c r="AN220" s="584">
        <v>2.0335710000000001E-3</v>
      </c>
      <c r="AO220" s="584">
        <v>2.2184903000000001E-3</v>
      </c>
      <c r="AP220" s="663"/>
      <c r="AQ220" s="31"/>
      <c r="AR220" s="31"/>
      <c r="AS220" s="31"/>
      <c r="AT220" s="31"/>
      <c r="AU220" s="31"/>
      <c r="AV220" s="31"/>
      <c r="AW220" s="31"/>
      <c r="AX220" s="31"/>
      <c r="AY220" s="31"/>
      <c r="AZ220" s="31">
        <f t="shared" si="44"/>
        <v>0.14760638297872339</v>
      </c>
      <c r="BA220" s="25" t="str">
        <f t="shared" si="45"/>
        <v>IE adult</v>
      </c>
      <c r="BB220" s="25">
        <f t="shared" si="46"/>
        <v>0</v>
      </c>
      <c r="BC220" s="25" t="str">
        <f t="shared" si="47"/>
        <v/>
      </c>
    </row>
    <row r="221" spans="1:55" ht="15" customHeight="1" outlineLevel="3" x14ac:dyDescent="0.2">
      <c r="A221" s="39">
        <v>4</v>
      </c>
      <c r="B221" s="23">
        <v>401020</v>
      </c>
      <c r="C221" s="23" t="s">
        <v>746</v>
      </c>
      <c r="D221" s="22">
        <f>input_values!Z221</f>
        <v>4</v>
      </c>
      <c r="E221" s="657">
        <v>0.02</v>
      </c>
      <c r="F221" s="31">
        <v>0</v>
      </c>
      <c r="G221" s="31">
        <v>8.8000000000000005E-3</v>
      </c>
      <c r="H221" s="31">
        <v>2.0482647495555558E-3</v>
      </c>
      <c r="I221" s="31">
        <v>5.3272285488709841E-3</v>
      </c>
      <c r="J221" s="31">
        <v>9.9069529337779648E-3</v>
      </c>
      <c r="K221" s="31">
        <v>4.3258832011535686E-3</v>
      </c>
      <c r="L221" s="31">
        <v>0.13</v>
      </c>
      <c r="M221" s="31">
        <v>0.26600099999999999</v>
      </c>
      <c r="N221" s="31">
        <v>1.149425287356322E-2</v>
      </c>
      <c r="O221" s="31">
        <v>4.7945205479452052E-2</v>
      </c>
      <c r="P221" s="31">
        <v>0</v>
      </c>
      <c r="Q221" s="31">
        <v>6.0000000000000001E-3</v>
      </c>
      <c r="R221" s="587">
        <v>9.0496633E-3</v>
      </c>
      <c r="S221" s="31">
        <v>6.5923415861025864E-3</v>
      </c>
      <c r="T221" s="31"/>
      <c r="U221" s="31">
        <v>9.0425531914893609E-2</v>
      </c>
      <c r="V221" s="31">
        <v>6.1644865433769349E-3</v>
      </c>
      <c r="W221" s="31">
        <v>0</v>
      </c>
      <c r="X221" s="31">
        <v>0.112</v>
      </c>
      <c r="Y221" s="31">
        <v>4.1624203821656056E-3</v>
      </c>
      <c r="Z221" s="31">
        <v>1.3333333333333334E-2</v>
      </c>
      <c r="AA221" s="31">
        <v>0.05</v>
      </c>
      <c r="AB221" s="31">
        <v>0</v>
      </c>
      <c r="AC221" s="31">
        <v>2.1052631578947368E-2</v>
      </c>
      <c r="AD221" s="31">
        <v>4.3478260869565216E-2</v>
      </c>
      <c r="AE221" s="31">
        <v>4.4499999999999998E-2</v>
      </c>
      <c r="AF221" s="31">
        <v>9.3833333333333338E-2</v>
      </c>
      <c r="AG221" s="31">
        <v>4.583333333333333E-2</v>
      </c>
      <c r="AH221" s="31">
        <v>9.7000000000000003E-2</v>
      </c>
      <c r="AI221" s="31">
        <v>0.22850000000000001</v>
      </c>
      <c r="AJ221" s="31">
        <v>3.7999999999999999E-2</v>
      </c>
      <c r="AK221" s="663">
        <v>2.7030940981904474E-2</v>
      </c>
      <c r="AL221" s="663">
        <v>2.4780801304490594E-2</v>
      </c>
      <c r="AM221" s="31">
        <v>6.9700000000000002E-6</v>
      </c>
      <c r="AN221" s="584">
        <v>1.34993983E-2</v>
      </c>
      <c r="AO221" s="584">
        <v>1.2682685399999999E-2</v>
      </c>
      <c r="AP221" s="663"/>
      <c r="AQ221" s="31"/>
      <c r="AR221" s="31"/>
      <c r="AS221" s="31"/>
      <c r="AT221" s="31"/>
      <c r="AU221" s="31"/>
      <c r="AV221" s="31"/>
      <c r="AW221" s="31"/>
      <c r="AX221" s="31"/>
      <c r="AY221" s="31"/>
      <c r="AZ221" s="31">
        <f t="shared" si="44"/>
        <v>0.26600099999999999</v>
      </c>
      <c r="BA221" s="25" t="str">
        <f t="shared" si="45"/>
        <v>NL child</v>
      </c>
      <c r="BB221" s="25">
        <f t="shared" si="46"/>
        <v>0</v>
      </c>
      <c r="BC221" s="25" t="str">
        <f t="shared" si="47"/>
        <v/>
      </c>
    </row>
    <row r="222" spans="1:55" ht="15" customHeight="1" outlineLevel="3" x14ac:dyDescent="0.2">
      <c r="A222" s="39">
        <v>4</v>
      </c>
      <c r="B222" s="23">
        <v>401030</v>
      </c>
      <c r="C222" s="23" t="s">
        <v>747</v>
      </c>
      <c r="D222" s="22">
        <f>input_values!Z222</f>
        <v>4</v>
      </c>
      <c r="E222" s="657">
        <v>1.0019999999999999E-2</v>
      </c>
      <c r="F222" s="31">
        <v>0</v>
      </c>
      <c r="G222" s="31">
        <v>0</v>
      </c>
      <c r="H222" s="31">
        <v>0</v>
      </c>
      <c r="I222" s="31">
        <v>0</v>
      </c>
      <c r="J222" s="31">
        <v>0</v>
      </c>
      <c r="K222" s="31">
        <v>0</v>
      </c>
      <c r="L222" s="31">
        <v>0</v>
      </c>
      <c r="M222" s="31">
        <v>0</v>
      </c>
      <c r="N222" s="31">
        <v>0</v>
      </c>
      <c r="O222" s="31">
        <v>0</v>
      </c>
      <c r="P222" s="31">
        <v>0</v>
      </c>
      <c r="Q222" s="31">
        <v>0</v>
      </c>
      <c r="R222" s="587"/>
      <c r="S222" s="31">
        <v>0</v>
      </c>
      <c r="T222" s="31"/>
      <c r="U222" s="31">
        <v>0</v>
      </c>
      <c r="V222" s="31">
        <v>0</v>
      </c>
      <c r="W222" s="31">
        <v>0</v>
      </c>
      <c r="X222" s="31">
        <v>0</v>
      </c>
      <c r="Y222" s="31">
        <v>1.5445859872611467E-4</v>
      </c>
      <c r="Z222" s="31">
        <v>0</v>
      </c>
      <c r="AA222" s="31">
        <v>0</v>
      </c>
      <c r="AB222" s="31">
        <v>0</v>
      </c>
      <c r="AC222" s="31">
        <v>0</v>
      </c>
      <c r="AD222" s="31">
        <v>0</v>
      </c>
      <c r="AE222" s="31">
        <v>1.6666666666666668E-3</v>
      </c>
      <c r="AF222" s="31">
        <v>1.6666666666666668E-3</v>
      </c>
      <c r="AG222" s="31">
        <v>4.1666666666666666E-3</v>
      </c>
      <c r="AH222" s="31">
        <v>1.6666666666666668E-3</v>
      </c>
      <c r="AI222" s="31">
        <v>0</v>
      </c>
      <c r="AJ222" s="31">
        <v>1.8333333333333333E-3</v>
      </c>
      <c r="AK222" s="663">
        <v>2.5563890394100768E-3</v>
      </c>
      <c r="AL222" s="663">
        <v>2.0416468066168586E-3</v>
      </c>
      <c r="AM222" s="31">
        <v>0</v>
      </c>
      <c r="AN222" s="584"/>
      <c r="AO222" s="584"/>
      <c r="AP222" s="663"/>
      <c r="AQ222" s="31"/>
      <c r="AR222" s="31"/>
      <c r="AS222" s="31"/>
      <c r="AT222" s="31"/>
      <c r="AU222" s="31"/>
      <c r="AV222" s="31"/>
      <c r="AW222" s="31"/>
      <c r="AX222" s="31"/>
      <c r="AY222" s="31"/>
      <c r="AZ222" s="31">
        <f t="shared" si="44"/>
        <v>1.0019999999999999E-2</v>
      </c>
      <c r="BA222" s="25" t="str">
        <f t="shared" si="45"/>
        <v>DE child</v>
      </c>
      <c r="BB222" s="25">
        <f t="shared" si="46"/>
        <v>0</v>
      </c>
      <c r="BC222" s="25" t="str">
        <f t="shared" si="47"/>
        <v/>
      </c>
    </row>
    <row r="223" spans="1:55" ht="15" customHeight="1" outlineLevel="3" x14ac:dyDescent="0.2">
      <c r="A223" s="39">
        <v>4</v>
      </c>
      <c r="B223" s="23">
        <v>401040</v>
      </c>
      <c r="C223" s="23" t="s">
        <v>748</v>
      </c>
      <c r="D223" s="22">
        <f>input_values!Z223</f>
        <v>4</v>
      </c>
      <c r="E223" s="657">
        <v>0.01</v>
      </c>
      <c r="F223" s="31">
        <v>0</v>
      </c>
      <c r="G223" s="31">
        <v>0</v>
      </c>
      <c r="H223" s="31">
        <v>0</v>
      </c>
      <c r="I223" s="31">
        <v>1.8448780858914375E-4</v>
      </c>
      <c r="J223" s="31">
        <v>2.3565144532886465E-5</v>
      </c>
      <c r="K223" s="31">
        <v>0</v>
      </c>
      <c r="L223" s="31">
        <v>0</v>
      </c>
      <c r="M223" s="31">
        <v>2E-3</v>
      </c>
      <c r="N223" s="31">
        <v>0</v>
      </c>
      <c r="O223" s="31">
        <v>0</v>
      </c>
      <c r="P223" s="31">
        <v>2.4700399467376835E-4</v>
      </c>
      <c r="Q223" s="31">
        <v>0</v>
      </c>
      <c r="R223" s="587">
        <v>1.0163033E-3</v>
      </c>
      <c r="S223" s="31">
        <v>9.5513398563366127E-6</v>
      </c>
      <c r="T223" s="31"/>
      <c r="U223" s="31">
        <v>3.5904255319148939E-2</v>
      </c>
      <c r="V223" s="31">
        <v>0</v>
      </c>
      <c r="W223" s="31">
        <v>0</v>
      </c>
      <c r="X223" s="31">
        <v>1E-3</v>
      </c>
      <c r="Y223" s="31">
        <v>1.7579617834394905E-3</v>
      </c>
      <c r="Z223" s="31">
        <v>0</v>
      </c>
      <c r="AA223" s="31">
        <v>0</v>
      </c>
      <c r="AB223" s="31">
        <v>0</v>
      </c>
      <c r="AC223" s="31">
        <v>0</v>
      </c>
      <c r="AD223" s="31">
        <v>0</v>
      </c>
      <c r="AE223" s="31">
        <v>4.6166666666666668E-2</v>
      </c>
      <c r="AF223" s="31">
        <v>1.0166666666666666E-2</v>
      </c>
      <c r="AG223" s="31">
        <v>1.6666666666666668E-3</v>
      </c>
      <c r="AH223" s="31">
        <v>1.4166666666666666E-2</v>
      </c>
      <c r="AI223" s="31">
        <v>1.6666666666666668E-3</v>
      </c>
      <c r="AJ223" s="31">
        <v>4.3333333333333331E-3</v>
      </c>
      <c r="AK223" s="663">
        <v>8.890893239527531E-4</v>
      </c>
      <c r="AL223" s="663">
        <v>1.3135884455564336E-3</v>
      </c>
      <c r="AM223" s="31">
        <v>0</v>
      </c>
      <c r="AN223" s="584">
        <v>6.8240591999999996E-3</v>
      </c>
      <c r="AO223" s="584">
        <v>4.6635953000000001E-3</v>
      </c>
      <c r="AP223" s="663"/>
      <c r="AQ223" s="31"/>
      <c r="AR223" s="31"/>
      <c r="AS223" s="31"/>
      <c r="AT223" s="31"/>
      <c r="AU223" s="31"/>
      <c r="AV223" s="31"/>
      <c r="AW223" s="31"/>
      <c r="AX223" s="31"/>
      <c r="AY223" s="31"/>
      <c r="AZ223" s="31">
        <f t="shared" si="44"/>
        <v>4.6166666666666668E-2</v>
      </c>
      <c r="BA223" s="25" t="str">
        <f t="shared" si="45"/>
        <v>GEMS/Food G06</v>
      </c>
      <c r="BB223" s="25">
        <f t="shared" si="46"/>
        <v>0</v>
      </c>
      <c r="BC223" s="25" t="str">
        <f t="shared" si="47"/>
        <v/>
      </c>
    </row>
    <row r="224" spans="1:55" ht="15" customHeight="1" outlineLevel="3" x14ac:dyDescent="0.2">
      <c r="A224" s="39">
        <v>4</v>
      </c>
      <c r="B224" s="23">
        <v>401050</v>
      </c>
      <c r="C224" s="23" t="s">
        <v>749</v>
      </c>
      <c r="D224" s="22">
        <f>input_values!Z224</f>
        <v>4</v>
      </c>
      <c r="E224" s="657">
        <v>0.09</v>
      </c>
      <c r="F224" s="31">
        <v>0</v>
      </c>
      <c r="G224" s="31">
        <v>0.11799999999999999</v>
      </c>
      <c r="H224" s="31">
        <v>2.3075564905286176E-2</v>
      </c>
      <c r="I224" s="31">
        <v>0.13564390061862108</v>
      </c>
      <c r="J224" s="31">
        <v>0.23466613947273071</v>
      </c>
      <c r="K224" s="31">
        <v>1.658255227108868E-2</v>
      </c>
      <c r="L224" s="31">
        <v>0.29099999999999998</v>
      </c>
      <c r="M224" s="31">
        <v>0.373</v>
      </c>
      <c r="N224" s="31">
        <v>0</v>
      </c>
      <c r="O224" s="31">
        <v>0</v>
      </c>
      <c r="P224" s="31">
        <v>0</v>
      </c>
      <c r="Q224" s="31">
        <v>0.1007</v>
      </c>
      <c r="R224" s="587">
        <v>8.6787589999999994E-3</v>
      </c>
      <c r="S224" s="31">
        <v>0.10756858325363011</v>
      </c>
      <c r="T224" s="31"/>
      <c r="U224" s="31">
        <v>0.19946808510638298</v>
      </c>
      <c r="V224" s="31">
        <v>9.3219064802285371E-3</v>
      </c>
      <c r="W224" s="31">
        <v>4.2285714285714288E-2</v>
      </c>
      <c r="X224" s="31">
        <v>0.20799999999999999</v>
      </c>
      <c r="Y224" s="31">
        <v>8.3089171974522306E-3</v>
      </c>
      <c r="Z224" s="31">
        <v>0.28833333333333333</v>
      </c>
      <c r="AA224" s="31">
        <v>0.66666666666666663</v>
      </c>
      <c r="AB224" s="31">
        <v>0</v>
      </c>
      <c r="AC224" s="31">
        <v>0</v>
      </c>
      <c r="AD224" s="31">
        <v>0</v>
      </c>
      <c r="AE224" s="31">
        <v>0.22699999999999998</v>
      </c>
      <c r="AF224" s="31">
        <v>0.38999999999999996</v>
      </c>
      <c r="AG224" s="31">
        <v>0.48883333333333329</v>
      </c>
      <c r="AH224" s="31">
        <v>0.23083333333333333</v>
      </c>
      <c r="AI224" s="31">
        <v>0.10800000000000001</v>
      </c>
      <c r="AJ224" s="31">
        <v>0.53349999999999997</v>
      </c>
      <c r="AK224" s="663">
        <v>5.6969669029004508E-2</v>
      </c>
      <c r="AL224" s="663">
        <v>6.7541699340340919E-2</v>
      </c>
      <c r="AM224" s="31">
        <v>0</v>
      </c>
      <c r="AN224" s="584">
        <v>7.5100647000000001E-3</v>
      </c>
      <c r="AO224" s="584">
        <v>5.3361811000000002E-3</v>
      </c>
      <c r="AP224" s="663"/>
      <c r="AQ224" s="31"/>
      <c r="AR224" s="31"/>
      <c r="AS224" s="31"/>
      <c r="AT224" s="31"/>
      <c r="AU224" s="31"/>
      <c r="AV224" s="31"/>
      <c r="AW224" s="31"/>
      <c r="AX224" s="31"/>
      <c r="AY224" s="31"/>
      <c r="AZ224" s="31">
        <f t="shared" si="44"/>
        <v>0.66666666666666663</v>
      </c>
      <c r="BA224" s="25" t="str">
        <f t="shared" si="45"/>
        <v>RO general</v>
      </c>
      <c r="BB224" s="25">
        <f t="shared" si="46"/>
        <v>0</v>
      </c>
      <c r="BC224" s="25" t="str">
        <f t="shared" si="47"/>
        <v/>
      </c>
    </row>
    <row r="225" spans="1:55" ht="15" customHeight="1" outlineLevel="3" x14ac:dyDescent="0.2">
      <c r="A225" s="39">
        <v>4</v>
      </c>
      <c r="B225" s="23">
        <v>401060</v>
      </c>
      <c r="C225" s="23" t="s">
        <v>750</v>
      </c>
      <c r="D225" s="22">
        <f>input_values!Z225</f>
        <v>4</v>
      </c>
      <c r="E225" s="657">
        <v>0.01</v>
      </c>
      <c r="F225" s="31">
        <v>4.5454545454545455E-4</v>
      </c>
      <c r="G225" s="31">
        <v>0</v>
      </c>
      <c r="H225" s="31">
        <v>1.7711670340510388E-3</v>
      </c>
      <c r="I225" s="31">
        <v>7.2910434014706541E-3</v>
      </c>
      <c r="J225" s="31">
        <v>9.1575583987425317E-3</v>
      </c>
      <c r="K225" s="31">
        <v>0</v>
      </c>
      <c r="L225" s="31">
        <v>0.95199999999999996</v>
      </c>
      <c r="M225" s="31">
        <v>0.45200000000000001</v>
      </c>
      <c r="N225" s="31">
        <v>0</v>
      </c>
      <c r="O225" s="31">
        <v>0</v>
      </c>
      <c r="P225" s="31">
        <v>0</v>
      </c>
      <c r="Q225" s="31">
        <v>0</v>
      </c>
      <c r="R225" s="587">
        <v>3.5876872000000001E-3</v>
      </c>
      <c r="S225" s="31">
        <v>4.4235983311568102E-3</v>
      </c>
      <c r="T225" s="31"/>
      <c r="U225" s="31">
        <v>0</v>
      </c>
      <c r="V225" s="31">
        <v>0</v>
      </c>
      <c r="W225" s="31">
        <v>0</v>
      </c>
      <c r="X225" s="31">
        <v>0.26400000000000001</v>
      </c>
      <c r="Y225" s="31">
        <v>0</v>
      </c>
      <c r="Z225" s="31">
        <v>0</v>
      </c>
      <c r="AA225" s="31">
        <v>0</v>
      </c>
      <c r="AB225" s="31">
        <v>0</v>
      </c>
      <c r="AC225" s="31">
        <v>0</v>
      </c>
      <c r="AD225" s="31">
        <v>0</v>
      </c>
      <c r="AE225" s="31">
        <v>3.3666666666666664E-2</v>
      </c>
      <c r="AF225" s="31">
        <v>0.54466666666666663</v>
      </c>
      <c r="AG225" s="31">
        <v>0.33183333333333331</v>
      </c>
      <c r="AH225" s="31">
        <v>0.26150000000000001</v>
      </c>
      <c r="AI225" s="31">
        <v>0</v>
      </c>
      <c r="AJ225" s="31">
        <v>0.20116666666666666</v>
      </c>
      <c r="AK225" s="663">
        <v>1.2799661409883638E-2</v>
      </c>
      <c r="AL225" s="663">
        <v>1.015043584856448E-2</v>
      </c>
      <c r="AM225" s="31">
        <v>0</v>
      </c>
      <c r="AN225" s="584">
        <v>8.0373984300000006E-2</v>
      </c>
      <c r="AO225" s="584">
        <v>5.5057894199999999E-2</v>
      </c>
      <c r="AP225" s="663"/>
      <c r="AQ225" s="31"/>
      <c r="AR225" s="31"/>
      <c r="AS225" s="31"/>
      <c r="AT225" s="31"/>
      <c r="AU225" s="31"/>
      <c r="AV225" s="31"/>
      <c r="AW225" s="31"/>
      <c r="AX225" s="31"/>
      <c r="AY225" s="31"/>
      <c r="AZ225" s="31">
        <f t="shared" si="44"/>
        <v>0.95199999999999996</v>
      </c>
      <c r="BA225" s="25" t="str">
        <f t="shared" si="45"/>
        <v>NL toddler</v>
      </c>
      <c r="BB225" s="25">
        <f t="shared" si="46"/>
        <v>0</v>
      </c>
      <c r="BC225" s="25" t="str">
        <f t="shared" si="47"/>
        <v/>
      </c>
    </row>
    <row r="226" spans="1:55" ht="15" customHeight="1" outlineLevel="3" x14ac:dyDescent="0.2">
      <c r="A226" s="39">
        <v>4</v>
      </c>
      <c r="B226" s="23">
        <v>401070</v>
      </c>
      <c r="C226" s="23" t="s">
        <v>751</v>
      </c>
      <c r="D226" s="22">
        <f>input_values!Z226</f>
        <v>4</v>
      </c>
      <c r="E226" s="657">
        <v>0.04</v>
      </c>
      <c r="F226" s="31">
        <v>0</v>
      </c>
      <c r="G226" s="31">
        <v>3.5000000000000001E-3</v>
      </c>
      <c r="H226" s="31">
        <v>8.9747258236178712E-3</v>
      </c>
      <c r="I226" s="31">
        <v>4.3664341702158688E-2</v>
      </c>
      <c r="J226" s="31">
        <v>3.3613701898678593E-2</v>
      </c>
      <c r="K226" s="31">
        <v>6.2484979572218222E-3</v>
      </c>
      <c r="L226" s="31">
        <v>0.16300000000000001</v>
      </c>
      <c r="M226" s="31">
        <v>0.20899999999999999</v>
      </c>
      <c r="N226" s="31">
        <v>0</v>
      </c>
      <c r="O226" s="31">
        <v>0</v>
      </c>
      <c r="P226" s="31">
        <v>0</v>
      </c>
      <c r="Q226" s="31">
        <v>2.5000000000000001E-3</v>
      </c>
      <c r="R226" s="587">
        <v>2.25301992E-2</v>
      </c>
      <c r="S226" s="31">
        <v>1.7003379312622146E-2</v>
      </c>
      <c r="T226" s="31"/>
      <c r="U226" s="31">
        <v>0</v>
      </c>
      <c r="V226" s="31">
        <v>3.3077732671778679E-3</v>
      </c>
      <c r="W226" s="31">
        <v>0</v>
      </c>
      <c r="X226" s="31">
        <v>0.125</v>
      </c>
      <c r="Y226" s="31">
        <v>1.0398089171974522E-3</v>
      </c>
      <c r="Z226" s="31">
        <v>0.30499999999999999</v>
      </c>
      <c r="AA226" s="31">
        <v>0</v>
      </c>
      <c r="AB226" s="31">
        <v>0</v>
      </c>
      <c r="AC226" s="31">
        <v>0</v>
      </c>
      <c r="AD226" s="31">
        <v>0</v>
      </c>
      <c r="AE226" s="31">
        <v>1.2206666666666666</v>
      </c>
      <c r="AF226" s="31">
        <v>1.7721666666666667</v>
      </c>
      <c r="AG226" s="31">
        <v>1.9630000000000001</v>
      </c>
      <c r="AH226" s="31">
        <v>3.2616666666666663</v>
      </c>
      <c r="AI226" s="31">
        <v>3.7086666666666668</v>
      </c>
      <c r="AJ226" s="31">
        <v>1.7393333333333334</v>
      </c>
      <c r="AK226" s="663">
        <v>3.4604962093864558E-2</v>
      </c>
      <c r="AL226" s="663">
        <v>3.6186059462231551E-2</v>
      </c>
      <c r="AM226" s="31">
        <v>0</v>
      </c>
      <c r="AN226" s="584">
        <v>5.6759777999999999E-3</v>
      </c>
      <c r="AO226" s="584">
        <v>3.7991220999999999E-3</v>
      </c>
      <c r="AP226" s="663"/>
      <c r="AQ226" s="31"/>
      <c r="AR226" s="31"/>
      <c r="AS226" s="31"/>
      <c r="AT226" s="31"/>
      <c r="AU226" s="31"/>
      <c r="AV226" s="31"/>
      <c r="AW226" s="31"/>
      <c r="AX226" s="31"/>
      <c r="AY226" s="31"/>
      <c r="AZ226" s="31">
        <f t="shared" si="44"/>
        <v>3.7086666666666668</v>
      </c>
      <c r="BA226" s="25" t="str">
        <f t="shared" si="45"/>
        <v>GEMS/Food G11</v>
      </c>
      <c r="BB226" s="25">
        <f t="shared" si="46"/>
        <v>0</v>
      </c>
      <c r="BC226" s="25" t="str">
        <f t="shared" si="47"/>
        <v/>
      </c>
    </row>
    <row r="227" spans="1:55" ht="15" customHeight="1" outlineLevel="3" x14ac:dyDescent="0.2">
      <c r="A227" s="39">
        <v>4</v>
      </c>
      <c r="B227" s="23">
        <v>401080</v>
      </c>
      <c r="C227" s="23" t="s">
        <v>752</v>
      </c>
      <c r="D227" s="22">
        <f>input_values!Z227</f>
        <v>4</v>
      </c>
      <c r="E227" s="657">
        <v>0.01</v>
      </c>
      <c r="F227" s="31">
        <v>0</v>
      </c>
      <c r="G227" s="31">
        <v>0</v>
      </c>
      <c r="H227" s="31">
        <v>1.0391093166239149E-3</v>
      </c>
      <c r="I227" s="31">
        <v>6.6363761780794837E-3</v>
      </c>
      <c r="J227" s="31">
        <v>1.5902147564213022E-2</v>
      </c>
      <c r="K227" s="31">
        <v>0</v>
      </c>
      <c r="L227" s="31">
        <v>0</v>
      </c>
      <c r="M227" s="31">
        <v>2E-3</v>
      </c>
      <c r="N227" s="31">
        <v>0</v>
      </c>
      <c r="O227" s="31">
        <v>0</v>
      </c>
      <c r="P227" s="31">
        <v>0</v>
      </c>
      <c r="Q227" s="31">
        <v>0</v>
      </c>
      <c r="R227" s="587"/>
      <c r="S227" s="31">
        <v>1.0655254139692021E-2</v>
      </c>
      <c r="T227" s="31"/>
      <c r="U227" s="31">
        <v>2.6595744680851063E-3</v>
      </c>
      <c r="V227" s="31">
        <v>0</v>
      </c>
      <c r="W227" s="31">
        <v>0</v>
      </c>
      <c r="X227" s="31">
        <v>1E-3</v>
      </c>
      <c r="Y227" s="31">
        <v>0</v>
      </c>
      <c r="Z227" s="31">
        <v>0</v>
      </c>
      <c r="AA227" s="31">
        <v>0</v>
      </c>
      <c r="AB227" s="31">
        <v>0</v>
      </c>
      <c r="AC227" s="31">
        <v>0</v>
      </c>
      <c r="AD227" s="31">
        <v>0</v>
      </c>
      <c r="AE227" s="31">
        <v>1.6666666666666668E-3</v>
      </c>
      <c r="AF227" s="31">
        <v>5.0000000000000001E-3</v>
      </c>
      <c r="AG227" s="31">
        <v>8.0000000000000002E-3</v>
      </c>
      <c r="AH227" s="31">
        <v>1.0500000000000001E-2</v>
      </c>
      <c r="AI227" s="31">
        <v>1.7166666666666667E-2</v>
      </c>
      <c r="AJ227" s="31">
        <v>5.3333333333333332E-3</v>
      </c>
      <c r="AK227" s="663">
        <v>2.2690668893940872E-3</v>
      </c>
      <c r="AL227" s="663">
        <v>1.765935251458768E-3</v>
      </c>
      <c r="AM227" s="31">
        <v>0</v>
      </c>
      <c r="AN227" s="584"/>
      <c r="AO227" s="584"/>
      <c r="AP227" s="663"/>
      <c r="AQ227" s="31"/>
      <c r="AR227" s="31"/>
      <c r="AS227" s="31"/>
      <c r="AT227" s="31"/>
      <c r="AU227" s="31"/>
      <c r="AV227" s="31"/>
      <c r="AW227" s="31"/>
      <c r="AX227" s="31"/>
      <c r="AY227" s="31"/>
      <c r="AZ227" s="31">
        <f t="shared" si="44"/>
        <v>1.7166666666666667E-2</v>
      </c>
      <c r="BA227" s="25" t="str">
        <f t="shared" si="45"/>
        <v>GEMS/Food G11</v>
      </c>
      <c r="BB227" s="25">
        <f t="shared" si="46"/>
        <v>0</v>
      </c>
      <c r="BC227" s="25" t="str">
        <f t="shared" si="47"/>
        <v/>
      </c>
    </row>
    <row r="228" spans="1:55" ht="15" customHeight="1" outlineLevel="3" x14ac:dyDescent="0.2">
      <c r="A228" s="39">
        <v>4</v>
      </c>
      <c r="B228" s="23">
        <v>401090</v>
      </c>
      <c r="C228" s="23" t="s">
        <v>753</v>
      </c>
      <c r="D228" s="22">
        <f>input_values!Z228</f>
        <v>4</v>
      </c>
      <c r="E228" s="657">
        <v>0</v>
      </c>
      <c r="F228" s="31">
        <v>0</v>
      </c>
      <c r="G228" s="31">
        <v>0</v>
      </c>
      <c r="H228" s="31">
        <v>0</v>
      </c>
      <c r="I228" s="31">
        <v>0</v>
      </c>
      <c r="J228" s="31">
        <v>0</v>
      </c>
      <c r="K228" s="31">
        <v>0</v>
      </c>
      <c r="L228" s="31">
        <v>0</v>
      </c>
      <c r="M228" s="31">
        <v>0</v>
      </c>
      <c r="N228" s="31">
        <v>0</v>
      </c>
      <c r="O228" s="31">
        <v>0</v>
      </c>
      <c r="P228" s="31">
        <v>0</v>
      </c>
      <c r="Q228" s="31">
        <v>0</v>
      </c>
      <c r="R228" s="587"/>
      <c r="S228" s="31">
        <v>0</v>
      </c>
      <c r="T228" s="31"/>
      <c r="U228" s="31">
        <v>0</v>
      </c>
      <c r="V228" s="31">
        <v>0</v>
      </c>
      <c r="W228" s="31">
        <v>0</v>
      </c>
      <c r="X228" s="31">
        <v>0</v>
      </c>
      <c r="Y228" s="31">
        <v>0</v>
      </c>
      <c r="Z228" s="31">
        <v>0</v>
      </c>
      <c r="AA228" s="31">
        <v>0</v>
      </c>
      <c r="AB228" s="31">
        <v>0</v>
      </c>
      <c r="AC228" s="31">
        <v>0</v>
      </c>
      <c r="AD228" s="31">
        <v>0</v>
      </c>
      <c r="AE228" s="31">
        <v>0.31133333333333335</v>
      </c>
      <c r="AF228" s="31">
        <v>0.17850000000000002</v>
      </c>
      <c r="AG228" s="31">
        <v>7.0500000000000007E-2</v>
      </c>
      <c r="AH228" s="31">
        <v>0.12566666666666668</v>
      </c>
      <c r="AI228" s="31">
        <v>9.4333333333333338E-2</v>
      </c>
      <c r="AJ228" s="31">
        <v>4.7333333333333331E-2</v>
      </c>
      <c r="AK228" s="663">
        <v>0</v>
      </c>
      <c r="AL228" s="663">
        <v>0</v>
      </c>
      <c r="AM228" s="31">
        <v>0</v>
      </c>
      <c r="AN228" s="584"/>
      <c r="AO228" s="584"/>
      <c r="AP228" s="663"/>
      <c r="AQ228" s="31"/>
      <c r="AR228" s="31"/>
      <c r="AS228" s="31"/>
      <c r="AT228" s="31"/>
      <c r="AU228" s="31"/>
      <c r="AV228" s="31"/>
      <c r="AW228" s="31"/>
      <c r="AX228" s="31"/>
      <c r="AY228" s="31"/>
      <c r="AZ228" s="31">
        <f t="shared" si="44"/>
        <v>0.31133333333333335</v>
      </c>
      <c r="BA228" s="25" t="str">
        <f t="shared" si="45"/>
        <v>GEMS/Food G06</v>
      </c>
      <c r="BB228" s="25">
        <f t="shared" si="46"/>
        <v>0</v>
      </c>
      <c r="BC228" s="25" t="str">
        <f t="shared" si="47"/>
        <v/>
      </c>
    </row>
    <row r="229" spans="1:55" ht="15" customHeight="1" outlineLevel="3" x14ac:dyDescent="0.2">
      <c r="A229" s="39">
        <v>4</v>
      </c>
      <c r="B229" s="23">
        <v>401100</v>
      </c>
      <c r="C229" s="23" t="s">
        <v>154</v>
      </c>
      <c r="D229" s="22">
        <f>input_values!Z229</f>
        <v>4</v>
      </c>
      <c r="E229" s="657">
        <v>1.0021E-2</v>
      </c>
      <c r="F229" s="31">
        <v>0</v>
      </c>
      <c r="G229" s="31">
        <v>0</v>
      </c>
      <c r="H229" s="31">
        <v>0</v>
      </c>
      <c r="I229" s="31">
        <v>0</v>
      </c>
      <c r="J229" s="31">
        <v>0</v>
      </c>
      <c r="K229" s="31">
        <v>0</v>
      </c>
      <c r="L229" s="31">
        <v>0</v>
      </c>
      <c r="M229" s="31">
        <v>0</v>
      </c>
      <c r="N229" s="31">
        <v>0</v>
      </c>
      <c r="O229" s="31">
        <v>0</v>
      </c>
      <c r="P229" s="31">
        <v>0</v>
      </c>
      <c r="Q229" s="31">
        <v>0</v>
      </c>
      <c r="R229" s="587"/>
      <c r="S229" s="31">
        <v>0</v>
      </c>
      <c r="T229" s="31"/>
      <c r="U229" s="31">
        <v>0</v>
      </c>
      <c r="V229" s="31">
        <v>0</v>
      </c>
      <c r="W229" s="31">
        <v>0</v>
      </c>
      <c r="X229" s="31">
        <v>0</v>
      </c>
      <c r="Y229" s="31">
        <v>0</v>
      </c>
      <c r="Z229" s="31">
        <v>0</v>
      </c>
      <c r="AA229" s="31">
        <v>0</v>
      </c>
      <c r="AB229" s="31">
        <v>0</v>
      </c>
      <c r="AC229" s="31">
        <v>0</v>
      </c>
      <c r="AD229" s="31">
        <v>0</v>
      </c>
      <c r="AE229" s="31">
        <v>4.1666666666666666E-3</v>
      </c>
      <c r="AF229" s="31">
        <v>0</v>
      </c>
      <c r="AG229" s="31">
        <v>0</v>
      </c>
      <c r="AH229" s="31">
        <v>0</v>
      </c>
      <c r="AI229" s="31">
        <v>0</v>
      </c>
      <c r="AJ229" s="31">
        <v>1.6666666666666668E-3</v>
      </c>
      <c r="AK229" s="663">
        <v>1.0212989420566724E-3</v>
      </c>
      <c r="AL229" s="663">
        <v>5.5216658049040497E-4</v>
      </c>
      <c r="AM229" s="31">
        <v>0</v>
      </c>
      <c r="AN229" s="584"/>
      <c r="AO229" s="584"/>
      <c r="AP229" s="663"/>
      <c r="AQ229" s="31"/>
      <c r="AR229" s="31"/>
      <c r="AS229" s="31"/>
      <c r="AT229" s="31"/>
      <c r="AU229" s="31"/>
      <c r="AV229" s="31"/>
      <c r="AW229" s="31"/>
      <c r="AX229" s="31"/>
      <c r="AY229" s="31"/>
      <c r="AZ229" s="31">
        <f t="shared" si="44"/>
        <v>1.0021E-2</v>
      </c>
      <c r="BA229" s="25" t="str">
        <f t="shared" si="45"/>
        <v>DE child</v>
      </c>
      <c r="BB229" s="25">
        <f t="shared" si="46"/>
        <v>0</v>
      </c>
      <c r="BC229" s="25" t="str">
        <f t="shared" si="47"/>
        <v/>
      </c>
    </row>
    <row r="230" spans="1:55" ht="15" customHeight="1" outlineLevel="3" x14ac:dyDescent="0.2">
      <c r="A230" s="39">
        <v>4</v>
      </c>
      <c r="B230" s="23">
        <v>401110</v>
      </c>
      <c r="C230" s="23" t="s">
        <v>754</v>
      </c>
      <c r="D230" s="22">
        <f>input_values!Z230</f>
        <v>4</v>
      </c>
      <c r="E230" s="657">
        <v>0</v>
      </c>
      <c r="F230" s="31">
        <v>0</v>
      </c>
      <c r="G230" s="31">
        <v>0</v>
      </c>
      <c r="H230" s="31">
        <v>0</v>
      </c>
      <c r="I230" s="31">
        <v>0</v>
      </c>
      <c r="J230" s="31">
        <v>0</v>
      </c>
      <c r="K230" s="31">
        <v>0</v>
      </c>
      <c r="L230" s="31">
        <v>5.0000000000000001E-3</v>
      </c>
      <c r="M230" s="31">
        <v>8.0000000000000002E-3</v>
      </c>
      <c r="N230" s="31">
        <v>0</v>
      </c>
      <c r="O230" s="31">
        <v>0</v>
      </c>
      <c r="P230" s="31">
        <v>0</v>
      </c>
      <c r="Q230" s="31">
        <v>0</v>
      </c>
      <c r="R230" s="587"/>
      <c r="S230" s="31">
        <v>0</v>
      </c>
      <c r="T230" s="31"/>
      <c r="U230" s="31">
        <v>0</v>
      </c>
      <c r="V230" s="31">
        <v>0</v>
      </c>
      <c r="W230" s="31">
        <v>0</v>
      </c>
      <c r="X230" s="31">
        <v>6.0000000000000001E-3</v>
      </c>
      <c r="Y230" s="31">
        <v>0</v>
      </c>
      <c r="Z230" s="31">
        <v>0</v>
      </c>
      <c r="AA230" s="31">
        <v>0</v>
      </c>
      <c r="AB230" s="31">
        <v>0</v>
      </c>
      <c r="AC230" s="31">
        <v>0</v>
      </c>
      <c r="AD230" s="31">
        <v>0</v>
      </c>
      <c r="AE230" s="31">
        <v>1.6666666666666668E-3</v>
      </c>
      <c r="AF230" s="31">
        <v>1.6666666666666668E-3</v>
      </c>
      <c r="AG230" s="31">
        <v>1.6666666666666668E-3</v>
      </c>
      <c r="AH230" s="31">
        <v>2.6666666666666666E-3</v>
      </c>
      <c r="AI230" s="31">
        <v>0</v>
      </c>
      <c r="AJ230" s="31">
        <v>0</v>
      </c>
      <c r="AK230" s="663">
        <v>5.5050361441972813E-3</v>
      </c>
      <c r="AL230" s="663">
        <v>4.9545976413427036E-3</v>
      </c>
      <c r="AM230" s="31">
        <v>0</v>
      </c>
      <c r="AN230" s="584"/>
      <c r="AO230" s="584"/>
      <c r="AP230" s="663"/>
      <c r="AQ230" s="31"/>
      <c r="AR230" s="31"/>
      <c r="AS230" s="31"/>
      <c r="AT230" s="31"/>
      <c r="AU230" s="31"/>
      <c r="AV230" s="31"/>
      <c r="AW230" s="31"/>
      <c r="AX230" s="31"/>
      <c r="AY230" s="31"/>
      <c r="AZ230" s="31">
        <f t="shared" si="44"/>
        <v>8.0000000000000002E-3</v>
      </c>
      <c r="BA230" s="25" t="str">
        <f t="shared" si="45"/>
        <v>NL child</v>
      </c>
      <c r="BB230" s="25">
        <f t="shared" si="46"/>
        <v>0</v>
      </c>
      <c r="BC230" s="25" t="str">
        <f t="shared" si="47"/>
        <v/>
      </c>
    </row>
    <row r="231" spans="1:55" ht="15" customHeight="1" outlineLevel="3" x14ac:dyDescent="0.2">
      <c r="A231" s="39">
        <v>4</v>
      </c>
      <c r="B231" s="23">
        <v>401120</v>
      </c>
      <c r="C231" s="23" t="s">
        <v>755</v>
      </c>
      <c r="D231" s="22">
        <f>input_values!Z231</f>
        <v>4</v>
      </c>
      <c r="E231" s="657">
        <v>0</v>
      </c>
      <c r="F231" s="31">
        <v>0</v>
      </c>
      <c r="G231" s="31">
        <v>0</v>
      </c>
      <c r="H231" s="31">
        <v>0</v>
      </c>
      <c r="I231" s="31">
        <v>0</v>
      </c>
      <c r="J231" s="31">
        <v>0</v>
      </c>
      <c r="K231" s="31">
        <v>0</v>
      </c>
      <c r="L231" s="31">
        <v>0</v>
      </c>
      <c r="M231" s="31">
        <v>0</v>
      </c>
      <c r="N231" s="31">
        <v>0</v>
      </c>
      <c r="O231" s="31">
        <v>0</v>
      </c>
      <c r="P231" s="31">
        <v>0</v>
      </c>
      <c r="Q231" s="31">
        <v>0</v>
      </c>
      <c r="R231" s="587"/>
      <c r="S231" s="31">
        <v>0</v>
      </c>
      <c r="T231" s="31"/>
      <c r="U231" s="31">
        <v>0</v>
      </c>
      <c r="V231" s="31">
        <v>0</v>
      </c>
      <c r="W231" s="31">
        <v>0</v>
      </c>
      <c r="X231" s="31">
        <v>0</v>
      </c>
      <c r="Y231" s="31">
        <v>0</v>
      </c>
      <c r="Z231" s="31">
        <v>0</v>
      </c>
      <c r="AA231" s="31">
        <v>0</v>
      </c>
      <c r="AB231" s="31">
        <v>0</v>
      </c>
      <c r="AC231" s="31">
        <v>0</v>
      </c>
      <c r="AD231" s="31">
        <v>0</v>
      </c>
      <c r="AE231" s="31"/>
      <c r="AF231" s="31"/>
      <c r="AG231" s="31"/>
      <c r="AH231" s="31"/>
      <c r="AI231" s="31"/>
      <c r="AJ231" s="31"/>
      <c r="AK231" s="663">
        <v>1.5650277846538672E-5</v>
      </c>
      <c r="AL231" s="663">
        <v>0</v>
      </c>
      <c r="AM231" s="31">
        <v>0</v>
      </c>
      <c r="AN231" s="584"/>
      <c r="AO231" s="584"/>
      <c r="AP231" s="663"/>
      <c r="AQ231" s="31"/>
      <c r="AR231" s="31"/>
      <c r="AS231" s="31"/>
      <c r="AT231" s="31"/>
      <c r="AU231" s="31"/>
      <c r="AV231" s="31"/>
      <c r="AW231" s="31"/>
      <c r="AX231" s="31"/>
      <c r="AY231" s="31"/>
      <c r="AZ231" s="31">
        <f t="shared" si="44"/>
        <v>1.5650277846538672E-5</v>
      </c>
      <c r="BA231" s="25" t="str">
        <f t="shared" si="45"/>
        <v>DE general</v>
      </c>
      <c r="BB231" s="25">
        <f t="shared" si="46"/>
        <v>0</v>
      </c>
      <c r="BC231" s="25" t="str">
        <f t="shared" si="47"/>
        <v/>
      </c>
    </row>
    <row r="232" spans="1:55" ht="15" customHeight="1" outlineLevel="3" x14ac:dyDescent="0.2">
      <c r="A232" s="39">
        <v>4</v>
      </c>
      <c r="B232" s="23">
        <v>401130</v>
      </c>
      <c r="C232" s="23" t="s">
        <v>756</v>
      </c>
      <c r="D232" s="22">
        <f>input_values!Z232</f>
        <v>4</v>
      </c>
      <c r="E232" s="657">
        <v>0</v>
      </c>
      <c r="F232" s="31">
        <v>0</v>
      </c>
      <c r="G232" s="31">
        <v>0</v>
      </c>
      <c r="H232" s="31">
        <v>0</v>
      </c>
      <c r="I232" s="31">
        <v>0</v>
      </c>
      <c r="J232" s="31">
        <v>0</v>
      </c>
      <c r="K232" s="31">
        <v>0</v>
      </c>
      <c r="L232" s="31">
        <v>0</v>
      </c>
      <c r="M232" s="31">
        <v>0</v>
      </c>
      <c r="N232" s="31">
        <v>0</v>
      </c>
      <c r="O232" s="31">
        <v>0</v>
      </c>
      <c r="P232" s="31">
        <v>0</v>
      </c>
      <c r="Q232" s="31">
        <v>0</v>
      </c>
      <c r="R232" s="587"/>
      <c r="S232" s="31">
        <v>0</v>
      </c>
      <c r="T232" s="31"/>
      <c r="U232" s="31">
        <v>0</v>
      </c>
      <c r="V232" s="31">
        <v>0</v>
      </c>
      <c r="W232" s="31">
        <v>0</v>
      </c>
      <c r="X232" s="31">
        <v>0</v>
      </c>
      <c r="Y232" s="31">
        <v>0</v>
      </c>
      <c r="Z232" s="31">
        <v>0</v>
      </c>
      <c r="AA232" s="31">
        <v>0</v>
      </c>
      <c r="AB232" s="31">
        <v>0</v>
      </c>
      <c r="AC232" s="31">
        <v>0</v>
      </c>
      <c r="AD232" s="31">
        <v>0</v>
      </c>
      <c r="AE232" s="31"/>
      <c r="AF232" s="31"/>
      <c r="AG232" s="31"/>
      <c r="AH232" s="31"/>
      <c r="AI232" s="31"/>
      <c r="AJ232" s="31"/>
      <c r="AK232" s="663">
        <v>0</v>
      </c>
      <c r="AL232" s="663">
        <v>0</v>
      </c>
      <c r="AM232" s="31">
        <v>0</v>
      </c>
      <c r="AN232" s="584"/>
      <c r="AO232" s="584"/>
      <c r="AP232" s="663"/>
      <c r="AQ232" s="31"/>
      <c r="AR232" s="31"/>
      <c r="AS232" s="31"/>
      <c r="AT232" s="31"/>
      <c r="AU232" s="31"/>
      <c r="AV232" s="31"/>
      <c r="AW232" s="31"/>
      <c r="AX232" s="31"/>
      <c r="AY232" s="31"/>
      <c r="AZ232" s="31">
        <f t="shared" si="44"/>
        <v>0</v>
      </c>
      <c r="BA232" s="25" t="str">
        <f t="shared" si="45"/>
        <v>DE child</v>
      </c>
      <c r="BB232" s="25">
        <f t="shared" si="46"/>
        <v>0</v>
      </c>
      <c r="BC232" s="25" t="str">
        <f t="shared" si="47"/>
        <v/>
      </c>
    </row>
    <row r="233" spans="1:55" ht="15" customHeight="1" outlineLevel="3" x14ac:dyDescent="0.2">
      <c r="A233" s="39">
        <v>4</v>
      </c>
      <c r="B233" s="23">
        <v>401140</v>
      </c>
      <c r="C233" s="23" t="s">
        <v>757</v>
      </c>
      <c r="D233" s="22">
        <f>input_values!Z233</f>
        <v>4</v>
      </c>
      <c r="E233" s="657">
        <v>0</v>
      </c>
      <c r="F233" s="31">
        <v>0</v>
      </c>
      <c r="G233" s="31">
        <v>0</v>
      </c>
      <c r="H233" s="31">
        <v>8.7522903339940002E-3</v>
      </c>
      <c r="I233" s="31">
        <v>1.0232674846763622E-2</v>
      </c>
      <c r="J233" s="31">
        <v>7.5437518477633608E-3</v>
      </c>
      <c r="K233" s="31">
        <v>0</v>
      </c>
      <c r="L233" s="31">
        <v>0</v>
      </c>
      <c r="M233" s="31">
        <v>0</v>
      </c>
      <c r="N233" s="31">
        <v>0</v>
      </c>
      <c r="O233" s="31">
        <v>0</v>
      </c>
      <c r="P233" s="31">
        <v>0</v>
      </c>
      <c r="Q233" s="31">
        <v>0</v>
      </c>
      <c r="R233" s="587"/>
      <c r="S233" s="31">
        <v>5.0313105557949099E-3</v>
      </c>
      <c r="T233" s="31"/>
      <c r="U233" s="31">
        <v>0</v>
      </c>
      <c r="V233" s="31">
        <v>0</v>
      </c>
      <c r="W233" s="31">
        <v>0</v>
      </c>
      <c r="X233" s="31">
        <v>0</v>
      </c>
      <c r="Y233" s="31">
        <v>0</v>
      </c>
      <c r="Z233" s="31">
        <v>0</v>
      </c>
      <c r="AA233" s="31">
        <v>0</v>
      </c>
      <c r="AB233" s="31">
        <v>0</v>
      </c>
      <c r="AC233" s="31">
        <v>0</v>
      </c>
      <c r="AD233" s="31">
        <v>0</v>
      </c>
      <c r="AE233" s="31"/>
      <c r="AF233" s="31"/>
      <c r="AG233" s="31"/>
      <c r="AH233" s="31"/>
      <c r="AI233" s="31"/>
      <c r="AJ233" s="31"/>
      <c r="AK233" s="663">
        <v>0</v>
      </c>
      <c r="AL233" s="663">
        <v>0</v>
      </c>
      <c r="AM233" s="31">
        <v>0</v>
      </c>
      <c r="AN233" s="584"/>
      <c r="AO233" s="584"/>
      <c r="AP233" s="663"/>
      <c r="AQ233" s="31"/>
      <c r="AR233" s="31"/>
      <c r="AS233" s="31"/>
      <c r="AT233" s="31"/>
      <c r="AU233" s="31"/>
      <c r="AV233" s="31"/>
      <c r="AW233" s="31"/>
      <c r="AX233" s="31"/>
      <c r="AY233" s="31"/>
      <c r="AZ233" s="31">
        <f t="shared" si="44"/>
        <v>1.0232674846763622E-2</v>
      </c>
      <c r="BA233" s="25" t="str">
        <f t="shared" si="45"/>
        <v>FR toddler 2 3 yr</v>
      </c>
      <c r="BB233" s="25">
        <f t="shared" si="46"/>
        <v>0</v>
      </c>
      <c r="BC233" s="25" t="str">
        <f t="shared" si="47"/>
        <v/>
      </c>
    </row>
    <row r="234" spans="1:55" ht="15" customHeight="1" outlineLevel="3" x14ac:dyDescent="0.2">
      <c r="A234" s="39">
        <v>4</v>
      </c>
      <c r="B234" s="23">
        <v>401150</v>
      </c>
      <c r="C234" s="23" t="s">
        <v>758</v>
      </c>
      <c r="D234" s="22">
        <f>input_values!Z234</f>
        <v>4</v>
      </c>
      <c r="E234" s="657">
        <v>0</v>
      </c>
      <c r="F234" s="31">
        <v>0</v>
      </c>
      <c r="G234" s="31">
        <v>0</v>
      </c>
      <c r="H234" s="31">
        <v>0</v>
      </c>
      <c r="I234" s="31">
        <v>0</v>
      </c>
      <c r="J234" s="31">
        <v>0</v>
      </c>
      <c r="K234" s="31">
        <v>0</v>
      </c>
      <c r="L234" s="31">
        <v>0</v>
      </c>
      <c r="M234" s="31">
        <v>0</v>
      </c>
      <c r="N234" s="31">
        <v>0</v>
      </c>
      <c r="O234" s="31">
        <v>0</v>
      </c>
      <c r="P234" s="31">
        <v>0</v>
      </c>
      <c r="Q234" s="31">
        <v>0</v>
      </c>
      <c r="R234" s="587"/>
      <c r="S234" s="31">
        <v>0</v>
      </c>
      <c r="T234" s="31"/>
      <c r="U234" s="31">
        <v>0</v>
      </c>
      <c r="V234" s="31">
        <v>0</v>
      </c>
      <c r="W234" s="31">
        <v>0</v>
      </c>
      <c r="X234" s="31">
        <v>0</v>
      </c>
      <c r="Y234" s="31">
        <v>0</v>
      </c>
      <c r="Z234" s="31">
        <v>0</v>
      </c>
      <c r="AA234" s="31">
        <v>0</v>
      </c>
      <c r="AB234" s="31">
        <v>0</v>
      </c>
      <c r="AC234" s="31">
        <v>0</v>
      </c>
      <c r="AD234" s="31">
        <v>0</v>
      </c>
      <c r="AE234" s="31">
        <v>1.6666666666666299E-3</v>
      </c>
      <c r="AF234" s="31">
        <v>0</v>
      </c>
      <c r="AG234" s="31">
        <v>0</v>
      </c>
      <c r="AH234" s="31">
        <v>0</v>
      </c>
      <c r="AI234" s="31">
        <v>0</v>
      </c>
      <c r="AJ234" s="31">
        <v>0</v>
      </c>
      <c r="AK234" s="663">
        <v>0</v>
      </c>
      <c r="AL234" s="663">
        <v>0</v>
      </c>
      <c r="AM234" s="31">
        <v>0</v>
      </c>
      <c r="AN234" s="584"/>
      <c r="AO234" s="584"/>
      <c r="AP234" s="663"/>
      <c r="AQ234" s="31"/>
      <c r="AR234" s="31"/>
      <c r="AS234" s="31"/>
      <c r="AT234" s="31"/>
      <c r="AU234" s="31"/>
      <c r="AV234" s="31"/>
      <c r="AW234" s="31"/>
      <c r="AX234" s="31"/>
      <c r="AY234" s="31"/>
      <c r="AZ234" s="31">
        <f t="shared" si="44"/>
        <v>1.6666666666666299E-3</v>
      </c>
      <c r="BA234" s="25" t="str">
        <f t="shared" si="45"/>
        <v>GEMS/Food G06</v>
      </c>
      <c r="BB234" s="25">
        <f t="shared" si="46"/>
        <v>0</v>
      </c>
      <c r="BC234" s="25" t="str">
        <f t="shared" si="47"/>
        <v/>
      </c>
    </row>
    <row r="235" spans="1:55" ht="15" customHeight="1" outlineLevel="3" x14ac:dyDescent="0.2">
      <c r="A235" s="39">
        <v>4</v>
      </c>
      <c r="B235" s="23">
        <v>401990</v>
      </c>
      <c r="C235" s="23" t="s">
        <v>178</v>
      </c>
      <c r="D235" s="22">
        <f>input_values!Z235</f>
        <v>4</v>
      </c>
      <c r="E235" s="657">
        <v>0</v>
      </c>
      <c r="F235" s="31"/>
      <c r="G235" s="31">
        <v>0</v>
      </c>
      <c r="H235" s="31">
        <v>4.2790916558379286E-2</v>
      </c>
      <c r="I235" s="31">
        <v>0.22996773354685951</v>
      </c>
      <c r="J235" s="31">
        <v>0.30225125248884582</v>
      </c>
      <c r="K235" s="31">
        <v>4.277817832251863E-2</v>
      </c>
      <c r="L235" s="31">
        <v>0</v>
      </c>
      <c r="M235" s="31">
        <v>0</v>
      </c>
      <c r="N235" s="31">
        <v>0</v>
      </c>
      <c r="O235" s="31">
        <v>0</v>
      </c>
      <c r="P235" s="31">
        <v>0</v>
      </c>
      <c r="Q235" s="31">
        <v>0</v>
      </c>
      <c r="R235" s="587">
        <v>8.6411679000000005E-2</v>
      </c>
      <c r="S235" s="31">
        <v>0.10382541411758317</v>
      </c>
      <c r="T235" s="31"/>
      <c r="U235" s="31">
        <v>3.9893617021276593E-3</v>
      </c>
      <c r="V235" s="31">
        <v>3.8490452563524277E-2</v>
      </c>
      <c r="W235" s="31">
        <v>0</v>
      </c>
      <c r="X235" s="31">
        <v>0</v>
      </c>
      <c r="Y235" s="31">
        <v>0</v>
      </c>
      <c r="Z235" s="31">
        <v>0</v>
      </c>
      <c r="AA235" s="31">
        <v>0</v>
      </c>
      <c r="AB235" s="31">
        <v>0</v>
      </c>
      <c r="AC235" s="31">
        <v>0</v>
      </c>
      <c r="AD235" s="31">
        <v>0</v>
      </c>
      <c r="AE235" s="31"/>
      <c r="AF235" s="31"/>
      <c r="AG235" s="31"/>
      <c r="AH235" s="31"/>
      <c r="AI235" s="31"/>
      <c r="AJ235" s="31"/>
      <c r="AK235" s="663">
        <v>2.1653956487861493E-4</v>
      </c>
      <c r="AL235" s="663">
        <v>3.0719013676096734E-4</v>
      </c>
      <c r="AM235" s="31">
        <v>0</v>
      </c>
      <c r="AN235" s="584">
        <v>7.1859418699999997E-2</v>
      </c>
      <c r="AO235" s="584">
        <v>8.1540512499999995E-2</v>
      </c>
      <c r="AP235" s="663"/>
      <c r="AQ235" s="31"/>
      <c r="AR235" s="31"/>
      <c r="AS235" s="31"/>
      <c r="AT235" s="31"/>
      <c r="AU235" s="31"/>
      <c r="AV235" s="31"/>
      <c r="AW235" s="31"/>
      <c r="AX235" s="31"/>
      <c r="AY235" s="31"/>
      <c r="AZ235" s="31">
        <f t="shared" si="44"/>
        <v>0.30225125248884582</v>
      </c>
      <c r="BA235" s="25" t="str">
        <f t="shared" si="45"/>
        <v>FR child 3 15 yr</v>
      </c>
      <c r="BB235" s="25">
        <f t="shared" si="46"/>
        <v>0</v>
      </c>
      <c r="BC235" s="25" t="str">
        <f t="shared" si="47"/>
        <v/>
      </c>
    </row>
    <row r="236" spans="1:55" ht="15" customHeight="1" outlineLevel="1" x14ac:dyDescent="0.2">
      <c r="A236" s="130">
        <v>2</v>
      </c>
      <c r="B236" s="131">
        <v>402000</v>
      </c>
      <c r="C236" s="131" t="s">
        <v>759</v>
      </c>
      <c r="D236" s="79">
        <f>input_values!Z236</f>
        <v>4</v>
      </c>
      <c r="E236" s="581">
        <f>SUM(E237:E241)</f>
        <v>7.0000000000000007E-2</v>
      </c>
      <c r="F236" s="92">
        <f t="shared" ref="F236:AO236" si="52">SUM(F237:F241)</f>
        <v>0</v>
      </c>
      <c r="G236" s="92">
        <f t="shared" si="52"/>
        <v>0.73250000000000004</v>
      </c>
      <c r="H236" s="92">
        <f t="shared" si="52"/>
        <v>9.3684462138396984E-3</v>
      </c>
      <c r="I236" s="92">
        <f t="shared" si="52"/>
        <v>4.2832509807172181E-2</v>
      </c>
      <c r="J236" s="92">
        <f t="shared" si="52"/>
        <v>0.11368561094771307</v>
      </c>
      <c r="K236" s="92">
        <f t="shared" si="52"/>
        <v>0</v>
      </c>
      <c r="L236" s="92">
        <f t="shared" si="52"/>
        <v>1.2110000000000001</v>
      </c>
      <c r="M236" s="92">
        <f t="shared" si="52"/>
        <v>0.92200000000000004</v>
      </c>
      <c r="N236" s="92">
        <f t="shared" si="52"/>
        <v>0</v>
      </c>
      <c r="O236" s="92">
        <f t="shared" si="52"/>
        <v>0</v>
      </c>
      <c r="P236" s="92">
        <f t="shared" si="52"/>
        <v>0</v>
      </c>
      <c r="Q236" s="92">
        <f t="shared" si="52"/>
        <v>0.42180000000000001</v>
      </c>
      <c r="R236" s="92">
        <f t="shared" si="52"/>
        <v>1.9907810000000001E-3</v>
      </c>
      <c r="S236" s="92">
        <f t="shared" si="52"/>
        <v>6.902050604058721E-2</v>
      </c>
      <c r="T236" s="92"/>
      <c r="U236" s="92">
        <f t="shared" si="52"/>
        <v>0</v>
      </c>
      <c r="V236" s="92">
        <f t="shared" si="52"/>
        <v>0</v>
      </c>
      <c r="W236" s="92">
        <f t="shared" si="52"/>
        <v>0</v>
      </c>
      <c r="X236" s="92">
        <f t="shared" si="52"/>
        <v>0.54500000000000004</v>
      </c>
      <c r="Y236" s="92">
        <f t="shared" si="52"/>
        <v>0</v>
      </c>
      <c r="Z236" s="92">
        <f t="shared" si="52"/>
        <v>0.255</v>
      </c>
      <c r="AA236" s="92">
        <f t="shared" si="52"/>
        <v>0</v>
      </c>
      <c r="AB236" s="92">
        <f t="shared" si="52"/>
        <v>0</v>
      </c>
      <c r="AC236" s="92">
        <f t="shared" si="52"/>
        <v>0</v>
      </c>
      <c r="AD236" s="92">
        <f t="shared" si="52"/>
        <v>0</v>
      </c>
      <c r="AE236" s="92">
        <f t="shared" si="52"/>
        <v>0.65866666666666673</v>
      </c>
      <c r="AF236" s="92">
        <f t="shared" si="52"/>
        <v>0.49816666666666665</v>
      </c>
      <c r="AG236" s="92">
        <f t="shared" si="52"/>
        <v>0.89516666666666667</v>
      </c>
      <c r="AH236" s="92">
        <f t="shared" si="52"/>
        <v>0.5073333333333333</v>
      </c>
      <c r="AI236" s="92">
        <f t="shared" si="52"/>
        <v>0.47266666666666668</v>
      </c>
      <c r="AJ236" s="92">
        <f t="shared" si="52"/>
        <v>0.27349999999999997</v>
      </c>
      <c r="AK236" s="92">
        <f t="shared" si="52"/>
        <v>9.6199851150866378E-2</v>
      </c>
      <c r="AL236" s="92">
        <f t="shared" si="52"/>
        <v>9.9969826937818709E-2</v>
      </c>
      <c r="AM236" s="92">
        <f t="shared" si="52"/>
        <v>0</v>
      </c>
      <c r="AN236" s="92">
        <f t="shared" si="52"/>
        <v>1.2174743E-2</v>
      </c>
      <c r="AO236" s="92">
        <f t="shared" si="52"/>
        <v>8.3261037000000003E-3</v>
      </c>
      <c r="AP236" s="92"/>
      <c r="AQ236" s="92"/>
      <c r="AR236" s="92"/>
      <c r="AS236" s="92"/>
      <c r="AT236" s="92"/>
      <c r="AU236" s="92"/>
      <c r="AV236" s="92"/>
      <c r="AW236" s="92"/>
      <c r="AX236" s="92" t="s">
        <v>369</v>
      </c>
      <c r="AY236" s="92"/>
      <c r="AZ236" s="92">
        <f t="shared" si="44"/>
        <v>1.2110000000000001</v>
      </c>
      <c r="BA236" s="42" t="str">
        <f t="shared" si="45"/>
        <v>NL toddler</v>
      </c>
      <c r="BB236" s="42">
        <f t="shared" si="46"/>
        <v>0</v>
      </c>
      <c r="BC236" s="42" t="str">
        <f t="shared" si="47"/>
        <v/>
      </c>
    </row>
    <row r="237" spans="1:55" ht="15" customHeight="1" outlineLevel="2" x14ac:dyDescent="0.2">
      <c r="A237" s="39">
        <v>4</v>
      </c>
      <c r="B237" s="23">
        <v>402010</v>
      </c>
      <c r="C237" s="23" t="s">
        <v>155</v>
      </c>
      <c r="D237" s="22">
        <f>input_values!Z237</f>
        <v>4</v>
      </c>
      <c r="E237" s="657">
        <v>0.05</v>
      </c>
      <c r="F237" s="31">
        <v>0</v>
      </c>
      <c r="G237" s="31">
        <v>0.73250000000000004</v>
      </c>
      <c r="H237" s="31">
        <v>9.3684462138396984E-3</v>
      </c>
      <c r="I237" s="31">
        <v>4.2832509807172181E-2</v>
      </c>
      <c r="J237" s="31">
        <v>0.11368561094771307</v>
      </c>
      <c r="K237" s="31">
        <v>0</v>
      </c>
      <c r="L237" s="31">
        <v>4.8000000000000001E-2</v>
      </c>
      <c r="M237" s="31">
        <v>4.2000000000000003E-2</v>
      </c>
      <c r="N237" s="31">
        <v>0</v>
      </c>
      <c r="O237" s="31">
        <v>0</v>
      </c>
      <c r="P237" s="31">
        <v>0</v>
      </c>
      <c r="Q237" s="31">
        <v>0.42180000000000001</v>
      </c>
      <c r="R237" s="587">
        <v>1.9907810000000001E-3</v>
      </c>
      <c r="S237" s="31">
        <v>6.902050604058721E-2</v>
      </c>
      <c r="T237" s="31"/>
      <c r="U237" s="31">
        <v>0</v>
      </c>
      <c r="V237" s="31">
        <v>0</v>
      </c>
      <c r="W237" s="31">
        <v>0</v>
      </c>
      <c r="X237" s="31">
        <v>2.3E-2</v>
      </c>
      <c r="Y237" s="31">
        <v>0</v>
      </c>
      <c r="Z237" s="31">
        <v>0.255</v>
      </c>
      <c r="AA237" s="31">
        <v>0</v>
      </c>
      <c r="AB237" s="31">
        <v>0</v>
      </c>
      <c r="AC237" s="31">
        <v>0</v>
      </c>
      <c r="AD237" s="31">
        <v>0</v>
      </c>
      <c r="AE237" s="31">
        <v>0.36333333333333334</v>
      </c>
      <c r="AF237" s="31">
        <v>0.29633333333333334</v>
      </c>
      <c r="AG237" s="31">
        <v>0.8111666666666667</v>
      </c>
      <c r="AH237" s="31">
        <v>0.375</v>
      </c>
      <c r="AI237" s="31">
        <v>0.23483333333333334</v>
      </c>
      <c r="AJ237" s="31">
        <v>0.18333333333333332</v>
      </c>
      <c r="AK237" s="663">
        <v>8.7767835995354551E-2</v>
      </c>
      <c r="AL237" s="663">
        <v>9.1511659063995124E-2</v>
      </c>
      <c r="AM237" s="31">
        <v>0</v>
      </c>
      <c r="AN237" s="584">
        <v>1.2174743E-2</v>
      </c>
      <c r="AO237" s="584">
        <v>8.3261037000000003E-3</v>
      </c>
      <c r="AP237" s="663"/>
      <c r="AQ237" s="31"/>
      <c r="AR237" s="31"/>
      <c r="AS237" s="31"/>
      <c r="AT237" s="31"/>
      <c r="AU237" s="31"/>
      <c r="AV237" s="31"/>
      <c r="AW237" s="31"/>
      <c r="AX237" s="31"/>
      <c r="AY237" s="31"/>
      <c r="AZ237" s="31">
        <f t="shared" si="44"/>
        <v>0.8111666666666667</v>
      </c>
      <c r="BA237" s="25" t="str">
        <f t="shared" si="45"/>
        <v>GEMS/Food G08</v>
      </c>
      <c r="BB237" s="25">
        <f t="shared" si="46"/>
        <v>0</v>
      </c>
      <c r="BC237" s="25" t="str">
        <f t="shared" si="47"/>
        <v/>
      </c>
    </row>
    <row r="238" spans="1:55" ht="15" customHeight="1" outlineLevel="2" x14ac:dyDescent="0.2">
      <c r="A238" s="39">
        <v>4</v>
      </c>
      <c r="B238" s="23">
        <v>402020</v>
      </c>
      <c r="C238" s="23" t="s">
        <v>760</v>
      </c>
      <c r="D238" s="22">
        <f>input_values!Z238</f>
        <v>4</v>
      </c>
      <c r="E238" s="657">
        <v>0.01</v>
      </c>
      <c r="F238" s="31">
        <v>0</v>
      </c>
      <c r="G238" s="31">
        <v>0</v>
      </c>
      <c r="H238" s="31">
        <v>0</v>
      </c>
      <c r="I238" s="31">
        <v>0</v>
      </c>
      <c r="J238" s="31">
        <v>0</v>
      </c>
      <c r="K238" s="31">
        <v>0</v>
      </c>
      <c r="L238" s="31">
        <v>0.60899999999999999</v>
      </c>
      <c r="M238" s="31">
        <v>9.9000000000000005E-2</v>
      </c>
      <c r="N238" s="31">
        <v>0</v>
      </c>
      <c r="O238" s="31">
        <v>0</v>
      </c>
      <c r="P238" s="31">
        <v>0</v>
      </c>
      <c r="Q238" s="31">
        <v>0</v>
      </c>
      <c r="R238" s="587"/>
      <c r="S238" s="31">
        <v>0</v>
      </c>
      <c r="T238" s="31"/>
      <c r="U238" s="31">
        <v>0</v>
      </c>
      <c r="V238" s="31">
        <v>0</v>
      </c>
      <c r="W238" s="31">
        <v>0</v>
      </c>
      <c r="X238" s="31">
        <v>0.06</v>
      </c>
      <c r="Y238" s="31">
        <v>0</v>
      </c>
      <c r="Z238" s="31">
        <v>0</v>
      </c>
      <c r="AA238" s="31">
        <v>0</v>
      </c>
      <c r="AB238" s="31">
        <v>0</v>
      </c>
      <c r="AC238" s="31">
        <v>0</v>
      </c>
      <c r="AD238" s="31">
        <v>0</v>
      </c>
      <c r="AE238" s="31"/>
      <c r="AF238" s="31"/>
      <c r="AG238" s="31"/>
      <c r="AH238" s="31"/>
      <c r="AI238" s="31"/>
      <c r="AJ238" s="31"/>
      <c r="AK238" s="663">
        <v>4.2830255393337124E-3</v>
      </c>
      <c r="AL238" s="663">
        <v>4.225632995113953E-3</v>
      </c>
      <c r="AM238" s="31">
        <v>0</v>
      </c>
      <c r="AN238" s="584"/>
      <c r="AO238" s="584"/>
      <c r="AP238" s="663"/>
      <c r="AQ238" s="31"/>
      <c r="AR238" s="31"/>
      <c r="AS238" s="31"/>
      <c r="AT238" s="31"/>
      <c r="AU238" s="31"/>
      <c r="AV238" s="31"/>
      <c r="AW238" s="31"/>
      <c r="AX238" s="31"/>
      <c r="AY238" s="31"/>
      <c r="AZ238" s="31">
        <f t="shared" si="44"/>
        <v>0.60899999999999999</v>
      </c>
      <c r="BA238" s="25" t="str">
        <f t="shared" si="45"/>
        <v>NL toddler</v>
      </c>
      <c r="BB238" s="25">
        <f t="shared" si="46"/>
        <v>0</v>
      </c>
      <c r="BC238" s="25" t="str">
        <f t="shared" si="47"/>
        <v/>
      </c>
    </row>
    <row r="239" spans="1:55" ht="15" customHeight="1" outlineLevel="2" x14ac:dyDescent="0.2">
      <c r="A239" s="39">
        <v>4</v>
      </c>
      <c r="B239" s="23">
        <v>402030</v>
      </c>
      <c r="C239" s="23" t="s">
        <v>761</v>
      </c>
      <c r="D239" s="22">
        <f>input_values!Z239</f>
        <v>4</v>
      </c>
      <c r="E239" s="657">
        <v>0.01</v>
      </c>
      <c r="F239" s="31">
        <v>0</v>
      </c>
      <c r="G239" s="31">
        <v>0</v>
      </c>
      <c r="H239" s="31">
        <v>0</v>
      </c>
      <c r="I239" s="31">
        <v>0</v>
      </c>
      <c r="J239" s="31">
        <v>0</v>
      </c>
      <c r="K239" s="31">
        <v>0</v>
      </c>
      <c r="L239" s="31">
        <v>0.55400000000000005</v>
      </c>
      <c r="M239" s="31">
        <v>0.78100000000000003</v>
      </c>
      <c r="N239" s="31">
        <v>0</v>
      </c>
      <c r="O239" s="31">
        <v>0</v>
      </c>
      <c r="P239" s="31">
        <v>0</v>
      </c>
      <c r="Q239" s="31">
        <v>0</v>
      </c>
      <c r="R239" s="587"/>
      <c r="S239" s="31">
        <v>0</v>
      </c>
      <c r="T239" s="31"/>
      <c r="U239" s="31">
        <v>0</v>
      </c>
      <c r="V239" s="31">
        <v>0</v>
      </c>
      <c r="W239" s="31">
        <v>0</v>
      </c>
      <c r="X239" s="31">
        <v>0.46200000000000002</v>
      </c>
      <c r="Y239" s="31">
        <v>0</v>
      </c>
      <c r="Z239" s="31">
        <v>0</v>
      </c>
      <c r="AA239" s="31">
        <v>0</v>
      </c>
      <c r="AB239" s="31">
        <v>0</v>
      </c>
      <c r="AC239" s="31">
        <v>0</v>
      </c>
      <c r="AD239" s="31">
        <v>0</v>
      </c>
      <c r="AE239" s="31"/>
      <c r="AF239" s="31"/>
      <c r="AG239" s="31"/>
      <c r="AH239" s="31"/>
      <c r="AI239" s="31"/>
      <c r="AJ239" s="31"/>
      <c r="AK239" s="663">
        <v>4.1489896161781168E-3</v>
      </c>
      <c r="AL239" s="663">
        <v>4.2325348787096316E-3</v>
      </c>
      <c r="AM239" s="31">
        <v>0</v>
      </c>
      <c r="AN239" s="584"/>
      <c r="AO239" s="584"/>
      <c r="AP239" s="663"/>
      <c r="AQ239" s="31"/>
      <c r="AR239" s="31"/>
      <c r="AS239" s="31"/>
      <c r="AT239" s="31"/>
      <c r="AU239" s="31"/>
      <c r="AV239" s="31"/>
      <c r="AW239" s="31"/>
      <c r="AX239" s="31"/>
      <c r="AY239" s="31"/>
      <c r="AZ239" s="31">
        <f t="shared" si="44"/>
        <v>0.78100000000000003</v>
      </c>
      <c r="BA239" s="25" t="str">
        <f t="shared" si="45"/>
        <v>NL child</v>
      </c>
      <c r="BB239" s="25">
        <f t="shared" si="46"/>
        <v>0</v>
      </c>
      <c r="BC239" s="25" t="str">
        <f t="shared" si="47"/>
        <v/>
      </c>
    </row>
    <row r="240" spans="1:55" ht="15" customHeight="1" outlineLevel="2" x14ac:dyDescent="0.2">
      <c r="A240" s="39">
        <v>4</v>
      </c>
      <c r="B240" s="23">
        <v>402040</v>
      </c>
      <c r="C240" s="23" t="s">
        <v>156</v>
      </c>
      <c r="D240" s="22">
        <f>input_values!Z240</f>
        <v>4</v>
      </c>
      <c r="E240" s="657">
        <v>0</v>
      </c>
      <c r="F240" s="31">
        <v>0</v>
      </c>
      <c r="G240" s="31">
        <v>0</v>
      </c>
      <c r="H240" s="31">
        <v>0</v>
      </c>
      <c r="I240" s="31">
        <v>0</v>
      </c>
      <c r="J240" s="31">
        <v>0</v>
      </c>
      <c r="K240" s="31">
        <v>0</v>
      </c>
      <c r="L240" s="31">
        <v>0</v>
      </c>
      <c r="M240" s="31">
        <v>0</v>
      </c>
      <c r="N240" s="31">
        <v>0</v>
      </c>
      <c r="O240" s="31">
        <v>0</v>
      </c>
      <c r="P240" s="31">
        <v>0</v>
      </c>
      <c r="Q240" s="31">
        <v>0</v>
      </c>
      <c r="R240" s="587"/>
      <c r="S240" s="31">
        <v>0</v>
      </c>
      <c r="T240" s="31"/>
      <c r="U240" s="31">
        <v>0</v>
      </c>
      <c r="V240" s="31">
        <v>0</v>
      </c>
      <c r="W240" s="31">
        <v>0</v>
      </c>
      <c r="X240" s="31">
        <v>0</v>
      </c>
      <c r="Y240" s="31">
        <v>0</v>
      </c>
      <c r="Z240" s="31">
        <v>0</v>
      </c>
      <c r="AA240" s="31">
        <v>0</v>
      </c>
      <c r="AB240" s="31">
        <v>0</v>
      </c>
      <c r="AC240" s="31">
        <v>0</v>
      </c>
      <c r="AD240" s="31">
        <v>0</v>
      </c>
      <c r="AE240" s="31">
        <v>0.29533333333333334</v>
      </c>
      <c r="AF240" s="31">
        <v>0.20183333333333334</v>
      </c>
      <c r="AG240" s="31">
        <v>8.4000000000000005E-2</v>
      </c>
      <c r="AH240" s="31">
        <v>0.13233333333333333</v>
      </c>
      <c r="AI240" s="31">
        <v>0.23783333333333331</v>
      </c>
      <c r="AJ240" s="31">
        <v>9.0166666666666673E-2</v>
      </c>
      <c r="AK240" s="663">
        <v>0</v>
      </c>
      <c r="AL240" s="663">
        <v>0</v>
      </c>
      <c r="AM240" s="31">
        <v>0</v>
      </c>
      <c r="AN240" s="584"/>
      <c r="AO240" s="584"/>
      <c r="AP240" s="663"/>
      <c r="AQ240" s="31"/>
      <c r="AR240" s="31"/>
      <c r="AS240" s="31"/>
      <c r="AT240" s="31"/>
      <c r="AU240" s="31"/>
      <c r="AV240" s="31"/>
      <c r="AW240" s="31"/>
      <c r="AX240" s="31"/>
      <c r="AY240" s="31"/>
      <c r="AZ240" s="31">
        <f t="shared" si="44"/>
        <v>0.29533333333333334</v>
      </c>
      <c r="BA240" s="25" t="str">
        <f t="shared" si="45"/>
        <v>GEMS/Food G06</v>
      </c>
      <c r="BB240" s="25">
        <f t="shared" si="46"/>
        <v>0</v>
      </c>
      <c r="BC240" s="25" t="str">
        <f t="shared" si="47"/>
        <v/>
      </c>
    </row>
    <row r="241" spans="1:55" ht="15" customHeight="1" outlineLevel="2" x14ac:dyDescent="0.2">
      <c r="A241" s="39">
        <v>4</v>
      </c>
      <c r="B241" s="23">
        <v>402990</v>
      </c>
      <c r="C241" s="23" t="s">
        <v>179</v>
      </c>
      <c r="D241" s="22">
        <f>input_values!Z241</f>
        <v>4</v>
      </c>
      <c r="E241" s="657">
        <v>0</v>
      </c>
      <c r="F241" s="31"/>
      <c r="G241" s="31">
        <v>0</v>
      </c>
      <c r="H241" s="31">
        <v>0</v>
      </c>
      <c r="I241" s="31">
        <v>0</v>
      </c>
      <c r="J241" s="31">
        <v>0</v>
      </c>
      <c r="K241" s="31">
        <v>0</v>
      </c>
      <c r="L241" s="31">
        <v>0</v>
      </c>
      <c r="M241" s="31">
        <v>0</v>
      </c>
      <c r="N241" s="31">
        <v>0</v>
      </c>
      <c r="O241" s="31">
        <v>0</v>
      </c>
      <c r="P241" s="31">
        <v>0</v>
      </c>
      <c r="Q241" s="31">
        <v>0</v>
      </c>
      <c r="R241" s="587"/>
      <c r="S241" s="31">
        <v>0</v>
      </c>
      <c r="T241" s="31"/>
      <c r="U241" s="31">
        <v>0</v>
      </c>
      <c r="V241" s="31">
        <v>0</v>
      </c>
      <c r="W241" s="31">
        <v>0</v>
      </c>
      <c r="X241" s="31">
        <v>0</v>
      </c>
      <c r="Y241" s="31">
        <v>0</v>
      </c>
      <c r="Z241" s="31">
        <v>0</v>
      </c>
      <c r="AA241" s="31">
        <v>0</v>
      </c>
      <c r="AB241" s="31">
        <v>0</v>
      </c>
      <c r="AC241" s="31">
        <v>0</v>
      </c>
      <c r="AD241" s="31">
        <v>0</v>
      </c>
      <c r="AE241" s="31"/>
      <c r="AF241" s="31"/>
      <c r="AG241" s="31"/>
      <c r="AH241" s="31"/>
      <c r="AI241" s="31"/>
      <c r="AJ241" s="31"/>
      <c r="AK241" s="663">
        <v>0</v>
      </c>
      <c r="AL241" s="663">
        <v>0</v>
      </c>
      <c r="AM241" s="31">
        <v>0</v>
      </c>
      <c r="AN241" s="584"/>
      <c r="AO241" s="584"/>
      <c r="AP241" s="663"/>
      <c r="AQ241" s="31"/>
      <c r="AR241" s="31"/>
      <c r="AS241" s="31"/>
      <c r="AT241" s="31"/>
      <c r="AU241" s="31"/>
      <c r="AV241" s="31"/>
      <c r="AW241" s="31"/>
      <c r="AX241" s="31"/>
      <c r="AY241" s="31"/>
      <c r="AZ241" s="31">
        <f t="shared" si="44"/>
        <v>0</v>
      </c>
      <c r="BA241" s="25" t="str">
        <f t="shared" si="45"/>
        <v>DE child</v>
      </c>
      <c r="BB241" s="25">
        <f t="shared" si="46"/>
        <v>0</v>
      </c>
      <c r="BC241" s="25" t="str">
        <f t="shared" si="47"/>
        <v/>
      </c>
    </row>
    <row r="242" spans="1:55" ht="15" customHeight="1" x14ac:dyDescent="0.2">
      <c r="A242" s="126">
        <v>1</v>
      </c>
      <c r="B242" s="127">
        <v>500000</v>
      </c>
      <c r="C242" s="127" t="s">
        <v>142</v>
      </c>
      <c r="D242" s="81">
        <f>input_values!Z242</f>
        <v>4</v>
      </c>
      <c r="E242" s="582">
        <f>SUM(E243:E252)</f>
        <v>5.68</v>
      </c>
      <c r="F242" s="91">
        <f t="shared" ref="F242:AO242" si="53">SUM(F243:F252)</f>
        <v>10.601045454545455</v>
      </c>
      <c r="G242" s="91">
        <f t="shared" si="53"/>
        <v>5.2084000000000001</v>
      </c>
      <c r="H242" s="91">
        <f t="shared" si="53"/>
        <v>0.88431732240658589</v>
      </c>
      <c r="I242" s="91">
        <f t="shared" si="53"/>
        <v>3.8330581040849379</v>
      </c>
      <c r="J242" s="91">
        <f t="shared" si="53"/>
        <v>5.5648072582145316</v>
      </c>
      <c r="K242" s="91">
        <f t="shared" si="53"/>
        <v>8.3785147801009376</v>
      </c>
      <c r="L242" s="91">
        <f t="shared" si="53"/>
        <v>12.593999999999998</v>
      </c>
      <c r="M242" s="91">
        <f t="shared" si="53"/>
        <v>4.8090000000000002</v>
      </c>
      <c r="N242" s="91">
        <f t="shared" si="53"/>
        <v>4.5316091954022992</v>
      </c>
      <c r="O242" s="91">
        <f t="shared" si="53"/>
        <v>4.5736301369863019</v>
      </c>
      <c r="P242" s="91">
        <f t="shared" si="53"/>
        <v>1.7350435193075899</v>
      </c>
      <c r="Q242" s="91">
        <f t="shared" si="53"/>
        <v>3.1642000000000001</v>
      </c>
      <c r="R242" s="91">
        <f t="shared" si="53"/>
        <v>1.3144501744000001</v>
      </c>
      <c r="S242" s="91">
        <f t="shared" si="53"/>
        <v>2.4689997455232446</v>
      </c>
      <c r="T242" s="91"/>
      <c r="U242" s="91">
        <f t="shared" si="53"/>
        <v>3.360372340425533</v>
      </c>
      <c r="V242" s="91">
        <f t="shared" si="53"/>
        <v>5.0491655390166885</v>
      </c>
      <c r="W242" s="91">
        <f t="shared" si="53"/>
        <v>2.7144285714285714</v>
      </c>
      <c r="X242" s="91">
        <f t="shared" si="53"/>
        <v>2.5780000000000003</v>
      </c>
      <c r="Y242" s="91">
        <f t="shared" si="53"/>
        <v>1.0079617834394905E-3</v>
      </c>
      <c r="Z242" s="91">
        <f t="shared" si="53"/>
        <v>5.375</v>
      </c>
      <c r="AA242" s="91">
        <f t="shared" si="53"/>
        <v>6.2833333333333332</v>
      </c>
      <c r="AB242" s="91">
        <f t="shared" si="53"/>
        <v>3.8983333333333334</v>
      </c>
      <c r="AC242" s="91">
        <f t="shared" si="53"/>
        <v>2.0944078947368423</v>
      </c>
      <c r="AD242" s="91">
        <f t="shared" si="53"/>
        <v>2.5251874062968516</v>
      </c>
      <c r="AE242" s="91">
        <f t="shared" si="53"/>
        <v>10.209333333333333</v>
      </c>
      <c r="AF242" s="91">
        <f t="shared" si="53"/>
        <v>5.6621666666666668</v>
      </c>
      <c r="AG242" s="91">
        <f t="shared" si="53"/>
        <v>6.3859999999999992</v>
      </c>
      <c r="AH242" s="91">
        <f t="shared" si="53"/>
        <v>6.6585000000000001</v>
      </c>
      <c r="AI242" s="91">
        <f t="shared" si="53"/>
        <v>4.8656666666666659</v>
      </c>
      <c r="AJ242" s="91">
        <f t="shared" si="53"/>
        <v>6.5545</v>
      </c>
      <c r="AK242" s="91">
        <f t="shared" si="53"/>
        <v>3.1330366038247521</v>
      </c>
      <c r="AL242" s="91">
        <f t="shared" si="53"/>
        <v>2.9793943591543108</v>
      </c>
      <c r="AM242" s="91">
        <f t="shared" si="53"/>
        <v>1.476757273</v>
      </c>
      <c r="AN242" s="91">
        <f t="shared" si="53"/>
        <v>3.0852468432000002</v>
      </c>
      <c r="AO242" s="91">
        <f t="shared" si="53"/>
        <v>2.4128140520999999</v>
      </c>
      <c r="AP242" s="91"/>
      <c r="AQ242" s="91"/>
      <c r="AR242" s="91"/>
      <c r="AS242" s="91"/>
      <c r="AT242" s="91"/>
      <c r="AU242" s="91"/>
      <c r="AV242" s="91"/>
      <c r="AW242" s="91"/>
      <c r="AX242" s="91" t="s">
        <v>369</v>
      </c>
      <c r="AY242" s="91"/>
      <c r="AZ242" s="91">
        <f t="shared" si="44"/>
        <v>12.593999999999998</v>
      </c>
      <c r="BA242" s="41" t="str">
        <f t="shared" si="45"/>
        <v>NL toddler</v>
      </c>
      <c r="BB242" s="41">
        <f t="shared" si="46"/>
        <v>1.0079617834394905E-3</v>
      </c>
      <c r="BC242" s="41" t="str">
        <f t="shared" si="47"/>
        <v>PL general</v>
      </c>
    </row>
    <row r="243" spans="1:55" ht="15" customHeight="1" outlineLevel="3" x14ac:dyDescent="0.2">
      <c r="A243" s="39">
        <v>4</v>
      </c>
      <c r="B243" s="23">
        <v>500010</v>
      </c>
      <c r="C243" s="23" t="s">
        <v>157</v>
      </c>
      <c r="D243" s="22">
        <f>input_values!Z243</f>
        <v>4</v>
      </c>
      <c r="E243" s="657">
        <v>0.01</v>
      </c>
      <c r="F243" s="31">
        <v>0</v>
      </c>
      <c r="G243" s="31">
        <v>2.0999999999999999E-3</v>
      </c>
      <c r="H243" s="31">
        <v>4.7639319669971005E-5</v>
      </c>
      <c r="I243" s="31">
        <v>3.7382646066301119E-3</v>
      </c>
      <c r="J243" s="31">
        <v>9.2401757422339113E-3</v>
      </c>
      <c r="K243" s="31">
        <v>1.057438115837539E-2</v>
      </c>
      <c r="L243" s="31">
        <v>0.17</v>
      </c>
      <c r="M243" s="31">
        <v>1.0999999999999999E-2</v>
      </c>
      <c r="N243" s="31">
        <v>0</v>
      </c>
      <c r="O243" s="31">
        <v>1.3698630136986302E-2</v>
      </c>
      <c r="P243" s="31">
        <v>0</v>
      </c>
      <c r="Q243" s="31">
        <v>0.49209999999999998</v>
      </c>
      <c r="R243" s="587">
        <v>1.9355463E-2</v>
      </c>
      <c r="S243" s="31">
        <v>1.6186878334527967E-3</v>
      </c>
      <c r="T243" s="31"/>
      <c r="U243" s="31">
        <v>1.1968085106382979E-2</v>
      </c>
      <c r="V243" s="31">
        <v>9.3219064802285371E-3</v>
      </c>
      <c r="W243" s="31">
        <v>5.9857142857142866E-2</v>
      </c>
      <c r="X243" s="31">
        <v>0.29299999999999998</v>
      </c>
      <c r="Y243" s="31">
        <v>0</v>
      </c>
      <c r="Z243" s="31">
        <v>3.0000000000000002E-2</v>
      </c>
      <c r="AA243" s="31">
        <v>0</v>
      </c>
      <c r="AB243" s="31">
        <v>0</v>
      </c>
      <c r="AC243" s="31">
        <v>2.6315789473684209E-2</v>
      </c>
      <c r="AD243" s="31">
        <v>1.9490254872563718E-2</v>
      </c>
      <c r="AE243" s="31">
        <v>7.1833333333333332E-2</v>
      </c>
      <c r="AF243" s="31">
        <v>0.60299999999999998</v>
      </c>
      <c r="AG243" s="31">
        <v>0.89083333333333337</v>
      </c>
      <c r="AH243" s="31">
        <v>0.58750000000000002</v>
      </c>
      <c r="AI243" s="31">
        <v>0.77800000000000002</v>
      </c>
      <c r="AJ243" s="31">
        <v>0.77849999999999997</v>
      </c>
      <c r="AK243" s="663">
        <v>0.50834504173078965</v>
      </c>
      <c r="AL243" s="663">
        <v>0.18766861786736588</v>
      </c>
      <c r="AM243" s="31">
        <v>3.9543199999999999E-3</v>
      </c>
      <c r="AN243" s="584">
        <v>6.5482696399999998E-2</v>
      </c>
      <c r="AO243" s="584">
        <v>5.9164811300000002E-2</v>
      </c>
      <c r="AP243" s="663"/>
      <c r="AQ243" s="31"/>
      <c r="AR243" s="31"/>
      <c r="AS243" s="31"/>
      <c r="AT243" s="31"/>
      <c r="AU243" s="31"/>
      <c r="AV243" s="31"/>
      <c r="AW243" s="31"/>
      <c r="AX243" s="31"/>
      <c r="AY243" s="31"/>
      <c r="AZ243" s="31">
        <f t="shared" si="44"/>
        <v>0.89083333333333337</v>
      </c>
      <c r="BA243" s="25" t="str">
        <f t="shared" si="45"/>
        <v>GEMS/Food G08</v>
      </c>
      <c r="BB243" s="25">
        <f t="shared" si="46"/>
        <v>0</v>
      </c>
      <c r="BC243" s="25" t="str">
        <f t="shared" si="47"/>
        <v/>
      </c>
    </row>
    <row r="244" spans="1:55" ht="15" customHeight="1" outlineLevel="3" x14ac:dyDescent="0.2">
      <c r="A244" s="39">
        <v>4</v>
      </c>
      <c r="B244" s="23">
        <v>500020</v>
      </c>
      <c r="C244" s="23" t="s">
        <v>762</v>
      </c>
      <c r="D244" s="22">
        <f>input_values!Z244</f>
        <v>4</v>
      </c>
      <c r="E244" s="657">
        <v>0.01</v>
      </c>
      <c r="F244" s="31">
        <v>0</v>
      </c>
      <c r="G244" s="31">
        <v>0</v>
      </c>
      <c r="H244" s="31">
        <v>7.3118154727350127E-3</v>
      </c>
      <c r="I244" s="31">
        <v>3.5450063440919423E-3</v>
      </c>
      <c r="J244" s="31">
        <v>2.7624843732831921E-3</v>
      </c>
      <c r="K244" s="31">
        <v>0</v>
      </c>
      <c r="L244" s="31">
        <v>0.13700000000000001</v>
      </c>
      <c r="M244" s="31">
        <v>8.0000000000000002E-3</v>
      </c>
      <c r="N244" s="31">
        <v>0</v>
      </c>
      <c r="O244" s="31">
        <v>0</v>
      </c>
      <c r="P244" s="31">
        <v>0</v>
      </c>
      <c r="Q244" s="31">
        <v>0</v>
      </c>
      <c r="R244" s="587">
        <v>4.5313621999999998E-3</v>
      </c>
      <c r="S244" s="31">
        <v>1.2081393010423425E-3</v>
      </c>
      <c r="T244" s="31"/>
      <c r="U244" s="31">
        <v>0.277925531914895</v>
      </c>
      <c r="V244" s="31">
        <v>0</v>
      </c>
      <c r="W244" s="31">
        <v>0.21357142857142855</v>
      </c>
      <c r="X244" s="31">
        <v>1.2999999999999999E-2</v>
      </c>
      <c r="Y244" s="31">
        <v>0</v>
      </c>
      <c r="Z244" s="31">
        <v>0</v>
      </c>
      <c r="AA244" s="31">
        <v>0</v>
      </c>
      <c r="AB244" s="31">
        <v>0</v>
      </c>
      <c r="AC244" s="31">
        <v>0</v>
      </c>
      <c r="AD244" s="31">
        <v>0</v>
      </c>
      <c r="AE244" s="31">
        <v>1.6666666666666668E-3</v>
      </c>
      <c r="AF244" s="31">
        <v>1.6666666666666668E-3</v>
      </c>
      <c r="AG244" s="31">
        <v>1.3166666666666667E-2</v>
      </c>
      <c r="AH244" s="31">
        <v>5.8333333333333327E-3</v>
      </c>
      <c r="AI244" s="31">
        <v>0</v>
      </c>
      <c r="AJ244" s="31">
        <v>1.6666666666666668E-3</v>
      </c>
      <c r="AK244" s="663">
        <v>0</v>
      </c>
      <c r="AL244" s="663">
        <v>0</v>
      </c>
      <c r="AM244" s="31">
        <v>0</v>
      </c>
      <c r="AN244" s="584">
        <v>1.8360831500000001E-2</v>
      </c>
      <c r="AO244" s="584">
        <v>5.4805375000000003E-3</v>
      </c>
      <c r="AP244" s="663"/>
      <c r="AQ244" s="31"/>
      <c r="AR244" s="31"/>
      <c r="AS244" s="31"/>
      <c r="AT244" s="31"/>
      <c r="AU244" s="31"/>
      <c r="AV244" s="31"/>
      <c r="AW244" s="31"/>
      <c r="AX244" s="31"/>
      <c r="AY244" s="31"/>
      <c r="AZ244" s="31">
        <f t="shared" si="44"/>
        <v>0.277925531914895</v>
      </c>
      <c r="BA244" s="25" t="str">
        <f t="shared" si="45"/>
        <v>IE adult</v>
      </c>
      <c r="BB244" s="25">
        <f t="shared" si="46"/>
        <v>0</v>
      </c>
      <c r="BC244" s="25" t="str">
        <f t="shared" si="47"/>
        <v/>
      </c>
    </row>
    <row r="245" spans="1:55" ht="15" customHeight="1" outlineLevel="3" x14ac:dyDescent="0.2">
      <c r="A245" s="39">
        <v>4</v>
      </c>
      <c r="B245" s="23">
        <v>500030</v>
      </c>
      <c r="C245" s="23" t="s">
        <v>763</v>
      </c>
      <c r="D245" s="22">
        <f>input_values!Z245</f>
        <v>4</v>
      </c>
      <c r="E245" s="657">
        <v>0.15</v>
      </c>
      <c r="F245" s="31">
        <v>1.3636363636363637E-4</v>
      </c>
      <c r="G245" s="31">
        <v>0.28770000000000001</v>
      </c>
      <c r="H245" s="31">
        <v>2.1146836728111976E-2</v>
      </c>
      <c r="I245" s="31">
        <v>8.7586166584730701E-2</v>
      </c>
      <c r="J245" s="31">
        <v>0.42337439179963388</v>
      </c>
      <c r="K245" s="31">
        <v>2.667627974044701E-2</v>
      </c>
      <c r="L245" s="31">
        <v>7.048</v>
      </c>
      <c r="M245" s="31">
        <v>0.27500000000000002</v>
      </c>
      <c r="N245" s="31">
        <v>1.0258620689655173</v>
      </c>
      <c r="O245" s="31">
        <v>1.1986301369863013E-2</v>
      </c>
      <c r="P245" s="31">
        <v>0</v>
      </c>
      <c r="Q245" s="31">
        <v>8.2300000000000012E-2</v>
      </c>
      <c r="R245" s="587">
        <v>3.6930133999999999E-3</v>
      </c>
      <c r="S245" s="31">
        <v>6.3828092708982043E-2</v>
      </c>
      <c r="T245" s="31"/>
      <c r="U245" s="31">
        <v>0.21941489361702127</v>
      </c>
      <c r="V245" s="31">
        <v>1.8192752969478272E-2</v>
      </c>
      <c r="W245" s="31">
        <v>7.7142857142857152E-3</v>
      </c>
      <c r="X245" s="31">
        <v>0.09</v>
      </c>
      <c r="Y245" s="31">
        <v>1.0079617834394905E-3</v>
      </c>
      <c r="Z245" s="31">
        <v>0.47499999999999998</v>
      </c>
      <c r="AA245" s="31">
        <v>0.96666666666666667</v>
      </c>
      <c r="AB245" s="31">
        <v>0</v>
      </c>
      <c r="AC245" s="31">
        <v>2.3026315789473682E-3</v>
      </c>
      <c r="AD245" s="31">
        <v>7.9460269865067462E-3</v>
      </c>
      <c r="AE245" s="31">
        <v>1.2615000000000001</v>
      </c>
      <c r="AF245" s="31">
        <v>0.30850000000000005</v>
      </c>
      <c r="AG245" s="31">
        <v>0.43633333333333335</v>
      </c>
      <c r="AH245" s="31">
        <v>0.66649999999999998</v>
      </c>
      <c r="AI245" s="31">
        <v>0.12266666666666667</v>
      </c>
      <c r="AJ245" s="31">
        <v>0.64100000000000001</v>
      </c>
      <c r="AK245" s="663">
        <v>5.5455105843453624E-2</v>
      </c>
      <c r="AL245" s="663">
        <v>6.5519530674559914E-2</v>
      </c>
      <c r="AM245" s="31">
        <v>2.6085300000000002E-4</v>
      </c>
      <c r="AN245" s="584">
        <v>1.43936312E-2</v>
      </c>
      <c r="AO245" s="584">
        <v>2.1519743399999999E-2</v>
      </c>
      <c r="AP245" s="663"/>
      <c r="AQ245" s="31"/>
      <c r="AR245" s="31"/>
      <c r="AS245" s="31"/>
      <c r="AT245" s="31"/>
      <c r="AU245" s="31"/>
      <c r="AV245" s="31"/>
      <c r="AW245" s="31"/>
      <c r="AX245" s="31"/>
      <c r="AY245" s="31"/>
      <c r="AZ245" s="31">
        <f t="shared" si="44"/>
        <v>7.048</v>
      </c>
      <c r="BA245" s="25" t="str">
        <f t="shared" si="45"/>
        <v>NL toddler</v>
      </c>
      <c r="BB245" s="25">
        <f t="shared" si="46"/>
        <v>0</v>
      </c>
      <c r="BC245" s="25" t="str">
        <f t="shared" si="47"/>
        <v/>
      </c>
    </row>
    <row r="246" spans="1:55" ht="15" customHeight="1" outlineLevel="3" x14ac:dyDescent="0.2">
      <c r="A246" s="39">
        <v>4</v>
      </c>
      <c r="B246" s="23">
        <v>500040</v>
      </c>
      <c r="C246" s="23" t="s">
        <v>764</v>
      </c>
      <c r="D246" s="22">
        <f>input_values!Z246</f>
        <v>4</v>
      </c>
      <c r="E246" s="657">
        <v>0</v>
      </c>
      <c r="F246" s="31">
        <v>0</v>
      </c>
      <c r="G246" s="31">
        <v>0</v>
      </c>
      <c r="H246" s="31">
        <v>0</v>
      </c>
      <c r="I246" s="31">
        <v>0</v>
      </c>
      <c r="J246" s="31">
        <v>0</v>
      </c>
      <c r="K246" s="31">
        <v>0</v>
      </c>
      <c r="L246" s="31">
        <v>5.2999999999999999E-2</v>
      </c>
      <c r="M246" s="31">
        <v>0.01</v>
      </c>
      <c r="N246" s="31">
        <v>0</v>
      </c>
      <c r="O246" s="31">
        <v>0</v>
      </c>
      <c r="P246" s="31">
        <v>0</v>
      </c>
      <c r="Q246" s="31">
        <v>0</v>
      </c>
      <c r="R246" s="587">
        <v>1.0559078000000001E-3</v>
      </c>
      <c r="S246" s="31">
        <v>0</v>
      </c>
      <c r="T246" s="31"/>
      <c r="U246" s="31">
        <v>0</v>
      </c>
      <c r="V246" s="31">
        <v>0</v>
      </c>
      <c r="W246" s="31">
        <v>0</v>
      </c>
      <c r="X246" s="31">
        <v>3.0000000000000001E-3</v>
      </c>
      <c r="Y246" s="31">
        <v>0</v>
      </c>
      <c r="Z246" s="31">
        <v>0</v>
      </c>
      <c r="AA246" s="31">
        <v>0</v>
      </c>
      <c r="AB246" s="31">
        <v>0</v>
      </c>
      <c r="AC246" s="31">
        <v>0</v>
      </c>
      <c r="AD246" s="31">
        <v>0</v>
      </c>
      <c r="AE246" s="31">
        <v>1.6666666666666668E-3</v>
      </c>
      <c r="AF246" s="31">
        <v>1.6666666666666668E-3</v>
      </c>
      <c r="AG246" s="31">
        <v>2.6666666666666666E-3</v>
      </c>
      <c r="AH246" s="31">
        <v>1.15E-2</v>
      </c>
      <c r="AI246" s="31">
        <v>0</v>
      </c>
      <c r="AJ246" s="31">
        <v>0</v>
      </c>
      <c r="AK246" s="663">
        <v>0</v>
      </c>
      <c r="AL246" s="663">
        <v>0</v>
      </c>
      <c r="AM246" s="31">
        <v>0</v>
      </c>
      <c r="AN246" s="584">
        <v>3.2927223000000002E-3</v>
      </c>
      <c r="AO246" s="584">
        <v>4.6080630000000001E-4</v>
      </c>
      <c r="AP246" s="663"/>
      <c r="AQ246" s="31"/>
      <c r="AR246" s="31"/>
      <c r="AS246" s="31"/>
      <c r="AT246" s="31"/>
      <c r="AU246" s="31"/>
      <c r="AV246" s="31"/>
      <c r="AW246" s="31"/>
      <c r="AX246" s="31"/>
      <c r="AY246" s="31"/>
      <c r="AZ246" s="31">
        <f t="shared" si="44"/>
        <v>5.2999999999999999E-2</v>
      </c>
      <c r="BA246" s="25" t="str">
        <f t="shared" si="45"/>
        <v>NL toddler</v>
      </c>
      <c r="BB246" s="25">
        <f t="shared" si="46"/>
        <v>0</v>
      </c>
      <c r="BC246" s="25" t="str">
        <f t="shared" si="47"/>
        <v/>
      </c>
    </row>
    <row r="247" spans="1:55" ht="15" customHeight="1" outlineLevel="3" x14ac:dyDescent="0.2">
      <c r="A247" s="39">
        <v>4</v>
      </c>
      <c r="B247" s="23">
        <v>500050</v>
      </c>
      <c r="C247" s="23" t="s">
        <v>844</v>
      </c>
      <c r="D247" s="22">
        <f>input_values!Z247</f>
        <v>4</v>
      </c>
      <c r="E247" s="657">
        <v>0.21</v>
      </c>
      <c r="F247" s="31">
        <v>0.38409090909090904</v>
      </c>
      <c r="G247" s="31">
        <v>0</v>
      </c>
      <c r="H247" s="31">
        <v>1.5829411519945457E-3</v>
      </c>
      <c r="I247" s="31">
        <v>5.6239431641317686E-2</v>
      </c>
      <c r="J247" s="31">
        <v>8.190056908171664E-2</v>
      </c>
      <c r="K247" s="31">
        <v>4.8065368901706323E-4</v>
      </c>
      <c r="L247" s="31">
        <v>0.19400000000000001</v>
      </c>
      <c r="M247" s="31">
        <v>4.9000000000000002E-2</v>
      </c>
      <c r="N247" s="31">
        <v>0.25287356321839083</v>
      </c>
      <c r="O247" s="31">
        <v>4.7945205479452052E-2</v>
      </c>
      <c r="P247" s="31">
        <v>1.3300000000000001E-4</v>
      </c>
      <c r="Q247" s="31">
        <v>0</v>
      </c>
      <c r="R247" s="587">
        <v>0.13310651840000001</v>
      </c>
      <c r="S247" s="31">
        <v>1.6754767229820097E-2</v>
      </c>
      <c r="T247" s="31"/>
      <c r="U247" s="31">
        <v>0.18218085106382978</v>
      </c>
      <c r="V247" s="31">
        <v>1.5035333032626671E-4</v>
      </c>
      <c r="W247" s="31">
        <v>9.0714285714285706E-2</v>
      </c>
      <c r="X247" s="31">
        <v>0.04</v>
      </c>
      <c r="Y247" s="31">
        <v>0</v>
      </c>
      <c r="Z247" s="31">
        <v>3.0000000000000002E-2</v>
      </c>
      <c r="AA247" s="31">
        <v>0</v>
      </c>
      <c r="AB247" s="31">
        <v>0</v>
      </c>
      <c r="AC247" s="31">
        <v>1.7105263157894738E-2</v>
      </c>
      <c r="AD247" s="31">
        <v>4.7976011994002997E-2</v>
      </c>
      <c r="AE247" s="31">
        <v>1.6666666666666668E-3</v>
      </c>
      <c r="AF247" s="31">
        <v>0.125</v>
      </c>
      <c r="AG247" s="31">
        <v>0.10433333333333333</v>
      </c>
      <c r="AH247" s="31">
        <v>8.1166666666666665E-2</v>
      </c>
      <c r="AI247" s="31">
        <v>5.2666666666666667E-2</v>
      </c>
      <c r="AJ247" s="31">
        <v>4.65E-2</v>
      </c>
      <c r="AK247" s="663">
        <v>0.10344099446311415</v>
      </c>
      <c r="AL247" s="663">
        <v>9.9304554620513893E-2</v>
      </c>
      <c r="AM247" s="31">
        <v>1.09021E-2</v>
      </c>
      <c r="AN247" s="584">
        <v>0.57843451290000003</v>
      </c>
      <c r="AO247" s="584">
        <v>0.31718781689999997</v>
      </c>
      <c r="AP247" s="663"/>
      <c r="AQ247" s="31"/>
      <c r="AR247" s="31"/>
      <c r="AS247" s="31"/>
      <c r="AT247" s="31"/>
      <c r="AU247" s="31"/>
      <c r="AV247" s="31"/>
      <c r="AW247" s="31"/>
      <c r="AX247" s="31"/>
      <c r="AY247" s="31"/>
      <c r="AZ247" s="31">
        <f t="shared" si="44"/>
        <v>0.57843451290000003</v>
      </c>
      <c r="BA247" s="25" t="str">
        <f t="shared" si="45"/>
        <v>FI 3 yr</v>
      </c>
      <c r="BB247" s="25">
        <f t="shared" si="46"/>
        <v>0</v>
      </c>
      <c r="BC247" s="25" t="str">
        <f t="shared" si="47"/>
        <v/>
      </c>
    </row>
    <row r="248" spans="1:55" ht="15" customHeight="1" outlineLevel="3" x14ac:dyDescent="0.2">
      <c r="A248" s="39">
        <v>4</v>
      </c>
      <c r="B248" s="23">
        <v>500060</v>
      </c>
      <c r="C248" s="23" t="s">
        <v>158</v>
      </c>
      <c r="D248" s="22">
        <f>input_values!Z248</f>
        <v>4</v>
      </c>
      <c r="E248" s="657">
        <v>0.28000000000000003</v>
      </c>
      <c r="F248" s="31">
        <v>0.29227272727272724</v>
      </c>
      <c r="G248" s="31">
        <v>0.48309999999999997</v>
      </c>
      <c r="H248" s="31">
        <v>6.8497273774394588E-2</v>
      </c>
      <c r="I248" s="31">
        <v>0.5978733550510138</v>
      </c>
      <c r="J248" s="31">
        <v>0.4433469381184057</v>
      </c>
      <c r="K248" s="31">
        <v>0.19226147560682527</v>
      </c>
      <c r="L248" s="31">
        <v>0.63300000000000001</v>
      </c>
      <c r="M248" s="31">
        <v>0.17</v>
      </c>
      <c r="N248" s="31">
        <v>0.63218390804597702</v>
      </c>
      <c r="O248" s="31">
        <v>0.57534246575342474</v>
      </c>
      <c r="P248" s="31">
        <v>8.4270039946737693E-2</v>
      </c>
      <c r="Q248" s="31">
        <v>0.2419</v>
      </c>
      <c r="R248" s="587">
        <v>0.1284059987</v>
      </c>
      <c r="S248" s="31">
        <v>0.15765802517040259</v>
      </c>
      <c r="T248" s="31"/>
      <c r="U248" s="31">
        <v>0.22739361702127661</v>
      </c>
      <c r="V248" s="31">
        <v>0.1789204630882574</v>
      </c>
      <c r="W248" s="31">
        <v>0.214</v>
      </c>
      <c r="X248" s="31">
        <v>0.13600000000000001</v>
      </c>
      <c r="Y248" s="31">
        <v>0</v>
      </c>
      <c r="Z248" s="31">
        <v>0.78500000000000003</v>
      </c>
      <c r="AA248" s="31">
        <v>0.25</v>
      </c>
      <c r="AB248" s="31">
        <v>0.40166666666666667</v>
      </c>
      <c r="AC248" s="31">
        <v>0.36578947368421055</v>
      </c>
      <c r="AD248" s="31">
        <v>0.3823088455772114</v>
      </c>
      <c r="AE248" s="31">
        <v>1.552</v>
      </c>
      <c r="AF248" s="31">
        <v>0.34933333333333333</v>
      </c>
      <c r="AG248" s="31">
        <v>0.26733333333333331</v>
      </c>
      <c r="AH248" s="31">
        <v>1.2585000000000002</v>
      </c>
      <c r="AI248" s="31">
        <v>0.28099999999999997</v>
      </c>
      <c r="AJ248" s="31">
        <v>0.3106666666666667</v>
      </c>
      <c r="AK248" s="663">
        <v>0</v>
      </c>
      <c r="AL248" s="663">
        <v>0</v>
      </c>
      <c r="AM248" s="31">
        <v>0.29869000000000001</v>
      </c>
      <c r="AN248" s="584">
        <v>0.56223052169999999</v>
      </c>
      <c r="AO248" s="584">
        <v>0.42435522910000001</v>
      </c>
      <c r="AP248" s="663"/>
      <c r="AQ248" s="31"/>
      <c r="AR248" s="31"/>
      <c r="AS248" s="31"/>
      <c r="AT248" s="31"/>
      <c r="AU248" s="31"/>
      <c r="AV248" s="31"/>
      <c r="AW248" s="31"/>
      <c r="AX248" s="31"/>
      <c r="AY248" s="31"/>
      <c r="AZ248" s="31">
        <f t="shared" si="44"/>
        <v>1.552</v>
      </c>
      <c r="BA248" s="25" t="str">
        <f t="shared" si="45"/>
        <v>GEMS/Food G06</v>
      </c>
      <c r="BB248" s="25">
        <f t="shared" si="46"/>
        <v>0</v>
      </c>
      <c r="BC248" s="25" t="str">
        <f t="shared" si="47"/>
        <v/>
      </c>
    </row>
    <row r="249" spans="1:55" ht="15" customHeight="1" outlineLevel="3" x14ac:dyDescent="0.2">
      <c r="A249" s="39">
        <v>4</v>
      </c>
      <c r="B249" s="23">
        <v>500070</v>
      </c>
      <c r="C249" s="23" t="s">
        <v>159</v>
      </c>
      <c r="D249" s="22">
        <f>input_values!Z249</f>
        <v>4</v>
      </c>
      <c r="E249" s="657">
        <v>0.8</v>
      </c>
      <c r="F249" s="31">
        <v>5.5063636363636368</v>
      </c>
      <c r="G249" s="31">
        <v>0</v>
      </c>
      <c r="H249" s="31">
        <v>3.9980009995002494E-4</v>
      </c>
      <c r="I249" s="31">
        <v>7.0107096296757373E-3</v>
      </c>
      <c r="J249" s="31">
        <v>9.2470745591052006E-3</v>
      </c>
      <c r="K249" s="31">
        <v>0</v>
      </c>
      <c r="L249" s="31">
        <v>0.41499999999999998</v>
      </c>
      <c r="M249" s="31">
        <v>0.17399999999999999</v>
      </c>
      <c r="N249" s="31">
        <v>0</v>
      </c>
      <c r="O249" s="31">
        <v>6.8493150684931512E-3</v>
      </c>
      <c r="P249" s="31">
        <v>0.52700000000000002</v>
      </c>
      <c r="Q249" s="31">
        <v>0</v>
      </c>
      <c r="R249" s="587">
        <v>0.70404826190000003</v>
      </c>
      <c r="S249" s="31">
        <v>3.072610714657302E-3</v>
      </c>
      <c r="T249" s="31"/>
      <c r="U249" s="31">
        <v>0.14627659574468085</v>
      </c>
      <c r="V249" s="31">
        <v>0</v>
      </c>
      <c r="W249" s="31">
        <v>1.0767142857142857</v>
      </c>
      <c r="X249" s="31">
        <v>7.0000000000000007E-2</v>
      </c>
      <c r="Y249" s="31">
        <v>0</v>
      </c>
      <c r="Z249" s="31">
        <v>0.13666666666666666</v>
      </c>
      <c r="AA249" s="31">
        <v>0</v>
      </c>
      <c r="AB249" s="31">
        <v>0.29499999999999998</v>
      </c>
      <c r="AC249" s="31">
        <v>6.5789473684210523E-3</v>
      </c>
      <c r="AD249" s="31">
        <v>1.9490254872563718E-2</v>
      </c>
      <c r="AE249" s="31">
        <v>3.5833333333333335E-2</v>
      </c>
      <c r="AF249" s="31">
        <v>5.3499999999999999E-2</v>
      </c>
      <c r="AG249" s="31">
        <v>0.58966666666666667</v>
      </c>
      <c r="AH249" s="31">
        <v>0.10833333333333334</v>
      </c>
      <c r="AI249" s="31">
        <v>2.4833333333333332E-2</v>
      </c>
      <c r="AJ249" s="31">
        <v>0.23249999999999998</v>
      </c>
      <c r="AK249" s="663">
        <v>0.58127046395320092</v>
      </c>
      <c r="AL249" s="663">
        <v>0.48095533823251202</v>
      </c>
      <c r="AM249" s="31">
        <v>0</v>
      </c>
      <c r="AN249" s="584">
        <v>0.6503772471</v>
      </c>
      <c r="AO249" s="584">
        <v>0.61080472019999998</v>
      </c>
      <c r="AP249" s="663"/>
      <c r="AQ249" s="31"/>
      <c r="AR249" s="31"/>
      <c r="AS249" s="31"/>
      <c r="AT249" s="31"/>
      <c r="AU249" s="31"/>
      <c r="AV249" s="31"/>
      <c r="AW249" s="31"/>
      <c r="AX249" s="31"/>
      <c r="AY249" s="31"/>
      <c r="AZ249" s="31">
        <f t="shared" si="44"/>
        <v>5.5063636363636368</v>
      </c>
      <c r="BA249" s="25" t="str">
        <f t="shared" si="45"/>
        <v>DK child</v>
      </c>
      <c r="BB249" s="25">
        <f t="shared" si="46"/>
        <v>0</v>
      </c>
      <c r="BC249" s="25" t="str">
        <f t="shared" si="47"/>
        <v/>
      </c>
    </row>
    <row r="250" spans="1:55" ht="15" customHeight="1" outlineLevel="3" x14ac:dyDescent="0.2">
      <c r="A250" s="39">
        <v>4</v>
      </c>
      <c r="B250" s="23">
        <v>500080</v>
      </c>
      <c r="C250" s="23" t="s">
        <v>160</v>
      </c>
      <c r="D250" s="22">
        <f>input_values!Z250</f>
        <v>4</v>
      </c>
      <c r="E250" s="657">
        <v>0.01</v>
      </c>
      <c r="F250" s="31">
        <v>0</v>
      </c>
      <c r="G250" s="31">
        <v>0</v>
      </c>
      <c r="H250" s="31">
        <v>0</v>
      </c>
      <c r="I250" s="31">
        <v>0</v>
      </c>
      <c r="J250" s="31">
        <v>0</v>
      </c>
      <c r="K250" s="31">
        <v>0</v>
      </c>
      <c r="L250" s="31">
        <v>0</v>
      </c>
      <c r="M250" s="31">
        <v>0</v>
      </c>
      <c r="N250" s="31">
        <v>0</v>
      </c>
      <c r="O250" s="31">
        <v>0</v>
      </c>
      <c r="P250" s="31">
        <v>0</v>
      </c>
      <c r="Q250" s="31">
        <v>0</v>
      </c>
      <c r="R250" s="587"/>
      <c r="S250" s="31">
        <v>0</v>
      </c>
      <c r="T250" s="31"/>
      <c r="U250" s="31">
        <v>0</v>
      </c>
      <c r="V250" s="31">
        <v>0</v>
      </c>
      <c r="W250" s="31">
        <v>0</v>
      </c>
      <c r="X250" s="31">
        <v>0</v>
      </c>
      <c r="Y250" s="31">
        <v>0</v>
      </c>
      <c r="Z250" s="31">
        <v>0</v>
      </c>
      <c r="AA250" s="31">
        <v>0</v>
      </c>
      <c r="AB250" s="31">
        <v>0</v>
      </c>
      <c r="AC250" s="31">
        <v>0</v>
      </c>
      <c r="AD250" s="31">
        <v>0</v>
      </c>
      <c r="AE250" s="31">
        <v>4.8666666666666664E-2</v>
      </c>
      <c r="AF250" s="31">
        <v>0</v>
      </c>
      <c r="AG250" s="31">
        <v>0</v>
      </c>
      <c r="AH250" s="31">
        <v>1.9166666666666665E-2</v>
      </c>
      <c r="AI250" s="31">
        <v>0</v>
      </c>
      <c r="AJ250" s="31">
        <v>0</v>
      </c>
      <c r="AK250" s="663">
        <v>0</v>
      </c>
      <c r="AL250" s="663">
        <v>0</v>
      </c>
      <c r="AM250" s="31">
        <v>0</v>
      </c>
      <c r="AN250" s="584"/>
      <c r="AO250" s="584"/>
      <c r="AP250" s="663"/>
      <c r="AQ250" s="31"/>
      <c r="AR250" s="31"/>
      <c r="AS250" s="31"/>
      <c r="AT250" s="31"/>
      <c r="AU250" s="31"/>
      <c r="AV250" s="31"/>
      <c r="AW250" s="31"/>
      <c r="AX250" s="31"/>
      <c r="AY250" s="31"/>
      <c r="AZ250" s="31">
        <f t="shared" si="44"/>
        <v>4.8666666666666664E-2</v>
      </c>
      <c r="BA250" s="25" t="str">
        <f t="shared" si="45"/>
        <v>GEMS/Food G06</v>
      </c>
      <c r="BB250" s="25">
        <f t="shared" si="46"/>
        <v>0</v>
      </c>
      <c r="BC250" s="25" t="str">
        <f t="shared" si="47"/>
        <v/>
      </c>
    </row>
    <row r="251" spans="1:55" ht="15" customHeight="1" outlineLevel="3" x14ac:dyDescent="0.2">
      <c r="A251" s="39">
        <v>4</v>
      </c>
      <c r="B251" s="23">
        <v>500090</v>
      </c>
      <c r="C251" s="23" t="s">
        <v>161</v>
      </c>
      <c r="D251" s="22">
        <f>input_values!Z251</f>
        <v>4</v>
      </c>
      <c r="E251" s="657">
        <v>4.2</v>
      </c>
      <c r="F251" s="31">
        <v>4.418181818181818</v>
      </c>
      <c r="G251" s="31">
        <v>4.4355000000000002</v>
      </c>
      <c r="H251" s="31">
        <v>0.78533101585972975</v>
      </c>
      <c r="I251" s="31">
        <v>3.0759403108349015</v>
      </c>
      <c r="J251" s="31">
        <v>4.5945765366234621</v>
      </c>
      <c r="K251" s="31">
        <v>6.6464792117279501</v>
      </c>
      <c r="L251" s="31">
        <v>3.944</v>
      </c>
      <c r="M251" s="31">
        <v>4.1120000000000001</v>
      </c>
      <c r="N251" s="31">
        <v>2.6206896551724141</v>
      </c>
      <c r="O251" s="31">
        <v>3.9178082191780823</v>
      </c>
      <c r="P251" s="31">
        <v>1.1236404793608523</v>
      </c>
      <c r="Q251" s="31">
        <v>2.3479000000000001</v>
      </c>
      <c r="R251" s="587">
        <v>0.32025364899999997</v>
      </c>
      <c r="S251" s="31">
        <v>2.2237982637862346</v>
      </c>
      <c r="T251" s="31"/>
      <c r="U251" s="31">
        <v>2.2952127659574466</v>
      </c>
      <c r="V251" s="31">
        <v>4.1354683506239658</v>
      </c>
      <c r="W251" s="31">
        <v>1.0518571428571428</v>
      </c>
      <c r="X251" s="31">
        <v>1.9330000000000001</v>
      </c>
      <c r="Y251" s="31">
        <v>0</v>
      </c>
      <c r="Z251" s="31">
        <v>3.9183333333333334</v>
      </c>
      <c r="AA251" s="31">
        <v>5.0666666666666664</v>
      </c>
      <c r="AB251" s="31">
        <v>3.2016666666666667</v>
      </c>
      <c r="AC251" s="31">
        <v>1.6763157894736842</v>
      </c>
      <c r="AD251" s="31">
        <v>2.0479760119940029</v>
      </c>
      <c r="AE251" s="31">
        <v>7.2344999999999997</v>
      </c>
      <c r="AF251" s="31">
        <v>4.2195</v>
      </c>
      <c r="AG251" s="31">
        <v>4.0816666666666661</v>
      </c>
      <c r="AH251" s="31">
        <v>3.92</v>
      </c>
      <c r="AI251" s="31">
        <v>3.6064999999999996</v>
      </c>
      <c r="AJ251" s="31">
        <v>4.5436666666666667</v>
      </c>
      <c r="AK251" s="663">
        <v>1.8845249978341938</v>
      </c>
      <c r="AL251" s="663">
        <v>2.1459463177593592</v>
      </c>
      <c r="AM251" s="31">
        <v>1.1629499999999999</v>
      </c>
      <c r="AN251" s="584">
        <v>1.1926746801000001</v>
      </c>
      <c r="AO251" s="584">
        <v>0.97384038740000001</v>
      </c>
      <c r="AP251" s="663"/>
      <c r="AQ251" s="31"/>
      <c r="AR251" s="31"/>
      <c r="AS251" s="31"/>
      <c r="AT251" s="31"/>
      <c r="AU251" s="31"/>
      <c r="AV251" s="31"/>
      <c r="AW251" s="31"/>
      <c r="AX251" s="31"/>
      <c r="AY251" s="31"/>
      <c r="AZ251" s="31">
        <f t="shared" si="44"/>
        <v>7.2344999999999997</v>
      </c>
      <c r="BA251" s="25" t="str">
        <f t="shared" si="45"/>
        <v>GEMS/Food G06</v>
      </c>
      <c r="BB251" s="25">
        <f t="shared" si="46"/>
        <v>0</v>
      </c>
      <c r="BC251" s="25" t="str">
        <f t="shared" si="47"/>
        <v/>
      </c>
    </row>
    <row r="252" spans="1:55" ht="15" customHeight="1" outlineLevel="3" x14ac:dyDescent="0.2">
      <c r="A252" s="39">
        <v>4</v>
      </c>
      <c r="B252" s="23">
        <v>500990</v>
      </c>
      <c r="C252" s="23" t="s">
        <v>765</v>
      </c>
      <c r="D252" s="22">
        <f>input_values!Z252</f>
        <v>4</v>
      </c>
      <c r="E252" s="657">
        <v>0.01</v>
      </c>
      <c r="F252" s="31"/>
      <c r="G252" s="31">
        <v>0</v>
      </c>
      <c r="H252" s="31">
        <v>0</v>
      </c>
      <c r="I252" s="31">
        <v>1.1248593925759279E-3</v>
      </c>
      <c r="J252" s="31">
        <v>3.5908791669160333E-4</v>
      </c>
      <c r="K252" s="31">
        <v>1.5020427781783225</v>
      </c>
      <c r="L252" s="31">
        <v>0</v>
      </c>
      <c r="M252" s="31">
        <v>0</v>
      </c>
      <c r="N252" s="31">
        <v>0</v>
      </c>
      <c r="O252" s="31">
        <v>0</v>
      </c>
      <c r="P252" s="31">
        <v>0</v>
      </c>
      <c r="Q252" s="31">
        <v>0</v>
      </c>
      <c r="R252" s="587"/>
      <c r="S252" s="31">
        <v>1.0611587786529385E-3</v>
      </c>
      <c r="T252" s="31"/>
      <c r="U252" s="31">
        <v>0</v>
      </c>
      <c r="V252" s="31">
        <v>0.70711171252443239</v>
      </c>
      <c r="W252" s="31">
        <v>0</v>
      </c>
      <c r="X252" s="31">
        <v>0</v>
      </c>
      <c r="Y252" s="31">
        <v>0</v>
      </c>
      <c r="Z252" s="31">
        <v>0</v>
      </c>
      <c r="AA252" s="31">
        <v>0</v>
      </c>
      <c r="AB252" s="31">
        <v>0</v>
      </c>
      <c r="AC252" s="31">
        <v>0</v>
      </c>
      <c r="AD252" s="31">
        <v>0</v>
      </c>
      <c r="AE252" s="31"/>
      <c r="AF252" s="31"/>
      <c r="AG252" s="31"/>
      <c r="AH252" s="31"/>
      <c r="AI252" s="31"/>
      <c r="AJ252" s="31"/>
      <c r="AK252" s="663">
        <v>0</v>
      </c>
      <c r="AL252" s="663">
        <v>0</v>
      </c>
      <c r="AM252" s="31">
        <v>0</v>
      </c>
      <c r="AN252" s="584"/>
      <c r="AO252" s="584"/>
      <c r="AP252" s="663"/>
      <c r="AQ252" s="31"/>
      <c r="AR252" s="31"/>
      <c r="AS252" s="31"/>
      <c r="AT252" s="31"/>
      <c r="AU252" s="31"/>
      <c r="AV252" s="31"/>
      <c r="AW252" s="31"/>
      <c r="AX252" s="31"/>
      <c r="AY252" s="31"/>
      <c r="AZ252" s="31">
        <f t="shared" si="44"/>
        <v>1.5020427781783225</v>
      </c>
      <c r="BA252" s="25" t="str">
        <f t="shared" si="45"/>
        <v>IT toddler</v>
      </c>
      <c r="BB252" s="25">
        <f t="shared" si="46"/>
        <v>0</v>
      </c>
      <c r="BC252" s="25" t="str">
        <f t="shared" si="47"/>
        <v/>
      </c>
    </row>
    <row r="253" spans="1:55" ht="15" customHeight="1" x14ac:dyDescent="0.2">
      <c r="A253" s="126">
        <v>1</v>
      </c>
      <c r="B253" s="127">
        <v>600000</v>
      </c>
      <c r="C253" s="127" t="s">
        <v>351</v>
      </c>
      <c r="D253" s="81">
        <f>input_values!Z253</f>
        <v>2</v>
      </c>
      <c r="E253" s="582">
        <f>SUM(E254,E255,E256,E274,E275)</f>
        <v>0.35006899999999996</v>
      </c>
      <c r="F253" s="91">
        <f t="shared" ref="F253:AO253" si="54">SUM(F254,F255,F256,F274,F275)</f>
        <v>0</v>
      </c>
      <c r="G253" s="91">
        <f t="shared" si="54"/>
        <v>0.52659999999999996</v>
      </c>
      <c r="H253" s="91">
        <f t="shared" si="54"/>
        <v>4.051053620891485E-2</v>
      </c>
      <c r="I253" s="91">
        <f t="shared" si="54"/>
        <v>0.34567167003736593</v>
      </c>
      <c r="J253" s="91">
        <f t="shared" si="54"/>
        <v>0.42034872442423649</v>
      </c>
      <c r="K253" s="91">
        <f t="shared" si="54"/>
        <v>0</v>
      </c>
      <c r="L253" s="91">
        <f t="shared" si="54"/>
        <v>7.4999999999999997E-2</v>
      </c>
      <c r="M253" s="91">
        <f t="shared" si="54"/>
        <v>0.24</v>
      </c>
      <c r="N253" s="91">
        <f t="shared" si="54"/>
        <v>5.7471264367816098E-2</v>
      </c>
      <c r="O253" s="91">
        <f t="shared" si="54"/>
        <v>2.7397260273972605E-2</v>
      </c>
      <c r="P253" s="91">
        <f t="shared" si="54"/>
        <v>9.3209054593874838E-3</v>
      </c>
      <c r="Q253" s="91">
        <f t="shared" si="54"/>
        <v>0.1242</v>
      </c>
      <c r="R253" s="91">
        <f t="shared" si="54"/>
        <v>5.6299613894</v>
      </c>
      <c r="S253" s="91">
        <f t="shared" si="54"/>
        <v>0.59580284154673446</v>
      </c>
      <c r="T253" s="91"/>
      <c r="U253" s="91">
        <f t="shared" si="54"/>
        <v>0.18085106382978722</v>
      </c>
      <c r="V253" s="91">
        <f t="shared" si="54"/>
        <v>0</v>
      </c>
      <c r="W253" s="91">
        <f t="shared" si="54"/>
        <v>0</v>
      </c>
      <c r="X253" s="91">
        <f t="shared" si="54"/>
        <v>0.39500000000000007</v>
      </c>
      <c r="Y253" s="91">
        <f t="shared" si="54"/>
        <v>0</v>
      </c>
      <c r="Z253" s="91">
        <f t="shared" si="54"/>
        <v>0</v>
      </c>
      <c r="AA253" s="91">
        <f t="shared" si="54"/>
        <v>0</v>
      </c>
      <c r="AB253" s="91">
        <f t="shared" si="54"/>
        <v>0</v>
      </c>
      <c r="AC253" s="91">
        <f t="shared" si="54"/>
        <v>5.3947368421052626E-2</v>
      </c>
      <c r="AD253" s="91">
        <f t="shared" si="54"/>
        <v>4.9475262368815588E-2</v>
      </c>
      <c r="AE253" s="91">
        <f t="shared" si="54"/>
        <v>9.3666666666666662E-2</v>
      </c>
      <c r="AF253" s="91">
        <f t="shared" si="54"/>
        <v>0.36516666666666669</v>
      </c>
      <c r="AG253" s="91">
        <f t="shared" si="54"/>
        <v>0.33099999999999996</v>
      </c>
      <c r="AH253" s="91">
        <f t="shared" si="54"/>
        <v>0.26116666666666666</v>
      </c>
      <c r="AI253" s="91">
        <f t="shared" si="54"/>
        <v>0.42883333333333334</v>
      </c>
      <c r="AJ253" s="91">
        <f t="shared" si="54"/>
        <v>0.31633333333333336</v>
      </c>
      <c r="AK253" s="91">
        <f t="shared" si="54"/>
        <v>0.64254867228244528</v>
      </c>
      <c r="AL253" s="91">
        <f t="shared" si="54"/>
        <v>0.6622760891144871</v>
      </c>
      <c r="AM253" s="91">
        <f t="shared" si="54"/>
        <v>4.07027E-3</v>
      </c>
      <c r="AN253" s="91">
        <f t="shared" si="54"/>
        <v>0.2646868443</v>
      </c>
      <c r="AO253" s="91">
        <f t="shared" si="54"/>
        <v>0.29648348940000002</v>
      </c>
      <c r="AP253" s="91"/>
      <c r="AQ253" s="91"/>
      <c r="AR253" s="91"/>
      <c r="AS253" s="91"/>
      <c r="AT253" s="91"/>
      <c r="AU253" s="91"/>
      <c r="AV253" s="91"/>
      <c r="AW253" s="91"/>
      <c r="AX253" s="91" t="s">
        <v>369</v>
      </c>
      <c r="AY253" s="91"/>
      <c r="AZ253" s="91">
        <f t="shared" si="44"/>
        <v>5.6299613894</v>
      </c>
      <c r="BA253" s="41" t="str">
        <f t="shared" si="45"/>
        <v>FI adult</v>
      </c>
      <c r="BB253" s="41">
        <f t="shared" si="46"/>
        <v>0</v>
      </c>
      <c r="BC253" s="41" t="str">
        <f t="shared" si="47"/>
        <v/>
      </c>
    </row>
    <row r="254" spans="1:55" ht="15" customHeight="1" outlineLevel="1" x14ac:dyDescent="0.2">
      <c r="A254" s="130">
        <v>2</v>
      </c>
      <c r="B254" s="131">
        <v>610000</v>
      </c>
      <c r="C254" s="131" t="s">
        <v>678</v>
      </c>
      <c r="D254" s="79">
        <f>input_values!Z254</f>
        <v>2</v>
      </c>
      <c r="E254" s="656">
        <v>0.01</v>
      </c>
      <c r="F254" s="92">
        <v>0</v>
      </c>
      <c r="G254" s="92">
        <v>0</v>
      </c>
      <c r="H254" s="92">
        <v>3.9165602383993187E-4</v>
      </c>
      <c r="I254" s="92">
        <v>4.4244469441319838E-3</v>
      </c>
      <c r="J254" s="92">
        <v>2.4424265397910233E-2</v>
      </c>
      <c r="K254" s="92">
        <v>0</v>
      </c>
      <c r="L254" s="92">
        <v>1.0999999999999999E-2</v>
      </c>
      <c r="M254" s="92">
        <v>1.7000000000000001E-2</v>
      </c>
      <c r="N254" s="92">
        <v>5.7471264367816098E-2</v>
      </c>
      <c r="O254" s="92">
        <v>2.7397260273972605E-2</v>
      </c>
      <c r="P254" s="92">
        <v>9.3209054593874838E-3</v>
      </c>
      <c r="Q254" s="92">
        <v>0</v>
      </c>
      <c r="R254" s="589"/>
      <c r="S254" s="92">
        <v>0.14050357214520279</v>
      </c>
      <c r="T254" s="92"/>
      <c r="U254" s="92">
        <v>0.13164893617021275</v>
      </c>
      <c r="V254" s="92">
        <v>0</v>
      </c>
      <c r="W254" s="92">
        <v>0</v>
      </c>
      <c r="X254" s="92">
        <v>3.5000000000000003E-2</v>
      </c>
      <c r="Y254" s="92">
        <v>0</v>
      </c>
      <c r="Z254" s="92">
        <v>0</v>
      </c>
      <c r="AA254" s="92">
        <v>0</v>
      </c>
      <c r="AB254" s="92">
        <v>0</v>
      </c>
      <c r="AC254" s="92">
        <v>5.3947368421052626E-2</v>
      </c>
      <c r="AD254" s="92">
        <v>4.9475262368815588E-2</v>
      </c>
      <c r="AE254" s="92">
        <v>5.0666666666666665E-2</v>
      </c>
      <c r="AF254" s="92">
        <v>4.8500000000000001E-2</v>
      </c>
      <c r="AG254" s="92">
        <v>2.8833333333333332E-2</v>
      </c>
      <c r="AH254" s="92">
        <v>3.0833333333333334E-2</v>
      </c>
      <c r="AI254" s="92">
        <v>3.8166666666666668E-2</v>
      </c>
      <c r="AJ254" s="92">
        <v>1.4333333333333333E-2</v>
      </c>
      <c r="AK254" s="664">
        <v>3.0383417656577129E-2</v>
      </c>
      <c r="AL254" s="664">
        <v>2.9811987312683558E-2</v>
      </c>
      <c r="AM254" s="92">
        <v>2.1674200000000002E-3</v>
      </c>
      <c r="AN254" s="583"/>
      <c r="AO254" s="583"/>
      <c r="AP254" s="664"/>
      <c r="AQ254" s="92"/>
      <c r="AR254" s="92"/>
      <c r="AS254" s="92"/>
      <c r="AT254" s="92"/>
      <c r="AU254" s="92"/>
      <c r="AV254" s="92"/>
      <c r="AW254" s="92"/>
      <c r="AX254" s="92"/>
      <c r="AY254" s="92"/>
      <c r="AZ254" s="92">
        <f t="shared" si="44"/>
        <v>0.14050357214520279</v>
      </c>
      <c r="BA254" s="42" t="str">
        <f t="shared" si="45"/>
        <v>FR adult</v>
      </c>
      <c r="BB254" s="42">
        <f t="shared" si="46"/>
        <v>0</v>
      </c>
      <c r="BC254" s="42" t="str">
        <f t="shared" si="47"/>
        <v/>
      </c>
    </row>
    <row r="255" spans="1:55" ht="15" customHeight="1" outlineLevel="1" x14ac:dyDescent="0.2">
      <c r="A255" s="130">
        <v>2</v>
      </c>
      <c r="B255" s="131">
        <v>620000</v>
      </c>
      <c r="C255" s="131" t="s">
        <v>143</v>
      </c>
      <c r="D255" s="79">
        <f>input_values!Z255</f>
        <v>2</v>
      </c>
      <c r="E255" s="656">
        <v>0.01</v>
      </c>
      <c r="F255" s="92">
        <v>0</v>
      </c>
      <c r="G255" s="92">
        <v>0</v>
      </c>
      <c r="H255" s="92">
        <v>0</v>
      </c>
      <c r="I255" s="92">
        <v>0</v>
      </c>
      <c r="J255" s="92">
        <v>1.6901752981289771E-2</v>
      </c>
      <c r="K255" s="92">
        <v>0</v>
      </c>
      <c r="L255" s="92">
        <v>0</v>
      </c>
      <c r="M255" s="92">
        <v>2E-3</v>
      </c>
      <c r="N255" s="92">
        <v>0</v>
      </c>
      <c r="O255" s="92">
        <v>0</v>
      </c>
      <c r="P255" s="92">
        <v>0</v>
      </c>
      <c r="Q255" s="92">
        <v>0</v>
      </c>
      <c r="R255" s="589">
        <v>5.5697406365999997</v>
      </c>
      <c r="S255" s="92">
        <v>0.40235447359233956</v>
      </c>
      <c r="T255" s="92"/>
      <c r="U255" s="92">
        <v>4.920212765957447E-2</v>
      </c>
      <c r="V255" s="92">
        <v>0</v>
      </c>
      <c r="W255" s="92">
        <v>0</v>
      </c>
      <c r="X255" s="92">
        <v>0.28100000000000003</v>
      </c>
      <c r="Y255" s="92">
        <v>0</v>
      </c>
      <c r="Z255" s="92">
        <v>0</v>
      </c>
      <c r="AA255" s="92">
        <v>0</v>
      </c>
      <c r="AB255" s="92">
        <v>0</v>
      </c>
      <c r="AC255" s="92">
        <v>0</v>
      </c>
      <c r="AD255" s="92">
        <v>0</v>
      </c>
      <c r="AE255" s="92">
        <v>2.8333333333333332E-2</v>
      </c>
      <c r="AF255" s="92">
        <v>0.18166666666666667</v>
      </c>
      <c r="AG255" s="92">
        <v>0.20733333333333331</v>
      </c>
      <c r="AH255" s="92">
        <v>0.158</v>
      </c>
      <c r="AI255" s="92">
        <v>0.36783333333333335</v>
      </c>
      <c r="AJ255" s="92">
        <v>0.19400000000000001</v>
      </c>
      <c r="AK255" s="664">
        <v>0.4686831225021052</v>
      </c>
      <c r="AL255" s="664">
        <v>0.45075880103882393</v>
      </c>
      <c r="AM255" s="92">
        <v>1.24E-5</v>
      </c>
      <c r="AN255" s="583">
        <v>5.7625512300000001E-2</v>
      </c>
      <c r="AO255" s="583">
        <v>7.22697546E-2</v>
      </c>
      <c r="AP255" s="664"/>
      <c r="AQ255" s="92"/>
      <c r="AR255" s="92"/>
      <c r="AS255" s="92"/>
      <c r="AT255" s="92"/>
      <c r="AU255" s="92"/>
      <c r="AV255" s="92"/>
      <c r="AW255" s="92"/>
      <c r="AX255" s="92"/>
      <c r="AY255" s="92"/>
      <c r="AZ255" s="92">
        <f t="shared" si="44"/>
        <v>5.5697406365999997</v>
      </c>
      <c r="BA255" s="42" t="str">
        <f t="shared" si="45"/>
        <v>FI adult</v>
      </c>
      <c r="BB255" s="42">
        <f t="shared" si="46"/>
        <v>0</v>
      </c>
      <c r="BC255" s="42" t="str">
        <f t="shared" si="47"/>
        <v/>
      </c>
    </row>
    <row r="256" spans="1:55" ht="15" customHeight="1" outlineLevel="1" x14ac:dyDescent="0.2">
      <c r="A256" s="130">
        <v>2</v>
      </c>
      <c r="B256" s="131">
        <v>630000</v>
      </c>
      <c r="C256" s="131" t="s">
        <v>365</v>
      </c>
      <c r="D256" s="79">
        <f>input_values!Z256</f>
        <v>4</v>
      </c>
      <c r="E256" s="581">
        <f>SUM(E257,E264,E269,E273)</f>
        <v>3.0045000000000002E-2</v>
      </c>
      <c r="F256" s="92">
        <f>SUM(F257,F264,F269,F273)</f>
        <v>0</v>
      </c>
      <c r="G256" s="92">
        <f t="shared" ref="G256:AO256" si="55">SUM(G257,G264,G269,G273)</f>
        <v>0</v>
      </c>
      <c r="H256" s="92">
        <f t="shared" si="55"/>
        <v>0</v>
      </c>
      <c r="I256" s="92">
        <f t="shared" si="55"/>
        <v>0</v>
      </c>
      <c r="J256" s="92">
        <f t="shared" si="55"/>
        <v>0</v>
      </c>
      <c r="K256" s="92">
        <f t="shared" si="55"/>
        <v>0</v>
      </c>
      <c r="L256" s="92">
        <f t="shared" si="55"/>
        <v>0</v>
      </c>
      <c r="M256" s="92">
        <f t="shared" si="55"/>
        <v>0</v>
      </c>
      <c r="N256" s="92">
        <f t="shared" si="55"/>
        <v>0</v>
      </c>
      <c r="O256" s="92">
        <f t="shared" si="55"/>
        <v>0</v>
      </c>
      <c r="P256" s="92">
        <f>SUM(P257,P264,P269,P273)</f>
        <v>0</v>
      </c>
      <c r="Q256" s="92">
        <f t="shared" si="55"/>
        <v>0</v>
      </c>
      <c r="R256" s="92">
        <f t="shared" si="55"/>
        <v>0</v>
      </c>
      <c r="S256" s="92">
        <f t="shared" si="55"/>
        <v>0</v>
      </c>
      <c r="T256" s="92"/>
      <c r="U256" s="92">
        <f t="shared" si="55"/>
        <v>0</v>
      </c>
      <c r="V256" s="92">
        <f t="shared" si="55"/>
        <v>0</v>
      </c>
      <c r="W256" s="92">
        <f t="shared" si="55"/>
        <v>0</v>
      </c>
      <c r="X256" s="92">
        <f t="shared" si="55"/>
        <v>0</v>
      </c>
      <c r="Y256" s="92">
        <f t="shared" si="55"/>
        <v>0</v>
      </c>
      <c r="Z256" s="92">
        <f t="shared" si="55"/>
        <v>0</v>
      </c>
      <c r="AA256" s="92">
        <f t="shared" si="55"/>
        <v>0</v>
      </c>
      <c r="AB256" s="92">
        <f t="shared" si="55"/>
        <v>0</v>
      </c>
      <c r="AC256" s="92">
        <f t="shared" si="55"/>
        <v>0</v>
      </c>
      <c r="AD256" s="92">
        <f t="shared" si="55"/>
        <v>0</v>
      </c>
      <c r="AE256" s="92">
        <f t="shared" si="55"/>
        <v>1.6666666666666668E-3</v>
      </c>
      <c r="AF256" s="92">
        <f t="shared" si="55"/>
        <v>7.6666666666666671E-3</v>
      </c>
      <c r="AG256" s="92">
        <f t="shared" si="55"/>
        <v>1.6666666666666668E-3</v>
      </c>
      <c r="AH256" s="92">
        <f t="shared" si="55"/>
        <v>1.6666666666666668E-3</v>
      </c>
      <c r="AI256" s="92">
        <f t="shared" si="55"/>
        <v>1.6666666666666668E-3</v>
      </c>
      <c r="AJ256" s="92">
        <f t="shared" si="55"/>
        <v>1.6666666666666668E-3</v>
      </c>
      <c r="AK256" s="92">
        <f>SUM(AK257,AK264,AK269,AK273)</f>
        <v>3.5980547782921757E-2</v>
      </c>
      <c r="AL256" s="92">
        <f>SUM(AL257,AL264,AL269,AL273)</f>
        <v>4.6762114828302906E-2</v>
      </c>
      <c r="AM256" s="92">
        <f t="shared" si="55"/>
        <v>0</v>
      </c>
      <c r="AN256" s="92">
        <f t="shared" si="55"/>
        <v>0</v>
      </c>
      <c r="AO256" s="92">
        <f t="shared" si="55"/>
        <v>0</v>
      </c>
      <c r="AP256" s="92"/>
      <c r="AQ256" s="92"/>
      <c r="AR256" s="92"/>
      <c r="AS256" s="92"/>
      <c r="AT256" s="92"/>
      <c r="AU256" s="92"/>
      <c r="AV256" s="92"/>
      <c r="AW256" s="92"/>
      <c r="AX256" s="92" t="s">
        <v>369</v>
      </c>
      <c r="AY256" s="92"/>
      <c r="AZ256" s="92">
        <f t="shared" si="44"/>
        <v>4.6762114828302906E-2</v>
      </c>
      <c r="BA256" s="42" t="str">
        <f t="shared" si="45"/>
        <v>DE women 14-50 yr</v>
      </c>
      <c r="BB256" s="42">
        <f t="shared" si="46"/>
        <v>0</v>
      </c>
      <c r="BC256" s="42" t="str">
        <f t="shared" si="47"/>
        <v/>
      </c>
    </row>
    <row r="257" spans="1:55" ht="15" customHeight="1" outlineLevel="2" x14ac:dyDescent="0.2">
      <c r="A257" s="132">
        <v>3</v>
      </c>
      <c r="B257" s="3">
        <v>631000</v>
      </c>
      <c r="C257" s="3" t="s">
        <v>74</v>
      </c>
      <c r="D257" s="80">
        <f>input_values!Z257</f>
        <v>4</v>
      </c>
      <c r="E257" s="654">
        <f>SUM(E258:E263)</f>
        <v>1.0022E-2</v>
      </c>
      <c r="F257" s="48">
        <f>SUM(F258:F263)</f>
        <v>0</v>
      </c>
      <c r="G257" s="48">
        <f t="shared" ref="G257:AO257" si="56">SUM(G258:G263)</f>
        <v>0</v>
      </c>
      <c r="H257" s="48">
        <f t="shared" si="56"/>
        <v>0</v>
      </c>
      <c r="I257" s="48">
        <f t="shared" si="56"/>
        <v>0</v>
      </c>
      <c r="J257" s="48">
        <f t="shared" si="56"/>
        <v>0</v>
      </c>
      <c r="K257" s="48">
        <f t="shared" si="56"/>
        <v>0</v>
      </c>
      <c r="L257" s="48">
        <f t="shared" si="56"/>
        <v>0</v>
      </c>
      <c r="M257" s="48">
        <f t="shared" si="56"/>
        <v>0</v>
      </c>
      <c r="N257" s="48">
        <f t="shared" si="56"/>
        <v>0</v>
      </c>
      <c r="O257" s="48">
        <f t="shared" si="56"/>
        <v>0</v>
      </c>
      <c r="P257" s="48">
        <f>SUM(P258:P263)</f>
        <v>0</v>
      </c>
      <c r="Q257" s="48">
        <f t="shared" si="56"/>
        <v>0</v>
      </c>
      <c r="R257" s="48">
        <f t="shared" si="56"/>
        <v>0</v>
      </c>
      <c r="S257" s="48">
        <f t="shared" si="56"/>
        <v>0</v>
      </c>
      <c r="T257" s="48"/>
      <c r="U257" s="48">
        <f t="shared" si="56"/>
        <v>0</v>
      </c>
      <c r="V257" s="48">
        <f t="shared" si="56"/>
        <v>0</v>
      </c>
      <c r="W257" s="48">
        <f t="shared" si="56"/>
        <v>0</v>
      </c>
      <c r="X257" s="48">
        <f t="shared" si="56"/>
        <v>0</v>
      </c>
      <c r="Y257" s="48">
        <f t="shared" si="56"/>
        <v>0</v>
      </c>
      <c r="Z257" s="48">
        <f t="shared" si="56"/>
        <v>0</v>
      </c>
      <c r="AA257" s="48">
        <f t="shared" si="56"/>
        <v>0</v>
      </c>
      <c r="AB257" s="48">
        <f t="shared" si="56"/>
        <v>0</v>
      </c>
      <c r="AC257" s="48">
        <f t="shared" si="56"/>
        <v>0</v>
      </c>
      <c r="AD257" s="48">
        <f t="shared" si="56"/>
        <v>0</v>
      </c>
      <c r="AE257" s="48">
        <f t="shared" si="56"/>
        <v>0</v>
      </c>
      <c r="AF257" s="48">
        <f t="shared" si="56"/>
        <v>0</v>
      </c>
      <c r="AG257" s="48">
        <f t="shared" si="56"/>
        <v>0</v>
      </c>
      <c r="AH257" s="48">
        <f t="shared" si="56"/>
        <v>0</v>
      </c>
      <c r="AI257" s="48">
        <f t="shared" si="56"/>
        <v>0</v>
      </c>
      <c r="AJ257" s="48">
        <f t="shared" si="56"/>
        <v>0</v>
      </c>
      <c r="AK257" s="48">
        <f>SUM(AK258:AK263)</f>
        <v>8.8969685842964618E-3</v>
      </c>
      <c r="AL257" s="48">
        <f>SUM(AL258:AL263)</f>
        <v>1.2311441361425174E-2</v>
      </c>
      <c r="AM257" s="48">
        <f t="shared" si="56"/>
        <v>0</v>
      </c>
      <c r="AN257" s="48">
        <f t="shared" si="56"/>
        <v>0</v>
      </c>
      <c r="AO257" s="48">
        <f t="shared" si="56"/>
        <v>0</v>
      </c>
      <c r="AP257" s="48"/>
      <c r="AQ257" s="48"/>
      <c r="AR257" s="48"/>
      <c r="AS257" s="48"/>
      <c r="AT257" s="48"/>
      <c r="AU257" s="48"/>
      <c r="AV257" s="48"/>
      <c r="AW257" s="48"/>
      <c r="AX257" s="48" t="s">
        <v>369</v>
      </c>
      <c r="AY257" s="48"/>
      <c r="AZ257" s="48">
        <f t="shared" si="44"/>
        <v>1.2311441361425174E-2</v>
      </c>
      <c r="BA257" s="4" t="str">
        <f t="shared" si="45"/>
        <v>DE women 14-50 yr</v>
      </c>
      <c r="BB257" s="4">
        <f t="shared" si="46"/>
        <v>0</v>
      </c>
      <c r="BC257" s="4" t="str">
        <f t="shared" si="47"/>
        <v/>
      </c>
    </row>
    <row r="258" spans="1:55" ht="15" customHeight="1" outlineLevel="3" x14ac:dyDescent="0.2">
      <c r="A258" s="39">
        <v>4</v>
      </c>
      <c r="B258" s="23">
        <v>631010</v>
      </c>
      <c r="C258" s="23" t="s">
        <v>767</v>
      </c>
      <c r="D258" s="22">
        <f>input_values!Z258</f>
        <v>4</v>
      </c>
      <c r="E258" s="657">
        <v>0</v>
      </c>
      <c r="F258" s="31">
        <v>0</v>
      </c>
      <c r="G258" s="31">
        <v>0</v>
      </c>
      <c r="H258" s="31">
        <v>0</v>
      </c>
      <c r="I258" s="31">
        <v>0</v>
      </c>
      <c r="J258" s="31">
        <v>0</v>
      </c>
      <c r="K258" s="31">
        <v>0</v>
      </c>
      <c r="L258" s="31">
        <v>0</v>
      </c>
      <c r="M258" s="31">
        <v>0</v>
      </c>
      <c r="N258" s="31">
        <v>0</v>
      </c>
      <c r="O258" s="31">
        <v>0</v>
      </c>
      <c r="P258" s="31">
        <v>0</v>
      </c>
      <c r="Q258" s="31">
        <v>0</v>
      </c>
      <c r="R258" s="587"/>
      <c r="S258" s="31">
        <v>0</v>
      </c>
      <c r="T258" s="31"/>
      <c r="U258" s="31">
        <v>0</v>
      </c>
      <c r="V258" s="31">
        <v>0</v>
      </c>
      <c r="W258" s="31">
        <v>0</v>
      </c>
      <c r="X258" s="31">
        <v>0</v>
      </c>
      <c r="Y258" s="31">
        <v>0</v>
      </c>
      <c r="Z258" s="31">
        <v>0</v>
      </c>
      <c r="AA258" s="31">
        <v>0</v>
      </c>
      <c r="AB258" s="31">
        <v>0</v>
      </c>
      <c r="AC258" s="31">
        <v>0</v>
      </c>
      <c r="AD258" s="31">
        <v>0</v>
      </c>
      <c r="AE258" s="31"/>
      <c r="AF258" s="31"/>
      <c r="AG258" s="31"/>
      <c r="AH258" s="31"/>
      <c r="AI258" s="31"/>
      <c r="AJ258" s="31"/>
      <c r="AK258" s="663">
        <v>0</v>
      </c>
      <c r="AL258" s="663">
        <v>0</v>
      </c>
      <c r="AM258" s="31">
        <v>0</v>
      </c>
      <c r="AN258" s="584"/>
      <c r="AO258" s="584"/>
      <c r="AP258" s="663"/>
      <c r="AQ258" s="31"/>
      <c r="AR258" s="31"/>
      <c r="AS258" s="31"/>
      <c r="AT258" s="31"/>
      <c r="AU258" s="31"/>
      <c r="AV258" s="31"/>
      <c r="AW258" s="31"/>
      <c r="AX258" s="31"/>
      <c r="AY258" s="31"/>
      <c r="AZ258" s="31">
        <f t="shared" si="44"/>
        <v>0</v>
      </c>
      <c r="BA258" s="25" t="str">
        <f t="shared" si="45"/>
        <v>DE child</v>
      </c>
      <c r="BB258" s="25">
        <f t="shared" si="46"/>
        <v>0</v>
      </c>
      <c r="BC258" s="25" t="str">
        <f t="shared" si="47"/>
        <v/>
      </c>
    </row>
    <row r="259" spans="1:55" ht="15" customHeight="1" outlineLevel="3" x14ac:dyDescent="0.2">
      <c r="A259" s="39">
        <v>4</v>
      </c>
      <c r="B259" s="23">
        <v>631020</v>
      </c>
      <c r="C259" s="23" t="s">
        <v>768</v>
      </c>
      <c r="D259" s="22">
        <f>input_values!Z259</f>
        <v>4</v>
      </c>
      <c r="E259" s="657">
        <v>0</v>
      </c>
      <c r="F259" s="31">
        <v>0</v>
      </c>
      <c r="G259" s="31">
        <v>0</v>
      </c>
      <c r="H259" s="31">
        <v>0</v>
      </c>
      <c r="I259" s="31">
        <v>0</v>
      </c>
      <c r="J259" s="31">
        <v>0</v>
      </c>
      <c r="K259" s="31">
        <v>0</v>
      </c>
      <c r="L259" s="31">
        <v>0</v>
      </c>
      <c r="M259" s="31">
        <v>0</v>
      </c>
      <c r="N259" s="31">
        <v>0</v>
      </c>
      <c r="O259" s="31">
        <v>0</v>
      </c>
      <c r="P259" s="31">
        <v>0</v>
      </c>
      <c r="Q259" s="31">
        <v>0</v>
      </c>
      <c r="R259" s="587"/>
      <c r="S259" s="31">
        <v>0</v>
      </c>
      <c r="T259" s="31"/>
      <c r="U259" s="31">
        <v>0</v>
      </c>
      <c r="V259" s="31">
        <v>0</v>
      </c>
      <c r="W259" s="31">
        <v>0</v>
      </c>
      <c r="X259" s="31">
        <v>0</v>
      </c>
      <c r="Y259" s="31">
        <v>0</v>
      </c>
      <c r="Z259" s="31">
        <v>0</v>
      </c>
      <c r="AA259" s="31">
        <v>0</v>
      </c>
      <c r="AB259" s="31">
        <v>0</v>
      </c>
      <c r="AC259" s="31">
        <v>0</v>
      </c>
      <c r="AD259" s="31">
        <v>0</v>
      </c>
      <c r="AE259" s="31"/>
      <c r="AF259" s="31"/>
      <c r="AG259" s="31"/>
      <c r="AH259" s="31"/>
      <c r="AI259" s="31"/>
      <c r="AJ259" s="31"/>
      <c r="AK259" s="663">
        <v>8.8969685842964618E-3</v>
      </c>
      <c r="AL259" s="663">
        <v>1.2311441361425174E-2</v>
      </c>
      <c r="AM259" s="31">
        <v>0</v>
      </c>
      <c r="AN259" s="584"/>
      <c r="AO259" s="584"/>
      <c r="AP259" s="663"/>
      <c r="AQ259" s="31"/>
      <c r="AR259" s="31"/>
      <c r="AS259" s="31"/>
      <c r="AT259" s="31"/>
      <c r="AU259" s="31"/>
      <c r="AV259" s="31"/>
      <c r="AW259" s="31"/>
      <c r="AX259" s="31"/>
      <c r="AY259" s="31"/>
      <c r="AZ259" s="31">
        <f t="shared" si="44"/>
        <v>1.2311441361425174E-2</v>
      </c>
      <c r="BA259" s="25" t="str">
        <f t="shared" si="45"/>
        <v>DE women 14-50 yr</v>
      </c>
      <c r="BB259" s="25">
        <f t="shared" si="46"/>
        <v>0</v>
      </c>
      <c r="BC259" s="25" t="str">
        <f t="shared" si="47"/>
        <v/>
      </c>
    </row>
    <row r="260" spans="1:55" ht="15" customHeight="1" outlineLevel="3" x14ac:dyDescent="0.2">
      <c r="A260" s="39">
        <v>4</v>
      </c>
      <c r="B260" s="23">
        <v>631030</v>
      </c>
      <c r="C260" s="23" t="s">
        <v>769</v>
      </c>
      <c r="D260" s="22">
        <f>input_values!Z260</f>
        <v>4</v>
      </c>
      <c r="E260" s="657">
        <v>0</v>
      </c>
      <c r="F260" s="31">
        <v>0</v>
      </c>
      <c r="G260" s="31">
        <v>0</v>
      </c>
      <c r="H260" s="31">
        <v>0</v>
      </c>
      <c r="I260" s="31">
        <v>0</v>
      </c>
      <c r="J260" s="31">
        <v>0</v>
      </c>
      <c r="K260" s="31">
        <v>0</v>
      </c>
      <c r="L260" s="31">
        <v>0</v>
      </c>
      <c r="M260" s="31">
        <v>0</v>
      </c>
      <c r="N260" s="31">
        <v>0</v>
      </c>
      <c r="O260" s="31">
        <v>0</v>
      </c>
      <c r="P260" s="31">
        <v>0</v>
      </c>
      <c r="Q260" s="31">
        <v>0</v>
      </c>
      <c r="R260" s="587"/>
      <c r="S260" s="31">
        <v>0</v>
      </c>
      <c r="T260" s="31"/>
      <c r="U260" s="31">
        <v>0</v>
      </c>
      <c r="V260" s="31">
        <v>0</v>
      </c>
      <c r="W260" s="31">
        <v>0</v>
      </c>
      <c r="X260" s="31">
        <v>0</v>
      </c>
      <c r="Y260" s="31">
        <v>0</v>
      </c>
      <c r="Z260" s="31">
        <v>0</v>
      </c>
      <c r="AA260" s="31">
        <v>0</v>
      </c>
      <c r="AB260" s="31">
        <v>0</v>
      </c>
      <c r="AC260" s="31">
        <v>0</v>
      </c>
      <c r="AD260" s="31">
        <v>0</v>
      </c>
      <c r="AE260" s="31"/>
      <c r="AF260" s="31"/>
      <c r="AG260" s="31"/>
      <c r="AH260" s="31"/>
      <c r="AI260" s="31"/>
      <c r="AJ260" s="31"/>
      <c r="AK260" s="663">
        <v>0</v>
      </c>
      <c r="AL260" s="663">
        <v>0</v>
      </c>
      <c r="AM260" s="31">
        <v>0</v>
      </c>
      <c r="AN260" s="584"/>
      <c r="AO260" s="584"/>
      <c r="AP260" s="663"/>
      <c r="AQ260" s="31"/>
      <c r="AR260" s="31"/>
      <c r="AS260" s="31"/>
      <c r="AT260" s="31"/>
      <c r="AU260" s="31"/>
      <c r="AV260" s="31"/>
      <c r="AW260" s="31"/>
      <c r="AX260" s="31"/>
      <c r="AY260" s="31"/>
      <c r="AZ260" s="31">
        <f t="shared" si="44"/>
        <v>0</v>
      </c>
      <c r="BA260" s="25" t="str">
        <f t="shared" si="45"/>
        <v>DE child</v>
      </c>
      <c r="BB260" s="25">
        <f t="shared" si="46"/>
        <v>0</v>
      </c>
      <c r="BC260" s="25" t="str">
        <f t="shared" si="47"/>
        <v/>
      </c>
    </row>
    <row r="261" spans="1:55" ht="15" customHeight="1" outlineLevel="3" x14ac:dyDescent="0.2">
      <c r="A261" s="39">
        <v>4</v>
      </c>
      <c r="B261" s="23">
        <v>631040</v>
      </c>
      <c r="C261" s="23" t="s">
        <v>770</v>
      </c>
      <c r="D261" s="22">
        <f>input_values!Z261</f>
        <v>4</v>
      </c>
      <c r="E261" s="657">
        <v>0</v>
      </c>
      <c r="F261" s="31">
        <v>0</v>
      </c>
      <c r="G261" s="31">
        <v>0</v>
      </c>
      <c r="H261" s="31">
        <v>0</v>
      </c>
      <c r="I261" s="31">
        <v>0</v>
      </c>
      <c r="J261" s="31">
        <v>0</v>
      </c>
      <c r="K261" s="31">
        <v>0</v>
      </c>
      <c r="L261" s="31">
        <v>0</v>
      </c>
      <c r="M261" s="31">
        <v>0</v>
      </c>
      <c r="N261" s="31">
        <v>0</v>
      </c>
      <c r="O261" s="31">
        <v>0</v>
      </c>
      <c r="P261" s="31">
        <v>0</v>
      </c>
      <c r="Q261" s="31">
        <v>0</v>
      </c>
      <c r="R261" s="587"/>
      <c r="S261" s="31">
        <v>0</v>
      </c>
      <c r="T261" s="31"/>
      <c r="U261" s="31">
        <v>0</v>
      </c>
      <c r="V261" s="31">
        <v>0</v>
      </c>
      <c r="W261" s="31">
        <v>0</v>
      </c>
      <c r="X261" s="31">
        <v>0</v>
      </c>
      <c r="Y261" s="31">
        <v>0</v>
      </c>
      <c r="Z261" s="31">
        <v>0</v>
      </c>
      <c r="AA261" s="31">
        <v>0</v>
      </c>
      <c r="AB261" s="31">
        <v>0</v>
      </c>
      <c r="AC261" s="31">
        <v>0</v>
      </c>
      <c r="AD261" s="31">
        <v>0</v>
      </c>
      <c r="AE261" s="31"/>
      <c r="AF261" s="31"/>
      <c r="AG261" s="31"/>
      <c r="AH261" s="31"/>
      <c r="AI261" s="31"/>
      <c r="AJ261" s="31"/>
      <c r="AK261" s="663">
        <v>0</v>
      </c>
      <c r="AL261" s="663">
        <v>0</v>
      </c>
      <c r="AM261" s="31">
        <v>0</v>
      </c>
      <c r="AN261" s="584"/>
      <c r="AO261" s="584"/>
      <c r="AP261" s="663"/>
      <c r="AQ261" s="31"/>
      <c r="AR261" s="31"/>
      <c r="AS261" s="31"/>
      <c r="AT261" s="31"/>
      <c r="AU261" s="31"/>
      <c r="AV261" s="31"/>
      <c r="AW261" s="31"/>
      <c r="AX261" s="31"/>
      <c r="AY261" s="31"/>
      <c r="AZ261" s="31">
        <f t="shared" si="44"/>
        <v>0</v>
      </c>
      <c r="BA261" s="25" t="str">
        <f t="shared" si="45"/>
        <v>DE child</v>
      </c>
      <c r="BB261" s="25">
        <f t="shared" si="46"/>
        <v>0</v>
      </c>
      <c r="BC261" s="25" t="str">
        <f t="shared" si="47"/>
        <v/>
      </c>
    </row>
    <row r="262" spans="1:55" ht="15" customHeight="1" outlineLevel="3" x14ac:dyDescent="0.2">
      <c r="A262" s="39">
        <v>4</v>
      </c>
      <c r="B262" s="23">
        <v>631050</v>
      </c>
      <c r="C262" s="23" t="s">
        <v>766</v>
      </c>
      <c r="D262" s="22">
        <f>input_values!Z262</f>
        <v>4</v>
      </c>
      <c r="E262" s="657">
        <v>0</v>
      </c>
      <c r="F262" s="31">
        <v>0</v>
      </c>
      <c r="G262" s="31">
        <v>0</v>
      </c>
      <c r="H262" s="31">
        <v>0</v>
      </c>
      <c r="I262" s="31">
        <v>0</v>
      </c>
      <c r="J262" s="31">
        <v>0</v>
      </c>
      <c r="K262" s="31">
        <v>0</v>
      </c>
      <c r="L262" s="31">
        <v>0</v>
      </c>
      <c r="M262" s="31">
        <v>0</v>
      </c>
      <c r="N262" s="31">
        <v>0</v>
      </c>
      <c r="O262" s="31">
        <v>0</v>
      </c>
      <c r="P262" s="31">
        <v>0</v>
      </c>
      <c r="Q262" s="31">
        <v>0</v>
      </c>
      <c r="R262" s="587"/>
      <c r="S262" s="31">
        <v>0</v>
      </c>
      <c r="T262" s="31"/>
      <c r="U262" s="31">
        <v>0</v>
      </c>
      <c r="V262" s="31">
        <v>0</v>
      </c>
      <c r="W262" s="31">
        <v>0</v>
      </c>
      <c r="X262" s="31">
        <v>0</v>
      </c>
      <c r="Y262" s="31">
        <v>0</v>
      </c>
      <c r="Z262" s="31">
        <v>0</v>
      </c>
      <c r="AA262" s="31">
        <v>0</v>
      </c>
      <c r="AB262" s="31">
        <v>0</v>
      </c>
      <c r="AC262" s="31">
        <v>0</v>
      </c>
      <c r="AD262" s="31">
        <v>0</v>
      </c>
      <c r="AE262" s="31"/>
      <c r="AF262" s="31"/>
      <c r="AG262" s="31"/>
      <c r="AH262" s="31"/>
      <c r="AI262" s="31"/>
      <c r="AJ262" s="31"/>
      <c r="AK262" s="663">
        <v>0</v>
      </c>
      <c r="AL262" s="663">
        <v>0</v>
      </c>
      <c r="AM262" s="31">
        <v>0</v>
      </c>
      <c r="AN262" s="584"/>
      <c r="AO262" s="584"/>
      <c r="AP262" s="663"/>
      <c r="AQ262" s="31"/>
      <c r="AR262" s="31"/>
      <c r="AS262" s="31"/>
      <c r="AT262" s="31"/>
      <c r="AU262" s="31"/>
      <c r="AV262" s="31"/>
      <c r="AW262" s="31"/>
      <c r="AX262" s="31"/>
      <c r="AY262" s="31"/>
      <c r="AZ262" s="31">
        <f t="shared" si="44"/>
        <v>0</v>
      </c>
      <c r="BA262" s="25" t="str">
        <f t="shared" si="45"/>
        <v>DE child</v>
      </c>
      <c r="BB262" s="25">
        <f t="shared" si="46"/>
        <v>0</v>
      </c>
      <c r="BC262" s="25" t="str">
        <f t="shared" si="47"/>
        <v/>
      </c>
    </row>
    <row r="263" spans="1:55" ht="15" customHeight="1" outlineLevel="3" x14ac:dyDescent="0.2">
      <c r="A263" s="39">
        <v>4</v>
      </c>
      <c r="B263" s="23">
        <v>631990</v>
      </c>
      <c r="C263" s="23" t="s">
        <v>180</v>
      </c>
      <c r="D263" s="22">
        <f>input_values!Z263</f>
        <v>4</v>
      </c>
      <c r="E263" s="657">
        <v>1.0022E-2</v>
      </c>
      <c r="F263" s="31"/>
      <c r="G263" s="31">
        <v>0</v>
      </c>
      <c r="H263" s="31">
        <v>0</v>
      </c>
      <c r="I263" s="31">
        <v>0</v>
      </c>
      <c r="J263" s="31">
        <v>0</v>
      </c>
      <c r="K263" s="31">
        <v>0</v>
      </c>
      <c r="L263" s="31">
        <v>0</v>
      </c>
      <c r="M263" s="31">
        <v>0</v>
      </c>
      <c r="N263" s="31">
        <v>0</v>
      </c>
      <c r="O263" s="31">
        <v>0</v>
      </c>
      <c r="P263" s="31">
        <v>0</v>
      </c>
      <c r="Q263" s="31">
        <v>0</v>
      </c>
      <c r="R263" s="587"/>
      <c r="S263" s="31">
        <v>0</v>
      </c>
      <c r="T263" s="31"/>
      <c r="U263" s="31">
        <v>0</v>
      </c>
      <c r="V263" s="31">
        <v>0</v>
      </c>
      <c r="W263" s="31">
        <v>0</v>
      </c>
      <c r="X263" s="31">
        <v>0</v>
      </c>
      <c r="Y263" s="31">
        <v>0</v>
      </c>
      <c r="Z263" s="31">
        <v>0</v>
      </c>
      <c r="AA263" s="31">
        <v>0</v>
      </c>
      <c r="AB263" s="31">
        <v>0</v>
      </c>
      <c r="AC263" s="31">
        <v>0</v>
      </c>
      <c r="AD263" s="31">
        <v>0</v>
      </c>
      <c r="AE263" s="31"/>
      <c r="AF263" s="31"/>
      <c r="AG263" s="31"/>
      <c r="AH263" s="31"/>
      <c r="AI263" s="31"/>
      <c r="AJ263" s="31"/>
      <c r="AK263" s="663">
        <v>0</v>
      </c>
      <c r="AL263" s="663">
        <v>0</v>
      </c>
      <c r="AM263" s="31">
        <v>0</v>
      </c>
      <c r="AN263" s="584"/>
      <c r="AO263" s="584"/>
      <c r="AP263" s="663"/>
      <c r="AQ263" s="31"/>
      <c r="AR263" s="31"/>
      <c r="AS263" s="31"/>
      <c r="AT263" s="31"/>
      <c r="AU263" s="31"/>
      <c r="AV263" s="31"/>
      <c r="AW263" s="31"/>
      <c r="AX263" s="31"/>
      <c r="AY263" s="31"/>
      <c r="AZ263" s="31">
        <f t="shared" si="44"/>
        <v>1.0022E-2</v>
      </c>
      <c r="BA263" s="25" t="str">
        <f t="shared" si="45"/>
        <v>DE child</v>
      </c>
      <c r="BB263" s="25">
        <f t="shared" si="46"/>
        <v>0</v>
      </c>
      <c r="BC263" s="25" t="str">
        <f t="shared" si="47"/>
        <v/>
      </c>
    </row>
    <row r="264" spans="1:55" ht="15" customHeight="1" outlineLevel="2" x14ac:dyDescent="0.2">
      <c r="A264" s="132">
        <v>3</v>
      </c>
      <c r="B264" s="3">
        <v>632000</v>
      </c>
      <c r="C264" s="3" t="s">
        <v>75</v>
      </c>
      <c r="D264" s="80">
        <f>input_values!Z264</f>
        <v>4</v>
      </c>
      <c r="E264" s="654">
        <f>SUM(E265:E268)</f>
        <v>1.0023000000000001E-2</v>
      </c>
      <c r="F264" s="48">
        <f t="shared" ref="F264:AO264" si="57">SUM(F265:F268)</f>
        <v>0</v>
      </c>
      <c r="G264" s="48">
        <f t="shared" si="57"/>
        <v>0</v>
      </c>
      <c r="H264" s="48">
        <f t="shared" si="57"/>
        <v>0</v>
      </c>
      <c r="I264" s="48">
        <f t="shared" si="57"/>
        <v>0</v>
      </c>
      <c r="J264" s="48">
        <f t="shared" si="57"/>
        <v>0</v>
      </c>
      <c r="K264" s="48">
        <f t="shared" si="57"/>
        <v>0</v>
      </c>
      <c r="L264" s="48">
        <f t="shared" si="57"/>
        <v>0</v>
      </c>
      <c r="M264" s="48">
        <f t="shared" si="57"/>
        <v>0</v>
      </c>
      <c r="N264" s="48">
        <f t="shared" si="57"/>
        <v>0</v>
      </c>
      <c r="O264" s="48">
        <f t="shared" si="57"/>
        <v>0</v>
      </c>
      <c r="P264" s="48">
        <f t="shared" si="57"/>
        <v>0</v>
      </c>
      <c r="Q264" s="48">
        <f t="shared" si="57"/>
        <v>0</v>
      </c>
      <c r="R264" s="48">
        <f t="shared" si="57"/>
        <v>0</v>
      </c>
      <c r="S264" s="48">
        <f t="shared" si="57"/>
        <v>0</v>
      </c>
      <c r="T264" s="48"/>
      <c r="U264" s="48">
        <f t="shared" si="57"/>
        <v>0</v>
      </c>
      <c r="V264" s="48">
        <f t="shared" si="57"/>
        <v>0</v>
      </c>
      <c r="W264" s="48">
        <f t="shared" si="57"/>
        <v>0</v>
      </c>
      <c r="X264" s="48">
        <f t="shared" si="57"/>
        <v>0</v>
      </c>
      <c r="Y264" s="48">
        <f t="shared" si="57"/>
        <v>0</v>
      </c>
      <c r="Z264" s="48">
        <f t="shared" si="57"/>
        <v>0</v>
      </c>
      <c r="AA264" s="48">
        <f t="shared" si="57"/>
        <v>0</v>
      </c>
      <c r="AB264" s="48">
        <f t="shared" si="57"/>
        <v>0</v>
      </c>
      <c r="AC264" s="48">
        <f t="shared" si="57"/>
        <v>0</v>
      </c>
      <c r="AD264" s="48">
        <f t="shared" si="57"/>
        <v>0</v>
      </c>
      <c r="AE264" s="48">
        <f t="shared" si="57"/>
        <v>1.6666666666666668E-3</v>
      </c>
      <c r="AF264" s="48">
        <f t="shared" si="57"/>
        <v>7.6666666666666671E-3</v>
      </c>
      <c r="AG264" s="48">
        <f t="shared" si="57"/>
        <v>1.6666666666666668E-3</v>
      </c>
      <c r="AH264" s="48">
        <f t="shared" si="57"/>
        <v>1.6666666666666668E-3</v>
      </c>
      <c r="AI264" s="48">
        <f t="shared" si="57"/>
        <v>1.6666666666666668E-3</v>
      </c>
      <c r="AJ264" s="48">
        <f t="shared" si="57"/>
        <v>1.6666666666666668E-3</v>
      </c>
      <c r="AK264" s="48">
        <f t="shared" si="57"/>
        <v>3.2788729820839918E-3</v>
      </c>
      <c r="AL264" s="48">
        <f t="shared" si="57"/>
        <v>4.4924763866758585E-3</v>
      </c>
      <c r="AM264" s="48">
        <f t="shared" si="57"/>
        <v>0</v>
      </c>
      <c r="AN264" s="48">
        <f t="shared" si="57"/>
        <v>0</v>
      </c>
      <c r="AO264" s="48">
        <f t="shared" si="57"/>
        <v>0</v>
      </c>
      <c r="AP264" s="48"/>
      <c r="AQ264" s="48"/>
      <c r="AR264" s="48"/>
      <c r="AS264" s="48"/>
      <c r="AT264" s="48"/>
      <c r="AU264" s="48"/>
      <c r="AV264" s="48"/>
      <c r="AW264" s="48"/>
      <c r="AX264" s="48" t="s">
        <v>369</v>
      </c>
      <c r="AY264" s="48"/>
      <c r="AZ264" s="48">
        <f t="shared" si="44"/>
        <v>1.0023000000000001E-2</v>
      </c>
      <c r="BA264" s="4" t="str">
        <f t="shared" si="45"/>
        <v>DE child</v>
      </c>
      <c r="BB264" s="4">
        <f t="shared" si="46"/>
        <v>0</v>
      </c>
      <c r="BC264" s="4" t="str">
        <f t="shared" si="47"/>
        <v/>
      </c>
    </row>
    <row r="265" spans="1:55" ht="15" customHeight="1" outlineLevel="3" x14ac:dyDescent="0.2">
      <c r="A265" s="39">
        <v>4</v>
      </c>
      <c r="B265" s="23">
        <v>632010</v>
      </c>
      <c r="C265" s="23" t="s">
        <v>162</v>
      </c>
      <c r="D265" s="22">
        <f>input_values!Z265</f>
        <v>4</v>
      </c>
      <c r="E265" s="657">
        <v>0</v>
      </c>
      <c r="F265" s="31">
        <v>0</v>
      </c>
      <c r="G265" s="31">
        <v>0</v>
      </c>
      <c r="H265" s="31">
        <v>0</v>
      </c>
      <c r="I265" s="31">
        <v>0</v>
      </c>
      <c r="J265" s="31">
        <v>0</v>
      </c>
      <c r="K265" s="31">
        <v>0</v>
      </c>
      <c r="L265" s="31">
        <v>0</v>
      </c>
      <c r="M265" s="31">
        <v>0</v>
      </c>
      <c r="N265" s="31">
        <v>0</v>
      </c>
      <c r="O265" s="31">
        <v>0</v>
      </c>
      <c r="P265" s="31">
        <v>0</v>
      </c>
      <c r="Q265" s="31">
        <v>0</v>
      </c>
      <c r="R265" s="587"/>
      <c r="S265" s="31">
        <v>0</v>
      </c>
      <c r="T265" s="31"/>
      <c r="U265" s="31">
        <v>0</v>
      </c>
      <c r="V265" s="31">
        <v>0</v>
      </c>
      <c r="W265" s="31">
        <v>0</v>
      </c>
      <c r="X265" s="31">
        <v>0</v>
      </c>
      <c r="Y265" s="31">
        <v>0</v>
      </c>
      <c r="Z265" s="31">
        <v>0</v>
      </c>
      <c r="AA265" s="31">
        <v>0</v>
      </c>
      <c r="AB265" s="31">
        <v>0</v>
      </c>
      <c r="AC265" s="31">
        <v>0</v>
      </c>
      <c r="AD265" s="31">
        <v>0</v>
      </c>
      <c r="AE265" s="31"/>
      <c r="AF265" s="31"/>
      <c r="AG265" s="31"/>
      <c r="AH265" s="31"/>
      <c r="AI265" s="31"/>
      <c r="AJ265" s="31"/>
      <c r="AK265" s="663">
        <v>0</v>
      </c>
      <c r="AL265" s="663">
        <v>0</v>
      </c>
      <c r="AM265" s="31">
        <v>0</v>
      </c>
      <c r="AN265" s="584"/>
      <c r="AO265" s="584"/>
      <c r="AP265" s="663"/>
      <c r="AQ265" s="31"/>
      <c r="AR265" s="31"/>
      <c r="AS265" s="31"/>
      <c r="AT265" s="31"/>
      <c r="AU265" s="31"/>
      <c r="AV265" s="31"/>
      <c r="AW265" s="31"/>
      <c r="AX265" s="31"/>
      <c r="AY265" s="31"/>
      <c r="AZ265" s="31">
        <f t="shared" si="44"/>
        <v>0</v>
      </c>
      <c r="BA265" s="25" t="str">
        <f t="shared" si="45"/>
        <v>DE child</v>
      </c>
      <c r="BB265" s="25">
        <f t="shared" si="46"/>
        <v>0</v>
      </c>
      <c r="BC265" s="25" t="str">
        <f t="shared" si="47"/>
        <v/>
      </c>
    </row>
    <row r="266" spans="1:55" ht="15" customHeight="1" outlineLevel="3" x14ac:dyDescent="0.2">
      <c r="A266" s="39">
        <v>4</v>
      </c>
      <c r="B266" s="23">
        <v>632020</v>
      </c>
      <c r="C266" s="23" t="s">
        <v>771</v>
      </c>
      <c r="D266" s="22">
        <f>input_values!Z266</f>
        <v>4</v>
      </c>
      <c r="E266" s="657">
        <v>0</v>
      </c>
      <c r="F266" s="31">
        <v>0</v>
      </c>
      <c r="G266" s="31">
        <v>0</v>
      </c>
      <c r="H266" s="31">
        <v>0</v>
      </c>
      <c r="I266" s="31">
        <v>0</v>
      </c>
      <c r="J266" s="31">
        <v>0</v>
      </c>
      <c r="K266" s="31">
        <v>0</v>
      </c>
      <c r="L266" s="31">
        <v>0</v>
      </c>
      <c r="M266" s="31">
        <v>0</v>
      </c>
      <c r="N266" s="31">
        <v>0</v>
      </c>
      <c r="O266" s="31">
        <v>0</v>
      </c>
      <c r="P266" s="31">
        <v>0</v>
      </c>
      <c r="Q266" s="31">
        <v>0</v>
      </c>
      <c r="R266" s="587"/>
      <c r="S266" s="31">
        <v>0</v>
      </c>
      <c r="T266" s="31"/>
      <c r="U266" s="31">
        <v>0</v>
      </c>
      <c r="V266" s="31">
        <v>0</v>
      </c>
      <c r="W266" s="31">
        <v>0</v>
      </c>
      <c r="X266" s="31">
        <v>0</v>
      </c>
      <c r="Y266" s="31">
        <v>0</v>
      </c>
      <c r="Z266" s="31">
        <v>0</v>
      </c>
      <c r="AA266" s="31">
        <v>0</v>
      </c>
      <c r="AB266" s="31">
        <v>0</v>
      </c>
      <c r="AC266" s="31">
        <v>0</v>
      </c>
      <c r="AD266" s="31">
        <v>0</v>
      </c>
      <c r="AE266" s="31"/>
      <c r="AF266" s="31"/>
      <c r="AG266" s="31"/>
      <c r="AH266" s="31"/>
      <c r="AI266" s="31"/>
      <c r="AJ266" s="31"/>
      <c r="AK266" s="663">
        <v>3.1623385741854737E-3</v>
      </c>
      <c r="AL266" s="663">
        <v>4.4136189579321158E-3</v>
      </c>
      <c r="AM266" s="31">
        <v>0</v>
      </c>
      <c r="AN266" s="584"/>
      <c r="AO266" s="584"/>
      <c r="AP266" s="663"/>
      <c r="AQ266" s="31"/>
      <c r="AR266" s="31"/>
      <c r="AS266" s="31"/>
      <c r="AT266" s="31"/>
      <c r="AU266" s="31"/>
      <c r="AV266" s="31"/>
      <c r="AW266" s="31"/>
      <c r="AX266" s="31"/>
      <c r="AY266" s="31"/>
      <c r="AZ266" s="31">
        <f t="shared" si="44"/>
        <v>4.4136189579321158E-3</v>
      </c>
      <c r="BA266" s="25" t="str">
        <f t="shared" si="45"/>
        <v>DE women 14-50 yr</v>
      </c>
      <c r="BB266" s="25">
        <f t="shared" si="46"/>
        <v>0</v>
      </c>
      <c r="BC266" s="25" t="str">
        <f t="shared" si="47"/>
        <v/>
      </c>
    </row>
    <row r="267" spans="1:55" ht="15" customHeight="1" outlineLevel="3" x14ac:dyDescent="0.2">
      <c r="A267" s="39">
        <v>4</v>
      </c>
      <c r="B267" s="23">
        <v>632030</v>
      </c>
      <c r="C267" s="23" t="s">
        <v>772</v>
      </c>
      <c r="D267" s="22">
        <f>input_values!Z267</f>
        <v>4</v>
      </c>
      <c r="E267" s="657">
        <v>1.0023000000000001E-2</v>
      </c>
      <c r="F267" s="31">
        <v>0</v>
      </c>
      <c r="G267" s="31">
        <v>0</v>
      </c>
      <c r="H267" s="31">
        <v>0</v>
      </c>
      <c r="I267" s="31">
        <v>0</v>
      </c>
      <c r="J267" s="31">
        <v>0</v>
      </c>
      <c r="K267" s="31">
        <v>0</v>
      </c>
      <c r="L267" s="31">
        <v>0</v>
      </c>
      <c r="M267" s="31">
        <v>0</v>
      </c>
      <c r="N267" s="31">
        <v>0</v>
      </c>
      <c r="O267" s="31">
        <v>0</v>
      </c>
      <c r="P267" s="31">
        <v>0</v>
      </c>
      <c r="Q267" s="31">
        <v>0</v>
      </c>
      <c r="R267" s="587"/>
      <c r="S267" s="31">
        <v>0</v>
      </c>
      <c r="T267" s="31"/>
      <c r="U267" s="31">
        <v>0</v>
      </c>
      <c r="V267" s="31">
        <v>0</v>
      </c>
      <c r="W267" s="31">
        <v>0</v>
      </c>
      <c r="X267" s="31">
        <v>0</v>
      </c>
      <c r="Y267" s="31">
        <v>0</v>
      </c>
      <c r="Z267" s="31">
        <v>0</v>
      </c>
      <c r="AA267" s="31">
        <v>0</v>
      </c>
      <c r="AB267" s="31">
        <v>0</v>
      </c>
      <c r="AC267" s="31">
        <v>0</v>
      </c>
      <c r="AD267" s="31">
        <v>0</v>
      </c>
      <c r="AE267" s="31">
        <v>1.6666666666666668E-3</v>
      </c>
      <c r="AF267" s="31">
        <v>7.6666666666666671E-3</v>
      </c>
      <c r="AG267" s="31">
        <v>1.6666666666666668E-3</v>
      </c>
      <c r="AH267" s="31">
        <v>1.6666666666666668E-3</v>
      </c>
      <c r="AI267" s="31">
        <v>1.6666666666666668E-3</v>
      </c>
      <c r="AJ267" s="31">
        <v>1.6666666666666668E-3</v>
      </c>
      <c r="AK267" s="663">
        <v>1.165344078985181E-4</v>
      </c>
      <c r="AL267" s="663">
        <v>7.8857428743742976E-5</v>
      </c>
      <c r="AM267" s="31">
        <v>0</v>
      </c>
      <c r="AN267" s="584"/>
      <c r="AO267" s="584"/>
      <c r="AP267" s="663"/>
      <c r="AQ267" s="31"/>
      <c r="AR267" s="31"/>
      <c r="AS267" s="31"/>
      <c r="AT267" s="31"/>
      <c r="AU267" s="31"/>
      <c r="AV267" s="31"/>
      <c r="AW267" s="31"/>
      <c r="AX267" s="31"/>
      <c r="AY267" s="31"/>
      <c r="AZ267" s="31">
        <f t="shared" si="44"/>
        <v>1.0023000000000001E-2</v>
      </c>
      <c r="BA267" s="25" t="str">
        <f t="shared" si="45"/>
        <v>DE child</v>
      </c>
      <c r="BB267" s="25">
        <f t="shared" si="46"/>
        <v>0</v>
      </c>
      <c r="BC267" s="25" t="str">
        <f t="shared" si="47"/>
        <v/>
      </c>
    </row>
    <row r="268" spans="1:55" ht="15" customHeight="1" outlineLevel="3" x14ac:dyDescent="0.2">
      <c r="A268" s="39">
        <v>4</v>
      </c>
      <c r="B268" s="23">
        <v>632990</v>
      </c>
      <c r="C268" s="23" t="s">
        <v>181</v>
      </c>
      <c r="D268" s="22">
        <f>input_values!Z268</f>
        <v>4</v>
      </c>
      <c r="E268" s="657">
        <v>0</v>
      </c>
      <c r="F268" s="31"/>
      <c r="G268" s="31">
        <v>0</v>
      </c>
      <c r="H268" s="31">
        <v>0</v>
      </c>
      <c r="I268" s="31">
        <v>0</v>
      </c>
      <c r="J268" s="31">
        <v>0</v>
      </c>
      <c r="K268" s="31">
        <v>0</v>
      </c>
      <c r="L268" s="31">
        <v>0</v>
      </c>
      <c r="M268" s="31">
        <v>0</v>
      </c>
      <c r="N268" s="31">
        <v>0</v>
      </c>
      <c r="O268" s="31">
        <v>0</v>
      </c>
      <c r="P268" s="31">
        <v>0</v>
      </c>
      <c r="Q268" s="31">
        <v>0</v>
      </c>
      <c r="R268" s="587"/>
      <c r="S268" s="31">
        <v>0</v>
      </c>
      <c r="T268" s="31"/>
      <c r="U268" s="31">
        <v>0</v>
      </c>
      <c r="V268" s="31">
        <v>0</v>
      </c>
      <c r="W268" s="31">
        <v>0</v>
      </c>
      <c r="X268" s="31">
        <v>0</v>
      </c>
      <c r="Y268" s="31">
        <v>0</v>
      </c>
      <c r="Z268" s="31">
        <v>0</v>
      </c>
      <c r="AA268" s="31">
        <v>0</v>
      </c>
      <c r="AB268" s="31">
        <v>0</v>
      </c>
      <c r="AC268" s="31">
        <v>0</v>
      </c>
      <c r="AD268" s="31">
        <v>0</v>
      </c>
      <c r="AE268" s="31"/>
      <c r="AF268" s="31"/>
      <c r="AG268" s="31"/>
      <c r="AH268" s="31"/>
      <c r="AI268" s="31"/>
      <c r="AJ268" s="31"/>
      <c r="AK268" s="663">
        <v>0</v>
      </c>
      <c r="AL268" s="663">
        <v>0</v>
      </c>
      <c r="AM268" s="31">
        <v>0</v>
      </c>
      <c r="AN268" s="584"/>
      <c r="AO268" s="584"/>
      <c r="AP268" s="663"/>
      <c r="AQ268" s="31"/>
      <c r="AR268" s="31"/>
      <c r="AS268" s="31"/>
      <c r="AT268" s="31"/>
      <c r="AU268" s="31"/>
      <c r="AV268" s="31"/>
      <c r="AW268" s="31"/>
      <c r="AX268" s="31"/>
      <c r="AY268" s="31"/>
      <c r="AZ268" s="31">
        <f t="shared" ref="AZ268:AZ331" si="58">MAX(E268:AY268)</f>
        <v>0</v>
      </c>
      <c r="BA268" s="25" t="str">
        <f t="shared" ref="BA268:BA331" si="59">INDEX($E$11:$AY$11,MATCH(AZ268,E268:AY268,0))</f>
        <v>DE child</v>
      </c>
      <c r="BB268" s="25">
        <f t="shared" ref="BB268:BB331" si="60">MIN(E268:AY268)</f>
        <v>0</v>
      </c>
      <c r="BC268" s="25" t="str">
        <f t="shared" ref="BC268:BC331" si="61">IF(BB268=0,"",INDEX($E$11:$AY$11,MATCH(BB268,E268:AY268,0)))</f>
        <v/>
      </c>
    </row>
    <row r="269" spans="1:55" ht="15" customHeight="1" outlineLevel="2" x14ac:dyDescent="0.2">
      <c r="A269" s="132">
        <v>3</v>
      </c>
      <c r="B269" s="3">
        <v>633000</v>
      </c>
      <c r="C269" s="3" t="s">
        <v>76</v>
      </c>
      <c r="D269" s="80">
        <f>input_values!Z269</f>
        <v>4</v>
      </c>
      <c r="E269" s="654">
        <v>0</v>
      </c>
      <c r="F269" s="48">
        <f t="shared" ref="F269:AO269" si="62">SUM(F270:F272)</f>
        <v>0</v>
      </c>
      <c r="G269" s="48">
        <f t="shared" si="62"/>
        <v>0</v>
      </c>
      <c r="H269" s="48">
        <f t="shared" si="62"/>
        <v>0</v>
      </c>
      <c r="I269" s="48">
        <f t="shared" si="62"/>
        <v>0</v>
      </c>
      <c r="J269" s="48">
        <f t="shared" si="62"/>
        <v>0</v>
      </c>
      <c r="K269" s="48">
        <f t="shared" si="62"/>
        <v>0</v>
      </c>
      <c r="L269" s="48">
        <f t="shared" si="62"/>
        <v>0</v>
      </c>
      <c r="M269" s="48">
        <f t="shared" si="62"/>
        <v>0</v>
      </c>
      <c r="N269" s="48">
        <f t="shared" si="62"/>
        <v>0</v>
      </c>
      <c r="O269" s="48">
        <f t="shared" si="62"/>
        <v>0</v>
      </c>
      <c r="P269" s="48">
        <f t="shared" si="62"/>
        <v>0</v>
      </c>
      <c r="Q269" s="48">
        <f t="shared" si="62"/>
        <v>0</v>
      </c>
      <c r="R269" s="48">
        <f t="shared" si="62"/>
        <v>0</v>
      </c>
      <c r="S269" s="48">
        <f t="shared" si="62"/>
        <v>0</v>
      </c>
      <c r="T269" s="48"/>
      <c r="U269" s="48">
        <f t="shared" si="62"/>
        <v>0</v>
      </c>
      <c r="V269" s="48">
        <f t="shared" si="62"/>
        <v>0</v>
      </c>
      <c r="W269" s="48">
        <f t="shared" si="62"/>
        <v>0</v>
      </c>
      <c r="X269" s="48">
        <f t="shared" si="62"/>
        <v>0</v>
      </c>
      <c r="Y269" s="48">
        <f t="shared" si="62"/>
        <v>0</v>
      </c>
      <c r="Z269" s="48">
        <f t="shared" si="62"/>
        <v>0</v>
      </c>
      <c r="AA269" s="48">
        <f t="shared" si="62"/>
        <v>0</v>
      </c>
      <c r="AB269" s="48">
        <f t="shared" si="62"/>
        <v>0</v>
      </c>
      <c r="AC269" s="48">
        <f t="shared" si="62"/>
        <v>0</v>
      </c>
      <c r="AD269" s="48">
        <f t="shared" si="62"/>
        <v>0</v>
      </c>
      <c r="AE269" s="48">
        <f t="shared" si="62"/>
        <v>0</v>
      </c>
      <c r="AF269" s="48">
        <f t="shared" si="62"/>
        <v>0</v>
      </c>
      <c r="AG269" s="48">
        <f t="shared" si="62"/>
        <v>0</v>
      </c>
      <c r="AH269" s="48">
        <f t="shared" si="62"/>
        <v>0</v>
      </c>
      <c r="AI269" s="48">
        <f t="shared" si="62"/>
        <v>0</v>
      </c>
      <c r="AJ269" s="48">
        <f t="shared" si="62"/>
        <v>0</v>
      </c>
      <c r="AK269" s="48">
        <f t="shared" si="62"/>
        <v>0</v>
      </c>
      <c r="AL269" s="48">
        <f t="shared" si="62"/>
        <v>0</v>
      </c>
      <c r="AM269" s="48">
        <f t="shared" si="62"/>
        <v>0</v>
      </c>
      <c r="AN269" s="48">
        <f t="shared" si="62"/>
        <v>0</v>
      </c>
      <c r="AO269" s="48">
        <f t="shared" si="62"/>
        <v>0</v>
      </c>
      <c r="AP269" s="48"/>
      <c r="AQ269" s="48"/>
      <c r="AR269" s="48"/>
      <c r="AS269" s="48"/>
      <c r="AT269" s="48"/>
      <c r="AU269" s="48"/>
      <c r="AV269" s="48"/>
      <c r="AW269" s="48"/>
      <c r="AX269" s="48" t="s">
        <v>369</v>
      </c>
      <c r="AY269" s="48"/>
      <c r="AZ269" s="48">
        <f t="shared" si="58"/>
        <v>0</v>
      </c>
      <c r="BA269" s="4" t="str">
        <f t="shared" si="59"/>
        <v>DE child</v>
      </c>
      <c r="BB269" s="4">
        <f t="shared" si="60"/>
        <v>0</v>
      </c>
      <c r="BC269" s="4" t="str">
        <f t="shared" si="61"/>
        <v/>
      </c>
    </row>
    <row r="270" spans="1:55" ht="15" customHeight="1" outlineLevel="3" x14ac:dyDescent="0.2">
      <c r="A270" s="39">
        <v>4</v>
      </c>
      <c r="B270" s="23">
        <v>633010</v>
      </c>
      <c r="C270" s="23" t="s">
        <v>270</v>
      </c>
      <c r="D270" s="22">
        <f>input_values!Z270</f>
        <v>4</v>
      </c>
      <c r="E270" s="657">
        <v>0</v>
      </c>
      <c r="F270" s="31">
        <v>0</v>
      </c>
      <c r="G270" s="31">
        <v>0</v>
      </c>
      <c r="H270" s="31">
        <v>0</v>
      </c>
      <c r="I270" s="31">
        <v>0</v>
      </c>
      <c r="J270" s="31">
        <v>0</v>
      </c>
      <c r="K270" s="31">
        <v>0</v>
      </c>
      <c r="L270" s="31">
        <v>0</v>
      </c>
      <c r="M270" s="31">
        <v>0</v>
      </c>
      <c r="N270" s="31">
        <v>0</v>
      </c>
      <c r="O270" s="31">
        <v>0</v>
      </c>
      <c r="P270" s="31">
        <v>0</v>
      </c>
      <c r="Q270" s="31">
        <v>0</v>
      </c>
      <c r="R270" s="587"/>
      <c r="S270" s="31">
        <v>0</v>
      </c>
      <c r="T270" s="31"/>
      <c r="U270" s="31">
        <v>0</v>
      </c>
      <c r="V270" s="31">
        <v>0</v>
      </c>
      <c r="W270" s="31">
        <v>0</v>
      </c>
      <c r="X270" s="31">
        <v>0</v>
      </c>
      <c r="Y270" s="31">
        <v>0</v>
      </c>
      <c r="Z270" s="31">
        <v>0</v>
      </c>
      <c r="AA270" s="31">
        <v>0</v>
      </c>
      <c r="AB270" s="31">
        <v>0</v>
      </c>
      <c r="AC270" s="31">
        <v>0</v>
      </c>
      <c r="AD270" s="31">
        <v>0</v>
      </c>
      <c r="AE270" s="31"/>
      <c r="AF270" s="31"/>
      <c r="AG270" s="31"/>
      <c r="AH270" s="31"/>
      <c r="AI270" s="31"/>
      <c r="AJ270" s="31"/>
      <c r="AK270" s="663">
        <v>0</v>
      </c>
      <c r="AL270" s="663">
        <v>0</v>
      </c>
      <c r="AM270" s="31">
        <v>0</v>
      </c>
      <c r="AN270" s="584"/>
      <c r="AO270" s="584"/>
      <c r="AP270" s="663"/>
      <c r="AQ270" s="31"/>
      <c r="AR270" s="31"/>
      <c r="AS270" s="31"/>
      <c r="AT270" s="31"/>
      <c r="AU270" s="31"/>
      <c r="AV270" s="31"/>
      <c r="AW270" s="31"/>
      <c r="AX270" s="31"/>
      <c r="AY270" s="31"/>
      <c r="AZ270" s="31">
        <f t="shared" si="58"/>
        <v>0</v>
      </c>
      <c r="BA270" s="25" t="str">
        <f t="shared" si="59"/>
        <v>DE child</v>
      </c>
      <c r="BB270" s="25">
        <f t="shared" si="60"/>
        <v>0</v>
      </c>
      <c r="BC270" s="25" t="str">
        <f t="shared" si="61"/>
        <v/>
      </c>
    </row>
    <row r="271" spans="1:55" ht="15" customHeight="1" outlineLevel="3" x14ac:dyDescent="0.2">
      <c r="A271" s="39">
        <v>4</v>
      </c>
      <c r="B271" s="23">
        <v>633020</v>
      </c>
      <c r="C271" s="23" t="s">
        <v>271</v>
      </c>
      <c r="D271" s="22">
        <f>input_values!Z271</f>
        <v>4</v>
      </c>
      <c r="E271" s="657">
        <v>0</v>
      </c>
      <c r="F271" s="31">
        <v>0</v>
      </c>
      <c r="G271" s="31">
        <v>0</v>
      </c>
      <c r="H271" s="31">
        <v>0</v>
      </c>
      <c r="I271" s="31">
        <v>0</v>
      </c>
      <c r="J271" s="31">
        <v>0</v>
      </c>
      <c r="K271" s="31">
        <v>0</v>
      </c>
      <c r="L271" s="31">
        <v>0</v>
      </c>
      <c r="M271" s="31">
        <v>0</v>
      </c>
      <c r="N271" s="31">
        <v>0</v>
      </c>
      <c r="O271" s="31">
        <v>0</v>
      </c>
      <c r="P271" s="31">
        <v>0</v>
      </c>
      <c r="Q271" s="31">
        <v>0</v>
      </c>
      <c r="R271" s="587"/>
      <c r="S271" s="31">
        <v>0</v>
      </c>
      <c r="T271" s="31"/>
      <c r="U271" s="31">
        <v>0</v>
      </c>
      <c r="V271" s="31">
        <v>0</v>
      </c>
      <c r="W271" s="31">
        <v>0</v>
      </c>
      <c r="X271" s="31">
        <v>0</v>
      </c>
      <c r="Y271" s="31">
        <v>0</v>
      </c>
      <c r="Z271" s="31">
        <v>0</v>
      </c>
      <c r="AA271" s="31">
        <v>0</v>
      </c>
      <c r="AB271" s="31">
        <v>0</v>
      </c>
      <c r="AC271" s="31">
        <v>0</v>
      </c>
      <c r="AD271" s="31">
        <v>0</v>
      </c>
      <c r="AE271" s="31"/>
      <c r="AF271" s="31"/>
      <c r="AG271" s="31"/>
      <c r="AH271" s="31"/>
      <c r="AI271" s="31"/>
      <c r="AJ271" s="31"/>
      <c r="AK271" s="663">
        <v>0</v>
      </c>
      <c r="AL271" s="663">
        <v>0</v>
      </c>
      <c r="AM271" s="31">
        <v>0</v>
      </c>
      <c r="AN271" s="584"/>
      <c r="AO271" s="584"/>
      <c r="AP271" s="663"/>
      <c r="AQ271" s="31"/>
      <c r="AR271" s="31"/>
      <c r="AS271" s="31"/>
      <c r="AT271" s="31"/>
      <c r="AU271" s="31"/>
      <c r="AV271" s="31"/>
      <c r="AW271" s="31"/>
      <c r="AX271" s="31"/>
      <c r="AY271" s="31"/>
      <c r="AZ271" s="31">
        <f t="shared" si="58"/>
        <v>0</v>
      </c>
      <c r="BA271" s="25" t="str">
        <f t="shared" si="59"/>
        <v>DE child</v>
      </c>
      <c r="BB271" s="25">
        <f t="shared" si="60"/>
        <v>0</v>
      </c>
      <c r="BC271" s="25" t="str">
        <f t="shared" si="61"/>
        <v/>
      </c>
    </row>
    <row r="272" spans="1:55" ht="15" customHeight="1" outlineLevel="3" x14ac:dyDescent="0.2">
      <c r="A272" s="39">
        <v>4</v>
      </c>
      <c r="B272" s="23">
        <v>633990</v>
      </c>
      <c r="C272" s="23" t="s">
        <v>182</v>
      </c>
      <c r="D272" s="22">
        <f>input_values!Z272</f>
        <v>4</v>
      </c>
      <c r="E272" s="657">
        <v>0</v>
      </c>
      <c r="F272" s="31"/>
      <c r="G272" s="31">
        <v>0</v>
      </c>
      <c r="H272" s="31">
        <v>0</v>
      </c>
      <c r="I272" s="31">
        <v>0</v>
      </c>
      <c r="J272" s="31">
        <v>0</v>
      </c>
      <c r="K272" s="31">
        <v>0</v>
      </c>
      <c r="L272" s="31">
        <v>0</v>
      </c>
      <c r="M272" s="31">
        <v>0</v>
      </c>
      <c r="N272" s="31">
        <v>0</v>
      </c>
      <c r="O272" s="31">
        <v>0</v>
      </c>
      <c r="P272" s="31">
        <v>0</v>
      </c>
      <c r="Q272" s="31">
        <v>0</v>
      </c>
      <c r="R272" s="587"/>
      <c r="S272" s="31">
        <v>0</v>
      </c>
      <c r="T272" s="31"/>
      <c r="U272" s="31">
        <v>0</v>
      </c>
      <c r="V272" s="31">
        <v>0</v>
      </c>
      <c r="W272" s="31">
        <v>0</v>
      </c>
      <c r="X272" s="31">
        <v>0</v>
      </c>
      <c r="Y272" s="31">
        <v>0</v>
      </c>
      <c r="Z272" s="31">
        <v>0</v>
      </c>
      <c r="AA272" s="31">
        <v>0</v>
      </c>
      <c r="AB272" s="31">
        <v>0</v>
      </c>
      <c r="AC272" s="31">
        <v>0</v>
      </c>
      <c r="AD272" s="31">
        <v>0</v>
      </c>
      <c r="AE272" s="31"/>
      <c r="AF272" s="31"/>
      <c r="AG272" s="31"/>
      <c r="AH272" s="31"/>
      <c r="AI272" s="31"/>
      <c r="AJ272" s="31"/>
      <c r="AK272" s="663">
        <v>0</v>
      </c>
      <c r="AL272" s="663">
        <v>0</v>
      </c>
      <c r="AM272" s="31">
        <v>0</v>
      </c>
      <c r="AN272" s="584"/>
      <c r="AO272" s="584"/>
      <c r="AP272" s="663"/>
      <c r="AQ272" s="31"/>
      <c r="AR272" s="31"/>
      <c r="AS272" s="31"/>
      <c r="AT272" s="31"/>
      <c r="AU272" s="31"/>
      <c r="AV272" s="31"/>
      <c r="AW272" s="31"/>
      <c r="AX272" s="31"/>
      <c r="AY272" s="31"/>
      <c r="AZ272" s="31">
        <f t="shared" si="58"/>
        <v>0</v>
      </c>
      <c r="BA272" s="25" t="str">
        <f t="shared" si="59"/>
        <v>DE child</v>
      </c>
      <c r="BB272" s="25">
        <f t="shared" si="60"/>
        <v>0</v>
      </c>
      <c r="BC272" s="25" t="str">
        <f t="shared" si="61"/>
        <v/>
      </c>
    </row>
    <row r="273" spans="1:55" ht="15" customHeight="1" outlineLevel="2" x14ac:dyDescent="0.2">
      <c r="A273" s="133">
        <v>3</v>
      </c>
      <c r="B273" s="5">
        <v>639000</v>
      </c>
      <c r="C273" s="5" t="s">
        <v>773</v>
      </c>
      <c r="D273" s="82">
        <f>input_values!Z273</f>
        <v>4</v>
      </c>
      <c r="E273" s="658">
        <v>0.01</v>
      </c>
      <c r="F273" s="49"/>
      <c r="G273" s="49">
        <v>0</v>
      </c>
      <c r="H273" s="49">
        <v>0</v>
      </c>
      <c r="I273" s="49">
        <v>0</v>
      </c>
      <c r="J273" s="49">
        <v>0</v>
      </c>
      <c r="K273" s="49">
        <v>0</v>
      </c>
      <c r="L273" s="49">
        <v>0</v>
      </c>
      <c r="M273" s="49">
        <v>0</v>
      </c>
      <c r="N273" s="49">
        <v>0</v>
      </c>
      <c r="O273" s="49">
        <v>0</v>
      </c>
      <c r="P273" s="49">
        <v>0</v>
      </c>
      <c r="Q273" s="49">
        <v>0</v>
      </c>
      <c r="R273" s="590"/>
      <c r="S273" s="49">
        <v>0</v>
      </c>
      <c r="T273" s="49"/>
      <c r="U273" s="49">
        <v>0</v>
      </c>
      <c r="V273" s="49">
        <v>0</v>
      </c>
      <c r="W273" s="49">
        <v>0</v>
      </c>
      <c r="X273" s="49">
        <v>0</v>
      </c>
      <c r="Y273" s="49">
        <v>0</v>
      </c>
      <c r="Z273" s="49">
        <v>0</v>
      </c>
      <c r="AA273" s="49">
        <v>0</v>
      </c>
      <c r="AB273" s="49">
        <v>0</v>
      </c>
      <c r="AC273" s="49">
        <v>0</v>
      </c>
      <c r="AD273" s="49">
        <v>0</v>
      </c>
      <c r="AE273" s="49"/>
      <c r="AF273" s="49"/>
      <c r="AG273" s="49"/>
      <c r="AH273" s="49"/>
      <c r="AI273" s="49"/>
      <c r="AJ273" s="49"/>
      <c r="AK273" s="662">
        <v>2.3804706216541304E-2</v>
      </c>
      <c r="AL273" s="662">
        <v>2.9958197080201875E-2</v>
      </c>
      <c r="AM273" s="49">
        <v>0</v>
      </c>
      <c r="AN273" s="591"/>
      <c r="AO273" s="591"/>
      <c r="AP273" s="662"/>
      <c r="AQ273" s="49"/>
      <c r="AR273" s="49"/>
      <c r="AS273" s="49"/>
      <c r="AT273" s="49"/>
      <c r="AU273" s="49"/>
      <c r="AV273" s="49"/>
      <c r="AW273" s="49"/>
      <c r="AX273" s="49"/>
      <c r="AY273" s="49"/>
      <c r="AZ273" s="49">
        <f t="shared" si="58"/>
        <v>2.9958197080201875E-2</v>
      </c>
      <c r="BA273" s="6" t="str">
        <f t="shared" si="59"/>
        <v>DE women 14-50 yr</v>
      </c>
      <c r="BB273" s="6">
        <f t="shared" si="60"/>
        <v>0</v>
      </c>
      <c r="BC273" s="6" t="str">
        <f t="shared" si="61"/>
        <v/>
      </c>
    </row>
    <row r="274" spans="1:55" ht="15" customHeight="1" outlineLevel="1" x14ac:dyDescent="0.2">
      <c r="A274" s="130">
        <v>2</v>
      </c>
      <c r="B274" s="131">
        <v>640000</v>
      </c>
      <c r="C274" s="131" t="s">
        <v>774</v>
      </c>
      <c r="D274" s="79">
        <f>input_values!Z274</f>
        <v>2</v>
      </c>
      <c r="E274" s="656">
        <v>0.28999999999999998</v>
      </c>
      <c r="F274" s="92">
        <v>0</v>
      </c>
      <c r="G274" s="92">
        <v>0.52659999999999996</v>
      </c>
      <c r="H274" s="92">
        <v>4.0118880185074916E-2</v>
      </c>
      <c r="I274" s="92">
        <v>0.34124722309323396</v>
      </c>
      <c r="J274" s="92">
        <v>0.37902270604503646</v>
      </c>
      <c r="K274" s="92">
        <v>0</v>
      </c>
      <c r="L274" s="92">
        <v>6.0999999999999999E-2</v>
      </c>
      <c r="M274" s="92">
        <v>0.221</v>
      </c>
      <c r="N274" s="92">
        <v>0</v>
      </c>
      <c r="O274" s="92">
        <v>0</v>
      </c>
      <c r="P274" s="92">
        <v>0</v>
      </c>
      <c r="Q274" s="92">
        <v>0.1242</v>
      </c>
      <c r="R274" s="589">
        <v>6.0220752799999999E-2</v>
      </c>
      <c r="S274" s="92">
        <v>5.2944795809192112E-2</v>
      </c>
      <c r="T274" s="92"/>
      <c r="U274" s="92">
        <v>0</v>
      </c>
      <c r="V274" s="92">
        <v>0</v>
      </c>
      <c r="W274" s="92">
        <v>0</v>
      </c>
      <c r="X274" s="92">
        <v>7.9000000000000001E-2</v>
      </c>
      <c r="Y274" s="92">
        <v>0</v>
      </c>
      <c r="Z274" s="92">
        <v>0</v>
      </c>
      <c r="AA274" s="92">
        <v>0</v>
      </c>
      <c r="AB274" s="92">
        <v>0</v>
      </c>
      <c r="AC274" s="92">
        <v>0</v>
      </c>
      <c r="AD274" s="92">
        <v>0</v>
      </c>
      <c r="AE274" s="92">
        <v>1.3000000000000001E-2</v>
      </c>
      <c r="AF274" s="92">
        <v>0.12566666666666668</v>
      </c>
      <c r="AG274" s="92">
        <v>9.3166666666666662E-2</v>
      </c>
      <c r="AH274" s="92">
        <v>6.8999999999999992E-2</v>
      </c>
      <c r="AI274" s="92">
        <v>2.1166666666666667E-2</v>
      </c>
      <c r="AJ274" s="92">
        <v>0.10466666666666667</v>
      </c>
      <c r="AK274" s="664">
        <v>0.10452127409013864</v>
      </c>
      <c r="AL274" s="664">
        <v>0.13166136008492574</v>
      </c>
      <c r="AM274" s="92">
        <v>0</v>
      </c>
      <c r="AN274" s="583">
        <v>0.20706133199999999</v>
      </c>
      <c r="AO274" s="583">
        <v>0.22421373480000001</v>
      </c>
      <c r="AP274" s="664"/>
      <c r="AQ274" s="92"/>
      <c r="AR274" s="92"/>
      <c r="AS274" s="92"/>
      <c r="AT274" s="92"/>
      <c r="AU274" s="92"/>
      <c r="AV274" s="92"/>
      <c r="AW274" s="92"/>
      <c r="AX274" s="92"/>
      <c r="AY274" s="92"/>
      <c r="AZ274" s="92">
        <f t="shared" si="58"/>
        <v>0.52659999999999996</v>
      </c>
      <c r="BA274" s="42" t="str">
        <f t="shared" si="59"/>
        <v>ES child</v>
      </c>
      <c r="BB274" s="42">
        <f t="shared" si="60"/>
        <v>0</v>
      </c>
      <c r="BC274" s="42" t="str">
        <f t="shared" si="61"/>
        <v/>
      </c>
    </row>
    <row r="275" spans="1:55" ht="15" customHeight="1" outlineLevel="1" x14ac:dyDescent="0.2">
      <c r="A275" s="130">
        <v>2</v>
      </c>
      <c r="B275" s="131">
        <v>650000</v>
      </c>
      <c r="C275" s="131" t="s">
        <v>775</v>
      </c>
      <c r="D275" s="79">
        <f>input_values!Z275</f>
        <v>2</v>
      </c>
      <c r="E275" s="656">
        <v>1.0024E-2</v>
      </c>
      <c r="F275" s="92">
        <v>0</v>
      </c>
      <c r="G275" s="92">
        <v>0</v>
      </c>
      <c r="H275" s="92">
        <v>0</v>
      </c>
      <c r="I275" s="92">
        <v>0</v>
      </c>
      <c r="J275" s="92">
        <v>0</v>
      </c>
      <c r="K275" s="92">
        <v>0</v>
      </c>
      <c r="L275" s="92">
        <v>3.0000000000000001E-3</v>
      </c>
      <c r="M275" s="92">
        <v>0</v>
      </c>
      <c r="N275" s="92">
        <v>0</v>
      </c>
      <c r="O275" s="92">
        <v>0</v>
      </c>
      <c r="P275" s="92">
        <v>0</v>
      </c>
      <c r="Q275" s="92">
        <v>0</v>
      </c>
      <c r="R275" s="589"/>
      <c r="S275" s="92">
        <v>0</v>
      </c>
      <c r="T275" s="92"/>
      <c r="U275" s="92">
        <v>0</v>
      </c>
      <c r="V275" s="92">
        <v>0</v>
      </c>
      <c r="W275" s="92">
        <v>0</v>
      </c>
      <c r="X275" s="92">
        <v>0</v>
      </c>
      <c r="Y275" s="92">
        <v>0</v>
      </c>
      <c r="Z275" s="92">
        <v>0</v>
      </c>
      <c r="AA275" s="92">
        <v>0</v>
      </c>
      <c r="AB275" s="92">
        <v>0</v>
      </c>
      <c r="AC275" s="92">
        <v>0</v>
      </c>
      <c r="AD275" s="92">
        <v>0</v>
      </c>
      <c r="AE275" s="92">
        <v>0</v>
      </c>
      <c r="AF275" s="92">
        <v>1.6666666666666668E-3</v>
      </c>
      <c r="AG275" s="92">
        <v>0</v>
      </c>
      <c r="AH275" s="92">
        <v>1.6666666666666668E-3</v>
      </c>
      <c r="AI275" s="92">
        <v>0</v>
      </c>
      <c r="AJ275" s="92">
        <v>1.6666666666666668E-3</v>
      </c>
      <c r="AK275" s="664">
        <v>2.9803102507026066E-3</v>
      </c>
      <c r="AL275" s="664">
        <v>3.2818258497510286E-3</v>
      </c>
      <c r="AM275" s="92">
        <v>1.8904499999999999E-3</v>
      </c>
      <c r="AN275" s="583"/>
      <c r="AO275" s="583"/>
      <c r="AP275" s="664"/>
      <c r="AQ275" s="92"/>
      <c r="AR275" s="92"/>
      <c r="AS275" s="92"/>
      <c r="AT275" s="92"/>
      <c r="AU275" s="92"/>
      <c r="AV275" s="92"/>
      <c r="AW275" s="92"/>
      <c r="AX275" s="92"/>
      <c r="AY275" s="92"/>
      <c r="AZ275" s="92">
        <f t="shared" si="58"/>
        <v>1.0024E-2</v>
      </c>
      <c r="BA275" s="42" t="str">
        <f t="shared" si="59"/>
        <v>DE child</v>
      </c>
      <c r="BB275" s="42">
        <f t="shared" si="60"/>
        <v>0</v>
      </c>
      <c r="BC275" s="42" t="str">
        <f t="shared" si="61"/>
        <v/>
      </c>
    </row>
    <row r="276" spans="1:55" ht="15" customHeight="1" x14ac:dyDescent="0.2">
      <c r="A276" s="126">
        <v>1</v>
      </c>
      <c r="B276" s="127">
        <v>700000</v>
      </c>
      <c r="C276" s="127" t="s">
        <v>366</v>
      </c>
      <c r="D276" s="81">
        <f>input_values!Z276</f>
        <v>1</v>
      </c>
      <c r="E276" s="659">
        <v>0</v>
      </c>
      <c r="F276" s="91">
        <v>0</v>
      </c>
      <c r="G276" s="91">
        <v>0</v>
      </c>
      <c r="H276" s="91">
        <v>0</v>
      </c>
      <c r="I276" s="91">
        <v>0</v>
      </c>
      <c r="J276" s="91">
        <v>0</v>
      </c>
      <c r="K276" s="91">
        <v>0</v>
      </c>
      <c r="L276" s="91">
        <v>0</v>
      </c>
      <c r="M276" s="91">
        <v>0</v>
      </c>
      <c r="N276" s="91">
        <v>0</v>
      </c>
      <c r="O276" s="91">
        <v>0</v>
      </c>
      <c r="P276" s="91">
        <v>0</v>
      </c>
      <c r="Q276" s="91">
        <v>0</v>
      </c>
      <c r="R276" s="588"/>
      <c r="S276" s="91">
        <v>1.9781805605066825E-4</v>
      </c>
      <c r="T276" s="91"/>
      <c r="U276" s="91">
        <v>0</v>
      </c>
      <c r="V276" s="91">
        <v>0</v>
      </c>
      <c r="W276" s="91">
        <v>0</v>
      </c>
      <c r="X276" s="91">
        <v>0</v>
      </c>
      <c r="Y276" s="91">
        <v>0</v>
      </c>
      <c r="Z276" s="91">
        <v>0</v>
      </c>
      <c r="AA276" s="91">
        <v>0</v>
      </c>
      <c r="AB276" s="91">
        <v>0</v>
      </c>
      <c r="AC276" s="91">
        <v>6.5789473684210523E-3</v>
      </c>
      <c r="AD276" s="91">
        <v>2.9985007496251873E-3</v>
      </c>
      <c r="AE276" s="91">
        <v>1.6666666666666668E-3</v>
      </c>
      <c r="AF276" s="91">
        <v>0</v>
      </c>
      <c r="AG276" s="91">
        <v>0</v>
      </c>
      <c r="AH276" s="91">
        <v>1.6666666666666668E-3</v>
      </c>
      <c r="AI276" s="91">
        <v>0</v>
      </c>
      <c r="AJ276" s="91">
        <v>1.6666666666666668E-3</v>
      </c>
      <c r="AK276" s="665">
        <v>6.4845056500668873E-3</v>
      </c>
      <c r="AL276" s="665">
        <v>1.9196922767903001E-3</v>
      </c>
      <c r="AM276" s="91">
        <v>0</v>
      </c>
      <c r="AN276" s="586"/>
      <c r="AO276" s="586"/>
      <c r="AP276" s="665"/>
      <c r="AQ276" s="91"/>
      <c r="AR276" s="91"/>
      <c r="AS276" s="91"/>
      <c r="AT276" s="91"/>
      <c r="AU276" s="91"/>
      <c r="AV276" s="91"/>
      <c r="AW276" s="91"/>
      <c r="AX276" s="91"/>
      <c r="AY276" s="91"/>
      <c r="AZ276" s="91">
        <f t="shared" si="58"/>
        <v>6.5789473684210523E-3</v>
      </c>
      <c r="BA276" s="41" t="str">
        <f t="shared" si="59"/>
        <v>UK adult</v>
      </c>
      <c r="BB276" s="41">
        <f t="shared" si="60"/>
        <v>0</v>
      </c>
      <c r="BC276" s="41" t="str">
        <f t="shared" si="61"/>
        <v/>
      </c>
    </row>
    <row r="277" spans="1:55" ht="15" customHeight="1" x14ac:dyDescent="0.2">
      <c r="A277" s="126">
        <v>1</v>
      </c>
      <c r="B277" s="127">
        <v>800000</v>
      </c>
      <c r="C277" s="127" t="s">
        <v>144</v>
      </c>
      <c r="D277" s="81">
        <f>input_values!Z277</f>
        <v>4</v>
      </c>
      <c r="E277" s="582">
        <f>SUM(E278,E289,E299,E302,E308,E312,E315)</f>
        <v>0.190441</v>
      </c>
      <c r="F277" s="91">
        <f>SUM(F278,F289,F299,F302,F308,F312,F315)</f>
        <v>0</v>
      </c>
      <c r="G277" s="91">
        <f t="shared" ref="G277:AO277" si="63">SUM(G278,G289,G299,G302,G308,G312,G315)</f>
        <v>0</v>
      </c>
      <c r="H277" s="91">
        <f t="shared" si="63"/>
        <v>1.4631406847900529E-3</v>
      </c>
      <c r="I277" s="91">
        <f t="shared" si="63"/>
        <v>9.394064011239215E-3</v>
      </c>
      <c r="J277" s="91">
        <f t="shared" si="63"/>
        <v>7.1910303677563186E-3</v>
      </c>
      <c r="K277" s="91">
        <f t="shared" si="63"/>
        <v>0</v>
      </c>
      <c r="L277" s="91">
        <f t="shared" si="63"/>
        <v>1E-3</v>
      </c>
      <c r="M277" s="91">
        <f t="shared" si="63"/>
        <v>1E-3</v>
      </c>
      <c r="N277" s="91">
        <f t="shared" si="63"/>
        <v>0</v>
      </c>
      <c r="O277" s="91">
        <f t="shared" si="63"/>
        <v>0</v>
      </c>
      <c r="P277" s="91">
        <f>SUM(P278,P289,P299,P302,P308,P312,P315)</f>
        <v>0</v>
      </c>
      <c r="Q277" s="91">
        <f t="shared" si="63"/>
        <v>0</v>
      </c>
      <c r="R277" s="91">
        <f t="shared" si="63"/>
        <v>0</v>
      </c>
      <c r="S277" s="91">
        <f t="shared" si="63"/>
        <v>4.0584222094909557E-3</v>
      </c>
      <c r="T277" s="91"/>
      <c r="U277" s="91">
        <f t="shared" si="63"/>
        <v>1.4627659574468085E-2</v>
      </c>
      <c r="V277" s="91">
        <f t="shared" si="63"/>
        <v>0</v>
      </c>
      <c r="W277" s="91">
        <f t="shared" si="63"/>
        <v>0</v>
      </c>
      <c r="X277" s="91">
        <f t="shared" si="63"/>
        <v>1E-3</v>
      </c>
      <c r="Y277" s="91">
        <f t="shared" si="63"/>
        <v>0</v>
      </c>
      <c r="Z277" s="91">
        <f t="shared" si="63"/>
        <v>0</v>
      </c>
      <c r="AA277" s="91">
        <f t="shared" si="63"/>
        <v>0</v>
      </c>
      <c r="AB277" s="91">
        <f t="shared" si="63"/>
        <v>0</v>
      </c>
      <c r="AC277" s="91">
        <f t="shared" si="63"/>
        <v>0</v>
      </c>
      <c r="AD277" s="91">
        <f t="shared" si="63"/>
        <v>0</v>
      </c>
      <c r="AE277" s="91">
        <f t="shared" si="63"/>
        <v>2.9666666666666671E-2</v>
      </c>
      <c r="AF277" s="91">
        <f t="shared" si="63"/>
        <v>1.8333333333333333E-2</v>
      </c>
      <c r="AG277" s="91">
        <f t="shared" si="63"/>
        <v>1.95E-2</v>
      </c>
      <c r="AH277" s="91">
        <f t="shared" si="63"/>
        <v>2.6833333333333334E-2</v>
      </c>
      <c r="AI277" s="91">
        <f t="shared" si="63"/>
        <v>9.7500000000000003E-2</v>
      </c>
      <c r="AJ277" s="91">
        <f t="shared" si="63"/>
        <v>1.55E-2</v>
      </c>
      <c r="AK277" s="91">
        <f>SUM(AK278,AK289,AK299,AK302,AK308,AK312,AK315)</f>
        <v>8.6411536272757907E-3</v>
      </c>
      <c r="AL277" s="91">
        <f>SUM(AL278,AL289,AL299,AL302,AL308,AL312,AL315)</f>
        <v>8.9597377729323021E-3</v>
      </c>
      <c r="AM277" s="91">
        <f t="shared" si="63"/>
        <v>5.2401000000000002E-5</v>
      </c>
      <c r="AN277" s="91">
        <f t="shared" si="63"/>
        <v>0</v>
      </c>
      <c r="AO277" s="91">
        <f t="shared" si="63"/>
        <v>0</v>
      </c>
      <c r="AP277" s="91"/>
      <c r="AQ277" s="91"/>
      <c r="AR277" s="91"/>
      <c r="AS277" s="91"/>
      <c r="AT277" s="91"/>
      <c r="AU277" s="91"/>
      <c r="AV277" s="91"/>
      <c r="AW277" s="91"/>
      <c r="AX277" s="91" t="s">
        <v>369</v>
      </c>
      <c r="AY277" s="91"/>
      <c r="AZ277" s="91">
        <f t="shared" si="58"/>
        <v>0.190441</v>
      </c>
      <c r="BA277" s="41" t="str">
        <f t="shared" si="59"/>
        <v>DE child</v>
      </c>
      <c r="BB277" s="41">
        <f t="shared" si="60"/>
        <v>0</v>
      </c>
      <c r="BC277" s="41" t="str">
        <f t="shared" si="61"/>
        <v/>
      </c>
    </row>
    <row r="278" spans="1:55" ht="15" customHeight="1" outlineLevel="1" x14ac:dyDescent="0.2">
      <c r="A278" s="130">
        <v>2</v>
      </c>
      <c r="B278" s="131">
        <v>810000</v>
      </c>
      <c r="C278" s="131" t="s">
        <v>77</v>
      </c>
      <c r="D278" s="79">
        <f>input_values!Z278</f>
        <v>4</v>
      </c>
      <c r="E278" s="581">
        <f>SUM(E279:E288)</f>
        <v>5.0134999999999999E-2</v>
      </c>
      <c r="F278" s="92">
        <f>SUM(F279:F288)</f>
        <v>0</v>
      </c>
      <c r="G278" s="92">
        <f t="shared" ref="G278:AO278" si="64">SUM(G279:G288)</f>
        <v>0</v>
      </c>
      <c r="H278" s="92">
        <f t="shared" si="64"/>
        <v>1.6099023057541999E-4</v>
      </c>
      <c r="I278" s="92">
        <f t="shared" si="64"/>
        <v>1.7785441522465352E-3</v>
      </c>
      <c r="J278" s="92">
        <f t="shared" si="64"/>
        <v>9.2468257612904E-4</v>
      </c>
      <c r="K278" s="92">
        <f t="shared" si="64"/>
        <v>0</v>
      </c>
      <c r="L278" s="92">
        <f t="shared" si="64"/>
        <v>0</v>
      </c>
      <c r="M278" s="92">
        <f t="shared" si="64"/>
        <v>0</v>
      </c>
      <c r="N278" s="92">
        <f t="shared" si="64"/>
        <v>0</v>
      </c>
      <c r="O278" s="92">
        <f t="shared" si="64"/>
        <v>0</v>
      </c>
      <c r="P278" s="92">
        <f>SUM(P279:P288)</f>
        <v>0</v>
      </c>
      <c r="Q278" s="92">
        <f t="shared" si="64"/>
        <v>0</v>
      </c>
      <c r="R278" s="92">
        <f t="shared" si="64"/>
        <v>0</v>
      </c>
      <c r="S278" s="92">
        <f t="shared" si="64"/>
        <v>8.2643980847555169E-4</v>
      </c>
      <c r="T278" s="92"/>
      <c r="U278" s="92">
        <f t="shared" si="64"/>
        <v>0</v>
      </c>
      <c r="V278" s="92">
        <f t="shared" si="64"/>
        <v>0</v>
      </c>
      <c r="W278" s="92">
        <f t="shared" si="64"/>
        <v>0</v>
      </c>
      <c r="X278" s="92">
        <f t="shared" si="64"/>
        <v>0</v>
      </c>
      <c r="Y278" s="92">
        <f t="shared" si="64"/>
        <v>0</v>
      </c>
      <c r="Z278" s="92">
        <f t="shared" si="64"/>
        <v>0</v>
      </c>
      <c r="AA278" s="92">
        <f t="shared" si="64"/>
        <v>0</v>
      </c>
      <c r="AB278" s="92">
        <f t="shared" si="64"/>
        <v>0</v>
      </c>
      <c r="AC278" s="92">
        <f t="shared" si="64"/>
        <v>0</v>
      </c>
      <c r="AD278" s="92">
        <f t="shared" si="64"/>
        <v>0</v>
      </c>
      <c r="AE278" s="92">
        <f t="shared" si="64"/>
        <v>6.1666666666666675E-3</v>
      </c>
      <c r="AF278" s="92">
        <f t="shared" si="64"/>
        <v>5.3333333333333332E-3</v>
      </c>
      <c r="AG278" s="92">
        <f t="shared" si="64"/>
        <v>5.1666666666666666E-3</v>
      </c>
      <c r="AH278" s="92">
        <f t="shared" si="64"/>
        <v>4.0000000000000001E-3</v>
      </c>
      <c r="AI278" s="92">
        <f t="shared" si="64"/>
        <v>8.8333333333333337E-3</v>
      </c>
      <c r="AJ278" s="92">
        <f t="shared" si="64"/>
        <v>5.3333333333333332E-3</v>
      </c>
      <c r="AK278" s="92">
        <f>SUM(AK279:AK288)</f>
        <v>1.3399189578386459E-3</v>
      </c>
      <c r="AL278" s="92">
        <f>SUM(AL279:AL288)</f>
        <v>1.369845296254801E-3</v>
      </c>
      <c r="AM278" s="92">
        <f t="shared" si="64"/>
        <v>0</v>
      </c>
      <c r="AN278" s="92">
        <f t="shared" si="64"/>
        <v>0</v>
      </c>
      <c r="AO278" s="92">
        <f t="shared" si="64"/>
        <v>0</v>
      </c>
      <c r="AP278" s="92"/>
      <c r="AQ278" s="92"/>
      <c r="AR278" s="92"/>
      <c r="AS278" s="92"/>
      <c r="AT278" s="92"/>
      <c r="AU278" s="92"/>
      <c r="AV278" s="92"/>
      <c r="AW278" s="92"/>
      <c r="AX278" s="92" t="s">
        <v>369</v>
      </c>
      <c r="AY278" s="92"/>
      <c r="AZ278" s="92">
        <f t="shared" si="58"/>
        <v>5.0134999999999999E-2</v>
      </c>
      <c r="BA278" s="42" t="str">
        <f t="shared" si="59"/>
        <v>DE child</v>
      </c>
      <c r="BB278" s="42">
        <f t="shared" si="60"/>
        <v>0</v>
      </c>
      <c r="BC278" s="42" t="str">
        <f t="shared" si="61"/>
        <v/>
      </c>
    </row>
    <row r="279" spans="1:55" ht="15" customHeight="1" outlineLevel="3" x14ac:dyDescent="0.2">
      <c r="A279" s="39">
        <v>4</v>
      </c>
      <c r="B279" s="23">
        <v>810010</v>
      </c>
      <c r="C279" s="23" t="s">
        <v>776</v>
      </c>
      <c r="D279" s="22">
        <f>input_values!Z279</f>
        <v>4</v>
      </c>
      <c r="E279" s="657">
        <v>1.0024999999999999E-2</v>
      </c>
      <c r="F279" s="31">
        <v>0</v>
      </c>
      <c r="G279" s="31">
        <v>0</v>
      </c>
      <c r="H279" s="31">
        <v>0</v>
      </c>
      <c r="I279" s="31">
        <v>0</v>
      </c>
      <c r="J279" s="31">
        <v>0</v>
      </c>
      <c r="K279" s="31">
        <v>0</v>
      </c>
      <c r="L279" s="31">
        <v>0</v>
      </c>
      <c r="M279" s="31">
        <v>0</v>
      </c>
      <c r="N279" s="31">
        <v>0</v>
      </c>
      <c r="O279" s="31">
        <v>0</v>
      </c>
      <c r="P279" s="31">
        <v>0</v>
      </c>
      <c r="Q279" s="31">
        <v>0</v>
      </c>
      <c r="R279" s="587"/>
      <c r="S279" s="31">
        <v>3.8364426811800332E-4</v>
      </c>
      <c r="T279" s="31"/>
      <c r="U279" s="31">
        <v>0</v>
      </c>
      <c r="V279" s="31">
        <v>0</v>
      </c>
      <c r="W279" s="31">
        <v>0</v>
      </c>
      <c r="X279" s="31">
        <v>0</v>
      </c>
      <c r="Y279" s="31">
        <v>0</v>
      </c>
      <c r="Z279" s="31">
        <v>0</v>
      </c>
      <c r="AA279" s="31">
        <v>0</v>
      </c>
      <c r="AB279" s="31">
        <v>0</v>
      </c>
      <c r="AC279" s="31">
        <v>0</v>
      </c>
      <c r="AD279" s="31">
        <v>0</v>
      </c>
      <c r="AE279" s="31">
        <v>4.5000000000000005E-3</v>
      </c>
      <c r="AF279" s="31">
        <v>3.6666666666666666E-3</v>
      </c>
      <c r="AG279" s="31">
        <v>3.5000000000000001E-3</v>
      </c>
      <c r="AH279" s="31">
        <v>2.3333333333333335E-3</v>
      </c>
      <c r="AI279" s="31">
        <v>6.0000000000000001E-3</v>
      </c>
      <c r="AJ279" s="31">
        <v>3.6666666666666666E-3</v>
      </c>
      <c r="AK279" s="663">
        <v>5.7947754326915709E-6</v>
      </c>
      <c r="AL279" s="663">
        <v>3.6456756713026049E-7</v>
      </c>
      <c r="AM279" s="31">
        <v>0</v>
      </c>
      <c r="AN279" s="584"/>
      <c r="AO279" s="584"/>
      <c r="AP279" s="663"/>
      <c r="AQ279" s="31"/>
      <c r="AR279" s="31"/>
      <c r="AS279" s="31"/>
      <c r="AT279" s="31"/>
      <c r="AU279" s="31"/>
      <c r="AV279" s="31"/>
      <c r="AW279" s="31"/>
      <c r="AX279" s="31"/>
      <c r="AY279" s="31"/>
      <c r="AZ279" s="31">
        <f t="shared" si="58"/>
        <v>1.0024999999999999E-2</v>
      </c>
      <c r="BA279" s="25" t="str">
        <f t="shared" si="59"/>
        <v>DE child</v>
      </c>
      <c r="BB279" s="25">
        <f t="shared" si="60"/>
        <v>0</v>
      </c>
      <c r="BC279" s="25" t="str">
        <f t="shared" si="61"/>
        <v/>
      </c>
    </row>
    <row r="280" spans="1:55" ht="15" customHeight="1" outlineLevel="3" x14ac:dyDescent="0.2">
      <c r="A280" s="39">
        <v>4</v>
      </c>
      <c r="B280" s="23">
        <v>810020</v>
      </c>
      <c r="C280" s="23" t="s">
        <v>777</v>
      </c>
      <c r="D280" s="22">
        <f>input_values!Z280</f>
        <v>4</v>
      </c>
      <c r="E280" s="657">
        <v>0</v>
      </c>
      <c r="F280" s="31">
        <v>0</v>
      </c>
      <c r="G280" s="31">
        <v>0</v>
      </c>
      <c r="H280" s="31">
        <v>0</v>
      </c>
      <c r="I280" s="31">
        <v>0</v>
      </c>
      <c r="J280" s="31">
        <v>0</v>
      </c>
      <c r="K280" s="31">
        <v>0</v>
      </c>
      <c r="L280" s="31">
        <v>0</v>
      </c>
      <c r="M280" s="31">
        <v>0</v>
      </c>
      <c r="N280" s="31">
        <v>0</v>
      </c>
      <c r="O280" s="31">
        <v>0</v>
      </c>
      <c r="P280" s="31">
        <v>0</v>
      </c>
      <c r="Q280" s="31">
        <v>0</v>
      </c>
      <c r="R280" s="587"/>
      <c r="S280" s="31">
        <v>0</v>
      </c>
      <c r="T280" s="31"/>
      <c r="U280" s="31">
        <v>0</v>
      </c>
      <c r="V280" s="31">
        <v>0</v>
      </c>
      <c r="W280" s="31">
        <v>0</v>
      </c>
      <c r="X280" s="31">
        <v>0</v>
      </c>
      <c r="Y280" s="31">
        <v>0</v>
      </c>
      <c r="Z280" s="31">
        <v>0</v>
      </c>
      <c r="AA280" s="31">
        <v>0</v>
      </c>
      <c r="AB280" s="31">
        <v>0</v>
      </c>
      <c r="AC280" s="31">
        <v>0</v>
      </c>
      <c r="AD280" s="31">
        <v>0</v>
      </c>
      <c r="AE280" s="31"/>
      <c r="AF280" s="31"/>
      <c r="AG280" s="31"/>
      <c r="AH280" s="31"/>
      <c r="AI280" s="31"/>
      <c r="AJ280" s="31"/>
      <c r="AK280" s="663">
        <v>4.5252929016369062E-4</v>
      </c>
      <c r="AL280" s="663">
        <v>5.3372664908844238E-4</v>
      </c>
      <c r="AM280" s="31">
        <v>0</v>
      </c>
      <c r="AN280" s="584"/>
      <c r="AO280" s="584"/>
      <c r="AP280" s="663"/>
      <c r="AQ280" s="31"/>
      <c r="AR280" s="31"/>
      <c r="AS280" s="31"/>
      <c r="AT280" s="31"/>
      <c r="AU280" s="31"/>
      <c r="AV280" s="31"/>
      <c r="AW280" s="31"/>
      <c r="AX280" s="31"/>
      <c r="AY280" s="31"/>
      <c r="AZ280" s="31">
        <f t="shared" si="58"/>
        <v>5.3372664908844238E-4</v>
      </c>
      <c r="BA280" s="25" t="str">
        <f t="shared" si="59"/>
        <v>DE women 14-50 yr</v>
      </c>
      <c r="BB280" s="25">
        <f t="shared" si="60"/>
        <v>0</v>
      </c>
      <c r="BC280" s="25" t="str">
        <f t="shared" si="61"/>
        <v/>
      </c>
    </row>
    <row r="281" spans="1:55" ht="15" customHeight="1" outlineLevel="3" x14ac:dyDescent="0.2">
      <c r="A281" s="39">
        <v>4</v>
      </c>
      <c r="B281" s="23">
        <v>810030</v>
      </c>
      <c r="C281" s="23" t="s">
        <v>272</v>
      </c>
      <c r="D281" s="22">
        <f>input_values!Z281</f>
        <v>4</v>
      </c>
      <c r="E281" s="657">
        <v>0</v>
      </c>
      <c r="F281" s="31">
        <v>0</v>
      </c>
      <c r="G281" s="31">
        <v>0</v>
      </c>
      <c r="H281" s="31">
        <v>0</v>
      </c>
      <c r="I281" s="31">
        <v>0</v>
      </c>
      <c r="J281" s="31">
        <v>0</v>
      </c>
      <c r="K281" s="31">
        <v>0</v>
      </c>
      <c r="L281" s="31">
        <v>0</v>
      </c>
      <c r="M281" s="31">
        <v>0</v>
      </c>
      <c r="N281" s="31">
        <v>0</v>
      </c>
      <c r="O281" s="31">
        <v>0</v>
      </c>
      <c r="P281" s="31">
        <v>0</v>
      </c>
      <c r="Q281" s="31">
        <v>0</v>
      </c>
      <c r="R281" s="587"/>
      <c r="S281" s="31">
        <v>0</v>
      </c>
      <c r="T281" s="31"/>
      <c r="U281" s="31">
        <v>0</v>
      </c>
      <c r="V281" s="31">
        <v>0</v>
      </c>
      <c r="W281" s="31">
        <v>0</v>
      </c>
      <c r="X281" s="31">
        <v>0</v>
      </c>
      <c r="Y281" s="31">
        <v>0</v>
      </c>
      <c r="Z281" s="31">
        <v>0</v>
      </c>
      <c r="AA281" s="31">
        <v>0</v>
      </c>
      <c r="AB281" s="31">
        <v>0</v>
      </c>
      <c r="AC281" s="31">
        <v>0</v>
      </c>
      <c r="AD281" s="31">
        <v>0</v>
      </c>
      <c r="AE281" s="31"/>
      <c r="AF281" s="31"/>
      <c r="AG281" s="31"/>
      <c r="AH281" s="31"/>
      <c r="AI281" s="31"/>
      <c r="AJ281" s="31"/>
      <c r="AK281" s="663">
        <v>0</v>
      </c>
      <c r="AL281" s="663">
        <v>0</v>
      </c>
      <c r="AM281" s="31">
        <v>0</v>
      </c>
      <c r="AN281" s="584"/>
      <c r="AO281" s="584"/>
      <c r="AP281" s="663"/>
      <c r="AQ281" s="31"/>
      <c r="AR281" s="31"/>
      <c r="AS281" s="31"/>
      <c r="AT281" s="31"/>
      <c r="AU281" s="31"/>
      <c r="AV281" s="31"/>
      <c r="AW281" s="31"/>
      <c r="AX281" s="31"/>
      <c r="AY281" s="31"/>
      <c r="AZ281" s="31">
        <f t="shared" si="58"/>
        <v>0</v>
      </c>
      <c r="BA281" s="25" t="str">
        <f t="shared" si="59"/>
        <v>DE child</v>
      </c>
      <c r="BB281" s="25">
        <f t="shared" si="60"/>
        <v>0</v>
      </c>
      <c r="BC281" s="25" t="str">
        <f t="shared" si="61"/>
        <v/>
      </c>
    </row>
    <row r="282" spans="1:55" ht="15" customHeight="1" outlineLevel="3" x14ac:dyDescent="0.2">
      <c r="A282" s="39">
        <v>4</v>
      </c>
      <c r="B282" s="23">
        <v>810040</v>
      </c>
      <c r="C282" s="23" t="s">
        <v>273</v>
      </c>
      <c r="D282" s="22">
        <f>input_values!Z282</f>
        <v>4</v>
      </c>
      <c r="E282" s="657">
        <v>1.0026E-2</v>
      </c>
      <c r="F282" s="31">
        <v>0</v>
      </c>
      <c r="G282" s="31">
        <v>0</v>
      </c>
      <c r="H282" s="31">
        <v>0</v>
      </c>
      <c r="I282" s="31">
        <v>3.5161168947841251E-4</v>
      </c>
      <c r="J282" s="31">
        <v>0</v>
      </c>
      <c r="K282" s="31">
        <v>0</v>
      </c>
      <c r="L282" s="31">
        <v>0</v>
      </c>
      <c r="M282" s="31">
        <v>0</v>
      </c>
      <c r="N282" s="31">
        <v>0</v>
      </c>
      <c r="O282" s="31">
        <v>0</v>
      </c>
      <c r="P282" s="31">
        <v>0</v>
      </c>
      <c r="Q282" s="31">
        <v>0</v>
      </c>
      <c r="R282" s="587"/>
      <c r="S282" s="31">
        <v>2.7880522666864926E-6</v>
      </c>
      <c r="T282" s="31"/>
      <c r="U282" s="31">
        <v>0</v>
      </c>
      <c r="V282" s="31">
        <v>0</v>
      </c>
      <c r="W282" s="31">
        <v>0</v>
      </c>
      <c r="X282" s="31">
        <v>0</v>
      </c>
      <c r="Y282" s="31">
        <v>0</v>
      </c>
      <c r="Z282" s="31">
        <v>0</v>
      </c>
      <c r="AA282" s="31">
        <v>0</v>
      </c>
      <c r="AB282" s="31">
        <v>0</v>
      </c>
      <c r="AC282" s="31">
        <v>0</v>
      </c>
      <c r="AD282" s="31">
        <v>0</v>
      </c>
      <c r="AE282" s="31"/>
      <c r="AF282" s="31"/>
      <c r="AG282" s="31"/>
      <c r="AH282" s="31"/>
      <c r="AI282" s="31"/>
      <c r="AJ282" s="31"/>
      <c r="AK282" s="663">
        <v>3.0834056461214891E-4</v>
      </c>
      <c r="AL282" s="663">
        <v>2.5561537216866367E-4</v>
      </c>
      <c r="AM282" s="31">
        <v>0</v>
      </c>
      <c r="AN282" s="584"/>
      <c r="AO282" s="584"/>
      <c r="AP282" s="663"/>
      <c r="AQ282" s="31"/>
      <c r="AR282" s="31"/>
      <c r="AS282" s="31"/>
      <c r="AT282" s="31"/>
      <c r="AU282" s="31"/>
      <c r="AV282" s="31"/>
      <c r="AW282" s="31"/>
      <c r="AX282" s="31"/>
      <c r="AY282" s="31"/>
      <c r="AZ282" s="31">
        <f t="shared" si="58"/>
        <v>1.0026E-2</v>
      </c>
      <c r="BA282" s="25" t="str">
        <f t="shared" si="59"/>
        <v>DE child</v>
      </c>
      <c r="BB282" s="25">
        <f t="shared" si="60"/>
        <v>0</v>
      </c>
      <c r="BC282" s="25" t="str">
        <f t="shared" si="61"/>
        <v/>
      </c>
    </row>
    <row r="283" spans="1:55" ht="15" customHeight="1" outlineLevel="3" x14ac:dyDescent="0.2">
      <c r="A283" s="39">
        <v>4</v>
      </c>
      <c r="B283" s="23">
        <v>810050</v>
      </c>
      <c r="C283" s="23" t="s">
        <v>274</v>
      </c>
      <c r="D283" s="22">
        <f>input_values!Z283</f>
        <v>4</v>
      </c>
      <c r="E283" s="657">
        <v>1.0026999999999999E-2</v>
      </c>
      <c r="F283" s="31">
        <v>0</v>
      </c>
      <c r="G283" s="31">
        <v>0</v>
      </c>
      <c r="H283" s="31">
        <v>0</v>
      </c>
      <c r="I283" s="31">
        <v>3.5161168947841251E-4</v>
      </c>
      <c r="J283" s="31">
        <v>0</v>
      </c>
      <c r="K283" s="31">
        <v>0</v>
      </c>
      <c r="L283" s="31">
        <v>0</v>
      </c>
      <c r="M283" s="31">
        <v>0</v>
      </c>
      <c r="N283" s="31">
        <v>0</v>
      </c>
      <c r="O283" s="31">
        <v>0</v>
      </c>
      <c r="P283" s="31">
        <v>0</v>
      </c>
      <c r="Q283" s="31">
        <v>0</v>
      </c>
      <c r="R283" s="587"/>
      <c r="S283" s="31">
        <v>2.7880522666864926E-6</v>
      </c>
      <c r="T283" s="31"/>
      <c r="U283" s="31">
        <v>0</v>
      </c>
      <c r="V283" s="31">
        <v>0</v>
      </c>
      <c r="W283" s="31">
        <v>0</v>
      </c>
      <c r="X283" s="31">
        <v>0</v>
      </c>
      <c r="Y283" s="31">
        <v>0</v>
      </c>
      <c r="Z283" s="31">
        <v>0</v>
      </c>
      <c r="AA283" s="31">
        <v>0</v>
      </c>
      <c r="AB283" s="31">
        <v>0</v>
      </c>
      <c r="AC283" s="31">
        <v>0</v>
      </c>
      <c r="AD283" s="31">
        <v>0</v>
      </c>
      <c r="AE283" s="31"/>
      <c r="AF283" s="31"/>
      <c r="AG283" s="31"/>
      <c r="AH283" s="31"/>
      <c r="AI283" s="31"/>
      <c r="AJ283" s="31"/>
      <c r="AK283" s="663">
        <v>1.5883621098220088E-8</v>
      </c>
      <c r="AL283" s="663">
        <v>0</v>
      </c>
      <c r="AM283" s="31">
        <v>0</v>
      </c>
      <c r="AN283" s="584"/>
      <c r="AO283" s="584"/>
      <c r="AP283" s="663"/>
      <c r="AQ283" s="31"/>
      <c r="AR283" s="31"/>
      <c r="AS283" s="31"/>
      <c r="AT283" s="31"/>
      <c r="AU283" s="31"/>
      <c r="AV283" s="31"/>
      <c r="AW283" s="31"/>
      <c r="AX283" s="31"/>
      <c r="AY283" s="31"/>
      <c r="AZ283" s="31">
        <f t="shared" si="58"/>
        <v>1.0026999999999999E-2</v>
      </c>
      <c r="BA283" s="25" t="str">
        <f t="shared" si="59"/>
        <v>DE child</v>
      </c>
      <c r="BB283" s="25">
        <f t="shared" si="60"/>
        <v>0</v>
      </c>
      <c r="BC283" s="25" t="str">
        <f t="shared" si="61"/>
        <v/>
      </c>
    </row>
    <row r="284" spans="1:55" ht="15" customHeight="1" outlineLevel="3" x14ac:dyDescent="0.2">
      <c r="A284" s="39">
        <v>4</v>
      </c>
      <c r="B284" s="23">
        <v>810060</v>
      </c>
      <c r="C284" s="23" t="s">
        <v>275</v>
      </c>
      <c r="D284" s="22">
        <f>input_values!Z284</f>
        <v>4</v>
      </c>
      <c r="E284" s="657">
        <v>0</v>
      </c>
      <c r="F284" s="31">
        <v>0</v>
      </c>
      <c r="G284" s="31">
        <v>0</v>
      </c>
      <c r="H284" s="31">
        <v>0</v>
      </c>
      <c r="I284" s="31">
        <v>0</v>
      </c>
      <c r="J284" s="31">
        <v>0</v>
      </c>
      <c r="K284" s="31">
        <v>0</v>
      </c>
      <c r="L284" s="31">
        <v>0</v>
      </c>
      <c r="M284" s="31">
        <v>0</v>
      </c>
      <c r="N284" s="31">
        <v>0</v>
      </c>
      <c r="O284" s="31">
        <v>0</v>
      </c>
      <c r="P284" s="31">
        <v>0</v>
      </c>
      <c r="Q284" s="31">
        <v>0</v>
      </c>
      <c r="R284" s="587"/>
      <c r="S284" s="31">
        <v>0</v>
      </c>
      <c r="T284" s="31"/>
      <c r="U284" s="31">
        <v>0</v>
      </c>
      <c r="V284" s="31">
        <v>0</v>
      </c>
      <c r="W284" s="31">
        <v>0</v>
      </c>
      <c r="X284" s="31">
        <v>0</v>
      </c>
      <c r="Y284" s="31">
        <v>0</v>
      </c>
      <c r="Z284" s="31">
        <v>0</v>
      </c>
      <c r="AA284" s="31">
        <v>0</v>
      </c>
      <c r="AB284" s="31">
        <v>0</v>
      </c>
      <c r="AC284" s="31">
        <v>0</v>
      </c>
      <c r="AD284" s="31">
        <v>0</v>
      </c>
      <c r="AE284" s="31"/>
      <c r="AF284" s="31"/>
      <c r="AG284" s="31"/>
      <c r="AH284" s="31"/>
      <c r="AI284" s="31"/>
      <c r="AJ284" s="31"/>
      <c r="AK284" s="663">
        <v>0</v>
      </c>
      <c r="AL284" s="663">
        <v>0</v>
      </c>
      <c r="AM284" s="31">
        <v>0</v>
      </c>
      <c r="AN284" s="584"/>
      <c r="AO284" s="584"/>
      <c r="AP284" s="663"/>
      <c r="AQ284" s="31"/>
      <c r="AR284" s="31"/>
      <c r="AS284" s="31"/>
      <c r="AT284" s="31"/>
      <c r="AU284" s="31"/>
      <c r="AV284" s="31"/>
      <c r="AW284" s="31"/>
      <c r="AX284" s="31"/>
      <c r="AY284" s="31"/>
      <c r="AZ284" s="31">
        <f t="shared" si="58"/>
        <v>0</v>
      </c>
      <c r="BA284" s="25" t="str">
        <f t="shared" si="59"/>
        <v>DE child</v>
      </c>
      <c r="BB284" s="25">
        <f t="shared" si="60"/>
        <v>0</v>
      </c>
      <c r="BC284" s="25" t="str">
        <f t="shared" si="61"/>
        <v/>
      </c>
    </row>
    <row r="285" spans="1:55" ht="15" customHeight="1" outlineLevel="3" x14ac:dyDescent="0.2">
      <c r="A285" s="39">
        <v>4</v>
      </c>
      <c r="B285" s="23">
        <v>810070</v>
      </c>
      <c r="C285" s="23" t="s">
        <v>276</v>
      </c>
      <c r="D285" s="22">
        <f>input_values!Z285</f>
        <v>4</v>
      </c>
      <c r="E285" s="657">
        <v>1.0028E-2</v>
      </c>
      <c r="F285" s="31">
        <v>0</v>
      </c>
      <c r="G285" s="31">
        <v>0</v>
      </c>
      <c r="H285" s="31">
        <v>0</v>
      </c>
      <c r="I285" s="31">
        <v>0</v>
      </c>
      <c r="J285" s="31">
        <v>0</v>
      </c>
      <c r="K285" s="31">
        <v>0</v>
      </c>
      <c r="L285" s="31">
        <v>0</v>
      </c>
      <c r="M285" s="31">
        <v>0</v>
      </c>
      <c r="N285" s="31">
        <v>0</v>
      </c>
      <c r="O285" s="31">
        <v>0</v>
      </c>
      <c r="P285" s="31">
        <v>0</v>
      </c>
      <c r="Q285" s="31">
        <v>0</v>
      </c>
      <c r="R285" s="587"/>
      <c r="S285" s="31">
        <v>0</v>
      </c>
      <c r="T285" s="31"/>
      <c r="U285" s="31">
        <v>0</v>
      </c>
      <c r="V285" s="31">
        <v>0</v>
      </c>
      <c r="W285" s="31">
        <v>0</v>
      </c>
      <c r="X285" s="31">
        <v>0</v>
      </c>
      <c r="Y285" s="31">
        <v>0</v>
      </c>
      <c r="Z285" s="31">
        <v>0</v>
      </c>
      <c r="AA285" s="31">
        <v>0</v>
      </c>
      <c r="AB285" s="31">
        <v>0</v>
      </c>
      <c r="AC285" s="31">
        <v>0</v>
      </c>
      <c r="AD285" s="31">
        <v>0</v>
      </c>
      <c r="AE285" s="31"/>
      <c r="AF285" s="31"/>
      <c r="AG285" s="31"/>
      <c r="AH285" s="31"/>
      <c r="AI285" s="31"/>
      <c r="AJ285" s="31"/>
      <c r="AK285" s="663">
        <v>1.7296157441586361E-7</v>
      </c>
      <c r="AL285" s="663">
        <v>7.7702224390371725E-8</v>
      </c>
      <c r="AM285" s="31">
        <v>0</v>
      </c>
      <c r="AN285" s="584"/>
      <c r="AO285" s="584"/>
      <c r="AP285" s="663"/>
      <c r="AQ285" s="31"/>
      <c r="AR285" s="31"/>
      <c r="AS285" s="31"/>
      <c r="AT285" s="31"/>
      <c r="AU285" s="31"/>
      <c r="AV285" s="31"/>
      <c r="AW285" s="31"/>
      <c r="AX285" s="31"/>
      <c r="AY285" s="31"/>
      <c r="AZ285" s="31">
        <f t="shared" si="58"/>
        <v>1.0028E-2</v>
      </c>
      <c r="BA285" s="25" t="str">
        <f t="shared" si="59"/>
        <v>DE child</v>
      </c>
      <c r="BB285" s="25">
        <f t="shared" si="60"/>
        <v>0</v>
      </c>
      <c r="BC285" s="25" t="str">
        <f t="shared" si="61"/>
        <v/>
      </c>
    </row>
    <row r="286" spans="1:55" ht="15" customHeight="1" outlineLevel="3" x14ac:dyDescent="0.2">
      <c r="A286" s="39">
        <v>4</v>
      </c>
      <c r="B286" s="23">
        <v>810080</v>
      </c>
      <c r="C286" s="23" t="s">
        <v>277</v>
      </c>
      <c r="D286" s="22">
        <f>input_values!Z286</f>
        <v>4</v>
      </c>
      <c r="E286" s="657">
        <v>0</v>
      </c>
      <c r="F286" s="31">
        <v>0</v>
      </c>
      <c r="G286" s="31">
        <v>0</v>
      </c>
      <c r="H286" s="31">
        <v>0</v>
      </c>
      <c r="I286" s="31">
        <v>0</v>
      </c>
      <c r="J286" s="31">
        <v>0</v>
      </c>
      <c r="K286" s="31">
        <v>0</v>
      </c>
      <c r="L286" s="31">
        <v>0</v>
      </c>
      <c r="M286" s="31">
        <v>0</v>
      </c>
      <c r="N286" s="31">
        <v>0</v>
      </c>
      <c r="O286" s="31">
        <v>0</v>
      </c>
      <c r="P286" s="31">
        <v>0</v>
      </c>
      <c r="Q286" s="31">
        <v>0</v>
      </c>
      <c r="R286" s="587"/>
      <c r="S286" s="31">
        <v>0</v>
      </c>
      <c r="T286" s="31"/>
      <c r="U286" s="31">
        <v>0</v>
      </c>
      <c r="V286" s="31">
        <v>0</v>
      </c>
      <c r="W286" s="31">
        <v>0</v>
      </c>
      <c r="X286" s="31">
        <v>0</v>
      </c>
      <c r="Y286" s="31">
        <v>0</v>
      </c>
      <c r="Z286" s="31">
        <v>0</v>
      </c>
      <c r="AA286" s="31">
        <v>0</v>
      </c>
      <c r="AB286" s="31">
        <v>0</v>
      </c>
      <c r="AC286" s="31">
        <v>0</v>
      </c>
      <c r="AD286" s="31">
        <v>0</v>
      </c>
      <c r="AE286" s="31"/>
      <c r="AF286" s="31"/>
      <c r="AG286" s="31"/>
      <c r="AH286" s="31"/>
      <c r="AI286" s="31"/>
      <c r="AJ286" s="31"/>
      <c r="AK286" s="663">
        <v>7.5204451934323561E-6</v>
      </c>
      <c r="AL286" s="663">
        <v>7.5874489188542041E-6</v>
      </c>
      <c r="AM286" s="31">
        <v>0</v>
      </c>
      <c r="AN286" s="584"/>
      <c r="AO286" s="584"/>
      <c r="AP286" s="663"/>
      <c r="AQ286" s="31"/>
      <c r="AR286" s="31"/>
      <c r="AS286" s="31"/>
      <c r="AT286" s="31"/>
      <c r="AU286" s="31"/>
      <c r="AV286" s="31"/>
      <c r="AW286" s="31"/>
      <c r="AX286" s="31"/>
      <c r="AY286" s="31"/>
      <c r="AZ286" s="31">
        <f t="shared" si="58"/>
        <v>7.5874489188542041E-6</v>
      </c>
      <c r="BA286" s="25" t="str">
        <f t="shared" si="59"/>
        <v>DE women 14-50 yr</v>
      </c>
      <c r="BB286" s="25">
        <f t="shared" si="60"/>
        <v>0</v>
      </c>
      <c r="BC286" s="25" t="str">
        <f t="shared" si="61"/>
        <v/>
      </c>
    </row>
    <row r="287" spans="1:55" ht="15" customHeight="1" outlineLevel="3" x14ac:dyDescent="0.2">
      <c r="A287" s="39">
        <v>4</v>
      </c>
      <c r="B287" s="23">
        <v>810090</v>
      </c>
      <c r="C287" s="23" t="s">
        <v>278</v>
      </c>
      <c r="D287" s="22">
        <f>input_values!Z287</f>
        <v>4</v>
      </c>
      <c r="E287" s="657">
        <v>1.0029E-2</v>
      </c>
      <c r="F287" s="31">
        <v>0</v>
      </c>
      <c r="G287" s="31">
        <v>0</v>
      </c>
      <c r="H287" s="31">
        <v>0</v>
      </c>
      <c r="I287" s="31">
        <v>0</v>
      </c>
      <c r="J287" s="31">
        <v>0</v>
      </c>
      <c r="K287" s="31">
        <v>0</v>
      </c>
      <c r="L287" s="31">
        <v>0</v>
      </c>
      <c r="M287" s="31">
        <v>0</v>
      </c>
      <c r="N287" s="31">
        <v>0</v>
      </c>
      <c r="O287" s="31">
        <v>0</v>
      </c>
      <c r="P287" s="31">
        <v>0</v>
      </c>
      <c r="Q287" s="31">
        <v>0</v>
      </c>
      <c r="R287" s="587"/>
      <c r="S287" s="31">
        <v>0</v>
      </c>
      <c r="T287" s="31"/>
      <c r="U287" s="31">
        <v>0</v>
      </c>
      <c r="V287" s="31">
        <v>0</v>
      </c>
      <c r="W287" s="31">
        <v>0</v>
      </c>
      <c r="X287" s="31">
        <v>0</v>
      </c>
      <c r="Y287" s="31">
        <v>0</v>
      </c>
      <c r="Z287" s="31">
        <v>0</v>
      </c>
      <c r="AA287" s="31">
        <v>0</v>
      </c>
      <c r="AB287" s="31">
        <v>0</v>
      </c>
      <c r="AC287" s="31">
        <v>0</v>
      </c>
      <c r="AD287" s="31">
        <v>0</v>
      </c>
      <c r="AE287" s="31">
        <v>1.6666666666666668E-3</v>
      </c>
      <c r="AF287" s="31">
        <v>1.6666666666666668E-3</v>
      </c>
      <c r="AG287" s="31">
        <v>1.6666666666666668E-3</v>
      </c>
      <c r="AH287" s="31">
        <v>1.6666666666666668E-3</v>
      </c>
      <c r="AI287" s="31">
        <v>2.8333333333333335E-3</v>
      </c>
      <c r="AJ287" s="31">
        <v>1.6666666666666668E-3</v>
      </c>
      <c r="AK287" s="663">
        <v>5.6554503724116835E-4</v>
      </c>
      <c r="AL287" s="663">
        <v>5.7247355628732013E-4</v>
      </c>
      <c r="AM287" s="31">
        <v>0</v>
      </c>
      <c r="AN287" s="584"/>
      <c r="AO287" s="584"/>
      <c r="AP287" s="663"/>
      <c r="AQ287" s="31"/>
      <c r="AR287" s="31"/>
      <c r="AS287" s="31"/>
      <c r="AT287" s="31"/>
      <c r="AU287" s="31"/>
      <c r="AV287" s="31"/>
      <c r="AW287" s="31"/>
      <c r="AX287" s="31"/>
      <c r="AY287" s="31"/>
      <c r="AZ287" s="31">
        <f t="shared" si="58"/>
        <v>1.0029E-2</v>
      </c>
      <c r="BA287" s="25" t="str">
        <f t="shared" si="59"/>
        <v>DE child</v>
      </c>
      <c r="BB287" s="25">
        <f t="shared" si="60"/>
        <v>0</v>
      </c>
      <c r="BC287" s="25" t="str">
        <f t="shared" si="61"/>
        <v/>
      </c>
    </row>
    <row r="288" spans="1:55" ht="15" customHeight="1" outlineLevel="3" x14ac:dyDescent="0.2">
      <c r="A288" s="39">
        <v>4</v>
      </c>
      <c r="B288" s="23">
        <v>810990</v>
      </c>
      <c r="C288" s="23" t="s">
        <v>183</v>
      </c>
      <c r="D288" s="22">
        <f>input_values!Z288</f>
        <v>4</v>
      </c>
      <c r="E288" s="657">
        <v>0</v>
      </c>
      <c r="F288" s="31"/>
      <c r="G288" s="31">
        <v>0</v>
      </c>
      <c r="H288" s="31">
        <v>1.6099023057541999E-4</v>
      </c>
      <c r="I288" s="31">
        <v>1.0753207732897101E-3</v>
      </c>
      <c r="J288" s="31">
        <v>9.2468257612904E-4</v>
      </c>
      <c r="K288" s="31">
        <v>0</v>
      </c>
      <c r="L288" s="31">
        <v>0</v>
      </c>
      <c r="M288" s="31">
        <v>0</v>
      </c>
      <c r="N288" s="31">
        <v>0</v>
      </c>
      <c r="O288" s="31">
        <v>0</v>
      </c>
      <c r="P288" s="31">
        <v>0</v>
      </c>
      <c r="Q288" s="31">
        <v>0</v>
      </c>
      <c r="R288" s="587"/>
      <c r="S288" s="31">
        <v>4.3721943582417528E-4</v>
      </c>
      <c r="T288" s="31"/>
      <c r="U288" s="31">
        <v>0</v>
      </c>
      <c r="V288" s="31">
        <v>0</v>
      </c>
      <c r="W288" s="31">
        <v>0</v>
      </c>
      <c r="X288" s="31">
        <v>0</v>
      </c>
      <c r="Y288" s="31">
        <v>0</v>
      </c>
      <c r="Z288" s="31">
        <v>0</v>
      </c>
      <c r="AA288" s="31">
        <v>0</v>
      </c>
      <c r="AB288" s="31">
        <v>0</v>
      </c>
      <c r="AC288" s="31">
        <v>0</v>
      </c>
      <c r="AD288" s="31">
        <v>0</v>
      </c>
      <c r="AE288" s="31"/>
      <c r="AF288" s="31"/>
      <c r="AG288" s="31"/>
      <c r="AH288" s="31"/>
      <c r="AI288" s="31"/>
      <c r="AJ288" s="31"/>
      <c r="AK288" s="663">
        <v>0</v>
      </c>
      <c r="AL288" s="663">
        <v>0</v>
      </c>
      <c r="AM288" s="31">
        <v>0</v>
      </c>
      <c r="AN288" s="584"/>
      <c r="AO288" s="584"/>
      <c r="AP288" s="663"/>
      <c r="AQ288" s="31"/>
      <c r="AR288" s="31"/>
      <c r="AS288" s="31"/>
      <c r="AT288" s="31"/>
      <c r="AU288" s="31"/>
      <c r="AV288" s="31"/>
      <c r="AW288" s="31"/>
      <c r="AX288" s="31"/>
      <c r="AY288" s="31"/>
      <c r="AZ288" s="31">
        <f t="shared" si="58"/>
        <v>1.0753207732897101E-3</v>
      </c>
      <c r="BA288" s="25" t="str">
        <f t="shared" si="59"/>
        <v>FR toddler 2 3 yr</v>
      </c>
      <c r="BB288" s="25">
        <f t="shared" si="60"/>
        <v>0</v>
      </c>
      <c r="BC288" s="25" t="str">
        <f t="shared" si="61"/>
        <v/>
      </c>
    </row>
    <row r="289" spans="1:55" ht="15" customHeight="1" outlineLevel="1" x14ac:dyDescent="0.2">
      <c r="A289" s="130">
        <v>2</v>
      </c>
      <c r="B289" s="131">
        <v>820000</v>
      </c>
      <c r="C289" s="131" t="s">
        <v>783</v>
      </c>
      <c r="D289" s="79">
        <f>input_values!Z289</f>
        <v>4</v>
      </c>
      <c r="E289" s="581">
        <f>SUM(E290:E298)</f>
        <v>7.0126000000000008E-2</v>
      </c>
      <c r="F289" s="92">
        <f t="shared" ref="F289:AO289" si="65">SUM(F290:F298)</f>
        <v>0</v>
      </c>
      <c r="G289" s="92">
        <f t="shared" si="65"/>
        <v>0</v>
      </c>
      <c r="H289" s="92">
        <f t="shared" si="65"/>
        <v>2.6612740426377421E-4</v>
      </c>
      <c r="I289" s="92">
        <f t="shared" si="65"/>
        <v>1.6292289826612067E-3</v>
      </c>
      <c r="J289" s="92">
        <f t="shared" si="65"/>
        <v>1.6429349109820786E-3</v>
      </c>
      <c r="K289" s="92">
        <f t="shared" si="65"/>
        <v>0</v>
      </c>
      <c r="L289" s="92">
        <f t="shared" si="65"/>
        <v>0</v>
      </c>
      <c r="M289" s="92">
        <f t="shared" si="65"/>
        <v>0</v>
      </c>
      <c r="N289" s="92">
        <f t="shared" si="65"/>
        <v>0</v>
      </c>
      <c r="O289" s="92">
        <f t="shared" si="65"/>
        <v>0</v>
      </c>
      <c r="P289" s="92">
        <f t="shared" si="65"/>
        <v>0</v>
      </c>
      <c r="Q289" s="92">
        <f t="shared" si="65"/>
        <v>0</v>
      </c>
      <c r="R289" s="92">
        <f t="shared" si="65"/>
        <v>0</v>
      </c>
      <c r="S289" s="92">
        <f t="shared" si="65"/>
        <v>9.176964529345646E-4</v>
      </c>
      <c r="T289" s="92"/>
      <c r="U289" s="92">
        <f t="shared" si="65"/>
        <v>0</v>
      </c>
      <c r="V289" s="92">
        <f t="shared" si="65"/>
        <v>0</v>
      </c>
      <c r="W289" s="92">
        <f t="shared" si="65"/>
        <v>0</v>
      </c>
      <c r="X289" s="92">
        <f t="shared" si="65"/>
        <v>0</v>
      </c>
      <c r="Y289" s="92">
        <f t="shared" si="65"/>
        <v>0</v>
      </c>
      <c r="Z289" s="92">
        <f t="shared" si="65"/>
        <v>0</v>
      </c>
      <c r="AA289" s="92">
        <f t="shared" si="65"/>
        <v>0</v>
      </c>
      <c r="AB289" s="92">
        <f t="shared" si="65"/>
        <v>0</v>
      </c>
      <c r="AC289" s="92">
        <f t="shared" si="65"/>
        <v>0</v>
      </c>
      <c r="AD289" s="92">
        <f t="shared" si="65"/>
        <v>0</v>
      </c>
      <c r="AE289" s="92">
        <f t="shared" si="65"/>
        <v>0.01</v>
      </c>
      <c r="AF289" s="92">
        <f t="shared" si="65"/>
        <v>6.8333333333333336E-3</v>
      </c>
      <c r="AG289" s="92">
        <f t="shared" si="65"/>
        <v>8.4999999999999989E-3</v>
      </c>
      <c r="AH289" s="92">
        <f t="shared" si="65"/>
        <v>7.3333333333333341E-3</v>
      </c>
      <c r="AI289" s="92">
        <f t="shared" si="65"/>
        <v>1.3333333333333332E-2</v>
      </c>
      <c r="AJ289" s="92">
        <f t="shared" si="65"/>
        <v>5.6666666666666671E-3</v>
      </c>
      <c r="AK289" s="92">
        <f t="shared" si="65"/>
        <v>4.8774663517539823E-3</v>
      </c>
      <c r="AL289" s="92">
        <f t="shared" si="65"/>
        <v>4.9892348568755162E-3</v>
      </c>
      <c r="AM289" s="92">
        <f t="shared" si="65"/>
        <v>9.7100000000000011E-7</v>
      </c>
      <c r="AN289" s="92">
        <f t="shared" si="65"/>
        <v>0</v>
      </c>
      <c r="AO289" s="92">
        <f t="shared" si="65"/>
        <v>0</v>
      </c>
      <c r="AP289" s="92"/>
      <c r="AQ289" s="92"/>
      <c r="AR289" s="92"/>
      <c r="AS289" s="92"/>
      <c r="AT289" s="92"/>
      <c r="AU289" s="92"/>
      <c r="AV289" s="92"/>
      <c r="AW289" s="92"/>
      <c r="AX289" s="92" t="s">
        <v>369</v>
      </c>
      <c r="AY289" s="92"/>
      <c r="AZ289" s="92">
        <f t="shared" si="58"/>
        <v>7.0126000000000008E-2</v>
      </c>
      <c r="BA289" s="42" t="str">
        <f t="shared" si="59"/>
        <v>DE child</v>
      </c>
      <c r="BB289" s="42">
        <f t="shared" si="60"/>
        <v>0</v>
      </c>
      <c r="BC289" s="42" t="str">
        <f t="shared" si="61"/>
        <v/>
      </c>
    </row>
    <row r="290" spans="1:55" ht="15" customHeight="1" outlineLevel="3" x14ac:dyDescent="0.2">
      <c r="A290" s="39">
        <v>4</v>
      </c>
      <c r="B290" s="23">
        <v>820010</v>
      </c>
      <c r="C290" s="23" t="s">
        <v>778</v>
      </c>
      <c r="D290" s="22">
        <f>input_values!Z290</f>
        <v>4</v>
      </c>
      <c r="E290" s="657">
        <v>1.0030000000000001E-2</v>
      </c>
      <c r="F290" s="31">
        <v>0</v>
      </c>
      <c r="G290" s="31">
        <v>0</v>
      </c>
      <c r="H290" s="31">
        <v>0</v>
      </c>
      <c r="I290" s="31">
        <v>0</v>
      </c>
      <c r="J290" s="31">
        <v>0</v>
      </c>
      <c r="K290" s="31">
        <v>0</v>
      </c>
      <c r="L290" s="31">
        <v>0</v>
      </c>
      <c r="M290" s="31">
        <v>0</v>
      </c>
      <c r="N290" s="31">
        <v>0</v>
      </c>
      <c r="O290" s="31">
        <v>0</v>
      </c>
      <c r="P290" s="31">
        <v>0</v>
      </c>
      <c r="Q290" s="31">
        <v>0</v>
      </c>
      <c r="R290" s="587"/>
      <c r="S290" s="31">
        <v>0</v>
      </c>
      <c r="T290" s="31"/>
      <c r="U290" s="31">
        <v>0</v>
      </c>
      <c r="V290" s="31">
        <v>0</v>
      </c>
      <c r="W290" s="31">
        <v>0</v>
      </c>
      <c r="X290" s="31">
        <v>0</v>
      </c>
      <c r="Y290" s="31">
        <v>0</v>
      </c>
      <c r="Z290" s="31">
        <v>0</v>
      </c>
      <c r="AA290" s="31">
        <v>0</v>
      </c>
      <c r="AB290" s="31">
        <v>0</v>
      </c>
      <c r="AC290" s="31">
        <v>0</v>
      </c>
      <c r="AD290" s="31">
        <v>0</v>
      </c>
      <c r="AE290" s="31"/>
      <c r="AF290" s="31"/>
      <c r="AG290" s="31"/>
      <c r="AH290" s="31"/>
      <c r="AI290" s="31"/>
      <c r="AJ290" s="31"/>
      <c r="AK290" s="663">
        <v>4.8706275056227812E-5</v>
      </c>
      <c r="AL290" s="663">
        <v>4.2982791633786826E-5</v>
      </c>
      <c r="AM290" s="31">
        <v>9.7100000000000011E-7</v>
      </c>
      <c r="AN290" s="584"/>
      <c r="AO290" s="584"/>
      <c r="AP290" s="663"/>
      <c r="AQ290" s="31"/>
      <c r="AR290" s="31"/>
      <c r="AS290" s="31"/>
      <c r="AT290" s="31"/>
      <c r="AU290" s="31"/>
      <c r="AV290" s="31"/>
      <c r="AW290" s="31"/>
      <c r="AX290" s="31"/>
      <c r="AY290" s="31"/>
      <c r="AZ290" s="31">
        <f t="shared" si="58"/>
        <v>1.0030000000000001E-2</v>
      </c>
      <c r="BA290" s="25" t="str">
        <f t="shared" si="59"/>
        <v>DE child</v>
      </c>
      <c r="BB290" s="25">
        <f t="shared" si="60"/>
        <v>0</v>
      </c>
      <c r="BC290" s="25" t="str">
        <f t="shared" si="61"/>
        <v/>
      </c>
    </row>
    <row r="291" spans="1:55" ht="15" customHeight="1" outlineLevel="3" x14ac:dyDescent="0.2">
      <c r="A291" s="39">
        <v>4</v>
      </c>
      <c r="B291" s="23">
        <v>820020</v>
      </c>
      <c r="C291" s="23" t="s">
        <v>779</v>
      </c>
      <c r="D291" s="22">
        <f>input_values!Z291</f>
        <v>4</v>
      </c>
      <c r="E291" s="657">
        <v>0</v>
      </c>
      <c r="F291" s="31">
        <v>0</v>
      </c>
      <c r="G291" s="31">
        <v>0</v>
      </c>
      <c r="H291" s="31">
        <v>0</v>
      </c>
      <c r="I291" s="31">
        <v>0</v>
      </c>
      <c r="J291" s="31">
        <v>0</v>
      </c>
      <c r="K291" s="31">
        <v>0</v>
      </c>
      <c r="L291" s="31">
        <v>0</v>
      </c>
      <c r="M291" s="31">
        <v>0</v>
      </c>
      <c r="N291" s="31">
        <v>0</v>
      </c>
      <c r="O291" s="31">
        <v>0</v>
      </c>
      <c r="P291" s="31">
        <v>0</v>
      </c>
      <c r="Q291" s="31">
        <v>0</v>
      </c>
      <c r="R291" s="587"/>
      <c r="S291" s="31">
        <v>0</v>
      </c>
      <c r="T291" s="31"/>
      <c r="U291" s="31">
        <v>0</v>
      </c>
      <c r="V291" s="31">
        <v>0</v>
      </c>
      <c r="W291" s="31">
        <v>0</v>
      </c>
      <c r="X291" s="31">
        <v>0</v>
      </c>
      <c r="Y291" s="31">
        <v>0</v>
      </c>
      <c r="Z291" s="31">
        <v>0</v>
      </c>
      <c r="AA291" s="31">
        <v>0</v>
      </c>
      <c r="AB291" s="31">
        <v>0</v>
      </c>
      <c r="AC291" s="31">
        <v>0</v>
      </c>
      <c r="AD291" s="31">
        <v>0</v>
      </c>
      <c r="AE291" s="31"/>
      <c r="AF291" s="31"/>
      <c r="AG291" s="31"/>
      <c r="AH291" s="31"/>
      <c r="AI291" s="31"/>
      <c r="AJ291" s="31"/>
      <c r="AK291" s="663">
        <v>1.7301656145023365E-4</v>
      </c>
      <c r="AL291" s="663">
        <v>1.4740165922263811E-4</v>
      </c>
      <c r="AM291" s="31">
        <v>0</v>
      </c>
      <c r="AN291" s="584"/>
      <c r="AO291" s="584"/>
      <c r="AP291" s="663"/>
      <c r="AQ291" s="31"/>
      <c r="AR291" s="31"/>
      <c r="AS291" s="31"/>
      <c r="AT291" s="31"/>
      <c r="AU291" s="31"/>
      <c r="AV291" s="31"/>
      <c r="AW291" s="31"/>
      <c r="AX291" s="31"/>
      <c r="AY291" s="31"/>
      <c r="AZ291" s="31">
        <f t="shared" si="58"/>
        <v>1.7301656145023365E-4</v>
      </c>
      <c r="BA291" s="25" t="str">
        <f t="shared" si="59"/>
        <v>DE general</v>
      </c>
      <c r="BB291" s="25">
        <f t="shared" si="60"/>
        <v>0</v>
      </c>
      <c r="BC291" s="25" t="str">
        <f t="shared" si="61"/>
        <v/>
      </c>
    </row>
    <row r="292" spans="1:55" ht="15" customHeight="1" outlineLevel="3" x14ac:dyDescent="0.2">
      <c r="A292" s="39">
        <v>4</v>
      </c>
      <c r="B292" s="23">
        <v>820030</v>
      </c>
      <c r="C292" s="23" t="s">
        <v>279</v>
      </c>
      <c r="D292" s="22">
        <f>input_values!Z292</f>
        <v>4</v>
      </c>
      <c r="E292" s="657">
        <v>1.0031E-2</v>
      </c>
      <c r="F292" s="31">
        <v>0</v>
      </c>
      <c r="G292" s="31">
        <v>0</v>
      </c>
      <c r="H292" s="31">
        <v>0</v>
      </c>
      <c r="I292" s="31">
        <v>0</v>
      </c>
      <c r="J292" s="31">
        <v>0</v>
      </c>
      <c r="K292" s="31">
        <v>0</v>
      </c>
      <c r="L292" s="31">
        <v>0</v>
      </c>
      <c r="M292" s="31">
        <v>0</v>
      </c>
      <c r="N292" s="31">
        <v>0</v>
      </c>
      <c r="O292" s="31">
        <v>0</v>
      </c>
      <c r="P292" s="31">
        <v>0</v>
      </c>
      <c r="Q292" s="31">
        <v>0</v>
      </c>
      <c r="R292" s="587"/>
      <c r="S292" s="31">
        <v>0</v>
      </c>
      <c r="T292" s="31"/>
      <c r="U292" s="31">
        <v>0</v>
      </c>
      <c r="V292" s="31">
        <v>0</v>
      </c>
      <c r="W292" s="31">
        <v>0</v>
      </c>
      <c r="X292" s="31">
        <v>0</v>
      </c>
      <c r="Y292" s="31">
        <v>0</v>
      </c>
      <c r="Z292" s="31">
        <v>0</v>
      </c>
      <c r="AA292" s="31">
        <v>0</v>
      </c>
      <c r="AB292" s="31">
        <v>0</v>
      </c>
      <c r="AC292" s="31">
        <v>0</v>
      </c>
      <c r="AD292" s="31">
        <v>0</v>
      </c>
      <c r="AE292" s="31"/>
      <c r="AF292" s="31"/>
      <c r="AG292" s="31"/>
      <c r="AH292" s="31"/>
      <c r="AI292" s="31"/>
      <c r="AJ292" s="31"/>
      <c r="AK292" s="663">
        <v>0</v>
      </c>
      <c r="AL292" s="663">
        <v>0</v>
      </c>
      <c r="AM292" s="31">
        <v>0</v>
      </c>
      <c r="AN292" s="584"/>
      <c r="AO292" s="584"/>
      <c r="AP292" s="663"/>
      <c r="AQ292" s="31"/>
      <c r="AR292" s="31"/>
      <c r="AS292" s="31"/>
      <c r="AT292" s="31"/>
      <c r="AU292" s="31"/>
      <c r="AV292" s="31"/>
      <c r="AW292" s="31"/>
      <c r="AX292" s="31"/>
      <c r="AY292" s="31"/>
      <c r="AZ292" s="31">
        <f t="shared" si="58"/>
        <v>1.0031E-2</v>
      </c>
      <c r="BA292" s="25" t="str">
        <f t="shared" si="59"/>
        <v>DE child</v>
      </c>
      <c r="BB292" s="25">
        <f t="shared" si="60"/>
        <v>0</v>
      </c>
      <c r="BC292" s="25" t="str">
        <f t="shared" si="61"/>
        <v/>
      </c>
    </row>
    <row r="293" spans="1:55" ht="15" customHeight="1" outlineLevel="3" x14ac:dyDescent="0.2">
      <c r="A293" s="39">
        <v>4</v>
      </c>
      <c r="B293" s="23">
        <v>820040</v>
      </c>
      <c r="C293" s="23" t="s">
        <v>280</v>
      </c>
      <c r="D293" s="22">
        <f>input_values!Z293</f>
        <v>4</v>
      </c>
      <c r="E293" s="657">
        <v>1.0031999999999999E-2</v>
      </c>
      <c r="F293" s="31">
        <v>0</v>
      </c>
      <c r="G293" s="31">
        <v>0</v>
      </c>
      <c r="H293" s="31">
        <v>0</v>
      </c>
      <c r="I293" s="31">
        <v>0</v>
      </c>
      <c r="J293" s="31">
        <v>0</v>
      </c>
      <c r="K293" s="31">
        <v>0</v>
      </c>
      <c r="L293" s="31">
        <v>0</v>
      </c>
      <c r="M293" s="31">
        <v>0</v>
      </c>
      <c r="N293" s="31">
        <v>0</v>
      </c>
      <c r="O293" s="31">
        <v>0</v>
      </c>
      <c r="P293" s="31">
        <v>0</v>
      </c>
      <c r="Q293" s="31">
        <v>0</v>
      </c>
      <c r="R293" s="587"/>
      <c r="S293" s="31">
        <v>0</v>
      </c>
      <c r="T293" s="31"/>
      <c r="U293" s="31">
        <v>0</v>
      </c>
      <c r="V293" s="31">
        <v>0</v>
      </c>
      <c r="W293" s="31">
        <v>0</v>
      </c>
      <c r="X293" s="31">
        <v>0</v>
      </c>
      <c r="Y293" s="31">
        <v>0</v>
      </c>
      <c r="Z293" s="31">
        <v>0</v>
      </c>
      <c r="AA293" s="31">
        <v>0</v>
      </c>
      <c r="AB293" s="31">
        <v>0</v>
      </c>
      <c r="AC293" s="31">
        <v>0</v>
      </c>
      <c r="AD293" s="31">
        <v>0</v>
      </c>
      <c r="AE293" s="31"/>
      <c r="AF293" s="31"/>
      <c r="AG293" s="31"/>
      <c r="AH293" s="31"/>
      <c r="AI293" s="31"/>
      <c r="AJ293" s="31"/>
      <c r="AK293" s="663">
        <v>6.349937697478915E-5</v>
      </c>
      <c r="AL293" s="663">
        <v>5.9131186903180731E-5</v>
      </c>
      <c r="AM293" s="31">
        <v>0</v>
      </c>
      <c r="AN293" s="584"/>
      <c r="AO293" s="584"/>
      <c r="AP293" s="663"/>
      <c r="AQ293" s="31"/>
      <c r="AR293" s="31"/>
      <c r="AS293" s="31"/>
      <c r="AT293" s="31"/>
      <c r="AU293" s="31"/>
      <c r="AV293" s="31"/>
      <c r="AW293" s="31"/>
      <c r="AX293" s="31"/>
      <c r="AY293" s="31"/>
      <c r="AZ293" s="31">
        <f t="shared" si="58"/>
        <v>1.0031999999999999E-2</v>
      </c>
      <c r="BA293" s="25" t="str">
        <f t="shared" si="59"/>
        <v>DE child</v>
      </c>
      <c r="BB293" s="25">
        <f t="shared" si="60"/>
        <v>0</v>
      </c>
      <c r="BC293" s="25" t="str">
        <f t="shared" si="61"/>
        <v/>
      </c>
    </row>
    <row r="294" spans="1:55" ht="15" customHeight="1" outlineLevel="3" x14ac:dyDescent="0.2">
      <c r="A294" s="39">
        <v>4</v>
      </c>
      <c r="B294" s="23">
        <v>820050</v>
      </c>
      <c r="C294" s="23" t="s">
        <v>780</v>
      </c>
      <c r="D294" s="22">
        <f>input_values!Z294</f>
        <v>4</v>
      </c>
      <c r="E294" s="657">
        <v>1.0033E-2</v>
      </c>
      <c r="F294" s="31">
        <v>0</v>
      </c>
      <c r="G294" s="31">
        <v>0</v>
      </c>
      <c r="H294" s="31">
        <v>0</v>
      </c>
      <c r="I294" s="31">
        <v>0</v>
      </c>
      <c r="J294" s="31">
        <v>0</v>
      </c>
      <c r="K294" s="31">
        <v>0</v>
      </c>
      <c r="L294" s="31">
        <v>0</v>
      </c>
      <c r="M294" s="31">
        <v>0</v>
      </c>
      <c r="N294" s="31">
        <v>0</v>
      </c>
      <c r="O294" s="31">
        <v>0</v>
      </c>
      <c r="P294" s="31">
        <v>0</v>
      </c>
      <c r="Q294" s="31">
        <v>0</v>
      </c>
      <c r="R294" s="587"/>
      <c r="S294" s="31">
        <v>0</v>
      </c>
      <c r="T294" s="31"/>
      <c r="U294" s="31">
        <v>0</v>
      </c>
      <c r="V294" s="31">
        <v>0</v>
      </c>
      <c r="W294" s="31">
        <v>0</v>
      </c>
      <c r="X294" s="31">
        <v>0</v>
      </c>
      <c r="Y294" s="31">
        <v>0</v>
      </c>
      <c r="Z294" s="31">
        <v>0</v>
      </c>
      <c r="AA294" s="31">
        <v>0</v>
      </c>
      <c r="AB294" s="31">
        <v>0</v>
      </c>
      <c r="AC294" s="31">
        <v>0</v>
      </c>
      <c r="AD294" s="31">
        <v>0</v>
      </c>
      <c r="AE294" s="31"/>
      <c r="AF294" s="31"/>
      <c r="AG294" s="31"/>
      <c r="AH294" s="31"/>
      <c r="AI294" s="31"/>
      <c r="AJ294" s="31"/>
      <c r="AK294" s="663">
        <v>1.8138044361401188E-5</v>
      </c>
      <c r="AL294" s="663">
        <v>1.7860624969117109E-5</v>
      </c>
      <c r="AM294" s="31">
        <v>0</v>
      </c>
      <c r="AN294" s="584"/>
      <c r="AO294" s="584"/>
      <c r="AP294" s="663"/>
      <c r="AQ294" s="31"/>
      <c r="AR294" s="31"/>
      <c r="AS294" s="31"/>
      <c r="AT294" s="31"/>
      <c r="AU294" s="31"/>
      <c r="AV294" s="31"/>
      <c r="AW294" s="31"/>
      <c r="AX294" s="31"/>
      <c r="AY294" s="31"/>
      <c r="AZ294" s="31">
        <f t="shared" si="58"/>
        <v>1.0033E-2</v>
      </c>
      <c r="BA294" s="25" t="str">
        <f t="shared" si="59"/>
        <v>DE child</v>
      </c>
      <c r="BB294" s="25">
        <f t="shared" si="60"/>
        <v>0</v>
      </c>
      <c r="BC294" s="25" t="str">
        <f t="shared" si="61"/>
        <v/>
      </c>
    </row>
    <row r="295" spans="1:55" ht="15" customHeight="1" outlineLevel="3" x14ac:dyDescent="0.2">
      <c r="A295" s="39">
        <v>4</v>
      </c>
      <c r="B295" s="23">
        <v>820060</v>
      </c>
      <c r="C295" s="23" t="s">
        <v>781</v>
      </c>
      <c r="D295" s="22">
        <f>input_values!Z295</f>
        <v>4</v>
      </c>
      <c r="E295" s="657">
        <v>0.01</v>
      </c>
      <c r="F295" s="31">
        <v>0</v>
      </c>
      <c r="G295" s="31">
        <v>0</v>
      </c>
      <c r="H295" s="31">
        <v>1.0513717368835421E-4</v>
      </c>
      <c r="I295" s="31">
        <v>5.5390820937148649E-4</v>
      </c>
      <c r="J295" s="31">
        <v>7.1825233485303859E-4</v>
      </c>
      <c r="K295" s="31">
        <v>0</v>
      </c>
      <c r="L295" s="31">
        <v>0</v>
      </c>
      <c r="M295" s="31">
        <v>0</v>
      </c>
      <c r="N295" s="31">
        <v>0</v>
      </c>
      <c r="O295" s="31">
        <v>0</v>
      </c>
      <c r="P295" s="31">
        <v>0</v>
      </c>
      <c r="Q295" s="31">
        <v>0</v>
      </c>
      <c r="R295" s="587"/>
      <c r="S295" s="31">
        <v>4.8047701711038937E-4</v>
      </c>
      <c r="T295" s="31"/>
      <c r="U295" s="31">
        <v>0</v>
      </c>
      <c r="V295" s="31">
        <v>0</v>
      </c>
      <c r="W295" s="31">
        <v>0</v>
      </c>
      <c r="X295" s="31">
        <v>0</v>
      </c>
      <c r="Y295" s="31">
        <v>0</v>
      </c>
      <c r="Z295" s="31">
        <v>0</v>
      </c>
      <c r="AA295" s="31">
        <v>0</v>
      </c>
      <c r="AB295" s="31">
        <v>0</v>
      </c>
      <c r="AC295" s="31">
        <v>0</v>
      </c>
      <c r="AD295" s="31">
        <v>0</v>
      </c>
      <c r="AE295" s="31">
        <v>2.1666666666666666E-3</v>
      </c>
      <c r="AF295" s="31">
        <v>5.1666666666666666E-3</v>
      </c>
      <c r="AG295" s="31">
        <v>6.8333333333333328E-3</v>
      </c>
      <c r="AH295" s="31">
        <v>5.6666666666666671E-3</v>
      </c>
      <c r="AI295" s="31">
        <v>1.1666666666666665E-2</v>
      </c>
      <c r="AJ295" s="31">
        <v>4.0000000000000001E-3</v>
      </c>
      <c r="AK295" s="663">
        <v>3.5306608584949615E-3</v>
      </c>
      <c r="AL295" s="663">
        <v>3.4487740981431979E-3</v>
      </c>
      <c r="AM295" s="31">
        <v>0</v>
      </c>
      <c r="AN295" s="584"/>
      <c r="AO295" s="584"/>
      <c r="AP295" s="663"/>
      <c r="AQ295" s="31"/>
      <c r="AR295" s="31"/>
      <c r="AS295" s="31"/>
      <c r="AT295" s="31"/>
      <c r="AU295" s="31"/>
      <c r="AV295" s="31"/>
      <c r="AW295" s="31"/>
      <c r="AX295" s="31"/>
      <c r="AY295" s="31"/>
      <c r="AZ295" s="31">
        <f t="shared" si="58"/>
        <v>1.1666666666666665E-2</v>
      </c>
      <c r="BA295" s="25" t="str">
        <f t="shared" si="59"/>
        <v>GEMS/Food G11</v>
      </c>
      <c r="BB295" s="25">
        <f t="shared" si="60"/>
        <v>0</v>
      </c>
      <c r="BC295" s="25" t="str">
        <f t="shared" si="61"/>
        <v/>
      </c>
    </row>
    <row r="296" spans="1:55" ht="15" customHeight="1" outlineLevel="3" x14ac:dyDescent="0.2">
      <c r="A296" s="39">
        <v>4</v>
      </c>
      <c r="B296" s="23">
        <v>820070</v>
      </c>
      <c r="C296" s="23" t="s">
        <v>122</v>
      </c>
      <c r="D296" s="22">
        <f>input_values!Z296</f>
        <v>4</v>
      </c>
      <c r="E296" s="657">
        <v>0.02</v>
      </c>
      <c r="F296" s="31">
        <v>0</v>
      </c>
      <c r="G296" s="31">
        <v>0</v>
      </c>
      <c r="H296" s="31">
        <v>0</v>
      </c>
      <c r="I296" s="31">
        <v>0</v>
      </c>
      <c r="J296" s="31">
        <v>0</v>
      </c>
      <c r="K296" s="31">
        <v>0</v>
      </c>
      <c r="L296" s="31">
        <v>0</v>
      </c>
      <c r="M296" s="31">
        <v>0</v>
      </c>
      <c r="N296" s="31">
        <v>0</v>
      </c>
      <c r="O296" s="31">
        <v>0</v>
      </c>
      <c r="P296" s="31">
        <v>0</v>
      </c>
      <c r="Q296" s="31">
        <v>0</v>
      </c>
      <c r="R296" s="587"/>
      <c r="S296" s="31">
        <v>0</v>
      </c>
      <c r="T296" s="31"/>
      <c r="U296" s="31">
        <v>0</v>
      </c>
      <c r="V296" s="31">
        <v>0</v>
      </c>
      <c r="W296" s="31">
        <v>0</v>
      </c>
      <c r="X296" s="31">
        <v>0</v>
      </c>
      <c r="Y296" s="31">
        <v>0</v>
      </c>
      <c r="Z296" s="31">
        <v>0</v>
      </c>
      <c r="AA296" s="31">
        <v>0</v>
      </c>
      <c r="AB296" s="31">
        <v>0</v>
      </c>
      <c r="AC296" s="31">
        <v>0</v>
      </c>
      <c r="AD296" s="31">
        <v>0</v>
      </c>
      <c r="AE296" s="31">
        <v>1.6666666666666668E-3</v>
      </c>
      <c r="AF296" s="31">
        <v>1.6666666666666668E-3</v>
      </c>
      <c r="AG296" s="31">
        <v>1.6666666666666668E-3</v>
      </c>
      <c r="AH296" s="31">
        <v>1.6666666666666668E-3</v>
      </c>
      <c r="AI296" s="31">
        <v>1.6666666666666668E-3</v>
      </c>
      <c r="AJ296" s="31">
        <v>1.6666666666666668E-3</v>
      </c>
      <c r="AK296" s="663">
        <v>1.0158127066028162E-3</v>
      </c>
      <c r="AL296" s="663">
        <v>1.2484611791352478E-3</v>
      </c>
      <c r="AM296" s="31">
        <v>0</v>
      </c>
      <c r="AN296" s="584"/>
      <c r="AO296" s="584"/>
      <c r="AP296" s="663"/>
      <c r="AQ296" s="31"/>
      <c r="AR296" s="31"/>
      <c r="AS296" s="31"/>
      <c r="AT296" s="31"/>
      <c r="AU296" s="31"/>
      <c r="AV296" s="31"/>
      <c r="AW296" s="31"/>
      <c r="AX296" s="31"/>
      <c r="AY296" s="31"/>
      <c r="AZ296" s="31">
        <f t="shared" si="58"/>
        <v>0.02</v>
      </c>
      <c r="BA296" s="25" t="str">
        <f t="shared" si="59"/>
        <v>DE child</v>
      </c>
      <c r="BB296" s="25">
        <f t="shared" si="60"/>
        <v>0</v>
      </c>
      <c r="BC296" s="25" t="str">
        <f t="shared" si="61"/>
        <v/>
      </c>
    </row>
    <row r="297" spans="1:55" ht="15" customHeight="1" outlineLevel="3" x14ac:dyDescent="0.2">
      <c r="A297" s="39">
        <v>4</v>
      </c>
      <c r="B297" s="23">
        <v>820080</v>
      </c>
      <c r="C297" s="23" t="s">
        <v>123</v>
      </c>
      <c r="D297" s="22">
        <f>input_values!Z297</f>
        <v>4</v>
      </c>
      <c r="E297" s="657">
        <v>0</v>
      </c>
      <c r="F297" s="31">
        <v>0</v>
      </c>
      <c r="G297" s="31">
        <v>0</v>
      </c>
      <c r="H297" s="31">
        <v>0</v>
      </c>
      <c r="I297" s="31">
        <v>0</v>
      </c>
      <c r="J297" s="31">
        <v>0</v>
      </c>
      <c r="K297" s="31">
        <v>0</v>
      </c>
      <c r="L297" s="31">
        <v>0</v>
      </c>
      <c r="M297" s="31">
        <v>0</v>
      </c>
      <c r="N297" s="31">
        <v>0</v>
      </c>
      <c r="O297" s="31">
        <v>0</v>
      </c>
      <c r="P297" s="31">
        <v>0</v>
      </c>
      <c r="Q297" s="31">
        <v>0</v>
      </c>
      <c r="R297" s="587"/>
      <c r="S297" s="31">
        <v>0</v>
      </c>
      <c r="T297" s="31"/>
      <c r="U297" s="31">
        <v>0</v>
      </c>
      <c r="V297" s="31">
        <v>0</v>
      </c>
      <c r="W297" s="31">
        <v>0</v>
      </c>
      <c r="X297" s="31">
        <v>0</v>
      </c>
      <c r="Y297" s="31">
        <v>0</v>
      </c>
      <c r="Z297" s="31">
        <v>0</v>
      </c>
      <c r="AA297" s="31">
        <v>0</v>
      </c>
      <c r="AB297" s="31">
        <v>0</v>
      </c>
      <c r="AC297" s="31">
        <v>0</v>
      </c>
      <c r="AD297" s="31">
        <v>0</v>
      </c>
      <c r="AE297" s="31">
        <v>6.1666666666666667E-3</v>
      </c>
      <c r="AF297" s="31">
        <v>0</v>
      </c>
      <c r="AG297" s="31">
        <v>0</v>
      </c>
      <c r="AH297" s="31">
        <v>0</v>
      </c>
      <c r="AI297" s="31">
        <v>0</v>
      </c>
      <c r="AJ297" s="31">
        <v>0</v>
      </c>
      <c r="AK297" s="663">
        <v>1.478333259568514E-5</v>
      </c>
      <c r="AL297" s="663">
        <v>1.2528522884547454E-5</v>
      </c>
      <c r="AM297" s="31">
        <v>0</v>
      </c>
      <c r="AN297" s="584"/>
      <c r="AO297" s="584"/>
      <c r="AP297" s="663"/>
      <c r="AQ297" s="31"/>
      <c r="AR297" s="31"/>
      <c r="AS297" s="31"/>
      <c r="AT297" s="31"/>
      <c r="AU297" s="31"/>
      <c r="AV297" s="31"/>
      <c r="AW297" s="31"/>
      <c r="AX297" s="31"/>
      <c r="AY297" s="31"/>
      <c r="AZ297" s="31">
        <f t="shared" si="58"/>
        <v>6.1666666666666667E-3</v>
      </c>
      <c r="BA297" s="25" t="str">
        <f t="shared" si="59"/>
        <v>GEMS/Food G06</v>
      </c>
      <c r="BB297" s="25">
        <f t="shared" si="60"/>
        <v>0</v>
      </c>
      <c r="BC297" s="25" t="str">
        <f t="shared" si="61"/>
        <v/>
      </c>
    </row>
    <row r="298" spans="1:55" ht="15" customHeight="1" outlineLevel="3" x14ac:dyDescent="0.2">
      <c r="A298" s="39">
        <v>4</v>
      </c>
      <c r="B298" s="23">
        <v>820990</v>
      </c>
      <c r="C298" s="23" t="s">
        <v>782</v>
      </c>
      <c r="D298" s="22">
        <f>input_values!Z298</f>
        <v>4</v>
      </c>
      <c r="E298" s="657">
        <v>0</v>
      </c>
      <c r="F298" s="31"/>
      <c r="G298" s="31">
        <v>0</v>
      </c>
      <c r="H298" s="31">
        <v>1.6099023057541999E-4</v>
      </c>
      <c r="I298" s="31">
        <v>1.0753207732897201E-3</v>
      </c>
      <c r="J298" s="31">
        <v>9.2468257612904E-4</v>
      </c>
      <c r="K298" s="31">
        <v>0</v>
      </c>
      <c r="L298" s="31">
        <v>0</v>
      </c>
      <c r="M298" s="31">
        <v>0</v>
      </c>
      <c r="N298" s="31">
        <v>0</v>
      </c>
      <c r="O298" s="31">
        <v>0</v>
      </c>
      <c r="P298" s="31">
        <v>0</v>
      </c>
      <c r="Q298" s="31">
        <v>0</v>
      </c>
      <c r="R298" s="587"/>
      <c r="S298" s="31">
        <v>4.3721943582417528E-4</v>
      </c>
      <c r="T298" s="31"/>
      <c r="U298" s="31">
        <v>0</v>
      </c>
      <c r="V298" s="31">
        <v>0</v>
      </c>
      <c r="W298" s="31">
        <v>0</v>
      </c>
      <c r="X298" s="31">
        <v>0</v>
      </c>
      <c r="Y298" s="31">
        <v>0</v>
      </c>
      <c r="Z298" s="31">
        <v>0</v>
      </c>
      <c r="AA298" s="31">
        <v>0</v>
      </c>
      <c r="AB298" s="31">
        <v>0</v>
      </c>
      <c r="AC298" s="31">
        <v>0</v>
      </c>
      <c r="AD298" s="31">
        <v>0</v>
      </c>
      <c r="AE298" s="31"/>
      <c r="AF298" s="31"/>
      <c r="AG298" s="31"/>
      <c r="AH298" s="31"/>
      <c r="AI298" s="31"/>
      <c r="AJ298" s="31"/>
      <c r="AK298" s="663">
        <v>1.2849196217868266E-5</v>
      </c>
      <c r="AL298" s="663">
        <v>1.2094793983800607E-5</v>
      </c>
      <c r="AM298" s="31">
        <v>0</v>
      </c>
      <c r="AN298" s="584"/>
      <c r="AO298" s="584"/>
      <c r="AP298" s="663"/>
      <c r="AQ298" s="31"/>
      <c r="AR298" s="31"/>
      <c r="AS298" s="31"/>
      <c r="AT298" s="31"/>
      <c r="AU298" s="31"/>
      <c r="AV298" s="31"/>
      <c r="AW298" s="31"/>
      <c r="AX298" s="31"/>
      <c r="AY298" s="31"/>
      <c r="AZ298" s="31">
        <f t="shared" si="58"/>
        <v>1.0753207732897201E-3</v>
      </c>
      <c r="BA298" s="25" t="str">
        <f t="shared" si="59"/>
        <v>FR toddler 2 3 yr</v>
      </c>
      <c r="BB298" s="25">
        <f t="shared" si="60"/>
        <v>0</v>
      </c>
      <c r="BC298" s="25" t="str">
        <f t="shared" si="61"/>
        <v/>
      </c>
    </row>
    <row r="299" spans="1:55" ht="15" customHeight="1" outlineLevel="1" x14ac:dyDescent="0.2">
      <c r="A299" s="130">
        <v>2</v>
      </c>
      <c r="B299" s="131">
        <v>830000</v>
      </c>
      <c r="C299" s="131" t="s">
        <v>78</v>
      </c>
      <c r="D299" s="79">
        <f>input_values!Z299</f>
        <v>4</v>
      </c>
      <c r="E299" s="581">
        <f>SUM(E300:E301)</f>
        <v>1.0034E-2</v>
      </c>
      <c r="F299" s="92">
        <f t="shared" ref="F299:AO299" si="66">SUM(F300:F301)</f>
        <v>0</v>
      </c>
      <c r="G299" s="92">
        <f t="shared" si="66"/>
        <v>0</v>
      </c>
      <c r="H299" s="92">
        <f t="shared" si="66"/>
        <v>3.9206212764917849E-4</v>
      </c>
      <c r="I299" s="92">
        <f t="shared" si="66"/>
        <v>1.1061992664192653E-3</v>
      </c>
      <c r="J299" s="92">
        <f t="shared" si="66"/>
        <v>9.2468257612904E-4</v>
      </c>
      <c r="K299" s="92">
        <f t="shared" si="66"/>
        <v>0</v>
      </c>
      <c r="L299" s="92">
        <f t="shared" si="66"/>
        <v>0</v>
      </c>
      <c r="M299" s="92">
        <f t="shared" si="66"/>
        <v>0</v>
      </c>
      <c r="N299" s="92">
        <f t="shared" si="66"/>
        <v>0</v>
      </c>
      <c r="O299" s="92">
        <f t="shared" si="66"/>
        <v>0</v>
      </c>
      <c r="P299" s="92">
        <f t="shared" si="66"/>
        <v>0</v>
      </c>
      <c r="Q299" s="92">
        <f t="shared" si="66"/>
        <v>0</v>
      </c>
      <c r="R299" s="92">
        <f t="shared" si="66"/>
        <v>0</v>
      </c>
      <c r="S299" s="92">
        <f t="shared" si="66"/>
        <v>4.3721943582417528E-4</v>
      </c>
      <c r="T299" s="92"/>
      <c r="U299" s="92">
        <f t="shared" si="66"/>
        <v>0</v>
      </c>
      <c r="V299" s="92">
        <f t="shared" si="66"/>
        <v>0</v>
      </c>
      <c r="W299" s="92">
        <f t="shared" si="66"/>
        <v>0</v>
      </c>
      <c r="X299" s="92">
        <f t="shared" si="66"/>
        <v>0</v>
      </c>
      <c r="Y299" s="92">
        <f t="shared" si="66"/>
        <v>0</v>
      </c>
      <c r="Z299" s="92">
        <f t="shared" si="66"/>
        <v>0</v>
      </c>
      <c r="AA299" s="92">
        <f t="shared" si="66"/>
        <v>0</v>
      </c>
      <c r="AB299" s="92">
        <f t="shared" si="66"/>
        <v>0</v>
      </c>
      <c r="AC299" s="92">
        <f t="shared" si="66"/>
        <v>0</v>
      </c>
      <c r="AD299" s="92">
        <f t="shared" si="66"/>
        <v>0</v>
      </c>
      <c r="AE299" s="92">
        <f t="shared" si="66"/>
        <v>0</v>
      </c>
      <c r="AF299" s="92">
        <f t="shared" si="66"/>
        <v>0</v>
      </c>
      <c r="AG299" s="92">
        <f t="shared" si="66"/>
        <v>0</v>
      </c>
      <c r="AH299" s="92">
        <f t="shared" si="66"/>
        <v>0</v>
      </c>
      <c r="AI299" s="92">
        <f t="shared" si="66"/>
        <v>0</v>
      </c>
      <c r="AJ299" s="92">
        <f t="shared" si="66"/>
        <v>0</v>
      </c>
      <c r="AK299" s="92">
        <f t="shared" si="66"/>
        <v>3.8762795590908424E-4</v>
      </c>
      <c r="AL299" s="92">
        <f t="shared" si="66"/>
        <v>3.5400630455152573E-4</v>
      </c>
      <c r="AM299" s="92">
        <f t="shared" si="66"/>
        <v>0</v>
      </c>
      <c r="AN299" s="92">
        <f t="shared" si="66"/>
        <v>0</v>
      </c>
      <c r="AO299" s="92">
        <f t="shared" si="66"/>
        <v>0</v>
      </c>
      <c r="AP299" s="92"/>
      <c r="AQ299" s="92"/>
      <c r="AR299" s="92"/>
      <c r="AS299" s="92"/>
      <c r="AT299" s="92"/>
      <c r="AU299" s="92"/>
      <c r="AV299" s="92"/>
      <c r="AW299" s="92"/>
      <c r="AX299" s="92" t="s">
        <v>369</v>
      </c>
      <c r="AY299" s="92"/>
      <c r="AZ299" s="92">
        <f t="shared" si="58"/>
        <v>1.0034E-2</v>
      </c>
      <c r="BA299" s="42" t="str">
        <f t="shared" si="59"/>
        <v>DE child</v>
      </c>
      <c r="BB299" s="42">
        <f t="shared" si="60"/>
        <v>0</v>
      </c>
      <c r="BC299" s="42" t="str">
        <f t="shared" si="61"/>
        <v/>
      </c>
    </row>
    <row r="300" spans="1:55" ht="15" customHeight="1" outlineLevel="3" x14ac:dyDescent="0.2">
      <c r="A300" s="39">
        <v>4</v>
      </c>
      <c r="B300" s="23">
        <v>830010</v>
      </c>
      <c r="C300" s="23" t="s">
        <v>124</v>
      </c>
      <c r="D300" s="22">
        <f>input_values!Z300</f>
        <v>4</v>
      </c>
      <c r="E300" s="657">
        <v>1.0034E-2</v>
      </c>
      <c r="F300" s="31">
        <v>0</v>
      </c>
      <c r="G300" s="31">
        <v>0</v>
      </c>
      <c r="H300" s="31">
        <v>2.310718970737585E-4</v>
      </c>
      <c r="I300" s="31">
        <v>3.0878493129535278E-5</v>
      </c>
      <c r="J300" s="31">
        <v>0</v>
      </c>
      <c r="K300" s="31">
        <v>0</v>
      </c>
      <c r="L300" s="31">
        <v>0</v>
      </c>
      <c r="M300" s="31">
        <v>0</v>
      </c>
      <c r="N300" s="31">
        <v>0</v>
      </c>
      <c r="O300" s="31">
        <v>0</v>
      </c>
      <c r="P300" s="31">
        <v>0</v>
      </c>
      <c r="Q300" s="31">
        <v>0</v>
      </c>
      <c r="R300" s="587"/>
      <c r="S300" s="31">
        <v>0</v>
      </c>
      <c r="T300" s="31"/>
      <c r="U300" s="31">
        <v>0</v>
      </c>
      <c r="V300" s="31">
        <v>0</v>
      </c>
      <c r="W300" s="31">
        <v>0</v>
      </c>
      <c r="X300" s="31">
        <v>0</v>
      </c>
      <c r="Y300" s="31">
        <v>0</v>
      </c>
      <c r="Z300" s="31">
        <v>0</v>
      </c>
      <c r="AA300" s="31">
        <v>0</v>
      </c>
      <c r="AB300" s="31">
        <v>0</v>
      </c>
      <c r="AC300" s="31">
        <v>0</v>
      </c>
      <c r="AD300" s="31">
        <v>0</v>
      </c>
      <c r="AE300" s="31"/>
      <c r="AF300" s="31"/>
      <c r="AG300" s="31"/>
      <c r="AH300" s="31"/>
      <c r="AI300" s="31"/>
      <c r="AJ300" s="31"/>
      <c r="AK300" s="663">
        <v>3.8762795590908424E-4</v>
      </c>
      <c r="AL300" s="663">
        <v>3.5400630455152573E-4</v>
      </c>
      <c r="AM300" s="31">
        <v>0</v>
      </c>
      <c r="AN300" s="584"/>
      <c r="AO300" s="584"/>
      <c r="AP300" s="663"/>
      <c r="AQ300" s="31"/>
      <c r="AR300" s="31"/>
      <c r="AS300" s="31"/>
      <c r="AT300" s="31"/>
      <c r="AU300" s="31"/>
      <c r="AV300" s="31"/>
      <c r="AW300" s="31"/>
      <c r="AX300" s="31"/>
      <c r="AY300" s="31"/>
      <c r="AZ300" s="31">
        <f t="shared" si="58"/>
        <v>1.0034E-2</v>
      </c>
      <c r="BA300" s="25" t="str">
        <f t="shared" si="59"/>
        <v>DE child</v>
      </c>
      <c r="BB300" s="25">
        <f t="shared" si="60"/>
        <v>0</v>
      </c>
      <c r="BC300" s="25" t="str">
        <f t="shared" si="61"/>
        <v/>
      </c>
    </row>
    <row r="301" spans="1:55" ht="15" customHeight="1" outlineLevel="3" x14ac:dyDescent="0.2">
      <c r="A301" s="39">
        <v>4</v>
      </c>
      <c r="B301" s="23">
        <v>830990</v>
      </c>
      <c r="C301" s="23" t="s">
        <v>184</v>
      </c>
      <c r="D301" s="22">
        <f>input_values!Z301</f>
        <v>4</v>
      </c>
      <c r="E301" s="657">
        <v>0</v>
      </c>
      <c r="F301" s="31"/>
      <c r="G301" s="31">
        <v>0</v>
      </c>
      <c r="H301" s="31">
        <v>1.6099023057541999E-4</v>
      </c>
      <c r="I301" s="31">
        <v>1.07532077328973E-3</v>
      </c>
      <c r="J301" s="31">
        <v>9.2468257612904E-4</v>
      </c>
      <c r="K301" s="31">
        <v>0</v>
      </c>
      <c r="L301" s="31">
        <v>0</v>
      </c>
      <c r="M301" s="31">
        <v>0</v>
      </c>
      <c r="N301" s="31">
        <v>0</v>
      </c>
      <c r="O301" s="31">
        <v>0</v>
      </c>
      <c r="P301" s="31">
        <v>0</v>
      </c>
      <c r="Q301" s="31">
        <v>0</v>
      </c>
      <c r="R301" s="587"/>
      <c r="S301" s="31">
        <v>4.3721943582417528E-4</v>
      </c>
      <c r="T301" s="31"/>
      <c r="U301" s="31">
        <v>0</v>
      </c>
      <c r="V301" s="31">
        <v>0</v>
      </c>
      <c r="W301" s="31">
        <v>0</v>
      </c>
      <c r="X301" s="31">
        <v>0</v>
      </c>
      <c r="Y301" s="31">
        <v>0</v>
      </c>
      <c r="Z301" s="31">
        <v>0</v>
      </c>
      <c r="AA301" s="31">
        <v>0</v>
      </c>
      <c r="AB301" s="31">
        <v>0</v>
      </c>
      <c r="AC301" s="31">
        <v>0</v>
      </c>
      <c r="AD301" s="31">
        <v>0</v>
      </c>
      <c r="AE301" s="31"/>
      <c r="AF301" s="31"/>
      <c r="AG301" s="31"/>
      <c r="AH301" s="31"/>
      <c r="AI301" s="31"/>
      <c r="AJ301" s="31"/>
      <c r="AK301" s="663">
        <v>0</v>
      </c>
      <c r="AL301" s="663">
        <v>0</v>
      </c>
      <c r="AM301" s="31">
        <v>0</v>
      </c>
      <c r="AN301" s="584"/>
      <c r="AO301" s="584"/>
      <c r="AP301" s="663"/>
      <c r="AQ301" s="31"/>
      <c r="AR301" s="31"/>
      <c r="AS301" s="31"/>
      <c r="AT301" s="31"/>
      <c r="AU301" s="31"/>
      <c r="AV301" s="31"/>
      <c r="AW301" s="31"/>
      <c r="AX301" s="31"/>
      <c r="AY301" s="31"/>
      <c r="AZ301" s="31">
        <f t="shared" si="58"/>
        <v>1.07532077328973E-3</v>
      </c>
      <c r="BA301" s="25" t="str">
        <f t="shared" si="59"/>
        <v>FR toddler 2 3 yr</v>
      </c>
      <c r="BB301" s="25">
        <f t="shared" si="60"/>
        <v>0</v>
      </c>
      <c r="BC301" s="25" t="str">
        <f t="shared" si="61"/>
        <v/>
      </c>
    </row>
    <row r="302" spans="1:55" ht="15" customHeight="1" outlineLevel="1" x14ac:dyDescent="0.2">
      <c r="A302" s="130">
        <v>2</v>
      </c>
      <c r="B302" s="131">
        <v>840000</v>
      </c>
      <c r="C302" s="131" t="s">
        <v>79</v>
      </c>
      <c r="D302" s="79">
        <f>input_values!Z302</f>
        <v>4</v>
      </c>
      <c r="E302" s="581">
        <f>SUM(E303:E307)</f>
        <v>3.0071000000000001E-2</v>
      </c>
      <c r="F302" s="92">
        <f t="shared" ref="F302:AO302" si="67">SUM(F303:F307)</f>
        <v>0</v>
      </c>
      <c r="G302" s="92">
        <f t="shared" si="67"/>
        <v>0</v>
      </c>
      <c r="H302" s="92">
        <f t="shared" si="67"/>
        <v>1.6099023057541999E-4</v>
      </c>
      <c r="I302" s="92">
        <f t="shared" si="67"/>
        <v>1.6541292900429687E-3</v>
      </c>
      <c r="J302" s="92">
        <f t="shared" si="67"/>
        <v>9.2468257612904E-4</v>
      </c>
      <c r="K302" s="92">
        <f t="shared" si="67"/>
        <v>0</v>
      </c>
      <c r="L302" s="92">
        <f t="shared" si="67"/>
        <v>1E-3</v>
      </c>
      <c r="M302" s="92">
        <f t="shared" si="67"/>
        <v>1E-3</v>
      </c>
      <c r="N302" s="92">
        <f t="shared" si="67"/>
        <v>0</v>
      </c>
      <c r="O302" s="92">
        <f t="shared" si="67"/>
        <v>0</v>
      </c>
      <c r="P302" s="92">
        <f t="shared" si="67"/>
        <v>0</v>
      </c>
      <c r="Q302" s="92">
        <f t="shared" si="67"/>
        <v>0</v>
      </c>
      <c r="R302" s="92">
        <f t="shared" si="67"/>
        <v>0</v>
      </c>
      <c r="S302" s="92">
        <f t="shared" si="67"/>
        <v>4.3721943582417528E-4</v>
      </c>
      <c r="T302" s="92"/>
      <c r="U302" s="92">
        <f t="shared" si="67"/>
        <v>9.3085106382978719E-3</v>
      </c>
      <c r="V302" s="92">
        <f t="shared" si="67"/>
        <v>0</v>
      </c>
      <c r="W302" s="92">
        <f t="shared" si="67"/>
        <v>0</v>
      </c>
      <c r="X302" s="92">
        <f t="shared" si="67"/>
        <v>1E-3</v>
      </c>
      <c r="Y302" s="92">
        <f t="shared" si="67"/>
        <v>0</v>
      </c>
      <c r="Z302" s="92">
        <f t="shared" si="67"/>
        <v>0</v>
      </c>
      <c r="AA302" s="92">
        <f t="shared" si="67"/>
        <v>0</v>
      </c>
      <c r="AB302" s="92">
        <f t="shared" si="67"/>
        <v>0</v>
      </c>
      <c r="AC302" s="92">
        <f t="shared" si="67"/>
        <v>0</v>
      </c>
      <c r="AD302" s="92">
        <f t="shared" si="67"/>
        <v>0</v>
      </c>
      <c r="AE302" s="92">
        <f t="shared" si="67"/>
        <v>3.3333333333333335E-3</v>
      </c>
      <c r="AF302" s="92">
        <f t="shared" si="67"/>
        <v>4.5000000000000005E-3</v>
      </c>
      <c r="AG302" s="92">
        <f t="shared" si="67"/>
        <v>1.6666666666666668E-3</v>
      </c>
      <c r="AH302" s="92">
        <f t="shared" si="67"/>
        <v>1.15E-2</v>
      </c>
      <c r="AI302" s="92">
        <f t="shared" si="67"/>
        <v>1.1333333333333332E-2</v>
      </c>
      <c r="AJ302" s="92">
        <f t="shared" si="67"/>
        <v>4.5000000000000005E-3</v>
      </c>
      <c r="AK302" s="92">
        <f t="shared" si="67"/>
        <v>1.6557487364510682E-3</v>
      </c>
      <c r="AL302" s="92">
        <f t="shared" si="67"/>
        <v>1.9441363737088965E-3</v>
      </c>
      <c r="AM302" s="92">
        <f t="shared" si="67"/>
        <v>5.1430000000000001E-5</v>
      </c>
      <c r="AN302" s="92">
        <f t="shared" si="67"/>
        <v>0</v>
      </c>
      <c r="AO302" s="92">
        <f t="shared" si="67"/>
        <v>0</v>
      </c>
      <c r="AP302" s="92"/>
      <c r="AQ302" s="92"/>
      <c r="AR302" s="92"/>
      <c r="AS302" s="92"/>
      <c r="AT302" s="92"/>
      <c r="AU302" s="92"/>
      <c r="AV302" s="92"/>
      <c r="AW302" s="92"/>
      <c r="AX302" s="92" t="s">
        <v>369</v>
      </c>
      <c r="AY302" s="92"/>
      <c r="AZ302" s="92">
        <f t="shared" si="58"/>
        <v>3.0071000000000001E-2</v>
      </c>
      <c r="BA302" s="42" t="str">
        <f t="shared" si="59"/>
        <v>DE child</v>
      </c>
      <c r="BB302" s="42">
        <f t="shared" si="60"/>
        <v>0</v>
      </c>
      <c r="BC302" s="42" t="str">
        <f t="shared" si="61"/>
        <v/>
      </c>
    </row>
    <row r="303" spans="1:55" ht="15" customHeight="1" outlineLevel="3" x14ac:dyDescent="0.2">
      <c r="A303" s="39">
        <v>4</v>
      </c>
      <c r="B303" s="23">
        <v>840010</v>
      </c>
      <c r="C303" s="23" t="s">
        <v>125</v>
      </c>
      <c r="D303" s="22">
        <f>input_values!Z303</f>
        <v>4</v>
      </c>
      <c r="E303" s="657">
        <v>1.0035000000000001E-2</v>
      </c>
      <c r="F303" s="31">
        <v>0</v>
      </c>
      <c r="G303" s="31">
        <v>0</v>
      </c>
      <c r="H303" s="31">
        <v>0</v>
      </c>
      <c r="I303" s="31">
        <v>0</v>
      </c>
      <c r="J303" s="31">
        <v>0</v>
      </c>
      <c r="K303" s="31">
        <v>0</v>
      </c>
      <c r="L303" s="31">
        <v>0</v>
      </c>
      <c r="M303" s="31">
        <v>0</v>
      </c>
      <c r="N303" s="31">
        <v>0</v>
      </c>
      <c r="O303" s="31">
        <v>0</v>
      </c>
      <c r="P303" s="31">
        <v>0</v>
      </c>
      <c r="Q303" s="31">
        <v>0</v>
      </c>
      <c r="R303" s="587"/>
      <c r="S303" s="31">
        <v>0</v>
      </c>
      <c r="T303" s="31"/>
      <c r="U303" s="31">
        <v>0</v>
      </c>
      <c r="V303" s="31">
        <v>0</v>
      </c>
      <c r="W303" s="31">
        <v>0</v>
      </c>
      <c r="X303" s="31">
        <v>0</v>
      </c>
      <c r="Y303" s="31">
        <v>0</v>
      </c>
      <c r="Z303" s="31">
        <v>0</v>
      </c>
      <c r="AA303" s="31">
        <v>0</v>
      </c>
      <c r="AB303" s="31">
        <v>0</v>
      </c>
      <c r="AC303" s="31">
        <v>0</v>
      </c>
      <c r="AD303" s="31">
        <v>0</v>
      </c>
      <c r="AE303" s="31"/>
      <c r="AF303" s="31"/>
      <c r="AG303" s="31"/>
      <c r="AH303" s="31"/>
      <c r="AI303" s="31"/>
      <c r="AJ303" s="31"/>
      <c r="AK303" s="663">
        <v>8.9766917196524047E-5</v>
      </c>
      <c r="AL303" s="663">
        <v>1.5114652042085315E-4</v>
      </c>
      <c r="AM303" s="31">
        <v>0</v>
      </c>
      <c r="AN303" s="584"/>
      <c r="AO303" s="584"/>
      <c r="AP303" s="663"/>
      <c r="AQ303" s="31"/>
      <c r="AR303" s="31"/>
      <c r="AS303" s="31"/>
      <c r="AT303" s="31"/>
      <c r="AU303" s="31"/>
      <c r="AV303" s="31"/>
      <c r="AW303" s="31"/>
      <c r="AX303" s="31"/>
      <c r="AY303" s="31"/>
      <c r="AZ303" s="31">
        <f t="shared" si="58"/>
        <v>1.0035000000000001E-2</v>
      </c>
      <c r="BA303" s="25" t="str">
        <f t="shared" si="59"/>
        <v>DE child</v>
      </c>
      <c r="BB303" s="25">
        <f t="shared" si="60"/>
        <v>0</v>
      </c>
      <c r="BC303" s="25" t="str">
        <f t="shared" si="61"/>
        <v/>
      </c>
    </row>
    <row r="304" spans="1:55" ht="15" customHeight="1" outlineLevel="3" x14ac:dyDescent="0.2">
      <c r="A304" s="39">
        <v>4</v>
      </c>
      <c r="B304" s="23">
        <v>840020</v>
      </c>
      <c r="C304" s="23" t="s">
        <v>126</v>
      </c>
      <c r="D304" s="22">
        <f>input_values!Z304</f>
        <v>4</v>
      </c>
      <c r="E304" s="657">
        <v>0.01</v>
      </c>
      <c r="F304" s="31">
        <v>0</v>
      </c>
      <c r="G304" s="31">
        <v>0</v>
      </c>
      <c r="H304" s="31">
        <v>0</v>
      </c>
      <c r="I304" s="31">
        <v>5.7880851675322863E-4</v>
      </c>
      <c r="J304" s="31">
        <v>0</v>
      </c>
      <c r="K304" s="31">
        <v>0</v>
      </c>
      <c r="L304" s="31">
        <v>1E-3</v>
      </c>
      <c r="M304" s="31">
        <v>1E-3</v>
      </c>
      <c r="N304" s="31">
        <v>0</v>
      </c>
      <c r="O304" s="31">
        <v>0</v>
      </c>
      <c r="P304" s="31">
        <v>0</v>
      </c>
      <c r="Q304" s="31">
        <v>0</v>
      </c>
      <c r="R304" s="587"/>
      <c r="S304" s="31">
        <v>0</v>
      </c>
      <c r="T304" s="31"/>
      <c r="U304" s="31">
        <v>0</v>
      </c>
      <c r="V304" s="31">
        <v>0</v>
      </c>
      <c r="W304" s="31">
        <v>0</v>
      </c>
      <c r="X304" s="31">
        <v>1E-3</v>
      </c>
      <c r="Y304" s="31">
        <v>0</v>
      </c>
      <c r="Z304" s="31">
        <v>0</v>
      </c>
      <c r="AA304" s="31">
        <v>0</v>
      </c>
      <c r="AB304" s="31">
        <v>0</v>
      </c>
      <c r="AC304" s="31">
        <v>0</v>
      </c>
      <c r="AD304" s="31">
        <v>0</v>
      </c>
      <c r="AE304" s="31">
        <v>1.6666666666666668E-3</v>
      </c>
      <c r="AF304" s="31">
        <v>4.5000000000000005E-3</v>
      </c>
      <c r="AG304" s="31">
        <v>1.6666666666666668E-3</v>
      </c>
      <c r="AH304" s="31">
        <v>1.15E-2</v>
      </c>
      <c r="AI304" s="31">
        <v>9.6666666666666654E-3</v>
      </c>
      <c r="AJ304" s="31">
        <v>1.6666666666666668E-3</v>
      </c>
      <c r="AK304" s="663">
        <v>1.3932493485015484E-3</v>
      </c>
      <c r="AL304" s="663">
        <v>1.556755979495309E-3</v>
      </c>
      <c r="AM304" s="31">
        <v>5.0300000000000003E-5</v>
      </c>
      <c r="AN304" s="584"/>
      <c r="AO304" s="584"/>
      <c r="AP304" s="663"/>
      <c r="AQ304" s="31"/>
      <c r="AR304" s="31"/>
      <c r="AS304" s="31"/>
      <c r="AT304" s="31"/>
      <c r="AU304" s="31"/>
      <c r="AV304" s="31"/>
      <c r="AW304" s="31"/>
      <c r="AX304" s="31"/>
      <c r="AY304" s="31"/>
      <c r="AZ304" s="31">
        <f t="shared" si="58"/>
        <v>1.15E-2</v>
      </c>
      <c r="BA304" s="25" t="str">
        <f t="shared" si="59"/>
        <v>GEMS/Food G10</v>
      </c>
      <c r="BB304" s="25">
        <f t="shared" si="60"/>
        <v>0</v>
      </c>
      <c r="BC304" s="25" t="str">
        <f t="shared" si="61"/>
        <v/>
      </c>
    </row>
    <row r="305" spans="1:55" ht="15" customHeight="1" outlineLevel="3" x14ac:dyDescent="0.2">
      <c r="A305" s="39">
        <v>4</v>
      </c>
      <c r="B305" s="23">
        <v>840030</v>
      </c>
      <c r="C305" s="23" t="s">
        <v>784</v>
      </c>
      <c r="D305" s="22">
        <f>input_values!Z305</f>
        <v>4</v>
      </c>
      <c r="E305" s="657">
        <v>1.0036E-2</v>
      </c>
      <c r="F305" s="31">
        <v>0</v>
      </c>
      <c r="G305" s="31">
        <v>0</v>
      </c>
      <c r="H305" s="31">
        <v>0</v>
      </c>
      <c r="I305" s="31">
        <v>0</v>
      </c>
      <c r="J305" s="31">
        <v>0</v>
      </c>
      <c r="K305" s="31">
        <v>0</v>
      </c>
      <c r="L305" s="31">
        <v>0</v>
      </c>
      <c r="M305" s="31">
        <v>0</v>
      </c>
      <c r="N305" s="31">
        <v>0</v>
      </c>
      <c r="O305" s="31">
        <v>0</v>
      </c>
      <c r="P305" s="31">
        <v>0</v>
      </c>
      <c r="Q305" s="31">
        <v>0</v>
      </c>
      <c r="R305" s="587"/>
      <c r="S305" s="31">
        <v>0</v>
      </c>
      <c r="T305" s="31"/>
      <c r="U305" s="31">
        <v>0</v>
      </c>
      <c r="V305" s="31">
        <v>0</v>
      </c>
      <c r="W305" s="31">
        <v>0</v>
      </c>
      <c r="X305" s="31">
        <v>0</v>
      </c>
      <c r="Y305" s="31">
        <v>0</v>
      </c>
      <c r="Z305" s="31">
        <v>0</v>
      </c>
      <c r="AA305" s="31">
        <v>0</v>
      </c>
      <c r="AB305" s="31">
        <v>0</v>
      </c>
      <c r="AC305" s="31">
        <v>0</v>
      </c>
      <c r="AD305" s="31">
        <v>0</v>
      </c>
      <c r="AE305" s="31">
        <v>1.6666666666666668E-3</v>
      </c>
      <c r="AF305" s="31">
        <v>0</v>
      </c>
      <c r="AG305" s="31">
        <v>0</v>
      </c>
      <c r="AH305" s="31">
        <v>0</v>
      </c>
      <c r="AI305" s="31">
        <v>1.6666666666666668E-3</v>
      </c>
      <c r="AJ305" s="31">
        <v>2.8333333333333335E-3</v>
      </c>
      <c r="AK305" s="663">
        <v>1.6270521049508571E-4</v>
      </c>
      <c r="AL305" s="663">
        <v>2.2611727523426199E-4</v>
      </c>
      <c r="AM305" s="31">
        <v>1.13E-6</v>
      </c>
      <c r="AN305" s="584"/>
      <c r="AO305" s="584"/>
      <c r="AP305" s="663"/>
      <c r="AQ305" s="31"/>
      <c r="AR305" s="31"/>
      <c r="AS305" s="31"/>
      <c r="AT305" s="31"/>
      <c r="AU305" s="31"/>
      <c r="AV305" s="31"/>
      <c r="AW305" s="31"/>
      <c r="AX305" s="31"/>
      <c r="AY305" s="31"/>
      <c r="AZ305" s="31">
        <f t="shared" si="58"/>
        <v>1.0036E-2</v>
      </c>
      <c r="BA305" s="25" t="str">
        <f t="shared" si="59"/>
        <v>DE child</v>
      </c>
      <c r="BB305" s="25">
        <f t="shared" si="60"/>
        <v>0</v>
      </c>
      <c r="BC305" s="25" t="str">
        <f t="shared" si="61"/>
        <v/>
      </c>
    </row>
    <row r="306" spans="1:55" ht="15" customHeight="1" outlineLevel="3" x14ac:dyDescent="0.2">
      <c r="A306" s="39">
        <v>4</v>
      </c>
      <c r="B306" s="23">
        <v>840040</v>
      </c>
      <c r="C306" s="23" t="s">
        <v>185</v>
      </c>
      <c r="D306" s="22">
        <f>input_values!Z306</f>
        <v>4</v>
      </c>
      <c r="E306" s="657">
        <v>0</v>
      </c>
      <c r="F306" s="31">
        <v>0</v>
      </c>
      <c r="G306" s="31">
        <v>0</v>
      </c>
      <c r="H306" s="31">
        <v>0</v>
      </c>
      <c r="I306" s="31">
        <v>0</v>
      </c>
      <c r="J306" s="31">
        <v>0</v>
      </c>
      <c r="K306" s="31">
        <v>0</v>
      </c>
      <c r="L306" s="31">
        <v>0</v>
      </c>
      <c r="M306" s="31">
        <v>0</v>
      </c>
      <c r="N306" s="31">
        <v>0</v>
      </c>
      <c r="O306" s="31">
        <v>0</v>
      </c>
      <c r="P306" s="31">
        <v>0</v>
      </c>
      <c r="Q306" s="31">
        <v>0</v>
      </c>
      <c r="R306" s="587"/>
      <c r="S306" s="31">
        <v>0</v>
      </c>
      <c r="T306" s="31"/>
      <c r="U306" s="31">
        <v>9.3085106382978719E-3</v>
      </c>
      <c r="V306" s="31">
        <v>0</v>
      </c>
      <c r="W306" s="31">
        <v>0</v>
      </c>
      <c r="X306" s="31">
        <v>0</v>
      </c>
      <c r="Y306" s="31">
        <v>0</v>
      </c>
      <c r="Z306" s="31">
        <v>0</v>
      </c>
      <c r="AA306" s="31">
        <v>0</v>
      </c>
      <c r="AB306" s="31">
        <v>0</v>
      </c>
      <c r="AC306" s="31">
        <v>0</v>
      </c>
      <c r="AD306" s="31">
        <v>0</v>
      </c>
      <c r="AE306" s="31"/>
      <c r="AF306" s="31"/>
      <c r="AG306" s="31"/>
      <c r="AH306" s="31"/>
      <c r="AI306" s="31"/>
      <c r="AJ306" s="31"/>
      <c r="AK306" s="663">
        <v>0</v>
      </c>
      <c r="AL306" s="663">
        <v>0</v>
      </c>
      <c r="AM306" s="31">
        <v>0</v>
      </c>
      <c r="AN306" s="584"/>
      <c r="AO306" s="584"/>
      <c r="AP306" s="663"/>
      <c r="AQ306" s="31"/>
      <c r="AR306" s="31"/>
      <c r="AS306" s="31"/>
      <c r="AT306" s="31"/>
      <c r="AU306" s="31"/>
      <c r="AV306" s="31"/>
      <c r="AW306" s="31"/>
      <c r="AX306" s="31"/>
      <c r="AY306" s="31"/>
      <c r="AZ306" s="31">
        <f t="shared" si="58"/>
        <v>9.3085106382978719E-3</v>
      </c>
      <c r="BA306" s="25" t="str">
        <f t="shared" si="59"/>
        <v>IE adult</v>
      </c>
      <c r="BB306" s="25">
        <f t="shared" si="60"/>
        <v>0</v>
      </c>
      <c r="BC306" s="25" t="str">
        <f t="shared" si="61"/>
        <v/>
      </c>
    </row>
    <row r="307" spans="1:55" ht="15" customHeight="1" outlineLevel="3" x14ac:dyDescent="0.2">
      <c r="A307" s="39">
        <v>4</v>
      </c>
      <c r="B307" s="23">
        <v>840990</v>
      </c>
      <c r="C307" s="23" t="s">
        <v>186</v>
      </c>
      <c r="D307" s="22">
        <f>input_values!Z307</f>
        <v>4</v>
      </c>
      <c r="E307" s="657">
        <v>0</v>
      </c>
      <c r="F307" s="31"/>
      <c r="G307" s="31">
        <v>0</v>
      </c>
      <c r="H307" s="31">
        <v>1.6099023057541999E-4</v>
      </c>
      <c r="I307" s="31">
        <v>1.07532077328974E-3</v>
      </c>
      <c r="J307" s="31">
        <v>9.2468257612904E-4</v>
      </c>
      <c r="K307" s="31">
        <v>0</v>
      </c>
      <c r="L307" s="31">
        <v>0</v>
      </c>
      <c r="M307" s="31">
        <v>0</v>
      </c>
      <c r="N307" s="31">
        <v>0</v>
      </c>
      <c r="O307" s="31">
        <v>0</v>
      </c>
      <c r="P307" s="31">
        <v>0</v>
      </c>
      <c r="Q307" s="31">
        <v>0</v>
      </c>
      <c r="R307" s="587"/>
      <c r="S307" s="31">
        <v>4.3721943582417528E-4</v>
      </c>
      <c r="T307" s="31"/>
      <c r="U307" s="31">
        <v>0</v>
      </c>
      <c r="V307" s="31">
        <v>0</v>
      </c>
      <c r="W307" s="31">
        <v>0</v>
      </c>
      <c r="X307" s="31">
        <v>0</v>
      </c>
      <c r="Y307" s="31">
        <v>0</v>
      </c>
      <c r="Z307" s="31">
        <v>0</v>
      </c>
      <c r="AA307" s="31">
        <v>0</v>
      </c>
      <c r="AB307" s="31">
        <v>0</v>
      </c>
      <c r="AC307" s="31">
        <v>0</v>
      </c>
      <c r="AD307" s="31">
        <v>0</v>
      </c>
      <c r="AE307" s="31"/>
      <c r="AF307" s="31"/>
      <c r="AG307" s="31"/>
      <c r="AH307" s="31"/>
      <c r="AI307" s="31"/>
      <c r="AJ307" s="31"/>
      <c r="AK307" s="663">
        <v>1.0027260257909879E-5</v>
      </c>
      <c r="AL307" s="663">
        <v>1.0116598558472289E-5</v>
      </c>
      <c r="AM307" s="31">
        <v>0</v>
      </c>
      <c r="AN307" s="584"/>
      <c r="AO307" s="584"/>
      <c r="AP307" s="663"/>
      <c r="AQ307" s="31"/>
      <c r="AR307" s="31"/>
      <c r="AS307" s="31"/>
      <c r="AT307" s="31"/>
      <c r="AU307" s="31"/>
      <c r="AV307" s="31"/>
      <c r="AW307" s="31"/>
      <c r="AX307" s="31"/>
      <c r="AY307" s="31"/>
      <c r="AZ307" s="31">
        <f t="shared" si="58"/>
        <v>1.07532077328974E-3</v>
      </c>
      <c r="BA307" s="25" t="str">
        <f t="shared" si="59"/>
        <v>FR toddler 2 3 yr</v>
      </c>
      <c r="BB307" s="25">
        <f t="shared" si="60"/>
        <v>0</v>
      </c>
      <c r="BC307" s="25" t="str">
        <f t="shared" si="61"/>
        <v/>
      </c>
    </row>
    <row r="308" spans="1:55" ht="15" customHeight="1" outlineLevel="1" x14ac:dyDescent="0.2">
      <c r="A308" s="130">
        <v>2</v>
      </c>
      <c r="B308" s="131">
        <v>850000</v>
      </c>
      <c r="C308" s="131" t="s">
        <v>80</v>
      </c>
      <c r="D308" s="79">
        <f>input_values!Z308</f>
        <v>4</v>
      </c>
      <c r="E308" s="581">
        <f>SUM(E309:E311)</f>
        <v>2.0036999999999999E-2</v>
      </c>
      <c r="F308" s="92">
        <f t="shared" ref="F308:AO308" si="68">SUM(F309:F311)</f>
        <v>0</v>
      </c>
      <c r="G308" s="92">
        <f t="shared" si="68"/>
        <v>0</v>
      </c>
      <c r="H308" s="92">
        <f t="shared" si="68"/>
        <v>1.6099023057541999E-4</v>
      </c>
      <c r="I308" s="92">
        <f t="shared" si="68"/>
        <v>1.07532077328975E-3</v>
      </c>
      <c r="J308" s="92">
        <f t="shared" si="68"/>
        <v>9.2468257612904E-4</v>
      </c>
      <c r="K308" s="92">
        <f t="shared" si="68"/>
        <v>0</v>
      </c>
      <c r="L308" s="92">
        <f t="shared" si="68"/>
        <v>0</v>
      </c>
      <c r="M308" s="92">
        <f t="shared" si="68"/>
        <v>0</v>
      </c>
      <c r="N308" s="92">
        <f t="shared" si="68"/>
        <v>0</v>
      </c>
      <c r="O308" s="92">
        <f t="shared" si="68"/>
        <v>0</v>
      </c>
      <c r="P308" s="92">
        <f t="shared" si="68"/>
        <v>0</v>
      </c>
      <c r="Q308" s="92">
        <f t="shared" si="68"/>
        <v>0</v>
      </c>
      <c r="R308" s="92">
        <f t="shared" si="68"/>
        <v>0</v>
      </c>
      <c r="S308" s="92">
        <f t="shared" si="68"/>
        <v>5.6540820478413831E-4</v>
      </c>
      <c r="T308" s="92"/>
      <c r="U308" s="92">
        <f t="shared" si="68"/>
        <v>0</v>
      </c>
      <c r="V308" s="92">
        <f t="shared" si="68"/>
        <v>0</v>
      </c>
      <c r="W308" s="92">
        <f t="shared" si="68"/>
        <v>0</v>
      </c>
      <c r="X308" s="92">
        <f t="shared" si="68"/>
        <v>0</v>
      </c>
      <c r="Y308" s="92">
        <f t="shared" si="68"/>
        <v>0</v>
      </c>
      <c r="Z308" s="92">
        <f t="shared" si="68"/>
        <v>0</v>
      </c>
      <c r="AA308" s="92">
        <f t="shared" si="68"/>
        <v>0</v>
      </c>
      <c r="AB308" s="92">
        <f t="shared" si="68"/>
        <v>0</v>
      </c>
      <c r="AC308" s="92">
        <f t="shared" si="68"/>
        <v>0</v>
      </c>
      <c r="AD308" s="92">
        <f t="shared" si="68"/>
        <v>0</v>
      </c>
      <c r="AE308" s="92">
        <f t="shared" si="68"/>
        <v>3.8333333333333336E-3</v>
      </c>
      <c r="AF308" s="92">
        <f t="shared" si="68"/>
        <v>1.6666666666666668E-3</v>
      </c>
      <c r="AG308" s="92">
        <f t="shared" si="68"/>
        <v>2.5000000000000001E-3</v>
      </c>
      <c r="AH308" s="92">
        <f t="shared" si="68"/>
        <v>1.6666666666666668E-3</v>
      </c>
      <c r="AI308" s="92">
        <f t="shared" si="68"/>
        <v>5.8333333333333334E-2</v>
      </c>
      <c r="AJ308" s="92">
        <f t="shared" si="68"/>
        <v>0</v>
      </c>
      <c r="AK308" s="92">
        <f t="shared" si="68"/>
        <v>2.2797500339356535E-4</v>
      </c>
      <c r="AL308" s="92">
        <f t="shared" si="68"/>
        <v>1.791882228438889E-4</v>
      </c>
      <c r="AM308" s="92">
        <f t="shared" si="68"/>
        <v>0</v>
      </c>
      <c r="AN308" s="92">
        <f t="shared" si="68"/>
        <v>0</v>
      </c>
      <c r="AO308" s="92">
        <f t="shared" si="68"/>
        <v>0</v>
      </c>
      <c r="AP308" s="92"/>
      <c r="AQ308" s="92"/>
      <c r="AR308" s="92"/>
      <c r="AS308" s="92"/>
      <c r="AT308" s="92"/>
      <c r="AU308" s="92"/>
      <c r="AV308" s="92"/>
      <c r="AW308" s="92"/>
      <c r="AX308" s="92" t="s">
        <v>369</v>
      </c>
      <c r="AY308" s="92"/>
      <c r="AZ308" s="92">
        <f t="shared" si="58"/>
        <v>5.8333333333333334E-2</v>
      </c>
      <c r="BA308" s="42" t="str">
        <f t="shared" si="59"/>
        <v>GEMS/Food G11</v>
      </c>
      <c r="BB308" s="42">
        <f t="shared" si="60"/>
        <v>0</v>
      </c>
      <c r="BC308" s="42" t="str">
        <f t="shared" si="61"/>
        <v/>
      </c>
    </row>
    <row r="309" spans="1:55" ht="15" customHeight="1" outlineLevel="3" x14ac:dyDescent="0.2">
      <c r="A309" s="39">
        <v>4</v>
      </c>
      <c r="B309" s="23">
        <v>850010</v>
      </c>
      <c r="C309" s="23" t="s">
        <v>202</v>
      </c>
      <c r="D309" s="22">
        <f>input_values!Z309</f>
        <v>4</v>
      </c>
      <c r="E309" s="657">
        <v>1.0037000000000001E-2</v>
      </c>
      <c r="F309" s="31">
        <v>0</v>
      </c>
      <c r="G309" s="31">
        <v>0</v>
      </c>
      <c r="H309" s="31">
        <v>0</v>
      </c>
      <c r="I309" s="31">
        <v>0</v>
      </c>
      <c r="J309" s="31">
        <v>0</v>
      </c>
      <c r="K309" s="31">
        <v>0</v>
      </c>
      <c r="L309" s="31">
        <v>0</v>
      </c>
      <c r="M309" s="31">
        <v>0</v>
      </c>
      <c r="N309" s="31">
        <v>0</v>
      </c>
      <c r="O309" s="31">
        <v>0</v>
      </c>
      <c r="P309" s="31">
        <v>0</v>
      </c>
      <c r="Q309" s="31">
        <v>0</v>
      </c>
      <c r="R309" s="587"/>
      <c r="S309" s="31">
        <v>0</v>
      </c>
      <c r="T309" s="31"/>
      <c r="U309" s="31">
        <v>0</v>
      </c>
      <c r="V309" s="31">
        <v>0</v>
      </c>
      <c r="W309" s="31">
        <v>0</v>
      </c>
      <c r="X309" s="31">
        <v>0</v>
      </c>
      <c r="Y309" s="31">
        <v>0</v>
      </c>
      <c r="Z309" s="31">
        <v>0</v>
      </c>
      <c r="AA309" s="31">
        <v>0</v>
      </c>
      <c r="AB309" s="31">
        <v>0</v>
      </c>
      <c r="AC309" s="31">
        <v>0</v>
      </c>
      <c r="AD309" s="31">
        <v>0</v>
      </c>
      <c r="AE309" s="31"/>
      <c r="AF309" s="31"/>
      <c r="AG309" s="31"/>
      <c r="AH309" s="31"/>
      <c r="AI309" s="31"/>
      <c r="AJ309" s="31"/>
      <c r="AK309" s="663">
        <v>6.8536633902600451E-5</v>
      </c>
      <c r="AL309" s="663">
        <v>7.0848112309559666E-5</v>
      </c>
      <c r="AM309" s="31">
        <v>0</v>
      </c>
      <c r="AN309" s="584"/>
      <c r="AO309" s="584"/>
      <c r="AP309" s="663"/>
      <c r="AQ309" s="31"/>
      <c r="AR309" s="31"/>
      <c r="AS309" s="31"/>
      <c r="AT309" s="31"/>
      <c r="AU309" s="31"/>
      <c r="AV309" s="31"/>
      <c r="AW309" s="31"/>
      <c r="AX309" s="31"/>
      <c r="AY309" s="31"/>
      <c r="AZ309" s="31">
        <f t="shared" si="58"/>
        <v>1.0037000000000001E-2</v>
      </c>
      <c r="BA309" s="25" t="str">
        <f t="shared" si="59"/>
        <v>DE child</v>
      </c>
      <c r="BB309" s="25">
        <f t="shared" si="60"/>
        <v>0</v>
      </c>
      <c r="BC309" s="25" t="str">
        <f t="shared" si="61"/>
        <v/>
      </c>
    </row>
    <row r="310" spans="1:55" ht="15" customHeight="1" outlineLevel="3" x14ac:dyDescent="0.2">
      <c r="A310" s="39">
        <v>4</v>
      </c>
      <c r="B310" s="23">
        <v>850020</v>
      </c>
      <c r="C310" s="23" t="s">
        <v>203</v>
      </c>
      <c r="D310" s="22">
        <f>input_values!Z310</f>
        <v>4</v>
      </c>
      <c r="E310" s="657">
        <v>0.01</v>
      </c>
      <c r="F310" s="31">
        <v>0</v>
      </c>
      <c r="G310" s="31">
        <v>0</v>
      </c>
      <c r="H310" s="31">
        <v>0</v>
      </c>
      <c r="I310" s="31">
        <v>0</v>
      </c>
      <c r="J310" s="31">
        <v>0</v>
      </c>
      <c r="K310" s="31">
        <v>0</v>
      </c>
      <c r="L310" s="31">
        <v>0</v>
      </c>
      <c r="M310" s="31">
        <v>0</v>
      </c>
      <c r="N310" s="31">
        <v>0</v>
      </c>
      <c r="O310" s="31">
        <v>0</v>
      </c>
      <c r="P310" s="31">
        <v>0</v>
      </c>
      <c r="Q310" s="31">
        <v>0</v>
      </c>
      <c r="R310" s="587"/>
      <c r="S310" s="31">
        <v>1.2818876895996301E-4</v>
      </c>
      <c r="T310" s="31"/>
      <c r="U310" s="31">
        <v>0</v>
      </c>
      <c r="V310" s="31">
        <v>0</v>
      </c>
      <c r="W310" s="31">
        <v>0</v>
      </c>
      <c r="X310" s="31">
        <v>0</v>
      </c>
      <c r="Y310" s="31">
        <v>0</v>
      </c>
      <c r="Z310" s="31">
        <v>0</v>
      </c>
      <c r="AA310" s="31">
        <v>0</v>
      </c>
      <c r="AB310" s="31">
        <v>0</v>
      </c>
      <c r="AC310" s="31">
        <v>0</v>
      </c>
      <c r="AD310" s="31">
        <v>0</v>
      </c>
      <c r="AE310" s="31">
        <v>3.8333333333333336E-3</v>
      </c>
      <c r="AF310" s="31">
        <v>1.6666666666666668E-3</v>
      </c>
      <c r="AG310" s="31">
        <v>2.5000000000000001E-3</v>
      </c>
      <c r="AH310" s="31">
        <v>1.6666666666666668E-3</v>
      </c>
      <c r="AI310" s="31">
        <v>5.8333333333333334E-2</v>
      </c>
      <c r="AJ310" s="31">
        <v>0</v>
      </c>
      <c r="AK310" s="663">
        <v>1.594383694909649E-4</v>
      </c>
      <c r="AL310" s="663">
        <v>1.0834011053432923E-4</v>
      </c>
      <c r="AM310" s="31">
        <v>0</v>
      </c>
      <c r="AN310" s="584"/>
      <c r="AO310" s="584"/>
      <c r="AP310" s="663"/>
      <c r="AQ310" s="31"/>
      <c r="AR310" s="31"/>
      <c r="AS310" s="31"/>
      <c r="AT310" s="31"/>
      <c r="AU310" s="31"/>
      <c r="AV310" s="31"/>
      <c r="AW310" s="31"/>
      <c r="AX310" s="31"/>
      <c r="AY310" s="31"/>
      <c r="AZ310" s="31">
        <f t="shared" si="58"/>
        <v>5.8333333333333334E-2</v>
      </c>
      <c r="BA310" s="25" t="str">
        <f t="shared" si="59"/>
        <v>GEMS/Food G11</v>
      </c>
      <c r="BB310" s="25">
        <f t="shared" si="60"/>
        <v>0</v>
      </c>
      <c r="BC310" s="25" t="str">
        <f t="shared" si="61"/>
        <v/>
      </c>
    </row>
    <row r="311" spans="1:55" ht="15" customHeight="1" outlineLevel="3" x14ac:dyDescent="0.2">
      <c r="A311" s="39">
        <v>4</v>
      </c>
      <c r="B311" s="23">
        <v>850990</v>
      </c>
      <c r="C311" s="23" t="s">
        <v>187</v>
      </c>
      <c r="D311" s="22">
        <f>input_values!Z311</f>
        <v>4</v>
      </c>
      <c r="E311" s="657">
        <v>0</v>
      </c>
      <c r="F311" s="31"/>
      <c r="G311" s="31">
        <v>0</v>
      </c>
      <c r="H311" s="31">
        <v>1.6099023057541999E-4</v>
      </c>
      <c r="I311" s="31">
        <v>1.07532077328975E-3</v>
      </c>
      <c r="J311" s="31">
        <v>9.2468257612904E-4</v>
      </c>
      <c r="K311" s="31">
        <v>0</v>
      </c>
      <c r="L311" s="31">
        <v>0</v>
      </c>
      <c r="M311" s="31">
        <v>0</v>
      </c>
      <c r="N311" s="31">
        <v>0</v>
      </c>
      <c r="O311" s="31">
        <v>0</v>
      </c>
      <c r="P311" s="31">
        <v>0</v>
      </c>
      <c r="Q311" s="31">
        <v>0</v>
      </c>
      <c r="R311" s="587"/>
      <c r="S311" s="31">
        <v>4.3721943582417528E-4</v>
      </c>
      <c r="T311" s="31"/>
      <c r="U311" s="31">
        <v>0</v>
      </c>
      <c r="V311" s="31">
        <v>0</v>
      </c>
      <c r="W311" s="31">
        <v>0</v>
      </c>
      <c r="X311" s="31">
        <v>0</v>
      </c>
      <c r="Y311" s="31">
        <v>0</v>
      </c>
      <c r="Z311" s="31">
        <v>0</v>
      </c>
      <c r="AA311" s="31">
        <v>0</v>
      </c>
      <c r="AB311" s="31">
        <v>0</v>
      </c>
      <c r="AC311" s="31">
        <v>0</v>
      </c>
      <c r="AD311" s="31">
        <v>0</v>
      </c>
      <c r="AE311" s="31"/>
      <c r="AF311" s="31"/>
      <c r="AG311" s="31"/>
      <c r="AH311" s="31"/>
      <c r="AI311" s="31"/>
      <c r="AJ311" s="31"/>
      <c r="AK311" s="663">
        <v>0</v>
      </c>
      <c r="AL311" s="663">
        <v>0</v>
      </c>
      <c r="AM311" s="31">
        <v>0</v>
      </c>
      <c r="AN311" s="584"/>
      <c r="AO311" s="584"/>
      <c r="AP311" s="663"/>
      <c r="AQ311" s="31"/>
      <c r="AR311" s="31"/>
      <c r="AS311" s="31"/>
      <c r="AT311" s="31"/>
      <c r="AU311" s="31"/>
      <c r="AV311" s="31"/>
      <c r="AW311" s="31"/>
      <c r="AX311" s="31"/>
      <c r="AY311" s="31"/>
      <c r="AZ311" s="31">
        <f t="shared" si="58"/>
        <v>1.07532077328975E-3</v>
      </c>
      <c r="BA311" s="25" t="str">
        <f t="shared" si="59"/>
        <v>FR toddler 2 3 yr</v>
      </c>
      <c r="BB311" s="25">
        <f t="shared" si="60"/>
        <v>0</v>
      </c>
      <c r="BC311" s="25" t="str">
        <f t="shared" si="61"/>
        <v/>
      </c>
    </row>
    <row r="312" spans="1:55" ht="15" customHeight="1" outlineLevel="1" x14ac:dyDescent="0.2">
      <c r="A312" s="130">
        <v>2</v>
      </c>
      <c r="B312" s="131">
        <v>860000</v>
      </c>
      <c r="C312" s="131" t="s">
        <v>81</v>
      </c>
      <c r="D312" s="79">
        <f>input_values!Z312</f>
        <v>4</v>
      </c>
      <c r="E312" s="581">
        <f>SUM(E313:E314)</f>
        <v>1.0038E-2</v>
      </c>
      <c r="F312" s="92">
        <f t="shared" ref="F312:AO312" si="69">SUM(F313:F314)</f>
        <v>0</v>
      </c>
      <c r="G312" s="92">
        <f t="shared" si="69"/>
        <v>0</v>
      </c>
      <c r="H312" s="92">
        <f t="shared" si="69"/>
        <v>1.6099023057541999E-4</v>
      </c>
      <c r="I312" s="92">
        <f t="shared" si="69"/>
        <v>1.07532077328976E-3</v>
      </c>
      <c r="J312" s="92">
        <f t="shared" si="69"/>
        <v>9.2468257612904E-4</v>
      </c>
      <c r="K312" s="92">
        <f t="shared" si="69"/>
        <v>0</v>
      </c>
      <c r="L312" s="92">
        <f t="shared" si="69"/>
        <v>0</v>
      </c>
      <c r="M312" s="92">
        <f t="shared" si="69"/>
        <v>0</v>
      </c>
      <c r="N312" s="92">
        <f t="shared" si="69"/>
        <v>0</v>
      </c>
      <c r="O312" s="92">
        <f t="shared" si="69"/>
        <v>0</v>
      </c>
      <c r="P312" s="92">
        <f t="shared" si="69"/>
        <v>0</v>
      </c>
      <c r="Q312" s="92">
        <f t="shared" si="69"/>
        <v>0</v>
      </c>
      <c r="R312" s="92">
        <f t="shared" si="69"/>
        <v>0</v>
      </c>
      <c r="S312" s="92">
        <f t="shared" si="69"/>
        <v>4.3721943582417528E-4</v>
      </c>
      <c r="T312" s="92"/>
      <c r="U312" s="92">
        <f t="shared" si="69"/>
        <v>0</v>
      </c>
      <c r="V312" s="92">
        <f t="shared" si="69"/>
        <v>0</v>
      </c>
      <c r="W312" s="92">
        <f t="shared" si="69"/>
        <v>0</v>
      </c>
      <c r="X312" s="92">
        <f t="shared" si="69"/>
        <v>0</v>
      </c>
      <c r="Y312" s="92">
        <f t="shared" si="69"/>
        <v>0</v>
      </c>
      <c r="Z312" s="92">
        <f t="shared" si="69"/>
        <v>0</v>
      </c>
      <c r="AA312" s="92">
        <f t="shared" si="69"/>
        <v>0</v>
      </c>
      <c r="AB312" s="92">
        <f t="shared" si="69"/>
        <v>0</v>
      </c>
      <c r="AC312" s="92">
        <f t="shared" si="69"/>
        <v>0</v>
      </c>
      <c r="AD312" s="92">
        <f t="shared" si="69"/>
        <v>0</v>
      </c>
      <c r="AE312" s="92">
        <f t="shared" si="69"/>
        <v>6.3333333333333332E-3</v>
      </c>
      <c r="AF312" s="92">
        <f t="shared" si="69"/>
        <v>0</v>
      </c>
      <c r="AG312" s="92">
        <f t="shared" si="69"/>
        <v>1.6666666666666668E-3</v>
      </c>
      <c r="AH312" s="92">
        <f t="shared" si="69"/>
        <v>2.3333333333333335E-3</v>
      </c>
      <c r="AI312" s="92">
        <f t="shared" si="69"/>
        <v>5.6666666666666671E-3</v>
      </c>
      <c r="AJ312" s="92">
        <f t="shared" si="69"/>
        <v>0</v>
      </c>
      <c r="AK312" s="92">
        <f t="shared" si="69"/>
        <v>2.5876141054341536E-8</v>
      </c>
      <c r="AL312" s="92">
        <f t="shared" si="69"/>
        <v>1.1624742231630444E-8</v>
      </c>
      <c r="AM312" s="92">
        <f t="shared" si="69"/>
        <v>0</v>
      </c>
      <c r="AN312" s="92">
        <f t="shared" si="69"/>
        <v>0</v>
      </c>
      <c r="AO312" s="92">
        <f t="shared" si="69"/>
        <v>0</v>
      </c>
      <c r="AP312" s="92"/>
      <c r="AQ312" s="92"/>
      <c r="AR312" s="92"/>
      <c r="AS312" s="92"/>
      <c r="AT312" s="92"/>
      <c r="AU312" s="92"/>
      <c r="AV312" s="92"/>
      <c r="AW312" s="92"/>
      <c r="AX312" s="92" t="s">
        <v>369</v>
      </c>
      <c r="AY312" s="92"/>
      <c r="AZ312" s="92">
        <f t="shared" si="58"/>
        <v>1.0038E-2</v>
      </c>
      <c r="BA312" s="42" t="str">
        <f t="shared" si="59"/>
        <v>DE child</v>
      </c>
      <c r="BB312" s="42">
        <f t="shared" si="60"/>
        <v>0</v>
      </c>
      <c r="BC312" s="42" t="str">
        <f t="shared" si="61"/>
        <v/>
      </c>
    </row>
    <row r="313" spans="1:55" ht="15" customHeight="1" outlineLevel="3" x14ac:dyDescent="0.2">
      <c r="A313" s="39">
        <v>4</v>
      </c>
      <c r="B313" s="23">
        <v>860010</v>
      </c>
      <c r="C313" s="23" t="s">
        <v>204</v>
      </c>
      <c r="D313" s="22">
        <f>input_values!Z313</f>
        <v>4</v>
      </c>
      <c r="E313" s="657">
        <v>1.0038E-2</v>
      </c>
      <c r="F313" s="31">
        <v>0</v>
      </c>
      <c r="G313" s="31">
        <v>0</v>
      </c>
      <c r="H313" s="31">
        <v>0</v>
      </c>
      <c r="I313" s="31">
        <v>0</v>
      </c>
      <c r="J313" s="31">
        <v>0</v>
      </c>
      <c r="K313" s="31">
        <v>0</v>
      </c>
      <c r="L313" s="31">
        <v>0</v>
      </c>
      <c r="M313" s="31">
        <v>0</v>
      </c>
      <c r="N313" s="31">
        <v>0</v>
      </c>
      <c r="O313" s="31">
        <v>0</v>
      </c>
      <c r="P313" s="31">
        <v>0</v>
      </c>
      <c r="Q313" s="31">
        <v>0</v>
      </c>
      <c r="R313" s="587"/>
      <c r="S313" s="31">
        <v>0</v>
      </c>
      <c r="T313" s="31"/>
      <c r="U313" s="31">
        <v>0</v>
      </c>
      <c r="V313" s="31">
        <v>0</v>
      </c>
      <c r="W313" s="31">
        <v>0</v>
      </c>
      <c r="X313" s="31">
        <v>0</v>
      </c>
      <c r="Y313" s="31">
        <v>0</v>
      </c>
      <c r="Z313" s="31">
        <v>0</v>
      </c>
      <c r="AA313" s="31">
        <v>0</v>
      </c>
      <c r="AB313" s="31">
        <v>0</v>
      </c>
      <c r="AC313" s="31">
        <v>0</v>
      </c>
      <c r="AD313" s="31">
        <v>0</v>
      </c>
      <c r="AE313" s="31">
        <v>6.3333333333333332E-3</v>
      </c>
      <c r="AF313" s="31">
        <v>0</v>
      </c>
      <c r="AG313" s="31">
        <v>1.6666666666666668E-3</v>
      </c>
      <c r="AH313" s="31">
        <v>2.3333333333333335E-3</v>
      </c>
      <c r="AI313" s="31">
        <v>5.6666666666666671E-3</v>
      </c>
      <c r="AJ313" s="31">
        <v>0</v>
      </c>
      <c r="AK313" s="663">
        <v>2.5876141054341536E-8</v>
      </c>
      <c r="AL313" s="663">
        <v>1.1624742231630444E-8</v>
      </c>
      <c r="AM313" s="31">
        <v>0</v>
      </c>
      <c r="AN313" s="584"/>
      <c r="AO313" s="584"/>
      <c r="AP313" s="663"/>
      <c r="AQ313" s="31"/>
      <c r="AR313" s="31"/>
      <c r="AS313" s="31"/>
      <c r="AT313" s="31"/>
      <c r="AU313" s="31"/>
      <c r="AV313" s="31"/>
      <c r="AW313" s="31"/>
      <c r="AX313" s="31"/>
      <c r="AY313" s="31"/>
      <c r="AZ313" s="31">
        <f t="shared" si="58"/>
        <v>1.0038E-2</v>
      </c>
      <c r="BA313" s="25" t="str">
        <f t="shared" si="59"/>
        <v>DE child</v>
      </c>
      <c r="BB313" s="25">
        <f t="shared" si="60"/>
        <v>0</v>
      </c>
      <c r="BC313" s="25" t="str">
        <f t="shared" si="61"/>
        <v/>
      </c>
    </row>
    <row r="314" spans="1:55" ht="15" customHeight="1" outlineLevel="3" x14ac:dyDescent="0.2">
      <c r="A314" s="39">
        <v>4</v>
      </c>
      <c r="B314" s="23">
        <v>860990</v>
      </c>
      <c r="C314" s="23" t="s">
        <v>188</v>
      </c>
      <c r="D314" s="22">
        <f>input_values!Z314</f>
        <v>4</v>
      </c>
      <c r="E314" s="657">
        <v>0</v>
      </c>
      <c r="F314" s="31"/>
      <c r="G314" s="31">
        <v>0</v>
      </c>
      <c r="H314" s="31">
        <v>1.6099023057541999E-4</v>
      </c>
      <c r="I314" s="31">
        <v>1.07532077328976E-3</v>
      </c>
      <c r="J314" s="31">
        <v>9.2468257612904E-4</v>
      </c>
      <c r="K314" s="31">
        <v>0</v>
      </c>
      <c r="L314" s="31">
        <v>0</v>
      </c>
      <c r="M314" s="31">
        <v>0</v>
      </c>
      <c r="N314" s="31">
        <v>0</v>
      </c>
      <c r="O314" s="31">
        <v>0</v>
      </c>
      <c r="P314" s="31">
        <v>0</v>
      </c>
      <c r="Q314" s="31">
        <v>0</v>
      </c>
      <c r="R314" s="587"/>
      <c r="S314" s="31">
        <v>4.3721943582417528E-4</v>
      </c>
      <c r="T314" s="31"/>
      <c r="U314" s="31">
        <v>0</v>
      </c>
      <c r="V314" s="31">
        <v>0</v>
      </c>
      <c r="W314" s="31">
        <v>0</v>
      </c>
      <c r="X314" s="31">
        <v>0</v>
      </c>
      <c r="Y314" s="31">
        <v>0</v>
      </c>
      <c r="Z314" s="31">
        <v>0</v>
      </c>
      <c r="AA314" s="31">
        <v>0</v>
      </c>
      <c r="AB314" s="31">
        <v>0</v>
      </c>
      <c r="AC314" s="31">
        <v>0</v>
      </c>
      <c r="AD314" s="31">
        <v>0</v>
      </c>
      <c r="AE314" s="31"/>
      <c r="AF314" s="31"/>
      <c r="AG314" s="31"/>
      <c r="AH314" s="31"/>
      <c r="AI314" s="31"/>
      <c r="AJ314" s="31"/>
      <c r="AK314" s="663">
        <v>0</v>
      </c>
      <c r="AL314" s="663">
        <v>0</v>
      </c>
      <c r="AM314" s="31">
        <v>0</v>
      </c>
      <c r="AN314" s="584"/>
      <c r="AO314" s="584"/>
      <c r="AP314" s="663"/>
      <c r="AQ314" s="31"/>
      <c r="AR314" s="31"/>
      <c r="AS314" s="31"/>
      <c r="AT314" s="31"/>
      <c r="AU314" s="31"/>
      <c r="AV314" s="31"/>
      <c r="AW314" s="31"/>
      <c r="AX314" s="31"/>
      <c r="AY314" s="31"/>
      <c r="AZ314" s="31">
        <f t="shared" si="58"/>
        <v>1.07532077328976E-3</v>
      </c>
      <c r="BA314" s="25" t="str">
        <f t="shared" si="59"/>
        <v>FR toddler 2 3 yr</v>
      </c>
      <c r="BB314" s="25">
        <f t="shared" si="60"/>
        <v>0</v>
      </c>
      <c r="BC314" s="25" t="str">
        <f t="shared" si="61"/>
        <v/>
      </c>
    </row>
    <row r="315" spans="1:55" ht="15" customHeight="1" outlineLevel="1" x14ac:dyDescent="0.2">
      <c r="A315" s="130">
        <v>2</v>
      </c>
      <c r="B315" s="131">
        <v>870000</v>
      </c>
      <c r="C315" s="131" t="s">
        <v>82</v>
      </c>
      <c r="D315" s="79">
        <f>input_values!Z315</f>
        <v>4</v>
      </c>
      <c r="E315" s="581">
        <v>0</v>
      </c>
      <c r="F315" s="92">
        <f t="shared" ref="F315:AO315" si="70">SUM(F316:F317)</f>
        <v>0</v>
      </c>
      <c r="G315" s="92">
        <f t="shared" si="70"/>
        <v>0</v>
      </c>
      <c r="H315" s="92">
        <f t="shared" si="70"/>
        <v>1.6099023057541999E-4</v>
      </c>
      <c r="I315" s="92">
        <f t="shared" si="70"/>
        <v>1.0753207732897285E-3</v>
      </c>
      <c r="J315" s="92">
        <f t="shared" si="70"/>
        <v>9.2468257612904E-4</v>
      </c>
      <c r="K315" s="92">
        <f t="shared" si="70"/>
        <v>0</v>
      </c>
      <c r="L315" s="92">
        <f t="shared" si="70"/>
        <v>0</v>
      </c>
      <c r="M315" s="92">
        <f t="shared" si="70"/>
        <v>0</v>
      </c>
      <c r="N315" s="92">
        <f t="shared" si="70"/>
        <v>0</v>
      </c>
      <c r="O315" s="92">
        <f t="shared" si="70"/>
        <v>0</v>
      </c>
      <c r="P315" s="92">
        <f t="shared" si="70"/>
        <v>0</v>
      </c>
      <c r="Q315" s="92">
        <f t="shared" si="70"/>
        <v>0</v>
      </c>
      <c r="R315" s="92">
        <f t="shared" si="70"/>
        <v>0</v>
      </c>
      <c r="S315" s="92">
        <f t="shared" si="70"/>
        <v>4.3721943582417528E-4</v>
      </c>
      <c r="T315" s="92"/>
      <c r="U315" s="92">
        <f t="shared" si="70"/>
        <v>5.3191489361702126E-3</v>
      </c>
      <c r="V315" s="92">
        <f t="shared" si="70"/>
        <v>0</v>
      </c>
      <c r="W315" s="92">
        <f t="shared" si="70"/>
        <v>0</v>
      </c>
      <c r="X315" s="92">
        <f t="shared" si="70"/>
        <v>0</v>
      </c>
      <c r="Y315" s="92">
        <f t="shared" si="70"/>
        <v>0</v>
      </c>
      <c r="Z315" s="92">
        <f t="shared" si="70"/>
        <v>0</v>
      </c>
      <c r="AA315" s="92">
        <f t="shared" si="70"/>
        <v>0</v>
      </c>
      <c r="AB315" s="92">
        <f t="shared" si="70"/>
        <v>0</v>
      </c>
      <c r="AC315" s="92">
        <f t="shared" si="70"/>
        <v>0</v>
      </c>
      <c r="AD315" s="92">
        <f t="shared" si="70"/>
        <v>0</v>
      </c>
      <c r="AE315" s="92">
        <f t="shared" si="70"/>
        <v>0</v>
      </c>
      <c r="AF315" s="92">
        <f t="shared" si="70"/>
        <v>0</v>
      </c>
      <c r="AG315" s="92">
        <f t="shared" si="70"/>
        <v>0</v>
      </c>
      <c r="AH315" s="92">
        <f t="shared" si="70"/>
        <v>0</v>
      </c>
      <c r="AI315" s="92">
        <f t="shared" si="70"/>
        <v>0</v>
      </c>
      <c r="AJ315" s="92">
        <f t="shared" si="70"/>
        <v>0</v>
      </c>
      <c r="AK315" s="92">
        <f t="shared" si="70"/>
        <v>1.5239074578839043E-4</v>
      </c>
      <c r="AL315" s="92">
        <f t="shared" si="70"/>
        <v>1.2331509395544201E-4</v>
      </c>
      <c r="AM315" s="92">
        <f t="shared" si="70"/>
        <v>0</v>
      </c>
      <c r="AN315" s="92">
        <f t="shared" si="70"/>
        <v>0</v>
      </c>
      <c r="AO315" s="92">
        <f t="shared" si="70"/>
        <v>0</v>
      </c>
      <c r="AP315" s="92"/>
      <c r="AQ315" s="92"/>
      <c r="AR315" s="92"/>
      <c r="AS315" s="92"/>
      <c r="AT315" s="92"/>
      <c r="AU315" s="92"/>
      <c r="AV315" s="92"/>
      <c r="AW315" s="92"/>
      <c r="AX315" s="92" t="s">
        <v>369</v>
      </c>
      <c r="AY315" s="92"/>
      <c r="AZ315" s="92">
        <f t="shared" si="58"/>
        <v>5.3191489361702126E-3</v>
      </c>
      <c r="BA315" s="42" t="str">
        <f t="shared" si="59"/>
        <v>IE adult</v>
      </c>
      <c r="BB315" s="42">
        <f t="shared" si="60"/>
        <v>0</v>
      </c>
      <c r="BC315" s="42" t="str">
        <f t="shared" si="61"/>
        <v/>
      </c>
    </row>
    <row r="316" spans="1:55" ht="15" customHeight="1" outlineLevel="3" x14ac:dyDescent="0.2">
      <c r="A316" s="39">
        <v>4</v>
      </c>
      <c r="B316" s="23">
        <v>870010</v>
      </c>
      <c r="C316" s="23" t="s">
        <v>205</v>
      </c>
      <c r="D316" s="22">
        <f>input_values!Z316</f>
        <v>4</v>
      </c>
      <c r="E316" s="657">
        <v>0</v>
      </c>
      <c r="F316" s="31">
        <v>0</v>
      </c>
      <c r="G316" s="31">
        <v>0</v>
      </c>
      <c r="H316" s="31">
        <v>0</v>
      </c>
      <c r="I316" s="31">
        <v>0</v>
      </c>
      <c r="J316" s="31">
        <v>0</v>
      </c>
      <c r="K316" s="31">
        <v>0</v>
      </c>
      <c r="L316" s="31">
        <v>0</v>
      </c>
      <c r="M316" s="31">
        <v>0</v>
      </c>
      <c r="N316" s="31">
        <v>0</v>
      </c>
      <c r="O316" s="31">
        <v>0</v>
      </c>
      <c r="P316" s="31">
        <v>0</v>
      </c>
      <c r="Q316" s="31">
        <v>0</v>
      </c>
      <c r="R316" s="587"/>
      <c r="S316" s="31">
        <v>0</v>
      </c>
      <c r="T316" s="31"/>
      <c r="U316" s="31">
        <v>0</v>
      </c>
      <c r="V316" s="31">
        <v>0</v>
      </c>
      <c r="W316" s="31">
        <v>0</v>
      </c>
      <c r="X316" s="31">
        <v>0</v>
      </c>
      <c r="Y316" s="31">
        <v>0</v>
      </c>
      <c r="Z316" s="31">
        <v>0</v>
      </c>
      <c r="AA316" s="31">
        <v>0</v>
      </c>
      <c r="AB316" s="31">
        <v>0</v>
      </c>
      <c r="AC316" s="31">
        <v>0</v>
      </c>
      <c r="AD316" s="31">
        <v>0</v>
      </c>
      <c r="AE316" s="31"/>
      <c r="AF316" s="31"/>
      <c r="AG316" s="31"/>
      <c r="AH316" s="31"/>
      <c r="AI316" s="31"/>
      <c r="AJ316" s="31"/>
      <c r="AK316" s="663">
        <v>1.5239074578839043E-4</v>
      </c>
      <c r="AL316" s="663">
        <v>1.2331509395544201E-4</v>
      </c>
      <c r="AM316" s="31">
        <v>0</v>
      </c>
      <c r="AN316" s="584"/>
      <c r="AO316" s="584"/>
      <c r="AP316" s="663"/>
      <c r="AQ316" s="31"/>
      <c r="AR316" s="31"/>
      <c r="AS316" s="31"/>
      <c r="AT316" s="31"/>
      <c r="AU316" s="31"/>
      <c r="AV316" s="31"/>
      <c r="AW316" s="31"/>
      <c r="AX316" s="31"/>
      <c r="AY316" s="31"/>
      <c r="AZ316" s="31">
        <f t="shared" si="58"/>
        <v>1.5239074578839043E-4</v>
      </c>
      <c r="BA316" s="25" t="str">
        <f t="shared" si="59"/>
        <v>DE general</v>
      </c>
      <c r="BB316" s="25">
        <f t="shared" si="60"/>
        <v>0</v>
      </c>
      <c r="BC316" s="25" t="str">
        <f t="shared" si="61"/>
        <v/>
      </c>
    </row>
    <row r="317" spans="1:55" ht="15" customHeight="1" outlineLevel="3" x14ac:dyDescent="0.2">
      <c r="A317" s="39">
        <v>4</v>
      </c>
      <c r="B317" s="23">
        <v>870990</v>
      </c>
      <c r="C317" s="23" t="s">
        <v>189</v>
      </c>
      <c r="D317" s="22">
        <f>input_values!Z317</f>
        <v>4</v>
      </c>
      <c r="E317" s="657">
        <v>0</v>
      </c>
      <c r="F317" s="31"/>
      <c r="G317" s="31">
        <v>0</v>
      </c>
      <c r="H317" s="31">
        <v>1.6099023057541999E-4</v>
      </c>
      <c r="I317" s="31">
        <v>1.0753207732897285E-3</v>
      </c>
      <c r="J317" s="31">
        <v>9.2468257612904E-4</v>
      </c>
      <c r="K317" s="31">
        <v>0</v>
      </c>
      <c r="L317" s="31">
        <v>0</v>
      </c>
      <c r="M317" s="31">
        <v>0</v>
      </c>
      <c r="N317" s="31">
        <v>0</v>
      </c>
      <c r="O317" s="31">
        <v>0</v>
      </c>
      <c r="P317" s="31">
        <v>0</v>
      </c>
      <c r="Q317" s="31">
        <v>0</v>
      </c>
      <c r="R317" s="587"/>
      <c r="S317" s="31">
        <v>4.3721943582417528E-4</v>
      </c>
      <c r="T317" s="31"/>
      <c r="U317" s="31">
        <v>5.3191489361702126E-3</v>
      </c>
      <c r="V317" s="31">
        <v>0</v>
      </c>
      <c r="W317" s="31">
        <v>0</v>
      </c>
      <c r="X317" s="31">
        <v>0</v>
      </c>
      <c r="Y317" s="31">
        <v>0</v>
      </c>
      <c r="Z317" s="31">
        <v>0</v>
      </c>
      <c r="AA317" s="31">
        <v>0</v>
      </c>
      <c r="AB317" s="31">
        <v>0</v>
      </c>
      <c r="AC317" s="31">
        <v>0</v>
      </c>
      <c r="AD317" s="31">
        <v>0</v>
      </c>
      <c r="AE317" s="31"/>
      <c r="AF317" s="31"/>
      <c r="AG317" s="31"/>
      <c r="AH317" s="31"/>
      <c r="AI317" s="31"/>
      <c r="AJ317" s="31"/>
      <c r="AK317" s="663">
        <v>0</v>
      </c>
      <c r="AL317" s="663">
        <v>0</v>
      </c>
      <c r="AM317" s="31">
        <v>0</v>
      </c>
      <c r="AN317" s="584"/>
      <c r="AO317" s="584"/>
      <c r="AP317" s="663"/>
      <c r="AQ317" s="31"/>
      <c r="AR317" s="31"/>
      <c r="AS317" s="31"/>
      <c r="AT317" s="31"/>
      <c r="AU317" s="31"/>
      <c r="AV317" s="31"/>
      <c r="AW317" s="31"/>
      <c r="AX317" s="31"/>
      <c r="AY317" s="31"/>
      <c r="AZ317" s="31">
        <f t="shared" si="58"/>
        <v>5.3191489361702126E-3</v>
      </c>
      <c r="BA317" s="25" t="str">
        <f t="shared" si="59"/>
        <v>IE adult</v>
      </c>
      <c r="BB317" s="25">
        <f t="shared" si="60"/>
        <v>0</v>
      </c>
      <c r="BC317" s="25" t="str">
        <f t="shared" si="61"/>
        <v/>
      </c>
    </row>
    <row r="318" spans="1:55" ht="15" customHeight="1" x14ac:dyDescent="0.2">
      <c r="A318" s="126">
        <v>1</v>
      </c>
      <c r="B318" s="127">
        <v>900000</v>
      </c>
      <c r="C318" s="127" t="s">
        <v>145</v>
      </c>
      <c r="D318" s="81">
        <f>input_values!Z318</f>
        <v>4</v>
      </c>
      <c r="E318" s="582">
        <v>0</v>
      </c>
      <c r="F318" s="91">
        <f t="shared" ref="F318:AO318" si="71">SUM(F319:F322)</f>
        <v>0</v>
      </c>
      <c r="G318" s="91">
        <f t="shared" si="71"/>
        <v>0.17760000000000001</v>
      </c>
      <c r="H318" s="91">
        <f t="shared" si="71"/>
        <v>1.3519631561513219</v>
      </c>
      <c r="I318" s="91">
        <f t="shared" si="71"/>
        <v>2.848616410255759</v>
      </c>
      <c r="J318" s="91">
        <f t="shared" si="71"/>
        <v>3.6761763793524396</v>
      </c>
      <c r="K318" s="91">
        <f t="shared" si="71"/>
        <v>0</v>
      </c>
      <c r="L318" s="91">
        <f t="shared" si="71"/>
        <v>5.2454999999999998</v>
      </c>
      <c r="M318" s="91">
        <f t="shared" si="71"/>
        <v>8.4428400000000003</v>
      </c>
      <c r="N318" s="91">
        <f t="shared" si="71"/>
        <v>1.4114942528735632</v>
      </c>
      <c r="O318" s="91">
        <f t="shared" si="71"/>
        <v>3.202054794520548</v>
      </c>
      <c r="P318" s="91">
        <f t="shared" si="71"/>
        <v>0</v>
      </c>
      <c r="Q318" s="91">
        <f t="shared" si="71"/>
        <v>0.13339999999999999</v>
      </c>
      <c r="R318" s="91">
        <f t="shared" si="71"/>
        <v>0</v>
      </c>
      <c r="S318" s="91">
        <f t="shared" si="71"/>
        <v>0.80774429413898385</v>
      </c>
      <c r="T318" s="91"/>
      <c r="U318" s="91">
        <f t="shared" si="71"/>
        <v>0</v>
      </c>
      <c r="V318" s="91">
        <f t="shared" si="71"/>
        <v>0</v>
      </c>
      <c r="W318" s="91">
        <f t="shared" si="71"/>
        <v>0</v>
      </c>
      <c r="X318" s="91">
        <f t="shared" si="71"/>
        <v>2.8677600000000001</v>
      </c>
      <c r="Y318" s="91">
        <f t="shared" si="71"/>
        <v>0</v>
      </c>
      <c r="Z318" s="91">
        <f t="shared" si="71"/>
        <v>0</v>
      </c>
      <c r="AA318" s="91">
        <f t="shared" si="71"/>
        <v>1.3166666666666667</v>
      </c>
      <c r="AB318" s="91">
        <f t="shared" si="71"/>
        <v>0</v>
      </c>
      <c r="AC318" s="91">
        <f t="shared" si="71"/>
        <v>0.55960526315789472</v>
      </c>
      <c r="AD318" s="91">
        <f t="shared" si="71"/>
        <v>0.5287256371814093</v>
      </c>
      <c r="AE318" s="91">
        <f t="shared" si="71"/>
        <v>3.1356666666666664</v>
      </c>
      <c r="AF318" s="91">
        <f t="shared" si="71"/>
        <v>1.5406666666666666</v>
      </c>
      <c r="AG318" s="91">
        <f t="shared" si="71"/>
        <v>1.6038333333333332</v>
      </c>
      <c r="AH318" s="91">
        <f t="shared" si="71"/>
        <v>1.2931666666666668</v>
      </c>
      <c r="AI318" s="91">
        <f t="shared" si="71"/>
        <v>2.3141666666666669</v>
      </c>
      <c r="AJ318" s="91">
        <f t="shared" si="71"/>
        <v>1.3031666666666668</v>
      </c>
      <c r="AK318" s="91">
        <f t="shared" si="71"/>
        <v>4.2923438702351406</v>
      </c>
      <c r="AL318" s="91">
        <f t="shared" si="71"/>
        <v>4.6703852839113651</v>
      </c>
      <c r="AM318" s="91">
        <f t="shared" si="71"/>
        <v>0</v>
      </c>
      <c r="AN318" s="91">
        <f t="shared" si="71"/>
        <v>0</v>
      </c>
      <c r="AO318" s="91">
        <f t="shared" si="71"/>
        <v>0</v>
      </c>
      <c r="AP318" s="91"/>
      <c r="AQ318" s="91"/>
      <c r="AR318" s="91"/>
      <c r="AS318" s="91"/>
      <c r="AT318" s="91"/>
      <c r="AU318" s="91"/>
      <c r="AV318" s="91"/>
      <c r="AW318" s="91"/>
      <c r="AX318" s="91" t="s">
        <v>369</v>
      </c>
      <c r="AY318" s="91"/>
      <c r="AZ318" s="91">
        <f t="shared" si="58"/>
        <v>8.4428400000000003</v>
      </c>
      <c r="BA318" s="41" t="str">
        <f t="shared" si="59"/>
        <v>NL child</v>
      </c>
      <c r="BB318" s="41">
        <f t="shared" si="60"/>
        <v>0</v>
      </c>
      <c r="BC318" s="41" t="str">
        <f t="shared" si="61"/>
        <v/>
      </c>
    </row>
    <row r="319" spans="1:55" ht="15" customHeight="1" outlineLevel="3" x14ac:dyDescent="0.2">
      <c r="A319" s="39">
        <v>4</v>
      </c>
      <c r="B319" s="23">
        <v>900010</v>
      </c>
      <c r="C319" s="23" t="s">
        <v>785</v>
      </c>
      <c r="D319" s="22">
        <f>input_values!Z319</f>
        <v>4</v>
      </c>
      <c r="E319" s="657">
        <v>0</v>
      </c>
      <c r="F319" s="31">
        <v>0</v>
      </c>
      <c r="G319" s="31">
        <v>0.17760000000000001</v>
      </c>
      <c r="H319" s="31">
        <v>1.351552059839678</v>
      </c>
      <c r="I319" s="31">
        <v>2.8426992596629277</v>
      </c>
      <c r="J319" s="31">
        <v>3.667178414788288</v>
      </c>
      <c r="K319" s="31">
        <v>0</v>
      </c>
      <c r="L319" s="31">
        <v>5.2454999999999998</v>
      </c>
      <c r="M319" s="31">
        <v>8.4428400000000003</v>
      </c>
      <c r="N319" s="31">
        <v>1.4114942528735632</v>
      </c>
      <c r="O319" s="31">
        <v>3.202054794520548</v>
      </c>
      <c r="P319" s="31">
        <v>0</v>
      </c>
      <c r="Q319" s="31">
        <v>0.13339999999999999</v>
      </c>
      <c r="R319" s="587"/>
      <c r="S319" s="31">
        <v>0.80380536198692332</v>
      </c>
      <c r="T319" s="31"/>
      <c r="U319" s="31">
        <v>0</v>
      </c>
      <c r="V319" s="31">
        <v>0</v>
      </c>
      <c r="W319" s="31">
        <v>0</v>
      </c>
      <c r="X319" s="31">
        <v>2.8677600000000001</v>
      </c>
      <c r="Y319" s="31">
        <v>0</v>
      </c>
      <c r="Z319" s="31">
        <v>0</v>
      </c>
      <c r="AA319" s="31">
        <v>1.3166666666666667</v>
      </c>
      <c r="AB319" s="31">
        <v>0</v>
      </c>
      <c r="AC319" s="31">
        <v>0.55960526315789472</v>
      </c>
      <c r="AD319" s="31">
        <v>0.5287256371814093</v>
      </c>
      <c r="AE319" s="31">
        <v>1.4823333333333333</v>
      </c>
      <c r="AF319" s="31">
        <v>1.6666666666666668E-3</v>
      </c>
      <c r="AG319" s="31">
        <v>0</v>
      </c>
      <c r="AH319" s="31">
        <v>1.6666666666666668E-3</v>
      </c>
      <c r="AI319" s="31">
        <v>0</v>
      </c>
      <c r="AJ319" s="31">
        <v>0</v>
      </c>
      <c r="AK319" s="663">
        <v>4.2211868893319044</v>
      </c>
      <c r="AL319" s="663">
        <v>4.5882087253367541</v>
      </c>
      <c r="AM319" s="31">
        <v>0</v>
      </c>
      <c r="AN319" s="584"/>
      <c r="AO319" s="584"/>
      <c r="AP319" s="663"/>
      <c r="AQ319" s="31"/>
      <c r="AR319" s="31"/>
      <c r="AS319" s="31"/>
      <c r="AT319" s="31"/>
      <c r="AU319" s="31"/>
      <c r="AV319" s="31"/>
      <c r="AW319" s="31"/>
      <c r="AX319" s="31"/>
      <c r="AY319" s="31"/>
      <c r="AZ319" s="31">
        <f t="shared" si="58"/>
        <v>8.4428400000000003</v>
      </c>
      <c r="BA319" s="25" t="str">
        <f t="shared" si="59"/>
        <v>NL child</v>
      </c>
      <c r="BB319" s="25">
        <f t="shared" si="60"/>
        <v>0</v>
      </c>
      <c r="BC319" s="25" t="str">
        <f t="shared" si="61"/>
        <v/>
      </c>
    </row>
    <row r="320" spans="1:55" ht="15" customHeight="1" outlineLevel="3" x14ac:dyDescent="0.2">
      <c r="A320" s="39">
        <v>4</v>
      </c>
      <c r="B320" s="23">
        <v>900020</v>
      </c>
      <c r="C320" s="23" t="s">
        <v>786</v>
      </c>
      <c r="D320" s="22">
        <f>input_values!Z320</f>
        <v>4</v>
      </c>
      <c r="E320" s="657">
        <v>0</v>
      </c>
      <c r="F320" s="31">
        <v>0</v>
      </c>
      <c r="G320" s="31">
        <v>0</v>
      </c>
      <c r="H320" s="31">
        <v>4.1109631164389196E-4</v>
      </c>
      <c r="I320" s="31">
        <v>5.9171505928314423E-3</v>
      </c>
      <c r="J320" s="31">
        <v>8.9979645641517537E-3</v>
      </c>
      <c r="K320" s="31">
        <v>0</v>
      </c>
      <c r="L320" s="31">
        <v>0</v>
      </c>
      <c r="M320" s="31">
        <v>0</v>
      </c>
      <c r="N320" s="31">
        <v>0</v>
      </c>
      <c r="O320" s="31">
        <v>0</v>
      </c>
      <c r="P320" s="31">
        <v>0</v>
      </c>
      <c r="Q320" s="31">
        <v>0</v>
      </c>
      <c r="R320" s="587"/>
      <c r="S320" s="31">
        <v>3.9389321520605335E-3</v>
      </c>
      <c r="T320" s="31"/>
      <c r="U320" s="31">
        <v>0</v>
      </c>
      <c r="V320" s="31">
        <v>0</v>
      </c>
      <c r="W320" s="31">
        <v>0</v>
      </c>
      <c r="X320" s="31">
        <v>0</v>
      </c>
      <c r="Y320" s="31">
        <v>0</v>
      </c>
      <c r="Z320" s="31">
        <v>0</v>
      </c>
      <c r="AA320" s="31">
        <v>0</v>
      </c>
      <c r="AB320" s="31">
        <v>0</v>
      </c>
      <c r="AC320" s="31">
        <v>0</v>
      </c>
      <c r="AD320" s="31">
        <v>0</v>
      </c>
      <c r="AE320" s="31">
        <v>1.6516666666666666</v>
      </c>
      <c r="AF320" s="31">
        <v>1.5373333333333332</v>
      </c>
      <c r="AG320" s="31">
        <v>1.5953333333333333</v>
      </c>
      <c r="AH320" s="31">
        <v>1.2898333333333334</v>
      </c>
      <c r="AI320" s="31">
        <v>1.9621666666666668</v>
      </c>
      <c r="AJ320" s="31">
        <v>1.3015000000000001</v>
      </c>
      <c r="AK320" s="663">
        <v>7.0953546000541656E-2</v>
      </c>
      <c r="AL320" s="663">
        <v>8.1865621177944672E-2</v>
      </c>
      <c r="AM320" s="31">
        <v>0</v>
      </c>
      <c r="AN320" s="584"/>
      <c r="AO320" s="584"/>
      <c r="AP320" s="663"/>
      <c r="AQ320" s="31"/>
      <c r="AR320" s="31"/>
      <c r="AS320" s="31"/>
      <c r="AT320" s="31"/>
      <c r="AU320" s="31"/>
      <c r="AV320" s="31"/>
      <c r="AW320" s="31"/>
      <c r="AX320" s="31"/>
      <c r="AY320" s="31"/>
      <c r="AZ320" s="31">
        <f t="shared" si="58"/>
        <v>1.9621666666666668</v>
      </c>
      <c r="BA320" s="25" t="str">
        <f t="shared" si="59"/>
        <v>GEMS/Food G11</v>
      </c>
      <c r="BB320" s="25">
        <f t="shared" si="60"/>
        <v>0</v>
      </c>
      <c r="BC320" s="25" t="str">
        <f t="shared" si="61"/>
        <v/>
      </c>
    </row>
    <row r="321" spans="1:55" ht="15" customHeight="1" outlineLevel="3" x14ac:dyDescent="0.2">
      <c r="A321" s="39">
        <v>4</v>
      </c>
      <c r="B321" s="23">
        <v>900030</v>
      </c>
      <c r="C321" s="23" t="s">
        <v>206</v>
      </c>
      <c r="D321" s="22">
        <f>input_values!Z321</f>
        <v>4</v>
      </c>
      <c r="E321" s="657">
        <v>0</v>
      </c>
      <c r="F321" s="31">
        <v>0</v>
      </c>
      <c r="G321" s="31">
        <v>0</v>
      </c>
      <c r="H321" s="31">
        <v>0</v>
      </c>
      <c r="I321" s="31">
        <v>0</v>
      </c>
      <c r="J321" s="31">
        <v>0</v>
      </c>
      <c r="K321" s="31">
        <v>0</v>
      </c>
      <c r="L321" s="31">
        <v>0</v>
      </c>
      <c r="M321" s="31">
        <v>0</v>
      </c>
      <c r="N321" s="31">
        <v>0</v>
      </c>
      <c r="O321" s="31">
        <v>0</v>
      </c>
      <c r="P321" s="31">
        <v>0</v>
      </c>
      <c r="Q321" s="31">
        <v>0</v>
      </c>
      <c r="R321" s="587"/>
      <c r="S321" s="31">
        <v>0</v>
      </c>
      <c r="T321" s="31"/>
      <c r="U321" s="31">
        <v>0</v>
      </c>
      <c r="V321" s="31">
        <v>0</v>
      </c>
      <c r="W321" s="31">
        <v>0</v>
      </c>
      <c r="X321" s="31">
        <v>0</v>
      </c>
      <c r="Y321" s="31">
        <v>0</v>
      </c>
      <c r="Z321" s="31">
        <v>0</v>
      </c>
      <c r="AA321" s="31">
        <v>0</v>
      </c>
      <c r="AB321" s="31">
        <v>0</v>
      </c>
      <c r="AC321" s="31">
        <v>0</v>
      </c>
      <c r="AD321" s="31">
        <v>0</v>
      </c>
      <c r="AE321" s="31">
        <v>1.6666666666666668E-3</v>
      </c>
      <c r="AF321" s="31">
        <v>1.6666666666666668E-3</v>
      </c>
      <c r="AG321" s="31">
        <v>8.5000000000000006E-3</v>
      </c>
      <c r="AH321" s="31">
        <v>1.6666666666666668E-3</v>
      </c>
      <c r="AI321" s="31">
        <v>0.35200000000000004</v>
      </c>
      <c r="AJ321" s="31">
        <v>1.6666666666666668E-3</v>
      </c>
      <c r="AK321" s="663">
        <v>2.0343490269416392E-4</v>
      </c>
      <c r="AL321" s="663">
        <v>3.1093739666680412E-4</v>
      </c>
      <c r="AM321" s="31">
        <v>0</v>
      </c>
      <c r="AN321" s="584"/>
      <c r="AO321" s="584"/>
      <c r="AP321" s="663"/>
      <c r="AQ321" s="31"/>
      <c r="AR321" s="31"/>
      <c r="AS321" s="31"/>
      <c r="AT321" s="31"/>
      <c r="AU321" s="31"/>
      <c r="AV321" s="31"/>
      <c r="AW321" s="31"/>
      <c r="AX321" s="31"/>
      <c r="AY321" s="31"/>
      <c r="AZ321" s="31">
        <f t="shared" si="58"/>
        <v>0.35200000000000004</v>
      </c>
      <c r="BA321" s="25" t="str">
        <f t="shared" si="59"/>
        <v>GEMS/Food G11</v>
      </c>
      <c r="BB321" s="25">
        <f t="shared" si="60"/>
        <v>0</v>
      </c>
      <c r="BC321" s="25" t="str">
        <f t="shared" si="61"/>
        <v/>
      </c>
    </row>
    <row r="322" spans="1:55" ht="15" customHeight="1" outlineLevel="3" x14ac:dyDescent="0.2">
      <c r="A322" s="39">
        <v>4</v>
      </c>
      <c r="B322" s="23">
        <v>900990</v>
      </c>
      <c r="C322" s="23" t="s">
        <v>190</v>
      </c>
      <c r="D322" s="22">
        <f>input_values!Z322</f>
        <v>4</v>
      </c>
      <c r="E322" s="657">
        <v>0</v>
      </c>
      <c r="F322" s="31"/>
      <c r="G322" s="31">
        <v>0</v>
      </c>
      <c r="H322" s="31">
        <v>0</v>
      </c>
      <c r="I322" s="31">
        <v>0</v>
      </c>
      <c r="J322" s="31">
        <v>0</v>
      </c>
      <c r="K322" s="31">
        <v>0</v>
      </c>
      <c r="L322" s="31">
        <v>0</v>
      </c>
      <c r="M322" s="31">
        <v>0</v>
      </c>
      <c r="N322" s="31">
        <v>0</v>
      </c>
      <c r="O322" s="31">
        <v>0</v>
      </c>
      <c r="P322" s="31">
        <v>0</v>
      </c>
      <c r="Q322" s="31">
        <v>0</v>
      </c>
      <c r="R322" s="587"/>
      <c r="S322" s="31">
        <v>0</v>
      </c>
      <c r="T322" s="31"/>
      <c r="U322" s="31">
        <v>0</v>
      </c>
      <c r="V322" s="31">
        <v>0</v>
      </c>
      <c r="W322" s="31">
        <v>0</v>
      </c>
      <c r="X322" s="31">
        <v>0</v>
      </c>
      <c r="Y322" s="31">
        <v>0</v>
      </c>
      <c r="Z322" s="31">
        <v>0</v>
      </c>
      <c r="AA322" s="31">
        <v>0</v>
      </c>
      <c r="AB322" s="31">
        <v>0</v>
      </c>
      <c r="AC322" s="31">
        <v>0</v>
      </c>
      <c r="AD322" s="31">
        <v>0</v>
      </c>
      <c r="AE322" s="31"/>
      <c r="AF322" s="31"/>
      <c r="AG322" s="31"/>
      <c r="AH322" s="31"/>
      <c r="AI322" s="31"/>
      <c r="AJ322" s="31"/>
      <c r="AK322" s="663">
        <v>0</v>
      </c>
      <c r="AL322" s="663">
        <v>0</v>
      </c>
      <c r="AM322" s="31">
        <v>0</v>
      </c>
      <c r="AN322" s="584"/>
      <c r="AO322" s="584"/>
      <c r="AP322" s="663"/>
      <c r="AQ322" s="31"/>
      <c r="AR322" s="31"/>
      <c r="AS322" s="31"/>
      <c r="AT322" s="31"/>
      <c r="AU322" s="31"/>
      <c r="AV322" s="31"/>
      <c r="AW322" s="31"/>
      <c r="AX322" s="31"/>
      <c r="AY322" s="31"/>
      <c r="AZ322" s="31">
        <f t="shared" si="58"/>
        <v>0</v>
      </c>
      <c r="BA322" s="25" t="str">
        <f t="shared" si="59"/>
        <v>DE child</v>
      </c>
      <c r="BB322" s="25">
        <f t="shared" si="60"/>
        <v>0</v>
      </c>
      <c r="BC322" s="25" t="str">
        <f t="shared" si="61"/>
        <v/>
      </c>
    </row>
    <row r="323" spans="1:55" ht="15" customHeight="1" x14ac:dyDescent="0.2">
      <c r="A323" s="126">
        <v>1</v>
      </c>
      <c r="B323" s="127">
        <v>1000000</v>
      </c>
      <c r="C323" s="127" t="s">
        <v>139</v>
      </c>
      <c r="D323" s="81">
        <f>input_values!Z323</f>
        <v>4</v>
      </c>
      <c r="E323" s="582">
        <f>SUM(E324,E374,E380,E386,E387,E388,E389)</f>
        <v>22.660000000000004</v>
      </c>
      <c r="F323" s="91">
        <f>SUM(F324,F374,F380,F386,F387,F388,F389)</f>
        <v>17.790909090909089</v>
      </c>
      <c r="G323" s="91">
        <f t="shared" ref="G323:AO323" si="72">SUM(G324,G374,G380,G386,G387,G388,G389)</f>
        <v>17.649499999999996</v>
      </c>
      <c r="H323" s="91">
        <f t="shared" si="72"/>
        <v>17.986752508120777</v>
      </c>
      <c r="I323" s="91">
        <f t="shared" si="72"/>
        <v>33.511108847571691</v>
      </c>
      <c r="J323" s="91">
        <f t="shared" si="72"/>
        <v>28.448227275822788</v>
      </c>
      <c r="K323" s="91">
        <f t="shared" si="72"/>
        <v>0</v>
      </c>
      <c r="L323" s="91">
        <f t="shared" si="72"/>
        <v>62.924999999999997</v>
      </c>
      <c r="M323" s="91">
        <f t="shared" si="72"/>
        <v>27.932000000000002</v>
      </c>
      <c r="N323" s="91">
        <f t="shared" si="72"/>
        <v>42.025411494252879</v>
      </c>
      <c r="O323" s="91">
        <f t="shared" si="72"/>
        <v>23.514401369863016</v>
      </c>
      <c r="P323" s="91">
        <f>SUM(P324,P374,P380,P386,P387,P388,P389)</f>
        <v>7.6711051930758991</v>
      </c>
      <c r="Q323" s="91">
        <f t="shared" si="72"/>
        <v>7.8928000000000003</v>
      </c>
      <c r="R323" s="91">
        <f t="shared" si="72"/>
        <v>0</v>
      </c>
      <c r="S323" s="91">
        <f t="shared" si="72"/>
        <v>6.9557819258084832</v>
      </c>
      <c r="T323" s="91"/>
      <c r="U323" s="91">
        <f t="shared" si="72"/>
        <v>6.7632978723404253</v>
      </c>
      <c r="V323" s="91">
        <f t="shared" si="72"/>
        <v>0</v>
      </c>
      <c r="W323" s="91">
        <f t="shared" si="72"/>
        <v>5.992</v>
      </c>
      <c r="X323" s="91">
        <f t="shared" si="72"/>
        <v>11.009</v>
      </c>
      <c r="Y323" s="91">
        <f t="shared" si="72"/>
        <v>0</v>
      </c>
      <c r="Z323" s="91">
        <f t="shared" si="72"/>
        <v>0</v>
      </c>
      <c r="AA323" s="91">
        <f t="shared" si="72"/>
        <v>14.583333333333334</v>
      </c>
      <c r="AB323" s="91">
        <f t="shared" si="72"/>
        <v>17.689999999999998</v>
      </c>
      <c r="AC323" s="91">
        <f t="shared" si="72"/>
        <v>4.4794894736842101</v>
      </c>
      <c r="AD323" s="91">
        <f t="shared" si="72"/>
        <v>3.6731634182908546</v>
      </c>
      <c r="AE323" s="91">
        <f t="shared" si="72"/>
        <v>4.0361666666666665</v>
      </c>
      <c r="AF323" s="91">
        <f t="shared" si="72"/>
        <v>10.394</v>
      </c>
      <c r="AG323" s="91">
        <f t="shared" si="72"/>
        <v>9.3166666666666664</v>
      </c>
      <c r="AH323" s="91">
        <f t="shared" si="72"/>
        <v>9.0630000000000006</v>
      </c>
      <c r="AI323" s="91">
        <f t="shared" si="72"/>
        <v>11.090499999999999</v>
      </c>
      <c r="AJ323" s="91">
        <f t="shared" si="72"/>
        <v>10.710666666666665</v>
      </c>
      <c r="AK323" s="91">
        <f>SUM(AK324,AK374,AK380,AK386,AK387,AK388,AK389)</f>
        <v>14.742408571256354</v>
      </c>
      <c r="AL323" s="91">
        <f>SUM(AL324,AL374,AL380,AL386,AL387,AL388,AL389)</f>
        <v>14.555157440738506</v>
      </c>
      <c r="AM323" s="91">
        <f t="shared" si="72"/>
        <v>4.3050437499999994</v>
      </c>
      <c r="AN323" s="91">
        <f t="shared" si="72"/>
        <v>9.7159307999999996E-3</v>
      </c>
      <c r="AO323" s="91">
        <f t="shared" si="72"/>
        <v>8.2957024000000004E-3</v>
      </c>
      <c r="AP323" s="91"/>
      <c r="AQ323" s="91"/>
      <c r="AR323" s="91"/>
      <c r="AS323" s="91"/>
      <c r="AT323" s="91"/>
      <c r="AU323" s="91"/>
      <c r="AV323" s="91"/>
      <c r="AW323" s="91"/>
      <c r="AX323" s="91" t="s">
        <v>369</v>
      </c>
      <c r="AY323" s="91"/>
      <c r="AZ323" s="91">
        <f t="shared" si="58"/>
        <v>62.924999999999997</v>
      </c>
      <c r="BA323" s="41" t="str">
        <f t="shared" si="59"/>
        <v>NL toddler</v>
      </c>
      <c r="BB323" s="41">
        <f t="shared" si="60"/>
        <v>0</v>
      </c>
      <c r="BC323" s="41" t="str">
        <f t="shared" si="61"/>
        <v/>
      </c>
    </row>
    <row r="324" spans="1:55" ht="15" customHeight="1" outlineLevel="1" x14ac:dyDescent="0.2">
      <c r="A324" s="130">
        <v>2</v>
      </c>
      <c r="B324" s="131">
        <v>1010000</v>
      </c>
      <c r="C324" s="131" t="s">
        <v>625</v>
      </c>
      <c r="D324" s="79">
        <f>input_values!Z324</f>
        <v>4</v>
      </c>
      <c r="E324" s="581">
        <f>SUM(E325,E332,E339,E346,E353,E360,E367)</f>
        <v>1.63</v>
      </c>
      <c r="F324" s="92">
        <f>SUM(F325,F332,F339,F346,F353,F360,F367)</f>
        <v>4.295454545454545</v>
      </c>
      <c r="G324" s="92">
        <f t="shared" ref="G324:AO324" si="73">SUM(G325,G332,G339,G346,G353,G360,G367)</f>
        <v>4.3816999999999986</v>
      </c>
      <c r="H324" s="92">
        <f t="shared" si="73"/>
        <v>0.98735096228948327</v>
      </c>
      <c r="I324" s="92">
        <f t="shared" si="73"/>
        <v>3.0978169371615727</v>
      </c>
      <c r="J324" s="92">
        <f t="shared" si="73"/>
        <v>4.1828473658673726</v>
      </c>
      <c r="K324" s="92">
        <f t="shared" si="73"/>
        <v>0</v>
      </c>
      <c r="L324" s="92">
        <f t="shared" si="73"/>
        <v>2.8189999999999995</v>
      </c>
      <c r="M324" s="92">
        <f t="shared" si="73"/>
        <v>2.919</v>
      </c>
      <c r="N324" s="92">
        <f t="shared" si="73"/>
        <v>1.9195402298850575</v>
      </c>
      <c r="O324" s="92">
        <f t="shared" si="73"/>
        <v>1.9383561643835618</v>
      </c>
      <c r="P324" s="92">
        <f>SUM(P325,P332,P339,P346,P353,P360,P367)</f>
        <v>2.0239680426098539</v>
      </c>
      <c r="Q324" s="92">
        <f t="shared" si="73"/>
        <v>2.4379000000000004</v>
      </c>
      <c r="R324" s="92">
        <f t="shared" si="73"/>
        <v>0</v>
      </c>
      <c r="S324" s="92">
        <f t="shared" si="73"/>
        <v>1.9083650764381639</v>
      </c>
      <c r="T324" s="92"/>
      <c r="U324" s="92">
        <f t="shared" si="73"/>
        <v>2.1316489361702127</v>
      </c>
      <c r="V324" s="92">
        <f t="shared" si="73"/>
        <v>0</v>
      </c>
      <c r="W324" s="92">
        <f t="shared" si="73"/>
        <v>1.7045714285714286</v>
      </c>
      <c r="X324" s="92">
        <f t="shared" si="73"/>
        <v>2.1779999999999999</v>
      </c>
      <c r="Y324" s="92">
        <f t="shared" si="73"/>
        <v>0</v>
      </c>
      <c r="Z324" s="92">
        <f t="shared" si="73"/>
        <v>0</v>
      </c>
      <c r="AA324" s="92">
        <f t="shared" si="73"/>
        <v>2.333333333333333</v>
      </c>
      <c r="AB324" s="92">
        <f t="shared" si="73"/>
        <v>4.4000000000000004</v>
      </c>
      <c r="AC324" s="92">
        <f t="shared" si="73"/>
        <v>1.1605263157894736</v>
      </c>
      <c r="AD324" s="92">
        <f t="shared" si="73"/>
        <v>6.5967016491754127E-2</v>
      </c>
      <c r="AE324" s="92">
        <f t="shared" si="73"/>
        <v>1.2230000000000001</v>
      </c>
      <c r="AF324" s="92">
        <f t="shared" si="73"/>
        <v>3.9121666666666668</v>
      </c>
      <c r="AG324" s="92">
        <f t="shared" si="73"/>
        <v>3.7186666666666661</v>
      </c>
      <c r="AH324" s="92">
        <f t="shared" si="73"/>
        <v>3.5434999999999999</v>
      </c>
      <c r="AI324" s="92">
        <f t="shared" si="73"/>
        <v>3.2811666666666666</v>
      </c>
      <c r="AJ324" s="92">
        <f t="shared" si="73"/>
        <v>3.4423333333333326</v>
      </c>
      <c r="AK324" s="92">
        <f>SUM(AK325,AK332,AK339,AK346,AK353,AK360,AK367)</f>
        <v>1.9118190275594849</v>
      </c>
      <c r="AL324" s="92">
        <f>SUM(AL325,AL332,AL339,AL346,AL353,AL360,AL367)</f>
        <v>1.5992742082453921</v>
      </c>
      <c r="AM324" s="92">
        <f t="shared" si="73"/>
        <v>0.55551181999999999</v>
      </c>
      <c r="AN324" s="92">
        <f t="shared" si="73"/>
        <v>0</v>
      </c>
      <c r="AO324" s="92">
        <f t="shared" si="73"/>
        <v>0</v>
      </c>
      <c r="AP324" s="92"/>
      <c r="AQ324" s="92"/>
      <c r="AR324" s="92"/>
      <c r="AS324" s="92"/>
      <c r="AT324" s="92"/>
      <c r="AU324" s="92"/>
      <c r="AV324" s="92"/>
      <c r="AW324" s="92"/>
      <c r="AX324" s="92" t="s">
        <v>369</v>
      </c>
      <c r="AY324" s="92"/>
      <c r="AZ324" s="92">
        <f t="shared" si="58"/>
        <v>4.4000000000000004</v>
      </c>
      <c r="BA324" s="42" t="str">
        <f t="shared" si="59"/>
        <v>SE general</v>
      </c>
      <c r="BB324" s="42">
        <f t="shared" si="60"/>
        <v>0</v>
      </c>
      <c r="BC324" s="42" t="str">
        <f t="shared" si="61"/>
        <v/>
      </c>
    </row>
    <row r="325" spans="1:55" ht="15" customHeight="1" outlineLevel="2" x14ac:dyDescent="0.2">
      <c r="A325" s="133">
        <v>3</v>
      </c>
      <c r="B325" s="5">
        <v>1011000</v>
      </c>
      <c r="C325" s="5" t="s">
        <v>146</v>
      </c>
      <c r="D325" s="82">
        <f>input_values!Z325</f>
        <v>4</v>
      </c>
      <c r="E325" s="655">
        <f>SUM(E326:E331)</f>
        <v>0.59</v>
      </c>
      <c r="F325" s="49">
        <f>SUM(F326:F331)</f>
        <v>2.3318181818181816</v>
      </c>
      <c r="G325" s="49">
        <f t="shared" ref="G325:AO325" si="74">SUM(G326:G331)</f>
        <v>1.3834999999999997</v>
      </c>
      <c r="H325" s="49">
        <f t="shared" si="74"/>
        <v>0.38066791265752881</v>
      </c>
      <c r="I325" s="49">
        <f t="shared" si="74"/>
        <v>1.2687483121344587</v>
      </c>
      <c r="J325" s="49">
        <f t="shared" si="74"/>
        <v>1.734010510579425</v>
      </c>
      <c r="K325" s="49">
        <f t="shared" si="74"/>
        <v>0</v>
      </c>
      <c r="L325" s="49">
        <f t="shared" si="74"/>
        <v>1.071</v>
      </c>
      <c r="M325" s="49">
        <f t="shared" si="74"/>
        <v>1.218</v>
      </c>
      <c r="N325" s="49">
        <f t="shared" si="74"/>
        <v>0</v>
      </c>
      <c r="O325" s="49">
        <f t="shared" si="74"/>
        <v>0</v>
      </c>
      <c r="P325" s="49">
        <f>SUM(P326:P331)</f>
        <v>1.1318242343541947</v>
      </c>
      <c r="Q325" s="49">
        <f t="shared" si="74"/>
        <v>0.78749999999999998</v>
      </c>
      <c r="R325" s="49">
        <f t="shared" si="74"/>
        <v>0</v>
      </c>
      <c r="S325" s="49">
        <f t="shared" si="74"/>
        <v>0.78169869160575378</v>
      </c>
      <c r="T325" s="49"/>
      <c r="U325" s="49">
        <f t="shared" si="74"/>
        <v>0.39893617021276595</v>
      </c>
      <c r="V325" s="49">
        <f t="shared" si="74"/>
        <v>0</v>
      </c>
      <c r="W325" s="49">
        <f t="shared" si="74"/>
        <v>1.1184285714285715</v>
      </c>
      <c r="X325" s="49">
        <f t="shared" si="74"/>
        <v>1.002</v>
      </c>
      <c r="Y325" s="49">
        <f t="shared" si="74"/>
        <v>0</v>
      </c>
      <c r="Z325" s="49">
        <f t="shared" si="74"/>
        <v>0</v>
      </c>
      <c r="AA325" s="49">
        <f t="shared" si="74"/>
        <v>1.1666666666666665</v>
      </c>
      <c r="AB325" s="49">
        <f t="shared" si="74"/>
        <v>0</v>
      </c>
      <c r="AC325" s="49">
        <f t="shared" si="74"/>
        <v>0</v>
      </c>
      <c r="AD325" s="49">
        <f t="shared" si="74"/>
        <v>0</v>
      </c>
      <c r="AE325" s="49">
        <f t="shared" si="74"/>
        <v>6.9333333333333344E-2</v>
      </c>
      <c r="AF325" s="49">
        <f t="shared" si="74"/>
        <v>1.3074999999999999</v>
      </c>
      <c r="AG325" s="49">
        <f t="shared" si="74"/>
        <v>2.2355</v>
      </c>
      <c r="AH325" s="49">
        <f t="shared" si="74"/>
        <v>0.99066666666666658</v>
      </c>
      <c r="AI325" s="49">
        <f t="shared" si="74"/>
        <v>1.4726666666666666</v>
      </c>
      <c r="AJ325" s="49">
        <f t="shared" si="74"/>
        <v>1.7833333333333332</v>
      </c>
      <c r="AK325" s="49">
        <f>SUM(AK326:AK331)</f>
        <v>1.2279312932288751</v>
      </c>
      <c r="AL325" s="49">
        <f>SUM(AL326:AL331)</f>
        <v>0.96146337756915345</v>
      </c>
      <c r="AM325" s="49">
        <f t="shared" si="74"/>
        <v>0.30806500000000003</v>
      </c>
      <c r="AN325" s="49">
        <f t="shared" si="74"/>
        <v>0</v>
      </c>
      <c r="AO325" s="49">
        <f t="shared" si="74"/>
        <v>0</v>
      </c>
      <c r="AP325" s="49"/>
      <c r="AQ325" s="49"/>
      <c r="AR325" s="49"/>
      <c r="AS325" s="49"/>
      <c r="AT325" s="49"/>
      <c r="AU325" s="49"/>
      <c r="AV325" s="49"/>
      <c r="AW325" s="49"/>
      <c r="AX325" s="49" t="s">
        <v>369</v>
      </c>
      <c r="AY325" s="49"/>
      <c r="AZ325" s="49">
        <f t="shared" si="58"/>
        <v>2.3318181818181816</v>
      </c>
      <c r="BA325" s="6" t="str">
        <f t="shared" si="59"/>
        <v>DK child</v>
      </c>
      <c r="BB325" s="6">
        <f t="shared" si="60"/>
        <v>0</v>
      </c>
      <c r="BC325" s="6" t="str">
        <f t="shared" si="61"/>
        <v/>
      </c>
    </row>
    <row r="326" spans="1:55" ht="15" customHeight="1" outlineLevel="3" x14ac:dyDescent="0.2">
      <c r="A326" s="39">
        <v>4</v>
      </c>
      <c r="B326" s="23">
        <v>1011010</v>
      </c>
      <c r="C326" s="23" t="s">
        <v>862</v>
      </c>
      <c r="D326" s="22">
        <f>input_values!Z326</f>
        <v>4</v>
      </c>
      <c r="E326" s="657">
        <v>0.59</v>
      </c>
      <c r="F326" s="31">
        <v>2.2272727272727271</v>
      </c>
      <c r="G326" s="31">
        <v>1.2347999999999999</v>
      </c>
      <c r="H326" s="31">
        <v>0.35670527770621541</v>
      </c>
      <c r="I326" s="31">
        <v>1.1516756870364675</v>
      </c>
      <c r="J326" s="31">
        <v>1.4834580931083525</v>
      </c>
      <c r="K326" s="31">
        <v>0</v>
      </c>
      <c r="L326" s="31">
        <v>0.86799999999999999</v>
      </c>
      <c r="M326" s="31">
        <v>1.0960000000000001</v>
      </c>
      <c r="N326" s="31">
        <v>0</v>
      </c>
      <c r="O326" s="31">
        <v>0</v>
      </c>
      <c r="P326" s="31">
        <v>0.8921438082556592</v>
      </c>
      <c r="Q326" s="31">
        <v>0.71379999999999999</v>
      </c>
      <c r="R326" s="587">
        <v>0</v>
      </c>
      <c r="S326" s="31">
        <v>0.66177422946535824</v>
      </c>
      <c r="T326" s="31"/>
      <c r="U326" s="31">
        <v>0.39893617021276595</v>
      </c>
      <c r="V326" s="31">
        <v>0</v>
      </c>
      <c r="W326" s="31">
        <v>0.96642857142857153</v>
      </c>
      <c r="X326" s="31">
        <v>0.95299999999999996</v>
      </c>
      <c r="Y326" s="31">
        <v>0</v>
      </c>
      <c r="Z326" s="31">
        <v>0</v>
      </c>
      <c r="AA326" s="31">
        <v>1.1499999999999999</v>
      </c>
      <c r="AB326" s="31">
        <v>0</v>
      </c>
      <c r="AC326" s="31">
        <v>0</v>
      </c>
      <c r="AD326" s="31">
        <v>0</v>
      </c>
      <c r="AE326" s="31">
        <v>6.4000000000000001E-2</v>
      </c>
      <c r="AF326" s="31">
        <v>1.1535</v>
      </c>
      <c r="AG326" s="31">
        <v>1.9621666666666668</v>
      </c>
      <c r="AH326" s="31">
        <v>0.86866666666666659</v>
      </c>
      <c r="AI326" s="31">
        <v>1.2138333333333333</v>
      </c>
      <c r="AJ326" s="31">
        <v>1.41</v>
      </c>
      <c r="AK326" s="663">
        <v>1.1059794830552372</v>
      </c>
      <c r="AL326" s="663">
        <v>0.87056155996820284</v>
      </c>
      <c r="AM326" s="31">
        <v>0.174456</v>
      </c>
      <c r="AN326" s="584"/>
      <c r="AO326" s="584"/>
      <c r="AP326" s="663"/>
      <c r="AQ326" s="31"/>
      <c r="AR326" s="31"/>
      <c r="AS326" s="31"/>
      <c r="AT326" s="31"/>
      <c r="AU326" s="31"/>
      <c r="AV326" s="31"/>
      <c r="AW326" s="31"/>
      <c r="AX326" s="31"/>
      <c r="AY326" s="31"/>
      <c r="AZ326" s="31">
        <f t="shared" si="58"/>
        <v>2.2272727272727271</v>
      </c>
      <c r="BA326" s="25" t="str">
        <f t="shared" si="59"/>
        <v>DK child</v>
      </c>
      <c r="BB326" s="25">
        <f t="shared" si="60"/>
        <v>0</v>
      </c>
      <c r="BC326" s="25" t="str">
        <f t="shared" si="61"/>
        <v/>
      </c>
    </row>
    <row r="327" spans="1:55" ht="15" customHeight="1" outlineLevel="3" x14ac:dyDescent="0.2">
      <c r="A327" s="39">
        <v>4</v>
      </c>
      <c r="B327" s="23">
        <v>1011020</v>
      </c>
      <c r="C327" s="23" t="s">
        <v>787</v>
      </c>
      <c r="D327" s="22">
        <f>input_values!Z327</f>
        <v>4</v>
      </c>
      <c r="E327" s="657">
        <v>0</v>
      </c>
      <c r="F327" s="31">
        <v>0</v>
      </c>
      <c r="G327" s="31">
        <v>8.3199999999999996E-2</v>
      </c>
      <c r="H327" s="31">
        <v>1.7887881456097349E-2</v>
      </c>
      <c r="I327" s="31">
        <v>3.9645730639932111E-2</v>
      </c>
      <c r="J327" s="31">
        <v>0.10061477486028847</v>
      </c>
      <c r="K327" s="31">
        <v>0</v>
      </c>
      <c r="L327" s="31">
        <v>2.7E-2</v>
      </c>
      <c r="M327" s="31">
        <v>4.4999999999999998E-2</v>
      </c>
      <c r="N327" s="31">
        <v>0</v>
      </c>
      <c r="O327" s="31">
        <v>0</v>
      </c>
      <c r="P327" s="31">
        <v>0.19973368841544609</v>
      </c>
      <c r="Q327" s="31">
        <v>5.57E-2</v>
      </c>
      <c r="R327" s="587">
        <v>0</v>
      </c>
      <c r="S327" s="31">
        <v>3.4373567271191049E-2</v>
      </c>
      <c r="T327" s="31"/>
      <c r="U327" s="31">
        <v>0</v>
      </c>
      <c r="V327" s="31">
        <v>0</v>
      </c>
      <c r="W327" s="31">
        <v>0.13057142857142859</v>
      </c>
      <c r="X327" s="31">
        <v>2.1000000000000001E-2</v>
      </c>
      <c r="Y327" s="31">
        <v>0</v>
      </c>
      <c r="Z327" s="31">
        <v>0</v>
      </c>
      <c r="AA327" s="31">
        <v>1.6666666666666666E-2</v>
      </c>
      <c r="AB327" s="31">
        <v>0</v>
      </c>
      <c r="AC327" s="31">
        <v>0</v>
      </c>
      <c r="AD327" s="31">
        <v>0</v>
      </c>
      <c r="AE327" s="31">
        <v>2.3333333333333335E-3</v>
      </c>
      <c r="AF327" s="31">
        <v>6.6666666666666666E-2</v>
      </c>
      <c r="AG327" s="31">
        <v>0.22966666666666666</v>
      </c>
      <c r="AH327" s="31">
        <v>6.699999999999999E-2</v>
      </c>
      <c r="AI327" s="31">
        <v>0.22383333333333333</v>
      </c>
      <c r="AJ327" s="31">
        <v>0.27083333333333331</v>
      </c>
      <c r="AK327" s="663">
        <v>9.1345652137163266E-2</v>
      </c>
      <c r="AL327" s="663">
        <v>7.2454795606926858E-2</v>
      </c>
      <c r="AM327" s="31">
        <v>0.13360900000000001</v>
      </c>
      <c r="AN327" s="584"/>
      <c r="AO327" s="584"/>
      <c r="AP327" s="663"/>
      <c r="AQ327" s="31"/>
      <c r="AR327" s="31"/>
      <c r="AS327" s="31"/>
      <c r="AT327" s="31"/>
      <c r="AU327" s="31"/>
      <c r="AV327" s="31"/>
      <c r="AW327" s="31"/>
      <c r="AX327" s="31"/>
      <c r="AY327" s="31"/>
      <c r="AZ327" s="31">
        <f t="shared" si="58"/>
        <v>0.27083333333333331</v>
      </c>
      <c r="BA327" s="25" t="str">
        <f t="shared" si="59"/>
        <v>GEMS/Food G15</v>
      </c>
      <c r="BB327" s="25">
        <f t="shared" si="60"/>
        <v>0</v>
      </c>
      <c r="BC327" s="25" t="str">
        <f t="shared" si="61"/>
        <v/>
      </c>
    </row>
    <row r="328" spans="1:55" ht="15" customHeight="1" outlineLevel="3" x14ac:dyDescent="0.2">
      <c r="A328" s="39">
        <v>4</v>
      </c>
      <c r="B328" s="23">
        <v>1011030</v>
      </c>
      <c r="C328" s="23" t="s">
        <v>191</v>
      </c>
      <c r="D328" s="22">
        <f>input_values!Z328</f>
        <v>4</v>
      </c>
      <c r="E328" s="657">
        <v>0</v>
      </c>
      <c r="F328" s="31">
        <v>0.10454545454545454</v>
      </c>
      <c r="G328" s="31">
        <v>6.3399999999999998E-2</v>
      </c>
      <c r="H328" s="31">
        <v>0</v>
      </c>
      <c r="I328" s="31">
        <v>9.8771176330231455E-3</v>
      </c>
      <c r="J328" s="31">
        <v>2.2162515572009642E-2</v>
      </c>
      <c r="K328" s="31">
        <v>0</v>
      </c>
      <c r="L328" s="31">
        <v>0.17599999999999999</v>
      </c>
      <c r="M328" s="31">
        <v>7.6999999999999999E-2</v>
      </c>
      <c r="N328" s="31">
        <v>0</v>
      </c>
      <c r="O328" s="31">
        <v>0</v>
      </c>
      <c r="P328" s="31">
        <v>3.994673768308922E-2</v>
      </c>
      <c r="Q328" s="31">
        <v>1.72E-2</v>
      </c>
      <c r="R328" s="587">
        <v>0</v>
      </c>
      <c r="S328" s="31">
        <v>9.3196932477603665E-3</v>
      </c>
      <c r="T328" s="31"/>
      <c r="U328" s="31">
        <v>0</v>
      </c>
      <c r="V328" s="31">
        <v>0</v>
      </c>
      <c r="W328" s="31">
        <v>2.1428571428571429E-2</v>
      </c>
      <c r="X328" s="31">
        <v>2.8000000000000001E-2</v>
      </c>
      <c r="Y328" s="31">
        <v>0</v>
      </c>
      <c r="Z328" s="31">
        <v>0</v>
      </c>
      <c r="AA328" s="31">
        <v>0</v>
      </c>
      <c r="AB328" s="31">
        <v>0</v>
      </c>
      <c r="AC328" s="31">
        <v>0</v>
      </c>
      <c r="AD328" s="31">
        <v>0</v>
      </c>
      <c r="AE328" s="31">
        <v>3.0000000000000001E-3</v>
      </c>
      <c r="AF328" s="31">
        <v>8.7333333333333332E-2</v>
      </c>
      <c r="AG328" s="31">
        <v>4.3666666666666666E-2</v>
      </c>
      <c r="AH328" s="31">
        <v>5.5E-2</v>
      </c>
      <c r="AI328" s="31">
        <v>3.5000000000000003E-2</v>
      </c>
      <c r="AJ328" s="31">
        <v>0.10250000000000001</v>
      </c>
      <c r="AK328" s="663">
        <v>1.4724787407699502E-2</v>
      </c>
      <c r="AL328" s="663">
        <v>9.4012981278541879E-3</v>
      </c>
      <c r="AM328" s="31">
        <v>0</v>
      </c>
      <c r="AN328" s="584"/>
      <c r="AO328" s="584"/>
      <c r="AP328" s="663"/>
      <c r="AQ328" s="31"/>
      <c r="AR328" s="31"/>
      <c r="AS328" s="31"/>
      <c r="AT328" s="31"/>
      <c r="AU328" s="31"/>
      <c r="AV328" s="31"/>
      <c r="AW328" s="31"/>
      <c r="AX328" s="31"/>
      <c r="AY328" s="31"/>
      <c r="AZ328" s="31">
        <f t="shared" si="58"/>
        <v>0.17599999999999999</v>
      </c>
      <c r="BA328" s="25" t="str">
        <f t="shared" si="59"/>
        <v>NL toddler</v>
      </c>
      <c r="BB328" s="25">
        <f t="shared" si="60"/>
        <v>0</v>
      </c>
      <c r="BC328" s="25" t="str">
        <f t="shared" si="61"/>
        <v/>
      </c>
    </row>
    <row r="329" spans="1:55" ht="15" customHeight="1" outlineLevel="3" x14ac:dyDescent="0.2">
      <c r="A329" s="39">
        <v>4</v>
      </c>
      <c r="B329" s="23">
        <v>1011040</v>
      </c>
      <c r="C329" s="23" t="s">
        <v>192</v>
      </c>
      <c r="D329" s="22">
        <f>input_values!Z329</f>
        <v>4</v>
      </c>
      <c r="E329" s="657">
        <v>0</v>
      </c>
      <c r="F329" s="31">
        <v>0</v>
      </c>
      <c r="G329" s="31">
        <v>2.0999999999999999E-3</v>
      </c>
      <c r="H329" s="31">
        <v>0</v>
      </c>
      <c r="I329" s="31">
        <v>0</v>
      </c>
      <c r="J329" s="31">
        <v>2.7649769585253456E-3</v>
      </c>
      <c r="K329" s="31">
        <v>0</v>
      </c>
      <c r="L329" s="31">
        <v>0</v>
      </c>
      <c r="M329" s="31">
        <v>0</v>
      </c>
      <c r="N329" s="31">
        <v>0</v>
      </c>
      <c r="O329" s="31">
        <v>0</v>
      </c>
      <c r="P329" s="31">
        <v>0</v>
      </c>
      <c r="Q329" s="31">
        <v>8.0000000000000004E-4</v>
      </c>
      <c r="R329" s="587">
        <v>0</v>
      </c>
      <c r="S329" s="31">
        <v>1.3102535296409441E-3</v>
      </c>
      <c r="T329" s="31"/>
      <c r="U329" s="31">
        <v>0</v>
      </c>
      <c r="V329" s="31">
        <v>0</v>
      </c>
      <c r="W329" s="31">
        <v>0</v>
      </c>
      <c r="X329" s="31">
        <v>0</v>
      </c>
      <c r="Y329" s="31">
        <v>0</v>
      </c>
      <c r="Z329" s="31">
        <v>0</v>
      </c>
      <c r="AA329" s="31">
        <v>0</v>
      </c>
      <c r="AB329" s="31">
        <v>0</v>
      </c>
      <c r="AC329" s="31">
        <v>0</v>
      </c>
      <c r="AD329" s="31">
        <v>0</v>
      </c>
      <c r="AE329" s="31"/>
      <c r="AF329" s="31"/>
      <c r="AG329" s="31"/>
      <c r="AH329" s="31"/>
      <c r="AI329" s="31"/>
      <c r="AJ329" s="31"/>
      <c r="AK329" s="663">
        <v>7.9612288616254972E-4</v>
      </c>
      <c r="AL329" s="663">
        <v>3.3195635584978291E-4</v>
      </c>
      <c r="AM329" s="31">
        <v>0</v>
      </c>
      <c r="AN329" s="584"/>
      <c r="AO329" s="584"/>
      <c r="AP329" s="663"/>
      <c r="AQ329" s="31"/>
      <c r="AR329" s="31"/>
      <c r="AS329" s="31"/>
      <c r="AT329" s="31"/>
      <c r="AU329" s="31"/>
      <c r="AV329" s="31"/>
      <c r="AW329" s="31"/>
      <c r="AX329" s="31"/>
      <c r="AY329" s="31"/>
      <c r="AZ329" s="31">
        <f t="shared" si="58"/>
        <v>2.7649769585253456E-3</v>
      </c>
      <c r="BA329" s="25" t="str">
        <f t="shared" si="59"/>
        <v>FR child 3 15 yr</v>
      </c>
      <c r="BB329" s="25">
        <f t="shared" si="60"/>
        <v>0</v>
      </c>
      <c r="BC329" s="25" t="str">
        <f t="shared" si="61"/>
        <v/>
      </c>
    </row>
    <row r="330" spans="1:55" ht="15" customHeight="1" outlineLevel="3" x14ac:dyDescent="0.2">
      <c r="A330" s="39">
        <v>4</v>
      </c>
      <c r="B330" s="23">
        <v>1011050</v>
      </c>
      <c r="C330" s="23" t="s">
        <v>788</v>
      </c>
      <c r="D330" s="22">
        <f>input_values!Z330</f>
        <v>4</v>
      </c>
      <c r="E330" s="657">
        <v>0</v>
      </c>
      <c r="F330" s="31">
        <v>0</v>
      </c>
      <c r="G330" s="31">
        <v>0</v>
      </c>
      <c r="H330" s="31">
        <v>0</v>
      </c>
      <c r="I330" s="31">
        <v>0</v>
      </c>
      <c r="J330" s="31">
        <v>1.3160008039131017E-2</v>
      </c>
      <c r="K330" s="31">
        <v>0</v>
      </c>
      <c r="L330" s="31">
        <v>0</v>
      </c>
      <c r="M330" s="31">
        <v>0</v>
      </c>
      <c r="N330" s="31">
        <v>0</v>
      </c>
      <c r="O330" s="31">
        <v>0</v>
      </c>
      <c r="P330" s="31">
        <v>0</v>
      </c>
      <c r="Q330" s="31">
        <v>0</v>
      </c>
      <c r="R330" s="587">
        <v>0</v>
      </c>
      <c r="S330" s="31">
        <v>2.0408848512944978E-2</v>
      </c>
      <c r="T330" s="31"/>
      <c r="U330" s="31">
        <v>0</v>
      </c>
      <c r="V330" s="31">
        <v>0</v>
      </c>
      <c r="W330" s="31">
        <v>0</v>
      </c>
      <c r="X330" s="31">
        <v>0</v>
      </c>
      <c r="Y330" s="31">
        <v>0</v>
      </c>
      <c r="Z330" s="31">
        <v>0</v>
      </c>
      <c r="AA330" s="31">
        <v>0</v>
      </c>
      <c r="AB330" s="31">
        <v>0</v>
      </c>
      <c r="AC330" s="31">
        <v>0</v>
      </c>
      <c r="AD330" s="31">
        <v>0</v>
      </c>
      <c r="AE330" s="31"/>
      <c r="AF330" s="31"/>
      <c r="AG330" s="31"/>
      <c r="AH330" s="31"/>
      <c r="AI330" s="31"/>
      <c r="AJ330" s="31"/>
      <c r="AK330" s="663">
        <v>1.443393299137984E-3</v>
      </c>
      <c r="AL330" s="663">
        <v>7.6885494238627266E-4</v>
      </c>
      <c r="AM330" s="31">
        <v>0</v>
      </c>
      <c r="AN330" s="584"/>
      <c r="AO330" s="584"/>
      <c r="AP330" s="663"/>
      <c r="AQ330" s="31"/>
      <c r="AR330" s="31"/>
      <c r="AS330" s="31"/>
      <c r="AT330" s="31"/>
      <c r="AU330" s="31"/>
      <c r="AV330" s="31"/>
      <c r="AW330" s="31"/>
      <c r="AX330" s="31"/>
      <c r="AY330" s="31"/>
      <c r="AZ330" s="31">
        <f t="shared" si="58"/>
        <v>2.0408848512944978E-2</v>
      </c>
      <c r="BA330" s="25" t="str">
        <f t="shared" si="59"/>
        <v>FR adult</v>
      </c>
      <c r="BB330" s="25">
        <f t="shared" si="60"/>
        <v>0</v>
      </c>
      <c r="BC330" s="25" t="str">
        <f t="shared" si="61"/>
        <v/>
      </c>
    </row>
    <row r="331" spans="1:55" ht="15" customHeight="1" outlineLevel="3" x14ac:dyDescent="0.2">
      <c r="A331" s="39">
        <v>4</v>
      </c>
      <c r="B331" s="23">
        <v>1011990</v>
      </c>
      <c r="C331" s="23" t="s">
        <v>634</v>
      </c>
      <c r="D331" s="22">
        <f>input_values!Z331</f>
        <v>4</v>
      </c>
      <c r="E331" s="657">
        <v>0</v>
      </c>
      <c r="F331" s="31"/>
      <c r="G331" s="31">
        <v>0</v>
      </c>
      <c r="H331" s="31">
        <v>6.0747534952160778E-3</v>
      </c>
      <c r="I331" s="31">
        <v>6.754977682503592E-2</v>
      </c>
      <c r="J331" s="31">
        <v>0.11185014204111816</v>
      </c>
      <c r="K331" s="31">
        <v>0</v>
      </c>
      <c r="L331" s="31">
        <v>0</v>
      </c>
      <c r="M331" s="31">
        <v>0</v>
      </c>
      <c r="N331" s="31">
        <v>0</v>
      </c>
      <c r="O331" s="31">
        <v>0</v>
      </c>
      <c r="P331" s="31">
        <v>0</v>
      </c>
      <c r="Q331" s="31">
        <v>0</v>
      </c>
      <c r="R331" s="587">
        <v>0</v>
      </c>
      <c r="S331" s="31">
        <v>5.4512099578858116E-2</v>
      </c>
      <c r="T331" s="31"/>
      <c r="U331" s="31">
        <v>0</v>
      </c>
      <c r="V331" s="31">
        <v>0</v>
      </c>
      <c r="W331" s="31">
        <v>0</v>
      </c>
      <c r="X331" s="31">
        <v>0</v>
      </c>
      <c r="Y331" s="31">
        <v>0</v>
      </c>
      <c r="Z331" s="31">
        <v>0</v>
      </c>
      <c r="AA331" s="31">
        <v>0</v>
      </c>
      <c r="AB331" s="31">
        <v>0</v>
      </c>
      <c r="AC331" s="31">
        <v>0</v>
      </c>
      <c r="AD331" s="31">
        <v>0</v>
      </c>
      <c r="AE331" s="31"/>
      <c r="AF331" s="31"/>
      <c r="AG331" s="31"/>
      <c r="AH331" s="31"/>
      <c r="AI331" s="31"/>
      <c r="AJ331" s="31"/>
      <c r="AK331" s="663">
        <v>1.3641854443474679E-2</v>
      </c>
      <c r="AL331" s="663">
        <v>7.9449125679334869E-3</v>
      </c>
      <c r="AM331" s="31">
        <v>0</v>
      </c>
      <c r="AN331" s="584"/>
      <c r="AO331" s="584"/>
      <c r="AP331" s="663"/>
      <c r="AQ331" s="31"/>
      <c r="AR331" s="31"/>
      <c r="AS331" s="31"/>
      <c r="AT331" s="31"/>
      <c r="AU331" s="31"/>
      <c r="AV331" s="31"/>
      <c r="AW331" s="31"/>
      <c r="AX331" s="31"/>
      <c r="AY331" s="31"/>
      <c r="AZ331" s="31">
        <f t="shared" si="58"/>
        <v>0.11185014204111816</v>
      </c>
      <c r="BA331" s="25" t="str">
        <f t="shared" si="59"/>
        <v>FR child 3 15 yr</v>
      </c>
      <c r="BB331" s="25">
        <f t="shared" si="60"/>
        <v>0</v>
      </c>
      <c r="BC331" s="25" t="str">
        <f t="shared" si="61"/>
        <v/>
      </c>
    </row>
    <row r="332" spans="1:55" ht="15" customHeight="1" outlineLevel="2" x14ac:dyDescent="0.2">
      <c r="A332" s="133">
        <v>3</v>
      </c>
      <c r="B332" s="5">
        <v>1012000</v>
      </c>
      <c r="C332" s="5" t="s">
        <v>193</v>
      </c>
      <c r="D332" s="82">
        <f>input_values!Z332</f>
        <v>4</v>
      </c>
      <c r="E332" s="655">
        <f>SUM(E333:E338)</f>
        <v>0.3</v>
      </c>
      <c r="F332" s="49">
        <f t="shared" ref="F332:AO332" si="75">SUM(F333:F338)</f>
        <v>1.3272727272727272</v>
      </c>
      <c r="G332" s="49">
        <f t="shared" si="75"/>
        <v>1.4509999999999996</v>
      </c>
      <c r="H332" s="49">
        <f t="shared" si="75"/>
        <v>0.36200498888136795</v>
      </c>
      <c r="I332" s="49">
        <f t="shared" si="75"/>
        <v>1.2580204052777053</v>
      </c>
      <c r="J332" s="49">
        <f t="shared" si="75"/>
        <v>1.5257499631633451</v>
      </c>
      <c r="K332" s="49">
        <f t="shared" si="75"/>
        <v>0</v>
      </c>
      <c r="L332" s="49">
        <f t="shared" si="75"/>
        <v>1.216</v>
      </c>
      <c r="M332" s="49">
        <f t="shared" si="75"/>
        <v>1.04</v>
      </c>
      <c r="N332" s="49">
        <f t="shared" si="75"/>
        <v>1.5287356321839081</v>
      </c>
      <c r="O332" s="49">
        <f t="shared" si="75"/>
        <v>1.4657534246575343</v>
      </c>
      <c r="P332" s="49">
        <f t="shared" si="75"/>
        <v>0.62583222370173108</v>
      </c>
      <c r="Q332" s="49">
        <f t="shared" si="75"/>
        <v>0.7702</v>
      </c>
      <c r="R332" s="49">
        <f t="shared" si="75"/>
        <v>0</v>
      </c>
      <c r="S332" s="49">
        <f t="shared" si="75"/>
        <v>0.64518144602583294</v>
      </c>
      <c r="T332" s="49"/>
      <c r="U332" s="49">
        <f t="shared" si="75"/>
        <v>0.4082446808510638</v>
      </c>
      <c r="V332" s="49">
        <f t="shared" si="75"/>
        <v>0</v>
      </c>
      <c r="W332" s="49">
        <f t="shared" si="75"/>
        <v>0.27057142857142852</v>
      </c>
      <c r="X332" s="49">
        <f t="shared" si="75"/>
        <v>0.77</v>
      </c>
      <c r="Y332" s="49">
        <f t="shared" si="75"/>
        <v>0</v>
      </c>
      <c r="Z332" s="49">
        <f t="shared" si="75"/>
        <v>0</v>
      </c>
      <c r="AA332" s="49">
        <f t="shared" si="75"/>
        <v>0.3</v>
      </c>
      <c r="AB332" s="49">
        <f t="shared" si="75"/>
        <v>4.4000000000000004</v>
      </c>
      <c r="AC332" s="49">
        <f t="shared" si="75"/>
        <v>0.72894736842105268</v>
      </c>
      <c r="AD332" s="49">
        <f t="shared" si="75"/>
        <v>2.9985007496251874E-2</v>
      </c>
      <c r="AE332" s="49">
        <f t="shared" si="75"/>
        <v>0.32933333333333331</v>
      </c>
      <c r="AF332" s="49">
        <f t="shared" si="75"/>
        <v>1.0603333333333333</v>
      </c>
      <c r="AG332" s="49">
        <f t="shared" si="75"/>
        <v>0.47116666666666668</v>
      </c>
      <c r="AH332" s="49">
        <f t="shared" si="75"/>
        <v>1.0381666666666667</v>
      </c>
      <c r="AI332" s="49">
        <f t="shared" si="75"/>
        <v>0.79566666666666663</v>
      </c>
      <c r="AJ332" s="49">
        <f t="shared" si="75"/>
        <v>0.58849999999999991</v>
      </c>
      <c r="AK332" s="49">
        <f t="shared" si="75"/>
        <v>0.43294249968886644</v>
      </c>
      <c r="AL332" s="49">
        <f t="shared" si="75"/>
        <v>0.36408163389716536</v>
      </c>
      <c r="AM332" s="49">
        <f t="shared" si="75"/>
        <v>6.0338299999999997E-2</v>
      </c>
      <c r="AN332" s="49">
        <f t="shared" si="75"/>
        <v>0</v>
      </c>
      <c r="AO332" s="49">
        <f t="shared" si="75"/>
        <v>0</v>
      </c>
      <c r="AP332" s="49"/>
      <c r="AQ332" s="49"/>
      <c r="AR332" s="49"/>
      <c r="AS332" s="49"/>
      <c r="AT332" s="49"/>
      <c r="AU332" s="49"/>
      <c r="AV332" s="49"/>
      <c r="AW332" s="49"/>
      <c r="AX332" s="49" t="s">
        <v>369</v>
      </c>
      <c r="AY332" s="49"/>
      <c r="AZ332" s="49">
        <f t="shared" ref="AZ332:AZ393" si="76">MAX(E332:AY332)</f>
        <v>4.4000000000000004</v>
      </c>
      <c r="BA332" s="6" t="str">
        <f t="shared" ref="BA332:BA393" si="77">INDEX($E$11:$AY$11,MATCH(AZ332,E332:AY332,0))</f>
        <v>SE general</v>
      </c>
      <c r="BB332" s="6">
        <f t="shared" ref="BB332:BB393" si="78">MIN(E332:AY332)</f>
        <v>0</v>
      </c>
      <c r="BC332" s="6" t="str">
        <f t="shared" ref="BC332:BC393" si="79">IF(BB332=0,"",INDEX($E$11:$AY$11,MATCH(BB332,E332:AY332,0)))</f>
        <v/>
      </c>
    </row>
    <row r="333" spans="1:55" ht="15" customHeight="1" outlineLevel="3" x14ac:dyDescent="0.2">
      <c r="A333" s="39">
        <v>4</v>
      </c>
      <c r="B333" s="23">
        <v>1012010</v>
      </c>
      <c r="C333" s="23" t="s">
        <v>863</v>
      </c>
      <c r="D333" s="22">
        <f>input_values!Z333</f>
        <v>4</v>
      </c>
      <c r="E333" s="657">
        <v>0.3</v>
      </c>
      <c r="F333" s="31">
        <v>1.3045454545454545</v>
      </c>
      <c r="G333" s="31">
        <v>1.4164999999999996</v>
      </c>
      <c r="H333" s="31">
        <v>0.35422154950945417</v>
      </c>
      <c r="I333" s="31">
        <v>1.210434557843</v>
      </c>
      <c r="J333" s="31">
        <v>1.4957695696675724</v>
      </c>
      <c r="K333" s="31">
        <v>0</v>
      </c>
      <c r="L333" s="31">
        <v>1.048</v>
      </c>
      <c r="M333" s="31">
        <v>0.92600000000000005</v>
      </c>
      <c r="N333" s="31">
        <v>1.2298850574712643</v>
      </c>
      <c r="O333" s="31">
        <v>1.2808219178082192</v>
      </c>
      <c r="P333" s="31">
        <v>0.54593874833555267</v>
      </c>
      <c r="Q333" s="31">
        <v>0.74679999999999991</v>
      </c>
      <c r="R333" s="587">
        <v>0</v>
      </c>
      <c r="S333" s="31">
        <v>0.60555958801652499</v>
      </c>
      <c r="T333" s="31"/>
      <c r="U333" s="31">
        <v>0.4082446808510638</v>
      </c>
      <c r="V333" s="31">
        <v>0</v>
      </c>
      <c r="W333" s="31">
        <v>0.25414285714285711</v>
      </c>
      <c r="X333" s="31">
        <v>0.73</v>
      </c>
      <c r="Y333" s="31">
        <v>0</v>
      </c>
      <c r="Z333" s="31">
        <v>0</v>
      </c>
      <c r="AA333" s="31">
        <v>0.3</v>
      </c>
      <c r="AB333" s="31">
        <v>4.4000000000000004</v>
      </c>
      <c r="AC333" s="31">
        <v>0.6657894736842106</v>
      </c>
      <c r="AD333" s="31">
        <v>8.9955022488755615E-3</v>
      </c>
      <c r="AE333" s="31">
        <v>0.27333333333333332</v>
      </c>
      <c r="AF333" s="31">
        <v>0.88283333333333336</v>
      </c>
      <c r="AG333" s="31">
        <v>0.40933333333333333</v>
      </c>
      <c r="AH333" s="31">
        <v>0.91050000000000009</v>
      </c>
      <c r="AI333" s="31">
        <v>0.6958333333333333</v>
      </c>
      <c r="AJ333" s="31">
        <v>0.49299999999999999</v>
      </c>
      <c r="AK333" s="663">
        <v>0.41352115373213666</v>
      </c>
      <c r="AL333" s="663">
        <v>0.3439817488626532</v>
      </c>
      <c r="AM333" s="31">
        <v>6.0338299999999997E-2</v>
      </c>
      <c r="AN333" s="584"/>
      <c r="AO333" s="584"/>
      <c r="AP333" s="663"/>
      <c r="AQ333" s="31"/>
      <c r="AR333" s="31"/>
      <c r="AS333" s="31"/>
      <c r="AT333" s="31"/>
      <c r="AU333" s="31"/>
      <c r="AV333" s="31"/>
      <c r="AW333" s="31"/>
      <c r="AX333" s="31"/>
      <c r="AY333" s="31"/>
      <c r="AZ333" s="31">
        <f t="shared" si="76"/>
        <v>4.4000000000000004</v>
      </c>
      <c r="BA333" s="25" t="str">
        <f t="shared" si="77"/>
        <v>SE general</v>
      </c>
      <c r="BB333" s="25">
        <f t="shared" si="78"/>
        <v>0</v>
      </c>
      <c r="BC333" s="25" t="str">
        <f t="shared" si="79"/>
        <v/>
      </c>
    </row>
    <row r="334" spans="1:55" ht="15" customHeight="1" outlineLevel="3" x14ac:dyDescent="0.2">
      <c r="A334" s="39">
        <v>4</v>
      </c>
      <c r="B334" s="23">
        <v>1012020</v>
      </c>
      <c r="C334" s="23" t="s">
        <v>789</v>
      </c>
      <c r="D334" s="22">
        <f>input_values!Z334</f>
        <v>4</v>
      </c>
      <c r="E334" s="657">
        <v>0</v>
      </c>
      <c r="F334" s="31">
        <v>0</v>
      </c>
      <c r="G334" s="31">
        <v>0</v>
      </c>
      <c r="H334" s="31">
        <v>0</v>
      </c>
      <c r="I334" s="31">
        <v>0</v>
      </c>
      <c r="J334" s="31">
        <v>0</v>
      </c>
      <c r="K334" s="31">
        <v>0</v>
      </c>
      <c r="L334" s="31">
        <v>2.5999999999999999E-2</v>
      </c>
      <c r="M334" s="31">
        <v>4.2999999999999997E-2</v>
      </c>
      <c r="N334" s="31">
        <v>2.298850574712644E-2</v>
      </c>
      <c r="O334" s="31">
        <v>0.11643835616438356</v>
      </c>
      <c r="P334" s="31">
        <v>6.6577896138482029E-2</v>
      </c>
      <c r="Q334" s="31">
        <v>0</v>
      </c>
      <c r="R334" s="587">
        <v>0</v>
      </c>
      <c r="S334" s="31">
        <v>0</v>
      </c>
      <c r="T334" s="31"/>
      <c r="U334" s="31">
        <v>0</v>
      </c>
      <c r="V334" s="31">
        <v>0</v>
      </c>
      <c r="W334" s="31">
        <v>0</v>
      </c>
      <c r="X334" s="31">
        <v>0.02</v>
      </c>
      <c r="Y334" s="31">
        <v>0</v>
      </c>
      <c r="Z334" s="31">
        <v>0</v>
      </c>
      <c r="AA334" s="31">
        <v>0</v>
      </c>
      <c r="AB334" s="31">
        <v>0</v>
      </c>
      <c r="AC334" s="31">
        <v>2.8947368421052635E-2</v>
      </c>
      <c r="AD334" s="31">
        <v>1.9490254872563718E-2</v>
      </c>
      <c r="AE334" s="31">
        <v>1.3333333333333334E-2</v>
      </c>
      <c r="AF334" s="31">
        <v>4.0500000000000001E-2</v>
      </c>
      <c r="AG334" s="31">
        <v>2.9000000000000001E-2</v>
      </c>
      <c r="AH334" s="31">
        <v>7.1166666666666656E-2</v>
      </c>
      <c r="AI334" s="31">
        <v>8.3499999999999991E-2</v>
      </c>
      <c r="AJ334" s="31">
        <v>4.0666666666666663E-2</v>
      </c>
      <c r="AK334" s="663">
        <v>1.2532391189597133E-2</v>
      </c>
      <c r="AL334" s="663">
        <v>1.3355994916431909E-2</v>
      </c>
      <c r="AM334" s="31">
        <v>0</v>
      </c>
      <c r="AN334" s="584"/>
      <c r="AO334" s="584"/>
      <c r="AP334" s="663"/>
      <c r="AQ334" s="31"/>
      <c r="AR334" s="31"/>
      <c r="AS334" s="31"/>
      <c r="AT334" s="31"/>
      <c r="AU334" s="31"/>
      <c r="AV334" s="31"/>
      <c r="AW334" s="31"/>
      <c r="AX334" s="31"/>
      <c r="AY334" s="31"/>
      <c r="AZ334" s="31">
        <f t="shared" si="76"/>
        <v>0.11643835616438356</v>
      </c>
      <c r="BA334" s="25" t="str">
        <f t="shared" si="77"/>
        <v>UK toddler</v>
      </c>
      <c r="BB334" s="25">
        <f t="shared" si="78"/>
        <v>0</v>
      </c>
      <c r="BC334" s="25" t="str">
        <f t="shared" si="79"/>
        <v/>
      </c>
    </row>
    <row r="335" spans="1:55" ht="15" customHeight="1" outlineLevel="3" x14ac:dyDescent="0.2">
      <c r="A335" s="39">
        <v>4</v>
      </c>
      <c r="B335" s="23">
        <v>1012030</v>
      </c>
      <c r="C335" s="23" t="s">
        <v>194</v>
      </c>
      <c r="D335" s="22">
        <f>input_values!Z335</f>
        <v>4</v>
      </c>
      <c r="E335" s="657">
        <v>0</v>
      </c>
      <c r="F335" s="31">
        <v>2.2727272727272728E-2</v>
      </c>
      <c r="G335" s="31">
        <v>1.5800000000000002E-2</v>
      </c>
      <c r="H335" s="31">
        <v>7.7834393719137694E-3</v>
      </c>
      <c r="I335" s="31">
        <v>4.1939494405304596E-2</v>
      </c>
      <c r="J335" s="31">
        <v>2.112554796132508E-2</v>
      </c>
      <c r="K335" s="31">
        <v>0</v>
      </c>
      <c r="L335" s="31">
        <v>0.14199999999999999</v>
      </c>
      <c r="M335" s="31">
        <v>7.0999999999999994E-2</v>
      </c>
      <c r="N335" s="31">
        <v>9.195402298850576E-2</v>
      </c>
      <c r="O335" s="31">
        <v>2.0547945205479451E-2</v>
      </c>
      <c r="P335" s="31">
        <v>1.3315579227696406E-2</v>
      </c>
      <c r="Q335" s="31">
        <v>1.0800000000000001E-2</v>
      </c>
      <c r="R335" s="587">
        <v>0</v>
      </c>
      <c r="S335" s="31">
        <v>1.6187336402927733E-2</v>
      </c>
      <c r="T335" s="31"/>
      <c r="U335" s="31">
        <v>0</v>
      </c>
      <c r="V335" s="31">
        <v>0</v>
      </c>
      <c r="W335" s="31">
        <v>1.6428571428571428E-2</v>
      </c>
      <c r="X335" s="31">
        <v>0.02</v>
      </c>
      <c r="Y335" s="31">
        <v>0</v>
      </c>
      <c r="Z335" s="31">
        <v>0</v>
      </c>
      <c r="AA335" s="31">
        <v>0</v>
      </c>
      <c r="AB335" s="31">
        <v>0</v>
      </c>
      <c r="AC335" s="31">
        <v>1.3157894736842105E-2</v>
      </c>
      <c r="AD335" s="31">
        <v>0</v>
      </c>
      <c r="AE335" s="31">
        <v>4.2666666666666665E-2</v>
      </c>
      <c r="AF335" s="31">
        <v>0.13700000000000001</v>
      </c>
      <c r="AG335" s="31">
        <v>3.2833333333333332E-2</v>
      </c>
      <c r="AH335" s="31">
        <v>5.6500000000000002E-2</v>
      </c>
      <c r="AI335" s="31">
        <v>1.6333333333333332E-2</v>
      </c>
      <c r="AJ335" s="31">
        <v>5.4833333333333331E-2</v>
      </c>
      <c r="AK335" s="663">
        <v>4.5884600802464735E-3</v>
      </c>
      <c r="AL335" s="663">
        <v>4.7048156009188843E-3</v>
      </c>
      <c r="AM335" s="31">
        <v>0</v>
      </c>
      <c r="AN335" s="584"/>
      <c r="AO335" s="584"/>
      <c r="AP335" s="663"/>
      <c r="AQ335" s="31"/>
      <c r="AR335" s="31"/>
      <c r="AS335" s="31"/>
      <c r="AT335" s="31"/>
      <c r="AU335" s="31"/>
      <c r="AV335" s="31"/>
      <c r="AW335" s="31"/>
      <c r="AX335" s="31"/>
      <c r="AY335" s="31"/>
      <c r="AZ335" s="31">
        <f t="shared" si="76"/>
        <v>0.14199999999999999</v>
      </c>
      <c r="BA335" s="25" t="str">
        <f t="shared" si="77"/>
        <v>NL toddler</v>
      </c>
      <c r="BB335" s="25">
        <f t="shared" si="78"/>
        <v>0</v>
      </c>
      <c r="BC335" s="25" t="str">
        <f t="shared" si="79"/>
        <v/>
      </c>
    </row>
    <row r="336" spans="1:55" ht="15" customHeight="1" outlineLevel="3" x14ac:dyDescent="0.2">
      <c r="A336" s="39">
        <v>4</v>
      </c>
      <c r="B336" s="23">
        <v>1012040</v>
      </c>
      <c r="C336" s="23" t="s">
        <v>195</v>
      </c>
      <c r="D336" s="22">
        <f>input_values!Z336</f>
        <v>4</v>
      </c>
      <c r="E336" s="657">
        <v>0</v>
      </c>
      <c r="F336" s="31">
        <v>0</v>
      </c>
      <c r="G336" s="31">
        <v>0</v>
      </c>
      <c r="H336" s="31">
        <v>0</v>
      </c>
      <c r="I336" s="31">
        <v>0</v>
      </c>
      <c r="J336" s="31">
        <v>0</v>
      </c>
      <c r="K336" s="31">
        <v>0</v>
      </c>
      <c r="L336" s="31">
        <v>0</v>
      </c>
      <c r="M336" s="31">
        <v>0</v>
      </c>
      <c r="N336" s="31">
        <v>2.298850574712644E-2</v>
      </c>
      <c r="O336" s="31">
        <v>6.8493150684931512E-3</v>
      </c>
      <c r="P336" s="31">
        <v>0</v>
      </c>
      <c r="Q336" s="31">
        <v>0</v>
      </c>
      <c r="R336" s="587">
        <v>0</v>
      </c>
      <c r="S336" s="31">
        <v>5.5423301458045751E-4</v>
      </c>
      <c r="T336" s="31"/>
      <c r="U336" s="31">
        <v>0</v>
      </c>
      <c r="V336" s="31">
        <v>0</v>
      </c>
      <c r="W336" s="31">
        <v>0</v>
      </c>
      <c r="X336" s="31">
        <v>0</v>
      </c>
      <c r="Y336" s="31">
        <v>0</v>
      </c>
      <c r="Z336" s="31">
        <v>0</v>
      </c>
      <c r="AA336" s="31">
        <v>0</v>
      </c>
      <c r="AB336" s="31">
        <v>0</v>
      </c>
      <c r="AC336" s="31">
        <v>2.631578947368421E-3</v>
      </c>
      <c r="AD336" s="31">
        <v>0</v>
      </c>
      <c r="AE336" s="31"/>
      <c r="AF336" s="31"/>
      <c r="AG336" s="31"/>
      <c r="AH336" s="31"/>
      <c r="AI336" s="31"/>
      <c r="AJ336" s="31"/>
      <c r="AK336" s="663">
        <v>0</v>
      </c>
      <c r="AL336" s="663">
        <v>0</v>
      </c>
      <c r="AM336" s="31">
        <v>0</v>
      </c>
      <c r="AN336" s="584"/>
      <c r="AO336" s="584"/>
      <c r="AP336" s="663"/>
      <c r="AQ336" s="31"/>
      <c r="AR336" s="31"/>
      <c r="AS336" s="31"/>
      <c r="AT336" s="31"/>
      <c r="AU336" s="31"/>
      <c r="AV336" s="31"/>
      <c r="AW336" s="31"/>
      <c r="AX336" s="31"/>
      <c r="AY336" s="31"/>
      <c r="AZ336" s="31">
        <f t="shared" si="76"/>
        <v>2.298850574712644E-2</v>
      </c>
      <c r="BA336" s="25" t="str">
        <f t="shared" si="77"/>
        <v>UK infant</v>
      </c>
      <c r="BB336" s="25">
        <f t="shared" si="78"/>
        <v>0</v>
      </c>
      <c r="BC336" s="25" t="str">
        <f t="shared" si="79"/>
        <v/>
      </c>
    </row>
    <row r="337" spans="1:55" ht="15" customHeight="1" outlineLevel="3" x14ac:dyDescent="0.2">
      <c r="A337" s="39">
        <v>4</v>
      </c>
      <c r="B337" s="23">
        <v>1012050</v>
      </c>
      <c r="C337" s="23" t="s">
        <v>790</v>
      </c>
      <c r="D337" s="22">
        <f>input_values!Z337</f>
        <v>4</v>
      </c>
      <c r="E337" s="657">
        <v>0</v>
      </c>
      <c r="F337" s="31">
        <v>0</v>
      </c>
      <c r="G337" s="31">
        <v>1.8700000000000001E-2</v>
      </c>
      <c r="H337" s="31">
        <v>0</v>
      </c>
      <c r="I337" s="31">
        <v>5.6463530294007368E-3</v>
      </c>
      <c r="J337" s="31">
        <v>8.8548455344477656E-3</v>
      </c>
      <c r="K337" s="31">
        <v>0</v>
      </c>
      <c r="L337" s="31">
        <v>0</v>
      </c>
      <c r="M337" s="31">
        <v>0</v>
      </c>
      <c r="N337" s="31">
        <v>0.16091954022988506</v>
      </c>
      <c r="O337" s="31">
        <v>4.1095890410958902E-2</v>
      </c>
      <c r="P337" s="31">
        <v>0</v>
      </c>
      <c r="Q337" s="31">
        <v>1.26E-2</v>
      </c>
      <c r="R337" s="587">
        <v>0</v>
      </c>
      <c r="S337" s="31">
        <v>2.2880288591799851E-2</v>
      </c>
      <c r="T337" s="31"/>
      <c r="U337" s="31">
        <v>0</v>
      </c>
      <c r="V337" s="31">
        <v>0</v>
      </c>
      <c r="W337" s="31">
        <v>0</v>
      </c>
      <c r="X337" s="31">
        <v>0</v>
      </c>
      <c r="Y337" s="31">
        <v>0</v>
      </c>
      <c r="Z337" s="31">
        <v>0</v>
      </c>
      <c r="AA337" s="31">
        <v>0</v>
      </c>
      <c r="AB337" s="31">
        <v>0</v>
      </c>
      <c r="AC337" s="31">
        <v>0</v>
      </c>
      <c r="AD337" s="31">
        <v>1.4992503748125937E-3</v>
      </c>
      <c r="AE337" s="31"/>
      <c r="AF337" s="31"/>
      <c r="AG337" s="31"/>
      <c r="AH337" s="31"/>
      <c r="AI337" s="31"/>
      <c r="AJ337" s="31"/>
      <c r="AK337" s="663">
        <v>3.7109897471212616E-4</v>
      </c>
      <c r="AL337" s="663">
        <v>3.9981781314259288E-4</v>
      </c>
      <c r="AM337" s="31">
        <v>0</v>
      </c>
      <c r="AN337" s="584"/>
      <c r="AO337" s="584"/>
      <c r="AP337" s="663"/>
      <c r="AQ337" s="31"/>
      <c r="AR337" s="31"/>
      <c r="AS337" s="31"/>
      <c r="AT337" s="31"/>
      <c r="AU337" s="31"/>
      <c r="AV337" s="31"/>
      <c r="AW337" s="31"/>
      <c r="AX337" s="31"/>
      <c r="AY337" s="31"/>
      <c r="AZ337" s="31">
        <f t="shared" si="76"/>
        <v>0.16091954022988506</v>
      </c>
      <c r="BA337" s="25" t="str">
        <f t="shared" si="77"/>
        <v>UK infant</v>
      </c>
      <c r="BB337" s="25">
        <f t="shared" si="78"/>
        <v>0</v>
      </c>
      <c r="BC337" s="25" t="str">
        <f t="shared" si="79"/>
        <v/>
      </c>
    </row>
    <row r="338" spans="1:55" ht="15" customHeight="1" outlineLevel="3" x14ac:dyDescent="0.2">
      <c r="A338" s="39">
        <v>4</v>
      </c>
      <c r="B338" s="23">
        <v>1012990</v>
      </c>
      <c r="C338" s="23" t="s">
        <v>635</v>
      </c>
      <c r="D338" s="22">
        <f>input_values!Z338</f>
        <v>4</v>
      </c>
      <c r="E338" s="657">
        <v>0</v>
      </c>
      <c r="F338" s="31"/>
      <c r="G338" s="31">
        <v>0</v>
      </c>
      <c r="H338" s="31">
        <v>0</v>
      </c>
      <c r="I338" s="31">
        <v>0</v>
      </c>
      <c r="J338" s="31">
        <v>0</v>
      </c>
      <c r="K338" s="31">
        <v>0</v>
      </c>
      <c r="L338" s="31">
        <v>0</v>
      </c>
      <c r="M338" s="31">
        <v>0</v>
      </c>
      <c r="N338" s="31">
        <v>0</v>
      </c>
      <c r="O338" s="31">
        <v>0</v>
      </c>
      <c r="P338" s="31">
        <v>0</v>
      </c>
      <c r="Q338" s="31">
        <v>0</v>
      </c>
      <c r="R338" s="587">
        <v>0</v>
      </c>
      <c r="S338" s="31">
        <v>0</v>
      </c>
      <c r="T338" s="31"/>
      <c r="U338" s="31">
        <v>0</v>
      </c>
      <c r="V338" s="31">
        <v>0</v>
      </c>
      <c r="W338" s="31">
        <v>0</v>
      </c>
      <c r="X338" s="31">
        <v>0</v>
      </c>
      <c r="Y338" s="31">
        <v>0</v>
      </c>
      <c r="Z338" s="31">
        <v>0</v>
      </c>
      <c r="AA338" s="31">
        <v>0</v>
      </c>
      <c r="AB338" s="31">
        <v>0</v>
      </c>
      <c r="AC338" s="31">
        <v>1.8421052631578946E-2</v>
      </c>
      <c r="AD338" s="31">
        <v>0</v>
      </c>
      <c r="AE338" s="31"/>
      <c r="AF338" s="31"/>
      <c r="AG338" s="31"/>
      <c r="AH338" s="31"/>
      <c r="AI338" s="31"/>
      <c r="AJ338" s="31"/>
      <c r="AK338" s="663">
        <v>1.9293957121740699E-3</v>
      </c>
      <c r="AL338" s="663">
        <v>1.6392567040187833E-3</v>
      </c>
      <c r="AM338" s="31">
        <v>0</v>
      </c>
      <c r="AN338" s="584"/>
      <c r="AO338" s="584"/>
      <c r="AP338" s="663"/>
      <c r="AQ338" s="31"/>
      <c r="AR338" s="31"/>
      <c r="AS338" s="31"/>
      <c r="AT338" s="31"/>
      <c r="AU338" s="31"/>
      <c r="AV338" s="31"/>
      <c r="AW338" s="31"/>
      <c r="AX338" s="31"/>
      <c r="AY338" s="31"/>
      <c r="AZ338" s="31">
        <f t="shared" si="76"/>
        <v>1.8421052631578946E-2</v>
      </c>
      <c r="BA338" s="25" t="str">
        <f t="shared" si="77"/>
        <v>UK adult</v>
      </c>
      <c r="BB338" s="25">
        <f t="shared" si="78"/>
        <v>0</v>
      </c>
      <c r="BC338" s="25" t="str">
        <f t="shared" si="79"/>
        <v/>
      </c>
    </row>
    <row r="339" spans="1:55" ht="15" customHeight="1" outlineLevel="2" x14ac:dyDescent="0.2">
      <c r="A339" s="133">
        <v>3</v>
      </c>
      <c r="B339" s="5">
        <v>1013000</v>
      </c>
      <c r="C339" s="5" t="s">
        <v>264</v>
      </c>
      <c r="D339" s="82">
        <f>input_values!Z339</f>
        <v>4</v>
      </c>
      <c r="E339" s="655">
        <f>SUM(E340:E345)</f>
        <v>0.01</v>
      </c>
      <c r="F339" s="49">
        <f t="shared" ref="F339:AO339" si="80">SUM(F340:F345)</f>
        <v>9.5454545454545459E-2</v>
      </c>
      <c r="G339" s="49">
        <f t="shared" si="80"/>
        <v>0.1792</v>
      </c>
      <c r="H339" s="49">
        <f t="shared" si="80"/>
        <v>1.9710459566991061E-2</v>
      </c>
      <c r="I339" s="49">
        <f t="shared" si="80"/>
        <v>2.9510732239055312E-2</v>
      </c>
      <c r="J339" s="49">
        <f t="shared" si="80"/>
        <v>0.12691466186350345</v>
      </c>
      <c r="K339" s="49">
        <f t="shared" si="80"/>
        <v>0</v>
      </c>
      <c r="L339" s="49">
        <f t="shared" si="80"/>
        <v>6.0000000000000001E-3</v>
      </c>
      <c r="M339" s="49">
        <f t="shared" si="80"/>
        <v>6.0000000000000001E-3</v>
      </c>
      <c r="N339" s="49">
        <f t="shared" si="80"/>
        <v>0</v>
      </c>
      <c r="O339" s="49">
        <f t="shared" si="80"/>
        <v>0</v>
      </c>
      <c r="P339" s="49">
        <f t="shared" si="80"/>
        <v>3.994673768308922E-2</v>
      </c>
      <c r="Q339" s="49">
        <f t="shared" si="80"/>
        <v>0.17530000000000001</v>
      </c>
      <c r="R339" s="49">
        <f t="shared" si="80"/>
        <v>0</v>
      </c>
      <c r="S339" s="49">
        <f t="shared" si="80"/>
        <v>9.9899989591461624E-2</v>
      </c>
      <c r="T339" s="49"/>
      <c r="U339" s="49">
        <f t="shared" si="80"/>
        <v>0.70079787234042556</v>
      </c>
      <c r="V339" s="49">
        <f t="shared" si="80"/>
        <v>0</v>
      </c>
      <c r="W339" s="49">
        <f t="shared" si="80"/>
        <v>0</v>
      </c>
      <c r="X339" s="49">
        <f t="shared" si="80"/>
        <v>1.2E-2</v>
      </c>
      <c r="Y339" s="49">
        <f t="shared" si="80"/>
        <v>0</v>
      </c>
      <c r="Z339" s="49">
        <f t="shared" si="80"/>
        <v>0</v>
      </c>
      <c r="AA339" s="49">
        <f t="shared" si="80"/>
        <v>8.3333333333333329E-2</v>
      </c>
      <c r="AB339" s="49">
        <f t="shared" si="80"/>
        <v>0</v>
      </c>
      <c r="AC339" s="49">
        <f t="shared" si="80"/>
        <v>0</v>
      </c>
      <c r="AD339" s="49">
        <f t="shared" si="80"/>
        <v>0</v>
      </c>
      <c r="AE339" s="49">
        <f t="shared" si="80"/>
        <v>0.17316666666666669</v>
      </c>
      <c r="AF339" s="49">
        <f t="shared" si="80"/>
        <v>0.28449999999999998</v>
      </c>
      <c r="AG339" s="49">
        <f t="shared" si="80"/>
        <v>9.0333333333333321E-2</v>
      </c>
      <c r="AH339" s="49">
        <f t="shared" si="80"/>
        <v>3.8166666666666661E-2</v>
      </c>
      <c r="AI339" s="49">
        <f t="shared" si="80"/>
        <v>6.1166666666666668E-2</v>
      </c>
      <c r="AJ339" s="49">
        <f t="shared" si="80"/>
        <v>8.2666666666666666E-2</v>
      </c>
      <c r="AK339" s="49">
        <f t="shared" si="80"/>
        <v>2.2004958117673301E-4</v>
      </c>
      <c r="AL339" s="49">
        <f t="shared" si="80"/>
        <v>4.5554030148619196E-4</v>
      </c>
      <c r="AM339" s="49">
        <f t="shared" si="80"/>
        <v>1.4679619999999999E-2</v>
      </c>
      <c r="AN339" s="49">
        <f t="shared" si="80"/>
        <v>0</v>
      </c>
      <c r="AO339" s="49">
        <f t="shared" si="80"/>
        <v>0</v>
      </c>
      <c r="AP339" s="49"/>
      <c r="AQ339" s="49"/>
      <c r="AR339" s="49"/>
      <c r="AS339" s="49"/>
      <c r="AT339" s="49"/>
      <c r="AU339" s="49"/>
      <c r="AV339" s="49"/>
      <c r="AW339" s="49"/>
      <c r="AX339" s="49" t="s">
        <v>369</v>
      </c>
      <c r="AY339" s="49"/>
      <c r="AZ339" s="49">
        <f t="shared" si="76"/>
        <v>0.70079787234042556</v>
      </c>
      <c r="BA339" s="6" t="str">
        <f t="shared" si="77"/>
        <v>IE adult</v>
      </c>
      <c r="BB339" s="6">
        <f t="shared" si="78"/>
        <v>0</v>
      </c>
      <c r="BC339" s="6" t="str">
        <f t="shared" si="79"/>
        <v/>
      </c>
    </row>
    <row r="340" spans="1:55" ht="15" customHeight="1" outlineLevel="3" x14ac:dyDescent="0.2">
      <c r="A340" s="39">
        <v>4</v>
      </c>
      <c r="B340" s="23">
        <v>1013010</v>
      </c>
      <c r="C340" s="23" t="s">
        <v>864</v>
      </c>
      <c r="D340" s="22">
        <f>input_values!Z340</f>
        <v>4</v>
      </c>
      <c r="E340" s="657">
        <v>0.01</v>
      </c>
      <c r="F340" s="31">
        <v>9.5454545454545459E-2</v>
      </c>
      <c r="G340" s="31">
        <v>0.17899999999999999</v>
      </c>
      <c r="H340" s="31">
        <v>1.3085299924590038E-2</v>
      </c>
      <c r="I340" s="31">
        <v>2.9510732239055312E-2</v>
      </c>
      <c r="J340" s="31">
        <v>0.12691466186350345</v>
      </c>
      <c r="K340" s="31">
        <v>0</v>
      </c>
      <c r="L340" s="31">
        <v>6.0000000000000001E-3</v>
      </c>
      <c r="M340" s="31">
        <v>6.0000000000000001E-3</v>
      </c>
      <c r="N340" s="31">
        <v>0</v>
      </c>
      <c r="O340" s="31">
        <v>0</v>
      </c>
      <c r="P340" s="31">
        <v>3.994673768308922E-2</v>
      </c>
      <c r="Q340" s="31">
        <v>0.17380000000000001</v>
      </c>
      <c r="R340" s="587">
        <v>0</v>
      </c>
      <c r="S340" s="31">
        <v>9.9029144129652191E-2</v>
      </c>
      <c r="T340" s="31"/>
      <c r="U340" s="31">
        <v>0.36835106382978722</v>
      </c>
      <c r="V340" s="31">
        <v>0</v>
      </c>
      <c r="W340" s="31">
        <v>0</v>
      </c>
      <c r="X340" s="31">
        <v>1.2E-2</v>
      </c>
      <c r="Y340" s="31">
        <v>0</v>
      </c>
      <c r="Z340" s="31">
        <v>0</v>
      </c>
      <c r="AA340" s="31">
        <v>8.3333333333333329E-2</v>
      </c>
      <c r="AB340" s="31">
        <v>0</v>
      </c>
      <c r="AC340" s="31">
        <v>0</v>
      </c>
      <c r="AD340" s="31">
        <v>0</v>
      </c>
      <c r="AE340" s="31">
        <v>0.14833333333333334</v>
      </c>
      <c r="AF340" s="31">
        <v>0.2548333333333333</v>
      </c>
      <c r="AG340" s="31">
        <v>8.1499999999999989E-2</v>
      </c>
      <c r="AH340" s="31">
        <v>3.4833333333333334E-2</v>
      </c>
      <c r="AI340" s="31">
        <v>5.7833333333333334E-2</v>
      </c>
      <c r="AJ340" s="31">
        <v>7.1833333333333332E-2</v>
      </c>
      <c r="AK340" s="663">
        <v>0</v>
      </c>
      <c r="AL340" s="663">
        <v>0</v>
      </c>
      <c r="AM340" s="31">
        <v>4.6896799999999999E-3</v>
      </c>
      <c r="AN340" s="584"/>
      <c r="AO340" s="584"/>
      <c r="AP340" s="663"/>
      <c r="AQ340" s="31"/>
      <c r="AR340" s="31"/>
      <c r="AS340" s="31"/>
      <c r="AT340" s="31"/>
      <c r="AU340" s="31"/>
      <c r="AV340" s="31"/>
      <c r="AW340" s="31"/>
      <c r="AX340" s="31"/>
      <c r="AY340" s="31"/>
      <c r="AZ340" s="31">
        <f t="shared" si="76"/>
        <v>0.36835106382978722</v>
      </c>
      <c r="BA340" s="25" t="str">
        <f t="shared" si="77"/>
        <v>IE adult</v>
      </c>
      <c r="BB340" s="25">
        <f t="shared" si="78"/>
        <v>0</v>
      </c>
      <c r="BC340" s="25" t="str">
        <f t="shared" si="79"/>
        <v/>
      </c>
    </row>
    <row r="341" spans="1:55" ht="15" customHeight="1" outlineLevel="3" x14ac:dyDescent="0.2">
      <c r="A341" s="39">
        <v>4</v>
      </c>
      <c r="B341" s="23">
        <v>1013020</v>
      </c>
      <c r="C341" s="23" t="s">
        <v>791</v>
      </c>
      <c r="D341" s="22">
        <f>input_values!Z341</f>
        <v>4</v>
      </c>
      <c r="E341" s="657">
        <v>0</v>
      </c>
      <c r="F341" s="31">
        <v>0</v>
      </c>
      <c r="G341" s="31">
        <v>0</v>
      </c>
      <c r="H341" s="31">
        <v>0</v>
      </c>
      <c r="I341" s="31">
        <v>0</v>
      </c>
      <c r="J341" s="31">
        <v>0</v>
      </c>
      <c r="K341" s="31">
        <v>0</v>
      </c>
      <c r="L341" s="31">
        <v>0</v>
      </c>
      <c r="M341" s="31">
        <v>0</v>
      </c>
      <c r="N341" s="31">
        <v>0</v>
      </c>
      <c r="O341" s="31">
        <v>0</v>
      </c>
      <c r="P341" s="31">
        <v>0</v>
      </c>
      <c r="Q341" s="31">
        <v>0</v>
      </c>
      <c r="R341" s="587">
        <v>0</v>
      </c>
      <c r="S341" s="31">
        <v>0</v>
      </c>
      <c r="T341" s="31"/>
      <c r="U341" s="31">
        <v>0</v>
      </c>
      <c r="V341" s="31">
        <v>0</v>
      </c>
      <c r="W341" s="31">
        <v>0</v>
      </c>
      <c r="X341" s="31">
        <v>0</v>
      </c>
      <c r="Y341" s="31">
        <v>0</v>
      </c>
      <c r="Z341" s="31">
        <v>0</v>
      </c>
      <c r="AA341" s="31">
        <v>0</v>
      </c>
      <c r="AB341" s="31">
        <v>0</v>
      </c>
      <c r="AC341" s="31">
        <v>0</v>
      </c>
      <c r="AD341" s="31">
        <v>0</v>
      </c>
      <c r="AE341" s="31">
        <v>1.6666666666666668E-3</v>
      </c>
      <c r="AF341" s="31">
        <v>1.6666666666666668E-3</v>
      </c>
      <c r="AG341" s="31">
        <v>0</v>
      </c>
      <c r="AH341" s="31">
        <v>1.6666666666666668E-3</v>
      </c>
      <c r="AI341" s="31">
        <v>0</v>
      </c>
      <c r="AJ341" s="31">
        <v>1.6666666666666668E-3</v>
      </c>
      <c r="AK341" s="663">
        <v>0</v>
      </c>
      <c r="AL341" s="663">
        <v>0</v>
      </c>
      <c r="AM341" s="31">
        <v>9.9899399999999992E-3</v>
      </c>
      <c r="AN341" s="584"/>
      <c r="AO341" s="584"/>
      <c r="AP341" s="663"/>
      <c r="AQ341" s="31"/>
      <c r="AR341" s="31"/>
      <c r="AS341" s="31"/>
      <c r="AT341" s="31"/>
      <c r="AU341" s="31"/>
      <c r="AV341" s="31"/>
      <c r="AW341" s="31"/>
      <c r="AX341" s="31"/>
      <c r="AY341" s="31"/>
      <c r="AZ341" s="31">
        <f t="shared" si="76"/>
        <v>9.9899399999999992E-3</v>
      </c>
      <c r="BA341" s="25" t="str">
        <f t="shared" si="77"/>
        <v>IE child</v>
      </c>
      <c r="BB341" s="25">
        <f t="shared" si="78"/>
        <v>0</v>
      </c>
      <c r="BC341" s="25" t="str">
        <f t="shared" si="79"/>
        <v/>
      </c>
    </row>
    <row r="342" spans="1:55" ht="15" customHeight="1" outlineLevel="3" x14ac:dyDescent="0.2">
      <c r="A342" s="39">
        <v>4</v>
      </c>
      <c r="B342" s="23">
        <v>1013030</v>
      </c>
      <c r="C342" s="23" t="s">
        <v>196</v>
      </c>
      <c r="D342" s="22">
        <f>input_values!Z342</f>
        <v>4</v>
      </c>
      <c r="E342" s="657">
        <v>0</v>
      </c>
      <c r="F342" s="31">
        <v>0</v>
      </c>
      <c r="G342" s="31">
        <v>0</v>
      </c>
      <c r="H342" s="31">
        <v>6.6251596424010224E-3</v>
      </c>
      <c r="I342" s="31">
        <v>0</v>
      </c>
      <c r="J342" s="31">
        <v>0</v>
      </c>
      <c r="K342" s="31">
        <v>0</v>
      </c>
      <c r="L342" s="31">
        <v>0</v>
      </c>
      <c r="M342" s="31">
        <v>0</v>
      </c>
      <c r="N342" s="31">
        <v>0</v>
      </c>
      <c r="O342" s="31">
        <v>0</v>
      </c>
      <c r="P342" s="31">
        <v>0</v>
      </c>
      <c r="Q342" s="31">
        <v>0</v>
      </c>
      <c r="R342" s="587">
        <v>0</v>
      </c>
      <c r="S342" s="31">
        <v>7.2546845076078466E-4</v>
      </c>
      <c r="T342" s="31"/>
      <c r="U342" s="31">
        <v>0.22606382978723402</v>
      </c>
      <c r="V342" s="31">
        <v>0</v>
      </c>
      <c r="W342" s="31">
        <v>0</v>
      </c>
      <c r="X342" s="31">
        <v>0</v>
      </c>
      <c r="Y342" s="31">
        <v>0</v>
      </c>
      <c r="Z342" s="31">
        <v>0</v>
      </c>
      <c r="AA342" s="31">
        <v>0</v>
      </c>
      <c r="AB342" s="31">
        <v>0</v>
      </c>
      <c r="AC342" s="31">
        <v>0</v>
      </c>
      <c r="AD342" s="31">
        <v>0</v>
      </c>
      <c r="AE342" s="31">
        <v>2.3166666666666665E-2</v>
      </c>
      <c r="AF342" s="31">
        <v>2.8000000000000001E-2</v>
      </c>
      <c r="AG342" s="31">
        <v>8.8333333333333337E-3</v>
      </c>
      <c r="AH342" s="31">
        <v>1.6666666666666668E-3</v>
      </c>
      <c r="AI342" s="31">
        <v>3.3333333333333335E-3</v>
      </c>
      <c r="AJ342" s="31">
        <v>9.1666666666666667E-3</v>
      </c>
      <c r="AK342" s="663">
        <v>2.0988027809500518E-4</v>
      </c>
      <c r="AL342" s="663">
        <v>4.5554030148619196E-4</v>
      </c>
      <c r="AM342" s="31">
        <v>0</v>
      </c>
      <c r="AN342" s="584"/>
      <c r="AO342" s="584"/>
      <c r="AP342" s="663"/>
      <c r="AQ342" s="31"/>
      <c r="AR342" s="31"/>
      <c r="AS342" s="31"/>
      <c r="AT342" s="31"/>
      <c r="AU342" s="31"/>
      <c r="AV342" s="31"/>
      <c r="AW342" s="31"/>
      <c r="AX342" s="31"/>
      <c r="AY342" s="31"/>
      <c r="AZ342" s="31">
        <f t="shared" si="76"/>
        <v>0.22606382978723402</v>
      </c>
      <c r="BA342" s="25" t="str">
        <f t="shared" si="77"/>
        <v>IE adult</v>
      </c>
      <c r="BB342" s="25">
        <f t="shared" si="78"/>
        <v>0</v>
      </c>
      <c r="BC342" s="25" t="str">
        <f t="shared" si="79"/>
        <v/>
      </c>
    </row>
    <row r="343" spans="1:55" ht="15" customHeight="1" outlineLevel="3" x14ac:dyDescent="0.2">
      <c r="A343" s="39">
        <v>4</v>
      </c>
      <c r="B343" s="23">
        <v>1013040</v>
      </c>
      <c r="C343" s="23" t="s">
        <v>197</v>
      </c>
      <c r="D343" s="22">
        <f>input_values!Z343</f>
        <v>4</v>
      </c>
      <c r="E343" s="657">
        <v>0</v>
      </c>
      <c r="F343" s="31">
        <v>0</v>
      </c>
      <c r="G343" s="31">
        <v>0</v>
      </c>
      <c r="H343" s="31">
        <v>0</v>
      </c>
      <c r="I343" s="31">
        <v>0</v>
      </c>
      <c r="J343" s="31">
        <v>0</v>
      </c>
      <c r="K343" s="31">
        <v>0</v>
      </c>
      <c r="L343" s="31">
        <v>0</v>
      </c>
      <c r="M343" s="31">
        <v>0</v>
      </c>
      <c r="N343" s="31">
        <v>0</v>
      </c>
      <c r="O343" s="31">
        <v>0</v>
      </c>
      <c r="P343" s="31">
        <v>0</v>
      </c>
      <c r="Q343" s="31">
        <v>0</v>
      </c>
      <c r="R343" s="587">
        <v>0</v>
      </c>
      <c r="S343" s="31">
        <v>1.4537701104865282E-4</v>
      </c>
      <c r="T343" s="31"/>
      <c r="U343" s="31">
        <v>0</v>
      </c>
      <c r="V343" s="31">
        <v>0</v>
      </c>
      <c r="W343" s="31">
        <v>0</v>
      </c>
      <c r="X343" s="31">
        <v>0</v>
      </c>
      <c r="Y343" s="31">
        <v>0</v>
      </c>
      <c r="Z343" s="31">
        <v>0</v>
      </c>
      <c r="AA343" s="31">
        <v>0</v>
      </c>
      <c r="AB343" s="31">
        <v>0</v>
      </c>
      <c r="AC343" s="31">
        <v>0</v>
      </c>
      <c r="AD343" s="31">
        <v>0</v>
      </c>
      <c r="AE343" s="31"/>
      <c r="AF343" s="31"/>
      <c r="AG343" s="31"/>
      <c r="AH343" s="31"/>
      <c r="AI343" s="31"/>
      <c r="AJ343" s="31"/>
      <c r="AK343" s="663">
        <v>2.2765547308732946E-6</v>
      </c>
      <c r="AL343" s="663">
        <v>0</v>
      </c>
      <c r="AM343" s="31">
        <v>0</v>
      </c>
      <c r="AN343" s="584"/>
      <c r="AO343" s="584"/>
      <c r="AP343" s="663"/>
      <c r="AQ343" s="31"/>
      <c r="AR343" s="31"/>
      <c r="AS343" s="31"/>
      <c r="AT343" s="31"/>
      <c r="AU343" s="31"/>
      <c r="AV343" s="31"/>
      <c r="AW343" s="31"/>
      <c r="AX343" s="31"/>
      <c r="AY343" s="31"/>
      <c r="AZ343" s="31">
        <f t="shared" si="76"/>
        <v>1.4537701104865282E-4</v>
      </c>
      <c r="BA343" s="25" t="str">
        <f t="shared" si="77"/>
        <v>FR adult</v>
      </c>
      <c r="BB343" s="25">
        <f t="shared" si="78"/>
        <v>0</v>
      </c>
      <c r="BC343" s="25" t="str">
        <f t="shared" si="79"/>
        <v/>
      </c>
    </row>
    <row r="344" spans="1:55" ht="15" customHeight="1" outlineLevel="3" x14ac:dyDescent="0.2">
      <c r="A344" s="39">
        <v>4</v>
      </c>
      <c r="B344" s="23">
        <v>1013050</v>
      </c>
      <c r="C344" s="23" t="s">
        <v>794</v>
      </c>
      <c r="D344" s="22">
        <f>input_values!Z344</f>
        <v>4</v>
      </c>
      <c r="E344" s="657">
        <v>0</v>
      </c>
      <c r="F344" s="31">
        <v>0</v>
      </c>
      <c r="G344" s="31">
        <v>2.0000000000000001E-4</v>
      </c>
      <c r="H344" s="31">
        <v>0</v>
      </c>
      <c r="I344" s="31">
        <v>0</v>
      </c>
      <c r="J344" s="31">
        <v>0</v>
      </c>
      <c r="K344" s="31">
        <v>0</v>
      </c>
      <c r="L344" s="31">
        <v>0</v>
      </c>
      <c r="M344" s="31">
        <v>0</v>
      </c>
      <c r="N344" s="31">
        <v>0</v>
      </c>
      <c r="O344" s="31">
        <v>0</v>
      </c>
      <c r="P344" s="31">
        <v>0</v>
      </c>
      <c r="Q344" s="31">
        <v>1.5E-3</v>
      </c>
      <c r="R344" s="587">
        <v>0</v>
      </c>
      <c r="S344" s="31">
        <v>0</v>
      </c>
      <c r="T344" s="31"/>
      <c r="U344" s="31">
        <v>0.10638297872340426</v>
      </c>
      <c r="V344" s="31">
        <v>0</v>
      </c>
      <c r="W344" s="31">
        <v>0</v>
      </c>
      <c r="X344" s="31">
        <v>0</v>
      </c>
      <c r="Y344" s="31">
        <v>0</v>
      </c>
      <c r="Z344" s="31">
        <v>0</v>
      </c>
      <c r="AA344" s="31">
        <v>0</v>
      </c>
      <c r="AB344" s="31">
        <v>0</v>
      </c>
      <c r="AC344" s="31">
        <v>0</v>
      </c>
      <c r="AD344" s="31">
        <v>0</v>
      </c>
      <c r="AE344" s="31"/>
      <c r="AF344" s="31"/>
      <c r="AG344" s="31"/>
      <c r="AH344" s="31"/>
      <c r="AI344" s="31"/>
      <c r="AJ344" s="31"/>
      <c r="AK344" s="663">
        <v>7.8927483508545174E-6</v>
      </c>
      <c r="AL344" s="663">
        <v>0</v>
      </c>
      <c r="AM344" s="31">
        <v>0</v>
      </c>
      <c r="AN344" s="584"/>
      <c r="AO344" s="584"/>
      <c r="AP344" s="663"/>
      <c r="AQ344" s="31"/>
      <c r="AR344" s="31"/>
      <c r="AS344" s="31"/>
      <c r="AT344" s="31"/>
      <c r="AU344" s="31"/>
      <c r="AV344" s="31"/>
      <c r="AW344" s="31"/>
      <c r="AX344" s="31"/>
      <c r="AY344" s="31"/>
      <c r="AZ344" s="31">
        <f t="shared" si="76"/>
        <v>0.10638297872340426</v>
      </c>
      <c r="BA344" s="25" t="str">
        <f t="shared" si="77"/>
        <v>IE adult</v>
      </c>
      <c r="BB344" s="25">
        <f t="shared" si="78"/>
        <v>0</v>
      </c>
      <c r="BC344" s="25" t="str">
        <f t="shared" si="79"/>
        <v/>
      </c>
    </row>
    <row r="345" spans="1:55" ht="15" customHeight="1" outlineLevel="3" x14ac:dyDescent="0.2">
      <c r="A345" s="39">
        <v>4</v>
      </c>
      <c r="B345" s="23">
        <v>1013990</v>
      </c>
      <c r="C345" s="23" t="s">
        <v>636</v>
      </c>
      <c r="D345" s="22">
        <f>input_values!Z345</f>
        <v>4</v>
      </c>
      <c r="E345" s="657">
        <v>0</v>
      </c>
      <c r="F345" s="31"/>
      <c r="G345" s="31">
        <v>0</v>
      </c>
      <c r="H345" s="31">
        <v>0</v>
      </c>
      <c r="I345" s="31">
        <v>0</v>
      </c>
      <c r="J345" s="31">
        <v>0</v>
      </c>
      <c r="K345" s="31">
        <v>0</v>
      </c>
      <c r="L345" s="31">
        <v>0</v>
      </c>
      <c r="M345" s="31">
        <v>0</v>
      </c>
      <c r="N345" s="31">
        <v>0</v>
      </c>
      <c r="O345" s="31">
        <v>0</v>
      </c>
      <c r="P345" s="31">
        <v>0</v>
      </c>
      <c r="Q345" s="31">
        <v>0</v>
      </c>
      <c r="R345" s="587">
        <v>0</v>
      </c>
      <c r="S345" s="31">
        <v>0</v>
      </c>
      <c r="T345" s="31"/>
      <c r="U345" s="31">
        <v>0</v>
      </c>
      <c r="V345" s="31">
        <v>0</v>
      </c>
      <c r="W345" s="31">
        <v>0</v>
      </c>
      <c r="X345" s="31">
        <v>0</v>
      </c>
      <c r="Y345" s="31">
        <v>0</v>
      </c>
      <c r="Z345" s="31">
        <v>0</v>
      </c>
      <c r="AA345" s="31">
        <v>0</v>
      </c>
      <c r="AB345" s="31">
        <v>0</v>
      </c>
      <c r="AC345" s="31">
        <v>0</v>
      </c>
      <c r="AD345" s="31">
        <v>0</v>
      </c>
      <c r="AE345" s="31"/>
      <c r="AF345" s="31"/>
      <c r="AG345" s="31"/>
      <c r="AH345" s="31"/>
      <c r="AI345" s="31"/>
      <c r="AJ345" s="31"/>
      <c r="AK345" s="663">
        <v>0</v>
      </c>
      <c r="AL345" s="663">
        <v>0</v>
      </c>
      <c r="AM345" s="31">
        <v>0</v>
      </c>
      <c r="AN345" s="584"/>
      <c r="AO345" s="584"/>
      <c r="AP345" s="663"/>
      <c r="AQ345" s="31"/>
      <c r="AR345" s="31"/>
      <c r="AS345" s="31"/>
      <c r="AT345" s="31"/>
      <c r="AU345" s="31"/>
      <c r="AV345" s="31"/>
      <c r="AW345" s="31"/>
      <c r="AX345" s="31"/>
      <c r="AY345" s="31"/>
      <c r="AZ345" s="31">
        <f t="shared" si="76"/>
        <v>0</v>
      </c>
      <c r="BA345" s="25" t="str">
        <f t="shared" si="77"/>
        <v>DE child</v>
      </c>
      <c r="BB345" s="25">
        <f t="shared" si="78"/>
        <v>0</v>
      </c>
      <c r="BC345" s="25" t="str">
        <f t="shared" si="79"/>
        <v/>
      </c>
    </row>
    <row r="346" spans="1:55" ht="15" customHeight="1" outlineLevel="2" x14ac:dyDescent="0.2">
      <c r="A346" s="133">
        <v>3</v>
      </c>
      <c r="B346" s="5">
        <v>1014000</v>
      </c>
      <c r="C346" s="5" t="s">
        <v>198</v>
      </c>
      <c r="D346" s="82">
        <f>input_values!Z346</f>
        <v>4</v>
      </c>
      <c r="E346" s="655">
        <v>0</v>
      </c>
      <c r="F346" s="49">
        <f t="shared" ref="F346:AO346" si="81">SUM(F347:F352)</f>
        <v>0</v>
      </c>
      <c r="G346" s="49">
        <f t="shared" si="81"/>
        <v>2.0999999999999999E-3</v>
      </c>
      <c r="H346" s="49">
        <f t="shared" si="81"/>
        <v>0</v>
      </c>
      <c r="I346" s="49">
        <f t="shared" si="81"/>
        <v>0</v>
      </c>
      <c r="J346" s="49">
        <f t="shared" si="81"/>
        <v>0</v>
      </c>
      <c r="K346" s="49">
        <f t="shared" si="81"/>
        <v>0</v>
      </c>
      <c r="L346" s="49">
        <f t="shared" si="81"/>
        <v>0</v>
      </c>
      <c r="M346" s="49">
        <f t="shared" si="81"/>
        <v>0</v>
      </c>
      <c r="N346" s="49">
        <f t="shared" si="81"/>
        <v>0</v>
      </c>
      <c r="O346" s="49">
        <f t="shared" si="81"/>
        <v>0</v>
      </c>
      <c r="P346" s="49">
        <f t="shared" si="81"/>
        <v>0</v>
      </c>
      <c r="Q346" s="49">
        <f t="shared" si="81"/>
        <v>5.1000000000000004E-3</v>
      </c>
      <c r="R346" s="49">
        <f t="shared" si="81"/>
        <v>0</v>
      </c>
      <c r="S346" s="49">
        <f t="shared" si="81"/>
        <v>0</v>
      </c>
      <c r="T346" s="49"/>
      <c r="U346" s="49">
        <f t="shared" si="81"/>
        <v>0</v>
      </c>
      <c r="V346" s="49">
        <f t="shared" si="81"/>
        <v>0</v>
      </c>
      <c r="W346" s="49">
        <f t="shared" si="81"/>
        <v>0</v>
      </c>
      <c r="X346" s="49">
        <f t="shared" si="81"/>
        <v>0</v>
      </c>
      <c r="Y346" s="49">
        <f t="shared" si="81"/>
        <v>0</v>
      </c>
      <c r="Z346" s="49">
        <f t="shared" si="81"/>
        <v>0</v>
      </c>
      <c r="AA346" s="49">
        <f t="shared" si="81"/>
        <v>0</v>
      </c>
      <c r="AB346" s="49">
        <f t="shared" si="81"/>
        <v>0</v>
      </c>
      <c r="AC346" s="49">
        <f t="shared" si="81"/>
        <v>0</v>
      </c>
      <c r="AD346" s="49">
        <f t="shared" si="81"/>
        <v>0</v>
      </c>
      <c r="AE346" s="49">
        <f t="shared" si="81"/>
        <v>5.0166666666666637E-2</v>
      </c>
      <c r="AF346" s="49">
        <f t="shared" si="81"/>
        <v>5.333333333333334E-3</v>
      </c>
      <c r="AG346" s="49">
        <f t="shared" si="81"/>
        <v>5.6666666666666671E-3</v>
      </c>
      <c r="AH346" s="49">
        <f t="shared" si="81"/>
        <v>5.6666666666666671E-3</v>
      </c>
      <c r="AI346" s="49">
        <f t="shared" si="81"/>
        <v>3.3333333333333335E-3</v>
      </c>
      <c r="AJ346" s="49">
        <f t="shared" si="81"/>
        <v>6.1666666666666675E-3</v>
      </c>
      <c r="AK346" s="49">
        <f t="shared" si="81"/>
        <v>0</v>
      </c>
      <c r="AL346" s="49">
        <f t="shared" si="81"/>
        <v>0</v>
      </c>
      <c r="AM346" s="49">
        <f t="shared" si="81"/>
        <v>0</v>
      </c>
      <c r="AN346" s="49">
        <f t="shared" si="81"/>
        <v>0</v>
      </c>
      <c r="AO346" s="49">
        <f t="shared" si="81"/>
        <v>0</v>
      </c>
      <c r="AP346" s="49"/>
      <c r="AQ346" s="49"/>
      <c r="AR346" s="49"/>
      <c r="AS346" s="49"/>
      <c r="AT346" s="49"/>
      <c r="AU346" s="49"/>
      <c r="AV346" s="49"/>
      <c r="AW346" s="49"/>
      <c r="AX346" s="49" t="s">
        <v>369</v>
      </c>
      <c r="AY346" s="49"/>
      <c r="AZ346" s="49">
        <f t="shared" si="76"/>
        <v>5.0166666666666637E-2</v>
      </c>
      <c r="BA346" s="6" t="str">
        <f t="shared" si="77"/>
        <v>GEMS/Food G06</v>
      </c>
      <c r="BB346" s="6">
        <f t="shared" si="78"/>
        <v>0</v>
      </c>
      <c r="BC346" s="6" t="str">
        <f t="shared" si="79"/>
        <v/>
      </c>
    </row>
    <row r="347" spans="1:55" ht="15" customHeight="1" outlineLevel="3" x14ac:dyDescent="0.2">
      <c r="A347" s="39">
        <v>4</v>
      </c>
      <c r="B347" s="23">
        <v>1014010</v>
      </c>
      <c r="C347" s="23" t="s">
        <v>865</v>
      </c>
      <c r="D347" s="22">
        <f>input_values!Z347</f>
        <v>4</v>
      </c>
      <c r="E347" s="657">
        <v>0</v>
      </c>
      <c r="F347" s="31">
        <v>0</v>
      </c>
      <c r="G347" s="31">
        <v>2.0999999999999999E-3</v>
      </c>
      <c r="H347" s="31">
        <v>0</v>
      </c>
      <c r="I347" s="31">
        <v>0</v>
      </c>
      <c r="J347" s="31">
        <v>0</v>
      </c>
      <c r="K347" s="31">
        <v>0</v>
      </c>
      <c r="L347" s="31">
        <v>0</v>
      </c>
      <c r="M347" s="31">
        <v>0</v>
      </c>
      <c r="N347" s="31">
        <v>0</v>
      </c>
      <c r="O347" s="31">
        <v>0</v>
      </c>
      <c r="P347" s="31">
        <v>0</v>
      </c>
      <c r="Q347" s="31">
        <v>5.1000000000000004E-3</v>
      </c>
      <c r="R347" s="587">
        <v>0</v>
      </c>
      <c r="S347" s="31">
        <v>0</v>
      </c>
      <c r="T347" s="31"/>
      <c r="U347" s="31">
        <v>0</v>
      </c>
      <c r="V347" s="31">
        <v>0</v>
      </c>
      <c r="W347" s="31">
        <v>0</v>
      </c>
      <c r="X347" s="31">
        <v>0</v>
      </c>
      <c r="Y347" s="31">
        <v>0</v>
      </c>
      <c r="Z347" s="31">
        <v>0</v>
      </c>
      <c r="AA347" s="31">
        <v>0</v>
      </c>
      <c r="AB347" s="31">
        <v>0</v>
      </c>
      <c r="AC347" s="31">
        <v>0</v>
      </c>
      <c r="AD347" s="31">
        <v>0</v>
      </c>
      <c r="AE347" s="31">
        <v>4.2166666666666665E-2</v>
      </c>
      <c r="AF347" s="31">
        <v>2E-3</v>
      </c>
      <c r="AG347" s="31">
        <v>4.0000000000000001E-3</v>
      </c>
      <c r="AH347" s="31">
        <v>2.3333333333333335E-3</v>
      </c>
      <c r="AI347" s="31">
        <v>1.6666666666666668E-3</v>
      </c>
      <c r="AJ347" s="31">
        <v>4.5000000000000005E-3</v>
      </c>
      <c r="AK347" s="663">
        <v>0</v>
      </c>
      <c r="AL347" s="663">
        <v>0</v>
      </c>
      <c r="AM347" s="31">
        <v>0</v>
      </c>
      <c r="AN347" s="584"/>
      <c r="AO347" s="584"/>
      <c r="AP347" s="663"/>
      <c r="AQ347" s="31"/>
      <c r="AR347" s="31"/>
      <c r="AS347" s="31"/>
      <c r="AT347" s="31"/>
      <c r="AU347" s="31"/>
      <c r="AV347" s="31"/>
      <c r="AW347" s="31"/>
      <c r="AX347" s="31"/>
      <c r="AY347" s="31"/>
      <c r="AZ347" s="31">
        <f t="shared" si="76"/>
        <v>4.2166666666666665E-2</v>
      </c>
      <c r="BA347" s="25" t="str">
        <f t="shared" si="77"/>
        <v>GEMS/Food G06</v>
      </c>
      <c r="BB347" s="25">
        <f t="shared" si="78"/>
        <v>0</v>
      </c>
      <c r="BC347" s="25" t="str">
        <f t="shared" si="79"/>
        <v/>
      </c>
    </row>
    <row r="348" spans="1:55" ht="15" customHeight="1" outlineLevel="3" x14ac:dyDescent="0.2">
      <c r="A348" s="39">
        <v>4</v>
      </c>
      <c r="B348" s="23">
        <v>1014020</v>
      </c>
      <c r="C348" s="23" t="s">
        <v>792</v>
      </c>
      <c r="D348" s="22">
        <f>input_values!Z348</f>
        <v>4</v>
      </c>
      <c r="E348" s="657">
        <v>0</v>
      </c>
      <c r="F348" s="31">
        <v>0</v>
      </c>
      <c r="G348" s="31">
        <v>0</v>
      </c>
      <c r="H348" s="31">
        <v>0</v>
      </c>
      <c r="I348" s="31">
        <v>0</v>
      </c>
      <c r="J348" s="31">
        <v>0</v>
      </c>
      <c r="K348" s="31">
        <v>0</v>
      </c>
      <c r="L348" s="31">
        <v>0</v>
      </c>
      <c r="M348" s="31">
        <v>0</v>
      </c>
      <c r="N348" s="31">
        <v>0</v>
      </c>
      <c r="O348" s="31">
        <v>0</v>
      </c>
      <c r="P348" s="31">
        <v>0</v>
      </c>
      <c r="Q348" s="31">
        <v>0</v>
      </c>
      <c r="R348" s="587">
        <v>0</v>
      </c>
      <c r="S348" s="31">
        <v>0</v>
      </c>
      <c r="T348" s="31"/>
      <c r="U348" s="31">
        <v>0</v>
      </c>
      <c r="V348" s="31">
        <v>0</v>
      </c>
      <c r="W348" s="31">
        <v>0</v>
      </c>
      <c r="X348" s="31">
        <v>0</v>
      </c>
      <c r="Y348" s="31">
        <v>0</v>
      </c>
      <c r="Z348" s="31">
        <v>0</v>
      </c>
      <c r="AA348" s="31">
        <v>0</v>
      </c>
      <c r="AB348" s="31">
        <v>0</v>
      </c>
      <c r="AC348" s="31">
        <v>0</v>
      </c>
      <c r="AD348" s="31">
        <v>0</v>
      </c>
      <c r="AE348" s="31">
        <v>1.6666666666666401E-3</v>
      </c>
      <c r="AF348" s="31">
        <v>1.6666666666666668E-3</v>
      </c>
      <c r="AG348" s="31">
        <v>0</v>
      </c>
      <c r="AH348" s="31">
        <v>1.6666666666666668E-3</v>
      </c>
      <c r="AI348" s="31">
        <v>0</v>
      </c>
      <c r="AJ348" s="31">
        <v>0</v>
      </c>
      <c r="AK348" s="663">
        <v>0</v>
      </c>
      <c r="AL348" s="663">
        <v>0</v>
      </c>
      <c r="AM348" s="31">
        <v>0</v>
      </c>
      <c r="AN348" s="584"/>
      <c r="AO348" s="584"/>
      <c r="AP348" s="663"/>
      <c r="AQ348" s="31"/>
      <c r="AR348" s="31"/>
      <c r="AS348" s="31"/>
      <c r="AT348" s="31"/>
      <c r="AU348" s="31"/>
      <c r="AV348" s="31"/>
      <c r="AW348" s="31"/>
      <c r="AX348" s="31"/>
      <c r="AY348" s="31"/>
      <c r="AZ348" s="31">
        <f t="shared" si="76"/>
        <v>1.6666666666666668E-3</v>
      </c>
      <c r="BA348" s="25" t="str">
        <f t="shared" si="77"/>
        <v>GEMS/Food G07</v>
      </c>
      <c r="BB348" s="25">
        <f t="shared" si="78"/>
        <v>0</v>
      </c>
      <c r="BC348" s="25" t="str">
        <f t="shared" si="79"/>
        <v/>
      </c>
    </row>
    <row r="349" spans="1:55" ht="15" customHeight="1" outlineLevel="3" x14ac:dyDescent="0.2">
      <c r="A349" s="39">
        <v>4</v>
      </c>
      <c r="B349" s="23">
        <v>1014030</v>
      </c>
      <c r="C349" s="23" t="s">
        <v>199</v>
      </c>
      <c r="D349" s="22">
        <f>input_values!Z349</f>
        <v>4</v>
      </c>
      <c r="E349" s="657">
        <v>0</v>
      </c>
      <c r="F349" s="31">
        <v>0</v>
      </c>
      <c r="G349" s="31">
        <v>0</v>
      </c>
      <c r="H349" s="31">
        <v>0</v>
      </c>
      <c r="I349" s="31">
        <v>0</v>
      </c>
      <c r="J349" s="31">
        <v>0</v>
      </c>
      <c r="K349" s="31">
        <v>0</v>
      </c>
      <c r="L349" s="31">
        <v>0</v>
      </c>
      <c r="M349" s="31">
        <v>0</v>
      </c>
      <c r="N349" s="31">
        <v>0</v>
      </c>
      <c r="O349" s="31">
        <v>0</v>
      </c>
      <c r="P349" s="31">
        <v>0</v>
      </c>
      <c r="Q349" s="31">
        <v>0</v>
      </c>
      <c r="R349" s="587">
        <v>0</v>
      </c>
      <c r="S349" s="31">
        <v>0</v>
      </c>
      <c r="T349" s="31"/>
      <c r="U349" s="31">
        <v>0</v>
      </c>
      <c r="V349" s="31">
        <v>0</v>
      </c>
      <c r="W349" s="31">
        <v>0</v>
      </c>
      <c r="X349" s="31">
        <v>0</v>
      </c>
      <c r="Y349" s="31">
        <v>0</v>
      </c>
      <c r="Z349" s="31">
        <v>0</v>
      </c>
      <c r="AA349" s="31">
        <v>0</v>
      </c>
      <c r="AB349" s="31">
        <v>0</v>
      </c>
      <c r="AC349" s="31">
        <v>0</v>
      </c>
      <c r="AD349" s="31">
        <v>0</v>
      </c>
      <c r="AE349" s="31">
        <v>6.3333333333333332E-3</v>
      </c>
      <c r="AF349" s="31">
        <v>1.6666666666666668E-3</v>
      </c>
      <c r="AG349" s="31">
        <v>1.6666666666666668E-3</v>
      </c>
      <c r="AH349" s="31">
        <v>1.6666666666666668E-3</v>
      </c>
      <c r="AI349" s="31">
        <v>1.6666666666666668E-3</v>
      </c>
      <c r="AJ349" s="31">
        <v>1.6666666666666668E-3</v>
      </c>
      <c r="AK349" s="663">
        <v>0</v>
      </c>
      <c r="AL349" s="663">
        <v>0</v>
      </c>
      <c r="AM349" s="31">
        <v>0</v>
      </c>
      <c r="AN349" s="584"/>
      <c r="AO349" s="584"/>
      <c r="AP349" s="663"/>
      <c r="AQ349" s="31"/>
      <c r="AR349" s="31"/>
      <c r="AS349" s="31"/>
      <c r="AT349" s="31"/>
      <c r="AU349" s="31"/>
      <c r="AV349" s="31"/>
      <c r="AW349" s="31"/>
      <c r="AX349" s="31"/>
      <c r="AY349" s="31"/>
      <c r="AZ349" s="31">
        <f t="shared" si="76"/>
        <v>6.3333333333333332E-3</v>
      </c>
      <c r="BA349" s="25" t="str">
        <f t="shared" si="77"/>
        <v>GEMS/Food G06</v>
      </c>
      <c r="BB349" s="25">
        <f t="shared" si="78"/>
        <v>0</v>
      </c>
      <c r="BC349" s="25" t="str">
        <f t="shared" si="79"/>
        <v/>
      </c>
    </row>
    <row r="350" spans="1:55" ht="15" customHeight="1" outlineLevel="3" x14ac:dyDescent="0.2">
      <c r="A350" s="39">
        <v>4</v>
      </c>
      <c r="B350" s="23">
        <v>1014040</v>
      </c>
      <c r="C350" s="23" t="s">
        <v>200</v>
      </c>
      <c r="D350" s="22">
        <f>input_values!Z350</f>
        <v>4</v>
      </c>
      <c r="E350" s="657">
        <v>0</v>
      </c>
      <c r="F350" s="31">
        <v>0</v>
      </c>
      <c r="G350" s="31">
        <v>0</v>
      </c>
      <c r="H350" s="31">
        <v>0</v>
      </c>
      <c r="I350" s="31">
        <v>0</v>
      </c>
      <c r="J350" s="31">
        <v>0</v>
      </c>
      <c r="K350" s="31">
        <v>0</v>
      </c>
      <c r="L350" s="31">
        <v>0</v>
      </c>
      <c r="M350" s="31">
        <v>0</v>
      </c>
      <c r="N350" s="31">
        <v>0</v>
      </c>
      <c r="O350" s="31">
        <v>0</v>
      </c>
      <c r="P350" s="31">
        <v>0</v>
      </c>
      <c r="Q350" s="31">
        <v>0</v>
      </c>
      <c r="R350" s="587">
        <v>0</v>
      </c>
      <c r="S350" s="31">
        <v>0</v>
      </c>
      <c r="T350" s="31"/>
      <c r="U350" s="31">
        <v>0</v>
      </c>
      <c r="V350" s="31">
        <v>0</v>
      </c>
      <c r="W350" s="31">
        <v>0</v>
      </c>
      <c r="X350" s="31">
        <v>0</v>
      </c>
      <c r="Y350" s="31">
        <v>0</v>
      </c>
      <c r="Z350" s="31">
        <v>0</v>
      </c>
      <c r="AA350" s="31">
        <v>0</v>
      </c>
      <c r="AB350" s="31">
        <v>0</v>
      </c>
      <c r="AC350" s="31">
        <v>0</v>
      </c>
      <c r="AD350" s="31">
        <v>0</v>
      </c>
      <c r="AE350" s="31"/>
      <c r="AF350" s="31"/>
      <c r="AG350" s="31"/>
      <c r="AH350" s="31"/>
      <c r="AI350" s="31"/>
      <c r="AJ350" s="31"/>
      <c r="AK350" s="663">
        <v>0</v>
      </c>
      <c r="AL350" s="663">
        <v>0</v>
      </c>
      <c r="AM350" s="31">
        <v>0</v>
      </c>
      <c r="AN350" s="584"/>
      <c r="AO350" s="584"/>
      <c r="AP350" s="663"/>
      <c r="AQ350" s="31"/>
      <c r="AR350" s="31"/>
      <c r="AS350" s="31"/>
      <c r="AT350" s="31"/>
      <c r="AU350" s="31"/>
      <c r="AV350" s="31"/>
      <c r="AW350" s="31"/>
      <c r="AX350" s="31"/>
      <c r="AY350" s="31"/>
      <c r="AZ350" s="31">
        <f t="shared" si="76"/>
        <v>0</v>
      </c>
      <c r="BA350" s="25" t="str">
        <f t="shared" si="77"/>
        <v>DE child</v>
      </c>
      <c r="BB350" s="25">
        <f t="shared" si="78"/>
        <v>0</v>
      </c>
      <c r="BC350" s="25" t="str">
        <f t="shared" si="79"/>
        <v/>
      </c>
    </row>
    <row r="351" spans="1:55" ht="15" customHeight="1" outlineLevel="3" x14ac:dyDescent="0.2">
      <c r="A351" s="39">
        <v>4</v>
      </c>
      <c r="B351" s="23">
        <v>1014050</v>
      </c>
      <c r="C351" s="23" t="s">
        <v>795</v>
      </c>
      <c r="D351" s="22">
        <f>input_values!Z351</f>
        <v>4</v>
      </c>
      <c r="E351" s="657">
        <v>0</v>
      </c>
      <c r="F351" s="31">
        <v>0</v>
      </c>
      <c r="G351" s="31">
        <v>0</v>
      </c>
      <c r="H351" s="31">
        <v>0</v>
      </c>
      <c r="I351" s="31">
        <v>0</v>
      </c>
      <c r="J351" s="31">
        <v>0</v>
      </c>
      <c r="K351" s="31">
        <v>0</v>
      </c>
      <c r="L351" s="31">
        <v>0</v>
      </c>
      <c r="M351" s="31">
        <v>0</v>
      </c>
      <c r="N351" s="31">
        <v>0</v>
      </c>
      <c r="O351" s="31">
        <v>0</v>
      </c>
      <c r="P351" s="31">
        <v>0</v>
      </c>
      <c r="Q351" s="31">
        <v>0</v>
      </c>
      <c r="R351" s="587">
        <v>0</v>
      </c>
      <c r="S351" s="31">
        <v>0</v>
      </c>
      <c r="T351" s="31"/>
      <c r="U351" s="31">
        <v>0</v>
      </c>
      <c r="V351" s="31">
        <v>0</v>
      </c>
      <c r="W351" s="31">
        <v>0</v>
      </c>
      <c r="X351" s="31">
        <v>0</v>
      </c>
      <c r="Y351" s="31">
        <v>0</v>
      </c>
      <c r="Z351" s="31">
        <v>0</v>
      </c>
      <c r="AA351" s="31">
        <v>0</v>
      </c>
      <c r="AB351" s="31">
        <v>0</v>
      </c>
      <c r="AC351" s="31">
        <v>0</v>
      </c>
      <c r="AD351" s="31">
        <v>0</v>
      </c>
      <c r="AE351" s="31"/>
      <c r="AF351" s="31"/>
      <c r="AG351" s="31"/>
      <c r="AH351" s="31"/>
      <c r="AI351" s="31"/>
      <c r="AJ351" s="31"/>
      <c r="AK351" s="663">
        <v>0</v>
      </c>
      <c r="AL351" s="663">
        <v>0</v>
      </c>
      <c r="AM351" s="31">
        <v>0</v>
      </c>
      <c r="AN351" s="584"/>
      <c r="AO351" s="584"/>
      <c r="AP351" s="663"/>
      <c r="AQ351" s="31"/>
      <c r="AR351" s="31"/>
      <c r="AS351" s="31"/>
      <c r="AT351" s="31"/>
      <c r="AU351" s="31"/>
      <c r="AV351" s="31"/>
      <c r="AW351" s="31"/>
      <c r="AX351" s="31"/>
      <c r="AY351" s="31"/>
      <c r="AZ351" s="31">
        <f t="shared" si="76"/>
        <v>0</v>
      </c>
      <c r="BA351" s="25" t="str">
        <f t="shared" si="77"/>
        <v>DE child</v>
      </c>
      <c r="BB351" s="25">
        <f t="shared" si="78"/>
        <v>0</v>
      </c>
      <c r="BC351" s="25" t="str">
        <f t="shared" si="79"/>
        <v/>
      </c>
    </row>
    <row r="352" spans="1:55" ht="15" customHeight="1" outlineLevel="3" x14ac:dyDescent="0.2">
      <c r="A352" s="39">
        <v>4</v>
      </c>
      <c r="B352" s="23">
        <v>1014990</v>
      </c>
      <c r="C352" s="23" t="s">
        <v>637</v>
      </c>
      <c r="D352" s="22">
        <f>input_values!Z352</f>
        <v>4</v>
      </c>
      <c r="E352" s="657">
        <v>0</v>
      </c>
      <c r="F352" s="31"/>
      <c r="G352" s="31">
        <v>0</v>
      </c>
      <c r="H352" s="31">
        <v>0</v>
      </c>
      <c r="I352" s="31">
        <v>0</v>
      </c>
      <c r="J352" s="31">
        <v>0</v>
      </c>
      <c r="K352" s="31">
        <v>0</v>
      </c>
      <c r="L352" s="31">
        <v>0</v>
      </c>
      <c r="M352" s="31">
        <v>0</v>
      </c>
      <c r="N352" s="31">
        <v>0</v>
      </c>
      <c r="O352" s="31">
        <v>0</v>
      </c>
      <c r="P352" s="31">
        <v>0</v>
      </c>
      <c r="Q352" s="31">
        <v>0</v>
      </c>
      <c r="R352" s="587">
        <v>0</v>
      </c>
      <c r="S352" s="31">
        <v>0</v>
      </c>
      <c r="T352" s="31"/>
      <c r="U352" s="31">
        <v>0</v>
      </c>
      <c r="V352" s="31">
        <v>0</v>
      </c>
      <c r="W352" s="31">
        <v>0</v>
      </c>
      <c r="X352" s="31">
        <v>0</v>
      </c>
      <c r="Y352" s="31">
        <v>0</v>
      </c>
      <c r="Z352" s="31">
        <v>0</v>
      </c>
      <c r="AA352" s="31">
        <v>0</v>
      </c>
      <c r="AB352" s="31">
        <v>0</v>
      </c>
      <c r="AC352" s="31">
        <v>0</v>
      </c>
      <c r="AD352" s="31">
        <v>0</v>
      </c>
      <c r="AE352" s="31"/>
      <c r="AF352" s="31"/>
      <c r="AG352" s="31"/>
      <c r="AH352" s="31"/>
      <c r="AI352" s="31"/>
      <c r="AJ352" s="31"/>
      <c r="AK352" s="663">
        <v>0</v>
      </c>
      <c r="AL352" s="663">
        <v>0</v>
      </c>
      <c r="AM352" s="31">
        <v>0</v>
      </c>
      <c r="AN352" s="584"/>
      <c r="AO352" s="584"/>
      <c r="AP352" s="663"/>
      <c r="AQ352" s="31"/>
      <c r="AR352" s="31"/>
      <c r="AS352" s="31"/>
      <c r="AT352" s="31"/>
      <c r="AU352" s="31"/>
      <c r="AV352" s="31"/>
      <c r="AW352" s="31"/>
      <c r="AX352" s="31"/>
      <c r="AY352" s="31"/>
      <c r="AZ352" s="31">
        <f t="shared" si="76"/>
        <v>0</v>
      </c>
      <c r="BA352" s="25" t="str">
        <f t="shared" si="77"/>
        <v>DE child</v>
      </c>
      <c r="BB352" s="25">
        <f t="shared" si="78"/>
        <v>0</v>
      </c>
      <c r="BC352" s="25" t="str">
        <f t="shared" si="79"/>
        <v/>
      </c>
    </row>
    <row r="353" spans="1:55" ht="15" customHeight="1" outlineLevel="2" x14ac:dyDescent="0.2">
      <c r="A353" s="133">
        <v>3</v>
      </c>
      <c r="B353" s="5">
        <v>1015000</v>
      </c>
      <c r="C353" s="5" t="s">
        <v>796</v>
      </c>
      <c r="D353" s="82">
        <f>input_values!Z353</f>
        <v>4</v>
      </c>
      <c r="E353" s="655">
        <v>0</v>
      </c>
      <c r="F353" s="49">
        <f t="shared" ref="F353:AO353" si="82">SUM(F354:F359)</f>
        <v>0</v>
      </c>
      <c r="G353" s="49">
        <f t="shared" si="82"/>
        <v>4.0000000000000001E-3</v>
      </c>
      <c r="H353" s="49">
        <f t="shared" si="82"/>
        <v>0</v>
      </c>
      <c r="I353" s="49">
        <f t="shared" si="82"/>
        <v>3.6896002753754147E-2</v>
      </c>
      <c r="J353" s="49">
        <f t="shared" si="82"/>
        <v>2.8527171999164901E-2</v>
      </c>
      <c r="K353" s="49">
        <f t="shared" si="82"/>
        <v>0</v>
      </c>
      <c r="L353" s="49">
        <f t="shared" si="82"/>
        <v>1.4E-2</v>
      </c>
      <c r="M353" s="49">
        <f t="shared" si="82"/>
        <v>8.3000000000000004E-2</v>
      </c>
      <c r="N353" s="49">
        <f t="shared" si="82"/>
        <v>0</v>
      </c>
      <c r="O353" s="49">
        <f t="shared" si="82"/>
        <v>0</v>
      </c>
      <c r="P353" s="49">
        <f t="shared" si="82"/>
        <v>0</v>
      </c>
      <c r="Q353" s="49">
        <f t="shared" si="82"/>
        <v>1.5E-3</v>
      </c>
      <c r="R353" s="49">
        <f t="shared" si="82"/>
        <v>0</v>
      </c>
      <c r="S353" s="49">
        <f t="shared" si="82"/>
        <v>1.0774554378329472E-2</v>
      </c>
      <c r="T353" s="49"/>
      <c r="U353" s="49">
        <f t="shared" si="82"/>
        <v>0</v>
      </c>
      <c r="V353" s="49">
        <f t="shared" si="82"/>
        <v>0</v>
      </c>
      <c r="W353" s="49">
        <f t="shared" si="82"/>
        <v>0</v>
      </c>
      <c r="X353" s="49">
        <f t="shared" si="82"/>
        <v>2.5000000000000001E-2</v>
      </c>
      <c r="Y353" s="49">
        <f t="shared" si="82"/>
        <v>0</v>
      </c>
      <c r="Z353" s="49">
        <f t="shared" si="82"/>
        <v>0</v>
      </c>
      <c r="AA353" s="49">
        <f t="shared" si="82"/>
        <v>0</v>
      </c>
      <c r="AB353" s="49">
        <f t="shared" si="82"/>
        <v>0</v>
      </c>
      <c r="AC353" s="49">
        <f t="shared" si="82"/>
        <v>0</v>
      </c>
      <c r="AD353" s="49">
        <f t="shared" si="82"/>
        <v>0</v>
      </c>
      <c r="AE353" s="49">
        <f t="shared" si="82"/>
        <v>3.3333333333333166E-3</v>
      </c>
      <c r="AF353" s="49">
        <f t="shared" si="82"/>
        <v>1.7999999999999999E-2</v>
      </c>
      <c r="AG353" s="49">
        <f t="shared" si="82"/>
        <v>4.6666666666666671E-3</v>
      </c>
      <c r="AH353" s="49">
        <f t="shared" si="82"/>
        <v>1.1333333333333332E-2</v>
      </c>
      <c r="AI353" s="49">
        <f t="shared" si="82"/>
        <v>3.3499999999999995E-2</v>
      </c>
      <c r="AJ353" s="49">
        <f t="shared" si="82"/>
        <v>8.9999999999999993E-3</v>
      </c>
      <c r="AK353" s="49">
        <f t="shared" si="82"/>
        <v>0</v>
      </c>
      <c r="AL353" s="49">
        <f t="shared" si="82"/>
        <v>0</v>
      </c>
      <c r="AM353" s="49">
        <f t="shared" si="82"/>
        <v>0</v>
      </c>
      <c r="AN353" s="49">
        <f t="shared" si="82"/>
        <v>0</v>
      </c>
      <c r="AO353" s="49">
        <f t="shared" si="82"/>
        <v>0</v>
      </c>
      <c r="AP353" s="49"/>
      <c r="AQ353" s="49"/>
      <c r="AR353" s="49"/>
      <c r="AS353" s="49"/>
      <c r="AT353" s="49"/>
      <c r="AU353" s="49"/>
      <c r="AV353" s="49"/>
      <c r="AW353" s="49"/>
      <c r="AX353" s="49" t="s">
        <v>369</v>
      </c>
      <c r="AY353" s="49"/>
      <c r="AZ353" s="49">
        <f t="shared" si="76"/>
        <v>8.3000000000000004E-2</v>
      </c>
      <c r="BA353" s="6" t="str">
        <f t="shared" si="77"/>
        <v>NL child</v>
      </c>
      <c r="BB353" s="6">
        <f t="shared" si="78"/>
        <v>0</v>
      </c>
      <c r="BC353" s="6" t="str">
        <f t="shared" si="79"/>
        <v/>
      </c>
    </row>
    <row r="354" spans="1:55" ht="15" customHeight="1" outlineLevel="3" x14ac:dyDescent="0.2">
      <c r="A354" s="39">
        <v>4</v>
      </c>
      <c r="B354" s="23">
        <v>1015010</v>
      </c>
      <c r="C354" s="23" t="s">
        <v>866</v>
      </c>
      <c r="D354" s="22">
        <f>input_values!Z354</f>
        <v>4</v>
      </c>
      <c r="E354" s="657">
        <v>0</v>
      </c>
      <c r="F354" s="31">
        <v>0</v>
      </c>
      <c r="G354" s="31">
        <v>4.0000000000000001E-3</v>
      </c>
      <c r="H354" s="31">
        <v>0</v>
      </c>
      <c r="I354" s="31">
        <v>3.6896002753754147E-2</v>
      </c>
      <c r="J354" s="31">
        <v>2.8527171999164901E-2</v>
      </c>
      <c r="K354" s="31">
        <v>0</v>
      </c>
      <c r="L354" s="31">
        <v>1.4E-2</v>
      </c>
      <c r="M354" s="31">
        <v>8.3000000000000004E-2</v>
      </c>
      <c r="N354" s="31">
        <v>0</v>
      </c>
      <c r="O354" s="31">
        <v>0</v>
      </c>
      <c r="P354" s="31">
        <v>0</v>
      </c>
      <c r="Q354" s="31">
        <v>1.5E-3</v>
      </c>
      <c r="R354" s="587">
        <v>0</v>
      </c>
      <c r="S354" s="31">
        <v>1.0774554378329472E-2</v>
      </c>
      <c r="T354" s="31"/>
      <c r="U354" s="31">
        <v>0</v>
      </c>
      <c r="V354" s="31">
        <v>0</v>
      </c>
      <c r="W354" s="31">
        <v>0</v>
      </c>
      <c r="X354" s="31">
        <v>2.5000000000000001E-2</v>
      </c>
      <c r="Y354" s="31">
        <v>0</v>
      </c>
      <c r="Z354" s="31">
        <v>0</v>
      </c>
      <c r="AA354" s="31">
        <v>0</v>
      </c>
      <c r="AB354" s="31">
        <v>0</v>
      </c>
      <c r="AC354" s="31">
        <v>0</v>
      </c>
      <c r="AD354" s="31">
        <v>0</v>
      </c>
      <c r="AE354" s="31">
        <v>1.6666666666666668E-3</v>
      </c>
      <c r="AF354" s="31">
        <v>1.6333333333333332E-2</v>
      </c>
      <c r="AG354" s="31">
        <v>3.0000000000000001E-3</v>
      </c>
      <c r="AH354" s="31">
        <v>9.6666666666666654E-3</v>
      </c>
      <c r="AI354" s="31">
        <v>3.1833333333333332E-2</v>
      </c>
      <c r="AJ354" s="31">
        <v>7.3333333333333332E-3</v>
      </c>
      <c r="AK354" s="663">
        <v>0</v>
      </c>
      <c r="AL354" s="663">
        <v>0</v>
      </c>
      <c r="AM354" s="31">
        <v>0</v>
      </c>
      <c r="AN354" s="584"/>
      <c r="AO354" s="584"/>
      <c r="AP354" s="663"/>
      <c r="AQ354" s="31"/>
      <c r="AR354" s="31"/>
      <c r="AS354" s="31"/>
      <c r="AT354" s="31"/>
      <c r="AU354" s="31"/>
      <c r="AV354" s="31"/>
      <c r="AW354" s="31"/>
      <c r="AX354" s="31"/>
      <c r="AY354" s="31"/>
      <c r="AZ354" s="31">
        <f t="shared" si="76"/>
        <v>8.3000000000000004E-2</v>
      </c>
      <c r="BA354" s="25" t="str">
        <f t="shared" si="77"/>
        <v>NL child</v>
      </c>
      <c r="BB354" s="25">
        <f t="shared" si="78"/>
        <v>0</v>
      </c>
      <c r="BC354" s="25" t="str">
        <f t="shared" si="79"/>
        <v/>
      </c>
    </row>
    <row r="355" spans="1:55" ht="15" customHeight="1" outlineLevel="3" x14ac:dyDescent="0.2">
      <c r="A355" s="39">
        <v>4</v>
      </c>
      <c r="B355" s="23">
        <v>1015020</v>
      </c>
      <c r="C355" s="23" t="s">
        <v>797</v>
      </c>
      <c r="D355" s="22">
        <f>input_values!Z355</f>
        <v>4</v>
      </c>
      <c r="E355" s="657">
        <v>0</v>
      </c>
      <c r="F355" s="31">
        <v>0</v>
      </c>
      <c r="G355" s="31">
        <v>0</v>
      </c>
      <c r="H355" s="31">
        <v>0</v>
      </c>
      <c r="I355" s="31">
        <v>0</v>
      </c>
      <c r="J355" s="31">
        <v>0</v>
      </c>
      <c r="K355" s="31">
        <v>0</v>
      </c>
      <c r="L355" s="31">
        <v>0</v>
      </c>
      <c r="M355" s="31">
        <v>0</v>
      </c>
      <c r="N355" s="31">
        <v>0</v>
      </c>
      <c r="O355" s="31">
        <v>0</v>
      </c>
      <c r="P355" s="31">
        <v>0</v>
      </c>
      <c r="Q355" s="31">
        <v>0</v>
      </c>
      <c r="R355" s="587">
        <v>0</v>
      </c>
      <c r="S355" s="31">
        <v>0</v>
      </c>
      <c r="T355" s="31"/>
      <c r="U355" s="31">
        <v>0</v>
      </c>
      <c r="V355" s="31">
        <v>0</v>
      </c>
      <c r="W355" s="31">
        <v>0</v>
      </c>
      <c r="X355" s="31">
        <v>0</v>
      </c>
      <c r="Y355" s="31">
        <v>0</v>
      </c>
      <c r="Z355" s="31">
        <v>0</v>
      </c>
      <c r="AA355" s="31">
        <v>0</v>
      </c>
      <c r="AB355" s="31">
        <v>0</v>
      </c>
      <c r="AC355" s="31">
        <v>0</v>
      </c>
      <c r="AD355" s="31">
        <v>0</v>
      </c>
      <c r="AE355" s="31"/>
      <c r="AF355" s="31"/>
      <c r="AG355" s="31"/>
      <c r="AH355" s="31"/>
      <c r="AI355" s="31"/>
      <c r="AJ355" s="31"/>
      <c r="AK355" s="663">
        <v>0</v>
      </c>
      <c r="AL355" s="663">
        <v>0</v>
      </c>
      <c r="AM355" s="31">
        <v>0</v>
      </c>
      <c r="AN355" s="584"/>
      <c r="AO355" s="584"/>
      <c r="AP355" s="663"/>
      <c r="AQ355" s="31"/>
      <c r="AR355" s="31"/>
      <c r="AS355" s="31"/>
      <c r="AT355" s="31"/>
      <c r="AU355" s="31"/>
      <c r="AV355" s="31"/>
      <c r="AW355" s="31"/>
      <c r="AX355" s="31"/>
      <c r="AY355" s="31"/>
      <c r="AZ355" s="31">
        <f t="shared" si="76"/>
        <v>0</v>
      </c>
      <c r="BA355" s="25" t="str">
        <f t="shared" si="77"/>
        <v>DE child</v>
      </c>
      <c r="BB355" s="25">
        <f t="shared" si="78"/>
        <v>0</v>
      </c>
      <c r="BC355" s="25" t="str">
        <f t="shared" si="79"/>
        <v/>
      </c>
    </row>
    <row r="356" spans="1:55" ht="15" customHeight="1" outlineLevel="3" x14ac:dyDescent="0.2">
      <c r="A356" s="39">
        <v>4</v>
      </c>
      <c r="B356" s="23">
        <v>1015030</v>
      </c>
      <c r="C356" s="23" t="s">
        <v>798</v>
      </c>
      <c r="D356" s="22">
        <f>input_values!Z356</f>
        <v>4</v>
      </c>
      <c r="E356" s="657">
        <v>0</v>
      </c>
      <c r="F356" s="31">
        <v>0</v>
      </c>
      <c r="G356" s="31">
        <v>0</v>
      </c>
      <c r="H356" s="31">
        <v>0</v>
      </c>
      <c r="I356" s="31">
        <v>0</v>
      </c>
      <c r="J356" s="31">
        <v>0</v>
      </c>
      <c r="K356" s="31">
        <v>0</v>
      </c>
      <c r="L356" s="31">
        <v>0</v>
      </c>
      <c r="M356" s="31">
        <v>0</v>
      </c>
      <c r="N356" s="31">
        <v>0</v>
      </c>
      <c r="O356" s="31">
        <v>0</v>
      </c>
      <c r="P356" s="31">
        <v>0</v>
      </c>
      <c r="Q356" s="31">
        <v>0</v>
      </c>
      <c r="R356" s="587">
        <v>0</v>
      </c>
      <c r="S356" s="31">
        <v>0</v>
      </c>
      <c r="T356" s="31"/>
      <c r="U356" s="31">
        <v>0</v>
      </c>
      <c r="V356" s="31">
        <v>0</v>
      </c>
      <c r="W356" s="31">
        <v>0</v>
      </c>
      <c r="X356" s="31">
        <v>0</v>
      </c>
      <c r="Y356" s="31">
        <v>0</v>
      </c>
      <c r="Z356" s="31">
        <v>0</v>
      </c>
      <c r="AA356" s="31">
        <v>0</v>
      </c>
      <c r="AB356" s="31">
        <v>0</v>
      </c>
      <c r="AC356" s="31">
        <v>0</v>
      </c>
      <c r="AD356" s="31">
        <v>0</v>
      </c>
      <c r="AE356" s="31">
        <v>1.6666666666666501E-3</v>
      </c>
      <c r="AF356" s="31">
        <v>1.6666666666666668E-3</v>
      </c>
      <c r="AG356" s="31">
        <v>1.6666666666666668E-3</v>
      </c>
      <c r="AH356" s="31">
        <v>1.6666666666666668E-3</v>
      </c>
      <c r="AI356" s="31">
        <v>1.6666666666666668E-3</v>
      </c>
      <c r="AJ356" s="31">
        <v>1.6666666666666668E-3</v>
      </c>
      <c r="AK356" s="663">
        <v>0</v>
      </c>
      <c r="AL356" s="663">
        <v>0</v>
      </c>
      <c r="AM356" s="31">
        <v>0</v>
      </c>
      <c r="AN356" s="584"/>
      <c r="AO356" s="584"/>
      <c r="AP356" s="663"/>
      <c r="AQ356" s="31"/>
      <c r="AR356" s="31"/>
      <c r="AS356" s="31"/>
      <c r="AT356" s="31"/>
      <c r="AU356" s="31"/>
      <c r="AV356" s="31"/>
      <c r="AW356" s="31"/>
      <c r="AX356" s="31"/>
      <c r="AY356" s="31"/>
      <c r="AZ356" s="31">
        <f t="shared" si="76"/>
        <v>1.6666666666666668E-3</v>
      </c>
      <c r="BA356" s="25" t="str">
        <f t="shared" si="77"/>
        <v>GEMS/Food G07</v>
      </c>
      <c r="BB356" s="25">
        <f t="shared" si="78"/>
        <v>0</v>
      </c>
      <c r="BC356" s="25" t="str">
        <f t="shared" si="79"/>
        <v/>
      </c>
    </row>
    <row r="357" spans="1:55" ht="15" customHeight="1" outlineLevel="3" x14ac:dyDescent="0.2">
      <c r="A357" s="39">
        <v>4</v>
      </c>
      <c r="B357" s="23">
        <v>1015040</v>
      </c>
      <c r="C357" s="23" t="s">
        <v>799</v>
      </c>
      <c r="D357" s="22">
        <f>input_values!Z357</f>
        <v>4</v>
      </c>
      <c r="E357" s="657">
        <v>0</v>
      </c>
      <c r="F357" s="31">
        <v>0</v>
      </c>
      <c r="G357" s="31">
        <v>0</v>
      </c>
      <c r="H357" s="31">
        <v>0</v>
      </c>
      <c r="I357" s="31">
        <v>0</v>
      </c>
      <c r="J357" s="31">
        <v>0</v>
      </c>
      <c r="K357" s="31">
        <v>0</v>
      </c>
      <c r="L357" s="31">
        <v>0</v>
      </c>
      <c r="M357" s="31">
        <v>0</v>
      </c>
      <c r="N357" s="31">
        <v>0</v>
      </c>
      <c r="O357" s="31">
        <v>0</v>
      </c>
      <c r="P357" s="31">
        <v>0</v>
      </c>
      <c r="Q357" s="31">
        <v>0</v>
      </c>
      <c r="R357" s="587">
        <v>0</v>
      </c>
      <c r="S357" s="31">
        <v>0</v>
      </c>
      <c r="T357" s="31"/>
      <c r="U357" s="31">
        <v>0</v>
      </c>
      <c r="V357" s="31">
        <v>0</v>
      </c>
      <c r="W357" s="31">
        <v>0</v>
      </c>
      <c r="X357" s="31">
        <v>0</v>
      </c>
      <c r="Y357" s="31">
        <v>0</v>
      </c>
      <c r="Z357" s="31">
        <v>0</v>
      </c>
      <c r="AA357" s="31">
        <v>0</v>
      </c>
      <c r="AB357" s="31">
        <v>0</v>
      </c>
      <c r="AC357" s="31">
        <v>0</v>
      </c>
      <c r="AD357" s="31">
        <v>0</v>
      </c>
      <c r="AE357" s="31"/>
      <c r="AF357" s="31"/>
      <c r="AG357" s="31"/>
      <c r="AH357" s="31"/>
      <c r="AI357" s="31"/>
      <c r="AJ357" s="31"/>
      <c r="AK357" s="663">
        <v>0</v>
      </c>
      <c r="AL357" s="663">
        <v>0</v>
      </c>
      <c r="AM357" s="31">
        <v>0</v>
      </c>
      <c r="AN357" s="584"/>
      <c r="AO357" s="584"/>
      <c r="AP357" s="663"/>
      <c r="AQ357" s="31"/>
      <c r="AR357" s="31"/>
      <c r="AS357" s="31"/>
      <c r="AT357" s="31"/>
      <c r="AU357" s="31"/>
      <c r="AV357" s="31"/>
      <c r="AW357" s="31"/>
      <c r="AX357" s="31"/>
      <c r="AY357" s="31"/>
      <c r="AZ357" s="31">
        <f t="shared" si="76"/>
        <v>0</v>
      </c>
      <c r="BA357" s="25" t="str">
        <f t="shared" si="77"/>
        <v>DE child</v>
      </c>
      <c r="BB357" s="25">
        <f t="shared" si="78"/>
        <v>0</v>
      </c>
      <c r="BC357" s="25" t="str">
        <f t="shared" si="79"/>
        <v/>
      </c>
    </row>
    <row r="358" spans="1:55" ht="15" customHeight="1" outlineLevel="3" x14ac:dyDescent="0.2">
      <c r="A358" s="39">
        <v>4</v>
      </c>
      <c r="B358" s="23">
        <v>1015050</v>
      </c>
      <c r="C358" s="23" t="s">
        <v>801</v>
      </c>
      <c r="D358" s="22">
        <f>input_values!Z358</f>
        <v>4</v>
      </c>
      <c r="E358" s="657">
        <v>0</v>
      </c>
      <c r="F358" s="31">
        <v>0</v>
      </c>
      <c r="G358" s="31">
        <v>0</v>
      </c>
      <c r="H358" s="31">
        <v>0</v>
      </c>
      <c r="I358" s="31">
        <v>0</v>
      </c>
      <c r="J358" s="31">
        <v>0</v>
      </c>
      <c r="K358" s="31">
        <v>0</v>
      </c>
      <c r="L358" s="31">
        <v>0</v>
      </c>
      <c r="M358" s="31">
        <v>0</v>
      </c>
      <c r="N358" s="31">
        <v>0</v>
      </c>
      <c r="O358" s="31">
        <v>0</v>
      </c>
      <c r="P358" s="31">
        <v>0</v>
      </c>
      <c r="Q358" s="31">
        <v>0</v>
      </c>
      <c r="R358" s="587">
        <v>0</v>
      </c>
      <c r="S358" s="31">
        <v>0</v>
      </c>
      <c r="T358" s="31"/>
      <c r="U358" s="31">
        <v>0</v>
      </c>
      <c r="V358" s="31">
        <v>0</v>
      </c>
      <c r="W358" s="31">
        <v>0</v>
      </c>
      <c r="X358" s="31">
        <v>0</v>
      </c>
      <c r="Y358" s="31">
        <v>0</v>
      </c>
      <c r="Z358" s="31">
        <v>0</v>
      </c>
      <c r="AA358" s="31">
        <v>0</v>
      </c>
      <c r="AB358" s="31">
        <v>0</v>
      </c>
      <c r="AC358" s="31">
        <v>0</v>
      </c>
      <c r="AD358" s="31">
        <v>0</v>
      </c>
      <c r="AE358" s="31"/>
      <c r="AF358" s="31"/>
      <c r="AG358" s="31"/>
      <c r="AH358" s="31"/>
      <c r="AI358" s="31"/>
      <c r="AJ358" s="31"/>
      <c r="AK358" s="663">
        <v>0</v>
      </c>
      <c r="AL358" s="663">
        <v>0</v>
      </c>
      <c r="AM358" s="31">
        <v>0</v>
      </c>
      <c r="AN358" s="584"/>
      <c r="AO358" s="584"/>
      <c r="AP358" s="663"/>
      <c r="AQ358" s="31"/>
      <c r="AR358" s="31"/>
      <c r="AS358" s="31"/>
      <c r="AT358" s="31"/>
      <c r="AU358" s="31"/>
      <c r="AV358" s="31"/>
      <c r="AW358" s="31"/>
      <c r="AX358" s="31"/>
      <c r="AY358" s="31"/>
      <c r="AZ358" s="31">
        <f t="shared" si="76"/>
        <v>0</v>
      </c>
      <c r="BA358" s="25" t="str">
        <f t="shared" si="77"/>
        <v>DE child</v>
      </c>
      <c r="BB358" s="25">
        <f t="shared" si="78"/>
        <v>0</v>
      </c>
      <c r="BC358" s="25" t="str">
        <f t="shared" si="79"/>
        <v/>
      </c>
    </row>
    <row r="359" spans="1:55" ht="15" customHeight="1" outlineLevel="3" x14ac:dyDescent="0.2">
      <c r="A359" s="39">
        <v>4</v>
      </c>
      <c r="B359" s="23">
        <v>1015990</v>
      </c>
      <c r="C359" s="23" t="s">
        <v>800</v>
      </c>
      <c r="D359" s="22">
        <f>input_values!Z359</f>
        <v>4</v>
      </c>
      <c r="E359" s="657">
        <v>0</v>
      </c>
      <c r="F359" s="31"/>
      <c r="G359" s="31">
        <v>0</v>
      </c>
      <c r="H359" s="31">
        <v>0</v>
      </c>
      <c r="I359" s="31">
        <v>0</v>
      </c>
      <c r="J359" s="31">
        <v>0</v>
      </c>
      <c r="K359" s="31">
        <v>0</v>
      </c>
      <c r="L359" s="31">
        <v>0</v>
      </c>
      <c r="M359" s="31">
        <v>0</v>
      </c>
      <c r="N359" s="31">
        <v>0</v>
      </c>
      <c r="O359" s="31">
        <v>0</v>
      </c>
      <c r="P359" s="31">
        <v>0</v>
      </c>
      <c r="Q359" s="31">
        <v>0</v>
      </c>
      <c r="R359" s="587">
        <v>0</v>
      </c>
      <c r="S359" s="31">
        <v>0</v>
      </c>
      <c r="T359" s="31"/>
      <c r="U359" s="31">
        <v>0</v>
      </c>
      <c r="V359" s="31">
        <v>0</v>
      </c>
      <c r="W359" s="31">
        <v>0</v>
      </c>
      <c r="X359" s="31">
        <v>0</v>
      </c>
      <c r="Y359" s="31">
        <v>0</v>
      </c>
      <c r="Z359" s="31">
        <v>0</v>
      </c>
      <c r="AA359" s="31">
        <v>0</v>
      </c>
      <c r="AB359" s="31">
        <v>0</v>
      </c>
      <c r="AC359" s="31">
        <v>0</v>
      </c>
      <c r="AD359" s="31">
        <v>0</v>
      </c>
      <c r="AE359" s="31"/>
      <c r="AF359" s="31"/>
      <c r="AG359" s="31"/>
      <c r="AH359" s="31"/>
      <c r="AI359" s="31"/>
      <c r="AJ359" s="31"/>
      <c r="AK359" s="663">
        <v>0</v>
      </c>
      <c r="AL359" s="663">
        <v>0</v>
      </c>
      <c r="AM359" s="31">
        <v>0</v>
      </c>
      <c r="AN359" s="584"/>
      <c r="AO359" s="584"/>
      <c r="AP359" s="663"/>
      <c r="AQ359" s="31"/>
      <c r="AR359" s="31"/>
      <c r="AS359" s="31"/>
      <c r="AT359" s="31"/>
      <c r="AU359" s="31"/>
      <c r="AV359" s="31"/>
      <c r="AW359" s="31"/>
      <c r="AX359" s="31"/>
      <c r="AY359" s="31"/>
      <c r="AZ359" s="31">
        <f t="shared" si="76"/>
        <v>0</v>
      </c>
      <c r="BA359" s="25" t="str">
        <f t="shared" si="77"/>
        <v>DE child</v>
      </c>
      <c r="BB359" s="25">
        <f t="shared" si="78"/>
        <v>0</v>
      </c>
      <c r="BC359" s="25" t="str">
        <f t="shared" si="79"/>
        <v/>
      </c>
    </row>
    <row r="360" spans="1:55" ht="15" customHeight="1" outlineLevel="2" x14ac:dyDescent="0.2">
      <c r="A360" s="133">
        <v>3</v>
      </c>
      <c r="B360" s="5">
        <v>1016000</v>
      </c>
      <c r="C360" s="5" t="s">
        <v>802</v>
      </c>
      <c r="D360" s="82">
        <f>input_values!Z360</f>
        <v>4</v>
      </c>
      <c r="E360" s="655">
        <f>SUM(E361:E366)</f>
        <v>0.72</v>
      </c>
      <c r="F360" s="49">
        <f t="shared" ref="F360:AO360" si="83">SUM(F361:F366)</f>
        <v>0.54090909090909089</v>
      </c>
      <c r="G360" s="49">
        <f t="shared" si="83"/>
        <v>1.2854999999999999</v>
      </c>
      <c r="H360" s="49">
        <f t="shared" si="83"/>
        <v>0.19188165279048486</v>
      </c>
      <c r="I360" s="49">
        <f t="shared" si="83"/>
        <v>0.4884159285632102</v>
      </c>
      <c r="J360" s="49">
        <f t="shared" si="83"/>
        <v>0.69650914931500851</v>
      </c>
      <c r="K360" s="49">
        <f t="shared" si="83"/>
        <v>0</v>
      </c>
      <c r="L360" s="49">
        <f t="shared" si="83"/>
        <v>0.51200000000000001</v>
      </c>
      <c r="M360" s="49">
        <f t="shared" si="83"/>
        <v>0.57199999999999995</v>
      </c>
      <c r="N360" s="49">
        <f t="shared" si="83"/>
        <v>0.39080459770114945</v>
      </c>
      <c r="O360" s="49">
        <f t="shared" si="83"/>
        <v>0.47260273972602745</v>
      </c>
      <c r="P360" s="49">
        <f t="shared" si="83"/>
        <v>0.22636484687083891</v>
      </c>
      <c r="Q360" s="49">
        <f t="shared" si="83"/>
        <v>0.63329999999999997</v>
      </c>
      <c r="R360" s="49">
        <f t="shared" si="83"/>
        <v>0</v>
      </c>
      <c r="S360" s="49">
        <f t="shared" si="83"/>
        <v>0.31526240284474022</v>
      </c>
      <c r="T360" s="49"/>
      <c r="U360" s="49">
        <f t="shared" si="83"/>
        <v>0.35904255319148937</v>
      </c>
      <c r="V360" s="49">
        <f t="shared" si="83"/>
        <v>0</v>
      </c>
      <c r="W360" s="49">
        <f t="shared" si="83"/>
        <v>0.31557142857142856</v>
      </c>
      <c r="X360" s="49">
        <f t="shared" si="83"/>
        <v>0.36499999999999999</v>
      </c>
      <c r="Y360" s="49">
        <f t="shared" si="83"/>
        <v>0</v>
      </c>
      <c r="Z360" s="49">
        <f t="shared" si="83"/>
        <v>0</v>
      </c>
      <c r="AA360" s="49">
        <f t="shared" si="83"/>
        <v>0.78333333333333333</v>
      </c>
      <c r="AB360" s="49">
        <f t="shared" si="83"/>
        <v>0</v>
      </c>
      <c r="AC360" s="49">
        <f t="shared" si="83"/>
        <v>0.43157894736842101</v>
      </c>
      <c r="AD360" s="49">
        <f t="shared" si="83"/>
        <v>3.5982008995502246E-2</v>
      </c>
      <c r="AE360" s="49">
        <f t="shared" si="83"/>
        <v>0.59766666666666668</v>
      </c>
      <c r="AF360" s="49">
        <f t="shared" si="83"/>
        <v>1.2365000000000002</v>
      </c>
      <c r="AG360" s="49">
        <f t="shared" si="83"/>
        <v>0.91133333333333333</v>
      </c>
      <c r="AH360" s="49">
        <f t="shared" si="83"/>
        <v>1.4595000000000002</v>
      </c>
      <c r="AI360" s="49">
        <f t="shared" si="83"/>
        <v>0.91483333333333339</v>
      </c>
      <c r="AJ360" s="49">
        <f t="shared" si="83"/>
        <v>0.97266666666666668</v>
      </c>
      <c r="AK360" s="49">
        <f t="shared" si="83"/>
        <v>0.24561079413375769</v>
      </c>
      <c r="AL360" s="49">
        <f t="shared" si="83"/>
        <v>0.27076953421656336</v>
      </c>
      <c r="AM360" s="49">
        <f t="shared" si="83"/>
        <v>0.1724289</v>
      </c>
      <c r="AN360" s="49">
        <f t="shared" si="83"/>
        <v>0</v>
      </c>
      <c r="AO360" s="49">
        <f t="shared" si="83"/>
        <v>0</v>
      </c>
      <c r="AP360" s="49"/>
      <c r="AQ360" s="49"/>
      <c r="AR360" s="49"/>
      <c r="AS360" s="49"/>
      <c r="AT360" s="49"/>
      <c r="AU360" s="49"/>
      <c r="AV360" s="49"/>
      <c r="AW360" s="49"/>
      <c r="AX360" s="49" t="s">
        <v>369</v>
      </c>
      <c r="AY360" s="49"/>
      <c r="AZ360" s="49">
        <f t="shared" si="76"/>
        <v>1.4595000000000002</v>
      </c>
      <c r="BA360" s="6" t="str">
        <f t="shared" si="77"/>
        <v>GEMS/Food G10</v>
      </c>
      <c r="BB360" s="6">
        <f t="shared" si="78"/>
        <v>0</v>
      </c>
      <c r="BC360" s="6" t="str">
        <f t="shared" si="79"/>
        <v/>
      </c>
    </row>
    <row r="361" spans="1:55" ht="15" customHeight="1" outlineLevel="3" x14ac:dyDescent="0.2">
      <c r="A361" s="39">
        <v>4</v>
      </c>
      <c r="B361" s="23">
        <v>1016010</v>
      </c>
      <c r="C361" s="23" t="s">
        <v>867</v>
      </c>
      <c r="D361" s="22">
        <f>input_values!Z361</f>
        <v>4</v>
      </c>
      <c r="E361" s="657">
        <v>0.72</v>
      </c>
      <c r="F361" s="31">
        <v>0.54090909090909089</v>
      </c>
      <c r="G361" s="31">
        <v>1.2854999999999999</v>
      </c>
      <c r="H361" s="31">
        <v>0.1916211030657958</v>
      </c>
      <c r="I361" s="31">
        <v>0.44786104466835791</v>
      </c>
      <c r="J361" s="31">
        <v>0.67637080531373817</v>
      </c>
      <c r="K361" s="31">
        <v>0</v>
      </c>
      <c r="L361" s="31">
        <v>0.51200000000000001</v>
      </c>
      <c r="M361" s="31">
        <v>0.57199999999999995</v>
      </c>
      <c r="N361" s="31">
        <v>0.39080459770114945</v>
      </c>
      <c r="O361" s="31">
        <v>0.47260273972602745</v>
      </c>
      <c r="P361" s="31">
        <v>0.22636484687083891</v>
      </c>
      <c r="Q361" s="31">
        <v>0.63329999999999997</v>
      </c>
      <c r="R361" s="587">
        <v>0</v>
      </c>
      <c r="S361" s="31">
        <v>0.29993886961745736</v>
      </c>
      <c r="T361" s="31"/>
      <c r="U361" s="31">
        <v>0.35904255319148937</v>
      </c>
      <c r="V361" s="31">
        <v>0</v>
      </c>
      <c r="W361" s="31">
        <v>0.31557142857142856</v>
      </c>
      <c r="X361" s="31">
        <v>0.36399999999999999</v>
      </c>
      <c r="Y361" s="31">
        <v>0</v>
      </c>
      <c r="Z361" s="31">
        <v>0</v>
      </c>
      <c r="AA361" s="31">
        <v>0.78333333333333333</v>
      </c>
      <c r="AB361" s="31">
        <v>0</v>
      </c>
      <c r="AC361" s="31">
        <v>0.43157894736842101</v>
      </c>
      <c r="AD361" s="31">
        <v>3.5982008995502246E-2</v>
      </c>
      <c r="AE361" s="31">
        <v>0.59433333333333327</v>
      </c>
      <c r="AF361" s="31">
        <v>1.2293333333333334</v>
      </c>
      <c r="AG361" s="31">
        <v>0.89766666666666661</v>
      </c>
      <c r="AH361" s="31">
        <v>1.4520000000000002</v>
      </c>
      <c r="AI361" s="31">
        <v>0.88966666666666672</v>
      </c>
      <c r="AJ361" s="31">
        <v>0.95116666666666672</v>
      </c>
      <c r="AK361" s="663">
        <v>0.24023482413591707</v>
      </c>
      <c r="AL361" s="663">
        <v>0.26767344526533254</v>
      </c>
      <c r="AM361" s="31">
        <v>0.13180800000000001</v>
      </c>
      <c r="AN361" s="584"/>
      <c r="AO361" s="584"/>
      <c r="AP361" s="663"/>
      <c r="AQ361" s="31"/>
      <c r="AR361" s="31"/>
      <c r="AS361" s="31"/>
      <c r="AT361" s="31"/>
      <c r="AU361" s="31"/>
      <c r="AV361" s="31"/>
      <c r="AW361" s="31"/>
      <c r="AX361" s="31"/>
      <c r="AY361" s="31"/>
      <c r="AZ361" s="31">
        <f t="shared" si="76"/>
        <v>1.4520000000000002</v>
      </c>
      <c r="BA361" s="25" t="str">
        <f t="shared" si="77"/>
        <v>GEMS/Food G10</v>
      </c>
      <c r="BB361" s="25">
        <f t="shared" si="78"/>
        <v>0</v>
      </c>
      <c r="BC361" s="25" t="str">
        <f t="shared" si="79"/>
        <v/>
      </c>
    </row>
    <row r="362" spans="1:55" ht="15" customHeight="1" outlineLevel="3" x14ac:dyDescent="0.2">
      <c r="A362" s="39">
        <v>4</v>
      </c>
      <c r="B362" s="23">
        <v>1016020</v>
      </c>
      <c r="C362" s="23" t="s">
        <v>793</v>
      </c>
      <c r="D362" s="22">
        <f>input_values!Z362</f>
        <v>4</v>
      </c>
      <c r="E362" s="657">
        <v>0</v>
      </c>
      <c r="F362" s="31">
        <v>0</v>
      </c>
      <c r="G362" s="31">
        <v>0</v>
      </c>
      <c r="H362" s="31">
        <v>2.6054972468905703E-4</v>
      </c>
      <c r="I362" s="31">
        <v>3.0094127870495402E-4</v>
      </c>
      <c r="J362" s="31">
        <v>1.8457008213836512E-3</v>
      </c>
      <c r="K362" s="31">
        <v>0</v>
      </c>
      <c r="L362" s="31">
        <v>0</v>
      </c>
      <c r="M362" s="31">
        <v>0</v>
      </c>
      <c r="N362" s="31">
        <v>0</v>
      </c>
      <c r="O362" s="31">
        <v>0</v>
      </c>
      <c r="P362" s="31">
        <v>0</v>
      </c>
      <c r="Q362" s="31">
        <v>0</v>
      </c>
      <c r="R362" s="587">
        <v>0</v>
      </c>
      <c r="S362" s="31">
        <v>2.1403465382501051E-3</v>
      </c>
      <c r="T362" s="31"/>
      <c r="U362" s="31">
        <v>0</v>
      </c>
      <c r="V362" s="31">
        <v>0</v>
      </c>
      <c r="W362" s="31">
        <v>0</v>
      </c>
      <c r="X362" s="31">
        <v>0</v>
      </c>
      <c r="Y362" s="31">
        <v>0</v>
      </c>
      <c r="Z362" s="31">
        <v>0</v>
      </c>
      <c r="AA362" s="31">
        <v>0</v>
      </c>
      <c r="AB362" s="31">
        <v>0</v>
      </c>
      <c r="AC362" s="31">
        <v>0</v>
      </c>
      <c r="AD362" s="31">
        <v>0</v>
      </c>
      <c r="AE362" s="31">
        <v>1.6666666666666668E-3</v>
      </c>
      <c r="AF362" s="31">
        <v>1.6666666666666668E-3</v>
      </c>
      <c r="AG362" s="31">
        <v>1.6666666666666668E-3</v>
      </c>
      <c r="AH362" s="31">
        <v>1.6666666666666668E-3</v>
      </c>
      <c r="AI362" s="31">
        <v>1.1833333333333333E-2</v>
      </c>
      <c r="AJ362" s="31">
        <v>5.3333333333333332E-3</v>
      </c>
      <c r="AK362" s="663">
        <v>1.3809194042511258E-4</v>
      </c>
      <c r="AL362" s="663">
        <v>9.7601670240683689E-5</v>
      </c>
      <c r="AM362" s="31">
        <v>4.0620900000000001E-2</v>
      </c>
      <c r="AN362" s="584"/>
      <c r="AO362" s="584"/>
      <c r="AP362" s="663"/>
      <c r="AQ362" s="31"/>
      <c r="AR362" s="31"/>
      <c r="AS362" s="31"/>
      <c r="AT362" s="31"/>
      <c r="AU362" s="31"/>
      <c r="AV362" s="31"/>
      <c r="AW362" s="31"/>
      <c r="AX362" s="31"/>
      <c r="AY362" s="31"/>
      <c r="AZ362" s="31">
        <f t="shared" si="76"/>
        <v>4.0620900000000001E-2</v>
      </c>
      <c r="BA362" s="25" t="str">
        <f t="shared" si="77"/>
        <v>IE child</v>
      </c>
      <c r="BB362" s="25">
        <f t="shared" si="78"/>
        <v>0</v>
      </c>
      <c r="BC362" s="25" t="str">
        <f t="shared" si="79"/>
        <v/>
      </c>
    </row>
    <row r="363" spans="1:55" ht="15" customHeight="1" outlineLevel="3" x14ac:dyDescent="0.2">
      <c r="A363" s="39">
        <v>4</v>
      </c>
      <c r="B363" s="23">
        <v>1016030</v>
      </c>
      <c r="C363" s="23" t="s">
        <v>201</v>
      </c>
      <c r="D363" s="22">
        <f>input_values!Z363</f>
        <v>4</v>
      </c>
      <c r="E363" s="657">
        <v>0</v>
      </c>
      <c r="F363" s="31">
        <v>0</v>
      </c>
      <c r="G363" s="31">
        <v>0</v>
      </c>
      <c r="H363" s="31">
        <v>0</v>
      </c>
      <c r="I363" s="31">
        <v>4.0253942616147349E-2</v>
      </c>
      <c r="J363" s="31">
        <v>1.6773302305707057E-2</v>
      </c>
      <c r="K363" s="31">
        <v>0</v>
      </c>
      <c r="L363" s="31">
        <v>0</v>
      </c>
      <c r="M363" s="31">
        <v>0</v>
      </c>
      <c r="N363" s="31">
        <v>0</v>
      </c>
      <c r="O363" s="31">
        <v>0</v>
      </c>
      <c r="P363" s="31">
        <v>0</v>
      </c>
      <c r="Q363" s="31">
        <v>0</v>
      </c>
      <c r="R363" s="587">
        <v>0</v>
      </c>
      <c r="S363" s="31">
        <v>1.0506874706804935E-2</v>
      </c>
      <c r="T363" s="31"/>
      <c r="U363" s="31">
        <v>0</v>
      </c>
      <c r="V363" s="31">
        <v>0</v>
      </c>
      <c r="W363" s="31">
        <v>0</v>
      </c>
      <c r="X363" s="31">
        <v>1E-3</v>
      </c>
      <c r="Y363" s="31">
        <v>0</v>
      </c>
      <c r="Z363" s="31">
        <v>0</v>
      </c>
      <c r="AA363" s="31">
        <v>0</v>
      </c>
      <c r="AB363" s="31">
        <v>0</v>
      </c>
      <c r="AC363" s="31">
        <v>0</v>
      </c>
      <c r="AD363" s="31">
        <v>0</v>
      </c>
      <c r="AE363" s="31">
        <v>1.6666666666666668E-3</v>
      </c>
      <c r="AF363" s="31">
        <v>5.5000000000000005E-3</v>
      </c>
      <c r="AG363" s="31">
        <v>1.2E-2</v>
      </c>
      <c r="AH363" s="31">
        <v>5.8333333333333327E-3</v>
      </c>
      <c r="AI363" s="31">
        <v>1.3333333333333334E-2</v>
      </c>
      <c r="AJ363" s="31">
        <v>1.6166666666666666E-2</v>
      </c>
      <c r="AK363" s="663">
        <v>4.2847319608855655E-3</v>
      </c>
      <c r="AL363" s="663">
        <v>2.8531321920054488E-3</v>
      </c>
      <c r="AM363" s="31">
        <v>0</v>
      </c>
      <c r="AN363" s="584"/>
      <c r="AO363" s="584"/>
      <c r="AP363" s="663"/>
      <c r="AQ363" s="31"/>
      <c r="AR363" s="31"/>
      <c r="AS363" s="31"/>
      <c r="AT363" s="31"/>
      <c r="AU363" s="31"/>
      <c r="AV363" s="31"/>
      <c r="AW363" s="31"/>
      <c r="AX363" s="31"/>
      <c r="AY363" s="31"/>
      <c r="AZ363" s="31">
        <f t="shared" si="76"/>
        <v>4.0253942616147349E-2</v>
      </c>
      <c r="BA363" s="25" t="str">
        <f t="shared" si="77"/>
        <v>FR toddler 2 3 yr</v>
      </c>
      <c r="BB363" s="25">
        <f t="shared" si="78"/>
        <v>0</v>
      </c>
      <c r="BC363" s="25" t="str">
        <f t="shared" si="79"/>
        <v/>
      </c>
    </row>
    <row r="364" spans="1:55" ht="15" customHeight="1" outlineLevel="3" x14ac:dyDescent="0.2">
      <c r="A364" s="39">
        <v>4</v>
      </c>
      <c r="B364" s="23">
        <v>1016040</v>
      </c>
      <c r="C364" s="23" t="s">
        <v>147</v>
      </c>
      <c r="D364" s="22">
        <f>input_values!Z364</f>
        <v>4</v>
      </c>
      <c r="E364" s="657">
        <v>0</v>
      </c>
      <c r="F364" s="31">
        <v>0</v>
      </c>
      <c r="G364" s="31">
        <v>0</v>
      </c>
      <c r="H364" s="31">
        <v>0</v>
      </c>
      <c r="I364" s="31">
        <v>0</v>
      </c>
      <c r="J364" s="31">
        <v>1.5193408741795836E-3</v>
      </c>
      <c r="K364" s="31">
        <v>0</v>
      </c>
      <c r="L364" s="31">
        <v>0</v>
      </c>
      <c r="M364" s="31">
        <v>0</v>
      </c>
      <c r="N364" s="31">
        <v>0</v>
      </c>
      <c r="O364" s="31">
        <v>0</v>
      </c>
      <c r="P364" s="31">
        <v>0</v>
      </c>
      <c r="Q364" s="31">
        <v>0</v>
      </c>
      <c r="R364" s="587">
        <v>0</v>
      </c>
      <c r="S364" s="31">
        <v>2.6763119822277755E-3</v>
      </c>
      <c r="T364" s="31"/>
      <c r="U364" s="31">
        <v>0</v>
      </c>
      <c r="V364" s="31">
        <v>0</v>
      </c>
      <c r="W364" s="31">
        <v>0</v>
      </c>
      <c r="X364" s="31">
        <v>0</v>
      </c>
      <c r="Y364" s="31">
        <v>0</v>
      </c>
      <c r="Z364" s="31">
        <v>0</v>
      </c>
      <c r="AA364" s="31">
        <v>0</v>
      </c>
      <c r="AB364" s="31">
        <v>0</v>
      </c>
      <c r="AC364" s="31">
        <v>0</v>
      </c>
      <c r="AD364" s="31">
        <v>0</v>
      </c>
      <c r="AE364" s="31"/>
      <c r="AF364" s="31"/>
      <c r="AG364" s="31"/>
      <c r="AH364" s="31"/>
      <c r="AI364" s="31"/>
      <c r="AJ364" s="31"/>
      <c r="AK364" s="663">
        <v>0</v>
      </c>
      <c r="AL364" s="663">
        <v>0</v>
      </c>
      <c r="AM364" s="31">
        <v>0</v>
      </c>
      <c r="AN364" s="584"/>
      <c r="AO364" s="584"/>
      <c r="AP364" s="663"/>
      <c r="AQ364" s="31"/>
      <c r="AR364" s="31"/>
      <c r="AS364" s="31"/>
      <c r="AT364" s="31"/>
      <c r="AU364" s="31"/>
      <c r="AV364" s="31"/>
      <c r="AW364" s="31"/>
      <c r="AX364" s="31"/>
      <c r="AY364" s="31"/>
      <c r="AZ364" s="31">
        <f t="shared" si="76"/>
        <v>2.6763119822277755E-3</v>
      </c>
      <c r="BA364" s="25" t="str">
        <f t="shared" si="77"/>
        <v>FR adult</v>
      </c>
      <c r="BB364" s="25">
        <f t="shared" si="78"/>
        <v>0</v>
      </c>
      <c r="BC364" s="25" t="str">
        <f t="shared" si="79"/>
        <v/>
      </c>
    </row>
    <row r="365" spans="1:55" ht="15" customHeight="1" outlineLevel="3" x14ac:dyDescent="0.2">
      <c r="A365" s="39">
        <v>4</v>
      </c>
      <c r="B365" s="23">
        <v>1016050</v>
      </c>
      <c r="C365" s="23" t="s">
        <v>803</v>
      </c>
      <c r="D365" s="22">
        <f>input_values!Z365</f>
        <v>4</v>
      </c>
      <c r="E365" s="657">
        <v>0</v>
      </c>
      <c r="F365" s="31">
        <v>0</v>
      </c>
      <c r="G365" s="31">
        <v>0</v>
      </c>
      <c r="H365" s="31">
        <v>0</v>
      </c>
      <c r="I365" s="31">
        <v>0</v>
      </c>
      <c r="J365" s="31">
        <v>0</v>
      </c>
      <c r="K365" s="31">
        <v>0</v>
      </c>
      <c r="L365" s="31">
        <v>0</v>
      </c>
      <c r="M365" s="31">
        <v>0</v>
      </c>
      <c r="N365" s="31">
        <v>0</v>
      </c>
      <c r="O365" s="31">
        <v>0</v>
      </c>
      <c r="P365" s="31">
        <v>0</v>
      </c>
      <c r="Q365" s="31">
        <v>0</v>
      </c>
      <c r="R365" s="587">
        <v>0</v>
      </c>
      <c r="S365" s="31">
        <v>0</v>
      </c>
      <c r="T365" s="31"/>
      <c r="U365" s="31">
        <v>0</v>
      </c>
      <c r="V365" s="31">
        <v>0</v>
      </c>
      <c r="W365" s="31">
        <v>0</v>
      </c>
      <c r="X365" s="31">
        <v>0</v>
      </c>
      <c r="Y365" s="31">
        <v>0</v>
      </c>
      <c r="Z365" s="31">
        <v>0</v>
      </c>
      <c r="AA365" s="31">
        <v>0</v>
      </c>
      <c r="AB365" s="31">
        <v>0</v>
      </c>
      <c r="AC365" s="31">
        <v>0</v>
      </c>
      <c r="AD365" s="31">
        <v>0</v>
      </c>
      <c r="AE365" s="31"/>
      <c r="AF365" s="31"/>
      <c r="AG365" s="31"/>
      <c r="AH365" s="31"/>
      <c r="AI365" s="31"/>
      <c r="AJ365" s="31"/>
      <c r="AK365" s="663">
        <v>9.5314609652995459E-4</v>
      </c>
      <c r="AL365" s="663">
        <v>1.4535508898466502E-4</v>
      </c>
      <c r="AM365" s="31">
        <v>0</v>
      </c>
      <c r="AN365" s="584"/>
      <c r="AO365" s="584"/>
      <c r="AP365" s="663"/>
      <c r="AQ365" s="31"/>
      <c r="AR365" s="31"/>
      <c r="AS365" s="31"/>
      <c r="AT365" s="31"/>
      <c r="AU365" s="31"/>
      <c r="AV365" s="31"/>
      <c r="AW365" s="31"/>
      <c r="AX365" s="31"/>
      <c r="AY365" s="31"/>
      <c r="AZ365" s="31">
        <f t="shared" si="76"/>
        <v>9.5314609652995459E-4</v>
      </c>
      <c r="BA365" s="25" t="str">
        <f t="shared" si="77"/>
        <v>DE general</v>
      </c>
      <c r="BB365" s="25">
        <f t="shared" si="78"/>
        <v>0</v>
      </c>
      <c r="BC365" s="25" t="str">
        <f t="shared" si="79"/>
        <v/>
      </c>
    </row>
    <row r="366" spans="1:55" ht="15" customHeight="1" outlineLevel="3" x14ac:dyDescent="0.2">
      <c r="A366" s="39">
        <v>4</v>
      </c>
      <c r="B366" s="23">
        <v>1016990</v>
      </c>
      <c r="C366" s="23" t="s">
        <v>638</v>
      </c>
      <c r="D366" s="22">
        <f>input_values!Z366</f>
        <v>4</v>
      </c>
      <c r="E366" s="657">
        <v>0</v>
      </c>
      <c r="F366" s="31"/>
      <c r="G366" s="31">
        <v>0</v>
      </c>
      <c r="H366" s="31">
        <v>0</v>
      </c>
      <c r="I366" s="31">
        <v>0</v>
      </c>
      <c r="J366" s="31">
        <v>0</v>
      </c>
      <c r="K366" s="31">
        <v>0</v>
      </c>
      <c r="L366" s="31">
        <v>0</v>
      </c>
      <c r="M366" s="31">
        <v>0</v>
      </c>
      <c r="N366" s="31">
        <v>0</v>
      </c>
      <c r="O366" s="31">
        <v>0</v>
      </c>
      <c r="P366" s="31">
        <v>0</v>
      </c>
      <c r="Q366" s="31">
        <v>0</v>
      </c>
      <c r="R366" s="587">
        <v>0</v>
      </c>
      <c r="S366" s="31">
        <v>0</v>
      </c>
      <c r="T366" s="31"/>
      <c r="U366" s="31">
        <v>0</v>
      </c>
      <c r="V366" s="31">
        <v>0</v>
      </c>
      <c r="W366" s="31">
        <v>0</v>
      </c>
      <c r="X366" s="31">
        <v>0</v>
      </c>
      <c r="Y366" s="31">
        <v>0</v>
      </c>
      <c r="Z366" s="31">
        <v>0</v>
      </c>
      <c r="AA366" s="31">
        <v>0</v>
      </c>
      <c r="AB366" s="31">
        <v>0</v>
      </c>
      <c r="AC366" s="31">
        <v>0</v>
      </c>
      <c r="AD366" s="31">
        <v>0</v>
      </c>
      <c r="AE366" s="31"/>
      <c r="AF366" s="31"/>
      <c r="AG366" s="31"/>
      <c r="AH366" s="31"/>
      <c r="AI366" s="31"/>
      <c r="AJ366" s="31"/>
      <c r="AK366" s="663">
        <v>0</v>
      </c>
      <c r="AL366" s="663">
        <v>0</v>
      </c>
      <c r="AM366" s="31">
        <v>0</v>
      </c>
      <c r="AN366" s="584"/>
      <c r="AO366" s="584"/>
      <c r="AP366" s="663"/>
      <c r="AQ366" s="31"/>
      <c r="AR366" s="31"/>
      <c r="AS366" s="31"/>
      <c r="AT366" s="31"/>
      <c r="AU366" s="31"/>
      <c r="AV366" s="31"/>
      <c r="AW366" s="31"/>
      <c r="AX366" s="31"/>
      <c r="AY366" s="31"/>
      <c r="AZ366" s="31">
        <f t="shared" si="76"/>
        <v>0</v>
      </c>
      <c r="BA366" s="25" t="str">
        <f t="shared" si="77"/>
        <v>DE child</v>
      </c>
      <c r="BB366" s="25">
        <f t="shared" si="78"/>
        <v>0</v>
      </c>
      <c r="BC366" s="25" t="str">
        <f t="shared" si="79"/>
        <v/>
      </c>
    </row>
    <row r="367" spans="1:55" ht="15" customHeight="1" outlineLevel="2" x14ac:dyDescent="0.2">
      <c r="A367" s="133">
        <v>3</v>
      </c>
      <c r="B367" s="5">
        <v>1017000</v>
      </c>
      <c r="C367" s="5" t="s">
        <v>804</v>
      </c>
      <c r="D367" s="82">
        <f>input_values!Z367</f>
        <v>4</v>
      </c>
      <c r="E367" s="655">
        <f>SUM(E368:E373)</f>
        <v>0.01</v>
      </c>
      <c r="F367" s="49">
        <f t="shared" ref="F367:AO367" si="84">SUM(F368:F373)</f>
        <v>0</v>
      </c>
      <c r="G367" s="49">
        <f t="shared" si="84"/>
        <v>7.6399999999999996E-2</v>
      </c>
      <c r="H367" s="49">
        <f t="shared" si="84"/>
        <v>3.3085948393110604E-2</v>
      </c>
      <c r="I367" s="49">
        <f t="shared" si="84"/>
        <v>1.6225556193389046E-2</v>
      </c>
      <c r="J367" s="49">
        <f t="shared" si="84"/>
        <v>7.1135908946925452E-2</v>
      </c>
      <c r="K367" s="49">
        <f t="shared" si="84"/>
        <v>0</v>
      </c>
      <c r="L367" s="49">
        <f t="shared" si="84"/>
        <v>0</v>
      </c>
      <c r="M367" s="49">
        <f t="shared" si="84"/>
        <v>0</v>
      </c>
      <c r="N367" s="49">
        <f t="shared" si="84"/>
        <v>0</v>
      </c>
      <c r="O367" s="49">
        <f t="shared" si="84"/>
        <v>0</v>
      </c>
      <c r="P367" s="49">
        <f t="shared" si="84"/>
        <v>0</v>
      </c>
      <c r="Q367" s="49">
        <f t="shared" si="84"/>
        <v>6.5000000000000002E-2</v>
      </c>
      <c r="R367" s="49">
        <f t="shared" si="84"/>
        <v>0</v>
      </c>
      <c r="S367" s="49">
        <f t="shared" si="84"/>
        <v>5.5547991992045784E-2</v>
      </c>
      <c r="T367" s="49"/>
      <c r="U367" s="49">
        <f t="shared" si="84"/>
        <v>0.26462765957446804</v>
      </c>
      <c r="V367" s="49">
        <f t="shared" si="84"/>
        <v>0</v>
      </c>
      <c r="W367" s="49">
        <f t="shared" si="84"/>
        <v>0</v>
      </c>
      <c r="X367" s="49">
        <f t="shared" si="84"/>
        <v>4.0000000000000001E-3</v>
      </c>
      <c r="Y367" s="49">
        <f t="shared" si="84"/>
        <v>0</v>
      </c>
      <c r="Z367" s="49">
        <f t="shared" si="84"/>
        <v>0</v>
      </c>
      <c r="AA367" s="49">
        <f t="shared" si="84"/>
        <v>0</v>
      </c>
      <c r="AB367" s="49">
        <f t="shared" si="84"/>
        <v>0</v>
      </c>
      <c r="AC367" s="49">
        <f t="shared" si="84"/>
        <v>0</v>
      </c>
      <c r="AD367" s="49">
        <f t="shared" si="84"/>
        <v>0</v>
      </c>
      <c r="AE367" s="49">
        <f t="shared" si="84"/>
        <v>0</v>
      </c>
      <c r="AF367" s="49">
        <f t="shared" si="84"/>
        <v>0</v>
      </c>
      <c r="AG367" s="49">
        <f t="shared" si="84"/>
        <v>0</v>
      </c>
      <c r="AH367" s="49">
        <f t="shared" si="84"/>
        <v>0</v>
      </c>
      <c r="AI367" s="49">
        <f t="shared" si="84"/>
        <v>0</v>
      </c>
      <c r="AJ367" s="49">
        <f t="shared" si="84"/>
        <v>0</v>
      </c>
      <c r="AK367" s="49">
        <f t="shared" si="84"/>
        <v>5.1143909268087312E-3</v>
      </c>
      <c r="AL367" s="49">
        <f t="shared" si="84"/>
        <v>2.5041222610237778E-3</v>
      </c>
      <c r="AM367" s="49">
        <f t="shared" si="84"/>
        <v>0</v>
      </c>
      <c r="AN367" s="49">
        <f t="shared" si="84"/>
        <v>0</v>
      </c>
      <c r="AO367" s="49">
        <f t="shared" si="84"/>
        <v>0</v>
      </c>
      <c r="AP367" s="49"/>
      <c r="AQ367" s="49"/>
      <c r="AR367" s="49"/>
      <c r="AS367" s="49"/>
      <c r="AT367" s="49"/>
      <c r="AU367" s="49"/>
      <c r="AV367" s="49"/>
      <c r="AW367" s="49"/>
      <c r="AX367" s="49" t="s">
        <v>369</v>
      </c>
      <c r="AY367" s="49"/>
      <c r="AZ367" s="49">
        <f t="shared" si="76"/>
        <v>0.26462765957446804</v>
      </c>
      <c r="BA367" s="6" t="str">
        <f t="shared" si="77"/>
        <v>IE adult</v>
      </c>
      <c r="BB367" s="6">
        <f t="shared" si="78"/>
        <v>0</v>
      </c>
      <c r="BC367" s="6" t="str">
        <f t="shared" si="79"/>
        <v/>
      </c>
    </row>
    <row r="368" spans="1:55" ht="15" customHeight="1" outlineLevel="3" x14ac:dyDescent="0.2">
      <c r="A368" s="39">
        <v>4</v>
      </c>
      <c r="B368" s="23">
        <v>1017010</v>
      </c>
      <c r="C368" s="23" t="s">
        <v>868</v>
      </c>
      <c r="D368" s="22">
        <f>input_values!Z369</f>
        <v>4</v>
      </c>
      <c r="E368" s="657">
        <v>0.01</v>
      </c>
      <c r="F368" s="31">
        <v>0</v>
      </c>
      <c r="G368" s="31">
        <v>7.6399999999999996E-2</v>
      </c>
      <c r="H368" s="31">
        <v>3.0372027575741509E-2</v>
      </c>
      <c r="I368" s="31">
        <v>1.6025682740070712E-2</v>
      </c>
      <c r="J368" s="31">
        <v>7.0228235367688185E-2</v>
      </c>
      <c r="K368" s="31">
        <v>0</v>
      </c>
      <c r="L368" s="31">
        <v>0</v>
      </c>
      <c r="M368" s="31">
        <v>0</v>
      </c>
      <c r="N368" s="31">
        <v>0</v>
      </c>
      <c r="O368" s="31">
        <v>0</v>
      </c>
      <c r="P368" s="31">
        <v>0</v>
      </c>
      <c r="Q368" s="31">
        <v>6.5000000000000002E-2</v>
      </c>
      <c r="R368" s="587">
        <v>0</v>
      </c>
      <c r="S368" s="31">
        <v>5.4850120381831263E-2</v>
      </c>
      <c r="T368" s="31"/>
      <c r="U368" s="31">
        <v>0.26462765957446804</v>
      </c>
      <c r="V368" s="31">
        <v>0</v>
      </c>
      <c r="W368" s="31">
        <v>0</v>
      </c>
      <c r="X368" s="31">
        <v>4.0000000000000001E-3</v>
      </c>
      <c r="Y368" s="31">
        <v>0</v>
      </c>
      <c r="Z368" s="31">
        <v>0</v>
      </c>
      <c r="AA368" s="31">
        <v>0</v>
      </c>
      <c r="AB368" s="31">
        <v>0</v>
      </c>
      <c r="AC368" s="31">
        <v>0</v>
      </c>
      <c r="AD368" s="31">
        <v>0</v>
      </c>
      <c r="AE368" s="31"/>
      <c r="AF368" s="31"/>
      <c r="AG368" s="31"/>
      <c r="AH368" s="31"/>
      <c r="AI368" s="31"/>
      <c r="AJ368" s="31"/>
      <c r="AK368" s="663">
        <v>5.1143909268087312E-3</v>
      </c>
      <c r="AL368" s="663">
        <v>2.5041222610237778E-3</v>
      </c>
      <c r="AM368" s="31">
        <v>0</v>
      </c>
      <c r="AN368" s="584"/>
      <c r="AO368" s="584"/>
      <c r="AP368" s="663"/>
      <c r="AQ368" s="31"/>
      <c r="AR368" s="31"/>
      <c r="AS368" s="31"/>
      <c r="AT368" s="31"/>
      <c r="AU368" s="31"/>
      <c r="AV368" s="31"/>
      <c r="AW368" s="31"/>
      <c r="AX368" s="31"/>
      <c r="AY368" s="31"/>
      <c r="AZ368" s="31">
        <f t="shared" si="76"/>
        <v>0.26462765957446804</v>
      </c>
      <c r="BA368" s="25" t="str">
        <f t="shared" si="77"/>
        <v>IE adult</v>
      </c>
      <c r="BB368" s="25">
        <f t="shared" si="78"/>
        <v>0</v>
      </c>
      <c r="BC368" s="25" t="str">
        <f t="shared" si="79"/>
        <v/>
      </c>
    </row>
    <row r="369" spans="1:55" ht="15" customHeight="1" outlineLevel="3" x14ac:dyDescent="0.2">
      <c r="A369" s="39">
        <v>4</v>
      </c>
      <c r="B369" s="23">
        <v>1017020</v>
      </c>
      <c r="C369" s="23" t="s">
        <v>805</v>
      </c>
      <c r="D369" s="22">
        <f>input_values!Z369</f>
        <v>4</v>
      </c>
      <c r="E369" s="657">
        <v>0</v>
      </c>
      <c r="F369" s="31">
        <v>0</v>
      </c>
      <c r="G369" s="31">
        <v>0</v>
      </c>
      <c r="H369" s="31">
        <v>0</v>
      </c>
      <c r="I369" s="31">
        <v>0</v>
      </c>
      <c r="J369" s="31">
        <v>0</v>
      </c>
      <c r="K369" s="31">
        <v>0</v>
      </c>
      <c r="L369" s="31">
        <v>0</v>
      </c>
      <c r="M369" s="31">
        <v>0</v>
      </c>
      <c r="N369" s="31">
        <v>0</v>
      </c>
      <c r="O369" s="31">
        <v>0</v>
      </c>
      <c r="P369" s="31">
        <v>0</v>
      </c>
      <c r="Q369" s="31">
        <v>0</v>
      </c>
      <c r="R369" s="587">
        <v>0</v>
      </c>
      <c r="S369" s="31">
        <v>0</v>
      </c>
      <c r="T369" s="31"/>
      <c r="U369" s="31">
        <v>0</v>
      </c>
      <c r="V369" s="31">
        <v>0</v>
      </c>
      <c r="W369" s="31">
        <v>0</v>
      </c>
      <c r="X369" s="31">
        <v>0</v>
      </c>
      <c r="Y369" s="31">
        <v>0</v>
      </c>
      <c r="Z369" s="31">
        <v>0</v>
      </c>
      <c r="AA369" s="31">
        <v>0</v>
      </c>
      <c r="AB369" s="31">
        <v>0</v>
      </c>
      <c r="AC369" s="31">
        <v>0</v>
      </c>
      <c r="AD369" s="31">
        <v>0</v>
      </c>
      <c r="AE369" s="31"/>
      <c r="AF369" s="31"/>
      <c r="AG369" s="31"/>
      <c r="AH369" s="31"/>
      <c r="AI369" s="31"/>
      <c r="AJ369" s="31"/>
      <c r="AK369" s="663">
        <v>0</v>
      </c>
      <c r="AL369" s="663">
        <v>0</v>
      </c>
      <c r="AM369" s="31">
        <v>0</v>
      </c>
      <c r="AN369" s="584"/>
      <c r="AO369" s="584"/>
      <c r="AP369" s="663"/>
      <c r="AQ369" s="31"/>
      <c r="AR369" s="31"/>
      <c r="AS369" s="31"/>
      <c r="AT369" s="31"/>
      <c r="AU369" s="31"/>
      <c r="AV369" s="31"/>
      <c r="AW369" s="31"/>
      <c r="AX369" s="31"/>
      <c r="AY369" s="31"/>
      <c r="AZ369" s="31">
        <f t="shared" si="76"/>
        <v>0</v>
      </c>
      <c r="BA369" s="25" t="str">
        <f t="shared" si="77"/>
        <v>DE child</v>
      </c>
      <c r="BB369" s="25">
        <f t="shared" si="78"/>
        <v>0</v>
      </c>
      <c r="BC369" s="25" t="str">
        <f t="shared" si="79"/>
        <v/>
      </c>
    </row>
    <row r="370" spans="1:55" ht="15" customHeight="1" outlineLevel="3" x14ac:dyDescent="0.2">
      <c r="A370" s="39">
        <v>4</v>
      </c>
      <c r="B370" s="23">
        <v>1017030</v>
      </c>
      <c r="C370" s="23" t="s">
        <v>806</v>
      </c>
      <c r="D370" s="22">
        <f>input_values!Z370</f>
        <v>4</v>
      </c>
      <c r="E370" s="657">
        <v>0</v>
      </c>
      <c r="F370" s="31">
        <v>0</v>
      </c>
      <c r="G370" s="31">
        <v>0</v>
      </c>
      <c r="H370" s="31">
        <v>0</v>
      </c>
      <c r="I370" s="31">
        <v>0</v>
      </c>
      <c r="J370" s="31">
        <v>0</v>
      </c>
      <c r="K370" s="31">
        <v>0</v>
      </c>
      <c r="L370" s="31">
        <v>0</v>
      </c>
      <c r="M370" s="31">
        <v>0</v>
      </c>
      <c r="N370" s="31">
        <v>0</v>
      </c>
      <c r="O370" s="31">
        <v>0</v>
      </c>
      <c r="P370" s="31">
        <v>0</v>
      </c>
      <c r="Q370" s="31">
        <v>0</v>
      </c>
      <c r="R370" s="587">
        <v>0</v>
      </c>
      <c r="S370" s="31">
        <v>0</v>
      </c>
      <c r="T370" s="31"/>
      <c r="U370" s="31">
        <v>0</v>
      </c>
      <c r="V370" s="31">
        <v>0</v>
      </c>
      <c r="W370" s="31">
        <v>0</v>
      </c>
      <c r="X370" s="31">
        <v>0</v>
      </c>
      <c r="Y370" s="31">
        <v>0</v>
      </c>
      <c r="Z370" s="31">
        <v>0</v>
      </c>
      <c r="AA370" s="31">
        <v>0</v>
      </c>
      <c r="AB370" s="31">
        <v>0</v>
      </c>
      <c r="AC370" s="31">
        <v>0</v>
      </c>
      <c r="AD370" s="31">
        <v>0</v>
      </c>
      <c r="AE370" s="31"/>
      <c r="AF370" s="31"/>
      <c r="AG370" s="31"/>
      <c r="AH370" s="31"/>
      <c r="AI370" s="31"/>
      <c r="AJ370" s="31"/>
      <c r="AK370" s="663">
        <v>0</v>
      </c>
      <c r="AL370" s="663">
        <v>0</v>
      </c>
      <c r="AM370" s="31">
        <v>0</v>
      </c>
      <c r="AN370" s="584"/>
      <c r="AO370" s="584"/>
      <c r="AP370" s="663"/>
      <c r="AQ370" s="31"/>
      <c r="AR370" s="31"/>
      <c r="AS370" s="31"/>
      <c r="AT370" s="31"/>
      <c r="AU370" s="31"/>
      <c r="AV370" s="31"/>
      <c r="AW370" s="31"/>
      <c r="AX370" s="31"/>
      <c r="AY370" s="31"/>
      <c r="AZ370" s="31">
        <f t="shared" si="76"/>
        <v>0</v>
      </c>
      <c r="BA370" s="25" t="str">
        <f t="shared" si="77"/>
        <v>DE child</v>
      </c>
      <c r="BB370" s="25">
        <f t="shared" si="78"/>
        <v>0</v>
      </c>
      <c r="BC370" s="25" t="str">
        <f t="shared" si="79"/>
        <v/>
      </c>
    </row>
    <row r="371" spans="1:55" ht="15" customHeight="1" outlineLevel="3" x14ac:dyDescent="0.2">
      <c r="A371" s="39">
        <v>4</v>
      </c>
      <c r="B371" s="23">
        <v>1017040</v>
      </c>
      <c r="C371" s="23" t="s">
        <v>807</v>
      </c>
      <c r="D371" s="22">
        <f>input_values!Z371</f>
        <v>4</v>
      </c>
      <c r="E371" s="657">
        <v>0</v>
      </c>
      <c r="F371" s="31">
        <v>0</v>
      </c>
      <c r="G371" s="31">
        <v>0</v>
      </c>
      <c r="H371" s="31">
        <v>0</v>
      </c>
      <c r="I371" s="31">
        <v>0</v>
      </c>
      <c r="J371" s="31">
        <v>0</v>
      </c>
      <c r="K371" s="31">
        <v>0</v>
      </c>
      <c r="L371" s="31">
        <v>0</v>
      </c>
      <c r="M371" s="31">
        <v>0</v>
      </c>
      <c r="N371" s="31">
        <v>0</v>
      </c>
      <c r="O371" s="31">
        <v>0</v>
      </c>
      <c r="P371" s="31">
        <v>0</v>
      </c>
      <c r="Q371" s="31">
        <v>0</v>
      </c>
      <c r="R371" s="587">
        <v>0</v>
      </c>
      <c r="S371" s="31">
        <v>0</v>
      </c>
      <c r="T371" s="31"/>
      <c r="U371" s="31">
        <v>0</v>
      </c>
      <c r="V371" s="31">
        <v>0</v>
      </c>
      <c r="W371" s="31">
        <v>0</v>
      </c>
      <c r="X371" s="31">
        <v>0</v>
      </c>
      <c r="Y371" s="31">
        <v>0</v>
      </c>
      <c r="Z371" s="31">
        <v>0</v>
      </c>
      <c r="AA371" s="31">
        <v>0</v>
      </c>
      <c r="AB371" s="31">
        <v>0</v>
      </c>
      <c r="AC371" s="31">
        <v>0</v>
      </c>
      <c r="AD371" s="31">
        <v>0</v>
      </c>
      <c r="AE371" s="31"/>
      <c r="AF371" s="31"/>
      <c r="AG371" s="31"/>
      <c r="AH371" s="31"/>
      <c r="AI371" s="31"/>
      <c r="AJ371" s="31"/>
      <c r="AK371" s="663">
        <v>0</v>
      </c>
      <c r="AL371" s="663">
        <v>0</v>
      </c>
      <c r="AM371" s="31">
        <v>0</v>
      </c>
      <c r="AN371" s="584"/>
      <c r="AO371" s="584"/>
      <c r="AP371" s="663"/>
      <c r="AQ371" s="31"/>
      <c r="AR371" s="31"/>
      <c r="AS371" s="31"/>
      <c r="AT371" s="31"/>
      <c r="AU371" s="31"/>
      <c r="AV371" s="31"/>
      <c r="AW371" s="31"/>
      <c r="AX371" s="31"/>
      <c r="AY371" s="31"/>
      <c r="AZ371" s="31">
        <f t="shared" si="76"/>
        <v>0</v>
      </c>
      <c r="BA371" s="25" t="str">
        <f t="shared" si="77"/>
        <v>DE child</v>
      </c>
      <c r="BB371" s="25">
        <f t="shared" si="78"/>
        <v>0</v>
      </c>
      <c r="BC371" s="25" t="str">
        <f t="shared" si="79"/>
        <v/>
      </c>
    </row>
    <row r="372" spans="1:55" ht="15" customHeight="1" outlineLevel="3" x14ac:dyDescent="0.2">
      <c r="A372" s="39">
        <v>4</v>
      </c>
      <c r="B372" s="23">
        <v>1017050</v>
      </c>
      <c r="C372" s="23" t="s">
        <v>809</v>
      </c>
      <c r="D372" s="22">
        <f>input_values!Z372</f>
        <v>4</v>
      </c>
      <c r="E372" s="657">
        <v>0</v>
      </c>
      <c r="F372" s="31">
        <v>0</v>
      </c>
      <c r="G372" s="31">
        <v>0</v>
      </c>
      <c r="H372" s="31">
        <v>2.7139208173690929E-3</v>
      </c>
      <c r="I372" s="31">
        <v>0</v>
      </c>
      <c r="J372" s="31">
        <v>0</v>
      </c>
      <c r="K372" s="31">
        <v>0</v>
      </c>
      <c r="L372" s="31">
        <v>0</v>
      </c>
      <c r="M372" s="31">
        <v>0</v>
      </c>
      <c r="N372" s="31">
        <v>0</v>
      </c>
      <c r="O372" s="31">
        <v>0</v>
      </c>
      <c r="P372" s="31">
        <v>0</v>
      </c>
      <c r="Q372" s="31">
        <v>0</v>
      </c>
      <c r="R372" s="587">
        <v>0</v>
      </c>
      <c r="S372" s="31">
        <v>0</v>
      </c>
      <c r="T372" s="31"/>
      <c r="U372" s="31">
        <v>0</v>
      </c>
      <c r="V372" s="31">
        <v>0</v>
      </c>
      <c r="W372" s="31">
        <v>0</v>
      </c>
      <c r="X372" s="31">
        <v>0</v>
      </c>
      <c r="Y372" s="31">
        <v>0</v>
      </c>
      <c r="Z372" s="31">
        <v>0</v>
      </c>
      <c r="AA372" s="31">
        <v>0</v>
      </c>
      <c r="AB372" s="31">
        <v>0</v>
      </c>
      <c r="AC372" s="31">
        <v>0</v>
      </c>
      <c r="AD372" s="31">
        <v>0</v>
      </c>
      <c r="AE372" s="31"/>
      <c r="AF372" s="31"/>
      <c r="AG372" s="31"/>
      <c r="AH372" s="31"/>
      <c r="AI372" s="31"/>
      <c r="AJ372" s="31"/>
      <c r="AK372" s="663">
        <v>0</v>
      </c>
      <c r="AL372" s="663">
        <v>0</v>
      </c>
      <c r="AM372" s="31">
        <v>0</v>
      </c>
      <c r="AN372" s="584"/>
      <c r="AO372" s="584"/>
      <c r="AP372" s="663"/>
      <c r="AQ372" s="31"/>
      <c r="AR372" s="31"/>
      <c r="AS372" s="31"/>
      <c r="AT372" s="31"/>
      <c r="AU372" s="31"/>
      <c r="AV372" s="31"/>
      <c r="AW372" s="31"/>
      <c r="AX372" s="31"/>
      <c r="AY372" s="31"/>
      <c r="AZ372" s="31">
        <f t="shared" si="76"/>
        <v>2.7139208173690929E-3</v>
      </c>
      <c r="BA372" s="25" t="str">
        <f t="shared" si="77"/>
        <v>FR infant</v>
      </c>
      <c r="BB372" s="25">
        <f t="shared" si="78"/>
        <v>0</v>
      </c>
      <c r="BC372" s="25" t="str">
        <f t="shared" si="79"/>
        <v/>
      </c>
    </row>
    <row r="373" spans="1:55" ht="15" customHeight="1" outlineLevel="3" x14ac:dyDescent="0.2">
      <c r="A373" s="39">
        <v>4</v>
      </c>
      <c r="B373" s="23">
        <v>1017990</v>
      </c>
      <c r="C373" s="23" t="s">
        <v>808</v>
      </c>
      <c r="D373" s="22">
        <f>input_values!Z373</f>
        <v>4</v>
      </c>
      <c r="E373" s="657">
        <v>0</v>
      </c>
      <c r="F373" s="31"/>
      <c r="G373" s="31">
        <v>0</v>
      </c>
      <c r="H373" s="31">
        <v>0</v>
      </c>
      <c r="I373" s="31">
        <v>1.998734533183352E-4</v>
      </c>
      <c r="J373" s="31">
        <v>9.0767357923726699E-4</v>
      </c>
      <c r="K373" s="31">
        <v>0</v>
      </c>
      <c r="L373" s="31">
        <v>0</v>
      </c>
      <c r="M373" s="31">
        <v>0</v>
      </c>
      <c r="N373" s="31">
        <v>0</v>
      </c>
      <c r="O373" s="31">
        <v>0</v>
      </c>
      <c r="P373" s="31">
        <v>0</v>
      </c>
      <c r="Q373" s="31">
        <v>0</v>
      </c>
      <c r="R373" s="587">
        <v>0</v>
      </c>
      <c r="S373" s="31">
        <v>6.9787161021452352E-4</v>
      </c>
      <c r="T373" s="31"/>
      <c r="U373" s="31">
        <v>0</v>
      </c>
      <c r="V373" s="31">
        <v>0</v>
      </c>
      <c r="W373" s="31">
        <v>0</v>
      </c>
      <c r="X373" s="31">
        <v>0</v>
      </c>
      <c r="Y373" s="31">
        <v>0</v>
      </c>
      <c r="Z373" s="31">
        <v>0</v>
      </c>
      <c r="AA373" s="31">
        <v>0</v>
      </c>
      <c r="AB373" s="31">
        <v>0</v>
      </c>
      <c r="AC373" s="31">
        <v>0</v>
      </c>
      <c r="AD373" s="31">
        <v>0</v>
      </c>
      <c r="AE373" s="31"/>
      <c r="AF373" s="31"/>
      <c r="AG373" s="31"/>
      <c r="AH373" s="31"/>
      <c r="AI373" s="31"/>
      <c r="AJ373" s="31"/>
      <c r="AK373" s="663">
        <v>0</v>
      </c>
      <c r="AL373" s="663">
        <v>0</v>
      </c>
      <c r="AM373" s="31">
        <v>0</v>
      </c>
      <c r="AN373" s="584"/>
      <c r="AO373" s="584"/>
      <c r="AP373" s="663"/>
      <c r="AQ373" s="31"/>
      <c r="AR373" s="31"/>
      <c r="AS373" s="31"/>
      <c r="AT373" s="31"/>
      <c r="AU373" s="31"/>
      <c r="AV373" s="31"/>
      <c r="AW373" s="31"/>
      <c r="AX373" s="31"/>
      <c r="AY373" s="31"/>
      <c r="AZ373" s="31">
        <f t="shared" si="76"/>
        <v>9.0767357923726699E-4</v>
      </c>
      <c r="BA373" s="25" t="str">
        <f t="shared" si="77"/>
        <v>FR child 3 15 yr</v>
      </c>
      <c r="BB373" s="25">
        <f t="shared" si="78"/>
        <v>0</v>
      </c>
      <c r="BC373" s="25" t="str">
        <f t="shared" si="79"/>
        <v/>
      </c>
    </row>
    <row r="374" spans="1:55" ht="15" customHeight="1" outlineLevel="1" x14ac:dyDescent="0.2">
      <c r="A374" s="130">
        <v>2</v>
      </c>
      <c r="B374" s="131">
        <v>1020000</v>
      </c>
      <c r="C374" s="131" t="s">
        <v>628</v>
      </c>
      <c r="D374" s="79">
        <f>input_values!Z374</f>
        <v>4</v>
      </c>
      <c r="E374" s="581">
        <f>SUM(E375:E379)</f>
        <v>19.790000000000003</v>
      </c>
      <c r="F374" s="92">
        <f t="shared" ref="F374:AO374" si="85">SUM(F375:F379)</f>
        <v>12.631818181818181</v>
      </c>
      <c r="G374" s="92">
        <f t="shared" si="85"/>
        <v>12.512</v>
      </c>
      <c r="H374" s="92">
        <f t="shared" si="85"/>
        <v>16.823467499787046</v>
      </c>
      <c r="I374" s="92">
        <f t="shared" si="85"/>
        <v>29.646376415367762</v>
      </c>
      <c r="J374" s="92">
        <f t="shared" si="85"/>
        <v>22.984099073900897</v>
      </c>
      <c r="K374" s="92">
        <f t="shared" si="85"/>
        <v>0</v>
      </c>
      <c r="L374" s="92">
        <f t="shared" si="85"/>
        <v>59.750999999999998</v>
      </c>
      <c r="M374" s="92">
        <f t="shared" si="85"/>
        <v>24.484999999999999</v>
      </c>
      <c r="N374" s="92">
        <f t="shared" si="85"/>
        <v>38.712643678160923</v>
      </c>
      <c r="O374" s="92">
        <f t="shared" si="85"/>
        <v>20.657534246575345</v>
      </c>
      <c r="P374" s="92">
        <f t="shared" si="85"/>
        <v>5.286284953395473</v>
      </c>
      <c r="Q374" s="92">
        <f t="shared" si="85"/>
        <v>4.9512999999999998</v>
      </c>
      <c r="R374" s="92">
        <f t="shared" si="85"/>
        <v>0</v>
      </c>
      <c r="S374" s="92">
        <f t="shared" si="85"/>
        <v>4.5984588337532211</v>
      </c>
      <c r="T374" s="92"/>
      <c r="U374" s="92">
        <f t="shared" si="85"/>
        <v>4.3590425531914896</v>
      </c>
      <c r="V374" s="92">
        <f t="shared" si="85"/>
        <v>0</v>
      </c>
      <c r="W374" s="92">
        <f t="shared" si="85"/>
        <v>3.9605714285714289</v>
      </c>
      <c r="X374" s="92">
        <f t="shared" si="85"/>
        <v>8.479000000000001</v>
      </c>
      <c r="Y374" s="92">
        <f t="shared" si="85"/>
        <v>0</v>
      </c>
      <c r="Z374" s="92">
        <f t="shared" si="85"/>
        <v>0</v>
      </c>
      <c r="AA374" s="92">
        <f t="shared" si="85"/>
        <v>11.6</v>
      </c>
      <c r="AB374" s="92">
        <f t="shared" si="85"/>
        <v>12.375</v>
      </c>
      <c r="AC374" s="92">
        <f t="shared" si="85"/>
        <v>2.9986842105263158</v>
      </c>
      <c r="AD374" s="92">
        <f t="shared" si="85"/>
        <v>3.257871064467766</v>
      </c>
      <c r="AE374" s="92">
        <f t="shared" si="85"/>
        <v>2.8131666666666666</v>
      </c>
      <c r="AF374" s="92">
        <f t="shared" si="85"/>
        <v>6.4818333333333333</v>
      </c>
      <c r="AG374" s="92">
        <f t="shared" si="85"/>
        <v>5.5979999999999999</v>
      </c>
      <c r="AH374" s="92">
        <f t="shared" si="85"/>
        <v>5.5195000000000007</v>
      </c>
      <c r="AI374" s="92">
        <f t="shared" si="85"/>
        <v>7.809333333333333</v>
      </c>
      <c r="AJ374" s="92">
        <f t="shared" si="85"/>
        <v>7.2683333333333326</v>
      </c>
      <c r="AK374" s="92">
        <f t="shared" si="85"/>
        <v>12.480454566956491</v>
      </c>
      <c r="AL374" s="92">
        <f t="shared" si="85"/>
        <v>12.590527240114653</v>
      </c>
      <c r="AM374" s="92">
        <f t="shared" si="85"/>
        <v>3.5828799999999998</v>
      </c>
      <c r="AN374" s="92">
        <f t="shared" si="85"/>
        <v>0</v>
      </c>
      <c r="AO374" s="92">
        <f t="shared" si="85"/>
        <v>0</v>
      </c>
      <c r="AP374" s="92"/>
      <c r="AQ374" s="92"/>
      <c r="AR374" s="92"/>
      <c r="AS374" s="92"/>
      <c r="AT374" s="92"/>
      <c r="AU374" s="92"/>
      <c r="AV374" s="92"/>
      <c r="AW374" s="92"/>
      <c r="AX374" s="92" t="s">
        <v>369</v>
      </c>
      <c r="AY374" s="92"/>
      <c r="AZ374" s="92">
        <f t="shared" si="76"/>
        <v>59.750999999999998</v>
      </c>
      <c r="BA374" s="42" t="str">
        <f t="shared" si="77"/>
        <v>NL toddler</v>
      </c>
      <c r="BB374" s="42">
        <f t="shared" si="78"/>
        <v>0</v>
      </c>
      <c r="BC374" s="42" t="str">
        <f t="shared" si="79"/>
        <v/>
      </c>
    </row>
    <row r="375" spans="1:55" ht="15" customHeight="1" outlineLevel="3" x14ac:dyDescent="0.2">
      <c r="A375" s="39">
        <v>4</v>
      </c>
      <c r="B375" s="23">
        <v>1020010</v>
      </c>
      <c r="C375" s="23" t="s">
        <v>629</v>
      </c>
      <c r="D375" s="22">
        <f>input_values!Z375</f>
        <v>4</v>
      </c>
      <c r="E375" s="657">
        <v>19.760000000000002</v>
      </c>
      <c r="F375" s="31">
        <v>12.631818181818181</v>
      </c>
      <c r="G375" s="31">
        <v>12.4925</v>
      </c>
      <c r="H375" s="31">
        <v>16.814114474323787</v>
      </c>
      <c r="I375" s="31">
        <v>29.28793420180115</v>
      </c>
      <c r="J375" s="31">
        <v>22.87310577028309</v>
      </c>
      <c r="K375" s="31">
        <v>0</v>
      </c>
      <c r="L375" s="31">
        <v>59.73</v>
      </c>
      <c r="M375" s="31">
        <v>24.443999999999999</v>
      </c>
      <c r="N375" s="31">
        <v>38.712643678160923</v>
      </c>
      <c r="O375" s="31">
        <v>20.657534246575345</v>
      </c>
      <c r="P375" s="31">
        <v>5.286284953395473</v>
      </c>
      <c r="Q375" s="31">
        <v>4.9428999999999998</v>
      </c>
      <c r="R375" s="587">
        <v>0</v>
      </c>
      <c r="S375" s="31">
        <v>4.4998823763919553</v>
      </c>
      <c r="T375" s="31"/>
      <c r="U375" s="31">
        <v>4.3590425531914896</v>
      </c>
      <c r="V375" s="31">
        <v>0</v>
      </c>
      <c r="W375" s="31">
        <v>3.9605714285714289</v>
      </c>
      <c r="X375" s="31">
        <v>8.4730000000000008</v>
      </c>
      <c r="Y375" s="31">
        <v>0</v>
      </c>
      <c r="Z375" s="31">
        <v>0</v>
      </c>
      <c r="AA375" s="31">
        <v>11.6</v>
      </c>
      <c r="AB375" s="31">
        <v>12.375</v>
      </c>
      <c r="AC375" s="31">
        <v>2.9986842105263158</v>
      </c>
      <c r="AD375" s="31">
        <v>3.257871064467766</v>
      </c>
      <c r="AE375" s="31">
        <v>2.4991666666666665</v>
      </c>
      <c r="AF375" s="31">
        <v>6.4373333333333331</v>
      </c>
      <c r="AG375" s="31">
        <v>5.5620000000000003</v>
      </c>
      <c r="AH375" s="31">
        <v>5.4860000000000007</v>
      </c>
      <c r="AI375" s="31">
        <v>7.8066666666666666</v>
      </c>
      <c r="AJ375" s="31">
        <v>7.0138333333333334</v>
      </c>
      <c r="AK375" s="663">
        <v>12.340607320821226</v>
      </c>
      <c r="AL375" s="663">
        <v>12.386792611228579</v>
      </c>
      <c r="AM375" s="31">
        <v>3.5828799999999998</v>
      </c>
      <c r="AN375" s="584"/>
      <c r="AO375" s="584"/>
      <c r="AP375" s="663"/>
      <c r="AQ375" s="31"/>
      <c r="AR375" s="31"/>
      <c r="AS375" s="31"/>
      <c r="AT375" s="31"/>
      <c r="AU375" s="31"/>
      <c r="AV375" s="31"/>
      <c r="AW375" s="31"/>
      <c r="AX375" s="31"/>
      <c r="AY375" s="31"/>
      <c r="AZ375" s="31">
        <f t="shared" si="76"/>
        <v>59.73</v>
      </c>
      <c r="BA375" s="25" t="str">
        <f t="shared" si="77"/>
        <v>NL toddler</v>
      </c>
      <c r="BB375" s="25">
        <f t="shared" si="78"/>
        <v>0</v>
      </c>
      <c r="BC375" s="25" t="str">
        <f t="shared" si="79"/>
        <v/>
      </c>
    </row>
    <row r="376" spans="1:55" ht="15" customHeight="1" outlineLevel="3" x14ac:dyDescent="0.2">
      <c r="A376" s="39">
        <v>4</v>
      </c>
      <c r="B376" s="23">
        <v>1020020</v>
      </c>
      <c r="C376" s="23" t="s">
        <v>630</v>
      </c>
      <c r="D376" s="22">
        <f>input_values!Z376</f>
        <v>4</v>
      </c>
      <c r="E376" s="657">
        <v>0.01</v>
      </c>
      <c r="F376" s="31">
        <v>0</v>
      </c>
      <c r="G376" s="31">
        <v>0</v>
      </c>
      <c r="H376" s="31">
        <v>0</v>
      </c>
      <c r="I376" s="31">
        <v>0</v>
      </c>
      <c r="J376" s="31">
        <v>0</v>
      </c>
      <c r="K376" s="31">
        <v>0</v>
      </c>
      <c r="L376" s="31">
        <v>1E-3</v>
      </c>
      <c r="M376" s="31">
        <v>3.0000000000000001E-3</v>
      </c>
      <c r="N376" s="31">
        <v>0</v>
      </c>
      <c r="O376" s="31">
        <v>0</v>
      </c>
      <c r="P376" s="31">
        <v>0</v>
      </c>
      <c r="Q376" s="31">
        <v>0</v>
      </c>
      <c r="R376" s="587">
        <v>0</v>
      </c>
      <c r="S376" s="31">
        <v>0</v>
      </c>
      <c r="T376" s="31"/>
      <c r="U376" s="31">
        <v>0</v>
      </c>
      <c r="V376" s="31">
        <v>0</v>
      </c>
      <c r="W376" s="31">
        <v>0</v>
      </c>
      <c r="X376" s="31">
        <v>4.0000000000000001E-3</v>
      </c>
      <c r="Y376" s="31">
        <v>0</v>
      </c>
      <c r="Z376" s="31">
        <v>0</v>
      </c>
      <c r="AA376" s="31">
        <v>0</v>
      </c>
      <c r="AB376" s="31">
        <v>0</v>
      </c>
      <c r="AC376" s="31">
        <v>0</v>
      </c>
      <c r="AD376" s="31">
        <v>0</v>
      </c>
      <c r="AE376" s="31">
        <v>0.19400000000000001</v>
      </c>
      <c r="AF376" s="31">
        <v>1.4833333333333334E-2</v>
      </c>
      <c r="AG376" s="31">
        <v>1.6500000000000001E-2</v>
      </c>
      <c r="AH376" s="31">
        <v>8.0000000000000002E-3</v>
      </c>
      <c r="AI376" s="31">
        <v>2.6666666666666666E-3</v>
      </c>
      <c r="AJ376" s="31">
        <v>0.23949999999999999</v>
      </c>
      <c r="AK376" s="663">
        <v>9.5034391004304233E-2</v>
      </c>
      <c r="AL376" s="663">
        <v>0.1468850752196684</v>
      </c>
      <c r="AM376" s="31">
        <v>0</v>
      </c>
      <c r="AN376" s="584"/>
      <c r="AO376" s="584"/>
      <c r="AP376" s="663"/>
      <c r="AQ376" s="31"/>
      <c r="AR376" s="31"/>
      <c r="AS376" s="31"/>
      <c r="AT376" s="31"/>
      <c r="AU376" s="31"/>
      <c r="AV376" s="31"/>
      <c r="AW376" s="31"/>
      <c r="AX376" s="31"/>
      <c r="AY376" s="31"/>
      <c r="AZ376" s="31">
        <f t="shared" si="76"/>
        <v>0.23949999999999999</v>
      </c>
      <c r="BA376" s="25" t="str">
        <f t="shared" si="77"/>
        <v>GEMS/Food G15</v>
      </c>
      <c r="BB376" s="25">
        <f t="shared" si="78"/>
        <v>0</v>
      </c>
      <c r="BC376" s="25" t="str">
        <f t="shared" si="79"/>
        <v/>
      </c>
    </row>
    <row r="377" spans="1:55" ht="15" customHeight="1" outlineLevel="3" x14ac:dyDescent="0.2">
      <c r="A377" s="39">
        <v>4</v>
      </c>
      <c r="B377" s="23">
        <v>1020030</v>
      </c>
      <c r="C377" s="23" t="s">
        <v>631</v>
      </c>
      <c r="D377" s="22">
        <f>input_values!Z377</f>
        <v>4</v>
      </c>
      <c r="E377" s="657">
        <v>0.02</v>
      </c>
      <c r="F377" s="31">
        <v>0</v>
      </c>
      <c r="G377" s="31">
        <v>1.95E-2</v>
      </c>
      <c r="H377" s="31">
        <v>9.3530254632594022E-3</v>
      </c>
      <c r="I377" s="31">
        <v>0.3569489984589686</v>
      </c>
      <c r="J377" s="31">
        <v>0.10624173623532249</v>
      </c>
      <c r="K377" s="31">
        <v>0</v>
      </c>
      <c r="L377" s="31">
        <v>0.02</v>
      </c>
      <c r="M377" s="31">
        <v>3.7999999999999999E-2</v>
      </c>
      <c r="N377" s="31">
        <v>0</v>
      </c>
      <c r="O377" s="31">
        <v>0</v>
      </c>
      <c r="P377" s="31">
        <v>0</v>
      </c>
      <c r="Q377" s="31">
        <v>8.3999999999999995E-3</v>
      </c>
      <c r="R377" s="587">
        <v>0</v>
      </c>
      <c r="S377" s="31">
        <v>9.4498291916019522E-2</v>
      </c>
      <c r="T377" s="31"/>
      <c r="U377" s="31">
        <v>0</v>
      </c>
      <c r="V377" s="31">
        <v>0</v>
      </c>
      <c r="W377" s="31">
        <v>0</v>
      </c>
      <c r="X377" s="31">
        <v>2E-3</v>
      </c>
      <c r="Y377" s="31">
        <v>0</v>
      </c>
      <c r="Z377" s="31">
        <v>0</v>
      </c>
      <c r="AA377" s="31">
        <v>0</v>
      </c>
      <c r="AB377" s="31">
        <v>0</v>
      </c>
      <c r="AC377" s="31">
        <v>0</v>
      </c>
      <c r="AD377" s="31">
        <v>0</v>
      </c>
      <c r="AE377" s="31">
        <v>0.12000000000000001</v>
      </c>
      <c r="AF377" s="31">
        <v>2.9666666666666668E-2</v>
      </c>
      <c r="AG377" s="31">
        <v>1.95E-2</v>
      </c>
      <c r="AH377" s="31">
        <v>2.5500000000000002E-2</v>
      </c>
      <c r="AI377" s="31">
        <v>0</v>
      </c>
      <c r="AJ377" s="31">
        <v>1.5000000000000001E-2</v>
      </c>
      <c r="AK377" s="663">
        <v>4.4812855130959998E-2</v>
      </c>
      <c r="AL377" s="663">
        <v>5.6849553666407031E-2</v>
      </c>
      <c r="AM377" s="31">
        <v>0</v>
      </c>
      <c r="AN377" s="584"/>
      <c r="AO377" s="584"/>
      <c r="AP377" s="663"/>
      <c r="AQ377" s="31"/>
      <c r="AR377" s="31"/>
      <c r="AS377" s="31"/>
      <c r="AT377" s="31"/>
      <c r="AU377" s="31"/>
      <c r="AV377" s="31"/>
      <c r="AW377" s="31"/>
      <c r="AX377" s="31"/>
      <c r="AY377" s="31"/>
      <c r="AZ377" s="31">
        <f t="shared" si="76"/>
        <v>0.3569489984589686</v>
      </c>
      <c r="BA377" s="25" t="str">
        <f t="shared" si="77"/>
        <v>FR toddler 2 3 yr</v>
      </c>
      <c r="BB377" s="25">
        <f t="shared" si="78"/>
        <v>0</v>
      </c>
      <c r="BC377" s="25" t="str">
        <f t="shared" si="79"/>
        <v/>
      </c>
    </row>
    <row r="378" spans="1:55" ht="15" customHeight="1" outlineLevel="3" x14ac:dyDescent="0.2">
      <c r="A378" s="39">
        <v>4</v>
      </c>
      <c r="B378" s="23">
        <v>1020040</v>
      </c>
      <c r="C378" s="23" t="s">
        <v>639</v>
      </c>
      <c r="D378" s="22">
        <f>input_values!Z378</f>
        <v>4</v>
      </c>
      <c r="E378" s="657">
        <v>0</v>
      </c>
      <c r="F378" s="31">
        <v>0</v>
      </c>
      <c r="G378" s="31">
        <v>0</v>
      </c>
      <c r="H378" s="31">
        <v>0</v>
      </c>
      <c r="I378" s="31">
        <v>0</v>
      </c>
      <c r="J378" s="31">
        <v>0</v>
      </c>
      <c r="K378" s="31">
        <v>0</v>
      </c>
      <c r="L378" s="31">
        <v>0</v>
      </c>
      <c r="M378" s="31">
        <v>0</v>
      </c>
      <c r="N378" s="31">
        <v>0</v>
      </c>
      <c r="O378" s="31">
        <v>0</v>
      </c>
      <c r="P378" s="31">
        <v>0</v>
      </c>
      <c r="Q378" s="31">
        <v>0</v>
      </c>
      <c r="R378" s="587">
        <v>0</v>
      </c>
      <c r="S378" s="31">
        <v>0</v>
      </c>
      <c r="T378" s="31"/>
      <c r="U378" s="31">
        <v>0</v>
      </c>
      <c r="V378" s="31">
        <v>0</v>
      </c>
      <c r="W378" s="31">
        <v>0</v>
      </c>
      <c r="X378" s="31">
        <v>0</v>
      </c>
      <c r="Y378" s="31">
        <v>0</v>
      </c>
      <c r="Z378" s="31">
        <v>0</v>
      </c>
      <c r="AA378" s="31">
        <v>0</v>
      </c>
      <c r="AB378" s="31">
        <v>0</v>
      </c>
      <c r="AC378" s="31">
        <v>0</v>
      </c>
      <c r="AD378" s="31">
        <v>0</v>
      </c>
      <c r="AE378" s="31"/>
      <c r="AF378" s="31"/>
      <c r="AG378" s="31"/>
      <c r="AH378" s="31"/>
      <c r="AI378" s="31"/>
      <c r="AJ378" s="31"/>
      <c r="AK378" s="663">
        <v>0</v>
      </c>
      <c r="AL378" s="663">
        <v>0</v>
      </c>
      <c r="AM378" s="31">
        <v>0</v>
      </c>
      <c r="AN378" s="584"/>
      <c r="AO378" s="584"/>
      <c r="AP378" s="663"/>
      <c r="AQ378" s="31"/>
      <c r="AR378" s="31"/>
      <c r="AS378" s="31"/>
      <c r="AT378" s="31"/>
      <c r="AU378" s="31"/>
      <c r="AV378" s="31"/>
      <c r="AW378" s="31"/>
      <c r="AX378" s="31"/>
      <c r="AY378" s="31"/>
      <c r="AZ378" s="31">
        <f t="shared" si="76"/>
        <v>0</v>
      </c>
      <c r="BA378" s="25" t="str">
        <f t="shared" si="77"/>
        <v>DE child</v>
      </c>
      <c r="BB378" s="25">
        <f t="shared" si="78"/>
        <v>0</v>
      </c>
      <c r="BC378" s="25" t="str">
        <f t="shared" si="79"/>
        <v/>
      </c>
    </row>
    <row r="379" spans="1:55" ht="15" customHeight="1" outlineLevel="3" x14ac:dyDescent="0.2">
      <c r="A379" s="39">
        <v>4</v>
      </c>
      <c r="B379" s="23">
        <v>1020990</v>
      </c>
      <c r="C379" s="23" t="s">
        <v>632</v>
      </c>
      <c r="D379" s="22">
        <f>input_values!Z379</f>
        <v>4</v>
      </c>
      <c r="E379" s="657">
        <v>0</v>
      </c>
      <c r="F379" s="31">
        <v>0</v>
      </c>
      <c r="G379" s="31">
        <v>0</v>
      </c>
      <c r="H379" s="31">
        <v>0</v>
      </c>
      <c r="I379" s="31">
        <v>1.4932151076423367E-3</v>
      </c>
      <c r="J379" s="31">
        <v>4.7515673824848519E-3</v>
      </c>
      <c r="K379" s="31">
        <v>0</v>
      </c>
      <c r="L379" s="31">
        <v>0</v>
      </c>
      <c r="M379" s="31">
        <v>0</v>
      </c>
      <c r="N379" s="31">
        <v>0</v>
      </c>
      <c r="O379" s="31">
        <v>0</v>
      </c>
      <c r="P379" s="31">
        <v>0</v>
      </c>
      <c r="Q379" s="31">
        <v>0</v>
      </c>
      <c r="R379" s="587">
        <v>0</v>
      </c>
      <c r="S379" s="31">
        <v>4.0781654452463293E-3</v>
      </c>
      <c r="T379" s="31"/>
      <c r="U379" s="31">
        <v>0</v>
      </c>
      <c r="V379" s="31">
        <v>0</v>
      </c>
      <c r="W379" s="31">
        <v>0</v>
      </c>
      <c r="X379" s="31">
        <v>0</v>
      </c>
      <c r="Y379" s="31">
        <v>0</v>
      </c>
      <c r="Z379" s="31">
        <v>0</v>
      </c>
      <c r="AA379" s="31">
        <v>0</v>
      </c>
      <c r="AB379" s="31">
        <v>0</v>
      </c>
      <c r="AC379" s="31">
        <v>0</v>
      </c>
      <c r="AD379" s="31">
        <v>0</v>
      </c>
      <c r="AE379" s="31"/>
      <c r="AF379" s="31"/>
      <c r="AG379" s="31"/>
      <c r="AH379" s="31"/>
      <c r="AI379" s="31"/>
      <c r="AJ379" s="31"/>
      <c r="AK379" s="663">
        <v>0</v>
      </c>
      <c r="AL379" s="663">
        <v>0</v>
      </c>
      <c r="AM379" s="31">
        <v>0</v>
      </c>
      <c r="AN379" s="584"/>
      <c r="AO379" s="584"/>
      <c r="AP379" s="663"/>
      <c r="AQ379" s="31"/>
      <c r="AR379" s="31"/>
      <c r="AS379" s="31"/>
      <c r="AT379" s="31"/>
      <c r="AU379" s="31"/>
      <c r="AV379" s="31"/>
      <c r="AW379" s="31"/>
      <c r="AX379" s="31"/>
      <c r="AY379" s="31"/>
      <c r="AZ379" s="31">
        <f t="shared" si="76"/>
        <v>4.7515673824848519E-3</v>
      </c>
      <c r="BA379" s="25" t="str">
        <f t="shared" si="77"/>
        <v>FR child 3 15 yr</v>
      </c>
      <c r="BB379" s="25">
        <f t="shared" si="78"/>
        <v>0</v>
      </c>
      <c r="BC379" s="25" t="str">
        <f t="shared" si="79"/>
        <v/>
      </c>
    </row>
    <row r="380" spans="1:55" ht="15" customHeight="1" outlineLevel="1" x14ac:dyDescent="0.2">
      <c r="A380" s="130">
        <v>2</v>
      </c>
      <c r="B380" s="131">
        <v>1030000</v>
      </c>
      <c r="C380" s="131" t="s">
        <v>810</v>
      </c>
      <c r="D380" s="79">
        <f>input_values!Z380</f>
        <v>4</v>
      </c>
      <c r="E380" s="581">
        <f>SUM(E381:E385)</f>
        <v>1.1399999999999999</v>
      </c>
      <c r="F380" s="92">
        <f t="shared" ref="F380:AO380" si="86">SUM(F381:F385)</f>
        <v>0.86363636363636365</v>
      </c>
      <c r="G380" s="92">
        <f t="shared" si="86"/>
        <v>0.72409999999999997</v>
      </c>
      <c r="H380" s="92">
        <f t="shared" si="86"/>
        <v>0.16630267511363417</v>
      </c>
      <c r="I380" s="92">
        <f t="shared" si="86"/>
        <v>0.72858428065584357</v>
      </c>
      <c r="J380" s="92">
        <f t="shared" si="86"/>
        <v>1.2461881555199092</v>
      </c>
      <c r="K380" s="92">
        <f t="shared" si="86"/>
        <v>0</v>
      </c>
      <c r="L380" s="92">
        <f t="shared" si="86"/>
        <v>0.311</v>
      </c>
      <c r="M380" s="92">
        <f t="shared" si="86"/>
        <v>0.504</v>
      </c>
      <c r="N380" s="92">
        <f t="shared" si="86"/>
        <v>1.3448275862068966</v>
      </c>
      <c r="O380" s="92">
        <f t="shared" si="86"/>
        <v>0.8904109589041096</v>
      </c>
      <c r="P380" s="92">
        <f t="shared" si="86"/>
        <v>0.36085219707057259</v>
      </c>
      <c r="Q380" s="92">
        <f t="shared" si="86"/>
        <v>0.46579999999999999</v>
      </c>
      <c r="R380" s="92">
        <f t="shared" si="86"/>
        <v>0</v>
      </c>
      <c r="S380" s="92">
        <f t="shared" si="86"/>
        <v>0.42748894460198833</v>
      </c>
      <c r="T380" s="92"/>
      <c r="U380" s="92">
        <f t="shared" si="86"/>
        <v>0.27260638297872342</v>
      </c>
      <c r="V380" s="92">
        <f t="shared" si="86"/>
        <v>0</v>
      </c>
      <c r="W380" s="92">
        <f t="shared" si="86"/>
        <v>0.32685714285714285</v>
      </c>
      <c r="X380" s="92">
        <f t="shared" si="86"/>
        <v>0.34</v>
      </c>
      <c r="Y380" s="92">
        <f t="shared" si="86"/>
        <v>0</v>
      </c>
      <c r="Z380" s="92">
        <f t="shared" si="86"/>
        <v>0</v>
      </c>
      <c r="AA380" s="92">
        <f t="shared" si="86"/>
        <v>0.6333333333333333</v>
      </c>
      <c r="AB380" s="92">
        <f t="shared" si="86"/>
        <v>0.8833333333333333</v>
      </c>
      <c r="AC380" s="92">
        <f t="shared" si="86"/>
        <v>0.30657894736842106</v>
      </c>
      <c r="AD380" s="92">
        <f t="shared" si="86"/>
        <v>0.34932533733133431</v>
      </c>
      <c r="AE380" s="92">
        <f t="shared" si="86"/>
        <v>0</v>
      </c>
      <c r="AF380" s="92">
        <f t="shared" si="86"/>
        <v>0</v>
      </c>
      <c r="AG380" s="92">
        <f t="shared" si="86"/>
        <v>0</v>
      </c>
      <c r="AH380" s="92">
        <f t="shared" si="86"/>
        <v>0</v>
      </c>
      <c r="AI380" s="92">
        <f t="shared" si="86"/>
        <v>0</v>
      </c>
      <c r="AJ380" s="92">
        <f t="shared" si="86"/>
        <v>0</v>
      </c>
      <c r="AK380" s="92">
        <f t="shared" si="86"/>
        <v>0.30884703626097526</v>
      </c>
      <c r="AL380" s="92">
        <f t="shared" si="86"/>
        <v>0.32869142288300868</v>
      </c>
      <c r="AM380" s="92">
        <f t="shared" si="86"/>
        <v>0.161972</v>
      </c>
      <c r="AN380" s="92">
        <f t="shared" si="86"/>
        <v>0</v>
      </c>
      <c r="AO380" s="92">
        <f t="shared" si="86"/>
        <v>0</v>
      </c>
      <c r="AP380" s="92"/>
      <c r="AQ380" s="92"/>
      <c r="AR380" s="92"/>
      <c r="AS380" s="92"/>
      <c r="AT380" s="92"/>
      <c r="AU380" s="92"/>
      <c r="AV380" s="92"/>
      <c r="AW380" s="92"/>
      <c r="AX380" s="92" t="s">
        <v>369</v>
      </c>
      <c r="AY380" s="92"/>
      <c r="AZ380" s="92">
        <f t="shared" si="76"/>
        <v>1.3448275862068966</v>
      </c>
      <c r="BA380" s="42" t="str">
        <f t="shared" si="77"/>
        <v>UK infant</v>
      </c>
      <c r="BB380" s="42">
        <f t="shared" si="78"/>
        <v>0</v>
      </c>
      <c r="BC380" s="42" t="str">
        <f t="shared" si="79"/>
        <v/>
      </c>
    </row>
    <row r="381" spans="1:55" ht="15" customHeight="1" outlineLevel="3" x14ac:dyDescent="0.2">
      <c r="A381" s="39">
        <v>4</v>
      </c>
      <c r="B381" s="23">
        <v>1030010</v>
      </c>
      <c r="C381" s="23" t="s">
        <v>148</v>
      </c>
      <c r="D381" s="22">
        <f>input_values!Z381</f>
        <v>4</v>
      </c>
      <c r="E381" s="657">
        <v>1.1399999999999999</v>
      </c>
      <c r="F381" s="31">
        <v>0.86363636363636365</v>
      </c>
      <c r="G381" s="31">
        <v>0.72409999999999997</v>
      </c>
      <c r="H381" s="31">
        <v>0.16630267511363417</v>
      </c>
      <c r="I381" s="31">
        <v>0.72858428065584357</v>
      </c>
      <c r="J381" s="31">
        <v>1.2461881555199092</v>
      </c>
      <c r="K381" s="31">
        <v>0</v>
      </c>
      <c r="L381" s="31">
        <v>0.311</v>
      </c>
      <c r="M381" s="31">
        <v>0.504</v>
      </c>
      <c r="N381" s="31">
        <v>1.3448275862068966</v>
      </c>
      <c r="O381" s="31">
        <v>0.8904109589041096</v>
      </c>
      <c r="P381" s="31">
        <v>0.36085219707057259</v>
      </c>
      <c r="Q381" s="31">
        <v>0.46579999999999999</v>
      </c>
      <c r="R381" s="587">
        <v>0</v>
      </c>
      <c r="S381" s="31">
        <v>0.42748894460198833</v>
      </c>
      <c r="T381" s="31"/>
      <c r="U381" s="31">
        <v>0.27260638297872342</v>
      </c>
      <c r="V381" s="31">
        <v>0</v>
      </c>
      <c r="W381" s="31">
        <v>0.32685714285714285</v>
      </c>
      <c r="X381" s="31">
        <v>0.34</v>
      </c>
      <c r="Y381" s="31">
        <v>0</v>
      </c>
      <c r="Z381" s="31">
        <v>0</v>
      </c>
      <c r="AA381" s="31">
        <v>0.6333333333333333</v>
      </c>
      <c r="AB381" s="31">
        <v>0.8833333333333333</v>
      </c>
      <c r="AC381" s="31">
        <v>0.30657894736842106</v>
      </c>
      <c r="AD381" s="31">
        <v>0.34932533733133431</v>
      </c>
      <c r="AE381" s="31"/>
      <c r="AF381" s="31"/>
      <c r="AG381" s="31"/>
      <c r="AH381" s="31"/>
      <c r="AI381" s="31"/>
      <c r="AJ381" s="31"/>
      <c r="AK381" s="663">
        <v>0.30884703626097526</v>
      </c>
      <c r="AL381" s="663">
        <v>0.32869142288300868</v>
      </c>
      <c r="AM381" s="31">
        <v>0.161972</v>
      </c>
      <c r="AN381" s="584"/>
      <c r="AO381" s="584"/>
      <c r="AP381" s="663"/>
      <c r="AQ381" s="31"/>
      <c r="AR381" s="31"/>
      <c r="AS381" s="31"/>
      <c r="AT381" s="31"/>
      <c r="AU381" s="31"/>
      <c r="AV381" s="31"/>
      <c r="AW381" s="31"/>
      <c r="AX381" s="31"/>
      <c r="AY381" s="31"/>
      <c r="AZ381" s="31">
        <f t="shared" si="76"/>
        <v>1.3448275862068966</v>
      </c>
      <c r="BA381" s="25" t="str">
        <f t="shared" si="77"/>
        <v>UK infant</v>
      </c>
      <c r="BB381" s="25">
        <f t="shared" si="78"/>
        <v>0</v>
      </c>
      <c r="BC381" s="25" t="str">
        <f t="shared" si="79"/>
        <v/>
      </c>
    </row>
    <row r="382" spans="1:55" ht="15" customHeight="1" outlineLevel="3" x14ac:dyDescent="0.2">
      <c r="A382" s="39">
        <v>4</v>
      </c>
      <c r="B382" s="23">
        <v>1030020</v>
      </c>
      <c r="C382" s="23" t="s">
        <v>149</v>
      </c>
      <c r="D382" s="22">
        <f>input_values!Z382</f>
        <v>4</v>
      </c>
      <c r="E382" s="657">
        <v>0</v>
      </c>
      <c r="F382" s="31">
        <v>0</v>
      </c>
      <c r="G382" s="31">
        <v>0</v>
      </c>
      <c r="H382" s="31">
        <v>0</v>
      </c>
      <c r="I382" s="31">
        <v>0</v>
      </c>
      <c r="J382" s="31">
        <v>0</v>
      </c>
      <c r="K382" s="31">
        <v>0</v>
      </c>
      <c r="L382" s="31">
        <v>0</v>
      </c>
      <c r="M382" s="31">
        <v>0</v>
      </c>
      <c r="N382" s="31">
        <v>0</v>
      </c>
      <c r="O382" s="31">
        <v>0</v>
      </c>
      <c r="P382" s="31">
        <v>0</v>
      </c>
      <c r="Q382" s="31">
        <v>0</v>
      </c>
      <c r="R382" s="587">
        <v>0</v>
      </c>
      <c r="S382" s="31">
        <v>0</v>
      </c>
      <c r="T382" s="31"/>
      <c r="U382" s="31">
        <v>0</v>
      </c>
      <c r="V382" s="31">
        <v>0</v>
      </c>
      <c r="W382" s="31">
        <v>0</v>
      </c>
      <c r="X382" s="31">
        <v>0</v>
      </c>
      <c r="Y382" s="31">
        <v>0</v>
      </c>
      <c r="Z382" s="31">
        <v>0</v>
      </c>
      <c r="AA382" s="31">
        <v>0</v>
      </c>
      <c r="AB382" s="31">
        <v>0</v>
      </c>
      <c r="AC382" s="31">
        <v>0</v>
      </c>
      <c r="AD382" s="31">
        <v>0</v>
      </c>
      <c r="AE382" s="31"/>
      <c r="AF382" s="31"/>
      <c r="AG382" s="31"/>
      <c r="AH382" s="31"/>
      <c r="AI382" s="31"/>
      <c r="AJ382" s="31"/>
      <c r="AK382" s="663">
        <v>0</v>
      </c>
      <c r="AL382" s="663">
        <v>0</v>
      </c>
      <c r="AM382" s="31">
        <v>0</v>
      </c>
      <c r="AN382" s="584"/>
      <c r="AO382" s="584"/>
      <c r="AP382" s="663"/>
      <c r="AQ382" s="31"/>
      <c r="AR382" s="31"/>
      <c r="AS382" s="31"/>
      <c r="AT382" s="31"/>
      <c r="AU382" s="31"/>
      <c r="AV382" s="31"/>
      <c r="AW382" s="31"/>
      <c r="AX382" s="31"/>
      <c r="AY382" s="31"/>
      <c r="AZ382" s="31">
        <f t="shared" si="76"/>
        <v>0</v>
      </c>
      <c r="BA382" s="25" t="str">
        <f t="shared" si="77"/>
        <v>DE child</v>
      </c>
      <c r="BB382" s="25">
        <f t="shared" si="78"/>
        <v>0</v>
      </c>
      <c r="BC382" s="25" t="str">
        <f t="shared" si="79"/>
        <v/>
      </c>
    </row>
    <row r="383" spans="1:55" ht="15" customHeight="1" outlineLevel="3" x14ac:dyDescent="0.2">
      <c r="A383" s="39">
        <v>4</v>
      </c>
      <c r="B383" s="23">
        <v>1030030</v>
      </c>
      <c r="C383" s="23" t="s">
        <v>150</v>
      </c>
      <c r="D383" s="22">
        <f>input_values!Z383</f>
        <v>4</v>
      </c>
      <c r="E383" s="657">
        <v>0</v>
      </c>
      <c r="F383" s="31">
        <v>0</v>
      </c>
      <c r="G383" s="31">
        <v>0</v>
      </c>
      <c r="H383" s="31">
        <v>0</v>
      </c>
      <c r="I383" s="31">
        <v>0</v>
      </c>
      <c r="J383" s="31">
        <v>0</v>
      </c>
      <c r="K383" s="31">
        <v>0</v>
      </c>
      <c r="L383" s="31">
        <v>0</v>
      </c>
      <c r="M383" s="31">
        <v>0</v>
      </c>
      <c r="N383" s="31">
        <v>0</v>
      </c>
      <c r="O383" s="31">
        <v>0</v>
      </c>
      <c r="P383" s="31">
        <v>0</v>
      </c>
      <c r="Q383" s="31">
        <v>0</v>
      </c>
      <c r="R383" s="587">
        <v>0</v>
      </c>
      <c r="S383" s="31">
        <v>0</v>
      </c>
      <c r="T383" s="31"/>
      <c r="U383" s="31">
        <v>0</v>
      </c>
      <c r="V383" s="31">
        <v>0</v>
      </c>
      <c r="W383" s="31">
        <v>0</v>
      </c>
      <c r="X383" s="31">
        <v>0</v>
      </c>
      <c r="Y383" s="31">
        <v>0</v>
      </c>
      <c r="Z383" s="31">
        <v>0</v>
      </c>
      <c r="AA383" s="31">
        <v>0</v>
      </c>
      <c r="AB383" s="31">
        <v>0</v>
      </c>
      <c r="AC383" s="31">
        <v>0</v>
      </c>
      <c r="AD383" s="31">
        <v>0</v>
      </c>
      <c r="AE383" s="31"/>
      <c r="AF383" s="31"/>
      <c r="AG383" s="31"/>
      <c r="AH383" s="31"/>
      <c r="AI383" s="31"/>
      <c r="AJ383" s="31"/>
      <c r="AK383" s="663">
        <v>0</v>
      </c>
      <c r="AL383" s="663">
        <v>0</v>
      </c>
      <c r="AM383" s="31">
        <v>0</v>
      </c>
      <c r="AN383" s="584"/>
      <c r="AO383" s="584"/>
      <c r="AP383" s="663"/>
      <c r="AQ383" s="31"/>
      <c r="AR383" s="31"/>
      <c r="AS383" s="31"/>
      <c r="AT383" s="31"/>
      <c r="AU383" s="31"/>
      <c r="AV383" s="31"/>
      <c r="AW383" s="31"/>
      <c r="AX383" s="31"/>
      <c r="AY383" s="31"/>
      <c r="AZ383" s="31">
        <f t="shared" si="76"/>
        <v>0</v>
      </c>
      <c r="BA383" s="25" t="str">
        <f t="shared" si="77"/>
        <v>DE child</v>
      </c>
      <c r="BB383" s="25">
        <f t="shared" si="78"/>
        <v>0</v>
      </c>
      <c r="BC383" s="25" t="str">
        <f t="shared" si="79"/>
        <v/>
      </c>
    </row>
    <row r="384" spans="1:55" ht="15" customHeight="1" outlineLevel="3" x14ac:dyDescent="0.2">
      <c r="A384" s="39">
        <v>4</v>
      </c>
      <c r="B384" s="23">
        <v>1030040</v>
      </c>
      <c r="C384" s="23" t="s">
        <v>151</v>
      </c>
      <c r="D384" s="22">
        <f>input_values!Z384</f>
        <v>4</v>
      </c>
      <c r="E384" s="657">
        <v>0</v>
      </c>
      <c r="F384" s="31">
        <v>0</v>
      </c>
      <c r="G384" s="31">
        <v>0</v>
      </c>
      <c r="H384" s="31">
        <v>0</v>
      </c>
      <c r="I384" s="31">
        <v>0</v>
      </c>
      <c r="J384" s="31">
        <v>0</v>
      </c>
      <c r="K384" s="31">
        <v>0</v>
      </c>
      <c r="L384" s="31">
        <v>0</v>
      </c>
      <c r="M384" s="31">
        <v>0</v>
      </c>
      <c r="N384" s="31">
        <v>0</v>
      </c>
      <c r="O384" s="31">
        <v>0</v>
      </c>
      <c r="P384" s="31">
        <v>0</v>
      </c>
      <c r="Q384" s="31">
        <v>0</v>
      </c>
      <c r="R384" s="587">
        <v>0</v>
      </c>
      <c r="S384" s="31">
        <v>0</v>
      </c>
      <c r="T384" s="31"/>
      <c r="U384" s="31">
        <v>0</v>
      </c>
      <c r="V384" s="31">
        <v>0</v>
      </c>
      <c r="W384" s="31">
        <v>0</v>
      </c>
      <c r="X384" s="31">
        <v>0</v>
      </c>
      <c r="Y384" s="31">
        <v>0</v>
      </c>
      <c r="Z384" s="31">
        <v>0</v>
      </c>
      <c r="AA384" s="31">
        <v>0</v>
      </c>
      <c r="AB384" s="31">
        <v>0</v>
      </c>
      <c r="AC384" s="31">
        <v>0</v>
      </c>
      <c r="AD384" s="31">
        <v>0</v>
      </c>
      <c r="AE384" s="31"/>
      <c r="AF384" s="31"/>
      <c r="AG384" s="31"/>
      <c r="AH384" s="31"/>
      <c r="AI384" s="31"/>
      <c r="AJ384" s="31"/>
      <c r="AK384" s="663">
        <v>0</v>
      </c>
      <c r="AL384" s="663">
        <v>0</v>
      </c>
      <c r="AM384" s="31">
        <v>0</v>
      </c>
      <c r="AN384" s="584"/>
      <c r="AO384" s="584"/>
      <c r="AP384" s="663"/>
      <c r="AQ384" s="31"/>
      <c r="AR384" s="31"/>
      <c r="AS384" s="31"/>
      <c r="AT384" s="31"/>
      <c r="AU384" s="31"/>
      <c r="AV384" s="31"/>
      <c r="AW384" s="31"/>
      <c r="AX384" s="31"/>
      <c r="AY384" s="31"/>
      <c r="AZ384" s="31">
        <f t="shared" si="76"/>
        <v>0</v>
      </c>
      <c r="BA384" s="25" t="str">
        <f t="shared" si="77"/>
        <v>DE child</v>
      </c>
      <c r="BB384" s="25">
        <f t="shared" si="78"/>
        <v>0</v>
      </c>
      <c r="BC384" s="25" t="str">
        <f t="shared" si="79"/>
        <v/>
      </c>
    </row>
    <row r="385" spans="1:55" ht="15" customHeight="1" outlineLevel="3" x14ac:dyDescent="0.2">
      <c r="A385" s="39">
        <v>4</v>
      </c>
      <c r="B385" s="23">
        <v>1030990</v>
      </c>
      <c r="C385" s="23" t="s">
        <v>633</v>
      </c>
      <c r="D385" s="22">
        <f>input_values!Z385</f>
        <v>4</v>
      </c>
      <c r="E385" s="657">
        <v>0</v>
      </c>
      <c r="F385" s="31">
        <v>0</v>
      </c>
      <c r="G385" s="31">
        <v>0</v>
      </c>
      <c r="H385" s="31">
        <v>0</v>
      </c>
      <c r="I385" s="31">
        <v>0</v>
      </c>
      <c r="J385" s="31">
        <v>0</v>
      </c>
      <c r="K385" s="31">
        <v>0</v>
      </c>
      <c r="L385" s="31">
        <v>0</v>
      </c>
      <c r="M385" s="31">
        <v>0</v>
      </c>
      <c r="N385" s="31">
        <v>0</v>
      </c>
      <c r="O385" s="31">
        <v>0</v>
      </c>
      <c r="P385" s="31">
        <v>0</v>
      </c>
      <c r="Q385" s="31">
        <v>0</v>
      </c>
      <c r="R385" s="587">
        <v>0</v>
      </c>
      <c r="S385" s="31">
        <v>0</v>
      </c>
      <c r="T385" s="31"/>
      <c r="U385" s="31">
        <v>0</v>
      </c>
      <c r="V385" s="31">
        <v>0</v>
      </c>
      <c r="W385" s="31">
        <v>0</v>
      </c>
      <c r="X385" s="31">
        <v>0</v>
      </c>
      <c r="Y385" s="31">
        <v>0</v>
      </c>
      <c r="Z385" s="31">
        <v>0</v>
      </c>
      <c r="AA385" s="31">
        <v>0</v>
      </c>
      <c r="AB385" s="31">
        <v>0</v>
      </c>
      <c r="AC385" s="31">
        <v>0</v>
      </c>
      <c r="AD385" s="31">
        <v>0</v>
      </c>
      <c r="AE385" s="31"/>
      <c r="AF385" s="31"/>
      <c r="AG385" s="31"/>
      <c r="AH385" s="31"/>
      <c r="AI385" s="31"/>
      <c r="AJ385" s="31"/>
      <c r="AK385" s="663">
        <v>0</v>
      </c>
      <c r="AL385" s="663">
        <v>0</v>
      </c>
      <c r="AM385" s="31">
        <v>0</v>
      </c>
      <c r="AN385" s="584"/>
      <c r="AO385" s="584"/>
      <c r="AP385" s="663"/>
      <c r="AQ385" s="31"/>
      <c r="AR385" s="31"/>
      <c r="AS385" s="31"/>
      <c r="AT385" s="31"/>
      <c r="AU385" s="31"/>
      <c r="AV385" s="31"/>
      <c r="AW385" s="31"/>
      <c r="AX385" s="31"/>
      <c r="AY385" s="31"/>
      <c r="AZ385" s="31">
        <f t="shared" si="76"/>
        <v>0</v>
      </c>
      <c r="BA385" s="25" t="str">
        <f t="shared" si="77"/>
        <v>DE child</v>
      </c>
      <c r="BB385" s="25">
        <f t="shared" si="78"/>
        <v>0</v>
      </c>
      <c r="BC385" s="25" t="str">
        <f t="shared" si="79"/>
        <v/>
      </c>
    </row>
    <row r="386" spans="1:55" ht="15" customHeight="1" outlineLevel="1" x14ac:dyDescent="0.2">
      <c r="A386" s="130">
        <v>2</v>
      </c>
      <c r="B386" s="131">
        <v>1040000</v>
      </c>
      <c r="C386" s="131" t="s">
        <v>811</v>
      </c>
      <c r="D386" s="79">
        <f>input_values!Z386</f>
        <v>2</v>
      </c>
      <c r="E386" s="656">
        <v>0.1</v>
      </c>
      <c r="F386" s="92">
        <v>0</v>
      </c>
      <c r="G386" s="92">
        <v>1.9E-2</v>
      </c>
      <c r="H386" s="92">
        <v>9.6313709306145943E-3</v>
      </c>
      <c r="I386" s="92">
        <v>3.8331214386511395E-2</v>
      </c>
      <c r="J386" s="92">
        <v>2.8372406003399651E-2</v>
      </c>
      <c r="K386" s="92">
        <v>0</v>
      </c>
      <c r="L386" s="92">
        <v>4.3999999999999997E-2</v>
      </c>
      <c r="M386" s="92">
        <v>2.4E-2</v>
      </c>
      <c r="N386" s="92">
        <v>4.8399999999999999E-2</v>
      </c>
      <c r="O386" s="92">
        <v>2.81E-2</v>
      </c>
      <c r="P386" s="92">
        <v>0</v>
      </c>
      <c r="Q386" s="92">
        <v>1.77E-2</v>
      </c>
      <c r="R386" s="589">
        <v>0</v>
      </c>
      <c r="S386" s="92">
        <v>1.9618141535668095E-2</v>
      </c>
      <c r="T386" s="92"/>
      <c r="U386" s="92">
        <v>0</v>
      </c>
      <c r="V386" s="92">
        <v>0</v>
      </c>
      <c r="W386" s="92">
        <v>0</v>
      </c>
      <c r="X386" s="92">
        <v>1.2E-2</v>
      </c>
      <c r="Y386" s="92">
        <v>0</v>
      </c>
      <c r="Z386" s="92">
        <v>0</v>
      </c>
      <c r="AA386" s="92">
        <v>1.6666666666666666E-2</v>
      </c>
      <c r="AB386" s="92">
        <v>3.1666666666666662E-2</v>
      </c>
      <c r="AC386" s="92">
        <v>1.37E-2</v>
      </c>
      <c r="AD386" s="92">
        <v>0</v>
      </c>
      <c r="AE386" s="92"/>
      <c r="AF386" s="92"/>
      <c r="AG386" s="92"/>
      <c r="AH386" s="92"/>
      <c r="AI386" s="92"/>
      <c r="AJ386" s="92"/>
      <c r="AK386" s="664">
        <v>4.128794047940295E-2</v>
      </c>
      <c r="AL386" s="664">
        <v>3.6664569495451417E-2</v>
      </c>
      <c r="AM386" s="92">
        <v>4.6799299999999997E-3</v>
      </c>
      <c r="AN386" s="583">
        <v>9.7159307999999996E-3</v>
      </c>
      <c r="AO386" s="583">
        <v>8.2957024000000004E-3</v>
      </c>
      <c r="AP386" s="664"/>
      <c r="AQ386" s="92"/>
      <c r="AR386" s="92"/>
      <c r="AS386" s="92"/>
      <c r="AT386" s="92"/>
      <c r="AU386" s="92"/>
      <c r="AV386" s="92"/>
      <c r="AW386" s="92"/>
      <c r="AX386" s="92"/>
      <c r="AY386" s="92"/>
      <c r="AZ386" s="92">
        <f t="shared" si="76"/>
        <v>0.1</v>
      </c>
      <c r="BA386" s="42" t="str">
        <f t="shared" si="77"/>
        <v>DE child</v>
      </c>
      <c r="BB386" s="42">
        <f t="shared" si="78"/>
        <v>0</v>
      </c>
      <c r="BC386" s="42" t="str">
        <f t="shared" si="79"/>
        <v/>
      </c>
    </row>
    <row r="387" spans="1:55" ht="15" customHeight="1" outlineLevel="1" x14ac:dyDescent="0.2">
      <c r="A387" s="130">
        <v>2</v>
      </c>
      <c r="B387" s="131">
        <v>1050000</v>
      </c>
      <c r="C387" s="131" t="s">
        <v>38</v>
      </c>
      <c r="D387" s="79">
        <f>input_values!Z387</f>
        <v>2</v>
      </c>
      <c r="E387" s="656">
        <v>0</v>
      </c>
      <c r="F387" s="92">
        <v>0</v>
      </c>
      <c r="G387" s="92">
        <v>0</v>
      </c>
      <c r="H387" s="92">
        <v>0</v>
      </c>
      <c r="I387" s="92">
        <v>0</v>
      </c>
      <c r="J387" s="92">
        <v>0</v>
      </c>
      <c r="K387" s="92">
        <v>0</v>
      </c>
      <c r="L387" s="92">
        <v>0</v>
      </c>
      <c r="M387" s="92">
        <v>0</v>
      </c>
      <c r="N387" s="92">
        <v>0</v>
      </c>
      <c r="O387" s="92">
        <v>0</v>
      </c>
      <c r="P387" s="92">
        <v>0</v>
      </c>
      <c r="Q387" s="92">
        <v>0</v>
      </c>
      <c r="R387" s="589">
        <v>0</v>
      </c>
      <c r="S387" s="92">
        <v>0</v>
      </c>
      <c r="T387" s="92"/>
      <c r="U387" s="92">
        <v>0</v>
      </c>
      <c r="V387" s="92">
        <v>0</v>
      </c>
      <c r="W387" s="92">
        <v>0</v>
      </c>
      <c r="X387" s="92">
        <v>0</v>
      </c>
      <c r="Y387" s="92">
        <v>0</v>
      </c>
      <c r="Z387" s="92">
        <v>0</v>
      </c>
      <c r="AA387" s="92">
        <v>0</v>
      </c>
      <c r="AB387" s="92">
        <v>0</v>
      </c>
      <c r="AC387" s="92">
        <v>0</v>
      </c>
      <c r="AD387" s="92">
        <v>0</v>
      </c>
      <c r="AE387" s="92"/>
      <c r="AF387" s="92"/>
      <c r="AG387" s="92"/>
      <c r="AH387" s="92"/>
      <c r="AI387" s="92"/>
      <c r="AJ387" s="92"/>
      <c r="AK387" s="664">
        <v>0</v>
      </c>
      <c r="AL387" s="664">
        <v>0</v>
      </c>
      <c r="AM387" s="92">
        <v>0</v>
      </c>
      <c r="AN387" s="583"/>
      <c r="AO387" s="583"/>
      <c r="AP387" s="664"/>
      <c r="AQ387" s="92"/>
      <c r="AR387" s="92"/>
      <c r="AS387" s="92"/>
      <c r="AT387" s="92"/>
      <c r="AU387" s="92"/>
      <c r="AV387" s="92"/>
      <c r="AW387" s="92"/>
      <c r="AX387" s="92"/>
      <c r="AY387" s="92"/>
      <c r="AZ387" s="92">
        <f t="shared" si="76"/>
        <v>0</v>
      </c>
      <c r="BA387" s="42" t="str">
        <f t="shared" si="77"/>
        <v>DE child</v>
      </c>
      <c r="BB387" s="42">
        <f t="shared" si="78"/>
        <v>0</v>
      </c>
      <c r="BC387" s="42" t="str">
        <f t="shared" si="79"/>
        <v/>
      </c>
    </row>
    <row r="388" spans="1:55" ht="15" customHeight="1" outlineLevel="1" x14ac:dyDescent="0.2">
      <c r="A388" s="130">
        <v>2</v>
      </c>
      <c r="B388" s="131">
        <v>1060000</v>
      </c>
      <c r="C388" s="131" t="s">
        <v>812</v>
      </c>
      <c r="D388" s="79">
        <f>input_values!Z388</f>
        <v>2</v>
      </c>
      <c r="E388" s="656">
        <v>0</v>
      </c>
      <c r="F388" s="92">
        <v>0</v>
      </c>
      <c r="G388" s="92">
        <v>1.8E-3</v>
      </c>
      <c r="H388" s="92">
        <v>0</v>
      </c>
      <c r="I388" s="92">
        <v>0</v>
      </c>
      <c r="J388" s="92">
        <v>6.7202745312112218E-3</v>
      </c>
      <c r="K388" s="92">
        <v>0</v>
      </c>
      <c r="L388" s="92">
        <v>0</v>
      </c>
      <c r="M388" s="92">
        <v>0</v>
      </c>
      <c r="N388" s="92">
        <v>0</v>
      </c>
      <c r="O388" s="92">
        <v>0</v>
      </c>
      <c r="P388" s="92">
        <v>0</v>
      </c>
      <c r="Q388" s="92">
        <v>5.3E-3</v>
      </c>
      <c r="R388" s="589">
        <v>0</v>
      </c>
      <c r="S388" s="92">
        <v>1.8509294794418589E-3</v>
      </c>
      <c r="T388" s="92"/>
      <c r="U388" s="92">
        <v>0</v>
      </c>
      <c r="V388" s="92">
        <v>0</v>
      </c>
      <c r="W388" s="92">
        <v>0</v>
      </c>
      <c r="X388" s="92">
        <v>0</v>
      </c>
      <c r="Y388" s="92">
        <v>0</v>
      </c>
      <c r="Z388" s="92">
        <v>0</v>
      </c>
      <c r="AA388" s="92">
        <v>0</v>
      </c>
      <c r="AB388" s="92">
        <v>0</v>
      </c>
      <c r="AC388" s="92">
        <v>0</v>
      </c>
      <c r="AD388" s="92">
        <v>0</v>
      </c>
      <c r="AE388" s="92"/>
      <c r="AF388" s="92"/>
      <c r="AG388" s="92"/>
      <c r="AH388" s="92"/>
      <c r="AI388" s="92"/>
      <c r="AJ388" s="92"/>
      <c r="AK388" s="664">
        <v>0</v>
      </c>
      <c r="AL388" s="664">
        <v>0</v>
      </c>
      <c r="AM388" s="92">
        <v>0</v>
      </c>
      <c r="AN388" s="583"/>
      <c r="AO388" s="583"/>
      <c r="AP388" s="664"/>
      <c r="AQ388" s="92"/>
      <c r="AR388" s="92"/>
      <c r="AS388" s="92"/>
      <c r="AT388" s="92"/>
      <c r="AU388" s="92"/>
      <c r="AV388" s="92"/>
      <c r="AW388" s="92"/>
      <c r="AX388" s="92"/>
      <c r="AY388" s="92"/>
      <c r="AZ388" s="92">
        <f t="shared" si="76"/>
        <v>6.7202745312112218E-3</v>
      </c>
      <c r="BA388" s="42" t="str">
        <f t="shared" si="77"/>
        <v>FR child 3 15 yr</v>
      </c>
      <c r="BB388" s="42">
        <f t="shared" si="78"/>
        <v>0</v>
      </c>
      <c r="BC388" s="42" t="str">
        <f t="shared" si="79"/>
        <v/>
      </c>
    </row>
    <row r="389" spans="1:55" ht="15" customHeight="1" outlineLevel="1" x14ac:dyDescent="0.2">
      <c r="A389" s="130">
        <v>2</v>
      </c>
      <c r="B389" s="131">
        <v>1070000</v>
      </c>
      <c r="C389" s="131" t="s">
        <v>813</v>
      </c>
      <c r="D389" s="79">
        <f>input_values!Z389</f>
        <v>2</v>
      </c>
      <c r="E389" s="656">
        <v>0</v>
      </c>
      <c r="F389" s="92">
        <v>0</v>
      </c>
      <c r="G389" s="92">
        <v>1.09E-2</v>
      </c>
      <c r="H389" s="92">
        <v>0</v>
      </c>
      <c r="I389" s="92">
        <v>0</v>
      </c>
      <c r="J389" s="92">
        <v>0</v>
      </c>
      <c r="K389" s="92">
        <v>0</v>
      </c>
      <c r="L389" s="92">
        <v>0</v>
      </c>
      <c r="M389" s="92">
        <v>0</v>
      </c>
      <c r="N389" s="92">
        <v>0</v>
      </c>
      <c r="O389" s="92">
        <v>0</v>
      </c>
      <c r="P389" s="92">
        <v>0</v>
      </c>
      <c r="Q389" s="92">
        <v>1.4800000000000001E-2</v>
      </c>
      <c r="R389" s="589">
        <v>0</v>
      </c>
      <c r="S389" s="92">
        <v>0</v>
      </c>
      <c r="T389" s="92"/>
      <c r="U389" s="92">
        <v>0</v>
      </c>
      <c r="V389" s="92">
        <v>0</v>
      </c>
      <c r="W389" s="92">
        <v>0</v>
      </c>
      <c r="X389" s="92">
        <v>0</v>
      </c>
      <c r="Y389" s="92">
        <v>0</v>
      </c>
      <c r="Z389" s="92">
        <v>0</v>
      </c>
      <c r="AA389" s="92">
        <v>0</v>
      </c>
      <c r="AB389" s="92">
        <v>0</v>
      </c>
      <c r="AC389" s="92">
        <v>0</v>
      </c>
      <c r="AD389" s="92">
        <v>0</v>
      </c>
      <c r="AE389" s="92"/>
      <c r="AF389" s="92"/>
      <c r="AG389" s="92"/>
      <c r="AH389" s="92"/>
      <c r="AI389" s="92"/>
      <c r="AJ389" s="92"/>
      <c r="AK389" s="664">
        <v>0</v>
      </c>
      <c r="AL389" s="664">
        <v>0</v>
      </c>
      <c r="AM389" s="92">
        <v>0</v>
      </c>
      <c r="AN389" s="583"/>
      <c r="AO389" s="583"/>
      <c r="AP389" s="664"/>
      <c r="AQ389" s="92"/>
      <c r="AR389" s="92"/>
      <c r="AS389" s="92"/>
      <c r="AT389" s="92"/>
      <c r="AU389" s="92"/>
      <c r="AV389" s="92"/>
      <c r="AW389" s="92"/>
      <c r="AX389" s="92"/>
      <c r="AY389" s="92"/>
      <c r="AZ389" s="92">
        <f t="shared" si="76"/>
        <v>1.4800000000000001E-2</v>
      </c>
      <c r="BA389" s="42" t="str">
        <f t="shared" si="77"/>
        <v>ES adult</v>
      </c>
      <c r="BB389" s="42">
        <f t="shared" si="78"/>
        <v>0</v>
      </c>
      <c r="BC389" s="42" t="str">
        <f t="shared" si="79"/>
        <v/>
      </c>
    </row>
    <row r="390" spans="1:55" ht="15" customHeight="1" x14ac:dyDescent="0.2">
      <c r="A390" s="126">
        <v>1</v>
      </c>
      <c r="B390" s="127">
        <v>1100000</v>
      </c>
      <c r="C390" s="127" t="s">
        <v>814</v>
      </c>
      <c r="D390" s="81">
        <f>input_values!Z390</f>
        <v>0</v>
      </c>
      <c r="E390" s="659">
        <v>0.36</v>
      </c>
      <c r="F390" s="91"/>
      <c r="G390" s="91">
        <v>0</v>
      </c>
      <c r="H390" s="91">
        <v>0.17942237393147578</v>
      </c>
      <c r="I390" s="91">
        <v>0.64297859303999794</v>
      </c>
      <c r="J390" s="91">
        <v>0.69593892045692385</v>
      </c>
      <c r="K390" s="91">
        <v>0</v>
      </c>
      <c r="L390" s="91">
        <v>0</v>
      </c>
      <c r="M390" s="91">
        <v>0</v>
      </c>
      <c r="N390" s="91">
        <v>0.3448</v>
      </c>
      <c r="O390" s="91">
        <v>0.4345</v>
      </c>
      <c r="P390" s="91">
        <v>0</v>
      </c>
      <c r="Q390" s="91">
        <v>0</v>
      </c>
      <c r="R390" s="588">
        <v>0</v>
      </c>
      <c r="S390" s="91">
        <v>0.34310100218907141</v>
      </c>
      <c r="T390" s="91"/>
      <c r="U390" s="91">
        <v>0</v>
      </c>
      <c r="V390" s="91">
        <v>0</v>
      </c>
      <c r="W390" s="91">
        <v>0</v>
      </c>
      <c r="X390" s="91">
        <v>0</v>
      </c>
      <c r="Y390" s="91">
        <v>0</v>
      </c>
      <c r="Z390" s="91">
        <v>0</v>
      </c>
      <c r="AA390" s="91">
        <v>0</v>
      </c>
      <c r="AB390" s="91">
        <v>0</v>
      </c>
      <c r="AC390" s="91">
        <v>0.27239999999999998</v>
      </c>
      <c r="AD390" s="91">
        <v>0.27289999999999998</v>
      </c>
      <c r="AE390" s="91"/>
      <c r="AF390" s="91"/>
      <c r="AG390" s="91"/>
      <c r="AH390" s="91"/>
      <c r="AI390" s="91"/>
      <c r="AJ390" s="91"/>
      <c r="AK390" s="665">
        <v>0.39053735308598841</v>
      </c>
      <c r="AL390" s="665">
        <v>0.31465771311061974</v>
      </c>
      <c r="AM390" s="91">
        <v>2.62808E-2</v>
      </c>
      <c r="AN390" s="586"/>
      <c r="AO390" s="586"/>
      <c r="AP390" s="665"/>
      <c r="AQ390" s="91"/>
      <c r="AR390" s="91"/>
      <c r="AS390" s="91"/>
      <c r="AT390" s="91"/>
      <c r="AU390" s="91"/>
      <c r="AV390" s="91"/>
      <c r="AW390" s="91"/>
      <c r="AX390" s="91"/>
      <c r="AY390" s="91"/>
      <c r="AZ390" s="91">
        <f t="shared" si="76"/>
        <v>0.69593892045692385</v>
      </c>
      <c r="BA390" s="41" t="str">
        <f t="shared" si="77"/>
        <v>FR child 3 15 yr</v>
      </c>
      <c r="BB390" s="41">
        <f t="shared" si="78"/>
        <v>0</v>
      </c>
      <c r="BC390" s="41" t="str">
        <f t="shared" si="79"/>
        <v/>
      </c>
    </row>
    <row r="391" spans="1:55" ht="15" customHeight="1" x14ac:dyDescent="0.2">
      <c r="A391" s="66" t="str">
        <f>acute_overview_children!A391</f>
        <v>.</v>
      </c>
      <c r="B391" s="8">
        <f>acute_overview_children!B391</f>
        <v>0</v>
      </c>
      <c r="C391" s="135"/>
      <c r="D391" s="47">
        <f>input_values!Z391</f>
        <v>0</v>
      </c>
      <c r="E391" s="8">
        <v>0</v>
      </c>
      <c r="F391" s="8">
        <v>0</v>
      </c>
      <c r="G391" s="8">
        <v>0</v>
      </c>
      <c r="H391" s="8">
        <v>0</v>
      </c>
      <c r="I391" s="8">
        <v>0</v>
      </c>
      <c r="J391" s="8">
        <v>0</v>
      </c>
      <c r="K391" s="8">
        <v>0</v>
      </c>
      <c r="L391" s="8">
        <v>0</v>
      </c>
      <c r="M391" s="8">
        <v>0</v>
      </c>
      <c r="N391" s="8">
        <v>0</v>
      </c>
      <c r="O391" s="8">
        <v>0</v>
      </c>
      <c r="P391" s="8">
        <v>0</v>
      </c>
      <c r="Q391" s="8">
        <v>0</v>
      </c>
      <c r="R391" s="8">
        <v>0</v>
      </c>
      <c r="S391" s="8">
        <v>0</v>
      </c>
      <c r="T391" s="8">
        <v>0</v>
      </c>
      <c r="U391" s="8">
        <v>0</v>
      </c>
      <c r="V391" s="8">
        <v>0</v>
      </c>
      <c r="W391" s="8">
        <v>0</v>
      </c>
      <c r="X391" s="8">
        <v>0</v>
      </c>
      <c r="Y391" s="8">
        <v>0</v>
      </c>
      <c r="Z391" s="8">
        <v>0</v>
      </c>
      <c r="AA391" s="8">
        <v>0</v>
      </c>
      <c r="AB391" s="8">
        <v>0</v>
      </c>
      <c r="AC391" s="8">
        <v>0</v>
      </c>
      <c r="AD391" s="8">
        <v>0</v>
      </c>
      <c r="AE391" s="8"/>
      <c r="AF391" s="8"/>
      <c r="AG391" s="8"/>
      <c r="AH391" s="8"/>
      <c r="AI391" s="8"/>
      <c r="AJ391" s="8"/>
      <c r="AK391" s="9">
        <v>0</v>
      </c>
      <c r="AL391" s="9">
        <v>0</v>
      </c>
      <c r="AM391" s="9">
        <v>0</v>
      </c>
      <c r="AN391" s="9"/>
      <c r="AO391" s="9"/>
      <c r="AP391" s="9">
        <f>SUM(AP392,AP399,AP412,AP419,AP425,AP445)</f>
        <v>0</v>
      </c>
      <c r="AQ391" s="9"/>
      <c r="AR391" s="9"/>
      <c r="AS391" s="9"/>
      <c r="AT391" s="9"/>
      <c r="AU391" s="9"/>
      <c r="AV391" s="9"/>
      <c r="AW391" s="9"/>
      <c r="AX391" s="9"/>
      <c r="AY391" s="9"/>
      <c r="AZ391" s="9">
        <f t="shared" si="76"/>
        <v>0</v>
      </c>
      <c r="BA391" s="9" t="str">
        <f t="shared" si="77"/>
        <v>DE child</v>
      </c>
      <c r="BB391" s="9">
        <f t="shared" si="78"/>
        <v>0</v>
      </c>
      <c r="BC391" s="9" t="str">
        <f t="shared" si="79"/>
        <v/>
      </c>
    </row>
    <row r="392" spans="1:55" ht="15" customHeight="1" x14ac:dyDescent="0.2">
      <c r="A392" s="39"/>
      <c r="B392" s="23"/>
      <c r="C392" s="28"/>
      <c r="D392" s="27"/>
      <c r="E392" s="28">
        <v>0</v>
      </c>
      <c r="F392" s="28">
        <v>0</v>
      </c>
      <c r="G392" s="28">
        <v>0</v>
      </c>
      <c r="H392" s="28">
        <v>0</v>
      </c>
      <c r="I392" s="28">
        <v>0</v>
      </c>
      <c r="J392" s="28">
        <v>0</v>
      </c>
      <c r="K392" s="28">
        <v>0</v>
      </c>
      <c r="L392" s="28">
        <v>0</v>
      </c>
      <c r="M392" s="28">
        <v>0</v>
      </c>
      <c r="N392" s="28">
        <v>0</v>
      </c>
      <c r="O392" s="28">
        <v>0</v>
      </c>
      <c r="P392" s="28">
        <v>0</v>
      </c>
      <c r="Q392" s="28">
        <v>0</v>
      </c>
      <c r="R392" s="28">
        <v>0</v>
      </c>
      <c r="S392" s="28">
        <v>0</v>
      </c>
      <c r="T392" s="28">
        <v>0</v>
      </c>
      <c r="U392" s="28">
        <v>0</v>
      </c>
      <c r="V392" s="28">
        <v>0</v>
      </c>
      <c r="W392" s="28">
        <v>0</v>
      </c>
      <c r="X392" s="28">
        <v>0</v>
      </c>
      <c r="Y392" s="28">
        <v>0</v>
      </c>
      <c r="Z392" s="28">
        <v>0</v>
      </c>
      <c r="AA392" s="28">
        <v>0</v>
      </c>
      <c r="AB392" s="28">
        <v>0</v>
      </c>
      <c r="AC392" s="28">
        <v>0</v>
      </c>
      <c r="AD392" s="28">
        <v>0</v>
      </c>
      <c r="AE392" s="28"/>
      <c r="AF392" s="28"/>
      <c r="AG392" s="28"/>
      <c r="AH392" s="28"/>
      <c r="AI392" s="28"/>
      <c r="AJ392" s="28"/>
      <c r="AK392" s="25"/>
      <c r="AL392" s="25"/>
      <c r="AM392" s="25"/>
      <c r="AN392" s="25"/>
      <c r="AO392" s="25"/>
      <c r="AP392" s="25">
        <f>SUM(AP393,AP400,AP413,AP420,AP426,AP446)</f>
        <v>0</v>
      </c>
      <c r="AQ392" s="25"/>
      <c r="AR392" s="25"/>
      <c r="AS392" s="25"/>
      <c r="AT392" s="25"/>
      <c r="AU392" s="25"/>
      <c r="AV392" s="25"/>
      <c r="AW392" s="25"/>
      <c r="AX392" s="25"/>
      <c r="AY392" s="25"/>
      <c r="AZ392" s="25">
        <f t="shared" si="76"/>
        <v>0</v>
      </c>
      <c r="BA392" s="25" t="str">
        <f t="shared" si="77"/>
        <v>DE child</v>
      </c>
      <c r="BB392" s="25">
        <f t="shared" si="78"/>
        <v>0</v>
      </c>
      <c r="BC392" s="25" t="str">
        <f t="shared" si="79"/>
        <v/>
      </c>
    </row>
    <row r="393" spans="1:55" ht="15" customHeight="1" x14ac:dyDescent="0.2">
      <c r="A393" s="67"/>
      <c r="B393" s="68" t="s">
        <v>261</v>
      </c>
      <c r="C393" s="69"/>
      <c r="D393" s="83"/>
      <c r="E393" s="595">
        <f t="shared" ref="E393:AO393" si="87">SUM(E390,E323,E318,E277,E276,E253,E242,E218,E212,E97,E12)</f>
        <v>61.280696000000006</v>
      </c>
      <c r="F393" s="595">
        <f t="shared" si="87"/>
        <v>40.870909090909095</v>
      </c>
      <c r="G393" s="595">
        <f t="shared" si="87"/>
        <v>35.415299999999995</v>
      </c>
      <c r="H393" s="595">
        <f t="shared" si="87"/>
        <v>29.224640084362477</v>
      </c>
      <c r="I393" s="595">
        <f t="shared" si="87"/>
        <v>55.020822875788525</v>
      </c>
      <c r="J393" s="595">
        <f t="shared" si="87"/>
        <v>54.026542891108924</v>
      </c>
      <c r="K393" s="595">
        <f t="shared" si="87"/>
        <v>16.422494592646</v>
      </c>
      <c r="L393" s="595">
        <f t="shared" si="87"/>
        <v>123.5385</v>
      </c>
      <c r="M393" s="595">
        <f t="shared" si="87"/>
        <v>65.199841000000006</v>
      </c>
      <c r="N393" s="595">
        <f t="shared" si="87"/>
        <v>60.952740229885052</v>
      </c>
      <c r="O393" s="595">
        <f t="shared" si="87"/>
        <v>44.990956164383562</v>
      </c>
      <c r="P393" s="595">
        <f t="shared" si="87"/>
        <v>16.384861051930759</v>
      </c>
      <c r="Q393" s="595">
        <f t="shared" si="87"/>
        <v>20.078100000000003</v>
      </c>
      <c r="R393" s="595">
        <f t="shared" si="87"/>
        <v>12.592304554799998</v>
      </c>
      <c r="S393" s="595">
        <f t="shared" si="87"/>
        <v>19.774116701484672</v>
      </c>
      <c r="T393" s="595">
        <f t="shared" si="87"/>
        <v>0</v>
      </c>
      <c r="U393" s="595">
        <f t="shared" si="87"/>
        <v>32.363297872340425</v>
      </c>
      <c r="V393" s="595">
        <f t="shared" si="87"/>
        <v>12.115621711020898</v>
      </c>
      <c r="W393" s="595">
        <f t="shared" si="87"/>
        <v>16.195999999999998</v>
      </c>
      <c r="X393" s="595">
        <f t="shared" si="87"/>
        <v>28.322760000000002</v>
      </c>
      <c r="Y393" s="595">
        <f t="shared" si="87"/>
        <v>9.7130159235668803</v>
      </c>
      <c r="Z393" s="595">
        <f t="shared" si="87"/>
        <v>20.8445</v>
      </c>
      <c r="AA393" s="595">
        <f t="shared" si="87"/>
        <v>37.713333333333331</v>
      </c>
      <c r="AB393" s="595">
        <f t="shared" si="87"/>
        <v>37.343333333333334</v>
      </c>
      <c r="AC393" s="595">
        <f t="shared" si="87"/>
        <v>13.719323684210526</v>
      </c>
      <c r="AD393" s="595">
        <f t="shared" si="87"/>
        <v>14.749301799100449</v>
      </c>
      <c r="AE393" s="595">
        <f t="shared" si="87"/>
        <v>37.630000000000003</v>
      </c>
      <c r="AF393" s="595">
        <f t="shared" si="87"/>
        <v>36.786166666666666</v>
      </c>
      <c r="AG393" s="595">
        <f t="shared" si="87"/>
        <v>36.477166666666669</v>
      </c>
      <c r="AH393" s="595">
        <f t="shared" si="87"/>
        <v>35.672333333333327</v>
      </c>
      <c r="AI393" s="595">
        <f t="shared" si="87"/>
        <v>39.476666666666667</v>
      </c>
      <c r="AJ393" s="595">
        <f t="shared" si="87"/>
        <v>36.721333333333327</v>
      </c>
      <c r="AK393" s="595">
        <f t="shared" si="87"/>
        <v>34.019161367851162</v>
      </c>
      <c r="AL393" s="595">
        <f t="shared" si="87"/>
        <v>34.834187878355692</v>
      </c>
      <c r="AM393" s="595">
        <f t="shared" si="87"/>
        <v>7.9474152908999995</v>
      </c>
      <c r="AN393" s="595">
        <f t="shared" si="87"/>
        <v>16.7398571162</v>
      </c>
      <c r="AO393" s="595">
        <f t="shared" si="87"/>
        <v>13.0931575424</v>
      </c>
      <c r="AP393" s="441">
        <f>SUM(AP394,AP401,AP414,AP421,AP427,AP447)</f>
        <v>0</v>
      </c>
      <c r="AQ393" s="441"/>
      <c r="AR393" s="441"/>
      <c r="AS393" s="441"/>
      <c r="AT393" s="441"/>
      <c r="AU393" s="441"/>
      <c r="AV393" s="441"/>
      <c r="AW393" s="441"/>
      <c r="AX393" s="441"/>
      <c r="AY393" s="441"/>
      <c r="AZ393" s="441">
        <f t="shared" si="76"/>
        <v>123.5385</v>
      </c>
      <c r="BA393" s="441" t="str">
        <f t="shared" si="77"/>
        <v>NL toddler</v>
      </c>
      <c r="BB393" s="441">
        <f t="shared" si="78"/>
        <v>0</v>
      </c>
      <c r="BC393" s="441" t="str">
        <f t="shared" si="79"/>
        <v/>
      </c>
    </row>
    <row r="394" spans="1:55" s="29" customFormat="1" ht="15" customHeight="1" x14ac:dyDescent="0.2">
      <c r="D394" s="84"/>
      <c r="E394" s="36"/>
      <c r="F394" s="36"/>
      <c r="G394" s="36"/>
      <c r="H394" s="36"/>
      <c r="I394" s="36"/>
      <c r="J394" s="36"/>
      <c r="K394" s="36"/>
      <c r="L394" s="36"/>
      <c r="M394" s="36"/>
      <c r="N394" s="36"/>
      <c r="O394" s="36"/>
      <c r="P394" s="36"/>
      <c r="Q394" s="36"/>
      <c r="R394" s="36"/>
      <c r="S394" s="36"/>
      <c r="T394" s="36"/>
      <c r="U394" s="36"/>
      <c r="V394" s="36"/>
      <c r="W394" s="36"/>
      <c r="X394" s="36"/>
      <c r="Y394" s="36"/>
      <c r="Z394" s="36"/>
      <c r="AL394" s="88"/>
      <c r="AM394" s="88"/>
    </row>
    <row r="395" spans="1:55" ht="15" hidden="1" customHeight="1" x14ac:dyDescent="0.2">
      <c r="AL395" s="436"/>
      <c r="AM395" s="436"/>
    </row>
    <row r="396" spans="1:55" ht="15" hidden="1" customHeight="1" x14ac:dyDescent="0.2">
      <c r="AL396" s="436"/>
      <c r="AM396" s="436"/>
    </row>
    <row r="397" spans="1:55" ht="15" hidden="1" customHeight="1" x14ac:dyDescent="0.2">
      <c r="AL397" s="436"/>
      <c r="AM397" s="436"/>
    </row>
    <row r="398" spans="1:55" ht="15" hidden="1" customHeight="1" x14ac:dyDescent="0.2">
      <c r="AL398" s="436"/>
      <c r="AM398" s="436"/>
    </row>
    <row r="399" spans="1:55" ht="15" hidden="1" customHeight="1" x14ac:dyDescent="0.2">
      <c r="AL399" s="436"/>
      <c r="AM399" s="436"/>
    </row>
    <row r="400" spans="1:55" ht="15" hidden="1" customHeight="1" x14ac:dyDescent="0.2">
      <c r="AL400" s="436"/>
      <c r="AM400" s="436"/>
    </row>
    <row r="401" spans="1:47" ht="15" hidden="1" customHeight="1" x14ac:dyDescent="0.2">
      <c r="AL401" s="436"/>
      <c r="AM401" s="436"/>
    </row>
    <row r="402" spans="1:47" ht="15" hidden="1" customHeight="1" x14ac:dyDescent="0.2">
      <c r="AL402" s="436"/>
      <c r="AM402" s="436"/>
    </row>
    <row r="403" spans="1:47" ht="15" hidden="1" customHeight="1" x14ac:dyDescent="0.2">
      <c r="AL403" s="436"/>
      <c r="AM403" s="436"/>
    </row>
    <row r="404" spans="1:47" ht="15" hidden="1" customHeight="1" x14ac:dyDescent="0.2">
      <c r="AL404" s="436"/>
      <c r="AM404" s="436"/>
    </row>
    <row r="405" spans="1:47" ht="15" hidden="1" customHeight="1" x14ac:dyDescent="0.2">
      <c r="AL405" s="436"/>
      <c r="AM405" s="436"/>
    </row>
    <row r="406" spans="1:47" ht="15" hidden="1" customHeight="1" x14ac:dyDescent="0.2">
      <c r="AL406" s="436"/>
      <c r="AM406" s="436"/>
    </row>
    <row r="407" spans="1:47" ht="15" hidden="1" customHeight="1" x14ac:dyDescent="0.2">
      <c r="AL407" s="436"/>
      <c r="AM407" s="436"/>
    </row>
    <row r="408" spans="1:47" ht="15" hidden="1" customHeight="1" x14ac:dyDescent="0.2">
      <c r="AL408" s="436"/>
      <c r="AM408" s="436"/>
    </row>
    <row r="409" spans="1:47" s="33" customFormat="1" ht="15" hidden="1" customHeight="1" x14ac:dyDescent="0.2">
      <c r="D409" s="77"/>
      <c r="N409" s="33">
        <v>8.6999999999999993</v>
      </c>
      <c r="O409" s="33">
        <v>14.6</v>
      </c>
      <c r="AC409" s="33">
        <v>76</v>
      </c>
      <c r="AD409" s="33">
        <v>66.7</v>
      </c>
      <c r="AL409" s="44"/>
      <c r="AM409" s="44"/>
    </row>
    <row r="410" spans="1:47" s="29" customFormat="1" ht="63.75" customHeight="1" x14ac:dyDescent="0.2">
      <c r="A410" s="30"/>
      <c r="B410" s="30"/>
      <c r="C410" s="52"/>
      <c r="D410" s="85"/>
      <c r="E410" s="32" t="s">
        <v>375</v>
      </c>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437"/>
      <c r="AM410" s="437"/>
      <c r="AN410" s="53"/>
      <c r="AO410" s="53"/>
      <c r="AP410" s="53"/>
      <c r="AQ410" s="53"/>
      <c r="AR410" s="53"/>
      <c r="AS410" s="53"/>
      <c r="AT410" s="53"/>
      <c r="AU410" s="53"/>
    </row>
    <row r="411" spans="1:47" ht="105" customHeight="1" x14ac:dyDescent="0.2">
      <c r="A411" s="527" t="s">
        <v>43</v>
      </c>
      <c r="B411" s="528" t="s">
        <v>44</v>
      </c>
      <c r="C411" s="529" t="s">
        <v>153</v>
      </c>
      <c r="D411" s="517" t="s">
        <v>318</v>
      </c>
      <c r="E411" s="518" t="s">
        <v>256</v>
      </c>
      <c r="F411" s="518" t="s">
        <v>257</v>
      </c>
      <c r="G411" s="518" t="s">
        <v>1</v>
      </c>
      <c r="H411" s="518" t="s">
        <v>258</v>
      </c>
      <c r="I411" s="518" t="s">
        <v>309</v>
      </c>
      <c r="J411" s="518" t="s">
        <v>310</v>
      </c>
      <c r="K411" s="518" t="s">
        <v>311</v>
      </c>
      <c r="L411" s="518" t="s">
        <v>329</v>
      </c>
      <c r="M411" s="518" t="s">
        <v>259</v>
      </c>
      <c r="N411" s="519" t="s">
        <v>89</v>
      </c>
      <c r="O411" s="520" t="s">
        <v>91</v>
      </c>
      <c r="P411" s="518" t="s">
        <v>252</v>
      </c>
      <c r="Q411" s="518" t="s">
        <v>0</v>
      </c>
      <c r="R411" s="519" t="s">
        <v>312</v>
      </c>
      <c r="S411" s="518" t="s">
        <v>313</v>
      </c>
      <c r="T411" s="518" t="s">
        <v>644</v>
      </c>
      <c r="U411" s="518" t="s">
        <v>253</v>
      </c>
      <c r="V411" s="518" t="s">
        <v>244</v>
      </c>
      <c r="W411" s="518" t="s">
        <v>254</v>
      </c>
      <c r="X411" s="518" t="s">
        <v>338</v>
      </c>
      <c r="Y411" s="518" t="s">
        <v>314</v>
      </c>
      <c r="Z411" s="518" t="s">
        <v>315</v>
      </c>
      <c r="AA411" s="518" t="s">
        <v>316</v>
      </c>
      <c r="AB411" s="518" t="s">
        <v>317</v>
      </c>
      <c r="AC411" s="519" t="s">
        <v>105</v>
      </c>
      <c r="AD411" s="519" t="s">
        <v>255</v>
      </c>
      <c r="AE411" s="518" t="s">
        <v>854</v>
      </c>
      <c r="AF411" s="518" t="s">
        <v>855</v>
      </c>
      <c r="AG411" s="518" t="s">
        <v>856</v>
      </c>
      <c r="AH411" s="518" t="s">
        <v>857</v>
      </c>
      <c r="AI411" s="518" t="s">
        <v>858</v>
      </c>
      <c r="AJ411" s="518" t="s">
        <v>859</v>
      </c>
      <c r="AK411" s="521" t="s">
        <v>339</v>
      </c>
      <c r="AL411" s="518" t="s">
        <v>340</v>
      </c>
      <c r="AM411" s="518" t="s">
        <v>330</v>
      </c>
      <c r="AN411" s="519" t="s">
        <v>944</v>
      </c>
      <c r="AO411" s="519" t="s">
        <v>945</v>
      </c>
      <c r="AP411" s="518" t="s">
        <v>949</v>
      </c>
      <c r="AQ411" s="518" t="s">
        <v>948</v>
      </c>
      <c r="AR411" s="518" t="s">
        <v>947</v>
      </c>
      <c r="AS411" s="518" t="s">
        <v>938</v>
      </c>
      <c r="AT411" s="518" t="s">
        <v>663</v>
      </c>
      <c r="AU411" s="521" t="s">
        <v>920</v>
      </c>
    </row>
    <row r="412" spans="1:47" ht="15" customHeight="1" x14ac:dyDescent="0.2">
      <c r="A412" s="514">
        <f>acute_overview_children!A12</f>
        <v>1</v>
      </c>
      <c r="B412" s="1">
        <f>acute_overview_children!B12</f>
        <v>100000</v>
      </c>
      <c r="C412" s="1" t="str">
        <f>acute_overview_children!C12</f>
        <v>FRUIT AND TREE NUTS</v>
      </c>
      <c r="D412" s="38">
        <f>D12</f>
        <v>4</v>
      </c>
      <c r="E412" s="54"/>
      <c r="F412" s="54"/>
      <c r="G412" s="54"/>
      <c r="H412" s="54"/>
      <c r="I412" s="54"/>
      <c r="J412" s="54"/>
      <c r="K412" s="54"/>
      <c r="L412" s="54"/>
      <c r="M412" s="54"/>
      <c r="N412" s="54">
        <v>0</v>
      </c>
      <c r="O412" s="54">
        <v>0</v>
      </c>
      <c r="P412" s="54"/>
      <c r="Q412" s="54"/>
      <c r="R412" s="54"/>
      <c r="S412" s="54"/>
      <c r="T412" s="54"/>
      <c r="U412" s="54"/>
      <c r="V412" s="54"/>
      <c r="W412" s="54"/>
      <c r="X412" s="54"/>
      <c r="Y412" s="54"/>
      <c r="Z412" s="54"/>
      <c r="AA412" s="54"/>
      <c r="AB412" s="54"/>
      <c r="AC412" s="54">
        <v>0</v>
      </c>
      <c r="AD412" s="54">
        <v>0</v>
      </c>
      <c r="AE412" s="54"/>
      <c r="AF412" s="54"/>
      <c r="AG412" s="54"/>
      <c r="AH412" s="54"/>
      <c r="AI412" s="54"/>
      <c r="AJ412" s="54"/>
      <c r="AK412" s="434"/>
      <c r="AL412" s="54"/>
      <c r="AM412" s="54"/>
      <c r="AN412" s="54"/>
      <c r="AO412" s="596"/>
      <c r="AP412" s="54"/>
      <c r="AQ412" s="54"/>
      <c r="AR412" s="54"/>
      <c r="AS412" s="54"/>
      <c r="AT412" s="54"/>
      <c r="AU412" s="434"/>
    </row>
    <row r="413" spans="1:47" ht="15" customHeight="1" x14ac:dyDescent="0.2">
      <c r="A413" s="515">
        <f>acute_overview_children!A13</f>
        <v>2</v>
      </c>
      <c r="B413" s="24">
        <f>acute_overview_children!B13</f>
        <v>110000</v>
      </c>
      <c r="C413" s="24" t="str">
        <f>acute_overview_children!C13</f>
        <v>Citrus fruit</v>
      </c>
      <c r="D413" s="38">
        <f t="shared" ref="D413:D476" si="88">D13</f>
        <v>4</v>
      </c>
      <c r="E413" s="55"/>
      <c r="F413" s="55"/>
      <c r="G413" s="55"/>
      <c r="H413" s="55"/>
      <c r="I413" s="55"/>
      <c r="J413" s="55"/>
      <c r="K413" s="55"/>
      <c r="L413" s="55"/>
      <c r="M413" s="55"/>
      <c r="N413" s="55">
        <v>10.724137931034484</v>
      </c>
      <c r="O413" s="55">
        <v>16.568493150684933</v>
      </c>
      <c r="P413" s="55"/>
      <c r="Q413" s="55"/>
      <c r="R413" s="55"/>
      <c r="S413" s="55"/>
      <c r="T413" s="55"/>
      <c r="U413" s="55"/>
      <c r="V413" s="55"/>
      <c r="W413" s="55"/>
      <c r="X413" s="55"/>
      <c r="Y413" s="55"/>
      <c r="Z413" s="55"/>
      <c r="AA413" s="55"/>
      <c r="AB413" s="55"/>
      <c r="AC413" s="55">
        <v>3.9131578947368419</v>
      </c>
      <c r="AD413" s="55">
        <v>5.0164917541229386</v>
      </c>
      <c r="AE413" s="55"/>
      <c r="AF413" s="55"/>
      <c r="AG413" s="55"/>
      <c r="AH413" s="55"/>
      <c r="AI413" s="55"/>
      <c r="AJ413" s="55"/>
      <c r="AK413" s="435"/>
      <c r="AL413" s="55"/>
      <c r="AM413" s="55"/>
      <c r="AN413" s="55"/>
      <c r="AO413" s="597"/>
      <c r="AP413" s="55"/>
      <c r="AQ413" s="55"/>
      <c r="AR413" s="55"/>
      <c r="AS413" s="55"/>
      <c r="AT413" s="55"/>
      <c r="AU413" s="435"/>
    </row>
    <row r="414" spans="1:47" ht="15" customHeight="1" x14ac:dyDescent="0.2">
      <c r="A414" s="39">
        <f>acute_overview_children!A14</f>
        <v>4</v>
      </c>
      <c r="B414" s="23">
        <f>acute_overview_children!B14</f>
        <v>110010</v>
      </c>
      <c r="C414" s="23" t="str">
        <f>acute_overview_children!C14</f>
        <v>Grapefruits</v>
      </c>
      <c r="D414" s="38">
        <f t="shared" si="88"/>
        <v>4</v>
      </c>
      <c r="E414" s="31"/>
      <c r="F414" s="31"/>
      <c r="G414" s="31"/>
      <c r="H414" s="31"/>
      <c r="I414" s="31"/>
      <c r="J414" s="31"/>
      <c r="K414" s="31"/>
      <c r="L414" s="31"/>
      <c r="M414" s="31"/>
      <c r="N414" s="31">
        <v>1.5977011494252875</v>
      </c>
      <c r="O414" s="31">
        <v>5.7739726027397262</v>
      </c>
      <c r="P414" s="31"/>
      <c r="Q414" s="31"/>
      <c r="R414" s="31">
        <v>0</v>
      </c>
      <c r="S414" s="31"/>
      <c r="T414" s="31"/>
      <c r="U414" s="31"/>
      <c r="V414" s="31"/>
      <c r="W414" s="31"/>
      <c r="X414" s="31"/>
      <c r="Y414" s="31"/>
      <c r="Z414" s="31"/>
      <c r="AA414" s="31"/>
      <c r="AB414" s="31"/>
      <c r="AC414" s="31">
        <v>1.9276315789473684</v>
      </c>
      <c r="AD414" s="31">
        <v>2.343328335832084</v>
      </c>
      <c r="AE414" s="31"/>
      <c r="AF414" s="31"/>
      <c r="AG414" s="31"/>
      <c r="AH414" s="31"/>
      <c r="AI414" s="31"/>
      <c r="AJ414" s="31"/>
      <c r="AK414" s="433"/>
      <c r="AL414" s="31"/>
      <c r="AM414" s="31"/>
      <c r="AN414" s="31">
        <v>0</v>
      </c>
      <c r="AO414" s="592">
        <v>0</v>
      </c>
      <c r="AP414" s="31"/>
      <c r="AQ414" s="31"/>
      <c r="AR414" s="31"/>
      <c r="AS414" s="31"/>
      <c r="AT414" s="31"/>
      <c r="AU414" s="433"/>
    </row>
    <row r="415" spans="1:47" ht="15" customHeight="1" x14ac:dyDescent="0.2">
      <c r="A415" s="39">
        <f>acute_overview_children!A15</f>
        <v>4</v>
      </c>
      <c r="B415" s="23">
        <f>acute_overview_children!B15</f>
        <v>110020</v>
      </c>
      <c r="C415" s="23" t="str">
        <f>acute_overview_children!C15</f>
        <v>Oranges</v>
      </c>
      <c r="D415" s="38">
        <f t="shared" si="88"/>
        <v>4</v>
      </c>
      <c r="E415" s="31"/>
      <c r="F415" s="31"/>
      <c r="G415" s="31"/>
      <c r="H415" s="31"/>
      <c r="I415" s="31"/>
      <c r="J415" s="31"/>
      <c r="K415" s="31"/>
      <c r="L415" s="31"/>
      <c r="M415" s="31"/>
      <c r="N415" s="31">
        <v>10.735632183908047</v>
      </c>
      <c r="O415" s="31">
        <v>16.273972602739725</v>
      </c>
      <c r="P415" s="31"/>
      <c r="Q415" s="31"/>
      <c r="R415" s="31">
        <v>2.0869565224</v>
      </c>
      <c r="S415" s="31"/>
      <c r="T415" s="31"/>
      <c r="U415" s="31"/>
      <c r="V415" s="31"/>
      <c r="W415" s="31"/>
      <c r="X415" s="31"/>
      <c r="Y415" s="31"/>
      <c r="Z415" s="31"/>
      <c r="AA415" s="31"/>
      <c r="AB415" s="31"/>
      <c r="AC415" s="31">
        <v>3.857894736842105</v>
      </c>
      <c r="AD415" s="31">
        <v>4.5682158920539724</v>
      </c>
      <c r="AE415" s="31"/>
      <c r="AF415" s="31"/>
      <c r="AG415" s="31"/>
      <c r="AH415" s="31"/>
      <c r="AI415" s="31"/>
      <c r="AJ415" s="31"/>
      <c r="AK415" s="433"/>
      <c r="AL415" s="31"/>
      <c r="AM415" s="31"/>
      <c r="AN415" s="31">
        <v>1.9034482759</v>
      </c>
      <c r="AO415" s="592">
        <v>1.7860465115999999</v>
      </c>
      <c r="AP415" s="31"/>
      <c r="AQ415" s="31"/>
      <c r="AR415" s="31"/>
      <c r="AS415" s="31"/>
      <c r="AT415" s="31"/>
      <c r="AU415" s="433"/>
    </row>
    <row r="416" spans="1:47" ht="15" customHeight="1" x14ac:dyDescent="0.2">
      <c r="A416" s="39">
        <f>acute_overview_children!A16</f>
        <v>4</v>
      </c>
      <c r="B416" s="23">
        <f>acute_overview_children!B16</f>
        <v>110030</v>
      </c>
      <c r="C416" s="23" t="str">
        <f>acute_overview_children!C16</f>
        <v>Lemons</v>
      </c>
      <c r="D416" s="38">
        <f t="shared" si="88"/>
        <v>4</v>
      </c>
      <c r="E416" s="31"/>
      <c r="F416" s="31"/>
      <c r="G416" s="31"/>
      <c r="H416" s="31"/>
      <c r="I416" s="31"/>
      <c r="J416" s="31"/>
      <c r="K416" s="31"/>
      <c r="L416" s="31"/>
      <c r="M416" s="31"/>
      <c r="N416" s="31">
        <v>0.68965517241379315</v>
      </c>
      <c r="O416" s="31">
        <v>0.31506849315068491</v>
      </c>
      <c r="P416" s="31"/>
      <c r="Q416" s="31"/>
      <c r="R416" s="31">
        <v>3.87438825E-2</v>
      </c>
      <c r="S416" s="31"/>
      <c r="T416" s="31"/>
      <c r="U416" s="31"/>
      <c r="V416" s="31"/>
      <c r="W416" s="31"/>
      <c r="X416" s="31"/>
      <c r="Y416" s="31"/>
      <c r="Z416" s="31"/>
      <c r="AA416" s="31"/>
      <c r="AB416" s="31"/>
      <c r="AC416" s="31">
        <v>0.13157894736842105</v>
      </c>
      <c r="AD416" s="31">
        <v>0.22488755622188905</v>
      </c>
      <c r="AE416" s="31"/>
      <c r="AF416" s="31"/>
      <c r="AG416" s="31"/>
      <c r="AH416" s="31"/>
      <c r="AI416" s="31"/>
      <c r="AJ416" s="31"/>
      <c r="AK416" s="433"/>
      <c r="AL416" s="31"/>
      <c r="AM416" s="31"/>
      <c r="AN416" s="31">
        <v>5.7469878199999998E-2</v>
      </c>
      <c r="AO416" s="592">
        <v>2.4854700699999999E-2</v>
      </c>
      <c r="AP416" s="31"/>
      <c r="AQ416" s="31"/>
      <c r="AR416" s="31"/>
      <c r="AS416" s="31"/>
      <c r="AT416" s="31"/>
      <c r="AU416" s="433"/>
    </row>
    <row r="417" spans="1:47" ht="15" customHeight="1" x14ac:dyDescent="0.2">
      <c r="A417" s="39">
        <f>acute_overview_children!A17</f>
        <v>4</v>
      </c>
      <c r="B417" s="23">
        <f>acute_overview_children!B17</f>
        <v>110040</v>
      </c>
      <c r="C417" s="23" t="str">
        <f>acute_overview_children!C17</f>
        <v>Limes</v>
      </c>
      <c r="D417" s="38">
        <f t="shared" si="88"/>
        <v>4</v>
      </c>
      <c r="E417" s="31"/>
      <c r="F417" s="31"/>
      <c r="G417" s="31"/>
      <c r="H417" s="31"/>
      <c r="I417" s="31"/>
      <c r="J417" s="31"/>
      <c r="K417" s="31"/>
      <c r="L417" s="31"/>
      <c r="M417" s="31"/>
      <c r="N417" s="31">
        <v>0</v>
      </c>
      <c r="O417" s="31">
        <v>1.6164383561643838</v>
      </c>
      <c r="P417" s="31"/>
      <c r="Q417" s="31"/>
      <c r="R417" s="31"/>
      <c r="S417" s="31"/>
      <c r="T417" s="31"/>
      <c r="U417" s="31"/>
      <c r="V417" s="31"/>
      <c r="W417" s="31"/>
      <c r="X417" s="31"/>
      <c r="Y417" s="31"/>
      <c r="Z417" s="31"/>
      <c r="AA417" s="31"/>
      <c r="AB417" s="31"/>
      <c r="AC417" s="31">
        <v>0.27763157894736845</v>
      </c>
      <c r="AD417" s="31">
        <v>0.2818590704647676</v>
      </c>
      <c r="AE417" s="31"/>
      <c r="AF417" s="31"/>
      <c r="AG417" s="31"/>
      <c r="AH417" s="31"/>
      <c r="AI417" s="31"/>
      <c r="AJ417" s="31"/>
      <c r="AK417" s="433"/>
      <c r="AL417" s="31"/>
      <c r="AM417" s="31"/>
      <c r="AN417" s="31"/>
      <c r="AO417" s="592"/>
      <c r="AP417" s="31"/>
      <c r="AQ417" s="31"/>
      <c r="AR417" s="31"/>
      <c r="AS417" s="31"/>
      <c r="AT417" s="31"/>
      <c r="AU417" s="433"/>
    </row>
    <row r="418" spans="1:47" ht="15" customHeight="1" x14ac:dyDescent="0.2">
      <c r="A418" s="39">
        <f>acute_overview_children!A18</f>
        <v>4</v>
      </c>
      <c r="B418" s="23">
        <f>acute_overview_children!B18</f>
        <v>110050</v>
      </c>
      <c r="C418" s="23" t="str">
        <f>acute_overview_children!C18</f>
        <v xml:space="preserve">Mandarins </v>
      </c>
      <c r="D418" s="38">
        <f t="shared" si="88"/>
        <v>4</v>
      </c>
      <c r="E418" s="31"/>
      <c r="F418" s="31"/>
      <c r="G418" s="31"/>
      <c r="H418" s="31"/>
      <c r="I418" s="31"/>
      <c r="J418" s="31"/>
      <c r="K418" s="31"/>
      <c r="L418" s="31"/>
      <c r="M418" s="31"/>
      <c r="N418" s="31">
        <v>0</v>
      </c>
      <c r="O418" s="31">
        <v>6.3493150684931514</v>
      </c>
      <c r="P418" s="31"/>
      <c r="Q418" s="31"/>
      <c r="R418" s="31">
        <v>1.0728346457</v>
      </c>
      <c r="S418" s="31"/>
      <c r="T418" s="31"/>
      <c r="U418" s="31"/>
      <c r="V418" s="31"/>
      <c r="W418" s="31"/>
      <c r="X418" s="31"/>
      <c r="Y418" s="31"/>
      <c r="Z418" s="31"/>
      <c r="AA418" s="31"/>
      <c r="AB418" s="31"/>
      <c r="AC418" s="31">
        <v>1.4000000000000001</v>
      </c>
      <c r="AD418" s="31">
        <v>1.1784107946026985</v>
      </c>
      <c r="AE418" s="31"/>
      <c r="AF418" s="31"/>
      <c r="AG418" s="31"/>
      <c r="AH418" s="31"/>
      <c r="AI418" s="31"/>
      <c r="AJ418" s="31"/>
      <c r="AK418" s="433"/>
      <c r="AL418" s="31"/>
      <c r="AM418" s="31"/>
      <c r="AN418" s="31">
        <v>4.5057471264000002</v>
      </c>
      <c r="AO418" s="592">
        <v>2.6562499603999998</v>
      </c>
      <c r="AP418" s="31"/>
      <c r="AQ418" s="31"/>
      <c r="AR418" s="31"/>
      <c r="AS418" s="31"/>
      <c r="AT418" s="31"/>
      <c r="AU418" s="433"/>
    </row>
    <row r="419" spans="1:47" ht="15" customHeight="1" x14ac:dyDescent="0.2">
      <c r="A419" s="39">
        <f>acute_overview_children!A19</f>
        <v>4</v>
      </c>
      <c r="B419" s="23">
        <f>acute_overview_children!B19</f>
        <v>110990</v>
      </c>
      <c r="C419" s="23" t="str">
        <f>acute_overview_children!C19</f>
        <v>Other citrus fruit</v>
      </c>
      <c r="D419" s="38">
        <f t="shared" si="88"/>
        <v>4</v>
      </c>
      <c r="E419" s="31"/>
      <c r="F419" s="31"/>
      <c r="G419" s="31"/>
      <c r="H419" s="31"/>
      <c r="I419" s="31"/>
      <c r="J419" s="31"/>
      <c r="K419" s="31"/>
      <c r="L419" s="31"/>
      <c r="M419" s="31"/>
      <c r="N419" s="31">
        <v>0</v>
      </c>
      <c r="O419" s="31">
        <v>0</v>
      </c>
      <c r="P419" s="31"/>
      <c r="Q419" s="31"/>
      <c r="R419" s="31">
        <v>0</v>
      </c>
      <c r="S419" s="31"/>
      <c r="T419" s="31"/>
      <c r="U419" s="31"/>
      <c r="V419" s="31"/>
      <c r="W419" s="31"/>
      <c r="X419" s="31"/>
      <c r="Y419" s="31"/>
      <c r="Z419" s="31"/>
      <c r="AA419" s="31"/>
      <c r="AB419" s="31"/>
      <c r="AC419" s="31">
        <v>0</v>
      </c>
      <c r="AD419" s="31">
        <v>0</v>
      </c>
      <c r="AE419" s="31"/>
      <c r="AF419" s="31"/>
      <c r="AG419" s="31"/>
      <c r="AH419" s="31"/>
      <c r="AI419" s="31"/>
      <c r="AJ419" s="31"/>
      <c r="AK419" s="433"/>
      <c r="AL419" s="31"/>
      <c r="AM419" s="31"/>
      <c r="AN419" s="31"/>
      <c r="AO419" s="592"/>
      <c r="AP419" s="31"/>
      <c r="AQ419" s="31"/>
      <c r="AR419" s="31"/>
      <c r="AS419" s="31"/>
      <c r="AT419" s="31"/>
      <c r="AU419" s="433"/>
    </row>
    <row r="420" spans="1:47" ht="15" customHeight="1" x14ac:dyDescent="0.2">
      <c r="A420" s="515">
        <f>acute_overview_children!A20</f>
        <v>2</v>
      </c>
      <c r="B420" s="24">
        <f>acute_overview_children!B20</f>
        <v>120000</v>
      </c>
      <c r="C420" s="24" t="str">
        <f>acute_overview_children!C20</f>
        <v xml:space="preserve">Tree nuts </v>
      </c>
      <c r="D420" s="38">
        <f t="shared" si="88"/>
        <v>4</v>
      </c>
      <c r="E420" s="55"/>
      <c r="F420" s="55"/>
      <c r="G420" s="55"/>
      <c r="H420" s="55"/>
      <c r="I420" s="55"/>
      <c r="J420" s="55"/>
      <c r="K420" s="55"/>
      <c r="L420" s="55"/>
      <c r="M420" s="55"/>
      <c r="N420" s="55">
        <v>0.5977011494252874</v>
      </c>
      <c r="O420" s="55">
        <v>0.99315068493150682</v>
      </c>
      <c r="P420" s="55"/>
      <c r="Q420" s="55"/>
      <c r="R420" s="55"/>
      <c r="S420" s="55"/>
      <c r="T420" s="55"/>
      <c r="U420" s="55"/>
      <c r="V420" s="55"/>
      <c r="W420" s="55"/>
      <c r="X420" s="55"/>
      <c r="Y420" s="55"/>
      <c r="Z420" s="55"/>
      <c r="AA420" s="55"/>
      <c r="AB420" s="55"/>
      <c r="AC420" s="55">
        <v>0.44210526315789478</v>
      </c>
      <c r="AD420" s="55">
        <v>0.51724137931034475</v>
      </c>
      <c r="AE420" s="55"/>
      <c r="AF420" s="55"/>
      <c r="AG420" s="55"/>
      <c r="AH420" s="55"/>
      <c r="AI420" s="55"/>
      <c r="AJ420" s="55"/>
      <c r="AK420" s="435"/>
      <c r="AL420" s="55"/>
      <c r="AM420" s="55"/>
      <c r="AN420" s="55"/>
      <c r="AO420" s="597"/>
      <c r="AP420" s="55"/>
      <c r="AQ420" s="55"/>
      <c r="AR420" s="55"/>
      <c r="AS420" s="55"/>
      <c r="AT420" s="55"/>
      <c r="AU420" s="435"/>
    </row>
    <row r="421" spans="1:47" ht="15" customHeight="1" x14ac:dyDescent="0.2">
      <c r="A421" s="39">
        <f>acute_overview_children!A21</f>
        <v>4</v>
      </c>
      <c r="B421" s="23">
        <f>acute_overview_children!B21</f>
        <v>120010</v>
      </c>
      <c r="C421" s="23" t="str">
        <f>acute_overview_children!C21</f>
        <v>Almonds</v>
      </c>
      <c r="D421" s="38">
        <f t="shared" si="88"/>
        <v>4</v>
      </c>
      <c r="E421" s="31"/>
      <c r="F421" s="31"/>
      <c r="G421" s="31"/>
      <c r="H421" s="31"/>
      <c r="I421" s="31"/>
      <c r="J421" s="31"/>
      <c r="K421" s="31"/>
      <c r="L421" s="31"/>
      <c r="M421" s="31"/>
      <c r="N421" s="31">
        <v>0.44827586206896552</v>
      </c>
      <c r="O421" s="31">
        <v>0.20547945205479454</v>
      </c>
      <c r="P421" s="31"/>
      <c r="Q421" s="31"/>
      <c r="R421" s="31">
        <v>5.6844190599999997E-2</v>
      </c>
      <c r="S421" s="31"/>
      <c r="T421" s="31"/>
      <c r="U421" s="31"/>
      <c r="V421" s="31"/>
      <c r="W421" s="31"/>
      <c r="X421" s="31"/>
      <c r="Y421" s="31"/>
      <c r="Z421" s="31"/>
      <c r="AA421" s="31"/>
      <c r="AB421" s="31"/>
      <c r="AC421" s="31">
        <v>9.2105263157894732E-2</v>
      </c>
      <c r="AD421" s="31">
        <v>0.10344827586206896</v>
      </c>
      <c r="AE421" s="31"/>
      <c r="AF421" s="31"/>
      <c r="AG421" s="31"/>
      <c r="AH421" s="31"/>
      <c r="AI421" s="31"/>
      <c r="AJ421" s="31"/>
      <c r="AK421" s="433"/>
      <c r="AL421" s="31"/>
      <c r="AM421" s="31"/>
      <c r="AN421" s="31">
        <v>9.8972598000000005E-3</v>
      </c>
      <c r="AO421" s="592">
        <v>3.9573087700000002E-2</v>
      </c>
      <c r="AP421" s="31"/>
      <c r="AQ421" s="31"/>
      <c r="AR421" s="31"/>
      <c r="AS421" s="31"/>
      <c r="AT421" s="31"/>
      <c r="AU421" s="433"/>
    </row>
    <row r="422" spans="1:47" ht="15" customHeight="1" x14ac:dyDescent="0.2">
      <c r="A422" s="39">
        <f>acute_overview_children!A22</f>
        <v>4</v>
      </c>
      <c r="B422" s="23">
        <f>acute_overview_children!B22</f>
        <v>120020</v>
      </c>
      <c r="C422" s="23" t="str">
        <f>acute_overview_children!C22</f>
        <v>Brazil nuts</v>
      </c>
      <c r="D422" s="38">
        <f t="shared" si="88"/>
        <v>4</v>
      </c>
      <c r="E422" s="31"/>
      <c r="F422" s="31"/>
      <c r="G422" s="31"/>
      <c r="H422" s="31"/>
      <c r="I422" s="31"/>
      <c r="J422" s="31"/>
      <c r="K422" s="31"/>
      <c r="L422" s="31"/>
      <c r="M422" s="31"/>
      <c r="N422" s="31">
        <v>0</v>
      </c>
      <c r="O422" s="31">
        <v>0.20547945205479454</v>
      </c>
      <c r="P422" s="31"/>
      <c r="Q422" s="31"/>
      <c r="R422" s="31"/>
      <c r="S422" s="31"/>
      <c r="T422" s="31"/>
      <c r="U422" s="31"/>
      <c r="V422" s="31"/>
      <c r="W422" s="31"/>
      <c r="X422" s="31"/>
      <c r="Y422" s="31"/>
      <c r="Z422" s="31"/>
      <c r="AA422" s="31"/>
      <c r="AB422" s="31"/>
      <c r="AC422" s="31">
        <v>0.13947368421052631</v>
      </c>
      <c r="AD422" s="31">
        <v>0.11244377811094453</v>
      </c>
      <c r="AE422" s="31"/>
      <c r="AF422" s="31"/>
      <c r="AG422" s="31"/>
      <c r="AH422" s="31"/>
      <c r="AI422" s="31"/>
      <c r="AJ422" s="31"/>
      <c r="AK422" s="433"/>
      <c r="AL422" s="31"/>
      <c r="AM422" s="31"/>
      <c r="AN422" s="31"/>
      <c r="AO422" s="592"/>
      <c r="AP422" s="31"/>
      <c r="AQ422" s="31"/>
      <c r="AR422" s="31"/>
      <c r="AS422" s="31"/>
      <c r="AT422" s="31"/>
      <c r="AU422" s="433"/>
    </row>
    <row r="423" spans="1:47" ht="15" customHeight="1" x14ac:dyDescent="0.2">
      <c r="A423" s="39">
        <f>acute_overview_children!A23</f>
        <v>4</v>
      </c>
      <c r="B423" s="23">
        <f>acute_overview_children!B23</f>
        <v>120030</v>
      </c>
      <c r="C423" s="23" t="str">
        <f>acute_overview_children!C23</f>
        <v>Cashew nuts</v>
      </c>
      <c r="D423" s="38">
        <f t="shared" si="88"/>
        <v>4</v>
      </c>
      <c r="E423" s="31"/>
      <c r="F423" s="31"/>
      <c r="G423" s="31"/>
      <c r="H423" s="31"/>
      <c r="I423" s="31"/>
      <c r="J423" s="31"/>
      <c r="K423" s="31"/>
      <c r="L423" s="31"/>
      <c r="M423" s="31"/>
      <c r="N423" s="31">
        <v>0</v>
      </c>
      <c r="O423" s="31">
        <v>0.52054794520547942</v>
      </c>
      <c r="P423" s="31"/>
      <c r="Q423" s="31"/>
      <c r="R423" s="31">
        <v>4.0467625899999998E-2</v>
      </c>
      <c r="S423" s="31"/>
      <c r="T423" s="31"/>
      <c r="U423" s="31"/>
      <c r="V423" s="31"/>
      <c r="W423" s="31"/>
      <c r="X423" s="31"/>
      <c r="Y423" s="31"/>
      <c r="Z423" s="31"/>
      <c r="AA423" s="31"/>
      <c r="AB423" s="31"/>
      <c r="AC423" s="31">
        <v>0.16052631578947368</v>
      </c>
      <c r="AD423" s="31">
        <v>0.18440779610194902</v>
      </c>
      <c r="AE423" s="31"/>
      <c r="AF423" s="31"/>
      <c r="AG423" s="31"/>
      <c r="AH423" s="31"/>
      <c r="AI423" s="31"/>
      <c r="AJ423" s="31"/>
      <c r="AK423" s="433"/>
      <c r="AL423" s="31"/>
      <c r="AM423" s="31"/>
      <c r="AN423" s="31">
        <v>0</v>
      </c>
      <c r="AO423" s="592"/>
      <c r="AP423" s="31"/>
      <c r="AQ423" s="31"/>
      <c r="AR423" s="31"/>
      <c r="AS423" s="31"/>
      <c r="AT423" s="31"/>
      <c r="AU423" s="433"/>
    </row>
    <row r="424" spans="1:47" ht="15" customHeight="1" x14ac:dyDescent="0.2">
      <c r="A424" s="39">
        <f>acute_overview_children!A24</f>
        <v>4</v>
      </c>
      <c r="B424" s="23">
        <f>acute_overview_children!B24</f>
        <v>120040</v>
      </c>
      <c r="C424" s="23" t="str">
        <f>acute_overview_children!C24</f>
        <v>Chestnuts</v>
      </c>
      <c r="D424" s="38">
        <f t="shared" si="88"/>
        <v>4</v>
      </c>
      <c r="E424" s="31"/>
      <c r="F424" s="31"/>
      <c r="G424" s="31"/>
      <c r="H424" s="31"/>
      <c r="I424" s="31"/>
      <c r="J424" s="31"/>
      <c r="K424" s="31"/>
      <c r="L424" s="31"/>
      <c r="M424" s="31"/>
      <c r="N424" s="31">
        <v>0</v>
      </c>
      <c r="O424" s="31">
        <v>0</v>
      </c>
      <c r="P424" s="31"/>
      <c r="Q424" s="31"/>
      <c r="R424" s="31"/>
      <c r="S424" s="31"/>
      <c r="T424" s="31"/>
      <c r="U424" s="31"/>
      <c r="V424" s="31"/>
      <c r="W424" s="31"/>
      <c r="X424" s="31"/>
      <c r="Y424" s="31"/>
      <c r="Z424" s="31"/>
      <c r="AA424" s="31"/>
      <c r="AB424" s="31"/>
      <c r="AC424" s="31">
        <v>0.14605263157894735</v>
      </c>
      <c r="AD424" s="31">
        <v>0.2608695652173913</v>
      </c>
      <c r="AE424" s="31"/>
      <c r="AF424" s="31"/>
      <c r="AG424" s="31"/>
      <c r="AH424" s="31"/>
      <c r="AI424" s="31"/>
      <c r="AJ424" s="31"/>
      <c r="AK424" s="433"/>
      <c r="AL424" s="31"/>
      <c r="AM424" s="31"/>
      <c r="AN424" s="31"/>
      <c r="AO424" s="592"/>
      <c r="AP424" s="31"/>
      <c r="AQ424" s="31"/>
      <c r="AR424" s="31"/>
      <c r="AS424" s="31"/>
      <c r="AT424" s="31"/>
      <c r="AU424" s="433"/>
    </row>
    <row r="425" spans="1:47" ht="15" customHeight="1" x14ac:dyDescent="0.2">
      <c r="A425" s="39">
        <f>acute_overview_children!A25</f>
        <v>4</v>
      </c>
      <c r="B425" s="23">
        <f>acute_overview_children!B25</f>
        <v>120050</v>
      </c>
      <c r="C425" s="23" t="str">
        <f>acute_overview_children!C25</f>
        <v>Coconuts</v>
      </c>
      <c r="D425" s="38">
        <f t="shared" si="88"/>
        <v>4</v>
      </c>
      <c r="E425" s="31"/>
      <c r="F425" s="31"/>
      <c r="G425" s="31"/>
      <c r="H425" s="31"/>
      <c r="I425" s="31"/>
      <c r="J425" s="31"/>
      <c r="K425" s="31"/>
      <c r="L425" s="31"/>
      <c r="M425" s="31"/>
      <c r="N425" s="31">
        <v>9.195402298850576E-2</v>
      </c>
      <c r="O425" s="31">
        <v>0.32191780821917809</v>
      </c>
      <c r="P425" s="31"/>
      <c r="Q425" s="31"/>
      <c r="R425" s="31">
        <v>0</v>
      </c>
      <c r="S425" s="31"/>
      <c r="T425" s="31"/>
      <c r="U425" s="31"/>
      <c r="V425" s="31"/>
      <c r="W425" s="31"/>
      <c r="X425" s="31"/>
      <c r="Y425" s="31"/>
      <c r="Z425" s="31"/>
      <c r="AA425" s="31"/>
      <c r="AB425" s="31"/>
      <c r="AC425" s="31">
        <v>0.13552631578947369</v>
      </c>
      <c r="AD425" s="31">
        <v>0.38530734632683655</v>
      </c>
      <c r="AE425" s="31"/>
      <c r="AF425" s="31"/>
      <c r="AG425" s="31"/>
      <c r="AH425" s="31"/>
      <c r="AI425" s="31"/>
      <c r="AJ425" s="31"/>
      <c r="AK425" s="433"/>
      <c r="AL425" s="31"/>
      <c r="AM425" s="31"/>
      <c r="AN425" s="31">
        <v>0</v>
      </c>
      <c r="AO425" s="592">
        <v>0</v>
      </c>
      <c r="AP425" s="31"/>
      <c r="AQ425" s="31"/>
      <c r="AR425" s="31"/>
      <c r="AS425" s="31"/>
      <c r="AT425" s="31"/>
      <c r="AU425" s="433"/>
    </row>
    <row r="426" spans="1:47" ht="15" customHeight="1" x14ac:dyDescent="0.2">
      <c r="A426" s="39">
        <f>acute_overview_children!A26</f>
        <v>4</v>
      </c>
      <c r="B426" s="23">
        <f>acute_overview_children!B26</f>
        <v>120060</v>
      </c>
      <c r="C426" s="23" t="str">
        <f>acute_overview_children!C26</f>
        <v>Hazelnuts/cobnuts</v>
      </c>
      <c r="D426" s="38">
        <f t="shared" si="88"/>
        <v>4</v>
      </c>
      <c r="E426" s="31"/>
      <c r="F426" s="31"/>
      <c r="G426" s="31"/>
      <c r="H426" s="31"/>
      <c r="I426" s="31"/>
      <c r="J426" s="31"/>
      <c r="K426" s="31"/>
      <c r="L426" s="31"/>
      <c r="M426" s="31"/>
      <c r="N426" s="31">
        <v>0</v>
      </c>
      <c r="O426" s="31">
        <v>0.21232876712328769</v>
      </c>
      <c r="P426" s="31"/>
      <c r="Q426" s="31"/>
      <c r="R426" s="31">
        <v>1.14051095E-2</v>
      </c>
      <c r="S426" s="31"/>
      <c r="T426" s="31"/>
      <c r="U426" s="31"/>
      <c r="V426" s="31"/>
      <c r="W426" s="31"/>
      <c r="X426" s="31"/>
      <c r="Y426" s="31"/>
      <c r="Z426" s="31"/>
      <c r="AA426" s="31"/>
      <c r="AB426" s="31"/>
      <c r="AC426" s="31">
        <v>0.10789473684210525</v>
      </c>
      <c r="AD426" s="31">
        <v>6.8965517241379296E-2</v>
      </c>
      <c r="AE426" s="31"/>
      <c r="AF426" s="31"/>
      <c r="AG426" s="31"/>
      <c r="AH426" s="31"/>
      <c r="AI426" s="31"/>
      <c r="AJ426" s="31"/>
      <c r="AK426" s="433"/>
      <c r="AL426" s="31"/>
      <c r="AM426" s="31"/>
      <c r="AN426" s="31">
        <v>1.0134444499999999E-2</v>
      </c>
      <c r="AO426" s="592">
        <v>1.7094017E-2</v>
      </c>
      <c r="AP426" s="31"/>
      <c r="AQ426" s="31"/>
      <c r="AR426" s="31"/>
      <c r="AS426" s="31"/>
      <c r="AT426" s="31"/>
      <c r="AU426" s="433"/>
    </row>
    <row r="427" spans="1:47" ht="15" customHeight="1" x14ac:dyDescent="0.2">
      <c r="A427" s="39">
        <f>acute_overview_children!A27</f>
        <v>4</v>
      </c>
      <c r="B427" s="23">
        <f>acute_overview_children!B27</f>
        <v>120070</v>
      </c>
      <c r="C427" s="23" t="str">
        <f>acute_overview_children!C27</f>
        <v>Macadamia</v>
      </c>
      <c r="D427" s="38">
        <f t="shared" si="88"/>
        <v>4</v>
      </c>
      <c r="E427" s="31"/>
      <c r="F427" s="31"/>
      <c r="G427" s="31"/>
      <c r="H427" s="31"/>
      <c r="I427" s="31"/>
      <c r="J427" s="31"/>
      <c r="K427" s="31"/>
      <c r="L427" s="31"/>
      <c r="M427" s="31"/>
      <c r="N427" s="31">
        <v>0</v>
      </c>
      <c r="O427" s="31">
        <v>0</v>
      </c>
      <c r="P427" s="31"/>
      <c r="Q427" s="31"/>
      <c r="R427" s="31"/>
      <c r="S427" s="31"/>
      <c r="T427" s="31"/>
      <c r="U427" s="31"/>
      <c r="V427" s="31"/>
      <c r="W427" s="31"/>
      <c r="X427" s="31"/>
      <c r="Y427" s="31"/>
      <c r="Z427" s="31"/>
      <c r="AA427" s="31"/>
      <c r="AB427" s="31"/>
      <c r="AC427" s="31">
        <v>0</v>
      </c>
      <c r="AD427" s="31">
        <v>0</v>
      </c>
      <c r="AE427" s="31"/>
      <c r="AF427" s="31"/>
      <c r="AG427" s="31"/>
      <c r="AH427" s="31"/>
      <c r="AI427" s="31"/>
      <c r="AJ427" s="31"/>
      <c r="AK427" s="433"/>
      <c r="AL427" s="31"/>
      <c r="AM427" s="31"/>
      <c r="AN427" s="31"/>
      <c r="AO427" s="592"/>
      <c r="AP427" s="31"/>
      <c r="AQ427" s="31"/>
      <c r="AR427" s="31"/>
      <c r="AS427" s="31"/>
      <c r="AT427" s="31"/>
      <c r="AU427" s="433"/>
    </row>
    <row r="428" spans="1:47" ht="15" customHeight="1" x14ac:dyDescent="0.2">
      <c r="A428" s="39">
        <f>acute_overview_children!A28</f>
        <v>4</v>
      </c>
      <c r="B428" s="23">
        <f>acute_overview_children!B28</f>
        <v>120080</v>
      </c>
      <c r="C428" s="23" t="str">
        <f>acute_overview_children!C28</f>
        <v>Pecans</v>
      </c>
      <c r="D428" s="38">
        <f t="shared" si="88"/>
        <v>4</v>
      </c>
      <c r="E428" s="31"/>
      <c r="F428" s="31"/>
      <c r="G428" s="31"/>
      <c r="H428" s="31"/>
      <c r="I428" s="31"/>
      <c r="J428" s="31"/>
      <c r="K428" s="31"/>
      <c r="L428" s="31"/>
      <c r="M428" s="31"/>
      <c r="N428" s="31">
        <v>0</v>
      </c>
      <c r="O428" s="31">
        <v>4.7945205479452052E-2</v>
      </c>
      <c r="P428" s="31"/>
      <c r="Q428" s="31"/>
      <c r="R428" s="31"/>
      <c r="S428" s="31"/>
      <c r="T428" s="31"/>
      <c r="U428" s="31"/>
      <c r="V428" s="31"/>
      <c r="W428" s="31"/>
      <c r="X428" s="31"/>
      <c r="Y428" s="31"/>
      <c r="Z428" s="31"/>
      <c r="AA428" s="31"/>
      <c r="AB428" s="31"/>
      <c r="AC428" s="31">
        <v>5.6578947368421048E-2</v>
      </c>
      <c r="AD428" s="31">
        <v>0.36581709145427282</v>
      </c>
      <c r="AE428" s="31"/>
      <c r="AF428" s="31"/>
      <c r="AG428" s="31"/>
      <c r="AH428" s="31"/>
      <c r="AI428" s="31"/>
      <c r="AJ428" s="31"/>
      <c r="AK428" s="433"/>
      <c r="AL428" s="31"/>
      <c r="AM428" s="31"/>
      <c r="AN428" s="31"/>
      <c r="AO428" s="592"/>
      <c r="AP428" s="31"/>
      <c r="AQ428" s="31"/>
      <c r="AR428" s="31"/>
      <c r="AS428" s="31"/>
      <c r="AT428" s="31"/>
      <c r="AU428" s="433"/>
    </row>
    <row r="429" spans="1:47" ht="15" customHeight="1" x14ac:dyDescent="0.2">
      <c r="A429" s="39">
        <f>acute_overview_children!A29</f>
        <v>4</v>
      </c>
      <c r="B429" s="23">
        <f>acute_overview_children!B29</f>
        <v>120090</v>
      </c>
      <c r="C429" s="23" t="str">
        <f>acute_overview_children!C29</f>
        <v>Pine nut kernels</v>
      </c>
      <c r="D429" s="38">
        <f t="shared" si="88"/>
        <v>4</v>
      </c>
      <c r="E429" s="31"/>
      <c r="F429" s="31"/>
      <c r="G429" s="31"/>
      <c r="H429" s="31"/>
      <c r="I429" s="31"/>
      <c r="J429" s="31"/>
      <c r="K429" s="31"/>
      <c r="L429" s="31"/>
      <c r="M429" s="31"/>
      <c r="N429" s="31">
        <v>0</v>
      </c>
      <c r="O429" s="31">
        <v>0</v>
      </c>
      <c r="P429" s="31"/>
      <c r="Q429" s="31"/>
      <c r="R429" s="31"/>
      <c r="S429" s="31"/>
      <c r="T429" s="31"/>
      <c r="U429" s="31"/>
      <c r="V429" s="31"/>
      <c r="W429" s="31"/>
      <c r="X429" s="31"/>
      <c r="Y429" s="31"/>
      <c r="Z429" s="31"/>
      <c r="AA429" s="31"/>
      <c r="AB429" s="31"/>
      <c r="AC429" s="31">
        <v>0</v>
      </c>
      <c r="AD429" s="31">
        <v>0</v>
      </c>
      <c r="AE429" s="31"/>
      <c r="AF429" s="31"/>
      <c r="AG429" s="31"/>
      <c r="AH429" s="31"/>
      <c r="AI429" s="31"/>
      <c r="AJ429" s="31"/>
      <c r="AK429" s="433"/>
      <c r="AL429" s="31"/>
      <c r="AM429" s="31"/>
      <c r="AN429" s="31"/>
      <c r="AO429" s="592"/>
      <c r="AP429" s="31"/>
      <c r="AQ429" s="31"/>
      <c r="AR429" s="31"/>
      <c r="AS429" s="31"/>
      <c r="AT429" s="31"/>
      <c r="AU429" s="433"/>
    </row>
    <row r="430" spans="1:47" ht="15" customHeight="1" x14ac:dyDescent="0.2">
      <c r="A430" s="39">
        <f>acute_overview_children!A30</f>
        <v>4</v>
      </c>
      <c r="B430" s="23">
        <f>acute_overview_children!B30</f>
        <v>120100</v>
      </c>
      <c r="C430" s="23" t="str">
        <f>acute_overview_children!C30</f>
        <v>Pistachios</v>
      </c>
      <c r="D430" s="38">
        <f t="shared" si="88"/>
        <v>4</v>
      </c>
      <c r="E430" s="31"/>
      <c r="F430" s="31"/>
      <c r="G430" s="31"/>
      <c r="H430" s="31"/>
      <c r="I430" s="31"/>
      <c r="J430" s="31"/>
      <c r="K430" s="31"/>
      <c r="L430" s="31"/>
      <c r="M430" s="31"/>
      <c r="N430" s="31">
        <v>0</v>
      </c>
      <c r="O430" s="31">
        <v>0.32876712328767121</v>
      </c>
      <c r="P430" s="31"/>
      <c r="Q430" s="31"/>
      <c r="R430" s="31"/>
      <c r="S430" s="31"/>
      <c r="T430" s="31"/>
      <c r="U430" s="31"/>
      <c r="V430" s="31"/>
      <c r="W430" s="31"/>
      <c r="X430" s="31"/>
      <c r="Y430" s="31"/>
      <c r="Z430" s="31"/>
      <c r="AA430" s="31"/>
      <c r="AB430" s="31"/>
      <c r="AC430" s="31">
        <v>0.38157894736842107</v>
      </c>
      <c r="AD430" s="31">
        <v>0.1199400299850075</v>
      </c>
      <c r="AE430" s="31"/>
      <c r="AF430" s="31"/>
      <c r="AG430" s="31"/>
      <c r="AH430" s="31"/>
      <c r="AI430" s="31"/>
      <c r="AJ430" s="31"/>
      <c r="AK430" s="433"/>
      <c r="AL430" s="31"/>
      <c r="AM430" s="31"/>
      <c r="AN430" s="31"/>
      <c r="AO430" s="592"/>
      <c r="AP430" s="31"/>
      <c r="AQ430" s="31"/>
      <c r="AR430" s="31"/>
      <c r="AS430" s="31"/>
      <c r="AT430" s="31"/>
      <c r="AU430" s="433"/>
    </row>
    <row r="431" spans="1:47" ht="15" customHeight="1" x14ac:dyDescent="0.2">
      <c r="A431" s="39">
        <f>acute_overview_children!A31</f>
        <v>4</v>
      </c>
      <c r="B431" s="23">
        <f>acute_overview_children!B31</f>
        <v>120110</v>
      </c>
      <c r="C431" s="23" t="str">
        <f>acute_overview_children!C31</f>
        <v>Walnuts</v>
      </c>
      <c r="D431" s="38">
        <f t="shared" si="88"/>
        <v>4</v>
      </c>
      <c r="E431" s="31"/>
      <c r="F431" s="31"/>
      <c r="G431" s="31"/>
      <c r="H431" s="31"/>
      <c r="I431" s="31"/>
      <c r="J431" s="31"/>
      <c r="K431" s="31"/>
      <c r="L431" s="31"/>
      <c r="M431" s="31"/>
      <c r="N431" s="31">
        <v>0</v>
      </c>
      <c r="O431" s="31">
        <v>0.41095890410958907</v>
      </c>
      <c r="P431" s="31"/>
      <c r="Q431" s="31"/>
      <c r="R431" s="31">
        <v>1.14889706E-2</v>
      </c>
      <c r="S431" s="31"/>
      <c r="T431" s="31"/>
      <c r="U431" s="31"/>
      <c r="V431" s="31"/>
      <c r="W431" s="31"/>
      <c r="X431" s="31"/>
      <c r="Y431" s="31"/>
      <c r="Z431" s="31"/>
      <c r="AA431" s="31"/>
      <c r="AB431" s="31"/>
      <c r="AC431" s="31">
        <v>0.125</v>
      </c>
      <c r="AD431" s="31">
        <v>0.16341829085457271</v>
      </c>
      <c r="AE431" s="31"/>
      <c r="AF431" s="31"/>
      <c r="AG431" s="31"/>
      <c r="AH431" s="31"/>
      <c r="AI431" s="31"/>
      <c r="AJ431" s="31"/>
      <c r="AK431" s="433"/>
      <c r="AL431" s="31"/>
      <c r="AM431" s="31"/>
      <c r="AN431" s="31">
        <v>0</v>
      </c>
      <c r="AO431" s="592">
        <v>0</v>
      </c>
      <c r="AP431" s="31"/>
      <c r="AQ431" s="31"/>
      <c r="AR431" s="31"/>
      <c r="AS431" s="31"/>
      <c r="AT431" s="31"/>
      <c r="AU431" s="433"/>
    </row>
    <row r="432" spans="1:47" ht="15" customHeight="1" x14ac:dyDescent="0.2">
      <c r="A432" s="39">
        <f>acute_overview_children!A32</f>
        <v>4</v>
      </c>
      <c r="B432" s="23">
        <f>acute_overview_children!B32</f>
        <v>120990</v>
      </c>
      <c r="C432" s="23" t="str">
        <f>acute_overview_children!C32</f>
        <v>Other tree nuts</v>
      </c>
      <c r="D432" s="38">
        <f t="shared" si="88"/>
        <v>4</v>
      </c>
      <c r="E432" s="31"/>
      <c r="F432" s="31"/>
      <c r="G432" s="31"/>
      <c r="H432" s="31"/>
      <c r="I432" s="31"/>
      <c r="J432" s="31"/>
      <c r="K432" s="31"/>
      <c r="L432" s="31"/>
      <c r="M432" s="31"/>
      <c r="N432" s="31">
        <v>0</v>
      </c>
      <c r="O432" s="31">
        <v>0</v>
      </c>
      <c r="P432" s="31"/>
      <c r="Q432" s="31"/>
      <c r="R432" s="31"/>
      <c r="S432" s="31"/>
      <c r="T432" s="31"/>
      <c r="U432" s="31"/>
      <c r="V432" s="31"/>
      <c r="W432" s="31"/>
      <c r="X432" s="31"/>
      <c r="Y432" s="31"/>
      <c r="Z432" s="31"/>
      <c r="AA432" s="31"/>
      <c r="AB432" s="31"/>
      <c r="AC432" s="31">
        <v>0</v>
      </c>
      <c r="AD432" s="31">
        <v>0</v>
      </c>
      <c r="AE432" s="31"/>
      <c r="AF432" s="31"/>
      <c r="AG432" s="31"/>
      <c r="AH432" s="31"/>
      <c r="AI432" s="31"/>
      <c r="AJ432" s="31"/>
      <c r="AK432" s="433"/>
      <c r="AL432" s="31"/>
      <c r="AM432" s="31"/>
      <c r="AN432" s="31"/>
      <c r="AO432" s="592"/>
      <c r="AP432" s="31"/>
      <c r="AQ432" s="31"/>
      <c r="AR432" s="31"/>
      <c r="AS432" s="31"/>
      <c r="AT432" s="31"/>
      <c r="AU432" s="433"/>
    </row>
    <row r="433" spans="1:47" ht="15" customHeight="1" x14ac:dyDescent="0.2">
      <c r="A433" s="515">
        <f>acute_overview_children!A33</f>
        <v>2</v>
      </c>
      <c r="B433" s="24">
        <f>acute_overview_children!B33</f>
        <v>130000</v>
      </c>
      <c r="C433" s="24" t="str">
        <f>acute_overview_children!C33</f>
        <v xml:space="preserve"> Pome fruit</v>
      </c>
      <c r="D433" s="38">
        <f t="shared" si="88"/>
        <v>4</v>
      </c>
      <c r="E433" s="55"/>
      <c r="F433" s="55"/>
      <c r="G433" s="55"/>
      <c r="H433" s="55"/>
      <c r="I433" s="55"/>
      <c r="J433" s="55"/>
      <c r="K433" s="55"/>
      <c r="L433" s="55"/>
      <c r="M433" s="55"/>
      <c r="N433" s="55">
        <v>9.8160919540229905</v>
      </c>
      <c r="O433" s="55">
        <v>15.054794520547947</v>
      </c>
      <c r="P433" s="55"/>
      <c r="Q433" s="55"/>
      <c r="R433" s="55"/>
      <c r="S433" s="55"/>
      <c r="T433" s="55"/>
      <c r="U433" s="55"/>
      <c r="V433" s="55"/>
      <c r="W433" s="55"/>
      <c r="X433" s="55"/>
      <c r="Y433" s="55"/>
      <c r="Z433" s="55"/>
      <c r="AA433" s="55"/>
      <c r="AB433" s="55"/>
      <c r="AC433" s="55">
        <v>2.9486842105263156</v>
      </c>
      <c r="AD433" s="55">
        <v>3.7871064467766113</v>
      </c>
      <c r="AE433" s="55"/>
      <c r="AF433" s="55"/>
      <c r="AG433" s="55"/>
      <c r="AH433" s="55"/>
      <c r="AI433" s="55"/>
      <c r="AJ433" s="55"/>
      <c r="AK433" s="435"/>
      <c r="AL433" s="55"/>
      <c r="AM433" s="55"/>
      <c r="AN433" s="55"/>
      <c r="AO433" s="597"/>
      <c r="AP433" s="55"/>
      <c r="AQ433" s="55"/>
      <c r="AR433" s="55"/>
      <c r="AS433" s="55"/>
      <c r="AT433" s="55"/>
      <c r="AU433" s="435"/>
    </row>
    <row r="434" spans="1:47" ht="15" customHeight="1" x14ac:dyDescent="0.2">
      <c r="A434" s="39">
        <f>acute_overview_children!A34</f>
        <v>4</v>
      </c>
      <c r="B434" s="23">
        <f>acute_overview_children!B34</f>
        <v>130010</v>
      </c>
      <c r="C434" s="23" t="str">
        <f>acute_overview_children!C34</f>
        <v>Apples</v>
      </c>
      <c r="D434" s="38">
        <f t="shared" si="88"/>
        <v>4</v>
      </c>
      <c r="E434" s="31"/>
      <c r="F434" s="31"/>
      <c r="G434" s="31"/>
      <c r="H434" s="31"/>
      <c r="I434" s="31"/>
      <c r="J434" s="31"/>
      <c r="K434" s="31"/>
      <c r="L434" s="31"/>
      <c r="M434" s="31"/>
      <c r="N434" s="31">
        <v>8.4252873563218387</v>
      </c>
      <c r="O434" s="31">
        <v>14.767123287671232</v>
      </c>
      <c r="P434" s="31"/>
      <c r="Q434" s="31"/>
      <c r="R434" s="31">
        <v>2.7012040557999999</v>
      </c>
      <c r="S434" s="31"/>
      <c r="T434" s="31"/>
      <c r="U434" s="31"/>
      <c r="V434" s="31"/>
      <c r="W434" s="31"/>
      <c r="X434" s="31"/>
      <c r="Y434" s="31"/>
      <c r="Z434" s="31"/>
      <c r="AA434" s="31"/>
      <c r="AB434" s="31"/>
      <c r="AC434" s="31">
        <v>2.6815789473684211</v>
      </c>
      <c r="AD434" s="31">
        <v>3.338830584707646</v>
      </c>
      <c r="AE434" s="31"/>
      <c r="AF434" s="31"/>
      <c r="AG434" s="31"/>
      <c r="AH434" s="31"/>
      <c r="AI434" s="31"/>
      <c r="AJ434" s="31"/>
      <c r="AK434" s="433"/>
      <c r="AL434" s="31"/>
      <c r="AM434" s="31"/>
      <c r="AN434" s="31">
        <v>6.1112976956000002</v>
      </c>
      <c r="AO434" s="592">
        <v>3.3578947368000001</v>
      </c>
      <c r="AP434" s="31"/>
      <c r="AQ434" s="31"/>
      <c r="AR434" s="31"/>
      <c r="AS434" s="31"/>
      <c r="AT434" s="31"/>
      <c r="AU434" s="433"/>
    </row>
    <row r="435" spans="1:47" ht="15" customHeight="1" x14ac:dyDescent="0.2">
      <c r="A435" s="39">
        <f>acute_overview_children!A35</f>
        <v>4</v>
      </c>
      <c r="B435" s="23">
        <f>acute_overview_children!B35</f>
        <v>130020</v>
      </c>
      <c r="C435" s="23" t="str">
        <f>acute_overview_children!C35</f>
        <v>Pears</v>
      </c>
      <c r="D435" s="38">
        <f t="shared" si="88"/>
        <v>4</v>
      </c>
      <c r="E435" s="31"/>
      <c r="F435" s="31"/>
      <c r="G435" s="31"/>
      <c r="H435" s="31"/>
      <c r="I435" s="31"/>
      <c r="J435" s="31"/>
      <c r="K435" s="31"/>
      <c r="L435" s="31"/>
      <c r="M435" s="31"/>
      <c r="N435" s="31">
        <v>2.5517241379310347</v>
      </c>
      <c r="O435" s="31">
        <v>6.4863013698630141</v>
      </c>
      <c r="P435" s="31"/>
      <c r="Q435" s="31"/>
      <c r="R435" s="31">
        <v>0.57291666669999997</v>
      </c>
      <c r="S435" s="31"/>
      <c r="T435" s="31"/>
      <c r="U435" s="31"/>
      <c r="V435" s="31"/>
      <c r="W435" s="31"/>
      <c r="X435" s="31"/>
      <c r="Y435" s="31"/>
      <c r="Z435" s="31"/>
      <c r="AA435" s="31"/>
      <c r="AB435" s="31"/>
      <c r="AC435" s="31">
        <v>1.4000000000000001</v>
      </c>
      <c r="AD435" s="31">
        <v>1.8800599700149925</v>
      </c>
      <c r="AE435" s="31"/>
      <c r="AF435" s="31"/>
      <c r="AG435" s="31"/>
      <c r="AH435" s="31"/>
      <c r="AI435" s="31"/>
      <c r="AJ435" s="31"/>
      <c r="AK435" s="433"/>
      <c r="AL435" s="31"/>
      <c r="AM435" s="31"/>
      <c r="AN435" s="31">
        <v>2.9333333332999998</v>
      </c>
      <c r="AO435" s="592">
        <v>2.5380709677</v>
      </c>
      <c r="AP435" s="31"/>
      <c r="AQ435" s="31"/>
      <c r="AR435" s="31"/>
      <c r="AS435" s="31"/>
      <c r="AT435" s="31"/>
      <c r="AU435" s="433"/>
    </row>
    <row r="436" spans="1:47" ht="15" customHeight="1" x14ac:dyDescent="0.2">
      <c r="A436" s="39">
        <f>acute_overview_children!A36</f>
        <v>4</v>
      </c>
      <c r="B436" s="23">
        <f>acute_overview_children!B36</f>
        <v>130030</v>
      </c>
      <c r="C436" s="23" t="str">
        <f>acute_overview_children!C36</f>
        <v>Quinces</v>
      </c>
      <c r="D436" s="38">
        <f t="shared" si="88"/>
        <v>4</v>
      </c>
      <c r="E436" s="31"/>
      <c r="F436" s="31"/>
      <c r="G436" s="31"/>
      <c r="H436" s="31"/>
      <c r="I436" s="31"/>
      <c r="J436" s="31"/>
      <c r="K436" s="31"/>
      <c r="L436" s="31"/>
      <c r="M436" s="31"/>
      <c r="N436" s="31">
        <v>0</v>
      </c>
      <c r="O436" s="31">
        <v>0</v>
      </c>
      <c r="P436" s="31"/>
      <c r="Q436" s="31"/>
      <c r="R436" s="31"/>
      <c r="S436" s="31"/>
      <c r="T436" s="31"/>
      <c r="U436" s="31"/>
      <c r="V436" s="31"/>
      <c r="W436" s="31"/>
      <c r="X436" s="31"/>
      <c r="Y436" s="31"/>
      <c r="Z436" s="31"/>
      <c r="AA436" s="31"/>
      <c r="AB436" s="31"/>
      <c r="AC436" s="31">
        <v>0</v>
      </c>
      <c r="AD436" s="31">
        <v>0</v>
      </c>
      <c r="AE436" s="31"/>
      <c r="AF436" s="31"/>
      <c r="AG436" s="31"/>
      <c r="AH436" s="31"/>
      <c r="AI436" s="31"/>
      <c r="AJ436" s="31"/>
      <c r="AK436" s="433"/>
      <c r="AL436" s="31"/>
      <c r="AM436" s="31"/>
      <c r="AN436" s="31"/>
      <c r="AO436" s="592"/>
      <c r="AP436" s="31"/>
      <c r="AQ436" s="31"/>
      <c r="AR436" s="31"/>
      <c r="AS436" s="31"/>
      <c r="AT436" s="31"/>
      <c r="AU436" s="433"/>
    </row>
    <row r="437" spans="1:47" ht="15" customHeight="1" x14ac:dyDescent="0.2">
      <c r="A437" s="39">
        <f>acute_overview_children!A37</f>
        <v>4</v>
      </c>
      <c r="B437" s="23">
        <f>acute_overview_children!B37</f>
        <v>130040</v>
      </c>
      <c r="C437" s="23" t="str">
        <f>acute_overview_children!C37</f>
        <v xml:space="preserve">Medlar </v>
      </c>
      <c r="D437" s="38">
        <f t="shared" si="88"/>
        <v>4</v>
      </c>
      <c r="E437" s="31"/>
      <c r="F437" s="31"/>
      <c r="G437" s="31"/>
      <c r="H437" s="31"/>
      <c r="I437" s="31"/>
      <c r="J437" s="31"/>
      <c r="K437" s="31"/>
      <c r="L437" s="31"/>
      <c r="M437" s="31"/>
      <c r="N437" s="31">
        <v>0</v>
      </c>
      <c r="O437" s="31">
        <v>0</v>
      </c>
      <c r="P437" s="31"/>
      <c r="Q437" s="31"/>
      <c r="R437" s="31"/>
      <c r="S437" s="31"/>
      <c r="T437" s="31"/>
      <c r="U437" s="31"/>
      <c r="V437" s="31"/>
      <c r="W437" s="31"/>
      <c r="X437" s="31"/>
      <c r="Y437" s="31"/>
      <c r="Z437" s="31"/>
      <c r="AA437" s="31"/>
      <c r="AB437" s="31"/>
      <c r="AC437" s="31">
        <v>0</v>
      </c>
      <c r="AD437" s="31">
        <v>0</v>
      </c>
      <c r="AE437" s="31"/>
      <c r="AF437" s="31"/>
      <c r="AG437" s="31"/>
      <c r="AH437" s="31"/>
      <c r="AI437" s="31"/>
      <c r="AJ437" s="31"/>
      <c r="AK437" s="433"/>
      <c r="AL437" s="31"/>
      <c r="AM437" s="31"/>
      <c r="AN437" s="31"/>
      <c r="AO437" s="592"/>
      <c r="AP437" s="31"/>
      <c r="AQ437" s="31"/>
      <c r="AR437" s="31"/>
      <c r="AS437" s="31"/>
      <c r="AT437" s="31"/>
      <c r="AU437" s="433"/>
    </row>
    <row r="438" spans="1:47" ht="15" customHeight="1" x14ac:dyDescent="0.2">
      <c r="A438" s="39">
        <f>acute_overview_children!A38</f>
        <v>4</v>
      </c>
      <c r="B438" s="23">
        <f>acute_overview_children!B38</f>
        <v>130050</v>
      </c>
      <c r="C438" s="23" t="str">
        <f>acute_overview_children!C38</f>
        <v>Loquats/Japanese medlars</v>
      </c>
      <c r="D438" s="38">
        <f t="shared" si="88"/>
        <v>4</v>
      </c>
      <c r="E438" s="31"/>
      <c r="F438" s="31"/>
      <c r="G438" s="31"/>
      <c r="H438" s="31"/>
      <c r="I438" s="31"/>
      <c r="J438" s="31"/>
      <c r="K438" s="31"/>
      <c r="L438" s="31"/>
      <c r="M438" s="31"/>
      <c r="N438" s="31">
        <v>0</v>
      </c>
      <c r="O438" s="31">
        <v>0</v>
      </c>
      <c r="P438" s="31"/>
      <c r="Q438" s="31"/>
      <c r="R438" s="31"/>
      <c r="S438" s="31"/>
      <c r="T438" s="31"/>
      <c r="U438" s="31"/>
      <c r="V438" s="31"/>
      <c r="W438" s="31"/>
      <c r="X438" s="31"/>
      <c r="Y438" s="31"/>
      <c r="Z438" s="31"/>
      <c r="AA438" s="31"/>
      <c r="AB438" s="31"/>
      <c r="AC438" s="31">
        <v>0</v>
      </c>
      <c r="AD438" s="31">
        <v>0</v>
      </c>
      <c r="AE438" s="31"/>
      <c r="AF438" s="31"/>
      <c r="AG438" s="31"/>
      <c r="AH438" s="31"/>
      <c r="AI438" s="31"/>
      <c r="AJ438" s="31"/>
      <c r="AK438" s="433"/>
      <c r="AL438" s="31"/>
      <c r="AM438" s="31"/>
      <c r="AN438" s="31"/>
      <c r="AO438" s="592"/>
      <c r="AP438" s="31"/>
      <c r="AQ438" s="31"/>
      <c r="AR438" s="31"/>
      <c r="AS438" s="31"/>
      <c r="AT438" s="31"/>
      <c r="AU438" s="433"/>
    </row>
    <row r="439" spans="1:47" ht="15" customHeight="1" x14ac:dyDescent="0.2">
      <c r="A439" s="39">
        <f>acute_overview_children!A39</f>
        <v>4</v>
      </c>
      <c r="B439" s="23">
        <f>acute_overview_children!B39</f>
        <v>130990</v>
      </c>
      <c r="C439" s="23" t="str">
        <f>acute_overview_children!C39</f>
        <v>Other pome fruit</v>
      </c>
      <c r="D439" s="38">
        <f t="shared" si="88"/>
        <v>4</v>
      </c>
      <c r="E439" s="31"/>
      <c r="F439" s="31"/>
      <c r="G439" s="31"/>
      <c r="H439" s="31"/>
      <c r="I439" s="31"/>
      <c r="J439" s="31"/>
      <c r="K439" s="31"/>
      <c r="L439" s="31"/>
      <c r="M439" s="31"/>
      <c r="N439" s="31">
        <v>0</v>
      </c>
      <c r="O439" s="31">
        <v>0</v>
      </c>
      <c r="P439" s="31"/>
      <c r="Q439" s="31"/>
      <c r="R439" s="31"/>
      <c r="S439" s="31"/>
      <c r="T439" s="31"/>
      <c r="U439" s="31"/>
      <c r="V439" s="31"/>
      <c r="W439" s="31"/>
      <c r="X439" s="31"/>
      <c r="Y439" s="31"/>
      <c r="Z439" s="31"/>
      <c r="AA439" s="31"/>
      <c r="AB439" s="31"/>
      <c r="AC439" s="31">
        <v>0</v>
      </c>
      <c r="AD439" s="31">
        <v>0</v>
      </c>
      <c r="AE439" s="31"/>
      <c r="AF439" s="31"/>
      <c r="AG439" s="31"/>
      <c r="AH439" s="31"/>
      <c r="AI439" s="31"/>
      <c r="AJ439" s="31"/>
      <c r="AK439" s="433"/>
      <c r="AL439" s="31"/>
      <c r="AM439" s="31"/>
      <c r="AN439" s="31"/>
      <c r="AO439" s="592"/>
      <c r="AP439" s="31"/>
      <c r="AQ439" s="31"/>
      <c r="AR439" s="31"/>
      <c r="AS439" s="31"/>
      <c r="AT439" s="31"/>
      <c r="AU439" s="433"/>
    </row>
    <row r="440" spans="1:47" ht="15" customHeight="1" x14ac:dyDescent="0.2">
      <c r="A440" s="515">
        <f>acute_overview_children!A40</f>
        <v>2</v>
      </c>
      <c r="B440" s="24">
        <f>acute_overview_children!B40</f>
        <v>140000</v>
      </c>
      <c r="C440" s="24" t="str">
        <f>acute_overview_children!C40</f>
        <v>Stone fruit</v>
      </c>
      <c r="D440" s="38">
        <f t="shared" si="88"/>
        <v>4</v>
      </c>
      <c r="E440" s="55"/>
      <c r="F440" s="55"/>
      <c r="G440" s="55"/>
      <c r="H440" s="55"/>
      <c r="I440" s="55"/>
      <c r="J440" s="55"/>
      <c r="K440" s="55"/>
      <c r="L440" s="55"/>
      <c r="M440" s="55"/>
      <c r="N440" s="55">
        <v>2.5172413793103448</v>
      </c>
      <c r="O440" s="55">
        <v>2.7397260273972601</v>
      </c>
      <c r="P440" s="55"/>
      <c r="Q440" s="55"/>
      <c r="R440" s="55"/>
      <c r="S440" s="55"/>
      <c r="T440" s="55"/>
      <c r="U440" s="55"/>
      <c r="V440" s="55"/>
      <c r="W440" s="55"/>
      <c r="X440" s="55"/>
      <c r="Y440" s="55"/>
      <c r="Z440" s="55"/>
      <c r="AA440" s="55"/>
      <c r="AB440" s="55"/>
      <c r="AC440" s="55">
        <v>1.1815789473684211</v>
      </c>
      <c r="AD440" s="55">
        <v>1.2683658170914542</v>
      </c>
      <c r="AE440" s="55"/>
      <c r="AF440" s="55"/>
      <c r="AG440" s="55"/>
      <c r="AH440" s="55"/>
      <c r="AI440" s="55"/>
      <c r="AJ440" s="55"/>
      <c r="AK440" s="435"/>
      <c r="AL440" s="55"/>
      <c r="AM440" s="55"/>
      <c r="AN440" s="55"/>
      <c r="AO440" s="597"/>
      <c r="AP440" s="55"/>
      <c r="AQ440" s="55"/>
      <c r="AR440" s="55"/>
      <c r="AS440" s="55"/>
      <c r="AT440" s="55"/>
      <c r="AU440" s="435"/>
    </row>
    <row r="441" spans="1:47" ht="15" customHeight="1" x14ac:dyDescent="0.2">
      <c r="A441" s="39">
        <f>acute_overview_children!A41</f>
        <v>4</v>
      </c>
      <c r="B441" s="23">
        <f>acute_overview_children!B41</f>
        <v>140010</v>
      </c>
      <c r="C441" s="23" t="str">
        <f>acute_overview_children!C41</f>
        <v>Apricots</v>
      </c>
      <c r="D441" s="38">
        <f t="shared" si="88"/>
        <v>4</v>
      </c>
      <c r="E441" s="31"/>
      <c r="F441" s="31"/>
      <c r="G441" s="31"/>
      <c r="H441" s="31"/>
      <c r="I441" s="31"/>
      <c r="J441" s="31"/>
      <c r="K441" s="31"/>
      <c r="L441" s="31"/>
      <c r="M441" s="31"/>
      <c r="N441" s="31">
        <v>1.3448275862068966</v>
      </c>
      <c r="O441" s="31">
        <v>1.0205479452054795</v>
      </c>
      <c r="P441" s="31"/>
      <c r="Q441" s="31"/>
      <c r="R441" s="31">
        <v>5.1351825800000001E-2</v>
      </c>
      <c r="S441" s="31"/>
      <c r="T441" s="31"/>
      <c r="U441" s="31"/>
      <c r="V441" s="31"/>
      <c r="W441" s="31"/>
      <c r="X441" s="31"/>
      <c r="Y441" s="31"/>
      <c r="Z441" s="31"/>
      <c r="AA441" s="31"/>
      <c r="AB441" s="31"/>
      <c r="AC441" s="31">
        <v>0.3697368421052632</v>
      </c>
      <c r="AD441" s="31">
        <v>0.7571214392803598</v>
      </c>
      <c r="AE441" s="31"/>
      <c r="AF441" s="31"/>
      <c r="AG441" s="31"/>
      <c r="AH441" s="31"/>
      <c r="AI441" s="31"/>
      <c r="AJ441" s="31"/>
      <c r="AK441" s="433"/>
      <c r="AL441" s="31"/>
      <c r="AM441" s="31"/>
      <c r="AN441" s="31">
        <v>0.62101910890000001</v>
      </c>
      <c r="AO441" s="592">
        <v>9.8379627900000002E-2</v>
      </c>
      <c r="AP441" s="31"/>
      <c r="AQ441" s="31"/>
      <c r="AR441" s="31"/>
      <c r="AS441" s="31"/>
      <c r="AT441" s="31"/>
      <c r="AU441" s="433"/>
    </row>
    <row r="442" spans="1:47" ht="15" customHeight="1" x14ac:dyDescent="0.2">
      <c r="A442" s="39">
        <f>acute_overview_children!A42</f>
        <v>4</v>
      </c>
      <c r="B442" s="23">
        <f>acute_overview_children!B42</f>
        <v>140020</v>
      </c>
      <c r="C442" s="23" t="str">
        <f>acute_overview_children!C42</f>
        <v>Cherries (sweet)</v>
      </c>
      <c r="D442" s="38">
        <f t="shared" si="88"/>
        <v>4</v>
      </c>
      <c r="E442" s="31"/>
      <c r="F442" s="31"/>
      <c r="G442" s="31"/>
      <c r="H442" s="31"/>
      <c r="I442" s="31"/>
      <c r="J442" s="31"/>
      <c r="K442" s="31"/>
      <c r="L442" s="31"/>
      <c r="M442" s="31"/>
      <c r="N442" s="31">
        <v>1.4252873563218393</v>
      </c>
      <c r="O442" s="31">
        <v>1.0410958904109588</v>
      </c>
      <c r="P442" s="31"/>
      <c r="Q442" s="31"/>
      <c r="R442" s="31">
        <v>0</v>
      </c>
      <c r="S442" s="31"/>
      <c r="T442" s="31"/>
      <c r="U442" s="31"/>
      <c r="V442" s="31"/>
      <c r="W442" s="31"/>
      <c r="X442" s="31"/>
      <c r="Y442" s="31"/>
      <c r="Z442" s="31"/>
      <c r="AA442" s="31"/>
      <c r="AB442" s="31"/>
      <c r="AC442" s="31">
        <v>0.47105263157894733</v>
      </c>
      <c r="AD442" s="31">
        <v>0.52323838080959517</v>
      </c>
      <c r="AE442" s="31"/>
      <c r="AF442" s="31"/>
      <c r="AG442" s="31"/>
      <c r="AH442" s="31"/>
      <c r="AI442" s="31"/>
      <c r="AJ442" s="31"/>
      <c r="AK442" s="433"/>
      <c r="AL442" s="31"/>
      <c r="AM442" s="31"/>
      <c r="AN442" s="31">
        <v>0</v>
      </c>
      <c r="AO442" s="592">
        <v>0</v>
      </c>
      <c r="AP442" s="31"/>
      <c r="AQ442" s="31"/>
      <c r="AR442" s="31"/>
      <c r="AS442" s="31"/>
      <c r="AT442" s="31"/>
      <c r="AU442" s="433"/>
    </row>
    <row r="443" spans="1:47" ht="15" customHeight="1" x14ac:dyDescent="0.2">
      <c r="A443" s="39">
        <f>acute_overview_children!A43</f>
        <v>4</v>
      </c>
      <c r="B443" s="23">
        <f>acute_overview_children!B43</f>
        <v>140030</v>
      </c>
      <c r="C443" s="23" t="str">
        <f>acute_overview_children!C43</f>
        <v>Peaches</v>
      </c>
      <c r="D443" s="38">
        <f t="shared" si="88"/>
        <v>4</v>
      </c>
      <c r="E443" s="31"/>
      <c r="F443" s="31"/>
      <c r="G443" s="31"/>
      <c r="H443" s="31"/>
      <c r="I443" s="31"/>
      <c r="J443" s="31"/>
      <c r="K443" s="31"/>
      <c r="L443" s="31"/>
      <c r="M443" s="31"/>
      <c r="N443" s="31">
        <v>1.3448275862068966</v>
      </c>
      <c r="O443" s="31">
        <v>3.1164383561643838</v>
      </c>
      <c r="P443" s="31"/>
      <c r="Q443" s="31"/>
      <c r="R443" s="31">
        <v>0.28827696530000002</v>
      </c>
      <c r="S443" s="31"/>
      <c r="T443" s="31"/>
      <c r="U443" s="31"/>
      <c r="V443" s="31"/>
      <c r="W443" s="31"/>
      <c r="X443" s="31"/>
      <c r="Y443" s="31"/>
      <c r="Z443" s="31"/>
      <c r="AA443" s="31"/>
      <c r="AB443" s="31"/>
      <c r="AC443" s="31">
        <v>1.3644736842105263</v>
      </c>
      <c r="AD443" s="31">
        <v>0.93703148425787097</v>
      </c>
      <c r="AE443" s="31"/>
      <c r="AF443" s="31"/>
      <c r="AG443" s="31"/>
      <c r="AH443" s="31"/>
      <c r="AI443" s="31"/>
      <c r="AJ443" s="31"/>
      <c r="AK443" s="433"/>
      <c r="AL443" s="31"/>
      <c r="AM443" s="31"/>
      <c r="AN443" s="31">
        <v>1.2530863607</v>
      </c>
      <c r="AO443" s="592">
        <v>1.8524228452</v>
      </c>
      <c r="AP443" s="31"/>
      <c r="AQ443" s="31"/>
      <c r="AR443" s="31"/>
      <c r="AS443" s="31"/>
      <c r="AT443" s="31"/>
      <c r="AU443" s="433"/>
    </row>
    <row r="444" spans="1:47" ht="15" customHeight="1" x14ac:dyDescent="0.2">
      <c r="A444" s="39">
        <f>acute_overview_children!A44</f>
        <v>4</v>
      </c>
      <c r="B444" s="23">
        <f>acute_overview_children!B44</f>
        <v>140040</v>
      </c>
      <c r="C444" s="23" t="str">
        <f>acute_overview_children!C44</f>
        <v>Plums</v>
      </c>
      <c r="D444" s="38">
        <f t="shared" si="88"/>
        <v>4</v>
      </c>
      <c r="E444" s="31"/>
      <c r="F444" s="31"/>
      <c r="G444" s="31"/>
      <c r="H444" s="31"/>
      <c r="I444" s="31"/>
      <c r="J444" s="31"/>
      <c r="K444" s="31"/>
      <c r="L444" s="31"/>
      <c r="M444" s="31"/>
      <c r="N444" s="31">
        <v>0.48275862068965525</v>
      </c>
      <c r="O444" s="31">
        <v>2.1369863013698631</v>
      </c>
      <c r="P444" s="31"/>
      <c r="Q444" s="31"/>
      <c r="R444" s="31">
        <v>0.28094462539999998</v>
      </c>
      <c r="S444" s="31"/>
      <c r="T444" s="31"/>
      <c r="U444" s="31"/>
      <c r="V444" s="31"/>
      <c r="W444" s="31"/>
      <c r="X444" s="31"/>
      <c r="Y444" s="31"/>
      <c r="Z444" s="31"/>
      <c r="AA444" s="31"/>
      <c r="AB444" s="31"/>
      <c r="AC444" s="31">
        <v>0.91447368421052633</v>
      </c>
      <c r="AD444" s="31">
        <v>0.69715142428785604</v>
      </c>
      <c r="AE444" s="31"/>
      <c r="AF444" s="31"/>
      <c r="AG444" s="31"/>
      <c r="AH444" s="31"/>
      <c r="AI444" s="31"/>
      <c r="AJ444" s="31"/>
      <c r="AK444" s="433"/>
      <c r="AL444" s="31"/>
      <c r="AM444" s="31"/>
      <c r="AN444" s="31">
        <v>0.66225163890000005</v>
      </c>
      <c r="AO444" s="592">
        <v>0.51111111109999996</v>
      </c>
      <c r="AP444" s="31"/>
      <c r="AQ444" s="31"/>
      <c r="AR444" s="31"/>
      <c r="AS444" s="31"/>
      <c r="AT444" s="31"/>
      <c r="AU444" s="433"/>
    </row>
    <row r="445" spans="1:47" ht="15" customHeight="1" x14ac:dyDescent="0.2">
      <c r="A445" s="39">
        <f>acute_overview_children!A45</f>
        <v>4</v>
      </c>
      <c r="B445" s="23">
        <f>acute_overview_children!B45</f>
        <v>140990</v>
      </c>
      <c r="C445" s="23" t="str">
        <f>acute_overview_children!C45</f>
        <v>Other stone fruit</v>
      </c>
      <c r="D445" s="38">
        <f t="shared" si="88"/>
        <v>4</v>
      </c>
      <c r="E445" s="31"/>
      <c r="F445" s="31"/>
      <c r="G445" s="31"/>
      <c r="H445" s="31"/>
      <c r="I445" s="31"/>
      <c r="J445" s="31"/>
      <c r="K445" s="31"/>
      <c r="L445" s="31"/>
      <c r="M445" s="31"/>
      <c r="N445" s="31">
        <v>0</v>
      </c>
      <c r="O445" s="31">
        <v>0</v>
      </c>
      <c r="P445" s="31"/>
      <c r="Q445" s="31"/>
      <c r="R445" s="31"/>
      <c r="S445" s="31"/>
      <c r="T445" s="31"/>
      <c r="U445" s="31"/>
      <c r="V445" s="31"/>
      <c r="W445" s="31"/>
      <c r="X445" s="31"/>
      <c r="Y445" s="31"/>
      <c r="Z445" s="31"/>
      <c r="AA445" s="31"/>
      <c r="AB445" s="31"/>
      <c r="AC445" s="31">
        <v>0</v>
      </c>
      <c r="AD445" s="31">
        <v>0</v>
      </c>
      <c r="AE445" s="31"/>
      <c r="AF445" s="31"/>
      <c r="AG445" s="31"/>
      <c r="AH445" s="31"/>
      <c r="AI445" s="31"/>
      <c r="AJ445" s="31"/>
      <c r="AK445" s="433"/>
      <c r="AL445" s="31"/>
      <c r="AM445" s="31"/>
      <c r="AN445" s="31"/>
      <c r="AO445" s="592"/>
      <c r="AP445" s="31"/>
      <c r="AQ445" s="31"/>
      <c r="AR445" s="31"/>
      <c r="AS445" s="31"/>
      <c r="AT445" s="31"/>
      <c r="AU445" s="433"/>
    </row>
    <row r="446" spans="1:47" ht="15" customHeight="1" x14ac:dyDescent="0.2">
      <c r="A446" s="515">
        <f>acute_overview_children!A46</f>
        <v>2</v>
      </c>
      <c r="B446" s="24">
        <f>acute_overview_children!B46</f>
        <v>150000</v>
      </c>
      <c r="C446" s="24" t="str">
        <f>acute_overview_children!C46</f>
        <v>Berries &amp; small fruit</v>
      </c>
      <c r="D446" s="38">
        <f t="shared" si="88"/>
        <v>4</v>
      </c>
      <c r="E446" s="55"/>
      <c r="F446" s="55"/>
      <c r="G446" s="55"/>
      <c r="H446" s="55"/>
      <c r="I446" s="55"/>
      <c r="J446" s="55"/>
      <c r="K446" s="55"/>
      <c r="L446" s="55"/>
      <c r="M446" s="55"/>
      <c r="N446" s="55">
        <v>1.9885057471264371</v>
      </c>
      <c r="O446" s="55">
        <v>4.0479452054794525</v>
      </c>
      <c r="P446" s="55"/>
      <c r="Q446" s="55"/>
      <c r="R446" s="55"/>
      <c r="S446" s="55"/>
      <c r="T446" s="55"/>
      <c r="U446" s="55"/>
      <c r="V446" s="55"/>
      <c r="W446" s="55"/>
      <c r="X446" s="55"/>
      <c r="Y446" s="55"/>
      <c r="Z446" s="55"/>
      <c r="AA446" s="55"/>
      <c r="AB446" s="55"/>
      <c r="AC446" s="55">
        <v>5.1960526315789473</v>
      </c>
      <c r="AD446" s="55">
        <v>4.9340329835082457</v>
      </c>
      <c r="AE446" s="55"/>
      <c r="AF446" s="55"/>
      <c r="AG446" s="55"/>
      <c r="AH446" s="55"/>
      <c r="AI446" s="55"/>
      <c r="AJ446" s="55"/>
      <c r="AK446" s="435"/>
      <c r="AL446" s="55"/>
      <c r="AM446" s="55"/>
      <c r="AN446" s="55"/>
      <c r="AO446" s="597"/>
      <c r="AP446" s="55"/>
      <c r="AQ446" s="55"/>
      <c r="AR446" s="55"/>
      <c r="AS446" s="55"/>
      <c r="AT446" s="55"/>
      <c r="AU446" s="435"/>
    </row>
    <row r="447" spans="1:47" ht="15" customHeight="1" x14ac:dyDescent="0.2">
      <c r="A447" s="132">
        <f>acute_overview_children!A47</f>
        <v>3</v>
      </c>
      <c r="B447" s="3">
        <f>acute_overview_children!B47</f>
        <v>151000</v>
      </c>
      <c r="C447" s="3" t="str">
        <f>acute_overview_children!C47</f>
        <v xml:space="preserve">Table and wine grapes </v>
      </c>
      <c r="D447" s="38">
        <f t="shared" si="88"/>
        <v>4</v>
      </c>
      <c r="E447" s="48"/>
      <c r="F447" s="48"/>
      <c r="G447" s="48"/>
      <c r="H447" s="48"/>
      <c r="I447" s="48"/>
      <c r="J447" s="48"/>
      <c r="K447" s="48"/>
      <c r="L447" s="48"/>
      <c r="M447" s="48"/>
      <c r="N447" s="48">
        <v>0</v>
      </c>
      <c r="O447" s="48">
        <v>0</v>
      </c>
      <c r="P447" s="48"/>
      <c r="Q447" s="48"/>
      <c r="R447" s="48"/>
      <c r="S447" s="48"/>
      <c r="T447" s="48"/>
      <c r="U447" s="48"/>
      <c r="V447" s="48"/>
      <c r="W447" s="48"/>
      <c r="X447" s="48"/>
      <c r="Y447" s="48"/>
      <c r="Z447" s="48"/>
      <c r="AA447" s="48"/>
      <c r="AB447" s="48"/>
      <c r="AC447" s="48">
        <v>0</v>
      </c>
      <c r="AD447" s="48">
        <v>0</v>
      </c>
      <c r="AE447" s="48"/>
      <c r="AF447" s="48"/>
      <c r="AG447" s="48"/>
      <c r="AH447" s="48"/>
      <c r="AI447" s="48"/>
      <c r="AJ447" s="48"/>
      <c r="AK447" s="93"/>
      <c r="AL447" s="48"/>
      <c r="AM447" s="48"/>
      <c r="AN447" s="48"/>
      <c r="AO447" s="593"/>
      <c r="AP447" s="48"/>
      <c r="AQ447" s="48"/>
      <c r="AR447" s="48"/>
      <c r="AS447" s="48"/>
      <c r="AT447" s="48"/>
      <c r="AU447" s="93"/>
    </row>
    <row r="448" spans="1:47" ht="15" customHeight="1" x14ac:dyDescent="0.2">
      <c r="A448" s="39">
        <f>acute_overview_children!A48</f>
        <v>4</v>
      </c>
      <c r="B448" s="23">
        <f>acute_overview_children!B48</f>
        <v>151010</v>
      </c>
      <c r="C448" s="23" t="str">
        <f>acute_overview_children!C48</f>
        <v>Table grapes</v>
      </c>
      <c r="D448" s="38">
        <f t="shared" si="88"/>
        <v>4</v>
      </c>
      <c r="E448" s="31"/>
      <c r="F448" s="31"/>
      <c r="G448" s="31"/>
      <c r="H448" s="31"/>
      <c r="I448" s="31"/>
      <c r="J448" s="31"/>
      <c r="K448" s="31"/>
      <c r="L448" s="31"/>
      <c r="M448" s="31"/>
      <c r="N448" s="31">
        <v>1.6551724137931036</v>
      </c>
      <c r="O448" s="31">
        <v>4.6643835616438354</v>
      </c>
      <c r="P448" s="31"/>
      <c r="Q448" s="31"/>
      <c r="R448" s="31">
        <v>0.68774131270000005</v>
      </c>
      <c r="S448" s="31"/>
      <c r="T448" s="31"/>
      <c r="U448" s="31"/>
      <c r="V448" s="31"/>
      <c r="W448" s="31"/>
      <c r="X448" s="31"/>
      <c r="Y448" s="31"/>
      <c r="Z448" s="31"/>
      <c r="AA448" s="31"/>
      <c r="AB448" s="31"/>
      <c r="AC448" s="31">
        <v>1.3157894736842106</v>
      </c>
      <c r="AD448" s="31">
        <v>2.0389805097451275</v>
      </c>
      <c r="AE448" s="31"/>
      <c r="AF448" s="31"/>
      <c r="AG448" s="31"/>
      <c r="AH448" s="31"/>
      <c r="AI448" s="31"/>
      <c r="AJ448" s="31"/>
      <c r="AK448" s="433"/>
      <c r="AL448" s="31"/>
      <c r="AM448" s="31"/>
      <c r="AN448" s="31">
        <v>2.5976562112999999</v>
      </c>
      <c r="AO448" s="592">
        <v>2.2328549052</v>
      </c>
      <c r="AP448" s="31"/>
      <c r="AQ448" s="31"/>
      <c r="AR448" s="31"/>
      <c r="AS448" s="31"/>
      <c r="AT448" s="31"/>
      <c r="AU448" s="433"/>
    </row>
    <row r="449" spans="1:47" ht="15" customHeight="1" x14ac:dyDescent="0.2">
      <c r="A449" s="39">
        <f>acute_overview_children!A49</f>
        <v>4</v>
      </c>
      <c r="B449" s="23">
        <f>acute_overview_children!B49</f>
        <v>151020</v>
      </c>
      <c r="C449" s="23" t="str">
        <f>acute_overview_children!C49</f>
        <v>Wine grapes</v>
      </c>
      <c r="D449" s="38">
        <f t="shared" si="88"/>
        <v>4</v>
      </c>
      <c r="E449" s="31"/>
      <c r="F449" s="31"/>
      <c r="G449" s="31"/>
      <c r="H449" s="31"/>
      <c r="I449" s="31"/>
      <c r="J449" s="31"/>
      <c r="K449" s="31"/>
      <c r="L449" s="31"/>
      <c r="M449" s="31"/>
      <c r="N449" s="31">
        <v>1.2183908045977012</v>
      </c>
      <c r="O449" s="31">
        <v>0.88356164383561653</v>
      </c>
      <c r="P449" s="31"/>
      <c r="Q449" s="31"/>
      <c r="R449" s="31">
        <v>2.3492286167</v>
      </c>
      <c r="S449" s="31"/>
      <c r="T449" s="31"/>
      <c r="U449" s="31"/>
      <c r="V449" s="31"/>
      <c r="W449" s="31"/>
      <c r="X449" s="31"/>
      <c r="Y449" s="31"/>
      <c r="Z449" s="31"/>
      <c r="AA449" s="31"/>
      <c r="AB449" s="31"/>
      <c r="AC449" s="31">
        <v>9.844736842105263</v>
      </c>
      <c r="AD449" s="31">
        <v>9.7196401799100443</v>
      </c>
      <c r="AE449" s="31"/>
      <c r="AF449" s="31"/>
      <c r="AG449" s="31"/>
      <c r="AH449" s="31"/>
      <c r="AI449" s="31"/>
      <c r="AJ449" s="31"/>
      <c r="AK449" s="433"/>
      <c r="AL449" s="31"/>
      <c r="AM449" s="31"/>
      <c r="AN449" s="31">
        <v>0</v>
      </c>
      <c r="AO449" s="592">
        <v>0</v>
      </c>
      <c r="AP449" s="31"/>
      <c r="AQ449" s="31"/>
      <c r="AR449" s="31"/>
      <c r="AS449" s="31"/>
      <c r="AT449" s="31"/>
      <c r="AU449" s="433"/>
    </row>
    <row r="450" spans="1:47" ht="15" customHeight="1" x14ac:dyDescent="0.2">
      <c r="A450" s="132">
        <f>acute_overview_children!A50</f>
        <v>3</v>
      </c>
      <c r="B450" s="3">
        <f>acute_overview_children!B50</f>
        <v>152000</v>
      </c>
      <c r="C450" s="3" t="str">
        <f>acute_overview_children!C50</f>
        <v xml:space="preserve">Strawberries </v>
      </c>
      <c r="D450" s="38">
        <f t="shared" si="88"/>
        <v>3</v>
      </c>
      <c r="E450" s="48"/>
      <c r="F450" s="48"/>
      <c r="G450" s="48"/>
      <c r="H450" s="48"/>
      <c r="I450" s="48"/>
      <c r="J450" s="48"/>
      <c r="K450" s="48"/>
      <c r="L450" s="48"/>
      <c r="M450" s="48"/>
      <c r="N450" s="48">
        <v>1.9195402298850575</v>
      </c>
      <c r="O450" s="48">
        <v>1.9794520547945205</v>
      </c>
      <c r="P450" s="48"/>
      <c r="Q450" s="48"/>
      <c r="R450" s="48">
        <v>1.0849863201000001</v>
      </c>
      <c r="S450" s="48"/>
      <c r="T450" s="48"/>
      <c r="U450" s="48"/>
      <c r="V450" s="48"/>
      <c r="W450" s="48"/>
      <c r="X450" s="48"/>
      <c r="Y450" s="48"/>
      <c r="Z450" s="48"/>
      <c r="AA450" s="48"/>
      <c r="AB450" s="48"/>
      <c r="AC450" s="48">
        <v>0.59078947368421053</v>
      </c>
      <c r="AD450" s="48">
        <v>0.96851574212893543</v>
      </c>
      <c r="AE450" s="48"/>
      <c r="AF450" s="48"/>
      <c r="AG450" s="48"/>
      <c r="AH450" s="48"/>
      <c r="AI450" s="48"/>
      <c r="AJ450" s="48"/>
      <c r="AK450" s="93"/>
      <c r="AL450" s="48"/>
      <c r="AM450" s="48"/>
      <c r="AN450" s="48">
        <v>2.5437896471000001</v>
      </c>
      <c r="AO450" s="593">
        <v>2.5132275131999999</v>
      </c>
      <c r="AP450" s="48"/>
      <c r="AQ450" s="48"/>
      <c r="AR450" s="48"/>
      <c r="AS450" s="48"/>
      <c r="AT450" s="48"/>
      <c r="AU450" s="93"/>
    </row>
    <row r="451" spans="1:47" ht="15" customHeight="1" x14ac:dyDescent="0.2">
      <c r="A451" s="132">
        <f>acute_overview_children!A51</f>
        <v>3</v>
      </c>
      <c r="B451" s="3">
        <f>acute_overview_children!B51</f>
        <v>153000</v>
      </c>
      <c r="C451" s="3" t="str">
        <f>acute_overview_children!C51</f>
        <v xml:space="preserve">Cane fruit </v>
      </c>
      <c r="D451" s="38">
        <f t="shared" si="88"/>
        <v>4</v>
      </c>
      <c r="E451" s="48"/>
      <c r="F451" s="48"/>
      <c r="G451" s="48"/>
      <c r="H451" s="48"/>
      <c r="I451" s="48"/>
      <c r="J451" s="48"/>
      <c r="K451" s="48"/>
      <c r="L451" s="48"/>
      <c r="M451" s="48"/>
      <c r="N451" s="48">
        <v>0</v>
      </c>
      <c r="O451" s="48">
        <v>0</v>
      </c>
      <c r="P451" s="48"/>
      <c r="Q451" s="48"/>
      <c r="R451" s="48"/>
      <c r="S451" s="48"/>
      <c r="T451" s="48"/>
      <c r="U451" s="48"/>
      <c r="V451" s="48"/>
      <c r="W451" s="48"/>
      <c r="X451" s="48"/>
      <c r="Y451" s="48"/>
      <c r="Z451" s="48"/>
      <c r="AA451" s="48"/>
      <c r="AB451" s="48"/>
      <c r="AC451" s="48">
        <v>0</v>
      </c>
      <c r="AD451" s="48">
        <v>0</v>
      </c>
      <c r="AE451" s="48"/>
      <c r="AF451" s="48"/>
      <c r="AG451" s="48"/>
      <c r="AH451" s="48"/>
      <c r="AI451" s="48"/>
      <c r="AJ451" s="48"/>
      <c r="AK451" s="93"/>
      <c r="AL451" s="48"/>
      <c r="AM451" s="48"/>
      <c r="AN451" s="48"/>
      <c r="AO451" s="593"/>
      <c r="AP451" s="48"/>
      <c r="AQ451" s="48"/>
      <c r="AR451" s="48"/>
      <c r="AS451" s="48"/>
      <c r="AT451" s="48"/>
      <c r="AU451" s="93"/>
    </row>
    <row r="452" spans="1:47" ht="15" customHeight="1" x14ac:dyDescent="0.2">
      <c r="A452" s="39">
        <f>acute_overview_children!A52</f>
        <v>4</v>
      </c>
      <c r="B452" s="23">
        <f>acute_overview_children!B52</f>
        <v>153010</v>
      </c>
      <c r="C452" s="23" t="str">
        <f>acute_overview_children!C52</f>
        <v>Blackberries</v>
      </c>
      <c r="D452" s="38">
        <f t="shared" si="88"/>
        <v>4</v>
      </c>
      <c r="E452" s="31"/>
      <c r="F452" s="31"/>
      <c r="G452" s="31"/>
      <c r="H452" s="31"/>
      <c r="I452" s="31"/>
      <c r="J452" s="31"/>
      <c r="K452" s="31"/>
      <c r="L452" s="31"/>
      <c r="M452" s="31"/>
      <c r="N452" s="31">
        <v>0</v>
      </c>
      <c r="O452" s="31">
        <v>1.9315068493150684</v>
      </c>
      <c r="P452" s="31"/>
      <c r="Q452" s="31"/>
      <c r="R452" s="31"/>
      <c r="S452" s="31"/>
      <c r="T452" s="31"/>
      <c r="U452" s="31"/>
      <c r="V452" s="31"/>
      <c r="W452" s="31"/>
      <c r="X452" s="31"/>
      <c r="Y452" s="31"/>
      <c r="Z452" s="31"/>
      <c r="AA452" s="31"/>
      <c r="AB452" s="31"/>
      <c r="AC452" s="31">
        <v>0.1131578947368421</v>
      </c>
      <c r="AD452" s="31">
        <v>0.31184407796101948</v>
      </c>
      <c r="AE452" s="31"/>
      <c r="AF452" s="31"/>
      <c r="AG452" s="31"/>
      <c r="AH452" s="31"/>
      <c r="AI452" s="31"/>
      <c r="AJ452" s="31"/>
      <c r="AK452" s="433"/>
      <c r="AL452" s="31"/>
      <c r="AM452" s="31"/>
      <c r="AN452" s="31"/>
      <c r="AO452" s="592"/>
      <c r="AP452" s="31"/>
      <c r="AQ452" s="31"/>
      <c r="AR452" s="31"/>
      <c r="AS452" s="31"/>
      <c r="AT452" s="31"/>
      <c r="AU452" s="433"/>
    </row>
    <row r="453" spans="1:47" ht="15" customHeight="1" x14ac:dyDescent="0.2">
      <c r="A453" s="39">
        <f>acute_overview_children!A53</f>
        <v>4</v>
      </c>
      <c r="B453" s="23">
        <f>acute_overview_children!B53</f>
        <v>153020</v>
      </c>
      <c r="C453" s="23" t="str">
        <f>acute_overview_children!C53</f>
        <v>Dewberries</v>
      </c>
      <c r="D453" s="38">
        <f t="shared" si="88"/>
        <v>4</v>
      </c>
      <c r="E453" s="31"/>
      <c r="F453" s="31"/>
      <c r="G453" s="31"/>
      <c r="H453" s="31"/>
      <c r="I453" s="31"/>
      <c r="J453" s="31"/>
      <c r="K453" s="31"/>
      <c r="L453" s="31"/>
      <c r="M453" s="31"/>
      <c r="N453" s="31">
        <v>0.5977011494252874</v>
      </c>
      <c r="O453" s="31">
        <v>1.1232876712328765</v>
      </c>
      <c r="P453" s="31"/>
      <c r="Q453" s="31"/>
      <c r="R453" s="31"/>
      <c r="S453" s="31"/>
      <c r="T453" s="31"/>
      <c r="U453" s="31"/>
      <c r="V453" s="31"/>
      <c r="W453" s="31"/>
      <c r="X453" s="31"/>
      <c r="Y453" s="31"/>
      <c r="Z453" s="31"/>
      <c r="AA453" s="31"/>
      <c r="AB453" s="31"/>
      <c r="AC453" s="31">
        <v>8.1578947368421056E-2</v>
      </c>
      <c r="AD453" s="31">
        <v>0.21889055472263866</v>
      </c>
      <c r="AE453" s="31"/>
      <c r="AF453" s="31"/>
      <c r="AG453" s="31"/>
      <c r="AH453" s="31"/>
      <c r="AI453" s="31"/>
      <c r="AJ453" s="31"/>
      <c r="AK453" s="433"/>
      <c r="AL453" s="31"/>
      <c r="AM453" s="31"/>
      <c r="AN453" s="31"/>
      <c r="AO453" s="592"/>
      <c r="AP453" s="31"/>
      <c r="AQ453" s="31"/>
      <c r="AR453" s="31"/>
      <c r="AS453" s="31"/>
      <c r="AT453" s="31"/>
      <c r="AU453" s="433"/>
    </row>
    <row r="454" spans="1:47" ht="15" customHeight="1" x14ac:dyDescent="0.2">
      <c r="A454" s="39">
        <f>acute_overview_children!A54</f>
        <v>4</v>
      </c>
      <c r="B454" s="23">
        <f>acute_overview_children!B54</f>
        <v>153030</v>
      </c>
      <c r="C454" s="23" t="str">
        <f>acute_overview_children!C54</f>
        <v>Raspberries (red and yellow)</v>
      </c>
      <c r="D454" s="38">
        <f t="shared" si="88"/>
        <v>4</v>
      </c>
      <c r="E454" s="31"/>
      <c r="F454" s="31"/>
      <c r="G454" s="31"/>
      <c r="H454" s="31"/>
      <c r="I454" s="31"/>
      <c r="J454" s="31"/>
      <c r="K454" s="31"/>
      <c r="L454" s="31"/>
      <c r="M454" s="31"/>
      <c r="N454" s="31">
        <v>0</v>
      </c>
      <c r="O454" s="31">
        <v>2.3630136986301369</v>
      </c>
      <c r="P454" s="31"/>
      <c r="Q454" s="31"/>
      <c r="R454" s="31">
        <v>0.37857382550000002</v>
      </c>
      <c r="S454" s="31"/>
      <c r="T454" s="31"/>
      <c r="U454" s="31"/>
      <c r="V454" s="31"/>
      <c r="W454" s="31"/>
      <c r="X454" s="31"/>
      <c r="Y454" s="31"/>
      <c r="Z454" s="31"/>
      <c r="AA454" s="31"/>
      <c r="AB454" s="31"/>
      <c r="AC454" s="31">
        <v>0.41447368421052633</v>
      </c>
      <c r="AD454" s="31">
        <v>0.40029985007496249</v>
      </c>
      <c r="AE454" s="31"/>
      <c r="AF454" s="31"/>
      <c r="AG454" s="31"/>
      <c r="AH454" s="31"/>
      <c r="AI454" s="31"/>
      <c r="AJ454" s="31"/>
      <c r="AK454" s="433"/>
      <c r="AL454" s="31"/>
      <c r="AM454" s="31"/>
      <c r="AN454" s="31">
        <v>1.3534063231</v>
      </c>
      <c r="AO454" s="592">
        <v>1.1560694150999999</v>
      </c>
      <c r="AP454" s="31"/>
      <c r="AQ454" s="31"/>
      <c r="AR454" s="31"/>
      <c r="AS454" s="31"/>
      <c r="AT454" s="31"/>
      <c r="AU454" s="433"/>
    </row>
    <row r="455" spans="1:47" ht="15" customHeight="1" x14ac:dyDescent="0.2">
      <c r="A455" s="39">
        <f>acute_overview_children!A55</f>
        <v>4</v>
      </c>
      <c r="B455" s="23">
        <f>acute_overview_children!B55</f>
        <v>153990</v>
      </c>
      <c r="C455" s="23" t="str">
        <f>acute_overview_children!C55</f>
        <v>Other cane fruit</v>
      </c>
      <c r="D455" s="38">
        <f t="shared" si="88"/>
        <v>4</v>
      </c>
      <c r="E455" s="31"/>
      <c r="F455" s="31"/>
      <c r="G455" s="31"/>
      <c r="H455" s="31"/>
      <c r="I455" s="31"/>
      <c r="J455" s="31"/>
      <c r="K455" s="31"/>
      <c r="L455" s="31"/>
      <c r="M455" s="31"/>
      <c r="N455" s="31">
        <v>0</v>
      </c>
      <c r="O455" s="31">
        <v>0</v>
      </c>
      <c r="P455" s="31"/>
      <c r="Q455" s="31"/>
      <c r="R455" s="31"/>
      <c r="S455" s="31"/>
      <c r="T455" s="31"/>
      <c r="U455" s="31"/>
      <c r="V455" s="31"/>
      <c r="W455" s="31"/>
      <c r="X455" s="31"/>
      <c r="Y455" s="31"/>
      <c r="Z455" s="31"/>
      <c r="AA455" s="31"/>
      <c r="AB455" s="31"/>
      <c r="AC455" s="31">
        <v>0</v>
      </c>
      <c r="AD455" s="31">
        <v>0</v>
      </c>
      <c r="AE455" s="31"/>
      <c r="AF455" s="31"/>
      <c r="AG455" s="31"/>
      <c r="AH455" s="31"/>
      <c r="AI455" s="31"/>
      <c r="AJ455" s="31"/>
      <c r="AK455" s="433"/>
      <c r="AL455" s="31"/>
      <c r="AM455" s="31"/>
      <c r="AN455" s="31"/>
      <c r="AO455" s="592"/>
      <c r="AP455" s="31"/>
      <c r="AQ455" s="31"/>
      <c r="AR455" s="31"/>
      <c r="AS455" s="31"/>
      <c r="AT455" s="31"/>
      <c r="AU455" s="433"/>
    </row>
    <row r="456" spans="1:47" ht="15" customHeight="1" x14ac:dyDescent="0.2">
      <c r="A456" s="132">
        <f>acute_overview_children!A56</f>
        <v>3</v>
      </c>
      <c r="B456" s="3">
        <f>acute_overview_children!B56</f>
        <v>154000</v>
      </c>
      <c r="C456" s="3" t="str">
        <f>acute_overview_children!C56</f>
        <v xml:space="preserve">Other small fruit &amp; berries </v>
      </c>
      <c r="D456" s="38">
        <f t="shared" si="88"/>
        <v>4</v>
      </c>
      <c r="E456" s="48"/>
      <c r="F456" s="48"/>
      <c r="G456" s="48"/>
      <c r="H456" s="48"/>
      <c r="I456" s="48"/>
      <c r="J456" s="48"/>
      <c r="K456" s="48"/>
      <c r="L456" s="48"/>
      <c r="M456" s="48"/>
      <c r="N456" s="48">
        <v>0</v>
      </c>
      <c r="O456" s="48">
        <v>0</v>
      </c>
      <c r="P456" s="48"/>
      <c r="Q456" s="48"/>
      <c r="R456" s="48"/>
      <c r="S456" s="48"/>
      <c r="T456" s="48"/>
      <c r="U456" s="48"/>
      <c r="V456" s="48"/>
      <c r="W456" s="48"/>
      <c r="X456" s="48"/>
      <c r="Y456" s="48"/>
      <c r="Z456" s="48"/>
      <c r="AA456" s="48"/>
      <c r="AB456" s="48"/>
      <c r="AC456" s="48">
        <v>0</v>
      </c>
      <c r="AD456" s="48">
        <v>0</v>
      </c>
      <c r="AE456" s="48"/>
      <c r="AF456" s="48"/>
      <c r="AG456" s="48"/>
      <c r="AH456" s="48"/>
      <c r="AI456" s="48"/>
      <c r="AJ456" s="48"/>
      <c r="AK456" s="93"/>
      <c r="AL456" s="48"/>
      <c r="AM456" s="48"/>
      <c r="AN456" s="48"/>
      <c r="AO456" s="593"/>
      <c r="AP456" s="48"/>
      <c r="AQ456" s="48"/>
      <c r="AR456" s="48"/>
      <c r="AS456" s="48"/>
      <c r="AT456" s="48"/>
      <c r="AU456" s="93"/>
    </row>
    <row r="457" spans="1:47" ht="15" customHeight="1" x14ac:dyDescent="0.2">
      <c r="A457" s="39">
        <f>acute_overview_children!A57</f>
        <v>4</v>
      </c>
      <c r="B457" s="23">
        <f>acute_overview_children!B57</f>
        <v>154010</v>
      </c>
      <c r="C457" s="23" t="str">
        <f>acute_overview_children!C57</f>
        <v>Blueberries</v>
      </c>
      <c r="D457" s="38">
        <f t="shared" si="88"/>
        <v>4</v>
      </c>
      <c r="E457" s="31"/>
      <c r="F457" s="31"/>
      <c r="G457" s="31"/>
      <c r="H457" s="31"/>
      <c r="I457" s="31"/>
      <c r="J457" s="31"/>
      <c r="K457" s="31"/>
      <c r="L457" s="31"/>
      <c r="M457" s="31"/>
      <c r="N457" s="31">
        <v>0</v>
      </c>
      <c r="O457" s="31">
        <v>0</v>
      </c>
      <c r="P457" s="31"/>
      <c r="Q457" s="31"/>
      <c r="R457" s="31"/>
      <c r="S457" s="31"/>
      <c r="T457" s="31"/>
      <c r="U457" s="31"/>
      <c r="V457" s="31"/>
      <c r="W457" s="31"/>
      <c r="X457" s="31"/>
      <c r="Y457" s="31"/>
      <c r="Z457" s="31"/>
      <c r="AA457" s="31"/>
      <c r="AB457" s="31"/>
      <c r="AC457" s="31">
        <v>0</v>
      </c>
      <c r="AD457" s="31">
        <v>0</v>
      </c>
      <c r="AE457" s="31"/>
      <c r="AF457" s="31"/>
      <c r="AG457" s="31"/>
      <c r="AH457" s="31"/>
      <c r="AI457" s="31"/>
      <c r="AJ457" s="31"/>
      <c r="AK457" s="433"/>
      <c r="AL457" s="31"/>
      <c r="AM457" s="31"/>
      <c r="AN457" s="31"/>
      <c r="AO457" s="592"/>
      <c r="AP457" s="31"/>
      <c r="AQ457" s="31"/>
      <c r="AR457" s="31"/>
      <c r="AS457" s="31"/>
      <c r="AT457" s="31"/>
      <c r="AU457" s="433"/>
    </row>
    <row r="458" spans="1:47" ht="15" customHeight="1" x14ac:dyDescent="0.2">
      <c r="A458" s="39">
        <f>acute_overview_children!A58</f>
        <v>4</v>
      </c>
      <c r="B458" s="23">
        <f>acute_overview_children!B58</f>
        <v>154020</v>
      </c>
      <c r="C458" s="23" t="str">
        <f>acute_overview_children!C58</f>
        <v>Cranberries</v>
      </c>
      <c r="D458" s="38">
        <f t="shared" si="88"/>
        <v>4</v>
      </c>
      <c r="E458" s="31"/>
      <c r="F458" s="31"/>
      <c r="G458" s="31"/>
      <c r="H458" s="31"/>
      <c r="I458" s="31"/>
      <c r="J458" s="31"/>
      <c r="K458" s="31"/>
      <c r="L458" s="31"/>
      <c r="M458" s="31"/>
      <c r="N458" s="31">
        <v>0</v>
      </c>
      <c r="O458" s="31">
        <v>0</v>
      </c>
      <c r="P458" s="31"/>
      <c r="Q458" s="31"/>
      <c r="R458" s="31"/>
      <c r="S458" s="31"/>
      <c r="T458" s="31"/>
      <c r="U458" s="31"/>
      <c r="V458" s="31"/>
      <c r="W458" s="31"/>
      <c r="X458" s="31"/>
      <c r="Y458" s="31"/>
      <c r="Z458" s="31"/>
      <c r="AA458" s="31"/>
      <c r="AB458" s="31"/>
      <c r="AC458" s="31">
        <v>0</v>
      </c>
      <c r="AD458" s="31">
        <v>0</v>
      </c>
      <c r="AE458" s="31"/>
      <c r="AF458" s="31"/>
      <c r="AG458" s="31"/>
      <c r="AH458" s="31"/>
      <c r="AI458" s="31"/>
      <c r="AJ458" s="31"/>
      <c r="AK458" s="433"/>
      <c r="AL458" s="31"/>
      <c r="AM458" s="31"/>
      <c r="AN458" s="31"/>
      <c r="AO458" s="592"/>
      <c r="AP458" s="31"/>
      <c r="AQ458" s="31"/>
      <c r="AR458" s="31"/>
      <c r="AS458" s="31"/>
      <c r="AT458" s="31"/>
      <c r="AU458" s="433"/>
    </row>
    <row r="459" spans="1:47" ht="15" customHeight="1" x14ac:dyDescent="0.2">
      <c r="A459" s="39">
        <f>acute_overview_children!A59</f>
        <v>4</v>
      </c>
      <c r="B459" s="23">
        <f>acute_overview_children!B59</f>
        <v>154030</v>
      </c>
      <c r="C459" s="23" t="str">
        <f>acute_overview_children!C59</f>
        <v>Currants (red, black and white)</v>
      </c>
      <c r="D459" s="38">
        <f t="shared" si="88"/>
        <v>4</v>
      </c>
      <c r="E459" s="31"/>
      <c r="F459" s="31"/>
      <c r="G459" s="31"/>
      <c r="H459" s="31"/>
      <c r="I459" s="31"/>
      <c r="J459" s="31"/>
      <c r="K459" s="31"/>
      <c r="L459" s="31"/>
      <c r="M459" s="31"/>
      <c r="N459" s="31">
        <v>1.1839080459770117</v>
      </c>
      <c r="O459" s="31">
        <v>1.7808219178082192</v>
      </c>
      <c r="P459" s="31"/>
      <c r="Q459" s="31"/>
      <c r="R459" s="31">
        <v>0.34387065639999997</v>
      </c>
      <c r="S459" s="31"/>
      <c r="T459" s="31"/>
      <c r="U459" s="31"/>
      <c r="V459" s="31"/>
      <c r="W459" s="31"/>
      <c r="X459" s="31"/>
      <c r="Y459" s="31"/>
      <c r="Z459" s="31"/>
      <c r="AA459" s="31"/>
      <c r="AB459" s="31"/>
      <c r="AC459" s="31">
        <v>0.64736842105263159</v>
      </c>
      <c r="AD459" s="31">
        <v>0.35532233883058467</v>
      </c>
      <c r="AE459" s="31"/>
      <c r="AF459" s="31"/>
      <c r="AG459" s="31"/>
      <c r="AH459" s="31"/>
      <c r="AI459" s="31"/>
      <c r="AJ459" s="31"/>
      <c r="AK459" s="433"/>
      <c r="AL459" s="31"/>
      <c r="AM459" s="31"/>
      <c r="AN459" s="31">
        <v>0.92273728349999995</v>
      </c>
      <c r="AO459" s="592">
        <v>0.61239689019999999</v>
      </c>
      <c r="AP459" s="31"/>
      <c r="AQ459" s="31"/>
      <c r="AR459" s="31"/>
      <c r="AS459" s="31"/>
      <c r="AT459" s="31"/>
      <c r="AU459" s="433"/>
    </row>
    <row r="460" spans="1:47" ht="15" customHeight="1" x14ac:dyDescent="0.2">
      <c r="A460" s="39">
        <f>acute_overview_children!A60</f>
        <v>4</v>
      </c>
      <c r="B460" s="23">
        <f>acute_overview_children!B60</f>
        <v>154040</v>
      </c>
      <c r="C460" s="23" t="str">
        <f>acute_overview_children!C60</f>
        <v>Gooseberries (green, red and yellow)</v>
      </c>
      <c r="D460" s="38">
        <f t="shared" si="88"/>
        <v>4</v>
      </c>
      <c r="E460" s="31"/>
      <c r="F460" s="31"/>
      <c r="G460" s="31"/>
      <c r="H460" s="31"/>
      <c r="I460" s="31"/>
      <c r="J460" s="31"/>
      <c r="K460" s="31"/>
      <c r="L460" s="31"/>
      <c r="M460" s="31"/>
      <c r="N460" s="31">
        <v>0.51724137931034486</v>
      </c>
      <c r="O460" s="31">
        <v>0.65068493150684936</v>
      </c>
      <c r="P460" s="31"/>
      <c r="Q460" s="31"/>
      <c r="R460" s="31">
        <v>0</v>
      </c>
      <c r="S460" s="31"/>
      <c r="T460" s="31"/>
      <c r="U460" s="31"/>
      <c r="V460" s="31"/>
      <c r="W460" s="31"/>
      <c r="X460" s="31"/>
      <c r="Y460" s="31"/>
      <c r="Z460" s="31"/>
      <c r="AA460" s="31"/>
      <c r="AB460" s="31"/>
      <c r="AC460" s="31">
        <v>0.2473684210526316</v>
      </c>
      <c r="AD460" s="31">
        <v>0.72413793103448265</v>
      </c>
      <c r="AE460" s="31"/>
      <c r="AF460" s="31"/>
      <c r="AG460" s="31"/>
      <c r="AH460" s="31"/>
      <c r="AI460" s="31"/>
      <c r="AJ460" s="31"/>
      <c r="AK460" s="433"/>
      <c r="AL460" s="31"/>
      <c r="AM460" s="31"/>
      <c r="AN460" s="31">
        <v>0</v>
      </c>
      <c r="AO460" s="592">
        <v>0</v>
      </c>
      <c r="AP460" s="31"/>
      <c r="AQ460" s="31"/>
      <c r="AR460" s="31"/>
      <c r="AS460" s="31"/>
      <c r="AT460" s="31"/>
      <c r="AU460" s="433"/>
    </row>
    <row r="461" spans="1:47" ht="15" customHeight="1" x14ac:dyDescent="0.2">
      <c r="A461" s="39">
        <f>acute_overview_children!A61</f>
        <v>4</v>
      </c>
      <c r="B461" s="23">
        <f>acute_overview_children!B61</f>
        <v>154050</v>
      </c>
      <c r="C461" s="23" t="str">
        <f>acute_overview_children!C61</f>
        <v>Rose hips</v>
      </c>
      <c r="D461" s="38">
        <f t="shared" si="88"/>
        <v>4</v>
      </c>
      <c r="E461" s="31"/>
      <c r="F461" s="31"/>
      <c r="G461" s="31"/>
      <c r="H461" s="31"/>
      <c r="I461" s="31"/>
      <c r="J461" s="31"/>
      <c r="K461" s="31"/>
      <c r="L461" s="31"/>
      <c r="M461" s="31"/>
      <c r="N461" s="31">
        <v>0</v>
      </c>
      <c r="O461" s="31">
        <v>0</v>
      </c>
      <c r="P461" s="31"/>
      <c r="Q461" s="31"/>
      <c r="R461" s="31">
        <v>0</v>
      </c>
      <c r="S461" s="31"/>
      <c r="T461" s="31"/>
      <c r="U461" s="31"/>
      <c r="V461" s="31"/>
      <c r="W461" s="31"/>
      <c r="X461" s="31"/>
      <c r="Y461" s="31"/>
      <c r="Z461" s="31"/>
      <c r="AA461" s="31"/>
      <c r="AB461" s="31"/>
      <c r="AC461" s="31">
        <v>0</v>
      </c>
      <c r="AD461" s="31">
        <v>0</v>
      </c>
      <c r="AE461" s="31"/>
      <c r="AF461" s="31"/>
      <c r="AG461" s="31"/>
      <c r="AH461" s="31"/>
      <c r="AI461" s="31"/>
      <c r="AJ461" s="31"/>
      <c r="AK461" s="433"/>
      <c r="AL461" s="31"/>
      <c r="AM461" s="31"/>
      <c r="AN461" s="31">
        <v>0.63019420510000002</v>
      </c>
      <c r="AO461" s="592">
        <v>0</v>
      </c>
      <c r="AP461" s="31"/>
      <c r="AQ461" s="31"/>
      <c r="AR461" s="31"/>
      <c r="AS461" s="31"/>
      <c r="AT461" s="31"/>
      <c r="AU461" s="433"/>
    </row>
    <row r="462" spans="1:47" ht="15" customHeight="1" x14ac:dyDescent="0.2">
      <c r="A462" s="39">
        <f>acute_overview_children!A62</f>
        <v>4</v>
      </c>
      <c r="B462" s="23">
        <f>acute_overview_children!B62</f>
        <v>154060</v>
      </c>
      <c r="C462" s="23" t="str">
        <f>acute_overview_children!C62</f>
        <v>Mulberries (black and white)</v>
      </c>
      <c r="D462" s="38">
        <f t="shared" si="88"/>
        <v>4</v>
      </c>
      <c r="E462" s="31"/>
      <c r="F462" s="31"/>
      <c r="G462" s="31"/>
      <c r="H462" s="31"/>
      <c r="I462" s="31"/>
      <c r="J462" s="31"/>
      <c r="K462" s="31"/>
      <c r="L462" s="31"/>
      <c r="M462" s="31"/>
      <c r="N462" s="31">
        <v>0</v>
      </c>
      <c r="O462" s="31">
        <v>0</v>
      </c>
      <c r="P462" s="31"/>
      <c r="Q462" s="31"/>
      <c r="R462" s="31"/>
      <c r="S462" s="31"/>
      <c r="T462" s="31"/>
      <c r="U462" s="31"/>
      <c r="V462" s="31"/>
      <c r="W462" s="31"/>
      <c r="X462" s="31"/>
      <c r="Y462" s="31"/>
      <c r="Z462" s="31"/>
      <c r="AA462" s="31"/>
      <c r="AB462" s="31"/>
      <c r="AC462" s="31">
        <v>0</v>
      </c>
      <c r="AD462" s="31">
        <v>0</v>
      </c>
      <c r="AE462" s="31"/>
      <c r="AF462" s="31"/>
      <c r="AG462" s="31"/>
      <c r="AH462" s="31"/>
      <c r="AI462" s="31"/>
      <c r="AJ462" s="31"/>
      <c r="AK462" s="433"/>
      <c r="AL462" s="31"/>
      <c r="AM462" s="31"/>
      <c r="AN462" s="31"/>
      <c r="AO462" s="592"/>
      <c r="AP462" s="31"/>
      <c r="AQ462" s="31"/>
      <c r="AR462" s="31"/>
      <c r="AS462" s="31"/>
      <c r="AT462" s="31"/>
      <c r="AU462" s="433"/>
    </row>
    <row r="463" spans="1:47" ht="15" customHeight="1" x14ac:dyDescent="0.2">
      <c r="A463" s="39">
        <f>acute_overview_children!A63</f>
        <v>4</v>
      </c>
      <c r="B463" s="23">
        <f>acute_overview_children!B63</f>
        <v>154070</v>
      </c>
      <c r="C463" s="23" t="str">
        <f>acute_overview_children!C63</f>
        <v>Azarole/Mediteranean medlar</v>
      </c>
      <c r="D463" s="38">
        <f t="shared" si="88"/>
        <v>4</v>
      </c>
      <c r="E463" s="31"/>
      <c r="F463" s="31"/>
      <c r="G463" s="31"/>
      <c r="H463" s="31"/>
      <c r="I463" s="31"/>
      <c r="J463" s="31"/>
      <c r="K463" s="31"/>
      <c r="L463" s="31"/>
      <c r="M463" s="31"/>
      <c r="N463" s="31">
        <v>0</v>
      </c>
      <c r="O463" s="31">
        <v>0</v>
      </c>
      <c r="P463" s="31"/>
      <c r="Q463" s="31"/>
      <c r="R463" s="31"/>
      <c r="S463" s="31"/>
      <c r="T463" s="31"/>
      <c r="U463" s="31"/>
      <c r="V463" s="31"/>
      <c r="W463" s="31"/>
      <c r="X463" s="31"/>
      <c r="Y463" s="31"/>
      <c r="Z463" s="31"/>
      <c r="AA463" s="31"/>
      <c r="AB463" s="31"/>
      <c r="AC463" s="31">
        <v>0</v>
      </c>
      <c r="AD463" s="31">
        <v>0</v>
      </c>
      <c r="AE463" s="31"/>
      <c r="AF463" s="31"/>
      <c r="AG463" s="31"/>
      <c r="AH463" s="31"/>
      <c r="AI463" s="31"/>
      <c r="AJ463" s="31"/>
      <c r="AK463" s="433"/>
      <c r="AL463" s="31"/>
      <c r="AM463" s="31"/>
      <c r="AN463" s="31"/>
      <c r="AO463" s="592"/>
      <c r="AP463" s="31"/>
      <c r="AQ463" s="31"/>
      <c r="AR463" s="31"/>
      <c r="AS463" s="31"/>
      <c r="AT463" s="31"/>
      <c r="AU463" s="433"/>
    </row>
    <row r="464" spans="1:47" ht="15" customHeight="1" x14ac:dyDescent="0.2">
      <c r="A464" s="39">
        <f>acute_overview_children!A64</f>
        <v>4</v>
      </c>
      <c r="B464" s="23">
        <f>acute_overview_children!B64</f>
        <v>154080</v>
      </c>
      <c r="C464" s="23" t="str">
        <f>acute_overview_children!C64</f>
        <v>Elderberries</v>
      </c>
      <c r="D464" s="38">
        <f t="shared" si="88"/>
        <v>4</v>
      </c>
      <c r="E464" s="31"/>
      <c r="F464" s="31"/>
      <c r="G464" s="31"/>
      <c r="H464" s="31"/>
      <c r="I464" s="31"/>
      <c r="J464" s="31"/>
      <c r="K464" s="31"/>
      <c r="L464" s="31"/>
      <c r="M464" s="31"/>
      <c r="N464" s="31">
        <v>0</v>
      </c>
      <c r="O464" s="31">
        <v>0</v>
      </c>
      <c r="P464" s="31"/>
      <c r="Q464" s="31"/>
      <c r="R464" s="31"/>
      <c r="S464" s="31"/>
      <c r="T464" s="31"/>
      <c r="U464" s="31"/>
      <c r="V464" s="31"/>
      <c r="W464" s="31"/>
      <c r="X464" s="31"/>
      <c r="Y464" s="31"/>
      <c r="Z464" s="31"/>
      <c r="AA464" s="31"/>
      <c r="AB464" s="31"/>
      <c r="AC464" s="31">
        <v>0</v>
      </c>
      <c r="AD464" s="31">
        <v>0</v>
      </c>
      <c r="AE464" s="31"/>
      <c r="AF464" s="31"/>
      <c r="AG464" s="31"/>
      <c r="AH464" s="31"/>
      <c r="AI464" s="31"/>
      <c r="AJ464" s="31"/>
      <c r="AK464" s="433"/>
      <c r="AL464" s="31"/>
      <c r="AM464" s="31"/>
      <c r="AN464" s="31"/>
      <c r="AO464" s="592"/>
      <c r="AP464" s="31"/>
      <c r="AQ464" s="31"/>
      <c r="AR464" s="31"/>
      <c r="AS464" s="31"/>
      <c r="AT464" s="31"/>
      <c r="AU464" s="433"/>
    </row>
    <row r="465" spans="1:47" ht="15" customHeight="1" x14ac:dyDescent="0.2">
      <c r="A465" s="39">
        <f>acute_overview_children!A65</f>
        <v>4</v>
      </c>
      <c r="B465" s="23">
        <f>acute_overview_children!B65</f>
        <v>154990</v>
      </c>
      <c r="C465" s="23" t="str">
        <f>acute_overview_children!C65</f>
        <v xml:space="preserve">Other other small fruit &amp; berries </v>
      </c>
      <c r="D465" s="38">
        <f t="shared" si="88"/>
        <v>4</v>
      </c>
      <c r="E465" s="31"/>
      <c r="F465" s="31"/>
      <c r="G465" s="31"/>
      <c r="H465" s="31"/>
      <c r="I465" s="31"/>
      <c r="J465" s="31"/>
      <c r="K465" s="31"/>
      <c r="L465" s="31"/>
      <c r="M465" s="31"/>
      <c r="N465" s="31">
        <v>0</v>
      </c>
      <c r="O465" s="31">
        <v>0</v>
      </c>
      <c r="P465" s="31"/>
      <c r="Q465" s="31"/>
      <c r="R465" s="31"/>
      <c r="S465" s="31"/>
      <c r="T465" s="31"/>
      <c r="U465" s="31"/>
      <c r="V465" s="31"/>
      <c r="W465" s="31"/>
      <c r="X465" s="31"/>
      <c r="Y465" s="31"/>
      <c r="Z465" s="31"/>
      <c r="AA465" s="31"/>
      <c r="AB465" s="31"/>
      <c r="AC465" s="31">
        <v>0</v>
      </c>
      <c r="AD465" s="31">
        <v>0</v>
      </c>
      <c r="AE465" s="31"/>
      <c r="AF465" s="31"/>
      <c r="AG465" s="31"/>
      <c r="AH465" s="31"/>
      <c r="AI465" s="31"/>
      <c r="AJ465" s="31"/>
      <c r="AK465" s="433"/>
      <c r="AL465" s="31"/>
      <c r="AM465" s="31"/>
      <c r="AN465" s="31"/>
      <c r="AO465" s="592"/>
      <c r="AP465" s="31"/>
      <c r="AQ465" s="31"/>
      <c r="AR465" s="31"/>
      <c r="AS465" s="31"/>
      <c r="AT465" s="31"/>
      <c r="AU465" s="433"/>
    </row>
    <row r="466" spans="1:47" ht="15" customHeight="1" x14ac:dyDescent="0.2">
      <c r="A466" s="515">
        <f>acute_overview_children!A66</f>
        <v>2</v>
      </c>
      <c r="B466" s="24">
        <f>acute_overview_children!B66</f>
        <v>160000</v>
      </c>
      <c r="C466" s="24" t="str">
        <f>acute_overview_children!C66</f>
        <v>Miscellaneous fruit</v>
      </c>
      <c r="D466" s="38">
        <f t="shared" si="88"/>
        <v>4</v>
      </c>
      <c r="E466" s="55"/>
      <c r="F466" s="55"/>
      <c r="G466" s="55"/>
      <c r="H466" s="55"/>
      <c r="I466" s="55"/>
      <c r="J466" s="55"/>
      <c r="K466" s="55"/>
      <c r="L466" s="55"/>
      <c r="M466" s="55"/>
      <c r="N466" s="55">
        <v>7.8965517241379324</v>
      </c>
      <c r="O466" s="55">
        <v>7.0273972602739727</v>
      </c>
      <c r="P466" s="55"/>
      <c r="Q466" s="55"/>
      <c r="R466" s="55"/>
      <c r="S466" s="55"/>
      <c r="T466" s="55"/>
      <c r="U466" s="55"/>
      <c r="V466" s="55"/>
      <c r="W466" s="55"/>
      <c r="X466" s="55"/>
      <c r="Y466" s="55"/>
      <c r="Z466" s="55"/>
      <c r="AA466" s="55"/>
      <c r="AB466" s="55"/>
      <c r="AC466" s="55">
        <v>2.1618421052631582</v>
      </c>
      <c r="AD466" s="55">
        <v>2.3808095952023987</v>
      </c>
      <c r="AE466" s="55"/>
      <c r="AF466" s="55"/>
      <c r="AG466" s="55"/>
      <c r="AH466" s="55"/>
      <c r="AI466" s="55"/>
      <c r="AJ466" s="55"/>
      <c r="AK466" s="435"/>
      <c r="AL466" s="55"/>
      <c r="AM466" s="55"/>
      <c r="AN466" s="55"/>
      <c r="AO466" s="597"/>
      <c r="AP466" s="55"/>
      <c r="AQ466" s="55"/>
      <c r="AR466" s="55"/>
      <c r="AS466" s="55"/>
      <c r="AT466" s="55"/>
      <c r="AU466" s="435"/>
    </row>
    <row r="467" spans="1:47" ht="15" customHeight="1" x14ac:dyDescent="0.2">
      <c r="A467" s="132">
        <f>acute_overview_children!A67</f>
        <v>3</v>
      </c>
      <c r="B467" s="3">
        <f>acute_overview_children!B67</f>
        <v>161000</v>
      </c>
      <c r="C467" s="3" t="str">
        <f>acute_overview_children!C67</f>
        <v>Miscellaneous fruit (edible peel)</v>
      </c>
      <c r="D467" s="38">
        <f t="shared" si="88"/>
        <v>4</v>
      </c>
      <c r="E467" s="48"/>
      <c r="F467" s="48"/>
      <c r="G467" s="48"/>
      <c r="H467" s="48"/>
      <c r="I467" s="48"/>
      <c r="J467" s="48"/>
      <c r="K467" s="48"/>
      <c r="L467" s="48"/>
      <c r="M467" s="48"/>
      <c r="N467" s="48">
        <v>0</v>
      </c>
      <c r="O467" s="48">
        <v>0</v>
      </c>
      <c r="P467" s="48"/>
      <c r="Q467" s="48"/>
      <c r="R467" s="48"/>
      <c r="S467" s="48"/>
      <c r="T467" s="48"/>
      <c r="U467" s="48"/>
      <c r="V467" s="48"/>
      <c r="W467" s="48"/>
      <c r="X467" s="48"/>
      <c r="Y467" s="48"/>
      <c r="Z467" s="48"/>
      <c r="AA467" s="48"/>
      <c r="AB467" s="48"/>
      <c r="AC467" s="48">
        <v>0</v>
      </c>
      <c r="AD467" s="48">
        <v>0</v>
      </c>
      <c r="AE467" s="48"/>
      <c r="AF467" s="48"/>
      <c r="AG467" s="48"/>
      <c r="AH467" s="48"/>
      <c r="AI467" s="48"/>
      <c r="AJ467" s="48"/>
      <c r="AK467" s="93"/>
      <c r="AL467" s="48"/>
      <c r="AM467" s="48"/>
      <c r="AN467" s="48"/>
      <c r="AO467" s="593"/>
      <c r="AP467" s="48"/>
      <c r="AQ467" s="48"/>
      <c r="AR467" s="48"/>
      <c r="AS467" s="48"/>
      <c r="AT467" s="48"/>
      <c r="AU467" s="93"/>
    </row>
    <row r="468" spans="1:47" ht="15" customHeight="1" x14ac:dyDescent="0.2">
      <c r="A468" s="39">
        <f>acute_overview_children!A68</f>
        <v>4</v>
      </c>
      <c r="B468" s="23">
        <f>acute_overview_children!B68</f>
        <v>161010</v>
      </c>
      <c r="C468" s="23" t="str">
        <f>acute_overview_children!C68</f>
        <v>Dates</v>
      </c>
      <c r="D468" s="38">
        <f t="shared" si="88"/>
        <v>4</v>
      </c>
      <c r="E468" s="31"/>
      <c r="F468" s="31"/>
      <c r="G468" s="31"/>
      <c r="H468" s="31"/>
      <c r="I468" s="31"/>
      <c r="J468" s="31"/>
      <c r="K468" s="31"/>
      <c r="L468" s="31"/>
      <c r="M468" s="31"/>
      <c r="N468" s="31">
        <v>0</v>
      </c>
      <c r="O468" s="31">
        <v>0.36301369863013699</v>
      </c>
      <c r="P468" s="31"/>
      <c r="Q468" s="31"/>
      <c r="R468" s="31">
        <v>1.2360866E-2</v>
      </c>
      <c r="S468" s="31"/>
      <c r="T468" s="31"/>
      <c r="U468" s="31"/>
      <c r="V468" s="31"/>
      <c r="W468" s="31"/>
      <c r="X468" s="31"/>
      <c r="Y468" s="31"/>
      <c r="Z468" s="31"/>
      <c r="AA468" s="31"/>
      <c r="AB468" s="31"/>
      <c r="AC468" s="31">
        <v>0.21447368421052632</v>
      </c>
      <c r="AD468" s="31">
        <v>0.4752623688155922</v>
      </c>
      <c r="AE468" s="31"/>
      <c r="AF468" s="31"/>
      <c r="AG468" s="31"/>
      <c r="AH468" s="31"/>
      <c r="AI468" s="31"/>
      <c r="AJ468" s="31"/>
      <c r="AK468" s="433"/>
      <c r="AL468" s="31"/>
      <c r="AM468" s="31"/>
      <c r="AN468" s="31">
        <v>0</v>
      </c>
      <c r="AO468" s="592">
        <v>0</v>
      </c>
      <c r="AP468" s="31"/>
      <c r="AQ468" s="31"/>
      <c r="AR468" s="31"/>
      <c r="AS468" s="31"/>
      <c r="AT468" s="31"/>
      <c r="AU468" s="433"/>
    </row>
    <row r="469" spans="1:47" ht="15" customHeight="1" x14ac:dyDescent="0.2">
      <c r="A469" s="39">
        <f>acute_overview_children!A69</f>
        <v>4</v>
      </c>
      <c r="B469" s="23">
        <f>acute_overview_children!B69</f>
        <v>161020</v>
      </c>
      <c r="C469" s="23" t="str">
        <f>acute_overview_children!C69</f>
        <v>Figs</v>
      </c>
      <c r="D469" s="38">
        <f t="shared" si="88"/>
        <v>4</v>
      </c>
      <c r="E469" s="31"/>
      <c r="F469" s="31"/>
      <c r="G469" s="31"/>
      <c r="H469" s="31"/>
      <c r="I469" s="31"/>
      <c r="J469" s="31"/>
      <c r="K469" s="31"/>
      <c r="L469" s="31"/>
      <c r="M469" s="31"/>
      <c r="N469" s="31">
        <v>0.37931034482758624</v>
      </c>
      <c r="O469" s="31">
        <v>0.40410958904109595</v>
      </c>
      <c r="P469" s="31"/>
      <c r="Q469" s="31"/>
      <c r="R469" s="31"/>
      <c r="S469" s="31"/>
      <c r="T469" s="31"/>
      <c r="U469" s="31"/>
      <c r="V469" s="31"/>
      <c r="W469" s="31"/>
      <c r="X469" s="31"/>
      <c r="Y469" s="31"/>
      <c r="Z469" s="31"/>
      <c r="AA469" s="31"/>
      <c r="AB469" s="31"/>
      <c r="AC469" s="31">
        <v>0.29078947368421054</v>
      </c>
      <c r="AD469" s="31">
        <v>0.65967016491754116</v>
      </c>
      <c r="AE469" s="31"/>
      <c r="AF469" s="31"/>
      <c r="AG469" s="31"/>
      <c r="AH469" s="31"/>
      <c r="AI469" s="31"/>
      <c r="AJ469" s="31"/>
      <c r="AK469" s="433"/>
      <c r="AL469" s="31"/>
      <c r="AM469" s="31"/>
      <c r="AN469" s="31">
        <v>0</v>
      </c>
      <c r="AO469" s="592"/>
      <c r="AP469" s="31"/>
      <c r="AQ469" s="31"/>
      <c r="AR469" s="31"/>
      <c r="AS469" s="31"/>
      <c r="AT469" s="31"/>
      <c r="AU469" s="433"/>
    </row>
    <row r="470" spans="1:47" ht="15" customHeight="1" x14ac:dyDescent="0.2">
      <c r="A470" s="39">
        <f>acute_overview_children!A70</f>
        <v>4</v>
      </c>
      <c r="B470" s="23">
        <f>acute_overview_children!B70</f>
        <v>161030</v>
      </c>
      <c r="C470" s="23" t="str">
        <f>acute_overview_children!C70</f>
        <v xml:space="preserve">Table olives </v>
      </c>
      <c r="D470" s="38">
        <f t="shared" si="88"/>
        <v>4</v>
      </c>
      <c r="E470" s="31"/>
      <c r="F470" s="31"/>
      <c r="G470" s="31"/>
      <c r="H470" s="31"/>
      <c r="I470" s="31"/>
      <c r="J470" s="31"/>
      <c r="K470" s="31"/>
      <c r="L470" s="31"/>
      <c r="M470" s="31"/>
      <c r="N470" s="31">
        <v>0</v>
      </c>
      <c r="O470" s="31">
        <v>0.60273972602739734</v>
      </c>
      <c r="P470" s="31"/>
      <c r="Q470" s="31"/>
      <c r="R470" s="31">
        <v>0.10116958650000001</v>
      </c>
      <c r="S470" s="31"/>
      <c r="T470" s="31"/>
      <c r="U470" s="31"/>
      <c r="V470" s="31"/>
      <c r="W470" s="31"/>
      <c r="X470" s="31"/>
      <c r="Y470" s="31"/>
      <c r="Z470" s="31"/>
      <c r="AA470" s="31"/>
      <c r="AB470" s="31"/>
      <c r="AC470" s="31">
        <v>0.25657894736842107</v>
      </c>
      <c r="AD470" s="31">
        <v>0.19940029985007496</v>
      </c>
      <c r="AE470" s="31"/>
      <c r="AF470" s="31"/>
      <c r="AG470" s="31"/>
      <c r="AH470" s="31"/>
      <c r="AI470" s="31"/>
      <c r="AJ470" s="31"/>
      <c r="AK470" s="433"/>
      <c r="AL470" s="31"/>
      <c r="AM470" s="31"/>
      <c r="AN470" s="31">
        <v>0.10219408739999999</v>
      </c>
      <c r="AO470" s="592">
        <v>0</v>
      </c>
      <c r="AP470" s="31"/>
      <c r="AQ470" s="31"/>
      <c r="AR470" s="31"/>
      <c r="AS470" s="31"/>
      <c r="AT470" s="31"/>
      <c r="AU470" s="433"/>
    </row>
    <row r="471" spans="1:47" ht="15" customHeight="1" x14ac:dyDescent="0.2">
      <c r="A471" s="39">
        <f>acute_overview_children!A71</f>
        <v>4</v>
      </c>
      <c r="B471" s="23">
        <f>acute_overview_children!B71</f>
        <v>161040</v>
      </c>
      <c r="C471" s="23" t="str">
        <f>acute_overview_children!C71</f>
        <v>Kumquats</v>
      </c>
      <c r="D471" s="38">
        <f t="shared" si="88"/>
        <v>4</v>
      </c>
      <c r="E471" s="31"/>
      <c r="F471" s="31"/>
      <c r="G471" s="31"/>
      <c r="H471" s="31"/>
      <c r="I471" s="31"/>
      <c r="J471" s="31"/>
      <c r="K471" s="31"/>
      <c r="L471" s="31"/>
      <c r="M471" s="31"/>
      <c r="N471" s="31">
        <v>0</v>
      </c>
      <c r="O471" s="31">
        <v>0</v>
      </c>
      <c r="P471" s="31"/>
      <c r="Q471" s="31"/>
      <c r="R471" s="31"/>
      <c r="S471" s="31"/>
      <c r="T471" s="31"/>
      <c r="U471" s="31"/>
      <c r="V471" s="31"/>
      <c r="W471" s="31"/>
      <c r="X471" s="31"/>
      <c r="Y471" s="31"/>
      <c r="Z471" s="31"/>
      <c r="AA471" s="31"/>
      <c r="AB471" s="31"/>
      <c r="AC471" s="31">
        <v>0</v>
      </c>
      <c r="AD471" s="31">
        <v>0</v>
      </c>
      <c r="AE471" s="31"/>
      <c r="AF471" s="31"/>
      <c r="AG471" s="31"/>
      <c r="AH471" s="31"/>
      <c r="AI471" s="31"/>
      <c r="AJ471" s="31"/>
      <c r="AK471" s="433"/>
      <c r="AL471" s="31"/>
      <c r="AM471" s="31"/>
      <c r="AN471" s="31"/>
      <c r="AO471" s="592"/>
      <c r="AP471" s="31"/>
      <c r="AQ471" s="31"/>
      <c r="AR471" s="31"/>
      <c r="AS471" s="31"/>
      <c r="AT471" s="31"/>
      <c r="AU471" s="433"/>
    </row>
    <row r="472" spans="1:47" ht="15" customHeight="1" x14ac:dyDescent="0.2">
      <c r="A472" s="39">
        <f>acute_overview_children!A72</f>
        <v>4</v>
      </c>
      <c r="B472" s="23">
        <f>acute_overview_children!B72</f>
        <v>161050</v>
      </c>
      <c r="C472" s="23" t="str">
        <f>acute_overview_children!C72</f>
        <v>Carambolas</v>
      </c>
      <c r="D472" s="38">
        <f t="shared" si="88"/>
        <v>4</v>
      </c>
      <c r="E472" s="31"/>
      <c r="F472" s="31"/>
      <c r="G472" s="31"/>
      <c r="H472" s="31"/>
      <c r="I472" s="31"/>
      <c r="J472" s="31"/>
      <c r="K472" s="31"/>
      <c r="L472" s="31"/>
      <c r="M472" s="31"/>
      <c r="N472" s="31">
        <v>0</v>
      </c>
      <c r="O472" s="31">
        <v>0</v>
      </c>
      <c r="P472" s="31"/>
      <c r="Q472" s="31"/>
      <c r="R472" s="31"/>
      <c r="S472" s="31"/>
      <c r="T472" s="31"/>
      <c r="U472" s="31"/>
      <c r="V472" s="31"/>
      <c r="W472" s="31"/>
      <c r="X472" s="31"/>
      <c r="Y472" s="31"/>
      <c r="Z472" s="31"/>
      <c r="AA472" s="31"/>
      <c r="AB472" s="31"/>
      <c r="AC472" s="31">
        <v>0</v>
      </c>
      <c r="AD472" s="31">
        <v>0</v>
      </c>
      <c r="AE472" s="31"/>
      <c r="AF472" s="31"/>
      <c r="AG472" s="31"/>
      <c r="AH472" s="31"/>
      <c r="AI472" s="31"/>
      <c r="AJ472" s="31"/>
      <c r="AK472" s="433"/>
      <c r="AL472" s="31"/>
      <c r="AM472" s="31"/>
      <c r="AN472" s="31"/>
      <c r="AO472" s="592"/>
      <c r="AP472" s="31"/>
      <c r="AQ472" s="31"/>
      <c r="AR472" s="31"/>
      <c r="AS472" s="31"/>
      <c r="AT472" s="31"/>
      <c r="AU472" s="433"/>
    </row>
    <row r="473" spans="1:47" ht="15" customHeight="1" x14ac:dyDescent="0.2">
      <c r="A473" s="39">
        <f>acute_overview_children!A73</f>
        <v>4</v>
      </c>
      <c r="B473" s="23">
        <f>acute_overview_children!B73</f>
        <v>161060</v>
      </c>
      <c r="C473" s="23" t="str">
        <f>acute_overview_children!C73</f>
        <v xml:space="preserve">Kaki/Japanese persimmons </v>
      </c>
      <c r="D473" s="38">
        <f t="shared" si="88"/>
        <v>4</v>
      </c>
      <c r="E473" s="31"/>
      <c r="F473" s="31"/>
      <c r="G473" s="31"/>
      <c r="H473" s="31"/>
      <c r="I473" s="31"/>
      <c r="J473" s="31"/>
      <c r="K473" s="31"/>
      <c r="L473" s="31"/>
      <c r="M473" s="31"/>
      <c r="N473" s="31">
        <v>0</v>
      </c>
      <c r="O473" s="31">
        <v>0</v>
      </c>
      <c r="P473" s="31"/>
      <c r="Q473" s="31"/>
      <c r="R473" s="31"/>
      <c r="S473" s="31"/>
      <c r="T473" s="31"/>
      <c r="U473" s="31"/>
      <c r="V473" s="31"/>
      <c r="W473" s="31"/>
      <c r="X473" s="31"/>
      <c r="Y473" s="31"/>
      <c r="Z473" s="31"/>
      <c r="AA473" s="31"/>
      <c r="AB473" s="31"/>
      <c r="AC473" s="31">
        <v>0</v>
      </c>
      <c r="AD473" s="31">
        <v>0</v>
      </c>
      <c r="AE473" s="31"/>
      <c r="AF473" s="31"/>
      <c r="AG473" s="31"/>
      <c r="AH473" s="31"/>
      <c r="AI473" s="31"/>
      <c r="AJ473" s="31"/>
      <c r="AK473" s="433"/>
      <c r="AL473" s="31"/>
      <c r="AM473" s="31"/>
      <c r="AN473" s="31"/>
      <c r="AO473" s="592"/>
      <c r="AP473" s="31"/>
      <c r="AQ473" s="31"/>
      <c r="AR473" s="31"/>
      <c r="AS473" s="31"/>
      <c r="AT473" s="31"/>
      <c r="AU473" s="433"/>
    </row>
    <row r="474" spans="1:47" ht="15" customHeight="1" x14ac:dyDescent="0.2">
      <c r="A474" s="39">
        <f>acute_overview_children!A74</f>
        <v>4</v>
      </c>
      <c r="B474" s="23">
        <f>acute_overview_children!B74</f>
        <v>161070</v>
      </c>
      <c r="C474" s="23" t="str">
        <f>acute_overview_children!C74</f>
        <v>Jambuls/jambolans</v>
      </c>
      <c r="D474" s="38">
        <f t="shared" si="88"/>
        <v>4</v>
      </c>
      <c r="E474" s="31"/>
      <c r="F474" s="31"/>
      <c r="G474" s="31"/>
      <c r="H474" s="31"/>
      <c r="I474" s="31"/>
      <c r="J474" s="31"/>
      <c r="K474" s="31"/>
      <c r="L474" s="31"/>
      <c r="M474" s="31"/>
      <c r="N474" s="31">
        <v>0</v>
      </c>
      <c r="O474" s="31">
        <v>0</v>
      </c>
      <c r="P474" s="31"/>
      <c r="Q474" s="31"/>
      <c r="R474" s="31"/>
      <c r="S474" s="31"/>
      <c r="T474" s="31"/>
      <c r="U474" s="31"/>
      <c r="V474" s="31"/>
      <c r="W474" s="31"/>
      <c r="X474" s="31"/>
      <c r="Y474" s="31"/>
      <c r="Z474" s="31"/>
      <c r="AA474" s="31"/>
      <c r="AB474" s="31"/>
      <c r="AC474" s="31">
        <v>0</v>
      </c>
      <c r="AD474" s="31">
        <v>0</v>
      </c>
      <c r="AE474" s="31"/>
      <c r="AF474" s="31"/>
      <c r="AG474" s="31"/>
      <c r="AH474" s="31"/>
      <c r="AI474" s="31"/>
      <c r="AJ474" s="31"/>
      <c r="AK474" s="433"/>
      <c r="AL474" s="31"/>
      <c r="AM474" s="31"/>
      <c r="AN474" s="31"/>
      <c r="AO474" s="592"/>
      <c r="AP474" s="31"/>
      <c r="AQ474" s="31"/>
      <c r="AR474" s="31"/>
      <c r="AS474" s="31"/>
      <c r="AT474" s="31"/>
      <c r="AU474" s="433"/>
    </row>
    <row r="475" spans="1:47" ht="15" customHeight="1" x14ac:dyDescent="0.2">
      <c r="A475" s="39">
        <f>acute_overview_children!A75</f>
        <v>4</v>
      </c>
      <c r="B475" s="23">
        <f>acute_overview_children!B75</f>
        <v>161990</v>
      </c>
      <c r="C475" s="23" t="str">
        <f>acute_overview_children!C75</f>
        <v>Other miscellaneous fruit (edible peel)</v>
      </c>
      <c r="D475" s="38">
        <f t="shared" si="88"/>
        <v>4</v>
      </c>
      <c r="E475" s="31"/>
      <c r="F475" s="31"/>
      <c r="G475" s="31"/>
      <c r="H475" s="31"/>
      <c r="I475" s="31"/>
      <c r="J475" s="31"/>
      <c r="K475" s="31"/>
      <c r="L475" s="31"/>
      <c r="M475" s="31"/>
      <c r="N475" s="31">
        <v>0</v>
      </c>
      <c r="O475" s="31">
        <v>0</v>
      </c>
      <c r="P475" s="31"/>
      <c r="Q475" s="31"/>
      <c r="R475" s="31"/>
      <c r="S475" s="31"/>
      <c r="T475" s="31"/>
      <c r="U475" s="31"/>
      <c r="V475" s="31"/>
      <c r="W475" s="31"/>
      <c r="X475" s="31"/>
      <c r="Y475" s="31"/>
      <c r="Z475" s="31"/>
      <c r="AA475" s="31"/>
      <c r="AB475" s="31"/>
      <c r="AC475" s="31">
        <v>0</v>
      </c>
      <c r="AD475" s="31">
        <v>0</v>
      </c>
      <c r="AE475" s="31"/>
      <c r="AF475" s="31"/>
      <c r="AG475" s="31"/>
      <c r="AH475" s="31"/>
      <c r="AI475" s="31"/>
      <c r="AJ475" s="31"/>
      <c r="AK475" s="433"/>
      <c r="AL475" s="31"/>
      <c r="AM475" s="31"/>
      <c r="AN475" s="31"/>
      <c r="AO475" s="592"/>
      <c r="AP475" s="31"/>
      <c r="AQ475" s="31"/>
      <c r="AR475" s="31"/>
      <c r="AS475" s="31"/>
      <c r="AT475" s="31"/>
      <c r="AU475" s="433"/>
    </row>
    <row r="476" spans="1:47" ht="15" customHeight="1" x14ac:dyDescent="0.2">
      <c r="A476" s="132">
        <f>acute_overview_children!A76</f>
        <v>3</v>
      </c>
      <c r="B476" s="3">
        <f>acute_overview_children!B76</f>
        <v>162000</v>
      </c>
      <c r="C476" s="3" t="str">
        <f>acute_overview_children!C76</f>
        <v>Miscellaneous fruit (inedible peel,
small)</v>
      </c>
      <c r="D476" s="38">
        <f t="shared" si="88"/>
        <v>4</v>
      </c>
      <c r="E476" s="48"/>
      <c r="F476" s="48"/>
      <c r="G476" s="48"/>
      <c r="H476" s="48"/>
      <c r="I476" s="48"/>
      <c r="J476" s="48"/>
      <c r="K476" s="48"/>
      <c r="L476" s="48"/>
      <c r="M476" s="48"/>
      <c r="N476" s="48">
        <v>0</v>
      </c>
      <c r="O476" s="48">
        <v>0</v>
      </c>
      <c r="P476" s="48"/>
      <c r="Q476" s="48"/>
      <c r="R476" s="48"/>
      <c r="S476" s="48"/>
      <c r="T476" s="48"/>
      <c r="U476" s="48"/>
      <c r="V476" s="48"/>
      <c r="W476" s="48"/>
      <c r="X476" s="48"/>
      <c r="Y476" s="48"/>
      <c r="Z476" s="48"/>
      <c r="AA476" s="48"/>
      <c r="AB476" s="48"/>
      <c r="AC476" s="48">
        <v>0</v>
      </c>
      <c r="AD476" s="48">
        <v>0</v>
      </c>
      <c r="AE476" s="48"/>
      <c r="AF476" s="48"/>
      <c r="AG476" s="48"/>
      <c r="AH476" s="48"/>
      <c r="AI476" s="48"/>
      <c r="AJ476" s="48"/>
      <c r="AK476" s="93"/>
      <c r="AL476" s="48"/>
      <c r="AM476" s="48"/>
      <c r="AN476" s="48"/>
      <c r="AO476" s="593"/>
      <c r="AP476" s="48"/>
      <c r="AQ476" s="48"/>
      <c r="AR476" s="48"/>
      <c r="AS476" s="48"/>
      <c r="AT476" s="48"/>
      <c r="AU476" s="93"/>
    </row>
    <row r="477" spans="1:47" ht="15" customHeight="1" x14ac:dyDescent="0.2">
      <c r="A477" s="39">
        <f>acute_overview_children!A77</f>
        <v>4</v>
      </c>
      <c r="B477" s="23">
        <f>acute_overview_children!B77</f>
        <v>162010</v>
      </c>
      <c r="C477" s="23" t="str">
        <f>acute_overview_children!C77</f>
        <v>Kiwi fruits (green, red, yellow)</v>
      </c>
      <c r="D477" s="38">
        <f t="shared" ref="D477:D540" si="89">D77</f>
        <v>4</v>
      </c>
      <c r="E477" s="31"/>
      <c r="F477" s="31"/>
      <c r="G477" s="31"/>
      <c r="H477" s="31"/>
      <c r="I477" s="31"/>
      <c r="J477" s="31"/>
      <c r="K477" s="31"/>
      <c r="L477" s="31"/>
      <c r="M477" s="31"/>
      <c r="N477" s="31">
        <v>0</v>
      </c>
      <c r="O477" s="31">
        <v>2.2945205479452055</v>
      </c>
      <c r="P477" s="31"/>
      <c r="Q477" s="31"/>
      <c r="R477" s="31">
        <v>0.22200772199999999</v>
      </c>
      <c r="S477" s="31"/>
      <c r="T477" s="31"/>
      <c r="U477" s="31"/>
      <c r="V477" s="31"/>
      <c r="W477" s="31"/>
      <c r="X477" s="31"/>
      <c r="Y477" s="31"/>
      <c r="Z477" s="31"/>
      <c r="AA477" s="31"/>
      <c r="AB477" s="31"/>
      <c r="AC477" s="31">
        <v>0.70131578947368423</v>
      </c>
      <c r="AD477" s="31">
        <v>1.2203898050974513</v>
      </c>
      <c r="AE477" s="31"/>
      <c r="AF477" s="31"/>
      <c r="AG477" s="31"/>
      <c r="AH477" s="31"/>
      <c r="AI477" s="31"/>
      <c r="AJ477" s="31"/>
      <c r="AK477" s="433"/>
      <c r="AL477" s="31"/>
      <c r="AM477" s="31"/>
      <c r="AN477" s="31">
        <v>1.9166666667000001</v>
      </c>
      <c r="AO477" s="592">
        <v>1.1979166487999999</v>
      </c>
      <c r="AP477" s="31"/>
      <c r="AQ477" s="31"/>
      <c r="AR477" s="31"/>
      <c r="AS477" s="31"/>
      <c r="AT477" s="31"/>
      <c r="AU477" s="433"/>
    </row>
    <row r="478" spans="1:47" ht="15" customHeight="1" x14ac:dyDescent="0.2">
      <c r="A478" s="39">
        <f>acute_overview_children!A78</f>
        <v>4</v>
      </c>
      <c r="B478" s="23">
        <f>acute_overview_children!B78</f>
        <v>162020</v>
      </c>
      <c r="C478" s="23" t="str">
        <f>acute_overview_children!C78</f>
        <v>Litchis/lychees</v>
      </c>
      <c r="D478" s="38">
        <f t="shared" si="89"/>
        <v>4</v>
      </c>
      <c r="E478" s="31"/>
      <c r="F478" s="31"/>
      <c r="G478" s="31"/>
      <c r="H478" s="31"/>
      <c r="I478" s="31"/>
      <c r="J478" s="31"/>
      <c r="K478" s="31"/>
      <c r="L478" s="31"/>
      <c r="M478" s="31"/>
      <c r="N478" s="31">
        <v>0</v>
      </c>
      <c r="O478" s="31">
        <v>0</v>
      </c>
      <c r="P478" s="31"/>
      <c r="Q478" s="31"/>
      <c r="R478" s="31"/>
      <c r="S478" s="31"/>
      <c r="T478" s="31"/>
      <c r="U478" s="31"/>
      <c r="V478" s="31"/>
      <c r="W478" s="31"/>
      <c r="X478" s="31"/>
      <c r="Y478" s="31"/>
      <c r="Z478" s="31"/>
      <c r="AA478" s="31"/>
      <c r="AB478" s="31"/>
      <c r="AC478" s="31">
        <v>0.34605263157894739</v>
      </c>
      <c r="AD478" s="31">
        <v>0</v>
      </c>
      <c r="AE478" s="31"/>
      <c r="AF478" s="31"/>
      <c r="AG478" s="31"/>
      <c r="AH478" s="31"/>
      <c r="AI478" s="31"/>
      <c r="AJ478" s="31"/>
      <c r="AK478" s="433"/>
      <c r="AL478" s="31"/>
      <c r="AM478" s="31"/>
      <c r="AN478" s="31">
        <v>0</v>
      </c>
      <c r="AO478" s="592"/>
      <c r="AP478" s="31"/>
      <c r="AQ478" s="31"/>
      <c r="AR478" s="31"/>
      <c r="AS478" s="31"/>
      <c r="AT478" s="31"/>
      <c r="AU478" s="433"/>
    </row>
    <row r="479" spans="1:47" ht="15" customHeight="1" x14ac:dyDescent="0.2">
      <c r="A479" s="39">
        <f>acute_overview_children!A79</f>
        <v>4</v>
      </c>
      <c r="B479" s="23">
        <f>acute_overview_children!B79</f>
        <v>162030</v>
      </c>
      <c r="C479" s="23" t="str">
        <f>acute_overview_children!C79</f>
        <v>Passionfruits/maracujas</v>
      </c>
      <c r="D479" s="38">
        <f t="shared" si="89"/>
        <v>4</v>
      </c>
      <c r="E479" s="31"/>
      <c r="F479" s="31"/>
      <c r="G479" s="31"/>
      <c r="H479" s="31"/>
      <c r="I479" s="31"/>
      <c r="J479" s="31"/>
      <c r="K479" s="31"/>
      <c r="L479" s="31"/>
      <c r="M479" s="31"/>
      <c r="N479" s="31">
        <v>0</v>
      </c>
      <c r="O479" s="31">
        <v>0</v>
      </c>
      <c r="P479" s="31"/>
      <c r="Q479" s="31"/>
      <c r="R479" s="31"/>
      <c r="S479" s="31"/>
      <c r="T479" s="31"/>
      <c r="U479" s="31"/>
      <c r="V479" s="31"/>
      <c r="W479" s="31"/>
      <c r="X479" s="31"/>
      <c r="Y479" s="31"/>
      <c r="Z479" s="31"/>
      <c r="AA479" s="31"/>
      <c r="AB479" s="31"/>
      <c r="AC479" s="31">
        <v>0.14210526315789473</v>
      </c>
      <c r="AD479" s="31">
        <v>0.22488755622188905</v>
      </c>
      <c r="AE479" s="31"/>
      <c r="AF479" s="31"/>
      <c r="AG479" s="31"/>
      <c r="AH479" s="31"/>
      <c r="AI479" s="31"/>
      <c r="AJ479" s="31"/>
      <c r="AK479" s="433"/>
      <c r="AL479" s="31"/>
      <c r="AM479" s="31"/>
      <c r="AN479" s="31"/>
      <c r="AO479" s="592"/>
      <c r="AP479" s="31"/>
      <c r="AQ479" s="31"/>
      <c r="AR479" s="31"/>
      <c r="AS479" s="31"/>
      <c r="AT479" s="31"/>
      <c r="AU479" s="433"/>
    </row>
    <row r="480" spans="1:47" ht="15" customHeight="1" x14ac:dyDescent="0.2">
      <c r="A480" s="39">
        <f>acute_overview_children!A80</f>
        <v>4</v>
      </c>
      <c r="B480" s="23">
        <f>acute_overview_children!B80</f>
        <v>162040</v>
      </c>
      <c r="C480" s="23" t="str">
        <f>acute_overview_children!C80</f>
        <v>Prickly pears/cactus fruits</v>
      </c>
      <c r="D480" s="38">
        <f t="shared" si="89"/>
        <v>4</v>
      </c>
      <c r="E480" s="31"/>
      <c r="F480" s="31"/>
      <c r="G480" s="31"/>
      <c r="H480" s="31"/>
      <c r="I480" s="31"/>
      <c r="J480" s="31"/>
      <c r="K480" s="31"/>
      <c r="L480" s="31"/>
      <c r="M480" s="31"/>
      <c r="N480" s="31">
        <v>0</v>
      </c>
      <c r="O480" s="31">
        <v>0</v>
      </c>
      <c r="P480" s="31"/>
      <c r="Q480" s="31"/>
      <c r="R480" s="31"/>
      <c r="S480" s="31"/>
      <c r="T480" s="31"/>
      <c r="U480" s="31"/>
      <c r="V480" s="31"/>
      <c r="W480" s="31"/>
      <c r="X480" s="31"/>
      <c r="Y480" s="31"/>
      <c r="Z480" s="31"/>
      <c r="AA480" s="31"/>
      <c r="AB480" s="31"/>
      <c r="AC480" s="31">
        <v>0</v>
      </c>
      <c r="AD480" s="31">
        <v>0</v>
      </c>
      <c r="AE480" s="31"/>
      <c r="AF480" s="31"/>
      <c r="AG480" s="31"/>
      <c r="AH480" s="31"/>
      <c r="AI480" s="31"/>
      <c r="AJ480" s="31"/>
      <c r="AK480" s="433"/>
      <c r="AL480" s="31"/>
      <c r="AM480" s="31"/>
      <c r="AN480" s="31"/>
      <c r="AO480" s="592"/>
      <c r="AP480" s="31"/>
      <c r="AQ480" s="31"/>
      <c r="AR480" s="31"/>
      <c r="AS480" s="31"/>
      <c r="AT480" s="31"/>
      <c r="AU480" s="433"/>
    </row>
    <row r="481" spans="1:47" ht="15" customHeight="1" x14ac:dyDescent="0.2">
      <c r="A481" s="39">
        <f>acute_overview_children!A81</f>
        <v>4</v>
      </c>
      <c r="B481" s="23">
        <f>acute_overview_children!B81</f>
        <v>162050</v>
      </c>
      <c r="C481" s="23" t="str">
        <f>acute_overview_children!C81</f>
        <v>Star apples/cainitos</v>
      </c>
      <c r="D481" s="38">
        <f t="shared" si="89"/>
        <v>4</v>
      </c>
      <c r="E481" s="31"/>
      <c r="F481" s="31"/>
      <c r="G481" s="31"/>
      <c r="H481" s="31"/>
      <c r="I481" s="31"/>
      <c r="J481" s="31"/>
      <c r="K481" s="31"/>
      <c r="L481" s="31"/>
      <c r="M481" s="31"/>
      <c r="N481" s="31">
        <v>0</v>
      </c>
      <c r="O481" s="31">
        <v>0</v>
      </c>
      <c r="P481" s="31"/>
      <c r="Q481" s="31"/>
      <c r="R481" s="31"/>
      <c r="S481" s="31"/>
      <c r="T481" s="31"/>
      <c r="U481" s="31"/>
      <c r="V481" s="31"/>
      <c r="W481" s="31"/>
      <c r="X481" s="31"/>
      <c r="Y481" s="31"/>
      <c r="Z481" s="31"/>
      <c r="AA481" s="31"/>
      <c r="AB481" s="31"/>
      <c r="AC481" s="31">
        <v>0</v>
      </c>
      <c r="AD481" s="31">
        <v>0</v>
      </c>
      <c r="AE481" s="31"/>
      <c r="AF481" s="31"/>
      <c r="AG481" s="31"/>
      <c r="AH481" s="31"/>
      <c r="AI481" s="31"/>
      <c r="AJ481" s="31"/>
      <c r="AK481" s="433"/>
      <c r="AL481" s="31"/>
      <c r="AM481" s="31"/>
      <c r="AN481" s="31"/>
      <c r="AO481" s="592"/>
      <c r="AP481" s="31"/>
      <c r="AQ481" s="31"/>
      <c r="AR481" s="31"/>
      <c r="AS481" s="31"/>
      <c r="AT481" s="31"/>
      <c r="AU481" s="433"/>
    </row>
    <row r="482" spans="1:47" ht="15" customHeight="1" x14ac:dyDescent="0.2">
      <c r="A482" s="39">
        <f>acute_overview_children!A82</f>
        <v>4</v>
      </c>
      <c r="B482" s="23">
        <f>acute_overview_children!B82</f>
        <v>162060</v>
      </c>
      <c r="C482" s="23" t="str">
        <f>acute_overview_children!C82</f>
        <v>American persimmon/Virginia kaki</v>
      </c>
      <c r="D482" s="38">
        <f t="shared" si="89"/>
        <v>4</v>
      </c>
      <c r="E482" s="31"/>
      <c r="F482" s="31"/>
      <c r="G482" s="31"/>
      <c r="H482" s="31"/>
      <c r="I482" s="31"/>
      <c r="J482" s="31"/>
      <c r="K482" s="31"/>
      <c r="L482" s="31"/>
      <c r="M482" s="31"/>
      <c r="N482" s="31">
        <v>0</v>
      </c>
      <c r="O482" s="31">
        <v>0</v>
      </c>
      <c r="P482" s="31"/>
      <c r="Q482" s="31"/>
      <c r="R482" s="31"/>
      <c r="S482" s="31"/>
      <c r="T482" s="31"/>
      <c r="U482" s="31"/>
      <c r="V482" s="31"/>
      <c r="W482" s="31"/>
      <c r="X482" s="31"/>
      <c r="Y482" s="31"/>
      <c r="Z482" s="31"/>
      <c r="AA482" s="31"/>
      <c r="AB482" s="31"/>
      <c r="AC482" s="31">
        <v>0</v>
      </c>
      <c r="AD482" s="31">
        <v>0</v>
      </c>
      <c r="AE482" s="31"/>
      <c r="AF482" s="31"/>
      <c r="AG482" s="31"/>
      <c r="AH482" s="31"/>
      <c r="AI482" s="31"/>
      <c r="AJ482" s="31"/>
      <c r="AK482" s="433"/>
      <c r="AL482" s="31"/>
      <c r="AM482" s="31"/>
      <c r="AN482" s="31"/>
      <c r="AO482" s="592"/>
      <c r="AP482" s="31"/>
      <c r="AQ482" s="31"/>
      <c r="AR482" s="31"/>
      <c r="AS482" s="31"/>
      <c r="AT482" s="31"/>
      <c r="AU482" s="433"/>
    </row>
    <row r="483" spans="1:47" ht="15" customHeight="1" x14ac:dyDescent="0.2">
      <c r="A483" s="39">
        <f>acute_overview_children!A83</f>
        <v>4</v>
      </c>
      <c r="B483" s="23">
        <f>acute_overview_children!B83</f>
        <v>162990</v>
      </c>
      <c r="C483" s="23" t="str">
        <f>acute_overview_children!C83</f>
        <v>Other miscellaneous fruit (inedible peel, small)</v>
      </c>
      <c r="D483" s="38">
        <f t="shared" si="89"/>
        <v>4</v>
      </c>
      <c r="E483" s="31"/>
      <c r="F483" s="31"/>
      <c r="G483" s="31"/>
      <c r="H483" s="31"/>
      <c r="I483" s="31"/>
      <c r="J483" s="31"/>
      <c r="K483" s="31"/>
      <c r="L483" s="31"/>
      <c r="M483" s="31"/>
      <c r="N483" s="31">
        <v>0</v>
      </c>
      <c r="O483" s="31">
        <v>0</v>
      </c>
      <c r="P483" s="31"/>
      <c r="Q483" s="31"/>
      <c r="R483" s="31"/>
      <c r="S483" s="31"/>
      <c r="T483" s="31"/>
      <c r="U483" s="31"/>
      <c r="V483" s="31"/>
      <c r="W483" s="31"/>
      <c r="X483" s="31"/>
      <c r="Y483" s="31"/>
      <c r="Z483" s="31"/>
      <c r="AA483" s="31"/>
      <c r="AB483" s="31"/>
      <c r="AC483" s="31">
        <v>0</v>
      </c>
      <c r="AD483" s="31">
        <v>0</v>
      </c>
      <c r="AE483" s="31"/>
      <c r="AF483" s="31"/>
      <c r="AG483" s="31"/>
      <c r="AH483" s="31"/>
      <c r="AI483" s="31"/>
      <c r="AJ483" s="31"/>
      <c r="AK483" s="433"/>
      <c r="AL483" s="31"/>
      <c r="AM483" s="31"/>
      <c r="AN483" s="31"/>
      <c r="AO483" s="592"/>
      <c r="AP483" s="31"/>
      <c r="AQ483" s="31"/>
      <c r="AR483" s="31"/>
      <c r="AS483" s="31"/>
      <c r="AT483" s="31"/>
      <c r="AU483" s="433"/>
    </row>
    <row r="484" spans="1:47" ht="15" customHeight="1" x14ac:dyDescent="0.2">
      <c r="A484" s="132">
        <f>acute_overview_children!A84</f>
        <v>3</v>
      </c>
      <c r="B484" s="3">
        <f>acute_overview_children!B84</f>
        <v>163000</v>
      </c>
      <c r="C484" s="3" t="str">
        <f>acute_overview_children!C84</f>
        <v>Miscellaneous fruit (inedible peel,
large)</v>
      </c>
      <c r="D484" s="38">
        <f t="shared" si="89"/>
        <v>4</v>
      </c>
      <c r="E484" s="48"/>
      <c r="F484" s="48"/>
      <c r="G484" s="48"/>
      <c r="H484" s="48"/>
      <c r="I484" s="48"/>
      <c r="J484" s="48"/>
      <c r="K484" s="48"/>
      <c r="L484" s="48"/>
      <c r="M484" s="48"/>
      <c r="N484" s="48">
        <v>0</v>
      </c>
      <c r="O484" s="48">
        <v>0</v>
      </c>
      <c r="P484" s="48"/>
      <c r="Q484" s="48"/>
      <c r="R484" s="48"/>
      <c r="S484" s="48"/>
      <c r="T484" s="48"/>
      <c r="U484" s="48"/>
      <c r="V484" s="48"/>
      <c r="W484" s="48"/>
      <c r="X484" s="48"/>
      <c r="Y484" s="48"/>
      <c r="Z484" s="48"/>
      <c r="AA484" s="48"/>
      <c r="AB484" s="48"/>
      <c r="AC484" s="48">
        <v>0</v>
      </c>
      <c r="AD484" s="48">
        <v>0</v>
      </c>
      <c r="AE484" s="48"/>
      <c r="AF484" s="48"/>
      <c r="AG484" s="48"/>
      <c r="AH484" s="48"/>
      <c r="AI484" s="48"/>
      <c r="AJ484" s="48"/>
      <c r="AK484" s="93"/>
      <c r="AL484" s="48"/>
      <c r="AM484" s="48"/>
      <c r="AN484" s="48"/>
      <c r="AO484" s="593"/>
      <c r="AP484" s="48"/>
      <c r="AQ484" s="48"/>
      <c r="AR484" s="48"/>
      <c r="AS484" s="48"/>
      <c r="AT484" s="48"/>
      <c r="AU484" s="93"/>
    </row>
    <row r="485" spans="1:47" ht="15" customHeight="1" x14ac:dyDescent="0.2">
      <c r="A485" s="39">
        <f>acute_overview_children!A85</f>
        <v>4</v>
      </c>
      <c r="B485" s="23">
        <f>acute_overview_children!B85</f>
        <v>163010</v>
      </c>
      <c r="C485" s="23" t="str">
        <f>acute_overview_children!C85</f>
        <v>Avocados</v>
      </c>
      <c r="D485" s="38">
        <f t="shared" si="89"/>
        <v>4</v>
      </c>
      <c r="E485" s="31"/>
      <c r="F485" s="31"/>
      <c r="G485" s="31"/>
      <c r="H485" s="31"/>
      <c r="I485" s="31"/>
      <c r="J485" s="31"/>
      <c r="K485" s="31"/>
      <c r="L485" s="31"/>
      <c r="M485" s="31"/>
      <c r="N485" s="31">
        <v>0</v>
      </c>
      <c r="O485" s="31">
        <v>1.2534246575342467</v>
      </c>
      <c r="P485" s="31"/>
      <c r="Q485" s="31"/>
      <c r="R485" s="31">
        <v>0</v>
      </c>
      <c r="S485" s="31"/>
      <c r="T485" s="31"/>
      <c r="U485" s="31"/>
      <c r="V485" s="31"/>
      <c r="W485" s="31"/>
      <c r="X485" s="31"/>
      <c r="Y485" s="31"/>
      <c r="Z485" s="31"/>
      <c r="AA485" s="31"/>
      <c r="AB485" s="31"/>
      <c r="AC485" s="31">
        <v>0.78026315789473677</v>
      </c>
      <c r="AD485" s="31">
        <v>0.68215892053973015</v>
      </c>
      <c r="AE485" s="31"/>
      <c r="AF485" s="31"/>
      <c r="AG485" s="31"/>
      <c r="AH485" s="31"/>
      <c r="AI485" s="31"/>
      <c r="AJ485" s="31"/>
      <c r="AK485" s="433"/>
      <c r="AL485" s="31"/>
      <c r="AM485" s="31"/>
      <c r="AN485" s="31"/>
      <c r="AO485" s="592"/>
      <c r="AP485" s="31"/>
      <c r="AQ485" s="31"/>
      <c r="AR485" s="31"/>
      <c r="AS485" s="31"/>
      <c r="AT485" s="31"/>
      <c r="AU485" s="433"/>
    </row>
    <row r="486" spans="1:47" ht="15" customHeight="1" x14ac:dyDescent="0.2">
      <c r="A486" s="39">
        <f>acute_overview_children!A86</f>
        <v>4</v>
      </c>
      <c r="B486" s="23">
        <f>acute_overview_children!B86</f>
        <v>163020</v>
      </c>
      <c r="C486" s="23" t="str">
        <f>acute_overview_children!C86</f>
        <v>Bananas</v>
      </c>
      <c r="D486" s="38">
        <f t="shared" si="89"/>
        <v>4</v>
      </c>
      <c r="E486" s="31"/>
      <c r="F486" s="31"/>
      <c r="G486" s="31"/>
      <c r="H486" s="31"/>
      <c r="I486" s="31"/>
      <c r="J486" s="31"/>
      <c r="K486" s="31"/>
      <c r="L486" s="31"/>
      <c r="M486" s="31"/>
      <c r="N486" s="31">
        <v>6.9655172413793114</v>
      </c>
      <c r="O486" s="31">
        <v>6.595890410958904</v>
      </c>
      <c r="P486" s="31"/>
      <c r="Q486" s="31"/>
      <c r="R486" s="31">
        <v>1.5366972477</v>
      </c>
      <c r="S486" s="31"/>
      <c r="T486" s="31"/>
      <c r="U486" s="31"/>
      <c r="V486" s="31"/>
      <c r="W486" s="31"/>
      <c r="X486" s="31"/>
      <c r="Y486" s="31"/>
      <c r="Z486" s="31"/>
      <c r="AA486" s="31"/>
      <c r="AB486" s="31"/>
      <c r="AC486" s="31">
        <v>2.0578947368421052</v>
      </c>
      <c r="AD486" s="31">
        <v>2.1424287856071964</v>
      </c>
      <c r="AE486" s="31"/>
      <c r="AF486" s="31"/>
      <c r="AG486" s="31"/>
      <c r="AH486" s="31"/>
      <c r="AI486" s="31"/>
      <c r="AJ486" s="31"/>
      <c r="AK486" s="433"/>
      <c r="AL486" s="31"/>
      <c r="AM486" s="31"/>
      <c r="AN486" s="31">
        <v>7.2182256177999999</v>
      </c>
      <c r="AO486" s="592">
        <v>4.5067266116000004</v>
      </c>
      <c r="AP486" s="31"/>
      <c r="AQ486" s="31"/>
      <c r="AR486" s="31"/>
      <c r="AS486" s="31"/>
      <c r="AT486" s="31"/>
      <c r="AU486" s="433"/>
    </row>
    <row r="487" spans="1:47" ht="15" customHeight="1" x14ac:dyDescent="0.2">
      <c r="A487" s="39">
        <f>acute_overview_children!A87</f>
        <v>4</v>
      </c>
      <c r="B487" s="23">
        <f>acute_overview_children!B87</f>
        <v>163030</v>
      </c>
      <c r="C487" s="23" t="str">
        <f>acute_overview_children!C87</f>
        <v>Mangoes</v>
      </c>
      <c r="D487" s="38">
        <f t="shared" si="89"/>
        <v>4</v>
      </c>
      <c r="E487" s="31"/>
      <c r="F487" s="31"/>
      <c r="G487" s="31"/>
      <c r="H487" s="31"/>
      <c r="I487" s="31"/>
      <c r="J487" s="31"/>
      <c r="K487" s="31"/>
      <c r="L487" s="31"/>
      <c r="M487" s="31"/>
      <c r="N487" s="31">
        <v>0</v>
      </c>
      <c r="O487" s="31">
        <v>1.6027397260273972</v>
      </c>
      <c r="P487" s="31"/>
      <c r="Q487" s="31"/>
      <c r="R487" s="31"/>
      <c r="S487" s="31"/>
      <c r="T487" s="31"/>
      <c r="U487" s="31"/>
      <c r="V487" s="31"/>
      <c r="W487" s="31"/>
      <c r="X487" s="31"/>
      <c r="Y487" s="31"/>
      <c r="Z487" s="31"/>
      <c r="AA487" s="31"/>
      <c r="AB487" s="31"/>
      <c r="AC487" s="31">
        <v>0.68684210526315792</v>
      </c>
      <c r="AD487" s="31">
        <v>0.53823088455772106</v>
      </c>
      <c r="AE487" s="31"/>
      <c r="AF487" s="31"/>
      <c r="AG487" s="31"/>
      <c r="AH487" s="31"/>
      <c r="AI487" s="31"/>
      <c r="AJ487" s="31"/>
      <c r="AK487" s="433"/>
      <c r="AL487" s="31"/>
      <c r="AM487" s="31"/>
      <c r="AN487" s="31"/>
      <c r="AO487" s="592"/>
      <c r="AP487" s="31"/>
      <c r="AQ487" s="31"/>
      <c r="AR487" s="31"/>
      <c r="AS487" s="31"/>
      <c r="AT487" s="31"/>
      <c r="AU487" s="433"/>
    </row>
    <row r="488" spans="1:47" ht="15" customHeight="1" x14ac:dyDescent="0.2">
      <c r="A488" s="39">
        <f>acute_overview_children!A88</f>
        <v>4</v>
      </c>
      <c r="B488" s="23">
        <f>acute_overview_children!B88</f>
        <v>163040</v>
      </c>
      <c r="C488" s="23" t="str">
        <f>acute_overview_children!C88</f>
        <v>Papayas</v>
      </c>
      <c r="D488" s="38">
        <f t="shared" si="89"/>
        <v>4</v>
      </c>
      <c r="E488" s="31"/>
      <c r="F488" s="31"/>
      <c r="G488" s="31"/>
      <c r="H488" s="31"/>
      <c r="I488" s="31"/>
      <c r="J488" s="31"/>
      <c r="K488" s="31"/>
      <c r="L488" s="31"/>
      <c r="M488" s="31"/>
      <c r="N488" s="31">
        <v>0</v>
      </c>
      <c r="O488" s="31">
        <v>0</v>
      </c>
      <c r="P488" s="31"/>
      <c r="Q488" s="31"/>
      <c r="R488" s="31"/>
      <c r="S488" s="31"/>
      <c r="T488" s="31"/>
      <c r="U488" s="31"/>
      <c r="V488" s="31"/>
      <c r="W488" s="31"/>
      <c r="X488" s="31"/>
      <c r="Y488" s="31"/>
      <c r="Z488" s="31"/>
      <c r="AA488" s="31"/>
      <c r="AB488" s="31"/>
      <c r="AC488" s="31">
        <v>0</v>
      </c>
      <c r="AD488" s="31">
        <v>0</v>
      </c>
      <c r="AE488" s="31"/>
      <c r="AF488" s="31"/>
      <c r="AG488" s="31"/>
      <c r="AH488" s="31"/>
      <c r="AI488" s="31"/>
      <c r="AJ488" s="31"/>
      <c r="AK488" s="433"/>
      <c r="AL488" s="31"/>
      <c r="AM488" s="31"/>
      <c r="AN488" s="31"/>
      <c r="AO488" s="592"/>
      <c r="AP488" s="31"/>
      <c r="AQ488" s="31"/>
      <c r="AR488" s="31"/>
      <c r="AS488" s="31"/>
      <c r="AT488" s="31"/>
      <c r="AU488" s="433"/>
    </row>
    <row r="489" spans="1:47" ht="15" customHeight="1" x14ac:dyDescent="0.2">
      <c r="A489" s="39">
        <f>acute_overview_children!A89</f>
        <v>4</v>
      </c>
      <c r="B489" s="23">
        <f>acute_overview_children!B89</f>
        <v>163050</v>
      </c>
      <c r="C489" s="23" t="str">
        <f>acute_overview_children!C89</f>
        <v>Granate apples/pomegranates</v>
      </c>
      <c r="D489" s="38">
        <f t="shared" si="89"/>
        <v>4</v>
      </c>
      <c r="E489" s="31"/>
      <c r="F489" s="31"/>
      <c r="G489" s="31"/>
      <c r="H489" s="31"/>
      <c r="I489" s="31"/>
      <c r="J489" s="31"/>
      <c r="K489" s="31"/>
      <c r="L489" s="31"/>
      <c r="M489" s="31"/>
      <c r="N489" s="31">
        <v>0.56321839080459779</v>
      </c>
      <c r="O489" s="31">
        <v>0.82191780821917815</v>
      </c>
      <c r="P489" s="31"/>
      <c r="Q489" s="31"/>
      <c r="R489" s="31"/>
      <c r="S489" s="31"/>
      <c r="T489" s="31"/>
      <c r="U489" s="31"/>
      <c r="V489" s="31"/>
      <c r="W489" s="31"/>
      <c r="X489" s="31"/>
      <c r="Y489" s="31"/>
      <c r="Z489" s="31"/>
      <c r="AA489" s="31"/>
      <c r="AB489" s="31"/>
      <c r="AC489" s="31">
        <v>1.2</v>
      </c>
      <c r="AD489" s="31">
        <v>0.53223388305847075</v>
      </c>
      <c r="AE489" s="31"/>
      <c r="AF489" s="31"/>
      <c r="AG489" s="31"/>
      <c r="AH489" s="31"/>
      <c r="AI489" s="31"/>
      <c r="AJ489" s="31"/>
      <c r="AK489" s="433"/>
      <c r="AL489" s="31"/>
      <c r="AM489" s="31"/>
      <c r="AN489" s="31"/>
      <c r="AO489" s="592"/>
      <c r="AP489" s="31"/>
      <c r="AQ489" s="31"/>
      <c r="AR489" s="31"/>
      <c r="AS489" s="31"/>
      <c r="AT489" s="31"/>
      <c r="AU489" s="433"/>
    </row>
    <row r="490" spans="1:47" ht="15" customHeight="1" x14ac:dyDescent="0.2">
      <c r="A490" s="39">
        <f>acute_overview_children!A90</f>
        <v>4</v>
      </c>
      <c r="B490" s="23">
        <f>acute_overview_children!B90</f>
        <v>163060</v>
      </c>
      <c r="C490" s="23" t="str">
        <f>acute_overview_children!C90</f>
        <v>Cherimoyas</v>
      </c>
      <c r="D490" s="38">
        <f t="shared" si="89"/>
        <v>4</v>
      </c>
      <c r="E490" s="31"/>
      <c r="F490" s="31"/>
      <c r="G490" s="31"/>
      <c r="H490" s="31"/>
      <c r="I490" s="31"/>
      <c r="J490" s="31"/>
      <c r="K490" s="31"/>
      <c r="L490" s="31"/>
      <c r="M490" s="31"/>
      <c r="N490" s="31">
        <v>0</v>
      </c>
      <c r="O490" s="31">
        <v>0</v>
      </c>
      <c r="P490" s="31"/>
      <c r="Q490" s="31"/>
      <c r="R490" s="31"/>
      <c r="S490" s="31"/>
      <c r="T490" s="31"/>
      <c r="U490" s="31"/>
      <c r="V490" s="31"/>
      <c r="W490" s="31"/>
      <c r="X490" s="31"/>
      <c r="Y490" s="31"/>
      <c r="Z490" s="31"/>
      <c r="AA490" s="31"/>
      <c r="AB490" s="31"/>
      <c r="AC490" s="31">
        <v>0</v>
      </c>
      <c r="AD490" s="31">
        <v>0</v>
      </c>
      <c r="AE490" s="31"/>
      <c r="AF490" s="31"/>
      <c r="AG490" s="31"/>
      <c r="AH490" s="31"/>
      <c r="AI490" s="31"/>
      <c r="AJ490" s="31"/>
      <c r="AK490" s="433"/>
      <c r="AL490" s="31"/>
      <c r="AM490" s="31"/>
      <c r="AN490" s="31"/>
      <c r="AO490" s="592"/>
      <c r="AP490" s="31"/>
      <c r="AQ490" s="31"/>
      <c r="AR490" s="31"/>
      <c r="AS490" s="31"/>
      <c r="AT490" s="31"/>
      <c r="AU490" s="433"/>
    </row>
    <row r="491" spans="1:47" ht="15" customHeight="1" x14ac:dyDescent="0.2">
      <c r="A491" s="39">
        <f>acute_overview_children!A91</f>
        <v>4</v>
      </c>
      <c r="B491" s="23">
        <f>acute_overview_children!B91</f>
        <v>163070</v>
      </c>
      <c r="C491" s="23" t="str">
        <f>acute_overview_children!C91</f>
        <v>Guavas</v>
      </c>
      <c r="D491" s="38">
        <f t="shared" si="89"/>
        <v>4</v>
      </c>
      <c r="E491" s="31"/>
      <c r="F491" s="31"/>
      <c r="G491" s="31"/>
      <c r="H491" s="31"/>
      <c r="I491" s="31"/>
      <c r="J491" s="31"/>
      <c r="K491" s="31"/>
      <c r="L491" s="31"/>
      <c r="M491" s="31"/>
      <c r="N491" s="31">
        <v>0</v>
      </c>
      <c r="O491" s="31">
        <v>0</v>
      </c>
      <c r="P491" s="31"/>
      <c r="Q491" s="31"/>
      <c r="R491" s="31"/>
      <c r="S491" s="31"/>
      <c r="T491" s="31"/>
      <c r="U491" s="31"/>
      <c r="V491" s="31"/>
      <c r="W491" s="31"/>
      <c r="X491" s="31"/>
      <c r="Y491" s="31"/>
      <c r="Z491" s="31"/>
      <c r="AA491" s="31"/>
      <c r="AB491" s="31"/>
      <c r="AC491" s="31">
        <v>0</v>
      </c>
      <c r="AD491" s="31">
        <v>0</v>
      </c>
      <c r="AE491" s="31"/>
      <c r="AF491" s="31"/>
      <c r="AG491" s="31"/>
      <c r="AH491" s="31"/>
      <c r="AI491" s="31"/>
      <c r="AJ491" s="31"/>
      <c r="AK491" s="433"/>
      <c r="AL491" s="31"/>
      <c r="AM491" s="31"/>
      <c r="AN491" s="31"/>
      <c r="AO491" s="592"/>
      <c r="AP491" s="31"/>
      <c r="AQ491" s="31"/>
      <c r="AR491" s="31"/>
      <c r="AS491" s="31"/>
      <c r="AT491" s="31"/>
      <c r="AU491" s="433"/>
    </row>
    <row r="492" spans="1:47" ht="15" customHeight="1" x14ac:dyDescent="0.2">
      <c r="A492" s="39">
        <f>acute_overview_children!A92</f>
        <v>4</v>
      </c>
      <c r="B492" s="23">
        <f>acute_overview_children!B92</f>
        <v>163080</v>
      </c>
      <c r="C492" s="23" t="str">
        <f>acute_overview_children!C92</f>
        <v>Pineapples</v>
      </c>
      <c r="D492" s="38">
        <f t="shared" si="89"/>
        <v>4</v>
      </c>
      <c r="E492" s="31"/>
      <c r="F492" s="31"/>
      <c r="G492" s="31"/>
      <c r="H492" s="31"/>
      <c r="I492" s="31"/>
      <c r="J492" s="31"/>
      <c r="K492" s="31"/>
      <c r="L492" s="31"/>
      <c r="M492" s="31"/>
      <c r="N492" s="31">
        <v>5.1724137931034484</v>
      </c>
      <c r="O492" s="31">
        <v>4.6917808219178081</v>
      </c>
      <c r="P492" s="31"/>
      <c r="Q492" s="31"/>
      <c r="R492" s="31">
        <v>0.60435132960000004</v>
      </c>
      <c r="S492" s="31"/>
      <c r="T492" s="31"/>
      <c r="U492" s="31"/>
      <c r="V492" s="31"/>
      <c r="W492" s="31"/>
      <c r="X492" s="31"/>
      <c r="Y492" s="31"/>
      <c r="Z492" s="31"/>
      <c r="AA492" s="31"/>
      <c r="AB492" s="31"/>
      <c r="AC492" s="31">
        <v>1.1539473684210526</v>
      </c>
      <c r="AD492" s="31">
        <v>1.1529235382308847</v>
      </c>
      <c r="AE492" s="31"/>
      <c r="AF492" s="31"/>
      <c r="AG492" s="31"/>
      <c r="AH492" s="31"/>
      <c r="AI492" s="31"/>
      <c r="AJ492" s="31"/>
      <c r="AK492" s="433"/>
      <c r="AL492" s="31"/>
      <c r="AM492" s="31"/>
      <c r="AN492" s="31">
        <v>1.9212963472</v>
      </c>
      <c r="AO492" s="592">
        <v>2.3299319274000001</v>
      </c>
      <c r="AP492" s="31"/>
      <c r="AQ492" s="31"/>
      <c r="AR492" s="31"/>
      <c r="AS492" s="31"/>
      <c r="AT492" s="31"/>
      <c r="AU492" s="433"/>
    </row>
    <row r="493" spans="1:47" ht="15" customHeight="1" x14ac:dyDescent="0.2">
      <c r="A493" s="39">
        <f>acute_overview_children!A93</f>
        <v>4</v>
      </c>
      <c r="B493" s="23">
        <f>acute_overview_children!B93</f>
        <v>163090</v>
      </c>
      <c r="C493" s="23" t="str">
        <f>acute_overview_children!C93</f>
        <v>Breadfruits</v>
      </c>
      <c r="D493" s="38">
        <f t="shared" si="89"/>
        <v>4</v>
      </c>
      <c r="E493" s="31"/>
      <c r="F493" s="31"/>
      <c r="G493" s="31"/>
      <c r="H493" s="31"/>
      <c r="I493" s="31"/>
      <c r="J493" s="31"/>
      <c r="K493" s="31"/>
      <c r="L493" s="31"/>
      <c r="M493" s="31"/>
      <c r="N493" s="31">
        <v>0</v>
      </c>
      <c r="O493" s="31">
        <v>0</v>
      </c>
      <c r="P493" s="31"/>
      <c r="Q493" s="31"/>
      <c r="R493" s="31"/>
      <c r="S493" s="31"/>
      <c r="T493" s="31"/>
      <c r="U493" s="31"/>
      <c r="V493" s="31"/>
      <c r="W493" s="31"/>
      <c r="X493" s="31"/>
      <c r="Y493" s="31"/>
      <c r="Z493" s="31"/>
      <c r="AA493" s="31"/>
      <c r="AB493" s="31"/>
      <c r="AC493" s="31">
        <v>0</v>
      </c>
      <c r="AD493" s="31">
        <v>0</v>
      </c>
      <c r="AE493" s="31"/>
      <c r="AF493" s="31"/>
      <c r="AG493" s="31"/>
      <c r="AH493" s="31"/>
      <c r="AI493" s="31"/>
      <c r="AJ493" s="31"/>
      <c r="AK493" s="433"/>
      <c r="AL493" s="31"/>
      <c r="AM493" s="31"/>
      <c r="AN493" s="31"/>
      <c r="AO493" s="592"/>
      <c r="AP493" s="31"/>
      <c r="AQ493" s="31"/>
      <c r="AR493" s="31"/>
      <c r="AS493" s="31"/>
      <c r="AT493" s="31"/>
      <c r="AU493" s="433"/>
    </row>
    <row r="494" spans="1:47" ht="15" customHeight="1" x14ac:dyDescent="0.2">
      <c r="A494" s="39">
        <f>acute_overview_children!A94</f>
        <v>4</v>
      </c>
      <c r="B494" s="23">
        <f>acute_overview_children!B94</f>
        <v>163100</v>
      </c>
      <c r="C494" s="23" t="str">
        <f>acute_overview_children!C94</f>
        <v>Durians</v>
      </c>
      <c r="D494" s="38">
        <f t="shared" si="89"/>
        <v>4</v>
      </c>
      <c r="E494" s="31"/>
      <c r="F494" s="31"/>
      <c r="G494" s="31"/>
      <c r="H494" s="31"/>
      <c r="I494" s="31"/>
      <c r="J494" s="31"/>
      <c r="K494" s="31"/>
      <c r="L494" s="31"/>
      <c r="M494" s="31"/>
      <c r="N494" s="31">
        <v>0</v>
      </c>
      <c r="O494" s="31">
        <v>0</v>
      </c>
      <c r="P494" s="31"/>
      <c r="Q494" s="31"/>
      <c r="R494" s="31"/>
      <c r="S494" s="31"/>
      <c r="T494" s="31"/>
      <c r="U494" s="31"/>
      <c r="V494" s="31"/>
      <c r="W494" s="31"/>
      <c r="X494" s="31"/>
      <c r="Y494" s="31"/>
      <c r="Z494" s="31"/>
      <c r="AA494" s="31"/>
      <c r="AB494" s="31"/>
      <c r="AC494" s="31">
        <v>0</v>
      </c>
      <c r="AD494" s="31">
        <v>0</v>
      </c>
      <c r="AE494" s="31"/>
      <c r="AF494" s="31"/>
      <c r="AG494" s="31"/>
      <c r="AH494" s="31"/>
      <c r="AI494" s="31"/>
      <c r="AJ494" s="31"/>
      <c r="AK494" s="433"/>
      <c r="AL494" s="31"/>
      <c r="AM494" s="31"/>
      <c r="AN494" s="31"/>
      <c r="AO494" s="592"/>
      <c r="AP494" s="31"/>
      <c r="AQ494" s="31"/>
      <c r="AR494" s="31"/>
      <c r="AS494" s="31"/>
      <c r="AT494" s="31"/>
      <c r="AU494" s="433"/>
    </row>
    <row r="495" spans="1:47" ht="15" customHeight="1" x14ac:dyDescent="0.2">
      <c r="A495" s="39">
        <f>acute_overview_children!A95</f>
        <v>4</v>
      </c>
      <c r="B495" s="23">
        <f>acute_overview_children!B95</f>
        <v>163110</v>
      </c>
      <c r="C495" s="23" t="str">
        <f>acute_overview_children!C95</f>
        <v>Soursops/guanabanas</v>
      </c>
      <c r="D495" s="38">
        <f t="shared" si="89"/>
        <v>4</v>
      </c>
      <c r="E495" s="31"/>
      <c r="F495" s="31"/>
      <c r="G495" s="31"/>
      <c r="H495" s="31"/>
      <c r="I495" s="31"/>
      <c r="J495" s="31"/>
      <c r="K495" s="31"/>
      <c r="L495" s="31"/>
      <c r="M495" s="31"/>
      <c r="N495" s="31">
        <v>0</v>
      </c>
      <c r="O495" s="31">
        <v>0</v>
      </c>
      <c r="P495" s="31"/>
      <c r="Q495" s="31"/>
      <c r="R495" s="31"/>
      <c r="S495" s="31"/>
      <c r="T495" s="31"/>
      <c r="U495" s="31"/>
      <c r="V495" s="31"/>
      <c r="W495" s="31"/>
      <c r="X495" s="31"/>
      <c r="Y495" s="31"/>
      <c r="Z495" s="31"/>
      <c r="AA495" s="31"/>
      <c r="AB495" s="31"/>
      <c r="AC495" s="31">
        <v>0</v>
      </c>
      <c r="AD495" s="31">
        <v>0</v>
      </c>
      <c r="AE495" s="31"/>
      <c r="AF495" s="31"/>
      <c r="AG495" s="31"/>
      <c r="AH495" s="31"/>
      <c r="AI495" s="31"/>
      <c r="AJ495" s="31"/>
      <c r="AK495" s="433"/>
      <c r="AL495" s="31"/>
      <c r="AM495" s="31"/>
      <c r="AN495" s="31"/>
      <c r="AO495" s="592"/>
      <c r="AP495" s="31"/>
      <c r="AQ495" s="31"/>
      <c r="AR495" s="31"/>
      <c r="AS495" s="31"/>
      <c r="AT495" s="31"/>
      <c r="AU495" s="433"/>
    </row>
    <row r="496" spans="1:47" ht="15" customHeight="1" x14ac:dyDescent="0.2">
      <c r="A496" s="39">
        <f>acute_overview_children!A96</f>
        <v>4</v>
      </c>
      <c r="B496" s="23">
        <f>acute_overview_children!B96</f>
        <v>163990</v>
      </c>
      <c r="C496" s="23" t="str">
        <f>acute_overview_children!C96</f>
        <v>Other miscallaneous fruit (inedible peel, large)</v>
      </c>
      <c r="D496" s="38">
        <f t="shared" si="89"/>
        <v>4</v>
      </c>
      <c r="E496" s="31"/>
      <c r="F496" s="31"/>
      <c r="G496" s="31"/>
      <c r="H496" s="31"/>
      <c r="I496" s="31"/>
      <c r="J496" s="31"/>
      <c r="K496" s="31"/>
      <c r="L496" s="31"/>
      <c r="M496" s="31"/>
      <c r="N496" s="31">
        <v>0</v>
      </c>
      <c r="O496" s="31">
        <v>0</v>
      </c>
      <c r="P496" s="31"/>
      <c r="Q496" s="31"/>
      <c r="R496" s="31">
        <v>0</v>
      </c>
      <c r="S496" s="31"/>
      <c r="T496" s="31"/>
      <c r="U496" s="31"/>
      <c r="V496" s="31"/>
      <c r="W496" s="31"/>
      <c r="X496" s="31"/>
      <c r="Y496" s="31"/>
      <c r="Z496" s="31"/>
      <c r="AA496" s="31"/>
      <c r="AB496" s="31"/>
      <c r="AC496" s="31">
        <v>0</v>
      </c>
      <c r="AD496" s="31">
        <v>0</v>
      </c>
      <c r="AE496" s="31"/>
      <c r="AF496" s="31"/>
      <c r="AG496" s="31"/>
      <c r="AH496" s="31"/>
      <c r="AI496" s="31"/>
      <c r="AJ496" s="31"/>
      <c r="AK496" s="433"/>
      <c r="AL496" s="31"/>
      <c r="AM496" s="31"/>
      <c r="AN496" s="31">
        <v>0.36731314180000002</v>
      </c>
      <c r="AO496" s="592">
        <v>0</v>
      </c>
      <c r="AP496" s="31"/>
      <c r="AQ496" s="31"/>
      <c r="AR496" s="31"/>
      <c r="AS496" s="31"/>
      <c r="AT496" s="31"/>
      <c r="AU496" s="433"/>
    </row>
    <row r="497" spans="1:47" ht="15" customHeight="1" x14ac:dyDescent="0.2">
      <c r="A497" s="514">
        <f>acute_overview_children!A97</f>
        <v>1</v>
      </c>
      <c r="B497" s="2">
        <f>acute_overview_children!B97</f>
        <v>200000</v>
      </c>
      <c r="C497" s="2" t="str">
        <f>acute_overview_children!C97</f>
        <v xml:space="preserve">VEGETABLES 
FRESH OR FROZEN </v>
      </c>
      <c r="D497" s="38">
        <f t="shared" si="89"/>
        <v>4</v>
      </c>
      <c r="E497" s="54"/>
      <c r="F497" s="54"/>
      <c r="G497" s="54"/>
      <c r="H497" s="54"/>
      <c r="I497" s="54"/>
      <c r="J497" s="54"/>
      <c r="K497" s="54"/>
      <c r="L497" s="54"/>
      <c r="M497" s="54"/>
      <c r="N497" s="54">
        <v>0</v>
      </c>
      <c r="O497" s="54">
        <v>0</v>
      </c>
      <c r="P497" s="54"/>
      <c r="Q497" s="54"/>
      <c r="R497" s="54"/>
      <c r="S497" s="54"/>
      <c r="T497" s="54"/>
      <c r="U497" s="54"/>
      <c r="V497" s="54"/>
      <c r="W497" s="54"/>
      <c r="X497" s="54"/>
      <c r="Y497" s="54"/>
      <c r="Z497" s="54"/>
      <c r="AA497" s="54"/>
      <c r="AB497" s="54"/>
      <c r="AC497" s="54">
        <v>0</v>
      </c>
      <c r="AD497" s="54">
        <v>0</v>
      </c>
      <c r="AE497" s="54"/>
      <c r="AF497" s="54"/>
      <c r="AG497" s="54"/>
      <c r="AH497" s="54"/>
      <c r="AI497" s="54"/>
      <c r="AJ497" s="54"/>
      <c r="AK497" s="434"/>
      <c r="AL497" s="54"/>
      <c r="AM497" s="54"/>
      <c r="AN497" s="54"/>
      <c r="AO497" s="598"/>
      <c r="AP497" s="54"/>
      <c r="AQ497" s="54"/>
      <c r="AR497" s="54"/>
      <c r="AS497" s="54"/>
      <c r="AT497" s="54"/>
      <c r="AU497" s="434"/>
    </row>
    <row r="498" spans="1:47" ht="15" customHeight="1" x14ac:dyDescent="0.2">
      <c r="A498" s="515">
        <f>acute_overview_children!A98</f>
        <v>2</v>
      </c>
      <c r="B498" s="24">
        <f>acute_overview_children!B98</f>
        <v>210000</v>
      </c>
      <c r="C498" s="24" t="str">
        <f>acute_overview_children!C98</f>
        <v>Root and tuber vegetables
incl. potaotes)</v>
      </c>
      <c r="D498" s="38">
        <f t="shared" si="89"/>
        <v>4</v>
      </c>
      <c r="E498" s="55"/>
      <c r="F498" s="55"/>
      <c r="G498" s="55"/>
      <c r="H498" s="55"/>
      <c r="I498" s="55"/>
      <c r="J498" s="55"/>
      <c r="K498" s="55"/>
      <c r="L498" s="55"/>
      <c r="M498" s="55"/>
      <c r="N498" s="55">
        <v>5.0574712643678161</v>
      </c>
      <c r="O498" s="55">
        <v>2.904109589041096</v>
      </c>
      <c r="P498" s="55"/>
      <c r="Q498" s="55"/>
      <c r="R498" s="55"/>
      <c r="S498" s="55"/>
      <c r="T498" s="55"/>
      <c r="U498" s="55"/>
      <c r="V498" s="55"/>
      <c r="W498" s="55"/>
      <c r="X498" s="55"/>
      <c r="Y498" s="55"/>
      <c r="Z498" s="55"/>
      <c r="AA498" s="55"/>
      <c r="AB498" s="55"/>
      <c r="AC498" s="55">
        <v>0.96578947368421064</v>
      </c>
      <c r="AD498" s="55">
        <v>1.1409295352323836</v>
      </c>
      <c r="AE498" s="55"/>
      <c r="AF498" s="55"/>
      <c r="AG498" s="55"/>
      <c r="AH498" s="55"/>
      <c r="AI498" s="55"/>
      <c r="AJ498" s="55"/>
      <c r="AK498" s="435"/>
      <c r="AL498" s="55"/>
      <c r="AM498" s="55"/>
      <c r="AN498" s="55"/>
      <c r="AO498" s="597"/>
      <c r="AP498" s="55"/>
      <c r="AQ498" s="55"/>
      <c r="AR498" s="55"/>
      <c r="AS498" s="55"/>
      <c r="AT498" s="55"/>
      <c r="AU498" s="435"/>
    </row>
    <row r="499" spans="1:47" ht="15" customHeight="1" x14ac:dyDescent="0.2">
      <c r="A499" s="132">
        <f>acute_overview_children!A99</f>
        <v>3</v>
      </c>
      <c r="B499" s="3">
        <f>acute_overview_children!B99</f>
        <v>211000</v>
      </c>
      <c r="C499" s="3" t="str">
        <f>acute_overview_children!C99</f>
        <v>Potatoes</v>
      </c>
      <c r="D499" s="38">
        <f t="shared" si="89"/>
        <v>3</v>
      </c>
      <c r="E499" s="48"/>
      <c r="F499" s="48"/>
      <c r="G499" s="48"/>
      <c r="H499" s="48"/>
      <c r="I499" s="48"/>
      <c r="J499" s="48"/>
      <c r="K499" s="48"/>
      <c r="L499" s="48"/>
      <c r="M499" s="48"/>
      <c r="N499" s="48">
        <v>11.13793103448276</v>
      </c>
      <c r="O499" s="48">
        <v>9.1369863013698644</v>
      </c>
      <c r="P499" s="48"/>
      <c r="Q499" s="48"/>
      <c r="R499" s="48">
        <v>2.7422020191000001</v>
      </c>
      <c r="S499" s="48"/>
      <c r="T499" s="48"/>
      <c r="U499" s="48"/>
      <c r="V499" s="48"/>
      <c r="W499" s="48"/>
      <c r="X499" s="48"/>
      <c r="Y499" s="48"/>
      <c r="Z499" s="48"/>
      <c r="AA499" s="48"/>
      <c r="AB499" s="48"/>
      <c r="AC499" s="48">
        <v>3.25</v>
      </c>
      <c r="AD499" s="48">
        <v>3.5367316341829085</v>
      </c>
      <c r="AE499" s="48"/>
      <c r="AF499" s="48"/>
      <c r="AG499" s="48"/>
      <c r="AH499" s="48"/>
      <c r="AI499" s="48"/>
      <c r="AJ499" s="48"/>
      <c r="AK499" s="93"/>
      <c r="AL499" s="48"/>
      <c r="AM499" s="48"/>
      <c r="AN499" s="48">
        <v>11.250199608999999</v>
      </c>
      <c r="AO499" s="593">
        <v>9.2546728691000002</v>
      </c>
      <c r="AP499" s="48"/>
      <c r="AQ499" s="48"/>
      <c r="AR499" s="48"/>
      <c r="AS499" s="48"/>
      <c r="AT499" s="48"/>
      <c r="AU499" s="93"/>
    </row>
    <row r="500" spans="1:47" ht="15" customHeight="1" x14ac:dyDescent="0.2">
      <c r="A500" s="132">
        <f>acute_overview_children!A100</f>
        <v>3</v>
      </c>
      <c r="B500" s="3">
        <f>acute_overview_children!B100</f>
        <v>212000</v>
      </c>
      <c r="C500" s="3" t="str">
        <f>acute_overview_children!C100</f>
        <v>Tropical root and tuber vegetables</v>
      </c>
      <c r="D500" s="38">
        <f t="shared" si="89"/>
        <v>4</v>
      </c>
      <c r="E500" s="48"/>
      <c r="F500" s="48"/>
      <c r="G500" s="48"/>
      <c r="H500" s="48"/>
      <c r="I500" s="48"/>
      <c r="J500" s="48"/>
      <c r="K500" s="48"/>
      <c r="L500" s="48"/>
      <c r="M500" s="48"/>
      <c r="N500" s="48">
        <v>0</v>
      </c>
      <c r="O500" s="48">
        <v>0</v>
      </c>
      <c r="P500" s="48"/>
      <c r="Q500" s="48"/>
      <c r="R500" s="48"/>
      <c r="S500" s="48"/>
      <c r="T500" s="48"/>
      <c r="U500" s="48"/>
      <c r="V500" s="48"/>
      <c r="W500" s="48"/>
      <c r="X500" s="48"/>
      <c r="Y500" s="48"/>
      <c r="Z500" s="48"/>
      <c r="AA500" s="48"/>
      <c r="AB500" s="48"/>
      <c r="AC500" s="48">
        <v>0</v>
      </c>
      <c r="AD500" s="48">
        <v>0</v>
      </c>
      <c r="AE500" s="48"/>
      <c r="AF500" s="48"/>
      <c r="AG500" s="48"/>
      <c r="AH500" s="48"/>
      <c r="AI500" s="48"/>
      <c r="AJ500" s="48"/>
      <c r="AK500" s="93"/>
      <c r="AL500" s="48"/>
      <c r="AM500" s="48"/>
      <c r="AN500" s="48"/>
      <c r="AO500" s="593"/>
      <c r="AP500" s="48"/>
      <c r="AQ500" s="48"/>
      <c r="AR500" s="48"/>
      <c r="AS500" s="48"/>
      <c r="AT500" s="48"/>
      <c r="AU500" s="93"/>
    </row>
    <row r="501" spans="1:47" ht="15" customHeight="1" x14ac:dyDescent="0.2">
      <c r="A501" s="39">
        <f>acute_overview_children!A101</f>
        <v>4</v>
      </c>
      <c r="B501" s="23">
        <f>acute_overview_children!B101</f>
        <v>212010</v>
      </c>
      <c r="C501" s="23" t="str">
        <f>acute_overview_children!C101</f>
        <v>Cassava roots/manioc</v>
      </c>
      <c r="D501" s="38">
        <f t="shared" si="89"/>
        <v>4</v>
      </c>
      <c r="E501" s="31"/>
      <c r="F501" s="31"/>
      <c r="G501" s="31"/>
      <c r="H501" s="31"/>
      <c r="I501" s="31"/>
      <c r="J501" s="31"/>
      <c r="K501" s="31"/>
      <c r="L501" s="31"/>
      <c r="M501" s="31"/>
      <c r="N501" s="31">
        <v>0</v>
      </c>
      <c r="O501" s="31">
        <v>0</v>
      </c>
      <c r="P501" s="31"/>
      <c r="Q501" s="31"/>
      <c r="R501" s="31"/>
      <c r="S501" s="31"/>
      <c r="T501" s="31"/>
      <c r="U501" s="31"/>
      <c r="V501" s="31"/>
      <c r="W501" s="31"/>
      <c r="X501" s="31"/>
      <c r="Y501" s="31"/>
      <c r="Z501" s="31"/>
      <c r="AA501" s="31"/>
      <c r="AB501" s="31"/>
      <c r="AC501" s="31">
        <v>0</v>
      </c>
      <c r="AD501" s="31">
        <v>0</v>
      </c>
      <c r="AE501" s="31"/>
      <c r="AF501" s="31"/>
      <c r="AG501" s="31"/>
      <c r="AH501" s="31"/>
      <c r="AI501" s="31"/>
      <c r="AJ501" s="31"/>
      <c r="AK501" s="433"/>
      <c r="AL501" s="31"/>
      <c r="AM501" s="31"/>
      <c r="AN501" s="31"/>
      <c r="AO501" s="592"/>
      <c r="AP501" s="31"/>
      <c r="AQ501" s="31"/>
      <c r="AR501" s="31"/>
      <c r="AS501" s="31"/>
      <c r="AT501" s="31"/>
      <c r="AU501" s="433"/>
    </row>
    <row r="502" spans="1:47" ht="15" customHeight="1" x14ac:dyDescent="0.2">
      <c r="A502" s="39">
        <f>acute_overview_children!A102</f>
        <v>4</v>
      </c>
      <c r="B502" s="23">
        <f>acute_overview_children!B102</f>
        <v>212020</v>
      </c>
      <c r="C502" s="23" t="str">
        <f>acute_overview_children!C102</f>
        <v>Sweet potatoes</v>
      </c>
      <c r="D502" s="38">
        <f t="shared" si="89"/>
        <v>4</v>
      </c>
      <c r="E502" s="31"/>
      <c r="F502" s="31"/>
      <c r="G502" s="31"/>
      <c r="H502" s="31"/>
      <c r="I502" s="31"/>
      <c r="J502" s="31"/>
      <c r="K502" s="31"/>
      <c r="L502" s="31"/>
      <c r="M502" s="31"/>
      <c r="N502" s="31">
        <v>0</v>
      </c>
      <c r="O502" s="31">
        <v>0</v>
      </c>
      <c r="P502" s="31"/>
      <c r="Q502" s="31"/>
      <c r="R502" s="31">
        <v>0</v>
      </c>
      <c r="S502" s="31"/>
      <c r="T502" s="31"/>
      <c r="U502" s="31"/>
      <c r="V502" s="31"/>
      <c r="W502" s="31"/>
      <c r="X502" s="31"/>
      <c r="Y502" s="31"/>
      <c r="Z502" s="31"/>
      <c r="AA502" s="31"/>
      <c r="AB502" s="31"/>
      <c r="AC502" s="31">
        <v>0</v>
      </c>
      <c r="AD502" s="31">
        <v>0</v>
      </c>
      <c r="AE502" s="31"/>
      <c r="AF502" s="31"/>
      <c r="AG502" s="31"/>
      <c r="AH502" s="31"/>
      <c r="AI502" s="31"/>
      <c r="AJ502" s="31"/>
      <c r="AK502" s="433"/>
      <c r="AL502" s="31"/>
      <c r="AM502" s="31"/>
      <c r="AN502" s="31"/>
      <c r="AO502" s="592"/>
      <c r="AP502" s="31"/>
      <c r="AQ502" s="31"/>
      <c r="AR502" s="31"/>
      <c r="AS502" s="31"/>
      <c r="AT502" s="31"/>
      <c r="AU502" s="433"/>
    </row>
    <row r="503" spans="1:47" ht="15" customHeight="1" x14ac:dyDescent="0.2">
      <c r="A503" s="39">
        <f>acute_overview_children!A103</f>
        <v>4</v>
      </c>
      <c r="B503" s="23">
        <f>acute_overview_children!B103</f>
        <v>212030</v>
      </c>
      <c r="C503" s="23" t="str">
        <f>acute_overview_children!C103</f>
        <v>Yams</v>
      </c>
      <c r="D503" s="38">
        <f t="shared" si="89"/>
        <v>4</v>
      </c>
      <c r="E503" s="31"/>
      <c r="F503" s="31"/>
      <c r="G503" s="31"/>
      <c r="H503" s="31"/>
      <c r="I503" s="31"/>
      <c r="J503" s="31"/>
      <c r="K503" s="31"/>
      <c r="L503" s="31"/>
      <c r="M503" s="31"/>
      <c r="N503" s="31">
        <v>0</v>
      </c>
      <c r="O503" s="31">
        <v>0</v>
      </c>
      <c r="P503" s="31"/>
      <c r="Q503" s="31"/>
      <c r="R503" s="31"/>
      <c r="S503" s="31"/>
      <c r="T503" s="31"/>
      <c r="U503" s="31"/>
      <c r="V503" s="31"/>
      <c r="W503" s="31"/>
      <c r="X503" s="31"/>
      <c r="Y503" s="31"/>
      <c r="Z503" s="31"/>
      <c r="AA503" s="31"/>
      <c r="AB503" s="31"/>
      <c r="AC503" s="31">
        <v>2.918421052631579</v>
      </c>
      <c r="AD503" s="31">
        <v>0</v>
      </c>
      <c r="AE503" s="31"/>
      <c r="AF503" s="31"/>
      <c r="AG503" s="31"/>
      <c r="AH503" s="31"/>
      <c r="AI503" s="31"/>
      <c r="AJ503" s="31"/>
      <c r="AK503" s="433"/>
      <c r="AL503" s="31"/>
      <c r="AM503" s="31"/>
      <c r="AN503" s="31"/>
      <c r="AO503" s="592"/>
      <c r="AP503" s="31"/>
      <c r="AQ503" s="31"/>
      <c r="AR503" s="31"/>
      <c r="AS503" s="31"/>
      <c r="AT503" s="31"/>
      <c r="AU503" s="433"/>
    </row>
    <row r="504" spans="1:47" ht="15" customHeight="1" x14ac:dyDescent="0.2">
      <c r="A504" s="39">
        <f>acute_overview_children!A104</f>
        <v>4</v>
      </c>
      <c r="B504" s="23">
        <f>acute_overview_children!B104</f>
        <v>212040</v>
      </c>
      <c r="C504" s="23" t="str">
        <f>acute_overview_children!C104</f>
        <v>Arrowroots</v>
      </c>
      <c r="D504" s="38">
        <f t="shared" si="89"/>
        <v>4</v>
      </c>
      <c r="E504" s="31"/>
      <c r="F504" s="31"/>
      <c r="G504" s="31"/>
      <c r="H504" s="31"/>
      <c r="I504" s="31"/>
      <c r="J504" s="31"/>
      <c r="K504" s="31"/>
      <c r="L504" s="31"/>
      <c r="M504" s="31"/>
      <c r="N504" s="31">
        <v>0</v>
      </c>
      <c r="O504" s="31">
        <v>0</v>
      </c>
      <c r="P504" s="31"/>
      <c r="Q504" s="31"/>
      <c r="R504" s="31"/>
      <c r="S504" s="31"/>
      <c r="T504" s="31"/>
      <c r="U504" s="31"/>
      <c r="V504" s="31"/>
      <c r="W504" s="31"/>
      <c r="X504" s="31"/>
      <c r="Y504" s="31"/>
      <c r="Z504" s="31"/>
      <c r="AA504" s="31"/>
      <c r="AB504" s="31"/>
      <c r="AC504" s="31">
        <v>0</v>
      </c>
      <c r="AD504" s="31">
        <v>0</v>
      </c>
      <c r="AE504" s="31"/>
      <c r="AF504" s="31"/>
      <c r="AG504" s="31"/>
      <c r="AH504" s="31"/>
      <c r="AI504" s="31"/>
      <c r="AJ504" s="31"/>
      <c r="AK504" s="433"/>
      <c r="AL504" s="31"/>
      <c r="AM504" s="31"/>
      <c r="AN504" s="31"/>
      <c r="AO504" s="592"/>
      <c r="AP504" s="31"/>
      <c r="AQ504" s="31"/>
      <c r="AR504" s="31"/>
      <c r="AS504" s="31"/>
      <c r="AT504" s="31"/>
      <c r="AU504" s="433"/>
    </row>
    <row r="505" spans="1:47" ht="15" customHeight="1" x14ac:dyDescent="0.2">
      <c r="A505" s="39">
        <f>acute_overview_children!A105</f>
        <v>4</v>
      </c>
      <c r="B505" s="23">
        <f>acute_overview_children!B105</f>
        <v>212990</v>
      </c>
      <c r="C505" s="23" t="str">
        <f>acute_overview_children!C105</f>
        <v>Other tropical root and tuber vegetables</v>
      </c>
      <c r="D505" s="38">
        <f t="shared" si="89"/>
        <v>4</v>
      </c>
      <c r="E505" s="31"/>
      <c r="F505" s="31"/>
      <c r="G505" s="31"/>
      <c r="H505" s="31"/>
      <c r="I505" s="31"/>
      <c r="J505" s="31"/>
      <c r="K505" s="31"/>
      <c r="L505" s="31"/>
      <c r="M505" s="31"/>
      <c r="N505" s="31">
        <v>0</v>
      </c>
      <c r="O505" s="31">
        <v>0</v>
      </c>
      <c r="P505" s="31"/>
      <c r="Q505" s="31"/>
      <c r="R505" s="31"/>
      <c r="S505" s="31"/>
      <c r="T505" s="31"/>
      <c r="U505" s="31"/>
      <c r="V505" s="31"/>
      <c r="W505" s="31"/>
      <c r="X505" s="31"/>
      <c r="Y505" s="31"/>
      <c r="Z505" s="31"/>
      <c r="AA505" s="31"/>
      <c r="AB505" s="31"/>
      <c r="AC505" s="31">
        <v>0</v>
      </c>
      <c r="AD505" s="31">
        <v>0</v>
      </c>
      <c r="AE505" s="31"/>
      <c r="AF505" s="31"/>
      <c r="AG505" s="31"/>
      <c r="AH505" s="31"/>
      <c r="AI505" s="31"/>
      <c r="AJ505" s="31"/>
      <c r="AK505" s="433"/>
      <c r="AL505" s="31"/>
      <c r="AM505" s="31"/>
      <c r="AN505" s="31"/>
      <c r="AO505" s="592"/>
      <c r="AP505" s="31"/>
      <c r="AQ505" s="31"/>
      <c r="AR505" s="31"/>
      <c r="AS505" s="31"/>
      <c r="AT505" s="31"/>
      <c r="AU505" s="433"/>
    </row>
    <row r="506" spans="1:47" ht="15" customHeight="1" x14ac:dyDescent="0.2">
      <c r="A506" s="132">
        <f>acute_overview_children!A106</f>
        <v>3</v>
      </c>
      <c r="B506" s="3">
        <f>acute_overview_children!B106</f>
        <v>213000</v>
      </c>
      <c r="C506" s="3" t="str">
        <f>acute_overview_children!C106</f>
        <v>Other root and tuber vegetables except sugar beet</v>
      </c>
      <c r="D506" s="38">
        <f t="shared" si="89"/>
        <v>4</v>
      </c>
      <c r="E506" s="48"/>
      <c r="F506" s="48"/>
      <c r="G506" s="48"/>
      <c r="H506" s="48"/>
      <c r="I506" s="48"/>
      <c r="J506" s="48"/>
      <c r="K506" s="48"/>
      <c r="L506" s="48"/>
      <c r="M506" s="48"/>
      <c r="N506" s="48">
        <v>0</v>
      </c>
      <c r="O506" s="48">
        <v>0</v>
      </c>
      <c r="P506" s="48"/>
      <c r="Q506" s="48"/>
      <c r="R506" s="48"/>
      <c r="S506" s="48"/>
      <c r="T506" s="48"/>
      <c r="U506" s="48"/>
      <c r="V506" s="48"/>
      <c r="W506" s="48"/>
      <c r="X506" s="48"/>
      <c r="Y506" s="48"/>
      <c r="Z506" s="48"/>
      <c r="AA506" s="48"/>
      <c r="AB506" s="48"/>
      <c r="AC506" s="48">
        <v>0</v>
      </c>
      <c r="AD506" s="48">
        <v>0</v>
      </c>
      <c r="AE506" s="48"/>
      <c r="AF506" s="48"/>
      <c r="AG506" s="48"/>
      <c r="AH506" s="48"/>
      <c r="AI506" s="48"/>
      <c r="AJ506" s="48"/>
      <c r="AK506" s="93"/>
      <c r="AL506" s="48"/>
      <c r="AM506" s="48"/>
      <c r="AN506" s="48"/>
      <c r="AO506" s="593"/>
      <c r="AP506" s="48"/>
      <c r="AQ506" s="48"/>
      <c r="AR506" s="48"/>
      <c r="AS506" s="48"/>
      <c r="AT506" s="48"/>
      <c r="AU506" s="93"/>
    </row>
    <row r="507" spans="1:47" ht="15" customHeight="1" x14ac:dyDescent="0.2">
      <c r="A507" s="39">
        <f>acute_overview_children!A107</f>
        <v>4</v>
      </c>
      <c r="B507" s="23">
        <f>acute_overview_children!B107</f>
        <v>213010</v>
      </c>
      <c r="C507" s="23" t="str">
        <f>acute_overview_children!C107</f>
        <v>Beetroots</v>
      </c>
      <c r="D507" s="38">
        <f t="shared" si="89"/>
        <v>4</v>
      </c>
      <c r="E507" s="31"/>
      <c r="F507" s="31"/>
      <c r="G507" s="31"/>
      <c r="H507" s="31"/>
      <c r="I507" s="31"/>
      <c r="J507" s="31"/>
      <c r="K507" s="31"/>
      <c r="L507" s="31"/>
      <c r="M507" s="31"/>
      <c r="N507" s="31">
        <v>0</v>
      </c>
      <c r="O507" s="31">
        <v>1.4863013698630136</v>
      </c>
      <c r="P507" s="31"/>
      <c r="Q507" s="31"/>
      <c r="R507" s="31">
        <v>0.40863490499999999</v>
      </c>
      <c r="S507" s="31"/>
      <c r="T507" s="31"/>
      <c r="U507" s="31"/>
      <c r="V507" s="31"/>
      <c r="W507" s="31"/>
      <c r="X507" s="31"/>
      <c r="Y507" s="31"/>
      <c r="Z507" s="31"/>
      <c r="AA507" s="31"/>
      <c r="AB507" s="31"/>
      <c r="AC507" s="31">
        <v>0.37105263157894736</v>
      </c>
      <c r="AD507" s="31">
        <v>0.47676161919040477</v>
      </c>
      <c r="AE507" s="31"/>
      <c r="AF507" s="31"/>
      <c r="AG507" s="31"/>
      <c r="AH507" s="31"/>
      <c r="AI507" s="31"/>
      <c r="AJ507" s="31"/>
      <c r="AK507" s="433"/>
      <c r="AL507" s="31"/>
      <c r="AM507" s="31"/>
      <c r="AN507" s="31">
        <v>0.91954022989999995</v>
      </c>
      <c r="AO507" s="592">
        <v>0.9756097561</v>
      </c>
      <c r="AP507" s="31"/>
      <c r="AQ507" s="31"/>
      <c r="AR507" s="31"/>
      <c r="AS507" s="31"/>
      <c r="AT507" s="31"/>
      <c r="AU507" s="433"/>
    </row>
    <row r="508" spans="1:47" ht="15" customHeight="1" x14ac:dyDescent="0.2">
      <c r="A508" s="39">
        <f>acute_overview_children!A108</f>
        <v>4</v>
      </c>
      <c r="B508" s="23">
        <f>acute_overview_children!B108</f>
        <v>213020</v>
      </c>
      <c r="C508" s="23" t="str">
        <f>acute_overview_children!C108</f>
        <v>Carrots</v>
      </c>
      <c r="D508" s="38">
        <f t="shared" si="89"/>
        <v>4</v>
      </c>
      <c r="E508" s="31"/>
      <c r="F508" s="31"/>
      <c r="G508" s="31"/>
      <c r="H508" s="31"/>
      <c r="I508" s="31"/>
      <c r="J508" s="31"/>
      <c r="K508" s="31"/>
      <c r="L508" s="31"/>
      <c r="M508" s="31"/>
      <c r="N508" s="31">
        <v>3.5172413793103452</v>
      </c>
      <c r="O508" s="31">
        <v>2.452054794520548</v>
      </c>
      <c r="P508" s="31"/>
      <c r="Q508" s="31"/>
      <c r="R508" s="31">
        <v>1.1909211548</v>
      </c>
      <c r="S508" s="31"/>
      <c r="T508" s="31"/>
      <c r="U508" s="31"/>
      <c r="V508" s="31"/>
      <c r="W508" s="31"/>
      <c r="X508" s="31"/>
      <c r="Y508" s="31"/>
      <c r="Z508" s="31"/>
      <c r="AA508" s="31"/>
      <c r="AB508" s="31"/>
      <c r="AC508" s="31">
        <v>0.70263157894736838</v>
      </c>
      <c r="AD508" s="31">
        <v>0.88755622188905547</v>
      </c>
      <c r="AE508" s="31"/>
      <c r="AF508" s="31"/>
      <c r="AG508" s="31"/>
      <c r="AH508" s="31"/>
      <c r="AI508" s="31"/>
      <c r="AJ508" s="31"/>
      <c r="AK508" s="433"/>
      <c r="AL508" s="31"/>
      <c r="AM508" s="31"/>
      <c r="AN508" s="31">
        <v>3.9491227795000001</v>
      </c>
      <c r="AO508" s="592">
        <v>2.6346020415</v>
      </c>
      <c r="AP508" s="31"/>
      <c r="AQ508" s="31"/>
      <c r="AR508" s="31"/>
      <c r="AS508" s="31"/>
      <c r="AT508" s="31"/>
      <c r="AU508" s="433"/>
    </row>
    <row r="509" spans="1:47" ht="15" customHeight="1" x14ac:dyDescent="0.2">
      <c r="A509" s="39">
        <f>acute_overview_children!A109</f>
        <v>4</v>
      </c>
      <c r="B509" s="23">
        <f>acute_overview_children!B109</f>
        <v>213030</v>
      </c>
      <c r="C509" s="23" t="str">
        <f>acute_overview_children!C109</f>
        <v>Celeriacs/turnip rooted celeries</v>
      </c>
      <c r="D509" s="38">
        <f t="shared" si="89"/>
        <v>4</v>
      </c>
      <c r="E509" s="31"/>
      <c r="F509" s="31"/>
      <c r="G509" s="31"/>
      <c r="H509" s="31"/>
      <c r="I509" s="31"/>
      <c r="J509" s="31"/>
      <c r="K509" s="31"/>
      <c r="L509" s="31"/>
      <c r="M509" s="31"/>
      <c r="N509" s="31">
        <v>0</v>
      </c>
      <c r="O509" s="31">
        <v>0</v>
      </c>
      <c r="P509" s="31"/>
      <c r="Q509" s="31"/>
      <c r="R509" s="31">
        <v>5.6096909399999999E-2</v>
      </c>
      <c r="S509" s="31"/>
      <c r="T509" s="31"/>
      <c r="U509" s="31"/>
      <c r="V509" s="31"/>
      <c r="W509" s="31"/>
      <c r="X509" s="31"/>
      <c r="Y509" s="31"/>
      <c r="Z509" s="31"/>
      <c r="AA509" s="31"/>
      <c r="AB509" s="31"/>
      <c r="AC509" s="31">
        <v>0.37236842105263157</v>
      </c>
      <c r="AD509" s="31">
        <v>0</v>
      </c>
      <c r="AE509" s="31"/>
      <c r="AF509" s="31"/>
      <c r="AG509" s="31"/>
      <c r="AH509" s="31"/>
      <c r="AI509" s="31"/>
      <c r="AJ509" s="31"/>
      <c r="AK509" s="433"/>
      <c r="AL509" s="31"/>
      <c r="AM509" s="31"/>
      <c r="AN509" s="31">
        <v>0.2237762227</v>
      </c>
      <c r="AO509" s="592">
        <v>8.8492753899999999E-2</v>
      </c>
      <c r="AP509" s="31"/>
      <c r="AQ509" s="31"/>
      <c r="AR509" s="31"/>
      <c r="AS509" s="31"/>
      <c r="AT509" s="31"/>
      <c r="AU509" s="433"/>
    </row>
    <row r="510" spans="1:47" ht="15" customHeight="1" x14ac:dyDescent="0.2">
      <c r="A510" s="39">
        <f>acute_overview_children!A110</f>
        <v>4</v>
      </c>
      <c r="B510" s="23">
        <f>acute_overview_children!B110</f>
        <v>213040</v>
      </c>
      <c r="C510" s="23" t="str">
        <f>acute_overview_children!C110</f>
        <v>Horseradishes</v>
      </c>
      <c r="D510" s="38">
        <f t="shared" si="89"/>
        <v>4</v>
      </c>
      <c r="E510" s="31"/>
      <c r="F510" s="31"/>
      <c r="G510" s="31"/>
      <c r="H510" s="31"/>
      <c r="I510" s="31"/>
      <c r="J510" s="31"/>
      <c r="K510" s="31"/>
      <c r="L510" s="31"/>
      <c r="M510" s="31"/>
      <c r="N510" s="31">
        <v>0</v>
      </c>
      <c r="O510" s="31">
        <v>0</v>
      </c>
      <c r="P510" s="31"/>
      <c r="Q510" s="31"/>
      <c r="R510" s="31"/>
      <c r="S510" s="31"/>
      <c r="T510" s="31"/>
      <c r="U510" s="31"/>
      <c r="V510" s="31"/>
      <c r="W510" s="31"/>
      <c r="X510" s="31"/>
      <c r="Y510" s="31"/>
      <c r="Z510" s="31"/>
      <c r="AA510" s="31"/>
      <c r="AB510" s="31"/>
      <c r="AC510" s="31">
        <v>1.1842105263157895E-2</v>
      </c>
      <c r="AD510" s="31">
        <v>0</v>
      </c>
      <c r="AE510" s="31"/>
      <c r="AF510" s="31"/>
      <c r="AG510" s="31"/>
      <c r="AH510" s="31"/>
      <c r="AI510" s="31"/>
      <c r="AJ510" s="31"/>
      <c r="AK510" s="433"/>
      <c r="AL510" s="31"/>
      <c r="AM510" s="31"/>
      <c r="AN510" s="31"/>
      <c r="AO510" s="592"/>
      <c r="AP510" s="31"/>
      <c r="AQ510" s="31"/>
      <c r="AR510" s="31"/>
      <c r="AS510" s="31"/>
      <c r="AT510" s="31"/>
      <c r="AU510" s="433"/>
    </row>
    <row r="511" spans="1:47" ht="15" customHeight="1" x14ac:dyDescent="0.2">
      <c r="A511" s="39">
        <f>acute_overview_children!A111</f>
        <v>4</v>
      </c>
      <c r="B511" s="23">
        <f>acute_overview_children!B111</f>
        <v>213050</v>
      </c>
      <c r="C511" s="23" t="str">
        <f>acute_overview_children!C111</f>
        <v>Jerusalem artichokes</v>
      </c>
      <c r="D511" s="38">
        <f t="shared" si="89"/>
        <v>4</v>
      </c>
      <c r="E511" s="31"/>
      <c r="F511" s="31"/>
      <c r="G511" s="31"/>
      <c r="H511" s="31"/>
      <c r="I511" s="31"/>
      <c r="J511" s="31"/>
      <c r="K511" s="31"/>
      <c r="L511" s="31"/>
      <c r="M511" s="31"/>
      <c r="N511" s="31">
        <v>0</v>
      </c>
      <c r="O511" s="31">
        <v>0</v>
      </c>
      <c r="P511" s="31"/>
      <c r="Q511" s="31"/>
      <c r="R511" s="31">
        <v>0</v>
      </c>
      <c r="S511" s="31"/>
      <c r="T511" s="31"/>
      <c r="U511" s="31"/>
      <c r="V511" s="31"/>
      <c r="W511" s="31"/>
      <c r="X511" s="31"/>
      <c r="Y511" s="31"/>
      <c r="Z511" s="31"/>
      <c r="AA511" s="31"/>
      <c r="AB511" s="31"/>
      <c r="AC511" s="31">
        <v>0.16973684210526316</v>
      </c>
      <c r="AD511" s="31">
        <v>0</v>
      </c>
      <c r="AE511" s="31"/>
      <c r="AF511" s="31"/>
      <c r="AG511" s="31"/>
      <c r="AH511" s="31"/>
      <c r="AI511" s="31"/>
      <c r="AJ511" s="31"/>
      <c r="AK511" s="433"/>
      <c r="AL511" s="31"/>
      <c r="AM511" s="31"/>
      <c r="AN511" s="31"/>
      <c r="AO511" s="592"/>
      <c r="AP511" s="31"/>
      <c r="AQ511" s="31"/>
      <c r="AR511" s="31"/>
      <c r="AS511" s="31"/>
      <c r="AT511" s="31"/>
      <c r="AU511" s="433"/>
    </row>
    <row r="512" spans="1:47" ht="15" customHeight="1" x14ac:dyDescent="0.2">
      <c r="A512" s="39">
        <f>acute_overview_children!A112</f>
        <v>4</v>
      </c>
      <c r="B512" s="23">
        <f>acute_overview_children!B112</f>
        <v>213060</v>
      </c>
      <c r="C512" s="23" t="str">
        <f>acute_overview_children!C112</f>
        <v>Parsnips</v>
      </c>
      <c r="D512" s="38">
        <f t="shared" si="89"/>
        <v>4</v>
      </c>
      <c r="E512" s="31"/>
      <c r="F512" s="31"/>
      <c r="G512" s="31"/>
      <c r="H512" s="31"/>
      <c r="I512" s="31"/>
      <c r="J512" s="31"/>
      <c r="K512" s="31"/>
      <c r="L512" s="31"/>
      <c r="M512" s="31"/>
      <c r="N512" s="31">
        <v>0.91954022988505757</v>
      </c>
      <c r="O512" s="31">
        <v>1.1712328767123288</v>
      </c>
      <c r="P512" s="31"/>
      <c r="Q512" s="31"/>
      <c r="R512" s="31">
        <v>3.9633686000000001E-2</v>
      </c>
      <c r="S512" s="31"/>
      <c r="T512" s="31"/>
      <c r="U512" s="31"/>
      <c r="V512" s="31"/>
      <c r="W512" s="31"/>
      <c r="X512" s="31"/>
      <c r="Y512" s="31"/>
      <c r="Z512" s="31"/>
      <c r="AA512" s="31"/>
      <c r="AB512" s="31"/>
      <c r="AC512" s="31">
        <v>0.32105263157894737</v>
      </c>
      <c r="AD512" s="31">
        <v>0.42128935532233885</v>
      </c>
      <c r="AE512" s="31"/>
      <c r="AF512" s="31"/>
      <c r="AG512" s="31"/>
      <c r="AH512" s="31"/>
      <c r="AI512" s="31"/>
      <c r="AJ512" s="31"/>
      <c r="AK512" s="433"/>
      <c r="AL512" s="31"/>
      <c r="AM512" s="31"/>
      <c r="AN512" s="31">
        <v>0.2283104997</v>
      </c>
      <c r="AO512" s="592">
        <v>0.1170819431</v>
      </c>
      <c r="AP512" s="31"/>
      <c r="AQ512" s="31"/>
      <c r="AR512" s="31"/>
      <c r="AS512" s="31"/>
      <c r="AT512" s="31"/>
      <c r="AU512" s="433"/>
    </row>
    <row r="513" spans="1:47" ht="15" customHeight="1" x14ac:dyDescent="0.2">
      <c r="A513" s="39">
        <f>acute_overview_children!A113</f>
        <v>4</v>
      </c>
      <c r="B513" s="23">
        <f>acute_overview_children!B113</f>
        <v>213070</v>
      </c>
      <c r="C513" s="23" t="str">
        <f>acute_overview_children!C113</f>
        <v>Parsley roots/Hamburg roots parsley</v>
      </c>
      <c r="D513" s="38">
        <f t="shared" si="89"/>
        <v>4</v>
      </c>
      <c r="E513" s="31"/>
      <c r="F513" s="31"/>
      <c r="G513" s="31"/>
      <c r="H513" s="31"/>
      <c r="I513" s="31"/>
      <c r="J513" s="31"/>
      <c r="K513" s="31"/>
      <c r="L513" s="31"/>
      <c r="M513" s="31"/>
      <c r="N513" s="31">
        <v>0</v>
      </c>
      <c r="O513" s="31">
        <v>0</v>
      </c>
      <c r="P513" s="31"/>
      <c r="Q513" s="31"/>
      <c r="R513" s="31"/>
      <c r="S513" s="31"/>
      <c r="T513" s="31"/>
      <c r="U513" s="31"/>
      <c r="V513" s="31"/>
      <c r="W513" s="31"/>
      <c r="X513" s="31"/>
      <c r="Y513" s="31"/>
      <c r="Z513" s="31"/>
      <c r="AA513" s="31"/>
      <c r="AB513" s="31"/>
      <c r="AC513" s="31">
        <v>0</v>
      </c>
      <c r="AD513" s="31">
        <v>0</v>
      </c>
      <c r="AE513" s="31"/>
      <c r="AF513" s="31"/>
      <c r="AG513" s="31"/>
      <c r="AH513" s="31"/>
      <c r="AI513" s="31"/>
      <c r="AJ513" s="31"/>
      <c r="AK513" s="433"/>
      <c r="AL513" s="31"/>
      <c r="AM513" s="31"/>
      <c r="AN513" s="31"/>
      <c r="AO513" s="592"/>
      <c r="AP513" s="31"/>
      <c r="AQ513" s="31"/>
      <c r="AR513" s="31"/>
      <c r="AS513" s="31"/>
      <c r="AT513" s="31"/>
      <c r="AU513" s="433"/>
    </row>
    <row r="514" spans="1:47" ht="15" customHeight="1" x14ac:dyDescent="0.2">
      <c r="A514" s="39">
        <f>acute_overview_children!A114</f>
        <v>4</v>
      </c>
      <c r="B514" s="23">
        <f>acute_overview_children!B114</f>
        <v>213080</v>
      </c>
      <c r="C514" s="23" t="str">
        <f>acute_overview_children!C114</f>
        <v>Radishes</v>
      </c>
      <c r="D514" s="38">
        <f t="shared" si="89"/>
        <v>4</v>
      </c>
      <c r="E514" s="31"/>
      <c r="F514" s="31"/>
      <c r="G514" s="31"/>
      <c r="H514" s="31"/>
      <c r="I514" s="31"/>
      <c r="J514" s="31"/>
      <c r="K514" s="31"/>
      <c r="L514" s="31"/>
      <c r="M514" s="31"/>
      <c r="N514" s="31">
        <v>0</v>
      </c>
      <c r="O514" s="31">
        <v>0.9726027397260274</v>
      </c>
      <c r="P514" s="31"/>
      <c r="Q514" s="31"/>
      <c r="R514" s="31">
        <v>0</v>
      </c>
      <c r="S514" s="31"/>
      <c r="T514" s="31"/>
      <c r="U514" s="31"/>
      <c r="V514" s="31"/>
      <c r="W514" s="31"/>
      <c r="X514" s="31"/>
      <c r="Y514" s="31"/>
      <c r="Z514" s="31"/>
      <c r="AA514" s="31"/>
      <c r="AB514" s="31"/>
      <c r="AC514" s="31">
        <v>0.31052631578947371</v>
      </c>
      <c r="AD514" s="31">
        <v>0.30134932533733133</v>
      </c>
      <c r="AE514" s="31"/>
      <c r="AF514" s="31"/>
      <c r="AG514" s="31"/>
      <c r="AH514" s="31"/>
      <c r="AI514" s="31"/>
      <c r="AJ514" s="31"/>
      <c r="AK514" s="433"/>
      <c r="AL514" s="31"/>
      <c r="AM514" s="31"/>
      <c r="AN514" s="31">
        <v>0</v>
      </c>
      <c r="AO514" s="592">
        <v>0</v>
      </c>
      <c r="AP514" s="31"/>
      <c r="AQ514" s="31"/>
      <c r="AR514" s="31"/>
      <c r="AS514" s="31"/>
      <c r="AT514" s="31"/>
      <c r="AU514" s="433"/>
    </row>
    <row r="515" spans="1:47" ht="15" customHeight="1" x14ac:dyDescent="0.2">
      <c r="A515" s="39">
        <f>acute_overview_children!A115</f>
        <v>4</v>
      </c>
      <c r="B515" s="23">
        <f>acute_overview_children!B115</f>
        <v>213090</v>
      </c>
      <c r="C515" s="23" t="str">
        <f>acute_overview_children!C115</f>
        <v>Salsifies</v>
      </c>
      <c r="D515" s="38">
        <f t="shared" si="89"/>
        <v>4</v>
      </c>
      <c r="E515" s="31"/>
      <c r="F515" s="31"/>
      <c r="G515" s="31"/>
      <c r="H515" s="31"/>
      <c r="I515" s="31"/>
      <c r="J515" s="31"/>
      <c r="K515" s="31"/>
      <c r="L515" s="31"/>
      <c r="M515" s="31"/>
      <c r="N515" s="31">
        <v>0</v>
      </c>
      <c r="O515" s="31">
        <v>0</v>
      </c>
      <c r="P515" s="31"/>
      <c r="Q515" s="31"/>
      <c r="R515" s="31"/>
      <c r="S515" s="31"/>
      <c r="T515" s="31"/>
      <c r="U515" s="31"/>
      <c r="V515" s="31"/>
      <c r="W515" s="31"/>
      <c r="X515" s="31"/>
      <c r="Y515" s="31"/>
      <c r="Z515" s="31"/>
      <c r="AA515" s="31"/>
      <c r="AB515" s="31"/>
      <c r="AC515" s="31">
        <v>0</v>
      </c>
      <c r="AD515" s="31">
        <v>0</v>
      </c>
      <c r="AE515" s="31"/>
      <c r="AF515" s="31"/>
      <c r="AG515" s="31"/>
      <c r="AH515" s="31"/>
      <c r="AI515" s="31"/>
      <c r="AJ515" s="31"/>
      <c r="AK515" s="433"/>
      <c r="AL515" s="31"/>
      <c r="AM515" s="31"/>
      <c r="AN515" s="31"/>
      <c r="AO515" s="592"/>
      <c r="AP515" s="31"/>
      <c r="AQ515" s="31"/>
      <c r="AR515" s="31"/>
      <c r="AS515" s="31"/>
      <c r="AT515" s="31"/>
      <c r="AU515" s="433"/>
    </row>
    <row r="516" spans="1:47" ht="15" customHeight="1" x14ac:dyDescent="0.2">
      <c r="A516" s="39">
        <f>acute_overview_children!A116</f>
        <v>4</v>
      </c>
      <c r="B516" s="23">
        <f>acute_overview_children!B116</f>
        <v>213100</v>
      </c>
      <c r="C516" s="23" t="str">
        <f>acute_overview_children!C116</f>
        <v>Swedes/rutabagas</v>
      </c>
      <c r="D516" s="38">
        <f t="shared" si="89"/>
        <v>4</v>
      </c>
      <c r="E516" s="31"/>
      <c r="F516" s="31"/>
      <c r="G516" s="31"/>
      <c r="H516" s="31"/>
      <c r="I516" s="31"/>
      <c r="J516" s="31"/>
      <c r="K516" s="31"/>
      <c r="L516" s="31"/>
      <c r="M516" s="31"/>
      <c r="N516" s="31">
        <v>2.7931034482758625</v>
      </c>
      <c r="O516" s="31">
        <v>1.6986301369863015</v>
      </c>
      <c r="P516" s="31"/>
      <c r="Q516" s="31"/>
      <c r="R516" s="31">
        <v>0.2460314569</v>
      </c>
      <c r="S516" s="31"/>
      <c r="T516" s="31"/>
      <c r="U516" s="31"/>
      <c r="V516" s="31"/>
      <c r="W516" s="31"/>
      <c r="X516" s="31"/>
      <c r="Y516" s="31"/>
      <c r="Z516" s="31"/>
      <c r="AA516" s="31"/>
      <c r="AB516" s="31"/>
      <c r="AC516" s="31">
        <v>0.48947368421052634</v>
      </c>
      <c r="AD516" s="31">
        <v>0.49175412293853066</v>
      </c>
      <c r="AE516" s="31"/>
      <c r="AF516" s="31"/>
      <c r="AG516" s="31"/>
      <c r="AH516" s="31"/>
      <c r="AI516" s="31"/>
      <c r="AJ516" s="31"/>
      <c r="AK516" s="433"/>
      <c r="AL516" s="31"/>
      <c r="AM516" s="31"/>
      <c r="AN516" s="31">
        <v>0.40866915990000002</v>
      </c>
      <c r="AO516" s="592">
        <v>0.35046728669999999</v>
      </c>
      <c r="AP516" s="31"/>
      <c r="AQ516" s="31"/>
      <c r="AR516" s="31"/>
      <c r="AS516" s="31"/>
      <c r="AT516" s="31"/>
      <c r="AU516" s="433"/>
    </row>
    <row r="517" spans="1:47" ht="15" customHeight="1" x14ac:dyDescent="0.2">
      <c r="A517" s="39">
        <f>acute_overview_children!A117</f>
        <v>4</v>
      </c>
      <c r="B517" s="23">
        <f>acute_overview_children!B117</f>
        <v>213110</v>
      </c>
      <c r="C517" s="23" t="str">
        <f>acute_overview_children!C117</f>
        <v>Turnips</v>
      </c>
      <c r="D517" s="38">
        <f t="shared" si="89"/>
        <v>4</v>
      </c>
      <c r="E517" s="31"/>
      <c r="F517" s="31"/>
      <c r="G517" s="31"/>
      <c r="H517" s="31"/>
      <c r="I517" s="31"/>
      <c r="J517" s="31"/>
      <c r="K517" s="31"/>
      <c r="L517" s="31"/>
      <c r="M517" s="31"/>
      <c r="N517" s="31">
        <v>0</v>
      </c>
      <c r="O517" s="31">
        <v>0.97945205479452058</v>
      </c>
      <c r="P517" s="31"/>
      <c r="Q517" s="31"/>
      <c r="R517" s="31">
        <v>0</v>
      </c>
      <c r="S517" s="31"/>
      <c r="T517" s="31"/>
      <c r="U517" s="31"/>
      <c r="V517" s="31"/>
      <c r="W517" s="31"/>
      <c r="X517" s="31"/>
      <c r="Y517" s="31"/>
      <c r="Z517" s="31"/>
      <c r="AA517" s="31"/>
      <c r="AB517" s="31"/>
      <c r="AC517" s="31">
        <v>0.34473684210526317</v>
      </c>
      <c r="AD517" s="31">
        <v>0.15592203898050974</v>
      </c>
      <c r="AE517" s="31"/>
      <c r="AF517" s="31"/>
      <c r="AG517" s="31"/>
      <c r="AH517" s="31"/>
      <c r="AI517" s="31"/>
      <c r="AJ517" s="31"/>
      <c r="AK517" s="433"/>
      <c r="AL517" s="31"/>
      <c r="AM517" s="31"/>
      <c r="AN517" s="31">
        <v>0</v>
      </c>
      <c r="AO517" s="592">
        <v>0</v>
      </c>
      <c r="AP517" s="31"/>
      <c r="AQ517" s="31"/>
      <c r="AR517" s="31"/>
      <c r="AS517" s="31"/>
      <c r="AT517" s="31"/>
      <c r="AU517" s="433"/>
    </row>
    <row r="518" spans="1:47" ht="15" customHeight="1" x14ac:dyDescent="0.2">
      <c r="A518" s="39">
        <f>acute_overview_children!A118</f>
        <v>4</v>
      </c>
      <c r="B518" s="23">
        <f>acute_overview_children!B118</f>
        <v>213990</v>
      </c>
      <c r="C518" s="23" t="str">
        <f>acute_overview_children!C118</f>
        <v xml:space="preserve">Other other root and tuber vegetables </v>
      </c>
      <c r="D518" s="38">
        <f t="shared" si="89"/>
        <v>4</v>
      </c>
      <c r="E518" s="31"/>
      <c r="F518" s="31"/>
      <c r="G518" s="31"/>
      <c r="H518" s="31"/>
      <c r="I518" s="31"/>
      <c r="J518" s="31"/>
      <c r="K518" s="31"/>
      <c r="L518" s="31"/>
      <c r="M518" s="31"/>
      <c r="N518" s="31">
        <v>0</v>
      </c>
      <c r="O518" s="31">
        <v>0</v>
      </c>
      <c r="P518" s="31"/>
      <c r="Q518" s="31"/>
      <c r="R518" s="31"/>
      <c r="S518" s="31"/>
      <c r="T518" s="31"/>
      <c r="U518" s="31"/>
      <c r="V518" s="31"/>
      <c r="W518" s="31"/>
      <c r="X518" s="31"/>
      <c r="Y518" s="31"/>
      <c r="Z518" s="31"/>
      <c r="AA518" s="31"/>
      <c r="AB518" s="31"/>
      <c r="AC518" s="31">
        <v>0</v>
      </c>
      <c r="AD518" s="31">
        <v>0</v>
      </c>
      <c r="AE518" s="31"/>
      <c r="AF518" s="31"/>
      <c r="AG518" s="31"/>
      <c r="AH518" s="31"/>
      <c r="AI518" s="31"/>
      <c r="AJ518" s="31"/>
      <c r="AK518" s="433"/>
      <c r="AL518" s="31"/>
      <c r="AM518" s="31"/>
      <c r="AN518" s="31"/>
      <c r="AO518" s="592"/>
      <c r="AP518" s="31"/>
      <c r="AQ518" s="31"/>
      <c r="AR518" s="31"/>
      <c r="AS518" s="31"/>
      <c r="AT518" s="31"/>
      <c r="AU518" s="433"/>
    </row>
    <row r="519" spans="1:47" ht="15" customHeight="1" x14ac:dyDescent="0.2">
      <c r="A519" s="515">
        <f>acute_overview_children!A119</f>
        <v>2</v>
      </c>
      <c r="B519" s="24">
        <f>acute_overview_children!B119</f>
        <v>220000</v>
      </c>
      <c r="C519" s="24" t="str">
        <f>acute_overview_children!C119</f>
        <v>Bulb vegetables</v>
      </c>
      <c r="D519" s="38">
        <f t="shared" si="89"/>
        <v>4</v>
      </c>
      <c r="E519" s="55"/>
      <c r="F519" s="55"/>
      <c r="G519" s="55"/>
      <c r="H519" s="55"/>
      <c r="I519" s="55"/>
      <c r="J519" s="55"/>
      <c r="K519" s="55"/>
      <c r="L519" s="55"/>
      <c r="M519" s="55"/>
      <c r="N519" s="55">
        <v>1.1264367816091956</v>
      </c>
      <c r="O519" s="55">
        <v>1.1095890410958904</v>
      </c>
      <c r="P519" s="55"/>
      <c r="Q519" s="55"/>
      <c r="R519" s="55"/>
      <c r="S519" s="55"/>
      <c r="T519" s="55"/>
      <c r="U519" s="55"/>
      <c r="V519" s="55"/>
      <c r="W519" s="55"/>
      <c r="X519" s="55"/>
      <c r="Y519" s="55"/>
      <c r="Z519" s="55"/>
      <c r="AA519" s="55"/>
      <c r="AB519" s="55"/>
      <c r="AC519" s="55">
        <v>0.55789473684210522</v>
      </c>
      <c r="AD519" s="55">
        <v>0.82758620689655171</v>
      </c>
      <c r="AE519" s="55"/>
      <c r="AF519" s="55"/>
      <c r="AG519" s="55"/>
      <c r="AH519" s="55"/>
      <c r="AI519" s="55"/>
      <c r="AJ519" s="55"/>
      <c r="AK519" s="435"/>
      <c r="AL519" s="55"/>
      <c r="AM519" s="55"/>
      <c r="AN519" s="55"/>
      <c r="AO519" s="597"/>
      <c r="AP519" s="55"/>
      <c r="AQ519" s="55"/>
      <c r="AR519" s="55"/>
      <c r="AS519" s="55"/>
      <c r="AT519" s="55"/>
      <c r="AU519" s="435"/>
    </row>
    <row r="520" spans="1:47" ht="15" customHeight="1" x14ac:dyDescent="0.2">
      <c r="A520" s="39">
        <f>acute_overview_children!A120</f>
        <v>4</v>
      </c>
      <c r="B520" s="23">
        <f>acute_overview_children!B120</f>
        <v>220010</v>
      </c>
      <c r="C520" s="23" t="str">
        <f>acute_overview_children!C120</f>
        <v>Garlic</v>
      </c>
      <c r="D520" s="38">
        <f t="shared" si="89"/>
        <v>4</v>
      </c>
      <c r="E520" s="31"/>
      <c r="F520" s="31"/>
      <c r="G520" s="31"/>
      <c r="H520" s="31"/>
      <c r="I520" s="31"/>
      <c r="J520" s="31"/>
      <c r="K520" s="31"/>
      <c r="L520" s="31"/>
      <c r="M520" s="31"/>
      <c r="N520" s="31">
        <v>0</v>
      </c>
      <c r="O520" s="31">
        <v>6.164383561643836E-2</v>
      </c>
      <c r="P520" s="31"/>
      <c r="Q520" s="31"/>
      <c r="R520" s="31">
        <v>1.4996505699999999E-2</v>
      </c>
      <c r="S520" s="31"/>
      <c r="T520" s="31"/>
      <c r="U520" s="31"/>
      <c r="V520" s="31"/>
      <c r="W520" s="31"/>
      <c r="X520" s="31"/>
      <c r="Y520" s="31"/>
      <c r="Z520" s="31"/>
      <c r="AA520" s="31"/>
      <c r="AB520" s="31"/>
      <c r="AC520" s="31">
        <v>6.3157894736842107E-2</v>
      </c>
      <c r="AD520" s="31">
        <v>0.13343328335832083</v>
      </c>
      <c r="AE520" s="31"/>
      <c r="AF520" s="31"/>
      <c r="AG520" s="31"/>
      <c r="AH520" s="31"/>
      <c r="AI520" s="31"/>
      <c r="AJ520" s="31"/>
      <c r="AK520" s="433"/>
      <c r="AL520" s="31"/>
      <c r="AM520" s="31"/>
      <c r="AN520" s="31">
        <v>5.0405404700000003E-2</v>
      </c>
      <c r="AO520" s="592">
        <v>4.4326600700000003E-2</v>
      </c>
      <c r="AP520" s="31"/>
      <c r="AQ520" s="31"/>
      <c r="AR520" s="31"/>
      <c r="AS520" s="31"/>
      <c r="AT520" s="31"/>
      <c r="AU520" s="433"/>
    </row>
    <row r="521" spans="1:47" ht="15" customHeight="1" x14ac:dyDescent="0.2">
      <c r="A521" s="39">
        <f>acute_overview_children!A121</f>
        <v>4</v>
      </c>
      <c r="B521" s="23">
        <f>acute_overview_children!B121</f>
        <v>220020</v>
      </c>
      <c r="C521" s="23" t="str">
        <f>acute_overview_children!C121</f>
        <v>Onions</v>
      </c>
      <c r="D521" s="38">
        <f t="shared" si="89"/>
        <v>4</v>
      </c>
      <c r="E521" s="31"/>
      <c r="F521" s="31"/>
      <c r="G521" s="31"/>
      <c r="H521" s="31"/>
      <c r="I521" s="31"/>
      <c r="J521" s="31"/>
      <c r="K521" s="31"/>
      <c r="L521" s="31"/>
      <c r="M521" s="31"/>
      <c r="N521" s="31">
        <v>1.1264367816091956</v>
      </c>
      <c r="O521" s="31">
        <v>1.1095890410958904</v>
      </c>
      <c r="P521" s="31"/>
      <c r="Q521" s="31"/>
      <c r="R521" s="31">
        <v>0.41491893499999999</v>
      </c>
      <c r="S521" s="31"/>
      <c r="T521" s="31"/>
      <c r="U521" s="31"/>
      <c r="V521" s="31"/>
      <c r="W521" s="31"/>
      <c r="X521" s="31"/>
      <c r="Y521" s="31"/>
      <c r="Z521" s="31"/>
      <c r="AA521" s="31"/>
      <c r="AB521" s="31"/>
      <c r="AC521" s="31">
        <v>0.52631578947368418</v>
      </c>
      <c r="AD521" s="31">
        <v>0.72263868065967019</v>
      </c>
      <c r="AE521" s="31"/>
      <c r="AF521" s="31"/>
      <c r="AG521" s="31"/>
      <c r="AH521" s="31"/>
      <c r="AI521" s="31"/>
      <c r="AJ521" s="31"/>
      <c r="AK521" s="433"/>
      <c r="AL521" s="31"/>
      <c r="AM521" s="31"/>
      <c r="AN521" s="31">
        <v>1.3659868365000001</v>
      </c>
      <c r="AO521" s="592">
        <v>0.98883161580000001</v>
      </c>
      <c r="AP521" s="31"/>
      <c r="AQ521" s="31"/>
      <c r="AR521" s="31"/>
      <c r="AS521" s="31"/>
      <c r="AT521" s="31"/>
      <c r="AU521" s="433"/>
    </row>
    <row r="522" spans="1:47" ht="15" customHeight="1" x14ac:dyDescent="0.2">
      <c r="A522" s="39">
        <f>acute_overview_children!A122</f>
        <v>4</v>
      </c>
      <c r="B522" s="23">
        <f>acute_overview_children!B122</f>
        <v>220030</v>
      </c>
      <c r="C522" s="23" t="str">
        <f>acute_overview_children!C122</f>
        <v>Shallots</v>
      </c>
      <c r="D522" s="38">
        <f t="shared" si="89"/>
        <v>4</v>
      </c>
      <c r="E522" s="31"/>
      <c r="F522" s="31"/>
      <c r="G522" s="31"/>
      <c r="H522" s="31"/>
      <c r="I522" s="31"/>
      <c r="J522" s="31"/>
      <c r="K522" s="31"/>
      <c r="L522" s="31"/>
      <c r="M522" s="31"/>
      <c r="N522" s="31">
        <v>0</v>
      </c>
      <c r="O522" s="31">
        <v>0</v>
      </c>
      <c r="P522" s="31"/>
      <c r="Q522" s="31"/>
      <c r="R522" s="31"/>
      <c r="S522" s="31"/>
      <c r="T522" s="31"/>
      <c r="U522" s="31"/>
      <c r="V522" s="31"/>
      <c r="W522" s="31"/>
      <c r="X522" s="31"/>
      <c r="Y522" s="31"/>
      <c r="Z522" s="31"/>
      <c r="AA522" s="31"/>
      <c r="AB522" s="31"/>
      <c r="AC522" s="31">
        <v>0</v>
      </c>
      <c r="AD522" s="31">
        <v>0</v>
      </c>
      <c r="AE522" s="31"/>
      <c r="AF522" s="31"/>
      <c r="AG522" s="31"/>
      <c r="AH522" s="31"/>
      <c r="AI522" s="31"/>
      <c r="AJ522" s="31"/>
      <c r="AK522" s="433"/>
      <c r="AL522" s="31"/>
      <c r="AM522" s="31"/>
      <c r="AN522" s="31"/>
      <c r="AO522" s="592"/>
      <c r="AP522" s="31"/>
      <c r="AQ522" s="31"/>
      <c r="AR522" s="31"/>
      <c r="AS522" s="31"/>
      <c r="AT522" s="31"/>
      <c r="AU522" s="433"/>
    </row>
    <row r="523" spans="1:47" ht="15" customHeight="1" x14ac:dyDescent="0.2">
      <c r="A523" s="39">
        <f>acute_overview_children!A123</f>
        <v>4</v>
      </c>
      <c r="B523" s="23">
        <f>acute_overview_children!B123</f>
        <v>220040</v>
      </c>
      <c r="C523" s="23" t="str">
        <f>acute_overview_children!C123</f>
        <v>Spring onions/green onions and Welsh onions</v>
      </c>
      <c r="D523" s="38">
        <f t="shared" si="89"/>
        <v>4</v>
      </c>
      <c r="E523" s="31"/>
      <c r="F523" s="31"/>
      <c r="G523" s="31"/>
      <c r="H523" s="31"/>
      <c r="I523" s="31"/>
      <c r="J523" s="31"/>
      <c r="K523" s="31"/>
      <c r="L523" s="31"/>
      <c r="M523" s="31"/>
      <c r="N523" s="31">
        <v>0</v>
      </c>
      <c r="O523" s="31">
        <v>0.15753424657534246</v>
      </c>
      <c r="P523" s="31"/>
      <c r="Q523" s="31"/>
      <c r="R523" s="31"/>
      <c r="S523" s="31"/>
      <c r="T523" s="31"/>
      <c r="U523" s="31"/>
      <c r="V523" s="31"/>
      <c r="W523" s="31"/>
      <c r="X523" s="31"/>
      <c r="Y523" s="31"/>
      <c r="Z523" s="31"/>
      <c r="AA523" s="31"/>
      <c r="AB523" s="31"/>
      <c r="AC523" s="31">
        <v>0.25</v>
      </c>
      <c r="AD523" s="31">
        <v>0.25037481259370314</v>
      </c>
      <c r="AE523" s="31"/>
      <c r="AF523" s="31"/>
      <c r="AG523" s="31"/>
      <c r="AH523" s="31"/>
      <c r="AI523" s="31"/>
      <c r="AJ523" s="31"/>
      <c r="AK523" s="433"/>
      <c r="AL523" s="31"/>
      <c r="AM523" s="31"/>
      <c r="AN523" s="31"/>
      <c r="AO523" s="592"/>
      <c r="AP523" s="31"/>
      <c r="AQ523" s="31"/>
      <c r="AR523" s="31"/>
      <c r="AS523" s="31"/>
      <c r="AT523" s="31"/>
      <c r="AU523" s="433"/>
    </row>
    <row r="524" spans="1:47" ht="15" customHeight="1" x14ac:dyDescent="0.2">
      <c r="A524" s="39">
        <f>acute_overview_children!A124</f>
        <v>4</v>
      </c>
      <c r="B524" s="23">
        <f>acute_overview_children!B124</f>
        <v>220990</v>
      </c>
      <c r="C524" s="23" t="str">
        <f>acute_overview_children!C124</f>
        <v>Other bulb vegetables</v>
      </c>
      <c r="D524" s="38">
        <f t="shared" si="89"/>
        <v>4</v>
      </c>
      <c r="E524" s="31"/>
      <c r="F524" s="31"/>
      <c r="G524" s="31"/>
      <c r="H524" s="31"/>
      <c r="I524" s="31"/>
      <c r="J524" s="31"/>
      <c r="K524" s="31"/>
      <c r="L524" s="31"/>
      <c r="M524" s="31"/>
      <c r="N524" s="31">
        <v>0</v>
      </c>
      <c r="O524" s="31">
        <v>0</v>
      </c>
      <c r="P524" s="31"/>
      <c r="Q524" s="31"/>
      <c r="R524" s="31"/>
      <c r="S524" s="31"/>
      <c r="T524" s="31"/>
      <c r="U524" s="31"/>
      <c r="V524" s="31"/>
      <c r="W524" s="31"/>
      <c r="X524" s="31"/>
      <c r="Y524" s="31"/>
      <c r="Z524" s="31"/>
      <c r="AA524" s="31"/>
      <c r="AB524" s="31"/>
      <c r="AC524" s="31">
        <v>0</v>
      </c>
      <c r="AD524" s="31">
        <v>0</v>
      </c>
      <c r="AE524" s="31"/>
      <c r="AF524" s="31"/>
      <c r="AG524" s="31"/>
      <c r="AH524" s="31"/>
      <c r="AI524" s="31"/>
      <c r="AJ524" s="31"/>
      <c r="AK524" s="433"/>
      <c r="AL524" s="31"/>
      <c r="AM524" s="31"/>
      <c r="AN524" s="31"/>
      <c r="AO524" s="592"/>
      <c r="AP524" s="31"/>
      <c r="AQ524" s="31"/>
      <c r="AR524" s="31"/>
      <c r="AS524" s="31"/>
      <c r="AT524" s="31"/>
      <c r="AU524" s="433"/>
    </row>
    <row r="525" spans="1:47" ht="15" customHeight="1" x14ac:dyDescent="0.2">
      <c r="A525" s="515">
        <f>acute_overview_children!A125</f>
        <v>2</v>
      </c>
      <c r="B525" s="24">
        <f>acute_overview_children!B125</f>
        <v>230000</v>
      </c>
      <c r="C525" s="24" t="str">
        <f>acute_overview_children!C125</f>
        <v>Fruiting vegetables</v>
      </c>
      <c r="D525" s="38">
        <f t="shared" si="89"/>
        <v>4</v>
      </c>
      <c r="E525" s="55"/>
      <c r="F525" s="55"/>
      <c r="G525" s="55"/>
      <c r="H525" s="55"/>
      <c r="I525" s="55"/>
      <c r="J525" s="55"/>
      <c r="K525" s="55"/>
      <c r="L525" s="55"/>
      <c r="M525" s="55"/>
      <c r="N525" s="55">
        <v>2.0574712643678161</v>
      </c>
      <c r="O525" s="55">
        <v>3.7465753424657535</v>
      </c>
      <c r="P525" s="55"/>
      <c r="Q525" s="55"/>
      <c r="R525" s="55"/>
      <c r="S525" s="55"/>
      <c r="T525" s="55"/>
      <c r="U525" s="55"/>
      <c r="V525" s="55"/>
      <c r="W525" s="55"/>
      <c r="X525" s="55"/>
      <c r="Y525" s="55"/>
      <c r="Z525" s="55"/>
      <c r="AA525" s="55"/>
      <c r="AB525" s="55"/>
      <c r="AC525" s="55">
        <v>1.976315789473684</v>
      </c>
      <c r="AD525" s="55">
        <v>3.1829085457271367</v>
      </c>
      <c r="AE525" s="55"/>
      <c r="AF525" s="55"/>
      <c r="AG525" s="55"/>
      <c r="AH525" s="55"/>
      <c r="AI525" s="55"/>
      <c r="AJ525" s="55"/>
      <c r="AK525" s="435"/>
      <c r="AL525" s="55"/>
      <c r="AM525" s="55"/>
      <c r="AN525" s="55"/>
      <c r="AO525" s="597"/>
      <c r="AP525" s="55"/>
      <c r="AQ525" s="55"/>
      <c r="AR525" s="55"/>
      <c r="AS525" s="55"/>
      <c r="AT525" s="55"/>
      <c r="AU525" s="435"/>
    </row>
    <row r="526" spans="1:47" ht="15" customHeight="1" x14ac:dyDescent="0.2">
      <c r="A526" s="132">
        <f>acute_overview_children!A126</f>
        <v>3</v>
      </c>
      <c r="B526" s="3">
        <f>acute_overview_children!B126</f>
        <v>231000</v>
      </c>
      <c r="C526" s="3" t="str">
        <f>acute_overview_children!C126</f>
        <v>Solanacea</v>
      </c>
      <c r="D526" s="38">
        <f t="shared" si="89"/>
        <v>4</v>
      </c>
      <c r="E526" s="48"/>
      <c r="F526" s="48"/>
      <c r="G526" s="48"/>
      <c r="H526" s="48"/>
      <c r="I526" s="48"/>
      <c r="J526" s="48"/>
      <c r="K526" s="48"/>
      <c r="L526" s="48"/>
      <c r="M526" s="48"/>
      <c r="N526" s="48">
        <v>0</v>
      </c>
      <c r="O526" s="48">
        <v>0</v>
      </c>
      <c r="P526" s="48"/>
      <c r="Q526" s="48"/>
      <c r="R526" s="48"/>
      <c r="S526" s="48"/>
      <c r="T526" s="48"/>
      <c r="U526" s="48"/>
      <c r="V526" s="48"/>
      <c r="W526" s="48"/>
      <c r="X526" s="48"/>
      <c r="Y526" s="48"/>
      <c r="Z526" s="48"/>
      <c r="AA526" s="48"/>
      <c r="AB526" s="48"/>
      <c r="AC526" s="48">
        <v>0</v>
      </c>
      <c r="AD526" s="48">
        <v>0</v>
      </c>
      <c r="AE526" s="48"/>
      <c r="AF526" s="48"/>
      <c r="AG526" s="48"/>
      <c r="AH526" s="48"/>
      <c r="AI526" s="48"/>
      <c r="AJ526" s="48"/>
      <c r="AK526" s="93"/>
      <c r="AL526" s="48"/>
      <c r="AM526" s="48"/>
      <c r="AN526" s="48"/>
      <c r="AO526" s="593"/>
      <c r="AP526" s="48"/>
      <c r="AQ526" s="48"/>
      <c r="AR526" s="48"/>
      <c r="AS526" s="48"/>
      <c r="AT526" s="48"/>
      <c r="AU526" s="93"/>
    </row>
    <row r="527" spans="1:47" ht="15" customHeight="1" x14ac:dyDescent="0.2">
      <c r="A527" s="39">
        <f>acute_overview_children!A127</f>
        <v>4</v>
      </c>
      <c r="B527" s="23">
        <f>acute_overview_children!B127</f>
        <v>231010</v>
      </c>
      <c r="C527" s="23" t="str">
        <f>acute_overview_children!C127</f>
        <v>Tomatoes</v>
      </c>
      <c r="D527" s="38">
        <f t="shared" si="89"/>
        <v>4</v>
      </c>
      <c r="E527" s="31"/>
      <c r="F527" s="31"/>
      <c r="G527" s="31"/>
      <c r="H527" s="31"/>
      <c r="I527" s="31"/>
      <c r="J527" s="31"/>
      <c r="K527" s="31"/>
      <c r="L527" s="31"/>
      <c r="M527" s="31"/>
      <c r="N527" s="31">
        <v>1.8275862068965518</v>
      </c>
      <c r="O527" s="31">
        <v>2.6164383561643838</v>
      </c>
      <c r="P527" s="31"/>
      <c r="Q527" s="31"/>
      <c r="R527" s="31">
        <v>1.8313953501</v>
      </c>
      <c r="S527" s="31"/>
      <c r="T527" s="31"/>
      <c r="U527" s="31"/>
      <c r="V527" s="31"/>
      <c r="W527" s="31"/>
      <c r="X527" s="31"/>
      <c r="Y527" s="31"/>
      <c r="Z527" s="31"/>
      <c r="AA527" s="31"/>
      <c r="AB527" s="31"/>
      <c r="AC527" s="31">
        <v>1.3776315789473685</v>
      </c>
      <c r="AD527" s="31">
        <v>1.7691154422788604</v>
      </c>
      <c r="AE527" s="31"/>
      <c r="AF527" s="31"/>
      <c r="AG527" s="31"/>
      <c r="AH527" s="31"/>
      <c r="AI527" s="31"/>
      <c r="AJ527" s="31"/>
      <c r="AK527" s="433"/>
      <c r="AL527" s="31"/>
      <c r="AM527" s="31"/>
      <c r="AN527" s="31">
        <v>3.4644196241</v>
      </c>
      <c r="AO527" s="592">
        <v>2.5779377206</v>
      </c>
      <c r="AP527" s="31"/>
      <c r="AQ527" s="31"/>
      <c r="AR527" s="31"/>
      <c r="AS527" s="31"/>
      <c r="AT527" s="31"/>
      <c r="AU527" s="433"/>
    </row>
    <row r="528" spans="1:47" ht="15" customHeight="1" x14ac:dyDescent="0.2">
      <c r="A528" s="39">
        <f>acute_overview_children!A128</f>
        <v>4</v>
      </c>
      <c r="B528" s="23">
        <f>acute_overview_children!B128</f>
        <v>231020</v>
      </c>
      <c r="C528" s="23" t="str">
        <f>acute_overview_children!C128</f>
        <v>Sweet peppers/bell peppers</v>
      </c>
      <c r="D528" s="38">
        <f t="shared" si="89"/>
        <v>4</v>
      </c>
      <c r="E528" s="31"/>
      <c r="F528" s="31"/>
      <c r="G528" s="31"/>
      <c r="H528" s="31"/>
      <c r="I528" s="31"/>
      <c r="J528" s="31"/>
      <c r="K528" s="31"/>
      <c r="L528" s="31"/>
      <c r="M528" s="31"/>
      <c r="N528" s="31">
        <v>0</v>
      </c>
      <c r="O528" s="31">
        <v>0.80136986301369861</v>
      </c>
      <c r="P528" s="31"/>
      <c r="Q528" s="31"/>
      <c r="R528" s="31">
        <v>0.30345500549999999</v>
      </c>
      <c r="S528" s="31"/>
      <c r="T528" s="31"/>
      <c r="U528" s="31"/>
      <c r="V528" s="31"/>
      <c r="W528" s="31"/>
      <c r="X528" s="31"/>
      <c r="Y528" s="31"/>
      <c r="Z528" s="31"/>
      <c r="AA528" s="31"/>
      <c r="AB528" s="31"/>
      <c r="AC528" s="31">
        <v>0.3697368421052632</v>
      </c>
      <c r="AD528" s="31">
        <v>0.60569715142428782</v>
      </c>
      <c r="AE528" s="31"/>
      <c r="AF528" s="31"/>
      <c r="AG528" s="31"/>
      <c r="AH528" s="31"/>
      <c r="AI528" s="31"/>
      <c r="AJ528" s="31"/>
      <c r="AK528" s="433"/>
      <c r="AL528" s="31"/>
      <c r="AM528" s="31"/>
      <c r="AN528" s="31">
        <v>0.95571094300000003</v>
      </c>
      <c r="AO528" s="592">
        <v>0.91042581369999998</v>
      </c>
      <c r="AP528" s="31"/>
      <c r="AQ528" s="31"/>
      <c r="AR528" s="31"/>
      <c r="AS528" s="31"/>
      <c r="AT528" s="31"/>
      <c r="AU528" s="433"/>
    </row>
    <row r="529" spans="1:47" ht="15" customHeight="1" x14ac:dyDescent="0.2">
      <c r="A529" s="39">
        <f>acute_overview_children!A129</f>
        <v>4</v>
      </c>
      <c r="B529" s="23">
        <f>acute_overview_children!B129</f>
        <v>231030</v>
      </c>
      <c r="C529" s="23" t="str">
        <f>acute_overview_children!C129</f>
        <v>Aubergines/egg plants</v>
      </c>
      <c r="D529" s="38">
        <f t="shared" si="89"/>
        <v>4</v>
      </c>
      <c r="E529" s="31"/>
      <c r="F529" s="31"/>
      <c r="G529" s="31"/>
      <c r="H529" s="31"/>
      <c r="I529" s="31"/>
      <c r="J529" s="31"/>
      <c r="K529" s="31"/>
      <c r="L529" s="31"/>
      <c r="M529" s="31"/>
      <c r="N529" s="31">
        <v>0</v>
      </c>
      <c r="O529" s="31">
        <v>1.5205479452054795</v>
      </c>
      <c r="P529" s="31"/>
      <c r="Q529" s="31"/>
      <c r="R529" s="31">
        <v>4.7138047799999999E-2</v>
      </c>
      <c r="S529" s="31"/>
      <c r="T529" s="31"/>
      <c r="U529" s="31"/>
      <c r="V529" s="31"/>
      <c r="W529" s="31"/>
      <c r="X529" s="31"/>
      <c r="Y529" s="31"/>
      <c r="Z529" s="31"/>
      <c r="AA529" s="31"/>
      <c r="AB529" s="31"/>
      <c r="AC529" s="31">
        <v>0.31578947368421051</v>
      </c>
      <c r="AD529" s="31">
        <v>0.61919040479760112</v>
      </c>
      <c r="AE529" s="31"/>
      <c r="AF529" s="31"/>
      <c r="AG529" s="31"/>
      <c r="AH529" s="31"/>
      <c r="AI529" s="31"/>
      <c r="AJ529" s="31"/>
      <c r="AK529" s="433"/>
      <c r="AL529" s="31"/>
      <c r="AM529" s="31"/>
      <c r="AN529" s="31"/>
      <c r="AO529" s="592">
        <v>0</v>
      </c>
      <c r="AP529" s="31"/>
      <c r="AQ529" s="31"/>
      <c r="AR529" s="31"/>
      <c r="AS529" s="31"/>
      <c r="AT529" s="31"/>
      <c r="AU529" s="433"/>
    </row>
    <row r="530" spans="1:47" ht="15" customHeight="1" x14ac:dyDescent="0.2">
      <c r="A530" s="39">
        <f>acute_overview_children!A130</f>
        <v>4</v>
      </c>
      <c r="B530" s="23">
        <f>acute_overview_children!B130</f>
        <v>231040</v>
      </c>
      <c r="C530" s="23" t="str">
        <f>acute_overview_children!C130</f>
        <v>Okra/lady’s fingers</v>
      </c>
      <c r="D530" s="38">
        <f t="shared" si="89"/>
        <v>4</v>
      </c>
      <c r="E530" s="31"/>
      <c r="F530" s="31"/>
      <c r="G530" s="31"/>
      <c r="H530" s="31"/>
      <c r="I530" s="31"/>
      <c r="J530" s="31"/>
      <c r="K530" s="31"/>
      <c r="L530" s="31"/>
      <c r="M530" s="31"/>
      <c r="N530" s="31">
        <v>0</v>
      </c>
      <c r="O530" s="31">
        <v>0</v>
      </c>
      <c r="P530" s="31"/>
      <c r="Q530" s="31"/>
      <c r="R530" s="31"/>
      <c r="S530" s="31"/>
      <c r="T530" s="31"/>
      <c r="U530" s="31"/>
      <c r="V530" s="31"/>
      <c r="W530" s="31"/>
      <c r="X530" s="31"/>
      <c r="Y530" s="31"/>
      <c r="Z530" s="31"/>
      <c r="AA530" s="31"/>
      <c r="AB530" s="31"/>
      <c r="AC530" s="31">
        <v>0</v>
      </c>
      <c r="AD530" s="31">
        <v>0</v>
      </c>
      <c r="AE530" s="31"/>
      <c r="AF530" s="31"/>
      <c r="AG530" s="31"/>
      <c r="AH530" s="31"/>
      <c r="AI530" s="31"/>
      <c r="AJ530" s="31"/>
      <c r="AK530" s="433"/>
      <c r="AL530" s="31"/>
      <c r="AM530" s="31"/>
      <c r="AN530" s="31"/>
      <c r="AO530" s="592"/>
      <c r="AP530" s="31"/>
      <c r="AQ530" s="31"/>
      <c r="AR530" s="31"/>
      <c r="AS530" s="31"/>
      <c r="AT530" s="31"/>
      <c r="AU530" s="433"/>
    </row>
    <row r="531" spans="1:47" ht="15" customHeight="1" x14ac:dyDescent="0.2">
      <c r="A531" s="39">
        <f>acute_overview_children!A131</f>
        <v>4</v>
      </c>
      <c r="B531" s="23">
        <f>acute_overview_children!B131</f>
        <v>231990</v>
      </c>
      <c r="C531" s="23" t="str">
        <f>acute_overview_children!C131</f>
        <v>Other solanacea</v>
      </c>
      <c r="D531" s="38">
        <f t="shared" si="89"/>
        <v>4</v>
      </c>
      <c r="E531" s="31"/>
      <c r="F531" s="31"/>
      <c r="G531" s="31"/>
      <c r="H531" s="31"/>
      <c r="I531" s="31"/>
      <c r="J531" s="31"/>
      <c r="K531" s="31"/>
      <c r="L531" s="31"/>
      <c r="M531" s="31"/>
      <c r="N531" s="31">
        <v>0</v>
      </c>
      <c r="O531" s="31">
        <v>0</v>
      </c>
      <c r="P531" s="31"/>
      <c r="Q531" s="31"/>
      <c r="R531" s="31"/>
      <c r="S531" s="31"/>
      <c r="T531" s="31"/>
      <c r="U531" s="31"/>
      <c r="V531" s="31"/>
      <c r="W531" s="31"/>
      <c r="X531" s="31"/>
      <c r="Y531" s="31"/>
      <c r="Z531" s="31"/>
      <c r="AA531" s="31"/>
      <c r="AB531" s="31"/>
      <c r="AC531" s="31">
        <v>0</v>
      </c>
      <c r="AD531" s="31">
        <v>0</v>
      </c>
      <c r="AE531" s="31"/>
      <c r="AF531" s="31"/>
      <c r="AG531" s="31"/>
      <c r="AH531" s="31"/>
      <c r="AI531" s="31"/>
      <c r="AJ531" s="31"/>
      <c r="AK531" s="433"/>
      <c r="AL531" s="31"/>
      <c r="AM531" s="31"/>
      <c r="AN531" s="31"/>
      <c r="AO531" s="592"/>
      <c r="AP531" s="31"/>
      <c r="AQ531" s="31"/>
      <c r="AR531" s="31"/>
      <c r="AS531" s="31"/>
      <c r="AT531" s="31"/>
      <c r="AU531" s="433"/>
    </row>
    <row r="532" spans="1:47" ht="15" customHeight="1" x14ac:dyDescent="0.2">
      <c r="A532" s="132">
        <f>acute_overview_children!A132</f>
        <v>3</v>
      </c>
      <c r="B532" s="3">
        <f>acute_overview_children!B132</f>
        <v>232000</v>
      </c>
      <c r="C532" s="3" t="str">
        <f>acute_overview_children!C132</f>
        <v>Cucurbits - edible peel</v>
      </c>
      <c r="D532" s="38">
        <f t="shared" si="89"/>
        <v>4</v>
      </c>
      <c r="E532" s="48"/>
      <c r="F532" s="48"/>
      <c r="G532" s="48"/>
      <c r="H532" s="48"/>
      <c r="I532" s="48"/>
      <c r="J532" s="48"/>
      <c r="K532" s="48"/>
      <c r="L532" s="48"/>
      <c r="M532" s="48"/>
      <c r="N532" s="48">
        <v>0</v>
      </c>
      <c r="O532" s="48">
        <v>0</v>
      </c>
      <c r="P532" s="48"/>
      <c r="Q532" s="48"/>
      <c r="R532" s="48"/>
      <c r="S532" s="48"/>
      <c r="T532" s="48"/>
      <c r="U532" s="48"/>
      <c r="V532" s="48"/>
      <c r="W532" s="48"/>
      <c r="X532" s="48"/>
      <c r="Y532" s="48"/>
      <c r="Z532" s="48"/>
      <c r="AA532" s="48"/>
      <c r="AB532" s="48"/>
      <c r="AC532" s="48">
        <v>0</v>
      </c>
      <c r="AD532" s="48">
        <v>0</v>
      </c>
      <c r="AE532" s="48"/>
      <c r="AF532" s="48"/>
      <c r="AG532" s="48"/>
      <c r="AH532" s="48"/>
      <c r="AI532" s="48"/>
      <c r="AJ532" s="48"/>
      <c r="AK532" s="93"/>
      <c r="AL532" s="48"/>
      <c r="AM532" s="48"/>
      <c r="AN532" s="48"/>
      <c r="AO532" s="593"/>
      <c r="AP532" s="48"/>
      <c r="AQ532" s="48"/>
      <c r="AR532" s="48"/>
      <c r="AS532" s="48"/>
      <c r="AT532" s="48"/>
      <c r="AU532" s="93"/>
    </row>
    <row r="533" spans="1:47" ht="15" customHeight="1" x14ac:dyDescent="0.2">
      <c r="A533" s="39">
        <f>acute_overview_children!A133</f>
        <v>4</v>
      </c>
      <c r="B533" s="23">
        <f>acute_overview_children!B133</f>
        <v>232010</v>
      </c>
      <c r="C533" s="23" t="str">
        <f>acute_overview_children!C133</f>
        <v>Cucumbers</v>
      </c>
      <c r="D533" s="38">
        <f t="shared" si="89"/>
        <v>4</v>
      </c>
      <c r="E533" s="31"/>
      <c r="F533" s="31"/>
      <c r="G533" s="31"/>
      <c r="H533" s="31"/>
      <c r="I533" s="31"/>
      <c r="J533" s="31"/>
      <c r="K533" s="31"/>
      <c r="L533" s="31"/>
      <c r="M533" s="31"/>
      <c r="N533" s="31">
        <v>0.21839080459770116</v>
      </c>
      <c r="O533" s="31">
        <v>2.404109589041096</v>
      </c>
      <c r="P533" s="31"/>
      <c r="Q533" s="31"/>
      <c r="R533" s="31">
        <v>1.2420382165999999</v>
      </c>
      <c r="S533" s="31"/>
      <c r="T533" s="31"/>
      <c r="U533" s="31"/>
      <c r="V533" s="31"/>
      <c r="W533" s="31"/>
      <c r="X533" s="31"/>
      <c r="Y533" s="31"/>
      <c r="Z533" s="31"/>
      <c r="AA533" s="31"/>
      <c r="AB533" s="31"/>
      <c r="AC533" s="31">
        <v>0.40657894736842104</v>
      </c>
      <c r="AD533" s="31">
        <v>0.54572713643178405</v>
      </c>
      <c r="AE533" s="31"/>
      <c r="AF533" s="31"/>
      <c r="AG533" s="31"/>
      <c r="AH533" s="31"/>
      <c r="AI533" s="31"/>
      <c r="AJ533" s="31"/>
      <c r="AK533" s="433"/>
      <c r="AL533" s="31"/>
      <c r="AM533" s="31"/>
      <c r="AN533" s="31">
        <v>4.4776120678</v>
      </c>
      <c r="AO533" s="592">
        <v>3.2716049382999999</v>
      </c>
      <c r="AP533" s="31"/>
      <c r="AQ533" s="31"/>
      <c r="AR533" s="31"/>
      <c r="AS533" s="31"/>
      <c r="AT533" s="31"/>
      <c r="AU533" s="433"/>
    </row>
    <row r="534" spans="1:47" ht="15" customHeight="1" x14ac:dyDescent="0.2">
      <c r="A534" s="39">
        <f>acute_overview_children!A134</f>
        <v>4</v>
      </c>
      <c r="B534" s="23">
        <f>acute_overview_children!B134</f>
        <v>232020</v>
      </c>
      <c r="C534" s="23" t="str">
        <f>acute_overview_children!C134</f>
        <v>Gherkins</v>
      </c>
      <c r="D534" s="38">
        <f t="shared" si="89"/>
        <v>4</v>
      </c>
      <c r="E534" s="31"/>
      <c r="F534" s="31"/>
      <c r="G534" s="31"/>
      <c r="H534" s="31"/>
      <c r="I534" s="31"/>
      <c r="J534" s="31"/>
      <c r="K534" s="31"/>
      <c r="L534" s="31"/>
      <c r="M534" s="31"/>
      <c r="N534" s="31">
        <v>0</v>
      </c>
      <c r="O534" s="31">
        <v>0</v>
      </c>
      <c r="P534" s="31"/>
      <c r="Q534" s="31"/>
      <c r="R534" s="31"/>
      <c r="S534" s="31"/>
      <c r="T534" s="31"/>
      <c r="U534" s="31"/>
      <c r="V534" s="31"/>
      <c r="W534" s="31"/>
      <c r="X534" s="31"/>
      <c r="Y534" s="31"/>
      <c r="Z534" s="31"/>
      <c r="AA534" s="31"/>
      <c r="AB534" s="31"/>
      <c r="AC534" s="31">
        <v>0</v>
      </c>
      <c r="AD534" s="31">
        <v>0</v>
      </c>
      <c r="AE534" s="31"/>
      <c r="AF534" s="31"/>
      <c r="AG534" s="31"/>
      <c r="AH534" s="31"/>
      <c r="AI534" s="31"/>
      <c r="AJ534" s="31"/>
      <c r="AK534" s="433"/>
      <c r="AL534" s="31"/>
      <c r="AM534" s="31"/>
      <c r="AN534" s="31"/>
      <c r="AO534" s="592"/>
      <c r="AP534" s="31"/>
      <c r="AQ534" s="31"/>
      <c r="AR534" s="31"/>
      <c r="AS534" s="31"/>
      <c r="AT534" s="31"/>
      <c r="AU534" s="433"/>
    </row>
    <row r="535" spans="1:47" ht="15" customHeight="1" x14ac:dyDescent="0.2">
      <c r="A535" s="39">
        <f>acute_overview_children!A135</f>
        <v>4</v>
      </c>
      <c r="B535" s="23">
        <f>acute_overview_children!B135</f>
        <v>232030</v>
      </c>
      <c r="C535" s="23" t="str">
        <f>acute_overview_children!C135</f>
        <v>Courgettes</v>
      </c>
      <c r="D535" s="38">
        <f t="shared" si="89"/>
        <v>4</v>
      </c>
      <c r="E535" s="31"/>
      <c r="F535" s="31"/>
      <c r="G535" s="31"/>
      <c r="H535" s="31"/>
      <c r="I535" s="31"/>
      <c r="J535" s="31"/>
      <c r="K535" s="31"/>
      <c r="L535" s="31"/>
      <c r="M535" s="31"/>
      <c r="N535" s="31">
        <v>1.4827586206896552</v>
      </c>
      <c r="O535" s="31">
        <v>2.3561643835616439</v>
      </c>
      <c r="P535" s="31"/>
      <c r="Q535" s="31"/>
      <c r="R535" s="31">
        <v>0.1845238109</v>
      </c>
      <c r="S535" s="31"/>
      <c r="T535" s="31"/>
      <c r="U535" s="31"/>
      <c r="V535" s="31"/>
      <c r="W535" s="31"/>
      <c r="X535" s="31"/>
      <c r="Y535" s="31"/>
      <c r="Z535" s="31"/>
      <c r="AA535" s="31"/>
      <c r="AB535" s="31"/>
      <c r="AC535" s="31">
        <v>0.41973684210526313</v>
      </c>
      <c r="AD535" s="31">
        <v>0.55622188905547221</v>
      </c>
      <c r="AE535" s="31"/>
      <c r="AF535" s="31"/>
      <c r="AG535" s="31"/>
      <c r="AH535" s="31"/>
      <c r="AI535" s="31"/>
      <c r="AJ535" s="31"/>
      <c r="AK535" s="433"/>
      <c r="AL535" s="31"/>
      <c r="AM535" s="31"/>
      <c r="AN535" s="31">
        <v>0.2717391361</v>
      </c>
      <c r="AO535" s="592">
        <v>0.24319804710000001</v>
      </c>
      <c r="AP535" s="31"/>
      <c r="AQ535" s="31"/>
      <c r="AR535" s="31"/>
      <c r="AS535" s="31"/>
      <c r="AT535" s="31"/>
      <c r="AU535" s="433"/>
    </row>
    <row r="536" spans="1:47" ht="15" customHeight="1" x14ac:dyDescent="0.2">
      <c r="A536" s="39">
        <f>acute_overview_children!A136</f>
        <v>4</v>
      </c>
      <c r="B536" s="23">
        <f>acute_overview_children!B136</f>
        <v>232990</v>
      </c>
      <c r="C536" s="23" t="str">
        <f>acute_overview_children!C136</f>
        <v>Other cucurbits - edible peel</v>
      </c>
      <c r="D536" s="38">
        <f t="shared" si="89"/>
        <v>4</v>
      </c>
      <c r="E536" s="31"/>
      <c r="F536" s="31"/>
      <c r="G536" s="31"/>
      <c r="H536" s="31"/>
      <c r="I536" s="31"/>
      <c r="J536" s="31"/>
      <c r="K536" s="31"/>
      <c r="L536" s="31"/>
      <c r="M536" s="31"/>
      <c r="N536" s="31">
        <v>0</v>
      </c>
      <c r="O536" s="31">
        <v>0</v>
      </c>
      <c r="P536" s="31"/>
      <c r="Q536" s="31"/>
      <c r="R536" s="31"/>
      <c r="S536" s="31"/>
      <c r="T536" s="31"/>
      <c r="U536" s="31"/>
      <c r="V536" s="31"/>
      <c r="W536" s="31"/>
      <c r="X536" s="31"/>
      <c r="Y536" s="31"/>
      <c r="Z536" s="31"/>
      <c r="AA536" s="31"/>
      <c r="AB536" s="31"/>
      <c r="AC536" s="31">
        <v>0</v>
      </c>
      <c r="AD536" s="31">
        <v>0</v>
      </c>
      <c r="AE536" s="31"/>
      <c r="AF536" s="31"/>
      <c r="AG536" s="31"/>
      <c r="AH536" s="31"/>
      <c r="AI536" s="31"/>
      <c r="AJ536" s="31"/>
      <c r="AK536" s="433"/>
      <c r="AL536" s="31"/>
      <c r="AM536" s="31"/>
      <c r="AN536" s="31"/>
      <c r="AO536" s="592"/>
      <c r="AP536" s="31"/>
      <c r="AQ536" s="31"/>
      <c r="AR536" s="31"/>
      <c r="AS536" s="31"/>
      <c r="AT536" s="31"/>
      <c r="AU536" s="433"/>
    </row>
    <row r="537" spans="1:47" ht="15" customHeight="1" x14ac:dyDescent="0.2">
      <c r="A537" s="132">
        <f>acute_overview_children!A137</f>
        <v>3</v>
      </c>
      <c r="B537" s="3">
        <f>acute_overview_children!B137</f>
        <v>233000</v>
      </c>
      <c r="C537" s="3" t="str">
        <f>acute_overview_children!C137</f>
        <v>Cucurbits - inedible peel</v>
      </c>
      <c r="D537" s="38">
        <f t="shared" si="89"/>
        <v>4</v>
      </c>
      <c r="E537" s="48"/>
      <c r="F537" s="48"/>
      <c r="G537" s="48"/>
      <c r="H537" s="48"/>
      <c r="I537" s="48"/>
      <c r="J537" s="48"/>
      <c r="K537" s="48"/>
      <c r="L537" s="48"/>
      <c r="M537" s="48"/>
      <c r="N537" s="48">
        <v>0</v>
      </c>
      <c r="O537" s="48">
        <v>0</v>
      </c>
      <c r="P537" s="48"/>
      <c r="Q537" s="48"/>
      <c r="R537" s="48"/>
      <c r="S537" s="48"/>
      <c r="T537" s="48"/>
      <c r="U537" s="48"/>
      <c r="V537" s="48"/>
      <c r="W537" s="48"/>
      <c r="X537" s="48"/>
      <c r="Y537" s="48"/>
      <c r="Z537" s="48"/>
      <c r="AA537" s="48"/>
      <c r="AB537" s="48"/>
      <c r="AC537" s="48">
        <v>0</v>
      </c>
      <c r="AD537" s="48">
        <v>0</v>
      </c>
      <c r="AE537" s="48"/>
      <c r="AF537" s="48"/>
      <c r="AG537" s="48"/>
      <c r="AH537" s="48"/>
      <c r="AI537" s="48"/>
      <c r="AJ537" s="48"/>
      <c r="AK537" s="93"/>
      <c r="AL537" s="48"/>
      <c r="AM537" s="48"/>
      <c r="AN537" s="48"/>
      <c r="AO537" s="593"/>
      <c r="AP537" s="48"/>
      <c r="AQ537" s="48"/>
      <c r="AR537" s="48"/>
      <c r="AS537" s="48"/>
      <c r="AT537" s="48"/>
      <c r="AU537" s="93"/>
    </row>
    <row r="538" spans="1:47" ht="15" customHeight="1" x14ac:dyDescent="0.2">
      <c r="A538" s="39">
        <f>acute_overview_children!A138</f>
        <v>4</v>
      </c>
      <c r="B538" s="23">
        <f>acute_overview_children!B138</f>
        <v>233010</v>
      </c>
      <c r="C538" s="23" t="str">
        <f>acute_overview_children!C138</f>
        <v>Melons</v>
      </c>
      <c r="D538" s="38">
        <f t="shared" si="89"/>
        <v>4</v>
      </c>
      <c r="E538" s="31"/>
      <c r="F538" s="31"/>
      <c r="G538" s="31"/>
      <c r="H538" s="31"/>
      <c r="I538" s="31"/>
      <c r="J538" s="31"/>
      <c r="K538" s="31"/>
      <c r="L538" s="31"/>
      <c r="M538" s="31"/>
      <c r="N538" s="31">
        <v>3.0459770114942533</v>
      </c>
      <c r="O538" s="31">
        <v>5.2054794520547949</v>
      </c>
      <c r="P538" s="31"/>
      <c r="Q538" s="31"/>
      <c r="R538" s="31">
        <v>0</v>
      </c>
      <c r="S538" s="31"/>
      <c r="T538" s="31"/>
      <c r="U538" s="31"/>
      <c r="V538" s="31"/>
      <c r="W538" s="31"/>
      <c r="X538" s="31"/>
      <c r="Y538" s="31"/>
      <c r="Z538" s="31"/>
      <c r="AA538" s="31"/>
      <c r="AB538" s="31"/>
      <c r="AC538" s="31">
        <v>2.4710526315789476</v>
      </c>
      <c r="AD538" s="31">
        <v>2.5382308845577213</v>
      </c>
      <c r="AE538" s="31"/>
      <c r="AF538" s="31"/>
      <c r="AG538" s="31"/>
      <c r="AH538" s="31"/>
      <c r="AI538" s="31"/>
      <c r="AJ538" s="31"/>
      <c r="AK538" s="433"/>
      <c r="AL538" s="31"/>
      <c r="AM538" s="31"/>
      <c r="AN538" s="31">
        <v>0</v>
      </c>
      <c r="AO538" s="592">
        <v>1.8753303999999998E-2</v>
      </c>
      <c r="AP538" s="31"/>
      <c r="AQ538" s="31"/>
      <c r="AR538" s="31"/>
      <c r="AS538" s="31"/>
      <c r="AT538" s="31"/>
      <c r="AU538" s="433"/>
    </row>
    <row r="539" spans="1:47" ht="15" customHeight="1" x14ac:dyDescent="0.2">
      <c r="A539" s="39">
        <f>acute_overview_children!A139</f>
        <v>4</v>
      </c>
      <c r="B539" s="23">
        <f>acute_overview_children!B139</f>
        <v>233020</v>
      </c>
      <c r="C539" s="23" t="str">
        <f>acute_overview_children!C139</f>
        <v>Pumpkins</v>
      </c>
      <c r="D539" s="38">
        <f t="shared" si="89"/>
        <v>4</v>
      </c>
      <c r="E539" s="31"/>
      <c r="F539" s="31"/>
      <c r="G539" s="31"/>
      <c r="H539" s="31"/>
      <c r="I539" s="31"/>
      <c r="J539" s="31"/>
      <c r="K539" s="31"/>
      <c r="L539" s="31"/>
      <c r="M539" s="31"/>
      <c r="N539" s="31">
        <v>0</v>
      </c>
      <c r="O539" s="31">
        <v>0</v>
      </c>
      <c r="P539" s="31"/>
      <c r="Q539" s="31"/>
      <c r="R539" s="31"/>
      <c r="S539" s="31"/>
      <c r="T539" s="31"/>
      <c r="U539" s="31"/>
      <c r="V539" s="31"/>
      <c r="W539" s="31"/>
      <c r="X539" s="31"/>
      <c r="Y539" s="31"/>
      <c r="Z539" s="31"/>
      <c r="AA539" s="31"/>
      <c r="AB539" s="31"/>
      <c r="AC539" s="31">
        <v>0.53947368421052633</v>
      </c>
      <c r="AD539" s="31">
        <v>0.20389805097451272</v>
      </c>
      <c r="AE539" s="31"/>
      <c r="AF539" s="31"/>
      <c r="AG539" s="31"/>
      <c r="AH539" s="31"/>
      <c r="AI539" s="31"/>
      <c r="AJ539" s="31"/>
      <c r="AK539" s="433"/>
      <c r="AL539" s="31"/>
      <c r="AM539" s="31"/>
      <c r="AN539" s="31"/>
      <c r="AO539" s="592"/>
      <c r="AP539" s="31"/>
      <c r="AQ539" s="31"/>
      <c r="AR539" s="31"/>
      <c r="AS539" s="31"/>
      <c r="AT539" s="31"/>
      <c r="AU539" s="433"/>
    </row>
    <row r="540" spans="1:47" ht="15" customHeight="1" x14ac:dyDescent="0.2">
      <c r="A540" s="39">
        <f>acute_overview_children!A140</f>
        <v>4</v>
      </c>
      <c r="B540" s="23">
        <f>acute_overview_children!B140</f>
        <v>233030</v>
      </c>
      <c r="C540" s="23" t="str">
        <f>acute_overview_children!C140</f>
        <v>Watermelons</v>
      </c>
      <c r="D540" s="38">
        <f t="shared" si="89"/>
        <v>4</v>
      </c>
      <c r="E540" s="31"/>
      <c r="F540" s="31"/>
      <c r="G540" s="31"/>
      <c r="H540" s="31"/>
      <c r="I540" s="31"/>
      <c r="J540" s="31"/>
      <c r="K540" s="31"/>
      <c r="L540" s="31"/>
      <c r="M540" s="31"/>
      <c r="N540" s="31">
        <v>0</v>
      </c>
      <c r="O540" s="31">
        <v>0</v>
      </c>
      <c r="P540" s="31"/>
      <c r="Q540" s="31"/>
      <c r="R540" s="31">
        <v>0.181598063</v>
      </c>
      <c r="S540" s="31"/>
      <c r="T540" s="31"/>
      <c r="U540" s="31"/>
      <c r="V540" s="31"/>
      <c r="W540" s="31"/>
      <c r="X540" s="31"/>
      <c r="Y540" s="31"/>
      <c r="Z540" s="31"/>
      <c r="AA540" s="31"/>
      <c r="AB540" s="31"/>
      <c r="AC540" s="31">
        <v>0</v>
      </c>
      <c r="AD540" s="31">
        <v>0</v>
      </c>
      <c r="AE540" s="31"/>
      <c r="AF540" s="31"/>
      <c r="AG540" s="31"/>
      <c r="AH540" s="31"/>
      <c r="AI540" s="31"/>
      <c r="AJ540" s="31"/>
      <c r="AK540" s="433"/>
      <c r="AL540" s="31"/>
      <c r="AM540" s="31"/>
      <c r="AN540" s="31">
        <v>4.2517007354</v>
      </c>
      <c r="AO540" s="592">
        <v>2.2624433999</v>
      </c>
      <c r="AP540" s="31"/>
      <c r="AQ540" s="31"/>
      <c r="AR540" s="31"/>
      <c r="AS540" s="31"/>
      <c r="AT540" s="31"/>
      <c r="AU540" s="433"/>
    </row>
    <row r="541" spans="1:47" ht="15" customHeight="1" x14ac:dyDescent="0.2">
      <c r="A541" s="39">
        <f>acute_overview_children!A141</f>
        <v>4</v>
      </c>
      <c r="B541" s="23">
        <f>acute_overview_children!B141</f>
        <v>233990</v>
      </c>
      <c r="C541" s="23" t="str">
        <f>acute_overview_children!C141</f>
        <v>Other cucurbits - inedible peel</v>
      </c>
      <c r="D541" s="38">
        <f t="shared" ref="D541:D604" si="90">D141</f>
        <v>4</v>
      </c>
      <c r="E541" s="31"/>
      <c r="F541" s="31"/>
      <c r="G541" s="31"/>
      <c r="H541" s="31"/>
      <c r="I541" s="31"/>
      <c r="J541" s="31"/>
      <c r="K541" s="31"/>
      <c r="L541" s="31"/>
      <c r="M541" s="31"/>
      <c r="N541" s="31">
        <v>0</v>
      </c>
      <c r="O541" s="31">
        <v>0</v>
      </c>
      <c r="P541" s="31"/>
      <c r="Q541" s="31"/>
      <c r="R541" s="31"/>
      <c r="S541" s="31"/>
      <c r="T541" s="31"/>
      <c r="U541" s="31"/>
      <c r="V541" s="31"/>
      <c r="W541" s="31"/>
      <c r="X541" s="31"/>
      <c r="Y541" s="31"/>
      <c r="Z541" s="31"/>
      <c r="AA541" s="31"/>
      <c r="AB541" s="31"/>
      <c r="AC541" s="31">
        <v>0</v>
      </c>
      <c r="AD541" s="31">
        <v>0</v>
      </c>
      <c r="AE541" s="31"/>
      <c r="AF541" s="31"/>
      <c r="AG541" s="31"/>
      <c r="AH541" s="31"/>
      <c r="AI541" s="31"/>
      <c r="AJ541" s="31"/>
      <c r="AK541" s="433"/>
      <c r="AL541" s="31"/>
      <c r="AM541" s="31"/>
      <c r="AN541" s="31"/>
      <c r="AO541" s="592"/>
      <c r="AP541" s="31"/>
      <c r="AQ541" s="31"/>
      <c r="AR541" s="31"/>
      <c r="AS541" s="31"/>
      <c r="AT541" s="31"/>
      <c r="AU541" s="433"/>
    </row>
    <row r="542" spans="1:47" ht="15" customHeight="1" x14ac:dyDescent="0.2">
      <c r="A542" s="132">
        <f>acute_overview_children!A142</f>
        <v>3</v>
      </c>
      <c r="B542" s="3">
        <f>acute_overview_children!B142</f>
        <v>234000</v>
      </c>
      <c r="C542" s="3" t="str">
        <f>acute_overview_children!C142</f>
        <v>Sweet corn</v>
      </c>
      <c r="D542" s="38">
        <f t="shared" si="90"/>
        <v>3</v>
      </c>
      <c r="E542" s="48"/>
      <c r="F542" s="48"/>
      <c r="G542" s="48"/>
      <c r="H542" s="48"/>
      <c r="I542" s="48"/>
      <c r="J542" s="48"/>
      <c r="K542" s="48"/>
      <c r="L542" s="48"/>
      <c r="M542" s="48"/>
      <c r="N542" s="48">
        <v>1.0114942528735633</v>
      </c>
      <c r="O542" s="48">
        <v>2.2534246575342465</v>
      </c>
      <c r="P542" s="48"/>
      <c r="Q542" s="48"/>
      <c r="R542" s="48">
        <v>0.13766519820000001</v>
      </c>
      <c r="S542" s="48"/>
      <c r="T542" s="48"/>
      <c r="U542" s="48"/>
      <c r="V542" s="48"/>
      <c r="W542" s="48"/>
      <c r="X542" s="48"/>
      <c r="Y542" s="48"/>
      <c r="Z542" s="48"/>
      <c r="AA542" s="48"/>
      <c r="AB542" s="48"/>
      <c r="AC542" s="48">
        <v>0.51710526315789473</v>
      </c>
      <c r="AD542" s="48">
        <v>0.56821589205397294</v>
      </c>
      <c r="AE542" s="48"/>
      <c r="AF542" s="48"/>
      <c r="AG542" s="48"/>
      <c r="AH542" s="48"/>
      <c r="AI542" s="48"/>
      <c r="AJ542" s="48"/>
      <c r="AK542" s="93"/>
      <c r="AL542" s="48"/>
      <c r="AM542" s="48"/>
      <c r="AN542" s="48">
        <v>0.56547620909999996</v>
      </c>
      <c r="AO542" s="593">
        <v>0.2171428544</v>
      </c>
      <c r="AP542" s="48"/>
      <c r="AQ542" s="48"/>
      <c r="AR542" s="48"/>
      <c r="AS542" s="48"/>
      <c r="AT542" s="48"/>
      <c r="AU542" s="93"/>
    </row>
    <row r="543" spans="1:47" ht="15" customHeight="1" x14ac:dyDescent="0.2">
      <c r="A543" s="132">
        <f>acute_overview_children!A143</f>
        <v>3</v>
      </c>
      <c r="B543" s="3">
        <f>acute_overview_children!B143</f>
        <v>239000</v>
      </c>
      <c r="C543" s="3" t="str">
        <f>acute_overview_children!C143</f>
        <v xml:space="preserve">Other fruiting vegetables </v>
      </c>
      <c r="D543" s="38">
        <f t="shared" si="90"/>
        <v>4</v>
      </c>
      <c r="E543" s="48"/>
      <c r="F543" s="48"/>
      <c r="G543" s="48"/>
      <c r="H543" s="48"/>
      <c r="I543" s="48"/>
      <c r="J543" s="48"/>
      <c r="K543" s="48"/>
      <c r="L543" s="48"/>
      <c r="M543" s="48"/>
      <c r="N543" s="48">
        <v>0</v>
      </c>
      <c r="O543" s="48">
        <v>0</v>
      </c>
      <c r="P543" s="48"/>
      <c r="Q543" s="48"/>
      <c r="R543" s="48"/>
      <c r="S543" s="48"/>
      <c r="T543" s="48"/>
      <c r="U543" s="48"/>
      <c r="V543" s="48"/>
      <c r="W543" s="48"/>
      <c r="X543" s="48"/>
      <c r="Y543" s="48"/>
      <c r="Z543" s="48"/>
      <c r="AA543" s="48"/>
      <c r="AB543" s="48"/>
      <c r="AC543" s="48">
        <v>0</v>
      </c>
      <c r="AD543" s="48">
        <v>0</v>
      </c>
      <c r="AE543" s="48"/>
      <c r="AF543" s="48"/>
      <c r="AG543" s="48"/>
      <c r="AH543" s="48"/>
      <c r="AI543" s="48"/>
      <c r="AJ543" s="48"/>
      <c r="AK543" s="93"/>
      <c r="AL543" s="48"/>
      <c r="AM543" s="48"/>
      <c r="AN543" s="48"/>
      <c r="AO543" s="593"/>
      <c r="AP543" s="48"/>
      <c r="AQ543" s="48"/>
      <c r="AR543" s="48"/>
      <c r="AS543" s="48"/>
      <c r="AT543" s="48"/>
      <c r="AU543" s="93"/>
    </row>
    <row r="544" spans="1:47" ht="15" customHeight="1" x14ac:dyDescent="0.2">
      <c r="A544" s="515">
        <f>acute_overview_children!A144</f>
        <v>2</v>
      </c>
      <c r="B544" s="24">
        <f>acute_overview_children!B144</f>
        <v>240000</v>
      </c>
      <c r="C544" s="24" t="str">
        <f>acute_overview_children!C144</f>
        <v>Brassica vegetables</v>
      </c>
      <c r="D544" s="38">
        <f t="shared" si="90"/>
        <v>4</v>
      </c>
      <c r="E544" s="55"/>
      <c r="F544" s="55"/>
      <c r="G544" s="55"/>
      <c r="H544" s="55"/>
      <c r="I544" s="55"/>
      <c r="J544" s="55"/>
      <c r="K544" s="55"/>
      <c r="L544" s="55"/>
      <c r="M544" s="55"/>
      <c r="N544" s="55">
        <v>3.7126436781609193</v>
      </c>
      <c r="O544" s="55">
        <v>2.4931506849315066</v>
      </c>
      <c r="P544" s="55"/>
      <c r="Q544" s="55"/>
      <c r="R544" s="55"/>
      <c r="S544" s="55"/>
      <c r="T544" s="55"/>
      <c r="U544" s="55"/>
      <c r="V544" s="55"/>
      <c r="W544" s="55"/>
      <c r="X544" s="55"/>
      <c r="Y544" s="55"/>
      <c r="Z544" s="55"/>
      <c r="AA544" s="55"/>
      <c r="AB544" s="55"/>
      <c r="AC544" s="55">
        <v>1.1368421052631579</v>
      </c>
      <c r="AD544" s="55">
        <v>1.6131934032983506</v>
      </c>
      <c r="AE544" s="55"/>
      <c r="AF544" s="55"/>
      <c r="AG544" s="55"/>
      <c r="AH544" s="55"/>
      <c r="AI544" s="55"/>
      <c r="AJ544" s="55"/>
      <c r="AK544" s="435"/>
      <c r="AL544" s="55"/>
      <c r="AM544" s="55"/>
      <c r="AN544" s="55"/>
      <c r="AO544" s="597"/>
      <c r="AP544" s="55"/>
      <c r="AQ544" s="55"/>
      <c r="AR544" s="55"/>
      <c r="AS544" s="55"/>
      <c r="AT544" s="55"/>
      <c r="AU544" s="435"/>
    </row>
    <row r="545" spans="1:47" ht="15" customHeight="1" x14ac:dyDescent="0.2">
      <c r="A545" s="132">
        <f>acute_overview_children!A145</f>
        <v>3</v>
      </c>
      <c r="B545" s="3">
        <f>acute_overview_children!B145</f>
        <v>241000</v>
      </c>
      <c r="C545" s="3" t="str">
        <f>acute_overview_children!C145</f>
        <v>Flowering brassica</v>
      </c>
      <c r="D545" s="38">
        <f t="shared" si="90"/>
        <v>4</v>
      </c>
      <c r="E545" s="48"/>
      <c r="F545" s="48"/>
      <c r="G545" s="48"/>
      <c r="H545" s="48"/>
      <c r="I545" s="48"/>
      <c r="J545" s="48"/>
      <c r="K545" s="48"/>
      <c r="L545" s="48"/>
      <c r="M545" s="48"/>
      <c r="N545" s="48">
        <v>0</v>
      </c>
      <c r="O545" s="48">
        <v>0</v>
      </c>
      <c r="P545" s="48"/>
      <c r="Q545" s="48"/>
      <c r="R545" s="48"/>
      <c r="S545" s="48"/>
      <c r="T545" s="48"/>
      <c r="U545" s="48"/>
      <c r="V545" s="48"/>
      <c r="W545" s="48"/>
      <c r="X545" s="48"/>
      <c r="Y545" s="48"/>
      <c r="Z545" s="48"/>
      <c r="AA545" s="48"/>
      <c r="AB545" s="48"/>
      <c r="AC545" s="48">
        <v>0</v>
      </c>
      <c r="AD545" s="48">
        <v>0</v>
      </c>
      <c r="AE545" s="48"/>
      <c r="AF545" s="48"/>
      <c r="AG545" s="48"/>
      <c r="AH545" s="48"/>
      <c r="AI545" s="48"/>
      <c r="AJ545" s="48"/>
      <c r="AK545" s="93"/>
      <c r="AL545" s="48"/>
      <c r="AM545" s="48"/>
      <c r="AN545" s="48"/>
      <c r="AO545" s="593"/>
      <c r="AP545" s="48"/>
      <c r="AQ545" s="48"/>
      <c r="AR545" s="48"/>
      <c r="AS545" s="48"/>
      <c r="AT545" s="48"/>
      <c r="AU545" s="93"/>
    </row>
    <row r="546" spans="1:47" ht="15" customHeight="1" x14ac:dyDescent="0.2">
      <c r="A546" s="39">
        <f>acute_overview_children!A146</f>
        <v>4</v>
      </c>
      <c r="B546" s="23">
        <f>acute_overview_children!B146</f>
        <v>241010</v>
      </c>
      <c r="C546" s="23" t="str">
        <f>acute_overview_children!C146</f>
        <v xml:space="preserve">Broccoli </v>
      </c>
      <c r="D546" s="38">
        <f t="shared" si="90"/>
        <v>4</v>
      </c>
      <c r="E546" s="31"/>
      <c r="F546" s="31"/>
      <c r="G546" s="31"/>
      <c r="H546" s="31"/>
      <c r="I546" s="31"/>
      <c r="J546" s="31"/>
      <c r="K546" s="31"/>
      <c r="L546" s="31"/>
      <c r="M546" s="31"/>
      <c r="N546" s="31">
        <v>1.149425287356322</v>
      </c>
      <c r="O546" s="31">
        <v>1.6986301369863015</v>
      </c>
      <c r="P546" s="31"/>
      <c r="Q546" s="31"/>
      <c r="R546" s="31">
        <v>0.24052937690000001</v>
      </c>
      <c r="S546" s="31"/>
      <c r="T546" s="31"/>
      <c r="U546" s="31"/>
      <c r="V546" s="31"/>
      <c r="W546" s="31"/>
      <c r="X546" s="31"/>
      <c r="Y546" s="31"/>
      <c r="Z546" s="31"/>
      <c r="AA546" s="31"/>
      <c r="AB546" s="31"/>
      <c r="AC546" s="31">
        <v>0.64605263157894743</v>
      </c>
      <c r="AD546" s="31">
        <v>0.68365817091454273</v>
      </c>
      <c r="AE546" s="31"/>
      <c r="AF546" s="31"/>
      <c r="AG546" s="31"/>
      <c r="AH546" s="31"/>
      <c r="AI546" s="31"/>
      <c r="AJ546" s="31"/>
      <c r="AK546" s="433"/>
      <c r="AL546" s="31"/>
      <c r="AM546" s="31"/>
      <c r="AN546" s="31">
        <v>1.5239538669999999</v>
      </c>
      <c r="AO546" s="592">
        <v>0.25350877589999998</v>
      </c>
      <c r="AP546" s="31"/>
      <c r="AQ546" s="31"/>
      <c r="AR546" s="31"/>
      <c r="AS546" s="31"/>
      <c r="AT546" s="31"/>
      <c r="AU546" s="433"/>
    </row>
    <row r="547" spans="1:47" ht="15" customHeight="1" x14ac:dyDescent="0.2">
      <c r="A547" s="39">
        <f>acute_overview_children!A147</f>
        <v>4</v>
      </c>
      <c r="B547" s="23">
        <f>acute_overview_children!B147</f>
        <v>241020</v>
      </c>
      <c r="C547" s="23" t="str">
        <f>acute_overview_children!C147</f>
        <v>Cauliflowers</v>
      </c>
      <c r="D547" s="38">
        <f t="shared" si="90"/>
        <v>4</v>
      </c>
      <c r="E547" s="31"/>
      <c r="F547" s="31"/>
      <c r="G547" s="31"/>
      <c r="H547" s="31"/>
      <c r="I547" s="31"/>
      <c r="J547" s="31"/>
      <c r="K547" s="31"/>
      <c r="L547" s="31"/>
      <c r="M547" s="31"/>
      <c r="N547" s="31">
        <v>3.1494252873563218</v>
      </c>
      <c r="O547" s="31">
        <v>2.1575342465753424</v>
      </c>
      <c r="P547" s="31"/>
      <c r="Q547" s="31"/>
      <c r="R547" s="31">
        <v>0.37032419309999998</v>
      </c>
      <c r="S547" s="31"/>
      <c r="T547" s="31"/>
      <c r="U547" s="31"/>
      <c r="V547" s="31"/>
      <c r="W547" s="31"/>
      <c r="X547" s="31"/>
      <c r="Y547" s="31"/>
      <c r="Z547" s="31"/>
      <c r="AA547" s="31"/>
      <c r="AB547" s="31"/>
      <c r="AC547" s="31">
        <v>0.87105263157894741</v>
      </c>
      <c r="AD547" s="31">
        <v>1.2188905547226385</v>
      </c>
      <c r="AE547" s="31"/>
      <c r="AF547" s="31"/>
      <c r="AG547" s="31"/>
      <c r="AH547" s="31"/>
      <c r="AI547" s="31"/>
      <c r="AJ547" s="31"/>
      <c r="AK547" s="433"/>
      <c r="AL547" s="31"/>
      <c r="AM547" s="31"/>
      <c r="AN547" s="31">
        <v>1.2372093419000001</v>
      </c>
      <c r="AO547" s="592">
        <v>0.48076924840000002</v>
      </c>
      <c r="AP547" s="31"/>
      <c r="AQ547" s="31"/>
      <c r="AR547" s="31"/>
      <c r="AS547" s="31"/>
      <c r="AT547" s="31"/>
      <c r="AU547" s="433"/>
    </row>
    <row r="548" spans="1:47" ht="15" customHeight="1" x14ac:dyDescent="0.2">
      <c r="A548" s="39">
        <f>acute_overview_children!A148</f>
        <v>4</v>
      </c>
      <c r="B548" s="23">
        <f>acute_overview_children!B148</f>
        <v>241990</v>
      </c>
      <c r="C548" s="23" t="str">
        <f>acute_overview_children!C148</f>
        <v>Other flowering brassica</v>
      </c>
      <c r="D548" s="38">
        <f t="shared" si="90"/>
        <v>4</v>
      </c>
      <c r="E548" s="31"/>
      <c r="F548" s="31"/>
      <c r="G548" s="31"/>
      <c r="H548" s="31"/>
      <c r="I548" s="31"/>
      <c r="J548" s="31"/>
      <c r="K548" s="31"/>
      <c r="L548" s="31"/>
      <c r="M548" s="31"/>
      <c r="N548" s="31">
        <v>0</v>
      </c>
      <c r="O548" s="31">
        <v>0</v>
      </c>
      <c r="P548" s="31"/>
      <c r="Q548" s="31"/>
      <c r="R548" s="31"/>
      <c r="S548" s="31"/>
      <c r="T548" s="31"/>
      <c r="U548" s="31"/>
      <c r="V548" s="31"/>
      <c r="W548" s="31"/>
      <c r="X548" s="31"/>
      <c r="Y548" s="31"/>
      <c r="Z548" s="31"/>
      <c r="AA548" s="31"/>
      <c r="AB548" s="31"/>
      <c r="AC548" s="31">
        <v>0</v>
      </c>
      <c r="AD548" s="31">
        <v>0</v>
      </c>
      <c r="AE548" s="31"/>
      <c r="AF548" s="31"/>
      <c r="AG548" s="31"/>
      <c r="AH548" s="31"/>
      <c r="AI548" s="31"/>
      <c r="AJ548" s="31"/>
      <c r="AK548" s="433"/>
      <c r="AL548" s="31"/>
      <c r="AM548" s="31"/>
      <c r="AN548" s="31"/>
      <c r="AO548" s="592"/>
      <c r="AP548" s="31"/>
      <c r="AQ548" s="31"/>
      <c r="AR548" s="31"/>
      <c r="AS548" s="31"/>
      <c r="AT548" s="31"/>
      <c r="AU548" s="433"/>
    </row>
    <row r="549" spans="1:47" ht="15" customHeight="1" x14ac:dyDescent="0.2">
      <c r="A549" s="132">
        <f>acute_overview_children!A149</f>
        <v>3</v>
      </c>
      <c r="B549" s="3">
        <f>acute_overview_children!B149</f>
        <v>242000</v>
      </c>
      <c r="C549" s="3" t="str">
        <f>acute_overview_children!C149</f>
        <v>Head brassica</v>
      </c>
      <c r="D549" s="38">
        <f t="shared" si="90"/>
        <v>4</v>
      </c>
      <c r="E549" s="48"/>
      <c r="F549" s="48"/>
      <c r="G549" s="48"/>
      <c r="H549" s="48"/>
      <c r="I549" s="48"/>
      <c r="J549" s="48"/>
      <c r="K549" s="48"/>
      <c r="L549" s="48"/>
      <c r="M549" s="48"/>
      <c r="N549" s="48">
        <v>0</v>
      </c>
      <c r="O549" s="48">
        <v>0</v>
      </c>
      <c r="P549" s="48"/>
      <c r="Q549" s="48"/>
      <c r="R549" s="48"/>
      <c r="S549" s="48"/>
      <c r="T549" s="48"/>
      <c r="U549" s="48"/>
      <c r="V549" s="48"/>
      <c r="W549" s="48"/>
      <c r="X549" s="48"/>
      <c r="Y549" s="48"/>
      <c r="Z549" s="48"/>
      <c r="AA549" s="48"/>
      <c r="AB549" s="48"/>
      <c r="AC549" s="48">
        <v>0</v>
      </c>
      <c r="AD549" s="48">
        <v>0</v>
      </c>
      <c r="AE549" s="48"/>
      <c r="AF549" s="48"/>
      <c r="AG549" s="48"/>
      <c r="AH549" s="48"/>
      <c r="AI549" s="48"/>
      <c r="AJ549" s="48"/>
      <c r="AK549" s="93"/>
      <c r="AL549" s="48"/>
      <c r="AM549" s="48"/>
      <c r="AN549" s="48"/>
      <c r="AO549" s="593"/>
      <c r="AP549" s="48"/>
      <c r="AQ549" s="48"/>
      <c r="AR549" s="48"/>
      <c r="AS549" s="48"/>
      <c r="AT549" s="48"/>
      <c r="AU549" s="93"/>
    </row>
    <row r="550" spans="1:47" ht="15" customHeight="1" x14ac:dyDescent="0.2">
      <c r="A550" s="39">
        <f>acute_overview_children!A150</f>
        <v>4</v>
      </c>
      <c r="B550" s="23">
        <f>acute_overview_children!B150</f>
        <v>242010</v>
      </c>
      <c r="C550" s="23" t="str">
        <f>acute_overview_children!C150</f>
        <v>Brussels sprouts</v>
      </c>
      <c r="D550" s="38">
        <f t="shared" si="90"/>
        <v>4</v>
      </c>
      <c r="E550" s="31"/>
      <c r="F550" s="31"/>
      <c r="G550" s="31"/>
      <c r="H550" s="31"/>
      <c r="I550" s="31"/>
      <c r="J550" s="31"/>
      <c r="K550" s="31"/>
      <c r="L550" s="31"/>
      <c r="M550" s="31"/>
      <c r="N550" s="31">
        <v>2.3333333333333335</v>
      </c>
      <c r="O550" s="31">
        <v>1.7808219178082192</v>
      </c>
      <c r="P550" s="31"/>
      <c r="Q550" s="31"/>
      <c r="R550" s="31">
        <v>0</v>
      </c>
      <c r="S550" s="31"/>
      <c r="T550" s="31"/>
      <c r="U550" s="31"/>
      <c r="V550" s="31"/>
      <c r="W550" s="31"/>
      <c r="X550" s="31"/>
      <c r="Y550" s="31"/>
      <c r="Z550" s="31"/>
      <c r="AA550" s="31"/>
      <c r="AB550" s="31"/>
      <c r="AC550" s="31">
        <v>0.60526315789473684</v>
      </c>
      <c r="AD550" s="31">
        <v>0.79460269865067468</v>
      </c>
      <c r="AE550" s="31"/>
      <c r="AF550" s="31"/>
      <c r="AG550" s="31"/>
      <c r="AH550" s="31"/>
      <c r="AI550" s="31"/>
      <c r="AJ550" s="31"/>
      <c r="AK550" s="433"/>
      <c r="AL550" s="31"/>
      <c r="AM550" s="31"/>
      <c r="AN550" s="31">
        <v>0</v>
      </c>
      <c r="AO550" s="592">
        <v>0</v>
      </c>
      <c r="AP550" s="31"/>
      <c r="AQ550" s="31"/>
      <c r="AR550" s="31"/>
      <c r="AS550" s="31"/>
      <c r="AT550" s="31"/>
      <c r="AU550" s="433"/>
    </row>
    <row r="551" spans="1:47" ht="15" customHeight="1" x14ac:dyDescent="0.2">
      <c r="A551" s="39">
        <f>acute_overview_children!A151</f>
        <v>4</v>
      </c>
      <c r="B551" s="23">
        <f>acute_overview_children!B151</f>
        <v>242020</v>
      </c>
      <c r="C551" s="23" t="str">
        <f>acute_overview_children!C151</f>
        <v>Head cabbages</v>
      </c>
      <c r="D551" s="38">
        <f t="shared" si="90"/>
        <v>4</v>
      </c>
      <c r="E551" s="31"/>
      <c r="F551" s="31"/>
      <c r="G551" s="31"/>
      <c r="H551" s="31"/>
      <c r="I551" s="31"/>
      <c r="J551" s="31"/>
      <c r="K551" s="31"/>
      <c r="L551" s="31"/>
      <c r="M551" s="31"/>
      <c r="N551" s="31">
        <v>1.7586206896551726</v>
      </c>
      <c r="O551" s="31">
        <v>1.6917808219178083</v>
      </c>
      <c r="P551" s="31"/>
      <c r="Q551" s="31"/>
      <c r="R551" s="31">
        <v>0.67643243949999998</v>
      </c>
      <c r="S551" s="31"/>
      <c r="T551" s="31"/>
      <c r="U551" s="31"/>
      <c r="V551" s="31"/>
      <c r="W551" s="31"/>
      <c r="X551" s="31"/>
      <c r="Y551" s="31"/>
      <c r="Z551" s="31"/>
      <c r="AA551" s="31"/>
      <c r="AB551" s="31"/>
      <c r="AC551" s="31">
        <v>0.54473684210526319</v>
      </c>
      <c r="AD551" s="31">
        <v>0.7571214392803598</v>
      </c>
      <c r="AE551" s="31"/>
      <c r="AF551" s="31"/>
      <c r="AG551" s="31"/>
      <c r="AH551" s="31"/>
      <c r="AI551" s="31"/>
      <c r="AJ551" s="31"/>
      <c r="AK551" s="433"/>
      <c r="AL551" s="31"/>
      <c r="AM551" s="31"/>
      <c r="AN551" s="31">
        <v>0.89866788669999997</v>
      </c>
      <c r="AO551" s="592">
        <v>1.0913679256</v>
      </c>
      <c r="AP551" s="31"/>
      <c r="AQ551" s="31"/>
      <c r="AR551" s="31"/>
      <c r="AS551" s="31"/>
      <c r="AT551" s="31"/>
      <c r="AU551" s="433"/>
    </row>
    <row r="552" spans="1:47" ht="15" customHeight="1" x14ac:dyDescent="0.2">
      <c r="A552" s="39">
        <f>acute_overview_children!A152</f>
        <v>4</v>
      </c>
      <c r="B552" s="23">
        <f>acute_overview_children!B152</f>
        <v>242990</v>
      </c>
      <c r="C552" s="23" t="str">
        <f>acute_overview_children!C152</f>
        <v>Other head brassica</v>
      </c>
      <c r="D552" s="38">
        <f t="shared" si="90"/>
        <v>4</v>
      </c>
      <c r="E552" s="31"/>
      <c r="F552" s="31"/>
      <c r="G552" s="31"/>
      <c r="H552" s="31"/>
      <c r="I552" s="31"/>
      <c r="J552" s="31"/>
      <c r="K552" s="31"/>
      <c r="L552" s="31"/>
      <c r="M552" s="31"/>
      <c r="N552" s="31">
        <v>0</v>
      </c>
      <c r="O552" s="31">
        <v>0</v>
      </c>
      <c r="P552" s="31"/>
      <c r="Q552" s="31"/>
      <c r="R552" s="31"/>
      <c r="S552" s="31"/>
      <c r="T552" s="31"/>
      <c r="U552" s="31"/>
      <c r="V552" s="31"/>
      <c r="W552" s="31"/>
      <c r="X552" s="31"/>
      <c r="Y552" s="31"/>
      <c r="Z552" s="31"/>
      <c r="AA552" s="31"/>
      <c r="AB552" s="31"/>
      <c r="AC552" s="31">
        <v>0</v>
      </c>
      <c r="AD552" s="31">
        <v>0</v>
      </c>
      <c r="AE552" s="31"/>
      <c r="AF552" s="31"/>
      <c r="AG552" s="31"/>
      <c r="AH552" s="31"/>
      <c r="AI552" s="31"/>
      <c r="AJ552" s="31"/>
      <c r="AK552" s="433"/>
      <c r="AL552" s="31"/>
      <c r="AM552" s="31"/>
      <c r="AN552" s="31"/>
      <c r="AO552" s="592"/>
      <c r="AP552" s="31"/>
      <c r="AQ552" s="31"/>
      <c r="AR552" s="31"/>
      <c r="AS552" s="31"/>
      <c r="AT552" s="31"/>
      <c r="AU552" s="433"/>
    </row>
    <row r="553" spans="1:47" ht="15" customHeight="1" x14ac:dyDescent="0.2">
      <c r="A553" s="132">
        <f>acute_overview_children!A153</f>
        <v>3</v>
      </c>
      <c r="B553" s="3">
        <f>acute_overview_children!B153</f>
        <v>243000</v>
      </c>
      <c r="C553" s="3" t="str">
        <f>acute_overview_children!C153</f>
        <v>Leafy brassica</v>
      </c>
      <c r="D553" s="38">
        <f t="shared" si="90"/>
        <v>4</v>
      </c>
      <c r="E553" s="48"/>
      <c r="F553" s="48"/>
      <c r="G553" s="48"/>
      <c r="H553" s="48"/>
      <c r="I553" s="48"/>
      <c r="J553" s="48"/>
      <c r="K553" s="48"/>
      <c r="L553" s="48"/>
      <c r="M553" s="48"/>
      <c r="N553" s="48">
        <v>0</v>
      </c>
      <c r="O553" s="48">
        <v>0</v>
      </c>
      <c r="P553" s="48"/>
      <c r="Q553" s="48"/>
      <c r="R553" s="48"/>
      <c r="S553" s="48"/>
      <c r="T553" s="48"/>
      <c r="U553" s="48"/>
      <c r="V553" s="48"/>
      <c r="W553" s="48"/>
      <c r="X553" s="48"/>
      <c r="Y553" s="48"/>
      <c r="Z553" s="48"/>
      <c r="AA553" s="48"/>
      <c r="AB553" s="48"/>
      <c r="AC553" s="48">
        <v>0</v>
      </c>
      <c r="AD553" s="48">
        <v>0</v>
      </c>
      <c r="AE553" s="48"/>
      <c r="AF553" s="48"/>
      <c r="AG553" s="48"/>
      <c r="AH553" s="48"/>
      <c r="AI553" s="48"/>
      <c r="AJ553" s="48"/>
      <c r="AK553" s="93"/>
      <c r="AL553" s="48"/>
      <c r="AM553" s="48"/>
      <c r="AN553" s="48"/>
      <c r="AO553" s="593"/>
      <c r="AP553" s="48"/>
      <c r="AQ553" s="48"/>
      <c r="AR553" s="48"/>
      <c r="AS553" s="48"/>
      <c r="AT553" s="48"/>
      <c r="AU553" s="93"/>
    </row>
    <row r="554" spans="1:47" ht="15" customHeight="1" x14ac:dyDescent="0.2">
      <c r="A554" s="39">
        <f>acute_overview_children!A154</f>
        <v>4</v>
      </c>
      <c r="B554" s="23">
        <f>acute_overview_children!B154</f>
        <v>243010</v>
      </c>
      <c r="C554" s="23" t="str">
        <f>acute_overview_children!C154</f>
        <v>Chinese cabbages/pe-tsai</v>
      </c>
      <c r="D554" s="38">
        <f t="shared" si="90"/>
        <v>4</v>
      </c>
      <c r="E554" s="31"/>
      <c r="F554" s="31"/>
      <c r="G554" s="31"/>
      <c r="H554" s="31"/>
      <c r="I554" s="31"/>
      <c r="J554" s="31"/>
      <c r="K554" s="31"/>
      <c r="L554" s="31"/>
      <c r="M554" s="31"/>
      <c r="N554" s="31">
        <v>0</v>
      </c>
      <c r="O554" s="31">
        <v>0</v>
      </c>
      <c r="P554" s="31"/>
      <c r="Q554" s="31"/>
      <c r="R554" s="31">
        <v>0.1674894217</v>
      </c>
      <c r="S554" s="31"/>
      <c r="T554" s="31"/>
      <c r="U554" s="31"/>
      <c r="V554" s="31"/>
      <c r="W554" s="31"/>
      <c r="X554" s="31"/>
      <c r="Y554" s="31"/>
      <c r="Z554" s="31"/>
      <c r="AA554" s="31"/>
      <c r="AB554" s="31"/>
      <c r="AC554" s="31">
        <v>0.49736842105263152</v>
      </c>
      <c r="AD554" s="31">
        <v>0.50074962518740629</v>
      </c>
      <c r="AE554" s="31"/>
      <c r="AF554" s="31"/>
      <c r="AG554" s="31"/>
      <c r="AH554" s="31"/>
      <c r="AI554" s="31"/>
      <c r="AJ554" s="31"/>
      <c r="AK554" s="433"/>
      <c r="AL554" s="31"/>
      <c r="AM554" s="31"/>
      <c r="AN554" s="31">
        <v>0.1689189167</v>
      </c>
      <c r="AO554" s="592">
        <v>0.35404972540000001</v>
      </c>
      <c r="AP554" s="31"/>
      <c r="AQ554" s="31"/>
      <c r="AR554" s="31"/>
      <c r="AS554" s="31"/>
      <c r="AT554" s="31"/>
      <c r="AU554" s="433"/>
    </row>
    <row r="555" spans="1:47" ht="15" customHeight="1" x14ac:dyDescent="0.2">
      <c r="A555" s="39">
        <f>acute_overview_children!A155</f>
        <v>4</v>
      </c>
      <c r="B555" s="23">
        <f>acute_overview_children!B155</f>
        <v>243020</v>
      </c>
      <c r="C555" s="23" t="str">
        <f>acute_overview_children!C155</f>
        <v>Kales</v>
      </c>
      <c r="D555" s="38">
        <f t="shared" si="90"/>
        <v>4</v>
      </c>
      <c r="E555" s="31"/>
      <c r="F555" s="31"/>
      <c r="G555" s="31"/>
      <c r="H555" s="31"/>
      <c r="I555" s="31"/>
      <c r="J555" s="31"/>
      <c r="K555" s="31"/>
      <c r="L555" s="31"/>
      <c r="M555" s="31"/>
      <c r="N555" s="31">
        <v>0</v>
      </c>
      <c r="O555" s="31">
        <v>0</v>
      </c>
      <c r="P555" s="31"/>
      <c r="Q555" s="31"/>
      <c r="R555" s="31"/>
      <c r="S555" s="31"/>
      <c r="T555" s="31"/>
      <c r="U555" s="31"/>
      <c r="V555" s="31"/>
      <c r="W555" s="31"/>
      <c r="X555" s="31"/>
      <c r="Y555" s="31"/>
      <c r="Z555" s="31"/>
      <c r="AA555" s="31"/>
      <c r="AB555" s="31"/>
      <c r="AC555" s="31">
        <v>0</v>
      </c>
      <c r="AD555" s="31">
        <v>0</v>
      </c>
      <c r="AE555" s="31"/>
      <c r="AF555" s="31"/>
      <c r="AG555" s="31"/>
      <c r="AH555" s="31"/>
      <c r="AI555" s="31"/>
      <c r="AJ555" s="31"/>
      <c r="AK555" s="433"/>
      <c r="AL555" s="31"/>
      <c r="AM555" s="31"/>
      <c r="AN555" s="31"/>
      <c r="AO555" s="592"/>
      <c r="AP555" s="31"/>
      <c r="AQ555" s="31"/>
      <c r="AR555" s="31"/>
      <c r="AS555" s="31"/>
      <c r="AT555" s="31"/>
      <c r="AU555" s="433"/>
    </row>
    <row r="556" spans="1:47" ht="15" customHeight="1" x14ac:dyDescent="0.2">
      <c r="A556" s="39">
        <f>acute_overview_children!A156</f>
        <v>4</v>
      </c>
      <c r="B556" s="23">
        <f>acute_overview_children!B156</f>
        <v>243990</v>
      </c>
      <c r="C556" s="23" t="str">
        <f>acute_overview_children!C156</f>
        <v>Other leafy brassica</v>
      </c>
      <c r="D556" s="38">
        <f t="shared" si="90"/>
        <v>4</v>
      </c>
      <c r="E556" s="31"/>
      <c r="F556" s="31"/>
      <c r="G556" s="31"/>
      <c r="H556" s="31"/>
      <c r="I556" s="31"/>
      <c r="J556" s="31"/>
      <c r="K556" s="31"/>
      <c r="L556" s="31"/>
      <c r="M556" s="31"/>
      <c r="N556" s="31">
        <v>0</v>
      </c>
      <c r="O556" s="31">
        <v>0</v>
      </c>
      <c r="P556" s="31"/>
      <c r="Q556" s="31"/>
      <c r="R556" s="31"/>
      <c r="S556" s="31"/>
      <c r="T556" s="31"/>
      <c r="U556" s="31"/>
      <c r="V556" s="31"/>
      <c r="W556" s="31"/>
      <c r="X556" s="31"/>
      <c r="Y556" s="31"/>
      <c r="Z556" s="31"/>
      <c r="AA556" s="31"/>
      <c r="AB556" s="31"/>
      <c r="AC556" s="31">
        <v>0</v>
      </c>
      <c r="AD556" s="31">
        <v>0</v>
      </c>
      <c r="AE556" s="31"/>
      <c r="AF556" s="31"/>
      <c r="AG556" s="31"/>
      <c r="AH556" s="31"/>
      <c r="AI556" s="31"/>
      <c r="AJ556" s="31"/>
      <c r="AK556" s="433"/>
      <c r="AL556" s="31"/>
      <c r="AM556" s="31"/>
      <c r="AN556" s="31"/>
      <c r="AO556" s="592"/>
      <c r="AP556" s="31"/>
      <c r="AQ556" s="31"/>
      <c r="AR556" s="31"/>
      <c r="AS556" s="31"/>
      <c r="AT556" s="31"/>
      <c r="AU556" s="433"/>
    </row>
    <row r="557" spans="1:47" ht="15" customHeight="1" x14ac:dyDescent="0.2">
      <c r="A557" s="132">
        <f>acute_overview_children!A157</f>
        <v>3</v>
      </c>
      <c r="B557" s="3">
        <f>acute_overview_children!B157</f>
        <v>244000</v>
      </c>
      <c r="C557" s="3" t="str">
        <f>acute_overview_children!C157</f>
        <v>Kohlrabies</v>
      </c>
      <c r="D557" s="38">
        <f t="shared" si="90"/>
        <v>3</v>
      </c>
      <c r="E557" s="48"/>
      <c r="F557" s="48"/>
      <c r="G557" s="48"/>
      <c r="H557" s="48"/>
      <c r="I557" s="48"/>
      <c r="J557" s="48"/>
      <c r="K557" s="48"/>
      <c r="L557" s="48"/>
      <c r="M557" s="48"/>
      <c r="N557" s="48">
        <v>0</v>
      </c>
      <c r="O557" s="48">
        <v>0</v>
      </c>
      <c r="P557" s="48"/>
      <c r="Q557" s="48"/>
      <c r="R557" s="48"/>
      <c r="S557" s="48"/>
      <c r="T557" s="48"/>
      <c r="U557" s="48"/>
      <c r="V557" s="48"/>
      <c r="W557" s="48"/>
      <c r="X557" s="48"/>
      <c r="Y557" s="48"/>
      <c r="Z557" s="48"/>
      <c r="AA557" s="48"/>
      <c r="AB557" s="48"/>
      <c r="AC557" s="48">
        <v>0</v>
      </c>
      <c r="AD557" s="48">
        <v>0</v>
      </c>
      <c r="AE557" s="48"/>
      <c r="AF557" s="48"/>
      <c r="AG557" s="48"/>
      <c r="AH557" s="48"/>
      <c r="AI557" s="48"/>
      <c r="AJ557" s="48"/>
      <c r="AK557" s="93"/>
      <c r="AL557" s="48"/>
      <c r="AM557" s="48"/>
      <c r="AN557" s="48"/>
      <c r="AO557" s="593"/>
      <c r="AP557" s="48"/>
      <c r="AQ557" s="48"/>
      <c r="AR557" s="48"/>
      <c r="AS557" s="48"/>
      <c r="AT557" s="48"/>
      <c r="AU557" s="93"/>
    </row>
    <row r="558" spans="1:47" ht="15" customHeight="1" x14ac:dyDescent="0.2">
      <c r="A558" s="515">
        <f>acute_overview_children!A158</f>
        <v>2</v>
      </c>
      <c r="B558" s="24">
        <f>acute_overview_children!B158</f>
        <v>250000</v>
      </c>
      <c r="C558" s="24" t="str">
        <f>acute_overview_children!C158</f>
        <v>Leaf vegetables, herbs and edible flowers</v>
      </c>
      <c r="D558" s="38">
        <f t="shared" si="90"/>
        <v>4</v>
      </c>
      <c r="E558" s="55"/>
      <c r="F558" s="55"/>
      <c r="G558" s="55"/>
      <c r="H558" s="55"/>
      <c r="I558" s="55"/>
      <c r="J558" s="55"/>
      <c r="K558" s="55"/>
      <c r="L558" s="55"/>
      <c r="M558" s="55"/>
      <c r="N558" s="55">
        <v>0.9655172413793105</v>
      </c>
      <c r="O558" s="55">
        <v>1.2534246575342467</v>
      </c>
      <c r="P558" s="55"/>
      <c r="Q558" s="55"/>
      <c r="R558" s="55"/>
      <c r="S558" s="55"/>
      <c r="T558" s="55"/>
      <c r="U558" s="55"/>
      <c r="V558" s="55"/>
      <c r="W558" s="55"/>
      <c r="X558" s="55"/>
      <c r="Y558" s="55"/>
      <c r="Z558" s="55"/>
      <c r="AA558" s="55"/>
      <c r="AB558" s="55"/>
      <c r="AC558" s="55">
        <v>0.75</v>
      </c>
      <c r="AD558" s="55">
        <v>0.84707646176911544</v>
      </c>
      <c r="AE558" s="55"/>
      <c r="AF558" s="55"/>
      <c r="AG558" s="55"/>
      <c r="AH558" s="55"/>
      <c r="AI558" s="55"/>
      <c r="AJ558" s="55"/>
      <c r="AK558" s="435"/>
      <c r="AL558" s="55"/>
      <c r="AM558" s="55"/>
      <c r="AN558" s="55"/>
      <c r="AO558" s="597"/>
      <c r="AP558" s="55"/>
      <c r="AQ558" s="55"/>
      <c r="AR558" s="55"/>
      <c r="AS558" s="55"/>
      <c r="AT558" s="55"/>
      <c r="AU558" s="435"/>
    </row>
    <row r="559" spans="1:47" ht="15" customHeight="1" x14ac:dyDescent="0.2">
      <c r="A559" s="132">
        <f>acute_overview_children!A159</f>
        <v>3</v>
      </c>
      <c r="B559" s="3">
        <f>acute_overview_children!B159</f>
        <v>251000</v>
      </c>
      <c r="C559" s="3" t="str">
        <f>acute_overview_children!C159</f>
        <v>Lettuce and other salad plants including Brassicacea</v>
      </c>
      <c r="D559" s="38">
        <f t="shared" si="90"/>
        <v>4</v>
      </c>
      <c r="E559" s="48"/>
      <c r="F559" s="48"/>
      <c r="G559" s="48"/>
      <c r="H559" s="48"/>
      <c r="I559" s="48"/>
      <c r="J559" s="48"/>
      <c r="K559" s="48"/>
      <c r="L559" s="48"/>
      <c r="M559" s="48"/>
      <c r="N559" s="48">
        <v>0</v>
      </c>
      <c r="O559" s="48">
        <v>0</v>
      </c>
      <c r="P559" s="48"/>
      <c r="Q559" s="48"/>
      <c r="R559" s="48"/>
      <c r="S559" s="48"/>
      <c r="T559" s="48"/>
      <c r="U559" s="48"/>
      <c r="V559" s="48"/>
      <c r="W559" s="48"/>
      <c r="X559" s="48"/>
      <c r="Y559" s="48"/>
      <c r="Z559" s="48"/>
      <c r="AA559" s="48"/>
      <c r="AB559" s="48"/>
      <c r="AC559" s="48">
        <v>0</v>
      </c>
      <c r="AD559" s="48">
        <v>0</v>
      </c>
      <c r="AE559" s="48"/>
      <c r="AF559" s="48"/>
      <c r="AG559" s="48"/>
      <c r="AH559" s="48"/>
      <c r="AI559" s="48"/>
      <c r="AJ559" s="48"/>
      <c r="AK559" s="93"/>
      <c r="AL559" s="48"/>
      <c r="AM559" s="48"/>
      <c r="AN559" s="48"/>
      <c r="AO559" s="593"/>
      <c r="AP559" s="48"/>
      <c r="AQ559" s="48"/>
      <c r="AR559" s="48"/>
      <c r="AS559" s="48"/>
      <c r="AT559" s="48"/>
      <c r="AU559" s="93"/>
    </row>
    <row r="560" spans="1:47" ht="15" customHeight="1" x14ac:dyDescent="0.2">
      <c r="A560" s="39">
        <f>acute_overview_children!A160</f>
        <v>4</v>
      </c>
      <c r="B560" s="23">
        <f>acute_overview_children!B160</f>
        <v>251010</v>
      </c>
      <c r="C560" s="23" t="str">
        <f>acute_overview_children!C160</f>
        <v>Lamb's lettuce/corn salads</v>
      </c>
      <c r="D560" s="38">
        <f t="shared" si="90"/>
        <v>4</v>
      </c>
      <c r="E560" s="31"/>
      <c r="F560" s="31"/>
      <c r="G560" s="31"/>
      <c r="H560" s="31"/>
      <c r="I560" s="31"/>
      <c r="J560" s="31"/>
      <c r="K560" s="31"/>
      <c r="L560" s="31"/>
      <c r="M560" s="31"/>
      <c r="N560" s="31">
        <v>0</v>
      </c>
      <c r="O560" s="31">
        <v>0</v>
      </c>
      <c r="P560" s="31"/>
      <c r="Q560" s="31"/>
      <c r="R560" s="31"/>
      <c r="S560" s="31"/>
      <c r="T560" s="31"/>
      <c r="U560" s="31"/>
      <c r="V560" s="31"/>
      <c r="W560" s="31"/>
      <c r="X560" s="31"/>
      <c r="Y560" s="31"/>
      <c r="Z560" s="31"/>
      <c r="AA560" s="31"/>
      <c r="AB560" s="31"/>
      <c r="AC560" s="31">
        <v>0</v>
      </c>
      <c r="AD560" s="31">
        <v>0</v>
      </c>
      <c r="AE560" s="31"/>
      <c r="AF560" s="31"/>
      <c r="AG560" s="31"/>
      <c r="AH560" s="31"/>
      <c r="AI560" s="31"/>
      <c r="AJ560" s="31"/>
      <c r="AK560" s="433"/>
      <c r="AL560" s="31"/>
      <c r="AM560" s="31"/>
      <c r="AN560" s="31"/>
      <c r="AO560" s="592"/>
      <c r="AP560" s="31"/>
      <c r="AQ560" s="31"/>
      <c r="AR560" s="31"/>
      <c r="AS560" s="31"/>
      <c r="AT560" s="31"/>
      <c r="AU560" s="433"/>
    </row>
    <row r="561" spans="1:47" ht="15" customHeight="1" x14ac:dyDescent="0.2">
      <c r="A561" s="39">
        <f>acute_overview_children!A161</f>
        <v>4</v>
      </c>
      <c r="B561" s="23">
        <f>acute_overview_children!B161</f>
        <v>251020</v>
      </c>
      <c r="C561" s="23" t="str">
        <f>acute_overview_children!C161</f>
        <v>Lettuces</v>
      </c>
      <c r="D561" s="38">
        <f t="shared" si="90"/>
        <v>4</v>
      </c>
      <c r="E561" s="31"/>
      <c r="F561" s="31"/>
      <c r="G561" s="31"/>
      <c r="H561" s="31"/>
      <c r="I561" s="31"/>
      <c r="J561" s="31"/>
      <c r="K561" s="31"/>
      <c r="L561" s="31"/>
      <c r="M561" s="31"/>
      <c r="N561" s="31">
        <v>0.35632183908045983</v>
      </c>
      <c r="O561" s="31">
        <v>0.84931506849315075</v>
      </c>
      <c r="P561" s="31"/>
      <c r="Q561" s="31"/>
      <c r="R561" s="31">
        <v>0.51413457620000003</v>
      </c>
      <c r="S561" s="31"/>
      <c r="T561" s="31"/>
      <c r="U561" s="31"/>
      <c r="V561" s="31"/>
      <c r="W561" s="31"/>
      <c r="X561" s="31"/>
      <c r="Y561" s="31"/>
      <c r="Z561" s="31"/>
      <c r="AA561" s="31"/>
      <c r="AB561" s="31"/>
      <c r="AC561" s="31">
        <v>0.61973684210526314</v>
      </c>
      <c r="AD561" s="31">
        <v>0.70464767616191903</v>
      </c>
      <c r="AE561" s="31"/>
      <c r="AF561" s="31"/>
      <c r="AG561" s="31"/>
      <c r="AH561" s="31"/>
      <c r="AI561" s="31"/>
      <c r="AJ561" s="31"/>
      <c r="AK561" s="433"/>
      <c r="AL561" s="31"/>
      <c r="AM561" s="31"/>
      <c r="AN561" s="31">
        <v>0.30561393320000002</v>
      </c>
      <c r="AO561" s="592">
        <v>0.58833333649999997</v>
      </c>
      <c r="AP561" s="31"/>
      <c r="AQ561" s="31"/>
      <c r="AR561" s="31"/>
      <c r="AS561" s="31"/>
      <c r="AT561" s="31"/>
      <c r="AU561" s="433"/>
    </row>
    <row r="562" spans="1:47" ht="15" customHeight="1" x14ac:dyDescent="0.2">
      <c r="A562" s="39">
        <f>acute_overview_children!A162</f>
        <v>4</v>
      </c>
      <c r="B562" s="23">
        <f>acute_overview_children!B162</f>
        <v>251030</v>
      </c>
      <c r="C562" s="23" t="str">
        <f>acute_overview_children!C162</f>
        <v>Escaroles/broad-leaved endives</v>
      </c>
      <c r="D562" s="38">
        <f t="shared" si="90"/>
        <v>4</v>
      </c>
      <c r="E562" s="31"/>
      <c r="F562" s="31"/>
      <c r="G562" s="31"/>
      <c r="H562" s="31"/>
      <c r="I562" s="31"/>
      <c r="J562" s="31"/>
      <c r="K562" s="31"/>
      <c r="L562" s="31"/>
      <c r="M562" s="31"/>
      <c r="N562" s="31">
        <v>0</v>
      </c>
      <c r="O562" s="31">
        <v>0</v>
      </c>
      <c r="P562" s="31"/>
      <c r="Q562" s="31"/>
      <c r="R562" s="31"/>
      <c r="S562" s="31"/>
      <c r="T562" s="31"/>
      <c r="U562" s="31"/>
      <c r="V562" s="31"/>
      <c r="W562" s="31"/>
      <c r="X562" s="31"/>
      <c r="Y562" s="31"/>
      <c r="Z562" s="31"/>
      <c r="AA562" s="31"/>
      <c r="AB562" s="31"/>
      <c r="AC562" s="31">
        <v>0</v>
      </c>
      <c r="AD562" s="31">
        <v>0</v>
      </c>
      <c r="AE562" s="31"/>
      <c r="AF562" s="31"/>
      <c r="AG562" s="31"/>
      <c r="AH562" s="31"/>
      <c r="AI562" s="31"/>
      <c r="AJ562" s="31"/>
      <c r="AK562" s="433"/>
      <c r="AL562" s="31"/>
      <c r="AM562" s="31"/>
      <c r="AN562" s="31"/>
      <c r="AO562" s="592"/>
      <c r="AP562" s="31"/>
      <c r="AQ562" s="31"/>
      <c r="AR562" s="31"/>
      <c r="AS562" s="31"/>
      <c r="AT562" s="31"/>
      <c r="AU562" s="433"/>
    </row>
    <row r="563" spans="1:47" ht="15" customHeight="1" x14ac:dyDescent="0.2">
      <c r="A563" s="39">
        <f>acute_overview_children!A163</f>
        <v>4</v>
      </c>
      <c r="B563" s="26">
        <f>acute_overview_children!B163</f>
        <v>251040</v>
      </c>
      <c r="C563" s="23" t="str">
        <f>acute_overview_children!C163</f>
        <v>Cress and other sprouts and shoots</v>
      </c>
      <c r="D563" s="38">
        <f t="shared" si="90"/>
        <v>4</v>
      </c>
      <c r="E563" s="31"/>
      <c r="F563" s="31"/>
      <c r="G563" s="31"/>
      <c r="H563" s="31"/>
      <c r="I563" s="31"/>
      <c r="J563" s="31"/>
      <c r="K563" s="31"/>
      <c r="L563" s="31"/>
      <c r="M563" s="31"/>
      <c r="N563" s="31">
        <v>0</v>
      </c>
      <c r="O563" s="31">
        <v>4.7945205479452052E-2</v>
      </c>
      <c r="P563" s="31"/>
      <c r="Q563" s="31"/>
      <c r="R563" s="31"/>
      <c r="S563" s="31"/>
      <c r="T563" s="31"/>
      <c r="U563" s="31"/>
      <c r="V563" s="31"/>
      <c r="W563" s="31"/>
      <c r="X563" s="31"/>
      <c r="Y563" s="31"/>
      <c r="Z563" s="31"/>
      <c r="AA563" s="31"/>
      <c r="AB563" s="31"/>
      <c r="AC563" s="31">
        <v>3.8157894736842106E-2</v>
      </c>
      <c r="AD563" s="31">
        <v>7.6461769115442266E-2</v>
      </c>
      <c r="AE563" s="31"/>
      <c r="AF563" s="31"/>
      <c r="AG563" s="31"/>
      <c r="AH563" s="31"/>
      <c r="AI563" s="31"/>
      <c r="AJ563" s="31"/>
      <c r="AK563" s="433"/>
      <c r="AL563" s="31"/>
      <c r="AM563" s="31"/>
      <c r="AN563" s="31"/>
      <c r="AO563" s="592"/>
      <c r="AP563" s="31"/>
      <c r="AQ563" s="31"/>
      <c r="AR563" s="31"/>
      <c r="AS563" s="31"/>
      <c r="AT563" s="31"/>
      <c r="AU563" s="433"/>
    </row>
    <row r="564" spans="1:47" ht="15" customHeight="1" x14ac:dyDescent="0.2">
      <c r="A564" s="39">
        <f>acute_overview_children!A164</f>
        <v>4</v>
      </c>
      <c r="B564" s="26">
        <f>acute_overview_children!B164</f>
        <v>251050</v>
      </c>
      <c r="C564" s="23" t="str">
        <f>acute_overview_children!C164</f>
        <v xml:space="preserve">Land cress </v>
      </c>
      <c r="D564" s="38">
        <f t="shared" si="90"/>
        <v>4</v>
      </c>
      <c r="E564" s="31"/>
      <c r="F564" s="31"/>
      <c r="G564" s="31"/>
      <c r="H564" s="31"/>
      <c r="I564" s="31"/>
      <c r="J564" s="31"/>
      <c r="K564" s="31"/>
      <c r="L564" s="31"/>
      <c r="M564" s="31"/>
      <c r="N564" s="31">
        <v>0</v>
      </c>
      <c r="O564" s="31">
        <v>0</v>
      </c>
      <c r="P564" s="31"/>
      <c r="Q564" s="31"/>
      <c r="R564" s="31"/>
      <c r="S564" s="31"/>
      <c r="T564" s="31"/>
      <c r="U564" s="31"/>
      <c r="V564" s="31"/>
      <c r="W564" s="31"/>
      <c r="X564" s="31"/>
      <c r="Y564" s="31"/>
      <c r="Z564" s="31"/>
      <c r="AA564" s="31"/>
      <c r="AB564" s="31"/>
      <c r="AC564" s="31">
        <v>0</v>
      </c>
      <c r="AD564" s="31">
        <v>0</v>
      </c>
      <c r="AE564" s="31"/>
      <c r="AF564" s="31"/>
      <c r="AG564" s="31"/>
      <c r="AH564" s="31"/>
      <c r="AI564" s="31"/>
      <c r="AJ564" s="31"/>
      <c r="AK564" s="433"/>
      <c r="AL564" s="31"/>
      <c r="AM564" s="31"/>
      <c r="AN564" s="31"/>
      <c r="AO564" s="592"/>
      <c r="AP564" s="31"/>
      <c r="AQ564" s="31"/>
      <c r="AR564" s="31"/>
      <c r="AS564" s="31"/>
      <c r="AT564" s="31"/>
      <c r="AU564" s="433"/>
    </row>
    <row r="565" spans="1:47" ht="15" customHeight="1" x14ac:dyDescent="0.2">
      <c r="A565" s="39">
        <f>acute_overview_children!A165</f>
        <v>4</v>
      </c>
      <c r="B565" s="26">
        <f>acute_overview_children!B165</f>
        <v>251060</v>
      </c>
      <c r="C565" s="23" t="str">
        <f>acute_overview_children!C165</f>
        <v>Roman rocket/rucola</v>
      </c>
      <c r="D565" s="38">
        <f t="shared" si="90"/>
        <v>4</v>
      </c>
      <c r="E565" s="31"/>
      <c r="F565" s="31"/>
      <c r="G565" s="31"/>
      <c r="H565" s="31"/>
      <c r="I565" s="31"/>
      <c r="J565" s="31"/>
      <c r="K565" s="31"/>
      <c r="L565" s="31"/>
      <c r="M565" s="31"/>
      <c r="N565" s="31">
        <v>0</v>
      </c>
      <c r="O565" s="31">
        <v>0</v>
      </c>
      <c r="P565" s="31"/>
      <c r="Q565" s="31"/>
      <c r="R565" s="31"/>
      <c r="S565" s="31"/>
      <c r="T565" s="31"/>
      <c r="U565" s="31"/>
      <c r="V565" s="31"/>
      <c r="W565" s="31"/>
      <c r="X565" s="31"/>
      <c r="Y565" s="31"/>
      <c r="Z565" s="31"/>
      <c r="AA565" s="31"/>
      <c r="AB565" s="31"/>
      <c r="AC565" s="31">
        <v>0</v>
      </c>
      <c r="AD565" s="31">
        <v>0</v>
      </c>
      <c r="AE565" s="31"/>
      <c r="AF565" s="31"/>
      <c r="AG565" s="31"/>
      <c r="AH565" s="31"/>
      <c r="AI565" s="31"/>
      <c r="AJ565" s="31"/>
      <c r="AK565" s="433"/>
      <c r="AL565" s="31"/>
      <c r="AM565" s="31"/>
      <c r="AN565" s="31"/>
      <c r="AO565" s="592"/>
      <c r="AP565" s="31"/>
      <c r="AQ565" s="31"/>
      <c r="AR565" s="31"/>
      <c r="AS565" s="31"/>
      <c r="AT565" s="31"/>
      <c r="AU565" s="433"/>
    </row>
    <row r="566" spans="1:47" ht="15" customHeight="1" x14ac:dyDescent="0.2">
      <c r="A566" s="39">
        <f>acute_overview_children!A166</f>
        <v>4</v>
      </c>
      <c r="B566" s="26">
        <f>acute_overview_children!B166</f>
        <v>251070</v>
      </c>
      <c r="C566" s="23" t="str">
        <f>acute_overview_children!C166</f>
        <v>Red mustards</v>
      </c>
      <c r="D566" s="38">
        <f t="shared" si="90"/>
        <v>4</v>
      </c>
      <c r="E566" s="31"/>
      <c r="F566" s="31"/>
      <c r="G566" s="31"/>
      <c r="H566" s="31"/>
      <c r="I566" s="31"/>
      <c r="J566" s="31"/>
      <c r="K566" s="31"/>
      <c r="L566" s="31"/>
      <c r="M566" s="31"/>
      <c r="N566" s="31">
        <v>0</v>
      </c>
      <c r="O566" s="31">
        <v>0</v>
      </c>
      <c r="P566" s="31"/>
      <c r="Q566" s="31"/>
      <c r="R566" s="31"/>
      <c r="S566" s="31"/>
      <c r="T566" s="31"/>
      <c r="U566" s="31"/>
      <c r="V566" s="31"/>
      <c r="W566" s="31"/>
      <c r="X566" s="31"/>
      <c r="Y566" s="31"/>
      <c r="Z566" s="31"/>
      <c r="AA566" s="31"/>
      <c r="AB566" s="31"/>
      <c r="AC566" s="31">
        <v>0</v>
      </c>
      <c r="AD566" s="31">
        <v>0</v>
      </c>
      <c r="AE566" s="31"/>
      <c r="AF566" s="31"/>
      <c r="AG566" s="31"/>
      <c r="AH566" s="31"/>
      <c r="AI566" s="31"/>
      <c r="AJ566" s="31"/>
      <c r="AK566" s="433"/>
      <c r="AL566" s="31"/>
      <c r="AM566" s="31"/>
      <c r="AN566" s="31"/>
      <c r="AO566" s="592"/>
      <c r="AP566" s="31"/>
      <c r="AQ566" s="31"/>
      <c r="AR566" s="31"/>
      <c r="AS566" s="31"/>
      <c r="AT566" s="31"/>
      <c r="AU566" s="433"/>
    </row>
    <row r="567" spans="1:47" ht="15" customHeight="1" x14ac:dyDescent="0.2">
      <c r="A567" s="39">
        <f>acute_overview_children!A167</f>
        <v>4</v>
      </c>
      <c r="B567" s="26">
        <f>acute_overview_children!B167</f>
        <v>251080</v>
      </c>
      <c r="C567" s="23" t="str">
        <f>acute_overview_children!C167</f>
        <v>Baby leaf crops (including brassica species)</v>
      </c>
      <c r="D567" s="38">
        <f t="shared" si="90"/>
        <v>4</v>
      </c>
      <c r="E567" s="31"/>
      <c r="F567" s="31"/>
      <c r="G567" s="31"/>
      <c r="H567" s="31"/>
      <c r="I567" s="31"/>
      <c r="J567" s="31"/>
      <c r="K567" s="31"/>
      <c r="L567" s="31"/>
      <c r="M567" s="31"/>
      <c r="N567" s="31">
        <v>0</v>
      </c>
      <c r="O567" s="31">
        <v>0</v>
      </c>
      <c r="P567" s="31"/>
      <c r="Q567" s="31"/>
      <c r="R567" s="31"/>
      <c r="S567" s="31"/>
      <c r="T567" s="31"/>
      <c r="U567" s="31"/>
      <c r="V567" s="31"/>
      <c r="W567" s="31"/>
      <c r="X567" s="31"/>
      <c r="Y567" s="31"/>
      <c r="Z567" s="31"/>
      <c r="AA567" s="31"/>
      <c r="AB567" s="31"/>
      <c r="AC567" s="31">
        <v>0</v>
      </c>
      <c r="AD567" s="31">
        <v>0</v>
      </c>
      <c r="AE567" s="31"/>
      <c r="AF567" s="31"/>
      <c r="AG567" s="31"/>
      <c r="AH567" s="31"/>
      <c r="AI567" s="31"/>
      <c r="AJ567" s="31"/>
      <c r="AK567" s="433"/>
      <c r="AL567" s="31"/>
      <c r="AM567" s="31"/>
      <c r="AN567" s="31"/>
      <c r="AO567" s="592"/>
      <c r="AP567" s="31"/>
      <c r="AQ567" s="31"/>
      <c r="AR567" s="31"/>
      <c r="AS567" s="31"/>
      <c r="AT567" s="31"/>
      <c r="AU567" s="433"/>
    </row>
    <row r="568" spans="1:47" ht="15" customHeight="1" x14ac:dyDescent="0.2">
      <c r="A568" s="39">
        <f>acute_overview_children!A168</f>
        <v>4</v>
      </c>
      <c r="B568" s="23">
        <f>acute_overview_children!B168</f>
        <v>251990</v>
      </c>
      <c r="C568" s="23" t="str">
        <f>acute_overview_children!C168</f>
        <v>Other lettuce and other salad plants</v>
      </c>
      <c r="D568" s="38">
        <f t="shared" si="90"/>
        <v>4</v>
      </c>
      <c r="E568" s="31"/>
      <c r="F568" s="31"/>
      <c r="G568" s="31"/>
      <c r="H568" s="31"/>
      <c r="I568" s="31"/>
      <c r="J568" s="31"/>
      <c r="K568" s="31"/>
      <c r="L568" s="31"/>
      <c r="M568" s="31"/>
      <c r="N568" s="31">
        <v>0</v>
      </c>
      <c r="O568" s="31">
        <v>0</v>
      </c>
      <c r="P568" s="31"/>
      <c r="Q568" s="31"/>
      <c r="R568" s="31"/>
      <c r="S568" s="31"/>
      <c r="T568" s="31"/>
      <c r="U568" s="31"/>
      <c r="V568" s="31"/>
      <c r="W568" s="31"/>
      <c r="X568" s="31"/>
      <c r="Y568" s="31"/>
      <c r="Z568" s="31"/>
      <c r="AA568" s="31"/>
      <c r="AB568" s="31"/>
      <c r="AC568" s="31">
        <v>0</v>
      </c>
      <c r="AD568" s="31">
        <v>0</v>
      </c>
      <c r="AE568" s="31"/>
      <c r="AF568" s="31"/>
      <c r="AG568" s="31"/>
      <c r="AH568" s="31"/>
      <c r="AI568" s="31"/>
      <c r="AJ568" s="31"/>
      <c r="AK568" s="433"/>
      <c r="AL568" s="31"/>
      <c r="AM568" s="31"/>
      <c r="AN568" s="31"/>
      <c r="AO568" s="592"/>
      <c r="AP568" s="31"/>
      <c r="AQ568" s="31"/>
      <c r="AR568" s="31"/>
      <c r="AS568" s="31"/>
      <c r="AT568" s="31"/>
      <c r="AU568" s="433"/>
    </row>
    <row r="569" spans="1:47" ht="15" customHeight="1" x14ac:dyDescent="0.2">
      <c r="A569" s="132">
        <f>acute_overview_children!A169</f>
        <v>3</v>
      </c>
      <c r="B569" s="3">
        <f>acute_overview_children!B169</f>
        <v>252000</v>
      </c>
      <c r="C569" s="3" t="str">
        <f>acute_overview_children!C169</f>
        <v>Spinach &amp; similar (leaves)</v>
      </c>
      <c r="D569" s="38">
        <f t="shared" si="90"/>
        <v>4</v>
      </c>
      <c r="E569" s="48"/>
      <c r="F569" s="48"/>
      <c r="G569" s="48"/>
      <c r="H569" s="48"/>
      <c r="I569" s="48"/>
      <c r="J569" s="48"/>
      <c r="K569" s="48"/>
      <c r="L569" s="48"/>
      <c r="M569" s="48"/>
      <c r="N569" s="48">
        <v>0</v>
      </c>
      <c r="O569" s="48">
        <v>0</v>
      </c>
      <c r="P569" s="48"/>
      <c r="Q569" s="48"/>
      <c r="R569" s="48"/>
      <c r="S569" s="48"/>
      <c r="T569" s="48"/>
      <c r="U569" s="48"/>
      <c r="V569" s="48"/>
      <c r="W569" s="48"/>
      <c r="X569" s="48"/>
      <c r="Y569" s="48"/>
      <c r="Z569" s="48"/>
      <c r="AA569" s="48"/>
      <c r="AB569" s="48"/>
      <c r="AC569" s="48">
        <v>0</v>
      </c>
      <c r="AD569" s="48">
        <v>0</v>
      </c>
      <c r="AE569" s="48"/>
      <c r="AF569" s="48"/>
      <c r="AG569" s="48"/>
      <c r="AH569" s="48"/>
      <c r="AI569" s="48"/>
      <c r="AJ569" s="48"/>
      <c r="AK569" s="93"/>
      <c r="AL569" s="48"/>
      <c r="AM569" s="48"/>
      <c r="AN569" s="48"/>
      <c r="AO569" s="593"/>
      <c r="AP569" s="48"/>
      <c r="AQ569" s="48"/>
      <c r="AR569" s="48"/>
      <c r="AS569" s="48"/>
      <c r="AT569" s="48"/>
      <c r="AU569" s="93"/>
    </row>
    <row r="570" spans="1:47" ht="15" customHeight="1" x14ac:dyDescent="0.2">
      <c r="A570" s="39">
        <f>acute_overview_children!A170</f>
        <v>4</v>
      </c>
      <c r="B570" s="23">
        <f>acute_overview_children!B170</f>
        <v>252010</v>
      </c>
      <c r="C570" s="23" t="str">
        <f>acute_overview_children!C170</f>
        <v>Spinaches</v>
      </c>
      <c r="D570" s="38">
        <f t="shared" si="90"/>
        <v>4</v>
      </c>
      <c r="E570" s="31"/>
      <c r="F570" s="31"/>
      <c r="G570" s="31"/>
      <c r="H570" s="31"/>
      <c r="I570" s="31"/>
      <c r="J570" s="31"/>
      <c r="K570" s="31"/>
      <c r="L570" s="31"/>
      <c r="M570" s="31"/>
      <c r="N570" s="31">
        <v>1</v>
      </c>
      <c r="O570" s="31">
        <v>1.5547945205479452</v>
      </c>
      <c r="P570" s="31"/>
      <c r="Q570" s="31"/>
      <c r="R570" s="31">
        <v>0.13155818080000001</v>
      </c>
      <c r="S570" s="31"/>
      <c r="T570" s="31"/>
      <c r="U570" s="31"/>
      <c r="V570" s="31"/>
      <c r="W570" s="31"/>
      <c r="X570" s="31"/>
      <c r="Y570" s="31"/>
      <c r="Z570" s="31"/>
      <c r="AA570" s="31"/>
      <c r="AB570" s="31"/>
      <c r="AC570" s="31">
        <v>0.52500000000000002</v>
      </c>
      <c r="AD570" s="31">
        <v>0.68215892053973015</v>
      </c>
      <c r="AE570" s="31"/>
      <c r="AF570" s="31"/>
      <c r="AG570" s="31"/>
      <c r="AH570" s="31"/>
      <c r="AI570" s="31"/>
      <c r="AJ570" s="31"/>
      <c r="AK570" s="433"/>
      <c r="AL570" s="31"/>
      <c r="AM570" s="31"/>
      <c r="AN570" s="31">
        <v>0.74932458719999995</v>
      </c>
      <c r="AO570" s="592">
        <v>0.68938250729999995</v>
      </c>
      <c r="AP570" s="31"/>
      <c r="AQ570" s="31"/>
      <c r="AR570" s="31"/>
      <c r="AS570" s="31"/>
      <c r="AT570" s="31"/>
      <c r="AU570" s="433"/>
    </row>
    <row r="571" spans="1:47" ht="15" customHeight="1" x14ac:dyDescent="0.2">
      <c r="A571" s="39">
        <f>acute_overview_children!A171</f>
        <v>4</v>
      </c>
      <c r="B571" s="23">
        <f>acute_overview_children!B171</f>
        <v>252020</v>
      </c>
      <c r="C571" s="23" t="str">
        <f>acute_overview_children!C171</f>
        <v>Purslanes</v>
      </c>
      <c r="D571" s="38">
        <f t="shared" si="90"/>
        <v>4</v>
      </c>
      <c r="E571" s="31"/>
      <c r="F571" s="31"/>
      <c r="G571" s="31"/>
      <c r="H571" s="31"/>
      <c r="I571" s="31"/>
      <c r="J571" s="31"/>
      <c r="K571" s="31"/>
      <c r="L571" s="31"/>
      <c r="M571" s="31"/>
      <c r="N571" s="31">
        <v>0</v>
      </c>
      <c r="O571" s="31">
        <v>0</v>
      </c>
      <c r="P571" s="31"/>
      <c r="Q571" s="31"/>
      <c r="R571" s="31"/>
      <c r="S571" s="31"/>
      <c r="T571" s="31"/>
      <c r="U571" s="31"/>
      <c r="V571" s="31"/>
      <c r="W571" s="31"/>
      <c r="X571" s="31"/>
      <c r="Y571" s="31"/>
      <c r="Z571" s="31"/>
      <c r="AA571" s="31"/>
      <c r="AB571" s="31"/>
      <c r="AC571" s="31">
        <v>0</v>
      </c>
      <c r="AD571" s="31">
        <v>0</v>
      </c>
      <c r="AE571" s="31"/>
      <c r="AF571" s="31"/>
      <c r="AG571" s="31"/>
      <c r="AH571" s="31"/>
      <c r="AI571" s="31"/>
      <c r="AJ571" s="31"/>
      <c r="AK571" s="433"/>
      <c r="AL571" s="31"/>
      <c r="AM571" s="31"/>
      <c r="AN571" s="31"/>
      <c r="AO571" s="592"/>
      <c r="AP571" s="31"/>
      <c r="AQ571" s="31"/>
      <c r="AR571" s="31"/>
      <c r="AS571" s="31"/>
      <c r="AT571" s="31"/>
      <c r="AU571" s="433"/>
    </row>
    <row r="572" spans="1:47" ht="15" customHeight="1" x14ac:dyDescent="0.2">
      <c r="A572" s="39">
        <f>acute_overview_children!A172</f>
        <v>4</v>
      </c>
      <c r="B572" s="23">
        <f>acute_overview_children!B172</f>
        <v>252030</v>
      </c>
      <c r="C572" s="23" t="str">
        <f>acute_overview_children!C172</f>
        <v>Chards/beet leaves</v>
      </c>
      <c r="D572" s="38">
        <f t="shared" si="90"/>
        <v>4</v>
      </c>
      <c r="E572" s="31"/>
      <c r="F572" s="31"/>
      <c r="G572" s="31"/>
      <c r="H572" s="31"/>
      <c r="I572" s="31"/>
      <c r="J572" s="31"/>
      <c r="K572" s="31"/>
      <c r="L572" s="31"/>
      <c r="M572" s="31"/>
      <c r="N572" s="31">
        <v>0</v>
      </c>
      <c r="O572" s="31">
        <v>0</v>
      </c>
      <c r="P572" s="31"/>
      <c r="Q572" s="31"/>
      <c r="R572" s="31"/>
      <c r="S572" s="31"/>
      <c r="T572" s="31"/>
      <c r="U572" s="31"/>
      <c r="V572" s="31"/>
      <c r="W572" s="31"/>
      <c r="X572" s="31"/>
      <c r="Y572" s="31"/>
      <c r="Z572" s="31"/>
      <c r="AA572" s="31"/>
      <c r="AB572" s="31"/>
      <c r="AC572" s="31">
        <v>0</v>
      </c>
      <c r="AD572" s="31">
        <v>0</v>
      </c>
      <c r="AE572" s="31"/>
      <c r="AF572" s="31"/>
      <c r="AG572" s="31"/>
      <c r="AH572" s="31"/>
      <c r="AI572" s="31"/>
      <c r="AJ572" s="31"/>
      <c r="AK572" s="433"/>
      <c r="AL572" s="31"/>
      <c r="AM572" s="31"/>
      <c r="AN572" s="31"/>
      <c r="AO572" s="592"/>
      <c r="AP572" s="31"/>
      <c r="AQ572" s="31"/>
      <c r="AR572" s="31"/>
      <c r="AS572" s="31"/>
      <c r="AT572" s="31"/>
      <c r="AU572" s="433"/>
    </row>
    <row r="573" spans="1:47" ht="15" customHeight="1" x14ac:dyDescent="0.2">
      <c r="A573" s="39">
        <f>acute_overview_children!A173</f>
        <v>4</v>
      </c>
      <c r="B573" s="23">
        <f>acute_overview_children!B173</f>
        <v>252990</v>
      </c>
      <c r="C573" s="23" t="str">
        <f>acute_overview_children!C173</f>
        <v>Other spinach and similar</v>
      </c>
      <c r="D573" s="38">
        <f t="shared" si="90"/>
        <v>4</v>
      </c>
      <c r="E573" s="31"/>
      <c r="F573" s="31"/>
      <c r="G573" s="31"/>
      <c r="H573" s="31"/>
      <c r="I573" s="31"/>
      <c r="J573" s="31"/>
      <c r="K573" s="31"/>
      <c r="L573" s="31"/>
      <c r="M573" s="31"/>
      <c r="N573" s="31">
        <v>0</v>
      </c>
      <c r="O573" s="31">
        <v>0</v>
      </c>
      <c r="P573" s="31"/>
      <c r="Q573" s="31"/>
      <c r="R573" s="31"/>
      <c r="S573" s="31"/>
      <c r="T573" s="31"/>
      <c r="U573" s="31"/>
      <c r="V573" s="31"/>
      <c r="W573" s="31"/>
      <c r="X573" s="31"/>
      <c r="Y573" s="31"/>
      <c r="Z573" s="31"/>
      <c r="AA573" s="31"/>
      <c r="AB573" s="31"/>
      <c r="AC573" s="31">
        <v>0</v>
      </c>
      <c r="AD573" s="31">
        <v>0</v>
      </c>
      <c r="AE573" s="31"/>
      <c r="AF573" s="31"/>
      <c r="AG573" s="31"/>
      <c r="AH573" s="31"/>
      <c r="AI573" s="31"/>
      <c r="AJ573" s="31"/>
      <c r="AK573" s="433"/>
      <c r="AL573" s="31"/>
      <c r="AM573" s="31"/>
      <c r="AN573" s="31"/>
      <c r="AO573" s="592"/>
      <c r="AP573" s="31"/>
      <c r="AQ573" s="31"/>
      <c r="AR573" s="31"/>
      <c r="AS573" s="31"/>
      <c r="AT573" s="31"/>
      <c r="AU573" s="433"/>
    </row>
    <row r="574" spans="1:47" ht="15" customHeight="1" x14ac:dyDescent="0.2">
      <c r="A574" s="132">
        <f>acute_overview_children!A174</f>
        <v>3</v>
      </c>
      <c r="B574" s="3">
        <f>acute_overview_children!B174</f>
        <v>253000</v>
      </c>
      <c r="C574" s="3" t="str">
        <f>acute_overview_children!C174</f>
        <v>Grape leaves and similar species</v>
      </c>
      <c r="D574" s="38">
        <f t="shared" si="90"/>
        <v>3</v>
      </c>
      <c r="E574" s="48"/>
      <c r="F574" s="48"/>
      <c r="G574" s="48"/>
      <c r="H574" s="48"/>
      <c r="I574" s="48"/>
      <c r="J574" s="48"/>
      <c r="K574" s="48"/>
      <c r="L574" s="48"/>
      <c r="M574" s="48"/>
      <c r="N574" s="48">
        <v>0</v>
      </c>
      <c r="O574" s="48">
        <v>0</v>
      </c>
      <c r="P574" s="48"/>
      <c r="Q574" s="48"/>
      <c r="R574" s="48"/>
      <c r="S574" s="48"/>
      <c r="T574" s="48"/>
      <c r="U574" s="48"/>
      <c r="V574" s="48"/>
      <c r="W574" s="48"/>
      <c r="X574" s="48"/>
      <c r="Y574" s="48"/>
      <c r="Z574" s="48"/>
      <c r="AA574" s="48"/>
      <c r="AB574" s="48"/>
      <c r="AC574" s="48">
        <v>0</v>
      </c>
      <c r="AD574" s="48">
        <v>0</v>
      </c>
      <c r="AE574" s="48"/>
      <c r="AF574" s="48"/>
      <c r="AG574" s="48"/>
      <c r="AH574" s="48"/>
      <c r="AI574" s="48"/>
      <c r="AJ574" s="48"/>
      <c r="AK574" s="93"/>
      <c r="AL574" s="48"/>
      <c r="AM574" s="48"/>
      <c r="AN574" s="48"/>
      <c r="AO574" s="593"/>
      <c r="AP574" s="48"/>
      <c r="AQ574" s="48"/>
      <c r="AR574" s="48"/>
      <c r="AS574" s="48"/>
      <c r="AT574" s="48"/>
      <c r="AU574" s="93"/>
    </row>
    <row r="575" spans="1:47" ht="15" customHeight="1" x14ac:dyDescent="0.2">
      <c r="A575" s="132">
        <f>acute_overview_children!A175</f>
        <v>3</v>
      </c>
      <c r="B575" s="3">
        <f>acute_overview_children!B175</f>
        <v>254000</v>
      </c>
      <c r="C575" s="3" t="str">
        <f>acute_overview_children!C175</f>
        <v>Watercress</v>
      </c>
      <c r="D575" s="38">
        <f t="shared" si="90"/>
        <v>3</v>
      </c>
      <c r="E575" s="48"/>
      <c r="F575" s="48"/>
      <c r="G575" s="48"/>
      <c r="H575" s="48"/>
      <c r="I575" s="48"/>
      <c r="J575" s="48"/>
      <c r="K575" s="48"/>
      <c r="L575" s="48"/>
      <c r="M575" s="48"/>
      <c r="N575" s="48">
        <v>0</v>
      </c>
      <c r="O575" s="48">
        <v>0</v>
      </c>
      <c r="P575" s="48"/>
      <c r="Q575" s="48"/>
      <c r="R575" s="48"/>
      <c r="S575" s="48"/>
      <c r="T575" s="48"/>
      <c r="U575" s="48"/>
      <c r="V575" s="48"/>
      <c r="W575" s="48"/>
      <c r="X575" s="48"/>
      <c r="Y575" s="48"/>
      <c r="Z575" s="48"/>
      <c r="AA575" s="48"/>
      <c r="AB575" s="48"/>
      <c r="AC575" s="48">
        <v>0.15263157894736842</v>
      </c>
      <c r="AD575" s="48">
        <v>0.23088455772113942</v>
      </c>
      <c r="AE575" s="48"/>
      <c r="AF575" s="48"/>
      <c r="AG575" s="48"/>
      <c r="AH575" s="48"/>
      <c r="AI575" s="48"/>
      <c r="AJ575" s="48"/>
      <c r="AK575" s="93"/>
      <c r="AL575" s="48"/>
      <c r="AM575" s="48"/>
      <c r="AN575" s="48"/>
      <c r="AO575" s="593"/>
      <c r="AP575" s="48"/>
      <c r="AQ575" s="48"/>
      <c r="AR575" s="48"/>
      <c r="AS575" s="48"/>
      <c r="AT575" s="48"/>
      <c r="AU575" s="93"/>
    </row>
    <row r="576" spans="1:47" ht="15" customHeight="1" x14ac:dyDescent="0.2">
      <c r="A576" s="132">
        <f>acute_overview_children!A176</f>
        <v>3</v>
      </c>
      <c r="B576" s="3">
        <f>acute_overview_children!B176</f>
        <v>255000</v>
      </c>
      <c r="C576" s="3" t="str">
        <f>acute_overview_children!C176</f>
        <v>Witloofs/Belgian endives</v>
      </c>
      <c r="D576" s="38">
        <f t="shared" si="90"/>
        <v>3</v>
      </c>
      <c r="E576" s="48"/>
      <c r="F576" s="48"/>
      <c r="G576" s="48"/>
      <c r="H576" s="48"/>
      <c r="I576" s="48"/>
      <c r="J576" s="48"/>
      <c r="K576" s="48"/>
      <c r="L576" s="48"/>
      <c r="M576" s="48"/>
      <c r="N576" s="48">
        <v>0</v>
      </c>
      <c r="O576" s="48">
        <v>0</v>
      </c>
      <c r="P576" s="48"/>
      <c r="Q576" s="48"/>
      <c r="R576" s="48"/>
      <c r="S576" s="48"/>
      <c r="T576" s="48"/>
      <c r="U576" s="48"/>
      <c r="V576" s="48"/>
      <c r="W576" s="48"/>
      <c r="X576" s="48"/>
      <c r="Y576" s="48"/>
      <c r="Z576" s="48"/>
      <c r="AA576" s="48"/>
      <c r="AB576" s="48"/>
      <c r="AC576" s="48">
        <v>7.4999999999999997E-2</v>
      </c>
      <c r="AD576" s="48">
        <v>7.1964017991004492E-2</v>
      </c>
      <c r="AE576" s="48"/>
      <c r="AF576" s="48"/>
      <c r="AG576" s="48"/>
      <c r="AH576" s="48"/>
      <c r="AI576" s="48"/>
      <c r="AJ576" s="48"/>
      <c r="AK576" s="93"/>
      <c r="AL576" s="48"/>
      <c r="AM576" s="48"/>
      <c r="AN576" s="48"/>
      <c r="AO576" s="593"/>
      <c r="AP576" s="48"/>
      <c r="AQ576" s="48"/>
      <c r="AR576" s="48"/>
      <c r="AS576" s="48"/>
      <c r="AT576" s="48"/>
      <c r="AU576" s="93"/>
    </row>
    <row r="577" spans="1:47" ht="15" customHeight="1" x14ac:dyDescent="0.2">
      <c r="A577" s="132">
        <f>acute_overview_children!A177</f>
        <v>3</v>
      </c>
      <c r="B577" s="3">
        <f>acute_overview_children!B177</f>
        <v>256000</v>
      </c>
      <c r="C577" s="3" t="str">
        <f>acute_overview_children!C177</f>
        <v>Herbs and edible flowers</v>
      </c>
      <c r="D577" s="38">
        <f t="shared" si="90"/>
        <v>4</v>
      </c>
      <c r="E577" s="48"/>
      <c r="F577" s="48"/>
      <c r="G577" s="48"/>
      <c r="H577" s="48"/>
      <c r="I577" s="48"/>
      <c r="J577" s="48"/>
      <c r="K577" s="48"/>
      <c r="L577" s="48"/>
      <c r="M577" s="48"/>
      <c r="N577" s="48">
        <v>0</v>
      </c>
      <c r="O577" s="48">
        <v>0</v>
      </c>
      <c r="P577" s="48"/>
      <c r="Q577" s="48"/>
      <c r="R577" s="48">
        <v>2.52898467E-2</v>
      </c>
      <c r="S577" s="48"/>
      <c r="T577" s="48"/>
      <c r="U577" s="48"/>
      <c r="V577" s="48"/>
      <c r="W577" s="48"/>
      <c r="X577" s="48"/>
      <c r="Y577" s="48"/>
      <c r="Z577" s="48"/>
      <c r="AA577" s="48"/>
      <c r="AB577" s="48"/>
      <c r="AC577" s="48">
        <v>0</v>
      </c>
      <c r="AD577" s="48">
        <v>0</v>
      </c>
      <c r="AE577" s="48"/>
      <c r="AF577" s="48"/>
      <c r="AG577" s="48"/>
      <c r="AH577" s="48"/>
      <c r="AI577" s="48"/>
      <c r="AJ577" s="48"/>
      <c r="AK577" s="93"/>
      <c r="AL577" s="48"/>
      <c r="AM577" s="48"/>
      <c r="AN577" s="48">
        <v>9.0153261799999995E-2</v>
      </c>
      <c r="AO577" s="593">
        <v>6.4412235999999998E-2</v>
      </c>
      <c r="AP577" s="48"/>
      <c r="AQ577" s="48"/>
      <c r="AR577" s="48"/>
      <c r="AS577" s="48"/>
      <c r="AT577" s="48"/>
      <c r="AU577" s="93"/>
    </row>
    <row r="578" spans="1:47" ht="15" customHeight="1" x14ac:dyDescent="0.2">
      <c r="A578" s="39">
        <f>acute_overview_children!A178</f>
        <v>4</v>
      </c>
      <c r="B578" s="23">
        <f>acute_overview_children!B178</f>
        <v>256010</v>
      </c>
      <c r="C578" s="23" t="str">
        <f>acute_overview_children!C178</f>
        <v>Chervil</v>
      </c>
      <c r="D578" s="38">
        <f t="shared" si="90"/>
        <v>4</v>
      </c>
      <c r="E578" s="31"/>
      <c r="F578" s="31"/>
      <c r="G578" s="31"/>
      <c r="H578" s="31"/>
      <c r="I578" s="31"/>
      <c r="J578" s="31"/>
      <c r="K578" s="31"/>
      <c r="L578" s="31"/>
      <c r="M578" s="31"/>
      <c r="N578" s="31">
        <v>0</v>
      </c>
      <c r="O578" s="31">
        <v>0</v>
      </c>
      <c r="P578" s="31"/>
      <c r="Q578" s="31"/>
      <c r="R578" s="31"/>
      <c r="S578" s="31"/>
      <c r="T578" s="31"/>
      <c r="U578" s="31"/>
      <c r="V578" s="31"/>
      <c r="W578" s="31"/>
      <c r="X578" s="31"/>
      <c r="Y578" s="31"/>
      <c r="Z578" s="31"/>
      <c r="AA578" s="31"/>
      <c r="AB578" s="31"/>
      <c r="AC578" s="31">
        <v>0</v>
      </c>
      <c r="AD578" s="31">
        <v>0</v>
      </c>
      <c r="AE578" s="31"/>
      <c r="AF578" s="31"/>
      <c r="AG578" s="31"/>
      <c r="AH578" s="31"/>
      <c r="AI578" s="31"/>
      <c r="AJ578" s="31"/>
      <c r="AK578" s="433"/>
      <c r="AL578" s="31"/>
      <c r="AM578" s="31"/>
      <c r="AN578" s="31"/>
      <c r="AO578" s="592"/>
      <c r="AP578" s="31"/>
      <c r="AQ578" s="31"/>
      <c r="AR578" s="31"/>
      <c r="AS578" s="31"/>
      <c r="AT578" s="31"/>
      <c r="AU578" s="433"/>
    </row>
    <row r="579" spans="1:47" ht="15" customHeight="1" x14ac:dyDescent="0.2">
      <c r="A579" s="39">
        <f>acute_overview_children!A179</f>
        <v>4</v>
      </c>
      <c r="B579" s="23">
        <f>acute_overview_children!B179</f>
        <v>256020</v>
      </c>
      <c r="C579" s="23" t="str">
        <f>acute_overview_children!C179</f>
        <v>Chives</v>
      </c>
      <c r="D579" s="38">
        <f t="shared" si="90"/>
        <v>4</v>
      </c>
      <c r="E579" s="31"/>
      <c r="F579" s="31"/>
      <c r="G579" s="31"/>
      <c r="H579" s="31"/>
      <c r="I579" s="31"/>
      <c r="J579" s="31"/>
      <c r="K579" s="31"/>
      <c r="L579" s="31"/>
      <c r="M579" s="31"/>
      <c r="N579" s="31">
        <v>0</v>
      </c>
      <c r="O579" s="31">
        <v>0</v>
      </c>
      <c r="P579" s="31"/>
      <c r="Q579" s="31"/>
      <c r="R579" s="31"/>
      <c r="S579" s="31"/>
      <c r="T579" s="31"/>
      <c r="U579" s="31"/>
      <c r="V579" s="31"/>
      <c r="W579" s="31"/>
      <c r="X579" s="31"/>
      <c r="Y579" s="31"/>
      <c r="Z579" s="31"/>
      <c r="AA579" s="31"/>
      <c r="AB579" s="31"/>
      <c r="AC579" s="31">
        <v>0</v>
      </c>
      <c r="AD579" s="31">
        <v>0</v>
      </c>
      <c r="AE579" s="31"/>
      <c r="AF579" s="31"/>
      <c r="AG579" s="31"/>
      <c r="AH579" s="31"/>
      <c r="AI579" s="31"/>
      <c r="AJ579" s="31"/>
      <c r="AK579" s="433"/>
      <c r="AL579" s="31"/>
      <c r="AM579" s="31"/>
      <c r="AN579" s="31"/>
      <c r="AO579" s="592"/>
      <c r="AP579" s="31"/>
      <c r="AQ579" s="31"/>
      <c r="AR579" s="31"/>
      <c r="AS579" s="31"/>
      <c r="AT579" s="31"/>
      <c r="AU579" s="433"/>
    </row>
    <row r="580" spans="1:47" ht="15" customHeight="1" x14ac:dyDescent="0.2">
      <c r="A580" s="39">
        <f>acute_overview_children!A180</f>
        <v>4</v>
      </c>
      <c r="B580" s="23">
        <f>acute_overview_children!B180</f>
        <v>256030</v>
      </c>
      <c r="C580" s="23" t="str">
        <f>acute_overview_children!C180</f>
        <v>Celery leaves</v>
      </c>
      <c r="D580" s="38">
        <f t="shared" si="90"/>
        <v>4</v>
      </c>
      <c r="E580" s="31"/>
      <c r="F580" s="31"/>
      <c r="G580" s="31"/>
      <c r="H580" s="31"/>
      <c r="I580" s="31"/>
      <c r="J580" s="31"/>
      <c r="K580" s="31"/>
      <c r="L580" s="31"/>
      <c r="M580" s="31"/>
      <c r="N580" s="31">
        <v>0</v>
      </c>
      <c r="O580" s="31">
        <v>0</v>
      </c>
      <c r="P580" s="31"/>
      <c r="Q580" s="31"/>
      <c r="R580" s="31"/>
      <c r="S580" s="31"/>
      <c r="T580" s="31"/>
      <c r="U580" s="31"/>
      <c r="V580" s="31"/>
      <c r="W580" s="31"/>
      <c r="X580" s="31"/>
      <c r="Y580" s="31"/>
      <c r="Z580" s="31"/>
      <c r="AA580" s="31"/>
      <c r="AB580" s="31"/>
      <c r="AC580" s="31">
        <v>0</v>
      </c>
      <c r="AD580" s="31">
        <v>0</v>
      </c>
      <c r="AE580" s="31"/>
      <c r="AF580" s="31"/>
      <c r="AG580" s="31"/>
      <c r="AH580" s="31"/>
      <c r="AI580" s="31"/>
      <c r="AJ580" s="31"/>
      <c r="AK580" s="433"/>
      <c r="AL580" s="31"/>
      <c r="AM580" s="31"/>
      <c r="AN580" s="31"/>
      <c r="AO580" s="592"/>
      <c r="AP580" s="31"/>
      <c r="AQ580" s="31"/>
      <c r="AR580" s="31"/>
      <c r="AS580" s="31"/>
      <c r="AT580" s="31"/>
      <c r="AU580" s="433"/>
    </row>
    <row r="581" spans="1:47" ht="15" customHeight="1" x14ac:dyDescent="0.2">
      <c r="A581" s="39">
        <f>acute_overview_children!A181</f>
        <v>4</v>
      </c>
      <c r="B581" s="23">
        <f>acute_overview_children!B181</f>
        <v>256040</v>
      </c>
      <c r="C581" s="23" t="str">
        <f>acute_overview_children!C181</f>
        <v>Parsley</v>
      </c>
      <c r="D581" s="38">
        <f t="shared" si="90"/>
        <v>4</v>
      </c>
      <c r="E581" s="31"/>
      <c r="F581" s="31"/>
      <c r="G581" s="31"/>
      <c r="H581" s="31"/>
      <c r="I581" s="31"/>
      <c r="J581" s="31"/>
      <c r="K581" s="31"/>
      <c r="L581" s="31"/>
      <c r="M581" s="31"/>
      <c r="N581" s="31">
        <v>0</v>
      </c>
      <c r="O581" s="31">
        <v>0.10958904109589042</v>
      </c>
      <c r="P581" s="31"/>
      <c r="Q581" s="31"/>
      <c r="R581" s="31"/>
      <c r="S581" s="31"/>
      <c r="T581" s="31"/>
      <c r="U581" s="31"/>
      <c r="V581" s="31"/>
      <c r="W581" s="31"/>
      <c r="X581" s="31"/>
      <c r="Y581" s="31"/>
      <c r="Z581" s="31"/>
      <c r="AA581" s="31"/>
      <c r="AB581" s="31"/>
      <c r="AC581" s="31">
        <v>0.16973684210526316</v>
      </c>
      <c r="AD581" s="31">
        <v>0.17091454272863568</v>
      </c>
      <c r="AE581" s="31"/>
      <c r="AF581" s="31"/>
      <c r="AG581" s="31"/>
      <c r="AH581" s="31"/>
      <c r="AI581" s="31"/>
      <c r="AJ581" s="31"/>
      <c r="AK581" s="433"/>
      <c r="AL581" s="31"/>
      <c r="AM581" s="31"/>
      <c r="AN581" s="31"/>
      <c r="AO581" s="592"/>
      <c r="AP581" s="31"/>
      <c r="AQ581" s="31"/>
      <c r="AR581" s="31"/>
      <c r="AS581" s="31"/>
      <c r="AT581" s="31"/>
      <c r="AU581" s="433"/>
    </row>
    <row r="582" spans="1:47" ht="15" customHeight="1" x14ac:dyDescent="0.2">
      <c r="A582" s="39">
        <f>acute_overview_children!A182</f>
        <v>4</v>
      </c>
      <c r="B582" s="23">
        <f>acute_overview_children!B182</f>
        <v>256050</v>
      </c>
      <c r="C582" s="23" t="str">
        <f>acute_overview_children!C182</f>
        <v>Sage</v>
      </c>
      <c r="D582" s="38">
        <f t="shared" si="90"/>
        <v>4</v>
      </c>
      <c r="E582" s="31"/>
      <c r="F582" s="31"/>
      <c r="G582" s="31"/>
      <c r="H582" s="31"/>
      <c r="I582" s="31"/>
      <c r="J582" s="31"/>
      <c r="K582" s="31"/>
      <c r="L582" s="31"/>
      <c r="M582" s="31"/>
      <c r="N582" s="31">
        <v>0</v>
      </c>
      <c r="O582" s="31">
        <v>0</v>
      </c>
      <c r="P582" s="31"/>
      <c r="Q582" s="31"/>
      <c r="R582" s="31"/>
      <c r="S582" s="31"/>
      <c r="T582" s="31"/>
      <c r="U582" s="31"/>
      <c r="V582" s="31"/>
      <c r="W582" s="31"/>
      <c r="X582" s="31"/>
      <c r="Y582" s="31"/>
      <c r="Z582" s="31"/>
      <c r="AA582" s="31"/>
      <c r="AB582" s="31"/>
      <c r="AC582" s="31">
        <v>0</v>
      </c>
      <c r="AD582" s="31">
        <v>0</v>
      </c>
      <c r="AE582" s="31"/>
      <c r="AF582" s="31"/>
      <c r="AG582" s="31"/>
      <c r="AH582" s="31"/>
      <c r="AI582" s="31"/>
      <c r="AJ582" s="31"/>
      <c r="AK582" s="433"/>
      <c r="AL582" s="31"/>
      <c r="AM582" s="31"/>
      <c r="AN582" s="31"/>
      <c r="AO582" s="592"/>
      <c r="AP582" s="31"/>
      <c r="AQ582" s="31"/>
      <c r="AR582" s="31"/>
      <c r="AS582" s="31"/>
      <c r="AT582" s="31"/>
      <c r="AU582" s="433"/>
    </row>
    <row r="583" spans="1:47" ht="15" customHeight="1" x14ac:dyDescent="0.2">
      <c r="A583" s="39">
        <f>acute_overview_children!A183</f>
        <v>4</v>
      </c>
      <c r="B583" s="23">
        <f>acute_overview_children!B183</f>
        <v>256060</v>
      </c>
      <c r="C583" s="23" t="str">
        <f>acute_overview_children!C183</f>
        <v>Rosemary</v>
      </c>
      <c r="D583" s="38">
        <f t="shared" si="90"/>
        <v>4</v>
      </c>
      <c r="E583" s="31"/>
      <c r="F583" s="31"/>
      <c r="G583" s="31"/>
      <c r="H583" s="31"/>
      <c r="I583" s="31"/>
      <c r="J583" s="31"/>
      <c r="K583" s="31"/>
      <c r="L583" s="31"/>
      <c r="M583" s="31"/>
      <c r="N583" s="31">
        <v>0</v>
      </c>
      <c r="O583" s="31">
        <v>0</v>
      </c>
      <c r="P583" s="31"/>
      <c r="Q583" s="31"/>
      <c r="R583" s="31"/>
      <c r="S583" s="31"/>
      <c r="T583" s="31"/>
      <c r="U583" s="31"/>
      <c r="V583" s="31"/>
      <c r="W583" s="31"/>
      <c r="X583" s="31"/>
      <c r="Y583" s="31"/>
      <c r="Z583" s="31"/>
      <c r="AA583" s="31"/>
      <c r="AB583" s="31"/>
      <c r="AC583" s="31">
        <v>0</v>
      </c>
      <c r="AD583" s="31">
        <v>0</v>
      </c>
      <c r="AE583" s="31"/>
      <c r="AF583" s="31"/>
      <c r="AG583" s="31"/>
      <c r="AH583" s="31"/>
      <c r="AI583" s="31"/>
      <c r="AJ583" s="31"/>
      <c r="AK583" s="433"/>
      <c r="AL583" s="31"/>
      <c r="AM583" s="31"/>
      <c r="AN583" s="31"/>
      <c r="AO583" s="592"/>
      <c r="AP583" s="31"/>
      <c r="AQ583" s="31"/>
      <c r="AR583" s="31"/>
      <c r="AS583" s="31"/>
      <c r="AT583" s="31"/>
      <c r="AU583" s="433"/>
    </row>
    <row r="584" spans="1:47" ht="15" customHeight="1" x14ac:dyDescent="0.2">
      <c r="A584" s="39">
        <f>acute_overview_children!A184</f>
        <v>4</v>
      </c>
      <c r="B584" s="23">
        <f>acute_overview_children!B184</f>
        <v>256070</v>
      </c>
      <c r="C584" s="23" t="str">
        <f>acute_overview_children!C184</f>
        <v>Thyme</v>
      </c>
      <c r="D584" s="38">
        <f t="shared" si="90"/>
        <v>4</v>
      </c>
      <c r="E584" s="31"/>
      <c r="F584" s="31"/>
      <c r="G584" s="31"/>
      <c r="H584" s="31"/>
      <c r="I584" s="31"/>
      <c r="J584" s="31"/>
      <c r="K584" s="31"/>
      <c r="L584" s="31"/>
      <c r="M584" s="31"/>
      <c r="N584" s="31">
        <v>0</v>
      </c>
      <c r="O584" s="31">
        <v>0</v>
      </c>
      <c r="P584" s="31"/>
      <c r="Q584" s="31"/>
      <c r="R584" s="31"/>
      <c r="S584" s="31"/>
      <c r="T584" s="31"/>
      <c r="U584" s="31"/>
      <c r="V584" s="31"/>
      <c r="W584" s="31"/>
      <c r="X584" s="31"/>
      <c r="Y584" s="31"/>
      <c r="Z584" s="31"/>
      <c r="AA584" s="31"/>
      <c r="AB584" s="31"/>
      <c r="AC584" s="31">
        <v>0</v>
      </c>
      <c r="AD584" s="31">
        <v>0</v>
      </c>
      <c r="AE584" s="31"/>
      <c r="AF584" s="31"/>
      <c r="AG584" s="31"/>
      <c r="AH584" s="31"/>
      <c r="AI584" s="31"/>
      <c r="AJ584" s="31"/>
      <c r="AK584" s="433"/>
      <c r="AL584" s="31"/>
      <c r="AM584" s="31"/>
      <c r="AN584" s="31"/>
      <c r="AO584" s="592"/>
      <c r="AP584" s="31"/>
      <c r="AQ584" s="31"/>
      <c r="AR584" s="31"/>
      <c r="AS584" s="31"/>
      <c r="AT584" s="31"/>
      <c r="AU584" s="433"/>
    </row>
    <row r="585" spans="1:47" ht="15" customHeight="1" x14ac:dyDescent="0.2">
      <c r="A585" s="39">
        <f>acute_overview_children!A185</f>
        <v>4</v>
      </c>
      <c r="B585" s="23">
        <f>acute_overview_children!B185</f>
        <v>256080</v>
      </c>
      <c r="C585" s="23" t="str">
        <f>acute_overview_children!C185</f>
        <v>Basil and edible flowers</v>
      </c>
      <c r="D585" s="38">
        <f t="shared" si="90"/>
        <v>4</v>
      </c>
      <c r="E585" s="31"/>
      <c r="F585" s="31"/>
      <c r="G585" s="31"/>
      <c r="H585" s="31"/>
      <c r="I585" s="31"/>
      <c r="J585" s="31"/>
      <c r="K585" s="31"/>
      <c r="L585" s="31"/>
      <c r="M585" s="31"/>
      <c r="N585" s="31">
        <v>0</v>
      </c>
      <c r="O585" s="31">
        <v>0</v>
      </c>
      <c r="P585" s="31"/>
      <c r="Q585" s="31"/>
      <c r="R585" s="31"/>
      <c r="S585" s="31"/>
      <c r="T585" s="31"/>
      <c r="U585" s="31"/>
      <c r="V585" s="31"/>
      <c r="W585" s="31"/>
      <c r="X585" s="31"/>
      <c r="Y585" s="31"/>
      <c r="Z585" s="31"/>
      <c r="AA585" s="31"/>
      <c r="AB585" s="31"/>
      <c r="AC585" s="31">
        <v>0</v>
      </c>
      <c r="AD585" s="31">
        <v>0</v>
      </c>
      <c r="AE585" s="31"/>
      <c r="AF585" s="31"/>
      <c r="AG585" s="31"/>
      <c r="AH585" s="31"/>
      <c r="AI585" s="31"/>
      <c r="AJ585" s="31"/>
      <c r="AK585" s="433"/>
      <c r="AL585" s="31"/>
      <c r="AM585" s="31"/>
      <c r="AN585" s="31"/>
      <c r="AO585" s="592"/>
      <c r="AP585" s="31"/>
      <c r="AQ585" s="31"/>
      <c r="AR585" s="31"/>
      <c r="AS585" s="31"/>
      <c r="AT585" s="31"/>
      <c r="AU585" s="433"/>
    </row>
    <row r="586" spans="1:47" ht="15" customHeight="1" x14ac:dyDescent="0.2">
      <c r="A586" s="39">
        <f>acute_overview_children!A186</f>
        <v>4</v>
      </c>
      <c r="B586" s="23">
        <f>acute_overview_children!B186</f>
        <v>256090</v>
      </c>
      <c r="C586" s="23" t="str">
        <f>acute_overview_children!C186</f>
        <v>Laurel/bay leaves</v>
      </c>
      <c r="D586" s="38">
        <f t="shared" si="90"/>
        <v>4</v>
      </c>
      <c r="E586" s="31"/>
      <c r="F586" s="31"/>
      <c r="G586" s="31"/>
      <c r="H586" s="31"/>
      <c r="I586" s="31"/>
      <c r="J586" s="31"/>
      <c r="K586" s="31"/>
      <c r="L586" s="31"/>
      <c r="M586" s="31"/>
      <c r="N586" s="31">
        <v>0</v>
      </c>
      <c r="O586" s="31">
        <v>0</v>
      </c>
      <c r="P586" s="31"/>
      <c r="Q586" s="31"/>
      <c r="R586" s="31"/>
      <c r="S586" s="31"/>
      <c r="T586" s="31"/>
      <c r="U586" s="31"/>
      <c r="V586" s="31"/>
      <c r="W586" s="31"/>
      <c r="X586" s="31"/>
      <c r="Y586" s="31"/>
      <c r="Z586" s="31"/>
      <c r="AA586" s="31"/>
      <c r="AB586" s="31"/>
      <c r="AC586" s="31">
        <v>0</v>
      </c>
      <c r="AD586" s="31">
        <v>0</v>
      </c>
      <c r="AE586" s="31"/>
      <c r="AF586" s="31"/>
      <c r="AG586" s="31"/>
      <c r="AH586" s="31"/>
      <c r="AI586" s="31"/>
      <c r="AJ586" s="31"/>
      <c r="AK586" s="433"/>
      <c r="AL586" s="31"/>
      <c r="AM586" s="31"/>
      <c r="AN586" s="31"/>
      <c r="AO586" s="592"/>
      <c r="AP586" s="31"/>
      <c r="AQ586" s="31"/>
      <c r="AR586" s="31"/>
      <c r="AS586" s="31"/>
      <c r="AT586" s="31"/>
      <c r="AU586" s="433"/>
    </row>
    <row r="587" spans="1:47" ht="15" customHeight="1" x14ac:dyDescent="0.2">
      <c r="A587" s="39">
        <f>acute_overview_children!A187</f>
        <v>4</v>
      </c>
      <c r="B587" s="23">
        <f>acute_overview_children!B187</f>
        <v>256100</v>
      </c>
      <c r="C587" s="23" t="str">
        <f>acute_overview_children!C187</f>
        <v>Tarragon</v>
      </c>
      <c r="D587" s="38">
        <f t="shared" si="90"/>
        <v>4</v>
      </c>
      <c r="E587" s="31"/>
      <c r="F587" s="31"/>
      <c r="G587" s="31"/>
      <c r="H587" s="31"/>
      <c r="I587" s="31"/>
      <c r="J587" s="31"/>
      <c r="K587" s="31"/>
      <c r="L587" s="31"/>
      <c r="M587" s="31"/>
      <c r="N587" s="31">
        <v>0</v>
      </c>
      <c r="O587" s="31">
        <v>0</v>
      </c>
      <c r="P587" s="31"/>
      <c r="Q587" s="31"/>
      <c r="R587" s="31"/>
      <c r="S587" s="31"/>
      <c r="T587" s="31"/>
      <c r="U587" s="31"/>
      <c r="V587" s="31"/>
      <c r="W587" s="31"/>
      <c r="X587" s="31"/>
      <c r="Y587" s="31"/>
      <c r="Z587" s="31"/>
      <c r="AA587" s="31"/>
      <c r="AB587" s="31"/>
      <c r="AC587" s="31">
        <v>0</v>
      </c>
      <c r="AD587" s="31">
        <v>0</v>
      </c>
      <c r="AE587" s="31"/>
      <c r="AF587" s="31"/>
      <c r="AG587" s="31"/>
      <c r="AH587" s="31"/>
      <c r="AI587" s="31"/>
      <c r="AJ587" s="31"/>
      <c r="AK587" s="433"/>
      <c r="AL587" s="31"/>
      <c r="AM587" s="31"/>
      <c r="AN587" s="31"/>
      <c r="AO587" s="592"/>
      <c r="AP587" s="31"/>
      <c r="AQ587" s="31"/>
      <c r="AR587" s="31"/>
      <c r="AS587" s="31"/>
      <c r="AT587" s="31"/>
      <c r="AU587" s="433"/>
    </row>
    <row r="588" spans="1:47" ht="15" customHeight="1" x14ac:dyDescent="0.2">
      <c r="A588" s="39">
        <f>acute_overview_children!A188</f>
        <v>4</v>
      </c>
      <c r="B588" s="23">
        <f>acute_overview_children!B188</f>
        <v>256990</v>
      </c>
      <c r="C588" s="23" t="str">
        <f>acute_overview_children!C188</f>
        <v>Other herbs</v>
      </c>
      <c r="D588" s="38">
        <f t="shared" si="90"/>
        <v>4</v>
      </c>
      <c r="E588" s="31"/>
      <c r="F588" s="31"/>
      <c r="G588" s="31"/>
      <c r="H588" s="31"/>
      <c r="I588" s="31"/>
      <c r="J588" s="31"/>
      <c r="K588" s="31"/>
      <c r="L588" s="31"/>
      <c r="M588" s="31"/>
      <c r="N588" s="31">
        <v>0</v>
      </c>
      <c r="O588" s="31">
        <v>0</v>
      </c>
      <c r="P588" s="31"/>
      <c r="Q588" s="31"/>
      <c r="R588" s="31"/>
      <c r="S588" s="31"/>
      <c r="T588" s="31"/>
      <c r="U588" s="31"/>
      <c r="V588" s="31"/>
      <c r="W588" s="31"/>
      <c r="X588" s="31"/>
      <c r="Y588" s="31"/>
      <c r="Z588" s="31"/>
      <c r="AA588" s="31"/>
      <c r="AB588" s="31"/>
      <c r="AC588" s="31">
        <v>0</v>
      </c>
      <c r="AD588" s="31">
        <v>0</v>
      </c>
      <c r="AE588" s="31"/>
      <c r="AF588" s="31"/>
      <c r="AG588" s="31"/>
      <c r="AH588" s="31"/>
      <c r="AI588" s="31"/>
      <c r="AJ588" s="31"/>
      <c r="AK588" s="433"/>
      <c r="AL588" s="31"/>
      <c r="AM588" s="31"/>
      <c r="AN588" s="31"/>
      <c r="AO588" s="592"/>
      <c r="AP588" s="31"/>
      <c r="AQ588" s="31"/>
      <c r="AR588" s="31"/>
      <c r="AS588" s="31"/>
      <c r="AT588" s="31"/>
      <c r="AU588" s="433"/>
    </row>
    <row r="589" spans="1:47" ht="15" customHeight="1" x14ac:dyDescent="0.2">
      <c r="A589" s="515">
        <f>acute_overview_children!A189</f>
        <v>2</v>
      </c>
      <c r="B589" s="24">
        <f>acute_overview_children!B189</f>
        <v>260000</v>
      </c>
      <c r="C589" s="24" t="str">
        <f>acute_overview_children!C189</f>
        <v xml:space="preserve">Legume vegetables </v>
      </c>
      <c r="D589" s="38">
        <f t="shared" si="90"/>
        <v>4</v>
      </c>
      <c r="E589" s="55"/>
      <c r="F589" s="55"/>
      <c r="G589" s="55"/>
      <c r="H589" s="55"/>
      <c r="I589" s="55"/>
      <c r="J589" s="55"/>
      <c r="K589" s="55"/>
      <c r="L589" s="55"/>
      <c r="M589" s="55"/>
      <c r="N589" s="55">
        <v>2.6091954022988508</v>
      </c>
      <c r="O589" s="55">
        <v>2.2739726027397262</v>
      </c>
      <c r="P589" s="55"/>
      <c r="Q589" s="55"/>
      <c r="R589" s="55"/>
      <c r="S589" s="55"/>
      <c r="T589" s="55"/>
      <c r="U589" s="55"/>
      <c r="V589" s="55"/>
      <c r="W589" s="55"/>
      <c r="X589" s="55"/>
      <c r="Y589" s="55"/>
      <c r="Z589" s="55"/>
      <c r="AA589" s="55"/>
      <c r="AB589" s="55"/>
      <c r="AC589" s="55">
        <v>0.91447368421052633</v>
      </c>
      <c r="AD589" s="55">
        <v>1.2353823088455773</v>
      </c>
      <c r="AE589" s="55"/>
      <c r="AF589" s="55"/>
      <c r="AG589" s="55"/>
      <c r="AH589" s="55"/>
      <c r="AI589" s="55"/>
      <c r="AJ589" s="55"/>
      <c r="AK589" s="435"/>
      <c r="AL589" s="55"/>
      <c r="AM589" s="55"/>
      <c r="AN589" s="55"/>
      <c r="AO589" s="597"/>
      <c r="AP589" s="55"/>
      <c r="AQ589" s="55"/>
      <c r="AR589" s="55"/>
      <c r="AS589" s="55"/>
      <c r="AT589" s="55"/>
      <c r="AU589" s="435"/>
    </row>
    <row r="590" spans="1:47" ht="15" customHeight="1" x14ac:dyDescent="0.2">
      <c r="A590" s="39">
        <f>acute_overview_children!A190</f>
        <v>4</v>
      </c>
      <c r="B590" s="23">
        <f>acute_overview_children!B190</f>
        <v>260010</v>
      </c>
      <c r="C590" s="23" t="str">
        <f>acute_overview_children!C190</f>
        <v>Beans (with pods)</v>
      </c>
      <c r="D590" s="38">
        <f t="shared" si="90"/>
        <v>4</v>
      </c>
      <c r="E590" s="31"/>
      <c r="F590" s="31"/>
      <c r="G590" s="31"/>
      <c r="H590" s="31"/>
      <c r="I590" s="31"/>
      <c r="J590" s="31"/>
      <c r="K590" s="31"/>
      <c r="L590" s="31"/>
      <c r="M590" s="31"/>
      <c r="N590" s="31">
        <v>1.2068965517241381</v>
      </c>
      <c r="O590" s="31">
        <v>1.9109589041095889</v>
      </c>
      <c r="P590" s="31"/>
      <c r="Q590" s="31"/>
      <c r="R590" s="31">
        <v>7.7313210699999996E-2</v>
      </c>
      <c r="S590" s="31"/>
      <c r="T590" s="31"/>
      <c r="U590" s="31"/>
      <c r="V590" s="31"/>
      <c r="W590" s="31"/>
      <c r="X590" s="31"/>
      <c r="Y590" s="31"/>
      <c r="Z590" s="31"/>
      <c r="AA590" s="31"/>
      <c r="AB590" s="31"/>
      <c r="AC590" s="31">
        <v>0.52631578947368418</v>
      </c>
      <c r="AD590" s="31">
        <v>0.39730134932533734</v>
      </c>
      <c r="AE590" s="31"/>
      <c r="AF590" s="31"/>
      <c r="AG590" s="31"/>
      <c r="AH590" s="31"/>
      <c r="AI590" s="31"/>
      <c r="AJ590" s="31"/>
      <c r="AK590" s="433"/>
      <c r="AL590" s="31"/>
      <c r="AM590" s="31"/>
      <c r="AN590" s="31">
        <v>0</v>
      </c>
      <c r="AO590" s="592">
        <v>4.5182243E-3</v>
      </c>
      <c r="AP590" s="31"/>
      <c r="AQ590" s="31"/>
      <c r="AR590" s="31"/>
      <c r="AS590" s="31"/>
      <c r="AT590" s="31"/>
      <c r="AU590" s="433"/>
    </row>
    <row r="591" spans="1:47" ht="15" customHeight="1" x14ac:dyDescent="0.2">
      <c r="A591" s="39">
        <f>acute_overview_children!A191</f>
        <v>4</v>
      </c>
      <c r="B591" s="23">
        <f>acute_overview_children!B191</f>
        <v>260020</v>
      </c>
      <c r="C591" s="23" t="str">
        <f>acute_overview_children!C191</f>
        <v>Beans (without pods)</v>
      </c>
      <c r="D591" s="38">
        <f t="shared" si="90"/>
        <v>4</v>
      </c>
      <c r="E591" s="31"/>
      <c r="F591" s="31"/>
      <c r="G591" s="31"/>
      <c r="H591" s="31"/>
      <c r="I591" s="31"/>
      <c r="J591" s="31"/>
      <c r="K591" s="31"/>
      <c r="L591" s="31"/>
      <c r="M591" s="31"/>
      <c r="N591" s="31">
        <v>0.5862068965517242</v>
      </c>
      <c r="O591" s="31">
        <v>2.3835616438356162</v>
      </c>
      <c r="P591" s="31"/>
      <c r="Q591" s="31"/>
      <c r="R591" s="31"/>
      <c r="S591" s="31"/>
      <c r="T591" s="31"/>
      <c r="U591" s="31"/>
      <c r="V591" s="31"/>
      <c r="W591" s="31"/>
      <c r="X591" s="31"/>
      <c r="Y591" s="31"/>
      <c r="Z591" s="31"/>
      <c r="AA591" s="31"/>
      <c r="AB591" s="31"/>
      <c r="AC591" s="31">
        <v>0.43947368421052629</v>
      </c>
      <c r="AD591" s="31">
        <v>0.63118440779610197</v>
      </c>
      <c r="AE591" s="31"/>
      <c r="AF591" s="31"/>
      <c r="AG591" s="31"/>
      <c r="AH591" s="31"/>
      <c r="AI591" s="31"/>
      <c r="AJ591" s="31"/>
      <c r="AK591" s="433"/>
      <c r="AL591" s="31"/>
      <c r="AM591" s="31"/>
      <c r="AN591" s="31"/>
      <c r="AO591" s="592"/>
      <c r="AP591" s="31"/>
      <c r="AQ591" s="31"/>
      <c r="AR591" s="31"/>
      <c r="AS591" s="31"/>
      <c r="AT591" s="31"/>
      <c r="AU591" s="433"/>
    </row>
    <row r="592" spans="1:47" ht="15" customHeight="1" x14ac:dyDescent="0.2">
      <c r="A592" s="39">
        <f>acute_overview_children!A192</f>
        <v>4</v>
      </c>
      <c r="B592" s="23">
        <f>acute_overview_children!B192</f>
        <v>260030</v>
      </c>
      <c r="C592" s="23" t="str">
        <f>acute_overview_children!C192</f>
        <v>Peas (with pods)</v>
      </c>
      <c r="D592" s="38">
        <f t="shared" si="90"/>
        <v>4</v>
      </c>
      <c r="E592" s="31"/>
      <c r="F592" s="31"/>
      <c r="G592" s="31"/>
      <c r="H592" s="31"/>
      <c r="I592" s="31"/>
      <c r="J592" s="31"/>
      <c r="K592" s="31"/>
      <c r="L592" s="31"/>
      <c r="M592" s="31"/>
      <c r="N592" s="31">
        <v>0</v>
      </c>
      <c r="O592" s="31">
        <v>0.46575342465753422</v>
      </c>
      <c r="P592" s="31"/>
      <c r="Q592" s="31"/>
      <c r="R592" s="31"/>
      <c r="S592" s="31"/>
      <c r="T592" s="31"/>
      <c r="U592" s="31"/>
      <c r="V592" s="31"/>
      <c r="W592" s="31"/>
      <c r="X592" s="31"/>
      <c r="Y592" s="31"/>
      <c r="Z592" s="31"/>
      <c r="AA592" s="31"/>
      <c r="AB592" s="31"/>
      <c r="AC592" s="31">
        <v>0.28421052631578947</v>
      </c>
      <c r="AD592" s="31">
        <v>0.2533733133433283</v>
      </c>
      <c r="AE592" s="31"/>
      <c r="AF592" s="31"/>
      <c r="AG592" s="31"/>
      <c r="AH592" s="31"/>
      <c r="AI592" s="31"/>
      <c r="AJ592" s="31"/>
      <c r="AK592" s="433"/>
      <c r="AL592" s="31"/>
      <c r="AM592" s="31"/>
      <c r="AN592" s="31"/>
      <c r="AO592" s="592"/>
      <c r="AP592" s="31"/>
      <c r="AQ592" s="31"/>
      <c r="AR592" s="31"/>
      <c r="AS592" s="31"/>
      <c r="AT592" s="31"/>
      <c r="AU592" s="433"/>
    </row>
    <row r="593" spans="1:47" ht="15" customHeight="1" x14ac:dyDescent="0.2">
      <c r="A593" s="39">
        <f>acute_overview_children!A193</f>
        <v>4</v>
      </c>
      <c r="B593" s="23">
        <f>acute_overview_children!B193</f>
        <v>260040</v>
      </c>
      <c r="C593" s="23" t="str">
        <f>acute_overview_children!C193</f>
        <v>Peas (without pods)</v>
      </c>
      <c r="D593" s="38">
        <f t="shared" si="90"/>
        <v>4</v>
      </c>
      <c r="E593" s="31"/>
      <c r="F593" s="31"/>
      <c r="G593" s="31"/>
      <c r="H593" s="31"/>
      <c r="I593" s="31"/>
      <c r="J593" s="31"/>
      <c r="K593" s="31"/>
      <c r="L593" s="31"/>
      <c r="M593" s="31"/>
      <c r="N593" s="31">
        <v>2.4022988505747125</v>
      </c>
      <c r="O593" s="31">
        <v>2.0205479452054793</v>
      </c>
      <c r="P593" s="31"/>
      <c r="Q593" s="31"/>
      <c r="R593" s="31">
        <v>0.1426940639</v>
      </c>
      <c r="S593" s="31"/>
      <c r="T593" s="31"/>
      <c r="U593" s="31"/>
      <c r="V593" s="31"/>
      <c r="W593" s="31"/>
      <c r="X593" s="31"/>
      <c r="Y593" s="31"/>
      <c r="Z593" s="31"/>
      <c r="AA593" s="31"/>
      <c r="AB593" s="31"/>
      <c r="AC593" s="31">
        <v>0.77105263157894743</v>
      </c>
      <c r="AD593" s="31">
        <v>0.8710644677661169</v>
      </c>
      <c r="AE593" s="31"/>
      <c r="AF593" s="31"/>
      <c r="AG593" s="31"/>
      <c r="AH593" s="31"/>
      <c r="AI593" s="31"/>
      <c r="AJ593" s="31"/>
      <c r="AK593" s="433"/>
      <c r="AL593" s="31"/>
      <c r="AM593" s="31"/>
      <c r="AN593" s="31">
        <v>0.87440719180000004</v>
      </c>
      <c r="AO593" s="592">
        <v>0.79636531160000001</v>
      </c>
      <c r="AP593" s="31"/>
      <c r="AQ593" s="31"/>
      <c r="AR593" s="31"/>
      <c r="AS593" s="31"/>
      <c r="AT593" s="31"/>
      <c r="AU593" s="433"/>
    </row>
    <row r="594" spans="1:47" ht="15" customHeight="1" x14ac:dyDescent="0.2">
      <c r="A594" s="39">
        <f>acute_overview_children!A194</f>
        <v>4</v>
      </c>
      <c r="B594" s="23">
        <f>acute_overview_children!B194</f>
        <v>260050</v>
      </c>
      <c r="C594" s="23" t="str">
        <f>acute_overview_children!C194</f>
        <v>Lentils (fresh)</v>
      </c>
      <c r="D594" s="38">
        <f t="shared" si="90"/>
        <v>4</v>
      </c>
      <c r="E594" s="31"/>
      <c r="F594" s="31"/>
      <c r="G594" s="31"/>
      <c r="H594" s="31"/>
      <c r="I594" s="31"/>
      <c r="J594" s="31"/>
      <c r="K594" s="31"/>
      <c r="L594" s="31"/>
      <c r="M594" s="31"/>
      <c r="N594" s="31">
        <v>0</v>
      </c>
      <c r="O594" s="31">
        <v>0</v>
      </c>
      <c r="P594" s="31"/>
      <c r="Q594" s="31"/>
      <c r="R594" s="31"/>
      <c r="S594" s="31"/>
      <c r="T594" s="31"/>
      <c r="U594" s="31"/>
      <c r="V594" s="31"/>
      <c r="W594" s="31"/>
      <c r="X594" s="31"/>
      <c r="Y594" s="31"/>
      <c r="Z594" s="31"/>
      <c r="AA594" s="31"/>
      <c r="AB594" s="31"/>
      <c r="AC594" s="31">
        <v>0</v>
      </c>
      <c r="AD594" s="31">
        <v>0</v>
      </c>
      <c r="AE594" s="31"/>
      <c r="AF594" s="31"/>
      <c r="AG594" s="31"/>
      <c r="AH594" s="31"/>
      <c r="AI594" s="31"/>
      <c r="AJ594" s="31"/>
      <c r="AK594" s="433"/>
      <c r="AL594" s="31"/>
      <c r="AM594" s="31"/>
      <c r="AN594" s="31"/>
      <c r="AO594" s="592"/>
      <c r="AP594" s="31"/>
      <c r="AQ594" s="31"/>
      <c r="AR594" s="31"/>
      <c r="AS594" s="31"/>
      <c r="AT594" s="31"/>
      <c r="AU594" s="433"/>
    </row>
    <row r="595" spans="1:47" ht="15" customHeight="1" x14ac:dyDescent="0.2">
      <c r="A595" s="39">
        <f>acute_overview_children!A195</f>
        <v>4</v>
      </c>
      <c r="B595" s="23">
        <f>acute_overview_children!B195</f>
        <v>260990</v>
      </c>
      <c r="C595" s="23" t="str">
        <f>acute_overview_children!C195</f>
        <v>Other legume vegetables (fresh)</v>
      </c>
      <c r="D595" s="38">
        <f t="shared" si="90"/>
        <v>4</v>
      </c>
      <c r="E595" s="31"/>
      <c r="F595" s="31"/>
      <c r="G595" s="31"/>
      <c r="H595" s="31"/>
      <c r="I595" s="31"/>
      <c r="J595" s="31"/>
      <c r="K595" s="31"/>
      <c r="L595" s="31"/>
      <c r="M595" s="31"/>
      <c r="N595" s="31">
        <v>0</v>
      </c>
      <c r="O595" s="31">
        <v>0</v>
      </c>
      <c r="P595" s="31"/>
      <c r="Q595" s="31"/>
      <c r="R595" s="31"/>
      <c r="S595" s="31"/>
      <c r="T595" s="31"/>
      <c r="U595" s="31"/>
      <c r="V595" s="31"/>
      <c r="W595" s="31"/>
      <c r="X595" s="31"/>
      <c r="Y595" s="31"/>
      <c r="Z595" s="31"/>
      <c r="AA595" s="31"/>
      <c r="AB595" s="31"/>
      <c r="AC595" s="31">
        <v>0</v>
      </c>
      <c r="AD595" s="31">
        <v>0</v>
      </c>
      <c r="AE595" s="31"/>
      <c r="AF595" s="31"/>
      <c r="AG595" s="31"/>
      <c r="AH595" s="31"/>
      <c r="AI595" s="31"/>
      <c r="AJ595" s="31"/>
      <c r="AK595" s="433"/>
      <c r="AL595" s="31"/>
      <c r="AM595" s="31"/>
      <c r="AN595" s="31"/>
      <c r="AO595" s="592"/>
      <c r="AP595" s="31"/>
      <c r="AQ595" s="31"/>
      <c r="AR595" s="31"/>
      <c r="AS595" s="31"/>
      <c r="AT595" s="31"/>
      <c r="AU595" s="433"/>
    </row>
    <row r="596" spans="1:47" ht="15" customHeight="1" x14ac:dyDescent="0.2">
      <c r="A596" s="515">
        <f>acute_overview_children!A196</f>
        <v>2</v>
      </c>
      <c r="B596" s="24">
        <f>acute_overview_children!B196</f>
        <v>270000</v>
      </c>
      <c r="C596" s="24" t="str">
        <f>acute_overview_children!C196</f>
        <v xml:space="preserve">Stem vegetables </v>
      </c>
      <c r="D596" s="38">
        <f t="shared" si="90"/>
        <v>4</v>
      </c>
      <c r="E596" s="55"/>
      <c r="F596" s="55"/>
      <c r="G596" s="55"/>
      <c r="H596" s="55"/>
      <c r="I596" s="55"/>
      <c r="J596" s="55"/>
      <c r="K596" s="55"/>
      <c r="L596" s="55"/>
      <c r="M596" s="55"/>
      <c r="N596" s="55">
        <v>0.4942528735632184</v>
      </c>
      <c r="O596" s="55">
        <v>0.8904109589041096</v>
      </c>
      <c r="P596" s="55"/>
      <c r="Q596" s="55"/>
      <c r="R596" s="55"/>
      <c r="S596" s="55"/>
      <c r="T596" s="55"/>
      <c r="U596" s="55"/>
      <c r="V596" s="55"/>
      <c r="W596" s="55"/>
      <c r="X596" s="55"/>
      <c r="Y596" s="55"/>
      <c r="Z596" s="55"/>
      <c r="AA596" s="55"/>
      <c r="AB596" s="55"/>
      <c r="AC596" s="55">
        <v>0.54473684210526319</v>
      </c>
      <c r="AD596" s="55">
        <v>0.80359820089955025</v>
      </c>
      <c r="AE596" s="55"/>
      <c r="AF596" s="55"/>
      <c r="AG596" s="55"/>
      <c r="AH596" s="55"/>
      <c r="AI596" s="55"/>
      <c r="AJ596" s="55"/>
      <c r="AK596" s="435"/>
      <c r="AL596" s="55"/>
      <c r="AM596" s="55"/>
      <c r="AN596" s="55"/>
      <c r="AO596" s="597"/>
      <c r="AP596" s="55"/>
      <c r="AQ596" s="55"/>
      <c r="AR596" s="55"/>
      <c r="AS596" s="55"/>
      <c r="AT596" s="55"/>
      <c r="AU596" s="435"/>
    </row>
    <row r="597" spans="1:47" ht="15" customHeight="1" x14ac:dyDescent="0.2">
      <c r="A597" s="39">
        <f>acute_overview_children!A197</f>
        <v>4</v>
      </c>
      <c r="B597" s="23">
        <f>acute_overview_children!B197</f>
        <v>270010</v>
      </c>
      <c r="C597" s="23" t="str">
        <f>acute_overview_children!C197</f>
        <v>Asparagus</v>
      </c>
      <c r="D597" s="38">
        <f t="shared" si="90"/>
        <v>4</v>
      </c>
      <c r="E597" s="31"/>
      <c r="F597" s="31"/>
      <c r="G597" s="31"/>
      <c r="H597" s="31"/>
      <c r="I597" s="31"/>
      <c r="J597" s="31"/>
      <c r="K597" s="31"/>
      <c r="L597" s="31"/>
      <c r="M597" s="31"/>
      <c r="N597" s="31">
        <v>0</v>
      </c>
      <c r="O597" s="31">
        <v>0</v>
      </c>
      <c r="P597" s="31"/>
      <c r="Q597" s="31"/>
      <c r="R597" s="31">
        <v>8.1260363000000002E-3</v>
      </c>
      <c r="S597" s="31"/>
      <c r="T597" s="31"/>
      <c r="U597" s="31"/>
      <c r="V597" s="31"/>
      <c r="W597" s="31"/>
      <c r="X597" s="31"/>
      <c r="Y597" s="31"/>
      <c r="Z597" s="31"/>
      <c r="AA597" s="31"/>
      <c r="AB597" s="31"/>
      <c r="AC597" s="31">
        <v>0.40526315789473683</v>
      </c>
      <c r="AD597" s="31">
        <v>0.79310344827586199</v>
      </c>
      <c r="AE597" s="31"/>
      <c r="AF597" s="31"/>
      <c r="AG597" s="31"/>
      <c r="AH597" s="31"/>
      <c r="AI597" s="31"/>
      <c r="AJ597" s="31"/>
      <c r="AK597" s="433"/>
      <c r="AL597" s="31"/>
      <c r="AM597" s="31"/>
      <c r="AN597" s="31">
        <v>0</v>
      </c>
      <c r="AO597" s="592">
        <v>0</v>
      </c>
      <c r="AP597" s="31"/>
      <c r="AQ597" s="31"/>
      <c r="AR597" s="31"/>
      <c r="AS597" s="31"/>
      <c r="AT597" s="31"/>
      <c r="AU597" s="433"/>
    </row>
    <row r="598" spans="1:47" ht="15" customHeight="1" x14ac:dyDescent="0.2">
      <c r="A598" s="39">
        <f>acute_overview_children!A198</f>
        <v>4</v>
      </c>
      <c r="B598" s="23">
        <f>acute_overview_children!B198</f>
        <v>270020</v>
      </c>
      <c r="C598" s="23" t="str">
        <f>acute_overview_children!C198</f>
        <v>Cardoons</v>
      </c>
      <c r="D598" s="38">
        <f t="shared" si="90"/>
        <v>4</v>
      </c>
      <c r="E598" s="31"/>
      <c r="F598" s="31"/>
      <c r="G598" s="31"/>
      <c r="H598" s="31"/>
      <c r="I598" s="31"/>
      <c r="J598" s="31"/>
      <c r="K598" s="31"/>
      <c r="L598" s="31"/>
      <c r="M598" s="31"/>
      <c r="N598" s="31">
        <v>0</v>
      </c>
      <c r="O598" s="31">
        <v>0</v>
      </c>
      <c r="P598" s="31"/>
      <c r="Q598" s="31"/>
      <c r="R598" s="31"/>
      <c r="S598" s="31"/>
      <c r="T598" s="31"/>
      <c r="U598" s="31"/>
      <c r="V598" s="31"/>
      <c r="W598" s="31"/>
      <c r="X598" s="31"/>
      <c r="Y598" s="31"/>
      <c r="Z598" s="31"/>
      <c r="AA598" s="31"/>
      <c r="AB598" s="31"/>
      <c r="AC598" s="31">
        <v>0</v>
      </c>
      <c r="AD598" s="31">
        <v>0</v>
      </c>
      <c r="AE598" s="31"/>
      <c r="AF598" s="31"/>
      <c r="AG598" s="31"/>
      <c r="AH598" s="31"/>
      <c r="AI598" s="31"/>
      <c r="AJ598" s="31"/>
      <c r="AK598" s="433"/>
      <c r="AL598" s="31"/>
      <c r="AM598" s="31"/>
      <c r="AN598" s="31"/>
      <c r="AO598" s="592"/>
      <c r="AP598" s="31"/>
      <c r="AQ598" s="31"/>
      <c r="AR598" s="31"/>
      <c r="AS598" s="31"/>
      <c r="AT598" s="31"/>
      <c r="AU598" s="433"/>
    </row>
    <row r="599" spans="1:47" ht="15" customHeight="1" x14ac:dyDescent="0.2">
      <c r="A599" s="39">
        <f>acute_overview_children!A199</f>
        <v>4</v>
      </c>
      <c r="B599" s="23">
        <f>acute_overview_children!B199</f>
        <v>270030</v>
      </c>
      <c r="C599" s="23" t="str">
        <f>acute_overview_children!C199</f>
        <v>Celeries</v>
      </c>
      <c r="D599" s="38">
        <f t="shared" si="90"/>
        <v>4</v>
      </c>
      <c r="E599" s="31"/>
      <c r="F599" s="31"/>
      <c r="G599" s="31"/>
      <c r="H599" s="31"/>
      <c r="I599" s="31"/>
      <c r="J599" s="31"/>
      <c r="K599" s="31"/>
      <c r="L599" s="31"/>
      <c r="M599" s="31"/>
      <c r="N599" s="31">
        <v>0.42528735632183912</v>
      </c>
      <c r="O599" s="31">
        <v>0.4178082191780822</v>
      </c>
      <c r="P599" s="31"/>
      <c r="Q599" s="31"/>
      <c r="R599" s="31">
        <v>2.15982721E-2</v>
      </c>
      <c r="S599" s="31"/>
      <c r="T599" s="31"/>
      <c r="U599" s="31"/>
      <c r="V599" s="31"/>
      <c r="W599" s="31"/>
      <c r="X599" s="31"/>
      <c r="Y599" s="31"/>
      <c r="Z599" s="31"/>
      <c r="AA599" s="31"/>
      <c r="AB599" s="31"/>
      <c r="AC599" s="31">
        <v>0.32631578947368423</v>
      </c>
      <c r="AD599" s="31">
        <v>0.45877061469265368</v>
      </c>
      <c r="AE599" s="31"/>
      <c r="AF599" s="31"/>
      <c r="AG599" s="31"/>
      <c r="AH599" s="31"/>
      <c r="AI599" s="31"/>
      <c r="AJ599" s="31"/>
      <c r="AK599" s="433"/>
      <c r="AL599" s="31"/>
      <c r="AM599" s="31"/>
      <c r="AN599" s="31">
        <v>0</v>
      </c>
      <c r="AO599" s="592">
        <v>0</v>
      </c>
      <c r="AP599" s="31"/>
      <c r="AQ599" s="31"/>
      <c r="AR599" s="31"/>
      <c r="AS599" s="31"/>
      <c r="AT599" s="31"/>
      <c r="AU599" s="433"/>
    </row>
    <row r="600" spans="1:47" ht="15" customHeight="1" x14ac:dyDescent="0.2">
      <c r="A600" s="39">
        <f>acute_overview_children!A200</f>
        <v>4</v>
      </c>
      <c r="B600" s="23">
        <f>acute_overview_children!B200</f>
        <v>270040</v>
      </c>
      <c r="C600" s="23" t="str">
        <f>acute_overview_children!C200</f>
        <v>Florence fennels</v>
      </c>
      <c r="D600" s="38">
        <f t="shared" si="90"/>
        <v>4</v>
      </c>
      <c r="E600" s="31"/>
      <c r="F600" s="31"/>
      <c r="G600" s="31"/>
      <c r="H600" s="31"/>
      <c r="I600" s="31"/>
      <c r="J600" s="31"/>
      <c r="K600" s="31"/>
      <c r="L600" s="31"/>
      <c r="M600" s="31"/>
      <c r="N600" s="31">
        <v>0</v>
      </c>
      <c r="O600" s="31">
        <v>0</v>
      </c>
      <c r="P600" s="31"/>
      <c r="Q600" s="31"/>
      <c r="R600" s="31"/>
      <c r="S600" s="31"/>
      <c r="T600" s="31"/>
      <c r="U600" s="31"/>
      <c r="V600" s="31"/>
      <c r="W600" s="31"/>
      <c r="X600" s="31"/>
      <c r="Y600" s="31"/>
      <c r="Z600" s="31"/>
      <c r="AA600" s="31"/>
      <c r="AB600" s="31"/>
      <c r="AC600" s="31">
        <v>0.38289473684210529</v>
      </c>
      <c r="AD600" s="31">
        <v>0</v>
      </c>
      <c r="AE600" s="31"/>
      <c r="AF600" s="31"/>
      <c r="AG600" s="31"/>
      <c r="AH600" s="31"/>
      <c r="AI600" s="31"/>
      <c r="AJ600" s="31"/>
      <c r="AK600" s="433"/>
      <c r="AL600" s="31"/>
      <c r="AM600" s="31"/>
      <c r="AN600" s="31"/>
      <c r="AO600" s="592"/>
      <c r="AP600" s="31"/>
      <c r="AQ600" s="31"/>
      <c r="AR600" s="31"/>
      <c r="AS600" s="31"/>
      <c r="AT600" s="31"/>
      <c r="AU600" s="433"/>
    </row>
    <row r="601" spans="1:47" ht="15" customHeight="1" x14ac:dyDescent="0.2">
      <c r="A601" s="39">
        <f>acute_overview_children!A201</f>
        <v>4</v>
      </c>
      <c r="B601" s="23">
        <f>acute_overview_children!B201</f>
        <v>270050</v>
      </c>
      <c r="C601" s="23" t="str">
        <f>acute_overview_children!C201</f>
        <v>Globe artichokes</v>
      </c>
      <c r="D601" s="38">
        <f t="shared" si="90"/>
        <v>4</v>
      </c>
      <c r="E601" s="31"/>
      <c r="F601" s="31"/>
      <c r="G601" s="31"/>
      <c r="H601" s="31"/>
      <c r="I601" s="31"/>
      <c r="J601" s="31"/>
      <c r="K601" s="31"/>
      <c r="L601" s="31"/>
      <c r="M601" s="31"/>
      <c r="N601" s="31">
        <v>0</v>
      </c>
      <c r="O601" s="31">
        <v>0</v>
      </c>
      <c r="P601" s="31"/>
      <c r="Q601" s="31"/>
      <c r="R601" s="31"/>
      <c r="S601" s="31"/>
      <c r="T601" s="31"/>
      <c r="U601" s="31"/>
      <c r="V601" s="31"/>
      <c r="W601" s="31"/>
      <c r="X601" s="31"/>
      <c r="Y601" s="31"/>
      <c r="Z601" s="31"/>
      <c r="AA601" s="31"/>
      <c r="AB601" s="31"/>
      <c r="AC601" s="31">
        <v>0.31315789473684214</v>
      </c>
      <c r="AD601" s="31">
        <v>0.19940029985007496</v>
      </c>
      <c r="AE601" s="31"/>
      <c r="AF601" s="31"/>
      <c r="AG601" s="31"/>
      <c r="AH601" s="31"/>
      <c r="AI601" s="31"/>
      <c r="AJ601" s="31"/>
      <c r="AK601" s="433"/>
      <c r="AL601" s="31"/>
      <c r="AM601" s="31"/>
      <c r="AN601" s="31"/>
      <c r="AO601" s="592"/>
      <c r="AP601" s="31"/>
      <c r="AQ601" s="31"/>
      <c r="AR601" s="31"/>
      <c r="AS601" s="31"/>
      <c r="AT601" s="31"/>
      <c r="AU601" s="433"/>
    </row>
    <row r="602" spans="1:47" ht="15" customHeight="1" x14ac:dyDescent="0.2">
      <c r="A602" s="39">
        <f>acute_overview_children!A202</f>
        <v>4</v>
      </c>
      <c r="B602" s="23">
        <f>acute_overview_children!B202</f>
        <v>270060</v>
      </c>
      <c r="C602" s="23" t="str">
        <f>acute_overview_children!C202</f>
        <v>Leeks</v>
      </c>
      <c r="D602" s="38">
        <f t="shared" si="90"/>
        <v>4</v>
      </c>
      <c r="E602" s="31"/>
      <c r="F602" s="31"/>
      <c r="G602" s="31"/>
      <c r="H602" s="31"/>
      <c r="I602" s="31"/>
      <c r="J602" s="31"/>
      <c r="K602" s="31"/>
      <c r="L602" s="31"/>
      <c r="M602" s="31"/>
      <c r="N602" s="31">
        <v>0</v>
      </c>
      <c r="O602" s="31">
        <v>0.63698630136986312</v>
      </c>
      <c r="P602" s="31"/>
      <c r="Q602" s="31"/>
      <c r="R602" s="31">
        <v>9.78056447E-2</v>
      </c>
      <c r="S602" s="31"/>
      <c r="T602" s="31"/>
      <c r="U602" s="31"/>
      <c r="V602" s="31"/>
      <c r="W602" s="31"/>
      <c r="X602" s="31"/>
      <c r="Y602" s="31"/>
      <c r="Z602" s="31"/>
      <c r="AA602" s="31"/>
      <c r="AB602" s="31"/>
      <c r="AC602" s="31">
        <v>0.49342105263157893</v>
      </c>
      <c r="AD602" s="31">
        <v>0.48575712143928029</v>
      </c>
      <c r="AE602" s="31"/>
      <c r="AF602" s="31"/>
      <c r="AG602" s="31"/>
      <c r="AH602" s="31"/>
      <c r="AI602" s="31"/>
      <c r="AJ602" s="31"/>
      <c r="AK602" s="433"/>
      <c r="AL602" s="31"/>
      <c r="AM602" s="31"/>
      <c r="AN602" s="31">
        <v>0.34000000530000002</v>
      </c>
      <c r="AO602" s="592">
        <v>0.2394012978</v>
      </c>
      <c r="AP602" s="31"/>
      <c r="AQ602" s="31"/>
      <c r="AR602" s="31"/>
      <c r="AS602" s="31"/>
      <c r="AT602" s="31"/>
      <c r="AU602" s="433"/>
    </row>
    <row r="603" spans="1:47" ht="15" customHeight="1" x14ac:dyDescent="0.2">
      <c r="A603" s="39">
        <f>acute_overview_children!A203</f>
        <v>4</v>
      </c>
      <c r="B603" s="23">
        <f>acute_overview_children!B203</f>
        <v>270070</v>
      </c>
      <c r="C603" s="23" t="str">
        <f>acute_overview_children!C203</f>
        <v>Rhubarbs</v>
      </c>
      <c r="D603" s="38">
        <f t="shared" si="90"/>
        <v>4</v>
      </c>
      <c r="E603" s="31"/>
      <c r="F603" s="31"/>
      <c r="G603" s="31"/>
      <c r="H603" s="31"/>
      <c r="I603" s="31"/>
      <c r="J603" s="31"/>
      <c r="K603" s="31"/>
      <c r="L603" s="31"/>
      <c r="M603" s="31"/>
      <c r="N603" s="31">
        <v>0.72413793103448276</v>
      </c>
      <c r="O603" s="31">
        <v>1.095890410958904</v>
      </c>
      <c r="P603" s="31"/>
      <c r="Q603" s="31"/>
      <c r="R603" s="31">
        <v>0.1241169501</v>
      </c>
      <c r="S603" s="31"/>
      <c r="T603" s="31"/>
      <c r="U603" s="31"/>
      <c r="V603" s="31"/>
      <c r="W603" s="31"/>
      <c r="X603" s="31"/>
      <c r="Y603" s="31"/>
      <c r="Z603" s="31"/>
      <c r="AA603" s="31"/>
      <c r="AB603" s="31"/>
      <c r="AC603" s="31">
        <v>0.39999999999999997</v>
      </c>
      <c r="AD603" s="31">
        <v>0.34932533733133431</v>
      </c>
      <c r="AE603" s="31"/>
      <c r="AF603" s="31"/>
      <c r="AG603" s="31"/>
      <c r="AH603" s="31"/>
      <c r="AI603" s="31"/>
      <c r="AJ603" s="31"/>
      <c r="AK603" s="433"/>
      <c r="AL603" s="31"/>
      <c r="AM603" s="31"/>
      <c r="AN603" s="31">
        <v>0.1098052674</v>
      </c>
      <c r="AO603" s="592">
        <v>0.28758620350000003</v>
      </c>
      <c r="AP603" s="31"/>
      <c r="AQ603" s="31"/>
      <c r="AR603" s="31"/>
      <c r="AS603" s="31"/>
      <c r="AT603" s="31"/>
      <c r="AU603" s="433"/>
    </row>
    <row r="604" spans="1:47" ht="15" customHeight="1" x14ac:dyDescent="0.2">
      <c r="A604" s="39">
        <f>acute_overview_children!A204</f>
        <v>4</v>
      </c>
      <c r="B604" s="23">
        <f>acute_overview_children!B204</f>
        <v>270080</v>
      </c>
      <c r="C604" s="23" t="str">
        <f>acute_overview_children!C204</f>
        <v>Bamboo shoots</v>
      </c>
      <c r="D604" s="38">
        <f t="shared" si="90"/>
        <v>4</v>
      </c>
      <c r="E604" s="31"/>
      <c r="F604" s="31"/>
      <c r="G604" s="31"/>
      <c r="H604" s="31"/>
      <c r="I604" s="31"/>
      <c r="J604" s="31"/>
      <c r="K604" s="31"/>
      <c r="L604" s="31"/>
      <c r="M604" s="31"/>
      <c r="N604" s="31">
        <v>0</v>
      </c>
      <c r="O604" s="31">
        <v>0.28082191780821913</v>
      </c>
      <c r="P604" s="31"/>
      <c r="Q604" s="31"/>
      <c r="R604" s="31">
        <v>9.6286420999999994E-3</v>
      </c>
      <c r="S604" s="31"/>
      <c r="T604" s="31"/>
      <c r="U604" s="31"/>
      <c r="V604" s="31"/>
      <c r="W604" s="31"/>
      <c r="X604" s="31"/>
      <c r="Y604" s="31"/>
      <c r="Z604" s="31"/>
      <c r="AA604" s="31"/>
      <c r="AB604" s="31"/>
      <c r="AC604" s="31">
        <v>0.16052631578947368</v>
      </c>
      <c r="AD604" s="31">
        <v>0.18140929535232383</v>
      </c>
      <c r="AE604" s="31"/>
      <c r="AF604" s="31"/>
      <c r="AG604" s="31"/>
      <c r="AH604" s="31"/>
      <c r="AI604" s="31"/>
      <c r="AJ604" s="31"/>
      <c r="AK604" s="433"/>
      <c r="AL604" s="31"/>
      <c r="AM604" s="31"/>
      <c r="AN604" s="31">
        <v>0</v>
      </c>
      <c r="AO604" s="592">
        <v>0</v>
      </c>
      <c r="AP604" s="31"/>
      <c r="AQ604" s="31"/>
      <c r="AR604" s="31"/>
      <c r="AS604" s="31"/>
      <c r="AT604" s="31"/>
      <c r="AU604" s="433"/>
    </row>
    <row r="605" spans="1:47" ht="15" customHeight="1" x14ac:dyDescent="0.2">
      <c r="A605" s="39">
        <f>acute_overview_children!A205</f>
        <v>4</v>
      </c>
      <c r="B605" s="23">
        <f>acute_overview_children!B205</f>
        <v>270090</v>
      </c>
      <c r="C605" s="23" t="str">
        <f>acute_overview_children!C205</f>
        <v>Palm hearts</v>
      </c>
      <c r="D605" s="38">
        <f t="shared" ref="D605:D668" si="91">D205</f>
        <v>4</v>
      </c>
      <c r="E605" s="31"/>
      <c r="F605" s="31"/>
      <c r="G605" s="31"/>
      <c r="H605" s="31"/>
      <c r="I605" s="31"/>
      <c r="J605" s="31"/>
      <c r="K605" s="31"/>
      <c r="L605" s="31"/>
      <c r="M605" s="31"/>
      <c r="N605" s="31">
        <v>0</v>
      </c>
      <c r="O605" s="31">
        <v>0</v>
      </c>
      <c r="P605" s="31"/>
      <c r="Q605" s="31"/>
      <c r="R605" s="31"/>
      <c r="S605" s="31"/>
      <c r="T605" s="31"/>
      <c r="U605" s="31"/>
      <c r="V605" s="31"/>
      <c r="W605" s="31"/>
      <c r="X605" s="31"/>
      <c r="Y605" s="31"/>
      <c r="Z605" s="31"/>
      <c r="AA605" s="31"/>
      <c r="AB605" s="31"/>
      <c r="AC605" s="31">
        <v>0</v>
      </c>
      <c r="AD605" s="31">
        <v>0</v>
      </c>
      <c r="AE605" s="31"/>
      <c r="AF605" s="31"/>
      <c r="AG605" s="31"/>
      <c r="AH605" s="31"/>
      <c r="AI605" s="31"/>
      <c r="AJ605" s="31"/>
      <c r="AK605" s="433"/>
      <c r="AL605" s="31"/>
      <c r="AM605" s="31"/>
      <c r="AN605" s="31"/>
      <c r="AO605" s="592"/>
      <c r="AP605" s="31"/>
      <c r="AQ605" s="31"/>
      <c r="AR605" s="31"/>
      <c r="AS605" s="31"/>
      <c r="AT605" s="31"/>
      <c r="AU605" s="433"/>
    </row>
    <row r="606" spans="1:47" ht="15" customHeight="1" x14ac:dyDescent="0.2">
      <c r="A606" s="39">
        <f>acute_overview_children!A206</f>
        <v>4</v>
      </c>
      <c r="B606" s="23">
        <f>acute_overview_children!B206</f>
        <v>270990</v>
      </c>
      <c r="C606" s="23" t="str">
        <f>acute_overview_children!C206</f>
        <v>Other stem vegetables</v>
      </c>
      <c r="D606" s="38">
        <f t="shared" si="91"/>
        <v>4</v>
      </c>
      <c r="E606" s="31"/>
      <c r="F606" s="31"/>
      <c r="G606" s="31"/>
      <c r="H606" s="31"/>
      <c r="I606" s="31"/>
      <c r="J606" s="31"/>
      <c r="K606" s="31"/>
      <c r="L606" s="31"/>
      <c r="M606" s="31"/>
      <c r="N606" s="31">
        <v>0</v>
      </c>
      <c r="O606" s="31">
        <v>0</v>
      </c>
      <c r="P606" s="31"/>
      <c r="Q606" s="31"/>
      <c r="R606" s="31"/>
      <c r="S606" s="31"/>
      <c r="T606" s="31"/>
      <c r="U606" s="31"/>
      <c r="V606" s="31"/>
      <c r="W606" s="31"/>
      <c r="X606" s="31"/>
      <c r="Y606" s="31"/>
      <c r="Z606" s="31"/>
      <c r="AA606" s="31"/>
      <c r="AB606" s="31"/>
      <c r="AC606" s="31">
        <v>0</v>
      </c>
      <c r="AD606" s="31">
        <v>0</v>
      </c>
      <c r="AE606" s="31"/>
      <c r="AF606" s="31"/>
      <c r="AG606" s="31"/>
      <c r="AH606" s="31"/>
      <c r="AI606" s="31"/>
      <c r="AJ606" s="31"/>
      <c r="AK606" s="433"/>
      <c r="AL606" s="31"/>
      <c r="AM606" s="31"/>
      <c r="AN606" s="31"/>
      <c r="AO606" s="592"/>
      <c r="AP606" s="31"/>
      <c r="AQ606" s="31"/>
      <c r="AR606" s="31"/>
      <c r="AS606" s="31"/>
      <c r="AT606" s="31"/>
      <c r="AU606" s="433"/>
    </row>
    <row r="607" spans="1:47" ht="15" customHeight="1" x14ac:dyDescent="0.2">
      <c r="A607" s="515">
        <f>acute_overview_children!A207</f>
        <v>2</v>
      </c>
      <c r="B607" s="24">
        <f>acute_overview_children!B207</f>
        <v>280000</v>
      </c>
      <c r="C607" s="24" t="str">
        <f>acute_overview_children!C207</f>
        <v>Fungi</v>
      </c>
      <c r="D607" s="38">
        <f t="shared" si="91"/>
        <v>4</v>
      </c>
      <c r="E607" s="55"/>
      <c r="F607" s="55"/>
      <c r="G607" s="55"/>
      <c r="H607" s="55"/>
      <c r="I607" s="55"/>
      <c r="J607" s="55"/>
      <c r="K607" s="55"/>
      <c r="L607" s="55"/>
      <c r="M607" s="55"/>
      <c r="N607" s="55">
        <v>0.4942528735632184</v>
      </c>
      <c r="O607" s="55">
        <v>1.047945205479452</v>
      </c>
      <c r="P607" s="55"/>
      <c r="Q607" s="55"/>
      <c r="R607" s="55"/>
      <c r="S607" s="55"/>
      <c r="T607" s="55"/>
      <c r="U607" s="55"/>
      <c r="V607" s="55"/>
      <c r="W607" s="55"/>
      <c r="X607" s="55"/>
      <c r="Y607" s="55"/>
      <c r="Z607" s="55"/>
      <c r="AA607" s="55"/>
      <c r="AB607" s="55"/>
      <c r="AC607" s="55">
        <v>0.39999999999999997</v>
      </c>
      <c r="AD607" s="55">
        <v>0.65067466266866558</v>
      </c>
      <c r="AE607" s="55"/>
      <c r="AF607" s="55"/>
      <c r="AG607" s="55"/>
      <c r="AH607" s="55"/>
      <c r="AI607" s="55"/>
      <c r="AJ607" s="55"/>
      <c r="AK607" s="435"/>
      <c r="AL607" s="55"/>
      <c r="AM607" s="55"/>
      <c r="AN607" s="55"/>
      <c r="AO607" s="597"/>
      <c r="AP607" s="55"/>
      <c r="AQ607" s="55"/>
      <c r="AR607" s="55"/>
      <c r="AS607" s="55"/>
      <c r="AT607" s="55"/>
      <c r="AU607" s="435"/>
    </row>
    <row r="608" spans="1:47" ht="15" customHeight="1" x14ac:dyDescent="0.2">
      <c r="A608" s="39">
        <f>acute_overview_children!A208</f>
        <v>4</v>
      </c>
      <c r="B608" s="23">
        <f>acute_overview_children!B208</f>
        <v>280010</v>
      </c>
      <c r="C608" s="23" t="str">
        <f>acute_overview_children!C208</f>
        <v>Cultivated fungi</v>
      </c>
      <c r="D608" s="38">
        <f t="shared" si="91"/>
        <v>4</v>
      </c>
      <c r="E608" s="31"/>
      <c r="F608" s="31"/>
      <c r="G608" s="31"/>
      <c r="H608" s="31"/>
      <c r="I608" s="31"/>
      <c r="J608" s="31"/>
      <c r="K608" s="31"/>
      <c r="L608" s="31"/>
      <c r="M608" s="31"/>
      <c r="N608" s="31">
        <v>0.4942528735632184</v>
      </c>
      <c r="O608" s="31">
        <v>1.047945205479452</v>
      </c>
      <c r="P608" s="31"/>
      <c r="Q608" s="31"/>
      <c r="R608" s="31">
        <v>0.1905693255</v>
      </c>
      <c r="S608" s="31"/>
      <c r="T608" s="31"/>
      <c r="U608" s="31"/>
      <c r="V608" s="31"/>
      <c r="W608" s="31"/>
      <c r="X608" s="31"/>
      <c r="Y608" s="31"/>
      <c r="Z608" s="31"/>
      <c r="AA608" s="31"/>
      <c r="AB608" s="31"/>
      <c r="AC608" s="31">
        <v>0.39999999999999997</v>
      </c>
      <c r="AD608" s="31">
        <v>0.65067466266866558</v>
      </c>
      <c r="AE608" s="31"/>
      <c r="AF608" s="31"/>
      <c r="AG608" s="31"/>
      <c r="AH608" s="31"/>
      <c r="AI608" s="31"/>
      <c r="AJ608" s="31"/>
      <c r="AK608" s="433"/>
      <c r="AL608" s="31"/>
      <c r="AM608" s="31"/>
      <c r="AN608" s="31">
        <v>0.1189706505</v>
      </c>
      <c r="AO608" s="592">
        <v>0.1958317238</v>
      </c>
      <c r="AP608" s="31"/>
      <c r="AQ608" s="31"/>
      <c r="AR608" s="31"/>
      <c r="AS608" s="31"/>
      <c r="AT608" s="31"/>
      <c r="AU608" s="433"/>
    </row>
    <row r="609" spans="1:47" ht="15" customHeight="1" x14ac:dyDescent="0.2">
      <c r="A609" s="39">
        <f>acute_overview_children!A209</f>
        <v>4</v>
      </c>
      <c r="B609" s="23">
        <f>acute_overview_children!B209</f>
        <v>280020</v>
      </c>
      <c r="C609" s="23" t="str">
        <f>acute_overview_children!C209</f>
        <v>Wild fungi</v>
      </c>
      <c r="D609" s="38">
        <f t="shared" si="91"/>
        <v>4</v>
      </c>
      <c r="E609" s="31"/>
      <c r="F609" s="31"/>
      <c r="G609" s="31"/>
      <c r="H609" s="31"/>
      <c r="I609" s="31"/>
      <c r="J609" s="31"/>
      <c r="K609" s="31"/>
      <c r="L609" s="31"/>
      <c r="M609" s="31"/>
      <c r="N609" s="31">
        <v>0</v>
      </c>
      <c r="O609" s="31">
        <v>0</v>
      </c>
      <c r="P609" s="31"/>
      <c r="Q609" s="31"/>
      <c r="R609" s="31"/>
      <c r="S609" s="31"/>
      <c r="T609" s="31"/>
      <c r="U609" s="31"/>
      <c r="V609" s="31"/>
      <c r="W609" s="31"/>
      <c r="X609" s="31"/>
      <c r="Y609" s="31"/>
      <c r="Z609" s="31"/>
      <c r="AA609" s="31"/>
      <c r="AB609" s="31"/>
      <c r="AC609" s="31">
        <v>0</v>
      </c>
      <c r="AD609" s="31">
        <v>0</v>
      </c>
      <c r="AE609" s="31"/>
      <c r="AF609" s="31"/>
      <c r="AG609" s="31"/>
      <c r="AH609" s="31"/>
      <c r="AI609" s="31"/>
      <c r="AJ609" s="31"/>
      <c r="AK609" s="433"/>
      <c r="AL609" s="31"/>
      <c r="AM609" s="31"/>
      <c r="AN609" s="31"/>
      <c r="AO609" s="592"/>
      <c r="AP609" s="31"/>
      <c r="AQ609" s="31"/>
      <c r="AR609" s="31"/>
      <c r="AS609" s="31"/>
      <c r="AT609" s="31"/>
      <c r="AU609" s="433"/>
    </row>
    <row r="610" spans="1:47" ht="15" customHeight="1" x14ac:dyDescent="0.2">
      <c r="A610" s="39">
        <f>acute_overview_children!A210</f>
        <v>4</v>
      </c>
      <c r="B610" s="23">
        <f>acute_overview_children!B210</f>
        <v>280990</v>
      </c>
      <c r="C610" s="23" t="str">
        <f>acute_overview_children!C210</f>
        <v>Mosses and lichens</v>
      </c>
      <c r="D610" s="38">
        <f t="shared" si="91"/>
        <v>4</v>
      </c>
      <c r="E610" s="31"/>
      <c r="F610" s="31"/>
      <c r="G610" s="31"/>
      <c r="H610" s="31"/>
      <c r="I610" s="31"/>
      <c r="J610" s="31"/>
      <c r="K610" s="31"/>
      <c r="L610" s="31"/>
      <c r="M610" s="31"/>
      <c r="N610" s="31">
        <v>0</v>
      </c>
      <c r="O610" s="31">
        <v>0</v>
      </c>
      <c r="P610" s="31"/>
      <c r="Q610" s="31"/>
      <c r="R610" s="31"/>
      <c r="S610" s="31"/>
      <c r="T610" s="31"/>
      <c r="U610" s="31"/>
      <c r="V610" s="31"/>
      <c r="W610" s="31"/>
      <c r="X610" s="31"/>
      <c r="Y610" s="31"/>
      <c r="Z610" s="31"/>
      <c r="AA610" s="31"/>
      <c r="AB610" s="31"/>
      <c r="AC610" s="31">
        <v>0</v>
      </c>
      <c r="AD610" s="31">
        <v>0</v>
      </c>
      <c r="AE610" s="31"/>
      <c r="AF610" s="31"/>
      <c r="AG610" s="31"/>
      <c r="AH610" s="31"/>
      <c r="AI610" s="31"/>
      <c r="AJ610" s="31"/>
      <c r="AK610" s="433"/>
      <c r="AL610" s="31"/>
      <c r="AM610" s="31"/>
      <c r="AN610" s="31"/>
      <c r="AO610" s="592"/>
      <c r="AP610" s="31"/>
      <c r="AQ610" s="31"/>
      <c r="AR610" s="31"/>
      <c r="AS610" s="31"/>
      <c r="AT610" s="31"/>
      <c r="AU610" s="433"/>
    </row>
    <row r="611" spans="1:47" ht="15" customHeight="1" x14ac:dyDescent="0.2">
      <c r="A611" s="515">
        <f>acute_overview_children!A211</f>
        <v>2</v>
      </c>
      <c r="B611" s="24">
        <f>acute_overview_children!B211</f>
        <v>290000</v>
      </c>
      <c r="C611" s="24" t="str">
        <f>acute_overview_children!C211</f>
        <v>Algae and prokaryotes organisms</v>
      </c>
      <c r="D611" s="38">
        <f t="shared" si="91"/>
        <v>2</v>
      </c>
      <c r="E611" s="55"/>
      <c r="F611" s="55"/>
      <c r="G611" s="55"/>
      <c r="H611" s="55"/>
      <c r="I611" s="55"/>
      <c r="J611" s="55"/>
      <c r="K611" s="55"/>
      <c r="L611" s="55"/>
      <c r="M611" s="55"/>
      <c r="N611" s="55">
        <v>0</v>
      </c>
      <c r="O611" s="55">
        <v>0</v>
      </c>
      <c r="P611" s="55"/>
      <c r="Q611" s="55"/>
      <c r="R611" s="55"/>
      <c r="S611" s="55"/>
      <c r="T611" s="55"/>
      <c r="U611" s="55"/>
      <c r="V611" s="55"/>
      <c r="W611" s="55"/>
      <c r="X611" s="55"/>
      <c r="Y611" s="55"/>
      <c r="Z611" s="55"/>
      <c r="AA611" s="55"/>
      <c r="AB611" s="55"/>
      <c r="AC611" s="55">
        <v>0</v>
      </c>
      <c r="AD611" s="55">
        <v>0</v>
      </c>
      <c r="AE611" s="55"/>
      <c r="AF611" s="55"/>
      <c r="AG611" s="55"/>
      <c r="AH611" s="55"/>
      <c r="AI611" s="55"/>
      <c r="AJ611" s="55"/>
      <c r="AK611" s="435"/>
      <c r="AL611" s="55"/>
      <c r="AM611" s="55"/>
      <c r="AN611" s="55"/>
      <c r="AO611" s="597"/>
      <c r="AP611" s="55"/>
      <c r="AQ611" s="55"/>
      <c r="AR611" s="55"/>
      <c r="AS611" s="55"/>
      <c r="AT611" s="55"/>
      <c r="AU611" s="435"/>
    </row>
    <row r="612" spans="1:47" ht="15" customHeight="1" x14ac:dyDescent="0.2">
      <c r="A612" s="514">
        <f>acute_overview_children!A212</f>
        <v>1</v>
      </c>
      <c r="B612" s="2">
        <f>acute_overview_children!B212</f>
        <v>300000</v>
      </c>
      <c r="C612" s="2" t="str">
        <f>acute_overview_children!C212</f>
        <v>PULSES</v>
      </c>
      <c r="D612" s="38">
        <f t="shared" si="91"/>
        <v>4</v>
      </c>
      <c r="E612" s="54"/>
      <c r="F612" s="54"/>
      <c r="G612" s="54"/>
      <c r="H612" s="54"/>
      <c r="I612" s="54"/>
      <c r="J612" s="54"/>
      <c r="K612" s="54"/>
      <c r="L612" s="54"/>
      <c r="M612" s="54"/>
      <c r="N612" s="54">
        <v>5.9080459770114944</v>
      </c>
      <c r="O612" s="54">
        <v>4.6780821917808222</v>
      </c>
      <c r="P612" s="54"/>
      <c r="Q612" s="54"/>
      <c r="R612" s="54"/>
      <c r="S612" s="54"/>
      <c r="T612" s="54"/>
      <c r="U612" s="54"/>
      <c r="V612" s="54"/>
      <c r="W612" s="54"/>
      <c r="X612" s="54"/>
      <c r="Y612" s="54"/>
      <c r="Z612" s="54"/>
      <c r="AA612" s="54"/>
      <c r="AB612" s="54"/>
      <c r="AC612" s="54">
        <v>1.5171052631578947</v>
      </c>
      <c r="AD612" s="54">
        <v>1.6791604197901049</v>
      </c>
      <c r="AE612" s="54"/>
      <c r="AF612" s="54"/>
      <c r="AG612" s="54"/>
      <c r="AH612" s="54"/>
      <c r="AI612" s="54"/>
      <c r="AJ612" s="54"/>
      <c r="AK612" s="434"/>
      <c r="AL612" s="54"/>
      <c r="AM612" s="54"/>
      <c r="AN612" s="54"/>
      <c r="AO612" s="598"/>
      <c r="AP612" s="54"/>
      <c r="AQ612" s="54"/>
      <c r="AR612" s="54"/>
      <c r="AS612" s="54"/>
      <c r="AT612" s="54"/>
      <c r="AU612" s="434"/>
    </row>
    <row r="613" spans="1:47" ht="15" customHeight="1" x14ac:dyDescent="0.2">
      <c r="A613" s="39">
        <f>acute_overview_children!A213</f>
        <v>4</v>
      </c>
      <c r="B613" s="23">
        <f>acute_overview_children!B213</f>
        <v>300010</v>
      </c>
      <c r="C613" s="23" t="str">
        <f>acute_overview_children!C213</f>
        <v>Beans</v>
      </c>
      <c r="D613" s="38">
        <f t="shared" si="91"/>
        <v>4</v>
      </c>
      <c r="E613" s="31"/>
      <c r="F613" s="31"/>
      <c r="G613" s="31"/>
      <c r="H613" s="31"/>
      <c r="I613" s="31"/>
      <c r="J613" s="31"/>
      <c r="K613" s="31"/>
      <c r="L613" s="31"/>
      <c r="M613" s="31"/>
      <c r="N613" s="31">
        <v>5.9080459770114944</v>
      </c>
      <c r="O613" s="31">
        <v>4.6849315068493151</v>
      </c>
      <c r="P613" s="31"/>
      <c r="Q613" s="31"/>
      <c r="R613" s="31">
        <v>8.1845238099999995E-2</v>
      </c>
      <c r="S613" s="31"/>
      <c r="T613" s="31"/>
      <c r="U613" s="31"/>
      <c r="V613" s="31"/>
      <c r="W613" s="31"/>
      <c r="X613" s="31"/>
      <c r="Y613" s="31"/>
      <c r="Z613" s="31"/>
      <c r="AA613" s="31"/>
      <c r="AB613" s="31"/>
      <c r="AC613" s="31">
        <v>1.5605263157894735</v>
      </c>
      <c r="AD613" s="31">
        <v>1.7526236881559221</v>
      </c>
      <c r="AE613" s="31"/>
      <c r="AF613" s="31"/>
      <c r="AG613" s="31"/>
      <c r="AH613" s="31"/>
      <c r="AI613" s="31"/>
      <c r="AJ613" s="31"/>
      <c r="AK613" s="433"/>
      <c r="AL613" s="31"/>
      <c r="AM613" s="31"/>
      <c r="AN613" s="31">
        <v>0</v>
      </c>
      <c r="AO613" s="592">
        <v>0</v>
      </c>
      <c r="AP613" s="31"/>
      <c r="AQ613" s="31"/>
      <c r="AR613" s="31"/>
      <c r="AS613" s="31"/>
      <c r="AT613" s="31"/>
      <c r="AU613" s="433"/>
    </row>
    <row r="614" spans="1:47" ht="15" customHeight="1" x14ac:dyDescent="0.2">
      <c r="A614" s="39">
        <f>acute_overview_children!A214</f>
        <v>4</v>
      </c>
      <c r="B614" s="23">
        <f>acute_overview_children!B214</f>
        <v>300020</v>
      </c>
      <c r="C614" s="23" t="str">
        <f>acute_overview_children!C214</f>
        <v>Lentils</v>
      </c>
      <c r="D614" s="38">
        <f t="shared" si="91"/>
        <v>4</v>
      </c>
      <c r="E614" s="31"/>
      <c r="F614" s="31"/>
      <c r="G614" s="31"/>
      <c r="H614" s="31"/>
      <c r="I614" s="31"/>
      <c r="J614" s="31"/>
      <c r="K614" s="31"/>
      <c r="L614" s="31"/>
      <c r="M614" s="31"/>
      <c r="N614" s="31">
        <v>1.4482758620689655</v>
      </c>
      <c r="O614" s="31">
        <v>1.8356164383561644</v>
      </c>
      <c r="P614" s="31"/>
      <c r="Q614" s="31"/>
      <c r="R614" s="31">
        <v>0</v>
      </c>
      <c r="S614" s="31"/>
      <c r="T614" s="31"/>
      <c r="U614" s="31"/>
      <c r="V614" s="31"/>
      <c r="W614" s="31"/>
      <c r="X614" s="31"/>
      <c r="Y614" s="31"/>
      <c r="Z614" s="31"/>
      <c r="AA614" s="31"/>
      <c r="AB614" s="31"/>
      <c r="AC614" s="31">
        <v>0.71973684210526323</v>
      </c>
      <c r="AD614" s="31">
        <v>0.7001499250374813</v>
      </c>
      <c r="AE614" s="31"/>
      <c r="AF614" s="31"/>
      <c r="AG614" s="31"/>
      <c r="AH614" s="31"/>
      <c r="AI614" s="31"/>
      <c r="AJ614" s="31"/>
      <c r="AK614" s="433"/>
      <c r="AL614" s="31"/>
      <c r="AM614" s="31"/>
      <c r="AN614" s="31">
        <v>0</v>
      </c>
      <c r="AO614" s="592">
        <v>0</v>
      </c>
      <c r="AP614" s="31"/>
      <c r="AQ614" s="31"/>
      <c r="AR614" s="31"/>
      <c r="AS614" s="31"/>
      <c r="AT614" s="31"/>
      <c r="AU614" s="433"/>
    </row>
    <row r="615" spans="1:47" ht="15" customHeight="1" x14ac:dyDescent="0.2">
      <c r="A615" s="39">
        <f>acute_overview_children!A215</f>
        <v>4</v>
      </c>
      <c r="B615" s="23">
        <f>acute_overview_children!B215</f>
        <v>300030</v>
      </c>
      <c r="C615" s="23" t="str">
        <f>acute_overview_children!C215</f>
        <v>Peas</v>
      </c>
      <c r="D615" s="38">
        <f t="shared" si="91"/>
        <v>4</v>
      </c>
      <c r="E615" s="31"/>
      <c r="F615" s="31"/>
      <c r="G615" s="31"/>
      <c r="H615" s="31"/>
      <c r="I615" s="31"/>
      <c r="J615" s="31"/>
      <c r="K615" s="31"/>
      <c r="L615" s="31"/>
      <c r="M615" s="31"/>
      <c r="N615" s="31">
        <v>0</v>
      </c>
      <c r="O615" s="31">
        <v>1.7328767123287672</v>
      </c>
      <c r="P615" s="31"/>
      <c r="Q615" s="31"/>
      <c r="R615" s="31">
        <v>0.25970877139999998</v>
      </c>
      <c r="S615" s="31"/>
      <c r="T615" s="31"/>
      <c r="U615" s="31"/>
      <c r="V615" s="31"/>
      <c r="W615" s="31"/>
      <c r="X615" s="31"/>
      <c r="Y615" s="31"/>
      <c r="Z615" s="31"/>
      <c r="AA615" s="31"/>
      <c r="AB615" s="31"/>
      <c r="AC615" s="31">
        <v>0.67763157894736847</v>
      </c>
      <c r="AD615" s="31">
        <v>0.57271364317841078</v>
      </c>
      <c r="AE615" s="31"/>
      <c r="AF615" s="31"/>
      <c r="AG615" s="31"/>
      <c r="AH615" s="31"/>
      <c r="AI615" s="31"/>
      <c r="AJ615" s="31"/>
      <c r="AK615" s="433"/>
      <c r="AL615" s="31"/>
      <c r="AM615" s="31"/>
      <c r="AN615" s="31">
        <v>0.78319449809999997</v>
      </c>
      <c r="AO615" s="592">
        <v>0.89602593909999995</v>
      </c>
      <c r="AP615" s="31"/>
      <c r="AQ615" s="31"/>
      <c r="AR615" s="31"/>
      <c r="AS615" s="31"/>
      <c r="AT615" s="31"/>
      <c r="AU615" s="433"/>
    </row>
    <row r="616" spans="1:47" ht="15" customHeight="1" x14ac:dyDescent="0.2">
      <c r="A616" s="39">
        <f>acute_overview_children!A216</f>
        <v>4</v>
      </c>
      <c r="B616" s="23">
        <f>acute_overview_children!B216</f>
        <v>300040</v>
      </c>
      <c r="C616" s="23" t="str">
        <f>acute_overview_children!C216</f>
        <v>Lupins/lupini beans</v>
      </c>
      <c r="D616" s="38">
        <f t="shared" si="91"/>
        <v>4</v>
      </c>
      <c r="E616" s="31"/>
      <c r="F616" s="31"/>
      <c r="G616" s="31"/>
      <c r="H616" s="31"/>
      <c r="I616" s="31"/>
      <c r="J616" s="31"/>
      <c r="K616" s="31"/>
      <c r="L616" s="31"/>
      <c r="M616" s="31"/>
      <c r="N616" s="31">
        <v>0</v>
      </c>
      <c r="O616" s="31">
        <v>0</v>
      </c>
      <c r="P616" s="31"/>
      <c r="Q616" s="31"/>
      <c r="R616" s="31"/>
      <c r="S616" s="31"/>
      <c r="T616" s="31"/>
      <c r="U616" s="31"/>
      <c r="V616" s="31"/>
      <c r="W616" s="31"/>
      <c r="X616" s="31"/>
      <c r="Y616" s="31"/>
      <c r="Z616" s="31"/>
      <c r="AA616" s="31"/>
      <c r="AB616" s="31"/>
      <c r="AC616" s="31">
        <v>0</v>
      </c>
      <c r="AD616" s="31">
        <v>0</v>
      </c>
      <c r="AE616" s="31"/>
      <c r="AF616" s="31"/>
      <c r="AG616" s="31"/>
      <c r="AH616" s="31"/>
      <c r="AI616" s="31"/>
      <c r="AJ616" s="31"/>
      <c r="AK616" s="433"/>
      <c r="AL616" s="31"/>
      <c r="AM616" s="31"/>
      <c r="AN616" s="31"/>
      <c r="AO616" s="592"/>
      <c r="AP616" s="31"/>
      <c r="AQ616" s="31"/>
      <c r="AR616" s="31"/>
      <c r="AS616" s="31"/>
      <c r="AT616" s="31"/>
      <c r="AU616" s="433"/>
    </row>
    <row r="617" spans="1:47" ht="15" customHeight="1" x14ac:dyDescent="0.2">
      <c r="A617" s="39">
        <f>acute_overview_children!A217</f>
        <v>4</v>
      </c>
      <c r="B617" s="23">
        <f>acute_overview_children!B217</f>
        <v>300990</v>
      </c>
      <c r="C617" s="23" t="str">
        <f>acute_overview_children!C217</f>
        <v>Other pulses</v>
      </c>
      <c r="D617" s="38">
        <f t="shared" si="91"/>
        <v>4</v>
      </c>
      <c r="E617" s="31"/>
      <c r="F617" s="31"/>
      <c r="G617" s="31"/>
      <c r="H617" s="31"/>
      <c r="I617" s="31"/>
      <c r="J617" s="31"/>
      <c r="K617" s="31"/>
      <c r="L617" s="31"/>
      <c r="M617" s="31"/>
      <c r="N617" s="31">
        <v>0</v>
      </c>
      <c r="O617" s="31">
        <v>0</v>
      </c>
      <c r="P617" s="31"/>
      <c r="Q617" s="31"/>
      <c r="R617" s="31"/>
      <c r="S617" s="31"/>
      <c r="T617" s="31"/>
      <c r="U617" s="31"/>
      <c r="V617" s="31"/>
      <c r="W617" s="31"/>
      <c r="X617" s="31"/>
      <c r="Y617" s="31"/>
      <c r="Z617" s="31"/>
      <c r="AA617" s="31"/>
      <c r="AB617" s="31"/>
      <c r="AC617" s="31">
        <v>0</v>
      </c>
      <c r="AD617" s="31">
        <v>0</v>
      </c>
      <c r="AE617" s="31"/>
      <c r="AF617" s="31"/>
      <c r="AG617" s="31"/>
      <c r="AH617" s="31"/>
      <c r="AI617" s="31"/>
      <c r="AJ617" s="31"/>
      <c r="AK617" s="433"/>
      <c r="AL617" s="31"/>
      <c r="AM617" s="31"/>
      <c r="AN617" s="31"/>
      <c r="AO617" s="592"/>
      <c r="AP617" s="31"/>
      <c r="AQ617" s="31"/>
      <c r="AR617" s="31"/>
      <c r="AS617" s="31"/>
      <c r="AT617" s="31"/>
      <c r="AU617" s="433"/>
    </row>
    <row r="618" spans="1:47" ht="15" customHeight="1" x14ac:dyDescent="0.2">
      <c r="A618" s="514">
        <f>acute_overview_children!A218</f>
        <v>1</v>
      </c>
      <c r="B618" s="2">
        <f>acute_overview_children!B218</f>
        <v>400000</v>
      </c>
      <c r="C618" s="2" t="str">
        <f>acute_overview_children!C218</f>
        <v>OILSEEDS AND OILFRUITS</v>
      </c>
      <c r="D618" s="38">
        <f t="shared" si="91"/>
        <v>4</v>
      </c>
      <c r="E618" s="54"/>
      <c r="F618" s="54"/>
      <c r="G618" s="54"/>
      <c r="H618" s="54"/>
      <c r="I618" s="54"/>
      <c r="J618" s="54"/>
      <c r="K618" s="54"/>
      <c r="L618" s="54"/>
      <c r="M618" s="54"/>
      <c r="N618" s="54">
        <v>6.3103448275862073</v>
      </c>
      <c r="O618" s="54">
        <v>0</v>
      </c>
      <c r="P618" s="54"/>
      <c r="Q618" s="54"/>
      <c r="R618" s="54"/>
      <c r="S618" s="54"/>
      <c r="T618" s="54"/>
      <c r="U618" s="54"/>
      <c r="V618" s="54"/>
      <c r="W618" s="54"/>
      <c r="X618" s="54"/>
      <c r="Y618" s="54"/>
      <c r="Z618" s="54"/>
      <c r="AA618" s="54"/>
      <c r="AB618" s="54"/>
      <c r="AC618" s="54">
        <v>0</v>
      </c>
      <c r="AD618" s="54">
        <v>0</v>
      </c>
      <c r="AE618" s="54"/>
      <c r="AF618" s="54"/>
      <c r="AG618" s="54"/>
      <c r="AH618" s="54"/>
      <c r="AI618" s="54"/>
      <c r="AJ618" s="54"/>
      <c r="AK618" s="434"/>
      <c r="AL618" s="54"/>
      <c r="AM618" s="54"/>
      <c r="AN618" s="54"/>
      <c r="AO618" s="598"/>
      <c r="AP618" s="54"/>
      <c r="AQ618" s="54"/>
      <c r="AR618" s="54"/>
      <c r="AS618" s="54"/>
      <c r="AT618" s="54"/>
      <c r="AU618" s="434"/>
    </row>
    <row r="619" spans="1:47" ht="15" customHeight="1" x14ac:dyDescent="0.2">
      <c r="A619" s="515">
        <f>acute_overview_children!A219</f>
        <v>2</v>
      </c>
      <c r="B619" s="24">
        <f>acute_overview_children!B219</f>
        <v>401000</v>
      </c>
      <c r="C619" s="24" t="str">
        <f>acute_overview_children!C219</f>
        <v>Oilseeds</v>
      </c>
      <c r="D619" s="38">
        <f t="shared" si="91"/>
        <v>4</v>
      </c>
      <c r="E619" s="55"/>
      <c r="F619" s="55"/>
      <c r="G619" s="55"/>
      <c r="H619" s="55"/>
      <c r="I619" s="55"/>
      <c r="J619" s="55"/>
      <c r="K619" s="55"/>
      <c r="L619" s="55"/>
      <c r="M619" s="55"/>
      <c r="N619" s="55">
        <v>6.3103448275862073</v>
      </c>
      <c r="O619" s="55">
        <v>7.1986301369863011</v>
      </c>
      <c r="P619" s="55"/>
      <c r="Q619" s="55"/>
      <c r="R619" s="55"/>
      <c r="S619" s="55"/>
      <c r="T619" s="55"/>
      <c r="U619" s="55"/>
      <c r="V619" s="55"/>
      <c r="W619" s="55"/>
      <c r="X619" s="55"/>
      <c r="Y619" s="55"/>
      <c r="Z619" s="55"/>
      <c r="AA619" s="55"/>
      <c r="AB619" s="55"/>
      <c r="AC619" s="55">
        <v>3.1789473684210527</v>
      </c>
      <c r="AD619" s="55">
        <v>4.6791604197901053</v>
      </c>
      <c r="AE619" s="55"/>
      <c r="AF619" s="55"/>
      <c r="AG619" s="55"/>
      <c r="AH619" s="55"/>
      <c r="AI619" s="55"/>
      <c r="AJ619" s="55"/>
      <c r="AK619" s="435"/>
      <c r="AL619" s="55"/>
      <c r="AM619" s="55"/>
      <c r="AN619" s="55"/>
      <c r="AO619" s="597"/>
      <c r="AP619" s="55"/>
      <c r="AQ619" s="55"/>
      <c r="AR619" s="55"/>
      <c r="AS619" s="55"/>
      <c r="AT619" s="55"/>
      <c r="AU619" s="435"/>
    </row>
    <row r="620" spans="1:47" ht="15" customHeight="1" x14ac:dyDescent="0.2">
      <c r="A620" s="39">
        <f>acute_overview_children!A220</f>
        <v>4</v>
      </c>
      <c r="B620" s="23">
        <f>acute_overview_children!B220</f>
        <v>401010</v>
      </c>
      <c r="C620" s="23" t="str">
        <f>acute_overview_children!C220</f>
        <v>Linseeds</v>
      </c>
      <c r="D620" s="38">
        <f t="shared" si="91"/>
        <v>4</v>
      </c>
      <c r="E620" s="31"/>
      <c r="F620" s="31"/>
      <c r="G620" s="31"/>
      <c r="H620" s="31"/>
      <c r="I620" s="31"/>
      <c r="J620" s="31"/>
      <c r="K620" s="31"/>
      <c r="L620" s="31"/>
      <c r="M620" s="31"/>
      <c r="N620" s="31">
        <v>0</v>
      </c>
      <c r="O620" s="31">
        <v>0</v>
      </c>
      <c r="P620" s="31"/>
      <c r="Q620" s="31"/>
      <c r="R620" s="31">
        <v>6.5943727999999993E-2</v>
      </c>
      <c r="S620" s="31"/>
      <c r="T620" s="31"/>
      <c r="U620" s="31"/>
      <c r="V620" s="31"/>
      <c r="W620" s="31"/>
      <c r="X620" s="31"/>
      <c r="Y620" s="31"/>
      <c r="Z620" s="31"/>
      <c r="AA620" s="31"/>
      <c r="AB620" s="31"/>
      <c r="AC620" s="31">
        <v>0</v>
      </c>
      <c r="AD620" s="31">
        <v>0</v>
      </c>
      <c r="AE620" s="31"/>
      <c r="AF620" s="31"/>
      <c r="AG620" s="31"/>
      <c r="AH620" s="31"/>
      <c r="AI620" s="31"/>
      <c r="AJ620" s="31"/>
      <c r="AK620" s="433"/>
      <c r="AL620" s="31"/>
      <c r="AM620" s="31"/>
      <c r="AN620" s="31">
        <v>3.07581444E-2</v>
      </c>
      <c r="AO620" s="592">
        <v>2.6870176499999999E-2</v>
      </c>
      <c r="AP620" s="31"/>
      <c r="AQ620" s="31"/>
      <c r="AR620" s="31"/>
      <c r="AS620" s="31"/>
      <c r="AT620" s="31"/>
      <c r="AU620" s="433"/>
    </row>
    <row r="621" spans="1:47" ht="15" customHeight="1" x14ac:dyDescent="0.2">
      <c r="A621" s="39">
        <f>acute_overview_children!A221</f>
        <v>4</v>
      </c>
      <c r="B621" s="23">
        <f>acute_overview_children!B221</f>
        <v>401020</v>
      </c>
      <c r="C621" s="23" t="str">
        <f>acute_overview_children!C221</f>
        <v>Peanuts/groundnuts</v>
      </c>
      <c r="D621" s="38">
        <f t="shared" si="91"/>
        <v>4</v>
      </c>
      <c r="E621" s="31"/>
      <c r="F621" s="31"/>
      <c r="G621" s="31"/>
      <c r="H621" s="31"/>
      <c r="I621" s="31"/>
      <c r="J621" s="31"/>
      <c r="K621" s="31"/>
      <c r="L621" s="31"/>
      <c r="M621" s="31"/>
      <c r="N621" s="31">
        <v>0.5977011494252874</v>
      </c>
      <c r="O621" s="31">
        <v>1.0753424657534247</v>
      </c>
      <c r="P621" s="31"/>
      <c r="Q621" s="31"/>
      <c r="R621" s="31">
        <v>0.11890606419999999</v>
      </c>
      <c r="S621" s="31"/>
      <c r="T621" s="31"/>
      <c r="U621" s="31"/>
      <c r="V621" s="31"/>
      <c r="W621" s="31"/>
      <c r="X621" s="31"/>
      <c r="Y621" s="31"/>
      <c r="Z621" s="31"/>
      <c r="AA621" s="31"/>
      <c r="AB621" s="31"/>
      <c r="AC621" s="31">
        <v>0.40131578947368424</v>
      </c>
      <c r="AD621" s="31">
        <v>0.44527736131934031</v>
      </c>
      <c r="AE621" s="31"/>
      <c r="AF621" s="31"/>
      <c r="AG621" s="31"/>
      <c r="AH621" s="31"/>
      <c r="AI621" s="31"/>
      <c r="AJ621" s="31"/>
      <c r="AK621" s="433"/>
      <c r="AL621" s="31"/>
      <c r="AM621" s="31"/>
      <c r="AN621" s="31">
        <v>8.5031248899999995E-2</v>
      </c>
      <c r="AO621" s="592">
        <v>0</v>
      </c>
      <c r="AP621" s="31"/>
      <c r="AQ621" s="31"/>
      <c r="AR621" s="31"/>
      <c r="AS621" s="31"/>
      <c r="AT621" s="31"/>
      <c r="AU621" s="433"/>
    </row>
    <row r="622" spans="1:47" ht="15" customHeight="1" x14ac:dyDescent="0.2">
      <c r="A622" s="39">
        <f>acute_overview_children!A222</f>
        <v>4</v>
      </c>
      <c r="B622" s="23">
        <f>acute_overview_children!B222</f>
        <v>401030</v>
      </c>
      <c r="C622" s="23" t="str">
        <f>acute_overview_children!C222</f>
        <v>Poppy seeds</v>
      </c>
      <c r="D622" s="38">
        <f t="shared" si="91"/>
        <v>4</v>
      </c>
      <c r="E622" s="31"/>
      <c r="F622" s="31"/>
      <c r="G622" s="31"/>
      <c r="H622" s="31"/>
      <c r="I622" s="31"/>
      <c r="J622" s="31"/>
      <c r="K622" s="31"/>
      <c r="L622" s="31"/>
      <c r="M622" s="31"/>
      <c r="N622" s="31">
        <v>0</v>
      </c>
      <c r="O622" s="31">
        <v>0</v>
      </c>
      <c r="P622" s="31"/>
      <c r="Q622" s="31"/>
      <c r="R622" s="31"/>
      <c r="S622" s="31"/>
      <c r="T622" s="31"/>
      <c r="U622" s="31"/>
      <c r="V622" s="31"/>
      <c r="W622" s="31"/>
      <c r="X622" s="31"/>
      <c r="Y622" s="31"/>
      <c r="Z622" s="31"/>
      <c r="AA622" s="31"/>
      <c r="AB622" s="31"/>
      <c r="AC622" s="31">
        <v>0</v>
      </c>
      <c r="AD622" s="31">
        <v>0</v>
      </c>
      <c r="AE622" s="31"/>
      <c r="AF622" s="31"/>
      <c r="AG622" s="31"/>
      <c r="AH622" s="31"/>
      <c r="AI622" s="31"/>
      <c r="AJ622" s="31"/>
      <c r="AK622" s="433"/>
      <c r="AL622" s="31"/>
      <c r="AM622" s="31"/>
      <c r="AN622" s="31"/>
      <c r="AO622" s="592"/>
      <c r="AP622" s="31"/>
      <c r="AQ622" s="31"/>
      <c r="AR622" s="31"/>
      <c r="AS622" s="31"/>
      <c r="AT622" s="31"/>
      <c r="AU622" s="433"/>
    </row>
    <row r="623" spans="1:47" ht="15" customHeight="1" x14ac:dyDescent="0.2">
      <c r="A623" s="39">
        <f>acute_overview_children!A223</f>
        <v>4</v>
      </c>
      <c r="B623" s="23">
        <f>acute_overview_children!B223</f>
        <v>401040</v>
      </c>
      <c r="C623" s="23" t="str">
        <f>acute_overview_children!C223</f>
        <v>Sesame seeds</v>
      </c>
      <c r="D623" s="38">
        <f t="shared" si="91"/>
        <v>4</v>
      </c>
      <c r="E623" s="31"/>
      <c r="F623" s="31"/>
      <c r="G623" s="31"/>
      <c r="H623" s="31"/>
      <c r="I623" s="31"/>
      <c r="J623" s="31"/>
      <c r="K623" s="31"/>
      <c r="L623" s="31"/>
      <c r="M623" s="31"/>
      <c r="N623" s="31">
        <v>0</v>
      </c>
      <c r="O623" s="31">
        <v>0</v>
      </c>
      <c r="P623" s="31"/>
      <c r="Q623" s="31"/>
      <c r="R623" s="31">
        <v>8.0260795999999995E-3</v>
      </c>
      <c r="S623" s="31"/>
      <c r="T623" s="31"/>
      <c r="U623" s="31"/>
      <c r="V623" s="31"/>
      <c r="W623" s="31"/>
      <c r="X623" s="31"/>
      <c r="Y623" s="31"/>
      <c r="Z623" s="31"/>
      <c r="AA623" s="31"/>
      <c r="AB623" s="31"/>
      <c r="AC623" s="31">
        <v>0</v>
      </c>
      <c r="AD623" s="31">
        <v>0</v>
      </c>
      <c r="AE623" s="31"/>
      <c r="AF623" s="31"/>
      <c r="AG623" s="31"/>
      <c r="AH623" s="31"/>
      <c r="AI623" s="31"/>
      <c r="AJ623" s="31"/>
      <c r="AK623" s="433"/>
      <c r="AL623" s="31"/>
      <c r="AM623" s="31"/>
      <c r="AN623" s="31">
        <v>9.1984962899999995E-2</v>
      </c>
      <c r="AO623" s="592">
        <v>6.8292684500000006E-2</v>
      </c>
      <c r="AP623" s="31"/>
      <c r="AQ623" s="31"/>
      <c r="AR623" s="31"/>
      <c r="AS623" s="31"/>
      <c r="AT623" s="31"/>
      <c r="AU623" s="433"/>
    </row>
    <row r="624" spans="1:47" ht="15" customHeight="1" x14ac:dyDescent="0.2">
      <c r="A624" s="39">
        <f>acute_overview_children!A224</f>
        <v>4</v>
      </c>
      <c r="B624" s="23">
        <f>acute_overview_children!B224</f>
        <v>401050</v>
      </c>
      <c r="C624" s="23" t="str">
        <f>acute_overview_children!C224</f>
        <v>Sunflower seeds</v>
      </c>
      <c r="D624" s="38">
        <f t="shared" si="91"/>
        <v>4</v>
      </c>
      <c r="E624" s="31"/>
      <c r="F624" s="31"/>
      <c r="G624" s="31"/>
      <c r="H624" s="31"/>
      <c r="I624" s="31"/>
      <c r="J624" s="31"/>
      <c r="K624" s="31"/>
      <c r="L624" s="31"/>
      <c r="M624" s="31"/>
      <c r="N624" s="31">
        <v>0</v>
      </c>
      <c r="O624" s="31">
        <v>0</v>
      </c>
      <c r="P624" s="31"/>
      <c r="Q624" s="31"/>
      <c r="R624" s="31">
        <v>4.1447135500000003E-2</v>
      </c>
      <c r="S624" s="31"/>
      <c r="T624" s="31"/>
      <c r="U624" s="31"/>
      <c r="V624" s="31"/>
      <c r="W624" s="31"/>
      <c r="X624" s="31"/>
      <c r="Y624" s="31"/>
      <c r="Z624" s="31"/>
      <c r="AA624" s="31"/>
      <c r="AB624" s="31"/>
      <c r="AC624" s="31">
        <v>0</v>
      </c>
      <c r="AD624" s="31">
        <v>0</v>
      </c>
      <c r="AE624" s="31"/>
      <c r="AF624" s="31"/>
      <c r="AG624" s="31"/>
      <c r="AH624" s="31"/>
      <c r="AI624" s="31"/>
      <c r="AJ624" s="31"/>
      <c r="AK624" s="433"/>
      <c r="AL624" s="31"/>
      <c r="AM624" s="31"/>
      <c r="AN624" s="31">
        <v>8.51063814E-2</v>
      </c>
      <c r="AO624" s="592">
        <v>4.8208952999999999E-2</v>
      </c>
      <c r="AP624" s="31"/>
      <c r="AQ624" s="31"/>
      <c r="AR624" s="31"/>
      <c r="AS624" s="31"/>
      <c r="AT624" s="31"/>
      <c r="AU624" s="433"/>
    </row>
    <row r="625" spans="1:47" ht="15" customHeight="1" x14ac:dyDescent="0.2">
      <c r="A625" s="39">
        <f>acute_overview_children!A225</f>
        <v>4</v>
      </c>
      <c r="B625" s="23">
        <f>acute_overview_children!B225</f>
        <v>401060</v>
      </c>
      <c r="C625" s="23" t="str">
        <f>acute_overview_children!C225</f>
        <v>Rapeseeds/canola seeds</v>
      </c>
      <c r="D625" s="38">
        <f t="shared" si="91"/>
        <v>4</v>
      </c>
      <c r="E625" s="31"/>
      <c r="F625" s="31"/>
      <c r="G625" s="31"/>
      <c r="H625" s="31"/>
      <c r="I625" s="31"/>
      <c r="J625" s="31"/>
      <c r="K625" s="31"/>
      <c r="L625" s="31"/>
      <c r="M625" s="31"/>
      <c r="N625" s="31">
        <v>0</v>
      </c>
      <c r="O625" s="31">
        <v>0</v>
      </c>
      <c r="P625" s="31"/>
      <c r="Q625" s="31"/>
      <c r="R625" s="31">
        <v>3.2577220099999998E-2</v>
      </c>
      <c r="S625" s="31"/>
      <c r="T625" s="31"/>
      <c r="U625" s="31"/>
      <c r="V625" s="31"/>
      <c r="W625" s="31"/>
      <c r="X625" s="31"/>
      <c r="Y625" s="31"/>
      <c r="Z625" s="31"/>
      <c r="AA625" s="31"/>
      <c r="AB625" s="31"/>
      <c r="AC625" s="31">
        <v>0</v>
      </c>
      <c r="AD625" s="31">
        <v>0</v>
      </c>
      <c r="AE625" s="31"/>
      <c r="AF625" s="31"/>
      <c r="AG625" s="31"/>
      <c r="AH625" s="31"/>
      <c r="AI625" s="31"/>
      <c r="AJ625" s="31"/>
      <c r="AK625" s="433"/>
      <c r="AL625" s="31"/>
      <c r="AM625" s="31"/>
      <c r="AN625" s="31">
        <v>0.3702143048</v>
      </c>
      <c r="AO625" s="592">
        <v>0.23872055</v>
      </c>
      <c r="AP625" s="31"/>
      <c r="AQ625" s="31"/>
      <c r="AR625" s="31"/>
      <c r="AS625" s="31"/>
      <c r="AT625" s="31"/>
      <c r="AU625" s="433"/>
    </row>
    <row r="626" spans="1:47" ht="15" customHeight="1" x14ac:dyDescent="0.2">
      <c r="A626" s="39">
        <f>acute_overview_children!A226</f>
        <v>4</v>
      </c>
      <c r="B626" s="23">
        <f>acute_overview_children!B226</f>
        <v>401070</v>
      </c>
      <c r="C626" s="23" t="str">
        <f>acute_overview_children!C226</f>
        <v>Soyabeans</v>
      </c>
      <c r="D626" s="38">
        <f t="shared" si="91"/>
        <v>4</v>
      </c>
      <c r="E626" s="31"/>
      <c r="F626" s="31"/>
      <c r="G626" s="31"/>
      <c r="H626" s="31"/>
      <c r="I626" s="31"/>
      <c r="J626" s="31"/>
      <c r="K626" s="31"/>
      <c r="L626" s="31"/>
      <c r="M626" s="31"/>
      <c r="N626" s="31">
        <v>0</v>
      </c>
      <c r="O626" s="31">
        <v>0</v>
      </c>
      <c r="P626" s="31"/>
      <c r="Q626" s="31"/>
      <c r="R626" s="31">
        <v>4.6159527300000003E-2</v>
      </c>
      <c r="S626" s="31"/>
      <c r="T626" s="31"/>
      <c r="U626" s="31"/>
      <c r="V626" s="31"/>
      <c r="W626" s="31"/>
      <c r="X626" s="31"/>
      <c r="Y626" s="31"/>
      <c r="Z626" s="31"/>
      <c r="AA626" s="31"/>
      <c r="AB626" s="31"/>
      <c r="AC626" s="31">
        <v>0</v>
      </c>
      <c r="AD626" s="31">
        <v>0</v>
      </c>
      <c r="AE626" s="31"/>
      <c r="AF626" s="31"/>
      <c r="AG626" s="31"/>
      <c r="AH626" s="31"/>
      <c r="AI626" s="31"/>
      <c r="AJ626" s="31"/>
      <c r="AK626" s="433"/>
      <c r="AL626" s="31"/>
      <c r="AM626" s="31"/>
      <c r="AN626" s="31">
        <v>6.8666664099999997E-2</v>
      </c>
      <c r="AO626" s="592">
        <v>4.5529982300000001E-2</v>
      </c>
      <c r="AP626" s="31"/>
      <c r="AQ626" s="31"/>
      <c r="AR626" s="31"/>
      <c r="AS626" s="31"/>
      <c r="AT626" s="31"/>
      <c r="AU626" s="433"/>
    </row>
    <row r="627" spans="1:47" ht="15" customHeight="1" x14ac:dyDescent="0.2">
      <c r="A627" s="39">
        <f>acute_overview_children!A227</f>
        <v>4</v>
      </c>
      <c r="B627" s="23">
        <f>acute_overview_children!B227</f>
        <v>401080</v>
      </c>
      <c r="C627" s="23" t="str">
        <f>acute_overview_children!C227</f>
        <v>Mustard seeds</v>
      </c>
      <c r="D627" s="38">
        <f t="shared" si="91"/>
        <v>4</v>
      </c>
      <c r="E627" s="31"/>
      <c r="F627" s="31"/>
      <c r="G627" s="31"/>
      <c r="H627" s="31"/>
      <c r="I627" s="31"/>
      <c r="J627" s="31"/>
      <c r="K627" s="31"/>
      <c r="L627" s="31"/>
      <c r="M627" s="31"/>
      <c r="N627" s="31">
        <v>0</v>
      </c>
      <c r="O627" s="31">
        <v>0</v>
      </c>
      <c r="P627" s="31"/>
      <c r="Q627" s="31"/>
      <c r="R627" s="31"/>
      <c r="S627" s="31"/>
      <c r="T627" s="31"/>
      <c r="U627" s="31"/>
      <c r="V627" s="31"/>
      <c r="W627" s="31"/>
      <c r="X627" s="31"/>
      <c r="Y627" s="31"/>
      <c r="Z627" s="31"/>
      <c r="AA627" s="31"/>
      <c r="AB627" s="31"/>
      <c r="AC627" s="31">
        <v>0</v>
      </c>
      <c r="AD627" s="31">
        <v>0</v>
      </c>
      <c r="AE627" s="31"/>
      <c r="AF627" s="31"/>
      <c r="AG627" s="31"/>
      <c r="AH627" s="31"/>
      <c r="AI627" s="31"/>
      <c r="AJ627" s="31"/>
      <c r="AK627" s="433"/>
      <c r="AL627" s="31"/>
      <c r="AM627" s="31"/>
      <c r="AN627" s="31"/>
      <c r="AO627" s="592"/>
      <c r="AP627" s="31"/>
      <c r="AQ627" s="31"/>
      <c r="AR627" s="31"/>
      <c r="AS627" s="31"/>
      <c r="AT627" s="31"/>
      <c r="AU627" s="433"/>
    </row>
    <row r="628" spans="1:47" ht="15" customHeight="1" x14ac:dyDescent="0.2">
      <c r="A628" s="39">
        <f>acute_overview_children!A228</f>
        <v>4</v>
      </c>
      <c r="B628" s="23">
        <f>acute_overview_children!B228</f>
        <v>401090</v>
      </c>
      <c r="C628" s="23" t="str">
        <f>acute_overview_children!C228</f>
        <v>Cotton seeds</v>
      </c>
      <c r="D628" s="38">
        <f t="shared" si="91"/>
        <v>4</v>
      </c>
      <c r="E628" s="31"/>
      <c r="F628" s="31"/>
      <c r="G628" s="31"/>
      <c r="H628" s="31"/>
      <c r="I628" s="31"/>
      <c r="J628" s="31"/>
      <c r="K628" s="31"/>
      <c r="L628" s="31"/>
      <c r="M628" s="31"/>
      <c r="N628" s="31">
        <v>0</v>
      </c>
      <c r="O628" s="31">
        <v>0</v>
      </c>
      <c r="P628" s="31"/>
      <c r="Q628" s="31"/>
      <c r="R628" s="31"/>
      <c r="S628" s="31"/>
      <c r="T628" s="31"/>
      <c r="U628" s="31"/>
      <c r="V628" s="31"/>
      <c r="W628" s="31"/>
      <c r="X628" s="31"/>
      <c r="Y628" s="31"/>
      <c r="Z628" s="31"/>
      <c r="AA628" s="31"/>
      <c r="AB628" s="31"/>
      <c r="AC628" s="31">
        <v>0</v>
      </c>
      <c r="AD628" s="31">
        <v>0</v>
      </c>
      <c r="AE628" s="31"/>
      <c r="AF628" s="31"/>
      <c r="AG628" s="31"/>
      <c r="AH628" s="31"/>
      <c r="AI628" s="31"/>
      <c r="AJ628" s="31"/>
      <c r="AK628" s="433"/>
      <c r="AL628" s="31"/>
      <c r="AM628" s="31"/>
      <c r="AN628" s="31"/>
      <c r="AO628" s="592"/>
      <c r="AP628" s="31"/>
      <c r="AQ628" s="31"/>
      <c r="AR628" s="31"/>
      <c r="AS628" s="31"/>
      <c r="AT628" s="31"/>
      <c r="AU628" s="433"/>
    </row>
    <row r="629" spans="1:47" ht="15" customHeight="1" x14ac:dyDescent="0.2">
      <c r="A629" s="39">
        <f>acute_overview_children!A229</f>
        <v>4</v>
      </c>
      <c r="B629" s="23">
        <f>acute_overview_children!B229</f>
        <v>401100</v>
      </c>
      <c r="C629" s="23" t="str">
        <f>acute_overview_children!C229</f>
        <v>Pumpkin seeds</v>
      </c>
      <c r="D629" s="38">
        <f t="shared" si="91"/>
        <v>4</v>
      </c>
      <c r="E629" s="31"/>
      <c r="F629" s="31"/>
      <c r="G629" s="31"/>
      <c r="H629" s="31"/>
      <c r="I629" s="31"/>
      <c r="J629" s="31"/>
      <c r="K629" s="31"/>
      <c r="L629" s="31"/>
      <c r="M629" s="31"/>
      <c r="N629" s="31">
        <v>0</v>
      </c>
      <c r="O629" s="31">
        <v>0</v>
      </c>
      <c r="P629" s="31"/>
      <c r="Q629" s="31"/>
      <c r="R629" s="31"/>
      <c r="S629" s="31"/>
      <c r="T629" s="31"/>
      <c r="U629" s="31"/>
      <c r="V629" s="31"/>
      <c r="W629" s="31"/>
      <c r="X629" s="31"/>
      <c r="Y629" s="31"/>
      <c r="Z629" s="31"/>
      <c r="AA629" s="31"/>
      <c r="AB629" s="31"/>
      <c r="AC629" s="31">
        <v>0</v>
      </c>
      <c r="AD629" s="31">
        <v>0</v>
      </c>
      <c r="AE629" s="31"/>
      <c r="AF629" s="31"/>
      <c r="AG629" s="31"/>
      <c r="AH629" s="31"/>
      <c r="AI629" s="31"/>
      <c r="AJ629" s="31"/>
      <c r="AK629" s="433"/>
      <c r="AL629" s="31"/>
      <c r="AM629" s="31"/>
      <c r="AN629" s="31"/>
      <c r="AO629" s="592"/>
      <c r="AP629" s="31"/>
      <c r="AQ629" s="31"/>
      <c r="AR629" s="31"/>
      <c r="AS629" s="31"/>
      <c r="AT629" s="31"/>
      <c r="AU629" s="433"/>
    </row>
    <row r="630" spans="1:47" ht="15" customHeight="1" x14ac:dyDescent="0.2">
      <c r="A630" s="39">
        <f>acute_overview_children!A230</f>
        <v>4</v>
      </c>
      <c r="B630" s="23">
        <f>acute_overview_children!B230</f>
        <v>401110</v>
      </c>
      <c r="C630" s="23" t="str">
        <f>acute_overview_children!C230</f>
        <v>Safflower seeds</v>
      </c>
      <c r="D630" s="38">
        <f t="shared" si="91"/>
        <v>4</v>
      </c>
      <c r="E630" s="31"/>
      <c r="F630" s="31"/>
      <c r="G630" s="31"/>
      <c r="H630" s="31"/>
      <c r="I630" s="31"/>
      <c r="J630" s="31"/>
      <c r="K630" s="31"/>
      <c r="L630" s="31"/>
      <c r="M630" s="31"/>
      <c r="N630" s="31">
        <v>0</v>
      </c>
      <c r="O630" s="31">
        <v>0</v>
      </c>
      <c r="P630" s="31"/>
      <c r="Q630" s="31"/>
      <c r="R630" s="31"/>
      <c r="S630" s="31"/>
      <c r="T630" s="31"/>
      <c r="U630" s="31"/>
      <c r="V630" s="31"/>
      <c r="W630" s="31"/>
      <c r="X630" s="31"/>
      <c r="Y630" s="31"/>
      <c r="Z630" s="31"/>
      <c r="AA630" s="31"/>
      <c r="AB630" s="31"/>
      <c r="AC630" s="31">
        <v>0</v>
      </c>
      <c r="AD630" s="31">
        <v>0</v>
      </c>
      <c r="AE630" s="31"/>
      <c r="AF630" s="31"/>
      <c r="AG630" s="31"/>
      <c r="AH630" s="31"/>
      <c r="AI630" s="31"/>
      <c r="AJ630" s="31"/>
      <c r="AK630" s="433"/>
      <c r="AL630" s="31"/>
      <c r="AM630" s="31"/>
      <c r="AN630" s="31"/>
      <c r="AO630" s="592"/>
      <c r="AP630" s="31"/>
      <c r="AQ630" s="31"/>
      <c r="AR630" s="31"/>
      <c r="AS630" s="31"/>
      <c r="AT630" s="31"/>
      <c r="AU630" s="433"/>
    </row>
    <row r="631" spans="1:47" ht="15" customHeight="1" x14ac:dyDescent="0.2">
      <c r="A631" s="39">
        <f>acute_overview_children!A231</f>
        <v>4</v>
      </c>
      <c r="B631" s="23">
        <f>acute_overview_children!B231</f>
        <v>401120</v>
      </c>
      <c r="C631" s="23" t="str">
        <f>acute_overview_children!C231</f>
        <v>Borage seeds</v>
      </c>
      <c r="D631" s="38">
        <f t="shared" si="91"/>
        <v>4</v>
      </c>
      <c r="E631" s="31"/>
      <c r="F631" s="31"/>
      <c r="G631" s="31"/>
      <c r="H631" s="31"/>
      <c r="I631" s="31"/>
      <c r="J631" s="31"/>
      <c r="K631" s="31"/>
      <c r="L631" s="31"/>
      <c r="M631" s="31"/>
      <c r="N631" s="31">
        <v>0</v>
      </c>
      <c r="O631" s="31">
        <v>0</v>
      </c>
      <c r="P631" s="31"/>
      <c r="Q631" s="31"/>
      <c r="R631" s="31"/>
      <c r="S631" s="31"/>
      <c r="T631" s="31"/>
      <c r="U631" s="31"/>
      <c r="V631" s="31"/>
      <c r="W631" s="31"/>
      <c r="X631" s="31"/>
      <c r="Y631" s="31"/>
      <c r="Z631" s="31"/>
      <c r="AA631" s="31"/>
      <c r="AB631" s="31"/>
      <c r="AC631" s="31">
        <v>0</v>
      </c>
      <c r="AD631" s="31">
        <v>0</v>
      </c>
      <c r="AE631" s="31"/>
      <c r="AF631" s="31"/>
      <c r="AG631" s="31"/>
      <c r="AH631" s="31"/>
      <c r="AI631" s="31"/>
      <c r="AJ631" s="31"/>
      <c r="AK631" s="433"/>
      <c r="AL631" s="31"/>
      <c r="AM631" s="31"/>
      <c r="AN631" s="31"/>
      <c r="AO631" s="592"/>
      <c r="AP631" s="31"/>
      <c r="AQ631" s="31"/>
      <c r="AR631" s="31"/>
      <c r="AS631" s="31"/>
      <c r="AT631" s="31"/>
      <c r="AU631" s="433"/>
    </row>
    <row r="632" spans="1:47" ht="15" customHeight="1" x14ac:dyDescent="0.2">
      <c r="A632" s="39">
        <f>acute_overview_children!A232</f>
        <v>4</v>
      </c>
      <c r="B632" s="23">
        <f>acute_overview_children!B232</f>
        <v>401130</v>
      </c>
      <c r="C632" s="23" t="str">
        <f>acute_overview_children!C232</f>
        <v>Gold of pleasure seeds</v>
      </c>
      <c r="D632" s="38">
        <f t="shared" si="91"/>
        <v>4</v>
      </c>
      <c r="E632" s="31"/>
      <c r="F632" s="31"/>
      <c r="G632" s="31"/>
      <c r="H632" s="31"/>
      <c r="I632" s="31"/>
      <c r="J632" s="31"/>
      <c r="K632" s="31"/>
      <c r="L632" s="31"/>
      <c r="M632" s="31"/>
      <c r="N632" s="31">
        <v>0</v>
      </c>
      <c r="O632" s="31">
        <v>0</v>
      </c>
      <c r="P632" s="31"/>
      <c r="Q632" s="31"/>
      <c r="R632" s="31"/>
      <c r="S632" s="31"/>
      <c r="T632" s="31"/>
      <c r="U632" s="31"/>
      <c r="V632" s="31"/>
      <c r="W632" s="31"/>
      <c r="X632" s="31"/>
      <c r="Y632" s="31"/>
      <c r="Z632" s="31"/>
      <c r="AA632" s="31"/>
      <c r="AB632" s="31"/>
      <c r="AC632" s="31">
        <v>0</v>
      </c>
      <c r="AD632" s="31">
        <v>0</v>
      </c>
      <c r="AE632" s="31"/>
      <c r="AF632" s="31"/>
      <c r="AG632" s="31"/>
      <c r="AH632" s="31"/>
      <c r="AI632" s="31"/>
      <c r="AJ632" s="31"/>
      <c r="AK632" s="433"/>
      <c r="AL632" s="31"/>
      <c r="AM632" s="31"/>
      <c r="AN632" s="31"/>
      <c r="AO632" s="592"/>
      <c r="AP632" s="31"/>
      <c r="AQ632" s="31"/>
      <c r="AR632" s="31"/>
      <c r="AS632" s="31"/>
      <c r="AT632" s="31"/>
      <c r="AU632" s="433"/>
    </row>
    <row r="633" spans="1:47" ht="15" customHeight="1" x14ac:dyDescent="0.2">
      <c r="A633" s="39">
        <f>acute_overview_children!A233</f>
        <v>4</v>
      </c>
      <c r="B633" s="23">
        <f>acute_overview_children!B233</f>
        <v>401140</v>
      </c>
      <c r="C633" s="23" t="str">
        <f>acute_overview_children!C233</f>
        <v>Hemp seeds</v>
      </c>
      <c r="D633" s="38">
        <f t="shared" si="91"/>
        <v>4</v>
      </c>
      <c r="E633" s="31"/>
      <c r="F633" s="31"/>
      <c r="G633" s="31"/>
      <c r="H633" s="31"/>
      <c r="I633" s="31"/>
      <c r="J633" s="31"/>
      <c r="K633" s="31"/>
      <c r="L633" s="31"/>
      <c r="M633" s="31"/>
      <c r="N633" s="31">
        <v>0</v>
      </c>
      <c r="O633" s="31">
        <v>0</v>
      </c>
      <c r="P633" s="31"/>
      <c r="Q633" s="31"/>
      <c r="R633" s="31"/>
      <c r="S633" s="31"/>
      <c r="T633" s="31"/>
      <c r="U633" s="31"/>
      <c r="V633" s="31"/>
      <c r="W633" s="31"/>
      <c r="X633" s="31"/>
      <c r="Y633" s="31"/>
      <c r="Z633" s="31"/>
      <c r="AA633" s="31"/>
      <c r="AB633" s="31"/>
      <c r="AC633" s="31">
        <v>0</v>
      </c>
      <c r="AD633" s="31">
        <v>0</v>
      </c>
      <c r="AE633" s="31"/>
      <c r="AF633" s="31"/>
      <c r="AG633" s="31"/>
      <c r="AH633" s="31"/>
      <c r="AI633" s="31"/>
      <c r="AJ633" s="31"/>
      <c r="AK633" s="433"/>
      <c r="AL633" s="31"/>
      <c r="AM633" s="31"/>
      <c r="AN633" s="31"/>
      <c r="AO633" s="592"/>
      <c r="AP633" s="31"/>
      <c r="AQ633" s="31"/>
      <c r="AR633" s="31"/>
      <c r="AS633" s="31"/>
      <c r="AT633" s="31"/>
      <c r="AU633" s="433"/>
    </row>
    <row r="634" spans="1:47" ht="15" customHeight="1" x14ac:dyDescent="0.2">
      <c r="A634" s="39">
        <f>acute_overview_children!A234</f>
        <v>4</v>
      </c>
      <c r="B634" s="23">
        <f>acute_overview_children!B234</f>
        <v>401150</v>
      </c>
      <c r="C634" s="23" t="str">
        <f>acute_overview_children!C234</f>
        <v>Castor beans</v>
      </c>
      <c r="D634" s="38">
        <f t="shared" si="91"/>
        <v>4</v>
      </c>
      <c r="E634" s="31"/>
      <c r="F634" s="31"/>
      <c r="G634" s="31"/>
      <c r="H634" s="31"/>
      <c r="I634" s="31"/>
      <c r="J634" s="31"/>
      <c r="K634" s="31"/>
      <c r="L634" s="31"/>
      <c r="M634" s="31"/>
      <c r="N634" s="31">
        <v>0</v>
      </c>
      <c r="O634" s="31">
        <v>0</v>
      </c>
      <c r="P634" s="31"/>
      <c r="Q634" s="31"/>
      <c r="R634" s="31"/>
      <c r="S634" s="31"/>
      <c r="T634" s="31"/>
      <c r="U634" s="31"/>
      <c r="V634" s="31"/>
      <c r="W634" s="31"/>
      <c r="X634" s="31"/>
      <c r="Y634" s="31"/>
      <c r="Z634" s="31"/>
      <c r="AA634" s="31"/>
      <c r="AB634" s="31"/>
      <c r="AC634" s="31">
        <v>0</v>
      </c>
      <c r="AD634" s="31">
        <v>0</v>
      </c>
      <c r="AE634" s="31"/>
      <c r="AF634" s="31"/>
      <c r="AG634" s="31"/>
      <c r="AH634" s="31"/>
      <c r="AI634" s="31"/>
      <c r="AJ634" s="31"/>
      <c r="AK634" s="433"/>
      <c r="AL634" s="31"/>
      <c r="AM634" s="31"/>
      <c r="AN634" s="31"/>
      <c r="AO634" s="592"/>
      <c r="AP634" s="31"/>
      <c r="AQ634" s="31"/>
      <c r="AR634" s="31"/>
      <c r="AS634" s="31"/>
      <c r="AT634" s="31"/>
      <c r="AU634" s="433"/>
    </row>
    <row r="635" spans="1:47" ht="15" customHeight="1" x14ac:dyDescent="0.2">
      <c r="A635" s="39">
        <f>acute_overview_children!A235</f>
        <v>4</v>
      </c>
      <c r="B635" s="23">
        <f>acute_overview_children!B235</f>
        <v>401990</v>
      </c>
      <c r="C635" s="23" t="str">
        <f>acute_overview_children!C235</f>
        <v>Other oilseeds</v>
      </c>
      <c r="D635" s="38">
        <f t="shared" si="91"/>
        <v>4</v>
      </c>
      <c r="E635" s="31"/>
      <c r="F635" s="31"/>
      <c r="G635" s="31"/>
      <c r="H635" s="31"/>
      <c r="I635" s="31"/>
      <c r="J635" s="31"/>
      <c r="K635" s="31"/>
      <c r="L635" s="31"/>
      <c r="M635" s="31"/>
      <c r="N635" s="31">
        <v>0</v>
      </c>
      <c r="O635" s="31">
        <v>0</v>
      </c>
      <c r="P635" s="31"/>
      <c r="Q635" s="31"/>
      <c r="R635" s="31">
        <v>0.21820364289999999</v>
      </c>
      <c r="S635" s="31"/>
      <c r="T635" s="31"/>
      <c r="U635" s="31"/>
      <c r="V635" s="31"/>
      <c r="W635" s="31"/>
      <c r="X635" s="31"/>
      <c r="Y635" s="31"/>
      <c r="Z635" s="31"/>
      <c r="AA635" s="31"/>
      <c r="AB635" s="31"/>
      <c r="AC635" s="31">
        <v>0</v>
      </c>
      <c r="AD635" s="31">
        <v>0</v>
      </c>
      <c r="AE635" s="31"/>
      <c r="AF635" s="31"/>
      <c r="AG635" s="31"/>
      <c r="AH635" s="31"/>
      <c r="AI635" s="31"/>
      <c r="AJ635" s="31"/>
      <c r="AK635" s="433"/>
      <c r="AL635" s="31"/>
      <c r="AM635" s="31"/>
      <c r="AN635" s="31">
        <v>0.38813622920000002</v>
      </c>
      <c r="AO635" s="592">
        <v>0.38308458509999999</v>
      </c>
      <c r="AP635" s="31"/>
      <c r="AQ635" s="31"/>
      <c r="AR635" s="31"/>
      <c r="AS635" s="31"/>
      <c r="AT635" s="31"/>
      <c r="AU635" s="433"/>
    </row>
    <row r="636" spans="1:47" ht="15" customHeight="1" x14ac:dyDescent="0.2">
      <c r="A636" s="515">
        <f>acute_overview_children!A236</f>
        <v>2</v>
      </c>
      <c r="B636" s="24">
        <f>acute_overview_children!B236</f>
        <v>402000</v>
      </c>
      <c r="C636" s="24" t="str">
        <f>acute_overview_children!C236</f>
        <v>Oil fruits</v>
      </c>
      <c r="D636" s="38">
        <f t="shared" si="91"/>
        <v>4</v>
      </c>
      <c r="E636" s="55"/>
      <c r="F636" s="55"/>
      <c r="G636" s="55"/>
      <c r="H636" s="55"/>
      <c r="I636" s="55"/>
      <c r="J636" s="55"/>
      <c r="K636" s="55"/>
      <c r="L636" s="55"/>
      <c r="M636" s="55"/>
      <c r="N636" s="55">
        <v>0</v>
      </c>
      <c r="O636" s="55">
        <v>0</v>
      </c>
      <c r="P636" s="55"/>
      <c r="Q636" s="55"/>
      <c r="R636" s="55"/>
      <c r="S636" s="55"/>
      <c r="T636" s="55"/>
      <c r="U636" s="55"/>
      <c r="V636" s="55"/>
      <c r="W636" s="55"/>
      <c r="X636" s="55"/>
      <c r="Y636" s="55"/>
      <c r="Z636" s="55"/>
      <c r="AA636" s="55"/>
      <c r="AB636" s="55"/>
      <c r="AC636" s="55">
        <v>0</v>
      </c>
      <c r="AD636" s="55">
        <v>0</v>
      </c>
      <c r="AE636" s="55"/>
      <c r="AF636" s="55"/>
      <c r="AG636" s="55"/>
      <c r="AH636" s="55"/>
      <c r="AI636" s="55"/>
      <c r="AJ636" s="55"/>
      <c r="AK636" s="435"/>
      <c r="AL636" s="55"/>
      <c r="AM636" s="55"/>
      <c r="AN636" s="55"/>
      <c r="AO636" s="597"/>
      <c r="AP636" s="55"/>
      <c r="AQ636" s="55"/>
      <c r="AR636" s="55"/>
      <c r="AS636" s="55"/>
      <c r="AT636" s="55"/>
      <c r="AU636" s="435"/>
    </row>
    <row r="637" spans="1:47" ht="15" customHeight="1" x14ac:dyDescent="0.2">
      <c r="A637" s="39">
        <f>acute_overview_children!A237</f>
        <v>4</v>
      </c>
      <c r="B637" s="23">
        <f>acute_overview_children!B237</f>
        <v>402010</v>
      </c>
      <c r="C637" s="23" t="str">
        <f>acute_overview_children!C237</f>
        <v>Olives for oil production</v>
      </c>
      <c r="D637" s="38">
        <f t="shared" si="91"/>
        <v>4</v>
      </c>
      <c r="E637" s="31"/>
      <c r="F637" s="31"/>
      <c r="G637" s="31"/>
      <c r="H637" s="31"/>
      <c r="I637" s="31"/>
      <c r="J637" s="31"/>
      <c r="K637" s="31"/>
      <c r="L637" s="31"/>
      <c r="M637" s="31"/>
      <c r="N637" s="31">
        <v>0</v>
      </c>
      <c r="O637" s="31">
        <v>0</v>
      </c>
      <c r="P637" s="31"/>
      <c r="Q637" s="31"/>
      <c r="R637" s="31">
        <v>2.3970170499999999E-2</v>
      </c>
      <c r="S637" s="31"/>
      <c r="T637" s="31"/>
      <c r="U637" s="31"/>
      <c r="V637" s="31"/>
      <c r="W637" s="31"/>
      <c r="X637" s="31"/>
      <c r="Y637" s="31"/>
      <c r="Z637" s="31"/>
      <c r="AA637" s="31"/>
      <c r="AB637" s="31"/>
      <c r="AC637" s="31">
        <v>0</v>
      </c>
      <c r="AD637" s="31">
        <v>0</v>
      </c>
      <c r="AE637" s="31"/>
      <c r="AF637" s="31"/>
      <c r="AG637" s="31"/>
      <c r="AH637" s="31"/>
      <c r="AI637" s="31"/>
      <c r="AJ637" s="31"/>
      <c r="AK637" s="433"/>
      <c r="AL637" s="31"/>
      <c r="AM637" s="31"/>
      <c r="AN637" s="31">
        <v>0.12737450489999999</v>
      </c>
      <c r="AO637" s="592">
        <v>9.8434324899999995E-2</v>
      </c>
      <c r="AP637" s="31"/>
      <c r="AQ637" s="31"/>
      <c r="AR637" s="31"/>
      <c r="AS637" s="31"/>
      <c r="AT637" s="31"/>
      <c r="AU637" s="433"/>
    </row>
    <row r="638" spans="1:47" ht="15" customHeight="1" x14ac:dyDescent="0.2">
      <c r="A638" s="39">
        <f>acute_overview_children!A238</f>
        <v>4</v>
      </c>
      <c r="B638" s="23">
        <f>acute_overview_children!B238</f>
        <v>402020</v>
      </c>
      <c r="C638" s="23" t="str">
        <f>acute_overview_children!C238</f>
        <v>Oil palm kernels</v>
      </c>
      <c r="D638" s="38">
        <f t="shared" si="91"/>
        <v>4</v>
      </c>
      <c r="E638" s="31"/>
      <c r="F638" s="31"/>
      <c r="G638" s="31"/>
      <c r="H638" s="31"/>
      <c r="I638" s="31"/>
      <c r="J638" s="31"/>
      <c r="K638" s="31"/>
      <c r="L638" s="31"/>
      <c r="M638" s="31"/>
      <c r="N638" s="31">
        <v>0</v>
      </c>
      <c r="O638" s="31">
        <v>0</v>
      </c>
      <c r="P638" s="31"/>
      <c r="Q638" s="31"/>
      <c r="R638" s="31"/>
      <c r="S638" s="31"/>
      <c r="T638" s="31"/>
      <c r="U638" s="31"/>
      <c r="V638" s="31"/>
      <c r="W638" s="31"/>
      <c r="X638" s="31"/>
      <c r="Y638" s="31"/>
      <c r="Z638" s="31"/>
      <c r="AA638" s="31"/>
      <c r="AB638" s="31"/>
      <c r="AC638" s="31">
        <v>0</v>
      </c>
      <c r="AD638" s="31">
        <v>0</v>
      </c>
      <c r="AE638" s="31"/>
      <c r="AF638" s="31"/>
      <c r="AG638" s="31"/>
      <c r="AH638" s="31"/>
      <c r="AI638" s="31"/>
      <c r="AJ638" s="31"/>
      <c r="AK638" s="433"/>
      <c r="AL638" s="31"/>
      <c r="AM638" s="31"/>
      <c r="AN638" s="31"/>
      <c r="AO638" s="592"/>
      <c r="AP638" s="31"/>
      <c r="AQ638" s="31"/>
      <c r="AR638" s="31"/>
      <c r="AS638" s="31"/>
      <c r="AT638" s="31"/>
      <c r="AU638" s="433"/>
    </row>
    <row r="639" spans="1:47" ht="15" customHeight="1" x14ac:dyDescent="0.2">
      <c r="A639" s="39">
        <f>acute_overview_children!A239</f>
        <v>4</v>
      </c>
      <c r="B639" s="23">
        <f>acute_overview_children!B239</f>
        <v>402030</v>
      </c>
      <c r="C639" s="23" t="str">
        <f>acute_overview_children!C239</f>
        <v>Oil palm fruits</v>
      </c>
      <c r="D639" s="38">
        <f t="shared" si="91"/>
        <v>4</v>
      </c>
      <c r="E639" s="31"/>
      <c r="F639" s="31"/>
      <c r="G639" s="31"/>
      <c r="H639" s="31"/>
      <c r="I639" s="31"/>
      <c r="J639" s="31"/>
      <c r="K639" s="31"/>
      <c r="L639" s="31"/>
      <c r="M639" s="31"/>
      <c r="N639" s="31">
        <v>0</v>
      </c>
      <c r="O639" s="31">
        <v>0</v>
      </c>
      <c r="P639" s="31"/>
      <c r="Q639" s="31"/>
      <c r="R639" s="31"/>
      <c r="S639" s="31"/>
      <c r="T639" s="31"/>
      <c r="U639" s="31"/>
      <c r="V639" s="31"/>
      <c r="W639" s="31"/>
      <c r="X639" s="31"/>
      <c r="Y639" s="31"/>
      <c r="Z639" s="31"/>
      <c r="AA639" s="31"/>
      <c r="AB639" s="31"/>
      <c r="AC639" s="31">
        <v>0</v>
      </c>
      <c r="AD639" s="31">
        <v>0</v>
      </c>
      <c r="AE639" s="31"/>
      <c r="AF639" s="31"/>
      <c r="AG639" s="31"/>
      <c r="AH639" s="31"/>
      <c r="AI639" s="31"/>
      <c r="AJ639" s="31"/>
      <c r="AK639" s="433"/>
      <c r="AL639" s="31"/>
      <c r="AM639" s="31"/>
      <c r="AN639" s="31"/>
      <c r="AO639" s="592"/>
      <c r="AP639" s="31"/>
      <c r="AQ639" s="31"/>
      <c r="AR639" s="31"/>
      <c r="AS639" s="31"/>
      <c r="AT639" s="31"/>
      <c r="AU639" s="433"/>
    </row>
    <row r="640" spans="1:47" ht="15" customHeight="1" x14ac:dyDescent="0.2">
      <c r="A640" s="39">
        <f>acute_overview_children!A240</f>
        <v>4</v>
      </c>
      <c r="B640" s="23">
        <f>acute_overview_children!B240</f>
        <v>402040</v>
      </c>
      <c r="C640" s="23" t="str">
        <f>acute_overview_children!C240</f>
        <v>Kapok</v>
      </c>
      <c r="D640" s="38">
        <f t="shared" si="91"/>
        <v>4</v>
      </c>
      <c r="E640" s="31"/>
      <c r="F640" s="31"/>
      <c r="G640" s="31"/>
      <c r="H640" s="31"/>
      <c r="I640" s="31"/>
      <c r="J640" s="31"/>
      <c r="K640" s="31"/>
      <c r="L640" s="31"/>
      <c r="M640" s="31"/>
      <c r="N640" s="31">
        <v>0</v>
      </c>
      <c r="O640" s="31">
        <v>0</v>
      </c>
      <c r="P640" s="31"/>
      <c r="Q640" s="31"/>
      <c r="R640" s="31"/>
      <c r="S640" s="31"/>
      <c r="T640" s="31"/>
      <c r="U640" s="31"/>
      <c r="V640" s="31"/>
      <c r="W640" s="31"/>
      <c r="X640" s="31"/>
      <c r="Y640" s="31"/>
      <c r="Z640" s="31"/>
      <c r="AA640" s="31"/>
      <c r="AB640" s="31"/>
      <c r="AC640" s="31">
        <v>0</v>
      </c>
      <c r="AD640" s="31">
        <v>0</v>
      </c>
      <c r="AE640" s="31"/>
      <c r="AF640" s="31"/>
      <c r="AG640" s="31"/>
      <c r="AH640" s="31"/>
      <c r="AI640" s="31"/>
      <c r="AJ640" s="31"/>
      <c r="AK640" s="433"/>
      <c r="AL640" s="31"/>
      <c r="AM640" s="31"/>
      <c r="AN640" s="31"/>
      <c r="AO640" s="592"/>
      <c r="AP640" s="31"/>
      <c r="AQ640" s="31"/>
      <c r="AR640" s="31"/>
      <c r="AS640" s="31"/>
      <c r="AT640" s="31"/>
      <c r="AU640" s="433"/>
    </row>
    <row r="641" spans="1:47" ht="15" customHeight="1" x14ac:dyDescent="0.2">
      <c r="A641" s="39">
        <f>acute_overview_children!A241</f>
        <v>4</v>
      </c>
      <c r="B641" s="23">
        <f>acute_overview_children!B241</f>
        <v>402990</v>
      </c>
      <c r="C641" s="23" t="str">
        <f>acute_overview_children!C241</f>
        <v>Other oilfruit</v>
      </c>
      <c r="D641" s="38">
        <f t="shared" si="91"/>
        <v>4</v>
      </c>
      <c r="E641" s="31"/>
      <c r="F641" s="31"/>
      <c r="G641" s="31"/>
      <c r="H641" s="31"/>
      <c r="I641" s="31"/>
      <c r="J641" s="31"/>
      <c r="K641" s="31"/>
      <c r="L641" s="31"/>
      <c r="M641" s="31"/>
      <c r="N641" s="31">
        <v>0</v>
      </c>
      <c r="O641" s="31">
        <v>0</v>
      </c>
      <c r="P641" s="31"/>
      <c r="Q641" s="31"/>
      <c r="R641" s="31"/>
      <c r="S641" s="31"/>
      <c r="T641" s="31"/>
      <c r="U641" s="31"/>
      <c r="V641" s="31"/>
      <c r="W641" s="31"/>
      <c r="X641" s="31"/>
      <c r="Y641" s="31"/>
      <c r="Z641" s="31"/>
      <c r="AA641" s="31"/>
      <c r="AB641" s="31"/>
      <c r="AC641" s="31">
        <v>0</v>
      </c>
      <c r="AD641" s="31">
        <v>0</v>
      </c>
      <c r="AE641" s="31"/>
      <c r="AF641" s="31"/>
      <c r="AG641" s="31"/>
      <c r="AH641" s="31"/>
      <c r="AI641" s="31"/>
      <c r="AJ641" s="31"/>
      <c r="AK641" s="433"/>
      <c r="AL641" s="31"/>
      <c r="AM641" s="31"/>
      <c r="AN641" s="31"/>
      <c r="AO641" s="592"/>
      <c r="AP641" s="31"/>
      <c r="AQ641" s="31"/>
      <c r="AR641" s="31"/>
      <c r="AS641" s="31"/>
      <c r="AT641" s="31"/>
      <c r="AU641" s="433"/>
    </row>
    <row r="642" spans="1:47" ht="15" customHeight="1" x14ac:dyDescent="0.2">
      <c r="A642" s="514">
        <f>acute_overview_children!A242</f>
        <v>1</v>
      </c>
      <c r="B642" s="2">
        <f>acute_overview_children!B242</f>
        <v>500000</v>
      </c>
      <c r="C642" s="2" t="str">
        <f>acute_overview_children!C242</f>
        <v>CEREALS</v>
      </c>
      <c r="D642" s="38">
        <f t="shared" si="91"/>
        <v>4</v>
      </c>
      <c r="E642" s="54"/>
      <c r="F642" s="54"/>
      <c r="G642" s="54"/>
      <c r="H642" s="54"/>
      <c r="I642" s="54"/>
      <c r="J642" s="54"/>
      <c r="K642" s="54"/>
      <c r="L642" s="54"/>
      <c r="M642" s="54"/>
      <c r="N642" s="54">
        <v>8.4482758620689662</v>
      </c>
      <c r="O642" s="54">
        <v>9.6643835616438363</v>
      </c>
      <c r="P642" s="54"/>
      <c r="Q642" s="54"/>
      <c r="R642" s="54"/>
      <c r="S642" s="54"/>
      <c r="T642" s="54"/>
      <c r="U642" s="54"/>
      <c r="V642" s="54"/>
      <c r="W642" s="54"/>
      <c r="X642" s="54"/>
      <c r="Y642" s="54"/>
      <c r="Z642" s="54"/>
      <c r="AA642" s="54"/>
      <c r="AB642" s="54"/>
      <c r="AC642" s="54">
        <v>4.3342105263157888</v>
      </c>
      <c r="AD642" s="54">
        <v>5.395802098950524</v>
      </c>
      <c r="AE642" s="54"/>
      <c r="AF642" s="54"/>
      <c r="AG642" s="54"/>
      <c r="AH642" s="54"/>
      <c r="AI642" s="54"/>
      <c r="AJ642" s="54"/>
      <c r="AK642" s="434"/>
      <c r="AL642" s="54"/>
      <c r="AM642" s="54"/>
      <c r="AN642" s="54"/>
      <c r="AO642" s="598"/>
      <c r="AP642" s="54"/>
      <c r="AQ642" s="54"/>
      <c r="AR642" s="54"/>
      <c r="AS642" s="54"/>
      <c r="AT642" s="54"/>
      <c r="AU642" s="434"/>
    </row>
    <row r="643" spans="1:47" ht="15" customHeight="1" x14ac:dyDescent="0.2">
      <c r="A643" s="39">
        <f>acute_overview_children!A243</f>
        <v>4</v>
      </c>
      <c r="B643" s="23">
        <f>acute_overview_children!B243</f>
        <v>500010</v>
      </c>
      <c r="C643" s="23" t="str">
        <f>acute_overview_children!C243</f>
        <v xml:space="preserve">Barley </v>
      </c>
      <c r="D643" s="38">
        <f t="shared" si="91"/>
        <v>4</v>
      </c>
      <c r="E643" s="31"/>
      <c r="F643" s="31"/>
      <c r="G643" s="31"/>
      <c r="H643" s="31"/>
      <c r="I643" s="31"/>
      <c r="J643" s="31"/>
      <c r="K643" s="31"/>
      <c r="L643" s="31"/>
      <c r="M643" s="31"/>
      <c r="N643" s="31">
        <v>0</v>
      </c>
      <c r="O643" s="31">
        <v>0.32876712328767121</v>
      </c>
      <c r="P643" s="31"/>
      <c r="Q643" s="31"/>
      <c r="R643" s="31">
        <v>0.13884918030000001</v>
      </c>
      <c r="S643" s="31"/>
      <c r="T643" s="31"/>
      <c r="U643" s="31"/>
      <c r="V643" s="31"/>
      <c r="W643" s="31"/>
      <c r="X643" s="31"/>
      <c r="Y643" s="31"/>
      <c r="Z643" s="31"/>
      <c r="AA643" s="31"/>
      <c r="AB643" s="31"/>
      <c r="AC643" s="31">
        <v>0.2473684210526316</v>
      </c>
      <c r="AD643" s="31">
        <v>0.25787106446776609</v>
      </c>
      <c r="AE643" s="31"/>
      <c r="AF643" s="31"/>
      <c r="AG643" s="31"/>
      <c r="AH643" s="31"/>
      <c r="AI643" s="31"/>
      <c r="AJ643" s="31"/>
      <c r="AK643" s="433"/>
      <c r="AL643" s="31"/>
      <c r="AM643" s="31"/>
      <c r="AN643" s="31">
        <v>0.5124228864</v>
      </c>
      <c r="AO643" s="592">
        <v>0.44404394130000002</v>
      </c>
      <c r="AP643" s="31"/>
      <c r="AQ643" s="31"/>
      <c r="AR643" s="31"/>
      <c r="AS643" s="31"/>
      <c r="AT643" s="31"/>
      <c r="AU643" s="433"/>
    </row>
    <row r="644" spans="1:47" ht="15" customHeight="1" x14ac:dyDescent="0.2">
      <c r="A644" s="39">
        <f>acute_overview_children!A244</f>
        <v>4</v>
      </c>
      <c r="B644" s="23">
        <f>acute_overview_children!B244</f>
        <v>500020</v>
      </c>
      <c r="C644" s="23" t="str">
        <f>acute_overview_children!C244</f>
        <v>Buckwheat and other pseudo-cereals</v>
      </c>
      <c r="D644" s="38">
        <f t="shared" si="91"/>
        <v>4</v>
      </c>
      <c r="E644" s="31"/>
      <c r="F644" s="31"/>
      <c r="G644" s="31"/>
      <c r="H644" s="31"/>
      <c r="I644" s="31"/>
      <c r="J644" s="31"/>
      <c r="K644" s="31"/>
      <c r="L644" s="31"/>
      <c r="M644" s="31"/>
      <c r="N644" s="31">
        <v>0</v>
      </c>
      <c r="O644" s="31">
        <v>0</v>
      </c>
      <c r="P644" s="31"/>
      <c r="Q644" s="31"/>
      <c r="R644" s="31">
        <v>1.6758759299999999E-2</v>
      </c>
      <c r="S644" s="31"/>
      <c r="T644" s="31"/>
      <c r="U644" s="31"/>
      <c r="V644" s="31"/>
      <c r="W644" s="31"/>
      <c r="X644" s="31"/>
      <c r="Y644" s="31"/>
      <c r="Z644" s="31"/>
      <c r="AA644" s="31"/>
      <c r="AB644" s="31"/>
      <c r="AC644" s="31">
        <v>0</v>
      </c>
      <c r="AD644" s="31">
        <v>0</v>
      </c>
      <c r="AE644" s="31"/>
      <c r="AF644" s="31"/>
      <c r="AG644" s="31"/>
      <c r="AH644" s="31"/>
      <c r="AI644" s="31"/>
      <c r="AJ644" s="31"/>
      <c r="AK644" s="433"/>
      <c r="AL644" s="31"/>
      <c r="AM644" s="31"/>
      <c r="AN644" s="31">
        <v>1.09801325E-2</v>
      </c>
      <c r="AO644" s="592">
        <v>2.7353659499999999E-2</v>
      </c>
      <c r="AP644" s="31"/>
      <c r="AQ644" s="31"/>
      <c r="AR644" s="31"/>
      <c r="AS644" s="31"/>
      <c r="AT644" s="31"/>
      <c r="AU644" s="433"/>
    </row>
    <row r="645" spans="1:47" ht="15" customHeight="1" x14ac:dyDescent="0.2">
      <c r="A645" s="39">
        <f>acute_overview_children!A245</f>
        <v>4</v>
      </c>
      <c r="B645" s="23">
        <f>acute_overview_children!B245</f>
        <v>500030</v>
      </c>
      <c r="C645" s="23" t="str">
        <f>acute_overview_children!C245</f>
        <v>Maize/corn</v>
      </c>
      <c r="D645" s="38">
        <f t="shared" si="91"/>
        <v>4</v>
      </c>
      <c r="E645" s="31"/>
      <c r="F645" s="31"/>
      <c r="G645" s="31"/>
      <c r="H645" s="31"/>
      <c r="I645" s="31"/>
      <c r="J645" s="31"/>
      <c r="K645" s="31"/>
      <c r="L645" s="31"/>
      <c r="M645" s="31"/>
      <c r="N645" s="31">
        <v>4.5862068965517242</v>
      </c>
      <c r="O645" s="31">
        <v>0.71917808219178081</v>
      </c>
      <c r="P645" s="31"/>
      <c r="Q645" s="31"/>
      <c r="R645" s="31">
        <v>4.6353522899999999E-2</v>
      </c>
      <c r="S645" s="31"/>
      <c r="T645" s="31"/>
      <c r="U645" s="31"/>
      <c r="V645" s="31"/>
      <c r="W645" s="31"/>
      <c r="X645" s="31"/>
      <c r="Y645" s="31"/>
      <c r="Z645" s="31"/>
      <c r="AA645" s="31"/>
      <c r="AB645" s="31"/>
      <c r="AC645" s="31">
        <v>6.9736842105263153E-2</v>
      </c>
      <c r="AD645" s="31">
        <v>0.32533733133433279</v>
      </c>
      <c r="AE645" s="31"/>
      <c r="AF645" s="31"/>
      <c r="AG645" s="31"/>
      <c r="AH645" s="31"/>
      <c r="AI645" s="31"/>
      <c r="AJ645" s="31"/>
      <c r="AK645" s="433"/>
      <c r="AL645" s="31"/>
      <c r="AM645" s="31"/>
      <c r="AN645" s="31">
        <v>0.2189743519</v>
      </c>
      <c r="AO645" s="592">
        <v>0.22830571450000001</v>
      </c>
      <c r="AP645" s="31"/>
      <c r="AQ645" s="31"/>
      <c r="AR645" s="31"/>
      <c r="AS645" s="31"/>
      <c r="AT645" s="31"/>
      <c r="AU645" s="433"/>
    </row>
    <row r="646" spans="1:47" ht="15" customHeight="1" x14ac:dyDescent="0.2">
      <c r="A646" s="39">
        <f>acute_overview_children!A246</f>
        <v>4</v>
      </c>
      <c r="B646" s="23">
        <f>acute_overview_children!B246</f>
        <v>500040</v>
      </c>
      <c r="C646" s="23" t="str">
        <f>acute_overview_children!C246</f>
        <v>Common millet/proso millet</v>
      </c>
      <c r="D646" s="38">
        <f t="shared" si="91"/>
        <v>4</v>
      </c>
      <c r="E646" s="31"/>
      <c r="F646" s="31"/>
      <c r="G646" s="31"/>
      <c r="H646" s="31"/>
      <c r="I646" s="31"/>
      <c r="J646" s="31"/>
      <c r="K646" s="31"/>
      <c r="L646" s="31"/>
      <c r="M646" s="31"/>
      <c r="N646" s="31">
        <v>0</v>
      </c>
      <c r="O646" s="31">
        <v>0.28767123287671237</v>
      </c>
      <c r="P646" s="31"/>
      <c r="Q646" s="31"/>
      <c r="R646" s="31">
        <v>0</v>
      </c>
      <c r="S646" s="31"/>
      <c r="T646" s="31"/>
      <c r="U646" s="31"/>
      <c r="V646" s="31"/>
      <c r="W646" s="31"/>
      <c r="X646" s="31"/>
      <c r="Y646" s="31"/>
      <c r="Z646" s="31"/>
      <c r="AA646" s="31"/>
      <c r="AB646" s="31"/>
      <c r="AC646" s="31">
        <v>0</v>
      </c>
      <c r="AD646" s="31">
        <v>0</v>
      </c>
      <c r="AE646" s="31"/>
      <c r="AF646" s="31"/>
      <c r="AG646" s="31"/>
      <c r="AH646" s="31"/>
      <c r="AI646" s="31"/>
      <c r="AJ646" s="31"/>
      <c r="AK646" s="433"/>
      <c r="AL646" s="31"/>
      <c r="AM646" s="31"/>
      <c r="AN646" s="31">
        <v>5.8245613000000003E-3</v>
      </c>
      <c r="AO646" s="592">
        <v>4.7051792000000004E-3</v>
      </c>
      <c r="AP646" s="31"/>
      <c r="AQ646" s="31"/>
      <c r="AR646" s="31"/>
      <c r="AS646" s="31"/>
      <c r="AT646" s="31"/>
      <c r="AU646" s="433"/>
    </row>
    <row r="647" spans="1:47" ht="15" customHeight="1" x14ac:dyDescent="0.2">
      <c r="A647" s="39">
        <f>acute_overview_children!A247</f>
        <v>4</v>
      </c>
      <c r="B647" s="23">
        <f>acute_overview_children!B247</f>
        <v>500050</v>
      </c>
      <c r="C647" s="23" t="str">
        <f>acute_overview_children!C247</f>
        <v>Oat</v>
      </c>
      <c r="D647" s="38">
        <f t="shared" si="91"/>
        <v>4</v>
      </c>
      <c r="E647" s="31"/>
      <c r="F647" s="31"/>
      <c r="G647" s="31"/>
      <c r="H647" s="31"/>
      <c r="I647" s="31"/>
      <c r="J647" s="31"/>
      <c r="K647" s="31"/>
      <c r="L647" s="31"/>
      <c r="M647" s="31"/>
      <c r="N647" s="31">
        <v>2.195402298850575</v>
      </c>
      <c r="O647" s="31">
        <v>1.2054794520547947</v>
      </c>
      <c r="P647" s="31"/>
      <c r="Q647" s="31"/>
      <c r="R647" s="31">
        <v>0.52533706840000005</v>
      </c>
      <c r="S647" s="31"/>
      <c r="T647" s="31"/>
      <c r="U647" s="31"/>
      <c r="V647" s="31"/>
      <c r="W647" s="31"/>
      <c r="X647" s="31"/>
      <c r="Y647" s="31"/>
      <c r="Z647" s="31"/>
      <c r="AA647" s="31"/>
      <c r="AB647" s="31"/>
      <c r="AC647" s="31">
        <v>0.35394736842105262</v>
      </c>
      <c r="AD647" s="31">
        <v>0.63868065967016496</v>
      </c>
      <c r="AE647" s="31"/>
      <c r="AF647" s="31"/>
      <c r="AG647" s="31"/>
      <c r="AH647" s="31"/>
      <c r="AI647" s="31"/>
      <c r="AJ647" s="31"/>
      <c r="AK647" s="433"/>
      <c r="AL647" s="31"/>
      <c r="AM647" s="31"/>
      <c r="AN647" s="31">
        <v>2.5309193993000001</v>
      </c>
      <c r="AO647" s="592">
        <v>1.4358870244999999</v>
      </c>
      <c r="AP647" s="31"/>
      <c r="AQ647" s="31"/>
      <c r="AR647" s="31"/>
      <c r="AS647" s="31"/>
      <c r="AT647" s="31"/>
      <c r="AU647" s="433"/>
    </row>
    <row r="648" spans="1:47" ht="15" customHeight="1" x14ac:dyDescent="0.2">
      <c r="A648" s="39">
        <f>acute_overview_children!A248</f>
        <v>4</v>
      </c>
      <c r="B648" s="23">
        <f>acute_overview_children!B248</f>
        <v>500060</v>
      </c>
      <c r="C648" s="23" t="str">
        <f>acute_overview_children!C248</f>
        <v>Rice</v>
      </c>
      <c r="D648" s="38">
        <f t="shared" si="91"/>
        <v>4</v>
      </c>
      <c r="E648" s="31"/>
      <c r="F648" s="31"/>
      <c r="G648" s="31"/>
      <c r="H648" s="31"/>
      <c r="I648" s="31"/>
      <c r="J648" s="31"/>
      <c r="K648" s="31"/>
      <c r="L648" s="31"/>
      <c r="M648" s="31"/>
      <c r="N648" s="31">
        <v>2.8045977011494254</v>
      </c>
      <c r="O648" s="31">
        <v>4.7054794520547949</v>
      </c>
      <c r="P648" s="31"/>
      <c r="Q648" s="31"/>
      <c r="R648" s="31">
        <v>0.49029507459999999</v>
      </c>
      <c r="S648" s="31"/>
      <c r="T648" s="31"/>
      <c r="U648" s="31"/>
      <c r="V648" s="31"/>
      <c r="W648" s="31"/>
      <c r="X648" s="31"/>
      <c r="Y648" s="31"/>
      <c r="Z648" s="31"/>
      <c r="AA648" s="31"/>
      <c r="AB648" s="31"/>
      <c r="AC648" s="31">
        <v>2.2578947368421054</v>
      </c>
      <c r="AD648" s="31">
        <v>2.0059970014992503</v>
      </c>
      <c r="AE648" s="31"/>
      <c r="AF648" s="31"/>
      <c r="AG648" s="31"/>
      <c r="AH648" s="31"/>
      <c r="AI648" s="31"/>
      <c r="AJ648" s="31"/>
      <c r="AK648" s="433"/>
      <c r="AL648" s="31"/>
      <c r="AM648" s="31"/>
      <c r="AN648" s="31">
        <v>2.4427480569000002</v>
      </c>
      <c r="AO648" s="592">
        <v>1.6969233373999999</v>
      </c>
      <c r="AP648" s="31"/>
      <c r="AQ648" s="31"/>
      <c r="AR648" s="31"/>
      <c r="AS648" s="31"/>
      <c r="AT648" s="31"/>
      <c r="AU648" s="433"/>
    </row>
    <row r="649" spans="1:47" ht="15" customHeight="1" x14ac:dyDescent="0.2">
      <c r="A649" s="39">
        <f>acute_overview_children!A249</f>
        <v>4</v>
      </c>
      <c r="B649" s="23">
        <f>acute_overview_children!B249</f>
        <v>500070</v>
      </c>
      <c r="C649" s="23" t="str">
        <f>acute_overview_children!C249</f>
        <v>Rye</v>
      </c>
      <c r="D649" s="38">
        <f t="shared" si="91"/>
        <v>4</v>
      </c>
      <c r="E649" s="31"/>
      <c r="F649" s="31"/>
      <c r="G649" s="31"/>
      <c r="H649" s="31"/>
      <c r="I649" s="31"/>
      <c r="J649" s="31"/>
      <c r="K649" s="31"/>
      <c r="L649" s="31"/>
      <c r="M649" s="31"/>
      <c r="N649" s="31">
        <v>1.3678160919540232</v>
      </c>
      <c r="O649" s="31">
        <v>0.37671232876712329</v>
      </c>
      <c r="P649" s="31"/>
      <c r="Q649" s="31"/>
      <c r="R649" s="31">
        <v>1.8626293322</v>
      </c>
      <c r="S649" s="31"/>
      <c r="T649" s="31"/>
      <c r="U649" s="31"/>
      <c r="V649" s="31"/>
      <c r="W649" s="31"/>
      <c r="X649" s="31"/>
      <c r="Y649" s="31"/>
      <c r="Z649" s="31"/>
      <c r="AA649" s="31"/>
      <c r="AB649" s="31"/>
      <c r="AC649" s="31">
        <v>0.51578947368421058</v>
      </c>
      <c r="AD649" s="31">
        <v>0.59670164917541224</v>
      </c>
      <c r="AE649" s="31"/>
      <c r="AF649" s="31"/>
      <c r="AG649" s="31"/>
      <c r="AH649" s="31"/>
      <c r="AI649" s="31"/>
      <c r="AJ649" s="31"/>
      <c r="AK649" s="433"/>
      <c r="AL649" s="31"/>
      <c r="AM649" s="31"/>
      <c r="AN649" s="31">
        <v>2.3364706824999999</v>
      </c>
      <c r="AO649" s="592">
        <v>1.9598964697000001</v>
      </c>
      <c r="AP649" s="31"/>
      <c r="AQ649" s="31"/>
      <c r="AR649" s="31"/>
      <c r="AS649" s="31"/>
      <c r="AT649" s="31"/>
      <c r="AU649" s="433"/>
    </row>
    <row r="650" spans="1:47" ht="15" customHeight="1" x14ac:dyDescent="0.2">
      <c r="A650" s="39">
        <f>acute_overview_children!A250</f>
        <v>4</v>
      </c>
      <c r="B650" s="23">
        <f>acute_overview_children!B250</f>
        <v>500080</v>
      </c>
      <c r="C650" s="23" t="str">
        <f>acute_overview_children!C250</f>
        <v>Sorghum</v>
      </c>
      <c r="D650" s="38">
        <f t="shared" si="91"/>
        <v>4</v>
      </c>
      <c r="E650" s="31"/>
      <c r="F650" s="31"/>
      <c r="G650" s="31"/>
      <c r="H650" s="31"/>
      <c r="I650" s="31"/>
      <c r="J650" s="31"/>
      <c r="K650" s="31"/>
      <c r="L650" s="31"/>
      <c r="M650" s="31"/>
      <c r="N650" s="31">
        <v>0</v>
      </c>
      <c r="O650" s="31">
        <v>0</v>
      </c>
      <c r="P650" s="31"/>
      <c r="Q650" s="31"/>
      <c r="R650" s="31"/>
      <c r="S650" s="31"/>
      <c r="T650" s="31"/>
      <c r="U650" s="31"/>
      <c r="V650" s="31"/>
      <c r="W650" s="31"/>
      <c r="X650" s="31"/>
      <c r="Y650" s="31"/>
      <c r="Z650" s="31"/>
      <c r="AA650" s="31"/>
      <c r="AB650" s="31"/>
      <c r="AC650" s="31">
        <v>0</v>
      </c>
      <c r="AD650" s="31">
        <v>0</v>
      </c>
      <c r="AE650" s="31"/>
      <c r="AF650" s="31"/>
      <c r="AG650" s="31"/>
      <c r="AH650" s="31"/>
      <c r="AI650" s="31"/>
      <c r="AJ650" s="31"/>
      <c r="AK650" s="433"/>
      <c r="AL650" s="31"/>
      <c r="AM650" s="31"/>
      <c r="AN650" s="31"/>
      <c r="AO650" s="592"/>
      <c r="AP650" s="31"/>
      <c r="AQ650" s="31"/>
      <c r="AR650" s="31"/>
      <c r="AS650" s="31"/>
      <c r="AT650" s="31"/>
      <c r="AU650" s="433"/>
    </row>
    <row r="651" spans="1:47" ht="15" customHeight="1" x14ac:dyDescent="0.2">
      <c r="A651" s="39">
        <f>acute_overview_children!A251</f>
        <v>4</v>
      </c>
      <c r="B651" s="23">
        <f>acute_overview_children!B251</f>
        <v>500090</v>
      </c>
      <c r="C651" s="23" t="str">
        <f>acute_overview_children!C251</f>
        <v>Wheat</v>
      </c>
      <c r="D651" s="38">
        <f t="shared" si="91"/>
        <v>4</v>
      </c>
      <c r="E651" s="31"/>
      <c r="F651" s="31"/>
      <c r="G651" s="31"/>
      <c r="H651" s="31"/>
      <c r="I651" s="31"/>
      <c r="J651" s="31"/>
      <c r="K651" s="31"/>
      <c r="L651" s="31"/>
      <c r="M651" s="31"/>
      <c r="N651" s="31">
        <v>2.8045977011494254</v>
      </c>
      <c r="O651" s="31">
        <v>8.4383561643835616</v>
      </c>
      <c r="P651" s="31"/>
      <c r="Q651" s="31"/>
      <c r="R651" s="31">
        <v>0.80085227810000004</v>
      </c>
      <c r="S651" s="31"/>
      <c r="T651" s="31"/>
      <c r="U651" s="31"/>
      <c r="V651" s="31"/>
      <c r="W651" s="31"/>
      <c r="X651" s="31"/>
      <c r="Y651" s="31"/>
      <c r="Z651" s="31"/>
      <c r="AA651" s="31"/>
      <c r="AB651" s="31"/>
      <c r="AC651" s="31">
        <v>3.607894736842105</v>
      </c>
      <c r="AD651" s="31">
        <v>4.2593703148425792</v>
      </c>
      <c r="AE651" s="31"/>
      <c r="AF651" s="31"/>
      <c r="AG651" s="31"/>
      <c r="AH651" s="31"/>
      <c r="AI651" s="31"/>
      <c r="AJ651" s="31"/>
      <c r="AK651" s="433"/>
      <c r="AL651" s="31"/>
      <c r="AM651" s="31"/>
      <c r="AN651" s="31">
        <v>3.5615453842</v>
      </c>
      <c r="AO651" s="592">
        <v>3.1450646347000002</v>
      </c>
      <c r="AP651" s="31"/>
      <c r="AQ651" s="31"/>
      <c r="AR651" s="31"/>
      <c r="AS651" s="31"/>
      <c r="AT651" s="31"/>
      <c r="AU651" s="433"/>
    </row>
    <row r="652" spans="1:47" ht="15" customHeight="1" x14ac:dyDescent="0.2">
      <c r="A652" s="39">
        <f>acute_overview_children!A252</f>
        <v>4</v>
      </c>
      <c r="B652" s="23">
        <f>acute_overview_children!B252</f>
        <v>500990</v>
      </c>
      <c r="C652" s="23" t="str">
        <f>acute_overview_children!C252</f>
        <v>Other cereals</v>
      </c>
      <c r="D652" s="38">
        <f t="shared" si="91"/>
        <v>4</v>
      </c>
      <c r="E652" s="31"/>
      <c r="F652" s="31"/>
      <c r="G652" s="31"/>
      <c r="H652" s="31"/>
      <c r="I652" s="31"/>
      <c r="J652" s="31"/>
      <c r="K652" s="31"/>
      <c r="L652" s="31"/>
      <c r="M652" s="31"/>
      <c r="N652" s="31">
        <v>0</v>
      </c>
      <c r="O652" s="31">
        <v>0</v>
      </c>
      <c r="P652" s="31"/>
      <c r="Q652" s="31"/>
      <c r="R652" s="31"/>
      <c r="S652" s="31"/>
      <c r="T652" s="31"/>
      <c r="U652" s="31"/>
      <c r="V652" s="31"/>
      <c r="W652" s="31"/>
      <c r="X652" s="31"/>
      <c r="Y652" s="31"/>
      <c r="Z652" s="31"/>
      <c r="AA652" s="31"/>
      <c r="AB652" s="31"/>
      <c r="AC652" s="31">
        <v>0</v>
      </c>
      <c r="AD652" s="31">
        <v>0</v>
      </c>
      <c r="AE652" s="31"/>
      <c r="AF652" s="31"/>
      <c r="AG652" s="31"/>
      <c r="AH652" s="31"/>
      <c r="AI652" s="31"/>
      <c r="AJ652" s="31"/>
      <c r="AK652" s="433"/>
      <c r="AL652" s="31"/>
      <c r="AM652" s="31"/>
      <c r="AN652" s="31"/>
      <c r="AO652" s="592"/>
      <c r="AP652" s="31"/>
      <c r="AQ652" s="31"/>
      <c r="AR652" s="31"/>
      <c r="AS652" s="31"/>
      <c r="AT652" s="31"/>
      <c r="AU652" s="433"/>
    </row>
    <row r="653" spans="1:47" ht="15" customHeight="1" x14ac:dyDescent="0.2">
      <c r="A653" s="514">
        <f>acute_overview_children!A253</f>
        <v>1</v>
      </c>
      <c r="B653" s="2">
        <f>acute_overview_children!B253</f>
        <v>600000</v>
      </c>
      <c r="C653" s="2" t="str">
        <f>acute_overview_children!C253</f>
        <v>TEA, COFFEE,  HERBAL INFUSIONS AND COCOA</v>
      </c>
      <c r="D653" s="38">
        <f t="shared" si="91"/>
        <v>2</v>
      </c>
      <c r="E653" s="54"/>
      <c r="F653" s="54"/>
      <c r="G653" s="54"/>
      <c r="H653" s="54"/>
      <c r="I653" s="54"/>
      <c r="J653" s="54"/>
      <c r="K653" s="54"/>
      <c r="L653" s="54"/>
      <c r="M653" s="54"/>
      <c r="N653" s="54">
        <v>0</v>
      </c>
      <c r="O653" s="54">
        <v>0.26027397260273971</v>
      </c>
      <c r="P653" s="54"/>
      <c r="Q653" s="54"/>
      <c r="R653" s="54"/>
      <c r="S653" s="54"/>
      <c r="T653" s="54"/>
      <c r="U653" s="54"/>
      <c r="V653" s="54"/>
      <c r="W653" s="54"/>
      <c r="X653" s="54"/>
      <c r="Y653" s="54"/>
      <c r="Z653" s="54"/>
      <c r="AA653" s="54"/>
      <c r="AB653" s="54"/>
      <c r="AC653" s="54">
        <v>0</v>
      </c>
      <c r="AD653" s="54">
        <v>0</v>
      </c>
      <c r="AE653" s="54"/>
      <c r="AF653" s="54"/>
      <c r="AG653" s="54"/>
      <c r="AH653" s="54"/>
      <c r="AI653" s="54"/>
      <c r="AJ653" s="54"/>
      <c r="AK653" s="434"/>
      <c r="AL653" s="54"/>
      <c r="AM653" s="54"/>
      <c r="AN653" s="54"/>
      <c r="AO653" s="598"/>
      <c r="AP653" s="54"/>
      <c r="AQ653" s="54"/>
      <c r="AR653" s="54"/>
      <c r="AS653" s="54"/>
      <c r="AT653" s="54"/>
      <c r="AU653" s="434"/>
    </row>
    <row r="654" spans="1:47" ht="15" customHeight="1" x14ac:dyDescent="0.2">
      <c r="A654" s="515">
        <f>acute_overview_children!A254</f>
        <v>2</v>
      </c>
      <c r="B654" s="24">
        <f>acute_overview_children!B254</f>
        <v>610000</v>
      </c>
      <c r="C654" s="24" t="str">
        <f>acute_overview_children!C254</f>
        <v>Tea (dried leaves of Camellia sinensis)</v>
      </c>
      <c r="D654" s="38">
        <f t="shared" si="91"/>
        <v>2</v>
      </c>
      <c r="E654" s="55"/>
      <c r="F654" s="55"/>
      <c r="G654" s="55"/>
      <c r="H654" s="55"/>
      <c r="I654" s="55"/>
      <c r="J654" s="55"/>
      <c r="K654" s="55"/>
      <c r="L654" s="55"/>
      <c r="M654" s="55"/>
      <c r="N654" s="55">
        <v>0.71264367816091967</v>
      </c>
      <c r="O654" s="55">
        <v>0.26027397260273971</v>
      </c>
      <c r="P654" s="55"/>
      <c r="Q654" s="55"/>
      <c r="R654" s="55"/>
      <c r="S654" s="55"/>
      <c r="T654" s="55"/>
      <c r="U654" s="55"/>
      <c r="V654" s="55"/>
      <c r="W654" s="55"/>
      <c r="X654" s="55"/>
      <c r="Y654" s="55"/>
      <c r="Z654" s="55"/>
      <c r="AA654" s="55"/>
      <c r="AB654" s="55"/>
      <c r="AC654" s="55">
        <v>0.2131578947368421</v>
      </c>
      <c r="AD654" s="55">
        <v>0.22338830584707645</v>
      </c>
      <c r="AE654" s="55"/>
      <c r="AF654" s="55"/>
      <c r="AG654" s="55"/>
      <c r="AH654" s="55"/>
      <c r="AI654" s="55"/>
      <c r="AJ654" s="55"/>
      <c r="AK654" s="435"/>
      <c r="AL654" s="55"/>
      <c r="AM654" s="55"/>
      <c r="AN654" s="55"/>
      <c r="AO654" s="597"/>
      <c r="AP654" s="55"/>
      <c r="AQ654" s="55"/>
      <c r="AR654" s="55"/>
      <c r="AS654" s="55"/>
      <c r="AT654" s="55"/>
      <c r="AU654" s="435"/>
    </row>
    <row r="655" spans="1:47" ht="15" customHeight="1" x14ac:dyDescent="0.2">
      <c r="A655" s="515">
        <f>acute_overview_children!A255</f>
        <v>2</v>
      </c>
      <c r="B655" s="24">
        <f>acute_overview_children!B255</f>
        <v>620000</v>
      </c>
      <c r="C655" s="24" t="str">
        <f>acute_overview_children!C255</f>
        <v>Coffee beans</v>
      </c>
      <c r="D655" s="38">
        <f t="shared" si="91"/>
        <v>2</v>
      </c>
      <c r="E655" s="55"/>
      <c r="F655" s="55"/>
      <c r="G655" s="55"/>
      <c r="H655" s="55"/>
      <c r="I655" s="55"/>
      <c r="J655" s="55"/>
      <c r="K655" s="55"/>
      <c r="L655" s="55"/>
      <c r="M655" s="55"/>
      <c r="N655" s="55">
        <v>0</v>
      </c>
      <c r="O655" s="55">
        <v>0</v>
      </c>
      <c r="P655" s="55"/>
      <c r="Q655" s="55"/>
      <c r="R655" s="55"/>
      <c r="S655" s="55"/>
      <c r="T655" s="55"/>
      <c r="U655" s="55"/>
      <c r="V655" s="55"/>
      <c r="W655" s="55"/>
      <c r="X655" s="55"/>
      <c r="Y655" s="55"/>
      <c r="Z655" s="55"/>
      <c r="AA655" s="55"/>
      <c r="AB655" s="55"/>
      <c r="AC655" s="55">
        <v>0</v>
      </c>
      <c r="AD655" s="55">
        <v>0</v>
      </c>
      <c r="AE655" s="55"/>
      <c r="AF655" s="55"/>
      <c r="AG655" s="55"/>
      <c r="AH655" s="55"/>
      <c r="AI655" s="55"/>
      <c r="AJ655" s="55"/>
      <c r="AK655" s="435"/>
      <c r="AL655" s="55"/>
      <c r="AM655" s="55"/>
      <c r="AN655" s="55"/>
      <c r="AO655" s="597"/>
      <c r="AP655" s="55"/>
      <c r="AQ655" s="55"/>
      <c r="AR655" s="55"/>
      <c r="AS655" s="55"/>
      <c r="AT655" s="55"/>
      <c r="AU655" s="435"/>
    </row>
    <row r="656" spans="1:47" ht="15" customHeight="1" x14ac:dyDescent="0.2">
      <c r="A656" s="515">
        <f>acute_overview_children!A256</f>
        <v>2</v>
      </c>
      <c r="B656" s="24">
        <f>acute_overview_children!B256</f>
        <v>630000</v>
      </c>
      <c r="C656" s="24" t="str">
        <f>acute_overview_children!C256</f>
        <v>Herbal infusions (dried)</v>
      </c>
      <c r="D656" s="38">
        <f t="shared" si="91"/>
        <v>4</v>
      </c>
      <c r="E656" s="55"/>
      <c r="F656" s="55"/>
      <c r="G656" s="55"/>
      <c r="H656" s="55"/>
      <c r="I656" s="55"/>
      <c r="J656" s="55"/>
      <c r="K656" s="55"/>
      <c r="L656" s="55"/>
      <c r="M656" s="55"/>
      <c r="N656" s="55">
        <v>0</v>
      </c>
      <c r="O656" s="55">
        <v>0</v>
      </c>
      <c r="P656" s="55"/>
      <c r="Q656" s="55"/>
      <c r="R656" s="55">
        <v>1.0953608247</v>
      </c>
      <c r="S656" s="55"/>
      <c r="T656" s="55"/>
      <c r="U656" s="55"/>
      <c r="V656" s="55"/>
      <c r="W656" s="55"/>
      <c r="X656" s="55"/>
      <c r="Y656" s="55"/>
      <c r="Z656" s="55"/>
      <c r="AA656" s="55"/>
      <c r="AB656" s="55"/>
      <c r="AC656" s="55">
        <v>0</v>
      </c>
      <c r="AD656" s="55">
        <v>0</v>
      </c>
      <c r="AE656" s="55"/>
      <c r="AF656" s="55"/>
      <c r="AG656" s="55"/>
      <c r="AH656" s="55"/>
      <c r="AI656" s="55"/>
      <c r="AJ656" s="55"/>
      <c r="AK656" s="435"/>
      <c r="AL656" s="55"/>
      <c r="AM656" s="55"/>
      <c r="AN656" s="55">
        <v>0</v>
      </c>
      <c r="AO656" s="597"/>
      <c r="AP656" s="55"/>
      <c r="AQ656" s="55"/>
      <c r="AR656" s="55"/>
      <c r="AS656" s="55"/>
      <c r="AT656" s="55"/>
      <c r="AU656" s="435"/>
    </row>
    <row r="657" spans="1:47" ht="15" customHeight="1" x14ac:dyDescent="0.2">
      <c r="A657" s="132">
        <f>acute_overview_children!A257</f>
        <v>3</v>
      </c>
      <c r="B657" s="3">
        <f>acute_overview_children!B257</f>
        <v>631000</v>
      </c>
      <c r="C657" s="3" t="str">
        <f>acute_overview_children!C257</f>
        <v>Herbal infusions (dried flowers)</v>
      </c>
      <c r="D657" s="38">
        <f t="shared" si="91"/>
        <v>4</v>
      </c>
      <c r="E657" s="48"/>
      <c r="F657" s="48"/>
      <c r="G657" s="48"/>
      <c r="H657" s="48"/>
      <c r="I657" s="48"/>
      <c r="J657" s="48"/>
      <c r="K657" s="48"/>
      <c r="L657" s="48"/>
      <c r="M657" s="48"/>
      <c r="N657" s="48">
        <v>0</v>
      </c>
      <c r="O657" s="48">
        <v>0</v>
      </c>
      <c r="P657" s="48"/>
      <c r="Q657" s="48"/>
      <c r="R657" s="48"/>
      <c r="S657" s="48"/>
      <c r="T657" s="48"/>
      <c r="U657" s="48"/>
      <c r="V657" s="48"/>
      <c r="W657" s="48"/>
      <c r="X657" s="48"/>
      <c r="Y657" s="48"/>
      <c r="Z657" s="48"/>
      <c r="AA657" s="48"/>
      <c r="AB657" s="48"/>
      <c r="AC657" s="48">
        <v>0</v>
      </c>
      <c r="AD657" s="48">
        <v>0</v>
      </c>
      <c r="AE657" s="48"/>
      <c r="AF657" s="48"/>
      <c r="AG657" s="48"/>
      <c r="AH657" s="48"/>
      <c r="AI657" s="48"/>
      <c r="AJ657" s="48"/>
      <c r="AK657" s="93"/>
      <c r="AL657" s="48"/>
      <c r="AM657" s="48"/>
      <c r="AN657" s="48"/>
      <c r="AO657" s="593"/>
      <c r="AP657" s="48"/>
      <c r="AQ657" s="48"/>
      <c r="AR657" s="48"/>
      <c r="AS657" s="48"/>
      <c r="AT657" s="48"/>
      <c r="AU657" s="93"/>
    </row>
    <row r="658" spans="1:47" ht="15" customHeight="1" x14ac:dyDescent="0.2">
      <c r="A658" s="39">
        <f>acute_overview_children!A258</f>
        <v>4</v>
      </c>
      <c r="B658" s="23">
        <f>acute_overview_children!B258</f>
        <v>631010</v>
      </c>
      <c r="C658" s="23" t="str">
        <f>acute_overview_children!C258</f>
        <v>Chamomille</v>
      </c>
      <c r="D658" s="38">
        <f t="shared" si="91"/>
        <v>4</v>
      </c>
      <c r="E658" s="31"/>
      <c r="F658" s="31"/>
      <c r="G658" s="31"/>
      <c r="H658" s="31"/>
      <c r="I658" s="31"/>
      <c r="J658" s="31"/>
      <c r="K658" s="31"/>
      <c r="L658" s="31"/>
      <c r="M658" s="31"/>
      <c r="N658" s="31">
        <v>0</v>
      </c>
      <c r="O658" s="31">
        <v>0</v>
      </c>
      <c r="P658" s="31"/>
      <c r="Q658" s="31"/>
      <c r="R658" s="31"/>
      <c r="S658" s="31"/>
      <c r="T658" s="31"/>
      <c r="U658" s="31"/>
      <c r="V658" s="31"/>
      <c r="W658" s="31"/>
      <c r="X658" s="31"/>
      <c r="Y658" s="31"/>
      <c r="Z658" s="31"/>
      <c r="AA658" s="31"/>
      <c r="AB658" s="31"/>
      <c r="AC658" s="31">
        <v>0</v>
      </c>
      <c r="AD658" s="31">
        <v>0</v>
      </c>
      <c r="AE658" s="31"/>
      <c r="AF658" s="31"/>
      <c r="AG658" s="31"/>
      <c r="AH658" s="31"/>
      <c r="AI658" s="31"/>
      <c r="AJ658" s="31"/>
      <c r="AK658" s="433"/>
      <c r="AL658" s="31"/>
      <c r="AM658" s="31"/>
      <c r="AN658" s="31"/>
      <c r="AO658" s="592"/>
      <c r="AP658" s="31"/>
      <c r="AQ658" s="31"/>
      <c r="AR658" s="31"/>
      <c r="AS658" s="31"/>
      <c r="AT658" s="31"/>
      <c r="AU658" s="433"/>
    </row>
    <row r="659" spans="1:47" ht="15" customHeight="1" x14ac:dyDescent="0.2">
      <c r="A659" s="39">
        <f>acute_overview_children!A259</f>
        <v>4</v>
      </c>
      <c r="B659" s="23">
        <f>acute_overview_children!B259</f>
        <v>631020</v>
      </c>
      <c r="C659" s="23" t="str">
        <f>acute_overview_children!C259</f>
        <v>Hybiscus/roselle</v>
      </c>
      <c r="D659" s="38">
        <f t="shared" si="91"/>
        <v>4</v>
      </c>
      <c r="E659" s="31"/>
      <c r="F659" s="31"/>
      <c r="G659" s="31"/>
      <c r="H659" s="31"/>
      <c r="I659" s="31"/>
      <c r="J659" s="31"/>
      <c r="K659" s="31"/>
      <c r="L659" s="31"/>
      <c r="M659" s="31"/>
      <c r="N659" s="31">
        <v>0</v>
      </c>
      <c r="O659" s="31">
        <v>0</v>
      </c>
      <c r="P659" s="31"/>
      <c r="Q659" s="31"/>
      <c r="R659" s="31"/>
      <c r="S659" s="31"/>
      <c r="T659" s="31"/>
      <c r="U659" s="31"/>
      <c r="V659" s="31"/>
      <c r="W659" s="31"/>
      <c r="X659" s="31"/>
      <c r="Y659" s="31"/>
      <c r="Z659" s="31"/>
      <c r="AA659" s="31"/>
      <c r="AB659" s="31"/>
      <c r="AC659" s="31">
        <v>0</v>
      </c>
      <c r="AD659" s="31">
        <v>0</v>
      </c>
      <c r="AE659" s="31"/>
      <c r="AF659" s="31"/>
      <c r="AG659" s="31"/>
      <c r="AH659" s="31"/>
      <c r="AI659" s="31"/>
      <c r="AJ659" s="31"/>
      <c r="AK659" s="433"/>
      <c r="AL659" s="31"/>
      <c r="AM659" s="31"/>
      <c r="AN659" s="31"/>
      <c r="AO659" s="592"/>
      <c r="AP659" s="31"/>
      <c r="AQ659" s="31"/>
      <c r="AR659" s="31"/>
      <c r="AS659" s="31"/>
      <c r="AT659" s="31"/>
      <c r="AU659" s="433"/>
    </row>
    <row r="660" spans="1:47" ht="15" customHeight="1" x14ac:dyDescent="0.2">
      <c r="A660" s="39">
        <f>acute_overview_children!A260</f>
        <v>4</v>
      </c>
      <c r="B660" s="23">
        <f>acute_overview_children!B260</f>
        <v>631030</v>
      </c>
      <c r="C660" s="23" t="str">
        <f>acute_overview_children!C260</f>
        <v>Rose</v>
      </c>
      <c r="D660" s="38">
        <f t="shared" si="91"/>
        <v>4</v>
      </c>
      <c r="E660" s="31"/>
      <c r="F660" s="31"/>
      <c r="G660" s="31"/>
      <c r="H660" s="31"/>
      <c r="I660" s="31"/>
      <c r="J660" s="31"/>
      <c r="K660" s="31"/>
      <c r="L660" s="31"/>
      <c r="M660" s="31"/>
      <c r="N660" s="31">
        <v>0</v>
      </c>
      <c r="O660" s="31">
        <v>0</v>
      </c>
      <c r="P660" s="31"/>
      <c r="Q660" s="31"/>
      <c r="R660" s="31"/>
      <c r="S660" s="31"/>
      <c r="T660" s="31"/>
      <c r="U660" s="31"/>
      <c r="V660" s="31"/>
      <c r="W660" s="31"/>
      <c r="X660" s="31"/>
      <c r="Y660" s="31"/>
      <c r="Z660" s="31"/>
      <c r="AA660" s="31"/>
      <c r="AB660" s="31"/>
      <c r="AC660" s="31">
        <v>0</v>
      </c>
      <c r="AD660" s="31">
        <v>0</v>
      </c>
      <c r="AE660" s="31"/>
      <c r="AF660" s="31"/>
      <c r="AG660" s="31"/>
      <c r="AH660" s="31"/>
      <c r="AI660" s="31"/>
      <c r="AJ660" s="31"/>
      <c r="AK660" s="433"/>
      <c r="AL660" s="31"/>
      <c r="AM660" s="31"/>
      <c r="AN660" s="31"/>
      <c r="AO660" s="592"/>
      <c r="AP660" s="31"/>
      <c r="AQ660" s="31"/>
      <c r="AR660" s="31"/>
      <c r="AS660" s="31"/>
      <c r="AT660" s="31"/>
      <c r="AU660" s="433"/>
    </row>
    <row r="661" spans="1:47" ht="15" customHeight="1" x14ac:dyDescent="0.2">
      <c r="A661" s="39">
        <f>acute_overview_children!A261</f>
        <v>4</v>
      </c>
      <c r="B661" s="23">
        <f>acute_overview_children!B261</f>
        <v>631040</v>
      </c>
      <c r="C661" s="23" t="str">
        <f>acute_overview_children!C261</f>
        <v>Jasmine</v>
      </c>
      <c r="D661" s="38">
        <f t="shared" si="91"/>
        <v>4</v>
      </c>
      <c r="E661" s="31"/>
      <c r="F661" s="31"/>
      <c r="G661" s="31"/>
      <c r="H661" s="31"/>
      <c r="I661" s="31"/>
      <c r="J661" s="31"/>
      <c r="K661" s="31"/>
      <c r="L661" s="31"/>
      <c r="M661" s="31"/>
      <c r="N661" s="31">
        <v>0</v>
      </c>
      <c r="O661" s="31">
        <v>0</v>
      </c>
      <c r="P661" s="31"/>
      <c r="Q661" s="31"/>
      <c r="R661" s="31"/>
      <c r="S661" s="31"/>
      <c r="T661" s="31"/>
      <c r="U661" s="31"/>
      <c r="V661" s="31"/>
      <c r="W661" s="31"/>
      <c r="X661" s="31"/>
      <c r="Y661" s="31"/>
      <c r="Z661" s="31"/>
      <c r="AA661" s="31"/>
      <c r="AB661" s="31"/>
      <c r="AC661" s="31">
        <v>0</v>
      </c>
      <c r="AD661" s="31">
        <v>0</v>
      </c>
      <c r="AE661" s="31"/>
      <c r="AF661" s="31"/>
      <c r="AG661" s="31"/>
      <c r="AH661" s="31"/>
      <c r="AI661" s="31"/>
      <c r="AJ661" s="31"/>
      <c r="AK661" s="433"/>
      <c r="AL661" s="31"/>
      <c r="AM661" s="31"/>
      <c r="AN661" s="31"/>
      <c r="AO661" s="592"/>
      <c r="AP661" s="31"/>
      <c r="AQ661" s="31"/>
      <c r="AR661" s="31"/>
      <c r="AS661" s="31"/>
      <c r="AT661" s="31"/>
      <c r="AU661" s="433"/>
    </row>
    <row r="662" spans="1:47" ht="15" customHeight="1" x14ac:dyDescent="0.2">
      <c r="A662" s="39">
        <f>acute_overview_children!A262</f>
        <v>4</v>
      </c>
      <c r="B662" s="23">
        <f>acute_overview_children!B262</f>
        <v>631050</v>
      </c>
      <c r="C662" s="23" t="str">
        <f>acute_overview_children!C262</f>
        <v>Lime/linden</v>
      </c>
      <c r="D662" s="38">
        <f t="shared" si="91"/>
        <v>4</v>
      </c>
      <c r="E662" s="31"/>
      <c r="F662" s="31"/>
      <c r="G662" s="31"/>
      <c r="H662" s="31"/>
      <c r="I662" s="31"/>
      <c r="J662" s="31"/>
      <c r="K662" s="31"/>
      <c r="L662" s="31"/>
      <c r="M662" s="31"/>
      <c r="N662" s="31">
        <v>0</v>
      </c>
      <c r="O662" s="31">
        <v>0</v>
      </c>
      <c r="P662" s="31"/>
      <c r="Q662" s="31"/>
      <c r="R662" s="31"/>
      <c r="S662" s="31"/>
      <c r="T662" s="31"/>
      <c r="U662" s="31"/>
      <c r="V662" s="31"/>
      <c r="W662" s="31"/>
      <c r="X662" s="31"/>
      <c r="Y662" s="31"/>
      <c r="Z662" s="31"/>
      <c r="AA662" s="31"/>
      <c r="AB662" s="31"/>
      <c r="AC662" s="31">
        <v>0</v>
      </c>
      <c r="AD662" s="31">
        <v>0</v>
      </c>
      <c r="AE662" s="31"/>
      <c r="AF662" s="31"/>
      <c r="AG662" s="31"/>
      <c r="AH662" s="31"/>
      <c r="AI662" s="31"/>
      <c r="AJ662" s="31"/>
      <c r="AK662" s="433"/>
      <c r="AL662" s="31"/>
      <c r="AM662" s="31"/>
      <c r="AN662" s="31"/>
      <c r="AO662" s="592"/>
      <c r="AP662" s="31"/>
      <c r="AQ662" s="31"/>
      <c r="AR662" s="31"/>
      <c r="AS662" s="31"/>
      <c r="AT662" s="31"/>
      <c r="AU662" s="433"/>
    </row>
    <row r="663" spans="1:47" ht="15" customHeight="1" x14ac:dyDescent="0.2">
      <c r="A663" s="39">
        <f>acute_overview_children!A263</f>
        <v>4</v>
      </c>
      <c r="B663" s="23">
        <f>acute_overview_children!B263</f>
        <v>631990</v>
      </c>
      <c r="C663" s="23" t="str">
        <f>acute_overview_children!C263</f>
        <v>Other herbal infusions (dried flowers)</v>
      </c>
      <c r="D663" s="38">
        <f t="shared" si="91"/>
        <v>4</v>
      </c>
      <c r="E663" s="31"/>
      <c r="F663" s="31"/>
      <c r="G663" s="31"/>
      <c r="H663" s="31"/>
      <c r="I663" s="31"/>
      <c r="J663" s="31"/>
      <c r="K663" s="31"/>
      <c r="L663" s="31"/>
      <c r="M663" s="31"/>
      <c r="N663" s="31">
        <v>0</v>
      </c>
      <c r="O663" s="31">
        <v>0</v>
      </c>
      <c r="P663" s="31"/>
      <c r="Q663" s="31"/>
      <c r="R663" s="31"/>
      <c r="S663" s="31"/>
      <c r="T663" s="31"/>
      <c r="U663" s="31"/>
      <c r="V663" s="31"/>
      <c r="W663" s="31"/>
      <c r="X663" s="31"/>
      <c r="Y663" s="31"/>
      <c r="Z663" s="31"/>
      <c r="AA663" s="31"/>
      <c r="AB663" s="31"/>
      <c r="AC663" s="31">
        <v>0</v>
      </c>
      <c r="AD663" s="31">
        <v>0</v>
      </c>
      <c r="AE663" s="31"/>
      <c r="AF663" s="31"/>
      <c r="AG663" s="31"/>
      <c r="AH663" s="31"/>
      <c r="AI663" s="31"/>
      <c r="AJ663" s="31"/>
      <c r="AK663" s="433"/>
      <c r="AL663" s="31"/>
      <c r="AM663" s="31"/>
      <c r="AN663" s="31"/>
      <c r="AO663" s="592"/>
      <c r="AP663" s="31"/>
      <c r="AQ663" s="31"/>
      <c r="AR663" s="31"/>
      <c r="AS663" s="31"/>
      <c r="AT663" s="31"/>
      <c r="AU663" s="433"/>
    </row>
    <row r="664" spans="1:47" ht="15" customHeight="1" x14ac:dyDescent="0.2">
      <c r="A664" s="132">
        <f>acute_overview_children!A264</f>
        <v>3</v>
      </c>
      <c r="B664" s="3">
        <f>acute_overview_children!B264</f>
        <v>632000</v>
      </c>
      <c r="C664" s="3" t="str">
        <f>acute_overview_children!C264</f>
        <v>Herbal infusions (dried leaves)</v>
      </c>
      <c r="D664" s="38">
        <f t="shared" si="91"/>
        <v>4</v>
      </c>
      <c r="E664" s="48"/>
      <c r="F664" s="48"/>
      <c r="G664" s="48"/>
      <c r="H664" s="48"/>
      <c r="I664" s="48"/>
      <c r="J664" s="48"/>
      <c r="K664" s="48"/>
      <c r="L664" s="48"/>
      <c r="M664" s="48"/>
      <c r="N664" s="48">
        <v>0</v>
      </c>
      <c r="O664" s="48">
        <v>0</v>
      </c>
      <c r="P664" s="48"/>
      <c r="Q664" s="48"/>
      <c r="R664" s="48"/>
      <c r="S664" s="48"/>
      <c r="T664" s="48"/>
      <c r="U664" s="48"/>
      <c r="V664" s="48"/>
      <c r="W664" s="48"/>
      <c r="X664" s="48"/>
      <c r="Y664" s="48"/>
      <c r="Z664" s="48"/>
      <c r="AA664" s="48"/>
      <c r="AB664" s="48"/>
      <c r="AC664" s="48">
        <v>0</v>
      </c>
      <c r="AD664" s="48">
        <v>0</v>
      </c>
      <c r="AE664" s="48"/>
      <c r="AF664" s="48"/>
      <c r="AG664" s="48"/>
      <c r="AH664" s="48"/>
      <c r="AI664" s="48"/>
      <c r="AJ664" s="48"/>
      <c r="AK664" s="93"/>
      <c r="AL664" s="48"/>
      <c r="AM664" s="48"/>
      <c r="AN664" s="48"/>
      <c r="AO664" s="593"/>
      <c r="AP664" s="48"/>
      <c r="AQ664" s="48"/>
      <c r="AR664" s="48"/>
      <c r="AS664" s="48"/>
      <c r="AT664" s="48"/>
      <c r="AU664" s="93"/>
    </row>
    <row r="665" spans="1:47" ht="15" customHeight="1" x14ac:dyDescent="0.2">
      <c r="A665" s="39">
        <f>acute_overview_children!A265</f>
        <v>4</v>
      </c>
      <c r="B665" s="23">
        <f>acute_overview_children!B265</f>
        <v>632010</v>
      </c>
      <c r="C665" s="23" t="str">
        <f>acute_overview_children!C265</f>
        <v>Strawberry leaves</v>
      </c>
      <c r="D665" s="38">
        <f t="shared" si="91"/>
        <v>4</v>
      </c>
      <c r="E665" s="31"/>
      <c r="F665" s="31"/>
      <c r="G665" s="31"/>
      <c r="H665" s="31"/>
      <c r="I665" s="31"/>
      <c r="J665" s="31"/>
      <c r="K665" s="31"/>
      <c r="L665" s="31"/>
      <c r="M665" s="31"/>
      <c r="N665" s="31">
        <v>0</v>
      </c>
      <c r="O665" s="31">
        <v>0</v>
      </c>
      <c r="P665" s="31"/>
      <c r="Q665" s="31"/>
      <c r="R665" s="31"/>
      <c r="S665" s="31"/>
      <c r="T665" s="31"/>
      <c r="U665" s="31"/>
      <c r="V665" s="31"/>
      <c r="W665" s="31"/>
      <c r="X665" s="31"/>
      <c r="Y665" s="31"/>
      <c r="Z665" s="31"/>
      <c r="AA665" s="31"/>
      <c r="AB665" s="31"/>
      <c r="AC665" s="31">
        <v>0</v>
      </c>
      <c r="AD665" s="31">
        <v>0</v>
      </c>
      <c r="AE665" s="31"/>
      <c r="AF665" s="31"/>
      <c r="AG665" s="31"/>
      <c r="AH665" s="31"/>
      <c r="AI665" s="31"/>
      <c r="AJ665" s="31"/>
      <c r="AK665" s="433"/>
      <c r="AL665" s="31"/>
      <c r="AM665" s="31"/>
      <c r="AN665" s="31"/>
      <c r="AO665" s="592"/>
      <c r="AP665" s="31"/>
      <c r="AQ665" s="31"/>
      <c r="AR665" s="31"/>
      <c r="AS665" s="31"/>
      <c r="AT665" s="31"/>
      <c r="AU665" s="433"/>
    </row>
    <row r="666" spans="1:47" ht="15" customHeight="1" x14ac:dyDescent="0.2">
      <c r="A666" s="39">
        <f>acute_overview_children!A266</f>
        <v>4</v>
      </c>
      <c r="B666" s="23">
        <f>acute_overview_children!B266</f>
        <v>632020</v>
      </c>
      <c r="C666" s="23" t="str">
        <f>acute_overview_children!C266</f>
        <v>Rooibos</v>
      </c>
      <c r="D666" s="38">
        <f t="shared" si="91"/>
        <v>4</v>
      </c>
      <c r="E666" s="31"/>
      <c r="F666" s="31"/>
      <c r="G666" s="31"/>
      <c r="H666" s="31"/>
      <c r="I666" s="31"/>
      <c r="J666" s="31"/>
      <c r="K666" s="31"/>
      <c r="L666" s="31"/>
      <c r="M666" s="31"/>
      <c r="N666" s="31">
        <v>0</v>
      </c>
      <c r="O666" s="31">
        <v>0</v>
      </c>
      <c r="P666" s="31"/>
      <c r="Q666" s="31"/>
      <c r="R666" s="31"/>
      <c r="S666" s="31"/>
      <c r="T666" s="31"/>
      <c r="U666" s="31"/>
      <c r="V666" s="31"/>
      <c r="W666" s="31"/>
      <c r="X666" s="31"/>
      <c r="Y666" s="31"/>
      <c r="Z666" s="31"/>
      <c r="AA666" s="31"/>
      <c r="AB666" s="31"/>
      <c r="AC666" s="31">
        <v>0</v>
      </c>
      <c r="AD666" s="31">
        <v>0</v>
      </c>
      <c r="AE666" s="31"/>
      <c r="AF666" s="31"/>
      <c r="AG666" s="31"/>
      <c r="AH666" s="31"/>
      <c r="AI666" s="31"/>
      <c r="AJ666" s="31"/>
      <c r="AK666" s="433"/>
      <c r="AL666" s="31"/>
      <c r="AM666" s="31"/>
      <c r="AN666" s="31"/>
      <c r="AO666" s="592"/>
      <c r="AP666" s="31"/>
      <c r="AQ666" s="31"/>
      <c r="AR666" s="31"/>
      <c r="AS666" s="31"/>
      <c r="AT666" s="31"/>
      <c r="AU666" s="433"/>
    </row>
    <row r="667" spans="1:47" ht="15" customHeight="1" x14ac:dyDescent="0.2">
      <c r="A667" s="39">
        <f>acute_overview_children!A267</f>
        <v>4</v>
      </c>
      <c r="B667" s="23">
        <f>acute_overview_children!B267</f>
        <v>632030</v>
      </c>
      <c r="C667" s="23" t="str">
        <f>acute_overview_children!C267</f>
        <v>Mate/maté</v>
      </c>
      <c r="D667" s="38">
        <f t="shared" si="91"/>
        <v>4</v>
      </c>
      <c r="E667" s="31"/>
      <c r="F667" s="31"/>
      <c r="G667" s="31"/>
      <c r="H667" s="31"/>
      <c r="I667" s="31"/>
      <c r="J667" s="31"/>
      <c r="K667" s="31"/>
      <c r="L667" s="31"/>
      <c r="M667" s="31"/>
      <c r="N667" s="31">
        <v>0</v>
      </c>
      <c r="O667" s="31">
        <v>0</v>
      </c>
      <c r="P667" s="31"/>
      <c r="Q667" s="31"/>
      <c r="R667" s="31"/>
      <c r="S667" s="31"/>
      <c r="T667" s="31"/>
      <c r="U667" s="31"/>
      <c r="V667" s="31"/>
      <c r="W667" s="31"/>
      <c r="X667" s="31"/>
      <c r="Y667" s="31"/>
      <c r="Z667" s="31"/>
      <c r="AA667" s="31"/>
      <c r="AB667" s="31"/>
      <c r="AC667" s="31">
        <v>0</v>
      </c>
      <c r="AD667" s="31">
        <v>0</v>
      </c>
      <c r="AE667" s="31"/>
      <c r="AF667" s="31"/>
      <c r="AG667" s="31"/>
      <c r="AH667" s="31"/>
      <c r="AI667" s="31"/>
      <c r="AJ667" s="31"/>
      <c r="AK667" s="433"/>
      <c r="AL667" s="31"/>
      <c r="AM667" s="31"/>
      <c r="AN667" s="31"/>
      <c r="AO667" s="592"/>
      <c r="AP667" s="31"/>
      <c r="AQ667" s="31"/>
      <c r="AR667" s="31"/>
      <c r="AS667" s="31"/>
      <c r="AT667" s="31"/>
      <c r="AU667" s="433"/>
    </row>
    <row r="668" spans="1:47" ht="15" customHeight="1" x14ac:dyDescent="0.2">
      <c r="A668" s="39">
        <f>acute_overview_children!A268</f>
        <v>4</v>
      </c>
      <c r="B668" s="23">
        <f>acute_overview_children!B268</f>
        <v>632990</v>
      </c>
      <c r="C668" s="23" t="str">
        <f>acute_overview_children!C268</f>
        <v>Other herbal infusions (dried leaves)</v>
      </c>
      <c r="D668" s="38">
        <f t="shared" si="91"/>
        <v>4</v>
      </c>
      <c r="E668" s="31"/>
      <c r="F668" s="31"/>
      <c r="G668" s="31"/>
      <c r="H668" s="31"/>
      <c r="I668" s="31"/>
      <c r="J668" s="31"/>
      <c r="K668" s="31"/>
      <c r="L668" s="31"/>
      <c r="M668" s="31"/>
      <c r="N668" s="31">
        <v>0</v>
      </c>
      <c r="O668" s="31">
        <v>0</v>
      </c>
      <c r="P668" s="31"/>
      <c r="Q668" s="31"/>
      <c r="R668" s="31"/>
      <c r="S668" s="31"/>
      <c r="T668" s="31"/>
      <c r="U668" s="31"/>
      <c r="V668" s="31"/>
      <c r="W668" s="31"/>
      <c r="X668" s="31"/>
      <c r="Y668" s="31"/>
      <c r="Z668" s="31"/>
      <c r="AA668" s="31"/>
      <c r="AB668" s="31"/>
      <c r="AC668" s="31">
        <v>0</v>
      </c>
      <c r="AD668" s="31">
        <v>0</v>
      </c>
      <c r="AE668" s="31"/>
      <c r="AF668" s="31"/>
      <c r="AG668" s="31"/>
      <c r="AH668" s="31"/>
      <c r="AI668" s="31"/>
      <c r="AJ668" s="31"/>
      <c r="AK668" s="433"/>
      <c r="AL668" s="31"/>
      <c r="AM668" s="31"/>
      <c r="AN668" s="31"/>
      <c r="AO668" s="592"/>
      <c r="AP668" s="31"/>
      <c r="AQ668" s="31"/>
      <c r="AR668" s="31"/>
      <c r="AS668" s="31"/>
      <c r="AT668" s="31"/>
      <c r="AU668" s="433"/>
    </row>
    <row r="669" spans="1:47" ht="15" customHeight="1" x14ac:dyDescent="0.2">
      <c r="A669" s="132">
        <f>acute_overview_children!A269</f>
        <v>3</v>
      </c>
      <c r="B669" s="3">
        <f>acute_overview_children!B269</f>
        <v>633000</v>
      </c>
      <c r="C669" s="3" t="str">
        <f>acute_overview_children!C269</f>
        <v>Herbal infusions (dried roots)</v>
      </c>
      <c r="D669" s="38">
        <f t="shared" ref="D669:D732" si="92">D269</f>
        <v>4</v>
      </c>
      <c r="E669" s="48"/>
      <c r="F669" s="48"/>
      <c r="G669" s="48"/>
      <c r="H669" s="48"/>
      <c r="I669" s="48"/>
      <c r="J669" s="48"/>
      <c r="K669" s="48"/>
      <c r="L669" s="48"/>
      <c r="M669" s="48"/>
      <c r="N669" s="48">
        <v>0</v>
      </c>
      <c r="O669" s="48">
        <v>0</v>
      </c>
      <c r="P669" s="48"/>
      <c r="Q669" s="48"/>
      <c r="R669" s="48"/>
      <c r="S669" s="48"/>
      <c r="T669" s="48"/>
      <c r="U669" s="48"/>
      <c r="V669" s="48"/>
      <c r="W669" s="48"/>
      <c r="X669" s="48"/>
      <c r="Y669" s="48"/>
      <c r="Z669" s="48"/>
      <c r="AA669" s="48"/>
      <c r="AB669" s="48"/>
      <c r="AC669" s="48">
        <v>0</v>
      </c>
      <c r="AD669" s="48">
        <v>0</v>
      </c>
      <c r="AE669" s="48"/>
      <c r="AF669" s="48"/>
      <c r="AG669" s="48"/>
      <c r="AH669" s="48"/>
      <c r="AI669" s="48"/>
      <c r="AJ669" s="48"/>
      <c r="AK669" s="93"/>
      <c r="AL669" s="48"/>
      <c r="AM669" s="48"/>
      <c r="AN669" s="48"/>
      <c r="AO669" s="593"/>
      <c r="AP669" s="48"/>
      <c r="AQ669" s="48"/>
      <c r="AR669" s="48"/>
      <c r="AS669" s="48"/>
      <c r="AT669" s="48"/>
      <c r="AU669" s="93"/>
    </row>
    <row r="670" spans="1:47" ht="15" customHeight="1" x14ac:dyDescent="0.2">
      <c r="A670" s="39">
        <f>acute_overview_children!A270</f>
        <v>4</v>
      </c>
      <c r="B670" s="23">
        <f>acute_overview_children!B270</f>
        <v>633010</v>
      </c>
      <c r="C670" s="23" t="str">
        <f>acute_overview_children!C270</f>
        <v xml:space="preserve">Valerian root </v>
      </c>
      <c r="D670" s="38">
        <f t="shared" si="92"/>
        <v>4</v>
      </c>
      <c r="E670" s="31"/>
      <c r="F670" s="31"/>
      <c r="G670" s="31"/>
      <c r="H670" s="31"/>
      <c r="I670" s="31"/>
      <c r="J670" s="31"/>
      <c r="K670" s="31"/>
      <c r="L670" s="31"/>
      <c r="M670" s="31"/>
      <c r="N670" s="31">
        <v>0</v>
      </c>
      <c r="O670" s="31">
        <v>0</v>
      </c>
      <c r="P670" s="31"/>
      <c r="Q670" s="31"/>
      <c r="R670" s="31"/>
      <c r="S670" s="31"/>
      <c r="T670" s="31"/>
      <c r="U670" s="31"/>
      <c r="V670" s="31"/>
      <c r="W670" s="31"/>
      <c r="X670" s="31"/>
      <c r="Y670" s="31"/>
      <c r="Z670" s="31"/>
      <c r="AA670" s="31"/>
      <c r="AB670" s="31"/>
      <c r="AC670" s="31">
        <v>0</v>
      </c>
      <c r="AD670" s="31">
        <v>0</v>
      </c>
      <c r="AE670" s="31"/>
      <c r="AF670" s="31"/>
      <c r="AG670" s="31"/>
      <c r="AH670" s="31"/>
      <c r="AI670" s="31"/>
      <c r="AJ670" s="31"/>
      <c r="AK670" s="433"/>
      <c r="AL670" s="31"/>
      <c r="AM670" s="31"/>
      <c r="AN670" s="31"/>
      <c r="AO670" s="592"/>
      <c r="AP670" s="31"/>
      <c r="AQ670" s="31"/>
      <c r="AR670" s="31"/>
      <c r="AS670" s="31"/>
      <c r="AT670" s="31"/>
      <c r="AU670" s="433"/>
    </row>
    <row r="671" spans="1:47" ht="15" customHeight="1" x14ac:dyDescent="0.2">
      <c r="A671" s="39">
        <f>acute_overview_children!A271</f>
        <v>4</v>
      </c>
      <c r="B671" s="23">
        <f>acute_overview_children!B271</f>
        <v>633020</v>
      </c>
      <c r="C671" s="23" t="str">
        <f>acute_overview_children!C271</f>
        <v>Ginseng root</v>
      </c>
      <c r="D671" s="38">
        <f t="shared" si="92"/>
        <v>4</v>
      </c>
      <c r="E671" s="31"/>
      <c r="F671" s="31"/>
      <c r="G671" s="31"/>
      <c r="H671" s="31"/>
      <c r="I671" s="31"/>
      <c r="J671" s="31"/>
      <c r="K671" s="31"/>
      <c r="L671" s="31"/>
      <c r="M671" s="31"/>
      <c r="N671" s="31">
        <v>0</v>
      </c>
      <c r="O671" s="31">
        <v>0</v>
      </c>
      <c r="P671" s="31"/>
      <c r="Q671" s="31"/>
      <c r="R671" s="31"/>
      <c r="S671" s="31"/>
      <c r="T671" s="31"/>
      <c r="U671" s="31"/>
      <c r="V671" s="31"/>
      <c r="W671" s="31"/>
      <c r="X671" s="31"/>
      <c r="Y671" s="31"/>
      <c r="Z671" s="31"/>
      <c r="AA671" s="31"/>
      <c r="AB671" s="31"/>
      <c r="AC671" s="31">
        <v>0</v>
      </c>
      <c r="AD671" s="31">
        <v>0</v>
      </c>
      <c r="AE671" s="31"/>
      <c r="AF671" s="31"/>
      <c r="AG671" s="31"/>
      <c r="AH671" s="31"/>
      <c r="AI671" s="31"/>
      <c r="AJ671" s="31"/>
      <c r="AK671" s="433"/>
      <c r="AL671" s="31"/>
      <c r="AM671" s="31"/>
      <c r="AN671" s="31"/>
      <c r="AO671" s="592"/>
      <c r="AP671" s="31"/>
      <c r="AQ671" s="31"/>
      <c r="AR671" s="31"/>
      <c r="AS671" s="31"/>
      <c r="AT671" s="31"/>
      <c r="AU671" s="433"/>
    </row>
    <row r="672" spans="1:47" ht="15" customHeight="1" x14ac:dyDescent="0.2">
      <c r="A672" s="39">
        <f>acute_overview_children!A272</f>
        <v>4</v>
      </c>
      <c r="B672" s="23">
        <f>acute_overview_children!B272</f>
        <v>633990</v>
      </c>
      <c r="C672" s="23" t="str">
        <f>acute_overview_children!C272</f>
        <v>Other herbal infusions (dried roots)</v>
      </c>
      <c r="D672" s="38">
        <f t="shared" si="92"/>
        <v>4</v>
      </c>
      <c r="E672" s="31"/>
      <c r="F672" s="31"/>
      <c r="G672" s="31"/>
      <c r="H672" s="31"/>
      <c r="I672" s="31"/>
      <c r="J672" s="31"/>
      <c r="K672" s="31"/>
      <c r="L672" s="31"/>
      <c r="M672" s="31"/>
      <c r="N672" s="31">
        <v>0</v>
      </c>
      <c r="O672" s="31">
        <v>0</v>
      </c>
      <c r="P672" s="31"/>
      <c r="Q672" s="31"/>
      <c r="R672" s="31"/>
      <c r="S672" s="31"/>
      <c r="T672" s="31"/>
      <c r="U672" s="31"/>
      <c r="V672" s="31"/>
      <c r="W672" s="31"/>
      <c r="X672" s="31"/>
      <c r="Y672" s="31"/>
      <c r="Z672" s="31"/>
      <c r="AA672" s="31"/>
      <c r="AB672" s="31"/>
      <c r="AC672" s="31">
        <v>0</v>
      </c>
      <c r="AD672" s="31">
        <v>0</v>
      </c>
      <c r="AE672" s="31"/>
      <c r="AF672" s="31"/>
      <c r="AG672" s="31"/>
      <c r="AH672" s="31"/>
      <c r="AI672" s="31"/>
      <c r="AJ672" s="31"/>
      <c r="AK672" s="433"/>
      <c r="AL672" s="31"/>
      <c r="AM672" s="31"/>
      <c r="AN672" s="31"/>
      <c r="AO672" s="592"/>
      <c r="AP672" s="31"/>
      <c r="AQ672" s="31"/>
      <c r="AR672" s="31"/>
      <c r="AS672" s="31"/>
      <c r="AT672" s="31"/>
      <c r="AU672" s="433"/>
    </row>
    <row r="673" spans="1:47" ht="15" customHeight="1" x14ac:dyDescent="0.2">
      <c r="A673" s="133">
        <f>acute_overview_children!A273</f>
        <v>3</v>
      </c>
      <c r="B673" s="5">
        <f>acute_overview_children!B273</f>
        <v>639000</v>
      </c>
      <c r="C673" s="5" t="str">
        <f>acute_overview_children!C273</f>
        <v>Herbal infusions  -(any other parts of the plant)
(other herbal infusions)</v>
      </c>
      <c r="D673" s="38">
        <f t="shared" si="92"/>
        <v>4</v>
      </c>
      <c r="E673" s="49"/>
      <c r="F673" s="49"/>
      <c r="G673" s="49"/>
      <c r="H673" s="49"/>
      <c r="I673" s="49"/>
      <c r="J673" s="49"/>
      <c r="K673" s="49"/>
      <c r="L673" s="49"/>
      <c r="M673" s="49"/>
      <c r="N673" s="49">
        <v>0</v>
      </c>
      <c r="O673" s="49">
        <v>0</v>
      </c>
      <c r="P673" s="49"/>
      <c r="Q673" s="49"/>
      <c r="R673" s="49"/>
      <c r="S673" s="49"/>
      <c r="T673" s="49"/>
      <c r="U673" s="49"/>
      <c r="V673" s="49"/>
      <c r="W673" s="49"/>
      <c r="X673" s="49"/>
      <c r="Y673" s="49"/>
      <c r="Z673" s="49"/>
      <c r="AA673" s="49"/>
      <c r="AB673" s="49"/>
      <c r="AC673" s="49">
        <v>0</v>
      </c>
      <c r="AD673" s="49">
        <v>0</v>
      </c>
      <c r="AE673" s="49"/>
      <c r="AF673" s="49"/>
      <c r="AG673" s="49"/>
      <c r="AH673" s="49"/>
      <c r="AI673" s="49"/>
      <c r="AJ673" s="49"/>
      <c r="AK673" s="94"/>
      <c r="AL673" s="49"/>
      <c r="AM673" s="49"/>
      <c r="AN673" s="49"/>
      <c r="AO673" s="594"/>
      <c r="AP673" s="49"/>
      <c r="AQ673" s="49"/>
      <c r="AR673" s="49"/>
      <c r="AS673" s="49"/>
      <c r="AT673" s="49"/>
      <c r="AU673" s="94"/>
    </row>
    <row r="674" spans="1:47" ht="15" customHeight="1" x14ac:dyDescent="0.2">
      <c r="A674" s="515">
        <f>acute_overview_children!A274</f>
        <v>2</v>
      </c>
      <c r="B674" s="24">
        <f>acute_overview_children!B274</f>
        <v>640000</v>
      </c>
      <c r="C674" s="24" t="str">
        <f>acute_overview_children!C274</f>
        <v>Cocoa beans</v>
      </c>
      <c r="D674" s="38">
        <f t="shared" si="92"/>
        <v>2</v>
      </c>
      <c r="E674" s="55"/>
      <c r="F674" s="55"/>
      <c r="G674" s="55"/>
      <c r="H674" s="55"/>
      <c r="I674" s="55"/>
      <c r="J674" s="55"/>
      <c r="K674" s="55"/>
      <c r="L674" s="55"/>
      <c r="M674" s="55"/>
      <c r="N674" s="55">
        <v>0</v>
      </c>
      <c r="O674" s="55">
        <v>0</v>
      </c>
      <c r="P674" s="55"/>
      <c r="Q674" s="55"/>
      <c r="R674" s="55">
        <v>0.39481946629999998</v>
      </c>
      <c r="S674" s="55"/>
      <c r="T674" s="55"/>
      <c r="U674" s="55"/>
      <c r="V674" s="55"/>
      <c r="W674" s="55"/>
      <c r="X674" s="55"/>
      <c r="Y674" s="55"/>
      <c r="Z674" s="55"/>
      <c r="AA674" s="55"/>
      <c r="AB674" s="55"/>
      <c r="AC674" s="55">
        <v>0</v>
      </c>
      <c r="AD674" s="55">
        <v>0</v>
      </c>
      <c r="AE674" s="55"/>
      <c r="AF674" s="55"/>
      <c r="AG674" s="55"/>
      <c r="AH674" s="55"/>
      <c r="AI674" s="55"/>
      <c r="AJ674" s="55"/>
      <c r="AK674" s="435"/>
      <c r="AL674" s="55"/>
      <c r="AM674" s="55"/>
      <c r="AN674" s="55">
        <v>1.5158902542999999</v>
      </c>
      <c r="AO674" s="597">
        <v>1.3202020713</v>
      </c>
      <c r="AP674" s="55"/>
      <c r="AQ674" s="55"/>
      <c r="AR674" s="55"/>
      <c r="AS674" s="55"/>
      <c r="AT674" s="55"/>
      <c r="AU674" s="435"/>
    </row>
    <row r="675" spans="1:47" ht="15" customHeight="1" x14ac:dyDescent="0.2">
      <c r="A675" s="515">
        <f>acute_overview_children!A275</f>
        <v>2</v>
      </c>
      <c r="B675" s="24">
        <f>acute_overview_children!B275</f>
        <v>650000</v>
      </c>
      <c r="C675" s="24" t="str">
        <f>acute_overview_children!C275</f>
        <v>Carobs/Staint John's bread</v>
      </c>
      <c r="D675" s="38">
        <f t="shared" si="92"/>
        <v>2</v>
      </c>
      <c r="E675" s="55"/>
      <c r="F675" s="55"/>
      <c r="G675" s="55"/>
      <c r="H675" s="55"/>
      <c r="I675" s="55"/>
      <c r="J675" s="55"/>
      <c r="K675" s="55"/>
      <c r="L675" s="55"/>
      <c r="M675" s="55"/>
      <c r="N675" s="55">
        <v>0</v>
      </c>
      <c r="O675" s="55">
        <v>0</v>
      </c>
      <c r="P675" s="55"/>
      <c r="Q675" s="55"/>
      <c r="R675" s="55"/>
      <c r="S675" s="55"/>
      <c r="T675" s="55"/>
      <c r="U675" s="55"/>
      <c r="V675" s="55"/>
      <c r="W675" s="55"/>
      <c r="X675" s="55"/>
      <c r="Y675" s="55"/>
      <c r="Z675" s="55"/>
      <c r="AA675" s="55"/>
      <c r="AB675" s="55"/>
      <c r="AC675" s="55">
        <v>0</v>
      </c>
      <c r="AD675" s="55">
        <v>0</v>
      </c>
      <c r="AE675" s="55"/>
      <c r="AF675" s="55"/>
      <c r="AG675" s="55"/>
      <c r="AH675" s="55"/>
      <c r="AI675" s="55"/>
      <c r="AJ675" s="55"/>
      <c r="AK675" s="435"/>
      <c r="AL675" s="55"/>
      <c r="AM675" s="55"/>
      <c r="AN675" s="55"/>
      <c r="AO675" s="597"/>
      <c r="AP675" s="55"/>
      <c r="AQ675" s="55"/>
      <c r="AR675" s="55"/>
      <c r="AS675" s="55"/>
      <c r="AT675" s="55"/>
      <c r="AU675" s="435"/>
    </row>
    <row r="676" spans="1:47" ht="15" customHeight="1" x14ac:dyDescent="0.2">
      <c r="A676" s="514">
        <f>acute_overview_children!A276</f>
        <v>1</v>
      </c>
      <c r="B676" s="2">
        <f>acute_overview_children!B276</f>
        <v>700000</v>
      </c>
      <c r="C676" s="2" t="str">
        <f>acute_overview_children!C276</f>
        <v xml:space="preserve"> HOPS (dried)</v>
      </c>
      <c r="D676" s="38">
        <f t="shared" si="92"/>
        <v>1</v>
      </c>
      <c r="E676" s="54"/>
      <c r="F676" s="54"/>
      <c r="G676" s="54"/>
      <c r="H676" s="54"/>
      <c r="I676" s="54"/>
      <c r="J676" s="54"/>
      <c r="K676" s="54"/>
      <c r="L676" s="54"/>
      <c r="M676" s="54"/>
      <c r="N676" s="54">
        <v>0</v>
      </c>
      <c r="O676" s="54">
        <v>0</v>
      </c>
      <c r="P676" s="54"/>
      <c r="Q676" s="54"/>
      <c r="R676" s="54"/>
      <c r="S676" s="54"/>
      <c r="T676" s="54"/>
      <c r="U676" s="54"/>
      <c r="V676" s="54"/>
      <c r="W676" s="54"/>
      <c r="X676" s="54"/>
      <c r="Y676" s="54"/>
      <c r="Z676" s="54"/>
      <c r="AA676" s="54"/>
      <c r="AB676" s="54"/>
      <c r="AC676" s="54">
        <v>6.18421052631579E-2</v>
      </c>
      <c r="AD676" s="54">
        <v>5.2473763118440778E-2</v>
      </c>
      <c r="AE676" s="54"/>
      <c r="AF676" s="54"/>
      <c r="AG676" s="54"/>
      <c r="AH676" s="54"/>
      <c r="AI676" s="54"/>
      <c r="AJ676" s="54"/>
      <c r="AK676" s="434"/>
      <c r="AL676" s="54"/>
      <c r="AM676" s="54"/>
      <c r="AN676" s="54"/>
      <c r="AO676" s="598"/>
      <c r="AP676" s="54"/>
      <c r="AQ676" s="54"/>
      <c r="AR676" s="54"/>
      <c r="AS676" s="54"/>
      <c r="AT676" s="54"/>
      <c r="AU676" s="434"/>
    </row>
    <row r="677" spans="1:47" ht="15" customHeight="1" x14ac:dyDescent="0.2">
      <c r="A677" s="514">
        <f>acute_overview_children!A277</f>
        <v>1</v>
      </c>
      <c r="B677" s="2">
        <f>acute_overview_children!B277</f>
        <v>800000</v>
      </c>
      <c r="C677" s="2" t="str">
        <f>acute_overview_children!C277</f>
        <v>SPICES</v>
      </c>
      <c r="D677" s="38">
        <f t="shared" si="92"/>
        <v>4</v>
      </c>
      <c r="E677" s="54"/>
      <c r="F677" s="54"/>
      <c r="G677" s="54"/>
      <c r="H677" s="54"/>
      <c r="I677" s="54"/>
      <c r="J677" s="54"/>
      <c r="K677" s="54"/>
      <c r="L677" s="54"/>
      <c r="M677" s="54"/>
      <c r="N677" s="54">
        <v>0</v>
      </c>
      <c r="O677" s="54">
        <v>0</v>
      </c>
      <c r="P677" s="54"/>
      <c r="Q677" s="54"/>
      <c r="R677" s="54">
        <v>2.2785325E-3</v>
      </c>
      <c r="S677" s="54"/>
      <c r="T677" s="54"/>
      <c r="U677" s="54"/>
      <c r="V677" s="54"/>
      <c r="W677" s="54"/>
      <c r="X677" s="54"/>
      <c r="Y677" s="54"/>
      <c r="Z677" s="54"/>
      <c r="AA677" s="54"/>
      <c r="AB677" s="54"/>
      <c r="AC677" s="54">
        <v>0</v>
      </c>
      <c r="AD677" s="54">
        <v>0</v>
      </c>
      <c r="AE677" s="54"/>
      <c r="AF677" s="54"/>
      <c r="AG677" s="54"/>
      <c r="AH677" s="54"/>
      <c r="AI677" s="54"/>
      <c r="AJ677" s="54"/>
      <c r="AK677" s="434"/>
      <c r="AL677" s="54"/>
      <c r="AM677" s="54"/>
      <c r="AN677" s="54">
        <v>2.2364922999999998E-2</v>
      </c>
      <c r="AO677" s="598">
        <v>8.2852043999999993E-3</v>
      </c>
      <c r="AP677" s="54"/>
      <c r="AQ677" s="54"/>
      <c r="AR677" s="54"/>
      <c r="AS677" s="54"/>
      <c r="AT677" s="54"/>
      <c r="AU677" s="434"/>
    </row>
    <row r="678" spans="1:47" ht="15" customHeight="1" x14ac:dyDescent="0.2">
      <c r="A678" s="515">
        <f>acute_overview_children!A278</f>
        <v>2</v>
      </c>
      <c r="B678" s="24">
        <f>acute_overview_children!B278</f>
        <v>810000</v>
      </c>
      <c r="C678" s="24" t="str">
        <f>acute_overview_children!C278</f>
        <v>Spices (seeds)</v>
      </c>
      <c r="D678" s="38">
        <f t="shared" si="92"/>
        <v>4</v>
      </c>
      <c r="E678" s="55"/>
      <c r="F678" s="55"/>
      <c r="G678" s="55"/>
      <c r="H678" s="55"/>
      <c r="I678" s="55"/>
      <c r="J678" s="55"/>
      <c r="K678" s="55"/>
      <c r="L678" s="55"/>
      <c r="M678" s="55"/>
      <c r="N678" s="55">
        <v>0</v>
      </c>
      <c r="O678" s="55">
        <v>0</v>
      </c>
      <c r="P678" s="55"/>
      <c r="Q678" s="55"/>
      <c r="R678" s="55"/>
      <c r="S678" s="55"/>
      <c r="T678" s="55"/>
      <c r="U678" s="55"/>
      <c r="V678" s="55"/>
      <c r="W678" s="55"/>
      <c r="X678" s="55"/>
      <c r="Y678" s="55"/>
      <c r="Z678" s="55"/>
      <c r="AA678" s="55"/>
      <c r="AB678" s="55"/>
      <c r="AC678" s="55">
        <v>0</v>
      </c>
      <c r="AD678" s="55">
        <v>0</v>
      </c>
      <c r="AE678" s="55"/>
      <c r="AF678" s="55"/>
      <c r="AG678" s="55"/>
      <c r="AH678" s="55"/>
      <c r="AI678" s="55"/>
      <c r="AJ678" s="55"/>
      <c r="AK678" s="435"/>
      <c r="AL678" s="55"/>
      <c r="AM678" s="55"/>
      <c r="AN678" s="55"/>
      <c r="AO678" s="597"/>
      <c r="AP678" s="55"/>
      <c r="AQ678" s="55"/>
      <c r="AR678" s="55"/>
      <c r="AS678" s="55"/>
      <c r="AT678" s="55"/>
      <c r="AU678" s="435"/>
    </row>
    <row r="679" spans="1:47" ht="15" customHeight="1" x14ac:dyDescent="0.2">
      <c r="A679" s="39">
        <f>acute_overview_children!A279</f>
        <v>4</v>
      </c>
      <c r="B679" s="23">
        <f>acute_overview_children!B279</f>
        <v>810010</v>
      </c>
      <c r="C679" s="23" t="str">
        <f>acute_overview_children!C279</f>
        <v>Anise/aniseed</v>
      </c>
      <c r="D679" s="38">
        <f t="shared" si="92"/>
        <v>4</v>
      </c>
      <c r="E679" s="31"/>
      <c r="F679" s="31"/>
      <c r="G679" s="31"/>
      <c r="H679" s="31"/>
      <c r="I679" s="31"/>
      <c r="J679" s="31"/>
      <c r="K679" s="31"/>
      <c r="L679" s="31"/>
      <c r="M679" s="31"/>
      <c r="N679" s="31">
        <v>0</v>
      </c>
      <c r="O679" s="31">
        <v>0</v>
      </c>
      <c r="P679" s="31"/>
      <c r="Q679" s="31"/>
      <c r="R679" s="31"/>
      <c r="S679" s="31"/>
      <c r="T679" s="31"/>
      <c r="U679" s="31"/>
      <c r="V679" s="31"/>
      <c r="W679" s="31"/>
      <c r="X679" s="31"/>
      <c r="Y679" s="31"/>
      <c r="Z679" s="31"/>
      <c r="AA679" s="31"/>
      <c r="AB679" s="31"/>
      <c r="AC679" s="31">
        <v>0</v>
      </c>
      <c r="AD679" s="31">
        <v>0</v>
      </c>
      <c r="AE679" s="31"/>
      <c r="AF679" s="31"/>
      <c r="AG679" s="31"/>
      <c r="AH679" s="31"/>
      <c r="AI679" s="31"/>
      <c r="AJ679" s="31"/>
      <c r="AK679" s="433"/>
      <c r="AL679" s="31"/>
      <c r="AM679" s="31"/>
      <c r="AN679" s="31"/>
      <c r="AO679" s="592"/>
      <c r="AP679" s="31"/>
      <c r="AQ679" s="31"/>
      <c r="AR679" s="31"/>
      <c r="AS679" s="31"/>
      <c r="AT679" s="31"/>
      <c r="AU679" s="433"/>
    </row>
    <row r="680" spans="1:47" ht="15" customHeight="1" x14ac:dyDescent="0.2">
      <c r="A680" s="39">
        <f>acute_overview_children!A280</f>
        <v>4</v>
      </c>
      <c r="B680" s="23">
        <f>acute_overview_children!B280</f>
        <v>810020</v>
      </c>
      <c r="C680" s="23" t="str">
        <f>acute_overview_children!C280</f>
        <v>Black caraway/black cumin</v>
      </c>
      <c r="D680" s="38">
        <f t="shared" si="92"/>
        <v>4</v>
      </c>
      <c r="E680" s="31"/>
      <c r="F680" s="31"/>
      <c r="G680" s="31"/>
      <c r="H680" s="31"/>
      <c r="I680" s="31"/>
      <c r="J680" s="31"/>
      <c r="K680" s="31"/>
      <c r="L680" s="31"/>
      <c r="M680" s="31"/>
      <c r="N680" s="31">
        <v>0</v>
      </c>
      <c r="O680" s="31">
        <v>0</v>
      </c>
      <c r="P680" s="31"/>
      <c r="Q680" s="31"/>
      <c r="R680" s="31"/>
      <c r="S680" s="31"/>
      <c r="T680" s="31"/>
      <c r="U680" s="31"/>
      <c r="V680" s="31"/>
      <c r="W680" s="31"/>
      <c r="X680" s="31"/>
      <c r="Y680" s="31"/>
      <c r="Z680" s="31"/>
      <c r="AA680" s="31"/>
      <c r="AB680" s="31"/>
      <c r="AC680" s="31">
        <v>0</v>
      </c>
      <c r="AD680" s="31">
        <v>0</v>
      </c>
      <c r="AE680" s="31"/>
      <c r="AF680" s="31"/>
      <c r="AG680" s="31"/>
      <c r="AH680" s="31"/>
      <c r="AI680" s="31"/>
      <c r="AJ680" s="31"/>
      <c r="AK680" s="433"/>
      <c r="AL680" s="31"/>
      <c r="AM680" s="31"/>
      <c r="AN680" s="31"/>
      <c r="AO680" s="592"/>
      <c r="AP680" s="31"/>
      <c r="AQ680" s="31"/>
      <c r="AR680" s="31"/>
      <c r="AS680" s="31"/>
      <c r="AT680" s="31"/>
      <c r="AU680" s="433"/>
    </row>
    <row r="681" spans="1:47" ht="15" customHeight="1" x14ac:dyDescent="0.2">
      <c r="A681" s="39">
        <f>acute_overview_children!A281</f>
        <v>4</v>
      </c>
      <c r="B681" s="23">
        <f>acute_overview_children!B281</f>
        <v>810030</v>
      </c>
      <c r="C681" s="23" t="str">
        <f>acute_overview_children!C281</f>
        <v>Celery seed</v>
      </c>
      <c r="D681" s="38">
        <f t="shared" si="92"/>
        <v>4</v>
      </c>
      <c r="E681" s="31"/>
      <c r="F681" s="31"/>
      <c r="G681" s="31"/>
      <c r="H681" s="31"/>
      <c r="I681" s="31"/>
      <c r="J681" s="31"/>
      <c r="K681" s="31"/>
      <c r="L681" s="31"/>
      <c r="M681" s="31"/>
      <c r="N681" s="31">
        <v>0</v>
      </c>
      <c r="O681" s="31">
        <v>0</v>
      </c>
      <c r="P681" s="31"/>
      <c r="Q681" s="31"/>
      <c r="R681" s="31"/>
      <c r="S681" s="31"/>
      <c r="T681" s="31"/>
      <c r="U681" s="31"/>
      <c r="V681" s="31"/>
      <c r="W681" s="31"/>
      <c r="X681" s="31"/>
      <c r="Y681" s="31"/>
      <c r="Z681" s="31"/>
      <c r="AA681" s="31"/>
      <c r="AB681" s="31"/>
      <c r="AC681" s="31">
        <v>0</v>
      </c>
      <c r="AD681" s="31">
        <v>0</v>
      </c>
      <c r="AE681" s="31"/>
      <c r="AF681" s="31"/>
      <c r="AG681" s="31"/>
      <c r="AH681" s="31"/>
      <c r="AI681" s="31"/>
      <c r="AJ681" s="31"/>
      <c r="AK681" s="433"/>
      <c r="AL681" s="31"/>
      <c r="AM681" s="31"/>
      <c r="AN681" s="31"/>
      <c r="AO681" s="592"/>
      <c r="AP681" s="31"/>
      <c r="AQ681" s="31"/>
      <c r="AR681" s="31"/>
      <c r="AS681" s="31"/>
      <c r="AT681" s="31"/>
      <c r="AU681" s="433"/>
    </row>
    <row r="682" spans="1:47" ht="15" customHeight="1" x14ac:dyDescent="0.2">
      <c r="A682" s="39">
        <f>acute_overview_children!A282</f>
        <v>4</v>
      </c>
      <c r="B682" s="23">
        <f>acute_overview_children!B282</f>
        <v>810040</v>
      </c>
      <c r="C682" s="23" t="str">
        <f>acute_overview_children!C282</f>
        <v>Coriander seed</v>
      </c>
      <c r="D682" s="38">
        <f t="shared" si="92"/>
        <v>4</v>
      </c>
      <c r="E682" s="31"/>
      <c r="F682" s="31"/>
      <c r="G682" s="31"/>
      <c r="H682" s="31"/>
      <c r="I682" s="31"/>
      <c r="J682" s="31"/>
      <c r="K682" s="31"/>
      <c r="L682" s="31"/>
      <c r="M682" s="31"/>
      <c r="N682" s="31">
        <v>0</v>
      </c>
      <c r="O682" s="31">
        <v>0</v>
      </c>
      <c r="P682" s="31"/>
      <c r="Q682" s="31"/>
      <c r="R682" s="31"/>
      <c r="S682" s="31"/>
      <c r="T682" s="31"/>
      <c r="U682" s="31"/>
      <c r="V682" s="31"/>
      <c r="W682" s="31"/>
      <c r="X682" s="31"/>
      <c r="Y682" s="31"/>
      <c r="Z682" s="31"/>
      <c r="AA682" s="31"/>
      <c r="AB682" s="31"/>
      <c r="AC682" s="31">
        <v>0</v>
      </c>
      <c r="AD682" s="31">
        <v>0</v>
      </c>
      <c r="AE682" s="31"/>
      <c r="AF682" s="31"/>
      <c r="AG682" s="31"/>
      <c r="AH682" s="31"/>
      <c r="AI682" s="31"/>
      <c r="AJ682" s="31"/>
      <c r="AK682" s="433"/>
      <c r="AL682" s="31"/>
      <c r="AM682" s="31"/>
      <c r="AN682" s="31"/>
      <c r="AO682" s="592"/>
      <c r="AP682" s="31"/>
      <c r="AQ682" s="31"/>
      <c r="AR682" s="31"/>
      <c r="AS682" s="31"/>
      <c r="AT682" s="31"/>
      <c r="AU682" s="433"/>
    </row>
    <row r="683" spans="1:47" ht="15" customHeight="1" x14ac:dyDescent="0.2">
      <c r="A683" s="39">
        <f>acute_overview_children!A283</f>
        <v>4</v>
      </c>
      <c r="B683" s="23">
        <f>acute_overview_children!B283</f>
        <v>810050</v>
      </c>
      <c r="C683" s="23" t="str">
        <f>acute_overview_children!C283</f>
        <v>Cumin seed</v>
      </c>
      <c r="D683" s="38">
        <f t="shared" si="92"/>
        <v>4</v>
      </c>
      <c r="E683" s="31"/>
      <c r="F683" s="31"/>
      <c r="G683" s="31"/>
      <c r="H683" s="31"/>
      <c r="I683" s="31"/>
      <c r="J683" s="31"/>
      <c r="K683" s="31"/>
      <c r="L683" s="31"/>
      <c r="M683" s="31"/>
      <c r="N683" s="31">
        <v>0</v>
      </c>
      <c r="O683" s="31">
        <v>0</v>
      </c>
      <c r="P683" s="31"/>
      <c r="Q683" s="31"/>
      <c r="R683" s="31"/>
      <c r="S683" s="31"/>
      <c r="T683" s="31"/>
      <c r="U683" s="31"/>
      <c r="V683" s="31"/>
      <c r="W683" s="31"/>
      <c r="X683" s="31"/>
      <c r="Y683" s="31"/>
      <c r="Z683" s="31"/>
      <c r="AA683" s="31"/>
      <c r="AB683" s="31"/>
      <c r="AC683" s="31">
        <v>0</v>
      </c>
      <c r="AD683" s="31">
        <v>0</v>
      </c>
      <c r="AE683" s="31"/>
      <c r="AF683" s="31"/>
      <c r="AG683" s="31"/>
      <c r="AH683" s="31"/>
      <c r="AI683" s="31"/>
      <c r="AJ683" s="31"/>
      <c r="AK683" s="433"/>
      <c r="AL683" s="31"/>
      <c r="AM683" s="31"/>
      <c r="AN683" s="31"/>
      <c r="AO683" s="592"/>
      <c r="AP683" s="31"/>
      <c r="AQ683" s="31"/>
      <c r="AR683" s="31"/>
      <c r="AS683" s="31"/>
      <c r="AT683" s="31"/>
      <c r="AU683" s="433"/>
    </row>
    <row r="684" spans="1:47" ht="15" customHeight="1" x14ac:dyDescent="0.2">
      <c r="A684" s="39">
        <f>acute_overview_children!A284</f>
        <v>4</v>
      </c>
      <c r="B684" s="23">
        <f>acute_overview_children!B284</f>
        <v>810060</v>
      </c>
      <c r="C684" s="23" t="str">
        <f>acute_overview_children!C284</f>
        <v>Dill seed</v>
      </c>
      <c r="D684" s="38">
        <f t="shared" si="92"/>
        <v>4</v>
      </c>
      <c r="E684" s="31"/>
      <c r="F684" s="31"/>
      <c r="G684" s="31"/>
      <c r="H684" s="31"/>
      <c r="I684" s="31"/>
      <c r="J684" s="31"/>
      <c r="K684" s="31"/>
      <c r="L684" s="31"/>
      <c r="M684" s="31"/>
      <c r="N684" s="31">
        <v>0</v>
      </c>
      <c r="O684" s="31">
        <v>0</v>
      </c>
      <c r="P684" s="31"/>
      <c r="Q684" s="31"/>
      <c r="R684" s="31"/>
      <c r="S684" s="31"/>
      <c r="T684" s="31"/>
      <c r="U684" s="31"/>
      <c r="V684" s="31"/>
      <c r="W684" s="31"/>
      <c r="X684" s="31"/>
      <c r="Y684" s="31"/>
      <c r="Z684" s="31"/>
      <c r="AA684" s="31"/>
      <c r="AB684" s="31"/>
      <c r="AC684" s="31">
        <v>0</v>
      </c>
      <c r="AD684" s="31">
        <v>0</v>
      </c>
      <c r="AE684" s="31"/>
      <c r="AF684" s="31"/>
      <c r="AG684" s="31"/>
      <c r="AH684" s="31"/>
      <c r="AI684" s="31"/>
      <c r="AJ684" s="31"/>
      <c r="AK684" s="433"/>
      <c r="AL684" s="31"/>
      <c r="AM684" s="31"/>
      <c r="AN684" s="31"/>
      <c r="AO684" s="592"/>
      <c r="AP684" s="31"/>
      <c r="AQ684" s="31"/>
      <c r="AR684" s="31"/>
      <c r="AS684" s="31"/>
      <c r="AT684" s="31"/>
      <c r="AU684" s="433"/>
    </row>
    <row r="685" spans="1:47" ht="15" customHeight="1" x14ac:dyDescent="0.2">
      <c r="A685" s="39">
        <f>acute_overview_children!A285</f>
        <v>4</v>
      </c>
      <c r="B685" s="23">
        <f>acute_overview_children!B285</f>
        <v>810070</v>
      </c>
      <c r="C685" s="23" t="str">
        <f>acute_overview_children!C285</f>
        <v>Fennel seed</v>
      </c>
      <c r="D685" s="38">
        <f t="shared" si="92"/>
        <v>4</v>
      </c>
      <c r="E685" s="31"/>
      <c r="F685" s="31"/>
      <c r="G685" s="31"/>
      <c r="H685" s="31"/>
      <c r="I685" s="31"/>
      <c r="J685" s="31"/>
      <c r="K685" s="31"/>
      <c r="L685" s="31"/>
      <c r="M685" s="31"/>
      <c r="N685" s="31">
        <v>0</v>
      </c>
      <c r="O685" s="31">
        <v>0</v>
      </c>
      <c r="P685" s="31"/>
      <c r="Q685" s="31"/>
      <c r="R685" s="31"/>
      <c r="S685" s="31"/>
      <c r="T685" s="31"/>
      <c r="U685" s="31"/>
      <c r="V685" s="31"/>
      <c r="W685" s="31"/>
      <c r="X685" s="31"/>
      <c r="Y685" s="31"/>
      <c r="Z685" s="31"/>
      <c r="AA685" s="31"/>
      <c r="AB685" s="31"/>
      <c r="AC685" s="31">
        <v>0</v>
      </c>
      <c r="AD685" s="31">
        <v>0</v>
      </c>
      <c r="AE685" s="31"/>
      <c r="AF685" s="31"/>
      <c r="AG685" s="31"/>
      <c r="AH685" s="31"/>
      <c r="AI685" s="31"/>
      <c r="AJ685" s="31"/>
      <c r="AK685" s="433"/>
      <c r="AL685" s="31"/>
      <c r="AM685" s="31"/>
      <c r="AN685" s="31"/>
      <c r="AO685" s="592"/>
      <c r="AP685" s="31"/>
      <c r="AQ685" s="31"/>
      <c r="AR685" s="31"/>
      <c r="AS685" s="31"/>
      <c r="AT685" s="31"/>
      <c r="AU685" s="433"/>
    </row>
    <row r="686" spans="1:47" ht="15" customHeight="1" x14ac:dyDescent="0.2">
      <c r="A686" s="39">
        <f>acute_overview_children!A286</f>
        <v>4</v>
      </c>
      <c r="B686" s="23">
        <f>acute_overview_children!B286</f>
        <v>810080</v>
      </c>
      <c r="C686" s="23" t="str">
        <f>acute_overview_children!C286</f>
        <v>Fenugreek</v>
      </c>
      <c r="D686" s="38">
        <f t="shared" si="92"/>
        <v>4</v>
      </c>
      <c r="E686" s="31"/>
      <c r="F686" s="31"/>
      <c r="G686" s="31"/>
      <c r="H686" s="31"/>
      <c r="I686" s="31"/>
      <c r="J686" s="31"/>
      <c r="K686" s="31"/>
      <c r="L686" s="31"/>
      <c r="M686" s="31"/>
      <c r="N686" s="31">
        <v>0</v>
      </c>
      <c r="O686" s="31">
        <v>0</v>
      </c>
      <c r="P686" s="31"/>
      <c r="Q686" s="31"/>
      <c r="R686" s="31"/>
      <c r="S686" s="31"/>
      <c r="T686" s="31"/>
      <c r="U686" s="31"/>
      <c r="V686" s="31"/>
      <c r="W686" s="31"/>
      <c r="X686" s="31"/>
      <c r="Y686" s="31"/>
      <c r="Z686" s="31"/>
      <c r="AA686" s="31"/>
      <c r="AB686" s="31"/>
      <c r="AC686" s="31">
        <v>0</v>
      </c>
      <c r="AD686" s="31">
        <v>0</v>
      </c>
      <c r="AE686" s="31"/>
      <c r="AF686" s="31"/>
      <c r="AG686" s="31"/>
      <c r="AH686" s="31"/>
      <c r="AI686" s="31"/>
      <c r="AJ686" s="31"/>
      <c r="AK686" s="433"/>
      <c r="AL686" s="31"/>
      <c r="AM686" s="31"/>
      <c r="AN686" s="31"/>
      <c r="AO686" s="592"/>
      <c r="AP686" s="31"/>
      <c r="AQ686" s="31"/>
      <c r="AR686" s="31"/>
      <c r="AS686" s="31"/>
      <c r="AT686" s="31"/>
      <c r="AU686" s="433"/>
    </row>
    <row r="687" spans="1:47" ht="15" customHeight="1" x14ac:dyDescent="0.2">
      <c r="A687" s="39">
        <f>acute_overview_children!A287</f>
        <v>4</v>
      </c>
      <c r="B687" s="23">
        <f>acute_overview_children!B287</f>
        <v>810090</v>
      </c>
      <c r="C687" s="23" t="str">
        <f>acute_overview_children!C287</f>
        <v>Nutmeg</v>
      </c>
      <c r="D687" s="38">
        <f t="shared" si="92"/>
        <v>4</v>
      </c>
      <c r="E687" s="31"/>
      <c r="F687" s="31"/>
      <c r="G687" s="31"/>
      <c r="H687" s="31"/>
      <c r="I687" s="31"/>
      <c r="J687" s="31"/>
      <c r="K687" s="31"/>
      <c r="L687" s="31"/>
      <c r="M687" s="31"/>
      <c r="N687" s="31">
        <v>0</v>
      </c>
      <c r="O687" s="31">
        <v>0</v>
      </c>
      <c r="P687" s="31"/>
      <c r="Q687" s="31"/>
      <c r="R687" s="31"/>
      <c r="S687" s="31"/>
      <c r="T687" s="31"/>
      <c r="U687" s="31"/>
      <c r="V687" s="31"/>
      <c r="W687" s="31"/>
      <c r="X687" s="31"/>
      <c r="Y687" s="31"/>
      <c r="Z687" s="31"/>
      <c r="AA687" s="31"/>
      <c r="AB687" s="31"/>
      <c r="AC687" s="31">
        <v>0</v>
      </c>
      <c r="AD687" s="31">
        <v>0</v>
      </c>
      <c r="AE687" s="31"/>
      <c r="AF687" s="31"/>
      <c r="AG687" s="31"/>
      <c r="AH687" s="31"/>
      <c r="AI687" s="31"/>
      <c r="AJ687" s="31"/>
      <c r="AK687" s="433"/>
      <c r="AL687" s="31"/>
      <c r="AM687" s="31"/>
      <c r="AN687" s="31"/>
      <c r="AO687" s="592"/>
      <c r="AP687" s="31"/>
      <c r="AQ687" s="31"/>
      <c r="AR687" s="31"/>
      <c r="AS687" s="31"/>
      <c r="AT687" s="31"/>
      <c r="AU687" s="433"/>
    </row>
    <row r="688" spans="1:47" ht="15" customHeight="1" x14ac:dyDescent="0.2">
      <c r="A688" s="39">
        <f>acute_overview_children!A288</f>
        <v>4</v>
      </c>
      <c r="B688" s="23">
        <f>acute_overview_children!B288</f>
        <v>810990</v>
      </c>
      <c r="C688" s="23" t="str">
        <f>acute_overview_children!C288</f>
        <v>Other spices (seeds)</v>
      </c>
      <c r="D688" s="38">
        <f t="shared" si="92"/>
        <v>4</v>
      </c>
      <c r="E688" s="31"/>
      <c r="F688" s="31"/>
      <c r="G688" s="31"/>
      <c r="H688" s="31"/>
      <c r="I688" s="31"/>
      <c r="J688" s="31"/>
      <c r="K688" s="31"/>
      <c r="L688" s="31"/>
      <c r="M688" s="31"/>
      <c r="N688" s="31">
        <v>0</v>
      </c>
      <c r="O688" s="31">
        <v>0</v>
      </c>
      <c r="P688" s="31"/>
      <c r="Q688" s="31"/>
      <c r="R688" s="31"/>
      <c r="S688" s="31"/>
      <c r="T688" s="31"/>
      <c r="U688" s="31"/>
      <c r="V688" s="31"/>
      <c r="W688" s="31"/>
      <c r="X688" s="31"/>
      <c r="Y688" s="31"/>
      <c r="Z688" s="31"/>
      <c r="AA688" s="31"/>
      <c r="AB688" s="31"/>
      <c r="AC688" s="31">
        <v>0</v>
      </c>
      <c r="AD688" s="31">
        <v>0</v>
      </c>
      <c r="AE688" s="31"/>
      <c r="AF688" s="31"/>
      <c r="AG688" s="31"/>
      <c r="AH688" s="31"/>
      <c r="AI688" s="31"/>
      <c r="AJ688" s="31"/>
      <c r="AK688" s="433"/>
      <c r="AL688" s="31"/>
      <c r="AM688" s="31"/>
      <c r="AN688" s="31"/>
      <c r="AO688" s="592"/>
      <c r="AP688" s="31"/>
      <c r="AQ688" s="31"/>
      <c r="AR688" s="31"/>
      <c r="AS688" s="31"/>
      <c r="AT688" s="31"/>
      <c r="AU688" s="433"/>
    </row>
    <row r="689" spans="1:47" ht="15" customHeight="1" x14ac:dyDescent="0.2">
      <c r="A689" s="515">
        <f>acute_overview_children!A289</f>
        <v>2</v>
      </c>
      <c r="B689" s="24">
        <f>acute_overview_children!B289</f>
        <v>820000</v>
      </c>
      <c r="C689" s="24" t="str">
        <f>acute_overview_children!C289</f>
        <v>Spices (fruits)</v>
      </c>
      <c r="D689" s="38">
        <f t="shared" si="92"/>
        <v>4</v>
      </c>
      <c r="E689" s="55"/>
      <c r="F689" s="55"/>
      <c r="G689" s="55"/>
      <c r="H689" s="55"/>
      <c r="I689" s="55"/>
      <c r="J689" s="55"/>
      <c r="K689" s="55"/>
      <c r="L689" s="55"/>
      <c r="M689" s="55"/>
      <c r="N689" s="55">
        <v>0</v>
      </c>
      <c r="O689" s="55">
        <v>0</v>
      </c>
      <c r="P689" s="55"/>
      <c r="Q689" s="55"/>
      <c r="R689" s="55"/>
      <c r="S689" s="55"/>
      <c r="T689" s="55"/>
      <c r="U689" s="55"/>
      <c r="V689" s="55"/>
      <c r="W689" s="55"/>
      <c r="X689" s="55"/>
      <c r="Y689" s="55"/>
      <c r="Z689" s="55"/>
      <c r="AA689" s="55"/>
      <c r="AB689" s="55"/>
      <c r="AC689" s="55">
        <v>0</v>
      </c>
      <c r="AD689" s="55">
        <v>0</v>
      </c>
      <c r="AE689" s="55"/>
      <c r="AF689" s="55"/>
      <c r="AG689" s="55"/>
      <c r="AH689" s="55"/>
      <c r="AI689" s="55"/>
      <c r="AJ689" s="55"/>
      <c r="AK689" s="435"/>
      <c r="AL689" s="55"/>
      <c r="AM689" s="55"/>
      <c r="AN689" s="55"/>
      <c r="AO689" s="597"/>
      <c r="AP689" s="55"/>
      <c r="AQ689" s="55"/>
      <c r="AR689" s="55"/>
      <c r="AS689" s="55"/>
      <c r="AT689" s="55"/>
      <c r="AU689" s="435"/>
    </row>
    <row r="690" spans="1:47" ht="15" customHeight="1" x14ac:dyDescent="0.2">
      <c r="A690" s="39">
        <f>acute_overview_children!A290</f>
        <v>4</v>
      </c>
      <c r="B690" s="23">
        <f>acute_overview_children!B290</f>
        <v>820010</v>
      </c>
      <c r="C690" s="23" t="str">
        <f>acute_overview_children!C290</f>
        <v>Allspice/pimento</v>
      </c>
      <c r="D690" s="38">
        <f t="shared" si="92"/>
        <v>4</v>
      </c>
      <c r="E690" s="31"/>
      <c r="F690" s="31"/>
      <c r="G690" s="31"/>
      <c r="H690" s="31"/>
      <c r="I690" s="31"/>
      <c r="J690" s="31"/>
      <c r="K690" s="31"/>
      <c r="L690" s="31"/>
      <c r="M690" s="31"/>
      <c r="N690" s="31">
        <v>0</v>
      </c>
      <c r="O690" s="31">
        <v>0</v>
      </c>
      <c r="P690" s="31"/>
      <c r="Q690" s="31"/>
      <c r="R690" s="31"/>
      <c r="S690" s="31"/>
      <c r="T690" s="31"/>
      <c r="U690" s="31"/>
      <c r="V690" s="31"/>
      <c r="W690" s="31"/>
      <c r="X690" s="31"/>
      <c r="Y690" s="31"/>
      <c r="Z690" s="31"/>
      <c r="AA690" s="31"/>
      <c r="AB690" s="31"/>
      <c r="AC690" s="31">
        <v>0</v>
      </c>
      <c r="AD690" s="31">
        <v>0</v>
      </c>
      <c r="AE690" s="31"/>
      <c r="AF690" s="31"/>
      <c r="AG690" s="31"/>
      <c r="AH690" s="31"/>
      <c r="AI690" s="31"/>
      <c r="AJ690" s="31"/>
      <c r="AK690" s="433"/>
      <c r="AL690" s="31"/>
      <c r="AM690" s="31"/>
      <c r="AN690" s="31"/>
      <c r="AO690" s="592"/>
      <c r="AP690" s="31"/>
      <c r="AQ690" s="31"/>
      <c r="AR690" s="31"/>
      <c r="AS690" s="31"/>
      <c r="AT690" s="31"/>
      <c r="AU690" s="433"/>
    </row>
    <row r="691" spans="1:47" ht="15" customHeight="1" x14ac:dyDescent="0.2">
      <c r="A691" s="39">
        <f>acute_overview_children!A291</f>
        <v>4</v>
      </c>
      <c r="B691" s="23">
        <f>acute_overview_children!B291</f>
        <v>820020</v>
      </c>
      <c r="C691" s="23" t="str">
        <f>acute_overview_children!C291</f>
        <v>Sichuan pepper</v>
      </c>
      <c r="D691" s="38">
        <f t="shared" si="92"/>
        <v>4</v>
      </c>
      <c r="E691" s="31"/>
      <c r="F691" s="31"/>
      <c r="G691" s="31"/>
      <c r="H691" s="31"/>
      <c r="I691" s="31"/>
      <c r="J691" s="31"/>
      <c r="K691" s="31"/>
      <c r="L691" s="31"/>
      <c r="M691" s="31"/>
      <c r="N691" s="31">
        <v>0</v>
      </c>
      <c r="O691" s="31">
        <v>0</v>
      </c>
      <c r="P691" s="31"/>
      <c r="Q691" s="31"/>
      <c r="R691" s="31"/>
      <c r="S691" s="31"/>
      <c r="T691" s="31"/>
      <c r="U691" s="31"/>
      <c r="V691" s="31"/>
      <c r="W691" s="31"/>
      <c r="X691" s="31"/>
      <c r="Y691" s="31"/>
      <c r="Z691" s="31"/>
      <c r="AA691" s="31"/>
      <c r="AB691" s="31"/>
      <c r="AC691" s="31">
        <v>0</v>
      </c>
      <c r="AD691" s="31">
        <v>0</v>
      </c>
      <c r="AE691" s="31"/>
      <c r="AF691" s="31"/>
      <c r="AG691" s="31"/>
      <c r="AH691" s="31"/>
      <c r="AI691" s="31"/>
      <c r="AJ691" s="31"/>
      <c r="AK691" s="433"/>
      <c r="AL691" s="31"/>
      <c r="AM691" s="31"/>
      <c r="AN691" s="31"/>
      <c r="AO691" s="592"/>
      <c r="AP691" s="31"/>
      <c r="AQ691" s="31"/>
      <c r="AR691" s="31"/>
      <c r="AS691" s="31"/>
      <c r="AT691" s="31"/>
      <c r="AU691" s="433"/>
    </row>
    <row r="692" spans="1:47" ht="15" customHeight="1" x14ac:dyDescent="0.2">
      <c r="A692" s="39">
        <f>acute_overview_children!A292</f>
        <v>4</v>
      </c>
      <c r="B692" s="23">
        <f>acute_overview_children!B292</f>
        <v>820030</v>
      </c>
      <c r="C692" s="23" t="str">
        <f>acute_overview_children!C292</f>
        <v xml:space="preserve">Caraway </v>
      </c>
      <c r="D692" s="38">
        <f t="shared" si="92"/>
        <v>4</v>
      </c>
      <c r="E692" s="31"/>
      <c r="F692" s="31"/>
      <c r="G692" s="31"/>
      <c r="H692" s="31"/>
      <c r="I692" s="31"/>
      <c r="J692" s="31"/>
      <c r="K692" s="31"/>
      <c r="L692" s="31"/>
      <c r="M692" s="31"/>
      <c r="N692" s="31">
        <v>0</v>
      </c>
      <c r="O692" s="31">
        <v>0</v>
      </c>
      <c r="P692" s="31"/>
      <c r="Q692" s="31"/>
      <c r="R692" s="31"/>
      <c r="S692" s="31"/>
      <c r="T692" s="31"/>
      <c r="U692" s="31"/>
      <c r="V692" s="31"/>
      <c r="W692" s="31"/>
      <c r="X692" s="31"/>
      <c r="Y692" s="31"/>
      <c r="Z692" s="31"/>
      <c r="AA692" s="31"/>
      <c r="AB692" s="31"/>
      <c r="AC692" s="31">
        <v>0</v>
      </c>
      <c r="AD692" s="31">
        <v>0</v>
      </c>
      <c r="AE692" s="31"/>
      <c r="AF692" s="31"/>
      <c r="AG692" s="31"/>
      <c r="AH692" s="31"/>
      <c r="AI692" s="31"/>
      <c r="AJ692" s="31"/>
      <c r="AK692" s="433"/>
      <c r="AL692" s="31"/>
      <c r="AM692" s="31"/>
      <c r="AN692" s="31"/>
      <c r="AO692" s="592"/>
      <c r="AP692" s="31"/>
      <c r="AQ692" s="31"/>
      <c r="AR692" s="31"/>
      <c r="AS692" s="31"/>
      <c r="AT692" s="31"/>
      <c r="AU692" s="433"/>
    </row>
    <row r="693" spans="1:47" ht="15" customHeight="1" x14ac:dyDescent="0.2">
      <c r="A693" s="39">
        <f>acute_overview_children!A293</f>
        <v>4</v>
      </c>
      <c r="B693" s="23">
        <f>acute_overview_children!B293</f>
        <v>820040</v>
      </c>
      <c r="C693" s="23" t="str">
        <f>acute_overview_children!C293</f>
        <v>Cardamom</v>
      </c>
      <c r="D693" s="38">
        <f t="shared" si="92"/>
        <v>4</v>
      </c>
      <c r="E693" s="31"/>
      <c r="F693" s="31"/>
      <c r="G693" s="31"/>
      <c r="H693" s="31"/>
      <c r="I693" s="31"/>
      <c r="J693" s="31"/>
      <c r="K693" s="31"/>
      <c r="L693" s="31"/>
      <c r="M693" s="31"/>
      <c r="N693" s="31">
        <v>0</v>
      </c>
      <c r="O693" s="31">
        <v>0</v>
      </c>
      <c r="P693" s="31"/>
      <c r="Q693" s="31"/>
      <c r="R693" s="31"/>
      <c r="S693" s="31"/>
      <c r="T693" s="31"/>
      <c r="U693" s="31"/>
      <c r="V693" s="31"/>
      <c r="W693" s="31"/>
      <c r="X693" s="31"/>
      <c r="Y693" s="31"/>
      <c r="Z693" s="31"/>
      <c r="AA693" s="31"/>
      <c r="AB693" s="31"/>
      <c r="AC693" s="31">
        <v>0</v>
      </c>
      <c r="AD693" s="31">
        <v>0</v>
      </c>
      <c r="AE693" s="31"/>
      <c r="AF693" s="31"/>
      <c r="AG693" s="31"/>
      <c r="AH693" s="31"/>
      <c r="AI693" s="31"/>
      <c r="AJ693" s="31"/>
      <c r="AK693" s="433"/>
      <c r="AL693" s="31"/>
      <c r="AM693" s="31"/>
      <c r="AN693" s="31"/>
      <c r="AO693" s="592"/>
      <c r="AP693" s="31"/>
      <c r="AQ693" s="31"/>
      <c r="AR693" s="31"/>
      <c r="AS693" s="31"/>
      <c r="AT693" s="31"/>
      <c r="AU693" s="433"/>
    </row>
    <row r="694" spans="1:47" ht="15" customHeight="1" x14ac:dyDescent="0.2">
      <c r="A694" s="39">
        <f>acute_overview_children!A294</f>
        <v>4</v>
      </c>
      <c r="B694" s="23">
        <f>acute_overview_children!B294</f>
        <v>820050</v>
      </c>
      <c r="C694" s="23" t="str">
        <f>acute_overview_children!C294</f>
        <v>Juniper berry</v>
      </c>
      <c r="D694" s="38">
        <f t="shared" si="92"/>
        <v>4</v>
      </c>
      <c r="E694" s="31"/>
      <c r="F694" s="31"/>
      <c r="G694" s="31"/>
      <c r="H694" s="31"/>
      <c r="I694" s="31"/>
      <c r="J694" s="31"/>
      <c r="K694" s="31"/>
      <c r="L694" s="31"/>
      <c r="M694" s="31"/>
      <c r="N694" s="31">
        <v>0</v>
      </c>
      <c r="O694" s="31">
        <v>0</v>
      </c>
      <c r="P694" s="31"/>
      <c r="Q694" s="31"/>
      <c r="R694" s="31"/>
      <c r="S694" s="31"/>
      <c r="T694" s="31"/>
      <c r="U694" s="31"/>
      <c r="V694" s="31"/>
      <c r="W694" s="31"/>
      <c r="X694" s="31"/>
      <c r="Y694" s="31"/>
      <c r="Z694" s="31"/>
      <c r="AA694" s="31"/>
      <c r="AB694" s="31"/>
      <c r="AC694" s="31">
        <v>0</v>
      </c>
      <c r="AD694" s="31">
        <v>0</v>
      </c>
      <c r="AE694" s="31"/>
      <c r="AF694" s="31"/>
      <c r="AG694" s="31"/>
      <c r="AH694" s="31"/>
      <c r="AI694" s="31"/>
      <c r="AJ694" s="31"/>
      <c r="AK694" s="433"/>
      <c r="AL694" s="31"/>
      <c r="AM694" s="31"/>
      <c r="AN694" s="31"/>
      <c r="AO694" s="592"/>
      <c r="AP694" s="31"/>
      <c r="AQ694" s="31"/>
      <c r="AR694" s="31"/>
      <c r="AS694" s="31"/>
      <c r="AT694" s="31"/>
      <c r="AU694" s="433"/>
    </row>
    <row r="695" spans="1:47" ht="15" customHeight="1" x14ac:dyDescent="0.2">
      <c r="A695" s="39">
        <f>acute_overview_children!A295</f>
        <v>4</v>
      </c>
      <c r="B695" s="23">
        <f>acute_overview_children!B295</f>
        <v>820060</v>
      </c>
      <c r="C695" s="23" t="str">
        <f>acute_overview_children!C295</f>
        <v xml:space="preserve">Peppercorn (black, green and white) </v>
      </c>
      <c r="D695" s="38">
        <f t="shared" si="92"/>
        <v>4</v>
      </c>
      <c r="E695" s="31"/>
      <c r="F695" s="31"/>
      <c r="G695" s="31"/>
      <c r="H695" s="31"/>
      <c r="I695" s="31"/>
      <c r="J695" s="31"/>
      <c r="K695" s="31"/>
      <c r="L695" s="31"/>
      <c r="M695" s="31"/>
      <c r="N695" s="31">
        <v>0</v>
      </c>
      <c r="O695" s="31">
        <v>0</v>
      </c>
      <c r="P695" s="31"/>
      <c r="Q695" s="31"/>
      <c r="R695" s="31"/>
      <c r="S695" s="31"/>
      <c r="T695" s="31"/>
      <c r="U695" s="31"/>
      <c r="V695" s="31"/>
      <c r="W695" s="31"/>
      <c r="X695" s="31"/>
      <c r="Y695" s="31"/>
      <c r="Z695" s="31"/>
      <c r="AA695" s="31"/>
      <c r="AB695" s="31"/>
      <c r="AC695" s="31">
        <v>0</v>
      </c>
      <c r="AD695" s="31">
        <v>0</v>
      </c>
      <c r="AE695" s="31"/>
      <c r="AF695" s="31"/>
      <c r="AG695" s="31"/>
      <c r="AH695" s="31"/>
      <c r="AI695" s="31"/>
      <c r="AJ695" s="31"/>
      <c r="AK695" s="433"/>
      <c r="AL695" s="31"/>
      <c r="AM695" s="31"/>
      <c r="AN695" s="31"/>
      <c r="AO695" s="592"/>
      <c r="AP695" s="31"/>
      <c r="AQ695" s="31"/>
      <c r="AR695" s="31"/>
      <c r="AS695" s="31"/>
      <c r="AT695" s="31"/>
      <c r="AU695" s="433"/>
    </row>
    <row r="696" spans="1:47" ht="15" customHeight="1" x14ac:dyDescent="0.2">
      <c r="A696" s="39">
        <f>acute_overview_children!A296</f>
        <v>4</v>
      </c>
      <c r="B696" s="23">
        <f>acute_overview_children!B296</f>
        <v>820070</v>
      </c>
      <c r="C696" s="23" t="str">
        <f>acute_overview_children!C296</f>
        <v>Vanilla pods</v>
      </c>
      <c r="D696" s="38">
        <f t="shared" si="92"/>
        <v>4</v>
      </c>
      <c r="E696" s="31"/>
      <c r="F696" s="31"/>
      <c r="G696" s="31"/>
      <c r="H696" s="31"/>
      <c r="I696" s="31"/>
      <c r="J696" s="31"/>
      <c r="K696" s="31"/>
      <c r="L696" s="31"/>
      <c r="M696" s="31"/>
      <c r="N696" s="31">
        <v>0</v>
      </c>
      <c r="O696" s="31">
        <v>0</v>
      </c>
      <c r="P696" s="31"/>
      <c r="Q696" s="31"/>
      <c r="R696" s="31"/>
      <c r="S696" s="31"/>
      <c r="T696" s="31"/>
      <c r="U696" s="31"/>
      <c r="V696" s="31"/>
      <c r="W696" s="31"/>
      <c r="X696" s="31"/>
      <c r="Y696" s="31"/>
      <c r="Z696" s="31"/>
      <c r="AA696" s="31"/>
      <c r="AB696" s="31"/>
      <c r="AC696" s="31">
        <v>0</v>
      </c>
      <c r="AD696" s="31">
        <v>0</v>
      </c>
      <c r="AE696" s="31"/>
      <c r="AF696" s="31"/>
      <c r="AG696" s="31"/>
      <c r="AH696" s="31"/>
      <c r="AI696" s="31"/>
      <c r="AJ696" s="31"/>
      <c r="AK696" s="433"/>
      <c r="AL696" s="31"/>
      <c r="AM696" s="31"/>
      <c r="AN696" s="31"/>
      <c r="AO696" s="592"/>
      <c r="AP696" s="31"/>
      <c r="AQ696" s="31"/>
      <c r="AR696" s="31"/>
      <c r="AS696" s="31"/>
      <c r="AT696" s="31"/>
      <c r="AU696" s="433"/>
    </row>
    <row r="697" spans="1:47" ht="15" customHeight="1" x14ac:dyDescent="0.2">
      <c r="A697" s="39">
        <f>acute_overview_children!A297</f>
        <v>4</v>
      </c>
      <c r="B697" s="23">
        <f>acute_overview_children!B297</f>
        <v>820080</v>
      </c>
      <c r="C697" s="23" t="str">
        <f>acute_overview_children!C297</f>
        <v xml:space="preserve">Tamarind </v>
      </c>
      <c r="D697" s="38">
        <f t="shared" si="92"/>
        <v>4</v>
      </c>
      <c r="E697" s="31"/>
      <c r="F697" s="31"/>
      <c r="G697" s="31"/>
      <c r="H697" s="31"/>
      <c r="I697" s="31"/>
      <c r="J697" s="31"/>
      <c r="K697" s="31"/>
      <c r="L697" s="31"/>
      <c r="M697" s="31"/>
      <c r="N697" s="31">
        <v>0</v>
      </c>
      <c r="O697" s="31">
        <v>0</v>
      </c>
      <c r="P697" s="31"/>
      <c r="Q697" s="31"/>
      <c r="R697" s="31"/>
      <c r="S697" s="31"/>
      <c r="T697" s="31"/>
      <c r="U697" s="31"/>
      <c r="V697" s="31"/>
      <c r="W697" s="31"/>
      <c r="X697" s="31"/>
      <c r="Y697" s="31"/>
      <c r="Z697" s="31"/>
      <c r="AA697" s="31"/>
      <c r="AB697" s="31"/>
      <c r="AC697" s="31">
        <v>0</v>
      </c>
      <c r="AD697" s="31">
        <v>0</v>
      </c>
      <c r="AE697" s="31"/>
      <c r="AF697" s="31"/>
      <c r="AG697" s="31"/>
      <c r="AH697" s="31"/>
      <c r="AI697" s="31"/>
      <c r="AJ697" s="31"/>
      <c r="AK697" s="433"/>
      <c r="AL697" s="31"/>
      <c r="AM697" s="31"/>
      <c r="AN697" s="31"/>
      <c r="AO697" s="592"/>
      <c r="AP697" s="31"/>
      <c r="AQ697" s="31"/>
      <c r="AR697" s="31"/>
      <c r="AS697" s="31"/>
      <c r="AT697" s="31"/>
      <c r="AU697" s="433"/>
    </row>
    <row r="698" spans="1:47" ht="15" customHeight="1" x14ac:dyDescent="0.2">
      <c r="A698" s="39">
        <f>acute_overview_children!A298</f>
        <v>4</v>
      </c>
      <c r="B698" s="23">
        <f>acute_overview_children!B298</f>
        <v>820990</v>
      </c>
      <c r="C698" s="23" t="str">
        <f>acute_overview_children!C298</f>
        <v>Other spices (fruits)</v>
      </c>
      <c r="D698" s="38">
        <f t="shared" si="92"/>
        <v>4</v>
      </c>
      <c r="E698" s="31"/>
      <c r="F698" s="31"/>
      <c r="G698" s="31"/>
      <c r="H698" s="31"/>
      <c r="I698" s="31"/>
      <c r="J698" s="31"/>
      <c r="K698" s="31"/>
      <c r="L698" s="31"/>
      <c r="M698" s="31"/>
      <c r="N698" s="31">
        <v>0</v>
      </c>
      <c r="O698" s="31">
        <v>0</v>
      </c>
      <c r="P698" s="31"/>
      <c r="Q698" s="31"/>
      <c r="R698" s="31"/>
      <c r="S698" s="31"/>
      <c r="T698" s="31"/>
      <c r="U698" s="31"/>
      <c r="V698" s="31"/>
      <c r="W698" s="31"/>
      <c r="X698" s="31"/>
      <c r="Y698" s="31"/>
      <c r="Z698" s="31"/>
      <c r="AA698" s="31"/>
      <c r="AB698" s="31"/>
      <c r="AC698" s="31">
        <v>0</v>
      </c>
      <c r="AD698" s="31">
        <v>0</v>
      </c>
      <c r="AE698" s="31"/>
      <c r="AF698" s="31"/>
      <c r="AG698" s="31"/>
      <c r="AH698" s="31"/>
      <c r="AI698" s="31"/>
      <c r="AJ698" s="31"/>
      <c r="AK698" s="433"/>
      <c r="AL698" s="31"/>
      <c r="AM698" s="31"/>
      <c r="AN698" s="31"/>
      <c r="AO698" s="592"/>
      <c r="AP698" s="31"/>
      <c r="AQ698" s="31"/>
      <c r="AR698" s="31"/>
      <c r="AS698" s="31"/>
      <c r="AT698" s="31"/>
      <c r="AU698" s="433"/>
    </row>
    <row r="699" spans="1:47" ht="15" customHeight="1" x14ac:dyDescent="0.2">
      <c r="A699" s="515">
        <f>acute_overview_children!A299</f>
        <v>2</v>
      </c>
      <c r="B699" s="24">
        <f>acute_overview_children!B299</f>
        <v>830000</v>
      </c>
      <c r="C699" s="24" t="str">
        <f>acute_overview_children!C299</f>
        <v>Spices (bark)</v>
      </c>
      <c r="D699" s="38">
        <f t="shared" si="92"/>
        <v>4</v>
      </c>
      <c r="E699" s="55"/>
      <c r="F699" s="55"/>
      <c r="G699" s="55"/>
      <c r="H699" s="55"/>
      <c r="I699" s="55"/>
      <c r="J699" s="55"/>
      <c r="K699" s="55"/>
      <c r="L699" s="55"/>
      <c r="M699" s="55"/>
      <c r="N699" s="55">
        <v>0</v>
      </c>
      <c r="O699" s="55">
        <v>0</v>
      </c>
      <c r="P699" s="55"/>
      <c r="Q699" s="55"/>
      <c r="R699" s="55"/>
      <c r="S699" s="55"/>
      <c r="T699" s="55"/>
      <c r="U699" s="55"/>
      <c r="V699" s="55"/>
      <c r="W699" s="55"/>
      <c r="X699" s="55"/>
      <c r="Y699" s="55"/>
      <c r="Z699" s="55"/>
      <c r="AA699" s="55"/>
      <c r="AB699" s="55"/>
      <c r="AC699" s="55">
        <v>0</v>
      </c>
      <c r="AD699" s="55">
        <v>0</v>
      </c>
      <c r="AE699" s="55"/>
      <c r="AF699" s="55"/>
      <c r="AG699" s="55"/>
      <c r="AH699" s="55"/>
      <c r="AI699" s="55"/>
      <c r="AJ699" s="55"/>
      <c r="AK699" s="435"/>
      <c r="AL699" s="55"/>
      <c r="AM699" s="55"/>
      <c r="AN699" s="55"/>
      <c r="AO699" s="597"/>
      <c r="AP699" s="55"/>
      <c r="AQ699" s="55"/>
      <c r="AR699" s="55"/>
      <c r="AS699" s="55"/>
      <c r="AT699" s="55"/>
      <c r="AU699" s="435"/>
    </row>
    <row r="700" spans="1:47" ht="15" customHeight="1" x14ac:dyDescent="0.2">
      <c r="A700" s="39">
        <f>acute_overview_children!A300</f>
        <v>4</v>
      </c>
      <c r="B700" s="23">
        <f>acute_overview_children!B300</f>
        <v>830010</v>
      </c>
      <c r="C700" s="23" t="str">
        <f>acute_overview_children!C300</f>
        <v>Cinnamon</v>
      </c>
      <c r="D700" s="38">
        <f t="shared" si="92"/>
        <v>4</v>
      </c>
      <c r="E700" s="31"/>
      <c r="F700" s="31"/>
      <c r="G700" s="31"/>
      <c r="H700" s="31"/>
      <c r="I700" s="31"/>
      <c r="J700" s="31"/>
      <c r="K700" s="31"/>
      <c r="L700" s="31"/>
      <c r="M700" s="31"/>
      <c r="N700" s="31">
        <v>0</v>
      </c>
      <c r="O700" s="31">
        <v>0</v>
      </c>
      <c r="P700" s="31"/>
      <c r="Q700" s="31"/>
      <c r="R700" s="31"/>
      <c r="S700" s="31"/>
      <c r="T700" s="31"/>
      <c r="U700" s="31"/>
      <c r="V700" s="31"/>
      <c r="W700" s="31"/>
      <c r="X700" s="31"/>
      <c r="Y700" s="31"/>
      <c r="Z700" s="31"/>
      <c r="AA700" s="31"/>
      <c r="AB700" s="31"/>
      <c r="AC700" s="31">
        <v>0</v>
      </c>
      <c r="AD700" s="31">
        <v>0</v>
      </c>
      <c r="AE700" s="31"/>
      <c r="AF700" s="31"/>
      <c r="AG700" s="31"/>
      <c r="AH700" s="31"/>
      <c r="AI700" s="31"/>
      <c r="AJ700" s="31"/>
      <c r="AK700" s="433"/>
      <c r="AL700" s="31"/>
      <c r="AM700" s="31"/>
      <c r="AN700" s="31"/>
      <c r="AO700" s="592"/>
      <c r="AP700" s="31"/>
      <c r="AQ700" s="31"/>
      <c r="AR700" s="31"/>
      <c r="AS700" s="31"/>
      <c r="AT700" s="31"/>
      <c r="AU700" s="433"/>
    </row>
    <row r="701" spans="1:47" ht="15" customHeight="1" x14ac:dyDescent="0.2">
      <c r="A701" s="39">
        <f>acute_overview_children!A301</f>
        <v>4</v>
      </c>
      <c r="B701" s="23">
        <f>acute_overview_children!B301</f>
        <v>830990</v>
      </c>
      <c r="C701" s="23" t="str">
        <f>acute_overview_children!C301</f>
        <v>Other spices (bark)</v>
      </c>
      <c r="D701" s="38">
        <f t="shared" si="92"/>
        <v>4</v>
      </c>
      <c r="E701" s="31"/>
      <c r="F701" s="31"/>
      <c r="G701" s="31"/>
      <c r="H701" s="31"/>
      <c r="I701" s="31"/>
      <c r="J701" s="31"/>
      <c r="K701" s="31"/>
      <c r="L701" s="31"/>
      <c r="M701" s="31"/>
      <c r="N701" s="31">
        <v>0</v>
      </c>
      <c r="O701" s="31">
        <v>0</v>
      </c>
      <c r="P701" s="31"/>
      <c r="Q701" s="31"/>
      <c r="R701" s="31"/>
      <c r="S701" s="31"/>
      <c r="T701" s="31"/>
      <c r="U701" s="31"/>
      <c r="V701" s="31"/>
      <c r="W701" s="31"/>
      <c r="X701" s="31"/>
      <c r="Y701" s="31"/>
      <c r="Z701" s="31"/>
      <c r="AA701" s="31"/>
      <c r="AB701" s="31"/>
      <c r="AC701" s="31">
        <v>0</v>
      </c>
      <c r="AD701" s="31">
        <v>0</v>
      </c>
      <c r="AE701" s="31"/>
      <c r="AF701" s="31"/>
      <c r="AG701" s="31"/>
      <c r="AH701" s="31"/>
      <c r="AI701" s="31"/>
      <c r="AJ701" s="31"/>
      <c r="AK701" s="433"/>
      <c r="AL701" s="31"/>
      <c r="AM701" s="31"/>
      <c r="AN701" s="31"/>
      <c r="AO701" s="592"/>
      <c r="AP701" s="31"/>
      <c r="AQ701" s="31"/>
      <c r="AR701" s="31"/>
      <c r="AS701" s="31"/>
      <c r="AT701" s="31"/>
      <c r="AU701" s="433"/>
    </row>
    <row r="702" spans="1:47" ht="15" customHeight="1" x14ac:dyDescent="0.2">
      <c r="A702" s="515">
        <f>acute_overview_children!A302</f>
        <v>2</v>
      </c>
      <c r="B702" s="24">
        <f>acute_overview_children!B302</f>
        <v>840000</v>
      </c>
      <c r="C702" s="24" t="str">
        <f>acute_overview_children!C302</f>
        <v>Spices (roots or rhizome)</v>
      </c>
      <c r="D702" s="38">
        <f t="shared" si="92"/>
        <v>4</v>
      </c>
      <c r="E702" s="55"/>
      <c r="F702" s="55"/>
      <c r="G702" s="55"/>
      <c r="H702" s="55"/>
      <c r="I702" s="55"/>
      <c r="J702" s="55"/>
      <c r="K702" s="55"/>
      <c r="L702" s="55"/>
      <c r="M702" s="55"/>
      <c r="N702" s="55">
        <v>0</v>
      </c>
      <c r="O702" s="55">
        <v>0</v>
      </c>
      <c r="P702" s="55"/>
      <c r="Q702" s="55"/>
      <c r="R702" s="55"/>
      <c r="S702" s="55"/>
      <c r="T702" s="55"/>
      <c r="U702" s="55"/>
      <c r="V702" s="55"/>
      <c r="W702" s="55"/>
      <c r="X702" s="55"/>
      <c r="Y702" s="55"/>
      <c r="Z702" s="55"/>
      <c r="AA702" s="55"/>
      <c r="AB702" s="55"/>
      <c r="AC702" s="55">
        <v>0</v>
      </c>
      <c r="AD702" s="55">
        <v>0</v>
      </c>
      <c r="AE702" s="55"/>
      <c r="AF702" s="55"/>
      <c r="AG702" s="55"/>
      <c r="AH702" s="55"/>
      <c r="AI702" s="55"/>
      <c r="AJ702" s="55"/>
      <c r="AK702" s="435"/>
      <c r="AL702" s="55"/>
      <c r="AM702" s="55"/>
      <c r="AN702" s="55"/>
      <c r="AO702" s="597"/>
      <c r="AP702" s="55"/>
      <c r="AQ702" s="55"/>
      <c r="AR702" s="55"/>
      <c r="AS702" s="55"/>
      <c r="AT702" s="55"/>
      <c r="AU702" s="435"/>
    </row>
    <row r="703" spans="1:47" ht="15" customHeight="1" x14ac:dyDescent="0.2">
      <c r="A703" s="39">
        <f>acute_overview_children!A303</f>
        <v>4</v>
      </c>
      <c r="B703" s="23">
        <f>acute_overview_children!B303</f>
        <v>840010</v>
      </c>
      <c r="C703" s="23" t="str">
        <f>acute_overview_children!C303</f>
        <v>Liquorice</v>
      </c>
      <c r="D703" s="38">
        <f t="shared" si="92"/>
        <v>4</v>
      </c>
      <c r="E703" s="31"/>
      <c r="F703" s="31"/>
      <c r="G703" s="31"/>
      <c r="H703" s="31"/>
      <c r="I703" s="31"/>
      <c r="J703" s="31"/>
      <c r="K703" s="31"/>
      <c r="L703" s="31"/>
      <c r="M703" s="31"/>
      <c r="N703" s="31">
        <v>0</v>
      </c>
      <c r="O703" s="31">
        <v>0</v>
      </c>
      <c r="P703" s="31"/>
      <c r="Q703" s="31"/>
      <c r="R703" s="31"/>
      <c r="S703" s="31"/>
      <c r="T703" s="31"/>
      <c r="U703" s="31"/>
      <c r="V703" s="31"/>
      <c r="W703" s="31"/>
      <c r="X703" s="31"/>
      <c r="Y703" s="31"/>
      <c r="Z703" s="31"/>
      <c r="AA703" s="31"/>
      <c r="AB703" s="31"/>
      <c r="AC703" s="31">
        <v>0</v>
      </c>
      <c r="AD703" s="31">
        <v>0</v>
      </c>
      <c r="AE703" s="31"/>
      <c r="AF703" s="31"/>
      <c r="AG703" s="31"/>
      <c r="AH703" s="31"/>
      <c r="AI703" s="31"/>
      <c r="AJ703" s="31"/>
      <c r="AK703" s="433"/>
      <c r="AL703" s="31"/>
      <c r="AM703" s="31"/>
      <c r="AN703" s="31"/>
      <c r="AO703" s="592"/>
      <c r="AP703" s="31"/>
      <c r="AQ703" s="31"/>
      <c r="AR703" s="31"/>
      <c r="AS703" s="31"/>
      <c r="AT703" s="31"/>
      <c r="AU703" s="433"/>
    </row>
    <row r="704" spans="1:47" ht="15" customHeight="1" x14ac:dyDescent="0.2">
      <c r="A704" s="39">
        <f>acute_overview_children!A304</f>
        <v>4</v>
      </c>
      <c r="B704" s="23">
        <f>acute_overview_children!B304</f>
        <v>840020</v>
      </c>
      <c r="C704" s="23" t="str">
        <f>acute_overview_children!C304</f>
        <v xml:space="preserve">Ginger </v>
      </c>
      <c r="D704" s="38">
        <f t="shared" si="92"/>
        <v>4</v>
      </c>
      <c r="E704" s="31"/>
      <c r="F704" s="31"/>
      <c r="G704" s="31"/>
      <c r="H704" s="31"/>
      <c r="I704" s="31"/>
      <c r="J704" s="31"/>
      <c r="K704" s="31"/>
      <c r="L704" s="31"/>
      <c r="M704" s="31"/>
      <c r="N704" s="31">
        <v>0</v>
      </c>
      <c r="O704" s="31">
        <v>0</v>
      </c>
      <c r="P704" s="31"/>
      <c r="Q704" s="31"/>
      <c r="R704" s="31"/>
      <c r="S704" s="31"/>
      <c r="T704" s="31"/>
      <c r="U704" s="31"/>
      <c r="V704" s="31"/>
      <c r="W704" s="31"/>
      <c r="X704" s="31"/>
      <c r="Y704" s="31"/>
      <c r="Z704" s="31"/>
      <c r="AA704" s="31"/>
      <c r="AB704" s="31"/>
      <c r="AC704" s="31">
        <v>0</v>
      </c>
      <c r="AD704" s="31">
        <v>0</v>
      </c>
      <c r="AE704" s="31"/>
      <c r="AF704" s="31"/>
      <c r="AG704" s="31"/>
      <c r="AH704" s="31"/>
      <c r="AI704" s="31"/>
      <c r="AJ704" s="31"/>
      <c r="AK704" s="433"/>
      <c r="AL704" s="31"/>
      <c r="AM704" s="31"/>
      <c r="AN704" s="31"/>
      <c r="AO704" s="592"/>
      <c r="AP704" s="31"/>
      <c r="AQ704" s="31"/>
      <c r="AR704" s="31"/>
      <c r="AS704" s="31"/>
      <c r="AT704" s="31"/>
      <c r="AU704" s="433"/>
    </row>
    <row r="705" spans="1:47" ht="15" customHeight="1" x14ac:dyDescent="0.2">
      <c r="A705" s="39">
        <f>acute_overview_children!A305</f>
        <v>4</v>
      </c>
      <c r="B705" s="23">
        <f>acute_overview_children!B305</f>
        <v>840030</v>
      </c>
      <c r="C705" s="23" t="str">
        <f>acute_overview_children!C305</f>
        <v>Turmeric/curcuma</v>
      </c>
      <c r="D705" s="38">
        <f t="shared" si="92"/>
        <v>4</v>
      </c>
      <c r="E705" s="31"/>
      <c r="F705" s="31"/>
      <c r="G705" s="31"/>
      <c r="H705" s="31"/>
      <c r="I705" s="31"/>
      <c r="J705" s="31"/>
      <c r="K705" s="31"/>
      <c r="L705" s="31"/>
      <c r="M705" s="31"/>
      <c r="N705" s="31">
        <v>0</v>
      </c>
      <c r="O705" s="31">
        <v>0</v>
      </c>
      <c r="P705" s="31"/>
      <c r="Q705" s="31"/>
      <c r="R705" s="31"/>
      <c r="S705" s="31"/>
      <c r="T705" s="31"/>
      <c r="U705" s="31"/>
      <c r="V705" s="31"/>
      <c r="W705" s="31"/>
      <c r="X705" s="31"/>
      <c r="Y705" s="31"/>
      <c r="Z705" s="31"/>
      <c r="AA705" s="31"/>
      <c r="AB705" s="31"/>
      <c r="AC705" s="31">
        <v>0</v>
      </c>
      <c r="AD705" s="31">
        <v>0</v>
      </c>
      <c r="AE705" s="31"/>
      <c r="AF705" s="31"/>
      <c r="AG705" s="31"/>
      <c r="AH705" s="31"/>
      <c r="AI705" s="31"/>
      <c r="AJ705" s="31"/>
      <c r="AK705" s="433"/>
      <c r="AL705" s="31"/>
      <c r="AM705" s="31"/>
      <c r="AN705" s="31"/>
      <c r="AO705" s="592"/>
      <c r="AP705" s="31"/>
      <c r="AQ705" s="31"/>
      <c r="AR705" s="31"/>
      <c r="AS705" s="31"/>
      <c r="AT705" s="31"/>
      <c r="AU705" s="433"/>
    </row>
    <row r="706" spans="1:47" ht="15" customHeight="1" x14ac:dyDescent="0.2">
      <c r="A706" s="39">
        <f>acute_overview_children!A306</f>
        <v>4</v>
      </c>
      <c r="B706" s="23">
        <f>acute_overview_children!B306</f>
        <v>840040</v>
      </c>
      <c r="C706" s="23" t="str">
        <f>acute_overview_children!C306</f>
        <v>Horseradish, root spices</v>
      </c>
      <c r="D706" s="38">
        <f t="shared" si="92"/>
        <v>4</v>
      </c>
      <c r="E706" s="31"/>
      <c r="F706" s="31"/>
      <c r="G706" s="31"/>
      <c r="H706" s="31"/>
      <c r="I706" s="31"/>
      <c r="J706" s="31"/>
      <c r="K706" s="31"/>
      <c r="L706" s="31"/>
      <c r="M706" s="31"/>
      <c r="N706" s="31">
        <v>0</v>
      </c>
      <c r="O706" s="31">
        <v>0</v>
      </c>
      <c r="P706" s="31"/>
      <c r="Q706" s="31"/>
      <c r="R706" s="31"/>
      <c r="S706" s="31"/>
      <c r="T706" s="31"/>
      <c r="U706" s="31"/>
      <c r="V706" s="31"/>
      <c r="W706" s="31"/>
      <c r="X706" s="31"/>
      <c r="Y706" s="31"/>
      <c r="Z706" s="31"/>
      <c r="AA706" s="31"/>
      <c r="AB706" s="31"/>
      <c r="AC706" s="31">
        <v>0</v>
      </c>
      <c r="AD706" s="31">
        <v>0</v>
      </c>
      <c r="AE706" s="31"/>
      <c r="AF706" s="31"/>
      <c r="AG706" s="31"/>
      <c r="AH706" s="31"/>
      <c r="AI706" s="31"/>
      <c r="AJ706" s="31"/>
      <c r="AK706" s="433"/>
      <c r="AL706" s="31"/>
      <c r="AM706" s="31"/>
      <c r="AN706" s="31"/>
      <c r="AO706" s="592"/>
      <c r="AP706" s="31"/>
      <c r="AQ706" s="31"/>
      <c r="AR706" s="31"/>
      <c r="AS706" s="31"/>
      <c r="AT706" s="31"/>
      <c r="AU706" s="433"/>
    </row>
    <row r="707" spans="1:47" ht="15" customHeight="1" x14ac:dyDescent="0.2">
      <c r="A707" s="39">
        <f>acute_overview_children!A307</f>
        <v>4</v>
      </c>
      <c r="B707" s="23">
        <f>acute_overview_children!B307</f>
        <v>840990</v>
      </c>
      <c r="C707" s="23" t="str">
        <f>acute_overview_children!C307</f>
        <v>Other spices (roots)</v>
      </c>
      <c r="D707" s="38">
        <f t="shared" si="92"/>
        <v>4</v>
      </c>
      <c r="E707" s="31"/>
      <c r="F707" s="31"/>
      <c r="G707" s="31"/>
      <c r="H707" s="31"/>
      <c r="I707" s="31"/>
      <c r="J707" s="31"/>
      <c r="K707" s="31"/>
      <c r="L707" s="31"/>
      <c r="M707" s="31"/>
      <c r="N707" s="31">
        <v>0</v>
      </c>
      <c r="O707" s="31">
        <v>0</v>
      </c>
      <c r="P707" s="31"/>
      <c r="Q707" s="31"/>
      <c r="R707" s="31"/>
      <c r="S707" s="31"/>
      <c r="T707" s="31"/>
      <c r="U707" s="31"/>
      <c r="V707" s="31"/>
      <c r="W707" s="31"/>
      <c r="X707" s="31"/>
      <c r="Y707" s="31"/>
      <c r="Z707" s="31"/>
      <c r="AA707" s="31"/>
      <c r="AB707" s="31"/>
      <c r="AC707" s="31">
        <v>0</v>
      </c>
      <c r="AD707" s="31">
        <v>0</v>
      </c>
      <c r="AE707" s="31"/>
      <c r="AF707" s="31"/>
      <c r="AG707" s="31"/>
      <c r="AH707" s="31"/>
      <c r="AI707" s="31"/>
      <c r="AJ707" s="31"/>
      <c r="AK707" s="433"/>
      <c r="AL707" s="31"/>
      <c r="AM707" s="31"/>
      <c r="AN707" s="31"/>
      <c r="AO707" s="592"/>
      <c r="AP707" s="31"/>
      <c r="AQ707" s="31"/>
      <c r="AR707" s="31"/>
      <c r="AS707" s="31"/>
      <c r="AT707" s="31"/>
      <c r="AU707" s="433"/>
    </row>
    <row r="708" spans="1:47" ht="15" customHeight="1" x14ac:dyDescent="0.2">
      <c r="A708" s="515">
        <f>acute_overview_children!A308</f>
        <v>2</v>
      </c>
      <c r="B708" s="24">
        <f>acute_overview_children!B308</f>
        <v>850000</v>
      </c>
      <c r="C708" s="24" t="str">
        <f>acute_overview_children!C308</f>
        <v>Spices (buds)</v>
      </c>
      <c r="D708" s="38">
        <f t="shared" si="92"/>
        <v>4</v>
      </c>
      <c r="E708" s="55"/>
      <c r="F708" s="55"/>
      <c r="G708" s="55"/>
      <c r="H708" s="55"/>
      <c r="I708" s="55"/>
      <c r="J708" s="55"/>
      <c r="K708" s="55"/>
      <c r="L708" s="55"/>
      <c r="M708" s="55"/>
      <c r="N708" s="55">
        <v>0</v>
      </c>
      <c r="O708" s="55">
        <v>0</v>
      </c>
      <c r="P708" s="55"/>
      <c r="Q708" s="55"/>
      <c r="R708" s="55"/>
      <c r="S708" s="55"/>
      <c r="T708" s="55"/>
      <c r="U708" s="55"/>
      <c r="V708" s="55"/>
      <c r="W708" s="55"/>
      <c r="X708" s="55"/>
      <c r="Y708" s="55"/>
      <c r="Z708" s="55"/>
      <c r="AA708" s="55"/>
      <c r="AB708" s="55"/>
      <c r="AC708" s="55">
        <v>0</v>
      </c>
      <c r="AD708" s="55">
        <v>0</v>
      </c>
      <c r="AE708" s="55"/>
      <c r="AF708" s="55"/>
      <c r="AG708" s="55"/>
      <c r="AH708" s="55"/>
      <c r="AI708" s="55"/>
      <c r="AJ708" s="55"/>
      <c r="AK708" s="435"/>
      <c r="AL708" s="55"/>
      <c r="AM708" s="55"/>
      <c r="AN708" s="55"/>
      <c r="AO708" s="597"/>
      <c r="AP708" s="55"/>
      <c r="AQ708" s="55"/>
      <c r="AR708" s="55"/>
      <c r="AS708" s="55"/>
      <c r="AT708" s="55"/>
      <c r="AU708" s="435"/>
    </row>
    <row r="709" spans="1:47" ht="15" customHeight="1" x14ac:dyDescent="0.2">
      <c r="A709" s="39">
        <f>acute_overview_children!A309</f>
        <v>4</v>
      </c>
      <c r="B709" s="23">
        <f>acute_overview_children!B309</f>
        <v>850010</v>
      </c>
      <c r="C709" s="23" t="str">
        <f>acute_overview_children!C309</f>
        <v>Cloves</v>
      </c>
      <c r="D709" s="38">
        <f t="shared" si="92"/>
        <v>4</v>
      </c>
      <c r="E709" s="31"/>
      <c r="F709" s="31"/>
      <c r="G709" s="31"/>
      <c r="H709" s="31"/>
      <c r="I709" s="31"/>
      <c r="J709" s="31"/>
      <c r="K709" s="31"/>
      <c r="L709" s="31"/>
      <c r="M709" s="31"/>
      <c r="N709" s="31">
        <v>0</v>
      </c>
      <c r="O709" s="31">
        <v>0</v>
      </c>
      <c r="P709" s="31"/>
      <c r="Q709" s="31"/>
      <c r="R709" s="31"/>
      <c r="S709" s="31"/>
      <c r="T709" s="31"/>
      <c r="U709" s="31"/>
      <c r="V709" s="31"/>
      <c r="W709" s="31"/>
      <c r="X709" s="31"/>
      <c r="Y709" s="31"/>
      <c r="Z709" s="31"/>
      <c r="AA709" s="31"/>
      <c r="AB709" s="31"/>
      <c r="AC709" s="31">
        <v>0</v>
      </c>
      <c r="AD709" s="31">
        <v>0</v>
      </c>
      <c r="AE709" s="31"/>
      <c r="AF709" s="31"/>
      <c r="AG709" s="31"/>
      <c r="AH709" s="31"/>
      <c r="AI709" s="31"/>
      <c r="AJ709" s="31"/>
      <c r="AK709" s="433"/>
      <c r="AL709" s="31"/>
      <c r="AM709" s="31"/>
      <c r="AN709" s="31"/>
      <c r="AO709" s="592"/>
      <c r="AP709" s="31"/>
      <c r="AQ709" s="31"/>
      <c r="AR709" s="31"/>
      <c r="AS709" s="31"/>
      <c r="AT709" s="31"/>
      <c r="AU709" s="433"/>
    </row>
    <row r="710" spans="1:47" ht="15" customHeight="1" x14ac:dyDescent="0.2">
      <c r="A710" s="39">
        <f>acute_overview_children!A310</f>
        <v>4</v>
      </c>
      <c r="B710" s="23">
        <f>acute_overview_children!B310</f>
        <v>850020</v>
      </c>
      <c r="C710" s="23" t="str">
        <f>acute_overview_children!C310</f>
        <v>Capers</v>
      </c>
      <c r="D710" s="38">
        <f t="shared" si="92"/>
        <v>4</v>
      </c>
      <c r="E710" s="31"/>
      <c r="F710" s="31"/>
      <c r="G710" s="31"/>
      <c r="H710" s="31"/>
      <c r="I710" s="31"/>
      <c r="J710" s="31"/>
      <c r="K710" s="31"/>
      <c r="L710" s="31"/>
      <c r="M710" s="31"/>
      <c r="N710" s="31">
        <v>0</v>
      </c>
      <c r="O710" s="31">
        <v>0</v>
      </c>
      <c r="P710" s="31"/>
      <c r="Q710" s="31"/>
      <c r="R710" s="31"/>
      <c r="S710" s="31"/>
      <c r="T710" s="31"/>
      <c r="U710" s="31"/>
      <c r="V710" s="31"/>
      <c r="W710" s="31"/>
      <c r="X710" s="31"/>
      <c r="Y710" s="31"/>
      <c r="Z710" s="31"/>
      <c r="AA710" s="31"/>
      <c r="AB710" s="31"/>
      <c r="AC710" s="31">
        <v>0</v>
      </c>
      <c r="AD710" s="31">
        <v>0</v>
      </c>
      <c r="AE710" s="31"/>
      <c r="AF710" s="31"/>
      <c r="AG710" s="31"/>
      <c r="AH710" s="31"/>
      <c r="AI710" s="31"/>
      <c r="AJ710" s="31"/>
      <c r="AK710" s="433"/>
      <c r="AL710" s="31"/>
      <c r="AM710" s="31"/>
      <c r="AN710" s="31"/>
      <c r="AO710" s="592"/>
      <c r="AP710" s="31"/>
      <c r="AQ710" s="31"/>
      <c r="AR710" s="31"/>
      <c r="AS710" s="31"/>
      <c r="AT710" s="31"/>
      <c r="AU710" s="433"/>
    </row>
    <row r="711" spans="1:47" ht="15" customHeight="1" x14ac:dyDescent="0.2">
      <c r="A711" s="39">
        <f>acute_overview_children!A311</f>
        <v>4</v>
      </c>
      <c r="B711" s="23">
        <f>acute_overview_children!B311</f>
        <v>850990</v>
      </c>
      <c r="C711" s="23" t="str">
        <f>acute_overview_children!C311</f>
        <v>Other spices (buds)</v>
      </c>
      <c r="D711" s="38">
        <f t="shared" si="92"/>
        <v>4</v>
      </c>
      <c r="E711" s="31"/>
      <c r="F711" s="31"/>
      <c r="G711" s="31"/>
      <c r="H711" s="31"/>
      <c r="I711" s="31"/>
      <c r="J711" s="31"/>
      <c r="K711" s="31"/>
      <c r="L711" s="31"/>
      <c r="M711" s="31"/>
      <c r="N711" s="31">
        <v>0</v>
      </c>
      <c r="O711" s="31">
        <v>0</v>
      </c>
      <c r="P711" s="31"/>
      <c r="Q711" s="31"/>
      <c r="R711" s="31"/>
      <c r="S711" s="31"/>
      <c r="T711" s="31"/>
      <c r="U711" s="31"/>
      <c r="V711" s="31"/>
      <c r="W711" s="31"/>
      <c r="X711" s="31"/>
      <c r="Y711" s="31"/>
      <c r="Z711" s="31"/>
      <c r="AA711" s="31"/>
      <c r="AB711" s="31"/>
      <c r="AC711" s="31">
        <v>0</v>
      </c>
      <c r="AD711" s="31">
        <v>0</v>
      </c>
      <c r="AE711" s="31"/>
      <c r="AF711" s="31"/>
      <c r="AG711" s="31"/>
      <c r="AH711" s="31"/>
      <c r="AI711" s="31"/>
      <c r="AJ711" s="31"/>
      <c r="AK711" s="433"/>
      <c r="AL711" s="31"/>
      <c r="AM711" s="31"/>
      <c r="AN711" s="31"/>
      <c r="AO711" s="592"/>
      <c r="AP711" s="31"/>
      <c r="AQ711" s="31"/>
      <c r="AR711" s="31"/>
      <c r="AS711" s="31"/>
      <c r="AT711" s="31"/>
      <c r="AU711" s="433"/>
    </row>
    <row r="712" spans="1:47" ht="15" customHeight="1" x14ac:dyDescent="0.2">
      <c r="A712" s="515">
        <f>acute_overview_children!A312</f>
        <v>2</v>
      </c>
      <c r="B712" s="24">
        <f>acute_overview_children!B312</f>
        <v>860000</v>
      </c>
      <c r="C712" s="24" t="str">
        <f>acute_overview_children!C312</f>
        <v>Spices (flower stigma)</v>
      </c>
      <c r="D712" s="38">
        <f t="shared" si="92"/>
        <v>4</v>
      </c>
      <c r="E712" s="55"/>
      <c r="F712" s="55"/>
      <c r="G712" s="55"/>
      <c r="H712" s="55"/>
      <c r="I712" s="55"/>
      <c r="J712" s="55"/>
      <c r="K712" s="55"/>
      <c r="L712" s="55"/>
      <c r="M712" s="55"/>
      <c r="N712" s="55">
        <v>0</v>
      </c>
      <c r="O712" s="55">
        <v>0</v>
      </c>
      <c r="P712" s="55"/>
      <c r="Q712" s="55"/>
      <c r="R712" s="55"/>
      <c r="S712" s="55"/>
      <c r="T712" s="55"/>
      <c r="U712" s="55"/>
      <c r="V712" s="55"/>
      <c r="W712" s="55"/>
      <c r="X712" s="55"/>
      <c r="Y712" s="55"/>
      <c r="Z712" s="55"/>
      <c r="AA712" s="55"/>
      <c r="AB712" s="55"/>
      <c r="AC712" s="55">
        <v>0</v>
      </c>
      <c r="AD712" s="55">
        <v>0</v>
      </c>
      <c r="AE712" s="55"/>
      <c r="AF712" s="55"/>
      <c r="AG712" s="55"/>
      <c r="AH712" s="55"/>
      <c r="AI712" s="55"/>
      <c r="AJ712" s="55"/>
      <c r="AK712" s="435"/>
      <c r="AL712" s="55"/>
      <c r="AM712" s="55"/>
      <c r="AN712" s="55"/>
      <c r="AO712" s="597"/>
      <c r="AP712" s="55"/>
      <c r="AQ712" s="55"/>
      <c r="AR712" s="55"/>
      <c r="AS712" s="55"/>
      <c r="AT712" s="55"/>
      <c r="AU712" s="435"/>
    </row>
    <row r="713" spans="1:47" ht="15" customHeight="1" x14ac:dyDescent="0.2">
      <c r="A713" s="39">
        <f>acute_overview_children!A313</f>
        <v>4</v>
      </c>
      <c r="B713" s="23">
        <f>acute_overview_children!B313</f>
        <v>860010</v>
      </c>
      <c r="C713" s="23" t="str">
        <f>acute_overview_children!C313</f>
        <v xml:space="preserve">Saffron </v>
      </c>
      <c r="D713" s="38">
        <f t="shared" si="92"/>
        <v>4</v>
      </c>
      <c r="E713" s="31"/>
      <c r="F713" s="31"/>
      <c r="G713" s="31"/>
      <c r="H713" s="31"/>
      <c r="I713" s="31"/>
      <c r="J713" s="31"/>
      <c r="K713" s="31"/>
      <c r="L713" s="31"/>
      <c r="M713" s="31"/>
      <c r="N713" s="31">
        <v>0</v>
      </c>
      <c r="O713" s="31">
        <v>0</v>
      </c>
      <c r="P713" s="31"/>
      <c r="Q713" s="31"/>
      <c r="R713" s="31"/>
      <c r="S713" s="31"/>
      <c r="T713" s="31"/>
      <c r="U713" s="31"/>
      <c r="V713" s="31"/>
      <c r="W713" s="31"/>
      <c r="X713" s="31"/>
      <c r="Y713" s="31"/>
      <c r="Z713" s="31"/>
      <c r="AA713" s="31"/>
      <c r="AB713" s="31"/>
      <c r="AC713" s="31">
        <v>0</v>
      </c>
      <c r="AD713" s="31">
        <v>0</v>
      </c>
      <c r="AE713" s="31"/>
      <c r="AF713" s="31"/>
      <c r="AG713" s="31"/>
      <c r="AH713" s="31"/>
      <c r="AI713" s="31"/>
      <c r="AJ713" s="31"/>
      <c r="AK713" s="433"/>
      <c r="AL713" s="31"/>
      <c r="AM713" s="31"/>
      <c r="AN713" s="31"/>
      <c r="AO713" s="592"/>
      <c r="AP713" s="31"/>
      <c r="AQ713" s="31"/>
      <c r="AR713" s="31"/>
      <c r="AS713" s="31"/>
      <c r="AT713" s="31"/>
      <c r="AU713" s="433"/>
    </row>
    <row r="714" spans="1:47" ht="15" customHeight="1" x14ac:dyDescent="0.2">
      <c r="A714" s="39">
        <f>acute_overview_children!A314</f>
        <v>4</v>
      </c>
      <c r="B714" s="23">
        <f>acute_overview_children!B314</f>
        <v>860990</v>
      </c>
      <c r="C714" s="23" t="str">
        <f>acute_overview_children!C314</f>
        <v>Other spices (flower stigma)</v>
      </c>
      <c r="D714" s="38">
        <f t="shared" si="92"/>
        <v>4</v>
      </c>
      <c r="E714" s="31"/>
      <c r="F714" s="31"/>
      <c r="G714" s="31"/>
      <c r="H714" s="31"/>
      <c r="I714" s="31"/>
      <c r="J714" s="31"/>
      <c r="K714" s="31"/>
      <c r="L714" s="31"/>
      <c r="M714" s="31"/>
      <c r="N714" s="31">
        <v>0</v>
      </c>
      <c r="O714" s="31">
        <v>0</v>
      </c>
      <c r="P714" s="31"/>
      <c r="Q714" s="31"/>
      <c r="R714" s="31"/>
      <c r="S714" s="31"/>
      <c r="T714" s="31"/>
      <c r="U714" s="31"/>
      <c r="V714" s="31"/>
      <c r="W714" s="31"/>
      <c r="X714" s="31"/>
      <c r="Y714" s="31"/>
      <c r="Z714" s="31"/>
      <c r="AA714" s="31"/>
      <c r="AB714" s="31"/>
      <c r="AC714" s="31">
        <v>0</v>
      </c>
      <c r="AD714" s="31">
        <v>0</v>
      </c>
      <c r="AE714" s="31"/>
      <c r="AF714" s="31"/>
      <c r="AG714" s="31"/>
      <c r="AH714" s="31"/>
      <c r="AI714" s="31"/>
      <c r="AJ714" s="31"/>
      <c r="AK714" s="433"/>
      <c r="AL714" s="31"/>
      <c r="AM714" s="31"/>
      <c r="AN714" s="31"/>
      <c r="AO714" s="592"/>
      <c r="AP714" s="31"/>
      <c r="AQ714" s="31"/>
      <c r="AR714" s="31"/>
      <c r="AS714" s="31"/>
      <c r="AT714" s="31"/>
      <c r="AU714" s="433"/>
    </row>
    <row r="715" spans="1:47" ht="15" customHeight="1" x14ac:dyDescent="0.2">
      <c r="A715" s="515">
        <f>acute_overview_children!A315</f>
        <v>2</v>
      </c>
      <c r="B715" s="24">
        <f>acute_overview_children!B315</f>
        <v>870000</v>
      </c>
      <c r="C715" s="24" t="str">
        <f>acute_overview_children!C315</f>
        <v>Spices (aril)</v>
      </c>
      <c r="D715" s="38">
        <f t="shared" si="92"/>
        <v>4</v>
      </c>
      <c r="E715" s="55"/>
      <c r="F715" s="55"/>
      <c r="G715" s="55"/>
      <c r="H715" s="55"/>
      <c r="I715" s="55"/>
      <c r="J715" s="55"/>
      <c r="K715" s="55"/>
      <c r="L715" s="55"/>
      <c r="M715" s="55"/>
      <c r="N715" s="55">
        <v>0</v>
      </c>
      <c r="O715" s="55">
        <v>0</v>
      </c>
      <c r="P715" s="55"/>
      <c r="Q715" s="55"/>
      <c r="R715" s="55"/>
      <c r="S715" s="55"/>
      <c r="T715" s="55"/>
      <c r="U715" s="55"/>
      <c r="V715" s="55"/>
      <c r="W715" s="55"/>
      <c r="X715" s="55"/>
      <c r="Y715" s="55"/>
      <c r="Z715" s="55"/>
      <c r="AA715" s="55"/>
      <c r="AB715" s="55"/>
      <c r="AC715" s="55">
        <v>0</v>
      </c>
      <c r="AD715" s="55">
        <v>0</v>
      </c>
      <c r="AE715" s="55"/>
      <c r="AF715" s="55"/>
      <c r="AG715" s="55"/>
      <c r="AH715" s="55"/>
      <c r="AI715" s="55"/>
      <c r="AJ715" s="55"/>
      <c r="AK715" s="435"/>
      <c r="AL715" s="55"/>
      <c r="AM715" s="55"/>
      <c r="AN715" s="55"/>
      <c r="AO715" s="597"/>
      <c r="AP715" s="55"/>
      <c r="AQ715" s="55"/>
      <c r="AR715" s="55"/>
      <c r="AS715" s="55"/>
      <c r="AT715" s="55"/>
      <c r="AU715" s="435"/>
    </row>
    <row r="716" spans="1:47" ht="15" customHeight="1" x14ac:dyDescent="0.2">
      <c r="A716" s="39">
        <f>acute_overview_children!A316</f>
        <v>4</v>
      </c>
      <c r="B716" s="23">
        <f>acute_overview_children!B316</f>
        <v>870010</v>
      </c>
      <c r="C716" s="23" t="str">
        <f>acute_overview_children!C316</f>
        <v>Mace</v>
      </c>
      <c r="D716" s="38">
        <f t="shared" si="92"/>
        <v>4</v>
      </c>
      <c r="E716" s="31"/>
      <c r="F716" s="31"/>
      <c r="G716" s="31"/>
      <c r="H716" s="31"/>
      <c r="I716" s="31"/>
      <c r="J716" s="31"/>
      <c r="K716" s="31"/>
      <c r="L716" s="31"/>
      <c r="M716" s="31"/>
      <c r="N716" s="31">
        <v>0</v>
      </c>
      <c r="O716" s="31">
        <v>0</v>
      </c>
      <c r="P716" s="31"/>
      <c r="Q716" s="31"/>
      <c r="R716" s="31"/>
      <c r="S716" s="31"/>
      <c r="T716" s="31"/>
      <c r="U716" s="31"/>
      <c r="V716" s="31"/>
      <c r="W716" s="31"/>
      <c r="X716" s="31"/>
      <c r="Y716" s="31"/>
      <c r="Z716" s="31"/>
      <c r="AA716" s="31"/>
      <c r="AB716" s="31"/>
      <c r="AC716" s="31">
        <v>0</v>
      </c>
      <c r="AD716" s="31">
        <v>0</v>
      </c>
      <c r="AE716" s="31"/>
      <c r="AF716" s="31"/>
      <c r="AG716" s="31"/>
      <c r="AH716" s="31"/>
      <c r="AI716" s="31"/>
      <c r="AJ716" s="31"/>
      <c r="AK716" s="433"/>
      <c r="AL716" s="31"/>
      <c r="AM716" s="31"/>
      <c r="AN716" s="31"/>
      <c r="AO716" s="592"/>
      <c r="AP716" s="31"/>
      <c r="AQ716" s="31"/>
      <c r="AR716" s="31"/>
      <c r="AS716" s="31"/>
      <c r="AT716" s="31"/>
      <c r="AU716" s="433"/>
    </row>
    <row r="717" spans="1:47" ht="15" customHeight="1" x14ac:dyDescent="0.2">
      <c r="A717" s="39">
        <f>acute_overview_children!A317</f>
        <v>4</v>
      </c>
      <c r="B717" s="23">
        <f>acute_overview_children!B317</f>
        <v>870990</v>
      </c>
      <c r="C717" s="23" t="str">
        <f>acute_overview_children!C317</f>
        <v>Other spices (aril)</v>
      </c>
      <c r="D717" s="38">
        <f t="shared" si="92"/>
        <v>4</v>
      </c>
      <c r="E717" s="31"/>
      <c r="F717" s="31"/>
      <c r="G717" s="31"/>
      <c r="H717" s="31"/>
      <c r="I717" s="31"/>
      <c r="J717" s="31"/>
      <c r="K717" s="31"/>
      <c r="L717" s="31"/>
      <c r="M717" s="31"/>
      <c r="N717" s="31">
        <v>0</v>
      </c>
      <c r="O717" s="31">
        <v>0</v>
      </c>
      <c r="P717" s="31"/>
      <c r="Q717" s="31"/>
      <c r="R717" s="31"/>
      <c r="S717" s="31"/>
      <c r="T717" s="31"/>
      <c r="U717" s="31"/>
      <c r="V717" s="31"/>
      <c r="W717" s="31"/>
      <c r="X717" s="31"/>
      <c r="Y717" s="31"/>
      <c r="Z717" s="31"/>
      <c r="AA717" s="31"/>
      <c r="AB717" s="31"/>
      <c r="AC717" s="31">
        <v>0</v>
      </c>
      <c r="AD717" s="31">
        <v>0</v>
      </c>
      <c r="AE717" s="31"/>
      <c r="AF717" s="31"/>
      <c r="AG717" s="31"/>
      <c r="AH717" s="31"/>
      <c r="AI717" s="31"/>
      <c r="AJ717" s="31"/>
      <c r="AK717" s="433"/>
      <c r="AL717" s="31"/>
      <c r="AM717" s="31"/>
      <c r="AN717" s="31"/>
      <c r="AO717" s="592"/>
      <c r="AP717" s="31"/>
      <c r="AQ717" s="31"/>
      <c r="AR717" s="31"/>
      <c r="AS717" s="31"/>
      <c r="AT717" s="31"/>
      <c r="AU717" s="433"/>
    </row>
    <row r="718" spans="1:47" ht="15" customHeight="1" x14ac:dyDescent="0.2">
      <c r="A718" s="514">
        <f>acute_overview_children!A318</f>
        <v>1</v>
      </c>
      <c r="B718" s="2">
        <f>acute_overview_children!B318</f>
        <v>900000</v>
      </c>
      <c r="C718" s="2" t="str">
        <f>acute_overview_children!C318</f>
        <v>SUGAR PLANTS</v>
      </c>
      <c r="D718" s="38">
        <f t="shared" si="92"/>
        <v>4</v>
      </c>
      <c r="E718" s="54"/>
      <c r="F718" s="54"/>
      <c r="G718" s="54"/>
      <c r="H718" s="54"/>
      <c r="I718" s="54"/>
      <c r="J718" s="54"/>
      <c r="K718" s="54"/>
      <c r="L718" s="54"/>
      <c r="M718" s="54"/>
      <c r="N718" s="54">
        <v>0</v>
      </c>
      <c r="O718" s="54">
        <v>0</v>
      </c>
      <c r="P718" s="54"/>
      <c r="Q718" s="54"/>
      <c r="R718" s="54"/>
      <c r="S718" s="54"/>
      <c r="T718" s="54"/>
      <c r="U718" s="54"/>
      <c r="V718" s="54"/>
      <c r="W718" s="54"/>
      <c r="X718" s="54"/>
      <c r="Y718" s="54"/>
      <c r="Z718" s="54"/>
      <c r="AA718" s="54"/>
      <c r="AB718" s="54"/>
      <c r="AC718" s="54">
        <v>0</v>
      </c>
      <c r="AD718" s="54">
        <v>0</v>
      </c>
      <c r="AE718" s="54"/>
      <c r="AF718" s="54"/>
      <c r="AG718" s="54"/>
      <c r="AH718" s="54"/>
      <c r="AI718" s="54"/>
      <c r="AJ718" s="54"/>
      <c r="AK718" s="434"/>
      <c r="AL718" s="54"/>
      <c r="AM718" s="54"/>
      <c r="AN718" s="54"/>
      <c r="AO718" s="598"/>
      <c r="AP718" s="54"/>
      <c r="AQ718" s="54"/>
      <c r="AR718" s="54"/>
      <c r="AS718" s="54"/>
      <c r="AT718" s="54"/>
      <c r="AU718" s="434"/>
    </row>
    <row r="719" spans="1:47" ht="15" customHeight="1" x14ac:dyDescent="0.2">
      <c r="A719" s="39">
        <f>acute_overview_children!A319</f>
        <v>4</v>
      </c>
      <c r="B719" s="23">
        <f>acute_overview_children!B319</f>
        <v>900010</v>
      </c>
      <c r="C719" s="23" t="str">
        <f>acute_overview_children!C319</f>
        <v>Sugar beet roots</v>
      </c>
      <c r="D719" s="38">
        <f t="shared" si="92"/>
        <v>4</v>
      </c>
      <c r="E719" s="31"/>
      <c r="F719" s="31"/>
      <c r="G719" s="31"/>
      <c r="H719" s="31"/>
      <c r="I719" s="31"/>
      <c r="J719" s="31"/>
      <c r="K719" s="31"/>
      <c r="L719" s="31"/>
      <c r="M719" s="31"/>
      <c r="N719" s="31">
        <v>4.2043478260869564E-2</v>
      </c>
      <c r="O719" s="31">
        <v>0.11711594202898551</v>
      </c>
      <c r="P719" s="31"/>
      <c r="Q719" s="31"/>
      <c r="R719" s="31"/>
      <c r="S719" s="31"/>
      <c r="T719" s="31"/>
      <c r="U719" s="31"/>
      <c r="V719" s="31"/>
      <c r="W719" s="31"/>
      <c r="X719" s="31"/>
      <c r="Y719" s="31"/>
      <c r="Z719" s="31"/>
      <c r="AA719" s="31"/>
      <c r="AB719" s="31"/>
      <c r="AC719" s="31">
        <v>0.15356521739130435</v>
      </c>
      <c r="AD719" s="31">
        <v>0.11536231884057971</v>
      </c>
      <c r="AE719" s="31"/>
      <c r="AF719" s="31"/>
      <c r="AG719" s="31"/>
      <c r="AH719" s="31"/>
      <c r="AI719" s="31"/>
      <c r="AJ719" s="31"/>
      <c r="AK719" s="433"/>
      <c r="AL719" s="31"/>
      <c r="AM719" s="31"/>
      <c r="AN719" s="31"/>
      <c r="AO719" s="592"/>
      <c r="AP719" s="31"/>
      <c r="AQ719" s="31"/>
      <c r="AR719" s="31"/>
      <c r="AS719" s="31"/>
      <c r="AT719" s="31"/>
      <c r="AU719" s="433"/>
    </row>
    <row r="720" spans="1:47" ht="15" customHeight="1" x14ac:dyDescent="0.2">
      <c r="A720" s="39">
        <f>acute_overview_children!A320</f>
        <v>4</v>
      </c>
      <c r="B720" s="23">
        <f>acute_overview_children!B320</f>
        <v>900020</v>
      </c>
      <c r="C720" s="23" t="str">
        <f>acute_overview_children!C320</f>
        <v>Sugar canes</v>
      </c>
      <c r="D720" s="38">
        <f t="shared" si="92"/>
        <v>4</v>
      </c>
      <c r="E720" s="31"/>
      <c r="F720" s="31"/>
      <c r="G720" s="31"/>
      <c r="H720" s="31"/>
      <c r="I720" s="31"/>
      <c r="J720" s="31"/>
      <c r="K720" s="31"/>
      <c r="L720" s="31"/>
      <c r="M720" s="31"/>
      <c r="N720" s="31">
        <v>0</v>
      </c>
      <c r="O720" s="31">
        <v>0</v>
      </c>
      <c r="P720" s="31"/>
      <c r="Q720" s="31"/>
      <c r="R720" s="31"/>
      <c r="S720" s="31"/>
      <c r="T720" s="31"/>
      <c r="U720" s="31"/>
      <c r="V720" s="31"/>
      <c r="W720" s="31"/>
      <c r="X720" s="31"/>
      <c r="Y720" s="31"/>
      <c r="Z720" s="31"/>
      <c r="AA720" s="31"/>
      <c r="AB720" s="31"/>
      <c r="AC720" s="31">
        <v>0</v>
      </c>
      <c r="AD720" s="31">
        <v>0</v>
      </c>
      <c r="AE720" s="31"/>
      <c r="AF720" s="31"/>
      <c r="AG720" s="31"/>
      <c r="AH720" s="31"/>
      <c r="AI720" s="31"/>
      <c r="AJ720" s="31"/>
      <c r="AK720" s="433"/>
      <c r="AL720" s="31"/>
      <c r="AM720" s="31"/>
      <c r="AN720" s="31"/>
      <c r="AO720" s="592"/>
      <c r="AP720" s="31"/>
      <c r="AQ720" s="31"/>
      <c r="AR720" s="31"/>
      <c r="AS720" s="31"/>
      <c r="AT720" s="31"/>
      <c r="AU720" s="433"/>
    </row>
    <row r="721" spans="1:47" ht="15" customHeight="1" x14ac:dyDescent="0.2">
      <c r="A721" s="39">
        <f>acute_overview_children!A321</f>
        <v>4</v>
      </c>
      <c r="B721" s="23">
        <f>acute_overview_children!B321</f>
        <v>900030</v>
      </c>
      <c r="C721" s="23" t="str">
        <f>acute_overview_children!C321</f>
        <v>Chicory roots</v>
      </c>
      <c r="D721" s="38">
        <f t="shared" si="92"/>
        <v>4</v>
      </c>
      <c r="E721" s="31"/>
      <c r="F721" s="31"/>
      <c r="G721" s="31"/>
      <c r="H721" s="31"/>
      <c r="I721" s="31"/>
      <c r="J721" s="31"/>
      <c r="K721" s="31"/>
      <c r="L721" s="31"/>
      <c r="M721" s="31"/>
      <c r="N721" s="31">
        <v>0</v>
      </c>
      <c r="O721" s="31">
        <v>0</v>
      </c>
      <c r="P721" s="31"/>
      <c r="Q721" s="31"/>
      <c r="R721" s="31"/>
      <c r="S721" s="31"/>
      <c r="T721" s="31"/>
      <c r="U721" s="31"/>
      <c r="V721" s="31"/>
      <c r="W721" s="31"/>
      <c r="X721" s="31"/>
      <c r="Y721" s="31"/>
      <c r="Z721" s="31"/>
      <c r="AA721" s="31"/>
      <c r="AB721" s="31"/>
      <c r="AC721" s="31">
        <v>0</v>
      </c>
      <c r="AD721" s="31">
        <v>0</v>
      </c>
      <c r="AE721" s="31"/>
      <c r="AF721" s="31"/>
      <c r="AG721" s="31"/>
      <c r="AH721" s="31"/>
      <c r="AI721" s="31"/>
      <c r="AJ721" s="31"/>
      <c r="AK721" s="433"/>
      <c r="AL721" s="31"/>
      <c r="AM721" s="31"/>
      <c r="AN721" s="31"/>
      <c r="AO721" s="592"/>
      <c r="AP721" s="31"/>
      <c r="AQ721" s="31"/>
      <c r="AR721" s="31"/>
      <c r="AS721" s="31"/>
      <c r="AT721" s="31"/>
      <c r="AU721" s="433"/>
    </row>
    <row r="722" spans="1:47" ht="15" customHeight="1" x14ac:dyDescent="0.2">
      <c r="A722" s="39">
        <f>acute_overview_children!A322</f>
        <v>4</v>
      </c>
      <c r="B722" s="23">
        <f>acute_overview_children!B322</f>
        <v>900990</v>
      </c>
      <c r="C722" s="23" t="str">
        <f>acute_overview_children!C322</f>
        <v>Other sugar plants</v>
      </c>
      <c r="D722" s="38">
        <f t="shared" si="92"/>
        <v>4</v>
      </c>
      <c r="E722" s="31"/>
      <c r="F722" s="31"/>
      <c r="G722" s="31"/>
      <c r="H722" s="31"/>
      <c r="I722" s="31"/>
      <c r="J722" s="31"/>
      <c r="K722" s="31"/>
      <c r="L722" s="31"/>
      <c r="M722" s="31"/>
      <c r="N722" s="31">
        <v>0</v>
      </c>
      <c r="O722" s="31">
        <v>0</v>
      </c>
      <c r="P722" s="31"/>
      <c r="Q722" s="31"/>
      <c r="R722" s="31"/>
      <c r="S722" s="31"/>
      <c r="T722" s="31"/>
      <c r="U722" s="31"/>
      <c r="V722" s="31"/>
      <c r="W722" s="31"/>
      <c r="X722" s="31"/>
      <c r="Y722" s="31"/>
      <c r="Z722" s="31"/>
      <c r="AA722" s="31"/>
      <c r="AB722" s="31"/>
      <c r="AC722" s="31">
        <v>0</v>
      </c>
      <c r="AD722" s="31">
        <v>0</v>
      </c>
      <c r="AE722" s="31"/>
      <c r="AF722" s="31"/>
      <c r="AG722" s="31"/>
      <c r="AH722" s="31"/>
      <c r="AI722" s="31"/>
      <c r="AJ722" s="31"/>
      <c r="AK722" s="433"/>
      <c r="AL722" s="31"/>
      <c r="AM722" s="31"/>
      <c r="AN722" s="31"/>
      <c r="AO722" s="592"/>
      <c r="AP722" s="31"/>
      <c r="AQ722" s="31"/>
      <c r="AR722" s="31"/>
      <c r="AS722" s="31"/>
      <c r="AT722" s="31"/>
      <c r="AU722" s="433"/>
    </row>
    <row r="723" spans="1:47" ht="15" customHeight="1" x14ac:dyDescent="0.2">
      <c r="A723" s="514">
        <f>acute_overview_children!A323</f>
        <v>1</v>
      </c>
      <c r="B723" s="2">
        <f>acute_overview_children!B323</f>
        <v>1000000</v>
      </c>
      <c r="C723" s="2" t="str">
        <f>acute_overview_children!C323</f>
        <v>PRODUCTS OF ANIMAL ORIGIN
-TERRESTRIAL ANIMALS</v>
      </c>
      <c r="D723" s="38">
        <f t="shared" si="92"/>
        <v>4</v>
      </c>
      <c r="E723" s="54"/>
      <c r="F723" s="54"/>
      <c r="G723" s="54"/>
      <c r="H723" s="54"/>
      <c r="I723" s="54"/>
      <c r="J723" s="54"/>
      <c r="K723" s="54"/>
      <c r="L723" s="54"/>
      <c r="M723" s="54"/>
      <c r="N723" s="54">
        <v>0</v>
      </c>
      <c r="O723" s="54">
        <v>0</v>
      </c>
      <c r="P723" s="54"/>
      <c r="Q723" s="54"/>
      <c r="R723" s="54"/>
      <c r="S723" s="54"/>
      <c r="T723" s="54"/>
      <c r="U723" s="54"/>
      <c r="V723" s="54"/>
      <c r="W723" s="54"/>
      <c r="X723" s="54"/>
      <c r="Y723" s="54"/>
      <c r="Z723" s="54"/>
      <c r="AA723" s="54"/>
      <c r="AB723" s="54"/>
      <c r="AC723" s="54">
        <v>0</v>
      </c>
      <c r="AD723" s="54">
        <v>0</v>
      </c>
      <c r="AE723" s="54"/>
      <c r="AF723" s="54"/>
      <c r="AG723" s="54"/>
      <c r="AH723" s="54"/>
      <c r="AI723" s="54"/>
      <c r="AJ723" s="54"/>
      <c r="AK723" s="434"/>
      <c r="AL723" s="54"/>
      <c r="AM723" s="54"/>
      <c r="AN723" s="54"/>
      <c r="AO723" s="598"/>
      <c r="AP723" s="54"/>
      <c r="AQ723" s="54"/>
      <c r="AR723" s="54"/>
      <c r="AS723" s="54"/>
      <c r="AT723" s="54"/>
      <c r="AU723" s="434"/>
    </row>
    <row r="724" spans="1:47" ht="15" customHeight="1" x14ac:dyDescent="0.2">
      <c r="A724" s="515">
        <f>acute_overview_children!A324</f>
        <v>2</v>
      </c>
      <c r="B724" s="24">
        <f>acute_overview_children!B324</f>
        <v>1010000</v>
      </c>
      <c r="C724" s="24" t="str">
        <f>acute_overview_children!C324</f>
        <v>Tissue</v>
      </c>
      <c r="D724" s="38">
        <f t="shared" si="92"/>
        <v>4</v>
      </c>
      <c r="E724" s="55"/>
      <c r="F724" s="55"/>
      <c r="G724" s="55"/>
      <c r="H724" s="55"/>
      <c r="I724" s="55"/>
      <c r="J724" s="55"/>
      <c r="K724" s="55"/>
      <c r="L724" s="55"/>
      <c r="M724" s="55"/>
      <c r="N724" s="55">
        <v>5.3563218390804606</v>
      </c>
      <c r="O724" s="55">
        <v>5.4726027397260282</v>
      </c>
      <c r="P724" s="55"/>
      <c r="Q724" s="55"/>
      <c r="R724" s="55"/>
      <c r="S724" s="55"/>
      <c r="T724" s="55"/>
      <c r="U724" s="55"/>
      <c r="V724" s="55"/>
      <c r="W724" s="55"/>
      <c r="X724" s="55"/>
      <c r="Y724" s="55"/>
      <c r="Z724" s="55"/>
      <c r="AA724" s="55"/>
      <c r="AB724" s="55"/>
      <c r="AC724" s="55">
        <v>2.8644736842105263</v>
      </c>
      <c r="AD724" s="55">
        <v>1.1454272863568216</v>
      </c>
      <c r="AE724" s="55"/>
      <c r="AF724" s="55"/>
      <c r="AG724" s="55"/>
      <c r="AH724" s="55"/>
      <c r="AI724" s="55"/>
      <c r="AJ724" s="55"/>
      <c r="AK724" s="435"/>
      <c r="AL724" s="55"/>
      <c r="AM724" s="55"/>
      <c r="AN724" s="55"/>
      <c r="AO724" s="597"/>
      <c r="AP724" s="55"/>
      <c r="AQ724" s="55"/>
      <c r="AR724" s="55"/>
      <c r="AS724" s="55"/>
      <c r="AT724" s="55"/>
      <c r="AU724" s="435"/>
    </row>
    <row r="725" spans="1:47" ht="15" customHeight="1" x14ac:dyDescent="0.2">
      <c r="A725" s="133">
        <f>acute_overview_children!A325</f>
        <v>3</v>
      </c>
      <c r="B725" s="5">
        <f>acute_overview_children!B325</f>
        <v>1011000</v>
      </c>
      <c r="C725" s="5" t="str">
        <f>acute_overview_children!C325</f>
        <v xml:space="preserve">Swine </v>
      </c>
      <c r="D725" s="38">
        <f t="shared" si="92"/>
        <v>4</v>
      </c>
      <c r="E725" s="49"/>
      <c r="F725" s="49"/>
      <c r="G725" s="49"/>
      <c r="H725" s="49"/>
      <c r="I725" s="49"/>
      <c r="J725" s="49"/>
      <c r="K725" s="49"/>
      <c r="L725" s="49"/>
      <c r="M725" s="49"/>
      <c r="N725" s="49">
        <v>0</v>
      </c>
      <c r="O725" s="49">
        <v>0</v>
      </c>
      <c r="P725" s="49"/>
      <c r="Q725" s="49"/>
      <c r="R725" s="49"/>
      <c r="S725" s="49"/>
      <c r="T725" s="49"/>
      <c r="U725" s="49"/>
      <c r="V725" s="49"/>
      <c r="W725" s="49"/>
      <c r="X725" s="49"/>
      <c r="Y725" s="49"/>
      <c r="Z725" s="49"/>
      <c r="AA725" s="49"/>
      <c r="AB725" s="49"/>
      <c r="AC725" s="49">
        <v>0</v>
      </c>
      <c r="AD725" s="49">
        <v>0</v>
      </c>
      <c r="AE725" s="49"/>
      <c r="AF725" s="49"/>
      <c r="AG725" s="49"/>
      <c r="AH725" s="49"/>
      <c r="AI725" s="49"/>
      <c r="AJ725" s="49"/>
      <c r="AK725" s="94"/>
      <c r="AL725" s="49"/>
      <c r="AM725" s="49"/>
      <c r="AN725" s="49"/>
      <c r="AO725" s="594"/>
      <c r="AP725" s="49"/>
      <c r="AQ725" s="49"/>
      <c r="AR725" s="49"/>
      <c r="AS725" s="49"/>
      <c r="AT725" s="49"/>
      <c r="AU725" s="94"/>
    </row>
    <row r="726" spans="1:47" ht="15" customHeight="1" x14ac:dyDescent="0.2">
      <c r="A726" s="39">
        <f>acute_overview_children!A326</f>
        <v>4</v>
      </c>
      <c r="B726" s="23">
        <f>acute_overview_children!B326</f>
        <v>1011010</v>
      </c>
      <c r="C726" s="23" t="str">
        <f>acute_overview_children!C326</f>
        <v>Swine: Muscle/meat</v>
      </c>
      <c r="D726" s="38">
        <f t="shared" si="92"/>
        <v>4</v>
      </c>
      <c r="E726" s="31"/>
      <c r="F726" s="31"/>
      <c r="G726" s="31"/>
      <c r="H726" s="31"/>
      <c r="I726" s="31"/>
      <c r="J726" s="31"/>
      <c r="K726" s="31"/>
      <c r="L726" s="31"/>
      <c r="M726" s="31"/>
      <c r="N726" s="31">
        <v>0</v>
      </c>
      <c r="O726" s="31">
        <v>0</v>
      </c>
      <c r="P726" s="31"/>
      <c r="Q726" s="31"/>
      <c r="R726" s="31"/>
      <c r="S726" s="31"/>
      <c r="T726" s="31"/>
      <c r="U726" s="31"/>
      <c r="V726" s="31"/>
      <c r="W726" s="31"/>
      <c r="X726" s="31"/>
      <c r="Y726" s="31"/>
      <c r="Z726" s="31"/>
      <c r="AA726" s="31"/>
      <c r="AB726" s="31"/>
      <c r="AC726" s="31">
        <v>0</v>
      </c>
      <c r="AD726" s="31">
        <v>0</v>
      </c>
      <c r="AE726" s="31"/>
      <c r="AF726" s="31"/>
      <c r="AG726" s="31"/>
      <c r="AH726" s="31"/>
      <c r="AI726" s="31"/>
      <c r="AJ726" s="31"/>
      <c r="AK726" s="433"/>
      <c r="AL726" s="31"/>
      <c r="AM726" s="31"/>
      <c r="AN726" s="31"/>
      <c r="AO726" s="592"/>
      <c r="AP726" s="31"/>
      <c r="AQ726" s="31"/>
      <c r="AR726" s="31"/>
      <c r="AS726" s="31"/>
      <c r="AT726" s="31"/>
      <c r="AU726" s="433"/>
    </row>
    <row r="727" spans="1:47" ht="15" customHeight="1" x14ac:dyDescent="0.2">
      <c r="A727" s="39">
        <f>acute_overview_children!A327</f>
        <v>4</v>
      </c>
      <c r="B727" s="23">
        <f>acute_overview_children!B327</f>
        <v>1011020</v>
      </c>
      <c r="C727" s="23" t="str">
        <f>acute_overview_children!C327</f>
        <v>Swine: Fat tissue</v>
      </c>
      <c r="D727" s="38">
        <f t="shared" si="92"/>
        <v>4</v>
      </c>
      <c r="E727" s="31"/>
      <c r="F727" s="31"/>
      <c r="G727" s="31"/>
      <c r="H727" s="31"/>
      <c r="I727" s="31"/>
      <c r="J727" s="31"/>
      <c r="K727" s="31"/>
      <c r="L727" s="31"/>
      <c r="M727" s="31"/>
      <c r="N727" s="31">
        <v>0</v>
      </c>
      <c r="O727" s="31">
        <v>0</v>
      </c>
      <c r="P727" s="31"/>
      <c r="Q727" s="31"/>
      <c r="R727" s="31"/>
      <c r="S727" s="31"/>
      <c r="T727" s="31"/>
      <c r="U727" s="31"/>
      <c r="V727" s="31"/>
      <c r="W727" s="31"/>
      <c r="X727" s="31"/>
      <c r="Y727" s="31"/>
      <c r="Z727" s="31"/>
      <c r="AA727" s="31"/>
      <c r="AB727" s="31"/>
      <c r="AC727" s="31">
        <v>0.17105263157894737</v>
      </c>
      <c r="AD727" s="31">
        <v>0</v>
      </c>
      <c r="AE727" s="31"/>
      <c r="AF727" s="31"/>
      <c r="AG727" s="31"/>
      <c r="AH727" s="31"/>
      <c r="AI727" s="31"/>
      <c r="AJ727" s="31"/>
      <c r="AK727" s="433"/>
      <c r="AL727" s="31"/>
      <c r="AM727" s="31"/>
      <c r="AN727" s="31"/>
      <c r="AO727" s="592"/>
      <c r="AP727" s="31"/>
      <c r="AQ727" s="31"/>
      <c r="AR727" s="31"/>
      <c r="AS727" s="31"/>
      <c r="AT727" s="31"/>
      <c r="AU727" s="433"/>
    </row>
    <row r="728" spans="1:47" ht="15" customHeight="1" x14ac:dyDescent="0.2">
      <c r="A728" s="39">
        <f>acute_overview_children!A328</f>
        <v>4</v>
      </c>
      <c r="B728" s="23">
        <f>acute_overview_children!B328</f>
        <v>1011030</v>
      </c>
      <c r="C728" s="23" t="str">
        <f>acute_overview_children!C328</f>
        <v>Swine: Liver</v>
      </c>
      <c r="D728" s="38">
        <f t="shared" si="92"/>
        <v>4</v>
      </c>
      <c r="E728" s="31"/>
      <c r="F728" s="31"/>
      <c r="G728" s="31"/>
      <c r="H728" s="31"/>
      <c r="I728" s="31"/>
      <c r="J728" s="31"/>
      <c r="K728" s="31"/>
      <c r="L728" s="31"/>
      <c r="M728" s="31"/>
      <c r="N728" s="31">
        <v>0</v>
      </c>
      <c r="O728" s="31">
        <v>0</v>
      </c>
      <c r="P728" s="31"/>
      <c r="Q728" s="31"/>
      <c r="R728" s="31"/>
      <c r="S728" s="31"/>
      <c r="T728" s="31"/>
      <c r="U728" s="31"/>
      <c r="V728" s="31"/>
      <c r="W728" s="31"/>
      <c r="X728" s="31"/>
      <c r="Y728" s="31"/>
      <c r="Z728" s="31"/>
      <c r="AA728" s="31"/>
      <c r="AB728" s="31"/>
      <c r="AC728" s="31">
        <v>0</v>
      </c>
      <c r="AD728" s="31">
        <v>0</v>
      </c>
      <c r="AE728" s="31"/>
      <c r="AF728" s="31"/>
      <c r="AG728" s="31"/>
      <c r="AH728" s="31"/>
      <c r="AI728" s="31"/>
      <c r="AJ728" s="31"/>
      <c r="AK728" s="433"/>
      <c r="AL728" s="31"/>
      <c r="AM728" s="31"/>
      <c r="AN728" s="31"/>
      <c r="AO728" s="592"/>
      <c r="AP728" s="31"/>
      <c r="AQ728" s="31"/>
      <c r="AR728" s="31"/>
      <c r="AS728" s="31"/>
      <c r="AT728" s="31"/>
      <c r="AU728" s="433"/>
    </row>
    <row r="729" spans="1:47" ht="15" customHeight="1" x14ac:dyDescent="0.2">
      <c r="A729" s="39">
        <f>acute_overview_children!A329</f>
        <v>4</v>
      </c>
      <c r="B729" s="23">
        <f>acute_overview_children!B329</f>
        <v>1011040</v>
      </c>
      <c r="C729" s="23" t="str">
        <f>acute_overview_children!C329</f>
        <v>Swine: Kidney</v>
      </c>
      <c r="D729" s="38">
        <f t="shared" si="92"/>
        <v>4</v>
      </c>
      <c r="E729" s="31"/>
      <c r="F729" s="31"/>
      <c r="G729" s="31"/>
      <c r="H729" s="31"/>
      <c r="I729" s="31"/>
      <c r="J729" s="31"/>
      <c r="K729" s="31"/>
      <c r="L729" s="31"/>
      <c r="M729" s="31"/>
      <c r="N729" s="31">
        <v>0</v>
      </c>
      <c r="O729" s="31">
        <v>0</v>
      </c>
      <c r="P729" s="31"/>
      <c r="Q729" s="31"/>
      <c r="R729" s="31"/>
      <c r="S729" s="31"/>
      <c r="T729" s="31"/>
      <c r="U729" s="31"/>
      <c r="V729" s="31"/>
      <c r="W729" s="31"/>
      <c r="X729" s="31"/>
      <c r="Y729" s="31"/>
      <c r="Z729" s="31"/>
      <c r="AA729" s="31"/>
      <c r="AB729" s="31"/>
      <c r="AC729" s="31">
        <v>0</v>
      </c>
      <c r="AD729" s="31">
        <v>0</v>
      </c>
      <c r="AE729" s="31"/>
      <c r="AF729" s="31"/>
      <c r="AG729" s="31"/>
      <c r="AH729" s="31"/>
      <c r="AI729" s="31"/>
      <c r="AJ729" s="31"/>
      <c r="AK729" s="433"/>
      <c r="AL729" s="31"/>
      <c r="AM729" s="31"/>
      <c r="AN729" s="31"/>
      <c r="AO729" s="592"/>
      <c r="AP729" s="31"/>
      <c r="AQ729" s="31"/>
      <c r="AR729" s="31"/>
      <c r="AS729" s="31"/>
      <c r="AT729" s="31"/>
      <c r="AU729" s="433"/>
    </row>
    <row r="730" spans="1:47" ht="15" customHeight="1" x14ac:dyDescent="0.2">
      <c r="A730" s="39">
        <f>acute_overview_children!A330</f>
        <v>4</v>
      </c>
      <c r="B730" s="23">
        <f>acute_overview_children!B330</f>
        <v>1011050</v>
      </c>
      <c r="C730" s="23" t="str">
        <f>acute_overview_children!C330</f>
        <v>Swine: Edible offals (other than liver and kidney)</v>
      </c>
      <c r="D730" s="38">
        <f t="shared" si="92"/>
        <v>4</v>
      </c>
      <c r="E730" s="31"/>
      <c r="F730" s="31"/>
      <c r="G730" s="31"/>
      <c r="H730" s="31"/>
      <c r="I730" s="31"/>
      <c r="J730" s="31"/>
      <c r="K730" s="31"/>
      <c r="L730" s="31"/>
      <c r="M730" s="31"/>
      <c r="N730" s="31">
        <v>0</v>
      </c>
      <c r="O730" s="31">
        <v>0</v>
      </c>
      <c r="P730" s="31"/>
      <c r="Q730" s="31"/>
      <c r="R730" s="31"/>
      <c r="S730" s="31"/>
      <c r="T730" s="31"/>
      <c r="U730" s="31"/>
      <c r="V730" s="31"/>
      <c r="W730" s="31"/>
      <c r="X730" s="31"/>
      <c r="Y730" s="31"/>
      <c r="Z730" s="31"/>
      <c r="AA730" s="31"/>
      <c r="AB730" s="31"/>
      <c r="AC730" s="31">
        <v>0</v>
      </c>
      <c r="AD730" s="31">
        <v>0</v>
      </c>
      <c r="AE730" s="31"/>
      <c r="AF730" s="31"/>
      <c r="AG730" s="31"/>
      <c r="AH730" s="31"/>
      <c r="AI730" s="31"/>
      <c r="AJ730" s="31"/>
      <c r="AK730" s="433"/>
      <c r="AL730" s="31"/>
      <c r="AM730" s="31"/>
      <c r="AN730" s="31"/>
      <c r="AO730" s="592"/>
      <c r="AP730" s="31"/>
      <c r="AQ730" s="31"/>
      <c r="AR730" s="31"/>
      <c r="AS730" s="31"/>
      <c r="AT730" s="31"/>
      <c r="AU730" s="433"/>
    </row>
    <row r="731" spans="1:47" ht="15" customHeight="1" x14ac:dyDescent="0.2">
      <c r="A731" s="39">
        <f>acute_overview_children!A331</f>
        <v>4</v>
      </c>
      <c r="B731" s="23">
        <f>acute_overview_children!B331</f>
        <v>1011990</v>
      </c>
      <c r="C731" s="23" t="str">
        <f>acute_overview_children!C331</f>
        <v>Swine: Other products</v>
      </c>
      <c r="D731" s="38">
        <f t="shared" si="92"/>
        <v>4</v>
      </c>
      <c r="E731" s="31"/>
      <c r="F731" s="31"/>
      <c r="G731" s="31"/>
      <c r="H731" s="31"/>
      <c r="I731" s="31"/>
      <c r="J731" s="31"/>
      <c r="K731" s="31"/>
      <c r="L731" s="31"/>
      <c r="M731" s="31"/>
      <c r="N731" s="31">
        <v>0</v>
      </c>
      <c r="O731" s="31">
        <v>0</v>
      </c>
      <c r="P731" s="31"/>
      <c r="Q731" s="31"/>
      <c r="R731" s="31"/>
      <c r="S731" s="31"/>
      <c r="T731" s="31"/>
      <c r="U731" s="31"/>
      <c r="V731" s="31"/>
      <c r="W731" s="31"/>
      <c r="X731" s="31"/>
      <c r="Y731" s="31"/>
      <c r="Z731" s="31"/>
      <c r="AA731" s="31"/>
      <c r="AB731" s="31"/>
      <c r="AC731" s="31">
        <v>0</v>
      </c>
      <c r="AD731" s="31">
        <v>0</v>
      </c>
      <c r="AE731" s="31"/>
      <c r="AF731" s="31"/>
      <c r="AG731" s="31"/>
      <c r="AH731" s="31"/>
      <c r="AI731" s="31"/>
      <c r="AJ731" s="31"/>
      <c r="AK731" s="433"/>
      <c r="AL731" s="31"/>
      <c r="AM731" s="31"/>
      <c r="AN731" s="31"/>
      <c r="AO731" s="592"/>
      <c r="AP731" s="31"/>
      <c r="AQ731" s="31"/>
      <c r="AR731" s="31"/>
      <c r="AS731" s="31"/>
      <c r="AT731" s="31"/>
      <c r="AU731" s="433"/>
    </row>
    <row r="732" spans="1:47" ht="15" customHeight="1" x14ac:dyDescent="0.2">
      <c r="A732" s="133">
        <f>acute_overview_children!A332</f>
        <v>3</v>
      </c>
      <c r="B732" s="5">
        <f>acute_overview_children!B332</f>
        <v>1012000</v>
      </c>
      <c r="C732" s="5" t="str">
        <f>acute_overview_children!C332</f>
        <v>Bovine</v>
      </c>
      <c r="D732" s="38">
        <f t="shared" si="92"/>
        <v>4</v>
      </c>
      <c r="E732" s="49"/>
      <c r="F732" s="49"/>
      <c r="G732" s="49"/>
      <c r="H732" s="49"/>
      <c r="I732" s="49"/>
      <c r="J732" s="49"/>
      <c r="K732" s="49"/>
      <c r="L732" s="49"/>
      <c r="M732" s="49"/>
      <c r="N732" s="49">
        <v>0</v>
      </c>
      <c r="O732" s="49">
        <v>0</v>
      </c>
      <c r="P732" s="49"/>
      <c r="Q732" s="49"/>
      <c r="R732" s="49"/>
      <c r="S732" s="49"/>
      <c r="T732" s="49"/>
      <c r="U732" s="49"/>
      <c r="V732" s="49"/>
      <c r="W732" s="49"/>
      <c r="X732" s="49"/>
      <c r="Y732" s="49"/>
      <c r="Z732" s="49"/>
      <c r="AA732" s="49"/>
      <c r="AB732" s="49"/>
      <c r="AC732" s="49">
        <v>0</v>
      </c>
      <c r="AD732" s="49">
        <v>0</v>
      </c>
      <c r="AE732" s="49"/>
      <c r="AF732" s="49"/>
      <c r="AG732" s="49"/>
      <c r="AH732" s="49"/>
      <c r="AI732" s="49"/>
      <c r="AJ732" s="49"/>
      <c r="AK732" s="94"/>
      <c r="AL732" s="49"/>
      <c r="AM732" s="49"/>
      <c r="AN732" s="49"/>
      <c r="AO732" s="594"/>
      <c r="AP732" s="49"/>
      <c r="AQ732" s="49"/>
      <c r="AR732" s="49"/>
      <c r="AS732" s="49"/>
      <c r="AT732" s="49"/>
      <c r="AU732" s="94"/>
    </row>
    <row r="733" spans="1:47" ht="15" customHeight="1" x14ac:dyDescent="0.2">
      <c r="A733" s="39">
        <f>acute_overview_children!A333</f>
        <v>4</v>
      </c>
      <c r="B733" s="23">
        <f>acute_overview_children!B333</f>
        <v>1012010</v>
      </c>
      <c r="C733" s="23" t="str">
        <f>acute_overview_children!C333</f>
        <v>Bovine: Muscle/meat</v>
      </c>
      <c r="D733" s="38">
        <f t="shared" ref="D733:D790" si="93">D333</f>
        <v>4</v>
      </c>
      <c r="E733" s="31"/>
      <c r="F733" s="31"/>
      <c r="G733" s="31"/>
      <c r="H733" s="31"/>
      <c r="I733" s="31"/>
      <c r="J733" s="31"/>
      <c r="K733" s="31"/>
      <c r="L733" s="31"/>
      <c r="M733" s="31"/>
      <c r="N733" s="31">
        <v>4.0689655172413799</v>
      </c>
      <c r="O733" s="31">
        <v>4.1164383561643838</v>
      </c>
      <c r="P733" s="31"/>
      <c r="Q733" s="31"/>
      <c r="R733" s="31"/>
      <c r="S733" s="31"/>
      <c r="T733" s="31"/>
      <c r="U733" s="31"/>
      <c r="V733" s="31"/>
      <c r="W733" s="31"/>
      <c r="X733" s="31"/>
      <c r="Y733" s="31"/>
      <c r="Z733" s="31"/>
      <c r="AA733" s="31"/>
      <c r="AB733" s="31"/>
      <c r="AC733" s="31">
        <v>1.8934210526315791</v>
      </c>
      <c r="AD733" s="31">
        <v>0.38080959520239877</v>
      </c>
      <c r="AE733" s="31"/>
      <c r="AF733" s="31"/>
      <c r="AG733" s="31"/>
      <c r="AH733" s="31"/>
      <c r="AI733" s="31"/>
      <c r="AJ733" s="31"/>
      <c r="AK733" s="433"/>
      <c r="AL733" s="31"/>
      <c r="AM733" s="31"/>
      <c r="AN733" s="31"/>
      <c r="AO733" s="592"/>
      <c r="AP733" s="31"/>
      <c r="AQ733" s="31"/>
      <c r="AR733" s="31"/>
      <c r="AS733" s="31"/>
      <c r="AT733" s="31"/>
      <c r="AU733" s="433"/>
    </row>
    <row r="734" spans="1:47" ht="15" customHeight="1" x14ac:dyDescent="0.2">
      <c r="A734" s="39">
        <f>acute_overview_children!A334</f>
        <v>4</v>
      </c>
      <c r="B734" s="23">
        <f>acute_overview_children!B334</f>
        <v>1012020</v>
      </c>
      <c r="C734" s="23" t="str">
        <f>acute_overview_children!C334</f>
        <v>Bovine: Fat tissue</v>
      </c>
      <c r="D734" s="38">
        <f t="shared" si="93"/>
        <v>4</v>
      </c>
      <c r="E734" s="31"/>
      <c r="F734" s="31"/>
      <c r="G734" s="31"/>
      <c r="H734" s="31"/>
      <c r="I734" s="31"/>
      <c r="J734" s="31"/>
      <c r="K734" s="31"/>
      <c r="L734" s="31"/>
      <c r="M734" s="31"/>
      <c r="N734" s="31">
        <v>0.42528735632183912</v>
      </c>
      <c r="O734" s="31">
        <v>0.71232876712328774</v>
      </c>
      <c r="P734" s="31"/>
      <c r="Q734" s="31"/>
      <c r="R734" s="31"/>
      <c r="S734" s="31"/>
      <c r="T734" s="31"/>
      <c r="U734" s="31"/>
      <c r="V734" s="31"/>
      <c r="W734" s="31"/>
      <c r="X734" s="31"/>
      <c r="Y734" s="31"/>
      <c r="Z734" s="31"/>
      <c r="AA734" s="31"/>
      <c r="AB734" s="31"/>
      <c r="AC734" s="31">
        <v>0.17105263157894737</v>
      </c>
      <c r="AD734" s="31">
        <v>0.11394302848575712</v>
      </c>
      <c r="AE734" s="31"/>
      <c r="AF734" s="31"/>
      <c r="AG734" s="31"/>
      <c r="AH734" s="31"/>
      <c r="AI734" s="31"/>
      <c r="AJ734" s="31"/>
      <c r="AK734" s="433"/>
      <c r="AL734" s="31"/>
      <c r="AM734" s="31"/>
      <c r="AN734" s="31"/>
      <c r="AO734" s="592"/>
      <c r="AP734" s="31"/>
      <c r="AQ734" s="31"/>
      <c r="AR734" s="31"/>
      <c r="AS734" s="31"/>
      <c r="AT734" s="31"/>
      <c r="AU734" s="433"/>
    </row>
    <row r="735" spans="1:47" ht="15" customHeight="1" x14ac:dyDescent="0.2">
      <c r="A735" s="39">
        <f>acute_overview_children!A335</f>
        <v>4</v>
      </c>
      <c r="B735" s="23">
        <f>acute_overview_children!B335</f>
        <v>1012030</v>
      </c>
      <c r="C735" s="23" t="str">
        <f>acute_overview_children!C335</f>
        <v>Bovine: Liver</v>
      </c>
      <c r="D735" s="38">
        <f t="shared" si="93"/>
        <v>4</v>
      </c>
      <c r="E735" s="31"/>
      <c r="F735" s="31"/>
      <c r="G735" s="31"/>
      <c r="H735" s="31"/>
      <c r="I735" s="31"/>
      <c r="J735" s="31"/>
      <c r="K735" s="31"/>
      <c r="L735" s="31"/>
      <c r="M735" s="31"/>
      <c r="N735" s="31">
        <v>2.2413793103448278</v>
      </c>
      <c r="O735" s="31">
        <v>2.3698630136986303</v>
      </c>
      <c r="P735" s="31"/>
      <c r="Q735" s="31"/>
      <c r="R735" s="31"/>
      <c r="S735" s="31"/>
      <c r="T735" s="31"/>
      <c r="U735" s="31"/>
      <c r="V735" s="31"/>
      <c r="W735" s="31"/>
      <c r="X735" s="31"/>
      <c r="Y735" s="31"/>
      <c r="Z735" s="31"/>
      <c r="AA735" s="31"/>
      <c r="AB735" s="31"/>
      <c r="AC735" s="31">
        <v>0.47500000000000003</v>
      </c>
      <c r="AD735" s="31">
        <v>0</v>
      </c>
      <c r="AE735" s="31"/>
      <c r="AF735" s="31"/>
      <c r="AG735" s="31"/>
      <c r="AH735" s="31"/>
      <c r="AI735" s="31"/>
      <c r="AJ735" s="31"/>
      <c r="AK735" s="433"/>
      <c r="AL735" s="31"/>
      <c r="AM735" s="31"/>
      <c r="AN735" s="31"/>
      <c r="AO735" s="592"/>
      <c r="AP735" s="31"/>
      <c r="AQ735" s="31"/>
      <c r="AR735" s="31"/>
      <c r="AS735" s="31"/>
      <c r="AT735" s="31"/>
      <c r="AU735" s="433"/>
    </row>
    <row r="736" spans="1:47" ht="15" customHeight="1" x14ac:dyDescent="0.2">
      <c r="A736" s="39">
        <f>acute_overview_children!A336</f>
        <v>4</v>
      </c>
      <c r="B736" s="23">
        <f>acute_overview_children!B336</f>
        <v>1012040</v>
      </c>
      <c r="C736" s="23" t="str">
        <f>acute_overview_children!C336</f>
        <v>Bovine: Kidney</v>
      </c>
      <c r="D736" s="38">
        <f t="shared" si="93"/>
        <v>4</v>
      </c>
      <c r="E736" s="31"/>
      <c r="F736" s="31"/>
      <c r="G736" s="31"/>
      <c r="H736" s="31"/>
      <c r="I736" s="31"/>
      <c r="J736" s="31"/>
      <c r="K736" s="31"/>
      <c r="L736" s="31"/>
      <c r="M736" s="31"/>
      <c r="N736" s="31">
        <v>0.42528735632183912</v>
      </c>
      <c r="O736" s="31">
        <v>1.3424657534246576</v>
      </c>
      <c r="P736" s="31"/>
      <c r="Q736" s="31"/>
      <c r="R736" s="31"/>
      <c r="S736" s="31"/>
      <c r="T736" s="31"/>
      <c r="U736" s="31"/>
      <c r="V736" s="31"/>
      <c r="W736" s="31"/>
      <c r="X736" s="31"/>
      <c r="Y736" s="31"/>
      <c r="Z736" s="31"/>
      <c r="AA736" s="31"/>
      <c r="AB736" s="31"/>
      <c r="AC736" s="31">
        <v>0.28947368421052633</v>
      </c>
      <c r="AD736" s="31">
        <v>0</v>
      </c>
      <c r="AE736" s="31"/>
      <c r="AF736" s="31"/>
      <c r="AG736" s="31"/>
      <c r="AH736" s="31"/>
      <c r="AI736" s="31"/>
      <c r="AJ736" s="31"/>
      <c r="AK736" s="433"/>
      <c r="AL736" s="31"/>
      <c r="AM736" s="31"/>
      <c r="AN736" s="31"/>
      <c r="AO736" s="592"/>
      <c r="AP736" s="31"/>
      <c r="AQ736" s="31"/>
      <c r="AR736" s="31"/>
      <c r="AS736" s="31"/>
      <c r="AT736" s="31"/>
      <c r="AU736" s="433"/>
    </row>
    <row r="737" spans="1:47" ht="15" customHeight="1" x14ac:dyDescent="0.2">
      <c r="A737" s="39">
        <f>acute_overview_children!A337</f>
        <v>4</v>
      </c>
      <c r="B737" s="23">
        <f>acute_overview_children!B337</f>
        <v>1012050</v>
      </c>
      <c r="C737" s="23" t="str">
        <f>acute_overview_children!C337</f>
        <v>Bovine: Edible offals (other than liver and kidney)</v>
      </c>
      <c r="D737" s="38">
        <f t="shared" si="93"/>
        <v>4</v>
      </c>
      <c r="E737" s="31"/>
      <c r="F737" s="31"/>
      <c r="G737" s="31"/>
      <c r="H737" s="31"/>
      <c r="I737" s="31"/>
      <c r="J737" s="31"/>
      <c r="K737" s="31"/>
      <c r="L737" s="31"/>
      <c r="M737" s="31"/>
      <c r="N737" s="31">
        <v>1.5747126436781609</v>
      </c>
      <c r="O737" s="31">
        <v>2.1643835616438358</v>
      </c>
      <c r="P737" s="31"/>
      <c r="Q737" s="31"/>
      <c r="R737" s="31"/>
      <c r="S737" s="31"/>
      <c r="T737" s="31"/>
      <c r="U737" s="31"/>
      <c r="V737" s="31"/>
      <c r="W737" s="31"/>
      <c r="X737" s="31"/>
      <c r="Y737" s="31"/>
      <c r="Z737" s="31"/>
      <c r="AA737" s="31"/>
      <c r="AB737" s="31"/>
      <c r="AC737" s="31">
        <v>0</v>
      </c>
      <c r="AD737" s="31">
        <v>0.15142428785607195</v>
      </c>
      <c r="AE737" s="31"/>
      <c r="AF737" s="31"/>
      <c r="AG737" s="31"/>
      <c r="AH737" s="31"/>
      <c r="AI737" s="31"/>
      <c r="AJ737" s="31"/>
      <c r="AK737" s="433"/>
      <c r="AL737" s="31"/>
      <c r="AM737" s="31"/>
      <c r="AN737" s="31"/>
      <c r="AO737" s="592"/>
      <c r="AP737" s="31"/>
      <c r="AQ737" s="31"/>
      <c r="AR737" s="31"/>
      <c r="AS737" s="31"/>
      <c r="AT737" s="31"/>
      <c r="AU737" s="433"/>
    </row>
    <row r="738" spans="1:47" ht="15" customHeight="1" x14ac:dyDescent="0.2">
      <c r="A738" s="39">
        <f>acute_overview_children!A338</f>
        <v>4</v>
      </c>
      <c r="B738" s="23">
        <f>acute_overview_children!B338</f>
        <v>1012990</v>
      </c>
      <c r="C738" s="23" t="str">
        <f>acute_overview_children!C338</f>
        <v>Bovine: Other products</v>
      </c>
      <c r="D738" s="38">
        <f t="shared" si="93"/>
        <v>4</v>
      </c>
      <c r="E738" s="31"/>
      <c r="F738" s="31"/>
      <c r="G738" s="31"/>
      <c r="H738" s="31"/>
      <c r="I738" s="31"/>
      <c r="J738" s="31"/>
      <c r="K738" s="31"/>
      <c r="L738" s="31"/>
      <c r="M738" s="31"/>
      <c r="N738" s="31">
        <v>0</v>
      </c>
      <c r="O738" s="31">
        <v>0</v>
      </c>
      <c r="P738" s="31"/>
      <c r="Q738" s="31"/>
      <c r="R738" s="31"/>
      <c r="S738" s="31"/>
      <c r="T738" s="31"/>
      <c r="U738" s="31"/>
      <c r="V738" s="31"/>
      <c r="W738" s="31"/>
      <c r="X738" s="31"/>
      <c r="Y738" s="31"/>
      <c r="Z738" s="31"/>
      <c r="AA738" s="31"/>
      <c r="AB738" s="31"/>
      <c r="AC738" s="31">
        <v>0.68947368421052635</v>
      </c>
      <c r="AD738" s="31">
        <v>0</v>
      </c>
      <c r="AE738" s="31"/>
      <c r="AF738" s="31"/>
      <c r="AG738" s="31"/>
      <c r="AH738" s="31"/>
      <c r="AI738" s="31"/>
      <c r="AJ738" s="31"/>
      <c r="AK738" s="433"/>
      <c r="AL738" s="31"/>
      <c r="AM738" s="31"/>
      <c r="AN738" s="31"/>
      <c r="AO738" s="592"/>
      <c r="AP738" s="31"/>
      <c r="AQ738" s="31"/>
      <c r="AR738" s="31"/>
      <c r="AS738" s="31"/>
      <c r="AT738" s="31"/>
      <c r="AU738" s="433"/>
    </row>
    <row r="739" spans="1:47" ht="15" customHeight="1" x14ac:dyDescent="0.2">
      <c r="A739" s="133">
        <f>acute_overview_children!A339</f>
        <v>3</v>
      </c>
      <c r="B739" s="5">
        <f>acute_overview_children!B339</f>
        <v>1013000</v>
      </c>
      <c r="C739" s="5" t="str">
        <f>acute_overview_children!C339</f>
        <v>Sheep</v>
      </c>
      <c r="D739" s="38">
        <f t="shared" si="93"/>
        <v>4</v>
      </c>
      <c r="E739" s="49"/>
      <c r="F739" s="49"/>
      <c r="G739" s="49"/>
      <c r="H739" s="49"/>
      <c r="I739" s="49"/>
      <c r="J739" s="49"/>
      <c r="K739" s="49"/>
      <c r="L739" s="49"/>
      <c r="M739" s="49"/>
      <c r="N739" s="49">
        <v>0</v>
      </c>
      <c r="O739" s="49">
        <v>0</v>
      </c>
      <c r="P739" s="49"/>
      <c r="Q739" s="49"/>
      <c r="R739" s="49"/>
      <c r="S739" s="49"/>
      <c r="T739" s="49"/>
      <c r="U739" s="49"/>
      <c r="V739" s="49"/>
      <c r="W739" s="49"/>
      <c r="X739" s="49"/>
      <c r="Y739" s="49"/>
      <c r="Z739" s="49"/>
      <c r="AA739" s="49"/>
      <c r="AB739" s="49"/>
      <c r="AC739" s="49">
        <v>0</v>
      </c>
      <c r="AD739" s="49">
        <v>0</v>
      </c>
      <c r="AE739" s="49"/>
      <c r="AF739" s="49"/>
      <c r="AG739" s="49"/>
      <c r="AH739" s="49"/>
      <c r="AI739" s="49"/>
      <c r="AJ739" s="49"/>
      <c r="AK739" s="94"/>
      <c r="AL739" s="49"/>
      <c r="AM739" s="49"/>
      <c r="AN739" s="49"/>
      <c r="AO739" s="594"/>
      <c r="AP739" s="49"/>
      <c r="AQ739" s="49"/>
      <c r="AR739" s="49"/>
      <c r="AS739" s="49"/>
      <c r="AT739" s="49"/>
      <c r="AU739" s="94"/>
    </row>
    <row r="740" spans="1:47" ht="15" customHeight="1" x14ac:dyDescent="0.2">
      <c r="A740" s="39">
        <f>acute_overview_children!A340</f>
        <v>4</v>
      </c>
      <c r="B740" s="23">
        <f>acute_overview_children!B340</f>
        <v>1013010</v>
      </c>
      <c r="C740" s="23" t="str">
        <f>acute_overview_children!C340</f>
        <v>Sheep: Muscle/meat</v>
      </c>
      <c r="D740" s="38">
        <f t="shared" si="93"/>
        <v>4</v>
      </c>
      <c r="E740" s="31"/>
      <c r="F740" s="31"/>
      <c r="G740" s="31"/>
      <c r="H740" s="31"/>
      <c r="I740" s="31"/>
      <c r="J740" s="31"/>
      <c r="K740" s="31"/>
      <c r="L740" s="31"/>
      <c r="M740" s="31"/>
      <c r="N740" s="31">
        <v>0</v>
      </c>
      <c r="O740" s="31">
        <v>0</v>
      </c>
      <c r="P740" s="31"/>
      <c r="Q740" s="31"/>
      <c r="R740" s="31"/>
      <c r="S740" s="31"/>
      <c r="T740" s="31"/>
      <c r="U740" s="31"/>
      <c r="V740" s="31"/>
      <c r="W740" s="31"/>
      <c r="X740" s="31"/>
      <c r="Y740" s="31"/>
      <c r="Z740" s="31"/>
      <c r="AA740" s="31"/>
      <c r="AB740" s="31"/>
      <c r="AC740" s="31">
        <v>0</v>
      </c>
      <c r="AD740" s="31">
        <v>0</v>
      </c>
      <c r="AE740" s="31"/>
      <c r="AF740" s="31"/>
      <c r="AG740" s="31"/>
      <c r="AH740" s="31"/>
      <c r="AI740" s="31"/>
      <c r="AJ740" s="31"/>
      <c r="AK740" s="433"/>
      <c r="AL740" s="31"/>
      <c r="AM740" s="31"/>
      <c r="AN740" s="31"/>
      <c r="AO740" s="592"/>
      <c r="AP740" s="31"/>
      <c r="AQ740" s="31"/>
      <c r="AR740" s="31"/>
      <c r="AS740" s="31"/>
      <c r="AT740" s="31"/>
      <c r="AU740" s="433"/>
    </row>
    <row r="741" spans="1:47" ht="15" customHeight="1" x14ac:dyDescent="0.2">
      <c r="A741" s="39">
        <f>acute_overview_children!A341</f>
        <v>4</v>
      </c>
      <c r="B741" s="23">
        <f>acute_overview_children!B341</f>
        <v>1013020</v>
      </c>
      <c r="C741" s="23" t="str">
        <f>acute_overview_children!C341</f>
        <v>Sheep: Fat tissue</v>
      </c>
      <c r="D741" s="38">
        <f t="shared" si="93"/>
        <v>4</v>
      </c>
      <c r="E741" s="31"/>
      <c r="F741" s="31"/>
      <c r="G741" s="31"/>
      <c r="H741" s="31"/>
      <c r="I741" s="31"/>
      <c r="J741" s="31"/>
      <c r="K741" s="31"/>
      <c r="L741" s="31"/>
      <c r="M741" s="31"/>
      <c r="N741" s="31">
        <v>0</v>
      </c>
      <c r="O741" s="31">
        <v>0</v>
      </c>
      <c r="P741" s="31"/>
      <c r="Q741" s="31"/>
      <c r="R741" s="31"/>
      <c r="S741" s="31"/>
      <c r="T741" s="31"/>
      <c r="U741" s="31"/>
      <c r="V741" s="31"/>
      <c r="W741" s="31"/>
      <c r="X741" s="31"/>
      <c r="Y741" s="31"/>
      <c r="Z741" s="31"/>
      <c r="AA741" s="31"/>
      <c r="AB741" s="31"/>
      <c r="AC741" s="31">
        <v>0</v>
      </c>
      <c r="AD741" s="31">
        <v>0</v>
      </c>
      <c r="AE741" s="31"/>
      <c r="AF741" s="31"/>
      <c r="AG741" s="31"/>
      <c r="AH741" s="31"/>
      <c r="AI741" s="31"/>
      <c r="AJ741" s="31"/>
      <c r="AK741" s="433"/>
      <c r="AL741" s="31"/>
      <c r="AM741" s="31"/>
      <c r="AN741" s="31"/>
      <c r="AO741" s="592"/>
      <c r="AP741" s="31"/>
      <c r="AQ741" s="31"/>
      <c r="AR741" s="31"/>
      <c r="AS741" s="31"/>
      <c r="AT741" s="31"/>
      <c r="AU741" s="433"/>
    </row>
    <row r="742" spans="1:47" ht="15" customHeight="1" x14ac:dyDescent="0.2">
      <c r="A742" s="39">
        <f>acute_overview_children!A342</f>
        <v>4</v>
      </c>
      <c r="B742" s="23">
        <f>acute_overview_children!B342</f>
        <v>1013030</v>
      </c>
      <c r="C742" s="23" t="str">
        <f>acute_overview_children!C342</f>
        <v>Sheep: Liver</v>
      </c>
      <c r="D742" s="38">
        <f t="shared" si="93"/>
        <v>4</v>
      </c>
      <c r="E742" s="31"/>
      <c r="F742" s="31"/>
      <c r="G742" s="31"/>
      <c r="H742" s="31"/>
      <c r="I742" s="31"/>
      <c r="J742" s="31"/>
      <c r="K742" s="31"/>
      <c r="L742" s="31"/>
      <c r="M742" s="31"/>
      <c r="N742" s="31">
        <v>0</v>
      </c>
      <c r="O742" s="31">
        <v>0</v>
      </c>
      <c r="P742" s="31"/>
      <c r="Q742" s="31"/>
      <c r="R742" s="31"/>
      <c r="S742" s="31"/>
      <c r="T742" s="31"/>
      <c r="U742" s="31"/>
      <c r="V742" s="31"/>
      <c r="W742" s="31"/>
      <c r="X742" s="31"/>
      <c r="Y742" s="31"/>
      <c r="Z742" s="31"/>
      <c r="AA742" s="31"/>
      <c r="AB742" s="31"/>
      <c r="AC742" s="31">
        <v>0</v>
      </c>
      <c r="AD742" s="31">
        <v>0</v>
      </c>
      <c r="AE742" s="31"/>
      <c r="AF742" s="31"/>
      <c r="AG742" s="31"/>
      <c r="AH742" s="31"/>
      <c r="AI742" s="31"/>
      <c r="AJ742" s="31"/>
      <c r="AK742" s="433"/>
      <c r="AL742" s="31"/>
      <c r="AM742" s="31"/>
      <c r="AN742" s="31"/>
      <c r="AO742" s="592"/>
      <c r="AP742" s="31"/>
      <c r="AQ742" s="31"/>
      <c r="AR742" s="31"/>
      <c r="AS742" s="31"/>
      <c r="AT742" s="31"/>
      <c r="AU742" s="433"/>
    </row>
    <row r="743" spans="1:47" ht="15" customHeight="1" x14ac:dyDescent="0.2">
      <c r="A743" s="39">
        <f>acute_overview_children!A343</f>
        <v>4</v>
      </c>
      <c r="B743" s="23">
        <f>acute_overview_children!B343</f>
        <v>1013040</v>
      </c>
      <c r="C743" s="23" t="str">
        <f>acute_overview_children!C343</f>
        <v>Sheep: Kidney</v>
      </c>
      <c r="D743" s="38">
        <f t="shared" si="93"/>
        <v>4</v>
      </c>
      <c r="E743" s="31"/>
      <c r="F743" s="31"/>
      <c r="G743" s="31"/>
      <c r="H743" s="31"/>
      <c r="I743" s="31"/>
      <c r="J743" s="31"/>
      <c r="K743" s="31"/>
      <c r="L743" s="31"/>
      <c r="M743" s="31"/>
      <c r="N743" s="31">
        <v>0</v>
      </c>
      <c r="O743" s="31">
        <v>0</v>
      </c>
      <c r="P743" s="31"/>
      <c r="Q743" s="31"/>
      <c r="R743" s="31"/>
      <c r="S743" s="31"/>
      <c r="T743" s="31"/>
      <c r="U743" s="31"/>
      <c r="V743" s="31"/>
      <c r="W743" s="31"/>
      <c r="X743" s="31"/>
      <c r="Y743" s="31"/>
      <c r="Z743" s="31"/>
      <c r="AA743" s="31"/>
      <c r="AB743" s="31"/>
      <c r="AC743" s="31">
        <v>0</v>
      </c>
      <c r="AD743" s="31">
        <v>0</v>
      </c>
      <c r="AE743" s="31"/>
      <c r="AF743" s="31"/>
      <c r="AG743" s="31"/>
      <c r="AH743" s="31"/>
      <c r="AI743" s="31"/>
      <c r="AJ743" s="31"/>
      <c r="AK743" s="433"/>
      <c r="AL743" s="31"/>
      <c r="AM743" s="31"/>
      <c r="AN743" s="31"/>
      <c r="AO743" s="592"/>
      <c r="AP743" s="31"/>
      <c r="AQ743" s="31"/>
      <c r="AR743" s="31"/>
      <c r="AS743" s="31"/>
      <c r="AT743" s="31"/>
      <c r="AU743" s="433"/>
    </row>
    <row r="744" spans="1:47" ht="15" customHeight="1" x14ac:dyDescent="0.2">
      <c r="A744" s="39">
        <f>acute_overview_children!A344</f>
        <v>4</v>
      </c>
      <c r="B744" s="23">
        <f>acute_overview_children!B344</f>
        <v>1013050</v>
      </c>
      <c r="C744" s="23" t="str">
        <f>acute_overview_children!C344</f>
        <v>Sheep: Edible offals (other than liver and kidney)</v>
      </c>
      <c r="D744" s="38">
        <f t="shared" si="93"/>
        <v>4</v>
      </c>
      <c r="E744" s="31"/>
      <c r="F744" s="31"/>
      <c r="G744" s="31"/>
      <c r="H744" s="31"/>
      <c r="I744" s="31"/>
      <c r="J744" s="31"/>
      <c r="K744" s="31"/>
      <c r="L744" s="31"/>
      <c r="M744" s="31"/>
      <c r="N744" s="31">
        <v>0</v>
      </c>
      <c r="O744" s="31">
        <v>0</v>
      </c>
      <c r="P744" s="31"/>
      <c r="Q744" s="31"/>
      <c r="R744" s="31"/>
      <c r="S744" s="31"/>
      <c r="T744" s="31"/>
      <c r="U744" s="31"/>
      <c r="V744" s="31"/>
      <c r="W744" s="31"/>
      <c r="X744" s="31"/>
      <c r="Y744" s="31"/>
      <c r="Z744" s="31"/>
      <c r="AA744" s="31"/>
      <c r="AB744" s="31"/>
      <c r="AC744" s="31">
        <v>0</v>
      </c>
      <c r="AD744" s="31">
        <v>0</v>
      </c>
      <c r="AE744" s="31"/>
      <c r="AF744" s="31"/>
      <c r="AG744" s="31"/>
      <c r="AH744" s="31"/>
      <c r="AI744" s="31"/>
      <c r="AJ744" s="31"/>
      <c r="AK744" s="433"/>
      <c r="AL744" s="31"/>
      <c r="AM744" s="31"/>
      <c r="AN744" s="31"/>
      <c r="AO744" s="592"/>
      <c r="AP744" s="31"/>
      <c r="AQ744" s="31"/>
      <c r="AR744" s="31"/>
      <c r="AS744" s="31"/>
      <c r="AT744" s="31"/>
      <c r="AU744" s="433"/>
    </row>
    <row r="745" spans="1:47" ht="15" customHeight="1" x14ac:dyDescent="0.2">
      <c r="A745" s="39">
        <f>acute_overview_children!A345</f>
        <v>4</v>
      </c>
      <c r="B745" s="23">
        <f>acute_overview_children!B345</f>
        <v>1013990</v>
      </c>
      <c r="C745" s="23" t="str">
        <f>acute_overview_children!C345</f>
        <v>Sheep: other products</v>
      </c>
      <c r="D745" s="38">
        <f t="shared" si="93"/>
        <v>4</v>
      </c>
      <c r="E745" s="31"/>
      <c r="F745" s="31"/>
      <c r="G745" s="31"/>
      <c r="H745" s="31"/>
      <c r="I745" s="31"/>
      <c r="J745" s="31"/>
      <c r="K745" s="31"/>
      <c r="L745" s="31"/>
      <c r="M745" s="31"/>
      <c r="N745" s="31">
        <v>0</v>
      </c>
      <c r="O745" s="31">
        <v>0</v>
      </c>
      <c r="P745" s="31"/>
      <c r="Q745" s="31"/>
      <c r="R745" s="31"/>
      <c r="S745" s="31"/>
      <c r="T745" s="31"/>
      <c r="U745" s="31"/>
      <c r="V745" s="31"/>
      <c r="W745" s="31"/>
      <c r="X745" s="31"/>
      <c r="Y745" s="31"/>
      <c r="Z745" s="31"/>
      <c r="AA745" s="31"/>
      <c r="AB745" s="31"/>
      <c r="AC745" s="31">
        <v>0</v>
      </c>
      <c r="AD745" s="31">
        <v>0</v>
      </c>
      <c r="AE745" s="31"/>
      <c r="AF745" s="31"/>
      <c r="AG745" s="31"/>
      <c r="AH745" s="31"/>
      <c r="AI745" s="31"/>
      <c r="AJ745" s="31"/>
      <c r="AK745" s="433"/>
      <c r="AL745" s="31"/>
      <c r="AM745" s="31"/>
      <c r="AN745" s="31"/>
      <c r="AO745" s="592"/>
      <c r="AP745" s="31"/>
      <c r="AQ745" s="31"/>
      <c r="AR745" s="31"/>
      <c r="AS745" s="31"/>
      <c r="AT745" s="31"/>
      <c r="AU745" s="433"/>
    </row>
    <row r="746" spans="1:47" ht="15" customHeight="1" x14ac:dyDescent="0.2">
      <c r="A746" s="133">
        <f>acute_overview_children!A346</f>
        <v>3</v>
      </c>
      <c r="B746" s="5">
        <f>acute_overview_children!B346</f>
        <v>1014000</v>
      </c>
      <c r="C746" s="5" t="str">
        <f>acute_overview_children!C346</f>
        <v xml:space="preserve">Goat </v>
      </c>
      <c r="D746" s="38">
        <f t="shared" si="93"/>
        <v>4</v>
      </c>
      <c r="E746" s="49"/>
      <c r="F746" s="49"/>
      <c r="G746" s="49"/>
      <c r="H746" s="49"/>
      <c r="I746" s="49"/>
      <c r="J746" s="49"/>
      <c r="K746" s="49"/>
      <c r="L746" s="49"/>
      <c r="M746" s="49"/>
      <c r="N746" s="49">
        <v>0</v>
      </c>
      <c r="O746" s="49">
        <v>0</v>
      </c>
      <c r="P746" s="49"/>
      <c r="Q746" s="49"/>
      <c r="R746" s="49"/>
      <c r="S746" s="49"/>
      <c r="T746" s="49"/>
      <c r="U746" s="49"/>
      <c r="V746" s="49"/>
      <c r="W746" s="49"/>
      <c r="X746" s="49"/>
      <c r="Y746" s="49"/>
      <c r="Z746" s="49"/>
      <c r="AA746" s="49"/>
      <c r="AB746" s="49"/>
      <c r="AC746" s="49">
        <v>0</v>
      </c>
      <c r="AD746" s="49">
        <v>0</v>
      </c>
      <c r="AE746" s="49"/>
      <c r="AF746" s="49"/>
      <c r="AG746" s="49"/>
      <c r="AH746" s="49"/>
      <c r="AI746" s="49"/>
      <c r="AJ746" s="49"/>
      <c r="AK746" s="94"/>
      <c r="AL746" s="49"/>
      <c r="AM746" s="49"/>
      <c r="AN746" s="49"/>
      <c r="AO746" s="594"/>
      <c r="AP746" s="49"/>
      <c r="AQ746" s="49"/>
      <c r="AR746" s="49"/>
      <c r="AS746" s="49"/>
      <c r="AT746" s="49"/>
      <c r="AU746" s="94"/>
    </row>
    <row r="747" spans="1:47" ht="15" customHeight="1" x14ac:dyDescent="0.2">
      <c r="A747" s="39">
        <f>acute_overview_children!A347</f>
        <v>4</v>
      </c>
      <c r="B747" s="23">
        <f>acute_overview_children!B347</f>
        <v>1014010</v>
      </c>
      <c r="C747" s="23" t="str">
        <f>acute_overview_children!C347</f>
        <v>Goat: Muscle/meat</v>
      </c>
      <c r="D747" s="38">
        <f t="shared" si="93"/>
        <v>4</v>
      </c>
      <c r="E747" s="31"/>
      <c r="F747" s="31"/>
      <c r="G747" s="31"/>
      <c r="H747" s="31"/>
      <c r="I747" s="31"/>
      <c r="J747" s="31"/>
      <c r="K747" s="31"/>
      <c r="L747" s="31"/>
      <c r="M747" s="31"/>
      <c r="N747" s="31">
        <v>0</v>
      </c>
      <c r="O747" s="31">
        <v>0</v>
      </c>
      <c r="P747" s="31"/>
      <c r="Q747" s="31"/>
      <c r="R747" s="31"/>
      <c r="S747" s="31"/>
      <c r="T747" s="31"/>
      <c r="U747" s="31"/>
      <c r="V747" s="31"/>
      <c r="W747" s="31"/>
      <c r="X747" s="31"/>
      <c r="Y747" s="31"/>
      <c r="Z747" s="31"/>
      <c r="AA747" s="31"/>
      <c r="AB747" s="31"/>
      <c r="AC747" s="31">
        <v>0</v>
      </c>
      <c r="AD747" s="31">
        <v>0</v>
      </c>
      <c r="AE747" s="31"/>
      <c r="AF747" s="31"/>
      <c r="AG747" s="31"/>
      <c r="AH747" s="31"/>
      <c r="AI747" s="31"/>
      <c r="AJ747" s="31"/>
      <c r="AK747" s="433"/>
      <c r="AL747" s="31"/>
      <c r="AM747" s="31"/>
      <c r="AN747" s="31"/>
      <c r="AO747" s="592"/>
      <c r="AP747" s="31"/>
      <c r="AQ747" s="31"/>
      <c r="AR747" s="31"/>
      <c r="AS747" s="31"/>
      <c r="AT747" s="31"/>
      <c r="AU747" s="433"/>
    </row>
    <row r="748" spans="1:47" ht="15" customHeight="1" x14ac:dyDescent="0.2">
      <c r="A748" s="39">
        <f>acute_overview_children!A348</f>
        <v>4</v>
      </c>
      <c r="B748" s="23">
        <f>acute_overview_children!B348</f>
        <v>1014020</v>
      </c>
      <c r="C748" s="23" t="str">
        <f>acute_overview_children!C348</f>
        <v>Goat: Fat tissue</v>
      </c>
      <c r="D748" s="38">
        <f t="shared" si="93"/>
        <v>4</v>
      </c>
      <c r="E748" s="31"/>
      <c r="F748" s="31"/>
      <c r="G748" s="31"/>
      <c r="H748" s="31"/>
      <c r="I748" s="31"/>
      <c r="J748" s="31"/>
      <c r="K748" s="31"/>
      <c r="L748" s="31"/>
      <c r="M748" s="31"/>
      <c r="N748" s="31">
        <v>0</v>
      </c>
      <c r="O748" s="31">
        <v>0</v>
      </c>
      <c r="P748" s="31"/>
      <c r="Q748" s="31"/>
      <c r="R748" s="31"/>
      <c r="S748" s="31"/>
      <c r="T748" s="31"/>
      <c r="U748" s="31"/>
      <c r="V748" s="31"/>
      <c r="W748" s="31"/>
      <c r="X748" s="31"/>
      <c r="Y748" s="31"/>
      <c r="Z748" s="31"/>
      <c r="AA748" s="31"/>
      <c r="AB748" s="31"/>
      <c r="AC748" s="31">
        <v>0</v>
      </c>
      <c r="AD748" s="31">
        <v>0</v>
      </c>
      <c r="AE748" s="31"/>
      <c r="AF748" s="31"/>
      <c r="AG748" s="31"/>
      <c r="AH748" s="31"/>
      <c r="AI748" s="31"/>
      <c r="AJ748" s="31"/>
      <c r="AK748" s="433"/>
      <c r="AL748" s="31"/>
      <c r="AM748" s="31"/>
      <c r="AN748" s="31"/>
      <c r="AO748" s="592"/>
      <c r="AP748" s="31"/>
      <c r="AQ748" s="31"/>
      <c r="AR748" s="31"/>
      <c r="AS748" s="31"/>
      <c r="AT748" s="31"/>
      <c r="AU748" s="433"/>
    </row>
    <row r="749" spans="1:47" ht="15" customHeight="1" x14ac:dyDescent="0.2">
      <c r="A749" s="39">
        <f>acute_overview_children!A349</f>
        <v>4</v>
      </c>
      <c r="B749" s="23">
        <f>acute_overview_children!B349</f>
        <v>1014030</v>
      </c>
      <c r="C749" s="23" t="str">
        <f>acute_overview_children!C349</f>
        <v>Goat: Liver</v>
      </c>
      <c r="D749" s="38">
        <f t="shared" si="93"/>
        <v>4</v>
      </c>
      <c r="E749" s="31"/>
      <c r="F749" s="31"/>
      <c r="G749" s="31"/>
      <c r="H749" s="31"/>
      <c r="I749" s="31"/>
      <c r="J749" s="31"/>
      <c r="K749" s="31"/>
      <c r="L749" s="31"/>
      <c r="M749" s="31"/>
      <c r="N749" s="31">
        <v>0</v>
      </c>
      <c r="O749" s="31">
        <v>0</v>
      </c>
      <c r="P749" s="31"/>
      <c r="Q749" s="31"/>
      <c r="R749" s="31"/>
      <c r="S749" s="31"/>
      <c r="T749" s="31"/>
      <c r="U749" s="31"/>
      <c r="V749" s="31"/>
      <c r="W749" s="31"/>
      <c r="X749" s="31"/>
      <c r="Y749" s="31"/>
      <c r="Z749" s="31"/>
      <c r="AA749" s="31"/>
      <c r="AB749" s="31"/>
      <c r="AC749" s="31">
        <v>0</v>
      </c>
      <c r="AD749" s="31">
        <v>0</v>
      </c>
      <c r="AE749" s="31"/>
      <c r="AF749" s="31"/>
      <c r="AG749" s="31"/>
      <c r="AH749" s="31"/>
      <c r="AI749" s="31"/>
      <c r="AJ749" s="31"/>
      <c r="AK749" s="433"/>
      <c r="AL749" s="31"/>
      <c r="AM749" s="31"/>
      <c r="AN749" s="31"/>
      <c r="AO749" s="592"/>
      <c r="AP749" s="31"/>
      <c r="AQ749" s="31"/>
      <c r="AR749" s="31"/>
      <c r="AS749" s="31"/>
      <c r="AT749" s="31"/>
      <c r="AU749" s="433"/>
    </row>
    <row r="750" spans="1:47" ht="15" customHeight="1" x14ac:dyDescent="0.2">
      <c r="A750" s="39">
        <f>acute_overview_children!A350</f>
        <v>4</v>
      </c>
      <c r="B750" s="23">
        <f>acute_overview_children!B350</f>
        <v>1014040</v>
      </c>
      <c r="C750" s="23" t="str">
        <f>acute_overview_children!C350</f>
        <v>Goat: Kidney</v>
      </c>
      <c r="D750" s="38">
        <f t="shared" si="93"/>
        <v>4</v>
      </c>
      <c r="E750" s="31"/>
      <c r="F750" s="31"/>
      <c r="G750" s="31"/>
      <c r="H750" s="31"/>
      <c r="I750" s="31"/>
      <c r="J750" s="31"/>
      <c r="K750" s="31"/>
      <c r="L750" s="31"/>
      <c r="M750" s="31"/>
      <c r="N750" s="31">
        <v>0</v>
      </c>
      <c r="O750" s="31">
        <v>0</v>
      </c>
      <c r="P750" s="31"/>
      <c r="Q750" s="31"/>
      <c r="R750" s="31"/>
      <c r="S750" s="31"/>
      <c r="T750" s="31"/>
      <c r="U750" s="31"/>
      <c r="V750" s="31"/>
      <c r="W750" s="31"/>
      <c r="X750" s="31"/>
      <c r="Y750" s="31"/>
      <c r="Z750" s="31"/>
      <c r="AA750" s="31"/>
      <c r="AB750" s="31"/>
      <c r="AC750" s="31">
        <v>0</v>
      </c>
      <c r="AD750" s="31">
        <v>0</v>
      </c>
      <c r="AE750" s="31"/>
      <c r="AF750" s="31"/>
      <c r="AG750" s="31"/>
      <c r="AH750" s="31"/>
      <c r="AI750" s="31"/>
      <c r="AJ750" s="31"/>
      <c r="AK750" s="433"/>
      <c r="AL750" s="31"/>
      <c r="AM750" s="31"/>
      <c r="AN750" s="31"/>
      <c r="AO750" s="592"/>
      <c r="AP750" s="31"/>
      <c r="AQ750" s="31"/>
      <c r="AR750" s="31"/>
      <c r="AS750" s="31"/>
      <c r="AT750" s="31"/>
      <c r="AU750" s="433"/>
    </row>
    <row r="751" spans="1:47" ht="15" customHeight="1" x14ac:dyDescent="0.2">
      <c r="A751" s="39">
        <f>acute_overview_children!A351</f>
        <v>4</v>
      </c>
      <c r="B751" s="23">
        <f>acute_overview_children!B351</f>
        <v>1014050</v>
      </c>
      <c r="C751" s="23" t="str">
        <f>acute_overview_children!C351</f>
        <v>Goat: Edible offals (other tha liver and kindey)</v>
      </c>
      <c r="D751" s="38">
        <f t="shared" si="93"/>
        <v>4</v>
      </c>
      <c r="E751" s="31"/>
      <c r="F751" s="31"/>
      <c r="G751" s="31"/>
      <c r="H751" s="31"/>
      <c r="I751" s="31"/>
      <c r="J751" s="31"/>
      <c r="K751" s="31"/>
      <c r="L751" s="31"/>
      <c r="M751" s="31"/>
      <c r="N751" s="31">
        <v>0</v>
      </c>
      <c r="O751" s="31">
        <v>0</v>
      </c>
      <c r="P751" s="31"/>
      <c r="Q751" s="31"/>
      <c r="R751" s="31"/>
      <c r="S751" s="31"/>
      <c r="T751" s="31"/>
      <c r="U751" s="31"/>
      <c r="V751" s="31"/>
      <c r="W751" s="31"/>
      <c r="X751" s="31"/>
      <c r="Y751" s="31"/>
      <c r="Z751" s="31"/>
      <c r="AA751" s="31"/>
      <c r="AB751" s="31"/>
      <c r="AC751" s="31">
        <v>0</v>
      </c>
      <c r="AD751" s="31">
        <v>0</v>
      </c>
      <c r="AE751" s="31"/>
      <c r="AF751" s="31"/>
      <c r="AG751" s="31"/>
      <c r="AH751" s="31"/>
      <c r="AI751" s="31"/>
      <c r="AJ751" s="31"/>
      <c r="AK751" s="433"/>
      <c r="AL751" s="31"/>
      <c r="AM751" s="31"/>
      <c r="AN751" s="31"/>
      <c r="AO751" s="592"/>
      <c r="AP751" s="31"/>
      <c r="AQ751" s="31"/>
      <c r="AR751" s="31"/>
      <c r="AS751" s="31"/>
      <c r="AT751" s="31"/>
      <c r="AU751" s="433"/>
    </row>
    <row r="752" spans="1:47" ht="15" customHeight="1" x14ac:dyDescent="0.2">
      <c r="A752" s="39">
        <f>acute_overview_children!A352</f>
        <v>4</v>
      </c>
      <c r="B752" s="23">
        <f>acute_overview_children!B352</f>
        <v>1014990</v>
      </c>
      <c r="C752" s="23" t="str">
        <f>acute_overview_children!C352</f>
        <v>Goat: other products</v>
      </c>
      <c r="D752" s="38">
        <f t="shared" si="93"/>
        <v>4</v>
      </c>
      <c r="E752" s="31"/>
      <c r="F752" s="31"/>
      <c r="G752" s="31"/>
      <c r="H752" s="31"/>
      <c r="I752" s="31"/>
      <c r="J752" s="31"/>
      <c r="K752" s="31"/>
      <c r="L752" s="31"/>
      <c r="M752" s="31"/>
      <c r="N752" s="31">
        <v>0</v>
      </c>
      <c r="O752" s="31">
        <v>0</v>
      </c>
      <c r="P752" s="31"/>
      <c r="Q752" s="31"/>
      <c r="R752" s="31"/>
      <c r="S752" s="31"/>
      <c r="T752" s="31"/>
      <c r="U752" s="31"/>
      <c r="V752" s="31"/>
      <c r="W752" s="31"/>
      <c r="X752" s="31"/>
      <c r="Y752" s="31"/>
      <c r="Z752" s="31"/>
      <c r="AA752" s="31"/>
      <c r="AB752" s="31"/>
      <c r="AC752" s="31">
        <v>0</v>
      </c>
      <c r="AD752" s="31">
        <v>0</v>
      </c>
      <c r="AE752" s="31"/>
      <c r="AF752" s="31"/>
      <c r="AG752" s="31"/>
      <c r="AH752" s="31"/>
      <c r="AI752" s="31"/>
      <c r="AJ752" s="31"/>
      <c r="AK752" s="433"/>
      <c r="AL752" s="31"/>
      <c r="AM752" s="31"/>
      <c r="AN752" s="31"/>
      <c r="AO752" s="592"/>
      <c r="AP752" s="31"/>
      <c r="AQ752" s="31"/>
      <c r="AR752" s="31"/>
      <c r="AS752" s="31"/>
      <c r="AT752" s="31"/>
      <c r="AU752" s="433"/>
    </row>
    <row r="753" spans="1:47" ht="15" customHeight="1" x14ac:dyDescent="0.2">
      <c r="A753" s="133">
        <f>acute_overview_children!A353</f>
        <v>3</v>
      </c>
      <c r="B753" s="5">
        <f>acute_overview_children!B353</f>
        <v>1015000</v>
      </c>
      <c r="C753" s="5" t="str">
        <f>acute_overview_children!C353</f>
        <v>Equine</v>
      </c>
      <c r="D753" s="38">
        <f t="shared" si="93"/>
        <v>4</v>
      </c>
      <c r="E753" s="49"/>
      <c r="F753" s="49"/>
      <c r="G753" s="49"/>
      <c r="H753" s="49"/>
      <c r="I753" s="49"/>
      <c r="J753" s="49"/>
      <c r="K753" s="49"/>
      <c r="L753" s="49"/>
      <c r="M753" s="49"/>
      <c r="N753" s="49">
        <v>0</v>
      </c>
      <c r="O753" s="49">
        <v>0</v>
      </c>
      <c r="P753" s="49"/>
      <c r="Q753" s="49"/>
      <c r="R753" s="49"/>
      <c r="S753" s="49"/>
      <c r="T753" s="49"/>
      <c r="U753" s="49"/>
      <c r="V753" s="49"/>
      <c r="W753" s="49"/>
      <c r="X753" s="49"/>
      <c r="Y753" s="49"/>
      <c r="Z753" s="49"/>
      <c r="AA753" s="49"/>
      <c r="AB753" s="49"/>
      <c r="AC753" s="49">
        <v>0</v>
      </c>
      <c r="AD753" s="49">
        <v>0</v>
      </c>
      <c r="AE753" s="49"/>
      <c r="AF753" s="49"/>
      <c r="AG753" s="49"/>
      <c r="AH753" s="49"/>
      <c r="AI753" s="49"/>
      <c r="AJ753" s="49"/>
      <c r="AK753" s="94"/>
      <c r="AL753" s="49"/>
      <c r="AM753" s="49"/>
      <c r="AN753" s="49"/>
      <c r="AO753" s="594"/>
      <c r="AP753" s="49"/>
      <c r="AQ753" s="49"/>
      <c r="AR753" s="49"/>
      <c r="AS753" s="49"/>
      <c r="AT753" s="49"/>
      <c r="AU753" s="94"/>
    </row>
    <row r="754" spans="1:47" ht="15" customHeight="1" x14ac:dyDescent="0.2">
      <c r="A754" s="39">
        <f>acute_overview_children!A354</f>
        <v>4</v>
      </c>
      <c r="B754" s="23">
        <f>acute_overview_children!B354</f>
        <v>1015010</v>
      </c>
      <c r="C754" s="23" t="str">
        <f>acute_overview_children!C354</f>
        <v>Equine: Muscle/meat</v>
      </c>
      <c r="D754" s="38">
        <f t="shared" si="93"/>
        <v>4</v>
      </c>
      <c r="E754" s="31"/>
      <c r="F754" s="31"/>
      <c r="G754" s="31"/>
      <c r="H754" s="31"/>
      <c r="I754" s="31"/>
      <c r="J754" s="31"/>
      <c r="K754" s="31"/>
      <c r="L754" s="31"/>
      <c r="M754" s="31"/>
      <c r="N754" s="31">
        <v>0</v>
      </c>
      <c r="O754" s="31">
        <v>0</v>
      </c>
      <c r="P754" s="31"/>
      <c r="Q754" s="31"/>
      <c r="R754" s="31"/>
      <c r="S754" s="31"/>
      <c r="T754" s="31"/>
      <c r="U754" s="31"/>
      <c r="V754" s="31"/>
      <c r="W754" s="31"/>
      <c r="X754" s="31"/>
      <c r="Y754" s="31"/>
      <c r="Z754" s="31"/>
      <c r="AA754" s="31"/>
      <c r="AB754" s="31"/>
      <c r="AC754" s="31">
        <v>0</v>
      </c>
      <c r="AD754" s="31">
        <v>0</v>
      </c>
      <c r="AE754" s="31"/>
      <c r="AF754" s="31"/>
      <c r="AG754" s="31"/>
      <c r="AH754" s="31"/>
      <c r="AI754" s="31"/>
      <c r="AJ754" s="31"/>
      <c r="AK754" s="433"/>
      <c r="AL754" s="31"/>
      <c r="AM754" s="31"/>
      <c r="AN754" s="31"/>
      <c r="AO754" s="592"/>
      <c r="AP754" s="31"/>
      <c r="AQ754" s="31"/>
      <c r="AR754" s="31"/>
      <c r="AS754" s="31"/>
      <c r="AT754" s="31"/>
      <c r="AU754" s="433"/>
    </row>
    <row r="755" spans="1:47" ht="15" customHeight="1" x14ac:dyDescent="0.2">
      <c r="A755" s="39">
        <f>acute_overview_children!A355</f>
        <v>4</v>
      </c>
      <c r="B755" s="23">
        <f>acute_overview_children!B355</f>
        <v>1015020</v>
      </c>
      <c r="C755" s="23" t="str">
        <f>acute_overview_children!C355</f>
        <v>Equine: Fat tissue</v>
      </c>
      <c r="D755" s="38">
        <f t="shared" si="93"/>
        <v>4</v>
      </c>
      <c r="E755" s="31"/>
      <c r="F755" s="31"/>
      <c r="G755" s="31"/>
      <c r="H755" s="31"/>
      <c r="I755" s="31"/>
      <c r="J755" s="31"/>
      <c r="K755" s="31"/>
      <c r="L755" s="31"/>
      <c r="M755" s="31"/>
      <c r="N755" s="31">
        <v>0</v>
      </c>
      <c r="O755" s="31">
        <v>0</v>
      </c>
      <c r="P755" s="31"/>
      <c r="Q755" s="31"/>
      <c r="R755" s="31"/>
      <c r="S755" s="31"/>
      <c r="T755" s="31"/>
      <c r="U755" s="31"/>
      <c r="V755" s="31"/>
      <c r="W755" s="31"/>
      <c r="X755" s="31"/>
      <c r="Y755" s="31"/>
      <c r="Z755" s="31"/>
      <c r="AA755" s="31"/>
      <c r="AB755" s="31"/>
      <c r="AC755" s="31">
        <v>0</v>
      </c>
      <c r="AD755" s="31">
        <v>0</v>
      </c>
      <c r="AE755" s="31"/>
      <c r="AF755" s="31"/>
      <c r="AG755" s="31"/>
      <c r="AH755" s="31"/>
      <c r="AI755" s="31"/>
      <c r="AJ755" s="31"/>
      <c r="AK755" s="433"/>
      <c r="AL755" s="31"/>
      <c r="AM755" s="31"/>
      <c r="AN755" s="31"/>
      <c r="AO755" s="592"/>
      <c r="AP755" s="31"/>
      <c r="AQ755" s="31"/>
      <c r="AR755" s="31"/>
      <c r="AS755" s="31"/>
      <c r="AT755" s="31"/>
      <c r="AU755" s="433"/>
    </row>
    <row r="756" spans="1:47" ht="15" customHeight="1" x14ac:dyDescent="0.2">
      <c r="A756" s="39">
        <f>acute_overview_children!A356</f>
        <v>4</v>
      </c>
      <c r="B756" s="23">
        <f>acute_overview_children!B356</f>
        <v>1015030</v>
      </c>
      <c r="C756" s="23" t="str">
        <f>acute_overview_children!C356</f>
        <v>Equine: Liver</v>
      </c>
      <c r="D756" s="38">
        <f t="shared" si="93"/>
        <v>4</v>
      </c>
      <c r="E756" s="31"/>
      <c r="F756" s="31"/>
      <c r="G756" s="31"/>
      <c r="H756" s="31"/>
      <c r="I756" s="31"/>
      <c r="J756" s="31"/>
      <c r="K756" s="31"/>
      <c r="L756" s="31"/>
      <c r="M756" s="31"/>
      <c r="N756" s="31">
        <v>0</v>
      </c>
      <c r="O756" s="31">
        <v>0</v>
      </c>
      <c r="P756" s="31"/>
      <c r="Q756" s="31"/>
      <c r="R756" s="31"/>
      <c r="S756" s="31"/>
      <c r="T756" s="31"/>
      <c r="U756" s="31"/>
      <c r="V756" s="31"/>
      <c r="W756" s="31"/>
      <c r="X756" s="31"/>
      <c r="Y756" s="31"/>
      <c r="Z756" s="31"/>
      <c r="AA756" s="31"/>
      <c r="AB756" s="31"/>
      <c r="AC756" s="31">
        <v>0</v>
      </c>
      <c r="AD756" s="31">
        <v>0</v>
      </c>
      <c r="AE756" s="31"/>
      <c r="AF756" s="31"/>
      <c r="AG756" s="31"/>
      <c r="AH756" s="31"/>
      <c r="AI756" s="31"/>
      <c r="AJ756" s="31"/>
      <c r="AK756" s="433"/>
      <c r="AL756" s="31"/>
      <c r="AM756" s="31"/>
      <c r="AN756" s="31"/>
      <c r="AO756" s="592"/>
      <c r="AP756" s="31"/>
      <c r="AQ756" s="31"/>
      <c r="AR756" s="31"/>
      <c r="AS756" s="31"/>
      <c r="AT756" s="31"/>
      <c r="AU756" s="433"/>
    </row>
    <row r="757" spans="1:47" ht="15" customHeight="1" x14ac:dyDescent="0.2">
      <c r="A757" s="39">
        <f>acute_overview_children!A357</f>
        <v>4</v>
      </c>
      <c r="B757" s="23">
        <f>acute_overview_children!B357</f>
        <v>1015040</v>
      </c>
      <c r="C757" s="23" t="str">
        <f>acute_overview_children!C357</f>
        <v>Equine: Kidney</v>
      </c>
      <c r="D757" s="38">
        <f t="shared" si="93"/>
        <v>4</v>
      </c>
      <c r="E757" s="31"/>
      <c r="F757" s="31"/>
      <c r="G757" s="31"/>
      <c r="H757" s="31"/>
      <c r="I757" s="31"/>
      <c r="J757" s="31"/>
      <c r="K757" s="31"/>
      <c r="L757" s="31"/>
      <c r="M757" s="31"/>
      <c r="N757" s="31">
        <v>0</v>
      </c>
      <c r="O757" s="31">
        <v>0</v>
      </c>
      <c r="P757" s="31"/>
      <c r="Q757" s="31"/>
      <c r="R757" s="31"/>
      <c r="S757" s="31"/>
      <c r="T757" s="31"/>
      <c r="U757" s="31"/>
      <c r="V757" s="31"/>
      <c r="W757" s="31"/>
      <c r="X757" s="31"/>
      <c r="Y757" s="31"/>
      <c r="Z757" s="31"/>
      <c r="AA757" s="31"/>
      <c r="AB757" s="31"/>
      <c r="AC757" s="31">
        <v>0</v>
      </c>
      <c r="AD757" s="31">
        <v>0</v>
      </c>
      <c r="AE757" s="31"/>
      <c r="AF757" s="31"/>
      <c r="AG757" s="31"/>
      <c r="AH757" s="31"/>
      <c r="AI757" s="31"/>
      <c r="AJ757" s="31"/>
      <c r="AK757" s="433"/>
      <c r="AL757" s="31"/>
      <c r="AM757" s="31"/>
      <c r="AN757" s="31"/>
      <c r="AO757" s="592"/>
      <c r="AP757" s="31"/>
      <c r="AQ757" s="31"/>
      <c r="AR757" s="31"/>
      <c r="AS757" s="31"/>
      <c r="AT757" s="31"/>
      <c r="AU757" s="433"/>
    </row>
    <row r="758" spans="1:47" ht="15" customHeight="1" x14ac:dyDescent="0.2">
      <c r="A758" s="39">
        <f>acute_overview_children!A358</f>
        <v>4</v>
      </c>
      <c r="B758" s="23">
        <f>acute_overview_children!B358</f>
        <v>1015050</v>
      </c>
      <c r="C758" s="23" t="str">
        <f>acute_overview_children!C358</f>
        <v>Equine: Edible offals (other than liver and kidney)</v>
      </c>
      <c r="D758" s="38">
        <f t="shared" si="93"/>
        <v>4</v>
      </c>
      <c r="E758" s="31"/>
      <c r="F758" s="31"/>
      <c r="G758" s="31"/>
      <c r="H758" s="31"/>
      <c r="I758" s="31"/>
      <c r="J758" s="31"/>
      <c r="K758" s="31"/>
      <c r="L758" s="31"/>
      <c r="M758" s="31"/>
      <c r="N758" s="31">
        <v>0</v>
      </c>
      <c r="O758" s="31">
        <v>0</v>
      </c>
      <c r="P758" s="31"/>
      <c r="Q758" s="31"/>
      <c r="R758" s="31"/>
      <c r="S758" s="31"/>
      <c r="T758" s="31"/>
      <c r="U758" s="31"/>
      <c r="V758" s="31"/>
      <c r="W758" s="31"/>
      <c r="X758" s="31"/>
      <c r="Y758" s="31"/>
      <c r="Z758" s="31"/>
      <c r="AA758" s="31"/>
      <c r="AB758" s="31"/>
      <c r="AC758" s="31">
        <v>0</v>
      </c>
      <c r="AD758" s="31">
        <v>0</v>
      </c>
      <c r="AE758" s="31"/>
      <c r="AF758" s="31"/>
      <c r="AG758" s="31"/>
      <c r="AH758" s="31"/>
      <c r="AI758" s="31"/>
      <c r="AJ758" s="31"/>
      <c r="AK758" s="433"/>
      <c r="AL758" s="31"/>
      <c r="AM758" s="31"/>
      <c r="AN758" s="31"/>
      <c r="AO758" s="592"/>
      <c r="AP758" s="31"/>
      <c r="AQ758" s="31"/>
      <c r="AR758" s="31"/>
      <c r="AS758" s="31"/>
      <c r="AT758" s="31"/>
      <c r="AU758" s="433"/>
    </row>
    <row r="759" spans="1:47" ht="15" customHeight="1" x14ac:dyDescent="0.2">
      <c r="A759" s="39">
        <f>acute_overview_children!A359</f>
        <v>4</v>
      </c>
      <c r="B759" s="23">
        <f>acute_overview_children!B359</f>
        <v>1015990</v>
      </c>
      <c r="C759" s="23" t="str">
        <f>acute_overview_children!C359</f>
        <v>Equine: Other products</v>
      </c>
      <c r="D759" s="38">
        <f t="shared" si="93"/>
        <v>4</v>
      </c>
      <c r="E759" s="31"/>
      <c r="F759" s="31"/>
      <c r="G759" s="31"/>
      <c r="H759" s="31"/>
      <c r="I759" s="31"/>
      <c r="J759" s="31"/>
      <c r="K759" s="31"/>
      <c r="L759" s="31"/>
      <c r="M759" s="31"/>
      <c r="N759" s="31">
        <v>0</v>
      </c>
      <c r="O759" s="31">
        <v>0</v>
      </c>
      <c r="P759" s="31"/>
      <c r="Q759" s="31"/>
      <c r="R759" s="31"/>
      <c r="S759" s="31"/>
      <c r="T759" s="31"/>
      <c r="U759" s="31"/>
      <c r="V759" s="31"/>
      <c r="W759" s="31"/>
      <c r="X759" s="31"/>
      <c r="Y759" s="31"/>
      <c r="Z759" s="31"/>
      <c r="AA759" s="31"/>
      <c r="AB759" s="31"/>
      <c r="AC759" s="31">
        <v>0</v>
      </c>
      <c r="AD759" s="31">
        <v>0</v>
      </c>
      <c r="AE759" s="31"/>
      <c r="AF759" s="31"/>
      <c r="AG759" s="31"/>
      <c r="AH759" s="31"/>
      <c r="AI759" s="31"/>
      <c r="AJ759" s="31"/>
      <c r="AK759" s="433"/>
      <c r="AL759" s="31"/>
      <c r="AM759" s="31"/>
      <c r="AN759" s="31"/>
      <c r="AO759" s="592"/>
      <c r="AP759" s="31"/>
      <c r="AQ759" s="31"/>
      <c r="AR759" s="31"/>
      <c r="AS759" s="31"/>
      <c r="AT759" s="31"/>
      <c r="AU759" s="433"/>
    </row>
    <row r="760" spans="1:47" ht="15" customHeight="1" x14ac:dyDescent="0.2">
      <c r="A760" s="133">
        <f>acute_overview_children!A360</f>
        <v>3</v>
      </c>
      <c r="B760" s="5">
        <f>acute_overview_children!B360</f>
        <v>1016000</v>
      </c>
      <c r="C760" s="5" t="str">
        <f>acute_overview_children!C360</f>
        <v>Poultry</v>
      </c>
      <c r="D760" s="38">
        <f t="shared" si="93"/>
        <v>4</v>
      </c>
      <c r="E760" s="49"/>
      <c r="F760" s="49"/>
      <c r="G760" s="49"/>
      <c r="H760" s="49"/>
      <c r="I760" s="49"/>
      <c r="J760" s="49"/>
      <c r="K760" s="49"/>
      <c r="L760" s="49"/>
      <c r="M760" s="49"/>
      <c r="N760" s="49">
        <v>1.7471264367816093</v>
      </c>
      <c r="O760" s="49">
        <v>2.993150684931507</v>
      </c>
      <c r="P760" s="49"/>
      <c r="Q760" s="49"/>
      <c r="R760" s="49"/>
      <c r="S760" s="49"/>
      <c r="T760" s="49"/>
      <c r="U760" s="49"/>
      <c r="V760" s="49"/>
      <c r="W760" s="49"/>
      <c r="X760" s="49"/>
      <c r="Y760" s="49"/>
      <c r="Z760" s="49"/>
      <c r="AA760" s="49"/>
      <c r="AB760" s="49"/>
      <c r="AC760" s="49">
        <v>1.6210526315789473</v>
      </c>
      <c r="AD760" s="49">
        <v>1.7151424287856072</v>
      </c>
      <c r="AE760" s="49"/>
      <c r="AF760" s="49"/>
      <c r="AG760" s="49"/>
      <c r="AH760" s="49"/>
      <c r="AI760" s="49"/>
      <c r="AJ760" s="49"/>
      <c r="AK760" s="94"/>
      <c r="AL760" s="49"/>
      <c r="AM760" s="49"/>
      <c r="AN760" s="49"/>
      <c r="AO760" s="594"/>
      <c r="AP760" s="49"/>
      <c r="AQ760" s="49"/>
      <c r="AR760" s="49"/>
      <c r="AS760" s="49"/>
      <c r="AT760" s="49"/>
      <c r="AU760" s="94"/>
    </row>
    <row r="761" spans="1:47" ht="15" customHeight="1" x14ac:dyDescent="0.2">
      <c r="A761" s="39">
        <f>acute_overview_children!A361</f>
        <v>4</v>
      </c>
      <c r="B761" s="23">
        <f>acute_overview_children!B361</f>
        <v>1016010</v>
      </c>
      <c r="C761" s="23" t="str">
        <f>acute_overview_children!C361</f>
        <v>Poultry: Muscle/meat</v>
      </c>
      <c r="D761" s="38">
        <f t="shared" si="93"/>
        <v>4</v>
      </c>
      <c r="E761" s="31"/>
      <c r="F761" s="31"/>
      <c r="G761" s="31"/>
      <c r="H761" s="31"/>
      <c r="I761" s="31"/>
      <c r="J761" s="31"/>
      <c r="K761" s="31"/>
      <c r="L761" s="31"/>
      <c r="M761" s="31"/>
      <c r="N761" s="31">
        <v>1.7471264367816093</v>
      </c>
      <c r="O761" s="31">
        <v>2.993150684931507</v>
      </c>
      <c r="P761" s="31"/>
      <c r="Q761" s="31"/>
      <c r="R761" s="31"/>
      <c r="S761" s="31"/>
      <c r="T761" s="31"/>
      <c r="U761" s="31"/>
      <c r="V761" s="31"/>
      <c r="W761" s="31"/>
      <c r="X761" s="31"/>
      <c r="Y761" s="31"/>
      <c r="Z761" s="31"/>
      <c r="AA761" s="31"/>
      <c r="AB761" s="31"/>
      <c r="AC761" s="31">
        <v>1.6210526315789473</v>
      </c>
      <c r="AD761" s="31">
        <v>1.7151424287856072</v>
      </c>
      <c r="AE761" s="31"/>
      <c r="AF761" s="31"/>
      <c r="AG761" s="31"/>
      <c r="AH761" s="31"/>
      <c r="AI761" s="31"/>
      <c r="AJ761" s="31"/>
      <c r="AK761" s="433"/>
      <c r="AL761" s="31"/>
      <c r="AM761" s="31"/>
      <c r="AN761" s="31"/>
      <c r="AO761" s="592"/>
      <c r="AP761" s="31"/>
      <c r="AQ761" s="31"/>
      <c r="AR761" s="31"/>
      <c r="AS761" s="31"/>
      <c r="AT761" s="31"/>
      <c r="AU761" s="433"/>
    </row>
    <row r="762" spans="1:47" ht="15" customHeight="1" x14ac:dyDescent="0.2">
      <c r="A762" s="39">
        <f>acute_overview_children!A362</f>
        <v>4</v>
      </c>
      <c r="B762" s="23">
        <f>acute_overview_children!B362</f>
        <v>1016020</v>
      </c>
      <c r="C762" s="23" t="str">
        <f>acute_overview_children!C362</f>
        <v>Poultry: Fat tissue</v>
      </c>
      <c r="D762" s="38">
        <f t="shared" si="93"/>
        <v>4</v>
      </c>
      <c r="E762" s="31"/>
      <c r="F762" s="31"/>
      <c r="G762" s="31"/>
      <c r="H762" s="31"/>
      <c r="I762" s="31"/>
      <c r="J762" s="31"/>
      <c r="K762" s="31"/>
      <c r="L762" s="31"/>
      <c r="M762" s="31"/>
      <c r="N762" s="31">
        <v>0</v>
      </c>
      <c r="O762" s="31">
        <v>0</v>
      </c>
      <c r="P762" s="31"/>
      <c r="Q762" s="31"/>
      <c r="R762" s="31"/>
      <c r="S762" s="31"/>
      <c r="T762" s="31"/>
      <c r="U762" s="31"/>
      <c r="V762" s="31"/>
      <c r="W762" s="31"/>
      <c r="X762" s="31"/>
      <c r="Y762" s="31"/>
      <c r="Z762" s="31"/>
      <c r="AA762" s="31"/>
      <c r="AB762" s="31"/>
      <c r="AC762" s="31">
        <v>0</v>
      </c>
      <c r="AD762" s="31">
        <v>0</v>
      </c>
      <c r="AE762" s="31"/>
      <c r="AF762" s="31"/>
      <c r="AG762" s="31"/>
      <c r="AH762" s="31"/>
      <c r="AI762" s="31"/>
      <c r="AJ762" s="31"/>
      <c r="AK762" s="433"/>
      <c r="AL762" s="31"/>
      <c r="AM762" s="31"/>
      <c r="AN762" s="31"/>
      <c r="AO762" s="592"/>
      <c r="AP762" s="31"/>
      <c r="AQ762" s="31"/>
      <c r="AR762" s="31"/>
      <c r="AS762" s="31"/>
      <c r="AT762" s="31"/>
      <c r="AU762" s="433"/>
    </row>
    <row r="763" spans="1:47" ht="15" customHeight="1" x14ac:dyDescent="0.2">
      <c r="A763" s="39">
        <f>acute_overview_children!A363</f>
        <v>4</v>
      </c>
      <c r="B763" s="23">
        <f>acute_overview_children!B363</f>
        <v>1016030</v>
      </c>
      <c r="C763" s="23" t="str">
        <f>acute_overview_children!C363</f>
        <v>Poultry: Liver</v>
      </c>
      <c r="D763" s="38">
        <f t="shared" si="93"/>
        <v>4</v>
      </c>
      <c r="E763" s="31"/>
      <c r="F763" s="31"/>
      <c r="G763" s="31"/>
      <c r="H763" s="31"/>
      <c r="I763" s="31"/>
      <c r="J763" s="31"/>
      <c r="K763" s="31"/>
      <c r="L763" s="31"/>
      <c r="M763" s="31"/>
      <c r="N763" s="31">
        <v>0</v>
      </c>
      <c r="O763" s="31">
        <v>0</v>
      </c>
      <c r="P763" s="31"/>
      <c r="Q763" s="31"/>
      <c r="R763" s="31"/>
      <c r="S763" s="31"/>
      <c r="T763" s="31"/>
      <c r="U763" s="31"/>
      <c r="V763" s="31"/>
      <c r="W763" s="31"/>
      <c r="X763" s="31"/>
      <c r="Y763" s="31"/>
      <c r="Z763" s="31"/>
      <c r="AA763" s="31"/>
      <c r="AB763" s="31"/>
      <c r="AC763" s="31">
        <v>0</v>
      </c>
      <c r="AD763" s="31">
        <v>0</v>
      </c>
      <c r="AE763" s="31"/>
      <c r="AF763" s="31"/>
      <c r="AG763" s="31"/>
      <c r="AH763" s="31"/>
      <c r="AI763" s="31"/>
      <c r="AJ763" s="31"/>
      <c r="AK763" s="433"/>
      <c r="AL763" s="31"/>
      <c r="AM763" s="31"/>
      <c r="AN763" s="31"/>
      <c r="AO763" s="592"/>
      <c r="AP763" s="31"/>
      <c r="AQ763" s="31"/>
      <c r="AR763" s="31"/>
      <c r="AS763" s="31"/>
      <c r="AT763" s="31"/>
      <c r="AU763" s="433"/>
    </row>
    <row r="764" spans="1:47" ht="15" customHeight="1" x14ac:dyDescent="0.2">
      <c r="A764" s="39">
        <f>acute_overview_children!A364</f>
        <v>4</v>
      </c>
      <c r="B764" s="23">
        <f>acute_overview_children!B364</f>
        <v>1016040</v>
      </c>
      <c r="C764" s="23" t="str">
        <f>acute_overview_children!C364</f>
        <v>Poultry: Kidney</v>
      </c>
      <c r="D764" s="38">
        <f t="shared" si="93"/>
        <v>4</v>
      </c>
      <c r="E764" s="31"/>
      <c r="F764" s="31"/>
      <c r="G764" s="31"/>
      <c r="H764" s="31"/>
      <c r="I764" s="31"/>
      <c r="J764" s="31"/>
      <c r="K764" s="31"/>
      <c r="L764" s="31"/>
      <c r="M764" s="31"/>
      <c r="N764" s="31">
        <v>0</v>
      </c>
      <c r="O764" s="31">
        <v>0</v>
      </c>
      <c r="P764" s="31"/>
      <c r="Q764" s="31"/>
      <c r="R764" s="31"/>
      <c r="S764" s="31"/>
      <c r="T764" s="31"/>
      <c r="U764" s="31"/>
      <c r="V764" s="31"/>
      <c r="W764" s="31"/>
      <c r="X764" s="31"/>
      <c r="Y764" s="31"/>
      <c r="Z764" s="31"/>
      <c r="AA764" s="31"/>
      <c r="AB764" s="31"/>
      <c r="AC764" s="31">
        <v>0</v>
      </c>
      <c r="AD764" s="31">
        <v>0</v>
      </c>
      <c r="AE764" s="31"/>
      <c r="AF764" s="31"/>
      <c r="AG764" s="31"/>
      <c r="AH764" s="31"/>
      <c r="AI764" s="31"/>
      <c r="AJ764" s="31"/>
      <c r="AK764" s="433"/>
      <c r="AL764" s="31"/>
      <c r="AM764" s="31"/>
      <c r="AN764" s="31"/>
      <c r="AO764" s="592"/>
      <c r="AP764" s="31"/>
      <c r="AQ764" s="31"/>
      <c r="AR764" s="31"/>
      <c r="AS764" s="31"/>
      <c r="AT764" s="31"/>
      <c r="AU764" s="433"/>
    </row>
    <row r="765" spans="1:47" ht="15" customHeight="1" x14ac:dyDescent="0.2">
      <c r="A765" s="39">
        <f>acute_overview_children!A365</f>
        <v>4</v>
      </c>
      <c r="B765" s="23">
        <f>acute_overview_children!B365</f>
        <v>1016050</v>
      </c>
      <c r="C765" s="23" t="str">
        <f>acute_overview_children!C365</f>
        <v>Poultry: Edible offals (other than liver and kideny)</v>
      </c>
      <c r="D765" s="38">
        <f t="shared" si="93"/>
        <v>4</v>
      </c>
      <c r="E765" s="31"/>
      <c r="F765" s="31"/>
      <c r="G765" s="31"/>
      <c r="H765" s="31"/>
      <c r="I765" s="31"/>
      <c r="J765" s="31"/>
      <c r="K765" s="31"/>
      <c r="L765" s="31"/>
      <c r="M765" s="31"/>
      <c r="N765" s="31">
        <v>0</v>
      </c>
      <c r="O765" s="31">
        <v>0</v>
      </c>
      <c r="P765" s="31"/>
      <c r="Q765" s="31"/>
      <c r="R765" s="31"/>
      <c r="S765" s="31"/>
      <c r="T765" s="31"/>
      <c r="U765" s="31"/>
      <c r="V765" s="31"/>
      <c r="W765" s="31"/>
      <c r="X765" s="31"/>
      <c r="Y765" s="31"/>
      <c r="Z765" s="31"/>
      <c r="AA765" s="31"/>
      <c r="AB765" s="31"/>
      <c r="AC765" s="31">
        <v>0</v>
      </c>
      <c r="AD765" s="31">
        <v>0</v>
      </c>
      <c r="AE765" s="31"/>
      <c r="AF765" s="31"/>
      <c r="AG765" s="31"/>
      <c r="AH765" s="31"/>
      <c r="AI765" s="31"/>
      <c r="AJ765" s="31"/>
      <c r="AK765" s="433"/>
      <c r="AL765" s="31"/>
      <c r="AM765" s="31"/>
      <c r="AN765" s="31"/>
      <c r="AO765" s="592"/>
      <c r="AP765" s="31"/>
      <c r="AQ765" s="31"/>
      <c r="AR765" s="31"/>
      <c r="AS765" s="31"/>
      <c r="AT765" s="31"/>
      <c r="AU765" s="433"/>
    </row>
    <row r="766" spans="1:47" ht="15" customHeight="1" x14ac:dyDescent="0.2">
      <c r="A766" s="39">
        <f>acute_overview_children!A366</f>
        <v>4</v>
      </c>
      <c r="B766" s="23">
        <f>acute_overview_children!B366</f>
        <v>1016990</v>
      </c>
      <c r="C766" s="23" t="str">
        <f>acute_overview_children!C366</f>
        <v>Poultry: Other products</v>
      </c>
      <c r="D766" s="38">
        <f t="shared" si="93"/>
        <v>4</v>
      </c>
      <c r="E766" s="31"/>
      <c r="F766" s="31"/>
      <c r="G766" s="31"/>
      <c r="H766" s="31"/>
      <c r="I766" s="31"/>
      <c r="J766" s="31"/>
      <c r="K766" s="31"/>
      <c r="L766" s="31"/>
      <c r="M766" s="31"/>
      <c r="N766" s="31">
        <v>0</v>
      </c>
      <c r="O766" s="31">
        <v>0</v>
      </c>
      <c r="P766" s="31"/>
      <c r="Q766" s="31"/>
      <c r="R766" s="31"/>
      <c r="S766" s="31"/>
      <c r="T766" s="31"/>
      <c r="U766" s="31"/>
      <c r="V766" s="31"/>
      <c r="W766" s="31"/>
      <c r="X766" s="31"/>
      <c r="Y766" s="31"/>
      <c r="Z766" s="31"/>
      <c r="AA766" s="31"/>
      <c r="AB766" s="31"/>
      <c r="AC766" s="31">
        <v>0</v>
      </c>
      <c r="AD766" s="31">
        <v>0</v>
      </c>
      <c r="AE766" s="31"/>
      <c r="AF766" s="31"/>
      <c r="AG766" s="31"/>
      <c r="AH766" s="31"/>
      <c r="AI766" s="31"/>
      <c r="AJ766" s="31"/>
      <c r="AK766" s="433"/>
      <c r="AL766" s="31"/>
      <c r="AM766" s="31"/>
      <c r="AN766" s="31"/>
      <c r="AO766" s="592"/>
      <c r="AP766" s="31"/>
      <c r="AQ766" s="31"/>
      <c r="AR766" s="31"/>
      <c r="AS766" s="31"/>
      <c r="AT766" s="31"/>
      <c r="AU766" s="433"/>
    </row>
    <row r="767" spans="1:47" ht="15" customHeight="1" x14ac:dyDescent="0.2">
      <c r="A767" s="133">
        <f>acute_overview_children!A367</f>
        <v>3</v>
      </c>
      <c r="B767" s="5">
        <f>acute_overview_children!B367</f>
        <v>1017000</v>
      </c>
      <c r="C767" s="5" t="str">
        <f>acute_overview_children!C367</f>
        <v>Other farmed terrestrial animals</v>
      </c>
      <c r="D767" s="38">
        <f t="shared" si="93"/>
        <v>4</v>
      </c>
      <c r="E767" s="49"/>
      <c r="F767" s="49"/>
      <c r="G767" s="49"/>
      <c r="H767" s="49"/>
      <c r="I767" s="49"/>
      <c r="J767" s="49"/>
      <c r="K767" s="49"/>
      <c r="L767" s="49"/>
      <c r="M767" s="49"/>
      <c r="N767" s="49">
        <v>0</v>
      </c>
      <c r="O767" s="49">
        <v>0</v>
      </c>
      <c r="P767" s="49"/>
      <c r="Q767" s="49"/>
      <c r="R767" s="49"/>
      <c r="S767" s="49"/>
      <c r="T767" s="49"/>
      <c r="U767" s="49"/>
      <c r="V767" s="49"/>
      <c r="W767" s="49"/>
      <c r="X767" s="49"/>
      <c r="Y767" s="49"/>
      <c r="Z767" s="49"/>
      <c r="AA767" s="49"/>
      <c r="AB767" s="49"/>
      <c r="AC767" s="49">
        <v>0</v>
      </c>
      <c r="AD767" s="49">
        <v>0</v>
      </c>
      <c r="AE767" s="49"/>
      <c r="AF767" s="49"/>
      <c r="AG767" s="49"/>
      <c r="AH767" s="49"/>
      <c r="AI767" s="49"/>
      <c r="AJ767" s="49"/>
      <c r="AK767" s="94"/>
      <c r="AL767" s="49"/>
      <c r="AM767" s="49"/>
      <c r="AN767" s="49"/>
      <c r="AO767" s="594"/>
      <c r="AP767" s="49"/>
      <c r="AQ767" s="49"/>
      <c r="AR767" s="49"/>
      <c r="AS767" s="49"/>
      <c r="AT767" s="49"/>
      <c r="AU767" s="94"/>
    </row>
    <row r="768" spans="1:47" ht="15" customHeight="1" x14ac:dyDescent="0.2">
      <c r="A768" s="39">
        <f>acute_overview_children!A368</f>
        <v>4</v>
      </c>
      <c r="B768" s="23">
        <f>acute_overview_children!B368</f>
        <v>1017010</v>
      </c>
      <c r="C768" s="23" t="str">
        <f>acute_overview_children!C368</f>
        <v xml:space="preserve"> Other farmed animals: Muscle/meat</v>
      </c>
      <c r="D768" s="38">
        <f t="shared" si="93"/>
        <v>4</v>
      </c>
      <c r="E768" s="31"/>
      <c r="F768" s="31"/>
      <c r="G768" s="31"/>
      <c r="H768" s="31"/>
      <c r="I768" s="31"/>
      <c r="J768" s="31"/>
      <c r="K768" s="31"/>
      <c r="L768" s="31"/>
      <c r="M768" s="31"/>
      <c r="N768" s="31">
        <v>0</v>
      </c>
      <c r="O768" s="31">
        <v>0</v>
      </c>
      <c r="P768" s="31"/>
      <c r="Q768" s="31"/>
      <c r="R768" s="31"/>
      <c r="S768" s="31"/>
      <c r="T768" s="31"/>
      <c r="U768" s="31"/>
      <c r="V768" s="31"/>
      <c r="W768" s="31"/>
      <c r="X768" s="31"/>
      <c r="Y768" s="31"/>
      <c r="Z768" s="31"/>
      <c r="AA768" s="31"/>
      <c r="AB768" s="31"/>
      <c r="AC768" s="31">
        <v>0</v>
      </c>
      <c r="AD768" s="31">
        <v>0</v>
      </c>
      <c r="AE768" s="31"/>
      <c r="AF768" s="31"/>
      <c r="AG768" s="31"/>
      <c r="AH768" s="31"/>
      <c r="AI768" s="31"/>
      <c r="AJ768" s="31"/>
      <c r="AK768" s="433"/>
      <c r="AL768" s="31"/>
      <c r="AM768" s="31"/>
      <c r="AN768" s="31"/>
      <c r="AO768" s="592"/>
      <c r="AP768" s="31"/>
      <c r="AQ768" s="31"/>
      <c r="AR768" s="31"/>
      <c r="AS768" s="31"/>
      <c r="AT768" s="31"/>
      <c r="AU768" s="433"/>
    </row>
    <row r="769" spans="1:47" ht="15" customHeight="1" x14ac:dyDescent="0.2">
      <c r="A769" s="39">
        <f>acute_overview_children!A369</f>
        <v>4</v>
      </c>
      <c r="B769" s="23">
        <f>acute_overview_children!B369</f>
        <v>1017020</v>
      </c>
      <c r="C769" s="23" t="str">
        <f>acute_overview_children!C369</f>
        <v xml:space="preserve"> Other farmed animals: Fat tissue</v>
      </c>
      <c r="D769" s="38">
        <f t="shared" si="93"/>
        <v>4</v>
      </c>
      <c r="E769" s="31"/>
      <c r="F769" s="31"/>
      <c r="G769" s="31"/>
      <c r="H769" s="31"/>
      <c r="I769" s="31"/>
      <c r="J769" s="31"/>
      <c r="K769" s="31"/>
      <c r="L769" s="31"/>
      <c r="M769" s="31"/>
      <c r="N769" s="31">
        <v>0</v>
      </c>
      <c r="O769" s="31">
        <v>0</v>
      </c>
      <c r="P769" s="31"/>
      <c r="Q769" s="31"/>
      <c r="R769" s="31"/>
      <c r="S769" s="31"/>
      <c r="T769" s="31"/>
      <c r="U769" s="31"/>
      <c r="V769" s="31"/>
      <c r="W769" s="31"/>
      <c r="X769" s="31"/>
      <c r="Y769" s="31"/>
      <c r="Z769" s="31"/>
      <c r="AA769" s="31"/>
      <c r="AB769" s="31"/>
      <c r="AC769" s="31">
        <v>0</v>
      </c>
      <c r="AD769" s="31">
        <v>0</v>
      </c>
      <c r="AE769" s="31"/>
      <c r="AF769" s="31"/>
      <c r="AG769" s="31"/>
      <c r="AH769" s="31"/>
      <c r="AI769" s="31"/>
      <c r="AJ769" s="31"/>
      <c r="AK769" s="433"/>
      <c r="AL769" s="31"/>
      <c r="AM769" s="31"/>
      <c r="AN769" s="31"/>
      <c r="AO769" s="592"/>
      <c r="AP769" s="31"/>
      <c r="AQ769" s="31"/>
      <c r="AR769" s="31"/>
      <c r="AS769" s="31"/>
      <c r="AT769" s="31"/>
      <c r="AU769" s="433"/>
    </row>
    <row r="770" spans="1:47" ht="15" customHeight="1" x14ac:dyDescent="0.2">
      <c r="A770" s="39">
        <f>acute_overview_children!A370</f>
        <v>4</v>
      </c>
      <c r="B770" s="23">
        <f>acute_overview_children!B370</f>
        <v>1017030</v>
      </c>
      <c r="C770" s="23" t="str">
        <f>acute_overview_children!C370</f>
        <v xml:space="preserve"> Other farmed animals: Liver</v>
      </c>
      <c r="D770" s="38">
        <f t="shared" si="93"/>
        <v>4</v>
      </c>
      <c r="E770" s="31"/>
      <c r="F770" s="31"/>
      <c r="G770" s="31"/>
      <c r="H770" s="31"/>
      <c r="I770" s="31"/>
      <c r="J770" s="31"/>
      <c r="K770" s="31"/>
      <c r="L770" s="31"/>
      <c r="M770" s="31"/>
      <c r="N770" s="31">
        <v>0</v>
      </c>
      <c r="O770" s="31">
        <v>0</v>
      </c>
      <c r="P770" s="31"/>
      <c r="Q770" s="31"/>
      <c r="R770" s="31"/>
      <c r="S770" s="31"/>
      <c r="T770" s="31"/>
      <c r="U770" s="31"/>
      <c r="V770" s="31"/>
      <c r="W770" s="31"/>
      <c r="X770" s="31"/>
      <c r="Y770" s="31"/>
      <c r="Z770" s="31"/>
      <c r="AA770" s="31"/>
      <c r="AB770" s="31"/>
      <c r="AC770" s="31">
        <v>0</v>
      </c>
      <c r="AD770" s="31">
        <v>0</v>
      </c>
      <c r="AE770" s="31"/>
      <c r="AF770" s="31"/>
      <c r="AG770" s="31"/>
      <c r="AH770" s="31"/>
      <c r="AI770" s="31"/>
      <c r="AJ770" s="31"/>
      <c r="AK770" s="433"/>
      <c r="AL770" s="31"/>
      <c r="AM770" s="31"/>
      <c r="AN770" s="31"/>
      <c r="AO770" s="592"/>
      <c r="AP770" s="31"/>
      <c r="AQ770" s="31"/>
      <c r="AR770" s="31"/>
      <c r="AS770" s="31"/>
      <c r="AT770" s="31"/>
      <c r="AU770" s="433"/>
    </row>
    <row r="771" spans="1:47" ht="15" customHeight="1" x14ac:dyDescent="0.2">
      <c r="A771" s="39">
        <f>acute_overview_children!A371</f>
        <v>4</v>
      </c>
      <c r="B771" s="23">
        <f>acute_overview_children!B371</f>
        <v>1017040</v>
      </c>
      <c r="C771" s="23" t="str">
        <f>acute_overview_children!C371</f>
        <v xml:space="preserve"> Other farmed animals: Kidney</v>
      </c>
      <c r="D771" s="38">
        <f t="shared" si="93"/>
        <v>4</v>
      </c>
      <c r="E771" s="31"/>
      <c r="F771" s="31"/>
      <c r="G771" s="31"/>
      <c r="H771" s="31"/>
      <c r="I771" s="31"/>
      <c r="J771" s="31"/>
      <c r="K771" s="31"/>
      <c r="L771" s="31"/>
      <c r="M771" s="31"/>
      <c r="N771" s="31">
        <v>0</v>
      </c>
      <c r="O771" s="31">
        <v>0</v>
      </c>
      <c r="P771" s="31"/>
      <c r="Q771" s="31"/>
      <c r="R771" s="31"/>
      <c r="S771" s="31"/>
      <c r="T771" s="31"/>
      <c r="U771" s="31"/>
      <c r="V771" s="31"/>
      <c r="W771" s="31"/>
      <c r="X771" s="31"/>
      <c r="Y771" s="31"/>
      <c r="Z771" s="31"/>
      <c r="AA771" s="31"/>
      <c r="AB771" s="31"/>
      <c r="AC771" s="31">
        <v>0</v>
      </c>
      <c r="AD771" s="31">
        <v>0</v>
      </c>
      <c r="AE771" s="31"/>
      <c r="AF771" s="31"/>
      <c r="AG771" s="31"/>
      <c r="AH771" s="31"/>
      <c r="AI771" s="31"/>
      <c r="AJ771" s="31"/>
      <c r="AK771" s="433"/>
      <c r="AL771" s="31"/>
      <c r="AM771" s="31"/>
      <c r="AN771" s="31"/>
      <c r="AO771" s="592"/>
      <c r="AP771" s="31"/>
      <c r="AQ771" s="31"/>
      <c r="AR771" s="31"/>
      <c r="AS771" s="31"/>
      <c r="AT771" s="31"/>
      <c r="AU771" s="433"/>
    </row>
    <row r="772" spans="1:47" ht="15" customHeight="1" x14ac:dyDescent="0.2">
      <c r="A772" s="39">
        <f>acute_overview_children!A372</f>
        <v>4</v>
      </c>
      <c r="B772" s="23">
        <f>acute_overview_children!B372</f>
        <v>1017050</v>
      </c>
      <c r="C772" s="23" t="str">
        <f>acute_overview_children!C372</f>
        <v xml:space="preserve"> Other farmed animals: Edible offals (other than liver and kidney)</v>
      </c>
      <c r="D772" s="38">
        <f t="shared" si="93"/>
        <v>4</v>
      </c>
      <c r="E772" s="31"/>
      <c r="F772" s="31"/>
      <c r="G772" s="31"/>
      <c r="H772" s="31"/>
      <c r="I772" s="31"/>
      <c r="J772" s="31"/>
      <c r="K772" s="31"/>
      <c r="L772" s="31"/>
      <c r="M772" s="31"/>
      <c r="N772" s="31">
        <v>0</v>
      </c>
      <c r="O772" s="31">
        <v>0</v>
      </c>
      <c r="P772" s="31"/>
      <c r="Q772" s="31"/>
      <c r="R772" s="31"/>
      <c r="S772" s="31"/>
      <c r="T772" s="31"/>
      <c r="U772" s="31"/>
      <c r="V772" s="31"/>
      <c r="W772" s="31"/>
      <c r="X772" s="31"/>
      <c r="Y772" s="31"/>
      <c r="Z772" s="31"/>
      <c r="AA772" s="31"/>
      <c r="AB772" s="31"/>
      <c r="AC772" s="31">
        <v>0</v>
      </c>
      <c r="AD772" s="31">
        <v>0</v>
      </c>
      <c r="AE772" s="31"/>
      <c r="AF772" s="31"/>
      <c r="AG772" s="31"/>
      <c r="AH772" s="31"/>
      <c r="AI772" s="31"/>
      <c r="AJ772" s="31"/>
      <c r="AK772" s="433"/>
      <c r="AL772" s="31"/>
      <c r="AM772" s="31"/>
      <c r="AN772" s="31"/>
      <c r="AO772" s="592"/>
      <c r="AP772" s="31"/>
      <c r="AQ772" s="31"/>
      <c r="AR772" s="31"/>
      <c r="AS772" s="31"/>
      <c r="AT772" s="31"/>
      <c r="AU772" s="433"/>
    </row>
    <row r="773" spans="1:47" ht="15" customHeight="1" x14ac:dyDescent="0.2">
      <c r="A773" s="39">
        <f>acute_overview_children!A373</f>
        <v>4</v>
      </c>
      <c r="B773" s="23">
        <f>acute_overview_children!B373</f>
        <v>1017990</v>
      </c>
      <c r="C773" s="23" t="str">
        <f>acute_overview_children!C373</f>
        <v>Other farmed animals: Other products</v>
      </c>
      <c r="D773" s="38">
        <f t="shared" si="93"/>
        <v>4</v>
      </c>
      <c r="E773" s="31"/>
      <c r="F773" s="31"/>
      <c r="G773" s="31"/>
      <c r="H773" s="31"/>
      <c r="I773" s="31"/>
      <c r="J773" s="31"/>
      <c r="K773" s="31"/>
      <c r="L773" s="31"/>
      <c r="M773" s="31"/>
      <c r="N773" s="31">
        <v>0</v>
      </c>
      <c r="O773" s="31">
        <v>0</v>
      </c>
      <c r="P773" s="31"/>
      <c r="Q773" s="31"/>
      <c r="R773" s="31"/>
      <c r="S773" s="31"/>
      <c r="T773" s="31"/>
      <c r="U773" s="31"/>
      <c r="V773" s="31"/>
      <c r="W773" s="31"/>
      <c r="X773" s="31"/>
      <c r="Y773" s="31"/>
      <c r="Z773" s="31"/>
      <c r="AA773" s="31"/>
      <c r="AB773" s="31"/>
      <c r="AC773" s="31">
        <v>0</v>
      </c>
      <c r="AD773" s="31">
        <v>0</v>
      </c>
      <c r="AE773" s="31"/>
      <c r="AF773" s="31"/>
      <c r="AG773" s="31"/>
      <c r="AH773" s="31"/>
      <c r="AI773" s="31"/>
      <c r="AJ773" s="31"/>
      <c r="AK773" s="433"/>
      <c r="AL773" s="31"/>
      <c r="AM773" s="31"/>
      <c r="AN773" s="31"/>
      <c r="AO773" s="592"/>
      <c r="AP773" s="31"/>
      <c r="AQ773" s="31"/>
      <c r="AR773" s="31"/>
      <c r="AS773" s="31"/>
      <c r="AT773" s="31"/>
      <c r="AU773" s="433"/>
    </row>
    <row r="774" spans="1:47" ht="15" customHeight="1" x14ac:dyDescent="0.2">
      <c r="A774" s="515">
        <f>acute_overview_children!A374</f>
        <v>2</v>
      </c>
      <c r="B774" s="24">
        <f>acute_overview_children!B374</f>
        <v>1020000</v>
      </c>
      <c r="C774" s="24" t="str">
        <f>acute_overview_children!C374</f>
        <v>Milk</v>
      </c>
      <c r="D774" s="38">
        <f t="shared" si="93"/>
        <v>4</v>
      </c>
      <c r="E774" s="55"/>
      <c r="F774" s="55"/>
      <c r="G774" s="55"/>
      <c r="H774" s="55"/>
      <c r="I774" s="55"/>
      <c r="J774" s="55"/>
      <c r="K774" s="55"/>
      <c r="L774" s="55"/>
      <c r="M774" s="55"/>
      <c r="N774" s="55">
        <v>97.574712643678168</v>
      </c>
      <c r="O774" s="55">
        <v>55.369863013698627</v>
      </c>
      <c r="P774" s="55"/>
      <c r="Q774" s="55"/>
      <c r="R774" s="55"/>
      <c r="S774" s="55"/>
      <c r="T774" s="55"/>
      <c r="U774" s="55"/>
      <c r="V774" s="55"/>
      <c r="W774" s="55"/>
      <c r="X774" s="55"/>
      <c r="Y774" s="55"/>
      <c r="Z774" s="55"/>
      <c r="AA774" s="55"/>
      <c r="AB774" s="55"/>
      <c r="AC774" s="55">
        <v>8.219736842105263</v>
      </c>
      <c r="AD774" s="55">
        <v>9.6671664167916038</v>
      </c>
      <c r="AE774" s="55"/>
      <c r="AF774" s="55"/>
      <c r="AG774" s="55"/>
      <c r="AH774" s="55"/>
      <c r="AI774" s="55"/>
      <c r="AJ774" s="55"/>
      <c r="AK774" s="435"/>
      <c r="AL774" s="55"/>
      <c r="AM774" s="55"/>
      <c r="AN774" s="55"/>
      <c r="AO774" s="597"/>
      <c r="AP774" s="55"/>
      <c r="AQ774" s="55"/>
      <c r="AR774" s="55"/>
      <c r="AS774" s="55"/>
      <c r="AT774" s="55"/>
      <c r="AU774" s="435"/>
    </row>
    <row r="775" spans="1:47" ht="15" customHeight="1" x14ac:dyDescent="0.2">
      <c r="A775" s="39">
        <f>acute_overview_children!A375</f>
        <v>4</v>
      </c>
      <c r="B775" s="23">
        <f>acute_overview_children!B375</f>
        <v>1020010</v>
      </c>
      <c r="C775" s="23" t="str">
        <f>acute_overview_children!C375</f>
        <v>Milk:  Cattle</v>
      </c>
      <c r="D775" s="38">
        <f t="shared" si="93"/>
        <v>4</v>
      </c>
      <c r="E775" s="31"/>
      <c r="F775" s="31"/>
      <c r="G775" s="31"/>
      <c r="H775" s="31"/>
      <c r="I775" s="31"/>
      <c r="J775" s="31"/>
      <c r="K775" s="31"/>
      <c r="L775" s="31"/>
      <c r="M775" s="31"/>
      <c r="N775" s="31">
        <v>97.574712643678168</v>
      </c>
      <c r="O775" s="31">
        <v>55.369863013698627</v>
      </c>
      <c r="P775" s="31"/>
      <c r="Q775" s="31"/>
      <c r="R775" s="31"/>
      <c r="S775" s="31"/>
      <c r="T775" s="31"/>
      <c r="U775" s="31"/>
      <c r="V775" s="31"/>
      <c r="W775" s="31"/>
      <c r="X775" s="31"/>
      <c r="Y775" s="31"/>
      <c r="Z775" s="31"/>
      <c r="AA775" s="31"/>
      <c r="AB775" s="31"/>
      <c r="AC775" s="31">
        <v>8.219736842105263</v>
      </c>
      <c r="AD775" s="31">
        <v>9.6671664167916038</v>
      </c>
      <c r="AE775" s="31"/>
      <c r="AF775" s="31"/>
      <c r="AG775" s="31"/>
      <c r="AH775" s="31"/>
      <c r="AI775" s="31"/>
      <c r="AJ775" s="31"/>
      <c r="AK775" s="433"/>
      <c r="AL775" s="31"/>
      <c r="AM775" s="31"/>
      <c r="AN775" s="31"/>
      <c r="AO775" s="592"/>
      <c r="AP775" s="31"/>
      <c r="AQ775" s="31"/>
      <c r="AR775" s="31"/>
      <c r="AS775" s="31"/>
      <c r="AT775" s="31"/>
      <c r="AU775" s="433"/>
    </row>
    <row r="776" spans="1:47" ht="15" customHeight="1" x14ac:dyDescent="0.2">
      <c r="A776" s="39">
        <f>acute_overview_children!A376</f>
        <v>4</v>
      </c>
      <c r="B776" s="23">
        <f>acute_overview_children!B376</f>
        <v>1020020</v>
      </c>
      <c r="C776" s="23" t="str">
        <f>acute_overview_children!C376</f>
        <v>Milk: Sheep</v>
      </c>
      <c r="D776" s="38">
        <f t="shared" si="93"/>
        <v>4</v>
      </c>
      <c r="E776" s="31"/>
      <c r="F776" s="31"/>
      <c r="G776" s="31"/>
      <c r="H776" s="31"/>
      <c r="I776" s="31"/>
      <c r="J776" s="31"/>
      <c r="K776" s="31"/>
      <c r="L776" s="31"/>
      <c r="M776" s="31"/>
      <c r="N776" s="31">
        <v>0</v>
      </c>
      <c r="O776" s="31">
        <v>0</v>
      </c>
      <c r="P776" s="31"/>
      <c r="Q776" s="31"/>
      <c r="R776" s="31"/>
      <c r="S776" s="31"/>
      <c r="T776" s="31"/>
      <c r="U776" s="31"/>
      <c r="V776" s="31"/>
      <c r="W776" s="31"/>
      <c r="X776" s="31"/>
      <c r="Y776" s="31"/>
      <c r="Z776" s="31"/>
      <c r="AA776" s="31"/>
      <c r="AB776" s="31"/>
      <c r="AC776" s="31">
        <v>0</v>
      </c>
      <c r="AD776" s="31">
        <v>0</v>
      </c>
      <c r="AE776" s="31"/>
      <c r="AF776" s="31"/>
      <c r="AG776" s="31"/>
      <c r="AH776" s="31"/>
      <c r="AI776" s="31"/>
      <c r="AJ776" s="31"/>
      <c r="AK776" s="433"/>
      <c r="AL776" s="31"/>
      <c r="AM776" s="31"/>
      <c r="AN776" s="31"/>
      <c r="AO776" s="592"/>
      <c r="AP776" s="31"/>
      <c r="AQ776" s="31"/>
      <c r="AR776" s="31"/>
      <c r="AS776" s="31"/>
      <c r="AT776" s="31"/>
      <c r="AU776" s="433"/>
    </row>
    <row r="777" spans="1:47" ht="15" customHeight="1" x14ac:dyDescent="0.2">
      <c r="A777" s="39">
        <f>acute_overview_children!A377</f>
        <v>4</v>
      </c>
      <c r="B777" s="23">
        <f>acute_overview_children!B377</f>
        <v>1020030</v>
      </c>
      <c r="C777" s="23" t="str">
        <f>acute_overview_children!C377</f>
        <v>Milk: Goat</v>
      </c>
      <c r="D777" s="38">
        <f t="shared" si="93"/>
        <v>4</v>
      </c>
      <c r="E777" s="31"/>
      <c r="F777" s="31"/>
      <c r="G777" s="31"/>
      <c r="H777" s="31"/>
      <c r="I777" s="31"/>
      <c r="J777" s="31"/>
      <c r="K777" s="31"/>
      <c r="L777" s="31"/>
      <c r="M777" s="31"/>
      <c r="N777" s="31">
        <v>0</v>
      </c>
      <c r="O777" s="31">
        <v>0</v>
      </c>
      <c r="P777" s="31"/>
      <c r="Q777" s="31"/>
      <c r="R777" s="31"/>
      <c r="S777" s="31"/>
      <c r="T777" s="31"/>
      <c r="U777" s="31"/>
      <c r="V777" s="31"/>
      <c r="W777" s="31"/>
      <c r="X777" s="31"/>
      <c r="Y777" s="31"/>
      <c r="Z777" s="31"/>
      <c r="AA777" s="31"/>
      <c r="AB777" s="31"/>
      <c r="AC777" s="31">
        <v>0</v>
      </c>
      <c r="AD777" s="31">
        <v>0</v>
      </c>
      <c r="AE777" s="31"/>
      <c r="AF777" s="31"/>
      <c r="AG777" s="31"/>
      <c r="AH777" s="31"/>
      <c r="AI777" s="31"/>
      <c r="AJ777" s="31"/>
      <c r="AK777" s="433"/>
      <c r="AL777" s="31"/>
      <c r="AM777" s="31"/>
      <c r="AN777" s="31"/>
      <c r="AO777" s="592"/>
      <c r="AP777" s="31"/>
      <c r="AQ777" s="31"/>
      <c r="AR777" s="31"/>
      <c r="AS777" s="31"/>
      <c r="AT777" s="31"/>
      <c r="AU777" s="433"/>
    </row>
    <row r="778" spans="1:47" ht="15" customHeight="1" x14ac:dyDescent="0.2">
      <c r="A778" s="39">
        <f>acute_overview_children!A378</f>
        <v>4</v>
      </c>
      <c r="B778" s="23">
        <f>acute_overview_children!B378</f>
        <v>1020040</v>
      </c>
      <c r="C778" s="23" t="str">
        <f>acute_overview_children!C378</f>
        <v xml:space="preserve">Milk: Horse </v>
      </c>
      <c r="D778" s="38">
        <f t="shared" si="93"/>
        <v>4</v>
      </c>
      <c r="E778" s="31"/>
      <c r="F778" s="31"/>
      <c r="G778" s="31"/>
      <c r="H778" s="31"/>
      <c r="I778" s="31"/>
      <c r="J778" s="31"/>
      <c r="K778" s="31"/>
      <c r="L778" s="31"/>
      <c r="M778" s="31"/>
      <c r="N778" s="31">
        <v>0</v>
      </c>
      <c r="O778" s="31">
        <v>0</v>
      </c>
      <c r="P778" s="31"/>
      <c r="Q778" s="31"/>
      <c r="R778" s="31"/>
      <c r="S778" s="31"/>
      <c r="T778" s="31"/>
      <c r="U778" s="31"/>
      <c r="V778" s="31"/>
      <c r="W778" s="31"/>
      <c r="X778" s="31"/>
      <c r="Y778" s="31"/>
      <c r="Z778" s="31"/>
      <c r="AA778" s="31"/>
      <c r="AB778" s="31"/>
      <c r="AC778" s="31">
        <v>0</v>
      </c>
      <c r="AD778" s="31">
        <v>0</v>
      </c>
      <c r="AE778" s="31"/>
      <c r="AF778" s="31"/>
      <c r="AG778" s="31"/>
      <c r="AH778" s="31"/>
      <c r="AI778" s="31"/>
      <c r="AJ778" s="31"/>
      <c r="AK778" s="433"/>
      <c r="AL778" s="31"/>
      <c r="AM778" s="31"/>
      <c r="AN778" s="31"/>
      <c r="AO778" s="592"/>
      <c r="AP778" s="31"/>
      <c r="AQ778" s="31"/>
      <c r="AR778" s="31"/>
      <c r="AS778" s="31"/>
      <c r="AT778" s="31"/>
      <c r="AU778" s="433"/>
    </row>
    <row r="779" spans="1:47" ht="15" customHeight="1" x14ac:dyDescent="0.2">
      <c r="A779" s="39">
        <f>acute_overview_children!A379</f>
        <v>4</v>
      </c>
      <c r="B779" s="23">
        <f>acute_overview_children!B379</f>
        <v>1020990</v>
      </c>
      <c r="C779" s="23" t="str">
        <f>acute_overview_children!C379</f>
        <v xml:space="preserve">Milk: Others </v>
      </c>
      <c r="D779" s="38">
        <f t="shared" si="93"/>
        <v>4</v>
      </c>
      <c r="E779" s="31"/>
      <c r="F779" s="31"/>
      <c r="G779" s="31"/>
      <c r="H779" s="31"/>
      <c r="I779" s="31"/>
      <c r="J779" s="31"/>
      <c r="K779" s="31"/>
      <c r="L779" s="31"/>
      <c r="M779" s="31"/>
      <c r="N779" s="31">
        <v>0</v>
      </c>
      <c r="O779" s="31">
        <v>0</v>
      </c>
      <c r="P779" s="31"/>
      <c r="Q779" s="31"/>
      <c r="R779" s="31"/>
      <c r="S779" s="31"/>
      <c r="T779" s="31"/>
      <c r="U779" s="31"/>
      <c r="V779" s="31"/>
      <c r="W779" s="31"/>
      <c r="X779" s="31"/>
      <c r="Y779" s="31"/>
      <c r="Z779" s="31"/>
      <c r="AA779" s="31"/>
      <c r="AB779" s="31"/>
      <c r="AC779" s="31">
        <v>0</v>
      </c>
      <c r="AD779" s="31">
        <v>0</v>
      </c>
      <c r="AE779" s="31"/>
      <c r="AF779" s="31"/>
      <c r="AG779" s="31"/>
      <c r="AH779" s="31"/>
      <c r="AI779" s="31"/>
      <c r="AJ779" s="31"/>
      <c r="AK779" s="433"/>
      <c r="AL779" s="31"/>
      <c r="AM779" s="31"/>
      <c r="AN779" s="31"/>
      <c r="AO779" s="592"/>
      <c r="AP779" s="31"/>
      <c r="AQ779" s="31"/>
      <c r="AR779" s="31"/>
      <c r="AS779" s="31"/>
      <c r="AT779" s="31"/>
      <c r="AU779" s="433"/>
    </row>
    <row r="780" spans="1:47" ht="15" customHeight="1" x14ac:dyDescent="0.2">
      <c r="A780" s="515">
        <f>acute_overview_children!A380</f>
        <v>2</v>
      </c>
      <c r="B780" s="24">
        <f>acute_overview_children!B380</f>
        <v>1030000</v>
      </c>
      <c r="C780" s="24" t="str">
        <f>acute_overview_children!C380</f>
        <v>Birds eggs</v>
      </c>
      <c r="D780" s="38">
        <f t="shared" si="93"/>
        <v>4</v>
      </c>
      <c r="E780" s="55"/>
      <c r="F780" s="55"/>
      <c r="G780" s="55"/>
      <c r="H780" s="55"/>
      <c r="I780" s="55"/>
      <c r="J780" s="55"/>
      <c r="K780" s="55"/>
      <c r="L780" s="55"/>
      <c r="M780" s="55"/>
      <c r="N780" s="55">
        <v>4.7471264367816088</v>
      </c>
      <c r="O780" s="55">
        <v>3.4178082191780823</v>
      </c>
      <c r="P780" s="55"/>
      <c r="Q780" s="55"/>
      <c r="R780" s="55"/>
      <c r="S780" s="55"/>
      <c r="T780" s="55"/>
      <c r="U780" s="55"/>
      <c r="V780" s="55"/>
      <c r="W780" s="55"/>
      <c r="X780" s="55"/>
      <c r="Y780" s="55"/>
      <c r="Z780" s="55"/>
      <c r="AA780" s="55"/>
      <c r="AB780" s="55"/>
      <c r="AC780" s="55">
        <v>0.98815789473684201</v>
      </c>
      <c r="AD780" s="55">
        <v>1.070464767616192</v>
      </c>
      <c r="AE780" s="55"/>
      <c r="AF780" s="55"/>
      <c r="AG780" s="55"/>
      <c r="AH780" s="55"/>
      <c r="AI780" s="55"/>
      <c r="AJ780" s="55"/>
      <c r="AK780" s="435"/>
      <c r="AL780" s="55"/>
      <c r="AM780" s="55"/>
      <c r="AN780" s="55"/>
      <c r="AO780" s="597"/>
      <c r="AP780" s="55"/>
      <c r="AQ780" s="55"/>
      <c r="AR780" s="55"/>
      <c r="AS780" s="55"/>
      <c r="AT780" s="55"/>
      <c r="AU780" s="435"/>
    </row>
    <row r="781" spans="1:47" ht="15" customHeight="1" x14ac:dyDescent="0.2">
      <c r="A781" s="39">
        <f>acute_overview_children!A381</f>
        <v>4</v>
      </c>
      <c r="B781" s="23">
        <f>acute_overview_children!B381</f>
        <v>1030010</v>
      </c>
      <c r="C781" s="23" t="str">
        <f>acute_overview_children!C381</f>
        <v xml:space="preserve">Eggs: Chicken </v>
      </c>
      <c r="D781" s="38">
        <f t="shared" si="93"/>
        <v>4</v>
      </c>
      <c r="E781" s="31"/>
      <c r="F781" s="31"/>
      <c r="G781" s="31"/>
      <c r="H781" s="31"/>
      <c r="I781" s="31"/>
      <c r="J781" s="31"/>
      <c r="K781" s="31"/>
      <c r="L781" s="31"/>
      <c r="M781" s="31"/>
      <c r="N781" s="31">
        <v>4.7471264367816088</v>
      </c>
      <c r="O781" s="31">
        <v>3.4178082191780823</v>
      </c>
      <c r="P781" s="31"/>
      <c r="Q781" s="31"/>
      <c r="R781" s="31"/>
      <c r="S781" s="31"/>
      <c r="T781" s="31"/>
      <c r="U781" s="31"/>
      <c r="V781" s="31"/>
      <c r="W781" s="31"/>
      <c r="X781" s="31"/>
      <c r="Y781" s="31"/>
      <c r="Z781" s="31"/>
      <c r="AA781" s="31"/>
      <c r="AB781" s="31"/>
      <c r="AC781" s="31">
        <v>0.98815789473684201</v>
      </c>
      <c r="AD781" s="31">
        <v>1.070464767616192</v>
      </c>
      <c r="AE781" s="31"/>
      <c r="AF781" s="31"/>
      <c r="AG781" s="31"/>
      <c r="AH781" s="31"/>
      <c r="AI781" s="31"/>
      <c r="AJ781" s="31"/>
      <c r="AK781" s="433"/>
      <c r="AL781" s="31"/>
      <c r="AM781" s="31"/>
      <c r="AN781" s="31"/>
      <c r="AO781" s="592"/>
      <c r="AP781" s="31"/>
      <c r="AQ781" s="31"/>
      <c r="AR781" s="31"/>
      <c r="AS781" s="31"/>
      <c r="AT781" s="31"/>
      <c r="AU781" s="433"/>
    </row>
    <row r="782" spans="1:47" ht="15" customHeight="1" x14ac:dyDescent="0.2">
      <c r="A782" s="39">
        <f>acute_overview_children!A382</f>
        <v>4</v>
      </c>
      <c r="B782" s="23">
        <f>acute_overview_children!B382</f>
        <v>1030020</v>
      </c>
      <c r="C782" s="23" t="str">
        <f>acute_overview_children!C382</f>
        <v>Eggs: Duck</v>
      </c>
      <c r="D782" s="38">
        <f t="shared" si="93"/>
        <v>4</v>
      </c>
      <c r="E782" s="31"/>
      <c r="F782" s="31"/>
      <c r="G782" s="31"/>
      <c r="H782" s="31"/>
      <c r="I782" s="31"/>
      <c r="J782" s="31"/>
      <c r="K782" s="31"/>
      <c r="L782" s="31"/>
      <c r="M782" s="31"/>
      <c r="N782" s="31">
        <v>0</v>
      </c>
      <c r="O782" s="31">
        <v>0</v>
      </c>
      <c r="P782" s="31"/>
      <c r="Q782" s="31"/>
      <c r="R782" s="31"/>
      <c r="S782" s="31"/>
      <c r="T782" s="31"/>
      <c r="U782" s="31"/>
      <c r="V782" s="31"/>
      <c r="W782" s="31"/>
      <c r="X782" s="31"/>
      <c r="Y782" s="31"/>
      <c r="Z782" s="31"/>
      <c r="AA782" s="31"/>
      <c r="AB782" s="31"/>
      <c r="AC782" s="31">
        <v>0</v>
      </c>
      <c r="AD782" s="31">
        <v>0</v>
      </c>
      <c r="AE782" s="31"/>
      <c r="AF782" s="31"/>
      <c r="AG782" s="31"/>
      <c r="AH782" s="31"/>
      <c r="AI782" s="31"/>
      <c r="AJ782" s="31"/>
      <c r="AK782" s="433"/>
      <c r="AL782" s="31"/>
      <c r="AM782" s="31"/>
      <c r="AN782" s="31"/>
      <c r="AO782" s="592"/>
      <c r="AP782" s="31"/>
      <c r="AQ782" s="31"/>
      <c r="AR782" s="31"/>
      <c r="AS782" s="31"/>
      <c r="AT782" s="31"/>
      <c r="AU782" s="433"/>
    </row>
    <row r="783" spans="1:47" ht="15" customHeight="1" x14ac:dyDescent="0.2">
      <c r="A783" s="39">
        <f>acute_overview_children!A383</f>
        <v>4</v>
      </c>
      <c r="B783" s="23">
        <f>acute_overview_children!B383</f>
        <v>1030030</v>
      </c>
      <c r="C783" s="23" t="str">
        <f>acute_overview_children!C383</f>
        <v>Eggs: Goose</v>
      </c>
      <c r="D783" s="38">
        <f t="shared" si="93"/>
        <v>4</v>
      </c>
      <c r="E783" s="31"/>
      <c r="F783" s="31"/>
      <c r="G783" s="31"/>
      <c r="H783" s="31"/>
      <c r="I783" s="31"/>
      <c r="J783" s="31"/>
      <c r="K783" s="31"/>
      <c r="L783" s="31"/>
      <c r="M783" s="31"/>
      <c r="N783" s="31">
        <v>0</v>
      </c>
      <c r="O783" s="31">
        <v>0</v>
      </c>
      <c r="P783" s="31"/>
      <c r="Q783" s="31"/>
      <c r="R783" s="31"/>
      <c r="S783" s="31"/>
      <c r="T783" s="31"/>
      <c r="U783" s="31"/>
      <c r="V783" s="31"/>
      <c r="W783" s="31"/>
      <c r="X783" s="31"/>
      <c r="Y783" s="31"/>
      <c r="Z783" s="31"/>
      <c r="AA783" s="31"/>
      <c r="AB783" s="31"/>
      <c r="AC783" s="31">
        <v>0</v>
      </c>
      <c r="AD783" s="31">
        <v>0</v>
      </c>
      <c r="AE783" s="31"/>
      <c r="AF783" s="31"/>
      <c r="AG783" s="31"/>
      <c r="AH783" s="31"/>
      <c r="AI783" s="31"/>
      <c r="AJ783" s="31"/>
      <c r="AK783" s="433"/>
      <c r="AL783" s="31"/>
      <c r="AM783" s="31"/>
      <c r="AN783" s="31"/>
      <c r="AO783" s="592"/>
      <c r="AP783" s="31"/>
      <c r="AQ783" s="31"/>
      <c r="AR783" s="31"/>
      <c r="AS783" s="31"/>
      <c r="AT783" s="31"/>
      <c r="AU783" s="433"/>
    </row>
    <row r="784" spans="1:47" ht="15" customHeight="1" x14ac:dyDescent="0.2">
      <c r="A784" s="39">
        <f>acute_overview_children!A384</f>
        <v>4</v>
      </c>
      <c r="B784" s="23">
        <f>acute_overview_children!B384</f>
        <v>1030040</v>
      </c>
      <c r="C784" s="23" t="str">
        <f>acute_overview_children!C384</f>
        <v xml:space="preserve">Eggs: Quail </v>
      </c>
      <c r="D784" s="38">
        <f t="shared" si="93"/>
        <v>4</v>
      </c>
      <c r="E784" s="31"/>
      <c r="F784" s="31"/>
      <c r="G784" s="31"/>
      <c r="H784" s="31"/>
      <c r="I784" s="31"/>
      <c r="J784" s="31"/>
      <c r="K784" s="31"/>
      <c r="L784" s="31"/>
      <c r="M784" s="31"/>
      <c r="N784" s="31">
        <v>0</v>
      </c>
      <c r="O784" s="31">
        <v>0</v>
      </c>
      <c r="P784" s="31"/>
      <c r="Q784" s="31"/>
      <c r="R784" s="31"/>
      <c r="S784" s="31"/>
      <c r="T784" s="31"/>
      <c r="U784" s="31"/>
      <c r="V784" s="31"/>
      <c r="W784" s="31"/>
      <c r="X784" s="31"/>
      <c r="Y784" s="31"/>
      <c r="Z784" s="31"/>
      <c r="AA784" s="31"/>
      <c r="AB784" s="31"/>
      <c r="AC784" s="31">
        <v>0</v>
      </c>
      <c r="AD784" s="31">
        <v>0</v>
      </c>
      <c r="AE784" s="31"/>
      <c r="AF784" s="31"/>
      <c r="AG784" s="31"/>
      <c r="AH784" s="31"/>
      <c r="AI784" s="31"/>
      <c r="AJ784" s="31"/>
      <c r="AK784" s="433"/>
      <c r="AL784" s="31"/>
      <c r="AM784" s="31"/>
      <c r="AN784" s="31"/>
      <c r="AO784" s="592"/>
      <c r="AP784" s="31"/>
      <c r="AQ784" s="31"/>
      <c r="AR784" s="31"/>
      <c r="AS784" s="31"/>
      <c r="AT784" s="31"/>
      <c r="AU784" s="433"/>
    </row>
    <row r="785" spans="1:47" ht="15" customHeight="1" x14ac:dyDescent="0.2">
      <c r="A785" s="39">
        <f>acute_overview_children!A385</f>
        <v>4</v>
      </c>
      <c r="B785" s="23">
        <f>acute_overview_children!B385</f>
        <v>1030990</v>
      </c>
      <c r="C785" s="23" t="str">
        <f>acute_overview_children!C385</f>
        <v>Eggs: Others</v>
      </c>
      <c r="D785" s="38">
        <f t="shared" si="93"/>
        <v>4</v>
      </c>
      <c r="E785" s="31"/>
      <c r="F785" s="31"/>
      <c r="G785" s="31"/>
      <c r="H785" s="31"/>
      <c r="I785" s="31"/>
      <c r="J785" s="31"/>
      <c r="K785" s="31"/>
      <c r="L785" s="31"/>
      <c r="M785" s="31"/>
      <c r="N785" s="31">
        <v>0</v>
      </c>
      <c r="O785" s="31">
        <v>0</v>
      </c>
      <c r="P785" s="31"/>
      <c r="Q785" s="31"/>
      <c r="R785" s="31"/>
      <c r="S785" s="31"/>
      <c r="T785" s="31"/>
      <c r="U785" s="31"/>
      <c r="V785" s="31"/>
      <c r="W785" s="31"/>
      <c r="X785" s="31"/>
      <c r="Y785" s="31"/>
      <c r="Z785" s="31"/>
      <c r="AA785" s="31"/>
      <c r="AB785" s="31"/>
      <c r="AC785" s="31">
        <v>0</v>
      </c>
      <c r="AD785" s="31">
        <v>0</v>
      </c>
      <c r="AE785" s="31"/>
      <c r="AF785" s="31"/>
      <c r="AG785" s="31"/>
      <c r="AH785" s="31"/>
      <c r="AI785" s="31"/>
      <c r="AJ785" s="31"/>
      <c r="AK785" s="433"/>
      <c r="AL785" s="31"/>
      <c r="AM785" s="31"/>
      <c r="AN785" s="31"/>
      <c r="AO785" s="592"/>
      <c r="AP785" s="31"/>
      <c r="AQ785" s="31"/>
      <c r="AR785" s="31"/>
      <c r="AS785" s="31"/>
      <c r="AT785" s="31"/>
      <c r="AU785" s="433"/>
    </row>
    <row r="786" spans="1:47" ht="15" customHeight="1" x14ac:dyDescent="0.2">
      <c r="A786" s="515">
        <f>acute_overview_children!A386</f>
        <v>2</v>
      </c>
      <c r="B786" s="24">
        <f>acute_overview_children!B386</f>
        <v>1040000</v>
      </c>
      <c r="C786" s="24" t="str">
        <f>acute_overview_children!C386</f>
        <v>Honey and other apiculture products</v>
      </c>
      <c r="D786" s="38">
        <f t="shared" si="93"/>
        <v>2</v>
      </c>
      <c r="E786" s="55"/>
      <c r="F786" s="55"/>
      <c r="G786" s="55"/>
      <c r="H786" s="55"/>
      <c r="I786" s="55"/>
      <c r="J786" s="55"/>
      <c r="K786" s="55"/>
      <c r="L786" s="55"/>
      <c r="M786" s="55"/>
      <c r="N786" s="55">
        <v>0.80130000000000001</v>
      </c>
      <c r="O786" s="55">
        <v>0.42520000000000002</v>
      </c>
      <c r="P786" s="55"/>
      <c r="Q786" s="55"/>
      <c r="R786" s="55"/>
      <c r="S786" s="55"/>
      <c r="T786" s="55"/>
      <c r="U786" s="55"/>
      <c r="V786" s="55"/>
      <c r="W786" s="55"/>
      <c r="X786" s="55"/>
      <c r="Y786" s="55"/>
      <c r="Z786" s="55"/>
      <c r="AA786" s="55"/>
      <c r="AB786" s="55"/>
      <c r="AC786" s="55">
        <v>0.19739999999999999</v>
      </c>
      <c r="AD786" s="55">
        <v>0</v>
      </c>
      <c r="AE786" s="55"/>
      <c r="AF786" s="55"/>
      <c r="AG786" s="55"/>
      <c r="AH786" s="55"/>
      <c r="AI786" s="55"/>
      <c r="AJ786" s="55"/>
      <c r="AK786" s="435"/>
      <c r="AL786" s="55"/>
      <c r="AM786" s="55"/>
      <c r="AN786" s="55"/>
      <c r="AO786" s="581"/>
      <c r="AP786" s="55"/>
      <c r="AQ786" s="55"/>
      <c r="AR786" s="55"/>
      <c r="AS786" s="55"/>
      <c r="AT786" s="55"/>
      <c r="AU786" s="435"/>
    </row>
    <row r="787" spans="1:47" ht="15" customHeight="1" x14ac:dyDescent="0.2">
      <c r="A787" s="515">
        <f>acute_overview_children!A387</f>
        <v>2</v>
      </c>
      <c r="B787" s="24">
        <f>acute_overview_children!B387</f>
        <v>1050000</v>
      </c>
      <c r="C787" s="24" t="str">
        <f>acute_overview_children!C387</f>
        <v xml:space="preserve">Amphibians and reptiles </v>
      </c>
      <c r="D787" s="38">
        <f t="shared" si="93"/>
        <v>2</v>
      </c>
      <c r="E787" s="55"/>
      <c r="F787" s="55"/>
      <c r="G787" s="55"/>
      <c r="H787" s="55"/>
      <c r="I787" s="55"/>
      <c r="J787" s="55"/>
      <c r="K787" s="55"/>
      <c r="L787" s="55"/>
      <c r="M787" s="55"/>
      <c r="N787" s="55">
        <v>0</v>
      </c>
      <c r="O787" s="55">
        <v>0</v>
      </c>
      <c r="P787" s="55"/>
      <c r="Q787" s="55"/>
      <c r="R787" s="55"/>
      <c r="S787" s="55"/>
      <c r="T787" s="55"/>
      <c r="U787" s="55"/>
      <c r="V787" s="55"/>
      <c r="W787" s="55"/>
      <c r="X787" s="55"/>
      <c r="Y787" s="55"/>
      <c r="Z787" s="55"/>
      <c r="AA787" s="55"/>
      <c r="AB787" s="55"/>
      <c r="AC787" s="55">
        <v>0</v>
      </c>
      <c r="AD787" s="55">
        <v>0</v>
      </c>
      <c r="AE787" s="55"/>
      <c r="AF787" s="55"/>
      <c r="AG787" s="55"/>
      <c r="AH787" s="55"/>
      <c r="AI787" s="55"/>
      <c r="AJ787" s="55"/>
      <c r="AK787" s="435"/>
      <c r="AL787" s="55"/>
      <c r="AM787" s="55"/>
      <c r="AN787" s="55"/>
      <c r="AO787" s="581"/>
      <c r="AP787" s="55"/>
      <c r="AQ787" s="55"/>
      <c r="AR787" s="55"/>
      <c r="AS787" s="55"/>
      <c r="AT787" s="55"/>
      <c r="AU787" s="435"/>
    </row>
    <row r="788" spans="1:47" ht="15" customHeight="1" x14ac:dyDescent="0.2">
      <c r="A788" s="515">
        <f>acute_overview_children!A388</f>
        <v>2</v>
      </c>
      <c r="B788" s="24">
        <f>acute_overview_children!B388</f>
        <v>1060000</v>
      </c>
      <c r="C788" s="24" t="str">
        <f>acute_overview_children!C388</f>
        <v>Terrestrial invertebrate animals</v>
      </c>
      <c r="D788" s="38">
        <f t="shared" si="93"/>
        <v>2</v>
      </c>
      <c r="E788" s="55"/>
      <c r="F788" s="55"/>
      <c r="G788" s="55"/>
      <c r="H788" s="55"/>
      <c r="I788" s="55"/>
      <c r="J788" s="55"/>
      <c r="K788" s="55"/>
      <c r="L788" s="55"/>
      <c r="M788" s="55"/>
      <c r="N788" s="55">
        <v>0</v>
      </c>
      <c r="O788" s="55">
        <v>0</v>
      </c>
      <c r="P788" s="55"/>
      <c r="Q788" s="55"/>
      <c r="R788" s="55"/>
      <c r="S788" s="55"/>
      <c r="T788" s="55"/>
      <c r="U788" s="55"/>
      <c r="V788" s="55"/>
      <c r="W788" s="55"/>
      <c r="X788" s="55"/>
      <c r="Y788" s="55"/>
      <c r="Z788" s="55"/>
      <c r="AA788" s="55"/>
      <c r="AB788" s="55"/>
      <c r="AC788" s="55">
        <v>0</v>
      </c>
      <c r="AD788" s="55">
        <v>0</v>
      </c>
      <c r="AE788" s="55"/>
      <c r="AF788" s="55"/>
      <c r="AG788" s="55"/>
      <c r="AH788" s="55"/>
      <c r="AI788" s="55"/>
      <c r="AJ788" s="55"/>
      <c r="AK788" s="435"/>
      <c r="AL788" s="55"/>
      <c r="AM788" s="55"/>
      <c r="AN788" s="55"/>
      <c r="AO788" s="581"/>
      <c r="AP788" s="55"/>
      <c r="AQ788" s="55"/>
      <c r="AR788" s="55"/>
      <c r="AS788" s="55"/>
      <c r="AT788" s="55"/>
      <c r="AU788" s="435"/>
    </row>
    <row r="789" spans="1:47" ht="15" customHeight="1" x14ac:dyDescent="0.2">
      <c r="A789" s="515">
        <f>acute_overview_children!A389</f>
        <v>2</v>
      </c>
      <c r="B789" s="24">
        <f>acute_overview_children!B389</f>
        <v>1070000</v>
      </c>
      <c r="C789" s="24" t="str">
        <f>acute_overview_children!C389</f>
        <v>Wild terrestrial vertebrate animals</v>
      </c>
      <c r="D789" s="38">
        <f t="shared" si="93"/>
        <v>2</v>
      </c>
      <c r="E789" s="55"/>
      <c r="F789" s="55"/>
      <c r="G789" s="55"/>
      <c r="H789" s="55"/>
      <c r="I789" s="55"/>
      <c r="J789" s="55"/>
      <c r="K789" s="55"/>
      <c r="L789" s="55"/>
      <c r="M789" s="55"/>
      <c r="N789" s="55">
        <v>0</v>
      </c>
      <c r="O789" s="55">
        <v>0</v>
      </c>
      <c r="P789" s="55"/>
      <c r="Q789" s="55"/>
      <c r="R789" s="55"/>
      <c r="S789" s="55"/>
      <c r="T789" s="55"/>
      <c r="U789" s="55"/>
      <c r="V789" s="55"/>
      <c r="W789" s="55"/>
      <c r="X789" s="55"/>
      <c r="Y789" s="55"/>
      <c r="Z789" s="55"/>
      <c r="AA789" s="55"/>
      <c r="AB789" s="55"/>
      <c r="AC789" s="55">
        <v>0</v>
      </c>
      <c r="AD789" s="55">
        <v>0</v>
      </c>
      <c r="AE789" s="55"/>
      <c r="AF789" s="55"/>
      <c r="AG789" s="55"/>
      <c r="AH789" s="55"/>
      <c r="AI789" s="55"/>
      <c r="AJ789" s="55"/>
      <c r="AK789" s="435"/>
      <c r="AL789" s="55"/>
      <c r="AM789" s="55"/>
      <c r="AN789" s="55"/>
      <c r="AO789" s="581"/>
      <c r="AP789" s="55"/>
      <c r="AQ789" s="55"/>
      <c r="AR789" s="55"/>
      <c r="AS789" s="55"/>
      <c r="AT789" s="55"/>
      <c r="AU789" s="435"/>
    </row>
    <row r="790" spans="1:47" ht="15" customHeight="1" x14ac:dyDescent="0.2">
      <c r="A790" s="516">
        <f>acute_overview_children!A390</f>
        <v>1</v>
      </c>
      <c r="B790" s="7">
        <f>acute_overview_children!B390</f>
        <v>1100000</v>
      </c>
      <c r="C790" s="2" t="str">
        <f>acute_overview_children!C390</f>
        <v>FISH, FISHPRODUCTS AND ANY OTHER MARINE AND FRESHWATER FOOD PRODUCTS</v>
      </c>
      <c r="D790" s="38">
        <f t="shared" si="93"/>
        <v>0</v>
      </c>
      <c r="E790" s="54"/>
      <c r="F790" s="54"/>
      <c r="G790" s="54"/>
      <c r="H790" s="54"/>
      <c r="I790" s="54"/>
      <c r="J790" s="54"/>
      <c r="K790" s="54"/>
      <c r="L790" s="54"/>
      <c r="M790" s="54"/>
      <c r="N790" s="54">
        <v>1.9655</v>
      </c>
      <c r="O790" s="54">
        <v>2.9241000000000001</v>
      </c>
      <c r="P790" s="54"/>
      <c r="Q790" s="54"/>
      <c r="R790" s="54"/>
      <c r="S790" s="54"/>
      <c r="T790" s="54"/>
      <c r="U790" s="54"/>
      <c r="V790" s="54"/>
      <c r="W790" s="54"/>
      <c r="X790" s="54"/>
      <c r="Y790" s="54"/>
      <c r="Z790" s="54"/>
      <c r="AA790" s="54"/>
      <c r="AB790" s="54"/>
      <c r="AC790" s="54">
        <v>1.1566000000000001</v>
      </c>
      <c r="AD790" s="54">
        <v>1.6356999999999999</v>
      </c>
      <c r="AE790" s="54"/>
      <c r="AF790" s="54"/>
      <c r="AG790" s="54"/>
      <c r="AH790" s="54"/>
      <c r="AI790" s="54"/>
      <c r="AJ790" s="54"/>
      <c r="AK790" s="434"/>
      <c r="AL790" s="54"/>
      <c r="AM790" s="54"/>
      <c r="AN790" s="54"/>
      <c r="AO790" s="582"/>
      <c r="AP790" s="54"/>
      <c r="AQ790" s="54"/>
      <c r="AR790" s="54"/>
      <c r="AS790" s="54"/>
      <c r="AT790" s="54"/>
      <c r="AU790" s="434"/>
    </row>
    <row r="791" spans="1:47" ht="15" customHeight="1" x14ac:dyDescent="0.2">
      <c r="A791" s="522" t="str">
        <f>acute_overview_children!A391</f>
        <v>.</v>
      </c>
      <c r="B791" s="523">
        <f>acute_overview_children!B391</f>
        <v>0</v>
      </c>
      <c r="C791" s="523">
        <f>acute_overview_children!C391</f>
        <v>0</v>
      </c>
      <c r="D791" s="524"/>
      <c r="E791" s="525"/>
      <c r="F791" s="525"/>
      <c r="G791" s="525"/>
      <c r="H791" s="525">
        <v>0</v>
      </c>
      <c r="I791" s="525"/>
      <c r="J791" s="525"/>
      <c r="K791" s="525"/>
      <c r="L791" s="525"/>
      <c r="M791" s="525"/>
      <c r="N791" s="525">
        <v>0</v>
      </c>
      <c r="O791" s="525">
        <v>0</v>
      </c>
      <c r="P791" s="525"/>
      <c r="Q791" s="525"/>
      <c r="R791" s="525"/>
      <c r="S791" s="525"/>
      <c r="T791" s="525"/>
      <c r="U791" s="525"/>
      <c r="V791" s="525"/>
      <c r="W791" s="525"/>
      <c r="X791" s="525"/>
      <c r="Y791" s="525"/>
      <c r="Z791" s="525"/>
      <c r="AA791" s="525"/>
      <c r="AB791" s="525"/>
      <c r="AC791" s="525"/>
      <c r="AD791" s="525"/>
      <c r="AE791" s="525"/>
      <c r="AF791" s="525"/>
      <c r="AG791" s="525"/>
      <c r="AH791" s="525"/>
      <c r="AI791" s="525"/>
      <c r="AJ791" s="525"/>
      <c r="AK791" s="525"/>
      <c r="AL791" s="525"/>
      <c r="AM791" s="525"/>
      <c r="AN791" s="525"/>
      <c r="AO791" s="525"/>
      <c r="AP791" s="525"/>
      <c r="AQ791" s="525"/>
      <c r="AR791" s="525"/>
      <c r="AS791" s="525"/>
      <c r="AT791" s="525"/>
      <c r="AU791" s="526"/>
    </row>
    <row r="792" spans="1:47" ht="15" customHeight="1" x14ac:dyDescent="0.2">
      <c r="A792" s="21"/>
      <c r="B792" s="23"/>
      <c r="C792" s="28"/>
      <c r="D792" s="64"/>
      <c r="E792" s="50"/>
      <c r="F792" s="50"/>
      <c r="G792" s="50"/>
      <c r="H792" s="50"/>
      <c r="I792" s="50"/>
      <c r="J792" s="50"/>
      <c r="K792" s="50"/>
      <c r="L792" s="50"/>
      <c r="M792" s="50"/>
      <c r="N792" s="50"/>
      <c r="O792" s="50"/>
      <c r="P792" s="50"/>
      <c r="Q792" s="50"/>
      <c r="R792" s="50"/>
      <c r="S792" s="50"/>
      <c r="T792" s="50"/>
      <c r="U792" s="50"/>
      <c r="V792" s="50"/>
      <c r="W792" s="50"/>
      <c r="X792" s="50"/>
      <c r="Y792" s="50"/>
      <c r="Z792" s="50"/>
      <c r="AA792" s="50"/>
      <c r="AB792" s="50"/>
      <c r="AC792" s="50"/>
      <c r="AD792" s="50"/>
      <c r="AE792" s="50"/>
      <c r="AF792" s="50"/>
      <c r="AG792" s="50"/>
      <c r="AH792" s="50"/>
      <c r="AI792" s="50"/>
      <c r="AJ792" s="50"/>
      <c r="AK792" s="50"/>
      <c r="AL792" s="50"/>
      <c r="AM792" s="50"/>
      <c r="AN792" s="50"/>
      <c r="AO792" s="50"/>
      <c r="AP792" s="50"/>
      <c r="AQ792" s="50"/>
    </row>
    <row r="793" spans="1:47" ht="15" customHeight="1" x14ac:dyDescent="0.2">
      <c r="A793" s="10"/>
      <c r="B793" s="10" t="s">
        <v>261</v>
      </c>
      <c r="C793" s="51"/>
      <c r="D793" s="8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c r="AP793" s="56"/>
      <c r="AQ793" s="56"/>
    </row>
  </sheetData>
  <sheetProtection sheet="1" objects="1" scenarios="1" formatCells="0" formatColumns="0" formatRows="0" autoFilter="0"/>
  <mergeCells count="1">
    <mergeCell ref="A1:C1"/>
  </mergeCells>
  <phoneticPr fontId="2" type="noConversion"/>
  <pageMargins left="0.75" right="0.75" top="1" bottom="1" header="0.5" footer="0.5"/>
  <headerFooter alignWithMargins="0"/>
  <drawing r:id="rId1"/>
  <legacy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J23"/>
  <sheetViews>
    <sheetView workbookViewId="0">
      <selection activeCell="I7" sqref="I7"/>
    </sheetView>
  </sheetViews>
  <sheetFormatPr defaultRowHeight="12.75" x14ac:dyDescent="0.2"/>
  <cols>
    <col min="5" max="5" width="12.28515625" customWidth="1"/>
    <col min="7" max="7" width="12.28515625" customWidth="1"/>
    <col min="9" max="9" width="11.85546875" customWidth="1"/>
  </cols>
  <sheetData>
    <row r="1" spans="1:10" ht="15.75" x14ac:dyDescent="0.25">
      <c r="A1" s="1221" t="s">
        <v>1872</v>
      </c>
    </row>
    <row r="3" spans="1:10" x14ac:dyDescent="0.2">
      <c r="A3" s="1671"/>
      <c r="B3" s="1671"/>
      <c r="C3" s="1671"/>
      <c r="D3" s="1671"/>
      <c r="E3" s="1222" t="s">
        <v>1849</v>
      </c>
      <c r="F3" s="1225"/>
      <c r="G3" s="1222" t="s">
        <v>263</v>
      </c>
      <c r="H3" s="1225"/>
      <c r="I3" s="1224" t="s">
        <v>1852</v>
      </c>
      <c r="J3" s="1222"/>
    </row>
    <row r="4" spans="1:10" x14ac:dyDescent="0.2">
      <c r="A4" s="1671"/>
      <c r="B4" s="1671"/>
      <c r="C4" s="1671"/>
      <c r="D4" s="1671"/>
      <c r="E4" s="1222" t="s">
        <v>1850</v>
      </c>
      <c r="F4" s="1226"/>
      <c r="G4" s="1222" t="s">
        <v>1851</v>
      </c>
      <c r="H4" s="1226"/>
      <c r="I4" s="1224" t="s">
        <v>1853</v>
      </c>
      <c r="J4" s="898"/>
    </row>
    <row r="5" spans="1:10" x14ac:dyDescent="0.2">
      <c r="A5" s="1671" t="s">
        <v>1854</v>
      </c>
      <c r="B5" s="1671" t="s">
        <v>1855</v>
      </c>
      <c r="C5" s="1671" t="s">
        <v>1856</v>
      </c>
      <c r="D5" s="1671"/>
      <c r="E5" s="1222" t="s">
        <v>1857</v>
      </c>
      <c r="F5" s="1225" t="s">
        <v>1858</v>
      </c>
      <c r="G5" s="1222" t="s">
        <v>1857</v>
      </c>
      <c r="H5" s="1225" t="s">
        <v>1858</v>
      </c>
      <c r="I5" s="1224" t="s">
        <v>1857</v>
      </c>
      <c r="J5" s="1222" t="s">
        <v>1858</v>
      </c>
    </row>
    <row r="6" spans="1:10" x14ac:dyDescent="0.2">
      <c r="A6" s="1671"/>
      <c r="B6" s="1671"/>
      <c r="C6" s="1671"/>
      <c r="D6" s="1671"/>
      <c r="E6" s="1222" t="s">
        <v>1869</v>
      </c>
      <c r="F6" s="1226"/>
      <c r="G6" s="1222" t="s">
        <v>1869</v>
      </c>
      <c r="H6" s="1226"/>
      <c r="I6" s="1224" t="s">
        <v>1869</v>
      </c>
      <c r="J6" s="898"/>
    </row>
    <row r="7" spans="1:10" ht="13.5" x14ac:dyDescent="0.2">
      <c r="A7" s="1222" t="s">
        <v>1859</v>
      </c>
      <c r="B7" s="1222">
        <v>0</v>
      </c>
      <c r="C7" s="1222" t="s">
        <v>1870</v>
      </c>
      <c r="D7" s="1222" t="s">
        <v>1860</v>
      </c>
      <c r="E7" s="1223">
        <v>7.048</v>
      </c>
      <c r="F7" s="1222">
        <v>1873</v>
      </c>
      <c r="G7" s="1223">
        <v>0.27500000000000002</v>
      </c>
      <c r="H7" s="1222">
        <v>2547</v>
      </c>
      <c r="I7" s="1227">
        <v>0.09</v>
      </c>
      <c r="J7" s="1222">
        <v>12361</v>
      </c>
    </row>
    <row r="8" spans="1:10" x14ac:dyDescent="0.2">
      <c r="A8" s="1222" t="s">
        <v>1859</v>
      </c>
      <c r="B8" s="1222">
        <v>12</v>
      </c>
      <c r="C8" s="1222" t="s">
        <v>1861</v>
      </c>
      <c r="D8" s="1222" t="s">
        <v>1860</v>
      </c>
      <c r="E8" s="1222">
        <v>8.0000000000000002E-3</v>
      </c>
      <c r="F8" s="1222">
        <v>1315</v>
      </c>
      <c r="G8" s="1222">
        <v>1.2999999999999999E-2</v>
      </c>
      <c r="H8" s="1222">
        <v>2297</v>
      </c>
      <c r="I8" s="1224">
        <v>0.01</v>
      </c>
      <c r="J8" s="1222">
        <v>10589</v>
      </c>
    </row>
    <row r="9" spans="1:10" x14ac:dyDescent="0.2">
      <c r="A9" s="1222" t="s">
        <v>1859</v>
      </c>
      <c r="B9" s="1222">
        <v>12</v>
      </c>
      <c r="C9" s="1222" t="s">
        <v>1861</v>
      </c>
      <c r="D9" s="1222" t="s">
        <v>1862</v>
      </c>
      <c r="E9" s="1222">
        <v>0</v>
      </c>
      <c r="F9" s="1222">
        <v>1315</v>
      </c>
      <c r="G9" s="1222">
        <v>1E-3</v>
      </c>
      <c r="H9" s="1222">
        <v>2297</v>
      </c>
      <c r="I9" s="1224">
        <v>0</v>
      </c>
      <c r="J9" s="1222">
        <v>10589</v>
      </c>
    </row>
    <row r="10" spans="1:10" x14ac:dyDescent="0.2">
      <c r="A10" s="1222" t="s">
        <v>1859</v>
      </c>
      <c r="B10" s="1222">
        <v>35</v>
      </c>
      <c r="C10" s="1222" t="s">
        <v>1863</v>
      </c>
      <c r="D10" s="1222" t="s">
        <v>1860</v>
      </c>
      <c r="E10" s="1222">
        <v>0</v>
      </c>
      <c r="F10" s="1222">
        <v>0</v>
      </c>
      <c r="G10" s="1222">
        <v>0</v>
      </c>
      <c r="H10" s="1222">
        <v>3</v>
      </c>
      <c r="I10" s="1224">
        <v>0</v>
      </c>
      <c r="J10" s="1222">
        <v>0</v>
      </c>
    </row>
    <row r="11" spans="1:10" x14ac:dyDescent="0.2">
      <c r="A11" s="1222" t="s">
        <v>1859</v>
      </c>
      <c r="B11" s="1222">
        <v>35</v>
      </c>
      <c r="C11" s="1222" t="s">
        <v>1863</v>
      </c>
      <c r="D11" s="1222" t="s">
        <v>1862</v>
      </c>
      <c r="E11" s="1222">
        <v>0</v>
      </c>
      <c r="F11" s="1222">
        <v>0</v>
      </c>
      <c r="G11" s="1222">
        <v>0</v>
      </c>
      <c r="H11" s="1222">
        <v>3</v>
      </c>
      <c r="I11" s="1224">
        <v>0</v>
      </c>
      <c r="J11" s="1222">
        <v>0</v>
      </c>
    </row>
    <row r="12" spans="1:10" x14ac:dyDescent="0.2">
      <c r="A12" s="1222" t="s">
        <v>1859</v>
      </c>
      <c r="B12" s="1222">
        <v>39</v>
      </c>
      <c r="C12" s="1222" t="s">
        <v>1864</v>
      </c>
      <c r="D12" s="1222" t="s">
        <v>1860</v>
      </c>
      <c r="E12" s="1222">
        <v>2E-3</v>
      </c>
      <c r="F12" s="1222">
        <v>3</v>
      </c>
      <c r="G12" s="1222">
        <v>0</v>
      </c>
      <c r="H12" s="1222">
        <v>0</v>
      </c>
      <c r="I12" s="1224">
        <v>2E-3</v>
      </c>
      <c r="J12" s="1222">
        <v>52</v>
      </c>
    </row>
    <row r="13" spans="1:10" x14ac:dyDescent="0.2">
      <c r="A13" s="1222" t="s">
        <v>1859</v>
      </c>
      <c r="B13" s="1222">
        <v>39</v>
      </c>
      <c r="C13" s="1222" t="s">
        <v>1864</v>
      </c>
      <c r="D13" s="1222" t="s">
        <v>1862</v>
      </c>
      <c r="E13" s="1222">
        <v>2E-3</v>
      </c>
      <c r="F13" s="1222">
        <v>3</v>
      </c>
      <c r="G13" s="1222">
        <v>0</v>
      </c>
      <c r="H13" s="1222">
        <v>0</v>
      </c>
      <c r="I13" s="1224">
        <v>2E-3</v>
      </c>
      <c r="J13" s="1222">
        <v>52</v>
      </c>
    </row>
    <row r="14" spans="1:10" x14ac:dyDescent="0.2">
      <c r="A14" s="1222" t="s">
        <v>1859</v>
      </c>
      <c r="B14" s="1222">
        <v>44</v>
      </c>
      <c r="C14" s="1222" t="s">
        <v>1865</v>
      </c>
      <c r="D14" s="1222" t="s">
        <v>1860</v>
      </c>
      <c r="E14" s="1222">
        <v>1E-3</v>
      </c>
      <c r="F14" s="1222">
        <v>14</v>
      </c>
      <c r="G14" s="1222">
        <v>2.4E-2</v>
      </c>
      <c r="H14" s="1222">
        <v>82</v>
      </c>
      <c r="I14" s="1224">
        <v>0.01</v>
      </c>
      <c r="J14" s="1222">
        <v>835</v>
      </c>
    </row>
    <row r="15" spans="1:10" x14ac:dyDescent="0.2">
      <c r="A15" s="1222" t="s">
        <v>1859</v>
      </c>
      <c r="B15" s="1222">
        <v>44</v>
      </c>
      <c r="C15" s="1222" t="s">
        <v>1865</v>
      </c>
      <c r="D15" s="1222" t="s">
        <v>1862</v>
      </c>
      <c r="E15" s="1222">
        <v>1E-3</v>
      </c>
      <c r="F15" s="1222">
        <v>14</v>
      </c>
      <c r="G15" s="1222">
        <v>2.4E-2</v>
      </c>
      <c r="H15" s="1222">
        <v>82</v>
      </c>
      <c r="I15" s="1224">
        <v>0.01</v>
      </c>
      <c r="J15" s="1222">
        <v>835</v>
      </c>
    </row>
    <row r="16" spans="1:10" x14ac:dyDescent="0.2">
      <c r="A16" s="1222" t="s">
        <v>1859</v>
      </c>
      <c r="B16" s="1222">
        <v>45</v>
      </c>
      <c r="C16" s="1222" t="s">
        <v>1866</v>
      </c>
      <c r="D16" s="1222" t="s">
        <v>1860</v>
      </c>
      <c r="E16" s="1222">
        <v>0</v>
      </c>
      <c r="F16" s="1222">
        <v>1</v>
      </c>
      <c r="G16" s="1222">
        <v>4.0000000000000001E-3</v>
      </c>
      <c r="H16" s="1222">
        <v>12</v>
      </c>
      <c r="I16" s="1224">
        <v>2E-3</v>
      </c>
      <c r="J16" s="1222">
        <v>51</v>
      </c>
    </row>
    <row r="17" spans="1:10" x14ac:dyDescent="0.2">
      <c r="A17" s="1222" t="s">
        <v>1859</v>
      </c>
      <c r="B17" s="1222">
        <v>45</v>
      </c>
      <c r="C17" s="1222" t="s">
        <v>1866</v>
      </c>
      <c r="D17" s="1222" t="s">
        <v>1862</v>
      </c>
      <c r="E17" s="1222">
        <v>0</v>
      </c>
      <c r="F17" s="1222">
        <v>1</v>
      </c>
      <c r="G17" s="1222">
        <v>8.0000000000000002E-3</v>
      </c>
      <c r="H17" s="1222">
        <v>12</v>
      </c>
      <c r="I17" s="1224">
        <v>3.0000000000000001E-3</v>
      </c>
      <c r="J17" s="1222">
        <v>51</v>
      </c>
    </row>
    <row r="18" spans="1:10" x14ac:dyDescent="0.2">
      <c r="A18" s="1222" t="s">
        <v>1859</v>
      </c>
      <c r="B18" s="1222">
        <v>46</v>
      </c>
      <c r="C18" s="1222" t="s">
        <v>1867</v>
      </c>
      <c r="D18" s="1222" t="s">
        <v>1860</v>
      </c>
      <c r="E18" s="1222">
        <v>0</v>
      </c>
      <c r="F18" s="1222">
        <v>1</v>
      </c>
      <c r="G18" s="1222">
        <v>1E-3</v>
      </c>
      <c r="H18" s="1222">
        <v>12</v>
      </c>
      <c r="I18" s="1224">
        <v>3.0000000000000001E-3</v>
      </c>
      <c r="J18" s="1222">
        <v>456</v>
      </c>
    </row>
    <row r="19" spans="1:10" x14ac:dyDescent="0.2">
      <c r="A19" s="1222" t="s">
        <v>1859</v>
      </c>
      <c r="B19" s="1222">
        <v>46</v>
      </c>
      <c r="C19" s="1222" t="s">
        <v>1867</v>
      </c>
      <c r="D19" s="1222" t="s">
        <v>1862</v>
      </c>
      <c r="E19" s="1222">
        <v>0</v>
      </c>
      <c r="F19" s="1222">
        <v>1</v>
      </c>
      <c r="G19" s="1222">
        <v>1E-3</v>
      </c>
      <c r="H19" s="1222">
        <v>12</v>
      </c>
      <c r="I19" s="1224">
        <v>3.0000000000000001E-3</v>
      </c>
      <c r="J19" s="1222">
        <v>456</v>
      </c>
    </row>
    <row r="20" spans="1:10" x14ac:dyDescent="0.2">
      <c r="A20" s="1222" t="s">
        <v>1859</v>
      </c>
      <c r="B20" s="1222">
        <v>98</v>
      </c>
      <c r="C20" s="1222" t="s">
        <v>1868</v>
      </c>
      <c r="D20" s="1222" t="s">
        <v>1860</v>
      </c>
      <c r="E20" s="1222">
        <v>7.0369999999999999</v>
      </c>
      <c r="F20" s="1222">
        <v>1870</v>
      </c>
      <c r="G20" s="1222">
        <v>0.23400000000000001</v>
      </c>
      <c r="H20" s="1222">
        <v>2512</v>
      </c>
      <c r="I20" s="1224">
        <v>6.2E-2</v>
      </c>
      <c r="J20" s="1222">
        <v>11901</v>
      </c>
    </row>
    <row r="21" spans="1:10" x14ac:dyDescent="0.2">
      <c r="A21" s="1222" t="s">
        <v>1859</v>
      </c>
      <c r="B21" s="1222">
        <v>98</v>
      </c>
      <c r="C21" s="1222" t="s">
        <v>1868</v>
      </c>
      <c r="D21" s="1222" t="s">
        <v>1862</v>
      </c>
      <c r="E21" s="1222">
        <v>0.72199999999999998</v>
      </c>
      <c r="F21" s="1222">
        <v>1870</v>
      </c>
      <c r="G21" s="1222">
        <v>0.112</v>
      </c>
      <c r="H21" s="1222">
        <v>2512</v>
      </c>
      <c r="I21" s="1224">
        <v>3.5000000000000003E-2</v>
      </c>
      <c r="J21" s="1222">
        <v>11901</v>
      </c>
    </row>
    <row r="23" spans="1:10" x14ac:dyDescent="0.2">
      <c r="C23" s="1228" t="s">
        <v>1871</v>
      </c>
    </row>
  </sheetData>
  <mergeCells count="8">
    <mergeCell ref="A5:A6"/>
    <mergeCell ref="B5:B6"/>
    <mergeCell ref="C5:C6"/>
    <mergeCell ref="D5:D6"/>
    <mergeCell ref="A3:A4"/>
    <mergeCell ref="B3:B4"/>
    <mergeCell ref="C3:C4"/>
    <mergeCell ref="D3: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62</vt:i4>
      </vt:variant>
    </vt:vector>
  </HeadingPairs>
  <TitlesOfParts>
    <vt:vector size="73" baseType="lpstr">
      <vt:lpstr>Background information</vt:lpstr>
      <vt:lpstr>MRL import</vt:lpstr>
      <vt:lpstr>input_values</vt:lpstr>
      <vt:lpstr>Results</vt:lpstr>
      <vt:lpstr>Summary_input_values</vt:lpstr>
      <vt:lpstr>Supplementing_results_chronic</vt:lpstr>
      <vt:lpstr>chronic_intake_assessment</vt:lpstr>
      <vt:lpstr>acute_overview_children</vt:lpstr>
      <vt:lpstr>acute_overview_adults</vt:lpstr>
      <vt:lpstr>chronic_consumption</vt:lpstr>
      <vt:lpstr>NL_consumption_maize</vt:lpstr>
      <vt:lpstr>input_values!a_animal</vt:lpstr>
      <vt:lpstr>input_values!a_berries</vt:lpstr>
      <vt:lpstr>input_values!a_brass</vt:lpstr>
      <vt:lpstr>input_values!a_bulb</vt:lpstr>
      <vt:lpstr>input_values!a_cereal</vt:lpstr>
      <vt:lpstr>input_values!a_citrus</vt:lpstr>
      <vt:lpstr>input_values!a_eggs</vt:lpstr>
      <vt:lpstr>input_values!a_fish</vt:lpstr>
      <vt:lpstr>input_values!a_fruit</vt:lpstr>
      <vt:lpstr>input_values!a_fruit_veg</vt:lpstr>
      <vt:lpstr>input_values!a_fungi</vt:lpstr>
      <vt:lpstr>a_herb_infus</vt:lpstr>
      <vt:lpstr>input_values!a_hops</vt:lpstr>
      <vt:lpstr>input_values!a_leaf_veg</vt:lpstr>
      <vt:lpstr>input_values!a_leg_veg</vt:lpstr>
      <vt:lpstr>input_values!a_milk</vt:lpstr>
      <vt:lpstr>input_values!a_misc</vt:lpstr>
      <vt:lpstr>input_values!a_nuts</vt:lpstr>
      <vt:lpstr>input_values!a_oilfruit</vt:lpstr>
      <vt:lpstr>input_values!a_oilseed</vt:lpstr>
      <vt:lpstr>input_values!a_oilseeds</vt:lpstr>
      <vt:lpstr>input_values!a_other_terr_animal_products</vt:lpstr>
      <vt:lpstr>input_values!a_pome</vt:lpstr>
      <vt:lpstr>input_values!a_pulses</vt:lpstr>
      <vt:lpstr>input_values!a_root</vt:lpstr>
      <vt:lpstr>input_values!a_sea_weed</vt:lpstr>
      <vt:lpstr>input_values!a_spice_aril</vt:lpstr>
      <vt:lpstr>input_values!a_spice_bark</vt:lpstr>
      <vt:lpstr>input_values!a_spice_buds</vt:lpstr>
      <vt:lpstr>input_values!a_spice_flower</vt:lpstr>
      <vt:lpstr>input_values!a_spice_fruit</vt:lpstr>
      <vt:lpstr>input_values!a_spice_root</vt:lpstr>
      <vt:lpstr>input_values!a_spice_seed</vt:lpstr>
      <vt:lpstr>input_values!a_spices</vt:lpstr>
      <vt:lpstr>input_values!a_stem_veg</vt:lpstr>
      <vt:lpstr>input_values!a_stone</vt:lpstr>
      <vt:lpstr>input_values!a_sugar</vt:lpstr>
      <vt:lpstr>input_values!a_tea</vt:lpstr>
      <vt:lpstr>input_values!a_tissues</vt:lpstr>
      <vt:lpstr>input_values!a_vegetable</vt:lpstr>
      <vt:lpstr>Acute_risk_assessment_adults</vt:lpstr>
      <vt:lpstr>Acute_risk_assessment_children</vt:lpstr>
      <vt:lpstr>ADI</vt:lpstr>
      <vt:lpstr>ARfD</vt:lpstr>
      <vt:lpstr>Calculation_mode</vt:lpstr>
      <vt:lpstr>Chronic_risk_assessment</vt:lpstr>
      <vt:lpstr>input_values_for_dietary_risk_assessment</vt:lpstr>
      <vt:lpstr>List_of_input_values</vt:lpstr>
      <vt:lpstr>MRL</vt:lpstr>
      <vt:lpstr>acute_overview_adults!Print_Area</vt:lpstr>
      <vt:lpstr>'Background information'!Print_Area</vt:lpstr>
      <vt:lpstr>chronic_intake_assessment!Print_Area</vt:lpstr>
      <vt:lpstr>input_values!Print_Area</vt:lpstr>
      <vt:lpstr>Results!Print_Area</vt:lpstr>
      <vt:lpstr>Summary_input_values!Print_Area</vt:lpstr>
      <vt:lpstr>Supplementing_results_chronic!Print_Area</vt:lpstr>
      <vt:lpstr>Supplementing_results_chronic!print_chronic</vt:lpstr>
      <vt:lpstr>print_chronic</vt:lpstr>
      <vt:lpstr>input_values!Print_Titles</vt:lpstr>
      <vt:lpstr>Results</vt:lpstr>
      <vt:lpstr>Supplementing_results_chronic!Results_overview</vt:lpstr>
      <vt:lpstr>Results_overview</vt:lpstr>
    </vt:vector>
  </TitlesOfParts>
  <Company>EFSA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used for Annex II/new crops calculations</dc:title>
  <dc:creator>reichhe</dc:creator>
  <cp:lastModifiedBy>REICH Hermine</cp:lastModifiedBy>
  <cp:lastPrinted>2017-12-13T13:54:32Z</cp:lastPrinted>
  <dcterms:created xsi:type="dcterms:W3CDTF">2006-04-28T10:54:25Z</dcterms:created>
  <dcterms:modified xsi:type="dcterms:W3CDTF">2019-04-02T12:32:05Z</dcterms:modified>
</cp:coreProperties>
</file>